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120" windowWidth="11715" windowHeight="5700" tabRatio="388"/>
  </bookViews>
  <sheets>
    <sheet name="Attribute" sheetId="39" r:id="rId1"/>
    <sheet name="Talente &amp; Stuff" sheetId="77" r:id="rId2"/>
    <sheet name="MU+1" sheetId="65" state="hidden" r:id="rId3"/>
    <sheet name="KL+1" sheetId="68" state="hidden" r:id="rId4"/>
    <sheet name="IN+1" sheetId="69" state="hidden" r:id="rId5"/>
    <sheet name="CH+1" sheetId="70" state="hidden" r:id="rId6"/>
    <sheet name="FF+1" sheetId="71" state="hidden" r:id="rId7"/>
    <sheet name="GE+1" sheetId="72" state="hidden" r:id="rId8"/>
    <sheet name="KO+1" sheetId="73" state="hidden" r:id="rId9"/>
    <sheet name="KK+1" sheetId="74" state="hidden" r:id="rId10"/>
  </sheets>
  <definedNames>
    <definedName name="AP_erhalten_master">Attribute!$Q$5</definedName>
    <definedName name="AP_in_Attributen_CH">'CH+1'!$N$5</definedName>
    <definedName name="AP_in_Attributen_FF">'FF+1'!$N$5</definedName>
    <definedName name="AP_in_Attributen_GE">'GE+1'!$N$5</definedName>
    <definedName name="AP_in_Attributen_IN">'IN+1'!$N$5</definedName>
    <definedName name="AP_in_Attributen_KK">'KK+1'!$N$5</definedName>
    <definedName name="AP_in_Attributen_KL">'KL+1'!$N$5</definedName>
    <definedName name="AP_in_Attributen_KO">'KO+1'!$N$5</definedName>
    <definedName name="AP_in_Attributen_master">Attribute!$N$5</definedName>
    <definedName name="AP_in_Attributen_MU">'MU+1'!$N$5</definedName>
    <definedName name="AP_in_Talenten_CH">'CH+1'!$AB$468</definedName>
    <definedName name="AP_in_Talenten_FF">'FF+1'!$AB$468</definedName>
    <definedName name="AP_in_Talenten_GE">'GE+1'!$AB$468</definedName>
    <definedName name="AP_in_Talenten_IN">'IN+1'!$AB$468</definedName>
    <definedName name="AP_in_Talenten_KK">'KK+1'!$AB$468</definedName>
    <definedName name="AP_in_Talenten_KL">'KL+1'!$AB$468</definedName>
    <definedName name="AP_in_Talenten_KO">'KO+1'!$AB$468</definedName>
    <definedName name="AP_in_Talenten_master">Attribute!$AB$468</definedName>
    <definedName name="AP_in_Talenten_MU">'MU+1'!$AB$468</definedName>
    <definedName name="AP_investiert_CH">'CH+1'!$P$5</definedName>
    <definedName name="AP_investiert_FF">'FF+1'!$P$5</definedName>
    <definedName name="AP_investiert_GE">'GE+1'!$P$5</definedName>
    <definedName name="AP_investiert_IN">'IN+1'!$P$5</definedName>
    <definedName name="AP_investiert_KK">'KK+1'!$P$5</definedName>
    <definedName name="AP_investiert_KL">'KL+1'!$P$5</definedName>
    <definedName name="AP_investiert_KO">'KO+1'!$P$5</definedName>
    <definedName name="AP_investiert_master">Attribute!$P$5</definedName>
    <definedName name="AP_investiert_MU">'MU+1'!$P$5</definedName>
    <definedName name="AP_noch_Avg">Attribute!$AC$466</definedName>
    <definedName name="AP_noch_CH">'CH+1'!$AC$468</definedName>
    <definedName name="AP_noch_FF">'FF+1'!$AC$468</definedName>
    <definedName name="AP_noch_GE">'GE+1'!$AC$468</definedName>
    <definedName name="AP_noch_IN">'IN+1'!$AC$468</definedName>
    <definedName name="AP_noch_KK">'KK+1'!$AC$468</definedName>
    <definedName name="AP_noch_KL">'KL+1'!$AC$468</definedName>
    <definedName name="AP_noch_KO">'KO+1'!$AC$468</definedName>
    <definedName name="AP_noch_master">Attribute!$AC$468</definedName>
    <definedName name="AP_noch_MU">'MU+1'!$AC$468</definedName>
    <definedName name="AP_übrig_master">Attribute!$R$5</definedName>
    <definedName name="Ausgewählte_Liturgien_Allgemein">'Talente &amp; Stuff'!$C$399:$JB$402</definedName>
    <definedName name="Ausgewählte_Liturgien_Boron">'Talente &amp; Stuff'!$C$403:$JB$409</definedName>
    <definedName name="Ausgewählte_Liturgien_Hesinde">'Talente &amp; Stuff'!$C$410:$JB$417</definedName>
    <definedName name="Ausgewählte_Liturgien_Peraine">'Talente &amp; Stuff'!$C$418:$JB$423</definedName>
    <definedName name="Ausgewählte_Liturgien_Phex">'Talente &amp; Stuff'!$C$424:$JB$432</definedName>
    <definedName name="Ausgewählte_Liturgien_Praios">'Talente &amp; Stuff'!$C$433:$JB$439</definedName>
    <definedName name="Ausgewählte_Liturgien_Rondra">'Talente &amp; Stuff'!$C$440:$JB$444</definedName>
    <definedName name="Ausgewählte_Rituale_Allgemein">'Talente &amp; Stuff'!$C$351:$JB$355</definedName>
    <definedName name="Ausgewählte_Rituale_Druiden">'Talente &amp; Stuff'!$C$356:$JB$365</definedName>
    <definedName name="Ausgewählte_Rituale_Elfen">'Talente &amp; Stuff'!$C$366:$JB$374</definedName>
    <definedName name="Ausgewählte_Rituale_Gildenmagier">'Talente &amp; Stuff'!$C$375:$JB$386</definedName>
    <definedName name="Ausgewählte_Rituale_Hexen">'Talente &amp; Stuff'!$C$387:$JB$389</definedName>
    <definedName name="Ausgewählte_Rituale_Kristallomanten">'Talente &amp; Stuff'!$C$390:$JB$391</definedName>
    <definedName name="Ausgewählte_Rituale_Scharlatane">'Talente &amp; Stuff'!$C$392:$JB$395</definedName>
    <definedName name="Ausgewählte_Talente_Gesellschaftstalente">'Talente &amp; Stuff'!$C$25:$JB$34</definedName>
    <definedName name="Ausgewählte_Talente_Handwerkstalente">'Talente &amp; Stuff'!$C$56:$JB$73</definedName>
    <definedName name="Ausgewählte_Talente_Körpertalente">'Talente &amp; Stuff'!$C$10:$JB$24</definedName>
    <definedName name="Ausgewählte_Talente_Naturtalente">'Talente &amp; Stuff'!$C$35:$JB$42</definedName>
    <definedName name="Ausgewählte_Talente_Wissenstalente">'Talente &amp; Stuff'!$C$43:$JB$55</definedName>
    <definedName name="Ausgewählte_Zauber_Allgemein">'Talente &amp; Stuff'!$C$77:$JB$98</definedName>
    <definedName name="Ausgewählte_Zauber_Druiden">'Talente &amp; Stuff'!$C$99:$JB$126</definedName>
    <definedName name="Ausgewählte_Zauber_Elfen">'Talente &amp; Stuff'!$C$127:$JB$151</definedName>
    <definedName name="Ausgewählte_Zauber_Gildenmagier">'Talente &amp; Stuff'!$C$152:$JB$211</definedName>
    <definedName name="Ausgewählte_Zauber_Hexen">'Talente &amp; Stuff'!$C$212:$JB$257</definedName>
    <definedName name="Ausgewählte_Zauber_Kristallomanten">'Talente &amp; Stuff'!$C$258:$JB$259</definedName>
    <definedName name="Ausgewählte_Zauber_Scharlatane">'Talente &amp; Stuff'!$C$260:$JB$296</definedName>
    <definedName name="Ausgewählte_Zauber_Zauberbarden">'Talente &amp; Stuff'!$C$297:$JB$321</definedName>
    <definedName name="Ausgewählte_Zauber_Zaubertänzer">'Talente &amp; Stuff'!$C$322:$JB$348</definedName>
    <definedName name="Ausgewählte_Zeremonien_Allgemein">'Talente &amp; Stuff'!$C$447:$JB$449</definedName>
    <definedName name="Ausgewählte_Zeremonien_Peraine">'Talente &amp; Stuff'!$C$454:$JB$455</definedName>
    <definedName name="Ausgewählte_Zeremonien_Phex">'Talente &amp; Stuff'!$C$456:$JB$457</definedName>
    <definedName name="Ausgewählte_Zeremonien_Rondra">'Talente &amp; Stuff'!$C$460:$JB$462</definedName>
    <definedName name="CHmaster">Attribute!$I$2</definedName>
    <definedName name="CHslave">Attribute!$I$2</definedName>
    <definedName name="CHslave_CH">'CH+1'!$I$2</definedName>
    <definedName name="FFmaster">Attribute!$J$2</definedName>
    <definedName name="FFslave">Attribute!$J$2</definedName>
    <definedName name="FFslave_FF">'FF+1'!$J$2</definedName>
    <definedName name="GEmaster">Attribute!$K$2</definedName>
    <definedName name="Gesamt_benötigte_Punkte_Avg">Attribute!$X$466</definedName>
    <definedName name="GEslave">Attribute!$K$2</definedName>
    <definedName name="GEslave_GE">'GE+1'!$K$2</definedName>
    <definedName name="INmaster">Attribute!$H$2</definedName>
    <definedName name="INslave">Attribute!$H$2</definedName>
    <definedName name="INslave_IN">'IN+1'!$H$2</definedName>
    <definedName name="KKmaster">Attribute!$M$2</definedName>
    <definedName name="KKslave">Attribute!$M$2</definedName>
    <definedName name="KKslave_KK">'KK+1'!$M$2</definedName>
    <definedName name="KLmaster">Attribute!$G$2</definedName>
    <definedName name="KLslave">Attribute!$G$2</definedName>
    <definedName name="KLslave_KL">'KL+1'!$G$2</definedName>
    <definedName name="KOmaster">Attribute!$L$2</definedName>
    <definedName name="Konvention_1master">Attribute!$O$2</definedName>
    <definedName name="Konvention_1slave">Attribute!$O$2</definedName>
    <definedName name="KOslave">Attribute!$L$2</definedName>
    <definedName name="KOslave_KO">'KO+1'!$L$2</definedName>
    <definedName name="Liturgien_Allgemein">'Talente &amp; Stuff'!$AF$399:$AF$402</definedName>
    <definedName name="Liturgien_Boron">'Talente &amp; Stuff'!$AF$403:$AF$409</definedName>
    <definedName name="Liturgien_Hesinde">'Talente &amp; Stuff'!$AF$410:$AF$417</definedName>
    <definedName name="Liturgien_Peraine">'Talente &amp; Stuff'!$AF$418:$AF$423</definedName>
    <definedName name="Liturgien_Phex">'Talente &amp; Stuff'!$AF$424:$AF$432</definedName>
    <definedName name="Liturgien_Praios">'Talente &amp; Stuff'!$AF$433:$AF$439</definedName>
    <definedName name="Liturgien_Rondra">'Talente &amp; Stuff'!$AF$440:$AF$444</definedName>
    <definedName name="MUmaster">Attribute!$F$2</definedName>
    <definedName name="MUslave">Attribute!$F$2</definedName>
    <definedName name="MUslave_MU">'MU+1'!$F$2</definedName>
    <definedName name="noch_benötigte_Punkte_Avg">Attribute!$Z$466</definedName>
    <definedName name="Rituale_Allgemein">'Talente &amp; Stuff'!$AF$351:$AF$355</definedName>
    <definedName name="Rituale_Druiden">'Talente &amp; Stuff'!$AF$356:$AF$365</definedName>
    <definedName name="Rituale_Elfen">'Talente &amp; Stuff'!$AF$366:$AF$374</definedName>
    <definedName name="Rituale_Gildenmagier">'Talente &amp; Stuff'!$AF$375:$AF$386</definedName>
    <definedName name="Rituale_Hexen">'Talente &amp; Stuff'!$AF$387:$AF$389</definedName>
    <definedName name="Rituale_Kristallomanten">'Talente &amp; Stuff'!$AF$390:$AF$391</definedName>
    <definedName name="Rituale_Scharlatane">'Talente &amp; Stuff'!$AF$392:$AF$395</definedName>
    <definedName name="Talente_Gesellschaftstalente">'Talente &amp; Stuff'!$AF$25:$AF$34</definedName>
    <definedName name="Talente_Handwerkstalente">'Talente &amp; Stuff'!$AF$56:$AF$73</definedName>
    <definedName name="Talente_Körpertalente">'Talente &amp; Stuff'!$AF$10:$AF$24</definedName>
    <definedName name="Talente_Naturtalente">'Talente &amp; Stuff'!$AF$35:$AF$42</definedName>
    <definedName name="Talente_Wissenstalente">'Talente &amp; Stuff'!$AF$43:$AF$55</definedName>
    <definedName name="verskilled_AP_Avg">Attribute!$AD$466</definedName>
    <definedName name="Zauber_Allgemein">'Talente &amp; Stuff'!$AF$77:$AF$98</definedName>
    <definedName name="Zauber_Druiden">'Talente &amp; Stuff'!$AF$99:$AF$126</definedName>
    <definedName name="Zauber_Elfen">'Talente &amp; Stuff'!$AF$127:$AF$151</definedName>
    <definedName name="Zauber_Gildenmagier">'Talente &amp; Stuff'!$AF$152:$AF$211</definedName>
    <definedName name="Zauber_Hexen">'Talente &amp; Stuff'!$AF$212:$AF$257</definedName>
    <definedName name="Zauber_Kristallomanten">'Talente &amp; Stuff'!$AF$258:$AF$259</definedName>
    <definedName name="Zauber_Scharlatane">'Talente &amp; Stuff'!$AF$260:$AF$296</definedName>
    <definedName name="Zauber_Zauberbarden">'Talente &amp; Stuff'!$AF$297:$AF$321</definedName>
    <definedName name="Zauber_Zaubertänzer">'Talente &amp; Stuff'!$AF$322:$AF$348</definedName>
    <definedName name="Zeremonien_Allgemein">'Talente &amp; Stuff'!$AF$447:$AF$449</definedName>
    <definedName name="Zeremonien_Boron">'Talente &amp; Stuff'!$AF$450:$AF$451</definedName>
    <definedName name="Zeremonien_Hesinde">'Talente &amp; Stuff'!$AF$452:$AF$453</definedName>
    <definedName name="Zeremonien_Peraine">'Talente &amp; Stuff'!$AF$454:$AF$455</definedName>
    <definedName name="Zeremonien_Phex">'Talente &amp; Stuff'!$AF$456:$AF$457</definedName>
    <definedName name="Zeremonien_Praios">'Talente &amp; Stuff'!$AF$458:$AF$459</definedName>
    <definedName name="Zeremonien_Rondra">'Talente &amp; Stuff'!$AF$460:$AF$462</definedName>
  </definedNames>
  <calcPr calcId="125725"/>
</workbook>
</file>

<file path=xl/calcChain.xml><?xml version="1.0" encoding="utf-8"?>
<calcChain xmlns="http://schemas.openxmlformats.org/spreadsheetml/2006/main">
  <c r="BB348" i="77"/>
  <c r="CE348" s="1"/>
  <c r="DH348" s="1"/>
  <c r="EK348" s="1"/>
  <c r="FN348" s="1"/>
  <c r="GQ348" s="1"/>
  <c r="HT348" s="1"/>
  <c r="IW348" s="1"/>
  <c r="BB347"/>
  <c r="CE347" s="1"/>
  <c r="BB346"/>
  <c r="CE346" s="1"/>
  <c r="BB345"/>
  <c r="CE345" s="1"/>
  <c r="BB344"/>
  <c r="CE344" s="1"/>
  <c r="DH344" s="1"/>
  <c r="EK344" s="1"/>
  <c r="FN344" s="1"/>
  <c r="GQ344" s="1"/>
  <c r="HT344" s="1"/>
  <c r="IW344" s="1"/>
  <c r="BB343"/>
  <c r="CE343" s="1"/>
  <c r="DH343" s="1"/>
  <c r="EK343" s="1"/>
  <c r="FN343" s="1"/>
  <c r="GQ343" s="1"/>
  <c r="HT343" s="1"/>
  <c r="IW343" s="1"/>
  <c r="BB342"/>
  <c r="CE342" s="1"/>
  <c r="DH342" s="1"/>
  <c r="EK342" s="1"/>
  <c r="FN342" s="1"/>
  <c r="GQ342" s="1"/>
  <c r="HT342" s="1"/>
  <c r="IW342" s="1"/>
  <c r="BB341"/>
  <c r="CE341" s="1"/>
  <c r="BB340"/>
  <c r="CE340" s="1"/>
  <c r="DH340" s="1"/>
  <c r="EK340" s="1"/>
  <c r="FN340" s="1"/>
  <c r="GQ340" s="1"/>
  <c r="HT340" s="1"/>
  <c r="IW340" s="1"/>
  <c r="BB339"/>
  <c r="CE339" s="1"/>
  <c r="DH339" s="1"/>
  <c r="EK339" s="1"/>
  <c r="FN339" s="1"/>
  <c r="GQ339" s="1"/>
  <c r="HT339" s="1"/>
  <c r="IW339" s="1"/>
  <c r="BB338"/>
  <c r="CE338" s="1"/>
  <c r="DH338" s="1"/>
  <c r="EK338" s="1"/>
  <c r="FN338" s="1"/>
  <c r="GQ338" s="1"/>
  <c r="HT338" s="1"/>
  <c r="IW338" s="1"/>
  <c r="BB337"/>
  <c r="CE337" s="1"/>
  <c r="DH337" s="1"/>
  <c r="EK337" s="1"/>
  <c r="FN337" s="1"/>
  <c r="GQ337" s="1"/>
  <c r="HT337" s="1"/>
  <c r="IW337" s="1"/>
  <c r="BB336"/>
  <c r="CE336" s="1"/>
  <c r="BB335"/>
  <c r="CE335" s="1"/>
  <c r="DH335" s="1"/>
  <c r="EK335" s="1"/>
  <c r="FN335" s="1"/>
  <c r="GQ335" s="1"/>
  <c r="HT335" s="1"/>
  <c r="IW335" s="1"/>
  <c r="BB334"/>
  <c r="CE334" s="1"/>
  <c r="DH334" s="1"/>
  <c r="EK334" s="1"/>
  <c r="FN334" s="1"/>
  <c r="GQ334" s="1"/>
  <c r="HT334" s="1"/>
  <c r="IW334" s="1"/>
  <c r="BB333"/>
  <c r="CE333" s="1"/>
  <c r="DH333" s="1"/>
  <c r="EK333" s="1"/>
  <c r="FN333" s="1"/>
  <c r="GQ333" s="1"/>
  <c r="HT333" s="1"/>
  <c r="IW333" s="1"/>
  <c r="BB332"/>
  <c r="CE332" s="1"/>
  <c r="DH332" s="1"/>
  <c r="EK332" s="1"/>
  <c r="FN332" s="1"/>
  <c r="GQ332" s="1"/>
  <c r="HT332" s="1"/>
  <c r="IW332" s="1"/>
  <c r="BB331"/>
  <c r="CE331" s="1"/>
  <c r="BB330"/>
  <c r="CE330" s="1"/>
  <c r="DH330" s="1"/>
  <c r="EK330" s="1"/>
  <c r="FN330" s="1"/>
  <c r="GQ330" s="1"/>
  <c r="HT330" s="1"/>
  <c r="IW330" s="1"/>
  <c r="BB329"/>
  <c r="CE329" s="1"/>
  <c r="BB328"/>
  <c r="CE328" s="1"/>
  <c r="DH328" s="1"/>
  <c r="EK328" s="1"/>
  <c r="FN328" s="1"/>
  <c r="GQ328" s="1"/>
  <c r="HT328" s="1"/>
  <c r="IW328" s="1"/>
  <c r="BB327"/>
  <c r="CE327" s="1"/>
  <c r="DH327" s="1"/>
  <c r="EK327" s="1"/>
  <c r="FN327" s="1"/>
  <c r="GQ327" s="1"/>
  <c r="HT327" s="1"/>
  <c r="IW327" s="1"/>
  <c r="BB326"/>
  <c r="CE326" s="1"/>
  <c r="DH326" s="1"/>
  <c r="EK326" s="1"/>
  <c r="FN326" s="1"/>
  <c r="GQ326" s="1"/>
  <c r="HT326" s="1"/>
  <c r="IW326" s="1"/>
  <c r="BB325"/>
  <c r="CE325" s="1"/>
  <c r="DH325" s="1"/>
  <c r="EK325" s="1"/>
  <c r="FN325" s="1"/>
  <c r="GQ325" s="1"/>
  <c r="HT325" s="1"/>
  <c r="IW325" s="1"/>
  <c r="BB324"/>
  <c r="CE324" s="1"/>
  <c r="DH324" s="1"/>
  <c r="EK324" s="1"/>
  <c r="FN324" s="1"/>
  <c r="GQ324" s="1"/>
  <c r="HT324" s="1"/>
  <c r="IW324" s="1"/>
  <c r="BB323"/>
  <c r="CE323" s="1"/>
  <c r="BB303"/>
  <c r="CE303" s="1"/>
  <c r="BB304"/>
  <c r="CE304" s="1"/>
  <c r="BB305"/>
  <c r="CE305" s="1"/>
  <c r="BB306"/>
  <c r="CE306" s="1"/>
  <c r="DH306" s="1"/>
  <c r="EK306" s="1"/>
  <c r="FN306" s="1"/>
  <c r="GQ306" s="1"/>
  <c r="HT306" s="1"/>
  <c r="IW306" s="1"/>
  <c r="BB307"/>
  <c r="CE307" s="1"/>
  <c r="BB308"/>
  <c r="CE308" s="1"/>
  <c r="DH308" s="1"/>
  <c r="EK308" s="1"/>
  <c r="FN308" s="1"/>
  <c r="GQ308" s="1"/>
  <c r="HT308" s="1"/>
  <c r="IW308" s="1"/>
  <c r="BB309"/>
  <c r="CE309" s="1"/>
  <c r="DH309" s="1"/>
  <c r="EK309" s="1"/>
  <c r="FN309" s="1"/>
  <c r="GQ309" s="1"/>
  <c r="HT309" s="1"/>
  <c r="IW309" s="1"/>
  <c r="BB310"/>
  <c r="CE310" s="1"/>
  <c r="BB311"/>
  <c r="CE311" s="1"/>
  <c r="BB312"/>
  <c r="CE312" s="1"/>
  <c r="BB313"/>
  <c r="CE313" s="1"/>
  <c r="BB314"/>
  <c r="CE314" s="1"/>
  <c r="DH314" s="1"/>
  <c r="EK314" s="1"/>
  <c r="FN314" s="1"/>
  <c r="GQ314" s="1"/>
  <c r="HT314" s="1"/>
  <c r="IW314" s="1"/>
  <c r="BB315"/>
  <c r="CE315" s="1"/>
  <c r="BB316"/>
  <c r="CE316" s="1"/>
  <c r="DH316" s="1"/>
  <c r="EK316" s="1"/>
  <c r="FN316" s="1"/>
  <c r="GQ316" s="1"/>
  <c r="HT316" s="1"/>
  <c r="IW316" s="1"/>
  <c r="BB317"/>
  <c r="CE317" s="1"/>
  <c r="DH317" s="1"/>
  <c r="EK317" s="1"/>
  <c r="FN317" s="1"/>
  <c r="GQ317" s="1"/>
  <c r="HT317" s="1"/>
  <c r="IW317" s="1"/>
  <c r="BB318"/>
  <c r="CE318" s="1"/>
  <c r="BB319"/>
  <c r="CE319" s="1"/>
  <c r="BB320"/>
  <c r="CE320" s="1"/>
  <c r="BB321"/>
  <c r="CE321" s="1"/>
  <c r="DH321" s="1"/>
  <c r="EK321" s="1"/>
  <c r="FN321" s="1"/>
  <c r="GQ321" s="1"/>
  <c r="HT321" s="1"/>
  <c r="IW321" s="1"/>
  <c r="BB300"/>
  <c r="CE300" s="1"/>
  <c r="DH300" s="1"/>
  <c r="EK300" s="1"/>
  <c r="FN300" s="1"/>
  <c r="GQ300" s="1"/>
  <c r="HT300" s="1"/>
  <c r="IW300" s="1"/>
  <c r="BB301"/>
  <c r="CE301" s="1"/>
  <c r="BB302"/>
  <c r="CE302" s="1"/>
  <c r="BB298"/>
  <c r="CE298" s="1"/>
  <c r="Z296" i="39"/>
  <c r="Y296"/>
  <c r="Z295"/>
  <c r="Y295"/>
  <c r="Z294"/>
  <c r="Y294"/>
  <c r="Z293"/>
  <c r="Y293"/>
  <c r="Z292"/>
  <c r="Y292"/>
  <c r="Z291"/>
  <c r="Y291"/>
  <c r="Z290"/>
  <c r="Y290"/>
  <c r="Z289"/>
  <c r="Y289"/>
  <c r="Z288"/>
  <c r="Y288"/>
  <c r="Z287"/>
  <c r="Y287"/>
  <c r="Z286"/>
  <c r="Y286"/>
  <c r="Z285"/>
  <c r="Y285"/>
  <c r="Z284"/>
  <c r="Y284"/>
  <c r="Z283"/>
  <c r="Y283"/>
  <c r="Z282"/>
  <c r="Y282"/>
  <c r="Z281"/>
  <c r="Y281"/>
  <c r="Z280"/>
  <c r="Y280"/>
  <c r="Z279"/>
  <c r="Y279"/>
  <c r="Z278"/>
  <c r="Y278"/>
  <c r="Z277"/>
  <c r="Y277"/>
  <c r="Z276"/>
  <c r="Y276"/>
  <c r="Z275"/>
  <c r="Y275"/>
  <c r="Z274"/>
  <c r="Y274"/>
  <c r="Z273"/>
  <c r="Y273"/>
  <c r="Z272"/>
  <c r="Y272"/>
  <c r="Z271"/>
  <c r="Y271"/>
  <c r="Z270"/>
  <c r="Y270"/>
  <c r="Z269"/>
  <c r="Y269"/>
  <c r="Z268"/>
  <c r="Y268"/>
  <c r="Z267"/>
  <c r="Y267"/>
  <c r="Z266"/>
  <c r="Y266"/>
  <c r="Z265"/>
  <c r="Y265"/>
  <c r="Z263"/>
  <c r="Y263"/>
  <c r="Z262"/>
  <c r="Y262"/>
  <c r="Z261"/>
  <c r="Y261"/>
  <c r="C348" i="69"/>
  <c r="C347"/>
  <c r="C346"/>
  <c r="H346" s="1"/>
  <c r="C345"/>
  <c r="C344"/>
  <c r="C343"/>
  <c r="C342"/>
  <c r="C341"/>
  <c r="C340"/>
  <c r="C339"/>
  <c r="C338"/>
  <c r="C337"/>
  <c r="C336"/>
  <c r="C335"/>
  <c r="C334"/>
  <c r="C333"/>
  <c r="C332"/>
  <c r="C331"/>
  <c r="C330"/>
  <c r="C329"/>
  <c r="C328"/>
  <c r="C327"/>
  <c r="C326"/>
  <c r="C325"/>
  <c r="C324"/>
  <c r="C323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E298" s="1"/>
  <c r="C296"/>
  <c r="Y296" s="1"/>
  <c r="C295"/>
  <c r="Y295" s="1"/>
  <c r="C294"/>
  <c r="Y294" s="1"/>
  <c r="C293"/>
  <c r="Y293" s="1"/>
  <c r="C292"/>
  <c r="Y292" s="1"/>
  <c r="C291"/>
  <c r="Y291" s="1"/>
  <c r="C290"/>
  <c r="Y290" s="1"/>
  <c r="C289"/>
  <c r="Y289" s="1"/>
  <c r="C288"/>
  <c r="Y288" s="1"/>
  <c r="C287"/>
  <c r="Y287" s="1"/>
  <c r="C286"/>
  <c r="Y286" s="1"/>
  <c r="C285"/>
  <c r="Y285" s="1"/>
  <c r="C284"/>
  <c r="Y284" s="1"/>
  <c r="C283"/>
  <c r="Y283" s="1"/>
  <c r="C282"/>
  <c r="Y282" s="1"/>
  <c r="C281"/>
  <c r="Y281" s="1"/>
  <c r="C280"/>
  <c r="Y280" s="1"/>
  <c r="C279"/>
  <c r="Y279" s="1"/>
  <c r="C278"/>
  <c r="Y278" s="1"/>
  <c r="C277"/>
  <c r="Y277" s="1"/>
  <c r="C276"/>
  <c r="Y276" s="1"/>
  <c r="C275"/>
  <c r="Y275" s="1"/>
  <c r="C274"/>
  <c r="Y274" s="1"/>
  <c r="C273"/>
  <c r="Y273" s="1"/>
  <c r="C272"/>
  <c r="Y272" s="1"/>
  <c r="C271"/>
  <c r="Y271" s="1"/>
  <c r="C270"/>
  <c r="Y270" s="1"/>
  <c r="C269"/>
  <c r="Y269" s="1"/>
  <c r="C268"/>
  <c r="Y268" s="1"/>
  <c r="C267"/>
  <c r="Y267" s="1"/>
  <c r="C266"/>
  <c r="Y266" s="1"/>
  <c r="C265"/>
  <c r="Y265" s="1"/>
  <c r="C264"/>
  <c r="C263"/>
  <c r="Y263" s="1"/>
  <c r="C262"/>
  <c r="Y262" s="1"/>
  <c r="C261"/>
  <c r="Y261" s="1"/>
  <c r="C348" i="70"/>
  <c r="C347"/>
  <c r="C346"/>
  <c r="C345"/>
  <c r="C344"/>
  <c r="C343"/>
  <c r="C342"/>
  <c r="C341"/>
  <c r="C340"/>
  <c r="C339"/>
  <c r="C338"/>
  <c r="C337"/>
  <c r="C336"/>
  <c r="C335"/>
  <c r="C334"/>
  <c r="C333"/>
  <c r="C332"/>
  <c r="C331"/>
  <c r="C330"/>
  <c r="C329"/>
  <c r="C328"/>
  <c r="M328" s="1"/>
  <c r="C327"/>
  <c r="C326"/>
  <c r="C325"/>
  <c r="C324"/>
  <c r="C323"/>
  <c r="C321"/>
  <c r="C320"/>
  <c r="K320" s="1"/>
  <c r="C319"/>
  <c r="C318"/>
  <c r="C317"/>
  <c r="C316"/>
  <c r="C315"/>
  <c r="C314"/>
  <c r="C313"/>
  <c r="C312"/>
  <c r="C311"/>
  <c r="C310"/>
  <c r="C309"/>
  <c r="C308"/>
  <c r="C307"/>
  <c r="E307" s="1"/>
  <c r="C306"/>
  <c r="C305"/>
  <c r="C304"/>
  <c r="C303"/>
  <c r="C302"/>
  <c r="C301"/>
  <c r="C300"/>
  <c r="C299"/>
  <c r="C298"/>
  <c r="C296"/>
  <c r="Y296" s="1"/>
  <c r="C295"/>
  <c r="Y295" s="1"/>
  <c r="C294"/>
  <c r="Y294" s="1"/>
  <c r="C293"/>
  <c r="Y293" s="1"/>
  <c r="C292"/>
  <c r="Y292" s="1"/>
  <c r="C291"/>
  <c r="Y291" s="1"/>
  <c r="C290"/>
  <c r="Y290" s="1"/>
  <c r="C289"/>
  <c r="Y289" s="1"/>
  <c r="C288"/>
  <c r="Y288" s="1"/>
  <c r="C287"/>
  <c r="Y287" s="1"/>
  <c r="C286"/>
  <c r="Y286" s="1"/>
  <c r="C285"/>
  <c r="Y285" s="1"/>
  <c r="C284"/>
  <c r="Y284" s="1"/>
  <c r="C283"/>
  <c r="Y283" s="1"/>
  <c r="C282"/>
  <c r="Y282" s="1"/>
  <c r="C281"/>
  <c r="Y281" s="1"/>
  <c r="C280"/>
  <c r="Y280" s="1"/>
  <c r="C279"/>
  <c r="Y279" s="1"/>
  <c r="C278"/>
  <c r="Y278" s="1"/>
  <c r="C277"/>
  <c r="Y277" s="1"/>
  <c r="C276"/>
  <c r="Y276" s="1"/>
  <c r="C275"/>
  <c r="Y275" s="1"/>
  <c r="C274"/>
  <c r="Y274" s="1"/>
  <c r="C273"/>
  <c r="Y273" s="1"/>
  <c r="C272"/>
  <c r="Y272" s="1"/>
  <c r="C271"/>
  <c r="Y271" s="1"/>
  <c r="C270"/>
  <c r="Y270" s="1"/>
  <c r="C269"/>
  <c r="Y269" s="1"/>
  <c r="C268"/>
  <c r="Y268" s="1"/>
  <c r="C267"/>
  <c r="Y267" s="1"/>
  <c r="C266"/>
  <c r="Y266" s="1"/>
  <c r="C265"/>
  <c r="Y265" s="1"/>
  <c r="C264"/>
  <c r="C263"/>
  <c r="Y263" s="1"/>
  <c r="C262"/>
  <c r="Y262" s="1"/>
  <c r="C261"/>
  <c r="Y261" s="1"/>
  <c r="C348" i="71"/>
  <c r="C347"/>
  <c r="C346"/>
  <c r="C345"/>
  <c r="C344"/>
  <c r="C343"/>
  <c r="C342"/>
  <c r="C341"/>
  <c r="C340"/>
  <c r="C339"/>
  <c r="C338"/>
  <c r="C337"/>
  <c r="C336"/>
  <c r="C335"/>
  <c r="C334"/>
  <c r="C333"/>
  <c r="C332"/>
  <c r="C331"/>
  <c r="C330"/>
  <c r="C329"/>
  <c r="C328"/>
  <c r="D328" s="1"/>
  <c r="C327"/>
  <c r="C326"/>
  <c r="C325"/>
  <c r="C324"/>
  <c r="C323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6"/>
  <c r="Y296" s="1"/>
  <c r="C295"/>
  <c r="Y295" s="1"/>
  <c r="C294"/>
  <c r="Y294" s="1"/>
  <c r="C293"/>
  <c r="Y293" s="1"/>
  <c r="C292"/>
  <c r="Y292" s="1"/>
  <c r="C291"/>
  <c r="Y291" s="1"/>
  <c r="C290"/>
  <c r="Y290" s="1"/>
  <c r="C289"/>
  <c r="Y289" s="1"/>
  <c r="C288"/>
  <c r="Y288" s="1"/>
  <c r="C287"/>
  <c r="Y287" s="1"/>
  <c r="C286"/>
  <c r="Y286" s="1"/>
  <c r="C285"/>
  <c r="Y285" s="1"/>
  <c r="C284"/>
  <c r="Y284" s="1"/>
  <c r="C283"/>
  <c r="Y283" s="1"/>
  <c r="C282"/>
  <c r="Y282" s="1"/>
  <c r="C281"/>
  <c r="Y281" s="1"/>
  <c r="C280"/>
  <c r="Y280" s="1"/>
  <c r="C279"/>
  <c r="Y279" s="1"/>
  <c r="C278"/>
  <c r="Y278" s="1"/>
  <c r="C277"/>
  <c r="Y277" s="1"/>
  <c r="C276"/>
  <c r="Y276" s="1"/>
  <c r="C275"/>
  <c r="Y275" s="1"/>
  <c r="C274"/>
  <c r="Y274" s="1"/>
  <c r="C273"/>
  <c r="Y273" s="1"/>
  <c r="C272"/>
  <c r="Y272" s="1"/>
  <c r="C271"/>
  <c r="Y271" s="1"/>
  <c r="C270"/>
  <c r="Y270" s="1"/>
  <c r="C269"/>
  <c r="Y269" s="1"/>
  <c r="C268"/>
  <c r="Y268" s="1"/>
  <c r="C267"/>
  <c r="Y267" s="1"/>
  <c r="C266"/>
  <c r="Y266" s="1"/>
  <c r="C265"/>
  <c r="Y265" s="1"/>
  <c r="C264"/>
  <c r="C263"/>
  <c r="Y263" s="1"/>
  <c r="C262"/>
  <c r="Y262" s="1"/>
  <c r="C261"/>
  <c r="Y261" s="1"/>
  <c r="C348" i="72"/>
  <c r="C347"/>
  <c r="C346"/>
  <c r="C345"/>
  <c r="C344"/>
  <c r="C343"/>
  <c r="C342"/>
  <c r="C341"/>
  <c r="C340"/>
  <c r="C339"/>
  <c r="C338"/>
  <c r="C337"/>
  <c r="C336"/>
  <c r="C335"/>
  <c r="C334"/>
  <c r="C333"/>
  <c r="C332"/>
  <c r="C331"/>
  <c r="C330"/>
  <c r="C329"/>
  <c r="C328"/>
  <c r="D328" s="1"/>
  <c r="C327"/>
  <c r="C326"/>
  <c r="C325"/>
  <c r="C324"/>
  <c r="C323"/>
  <c r="C321"/>
  <c r="C320"/>
  <c r="G320" s="1"/>
  <c r="C319"/>
  <c r="C318"/>
  <c r="C317"/>
  <c r="C316"/>
  <c r="C315"/>
  <c r="C314"/>
  <c r="C313"/>
  <c r="C312"/>
  <c r="C311"/>
  <c r="C310"/>
  <c r="C309"/>
  <c r="C308"/>
  <c r="C307"/>
  <c r="E307" s="1"/>
  <c r="C306"/>
  <c r="C305"/>
  <c r="C304"/>
  <c r="C303"/>
  <c r="C302"/>
  <c r="C301"/>
  <c r="C300"/>
  <c r="C299"/>
  <c r="C298"/>
  <c r="C296"/>
  <c r="Y296" s="1"/>
  <c r="C295"/>
  <c r="Y295" s="1"/>
  <c r="C294"/>
  <c r="Y294" s="1"/>
  <c r="C293"/>
  <c r="Y293" s="1"/>
  <c r="C292"/>
  <c r="Y292" s="1"/>
  <c r="C291"/>
  <c r="Y291" s="1"/>
  <c r="C290"/>
  <c r="Y290" s="1"/>
  <c r="C289"/>
  <c r="Y289" s="1"/>
  <c r="C288"/>
  <c r="Y288" s="1"/>
  <c r="C287"/>
  <c r="Y287" s="1"/>
  <c r="C286"/>
  <c r="Y286" s="1"/>
  <c r="C285"/>
  <c r="Y285" s="1"/>
  <c r="C284"/>
  <c r="Y284" s="1"/>
  <c r="C283"/>
  <c r="Y283" s="1"/>
  <c r="C282"/>
  <c r="Y282" s="1"/>
  <c r="C281"/>
  <c r="Y281" s="1"/>
  <c r="C280"/>
  <c r="Y280" s="1"/>
  <c r="C279"/>
  <c r="Y279" s="1"/>
  <c r="C278"/>
  <c r="Y278" s="1"/>
  <c r="C277"/>
  <c r="Y277" s="1"/>
  <c r="C276"/>
  <c r="Y276" s="1"/>
  <c r="C275"/>
  <c r="Y275" s="1"/>
  <c r="C274"/>
  <c r="Y274" s="1"/>
  <c r="C273"/>
  <c r="Y273" s="1"/>
  <c r="C272"/>
  <c r="Y272" s="1"/>
  <c r="C271"/>
  <c r="Y271" s="1"/>
  <c r="C270"/>
  <c r="Y270" s="1"/>
  <c r="C269"/>
  <c r="Y269" s="1"/>
  <c r="C268"/>
  <c r="Y268" s="1"/>
  <c r="C267"/>
  <c r="Y267" s="1"/>
  <c r="C266"/>
  <c r="Y266" s="1"/>
  <c r="C265"/>
  <c r="Y265" s="1"/>
  <c r="C264"/>
  <c r="C263"/>
  <c r="Y263" s="1"/>
  <c r="C262"/>
  <c r="Y262" s="1"/>
  <c r="C261"/>
  <c r="Y261" s="1"/>
  <c r="C348" i="73"/>
  <c r="C347"/>
  <c r="C346"/>
  <c r="C345"/>
  <c r="C344"/>
  <c r="C343"/>
  <c r="C342"/>
  <c r="C341"/>
  <c r="C340"/>
  <c r="C339"/>
  <c r="C338"/>
  <c r="C337"/>
  <c r="C336"/>
  <c r="C335"/>
  <c r="C334"/>
  <c r="C333"/>
  <c r="C332"/>
  <c r="C331"/>
  <c r="C330"/>
  <c r="C329"/>
  <c r="C328"/>
  <c r="C327"/>
  <c r="C326"/>
  <c r="C325"/>
  <c r="C324"/>
  <c r="C323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C296"/>
  <c r="Y296" s="1"/>
  <c r="C295"/>
  <c r="Y295" s="1"/>
  <c r="C294"/>
  <c r="Y294" s="1"/>
  <c r="C293"/>
  <c r="Y293" s="1"/>
  <c r="C292"/>
  <c r="Y292" s="1"/>
  <c r="C291"/>
  <c r="Y291" s="1"/>
  <c r="C290"/>
  <c r="Y290" s="1"/>
  <c r="C289"/>
  <c r="Y289" s="1"/>
  <c r="C288"/>
  <c r="Y288" s="1"/>
  <c r="C287"/>
  <c r="Y287" s="1"/>
  <c r="C286"/>
  <c r="Y286" s="1"/>
  <c r="C285"/>
  <c r="Y285" s="1"/>
  <c r="C284"/>
  <c r="Y284" s="1"/>
  <c r="C283"/>
  <c r="Y283" s="1"/>
  <c r="C282"/>
  <c r="Y282" s="1"/>
  <c r="C281"/>
  <c r="Y281" s="1"/>
  <c r="C280"/>
  <c r="Y280" s="1"/>
  <c r="C279"/>
  <c r="Y279" s="1"/>
  <c r="C278"/>
  <c r="Y278" s="1"/>
  <c r="C277"/>
  <c r="Y277" s="1"/>
  <c r="C276"/>
  <c r="Y276" s="1"/>
  <c r="C275"/>
  <c r="Y275" s="1"/>
  <c r="C274"/>
  <c r="Y274" s="1"/>
  <c r="C273"/>
  <c r="Y273" s="1"/>
  <c r="C272"/>
  <c r="Y272" s="1"/>
  <c r="C271"/>
  <c r="Y271" s="1"/>
  <c r="C270"/>
  <c r="Y270" s="1"/>
  <c r="C269"/>
  <c r="Y269" s="1"/>
  <c r="C268"/>
  <c r="Y268" s="1"/>
  <c r="C267"/>
  <c r="Y267" s="1"/>
  <c r="C266"/>
  <c r="Y266" s="1"/>
  <c r="C265"/>
  <c r="Y265" s="1"/>
  <c r="C264"/>
  <c r="C263"/>
  <c r="Y263" s="1"/>
  <c r="C262"/>
  <c r="Y262" s="1"/>
  <c r="C261"/>
  <c r="Y261" s="1"/>
  <c r="C348" i="74"/>
  <c r="C347"/>
  <c r="C346"/>
  <c r="C345"/>
  <c r="C344"/>
  <c r="C343"/>
  <c r="C342"/>
  <c r="C341"/>
  <c r="C340"/>
  <c r="C339"/>
  <c r="C338"/>
  <c r="C337"/>
  <c r="C336"/>
  <c r="C335"/>
  <c r="C334"/>
  <c r="C333"/>
  <c r="C332"/>
  <c r="C331"/>
  <c r="C330"/>
  <c r="C329"/>
  <c r="C328"/>
  <c r="F328" s="1"/>
  <c r="C327"/>
  <c r="C326"/>
  <c r="C325"/>
  <c r="C324"/>
  <c r="C323"/>
  <c r="C321"/>
  <c r="C320"/>
  <c r="G320" s="1"/>
  <c r="C319"/>
  <c r="C318"/>
  <c r="C317"/>
  <c r="C316"/>
  <c r="C315"/>
  <c r="C314"/>
  <c r="C313"/>
  <c r="C312"/>
  <c r="C311"/>
  <c r="C310"/>
  <c r="C309"/>
  <c r="C308"/>
  <c r="C307"/>
  <c r="E307" s="1"/>
  <c r="C306"/>
  <c r="C305"/>
  <c r="C304"/>
  <c r="C303"/>
  <c r="C302"/>
  <c r="C301"/>
  <c r="C300"/>
  <c r="C299"/>
  <c r="C298"/>
  <c r="C296"/>
  <c r="Y296" s="1"/>
  <c r="C295"/>
  <c r="Y295" s="1"/>
  <c r="C294"/>
  <c r="Y294" s="1"/>
  <c r="C293"/>
  <c r="Y293" s="1"/>
  <c r="C292"/>
  <c r="Y292" s="1"/>
  <c r="C291"/>
  <c r="Y291" s="1"/>
  <c r="C290"/>
  <c r="Y290" s="1"/>
  <c r="C289"/>
  <c r="Y289" s="1"/>
  <c r="C288"/>
  <c r="Y288" s="1"/>
  <c r="C287"/>
  <c r="Y287" s="1"/>
  <c r="C286"/>
  <c r="Y286" s="1"/>
  <c r="C285"/>
  <c r="Y285" s="1"/>
  <c r="C284"/>
  <c r="Y284" s="1"/>
  <c r="C283"/>
  <c r="Y283" s="1"/>
  <c r="C282"/>
  <c r="Y282" s="1"/>
  <c r="C281"/>
  <c r="Y281" s="1"/>
  <c r="C280"/>
  <c r="Y280" s="1"/>
  <c r="C279"/>
  <c r="Y279" s="1"/>
  <c r="C278"/>
  <c r="Y278" s="1"/>
  <c r="C277"/>
  <c r="Y277" s="1"/>
  <c r="C276"/>
  <c r="Y276" s="1"/>
  <c r="C275"/>
  <c r="Y275" s="1"/>
  <c r="C274"/>
  <c r="Y274" s="1"/>
  <c r="C273"/>
  <c r="Y273" s="1"/>
  <c r="C272"/>
  <c r="Y272" s="1"/>
  <c r="C271"/>
  <c r="Y271" s="1"/>
  <c r="C270"/>
  <c r="Y270" s="1"/>
  <c r="C269"/>
  <c r="Y269" s="1"/>
  <c r="C268"/>
  <c r="Y268" s="1"/>
  <c r="C267"/>
  <c r="Y267" s="1"/>
  <c r="C266"/>
  <c r="Y266" s="1"/>
  <c r="C265"/>
  <c r="Y265" s="1"/>
  <c r="C264"/>
  <c r="C263"/>
  <c r="Y263" s="1"/>
  <c r="C262"/>
  <c r="Y262" s="1"/>
  <c r="C261"/>
  <c r="Y261" s="1"/>
  <c r="C348" i="68"/>
  <c r="C347"/>
  <c r="C346"/>
  <c r="C345"/>
  <c r="C344"/>
  <c r="C343"/>
  <c r="C342"/>
  <c r="C341"/>
  <c r="C340"/>
  <c r="C339"/>
  <c r="C338"/>
  <c r="C337"/>
  <c r="C336"/>
  <c r="C335"/>
  <c r="C334"/>
  <c r="C333"/>
  <c r="C332"/>
  <c r="C331"/>
  <c r="C330"/>
  <c r="C329"/>
  <c r="C328"/>
  <c r="J328" s="1"/>
  <c r="C327"/>
  <c r="C326"/>
  <c r="C325"/>
  <c r="C324"/>
  <c r="C323"/>
  <c r="C321"/>
  <c r="C320"/>
  <c r="C319"/>
  <c r="C318"/>
  <c r="C317"/>
  <c r="C316"/>
  <c r="C315"/>
  <c r="C314"/>
  <c r="C313"/>
  <c r="C312"/>
  <c r="C311"/>
  <c r="C310"/>
  <c r="C309"/>
  <c r="C308"/>
  <c r="C307"/>
  <c r="C306"/>
  <c r="C305"/>
  <c r="C304"/>
  <c r="C303"/>
  <c r="C302"/>
  <c r="C301"/>
  <c r="C300"/>
  <c r="C299"/>
  <c r="C298"/>
  <c r="F298" s="1"/>
  <c r="C296"/>
  <c r="Y296" s="1"/>
  <c r="C295"/>
  <c r="Y295" s="1"/>
  <c r="C294"/>
  <c r="Y294" s="1"/>
  <c r="C293"/>
  <c r="Y293" s="1"/>
  <c r="C292"/>
  <c r="Y292" s="1"/>
  <c r="C291"/>
  <c r="Y291" s="1"/>
  <c r="C290"/>
  <c r="Y290" s="1"/>
  <c r="C289"/>
  <c r="Y289" s="1"/>
  <c r="C288"/>
  <c r="Y288" s="1"/>
  <c r="C287"/>
  <c r="Y287" s="1"/>
  <c r="C286"/>
  <c r="Y286" s="1"/>
  <c r="C285"/>
  <c r="Y285" s="1"/>
  <c r="C284"/>
  <c r="Y284" s="1"/>
  <c r="C283"/>
  <c r="Y283" s="1"/>
  <c r="C282"/>
  <c r="Y282" s="1"/>
  <c r="C281"/>
  <c r="Y281" s="1"/>
  <c r="C280"/>
  <c r="Y280" s="1"/>
  <c r="C279"/>
  <c r="Y279" s="1"/>
  <c r="C278"/>
  <c r="Y278" s="1"/>
  <c r="C277"/>
  <c r="Y277" s="1"/>
  <c r="C276"/>
  <c r="Y276" s="1"/>
  <c r="C275"/>
  <c r="Y275" s="1"/>
  <c r="C274"/>
  <c r="Y274" s="1"/>
  <c r="C273"/>
  <c r="Y273" s="1"/>
  <c r="C272"/>
  <c r="Y272" s="1"/>
  <c r="C271"/>
  <c r="Y271" s="1"/>
  <c r="C270"/>
  <c r="Y270" s="1"/>
  <c r="C269"/>
  <c r="Y269" s="1"/>
  <c r="C268"/>
  <c r="Y268" s="1"/>
  <c r="C267"/>
  <c r="Y267" s="1"/>
  <c r="C266"/>
  <c r="Y266" s="1"/>
  <c r="C265"/>
  <c r="Y265" s="1"/>
  <c r="C264"/>
  <c r="C263"/>
  <c r="Y263" s="1"/>
  <c r="C262"/>
  <c r="Y262" s="1"/>
  <c r="C261"/>
  <c r="Y261" s="1"/>
  <c r="C348" i="65"/>
  <c r="C347"/>
  <c r="C346"/>
  <c r="C345"/>
  <c r="C344"/>
  <c r="C343"/>
  <c r="C342"/>
  <c r="C341"/>
  <c r="C340"/>
  <c r="C339"/>
  <c r="C338"/>
  <c r="C337"/>
  <c r="C336"/>
  <c r="C335"/>
  <c r="C334"/>
  <c r="C333"/>
  <c r="C332"/>
  <c r="C331"/>
  <c r="C330"/>
  <c r="C329"/>
  <c r="C328"/>
  <c r="M328" s="1"/>
  <c r="C327"/>
  <c r="C326"/>
  <c r="C325"/>
  <c r="C324"/>
  <c r="C323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K320" s="1"/>
  <c r="C321"/>
  <c r="C298"/>
  <c r="G298" s="1"/>
  <c r="BE347" i="77"/>
  <c r="BE346"/>
  <c r="BE345"/>
  <c r="BE341"/>
  <c r="BE337"/>
  <c r="BE336"/>
  <c r="BE329"/>
  <c r="BE323"/>
  <c r="BE320"/>
  <c r="BE319"/>
  <c r="BE318"/>
  <c r="BE315"/>
  <c r="BE313"/>
  <c r="BE312"/>
  <c r="BE311"/>
  <c r="BE307"/>
  <c r="BE304"/>
  <c r="BE302"/>
  <c r="BE301"/>
  <c r="BE298"/>
  <c r="AB348"/>
  <c r="AB342"/>
  <c r="AB321"/>
  <c r="AB312"/>
  <c r="AB311"/>
  <c r="AB340"/>
  <c r="AB339"/>
  <c r="AB337"/>
  <c r="AB327"/>
  <c r="AB326"/>
  <c r="AB323"/>
  <c r="AB318"/>
  <c r="AB316"/>
  <c r="AB307"/>
  <c r="AB299"/>
  <c r="AB298"/>
  <c r="AB347"/>
  <c r="AB345"/>
  <c r="AB344"/>
  <c r="AB343"/>
  <c r="AB341"/>
  <c r="AB338"/>
  <c r="AB336"/>
  <c r="AB335"/>
  <c r="AB334"/>
  <c r="AB332"/>
  <c r="AB331"/>
  <c r="AB329"/>
  <c r="AB328"/>
  <c r="AB324"/>
  <c r="AB320"/>
  <c r="AB319"/>
  <c r="AB314"/>
  <c r="AB313"/>
  <c r="AB310"/>
  <c r="AB309"/>
  <c r="AB308"/>
  <c r="AB306"/>
  <c r="AB304"/>
  <c r="AB302"/>
  <c r="AB300"/>
  <c r="AB330"/>
  <c r="AB325"/>
  <c r="AB346"/>
  <c r="AB333"/>
  <c r="AB317"/>
  <c r="AB303"/>
  <c r="AB301"/>
  <c r="IF462"/>
  <c r="IE462"/>
  <c r="ID462"/>
  <c r="HC462"/>
  <c r="HB462"/>
  <c r="HA462"/>
  <c r="HN462" s="1"/>
  <c r="FZ462"/>
  <c r="FY462"/>
  <c r="FX462"/>
  <c r="EW462"/>
  <c r="EV462"/>
  <c r="EU462"/>
  <c r="DT462"/>
  <c r="DS462"/>
  <c r="DR462"/>
  <c r="CP462"/>
  <c r="CO462"/>
  <c r="BN462"/>
  <c r="BL462"/>
  <c r="AK462"/>
  <c r="AJ462"/>
  <c r="AB462"/>
  <c r="H462"/>
  <c r="G462"/>
  <c r="F462"/>
  <c r="C462"/>
  <c r="IG461"/>
  <c r="IF461"/>
  <c r="ID461"/>
  <c r="HD461"/>
  <c r="HC461"/>
  <c r="HA461"/>
  <c r="GA461"/>
  <c r="FZ461"/>
  <c r="FX461"/>
  <c r="EX461"/>
  <c r="EW461"/>
  <c r="EU461"/>
  <c r="FG461" s="1"/>
  <c r="DT461"/>
  <c r="DR461"/>
  <c r="CR461"/>
  <c r="CO461"/>
  <c r="BO461"/>
  <c r="BN461"/>
  <c r="BL461"/>
  <c r="BB461"/>
  <c r="BE461" s="1"/>
  <c r="AL461"/>
  <c r="AK461"/>
  <c r="AB461"/>
  <c r="I461"/>
  <c r="H461"/>
  <c r="F461"/>
  <c r="C461"/>
  <c r="IG457"/>
  <c r="IF457"/>
  <c r="IE457"/>
  <c r="HD457"/>
  <c r="HC457"/>
  <c r="HB457"/>
  <c r="GA457"/>
  <c r="FZ457"/>
  <c r="FY457"/>
  <c r="EX457"/>
  <c r="EW457"/>
  <c r="EV457"/>
  <c r="DT457"/>
  <c r="DS457"/>
  <c r="CR457"/>
  <c r="CP457"/>
  <c r="BO457"/>
  <c r="BN457"/>
  <c r="AL457"/>
  <c r="AK457"/>
  <c r="AJ457"/>
  <c r="AB457"/>
  <c r="I457"/>
  <c r="H457"/>
  <c r="G457"/>
  <c r="C457"/>
  <c r="IF455"/>
  <c r="IE455"/>
  <c r="ID455"/>
  <c r="HC455"/>
  <c r="HB455"/>
  <c r="HA455"/>
  <c r="FZ455"/>
  <c r="FY455"/>
  <c r="FX455"/>
  <c r="EW455"/>
  <c r="EV455"/>
  <c r="EU455"/>
  <c r="DT455"/>
  <c r="DS455"/>
  <c r="DR455"/>
  <c r="CP455"/>
  <c r="CO455"/>
  <c r="BN455"/>
  <c r="BL455"/>
  <c r="AK455"/>
  <c r="AJ455"/>
  <c r="AB455"/>
  <c r="H455"/>
  <c r="G455"/>
  <c r="F455"/>
  <c r="C455"/>
  <c r="IG449"/>
  <c r="IF449"/>
  <c r="IE449"/>
  <c r="HD449"/>
  <c r="HC449"/>
  <c r="HB449"/>
  <c r="GA449"/>
  <c r="FZ449"/>
  <c r="FY449"/>
  <c r="EX449"/>
  <c r="EW449"/>
  <c r="EV449"/>
  <c r="DT449"/>
  <c r="DS449"/>
  <c r="CR449"/>
  <c r="CP449"/>
  <c r="BO449"/>
  <c r="BN449"/>
  <c r="AL449"/>
  <c r="AK449"/>
  <c r="AJ449"/>
  <c r="AB449"/>
  <c r="I449"/>
  <c r="H449"/>
  <c r="G449"/>
  <c r="C449"/>
  <c r="IG448"/>
  <c r="IF448"/>
  <c r="ID448"/>
  <c r="HD448"/>
  <c r="HC448"/>
  <c r="HA448"/>
  <c r="GA448"/>
  <c r="FZ448"/>
  <c r="FX448"/>
  <c r="EX448"/>
  <c r="EW448"/>
  <c r="EU448"/>
  <c r="DT448"/>
  <c r="DR448"/>
  <c r="CR448"/>
  <c r="CO448"/>
  <c r="BO448"/>
  <c r="BN448"/>
  <c r="BL448"/>
  <c r="AL448"/>
  <c r="AK448"/>
  <c r="AB448"/>
  <c r="I448"/>
  <c r="H448"/>
  <c r="S448" s="1"/>
  <c r="F448"/>
  <c r="C448"/>
  <c r="IG444"/>
  <c r="IF444"/>
  <c r="ID444"/>
  <c r="HD444"/>
  <c r="HC444"/>
  <c r="HA444"/>
  <c r="GA444"/>
  <c r="FZ444"/>
  <c r="FX444"/>
  <c r="EX444"/>
  <c r="EW444"/>
  <c r="EU444"/>
  <c r="DT444"/>
  <c r="DR444"/>
  <c r="CR444"/>
  <c r="CO444"/>
  <c r="BO444"/>
  <c r="BN444"/>
  <c r="BL444"/>
  <c r="AL444"/>
  <c r="AK444"/>
  <c r="AB444"/>
  <c r="I444"/>
  <c r="H444"/>
  <c r="F444"/>
  <c r="C444"/>
  <c r="IJ443"/>
  <c r="IF443"/>
  <c r="ID443"/>
  <c r="HC443"/>
  <c r="HA443"/>
  <c r="GD443"/>
  <c r="FZ443"/>
  <c r="FX443"/>
  <c r="GK443" s="1"/>
  <c r="FA443"/>
  <c r="EW443"/>
  <c r="EU443"/>
  <c r="DX443"/>
  <c r="DT443"/>
  <c r="DR443"/>
  <c r="CU443"/>
  <c r="CO443"/>
  <c r="BR443"/>
  <c r="BN443"/>
  <c r="BL443"/>
  <c r="AO443"/>
  <c r="AK443"/>
  <c r="AB443"/>
  <c r="L443"/>
  <c r="H443"/>
  <c r="S443" s="1"/>
  <c r="F443"/>
  <c r="C443"/>
  <c r="IG442"/>
  <c r="IF442"/>
  <c r="ID442"/>
  <c r="HD442"/>
  <c r="HC442"/>
  <c r="HA442"/>
  <c r="GA442"/>
  <c r="FZ442"/>
  <c r="FX442"/>
  <c r="EX442"/>
  <c r="EW442"/>
  <c r="EU442"/>
  <c r="DT442"/>
  <c r="DR442"/>
  <c r="CR442"/>
  <c r="CO442"/>
  <c r="BO442"/>
  <c r="BN442"/>
  <c r="BL442"/>
  <c r="AL442"/>
  <c r="AK442"/>
  <c r="AB442"/>
  <c r="I442"/>
  <c r="H442"/>
  <c r="F442"/>
  <c r="C442"/>
  <c r="IG441"/>
  <c r="IF441"/>
  <c r="ID441"/>
  <c r="HD441"/>
  <c r="HC441"/>
  <c r="HA441"/>
  <c r="GA441"/>
  <c r="FZ441"/>
  <c r="FX441"/>
  <c r="EX441"/>
  <c r="EW441"/>
  <c r="EU441"/>
  <c r="DT441"/>
  <c r="DR441"/>
  <c r="CR441"/>
  <c r="CO441"/>
  <c r="CE441"/>
  <c r="CH441" s="1"/>
  <c r="BO441"/>
  <c r="BN441"/>
  <c r="BL441"/>
  <c r="BE441"/>
  <c r="BB441"/>
  <c r="AL441"/>
  <c r="AK441"/>
  <c r="AB441"/>
  <c r="I441"/>
  <c r="H441"/>
  <c r="F441"/>
  <c r="C441"/>
  <c r="IF439"/>
  <c r="IE439"/>
  <c r="ID439"/>
  <c r="HC439"/>
  <c r="HB439"/>
  <c r="HA439"/>
  <c r="FZ439"/>
  <c r="FY439"/>
  <c r="FX439"/>
  <c r="EW439"/>
  <c r="EV439"/>
  <c r="EU439"/>
  <c r="DT439"/>
  <c r="DS439"/>
  <c r="DR439"/>
  <c r="CP439"/>
  <c r="CO439"/>
  <c r="BN439"/>
  <c r="BL439"/>
  <c r="AK439"/>
  <c r="AJ439"/>
  <c r="AB439"/>
  <c r="H439"/>
  <c r="G439"/>
  <c r="F439"/>
  <c r="C439"/>
  <c r="IF438"/>
  <c r="IE438"/>
  <c r="HC438"/>
  <c r="HB438"/>
  <c r="FZ438"/>
  <c r="FY438"/>
  <c r="EW438"/>
  <c r="EV438"/>
  <c r="DT438"/>
  <c r="DS438"/>
  <c r="CP438"/>
  <c r="BN438"/>
  <c r="AK438"/>
  <c r="AJ438"/>
  <c r="AB438"/>
  <c r="H438"/>
  <c r="G438"/>
  <c r="C438"/>
  <c r="IG437"/>
  <c r="IF437"/>
  <c r="ID437"/>
  <c r="HD437"/>
  <c r="HC437"/>
  <c r="HA437"/>
  <c r="GA437"/>
  <c r="FZ437"/>
  <c r="FX437"/>
  <c r="EX437"/>
  <c r="EW437"/>
  <c r="EU437"/>
  <c r="DT437"/>
  <c r="DR437"/>
  <c r="CR437"/>
  <c r="CO437"/>
  <c r="BO437"/>
  <c r="BN437"/>
  <c r="BL437"/>
  <c r="AL437"/>
  <c r="AK437"/>
  <c r="AB437"/>
  <c r="I437"/>
  <c r="H437"/>
  <c r="F437"/>
  <c r="C437"/>
  <c r="IG436"/>
  <c r="IF436"/>
  <c r="ID436"/>
  <c r="HD436"/>
  <c r="HC436"/>
  <c r="HA436"/>
  <c r="GA436"/>
  <c r="FZ436"/>
  <c r="FX436"/>
  <c r="EX436"/>
  <c r="EW436"/>
  <c r="EU436"/>
  <c r="DT436"/>
  <c r="DR436"/>
  <c r="CR436"/>
  <c r="CO436"/>
  <c r="BO436"/>
  <c r="BN436"/>
  <c r="BL436"/>
  <c r="AL436"/>
  <c r="AK436"/>
  <c r="AB436"/>
  <c r="I436"/>
  <c r="H436"/>
  <c r="F436"/>
  <c r="C436"/>
  <c r="IF435"/>
  <c r="IE435"/>
  <c r="ID435"/>
  <c r="HC435"/>
  <c r="HB435"/>
  <c r="HA435"/>
  <c r="FZ435"/>
  <c r="FY435"/>
  <c r="FX435"/>
  <c r="EW435"/>
  <c r="EV435"/>
  <c r="EU435"/>
  <c r="DT435"/>
  <c r="DS435"/>
  <c r="DR435"/>
  <c r="CP435"/>
  <c r="CO435"/>
  <c r="BN435"/>
  <c r="BL435"/>
  <c r="AK435"/>
  <c r="AJ435"/>
  <c r="AB435"/>
  <c r="H435"/>
  <c r="G435"/>
  <c r="F435"/>
  <c r="C435"/>
  <c r="IG434"/>
  <c r="IE434"/>
  <c r="ID434"/>
  <c r="HD434"/>
  <c r="HB434"/>
  <c r="HA434"/>
  <c r="GA434"/>
  <c r="FY434"/>
  <c r="FX434"/>
  <c r="EX434"/>
  <c r="EV434"/>
  <c r="EU434"/>
  <c r="DS434"/>
  <c r="DR434"/>
  <c r="CR434"/>
  <c r="CP434"/>
  <c r="CO434"/>
  <c r="BO434"/>
  <c r="BL434"/>
  <c r="AL434"/>
  <c r="AJ434"/>
  <c r="AB434"/>
  <c r="I434"/>
  <c r="G434"/>
  <c r="F434"/>
  <c r="C434"/>
  <c r="IF432"/>
  <c r="IE432"/>
  <c r="HC432"/>
  <c r="HB432"/>
  <c r="FZ432"/>
  <c r="FY432"/>
  <c r="EW432"/>
  <c r="EV432"/>
  <c r="DT432"/>
  <c r="DS432"/>
  <c r="CP432"/>
  <c r="BN432"/>
  <c r="AK432"/>
  <c r="AJ432"/>
  <c r="AB432"/>
  <c r="H432"/>
  <c r="G432"/>
  <c r="C432"/>
  <c r="II431"/>
  <c r="IF431"/>
  <c r="HF431"/>
  <c r="HC431"/>
  <c r="FZ431"/>
  <c r="EZ431"/>
  <c r="EW431"/>
  <c r="DW431"/>
  <c r="DT431"/>
  <c r="CT431"/>
  <c r="BQ431"/>
  <c r="BN431"/>
  <c r="BB431"/>
  <c r="CE431" s="1"/>
  <c r="AN431"/>
  <c r="AK431"/>
  <c r="AB431"/>
  <c r="K431"/>
  <c r="H431"/>
  <c r="C431"/>
  <c r="IG430"/>
  <c r="IF430"/>
  <c r="IE430"/>
  <c r="HD430"/>
  <c r="HC430"/>
  <c r="HB430"/>
  <c r="GA430"/>
  <c r="FZ430"/>
  <c r="FY430"/>
  <c r="EX430"/>
  <c r="EW430"/>
  <c r="EV430"/>
  <c r="DT430"/>
  <c r="DS430"/>
  <c r="CR430"/>
  <c r="CP430"/>
  <c r="BO430"/>
  <c r="BN430"/>
  <c r="AL430"/>
  <c r="AK430"/>
  <c r="AJ430"/>
  <c r="AB430"/>
  <c r="I430"/>
  <c r="H430"/>
  <c r="G430"/>
  <c r="C430"/>
  <c r="IG429"/>
  <c r="IF429"/>
  <c r="IE429"/>
  <c r="HD429"/>
  <c r="HC429"/>
  <c r="HB429"/>
  <c r="GA429"/>
  <c r="FZ429"/>
  <c r="FY429"/>
  <c r="EX429"/>
  <c r="EW429"/>
  <c r="EV429"/>
  <c r="DT429"/>
  <c r="DS429"/>
  <c r="CR429"/>
  <c r="CP429"/>
  <c r="BO429"/>
  <c r="BN429"/>
  <c r="AL429"/>
  <c r="AK429"/>
  <c r="AJ429"/>
  <c r="AB429"/>
  <c r="I429"/>
  <c r="H429"/>
  <c r="G429"/>
  <c r="C429"/>
  <c r="IF428"/>
  <c r="IE428"/>
  <c r="HC428"/>
  <c r="HB428"/>
  <c r="FZ428"/>
  <c r="FY428"/>
  <c r="EW428"/>
  <c r="EV428"/>
  <c r="DT428"/>
  <c r="DS428"/>
  <c r="CP428"/>
  <c r="BN428"/>
  <c r="AK428"/>
  <c r="AJ428"/>
  <c r="AB428"/>
  <c r="H428"/>
  <c r="G428"/>
  <c r="C428"/>
  <c r="II427"/>
  <c r="IF427"/>
  <c r="HF427"/>
  <c r="HC427"/>
  <c r="FZ427"/>
  <c r="EZ427"/>
  <c r="EW427"/>
  <c r="DW427"/>
  <c r="DT427"/>
  <c r="CT427"/>
  <c r="BQ427"/>
  <c r="BN427"/>
  <c r="AN427"/>
  <c r="AK427"/>
  <c r="AB427"/>
  <c r="K427"/>
  <c r="H427"/>
  <c r="C427"/>
  <c r="II426"/>
  <c r="IF426"/>
  <c r="ID426"/>
  <c r="HF426"/>
  <c r="HC426"/>
  <c r="HA426"/>
  <c r="FZ426"/>
  <c r="FX426"/>
  <c r="EZ426"/>
  <c r="EW426"/>
  <c r="EU426"/>
  <c r="DW426"/>
  <c r="DT426"/>
  <c r="DR426"/>
  <c r="CT426"/>
  <c r="CO426"/>
  <c r="BQ426"/>
  <c r="BN426"/>
  <c r="BL426"/>
  <c r="AN426"/>
  <c r="AK426"/>
  <c r="AB426"/>
  <c r="K426"/>
  <c r="H426"/>
  <c r="F426"/>
  <c r="C426"/>
  <c r="IG425"/>
  <c r="IE425"/>
  <c r="ID425"/>
  <c r="HD425"/>
  <c r="HB425"/>
  <c r="HA425"/>
  <c r="GA425"/>
  <c r="FY425"/>
  <c r="FX425"/>
  <c r="EX425"/>
  <c r="EV425"/>
  <c r="EU425"/>
  <c r="DS425"/>
  <c r="DR425"/>
  <c r="CR425"/>
  <c r="CP425"/>
  <c r="CO425"/>
  <c r="BO425"/>
  <c r="BL425"/>
  <c r="AL425"/>
  <c r="AJ425"/>
  <c r="AB425"/>
  <c r="I425"/>
  <c r="G425"/>
  <c r="F425"/>
  <c r="C425"/>
  <c r="IG423"/>
  <c r="IF423"/>
  <c r="IE423"/>
  <c r="HD423"/>
  <c r="HC423"/>
  <c r="HB423"/>
  <c r="GA423"/>
  <c r="FZ423"/>
  <c r="FY423"/>
  <c r="EX423"/>
  <c r="EW423"/>
  <c r="EV423"/>
  <c r="DT423"/>
  <c r="DS423"/>
  <c r="CR423"/>
  <c r="CP423"/>
  <c r="BO423"/>
  <c r="BN423"/>
  <c r="AL423"/>
  <c r="AK423"/>
  <c r="AJ423"/>
  <c r="AB423"/>
  <c r="I423"/>
  <c r="H423"/>
  <c r="G423"/>
  <c r="C423"/>
  <c r="IG422"/>
  <c r="IF422"/>
  <c r="IE422"/>
  <c r="HD422"/>
  <c r="HC422"/>
  <c r="HB422"/>
  <c r="GA422"/>
  <c r="FZ422"/>
  <c r="FY422"/>
  <c r="EX422"/>
  <c r="EW422"/>
  <c r="EV422"/>
  <c r="DT422"/>
  <c r="DS422"/>
  <c r="CR422"/>
  <c r="CP422"/>
  <c r="BO422"/>
  <c r="BN422"/>
  <c r="AL422"/>
  <c r="AK422"/>
  <c r="AJ422"/>
  <c r="AB422"/>
  <c r="I422"/>
  <c r="H422"/>
  <c r="G422"/>
  <c r="C422"/>
  <c r="IG421"/>
  <c r="IF421"/>
  <c r="IE421"/>
  <c r="HD421"/>
  <c r="HC421"/>
  <c r="HB421"/>
  <c r="GA421"/>
  <c r="FZ421"/>
  <c r="FY421"/>
  <c r="EX421"/>
  <c r="EW421"/>
  <c r="EV421"/>
  <c r="DT421"/>
  <c r="DS421"/>
  <c r="CR421"/>
  <c r="CP421"/>
  <c r="BO421"/>
  <c r="BN421"/>
  <c r="BB421"/>
  <c r="CE421" s="1"/>
  <c r="CH421" s="1"/>
  <c r="AL421"/>
  <c r="AK421"/>
  <c r="AJ421"/>
  <c r="AB421"/>
  <c r="I421"/>
  <c r="H421"/>
  <c r="G421"/>
  <c r="C421"/>
  <c r="IG420"/>
  <c r="IF420"/>
  <c r="IE420"/>
  <c r="HD420"/>
  <c r="HC420"/>
  <c r="HB420"/>
  <c r="GA420"/>
  <c r="FZ420"/>
  <c r="FY420"/>
  <c r="EX420"/>
  <c r="EW420"/>
  <c r="EV420"/>
  <c r="DT420"/>
  <c r="DS420"/>
  <c r="CR420"/>
  <c r="CP420"/>
  <c r="BO420"/>
  <c r="BN420"/>
  <c r="AL420"/>
  <c r="AK420"/>
  <c r="AJ420"/>
  <c r="AB420"/>
  <c r="I420"/>
  <c r="H420"/>
  <c r="G420"/>
  <c r="C420"/>
  <c r="IG419"/>
  <c r="IF419"/>
  <c r="ID419"/>
  <c r="HD419"/>
  <c r="HC419"/>
  <c r="HA419"/>
  <c r="GA419"/>
  <c r="FZ419"/>
  <c r="FX419"/>
  <c r="EX419"/>
  <c r="EW419"/>
  <c r="EU419"/>
  <c r="DT419"/>
  <c r="DR419"/>
  <c r="CR419"/>
  <c r="CO419"/>
  <c r="BO419"/>
  <c r="BN419"/>
  <c r="BL419"/>
  <c r="BB419"/>
  <c r="AL419"/>
  <c r="AK419"/>
  <c r="AB419"/>
  <c r="I419"/>
  <c r="H419"/>
  <c r="F419"/>
  <c r="C419"/>
  <c r="IF417"/>
  <c r="IE417"/>
  <c r="HC417"/>
  <c r="HB417"/>
  <c r="HL417" s="1"/>
  <c r="FZ417"/>
  <c r="FY417"/>
  <c r="EW417"/>
  <c r="EV417"/>
  <c r="DT417"/>
  <c r="DS417"/>
  <c r="CP417"/>
  <c r="BN417"/>
  <c r="BB417"/>
  <c r="BE417" s="1"/>
  <c r="AK417"/>
  <c r="AJ417"/>
  <c r="AB417"/>
  <c r="H417"/>
  <c r="G417"/>
  <c r="C417"/>
  <c r="IF416"/>
  <c r="IE416"/>
  <c r="ID416"/>
  <c r="HC416"/>
  <c r="HB416"/>
  <c r="HA416"/>
  <c r="FZ416"/>
  <c r="FY416"/>
  <c r="FX416"/>
  <c r="EW416"/>
  <c r="EV416"/>
  <c r="EU416"/>
  <c r="DT416"/>
  <c r="DS416"/>
  <c r="DR416"/>
  <c r="CP416"/>
  <c r="CO416"/>
  <c r="BN416"/>
  <c r="BL416"/>
  <c r="BB416"/>
  <c r="BE416" s="1"/>
  <c r="AK416"/>
  <c r="AJ416"/>
  <c r="AB416"/>
  <c r="H416"/>
  <c r="G416"/>
  <c r="F416"/>
  <c r="C416"/>
  <c r="IF415"/>
  <c r="IE415"/>
  <c r="ID415"/>
  <c r="HC415"/>
  <c r="HB415"/>
  <c r="HA415"/>
  <c r="FZ415"/>
  <c r="FY415"/>
  <c r="FX415"/>
  <c r="EW415"/>
  <c r="EV415"/>
  <c r="EU415"/>
  <c r="DT415"/>
  <c r="DS415"/>
  <c r="DR415"/>
  <c r="CP415"/>
  <c r="CO415"/>
  <c r="BN415"/>
  <c r="BL415"/>
  <c r="BB415"/>
  <c r="BE415" s="1"/>
  <c r="AK415"/>
  <c r="AJ415"/>
  <c r="AB415"/>
  <c r="H415"/>
  <c r="G415"/>
  <c r="F415"/>
  <c r="C415"/>
  <c r="IF414"/>
  <c r="IE414"/>
  <c r="HC414"/>
  <c r="HB414"/>
  <c r="FZ414"/>
  <c r="FY414"/>
  <c r="EW414"/>
  <c r="EV414"/>
  <c r="DT414"/>
  <c r="DS414"/>
  <c r="CP414"/>
  <c r="BN414"/>
  <c r="BB414"/>
  <c r="BE414" s="1"/>
  <c r="AK414"/>
  <c r="AJ414"/>
  <c r="AB414"/>
  <c r="H414"/>
  <c r="G414"/>
  <c r="C414"/>
  <c r="IG413"/>
  <c r="IF413"/>
  <c r="ID413"/>
  <c r="HD413"/>
  <c r="HC413"/>
  <c r="HA413"/>
  <c r="GA413"/>
  <c r="FZ413"/>
  <c r="FX413"/>
  <c r="EX413"/>
  <c r="EW413"/>
  <c r="EU413"/>
  <c r="EN413"/>
  <c r="DT413"/>
  <c r="DR413"/>
  <c r="CR413"/>
  <c r="CO413"/>
  <c r="BO413"/>
  <c r="BN413"/>
  <c r="BL413"/>
  <c r="BB413"/>
  <c r="CE413" s="1"/>
  <c r="DH413" s="1"/>
  <c r="EK413" s="1"/>
  <c r="FN413" s="1"/>
  <c r="GQ413" s="1"/>
  <c r="HT413" s="1"/>
  <c r="IW413" s="1"/>
  <c r="IZ413" s="1"/>
  <c r="AL413"/>
  <c r="AK413"/>
  <c r="AB413"/>
  <c r="I413"/>
  <c r="H413"/>
  <c r="F413"/>
  <c r="C413"/>
  <c r="IG412"/>
  <c r="IF412"/>
  <c r="ID412"/>
  <c r="HD412"/>
  <c r="HC412"/>
  <c r="HA412"/>
  <c r="GA412"/>
  <c r="FZ412"/>
  <c r="FX412"/>
  <c r="EX412"/>
  <c r="EW412"/>
  <c r="EU412"/>
  <c r="DT412"/>
  <c r="DR412"/>
  <c r="CR412"/>
  <c r="CO412"/>
  <c r="BO412"/>
  <c r="BN412"/>
  <c r="BL412"/>
  <c r="BB412"/>
  <c r="CE412" s="1"/>
  <c r="AL412"/>
  <c r="AK412"/>
  <c r="AB412"/>
  <c r="I412"/>
  <c r="H412"/>
  <c r="F412"/>
  <c r="C412"/>
  <c r="IF411"/>
  <c r="IE411"/>
  <c r="HC411"/>
  <c r="HB411"/>
  <c r="FZ411"/>
  <c r="FY411"/>
  <c r="EW411"/>
  <c r="EV411"/>
  <c r="DT411"/>
  <c r="DS411"/>
  <c r="CP411"/>
  <c r="BN411"/>
  <c r="BB411"/>
  <c r="CE411" s="1"/>
  <c r="AK411"/>
  <c r="AJ411"/>
  <c r="AB411"/>
  <c r="H411"/>
  <c r="G411"/>
  <c r="C411"/>
  <c r="IG409"/>
  <c r="IF409"/>
  <c r="IE409"/>
  <c r="HD409"/>
  <c r="HC409"/>
  <c r="HB409"/>
  <c r="GA409"/>
  <c r="FZ409"/>
  <c r="FY409"/>
  <c r="EX409"/>
  <c r="EW409"/>
  <c r="EV409"/>
  <c r="DT409"/>
  <c r="DS409"/>
  <c r="CR409"/>
  <c r="CP409"/>
  <c r="BO409"/>
  <c r="BN409"/>
  <c r="AL409"/>
  <c r="AK409"/>
  <c r="AJ409"/>
  <c r="AB409"/>
  <c r="I409"/>
  <c r="H409"/>
  <c r="G409"/>
  <c r="C409"/>
  <c r="IF408"/>
  <c r="IE408"/>
  <c r="ID408"/>
  <c r="HC408"/>
  <c r="HB408"/>
  <c r="HA408"/>
  <c r="FZ408"/>
  <c r="FY408"/>
  <c r="FX408"/>
  <c r="EW408"/>
  <c r="EV408"/>
  <c r="EU408"/>
  <c r="DT408"/>
  <c r="DS408"/>
  <c r="DR408"/>
  <c r="CP408"/>
  <c r="CO408"/>
  <c r="BN408"/>
  <c r="BL408"/>
  <c r="AK408"/>
  <c r="AJ408"/>
  <c r="AB408"/>
  <c r="H408"/>
  <c r="G408"/>
  <c r="F408"/>
  <c r="C408"/>
  <c r="IF407"/>
  <c r="IE407"/>
  <c r="ID407"/>
  <c r="HC407"/>
  <c r="HB407"/>
  <c r="HA407"/>
  <c r="FZ407"/>
  <c r="FY407"/>
  <c r="FX407"/>
  <c r="EW407"/>
  <c r="EV407"/>
  <c r="EU407"/>
  <c r="DT407"/>
  <c r="DS407"/>
  <c r="DR407"/>
  <c r="CP407"/>
  <c r="CO407"/>
  <c r="BN407"/>
  <c r="BL407"/>
  <c r="AK407"/>
  <c r="AJ407"/>
  <c r="AB407"/>
  <c r="H407"/>
  <c r="G407"/>
  <c r="F407"/>
  <c r="C407"/>
  <c r="IG406"/>
  <c r="ID406"/>
  <c r="HD406"/>
  <c r="HA406"/>
  <c r="GA406"/>
  <c r="FX406"/>
  <c r="EX406"/>
  <c r="EU406"/>
  <c r="DR406"/>
  <c r="CR406"/>
  <c r="CO406"/>
  <c r="BO406"/>
  <c r="BL406"/>
  <c r="AL406"/>
  <c r="AB406"/>
  <c r="I406"/>
  <c r="F406"/>
  <c r="C406"/>
  <c r="IG405"/>
  <c r="IE405"/>
  <c r="ID405"/>
  <c r="HD405"/>
  <c r="HB405"/>
  <c r="HA405"/>
  <c r="GA405"/>
  <c r="FY405"/>
  <c r="FX405"/>
  <c r="EX405"/>
  <c r="EV405"/>
  <c r="EU405"/>
  <c r="DS405"/>
  <c r="DR405"/>
  <c r="CR405"/>
  <c r="CP405"/>
  <c r="CO405"/>
  <c r="BO405"/>
  <c r="BL405"/>
  <c r="AL405"/>
  <c r="AJ405"/>
  <c r="AB405"/>
  <c r="I405"/>
  <c r="G405"/>
  <c r="F405"/>
  <c r="C405"/>
  <c r="IG404"/>
  <c r="IF404"/>
  <c r="HD404"/>
  <c r="HC404"/>
  <c r="GA404"/>
  <c r="FZ404"/>
  <c r="EX404"/>
  <c r="EW404"/>
  <c r="DT404"/>
  <c r="CR404"/>
  <c r="BO404"/>
  <c r="BN404"/>
  <c r="AL404"/>
  <c r="AK404"/>
  <c r="AB404"/>
  <c r="I404"/>
  <c r="H404"/>
  <c r="C404"/>
  <c r="IG402"/>
  <c r="IF402"/>
  <c r="ID402"/>
  <c r="HD402"/>
  <c r="HC402"/>
  <c r="HA402"/>
  <c r="GA402"/>
  <c r="FZ402"/>
  <c r="FX402"/>
  <c r="EX402"/>
  <c r="EW402"/>
  <c r="EU402"/>
  <c r="DT402"/>
  <c r="DR402"/>
  <c r="CR402"/>
  <c r="CO402"/>
  <c r="BO402"/>
  <c r="BN402"/>
  <c r="BL402"/>
  <c r="AL402"/>
  <c r="AK402"/>
  <c r="AB402"/>
  <c r="I402"/>
  <c r="H402"/>
  <c r="F402"/>
  <c r="C402"/>
  <c r="IG401"/>
  <c r="IF401"/>
  <c r="HD401"/>
  <c r="HC401"/>
  <c r="GA401"/>
  <c r="FZ401"/>
  <c r="EX401"/>
  <c r="EW401"/>
  <c r="DT401"/>
  <c r="CR401"/>
  <c r="BO401"/>
  <c r="BN401"/>
  <c r="BX401" s="1"/>
  <c r="BB401"/>
  <c r="CE401" s="1"/>
  <c r="DH401" s="1"/>
  <c r="DK401" s="1"/>
  <c r="AL401"/>
  <c r="AK401"/>
  <c r="AB401"/>
  <c r="I401"/>
  <c r="H401"/>
  <c r="C401"/>
  <c r="IF400"/>
  <c r="IE400"/>
  <c r="HC400"/>
  <c r="HB400"/>
  <c r="FZ400"/>
  <c r="FY400"/>
  <c r="EW400"/>
  <c r="EV400"/>
  <c r="DT400"/>
  <c r="DS400"/>
  <c r="CP400"/>
  <c r="BN400"/>
  <c r="AK400"/>
  <c r="AJ400"/>
  <c r="AB400"/>
  <c r="H400"/>
  <c r="G400"/>
  <c r="C400"/>
  <c r="IF395"/>
  <c r="IE395"/>
  <c r="ID395"/>
  <c r="HC395"/>
  <c r="HB395"/>
  <c r="HA395"/>
  <c r="FZ395"/>
  <c r="FY395"/>
  <c r="FX395"/>
  <c r="EW395"/>
  <c r="EV395"/>
  <c r="EU395"/>
  <c r="DT395"/>
  <c r="DS395"/>
  <c r="DR395"/>
  <c r="CP395"/>
  <c r="CO395"/>
  <c r="BN395"/>
  <c r="BL395"/>
  <c r="AK395"/>
  <c r="AJ395"/>
  <c r="AB395"/>
  <c r="H395"/>
  <c r="G395"/>
  <c r="F395"/>
  <c r="C395"/>
  <c r="II394"/>
  <c r="IG394"/>
  <c r="IF394"/>
  <c r="HF394"/>
  <c r="HD394"/>
  <c r="HC394"/>
  <c r="GA394"/>
  <c r="FZ394"/>
  <c r="EZ394"/>
  <c r="EX394"/>
  <c r="EW394"/>
  <c r="DW394"/>
  <c r="DT394"/>
  <c r="CT394"/>
  <c r="CR394"/>
  <c r="BQ394"/>
  <c r="BO394"/>
  <c r="BN394"/>
  <c r="AN394"/>
  <c r="AL394"/>
  <c r="AK394"/>
  <c r="AB394"/>
  <c r="K394"/>
  <c r="I394"/>
  <c r="H394"/>
  <c r="C394"/>
  <c r="IH393"/>
  <c r="IG393"/>
  <c r="IE393"/>
  <c r="HE393"/>
  <c r="HD393"/>
  <c r="HB393"/>
  <c r="GB393"/>
  <c r="GA393"/>
  <c r="FY393"/>
  <c r="EX393"/>
  <c r="EV393"/>
  <c r="DV393"/>
  <c r="DS393"/>
  <c r="CS393"/>
  <c r="CR393"/>
  <c r="CP393"/>
  <c r="BP393"/>
  <c r="BO393"/>
  <c r="AM393"/>
  <c r="AL393"/>
  <c r="AJ393"/>
  <c r="AB393"/>
  <c r="J393"/>
  <c r="I393"/>
  <c r="G393"/>
  <c r="C393"/>
  <c r="IH391"/>
  <c r="IF391"/>
  <c r="IE391"/>
  <c r="HE391"/>
  <c r="HC391"/>
  <c r="HB391"/>
  <c r="GB391"/>
  <c r="FZ391"/>
  <c r="FY391"/>
  <c r="EW391"/>
  <c r="EV391"/>
  <c r="DV391"/>
  <c r="DT391"/>
  <c r="DS391"/>
  <c r="CS391"/>
  <c r="CP391"/>
  <c r="BP391"/>
  <c r="BN391"/>
  <c r="BB391"/>
  <c r="CE391" s="1"/>
  <c r="AM391"/>
  <c r="AK391"/>
  <c r="AJ391"/>
  <c r="AB391"/>
  <c r="J391"/>
  <c r="H391"/>
  <c r="G391"/>
  <c r="C391"/>
  <c r="IJ389"/>
  <c r="IG389"/>
  <c r="ID389"/>
  <c r="HD389"/>
  <c r="HA389"/>
  <c r="GD389"/>
  <c r="GA389"/>
  <c r="FX389"/>
  <c r="FA389"/>
  <c r="EX389"/>
  <c r="EU389"/>
  <c r="DX389"/>
  <c r="DR389"/>
  <c r="CU389"/>
  <c r="CR389"/>
  <c r="CO389"/>
  <c r="BR389"/>
  <c r="BO389"/>
  <c r="BL389"/>
  <c r="AO389"/>
  <c r="AL389"/>
  <c r="AB389"/>
  <c r="L389"/>
  <c r="I389"/>
  <c r="F389"/>
  <c r="C389"/>
  <c r="IJ388"/>
  <c r="IG388"/>
  <c r="ID388"/>
  <c r="HD388"/>
  <c r="HA388"/>
  <c r="GD388"/>
  <c r="GA388"/>
  <c r="FX388"/>
  <c r="FA388"/>
  <c r="EX388"/>
  <c r="EU388"/>
  <c r="DX388"/>
  <c r="DR388"/>
  <c r="CU388"/>
  <c r="CR388"/>
  <c r="CO388"/>
  <c r="BR388"/>
  <c r="BO388"/>
  <c r="BL388"/>
  <c r="AO388"/>
  <c r="AL388"/>
  <c r="AB388"/>
  <c r="L388"/>
  <c r="I388"/>
  <c r="F388"/>
  <c r="C388"/>
  <c r="IJ386"/>
  <c r="IG386"/>
  <c r="ID386"/>
  <c r="HD386"/>
  <c r="HA386"/>
  <c r="GD386"/>
  <c r="GA386"/>
  <c r="FX386"/>
  <c r="FA386"/>
  <c r="EX386"/>
  <c r="EU386"/>
  <c r="DX386"/>
  <c r="DR386"/>
  <c r="CU386"/>
  <c r="CR386"/>
  <c r="CO386"/>
  <c r="BR386"/>
  <c r="BO386"/>
  <c r="BL386"/>
  <c r="AO386"/>
  <c r="AL386"/>
  <c r="AB386"/>
  <c r="L386"/>
  <c r="I386"/>
  <c r="F386"/>
  <c r="C386"/>
  <c r="II385"/>
  <c r="IG385"/>
  <c r="IF385"/>
  <c r="HF385"/>
  <c r="HD385"/>
  <c r="HC385"/>
  <c r="GA385"/>
  <c r="FZ385"/>
  <c r="EZ385"/>
  <c r="EX385"/>
  <c r="EW385"/>
  <c r="DW385"/>
  <c r="DT385"/>
  <c r="CT385"/>
  <c r="CR385"/>
  <c r="BQ385"/>
  <c r="BO385"/>
  <c r="BN385"/>
  <c r="AN385"/>
  <c r="AL385"/>
  <c r="AK385"/>
  <c r="AB385"/>
  <c r="K385"/>
  <c r="I385"/>
  <c r="H385"/>
  <c r="C385"/>
  <c r="IJ384"/>
  <c r="IG384"/>
  <c r="IE384"/>
  <c r="HD384"/>
  <c r="HB384"/>
  <c r="GD384"/>
  <c r="GA384"/>
  <c r="FY384"/>
  <c r="FA384"/>
  <c r="EX384"/>
  <c r="EV384"/>
  <c r="DX384"/>
  <c r="DS384"/>
  <c r="CU384"/>
  <c r="CR384"/>
  <c r="CP384"/>
  <c r="BR384"/>
  <c r="BO384"/>
  <c r="AO384"/>
  <c r="AL384"/>
  <c r="AJ384"/>
  <c r="AB384"/>
  <c r="L384"/>
  <c r="I384"/>
  <c r="G384"/>
  <c r="C384"/>
  <c r="IJ383"/>
  <c r="IE383"/>
  <c r="ID383"/>
  <c r="HB383"/>
  <c r="HA383"/>
  <c r="GD383"/>
  <c r="FY383"/>
  <c r="FX383"/>
  <c r="FA383"/>
  <c r="EV383"/>
  <c r="EU383"/>
  <c r="DX383"/>
  <c r="DS383"/>
  <c r="DR383"/>
  <c r="CU383"/>
  <c r="CP383"/>
  <c r="CO383"/>
  <c r="BR383"/>
  <c r="BL383"/>
  <c r="AO383"/>
  <c r="AJ383"/>
  <c r="AB383"/>
  <c r="L383"/>
  <c r="G383"/>
  <c r="F383"/>
  <c r="C383"/>
  <c r="IJ382"/>
  <c r="IF382"/>
  <c r="ID382"/>
  <c r="HC382"/>
  <c r="HA382"/>
  <c r="GD382"/>
  <c r="FZ382"/>
  <c r="FX382"/>
  <c r="FA382"/>
  <c r="EW382"/>
  <c r="EU382"/>
  <c r="DX382"/>
  <c r="DT382"/>
  <c r="DR382"/>
  <c r="CU382"/>
  <c r="CO382"/>
  <c r="BR382"/>
  <c r="BN382"/>
  <c r="BL382"/>
  <c r="AO382"/>
  <c r="AK382"/>
  <c r="AB382"/>
  <c r="L382"/>
  <c r="H382"/>
  <c r="S382" s="1"/>
  <c r="F382"/>
  <c r="C382"/>
  <c r="IJ381"/>
  <c r="IG381"/>
  <c r="IL381" s="1"/>
  <c r="IN381" s="1"/>
  <c r="ID381"/>
  <c r="HD381"/>
  <c r="HA381"/>
  <c r="GD381"/>
  <c r="GA381"/>
  <c r="FX381"/>
  <c r="FA381"/>
  <c r="EX381"/>
  <c r="EU381"/>
  <c r="DX381"/>
  <c r="DR381"/>
  <c r="CU381"/>
  <c r="CR381"/>
  <c r="CO381"/>
  <c r="BR381"/>
  <c r="BO381"/>
  <c r="BT381" s="1"/>
  <c r="BV381" s="1"/>
  <c r="BL381"/>
  <c r="BB381"/>
  <c r="BE381" s="1"/>
  <c r="AO381"/>
  <c r="AL381"/>
  <c r="AB381"/>
  <c r="L381"/>
  <c r="I381"/>
  <c r="F381"/>
  <c r="C381"/>
  <c r="IJ380"/>
  <c r="IG380"/>
  <c r="ID380"/>
  <c r="HD380"/>
  <c r="HA380"/>
  <c r="GD380"/>
  <c r="GA380"/>
  <c r="FX380"/>
  <c r="FA380"/>
  <c r="EX380"/>
  <c r="EU380"/>
  <c r="DX380"/>
  <c r="DR380"/>
  <c r="CU380"/>
  <c r="CR380"/>
  <c r="CO380"/>
  <c r="BR380"/>
  <c r="BO380"/>
  <c r="BL380"/>
  <c r="AO380"/>
  <c r="AL380"/>
  <c r="AB380"/>
  <c r="L380"/>
  <c r="I380"/>
  <c r="F380"/>
  <c r="C380"/>
  <c r="IJ379"/>
  <c r="IF379"/>
  <c r="ID379"/>
  <c r="HC379"/>
  <c r="HA379"/>
  <c r="GD379"/>
  <c r="FZ379"/>
  <c r="FX379"/>
  <c r="FA379"/>
  <c r="EW379"/>
  <c r="EU379"/>
  <c r="DX379"/>
  <c r="DT379"/>
  <c r="DR379"/>
  <c r="CU379"/>
  <c r="CO379"/>
  <c r="BR379"/>
  <c r="BN379"/>
  <c r="BL379"/>
  <c r="AO379"/>
  <c r="AK379"/>
  <c r="AB379"/>
  <c r="L379"/>
  <c r="H379"/>
  <c r="F379"/>
  <c r="C379"/>
  <c r="IJ378"/>
  <c r="IG378"/>
  <c r="ID378"/>
  <c r="HD378"/>
  <c r="HA378"/>
  <c r="GD378"/>
  <c r="GA378"/>
  <c r="FX378"/>
  <c r="FA378"/>
  <c r="EX378"/>
  <c r="EU378"/>
  <c r="DX378"/>
  <c r="DR378"/>
  <c r="CU378"/>
  <c r="CR378"/>
  <c r="CO378"/>
  <c r="BR378"/>
  <c r="BO378"/>
  <c r="BL378"/>
  <c r="AO378"/>
  <c r="AL378"/>
  <c r="AB378"/>
  <c r="L378"/>
  <c r="I378"/>
  <c r="F378"/>
  <c r="C378"/>
  <c r="IJ377"/>
  <c r="IG377"/>
  <c r="ID377"/>
  <c r="HD377"/>
  <c r="HA377"/>
  <c r="GD377"/>
  <c r="GA377"/>
  <c r="FX377"/>
  <c r="FA377"/>
  <c r="EX377"/>
  <c r="EU377"/>
  <c r="DX377"/>
  <c r="DR377"/>
  <c r="CU377"/>
  <c r="CR377"/>
  <c r="CO377"/>
  <c r="BR377"/>
  <c r="BO377"/>
  <c r="BL377"/>
  <c r="AO377"/>
  <c r="AL377"/>
  <c r="AB377"/>
  <c r="L377"/>
  <c r="I377"/>
  <c r="F377"/>
  <c r="C377"/>
  <c r="IJ376"/>
  <c r="IG376"/>
  <c r="ID376"/>
  <c r="HD376"/>
  <c r="HA376"/>
  <c r="GD376"/>
  <c r="GA376"/>
  <c r="FX376"/>
  <c r="FA376"/>
  <c r="EX376"/>
  <c r="EU376"/>
  <c r="DX376"/>
  <c r="DR376"/>
  <c r="CU376"/>
  <c r="CR376"/>
  <c r="CO376"/>
  <c r="BR376"/>
  <c r="BO376"/>
  <c r="BL376"/>
  <c r="AO376"/>
  <c r="AL376"/>
  <c r="AB376"/>
  <c r="L376"/>
  <c r="I376"/>
  <c r="F376"/>
  <c r="C376"/>
  <c r="IG374"/>
  <c r="IF374"/>
  <c r="ID374"/>
  <c r="HD374"/>
  <c r="HC374"/>
  <c r="HA374"/>
  <c r="GA374"/>
  <c r="FZ374"/>
  <c r="FX374"/>
  <c r="EX374"/>
  <c r="EW374"/>
  <c r="EU374"/>
  <c r="DT374"/>
  <c r="DR374"/>
  <c r="CR374"/>
  <c r="CO374"/>
  <c r="BO374"/>
  <c r="BN374"/>
  <c r="BL374"/>
  <c r="AL374"/>
  <c r="AK374"/>
  <c r="AB374"/>
  <c r="I374"/>
  <c r="H374"/>
  <c r="F374"/>
  <c r="C374"/>
  <c r="IF373"/>
  <c r="ID373"/>
  <c r="HC373"/>
  <c r="HA373"/>
  <c r="FZ373"/>
  <c r="FX373"/>
  <c r="EW373"/>
  <c r="EU373"/>
  <c r="DT373"/>
  <c r="DR373"/>
  <c r="CO373"/>
  <c r="BN373"/>
  <c r="BL373"/>
  <c r="AK373"/>
  <c r="AB373"/>
  <c r="H373"/>
  <c r="F373"/>
  <c r="C373"/>
  <c r="IJ372"/>
  <c r="IG372"/>
  <c r="IE372"/>
  <c r="HD372"/>
  <c r="HB372"/>
  <c r="GD372"/>
  <c r="GA372"/>
  <c r="FY372"/>
  <c r="FA372"/>
  <c r="EX372"/>
  <c r="EV372"/>
  <c r="DX372"/>
  <c r="DS372"/>
  <c r="CU372"/>
  <c r="CR372"/>
  <c r="CP372"/>
  <c r="BR372"/>
  <c r="BO372"/>
  <c r="AO372"/>
  <c r="AL372"/>
  <c r="AJ372"/>
  <c r="AB372"/>
  <c r="L372"/>
  <c r="I372"/>
  <c r="G372"/>
  <c r="C372"/>
  <c r="IJ371"/>
  <c r="IF371"/>
  <c r="ID371"/>
  <c r="HC371"/>
  <c r="HA371"/>
  <c r="GD371"/>
  <c r="FZ371"/>
  <c r="FX371"/>
  <c r="FA371"/>
  <c r="EW371"/>
  <c r="EU371"/>
  <c r="DX371"/>
  <c r="DT371"/>
  <c r="DR371"/>
  <c r="CU371"/>
  <c r="CO371"/>
  <c r="BR371"/>
  <c r="BN371"/>
  <c r="BL371"/>
  <c r="BB371"/>
  <c r="CE371" s="1"/>
  <c r="AO371"/>
  <c r="AK371"/>
  <c r="AB371"/>
  <c r="L371"/>
  <c r="H371"/>
  <c r="F371"/>
  <c r="C371"/>
  <c r="IG370"/>
  <c r="IF370"/>
  <c r="HD370"/>
  <c r="HC370"/>
  <c r="GA370"/>
  <c r="FZ370"/>
  <c r="EX370"/>
  <c r="EW370"/>
  <c r="DT370"/>
  <c r="CR370"/>
  <c r="BO370"/>
  <c r="BN370"/>
  <c r="AL370"/>
  <c r="AK370"/>
  <c r="AB370"/>
  <c r="I370"/>
  <c r="H370"/>
  <c r="C370"/>
  <c r="IG369"/>
  <c r="IF369"/>
  <c r="ID369"/>
  <c r="HD369"/>
  <c r="HC369"/>
  <c r="HA369"/>
  <c r="GA369"/>
  <c r="FZ369"/>
  <c r="FX369"/>
  <c r="EX369"/>
  <c r="EW369"/>
  <c r="EU369"/>
  <c r="DT369"/>
  <c r="DR369"/>
  <c r="CR369"/>
  <c r="CO369"/>
  <c r="BO369"/>
  <c r="BN369"/>
  <c r="BL369"/>
  <c r="AL369"/>
  <c r="AK369"/>
  <c r="AB369"/>
  <c r="I369"/>
  <c r="H369"/>
  <c r="F369"/>
  <c r="C369"/>
  <c r="IG368"/>
  <c r="IF368"/>
  <c r="HD368"/>
  <c r="HC368"/>
  <c r="GA368"/>
  <c r="FZ368"/>
  <c r="EX368"/>
  <c r="EW368"/>
  <c r="DT368"/>
  <c r="CR368"/>
  <c r="BO368"/>
  <c r="BN368"/>
  <c r="AL368"/>
  <c r="AK368"/>
  <c r="AB368"/>
  <c r="I368"/>
  <c r="H368"/>
  <c r="C368"/>
  <c r="IF367"/>
  <c r="IE367"/>
  <c r="HC367"/>
  <c r="HB367"/>
  <c r="FZ367"/>
  <c r="FY367"/>
  <c r="EW367"/>
  <c r="EV367"/>
  <c r="DT367"/>
  <c r="DS367"/>
  <c r="CP367"/>
  <c r="BN367"/>
  <c r="AK367"/>
  <c r="AJ367"/>
  <c r="AB367"/>
  <c r="H367"/>
  <c r="G367"/>
  <c r="C367"/>
  <c r="IG365"/>
  <c r="IF365"/>
  <c r="IE365"/>
  <c r="HD365"/>
  <c r="HC365"/>
  <c r="HB365"/>
  <c r="GA365"/>
  <c r="FZ365"/>
  <c r="FY365"/>
  <c r="EX365"/>
  <c r="EW365"/>
  <c r="EV365"/>
  <c r="DT365"/>
  <c r="DS365"/>
  <c r="CR365"/>
  <c r="CP365"/>
  <c r="BO365"/>
  <c r="BN365"/>
  <c r="AL365"/>
  <c r="AK365"/>
  <c r="AJ365"/>
  <c r="AB365"/>
  <c r="I365"/>
  <c r="H365"/>
  <c r="G365"/>
  <c r="C365"/>
  <c r="IJ364"/>
  <c r="IE364"/>
  <c r="ID364"/>
  <c r="HB364"/>
  <c r="HA364"/>
  <c r="GD364"/>
  <c r="FY364"/>
  <c r="FX364"/>
  <c r="FA364"/>
  <c r="EV364"/>
  <c r="EU364"/>
  <c r="DX364"/>
  <c r="DS364"/>
  <c r="DR364"/>
  <c r="CU364"/>
  <c r="CP364"/>
  <c r="CO364"/>
  <c r="BR364"/>
  <c r="BL364"/>
  <c r="AO364"/>
  <c r="AJ364"/>
  <c r="AB364"/>
  <c r="L364"/>
  <c r="G364"/>
  <c r="F364"/>
  <c r="C364"/>
  <c r="IF363"/>
  <c r="IE363"/>
  <c r="ID363"/>
  <c r="HC363"/>
  <c r="HB363"/>
  <c r="HA363"/>
  <c r="FZ363"/>
  <c r="FY363"/>
  <c r="FX363"/>
  <c r="EW363"/>
  <c r="EV363"/>
  <c r="EU363"/>
  <c r="DT363"/>
  <c r="DS363"/>
  <c r="DR363"/>
  <c r="CP363"/>
  <c r="CO363"/>
  <c r="BN363"/>
  <c r="BL363"/>
  <c r="AK363"/>
  <c r="AJ363"/>
  <c r="AB363"/>
  <c r="H363"/>
  <c r="G363"/>
  <c r="F363"/>
  <c r="C363"/>
  <c r="IJ362"/>
  <c r="IG362"/>
  <c r="ID362"/>
  <c r="HD362"/>
  <c r="HA362"/>
  <c r="GD362"/>
  <c r="GA362"/>
  <c r="FX362"/>
  <c r="FA362"/>
  <c r="EX362"/>
  <c r="EU362"/>
  <c r="DX362"/>
  <c r="DR362"/>
  <c r="CU362"/>
  <c r="CR362"/>
  <c r="CO362"/>
  <c r="BR362"/>
  <c r="BO362"/>
  <c r="BL362"/>
  <c r="AO362"/>
  <c r="AL362"/>
  <c r="AB362"/>
  <c r="L362"/>
  <c r="I362"/>
  <c r="F362"/>
  <c r="C362"/>
  <c r="IG361"/>
  <c r="IF361"/>
  <c r="IE361"/>
  <c r="HD361"/>
  <c r="HC361"/>
  <c r="HB361"/>
  <c r="GA361"/>
  <c r="FZ361"/>
  <c r="FY361"/>
  <c r="EX361"/>
  <c r="EW361"/>
  <c r="EV361"/>
  <c r="DT361"/>
  <c r="DS361"/>
  <c r="CR361"/>
  <c r="CP361"/>
  <c r="BO361"/>
  <c r="BN361"/>
  <c r="BB361"/>
  <c r="BE361" s="1"/>
  <c r="AL361"/>
  <c r="AK361"/>
  <c r="AJ361"/>
  <c r="AB361"/>
  <c r="I361"/>
  <c r="H361"/>
  <c r="G361"/>
  <c r="C361"/>
  <c r="IG360"/>
  <c r="IE360"/>
  <c r="ID360"/>
  <c r="HD360"/>
  <c r="HB360"/>
  <c r="HA360"/>
  <c r="GA360"/>
  <c r="FY360"/>
  <c r="FX360"/>
  <c r="EX360"/>
  <c r="EV360"/>
  <c r="EU360"/>
  <c r="DS360"/>
  <c r="DR360"/>
  <c r="CR360"/>
  <c r="CP360"/>
  <c r="CO360"/>
  <c r="BO360"/>
  <c r="BL360"/>
  <c r="AL360"/>
  <c r="AJ360"/>
  <c r="AB360"/>
  <c r="I360"/>
  <c r="G360"/>
  <c r="F360"/>
  <c r="C360"/>
  <c r="IG359"/>
  <c r="IF359"/>
  <c r="ID359"/>
  <c r="HD359"/>
  <c r="HC359"/>
  <c r="HA359"/>
  <c r="GA359"/>
  <c r="FZ359"/>
  <c r="FX359"/>
  <c r="EX359"/>
  <c r="EW359"/>
  <c r="EU359"/>
  <c r="DT359"/>
  <c r="DR359"/>
  <c r="CR359"/>
  <c r="CO359"/>
  <c r="BO359"/>
  <c r="BN359"/>
  <c r="BL359"/>
  <c r="AL359"/>
  <c r="AK359"/>
  <c r="AB359"/>
  <c r="I359"/>
  <c r="H359"/>
  <c r="F359"/>
  <c r="C359"/>
  <c r="IJ358"/>
  <c r="IG358"/>
  <c r="IF358"/>
  <c r="HD358"/>
  <c r="HC358"/>
  <c r="GD358"/>
  <c r="GA358"/>
  <c r="FZ358"/>
  <c r="FA358"/>
  <c r="EX358"/>
  <c r="EW358"/>
  <c r="DX358"/>
  <c r="DT358"/>
  <c r="CU358"/>
  <c r="CR358"/>
  <c r="BR358"/>
  <c r="BO358"/>
  <c r="BN358"/>
  <c r="AO358"/>
  <c r="AL358"/>
  <c r="AK358"/>
  <c r="AB358"/>
  <c r="L358"/>
  <c r="I358"/>
  <c r="H358"/>
  <c r="C358"/>
  <c r="IG357"/>
  <c r="IF357"/>
  <c r="ID357"/>
  <c r="HD357"/>
  <c r="HC357"/>
  <c r="HA357"/>
  <c r="GA357"/>
  <c r="FZ357"/>
  <c r="FX357"/>
  <c r="EX357"/>
  <c r="EW357"/>
  <c r="EU357"/>
  <c r="DT357"/>
  <c r="DR357"/>
  <c r="CR357"/>
  <c r="CO357"/>
  <c r="BO357"/>
  <c r="BN357"/>
  <c r="BL357"/>
  <c r="AL357"/>
  <c r="AK357"/>
  <c r="AB357"/>
  <c r="I357"/>
  <c r="H357"/>
  <c r="F357"/>
  <c r="C357"/>
  <c r="IH355"/>
  <c r="IF355"/>
  <c r="IE355"/>
  <c r="HE355"/>
  <c r="HC355"/>
  <c r="HB355"/>
  <c r="GB355"/>
  <c r="FZ355"/>
  <c r="FY355"/>
  <c r="EW355"/>
  <c r="EV355"/>
  <c r="DV355"/>
  <c r="DT355"/>
  <c r="DS355"/>
  <c r="CS355"/>
  <c r="CP355"/>
  <c r="BP355"/>
  <c r="BN355"/>
  <c r="AM355"/>
  <c r="AK355"/>
  <c r="AJ355"/>
  <c r="AB355"/>
  <c r="J355"/>
  <c r="H355"/>
  <c r="G355"/>
  <c r="C355"/>
  <c r="IH354"/>
  <c r="IE354"/>
  <c r="HH354"/>
  <c r="HE354"/>
  <c r="HB354"/>
  <c r="GE354"/>
  <c r="GB354"/>
  <c r="FY354"/>
  <c r="FB354"/>
  <c r="EV354"/>
  <c r="DY354"/>
  <c r="DV354"/>
  <c r="DS354"/>
  <c r="CV354"/>
  <c r="CS354"/>
  <c r="CP354"/>
  <c r="BS354"/>
  <c r="BP354"/>
  <c r="AP354"/>
  <c r="AM354"/>
  <c r="AJ354"/>
  <c r="AB354"/>
  <c r="M354"/>
  <c r="J354"/>
  <c r="G354"/>
  <c r="C354"/>
  <c r="IJ353"/>
  <c r="IF353"/>
  <c r="IE353"/>
  <c r="HC353"/>
  <c r="HB353"/>
  <c r="GD353"/>
  <c r="FZ353"/>
  <c r="FY353"/>
  <c r="FA353"/>
  <c r="EW353"/>
  <c r="EV353"/>
  <c r="DX353"/>
  <c r="DT353"/>
  <c r="DS353"/>
  <c r="CU353"/>
  <c r="CP353"/>
  <c r="BR353"/>
  <c r="BN353"/>
  <c r="AO353"/>
  <c r="AK353"/>
  <c r="AJ353"/>
  <c r="AB353"/>
  <c r="L353"/>
  <c r="H353"/>
  <c r="G353"/>
  <c r="C353"/>
  <c r="IH352"/>
  <c r="IF352"/>
  <c r="IE352"/>
  <c r="HE352"/>
  <c r="HC352"/>
  <c r="HB352"/>
  <c r="GB352"/>
  <c r="FZ352"/>
  <c r="FY352"/>
  <c r="EW352"/>
  <c r="EV352"/>
  <c r="DV352"/>
  <c r="DT352"/>
  <c r="DS352"/>
  <c r="CS352"/>
  <c r="CP352"/>
  <c r="BP352"/>
  <c r="BN352"/>
  <c r="AM352"/>
  <c r="AK352"/>
  <c r="AJ352"/>
  <c r="AB352"/>
  <c r="J352"/>
  <c r="H352"/>
  <c r="G352"/>
  <c r="C352"/>
  <c r="II348"/>
  <c r="IG348"/>
  <c r="ID348"/>
  <c r="HF348"/>
  <c r="HD348"/>
  <c r="HA348"/>
  <c r="GA348"/>
  <c r="FX348"/>
  <c r="EZ348"/>
  <c r="EX348"/>
  <c r="EU348"/>
  <c r="DW348"/>
  <c r="DR348"/>
  <c r="CT348"/>
  <c r="CR348"/>
  <c r="CO348"/>
  <c r="BQ348"/>
  <c r="BO348"/>
  <c r="BL348"/>
  <c r="AN348"/>
  <c r="AL348"/>
  <c r="K348"/>
  <c r="I348"/>
  <c r="F348"/>
  <c r="C348"/>
  <c r="II347"/>
  <c r="IE347"/>
  <c r="ID347"/>
  <c r="HF347"/>
  <c r="HB347"/>
  <c r="HA347"/>
  <c r="GC347"/>
  <c r="FY347"/>
  <c r="FX347"/>
  <c r="EZ347"/>
  <c r="EV347"/>
  <c r="EU347"/>
  <c r="DW347"/>
  <c r="DS347"/>
  <c r="DR347"/>
  <c r="CT347"/>
  <c r="CP347"/>
  <c r="CO347"/>
  <c r="BQ347"/>
  <c r="BM347"/>
  <c r="BL347"/>
  <c r="AN347"/>
  <c r="AJ347"/>
  <c r="AI347"/>
  <c r="K347"/>
  <c r="G347"/>
  <c r="F347"/>
  <c r="C347"/>
  <c r="IJ346"/>
  <c r="II346"/>
  <c r="IG346"/>
  <c r="HG346"/>
  <c r="HF346"/>
  <c r="HD346"/>
  <c r="GD346"/>
  <c r="GC346"/>
  <c r="GA346"/>
  <c r="FA346"/>
  <c r="EZ346"/>
  <c r="EX346"/>
  <c r="DX346"/>
  <c r="DW346"/>
  <c r="DU346"/>
  <c r="CU346"/>
  <c r="CT346"/>
  <c r="CR346"/>
  <c r="BR346"/>
  <c r="BQ346"/>
  <c r="BO346"/>
  <c r="AO346"/>
  <c r="AN346"/>
  <c r="AL346"/>
  <c r="L346"/>
  <c r="K346"/>
  <c r="I346"/>
  <c r="C346"/>
  <c r="IJ345"/>
  <c r="II345"/>
  <c r="IG345"/>
  <c r="HG345"/>
  <c r="HF345"/>
  <c r="HD345"/>
  <c r="GD345"/>
  <c r="GC345"/>
  <c r="GA345"/>
  <c r="FA345"/>
  <c r="EZ345"/>
  <c r="EX345"/>
  <c r="DX345"/>
  <c r="DW345"/>
  <c r="DU345"/>
  <c r="CU345"/>
  <c r="CT345"/>
  <c r="CR345"/>
  <c r="BR345"/>
  <c r="BQ345"/>
  <c r="BO345"/>
  <c r="AO345"/>
  <c r="AN345"/>
  <c r="AL345"/>
  <c r="L345"/>
  <c r="K345"/>
  <c r="I345"/>
  <c r="C345"/>
  <c r="II344"/>
  <c r="IF344"/>
  <c r="IE344"/>
  <c r="HF344"/>
  <c r="HC344"/>
  <c r="HB344"/>
  <c r="FZ344"/>
  <c r="FY344"/>
  <c r="EZ344"/>
  <c r="EW344"/>
  <c r="EV344"/>
  <c r="DW344"/>
  <c r="DT344"/>
  <c r="DS344"/>
  <c r="CT344"/>
  <c r="CP344"/>
  <c r="BQ344"/>
  <c r="BN344"/>
  <c r="AN344"/>
  <c r="AK344"/>
  <c r="AJ344"/>
  <c r="K344"/>
  <c r="H344"/>
  <c r="G344"/>
  <c r="C344"/>
  <c r="II343"/>
  <c r="IF343"/>
  <c r="ID343"/>
  <c r="HF343"/>
  <c r="HC343"/>
  <c r="HA343"/>
  <c r="FZ343"/>
  <c r="FX343"/>
  <c r="EZ343"/>
  <c r="EW343"/>
  <c r="EU343"/>
  <c r="DW343"/>
  <c r="DT343"/>
  <c r="DR343"/>
  <c r="CT343"/>
  <c r="CO343"/>
  <c r="BQ343"/>
  <c r="BN343"/>
  <c r="BL343"/>
  <c r="AN343"/>
  <c r="AK343"/>
  <c r="K343"/>
  <c r="H343"/>
  <c r="F343"/>
  <c r="C343"/>
  <c r="II342"/>
  <c r="IF342"/>
  <c r="ID342"/>
  <c r="HF342"/>
  <c r="HC342"/>
  <c r="HA342"/>
  <c r="FZ342"/>
  <c r="FX342"/>
  <c r="EZ342"/>
  <c r="EW342"/>
  <c r="EU342"/>
  <c r="DW342"/>
  <c r="DT342"/>
  <c r="DR342"/>
  <c r="CT342"/>
  <c r="CO342"/>
  <c r="BQ342"/>
  <c r="BN342"/>
  <c r="BL342"/>
  <c r="AN342"/>
  <c r="AK342"/>
  <c r="K342"/>
  <c r="H342"/>
  <c r="F342"/>
  <c r="C342"/>
  <c r="II341"/>
  <c r="IG341"/>
  <c r="HF341"/>
  <c r="HD341"/>
  <c r="GC341"/>
  <c r="GA341"/>
  <c r="EZ341"/>
  <c r="EX341"/>
  <c r="DW341"/>
  <c r="DU341"/>
  <c r="CT341"/>
  <c r="CR341"/>
  <c r="BQ341"/>
  <c r="BO341"/>
  <c r="AN341"/>
  <c r="AL341"/>
  <c r="K341"/>
  <c r="I341"/>
  <c r="C341"/>
  <c r="II340"/>
  <c r="IG340"/>
  <c r="IE340"/>
  <c r="HF340"/>
  <c r="HD340"/>
  <c r="HB340"/>
  <c r="GA340"/>
  <c r="FY340"/>
  <c r="EZ340"/>
  <c r="EX340"/>
  <c r="EV340"/>
  <c r="DW340"/>
  <c r="DS340"/>
  <c r="CT340"/>
  <c r="CR340"/>
  <c r="CP340"/>
  <c r="BQ340"/>
  <c r="BO340"/>
  <c r="AN340"/>
  <c r="AL340"/>
  <c r="AJ340"/>
  <c r="K340"/>
  <c r="I340"/>
  <c r="G340"/>
  <c r="C340"/>
  <c r="II339"/>
  <c r="IG339"/>
  <c r="IF339"/>
  <c r="HF339"/>
  <c r="HD339"/>
  <c r="HC339"/>
  <c r="GA339"/>
  <c r="FZ339"/>
  <c r="EZ339"/>
  <c r="EX339"/>
  <c r="EW339"/>
  <c r="DW339"/>
  <c r="DT339"/>
  <c r="CT339"/>
  <c r="CR339"/>
  <c r="BQ339"/>
  <c r="BO339"/>
  <c r="BN339"/>
  <c r="AN339"/>
  <c r="AL339"/>
  <c r="AK339"/>
  <c r="K339"/>
  <c r="I339"/>
  <c r="H339"/>
  <c r="C339"/>
  <c r="II338"/>
  <c r="IF338"/>
  <c r="ID338"/>
  <c r="HF338"/>
  <c r="HC338"/>
  <c r="HA338"/>
  <c r="FZ338"/>
  <c r="FX338"/>
  <c r="EZ338"/>
  <c r="EW338"/>
  <c r="EU338"/>
  <c r="DW338"/>
  <c r="DT338"/>
  <c r="DR338"/>
  <c r="CT338"/>
  <c r="CO338"/>
  <c r="BQ338"/>
  <c r="BN338"/>
  <c r="BL338"/>
  <c r="AN338"/>
  <c r="AK338"/>
  <c r="K338"/>
  <c r="H338"/>
  <c r="F338"/>
  <c r="C338"/>
  <c r="II337"/>
  <c r="IF337"/>
  <c r="IE337"/>
  <c r="HF337"/>
  <c r="HC337"/>
  <c r="HB337"/>
  <c r="FZ337"/>
  <c r="FY337"/>
  <c r="EZ337"/>
  <c r="EW337"/>
  <c r="EV337"/>
  <c r="DW337"/>
  <c r="DT337"/>
  <c r="DS337"/>
  <c r="CT337"/>
  <c r="CP337"/>
  <c r="BQ337"/>
  <c r="BN337"/>
  <c r="AN337"/>
  <c r="AK337"/>
  <c r="AJ337"/>
  <c r="K337"/>
  <c r="H337"/>
  <c r="G337"/>
  <c r="C337"/>
  <c r="II336"/>
  <c r="IF336"/>
  <c r="HF336"/>
  <c r="HC336"/>
  <c r="GC336"/>
  <c r="FZ336"/>
  <c r="EZ336"/>
  <c r="EW336"/>
  <c r="DW336"/>
  <c r="DT336"/>
  <c r="CT336"/>
  <c r="CQ336"/>
  <c r="BQ336"/>
  <c r="BN336"/>
  <c r="AN336"/>
  <c r="AK336"/>
  <c r="K336"/>
  <c r="H336"/>
  <c r="C336"/>
  <c r="IJ335"/>
  <c r="II335"/>
  <c r="HH335"/>
  <c r="HF335"/>
  <c r="GE335"/>
  <c r="GD335"/>
  <c r="FB335"/>
  <c r="FA335"/>
  <c r="EZ335"/>
  <c r="DY335"/>
  <c r="DX335"/>
  <c r="DW335"/>
  <c r="CV335"/>
  <c r="CU335"/>
  <c r="CT335"/>
  <c r="BS335"/>
  <c r="BR335"/>
  <c r="BQ335"/>
  <c r="AP335"/>
  <c r="AO335"/>
  <c r="AN335"/>
  <c r="M335"/>
  <c r="L335"/>
  <c r="K335"/>
  <c r="C335"/>
  <c r="IJ334"/>
  <c r="II334"/>
  <c r="HH334"/>
  <c r="HF334"/>
  <c r="GE334"/>
  <c r="GD334"/>
  <c r="FB334"/>
  <c r="FA334"/>
  <c r="EZ334"/>
  <c r="DY334"/>
  <c r="DX334"/>
  <c r="DW334"/>
  <c r="CV334"/>
  <c r="CU334"/>
  <c r="CT334"/>
  <c r="BS334"/>
  <c r="BR334"/>
  <c r="BQ334"/>
  <c r="AP334"/>
  <c r="AO334"/>
  <c r="AN334"/>
  <c r="M334"/>
  <c r="L334"/>
  <c r="K334"/>
  <c r="C334"/>
  <c r="II333"/>
  <c r="IG333"/>
  <c r="ID333"/>
  <c r="HF333"/>
  <c r="HD333"/>
  <c r="HA333"/>
  <c r="GA333"/>
  <c r="FX333"/>
  <c r="EZ333"/>
  <c r="EX333"/>
  <c r="EU333"/>
  <c r="DW333"/>
  <c r="DR333"/>
  <c r="CT333"/>
  <c r="CR333"/>
  <c r="CO333"/>
  <c r="BQ333"/>
  <c r="BO333"/>
  <c r="BL333"/>
  <c r="AN333"/>
  <c r="AL333"/>
  <c r="K333"/>
  <c r="I333"/>
  <c r="F333"/>
  <c r="C333"/>
  <c r="II332"/>
  <c r="IF332"/>
  <c r="ID332"/>
  <c r="HF332"/>
  <c r="HC332"/>
  <c r="HA332"/>
  <c r="FZ332"/>
  <c r="FX332"/>
  <c r="EZ332"/>
  <c r="EW332"/>
  <c r="EU332"/>
  <c r="DW332"/>
  <c r="DT332"/>
  <c r="DR332"/>
  <c r="CT332"/>
  <c r="CO332"/>
  <c r="BQ332"/>
  <c r="BN332"/>
  <c r="BL332"/>
  <c r="AN332"/>
  <c r="AK332"/>
  <c r="K332"/>
  <c r="H332"/>
  <c r="F332"/>
  <c r="C332"/>
  <c r="II331"/>
  <c r="IG331"/>
  <c r="IE331"/>
  <c r="HF331"/>
  <c r="HD331"/>
  <c r="HB331"/>
  <c r="GA331"/>
  <c r="FY331"/>
  <c r="EZ331"/>
  <c r="EX331"/>
  <c r="EV331"/>
  <c r="DW331"/>
  <c r="DS331"/>
  <c r="CT331"/>
  <c r="CR331"/>
  <c r="CP331"/>
  <c r="BQ331"/>
  <c r="BO331"/>
  <c r="AN331"/>
  <c r="AL331"/>
  <c r="AJ331"/>
  <c r="K331"/>
  <c r="I331"/>
  <c r="G331"/>
  <c r="C331"/>
  <c r="II330"/>
  <c r="IG330"/>
  <c r="IF330"/>
  <c r="HF330"/>
  <c r="HD330"/>
  <c r="HC330"/>
  <c r="GA330"/>
  <c r="FZ330"/>
  <c r="EZ330"/>
  <c r="EX330"/>
  <c r="EW330"/>
  <c r="DW330"/>
  <c r="DT330"/>
  <c r="CT330"/>
  <c r="CR330"/>
  <c r="BQ330"/>
  <c r="BO330"/>
  <c r="BN330"/>
  <c r="AN330"/>
  <c r="AL330"/>
  <c r="AK330"/>
  <c r="K330"/>
  <c r="I330"/>
  <c r="H330"/>
  <c r="C330"/>
  <c r="II329"/>
  <c r="IG329"/>
  <c r="HF329"/>
  <c r="HD329"/>
  <c r="GC329"/>
  <c r="GA329"/>
  <c r="EZ329"/>
  <c r="EX329"/>
  <c r="DW329"/>
  <c r="DU329"/>
  <c r="CT329"/>
  <c r="CR329"/>
  <c r="BQ329"/>
  <c r="BO329"/>
  <c r="AN329"/>
  <c r="AL329"/>
  <c r="K329"/>
  <c r="I329"/>
  <c r="C329"/>
  <c r="II328"/>
  <c r="IG328"/>
  <c r="IF328"/>
  <c r="HF328"/>
  <c r="HD328"/>
  <c r="HC328"/>
  <c r="GA328"/>
  <c r="FZ328"/>
  <c r="EZ328"/>
  <c r="EX328"/>
  <c r="EW328"/>
  <c r="DW328"/>
  <c r="DT328"/>
  <c r="CT328"/>
  <c r="CR328"/>
  <c r="BQ328"/>
  <c r="BO328"/>
  <c r="BN328"/>
  <c r="AN328"/>
  <c r="AL328"/>
  <c r="AK328"/>
  <c r="K328"/>
  <c r="I328"/>
  <c r="H328"/>
  <c r="C328"/>
  <c r="II327"/>
  <c r="IF327"/>
  <c r="ID327"/>
  <c r="HF327"/>
  <c r="HC327"/>
  <c r="HA327"/>
  <c r="FZ327"/>
  <c r="FX327"/>
  <c r="EZ327"/>
  <c r="EW327"/>
  <c r="EU327"/>
  <c r="DW327"/>
  <c r="DT327"/>
  <c r="DR327"/>
  <c r="CT327"/>
  <c r="CO327"/>
  <c r="BQ327"/>
  <c r="BN327"/>
  <c r="BL327"/>
  <c r="AN327"/>
  <c r="AK327"/>
  <c r="K327"/>
  <c r="H327"/>
  <c r="F327"/>
  <c r="C327"/>
  <c r="II326"/>
  <c r="IG326"/>
  <c r="ID326"/>
  <c r="HF326"/>
  <c r="HD326"/>
  <c r="HA326"/>
  <c r="GA326"/>
  <c r="FX326"/>
  <c r="EZ326"/>
  <c r="EX326"/>
  <c r="EU326"/>
  <c r="DW326"/>
  <c r="DR326"/>
  <c r="CT326"/>
  <c r="CR326"/>
  <c r="CO326"/>
  <c r="BQ326"/>
  <c r="BO326"/>
  <c r="BL326"/>
  <c r="AN326"/>
  <c r="AL326"/>
  <c r="K326"/>
  <c r="I326"/>
  <c r="F326"/>
  <c r="C326"/>
  <c r="II325"/>
  <c r="IG325"/>
  <c r="IF325"/>
  <c r="HF325"/>
  <c r="HD325"/>
  <c r="HC325"/>
  <c r="GA325"/>
  <c r="FZ325"/>
  <c r="EZ325"/>
  <c r="EX325"/>
  <c r="EW325"/>
  <c r="DW325"/>
  <c r="DT325"/>
  <c r="CT325"/>
  <c r="CR325"/>
  <c r="BQ325"/>
  <c r="BO325"/>
  <c r="BN325"/>
  <c r="AN325"/>
  <c r="AL325"/>
  <c r="AK325"/>
  <c r="K325"/>
  <c r="I325"/>
  <c r="H325"/>
  <c r="C325"/>
  <c r="II324"/>
  <c r="IF324"/>
  <c r="IE324"/>
  <c r="HF324"/>
  <c r="HC324"/>
  <c r="HB324"/>
  <c r="FZ324"/>
  <c r="FY324"/>
  <c r="EZ324"/>
  <c r="EW324"/>
  <c r="EV324"/>
  <c r="DW324"/>
  <c r="DT324"/>
  <c r="DS324"/>
  <c r="CT324"/>
  <c r="CP324"/>
  <c r="BQ324"/>
  <c r="BN324"/>
  <c r="AN324"/>
  <c r="AK324"/>
  <c r="AJ324"/>
  <c r="K324"/>
  <c r="H324"/>
  <c r="G324"/>
  <c r="C324"/>
  <c r="IJ323"/>
  <c r="II323"/>
  <c r="IG323"/>
  <c r="HG323"/>
  <c r="HF323"/>
  <c r="HD323"/>
  <c r="GD323"/>
  <c r="GC323"/>
  <c r="GA323"/>
  <c r="FA323"/>
  <c r="EZ323"/>
  <c r="EX323"/>
  <c r="DX323"/>
  <c r="DW323"/>
  <c r="DU323"/>
  <c r="CU323"/>
  <c r="CT323"/>
  <c r="CR323"/>
  <c r="BR323"/>
  <c r="BQ323"/>
  <c r="BO323"/>
  <c r="AO323"/>
  <c r="AN323"/>
  <c r="AL323"/>
  <c r="L323"/>
  <c r="K323"/>
  <c r="I323"/>
  <c r="C323"/>
  <c r="Y323" i="39" s="1"/>
  <c r="IG321" i="77"/>
  <c r="ID321"/>
  <c r="HD321"/>
  <c r="HA321"/>
  <c r="GA321"/>
  <c r="FX321"/>
  <c r="EX321"/>
  <c r="EU321"/>
  <c r="DR321"/>
  <c r="CR321"/>
  <c r="CO321"/>
  <c r="BO321"/>
  <c r="BL321"/>
  <c r="BE321"/>
  <c r="AL321"/>
  <c r="I321"/>
  <c r="F321"/>
  <c r="C321"/>
  <c r="IF320"/>
  <c r="ID320"/>
  <c r="HC320"/>
  <c r="HA320"/>
  <c r="FZ320"/>
  <c r="FX320"/>
  <c r="EW320"/>
  <c r="EU320"/>
  <c r="DT320"/>
  <c r="DR320"/>
  <c r="CQ320"/>
  <c r="CO320"/>
  <c r="BN320"/>
  <c r="BL320"/>
  <c r="AK320"/>
  <c r="AI320"/>
  <c r="H320"/>
  <c r="F320"/>
  <c r="C320"/>
  <c r="IJ319"/>
  <c r="II319"/>
  <c r="IG319"/>
  <c r="HG319"/>
  <c r="HF319"/>
  <c r="HD319"/>
  <c r="GD319"/>
  <c r="GC319"/>
  <c r="GA319"/>
  <c r="FA319"/>
  <c r="EZ319"/>
  <c r="EX319"/>
  <c r="DX319"/>
  <c r="DW319"/>
  <c r="DU319"/>
  <c r="CU319"/>
  <c r="CT319"/>
  <c r="CR319"/>
  <c r="BR319"/>
  <c r="BQ319"/>
  <c r="BO319"/>
  <c r="AO319"/>
  <c r="AN319"/>
  <c r="AL319"/>
  <c r="L319"/>
  <c r="K319"/>
  <c r="I319"/>
  <c r="C319"/>
  <c r="IJ318"/>
  <c r="II318"/>
  <c r="IG318"/>
  <c r="HG318"/>
  <c r="HF318"/>
  <c r="HD318"/>
  <c r="GD318"/>
  <c r="GC318"/>
  <c r="GA318"/>
  <c r="FA318"/>
  <c r="EZ318"/>
  <c r="EX318"/>
  <c r="DX318"/>
  <c r="DW318"/>
  <c r="DU318"/>
  <c r="CU318"/>
  <c r="CT318"/>
  <c r="CR318"/>
  <c r="BR318"/>
  <c r="BQ318"/>
  <c r="BO318"/>
  <c r="AO318"/>
  <c r="AN318"/>
  <c r="AL318"/>
  <c r="L318"/>
  <c r="K318"/>
  <c r="I318"/>
  <c r="C318"/>
  <c r="II317"/>
  <c r="IF317"/>
  <c r="IE317"/>
  <c r="HF317"/>
  <c r="HC317"/>
  <c r="HB317"/>
  <c r="FZ317"/>
  <c r="FY317"/>
  <c r="EZ317"/>
  <c r="EW317"/>
  <c r="EV317"/>
  <c r="DW317"/>
  <c r="DT317"/>
  <c r="DS317"/>
  <c r="CT317"/>
  <c r="CP317"/>
  <c r="BQ317"/>
  <c r="BN317"/>
  <c r="BE317"/>
  <c r="AN317"/>
  <c r="AK317"/>
  <c r="AJ317"/>
  <c r="K317"/>
  <c r="H317"/>
  <c r="G317"/>
  <c r="C317"/>
  <c r="IG316"/>
  <c r="IF316"/>
  <c r="ID316"/>
  <c r="HD316"/>
  <c r="HC316"/>
  <c r="HA316"/>
  <c r="GA316"/>
  <c r="FZ316"/>
  <c r="FX316"/>
  <c r="EX316"/>
  <c r="EW316"/>
  <c r="EU316"/>
  <c r="DT316"/>
  <c r="DR316"/>
  <c r="CR316"/>
  <c r="CO316"/>
  <c r="BO316"/>
  <c r="BN316"/>
  <c r="BL316"/>
  <c r="BE316"/>
  <c r="AL316"/>
  <c r="AK316"/>
  <c r="I316"/>
  <c r="H316"/>
  <c r="F316"/>
  <c r="C316"/>
  <c r="IK315"/>
  <c r="IJ315"/>
  <c r="IG315"/>
  <c r="HH315"/>
  <c r="HG315"/>
  <c r="HD315"/>
  <c r="GE315"/>
  <c r="GD315"/>
  <c r="GA315"/>
  <c r="FB315"/>
  <c r="FA315"/>
  <c r="EX315"/>
  <c r="DY315"/>
  <c r="DX315"/>
  <c r="DU315"/>
  <c r="CV315"/>
  <c r="CU315"/>
  <c r="CR315"/>
  <c r="BS315"/>
  <c r="BR315"/>
  <c r="BO315"/>
  <c r="AP315"/>
  <c r="AO315"/>
  <c r="AL315"/>
  <c r="AB315"/>
  <c r="M315"/>
  <c r="L315"/>
  <c r="I315"/>
  <c r="C315"/>
  <c r="II314"/>
  <c r="IF314"/>
  <c r="IE314"/>
  <c r="HF314"/>
  <c r="HC314"/>
  <c r="HB314"/>
  <c r="FZ314"/>
  <c r="FY314"/>
  <c r="EZ314"/>
  <c r="EW314"/>
  <c r="EV314"/>
  <c r="DW314"/>
  <c r="DT314"/>
  <c r="DS314"/>
  <c r="CT314"/>
  <c r="CP314"/>
  <c r="BQ314"/>
  <c r="BN314"/>
  <c r="BE314"/>
  <c r="AN314"/>
  <c r="AK314"/>
  <c r="AJ314"/>
  <c r="K314"/>
  <c r="H314"/>
  <c r="G314"/>
  <c r="C314"/>
  <c r="IG313"/>
  <c r="IE313"/>
  <c r="HD313"/>
  <c r="HB313"/>
  <c r="GA313"/>
  <c r="FY313"/>
  <c r="EX313"/>
  <c r="EV313"/>
  <c r="DU313"/>
  <c r="DS313"/>
  <c r="CR313"/>
  <c r="CP313"/>
  <c r="BO313"/>
  <c r="BM313"/>
  <c r="AL313"/>
  <c r="AJ313"/>
  <c r="I313"/>
  <c r="G313"/>
  <c r="C313"/>
  <c r="IK312"/>
  <c r="IJ312"/>
  <c r="IG312"/>
  <c r="HH312"/>
  <c r="HG312"/>
  <c r="HD312"/>
  <c r="GE312"/>
  <c r="GD312"/>
  <c r="GA312"/>
  <c r="FB312"/>
  <c r="FA312"/>
  <c r="EX312"/>
  <c r="DY312"/>
  <c r="DX312"/>
  <c r="DU312"/>
  <c r="CV312"/>
  <c r="CU312"/>
  <c r="CR312"/>
  <c r="BS312"/>
  <c r="BR312"/>
  <c r="BO312"/>
  <c r="AP312"/>
  <c r="AO312"/>
  <c r="AL312"/>
  <c r="M312"/>
  <c r="L312"/>
  <c r="I312"/>
  <c r="C312"/>
  <c r="IG311"/>
  <c r="ID311"/>
  <c r="HD311"/>
  <c r="HA311"/>
  <c r="GA311"/>
  <c r="FX311"/>
  <c r="EX311"/>
  <c r="EU311"/>
  <c r="DR311"/>
  <c r="CR311"/>
  <c r="CO311"/>
  <c r="BO311"/>
  <c r="BL311"/>
  <c r="AL311"/>
  <c r="I311"/>
  <c r="F311"/>
  <c r="C311"/>
  <c r="IF310"/>
  <c r="IE310"/>
  <c r="ID310"/>
  <c r="HC310"/>
  <c r="HB310"/>
  <c r="HA310"/>
  <c r="FZ310"/>
  <c r="FY310"/>
  <c r="FX310"/>
  <c r="EW310"/>
  <c r="EV310"/>
  <c r="EU310"/>
  <c r="DT310"/>
  <c r="DS310"/>
  <c r="DR310"/>
  <c r="CP310"/>
  <c r="CO310"/>
  <c r="BN310"/>
  <c r="BL310"/>
  <c r="BE310"/>
  <c r="AK310"/>
  <c r="AJ310"/>
  <c r="H310"/>
  <c r="G310"/>
  <c r="F310"/>
  <c r="C310"/>
  <c r="II309"/>
  <c r="IG309"/>
  <c r="IE309"/>
  <c r="HF309"/>
  <c r="HD309"/>
  <c r="HB309"/>
  <c r="GA309"/>
  <c r="FY309"/>
  <c r="EZ309"/>
  <c r="EX309"/>
  <c r="EV309"/>
  <c r="DW309"/>
  <c r="DS309"/>
  <c r="CT309"/>
  <c r="CR309"/>
  <c r="CP309"/>
  <c r="BQ309"/>
  <c r="BO309"/>
  <c r="AN309"/>
  <c r="AL309"/>
  <c r="AJ309"/>
  <c r="K309"/>
  <c r="I309"/>
  <c r="G309"/>
  <c r="C309"/>
  <c r="IG308"/>
  <c r="IF308"/>
  <c r="IE308"/>
  <c r="HD308"/>
  <c r="HC308"/>
  <c r="HB308"/>
  <c r="GA308"/>
  <c r="FZ308"/>
  <c r="FY308"/>
  <c r="EX308"/>
  <c r="EW308"/>
  <c r="EV308"/>
  <c r="DT308"/>
  <c r="DS308"/>
  <c r="CR308"/>
  <c r="CP308"/>
  <c r="BO308"/>
  <c r="BN308"/>
  <c r="AL308"/>
  <c r="AK308"/>
  <c r="AJ308"/>
  <c r="I308"/>
  <c r="H308"/>
  <c r="G308"/>
  <c r="C308"/>
  <c r="IJ307"/>
  <c r="II307"/>
  <c r="IG307"/>
  <c r="HG307"/>
  <c r="HF307"/>
  <c r="HD307"/>
  <c r="GD307"/>
  <c r="GC307"/>
  <c r="GA307"/>
  <c r="FA307"/>
  <c r="EZ307"/>
  <c r="EX307"/>
  <c r="DX307"/>
  <c r="DW307"/>
  <c r="DU307"/>
  <c r="CU307"/>
  <c r="CT307"/>
  <c r="CR307"/>
  <c r="BR307"/>
  <c r="BQ307"/>
  <c r="BO307"/>
  <c r="AO307"/>
  <c r="AN307"/>
  <c r="AL307"/>
  <c r="L307"/>
  <c r="K307"/>
  <c r="I307"/>
  <c r="C307"/>
  <c r="II306"/>
  <c r="IF306"/>
  <c r="ID306"/>
  <c r="HF306"/>
  <c r="HC306"/>
  <c r="HA306"/>
  <c r="FZ306"/>
  <c r="FX306"/>
  <c r="EZ306"/>
  <c r="EW306"/>
  <c r="EU306"/>
  <c r="DW306"/>
  <c r="DT306"/>
  <c r="DR306"/>
  <c r="CT306"/>
  <c r="CO306"/>
  <c r="BQ306"/>
  <c r="BN306"/>
  <c r="BL306"/>
  <c r="AN306"/>
  <c r="AK306"/>
  <c r="K306"/>
  <c r="H306"/>
  <c r="F306"/>
  <c r="C306"/>
  <c r="IG305"/>
  <c r="IF305"/>
  <c r="HD305"/>
  <c r="HC305"/>
  <c r="GA305"/>
  <c r="FZ305"/>
  <c r="EX305"/>
  <c r="EW305"/>
  <c r="DT305"/>
  <c r="CR305"/>
  <c r="BO305"/>
  <c r="BN305"/>
  <c r="AL305"/>
  <c r="AK305"/>
  <c r="AB305"/>
  <c r="I305"/>
  <c r="H305"/>
  <c r="C305"/>
  <c r="IJ304"/>
  <c r="II304"/>
  <c r="IG304"/>
  <c r="HG304"/>
  <c r="HF304"/>
  <c r="HD304"/>
  <c r="GD304"/>
  <c r="GC304"/>
  <c r="GA304"/>
  <c r="FA304"/>
  <c r="EZ304"/>
  <c r="EX304"/>
  <c r="DX304"/>
  <c r="DW304"/>
  <c r="DU304"/>
  <c r="CU304"/>
  <c r="CT304"/>
  <c r="CR304"/>
  <c r="BR304"/>
  <c r="BQ304"/>
  <c r="BO304"/>
  <c r="AO304"/>
  <c r="AN304"/>
  <c r="AL304"/>
  <c r="L304"/>
  <c r="K304"/>
  <c r="I304"/>
  <c r="C304"/>
  <c r="IG303"/>
  <c r="IF303"/>
  <c r="HD303"/>
  <c r="HC303"/>
  <c r="GA303"/>
  <c r="FZ303"/>
  <c r="EX303"/>
  <c r="EW303"/>
  <c r="DT303"/>
  <c r="CR303"/>
  <c r="BO303"/>
  <c r="BN303"/>
  <c r="AL303"/>
  <c r="AK303"/>
  <c r="I303"/>
  <c r="H303"/>
  <c r="C303"/>
  <c r="IJ302"/>
  <c r="II302"/>
  <c r="IG302"/>
  <c r="HG302"/>
  <c r="HF302"/>
  <c r="HD302"/>
  <c r="GD302"/>
  <c r="GC302"/>
  <c r="GA302"/>
  <c r="FA302"/>
  <c r="EZ302"/>
  <c r="EX302"/>
  <c r="DX302"/>
  <c r="DW302"/>
  <c r="DU302"/>
  <c r="CU302"/>
  <c r="CT302"/>
  <c r="CR302"/>
  <c r="BR302"/>
  <c r="BQ302"/>
  <c r="BO302"/>
  <c r="AO302"/>
  <c r="AN302"/>
  <c r="AL302"/>
  <c r="L302"/>
  <c r="K302"/>
  <c r="I302"/>
  <c r="C302"/>
  <c r="IJ301"/>
  <c r="II301"/>
  <c r="IG301"/>
  <c r="HG301"/>
  <c r="HF301"/>
  <c r="HD301"/>
  <c r="GD301"/>
  <c r="GC301"/>
  <c r="GA301"/>
  <c r="FA301"/>
  <c r="EZ301"/>
  <c r="EX301"/>
  <c r="DX301"/>
  <c r="DW301"/>
  <c r="DU301"/>
  <c r="CU301"/>
  <c r="CT301"/>
  <c r="CR301"/>
  <c r="BR301"/>
  <c r="BQ301"/>
  <c r="BO301"/>
  <c r="AO301"/>
  <c r="AN301"/>
  <c r="AL301"/>
  <c r="L301"/>
  <c r="K301"/>
  <c r="I301"/>
  <c r="C301"/>
  <c r="II300"/>
  <c r="IF300"/>
  <c r="ID300"/>
  <c r="HF300"/>
  <c r="HC300"/>
  <c r="HA300"/>
  <c r="FZ300"/>
  <c r="FX300"/>
  <c r="EZ300"/>
  <c r="EW300"/>
  <c r="EU300"/>
  <c r="DW300"/>
  <c r="DT300"/>
  <c r="DR300"/>
  <c r="CT300"/>
  <c r="CO300"/>
  <c r="BQ300"/>
  <c r="BN300"/>
  <c r="BL300"/>
  <c r="AN300"/>
  <c r="AK300"/>
  <c r="K300"/>
  <c r="H300"/>
  <c r="F300"/>
  <c r="C300"/>
  <c r="II299"/>
  <c r="IG299"/>
  <c r="ID299"/>
  <c r="HF299"/>
  <c r="HD299"/>
  <c r="HA299"/>
  <c r="GA299"/>
  <c r="FX299"/>
  <c r="EZ299"/>
  <c r="EX299"/>
  <c r="EU299"/>
  <c r="DW299"/>
  <c r="DR299"/>
  <c r="CT299"/>
  <c r="CR299"/>
  <c r="CO299"/>
  <c r="BQ299"/>
  <c r="BO299"/>
  <c r="BL299"/>
  <c r="AN299"/>
  <c r="AL299"/>
  <c r="K299"/>
  <c r="I299"/>
  <c r="F299"/>
  <c r="C299"/>
  <c r="IJ298"/>
  <c r="II298"/>
  <c r="IG298"/>
  <c r="HG298"/>
  <c r="HF298"/>
  <c r="HD298"/>
  <c r="GD298"/>
  <c r="GC298"/>
  <c r="GA298"/>
  <c r="FA298"/>
  <c r="EZ298"/>
  <c r="EX298"/>
  <c r="DX298"/>
  <c r="DW298"/>
  <c r="DU298"/>
  <c r="CU298"/>
  <c r="CT298"/>
  <c r="CR298"/>
  <c r="BR298"/>
  <c r="BQ298"/>
  <c r="BO298"/>
  <c r="AO298"/>
  <c r="AN298"/>
  <c r="AL298"/>
  <c r="L298"/>
  <c r="K298"/>
  <c r="I298"/>
  <c r="C298"/>
  <c r="Y298" i="39" s="1"/>
  <c r="II296" i="77"/>
  <c r="IF296"/>
  <c r="ID296"/>
  <c r="HF296"/>
  <c r="HC296"/>
  <c r="HA296"/>
  <c r="FZ296"/>
  <c r="FX296"/>
  <c r="EZ296"/>
  <c r="EW296"/>
  <c r="EU296"/>
  <c r="DW296"/>
  <c r="DT296"/>
  <c r="DR296"/>
  <c r="CT296"/>
  <c r="CO296"/>
  <c r="BQ296"/>
  <c r="BN296"/>
  <c r="BL296"/>
  <c r="AN296"/>
  <c r="AK296"/>
  <c r="AB296"/>
  <c r="K296"/>
  <c r="H296"/>
  <c r="F296"/>
  <c r="C296"/>
  <c r="IH295"/>
  <c r="IF295"/>
  <c r="IE295"/>
  <c r="HE295"/>
  <c r="HC295"/>
  <c r="HB295"/>
  <c r="GB295"/>
  <c r="FZ295"/>
  <c r="FY295"/>
  <c r="EW295"/>
  <c r="EV295"/>
  <c r="DV295"/>
  <c r="DT295"/>
  <c r="DS295"/>
  <c r="CS295"/>
  <c r="CP295"/>
  <c r="BP295"/>
  <c r="BN295"/>
  <c r="AM295"/>
  <c r="AK295"/>
  <c r="AJ295"/>
  <c r="AB295"/>
  <c r="J295"/>
  <c r="H295"/>
  <c r="G295"/>
  <c r="C295"/>
  <c r="IG294"/>
  <c r="IF294"/>
  <c r="IE294"/>
  <c r="HD294"/>
  <c r="HC294"/>
  <c r="HB294"/>
  <c r="GA294"/>
  <c r="FZ294"/>
  <c r="FY294"/>
  <c r="EX294"/>
  <c r="EW294"/>
  <c r="EV294"/>
  <c r="DT294"/>
  <c r="DS294"/>
  <c r="CR294"/>
  <c r="CP294"/>
  <c r="BO294"/>
  <c r="BN294"/>
  <c r="AL294"/>
  <c r="AK294"/>
  <c r="AJ294"/>
  <c r="AB294"/>
  <c r="I294"/>
  <c r="H294"/>
  <c r="G294"/>
  <c r="C294"/>
  <c r="IH293"/>
  <c r="IG293"/>
  <c r="IE293"/>
  <c r="HE293"/>
  <c r="HD293"/>
  <c r="HB293"/>
  <c r="GB293"/>
  <c r="GA293"/>
  <c r="FY293"/>
  <c r="EX293"/>
  <c r="EV293"/>
  <c r="DV293"/>
  <c r="DS293"/>
  <c r="CS293"/>
  <c r="CR293"/>
  <c r="CP293"/>
  <c r="BP293"/>
  <c r="BO293"/>
  <c r="AM293"/>
  <c r="AL293"/>
  <c r="AJ293"/>
  <c r="AB293"/>
  <c r="J293"/>
  <c r="I293"/>
  <c r="G293"/>
  <c r="C293"/>
  <c r="IH292"/>
  <c r="IG292"/>
  <c r="IE292"/>
  <c r="HE292"/>
  <c r="HD292"/>
  <c r="HB292"/>
  <c r="GB292"/>
  <c r="GA292"/>
  <c r="FY292"/>
  <c r="EX292"/>
  <c r="EV292"/>
  <c r="DV292"/>
  <c r="DS292"/>
  <c r="CS292"/>
  <c r="CR292"/>
  <c r="CP292"/>
  <c r="BP292"/>
  <c r="BO292"/>
  <c r="AM292"/>
  <c r="AL292"/>
  <c r="AJ292"/>
  <c r="AB292"/>
  <c r="J292"/>
  <c r="I292"/>
  <c r="G292"/>
  <c r="C292"/>
  <c r="IG291"/>
  <c r="IF291"/>
  <c r="ID291"/>
  <c r="HD291"/>
  <c r="HC291"/>
  <c r="HA291"/>
  <c r="GA291"/>
  <c r="FZ291"/>
  <c r="FX291"/>
  <c r="EX291"/>
  <c r="EW291"/>
  <c r="EU291"/>
  <c r="DT291"/>
  <c r="DR291"/>
  <c r="CR291"/>
  <c r="CO291"/>
  <c r="BO291"/>
  <c r="BN291"/>
  <c r="BL291"/>
  <c r="BB291"/>
  <c r="CE291" s="1"/>
  <c r="AL291"/>
  <c r="AK291"/>
  <c r="AB291"/>
  <c r="I291"/>
  <c r="H291"/>
  <c r="F291"/>
  <c r="C291"/>
  <c r="II290"/>
  <c r="IG290"/>
  <c r="ID290"/>
  <c r="HF290"/>
  <c r="HD290"/>
  <c r="HA290"/>
  <c r="GA290"/>
  <c r="FX290"/>
  <c r="EZ290"/>
  <c r="EX290"/>
  <c r="EU290"/>
  <c r="DW290"/>
  <c r="DR290"/>
  <c r="CT290"/>
  <c r="CR290"/>
  <c r="CO290"/>
  <c r="BQ290"/>
  <c r="BO290"/>
  <c r="BL290"/>
  <c r="AN290"/>
  <c r="AL290"/>
  <c r="AB290"/>
  <c r="K290"/>
  <c r="I290"/>
  <c r="F290"/>
  <c r="C290"/>
  <c r="IE289"/>
  <c r="ID289"/>
  <c r="HH289"/>
  <c r="HB289"/>
  <c r="HA289"/>
  <c r="GE289"/>
  <c r="FY289"/>
  <c r="FX289"/>
  <c r="FB289"/>
  <c r="EV289"/>
  <c r="EU289"/>
  <c r="DY289"/>
  <c r="DS289"/>
  <c r="DR289"/>
  <c r="CV289"/>
  <c r="CP289"/>
  <c r="CO289"/>
  <c r="BS289"/>
  <c r="BL289"/>
  <c r="AP289"/>
  <c r="AJ289"/>
  <c r="AB289"/>
  <c r="M289"/>
  <c r="G289"/>
  <c r="F289"/>
  <c r="C289"/>
  <c r="IJ288"/>
  <c r="IH288"/>
  <c r="IE288"/>
  <c r="HE288"/>
  <c r="HB288"/>
  <c r="GD288"/>
  <c r="GB288"/>
  <c r="FY288"/>
  <c r="FA288"/>
  <c r="EV288"/>
  <c r="DX288"/>
  <c r="DV288"/>
  <c r="DS288"/>
  <c r="CU288"/>
  <c r="CS288"/>
  <c r="CP288"/>
  <c r="BR288"/>
  <c r="BP288"/>
  <c r="AO288"/>
  <c r="AM288"/>
  <c r="AJ288"/>
  <c r="AB288"/>
  <c r="L288"/>
  <c r="J288"/>
  <c r="G288"/>
  <c r="C288"/>
  <c r="IH287"/>
  <c r="IG287"/>
  <c r="IE287"/>
  <c r="HE287"/>
  <c r="HD287"/>
  <c r="HB287"/>
  <c r="GB287"/>
  <c r="GA287"/>
  <c r="FY287"/>
  <c r="EX287"/>
  <c r="EV287"/>
  <c r="DV287"/>
  <c r="DS287"/>
  <c r="CS287"/>
  <c r="CR287"/>
  <c r="CP287"/>
  <c r="BP287"/>
  <c r="BO287"/>
  <c r="AM287"/>
  <c r="AL287"/>
  <c r="AJ287"/>
  <c r="AB287"/>
  <c r="J287"/>
  <c r="I287"/>
  <c r="G287"/>
  <c r="C287"/>
  <c r="IF286"/>
  <c r="IE286"/>
  <c r="HC286"/>
  <c r="HB286"/>
  <c r="FZ286"/>
  <c r="FY286"/>
  <c r="EW286"/>
  <c r="EV286"/>
  <c r="DT286"/>
  <c r="DS286"/>
  <c r="CP286"/>
  <c r="BN286"/>
  <c r="AK286"/>
  <c r="AJ286"/>
  <c r="AB286"/>
  <c r="H286"/>
  <c r="G286"/>
  <c r="C286"/>
  <c r="IG285"/>
  <c r="IF285"/>
  <c r="IE285"/>
  <c r="HD285"/>
  <c r="HC285"/>
  <c r="HB285"/>
  <c r="GA285"/>
  <c r="FZ285"/>
  <c r="FY285"/>
  <c r="EX285"/>
  <c r="EW285"/>
  <c r="EV285"/>
  <c r="DT285"/>
  <c r="DS285"/>
  <c r="CR285"/>
  <c r="CP285"/>
  <c r="BO285"/>
  <c r="BN285"/>
  <c r="AL285"/>
  <c r="AK285"/>
  <c r="AJ285"/>
  <c r="AB285"/>
  <c r="I285"/>
  <c r="H285"/>
  <c r="G285"/>
  <c r="C285"/>
  <c r="IG284"/>
  <c r="IF284"/>
  <c r="ID284"/>
  <c r="HD284"/>
  <c r="HC284"/>
  <c r="HA284"/>
  <c r="GA284"/>
  <c r="FZ284"/>
  <c r="FX284"/>
  <c r="EX284"/>
  <c r="EW284"/>
  <c r="EU284"/>
  <c r="DT284"/>
  <c r="DR284"/>
  <c r="CR284"/>
  <c r="CO284"/>
  <c r="BO284"/>
  <c r="BN284"/>
  <c r="BL284"/>
  <c r="AL284"/>
  <c r="AK284"/>
  <c r="AB284"/>
  <c r="I284"/>
  <c r="H284"/>
  <c r="F284"/>
  <c r="C284"/>
  <c r="IJ283"/>
  <c r="IG283"/>
  <c r="IE283"/>
  <c r="HD283"/>
  <c r="HB283"/>
  <c r="GD283"/>
  <c r="GA283"/>
  <c r="FY283"/>
  <c r="FA283"/>
  <c r="EX283"/>
  <c r="EV283"/>
  <c r="DX283"/>
  <c r="DS283"/>
  <c r="CU283"/>
  <c r="CR283"/>
  <c r="CP283"/>
  <c r="BR283"/>
  <c r="BO283"/>
  <c r="AO283"/>
  <c r="AL283"/>
  <c r="AJ283"/>
  <c r="AB283"/>
  <c r="L283"/>
  <c r="I283"/>
  <c r="G283"/>
  <c r="C283"/>
  <c r="IH282"/>
  <c r="IG282"/>
  <c r="IF282"/>
  <c r="HE282"/>
  <c r="HD282"/>
  <c r="HC282"/>
  <c r="GB282"/>
  <c r="GA282"/>
  <c r="FZ282"/>
  <c r="EX282"/>
  <c r="EW282"/>
  <c r="DV282"/>
  <c r="DT282"/>
  <c r="CS282"/>
  <c r="CR282"/>
  <c r="BP282"/>
  <c r="BO282"/>
  <c r="BN282"/>
  <c r="AM282"/>
  <c r="AL282"/>
  <c r="AK282"/>
  <c r="AB282"/>
  <c r="J282"/>
  <c r="I282"/>
  <c r="H282"/>
  <c r="C282"/>
  <c r="IG281"/>
  <c r="IF281"/>
  <c r="IE281"/>
  <c r="HD281"/>
  <c r="HC281"/>
  <c r="HB281"/>
  <c r="GA281"/>
  <c r="FZ281"/>
  <c r="FY281"/>
  <c r="EX281"/>
  <c r="EW281"/>
  <c r="EV281"/>
  <c r="DT281"/>
  <c r="DS281"/>
  <c r="CR281"/>
  <c r="CP281"/>
  <c r="BO281"/>
  <c r="BN281"/>
  <c r="BB281"/>
  <c r="CE281" s="1"/>
  <c r="AL281"/>
  <c r="AK281"/>
  <c r="AJ281"/>
  <c r="AB281"/>
  <c r="I281"/>
  <c r="H281"/>
  <c r="G281"/>
  <c r="C281"/>
  <c r="II280"/>
  <c r="IG280"/>
  <c r="IF280"/>
  <c r="HF280"/>
  <c r="HD280"/>
  <c r="HC280"/>
  <c r="GA280"/>
  <c r="FZ280"/>
  <c r="EZ280"/>
  <c r="EX280"/>
  <c r="EW280"/>
  <c r="DW280"/>
  <c r="DT280"/>
  <c r="CT280"/>
  <c r="CR280"/>
  <c r="BQ280"/>
  <c r="BO280"/>
  <c r="BN280"/>
  <c r="AN280"/>
  <c r="AL280"/>
  <c r="AK280"/>
  <c r="AB280"/>
  <c r="K280"/>
  <c r="I280"/>
  <c r="H280"/>
  <c r="C280"/>
  <c r="IG279"/>
  <c r="IF279"/>
  <c r="IE279"/>
  <c r="HD279"/>
  <c r="HC279"/>
  <c r="HB279"/>
  <c r="GA279"/>
  <c r="FZ279"/>
  <c r="FY279"/>
  <c r="EX279"/>
  <c r="EW279"/>
  <c r="EV279"/>
  <c r="DT279"/>
  <c r="DS279"/>
  <c r="CR279"/>
  <c r="CP279"/>
  <c r="BO279"/>
  <c r="BN279"/>
  <c r="AL279"/>
  <c r="AK279"/>
  <c r="AJ279"/>
  <c r="AB279"/>
  <c r="I279"/>
  <c r="H279"/>
  <c r="G279"/>
  <c r="C279"/>
  <c r="II278"/>
  <c r="IF278"/>
  <c r="IE278"/>
  <c r="HF278"/>
  <c r="HC278"/>
  <c r="HB278"/>
  <c r="FZ278"/>
  <c r="FY278"/>
  <c r="EZ278"/>
  <c r="EW278"/>
  <c r="EV278"/>
  <c r="DW278"/>
  <c r="DT278"/>
  <c r="DS278"/>
  <c r="CT278"/>
  <c r="CP278"/>
  <c r="BQ278"/>
  <c r="BN278"/>
  <c r="AN278"/>
  <c r="AK278"/>
  <c r="AJ278"/>
  <c r="AB278"/>
  <c r="K278"/>
  <c r="H278"/>
  <c r="G278"/>
  <c r="C278"/>
  <c r="IJ277"/>
  <c r="IF277"/>
  <c r="ID277"/>
  <c r="HC277"/>
  <c r="HA277"/>
  <c r="GD277"/>
  <c r="FZ277"/>
  <c r="FX277"/>
  <c r="FA277"/>
  <c r="EW277"/>
  <c r="EU277"/>
  <c r="DX277"/>
  <c r="DT277"/>
  <c r="DR277"/>
  <c r="CU277"/>
  <c r="CO277"/>
  <c r="BR277"/>
  <c r="BN277"/>
  <c r="BL277"/>
  <c r="AO277"/>
  <c r="AK277"/>
  <c r="AB277"/>
  <c r="L277"/>
  <c r="H277"/>
  <c r="F277"/>
  <c r="C277"/>
  <c r="IH276"/>
  <c r="IF276"/>
  <c r="IE276"/>
  <c r="HE276"/>
  <c r="HC276"/>
  <c r="HB276"/>
  <c r="GB276"/>
  <c r="FZ276"/>
  <c r="FY276"/>
  <c r="EW276"/>
  <c r="EV276"/>
  <c r="DV276"/>
  <c r="DT276"/>
  <c r="DS276"/>
  <c r="CS276"/>
  <c r="CP276"/>
  <c r="BP276"/>
  <c r="BN276"/>
  <c r="AM276"/>
  <c r="AK276"/>
  <c r="AJ276"/>
  <c r="AB276"/>
  <c r="J276"/>
  <c r="H276"/>
  <c r="G276"/>
  <c r="C276"/>
  <c r="IH275"/>
  <c r="IG275"/>
  <c r="IF275"/>
  <c r="HE275"/>
  <c r="HD275"/>
  <c r="HC275"/>
  <c r="GB275"/>
  <c r="GA275"/>
  <c r="FZ275"/>
  <c r="EX275"/>
  <c r="EW275"/>
  <c r="DV275"/>
  <c r="DT275"/>
  <c r="CS275"/>
  <c r="CR275"/>
  <c r="BP275"/>
  <c r="BO275"/>
  <c r="BN275"/>
  <c r="AM275"/>
  <c r="AL275"/>
  <c r="AK275"/>
  <c r="AB275"/>
  <c r="J275"/>
  <c r="I275"/>
  <c r="H275"/>
  <c r="C275"/>
  <c r="IG274"/>
  <c r="IF274"/>
  <c r="IE274"/>
  <c r="HD274"/>
  <c r="HC274"/>
  <c r="HB274"/>
  <c r="GA274"/>
  <c r="FZ274"/>
  <c r="FY274"/>
  <c r="EX274"/>
  <c r="EW274"/>
  <c r="EV274"/>
  <c r="DT274"/>
  <c r="DS274"/>
  <c r="CR274"/>
  <c r="CP274"/>
  <c r="BO274"/>
  <c r="BN274"/>
  <c r="AL274"/>
  <c r="AK274"/>
  <c r="AJ274"/>
  <c r="AB274"/>
  <c r="I274"/>
  <c r="H274"/>
  <c r="G274"/>
  <c r="C274"/>
  <c r="IG273"/>
  <c r="IF273"/>
  <c r="IE273"/>
  <c r="HD273"/>
  <c r="HC273"/>
  <c r="HB273"/>
  <c r="GA273"/>
  <c r="FZ273"/>
  <c r="FY273"/>
  <c r="EX273"/>
  <c r="EW273"/>
  <c r="EV273"/>
  <c r="DT273"/>
  <c r="DS273"/>
  <c r="CR273"/>
  <c r="CP273"/>
  <c r="BO273"/>
  <c r="BN273"/>
  <c r="AL273"/>
  <c r="AK273"/>
  <c r="AJ273"/>
  <c r="AB273"/>
  <c r="I273"/>
  <c r="H273"/>
  <c r="G273"/>
  <c r="C273"/>
  <c r="IH272"/>
  <c r="IF272"/>
  <c r="IE272"/>
  <c r="HE272"/>
  <c r="HC272"/>
  <c r="HB272"/>
  <c r="GB272"/>
  <c r="FZ272"/>
  <c r="FY272"/>
  <c r="EW272"/>
  <c r="EV272"/>
  <c r="DV272"/>
  <c r="DT272"/>
  <c r="DS272"/>
  <c r="CS272"/>
  <c r="CP272"/>
  <c r="BP272"/>
  <c r="BN272"/>
  <c r="AM272"/>
  <c r="AK272"/>
  <c r="AJ272"/>
  <c r="AB272"/>
  <c r="J272"/>
  <c r="H272"/>
  <c r="G272"/>
  <c r="C272"/>
  <c r="II271"/>
  <c r="IG271"/>
  <c r="IF271"/>
  <c r="HF271"/>
  <c r="HD271"/>
  <c r="HC271"/>
  <c r="GA271"/>
  <c r="FZ271"/>
  <c r="EZ271"/>
  <c r="EX271"/>
  <c r="EW271"/>
  <c r="DW271"/>
  <c r="DT271"/>
  <c r="CT271"/>
  <c r="CR271"/>
  <c r="BQ271"/>
  <c r="BO271"/>
  <c r="BN271"/>
  <c r="BB271"/>
  <c r="CE271" s="1"/>
  <c r="AN271"/>
  <c r="AL271"/>
  <c r="AK271"/>
  <c r="AB271"/>
  <c r="K271"/>
  <c r="I271"/>
  <c r="H271"/>
  <c r="C271"/>
  <c r="IG270"/>
  <c r="IF270"/>
  <c r="IE270"/>
  <c r="HD270"/>
  <c r="HC270"/>
  <c r="HB270"/>
  <c r="GA270"/>
  <c r="FZ270"/>
  <c r="FY270"/>
  <c r="EX270"/>
  <c r="EW270"/>
  <c r="EV270"/>
  <c r="DT270"/>
  <c r="DS270"/>
  <c r="CR270"/>
  <c r="CP270"/>
  <c r="BO270"/>
  <c r="BN270"/>
  <c r="AL270"/>
  <c r="AK270"/>
  <c r="AJ270"/>
  <c r="AB270"/>
  <c r="I270"/>
  <c r="H270"/>
  <c r="G270"/>
  <c r="C270"/>
  <c r="IG269"/>
  <c r="IF269"/>
  <c r="IE269"/>
  <c r="HD269"/>
  <c r="HC269"/>
  <c r="HB269"/>
  <c r="GA269"/>
  <c r="FZ269"/>
  <c r="FY269"/>
  <c r="EX269"/>
  <c r="EW269"/>
  <c r="EV269"/>
  <c r="DT269"/>
  <c r="DS269"/>
  <c r="CR269"/>
  <c r="CP269"/>
  <c r="BO269"/>
  <c r="BN269"/>
  <c r="AL269"/>
  <c r="AK269"/>
  <c r="AJ269"/>
  <c r="AB269"/>
  <c r="I269"/>
  <c r="H269"/>
  <c r="G269"/>
  <c r="C269"/>
  <c r="IG268"/>
  <c r="IF268"/>
  <c r="IE268"/>
  <c r="HD268"/>
  <c r="HC268"/>
  <c r="HB268"/>
  <c r="GA268"/>
  <c r="FZ268"/>
  <c r="FY268"/>
  <c r="EX268"/>
  <c r="EW268"/>
  <c r="EV268"/>
  <c r="DT268"/>
  <c r="DS268"/>
  <c r="CR268"/>
  <c r="CP268"/>
  <c r="BO268"/>
  <c r="BN268"/>
  <c r="AL268"/>
  <c r="AK268"/>
  <c r="AJ268"/>
  <c r="AB268"/>
  <c r="I268"/>
  <c r="H268"/>
  <c r="G268"/>
  <c r="C268"/>
  <c r="IH267"/>
  <c r="IG267"/>
  <c r="IF267"/>
  <c r="HE267"/>
  <c r="HD267"/>
  <c r="HC267"/>
  <c r="GB267"/>
  <c r="GA267"/>
  <c r="FZ267"/>
  <c r="EX267"/>
  <c r="EW267"/>
  <c r="DV267"/>
  <c r="DT267"/>
  <c r="CS267"/>
  <c r="CR267"/>
  <c r="BP267"/>
  <c r="BO267"/>
  <c r="BN267"/>
  <c r="AM267"/>
  <c r="AL267"/>
  <c r="AK267"/>
  <c r="AB267"/>
  <c r="J267"/>
  <c r="I267"/>
  <c r="H267"/>
  <c r="C267"/>
  <c r="IF266"/>
  <c r="IE266"/>
  <c r="HH266"/>
  <c r="HC266"/>
  <c r="HB266"/>
  <c r="GE266"/>
  <c r="FZ266"/>
  <c r="FY266"/>
  <c r="FB266"/>
  <c r="EW266"/>
  <c r="EV266"/>
  <c r="DY266"/>
  <c r="DT266"/>
  <c r="DS266"/>
  <c r="CV266"/>
  <c r="CP266"/>
  <c r="BS266"/>
  <c r="BN266"/>
  <c r="AP266"/>
  <c r="AK266"/>
  <c r="AJ266"/>
  <c r="AB266"/>
  <c r="M266"/>
  <c r="H266"/>
  <c r="G266"/>
  <c r="C266"/>
  <c r="IH265"/>
  <c r="IF265"/>
  <c r="IE265"/>
  <c r="HE265"/>
  <c r="HC265"/>
  <c r="HB265"/>
  <c r="GB265"/>
  <c r="FZ265"/>
  <c r="FY265"/>
  <c r="EW265"/>
  <c r="EV265"/>
  <c r="DV265"/>
  <c r="DT265"/>
  <c r="DS265"/>
  <c r="CS265"/>
  <c r="CP265"/>
  <c r="BP265"/>
  <c r="BN265"/>
  <c r="AM265"/>
  <c r="AK265"/>
  <c r="AJ265"/>
  <c r="AB265"/>
  <c r="J265"/>
  <c r="H265"/>
  <c r="G265"/>
  <c r="C265"/>
  <c r="IG264"/>
  <c r="IF264"/>
  <c r="IE264"/>
  <c r="HD264"/>
  <c r="HC264"/>
  <c r="HB264"/>
  <c r="GA264"/>
  <c r="FZ264"/>
  <c r="FY264"/>
  <c r="EX264"/>
  <c r="EW264"/>
  <c r="EV264"/>
  <c r="DT264"/>
  <c r="DS264"/>
  <c r="CR264"/>
  <c r="CP264"/>
  <c r="BO264"/>
  <c r="BN264"/>
  <c r="AL264"/>
  <c r="AK264"/>
  <c r="AJ264"/>
  <c r="AB264"/>
  <c r="I264"/>
  <c r="H264"/>
  <c r="G264"/>
  <c r="C264"/>
  <c r="IG263"/>
  <c r="IF263"/>
  <c r="IE263"/>
  <c r="HD263"/>
  <c r="HC263"/>
  <c r="HB263"/>
  <c r="GA263"/>
  <c r="FZ263"/>
  <c r="FY263"/>
  <c r="EX263"/>
  <c r="EW263"/>
  <c r="EV263"/>
  <c r="DT263"/>
  <c r="DS263"/>
  <c r="CR263"/>
  <c r="CP263"/>
  <c r="BO263"/>
  <c r="BN263"/>
  <c r="AL263"/>
  <c r="AK263"/>
  <c r="AJ263"/>
  <c r="AB263"/>
  <c r="I263"/>
  <c r="H263"/>
  <c r="G263"/>
  <c r="C263"/>
  <c r="IJ262"/>
  <c r="IG262"/>
  <c r="ID262"/>
  <c r="HD262"/>
  <c r="HA262"/>
  <c r="GD262"/>
  <c r="GA262"/>
  <c r="FX262"/>
  <c r="FA262"/>
  <c r="EX262"/>
  <c r="EU262"/>
  <c r="DX262"/>
  <c r="DR262"/>
  <c r="CU262"/>
  <c r="CR262"/>
  <c r="CO262"/>
  <c r="BR262"/>
  <c r="BO262"/>
  <c r="BL262"/>
  <c r="AO262"/>
  <c r="AL262"/>
  <c r="AB262"/>
  <c r="L262"/>
  <c r="I262"/>
  <c r="F262"/>
  <c r="C262"/>
  <c r="II261"/>
  <c r="IG261"/>
  <c r="ID261"/>
  <c r="HF261"/>
  <c r="HD261"/>
  <c r="HA261"/>
  <c r="GA261"/>
  <c r="FX261"/>
  <c r="EZ261"/>
  <c r="EX261"/>
  <c r="EU261"/>
  <c r="DW261"/>
  <c r="DR261"/>
  <c r="CT261"/>
  <c r="CR261"/>
  <c r="CO261"/>
  <c r="BQ261"/>
  <c r="BO261"/>
  <c r="BL261"/>
  <c r="BB261"/>
  <c r="BE261" s="1"/>
  <c r="AN261"/>
  <c r="AL261"/>
  <c r="AB261"/>
  <c r="K261"/>
  <c r="I261"/>
  <c r="F261"/>
  <c r="C261"/>
  <c r="Y264" i="39" s="1"/>
  <c r="IF259" i="77"/>
  <c r="ID259"/>
  <c r="HH259"/>
  <c r="HC259"/>
  <c r="HA259"/>
  <c r="GE259"/>
  <c r="FZ259"/>
  <c r="FX259"/>
  <c r="FB259"/>
  <c r="EW259"/>
  <c r="EU259"/>
  <c r="DY259"/>
  <c r="DT259"/>
  <c r="DR259"/>
  <c r="CV259"/>
  <c r="CO259"/>
  <c r="BS259"/>
  <c r="BN259"/>
  <c r="BL259"/>
  <c r="AP259"/>
  <c r="AK259"/>
  <c r="AB259"/>
  <c r="M259"/>
  <c r="H259"/>
  <c r="F259"/>
  <c r="C259"/>
  <c r="IG257"/>
  <c r="IF257"/>
  <c r="IE257"/>
  <c r="HD257"/>
  <c r="HC257"/>
  <c r="HB257"/>
  <c r="GA257"/>
  <c r="FZ257"/>
  <c r="FY257"/>
  <c r="EX257"/>
  <c r="EW257"/>
  <c r="EV257"/>
  <c r="DT257"/>
  <c r="DS257"/>
  <c r="CR257"/>
  <c r="CP257"/>
  <c r="BO257"/>
  <c r="BN257"/>
  <c r="AL257"/>
  <c r="AK257"/>
  <c r="AJ257"/>
  <c r="AB257"/>
  <c r="I257"/>
  <c r="H257"/>
  <c r="G257"/>
  <c r="C257"/>
  <c r="IJ256"/>
  <c r="IH256"/>
  <c r="IF256"/>
  <c r="HE256"/>
  <c r="HC256"/>
  <c r="GD256"/>
  <c r="GB256"/>
  <c r="FZ256"/>
  <c r="FA256"/>
  <c r="EW256"/>
  <c r="DX256"/>
  <c r="DV256"/>
  <c r="DT256"/>
  <c r="CU256"/>
  <c r="CS256"/>
  <c r="BR256"/>
  <c r="BP256"/>
  <c r="BN256"/>
  <c r="AO256"/>
  <c r="AM256"/>
  <c r="AK256"/>
  <c r="AB256"/>
  <c r="L256"/>
  <c r="J256"/>
  <c r="H256"/>
  <c r="C256"/>
  <c r="IG255"/>
  <c r="ID255"/>
  <c r="HD255"/>
  <c r="HA255"/>
  <c r="GA255"/>
  <c r="FX255"/>
  <c r="EX255"/>
  <c r="EU255"/>
  <c r="DR255"/>
  <c r="CR255"/>
  <c r="CO255"/>
  <c r="BO255"/>
  <c r="BL255"/>
  <c r="AL255"/>
  <c r="AB255"/>
  <c r="I255"/>
  <c r="F255"/>
  <c r="C255"/>
  <c r="IH254"/>
  <c r="IG254"/>
  <c r="IE254"/>
  <c r="HE254"/>
  <c r="HD254"/>
  <c r="HB254"/>
  <c r="GB254"/>
  <c r="GA254"/>
  <c r="FY254"/>
  <c r="EX254"/>
  <c r="EV254"/>
  <c r="DV254"/>
  <c r="DS254"/>
  <c r="CS254"/>
  <c r="CR254"/>
  <c r="CP254"/>
  <c r="BP254"/>
  <c r="BO254"/>
  <c r="AM254"/>
  <c r="AL254"/>
  <c r="AJ254"/>
  <c r="AB254"/>
  <c r="J254"/>
  <c r="I254"/>
  <c r="G254"/>
  <c r="C254"/>
  <c r="IJ253"/>
  <c r="IH253"/>
  <c r="IF253"/>
  <c r="HE253"/>
  <c r="HC253"/>
  <c r="GD253"/>
  <c r="GB253"/>
  <c r="FZ253"/>
  <c r="FA253"/>
  <c r="EW253"/>
  <c r="DX253"/>
  <c r="DV253"/>
  <c r="DT253"/>
  <c r="CU253"/>
  <c r="CS253"/>
  <c r="BR253"/>
  <c r="BP253"/>
  <c r="BN253"/>
  <c r="AO253"/>
  <c r="AM253"/>
  <c r="AK253"/>
  <c r="AB253"/>
  <c r="L253"/>
  <c r="J253"/>
  <c r="H253"/>
  <c r="C253"/>
  <c r="IG252"/>
  <c r="IF252"/>
  <c r="ID252"/>
  <c r="HD252"/>
  <c r="HC252"/>
  <c r="HA252"/>
  <c r="GA252"/>
  <c r="FZ252"/>
  <c r="FX252"/>
  <c r="EX252"/>
  <c r="EW252"/>
  <c r="EU252"/>
  <c r="DT252"/>
  <c r="DR252"/>
  <c r="CR252"/>
  <c r="CO252"/>
  <c r="BO252"/>
  <c r="BN252"/>
  <c r="BL252"/>
  <c r="AL252"/>
  <c r="AK252"/>
  <c r="AB252"/>
  <c r="I252"/>
  <c r="H252"/>
  <c r="F252"/>
  <c r="C252"/>
  <c r="IJ251"/>
  <c r="IF251"/>
  <c r="IE251"/>
  <c r="HC251"/>
  <c r="HB251"/>
  <c r="GD251"/>
  <c r="FZ251"/>
  <c r="FY251"/>
  <c r="FA251"/>
  <c r="EW251"/>
  <c r="EV251"/>
  <c r="DX251"/>
  <c r="DT251"/>
  <c r="DS251"/>
  <c r="CU251"/>
  <c r="CP251"/>
  <c r="BR251"/>
  <c r="BN251"/>
  <c r="BB251"/>
  <c r="BE251" s="1"/>
  <c r="AO251"/>
  <c r="AK251"/>
  <c r="AJ251"/>
  <c r="AB251"/>
  <c r="L251"/>
  <c r="H251"/>
  <c r="G251"/>
  <c r="C251"/>
  <c r="IJ250"/>
  <c r="IG250"/>
  <c r="ID250"/>
  <c r="HD250"/>
  <c r="HA250"/>
  <c r="GD250"/>
  <c r="GA250"/>
  <c r="FX250"/>
  <c r="FA250"/>
  <c r="EX250"/>
  <c r="EU250"/>
  <c r="DX250"/>
  <c r="DR250"/>
  <c r="CU250"/>
  <c r="CR250"/>
  <c r="CO250"/>
  <c r="BR250"/>
  <c r="BO250"/>
  <c r="BL250"/>
  <c r="AO250"/>
  <c r="AL250"/>
  <c r="AB250"/>
  <c r="L250"/>
  <c r="I250"/>
  <c r="F250"/>
  <c r="C250"/>
  <c r="IG249"/>
  <c r="ID249"/>
  <c r="HD249"/>
  <c r="HA249"/>
  <c r="GA249"/>
  <c r="FX249"/>
  <c r="EX249"/>
  <c r="EU249"/>
  <c r="DR249"/>
  <c r="CR249"/>
  <c r="CO249"/>
  <c r="BO249"/>
  <c r="BL249"/>
  <c r="AL249"/>
  <c r="AB249"/>
  <c r="I249"/>
  <c r="F249"/>
  <c r="C249"/>
  <c r="IG248"/>
  <c r="IF248"/>
  <c r="IE248"/>
  <c r="HD248"/>
  <c r="HC248"/>
  <c r="HB248"/>
  <c r="GA248"/>
  <c r="FZ248"/>
  <c r="FY248"/>
  <c r="EX248"/>
  <c r="EW248"/>
  <c r="EV248"/>
  <c r="DT248"/>
  <c r="DS248"/>
  <c r="CR248"/>
  <c r="CP248"/>
  <c r="BO248"/>
  <c r="BN248"/>
  <c r="AL248"/>
  <c r="AK248"/>
  <c r="AJ248"/>
  <c r="AB248"/>
  <c r="I248"/>
  <c r="H248"/>
  <c r="G248"/>
  <c r="C248"/>
  <c r="IJ247"/>
  <c r="IF247"/>
  <c r="IE247"/>
  <c r="HC247"/>
  <c r="HB247"/>
  <c r="GD247"/>
  <c r="FZ247"/>
  <c r="FY247"/>
  <c r="FA247"/>
  <c r="EW247"/>
  <c r="EV247"/>
  <c r="DX247"/>
  <c r="DT247"/>
  <c r="DS247"/>
  <c r="CU247"/>
  <c r="CP247"/>
  <c r="BR247"/>
  <c r="BN247"/>
  <c r="AO247"/>
  <c r="AK247"/>
  <c r="AJ247"/>
  <c r="AB247"/>
  <c r="L247"/>
  <c r="H247"/>
  <c r="G247"/>
  <c r="C247"/>
  <c r="IG246"/>
  <c r="IF246"/>
  <c r="ID246"/>
  <c r="HD246"/>
  <c r="HC246"/>
  <c r="HA246"/>
  <c r="GA246"/>
  <c r="FZ246"/>
  <c r="FX246"/>
  <c r="EX246"/>
  <c r="EW246"/>
  <c r="EU246"/>
  <c r="DT246"/>
  <c r="DR246"/>
  <c r="CR246"/>
  <c r="CO246"/>
  <c r="BO246"/>
  <c r="BN246"/>
  <c r="BL246"/>
  <c r="AL246"/>
  <c r="AK246"/>
  <c r="AB246"/>
  <c r="I246"/>
  <c r="H246"/>
  <c r="F246"/>
  <c r="C246"/>
  <c r="IH245"/>
  <c r="IE245"/>
  <c r="HH245"/>
  <c r="HE245"/>
  <c r="HB245"/>
  <c r="GE245"/>
  <c r="GB245"/>
  <c r="FY245"/>
  <c r="FB245"/>
  <c r="EV245"/>
  <c r="DY245"/>
  <c r="DV245"/>
  <c r="DS245"/>
  <c r="CV245"/>
  <c r="CS245"/>
  <c r="CP245"/>
  <c r="BS245"/>
  <c r="BP245"/>
  <c r="AP245"/>
  <c r="AM245"/>
  <c r="AJ245"/>
  <c r="AB245"/>
  <c r="M245"/>
  <c r="J245"/>
  <c r="G245"/>
  <c r="C245"/>
  <c r="II244"/>
  <c r="IG244"/>
  <c r="ID244"/>
  <c r="HF244"/>
  <c r="HD244"/>
  <c r="HA244"/>
  <c r="GA244"/>
  <c r="FX244"/>
  <c r="EZ244"/>
  <c r="EX244"/>
  <c r="EU244"/>
  <c r="DW244"/>
  <c r="DR244"/>
  <c r="CT244"/>
  <c r="CR244"/>
  <c r="CO244"/>
  <c r="BQ244"/>
  <c r="BO244"/>
  <c r="BL244"/>
  <c r="AN244"/>
  <c r="AL244"/>
  <c r="AB244"/>
  <c r="K244"/>
  <c r="I244"/>
  <c r="F244"/>
  <c r="C244"/>
  <c r="IG243"/>
  <c r="IE243"/>
  <c r="ID243"/>
  <c r="HD243"/>
  <c r="HB243"/>
  <c r="HA243"/>
  <c r="GA243"/>
  <c r="FY243"/>
  <c r="FX243"/>
  <c r="EX243"/>
  <c r="EV243"/>
  <c r="EU243"/>
  <c r="DS243"/>
  <c r="DR243"/>
  <c r="CR243"/>
  <c r="CP243"/>
  <c r="CO243"/>
  <c r="BO243"/>
  <c r="BL243"/>
  <c r="AL243"/>
  <c r="AJ243"/>
  <c r="AB243"/>
  <c r="I243"/>
  <c r="G243"/>
  <c r="F243"/>
  <c r="C243"/>
  <c r="IG242"/>
  <c r="IF242"/>
  <c r="IE242"/>
  <c r="HD242"/>
  <c r="HC242"/>
  <c r="HB242"/>
  <c r="GA242"/>
  <c r="FZ242"/>
  <c r="FY242"/>
  <c r="EX242"/>
  <c r="EW242"/>
  <c r="EV242"/>
  <c r="DT242"/>
  <c r="DS242"/>
  <c r="CR242"/>
  <c r="CP242"/>
  <c r="BO242"/>
  <c r="BN242"/>
  <c r="AL242"/>
  <c r="AK242"/>
  <c r="AJ242"/>
  <c r="AB242"/>
  <c r="I242"/>
  <c r="H242"/>
  <c r="G242"/>
  <c r="C242"/>
  <c r="IG241"/>
  <c r="IE241"/>
  <c r="ID241"/>
  <c r="HD241"/>
  <c r="HB241"/>
  <c r="HA241"/>
  <c r="GA241"/>
  <c r="FY241"/>
  <c r="FX241"/>
  <c r="EX241"/>
  <c r="EV241"/>
  <c r="EU241"/>
  <c r="DS241"/>
  <c r="DR241"/>
  <c r="CR241"/>
  <c r="CP241"/>
  <c r="CO241"/>
  <c r="BO241"/>
  <c r="BL241"/>
  <c r="BB241"/>
  <c r="CE241" s="1"/>
  <c r="AL241"/>
  <c r="AJ241"/>
  <c r="AB241"/>
  <c r="I241"/>
  <c r="G241"/>
  <c r="F241"/>
  <c r="C241"/>
  <c r="IJ240"/>
  <c r="IG240"/>
  <c r="IF240"/>
  <c r="HD240"/>
  <c r="HC240"/>
  <c r="GD240"/>
  <c r="GA240"/>
  <c r="FZ240"/>
  <c r="FA240"/>
  <c r="EX240"/>
  <c r="EW240"/>
  <c r="DX240"/>
  <c r="DT240"/>
  <c r="CU240"/>
  <c r="CR240"/>
  <c r="BR240"/>
  <c r="BO240"/>
  <c r="BN240"/>
  <c r="AO240"/>
  <c r="AL240"/>
  <c r="AK240"/>
  <c r="AB240"/>
  <c r="L240"/>
  <c r="I240"/>
  <c r="H240"/>
  <c r="C240"/>
  <c r="IJ239"/>
  <c r="IF239"/>
  <c r="IE239"/>
  <c r="HC239"/>
  <c r="HB239"/>
  <c r="GD239"/>
  <c r="FZ239"/>
  <c r="FY239"/>
  <c r="FA239"/>
  <c r="EW239"/>
  <c r="EV239"/>
  <c r="DX239"/>
  <c r="DT239"/>
  <c r="DS239"/>
  <c r="CU239"/>
  <c r="CP239"/>
  <c r="BR239"/>
  <c r="BN239"/>
  <c r="AO239"/>
  <c r="AK239"/>
  <c r="AJ239"/>
  <c r="AB239"/>
  <c r="L239"/>
  <c r="H239"/>
  <c r="G239"/>
  <c r="C239"/>
  <c r="IJ238"/>
  <c r="IF238"/>
  <c r="IE238"/>
  <c r="HC238"/>
  <c r="HB238"/>
  <c r="GD238"/>
  <c r="FZ238"/>
  <c r="FY238"/>
  <c r="FA238"/>
  <c r="EW238"/>
  <c r="EV238"/>
  <c r="DX238"/>
  <c r="DT238"/>
  <c r="DS238"/>
  <c r="CU238"/>
  <c r="CP238"/>
  <c r="BR238"/>
  <c r="BN238"/>
  <c r="AO238"/>
  <c r="AK238"/>
  <c r="AJ238"/>
  <c r="AB238"/>
  <c r="L238"/>
  <c r="H238"/>
  <c r="G238"/>
  <c r="C238"/>
  <c r="IJ237"/>
  <c r="IG237"/>
  <c r="ID237"/>
  <c r="HD237"/>
  <c r="HA237"/>
  <c r="GD237"/>
  <c r="GA237"/>
  <c r="FX237"/>
  <c r="FA237"/>
  <c r="EX237"/>
  <c r="EU237"/>
  <c r="DX237"/>
  <c r="DR237"/>
  <c r="CU237"/>
  <c r="CR237"/>
  <c r="CO237"/>
  <c r="BR237"/>
  <c r="BO237"/>
  <c r="BL237"/>
  <c r="AO237"/>
  <c r="AL237"/>
  <c r="AB237"/>
  <c r="L237"/>
  <c r="I237"/>
  <c r="F237"/>
  <c r="C237"/>
  <c r="IJ236"/>
  <c r="IH236"/>
  <c r="IF236"/>
  <c r="HE236"/>
  <c r="HC236"/>
  <c r="GD236"/>
  <c r="GB236"/>
  <c r="FZ236"/>
  <c r="FA236"/>
  <c r="EW236"/>
  <c r="DX236"/>
  <c r="DV236"/>
  <c r="DT236"/>
  <c r="CU236"/>
  <c r="CS236"/>
  <c r="BR236"/>
  <c r="BP236"/>
  <c r="BN236"/>
  <c r="AO236"/>
  <c r="AM236"/>
  <c r="AK236"/>
  <c r="AB236"/>
  <c r="L236"/>
  <c r="J236"/>
  <c r="H236"/>
  <c r="C236"/>
  <c r="IJ235"/>
  <c r="IF235"/>
  <c r="IE235"/>
  <c r="HC235"/>
  <c r="HB235"/>
  <c r="GD235"/>
  <c r="FZ235"/>
  <c r="FY235"/>
  <c r="FA235"/>
  <c r="EW235"/>
  <c r="EV235"/>
  <c r="DX235"/>
  <c r="DT235"/>
  <c r="DS235"/>
  <c r="CU235"/>
  <c r="CP235"/>
  <c r="BR235"/>
  <c r="BN235"/>
  <c r="AO235"/>
  <c r="AK235"/>
  <c r="AJ235"/>
  <c r="AB235"/>
  <c r="L235"/>
  <c r="H235"/>
  <c r="G235"/>
  <c r="C235"/>
  <c r="IG234"/>
  <c r="IF234"/>
  <c r="ID234"/>
  <c r="HD234"/>
  <c r="HC234"/>
  <c r="HA234"/>
  <c r="GA234"/>
  <c r="FZ234"/>
  <c r="FX234"/>
  <c r="EX234"/>
  <c r="EW234"/>
  <c r="EU234"/>
  <c r="DT234"/>
  <c r="DR234"/>
  <c r="CR234"/>
  <c r="CO234"/>
  <c r="BO234"/>
  <c r="BN234"/>
  <c r="BL234"/>
  <c r="AL234"/>
  <c r="AK234"/>
  <c r="AB234"/>
  <c r="I234"/>
  <c r="H234"/>
  <c r="F234"/>
  <c r="C234"/>
  <c r="IH233"/>
  <c r="IE233"/>
  <c r="HH233"/>
  <c r="HE233"/>
  <c r="HB233"/>
  <c r="GE233"/>
  <c r="GB233"/>
  <c r="FY233"/>
  <c r="FB233"/>
  <c r="EV233"/>
  <c r="DY233"/>
  <c r="DV233"/>
  <c r="DS233"/>
  <c r="CV233"/>
  <c r="CS233"/>
  <c r="CP233"/>
  <c r="BS233"/>
  <c r="BP233"/>
  <c r="AP233"/>
  <c r="AM233"/>
  <c r="AJ233"/>
  <c r="AB233"/>
  <c r="M233"/>
  <c r="J233"/>
  <c r="G233"/>
  <c r="C233"/>
  <c r="IJ232"/>
  <c r="IF232"/>
  <c r="IE232"/>
  <c r="HC232"/>
  <c r="HB232"/>
  <c r="GD232"/>
  <c r="FZ232"/>
  <c r="FY232"/>
  <c r="FA232"/>
  <c r="EW232"/>
  <c r="EV232"/>
  <c r="DX232"/>
  <c r="DT232"/>
  <c r="DS232"/>
  <c r="CU232"/>
  <c r="CP232"/>
  <c r="BR232"/>
  <c r="BN232"/>
  <c r="AO232"/>
  <c r="AK232"/>
  <c r="AJ232"/>
  <c r="AB232"/>
  <c r="L232"/>
  <c r="H232"/>
  <c r="G232"/>
  <c r="C232"/>
  <c r="IG231"/>
  <c r="ID231"/>
  <c r="HH231"/>
  <c r="HD231"/>
  <c r="HA231"/>
  <c r="GE231"/>
  <c r="GA231"/>
  <c r="FX231"/>
  <c r="FB231"/>
  <c r="EX231"/>
  <c r="EU231"/>
  <c r="DY231"/>
  <c r="DR231"/>
  <c r="CV231"/>
  <c r="CR231"/>
  <c r="CO231"/>
  <c r="BS231"/>
  <c r="BO231"/>
  <c r="BL231"/>
  <c r="BB231"/>
  <c r="BE231" s="1"/>
  <c r="AP231"/>
  <c r="AL231"/>
  <c r="AB231"/>
  <c r="M231"/>
  <c r="I231"/>
  <c r="F231"/>
  <c r="C231"/>
  <c r="IG230"/>
  <c r="IF230"/>
  <c r="IE230"/>
  <c r="HD230"/>
  <c r="HC230"/>
  <c r="HB230"/>
  <c r="GA230"/>
  <c r="FZ230"/>
  <c r="FY230"/>
  <c r="EX230"/>
  <c r="EW230"/>
  <c r="EV230"/>
  <c r="DT230"/>
  <c r="DS230"/>
  <c r="CR230"/>
  <c r="CP230"/>
  <c r="BO230"/>
  <c r="BN230"/>
  <c r="AL230"/>
  <c r="AK230"/>
  <c r="AJ230"/>
  <c r="AB230"/>
  <c r="I230"/>
  <c r="H230"/>
  <c r="G230"/>
  <c r="C230"/>
  <c r="IH229"/>
  <c r="IG229"/>
  <c r="IE229"/>
  <c r="HE229"/>
  <c r="HD229"/>
  <c r="HB229"/>
  <c r="GB229"/>
  <c r="GA229"/>
  <c r="FY229"/>
  <c r="EX229"/>
  <c r="EV229"/>
  <c r="DV229"/>
  <c r="DS229"/>
  <c r="CS229"/>
  <c r="CR229"/>
  <c r="CP229"/>
  <c r="BP229"/>
  <c r="BO229"/>
  <c r="AM229"/>
  <c r="AL229"/>
  <c r="AJ229"/>
  <c r="AB229"/>
  <c r="J229"/>
  <c r="I229"/>
  <c r="G229"/>
  <c r="C229"/>
  <c r="IG228"/>
  <c r="IF228"/>
  <c r="ID228"/>
  <c r="HD228"/>
  <c r="HC228"/>
  <c r="HA228"/>
  <c r="GA228"/>
  <c r="FZ228"/>
  <c r="FX228"/>
  <c r="EX228"/>
  <c r="EW228"/>
  <c r="EU228"/>
  <c r="DT228"/>
  <c r="DR228"/>
  <c r="CR228"/>
  <c r="CO228"/>
  <c r="BO228"/>
  <c r="BN228"/>
  <c r="BL228"/>
  <c r="AL228"/>
  <c r="AK228"/>
  <c r="AB228"/>
  <c r="I228"/>
  <c r="H228"/>
  <c r="F228"/>
  <c r="C228"/>
  <c r="IG227"/>
  <c r="IF227"/>
  <c r="IE227"/>
  <c r="HD227"/>
  <c r="HC227"/>
  <c r="HB227"/>
  <c r="GA227"/>
  <c r="FZ227"/>
  <c r="FY227"/>
  <c r="EX227"/>
  <c r="EW227"/>
  <c r="EV227"/>
  <c r="DT227"/>
  <c r="DS227"/>
  <c r="CR227"/>
  <c r="CP227"/>
  <c r="BO227"/>
  <c r="BN227"/>
  <c r="AL227"/>
  <c r="AK227"/>
  <c r="AJ227"/>
  <c r="AB227"/>
  <c r="I227"/>
  <c r="H227"/>
  <c r="G227"/>
  <c r="C227"/>
  <c r="IG226"/>
  <c r="IF226"/>
  <c r="ID226"/>
  <c r="HD226"/>
  <c r="HC226"/>
  <c r="HA226"/>
  <c r="GA226"/>
  <c r="FZ226"/>
  <c r="FX226"/>
  <c r="EX226"/>
  <c r="EW226"/>
  <c r="EU226"/>
  <c r="DT226"/>
  <c r="DR226"/>
  <c r="CR226"/>
  <c r="CO226"/>
  <c r="BO226"/>
  <c r="BN226"/>
  <c r="BL226"/>
  <c r="AL226"/>
  <c r="AK226"/>
  <c r="AB226"/>
  <c r="I226"/>
  <c r="H226"/>
  <c r="F226"/>
  <c r="C226"/>
  <c r="II225"/>
  <c r="IF225"/>
  <c r="IE225"/>
  <c r="HF225"/>
  <c r="HC225"/>
  <c r="HB225"/>
  <c r="FZ225"/>
  <c r="FY225"/>
  <c r="EZ225"/>
  <c r="EW225"/>
  <c r="EV225"/>
  <c r="DW225"/>
  <c r="DT225"/>
  <c r="DS225"/>
  <c r="CT225"/>
  <c r="CP225"/>
  <c r="BQ225"/>
  <c r="BN225"/>
  <c r="AN225"/>
  <c r="AK225"/>
  <c r="AJ225"/>
  <c r="AB225"/>
  <c r="K225"/>
  <c r="H225"/>
  <c r="G225"/>
  <c r="C225"/>
  <c r="IH224"/>
  <c r="IF224"/>
  <c r="IE224"/>
  <c r="HE224"/>
  <c r="HC224"/>
  <c r="HB224"/>
  <c r="GB224"/>
  <c r="FZ224"/>
  <c r="FY224"/>
  <c r="EW224"/>
  <c r="EV224"/>
  <c r="DV224"/>
  <c r="DT224"/>
  <c r="DS224"/>
  <c r="CS224"/>
  <c r="CP224"/>
  <c r="BP224"/>
  <c r="BN224"/>
  <c r="AM224"/>
  <c r="AK224"/>
  <c r="AJ224"/>
  <c r="AB224"/>
  <c r="J224"/>
  <c r="H224"/>
  <c r="G224"/>
  <c r="C224"/>
  <c r="II223"/>
  <c r="IG223"/>
  <c r="IE223"/>
  <c r="HF223"/>
  <c r="HD223"/>
  <c r="HB223"/>
  <c r="GA223"/>
  <c r="FY223"/>
  <c r="EZ223"/>
  <c r="EX223"/>
  <c r="EV223"/>
  <c r="DW223"/>
  <c r="DS223"/>
  <c r="CT223"/>
  <c r="CR223"/>
  <c r="CP223"/>
  <c r="BQ223"/>
  <c r="BO223"/>
  <c r="AN223"/>
  <c r="AL223"/>
  <c r="AJ223"/>
  <c r="AB223"/>
  <c r="K223"/>
  <c r="I223"/>
  <c r="G223"/>
  <c r="C223"/>
  <c r="IG222"/>
  <c r="IF222"/>
  <c r="IE222"/>
  <c r="HD222"/>
  <c r="HC222"/>
  <c r="HB222"/>
  <c r="GA222"/>
  <c r="FZ222"/>
  <c r="FY222"/>
  <c r="EX222"/>
  <c r="EW222"/>
  <c r="EV222"/>
  <c r="DT222"/>
  <c r="DS222"/>
  <c r="CR222"/>
  <c r="CP222"/>
  <c r="BO222"/>
  <c r="BN222"/>
  <c r="AL222"/>
  <c r="AK222"/>
  <c r="AJ222"/>
  <c r="AB222"/>
  <c r="I222"/>
  <c r="H222"/>
  <c r="G222"/>
  <c r="C222"/>
  <c r="IJ221"/>
  <c r="IG221"/>
  <c r="ID221"/>
  <c r="HD221"/>
  <c r="HA221"/>
  <c r="GD221"/>
  <c r="GA221"/>
  <c r="FX221"/>
  <c r="FA221"/>
  <c r="EX221"/>
  <c r="EU221"/>
  <c r="DX221"/>
  <c r="DR221"/>
  <c r="CU221"/>
  <c r="CR221"/>
  <c r="CO221"/>
  <c r="BR221"/>
  <c r="BO221"/>
  <c r="BL221"/>
  <c r="BB221"/>
  <c r="CE221" s="1"/>
  <c r="DH221" s="1"/>
  <c r="EK221" s="1"/>
  <c r="FN221" s="1"/>
  <c r="GQ221" s="1"/>
  <c r="HT221" s="1"/>
  <c r="IW221" s="1"/>
  <c r="IZ221" s="1"/>
  <c r="AO221"/>
  <c r="AL221"/>
  <c r="AB221"/>
  <c r="L221"/>
  <c r="I221"/>
  <c r="F221"/>
  <c r="C221"/>
  <c r="IH220"/>
  <c r="IF220"/>
  <c r="IE220"/>
  <c r="HE220"/>
  <c r="HC220"/>
  <c r="HB220"/>
  <c r="GB220"/>
  <c r="FZ220"/>
  <c r="FY220"/>
  <c r="EW220"/>
  <c r="EV220"/>
  <c r="DV220"/>
  <c r="DT220"/>
  <c r="DS220"/>
  <c r="CS220"/>
  <c r="CP220"/>
  <c r="BP220"/>
  <c r="BN220"/>
  <c r="AM220"/>
  <c r="AK220"/>
  <c r="AJ220"/>
  <c r="AB220"/>
  <c r="J220"/>
  <c r="H220"/>
  <c r="G220"/>
  <c r="C220"/>
  <c r="IG219"/>
  <c r="IF219"/>
  <c r="IE219"/>
  <c r="HD219"/>
  <c r="HC219"/>
  <c r="HB219"/>
  <c r="GA219"/>
  <c r="FZ219"/>
  <c r="FY219"/>
  <c r="EX219"/>
  <c r="EW219"/>
  <c r="EV219"/>
  <c r="DT219"/>
  <c r="DS219"/>
  <c r="CR219"/>
  <c r="CP219"/>
  <c r="BO219"/>
  <c r="BN219"/>
  <c r="BB219"/>
  <c r="BE219" s="1"/>
  <c r="AL219"/>
  <c r="AK219"/>
  <c r="AJ219"/>
  <c r="AB219"/>
  <c r="I219"/>
  <c r="H219"/>
  <c r="G219"/>
  <c r="C219"/>
  <c r="IG218"/>
  <c r="IF218"/>
  <c r="IE218"/>
  <c r="HD218"/>
  <c r="HC218"/>
  <c r="HB218"/>
  <c r="GA218"/>
  <c r="FZ218"/>
  <c r="FY218"/>
  <c r="EX218"/>
  <c r="EW218"/>
  <c r="EV218"/>
  <c r="DT218"/>
  <c r="DS218"/>
  <c r="CR218"/>
  <c r="CP218"/>
  <c r="BO218"/>
  <c r="BN218"/>
  <c r="BB218"/>
  <c r="BE218" s="1"/>
  <c r="AL218"/>
  <c r="AK218"/>
  <c r="AJ218"/>
  <c r="AB218"/>
  <c r="I218"/>
  <c r="H218"/>
  <c r="G218"/>
  <c r="C218"/>
  <c r="IH217"/>
  <c r="IF217"/>
  <c r="IE217"/>
  <c r="HE217"/>
  <c r="HC217"/>
  <c r="HB217"/>
  <c r="GB217"/>
  <c r="FZ217"/>
  <c r="FY217"/>
  <c r="EW217"/>
  <c r="EV217"/>
  <c r="DV217"/>
  <c r="DT217"/>
  <c r="DS217"/>
  <c r="CS217"/>
  <c r="CP217"/>
  <c r="BP217"/>
  <c r="BN217"/>
  <c r="BB217"/>
  <c r="BE217" s="1"/>
  <c r="AM217"/>
  <c r="AK217"/>
  <c r="AJ217"/>
  <c r="AB217"/>
  <c r="J217"/>
  <c r="H217"/>
  <c r="G217"/>
  <c r="C217"/>
  <c r="IG216"/>
  <c r="IE216"/>
  <c r="HH216"/>
  <c r="HD216"/>
  <c r="HB216"/>
  <c r="GE216"/>
  <c r="GA216"/>
  <c r="FY216"/>
  <c r="FB216"/>
  <c r="EX216"/>
  <c r="EV216"/>
  <c r="DY216"/>
  <c r="DS216"/>
  <c r="CV216"/>
  <c r="CR216"/>
  <c r="CP216"/>
  <c r="BS216"/>
  <c r="BO216"/>
  <c r="BB216"/>
  <c r="BE216" s="1"/>
  <c r="AP216"/>
  <c r="AL216"/>
  <c r="AJ216"/>
  <c r="AB216"/>
  <c r="M216"/>
  <c r="I216"/>
  <c r="G216"/>
  <c r="C216"/>
  <c r="IG215"/>
  <c r="IF215"/>
  <c r="ID215"/>
  <c r="HD215"/>
  <c r="HC215"/>
  <c r="HA215"/>
  <c r="GA215"/>
  <c r="FZ215"/>
  <c r="FX215"/>
  <c r="EX215"/>
  <c r="EW215"/>
  <c r="EU215"/>
  <c r="DT215"/>
  <c r="DR215"/>
  <c r="CR215"/>
  <c r="CO215"/>
  <c r="BO215"/>
  <c r="BN215"/>
  <c r="BL215"/>
  <c r="BB215"/>
  <c r="CE215" s="1"/>
  <c r="AL215"/>
  <c r="AK215"/>
  <c r="AB215"/>
  <c r="I215"/>
  <c r="H215"/>
  <c r="F215"/>
  <c r="C215"/>
  <c r="IG214"/>
  <c r="IF214"/>
  <c r="ID214"/>
  <c r="HD214"/>
  <c r="HC214"/>
  <c r="HA214"/>
  <c r="GA214"/>
  <c r="FZ214"/>
  <c r="FX214"/>
  <c r="EX214"/>
  <c r="EW214"/>
  <c r="EU214"/>
  <c r="DT214"/>
  <c r="DR214"/>
  <c r="CR214"/>
  <c r="CO214"/>
  <c r="BO214"/>
  <c r="BN214"/>
  <c r="BL214"/>
  <c r="BB214"/>
  <c r="CE214" s="1"/>
  <c r="AL214"/>
  <c r="AK214"/>
  <c r="AB214"/>
  <c r="I214"/>
  <c r="H214"/>
  <c r="F214"/>
  <c r="C214"/>
  <c r="II213"/>
  <c r="IG213"/>
  <c r="ID213"/>
  <c r="HF213"/>
  <c r="HD213"/>
  <c r="HA213"/>
  <c r="GA213"/>
  <c r="FX213"/>
  <c r="EZ213"/>
  <c r="EX213"/>
  <c r="EU213"/>
  <c r="DW213"/>
  <c r="DR213"/>
  <c r="CT213"/>
  <c r="CR213"/>
  <c r="CO213"/>
  <c r="BQ213"/>
  <c r="BO213"/>
  <c r="BL213"/>
  <c r="BB213"/>
  <c r="CE213" s="1"/>
  <c r="AN213"/>
  <c r="AL213"/>
  <c r="AB213"/>
  <c r="K213"/>
  <c r="I213"/>
  <c r="F213"/>
  <c r="C213"/>
  <c r="IH211"/>
  <c r="IG211"/>
  <c r="IE211"/>
  <c r="HE211"/>
  <c r="HD211"/>
  <c r="HB211"/>
  <c r="GB211"/>
  <c r="GA211"/>
  <c r="FY211"/>
  <c r="EX211"/>
  <c r="EV211"/>
  <c r="DV211"/>
  <c r="DS211"/>
  <c r="CS211"/>
  <c r="CR211"/>
  <c r="CP211"/>
  <c r="BP211"/>
  <c r="BO211"/>
  <c r="BB211"/>
  <c r="CE211" s="1"/>
  <c r="AM211"/>
  <c r="AL211"/>
  <c r="AJ211"/>
  <c r="AB211"/>
  <c r="J211"/>
  <c r="I211"/>
  <c r="G211"/>
  <c r="C211"/>
  <c r="IJ210"/>
  <c r="IG210"/>
  <c r="ID210"/>
  <c r="HD210"/>
  <c r="HA210"/>
  <c r="GD210"/>
  <c r="GA210"/>
  <c r="FX210"/>
  <c r="FA210"/>
  <c r="EX210"/>
  <c r="EU210"/>
  <c r="DX210"/>
  <c r="DR210"/>
  <c r="CU210"/>
  <c r="CR210"/>
  <c r="CO210"/>
  <c r="BR210"/>
  <c r="BO210"/>
  <c r="BL210"/>
  <c r="BB210"/>
  <c r="CE210" s="1"/>
  <c r="AO210"/>
  <c r="AL210"/>
  <c r="AB210"/>
  <c r="L210"/>
  <c r="I210"/>
  <c r="F210"/>
  <c r="C210"/>
  <c r="IH209"/>
  <c r="IF209"/>
  <c r="IE209"/>
  <c r="HE209"/>
  <c r="HC209"/>
  <c r="HB209"/>
  <c r="GB209"/>
  <c r="FZ209"/>
  <c r="FY209"/>
  <c r="EW209"/>
  <c r="EV209"/>
  <c r="DV209"/>
  <c r="DT209"/>
  <c r="DS209"/>
  <c r="CS209"/>
  <c r="CP209"/>
  <c r="BP209"/>
  <c r="BN209"/>
  <c r="AM209"/>
  <c r="AK209"/>
  <c r="AJ209"/>
  <c r="AB209"/>
  <c r="J209"/>
  <c r="H209"/>
  <c r="G209"/>
  <c r="C209"/>
  <c r="IG208"/>
  <c r="IE208"/>
  <c r="ID208"/>
  <c r="HD208"/>
  <c r="HB208"/>
  <c r="HA208"/>
  <c r="GA208"/>
  <c r="FY208"/>
  <c r="FX208"/>
  <c r="EX208"/>
  <c r="EV208"/>
  <c r="EU208"/>
  <c r="DS208"/>
  <c r="DR208"/>
  <c r="CR208"/>
  <c r="CP208"/>
  <c r="CO208"/>
  <c r="BO208"/>
  <c r="BL208"/>
  <c r="AL208"/>
  <c r="AJ208"/>
  <c r="AB208"/>
  <c r="I208"/>
  <c r="G208"/>
  <c r="F208"/>
  <c r="C208"/>
  <c r="IJ207"/>
  <c r="IG207"/>
  <c r="ID207"/>
  <c r="HD207"/>
  <c r="HA207"/>
  <c r="GD207"/>
  <c r="GA207"/>
  <c r="FX207"/>
  <c r="FA207"/>
  <c r="EX207"/>
  <c r="EU207"/>
  <c r="DX207"/>
  <c r="DR207"/>
  <c r="CU207"/>
  <c r="CR207"/>
  <c r="CO207"/>
  <c r="BR207"/>
  <c r="BO207"/>
  <c r="BL207"/>
  <c r="AO207"/>
  <c r="AL207"/>
  <c r="AB207"/>
  <c r="L207"/>
  <c r="I207"/>
  <c r="F207"/>
  <c r="C207"/>
  <c r="IG206"/>
  <c r="IF206"/>
  <c r="ID206"/>
  <c r="HD206"/>
  <c r="HC206"/>
  <c r="HA206"/>
  <c r="GA206"/>
  <c r="FZ206"/>
  <c r="FX206"/>
  <c r="EX206"/>
  <c r="EW206"/>
  <c r="EU206"/>
  <c r="DT206"/>
  <c r="DR206"/>
  <c r="CR206"/>
  <c r="CO206"/>
  <c r="BO206"/>
  <c r="BN206"/>
  <c r="BL206"/>
  <c r="AL206"/>
  <c r="AK206"/>
  <c r="AB206"/>
  <c r="I206"/>
  <c r="H206"/>
  <c r="F206"/>
  <c r="C206"/>
  <c r="IJ205"/>
  <c r="IF205"/>
  <c r="IE205"/>
  <c r="HC205"/>
  <c r="HB205"/>
  <c r="GD205"/>
  <c r="FZ205"/>
  <c r="FY205"/>
  <c r="FA205"/>
  <c r="EW205"/>
  <c r="EV205"/>
  <c r="DX205"/>
  <c r="DT205"/>
  <c r="DS205"/>
  <c r="CU205"/>
  <c r="CP205"/>
  <c r="BR205"/>
  <c r="BN205"/>
  <c r="AO205"/>
  <c r="AK205"/>
  <c r="AJ205"/>
  <c r="AB205"/>
  <c r="L205"/>
  <c r="H205"/>
  <c r="G205"/>
  <c r="C205"/>
  <c r="IG204"/>
  <c r="IF204"/>
  <c r="ID204"/>
  <c r="HD204"/>
  <c r="HC204"/>
  <c r="HA204"/>
  <c r="GA204"/>
  <c r="FZ204"/>
  <c r="FX204"/>
  <c r="EX204"/>
  <c r="EW204"/>
  <c r="EU204"/>
  <c r="DT204"/>
  <c r="DR204"/>
  <c r="CR204"/>
  <c r="CO204"/>
  <c r="BO204"/>
  <c r="BN204"/>
  <c r="BL204"/>
  <c r="AL204"/>
  <c r="AK204"/>
  <c r="AB204"/>
  <c r="I204"/>
  <c r="H204"/>
  <c r="F204"/>
  <c r="C204"/>
  <c r="II203"/>
  <c r="IG203"/>
  <c r="ID203"/>
  <c r="HF203"/>
  <c r="HD203"/>
  <c r="HA203"/>
  <c r="GA203"/>
  <c r="FX203"/>
  <c r="EZ203"/>
  <c r="EX203"/>
  <c r="EU203"/>
  <c r="DW203"/>
  <c r="DR203"/>
  <c r="CT203"/>
  <c r="CR203"/>
  <c r="CO203"/>
  <c r="BQ203"/>
  <c r="BO203"/>
  <c r="BL203"/>
  <c r="AN203"/>
  <c r="AL203"/>
  <c r="AB203"/>
  <c r="K203"/>
  <c r="I203"/>
  <c r="F203"/>
  <c r="C203"/>
  <c r="IH202"/>
  <c r="IF202"/>
  <c r="IE202"/>
  <c r="HE202"/>
  <c r="HC202"/>
  <c r="HB202"/>
  <c r="GB202"/>
  <c r="FZ202"/>
  <c r="FY202"/>
  <c r="EW202"/>
  <c r="EV202"/>
  <c r="DV202"/>
  <c r="DT202"/>
  <c r="DS202"/>
  <c r="CS202"/>
  <c r="CP202"/>
  <c r="BP202"/>
  <c r="BN202"/>
  <c r="AM202"/>
  <c r="AK202"/>
  <c r="AJ202"/>
  <c r="AB202"/>
  <c r="J202"/>
  <c r="H202"/>
  <c r="G202"/>
  <c r="C202"/>
  <c r="IG201"/>
  <c r="IE201"/>
  <c r="ID201"/>
  <c r="HD201"/>
  <c r="HB201"/>
  <c r="HA201"/>
  <c r="GA201"/>
  <c r="FY201"/>
  <c r="FX201"/>
  <c r="EX201"/>
  <c r="EV201"/>
  <c r="EU201"/>
  <c r="DS201"/>
  <c r="DR201"/>
  <c r="CR201"/>
  <c r="CP201"/>
  <c r="CO201"/>
  <c r="BO201"/>
  <c r="BL201"/>
  <c r="BB201"/>
  <c r="CE201" s="1"/>
  <c r="AL201"/>
  <c r="AJ201"/>
  <c r="AB201"/>
  <c r="I201"/>
  <c r="G201"/>
  <c r="F201"/>
  <c r="C201"/>
  <c r="IF200"/>
  <c r="IE200"/>
  <c r="ID200"/>
  <c r="HC200"/>
  <c r="HB200"/>
  <c r="HA200"/>
  <c r="FZ200"/>
  <c r="FY200"/>
  <c r="FX200"/>
  <c r="EW200"/>
  <c r="EV200"/>
  <c r="EU200"/>
  <c r="DT200"/>
  <c r="DS200"/>
  <c r="DR200"/>
  <c r="CP200"/>
  <c r="CO200"/>
  <c r="BN200"/>
  <c r="BL200"/>
  <c r="AK200"/>
  <c r="AJ200"/>
  <c r="AB200"/>
  <c r="H200"/>
  <c r="G200"/>
  <c r="F200"/>
  <c r="C200"/>
  <c r="IJ199"/>
  <c r="IF199"/>
  <c r="IE199"/>
  <c r="HC199"/>
  <c r="HB199"/>
  <c r="GD199"/>
  <c r="FZ199"/>
  <c r="FY199"/>
  <c r="FA199"/>
  <c r="EW199"/>
  <c r="EV199"/>
  <c r="DX199"/>
  <c r="DT199"/>
  <c r="DS199"/>
  <c r="CU199"/>
  <c r="CP199"/>
  <c r="BR199"/>
  <c r="BN199"/>
  <c r="BB199"/>
  <c r="CE199" s="1"/>
  <c r="AO199"/>
  <c r="AK199"/>
  <c r="AJ199"/>
  <c r="AB199"/>
  <c r="L199"/>
  <c r="H199"/>
  <c r="G199"/>
  <c r="C199"/>
  <c r="IG198"/>
  <c r="IE198"/>
  <c r="ID198"/>
  <c r="HD198"/>
  <c r="HB198"/>
  <c r="HA198"/>
  <c r="GA198"/>
  <c r="FY198"/>
  <c r="FX198"/>
  <c r="EX198"/>
  <c r="EV198"/>
  <c r="EU198"/>
  <c r="DS198"/>
  <c r="DR198"/>
  <c r="CR198"/>
  <c r="CP198"/>
  <c r="CO198"/>
  <c r="BO198"/>
  <c r="BL198"/>
  <c r="BB198"/>
  <c r="AL198"/>
  <c r="AJ198"/>
  <c r="AB198"/>
  <c r="I198"/>
  <c r="G198"/>
  <c r="F198"/>
  <c r="C198"/>
  <c r="IG197"/>
  <c r="IF197"/>
  <c r="IE197"/>
  <c r="HD197"/>
  <c r="HC197"/>
  <c r="HB197"/>
  <c r="GA197"/>
  <c r="FZ197"/>
  <c r="FY197"/>
  <c r="EX197"/>
  <c r="EW197"/>
  <c r="EV197"/>
  <c r="DT197"/>
  <c r="DS197"/>
  <c r="CR197"/>
  <c r="CP197"/>
  <c r="BO197"/>
  <c r="BN197"/>
  <c r="BB197"/>
  <c r="AL197"/>
  <c r="AK197"/>
  <c r="AJ197"/>
  <c r="AB197"/>
  <c r="I197"/>
  <c r="H197"/>
  <c r="G197"/>
  <c r="C197"/>
  <c r="IH196"/>
  <c r="IF196"/>
  <c r="IQ196" s="1"/>
  <c r="IE196"/>
  <c r="HE196"/>
  <c r="HC196"/>
  <c r="HB196"/>
  <c r="GB196"/>
  <c r="FZ196"/>
  <c r="FY196"/>
  <c r="EW196"/>
  <c r="EV196"/>
  <c r="DV196"/>
  <c r="DT196"/>
  <c r="DS196"/>
  <c r="CS196"/>
  <c r="CP196"/>
  <c r="BP196"/>
  <c r="BN196"/>
  <c r="BB196"/>
  <c r="CE196" s="1"/>
  <c r="AM196"/>
  <c r="AK196"/>
  <c r="AJ196"/>
  <c r="AB196"/>
  <c r="J196"/>
  <c r="H196"/>
  <c r="G196"/>
  <c r="C196"/>
  <c r="IG195"/>
  <c r="IE195"/>
  <c r="ID195"/>
  <c r="HD195"/>
  <c r="HB195"/>
  <c r="HA195"/>
  <c r="GA195"/>
  <c r="FY195"/>
  <c r="FX195"/>
  <c r="EX195"/>
  <c r="EV195"/>
  <c r="EU195"/>
  <c r="DS195"/>
  <c r="DR195"/>
  <c r="CR195"/>
  <c r="CP195"/>
  <c r="CO195"/>
  <c r="BO195"/>
  <c r="BL195"/>
  <c r="BB195"/>
  <c r="CE195" s="1"/>
  <c r="AL195"/>
  <c r="AJ195"/>
  <c r="AB195"/>
  <c r="I195"/>
  <c r="G195"/>
  <c r="F195"/>
  <c r="C195"/>
  <c r="IH194"/>
  <c r="IG194"/>
  <c r="IE194"/>
  <c r="HE194"/>
  <c r="HD194"/>
  <c r="HB194"/>
  <c r="GB194"/>
  <c r="GA194"/>
  <c r="FY194"/>
  <c r="EX194"/>
  <c r="EV194"/>
  <c r="DV194"/>
  <c r="DS194"/>
  <c r="CS194"/>
  <c r="CR194"/>
  <c r="CP194"/>
  <c r="BP194"/>
  <c r="BO194"/>
  <c r="BB194"/>
  <c r="AM194"/>
  <c r="AL194"/>
  <c r="AJ194"/>
  <c r="AB194"/>
  <c r="J194"/>
  <c r="I194"/>
  <c r="G194"/>
  <c r="C194"/>
  <c r="II193"/>
  <c r="IG193"/>
  <c r="ID193"/>
  <c r="HF193"/>
  <c r="HD193"/>
  <c r="HA193"/>
  <c r="GA193"/>
  <c r="FX193"/>
  <c r="EZ193"/>
  <c r="EX193"/>
  <c r="EU193"/>
  <c r="DW193"/>
  <c r="DR193"/>
  <c r="CT193"/>
  <c r="CR193"/>
  <c r="CO193"/>
  <c r="BQ193"/>
  <c r="BO193"/>
  <c r="BL193"/>
  <c r="BB193"/>
  <c r="CE193" s="1"/>
  <c r="AN193"/>
  <c r="AL193"/>
  <c r="AB193"/>
  <c r="K193"/>
  <c r="I193"/>
  <c r="F193"/>
  <c r="C193"/>
  <c r="IG192"/>
  <c r="IF192"/>
  <c r="IE192"/>
  <c r="HD192"/>
  <c r="HC192"/>
  <c r="HB192"/>
  <c r="GA192"/>
  <c r="FZ192"/>
  <c r="FY192"/>
  <c r="EX192"/>
  <c r="EW192"/>
  <c r="EV192"/>
  <c r="DT192"/>
  <c r="DS192"/>
  <c r="CR192"/>
  <c r="CP192"/>
  <c r="BO192"/>
  <c r="BN192"/>
  <c r="BB192"/>
  <c r="AL192"/>
  <c r="AK192"/>
  <c r="AJ192"/>
  <c r="AB192"/>
  <c r="I192"/>
  <c r="H192"/>
  <c r="G192"/>
  <c r="C192"/>
  <c r="IJ191"/>
  <c r="IF191"/>
  <c r="ID191"/>
  <c r="HC191"/>
  <c r="HA191"/>
  <c r="GD191"/>
  <c r="FZ191"/>
  <c r="FX191"/>
  <c r="FA191"/>
  <c r="EW191"/>
  <c r="EU191"/>
  <c r="DX191"/>
  <c r="DT191"/>
  <c r="DR191"/>
  <c r="CU191"/>
  <c r="CO191"/>
  <c r="BR191"/>
  <c r="BN191"/>
  <c r="BL191"/>
  <c r="BB191"/>
  <c r="CE191" s="1"/>
  <c r="AO191"/>
  <c r="AK191"/>
  <c r="AB191"/>
  <c r="L191"/>
  <c r="H191"/>
  <c r="F191"/>
  <c r="C191"/>
  <c r="IJ190"/>
  <c r="IG190"/>
  <c r="IF190"/>
  <c r="HD190"/>
  <c r="HC190"/>
  <c r="GD190"/>
  <c r="GA190"/>
  <c r="FZ190"/>
  <c r="FA190"/>
  <c r="EX190"/>
  <c r="EW190"/>
  <c r="DX190"/>
  <c r="DT190"/>
  <c r="CU190"/>
  <c r="CR190"/>
  <c r="BR190"/>
  <c r="BO190"/>
  <c r="BN190"/>
  <c r="BB190"/>
  <c r="CE190" s="1"/>
  <c r="AO190"/>
  <c r="AL190"/>
  <c r="AK190"/>
  <c r="AB190"/>
  <c r="L190"/>
  <c r="I190"/>
  <c r="H190"/>
  <c r="C190"/>
  <c r="IG189"/>
  <c r="IF189"/>
  <c r="ID189"/>
  <c r="HD189"/>
  <c r="HC189"/>
  <c r="HN189" s="1"/>
  <c r="HA189"/>
  <c r="GA189"/>
  <c r="FZ189"/>
  <c r="FX189"/>
  <c r="EX189"/>
  <c r="EW189"/>
  <c r="EU189"/>
  <c r="DT189"/>
  <c r="DR189"/>
  <c r="CR189"/>
  <c r="CO189"/>
  <c r="BO189"/>
  <c r="BN189"/>
  <c r="BL189"/>
  <c r="BB189"/>
  <c r="CE189" s="1"/>
  <c r="DH189" s="1"/>
  <c r="EK189" s="1"/>
  <c r="FN189" s="1"/>
  <c r="AL189"/>
  <c r="AK189"/>
  <c r="AB189"/>
  <c r="I189"/>
  <c r="H189"/>
  <c r="F189"/>
  <c r="C189"/>
  <c r="IJ188"/>
  <c r="IG188"/>
  <c r="ID188"/>
  <c r="HD188"/>
  <c r="HA188"/>
  <c r="GD188"/>
  <c r="GA188"/>
  <c r="FX188"/>
  <c r="FA188"/>
  <c r="EX188"/>
  <c r="EU188"/>
  <c r="DX188"/>
  <c r="DR188"/>
  <c r="CU188"/>
  <c r="CR188"/>
  <c r="CO188"/>
  <c r="BR188"/>
  <c r="BO188"/>
  <c r="BL188"/>
  <c r="BB188"/>
  <c r="CE188" s="1"/>
  <c r="AO188"/>
  <c r="AL188"/>
  <c r="AB188"/>
  <c r="L188"/>
  <c r="I188"/>
  <c r="F188"/>
  <c r="C188"/>
  <c r="IH187"/>
  <c r="IF187"/>
  <c r="ID187"/>
  <c r="HE187"/>
  <c r="HC187"/>
  <c r="HA187"/>
  <c r="GB187"/>
  <c r="FZ187"/>
  <c r="FX187"/>
  <c r="EW187"/>
  <c r="EU187"/>
  <c r="DV187"/>
  <c r="DT187"/>
  <c r="DR187"/>
  <c r="CS187"/>
  <c r="CO187"/>
  <c r="BP187"/>
  <c r="BN187"/>
  <c r="BL187"/>
  <c r="BB187"/>
  <c r="CE187" s="1"/>
  <c r="DH187" s="1"/>
  <c r="EK187" s="1"/>
  <c r="FN187" s="1"/>
  <c r="GQ187" s="1"/>
  <c r="HT187" s="1"/>
  <c r="IW187" s="1"/>
  <c r="IZ187" s="1"/>
  <c r="AM187"/>
  <c r="AK187"/>
  <c r="AB187"/>
  <c r="J187"/>
  <c r="H187"/>
  <c r="F187"/>
  <c r="C187"/>
  <c r="IJ186"/>
  <c r="IG186"/>
  <c r="IE186"/>
  <c r="HD186"/>
  <c r="HB186"/>
  <c r="GT186"/>
  <c r="GD186"/>
  <c r="GA186"/>
  <c r="FY186"/>
  <c r="FQ186"/>
  <c r="FA186"/>
  <c r="EX186"/>
  <c r="EV186"/>
  <c r="EN186"/>
  <c r="DX186"/>
  <c r="DS186"/>
  <c r="CU186"/>
  <c r="CR186"/>
  <c r="CP186"/>
  <c r="BR186"/>
  <c r="BO186"/>
  <c r="BE186"/>
  <c r="BB186"/>
  <c r="CE186" s="1"/>
  <c r="DH186" s="1"/>
  <c r="EK186" s="1"/>
  <c r="FN186" s="1"/>
  <c r="GQ186" s="1"/>
  <c r="HT186" s="1"/>
  <c r="IW186" s="1"/>
  <c r="IZ186" s="1"/>
  <c r="AO186"/>
  <c r="AL186"/>
  <c r="AJ186"/>
  <c r="AB186"/>
  <c r="L186"/>
  <c r="I186"/>
  <c r="G186"/>
  <c r="C186"/>
  <c r="IG185"/>
  <c r="IE185"/>
  <c r="ID185"/>
  <c r="HD185"/>
  <c r="HB185"/>
  <c r="HA185"/>
  <c r="GA185"/>
  <c r="FY185"/>
  <c r="FX185"/>
  <c r="EX185"/>
  <c r="EV185"/>
  <c r="EU185"/>
  <c r="DS185"/>
  <c r="DR185"/>
  <c r="CR185"/>
  <c r="CP185"/>
  <c r="CO185"/>
  <c r="BO185"/>
  <c r="BL185"/>
  <c r="BB185"/>
  <c r="CE185" s="1"/>
  <c r="DH185" s="1"/>
  <c r="EK185" s="1"/>
  <c r="FN185" s="1"/>
  <c r="GQ185" s="1"/>
  <c r="HT185" s="1"/>
  <c r="IW185" s="1"/>
  <c r="IZ185" s="1"/>
  <c r="AL185"/>
  <c r="AJ185"/>
  <c r="AB185"/>
  <c r="I185"/>
  <c r="G185"/>
  <c r="F185"/>
  <c r="C185"/>
  <c r="IG184"/>
  <c r="IF184"/>
  <c r="IE184"/>
  <c r="HD184"/>
  <c r="HC184"/>
  <c r="HB184"/>
  <c r="GA184"/>
  <c r="FZ184"/>
  <c r="FY184"/>
  <c r="EX184"/>
  <c r="EW184"/>
  <c r="EV184"/>
  <c r="DT184"/>
  <c r="DS184"/>
  <c r="CR184"/>
  <c r="CP184"/>
  <c r="BO184"/>
  <c r="BN184"/>
  <c r="BB184"/>
  <c r="CE184" s="1"/>
  <c r="DH184" s="1"/>
  <c r="EK184" s="1"/>
  <c r="FN184" s="1"/>
  <c r="GQ184" s="1"/>
  <c r="HT184" s="1"/>
  <c r="IW184" s="1"/>
  <c r="IZ184" s="1"/>
  <c r="AL184"/>
  <c r="AK184"/>
  <c r="AJ184"/>
  <c r="AB184"/>
  <c r="I184"/>
  <c r="H184"/>
  <c r="G184"/>
  <c r="C184"/>
  <c r="IJ183"/>
  <c r="IE183"/>
  <c r="ID183"/>
  <c r="HB183"/>
  <c r="HA183"/>
  <c r="GD183"/>
  <c r="FY183"/>
  <c r="FX183"/>
  <c r="FA183"/>
  <c r="EV183"/>
  <c r="EU183"/>
  <c r="DX183"/>
  <c r="DS183"/>
  <c r="DR183"/>
  <c r="CU183"/>
  <c r="CP183"/>
  <c r="CO183"/>
  <c r="BR183"/>
  <c r="BL183"/>
  <c r="BB183"/>
  <c r="AO183"/>
  <c r="AJ183"/>
  <c r="AB183"/>
  <c r="L183"/>
  <c r="G183"/>
  <c r="F183"/>
  <c r="C183"/>
  <c r="IG182"/>
  <c r="IE182"/>
  <c r="ID182"/>
  <c r="HD182"/>
  <c r="HB182"/>
  <c r="HA182"/>
  <c r="GA182"/>
  <c r="FY182"/>
  <c r="FX182"/>
  <c r="EX182"/>
  <c r="EV182"/>
  <c r="EU182"/>
  <c r="DS182"/>
  <c r="DR182"/>
  <c r="CR182"/>
  <c r="CP182"/>
  <c r="CO182"/>
  <c r="BO182"/>
  <c r="BL182"/>
  <c r="BB182"/>
  <c r="CE182" s="1"/>
  <c r="DH182" s="1"/>
  <c r="AL182"/>
  <c r="AJ182"/>
  <c r="AB182"/>
  <c r="I182"/>
  <c r="G182"/>
  <c r="F182"/>
  <c r="C182"/>
  <c r="IG181"/>
  <c r="IF181"/>
  <c r="ID181"/>
  <c r="HD181"/>
  <c r="HC181"/>
  <c r="HA181"/>
  <c r="GA181"/>
  <c r="FZ181"/>
  <c r="FX181"/>
  <c r="EX181"/>
  <c r="EW181"/>
  <c r="EU181"/>
  <c r="DT181"/>
  <c r="DR181"/>
  <c r="CR181"/>
  <c r="CO181"/>
  <c r="BO181"/>
  <c r="BN181"/>
  <c r="BL181"/>
  <c r="BB181"/>
  <c r="CE181" s="1"/>
  <c r="AL181"/>
  <c r="AK181"/>
  <c r="AB181"/>
  <c r="I181"/>
  <c r="H181"/>
  <c r="F181"/>
  <c r="C181"/>
  <c r="IG180"/>
  <c r="IF180"/>
  <c r="ID180"/>
  <c r="HD180"/>
  <c r="HC180"/>
  <c r="HA180"/>
  <c r="GA180"/>
  <c r="FZ180"/>
  <c r="FX180"/>
  <c r="EX180"/>
  <c r="EW180"/>
  <c r="EU180"/>
  <c r="DT180"/>
  <c r="DR180"/>
  <c r="CR180"/>
  <c r="CO180"/>
  <c r="BO180"/>
  <c r="BN180"/>
  <c r="BL180"/>
  <c r="BB180"/>
  <c r="CE180" s="1"/>
  <c r="AL180"/>
  <c r="AK180"/>
  <c r="AB180"/>
  <c r="I180"/>
  <c r="H180"/>
  <c r="F180"/>
  <c r="C180"/>
  <c r="IG179"/>
  <c r="ID179"/>
  <c r="HH179"/>
  <c r="HD179"/>
  <c r="HA179"/>
  <c r="GE179"/>
  <c r="GA179"/>
  <c r="FX179"/>
  <c r="FB179"/>
  <c r="EX179"/>
  <c r="EU179"/>
  <c r="DY179"/>
  <c r="DR179"/>
  <c r="CV179"/>
  <c r="CR179"/>
  <c r="CO179"/>
  <c r="BS179"/>
  <c r="BO179"/>
  <c r="BL179"/>
  <c r="BB179"/>
  <c r="CE179" s="1"/>
  <c r="AP179"/>
  <c r="AL179"/>
  <c r="AB179"/>
  <c r="M179"/>
  <c r="I179"/>
  <c r="F179"/>
  <c r="C179"/>
  <c r="IG178"/>
  <c r="IF178"/>
  <c r="IE178"/>
  <c r="HD178"/>
  <c r="HC178"/>
  <c r="HB178"/>
  <c r="GA178"/>
  <c r="FZ178"/>
  <c r="FY178"/>
  <c r="EX178"/>
  <c r="EW178"/>
  <c r="EV178"/>
  <c r="DT178"/>
  <c r="DS178"/>
  <c r="CR178"/>
  <c r="CP178"/>
  <c r="BO178"/>
  <c r="BN178"/>
  <c r="BB178"/>
  <c r="CE178" s="1"/>
  <c r="AL178"/>
  <c r="AK178"/>
  <c r="AJ178"/>
  <c r="AB178"/>
  <c r="I178"/>
  <c r="H178"/>
  <c r="G178"/>
  <c r="C178"/>
  <c r="IH177"/>
  <c r="IG177"/>
  <c r="IE177"/>
  <c r="HE177"/>
  <c r="HD177"/>
  <c r="HB177"/>
  <c r="GB177"/>
  <c r="GA177"/>
  <c r="FY177"/>
  <c r="EX177"/>
  <c r="EV177"/>
  <c r="DV177"/>
  <c r="DS177"/>
  <c r="CS177"/>
  <c r="CR177"/>
  <c r="CP177"/>
  <c r="BP177"/>
  <c r="BO177"/>
  <c r="BB177"/>
  <c r="CE177" s="1"/>
  <c r="AM177"/>
  <c r="AL177"/>
  <c r="AJ177"/>
  <c r="AB177"/>
  <c r="J177"/>
  <c r="I177"/>
  <c r="G177"/>
  <c r="C177"/>
  <c r="IG176"/>
  <c r="IE176"/>
  <c r="ID176"/>
  <c r="HD176"/>
  <c r="HB176"/>
  <c r="HA176"/>
  <c r="GA176"/>
  <c r="FY176"/>
  <c r="FX176"/>
  <c r="EX176"/>
  <c r="EV176"/>
  <c r="EU176"/>
  <c r="DS176"/>
  <c r="DR176"/>
  <c r="CR176"/>
  <c r="CP176"/>
  <c r="CO176"/>
  <c r="BO176"/>
  <c r="BL176"/>
  <c r="BB176"/>
  <c r="CE176" s="1"/>
  <c r="AL176"/>
  <c r="AJ176"/>
  <c r="AB176"/>
  <c r="I176"/>
  <c r="G176"/>
  <c r="F176"/>
  <c r="C176"/>
  <c r="IJ175"/>
  <c r="IF175"/>
  <c r="ID175"/>
  <c r="HC175"/>
  <c r="HA175"/>
  <c r="GD175"/>
  <c r="FZ175"/>
  <c r="FX175"/>
  <c r="FA175"/>
  <c r="EW175"/>
  <c r="EU175"/>
  <c r="DX175"/>
  <c r="DT175"/>
  <c r="DR175"/>
  <c r="CU175"/>
  <c r="CO175"/>
  <c r="BR175"/>
  <c r="BN175"/>
  <c r="BL175"/>
  <c r="BB175"/>
  <c r="CE175" s="1"/>
  <c r="DH175" s="1"/>
  <c r="AO175"/>
  <c r="AK175"/>
  <c r="AB175"/>
  <c r="L175"/>
  <c r="H175"/>
  <c r="F175"/>
  <c r="C175"/>
  <c r="IH174"/>
  <c r="IF174"/>
  <c r="IE174"/>
  <c r="HE174"/>
  <c r="HC174"/>
  <c r="HB174"/>
  <c r="GB174"/>
  <c r="FZ174"/>
  <c r="FY174"/>
  <c r="EW174"/>
  <c r="EV174"/>
  <c r="DV174"/>
  <c r="DT174"/>
  <c r="DS174"/>
  <c r="CS174"/>
  <c r="CP174"/>
  <c r="BP174"/>
  <c r="BN174"/>
  <c r="BB174"/>
  <c r="CE174" s="1"/>
  <c r="AM174"/>
  <c r="AK174"/>
  <c r="AJ174"/>
  <c r="AB174"/>
  <c r="J174"/>
  <c r="H174"/>
  <c r="G174"/>
  <c r="C174"/>
  <c r="IG173"/>
  <c r="IF173"/>
  <c r="ID173"/>
  <c r="HD173"/>
  <c r="HC173"/>
  <c r="HA173"/>
  <c r="GA173"/>
  <c r="FZ173"/>
  <c r="FX173"/>
  <c r="EX173"/>
  <c r="EW173"/>
  <c r="EU173"/>
  <c r="DT173"/>
  <c r="DR173"/>
  <c r="CR173"/>
  <c r="CO173"/>
  <c r="BO173"/>
  <c r="BN173"/>
  <c r="BL173"/>
  <c r="BB173"/>
  <c r="CE173" s="1"/>
  <c r="DH173" s="1"/>
  <c r="AL173"/>
  <c r="AK173"/>
  <c r="AB173"/>
  <c r="I173"/>
  <c r="H173"/>
  <c r="F173"/>
  <c r="C173"/>
  <c r="II172"/>
  <c r="IG172"/>
  <c r="IE172"/>
  <c r="HF172"/>
  <c r="HD172"/>
  <c r="HB172"/>
  <c r="GA172"/>
  <c r="FY172"/>
  <c r="EZ172"/>
  <c r="EX172"/>
  <c r="EV172"/>
  <c r="DW172"/>
  <c r="DS172"/>
  <c r="CT172"/>
  <c r="CR172"/>
  <c r="CP172"/>
  <c r="BQ172"/>
  <c r="BO172"/>
  <c r="BB172"/>
  <c r="CE172" s="1"/>
  <c r="AN172"/>
  <c r="AL172"/>
  <c r="AJ172"/>
  <c r="AB172"/>
  <c r="K172"/>
  <c r="I172"/>
  <c r="G172"/>
  <c r="C172"/>
  <c r="IG171"/>
  <c r="IF171"/>
  <c r="IE171"/>
  <c r="HD171"/>
  <c r="HC171"/>
  <c r="HB171"/>
  <c r="GA171"/>
  <c r="FZ171"/>
  <c r="FY171"/>
  <c r="EX171"/>
  <c r="EW171"/>
  <c r="EV171"/>
  <c r="DT171"/>
  <c r="DS171"/>
  <c r="CR171"/>
  <c r="CP171"/>
  <c r="BO171"/>
  <c r="BN171"/>
  <c r="BB171"/>
  <c r="CE171" s="1"/>
  <c r="AL171"/>
  <c r="AK171"/>
  <c r="AJ171"/>
  <c r="AB171"/>
  <c r="I171"/>
  <c r="H171"/>
  <c r="G171"/>
  <c r="C171"/>
  <c r="IG170"/>
  <c r="IF170"/>
  <c r="ID170"/>
  <c r="HD170"/>
  <c r="HC170"/>
  <c r="HA170"/>
  <c r="GA170"/>
  <c r="FZ170"/>
  <c r="FX170"/>
  <c r="EX170"/>
  <c r="EW170"/>
  <c r="EU170"/>
  <c r="DT170"/>
  <c r="DR170"/>
  <c r="CR170"/>
  <c r="CO170"/>
  <c r="BO170"/>
  <c r="BN170"/>
  <c r="BL170"/>
  <c r="BB170"/>
  <c r="CE170" s="1"/>
  <c r="DH170" s="1"/>
  <c r="AL170"/>
  <c r="AK170"/>
  <c r="AB170"/>
  <c r="I170"/>
  <c r="H170"/>
  <c r="F170"/>
  <c r="C170"/>
  <c r="IG169"/>
  <c r="IF169"/>
  <c r="IE169"/>
  <c r="HD169"/>
  <c r="HC169"/>
  <c r="HB169"/>
  <c r="GA169"/>
  <c r="FZ169"/>
  <c r="FY169"/>
  <c r="EX169"/>
  <c r="EW169"/>
  <c r="EV169"/>
  <c r="DT169"/>
  <c r="DS169"/>
  <c r="CR169"/>
  <c r="CP169"/>
  <c r="BO169"/>
  <c r="BN169"/>
  <c r="BB169"/>
  <c r="CE169" s="1"/>
  <c r="AL169"/>
  <c r="AK169"/>
  <c r="AJ169"/>
  <c r="AB169"/>
  <c r="I169"/>
  <c r="H169"/>
  <c r="G169"/>
  <c r="C169"/>
  <c r="IG168"/>
  <c r="IF168"/>
  <c r="IE168"/>
  <c r="HD168"/>
  <c r="HC168"/>
  <c r="HB168"/>
  <c r="GA168"/>
  <c r="FZ168"/>
  <c r="FY168"/>
  <c r="EX168"/>
  <c r="EW168"/>
  <c r="EV168"/>
  <c r="DT168"/>
  <c r="DS168"/>
  <c r="CR168"/>
  <c r="CP168"/>
  <c r="BO168"/>
  <c r="BN168"/>
  <c r="BB168"/>
  <c r="CE168" s="1"/>
  <c r="AL168"/>
  <c r="AK168"/>
  <c r="AJ168"/>
  <c r="AB168"/>
  <c r="I168"/>
  <c r="H168"/>
  <c r="G168"/>
  <c r="C168"/>
  <c r="IG167"/>
  <c r="IE167"/>
  <c r="HH167"/>
  <c r="HD167"/>
  <c r="HB167"/>
  <c r="GE167"/>
  <c r="GA167"/>
  <c r="FY167"/>
  <c r="FB167"/>
  <c r="EX167"/>
  <c r="EV167"/>
  <c r="DY167"/>
  <c r="DS167"/>
  <c r="CV167"/>
  <c r="CR167"/>
  <c r="CP167"/>
  <c r="BS167"/>
  <c r="BO167"/>
  <c r="BB167"/>
  <c r="CE167" s="1"/>
  <c r="AP167"/>
  <c r="AL167"/>
  <c r="AJ167"/>
  <c r="AB167"/>
  <c r="M167"/>
  <c r="I167"/>
  <c r="G167"/>
  <c r="C167"/>
  <c r="IG166"/>
  <c r="IE166"/>
  <c r="ID166"/>
  <c r="HD166"/>
  <c r="HB166"/>
  <c r="HA166"/>
  <c r="GA166"/>
  <c r="FY166"/>
  <c r="FX166"/>
  <c r="EX166"/>
  <c r="EV166"/>
  <c r="EU166"/>
  <c r="DS166"/>
  <c r="DR166"/>
  <c r="CR166"/>
  <c r="CP166"/>
  <c r="CO166"/>
  <c r="BO166"/>
  <c r="BL166"/>
  <c r="BB166"/>
  <c r="CE166" s="1"/>
  <c r="AL166"/>
  <c r="AJ166"/>
  <c r="AB166"/>
  <c r="I166"/>
  <c r="G166"/>
  <c r="F166"/>
  <c r="C166"/>
  <c r="IG165"/>
  <c r="IE165"/>
  <c r="ID165"/>
  <c r="HD165"/>
  <c r="HB165"/>
  <c r="HA165"/>
  <c r="GA165"/>
  <c r="FY165"/>
  <c r="FX165"/>
  <c r="EX165"/>
  <c r="EV165"/>
  <c r="EU165"/>
  <c r="DS165"/>
  <c r="DR165"/>
  <c r="CR165"/>
  <c r="CP165"/>
  <c r="CO165"/>
  <c r="BO165"/>
  <c r="BL165"/>
  <c r="BB165"/>
  <c r="CE165" s="1"/>
  <c r="AL165"/>
  <c r="AJ165"/>
  <c r="AB165"/>
  <c r="I165"/>
  <c r="G165"/>
  <c r="F165"/>
  <c r="C165"/>
  <c r="IJ164"/>
  <c r="IG164"/>
  <c r="ID164"/>
  <c r="HD164"/>
  <c r="HA164"/>
  <c r="GD164"/>
  <c r="GA164"/>
  <c r="FX164"/>
  <c r="FA164"/>
  <c r="EX164"/>
  <c r="EU164"/>
  <c r="DX164"/>
  <c r="DR164"/>
  <c r="CU164"/>
  <c r="CR164"/>
  <c r="CO164"/>
  <c r="BR164"/>
  <c r="BO164"/>
  <c r="BL164"/>
  <c r="BB164"/>
  <c r="CE164" s="1"/>
  <c r="AO164"/>
  <c r="AL164"/>
  <c r="AB164"/>
  <c r="L164"/>
  <c r="I164"/>
  <c r="F164"/>
  <c r="C164"/>
  <c r="IJ163"/>
  <c r="IG163"/>
  <c r="IE163"/>
  <c r="HD163"/>
  <c r="HB163"/>
  <c r="GD163"/>
  <c r="GA163"/>
  <c r="FY163"/>
  <c r="FA163"/>
  <c r="EX163"/>
  <c r="EV163"/>
  <c r="DX163"/>
  <c r="DS163"/>
  <c r="CU163"/>
  <c r="CR163"/>
  <c r="CP163"/>
  <c r="BR163"/>
  <c r="BO163"/>
  <c r="BB163"/>
  <c r="CE163" s="1"/>
  <c r="AO163"/>
  <c r="AL163"/>
  <c r="AJ163"/>
  <c r="AB163"/>
  <c r="L163"/>
  <c r="I163"/>
  <c r="G163"/>
  <c r="C163"/>
  <c r="IJ162"/>
  <c r="IF162"/>
  <c r="IE162"/>
  <c r="HC162"/>
  <c r="HB162"/>
  <c r="GD162"/>
  <c r="FZ162"/>
  <c r="FY162"/>
  <c r="FA162"/>
  <c r="EW162"/>
  <c r="EV162"/>
  <c r="DX162"/>
  <c r="DT162"/>
  <c r="DS162"/>
  <c r="CU162"/>
  <c r="CP162"/>
  <c r="BR162"/>
  <c r="BN162"/>
  <c r="BE162"/>
  <c r="BB162"/>
  <c r="CE162" s="1"/>
  <c r="AO162"/>
  <c r="AK162"/>
  <c r="AJ162"/>
  <c r="AB162"/>
  <c r="L162"/>
  <c r="H162"/>
  <c r="G162"/>
  <c r="C162"/>
  <c r="IH161"/>
  <c r="IF161"/>
  <c r="IE161"/>
  <c r="HE161"/>
  <c r="HC161"/>
  <c r="HB161"/>
  <c r="GB161"/>
  <c r="FZ161"/>
  <c r="FY161"/>
  <c r="EW161"/>
  <c r="EV161"/>
  <c r="DV161"/>
  <c r="DT161"/>
  <c r="DS161"/>
  <c r="CS161"/>
  <c r="CP161"/>
  <c r="BP161"/>
  <c r="BN161"/>
  <c r="BE161"/>
  <c r="BB161"/>
  <c r="CE161" s="1"/>
  <c r="AM161"/>
  <c r="AK161"/>
  <c r="AJ161"/>
  <c r="AB161"/>
  <c r="J161"/>
  <c r="H161"/>
  <c r="G161"/>
  <c r="C161"/>
  <c r="IG160"/>
  <c r="IF160"/>
  <c r="IE160"/>
  <c r="HD160"/>
  <c r="HC160"/>
  <c r="HB160"/>
  <c r="GA160"/>
  <c r="FZ160"/>
  <c r="FY160"/>
  <c r="EX160"/>
  <c r="EW160"/>
  <c r="EV160"/>
  <c r="DT160"/>
  <c r="DS160"/>
  <c r="CR160"/>
  <c r="CP160"/>
  <c r="BO160"/>
  <c r="BN160"/>
  <c r="BE160"/>
  <c r="BB160"/>
  <c r="CE160" s="1"/>
  <c r="AL160"/>
  <c r="AK160"/>
  <c r="AJ160"/>
  <c r="AB160"/>
  <c r="I160"/>
  <c r="H160"/>
  <c r="G160"/>
  <c r="C160"/>
  <c r="IF159"/>
  <c r="ID159"/>
  <c r="HH159"/>
  <c r="HC159"/>
  <c r="HA159"/>
  <c r="GE159"/>
  <c r="FZ159"/>
  <c r="FX159"/>
  <c r="FB159"/>
  <c r="EW159"/>
  <c r="EU159"/>
  <c r="DY159"/>
  <c r="DT159"/>
  <c r="DR159"/>
  <c r="CV159"/>
  <c r="CO159"/>
  <c r="BS159"/>
  <c r="BN159"/>
  <c r="BL159"/>
  <c r="BB159"/>
  <c r="CE159" s="1"/>
  <c r="AP159"/>
  <c r="AK159"/>
  <c r="AB159"/>
  <c r="M159"/>
  <c r="H159"/>
  <c r="F159"/>
  <c r="C159"/>
  <c r="IG158"/>
  <c r="IF158"/>
  <c r="ID158"/>
  <c r="HD158"/>
  <c r="HC158"/>
  <c r="HA158"/>
  <c r="GA158"/>
  <c r="FZ158"/>
  <c r="FX158"/>
  <c r="EX158"/>
  <c r="EW158"/>
  <c r="EU158"/>
  <c r="DT158"/>
  <c r="DR158"/>
  <c r="CR158"/>
  <c r="CO158"/>
  <c r="BO158"/>
  <c r="BN158"/>
  <c r="BL158"/>
  <c r="BB158"/>
  <c r="CE158" s="1"/>
  <c r="AL158"/>
  <c r="AK158"/>
  <c r="AB158"/>
  <c r="I158"/>
  <c r="H158"/>
  <c r="F158"/>
  <c r="C158"/>
  <c r="IF157"/>
  <c r="IE157"/>
  <c r="HH157"/>
  <c r="HC157"/>
  <c r="HB157"/>
  <c r="GE157"/>
  <c r="FZ157"/>
  <c r="FY157"/>
  <c r="FB157"/>
  <c r="EW157"/>
  <c r="EV157"/>
  <c r="DY157"/>
  <c r="DT157"/>
  <c r="DS157"/>
  <c r="CV157"/>
  <c r="CP157"/>
  <c r="BS157"/>
  <c r="BN157"/>
  <c r="BE157"/>
  <c r="BB157"/>
  <c r="CE157" s="1"/>
  <c r="AP157"/>
  <c r="AK157"/>
  <c r="AJ157"/>
  <c r="AB157"/>
  <c r="M157"/>
  <c r="H157"/>
  <c r="G157"/>
  <c r="C157"/>
  <c r="IF156"/>
  <c r="IE156"/>
  <c r="HC156"/>
  <c r="HB156"/>
  <c r="FZ156"/>
  <c r="FY156"/>
  <c r="EW156"/>
  <c r="EV156"/>
  <c r="DT156"/>
  <c r="DS156"/>
  <c r="CP156"/>
  <c r="CE156"/>
  <c r="BN156"/>
  <c r="BE156"/>
  <c r="BB156"/>
  <c r="AK156"/>
  <c r="AJ156"/>
  <c r="AB156"/>
  <c r="H156"/>
  <c r="G156"/>
  <c r="C156"/>
  <c r="II155"/>
  <c r="IG155"/>
  <c r="ID155"/>
  <c r="HF155"/>
  <c r="HD155"/>
  <c r="HA155"/>
  <c r="GA155"/>
  <c r="FX155"/>
  <c r="EZ155"/>
  <c r="EX155"/>
  <c r="EU155"/>
  <c r="DW155"/>
  <c r="DR155"/>
  <c r="CT155"/>
  <c r="CR155"/>
  <c r="CO155"/>
  <c r="BQ155"/>
  <c r="BO155"/>
  <c r="BL155"/>
  <c r="BB155"/>
  <c r="BE155" s="1"/>
  <c r="AN155"/>
  <c r="AL155"/>
  <c r="AB155"/>
  <c r="K155"/>
  <c r="I155"/>
  <c r="F155"/>
  <c r="C155"/>
  <c r="IH154"/>
  <c r="IF154"/>
  <c r="IE154"/>
  <c r="HE154"/>
  <c r="HC154"/>
  <c r="HB154"/>
  <c r="GB154"/>
  <c r="FZ154"/>
  <c r="FY154"/>
  <c r="EW154"/>
  <c r="EV154"/>
  <c r="DV154"/>
  <c r="DT154"/>
  <c r="DS154"/>
  <c r="CS154"/>
  <c r="CP154"/>
  <c r="BP154"/>
  <c r="BN154"/>
  <c r="BB154"/>
  <c r="BE154" s="1"/>
  <c r="AM154"/>
  <c r="AK154"/>
  <c r="AJ154"/>
  <c r="AB154"/>
  <c r="J154"/>
  <c r="H154"/>
  <c r="G154"/>
  <c r="C154"/>
  <c r="IG153"/>
  <c r="IE153"/>
  <c r="ID153"/>
  <c r="HD153"/>
  <c r="HB153"/>
  <c r="HA153"/>
  <c r="GA153"/>
  <c r="FY153"/>
  <c r="FX153"/>
  <c r="EX153"/>
  <c r="EV153"/>
  <c r="EU153"/>
  <c r="DS153"/>
  <c r="DR153"/>
  <c r="CR153"/>
  <c r="CP153"/>
  <c r="CO153"/>
  <c r="BO153"/>
  <c r="BL153"/>
  <c r="BB153"/>
  <c r="BE153" s="1"/>
  <c r="AL153"/>
  <c r="AJ153"/>
  <c r="AB153"/>
  <c r="I153"/>
  <c r="G153"/>
  <c r="F153"/>
  <c r="C153"/>
  <c r="IJ151"/>
  <c r="IF151"/>
  <c r="IE151"/>
  <c r="HC151"/>
  <c r="HB151"/>
  <c r="GD151"/>
  <c r="FZ151"/>
  <c r="FY151"/>
  <c r="FA151"/>
  <c r="EW151"/>
  <c r="EV151"/>
  <c r="DX151"/>
  <c r="DT151"/>
  <c r="DS151"/>
  <c r="CU151"/>
  <c r="CP151"/>
  <c r="BR151"/>
  <c r="BN151"/>
  <c r="BB151"/>
  <c r="BE151" s="1"/>
  <c r="AO151"/>
  <c r="AK151"/>
  <c r="AJ151"/>
  <c r="AB151"/>
  <c r="L151"/>
  <c r="H151"/>
  <c r="G151"/>
  <c r="C151"/>
  <c r="IJ150"/>
  <c r="IF150"/>
  <c r="IE150"/>
  <c r="HC150"/>
  <c r="HB150"/>
  <c r="GD150"/>
  <c r="FZ150"/>
  <c r="FY150"/>
  <c r="FA150"/>
  <c r="EW150"/>
  <c r="EV150"/>
  <c r="DX150"/>
  <c r="DT150"/>
  <c r="DS150"/>
  <c r="CU150"/>
  <c r="CP150"/>
  <c r="BR150"/>
  <c r="BN150"/>
  <c r="BB150"/>
  <c r="BE150" s="1"/>
  <c r="AO150"/>
  <c r="AK150"/>
  <c r="AJ150"/>
  <c r="AB150"/>
  <c r="L150"/>
  <c r="H150"/>
  <c r="G150"/>
  <c r="C150"/>
  <c r="IG149"/>
  <c r="IF149"/>
  <c r="ID149"/>
  <c r="HD149"/>
  <c r="HC149"/>
  <c r="HA149"/>
  <c r="GA149"/>
  <c r="FZ149"/>
  <c r="FX149"/>
  <c r="EX149"/>
  <c r="EW149"/>
  <c r="EU149"/>
  <c r="DT149"/>
  <c r="DR149"/>
  <c r="CR149"/>
  <c r="CO149"/>
  <c r="BO149"/>
  <c r="BN149"/>
  <c r="BL149"/>
  <c r="BB149"/>
  <c r="BE149" s="1"/>
  <c r="AL149"/>
  <c r="AK149"/>
  <c r="AB149"/>
  <c r="I149"/>
  <c r="H149"/>
  <c r="F149"/>
  <c r="C149"/>
  <c r="IH148"/>
  <c r="IE148"/>
  <c r="HH148"/>
  <c r="HE148"/>
  <c r="HB148"/>
  <c r="GE148"/>
  <c r="GB148"/>
  <c r="FY148"/>
  <c r="FB148"/>
  <c r="EV148"/>
  <c r="DY148"/>
  <c r="DV148"/>
  <c r="DS148"/>
  <c r="CV148"/>
  <c r="CS148"/>
  <c r="CP148"/>
  <c r="BS148"/>
  <c r="BP148"/>
  <c r="BB148"/>
  <c r="BE148" s="1"/>
  <c r="AP148"/>
  <c r="AM148"/>
  <c r="AJ148"/>
  <c r="AB148"/>
  <c r="M148"/>
  <c r="J148"/>
  <c r="G148"/>
  <c r="C148"/>
  <c r="IG147"/>
  <c r="IF147"/>
  <c r="ID147"/>
  <c r="HD147"/>
  <c r="HC147"/>
  <c r="HA147"/>
  <c r="GA147"/>
  <c r="FZ147"/>
  <c r="FX147"/>
  <c r="EX147"/>
  <c r="EW147"/>
  <c r="EU147"/>
  <c r="DT147"/>
  <c r="DR147"/>
  <c r="CR147"/>
  <c r="CO147"/>
  <c r="BO147"/>
  <c r="BN147"/>
  <c r="BL147"/>
  <c r="BB147"/>
  <c r="BE147" s="1"/>
  <c r="AL147"/>
  <c r="AK147"/>
  <c r="AB147"/>
  <c r="I147"/>
  <c r="H147"/>
  <c r="F147"/>
  <c r="C147"/>
  <c r="IJ146"/>
  <c r="IF146"/>
  <c r="ID146"/>
  <c r="HC146"/>
  <c r="HA146"/>
  <c r="GD146"/>
  <c r="FZ146"/>
  <c r="FX146"/>
  <c r="FA146"/>
  <c r="EW146"/>
  <c r="EU146"/>
  <c r="DX146"/>
  <c r="DT146"/>
  <c r="DR146"/>
  <c r="CU146"/>
  <c r="CO146"/>
  <c r="BR146"/>
  <c r="BN146"/>
  <c r="BL146"/>
  <c r="BB146"/>
  <c r="BE146" s="1"/>
  <c r="AO146"/>
  <c r="AK146"/>
  <c r="AB146"/>
  <c r="L146"/>
  <c r="H146"/>
  <c r="F146"/>
  <c r="C146"/>
  <c r="IH145"/>
  <c r="IE145"/>
  <c r="HH145"/>
  <c r="HE145"/>
  <c r="HB145"/>
  <c r="GE145"/>
  <c r="GB145"/>
  <c r="FY145"/>
  <c r="FB145"/>
  <c r="EV145"/>
  <c r="DY145"/>
  <c r="DV145"/>
  <c r="DS145"/>
  <c r="CV145"/>
  <c r="CS145"/>
  <c r="CP145"/>
  <c r="CE145"/>
  <c r="CH145" s="1"/>
  <c r="BS145"/>
  <c r="BP145"/>
  <c r="BB145"/>
  <c r="BE145" s="1"/>
  <c r="AP145"/>
  <c r="AM145"/>
  <c r="AJ145"/>
  <c r="AB145"/>
  <c r="M145"/>
  <c r="J145"/>
  <c r="G145"/>
  <c r="C145"/>
  <c r="IG144"/>
  <c r="IF144"/>
  <c r="ID144"/>
  <c r="HD144"/>
  <c r="HC144"/>
  <c r="HA144"/>
  <c r="GA144"/>
  <c r="FZ144"/>
  <c r="FX144"/>
  <c r="EX144"/>
  <c r="EW144"/>
  <c r="EU144"/>
  <c r="DT144"/>
  <c r="DR144"/>
  <c r="CR144"/>
  <c r="CO144"/>
  <c r="BO144"/>
  <c r="BN144"/>
  <c r="BL144"/>
  <c r="BB144"/>
  <c r="BE144" s="1"/>
  <c r="AL144"/>
  <c r="AK144"/>
  <c r="AB144"/>
  <c r="I144"/>
  <c r="H144"/>
  <c r="F144"/>
  <c r="C144"/>
  <c r="IJ143"/>
  <c r="IG143"/>
  <c r="IF143"/>
  <c r="HD143"/>
  <c r="HC143"/>
  <c r="GD143"/>
  <c r="GA143"/>
  <c r="FZ143"/>
  <c r="FA143"/>
  <c r="EX143"/>
  <c r="EW143"/>
  <c r="DX143"/>
  <c r="DT143"/>
  <c r="CU143"/>
  <c r="CR143"/>
  <c r="BR143"/>
  <c r="BO143"/>
  <c r="BN143"/>
  <c r="BB143"/>
  <c r="BE143" s="1"/>
  <c r="AO143"/>
  <c r="AL143"/>
  <c r="AK143"/>
  <c r="AB143"/>
  <c r="L143"/>
  <c r="I143"/>
  <c r="H143"/>
  <c r="C143"/>
  <c r="IG142"/>
  <c r="IE142"/>
  <c r="ID142"/>
  <c r="HD142"/>
  <c r="HB142"/>
  <c r="HA142"/>
  <c r="GA142"/>
  <c r="FY142"/>
  <c r="FX142"/>
  <c r="EX142"/>
  <c r="EV142"/>
  <c r="EU142"/>
  <c r="DS142"/>
  <c r="DR142"/>
  <c r="CR142"/>
  <c r="CP142"/>
  <c r="CO142"/>
  <c r="BO142"/>
  <c r="BL142"/>
  <c r="BB142"/>
  <c r="BE142" s="1"/>
  <c r="AL142"/>
  <c r="AJ142"/>
  <c r="AB142"/>
  <c r="I142"/>
  <c r="G142"/>
  <c r="F142"/>
  <c r="C142"/>
  <c r="IJ141"/>
  <c r="IF141"/>
  <c r="ID141"/>
  <c r="HC141"/>
  <c r="HA141"/>
  <c r="GD141"/>
  <c r="FZ141"/>
  <c r="FX141"/>
  <c r="FA141"/>
  <c r="EW141"/>
  <c r="EU141"/>
  <c r="DX141"/>
  <c r="DT141"/>
  <c r="DR141"/>
  <c r="CU141"/>
  <c r="CO141"/>
  <c r="BR141"/>
  <c r="BN141"/>
  <c r="BL141"/>
  <c r="BB141"/>
  <c r="BE141" s="1"/>
  <c r="AO141"/>
  <c r="AK141"/>
  <c r="AB141"/>
  <c r="L141"/>
  <c r="H141"/>
  <c r="F141"/>
  <c r="C141"/>
  <c r="IH140"/>
  <c r="IG140"/>
  <c r="IF140"/>
  <c r="HE140"/>
  <c r="HD140"/>
  <c r="HC140"/>
  <c r="GB140"/>
  <c r="GA140"/>
  <c r="FZ140"/>
  <c r="EX140"/>
  <c r="EW140"/>
  <c r="DV140"/>
  <c r="DT140"/>
  <c r="CS140"/>
  <c r="CR140"/>
  <c r="BP140"/>
  <c r="BO140"/>
  <c r="BN140"/>
  <c r="BB140"/>
  <c r="BE140" s="1"/>
  <c r="AM140"/>
  <c r="AL140"/>
  <c r="AK140"/>
  <c r="AB140"/>
  <c r="J140"/>
  <c r="I140"/>
  <c r="H140"/>
  <c r="C140"/>
  <c r="IJ139"/>
  <c r="IG139"/>
  <c r="IF139"/>
  <c r="HD139"/>
  <c r="HC139"/>
  <c r="GD139"/>
  <c r="GA139"/>
  <c r="FZ139"/>
  <c r="FA139"/>
  <c r="EX139"/>
  <c r="EW139"/>
  <c r="DX139"/>
  <c r="DT139"/>
  <c r="CU139"/>
  <c r="CR139"/>
  <c r="BR139"/>
  <c r="BO139"/>
  <c r="BN139"/>
  <c r="BB139"/>
  <c r="BE139" s="1"/>
  <c r="AO139"/>
  <c r="AL139"/>
  <c r="AK139"/>
  <c r="AB139"/>
  <c r="L139"/>
  <c r="I139"/>
  <c r="H139"/>
  <c r="C139"/>
  <c r="IJ138"/>
  <c r="IF138"/>
  <c r="IE138"/>
  <c r="HC138"/>
  <c r="HB138"/>
  <c r="GD138"/>
  <c r="FZ138"/>
  <c r="FY138"/>
  <c r="FA138"/>
  <c r="EW138"/>
  <c r="EV138"/>
  <c r="DX138"/>
  <c r="DT138"/>
  <c r="DS138"/>
  <c r="CU138"/>
  <c r="CP138"/>
  <c r="BR138"/>
  <c r="BN138"/>
  <c r="BB138"/>
  <c r="BE138" s="1"/>
  <c r="AO138"/>
  <c r="AK138"/>
  <c r="AJ138"/>
  <c r="AB138"/>
  <c r="L138"/>
  <c r="H138"/>
  <c r="G138"/>
  <c r="C138"/>
  <c r="IF137"/>
  <c r="IE137"/>
  <c r="ID137"/>
  <c r="HC137"/>
  <c r="HB137"/>
  <c r="HA137"/>
  <c r="FZ137"/>
  <c r="FY137"/>
  <c r="FX137"/>
  <c r="EW137"/>
  <c r="EV137"/>
  <c r="EU137"/>
  <c r="DT137"/>
  <c r="DS137"/>
  <c r="DR137"/>
  <c r="CP137"/>
  <c r="CO137"/>
  <c r="BN137"/>
  <c r="BL137"/>
  <c r="BB137"/>
  <c r="BE137" s="1"/>
  <c r="AK137"/>
  <c r="AJ137"/>
  <c r="AB137"/>
  <c r="H137"/>
  <c r="G137"/>
  <c r="F137"/>
  <c r="C137"/>
  <c r="IG136"/>
  <c r="IF136"/>
  <c r="ID136"/>
  <c r="HD136"/>
  <c r="HC136"/>
  <c r="HA136"/>
  <c r="GA136"/>
  <c r="FZ136"/>
  <c r="FX136"/>
  <c r="EX136"/>
  <c r="EW136"/>
  <c r="EU136"/>
  <c r="DT136"/>
  <c r="DR136"/>
  <c r="CR136"/>
  <c r="CO136"/>
  <c r="BO136"/>
  <c r="BN136"/>
  <c r="BL136"/>
  <c r="BB136"/>
  <c r="BE136" s="1"/>
  <c r="AL136"/>
  <c r="AK136"/>
  <c r="AB136"/>
  <c r="I136"/>
  <c r="H136"/>
  <c r="F136"/>
  <c r="C136"/>
  <c r="IJ135"/>
  <c r="IG135"/>
  <c r="IF135"/>
  <c r="HD135"/>
  <c r="HC135"/>
  <c r="GD135"/>
  <c r="GA135"/>
  <c r="FZ135"/>
  <c r="FA135"/>
  <c r="EX135"/>
  <c r="EW135"/>
  <c r="DX135"/>
  <c r="DT135"/>
  <c r="CU135"/>
  <c r="CR135"/>
  <c r="BR135"/>
  <c r="BO135"/>
  <c r="BN135"/>
  <c r="BB135"/>
  <c r="BE135" s="1"/>
  <c r="AO135"/>
  <c r="AL135"/>
  <c r="AK135"/>
  <c r="AB135"/>
  <c r="L135"/>
  <c r="I135"/>
  <c r="H135"/>
  <c r="C135"/>
  <c r="II134"/>
  <c r="IG134"/>
  <c r="IF134"/>
  <c r="HF134"/>
  <c r="HD134"/>
  <c r="HC134"/>
  <c r="GA134"/>
  <c r="FZ134"/>
  <c r="EZ134"/>
  <c r="EX134"/>
  <c r="EW134"/>
  <c r="DW134"/>
  <c r="DT134"/>
  <c r="CT134"/>
  <c r="CR134"/>
  <c r="BQ134"/>
  <c r="BO134"/>
  <c r="BN134"/>
  <c r="BB134"/>
  <c r="BE134" s="1"/>
  <c r="AN134"/>
  <c r="AL134"/>
  <c r="AK134"/>
  <c r="AB134"/>
  <c r="K134"/>
  <c r="I134"/>
  <c r="H134"/>
  <c r="C134"/>
  <c r="IG133"/>
  <c r="IF133"/>
  <c r="IE133"/>
  <c r="HD133"/>
  <c r="HC133"/>
  <c r="HB133"/>
  <c r="GA133"/>
  <c r="FZ133"/>
  <c r="FY133"/>
  <c r="EX133"/>
  <c r="EW133"/>
  <c r="EV133"/>
  <c r="DT133"/>
  <c r="DS133"/>
  <c r="CR133"/>
  <c r="CP133"/>
  <c r="BO133"/>
  <c r="BN133"/>
  <c r="BB133"/>
  <c r="BE133" s="1"/>
  <c r="AL133"/>
  <c r="AK133"/>
  <c r="AJ133"/>
  <c r="AB133"/>
  <c r="I133"/>
  <c r="H133"/>
  <c r="G133"/>
  <c r="C133"/>
  <c r="IG132"/>
  <c r="IE132"/>
  <c r="HH132"/>
  <c r="HD132"/>
  <c r="HB132"/>
  <c r="GE132"/>
  <c r="GA132"/>
  <c r="FY132"/>
  <c r="FB132"/>
  <c r="EX132"/>
  <c r="EV132"/>
  <c r="DY132"/>
  <c r="DS132"/>
  <c r="CV132"/>
  <c r="CR132"/>
  <c r="CP132"/>
  <c r="BS132"/>
  <c r="BO132"/>
  <c r="BB132"/>
  <c r="CE132" s="1"/>
  <c r="AP132"/>
  <c r="AL132"/>
  <c r="AJ132"/>
  <c r="AB132"/>
  <c r="M132"/>
  <c r="I132"/>
  <c r="G132"/>
  <c r="C132"/>
  <c r="IH131"/>
  <c r="IF131"/>
  <c r="IE131"/>
  <c r="HE131"/>
  <c r="HC131"/>
  <c r="HB131"/>
  <c r="GB131"/>
  <c r="FZ131"/>
  <c r="FY131"/>
  <c r="EW131"/>
  <c r="EV131"/>
  <c r="DV131"/>
  <c r="DT131"/>
  <c r="DS131"/>
  <c r="CS131"/>
  <c r="CP131"/>
  <c r="BP131"/>
  <c r="BN131"/>
  <c r="BB131"/>
  <c r="CE131" s="1"/>
  <c r="AM131"/>
  <c r="AK131"/>
  <c r="AJ131"/>
  <c r="AB131"/>
  <c r="J131"/>
  <c r="H131"/>
  <c r="G131"/>
  <c r="C131"/>
  <c r="IG130"/>
  <c r="IF130"/>
  <c r="ID130"/>
  <c r="HD130"/>
  <c r="HC130"/>
  <c r="HA130"/>
  <c r="GA130"/>
  <c r="FZ130"/>
  <c r="FX130"/>
  <c r="EX130"/>
  <c r="EW130"/>
  <c r="EU130"/>
  <c r="DT130"/>
  <c r="DR130"/>
  <c r="CR130"/>
  <c r="CO130"/>
  <c r="BO130"/>
  <c r="BN130"/>
  <c r="BL130"/>
  <c r="BB130"/>
  <c r="CE130" s="1"/>
  <c r="AL130"/>
  <c r="AK130"/>
  <c r="AB130"/>
  <c r="I130"/>
  <c r="H130"/>
  <c r="F130"/>
  <c r="C130"/>
  <c r="IH129"/>
  <c r="IF129"/>
  <c r="IE129"/>
  <c r="HE129"/>
  <c r="HC129"/>
  <c r="HB129"/>
  <c r="GB129"/>
  <c r="FZ129"/>
  <c r="FY129"/>
  <c r="EW129"/>
  <c r="EV129"/>
  <c r="DV129"/>
  <c r="DT129"/>
  <c r="DS129"/>
  <c r="CS129"/>
  <c r="CP129"/>
  <c r="BP129"/>
  <c r="BN129"/>
  <c r="BB129"/>
  <c r="CE129" s="1"/>
  <c r="AM129"/>
  <c r="AK129"/>
  <c r="AJ129"/>
  <c r="AB129"/>
  <c r="J129"/>
  <c r="H129"/>
  <c r="G129"/>
  <c r="C129"/>
  <c r="IH128"/>
  <c r="IF128"/>
  <c r="IE128"/>
  <c r="HE128"/>
  <c r="HC128"/>
  <c r="HB128"/>
  <c r="GB128"/>
  <c r="FZ128"/>
  <c r="FY128"/>
  <c r="EW128"/>
  <c r="EV128"/>
  <c r="DV128"/>
  <c r="DT128"/>
  <c r="DS128"/>
  <c r="CS128"/>
  <c r="CP128"/>
  <c r="BP128"/>
  <c r="BN128"/>
  <c r="BB128"/>
  <c r="CE128" s="1"/>
  <c r="AM128"/>
  <c r="AK128"/>
  <c r="AJ128"/>
  <c r="AB128"/>
  <c r="J128"/>
  <c r="H128"/>
  <c r="G128"/>
  <c r="C128"/>
  <c r="IG126"/>
  <c r="IF126"/>
  <c r="IE126"/>
  <c r="HD126"/>
  <c r="HC126"/>
  <c r="HB126"/>
  <c r="GA126"/>
  <c r="FZ126"/>
  <c r="FY126"/>
  <c r="EX126"/>
  <c r="EW126"/>
  <c r="EV126"/>
  <c r="DT126"/>
  <c r="DS126"/>
  <c r="CR126"/>
  <c r="CP126"/>
  <c r="BO126"/>
  <c r="BN126"/>
  <c r="BB126"/>
  <c r="CE126" s="1"/>
  <c r="AL126"/>
  <c r="AK126"/>
  <c r="AJ126"/>
  <c r="AB126"/>
  <c r="I126"/>
  <c r="H126"/>
  <c r="G126"/>
  <c r="C126"/>
  <c r="IJ125"/>
  <c r="IH125"/>
  <c r="IF125"/>
  <c r="HE125"/>
  <c r="HC125"/>
  <c r="GD125"/>
  <c r="GB125"/>
  <c r="FZ125"/>
  <c r="FA125"/>
  <c r="EW125"/>
  <c r="DX125"/>
  <c r="DV125"/>
  <c r="DT125"/>
  <c r="CU125"/>
  <c r="CS125"/>
  <c r="BR125"/>
  <c r="BP125"/>
  <c r="BN125"/>
  <c r="BB125"/>
  <c r="CE125" s="1"/>
  <c r="AO125"/>
  <c r="AM125"/>
  <c r="AK125"/>
  <c r="AB125"/>
  <c r="L125"/>
  <c r="J125"/>
  <c r="H125"/>
  <c r="C125"/>
  <c r="IJ124"/>
  <c r="IH124"/>
  <c r="IF124"/>
  <c r="HE124"/>
  <c r="HC124"/>
  <c r="GD124"/>
  <c r="GB124"/>
  <c r="FZ124"/>
  <c r="FA124"/>
  <c r="EW124"/>
  <c r="DX124"/>
  <c r="DV124"/>
  <c r="DT124"/>
  <c r="CU124"/>
  <c r="CS124"/>
  <c r="BR124"/>
  <c r="BP124"/>
  <c r="BN124"/>
  <c r="BB124"/>
  <c r="CE124" s="1"/>
  <c r="AO124"/>
  <c r="AM124"/>
  <c r="AK124"/>
  <c r="AB124"/>
  <c r="L124"/>
  <c r="J124"/>
  <c r="H124"/>
  <c r="C124"/>
  <c r="IG123"/>
  <c r="IF123"/>
  <c r="ID123"/>
  <c r="HD123"/>
  <c r="HC123"/>
  <c r="HA123"/>
  <c r="GA123"/>
  <c r="FZ123"/>
  <c r="FX123"/>
  <c r="EX123"/>
  <c r="EW123"/>
  <c r="EU123"/>
  <c r="DT123"/>
  <c r="DR123"/>
  <c r="CR123"/>
  <c r="CO123"/>
  <c r="BO123"/>
  <c r="BN123"/>
  <c r="BL123"/>
  <c r="BB123"/>
  <c r="CE123" s="1"/>
  <c r="AL123"/>
  <c r="AK123"/>
  <c r="AB123"/>
  <c r="I123"/>
  <c r="H123"/>
  <c r="F123"/>
  <c r="C123"/>
  <c r="II122"/>
  <c r="IG122"/>
  <c r="ID122"/>
  <c r="HF122"/>
  <c r="HD122"/>
  <c r="HA122"/>
  <c r="GA122"/>
  <c r="FX122"/>
  <c r="EZ122"/>
  <c r="EX122"/>
  <c r="EU122"/>
  <c r="DW122"/>
  <c r="DR122"/>
  <c r="CT122"/>
  <c r="CR122"/>
  <c r="CO122"/>
  <c r="BQ122"/>
  <c r="BO122"/>
  <c r="BL122"/>
  <c r="BB122"/>
  <c r="CE122" s="1"/>
  <c r="AN122"/>
  <c r="AL122"/>
  <c r="AB122"/>
  <c r="K122"/>
  <c r="I122"/>
  <c r="F122"/>
  <c r="C122"/>
  <c r="IG121"/>
  <c r="IF121"/>
  <c r="IE121"/>
  <c r="HD121"/>
  <c r="HC121"/>
  <c r="HB121"/>
  <c r="GA121"/>
  <c r="FZ121"/>
  <c r="FY121"/>
  <c r="EX121"/>
  <c r="EW121"/>
  <c r="EV121"/>
  <c r="DT121"/>
  <c r="DS121"/>
  <c r="CR121"/>
  <c r="CP121"/>
  <c r="BO121"/>
  <c r="BN121"/>
  <c r="BB121"/>
  <c r="CE121" s="1"/>
  <c r="AL121"/>
  <c r="AK121"/>
  <c r="AJ121"/>
  <c r="AB121"/>
  <c r="I121"/>
  <c r="H121"/>
  <c r="G121"/>
  <c r="C121"/>
  <c r="IJ120"/>
  <c r="IE120"/>
  <c r="ID120"/>
  <c r="HB120"/>
  <c r="HA120"/>
  <c r="GD120"/>
  <c r="FY120"/>
  <c r="FX120"/>
  <c r="FA120"/>
  <c r="EV120"/>
  <c r="EU120"/>
  <c r="DX120"/>
  <c r="DS120"/>
  <c r="DR120"/>
  <c r="CU120"/>
  <c r="CP120"/>
  <c r="CO120"/>
  <c r="BR120"/>
  <c r="BL120"/>
  <c r="BB120"/>
  <c r="CE120" s="1"/>
  <c r="AO120"/>
  <c r="AJ120"/>
  <c r="AB120"/>
  <c r="L120"/>
  <c r="G120"/>
  <c r="F120"/>
  <c r="C120"/>
  <c r="IG119"/>
  <c r="IE119"/>
  <c r="ID119"/>
  <c r="HD119"/>
  <c r="HB119"/>
  <c r="HA119"/>
  <c r="GA119"/>
  <c r="FY119"/>
  <c r="FX119"/>
  <c r="EX119"/>
  <c r="EV119"/>
  <c r="EU119"/>
  <c r="DS119"/>
  <c r="DR119"/>
  <c r="CR119"/>
  <c r="CP119"/>
  <c r="CO119"/>
  <c r="BO119"/>
  <c r="BL119"/>
  <c r="BB119"/>
  <c r="CE119" s="1"/>
  <c r="AL119"/>
  <c r="AJ119"/>
  <c r="AB119"/>
  <c r="I119"/>
  <c r="G119"/>
  <c r="F119"/>
  <c r="C119"/>
  <c r="II118"/>
  <c r="IG118"/>
  <c r="ID118"/>
  <c r="HF118"/>
  <c r="HD118"/>
  <c r="HA118"/>
  <c r="GA118"/>
  <c r="FX118"/>
  <c r="EZ118"/>
  <c r="EX118"/>
  <c r="EU118"/>
  <c r="DW118"/>
  <c r="DR118"/>
  <c r="CT118"/>
  <c r="CR118"/>
  <c r="CO118"/>
  <c r="BQ118"/>
  <c r="BO118"/>
  <c r="BL118"/>
  <c r="BB118"/>
  <c r="CE118" s="1"/>
  <c r="AN118"/>
  <c r="AL118"/>
  <c r="AB118"/>
  <c r="K118"/>
  <c r="I118"/>
  <c r="F118"/>
  <c r="C118"/>
  <c r="IG117"/>
  <c r="IF117"/>
  <c r="ID117"/>
  <c r="HD117"/>
  <c r="HC117"/>
  <c r="HA117"/>
  <c r="GA117"/>
  <c r="FZ117"/>
  <c r="FX117"/>
  <c r="EX117"/>
  <c r="EW117"/>
  <c r="EU117"/>
  <c r="DT117"/>
  <c r="DR117"/>
  <c r="CR117"/>
  <c r="CO117"/>
  <c r="BO117"/>
  <c r="BN117"/>
  <c r="BL117"/>
  <c r="BB117"/>
  <c r="CE117" s="1"/>
  <c r="AL117"/>
  <c r="AK117"/>
  <c r="AB117"/>
  <c r="I117"/>
  <c r="H117"/>
  <c r="F117"/>
  <c r="C117"/>
  <c r="IG116"/>
  <c r="IE116"/>
  <c r="ID116"/>
  <c r="HD116"/>
  <c r="HB116"/>
  <c r="HA116"/>
  <c r="GA116"/>
  <c r="FY116"/>
  <c r="FX116"/>
  <c r="EX116"/>
  <c r="EV116"/>
  <c r="EU116"/>
  <c r="DS116"/>
  <c r="DR116"/>
  <c r="CR116"/>
  <c r="CP116"/>
  <c r="CO116"/>
  <c r="BO116"/>
  <c r="BL116"/>
  <c r="BB116"/>
  <c r="CE116" s="1"/>
  <c r="AL116"/>
  <c r="AJ116"/>
  <c r="AB116"/>
  <c r="I116"/>
  <c r="G116"/>
  <c r="F116"/>
  <c r="C116"/>
  <c r="IG115"/>
  <c r="IE115"/>
  <c r="ID115"/>
  <c r="HD115"/>
  <c r="HB115"/>
  <c r="HA115"/>
  <c r="GA115"/>
  <c r="FY115"/>
  <c r="FX115"/>
  <c r="EX115"/>
  <c r="EV115"/>
  <c r="EU115"/>
  <c r="DS115"/>
  <c r="DR115"/>
  <c r="CR115"/>
  <c r="CP115"/>
  <c r="CO115"/>
  <c r="BO115"/>
  <c r="BL115"/>
  <c r="BB115"/>
  <c r="BE115" s="1"/>
  <c r="AL115"/>
  <c r="AJ115"/>
  <c r="AB115"/>
  <c r="I115"/>
  <c r="G115"/>
  <c r="F115"/>
  <c r="C115"/>
  <c r="IG114"/>
  <c r="IF114"/>
  <c r="IE114"/>
  <c r="HD114"/>
  <c r="HC114"/>
  <c r="HB114"/>
  <c r="GA114"/>
  <c r="FZ114"/>
  <c r="FY114"/>
  <c r="EX114"/>
  <c r="EW114"/>
  <c r="EV114"/>
  <c r="DT114"/>
  <c r="DS114"/>
  <c r="CR114"/>
  <c r="CP114"/>
  <c r="BO114"/>
  <c r="BN114"/>
  <c r="BB114"/>
  <c r="BE114" s="1"/>
  <c r="AL114"/>
  <c r="AK114"/>
  <c r="AJ114"/>
  <c r="AB114"/>
  <c r="I114"/>
  <c r="H114"/>
  <c r="G114"/>
  <c r="C114"/>
  <c r="IG113"/>
  <c r="IF113"/>
  <c r="IE113"/>
  <c r="HD113"/>
  <c r="HC113"/>
  <c r="HB113"/>
  <c r="GA113"/>
  <c r="FZ113"/>
  <c r="FY113"/>
  <c r="EX113"/>
  <c r="EW113"/>
  <c r="EV113"/>
  <c r="DT113"/>
  <c r="DS113"/>
  <c r="CR113"/>
  <c r="CP113"/>
  <c r="BO113"/>
  <c r="BN113"/>
  <c r="BB113"/>
  <c r="BE113" s="1"/>
  <c r="AL113"/>
  <c r="AK113"/>
  <c r="AJ113"/>
  <c r="AB113"/>
  <c r="I113"/>
  <c r="H113"/>
  <c r="G113"/>
  <c r="C113"/>
  <c r="IJ112"/>
  <c r="IH112"/>
  <c r="IF112"/>
  <c r="HE112"/>
  <c r="HC112"/>
  <c r="GD112"/>
  <c r="GB112"/>
  <c r="FZ112"/>
  <c r="FA112"/>
  <c r="EW112"/>
  <c r="DX112"/>
  <c r="DV112"/>
  <c r="DT112"/>
  <c r="CU112"/>
  <c r="CS112"/>
  <c r="BR112"/>
  <c r="BP112"/>
  <c r="BN112"/>
  <c r="BB112"/>
  <c r="BE112" s="1"/>
  <c r="AO112"/>
  <c r="AM112"/>
  <c r="AK112"/>
  <c r="AB112"/>
  <c r="L112"/>
  <c r="J112"/>
  <c r="H112"/>
  <c r="C112"/>
  <c r="IG111"/>
  <c r="IF111"/>
  <c r="ID111"/>
  <c r="HD111"/>
  <c r="HC111"/>
  <c r="HA111"/>
  <c r="GA111"/>
  <c r="FZ111"/>
  <c r="FX111"/>
  <c r="EX111"/>
  <c r="EW111"/>
  <c r="EU111"/>
  <c r="DT111"/>
  <c r="DR111"/>
  <c r="CR111"/>
  <c r="CO111"/>
  <c r="BO111"/>
  <c r="BN111"/>
  <c r="BL111"/>
  <c r="BB111"/>
  <c r="BE111" s="1"/>
  <c r="AL111"/>
  <c r="AK111"/>
  <c r="AB111"/>
  <c r="I111"/>
  <c r="H111"/>
  <c r="F111"/>
  <c r="C111"/>
  <c r="IG110"/>
  <c r="IF110"/>
  <c r="ID110"/>
  <c r="HD110"/>
  <c r="HC110"/>
  <c r="HA110"/>
  <c r="GA110"/>
  <c r="FZ110"/>
  <c r="FX110"/>
  <c r="EX110"/>
  <c r="EW110"/>
  <c r="EU110"/>
  <c r="DT110"/>
  <c r="DR110"/>
  <c r="CR110"/>
  <c r="CO110"/>
  <c r="BO110"/>
  <c r="BN110"/>
  <c r="BL110"/>
  <c r="BB110"/>
  <c r="BE110" s="1"/>
  <c r="AL110"/>
  <c r="AK110"/>
  <c r="AB110"/>
  <c r="I110"/>
  <c r="H110"/>
  <c r="F110"/>
  <c r="C110"/>
  <c r="IJ109"/>
  <c r="IG109"/>
  <c r="IF109"/>
  <c r="HD109"/>
  <c r="HC109"/>
  <c r="GD109"/>
  <c r="GA109"/>
  <c r="FZ109"/>
  <c r="FA109"/>
  <c r="EX109"/>
  <c r="EW109"/>
  <c r="DX109"/>
  <c r="DT109"/>
  <c r="CU109"/>
  <c r="CR109"/>
  <c r="BR109"/>
  <c r="BO109"/>
  <c r="BN109"/>
  <c r="BB109"/>
  <c r="BE109" s="1"/>
  <c r="AO109"/>
  <c r="AL109"/>
  <c r="AK109"/>
  <c r="AB109"/>
  <c r="L109"/>
  <c r="I109"/>
  <c r="H109"/>
  <c r="C109"/>
  <c r="IG108"/>
  <c r="IF108"/>
  <c r="IE108"/>
  <c r="HD108"/>
  <c r="HC108"/>
  <c r="HB108"/>
  <c r="GA108"/>
  <c r="FZ108"/>
  <c r="FY108"/>
  <c r="EX108"/>
  <c r="EW108"/>
  <c r="EV108"/>
  <c r="DT108"/>
  <c r="DS108"/>
  <c r="CR108"/>
  <c r="CP108"/>
  <c r="BO108"/>
  <c r="BN108"/>
  <c r="BB108"/>
  <c r="BE108" s="1"/>
  <c r="AL108"/>
  <c r="AK108"/>
  <c r="AJ108"/>
  <c r="AB108"/>
  <c r="I108"/>
  <c r="H108"/>
  <c r="G108"/>
  <c r="C108"/>
  <c r="IG107"/>
  <c r="IF107"/>
  <c r="IE107"/>
  <c r="HD107"/>
  <c r="HC107"/>
  <c r="HB107"/>
  <c r="GA107"/>
  <c r="FZ107"/>
  <c r="FY107"/>
  <c r="EX107"/>
  <c r="EW107"/>
  <c r="EV107"/>
  <c r="DT107"/>
  <c r="DS107"/>
  <c r="CR107"/>
  <c r="CP107"/>
  <c r="BO107"/>
  <c r="BN107"/>
  <c r="BB107"/>
  <c r="BE107" s="1"/>
  <c r="AL107"/>
  <c r="AK107"/>
  <c r="AJ107"/>
  <c r="AB107"/>
  <c r="I107"/>
  <c r="H107"/>
  <c r="G107"/>
  <c r="C107"/>
  <c r="IG106"/>
  <c r="IE106"/>
  <c r="HH106"/>
  <c r="HD106"/>
  <c r="HB106"/>
  <c r="GE106"/>
  <c r="GA106"/>
  <c r="FY106"/>
  <c r="FB106"/>
  <c r="EX106"/>
  <c r="EV106"/>
  <c r="DY106"/>
  <c r="DS106"/>
  <c r="CV106"/>
  <c r="CR106"/>
  <c r="CP106"/>
  <c r="BS106"/>
  <c r="BO106"/>
  <c r="BB106"/>
  <c r="BE106" s="1"/>
  <c r="AP106"/>
  <c r="AL106"/>
  <c r="AJ106"/>
  <c r="AB106"/>
  <c r="M106"/>
  <c r="I106"/>
  <c r="G106"/>
  <c r="C106"/>
  <c r="IF105"/>
  <c r="IE105"/>
  <c r="HC105"/>
  <c r="HB105"/>
  <c r="FZ105"/>
  <c r="FY105"/>
  <c r="EW105"/>
  <c r="EV105"/>
  <c r="DT105"/>
  <c r="DS105"/>
  <c r="CP105"/>
  <c r="BN105"/>
  <c r="BB105"/>
  <c r="CE105" s="1"/>
  <c r="DH105" s="1"/>
  <c r="DK105" s="1"/>
  <c r="AK105"/>
  <c r="AJ105"/>
  <c r="AB105"/>
  <c r="H105"/>
  <c r="G105"/>
  <c r="C105"/>
  <c r="IH104"/>
  <c r="IF104"/>
  <c r="IE104"/>
  <c r="HE104"/>
  <c r="HC104"/>
  <c r="HB104"/>
  <c r="GB104"/>
  <c r="FZ104"/>
  <c r="FY104"/>
  <c r="EW104"/>
  <c r="EV104"/>
  <c r="DV104"/>
  <c r="DT104"/>
  <c r="DS104"/>
  <c r="CS104"/>
  <c r="CP104"/>
  <c r="BP104"/>
  <c r="BN104"/>
  <c r="BB104"/>
  <c r="CE104" s="1"/>
  <c r="DH104" s="1"/>
  <c r="EK104" s="1"/>
  <c r="FN104" s="1"/>
  <c r="GQ104" s="1"/>
  <c r="HT104" s="1"/>
  <c r="IW104" s="1"/>
  <c r="IZ104" s="1"/>
  <c r="AM104"/>
  <c r="AK104"/>
  <c r="AJ104"/>
  <c r="AB104"/>
  <c r="J104"/>
  <c r="H104"/>
  <c r="G104"/>
  <c r="C104"/>
  <c r="IJ103"/>
  <c r="IE103"/>
  <c r="ID103"/>
  <c r="HB103"/>
  <c r="HA103"/>
  <c r="GD103"/>
  <c r="FY103"/>
  <c r="FX103"/>
  <c r="FA103"/>
  <c r="EV103"/>
  <c r="EU103"/>
  <c r="DX103"/>
  <c r="DS103"/>
  <c r="DR103"/>
  <c r="CU103"/>
  <c r="CP103"/>
  <c r="CO103"/>
  <c r="BR103"/>
  <c r="BL103"/>
  <c r="BB103"/>
  <c r="CE103" s="1"/>
  <c r="DH103" s="1"/>
  <c r="EK103" s="1"/>
  <c r="FN103" s="1"/>
  <c r="GQ103" s="1"/>
  <c r="HT103" s="1"/>
  <c r="IW103" s="1"/>
  <c r="IZ103" s="1"/>
  <c r="AO103"/>
  <c r="AJ103"/>
  <c r="AB103"/>
  <c r="L103"/>
  <c r="G103"/>
  <c r="F103"/>
  <c r="C103"/>
  <c r="IG102"/>
  <c r="IE102"/>
  <c r="ID102"/>
  <c r="HD102"/>
  <c r="HB102"/>
  <c r="HA102"/>
  <c r="GA102"/>
  <c r="FY102"/>
  <c r="FX102"/>
  <c r="EX102"/>
  <c r="EV102"/>
  <c r="EU102"/>
  <c r="DS102"/>
  <c r="DR102"/>
  <c r="CR102"/>
  <c r="CP102"/>
  <c r="CO102"/>
  <c r="BO102"/>
  <c r="BL102"/>
  <c r="BB102"/>
  <c r="CE102" s="1"/>
  <c r="DH102" s="1"/>
  <c r="EK102" s="1"/>
  <c r="FN102" s="1"/>
  <c r="GQ102" s="1"/>
  <c r="HT102" s="1"/>
  <c r="IW102" s="1"/>
  <c r="IZ102" s="1"/>
  <c r="AL102"/>
  <c r="AJ102"/>
  <c r="AB102"/>
  <c r="I102"/>
  <c r="G102"/>
  <c r="F102"/>
  <c r="C102"/>
  <c r="II101"/>
  <c r="IG101"/>
  <c r="ID101"/>
  <c r="HF101"/>
  <c r="HD101"/>
  <c r="HA101"/>
  <c r="GA101"/>
  <c r="FX101"/>
  <c r="EZ101"/>
  <c r="EX101"/>
  <c r="EU101"/>
  <c r="DW101"/>
  <c r="DR101"/>
  <c r="CT101"/>
  <c r="CR101"/>
  <c r="CO101"/>
  <c r="BQ101"/>
  <c r="BO101"/>
  <c r="BL101"/>
  <c r="BB101"/>
  <c r="CE101" s="1"/>
  <c r="DH101" s="1"/>
  <c r="EK101" s="1"/>
  <c r="FN101" s="1"/>
  <c r="GQ101" s="1"/>
  <c r="HT101" s="1"/>
  <c r="IW101" s="1"/>
  <c r="IZ101" s="1"/>
  <c r="AN101"/>
  <c r="AL101"/>
  <c r="AB101"/>
  <c r="K101"/>
  <c r="I101"/>
  <c r="F101"/>
  <c r="C101"/>
  <c r="IH100"/>
  <c r="IF100"/>
  <c r="IE100"/>
  <c r="HE100"/>
  <c r="HC100"/>
  <c r="HB100"/>
  <c r="GB100"/>
  <c r="FZ100"/>
  <c r="FY100"/>
  <c r="EW100"/>
  <c r="EV100"/>
  <c r="DV100"/>
  <c r="DT100"/>
  <c r="DS100"/>
  <c r="CS100"/>
  <c r="CP100"/>
  <c r="BP100"/>
  <c r="BN100"/>
  <c r="BB100"/>
  <c r="CE100" s="1"/>
  <c r="DH100" s="1"/>
  <c r="EK100" s="1"/>
  <c r="FN100" s="1"/>
  <c r="GQ100" s="1"/>
  <c r="HT100" s="1"/>
  <c r="IW100" s="1"/>
  <c r="IZ100" s="1"/>
  <c r="AM100"/>
  <c r="AK100"/>
  <c r="AJ100"/>
  <c r="AB100"/>
  <c r="J100"/>
  <c r="H100"/>
  <c r="G100"/>
  <c r="C100"/>
  <c r="II98"/>
  <c r="IF98"/>
  <c r="ID98"/>
  <c r="HF98"/>
  <c r="HC98"/>
  <c r="HA98"/>
  <c r="FZ98"/>
  <c r="FX98"/>
  <c r="EZ98"/>
  <c r="EW98"/>
  <c r="EU98"/>
  <c r="DW98"/>
  <c r="DT98"/>
  <c r="DR98"/>
  <c r="CT98"/>
  <c r="CO98"/>
  <c r="BQ98"/>
  <c r="BN98"/>
  <c r="BL98"/>
  <c r="AN98"/>
  <c r="AK98"/>
  <c r="AB98"/>
  <c r="K98"/>
  <c r="H98"/>
  <c r="F98"/>
  <c r="C98"/>
  <c r="IG97"/>
  <c r="IF97"/>
  <c r="ID97"/>
  <c r="HD97"/>
  <c r="HC97"/>
  <c r="HA97"/>
  <c r="GA97"/>
  <c r="FZ97"/>
  <c r="FX97"/>
  <c r="EX97"/>
  <c r="EW97"/>
  <c r="EU97"/>
  <c r="DT97"/>
  <c r="DR97"/>
  <c r="CR97"/>
  <c r="CO97"/>
  <c r="BO97"/>
  <c r="BN97"/>
  <c r="BL97"/>
  <c r="AL97"/>
  <c r="AK97"/>
  <c r="AB97"/>
  <c r="I97"/>
  <c r="H97"/>
  <c r="F97"/>
  <c r="C97"/>
  <c r="IH96"/>
  <c r="IF96"/>
  <c r="IE96"/>
  <c r="HE96"/>
  <c r="HC96"/>
  <c r="HB96"/>
  <c r="GB96"/>
  <c r="FZ96"/>
  <c r="FY96"/>
  <c r="EW96"/>
  <c r="EV96"/>
  <c r="DV96"/>
  <c r="DT96"/>
  <c r="DS96"/>
  <c r="CS96"/>
  <c r="CP96"/>
  <c r="BP96"/>
  <c r="BN96"/>
  <c r="AM96"/>
  <c r="AK96"/>
  <c r="AJ96"/>
  <c r="AB96"/>
  <c r="J96"/>
  <c r="H96"/>
  <c r="G96"/>
  <c r="C96"/>
  <c r="IF95"/>
  <c r="IE95"/>
  <c r="ID95"/>
  <c r="HC95"/>
  <c r="HB95"/>
  <c r="HA95"/>
  <c r="FZ95"/>
  <c r="FY95"/>
  <c r="FX95"/>
  <c r="EW95"/>
  <c r="EV95"/>
  <c r="EU95"/>
  <c r="DT95"/>
  <c r="DS95"/>
  <c r="DR95"/>
  <c r="CP95"/>
  <c r="CO95"/>
  <c r="BN95"/>
  <c r="BL95"/>
  <c r="AK95"/>
  <c r="AJ95"/>
  <c r="AB95"/>
  <c r="H95"/>
  <c r="G95"/>
  <c r="F95"/>
  <c r="C95"/>
  <c r="IG94"/>
  <c r="IF94"/>
  <c r="IE94"/>
  <c r="HD94"/>
  <c r="HC94"/>
  <c r="HB94"/>
  <c r="GA94"/>
  <c r="FZ94"/>
  <c r="FY94"/>
  <c r="EX94"/>
  <c r="EW94"/>
  <c r="EV94"/>
  <c r="DT94"/>
  <c r="DS94"/>
  <c r="CR94"/>
  <c r="CP94"/>
  <c r="BO94"/>
  <c r="BN94"/>
  <c r="AL94"/>
  <c r="AK94"/>
  <c r="AJ94"/>
  <c r="AB94"/>
  <c r="I94"/>
  <c r="H94"/>
  <c r="G94"/>
  <c r="C94"/>
  <c r="IH93"/>
  <c r="IE93"/>
  <c r="HH93"/>
  <c r="HE93"/>
  <c r="HB93"/>
  <c r="GE93"/>
  <c r="GB93"/>
  <c r="FY93"/>
  <c r="FB93"/>
  <c r="EV93"/>
  <c r="DY93"/>
  <c r="DV93"/>
  <c r="DS93"/>
  <c r="CV93"/>
  <c r="CS93"/>
  <c r="CP93"/>
  <c r="BS93"/>
  <c r="BP93"/>
  <c r="AP93"/>
  <c r="AM93"/>
  <c r="AJ93"/>
  <c r="AB93"/>
  <c r="M93"/>
  <c r="J93"/>
  <c r="G93"/>
  <c r="C93"/>
  <c r="IH92"/>
  <c r="IE92"/>
  <c r="HH92"/>
  <c r="HE92"/>
  <c r="HB92"/>
  <c r="GE92"/>
  <c r="GB92"/>
  <c r="FY92"/>
  <c r="FB92"/>
  <c r="EV92"/>
  <c r="DY92"/>
  <c r="DV92"/>
  <c r="DS92"/>
  <c r="CV92"/>
  <c r="CS92"/>
  <c r="CP92"/>
  <c r="BS92"/>
  <c r="BP92"/>
  <c r="AP92"/>
  <c r="AM92"/>
  <c r="AJ92"/>
  <c r="AB92"/>
  <c r="M92"/>
  <c r="J92"/>
  <c r="G92"/>
  <c r="C92"/>
  <c r="IG91"/>
  <c r="IE91"/>
  <c r="ID91"/>
  <c r="HD91"/>
  <c r="HB91"/>
  <c r="HA91"/>
  <c r="GA91"/>
  <c r="FY91"/>
  <c r="FX91"/>
  <c r="EX91"/>
  <c r="EV91"/>
  <c r="EU91"/>
  <c r="DS91"/>
  <c r="DR91"/>
  <c r="CR91"/>
  <c r="CP91"/>
  <c r="CO91"/>
  <c r="BO91"/>
  <c r="BL91"/>
  <c r="BB91"/>
  <c r="BE91" s="1"/>
  <c r="AL91"/>
  <c r="AJ91"/>
  <c r="AB91"/>
  <c r="I91"/>
  <c r="G91"/>
  <c r="F91"/>
  <c r="C91"/>
  <c r="IG90"/>
  <c r="IF90"/>
  <c r="IE90"/>
  <c r="HD90"/>
  <c r="HC90"/>
  <c r="HB90"/>
  <c r="GA90"/>
  <c r="FZ90"/>
  <c r="FY90"/>
  <c r="EX90"/>
  <c r="EW90"/>
  <c r="EV90"/>
  <c r="DT90"/>
  <c r="DS90"/>
  <c r="CR90"/>
  <c r="CP90"/>
  <c r="BO90"/>
  <c r="BN90"/>
  <c r="AL90"/>
  <c r="AK90"/>
  <c r="AJ90"/>
  <c r="AB90"/>
  <c r="I90"/>
  <c r="H90"/>
  <c r="G90"/>
  <c r="C90"/>
  <c r="IG89"/>
  <c r="IE89"/>
  <c r="ID89"/>
  <c r="HD89"/>
  <c r="HB89"/>
  <c r="HA89"/>
  <c r="GA89"/>
  <c r="FY89"/>
  <c r="FX89"/>
  <c r="EX89"/>
  <c r="EV89"/>
  <c r="EU89"/>
  <c r="DS89"/>
  <c r="DR89"/>
  <c r="CR89"/>
  <c r="CP89"/>
  <c r="CO89"/>
  <c r="BO89"/>
  <c r="BL89"/>
  <c r="AL89"/>
  <c r="AJ89"/>
  <c r="AB89"/>
  <c r="I89"/>
  <c r="G89"/>
  <c r="F89"/>
  <c r="C89"/>
  <c r="IG88"/>
  <c r="IE88"/>
  <c r="ID88"/>
  <c r="HD88"/>
  <c r="HB88"/>
  <c r="HA88"/>
  <c r="GA88"/>
  <c r="FY88"/>
  <c r="FX88"/>
  <c r="EX88"/>
  <c r="EV88"/>
  <c r="EU88"/>
  <c r="DS88"/>
  <c r="DR88"/>
  <c r="CR88"/>
  <c r="CP88"/>
  <c r="CO88"/>
  <c r="BO88"/>
  <c r="BL88"/>
  <c r="AL88"/>
  <c r="AJ88"/>
  <c r="AB88"/>
  <c r="I88"/>
  <c r="G88"/>
  <c r="F88"/>
  <c r="C88"/>
  <c r="II87"/>
  <c r="IF87"/>
  <c r="ID87"/>
  <c r="HF87"/>
  <c r="HC87"/>
  <c r="HA87"/>
  <c r="FZ87"/>
  <c r="FX87"/>
  <c r="EZ87"/>
  <c r="EW87"/>
  <c r="EU87"/>
  <c r="DW87"/>
  <c r="DT87"/>
  <c r="DR87"/>
  <c r="CT87"/>
  <c r="CO87"/>
  <c r="BQ87"/>
  <c r="BN87"/>
  <c r="BL87"/>
  <c r="AN87"/>
  <c r="AK87"/>
  <c r="AB87"/>
  <c r="K87"/>
  <c r="H87"/>
  <c r="F87"/>
  <c r="C87"/>
  <c r="IG86"/>
  <c r="IE86"/>
  <c r="ID86"/>
  <c r="HD86"/>
  <c r="HB86"/>
  <c r="HA86"/>
  <c r="GA86"/>
  <c r="FY86"/>
  <c r="FX86"/>
  <c r="EX86"/>
  <c r="EV86"/>
  <c r="EU86"/>
  <c r="DS86"/>
  <c r="DR86"/>
  <c r="CR86"/>
  <c r="CP86"/>
  <c r="CO86"/>
  <c r="BO86"/>
  <c r="BL86"/>
  <c r="AL86"/>
  <c r="AJ86"/>
  <c r="AB86"/>
  <c r="I86"/>
  <c r="G86"/>
  <c r="F86"/>
  <c r="C86"/>
  <c r="IG85"/>
  <c r="IF85"/>
  <c r="ID85"/>
  <c r="HD85"/>
  <c r="HC85"/>
  <c r="HA85"/>
  <c r="GA85"/>
  <c r="FZ85"/>
  <c r="FX85"/>
  <c r="EX85"/>
  <c r="EW85"/>
  <c r="EU85"/>
  <c r="DT85"/>
  <c r="DR85"/>
  <c r="CR85"/>
  <c r="CO85"/>
  <c r="BO85"/>
  <c r="BN85"/>
  <c r="BL85"/>
  <c r="AL85"/>
  <c r="AK85"/>
  <c r="AB85"/>
  <c r="I85"/>
  <c r="H85"/>
  <c r="F85"/>
  <c r="C85"/>
  <c r="IF84"/>
  <c r="IE84"/>
  <c r="ID84"/>
  <c r="HC84"/>
  <c r="HB84"/>
  <c r="HA84"/>
  <c r="FZ84"/>
  <c r="FY84"/>
  <c r="FX84"/>
  <c r="EW84"/>
  <c r="EV84"/>
  <c r="EU84"/>
  <c r="DT84"/>
  <c r="DS84"/>
  <c r="DR84"/>
  <c r="CP84"/>
  <c r="CO84"/>
  <c r="BN84"/>
  <c r="BL84"/>
  <c r="AK84"/>
  <c r="AJ84"/>
  <c r="AB84"/>
  <c r="H84"/>
  <c r="G84"/>
  <c r="F84"/>
  <c r="C84"/>
  <c r="IG83"/>
  <c r="IF83"/>
  <c r="ID83"/>
  <c r="HD83"/>
  <c r="HC83"/>
  <c r="HA83"/>
  <c r="GA83"/>
  <c r="FZ83"/>
  <c r="FX83"/>
  <c r="EX83"/>
  <c r="EW83"/>
  <c r="EU83"/>
  <c r="DT83"/>
  <c r="DR83"/>
  <c r="CR83"/>
  <c r="CO83"/>
  <c r="BO83"/>
  <c r="BN83"/>
  <c r="BL83"/>
  <c r="AL83"/>
  <c r="AK83"/>
  <c r="AB83"/>
  <c r="I83"/>
  <c r="H83"/>
  <c r="F83"/>
  <c r="C83"/>
  <c r="IH82"/>
  <c r="IF82"/>
  <c r="IE82"/>
  <c r="HE82"/>
  <c r="HC82"/>
  <c r="HB82"/>
  <c r="GB82"/>
  <c r="FZ82"/>
  <c r="FY82"/>
  <c r="EW82"/>
  <c r="EV82"/>
  <c r="DV82"/>
  <c r="DT82"/>
  <c r="DS82"/>
  <c r="CS82"/>
  <c r="CP82"/>
  <c r="BP82"/>
  <c r="BN82"/>
  <c r="AM82"/>
  <c r="AK82"/>
  <c r="AJ82"/>
  <c r="AB82"/>
  <c r="J82"/>
  <c r="H82"/>
  <c r="G82"/>
  <c r="C82"/>
  <c r="IH81"/>
  <c r="IF81"/>
  <c r="IE81"/>
  <c r="HE81"/>
  <c r="HC81"/>
  <c r="HB81"/>
  <c r="GB81"/>
  <c r="FZ81"/>
  <c r="FY81"/>
  <c r="EW81"/>
  <c r="EV81"/>
  <c r="DV81"/>
  <c r="DT81"/>
  <c r="DS81"/>
  <c r="CS81"/>
  <c r="CP81"/>
  <c r="BP81"/>
  <c r="BN81"/>
  <c r="BB81"/>
  <c r="CE81" s="1"/>
  <c r="DH81" s="1"/>
  <c r="EK81" s="1"/>
  <c r="FN81" s="1"/>
  <c r="GQ81" s="1"/>
  <c r="HT81" s="1"/>
  <c r="IW81" s="1"/>
  <c r="IZ81" s="1"/>
  <c r="AM81"/>
  <c r="AK81"/>
  <c r="AJ81"/>
  <c r="AB81"/>
  <c r="J81"/>
  <c r="H81"/>
  <c r="G81"/>
  <c r="C81"/>
  <c r="IF80"/>
  <c r="IE80"/>
  <c r="HC80"/>
  <c r="HB80"/>
  <c r="FZ80"/>
  <c r="FY80"/>
  <c r="EW80"/>
  <c r="EV80"/>
  <c r="DT80"/>
  <c r="DS80"/>
  <c r="CP80"/>
  <c r="BN80"/>
  <c r="AK80"/>
  <c r="AJ80"/>
  <c r="AB80"/>
  <c r="H80"/>
  <c r="G80"/>
  <c r="C80"/>
  <c r="IJ79"/>
  <c r="IG79"/>
  <c r="IE79"/>
  <c r="HD79"/>
  <c r="HB79"/>
  <c r="GD79"/>
  <c r="GA79"/>
  <c r="FY79"/>
  <c r="FA79"/>
  <c r="EX79"/>
  <c r="EV79"/>
  <c r="DX79"/>
  <c r="DS79"/>
  <c r="CU79"/>
  <c r="CR79"/>
  <c r="CP79"/>
  <c r="BR79"/>
  <c r="BO79"/>
  <c r="AO79"/>
  <c r="AL79"/>
  <c r="AJ79"/>
  <c r="AB79"/>
  <c r="L79"/>
  <c r="I79"/>
  <c r="G79"/>
  <c r="C79"/>
  <c r="II78"/>
  <c r="IF78"/>
  <c r="ID78"/>
  <c r="HF78"/>
  <c r="HC78"/>
  <c r="HA78"/>
  <c r="FZ78"/>
  <c r="FX78"/>
  <c r="EZ78"/>
  <c r="EW78"/>
  <c r="EU78"/>
  <c r="DW78"/>
  <c r="DT78"/>
  <c r="DR78"/>
  <c r="CT78"/>
  <c r="CO78"/>
  <c r="BQ78"/>
  <c r="BN78"/>
  <c r="BL78"/>
  <c r="AN78"/>
  <c r="AK78"/>
  <c r="AB78"/>
  <c r="K78"/>
  <c r="H78"/>
  <c r="F78"/>
  <c r="C78"/>
  <c r="IH73"/>
  <c r="IE73"/>
  <c r="HE73"/>
  <c r="HB73"/>
  <c r="GB73"/>
  <c r="FY73"/>
  <c r="EV73"/>
  <c r="DV73"/>
  <c r="DS73"/>
  <c r="CS73"/>
  <c r="CP73"/>
  <c r="BP73"/>
  <c r="AM73"/>
  <c r="AJ73"/>
  <c r="AB73"/>
  <c r="J73"/>
  <c r="G73"/>
  <c r="C73"/>
  <c r="IH72"/>
  <c r="HH72"/>
  <c r="HE72"/>
  <c r="GE72"/>
  <c r="GB72"/>
  <c r="FB72"/>
  <c r="DY72"/>
  <c r="DV72"/>
  <c r="CV72"/>
  <c r="CS72"/>
  <c r="BS72"/>
  <c r="BP72"/>
  <c r="AP72"/>
  <c r="AM72"/>
  <c r="AB72"/>
  <c r="M72"/>
  <c r="J72"/>
  <c r="C72"/>
  <c r="IH71"/>
  <c r="IF71"/>
  <c r="HE71"/>
  <c r="HC71"/>
  <c r="HI71" s="1"/>
  <c r="HK71" s="1"/>
  <c r="GB71"/>
  <c r="FZ71"/>
  <c r="EW71"/>
  <c r="DV71"/>
  <c r="DT71"/>
  <c r="CS71"/>
  <c r="BP71"/>
  <c r="BN71"/>
  <c r="BB71"/>
  <c r="CE71" s="1"/>
  <c r="AM71"/>
  <c r="AK71"/>
  <c r="AB71"/>
  <c r="J71"/>
  <c r="H71"/>
  <c r="C71"/>
  <c r="IJ70"/>
  <c r="IH70"/>
  <c r="IG70"/>
  <c r="HE70"/>
  <c r="HD70"/>
  <c r="GD70"/>
  <c r="GB70"/>
  <c r="GA70"/>
  <c r="FA70"/>
  <c r="EX70"/>
  <c r="DX70"/>
  <c r="DV70"/>
  <c r="CU70"/>
  <c r="CS70"/>
  <c r="CR70"/>
  <c r="BR70"/>
  <c r="BP70"/>
  <c r="BO70"/>
  <c r="AO70"/>
  <c r="AM70"/>
  <c r="AL70"/>
  <c r="AB70"/>
  <c r="L70"/>
  <c r="J70"/>
  <c r="I70"/>
  <c r="C70"/>
  <c r="IJ69"/>
  <c r="IH69"/>
  <c r="HH69"/>
  <c r="HE69"/>
  <c r="GE69"/>
  <c r="GD69"/>
  <c r="GB69"/>
  <c r="FB69"/>
  <c r="FA69"/>
  <c r="DY69"/>
  <c r="DX69"/>
  <c r="DV69"/>
  <c r="CV69"/>
  <c r="CU69"/>
  <c r="CS69"/>
  <c r="BS69"/>
  <c r="BR69"/>
  <c r="BP69"/>
  <c r="AP69"/>
  <c r="AO69"/>
  <c r="AM69"/>
  <c r="AB69"/>
  <c r="M69"/>
  <c r="L69"/>
  <c r="J69"/>
  <c r="C69"/>
  <c r="IH68"/>
  <c r="IF68"/>
  <c r="HE68"/>
  <c r="HC68"/>
  <c r="GB68"/>
  <c r="FZ68"/>
  <c r="EW68"/>
  <c r="DV68"/>
  <c r="DT68"/>
  <c r="CS68"/>
  <c r="BP68"/>
  <c r="BN68"/>
  <c r="AM68"/>
  <c r="AK68"/>
  <c r="AB68"/>
  <c r="J68"/>
  <c r="H68"/>
  <c r="C68"/>
  <c r="IJ67"/>
  <c r="II67"/>
  <c r="IH67"/>
  <c r="HF67"/>
  <c r="HE67"/>
  <c r="GD67"/>
  <c r="GB67"/>
  <c r="FA67"/>
  <c r="EZ67"/>
  <c r="DX67"/>
  <c r="DW67"/>
  <c r="DV67"/>
  <c r="CU67"/>
  <c r="CT67"/>
  <c r="CS67"/>
  <c r="BR67"/>
  <c r="BQ67"/>
  <c r="BP67"/>
  <c r="AO67"/>
  <c r="AN67"/>
  <c r="AM67"/>
  <c r="AB67"/>
  <c r="L67"/>
  <c r="K67"/>
  <c r="J67"/>
  <c r="C67"/>
  <c r="IH66"/>
  <c r="IF66"/>
  <c r="HE66"/>
  <c r="HC66"/>
  <c r="GB66"/>
  <c r="FZ66"/>
  <c r="EW66"/>
  <c r="DV66"/>
  <c r="DT66"/>
  <c r="CS66"/>
  <c r="BP66"/>
  <c r="BN66"/>
  <c r="AM66"/>
  <c r="AK66"/>
  <c r="AB66"/>
  <c r="J66"/>
  <c r="H66"/>
  <c r="C66"/>
  <c r="II65"/>
  <c r="IH65"/>
  <c r="HH65"/>
  <c r="HF65"/>
  <c r="HE65"/>
  <c r="GE65"/>
  <c r="GB65"/>
  <c r="FB65"/>
  <c r="EZ65"/>
  <c r="DY65"/>
  <c r="DW65"/>
  <c r="DV65"/>
  <c r="CV65"/>
  <c r="CT65"/>
  <c r="CS65"/>
  <c r="BS65"/>
  <c r="BQ65"/>
  <c r="BP65"/>
  <c r="AP65"/>
  <c r="AN65"/>
  <c r="AM65"/>
  <c r="AB65"/>
  <c r="M65"/>
  <c r="K65"/>
  <c r="J65"/>
  <c r="C65"/>
  <c r="IH64"/>
  <c r="IE64"/>
  <c r="HE64"/>
  <c r="HB64"/>
  <c r="GB64"/>
  <c r="FY64"/>
  <c r="EV64"/>
  <c r="DV64"/>
  <c r="DS64"/>
  <c r="CS64"/>
  <c r="CP64"/>
  <c r="BP64"/>
  <c r="AM64"/>
  <c r="AJ64"/>
  <c r="AB64"/>
  <c r="J64"/>
  <c r="G64"/>
  <c r="C64"/>
  <c r="IJ63"/>
  <c r="IG63"/>
  <c r="IF63"/>
  <c r="HD63"/>
  <c r="HC63"/>
  <c r="GD63"/>
  <c r="GA63"/>
  <c r="FZ63"/>
  <c r="FA63"/>
  <c r="EX63"/>
  <c r="EW63"/>
  <c r="DX63"/>
  <c r="DT63"/>
  <c r="CU63"/>
  <c r="CR63"/>
  <c r="BR63"/>
  <c r="BO63"/>
  <c r="BN63"/>
  <c r="AO63"/>
  <c r="AL63"/>
  <c r="AK63"/>
  <c r="AB63"/>
  <c r="L63"/>
  <c r="I63"/>
  <c r="H63"/>
  <c r="C63"/>
  <c r="IJ62"/>
  <c r="IF62"/>
  <c r="ID62"/>
  <c r="HC62"/>
  <c r="HA62"/>
  <c r="GD62"/>
  <c r="FZ62"/>
  <c r="FX62"/>
  <c r="FA62"/>
  <c r="EW62"/>
  <c r="EU62"/>
  <c r="DX62"/>
  <c r="DT62"/>
  <c r="DR62"/>
  <c r="CU62"/>
  <c r="CO62"/>
  <c r="BR62"/>
  <c r="BN62"/>
  <c r="BL62"/>
  <c r="AO62"/>
  <c r="AK62"/>
  <c r="AB62"/>
  <c r="L62"/>
  <c r="H62"/>
  <c r="F62"/>
  <c r="C62"/>
  <c r="IF61"/>
  <c r="IE61"/>
  <c r="ID61"/>
  <c r="HC61"/>
  <c r="HB61"/>
  <c r="HA61"/>
  <c r="FZ61"/>
  <c r="FY61"/>
  <c r="FX61"/>
  <c r="EW61"/>
  <c r="EV61"/>
  <c r="EU61"/>
  <c r="DT61"/>
  <c r="DS61"/>
  <c r="DR61"/>
  <c r="CP61"/>
  <c r="CO61"/>
  <c r="BN61"/>
  <c r="BL61"/>
  <c r="BB61"/>
  <c r="BE61" s="1"/>
  <c r="AK61"/>
  <c r="AJ61"/>
  <c r="AB61"/>
  <c r="H61"/>
  <c r="G61"/>
  <c r="F61"/>
  <c r="C61"/>
  <c r="IG60"/>
  <c r="IF60"/>
  <c r="IE60"/>
  <c r="HD60"/>
  <c r="HC60"/>
  <c r="HB60"/>
  <c r="GA60"/>
  <c r="FZ60"/>
  <c r="FY60"/>
  <c r="EX60"/>
  <c r="EW60"/>
  <c r="EV60"/>
  <c r="DT60"/>
  <c r="DS60"/>
  <c r="CR60"/>
  <c r="CP60"/>
  <c r="BO60"/>
  <c r="BN60"/>
  <c r="AL60"/>
  <c r="AK60"/>
  <c r="AJ60"/>
  <c r="AB60"/>
  <c r="I60"/>
  <c r="H60"/>
  <c r="G60"/>
  <c r="C60"/>
  <c r="IJ59"/>
  <c r="IH59"/>
  <c r="IG59"/>
  <c r="HE59"/>
  <c r="HD59"/>
  <c r="GD59"/>
  <c r="GB59"/>
  <c r="GA59"/>
  <c r="FA59"/>
  <c r="EX59"/>
  <c r="DX59"/>
  <c r="DV59"/>
  <c r="CU59"/>
  <c r="CS59"/>
  <c r="CR59"/>
  <c r="BR59"/>
  <c r="BP59"/>
  <c r="BO59"/>
  <c r="AO59"/>
  <c r="AM59"/>
  <c r="AL59"/>
  <c r="AB59"/>
  <c r="L59"/>
  <c r="J59"/>
  <c r="I59"/>
  <c r="C59"/>
  <c r="II58"/>
  <c r="IH58"/>
  <c r="HH58"/>
  <c r="HF58"/>
  <c r="HE58"/>
  <c r="GE58"/>
  <c r="GB58"/>
  <c r="FB58"/>
  <c r="EZ58"/>
  <c r="DY58"/>
  <c r="DW58"/>
  <c r="DV58"/>
  <c r="CV58"/>
  <c r="CT58"/>
  <c r="CS58"/>
  <c r="BS58"/>
  <c r="BQ58"/>
  <c r="BP58"/>
  <c r="AP58"/>
  <c r="AN58"/>
  <c r="AM58"/>
  <c r="AB58"/>
  <c r="M58"/>
  <c r="K58"/>
  <c r="J58"/>
  <c r="C58"/>
  <c r="IH57"/>
  <c r="IE57"/>
  <c r="ID57"/>
  <c r="HE57"/>
  <c r="HB57"/>
  <c r="HA57"/>
  <c r="GB57"/>
  <c r="FY57"/>
  <c r="FX57"/>
  <c r="EV57"/>
  <c r="EU57"/>
  <c r="DV57"/>
  <c r="DS57"/>
  <c r="DR57"/>
  <c r="CS57"/>
  <c r="CP57"/>
  <c r="CO57"/>
  <c r="BP57"/>
  <c r="BL57"/>
  <c r="AM57"/>
  <c r="AJ57"/>
  <c r="AB57"/>
  <c r="J57"/>
  <c r="G57"/>
  <c r="F57"/>
  <c r="C57"/>
  <c r="IF55"/>
  <c r="IE55"/>
  <c r="HC55"/>
  <c r="HB55"/>
  <c r="FZ55"/>
  <c r="FY55"/>
  <c r="EW55"/>
  <c r="EV55"/>
  <c r="DT55"/>
  <c r="DS55"/>
  <c r="CP55"/>
  <c r="BN55"/>
  <c r="AK55"/>
  <c r="AJ55"/>
  <c r="AB55"/>
  <c r="H55"/>
  <c r="G55"/>
  <c r="C55"/>
  <c r="IF54"/>
  <c r="IE54"/>
  <c r="HC54"/>
  <c r="HB54"/>
  <c r="FZ54"/>
  <c r="FY54"/>
  <c r="EW54"/>
  <c r="EV54"/>
  <c r="DT54"/>
  <c r="DS54"/>
  <c r="CP54"/>
  <c r="BN54"/>
  <c r="AK54"/>
  <c r="AJ54"/>
  <c r="AB54"/>
  <c r="H54"/>
  <c r="G54"/>
  <c r="C54"/>
  <c r="IF53"/>
  <c r="IE53"/>
  <c r="HC53"/>
  <c r="HB53"/>
  <c r="FZ53"/>
  <c r="FY53"/>
  <c r="EW53"/>
  <c r="EV53"/>
  <c r="DT53"/>
  <c r="DS53"/>
  <c r="CP53"/>
  <c r="BN53"/>
  <c r="AK53"/>
  <c r="AJ53"/>
  <c r="AB53"/>
  <c r="H53"/>
  <c r="G53"/>
  <c r="C53"/>
  <c r="IF52"/>
  <c r="IE52"/>
  <c r="HC52"/>
  <c r="HB52"/>
  <c r="FZ52"/>
  <c r="FY52"/>
  <c r="EW52"/>
  <c r="EV52"/>
  <c r="DT52"/>
  <c r="DS52"/>
  <c r="CP52"/>
  <c r="BN52"/>
  <c r="AK52"/>
  <c r="AJ52"/>
  <c r="AB52"/>
  <c r="H52"/>
  <c r="G52"/>
  <c r="C52"/>
  <c r="IF51"/>
  <c r="IE51"/>
  <c r="HC51"/>
  <c r="HB51"/>
  <c r="FZ51"/>
  <c r="FY51"/>
  <c r="EW51"/>
  <c r="EV51"/>
  <c r="DT51"/>
  <c r="DS51"/>
  <c r="CP51"/>
  <c r="BN51"/>
  <c r="BB51"/>
  <c r="CE51" s="1"/>
  <c r="DH51" s="1"/>
  <c r="AK51"/>
  <c r="AJ51"/>
  <c r="AB51"/>
  <c r="H51"/>
  <c r="G51"/>
  <c r="C51"/>
  <c r="IH50"/>
  <c r="IE50"/>
  <c r="HE50"/>
  <c r="HB50"/>
  <c r="GB50"/>
  <c r="FY50"/>
  <c r="EV50"/>
  <c r="DV50"/>
  <c r="DS50"/>
  <c r="CS50"/>
  <c r="CP50"/>
  <c r="BP50"/>
  <c r="AM50"/>
  <c r="AJ50"/>
  <c r="AB50"/>
  <c r="J50"/>
  <c r="G50"/>
  <c r="C50"/>
  <c r="IF49"/>
  <c r="IE49"/>
  <c r="HC49"/>
  <c r="HB49"/>
  <c r="FZ49"/>
  <c r="FY49"/>
  <c r="EW49"/>
  <c r="EV49"/>
  <c r="DT49"/>
  <c r="DS49"/>
  <c r="CP49"/>
  <c r="BN49"/>
  <c r="AK49"/>
  <c r="AJ49"/>
  <c r="AB49"/>
  <c r="H49"/>
  <c r="G49"/>
  <c r="C49"/>
  <c r="IF48"/>
  <c r="IE48"/>
  <c r="ID48"/>
  <c r="HC48"/>
  <c r="HB48"/>
  <c r="HA48"/>
  <c r="FZ48"/>
  <c r="FY48"/>
  <c r="FX48"/>
  <c r="EW48"/>
  <c r="EV48"/>
  <c r="EU48"/>
  <c r="DT48"/>
  <c r="DS48"/>
  <c r="DR48"/>
  <c r="CP48"/>
  <c r="CO48"/>
  <c r="BN48"/>
  <c r="BL48"/>
  <c r="AK48"/>
  <c r="AJ48"/>
  <c r="AB48"/>
  <c r="H48"/>
  <c r="G48"/>
  <c r="F48"/>
  <c r="C48"/>
  <c r="IF47"/>
  <c r="IE47"/>
  <c r="HC47"/>
  <c r="HB47"/>
  <c r="FZ47"/>
  <c r="FY47"/>
  <c r="EW47"/>
  <c r="EV47"/>
  <c r="DT47"/>
  <c r="DS47"/>
  <c r="CP47"/>
  <c r="BN47"/>
  <c r="AK47"/>
  <c r="AJ47"/>
  <c r="AB47"/>
  <c r="H47"/>
  <c r="G47"/>
  <c r="C47"/>
  <c r="IF46"/>
  <c r="IE46"/>
  <c r="HC46"/>
  <c r="HB46"/>
  <c r="FZ46"/>
  <c r="FY46"/>
  <c r="EW46"/>
  <c r="EV46"/>
  <c r="DT46"/>
  <c r="DS46"/>
  <c r="CP46"/>
  <c r="BN46"/>
  <c r="AK46"/>
  <c r="AJ46"/>
  <c r="AB46"/>
  <c r="H46"/>
  <c r="G46"/>
  <c r="C46"/>
  <c r="IF45"/>
  <c r="IE45"/>
  <c r="HC45"/>
  <c r="HB45"/>
  <c r="FZ45"/>
  <c r="FY45"/>
  <c r="EW45"/>
  <c r="EV45"/>
  <c r="DT45"/>
  <c r="DS45"/>
  <c r="CP45"/>
  <c r="BN45"/>
  <c r="AK45"/>
  <c r="AJ45"/>
  <c r="AB45"/>
  <c r="H45"/>
  <c r="G45"/>
  <c r="C45"/>
  <c r="IF44"/>
  <c r="IE44"/>
  <c r="HC44"/>
  <c r="HB44"/>
  <c r="FZ44"/>
  <c r="FY44"/>
  <c r="EW44"/>
  <c r="EV44"/>
  <c r="DT44"/>
  <c r="DS44"/>
  <c r="CP44"/>
  <c r="BN44"/>
  <c r="AK44"/>
  <c r="AJ44"/>
  <c r="AB44"/>
  <c r="H44"/>
  <c r="G44"/>
  <c r="C44"/>
  <c r="IJ42"/>
  <c r="II42"/>
  <c r="ID42"/>
  <c r="HF42"/>
  <c r="HA42"/>
  <c r="GD42"/>
  <c r="FX42"/>
  <c r="FA42"/>
  <c r="EZ42"/>
  <c r="EU42"/>
  <c r="DX42"/>
  <c r="DW42"/>
  <c r="DR42"/>
  <c r="CU42"/>
  <c r="CT42"/>
  <c r="CO42"/>
  <c r="BR42"/>
  <c r="BQ42"/>
  <c r="BL42"/>
  <c r="AO42"/>
  <c r="AN42"/>
  <c r="AB42"/>
  <c r="L42"/>
  <c r="K42"/>
  <c r="F42"/>
  <c r="C42"/>
  <c r="IG41"/>
  <c r="ID41"/>
  <c r="HD41"/>
  <c r="HA41"/>
  <c r="GA41"/>
  <c r="FX41"/>
  <c r="EX41"/>
  <c r="EU41"/>
  <c r="DR41"/>
  <c r="CR41"/>
  <c r="CO41"/>
  <c r="BO41"/>
  <c r="BL41"/>
  <c r="BB41"/>
  <c r="AL41"/>
  <c r="AB41"/>
  <c r="I41"/>
  <c r="F41"/>
  <c r="C41"/>
  <c r="IJ40"/>
  <c r="IH40"/>
  <c r="IE40"/>
  <c r="HE40"/>
  <c r="HB40"/>
  <c r="GD40"/>
  <c r="GB40"/>
  <c r="FY40"/>
  <c r="FA40"/>
  <c r="EV40"/>
  <c r="DX40"/>
  <c r="DV40"/>
  <c r="DS40"/>
  <c r="CU40"/>
  <c r="CS40"/>
  <c r="CP40"/>
  <c r="BR40"/>
  <c r="BP40"/>
  <c r="AO40"/>
  <c r="AM40"/>
  <c r="AJ40"/>
  <c r="AB40"/>
  <c r="L40"/>
  <c r="J40"/>
  <c r="G40"/>
  <c r="C40"/>
  <c r="IF39"/>
  <c r="IE39"/>
  <c r="HC39"/>
  <c r="HB39"/>
  <c r="FZ39"/>
  <c r="FY39"/>
  <c r="EW39"/>
  <c r="EV39"/>
  <c r="DT39"/>
  <c r="DS39"/>
  <c r="CP39"/>
  <c r="BN39"/>
  <c r="AK39"/>
  <c r="AJ39"/>
  <c r="AB39"/>
  <c r="H39"/>
  <c r="G39"/>
  <c r="C39"/>
  <c r="IJ38"/>
  <c r="II38"/>
  <c r="IH38"/>
  <c r="HF38"/>
  <c r="HE38"/>
  <c r="GD38"/>
  <c r="GB38"/>
  <c r="FA38"/>
  <c r="EZ38"/>
  <c r="DX38"/>
  <c r="DW38"/>
  <c r="DV38"/>
  <c r="CU38"/>
  <c r="CT38"/>
  <c r="CS38"/>
  <c r="BR38"/>
  <c r="BQ38"/>
  <c r="BP38"/>
  <c r="AO38"/>
  <c r="AN38"/>
  <c r="AM38"/>
  <c r="AB38"/>
  <c r="L38"/>
  <c r="K38"/>
  <c r="J38"/>
  <c r="C38"/>
  <c r="IH37"/>
  <c r="IE37"/>
  <c r="HH37"/>
  <c r="HE37"/>
  <c r="HB37"/>
  <c r="GE37"/>
  <c r="GB37"/>
  <c r="FY37"/>
  <c r="FB37"/>
  <c r="EV37"/>
  <c r="DY37"/>
  <c r="DV37"/>
  <c r="DS37"/>
  <c r="CV37"/>
  <c r="CS37"/>
  <c r="CP37"/>
  <c r="BS37"/>
  <c r="BP37"/>
  <c r="AP37"/>
  <c r="AM37"/>
  <c r="AJ37"/>
  <c r="AB37"/>
  <c r="M37"/>
  <c r="J37"/>
  <c r="G37"/>
  <c r="C37"/>
  <c r="II36"/>
  <c r="IF36"/>
  <c r="ID36"/>
  <c r="HF36"/>
  <c r="HC36"/>
  <c r="HA36"/>
  <c r="FZ36"/>
  <c r="FX36"/>
  <c r="EZ36"/>
  <c r="EW36"/>
  <c r="EU36"/>
  <c r="DW36"/>
  <c r="DT36"/>
  <c r="DR36"/>
  <c r="CT36"/>
  <c r="CO36"/>
  <c r="BQ36"/>
  <c r="BN36"/>
  <c r="BL36"/>
  <c r="AN36"/>
  <c r="AK36"/>
  <c r="AB36"/>
  <c r="K36"/>
  <c r="H36"/>
  <c r="F36"/>
  <c r="C36"/>
  <c r="IG34"/>
  <c r="IF34"/>
  <c r="ID34"/>
  <c r="HD34"/>
  <c r="HC34"/>
  <c r="HA34"/>
  <c r="GA34"/>
  <c r="FZ34"/>
  <c r="FX34"/>
  <c r="EX34"/>
  <c r="EW34"/>
  <c r="EU34"/>
  <c r="DT34"/>
  <c r="DR34"/>
  <c r="CR34"/>
  <c r="CO34"/>
  <c r="BO34"/>
  <c r="BN34"/>
  <c r="BL34"/>
  <c r="AL34"/>
  <c r="AK34"/>
  <c r="AB34"/>
  <c r="I34"/>
  <c r="H34"/>
  <c r="F34"/>
  <c r="C34"/>
  <c r="II33"/>
  <c r="IG33"/>
  <c r="IF33"/>
  <c r="HF33"/>
  <c r="HD33"/>
  <c r="HC33"/>
  <c r="GA33"/>
  <c r="FZ33"/>
  <c r="EZ33"/>
  <c r="EX33"/>
  <c r="EW33"/>
  <c r="DW33"/>
  <c r="DT33"/>
  <c r="CT33"/>
  <c r="CR33"/>
  <c r="BQ33"/>
  <c r="BO33"/>
  <c r="BN33"/>
  <c r="AN33"/>
  <c r="AL33"/>
  <c r="AK33"/>
  <c r="AB33"/>
  <c r="K33"/>
  <c r="I33"/>
  <c r="H33"/>
  <c r="C33"/>
  <c r="IG32"/>
  <c r="IF32"/>
  <c r="ID32"/>
  <c r="HD32"/>
  <c r="HC32"/>
  <c r="HA32"/>
  <c r="GA32"/>
  <c r="FZ32"/>
  <c r="FX32"/>
  <c r="EX32"/>
  <c r="EW32"/>
  <c r="EU32"/>
  <c r="DT32"/>
  <c r="DR32"/>
  <c r="CR32"/>
  <c r="CO32"/>
  <c r="BO32"/>
  <c r="BN32"/>
  <c r="BL32"/>
  <c r="AL32"/>
  <c r="AK32"/>
  <c r="AB32"/>
  <c r="I32"/>
  <c r="H32"/>
  <c r="F32"/>
  <c r="C32"/>
  <c r="IG31"/>
  <c r="IF31"/>
  <c r="IE31"/>
  <c r="HD31"/>
  <c r="HC31"/>
  <c r="HB31"/>
  <c r="GA31"/>
  <c r="FZ31"/>
  <c r="FY31"/>
  <c r="EX31"/>
  <c r="EW31"/>
  <c r="EV31"/>
  <c r="DT31"/>
  <c r="DS31"/>
  <c r="CR31"/>
  <c r="CP31"/>
  <c r="BO31"/>
  <c r="BN31"/>
  <c r="BB31"/>
  <c r="CE31" s="1"/>
  <c r="AL31"/>
  <c r="AK31"/>
  <c r="AJ31"/>
  <c r="AB31"/>
  <c r="I31"/>
  <c r="H31"/>
  <c r="G31"/>
  <c r="C31"/>
  <c r="IG30"/>
  <c r="IF30"/>
  <c r="IE30"/>
  <c r="HD30"/>
  <c r="HC30"/>
  <c r="HB30"/>
  <c r="GA30"/>
  <c r="FZ30"/>
  <c r="FY30"/>
  <c r="EX30"/>
  <c r="EW30"/>
  <c r="EV30"/>
  <c r="DT30"/>
  <c r="DS30"/>
  <c r="CR30"/>
  <c r="CP30"/>
  <c r="BO30"/>
  <c r="BN30"/>
  <c r="AL30"/>
  <c r="AK30"/>
  <c r="AJ30"/>
  <c r="AB30"/>
  <c r="I30"/>
  <c r="H30"/>
  <c r="G30"/>
  <c r="C30"/>
  <c r="IG29"/>
  <c r="IF29"/>
  <c r="IE29"/>
  <c r="HD29"/>
  <c r="HC29"/>
  <c r="HB29"/>
  <c r="GA29"/>
  <c r="FZ29"/>
  <c r="FY29"/>
  <c r="EX29"/>
  <c r="EW29"/>
  <c r="EV29"/>
  <c r="DT29"/>
  <c r="DS29"/>
  <c r="CR29"/>
  <c r="CP29"/>
  <c r="BO29"/>
  <c r="BN29"/>
  <c r="AL29"/>
  <c r="AK29"/>
  <c r="AJ29"/>
  <c r="AB29"/>
  <c r="I29"/>
  <c r="H29"/>
  <c r="G29"/>
  <c r="C29"/>
  <c r="IG28"/>
  <c r="IF28"/>
  <c r="ID28"/>
  <c r="HD28"/>
  <c r="HC28"/>
  <c r="HA28"/>
  <c r="GA28"/>
  <c r="FZ28"/>
  <c r="FX28"/>
  <c r="EX28"/>
  <c r="EW28"/>
  <c r="EU28"/>
  <c r="DT28"/>
  <c r="DR28"/>
  <c r="CR28"/>
  <c r="CO28"/>
  <c r="BO28"/>
  <c r="BN28"/>
  <c r="BL28"/>
  <c r="AL28"/>
  <c r="AK28"/>
  <c r="AB28"/>
  <c r="I28"/>
  <c r="H28"/>
  <c r="F28"/>
  <c r="C28"/>
  <c r="IG27"/>
  <c r="ID27"/>
  <c r="HD27"/>
  <c r="HA27"/>
  <c r="GA27"/>
  <c r="FX27"/>
  <c r="EX27"/>
  <c r="EU27"/>
  <c r="DR27"/>
  <c r="CR27"/>
  <c r="CO27"/>
  <c r="BO27"/>
  <c r="BL27"/>
  <c r="AL27"/>
  <c r="AB27"/>
  <c r="I27"/>
  <c r="F27"/>
  <c r="C27"/>
  <c r="IG26"/>
  <c r="IE26"/>
  <c r="ID26"/>
  <c r="HD26"/>
  <c r="HB26"/>
  <c r="HA26"/>
  <c r="GA26"/>
  <c r="FY26"/>
  <c r="FX26"/>
  <c r="EX26"/>
  <c r="EV26"/>
  <c r="EU26"/>
  <c r="DS26"/>
  <c r="DR26"/>
  <c r="CR26"/>
  <c r="CP26"/>
  <c r="CO26"/>
  <c r="BO26"/>
  <c r="BL26"/>
  <c r="AL26"/>
  <c r="AJ26"/>
  <c r="AB26"/>
  <c r="I26"/>
  <c r="G26"/>
  <c r="F26"/>
  <c r="C26"/>
  <c r="IJ24"/>
  <c r="IE24"/>
  <c r="HH24"/>
  <c r="HB24"/>
  <c r="GE24"/>
  <c r="GD24"/>
  <c r="FY24"/>
  <c r="FB24"/>
  <c r="FA24"/>
  <c r="EV24"/>
  <c r="DY24"/>
  <c r="DX24"/>
  <c r="DS24"/>
  <c r="CV24"/>
  <c r="CU24"/>
  <c r="CP24"/>
  <c r="BS24"/>
  <c r="BR24"/>
  <c r="AP24"/>
  <c r="AO24"/>
  <c r="AJ24"/>
  <c r="AB24"/>
  <c r="M24"/>
  <c r="L24"/>
  <c r="G24"/>
  <c r="C24"/>
  <c r="II23"/>
  <c r="IF23"/>
  <c r="ID23"/>
  <c r="HF23"/>
  <c r="HC23"/>
  <c r="HA23"/>
  <c r="FZ23"/>
  <c r="FX23"/>
  <c r="EZ23"/>
  <c r="EW23"/>
  <c r="EU23"/>
  <c r="DW23"/>
  <c r="DT23"/>
  <c r="DR23"/>
  <c r="CT23"/>
  <c r="CO23"/>
  <c r="BQ23"/>
  <c r="BN23"/>
  <c r="BL23"/>
  <c r="AN23"/>
  <c r="AK23"/>
  <c r="AB23"/>
  <c r="K23"/>
  <c r="H23"/>
  <c r="F23"/>
  <c r="C23"/>
  <c r="II22"/>
  <c r="IH22"/>
  <c r="ID22"/>
  <c r="HF22"/>
  <c r="HE22"/>
  <c r="HA22"/>
  <c r="GB22"/>
  <c r="FX22"/>
  <c r="EZ22"/>
  <c r="EU22"/>
  <c r="DW22"/>
  <c r="DV22"/>
  <c r="DR22"/>
  <c r="CT22"/>
  <c r="CS22"/>
  <c r="CO22"/>
  <c r="BQ22"/>
  <c r="BP22"/>
  <c r="BL22"/>
  <c r="AN22"/>
  <c r="AM22"/>
  <c r="AB22"/>
  <c r="K22"/>
  <c r="J22"/>
  <c r="F22"/>
  <c r="C22"/>
  <c r="II21"/>
  <c r="IG21"/>
  <c r="IE21"/>
  <c r="HF21"/>
  <c r="HD21"/>
  <c r="HB21"/>
  <c r="GA21"/>
  <c r="FY21"/>
  <c r="EZ21"/>
  <c r="EX21"/>
  <c r="EV21"/>
  <c r="DW21"/>
  <c r="DS21"/>
  <c r="CT21"/>
  <c r="CR21"/>
  <c r="CP21"/>
  <c r="BQ21"/>
  <c r="BO21"/>
  <c r="BB21"/>
  <c r="CE21" s="1"/>
  <c r="AN21"/>
  <c r="AL21"/>
  <c r="AJ21"/>
  <c r="AB21"/>
  <c r="K21"/>
  <c r="I21"/>
  <c r="G21"/>
  <c r="C21"/>
  <c r="IF20"/>
  <c r="IE20"/>
  <c r="HC20"/>
  <c r="HB20"/>
  <c r="FZ20"/>
  <c r="FY20"/>
  <c r="EW20"/>
  <c r="EV20"/>
  <c r="DT20"/>
  <c r="DS20"/>
  <c r="CP20"/>
  <c r="BN20"/>
  <c r="AK20"/>
  <c r="AJ20"/>
  <c r="AB20"/>
  <c r="H20"/>
  <c r="G20"/>
  <c r="C20"/>
  <c r="IJ19"/>
  <c r="IG19"/>
  <c r="IE19"/>
  <c r="HD19"/>
  <c r="HB19"/>
  <c r="GD19"/>
  <c r="GA19"/>
  <c r="FY19"/>
  <c r="FA19"/>
  <c r="EX19"/>
  <c r="EV19"/>
  <c r="DX19"/>
  <c r="DS19"/>
  <c r="CU19"/>
  <c r="CR19"/>
  <c r="CP19"/>
  <c r="BR19"/>
  <c r="BO19"/>
  <c r="BB19"/>
  <c r="CE19" s="1"/>
  <c r="AO19"/>
  <c r="AL19"/>
  <c r="AJ19"/>
  <c r="AB19"/>
  <c r="L19"/>
  <c r="I19"/>
  <c r="G19"/>
  <c r="C19"/>
  <c r="IJ18"/>
  <c r="ID18"/>
  <c r="HA18"/>
  <c r="GD18"/>
  <c r="FX18"/>
  <c r="FA18"/>
  <c r="EU18"/>
  <c r="DX18"/>
  <c r="DR18"/>
  <c r="CU18"/>
  <c r="CO18"/>
  <c r="BR18"/>
  <c r="BL18"/>
  <c r="BB18"/>
  <c r="CE18" s="1"/>
  <c r="DH18" s="1"/>
  <c r="AO18"/>
  <c r="AB18"/>
  <c r="L18"/>
  <c r="F18"/>
  <c r="C18"/>
  <c r="IJ17"/>
  <c r="II17"/>
  <c r="HH17"/>
  <c r="HF17"/>
  <c r="GE17"/>
  <c r="GD17"/>
  <c r="FB17"/>
  <c r="FA17"/>
  <c r="EZ17"/>
  <c r="DY17"/>
  <c r="DX17"/>
  <c r="DW17"/>
  <c r="CV17"/>
  <c r="CU17"/>
  <c r="CT17"/>
  <c r="BS17"/>
  <c r="BR17"/>
  <c r="BQ17"/>
  <c r="BB17"/>
  <c r="CE17" s="1"/>
  <c r="AP17"/>
  <c r="AO17"/>
  <c r="AN17"/>
  <c r="AB17"/>
  <c r="M17"/>
  <c r="L17"/>
  <c r="K17"/>
  <c r="C17"/>
  <c r="II16"/>
  <c r="IG16"/>
  <c r="HH16"/>
  <c r="HF16"/>
  <c r="HD16"/>
  <c r="GE16"/>
  <c r="GA16"/>
  <c r="FB16"/>
  <c r="EZ16"/>
  <c r="EX16"/>
  <c r="DY16"/>
  <c r="DW16"/>
  <c r="CV16"/>
  <c r="CT16"/>
  <c r="CR16"/>
  <c r="BS16"/>
  <c r="BQ16"/>
  <c r="BO16"/>
  <c r="BB16"/>
  <c r="CE16" s="1"/>
  <c r="AP16"/>
  <c r="AN16"/>
  <c r="AL16"/>
  <c r="AB16"/>
  <c r="M16"/>
  <c r="K16"/>
  <c r="I16"/>
  <c r="C16"/>
  <c r="IJ15"/>
  <c r="HH15"/>
  <c r="GE15"/>
  <c r="GD15"/>
  <c r="FB15"/>
  <c r="FA15"/>
  <c r="DY15"/>
  <c r="DX15"/>
  <c r="CV15"/>
  <c r="CU15"/>
  <c r="BS15"/>
  <c r="BR15"/>
  <c r="BB15"/>
  <c r="CE15" s="1"/>
  <c r="AP15"/>
  <c r="AO15"/>
  <c r="AB15"/>
  <c r="M15"/>
  <c r="L15"/>
  <c r="C15"/>
  <c r="IJ14"/>
  <c r="II14"/>
  <c r="HF14"/>
  <c r="GD14"/>
  <c r="FA14"/>
  <c r="EZ14"/>
  <c r="DX14"/>
  <c r="DW14"/>
  <c r="CU14"/>
  <c r="CT14"/>
  <c r="BR14"/>
  <c r="BQ14"/>
  <c r="BB14"/>
  <c r="CE14" s="1"/>
  <c r="DH14" s="1"/>
  <c r="AO14"/>
  <c r="AN14"/>
  <c r="AB14"/>
  <c r="L14"/>
  <c r="K14"/>
  <c r="C14"/>
  <c r="II13"/>
  <c r="ID13"/>
  <c r="HH13"/>
  <c r="HF13"/>
  <c r="HA13"/>
  <c r="GE13"/>
  <c r="FX13"/>
  <c r="FB13"/>
  <c r="EZ13"/>
  <c r="EU13"/>
  <c r="DY13"/>
  <c r="DW13"/>
  <c r="DR13"/>
  <c r="CV13"/>
  <c r="CT13"/>
  <c r="CO13"/>
  <c r="BS13"/>
  <c r="BQ13"/>
  <c r="BL13"/>
  <c r="BB13"/>
  <c r="CE13" s="1"/>
  <c r="AP13"/>
  <c r="AN13"/>
  <c r="AB13"/>
  <c r="M13"/>
  <c r="K13"/>
  <c r="F13"/>
  <c r="C13"/>
  <c r="IH12"/>
  <c r="IG12"/>
  <c r="ID12"/>
  <c r="HE12"/>
  <c r="HD12"/>
  <c r="HA12"/>
  <c r="GB12"/>
  <c r="GA12"/>
  <c r="FX12"/>
  <c r="EX12"/>
  <c r="EU12"/>
  <c r="DV12"/>
  <c r="DR12"/>
  <c r="CS12"/>
  <c r="CR12"/>
  <c r="CO12"/>
  <c r="BP12"/>
  <c r="BO12"/>
  <c r="BL12"/>
  <c r="BB12"/>
  <c r="CE12" s="1"/>
  <c r="AM12"/>
  <c r="AL12"/>
  <c r="AB12"/>
  <c r="J12"/>
  <c r="I12"/>
  <c r="F12"/>
  <c r="C12"/>
  <c r="II11"/>
  <c r="IF11"/>
  <c r="ID11"/>
  <c r="HF11"/>
  <c r="HC11"/>
  <c r="HA11"/>
  <c r="FZ11"/>
  <c r="FX11"/>
  <c r="EZ11"/>
  <c r="EW11"/>
  <c r="EU11"/>
  <c r="DW11"/>
  <c r="DT11"/>
  <c r="DR11"/>
  <c r="CT11"/>
  <c r="CO11"/>
  <c r="BQ11"/>
  <c r="BN11"/>
  <c r="BL11"/>
  <c r="BB11"/>
  <c r="CE11" s="1"/>
  <c r="AN11"/>
  <c r="AK11"/>
  <c r="AB11"/>
  <c r="K11"/>
  <c r="H11"/>
  <c r="F11"/>
  <c r="C11"/>
  <c r="IO347"/>
  <c r="IP346"/>
  <c r="IO345"/>
  <c r="HL346"/>
  <c r="IP347"/>
  <c r="IO346"/>
  <c r="IP345"/>
  <c r="HM347"/>
  <c r="HL347"/>
  <c r="HM346"/>
  <c r="HM345"/>
  <c r="HL345"/>
  <c r="GJ347"/>
  <c r="GI347"/>
  <c r="GJ346"/>
  <c r="GI346"/>
  <c r="GJ345"/>
  <c r="GI345"/>
  <c r="FG347"/>
  <c r="FF347"/>
  <c r="FG346"/>
  <c r="FF346"/>
  <c r="FG345"/>
  <c r="FF345"/>
  <c r="ED347"/>
  <c r="EC347"/>
  <c r="ED346"/>
  <c r="EC346"/>
  <c r="ED345"/>
  <c r="EC345"/>
  <c r="DA347"/>
  <c r="CZ347"/>
  <c r="DA346"/>
  <c r="R346" i="69" s="1"/>
  <c r="CZ346" i="77"/>
  <c r="DA345"/>
  <c r="CZ345"/>
  <c r="BX347"/>
  <c r="BW347"/>
  <c r="BX346"/>
  <c r="R346" i="68" s="1"/>
  <c r="BW346" i="77"/>
  <c r="Q346" i="68" s="1"/>
  <c r="BX345" i="77"/>
  <c r="BW345"/>
  <c r="AU347"/>
  <c r="AT347"/>
  <c r="AU346"/>
  <c r="AT346"/>
  <c r="AU345"/>
  <c r="AT345"/>
  <c r="IO336"/>
  <c r="HL336"/>
  <c r="GI336"/>
  <c r="FF336"/>
  <c r="EC336"/>
  <c r="CZ336"/>
  <c r="BW336"/>
  <c r="AT336"/>
  <c r="IO329"/>
  <c r="HL329"/>
  <c r="GI329"/>
  <c r="FF329"/>
  <c r="EC329"/>
  <c r="CZ329"/>
  <c r="BW329"/>
  <c r="AT329"/>
  <c r="IO323"/>
  <c r="IP323"/>
  <c r="HL323"/>
  <c r="GI323"/>
  <c r="GJ323"/>
  <c r="FG323"/>
  <c r="EC323"/>
  <c r="ED323"/>
  <c r="CZ323"/>
  <c r="BW323"/>
  <c r="BX323"/>
  <c r="AU323"/>
  <c r="IP320"/>
  <c r="HM320"/>
  <c r="GJ320"/>
  <c r="FG320"/>
  <c r="ED320"/>
  <c r="DA320"/>
  <c r="BX320"/>
  <c r="AU320"/>
  <c r="R320" i="65" s="1"/>
  <c r="IO320" i="77"/>
  <c r="HL320"/>
  <c r="GI320"/>
  <c r="FF320"/>
  <c r="EC320"/>
  <c r="Q320" i="70" s="1"/>
  <c r="CZ320" i="77"/>
  <c r="BW320"/>
  <c r="AT320"/>
  <c r="IO307"/>
  <c r="Q307" i="74" s="1"/>
  <c r="IP307" i="77"/>
  <c r="HL307"/>
  <c r="GI307"/>
  <c r="Q307" i="72" s="1"/>
  <c r="GJ307" i="77"/>
  <c r="FG307"/>
  <c r="EC307"/>
  <c r="Q307" i="70" s="1"/>
  <c r="ED307" i="77"/>
  <c r="CZ307"/>
  <c r="BW307"/>
  <c r="BX307"/>
  <c r="AU307"/>
  <c r="IO304"/>
  <c r="IP304"/>
  <c r="HL304"/>
  <c r="GI304"/>
  <c r="GJ304"/>
  <c r="FG304"/>
  <c r="EC304"/>
  <c r="ED304"/>
  <c r="CZ304"/>
  <c r="BW304"/>
  <c r="BX304"/>
  <c r="AU304"/>
  <c r="IO302"/>
  <c r="HL302"/>
  <c r="GI302"/>
  <c r="FF302"/>
  <c r="EC302"/>
  <c r="CZ302"/>
  <c r="BW302"/>
  <c r="AT302"/>
  <c r="IO298"/>
  <c r="IP298"/>
  <c r="HL298"/>
  <c r="GI298"/>
  <c r="GJ298"/>
  <c r="FG298"/>
  <c r="EC298"/>
  <c r="ED298"/>
  <c r="CW298"/>
  <c r="CX298" s="1"/>
  <c r="CZ298"/>
  <c r="Q298" i="69" s="1"/>
  <c r="BW298" i="77"/>
  <c r="BX298"/>
  <c r="R298" i="68" s="1"/>
  <c r="AU298" i="77"/>
  <c r="BE335"/>
  <c r="R335"/>
  <c r="BE334"/>
  <c r="R334"/>
  <c r="BE339"/>
  <c r="R339"/>
  <c r="BE330"/>
  <c r="R330"/>
  <c r="BE328"/>
  <c r="R328"/>
  <c r="BE325"/>
  <c r="R325"/>
  <c r="BE344"/>
  <c r="R344"/>
  <c r="R337"/>
  <c r="BE324"/>
  <c r="R324"/>
  <c r="BE340"/>
  <c r="R340"/>
  <c r="BE309"/>
  <c r="Q309"/>
  <c r="R309"/>
  <c r="BE308"/>
  <c r="R308"/>
  <c r="IQ305"/>
  <c r="HM305"/>
  <c r="GI305"/>
  <c r="FH305"/>
  <c r="FG305"/>
  <c r="FC305"/>
  <c r="FE305" s="1"/>
  <c r="FF305"/>
  <c r="BY305"/>
  <c r="BW305"/>
  <c r="AV305"/>
  <c r="AU305"/>
  <c r="AQ305"/>
  <c r="AS305" s="1"/>
  <c r="AT305"/>
  <c r="R305"/>
  <c r="IO303"/>
  <c r="IQ303"/>
  <c r="HL303"/>
  <c r="HM303"/>
  <c r="GI303"/>
  <c r="GJ303"/>
  <c r="FH303"/>
  <c r="FG303"/>
  <c r="FC303"/>
  <c r="FE303" s="1"/>
  <c r="FF303"/>
  <c r="BY303"/>
  <c r="BW303"/>
  <c r="BX303"/>
  <c r="AV303"/>
  <c r="AU303"/>
  <c r="AQ303"/>
  <c r="AS303" s="1"/>
  <c r="AT303"/>
  <c r="Q303"/>
  <c r="R303"/>
  <c r="BE343"/>
  <c r="R343"/>
  <c r="BE342"/>
  <c r="R342"/>
  <c r="BE338"/>
  <c r="R338"/>
  <c r="BE332"/>
  <c r="R332"/>
  <c r="BE327"/>
  <c r="R327"/>
  <c r="BE306"/>
  <c r="R306"/>
  <c r="BE300"/>
  <c r="R300"/>
  <c r="BE348"/>
  <c r="R348"/>
  <c r="BE333"/>
  <c r="R333"/>
  <c r="BE326"/>
  <c r="R326"/>
  <c r="BB299"/>
  <c r="R299"/>
  <c r="S336"/>
  <c r="R336"/>
  <c r="Q336"/>
  <c r="N336"/>
  <c r="IL320"/>
  <c r="HI320"/>
  <c r="GK320"/>
  <c r="S320" i="72" s="1"/>
  <c r="FC320" i="77"/>
  <c r="DZ320"/>
  <c r="CW320"/>
  <c r="BT320"/>
  <c r="AQ320"/>
  <c r="N320" i="65" s="1"/>
  <c r="S320" i="77"/>
  <c r="R320"/>
  <c r="Q320"/>
  <c r="N320"/>
  <c r="R329"/>
  <c r="S329"/>
  <c r="Q329"/>
  <c r="N329"/>
  <c r="O329" s="1"/>
  <c r="R347"/>
  <c r="BT346"/>
  <c r="R346"/>
  <c r="FC345"/>
  <c r="FD345" s="1"/>
  <c r="AQ345"/>
  <c r="AR345" s="1"/>
  <c r="Q345"/>
  <c r="R345"/>
  <c r="AQ323"/>
  <c r="AR323" s="1"/>
  <c r="Q323"/>
  <c r="R323"/>
  <c r="BT307"/>
  <c r="BV307" s="1"/>
  <c r="R307"/>
  <c r="Q304"/>
  <c r="R304"/>
  <c r="GF302"/>
  <c r="GH302" s="1"/>
  <c r="BT302"/>
  <c r="BV302" s="1"/>
  <c r="Q302"/>
  <c r="R302"/>
  <c r="R298"/>
  <c r="Q347"/>
  <c r="N347"/>
  <c r="O347" s="1"/>
  <c r="Q298"/>
  <c r="BB462"/>
  <c r="CE462" s="1"/>
  <c r="DH462" s="1"/>
  <c r="EK462" s="1"/>
  <c r="FN462" s="1"/>
  <c r="GQ462" s="1"/>
  <c r="HT462" s="1"/>
  <c r="IW462" s="1"/>
  <c r="IZ462" s="1"/>
  <c r="BB457"/>
  <c r="CE457" s="1"/>
  <c r="CH457" s="1"/>
  <c r="BB455"/>
  <c r="CE455" s="1"/>
  <c r="DH455" s="1"/>
  <c r="EK455" s="1"/>
  <c r="FN455" s="1"/>
  <c r="GQ455" s="1"/>
  <c r="HT455" s="1"/>
  <c r="IW455" s="1"/>
  <c r="IZ455" s="1"/>
  <c r="BB449"/>
  <c r="CE449" s="1"/>
  <c r="CH449" s="1"/>
  <c r="BB448"/>
  <c r="CE448" s="1"/>
  <c r="CH448" s="1"/>
  <c r="BB444"/>
  <c r="BB443"/>
  <c r="BB442"/>
  <c r="BB439"/>
  <c r="BB438"/>
  <c r="BB437"/>
  <c r="BB436"/>
  <c r="BB435"/>
  <c r="BB434"/>
  <c r="BB432"/>
  <c r="BB430"/>
  <c r="BB429"/>
  <c r="BB428"/>
  <c r="BB427"/>
  <c r="BB426"/>
  <c r="BB425"/>
  <c r="BB423"/>
  <c r="BB422"/>
  <c r="BB420"/>
  <c r="BB409"/>
  <c r="BB408"/>
  <c r="BB407"/>
  <c r="BB406"/>
  <c r="BB405"/>
  <c r="BB404"/>
  <c r="BB402"/>
  <c r="BB400"/>
  <c r="BB395"/>
  <c r="BB394"/>
  <c r="BB393"/>
  <c r="BB389"/>
  <c r="BB388"/>
  <c r="BB386"/>
  <c r="BB385"/>
  <c r="BB384"/>
  <c r="BB383"/>
  <c r="BB382"/>
  <c r="BB380"/>
  <c r="BB379"/>
  <c r="BB378"/>
  <c r="BB377"/>
  <c r="BB376"/>
  <c r="BB374"/>
  <c r="BB373"/>
  <c r="BB372"/>
  <c r="BB370"/>
  <c r="BB369"/>
  <c r="BB368"/>
  <c r="BB367"/>
  <c r="BB365"/>
  <c r="BB364"/>
  <c r="BB363"/>
  <c r="BB362"/>
  <c r="BB360"/>
  <c r="BB359"/>
  <c r="BB358"/>
  <c r="BB357"/>
  <c r="BB355"/>
  <c r="BB354"/>
  <c r="BB353"/>
  <c r="BB352"/>
  <c r="BB296"/>
  <c r="CE296" s="1"/>
  <c r="CH296" s="1"/>
  <c r="BB295"/>
  <c r="CE295" s="1"/>
  <c r="CH295" s="1"/>
  <c r="BB294"/>
  <c r="CE294" s="1"/>
  <c r="CH294" s="1"/>
  <c r="BB293"/>
  <c r="CE293" s="1"/>
  <c r="CH293" s="1"/>
  <c r="BB292"/>
  <c r="CE292" s="1"/>
  <c r="CH292" s="1"/>
  <c r="BB290"/>
  <c r="CE290" s="1"/>
  <c r="DH290" s="1"/>
  <c r="EK290" s="1"/>
  <c r="FN290" s="1"/>
  <c r="GQ290" s="1"/>
  <c r="HT290" s="1"/>
  <c r="IW290" s="1"/>
  <c r="IZ290" s="1"/>
  <c r="BB289"/>
  <c r="CE289" s="1"/>
  <c r="CH289" s="1"/>
  <c r="BB288"/>
  <c r="CE288" s="1"/>
  <c r="CH288" s="1"/>
  <c r="BB287"/>
  <c r="CE287" s="1"/>
  <c r="CH287" s="1"/>
  <c r="BB286"/>
  <c r="CE286" s="1"/>
  <c r="CH286" s="1"/>
  <c r="BB285"/>
  <c r="CE285" s="1"/>
  <c r="CH285" s="1"/>
  <c r="BB284"/>
  <c r="CE284" s="1"/>
  <c r="DH284" s="1"/>
  <c r="EK284" s="1"/>
  <c r="FN284" s="1"/>
  <c r="GQ284" s="1"/>
  <c r="HT284" s="1"/>
  <c r="IW284" s="1"/>
  <c r="IZ284" s="1"/>
  <c r="BB283"/>
  <c r="CE283" s="1"/>
  <c r="CH283" s="1"/>
  <c r="BB282"/>
  <c r="CE282" s="1"/>
  <c r="CH282" s="1"/>
  <c r="BB280"/>
  <c r="CE280" s="1"/>
  <c r="DH280" s="1"/>
  <c r="EK280" s="1"/>
  <c r="FN280" s="1"/>
  <c r="GQ280" s="1"/>
  <c r="HT280" s="1"/>
  <c r="IW280" s="1"/>
  <c r="IZ280" s="1"/>
  <c r="BB279"/>
  <c r="CE279" s="1"/>
  <c r="CH279" s="1"/>
  <c r="BB278"/>
  <c r="CE278" s="1"/>
  <c r="CH278" s="1"/>
  <c r="BB277"/>
  <c r="CE277" s="1"/>
  <c r="CH277" s="1"/>
  <c r="BB276"/>
  <c r="CE276" s="1"/>
  <c r="CH276" s="1"/>
  <c r="BB275"/>
  <c r="CE275" s="1"/>
  <c r="CH275" s="1"/>
  <c r="BB274"/>
  <c r="CE274" s="1"/>
  <c r="CH274" s="1"/>
  <c r="BB273"/>
  <c r="CE273" s="1"/>
  <c r="CH273" s="1"/>
  <c r="BB272"/>
  <c r="CE272" s="1"/>
  <c r="CH272" s="1"/>
  <c r="BB270"/>
  <c r="CE270" s="1"/>
  <c r="CH270" s="1"/>
  <c r="BB269"/>
  <c r="CE269" s="1"/>
  <c r="CH269" s="1"/>
  <c r="BB268"/>
  <c r="CE268" s="1"/>
  <c r="CH268" s="1"/>
  <c r="BB267"/>
  <c r="CE267" s="1"/>
  <c r="CH267" s="1"/>
  <c r="BB266"/>
  <c r="CE266" s="1"/>
  <c r="DH266" s="1"/>
  <c r="EK266" s="1"/>
  <c r="FN266" s="1"/>
  <c r="GQ266" s="1"/>
  <c r="HT266" s="1"/>
  <c r="IW266" s="1"/>
  <c r="IZ266" s="1"/>
  <c r="BB265"/>
  <c r="CE265" s="1"/>
  <c r="CH265" s="1"/>
  <c r="BB264"/>
  <c r="CE264" s="1"/>
  <c r="CH264" s="1"/>
  <c r="BB263"/>
  <c r="CE263" s="1"/>
  <c r="CH263" s="1"/>
  <c r="BB262"/>
  <c r="CE262" s="1"/>
  <c r="CH262" s="1"/>
  <c r="BB259"/>
  <c r="CE259" s="1"/>
  <c r="CH259" s="1"/>
  <c r="BB257"/>
  <c r="BB256"/>
  <c r="BB255"/>
  <c r="BB254"/>
  <c r="BB253"/>
  <c r="BB252"/>
  <c r="BB250"/>
  <c r="BB249"/>
  <c r="BB248"/>
  <c r="BB247"/>
  <c r="BB246"/>
  <c r="BB245"/>
  <c r="BB244"/>
  <c r="BB243"/>
  <c r="BB242"/>
  <c r="BB240"/>
  <c r="BB239"/>
  <c r="BB238"/>
  <c r="BB237"/>
  <c r="BB236"/>
  <c r="BB235"/>
  <c r="BB234"/>
  <c r="BB233"/>
  <c r="BB232"/>
  <c r="BB230"/>
  <c r="BB229"/>
  <c r="BB228"/>
  <c r="BB227"/>
  <c r="BB226"/>
  <c r="BB225"/>
  <c r="BB224"/>
  <c r="BB223"/>
  <c r="BB222"/>
  <c r="BB220"/>
  <c r="BB209"/>
  <c r="BB208"/>
  <c r="BB207"/>
  <c r="BB206"/>
  <c r="BB205"/>
  <c r="BB204"/>
  <c r="BB203"/>
  <c r="CE203" s="1"/>
  <c r="DH203" s="1"/>
  <c r="EK203" s="1"/>
  <c r="BB202"/>
  <c r="BB200"/>
  <c r="CE200" s="1"/>
  <c r="CH200" s="1"/>
  <c r="BB98"/>
  <c r="CE98" s="1"/>
  <c r="CH98" s="1"/>
  <c r="BB97"/>
  <c r="CE97" s="1"/>
  <c r="DH97" s="1"/>
  <c r="EK97" s="1"/>
  <c r="FN97" s="1"/>
  <c r="GQ97" s="1"/>
  <c r="HT97" s="1"/>
  <c r="IW97" s="1"/>
  <c r="IZ97" s="1"/>
  <c r="BB96"/>
  <c r="CE96" s="1"/>
  <c r="DH96" s="1"/>
  <c r="DK96" s="1"/>
  <c r="BB95"/>
  <c r="CE95" s="1"/>
  <c r="CH95" s="1"/>
  <c r="BB94"/>
  <c r="CE94" s="1"/>
  <c r="CH94" s="1"/>
  <c r="BB93"/>
  <c r="CE93" s="1"/>
  <c r="CH93" s="1"/>
  <c r="BB92"/>
  <c r="CE92" s="1"/>
  <c r="CH92" s="1"/>
  <c r="BB90"/>
  <c r="CE90" s="1"/>
  <c r="DH90" s="1"/>
  <c r="EK90" s="1"/>
  <c r="FN90" s="1"/>
  <c r="GQ90" s="1"/>
  <c r="HT90" s="1"/>
  <c r="IW90" s="1"/>
  <c r="IZ90" s="1"/>
  <c r="BB89"/>
  <c r="CE89" s="1"/>
  <c r="CH89" s="1"/>
  <c r="BB88"/>
  <c r="CE88" s="1"/>
  <c r="CH88" s="1"/>
  <c r="BB87"/>
  <c r="CE87" s="1"/>
  <c r="DH87" s="1"/>
  <c r="DK87" s="1"/>
  <c r="BB86"/>
  <c r="CE86" s="1"/>
  <c r="DH86" s="1"/>
  <c r="DK86" s="1"/>
  <c r="BB85"/>
  <c r="CE85" s="1"/>
  <c r="CH85" s="1"/>
  <c r="BB84"/>
  <c r="CE84" s="1"/>
  <c r="CH84" s="1"/>
  <c r="BB83"/>
  <c r="CE83" s="1"/>
  <c r="DH83" s="1"/>
  <c r="EK83" s="1"/>
  <c r="FN83" s="1"/>
  <c r="FQ83" s="1"/>
  <c r="BB82"/>
  <c r="CE82" s="1"/>
  <c r="CH82" s="1"/>
  <c r="BB80"/>
  <c r="CE80" s="1"/>
  <c r="CH80" s="1"/>
  <c r="BB79"/>
  <c r="CE79" s="1"/>
  <c r="CH79" s="1"/>
  <c r="BB78"/>
  <c r="CE78" s="1"/>
  <c r="CH78" s="1"/>
  <c r="BB73"/>
  <c r="CE73" s="1"/>
  <c r="CH73" s="1"/>
  <c r="BB72"/>
  <c r="CE72" s="1"/>
  <c r="CH72" s="1"/>
  <c r="BB70"/>
  <c r="CE70" s="1"/>
  <c r="CH70" s="1"/>
  <c r="BB69"/>
  <c r="CE69" s="1"/>
  <c r="CH69" s="1"/>
  <c r="BB68"/>
  <c r="CE68" s="1"/>
  <c r="CH68" s="1"/>
  <c r="BB67"/>
  <c r="CE67" s="1"/>
  <c r="CH67" s="1"/>
  <c r="BB66"/>
  <c r="CE66" s="1"/>
  <c r="CH66" s="1"/>
  <c r="BB65"/>
  <c r="CE65" s="1"/>
  <c r="CH65" s="1"/>
  <c r="BB64"/>
  <c r="CE64" s="1"/>
  <c r="CH64" s="1"/>
  <c r="BB63"/>
  <c r="CE63" s="1"/>
  <c r="CH63" s="1"/>
  <c r="BB62"/>
  <c r="CE62" s="1"/>
  <c r="CH62" s="1"/>
  <c r="BB60"/>
  <c r="CE60" s="1"/>
  <c r="CH60" s="1"/>
  <c r="BB59"/>
  <c r="CE59" s="1"/>
  <c r="CH59" s="1"/>
  <c r="BB58"/>
  <c r="CE58" s="1"/>
  <c r="CH58" s="1"/>
  <c r="BB57"/>
  <c r="CE57" s="1"/>
  <c r="CH57" s="1"/>
  <c r="BB55"/>
  <c r="CE55" s="1"/>
  <c r="CH55" s="1"/>
  <c r="BB54"/>
  <c r="CE54" s="1"/>
  <c r="CH54" s="1"/>
  <c r="BB53"/>
  <c r="CE53" s="1"/>
  <c r="CH53" s="1"/>
  <c r="BB52"/>
  <c r="CE52" s="1"/>
  <c r="CH52" s="1"/>
  <c r="BB50"/>
  <c r="CE50" s="1"/>
  <c r="CH50" s="1"/>
  <c r="BB49"/>
  <c r="CE49" s="1"/>
  <c r="CH49" s="1"/>
  <c r="BB48"/>
  <c r="CE48" s="1"/>
  <c r="CH48" s="1"/>
  <c r="BB47"/>
  <c r="CE47" s="1"/>
  <c r="CH47" s="1"/>
  <c r="BB46"/>
  <c r="CE46" s="1"/>
  <c r="CH46" s="1"/>
  <c r="BB45"/>
  <c r="CE45" s="1"/>
  <c r="CH45" s="1"/>
  <c r="BB44"/>
  <c r="CE44" s="1"/>
  <c r="CH44" s="1"/>
  <c r="BB42"/>
  <c r="CE42" s="1"/>
  <c r="CH42" s="1"/>
  <c r="BB40"/>
  <c r="CE40" s="1"/>
  <c r="CH40" s="1"/>
  <c r="BB39"/>
  <c r="CE39" s="1"/>
  <c r="CH39" s="1"/>
  <c r="BB38"/>
  <c r="CE38" s="1"/>
  <c r="CH38" s="1"/>
  <c r="BB37"/>
  <c r="CE37" s="1"/>
  <c r="CH37" s="1"/>
  <c r="BB36"/>
  <c r="CE36" s="1"/>
  <c r="CH36" s="1"/>
  <c r="BB34"/>
  <c r="CE34" s="1"/>
  <c r="CH34" s="1"/>
  <c r="BB33"/>
  <c r="CE33" s="1"/>
  <c r="CH33" s="1"/>
  <c r="BB32"/>
  <c r="CE32" s="1"/>
  <c r="CH32" s="1"/>
  <c r="BB30"/>
  <c r="CE30" s="1"/>
  <c r="CH30" s="1"/>
  <c r="BB29"/>
  <c r="CE29" s="1"/>
  <c r="CH29" s="1"/>
  <c r="BB28"/>
  <c r="CE28" s="1"/>
  <c r="CH28" s="1"/>
  <c r="BB27"/>
  <c r="CE27" s="1"/>
  <c r="CH27" s="1"/>
  <c r="BB26"/>
  <c r="CE26" s="1"/>
  <c r="CH26" s="1"/>
  <c r="BB24"/>
  <c r="CE24" s="1"/>
  <c r="CH24" s="1"/>
  <c r="BB23"/>
  <c r="CE23" s="1"/>
  <c r="CH23" s="1"/>
  <c r="BB22"/>
  <c r="CE22" s="1"/>
  <c r="CH22" s="1"/>
  <c r="BB20"/>
  <c r="CE20" s="1"/>
  <c r="CH20" s="1"/>
  <c r="D358" i="39"/>
  <c r="C354" i="68"/>
  <c r="C354" i="69"/>
  <c r="C354" i="70"/>
  <c r="D354" s="1"/>
  <c r="C354" i="71"/>
  <c r="K354" s="1"/>
  <c r="C354" i="72"/>
  <c r="I354" s="1"/>
  <c r="C354" i="73"/>
  <c r="C354" i="74"/>
  <c r="L354" s="1"/>
  <c r="C354" i="65"/>
  <c r="F354" s="1"/>
  <c r="F354" i="68"/>
  <c r="C395" i="65"/>
  <c r="C394"/>
  <c r="M394" s="1"/>
  <c r="C395" i="69"/>
  <c r="G395" s="1"/>
  <c r="C394"/>
  <c r="I394" s="1"/>
  <c r="C395" i="70"/>
  <c r="C394"/>
  <c r="K394" s="1"/>
  <c r="C395" i="71"/>
  <c r="L395" s="1"/>
  <c r="C394"/>
  <c r="H394" s="1"/>
  <c r="C395" i="72"/>
  <c r="C394"/>
  <c r="F394" s="1"/>
  <c r="C395" i="73"/>
  <c r="E395" s="1"/>
  <c r="C394"/>
  <c r="K394" s="1"/>
  <c r="C395" i="74"/>
  <c r="C394"/>
  <c r="F394" s="1"/>
  <c r="C395" i="68"/>
  <c r="I395" s="1"/>
  <c r="C394"/>
  <c r="G394" s="1"/>
  <c r="C386" i="65"/>
  <c r="C385"/>
  <c r="C384"/>
  <c r="C383"/>
  <c r="G383" s="1"/>
  <c r="C382"/>
  <c r="C381"/>
  <c r="H381" s="1"/>
  <c r="C380"/>
  <c r="C379"/>
  <c r="I379" s="1"/>
  <c r="C378"/>
  <c r="C377"/>
  <c r="E377" s="1"/>
  <c r="C386" i="69"/>
  <c r="C385"/>
  <c r="C384"/>
  <c r="C383"/>
  <c r="L383" s="1"/>
  <c r="C382"/>
  <c r="L382" s="1"/>
  <c r="C381"/>
  <c r="L381" s="1"/>
  <c r="C380"/>
  <c r="M380" s="1"/>
  <c r="C379"/>
  <c r="L379" s="1"/>
  <c r="C378"/>
  <c r="C377"/>
  <c r="H377" s="1"/>
  <c r="C386" i="70"/>
  <c r="C385"/>
  <c r="C384"/>
  <c r="C383"/>
  <c r="D383" s="1"/>
  <c r="C382"/>
  <c r="C381"/>
  <c r="F381" s="1"/>
  <c r="C380"/>
  <c r="L380" s="1"/>
  <c r="C379"/>
  <c r="L379" s="1"/>
  <c r="C378"/>
  <c r="J378" s="1"/>
  <c r="C377"/>
  <c r="J377" s="1"/>
  <c r="C386" i="71"/>
  <c r="C385"/>
  <c r="C384"/>
  <c r="C383"/>
  <c r="F383" s="1"/>
  <c r="C382"/>
  <c r="J382" s="1"/>
  <c r="C381"/>
  <c r="D381" s="1"/>
  <c r="C380"/>
  <c r="C379"/>
  <c r="K379" s="1"/>
  <c r="C378"/>
  <c r="C377"/>
  <c r="E377" s="1"/>
  <c r="C386" i="72"/>
  <c r="C385"/>
  <c r="C384"/>
  <c r="C383"/>
  <c r="L383" s="1"/>
  <c r="C382"/>
  <c r="C381"/>
  <c r="F381" s="1"/>
  <c r="C380"/>
  <c r="I380" s="1"/>
  <c r="C379"/>
  <c r="G379" s="1"/>
  <c r="C378"/>
  <c r="C377"/>
  <c r="L377" s="1"/>
  <c r="C386" i="73"/>
  <c r="C385"/>
  <c r="C384"/>
  <c r="C383"/>
  <c r="I383" s="1"/>
  <c r="C382"/>
  <c r="H382" s="1"/>
  <c r="C381"/>
  <c r="I381" s="1"/>
  <c r="C380"/>
  <c r="C379"/>
  <c r="K379" s="1"/>
  <c r="C378"/>
  <c r="K378" s="1"/>
  <c r="C377"/>
  <c r="I377" s="1"/>
  <c r="C386" i="74"/>
  <c r="C385"/>
  <c r="C384"/>
  <c r="C383"/>
  <c r="H383" s="1"/>
  <c r="C382"/>
  <c r="C381"/>
  <c r="D381" s="1"/>
  <c r="C380"/>
  <c r="F380" s="1"/>
  <c r="C379"/>
  <c r="I379" s="1"/>
  <c r="C378"/>
  <c r="C377"/>
  <c r="F377" s="1"/>
  <c r="C386" i="68"/>
  <c r="C385"/>
  <c r="C384"/>
  <c r="C383"/>
  <c r="F383" s="1"/>
  <c r="C382"/>
  <c r="J382" s="1"/>
  <c r="C381"/>
  <c r="J381" s="1"/>
  <c r="C380"/>
  <c r="K380" s="1"/>
  <c r="C379"/>
  <c r="C378"/>
  <c r="C377"/>
  <c r="K377" s="1"/>
  <c r="C372" i="65"/>
  <c r="C371"/>
  <c r="C370"/>
  <c r="E370" s="1"/>
  <c r="C369"/>
  <c r="G369" s="1"/>
  <c r="C368"/>
  <c r="C372" i="69"/>
  <c r="C371"/>
  <c r="C370"/>
  <c r="I370" s="1"/>
  <c r="C369"/>
  <c r="C368"/>
  <c r="C372" i="70"/>
  <c r="C371"/>
  <c r="C370"/>
  <c r="C369"/>
  <c r="F369" s="1"/>
  <c r="C368"/>
  <c r="C372" i="71"/>
  <c r="C371"/>
  <c r="C370"/>
  <c r="H370" s="1"/>
  <c r="C369"/>
  <c r="F369" s="1"/>
  <c r="C368"/>
  <c r="C372" i="72"/>
  <c r="C371"/>
  <c r="C370"/>
  <c r="G370" s="1"/>
  <c r="C369"/>
  <c r="G369" s="1"/>
  <c r="C368"/>
  <c r="C372" i="73"/>
  <c r="C371"/>
  <c r="C370"/>
  <c r="D370" s="1"/>
  <c r="C369"/>
  <c r="C368"/>
  <c r="C372" i="74"/>
  <c r="C371"/>
  <c r="C370"/>
  <c r="C369"/>
  <c r="L369" s="1"/>
  <c r="C368"/>
  <c r="C372" i="68"/>
  <c r="C371"/>
  <c r="C370"/>
  <c r="L370" s="1"/>
  <c r="C369"/>
  <c r="M369" s="1"/>
  <c r="C368"/>
  <c r="C363" i="65"/>
  <c r="C362"/>
  <c r="C361"/>
  <c r="F361" s="1"/>
  <c r="C360"/>
  <c r="G360" s="1"/>
  <c r="C359"/>
  <c r="C358"/>
  <c r="M358" s="1"/>
  <c r="C363" i="69"/>
  <c r="C362"/>
  <c r="C361"/>
  <c r="C360"/>
  <c r="K360" s="1"/>
  <c r="C359"/>
  <c r="K359" s="1"/>
  <c r="C358"/>
  <c r="E358" s="1"/>
  <c r="C363" i="70"/>
  <c r="C362"/>
  <c r="C361"/>
  <c r="M361" s="1"/>
  <c r="C360"/>
  <c r="J360" s="1"/>
  <c r="C359"/>
  <c r="C358"/>
  <c r="F358" s="1"/>
  <c r="C363" i="71"/>
  <c r="C362"/>
  <c r="C361"/>
  <c r="C360"/>
  <c r="D360" s="1"/>
  <c r="C359"/>
  <c r="C358"/>
  <c r="H358" s="1"/>
  <c r="C363" i="72"/>
  <c r="C362"/>
  <c r="C361"/>
  <c r="I361" s="1"/>
  <c r="C360"/>
  <c r="L360" s="1"/>
  <c r="C359"/>
  <c r="C358"/>
  <c r="M358" s="1"/>
  <c r="C363" i="73"/>
  <c r="C362"/>
  <c r="C361"/>
  <c r="C360"/>
  <c r="F360" s="1"/>
  <c r="C359"/>
  <c r="E359" s="1"/>
  <c r="C358"/>
  <c r="D358" s="1"/>
  <c r="C363" i="74"/>
  <c r="C362"/>
  <c r="C361"/>
  <c r="J361" s="1"/>
  <c r="C360"/>
  <c r="D360" s="1"/>
  <c r="C359"/>
  <c r="C358"/>
  <c r="L358" s="1"/>
  <c r="C363" i="68"/>
  <c r="C362"/>
  <c r="C361"/>
  <c r="C360"/>
  <c r="I360" s="1"/>
  <c r="C359"/>
  <c r="I359" s="1"/>
  <c r="C358"/>
  <c r="L358" s="1"/>
  <c r="C288" i="65"/>
  <c r="Y288" s="1"/>
  <c r="C287"/>
  <c r="Y287" s="1"/>
  <c r="C286"/>
  <c r="Y286" s="1"/>
  <c r="C285"/>
  <c r="L285" s="1"/>
  <c r="C284"/>
  <c r="D284" s="1"/>
  <c r="C283"/>
  <c r="Y283" s="1"/>
  <c r="C282"/>
  <c r="Y282" s="1"/>
  <c r="C281"/>
  <c r="E281" s="1"/>
  <c r="C280"/>
  <c r="Y280" s="1"/>
  <c r="C279"/>
  <c r="L279" s="1"/>
  <c r="C278"/>
  <c r="C277"/>
  <c r="G277" s="1"/>
  <c r="C276"/>
  <c r="Y276" s="1"/>
  <c r="C275"/>
  <c r="E275" s="1"/>
  <c r="C274"/>
  <c r="Y274" s="1"/>
  <c r="C273"/>
  <c r="L273" s="1"/>
  <c r="C272"/>
  <c r="I272" s="1"/>
  <c r="C271"/>
  <c r="E271" s="1"/>
  <c r="C270"/>
  <c r="G270" s="1"/>
  <c r="M284" i="69"/>
  <c r="M282"/>
  <c r="M280"/>
  <c r="M276"/>
  <c r="F275"/>
  <c r="F274"/>
  <c r="F272"/>
  <c r="D271"/>
  <c r="D270"/>
  <c r="F285" i="70"/>
  <c r="H283"/>
  <c r="K282"/>
  <c r="F281"/>
  <c r="D278"/>
  <c r="F275"/>
  <c r="M274"/>
  <c r="J273"/>
  <c r="M270"/>
  <c r="M286" i="71"/>
  <c r="G284"/>
  <c r="M282"/>
  <c r="M281"/>
  <c r="J280"/>
  <c r="F278"/>
  <c r="D277"/>
  <c r="K276"/>
  <c r="D274"/>
  <c r="I272"/>
  <c r="M270"/>
  <c r="M285" i="72"/>
  <c r="F283"/>
  <c r="M281"/>
  <c r="K279"/>
  <c r="G277"/>
  <c r="D276"/>
  <c r="K275"/>
  <c r="G271"/>
  <c r="H286" i="73"/>
  <c r="M284"/>
  <c r="F282"/>
  <c r="M280"/>
  <c r="J278"/>
  <c r="F276"/>
  <c r="K274"/>
  <c r="D272"/>
  <c r="J270"/>
  <c r="J285" i="74"/>
  <c r="M283"/>
  <c r="F281"/>
  <c r="M279"/>
  <c r="J277"/>
  <c r="F275"/>
  <c r="K273"/>
  <c r="D271"/>
  <c r="D286" i="68"/>
  <c r="L284"/>
  <c r="D282"/>
  <c r="E280"/>
  <c r="D278"/>
  <c r="K277"/>
  <c r="E276"/>
  <c r="D274"/>
  <c r="D270"/>
  <c r="C238" i="65"/>
  <c r="H238" s="1"/>
  <c r="C237"/>
  <c r="C236"/>
  <c r="M236" s="1"/>
  <c r="C235"/>
  <c r="E235" s="1"/>
  <c r="C234"/>
  <c r="D234" s="1"/>
  <c r="C233"/>
  <c r="I233" s="1"/>
  <c r="C232"/>
  <c r="L232" s="1"/>
  <c r="C231"/>
  <c r="K231" s="1"/>
  <c r="C230"/>
  <c r="L230" s="1"/>
  <c r="C229"/>
  <c r="K229" s="1"/>
  <c r="C228"/>
  <c r="K228" s="1"/>
  <c r="C227"/>
  <c r="I227" s="1"/>
  <c r="C226"/>
  <c r="I226" s="1"/>
  <c r="C225"/>
  <c r="J225" s="1"/>
  <c r="C224"/>
  <c r="K224" s="1"/>
  <c r="C223"/>
  <c r="L223" s="1"/>
  <c r="C222"/>
  <c r="C221"/>
  <c r="C220"/>
  <c r="C219"/>
  <c r="C218"/>
  <c r="C217"/>
  <c r="C216"/>
  <c r="C215"/>
  <c r="C214"/>
  <c r="C213"/>
  <c r="C238" i="69"/>
  <c r="G238" s="1"/>
  <c r="C237"/>
  <c r="K237" s="1"/>
  <c r="C236"/>
  <c r="I236" s="1"/>
  <c r="C235"/>
  <c r="I235" s="1"/>
  <c r="C234"/>
  <c r="D234" s="1"/>
  <c r="C233"/>
  <c r="E233" s="1"/>
  <c r="C232"/>
  <c r="C231"/>
  <c r="D231" s="1"/>
  <c r="C230"/>
  <c r="J230" s="1"/>
  <c r="C229"/>
  <c r="L229" s="1"/>
  <c r="C228"/>
  <c r="G228" s="1"/>
  <c r="C227"/>
  <c r="I227" s="1"/>
  <c r="C226"/>
  <c r="L226" s="1"/>
  <c r="C225"/>
  <c r="E225" s="1"/>
  <c r="C224"/>
  <c r="M224" s="1"/>
  <c r="C223"/>
  <c r="C222"/>
  <c r="E222" s="1"/>
  <c r="C221"/>
  <c r="C220"/>
  <c r="C219"/>
  <c r="C218"/>
  <c r="C217"/>
  <c r="C216"/>
  <c r="C215"/>
  <c r="C214"/>
  <c r="C213"/>
  <c r="C238" i="70"/>
  <c r="L238" s="1"/>
  <c r="C237"/>
  <c r="C236"/>
  <c r="L236" s="1"/>
  <c r="C235"/>
  <c r="L235" s="1"/>
  <c r="C234"/>
  <c r="J234" s="1"/>
  <c r="C233"/>
  <c r="D233" s="1"/>
  <c r="C232"/>
  <c r="J232" s="1"/>
  <c r="C231"/>
  <c r="C230"/>
  <c r="L230" s="1"/>
  <c r="C229"/>
  <c r="C228"/>
  <c r="F228" s="1"/>
  <c r="C227"/>
  <c r="K227" s="1"/>
  <c r="C226"/>
  <c r="K226" s="1"/>
  <c r="C225"/>
  <c r="C224"/>
  <c r="M224" s="1"/>
  <c r="C223"/>
  <c r="C222"/>
  <c r="K222" s="1"/>
  <c r="C221"/>
  <c r="C220"/>
  <c r="C219"/>
  <c r="C218"/>
  <c r="C217"/>
  <c r="C216"/>
  <c r="C215"/>
  <c r="C214"/>
  <c r="C213"/>
  <c r="C238" i="71"/>
  <c r="F238" s="1"/>
  <c r="C237"/>
  <c r="C236"/>
  <c r="L236" s="1"/>
  <c r="C235"/>
  <c r="K235" s="1"/>
  <c r="C234"/>
  <c r="K234" s="1"/>
  <c r="C233"/>
  <c r="H233" s="1"/>
  <c r="C232"/>
  <c r="K232" s="1"/>
  <c r="C231"/>
  <c r="C230"/>
  <c r="M230" s="1"/>
  <c r="C229"/>
  <c r="C228"/>
  <c r="I228" s="1"/>
  <c r="C227"/>
  <c r="F227" s="1"/>
  <c r="C226"/>
  <c r="F226" s="1"/>
  <c r="C225"/>
  <c r="I225" s="1"/>
  <c r="C224"/>
  <c r="M224" s="1"/>
  <c r="C223"/>
  <c r="C222"/>
  <c r="D222" s="1"/>
  <c r="C221"/>
  <c r="C220"/>
  <c r="C219"/>
  <c r="C218"/>
  <c r="C217"/>
  <c r="C216"/>
  <c r="C215"/>
  <c r="C214"/>
  <c r="C213"/>
  <c r="C238" i="72"/>
  <c r="G238" s="1"/>
  <c r="C237"/>
  <c r="C236"/>
  <c r="J236" s="1"/>
  <c r="C235"/>
  <c r="D235" s="1"/>
  <c r="C234"/>
  <c r="M234" s="1"/>
  <c r="C233"/>
  <c r="M233" s="1"/>
  <c r="C232"/>
  <c r="J232" s="1"/>
  <c r="C231"/>
  <c r="D231" s="1"/>
  <c r="C230"/>
  <c r="F230" s="1"/>
  <c r="C229"/>
  <c r="E229" s="1"/>
  <c r="C228"/>
  <c r="E228" s="1"/>
  <c r="C227"/>
  <c r="I227" s="1"/>
  <c r="C226"/>
  <c r="H226" s="1"/>
  <c r="C225"/>
  <c r="C224"/>
  <c r="E224" s="1"/>
  <c r="C223"/>
  <c r="D223" s="1"/>
  <c r="C222"/>
  <c r="L222" s="1"/>
  <c r="C221"/>
  <c r="C220"/>
  <c r="C219"/>
  <c r="C218"/>
  <c r="C217"/>
  <c r="C216"/>
  <c r="C215"/>
  <c r="C214"/>
  <c r="C213"/>
  <c r="C238" i="73"/>
  <c r="D238" s="1"/>
  <c r="C237"/>
  <c r="C236"/>
  <c r="J236" s="1"/>
  <c r="C235"/>
  <c r="M235" s="1"/>
  <c r="C234"/>
  <c r="K234" s="1"/>
  <c r="C233"/>
  <c r="H233" s="1"/>
  <c r="C232"/>
  <c r="J232" s="1"/>
  <c r="C231"/>
  <c r="J231" s="1"/>
  <c r="C230"/>
  <c r="J230" s="1"/>
  <c r="C229"/>
  <c r="C228"/>
  <c r="M228" s="1"/>
  <c r="C227"/>
  <c r="L227" s="1"/>
  <c r="C226"/>
  <c r="G226" s="1"/>
  <c r="C225"/>
  <c r="C224"/>
  <c r="C223"/>
  <c r="D223" s="1"/>
  <c r="C222"/>
  <c r="J222" s="1"/>
  <c r="C221"/>
  <c r="C220"/>
  <c r="C219"/>
  <c r="C218"/>
  <c r="C217"/>
  <c r="C216"/>
  <c r="C215"/>
  <c r="C214"/>
  <c r="C213"/>
  <c r="C238" i="74"/>
  <c r="I238" s="1"/>
  <c r="C237"/>
  <c r="C236"/>
  <c r="D236" s="1"/>
  <c r="C235"/>
  <c r="M235" s="1"/>
  <c r="C234"/>
  <c r="C233"/>
  <c r="J233" s="1"/>
  <c r="C232"/>
  <c r="G232" s="1"/>
  <c r="C231"/>
  <c r="K231" s="1"/>
  <c r="C230"/>
  <c r="J230" s="1"/>
  <c r="C229"/>
  <c r="C228"/>
  <c r="L228" s="1"/>
  <c r="C227"/>
  <c r="M227" s="1"/>
  <c r="C226"/>
  <c r="D226" s="1"/>
  <c r="C225"/>
  <c r="C224"/>
  <c r="D224" s="1"/>
  <c r="C223"/>
  <c r="M223" s="1"/>
  <c r="C222"/>
  <c r="K222" s="1"/>
  <c r="C221"/>
  <c r="C220"/>
  <c r="C219"/>
  <c r="C218"/>
  <c r="C217"/>
  <c r="C216"/>
  <c r="C215"/>
  <c r="C214"/>
  <c r="C213"/>
  <c r="C238" i="68"/>
  <c r="E238" s="1"/>
  <c r="C237"/>
  <c r="G237" s="1"/>
  <c r="C236"/>
  <c r="I236" s="1"/>
  <c r="C235"/>
  <c r="J235" s="1"/>
  <c r="C234"/>
  <c r="M234" s="1"/>
  <c r="C233"/>
  <c r="D233" s="1"/>
  <c r="C232"/>
  <c r="E232" s="1"/>
  <c r="C231"/>
  <c r="C230"/>
  <c r="J230" s="1"/>
  <c r="C229"/>
  <c r="C228"/>
  <c r="H228" s="1"/>
  <c r="C227"/>
  <c r="I227" s="1"/>
  <c r="C226"/>
  <c r="J226" s="1"/>
  <c r="C225"/>
  <c r="C224"/>
  <c r="L224" s="1"/>
  <c r="C223"/>
  <c r="D223" s="1"/>
  <c r="C222"/>
  <c r="D222" s="1"/>
  <c r="C221"/>
  <c r="C220"/>
  <c r="C219"/>
  <c r="C218"/>
  <c r="C217"/>
  <c r="C216"/>
  <c r="C215"/>
  <c r="C214"/>
  <c r="C213"/>
  <c r="C211" i="65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K190" s="1"/>
  <c r="C189"/>
  <c r="C188"/>
  <c r="H188" s="1"/>
  <c r="C187"/>
  <c r="H187" s="1"/>
  <c r="C186"/>
  <c r="E186" s="1"/>
  <c r="C185"/>
  <c r="C184"/>
  <c r="E184" s="1"/>
  <c r="C183"/>
  <c r="G183" s="1"/>
  <c r="C182"/>
  <c r="I182" s="1"/>
  <c r="C181"/>
  <c r="C180"/>
  <c r="J180" s="1"/>
  <c r="C179"/>
  <c r="C178"/>
  <c r="C177"/>
  <c r="C176"/>
  <c r="C175"/>
  <c r="C174"/>
  <c r="C173"/>
  <c r="C172"/>
  <c r="C171"/>
  <c r="C170"/>
  <c r="C169"/>
  <c r="C168"/>
  <c r="C167"/>
  <c r="D167" s="1"/>
  <c r="C166"/>
  <c r="G166" s="1"/>
  <c r="C165"/>
  <c r="C164"/>
  <c r="G164" s="1"/>
  <c r="C163"/>
  <c r="K163" s="1"/>
  <c r="C162"/>
  <c r="L162" s="1"/>
  <c r="C161"/>
  <c r="C160"/>
  <c r="E160" s="1"/>
  <c r="C159"/>
  <c r="J159" s="1"/>
  <c r="C158"/>
  <c r="C157"/>
  <c r="C156"/>
  <c r="C155"/>
  <c r="H155" s="1"/>
  <c r="C154"/>
  <c r="H154" s="1"/>
  <c r="C211" i="69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E190" s="1"/>
  <c r="C189"/>
  <c r="F189" s="1"/>
  <c r="C188"/>
  <c r="C187"/>
  <c r="C186"/>
  <c r="J186" s="1"/>
  <c r="C185"/>
  <c r="C184"/>
  <c r="C183"/>
  <c r="C182"/>
  <c r="E182" s="1"/>
  <c r="C181"/>
  <c r="I181" s="1"/>
  <c r="C180"/>
  <c r="C179"/>
  <c r="C178"/>
  <c r="K178" s="1"/>
  <c r="C177"/>
  <c r="C176"/>
  <c r="I176" s="1"/>
  <c r="C175"/>
  <c r="C174"/>
  <c r="K174" s="1"/>
  <c r="C173"/>
  <c r="C172"/>
  <c r="C171"/>
  <c r="C170"/>
  <c r="K170" s="1"/>
  <c r="C169"/>
  <c r="G169" s="1"/>
  <c r="C168"/>
  <c r="C167"/>
  <c r="C166"/>
  <c r="E166" s="1"/>
  <c r="C165"/>
  <c r="G165" s="1"/>
  <c r="C164"/>
  <c r="I164" s="1"/>
  <c r="C163"/>
  <c r="C162"/>
  <c r="D162" s="1"/>
  <c r="C161"/>
  <c r="K161" s="1"/>
  <c r="C160"/>
  <c r="I160" s="1"/>
  <c r="C159"/>
  <c r="C158"/>
  <c r="K158" s="1"/>
  <c r="C157"/>
  <c r="D157" s="1"/>
  <c r="C156"/>
  <c r="C155"/>
  <c r="C154"/>
  <c r="E154" s="1"/>
  <c r="C211" i="70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D190" s="1"/>
  <c r="C189"/>
  <c r="C188"/>
  <c r="G188" s="1"/>
  <c r="C187"/>
  <c r="F187" s="1"/>
  <c r="C186"/>
  <c r="D186" s="1"/>
  <c r="C185"/>
  <c r="C184"/>
  <c r="J184" s="1"/>
  <c r="C183"/>
  <c r="G183" s="1"/>
  <c r="C182"/>
  <c r="J182" s="1"/>
  <c r="C181"/>
  <c r="C180"/>
  <c r="F180" s="1"/>
  <c r="C179"/>
  <c r="G179" s="1"/>
  <c r="C178"/>
  <c r="C177"/>
  <c r="C176"/>
  <c r="H176" s="1"/>
  <c r="C175"/>
  <c r="C174"/>
  <c r="C173"/>
  <c r="C172"/>
  <c r="L172" s="1"/>
  <c r="C171"/>
  <c r="C170"/>
  <c r="D170" s="1"/>
  <c r="C169"/>
  <c r="C168"/>
  <c r="L168" s="1"/>
  <c r="C167"/>
  <c r="F167" s="1"/>
  <c r="C166"/>
  <c r="G166" s="1"/>
  <c r="C165"/>
  <c r="C164"/>
  <c r="H164" s="1"/>
  <c r="C163"/>
  <c r="G163" s="1"/>
  <c r="C162"/>
  <c r="D162" s="1"/>
  <c r="C161"/>
  <c r="C160"/>
  <c r="M160" s="1"/>
  <c r="C159"/>
  <c r="D159" s="1"/>
  <c r="C158"/>
  <c r="C157"/>
  <c r="C156"/>
  <c r="I156" s="1"/>
  <c r="C155"/>
  <c r="F155" s="1"/>
  <c r="C154"/>
  <c r="I154" s="1"/>
  <c r="C211" i="71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G190" s="1"/>
  <c r="C189"/>
  <c r="H189" s="1"/>
  <c r="C188"/>
  <c r="H188" s="1"/>
  <c r="C187"/>
  <c r="C186"/>
  <c r="D186" s="1"/>
  <c r="C185"/>
  <c r="K185" s="1"/>
  <c r="C184"/>
  <c r="C183"/>
  <c r="C182"/>
  <c r="D182" s="1"/>
  <c r="C181"/>
  <c r="H181" s="1"/>
  <c r="C180"/>
  <c r="I180" s="1"/>
  <c r="C179"/>
  <c r="C178"/>
  <c r="L178" s="1"/>
  <c r="C177"/>
  <c r="C176"/>
  <c r="I176" s="1"/>
  <c r="C175"/>
  <c r="C174"/>
  <c r="C173"/>
  <c r="M173" s="1"/>
  <c r="C172"/>
  <c r="E172" s="1"/>
  <c r="C171"/>
  <c r="J171" s="1"/>
  <c r="C170"/>
  <c r="K170" s="1"/>
  <c r="C169"/>
  <c r="G169" s="1"/>
  <c r="C168"/>
  <c r="L168" s="1"/>
  <c r="C167"/>
  <c r="C166"/>
  <c r="J166" s="1"/>
  <c r="C165"/>
  <c r="F165" s="1"/>
  <c r="C164"/>
  <c r="M164" s="1"/>
  <c r="C163"/>
  <c r="C162"/>
  <c r="K162" s="1"/>
  <c r="C161"/>
  <c r="C160"/>
  <c r="L160" s="1"/>
  <c r="C159"/>
  <c r="C158"/>
  <c r="K158" s="1"/>
  <c r="C157"/>
  <c r="M157" s="1"/>
  <c r="C156"/>
  <c r="I156" s="1"/>
  <c r="C155"/>
  <c r="C154"/>
  <c r="E154" s="1"/>
  <c r="C211" i="72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H190" s="1"/>
  <c r="C189"/>
  <c r="J189" s="1"/>
  <c r="C188"/>
  <c r="D188" s="1"/>
  <c r="C187"/>
  <c r="F187" s="1"/>
  <c r="C186"/>
  <c r="H186" s="1"/>
  <c r="C185"/>
  <c r="J185" s="1"/>
  <c r="C184"/>
  <c r="K184" s="1"/>
  <c r="C183"/>
  <c r="L183" s="1"/>
  <c r="C182"/>
  <c r="G182" s="1"/>
  <c r="C181"/>
  <c r="J181" s="1"/>
  <c r="C180"/>
  <c r="D180" s="1"/>
  <c r="C179"/>
  <c r="G179" s="1"/>
  <c r="C178"/>
  <c r="C177"/>
  <c r="H177" s="1"/>
  <c r="C176"/>
  <c r="E176" s="1"/>
  <c r="C175"/>
  <c r="I175" s="1"/>
  <c r="C174"/>
  <c r="F174" s="1"/>
  <c r="C173"/>
  <c r="J173" s="1"/>
  <c r="C172"/>
  <c r="E172" s="1"/>
  <c r="C171"/>
  <c r="C170"/>
  <c r="F170" s="1"/>
  <c r="C169"/>
  <c r="J169" s="1"/>
  <c r="C168"/>
  <c r="F168" s="1"/>
  <c r="C167"/>
  <c r="M167" s="1"/>
  <c r="C166"/>
  <c r="F166" s="1"/>
  <c r="C165"/>
  <c r="C164"/>
  <c r="E164" s="1"/>
  <c r="C163"/>
  <c r="G163" s="1"/>
  <c r="C162"/>
  <c r="H162" s="1"/>
  <c r="C161"/>
  <c r="C160"/>
  <c r="G160" s="1"/>
  <c r="C159"/>
  <c r="C158"/>
  <c r="K158" s="1"/>
  <c r="C157"/>
  <c r="I157" s="1"/>
  <c r="C156"/>
  <c r="C155"/>
  <c r="H155" s="1"/>
  <c r="C154"/>
  <c r="D154" s="1"/>
  <c r="C211" i="73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G190" s="1"/>
  <c r="C189"/>
  <c r="D189" s="1"/>
  <c r="C188"/>
  <c r="H188" s="1"/>
  <c r="C187"/>
  <c r="C186"/>
  <c r="F186" s="1"/>
  <c r="C185"/>
  <c r="C184"/>
  <c r="J184" s="1"/>
  <c r="C183"/>
  <c r="C182"/>
  <c r="K182" s="1"/>
  <c r="C181"/>
  <c r="D181" s="1"/>
  <c r="C180"/>
  <c r="D180" s="1"/>
  <c r="C179"/>
  <c r="C178"/>
  <c r="M178" s="1"/>
  <c r="C177"/>
  <c r="D177" s="1"/>
  <c r="C176"/>
  <c r="E176" s="1"/>
  <c r="C175"/>
  <c r="C174"/>
  <c r="K174" s="1"/>
  <c r="C173"/>
  <c r="G173" s="1"/>
  <c r="C172"/>
  <c r="H172" s="1"/>
  <c r="C171"/>
  <c r="J171" s="1"/>
  <c r="C170"/>
  <c r="E170" s="1"/>
  <c r="C169"/>
  <c r="I169" s="1"/>
  <c r="C168"/>
  <c r="K168" s="1"/>
  <c r="C167"/>
  <c r="C166"/>
  <c r="M166" s="1"/>
  <c r="C165"/>
  <c r="L165" s="1"/>
  <c r="C164"/>
  <c r="J164" s="1"/>
  <c r="C163"/>
  <c r="C162"/>
  <c r="E162" s="1"/>
  <c r="C161"/>
  <c r="D161" s="1"/>
  <c r="C160"/>
  <c r="G160" s="1"/>
  <c r="C159"/>
  <c r="C158"/>
  <c r="K158" s="1"/>
  <c r="C157"/>
  <c r="G157" s="1"/>
  <c r="C156"/>
  <c r="F156" s="1"/>
  <c r="C155"/>
  <c r="C154"/>
  <c r="J154" s="1"/>
  <c r="C211" i="74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G190" s="1"/>
  <c r="C189"/>
  <c r="C188"/>
  <c r="K188" s="1"/>
  <c r="C187"/>
  <c r="I187" s="1"/>
  <c r="C186"/>
  <c r="M186" s="1"/>
  <c r="C185"/>
  <c r="C184"/>
  <c r="E184" s="1"/>
  <c r="C183"/>
  <c r="M183" s="1"/>
  <c r="C182"/>
  <c r="J182" s="1"/>
  <c r="C181"/>
  <c r="C180"/>
  <c r="L180" s="1"/>
  <c r="C179"/>
  <c r="H179" s="1"/>
  <c r="C178"/>
  <c r="M178" s="1"/>
  <c r="C177"/>
  <c r="C176"/>
  <c r="G176" s="1"/>
  <c r="C175"/>
  <c r="I175" s="1"/>
  <c r="C174"/>
  <c r="L174" s="1"/>
  <c r="C173"/>
  <c r="C172"/>
  <c r="D172" s="1"/>
  <c r="C171"/>
  <c r="F171" s="1"/>
  <c r="C170"/>
  <c r="I170" s="1"/>
  <c r="C169"/>
  <c r="C168"/>
  <c r="D168" s="1"/>
  <c r="C167"/>
  <c r="G167" s="1"/>
  <c r="C166"/>
  <c r="J166" s="1"/>
  <c r="C165"/>
  <c r="C164"/>
  <c r="F164" s="1"/>
  <c r="C163"/>
  <c r="D163" s="1"/>
  <c r="C162"/>
  <c r="I162" s="1"/>
  <c r="C161"/>
  <c r="C160"/>
  <c r="H160" s="1"/>
  <c r="C159"/>
  <c r="D159" s="1"/>
  <c r="C158"/>
  <c r="J158" s="1"/>
  <c r="C157"/>
  <c r="C156"/>
  <c r="D156" s="1"/>
  <c r="C155"/>
  <c r="K155" s="1"/>
  <c r="C154"/>
  <c r="I154" s="1"/>
  <c r="C211" i="68"/>
  <c r="C210"/>
  <c r="C209"/>
  <c r="C208"/>
  <c r="C207"/>
  <c r="C206"/>
  <c r="C205"/>
  <c r="C204"/>
  <c r="C203"/>
  <c r="C202"/>
  <c r="C201"/>
  <c r="C200"/>
  <c r="C199"/>
  <c r="C198"/>
  <c r="C197"/>
  <c r="C196"/>
  <c r="C195"/>
  <c r="C194"/>
  <c r="C193"/>
  <c r="C192"/>
  <c r="C191"/>
  <c r="C190"/>
  <c r="L190" s="1"/>
  <c r="C189"/>
  <c r="I189" s="1"/>
  <c r="C188"/>
  <c r="C187"/>
  <c r="M187" s="1"/>
  <c r="C186"/>
  <c r="D186" s="1"/>
  <c r="C185"/>
  <c r="D185" s="1"/>
  <c r="C184"/>
  <c r="C183"/>
  <c r="I183" s="1"/>
  <c r="C182"/>
  <c r="J182" s="1"/>
  <c r="C181"/>
  <c r="F181" s="1"/>
  <c r="C180"/>
  <c r="H180" s="1"/>
  <c r="C179"/>
  <c r="C178"/>
  <c r="E178" s="1"/>
  <c r="C177"/>
  <c r="H177" s="1"/>
  <c r="C176"/>
  <c r="I176" s="1"/>
  <c r="C175"/>
  <c r="I175" s="1"/>
  <c r="C174"/>
  <c r="I174" s="1"/>
  <c r="C173"/>
  <c r="L173" s="1"/>
  <c r="C172"/>
  <c r="C171"/>
  <c r="C170"/>
  <c r="L170" s="1"/>
  <c r="C169"/>
  <c r="E169" s="1"/>
  <c r="C168"/>
  <c r="C167"/>
  <c r="H167" s="1"/>
  <c r="C166"/>
  <c r="J166" s="1"/>
  <c r="C165"/>
  <c r="F165" s="1"/>
  <c r="C164"/>
  <c r="F164" s="1"/>
  <c r="C163"/>
  <c r="C162"/>
  <c r="K162" s="1"/>
  <c r="C161"/>
  <c r="C160"/>
  <c r="J160" s="1"/>
  <c r="C159"/>
  <c r="D159" s="1"/>
  <c r="C158"/>
  <c r="C157"/>
  <c r="C156"/>
  <c r="C155"/>
  <c r="M155" s="1"/>
  <c r="C154"/>
  <c r="C141" i="65"/>
  <c r="C140"/>
  <c r="AB140" s="1"/>
  <c r="C139"/>
  <c r="C138"/>
  <c r="I138" s="1"/>
  <c r="C137"/>
  <c r="C136"/>
  <c r="M136" s="1"/>
  <c r="C135"/>
  <c r="C134"/>
  <c r="E134" s="1"/>
  <c r="C133"/>
  <c r="E133" s="1"/>
  <c r="C132"/>
  <c r="J132" s="1"/>
  <c r="C131"/>
  <c r="C130"/>
  <c r="E130" s="1"/>
  <c r="C129"/>
  <c r="C141" i="69"/>
  <c r="E141" s="1"/>
  <c r="C140"/>
  <c r="C139"/>
  <c r="J139" s="1"/>
  <c r="C138"/>
  <c r="L138" s="1"/>
  <c r="C137"/>
  <c r="L137" s="1"/>
  <c r="C136"/>
  <c r="C135"/>
  <c r="F135" s="1"/>
  <c r="C134"/>
  <c r="G134" s="1"/>
  <c r="C133"/>
  <c r="L133" s="1"/>
  <c r="C132"/>
  <c r="C131"/>
  <c r="D131" s="1"/>
  <c r="C130"/>
  <c r="G130" s="1"/>
  <c r="C129"/>
  <c r="L129" s="1"/>
  <c r="C141" i="70"/>
  <c r="C140"/>
  <c r="L140" s="1"/>
  <c r="C139"/>
  <c r="C138"/>
  <c r="J138" s="1"/>
  <c r="C137"/>
  <c r="C136"/>
  <c r="L136" s="1"/>
  <c r="C135"/>
  <c r="C134"/>
  <c r="D134" s="1"/>
  <c r="C133"/>
  <c r="C132"/>
  <c r="F132" s="1"/>
  <c r="C131"/>
  <c r="J131" s="1"/>
  <c r="C130"/>
  <c r="L130" s="1"/>
  <c r="C129"/>
  <c r="C141" i="71"/>
  <c r="I141" s="1"/>
  <c r="C140"/>
  <c r="C139"/>
  <c r="G139" s="1"/>
  <c r="C138"/>
  <c r="C137"/>
  <c r="J137" s="1"/>
  <c r="C136"/>
  <c r="C135"/>
  <c r="D135" s="1"/>
  <c r="C134"/>
  <c r="C133"/>
  <c r="E133" s="1"/>
  <c r="C132"/>
  <c r="H132" s="1"/>
  <c r="C131"/>
  <c r="L131" s="1"/>
  <c r="C130"/>
  <c r="C129"/>
  <c r="F129" s="1"/>
  <c r="C141" i="72"/>
  <c r="D141" s="1"/>
  <c r="C140"/>
  <c r="L140" s="1"/>
  <c r="C139"/>
  <c r="C138"/>
  <c r="I138" s="1"/>
  <c r="C137"/>
  <c r="H137" s="1"/>
  <c r="C136"/>
  <c r="J136" s="1"/>
  <c r="C135"/>
  <c r="C134"/>
  <c r="G134" s="1"/>
  <c r="C133"/>
  <c r="G133" s="1"/>
  <c r="C132"/>
  <c r="F132" s="1"/>
  <c r="C131"/>
  <c r="C130"/>
  <c r="J130" s="1"/>
  <c r="C129"/>
  <c r="M129" s="1"/>
  <c r="C141" i="73"/>
  <c r="K141" s="1"/>
  <c r="C140"/>
  <c r="C139"/>
  <c r="F139" s="1"/>
  <c r="C138"/>
  <c r="I138" s="1"/>
  <c r="C137"/>
  <c r="K137" s="1"/>
  <c r="C136"/>
  <c r="C135"/>
  <c r="F135" s="1"/>
  <c r="C134"/>
  <c r="G134" s="1"/>
  <c r="C133"/>
  <c r="K133" s="1"/>
  <c r="C132"/>
  <c r="C131"/>
  <c r="I131" s="1"/>
  <c r="C130"/>
  <c r="J130" s="1"/>
  <c r="C129"/>
  <c r="E129" s="1"/>
  <c r="C141" i="74"/>
  <c r="C140"/>
  <c r="G140" s="1"/>
  <c r="C139"/>
  <c r="J139" s="1"/>
  <c r="C138"/>
  <c r="F138" s="1"/>
  <c r="C137"/>
  <c r="C136"/>
  <c r="J136" s="1"/>
  <c r="C135"/>
  <c r="J135" s="1"/>
  <c r="C134"/>
  <c r="F134" s="1"/>
  <c r="C133"/>
  <c r="C132"/>
  <c r="H132" s="1"/>
  <c r="C131"/>
  <c r="K131" s="1"/>
  <c r="C130"/>
  <c r="E130" s="1"/>
  <c r="C129"/>
  <c r="C141" i="68"/>
  <c r="I141" s="1"/>
  <c r="C140"/>
  <c r="C139"/>
  <c r="G139" s="1"/>
  <c r="C138"/>
  <c r="C137"/>
  <c r="D137" s="1"/>
  <c r="C136"/>
  <c r="K136" s="1"/>
  <c r="C135"/>
  <c r="I135" s="1"/>
  <c r="C134"/>
  <c r="C133"/>
  <c r="J133" s="1"/>
  <c r="C132"/>
  <c r="F132" s="1"/>
  <c r="C131"/>
  <c r="I131" s="1"/>
  <c r="C130"/>
  <c r="C129"/>
  <c r="D129" s="1"/>
  <c r="C117" i="65"/>
  <c r="C116"/>
  <c r="K116" s="1"/>
  <c r="C115"/>
  <c r="C114"/>
  <c r="F114" s="1"/>
  <c r="C113"/>
  <c r="J113" s="1"/>
  <c r="C112"/>
  <c r="J112" s="1"/>
  <c r="C111"/>
  <c r="C110"/>
  <c r="J110" s="1"/>
  <c r="C109"/>
  <c r="G109" s="1"/>
  <c r="C108"/>
  <c r="J108" s="1"/>
  <c r="C107"/>
  <c r="C106"/>
  <c r="H106" s="1"/>
  <c r="C105"/>
  <c r="C104"/>
  <c r="K104" s="1"/>
  <c r="C103"/>
  <c r="C102"/>
  <c r="J102" s="1"/>
  <c r="C101"/>
  <c r="C117" i="69"/>
  <c r="K117" s="1"/>
  <c r="C116"/>
  <c r="C115"/>
  <c r="J115" s="1"/>
  <c r="C114"/>
  <c r="C113"/>
  <c r="L113" s="1"/>
  <c r="C112"/>
  <c r="C111"/>
  <c r="D111" s="1"/>
  <c r="C110"/>
  <c r="C109"/>
  <c r="K109" s="1"/>
  <c r="C108"/>
  <c r="C107"/>
  <c r="J107" s="1"/>
  <c r="C106"/>
  <c r="C105"/>
  <c r="K105" s="1"/>
  <c r="C104"/>
  <c r="C103"/>
  <c r="D103" s="1"/>
  <c r="C102"/>
  <c r="M102" s="1"/>
  <c r="C101"/>
  <c r="L101" s="1"/>
  <c r="C117" i="70"/>
  <c r="C116"/>
  <c r="J116" s="1"/>
  <c r="C115"/>
  <c r="C114"/>
  <c r="J114" s="1"/>
  <c r="C113"/>
  <c r="C112"/>
  <c r="D112" s="1"/>
  <c r="C111"/>
  <c r="C110"/>
  <c r="G110" s="1"/>
  <c r="C109"/>
  <c r="C108"/>
  <c r="J108" s="1"/>
  <c r="C107"/>
  <c r="C106"/>
  <c r="H106" s="1"/>
  <c r="C105"/>
  <c r="C104"/>
  <c r="I104" s="1"/>
  <c r="C103"/>
  <c r="L103" s="1"/>
  <c r="C102"/>
  <c r="J102" s="1"/>
  <c r="C101"/>
  <c r="C117" i="71"/>
  <c r="J117" s="1"/>
  <c r="C116"/>
  <c r="C115"/>
  <c r="D115" s="1"/>
  <c r="C114"/>
  <c r="C113"/>
  <c r="F113" s="1"/>
  <c r="C112"/>
  <c r="H112" s="1"/>
  <c r="C111"/>
  <c r="J111" s="1"/>
  <c r="C110"/>
  <c r="C109"/>
  <c r="E109" s="1"/>
  <c r="C108"/>
  <c r="J108" s="1"/>
  <c r="C107"/>
  <c r="J107" s="1"/>
  <c r="C106"/>
  <c r="C105"/>
  <c r="I105" s="1"/>
  <c r="C104"/>
  <c r="L104" s="1"/>
  <c r="C103"/>
  <c r="I103" s="1"/>
  <c r="C102"/>
  <c r="C101"/>
  <c r="G101" s="1"/>
  <c r="C117" i="72"/>
  <c r="L117" s="1"/>
  <c r="C116"/>
  <c r="J116" s="1"/>
  <c r="C115"/>
  <c r="C114"/>
  <c r="E114" s="1"/>
  <c r="C113"/>
  <c r="D113" s="1"/>
  <c r="C112"/>
  <c r="F112" s="1"/>
  <c r="C111"/>
  <c r="C110"/>
  <c r="D110" s="1"/>
  <c r="C109"/>
  <c r="E109" s="1"/>
  <c r="C108"/>
  <c r="E108" s="1"/>
  <c r="C107"/>
  <c r="C106"/>
  <c r="H106" s="1"/>
  <c r="C105"/>
  <c r="C104"/>
  <c r="D104" s="1"/>
  <c r="C103"/>
  <c r="C102"/>
  <c r="H102" s="1"/>
  <c r="C101"/>
  <c r="C117" i="73"/>
  <c r="G117" s="1"/>
  <c r="C116"/>
  <c r="C115"/>
  <c r="D115" s="1"/>
  <c r="C114"/>
  <c r="F114" s="1"/>
  <c r="C113"/>
  <c r="E113" s="1"/>
  <c r="C112"/>
  <c r="C111"/>
  <c r="J111" s="1"/>
  <c r="C110"/>
  <c r="C109"/>
  <c r="D109" s="1"/>
  <c r="C108"/>
  <c r="C107"/>
  <c r="F107" s="1"/>
  <c r="C106"/>
  <c r="L106" s="1"/>
  <c r="C105"/>
  <c r="D105" s="1"/>
  <c r="C104"/>
  <c r="C103"/>
  <c r="H103" s="1"/>
  <c r="C102"/>
  <c r="C101"/>
  <c r="G101" s="1"/>
  <c r="C117" i="74"/>
  <c r="C116"/>
  <c r="D116" s="1"/>
  <c r="C115"/>
  <c r="G115" s="1"/>
  <c r="C114"/>
  <c r="D114" s="1"/>
  <c r="C113"/>
  <c r="C112"/>
  <c r="F112" s="1"/>
  <c r="C111"/>
  <c r="G111" s="1"/>
  <c r="C110"/>
  <c r="G110" s="1"/>
  <c r="C109"/>
  <c r="C108"/>
  <c r="D108" s="1"/>
  <c r="C107"/>
  <c r="C106"/>
  <c r="D106" s="1"/>
  <c r="C105"/>
  <c r="C104"/>
  <c r="I104" s="1"/>
  <c r="C103"/>
  <c r="G103" s="1"/>
  <c r="C102"/>
  <c r="D102" s="1"/>
  <c r="C101"/>
  <c r="C117" i="68"/>
  <c r="J117" s="1"/>
  <c r="C116"/>
  <c r="E116" s="1"/>
  <c r="C115"/>
  <c r="H115" s="1"/>
  <c r="C114"/>
  <c r="C113"/>
  <c r="J113" s="1"/>
  <c r="C112"/>
  <c r="C111"/>
  <c r="G111" s="1"/>
  <c r="C110"/>
  <c r="C109"/>
  <c r="G109" s="1"/>
  <c r="C108"/>
  <c r="E108" s="1"/>
  <c r="C107"/>
  <c r="F107" s="1"/>
  <c r="C106"/>
  <c r="C105"/>
  <c r="I105" s="1"/>
  <c r="C104"/>
  <c r="I104" s="1"/>
  <c r="C103"/>
  <c r="I103" s="1"/>
  <c r="C102"/>
  <c r="C101"/>
  <c r="L101" s="1"/>
  <c r="C88" i="65"/>
  <c r="C87"/>
  <c r="D87" s="1"/>
  <c r="C86"/>
  <c r="C85"/>
  <c r="G85" s="1"/>
  <c r="C84"/>
  <c r="I84" s="1"/>
  <c r="C83"/>
  <c r="G83" s="1"/>
  <c r="C88" i="69"/>
  <c r="C87"/>
  <c r="E87" s="1"/>
  <c r="C86"/>
  <c r="F86" s="1"/>
  <c r="C85"/>
  <c r="G85" s="1"/>
  <c r="C84"/>
  <c r="C83"/>
  <c r="D83" s="1"/>
  <c r="C88" i="70"/>
  <c r="G88" s="1"/>
  <c r="C87"/>
  <c r="D87" s="1"/>
  <c r="C86"/>
  <c r="C85"/>
  <c r="G85" s="1"/>
  <c r="C84"/>
  <c r="H84" s="1"/>
  <c r="C83"/>
  <c r="J83" s="1"/>
  <c r="C88" i="71"/>
  <c r="C87"/>
  <c r="G87" s="1"/>
  <c r="C86"/>
  <c r="G86" s="1"/>
  <c r="C85"/>
  <c r="E85" s="1"/>
  <c r="C84"/>
  <c r="C83"/>
  <c r="J83" s="1"/>
  <c r="C88" i="72"/>
  <c r="H88" s="1"/>
  <c r="C87"/>
  <c r="I87" s="1"/>
  <c r="C86"/>
  <c r="C85"/>
  <c r="E85" s="1"/>
  <c r="C84"/>
  <c r="L84" s="1"/>
  <c r="C83"/>
  <c r="D83" s="1"/>
  <c r="C88" i="73"/>
  <c r="C87"/>
  <c r="I87" s="1"/>
  <c r="C86"/>
  <c r="E86" s="1"/>
  <c r="C85"/>
  <c r="G85" s="1"/>
  <c r="C84"/>
  <c r="C83"/>
  <c r="D83" s="1"/>
  <c r="C88" i="74"/>
  <c r="M88" s="1"/>
  <c r="C87"/>
  <c r="D87" s="1"/>
  <c r="C86"/>
  <c r="C85"/>
  <c r="G85" s="1"/>
  <c r="C84"/>
  <c r="M84" s="1"/>
  <c r="C83"/>
  <c r="E83" s="1"/>
  <c r="C88" i="68"/>
  <c r="C87"/>
  <c r="G87" s="1"/>
  <c r="C86"/>
  <c r="H86" s="1"/>
  <c r="C85"/>
  <c r="G85" s="1"/>
  <c r="C84"/>
  <c r="C83"/>
  <c r="D83" s="1"/>
  <c r="E395" i="65"/>
  <c r="D395" i="70"/>
  <c r="G395"/>
  <c r="H395" i="72"/>
  <c r="M378" i="65"/>
  <c r="G380" i="68"/>
  <c r="J380"/>
  <c r="E380" i="69"/>
  <c r="J380"/>
  <c r="G382" i="70"/>
  <c r="I382"/>
  <c r="D380" i="71"/>
  <c r="J380"/>
  <c r="D378" i="72"/>
  <c r="G378"/>
  <c r="I382"/>
  <c r="M382"/>
  <c r="M380" i="73"/>
  <c r="K378" i="74"/>
  <c r="M378"/>
  <c r="J382"/>
  <c r="J369" i="69"/>
  <c r="L369"/>
  <c r="D370" i="70"/>
  <c r="L370"/>
  <c r="E369" i="73"/>
  <c r="G369"/>
  <c r="D370" i="74"/>
  <c r="K370"/>
  <c r="G359" i="65"/>
  <c r="J359"/>
  <c r="E361" i="68"/>
  <c r="K361"/>
  <c r="E361" i="69"/>
  <c r="F361"/>
  <c r="D359" i="70"/>
  <c r="L359"/>
  <c r="F361" i="71"/>
  <c r="K359" i="72"/>
  <c r="L359"/>
  <c r="K361" i="73"/>
  <c r="M361"/>
  <c r="D359" i="74"/>
  <c r="E359"/>
  <c r="K272" i="65"/>
  <c r="K276"/>
  <c r="D280"/>
  <c r="M280"/>
  <c r="J284"/>
  <c r="F271" i="68"/>
  <c r="E273"/>
  <c r="F273"/>
  <c r="D277"/>
  <c r="F279"/>
  <c r="K279"/>
  <c r="F281"/>
  <c r="J281"/>
  <c r="H283"/>
  <c r="J283"/>
  <c r="E285"/>
  <c r="F271" i="69"/>
  <c r="E273"/>
  <c r="F273"/>
  <c r="E275"/>
  <c r="E277"/>
  <c r="G277"/>
  <c r="D278"/>
  <c r="D279"/>
  <c r="J279"/>
  <c r="J281"/>
  <c r="M281"/>
  <c r="D283"/>
  <c r="K283"/>
  <c r="F285"/>
  <c r="J285"/>
  <c r="J286"/>
  <c r="D270" i="70"/>
  <c r="L270"/>
  <c r="L272"/>
  <c r="L274"/>
  <c r="I276"/>
  <c r="K276"/>
  <c r="E278"/>
  <c r="M278"/>
  <c r="D280"/>
  <c r="J280"/>
  <c r="M280"/>
  <c r="G282"/>
  <c r="G284"/>
  <c r="J284"/>
  <c r="J286"/>
  <c r="M286"/>
  <c r="G271" i="71"/>
  <c r="L271"/>
  <c r="J273"/>
  <c r="L273"/>
  <c r="D275"/>
  <c r="K275"/>
  <c r="L275"/>
  <c r="K277"/>
  <c r="D279"/>
  <c r="E279"/>
  <c r="L279"/>
  <c r="L281"/>
  <c r="H283"/>
  <c r="J283"/>
  <c r="K285"/>
  <c r="M285"/>
  <c r="D270" i="72"/>
  <c r="K270"/>
  <c r="M270"/>
  <c r="I272"/>
  <c r="L272"/>
  <c r="D274"/>
  <c r="E274"/>
  <c r="M274"/>
  <c r="L276"/>
  <c r="E278"/>
  <c r="L280"/>
  <c r="M280"/>
  <c r="G282"/>
  <c r="M283"/>
  <c r="K284"/>
  <c r="M284"/>
  <c r="J286"/>
  <c r="G271" i="73"/>
  <c r="L271"/>
  <c r="K273"/>
  <c r="D275"/>
  <c r="L275"/>
  <c r="K277"/>
  <c r="M277"/>
  <c r="L279"/>
  <c r="M279"/>
  <c r="D281"/>
  <c r="E281"/>
  <c r="L281"/>
  <c r="J283"/>
  <c r="M283"/>
  <c r="D285"/>
  <c r="M285"/>
  <c r="G286"/>
  <c r="J270" i="74"/>
  <c r="L270"/>
  <c r="D272"/>
  <c r="E272"/>
  <c r="L272"/>
  <c r="D274"/>
  <c r="L274"/>
  <c r="D276"/>
  <c r="L276"/>
  <c r="L278"/>
  <c r="M278"/>
  <c r="G280"/>
  <c r="M281"/>
  <c r="K282"/>
  <c r="M282"/>
  <c r="E284"/>
  <c r="G284"/>
  <c r="M284"/>
  <c r="H286"/>
  <c r="L286"/>
  <c r="I236" i="65"/>
  <c r="L222" i="68"/>
  <c r="E226"/>
  <c r="K230"/>
  <c r="D222" i="69"/>
  <c r="F230"/>
  <c r="D224" i="70"/>
  <c r="K232"/>
  <c r="M236"/>
  <c r="L222" i="71"/>
  <c r="D226"/>
  <c r="D234"/>
  <c r="L224" i="72"/>
  <c r="G228"/>
  <c r="E232" i="74"/>
  <c r="D157" i="65"/>
  <c r="E157"/>
  <c r="L157"/>
  <c r="E161"/>
  <c r="I161"/>
  <c r="J165"/>
  <c r="K165"/>
  <c r="D169"/>
  <c r="K169"/>
  <c r="L169"/>
  <c r="D173"/>
  <c r="K173"/>
  <c r="M173"/>
  <c r="D177"/>
  <c r="K177"/>
  <c r="L177"/>
  <c r="D181"/>
  <c r="K181"/>
  <c r="L181"/>
  <c r="E185"/>
  <c r="H185"/>
  <c r="M185"/>
  <c r="D189"/>
  <c r="K189"/>
  <c r="L189"/>
  <c r="D155" i="68"/>
  <c r="J155"/>
  <c r="L159"/>
  <c r="H163"/>
  <c r="J171"/>
  <c r="H179"/>
  <c r="E187"/>
  <c r="L187"/>
  <c r="D155" i="69"/>
  <c r="E155"/>
  <c r="L155"/>
  <c r="M155"/>
  <c r="G159"/>
  <c r="J159"/>
  <c r="D163"/>
  <c r="E163"/>
  <c r="K163"/>
  <c r="M163"/>
  <c r="H167"/>
  <c r="K167"/>
  <c r="F171"/>
  <c r="J171"/>
  <c r="E175"/>
  <c r="K175"/>
  <c r="M175"/>
  <c r="H179"/>
  <c r="K179"/>
  <c r="I183"/>
  <c r="J183"/>
  <c r="G187"/>
  <c r="I187"/>
  <c r="F157" i="70"/>
  <c r="J157"/>
  <c r="D161"/>
  <c r="K161"/>
  <c r="L161"/>
  <c r="D165"/>
  <c r="K165"/>
  <c r="L165"/>
  <c r="J169"/>
  <c r="L169"/>
  <c r="D173"/>
  <c r="K173"/>
  <c r="L173"/>
  <c r="E177"/>
  <c r="F177"/>
  <c r="M177"/>
  <c r="J181"/>
  <c r="L181"/>
  <c r="E185"/>
  <c r="H185"/>
  <c r="L185"/>
  <c r="M185"/>
  <c r="D189"/>
  <c r="E189"/>
  <c r="K189"/>
  <c r="L189"/>
  <c r="G155" i="71"/>
  <c r="H155"/>
  <c r="M155"/>
  <c r="E159"/>
  <c r="G159"/>
  <c r="K159"/>
  <c r="L159"/>
  <c r="D163"/>
  <c r="E163"/>
  <c r="H163"/>
  <c r="J163"/>
  <c r="K163"/>
  <c r="D167"/>
  <c r="E167"/>
  <c r="H167"/>
  <c r="J167"/>
  <c r="K167"/>
  <c r="D171"/>
  <c r="E171"/>
  <c r="F171"/>
  <c r="K171"/>
  <c r="L171"/>
  <c r="M171"/>
  <c r="D175"/>
  <c r="G175"/>
  <c r="I175"/>
  <c r="J175"/>
  <c r="M175"/>
  <c r="D179"/>
  <c r="E179"/>
  <c r="H179"/>
  <c r="J179"/>
  <c r="K179"/>
  <c r="E183"/>
  <c r="H183"/>
  <c r="I183"/>
  <c r="K183"/>
  <c r="M183"/>
  <c r="D187"/>
  <c r="G187"/>
  <c r="I187"/>
  <c r="K187"/>
  <c r="M187"/>
  <c r="D157" i="72"/>
  <c r="E157"/>
  <c r="F157"/>
  <c r="J157"/>
  <c r="K157"/>
  <c r="L157"/>
  <c r="E161"/>
  <c r="F161"/>
  <c r="I161"/>
  <c r="L161"/>
  <c r="M161"/>
  <c r="D163"/>
  <c r="D165"/>
  <c r="E165"/>
  <c r="J165"/>
  <c r="K165"/>
  <c r="L165"/>
  <c r="D169"/>
  <c r="E169"/>
  <c r="F169"/>
  <c r="K169"/>
  <c r="L169"/>
  <c r="M169"/>
  <c r="D173"/>
  <c r="E173"/>
  <c r="G173"/>
  <c r="K173"/>
  <c r="L173"/>
  <c r="M173"/>
  <c r="D177"/>
  <c r="E177"/>
  <c r="F177"/>
  <c r="K177"/>
  <c r="L177"/>
  <c r="M177"/>
  <c r="D181"/>
  <c r="E181"/>
  <c r="G181"/>
  <c r="K181"/>
  <c r="L181"/>
  <c r="M181"/>
  <c r="D185"/>
  <c r="E185"/>
  <c r="H185"/>
  <c r="K185"/>
  <c r="L185"/>
  <c r="M185"/>
  <c r="D189"/>
  <c r="E189"/>
  <c r="G189"/>
  <c r="K189"/>
  <c r="L189"/>
  <c r="M189"/>
  <c r="E154" i="73"/>
  <c r="E155"/>
  <c r="G155"/>
  <c r="H155"/>
  <c r="L155"/>
  <c r="M155"/>
  <c r="D159"/>
  <c r="E159"/>
  <c r="I159"/>
  <c r="J159"/>
  <c r="K159"/>
  <c r="D163"/>
  <c r="F163"/>
  <c r="H163"/>
  <c r="J163"/>
  <c r="M163"/>
  <c r="E167"/>
  <c r="F167"/>
  <c r="H167"/>
  <c r="K167"/>
  <c r="L167"/>
  <c r="D171"/>
  <c r="E171"/>
  <c r="F171"/>
  <c r="K171"/>
  <c r="L171"/>
  <c r="M171"/>
  <c r="D175"/>
  <c r="E175"/>
  <c r="G175"/>
  <c r="I175"/>
  <c r="J175"/>
  <c r="K175"/>
  <c r="M175"/>
  <c r="D179"/>
  <c r="E179"/>
  <c r="G179"/>
  <c r="H179"/>
  <c r="J179"/>
  <c r="K179"/>
  <c r="L179"/>
  <c r="D183"/>
  <c r="E183"/>
  <c r="H183"/>
  <c r="I183"/>
  <c r="J183"/>
  <c r="K183"/>
  <c r="M183"/>
  <c r="D185"/>
  <c r="D187"/>
  <c r="E187"/>
  <c r="G187"/>
  <c r="I187"/>
  <c r="K187"/>
  <c r="L187"/>
  <c r="M187"/>
  <c r="D157" i="74"/>
  <c r="E157"/>
  <c r="F157"/>
  <c r="I157"/>
  <c r="J157"/>
  <c r="K157"/>
  <c r="L157"/>
  <c r="D161"/>
  <c r="E161"/>
  <c r="F161"/>
  <c r="I161"/>
  <c r="K161"/>
  <c r="L161"/>
  <c r="M161"/>
  <c r="D165"/>
  <c r="E165"/>
  <c r="H165"/>
  <c r="J165"/>
  <c r="K165"/>
  <c r="L165"/>
  <c r="M165"/>
  <c r="D169"/>
  <c r="E169"/>
  <c r="F169"/>
  <c r="J169"/>
  <c r="K169"/>
  <c r="L169"/>
  <c r="M169"/>
  <c r="D173"/>
  <c r="E173"/>
  <c r="G173"/>
  <c r="J173"/>
  <c r="K173"/>
  <c r="L173"/>
  <c r="M173"/>
  <c r="D177"/>
  <c r="E177"/>
  <c r="F177"/>
  <c r="H177"/>
  <c r="K177"/>
  <c r="L177"/>
  <c r="M177"/>
  <c r="D181"/>
  <c r="E181"/>
  <c r="G181"/>
  <c r="J181"/>
  <c r="K181"/>
  <c r="L181"/>
  <c r="M181"/>
  <c r="D185"/>
  <c r="E185"/>
  <c r="H185"/>
  <c r="J185"/>
  <c r="K185"/>
  <c r="L185"/>
  <c r="M185"/>
  <c r="D189"/>
  <c r="E189"/>
  <c r="G189"/>
  <c r="J189"/>
  <c r="K189"/>
  <c r="L189"/>
  <c r="M189"/>
  <c r="J130" i="65"/>
  <c r="D131"/>
  <c r="E131"/>
  <c r="F131"/>
  <c r="I131"/>
  <c r="K131"/>
  <c r="L131"/>
  <c r="M131"/>
  <c r="D135"/>
  <c r="E135"/>
  <c r="F135"/>
  <c r="G135"/>
  <c r="J135"/>
  <c r="K135"/>
  <c r="M135"/>
  <c r="D139"/>
  <c r="E139"/>
  <c r="F139"/>
  <c r="G139"/>
  <c r="J139"/>
  <c r="K139"/>
  <c r="M139"/>
  <c r="G140"/>
  <c r="D130" i="68"/>
  <c r="E130"/>
  <c r="G130"/>
  <c r="J130"/>
  <c r="K130"/>
  <c r="L130"/>
  <c r="M130"/>
  <c r="E133"/>
  <c r="D134"/>
  <c r="E134"/>
  <c r="F134"/>
  <c r="G134"/>
  <c r="J134"/>
  <c r="L134"/>
  <c r="M134"/>
  <c r="D135"/>
  <c r="D138"/>
  <c r="E138"/>
  <c r="F138"/>
  <c r="I138"/>
  <c r="J138"/>
  <c r="K138"/>
  <c r="M138"/>
  <c r="F131" i="69"/>
  <c r="D132"/>
  <c r="E132"/>
  <c r="F132"/>
  <c r="H132"/>
  <c r="J132"/>
  <c r="K132"/>
  <c r="L132"/>
  <c r="J134"/>
  <c r="D136"/>
  <c r="E136"/>
  <c r="G136"/>
  <c r="J136"/>
  <c r="K136"/>
  <c r="L136"/>
  <c r="M136"/>
  <c r="D140"/>
  <c r="E140"/>
  <c r="F140"/>
  <c r="G140"/>
  <c r="K140"/>
  <c r="L140"/>
  <c r="M140"/>
  <c r="D129" i="70"/>
  <c r="E129"/>
  <c r="F129"/>
  <c r="I129"/>
  <c r="K129"/>
  <c r="L129"/>
  <c r="M129"/>
  <c r="D133"/>
  <c r="E133"/>
  <c r="F133"/>
  <c r="J133"/>
  <c r="K133"/>
  <c r="L133"/>
  <c r="M133"/>
  <c r="D137"/>
  <c r="E137"/>
  <c r="I137"/>
  <c r="J137"/>
  <c r="K137"/>
  <c r="L137"/>
  <c r="M137"/>
  <c r="D141"/>
  <c r="E141"/>
  <c r="G141"/>
  <c r="I141"/>
  <c r="J141"/>
  <c r="K141"/>
  <c r="M141"/>
  <c r="D130" i="71"/>
  <c r="E130"/>
  <c r="G130"/>
  <c r="J130"/>
  <c r="K130"/>
  <c r="L130"/>
  <c r="M130"/>
  <c r="J132"/>
  <c r="D134"/>
  <c r="E134"/>
  <c r="F134"/>
  <c r="G134"/>
  <c r="J134"/>
  <c r="L134"/>
  <c r="M134"/>
  <c r="D138"/>
  <c r="E138"/>
  <c r="F138"/>
  <c r="I138"/>
  <c r="J138"/>
  <c r="K138"/>
  <c r="M138"/>
  <c r="E140"/>
  <c r="D131" i="72"/>
  <c r="E131"/>
  <c r="F131"/>
  <c r="I131"/>
  <c r="K131"/>
  <c r="L131"/>
  <c r="M131"/>
  <c r="D135"/>
  <c r="E135"/>
  <c r="F135"/>
  <c r="G135"/>
  <c r="J135"/>
  <c r="K135"/>
  <c r="M135"/>
  <c r="M137"/>
  <c r="D139"/>
  <c r="E139"/>
  <c r="F139"/>
  <c r="G139"/>
  <c r="J139"/>
  <c r="K139"/>
  <c r="M139"/>
  <c r="D132" i="73"/>
  <c r="E132"/>
  <c r="F132"/>
  <c r="H132"/>
  <c r="J132"/>
  <c r="K132"/>
  <c r="L132"/>
  <c r="E134"/>
  <c r="D136"/>
  <c r="E136"/>
  <c r="G136"/>
  <c r="J136"/>
  <c r="K136"/>
  <c r="L136"/>
  <c r="M136"/>
  <c r="D138"/>
  <c r="K138"/>
  <c r="D140"/>
  <c r="E140"/>
  <c r="F140"/>
  <c r="G140"/>
  <c r="K140"/>
  <c r="L140"/>
  <c r="M140"/>
  <c r="D129" i="74"/>
  <c r="E129"/>
  <c r="F129"/>
  <c r="I129"/>
  <c r="K129"/>
  <c r="L129"/>
  <c r="M129"/>
  <c r="D133"/>
  <c r="E133"/>
  <c r="F133"/>
  <c r="J133"/>
  <c r="K133"/>
  <c r="L133"/>
  <c r="M133"/>
  <c r="D136"/>
  <c r="D137"/>
  <c r="E137"/>
  <c r="I137"/>
  <c r="J137"/>
  <c r="K137"/>
  <c r="L137"/>
  <c r="M137"/>
  <c r="D141"/>
  <c r="E141"/>
  <c r="G141"/>
  <c r="I141"/>
  <c r="J141"/>
  <c r="K141"/>
  <c r="M141"/>
  <c r="D103" i="65"/>
  <c r="E103"/>
  <c r="H103"/>
  <c r="I103"/>
  <c r="J103"/>
  <c r="K103"/>
  <c r="M103"/>
  <c r="K105"/>
  <c r="D107"/>
  <c r="E107"/>
  <c r="F107"/>
  <c r="J107"/>
  <c r="K107"/>
  <c r="L107"/>
  <c r="M107"/>
  <c r="D111"/>
  <c r="E111"/>
  <c r="G111"/>
  <c r="J111"/>
  <c r="K111"/>
  <c r="L111"/>
  <c r="M111"/>
  <c r="D115"/>
  <c r="E115"/>
  <c r="H115"/>
  <c r="J115"/>
  <c r="K115"/>
  <c r="L115"/>
  <c r="M115"/>
  <c r="D102" i="68"/>
  <c r="E102"/>
  <c r="H102"/>
  <c r="J102"/>
  <c r="K102"/>
  <c r="L102"/>
  <c r="M102"/>
  <c r="D106"/>
  <c r="E106"/>
  <c r="F106"/>
  <c r="H106"/>
  <c r="J106"/>
  <c r="K106"/>
  <c r="L106"/>
  <c r="D110"/>
  <c r="E110"/>
  <c r="G110"/>
  <c r="J110"/>
  <c r="K110"/>
  <c r="L110"/>
  <c r="M110"/>
  <c r="D114"/>
  <c r="E114"/>
  <c r="F114"/>
  <c r="J114"/>
  <c r="K114"/>
  <c r="L114"/>
  <c r="M114"/>
  <c r="D102" i="69"/>
  <c r="D104"/>
  <c r="E104"/>
  <c r="F104"/>
  <c r="I104"/>
  <c r="K104"/>
  <c r="L104"/>
  <c r="M104"/>
  <c r="K106"/>
  <c r="D108"/>
  <c r="E108"/>
  <c r="F108"/>
  <c r="J108"/>
  <c r="K108"/>
  <c r="L108"/>
  <c r="M108"/>
  <c r="D112"/>
  <c r="E112"/>
  <c r="F112"/>
  <c r="G112"/>
  <c r="I112"/>
  <c r="K112"/>
  <c r="M112"/>
  <c r="F114"/>
  <c r="D116"/>
  <c r="E116"/>
  <c r="H116"/>
  <c r="J116"/>
  <c r="K116"/>
  <c r="L116"/>
  <c r="M116"/>
  <c r="D101" i="70"/>
  <c r="E101"/>
  <c r="G101"/>
  <c r="H101"/>
  <c r="J101"/>
  <c r="L101"/>
  <c r="M101"/>
  <c r="J103"/>
  <c r="D105"/>
  <c r="E105"/>
  <c r="F105"/>
  <c r="I105"/>
  <c r="J105"/>
  <c r="K105"/>
  <c r="L105"/>
  <c r="M105"/>
  <c r="D109"/>
  <c r="E109"/>
  <c r="F109"/>
  <c r="G109"/>
  <c r="J109"/>
  <c r="K109"/>
  <c r="M109"/>
  <c r="D113"/>
  <c r="E113"/>
  <c r="F113"/>
  <c r="J113"/>
  <c r="K113"/>
  <c r="L113"/>
  <c r="M113"/>
  <c r="D117"/>
  <c r="E117"/>
  <c r="G117"/>
  <c r="J117"/>
  <c r="K117"/>
  <c r="L117"/>
  <c r="M117"/>
  <c r="D102" i="71"/>
  <c r="E102"/>
  <c r="H102"/>
  <c r="J102"/>
  <c r="K102"/>
  <c r="L102"/>
  <c r="M102"/>
  <c r="D106"/>
  <c r="E106"/>
  <c r="F106"/>
  <c r="H106"/>
  <c r="J106"/>
  <c r="K106"/>
  <c r="L106"/>
  <c r="D108"/>
  <c r="G109"/>
  <c r="D110"/>
  <c r="E110"/>
  <c r="G110"/>
  <c r="J110"/>
  <c r="K110"/>
  <c r="L110"/>
  <c r="M110"/>
  <c r="E111"/>
  <c r="I112"/>
  <c r="D114"/>
  <c r="E114"/>
  <c r="F114"/>
  <c r="J114"/>
  <c r="K114"/>
  <c r="L114"/>
  <c r="M114"/>
  <c r="M101" i="72"/>
  <c r="D103"/>
  <c r="E103"/>
  <c r="H103"/>
  <c r="I103"/>
  <c r="J103"/>
  <c r="K103"/>
  <c r="M103"/>
  <c r="D107"/>
  <c r="E107"/>
  <c r="F107"/>
  <c r="J107"/>
  <c r="K107"/>
  <c r="L107"/>
  <c r="M107"/>
  <c r="L110"/>
  <c r="D111"/>
  <c r="E111"/>
  <c r="G111"/>
  <c r="J111"/>
  <c r="K111"/>
  <c r="L111"/>
  <c r="M111"/>
  <c r="E112"/>
  <c r="E113"/>
  <c r="D114"/>
  <c r="D115"/>
  <c r="E115"/>
  <c r="H115"/>
  <c r="J115"/>
  <c r="K115"/>
  <c r="L115"/>
  <c r="M115"/>
  <c r="L116"/>
  <c r="J102" i="73"/>
  <c r="J103"/>
  <c r="D104"/>
  <c r="E104"/>
  <c r="F104"/>
  <c r="I104"/>
  <c r="K104"/>
  <c r="L104"/>
  <c r="M104"/>
  <c r="K105"/>
  <c r="D108"/>
  <c r="E108"/>
  <c r="F108"/>
  <c r="J108"/>
  <c r="K108"/>
  <c r="L108"/>
  <c r="M108"/>
  <c r="D112"/>
  <c r="E112"/>
  <c r="F112"/>
  <c r="G112"/>
  <c r="I112"/>
  <c r="K112"/>
  <c r="M112"/>
  <c r="M115"/>
  <c r="D116"/>
  <c r="E116"/>
  <c r="H116"/>
  <c r="J116"/>
  <c r="K116"/>
  <c r="L116"/>
  <c r="M116"/>
  <c r="D117"/>
  <c r="D101" i="74"/>
  <c r="E101"/>
  <c r="G101"/>
  <c r="H101"/>
  <c r="J101"/>
  <c r="L101"/>
  <c r="M101"/>
  <c r="D105"/>
  <c r="E105"/>
  <c r="F105"/>
  <c r="I105"/>
  <c r="J105"/>
  <c r="K105"/>
  <c r="L105"/>
  <c r="M105"/>
  <c r="E108"/>
  <c r="D109"/>
  <c r="E109"/>
  <c r="F109"/>
  <c r="G109"/>
  <c r="J109"/>
  <c r="K109"/>
  <c r="M109"/>
  <c r="G112"/>
  <c r="D113"/>
  <c r="E113"/>
  <c r="F113"/>
  <c r="J113"/>
  <c r="K113"/>
  <c r="L113"/>
  <c r="M113"/>
  <c r="D117"/>
  <c r="E117"/>
  <c r="G117"/>
  <c r="J117"/>
  <c r="K117"/>
  <c r="L117"/>
  <c r="M117"/>
  <c r="J84" i="65"/>
  <c r="D86"/>
  <c r="E86"/>
  <c r="H86"/>
  <c r="J86"/>
  <c r="K86"/>
  <c r="L86"/>
  <c r="M86"/>
  <c r="D84" i="68"/>
  <c r="E84"/>
  <c r="I84"/>
  <c r="J84"/>
  <c r="K84"/>
  <c r="L84"/>
  <c r="M84"/>
  <c r="J86"/>
  <c r="D88"/>
  <c r="E88"/>
  <c r="H88"/>
  <c r="J88"/>
  <c r="K88"/>
  <c r="L88"/>
  <c r="M88"/>
  <c r="D84" i="69"/>
  <c r="E84"/>
  <c r="I84"/>
  <c r="J84"/>
  <c r="K84"/>
  <c r="L84"/>
  <c r="M84"/>
  <c r="E86"/>
  <c r="L86"/>
  <c r="D88"/>
  <c r="E88"/>
  <c r="H88"/>
  <c r="J88"/>
  <c r="K88"/>
  <c r="L88"/>
  <c r="M88"/>
  <c r="L84" i="70"/>
  <c r="D86"/>
  <c r="E86"/>
  <c r="H86"/>
  <c r="J86"/>
  <c r="K86"/>
  <c r="L86"/>
  <c r="M86"/>
  <c r="D84" i="71"/>
  <c r="E84"/>
  <c r="I84"/>
  <c r="J84"/>
  <c r="K84"/>
  <c r="L84"/>
  <c r="M84"/>
  <c r="E86"/>
  <c r="M86"/>
  <c r="D88"/>
  <c r="E88"/>
  <c r="H88"/>
  <c r="J88"/>
  <c r="K88"/>
  <c r="L88"/>
  <c r="M88"/>
  <c r="M84" i="72"/>
  <c r="D86"/>
  <c r="E86"/>
  <c r="H86"/>
  <c r="J86"/>
  <c r="K86"/>
  <c r="L86"/>
  <c r="M86"/>
  <c r="L88"/>
  <c r="M88"/>
  <c r="D84" i="73"/>
  <c r="E84"/>
  <c r="I84"/>
  <c r="J84"/>
  <c r="K84"/>
  <c r="L84"/>
  <c r="M84"/>
  <c r="H86"/>
  <c r="L86"/>
  <c r="D88"/>
  <c r="E88"/>
  <c r="H88"/>
  <c r="J88"/>
  <c r="K88"/>
  <c r="L88"/>
  <c r="M88"/>
  <c r="E84" i="74"/>
  <c r="I84"/>
  <c r="D86"/>
  <c r="E86"/>
  <c r="H86"/>
  <c r="J86"/>
  <c r="K86"/>
  <c r="L86"/>
  <c r="M86"/>
  <c r="E88"/>
  <c r="D83" i="39"/>
  <c r="E83"/>
  <c r="G83"/>
  <c r="J83"/>
  <c r="K83"/>
  <c r="L83"/>
  <c r="M83"/>
  <c r="D84"/>
  <c r="E84"/>
  <c r="I84"/>
  <c r="J84"/>
  <c r="K84"/>
  <c r="L84"/>
  <c r="M84"/>
  <c r="D85"/>
  <c r="E85"/>
  <c r="G85"/>
  <c r="J85"/>
  <c r="K85"/>
  <c r="L85"/>
  <c r="M85"/>
  <c r="D86"/>
  <c r="E86"/>
  <c r="H86"/>
  <c r="J86"/>
  <c r="K86"/>
  <c r="L86"/>
  <c r="M86"/>
  <c r="D87"/>
  <c r="E87"/>
  <c r="G87"/>
  <c r="I87"/>
  <c r="J87"/>
  <c r="L87"/>
  <c r="M87"/>
  <c r="D88"/>
  <c r="E88"/>
  <c r="H88"/>
  <c r="J88"/>
  <c r="K88"/>
  <c r="L88"/>
  <c r="M88"/>
  <c r="C393" i="65"/>
  <c r="C393" i="68"/>
  <c r="C393" i="69"/>
  <c r="C393" i="70"/>
  <c r="C393" i="71"/>
  <c r="C393" i="72"/>
  <c r="C393" i="73"/>
  <c r="C393" i="74"/>
  <c r="M393" i="39"/>
  <c r="L393"/>
  <c r="K393"/>
  <c r="H393"/>
  <c r="F393"/>
  <c r="E393"/>
  <c r="D393"/>
  <c r="C391" i="65"/>
  <c r="C391" i="68"/>
  <c r="C391" i="69"/>
  <c r="C391" i="70"/>
  <c r="C391" i="71"/>
  <c r="C391" i="72"/>
  <c r="C391" i="73"/>
  <c r="C391" i="74"/>
  <c r="M391" i="39"/>
  <c r="L391"/>
  <c r="K391"/>
  <c r="I391"/>
  <c r="F391"/>
  <c r="E391"/>
  <c r="D391"/>
  <c r="C296" i="65"/>
  <c r="Y296" s="1"/>
  <c r="C295"/>
  <c r="Y295" s="1"/>
  <c r="C294"/>
  <c r="Y294" s="1"/>
  <c r="C293"/>
  <c r="Y293" s="1"/>
  <c r="C292"/>
  <c r="Y292" s="1"/>
  <c r="C291"/>
  <c r="Y291" s="1"/>
  <c r="C290"/>
  <c r="Y290" s="1"/>
  <c r="C289"/>
  <c r="Y289" s="1"/>
  <c r="C269"/>
  <c r="Y269" s="1"/>
  <c r="C268"/>
  <c r="Y268" s="1"/>
  <c r="C267"/>
  <c r="Y267" s="1"/>
  <c r="C266"/>
  <c r="Y266" s="1"/>
  <c r="C265"/>
  <c r="Y265" s="1"/>
  <c r="C264"/>
  <c r="Y264" s="1"/>
  <c r="C263"/>
  <c r="Y263" s="1"/>
  <c r="C262"/>
  <c r="Y262" s="1"/>
  <c r="C261"/>
  <c r="Y261" s="1"/>
  <c r="M296" i="39"/>
  <c r="L296"/>
  <c r="J296"/>
  <c r="I296"/>
  <c r="G296"/>
  <c r="E296"/>
  <c r="D296"/>
  <c r="M295"/>
  <c r="L295"/>
  <c r="K295"/>
  <c r="I295"/>
  <c r="F295"/>
  <c r="E295"/>
  <c r="D295"/>
  <c r="M294"/>
  <c r="L294"/>
  <c r="K294"/>
  <c r="J294"/>
  <c r="F294"/>
  <c r="E294"/>
  <c r="D294"/>
  <c r="M293"/>
  <c r="L293"/>
  <c r="K293"/>
  <c r="H293"/>
  <c r="F293"/>
  <c r="E293"/>
  <c r="D293"/>
  <c r="M292"/>
  <c r="L292"/>
  <c r="K292"/>
  <c r="H292"/>
  <c r="F292"/>
  <c r="E292"/>
  <c r="D292"/>
  <c r="M291"/>
  <c r="L291"/>
  <c r="K291"/>
  <c r="J291"/>
  <c r="G291"/>
  <c r="E291"/>
  <c r="D291"/>
  <c r="M290"/>
  <c r="L290"/>
  <c r="J290"/>
  <c r="H290"/>
  <c r="G290"/>
  <c r="E290"/>
  <c r="D290"/>
  <c r="L289"/>
  <c r="K289"/>
  <c r="J289"/>
  <c r="I289"/>
  <c r="H289"/>
  <c r="E289"/>
  <c r="D289"/>
  <c r="M288"/>
  <c r="K288"/>
  <c r="I288"/>
  <c r="H288"/>
  <c r="F288"/>
  <c r="E288"/>
  <c r="D288"/>
  <c r="M287"/>
  <c r="L287"/>
  <c r="K287"/>
  <c r="H287"/>
  <c r="F287"/>
  <c r="E287"/>
  <c r="D287"/>
  <c r="M269"/>
  <c r="L269"/>
  <c r="K269"/>
  <c r="J269"/>
  <c r="F269"/>
  <c r="E269"/>
  <c r="D269"/>
  <c r="M268"/>
  <c r="L268"/>
  <c r="K268"/>
  <c r="J268"/>
  <c r="F268"/>
  <c r="E268"/>
  <c r="D268"/>
  <c r="M267"/>
  <c r="L267"/>
  <c r="K267"/>
  <c r="G267"/>
  <c r="F267"/>
  <c r="E267"/>
  <c r="D267"/>
  <c r="L266"/>
  <c r="K266"/>
  <c r="J266"/>
  <c r="I266"/>
  <c r="F266"/>
  <c r="E266"/>
  <c r="D266"/>
  <c r="M265"/>
  <c r="L265"/>
  <c r="K265"/>
  <c r="I265"/>
  <c r="F265"/>
  <c r="E265"/>
  <c r="D265"/>
  <c r="M264"/>
  <c r="K264"/>
  <c r="F264"/>
  <c r="D264"/>
  <c r="M263"/>
  <c r="L263"/>
  <c r="K263"/>
  <c r="J263"/>
  <c r="F263"/>
  <c r="E263"/>
  <c r="D263"/>
  <c r="M262"/>
  <c r="K262"/>
  <c r="J262"/>
  <c r="H262"/>
  <c r="G262"/>
  <c r="E262"/>
  <c r="D262"/>
  <c r="M261"/>
  <c r="L261"/>
  <c r="J261"/>
  <c r="H261"/>
  <c r="G261"/>
  <c r="E261"/>
  <c r="D261"/>
  <c r="C259" i="65"/>
  <c r="C259" i="68"/>
  <c r="C259" i="69"/>
  <c r="C259" i="70"/>
  <c r="C259" i="71"/>
  <c r="C259" i="72"/>
  <c r="C259" i="73"/>
  <c r="C259" i="74"/>
  <c r="L259" i="39"/>
  <c r="K259"/>
  <c r="J259"/>
  <c r="I259"/>
  <c r="G259"/>
  <c r="E259"/>
  <c r="D259"/>
  <c r="AB278" i="65"/>
  <c r="AB187"/>
  <c r="AB177"/>
  <c r="AB159"/>
  <c r="AB259" i="39"/>
  <c r="AB87"/>
  <c r="AB290"/>
  <c r="AB266"/>
  <c r="AB268"/>
  <c r="AB295"/>
  <c r="AB265"/>
  <c r="AB288"/>
  <c r="AB291"/>
  <c r="AB294"/>
  <c r="AB354"/>
  <c r="AB391"/>
  <c r="AB393"/>
  <c r="AB296"/>
  <c r="AB293"/>
  <c r="AB292"/>
  <c r="AB289"/>
  <c r="AB267"/>
  <c r="AB263"/>
  <c r="AB262"/>
  <c r="AB287"/>
  <c r="AB269"/>
  <c r="AB261"/>
  <c r="AB88"/>
  <c r="J282" i="74"/>
  <c r="I282"/>
  <c r="H282"/>
  <c r="J282" i="73"/>
  <c r="I282"/>
  <c r="H282"/>
  <c r="J282" i="72"/>
  <c r="I282"/>
  <c r="H282"/>
  <c r="I282" i="71"/>
  <c r="H282"/>
  <c r="J282" i="70"/>
  <c r="H282"/>
  <c r="J282" i="69"/>
  <c r="I282"/>
  <c r="I282" i="68"/>
  <c r="J282" i="65"/>
  <c r="J275" i="74"/>
  <c r="H275"/>
  <c r="J275" i="73"/>
  <c r="I275"/>
  <c r="H275"/>
  <c r="J275" i="72"/>
  <c r="I275"/>
  <c r="H275"/>
  <c r="I275" i="71"/>
  <c r="H275"/>
  <c r="H275" i="70"/>
  <c r="J275" i="69"/>
  <c r="I275"/>
  <c r="J275" i="68"/>
  <c r="I275"/>
  <c r="H275"/>
  <c r="J187" i="74"/>
  <c r="H187"/>
  <c r="F187"/>
  <c r="J187" i="73"/>
  <c r="H187"/>
  <c r="F187"/>
  <c r="J187" i="72"/>
  <c r="H187" i="71"/>
  <c r="F187"/>
  <c r="H187" i="70"/>
  <c r="J187" i="69"/>
  <c r="F187"/>
  <c r="J187" i="68"/>
  <c r="H187"/>
  <c r="F187"/>
  <c r="I167" i="74"/>
  <c r="M167" i="73"/>
  <c r="I167"/>
  <c r="G167"/>
  <c r="G167" i="72"/>
  <c r="M167" i="71"/>
  <c r="I167"/>
  <c r="G167"/>
  <c r="M167" i="70"/>
  <c r="G167"/>
  <c r="M167" i="69"/>
  <c r="I167"/>
  <c r="G167"/>
  <c r="M167" i="68"/>
  <c r="I167"/>
  <c r="H159" i="74"/>
  <c r="M159" i="73"/>
  <c r="H159"/>
  <c r="F159"/>
  <c r="H159" i="72"/>
  <c r="F159"/>
  <c r="M159" i="71"/>
  <c r="H159"/>
  <c r="F159"/>
  <c r="M159" i="70"/>
  <c r="M159" i="69"/>
  <c r="F159"/>
  <c r="M159" i="68"/>
  <c r="H159"/>
  <c r="F159"/>
  <c r="H159" i="65"/>
  <c r="H140" i="74"/>
  <c r="J140" i="73"/>
  <c r="I140"/>
  <c r="H140"/>
  <c r="J140" i="72"/>
  <c r="I140" i="71"/>
  <c r="H140"/>
  <c r="J140" i="70"/>
  <c r="J140" i="69"/>
  <c r="I140"/>
  <c r="J140" i="68"/>
  <c r="M289" i="39"/>
  <c r="G289"/>
  <c r="F289"/>
  <c r="M259"/>
  <c r="H259"/>
  <c r="F259"/>
  <c r="J393"/>
  <c r="I393"/>
  <c r="G393"/>
  <c r="J293"/>
  <c r="I293"/>
  <c r="G293"/>
  <c r="J292"/>
  <c r="I292"/>
  <c r="G292"/>
  <c r="J287"/>
  <c r="I287"/>
  <c r="G287"/>
  <c r="J267"/>
  <c r="I267"/>
  <c r="H267"/>
  <c r="M354" i="72"/>
  <c r="L288" i="39"/>
  <c r="J288"/>
  <c r="G288"/>
  <c r="L395" i="74"/>
  <c r="I395" i="73"/>
  <c r="F395"/>
  <c r="L395" i="72"/>
  <c r="F395" i="71"/>
  <c r="L395" i="70"/>
  <c r="I395" i="69"/>
  <c r="L395" i="68"/>
  <c r="F395"/>
  <c r="I395" i="65"/>
  <c r="L262" i="39"/>
  <c r="I262"/>
  <c r="F262"/>
  <c r="I164" i="74"/>
  <c r="F164" i="73"/>
  <c r="L164" i="72"/>
  <c r="L164" i="70"/>
  <c r="F164"/>
  <c r="L164" i="65"/>
  <c r="I164"/>
  <c r="F382" i="74"/>
  <c r="L382" i="72"/>
  <c r="H382"/>
  <c r="H382" i="71"/>
  <c r="F382" i="70"/>
  <c r="F382" i="69"/>
  <c r="L382" i="68"/>
  <c r="H379" i="74"/>
  <c r="F379" i="68"/>
  <c r="H379" i="65"/>
  <c r="L141" i="74"/>
  <c r="H141"/>
  <c r="F141"/>
  <c r="H141" i="73"/>
  <c r="L141" i="72"/>
  <c r="F141" i="71"/>
  <c r="L141" i="70"/>
  <c r="H141"/>
  <c r="F141"/>
  <c r="F141" i="69"/>
  <c r="F141" i="68"/>
  <c r="H141" i="65"/>
  <c r="I394" i="73"/>
  <c r="H394" i="65"/>
  <c r="K280" i="74"/>
  <c r="I280"/>
  <c r="H280"/>
  <c r="K280" i="73"/>
  <c r="I280"/>
  <c r="H280"/>
  <c r="I280" i="72"/>
  <c r="H280"/>
  <c r="K280" i="71"/>
  <c r="I280"/>
  <c r="H280"/>
  <c r="K280" i="70"/>
  <c r="H280"/>
  <c r="K280" i="69"/>
  <c r="I280"/>
  <c r="K280" i="68"/>
  <c r="I280"/>
  <c r="H280"/>
  <c r="K280" i="65"/>
  <c r="I280"/>
  <c r="H280"/>
  <c r="I291" i="39"/>
  <c r="H291"/>
  <c r="F291"/>
  <c r="I189" i="74"/>
  <c r="H189"/>
  <c r="F189"/>
  <c r="H189" i="73"/>
  <c r="F189"/>
  <c r="I189" i="72"/>
  <c r="H189"/>
  <c r="F189"/>
  <c r="I189" i="71"/>
  <c r="H189" i="70"/>
  <c r="F189"/>
  <c r="I189" i="69"/>
  <c r="H189" i="68"/>
  <c r="F189"/>
  <c r="I189" i="65"/>
  <c r="H189"/>
  <c r="I190" i="74"/>
  <c r="H190" i="73"/>
  <c r="L190" i="71"/>
  <c r="I190"/>
  <c r="L190" i="69"/>
  <c r="I190"/>
  <c r="I190" i="68"/>
  <c r="L190" i="65"/>
  <c r="L139" i="74"/>
  <c r="H139"/>
  <c r="L139" i="72"/>
  <c r="I139"/>
  <c r="H139"/>
  <c r="H139" i="70"/>
  <c r="L139" i="69"/>
  <c r="I139"/>
  <c r="L139" i="65"/>
  <c r="I139"/>
  <c r="H139"/>
  <c r="I135" i="74"/>
  <c r="H135"/>
  <c r="L135" i="72"/>
  <c r="I135"/>
  <c r="H135"/>
  <c r="I135" i="69"/>
  <c r="H135" i="68"/>
  <c r="L135" i="65"/>
  <c r="I135"/>
  <c r="H135"/>
  <c r="L109" i="74"/>
  <c r="I109"/>
  <c r="H109"/>
  <c r="L109" i="72"/>
  <c r="I109"/>
  <c r="H109" i="71"/>
  <c r="L109" i="70"/>
  <c r="H109"/>
  <c r="H109" i="65"/>
  <c r="G383" i="74"/>
  <c r="G383" i="73"/>
  <c r="F383" i="70"/>
  <c r="L383" i="65"/>
  <c r="L103" i="72"/>
  <c r="G103"/>
  <c r="F103"/>
  <c r="G103" i="70"/>
  <c r="L103" i="69"/>
  <c r="G103"/>
  <c r="F103"/>
  <c r="L103" i="65"/>
  <c r="G103"/>
  <c r="F155" i="74"/>
  <c r="K155" i="73"/>
  <c r="I155"/>
  <c r="F155"/>
  <c r="I155" i="72"/>
  <c r="F155"/>
  <c r="K155" i="71"/>
  <c r="I155"/>
  <c r="F155"/>
  <c r="K155" i="70"/>
  <c r="K155" i="69"/>
  <c r="I155"/>
  <c r="F155"/>
  <c r="K155" i="68"/>
  <c r="I155"/>
  <c r="F155"/>
  <c r="K155" i="65"/>
  <c r="K290" i="39"/>
  <c r="I290"/>
  <c r="F290"/>
  <c r="K101" i="74"/>
  <c r="I101"/>
  <c r="F101"/>
  <c r="I101" i="72"/>
  <c r="F101"/>
  <c r="I101" i="71"/>
  <c r="K101" i="70"/>
  <c r="F101"/>
  <c r="K101" i="65"/>
  <c r="K261" i="39"/>
  <c r="I261"/>
  <c r="F261"/>
  <c r="J391"/>
  <c r="H391"/>
  <c r="G391"/>
  <c r="J265"/>
  <c r="H265"/>
  <c r="G265"/>
  <c r="J295"/>
  <c r="H295"/>
  <c r="G295"/>
  <c r="H154" i="73"/>
  <c r="G154"/>
  <c r="H154" i="71"/>
  <c r="J154" i="69"/>
  <c r="J154" i="68"/>
  <c r="H154"/>
  <c r="I294" i="39"/>
  <c r="H294"/>
  <c r="G294"/>
  <c r="H264"/>
  <c r="I263"/>
  <c r="H263"/>
  <c r="G263"/>
  <c r="I270" i="74"/>
  <c r="H270"/>
  <c r="G270"/>
  <c r="I270" i="73"/>
  <c r="H270"/>
  <c r="G270"/>
  <c r="I270" i="72"/>
  <c r="H270"/>
  <c r="G270"/>
  <c r="I270" i="71"/>
  <c r="H270"/>
  <c r="G270"/>
  <c r="H270" i="70"/>
  <c r="G270"/>
  <c r="I270" i="69"/>
  <c r="G270"/>
  <c r="I270" i="68"/>
  <c r="I270" i="65"/>
  <c r="H270"/>
  <c r="I285" i="74"/>
  <c r="H285"/>
  <c r="G285"/>
  <c r="I285" i="73"/>
  <c r="H285"/>
  <c r="G285"/>
  <c r="I285" i="72"/>
  <c r="H285"/>
  <c r="G285"/>
  <c r="I285" i="71"/>
  <c r="H285"/>
  <c r="G285"/>
  <c r="H285" i="70"/>
  <c r="G285"/>
  <c r="I285" i="69"/>
  <c r="G285"/>
  <c r="I285" i="68"/>
  <c r="H285"/>
  <c r="G160" i="74"/>
  <c r="I160" i="72"/>
  <c r="H160"/>
  <c r="G160" i="71"/>
  <c r="H160" i="70"/>
  <c r="I160" i="65"/>
  <c r="H160"/>
  <c r="G160"/>
  <c r="I268" i="39"/>
  <c r="H268"/>
  <c r="G268"/>
  <c r="I133" i="74"/>
  <c r="H133"/>
  <c r="G133"/>
  <c r="I133" i="72"/>
  <c r="H133"/>
  <c r="H133" i="71"/>
  <c r="G133"/>
  <c r="H133" i="70"/>
  <c r="G133"/>
  <c r="I133" i="68"/>
  <c r="H133" i="65"/>
  <c r="G133"/>
  <c r="I269" i="39"/>
  <c r="H269"/>
  <c r="G269"/>
  <c r="F176" i="74"/>
  <c r="I176" i="72"/>
  <c r="G176"/>
  <c r="F176" i="71"/>
  <c r="G176" i="70"/>
  <c r="F176" i="68"/>
  <c r="I176" i="65"/>
  <c r="G176"/>
  <c r="F166" i="74"/>
  <c r="I166" i="73"/>
  <c r="G166" i="72"/>
  <c r="I166" i="71"/>
  <c r="G166"/>
  <c r="F166"/>
  <c r="F166" i="70"/>
  <c r="I166" i="69"/>
  <c r="G166"/>
  <c r="F166" i="68"/>
  <c r="I165" i="74"/>
  <c r="G165"/>
  <c r="F165"/>
  <c r="F165" i="73"/>
  <c r="I165" i="72"/>
  <c r="G165"/>
  <c r="F165"/>
  <c r="I165" i="71"/>
  <c r="G165"/>
  <c r="G165" i="70"/>
  <c r="F165"/>
  <c r="I165" i="69"/>
  <c r="F165"/>
  <c r="I165" i="68"/>
  <c r="I165" i="65"/>
  <c r="G165"/>
  <c r="I115" i="74"/>
  <c r="I115" i="73"/>
  <c r="F115"/>
  <c r="I115" i="72"/>
  <c r="G115"/>
  <c r="F115"/>
  <c r="I115" i="71"/>
  <c r="G115" i="70"/>
  <c r="F115"/>
  <c r="F115" i="69"/>
  <c r="I115" i="65"/>
  <c r="G115"/>
  <c r="I102" i="73"/>
  <c r="G102"/>
  <c r="I102" i="72"/>
  <c r="G102"/>
  <c r="I102" i="71"/>
  <c r="G102"/>
  <c r="F102"/>
  <c r="I102" i="69"/>
  <c r="F102"/>
  <c r="I102" i="68"/>
  <c r="F102"/>
  <c r="G102" i="65"/>
  <c r="I163" i="74"/>
  <c r="G163"/>
  <c r="I163" i="73"/>
  <c r="G163"/>
  <c r="L163" i="72"/>
  <c r="I163"/>
  <c r="L163" i="71"/>
  <c r="I163"/>
  <c r="G163"/>
  <c r="L163" i="69"/>
  <c r="I163"/>
  <c r="G163"/>
  <c r="L163" i="68"/>
  <c r="I163"/>
  <c r="L163" i="65"/>
  <c r="I163"/>
  <c r="K296" i="39"/>
  <c r="H296"/>
  <c r="F296"/>
  <c r="H87" i="74"/>
  <c r="F87" i="73"/>
  <c r="H87" i="72"/>
  <c r="K87" i="69"/>
  <c r="F87"/>
  <c r="H87" i="68"/>
  <c r="K87" i="39"/>
  <c r="H87"/>
  <c r="F87"/>
  <c r="L381" i="74"/>
  <c r="F381"/>
  <c r="L381" i="72"/>
  <c r="I381" i="71"/>
  <c r="L381" i="70"/>
  <c r="I381" i="69"/>
  <c r="L381" i="65"/>
  <c r="I377" i="74"/>
  <c r="F377" i="73"/>
  <c r="F377" i="72"/>
  <c r="I377" i="69"/>
  <c r="L377" i="68"/>
  <c r="L377" i="65"/>
  <c r="H157" i="74"/>
  <c r="G157"/>
  <c r="M157" i="73"/>
  <c r="M157" i="72"/>
  <c r="H157"/>
  <c r="G157"/>
  <c r="G157" i="71"/>
  <c r="M157" i="70"/>
  <c r="H157"/>
  <c r="G157"/>
  <c r="M157" i="69"/>
  <c r="G157"/>
  <c r="H157" i="68"/>
  <c r="M157" i="65"/>
  <c r="H157"/>
  <c r="G157"/>
  <c r="M266" i="39"/>
  <c r="H266"/>
  <c r="G266"/>
  <c r="J129" i="74"/>
  <c r="H129"/>
  <c r="G129"/>
  <c r="G129" i="73"/>
  <c r="J129" i="72"/>
  <c r="H129" i="71"/>
  <c r="G129"/>
  <c r="J129" i="70"/>
  <c r="H129"/>
  <c r="G129"/>
  <c r="G129" i="69"/>
  <c r="H129" i="68"/>
  <c r="J129" i="65"/>
  <c r="H129"/>
  <c r="J104" i="74"/>
  <c r="H104"/>
  <c r="J104" i="73"/>
  <c r="H104"/>
  <c r="G104"/>
  <c r="H104" i="71"/>
  <c r="H104" i="70"/>
  <c r="G104"/>
  <c r="J104" i="69"/>
  <c r="G104"/>
  <c r="J104" i="68"/>
  <c r="H104"/>
  <c r="L238" i="74"/>
  <c r="G238" i="73"/>
  <c r="L238" i="71"/>
  <c r="L238" i="68"/>
  <c r="G238" i="65"/>
  <c r="H236" i="72"/>
  <c r="J236" i="70"/>
  <c r="L236" i="68"/>
  <c r="J236" i="65"/>
  <c r="L235" i="74"/>
  <c r="H235"/>
  <c r="G235"/>
  <c r="G235" i="73"/>
  <c r="L235" i="72"/>
  <c r="H235"/>
  <c r="H235" i="71"/>
  <c r="G235"/>
  <c r="H235" i="70"/>
  <c r="G235"/>
  <c r="L235" i="69"/>
  <c r="L235" i="68"/>
  <c r="L235" i="65"/>
  <c r="G235"/>
  <c r="H234" i="74"/>
  <c r="F234" i="73"/>
  <c r="I234" i="71"/>
  <c r="F234" i="70"/>
  <c r="H234" i="68"/>
  <c r="M233" i="73"/>
  <c r="J233"/>
  <c r="G233"/>
  <c r="G233" i="72"/>
  <c r="M233" i="71"/>
  <c r="M233" i="70"/>
  <c r="J233" i="69"/>
  <c r="G233"/>
  <c r="M233" i="68"/>
  <c r="J233" i="65"/>
  <c r="G233"/>
  <c r="G232" i="72"/>
  <c r="L232" i="70"/>
  <c r="G232" i="69"/>
  <c r="H232" i="65"/>
  <c r="F228" i="74"/>
  <c r="I228" i="72"/>
  <c r="H228" i="71"/>
  <c r="F228" i="68"/>
  <c r="I227" i="74"/>
  <c r="H227"/>
  <c r="I227" i="73"/>
  <c r="H227"/>
  <c r="H227" i="72"/>
  <c r="G227"/>
  <c r="I227" i="71"/>
  <c r="H227" i="70"/>
  <c r="G227"/>
  <c r="H227" i="68"/>
  <c r="H227" i="65"/>
  <c r="G227"/>
  <c r="H226" i="71"/>
  <c r="I226" i="69"/>
  <c r="F226" i="68"/>
  <c r="F183" i="74"/>
  <c r="G183" i="73"/>
  <c r="F183"/>
  <c r="G183" i="72"/>
  <c r="F183"/>
  <c r="L183" i="71"/>
  <c r="G183"/>
  <c r="F183"/>
  <c r="L183" i="70"/>
  <c r="F183"/>
  <c r="L183" i="69"/>
  <c r="G183"/>
  <c r="F183"/>
  <c r="L183" i="68"/>
  <c r="F183"/>
  <c r="L183" i="65"/>
  <c r="I182" i="74"/>
  <c r="G182" i="73"/>
  <c r="F182"/>
  <c r="I182" i="72"/>
  <c r="I182" i="71"/>
  <c r="G182"/>
  <c r="G182" i="70"/>
  <c r="I182" i="69"/>
  <c r="F182"/>
  <c r="I182" i="68"/>
  <c r="F182"/>
  <c r="G182" i="65"/>
  <c r="I181" i="74"/>
  <c r="H181"/>
  <c r="F181"/>
  <c r="I181" i="73"/>
  <c r="H181"/>
  <c r="F181"/>
  <c r="I181" i="72"/>
  <c r="H181"/>
  <c r="F181"/>
  <c r="I181" i="71"/>
  <c r="H181" i="70"/>
  <c r="F181"/>
  <c r="F181" i="69"/>
  <c r="H181" i="68"/>
  <c r="I181" i="65"/>
  <c r="H181"/>
  <c r="I180" i="74"/>
  <c r="F180"/>
  <c r="I180" i="73"/>
  <c r="H180"/>
  <c r="I180" i="72"/>
  <c r="H180"/>
  <c r="F180"/>
  <c r="H180" i="71"/>
  <c r="H180" i="70"/>
  <c r="I180" i="69"/>
  <c r="F180"/>
  <c r="F180" i="68"/>
  <c r="I180" i="65"/>
  <c r="H180"/>
  <c r="F170" i="74"/>
  <c r="I170" i="73"/>
  <c r="F170"/>
  <c r="I170" i="71"/>
  <c r="H170"/>
  <c r="F170"/>
  <c r="F170" i="70"/>
  <c r="I170" i="69"/>
  <c r="F170"/>
  <c r="H170" i="68"/>
  <c r="F170"/>
  <c r="I170" i="65"/>
  <c r="I169" i="74"/>
  <c r="H169"/>
  <c r="G169"/>
  <c r="H169" i="73"/>
  <c r="G169"/>
  <c r="I169" i="72"/>
  <c r="H169"/>
  <c r="G169"/>
  <c r="I169" i="71"/>
  <c r="H169" i="70"/>
  <c r="G169"/>
  <c r="I169" i="69"/>
  <c r="H169" i="68"/>
  <c r="I169" i="65"/>
  <c r="H169"/>
  <c r="G169"/>
  <c r="L162" i="74"/>
  <c r="H162" i="73"/>
  <c r="G162"/>
  <c r="L162" i="72"/>
  <c r="L162" i="71"/>
  <c r="H162"/>
  <c r="L162" i="70"/>
  <c r="G162"/>
  <c r="G162" i="69"/>
  <c r="L162" i="68"/>
  <c r="H162"/>
  <c r="H162" i="65"/>
  <c r="L138" i="74"/>
  <c r="G138"/>
  <c r="H138" i="73"/>
  <c r="H138" i="72"/>
  <c r="G138"/>
  <c r="L138" i="71"/>
  <c r="H138"/>
  <c r="G138"/>
  <c r="L138" i="70"/>
  <c r="H138"/>
  <c r="G138" i="69"/>
  <c r="L138" i="68"/>
  <c r="H138"/>
  <c r="L138" i="65"/>
  <c r="H138"/>
  <c r="G138"/>
  <c r="H137" i="74"/>
  <c r="G137"/>
  <c r="F137"/>
  <c r="F137" i="73"/>
  <c r="G137" i="72"/>
  <c r="H137" i="71"/>
  <c r="G137"/>
  <c r="F137"/>
  <c r="H137" i="70"/>
  <c r="G137"/>
  <c r="F137"/>
  <c r="H137" i="68"/>
  <c r="F137"/>
  <c r="H137" i="65"/>
  <c r="H131" i="74"/>
  <c r="G131"/>
  <c r="H131" i="73"/>
  <c r="J131" i="72"/>
  <c r="H131"/>
  <c r="G131"/>
  <c r="H131" i="70"/>
  <c r="G131"/>
  <c r="J131" i="69"/>
  <c r="J131" i="65"/>
  <c r="H131"/>
  <c r="G131"/>
  <c r="K286" i="74"/>
  <c r="I286"/>
  <c r="F286"/>
  <c r="K286" i="73"/>
  <c r="I286"/>
  <c r="F286"/>
  <c r="I286" i="72"/>
  <c r="F286"/>
  <c r="K286" i="71"/>
  <c r="I286"/>
  <c r="F286"/>
  <c r="K286" i="70"/>
  <c r="F286"/>
  <c r="K286" i="69"/>
  <c r="I286"/>
  <c r="F286"/>
  <c r="K286" i="68"/>
  <c r="I286"/>
  <c r="F286"/>
  <c r="K286" i="65"/>
  <c r="I286"/>
  <c r="I114" i="74"/>
  <c r="I114" i="73"/>
  <c r="H114"/>
  <c r="I114" i="72"/>
  <c r="H114"/>
  <c r="I114" i="71"/>
  <c r="H114"/>
  <c r="G114"/>
  <c r="H114" i="70"/>
  <c r="I114" i="69"/>
  <c r="G114"/>
  <c r="I114" i="68"/>
  <c r="H114"/>
  <c r="I114" i="65"/>
  <c r="H114"/>
  <c r="G114"/>
  <c r="H112" i="74"/>
  <c r="J112" i="73"/>
  <c r="H112"/>
  <c r="L112" i="72"/>
  <c r="L112" i="70"/>
  <c r="J112"/>
  <c r="L112" i="69"/>
  <c r="J112"/>
  <c r="L112" i="68"/>
  <c r="H112"/>
  <c r="I88" i="74"/>
  <c r="G88"/>
  <c r="F88"/>
  <c r="I88" i="73"/>
  <c r="G88"/>
  <c r="F88"/>
  <c r="I88" i="72"/>
  <c r="I88" i="71"/>
  <c r="G88"/>
  <c r="F88"/>
  <c r="F88" i="70"/>
  <c r="I88" i="69"/>
  <c r="G88"/>
  <c r="F88"/>
  <c r="I88" i="68"/>
  <c r="F88"/>
  <c r="G88" i="65"/>
  <c r="I88" i="39"/>
  <c r="G88"/>
  <c r="F88"/>
  <c r="I86" i="74"/>
  <c r="G86"/>
  <c r="F86"/>
  <c r="G86" i="73"/>
  <c r="F86"/>
  <c r="I86" i="72"/>
  <c r="G86"/>
  <c r="F86"/>
  <c r="I86" i="71"/>
  <c r="G86" i="70"/>
  <c r="F86"/>
  <c r="I86" i="69"/>
  <c r="I86" i="68"/>
  <c r="F86"/>
  <c r="I86" i="65"/>
  <c r="G86"/>
  <c r="AB86" i="39"/>
  <c r="I86"/>
  <c r="G86"/>
  <c r="F86"/>
  <c r="I85" i="74"/>
  <c r="I85" i="73"/>
  <c r="H85" i="72"/>
  <c r="F85"/>
  <c r="H85" i="70"/>
  <c r="F85"/>
  <c r="I85" i="68"/>
  <c r="I85" i="65"/>
  <c r="H85"/>
  <c r="AB85" i="39"/>
  <c r="I85"/>
  <c r="H85"/>
  <c r="F85"/>
  <c r="H84" i="74"/>
  <c r="F84"/>
  <c r="H84" i="73"/>
  <c r="G84"/>
  <c r="F84"/>
  <c r="H84" i="72"/>
  <c r="G84"/>
  <c r="H84" i="71"/>
  <c r="G84"/>
  <c r="F84"/>
  <c r="F84" i="70"/>
  <c r="G84" i="69"/>
  <c r="F84"/>
  <c r="H84" i="68"/>
  <c r="F84"/>
  <c r="H84" i="65"/>
  <c r="G84"/>
  <c r="AB84" i="39"/>
  <c r="H84"/>
  <c r="G84"/>
  <c r="F84"/>
  <c r="I83" i="73"/>
  <c r="F83"/>
  <c r="H83" i="72"/>
  <c r="H83" i="71"/>
  <c r="F83"/>
  <c r="F83" i="70"/>
  <c r="I83" i="69"/>
  <c r="I83" i="68"/>
  <c r="H83"/>
  <c r="AB83" i="39"/>
  <c r="I83"/>
  <c r="H83"/>
  <c r="F83"/>
  <c r="L380" i="74"/>
  <c r="I380"/>
  <c r="I380" i="73"/>
  <c r="F380"/>
  <c r="L380" i="72"/>
  <c r="F380"/>
  <c r="L380" i="71"/>
  <c r="F380"/>
  <c r="F380" i="70"/>
  <c r="I380" i="69"/>
  <c r="F380"/>
  <c r="F380" i="68"/>
  <c r="L380" i="65"/>
  <c r="I380"/>
  <c r="I378" i="74"/>
  <c r="F378"/>
  <c r="I378" i="73"/>
  <c r="F378"/>
  <c r="L378" i="72"/>
  <c r="I378"/>
  <c r="L378" i="71"/>
  <c r="I378"/>
  <c r="F378"/>
  <c r="F378" i="70"/>
  <c r="L378" i="69"/>
  <c r="I378"/>
  <c r="F378"/>
  <c r="I378" i="68"/>
  <c r="F378"/>
  <c r="I378" i="65"/>
  <c r="I370" i="74"/>
  <c r="H370"/>
  <c r="H370" i="72"/>
  <c r="I370" i="71"/>
  <c r="H370" i="70"/>
  <c r="H370" i="68"/>
  <c r="I370" i="65"/>
  <c r="I369" i="74"/>
  <c r="F369"/>
  <c r="I369" i="73"/>
  <c r="H369"/>
  <c r="F369"/>
  <c r="I369" i="72"/>
  <c r="I369" i="71"/>
  <c r="H369"/>
  <c r="H369" i="70"/>
  <c r="I369" i="69"/>
  <c r="F369"/>
  <c r="I369" i="68"/>
  <c r="H369"/>
  <c r="F369"/>
  <c r="I361" i="74"/>
  <c r="H361"/>
  <c r="I361" i="73"/>
  <c r="H361"/>
  <c r="G361"/>
  <c r="H361" i="72"/>
  <c r="G361"/>
  <c r="I361" i="71"/>
  <c r="H361"/>
  <c r="G361"/>
  <c r="H361" i="70"/>
  <c r="G361"/>
  <c r="I361" i="69"/>
  <c r="G361"/>
  <c r="I361" i="68"/>
  <c r="H361"/>
  <c r="H361" i="65"/>
  <c r="G361"/>
  <c r="I360" i="74"/>
  <c r="I360" i="73"/>
  <c r="F360" i="71"/>
  <c r="I360" i="69"/>
  <c r="F360"/>
  <c r="I359" i="74"/>
  <c r="H359"/>
  <c r="F359"/>
  <c r="I359" i="73"/>
  <c r="F359"/>
  <c r="I359" i="72"/>
  <c r="H359"/>
  <c r="F359"/>
  <c r="I359" i="71"/>
  <c r="H359"/>
  <c r="F359"/>
  <c r="H359" i="70"/>
  <c r="F359"/>
  <c r="I359" i="69"/>
  <c r="F359"/>
  <c r="H359" i="68"/>
  <c r="F359"/>
  <c r="I359" i="65"/>
  <c r="H359"/>
  <c r="I358" i="74"/>
  <c r="H358" i="73"/>
  <c r="I358" i="72"/>
  <c r="H358" i="70"/>
  <c r="H358" i="68"/>
  <c r="H358" i="65"/>
  <c r="AB358" i="39"/>
  <c r="L358"/>
  <c r="I358"/>
  <c r="H358"/>
  <c r="I101" i="68" l="1"/>
  <c r="H109"/>
  <c r="L141"/>
  <c r="I140" i="74"/>
  <c r="M83" i="71"/>
  <c r="L107" i="73"/>
  <c r="M109" i="69"/>
  <c r="I103"/>
  <c r="F83" i="68"/>
  <c r="AB83" i="69"/>
  <c r="I83" i="71"/>
  <c r="F83" i="74"/>
  <c r="H85" i="68"/>
  <c r="F85" i="71"/>
  <c r="H85" i="74"/>
  <c r="J112"/>
  <c r="G114" i="72"/>
  <c r="G131" i="73"/>
  <c r="G104" i="74"/>
  <c r="H87" i="65"/>
  <c r="H87" i="71"/>
  <c r="I102" i="65"/>
  <c r="F102" i="72"/>
  <c r="G115" i="69"/>
  <c r="G115" i="73"/>
  <c r="I166" i="68"/>
  <c r="F166" i="73"/>
  <c r="F176" i="72"/>
  <c r="I176" i="74"/>
  <c r="I160"/>
  <c r="G154" i="71"/>
  <c r="H154" i="74"/>
  <c r="G103" i="73"/>
  <c r="L135" i="69"/>
  <c r="H135" i="73"/>
  <c r="H139"/>
  <c r="H190" i="68"/>
  <c r="H190" i="71"/>
  <c r="H190" i="74"/>
  <c r="L141" i="71"/>
  <c r="F164" i="72"/>
  <c r="L164" i="74"/>
  <c r="D85"/>
  <c r="J85" i="73"/>
  <c r="J85" i="69"/>
  <c r="E85" i="68"/>
  <c r="J83"/>
  <c r="H103" i="71"/>
  <c r="D101"/>
  <c r="M116" i="70"/>
  <c r="L137" i="71"/>
  <c r="D133"/>
  <c r="L168" i="74"/>
  <c r="K180" i="72"/>
  <c r="J159" i="68"/>
  <c r="L83" i="72"/>
  <c r="E102" i="74"/>
  <c r="L117" i="73"/>
  <c r="M111" i="71"/>
  <c r="K114" i="70"/>
  <c r="M110"/>
  <c r="J106"/>
  <c r="E111" i="69"/>
  <c r="E105" i="68"/>
  <c r="D116" i="65"/>
  <c r="J114"/>
  <c r="M135" i="73"/>
  <c r="D136" i="70"/>
  <c r="L182" i="73"/>
  <c r="J166" i="69"/>
  <c r="F87" i="68"/>
  <c r="F87" i="71"/>
  <c r="K87" i="73"/>
  <c r="F101" i="68"/>
  <c r="F101" i="71"/>
  <c r="F103" i="73"/>
  <c r="L109" i="68"/>
  <c r="I109" i="71"/>
  <c r="H135"/>
  <c r="L141" i="69"/>
  <c r="G83" i="74"/>
  <c r="M87" i="73"/>
  <c r="J85" i="72"/>
  <c r="L87" i="70"/>
  <c r="J85"/>
  <c r="I87" i="65"/>
  <c r="D110" i="74"/>
  <c r="M108"/>
  <c r="E115" i="73"/>
  <c r="D107"/>
  <c r="D116" i="72"/>
  <c r="M114"/>
  <c r="K108"/>
  <c r="L104"/>
  <c r="K102"/>
  <c r="D105" i="71"/>
  <c r="J133" i="73"/>
  <c r="L131"/>
  <c r="J184" i="74"/>
  <c r="M170" i="72"/>
  <c r="I358" i="69"/>
  <c r="I360" i="65"/>
  <c r="F360" i="72"/>
  <c r="H83" i="65"/>
  <c r="F85" i="73"/>
  <c r="L112" i="65"/>
  <c r="J112" i="72"/>
  <c r="J131" i="68"/>
  <c r="G131" i="71"/>
  <c r="H162" i="70"/>
  <c r="G162" i="72"/>
  <c r="H162" i="74"/>
  <c r="G182"/>
  <c r="G227" i="69"/>
  <c r="M233" i="65"/>
  <c r="G233" i="70"/>
  <c r="L235" i="71"/>
  <c r="J104" i="65"/>
  <c r="G104" i="72"/>
  <c r="F377" i="71"/>
  <c r="G176" i="69"/>
  <c r="G160"/>
  <c r="G154" i="65"/>
  <c r="H154" i="70"/>
  <c r="L103" i="71"/>
  <c r="L383" i="70"/>
  <c r="L379" i="72"/>
  <c r="F164" i="69"/>
  <c r="D87" i="72"/>
  <c r="G85" i="71"/>
  <c r="L110" i="74"/>
  <c r="M102"/>
  <c r="K113" i="73"/>
  <c r="K109"/>
  <c r="E101"/>
  <c r="L115" i="71"/>
  <c r="L107"/>
  <c r="D102" i="70"/>
  <c r="M117" i="69"/>
  <c r="E103" i="68"/>
  <c r="M101"/>
  <c r="E135" i="71"/>
  <c r="E138" i="70"/>
  <c r="M130"/>
  <c r="E141" i="68"/>
  <c r="E137"/>
  <c r="H132" i="65"/>
  <c r="J186" i="74"/>
  <c r="J166" i="72"/>
  <c r="H112"/>
  <c r="H131" i="68"/>
  <c r="H137" i="73"/>
  <c r="H170" i="72"/>
  <c r="J129" i="69"/>
  <c r="K87" i="70"/>
  <c r="G102"/>
  <c r="I166" i="72"/>
  <c r="G166" i="74"/>
  <c r="F176" i="69"/>
  <c r="G176" i="71"/>
  <c r="G133" i="69"/>
  <c r="I160" i="68"/>
  <c r="J154" i="72"/>
  <c r="J154" i="74"/>
  <c r="F101" i="69"/>
  <c r="F103" i="71"/>
  <c r="H139" i="68"/>
  <c r="L139" i="71"/>
  <c r="H190" i="70"/>
  <c r="I190" i="72"/>
  <c r="F379"/>
  <c r="L164" i="68"/>
  <c r="I164" i="71"/>
  <c r="J140" i="65"/>
  <c r="AB132"/>
  <c r="G87" i="74"/>
  <c r="L87" i="72"/>
  <c r="G83" i="70"/>
  <c r="E83" i="65"/>
  <c r="J114" i="74"/>
  <c r="H106"/>
  <c r="K115" i="68"/>
  <c r="M111"/>
  <c r="K107"/>
  <c r="M138" i="74"/>
  <c r="J130"/>
  <c r="K132" i="72"/>
  <c r="J133" i="69"/>
  <c r="D174" i="74"/>
  <c r="K170"/>
  <c r="F184" i="73"/>
  <c r="E112" i="65"/>
  <c r="D110"/>
  <c r="H102"/>
  <c r="E140" i="74"/>
  <c r="D129" i="73"/>
  <c r="M138" i="72"/>
  <c r="G158" i="74"/>
  <c r="M156"/>
  <c r="G188" i="71"/>
  <c r="D178"/>
  <c r="M87" i="74"/>
  <c r="J85" i="71"/>
  <c r="E87" i="70"/>
  <c r="J85" i="68"/>
  <c r="L83" i="65"/>
  <c r="F114" i="74"/>
  <c r="L102"/>
  <c r="E109" i="73"/>
  <c r="E105"/>
  <c r="M116" i="72"/>
  <c r="D112"/>
  <c r="E104"/>
  <c r="J115" i="71"/>
  <c r="J103"/>
  <c r="K110" i="70"/>
  <c r="K106"/>
  <c r="H102"/>
  <c r="F113" i="69"/>
  <c r="F105"/>
  <c r="K111" i="68"/>
  <c r="F109"/>
  <c r="J103"/>
  <c r="G112" i="65"/>
  <c r="D104"/>
  <c r="F140" i="72"/>
  <c r="K139" i="71"/>
  <c r="E130" i="70"/>
  <c r="K141" i="69"/>
  <c r="I137"/>
  <c r="F135" i="68"/>
  <c r="D186" i="74"/>
  <c r="E178"/>
  <c r="D160" i="73"/>
  <c r="E186" i="70"/>
  <c r="K166" i="68"/>
  <c r="E87" i="74"/>
  <c r="L85"/>
  <c r="J83"/>
  <c r="K85" i="73"/>
  <c r="J87" i="72"/>
  <c r="J83"/>
  <c r="M87" i="70"/>
  <c r="K83"/>
  <c r="E85" i="69"/>
  <c r="M83"/>
  <c r="D87" i="68"/>
  <c r="L87" i="65"/>
  <c r="D83"/>
  <c r="H116" i="74"/>
  <c r="K110"/>
  <c r="F106"/>
  <c r="K117" i="73"/>
  <c r="J113"/>
  <c r="M109"/>
  <c r="L105"/>
  <c r="H101"/>
  <c r="E116" i="72"/>
  <c r="K112"/>
  <c r="J108"/>
  <c r="M104"/>
  <c r="G117" i="71"/>
  <c r="G111"/>
  <c r="D107"/>
  <c r="M105"/>
  <c r="M114" i="70"/>
  <c r="K104"/>
  <c r="D117" i="69"/>
  <c r="K115"/>
  <c r="D109"/>
  <c r="M107"/>
  <c r="E117" i="68"/>
  <c r="D107"/>
  <c r="M105"/>
  <c r="J116" i="65"/>
  <c r="E108"/>
  <c r="J106"/>
  <c r="L134" i="74"/>
  <c r="M130"/>
  <c r="K129" i="73"/>
  <c r="H132" i="72"/>
  <c r="L130"/>
  <c r="G134" i="70"/>
  <c r="D132"/>
  <c r="I129" i="69"/>
  <c r="F140" i="65"/>
  <c r="E138"/>
  <c r="G188" i="73"/>
  <c r="J172"/>
  <c r="E166"/>
  <c r="H188" i="72"/>
  <c r="H182"/>
  <c r="L166"/>
  <c r="J235" i="69"/>
  <c r="IL11" i="77"/>
  <c r="IM11" s="1"/>
  <c r="I358" i="71"/>
  <c r="I360" i="72"/>
  <c r="H370" i="73"/>
  <c r="I83" i="72"/>
  <c r="H83" i="74"/>
  <c r="F84" i="72"/>
  <c r="F85" i="69"/>
  <c r="I85" i="71"/>
  <c r="H85" i="73"/>
  <c r="F88" i="72"/>
  <c r="G114" i="74"/>
  <c r="H131" i="71"/>
  <c r="J131" i="74"/>
  <c r="G137" i="69"/>
  <c r="G138" i="73"/>
  <c r="G162" i="65"/>
  <c r="I169" i="68"/>
  <c r="H169" i="71"/>
  <c r="I170" i="72"/>
  <c r="H170" i="74"/>
  <c r="I180" i="68"/>
  <c r="F180" i="71"/>
  <c r="I181" i="68"/>
  <c r="F181" i="71"/>
  <c r="F182" i="70"/>
  <c r="F182" i="72"/>
  <c r="F182" i="74"/>
  <c r="G183"/>
  <c r="F226"/>
  <c r="G227" i="71"/>
  <c r="G227" i="73"/>
  <c r="J233" i="70"/>
  <c r="J233" i="72"/>
  <c r="H235" i="68"/>
  <c r="H238" i="70"/>
  <c r="G104" i="65"/>
  <c r="G104" i="71"/>
  <c r="H129" i="72"/>
  <c r="H157" i="71"/>
  <c r="H157" i="73"/>
  <c r="I381" i="68"/>
  <c r="F87" i="70"/>
  <c r="F87" i="72"/>
  <c r="F87" i="74"/>
  <c r="L163" i="70"/>
  <c r="G102" i="69"/>
  <c r="I102" i="74"/>
  <c r="F115" i="71"/>
  <c r="G165" i="73"/>
  <c r="I166" i="65"/>
  <c r="I176" i="73"/>
  <c r="I133" i="65"/>
  <c r="I133" i="73"/>
  <c r="I160"/>
  <c r="J154" i="65"/>
  <c r="G154" i="70"/>
  <c r="G154" i="72"/>
  <c r="G154" i="74"/>
  <c r="K101" i="69"/>
  <c r="K101" i="73"/>
  <c r="I155" i="74"/>
  <c r="F383" i="72"/>
  <c r="L109" i="65"/>
  <c r="L109" i="69"/>
  <c r="L135" i="71"/>
  <c r="I139"/>
  <c r="H190" i="65"/>
  <c r="I394" i="71"/>
  <c r="H141" i="72"/>
  <c r="H379" i="70"/>
  <c r="H382" i="68"/>
  <c r="F382" i="71"/>
  <c r="F382" i="73"/>
  <c r="I164" i="68"/>
  <c r="F395" i="69"/>
  <c r="I395" i="71"/>
  <c r="G354" i="72"/>
  <c r="I140" i="65"/>
  <c r="I140" i="72"/>
  <c r="M159" i="65"/>
  <c r="G167"/>
  <c r="I282"/>
  <c r="AB167"/>
  <c r="AB282"/>
  <c r="L88" i="74"/>
  <c r="I87"/>
  <c r="K83"/>
  <c r="E87" i="73"/>
  <c r="L85"/>
  <c r="D85"/>
  <c r="G83"/>
  <c r="M87" i="72"/>
  <c r="E87"/>
  <c r="M83"/>
  <c r="E83"/>
  <c r="E87" i="71"/>
  <c r="K85"/>
  <c r="E83"/>
  <c r="G87" i="70"/>
  <c r="L83"/>
  <c r="D83"/>
  <c r="G87" i="69"/>
  <c r="K85"/>
  <c r="E83"/>
  <c r="L87" i="68"/>
  <c r="K85"/>
  <c r="M87" i="65"/>
  <c r="E87"/>
  <c r="K85"/>
  <c r="J83"/>
  <c r="L114" i="74"/>
  <c r="J111"/>
  <c r="E110"/>
  <c r="K106"/>
  <c r="K104"/>
  <c r="H102"/>
  <c r="E117" i="73"/>
  <c r="M113"/>
  <c r="D113"/>
  <c r="K111"/>
  <c r="F109"/>
  <c r="M105"/>
  <c r="F105"/>
  <c r="J101"/>
  <c r="H116" i="72"/>
  <c r="L113"/>
  <c r="G112"/>
  <c r="M108"/>
  <c r="D108"/>
  <c r="F106"/>
  <c r="F104"/>
  <c r="M115" i="71"/>
  <c r="E115"/>
  <c r="K113"/>
  <c r="K111"/>
  <c r="K108"/>
  <c r="F107"/>
  <c r="K103"/>
  <c r="D116" i="70"/>
  <c r="E114"/>
  <c r="I112"/>
  <c r="D110"/>
  <c r="F108"/>
  <c r="D106"/>
  <c r="K102"/>
  <c r="J117" i="69"/>
  <c r="J113"/>
  <c r="E109"/>
  <c r="I105"/>
  <c r="G101"/>
  <c r="D115" i="68"/>
  <c r="M113"/>
  <c r="M107"/>
  <c r="K104"/>
  <c r="L116" i="65"/>
  <c r="E113"/>
  <c r="F104"/>
  <c r="E138" i="74"/>
  <c r="M136"/>
  <c r="E134"/>
  <c r="J132"/>
  <c r="D141" i="73"/>
  <c r="G139"/>
  <c r="M134"/>
  <c r="G130"/>
  <c r="G140" i="72"/>
  <c r="G136"/>
  <c r="F134"/>
  <c r="D141" i="71"/>
  <c r="K135"/>
  <c r="D131"/>
  <c r="K129"/>
  <c r="I138" i="70"/>
  <c r="I131"/>
  <c r="D141" i="69"/>
  <c r="J137"/>
  <c r="M135" i="68"/>
  <c r="D131"/>
  <c r="I129"/>
  <c r="E136" i="65"/>
  <c r="G134"/>
  <c r="F190" i="74"/>
  <c r="E188"/>
  <c r="K182"/>
  <c r="D180"/>
  <c r="L166"/>
  <c r="E162"/>
  <c r="L160"/>
  <c r="E180" i="73"/>
  <c r="E178"/>
  <c r="F174"/>
  <c r="J168"/>
  <c r="F162"/>
  <c r="L176" i="72"/>
  <c r="H172"/>
  <c r="J168"/>
  <c r="G164"/>
  <c r="E180" i="71"/>
  <c r="E231" i="73"/>
  <c r="E225" i="65"/>
  <c r="HN203" i="77"/>
  <c r="FH234"/>
  <c r="HN275"/>
  <c r="HN420"/>
  <c r="J104" i="72"/>
  <c r="J129" i="73"/>
  <c r="AB87" i="65"/>
  <c r="F102" i="74"/>
  <c r="I115" i="68"/>
  <c r="G176" i="73"/>
  <c r="I133" i="69"/>
  <c r="H133" i="73"/>
  <c r="H160" i="71"/>
  <c r="H160" i="73"/>
  <c r="I101" i="69"/>
  <c r="F101" i="73"/>
  <c r="F103" i="68"/>
  <c r="I109" i="69"/>
  <c r="H109" i="73"/>
  <c r="L135" i="68"/>
  <c r="I135" i="71"/>
  <c r="I139" i="68"/>
  <c r="H139" i="71"/>
  <c r="L190" i="72"/>
  <c r="L190" i="74"/>
  <c r="L164" i="69"/>
  <c r="L164" i="71"/>
  <c r="I164" i="73"/>
  <c r="H140" i="65"/>
  <c r="L87" i="74"/>
  <c r="M83"/>
  <c r="D83"/>
  <c r="E85" i="73"/>
  <c r="G87" i="72"/>
  <c r="G83"/>
  <c r="M85" i="71"/>
  <c r="D85"/>
  <c r="I87" i="70"/>
  <c r="M83"/>
  <c r="E83"/>
  <c r="L85" i="69"/>
  <c r="D85"/>
  <c r="L85" i="68"/>
  <c r="D85"/>
  <c r="G87" i="65"/>
  <c r="K83"/>
  <c r="M114" i="74"/>
  <c r="E114"/>
  <c r="J110"/>
  <c r="L106"/>
  <c r="E106"/>
  <c r="J102"/>
  <c r="J117" i="73"/>
  <c r="F113"/>
  <c r="G109"/>
  <c r="I105"/>
  <c r="L101"/>
  <c r="D101"/>
  <c r="K116" i="72"/>
  <c r="I112"/>
  <c r="F108"/>
  <c r="I104"/>
  <c r="H115" i="71"/>
  <c r="L111"/>
  <c r="D111"/>
  <c r="K107"/>
  <c r="D103"/>
  <c r="F114" i="70"/>
  <c r="F106"/>
  <c r="L102"/>
  <c r="L105" i="69"/>
  <c r="J115" i="68"/>
  <c r="J111"/>
  <c r="D103"/>
  <c r="M113" i="65"/>
  <c r="F109"/>
  <c r="I138" i="74"/>
  <c r="G134"/>
  <c r="G130"/>
  <c r="I141" i="73"/>
  <c r="E137"/>
  <c r="D133"/>
  <c r="M141" i="72"/>
  <c r="L136"/>
  <c r="D139" i="71"/>
  <c r="I131"/>
  <c r="F134" i="70"/>
  <c r="J141" i="69"/>
  <c r="D133"/>
  <c r="F139" i="68"/>
  <c r="L131"/>
  <c r="M190" i="74"/>
  <c r="E183"/>
  <c r="J170"/>
  <c r="F154"/>
  <c r="F157" i="73"/>
  <c r="K190" i="72"/>
  <c r="K176" i="71"/>
  <c r="K154" i="70"/>
  <c r="D169" i="69"/>
  <c r="I161"/>
  <c r="DZ11" i="77"/>
  <c r="EA11" s="1"/>
  <c r="GK196"/>
  <c r="BT313"/>
  <c r="GF313"/>
  <c r="IP313"/>
  <c r="HI196"/>
  <c r="HJ196" s="1"/>
  <c r="HN202"/>
  <c r="DB203"/>
  <c r="L358" i="65"/>
  <c r="L358" i="69"/>
  <c r="L358" i="71"/>
  <c r="H358" i="74"/>
  <c r="F360" i="68"/>
  <c r="G360" i="70"/>
  <c r="G360" i="72"/>
  <c r="F360" i="74"/>
  <c r="H369" i="65"/>
  <c r="H369" i="74"/>
  <c r="F377" i="68"/>
  <c r="F377" i="70"/>
  <c r="L377" i="74"/>
  <c r="F381" i="69"/>
  <c r="F381" i="71"/>
  <c r="F381" i="73"/>
  <c r="G383" i="71"/>
  <c r="F383" i="74"/>
  <c r="K394"/>
  <c r="F379" i="70"/>
  <c r="H379" i="72"/>
  <c r="L379" i="74"/>
  <c r="F370" i="71"/>
  <c r="E383" i="73"/>
  <c r="I358" i="68"/>
  <c r="L358" i="72"/>
  <c r="G360" i="69"/>
  <c r="G360" i="71"/>
  <c r="G360" i="73"/>
  <c r="F369" i="72"/>
  <c r="I370" i="73"/>
  <c r="I377" i="65"/>
  <c r="F377" i="69"/>
  <c r="I377" i="71"/>
  <c r="F381" i="68"/>
  <c r="I381" i="74"/>
  <c r="G383" i="70"/>
  <c r="G383" i="72"/>
  <c r="K394" i="68"/>
  <c r="H394" i="73"/>
  <c r="L379" i="65"/>
  <c r="F379" i="74"/>
  <c r="J354" i="72"/>
  <c r="E85" i="74"/>
  <c r="G87" i="73"/>
  <c r="J83"/>
  <c r="K85" i="72"/>
  <c r="I87" i="71"/>
  <c r="G83"/>
  <c r="K85" i="70"/>
  <c r="I87" i="69"/>
  <c r="G83"/>
  <c r="E87" i="68"/>
  <c r="L83"/>
  <c r="L85" i="65"/>
  <c r="D85"/>
  <c r="J116" i="74"/>
  <c r="I112"/>
  <c r="F108"/>
  <c r="L104"/>
  <c r="D104"/>
  <c r="H115" i="73"/>
  <c r="L111"/>
  <c r="D111"/>
  <c r="E107"/>
  <c r="K103"/>
  <c r="D103"/>
  <c r="F114" i="72"/>
  <c r="M110"/>
  <c r="E110"/>
  <c r="J106"/>
  <c r="L102"/>
  <c r="D102"/>
  <c r="K117" i="71"/>
  <c r="L113"/>
  <c r="D113"/>
  <c r="J109"/>
  <c r="E105"/>
  <c r="H101"/>
  <c r="E116" i="70"/>
  <c r="L108"/>
  <c r="L104"/>
  <c r="L115" i="69"/>
  <c r="J111"/>
  <c r="E107"/>
  <c r="J103"/>
  <c r="G117" i="68"/>
  <c r="E113"/>
  <c r="J109"/>
  <c r="F105"/>
  <c r="E101"/>
  <c r="K114" i="65"/>
  <c r="E110"/>
  <c r="K106"/>
  <c r="K102"/>
  <c r="K140" i="74"/>
  <c r="E136"/>
  <c r="L132"/>
  <c r="J139" i="73"/>
  <c r="E135"/>
  <c r="M131"/>
  <c r="E138" i="72"/>
  <c r="L134"/>
  <c r="D130"/>
  <c r="G141" i="71"/>
  <c r="M137"/>
  <c r="D137"/>
  <c r="J133"/>
  <c r="M129"/>
  <c r="D140" i="70"/>
  <c r="E136"/>
  <c r="J132"/>
  <c r="D139" i="69"/>
  <c r="D135"/>
  <c r="I131"/>
  <c r="K141" i="68"/>
  <c r="J137"/>
  <c r="L133"/>
  <c r="L129"/>
  <c r="K138" i="65"/>
  <c r="J134"/>
  <c r="L130"/>
  <c r="H188" i="74"/>
  <c r="L184"/>
  <c r="E180"/>
  <c r="D176"/>
  <c r="G164"/>
  <c r="M190" i="73"/>
  <c r="F178"/>
  <c r="I162"/>
  <c r="F154"/>
  <c r="L166" i="71"/>
  <c r="M168" i="70"/>
  <c r="J178" i="68"/>
  <c r="F233"/>
  <c r="H377" i="65"/>
  <c r="R14" i="77"/>
  <c r="DA14"/>
  <c r="EE324"/>
  <c r="FH341"/>
  <c r="HI341"/>
  <c r="HK341" s="1"/>
  <c r="J85" i="74"/>
  <c r="J87" i="73"/>
  <c r="L83"/>
  <c r="M85" i="72"/>
  <c r="D85"/>
  <c r="J87" i="71"/>
  <c r="K83"/>
  <c r="L85" i="70"/>
  <c r="D85"/>
  <c r="J87" i="69"/>
  <c r="J83"/>
  <c r="I87" i="68"/>
  <c r="M83"/>
  <c r="E83"/>
  <c r="E85" i="65"/>
  <c r="L116" i="74"/>
  <c r="K112"/>
  <c r="D112"/>
  <c r="J108"/>
  <c r="M104"/>
  <c r="E104"/>
  <c r="J115" i="73"/>
  <c r="M111"/>
  <c r="E111"/>
  <c r="J107"/>
  <c r="E103"/>
  <c r="J114" i="72"/>
  <c r="G110"/>
  <c r="K106"/>
  <c r="D106"/>
  <c r="E102"/>
  <c r="L117" i="71"/>
  <c r="D117"/>
  <c r="E113"/>
  <c r="M109"/>
  <c r="D109"/>
  <c r="J105"/>
  <c r="J101"/>
  <c r="K116" i="70"/>
  <c r="F112"/>
  <c r="M108"/>
  <c r="D108"/>
  <c r="D104"/>
  <c r="M115" i="69"/>
  <c r="D115"/>
  <c r="K111"/>
  <c r="F107"/>
  <c r="L117" i="68"/>
  <c r="F113"/>
  <c r="K109"/>
  <c r="K105"/>
  <c r="G101"/>
  <c r="M114" i="65"/>
  <c r="K110"/>
  <c r="D106"/>
  <c r="M102"/>
  <c r="L140" i="74"/>
  <c r="G136"/>
  <c r="E132"/>
  <c r="M139" i="73"/>
  <c r="G135"/>
  <c r="E131"/>
  <c r="F138" i="72"/>
  <c r="M134"/>
  <c r="D134"/>
  <c r="E130"/>
  <c r="J141" i="71"/>
  <c r="E137"/>
  <c r="K133"/>
  <c r="F140" i="70"/>
  <c r="G136"/>
  <c r="K132"/>
  <c r="G139" i="69"/>
  <c r="J135"/>
  <c r="M131"/>
  <c r="L137" i="68"/>
  <c r="K176" i="74"/>
  <c r="H172"/>
  <c r="H164"/>
  <c r="E160"/>
  <c r="E186" i="73"/>
  <c r="H188" i="70"/>
  <c r="K233" i="73"/>
  <c r="Q13" i="77"/>
  <c r="EE58"/>
  <c r="K85" i="74"/>
  <c r="L87" i="73"/>
  <c r="D87"/>
  <c r="M83"/>
  <c r="E83"/>
  <c r="G85" i="72"/>
  <c r="L87" i="71"/>
  <c r="D87"/>
  <c r="L83"/>
  <c r="D83"/>
  <c r="E85" i="70"/>
  <c r="M87" i="69"/>
  <c r="D87"/>
  <c r="L83"/>
  <c r="J87" i="68"/>
  <c r="G83"/>
  <c r="J85" i="65"/>
  <c r="M116" i="74"/>
  <c r="E116"/>
  <c r="E112"/>
  <c r="L108"/>
  <c r="F104"/>
  <c r="L115" i="73"/>
  <c r="G111"/>
  <c r="K107"/>
  <c r="I103"/>
  <c r="K114" i="72"/>
  <c r="J110"/>
  <c r="L106"/>
  <c r="E106"/>
  <c r="J102"/>
  <c r="M117" i="71"/>
  <c r="E117"/>
  <c r="J113"/>
  <c r="F109"/>
  <c r="K105"/>
  <c r="M101"/>
  <c r="L116" i="70"/>
  <c r="G112"/>
  <c r="E108"/>
  <c r="E104"/>
  <c r="E115" i="69"/>
  <c r="L107"/>
  <c r="H103"/>
  <c r="M117" i="68"/>
  <c r="D117"/>
  <c r="K113"/>
  <c r="D109"/>
  <c r="L105"/>
  <c r="H101"/>
  <c r="D114" i="65"/>
  <c r="L110"/>
  <c r="E106"/>
  <c r="E102"/>
  <c r="M140" i="74"/>
  <c r="D140"/>
  <c r="L136"/>
  <c r="F132"/>
  <c r="D139" i="73"/>
  <c r="K135"/>
  <c r="F131"/>
  <c r="K138" i="72"/>
  <c r="E134"/>
  <c r="K130"/>
  <c r="K141" i="71"/>
  <c r="K137"/>
  <c r="L133"/>
  <c r="I129"/>
  <c r="K140" i="70"/>
  <c r="M136"/>
  <c r="M139" i="69"/>
  <c r="M135"/>
  <c r="D141" i="68"/>
  <c r="D133"/>
  <c r="E129"/>
  <c r="D138" i="65"/>
  <c r="D130"/>
  <c r="D188" i="74"/>
  <c r="D184"/>
  <c r="L176"/>
  <c r="M172"/>
  <c r="K168"/>
  <c r="K160"/>
  <c r="I156"/>
  <c r="M186" i="73"/>
  <c r="E182"/>
  <c r="D174"/>
  <c r="K170"/>
  <c r="D166"/>
  <c r="E188" i="72"/>
  <c r="J190" i="71"/>
  <c r="J182"/>
  <c r="L154"/>
  <c r="K182" i="68"/>
  <c r="K174"/>
  <c r="G358" i="72"/>
  <c r="K358" i="70"/>
  <c r="EE92" i="77"/>
  <c r="S96"/>
  <c r="AV96"/>
  <c r="EE98"/>
  <c r="HN98"/>
  <c r="DB103"/>
  <c r="AU105"/>
  <c r="S106"/>
  <c r="AU106"/>
  <c r="IP113"/>
  <c r="S114"/>
  <c r="AU114"/>
  <c r="HM118"/>
  <c r="HM122"/>
  <c r="HN126"/>
  <c r="HN131"/>
  <c r="N135"/>
  <c r="O135" s="1"/>
  <c r="IL139"/>
  <c r="IN139" s="1"/>
  <c r="Q140"/>
  <c r="DZ154"/>
  <c r="GK158"/>
  <c r="GK162"/>
  <c r="IL162"/>
  <c r="IM162" s="1"/>
  <c r="N179"/>
  <c r="O179" s="1"/>
  <c r="FH290"/>
  <c r="FH330"/>
  <c r="FH340"/>
  <c r="R341"/>
  <c r="BX341"/>
  <c r="IP341"/>
  <c r="IQ342"/>
  <c r="S343"/>
  <c r="HN345"/>
  <c r="BY347"/>
  <c r="DB362"/>
  <c r="BY369"/>
  <c r="HL411"/>
  <c r="EE414"/>
  <c r="GJ414"/>
  <c r="HN178"/>
  <c r="IP191"/>
  <c r="EE196"/>
  <c r="N197"/>
  <c r="IL198"/>
  <c r="AV199"/>
  <c r="DB207"/>
  <c r="S209"/>
  <c r="N216"/>
  <c r="P216" s="1"/>
  <c r="IQ257"/>
  <c r="N415"/>
  <c r="P415" s="1"/>
  <c r="D84" i="74"/>
  <c r="L84"/>
  <c r="G84"/>
  <c r="D88"/>
  <c r="H88"/>
  <c r="D86" i="73"/>
  <c r="M86"/>
  <c r="I86"/>
  <c r="D84" i="72"/>
  <c r="I84"/>
  <c r="E84"/>
  <c r="D88"/>
  <c r="E88"/>
  <c r="G88"/>
  <c r="D86" i="71"/>
  <c r="L86"/>
  <c r="F86"/>
  <c r="H86"/>
  <c r="D84" i="70"/>
  <c r="E84"/>
  <c r="G84"/>
  <c r="D88"/>
  <c r="L88"/>
  <c r="E88"/>
  <c r="D86" i="69"/>
  <c r="G86"/>
  <c r="H88" i="65"/>
  <c r="I88"/>
  <c r="J88"/>
  <c r="E112" i="68"/>
  <c r="J112"/>
  <c r="I103" i="74"/>
  <c r="J103"/>
  <c r="L103"/>
  <c r="D103"/>
  <c r="F107"/>
  <c r="J107"/>
  <c r="H115"/>
  <c r="F115"/>
  <c r="J115"/>
  <c r="H102" i="73"/>
  <c r="F102"/>
  <c r="E106"/>
  <c r="F106"/>
  <c r="E110"/>
  <c r="M110"/>
  <c r="G110"/>
  <c r="E114"/>
  <c r="G114"/>
  <c r="M114"/>
  <c r="E101" i="72"/>
  <c r="G101"/>
  <c r="E105"/>
  <c r="L105"/>
  <c r="F105"/>
  <c r="D109"/>
  <c r="K109"/>
  <c r="D117"/>
  <c r="E117"/>
  <c r="D104" i="71"/>
  <c r="E104"/>
  <c r="G112"/>
  <c r="D112"/>
  <c r="L112"/>
  <c r="J116"/>
  <c r="K116"/>
  <c r="D116"/>
  <c r="I103" i="70"/>
  <c r="D103"/>
  <c r="F103"/>
  <c r="F107"/>
  <c r="J107"/>
  <c r="G111"/>
  <c r="J111"/>
  <c r="H115"/>
  <c r="J115"/>
  <c r="E110" i="69"/>
  <c r="G110"/>
  <c r="M110"/>
  <c r="E114"/>
  <c r="M114"/>
  <c r="M101" i="65"/>
  <c r="I101"/>
  <c r="E101"/>
  <c r="J117"/>
  <c r="L117"/>
  <c r="D117"/>
  <c r="M140" i="68"/>
  <c r="E140"/>
  <c r="H140"/>
  <c r="D129" i="72"/>
  <c r="G129"/>
  <c r="M133"/>
  <c r="D133"/>
  <c r="D137"/>
  <c r="F137"/>
  <c r="J136" i="71"/>
  <c r="G136"/>
  <c r="G140"/>
  <c r="M140"/>
  <c r="J135" i="70"/>
  <c r="L135"/>
  <c r="G139"/>
  <c r="K139"/>
  <c r="L139"/>
  <c r="D139"/>
  <c r="M138" i="69"/>
  <c r="D138"/>
  <c r="L129" i="65"/>
  <c r="G129"/>
  <c r="J137"/>
  <c r="G137"/>
  <c r="K141"/>
  <c r="D141"/>
  <c r="I157" i="68"/>
  <c r="F157"/>
  <c r="M157"/>
  <c r="J378"/>
  <c r="K378"/>
  <c r="E101" i="69"/>
  <c r="M101"/>
  <c r="D113"/>
  <c r="K113"/>
  <c r="I104" i="65"/>
  <c r="E104"/>
  <c r="M104"/>
  <c r="K170"/>
  <c r="L170"/>
  <c r="L233" i="74"/>
  <c r="E233"/>
  <c r="D155"/>
  <c r="F169" i="73"/>
  <c r="FG17" i="77"/>
  <c r="E110" i="70"/>
  <c r="L110"/>
  <c r="G109" i="69"/>
  <c r="F109"/>
  <c r="E117"/>
  <c r="L117"/>
  <c r="D108" i="65"/>
  <c r="L108"/>
  <c r="D112"/>
  <c r="K112"/>
  <c r="J136"/>
  <c r="D136"/>
  <c r="I174" i="74"/>
  <c r="K174"/>
  <c r="E176" i="69"/>
  <c r="M176"/>
  <c r="J180"/>
  <c r="K180"/>
  <c r="E174" i="65"/>
  <c r="I174"/>
  <c r="H167" i="74"/>
  <c r="J159" i="70"/>
  <c r="I358" i="65"/>
  <c r="L358" i="70"/>
  <c r="H358" i="72"/>
  <c r="I358" i="73"/>
  <c r="H359"/>
  <c r="F360" i="70"/>
  <c r="I360" i="71"/>
  <c r="G360" i="74"/>
  <c r="I361" i="65"/>
  <c r="G361" i="74"/>
  <c r="I369" i="65"/>
  <c r="H369" i="72"/>
  <c r="H370" i="65"/>
  <c r="I370" i="72"/>
  <c r="L378" i="68"/>
  <c r="I83" i="65"/>
  <c r="F83" i="69"/>
  <c r="H83" i="70"/>
  <c r="F83" i="72"/>
  <c r="H83" i="73"/>
  <c r="I83" i="74"/>
  <c r="F85" i="68"/>
  <c r="I85" i="69"/>
  <c r="H85" i="71"/>
  <c r="I85" i="72"/>
  <c r="F85" i="74"/>
  <c r="H112" i="65"/>
  <c r="H112" i="70"/>
  <c r="L112" i="74"/>
  <c r="G114" i="70"/>
  <c r="H114" i="74"/>
  <c r="G131" i="69"/>
  <c r="J131" i="73"/>
  <c r="F137" i="69"/>
  <c r="G137" i="73"/>
  <c r="G138" i="70"/>
  <c r="L138" i="72"/>
  <c r="H138" i="74"/>
  <c r="L162" i="69"/>
  <c r="G162" i="71"/>
  <c r="G162" i="74"/>
  <c r="H170" i="65"/>
  <c r="I170" i="68"/>
  <c r="H170" i="70"/>
  <c r="H170" i="73"/>
  <c r="F180"/>
  <c r="H180" i="74"/>
  <c r="G182" i="69"/>
  <c r="F182" i="71"/>
  <c r="I182" i="73"/>
  <c r="L183" i="74"/>
  <c r="I226" i="72"/>
  <c r="H227" i="71"/>
  <c r="G227" i="74"/>
  <c r="I228" i="69"/>
  <c r="H232" i="73"/>
  <c r="J233" i="68"/>
  <c r="M233" i="69"/>
  <c r="G233" i="71"/>
  <c r="G233" i="74"/>
  <c r="H235" i="65"/>
  <c r="G235" i="69"/>
  <c r="G235" i="72"/>
  <c r="H235" i="73"/>
  <c r="H104" i="65"/>
  <c r="J104" i="70"/>
  <c r="H104" i="72"/>
  <c r="J129" i="68"/>
  <c r="H129" i="73"/>
  <c r="I377" i="68"/>
  <c r="L377" i="69"/>
  <c r="L377" i="71"/>
  <c r="I381" i="65"/>
  <c r="L381" i="68"/>
  <c r="L381" i="71"/>
  <c r="K87" i="65"/>
  <c r="K87" i="68"/>
  <c r="H87" i="70"/>
  <c r="K87" i="71"/>
  <c r="H87" i="73"/>
  <c r="K87" i="74"/>
  <c r="G163" i="65"/>
  <c r="L163" i="74"/>
  <c r="F102" i="70"/>
  <c r="G102" i="74"/>
  <c r="F115" i="68"/>
  <c r="I115" i="69"/>
  <c r="G115" i="71"/>
  <c r="I165" i="73"/>
  <c r="F166" i="69"/>
  <c r="G166" i="73"/>
  <c r="I166" i="74"/>
  <c r="F176" i="70"/>
  <c r="F176" i="73"/>
  <c r="H133" i="68"/>
  <c r="I133" i="71"/>
  <c r="G133" i="73"/>
  <c r="H160" i="68"/>
  <c r="G160" i="70"/>
  <c r="I160" i="71"/>
  <c r="G154" i="69"/>
  <c r="J154" i="70"/>
  <c r="H154" i="72"/>
  <c r="K101" i="68"/>
  <c r="K101" i="71"/>
  <c r="I101" i="73"/>
  <c r="I155" i="65"/>
  <c r="L103" i="68"/>
  <c r="G103" i="71"/>
  <c r="L383" i="74"/>
  <c r="I109" i="68"/>
  <c r="L109" i="71"/>
  <c r="I109" i="73"/>
  <c r="I135"/>
  <c r="L139" i="68"/>
  <c r="I139" i="73"/>
  <c r="I190" i="65"/>
  <c r="L190" i="70"/>
  <c r="I190" i="73"/>
  <c r="I394" i="65"/>
  <c r="H141" i="68"/>
  <c r="H141" i="71"/>
  <c r="F141" i="73"/>
  <c r="F379" i="71"/>
  <c r="H379" i="73"/>
  <c r="F382" i="68"/>
  <c r="L382" i="71"/>
  <c r="F164"/>
  <c r="I164" i="72"/>
  <c r="L395" i="69"/>
  <c r="G354" i="71"/>
  <c r="H140" i="70"/>
  <c r="H140" i="72"/>
  <c r="J140" i="74"/>
  <c r="H159" i="70"/>
  <c r="I167" i="65"/>
  <c r="H282"/>
  <c r="AB231"/>
  <c r="J87" i="74"/>
  <c r="M85"/>
  <c r="L83"/>
  <c r="M85" i="73"/>
  <c r="K83"/>
  <c r="L85" i="72"/>
  <c r="K83"/>
  <c r="M87" i="71"/>
  <c r="L85"/>
  <c r="J87" i="70"/>
  <c r="M85"/>
  <c r="L87" i="69"/>
  <c r="M85"/>
  <c r="K83"/>
  <c r="M87" i="68"/>
  <c r="M85"/>
  <c r="K83"/>
  <c r="J87" i="65"/>
  <c r="M85"/>
  <c r="M83"/>
  <c r="K116" i="74"/>
  <c r="K114"/>
  <c r="M112"/>
  <c r="M110"/>
  <c r="K108"/>
  <c r="J106"/>
  <c r="K102"/>
  <c r="M117" i="73"/>
  <c r="K115"/>
  <c r="L113"/>
  <c r="J109"/>
  <c r="M107"/>
  <c r="J105"/>
  <c r="M103"/>
  <c r="M101"/>
  <c r="L114" i="72"/>
  <c r="M112"/>
  <c r="K110"/>
  <c r="L108"/>
  <c r="K104"/>
  <c r="M102"/>
  <c r="K115" i="71"/>
  <c r="M113"/>
  <c r="K109"/>
  <c r="M107"/>
  <c r="E107"/>
  <c r="M103"/>
  <c r="E103"/>
  <c r="H116" i="70"/>
  <c r="L114"/>
  <c r="D114"/>
  <c r="M112"/>
  <c r="J110"/>
  <c r="K108"/>
  <c r="L106"/>
  <c r="E106"/>
  <c r="M102"/>
  <c r="E102"/>
  <c r="G117" i="69"/>
  <c r="H115"/>
  <c r="M113"/>
  <c r="E113"/>
  <c r="L111"/>
  <c r="J109"/>
  <c r="M105"/>
  <c r="E105"/>
  <c r="M103"/>
  <c r="H101"/>
  <c r="K117" i="68"/>
  <c r="M115"/>
  <c r="L113"/>
  <c r="D113"/>
  <c r="D111"/>
  <c r="M109"/>
  <c r="E109"/>
  <c r="J107"/>
  <c r="K103"/>
  <c r="E116" i="65"/>
  <c r="I112"/>
  <c r="K108"/>
  <c r="L104"/>
  <c r="L102"/>
  <c r="D102"/>
  <c r="F140" i="74"/>
  <c r="K138"/>
  <c r="K136"/>
  <c r="M134"/>
  <c r="K132"/>
  <c r="D132"/>
  <c r="E141" i="73"/>
  <c r="J137"/>
  <c r="L133"/>
  <c r="L129"/>
  <c r="J134" i="72"/>
  <c r="M141" i="71"/>
  <c r="E141"/>
  <c r="J139"/>
  <c r="I137"/>
  <c r="J135"/>
  <c r="E131"/>
  <c r="M134" i="70"/>
  <c r="G130"/>
  <c r="E133" i="69"/>
  <c r="J139" i="68"/>
  <c r="K131"/>
  <c r="L136" i="65"/>
  <c r="E190" i="74"/>
  <c r="H182"/>
  <c r="L178"/>
  <c r="F172"/>
  <c r="M174" i="73"/>
  <c r="J170"/>
  <c r="E186" i="71"/>
  <c r="F160" i="68"/>
  <c r="F184" i="65"/>
  <c r="M235" i="72"/>
  <c r="I235" i="68"/>
  <c r="G369" i="74"/>
  <c r="D101" i="68"/>
  <c r="J101"/>
  <c r="D105"/>
  <c r="J105"/>
  <c r="E101" i="71"/>
  <c r="L101"/>
  <c r="F105"/>
  <c r="L105"/>
  <c r="F104" i="70"/>
  <c r="M104"/>
  <c r="E112"/>
  <c r="K112"/>
  <c r="E103" i="69"/>
  <c r="K103"/>
  <c r="D107"/>
  <c r="K107"/>
  <c r="G111"/>
  <c r="M111"/>
  <c r="F106" i="65"/>
  <c r="L106"/>
  <c r="G110"/>
  <c r="M110"/>
  <c r="E114"/>
  <c r="L114"/>
  <c r="F129" i="68"/>
  <c r="K129"/>
  <c r="F133"/>
  <c r="K133"/>
  <c r="I137"/>
  <c r="K137"/>
  <c r="G141"/>
  <c r="J141"/>
  <c r="D131" i="73"/>
  <c r="K131"/>
  <c r="D135"/>
  <c r="J135"/>
  <c r="E139"/>
  <c r="K139"/>
  <c r="G130" i="72"/>
  <c r="M130"/>
  <c r="D138"/>
  <c r="J138"/>
  <c r="E129" i="71"/>
  <c r="D129"/>
  <c r="L129"/>
  <c r="F133"/>
  <c r="M133"/>
  <c r="H132" i="70"/>
  <c r="E132"/>
  <c r="L132"/>
  <c r="J136"/>
  <c r="K136"/>
  <c r="G140"/>
  <c r="E140"/>
  <c r="M140"/>
  <c r="E131" i="69"/>
  <c r="K131"/>
  <c r="E135"/>
  <c r="G135"/>
  <c r="E139"/>
  <c r="F139"/>
  <c r="G130" i="65"/>
  <c r="K130"/>
  <c r="F134"/>
  <c r="D134"/>
  <c r="L134"/>
  <c r="F138"/>
  <c r="J138"/>
  <c r="E156" i="74"/>
  <c r="J156"/>
  <c r="F160"/>
  <c r="D160"/>
  <c r="D164"/>
  <c r="M164"/>
  <c r="F168"/>
  <c r="E168"/>
  <c r="H176"/>
  <c r="E176"/>
  <c r="G180"/>
  <c r="K180"/>
  <c r="F184"/>
  <c r="K184"/>
  <c r="G188"/>
  <c r="J188"/>
  <c r="I154" i="73"/>
  <c r="M154"/>
  <c r="G158"/>
  <c r="J158"/>
  <c r="J166"/>
  <c r="L166"/>
  <c r="J178"/>
  <c r="L178"/>
  <c r="H182"/>
  <c r="D182"/>
  <c r="H186"/>
  <c r="K186"/>
  <c r="D190"/>
  <c r="F190"/>
  <c r="D156" i="72"/>
  <c r="I156"/>
  <c r="M160"/>
  <c r="E160"/>
  <c r="K176"/>
  <c r="D176"/>
  <c r="J180"/>
  <c r="L180"/>
  <c r="E184"/>
  <c r="J184"/>
  <c r="L174" i="71"/>
  <c r="D174"/>
  <c r="G180" i="70"/>
  <c r="J180"/>
  <c r="M229" i="68"/>
  <c r="D229"/>
  <c r="M229" i="73"/>
  <c r="L229"/>
  <c r="E227" i="65"/>
  <c r="J227"/>
  <c r="D360" i="73"/>
  <c r="M360"/>
  <c r="D369" i="70"/>
  <c r="M369"/>
  <c r="M177" i="73"/>
  <c r="F163" i="65"/>
  <c r="AQ31" i="77"/>
  <c r="AR31" s="1"/>
  <c r="AV254"/>
  <c r="FH257"/>
  <c r="HN270"/>
  <c r="HI271"/>
  <c r="S273"/>
  <c r="GK288"/>
  <c r="DB290"/>
  <c r="Q291"/>
  <c r="HN294"/>
  <c r="N314"/>
  <c r="FH337"/>
  <c r="GK369"/>
  <c r="R371"/>
  <c r="IQ415"/>
  <c r="AQ421"/>
  <c r="EE431"/>
  <c r="S434"/>
  <c r="EE435"/>
  <c r="S436"/>
  <c r="GK436"/>
  <c r="IQ439"/>
  <c r="GF139"/>
  <c r="GH139" s="1"/>
  <c r="FC153"/>
  <c r="HI154"/>
  <c r="ED156"/>
  <c r="N176"/>
  <c r="O176" s="1"/>
  <c r="IL184"/>
  <c r="IM184" s="1"/>
  <c r="GJ195"/>
  <c r="N218"/>
  <c r="EE220"/>
  <c r="I346" i="68"/>
  <c r="BW18" i="77"/>
  <c r="S28"/>
  <c r="FH30"/>
  <c r="S32"/>
  <c r="GK32"/>
  <c r="S33"/>
  <c r="FH36"/>
  <c r="IQ40"/>
  <c r="IQ57"/>
  <c r="S71"/>
  <c r="AQ81"/>
  <c r="AS81" s="1"/>
  <c r="GJ143"/>
  <c r="R145"/>
  <c r="BT149"/>
  <c r="BV149" s="1"/>
  <c r="R150"/>
  <c r="AU150"/>
  <c r="CW153"/>
  <c r="N157"/>
  <c r="HM161"/>
  <c r="AU162"/>
  <c r="FC168"/>
  <c r="S169"/>
  <c r="FC185"/>
  <c r="FE185" s="1"/>
  <c r="AQ186"/>
  <c r="AS186" s="1"/>
  <c r="BX189"/>
  <c r="FG189"/>
  <c r="S204"/>
  <c r="HN229"/>
  <c r="S236"/>
  <c r="IQ236"/>
  <c r="GK264"/>
  <c r="BY277"/>
  <c r="FH279"/>
  <c r="BY348"/>
  <c r="FH353"/>
  <c r="IQ353"/>
  <c r="S354"/>
  <c r="IQ384"/>
  <c r="AV385"/>
  <c r="BY394"/>
  <c r="Q411"/>
  <c r="AQ411"/>
  <c r="AR411" s="1"/>
  <c r="IP411"/>
  <c r="HN414"/>
  <c r="GK417"/>
  <c r="IQ417"/>
  <c r="IQ421"/>
  <c r="AV422"/>
  <c r="IQ423"/>
  <c r="IQ434"/>
  <c r="GK435"/>
  <c r="HN436"/>
  <c r="S437"/>
  <c r="GK437"/>
  <c r="S439"/>
  <c r="FH439"/>
  <c r="GF441"/>
  <c r="GH441" s="1"/>
  <c r="IQ91"/>
  <c r="HI153"/>
  <c r="FG165"/>
  <c r="IQ165"/>
  <c r="IL166"/>
  <c r="IM166" s="1"/>
  <c r="N171"/>
  <c r="Q192"/>
  <c r="Q196"/>
  <c r="S220"/>
  <c r="FH240"/>
  <c r="IQ248"/>
  <c r="FH252"/>
  <c r="HN266"/>
  <c r="S268"/>
  <c r="GK268"/>
  <c r="AV270"/>
  <c r="N281"/>
  <c r="AV285"/>
  <c r="IQ288"/>
  <c r="S289"/>
  <c r="AV292"/>
  <c r="S298"/>
  <c r="BY298"/>
  <c r="ED314"/>
  <c r="ED315"/>
  <c r="EE319"/>
  <c r="FH323"/>
  <c r="AV324"/>
  <c r="FH324"/>
  <c r="HI331"/>
  <c r="EE364"/>
  <c r="IP441"/>
  <c r="S442"/>
  <c r="GK442"/>
  <c r="S444"/>
  <c r="GK444"/>
  <c r="S449"/>
  <c r="FH449"/>
  <c r="FH457"/>
  <c r="K328" i="73"/>
  <c r="K328" i="69"/>
  <c r="F108" i="68"/>
  <c r="M108"/>
  <c r="F112"/>
  <c r="M112"/>
  <c r="H116"/>
  <c r="M116"/>
  <c r="E102" i="69"/>
  <c r="L102"/>
  <c r="D106"/>
  <c r="J106"/>
  <c r="D101" i="65"/>
  <c r="J101"/>
  <c r="D105"/>
  <c r="J105"/>
  <c r="D132" i="68"/>
  <c r="J132"/>
  <c r="G136"/>
  <c r="M136"/>
  <c r="D140"/>
  <c r="K140"/>
  <c r="E131" i="74"/>
  <c r="L131"/>
  <c r="E135"/>
  <c r="K135"/>
  <c r="E139"/>
  <c r="K139"/>
  <c r="E129" i="72"/>
  <c r="L129"/>
  <c r="E133"/>
  <c r="L133"/>
  <c r="E137"/>
  <c r="L137"/>
  <c r="E141"/>
  <c r="K141"/>
  <c r="E131" i="70"/>
  <c r="L131"/>
  <c r="F135"/>
  <c r="M135"/>
  <c r="E130" i="69"/>
  <c r="L130"/>
  <c r="E138"/>
  <c r="K138"/>
  <c r="D129" i="65"/>
  <c r="K129"/>
  <c r="F133"/>
  <c r="M133"/>
  <c r="D137"/>
  <c r="K137"/>
  <c r="G141"/>
  <c r="M141"/>
  <c r="D161" i="68"/>
  <c r="L161"/>
  <c r="E161"/>
  <c r="L165"/>
  <c r="J165"/>
  <c r="M173"/>
  <c r="E173"/>
  <c r="M181"/>
  <c r="E181"/>
  <c r="J189"/>
  <c r="G189"/>
  <c r="G155" i="74"/>
  <c r="E155"/>
  <c r="E159"/>
  <c r="I159"/>
  <c r="E163"/>
  <c r="J163"/>
  <c r="E167"/>
  <c r="F167"/>
  <c r="E171"/>
  <c r="J171"/>
  <c r="E175"/>
  <c r="D175"/>
  <c r="M175"/>
  <c r="E179"/>
  <c r="K179"/>
  <c r="D183"/>
  <c r="J183"/>
  <c r="G187"/>
  <c r="M187"/>
  <c r="I157" i="73"/>
  <c r="D157"/>
  <c r="K157"/>
  <c r="J157"/>
  <c r="I161"/>
  <c r="F161"/>
  <c r="E161"/>
  <c r="M161"/>
  <c r="J165"/>
  <c r="K165"/>
  <c r="J169"/>
  <c r="K169"/>
  <c r="J173"/>
  <c r="D173"/>
  <c r="L173"/>
  <c r="H177"/>
  <c r="K177"/>
  <c r="J181"/>
  <c r="E181"/>
  <c r="M181"/>
  <c r="J185"/>
  <c r="E185"/>
  <c r="M185"/>
  <c r="J189"/>
  <c r="E189"/>
  <c r="M189"/>
  <c r="G155" i="72"/>
  <c r="D155"/>
  <c r="L155"/>
  <c r="J155"/>
  <c r="I159"/>
  <c r="J159"/>
  <c r="G159"/>
  <c r="E159"/>
  <c r="E163"/>
  <c r="H163"/>
  <c r="M163"/>
  <c r="J163"/>
  <c r="H167"/>
  <c r="F167"/>
  <c r="E167"/>
  <c r="D167"/>
  <c r="L167"/>
  <c r="E171"/>
  <c r="D171"/>
  <c r="M171"/>
  <c r="J171"/>
  <c r="F171"/>
  <c r="E175"/>
  <c r="J175"/>
  <c r="D175"/>
  <c r="M175"/>
  <c r="E179"/>
  <c r="D179"/>
  <c r="L179"/>
  <c r="J179"/>
  <c r="E183"/>
  <c r="H183"/>
  <c r="M183"/>
  <c r="J183"/>
  <c r="E187"/>
  <c r="K187"/>
  <c r="D187"/>
  <c r="M187"/>
  <c r="F157" i="71"/>
  <c r="J157"/>
  <c r="D161"/>
  <c r="L161"/>
  <c r="F161"/>
  <c r="E161"/>
  <c r="H165"/>
  <c r="D165"/>
  <c r="K165"/>
  <c r="J165"/>
  <c r="J169"/>
  <c r="F169"/>
  <c r="E169"/>
  <c r="D169"/>
  <c r="M169"/>
  <c r="E173"/>
  <c r="G173"/>
  <c r="K173"/>
  <c r="J173"/>
  <c r="H177"/>
  <c r="E177"/>
  <c r="M177"/>
  <c r="D177"/>
  <c r="L177"/>
  <c r="E181"/>
  <c r="D181"/>
  <c r="M181"/>
  <c r="K181"/>
  <c r="J181"/>
  <c r="J185"/>
  <c r="D185"/>
  <c r="L185"/>
  <c r="H185"/>
  <c r="E185"/>
  <c r="E189"/>
  <c r="K189"/>
  <c r="D189"/>
  <c r="M189"/>
  <c r="G155" i="70"/>
  <c r="E155"/>
  <c r="M155"/>
  <c r="H163"/>
  <c r="J163"/>
  <c r="F163"/>
  <c r="J171"/>
  <c r="M171"/>
  <c r="L171"/>
  <c r="E171"/>
  <c r="D171"/>
  <c r="D175"/>
  <c r="M175"/>
  <c r="H179"/>
  <c r="J179"/>
  <c r="I183"/>
  <c r="D183"/>
  <c r="K183"/>
  <c r="E187"/>
  <c r="I187"/>
  <c r="M187"/>
  <c r="I157" i="69"/>
  <c r="K157"/>
  <c r="J157"/>
  <c r="J165"/>
  <c r="M165"/>
  <c r="H165"/>
  <c r="E165"/>
  <c r="M169"/>
  <c r="F169"/>
  <c r="J173"/>
  <c r="L173"/>
  <c r="K173"/>
  <c r="K177"/>
  <c r="H177"/>
  <c r="J181"/>
  <c r="M181"/>
  <c r="G181"/>
  <c r="E181"/>
  <c r="M185"/>
  <c r="H185"/>
  <c r="J189"/>
  <c r="L189"/>
  <c r="K189"/>
  <c r="D189"/>
  <c r="L171" i="65"/>
  <c r="K171"/>
  <c r="I175"/>
  <c r="G175"/>
  <c r="H179"/>
  <c r="L179"/>
  <c r="G179"/>
  <c r="E179"/>
  <c r="M183"/>
  <c r="D183"/>
  <c r="I187"/>
  <c r="K187"/>
  <c r="D187"/>
  <c r="L187"/>
  <c r="I234" i="74"/>
  <c r="M234"/>
  <c r="D224" i="73"/>
  <c r="F224"/>
  <c r="H236"/>
  <c r="F236"/>
  <c r="L232" i="69"/>
  <c r="F232"/>
  <c r="L222" i="65"/>
  <c r="K222"/>
  <c r="Y270"/>
  <c r="F270"/>
  <c r="Y278"/>
  <c r="L278"/>
  <c r="J361"/>
  <c r="M361"/>
  <c r="H103" i="68"/>
  <c r="M103"/>
  <c r="E107"/>
  <c r="L107"/>
  <c r="E111"/>
  <c r="L111"/>
  <c r="E115"/>
  <c r="L115"/>
  <c r="D101" i="69"/>
  <c r="J101"/>
  <c r="D105"/>
  <c r="J105"/>
  <c r="F108" i="65"/>
  <c r="M108"/>
  <c r="F112"/>
  <c r="M112"/>
  <c r="H116"/>
  <c r="M116"/>
  <c r="E135" i="68"/>
  <c r="K135"/>
  <c r="D130" i="74"/>
  <c r="K130"/>
  <c r="D134"/>
  <c r="J134"/>
  <c r="D138"/>
  <c r="J138"/>
  <c r="F129" i="73"/>
  <c r="M129"/>
  <c r="F133"/>
  <c r="M133"/>
  <c r="I137"/>
  <c r="M137"/>
  <c r="G141"/>
  <c r="M141"/>
  <c r="D132" i="72"/>
  <c r="J132"/>
  <c r="D136"/>
  <c r="K136"/>
  <c r="D140"/>
  <c r="K140"/>
  <c r="F131" i="71"/>
  <c r="M131"/>
  <c r="F135"/>
  <c r="M135"/>
  <c r="F139"/>
  <c r="M139"/>
  <c r="D130" i="70"/>
  <c r="K130"/>
  <c r="E134"/>
  <c r="L134"/>
  <c r="F138"/>
  <c r="M138"/>
  <c r="D129" i="69"/>
  <c r="K129"/>
  <c r="F133"/>
  <c r="M133"/>
  <c r="D137"/>
  <c r="K137"/>
  <c r="G141"/>
  <c r="M141"/>
  <c r="E132" i="65"/>
  <c r="K132"/>
  <c r="E140"/>
  <c r="L140"/>
  <c r="L156" i="68"/>
  <c r="K156"/>
  <c r="E156"/>
  <c r="H164"/>
  <c r="D164"/>
  <c r="M164"/>
  <c r="K168"/>
  <c r="J168"/>
  <c r="H172"/>
  <c r="F172"/>
  <c r="E172"/>
  <c r="K176"/>
  <c r="M176"/>
  <c r="D176"/>
  <c r="J180"/>
  <c r="G180"/>
  <c r="F184"/>
  <c r="M184"/>
  <c r="D184"/>
  <c r="H188"/>
  <c r="K188"/>
  <c r="J188"/>
  <c r="D154" i="74"/>
  <c r="K154"/>
  <c r="E158"/>
  <c r="L158"/>
  <c r="F162"/>
  <c r="M162"/>
  <c r="D166"/>
  <c r="K166"/>
  <c r="E170"/>
  <c r="L170"/>
  <c r="D178"/>
  <c r="K178"/>
  <c r="E186"/>
  <c r="K186"/>
  <c r="I156" i="73"/>
  <c r="E156"/>
  <c r="L156"/>
  <c r="D156"/>
  <c r="K156"/>
  <c r="F160"/>
  <c r="K160"/>
  <c r="J160"/>
  <c r="G164"/>
  <c r="D164"/>
  <c r="K164"/>
  <c r="F168"/>
  <c r="D168"/>
  <c r="L168"/>
  <c r="F172"/>
  <c r="E172"/>
  <c r="H176"/>
  <c r="D176"/>
  <c r="L176"/>
  <c r="G180"/>
  <c r="J180"/>
  <c r="D184"/>
  <c r="K184"/>
  <c r="D188"/>
  <c r="J188"/>
  <c r="E154" i="72"/>
  <c r="F154"/>
  <c r="M154"/>
  <c r="K154"/>
  <c r="G158"/>
  <c r="D158"/>
  <c r="L158"/>
  <c r="J158"/>
  <c r="E158"/>
  <c r="D162"/>
  <c r="K162"/>
  <c r="M162"/>
  <c r="I162"/>
  <c r="H166"/>
  <c r="K166"/>
  <c r="E166"/>
  <c r="D166"/>
  <c r="D170"/>
  <c r="G170"/>
  <c r="J170"/>
  <c r="E170"/>
  <c r="D174"/>
  <c r="E174"/>
  <c r="M174"/>
  <c r="L174"/>
  <c r="D178"/>
  <c r="F178"/>
  <c r="M178"/>
  <c r="L178"/>
  <c r="D182"/>
  <c r="J182"/>
  <c r="M182"/>
  <c r="L182"/>
  <c r="D186"/>
  <c r="E186"/>
  <c r="M186"/>
  <c r="K186"/>
  <c r="D190"/>
  <c r="G190"/>
  <c r="E190"/>
  <c r="M190"/>
  <c r="E156" i="71"/>
  <c r="D156"/>
  <c r="L156"/>
  <c r="M156"/>
  <c r="J156"/>
  <c r="F160"/>
  <c r="K160"/>
  <c r="E160"/>
  <c r="D160"/>
  <c r="D164"/>
  <c r="G164"/>
  <c r="H164"/>
  <c r="E164"/>
  <c r="F168"/>
  <c r="K168"/>
  <c r="E168"/>
  <c r="D168"/>
  <c r="D172"/>
  <c r="H172"/>
  <c r="L172"/>
  <c r="F172"/>
  <c r="H176"/>
  <c r="J176"/>
  <c r="D176"/>
  <c r="L176"/>
  <c r="D180"/>
  <c r="G180"/>
  <c r="L180"/>
  <c r="J180"/>
  <c r="F184"/>
  <c r="E184"/>
  <c r="J184"/>
  <c r="D184"/>
  <c r="D188"/>
  <c r="E188"/>
  <c r="M188"/>
  <c r="K188"/>
  <c r="M158" i="70"/>
  <c r="G158"/>
  <c r="E158"/>
  <c r="K162"/>
  <c r="J162"/>
  <c r="L166"/>
  <c r="J166"/>
  <c r="L170"/>
  <c r="J170"/>
  <c r="E174"/>
  <c r="M174"/>
  <c r="F174"/>
  <c r="J178"/>
  <c r="K178"/>
  <c r="D178"/>
  <c r="D182"/>
  <c r="H182"/>
  <c r="M182"/>
  <c r="K182"/>
  <c r="H186"/>
  <c r="J186"/>
  <c r="K186"/>
  <c r="F186"/>
  <c r="E190"/>
  <c r="F190"/>
  <c r="M190"/>
  <c r="J190"/>
  <c r="F156" i="69"/>
  <c r="E156"/>
  <c r="L160"/>
  <c r="E160"/>
  <c r="H164"/>
  <c r="J164"/>
  <c r="F168"/>
  <c r="J168"/>
  <c r="E172"/>
  <c r="D172"/>
  <c r="L172"/>
  <c r="J184"/>
  <c r="F184"/>
  <c r="J188"/>
  <c r="E188"/>
  <c r="K188"/>
  <c r="E154" i="65"/>
  <c r="F154"/>
  <c r="M158"/>
  <c r="L158"/>
  <c r="I162"/>
  <c r="J162"/>
  <c r="H166"/>
  <c r="E166"/>
  <c r="K178"/>
  <c r="J178"/>
  <c r="J182"/>
  <c r="H182"/>
  <c r="D186"/>
  <c r="K186"/>
  <c r="M190"/>
  <c r="E190"/>
  <c r="F227" i="68"/>
  <c r="D227"/>
  <c r="D231"/>
  <c r="G231"/>
  <c r="D225" i="74"/>
  <c r="E225"/>
  <c r="K229"/>
  <c r="F229"/>
  <c r="H237"/>
  <c r="D237"/>
  <c r="J225" i="72"/>
  <c r="E225"/>
  <c r="L233"/>
  <c r="D233"/>
  <c r="M237"/>
  <c r="J237"/>
  <c r="H231" i="71"/>
  <c r="G231"/>
  <c r="F225" i="70"/>
  <c r="I225"/>
  <c r="K229"/>
  <c r="H229"/>
  <c r="G237"/>
  <c r="D237"/>
  <c r="E223" i="69"/>
  <c r="L223"/>
  <c r="M88" i="70"/>
  <c r="H88"/>
  <c r="M84"/>
  <c r="I84"/>
  <c r="M86" i="69"/>
  <c r="H86"/>
  <c r="K86" i="68"/>
  <c r="D86"/>
  <c r="K88" i="65"/>
  <c r="D88"/>
  <c r="K84"/>
  <c r="D84"/>
  <c r="K115" i="74"/>
  <c r="D115"/>
  <c r="K111"/>
  <c r="D111"/>
  <c r="K107"/>
  <c r="D107"/>
  <c r="K103"/>
  <c r="E103"/>
  <c r="J114" i="73"/>
  <c r="J110"/>
  <c r="H106"/>
  <c r="K102"/>
  <c r="D102"/>
  <c r="M117" i="72"/>
  <c r="G117"/>
  <c r="M113"/>
  <c r="F113"/>
  <c r="M109"/>
  <c r="F109"/>
  <c r="M105"/>
  <c r="I105"/>
  <c r="H101"/>
  <c r="L116" i="71"/>
  <c r="E116"/>
  <c r="K112"/>
  <c r="E112"/>
  <c r="L108"/>
  <c r="E108"/>
  <c r="M104"/>
  <c r="F104"/>
  <c r="K115" i="70"/>
  <c r="D115"/>
  <c r="K111"/>
  <c r="D111"/>
  <c r="K107"/>
  <c r="D107"/>
  <c r="K103"/>
  <c r="E103"/>
  <c r="J114" i="69"/>
  <c r="J110"/>
  <c r="L106"/>
  <c r="E106"/>
  <c r="H102"/>
  <c r="J116" i="68"/>
  <c r="G112"/>
  <c r="J108"/>
  <c r="L104"/>
  <c r="D104"/>
  <c r="M117" i="65"/>
  <c r="E117"/>
  <c r="F113"/>
  <c r="J109"/>
  <c r="L105"/>
  <c r="E105"/>
  <c r="G101"/>
  <c r="M139" i="74"/>
  <c r="D139"/>
  <c r="M135"/>
  <c r="D135"/>
  <c r="M131"/>
  <c r="D131"/>
  <c r="M138" i="73"/>
  <c r="E138"/>
  <c r="F134"/>
  <c r="K130"/>
  <c r="G141" i="72"/>
  <c r="I137"/>
  <c r="F133"/>
  <c r="F129"/>
  <c r="F140" i="71"/>
  <c r="K136"/>
  <c r="K132"/>
  <c r="D132"/>
  <c r="M139" i="70"/>
  <c r="E139"/>
  <c r="K135"/>
  <c r="D135"/>
  <c r="K131"/>
  <c r="F138" i="69"/>
  <c r="L134"/>
  <c r="D134"/>
  <c r="J130"/>
  <c r="F140" i="68"/>
  <c r="L136"/>
  <c r="D136"/>
  <c r="H132"/>
  <c r="E141" i="65"/>
  <c r="L137"/>
  <c r="J133"/>
  <c r="M129"/>
  <c r="E129"/>
  <c r="K187" i="74"/>
  <c r="H183"/>
  <c r="J179"/>
  <c r="J175"/>
  <c r="K171"/>
  <c r="J167"/>
  <c r="F163"/>
  <c r="G159"/>
  <c r="H155"/>
  <c r="G189" i="73"/>
  <c r="H185"/>
  <c r="G181"/>
  <c r="E177"/>
  <c r="K173"/>
  <c r="L169"/>
  <c r="M165"/>
  <c r="D165"/>
  <c r="K161"/>
  <c r="L157"/>
  <c r="G187" i="72"/>
  <c r="D183"/>
  <c r="H179"/>
  <c r="K171"/>
  <c r="F163"/>
  <c r="D159"/>
  <c r="M185" i="71"/>
  <c r="F177"/>
  <c r="K169"/>
  <c r="M161"/>
  <c r="D157"/>
  <c r="E183" i="70"/>
  <c r="H167"/>
  <c r="L159"/>
  <c r="K185" i="68"/>
  <c r="E155" i="65"/>
  <c r="J88" i="74"/>
  <c r="J84"/>
  <c r="J86" i="73"/>
  <c r="J88" i="72"/>
  <c r="J84"/>
  <c r="J86" i="71"/>
  <c r="J88" i="70"/>
  <c r="J84"/>
  <c r="J86" i="69"/>
  <c r="L86" i="68"/>
  <c r="E86"/>
  <c r="L88" i="65"/>
  <c r="E88"/>
  <c r="L84"/>
  <c r="E84"/>
  <c r="L115" i="74"/>
  <c r="E115"/>
  <c r="L111"/>
  <c r="E111"/>
  <c r="L107"/>
  <c r="E107"/>
  <c r="M103"/>
  <c r="H103"/>
  <c r="K114" i="73"/>
  <c r="D114"/>
  <c r="K110"/>
  <c r="D110"/>
  <c r="J106"/>
  <c r="D106"/>
  <c r="L102"/>
  <c r="E102"/>
  <c r="J117" i="72"/>
  <c r="J113"/>
  <c r="G109"/>
  <c r="J105"/>
  <c r="D105"/>
  <c r="J101"/>
  <c r="D101"/>
  <c r="M116" i="71"/>
  <c r="H116"/>
  <c r="M112"/>
  <c r="F112"/>
  <c r="M108"/>
  <c r="F108"/>
  <c r="I104"/>
  <c r="L115" i="70"/>
  <c r="E115"/>
  <c r="L111"/>
  <c r="E111"/>
  <c r="L107"/>
  <c r="E107"/>
  <c r="M103"/>
  <c r="H103"/>
  <c r="K114" i="69"/>
  <c r="D114"/>
  <c r="K110"/>
  <c r="D110"/>
  <c r="F106"/>
  <c r="J102"/>
  <c r="K116" i="68"/>
  <c r="I112"/>
  <c r="K108"/>
  <c r="M104"/>
  <c r="E104"/>
  <c r="G117" i="65"/>
  <c r="K113"/>
  <c r="K109"/>
  <c r="D109"/>
  <c r="M105"/>
  <c r="F105"/>
  <c r="H101"/>
  <c r="F139" i="74"/>
  <c r="F135"/>
  <c r="F131"/>
  <c r="F138" i="73"/>
  <c r="J134"/>
  <c r="L130"/>
  <c r="D130"/>
  <c r="I141" i="72"/>
  <c r="J137"/>
  <c r="J133"/>
  <c r="I129"/>
  <c r="K140" i="71"/>
  <c r="L136"/>
  <c r="D136"/>
  <c r="L132"/>
  <c r="E132"/>
  <c r="F139" i="70"/>
  <c r="E135"/>
  <c r="M131"/>
  <c r="D131"/>
  <c r="I138" i="69"/>
  <c r="M134"/>
  <c r="E134"/>
  <c r="K130"/>
  <c r="M129"/>
  <c r="E129"/>
  <c r="G140" i="68"/>
  <c r="K139"/>
  <c r="D139"/>
  <c r="E136"/>
  <c r="G135"/>
  <c r="K132"/>
  <c r="M131"/>
  <c r="E131"/>
  <c r="I141" i="65"/>
  <c r="K140"/>
  <c r="M137"/>
  <c r="E137"/>
  <c r="G136"/>
  <c r="K133"/>
  <c r="L132"/>
  <c r="D132"/>
  <c r="F129"/>
  <c r="J190" i="74"/>
  <c r="L187"/>
  <c r="D187"/>
  <c r="F186"/>
  <c r="I183"/>
  <c r="L182"/>
  <c r="D182"/>
  <c r="L179"/>
  <c r="D179"/>
  <c r="F178"/>
  <c r="M174"/>
  <c r="E174"/>
  <c r="M171"/>
  <c r="M170"/>
  <c r="D170"/>
  <c r="L167"/>
  <c r="M166"/>
  <c r="E166"/>
  <c r="H163"/>
  <c r="J162"/>
  <c r="J159"/>
  <c r="K158"/>
  <c r="J155"/>
  <c r="L154"/>
  <c r="K189" i="73"/>
  <c r="K188"/>
  <c r="K185"/>
  <c r="L184"/>
  <c r="K181"/>
  <c r="K180"/>
  <c r="F177"/>
  <c r="J176"/>
  <c r="M173"/>
  <c r="L172"/>
  <c r="M169"/>
  <c r="D169"/>
  <c r="E165"/>
  <c r="E164"/>
  <c r="L161"/>
  <c r="E160"/>
  <c r="J156"/>
  <c r="I187" i="72"/>
  <c r="I183"/>
  <c r="E178"/>
  <c r="I174"/>
  <c r="J167"/>
  <c r="E162"/>
  <c r="K159"/>
  <c r="I154"/>
  <c r="G189" i="71"/>
  <c r="K184"/>
  <c r="M180"/>
  <c r="K177"/>
  <c r="M172"/>
  <c r="L169"/>
  <c r="I157"/>
  <c r="G190" i="70"/>
  <c r="M186"/>
  <c r="J183"/>
  <c r="L174"/>
  <c r="E170"/>
  <c r="D188" i="69"/>
  <c r="L185" i="68"/>
  <c r="G181"/>
  <c r="J169"/>
  <c r="D229" i="72"/>
  <c r="M270" i="65"/>
  <c r="F103" i="74"/>
  <c r="I109" i="65"/>
  <c r="H109" i="72"/>
  <c r="H135" i="70"/>
  <c r="L135" i="74"/>
  <c r="I139"/>
  <c r="F189" i="71"/>
  <c r="I189" i="73"/>
  <c r="L141" i="65"/>
  <c r="F141" i="72"/>
  <c r="I140" i="68"/>
  <c r="F159" i="70"/>
  <c r="M159" i="72"/>
  <c r="F159" i="74"/>
  <c r="M167" i="65"/>
  <c r="I167" i="72"/>
  <c r="J187" i="65"/>
  <c r="J187" i="70"/>
  <c r="H187" i="72"/>
  <c r="K88" i="74"/>
  <c r="K84"/>
  <c r="K86" i="73"/>
  <c r="K88" i="72"/>
  <c r="K84"/>
  <c r="K86" i="71"/>
  <c r="K88" i="70"/>
  <c r="K84"/>
  <c r="K86" i="69"/>
  <c r="M86" i="68"/>
  <c r="M88" i="65"/>
  <c r="M84"/>
  <c r="M115" i="74"/>
  <c r="M111"/>
  <c r="M107"/>
  <c r="L114" i="73"/>
  <c r="L110"/>
  <c r="K106"/>
  <c r="M102"/>
  <c r="K117" i="72"/>
  <c r="K113"/>
  <c r="J109"/>
  <c r="K105"/>
  <c r="L101"/>
  <c r="K104" i="71"/>
  <c r="M115" i="70"/>
  <c r="M111"/>
  <c r="M107"/>
  <c r="L114" i="69"/>
  <c r="L110"/>
  <c r="H106"/>
  <c r="K102"/>
  <c r="L116" i="68"/>
  <c r="D116"/>
  <c r="K112"/>
  <c r="D112"/>
  <c r="L108"/>
  <c r="D108"/>
  <c r="F104"/>
  <c r="K117" i="65"/>
  <c r="L113"/>
  <c r="D113"/>
  <c r="M109"/>
  <c r="E109"/>
  <c r="I105"/>
  <c r="L101"/>
  <c r="G139" i="74"/>
  <c r="G135"/>
  <c r="I131"/>
  <c r="L130"/>
  <c r="J141" i="73"/>
  <c r="J138"/>
  <c r="L137"/>
  <c r="D137"/>
  <c r="L134"/>
  <c r="D134"/>
  <c r="E133"/>
  <c r="M130"/>
  <c r="E130"/>
  <c r="I129"/>
  <c r="J141" i="72"/>
  <c r="M140"/>
  <c r="E140"/>
  <c r="K137"/>
  <c r="M136"/>
  <c r="E136"/>
  <c r="K133"/>
  <c r="L132"/>
  <c r="E132"/>
  <c r="K129"/>
  <c r="L140" i="71"/>
  <c r="D140"/>
  <c r="E139"/>
  <c r="M136"/>
  <c r="E136"/>
  <c r="G135"/>
  <c r="F132"/>
  <c r="K131"/>
  <c r="J139" i="70"/>
  <c r="K138"/>
  <c r="D138"/>
  <c r="G135"/>
  <c r="J134"/>
  <c r="F131"/>
  <c r="J130"/>
  <c r="I141" i="69"/>
  <c r="J138"/>
  <c r="M137"/>
  <c r="E137"/>
  <c r="F134"/>
  <c r="K133"/>
  <c r="M130"/>
  <c r="D130"/>
  <c r="F129"/>
  <c r="L140" i="68"/>
  <c r="M139"/>
  <c r="E139"/>
  <c r="J136"/>
  <c r="J135"/>
  <c r="L132"/>
  <c r="E132"/>
  <c r="F131"/>
  <c r="J141" i="65"/>
  <c r="M140"/>
  <c r="D140"/>
  <c r="I137"/>
  <c r="K136"/>
  <c r="L133"/>
  <c r="D133"/>
  <c r="F132"/>
  <c r="I129"/>
  <c r="K190" i="74"/>
  <c r="D190"/>
  <c r="E187"/>
  <c r="H186"/>
  <c r="K183"/>
  <c r="M182"/>
  <c r="E182"/>
  <c r="G179"/>
  <c r="J178"/>
  <c r="G175"/>
  <c r="F174"/>
  <c r="D171"/>
  <c r="G170"/>
  <c r="D167"/>
  <c r="H166"/>
  <c r="M163"/>
  <c r="K162"/>
  <c r="D162"/>
  <c r="L159"/>
  <c r="M158"/>
  <c r="D158"/>
  <c r="L155"/>
  <c r="M154"/>
  <c r="E154"/>
  <c r="L189" i="73"/>
  <c r="M188"/>
  <c r="E188"/>
  <c r="L185"/>
  <c r="M184"/>
  <c r="E184"/>
  <c r="L181"/>
  <c r="L180"/>
  <c r="L177"/>
  <c r="K176"/>
  <c r="E173"/>
  <c r="D172"/>
  <c r="E169"/>
  <c r="E168"/>
  <c r="H165"/>
  <c r="H164"/>
  <c r="L160"/>
  <c r="E157"/>
  <c r="F190" i="72"/>
  <c r="F186"/>
  <c r="E182"/>
  <c r="J178"/>
  <c r="G175"/>
  <c r="L170"/>
  <c r="K167"/>
  <c r="F162"/>
  <c r="L159"/>
  <c r="E155"/>
  <c r="J189" i="71"/>
  <c r="L184"/>
  <c r="G181"/>
  <c r="E176"/>
  <c r="D173"/>
  <c r="J168"/>
  <c r="K164"/>
  <c r="J160"/>
  <c r="F156"/>
  <c r="G187" i="70"/>
  <c r="L178"/>
  <c r="J175"/>
  <c r="F154"/>
  <c r="D185" i="69"/>
  <c r="L176"/>
  <c r="D173"/>
  <c r="M160"/>
  <c r="L156"/>
  <c r="K177" i="68"/>
  <c r="E164"/>
  <c r="H183" i="65"/>
  <c r="F167"/>
  <c r="M235" i="71"/>
  <c r="AU15" i="77"/>
  <c r="AU17"/>
  <c r="HN22"/>
  <c r="DB26"/>
  <c r="HN28"/>
  <c r="AV30"/>
  <c r="HN32"/>
  <c r="S36"/>
  <c r="AV38"/>
  <c r="AV40"/>
  <c r="FH42"/>
  <c r="IO51"/>
  <c r="HN61"/>
  <c r="BY63"/>
  <c r="HN78"/>
  <c r="GF81"/>
  <c r="GH81" s="1"/>
  <c r="S83"/>
  <c r="FF301"/>
  <c r="FG313"/>
  <c r="IP314"/>
  <c r="Q315"/>
  <c r="FG315"/>
  <c r="HM316"/>
  <c r="FG318"/>
  <c r="FG319"/>
  <c r="BT321"/>
  <c r="BV321" s="1"/>
  <c r="HN324"/>
  <c r="FH325"/>
  <c r="IQ325"/>
  <c r="DB326"/>
  <c r="HN326"/>
  <c r="FH335"/>
  <c r="S337"/>
  <c r="EE338"/>
  <c r="IQ339"/>
  <c r="AT341"/>
  <c r="CZ341"/>
  <c r="EE347"/>
  <c r="DB348"/>
  <c r="GK353"/>
  <c r="BY357"/>
  <c r="S358"/>
  <c r="AV358"/>
  <c r="S359"/>
  <c r="S360"/>
  <c r="DB372"/>
  <c r="FH377"/>
  <c r="S378"/>
  <c r="IO401"/>
  <c r="S405"/>
  <c r="HN407"/>
  <c r="GK409"/>
  <c r="FC411"/>
  <c r="FD411" s="1"/>
  <c r="FH420"/>
  <c r="HN422"/>
  <c r="IQ425"/>
  <c r="BY436"/>
  <c r="GK439"/>
  <c r="BY443"/>
  <c r="FH443"/>
  <c r="D320" i="65"/>
  <c r="J320"/>
  <c r="I328"/>
  <c r="F328" i="68"/>
  <c r="G346"/>
  <c r="M346"/>
  <c r="G328" i="69"/>
  <c r="G346"/>
  <c r="L346"/>
  <c r="D320" i="70"/>
  <c r="I320"/>
  <c r="E328"/>
  <c r="L328" i="71"/>
  <c r="D320" i="72"/>
  <c r="L320"/>
  <c r="G328" i="73"/>
  <c r="M307" i="74"/>
  <c r="J328"/>
  <c r="ED15" i="77"/>
  <c r="DA17"/>
  <c r="GK18"/>
  <c r="AU21"/>
  <c r="IQ22"/>
  <c r="EE23"/>
  <c r="GK31"/>
  <c r="IQ32"/>
  <c r="BT41"/>
  <c r="BU41" s="1"/>
  <c r="FF41"/>
  <c r="AV51"/>
  <c r="EE61"/>
  <c r="IQ61"/>
  <c r="DB70"/>
  <c r="BX71"/>
  <c r="IQ98"/>
  <c r="GF103"/>
  <c r="GH103" s="1"/>
  <c r="FG106"/>
  <c r="Q116"/>
  <c r="DA116"/>
  <c r="FG117"/>
  <c r="Q120"/>
  <c r="DA120"/>
  <c r="FG121"/>
  <c r="Q124"/>
  <c r="Q129"/>
  <c r="FH130"/>
  <c r="DA132"/>
  <c r="Q133"/>
  <c r="IP133"/>
  <c r="GF135"/>
  <c r="GH135" s="1"/>
  <c r="BT139"/>
  <c r="BV139" s="1"/>
  <c r="GJ145"/>
  <c r="IQ146"/>
  <c r="FC150"/>
  <c r="IL150"/>
  <c r="R151"/>
  <c r="AQ154"/>
  <c r="IL154"/>
  <c r="BX155"/>
  <c r="HM155"/>
  <c r="R156"/>
  <c r="HL156"/>
  <c r="GJ157"/>
  <c r="BT158"/>
  <c r="FH158"/>
  <c r="DZ162"/>
  <c r="EA162" s="1"/>
  <c r="GF166"/>
  <c r="GG166" s="1"/>
  <c r="AQ168"/>
  <c r="N174"/>
  <c r="DB177"/>
  <c r="N182"/>
  <c r="O182" s="1"/>
  <c r="FH184"/>
  <c r="DA186"/>
  <c r="GF189"/>
  <c r="FC190"/>
  <c r="HM192"/>
  <c r="N194"/>
  <c r="AV197"/>
  <c r="FC198"/>
  <c r="S200"/>
  <c r="GK209"/>
  <c r="HN215"/>
  <c r="AV218"/>
  <c r="R219"/>
  <c r="IL221"/>
  <c r="IN221" s="1"/>
  <c r="FH223"/>
  <c r="FH225"/>
  <c r="EE232"/>
  <c r="HN234"/>
  <c r="BY236"/>
  <c r="GK238"/>
  <c r="S241"/>
  <c r="EE247"/>
  <c r="HN252"/>
  <c r="FH262"/>
  <c r="IQ273"/>
  <c r="EE277"/>
  <c r="GK277"/>
  <c r="FH280"/>
  <c r="Q281"/>
  <c r="IP281"/>
  <c r="S282"/>
  <c r="GK282"/>
  <c r="IQ294"/>
  <c r="GK301"/>
  <c r="FH304"/>
  <c r="HN304"/>
  <c r="IQ309"/>
  <c r="S310"/>
  <c r="IL311"/>
  <c r="GK315"/>
  <c r="IL315"/>
  <c r="BX316"/>
  <c r="IQ318"/>
  <c r="EE327"/>
  <c r="FH328"/>
  <c r="GK354"/>
  <c r="BY358"/>
  <c r="S364"/>
  <c r="GK382"/>
  <c r="FH394"/>
  <c r="GK395"/>
  <c r="BY401"/>
  <c r="IP412"/>
  <c r="AV420"/>
  <c r="S423"/>
  <c r="GK423"/>
  <c r="IQ429"/>
  <c r="FH434"/>
  <c r="HN435"/>
  <c r="HN437"/>
  <c r="HN442"/>
  <c r="HN444"/>
  <c r="S455"/>
  <c r="IQ462"/>
  <c r="K298" i="65"/>
  <c r="H320"/>
  <c r="E328"/>
  <c r="J298" i="68"/>
  <c r="F346"/>
  <c r="K346"/>
  <c r="M298" i="69"/>
  <c r="F346"/>
  <c r="K346"/>
  <c r="M307" i="70"/>
  <c r="H320"/>
  <c r="M320"/>
  <c r="H328" i="71"/>
  <c r="M307" i="72"/>
  <c r="K320"/>
  <c r="L328"/>
  <c r="I307" i="74"/>
  <c r="R11" i="77"/>
  <c r="BT13"/>
  <c r="BU13" s="1"/>
  <c r="FH13"/>
  <c r="N14"/>
  <c r="O14" s="1"/>
  <c r="CW14"/>
  <c r="CX14" s="1"/>
  <c r="CZ15"/>
  <c r="FG21"/>
  <c r="FH23"/>
  <c r="IQ28"/>
  <c r="HI31"/>
  <c r="HJ31" s="1"/>
  <c r="FH32"/>
  <c r="GK41"/>
  <c r="GF61"/>
  <c r="GH61" s="1"/>
  <c r="HI61"/>
  <c r="HK61" s="1"/>
  <c r="BY62"/>
  <c r="IL81"/>
  <c r="IN81" s="1"/>
  <c r="BY87"/>
  <c r="AV93"/>
  <c r="S94"/>
  <c r="IQ94"/>
  <c r="BY98"/>
  <c r="FH98"/>
  <c r="S100"/>
  <c r="AQ100"/>
  <c r="AS100" s="1"/>
  <c r="DZ100"/>
  <c r="EB100" s="1"/>
  <c r="HI100"/>
  <c r="HK100" s="1"/>
  <c r="S104"/>
  <c r="HM108"/>
  <c r="GJ140"/>
  <c r="IL140"/>
  <c r="IN140" s="1"/>
  <c r="GK146"/>
  <c r="IQ147"/>
  <c r="Q148"/>
  <c r="GF150"/>
  <c r="HM157"/>
  <c r="Q158"/>
  <c r="FC158"/>
  <c r="HI158"/>
  <c r="DA165"/>
  <c r="IL168"/>
  <c r="HN181"/>
  <c r="GK185"/>
  <c r="GK189"/>
  <c r="GF190"/>
  <c r="Q193"/>
  <c r="HM197"/>
  <c r="GF198"/>
  <c r="N219"/>
  <c r="P219" s="1"/>
  <c r="GK227"/>
  <c r="GK229"/>
  <c r="GK240"/>
  <c r="S244"/>
  <c r="AV245"/>
  <c r="GK257"/>
  <c r="HN259"/>
  <c r="HN279"/>
  <c r="FG281"/>
  <c r="BY282"/>
  <c r="IQ282"/>
  <c r="BY284"/>
  <c r="FH284"/>
  <c r="HN284"/>
  <c r="FH285"/>
  <c r="HN296"/>
  <c r="HN306"/>
  <c r="S309"/>
  <c r="FH311"/>
  <c r="IQ312"/>
  <c r="R313"/>
  <c r="AQ319"/>
  <c r="AR319" s="1"/>
  <c r="DA321"/>
  <c r="AQ331"/>
  <c r="EE342"/>
  <c r="BY343"/>
  <c r="IQ343"/>
  <c r="AV345"/>
  <c r="HN352"/>
  <c r="EE353"/>
  <c r="HN354"/>
  <c r="HN357"/>
  <c r="IQ358"/>
  <c r="GK359"/>
  <c r="DB364"/>
  <c r="GK364"/>
  <c r="IQ378"/>
  <c r="DB380"/>
  <c r="S389"/>
  <c r="HN395"/>
  <c r="EC411"/>
  <c r="AV414"/>
  <c r="HM421"/>
  <c r="FH422"/>
  <c r="IQ426"/>
  <c r="GK429"/>
  <c r="S431"/>
  <c r="GK434"/>
  <c r="BY437"/>
  <c r="BY442"/>
  <c r="BY444"/>
  <c r="G320" i="65"/>
  <c r="L320"/>
  <c r="E346" i="68"/>
  <c r="J346"/>
  <c r="I298" i="69"/>
  <c r="D346"/>
  <c r="J346"/>
  <c r="I307" i="70"/>
  <c r="G320"/>
  <c r="L320"/>
  <c r="I307" i="72"/>
  <c r="H320"/>
  <c r="H328"/>
  <c r="K320" i="74"/>
  <c r="GK89" i="77"/>
  <c r="FH94"/>
  <c r="IL100"/>
  <c r="IN100" s="1"/>
  <c r="S101"/>
  <c r="DA142"/>
  <c r="FG142"/>
  <c r="HI142"/>
  <c r="S149"/>
  <c r="GF154"/>
  <c r="DZ156"/>
  <c r="IO156"/>
  <c r="GF162"/>
  <c r="GG162" s="1"/>
  <c r="AU167"/>
  <c r="N172"/>
  <c r="N175"/>
  <c r="O175" s="1"/>
  <c r="FH183"/>
  <c r="IL183"/>
  <c r="IL185"/>
  <c r="AU186"/>
  <c r="R189"/>
  <c r="HI189"/>
  <c r="IL189"/>
  <c r="R192"/>
  <c r="IQ193"/>
  <c r="HI198"/>
  <c r="GK205"/>
  <c r="BY207"/>
  <c r="FH207"/>
  <c r="IQ209"/>
  <c r="S221"/>
  <c r="EE236"/>
  <c r="S264"/>
  <c r="IQ285"/>
  <c r="EE288"/>
  <c r="CW331"/>
  <c r="S332"/>
  <c r="DB335"/>
  <c r="BY339"/>
  <c r="AV344"/>
  <c r="BY345"/>
  <c r="BY346"/>
  <c r="S346" i="68" s="1"/>
  <c r="GK346" i="77"/>
  <c r="DB347"/>
  <c r="EE382"/>
  <c r="GK383"/>
  <c r="GK391"/>
  <c r="GJ441"/>
  <c r="HN448"/>
  <c r="HN455"/>
  <c r="S457"/>
  <c r="BX461"/>
  <c r="IP461"/>
  <c r="S462"/>
  <c r="AB320" i="65"/>
  <c r="F320"/>
  <c r="E320" i="70"/>
  <c r="BE413" i="77"/>
  <c r="CH413"/>
  <c r="BE51"/>
  <c r="BE196"/>
  <c r="CE216"/>
  <c r="CH216" s="1"/>
  <c r="CE217"/>
  <c r="CH217" s="1"/>
  <c r="BE100"/>
  <c r="BE170"/>
  <c r="BE195"/>
  <c r="BE11"/>
  <c r="BE176"/>
  <c r="BE371"/>
  <c r="CE414"/>
  <c r="BE105"/>
  <c r="BE164"/>
  <c r="BE165"/>
  <c r="BE166"/>
  <c r="BE173"/>
  <c r="BE175"/>
  <c r="BE184"/>
  <c r="BE185"/>
  <c r="EN189"/>
  <c r="BE201"/>
  <c r="AB336" i="65"/>
  <c r="BE12" i="77"/>
  <c r="BE13"/>
  <c r="BE16"/>
  <c r="BE17"/>
  <c r="BE21"/>
  <c r="BE71"/>
  <c r="FQ185"/>
  <c r="GT185"/>
  <c r="BE431"/>
  <c r="BE101"/>
  <c r="CH101"/>
  <c r="DK101"/>
  <c r="GT101"/>
  <c r="HW101"/>
  <c r="BE103"/>
  <c r="CE108"/>
  <c r="CH108" s="1"/>
  <c r="BE167"/>
  <c r="BE168"/>
  <c r="HW186"/>
  <c r="DK170"/>
  <c r="EK170"/>
  <c r="DH172"/>
  <c r="CH172"/>
  <c r="DH174"/>
  <c r="CH174"/>
  <c r="DH177"/>
  <c r="CH177"/>
  <c r="DH181"/>
  <c r="CH181"/>
  <c r="DK173"/>
  <c r="EK173"/>
  <c r="DK175"/>
  <c r="EK175"/>
  <c r="FN175" s="1"/>
  <c r="DH176"/>
  <c r="CH176"/>
  <c r="DH178"/>
  <c r="CH178"/>
  <c r="DH179"/>
  <c r="CH179"/>
  <c r="DH169"/>
  <c r="CH169"/>
  <c r="DH171"/>
  <c r="CH171"/>
  <c r="DH180"/>
  <c r="CH180"/>
  <c r="CE204"/>
  <c r="CH204" s="1"/>
  <c r="BE204"/>
  <c r="CE208"/>
  <c r="CH208" s="1"/>
  <c r="BE208"/>
  <c r="CE223"/>
  <c r="CH223" s="1"/>
  <c r="BE223"/>
  <c r="CE227"/>
  <c r="BE227"/>
  <c r="CE232"/>
  <c r="BE232"/>
  <c r="CE236"/>
  <c r="BE236"/>
  <c r="CE240"/>
  <c r="CH240" s="1"/>
  <c r="BE240"/>
  <c r="CE245"/>
  <c r="CH245" s="1"/>
  <c r="BE245"/>
  <c r="CE249"/>
  <c r="BE249"/>
  <c r="CE254"/>
  <c r="CH254" s="1"/>
  <c r="BE254"/>
  <c r="CE355"/>
  <c r="BE355"/>
  <c r="CE360"/>
  <c r="BE360"/>
  <c r="CE365"/>
  <c r="CH365" s="1"/>
  <c r="BE365"/>
  <c r="CE370"/>
  <c r="BE370"/>
  <c r="CE376"/>
  <c r="CH376" s="1"/>
  <c r="BE376"/>
  <c r="CE380"/>
  <c r="BE380"/>
  <c r="CE385"/>
  <c r="CH385" s="1"/>
  <c r="BE385"/>
  <c r="CE393"/>
  <c r="CH393" s="1"/>
  <c r="BE393"/>
  <c r="CE402"/>
  <c r="CH402" s="1"/>
  <c r="BE402"/>
  <c r="CE407"/>
  <c r="BE407"/>
  <c r="CE422"/>
  <c r="CH422" s="1"/>
  <c r="BE422"/>
  <c r="CE427"/>
  <c r="BE427"/>
  <c r="CE432"/>
  <c r="BE432"/>
  <c r="CE437"/>
  <c r="CH437" s="1"/>
  <c r="BE437"/>
  <c r="CE443"/>
  <c r="CH443" s="1"/>
  <c r="BE443"/>
  <c r="CE194"/>
  <c r="BE194"/>
  <c r="CH298"/>
  <c r="DH298"/>
  <c r="BE28"/>
  <c r="BE31"/>
  <c r="BE36"/>
  <c r="BE45"/>
  <c r="BE47"/>
  <c r="BE49"/>
  <c r="BE59"/>
  <c r="DK81"/>
  <c r="EN81"/>
  <c r="BE82"/>
  <c r="DK83"/>
  <c r="BE90"/>
  <c r="BE93"/>
  <c r="CH100"/>
  <c r="EN102"/>
  <c r="FQ102"/>
  <c r="GT102"/>
  <c r="HW102"/>
  <c r="DK104"/>
  <c r="CE110"/>
  <c r="CH110" s="1"/>
  <c r="CE112"/>
  <c r="CH112" s="1"/>
  <c r="CE149"/>
  <c r="CH149" s="1"/>
  <c r="CE150"/>
  <c r="CH150" s="1"/>
  <c r="BE163"/>
  <c r="BE182"/>
  <c r="DK189"/>
  <c r="BE191"/>
  <c r="BE193"/>
  <c r="FN203"/>
  <c r="EN203"/>
  <c r="CE207"/>
  <c r="CH207" s="1"/>
  <c r="BE207"/>
  <c r="CE222"/>
  <c r="CH222" s="1"/>
  <c r="BE222"/>
  <c r="CE226"/>
  <c r="BE226"/>
  <c r="CE230"/>
  <c r="CH230" s="1"/>
  <c r="BE230"/>
  <c r="CE235"/>
  <c r="BE235"/>
  <c r="CE239"/>
  <c r="CH239" s="1"/>
  <c r="BE239"/>
  <c r="CE244"/>
  <c r="CH244" s="1"/>
  <c r="BE244"/>
  <c r="CE248"/>
  <c r="CH248" s="1"/>
  <c r="BE248"/>
  <c r="CE253"/>
  <c r="CH253" s="1"/>
  <c r="BE253"/>
  <c r="CE257"/>
  <c r="CH257" s="1"/>
  <c r="BE257"/>
  <c r="CE354"/>
  <c r="CH354" s="1"/>
  <c r="BE354"/>
  <c r="CE359"/>
  <c r="BE359"/>
  <c r="CE364"/>
  <c r="BE364"/>
  <c r="CE369"/>
  <c r="BE369"/>
  <c r="CE374"/>
  <c r="BE374"/>
  <c r="CE379"/>
  <c r="BE379"/>
  <c r="CE384"/>
  <c r="CH384" s="1"/>
  <c r="BE384"/>
  <c r="CE389"/>
  <c r="BE389"/>
  <c r="CE400"/>
  <c r="BE400"/>
  <c r="CE406"/>
  <c r="BE406"/>
  <c r="CE420"/>
  <c r="CH420" s="1"/>
  <c r="BE420"/>
  <c r="CE426"/>
  <c r="CH426" s="1"/>
  <c r="BE426"/>
  <c r="CE430"/>
  <c r="CH430" s="1"/>
  <c r="BE430"/>
  <c r="CE436"/>
  <c r="CH436" s="1"/>
  <c r="BE436"/>
  <c r="CE442"/>
  <c r="CH442" s="1"/>
  <c r="BE442"/>
  <c r="BV346"/>
  <c r="N346" i="68"/>
  <c r="EK182" i="77"/>
  <c r="DK182"/>
  <c r="CE197"/>
  <c r="BE197"/>
  <c r="DH318"/>
  <c r="CH318"/>
  <c r="DH310"/>
  <c r="EK310" s="1"/>
  <c r="FN310" s="1"/>
  <c r="GQ310" s="1"/>
  <c r="HT310" s="1"/>
  <c r="IW310" s="1"/>
  <c r="CH310"/>
  <c r="BE23"/>
  <c r="BE26"/>
  <c r="BE27"/>
  <c r="BE29"/>
  <c r="BE37"/>
  <c r="BE48"/>
  <c r="BE53"/>
  <c r="BE55"/>
  <c r="BE70"/>
  <c r="BE73"/>
  <c r="FQ81"/>
  <c r="GT81"/>
  <c r="HW81"/>
  <c r="EN83"/>
  <c r="BE84"/>
  <c r="BE86"/>
  <c r="BE88"/>
  <c r="CH90"/>
  <c r="BE95"/>
  <c r="BE97"/>
  <c r="CH97"/>
  <c r="DK100"/>
  <c r="EN100"/>
  <c r="CH182"/>
  <c r="BE200"/>
  <c r="CE202"/>
  <c r="CH202" s="1"/>
  <c r="BE202"/>
  <c r="CE206"/>
  <c r="BE206"/>
  <c r="CE220"/>
  <c r="BE220"/>
  <c r="CE225"/>
  <c r="CH225" s="1"/>
  <c r="BE225"/>
  <c r="CE229"/>
  <c r="CH229" s="1"/>
  <c r="BE229"/>
  <c r="CE234"/>
  <c r="BE234"/>
  <c r="CE238"/>
  <c r="BE238"/>
  <c r="CE243"/>
  <c r="CH243" s="1"/>
  <c r="BE243"/>
  <c r="CE247"/>
  <c r="CH247" s="1"/>
  <c r="BE247"/>
  <c r="CE252"/>
  <c r="BE252"/>
  <c r="CE256"/>
  <c r="CH256" s="1"/>
  <c r="BE256"/>
  <c r="CE353"/>
  <c r="BE353"/>
  <c r="CE358"/>
  <c r="BE358"/>
  <c r="CE363"/>
  <c r="BE363"/>
  <c r="CE368"/>
  <c r="BE368"/>
  <c r="CE373"/>
  <c r="BE373"/>
  <c r="CE378"/>
  <c r="BE378"/>
  <c r="CE383"/>
  <c r="BE383"/>
  <c r="CE388"/>
  <c r="BE388"/>
  <c r="CE395"/>
  <c r="CH395" s="1"/>
  <c r="BE395"/>
  <c r="CE405"/>
  <c r="BE405"/>
  <c r="CE409"/>
  <c r="CH409" s="1"/>
  <c r="BE409"/>
  <c r="CE425"/>
  <c r="BE425"/>
  <c r="CE429"/>
  <c r="CH429" s="1"/>
  <c r="BE429"/>
  <c r="CE435"/>
  <c r="BE435"/>
  <c r="CE439"/>
  <c r="BE439"/>
  <c r="AW345"/>
  <c r="BE14"/>
  <c r="BE18"/>
  <c r="BE20"/>
  <c r="BE24"/>
  <c r="BE32"/>
  <c r="BE34"/>
  <c r="BE44"/>
  <c r="BE46"/>
  <c r="BE50"/>
  <c r="BE57"/>
  <c r="BE60"/>
  <c r="BE62"/>
  <c r="BE78"/>
  <c r="BE81"/>
  <c r="CH86"/>
  <c r="DK90"/>
  <c r="BE92"/>
  <c r="BE94"/>
  <c r="BE96"/>
  <c r="DK97"/>
  <c r="FQ100"/>
  <c r="GT100"/>
  <c r="HW100"/>
  <c r="EN101"/>
  <c r="FQ101"/>
  <c r="BE102"/>
  <c r="BE104"/>
  <c r="FQ104"/>
  <c r="GT104"/>
  <c r="HW104"/>
  <c r="CE106"/>
  <c r="CH106" s="1"/>
  <c r="CE114"/>
  <c r="CH114" s="1"/>
  <c r="BE158"/>
  <c r="BE159"/>
  <c r="BE169"/>
  <c r="CH170"/>
  <c r="BE171"/>
  <c r="BE172"/>
  <c r="CH173"/>
  <c r="BE174"/>
  <c r="CH175"/>
  <c r="BE177"/>
  <c r="BE178"/>
  <c r="BE179"/>
  <c r="BE180"/>
  <c r="BE181"/>
  <c r="CE205"/>
  <c r="CH205" s="1"/>
  <c r="BE205"/>
  <c r="CE209"/>
  <c r="CH209" s="1"/>
  <c r="BE209"/>
  <c r="CE224"/>
  <c r="BE224"/>
  <c r="CE228"/>
  <c r="BE228"/>
  <c r="CE233"/>
  <c r="BE233"/>
  <c r="CE237"/>
  <c r="CH237" s="1"/>
  <c r="BE237"/>
  <c r="CE242"/>
  <c r="CH242" s="1"/>
  <c r="BE242"/>
  <c r="CE246"/>
  <c r="CH246" s="1"/>
  <c r="BE246"/>
  <c r="CE250"/>
  <c r="CH250" s="1"/>
  <c r="BE250"/>
  <c r="CE255"/>
  <c r="BE255"/>
  <c r="CE352"/>
  <c r="BE352"/>
  <c r="CE357"/>
  <c r="BE357"/>
  <c r="CE362"/>
  <c r="CH362" s="1"/>
  <c r="BE362"/>
  <c r="CE367"/>
  <c r="BE367"/>
  <c r="CE372"/>
  <c r="CH372" s="1"/>
  <c r="BE372"/>
  <c r="CE377"/>
  <c r="BE377"/>
  <c r="CE382"/>
  <c r="BE382"/>
  <c r="CE386"/>
  <c r="BE386"/>
  <c r="CE394"/>
  <c r="CH394" s="1"/>
  <c r="BE394"/>
  <c r="CE404"/>
  <c r="BE404"/>
  <c r="CE408"/>
  <c r="BE408"/>
  <c r="CE423"/>
  <c r="CH423" s="1"/>
  <c r="BE423"/>
  <c r="CE428"/>
  <c r="BE428"/>
  <c r="CE434"/>
  <c r="BE434"/>
  <c r="CE438"/>
  <c r="BE438"/>
  <c r="CE444"/>
  <c r="CH444" s="1"/>
  <c r="BE444"/>
  <c r="CE183"/>
  <c r="BE183"/>
  <c r="CE192"/>
  <c r="BE192"/>
  <c r="CE198"/>
  <c r="BE198"/>
  <c r="DH431"/>
  <c r="EK431" s="1"/>
  <c r="CH431"/>
  <c r="BE22"/>
  <c r="BE30"/>
  <c r="BE33"/>
  <c r="BE38"/>
  <c r="BE39"/>
  <c r="BE40"/>
  <c r="BE42"/>
  <c r="BE52"/>
  <c r="BE54"/>
  <c r="BE58"/>
  <c r="BE63"/>
  <c r="BE64"/>
  <c r="BE65"/>
  <c r="BE66"/>
  <c r="BE67"/>
  <c r="BE68"/>
  <c r="BE69"/>
  <c r="BE72"/>
  <c r="BE79"/>
  <c r="BE80"/>
  <c r="CH81"/>
  <c r="BE83"/>
  <c r="CH83"/>
  <c r="BE85"/>
  <c r="BE87"/>
  <c r="CH87"/>
  <c r="BE89"/>
  <c r="EN90"/>
  <c r="FQ90"/>
  <c r="GT90"/>
  <c r="HW90"/>
  <c r="CH96"/>
  <c r="EN97"/>
  <c r="FQ97"/>
  <c r="GT97"/>
  <c r="HW97"/>
  <c r="BE98"/>
  <c r="CH102"/>
  <c r="DK102"/>
  <c r="CH104"/>
  <c r="BE187"/>
  <c r="BE188"/>
  <c r="BE189"/>
  <c r="CH189"/>
  <c r="BE190"/>
  <c r="BE203"/>
  <c r="CH203"/>
  <c r="DK203"/>
  <c r="BE210"/>
  <c r="BE213"/>
  <c r="BE214"/>
  <c r="CE251"/>
  <c r="CH251" s="1"/>
  <c r="BE391"/>
  <c r="DK413"/>
  <c r="CE415"/>
  <c r="BE421"/>
  <c r="CH185"/>
  <c r="CH186"/>
  <c r="DK186"/>
  <c r="BE199"/>
  <c r="DH217"/>
  <c r="DK217" s="1"/>
  <c r="BE221"/>
  <c r="BE241"/>
  <c r="BE401"/>
  <c r="BE211"/>
  <c r="CH323"/>
  <c r="DH323"/>
  <c r="CH331"/>
  <c r="DH331"/>
  <c r="EK331" s="1"/>
  <c r="FN331" s="1"/>
  <c r="GQ331" s="1"/>
  <c r="HT331" s="1"/>
  <c r="IW331" s="1"/>
  <c r="DH347"/>
  <c r="CH347"/>
  <c r="DH346"/>
  <c r="CH346"/>
  <c r="AB346" i="68" s="1"/>
  <c r="DH329" i="77"/>
  <c r="CH329"/>
  <c r="CH341"/>
  <c r="DH341"/>
  <c r="Y341" i="69" s="1"/>
  <c r="DH345" i="77"/>
  <c r="CH345"/>
  <c r="DH336"/>
  <c r="Y336" i="69" s="1"/>
  <c r="CH336" i="77"/>
  <c r="DH302"/>
  <c r="CH302"/>
  <c r="DH320"/>
  <c r="Y320" i="69" s="1"/>
  <c r="CH320" i="77"/>
  <c r="CH312"/>
  <c r="DH312"/>
  <c r="DH304"/>
  <c r="Y304" i="69" s="1"/>
  <c r="CH304" i="77"/>
  <c r="EK318"/>
  <c r="DK318"/>
  <c r="CH313"/>
  <c r="DH313"/>
  <c r="CH305"/>
  <c r="DH305"/>
  <c r="EK305" s="1"/>
  <c r="FN305" s="1"/>
  <c r="GQ305" s="1"/>
  <c r="HT305" s="1"/>
  <c r="IW305" s="1"/>
  <c r="Y305" i="74" s="1"/>
  <c r="CH301" i="77"/>
  <c r="DH301"/>
  <c r="DH319"/>
  <c r="CH319"/>
  <c r="DH315"/>
  <c r="Y315" i="69" s="1"/>
  <c r="CH315" i="77"/>
  <c r="DH311"/>
  <c r="EK311" s="1"/>
  <c r="FN311" s="1"/>
  <c r="GQ311" s="1"/>
  <c r="HT311" s="1"/>
  <c r="IW311" s="1"/>
  <c r="CH311"/>
  <c r="CH307"/>
  <c r="DH307"/>
  <c r="DH303"/>
  <c r="EK303" s="1"/>
  <c r="FN303" s="1"/>
  <c r="GQ303" s="1"/>
  <c r="HT303" s="1"/>
  <c r="IW303" s="1"/>
  <c r="CH303"/>
  <c r="CE299"/>
  <c r="DH299" s="1"/>
  <c r="EK299" s="1"/>
  <c r="FN299" s="1"/>
  <c r="GQ299" s="1"/>
  <c r="HT299" s="1"/>
  <c r="IW299" s="1"/>
  <c r="Y299" i="74" s="1"/>
  <c r="AB315" i="65"/>
  <c r="Y303" i="74"/>
  <c r="Y311"/>
  <c r="Y324"/>
  <c r="Y328"/>
  <c r="Y332"/>
  <c r="Y340"/>
  <c r="Y344"/>
  <c r="Y348"/>
  <c r="Y306"/>
  <c r="Y310"/>
  <c r="Y314"/>
  <c r="Y327"/>
  <c r="Y331"/>
  <c r="Y335"/>
  <c r="Y339"/>
  <c r="Y343"/>
  <c r="Y309"/>
  <c r="Y317"/>
  <c r="Y321"/>
  <c r="Y326"/>
  <c r="Y330"/>
  <c r="Y334"/>
  <c r="Y338"/>
  <c r="Y342"/>
  <c r="Y300"/>
  <c r="Y308"/>
  <c r="Y316"/>
  <c r="Y325"/>
  <c r="Y333"/>
  <c r="Y337"/>
  <c r="Y305" i="73"/>
  <c r="Y309"/>
  <c r="Y317"/>
  <c r="Y321"/>
  <c r="Y326"/>
  <c r="Y330"/>
  <c r="Y334"/>
  <c r="Y338"/>
  <c r="Y342"/>
  <c r="Y300"/>
  <c r="Y308"/>
  <c r="Y316"/>
  <c r="Y325"/>
  <c r="Y333"/>
  <c r="Y337"/>
  <c r="Y299"/>
  <c r="Y303"/>
  <c r="Y311"/>
  <c r="Y324"/>
  <c r="Y328"/>
  <c r="Y332"/>
  <c r="Y340"/>
  <c r="Y344"/>
  <c r="Y348"/>
  <c r="Y306"/>
  <c r="Y314"/>
  <c r="Y327"/>
  <c r="Y335"/>
  <c r="Y339"/>
  <c r="Y343"/>
  <c r="Y303" i="72"/>
  <c r="Y311"/>
  <c r="Y324"/>
  <c r="Y328"/>
  <c r="Y332"/>
  <c r="Y340"/>
  <c r="Y344"/>
  <c r="Y348"/>
  <c r="Y306"/>
  <c r="Y310"/>
  <c r="Y314"/>
  <c r="Y327"/>
  <c r="Y331"/>
  <c r="Y335"/>
  <c r="Y339"/>
  <c r="Y343"/>
  <c r="Y305"/>
  <c r="Y309"/>
  <c r="Y317"/>
  <c r="Y321"/>
  <c r="Y326"/>
  <c r="Y330"/>
  <c r="Y334"/>
  <c r="Y338"/>
  <c r="Y342"/>
  <c r="Y300"/>
  <c r="Y308"/>
  <c r="Y316"/>
  <c r="Y325"/>
  <c r="Y333"/>
  <c r="Y337"/>
  <c r="Y305" i="71"/>
  <c r="Y309"/>
  <c r="Y317"/>
  <c r="Y321"/>
  <c r="Y326"/>
  <c r="Y330"/>
  <c r="Y334"/>
  <c r="Y338"/>
  <c r="Y342"/>
  <c r="Y300"/>
  <c r="Y308"/>
  <c r="Y316"/>
  <c r="Y325"/>
  <c r="Y333"/>
  <c r="Y337"/>
  <c r="Y299"/>
  <c r="Y303"/>
  <c r="Y311"/>
  <c r="Y324"/>
  <c r="Y328"/>
  <c r="Y332"/>
  <c r="Y340"/>
  <c r="Y344"/>
  <c r="Y348"/>
  <c r="Y306"/>
  <c r="Y310"/>
  <c r="Y314"/>
  <c r="Y327"/>
  <c r="Y335"/>
  <c r="Y339"/>
  <c r="Y343"/>
  <c r="Y303" i="70"/>
  <c r="Y311"/>
  <c r="Y324"/>
  <c r="Y328"/>
  <c r="Y332"/>
  <c r="Y340"/>
  <c r="Y344"/>
  <c r="Y348"/>
  <c r="Y306"/>
  <c r="Y310"/>
  <c r="Y314"/>
  <c r="Y318"/>
  <c r="Y327"/>
  <c r="Y331"/>
  <c r="Y335"/>
  <c r="Y339"/>
  <c r="Y343"/>
  <c r="Y305"/>
  <c r="Y309"/>
  <c r="Y317"/>
  <c r="Y321"/>
  <c r="Y326"/>
  <c r="Y330"/>
  <c r="Y334"/>
  <c r="Y338"/>
  <c r="Y342"/>
  <c r="Y300"/>
  <c r="Y308"/>
  <c r="Y316"/>
  <c r="Y325"/>
  <c r="Y333"/>
  <c r="Y337"/>
  <c r="Y301" i="69"/>
  <c r="Y305"/>
  <c r="Y309"/>
  <c r="Y313"/>
  <c r="Y317"/>
  <c r="Y321"/>
  <c r="Y326"/>
  <c r="Y330"/>
  <c r="Y334"/>
  <c r="Y338"/>
  <c r="Y342"/>
  <c r="Y346"/>
  <c r="Y300"/>
  <c r="Y308"/>
  <c r="Y312"/>
  <c r="Y316"/>
  <c r="Y325"/>
  <c r="Y329"/>
  <c r="Y333"/>
  <c r="Y337"/>
  <c r="Y345"/>
  <c r="Y303"/>
  <c r="Y307"/>
  <c r="Y311"/>
  <c r="Y319"/>
  <c r="Y324"/>
  <c r="Y328"/>
  <c r="Y332"/>
  <c r="Y340"/>
  <c r="Y344"/>
  <c r="Y348"/>
  <c r="Y298"/>
  <c r="Y302"/>
  <c r="Y306"/>
  <c r="Y310"/>
  <c r="Y314"/>
  <c r="Y318"/>
  <c r="Y323"/>
  <c r="Y327"/>
  <c r="Y331"/>
  <c r="Y335"/>
  <c r="Y339"/>
  <c r="Y343"/>
  <c r="Y347"/>
  <c r="Y299" i="68"/>
  <c r="Y303"/>
  <c r="Y307"/>
  <c r="Y311"/>
  <c r="Y315"/>
  <c r="Y319"/>
  <c r="Y324"/>
  <c r="Y328"/>
  <c r="Y332"/>
  <c r="Y336"/>
  <c r="Y340"/>
  <c r="Y344"/>
  <c r="Y348"/>
  <c r="Y298"/>
  <c r="Y302"/>
  <c r="Y306"/>
  <c r="Y310"/>
  <c r="Y314"/>
  <c r="Y318"/>
  <c r="Y323"/>
  <c r="Y327"/>
  <c r="Y331"/>
  <c r="Y335"/>
  <c r="Y339"/>
  <c r="Y343"/>
  <c r="Y347"/>
  <c r="Y301"/>
  <c r="Y305"/>
  <c r="Y309"/>
  <c r="Y313"/>
  <c r="Y317"/>
  <c r="Y321"/>
  <c r="Y326"/>
  <c r="Y330"/>
  <c r="Y334"/>
  <c r="Y338"/>
  <c r="Y342"/>
  <c r="Y346"/>
  <c r="Y300"/>
  <c r="Y304"/>
  <c r="Y308"/>
  <c r="Y312"/>
  <c r="Y316"/>
  <c r="Y320"/>
  <c r="Y325"/>
  <c r="Y329"/>
  <c r="Y333"/>
  <c r="Y337"/>
  <c r="Y341"/>
  <c r="Y345"/>
  <c r="AB319" i="65"/>
  <c r="AB301"/>
  <c r="Y325"/>
  <c r="Y329"/>
  <c r="Y333"/>
  <c r="Y337"/>
  <c r="Y341"/>
  <c r="Y345"/>
  <c r="Y298"/>
  <c r="Y302"/>
  <c r="Y306"/>
  <c r="Y310"/>
  <c r="Y314"/>
  <c r="Y318"/>
  <c r="Y324"/>
  <c r="Y328"/>
  <c r="Y332"/>
  <c r="Y336"/>
  <c r="Y340"/>
  <c r="Y344"/>
  <c r="Y348"/>
  <c r="Y301"/>
  <c r="Y305"/>
  <c r="Y309"/>
  <c r="Y313"/>
  <c r="Y317"/>
  <c r="Y321"/>
  <c r="Y323"/>
  <c r="Y327"/>
  <c r="Y331"/>
  <c r="Y335"/>
  <c r="Y339"/>
  <c r="Y343"/>
  <c r="Y347"/>
  <c r="Y300"/>
  <c r="Y304"/>
  <c r="Y308"/>
  <c r="Y312"/>
  <c r="Y316"/>
  <c r="Y320"/>
  <c r="Y326"/>
  <c r="Y330"/>
  <c r="Y334"/>
  <c r="Y338"/>
  <c r="Y342"/>
  <c r="Y346"/>
  <c r="Y299"/>
  <c r="Y303"/>
  <c r="Y307"/>
  <c r="Y311"/>
  <c r="Y315"/>
  <c r="Y319"/>
  <c r="AB344"/>
  <c r="AB340"/>
  <c r="AB332"/>
  <c r="BE331" i="77"/>
  <c r="AB328" i="65"/>
  <c r="AB324"/>
  <c r="AB321"/>
  <c r="AB311"/>
  <c r="BE305" i="77"/>
  <c r="AB305" i="65" s="1"/>
  <c r="BE303" i="77"/>
  <c r="AB340" i="39"/>
  <c r="BE299" i="77"/>
  <c r="G285" i="65"/>
  <c r="F282"/>
  <c r="Y264" i="74"/>
  <c r="Y264" i="72"/>
  <c r="Y264" i="70"/>
  <c r="Z264" i="39"/>
  <c r="G264"/>
  <c r="E264"/>
  <c r="L264"/>
  <c r="Y264" i="68"/>
  <c r="Y264" i="73"/>
  <c r="Y264" i="71"/>
  <c r="Y264" i="69"/>
  <c r="I264" i="39"/>
  <c r="AB264"/>
  <c r="J264"/>
  <c r="I285" i="65"/>
  <c r="H275"/>
  <c r="L274"/>
  <c r="J347" i="39"/>
  <c r="AB347"/>
  <c r="G348"/>
  <c r="K348"/>
  <c r="G348" i="65"/>
  <c r="K348"/>
  <c r="AB348"/>
  <c r="G348" i="68"/>
  <c r="K348"/>
  <c r="S348"/>
  <c r="G348" i="69"/>
  <c r="K348"/>
  <c r="S348"/>
  <c r="D348" i="70"/>
  <c r="H348"/>
  <c r="L348"/>
  <c r="G348" i="71"/>
  <c r="K348"/>
  <c r="D348" i="72"/>
  <c r="H348"/>
  <c r="L348"/>
  <c r="E348" i="73"/>
  <c r="I348"/>
  <c r="M348"/>
  <c r="F348" i="74"/>
  <c r="J348"/>
  <c r="F347" i="39"/>
  <c r="F348"/>
  <c r="J348"/>
  <c r="R348"/>
  <c r="AB348"/>
  <c r="J348" i="65"/>
  <c r="F348" i="68"/>
  <c r="J348"/>
  <c r="F348" i="69"/>
  <c r="J348"/>
  <c r="G348" i="70"/>
  <c r="K348"/>
  <c r="F348" i="71"/>
  <c r="J348"/>
  <c r="G348" i="72"/>
  <c r="D348" i="73"/>
  <c r="H348"/>
  <c r="L348"/>
  <c r="E348" i="74"/>
  <c r="I348"/>
  <c r="M348"/>
  <c r="Y348" i="39"/>
  <c r="R347"/>
  <c r="E348"/>
  <c r="I348"/>
  <c r="M348"/>
  <c r="E348" i="65"/>
  <c r="I348"/>
  <c r="M348"/>
  <c r="E348" i="68"/>
  <c r="I348"/>
  <c r="M348"/>
  <c r="E348" i="69"/>
  <c r="I348"/>
  <c r="M348"/>
  <c r="F348" i="70"/>
  <c r="J348"/>
  <c r="E348" i="71"/>
  <c r="I348"/>
  <c r="M348"/>
  <c r="F348" i="72"/>
  <c r="J348"/>
  <c r="G348" i="73"/>
  <c r="K348"/>
  <c r="D348" i="74"/>
  <c r="H348"/>
  <c r="L348"/>
  <c r="G346" i="39"/>
  <c r="N347"/>
  <c r="D348"/>
  <c r="H348"/>
  <c r="L348"/>
  <c r="D348" i="65"/>
  <c r="H348"/>
  <c r="L348"/>
  <c r="D348" i="68"/>
  <c r="H348"/>
  <c r="L348"/>
  <c r="D348" i="69"/>
  <c r="H348"/>
  <c r="L348"/>
  <c r="E348" i="70"/>
  <c r="M348"/>
  <c r="D348" i="71"/>
  <c r="H348"/>
  <c r="L348"/>
  <c r="E348" i="72"/>
  <c r="I348"/>
  <c r="M348"/>
  <c r="F348" i="73"/>
  <c r="J348"/>
  <c r="G348" i="74"/>
  <c r="K348"/>
  <c r="E347" i="65"/>
  <c r="I347"/>
  <c r="M347"/>
  <c r="Q347"/>
  <c r="D347" i="68"/>
  <c r="H347"/>
  <c r="L347"/>
  <c r="G347" i="69"/>
  <c r="K347"/>
  <c r="S347"/>
  <c r="G347" i="70"/>
  <c r="K347"/>
  <c r="S347"/>
  <c r="E347" i="71"/>
  <c r="I347"/>
  <c r="M347"/>
  <c r="Q347"/>
  <c r="E347" i="72"/>
  <c r="I347"/>
  <c r="M347"/>
  <c r="Q347"/>
  <c r="E347" i="73"/>
  <c r="I347"/>
  <c r="M347"/>
  <c r="Q347"/>
  <c r="E347" i="74"/>
  <c r="I347"/>
  <c r="M347"/>
  <c r="Q347"/>
  <c r="E347" i="39"/>
  <c r="I347"/>
  <c r="M347"/>
  <c r="Q347"/>
  <c r="D347" i="65"/>
  <c r="H347"/>
  <c r="L347"/>
  <c r="AB347"/>
  <c r="G347" i="68"/>
  <c r="K347"/>
  <c r="S347"/>
  <c r="AB347"/>
  <c r="F347" i="69"/>
  <c r="J347"/>
  <c r="R347"/>
  <c r="F347" i="70"/>
  <c r="J347"/>
  <c r="R347"/>
  <c r="D347" i="71"/>
  <c r="H347"/>
  <c r="L347"/>
  <c r="D347" i="72"/>
  <c r="H347"/>
  <c r="L347"/>
  <c r="D347" i="73"/>
  <c r="H347"/>
  <c r="L347"/>
  <c r="D347" i="74"/>
  <c r="H347"/>
  <c r="L347"/>
  <c r="G347" i="65"/>
  <c r="K347"/>
  <c r="F347" i="68"/>
  <c r="J347"/>
  <c r="R347"/>
  <c r="E347" i="69"/>
  <c r="I347"/>
  <c r="M347"/>
  <c r="Q347"/>
  <c r="E347" i="70"/>
  <c r="I347"/>
  <c r="M347"/>
  <c r="Q347"/>
  <c r="G347" i="71"/>
  <c r="K347"/>
  <c r="G347" i="72"/>
  <c r="K347"/>
  <c r="G347" i="73"/>
  <c r="K347"/>
  <c r="G347" i="74"/>
  <c r="K347"/>
  <c r="L345" i="39"/>
  <c r="D347"/>
  <c r="H347"/>
  <c r="L347"/>
  <c r="K346"/>
  <c r="G347"/>
  <c r="K347"/>
  <c r="O347"/>
  <c r="F347" i="65"/>
  <c r="J347"/>
  <c r="R347"/>
  <c r="E347" i="68"/>
  <c r="I347"/>
  <c r="M347"/>
  <c r="Q347"/>
  <c r="D347" i="69"/>
  <c r="H347"/>
  <c r="L347"/>
  <c r="D347" i="70"/>
  <c r="H347"/>
  <c r="L347"/>
  <c r="F347" i="71"/>
  <c r="J347"/>
  <c r="R347"/>
  <c r="F347" i="72"/>
  <c r="J347"/>
  <c r="R347"/>
  <c r="F347" i="73"/>
  <c r="J347"/>
  <c r="R347"/>
  <c r="F347" i="74"/>
  <c r="J347"/>
  <c r="R347"/>
  <c r="Y347" i="39"/>
  <c r="M344"/>
  <c r="D346"/>
  <c r="H346"/>
  <c r="L346"/>
  <c r="F346" i="65"/>
  <c r="J346"/>
  <c r="R346"/>
  <c r="F346" i="70"/>
  <c r="J346"/>
  <c r="R346"/>
  <c r="G346" i="71"/>
  <c r="K346"/>
  <c r="F346" i="72"/>
  <c r="J346"/>
  <c r="R346"/>
  <c r="E346" i="73"/>
  <c r="I346"/>
  <c r="M346"/>
  <c r="Q346"/>
  <c r="D346" i="74"/>
  <c r="H346"/>
  <c r="L346"/>
  <c r="E346" i="65"/>
  <c r="I346"/>
  <c r="M346"/>
  <c r="Q346"/>
  <c r="AB346"/>
  <c r="E346" i="70"/>
  <c r="I346"/>
  <c r="M346"/>
  <c r="Q346"/>
  <c r="F346" i="71"/>
  <c r="J346"/>
  <c r="R346"/>
  <c r="E346" i="72"/>
  <c r="I346"/>
  <c r="M346"/>
  <c r="Q346"/>
  <c r="D346" i="73"/>
  <c r="H346"/>
  <c r="L346"/>
  <c r="G346" i="74"/>
  <c r="K346"/>
  <c r="Y346" i="39"/>
  <c r="H345"/>
  <c r="F346"/>
  <c r="J346"/>
  <c r="R346"/>
  <c r="AB346"/>
  <c r="D346" i="65"/>
  <c r="H346"/>
  <c r="L346"/>
  <c r="D346" i="70"/>
  <c r="H346"/>
  <c r="L346"/>
  <c r="E346" i="71"/>
  <c r="I346"/>
  <c r="M346"/>
  <c r="Q346"/>
  <c r="D346" i="72"/>
  <c r="H346"/>
  <c r="L346"/>
  <c r="G346" i="73"/>
  <c r="K346"/>
  <c r="F346" i="74"/>
  <c r="J346"/>
  <c r="R346"/>
  <c r="D345" i="39"/>
  <c r="E346"/>
  <c r="I346"/>
  <c r="M346"/>
  <c r="G346" i="65"/>
  <c r="K346"/>
  <c r="D346" i="68"/>
  <c r="H346"/>
  <c r="L346"/>
  <c r="P346"/>
  <c r="E346" i="69"/>
  <c r="I346"/>
  <c r="M346"/>
  <c r="Q346"/>
  <c r="G346" i="70"/>
  <c r="K346"/>
  <c r="D346" i="71"/>
  <c r="H346"/>
  <c r="L346"/>
  <c r="G346" i="72"/>
  <c r="K346"/>
  <c r="S346"/>
  <c r="F346" i="73"/>
  <c r="J346"/>
  <c r="R346"/>
  <c r="E346" i="74"/>
  <c r="I346"/>
  <c r="M346"/>
  <c r="Q346"/>
  <c r="I344" i="39"/>
  <c r="G345"/>
  <c r="K345"/>
  <c r="D345" i="65"/>
  <c r="H345"/>
  <c r="L345"/>
  <c r="T345"/>
  <c r="D345" i="68"/>
  <c r="H345"/>
  <c r="L345"/>
  <c r="D345" i="69"/>
  <c r="H345"/>
  <c r="L345"/>
  <c r="E345" i="70"/>
  <c r="I345"/>
  <c r="M345"/>
  <c r="Q345"/>
  <c r="E345" i="71"/>
  <c r="I345"/>
  <c r="M345"/>
  <c r="Q345"/>
  <c r="G345" i="72"/>
  <c r="K345"/>
  <c r="E345" i="73"/>
  <c r="I345"/>
  <c r="M345"/>
  <c r="Q345"/>
  <c r="G345" i="74"/>
  <c r="K345"/>
  <c r="F345" i="39"/>
  <c r="R345"/>
  <c r="AB345"/>
  <c r="G345" i="65"/>
  <c r="K345"/>
  <c r="O345"/>
  <c r="S345"/>
  <c r="G345" i="68"/>
  <c r="K345"/>
  <c r="S345"/>
  <c r="G345" i="69"/>
  <c r="K345"/>
  <c r="D345" i="70"/>
  <c r="H345"/>
  <c r="L345"/>
  <c r="D345" i="71"/>
  <c r="H345"/>
  <c r="L345"/>
  <c r="F345" i="72"/>
  <c r="J345"/>
  <c r="R345"/>
  <c r="D345" i="73"/>
  <c r="H345"/>
  <c r="L345"/>
  <c r="F345" i="74"/>
  <c r="J345"/>
  <c r="R345"/>
  <c r="E344" i="39"/>
  <c r="J345"/>
  <c r="R343"/>
  <c r="E345"/>
  <c r="I345"/>
  <c r="M345"/>
  <c r="Q345"/>
  <c r="F345" i="65"/>
  <c r="J345"/>
  <c r="N345"/>
  <c r="R345"/>
  <c r="AB345"/>
  <c r="F345" i="68"/>
  <c r="J345"/>
  <c r="R345"/>
  <c r="AB345"/>
  <c r="F345" i="69"/>
  <c r="J345"/>
  <c r="R345"/>
  <c r="G345" i="70"/>
  <c r="K345"/>
  <c r="G345" i="71"/>
  <c r="K345"/>
  <c r="O345"/>
  <c r="E345" i="72"/>
  <c r="I345"/>
  <c r="M345"/>
  <c r="Q345"/>
  <c r="G345" i="73"/>
  <c r="K345"/>
  <c r="S345"/>
  <c r="E345" i="74"/>
  <c r="I345"/>
  <c r="M345"/>
  <c r="Q345"/>
  <c r="E345" i="65"/>
  <c r="I345"/>
  <c r="M345"/>
  <c r="Q345"/>
  <c r="E345" i="68"/>
  <c r="I345"/>
  <c r="M345"/>
  <c r="Q345"/>
  <c r="E345" i="69"/>
  <c r="I345"/>
  <c r="M345"/>
  <c r="Q345"/>
  <c r="F345" i="70"/>
  <c r="J345"/>
  <c r="R345"/>
  <c r="F345" i="71"/>
  <c r="J345"/>
  <c r="N345"/>
  <c r="R345"/>
  <c r="D345" i="72"/>
  <c r="H345"/>
  <c r="L345"/>
  <c r="F345" i="73"/>
  <c r="J345"/>
  <c r="R345"/>
  <c r="D345" i="74"/>
  <c r="H345"/>
  <c r="L345"/>
  <c r="Y345" i="39"/>
  <c r="AB343"/>
  <c r="K344"/>
  <c r="F343"/>
  <c r="F344"/>
  <c r="J344"/>
  <c r="R344"/>
  <c r="AB344"/>
  <c r="F344" i="65"/>
  <c r="J344"/>
  <c r="E344" i="68"/>
  <c r="I344"/>
  <c r="M344"/>
  <c r="D344" i="69"/>
  <c r="L344"/>
  <c r="D344" i="70"/>
  <c r="H344"/>
  <c r="L344"/>
  <c r="G344" i="71"/>
  <c r="K344"/>
  <c r="D344" i="72"/>
  <c r="H344"/>
  <c r="L344"/>
  <c r="E344" i="73"/>
  <c r="I344"/>
  <c r="M344"/>
  <c r="F344" i="74"/>
  <c r="J344"/>
  <c r="E344" i="65"/>
  <c r="I344"/>
  <c r="M344"/>
  <c r="D344" i="68"/>
  <c r="H344"/>
  <c r="L344"/>
  <c r="G344" i="69"/>
  <c r="K344"/>
  <c r="G344" i="70"/>
  <c r="K344"/>
  <c r="F344" i="71"/>
  <c r="J344"/>
  <c r="G344" i="72"/>
  <c r="D344" i="73"/>
  <c r="H344"/>
  <c r="L344"/>
  <c r="E344" i="74"/>
  <c r="I344"/>
  <c r="M344"/>
  <c r="Y344" i="39"/>
  <c r="G342"/>
  <c r="D344"/>
  <c r="H344"/>
  <c r="L344"/>
  <c r="D344" i="65"/>
  <c r="H344"/>
  <c r="L344"/>
  <c r="K344" i="68"/>
  <c r="F344" i="69"/>
  <c r="J344"/>
  <c r="F344" i="70"/>
  <c r="J344"/>
  <c r="E344" i="71"/>
  <c r="I344"/>
  <c r="M344"/>
  <c r="F344" i="72"/>
  <c r="J344"/>
  <c r="G344" i="73"/>
  <c r="K344"/>
  <c r="D344" i="74"/>
  <c r="H344"/>
  <c r="L344"/>
  <c r="J343" i="39"/>
  <c r="G344"/>
  <c r="G344" i="65"/>
  <c r="K344"/>
  <c r="S344"/>
  <c r="F344" i="68"/>
  <c r="J344"/>
  <c r="E344" i="69"/>
  <c r="I344"/>
  <c r="M344"/>
  <c r="E344" i="70"/>
  <c r="I344"/>
  <c r="M344"/>
  <c r="D344" i="71"/>
  <c r="H344"/>
  <c r="L344"/>
  <c r="E344" i="72"/>
  <c r="I344"/>
  <c r="M344"/>
  <c r="F344" i="73"/>
  <c r="J344"/>
  <c r="G344" i="74"/>
  <c r="K344"/>
  <c r="E343" i="39"/>
  <c r="I343"/>
  <c r="M343"/>
  <c r="D343" i="65"/>
  <c r="H343"/>
  <c r="L343"/>
  <c r="AB343"/>
  <c r="F343" i="68"/>
  <c r="J343"/>
  <c r="D343" i="69"/>
  <c r="L343"/>
  <c r="G343" i="70"/>
  <c r="K343"/>
  <c r="E343" i="71"/>
  <c r="I343"/>
  <c r="M343"/>
  <c r="E343" i="72"/>
  <c r="I343"/>
  <c r="M343"/>
  <c r="E343" i="73"/>
  <c r="I343"/>
  <c r="M343"/>
  <c r="E343" i="74"/>
  <c r="I343"/>
  <c r="M343"/>
  <c r="G343" i="65"/>
  <c r="K343"/>
  <c r="E343" i="68"/>
  <c r="I343"/>
  <c r="M343"/>
  <c r="G343" i="69"/>
  <c r="K343"/>
  <c r="F343" i="70"/>
  <c r="J343"/>
  <c r="D343" i="71"/>
  <c r="H343"/>
  <c r="L343"/>
  <c r="D343" i="72"/>
  <c r="H343"/>
  <c r="L343"/>
  <c r="D343" i="73"/>
  <c r="H343"/>
  <c r="L343"/>
  <c r="D343" i="74"/>
  <c r="H343"/>
  <c r="L343"/>
  <c r="L341" i="39"/>
  <c r="D343"/>
  <c r="H343"/>
  <c r="L343"/>
  <c r="K342"/>
  <c r="G343"/>
  <c r="K343"/>
  <c r="S343"/>
  <c r="J343" i="65"/>
  <c r="D343" i="68"/>
  <c r="H343"/>
  <c r="L343"/>
  <c r="F343" i="69"/>
  <c r="J343"/>
  <c r="E343" i="70"/>
  <c r="I343"/>
  <c r="M343"/>
  <c r="G343" i="71"/>
  <c r="K343"/>
  <c r="G343" i="72"/>
  <c r="G343" i="73"/>
  <c r="K343"/>
  <c r="G343" i="74"/>
  <c r="K343"/>
  <c r="S343"/>
  <c r="E343" i="65"/>
  <c r="I343"/>
  <c r="M343"/>
  <c r="G343" i="68"/>
  <c r="K343"/>
  <c r="S343"/>
  <c r="E343" i="69"/>
  <c r="I343"/>
  <c r="M343"/>
  <c r="D343" i="70"/>
  <c r="H343"/>
  <c r="L343"/>
  <c r="F343" i="71"/>
  <c r="J343"/>
  <c r="F343" i="72"/>
  <c r="J343"/>
  <c r="F343" i="73"/>
  <c r="J343"/>
  <c r="F343" i="74"/>
  <c r="J343"/>
  <c r="Y343" i="39"/>
  <c r="D341"/>
  <c r="E342"/>
  <c r="I342"/>
  <c r="M342"/>
  <c r="D342"/>
  <c r="H342"/>
  <c r="L342"/>
  <c r="J342" i="65"/>
  <c r="G342" i="68"/>
  <c r="K342"/>
  <c r="D342" i="69"/>
  <c r="L342"/>
  <c r="F342" i="70"/>
  <c r="J342"/>
  <c r="G342" i="71"/>
  <c r="K342"/>
  <c r="F342" i="72"/>
  <c r="J342"/>
  <c r="E342" i="73"/>
  <c r="I342"/>
  <c r="M342"/>
  <c r="D342" i="74"/>
  <c r="H342"/>
  <c r="L342"/>
  <c r="E342" i="65"/>
  <c r="I342"/>
  <c r="M342"/>
  <c r="AB342"/>
  <c r="F342" i="68"/>
  <c r="J342"/>
  <c r="G342" i="69"/>
  <c r="K342"/>
  <c r="E342" i="70"/>
  <c r="I342"/>
  <c r="M342"/>
  <c r="F342" i="71"/>
  <c r="J342"/>
  <c r="E342" i="72"/>
  <c r="I342"/>
  <c r="M342"/>
  <c r="D342" i="73"/>
  <c r="H342"/>
  <c r="L342"/>
  <c r="G342" i="74"/>
  <c r="K342"/>
  <c r="S342"/>
  <c r="Y342" i="39"/>
  <c r="H341"/>
  <c r="F342"/>
  <c r="J342"/>
  <c r="R342"/>
  <c r="AB342"/>
  <c r="D342" i="65"/>
  <c r="H342"/>
  <c r="L342"/>
  <c r="E342" i="68"/>
  <c r="I342"/>
  <c r="M342"/>
  <c r="F342" i="69"/>
  <c r="J342"/>
  <c r="D342" i="70"/>
  <c r="H342"/>
  <c r="L342"/>
  <c r="E342" i="71"/>
  <c r="I342"/>
  <c r="M342"/>
  <c r="D342" i="72"/>
  <c r="H342"/>
  <c r="L342"/>
  <c r="G342" i="73"/>
  <c r="K342"/>
  <c r="F342" i="74"/>
  <c r="J342"/>
  <c r="G342" i="65"/>
  <c r="K342"/>
  <c r="D342" i="68"/>
  <c r="H342"/>
  <c r="L342"/>
  <c r="E342" i="69"/>
  <c r="I342"/>
  <c r="M342"/>
  <c r="G342" i="70"/>
  <c r="K342"/>
  <c r="S342"/>
  <c r="D342" i="71"/>
  <c r="H342"/>
  <c r="L342"/>
  <c r="G342" i="72"/>
  <c r="F342" i="73"/>
  <c r="J342"/>
  <c r="E342" i="74"/>
  <c r="I342"/>
  <c r="M342"/>
  <c r="G341" i="39"/>
  <c r="K341"/>
  <c r="D341" i="65"/>
  <c r="H341"/>
  <c r="L341"/>
  <c r="D341" i="68"/>
  <c r="H341"/>
  <c r="L341"/>
  <c r="D341" i="69"/>
  <c r="H341"/>
  <c r="L341"/>
  <c r="E341" i="70"/>
  <c r="I341"/>
  <c r="M341"/>
  <c r="E341" i="71"/>
  <c r="I341"/>
  <c r="M341"/>
  <c r="G341" i="72"/>
  <c r="K341"/>
  <c r="E341" i="73"/>
  <c r="I341"/>
  <c r="M341"/>
  <c r="G341" i="74"/>
  <c r="K341"/>
  <c r="F341" i="39"/>
  <c r="J341"/>
  <c r="R341"/>
  <c r="AB341"/>
  <c r="G341" i="65"/>
  <c r="K341"/>
  <c r="G341" i="68"/>
  <c r="K341"/>
  <c r="G341" i="69"/>
  <c r="K341"/>
  <c r="D341" i="70"/>
  <c r="H341"/>
  <c r="L341"/>
  <c r="D341" i="71"/>
  <c r="H341"/>
  <c r="L341"/>
  <c r="F341" i="72"/>
  <c r="J341"/>
  <c r="D341" i="73"/>
  <c r="H341"/>
  <c r="L341"/>
  <c r="P341"/>
  <c r="F341" i="74"/>
  <c r="J341"/>
  <c r="R341"/>
  <c r="E341" i="39"/>
  <c r="I341"/>
  <c r="M341"/>
  <c r="F341" i="65"/>
  <c r="J341"/>
  <c r="AB341"/>
  <c r="F341" i="68"/>
  <c r="J341"/>
  <c r="R341"/>
  <c r="AB341"/>
  <c r="F341" i="69"/>
  <c r="J341"/>
  <c r="G341" i="70"/>
  <c r="K341"/>
  <c r="G341" i="71"/>
  <c r="K341"/>
  <c r="S341"/>
  <c r="E341" i="72"/>
  <c r="I341"/>
  <c r="M341"/>
  <c r="G341" i="73"/>
  <c r="K341"/>
  <c r="E341" i="74"/>
  <c r="I341"/>
  <c r="M341"/>
  <c r="E341" i="65"/>
  <c r="I341"/>
  <c r="M341"/>
  <c r="Q341"/>
  <c r="E341" i="68"/>
  <c r="I341"/>
  <c r="M341"/>
  <c r="E341" i="69"/>
  <c r="I341"/>
  <c r="M341"/>
  <c r="Q341"/>
  <c r="F341" i="70"/>
  <c r="J341"/>
  <c r="F341" i="71"/>
  <c r="J341"/>
  <c r="D341" i="72"/>
  <c r="H341"/>
  <c r="L341"/>
  <c r="F341" i="73"/>
  <c r="J341"/>
  <c r="N341"/>
  <c r="D341" i="74"/>
  <c r="H341"/>
  <c r="L341"/>
  <c r="Y341" i="39"/>
  <c r="L339"/>
  <c r="G340"/>
  <c r="H339"/>
  <c r="F340"/>
  <c r="J340"/>
  <c r="R340"/>
  <c r="F340" i="65"/>
  <c r="J340"/>
  <c r="E340" i="68"/>
  <c r="I340"/>
  <c r="M340"/>
  <c r="D340" i="69"/>
  <c r="H340"/>
  <c r="L340"/>
  <c r="D340" i="70"/>
  <c r="H340"/>
  <c r="L340"/>
  <c r="G340" i="71"/>
  <c r="K340"/>
  <c r="S340"/>
  <c r="D340" i="72"/>
  <c r="H340"/>
  <c r="L340"/>
  <c r="E340" i="73"/>
  <c r="I340"/>
  <c r="M340"/>
  <c r="F340" i="74"/>
  <c r="J340"/>
  <c r="E340" i="65"/>
  <c r="I340"/>
  <c r="M340"/>
  <c r="D340" i="68"/>
  <c r="H340"/>
  <c r="L340"/>
  <c r="G340" i="69"/>
  <c r="K340"/>
  <c r="G340" i="70"/>
  <c r="K340"/>
  <c r="F340" i="71"/>
  <c r="J340"/>
  <c r="G340" i="72"/>
  <c r="D340" i="73"/>
  <c r="H340"/>
  <c r="L340"/>
  <c r="E340" i="74"/>
  <c r="I340"/>
  <c r="M340"/>
  <c r="Y340" i="39"/>
  <c r="D337"/>
  <c r="K340"/>
  <c r="D339"/>
  <c r="E340"/>
  <c r="I340"/>
  <c r="M340"/>
  <c r="M338"/>
  <c r="D340"/>
  <c r="H340"/>
  <c r="L340"/>
  <c r="D340" i="65"/>
  <c r="H340"/>
  <c r="L340"/>
  <c r="K340" i="68"/>
  <c r="F340" i="69"/>
  <c r="J340"/>
  <c r="F340" i="70"/>
  <c r="J340"/>
  <c r="E340" i="71"/>
  <c r="I340"/>
  <c r="M340"/>
  <c r="F340" i="72"/>
  <c r="J340"/>
  <c r="G340" i="73"/>
  <c r="K340"/>
  <c r="D340" i="74"/>
  <c r="H340"/>
  <c r="L340"/>
  <c r="G340" i="65"/>
  <c r="K340"/>
  <c r="F340" i="68"/>
  <c r="J340"/>
  <c r="E340" i="69"/>
  <c r="I340"/>
  <c r="M340"/>
  <c r="E340" i="70"/>
  <c r="M340"/>
  <c r="D340" i="71"/>
  <c r="H340"/>
  <c r="L340"/>
  <c r="E340" i="72"/>
  <c r="I340"/>
  <c r="M340"/>
  <c r="F340" i="73"/>
  <c r="J340"/>
  <c r="G340" i="74"/>
  <c r="K340"/>
  <c r="E338" i="39"/>
  <c r="F339"/>
  <c r="AB339"/>
  <c r="E339"/>
  <c r="I339"/>
  <c r="M339"/>
  <c r="D339" i="65"/>
  <c r="H339"/>
  <c r="L339"/>
  <c r="AB339"/>
  <c r="F339" i="68"/>
  <c r="J339"/>
  <c r="D339" i="69"/>
  <c r="L339"/>
  <c r="G339" i="70"/>
  <c r="K339"/>
  <c r="E339" i="71"/>
  <c r="I339"/>
  <c r="M339"/>
  <c r="E339" i="72"/>
  <c r="I339"/>
  <c r="M339"/>
  <c r="E339" i="73"/>
  <c r="I339"/>
  <c r="M339"/>
  <c r="E339" i="74"/>
  <c r="I339"/>
  <c r="M339"/>
  <c r="G339" i="65"/>
  <c r="K339"/>
  <c r="E339" i="68"/>
  <c r="I339"/>
  <c r="M339"/>
  <c r="G339" i="69"/>
  <c r="K339"/>
  <c r="F339" i="70"/>
  <c r="J339"/>
  <c r="D339" i="71"/>
  <c r="H339"/>
  <c r="L339"/>
  <c r="D339" i="72"/>
  <c r="H339"/>
  <c r="L339"/>
  <c r="D339" i="73"/>
  <c r="H339"/>
  <c r="L339"/>
  <c r="D339" i="74"/>
  <c r="H339"/>
  <c r="L339"/>
  <c r="I338" i="39"/>
  <c r="G339"/>
  <c r="K339"/>
  <c r="F339" i="65"/>
  <c r="J339"/>
  <c r="D339" i="68"/>
  <c r="H339"/>
  <c r="L339"/>
  <c r="F339" i="69"/>
  <c r="J339"/>
  <c r="E339" i="70"/>
  <c r="M339"/>
  <c r="G339" i="71"/>
  <c r="K339"/>
  <c r="G339" i="72"/>
  <c r="G339" i="73"/>
  <c r="K339"/>
  <c r="G339" i="74"/>
  <c r="K339"/>
  <c r="S339"/>
  <c r="J339" i="39"/>
  <c r="R339"/>
  <c r="E339" i="65"/>
  <c r="I339"/>
  <c r="M339"/>
  <c r="G339" i="68"/>
  <c r="K339"/>
  <c r="S339"/>
  <c r="E339" i="69"/>
  <c r="I339"/>
  <c r="M339"/>
  <c r="D339" i="70"/>
  <c r="H339"/>
  <c r="L339"/>
  <c r="F339" i="71"/>
  <c r="J339"/>
  <c r="F339" i="72"/>
  <c r="J339"/>
  <c r="F339" i="73"/>
  <c r="J339"/>
  <c r="F339" i="74"/>
  <c r="J339"/>
  <c r="Y339" i="39"/>
  <c r="M336"/>
  <c r="D338"/>
  <c r="H338"/>
  <c r="L338"/>
  <c r="J338" i="65"/>
  <c r="G338" i="68"/>
  <c r="K338"/>
  <c r="D338" i="69"/>
  <c r="L338"/>
  <c r="F338" i="70"/>
  <c r="J338"/>
  <c r="G338" i="71"/>
  <c r="K338"/>
  <c r="F338" i="72"/>
  <c r="J338"/>
  <c r="E338" i="73"/>
  <c r="I338"/>
  <c r="M338"/>
  <c r="D338" i="74"/>
  <c r="H338"/>
  <c r="L338"/>
  <c r="D335" i="39"/>
  <c r="E338" i="65"/>
  <c r="I338"/>
  <c r="M338"/>
  <c r="AB338"/>
  <c r="F338" i="68"/>
  <c r="J338"/>
  <c r="G338" i="69"/>
  <c r="K338"/>
  <c r="E338" i="70"/>
  <c r="I338"/>
  <c r="M338"/>
  <c r="F338" i="71"/>
  <c r="J338"/>
  <c r="E338" i="72"/>
  <c r="I338"/>
  <c r="M338"/>
  <c r="D338" i="73"/>
  <c r="H338"/>
  <c r="L338"/>
  <c r="G338" i="74"/>
  <c r="K338"/>
  <c r="Y338" i="39"/>
  <c r="L337"/>
  <c r="G338"/>
  <c r="K338"/>
  <c r="H337"/>
  <c r="F338"/>
  <c r="J338"/>
  <c r="R338"/>
  <c r="AB338"/>
  <c r="D338" i="65"/>
  <c r="H338"/>
  <c r="L338"/>
  <c r="E338" i="68"/>
  <c r="I338"/>
  <c r="M338"/>
  <c r="F338" i="69"/>
  <c r="J338"/>
  <c r="D338" i="70"/>
  <c r="H338"/>
  <c r="L338"/>
  <c r="E338" i="71"/>
  <c r="I338"/>
  <c r="M338"/>
  <c r="D338" i="72"/>
  <c r="H338"/>
  <c r="L338"/>
  <c r="G338" i="73"/>
  <c r="K338"/>
  <c r="F338" i="74"/>
  <c r="J338"/>
  <c r="G338" i="65"/>
  <c r="K338"/>
  <c r="D338" i="68"/>
  <c r="H338"/>
  <c r="L338"/>
  <c r="E338" i="69"/>
  <c r="I338"/>
  <c r="M338"/>
  <c r="G338" i="70"/>
  <c r="K338"/>
  <c r="S338"/>
  <c r="D338" i="71"/>
  <c r="H338"/>
  <c r="L338"/>
  <c r="G338" i="72"/>
  <c r="F338" i="73"/>
  <c r="J338"/>
  <c r="E338" i="74"/>
  <c r="I338"/>
  <c r="M338"/>
  <c r="D333" i="39"/>
  <c r="I336"/>
  <c r="G337"/>
  <c r="K337"/>
  <c r="S337"/>
  <c r="D337" i="65"/>
  <c r="H337"/>
  <c r="L337"/>
  <c r="D337" i="68"/>
  <c r="H337"/>
  <c r="L337"/>
  <c r="D337" i="69"/>
  <c r="L337"/>
  <c r="E337" i="70"/>
  <c r="I337"/>
  <c r="M337"/>
  <c r="E337" i="71"/>
  <c r="I337"/>
  <c r="M337"/>
  <c r="G337" i="72"/>
  <c r="E337" i="73"/>
  <c r="I337"/>
  <c r="M337"/>
  <c r="G337" i="74"/>
  <c r="K337"/>
  <c r="J337" i="39"/>
  <c r="R337"/>
  <c r="AB337"/>
  <c r="G337" i="65"/>
  <c r="K337"/>
  <c r="K337" i="68"/>
  <c r="G337" i="69"/>
  <c r="K337"/>
  <c r="D337" i="70"/>
  <c r="H337"/>
  <c r="L337"/>
  <c r="D337" i="71"/>
  <c r="H337"/>
  <c r="L337"/>
  <c r="F337" i="72"/>
  <c r="J337"/>
  <c r="D337" i="73"/>
  <c r="H337"/>
  <c r="L337"/>
  <c r="F337" i="74"/>
  <c r="J337"/>
  <c r="E336" i="39"/>
  <c r="F337"/>
  <c r="Q336"/>
  <c r="E337"/>
  <c r="I337"/>
  <c r="M337"/>
  <c r="F337" i="65"/>
  <c r="J337"/>
  <c r="AB337"/>
  <c r="F337" i="68"/>
  <c r="J337"/>
  <c r="F337" i="69"/>
  <c r="J337"/>
  <c r="G337" i="70"/>
  <c r="K337"/>
  <c r="G337" i="71"/>
  <c r="K337"/>
  <c r="S337"/>
  <c r="E337" i="72"/>
  <c r="I337"/>
  <c r="M337"/>
  <c r="G337" i="73"/>
  <c r="K337"/>
  <c r="E337" i="74"/>
  <c r="I337"/>
  <c r="M337"/>
  <c r="E337" i="65"/>
  <c r="I337"/>
  <c r="M337"/>
  <c r="E337" i="68"/>
  <c r="I337"/>
  <c r="M337"/>
  <c r="E337" i="69"/>
  <c r="I337"/>
  <c r="M337"/>
  <c r="F337" i="70"/>
  <c r="J337"/>
  <c r="F337" i="71"/>
  <c r="J337"/>
  <c r="D337" i="72"/>
  <c r="H337"/>
  <c r="L337"/>
  <c r="F337" i="73"/>
  <c r="J337"/>
  <c r="D337" i="74"/>
  <c r="H337"/>
  <c r="L337"/>
  <c r="Y337" i="39"/>
  <c r="M334"/>
  <c r="G336"/>
  <c r="S336"/>
  <c r="AB335"/>
  <c r="E334"/>
  <c r="H335"/>
  <c r="F336"/>
  <c r="J336"/>
  <c r="N336"/>
  <c r="R336"/>
  <c r="AB336"/>
  <c r="F336" i="65"/>
  <c r="J336"/>
  <c r="E336" i="68"/>
  <c r="I336"/>
  <c r="M336"/>
  <c r="Q336"/>
  <c r="D336" i="69"/>
  <c r="H336"/>
  <c r="L336"/>
  <c r="D336" i="70"/>
  <c r="H336"/>
  <c r="L336"/>
  <c r="G336" i="71"/>
  <c r="K336"/>
  <c r="D336" i="72"/>
  <c r="H336"/>
  <c r="L336"/>
  <c r="E336" i="73"/>
  <c r="I336"/>
  <c r="M336"/>
  <c r="Q336"/>
  <c r="F336" i="74"/>
  <c r="J336"/>
  <c r="E336" i="65"/>
  <c r="I336"/>
  <c r="M336"/>
  <c r="Q336"/>
  <c r="D336" i="68"/>
  <c r="H336"/>
  <c r="L336"/>
  <c r="G336" i="69"/>
  <c r="K336"/>
  <c r="G336" i="70"/>
  <c r="K336"/>
  <c r="F336" i="71"/>
  <c r="J336"/>
  <c r="G336" i="72"/>
  <c r="K336"/>
  <c r="D336" i="73"/>
  <c r="H336"/>
  <c r="L336"/>
  <c r="E336" i="74"/>
  <c r="I336"/>
  <c r="M336"/>
  <c r="Q336"/>
  <c r="Y336" i="39"/>
  <c r="D336"/>
  <c r="H336"/>
  <c r="L336"/>
  <c r="D336" i="65"/>
  <c r="H336"/>
  <c r="L336"/>
  <c r="G336" i="68"/>
  <c r="K336"/>
  <c r="AB336"/>
  <c r="F336" i="69"/>
  <c r="J336"/>
  <c r="F336" i="70"/>
  <c r="J336"/>
  <c r="E336" i="71"/>
  <c r="I336"/>
  <c r="M336"/>
  <c r="Q336"/>
  <c r="F336" i="72"/>
  <c r="J336"/>
  <c r="G336" i="73"/>
  <c r="K336"/>
  <c r="D336" i="74"/>
  <c r="H336"/>
  <c r="L336"/>
  <c r="L335" i="39"/>
  <c r="K336"/>
  <c r="G336" i="65"/>
  <c r="K336"/>
  <c r="F336" i="68"/>
  <c r="J336"/>
  <c r="E336" i="69"/>
  <c r="I336"/>
  <c r="M336"/>
  <c r="Q336"/>
  <c r="E336" i="70"/>
  <c r="I336"/>
  <c r="M336"/>
  <c r="Q336"/>
  <c r="D336" i="71"/>
  <c r="H336"/>
  <c r="L336"/>
  <c r="E336" i="72"/>
  <c r="I336"/>
  <c r="M336"/>
  <c r="Q336"/>
  <c r="F336" i="73"/>
  <c r="J336"/>
  <c r="G336" i="74"/>
  <c r="K336"/>
  <c r="I334" i="39"/>
  <c r="J335"/>
  <c r="R335"/>
  <c r="AB328"/>
  <c r="L333"/>
  <c r="G334"/>
  <c r="E335"/>
  <c r="I335"/>
  <c r="M335"/>
  <c r="D335" i="65"/>
  <c r="H335"/>
  <c r="L335"/>
  <c r="AB335"/>
  <c r="F335" i="68"/>
  <c r="J335"/>
  <c r="D335" i="69"/>
  <c r="H335"/>
  <c r="L335"/>
  <c r="G335" i="70"/>
  <c r="K335"/>
  <c r="E335" i="71"/>
  <c r="I335"/>
  <c r="M335"/>
  <c r="E335" i="72"/>
  <c r="I335"/>
  <c r="M335"/>
  <c r="E335" i="73"/>
  <c r="I335"/>
  <c r="M335"/>
  <c r="E335" i="74"/>
  <c r="I335"/>
  <c r="G335" i="65"/>
  <c r="K335"/>
  <c r="E335" i="68"/>
  <c r="I335"/>
  <c r="M335"/>
  <c r="G335" i="69"/>
  <c r="K335"/>
  <c r="S335"/>
  <c r="F335" i="70"/>
  <c r="J335"/>
  <c r="D335" i="71"/>
  <c r="H335"/>
  <c r="L335"/>
  <c r="D335" i="72"/>
  <c r="H335"/>
  <c r="L335"/>
  <c r="D335" i="73"/>
  <c r="H335"/>
  <c r="D335" i="74"/>
  <c r="H335"/>
  <c r="L335"/>
  <c r="K334" i="39"/>
  <c r="G335"/>
  <c r="K335"/>
  <c r="F335" i="65"/>
  <c r="J335"/>
  <c r="D335" i="68"/>
  <c r="H335"/>
  <c r="L335"/>
  <c r="F335" i="69"/>
  <c r="J335"/>
  <c r="E335" i="70"/>
  <c r="I335"/>
  <c r="M335"/>
  <c r="G335" i="71"/>
  <c r="K335"/>
  <c r="S335"/>
  <c r="G335" i="72"/>
  <c r="G335" i="73"/>
  <c r="K335"/>
  <c r="G335" i="74"/>
  <c r="K335"/>
  <c r="F335" i="39"/>
  <c r="E335" i="65"/>
  <c r="I335"/>
  <c r="M335"/>
  <c r="G335" i="68"/>
  <c r="K335"/>
  <c r="E335" i="69"/>
  <c r="I335"/>
  <c r="M335"/>
  <c r="D335" i="70"/>
  <c r="H335"/>
  <c r="L335"/>
  <c r="F335" i="71"/>
  <c r="J335"/>
  <c r="F335" i="72"/>
  <c r="J335"/>
  <c r="F335" i="73"/>
  <c r="J335"/>
  <c r="F335" i="74"/>
  <c r="J335"/>
  <c r="Y335" i="39"/>
  <c r="M332"/>
  <c r="D334"/>
  <c r="H334"/>
  <c r="L334"/>
  <c r="F334" i="65"/>
  <c r="J334"/>
  <c r="G334" i="68"/>
  <c r="K334"/>
  <c r="D334" i="69"/>
  <c r="H334"/>
  <c r="L334"/>
  <c r="F334" i="70"/>
  <c r="J334"/>
  <c r="G334" i="71"/>
  <c r="K334"/>
  <c r="F334" i="72"/>
  <c r="J334"/>
  <c r="E334" i="73"/>
  <c r="I334"/>
  <c r="M334"/>
  <c r="D334" i="74"/>
  <c r="H334"/>
  <c r="L334"/>
  <c r="E334" i="65"/>
  <c r="I334"/>
  <c r="M334"/>
  <c r="AB334"/>
  <c r="F334" i="68"/>
  <c r="J334"/>
  <c r="G334" i="69"/>
  <c r="K334"/>
  <c r="E334" i="70"/>
  <c r="I334"/>
  <c r="M334"/>
  <c r="F334" i="71"/>
  <c r="J334"/>
  <c r="E334" i="72"/>
  <c r="I334"/>
  <c r="M334"/>
  <c r="D334" i="73"/>
  <c r="H334"/>
  <c r="G334" i="74"/>
  <c r="K334"/>
  <c r="Y334" i="39"/>
  <c r="H333"/>
  <c r="F334"/>
  <c r="J334"/>
  <c r="R334"/>
  <c r="AB334"/>
  <c r="D334" i="65"/>
  <c r="H334"/>
  <c r="L334"/>
  <c r="E334" i="68"/>
  <c r="I334"/>
  <c r="M334"/>
  <c r="F334" i="69"/>
  <c r="J334"/>
  <c r="D334" i="70"/>
  <c r="H334"/>
  <c r="L334"/>
  <c r="E334" i="71"/>
  <c r="I334"/>
  <c r="M334"/>
  <c r="D334" i="72"/>
  <c r="H334"/>
  <c r="L334"/>
  <c r="G334" i="73"/>
  <c r="K334"/>
  <c r="F334" i="74"/>
  <c r="J334"/>
  <c r="G334" i="65"/>
  <c r="K334"/>
  <c r="D334" i="68"/>
  <c r="H334"/>
  <c r="L334"/>
  <c r="E334" i="69"/>
  <c r="I334"/>
  <c r="M334"/>
  <c r="G334" i="70"/>
  <c r="K334"/>
  <c r="D334" i="71"/>
  <c r="H334"/>
  <c r="L334"/>
  <c r="G334" i="72"/>
  <c r="F334" i="73"/>
  <c r="J334"/>
  <c r="E334" i="74"/>
  <c r="I334"/>
  <c r="I332" i="39"/>
  <c r="G333"/>
  <c r="K333"/>
  <c r="D333" i="65"/>
  <c r="H333"/>
  <c r="L333"/>
  <c r="D333" i="68"/>
  <c r="H333"/>
  <c r="L333"/>
  <c r="D333" i="69"/>
  <c r="H333"/>
  <c r="L333"/>
  <c r="E333" i="70"/>
  <c r="M333"/>
  <c r="E333" i="71"/>
  <c r="I333"/>
  <c r="M333"/>
  <c r="G333" i="72"/>
  <c r="E333" i="73"/>
  <c r="I333"/>
  <c r="M333"/>
  <c r="G333" i="74"/>
  <c r="K333"/>
  <c r="J333" i="39"/>
  <c r="G333" i="65"/>
  <c r="K333"/>
  <c r="G333" i="68"/>
  <c r="K333"/>
  <c r="G333" i="69"/>
  <c r="K333"/>
  <c r="D333" i="70"/>
  <c r="H333"/>
  <c r="L333"/>
  <c r="D333" i="71"/>
  <c r="H333"/>
  <c r="L333"/>
  <c r="F333" i="72"/>
  <c r="J333"/>
  <c r="D333" i="73"/>
  <c r="H333"/>
  <c r="L333"/>
  <c r="F333" i="74"/>
  <c r="J333"/>
  <c r="E332" i="39"/>
  <c r="F333"/>
  <c r="R333"/>
  <c r="AB333"/>
  <c r="E333"/>
  <c r="I333"/>
  <c r="M333"/>
  <c r="J333" i="65"/>
  <c r="AB333"/>
  <c r="F333" i="68"/>
  <c r="J333"/>
  <c r="F333" i="69"/>
  <c r="J333"/>
  <c r="G333" i="70"/>
  <c r="K333"/>
  <c r="G333" i="71"/>
  <c r="K333"/>
  <c r="E333" i="72"/>
  <c r="I333"/>
  <c r="M333"/>
  <c r="G333" i="73"/>
  <c r="K333"/>
  <c r="E333" i="74"/>
  <c r="I333"/>
  <c r="M333"/>
  <c r="E333" i="65"/>
  <c r="I333"/>
  <c r="M333"/>
  <c r="E333" i="68"/>
  <c r="I333"/>
  <c r="M333"/>
  <c r="E333" i="69"/>
  <c r="I333"/>
  <c r="M333"/>
  <c r="F333" i="70"/>
  <c r="J333"/>
  <c r="F333" i="71"/>
  <c r="J333"/>
  <c r="D333" i="72"/>
  <c r="H333"/>
  <c r="L333"/>
  <c r="F333" i="73"/>
  <c r="J333"/>
  <c r="D333" i="74"/>
  <c r="H333"/>
  <c r="L333"/>
  <c r="Y333" i="39"/>
  <c r="D329"/>
  <c r="AB331"/>
  <c r="K332"/>
  <c r="S332"/>
  <c r="F331"/>
  <c r="F332"/>
  <c r="J332"/>
  <c r="R332"/>
  <c r="AB332"/>
  <c r="J332" i="65"/>
  <c r="E332" i="68"/>
  <c r="I332"/>
  <c r="M332"/>
  <c r="D332" i="69"/>
  <c r="L332"/>
  <c r="D332" i="70"/>
  <c r="H332"/>
  <c r="L332"/>
  <c r="G332" i="71"/>
  <c r="K332"/>
  <c r="D332" i="72"/>
  <c r="H332"/>
  <c r="L332"/>
  <c r="E332" i="73"/>
  <c r="I332"/>
  <c r="M332"/>
  <c r="F332" i="74"/>
  <c r="J332"/>
  <c r="E332" i="65"/>
  <c r="I332"/>
  <c r="M332"/>
  <c r="D332" i="68"/>
  <c r="H332"/>
  <c r="L332"/>
  <c r="G332" i="69"/>
  <c r="K332"/>
  <c r="G332" i="70"/>
  <c r="K332"/>
  <c r="F332" i="71"/>
  <c r="J332"/>
  <c r="G332" i="72"/>
  <c r="D332" i="73"/>
  <c r="H332"/>
  <c r="L332"/>
  <c r="E332" i="74"/>
  <c r="I332"/>
  <c r="M332"/>
  <c r="Y332" i="39"/>
  <c r="G330"/>
  <c r="D332"/>
  <c r="H332"/>
  <c r="L332"/>
  <c r="D332" i="65"/>
  <c r="H332"/>
  <c r="L332"/>
  <c r="G332" i="68"/>
  <c r="K332"/>
  <c r="F332" i="69"/>
  <c r="J332"/>
  <c r="F332" i="70"/>
  <c r="J332"/>
  <c r="E332" i="71"/>
  <c r="I332"/>
  <c r="M332"/>
  <c r="F332" i="72"/>
  <c r="J332"/>
  <c r="G332" i="73"/>
  <c r="K332"/>
  <c r="D332" i="74"/>
  <c r="H332"/>
  <c r="L332"/>
  <c r="J331" i="39"/>
  <c r="G332"/>
  <c r="G332" i="65"/>
  <c r="K332"/>
  <c r="F332" i="68"/>
  <c r="J332"/>
  <c r="E332" i="69"/>
  <c r="I332"/>
  <c r="M332"/>
  <c r="E332" i="70"/>
  <c r="I332"/>
  <c r="M332"/>
  <c r="D332" i="71"/>
  <c r="H332"/>
  <c r="L332"/>
  <c r="E332" i="72"/>
  <c r="I332"/>
  <c r="M332"/>
  <c r="F332" i="73"/>
  <c r="J332"/>
  <c r="G332" i="74"/>
  <c r="K332"/>
  <c r="E331" i="39"/>
  <c r="I331"/>
  <c r="M331"/>
  <c r="D331" i="65"/>
  <c r="H331"/>
  <c r="L331"/>
  <c r="AB331"/>
  <c r="F331" i="68"/>
  <c r="J331"/>
  <c r="D331" i="69"/>
  <c r="H331"/>
  <c r="L331"/>
  <c r="G331" i="70"/>
  <c r="K331"/>
  <c r="E331" i="71"/>
  <c r="I331"/>
  <c r="M331"/>
  <c r="E331" i="72"/>
  <c r="I331"/>
  <c r="M331"/>
  <c r="E331" i="73"/>
  <c r="I331"/>
  <c r="M331"/>
  <c r="E331" i="74"/>
  <c r="I331"/>
  <c r="M331"/>
  <c r="H331" i="39"/>
  <c r="G331" i="65"/>
  <c r="K331"/>
  <c r="E331" i="68"/>
  <c r="I331"/>
  <c r="M331"/>
  <c r="G331" i="69"/>
  <c r="K331"/>
  <c r="F331" i="70"/>
  <c r="J331"/>
  <c r="D331" i="71"/>
  <c r="H331"/>
  <c r="L331"/>
  <c r="D331" i="72"/>
  <c r="H331"/>
  <c r="L331"/>
  <c r="D331" i="73"/>
  <c r="H331"/>
  <c r="L331"/>
  <c r="D331" i="74"/>
  <c r="H331"/>
  <c r="L331"/>
  <c r="D331" i="39"/>
  <c r="L331"/>
  <c r="L329"/>
  <c r="K330"/>
  <c r="G331"/>
  <c r="K331"/>
  <c r="F331" i="65"/>
  <c r="J331"/>
  <c r="N331"/>
  <c r="D331" i="68"/>
  <c r="H331"/>
  <c r="L331"/>
  <c r="AB331"/>
  <c r="F331" i="69"/>
  <c r="J331"/>
  <c r="N331"/>
  <c r="E331" i="70"/>
  <c r="M331"/>
  <c r="G331" i="71"/>
  <c r="K331"/>
  <c r="G331" i="72"/>
  <c r="G331" i="73"/>
  <c r="K331"/>
  <c r="G331" i="74"/>
  <c r="K331"/>
  <c r="E331" i="65"/>
  <c r="I331"/>
  <c r="M331"/>
  <c r="K331" i="68"/>
  <c r="E331" i="69"/>
  <c r="I331"/>
  <c r="M331"/>
  <c r="D331" i="70"/>
  <c r="H331"/>
  <c r="L331"/>
  <c r="F331" i="71"/>
  <c r="J331"/>
  <c r="F331" i="72"/>
  <c r="J331"/>
  <c r="F331" i="73"/>
  <c r="J331"/>
  <c r="N331"/>
  <c r="F331" i="74"/>
  <c r="J331"/>
  <c r="Y331" i="39"/>
  <c r="R325"/>
  <c r="I330"/>
  <c r="M330"/>
  <c r="H328"/>
  <c r="F329"/>
  <c r="N329"/>
  <c r="D330"/>
  <c r="H330"/>
  <c r="L330"/>
  <c r="F330" i="65"/>
  <c r="J330"/>
  <c r="G330" i="68"/>
  <c r="K330"/>
  <c r="D330" i="69"/>
  <c r="L330"/>
  <c r="F330" i="70"/>
  <c r="J330"/>
  <c r="G330" i="71"/>
  <c r="K330"/>
  <c r="S330"/>
  <c r="F330" i="72"/>
  <c r="J330"/>
  <c r="E330" i="73"/>
  <c r="I330"/>
  <c r="M330"/>
  <c r="D330" i="74"/>
  <c r="H330"/>
  <c r="L330"/>
  <c r="E330" i="65"/>
  <c r="I330"/>
  <c r="M330"/>
  <c r="AB330"/>
  <c r="F330" i="68"/>
  <c r="J330"/>
  <c r="G330" i="69"/>
  <c r="K330"/>
  <c r="E330" i="70"/>
  <c r="M330"/>
  <c r="F330" i="71"/>
  <c r="J330"/>
  <c r="E330" i="72"/>
  <c r="I330"/>
  <c r="M330"/>
  <c r="D330" i="73"/>
  <c r="H330"/>
  <c r="L330"/>
  <c r="G330" i="74"/>
  <c r="K330"/>
  <c r="Y330" i="39"/>
  <c r="F327"/>
  <c r="J329"/>
  <c r="R329"/>
  <c r="AB329"/>
  <c r="F330"/>
  <c r="J330"/>
  <c r="R330"/>
  <c r="AB330"/>
  <c r="D330" i="65"/>
  <c r="H330"/>
  <c r="L330"/>
  <c r="E330" i="68"/>
  <c r="I330"/>
  <c r="M330"/>
  <c r="F330" i="69"/>
  <c r="J330"/>
  <c r="D330" i="70"/>
  <c r="H330"/>
  <c r="L330"/>
  <c r="E330" i="71"/>
  <c r="I330"/>
  <c r="M330"/>
  <c r="D330" i="72"/>
  <c r="H330"/>
  <c r="L330"/>
  <c r="G330" i="73"/>
  <c r="K330"/>
  <c r="F330" i="74"/>
  <c r="J330"/>
  <c r="H329" i="39"/>
  <c r="E330"/>
  <c r="G330" i="65"/>
  <c r="K330"/>
  <c r="D330" i="68"/>
  <c r="H330"/>
  <c r="L330"/>
  <c r="E330" i="69"/>
  <c r="I330"/>
  <c r="M330"/>
  <c r="G330" i="70"/>
  <c r="K330"/>
  <c r="D330" i="71"/>
  <c r="H330"/>
  <c r="L330"/>
  <c r="G330" i="72"/>
  <c r="F330" i="73"/>
  <c r="J330"/>
  <c r="E330" i="74"/>
  <c r="I330"/>
  <c r="M330"/>
  <c r="L328" i="39"/>
  <c r="G329"/>
  <c r="K329"/>
  <c r="O329"/>
  <c r="S329"/>
  <c r="D329" i="65"/>
  <c r="H329"/>
  <c r="L329"/>
  <c r="D329" i="68"/>
  <c r="H329"/>
  <c r="L329"/>
  <c r="D329" i="69"/>
  <c r="H329"/>
  <c r="L329"/>
  <c r="E329" i="70"/>
  <c r="I329"/>
  <c r="M329"/>
  <c r="Q329"/>
  <c r="E329" i="71"/>
  <c r="I329"/>
  <c r="M329"/>
  <c r="Q329"/>
  <c r="G329" i="72"/>
  <c r="K329"/>
  <c r="E329" i="73"/>
  <c r="I329"/>
  <c r="M329"/>
  <c r="Q329"/>
  <c r="G329" i="74"/>
  <c r="K329"/>
  <c r="G329" i="65"/>
  <c r="K329"/>
  <c r="G329" i="68"/>
  <c r="K329"/>
  <c r="G329" i="69"/>
  <c r="K329"/>
  <c r="D329" i="70"/>
  <c r="H329"/>
  <c r="L329"/>
  <c r="D329" i="71"/>
  <c r="H329"/>
  <c r="L329"/>
  <c r="F329" i="72"/>
  <c r="J329"/>
  <c r="D329" i="73"/>
  <c r="H329"/>
  <c r="L329"/>
  <c r="F329" i="74"/>
  <c r="J329"/>
  <c r="D328" i="39"/>
  <c r="E329"/>
  <c r="I329"/>
  <c r="M329"/>
  <c r="Q329"/>
  <c r="F329" i="65"/>
  <c r="J329"/>
  <c r="AB329"/>
  <c r="F329" i="68"/>
  <c r="J329"/>
  <c r="AB329"/>
  <c r="F329" i="69"/>
  <c r="J329"/>
  <c r="G329" i="70"/>
  <c r="K329"/>
  <c r="G329" i="71"/>
  <c r="K329"/>
  <c r="E329" i="72"/>
  <c r="I329"/>
  <c r="M329"/>
  <c r="Q329"/>
  <c r="G329" i="73"/>
  <c r="K329"/>
  <c r="E329" i="74"/>
  <c r="I329"/>
  <c r="M329"/>
  <c r="Q329"/>
  <c r="E329" i="65"/>
  <c r="I329"/>
  <c r="M329"/>
  <c r="Q329"/>
  <c r="E329" i="68"/>
  <c r="I329"/>
  <c r="M329"/>
  <c r="Q329"/>
  <c r="E329" i="69"/>
  <c r="I329"/>
  <c r="M329"/>
  <c r="Q329"/>
  <c r="F329" i="70"/>
  <c r="J329"/>
  <c r="F329" i="71"/>
  <c r="J329"/>
  <c r="D329" i="72"/>
  <c r="H329"/>
  <c r="L329"/>
  <c r="F329" i="73"/>
  <c r="J329"/>
  <c r="D329" i="74"/>
  <c r="H329"/>
  <c r="L329"/>
  <c r="Y329" i="39"/>
  <c r="L327"/>
  <c r="K328"/>
  <c r="D328" i="65"/>
  <c r="H328"/>
  <c r="L328"/>
  <c r="E328" i="68"/>
  <c r="I328"/>
  <c r="M328"/>
  <c r="F328" i="69"/>
  <c r="J328"/>
  <c r="D328" i="70"/>
  <c r="H328"/>
  <c r="L328"/>
  <c r="G328" i="71"/>
  <c r="K328"/>
  <c r="S328"/>
  <c r="G328" i="72"/>
  <c r="F328" i="73"/>
  <c r="J328"/>
  <c r="E328" i="74"/>
  <c r="I328"/>
  <c r="M328"/>
  <c r="Y328" i="39"/>
  <c r="M326"/>
  <c r="D327"/>
  <c r="G328"/>
  <c r="I326"/>
  <c r="J327"/>
  <c r="R327"/>
  <c r="AB327"/>
  <c r="F328"/>
  <c r="J328"/>
  <c r="R328"/>
  <c r="G328" i="65"/>
  <c r="K328"/>
  <c r="D328" i="68"/>
  <c r="H328"/>
  <c r="L328"/>
  <c r="E328" i="69"/>
  <c r="I328"/>
  <c r="M328"/>
  <c r="G328" i="70"/>
  <c r="K328"/>
  <c r="F328" i="71"/>
  <c r="J328"/>
  <c r="F328" i="72"/>
  <c r="J328"/>
  <c r="E328" i="73"/>
  <c r="I328"/>
  <c r="M328"/>
  <c r="D328" i="74"/>
  <c r="H328"/>
  <c r="L328"/>
  <c r="E326" i="39"/>
  <c r="H327"/>
  <c r="E328"/>
  <c r="I328"/>
  <c r="M328"/>
  <c r="F328" i="65"/>
  <c r="J328"/>
  <c r="G328" i="68"/>
  <c r="K328"/>
  <c r="D328" i="69"/>
  <c r="L328"/>
  <c r="F328" i="70"/>
  <c r="J328"/>
  <c r="E328" i="71"/>
  <c r="I328"/>
  <c r="M328"/>
  <c r="E328" i="72"/>
  <c r="I328"/>
  <c r="M328"/>
  <c r="D328" i="73"/>
  <c r="H328"/>
  <c r="L328"/>
  <c r="G328" i="74"/>
  <c r="K328"/>
  <c r="I324" i="39"/>
  <c r="AB325"/>
  <c r="K326"/>
  <c r="G327"/>
  <c r="K327"/>
  <c r="G327" i="65"/>
  <c r="K327"/>
  <c r="AB327"/>
  <c r="G327" i="68"/>
  <c r="K327"/>
  <c r="G327" i="69"/>
  <c r="K327"/>
  <c r="D327" i="70"/>
  <c r="H327"/>
  <c r="L327"/>
  <c r="F327" i="71"/>
  <c r="J327"/>
  <c r="E327" i="72"/>
  <c r="I327"/>
  <c r="M327"/>
  <c r="G327" i="73"/>
  <c r="K327"/>
  <c r="E327" i="74"/>
  <c r="I327"/>
  <c r="M327"/>
  <c r="J327" i="65"/>
  <c r="F327" i="68"/>
  <c r="J327"/>
  <c r="F327" i="69"/>
  <c r="J327"/>
  <c r="G327" i="70"/>
  <c r="K327"/>
  <c r="S327"/>
  <c r="E327" i="71"/>
  <c r="I327"/>
  <c r="M327"/>
  <c r="D327" i="72"/>
  <c r="H327"/>
  <c r="L327"/>
  <c r="F327" i="73"/>
  <c r="J327"/>
  <c r="D327" i="74"/>
  <c r="H327"/>
  <c r="L327"/>
  <c r="J325" i="39"/>
  <c r="G326"/>
  <c r="E327"/>
  <c r="I327"/>
  <c r="M327"/>
  <c r="E327" i="65"/>
  <c r="I327"/>
  <c r="M327"/>
  <c r="E327" i="68"/>
  <c r="I327"/>
  <c r="M327"/>
  <c r="E327" i="69"/>
  <c r="I327"/>
  <c r="M327"/>
  <c r="F327" i="70"/>
  <c r="J327"/>
  <c r="D327" i="71"/>
  <c r="H327"/>
  <c r="L327"/>
  <c r="G327" i="72"/>
  <c r="E327" i="73"/>
  <c r="I327"/>
  <c r="M327"/>
  <c r="G327" i="74"/>
  <c r="K327"/>
  <c r="D327" i="65"/>
  <c r="H327"/>
  <c r="L327"/>
  <c r="D327" i="68"/>
  <c r="H327"/>
  <c r="L327"/>
  <c r="D327" i="69"/>
  <c r="L327"/>
  <c r="E327" i="70"/>
  <c r="I327"/>
  <c r="M327"/>
  <c r="G327" i="71"/>
  <c r="K327"/>
  <c r="F327" i="72"/>
  <c r="J327"/>
  <c r="D327" i="73"/>
  <c r="H327"/>
  <c r="L327"/>
  <c r="F327" i="74"/>
  <c r="J327"/>
  <c r="Y327" i="39"/>
  <c r="L323"/>
  <c r="F325"/>
  <c r="F326"/>
  <c r="J326"/>
  <c r="R326"/>
  <c r="AB326"/>
  <c r="E326" i="65"/>
  <c r="I326"/>
  <c r="M326"/>
  <c r="D326" i="68"/>
  <c r="H326"/>
  <c r="L326"/>
  <c r="G326" i="69"/>
  <c r="K326"/>
  <c r="S326"/>
  <c r="G326" i="70"/>
  <c r="K326"/>
  <c r="D326" i="71"/>
  <c r="H326"/>
  <c r="L326"/>
  <c r="F326" i="72"/>
  <c r="J326"/>
  <c r="G326" i="73"/>
  <c r="K326"/>
  <c r="S326"/>
  <c r="D326" i="74"/>
  <c r="H326"/>
  <c r="L326"/>
  <c r="D326" i="65"/>
  <c r="H326"/>
  <c r="L326"/>
  <c r="AB326"/>
  <c r="G326" i="68"/>
  <c r="K326"/>
  <c r="F326" i="69"/>
  <c r="J326"/>
  <c r="F326" i="70"/>
  <c r="J326"/>
  <c r="G326" i="71"/>
  <c r="K326"/>
  <c r="E326" i="72"/>
  <c r="I326"/>
  <c r="M326"/>
  <c r="F326" i="73"/>
  <c r="J326"/>
  <c r="G326" i="74"/>
  <c r="K326"/>
  <c r="Y326" i="39"/>
  <c r="D326"/>
  <c r="H326"/>
  <c r="L326"/>
  <c r="G326" i="65"/>
  <c r="K326"/>
  <c r="F326" i="68"/>
  <c r="J326"/>
  <c r="E326" i="69"/>
  <c r="I326"/>
  <c r="M326"/>
  <c r="E326" i="70"/>
  <c r="M326"/>
  <c r="F326" i="71"/>
  <c r="J326"/>
  <c r="D326" i="72"/>
  <c r="H326"/>
  <c r="L326"/>
  <c r="E326" i="73"/>
  <c r="I326"/>
  <c r="M326"/>
  <c r="F326" i="74"/>
  <c r="J326"/>
  <c r="J326" i="65"/>
  <c r="E326" i="68"/>
  <c r="I326"/>
  <c r="M326"/>
  <c r="D326" i="69"/>
  <c r="H326"/>
  <c r="L326"/>
  <c r="D326" i="70"/>
  <c r="H326"/>
  <c r="L326"/>
  <c r="E326" i="71"/>
  <c r="I326"/>
  <c r="M326"/>
  <c r="G326" i="72"/>
  <c r="D326" i="73"/>
  <c r="H326"/>
  <c r="L326"/>
  <c r="E326" i="74"/>
  <c r="I326"/>
  <c r="M326"/>
  <c r="G324" i="39"/>
  <c r="E325"/>
  <c r="I325"/>
  <c r="M325"/>
  <c r="G325" i="65"/>
  <c r="K325"/>
  <c r="E325" i="68"/>
  <c r="I325"/>
  <c r="M325"/>
  <c r="G325" i="69"/>
  <c r="K325"/>
  <c r="F325" i="70"/>
  <c r="J325"/>
  <c r="F325" i="71"/>
  <c r="J325"/>
  <c r="G325" i="72"/>
  <c r="G325" i="73"/>
  <c r="K325"/>
  <c r="G325" i="74"/>
  <c r="K325"/>
  <c r="S325"/>
  <c r="E324" i="39"/>
  <c r="H325"/>
  <c r="F325" i="65"/>
  <c r="J325"/>
  <c r="D325" i="68"/>
  <c r="H325"/>
  <c r="L325"/>
  <c r="F325" i="69"/>
  <c r="J325"/>
  <c r="E325" i="70"/>
  <c r="M325"/>
  <c r="E325" i="71"/>
  <c r="I325"/>
  <c r="M325"/>
  <c r="F325" i="72"/>
  <c r="J325"/>
  <c r="F325" i="73"/>
  <c r="J325"/>
  <c r="F325" i="74"/>
  <c r="J325"/>
  <c r="M324" i="39"/>
  <c r="D325"/>
  <c r="L325"/>
  <c r="AB323"/>
  <c r="K324"/>
  <c r="G325"/>
  <c r="K325"/>
  <c r="E325" i="65"/>
  <c r="I325"/>
  <c r="M325"/>
  <c r="AB325"/>
  <c r="G325" i="68"/>
  <c r="K325"/>
  <c r="E325" i="69"/>
  <c r="I325"/>
  <c r="M325"/>
  <c r="D325" i="70"/>
  <c r="H325"/>
  <c r="L325"/>
  <c r="D325" i="71"/>
  <c r="H325"/>
  <c r="L325"/>
  <c r="E325" i="72"/>
  <c r="I325"/>
  <c r="M325"/>
  <c r="E325" i="73"/>
  <c r="I325"/>
  <c r="M325"/>
  <c r="E325" i="74"/>
  <c r="I325"/>
  <c r="M325"/>
  <c r="D325" i="65"/>
  <c r="H325"/>
  <c r="L325"/>
  <c r="F325" i="68"/>
  <c r="J325"/>
  <c r="D325" i="69"/>
  <c r="L325"/>
  <c r="G325" i="70"/>
  <c r="K325"/>
  <c r="G325" i="71"/>
  <c r="K325"/>
  <c r="S325"/>
  <c r="D325" i="72"/>
  <c r="H325"/>
  <c r="L325"/>
  <c r="D325" i="73"/>
  <c r="H325"/>
  <c r="L325"/>
  <c r="D325" i="74"/>
  <c r="H325"/>
  <c r="L325"/>
  <c r="Y325" i="39"/>
  <c r="J321"/>
  <c r="D323"/>
  <c r="D324"/>
  <c r="H324"/>
  <c r="L324"/>
  <c r="E324" i="65"/>
  <c r="I324"/>
  <c r="M324"/>
  <c r="F324" i="68"/>
  <c r="J324"/>
  <c r="G324" i="69"/>
  <c r="K324"/>
  <c r="E324" i="70"/>
  <c r="I324"/>
  <c r="M324"/>
  <c r="D324" i="71"/>
  <c r="H324"/>
  <c r="L324"/>
  <c r="D324" i="72"/>
  <c r="H324"/>
  <c r="L324"/>
  <c r="G324" i="73"/>
  <c r="K324"/>
  <c r="S324"/>
  <c r="F324" i="74"/>
  <c r="J324"/>
  <c r="D324" i="65"/>
  <c r="H324"/>
  <c r="L324"/>
  <c r="E324" i="68"/>
  <c r="I324"/>
  <c r="M324"/>
  <c r="F324" i="69"/>
  <c r="J324"/>
  <c r="D324" i="70"/>
  <c r="H324"/>
  <c r="L324"/>
  <c r="G324" i="71"/>
  <c r="K324"/>
  <c r="S324"/>
  <c r="G324" i="72"/>
  <c r="F324" i="73"/>
  <c r="J324"/>
  <c r="E324" i="74"/>
  <c r="I324"/>
  <c r="M324"/>
  <c r="Y324" i="39"/>
  <c r="I320"/>
  <c r="AB321"/>
  <c r="F324"/>
  <c r="J324"/>
  <c r="R324"/>
  <c r="AB324"/>
  <c r="G324" i="65"/>
  <c r="K324"/>
  <c r="S324"/>
  <c r="D324" i="68"/>
  <c r="H324"/>
  <c r="L324"/>
  <c r="E324" i="69"/>
  <c r="I324"/>
  <c r="M324"/>
  <c r="G324" i="70"/>
  <c r="K324"/>
  <c r="S324"/>
  <c r="F324" i="71"/>
  <c r="J324"/>
  <c r="F324" i="72"/>
  <c r="J324"/>
  <c r="E324" i="73"/>
  <c r="I324"/>
  <c r="M324"/>
  <c r="D324" i="74"/>
  <c r="H324"/>
  <c r="L324"/>
  <c r="F324" i="65"/>
  <c r="J324"/>
  <c r="K324" i="68"/>
  <c r="D324" i="69"/>
  <c r="L324"/>
  <c r="F324" i="70"/>
  <c r="J324"/>
  <c r="E324" i="71"/>
  <c r="I324"/>
  <c r="M324"/>
  <c r="E324" i="72"/>
  <c r="I324"/>
  <c r="M324"/>
  <c r="D324" i="73"/>
  <c r="H324"/>
  <c r="L324"/>
  <c r="G324" i="74"/>
  <c r="K324"/>
  <c r="F321" i="39"/>
  <c r="H323"/>
  <c r="Q320"/>
  <c r="H320"/>
  <c r="E321"/>
  <c r="I321"/>
  <c r="M321"/>
  <c r="E321" i="65"/>
  <c r="I321"/>
  <c r="M321"/>
  <c r="F321" i="68"/>
  <c r="J321"/>
  <c r="N321"/>
  <c r="F321" i="69"/>
  <c r="J321"/>
  <c r="R321"/>
  <c r="F321" i="70"/>
  <c r="J321"/>
  <c r="D321" i="71"/>
  <c r="H321"/>
  <c r="L321"/>
  <c r="G321" i="72"/>
  <c r="K321"/>
  <c r="E321" i="73"/>
  <c r="I321"/>
  <c r="M321"/>
  <c r="G321" i="74"/>
  <c r="K321"/>
  <c r="D319" i="39"/>
  <c r="M320"/>
  <c r="D321"/>
  <c r="D321" i="65"/>
  <c r="H321"/>
  <c r="L321"/>
  <c r="E321" i="68"/>
  <c r="I321"/>
  <c r="M321"/>
  <c r="E321" i="69"/>
  <c r="I321"/>
  <c r="M321"/>
  <c r="E321" i="70"/>
  <c r="M321"/>
  <c r="G321" i="71"/>
  <c r="K321"/>
  <c r="F321" i="72"/>
  <c r="J321"/>
  <c r="D321" i="73"/>
  <c r="H321"/>
  <c r="L321"/>
  <c r="F321" i="74"/>
  <c r="J321"/>
  <c r="Y321" i="39"/>
  <c r="E320"/>
  <c r="H321"/>
  <c r="L321"/>
  <c r="D320"/>
  <c r="L320"/>
  <c r="G321"/>
  <c r="K321"/>
  <c r="G321" i="65"/>
  <c r="K321"/>
  <c r="D321" i="68"/>
  <c r="H321"/>
  <c r="L321"/>
  <c r="P321"/>
  <c r="D321" i="69"/>
  <c r="H321"/>
  <c r="L321"/>
  <c r="D321" i="70"/>
  <c r="H321"/>
  <c r="L321"/>
  <c r="F321" i="71"/>
  <c r="J321"/>
  <c r="E321" i="72"/>
  <c r="I321"/>
  <c r="M321"/>
  <c r="G321" i="73"/>
  <c r="K321"/>
  <c r="E321" i="74"/>
  <c r="I321"/>
  <c r="M321"/>
  <c r="J321" i="65"/>
  <c r="G321" i="68"/>
  <c r="K321"/>
  <c r="G321" i="69"/>
  <c r="K321"/>
  <c r="G321" i="70"/>
  <c r="K321"/>
  <c r="E321" i="71"/>
  <c r="I321"/>
  <c r="M321"/>
  <c r="D321" i="72"/>
  <c r="H321"/>
  <c r="L321"/>
  <c r="F321" i="73"/>
  <c r="J321"/>
  <c r="D321" i="74"/>
  <c r="H321"/>
  <c r="L321"/>
  <c r="M318" i="39"/>
  <c r="K320"/>
  <c r="E320" i="68"/>
  <c r="I320"/>
  <c r="M320"/>
  <c r="Q320"/>
  <c r="D320" i="69"/>
  <c r="H320"/>
  <c r="L320"/>
  <c r="G320" i="71"/>
  <c r="K320"/>
  <c r="F320" i="72"/>
  <c r="J320"/>
  <c r="R320"/>
  <c r="G320" i="73"/>
  <c r="K320"/>
  <c r="F320" i="74"/>
  <c r="J320"/>
  <c r="N320"/>
  <c r="R320"/>
  <c r="L319" i="39"/>
  <c r="G320"/>
  <c r="S320"/>
  <c r="E318"/>
  <c r="H319"/>
  <c r="F320"/>
  <c r="J320"/>
  <c r="N320"/>
  <c r="R320"/>
  <c r="AB320"/>
  <c r="E320" i="65"/>
  <c r="I320"/>
  <c r="M320"/>
  <c r="Q320"/>
  <c r="D320" i="68"/>
  <c r="H320"/>
  <c r="L320"/>
  <c r="AB320"/>
  <c r="G320" i="69"/>
  <c r="K320"/>
  <c r="F320" i="70"/>
  <c r="J320"/>
  <c r="N320"/>
  <c r="R320"/>
  <c r="F320" i="71"/>
  <c r="J320"/>
  <c r="N320"/>
  <c r="R320"/>
  <c r="E320" i="72"/>
  <c r="I320"/>
  <c r="M320"/>
  <c r="Q320"/>
  <c r="F320" i="73"/>
  <c r="J320"/>
  <c r="N320"/>
  <c r="R320"/>
  <c r="E320" i="74"/>
  <c r="I320"/>
  <c r="M320"/>
  <c r="Q320"/>
  <c r="G320" i="68"/>
  <c r="K320"/>
  <c r="F320" i="69"/>
  <c r="J320"/>
  <c r="N320"/>
  <c r="R320"/>
  <c r="E320" i="71"/>
  <c r="I320"/>
  <c r="M320"/>
  <c r="Q320"/>
  <c r="E320" i="73"/>
  <c r="I320"/>
  <c r="M320"/>
  <c r="Q320"/>
  <c r="D320" i="74"/>
  <c r="H320"/>
  <c r="L320"/>
  <c r="F320" i="68"/>
  <c r="J320"/>
  <c r="N320"/>
  <c r="R320"/>
  <c r="E320" i="69"/>
  <c r="I320"/>
  <c r="M320"/>
  <c r="Q320"/>
  <c r="D320" i="71"/>
  <c r="H320"/>
  <c r="L320"/>
  <c r="D320" i="73"/>
  <c r="H320"/>
  <c r="L320"/>
  <c r="Y320" i="39"/>
  <c r="D319" i="65"/>
  <c r="H319"/>
  <c r="L319"/>
  <c r="F319" i="68"/>
  <c r="J319"/>
  <c r="D319" i="69"/>
  <c r="H319"/>
  <c r="L319"/>
  <c r="F319" i="70"/>
  <c r="J319"/>
  <c r="E319" i="71"/>
  <c r="I319"/>
  <c r="M319"/>
  <c r="G319" i="72"/>
  <c r="K319"/>
  <c r="G319" i="73"/>
  <c r="K319"/>
  <c r="E319" i="74"/>
  <c r="I319"/>
  <c r="M319"/>
  <c r="I318" i="39"/>
  <c r="F319"/>
  <c r="J319"/>
  <c r="AB319"/>
  <c r="J317"/>
  <c r="G318"/>
  <c r="E319"/>
  <c r="I319"/>
  <c r="M319"/>
  <c r="G319" i="65"/>
  <c r="K319"/>
  <c r="O319"/>
  <c r="E319" i="68"/>
  <c r="I319"/>
  <c r="M319"/>
  <c r="AB319"/>
  <c r="G319" i="69"/>
  <c r="K319"/>
  <c r="E319" i="70"/>
  <c r="I319"/>
  <c r="M319"/>
  <c r="D319" i="71"/>
  <c r="H319"/>
  <c r="L319"/>
  <c r="F319" i="72"/>
  <c r="J319"/>
  <c r="F319" i="73"/>
  <c r="J319"/>
  <c r="D319" i="74"/>
  <c r="H319"/>
  <c r="L319"/>
  <c r="Y319" i="39"/>
  <c r="F319" i="65"/>
  <c r="J319"/>
  <c r="N319"/>
  <c r="D319" i="68"/>
  <c r="H319"/>
  <c r="L319"/>
  <c r="F319" i="69"/>
  <c r="J319"/>
  <c r="D319" i="70"/>
  <c r="H319"/>
  <c r="L319"/>
  <c r="G319" i="71"/>
  <c r="K319"/>
  <c r="E319" i="72"/>
  <c r="I319"/>
  <c r="M319"/>
  <c r="E319" i="73"/>
  <c r="I319"/>
  <c r="M319"/>
  <c r="G319" i="74"/>
  <c r="K319"/>
  <c r="I316" i="39"/>
  <c r="AB317"/>
  <c r="K318"/>
  <c r="G319"/>
  <c r="K319"/>
  <c r="E319" i="65"/>
  <c r="I319"/>
  <c r="M319"/>
  <c r="G319" i="68"/>
  <c r="K319"/>
  <c r="E319" i="69"/>
  <c r="I319"/>
  <c r="M319"/>
  <c r="G319" i="70"/>
  <c r="K319"/>
  <c r="S319"/>
  <c r="F319" i="71"/>
  <c r="J319"/>
  <c r="R319"/>
  <c r="D319" i="72"/>
  <c r="H319"/>
  <c r="L319"/>
  <c r="D319" i="73"/>
  <c r="H319"/>
  <c r="L319"/>
  <c r="F319" i="74"/>
  <c r="J319"/>
  <c r="F318" i="65"/>
  <c r="J318"/>
  <c r="AB318"/>
  <c r="G318" i="68"/>
  <c r="K318"/>
  <c r="D318" i="69"/>
  <c r="H318"/>
  <c r="L318"/>
  <c r="E318" i="70"/>
  <c r="I318"/>
  <c r="M318"/>
  <c r="G318" i="71"/>
  <c r="K318"/>
  <c r="D318" i="72"/>
  <c r="H318"/>
  <c r="L318"/>
  <c r="G318" i="73"/>
  <c r="K318"/>
  <c r="D318" i="74"/>
  <c r="H318"/>
  <c r="L318"/>
  <c r="D318" i="39"/>
  <c r="H318"/>
  <c r="L318"/>
  <c r="E318" i="65"/>
  <c r="I318"/>
  <c r="M318"/>
  <c r="F318" i="68"/>
  <c r="J318"/>
  <c r="AB318"/>
  <c r="G318" i="69"/>
  <c r="K318"/>
  <c r="D318" i="70"/>
  <c r="H318"/>
  <c r="L318"/>
  <c r="F318" i="71"/>
  <c r="J318"/>
  <c r="R318"/>
  <c r="G318" i="72"/>
  <c r="K318"/>
  <c r="F318" i="73"/>
  <c r="J318"/>
  <c r="G318" i="74"/>
  <c r="K318"/>
  <c r="S318"/>
  <c r="D318" i="65"/>
  <c r="H318"/>
  <c r="L318"/>
  <c r="E318" i="68"/>
  <c r="I318"/>
  <c r="M318"/>
  <c r="F318" i="69"/>
  <c r="J318"/>
  <c r="AB318"/>
  <c r="G318" i="70"/>
  <c r="K318"/>
  <c r="E318" i="71"/>
  <c r="I318"/>
  <c r="M318"/>
  <c r="F318" i="72"/>
  <c r="J318"/>
  <c r="E318" i="73"/>
  <c r="I318"/>
  <c r="M318"/>
  <c r="F318" i="74"/>
  <c r="J318"/>
  <c r="F317" i="39"/>
  <c r="F318"/>
  <c r="J318"/>
  <c r="AB318"/>
  <c r="G318" i="65"/>
  <c r="K318"/>
  <c r="D318" i="68"/>
  <c r="H318"/>
  <c r="L318"/>
  <c r="E318" i="69"/>
  <c r="I318"/>
  <c r="M318"/>
  <c r="F318" i="70"/>
  <c r="J318"/>
  <c r="D318" i="71"/>
  <c r="H318"/>
  <c r="L318"/>
  <c r="E318" i="72"/>
  <c r="I318"/>
  <c r="M318"/>
  <c r="D318" i="73"/>
  <c r="H318"/>
  <c r="L318"/>
  <c r="E318" i="74"/>
  <c r="I318"/>
  <c r="M318"/>
  <c r="Y318" i="39"/>
  <c r="D315"/>
  <c r="H317"/>
  <c r="D317" i="65"/>
  <c r="H317"/>
  <c r="L317"/>
  <c r="D317" i="68"/>
  <c r="H317"/>
  <c r="L317"/>
  <c r="D317" i="69"/>
  <c r="L317"/>
  <c r="D317" i="70"/>
  <c r="H317"/>
  <c r="L317"/>
  <c r="E317" i="71"/>
  <c r="I317"/>
  <c r="M317"/>
  <c r="E317" i="72"/>
  <c r="I317"/>
  <c r="M317"/>
  <c r="G317" i="73"/>
  <c r="K317"/>
  <c r="G317" i="74"/>
  <c r="K317"/>
  <c r="E316" i="39"/>
  <c r="M316"/>
  <c r="D317"/>
  <c r="L317"/>
  <c r="K316"/>
  <c r="G317"/>
  <c r="K317"/>
  <c r="G317" i="65"/>
  <c r="K317"/>
  <c r="AB317"/>
  <c r="K317" i="68"/>
  <c r="G317" i="69"/>
  <c r="K317"/>
  <c r="G317" i="70"/>
  <c r="K317"/>
  <c r="D317" i="71"/>
  <c r="H317"/>
  <c r="L317"/>
  <c r="D317" i="72"/>
  <c r="H317"/>
  <c r="L317"/>
  <c r="F317" i="73"/>
  <c r="J317"/>
  <c r="F317" i="74"/>
  <c r="J317"/>
  <c r="Y317" i="39"/>
  <c r="F317" i="65"/>
  <c r="J317"/>
  <c r="F317" i="68"/>
  <c r="J317"/>
  <c r="F317" i="69"/>
  <c r="J317"/>
  <c r="F317" i="70"/>
  <c r="J317"/>
  <c r="G317" i="71"/>
  <c r="K317"/>
  <c r="G317" i="72"/>
  <c r="E317" i="73"/>
  <c r="I317"/>
  <c r="M317"/>
  <c r="E317" i="74"/>
  <c r="I317"/>
  <c r="M317"/>
  <c r="L315" i="39"/>
  <c r="G316"/>
  <c r="E317"/>
  <c r="I317"/>
  <c r="M317"/>
  <c r="E317" i="65"/>
  <c r="I317"/>
  <c r="M317"/>
  <c r="E317" i="68"/>
  <c r="I317"/>
  <c r="M317"/>
  <c r="E317" i="69"/>
  <c r="I317"/>
  <c r="M317"/>
  <c r="E317" i="70"/>
  <c r="I317"/>
  <c r="M317"/>
  <c r="F317" i="71"/>
  <c r="J317"/>
  <c r="F317" i="72"/>
  <c r="J317"/>
  <c r="D317" i="73"/>
  <c r="H317"/>
  <c r="L317"/>
  <c r="D317" i="74"/>
  <c r="H317"/>
  <c r="L317"/>
  <c r="J316" i="65"/>
  <c r="E316" i="68"/>
  <c r="I316"/>
  <c r="M316"/>
  <c r="D316" i="69"/>
  <c r="L316"/>
  <c r="G316" i="70"/>
  <c r="K316"/>
  <c r="G316" i="71"/>
  <c r="K316"/>
  <c r="F316" i="72"/>
  <c r="J316"/>
  <c r="G316" i="73"/>
  <c r="K316"/>
  <c r="F316" i="74"/>
  <c r="J316"/>
  <c r="H315" i="39"/>
  <c r="F316"/>
  <c r="J316"/>
  <c r="AB316"/>
  <c r="E316" i="65"/>
  <c r="I316"/>
  <c r="M316"/>
  <c r="D316" i="68"/>
  <c r="H316"/>
  <c r="L316"/>
  <c r="G316" i="69"/>
  <c r="K316"/>
  <c r="F316" i="70"/>
  <c r="J316"/>
  <c r="F316" i="71"/>
  <c r="J316"/>
  <c r="E316" i="72"/>
  <c r="I316"/>
  <c r="M316"/>
  <c r="F316" i="73"/>
  <c r="J316"/>
  <c r="R316"/>
  <c r="E316" i="74"/>
  <c r="I316"/>
  <c r="M316"/>
  <c r="D316" i="65"/>
  <c r="H316"/>
  <c r="L316"/>
  <c r="AB316"/>
  <c r="G316" i="68"/>
  <c r="K316"/>
  <c r="F316" i="69"/>
  <c r="J316"/>
  <c r="E316" i="70"/>
  <c r="M316"/>
  <c r="E316" i="71"/>
  <c r="I316"/>
  <c r="M316"/>
  <c r="D316" i="72"/>
  <c r="H316"/>
  <c r="L316"/>
  <c r="E316" i="73"/>
  <c r="I316"/>
  <c r="M316"/>
  <c r="D316" i="74"/>
  <c r="H316"/>
  <c r="L316"/>
  <c r="D316" i="39"/>
  <c r="H316"/>
  <c r="L316"/>
  <c r="G316" i="65"/>
  <c r="K316"/>
  <c r="F316" i="68"/>
  <c r="J316"/>
  <c r="R316"/>
  <c r="E316" i="69"/>
  <c r="I316"/>
  <c r="M316"/>
  <c r="D316" i="70"/>
  <c r="H316"/>
  <c r="L316"/>
  <c r="D316" i="71"/>
  <c r="H316"/>
  <c r="L316"/>
  <c r="G316" i="72"/>
  <c r="K316"/>
  <c r="D316" i="73"/>
  <c r="H316"/>
  <c r="L316"/>
  <c r="G316" i="74"/>
  <c r="K316"/>
  <c r="Y316" i="39"/>
  <c r="J315"/>
  <c r="AB315"/>
  <c r="D315" i="65"/>
  <c r="H315"/>
  <c r="L315"/>
  <c r="F315" i="68"/>
  <c r="J315"/>
  <c r="D315" i="69"/>
  <c r="H315"/>
  <c r="L315"/>
  <c r="F315" i="70"/>
  <c r="J315"/>
  <c r="R315"/>
  <c r="E315" i="71"/>
  <c r="I315"/>
  <c r="M315"/>
  <c r="G315" i="72"/>
  <c r="K315"/>
  <c r="S315"/>
  <c r="G315" i="73"/>
  <c r="K315"/>
  <c r="E315" i="74"/>
  <c r="I315"/>
  <c r="M315"/>
  <c r="D313" i="39"/>
  <c r="G314"/>
  <c r="F315"/>
  <c r="M312"/>
  <c r="E315"/>
  <c r="I315"/>
  <c r="M315"/>
  <c r="Q315"/>
  <c r="G315" i="65"/>
  <c r="K315"/>
  <c r="E315" i="68"/>
  <c r="I315"/>
  <c r="M315"/>
  <c r="AB315"/>
  <c r="G315" i="69"/>
  <c r="K315"/>
  <c r="E315" i="70"/>
  <c r="I315"/>
  <c r="M315"/>
  <c r="D315" i="71"/>
  <c r="H315"/>
  <c r="L315"/>
  <c r="F315" i="72"/>
  <c r="J315"/>
  <c r="F315" i="73"/>
  <c r="J315"/>
  <c r="D315" i="74"/>
  <c r="H315"/>
  <c r="L315"/>
  <c r="Y315" i="39"/>
  <c r="F315" i="65"/>
  <c r="J315"/>
  <c r="D315" i="68"/>
  <c r="H315"/>
  <c r="L315"/>
  <c r="F315" i="69"/>
  <c r="J315"/>
  <c r="D315" i="70"/>
  <c r="H315"/>
  <c r="L315"/>
  <c r="G315" i="71"/>
  <c r="K315"/>
  <c r="E315" i="72"/>
  <c r="I315"/>
  <c r="M315"/>
  <c r="E315" i="73"/>
  <c r="I315"/>
  <c r="M315"/>
  <c r="G315" i="74"/>
  <c r="K315"/>
  <c r="L313" i="39"/>
  <c r="K314"/>
  <c r="G315"/>
  <c r="K315"/>
  <c r="E315" i="65"/>
  <c r="I315"/>
  <c r="M315"/>
  <c r="G315" i="68"/>
  <c r="K315"/>
  <c r="E315" i="69"/>
  <c r="I315"/>
  <c r="M315"/>
  <c r="G315" i="70"/>
  <c r="K315"/>
  <c r="F315" i="71"/>
  <c r="J315"/>
  <c r="R315"/>
  <c r="D315" i="72"/>
  <c r="H315"/>
  <c r="L315"/>
  <c r="D315" i="73"/>
  <c r="H315"/>
  <c r="L315"/>
  <c r="F315" i="74"/>
  <c r="J315"/>
  <c r="N315"/>
  <c r="H313" i="39"/>
  <c r="I314"/>
  <c r="F314" i="65"/>
  <c r="J314"/>
  <c r="AB314"/>
  <c r="K314" i="68"/>
  <c r="D314" i="69"/>
  <c r="L314"/>
  <c r="E314" i="70"/>
  <c r="I314"/>
  <c r="M314"/>
  <c r="G314" i="71"/>
  <c r="K314"/>
  <c r="D314" i="72"/>
  <c r="H314"/>
  <c r="L314"/>
  <c r="G314" i="73"/>
  <c r="K314"/>
  <c r="D314" i="74"/>
  <c r="H314"/>
  <c r="L314"/>
  <c r="E312" i="39"/>
  <c r="E314"/>
  <c r="M314"/>
  <c r="E310"/>
  <c r="F313"/>
  <c r="D314"/>
  <c r="H314"/>
  <c r="L314"/>
  <c r="E314" i="65"/>
  <c r="I314"/>
  <c r="M314"/>
  <c r="F314" i="68"/>
  <c r="J314"/>
  <c r="G314" i="69"/>
  <c r="K314"/>
  <c r="D314" i="70"/>
  <c r="H314"/>
  <c r="L314"/>
  <c r="F314" i="71"/>
  <c r="J314"/>
  <c r="G314" i="72"/>
  <c r="F314" i="73"/>
  <c r="J314"/>
  <c r="G314" i="74"/>
  <c r="K314"/>
  <c r="D314" i="65"/>
  <c r="H314"/>
  <c r="L314"/>
  <c r="E314" i="68"/>
  <c r="I314"/>
  <c r="M314"/>
  <c r="F314" i="69"/>
  <c r="J314"/>
  <c r="G314" i="70"/>
  <c r="K314"/>
  <c r="E314" i="71"/>
  <c r="I314"/>
  <c r="M314"/>
  <c r="F314" i="72"/>
  <c r="J314"/>
  <c r="E314" i="73"/>
  <c r="I314"/>
  <c r="M314"/>
  <c r="F314" i="74"/>
  <c r="J314"/>
  <c r="R314"/>
  <c r="H311" i="39"/>
  <c r="I312"/>
  <c r="J313"/>
  <c r="R313"/>
  <c r="AB313"/>
  <c r="F314"/>
  <c r="J314"/>
  <c r="N314"/>
  <c r="AB314"/>
  <c r="G314" i="65"/>
  <c r="K314"/>
  <c r="D314" i="68"/>
  <c r="H314"/>
  <c r="L314"/>
  <c r="E314" i="69"/>
  <c r="I314"/>
  <c r="M314"/>
  <c r="F314" i="70"/>
  <c r="J314"/>
  <c r="R314"/>
  <c r="D314" i="71"/>
  <c r="H314"/>
  <c r="L314"/>
  <c r="E314" i="72"/>
  <c r="I314"/>
  <c r="M314"/>
  <c r="D314" i="73"/>
  <c r="H314"/>
  <c r="L314"/>
  <c r="E314" i="74"/>
  <c r="I314"/>
  <c r="M314"/>
  <c r="Y314" i="39"/>
  <c r="D313" i="65"/>
  <c r="H313"/>
  <c r="L313"/>
  <c r="D313" i="68"/>
  <c r="H313"/>
  <c r="L313"/>
  <c r="D313" i="69"/>
  <c r="H313"/>
  <c r="L313"/>
  <c r="D313" i="70"/>
  <c r="H313"/>
  <c r="L313"/>
  <c r="E313" i="71"/>
  <c r="I313"/>
  <c r="M313"/>
  <c r="E313" i="72"/>
  <c r="I313"/>
  <c r="M313"/>
  <c r="G313" i="73"/>
  <c r="K313"/>
  <c r="G313" i="74"/>
  <c r="K313"/>
  <c r="M310" i="39"/>
  <c r="L311"/>
  <c r="K312"/>
  <c r="G313"/>
  <c r="K313"/>
  <c r="G313" i="65"/>
  <c r="K313"/>
  <c r="AB313"/>
  <c r="G313" i="68"/>
  <c r="K313"/>
  <c r="AB313"/>
  <c r="G313" i="69"/>
  <c r="K313"/>
  <c r="G313" i="70"/>
  <c r="K313"/>
  <c r="D313" i="71"/>
  <c r="H313"/>
  <c r="L313"/>
  <c r="D313" i="72"/>
  <c r="H313"/>
  <c r="L313"/>
  <c r="F313" i="73"/>
  <c r="J313"/>
  <c r="F313" i="74"/>
  <c r="J313"/>
  <c r="R313"/>
  <c r="Y313" i="39"/>
  <c r="F313" i="65"/>
  <c r="J313"/>
  <c r="F313" i="68"/>
  <c r="J313"/>
  <c r="N313"/>
  <c r="F313" i="69"/>
  <c r="J313"/>
  <c r="F313" i="70"/>
  <c r="J313"/>
  <c r="G313" i="71"/>
  <c r="K313"/>
  <c r="G313" i="72"/>
  <c r="K313"/>
  <c r="E313" i="73"/>
  <c r="I313"/>
  <c r="M313"/>
  <c r="E313" i="74"/>
  <c r="I313"/>
  <c r="M313"/>
  <c r="D311" i="39"/>
  <c r="G312"/>
  <c r="E313"/>
  <c r="I313"/>
  <c r="M313"/>
  <c r="E313" i="65"/>
  <c r="I313"/>
  <c r="M313"/>
  <c r="E313" i="68"/>
  <c r="I313"/>
  <c r="M313"/>
  <c r="E313" i="69"/>
  <c r="I313"/>
  <c r="M313"/>
  <c r="E313" i="70"/>
  <c r="I313"/>
  <c r="M313"/>
  <c r="F313" i="71"/>
  <c r="J313"/>
  <c r="R313"/>
  <c r="F313" i="72"/>
  <c r="J313"/>
  <c r="N313"/>
  <c r="D313" i="73"/>
  <c r="H313"/>
  <c r="L313"/>
  <c r="D313" i="74"/>
  <c r="H313"/>
  <c r="L313"/>
  <c r="F312" i="65"/>
  <c r="J312"/>
  <c r="E312" i="68"/>
  <c r="I312"/>
  <c r="M312"/>
  <c r="D312" i="69"/>
  <c r="H312"/>
  <c r="L312"/>
  <c r="G312" i="70"/>
  <c r="K312"/>
  <c r="G312" i="71"/>
  <c r="K312"/>
  <c r="F312" i="72"/>
  <c r="J312"/>
  <c r="G312" i="73"/>
  <c r="K312"/>
  <c r="F312" i="74"/>
  <c r="J312"/>
  <c r="I310" i="39"/>
  <c r="J311"/>
  <c r="AB311"/>
  <c r="F312"/>
  <c r="J312"/>
  <c r="AB312"/>
  <c r="E312" i="65"/>
  <c r="I312"/>
  <c r="M312"/>
  <c r="D312" i="68"/>
  <c r="H312"/>
  <c r="L312"/>
  <c r="AB312"/>
  <c r="G312" i="69"/>
  <c r="K312"/>
  <c r="F312" i="70"/>
  <c r="J312"/>
  <c r="F312" i="71"/>
  <c r="J312"/>
  <c r="E312" i="72"/>
  <c r="I312"/>
  <c r="M312"/>
  <c r="F312" i="73"/>
  <c r="J312"/>
  <c r="E312" i="74"/>
  <c r="I312"/>
  <c r="M312"/>
  <c r="D312" i="65"/>
  <c r="H312"/>
  <c r="L312"/>
  <c r="AB312"/>
  <c r="G312" i="68"/>
  <c r="K312"/>
  <c r="F312" i="69"/>
  <c r="J312"/>
  <c r="E312" i="70"/>
  <c r="I312"/>
  <c r="M312"/>
  <c r="E312" i="71"/>
  <c r="I312"/>
  <c r="M312"/>
  <c r="D312" i="72"/>
  <c r="H312"/>
  <c r="L312"/>
  <c r="E312" i="73"/>
  <c r="I312"/>
  <c r="M312"/>
  <c r="D312" i="74"/>
  <c r="H312"/>
  <c r="L312"/>
  <c r="R309" i="39"/>
  <c r="F311"/>
  <c r="D312"/>
  <c r="H312"/>
  <c r="L312"/>
  <c r="G312" i="65"/>
  <c r="K312"/>
  <c r="F312" i="68"/>
  <c r="J312"/>
  <c r="E312" i="69"/>
  <c r="I312"/>
  <c r="M312"/>
  <c r="D312" i="70"/>
  <c r="H312"/>
  <c r="L312"/>
  <c r="D312" i="71"/>
  <c r="H312"/>
  <c r="L312"/>
  <c r="G312" i="72"/>
  <c r="K312"/>
  <c r="D312" i="73"/>
  <c r="H312"/>
  <c r="L312"/>
  <c r="G312" i="74"/>
  <c r="K312"/>
  <c r="S312"/>
  <c r="Y312" i="39"/>
  <c r="D311" i="65"/>
  <c r="H311"/>
  <c r="L311"/>
  <c r="F311" i="68"/>
  <c r="J311"/>
  <c r="D311" i="69"/>
  <c r="H311"/>
  <c r="L311"/>
  <c r="F311" i="70"/>
  <c r="J311"/>
  <c r="E311" i="71"/>
  <c r="I311"/>
  <c r="M311"/>
  <c r="G311" i="72"/>
  <c r="K311"/>
  <c r="G311" i="73"/>
  <c r="K311"/>
  <c r="E311" i="74"/>
  <c r="I311"/>
  <c r="M311"/>
  <c r="J309" i="39"/>
  <c r="G310"/>
  <c r="E311"/>
  <c r="I311"/>
  <c r="M311"/>
  <c r="G311" i="65"/>
  <c r="K311"/>
  <c r="E311" i="68"/>
  <c r="I311"/>
  <c r="M311"/>
  <c r="AB311"/>
  <c r="G311" i="69"/>
  <c r="K311"/>
  <c r="E311" i="70"/>
  <c r="M311"/>
  <c r="D311" i="71"/>
  <c r="H311"/>
  <c r="L311"/>
  <c r="F311" i="72"/>
  <c r="J311"/>
  <c r="F311" i="73"/>
  <c r="J311"/>
  <c r="D311" i="74"/>
  <c r="H311"/>
  <c r="L311"/>
  <c r="Y311" i="39"/>
  <c r="J311" i="65"/>
  <c r="D311" i="68"/>
  <c r="H311"/>
  <c r="L311"/>
  <c r="F311" i="69"/>
  <c r="J311"/>
  <c r="D311" i="70"/>
  <c r="H311"/>
  <c r="L311"/>
  <c r="G311" i="71"/>
  <c r="K311"/>
  <c r="S311"/>
  <c r="E311" i="72"/>
  <c r="I311"/>
  <c r="M311"/>
  <c r="E311" i="73"/>
  <c r="I311"/>
  <c r="M311"/>
  <c r="G311" i="74"/>
  <c r="K311"/>
  <c r="I308" i="39"/>
  <c r="AB309"/>
  <c r="K310"/>
  <c r="S310"/>
  <c r="G311"/>
  <c r="K311"/>
  <c r="E311" i="65"/>
  <c r="I311"/>
  <c r="M311"/>
  <c r="G311" i="68"/>
  <c r="K311"/>
  <c r="E311" i="69"/>
  <c r="I311"/>
  <c r="M311"/>
  <c r="G311" i="70"/>
  <c r="K311"/>
  <c r="F311" i="71"/>
  <c r="J311"/>
  <c r="D311" i="72"/>
  <c r="H311"/>
  <c r="L311"/>
  <c r="D311" i="73"/>
  <c r="H311"/>
  <c r="L311"/>
  <c r="F311" i="74"/>
  <c r="J311"/>
  <c r="N311"/>
  <c r="J310" i="65"/>
  <c r="AB310"/>
  <c r="K310" i="68"/>
  <c r="D310" i="69"/>
  <c r="L310"/>
  <c r="E310" i="70"/>
  <c r="I310"/>
  <c r="M310"/>
  <c r="G310" i="71"/>
  <c r="K310"/>
  <c r="D310" i="72"/>
  <c r="H310"/>
  <c r="L310"/>
  <c r="G310" i="73"/>
  <c r="K310"/>
  <c r="D310" i="74"/>
  <c r="H310"/>
  <c r="L310"/>
  <c r="D310" i="39"/>
  <c r="H310"/>
  <c r="L310"/>
  <c r="E310" i="65"/>
  <c r="I310"/>
  <c r="M310"/>
  <c r="F310" i="68"/>
  <c r="J310"/>
  <c r="AB310"/>
  <c r="G310" i="69"/>
  <c r="K310"/>
  <c r="D310" i="70"/>
  <c r="H310"/>
  <c r="L310"/>
  <c r="F310" i="71"/>
  <c r="J310"/>
  <c r="G310" i="72"/>
  <c r="K310"/>
  <c r="F310" i="73"/>
  <c r="J310"/>
  <c r="G310" i="74"/>
  <c r="K310"/>
  <c r="D310" i="65"/>
  <c r="H310"/>
  <c r="L310"/>
  <c r="E310" i="68"/>
  <c r="I310"/>
  <c r="M310"/>
  <c r="F310" i="69"/>
  <c r="J310"/>
  <c r="G310" i="70"/>
  <c r="K310"/>
  <c r="E310" i="71"/>
  <c r="I310"/>
  <c r="M310"/>
  <c r="F310" i="72"/>
  <c r="J310"/>
  <c r="E310" i="73"/>
  <c r="I310"/>
  <c r="M310"/>
  <c r="F310" i="74"/>
  <c r="J310"/>
  <c r="F309" i="39"/>
  <c r="F310"/>
  <c r="J310"/>
  <c r="AB310"/>
  <c r="G310" i="65"/>
  <c r="K310"/>
  <c r="D310" i="68"/>
  <c r="H310"/>
  <c r="L310"/>
  <c r="E310" i="69"/>
  <c r="I310"/>
  <c r="M310"/>
  <c r="F310" i="70"/>
  <c r="J310"/>
  <c r="D310" i="71"/>
  <c r="H310"/>
  <c r="L310"/>
  <c r="E310" i="72"/>
  <c r="I310"/>
  <c r="M310"/>
  <c r="D310" i="73"/>
  <c r="H310"/>
  <c r="L310"/>
  <c r="E310" i="74"/>
  <c r="I310"/>
  <c r="M310"/>
  <c r="Y310" i="39"/>
  <c r="D307"/>
  <c r="H309"/>
  <c r="D309" i="65"/>
  <c r="H309"/>
  <c r="L309"/>
  <c r="D309" i="68"/>
  <c r="H309"/>
  <c r="L309"/>
  <c r="D309" i="69"/>
  <c r="H309"/>
  <c r="L309"/>
  <c r="D309" i="70"/>
  <c r="H309"/>
  <c r="L309"/>
  <c r="E309" i="71"/>
  <c r="I309"/>
  <c r="M309"/>
  <c r="E309" i="72"/>
  <c r="I309"/>
  <c r="M309"/>
  <c r="G309" i="73"/>
  <c r="K309"/>
  <c r="G309" i="74"/>
  <c r="K309"/>
  <c r="S309"/>
  <c r="E308" i="39"/>
  <c r="M308"/>
  <c r="D309"/>
  <c r="L309"/>
  <c r="M306"/>
  <c r="K308"/>
  <c r="G309"/>
  <c r="K309"/>
  <c r="S309"/>
  <c r="G309" i="65"/>
  <c r="K309"/>
  <c r="AB309"/>
  <c r="K309" i="68"/>
  <c r="G309" i="69"/>
  <c r="K309"/>
  <c r="G309" i="70"/>
  <c r="K309"/>
  <c r="D309" i="71"/>
  <c r="H309"/>
  <c r="L309"/>
  <c r="D309" i="72"/>
  <c r="H309"/>
  <c r="L309"/>
  <c r="F309" i="73"/>
  <c r="J309"/>
  <c r="F309" i="74"/>
  <c r="J309"/>
  <c r="Y309" i="39"/>
  <c r="F309" i="65"/>
  <c r="J309"/>
  <c r="F309" i="68"/>
  <c r="J309"/>
  <c r="F309" i="69"/>
  <c r="J309"/>
  <c r="F309" i="70"/>
  <c r="J309"/>
  <c r="G309" i="71"/>
  <c r="K309"/>
  <c r="G309" i="72"/>
  <c r="E309" i="73"/>
  <c r="I309"/>
  <c r="M309"/>
  <c r="E309" i="74"/>
  <c r="I309"/>
  <c r="M309"/>
  <c r="L307" i="39"/>
  <c r="G308"/>
  <c r="E309"/>
  <c r="I309"/>
  <c r="M309"/>
  <c r="Q309"/>
  <c r="E309" i="65"/>
  <c r="I309"/>
  <c r="M309"/>
  <c r="E309" i="68"/>
  <c r="I309"/>
  <c r="M309"/>
  <c r="E309" i="69"/>
  <c r="I309"/>
  <c r="M309"/>
  <c r="E309" i="70"/>
  <c r="M309"/>
  <c r="F309" i="71"/>
  <c r="J309"/>
  <c r="F309" i="72"/>
  <c r="J309"/>
  <c r="D309" i="73"/>
  <c r="H309"/>
  <c r="L309"/>
  <c r="D309" i="74"/>
  <c r="H309"/>
  <c r="L309"/>
  <c r="F308" i="65"/>
  <c r="J308"/>
  <c r="E308" i="68"/>
  <c r="I308"/>
  <c r="M308"/>
  <c r="D308" i="69"/>
  <c r="L308"/>
  <c r="G308" i="70"/>
  <c r="K308"/>
  <c r="G308" i="71"/>
  <c r="K308"/>
  <c r="F308" i="72"/>
  <c r="J308"/>
  <c r="G308" i="73"/>
  <c r="K308"/>
  <c r="F308" i="74"/>
  <c r="J308"/>
  <c r="E306" i="39"/>
  <c r="H307"/>
  <c r="F308"/>
  <c r="J308"/>
  <c r="R308"/>
  <c r="AB308"/>
  <c r="E308" i="65"/>
  <c r="I308"/>
  <c r="M308"/>
  <c r="D308" i="68"/>
  <c r="H308"/>
  <c r="L308"/>
  <c r="G308" i="69"/>
  <c r="K308"/>
  <c r="F308" i="70"/>
  <c r="J308"/>
  <c r="F308" i="71"/>
  <c r="J308"/>
  <c r="E308" i="72"/>
  <c r="I308"/>
  <c r="M308"/>
  <c r="F308" i="73"/>
  <c r="J308"/>
  <c r="E308" i="74"/>
  <c r="I308"/>
  <c r="M308"/>
  <c r="D308" i="65"/>
  <c r="H308"/>
  <c r="L308"/>
  <c r="AB308"/>
  <c r="K308" i="68"/>
  <c r="F308" i="69"/>
  <c r="J308"/>
  <c r="E308" i="70"/>
  <c r="M308"/>
  <c r="E308" i="71"/>
  <c r="I308"/>
  <c r="M308"/>
  <c r="D308" i="72"/>
  <c r="H308"/>
  <c r="L308"/>
  <c r="E308" i="73"/>
  <c r="I308"/>
  <c r="M308"/>
  <c r="D308" i="74"/>
  <c r="H308"/>
  <c r="L308"/>
  <c r="D308" i="39"/>
  <c r="H308"/>
  <c r="L308"/>
  <c r="G308" i="65"/>
  <c r="K308"/>
  <c r="F308" i="68"/>
  <c r="J308"/>
  <c r="E308" i="69"/>
  <c r="I308"/>
  <c r="M308"/>
  <c r="D308" i="70"/>
  <c r="H308"/>
  <c r="L308"/>
  <c r="D308" i="71"/>
  <c r="H308"/>
  <c r="L308"/>
  <c r="G308" i="72"/>
  <c r="K308"/>
  <c r="D308" i="73"/>
  <c r="H308"/>
  <c r="L308"/>
  <c r="G308" i="74"/>
  <c r="K308"/>
  <c r="Y308" i="39"/>
  <c r="F307" i="65"/>
  <c r="J307"/>
  <c r="R307"/>
  <c r="D307" i="68"/>
  <c r="H307"/>
  <c r="L307"/>
  <c r="P307"/>
  <c r="F307" i="69"/>
  <c r="J307"/>
  <c r="E307" i="71"/>
  <c r="I307"/>
  <c r="M307"/>
  <c r="E307" i="73"/>
  <c r="I307"/>
  <c r="M307"/>
  <c r="Q307"/>
  <c r="M304" i="39"/>
  <c r="L305"/>
  <c r="K306"/>
  <c r="G307"/>
  <c r="K307"/>
  <c r="E307" i="65"/>
  <c r="I307"/>
  <c r="M307"/>
  <c r="AB307"/>
  <c r="G307" i="68"/>
  <c r="K307"/>
  <c r="E307" i="69"/>
  <c r="I307"/>
  <c r="M307"/>
  <c r="Q307"/>
  <c r="D307" i="70"/>
  <c r="H307"/>
  <c r="L307"/>
  <c r="D307" i="71"/>
  <c r="H307"/>
  <c r="L307"/>
  <c r="D307" i="72"/>
  <c r="H307"/>
  <c r="L307"/>
  <c r="D307" i="73"/>
  <c r="H307"/>
  <c r="L307"/>
  <c r="D307" i="74"/>
  <c r="H307"/>
  <c r="L307"/>
  <c r="Y307" i="39"/>
  <c r="E304"/>
  <c r="F307"/>
  <c r="R307"/>
  <c r="D307" i="65"/>
  <c r="H307"/>
  <c r="L307"/>
  <c r="F307" i="68"/>
  <c r="J307"/>
  <c r="N307"/>
  <c r="R307"/>
  <c r="D307" i="69"/>
  <c r="H307"/>
  <c r="L307"/>
  <c r="G307" i="70"/>
  <c r="K307"/>
  <c r="G307" i="71"/>
  <c r="K307"/>
  <c r="G307" i="72"/>
  <c r="K307"/>
  <c r="G307" i="73"/>
  <c r="K307"/>
  <c r="G307" i="74"/>
  <c r="K307"/>
  <c r="H305" i="39"/>
  <c r="I306"/>
  <c r="J307"/>
  <c r="AB307"/>
  <c r="D305"/>
  <c r="G306"/>
  <c r="E307"/>
  <c r="I307"/>
  <c r="M307"/>
  <c r="G307" i="65"/>
  <c r="K307"/>
  <c r="E307" i="68"/>
  <c r="I307"/>
  <c r="M307"/>
  <c r="Q307"/>
  <c r="AB307"/>
  <c r="G307" i="69"/>
  <c r="K307"/>
  <c r="F307" i="70"/>
  <c r="J307"/>
  <c r="R307"/>
  <c r="F307" i="71"/>
  <c r="J307"/>
  <c r="R307"/>
  <c r="F307" i="72"/>
  <c r="J307"/>
  <c r="R307"/>
  <c r="F307" i="73"/>
  <c r="J307"/>
  <c r="F307" i="74"/>
  <c r="J307"/>
  <c r="R307"/>
  <c r="D306" i="65"/>
  <c r="H306"/>
  <c r="L306"/>
  <c r="E306" i="68"/>
  <c r="I306"/>
  <c r="M306"/>
  <c r="F306" i="69"/>
  <c r="J306"/>
  <c r="D306" i="70"/>
  <c r="H306"/>
  <c r="L306"/>
  <c r="G306" i="71"/>
  <c r="K306"/>
  <c r="F306" i="72"/>
  <c r="J306"/>
  <c r="E306" i="73"/>
  <c r="I306"/>
  <c r="M306"/>
  <c r="D306" i="74"/>
  <c r="H306"/>
  <c r="L306"/>
  <c r="H303" i="39"/>
  <c r="I304"/>
  <c r="J305"/>
  <c r="R305"/>
  <c r="AB305"/>
  <c r="F306"/>
  <c r="J306"/>
  <c r="R306"/>
  <c r="AB306"/>
  <c r="G306" i="65"/>
  <c r="K306"/>
  <c r="D306" i="68"/>
  <c r="H306"/>
  <c r="L306"/>
  <c r="E306" i="69"/>
  <c r="I306"/>
  <c r="M306"/>
  <c r="G306" i="70"/>
  <c r="K306"/>
  <c r="F306" i="71"/>
  <c r="J306"/>
  <c r="E306" i="72"/>
  <c r="I306"/>
  <c r="M306"/>
  <c r="D306" i="73"/>
  <c r="H306"/>
  <c r="L306"/>
  <c r="G306" i="74"/>
  <c r="K306"/>
  <c r="J306" i="65"/>
  <c r="AB306"/>
  <c r="G306" i="68"/>
  <c r="K306"/>
  <c r="D306" i="69"/>
  <c r="L306"/>
  <c r="F306" i="70"/>
  <c r="J306"/>
  <c r="E306" i="71"/>
  <c r="I306"/>
  <c r="M306"/>
  <c r="D306" i="72"/>
  <c r="H306"/>
  <c r="L306"/>
  <c r="G306" i="73"/>
  <c r="K306"/>
  <c r="S306"/>
  <c r="F306" i="74"/>
  <c r="J306"/>
  <c r="E302" i="39"/>
  <c r="Q304"/>
  <c r="F305"/>
  <c r="D306"/>
  <c r="H306"/>
  <c r="L306"/>
  <c r="E306" i="65"/>
  <c r="I306"/>
  <c r="M306"/>
  <c r="F306" i="68"/>
  <c r="J306"/>
  <c r="G306" i="69"/>
  <c r="K306"/>
  <c r="E306" i="70"/>
  <c r="I306"/>
  <c r="M306"/>
  <c r="D306" i="71"/>
  <c r="H306"/>
  <c r="L306"/>
  <c r="G306" i="72"/>
  <c r="F306" i="73"/>
  <c r="J306"/>
  <c r="E306" i="74"/>
  <c r="I306"/>
  <c r="M306"/>
  <c r="Y306" i="39"/>
  <c r="F305" i="65"/>
  <c r="J305"/>
  <c r="N305"/>
  <c r="R305"/>
  <c r="F305" i="68"/>
  <c r="J305"/>
  <c r="F305" i="69"/>
  <c r="J305"/>
  <c r="G305" i="70"/>
  <c r="K305"/>
  <c r="E305" i="71"/>
  <c r="I305"/>
  <c r="M305"/>
  <c r="Q305"/>
  <c r="G305" i="72"/>
  <c r="K305"/>
  <c r="E305" i="73"/>
  <c r="I305"/>
  <c r="M305"/>
  <c r="G305" i="74"/>
  <c r="K305"/>
  <c r="S305"/>
  <c r="D301" i="39"/>
  <c r="D303"/>
  <c r="G304"/>
  <c r="E305"/>
  <c r="I305"/>
  <c r="M305"/>
  <c r="E305" i="65"/>
  <c r="I305"/>
  <c r="M305"/>
  <c r="Q305"/>
  <c r="E305" i="68"/>
  <c r="I305"/>
  <c r="M305"/>
  <c r="Q305"/>
  <c r="E305" i="69"/>
  <c r="I305"/>
  <c r="M305"/>
  <c r="F305" i="70"/>
  <c r="J305"/>
  <c r="D305" i="71"/>
  <c r="H305"/>
  <c r="L305"/>
  <c r="P305"/>
  <c r="F305" i="72"/>
  <c r="J305"/>
  <c r="D305" i="73"/>
  <c r="H305"/>
  <c r="L305"/>
  <c r="F305" i="74"/>
  <c r="J305"/>
  <c r="Y305" i="39"/>
  <c r="D305" i="65"/>
  <c r="H305"/>
  <c r="L305"/>
  <c r="P305"/>
  <c r="D305" i="68"/>
  <c r="H305"/>
  <c r="L305"/>
  <c r="D305" i="69"/>
  <c r="L305"/>
  <c r="E305" i="70"/>
  <c r="M305"/>
  <c r="G305" i="71"/>
  <c r="K305"/>
  <c r="S305"/>
  <c r="E305" i="72"/>
  <c r="I305"/>
  <c r="M305"/>
  <c r="Q305"/>
  <c r="G305" i="73"/>
  <c r="K305"/>
  <c r="E305" i="74"/>
  <c r="I305"/>
  <c r="M305"/>
  <c r="M302" i="39"/>
  <c r="L303"/>
  <c r="K304"/>
  <c r="G305"/>
  <c r="K305"/>
  <c r="G305" i="65"/>
  <c r="K305"/>
  <c r="S305"/>
  <c r="G305" i="68"/>
  <c r="K305"/>
  <c r="S305"/>
  <c r="AB305"/>
  <c r="G305" i="69"/>
  <c r="K305"/>
  <c r="D305" i="70"/>
  <c r="H305"/>
  <c r="L305"/>
  <c r="F305" i="71"/>
  <c r="J305"/>
  <c r="N305"/>
  <c r="R305"/>
  <c r="D305" i="72"/>
  <c r="H305"/>
  <c r="L305"/>
  <c r="F305" i="73"/>
  <c r="J305"/>
  <c r="R305"/>
  <c r="D305" i="74"/>
  <c r="H305"/>
  <c r="L305"/>
  <c r="D304" i="65"/>
  <c r="H304"/>
  <c r="L304"/>
  <c r="AB304"/>
  <c r="G304" i="68"/>
  <c r="K304"/>
  <c r="F304" i="69"/>
  <c r="J304"/>
  <c r="F304" i="70"/>
  <c r="J304"/>
  <c r="R304"/>
  <c r="G304" i="71"/>
  <c r="K304"/>
  <c r="S304"/>
  <c r="D304" i="72"/>
  <c r="H304"/>
  <c r="L304"/>
  <c r="E304" i="73"/>
  <c r="I304"/>
  <c r="M304"/>
  <c r="Q304"/>
  <c r="F304" i="74"/>
  <c r="J304"/>
  <c r="R304"/>
  <c r="Q302" i="39"/>
  <c r="F303"/>
  <c r="D304"/>
  <c r="H304"/>
  <c r="L304"/>
  <c r="G304" i="65"/>
  <c r="K304"/>
  <c r="F304" i="68"/>
  <c r="J304"/>
  <c r="R304"/>
  <c r="E304" i="69"/>
  <c r="I304"/>
  <c r="M304"/>
  <c r="Q304"/>
  <c r="E304" i="70"/>
  <c r="I304"/>
  <c r="M304"/>
  <c r="Q304"/>
  <c r="F304" i="71"/>
  <c r="J304"/>
  <c r="R304"/>
  <c r="G304" i="72"/>
  <c r="K304"/>
  <c r="D304" i="73"/>
  <c r="H304"/>
  <c r="L304"/>
  <c r="E304" i="74"/>
  <c r="I304"/>
  <c r="M304"/>
  <c r="Q304"/>
  <c r="F304" i="65"/>
  <c r="J304"/>
  <c r="R304"/>
  <c r="E304" i="68"/>
  <c r="I304"/>
  <c r="M304"/>
  <c r="Q304"/>
  <c r="D304" i="69"/>
  <c r="H304"/>
  <c r="L304"/>
  <c r="D304" i="70"/>
  <c r="H304"/>
  <c r="L304"/>
  <c r="E304" i="71"/>
  <c r="I304"/>
  <c r="M304"/>
  <c r="F304" i="72"/>
  <c r="J304"/>
  <c r="R304"/>
  <c r="G304" i="73"/>
  <c r="K304"/>
  <c r="S304"/>
  <c r="D304" i="74"/>
  <c r="H304"/>
  <c r="L304"/>
  <c r="I302" i="39"/>
  <c r="J303"/>
  <c r="R303"/>
  <c r="AB303"/>
  <c r="F304"/>
  <c r="J304"/>
  <c r="R304"/>
  <c r="AB304"/>
  <c r="E304" i="65"/>
  <c r="I304"/>
  <c r="M304"/>
  <c r="D304" i="68"/>
  <c r="H304"/>
  <c r="L304"/>
  <c r="AB304"/>
  <c r="G304" i="69"/>
  <c r="K304"/>
  <c r="G304" i="70"/>
  <c r="K304"/>
  <c r="D304" i="71"/>
  <c r="H304"/>
  <c r="L304"/>
  <c r="E304" i="72"/>
  <c r="I304"/>
  <c r="M304"/>
  <c r="Q304"/>
  <c r="F304" i="73"/>
  <c r="J304"/>
  <c r="G304" i="74"/>
  <c r="K304"/>
  <c r="Y304" i="39"/>
  <c r="F303" i="65"/>
  <c r="J303"/>
  <c r="N303"/>
  <c r="R303"/>
  <c r="D303" i="68"/>
  <c r="H303"/>
  <c r="L303"/>
  <c r="F303" i="69"/>
  <c r="J303"/>
  <c r="E303" i="70"/>
  <c r="M303"/>
  <c r="E303" i="71"/>
  <c r="I303"/>
  <c r="M303"/>
  <c r="Q303"/>
  <c r="E303" i="72"/>
  <c r="I303"/>
  <c r="M303"/>
  <c r="Q303"/>
  <c r="E303" i="73"/>
  <c r="I303"/>
  <c r="M303"/>
  <c r="Q303"/>
  <c r="E303" i="74"/>
  <c r="I303"/>
  <c r="M303"/>
  <c r="Q303"/>
  <c r="M300" i="39"/>
  <c r="K302"/>
  <c r="G303"/>
  <c r="K303"/>
  <c r="E303" i="65"/>
  <c r="I303"/>
  <c r="M303"/>
  <c r="Q303"/>
  <c r="AB303"/>
  <c r="G303" i="68"/>
  <c r="K303"/>
  <c r="S303"/>
  <c r="E303" i="69"/>
  <c r="I303"/>
  <c r="M303"/>
  <c r="D303" i="70"/>
  <c r="H303"/>
  <c r="L303"/>
  <c r="D303" i="71"/>
  <c r="H303"/>
  <c r="L303"/>
  <c r="P303"/>
  <c r="D303" i="72"/>
  <c r="H303"/>
  <c r="L303"/>
  <c r="D303" i="73"/>
  <c r="H303"/>
  <c r="L303"/>
  <c r="D303" i="74"/>
  <c r="H303"/>
  <c r="L303"/>
  <c r="Y303" i="39"/>
  <c r="D303" i="65"/>
  <c r="H303"/>
  <c r="L303"/>
  <c r="P303"/>
  <c r="F303" i="68"/>
  <c r="J303"/>
  <c r="R303"/>
  <c r="D303" i="69"/>
  <c r="L303"/>
  <c r="G303" i="70"/>
  <c r="K303"/>
  <c r="G303" i="71"/>
  <c r="K303"/>
  <c r="S303"/>
  <c r="G303" i="72"/>
  <c r="K303"/>
  <c r="G303" i="73"/>
  <c r="K303"/>
  <c r="G303" i="74"/>
  <c r="K303"/>
  <c r="S303"/>
  <c r="L301" i="39"/>
  <c r="G302"/>
  <c r="E303"/>
  <c r="I303"/>
  <c r="M303"/>
  <c r="Q303"/>
  <c r="G303" i="65"/>
  <c r="K303"/>
  <c r="S303"/>
  <c r="E303" i="68"/>
  <c r="I303"/>
  <c r="M303"/>
  <c r="Q303"/>
  <c r="AB303"/>
  <c r="G303" i="69"/>
  <c r="K303"/>
  <c r="F303" i="70"/>
  <c r="J303"/>
  <c r="F303" i="71"/>
  <c r="J303"/>
  <c r="N303"/>
  <c r="R303"/>
  <c r="F303" i="72"/>
  <c r="J303"/>
  <c r="R303"/>
  <c r="F303" i="73"/>
  <c r="J303"/>
  <c r="R303"/>
  <c r="F303" i="74"/>
  <c r="J303"/>
  <c r="D302" i="65"/>
  <c r="H302"/>
  <c r="L302"/>
  <c r="E302" i="68"/>
  <c r="I302"/>
  <c r="M302"/>
  <c r="Q302"/>
  <c r="F302" i="69"/>
  <c r="J302"/>
  <c r="D302" i="70"/>
  <c r="H302"/>
  <c r="L302"/>
  <c r="G302" i="71"/>
  <c r="K302"/>
  <c r="F302" i="72"/>
  <c r="J302"/>
  <c r="N302"/>
  <c r="E302" i="73"/>
  <c r="I302"/>
  <c r="M302"/>
  <c r="Q302"/>
  <c r="D302" i="74"/>
  <c r="H302"/>
  <c r="L302"/>
  <c r="E300" i="39"/>
  <c r="H301"/>
  <c r="F302"/>
  <c r="J302"/>
  <c r="R302"/>
  <c r="AB302"/>
  <c r="G302" i="65"/>
  <c r="K302"/>
  <c r="D302" i="68"/>
  <c r="H302"/>
  <c r="L302"/>
  <c r="P302"/>
  <c r="E302" i="69"/>
  <c r="I302"/>
  <c r="M302"/>
  <c r="Q302"/>
  <c r="G302" i="70"/>
  <c r="K302"/>
  <c r="F302" i="71"/>
  <c r="J302"/>
  <c r="E302" i="72"/>
  <c r="I302"/>
  <c r="M302"/>
  <c r="Q302"/>
  <c r="D302" i="73"/>
  <c r="H302"/>
  <c r="L302"/>
  <c r="G302" i="74"/>
  <c r="K302"/>
  <c r="F302" i="65"/>
  <c r="J302"/>
  <c r="AB302"/>
  <c r="G302" i="68"/>
  <c r="K302"/>
  <c r="D302" i="69"/>
  <c r="H302"/>
  <c r="L302"/>
  <c r="F302" i="70"/>
  <c r="J302"/>
  <c r="E302" i="71"/>
  <c r="I302"/>
  <c r="M302"/>
  <c r="Q302"/>
  <c r="D302" i="72"/>
  <c r="H302"/>
  <c r="L302"/>
  <c r="P302"/>
  <c r="G302" i="73"/>
  <c r="K302"/>
  <c r="F302" i="74"/>
  <c r="J302"/>
  <c r="M298" i="39"/>
  <c r="D302"/>
  <c r="H302"/>
  <c r="L302"/>
  <c r="E302" i="65"/>
  <c r="I302"/>
  <c r="M302"/>
  <c r="Q302"/>
  <c r="F302" i="68"/>
  <c r="J302"/>
  <c r="N302"/>
  <c r="AB302"/>
  <c r="G302" i="69"/>
  <c r="K302"/>
  <c r="E302" i="70"/>
  <c r="I302"/>
  <c r="M302"/>
  <c r="Q302"/>
  <c r="D302" i="71"/>
  <c r="H302"/>
  <c r="L302"/>
  <c r="G302" i="72"/>
  <c r="K302"/>
  <c r="F302" i="73"/>
  <c r="J302"/>
  <c r="E302" i="74"/>
  <c r="I302"/>
  <c r="M302"/>
  <c r="Q302"/>
  <c r="Y302" i="39"/>
  <c r="I300"/>
  <c r="J301"/>
  <c r="AB301"/>
  <c r="F301" i="65"/>
  <c r="J301"/>
  <c r="F301" i="68"/>
  <c r="J301"/>
  <c r="F301" i="69"/>
  <c r="J301"/>
  <c r="G301" i="70"/>
  <c r="K301"/>
  <c r="E301" i="71"/>
  <c r="I301"/>
  <c r="M301"/>
  <c r="Q301"/>
  <c r="G301" i="72"/>
  <c r="K301"/>
  <c r="S301"/>
  <c r="E301" i="73"/>
  <c r="I301"/>
  <c r="M301"/>
  <c r="G301" i="74"/>
  <c r="K301"/>
  <c r="H299" i="39"/>
  <c r="F301"/>
  <c r="D299"/>
  <c r="G300"/>
  <c r="E301"/>
  <c r="I301"/>
  <c r="M301"/>
  <c r="E301" i="65"/>
  <c r="I301"/>
  <c r="M301"/>
  <c r="E301" i="68"/>
  <c r="I301"/>
  <c r="M301"/>
  <c r="E301" i="69"/>
  <c r="I301"/>
  <c r="M301"/>
  <c r="F301" i="70"/>
  <c r="J301"/>
  <c r="D301" i="71"/>
  <c r="H301"/>
  <c r="L301"/>
  <c r="F301" i="72"/>
  <c r="J301"/>
  <c r="D301" i="73"/>
  <c r="H301"/>
  <c r="L301"/>
  <c r="F301" i="74"/>
  <c r="J301"/>
  <c r="Y301" i="39"/>
  <c r="D301" i="65"/>
  <c r="H301"/>
  <c r="L301"/>
  <c r="D301" i="68"/>
  <c r="H301"/>
  <c r="L301"/>
  <c r="D301" i="69"/>
  <c r="H301"/>
  <c r="L301"/>
  <c r="E301" i="70"/>
  <c r="I301"/>
  <c r="M301"/>
  <c r="G301" i="71"/>
  <c r="K301"/>
  <c r="E301" i="72"/>
  <c r="I301"/>
  <c r="M301"/>
  <c r="G301" i="73"/>
  <c r="K301"/>
  <c r="E301" i="74"/>
  <c r="I301"/>
  <c r="M301"/>
  <c r="L299" i="39"/>
  <c r="K300"/>
  <c r="G301"/>
  <c r="K301"/>
  <c r="G301" i="65"/>
  <c r="K301"/>
  <c r="G301" i="68"/>
  <c r="K301"/>
  <c r="AB301"/>
  <c r="G301" i="69"/>
  <c r="K301"/>
  <c r="D301" i="70"/>
  <c r="H301"/>
  <c r="L301"/>
  <c r="F301" i="71"/>
  <c r="J301"/>
  <c r="D301" i="72"/>
  <c r="H301"/>
  <c r="L301"/>
  <c r="F301" i="73"/>
  <c r="J301"/>
  <c r="D301" i="74"/>
  <c r="H301"/>
  <c r="L301"/>
  <c r="D300" i="65"/>
  <c r="H300"/>
  <c r="L300"/>
  <c r="AB300"/>
  <c r="G300" i="68"/>
  <c r="K300"/>
  <c r="F300" i="69"/>
  <c r="J300"/>
  <c r="F300" i="70"/>
  <c r="J300"/>
  <c r="G300" i="71"/>
  <c r="K300"/>
  <c r="D300" i="72"/>
  <c r="H300"/>
  <c r="L300"/>
  <c r="E300" i="73"/>
  <c r="I300"/>
  <c r="M300"/>
  <c r="F300" i="74"/>
  <c r="J300"/>
  <c r="E298" i="39"/>
  <c r="F299"/>
  <c r="D300"/>
  <c r="H300"/>
  <c r="L300"/>
  <c r="G300" i="65"/>
  <c r="K300"/>
  <c r="F300" i="68"/>
  <c r="J300"/>
  <c r="E300" i="69"/>
  <c r="I300"/>
  <c r="M300"/>
  <c r="E300" i="70"/>
  <c r="I300"/>
  <c r="M300"/>
  <c r="F300" i="71"/>
  <c r="J300"/>
  <c r="G300" i="72"/>
  <c r="D300" i="73"/>
  <c r="H300"/>
  <c r="L300"/>
  <c r="E300" i="74"/>
  <c r="I300"/>
  <c r="M300"/>
  <c r="J300" i="65"/>
  <c r="E300" i="68"/>
  <c r="I300"/>
  <c r="M300"/>
  <c r="D300" i="69"/>
  <c r="L300"/>
  <c r="D300" i="70"/>
  <c r="H300"/>
  <c r="L300"/>
  <c r="E300" i="71"/>
  <c r="I300"/>
  <c r="M300"/>
  <c r="F300" i="72"/>
  <c r="J300"/>
  <c r="G300" i="73"/>
  <c r="K300"/>
  <c r="D300" i="74"/>
  <c r="H300"/>
  <c r="L300"/>
  <c r="J299" i="39"/>
  <c r="R299"/>
  <c r="AB299"/>
  <c r="F300"/>
  <c r="J300"/>
  <c r="R300"/>
  <c r="AB300"/>
  <c r="E300" i="65"/>
  <c r="I300"/>
  <c r="M300"/>
  <c r="D300" i="68"/>
  <c r="H300"/>
  <c r="L300"/>
  <c r="G300" i="69"/>
  <c r="K300"/>
  <c r="G300" i="70"/>
  <c r="K300"/>
  <c r="D300" i="71"/>
  <c r="H300"/>
  <c r="L300"/>
  <c r="E300" i="72"/>
  <c r="I300"/>
  <c r="M300"/>
  <c r="F300" i="73"/>
  <c r="J300"/>
  <c r="G300" i="74"/>
  <c r="K300"/>
  <c r="Y300" i="39"/>
  <c r="J299" i="65"/>
  <c r="D299" i="68"/>
  <c r="H299"/>
  <c r="L299"/>
  <c r="F299" i="69"/>
  <c r="J299"/>
  <c r="E299" i="70"/>
  <c r="M299"/>
  <c r="E299" i="71"/>
  <c r="I299"/>
  <c r="M299"/>
  <c r="E299" i="72"/>
  <c r="I299"/>
  <c r="M299"/>
  <c r="E299" i="73"/>
  <c r="I299"/>
  <c r="M299"/>
  <c r="E299" i="74"/>
  <c r="I299"/>
  <c r="M299"/>
  <c r="I298" i="39"/>
  <c r="G299"/>
  <c r="K299"/>
  <c r="E299" i="65"/>
  <c r="I299"/>
  <c r="M299"/>
  <c r="AB299"/>
  <c r="G299" i="68"/>
  <c r="K299"/>
  <c r="E299" i="69"/>
  <c r="I299"/>
  <c r="M299"/>
  <c r="D299" i="70"/>
  <c r="H299"/>
  <c r="L299"/>
  <c r="D299" i="71"/>
  <c r="H299"/>
  <c r="L299"/>
  <c r="D299" i="72"/>
  <c r="H299"/>
  <c r="L299"/>
  <c r="D299" i="73"/>
  <c r="H299"/>
  <c r="L299"/>
  <c r="D299" i="74"/>
  <c r="H299"/>
  <c r="L299"/>
  <c r="Y299" i="39"/>
  <c r="D299" i="65"/>
  <c r="H299"/>
  <c r="L299"/>
  <c r="F299" i="68"/>
  <c r="J299"/>
  <c r="D299" i="69"/>
  <c r="H299"/>
  <c r="L299"/>
  <c r="G299" i="70"/>
  <c r="K299"/>
  <c r="G299" i="71"/>
  <c r="K299"/>
  <c r="G299" i="72"/>
  <c r="G299" i="73"/>
  <c r="K299"/>
  <c r="G299" i="74"/>
  <c r="K299"/>
  <c r="Q298" i="39"/>
  <c r="E299"/>
  <c r="I299"/>
  <c r="M299"/>
  <c r="G299" i="65"/>
  <c r="K299"/>
  <c r="E299" i="68"/>
  <c r="I299"/>
  <c r="M299"/>
  <c r="G299" i="69"/>
  <c r="K299"/>
  <c r="F299" i="70"/>
  <c r="J299"/>
  <c r="F299" i="71"/>
  <c r="J299"/>
  <c r="F299" i="72"/>
  <c r="J299"/>
  <c r="F299" i="73"/>
  <c r="J299"/>
  <c r="F299" i="74"/>
  <c r="J299"/>
  <c r="D298" i="70"/>
  <c r="H298"/>
  <c r="L298"/>
  <c r="G298" i="71"/>
  <c r="K298"/>
  <c r="F298" i="72"/>
  <c r="J298"/>
  <c r="R298"/>
  <c r="E298" i="73"/>
  <c r="I298"/>
  <c r="M298"/>
  <c r="Q298"/>
  <c r="D298" i="74"/>
  <c r="H298"/>
  <c r="L298"/>
  <c r="D298" i="39"/>
  <c r="H298"/>
  <c r="L298"/>
  <c r="F298" i="65"/>
  <c r="J298"/>
  <c r="R298"/>
  <c r="E298" i="68"/>
  <c r="I298"/>
  <c r="M298"/>
  <c r="Q298"/>
  <c r="AB298"/>
  <c r="D298" i="69"/>
  <c r="H298"/>
  <c r="L298"/>
  <c r="G298" i="70"/>
  <c r="K298"/>
  <c r="F298" i="71"/>
  <c r="J298"/>
  <c r="R298"/>
  <c r="E298" i="72"/>
  <c r="I298"/>
  <c r="M298"/>
  <c r="Q298"/>
  <c r="D298" i="73"/>
  <c r="H298"/>
  <c r="L298"/>
  <c r="G298" i="74"/>
  <c r="K298"/>
  <c r="G298" i="39"/>
  <c r="E298" i="65"/>
  <c r="I298"/>
  <c r="M298"/>
  <c r="AB298"/>
  <c r="D298" i="68"/>
  <c r="H298"/>
  <c r="L298"/>
  <c r="G298" i="69"/>
  <c r="K298"/>
  <c r="O298"/>
  <c r="F298" i="70"/>
  <c r="J298"/>
  <c r="R298"/>
  <c r="E298" i="71"/>
  <c r="I298"/>
  <c r="M298"/>
  <c r="D298" i="72"/>
  <c r="H298"/>
  <c r="L298"/>
  <c r="G298" i="73"/>
  <c r="K298"/>
  <c r="F298" i="74"/>
  <c r="J298"/>
  <c r="R298"/>
  <c r="K298" i="39"/>
  <c r="S298"/>
  <c r="F298"/>
  <c r="J298"/>
  <c r="R298"/>
  <c r="AB298"/>
  <c r="D298" i="65"/>
  <c r="H298"/>
  <c r="L298"/>
  <c r="G298" i="68"/>
  <c r="K298"/>
  <c r="S298"/>
  <c r="F298" i="69"/>
  <c r="J298"/>
  <c r="N298"/>
  <c r="E298" i="70"/>
  <c r="I298"/>
  <c r="M298"/>
  <c r="Q298"/>
  <c r="D298" i="71"/>
  <c r="H298"/>
  <c r="L298"/>
  <c r="G298" i="72"/>
  <c r="K298"/>
  <c r="F298" i="73"/>
  <c r="J298"/>
  <c r="E298" i="74"/>
  <c r="I298"/>
  <c r="M298"/>
  <c r="Q298"/>
  <c r="Z262"/>
  <c r="Z264"/>
  <c r="Z266"/>
  <c r="Z268"/>
  <c r="Z270"/>
  <c r="Z272"/>
  <c r="Z274"/>
  <c r="Z276"/>
  <c r="Z278"/>
  <c r="Z280"/>
  <c r="Z282"/>
  <c r="Z284"/>
  <c r="Z286"/>
  <c r="Z288"/>
  <c r="Z290"/>
  <c r="Z292"/>
  <c r="Z294"/>
  <c r="Z296"/>
  <c r="Z262" i="73"/>
  <c r="Z264"/>
  <c r="Z266"/>
  <c r="Z268"/>
  <c r="Z270"/>
  <c r="Z272"/>
  <c r="Z274"/>
  <c r="Z276"/>
  <c r="Z278"/>
  <c r="Z280"/>
  <c r="Z282"/>
  <c r="Z284"/>
  <c r="Z286"/>
  <c r="Z288"/>
  <c r="Z290"/>
  <c r="Z292"/>
  <c r="Z294"/>
  <c r="Z296"/>
  <c r="Z262" i="72"/>
  <c r="Z264"/>
  <c r="Z266"/>
  <c r="Z268"/>
  <c r="Z270"/>
  <c r="Z272"/>
  <c r="Z274"/>
  <c r="Z276"/>
  <c r="Z278"/>
  <c r="Z280"/>
  <c r="Z282"/>
  <c r="Z284"/>
  <c r="Z286"/>
  <c r="Z288"/>
  <c r="Z290"/>
  <c r="Z292"/>
  <c r="Z294"/>
  <c r="Z296"/>
  <c r="Z262" i="71"/>
  <c r="Z264"/>
  <c r="Z266"/>
  <c r="Z268"/>
  <c r="Z270"/>
  <c r="Z272"/>
  <c r="Z274"/>
  <c r="Z276"/>
  <c r="Z278"/>
  <c r="Z280"/>
  <c r="Z282"/>
  <c r="Z284"/>
  <c r="Z286"/>
  <c r="Z288"/>
  <c r="Z290"/>
  <c r="Z292"/>
  <c r="Z294"/>
  <c r="Z296"/>
  <c r="Z262" i="70"/>
  <c r="Z264"/>
  <c r="Z266"/>
  <c r="Z268"/>
  <c r="Z270"/>
  <c r="Z272"/>
  <c r="Z274"/>
  <c r="Z276"/>
  <c r="Z278"/>
  <c r="Z280"/>
  <c r="Z282"/>
  <c r="Z284"/>
  <c r="Z286"/>
  <c r="Z288"/>
  <c r="Z290"/>
  <c r="Z292"/>
  <c r="Z294"/>
  <c r="Z296"/>
  <c r="Z262" i="69"/>
  <c r="Z264"/>
  <c r="Z266"/>
  <c r="Z268"/>
  <c r="Z270"/>
  <c r="Z272"/>
  <c r="Z274"/>
  <c r="Z276"/>
  <c r="Z278"/>
  <c r="Z280"/>
  <c r="Z282"/>
  <c r="Z284"/>
  <c r="Z286"/>
  <c r="Z288"/>
  <c r="Z290"/>
  <c r="Z292"/>
  <c r="Z294"/>
  <c r="Z296"/>
  <c r="Z262" i="68"/>
  <c r="Z264"/>
  <c r="Z266"/>
  <c r="Z268"/>
  <c r="Z270"/>
  <c r="Z272"/>
  <c r="Z274"/>
  <c r="Z276"/>
  <c r="Z278"/>
  <c r="Z280"/>
  <c r="Z282"/>
  <c r="Z284"/>
  <c r="Z286"/>
  <c r="Z288"/>
  <c r="Z290"/>
  <c r="Z292"/>
  <c r="Z294"/>
  <c r="Z296"/>
  <c r="Z262" i="65"/>
  <c r="Z264"/>
  <c r="Z266"/>
  <c r="Z268"/>
  <c r="Z270"/>
  <c r="Z272"/>
  <c r="Z274"/>
  <c r="Z276"/>
  <c r="Z278"/>
  <c r="Z280"/>
  <c r="Z282"/>
  <c r="Z284"/>
  <c r="Z286"/>
  <c r="Z288"/>
  <c r="Z290"/>
  <c r="Z292"/>
  <c r="Z294"/>
  <c r="Z296"/>
  <c r="J275"/>
  <c r="I275"/>
  <c r="D286"/>
  <c r="K274"/>
  <c r="Y272"/>
  <c r="Y284"/>
  <c r="Z261" i="74"/>
  <c r="Z263"/>
  <c r="Z265"/>
  <c r="Z267"/>
  <c r="Z269"/>
  <c r="Z271"/>
  <c r="Z273"/>
  <c r="Z275"/>
  <c r="Z277"/>
  <c r="Z279"/>
  <c r="Z281"/>
  <c r="Z283"/>
  <c r="Z285"/>
  <c r="Z287"/>
  <c r="Z289"/>
  <c r="Z291"/>
  <c r="Z293"/>
  <c r="Z295"/>
  <c r="Z261" i="73"/>
  <c r="Z263"/>
  <c r="Z265"/>
  <c r="Z267"/>
  <c r="Z269"/>
  <c r="Z271"/>
  <c r="Z273"/>
  <c r="Z275"/>
  <c r="Z277"/>
  <c r="Z279"/>
  <c r="Z281"/>
  <c r="Z283"/>
  <c r="Z285"/>
  <c r="Z287"/>
  <c r="Z289"/>
  <c r="Z291"/>
  <c r="Z293"/>
  <c r="Z295"/>
  <c r="Z261" i="72"/>
  <c r="Z263"/>
  <c r="Z265"/>
  <c r="Z267"/>
  <c r="Z269"/>
  <c r="Z271"/>
  <c r="Z273"/>
  <c r="Z275"/>
  <c r="Z277"/>
  <c r="Z279"/>
  <c r="Z281"/>
  <c r="Z283"/>
  <c r="Z285"/>
  <c r="Z287"/>
  <c r="Z289"/>
  <c r="Z291"/>
  <c r="Z293"/>
  <c r="Z295"/>
  <c r="Z261" i="71"/>
  <c r="Z263"/>
  <c r="Z265"/>
  <c r="Z267"/>
  <c r="Z269"/>
  <c r="Z271"/>
  <c r="Z273"/>
  <c r="Z275"/>
  <c r="Z277"/>
  <c r="Z279"/>
  <c r="Z281"/>
  <c r="Z283"/>
  <c r="Z285"/>
  <c r="Z287"/>
  <c r="Z289"/>
  <c r="Z291"/>
  <c r="Z293"/>
  <c r="Z295"/>
  <c r="Z261" i="70"/>
  <c r="Z263"/>
  <c r="Z265"/>
  <c r="Z267"/>
  <c r="Z269"/>
  <c r="Z271"/>
  <c r="Z273"/>
  <c r="Z275"/>
  <c r="Z277"/>
  <c r="Z279"/>
  <c r="Z281"/>
  <c r="Z283"/>
  <c r="Z285"/>
  <c r="Z287"/>
  <c r="Z289"/>
  <c r="Z291"/>
  <c r="Z293"/>
  <c r="Z295"/>
  <c r="Z261" i="69"/>
  <c r="Z263"/>
  <c r="Z265"/>
  <c r="Z267"/>
  <c r="Z269"/>
  <c r="Z271"/>
  <c r="Z273"/>
  <c r="Z275"/>
  <c r="Z277"/>
  <c r="Z279"/>
  <c r="Z281"/>
  <c r="Z283"/>
  <c r="Z285"/>
  <c r="Z287"/>
  <c r="Z289"/>
  <c r="Z291"/>
  <c r="Z293"/>
  <c r="Z295"/>
  <c r="Z261" i="68"/>
  <c r="Z263"/>
  <c r="Z265"/>
  <c r="Z267"/>
  <c r="Z269"/>
  <c r="Z271"/>
  <c r="Z273"/>
  <c r="Z275"/>
  <c r="Z277"/>
  <c r="Z279"/>
  <c r="Z281"/>
  <c r="Z283"/>
  <c r="Z285"/>
  <c r="Z287"/>
  <c r="Z289"/>
  <c r="Z291"/>
  <c r="Z293"/>
  <c r="Z295"/>
  <c r="Z261" i="65"/>
  <c r="Z263"/>
  <c r="Z265"/>
  <c r="Z267"/>
  <c r="Z269"/>
  <c r="Z271"/>
  <c r="Z273"/>
  <c r="Z275"/>
  <c r="Z277"/>
  <c r="Z279"/>
  <c r="Z281"/>
  <c r="Z283"/>
  <c r="Z285"/>
  <c r="Z287"/>
  <c r="Z289"/>
  <c r="Z291"/>
  <c r="Z293"/>
  <c r="Z295"/>
  <c r="H285"/>
  <c r="AB275"/>
  <c r="Y271"/>
  <c r="Y273"/>
  <c r="Y275"/>
  <c r="Y277"/>
  <c r="Y279"/>
  <c r="Y281"/>
  <c r="Y285"/>
  <c r="D228" i="73"/>
  <c r="M238" i="72"/>
  <c r="D230" i="65"/>
  <c r="H226"/>
  <c r="H226" i="70"/>
  <c r="H226" i="73"/>
  <c r="H228" i="65"/>
  <c r="H228" i="70"/>
  <c r="H228" i="73"/>
  <c r="H232" i="68"/>
  <c r="H232" i="71"/>
  <c r="H232" i="74"/>
  <c r="F234" i="69"/>
  <c r="H234" i="72"/>
  <c r="L236" i="69"/>
  <c r="L236" i="72"/>
  <c r="L238" i="65"/>
  <c r="G238" i="71"/>
  <c r="G238" i="74"/>
  <c r="F230"/>
  <c r="K224"/>
  <c r="E235" i="73"/>
  <c r="M236" i="72"/>
  <c r="I232"/>
  <c r="L226"/>
  <c r="M238" i="71"/>
  <c r="F232"/>
  <c r="L226"/>
  <c r="J238" i="70"/>
  <c r="I233"/>
  <c r="G228"/>
  <c r="E222"/>
  <c r="L222" i="69"/>
  <c r="L234" i="68"/>
  <c r="I224"/>
  <c r="I226"/>
  <c r="F226" i="72"/>
  <c r="I226" i="74"/>
  <c r="I228" i="68"/>
  <c r="F228" i="72"/>
  <c r="I228" i="74"/>
  <c r="G232" i="70"/>
  <c r="L232" i="72"/>
  <c r="I234" i="65"/>
  <c r="F234" i="71"/>
  <c r="I234" i="73"/>
  <c r="H236" i="68"/>
  <c r="H236" i="71"/>
  <c r="J236" i="74"/>
  <c r="L238" i="69"/>
  <c r="H238" i="72"/>
  <c r="I236" i="74"/>
  <c r="M232"/>
  <c r="D228"/>
  <c r="F238" i="73"/>
  <c r="M226"/>
  <c r="E234" i="72"/>
  <c r="E230" i="71"/>
  <c r="E224"/>
  <c r="D232" i="70"/>
  <c r="M234" i="69"/>
  <c r="K226"/>
  <c r="K236" i="68"/>
  <c r="M238" i="65"/>
  <c r="M228"/>
  <c r="I224"/>
  <c r="E226" i="74"/>
  <c r="I236" i="71"/>
  <c r="K234" i="70"/>
  <c r="K224" i="69"/>
  <c r="E238" i="74"/>
  <c r="F232" i="73"/>
  <c r="E230" i="72"/>
  <c r="M222"/>
  <c r="G228" i="71"/>
  <c r="J230" i="70"/>
  <c r="G226"/>
  <c r="K236" i="69"/>
  <c r="D228"/>
  <c r="I232" i="68"/>
  <c r="G228"/>
  <c r="D238" i="65"/>
  <c r="M234"/>
  <c r="M230"/>
  <c r="J226"/>
  <c r="H226" i="68"/>
  <c r="F226" i="70"/>
  <c r="I226" i="71"/>
  <c r="F226" i="73"/>
  <c r="H226" i="74"/>
  <c r="I228" i="65"/>
  <c r="F228" i="69"/>
  <c r="F228" i="71"/>
  <c r="H228" i="72"/>
  <c r="I228" i="73"/>
  <c r="G232" i="65"/>
  <c r="L232" i="68"/>
  <c r="H232" i="70"/>
  <c r="L232" i="71"/>
  <c r="G232" i="73"/>
  <c r="L232" i="74"/>
  <c r="F234" i="68"/>
  <c r="I234" i="69"/>
  <c r="H234" i="71"/>
  <c r="I234" i="72"/>
  <c r="F234" i="74"/>
  <c r="H236" i="65"/>
  <c r="J236" i="68"/>
  <c r="H236" i="70"/>
  <c r="L236" i="74"/>
  <c r="H238" i="68"/>
  <c r="G238" i="70"/>
  <c r="H238" i="71"/>
  <c r="L238" i="72"/>
  <c r="H238" i="74"/>
  <c r="M236"/>
  <c r="D234"/>
  <c r="K232"/>
  <c r="M226"/>
  <c r="M238" i="73"/>
  <c r="K238" i="72"/>
  <c r="I236"/>
  <c r="M228"/>
  <c r="G226"/>
  <c r="J228" i="71"/>
  <c r="K226"/>
  <c r="D224"/>
  <c r="E238" i="70"/>
  <c r="F236"/>
  <c r="F238" i="69"/>
  <c r="D232"/>
  <c r="K228" i="68"/>
  <c r="J223"/>
  <c r="E238" i="65"/>
  <c r="D236"/>
  <c r="F232"/>
  <c r="M226"/>
  <c r="F226" i="69"/>
  <c r="I226" i="73"/>
  <c r="F228"/>
  <c r="H228" i="74"/>
  <c r="G232" i="71"/>
  <c r="H232" i="72"/>
  <c r="H234" i="65"/>
  <c r="I234" i="68"/>
  <c r="H234" i="70"/>
  <c r="F234" i="72"/>
  <c r="H234" i="73"/>
  <c r="L236" i="65"/>
  <c r="J236" i="69"/>
  <c r="H236" i="74"/>
  <c r="H238" i="73"/>
  <c r="F323" i="39"/>
  <c r="J323"/>
  <c r="R323"/>
  <c r="G323" i="65"/>
  <c r="K323"/>
  <c r="O323"/>
  <c r="AB323"/>
  <c r="E323" i="68"/>
  <c r="I323"/>
  <c r="M323"/>
  <c r="Q323"/>
  <c r="G323" i="69"/>
  <c r="K323"/>
  <c r="E323" i="70"/>
  <c r="I323"/>
  <c r="M323"/>
  <c r="Q323"/>
  <c r="G323" i="71"/>
  <c r="K323"/>
  <c r="S323"/>
  <c r="E323" i="72"/>
  <c r="I323"/>
  <c r="M323"/>
  <c r="Q323"/>
  <c r="G323" i="73"/>
  <c r="K323"/>
  <c r="E323" i="74"/>
  <c r="I323"/>
  <c r="M323"/>
  <c r="Q323"/>
  <c r="E323" i="39"/>
  <c r="I323"/>
  <c r="M323"/>
  <c r="Q323"/>
  <c r="F323" i="65"/>
  <c r="J323"/>
  <c r="N323"/>
  <c r="R323"/>
  <c r="D323" i="68"/>
  <c r="H323"/>
  <c r="L323"/>
  <c r="F323" i="69"/>
  <c r="J323"/>
  <c r="D323" i="70"/>
  <c r="H323"/>
  <c r="L323"/>
  <c r="F323" i="71"/>
  <c r="J323"/>
  <c r="R323"/>
  <c r="D323" i="72"/>
  <c r="H323"/>
  <c r="L323"/>
  <c r="F323" i="73"/>
  <c r="J323"/>
  <c r="D323" i="74"/>
  <c r="H323"/>
  <c r="L323"/>
  <c r="E323" i="65"/>
  <c r="I323"/>
  <c r="M323"/>
  <c r="G323" i="68"/>
  <c r="K323"/>
  <c r="AB323"/>
  <c r="E323" i="69"/>
  <c r="I323"/>
  <c r="M323"/>
  <c r="Q323"/>
  <c r="G323" i="70"/>
  <c r="K323"/>
  <c r="E323" i="71"/>
  <c r="I323"/>
  <c r="M323"/>
  <c r="G323" i="72"/>
  <c r="K323"/>
  <c r="E323" i="73"/>
  <c r="I323"/>
  <c r="M323"/>
  <c r="Q323"/>
  <c r="G323" i="74"/>
  <c r="K323"/>
  <c r="G323" i="39"/>
  <c r="K323"/>
  <c r="D323" i="65"/>
  <c r="H323"/>
  <c r="L323"/>
  <c r="F323" i="68"/>
  <c r="J323"/>
  <c r="R323"/>
  <c r="D323" i="69"/>
  <c r="H323"/>
  <c r="L323"/>
  <c r="F323" i="70"/>
  <c r="J323"/>
  <c r="R323"/>
  <c r="D323" i="71"/>
  <c r="H323"/>
  <c r="L323"/>
  <c r="F323" i="72"/>
  <c r="J323"/>
  <c r="R323"/>
  <c r="D323" i="73"/>
  <c r="H323"/>
  <c r="L323"/>
  <c r="F323" i="74"/>
  <c r="J323"/>
  <c r="R323"/>
  <c r="J180"/>
  <c r="J176"/>
  <c r="L172"/>
  <c r="E172"/>
  <c r="J168"/>
  <c r="K164"/>
  <c r="E164"/>
  <c r="J160"/>
  <c r="L156"/>
  <c r="F156"/>
  <c r="K190" i="73"/>
  <c r="E190"/>
  <c r="J186"/>
  <c r="D186"/>
  <c r="J182"/>
  <c r="K178"/>
  <c r="D178"/>
  <c r="K166"/>
  <c r="M162"/>
  <c r="L154"/>
  <c r="D154"/>
  <c r="K188" i="72"/>
  <c r="L172"/>
  <c r="D172"/>
  <c r="M164"/>
  <c r="L160"/>
  <c r="L156"/>
  <c r="E190" i="71"/>
  <c r="K186"/>
  <c r="L182"/>
  <c r="J178"/>
  <c r="K174"/>
  <c r="J170"/>
  <c r="E166"/>
  <c r="I162"/>
  <c r="J158"/>
  <c r="D154"/>
  <c r="J190" i="69"/>
  <c r="D186"/>
  <c r="K182"/>
  <c r="J158"/>
  <c r="J170" i="68"/>
  <c r="I162"/>
  <c r="K164" i="65"/>
  <c r="M223" i="72"/>
  <c r="H229" i="69"/>
  <c r="M358" i="73"/>
  <c r="E155" i="68"/>
  <c r="L155"/>
  <c r="G155"/>
  <c r="H155"/>
  <c r="E159"/>
  <c r="K159"/>
  <c r="G159"/>
  <c r="I159"/>
  <c r="E163"/>
  <c r="K163"/>
  <c r="D163"/>
  <c r="M163"/>
  <c r="F163"/>
  <c r="D167"/>
  <c r="J167"/>
  <c r="K167"/>
  <c r="E167"/>
  <c r="L167"/>
  <c r="E171"/>
  <c r="L171"/>
  <c r="D171"/>
  <c r="M171"/>
  <c r="F171"/>
  <c r="D175"/>
  <c r="J175"/>
  <c r="K175"/>
  <c r="E175"/>
  <c r="M175"/>
  <c r="D179"/>
  <c r="J179"/>
  <c r="K179"/>
  <c r="E179"/>
  <c r="L179"/>
  <c r="D183"/>
  <c r="J183"/>
  <c r="K183"/>
  <c r="E183"/>
  <c r="M183"/>
  <c r="I187"/>
  <c r="G187"/>
  <c r="K187"/>
  <c r="D155" i="73"/>
  <c r="J155"/>
  <c r="G159"/>
  <c r="L159"/>
  <c r="E163"/>
  <c r="K163"/>
  <c r="D167"/>
  <c r="J167"/>
  <c r="D161" i="72"/>
  <c r="K161"/>
  <c r="H165"/>
  <c r="M165"/>
  <c r="D155" i="71"/>
  <c r="J155"/>
  <c r="E155"/>
  <c r="L155"/>
  <c r="I159"/>
  <c r="D159"/>
  <c r="J159"/>
  <c r="F163"/>
  <c r="M163"/>
  <c r="F167"/>
  <c r="L167"/>
  <c r="E175"/>
  <c r="K175"/>
  <c r="G179"/>
  <c r="L179"/>
  <c r="D183"/>
  <c r="J183"/>
  <c r="E187"/>
  <c r="L187"/>
  <c r="I157" i="70"/>
  <c r="D157"/>
  <c r="K157"/>
  <c r="E157"/>
  <c r="L157"/>
  <c r="F161"/>
  <c r="M161"/>
  <c r="E161"/>
  <c r="I161"/>
  <c r="J165"/>
  <c r="E165"/>
  <c r="M165"/>
  <c r="H165"/>
  <c r="D169"/>
  <c r="K169"/>
  <c r="E169"/>
  <c r="M169"/>
  <c r="F169"/>
  <c r="G173"/>
  <c r="M173"/>
  <c r="E173"/>
  <c r="J173"/>
  <c r="D177"/>
  <c r="K177"/>
  <c r="H177"/>
  <c r="L177"/>
  <c r="D181"/>
  <c r="K181"/>
  <c r="E181"/>
  <c r="M181"/>
  <c r="G181"/>
  <c r="J185"/>
  <c r="D185"/>
  <c r="K185"/>
  <c r="G189"/>
  <c r="M189"/>
  <c r="J189"/>
  <c r="H155" i="69"/>
  <c r="G155"/>
  <c r="J155"/>
  <c r="I159"/>
  <c r="D159"/>
  <c r="K159"/>
  <c r="E159"/>
  <c r="L159"/>
  <c r="H163"/>
  <c r="F163"/>
  <c r="J163"/>
  <c r="D167"/>
  <c r="J167"/>
  <c r="E167"/>
  <c r="L167"/>
  <c r="F167"/>
  <c r="D171"/>
  <c r="K171"/>
  <c r="L171"/>
  <c r="E171"/>
  <c r="M171"/>
  <c r="D175"/>
  <c r="J175"/>
  <c r="G175"/>
  <c r="I175"/>
  <c r="D179"/>
  <c r="J179"/>
  <c r="E179"/>
  <c r="L179"/>
  <c r="G179"/>
  <c r="E183"/>
  <c r="K183"/>
  <c r="D183"/>
  <c r="M183"/>
  <c r="H183"/>
  <c r="E187"/>
  <c r="L187"/>
  <c r="K187"/>
  <c r="D187"/>
  <c r="M187"/>
  <c r="I157" i="65"/>
  <c r="F157"/>
  <c r="J157"/>
  <c r="F161"/>
  <c r="M161"/>
  <c r="K161"/>
  <c r="D161"/>
  <c r="L161"/>
  <c r="E165"/>
  <c r="L165"/>
  <c r="D165"/>
  <c r="M165"/>
  <c r="H165"/>
  <c r="J169"/>
  <c r="E169"/>
  <c r="M169"/>
  <c r="F169"/>
  <c r="E173"/>
  <c r="L173"/>
  <c r="G173"/>
  <c r="J173"/>
  <c r="F177"/>
  <c r="M177"/>
  <c r="E177"/>
  <c r="H177"/>
  <c r="J181"/>
  <c r="E181"/>
  <c r="M181"/>
  <c r="G181"/>
  <c r="J185"/>
  <c r="K185"/>
  <c r="D185"/>
  <c r="L185"/>
  <c r="J189"/>
  <c r="E189"/>
  <c r="M189"/>
  <c r="G189"/>
  <c r="J222" i="68"/>
  <c r="E222"/>
  <c r="M222"/>
  <c r="F222"/>
  <c r="G226"/>
  <c r="M226"/>
  <c r="K226"/>
  <c r="D226"/>
  <c r="L226"/>
  <c r="E230"/>
  <c r="L230"/>
  <c r="D230"/>
  <c r="M230"/>
  <c r="F230"/>
  <c r="D234"/>
  <c r="K234"/>
  <c r="G234"/>
  <c r="J234"/>
  <c r="F238"/>
  <c r="M238"/>
  <c r="J238"/>
  <c r="D238"/>
  <c r="K238"/>
  <c r="E224" i="74"/>
  <c r="L224"/>
  <c r="F224"/>
  <c r="I224"/>
  <c r="G228"/>
  <c r="M228"/>
  <c r="E228"/>
  <c r="J228"/>
  <c r="D232"/>
  <c r="J232"/>
  <c r="F232"/>
  <c r="I232"/>
  <c r="E236"/>
  <c r="K236"/>
  <c r="F236"/>
  <c r="G236"/>
  <c r="F222" i="73"/>
  <c r="M222"/>
  <c r="D222"/>
  <c r="L222"/>
  <c r="E222"/>
  <c r="E226"/>
  <c r="L226"/>
  <c r="J226"/>
  <c r="K226"/>
  <c r="D230"/>
  <c r="K230"/>
  <c r="L230"/>
  <c r="E230"/>
  <c r="M230"/>
  <c r="G234"/>
  <c r="M234"/>
  <c r="D234"/>
  <c r="L234"/>
  <c r="E234"/>
  <c r="E238"/>
  <c r="K238"/>
  <c r="I238"/>
  <c r="J238"/>
  <c r="D224" i="72"/>
  <c r="K224"/>
  <c r="F224"/>
  <c r="I224"/>
  <c r="J228"/>
  <c r="K228"/>
  <c r="D228"/>
  <c r="L228"/>
  <c r="F232"/>
  <c r="M232"/>
  <c r="D232"/>
  <c r="K232"/>
  <c r="E232"/>
  <c r="E236"/>
  <c r="K236"/>
  <c r="F236"/>
  <c r="G236"/>
  <c r="F222" i="71"/>
  <c r="M222"/>
  <c r="E222"/>
  <c r="J222"/>
  <c r="J226"/>
  <c r="E226"/>
  <c r="M226"/>
  <c r="G226"/>
  <c r="J230"/>
  <c r="K230"/>
  <c r="D230"/>
  <c r="L230"/>
  <c r="J234"/>
  <c r="E234"/>
  <c r="M234"/>
  <c r="G234"/>
  <c r="I238"/>
  <c r="J238"/>
  <c r="D238"/>
  <c r="K238"/>
  <c r="E224" i="70"/>
  <c r="L224"/>
  <c r="I224"/>
  <c r="K224"/>
  <c r="D228"/>
  <c r="K228"/>
  <c r="L228"/>
  <c r="E228"/>
  <c r="M228"/>
  <c r="F232"/>
  <c r="M232"/>
  <c r="E232"/>
  <c r="I232"/>
  <c r="E236"/>
  <c r="K236"/>
  <c r="G236"/>
  <c r="I236"/>
  <c r="J222" i="69"/>
  <c r="F222"/>
  <c r="K222"/>
  <c r="J226"/>
  <c r="E226"/>
  <c r="M226"/>
  <c r="G226"/>
  <c r="D230"/>
  <c r="K230"/>
  <c r="L230"/>
  <c r="E230"/>
  <c r="M230"/>
  <c r="E234"/>
  <c r="L234"/>
  <c r="J234"/>
  <c r="K234"/>
  <c r="D238"/>
  <c r="J238"/>
  <c r="K238"/>
  <c r="E238"/>
  <c r="M238"/>
  <c r="F224" i="65"/>
  <c r="M224"/>
  <c r="D224"/>
  <c r="L224"/>
  <c r="E224"/>
  <c r="E228"/>
  <c r="L228"/>
  <c r="G228"/>
  <c r="J228"/>
  <c r="E232"/>
  <c r="K232"/>
  <c r="J232"/>
  <c r="D232"/>
  <c r="M232"/>
  <c r="E236"/>
  <c r="K236"/>
  <c r="F236"/>
  <c r="G236"/>
  <c r="E271" i="68"/>
  <c r="J271"/>
  <c r="G271"/>
  <c r="E275"/>
  <c r="G275"/>
  <c r="K275"/>
  <c r="E279"/>
  <c r="J279"/>
  <c r="E283"/>
  <c r="F283"/>
  <c r="I272" i="74"/>
  <c r="F272"/>
  <c r="K272"/>
  <c r="F276"/>
  <c r="M276"/>
  <c r="I276"/>
  <c r="K276"/>
  <c r="E280"/>
  <c r="L280"/>
  <c r="J280"/>
  <c r="D280"/>
  <c r="M280"/>
  <c r="J284"/>
  <c r="K284"/>
  <c r="D284"/>
  <c r="L284"/>
  <c r="E273" i="73"/>
  <c r="L273"/>
  <c r="D273"/>
  <c r="M273"/>
  <c r="F273"/>
  <c r="D277"/>
  <c r="J277"/>
  <c r="G277"/>
  <c r="I277"/>
  <c r="J281"/>
  <c r="F281"/>
  <c r="K281"/>
  <c r="E285"/>
  <c r="L285"/>
  <c r="J285"/>
  <c r="K285"/>
  <c r="E270" i="72"/>
  <c r="L270"/>
  <c r="F270"/>
  <c r="J270"/>
  <c r="J274"/>
  <c r="F274"/>
  <c r="K274"/>
  <c r="F278"/>
  <c r="M278"/>
  <c r="J278"/>
  <c r="D278"/>
  <c r="L278"/>
  <c r="E282"/>
  <c r="L282"/>
  <c r="D282"/>
  <c r="M282"/>
  <c r="F282"/>
  <c r="H286"/>
  <c r="D286"/>
  <c r="L286"/>
  <c r="E286"/>
  <c r="M286"/>
  <c r="D271" i="71"/>
  <c r="J271"/>
  <c r="E271"/>
  <c r="M271"/>
  <c r="F271"/>
  <c r="G275"/>
  <c r="E275"/>
  <c r="M275"/>
  <c r="F275"/>
  <c r="F279"/>
  <c r="M279"/>
  <c r="J279"/>
  <c r="K279"/>
  <c r="F283"/>
  <c r="M283"/>
  <c r="D283"/>
  <c r="K283"/>
  <c r="E283"/>
  <c r="D272" i="70"/>
  <c r="E272"/>
  <c r="M272"/>
  <c r="F272"/>
  <c r="I272"/>
  <c r="F276"/>
  <c r="M276"/>
  <c r="D276"/>
  <c r="L276"/>
  <c r="E276"/>
  <c r="E280"/>
  <c r="L280"/>
  <c r="F280"/>
  <c r="G280"/>
  <c r="E284"/>
  <c r="L284"/>
  <c r="K284"/>
  <c r="D284"/>
  <c r="M284"/>
  <c r="D273" i="69"/>
  <c r="M273"/>
  <c r="L273"/>
  <c r="D277"/>
  <c r="I277"/>
  <c r="M277"/>
  <c r="D281"/>
  <c r="L281"/>
  <c r="E281"/>
  <c r="F281"/>
  <c r="D285"/>
  <c r="E285"/>
  <c r="M285"/>
  <c r="L285"/>
  <c r="J270" i="65"/>
  <c r="L270"/>
  <c r="D270"/>
  <c r="E270"/>
  <c r="J274"/>
  <c r="F274"/>
  <c r="D274"/>
  <c r="I278"/>
  <c r="D278"/>
  <c r="M278"/>
  <c r="E278"/>
  <c r="G282"/>
  <c r="D282"/>
  <c r="K282"/>
  <c r="L282"/>
  <c r="H286"/>
  <c r="L286"/>
  <c r="E286"/>
  <c r="G286"/>
  <c r="J359" i="68"/>
  <c r="L359"/>
  <c r="F361" i="74"/>
  <c r="K361"/>
  <c r="D359" i="73"/>
  <c r="M359"/>
  <c r="J359"/>
  <c r="J361" i="72"/>
  <c r="K361"/>
  <c r="E361"/>
  <c r="F361"/>
  <c r="G359" i="71"/>
  <c r="D359"/>
  <c r="L361" i="70"/>
  <c r="F361"/>
  <c r="D359" i="69"/>
  <c r="M359"/>
  <c r="J369" i="68"/>
  <c r="D369"/>
  <c r="E369"/>
  <c r="J370" i="72"/>
  <c r="L370"/>
  <c r="E369" i="71"/>
  <c r="K369"/>
  <c r="L369"/>
  <c r="L370" i="65"/>
  <c r="J370"/>
  <c r="E382" i="68"/>
  <c r="K382"/>
  <c r="D380" i="74"/>
  <c r="M380"/>
  <c r="G380"/>
  <c r="J380"/>
  <c r="D378" i="73"/>
  <c r="E378"/>
  <c r="H378"/>
  <c r="E382"/>
  <c r="D382"/>
  <c r="I382"/>
  <c r="H380" i="72"/>
  <c r="K380"/>
  <c r="K378" i="71"/>
  <c r="E378"/>
  <c r="H378"/>
  <c r="M382"/>
  <c r="D382"/>
  <c r="H380" i="70"/>
  <c r="G380"/>
  <c r="D380"/>
  <c r="M380"/>
  <c r="J378" i="69"/>
  <c r="G378"/>
  <c r="H378"/>
  <c r="G382"/>
  <c r="D382"/>
  <c r="M382"/>
  <c r="D380" i="65"/>
  <c r="M380"/>
  <c r="H380"/>
  <c r="D395" i="68"/>
  <c r="G395"/>
  <c r="J395"/>
  <c r="H395" i="73"/>
  <c r="J395"/>
  <c r="J395" i="71"/>
  <c r="H395"/>
  <c r="E395"/>
  <c r="J395" i="69"/>
  <c r="H395"/>
  <c r="F233" i="73"/>
  <c r="E229"/>
  <c r="F227" i="70"/>
  <c r="H237" i="69"/>
  <c r="F154" i="68"/>
  <c r="D154"/>
  <c r="K154"/>
  <c r="J158"/>
  <c r="D158"/>
  <c r="K158"/>
  <c r="E162"/>
  <c r="D162"/>
  <c r="D166"/>
  <c r="L166"/>
  <c r="E170"/>
  <c r="D170"/>
  <c r="D174"/>
  <c r="L174"/>
  <c r="D178"/>
  <c r="L178"/>
  <c r="D182"/>
  <c r="L182"/>
  <c r="K186"/>
  <c r="E186"/>
  <c r="H186"/>
  <c r="K190"/>
  <c r="D190"/>
  <c r="G190"/>
  <c r="E158" i="73"/>
  <c r="L158"/>
  <c r="D162"/>
  <c r="J162"/>
  <c r="G170"/>
  <c r="M170"/>
  <c r="E174"/>
  <c r="L174"/>
  <c r="E156" i="72"/>
  <c r="F156"/>
  <c r="M156"/>
  <c r="D160"/>
  <c r="F160"/>
  <c r="D164"/>
  <c r="K164"/>
  <c r="D168"/>
  <c r="E168"/>
  <c r="M168"/>
  <c r="F172"/>
  <c r="M172"/>
  <c r="H176"/>
  <c r="M176"/>
  <c r="G180"/>
  <c r="M180"/>
  <c r="F184"/>
  <c r="M184"/>
  <c r="G188"/>
  <c r="M188"/>
  <c r="I154" i="71"/>
  <c r="F154"/>
  <c r="K154"/>
  <c r="G158"/>
  <c r="D158"/>
  <c r="L158"/>
  <c r="E158"/>
  <c r="F162"/>
  <c r="J162"/>
  <c r="D162"/>
  <c r="H166"/>
  <c r="K166"/>
  <c r="G170"/>
  <c r="D170"/>
  <c r="L170"/>
  <c r="F174"/>
  <c r="I174"/>
  <c r="F178"/>
  <c r="K178"/>
  <c r="H182"/>
  <c r="E182"/>
  <c r="F186"/>
  <c r="H186"/>
  <c r="F190"/>
  <c r="D190"/>
  <c r="K190"/>
  <c r="L156" i="70"/>
  <c r="D156"/>
  <c r="L160"/>
  <c r="E160"/>
  <c r="F160"/>
  <c r="K164"/>
  <c r="G164"/>
  <c r="E168"/>
  <c r="F168"/>
  <c r="H172"/>
  <c r="F172"/>
  <c r="E176"/>
  <c r="L176"/>
  <c r="M176"/>
  <c r="D184"/>
  <c r="F184"/>
  <c r="M184"/>
  <c r="E184"/>
  <c r="D188"/>
  <c r="K188"/>
  <c r="E188"/>
  <c r="M188"/>
  <c r="M154" i="69"/>
  <c r="F154"/>
  <c r="K154"/>
  <c r="K162"/>
  <c r="E162"/>
  <c r="J162"/>
  <c r="D170"/>
  <c r="L170"/>
  <c r="E174"/>
  <c r="I174"/>
  <c r="D178"/>
  <c r="E178"/>
  <c r="E186"/>
  <c r="K186"/>
  <c r="L156" i="65"/>
  <c r="I156"/>
  <c r="J156"/>
  <c r="F160"/>
  <c r="L160"/>
  <c r="M168"/>
  <c r="E168"/>
  <c r="F172"/>
  <c r="H172"/>
  <c r="L176"/>
  <c r="E176"/>
  <c r="H176"/>
  <c r="L180"/>
  <c r="G180"/>
  <c r="M184"/>
  <c r="L184"/>
  <c r="K188"/>
  <c r="G188"/>
  <c r="J225" i="68"/>
  <c r="M225"/>
  <c r="J237"/>
  <c r="M237"/>
  <c r="E223" i="74"/>
  <c r="D223"/>
  <c r="F223"/>
  <c r="K227"/>
  <c r="F227"/>
  <c r="D231"/>
  <c r="G231"/>
  <c r="J235"/>
  <c r="D235"/>
  <c r="K235"/>
  <c r="E225" i="73"/>
  <c r="L225"/>
  <c r="M225"/>
  <c r="E237"/>
  <c r="G237"/>
  <c r="K237"/>
  <c r="M227" i="72"/>
  <c r="D227"/>
  <c r="H229" i="71"/>
  <c r="E229"/>
  <c r="H237"/>
  <c r="E237"/>
  <c r="D223" i="70"/>
  <c r="J223"/>
  <c r="J231"/>
  <c r="D231"/>
  <c r="F235"/>
  <c r="M235"/>
  <c r="D273" i="72"/>
  <c r="F273"/>
  <c r="E358" i="68"/>
  <c r="J358"/>
  <c r="J360" i="65"/>
  <c r="H360"/>
  <c r="E383"/>
  <c r="D383"/>
  <c r="K139" i="69"/>
  <c r="K135"/>
  <c r="L131"/>
  <c r="M141" i="68"/>
  <c r="M137"/>
  <c r="M133"/>
  <c r="M129"/>
  <c r="M138" i="65"/>
  <c r="M134"/>
  <c r="M130"/>
  <c r="M188" i="74"/>
  <c r="M184"/>
  <c r="M180"/>
  <c r="M176"/>
  <c r="J172"/>
  <c r="M168"/>
  <c r="J164"/>
  <c r="M160"/>
  <c r="K156"/>
  <c r="J190" i="73"/>
  <c r="M182"/>
  <c r="I174"/>
  <c r="L170"/>
  <c r="D170"/>
  <c r="H166"/>
  <c r="K162"/>
  <c r="M158"/>
  <c r="D158"/>
  <c r="K154"/>
  <c r="J188" i="72"/>
  <c r="L184"/>
  <c r="D184"/>
  <c r="E180"/>
  <c r="J176"/>
  <c r="J172"/>
  <c r="L168"/>
  <c r="H164"/>
  <c r="J160"/>
  <c r="J156"/>
  <c r="J186" i="71"/>
  <c r="K182"/>
  <c r="E178"/>
  <c r="E174"/>
  <c r="E170"/>
  <c r="D166"/>
  <c r="E162"/>
  <c r="M154"/>
  <c r="L184" i="70"/>
  <c r="L180"/>
  <c r="J156"/>
  <c r="G190" i="69"/>
  <c r="J182"/>
  <c r="L178"/>
  <c r="E170"/>
  <c r="K166"/>
  <c r="E158"/>
  <c r="J190" i="68"/>
  <c r="D187"/>
  <c r="H183"/>
  <c r="G179"/>
  <c r="G175"/>
  <c r="K171"/>
  <c r="F167"/>
  <c r="J163"/>
  <c r="L158"/>
  <c r="L154"/>
  <c r="M176" i="65"/>
  <c r="L172"/>
  <c r="L168"/>
  <c r="K157"/>
  <c r="K228" i="74"/>
  <c r="M224"/>
  <c r="J234" i="73"/>
  <c r="F230"/>
  <c r="D226"/>
  <c r="K222"/>
  <c r="D236" i="72"/>
  <c r="L231"/>
  <c r="M224"/>
  <c r="E238" i="71"/>
  <c r="L234"/>
  <c r="F230"/>
  <c r="K222"/>
  <c r="D236" i="70"/>
  <c r="L231"/>
  <c r="J228"/>
  <c r="F224"/>
  <c r="I238" i="69"/>
  <c r="G234"/>
  <c r="D226"/>
  <c r="M222"/>
  <c r="I238" i="68"/>
  <c r="E234"/>
  <c r="K222"/>
  <c r="I235" i="65"/>
  <c r="I232"/>
  <c r="D228"/>
  <c r="F280" i="74"/>
  <c r="E276"/>
  <c r="M272"/>
  <c r="F285" i="73"/>
  <c r="M281"/>
  <c r="E277"/>
  <c r="J273"/>
  <c r="G286" i="72"/>
  <c r="K282"/>
  <c r="I278"/>
  <c r="L274"/>
  <c r="F275" i="68"/>
  <c r="M286" i="65"/>
  <c r="F278"/>
  <c r="E361" i="74"/>
  <c r="M359" i="71"/>
  <c r="M380" i="72"/>
  <c r="I382" i="69"/>
  <c r="D382" i="68"/>
  <c r="E378"/>
  <c r="D188"/>
  <c r="K180"/>
  <c r="M172"/>
  <c r="K164"/>
  <c r="F285" i="74"/>
  <c r="M282" i="73"/>
  <c r="F270"/>
  <c r="I275" i="74"/>
  <c r="F271" i="72"/>
  <c r="M285" i="70"/>
  <c r="F274" i="71"/>
  <c r="H270" i="68"/>
  <c r="J275" i="70"/>
  <c r="J282" i="68"/>
  <c r="F271" i="74"/>
  <c r="F272" i="73"/>
  <c r="M284" i="71"/>
  <c r="F272"/>
  <c r="M277" i="74"/>
  <c r="K275"/>
  <c r="M278" i="73"/>
  <c r="K276"/>
  <c r="M279" i="72"/>
  <c r="J277"/>
  <c r="M280" i="71"/>
  <c r="J278"/>
  <c r="J281" i="70"/>
  <c r="M273"/>
  <c r="L275" i="65"/>
  <c r="H282" i="68"/>
  <c r="K279" i="74"/>
  <c r="M275"/>
  <c r="J280" i="73"/>
  <c r="M276"/>
  <c r="K281" i="72"/>
  <c r="M277"/>
  <c r="K282" i="71"/>
  <c r="M278"/>
  <c r="F283" i="70"/>
  <c r="G282" i="68"/>
  <c r="J270"/>
  <c r="D283" i="74"/>
  <c r="D284" i="73"/>
  <c r="D285" i="72"/>
  <c r="D286" i="71"/>
  <c r="D270"/>
  <c r="M283" i="70"/>
  <c r="I278" i="68"/>
  <c r="E277" i="65"/>
  <c r="H286" i="68"/>
  <c r="J274"/>
  <c r="K277" i="65"/>
  <c r="L359" i="73"/>
  <c r="F358"/>
  <c r="E358" i="72"/>
  <c r="K359" i="71"/>
  <c r="E361" i="70"/>
  <c r="J359" i="69"/>
  <c r="G359" i="68"/>
  <c r="D361" i="65"/>
  <c r="D358"/>
  <c r="D370" i="72"/>
  <c r="D369" i="71"/>
  <c r="K369" i="68"/>
  <c r="F370" i="65"/>
  <c r="K382" i="73"/>
  <c r="E380" i="72"/>
  <c r="G382" i="71"/>
  <c r="M378"/>
  <c r="M377" i="70"/>
  <c r="M377" i="69"/>
  <c r="D378" i="68"/>
  <c r="J380" i="65"/>
  <c r="M395" i="73"/>
  <c r="M395" i="68"/>
  <c r="L360" i="71"/>
  <c r="G370" i="68"/>
  <c r="K383" i="73"/>
  <c r="E381" i="65"/>
  <c r="D157" i="68"/>
  <c r="J157"/>
  <c r="F161"/>
  <c r="M161"/>
  <c r="D165"/>
  <c r="K165"/>
  <c r="F169"/>
  <c r="M169"/>
  <c r="D173"/>
  <c r="K173"/>
  <c r="F177"/>
  <c r="M177"/>
  <c r="D181"/>
  <c r="K181"/>
  <c r="H185"/>
  <c r="M185"/>
  <c r="D189"/>
  <c r="K189"/>
  <c r="D155" i="70"/>
  <c r="J155"/>
  <c r="E159"/>
  <c r="K159"/>
  <c r="E167"/>
  <c r="K167"/>
  <c r="E175"/>
  <c r="K175"/>
  <c r="E161" i="69"/>
  <c r="L161"/>
  <c r="E169"/>
  <c r="L169"/>
  <c r="E177"/>
  <c r="L177"/>
  <c r="E185"/>
  <c r="L185"/>
  <c r="D155" i="65"/>
  <c r="J155"/>
  <c r="G155"/>
  <c r="E159"/>
  <c r="K159"/>
  <c r="D159"/>
  <c r="L159"/>
  <c r="H163"/>
  <c r="J163"/>
  <c r="E167"/>
  <c r="K167"/>
  <c r="H167"/>
  <c r="J171"/>
  <c r="E171"/>
  <c r="M171"/>
  <c r="E175"/>
  <c r="K175"/>
  <c r="D175"/>
  <c r="M175"/>
  <c r="E183"/>
  <c r="K183"/>
  <c r="D224" i="68"/>
  <c r="K224"/>
  <c r="F224"/>
  <c r="E228"/>
  <c r="L228"/>
  <c r="J228"/>
  <c r="F232"/>
  <c r="M232"/>
  <c r="J232"/>
  <c r="G236"/>
  <c r="E236"/>
  <c r="M236"/>
  <c r="F222" i="74"/>
  <c r="M222"/>
  <c r="D222"/>
  <c r="L222"/>
  <c r="J226"/>
  <c r="G226"/>
  <c r="D230"/>
  <c r="K230"/>
  <c r="L230"/>
  <c r="E234"/>
  <c r="L234"/>
  <c r="J234"/>
  <c r="F238"/>
  <c r="M238"/>
  <c r="D238"/>
  <c r="K238"/>
  <c r="E224" i="73"/>
  <c r="L224"/>
  <c r="I224"/>
  <c r="E228"/>
  <c r="L228"/>
  <c r="J228"/>
  <c r="I232"/>
  <c r="E232"/>
  <c r="M232"/>
  <c r="E236"/>
  <c r="K236"/>
  <c r="D236"/>
  <c r="M236"/>
  <c r="D222" i="72"/>
  <c r="K222"/>
  <c r="J222"/>
  <c r="D226"/>
  <c r="K226"/>
  <c r="J226"/>
  <c r="D230"/>
  <c r="K230"/>
  <c r="J230"/>
  <c r="D234"/>
  <c r="K234"/>
  <c r="J234"/>
  <c r="D238"/>
  <c r="J238"/>
  <c r="I238"/>
  <c r="I224" i="71"/>
  <c r="K224"/>
  <c r="E228"/>
  <c r="L228"/>
  <c r="D228"/>
  <c r="M228"/>
  <c r="I232"/>
  <c r="J232"/>
  <c r="E236"/>
  <c r="K236"/>
  <c r="D236"/>
  <c r="M236"/>
  <c r="F222" i="70"/>
  <c r="M222"/>
  <c r="J222"/>
  <c r="J226"/>
  <c r="D226"/>
  <c r="L226"/>
  <c r="D230"/>
  <c r="K230"/>
  <c r="E230"/>
  <c r="M230"/>
  <c r="E234"/>
  <c r="L234"/>
  <c r="G234"/>
  <c r="F238"/>
  <c r="M238"/>
  <c r="I238"/>
  <c r="E224" i="69"/>
  <c r="L224"/>
  <c r="I224"/>
  <c r="J228"/>
  <c r="E228"/>
  <c r="M228"/>
  <c r="E232"/>
  <c r="K232"/>
  <c r="I232"/>
  <c r="G236"/>
  <c r="E236"/>
  <c r="M236"/>
  <c r="J222" i="65"/>
  <c r="F222"/>
  <c r="E226"/>
  <c r="L226"/>
  <c r="K226"/>
  <c r="J230"/>
  <c r="F230"/>
  <c r="E234"/>
  <c r="L234"/>
  <c r="K234"/>
  <c r="I238"/>
  <c r="F238"/>
  <c r="D273" i="68"/>
  <c r="K273"/>
  <c r="J273"/>
  <c r="G277"/>
  <c r="M277"/>
  <c r="J277"/>
  <c r="D281"/>
  <c r="K281"/>
  <c r="L281"/>
  <c r="F285"/>
  <c r="M285"/>
  <c r="D285"/>
  <c r="L285"/>
  <c r="F270" i="74"/>
  <c r="M270"/>
  <c r="K270"/>
  <c r="J274"/>
  <c r="E274"/>
  <c r="M274"/>
  <c r="D278"/>
  <c r="J278"/>
  <c r="F278"/>
  <c r="E282"/>
  <c r="L282"/>
  <c r="G282"/>
  <c r="G286"/>
  <c r="M286"/>
  <c r="J286"/>
  <c r="F271" i="73"/>
  <c r="M271"/>
  <c r="J271"/>
  <c r="G275"/>
  <c r="E275"/>
  <c r="M275"/>
  <c r="D279"/>
  <c r="K279"/>
  <c r="F279"/>
  <c r="E283"/>
  <c r="K283"/>
  <c r="H283"/>
  <c r="F272" i="72"/>
  <c r="M272"/>
  <c r="K272"/>
  <c r="I276"/>
  <c r="E276"/>
  <c r="M276"/>
  <c r="D280"/>
  <c r="J280"/>
  <c r="F280"/>
  <c r="E284"/>
  <c r="L284"/>
  <c r="J284"/>
  <c r="F273" i="71"/>
  <c r="M273"/>
  <c r="K273"/>
  <c r="I277"/>
  <c r="E277"/>
  <c r="M277"/>
  <c r="D281"/>
  <c r="K281"/>
  <c r="F281"/>
  <c r="E285"/>
  <c r="L285"/>
  <c r="J285"/>
  <c r="J270" i="70"/>
  <c r="F270"/>
  <c r="D274"/>
  <c r="K274"/>
  <c r="J274"/>
  <c r="I278"/>
  <c r="F278"/>
  <c r="F282"/>
  <c r="M282"/>
  <c r="D282"/>
  <c r="L282"/>
  <c r="E286"/>
  <c r="L286"/>
  <c r="H286"/>
  <c r="E271" i="69"/>
  <c r="L271"/>
  <c r="G271"/>
  <c r="G275"/>
  <c r="D275"/>
  <c r="L275"/>
  <c r="E279"/>
  <c r="L279"/>
  <c r="F279"/>
  <c r="F283"/>
  <c r="M283"/>
  <c r="E283"/>
  <c r="F272" i="65"/>
  <c r="M272"/>
  <c r="E272"/>
  <c r="F276"/>
  <c r="M276"/>
  <c r="D276"/>
  <c r="L276"/>
  <c r="E280"/>
  <c r="L280"/>
  <c r="G280"/>
  <c r="E284"/>
  <c r="L284"/>
  <c r="G284"/>
  <c r="J361" i="68"/>
  <c r="F361"/>
  <c r="G359" i="74"/>
  <c r="M359"/>
  <c r="J359"/>
  <c r="E361" i="73"/>
  <c r="L361"/>
  <c r="J361"/>
  <c r="J359" i="72"/>
  <c r="E359"/>
  <c r="M359"/>
  <c r="E361" i="71"/>
  <c r="L361"/>
  <c r="D361"/>
  <c r="M361"/>
  <c r="G359" i="70"/>
  <c r="M359"/>
  <c r="E359"/>
  <c r="J361" i="69"/>
  <c r="D361"/>
  <c r="L361"/>
  <c r="D359" i="65"/>
  <c r="K359"/>
  <c r="E359"/>
  <c r="M359"/>
  <c r="G370" i="74"/>
  <c r="M370"/>
  <c r="E370"/>
  <c r="L370"/>
  <c r="D369" i="73"/>
  <c r="K369"/>
  <c r="L369"/>
  <c r="E370" i="70"/>
  <c r="K370"/>
  <c r="F370"/>
  <c r="M370"/>
  <c r="D369" i="69"/>
  <c r="K369"/>
  <c r="G369"/>
  <c r="J378" i="74"/>
  <c r="E378"/>
  <c r="E382"/>
  <c r="K382"/>
  <c r="M382"/>
  <c r="H380" i="73"/>
  <c r="J380"/>
  <c r="E378" i="72"/>
  <c r="M378"/>
  <c r="K378"/>
  <c r="G382"/>
  <c r="K382"/>
  <c r="G380" i="71"/>
  <c r="H380"/>
  <c r="E382" i="70"/>
  <c r="K382"/>
  <c r="J382"/>
  <c r="E378" i="65"/>
  <c r="J378"/>
  <c r="I382"/>
  <c r="M382"/>
  <c r="J382"/>
  <c r="G395" i="74"/>
  <c r="D395"/>
  <c r="K395"/>
  <c r="G395" i="72"/>
  <c r="D395"/>
  <c r="H395" i="70"/>
  <c r="K395"/>
  <c r="J395" i="65"/>
  <c r="M395"/>
  <c r="D156" i="68"/>
  <c r="J156"/>
  <c r="E160"/>
  <c r="L160"/>
  <c r="E168"/>
  <c r="L168"/>
  <c r="E176"/>
  <c r="L176"/>
  <c r="E184"/>
  <c r="L184"/>
  <c r="D158" i="70"/>
  <c r="K158"/>
  <c r="F162"/>
  <c r="M162"/>
  <c r="D166"/>
  <c r="K166"/>
  <c r="G170"/>
  <c r="M170"/>
  <c r="D174"/>
  <c r="K174"/>
  <c r="F178"/>
  <c r="M178"/>
  <c r="I156" i="69"/>
  <c r="M156"/>
  <c r="D160"/>
  <c r="K160"/>
  <c r="G164"/>
  <c r="M164"/>
  <c r="D168"/>
  <c r="K168"/>
  <c r="F172"/>
  <c r="M172"/>
  <c r="D176"/>
  <c r="K176"/>
  <c r="G180"/>
  <c r="M180"/>
  <c r="D184"/>
  <c r="K184"/>
  <c r="G188"/>
  <c r="M188"/>
  <c r="I154" i="65"/>
  <c r="K154"/>
  <c r="D158"/>
  <c r="K158"/>
  <c r="G158"/>
  <c r="F162"/>
  <c r="M162"/>
  <c r="D162"/>
  <c r="K162"/>
  <c r="D166"/>
  <c r="K166"/>
  <c r="L166"/>
  <c r="G170"/>
  <c r="M170"/>
  <c r="J170"/>
  <c r="D174"/>
  <c r="K174"/>
  <c r="F174"/>
  <c r="F178"/>
  <c r="M178"/>
  <c r="D182"/>
  <c r="K182"/>
  <c r="F186"/>
  <c r="M186"/>
  <c r="D190"/>
  <c r="J190"/>
  <c r="E223" i="68"/>
  <c r="F223"/>
  <c r="H223"/>
  <c r="E227"/>
  <c r="J227"/>
  <c r="K227"/>
  <c r="E231"/>
  <c r="J231"/>
  <c r="L231"/>
  <c r="E235"/>
  <c r="D235"/>
  <c r="M235"/>
  <c r="F235"/>
  <c r="F225" i="74"/>
  <c r="M225"/>
  <c r="J225"/>
  <c r="H229"/>
  <c r="E229"/>
  <c r="M229"/>
  <c r="D233"/>
  <c r="I233"/>
  <c r="K233"/>
  <c r="E237"/>
  <c r="K237"/>
  <c r="G237"/>
  <c r="F223" i="73"/>
  <c r="H223"/>
  <c r="J223"/>
  <c r="F227"/>
  <c r="J227"/>
  <c r="K227"/>
  <c r="G231"/>
  <c r="L231"/>
  <c r="H231"/>
  <c r="D235"/>
  <c r="J235"/>
  <c r="F235"/>
  <c r="I225" i="72"/>
  <c r="F225"/>
  <c r="L225"/>
  <c r="H229"/>
  <c r="F229"/>
  <c r="L229"/>
  <c r="H233"/>
  <c r="F233"/>
  <c r="K233"/>
  <c r="H237"/>
  <c r="G237"/>
  <c r="K237"/>
  <c r="D223" i="71"/>
  <c r="E223"/>
  <c r="M223"/>
  <c r="L223"/>
  <c r="D227"/>
  <c r="J227"/>
  <c r="E227"/>
  <c r="D231"/>
  <c r="E231"/>
  <c r="L231"/>
  <c r="K231"/>
  <c r="D235"/>
  <c r="I235"/>
  <c r="E235"/>
  <c r="E225" i="70"/>
  <c r="D225"/>
  <c r="M225"/>
  <c r="E229"/>
  <c r="F229"/>
  <c r="D229"/>
  <c r="E233"/>
  <c r="H233"/>
  <c r="F233"/>
  <c r="E237"/>
  <c r="J237"/>
  <c r="H237"/>
  <c r="F223" i="69"/>
  <c r="H223"/>
  <c r="J223"/>
  <c r="F227"/>
  <c r="D227"/>
  <c r="L227"/>
  <c r="E227"/>
  <c r="G231"/>
  <c r="H231"/>
  <c r="J231"/>
  <c r="F235"/>
  <c r="D235"/>
  <c r="K235"/>
  <c r="E235"/>
  <c r="F225" i="65"/>
  <c r="I225"/>
  <c r="L225"/>
  <c r="F229"/>
  <c r="D229"/>
  <c r="L229"/>
  <c r="H229"/>
  <c r="F233"/>
  <c r="H233"/>
  <c r="K233"/>
  <c r="G237"/>
  <c r="D237"/>
  <c r="K237"/>
  <c r="H237"/>
  <c r="F272" i="68"/>
  <c r="I272"/>
  <c r="F276"/>
  <c r="I276"/>
  <c r="L276"/>
  <c r="F280"/>
  <c r="L280"/>
  <c r="G284"/>
  <c r="J284"/>
  <c r="E273" i="74"/>
  <c r="D273"/>
  <c r="M273"/>
  <c r="F273"/>
  <c r="E277"/>
  <c r="G277"/>
  <c r="I277"/>
  <c r="E281"/>
  <c r="J281"/>
  <c r="K281"/>
  <c r="E285"/>
  <c r="K285"/>
  <c r="M285"/>
  <c r="E270" i="73"/>
  <c r="K270"/>
  <c r="M270"/>
  <c r="E274"/>
  <c r="D274"/>
  <c r="M274"/>
  <c r="F274"/>
  <c r="E278"/>
  <c r="F278"/>
  <c r="I278"/>
  <c r="E282"/>
  <c r="G282"/>
  <c r="K282"/>
  <c r="E286"/>
  <c r="J286"/>
  <c r="M286"/>
  <c r="E271" i="72"/>
  <c r="J271"/>
  <c r="M271"/>
  <c r="E275"/>
  <c r="D275"/>
  <c r="M275"/>
  <c r="F275"/>
  <c r="E279"/>
  <c r="F279"/>
  <c r="J279"/>
  <c r="E283"/>
  <c r="H283"/>
  <c r="J283"/>
  <c r="E272" i="71"/>
  <c r="K272"/>
  <c r="M272"/>
  <c r="E276"/>
  <c r="D276"/>
  <c r="M276"/>
  <c r="F276"/>
  <c r="E280"/>
  <c r="F280"/>
  <c r="G280"/>
  <c r="E284"/>
  <c r="J284"/>
  <c r="K284"/>
  <c r="E273" i="70"/>
  <c r="F273"/>
  <c r="K273"/>
  <c r="E277"/>
  <c r="D277"/>
  <c r="M277"/>
  <c r="I277"/>
  <c r="E281"/>
  <c r="K281"/>
  <c r="D281"/>
  <c r="E285"/>
  <c r="J285"/>
  <c r="K285"/>
  <c r="E270" i="69"/>
  <c r="J270"/>
  <c r="K270"/>
  <c r="E274"/>
  <c r="D274"/>
  <c r="M274"/>
  <c r="E278"/>
  <c r="I278"/>
  <c r="F278"/>
  <c r="E282"/>
  <c r="K282"/>
  <c r="F282"/>
  <c r="E286"/>
  <c r="D286"/>
  <c r="M286"/>
  <c r="H286"/>
  <c r="D271" i="65"/>
  <c r="G271"/>
  <c r="D275"/>
  <c r="G275"/>
  <c r="D279"/>
  <c r="E279"/>
  <c r="J279"/>
  <c r="D283"/>
  <c r="E283"/>
  <c r="M360" i="68"/>
  <c r="D360"/>
  <c r="G358" i="74"/>
  <c r="J358"/>
  <c r="F358"/>
  <c r="E360" i="73"/>
  <c r="H360"/>
  <c r="K360"/>
  <c r="K370" i="71"/>
  <c r="D370"/>
  <c r="M379" i="68"/>
  <c r="J379"/>
  <c r="M383"/>
  <c r="J383"/>
  <c r="E383"/>
  <c r="E377" i="74"/>
  <c r="D377"/>
  <c r="H381"/>
  <c r="J381"/>
  <c r="I379" i="73"/>
  <c r="E379"/>
  <c r="G377" i="72"/>
  <c r="J377"/>
  <c r="G381"/>
  <c r="H381"/>
  <c r="K381"/>
  <c r="J383" i="71"/>
  <c r="K383"/>
  <c r="H381" i="70"/>
  <c r="E381"/>
  <c r="I379" i="69"/>
  <c r="D379"/>
  <c r="M379"/>
  <c r="H383"/>
  <c r="E383"/>
  <c r="M383"/>
  <c r="G394" i="72"/>
  <c r="J394"/>
  <c r="J394" i="70"/>
  <c r="F394"/>
  <c r="K175" i="74"/>
  <c r="L171"/>
  <c r="K167"/>
  <c r="K163"/>
  <c r="K159"/>
  <c r="M155"/>
  <c r="M180" i="73"/>
  <c r="M176"/>
  <c r="M172"/>
  <c r="M168"/>
  <c r="M164"/>
  <c r="M160"/>
  <c r="M156"/>
  <c r="J190" i="72"/>
  <c r="L187"/>
  <c r="J186"/>
  <c r="K183"/>
  <c r="K182"/>
  <c r="K179"/>
  <c r="K178"/>
  <c r="K175"/>
  <c r="K174"/>
  <c r="L171"/>
  <c r="K170"/>
  <c r="M166"/>
  <c r="K163"/>
  <c r="J162"/>
  <c r="M158"/>
  <c r="M155"/>
  <c r="L154"/>
  <c r="L189" i="71"/>
  <c r="J188"/>
  <c r="M184"/>
  <c r="L181"/>
  <c r="K180"/>
  <c r="M176"/>
  <c r="L173"/>
  <c r="J172"/>
  <c r="M168"/>
  <c r="L165"/>
  <c r="E165"/>
  <c r="J164"/>
  <c r="I161"/>
  <c r="M160"/>
  <c r="K157"/>
  <c r="E157"/>
  <c r="K156"/>
  <c r="K190" i="70"/>
  <c r="K187"/>
  <c r="D187"/>
  <c r="M183"/>
  <c r="H183"/>
  <c r="L182"/>
  <c r="E182"/>
  <c r="K179"/>
  <c r="D179"/>
  <c r="E178"/>
  <c r="G175"/>
  <c r="I174"/>
  <c r="F171"/>
  <c r="K170"/>
  <c r="J167"/>
  <c r="M166"/>
  <c r="E166"/>
  <c r="K163"/>
  <c r="D163"/>
  <c r="E162"/>
  <c r="G159"/>
  <c r="J158"/>
  <c r="H155"/>
  <c r="L154"/>
  <c r="D154"/>
  <c r="M189" i="69"/>
  <c r="E189"/>
  <c r="H188"/>
  <c r="J185"/>
  <c r="L184"/>
  <c r="K181"/>
  <c r="L180"/>
  <c r="D180"/>
  <c r="M177"/>
  <c r="D177"/>
  <c r="H176"/>
  <c r="M173"/>
  <c r="E173"/>
  <c r="H172"/>
  <c r="J169"/>
  <c r="L168"/>
  <c r="K165"/>
  <c r="K164"/>
  <c r="D164"/>
  <c r="M161"/>
  <c r="D161"/>
  <c r="F160"/>
  <c r="L157"/>
  <c r="E157"/>
  <c r="J156"/>
  <c r="L189" i="68"/>
  <c r="M188"/>
  <c r="E188"/>
  <c r="E185"/>
  <c r="J184"/>
  <c r="J181"/>
  <c r="L180"/>
  <c r="D180"/>
  <c r="L177"/>
  <c r="D177"/>
  <c r="H176"/>
  <c r="G173"/>
  <c r="J172"/>
  <c r="K169"/>
  <c r="M168"/>
  <c r="D168"/>
  <c r="M165"/>
  <c r="E165"/>
  <c r="G164"/>
  <c r="I161"/>
  <c r="K160"/>
  <c r="K157"/>
  <c r="M156"/>
  <c r="F156"/>
  <c r="F190" i="65"/>
  <c r="M187"/>
  <c r="E187"/>
  <c r="H186"/>
  <c r="I183"/>
  <c r="L182"/>
  <c r="J179"/>
  <c r="L178"/>
  <c r="D178"/>
  <c r="J175"/>
  <c r="L174"/>
  <c r="D171"/>
  <c r="D170"/>
  <c r="J167"/>
  <c r="J166"/>
  <c r="M163"/>
  <c r="D163"/>
  <c r="G159"/>
  <c r="E158"/>
  <c r="L155"/>
  <c r="L154"/>
  <c r="J238" i="74"/>
  <c r="J237"/>
  <c r="G234"/>
  <c r="F233"/>
  <c r="M230"/>
  <c r="L229"/>
  <c r="K226"/>
  <c r="I225"/>
  <c r="E222"/>
  <c r="G236" i="73"/>
  <c r="I235"/>
  <c r="K232"/>
  <c r="K231"/>
  <c r="G228"/>
  <c r="D227"/>
  <c r="K224"/>
  <c r="E223"/>
  <c r="E238" i="72"/>
  <c r="D237"/>
  <c r="G234"/>
  <c r="E233"/>
  <c r="L230"/>
  <c r="K229"/>
  <c r="M226"/>
  <c r="M225"/>
  <c r="E222"/>
  <c r="F236" i="71"/>
  <c r="M232"/>
  <c r="D232"/>
  <c r="K228"/>
  <c r="L227"/>
  <c r="F224"/>
  <c r="F223"/>
  <c r="K238" i="70"/>
  <c r="M237"/>
  <c r="M234"/>
  <c r="L233"/>
  <c r="M229"/>
  <c r="M226"/>
  <c r="J225"/>
  <c r="L222"/>
  <c r="D236" i="69"/>
  <c r="J232"/>
  <c r="E231"/>
  <c r="K228"/>
  <c r="J227"/>
  <c r="D224"/>
  <c r="D236" i="68"/>
  <c r="K232"/>
  <c r="H231"/>
  <c r="M228"/>
  <c r="M227"/>
  <c r="M224"/>
  <c r="M223"/>
  <c r="J238" i="65"/>
  <c r="E237"/>
  <c r="G234"/>
  <c r="D233"/>
  <c r="E230"/>
  <c r="D226"/>
  <c r="M222"/>
  <c r="D222"/>
  <c r="D286" i="74"/>
  <c r="D282"/>
  <c r="E278"/>
  <c r="F274"/>
  <c r="D270"/>
  <c r="D283" i="73"/>
  <c r="E279"/>
  <c r="F275"/>
  <c r="D271"/>
  <c r="D284" i="72"/>
  <c r="E280"/>
  <c r="F276"/>
  <c r="D272"/>
  <c r="D285" i="71"/>
  <c r="E281"/>
  <c r="G277"/>
  <c r="D273"/>
  <c r="D286" i="70"/>
  <c r="M281"/>
  <c r="J278"/>
  <c r="G277"/>
  <c r="E274"/>
  <c r="E270"/>
  <c r="H283" i="69"/>
  <c r="D282"/>
  <c r="K279"/>
  <c r="J278"/>
  <c r="K275"/>
  <c r="J274"/>
  <c r="J271"/>
  <c r="F270"/>
  <c r="J285" i="68"/>
  <c r="M281"/>
  <c r="G280"/>
  <c r="E277"/>
  <c r="L273"/>
  <c r="E272"/>
  <c r="K284" i="65"/>
  <c r="H283"/>
  <c r="F280"/>
  <c r="E276"/>
  <c r="L272"/>
  <c r="L271"/>
  <c r="K359" i="74"/>
  <c r="D358"/>
  <c r="D361" i="73"/>
  <c r="D359" i="72"/>
  <c r="J361" i="71"/>
  <c r="J359" i="70"/>
  <c r="K361" i="69"/>
  <c r="L361" i="68"/>
  <c r="J360"/>
  <c r="L359" i="65"/>
  <c r="G358"/>
  <c r="F370" i="74"/>
  <c r="J369" i="73"/>
  <c r="G370" i="70"/>
  <c r="M369" i="69"/>
  <c r="G382" i="74"/>
  <c r="J377"/>
  <c r="D380" i="73"/>
  <c r="D382" i="72"/>
  <c r="H378"/>
  <c r="E383" i="71"/>
  <c r="K380"/>
  <c r="I379"/>
  <c r="M382" i="70"/>
  <c r="G378"/>
  <c r="E382" i="65"/>
  <c r="J394" i="74"/>
  <c r="K395" i="72"/>
  <c r="I154" i="68"/>
  <c r="E154"/>
  <c r="M154"/>
  <c r="G158"/>
  <c r="E158"/>
  <c r="F162"/>
  <c r="J162"/>
  <c r="H166"/>
  <c r="E166"/>
  <c r="G170"/>
  <c r="K170"/>
  <c r="F174"/>
  <c r="E174"/>
  <c r="F178"/>
  <c r="K178"/>
  <c r="H182"/>
  <c r="E182"/>
  <c r="F186"/>
  <c r="J186"/>
  <c r="F190"/>
  <c r="E190"/>
  <c r="E156" i="70"/>
  <c r="F156"/>
  <c r="M156"/>
  <c r="D160"/>
  <c r="J160"/>
  <c r="D164"/>
  <c r="E164"/>
  <c r="M164"/>
  <c r="D168"/>
  <c r="J168"/>
  <c r="D172"/>
  <c r="E172"/>
  <c r="M172"/>
  <c r="D176"/>
  <c r="J176"/>
  <c r="D180"/>
  <c r="E180"/>
  <c r="M180"/>
  <c r="I154" i="69"/>
  <c r="D154"/>
  <c r="L154"/>
  <c r="G158"/>
  <c r="D158"/>
  <c r="L158"/>
  <c r="F162"/>
  <c r="I162"/>
  <c r="H166"/>
  <c r="D166"/>
  <c r="L166"/>
  <c r="G170"/>
  <c r="J170"/>
  <c r="F174"/>
  <c r="D174"/>
  <c r="L174"/>
  <c r="F178"/>
  <c r="J178"/>
  <c r="H182"/>
  <c r="D182"/>
  <c r="L182"/>
  <c r="F186"/>
  <c r="H186"/>
  <c r="F190"/>
  <c r="D190"/>
  <c r="K190"/>
  <c r="E156" i="65"/>
  <c r="F156"/>
  <c r="M156"/>
  <c r="D156"/>
  <c r="D160"/>
  <c r="J160"/>
  <c r="M160"/>
  <c r="D164"/>
  <c r="E164"/>
  <c r="M164"/>
  <c r="H164"/>
  <c r="D168"/>
  <c r="J168"/>
  <c r="F168"/>
  <c r="D172"/>
  <c r="E172"/>
  <c r="M172"/>
  <c r="D176"/>
  <c r="J176"/>
  <c r="D180"/>
  <c r="E180"/>
  <c r="M180"/>
  <c r="D184"/>
  <c r="J184"/>
  <c r="D188"/>
  <c r="E188"/>
  <c r="M188"/>
  <c r="I225" i="68"/>
  <c r="F225"/>
  <c r="D225"/>
  <c r="H229"/>
  <c r="K229"/>
  <c r="F229"/>
  <c r="H233"/>
  <c r="L233"/>
  <c r="I233"/>
  <c r="H237"/>
  <c r="D237"/>
  <c r="H223" i="74"/>
  <c r="J223"/>
  <c r="L223"/>
  <c r="J227"/>
  <c r="D227"/>
  <c r="L227"/>
  <c r="E227"/>
  <c r="H231"/>
  <c r="E231"/>
  <c r="L231"/>
  <c r="J231"/>
  <c r="I235"/>
  <c r="F235"/>
  <c r="E235"/>
  <c r="D225" i="73"/>
  <c r="I225"/>
  <c r="F225"/>
  <c r="D229"/>
  <c r="H229"/>
  <c r="F229"/>
  <c r="D233"/>
  <c r="E233"/>
  <c r="L233"/>
  <c r="D237"/>
  <c r="H237"/>
  <c r="M237"/>
  <c r="E223" i="72"/>
  <c r="F223"/>
  <c r="J223"/>
  <c r="E227"/>
  <c r="F227"/>
  <c r="K227"/>
  <c r="E231"/>
  <c r="G231"/>
  <c r="J231"/>
  <c r="E235"/>
  <c r="F235"/>
  <c r="J235"/>
  <c r="F225" i="71"/>
  <c r="E225"/>
  <c r="L225"/>
  <c r="F229"/>
  <c r="L229"/>
  <c r="F233"/>
  <c r="E233"/>
  <c r="K233"/>
  <c r="G237"/>
  <c r="K237"/>
  <c r="H223" i="70"/>
  <c r="M223"/>
  <c r="F223"/>
  <c r="J227"/>
  <c r="D227"/>
  <c r="M227"/>
  <c r="H231"/>
  <c r="G231"/>
  <c r="I235"/>
  <c r="J235"/>
  <c r="D235"/>
  <c r="D225" i="69"/>
  <c r="L225"/>
  <c r="I225"/>
  <c r="D229"/>
  <c r="E229"/>
  <c r="D233"/>
  <c r="K233"/>
  <c r="H233"/>
  <c r="D237"/>
  <c r="E237"/>
  <c r="D223" i="65"/>
  <c r="E223"/>
  <c r="H223"/>
  <c r="D227"/>
  <c r="L227"/>
  <c r="D231"/>
  <c r="E231"/>
  <c r="H231"/>
  <c r="D235"/>
  <c r="K235"/>
  <c r="G271" i="74"/>
  <c r="M271"/>
  <c r="J271"/>
  <c r="G275"/>
  <c r="D275"/>
  <c r="J279"/>
  <c r="F279"/>
  <c r="D279"/>
  <c r="H283"/>
  <c r="J283"/>
  <c r="F283"/>
  <c r="I272" i="73"/>
  <c r="M272"/>
  <c r="K272"/>
  <c r="I276"/>
  <c r="D276"/>
  <c r="G280"/>
  <c r="F280"/>
  <c r="D280"/>
  <c r="J284"/>
  <c r="K284"/>
  <c r="G284"/>
  <c r="J273" i="72"/>
  <c r="M273"/>
  <c r="K273"/>
  <c r="I277"/>
  <c r="D277"/>
  <c r="J281"/>
  <c r="F281"/>
  <c r="D281"/>
  <c r="J285"/>
  <c r="K285"/>
  <c r="F285"/>
  <c r="J270" i="71"/>
  <c r="K270"/>
  <c r="F270"/>
  <c r="J274"/>
  <c r="M274"/>
  <c r="K274"/>
  <c r="I278"/>
  <c r="D278"/>
  <c r="G282"/>
  <c r="F282"/>
  <c r="D282"/>
  <c r="H286"/>
  <c r="J286"/>
  <c r="G286"/>
  <c r="G271" i="70"/>
  <c r="F271"/>
  <c r="M271"/>
  <c r="G275"/>
  <c r="M275"/>
  <c r="J279"/>
  <c r="F279"/>
  <c r="M279"/>
  <c r="I272" i="69"/>
  <c r="M272"/>
  <c r="I276"/>
  <c r="F276"/>
  <c r="G280"/>
  <c r="F280"/>
  <c r="J284"/>
  <c r="G284"/>
  <c r="F273" i="65"/>
  <c r="E273"/>
  <c r="F281"/>
  <c r="L281"/>
  <c r="F285"/>
  <c r="E285"/>
  <c r="E360" i="74"/>
  <c r="K360"/>
  <c r="K360" i="72"/>
  <c r="D360"/>
  <c r="M358" i="71"/>
  <c r="D358"/>
  <c r="D370" i="69"/>
  <c r="G370"/>
  <c r="E383" i="72"/>
  <c r="J383"/>
  <c r="E379" i="70"/>
  <c r="D379"/>
  <c r="M165" i="71"/>
  <c r="K161"/>
  <c r="L157"/>
  <c r="L187" i="70"/>
  <c r="L179"/>
  <c r="E179"/>
  <c r="I175"/>
  <c r="K171"/>
  <c r="L167"/>
  <c r="D167"/>
  <c r="H166"/>
  <c r="M163"/>
  <c r="E163"/>
  <c r="I162"/>
  <c r="I159"/>
  <c r="L158"/>
  <c r="L155"/>
  <c r="M154"/>
  <c r="E154"/>
  <c r="G189" i="69"/>
  <c r="K185"/>
  <c r="M184"/>
  <c r="E184"/>
  <c r="L181"/>
  <c r="D181"/>
  <c r="E180"/>
  <c r="F177"/>
  <c r="J176"/>
  <c r="G173"/>
  <c r="J172"/>
  <c r="K169"/>
  <c r="M168"/>
  <c r="E168"/>
  <c r="L165"/>
  <c r="D165"/>
  <c r="E164"/>
  <c r="F161"/>
  <c r="J160"/>
  <c r="F157"/>
  <c r="K156"/>
  <c r="D156"/>
  <c r="M189" i="68"/>
  <c r="E189"/>
  <c r="G188"/>
  <c r="J185"/>
  <c r="K184"/>
  <c r="L181"/>
  <c r="M180"/>
  <c r="E180"/>
  <c r="E177"/>
  <c r="J176"/>
  <c r="J173"/>
  <c r="L172"/>
  <c r="D172"/>
  <c r="L169"/>
  <c r="D169"/>
  <c r="F168"/>
  <c r="H165"/>
  <c r="J164"/>
  <c r="K161"/>
  <c r="M160"/>
  <c r="D160"/>
  <c r="L157"/>
  <c r="E157"/>
  <c r="I156"/>
  <c r="G190" i="65"/>
  <c r="G187"/>
  <c r="J186"/>
  <c r="J183"/>
  <c r="M182"/>
  <c r="E182"/>
  <c r="K179"/>
  <c r="D179"/>
  <c r="E178"/>
  <c r="M174"/>
  <c r="F171"/>
  <c r="E170"/>
  <c r="L167"/>
  <c r="M166"/>
  <c r="E163"/>
  <c r="E162"/>
  <c r="I159"/>
  <c r="J158"/>
  <c r="M155"/>
  <c r="M154"/>
  <c r="D154"/>
  <c r="M237" i="74"/>
  <c r="K234"/>
  <c r="H233"/>
  <c r="E230"/>
  <c r="D229"/>
  <c r="L226"/>
  <c r="L225"/>
  <c r="J222"/>
  <c r="I236" i="73"/>
  <c r="K235"/>
  <c r="D232"/>
  <c r="D231"/>
  <c r="K228"/>
  <c r="E227"/>
  <c r="M224"/>
  <c r="L223"/>
  <c r="F238" i="72"/>
  <c r="E237"/>
  <c r="L234"/>
  <c r="I233"/>
  <c r="M230"/>
  <c r="M229"/>
  <c r="E226"/>
  <c r="D225"/>
  <c r="F222"/>
  <c r="G236" i="71"/>
  <c r="F235"/>
  <c r="E232"/>
  <c r="M227"/>
  <c r="L224"/>
  <c r="H223"/>
  <c r="D238" i="70"/>
  <c r="D234"/>
  <c r="F230"/>
  <c r="E226"/>
  <c r="D222"/>
  <c r="F236" i="69"/>
  <c r="M232"/>
  <c r="K231"/>
  <c r="L228"/>
  <c r="K227"/>
  <c r="F224"/>
  <c r="D223"/>
  <c r="F236" i="68"/>
  <c r="D232"/>
  <c r="D228"/>
  <c r="E224"/>
  <c r="K238" i="65"/>
  <c r="J237"/>
  <c r="J234"/>
  <c r="E233"/>
  <c r="K230"/>
  <c r="E229"/>
  <c r="G226"/>
  <c r="D225"/>
  <c r="E222"/>
  <c r="E286" i="74"/>
  <c r="D285"/>
  <c r="F282"/>
  <c r="D281"/>
  <c r="I278"/>
  <c r="D277"/>
  <c r="K274"/>
  <c r="J273"/>
  <c r="E270"/>
  <c r="D286" i="73"/>
  <c r="F283"/>
  <c r="D282"/>
  <c r="J279"/>
  <c r="D278"/>
  <c r="K275"/>
  <c r="J274"/>
  <c r="E271"/>
  <c r="D270"/>
  <c r="G284" i="72"/>
  <c r="D283"/>
  <c r="G280"/>
  <c r="D279"/>
  <c r="K276"/>
  <c r="G275"/>
  <c r="E272"/>
  <c r="D271"/>
  <c r="F285" i="71"/>
  <c r="D284"/>
  <c r="J281"/>
  <c r="D280"/>
  <c r="J277"/>
  <c r="I276"/>
  <c r="E273"/>
  <c r="D272"/>
  <c r="G286" i="70"/>
  <c r="D285"/>
  <c r="E282"/>
  <c r="L278"/>
  <c r="J277"/>
  <c r="F274"/>
  <c r="D273"/>
  <c r="K270"/>
  <c r="G286" i="69"/>
  <c r="J283"/>
  <c r="G282"/>
  <c r="M279"/>
  <c r="M278"/>
  <c r="M275"/>
  <c r="K274"/>
  <c r="M271"/>
  <c r="M270"/>
  <c r="K285" i="68"/>
  <c r="E284"/>
  <c r="E281"/>
  <c r="I277"/>
  <c r="M273"/>
  <c r="L272"/>
  <c r="M284" i="65"/>
  <c r="K283"/>
  <c r="J280"/>
  <c r="I276"/>
  <c r="D272"/>
  <c r="L359" i="74"/>
  <c r="M358"/>
  <c r="F361" i="73"/>
  <c r="G359" i="72"/>
  <c r="K361" i="71"/>
  <c r="J360"/>
  <c r="K359" i="70"/>
  <c r="M361" i="69"/>
  <c r="E360"/>
  <c r="M361" i="68"/>
  <c r="D361"/>
  <c r="J370" i="74"/>
  <c r="M369" i="73"/>
  <c r="J370" i="70"/>
  <c r="J369"/>
  <c r="E369" i="69"/>
  <c r="I382" i="74"/>
  <c r="G378"/>
  <c r="E380" i="73"/>
  <c r="E382" i="72"/>
  <c r="D377"/>
  <c r="M381" i="70"/>
  <c r="K378"/>
  <c r="E379" i="68"/>
  <c r="H395" i="74"/>
  <c r="G381" i="69"/>
  <c r="E381"/>
  <c r="E394" i="71"/>
  <c r="D394"/>
  <c r="M394" i="69"/>
  <c r="E394"/>
  <c r="BY22" i="77"/>
  <c r="DB22"/>
  <c r="EE22"/>
  <c r="S23"/>
  <c r="HN23"/>
  <c r="S26"/>
  <c r="GK26"/>
  <c r="BY32"/>
  <c r="BY33"/>
  <c r="BY36"/>
  <c r="BY38"/>
  <c r="S40"/>
  <c r="EE48"/>
  <c r="BW15"/>
  <c r="GK15"/>
  <c r="GF15"/>
  <c r="GG15" s="1"/>
  <c r="IQ41"/>
  <c r="IL41"/>
  <c r="IM41" s="1"/>
  <c r="HN33"/>
  <c r="IQ33"/>
  <c r="HN36"/>
  <c r="AT14"/>
  <c r="BX14"/>
  <c r="FF14"/>
  <c r="IQ14"/>
  <c r="BX16"/>
  <c r="BY18"/>
  <c r="FG18"/>
  <c r="IP18"/>
  <c r="R19"/>
  <c r="DA21"/>
  <c r="S22"/>
  <c r="IQ23"/>
  <c r="HN26"/>
  <c r="IQ26"/>
  <c r="GK28"/>
  <c r="HN11"/>
  <c r="IQ12"/>
  <c r="EC14"/>
  <c r="S15"/>
  <c r="DB15"/>
  <c r="FG15"/>
  <c r="S16"/>
  <c r="Q18"/>
  <c r="EC18"/>
  <c r="GI18"/>
  <c r="FG19"/>
  <c r="HM21"/>
  <c r="BY28"/>
  <c r="GK30"/>
  <c r="HN30"/>
  <c r="FH33"/>
  <c r="R41"/>
  <c r="HN41"/>
  <c r="GK48"/>
  <c r="DB57"/>
  <c r="AV59"/>
  <c r="DZ61"/>
  <c r="EB61" s="1"/>
  <c r="IL61"/>
  <c r="IN61" s="1"/>
  <c r="S70"/>
  <c r="GK70"/>
  <c r="BY71"/>
  <c r="HN71"/>
  <c r="IO71"/>
  <c r="IQ78"/>
  <c r="S81"/>
  <c r="DZ81"/>
  <c r="EB81" s="1"/>
  <c r="FH85"/>
  <c r="S91"/>
  <c r="S92"/>
  <c r="GK93"/>
  <c r="IQ96"/>
  <c r="S98"/>
  <c r="AQ105"/>
  <c r="EC105"/>
  <c r="IO105"/>
  <c r="Q118"/>
  <c r="FG119"/>
  <c r="Q122"/>
  <c r="FG123"/>
  <c r="Q126"/>
  <c r="Q131"/>
  <c r="GJ133"/>
  <c r="Q135"/>
  <c r="BT135"/>
  <c r="BV135" s="1"/>
  <c r="FC135"/>
  <c r="FE135" s="1"/>
  <c r="IP136"/>
  <c r="FC139"/>
  <c r="FE139" s="1"/>
  <c r="BX141"/>
  <c r="AU143"/>
  <c r="BX143"/>
  <c r="GJ144"/>
  <c r="HI144"/>
  <c r="HK144" s="1"/>
  <c r="BX146"/>
  <c r="EE146"/>
  <c r="HN149"/>
  <c r="IL149"/>
  <c r="IN149" s="1"/>
  <c r="DZ150"/>
  <c r="Q151"/>
  <c r="GK153"/>
  <c r="IL156"/>
  <c r="IM156" s="1"/>
  <c r="FG157"/>
  <c r="AV160"/>
  <c r="IQ161"/>
  <c r="IQ162"/>
  <c r="AU163"/>
  <c r="HI165"/>
  <c r="HJ165" s="1"/>
  <c r="GK173"/>
  <c r="HN174"/>
  <c r="N178"/>
  <c r="O178" s="1"/>
  <c r="DB183"/>
  <c r="HM184"/>
  <c r="IQ184"/>
  <c r="Q185"/>
  <c r="DA185"/>
  <c r="DA188"/>
  <c r="IL190"/>
  <c r="FG192"/>
  <c r="HI193"/>
  <c r="HJ193" s="1"/>
  <c r="IL195"/>
  <c r="IM195" s="1"/>
  <c r="GF196"/>
  <c r="GG196" s="1"/>
  <c r="HN196"/>
  <c r="IL196"/>
  <c r="IM196" s="1"/>
  <c r="GF197"/>
  <c r="GG197" s="1"/>
  <c r="N199"/>
  <c r="GK200"/>
  <c r="FH203"/>
  <c r="IQ205"/>
  <c r="DB208"/>
  <c r="EE209"/>
  <c r="BX210"/>
  <c r="IP213"/>
  <c r="Q214"/>
  <c r="R216"/>
  <c r="IQ220"/>
  <c r="AV223"/>
  <c r="AV225"/>
  <c r="AV227"/>
  <c r="AV229"/>
  <c r="DB229"/>
  <c r="S232"/>
  <c r="IQ235"/>
  <c r="GK236"/>
  <c r="AV240"/>
  <c r="BY240"/>
  <c r="S243"/>
  <c r="DB245"/>
  <c r="AV247"/>
  <c r="IQ250"/>
  <c r="S257"/>
  <c r="FH263"/>
  <c r="IQ264"/>
  <c r="AV268"/>
  <c r="S270"/>
  <c r="Q271"/>
  <c r="IQ276"/>
  <c r="S279"/>
  <c r="AV279"/>
  <c r="HN282"/>
  <c r="HN292"/>
  <c r="EE298"/>
  <c r="S298" i="70" s="1"/>
  <c r="IQ298" i="77"/>
  <c r="S298" i="74" s="1"/>
  <c r="FH299" i="77"/>
  <c r="S299" i="71" s="1"/>
  <c r="DB304" i="77"/>
  <c r="S304" i="69" s="1"/>
  <c r="EE304" i="77"/>
  <c r="S304" i="70" s="1"/>
  <c r="EE306" i="77"/>
  <c r="S306" i="70" s="1"/>
  <c r="FH306" i="77"/>
  <c r="S306" i="71" s="1"/>
  <c r="Q311" i="77"/>
  <c r="Q311" i="39" s="1"/>
  <c r="DB313" i="77"/>
  <c r="S313" i="69" s="1"/>
  <c r="HN313" i="77"/>
  <c r="S313" i="73" s="1"/>
  <c r="Q319" i="77"/>
  <c r="Q319" i="39" s="1"/>
  <c r="FF321" i="77"/>
  <c r="Q321" i="71" s="1"/>
  <c r="HL321" i="77"/>
  <c r="Q321" i="73" s="1"/>
  <c r="IQ323" i="77"/>
  <c r="S323" i="74" s="1"/>
  <c r="S330" i="77"/>
  <c r="S330" i="39" s="1"/>
  <c r="EE335" i="77"/>
  <c r="S335" i="70" s="1"/>
  <c r="CW341" i="77"/>
  <c r="GI341"/>
  <c r="Q341" i="72" s="1"/>
  <c r="S347" i="77"/>
  <c r="FH357"/>
  <c r="FH372"/>
  <c r="DB377"/>
  <c r="R381"/>
  <c r="IQ382"/>
  <c r="S383"/>
  <c r="GK384"/>
  <c r="FH385"/>
  <c r="ED391"/>
  <c r="S394"/>
  <c r="AV394"/>
  <c r="BY402"/>
  <c r="AU411"/>
  <c r="FG411"/>
  <c r="HM412"/>
  <c r="Q413"/>
  <c r="FF414"/>
  <c r="FG417"/>
  <c r="HN423"/>
  <c r="FH425"/>
  <c r="S426"/>
  <c r="HN426"/>
  <c r="AV430"/>
  <c r="Q431"/>
  <c r="DZ431"/>
  <c r="EB431" s="1"/>
  <c r="FH431"/>
  <c r="IP431"/>
  <c r="DB434"/>
  <c r="HN434"/>
  <c r="IQ435"/>
  <c r="IQ436"/>
  <c r="IQ437"/>
  <c r="EE439"/>
  <c r="HN439"/>
  <c r="IQ441"/>
  <c r="IQ442"/>
  <c r="EE443"/>
  <c r="IQ443"/>
  <c r="IQ444"/>
  <c r="GK448"/>
  <c r="IQ449"/>
  <c r="GK455"/>
  <c r="IQ457"/>
  <c r="Q461"/>
  <c r="HM461"/>
  <c r="GK462"/>
  <c r="IQ48"/>
  <c r="AQ51"/>
  <c r="AR51" s="1"/>
  <c r="DB59"/>
  <c r="FC61"/>
  <c r="FE61" s="1"/>
  <c r="AQ71"/>
  <c r="AS71" s="1"/>
  <c r="S78"/>
  <c r="BY83"/>
  <c r="BY85"/>
  <c r="GK94"/>
  <c r="HN94"/>
  <c r="S102"/>
  <c r="Q119"/>
  <c r="Q123"/>
  <c r="Q128"/>
  <c r="Q132"/>
  <c r="HM133"/>
  <c r="N141"/>
  <c r="IL144"/>
  <c r="IN144" s="1"/>
  <c r="Q145"/>
  <c r="IP155"/>
  <c r="EE162"/>
  <c r="FH162"/>
  <c r="R166"/>
  <c r="GK169"/>
  <c r="HN170"/>
  <c r="DB172"/>
  <c r="S177"/>
  <c r="Q179"/>
  <c r="Q183"/>
  <c r="AQ184"/>
  <c r="AR184" s="1"/>
  <c r="GJ192"/>
  <c r="BT193"/>
  <c r="BU193" s="1"/>
  <c r="IL193"/>
  <c r="IM193" s="1"/>
  <c r="EE200"/>
  <c r="HN200"/>
  <c r="IQ200"/>
  <c r="FG201"/>
  <c r="GK204"/>
  <c r="IQ204"/>
  <c r="S205"/>
  <c r="FH208"/>
  <c r="HN208"/>
  <c r="GJ210"/>
  <c r="DB216"/>
  <c r="GK216"/>
  <c r="HN216"/>
  <c r="EE217"/>
  <c r="GK219"/>
  <c r="HN220"/>
  <c r="FH232"/>
  <c r="GK232"/>
  <c r="IQ234"/>
  <c r="S235"/>
  <c r="AV235"/>
  <c r="AV238"/>
  <c r="S240"/>
  <c r="FG241"/>
  <c r="IL241"/>
  <c r="FH242"/>
  <c r="GK242"/>
  <c r="HN242"/>
  <c r="DB243"/>
  <c r="IQ244"/>
  <c r="GK245"/>
  <c r="HN245"/>
  <c r="HN246"/>
  <c r="S248"/>
  <c r="BY250"/>
  <c r="AV251"/>
  <c r="HN254"/>
  <c r="S259"/>
  <c r="BY262"/>
  <c r="GK262"/>
  <c r="AV263"/>
  <c r="EE265"/>
  <c r="EE62"/>
  <c r="FH62"/>
  <c r="GK62"/>
  <c r="HN264"/>
  <c r="IQ265"/>
  <c r="AV266"/>
  <c r="EE266"/>
  <c r="FH266"/>
  <c r="IQ268"/>
  <c r="HN269"/>
  <c r="FH270"/>
  <c r="BT271"/>
  <c r="BV271" s="1"/>
  <c r="FC271"/>
  <c r="AV272"/>
  <c r="GK273"/>
  <c r="S277"/>
  <c r="FH277"/>
  <c r="IQ277"/>
  <c r="HN278"/>
  <c r="AV280"/>
  <c r="FH283"/>
  <c r="DB289"/>
  <c r="HN289"/>
  <c r="GK293"/>
  <c r="IQ293"/>
  <c r="AV295"/>
  <c r="EE296"/>
  <c r="DB299"/>
  <c r="S299" i="69" s="1"/>
  <c r="BW301" i="77"/>
  <c r="Q301" i="68" s="1"/>
  <c r="CZ301" i="77"/>
  <c r="Q301" i="69" s="1"/>
  <c r="ED301" i="77"/>
  <c r="R301" i="70" s="1"/>
  <c r="HL301" i="77"/>
  <c r="Q301" i="73" s="1"/>
  <c r="HN302" i="77"/>
  <c r="S302" i="73" s="1"/>
  <c r="IQ302" i="77"/>
  <c r="S302" i="74" s="1"/>
  <c r="S307" i="77"/>
  <c r="S307" i="39" s="1"/>
  <c r="EE307" i="77"/>
  <c r="S307" i="70" s="1"/>
  <c r="IQ307" i="77"/>
  <c r="S307" i="74" s="1"/>
  <c r="S308" i="77"/>
  <c r="S308" i="39" s="1"/>
  <c r="AV309" i="77"/>
  <c r="S309" i="65" s="1"/>
  <c r="IP311" i="77"/>
  <c r="R311" i="74" s="1"/>
  <c r="EC312" i="77"/>
  <c r="Q312" i="70" s="1"/>
  <c r="R316" i="77"/>
  <c r="R316" i="39" s="1"/>
  <c r="ED317" i="77"/>
  <c r="R317" i="70" s="1"/>
  <c r="HM317" i="77"/>
  <c r="R317" i="73" s="1"/>
  <c r="HN318" i="77"/>
  <c r="S318" i="73" s="1"/>
  <c r="EC319" i="77"/>
  <c r="Q319" i="70" s="1"/>
  <c r="S325" i="77"/>
  <c r="S325" i="39" s="1"/>
  <c r="FH326" i="77"/>
  <c r="S326" i="71" s="1"/>
  <c r="IQ327" i="77"/>
  <c r="S327" i="74" s="1"/>
  <c r="AV330" i="77"/>
  <c r="S330" i="65" s="1"/>
  <c r="EE332" i="77"/>
  <c r="S332" i="70" s="1"/>
  <c r="BY333" i="77"/>
  <c r="S333" i="68" s="1"/>
  <c r="DB333" i="77"/>
  <c r="S333" i="69" s="1"/>
  <c r="IQ333" i="77"/>
  <c r="S333" i="74" s="1"/>
  <c r="AV335" i="77"/>
  <c r="S335" i="65" s="1"/>
  <c r="AV337" i="77"/>
  <c r="S337" i="65" s="1"/>
  <c r="HN337" i="77"/>
  <c r="S337" i="73" s="1"/>
  <c r="IQ338" i="77"/>
  <c r="S338" i="74" s="1"/>
  <c r="S339" i="77"/>
  <c r="S339" i="39" s="1"/>
  <c r="AV340" i="77"/>
  <c r="S340" i="65" s="1"/>
  <c r="AU341" i="77"/>
  <c r="R341" i="65" s="1"/>
  <c r="DB341" i="77"/>
  <c r="S341" i="69" s="1"/>
  <c r="EC341" i="77"/>
  <c r="Q341" i="70" s="1"/>
  <c r="FG341" i="77"/>
  <c r="R341" i="71" s="1"/>
  <c r="S342" i="77"/>
  <c r="S342" i="39" s="1"/>
  <c r="EE343" i="77"/>
  <c r="S343" i="70" s="1"/>
  <c r="DB345" i="77"/>
  <c r="S345" i="69" s="1"/>
  <c r="FH347" i="77"/>
  <c r="S347" i="71" s="1"/>
  <c r="GK347" i="77"/>
  <c r="S347" i="72" s="1"/>
  <c r="EE352" i="77"/>
  <c r="S353"/>
  <c r="AV353"/>
  <c r="IQ357"/>
  <c r="FH359"/>
  <c r="DB360"/>
  <c r="S361"/>
  <c r="AV361"/>
  <c r="GK365"/>
  <c r="IQ365"/>
  <c r="AV372"/>
  <c r="FH376"/>
  <c r="FH379"/>
  <c r="GF381"/>
  <c r="GH381" s="1"/>
  <c r="BY382"/>
  <c r="DB383"/>
  <c r="EE383"/>
  <c r="HN385"/>
  <c r="DB386"/>
  <c r="BY389"/>
  <c r="Q391"/>
  <c r="HN394"/>
  <c r="IQ394"/>
  <c r="GK402"/>
  <c r="HN402"/>
  <c r="FH405"/>
  <c r="IQ405"/>
  <c r="HN409"/>
  <c r="IQ409"/>
  <c r="GI411"/>
  <c r="FG412"/>
  <c r="EE415"/>
  <c r="FH416"/>
  <c r="HN416"/>
  <c r="IQ416"/>
  <c r="EE417"/>
  <c r="GJ417"/>
  <c r="FG421"/>
  <c r="S425"/>
  <c r="GK425"/>
  <c r="EE426"/>
  <c r="FH426"/>
  <c r="GK430"/>
  <c r="HN430"/>
  <c r="N431"/>
  <c r="EC431"/>
  <c r="HI431"/>
  <c r="HJ431" s="1"/>
  <c r="IL431"/>
  <c r="IN431" s="1"/>
  <c r="S435"/>
  <c r="FH435"/>
  <c r="FH436"/>
  <c r="FH437"/>
  <c r="S441"/>
  <c r="FH442"/>
  <c r="FH444"/>
  <c r="BY448"/>
  <c r="IQ448"/>
  <c r="AV449"/>
  <c r="GK449"/>
  <c r="EE455"/>
  <c r="IQ455"/>
  <c r="AV457"/>
  <c r="GK457"/>
  <c r="EE462"/>
  <c r="EE40"/>
  <c r="GK40"/>
  <c r="GF41"/>
  <c r="GG41" s="1"/>
  <c r="S48"/>
  <c r="S57"/>
  <c r="GK59"/>
  <c r="AV70"/>
  <c r="BY70"/>
  <c r="EE78"/>
  <c r="GK82"/>
  <c r="GK83"/>
  <c r="HN83"/>
  <c r="IQ83"/>
  <c r="GK85"/>
  <c r="DB91"/>
  <c r="AV92"/>
  <c r="EE96"/>
  <c r="GF100"/>
  <c r="GH100" s="1"/>
  <c r="S103"/>
  <c r="GJ111"/>
  <c r="FG114"/>
  <c r="HM116"/>
  <c r="Q117"/>
  <c r="DA118"/>
  <c r="Q121"/>
  <c r="DA122"/>
  <c r="Q125"/>
  <c r="HN129"/>
  <c r="Q130"/>
  <c r="HM132"/>
  <c r="FG133"/>
  <c r="Q134"/>
  <c r="S138"/>
  <c r="AQ139"/>
  <c r="AS139" s="1"/>
  <c r="R141"/>
  <c r="GK141"/>
  <c r="R142"/>
  <c r="GJ142"/>
  <c r="HM142"/>
  <c r="N143"/>
  <c r="O143" s="1"/>
  <c r="FH144"/>
  <c r="AV145"/>
  <c r="R146"/>
  <c r="GK149"/>
  <c r="IP153"/>
  <c r="DA155"/>
  <c r="FG155"/>
  <c r="HI156"/>
  <c r="HN158"/>
  <c r="IQ158"/>
  <c r="N161"/>
  <c r="ED161"/>
  <c r="Q162"/>
  <c r="N165"/>
  <c r="FG166"/>
  <c r="N170"/>
  <c r="S173"/>
  <c r="N180"/>
  <c r="O180" s="1"/>
  <c r="S181"/>
  <c r="GF183"/>
  <c r="GG183" s="1"/>
  <c r="FH185"/>
  <c r="FH189"/>
  <c r="AV190"/>
  <c r="IP192"/>
  <c r="HM195"/>
  <c r="AV202"/>
  <c r="BY204"/>
  <c r="EE205"/>
  <c r="S215"/>
  <c r="GK215"/>
  <c r="R217"/>
  <c r="IQ217"/>
  <c r="FH218"/>
  <c r="FH221"/>
  <c r="GF221"/>
  <c r="GH221" s="1"/>
  <c r="FH227"/>
  <c r="S231"/>
  <c r="AV232"/>
  <c r="IQ232"/>
  <c r="S234"/>
  <c r="EE235"/>
  <c r="FH235"/>
  <c r="GK235"/>
  <c r="FH238"/>
  <c r="IQ240"/>
  <c r="GF241"/>
  <c r="FH243"/>
  <c r="IQ243"/>
  <c r="FH250"/>
  <c r="GK250"/>
  <c r="DB254"/>
  <c r="AV257"/>
  <c r="S262"/>
  <c r="DB262"/>
  <c r="AV267"/>
  <c r="IQ267"/>
  <c r="FH268"/>
  <c r="S269"/>
  <c r="GK270"/>
  <c r="HN273"/>
  <c r="IQ274"/>
  <c r="AV275"/>
  <c r="IQ275"/>
  <c r="EE276"/>
  <c r="S278"/>
  <c r="GK279"/>
  <c r="S284"/>
  <c r="GK287"/>
  <c r="S288"/>
  <c r="HN291"/>
  <c r="S294"/>
  <c r="AV294"/>
  <c r="HN295"/>
  <c r="FH296"/>
  <c r="FH298"/>
  <c r="S298" i="71" s="1"/>
  <c r="HN299" i="77"/>
  <c r="S299" i="73" s="1"/>
  <c r="FH302" i="77"/>
  <c r="S302" i="71" s="1"/>
  <c r="AV304" i="77"/>
  <c r="S304" i="65" s="1"/>
  <c r="GK308" i="77"/>
  <c r="S308" i="72" s="1"/>
  <c r="FC312" i="77"/>
  <c r="N312" i="71" s="1"/>
  <c r="ED313" i="77"/>
  <c r="R313" i="70" s="1"/>
  <c r="DA315" i="77"/>
  <c r="R315" i="69" s="1"/>
  <c r="GJ316" i="77"/>
  <c r="R316" i="72" s="1"/>
  <c r="IP317" i="77"/>
  <c r="R317" i="74" s="1"/>
  <c r="Q318" i="77"/>
  <c r="Q318" i="39" s="1"/>
  <c r="IL318" i="77"/>
  <c r="AT319"/>
  <c r="Q319" i="65" s="1"/>
  <c r="IP319" i="77"/>
  <c r="R319" i="74" s="1"/>
  <c r="S321" i="77"/>
  <c r="S321" i="39" s="1"/>
  <c r="DB321" i="77"/>
  <c r="S321" i="69" s="1"/>
  <c r="IL321" i="77"/>
  <c r="AV325"/>
  <c r="S325" i="65" s="1"/>
  <c r="S327" i="77"/>
  <c r="S327" i="39" s="1"/>
  <c r="AV328" i="77"/>
  <c r="S328" i="65" s="1"/>
  <c r="BY328" i="77"/>
  <c r="S328" i="68" s="1"/>
  <c r="HN328" i="77"/>
  <c r="S328" i="73" s="1"/>
  <c r="HN330" i="77"/>
  <c r="S330" i="73" s="1"/>
  <c r="IQ330" i="77"/>
  <c r="S330" i="74" s="1"/>
  <c r="IL331" i="77"/>
  <c r="N331" i="74" s="1"/>
  <c r="IQ332" i="77"/>
  <c r="S332" i="74" s="1"/>
  <c r="S333" i="77"/>
  <c r="S333" i="39" s="1"/>
  <c r="AV334" i="77"/>
  <c r="S334" i="65" s="1"/>
  <c r="FH334" i="77"/>
  <c r="S334" i="71" s="1"/>
  <c r="IQ337" i="77"/>
  <c r="S337" i="74" s="1"/>
  <c r="S338" i="77"/>
  <c r="S338" i="39" s="1"/>
  <c r="AV339" i="77"/>
  <c r="S339" i="65" s="1"/>
  <c r="FC341" i="77"/>
  <c r="FH344"/>
  <c r="S344" i="71" s="1"/>
  <c r="FH345" i="77"/>
  <c r="AV346"/>
  <c r="S346" i="65" s="1"/>
  <c r="FH346" i="77"/>
  <c r="S346" i="71" s="1"/>
  <c r="IQ347" i="77"/>
  <c r="S347" i="74" s="1"/>
  <c r="HN348" i="77"/>
  <c r="S348" i="73" s="1"/>
  <c r="AV352" i="77"/>
  <c r="EE354"/>
  <c r="S357"/>
  <c r="FH358"/>
  <c r="GK358"/>
  <c r="BY359"/>
  <c r="IQ359"/>
  <c r="FH360"/>
  <c r="GK360"/>
  <c r="HN360"/>
  <c r="IQ360"/>
  <c r="IQ361"/>
  <c r="S362"/>
  <c r="FH362"/>
  <c r="IQ364"/>
  <c r="S365"/>
  <c r="FG371"/>
  <c r="GK376"/>
  <c r="IQ383"/>
  <c r="FH386"/>
  <c r="FH402"/>
  <c r="HN405"/>
  <c r="EE407"/>
  <c r="FH407"/>
  <c r="S409"/>
  <c r="GJ412"/>
  <c r="EC414"/>
  <c r="Q415"/>
  <c r="EE416"/>
  <c r="AT417"/>
  <c r="S419"/>
  <c r="GK420"/>
  <c r="GK421"/>
  <c r="S429"/>
  <c r="HN429"/>
  <c r="FH430"/>
  <c r="HN441"/>
  <c r="FH448"/>
  <c r="HN449"/>
  <c r="FH455"/>
  <c r="HN457"/>
  <c r="N461"/>
  <c r="P461" s="1"/>
  <c r="GJ461"/>
  <c r="FH462"/>
  <c r="FF51"/>
  <c r="FH51"/>
  <c r="IQ101"/>
  <c r="IL101"/>
  <c r="IN101" s="1"/>
  <c r="IL103"/>
  <c r="IN103" s="1"/>
  <c r="AU109"/>
  <c r="HM11"/>
  <c r="IP12"/>
  <c r="FG13"/>
  <c r="GJ31"/>
  <c r="FH87"/>
  <c r="GK91"/>
  <c r="AV94"/>
  <c r="GJ71"/>
  <c r="GK71"/>
  <c r="GJ105"/>
  <c r="GK105"/>
  <c r="BY11"/>
  <c r="BX11"/>
  <c r="HI11"/>
  <c r="HJ11" s="1"/>
  <c r="R12"/>
  <c r="DB12"/>
  <c r="DA12"/>
  <c r="HN12"/>
  <c r="HM12"/>
  <c r="IL12"/>
  <c r="IM12" s="1"/>
  <c r="EE13"/>
  <c r="ED13"/>
  <c r="FC13"/>
  <c r="FD13" s="1"/>
  <c r="BW14"/>
  <c r="EE14"/>
  <c r="BY15"/>
  <c r="EC15"/>
  <c r="GI15"/>
  <c r="FG16"/>
  <c r="S17"/>
  <c r="ED17"/>
  <c r="CZ18"/>
  <c r="FH18"/>
  <c r="Q19"/>
  <c r="AU19"/>
  <c r="GJ19"/>
  <c r="BY23"/>
  <c r="FH26"/>
  <c r="S29"/>
  <c r="AV29"/>
  <c r="FH29"/>
  <c r="GK29"/>
  <c r="HN29"/>
  <c r="IQ29"/>
  <c r="Q31"/>
  <c r="FH31"/>
  <c r="FG31"/>
  <c r="GF31"/>
  <c r="GG31" s="1"/>
  <c r="FH41"/>
  <c r="GK61"/>
  <c r="BW41"/>
  <c r="BY41"/>
  <c r="K277" i="69"/>
  <c r="J273"/>
  <c r="M283" i="68"/>
  <c r="D283"/>
  <c r="M279"/>
  <c r="D279"/>
  <c r="M275"/>
  <c r="D275"/>
  <c r="M271"/>
  <c r="D271"/>
  <c r="J286" i="65"/>
  <c r="M282"/>
  <c r="E282"/>
  <c r="J278"/>
  <c r="M274"/>
  <c r="E274"/>
  <c r="K270"/>
  <c r="L361" i="74"/>
  <c r="D361"/>
  <c r="G359" i="73"/>
  <c r="M361" i="72"/>
  <c r="L369" i="68"/>
  <c r="G395" i="73"/>
  <c r="FI303" i="77"/>
  <c r="T303" i="71" s="1"/>
  <c r="Q11" i="77"/>
  <c r="BT11"/>
  <c r="BU11" s="1"/>
  <c r="FH11"/>
  <c r="FG11"/>
  <c r="BY12"/>
  <c r="BX12"/>
  <c r="CW12"/>
  <c r="CX12" s="1"/>
  <c r="GK12"/>
  <c r="GJ12"/>
  <c r="HI12"/>
  <c r="HJ12" s="1"/>
  <c r="R13"/>
  <c r="DB13"/>
  <c r="DA13"/>
  <c r="DZ13"/>
  <c r="EA13" s="1"/>
  <c r="HN13"/>
  <c r="HM13"/>
  <c r="BX15"/>
  <c r="DA19"/>
  <c r="S24"/>
  <c r="AV24"/>
  <c r="DB24"/>
  <c r="EE24"/>
  <c r="FH24"/>
  <c r="GK24"/>
  <c r="FC31"/>
  <c r="FD31" s="1"/>
  <c r="IQ31"/>
  <c r="IP31"/>
  <c r="EE38"/>
  <c r="IQ38"/>
  <c r="FC41"/>
  <c r="FE41" s="1"/>
  <c r="FH48"/>
  <c r="HN48"/>
  <c r="FC51"/>
  <c r="FD51" s="1"/>
  <c r="IQ51"/>
  <c r="S59"/>
  <c r="BY59"/>
  <c r="FH60"/>
  <c r="HN60"/>
  <c r="FH61"/>
  <c r="IQ62"/>
  <c r="BY67"/>
  <c r="DB67"/>
  <c r="HI81"/>
  <c r="HK81" s="1"/>
  <c r="FH83"/>
  <c r="FH105"/>
  <c r="FC105"/>
  <c r="FG105"/>
  <c r="EE11"/>
  <c r="ED11"/>
  <c r="FC11"/>
  <c r="FD11" s="1"/>
  <c r="IQ11"/>
  <c r="IP11"/>
  <c r="Q12"/>
  <c r="BT12"/>
  <c r="BU12" s="1"/>
  <c r="GF12"/>
  <c r="GG12" s="1"/>
  <c r="BY13"/>
  <c r="BX13"/>
  <c r="CW13"/>
  <c r="CX13" s="1"/>
  <c r="HI13"/>
  <c r="HJ13" s="1"/>
  <c r="S14"/>
  <c r="DB14"/>
  <c r="IO14"/>
  <c r="Q15"/>
  <c r="AT15"/>
  <c r="BT15"/>
  <c r="BU15" s="1"/>
  <c r="FF15"/>
  <c r="GJ15"/>
  <c r="AU16"/>
  <c r="DA16"/>
  <c r="HM16"/>
  <c r="BX17"/>
  <c r="ED18"/>
  <c r="FC18"/>
  <c r="FD18" s="1"/>
  <c r="IO18"/>
  <c r="IP19"/>
  <c r="S21"/>
  <c r="IP21"/>
  <c r="FH28"/>
  <c r="S30"/>
  <c r="IQ30"/>
  <c r="R31"/>
  <c r="AV31"/>
  <c r="AU31"/>
  <c r="HN31"/>
  <c r="HM31"/>
  <c r="IL31"/>
  <c r="IM31" s="1"/>
  <c r="IQ36"/>
  <c r="S37"/>
  <c r="AV37"/>
  <c r="DB37"/>
  <c r="EE37"/>
  <c r="GK37"/>
  <c r="HN37"/>
  <c r="S38"/>
  <c r="IL51"/>
  <c r="IN51" s="1"/>
  <c r="S58"/>
  <c r="IQ59"/>
  <c r="S62"/>
  <c r="GK63"/>
  <c r="IQ70"/>
  <c r="GI71"/>
  <c r="AV82"/>
  <c r="FH89"/>
  <c r="S166"/>
  <c r="Q166"/>
  <c r="IQ166"/>
  <c r="GF167"/>
  <c r="GG167" s="1"/>
  <c r="Q181"/>
  <c r="N181"/>
  <c r="O181" s="1"/>
  <c r="Q184"/>
  <c r="N184"/>
  <c r="P184" s="1"/>
  <c r="FC188"/>
  <c r="FH188"/>
  <c r="GK188"/>
  <c r="GF188"/>
  <c r="GH188" s="1"/>
  <c r="IQ188"/>
  <c r="IL188"/>
  <c r="CW193"/>
  <c r="CX193" s="1"/>
  <c r="FC193"/>
  <c r="FD193" s="1"/>
  <c r="AV33"/>
  <c r="S34"/>
  <c r="BY34"/>
  <c r="FH34"/>
  <c r="GK34"/>
  <c r="HN34"/>
  <c r="IQ34"/>
  <c r="EE36"/>
  <c r="DB40"/>
  <c r="DB42"/>
  <c r="EE42"/>
  <c r="AT51"/>
  <c r="ED51"/>
  <c r="HM51"/>
  <c r="BY58"/>
  <c r="DB58"/>
  <c r="ED61"/>
  <c r="GJ61"/>
  <c r="IP61"/>
  <c r="S65"/>
  <c r="AV65"/>
  <c r="EE65"/>
  <c r="AV71"/>
  <c r="EC71"/>
  <c r="FH78"/>
  <c r="AV81"/>
  <c r="S85"/>
  <c r="HN85"/>
  <c r="IQ85"/>
  <c r="DB86"/>
  <c r="GK86"/>
  <c r="HN86"/>
  <c r="EE87"/>
  <c r="S89"/>
  <c r="HN89"/>
  <c r="IQ89"/>
  <c r="GK90"/>
  <c r="HN90"/>
  <c r="FH91"/>
  <c r="GK92"/>
  <c r="HN92"/>
  <c r="FH95"/>
  <c r="GK95"/>
  <c r="EE103"/>
  <c r="IQ103"/>
  <c r="GJ106"/>
  <c r="IP108"/>
  <c r="FG109"/>
  <c r="HM111"/>
  <c r="S112"/>
  <c r="ED112"/>
  <c r="GJ114"/>
  <c r="DA115"/>
  <c r="IP116"/>
  <c r="S117"/>
  <c r="BX117"/>
  <c r="GJ117"/>
  <c r="IP118"/>
  <c r="S119"/>
  <c r="GJ119"/>
  <c r="ED120"/>
  <c r="IP120"/>
  <c r="S121"/>
  <c r="AU121"/>
  <c r="GJ121"/>
  <c r="IP122"/>
  <c r="S123"/>
  <c r="BX123"/>
  <c r="GJ123"/>
  <c r="EE124"/>
  <c r="IQ124"/>
  <c r="S125"/>
  <c r="AV125"/>
  <c r="BY125"/>
  <c r="GK125"/>
  <c r="IQ126"/>
  <c r="S128"/>
  <c r="AV128"/>
  <c r="GK128"/>
  <c r="EE129"/>
  <c r="IQ129"/>
  <c r="S130"/>
  <c r="BY130"/>
  <c r="GK130"/>
  <c r="EE131"/>
  <c r="IQ131"/>
  <c r="S132"/>
  <c r="AV132"/>
  <c r="AU133"/>
  <c r="S134"/>
  <c r="FH135"/>
  <c r="FG136"/>
  <c r="Q137"/>
  <c r="Q139"/>
  <c r="AV139"/>
  <c r="IQ139"/>
  <c r="R140"/>
  <c r="AU140"/>
  <c r="BX140"/>
  <c r="GF140"/>
  <c r="GH140" s="1"/>
  <c r="Q141"/>
  <c r="N142"/>
  <c r="HN142"/>
  <c r="S143"/>
  <c r="R144"/>
  <c r="HM144"/>
  <c r="IP144"/>
  <c r="IQ144"/>
  <c r="N145"/>
  <c r="GK145"/>
  <c r="ED146"/>
  <c r="GJ146"/>
  <c r="IP146"/>
  <c r="N147"/>
  <c r="P147" s="1"/>
  <c r="IP147"/>
  <c r="N149"/>
  <c r="O149" s="1"/>
  <c r="GF149"/>
  <c r="GH149" s="1"/>
  <c r="IQ149"/>
  <c r="N150"/>
  <c r="FH150"/>
  <c r="AU151"/>
  <c r="GK151"/>
  <c r="GJ151"/>
  <c r="IP151"/>
  <c r="DA153"/>
  <c r="FH153"/>
  <c r="GF153"/>
  <c r="HM153"/>
  <c r="HN156"/>
  <c r="IQ156"/>
  <c r="R157"/>
  <c r="FH157"/>
  <c r="N158"/>
  <c r="GJ158"/>
  <c r="IP158"/>
  <c r="AQ160"/>
  <c r="AR160" s="1"/>
  <c r="S161"/>
  <c r="Q161"/>
  <c r="HN161"/>
  <c r="IL161"/>
  <c r="IM161" s="1"/>
  <c r="S162"/>
  <c r="R162"/>
  <c r="FG162"/>
  <c r="HN165"/>
  <c r="IL165"/>
  <c r="IM165" s="1"/>
  <c r="IP166"/>
  <c r="IP168"/>
  <c r="GK170"/>
  <c r="Q172"/>
  <c r="S172"/>
  <c r="BY173"/>
  <c r="GK174"/>
  <c r="Q178"/>
  <c r="S178"/>
  <c r="S179"/>
  <c r="CW183"/>
  <c r="CX183" s="1"/>
  <c r="AV184"/>
  <c r="HN193"/>
  <c r="HI166"/>
  <c r="HJ166" s="1"/>
  <c r="HI167"/>
  <c r="GF168"/>
  <c r="HN91"/>
  <c r="BY97"/>
  <c r="FH97"/>
  <c r="GK97"/>
  <c r="BY101"/>
  <c r="DB101"/>
  <c r="FH101"/>
  <c r="HN101"/>
  <c r="FH103"/>
  <c r="AV104"/>
  <c r="HN104"/>
  <c r="GJ107"/>
  <c r="IP109"/>
  <c r="S110"/>
  <c r="BX110"/>
  <c r="FG110"/>
  <c r="BX111"/>
  <c r="AU113"/>
  <c r="GJ115"/>
  <c r="FG116"/>
  <c r="HM117"/>
  <c r="FG118"/>
  <c r="DA119"/>
  <c r="HM119"/>
  <c r="FG120"/>
  <c r="HM121"/>
  <c r="FG122"/>
  <c r="HM123"/>
  <c r="FH126"/>
  <c r="HN128"/>
  <c r="HN130"/>
  <c r="FG132"/>
  <c r="AV135"/>
  <c r="IQ135"/>
  <c r="R136"/>
  <c r="BX136"/>
  <c r="GJ136"/>
  <c r="S139"/>
  <c r="HM140"/>
  <c r="BY141"/>
  <c r="GJ141"/>
  <c r="CW142"/>
  <c r="FH142"/>
  <c r="GK142"/>
  <c r="Q143"/>
  <c r="IP143"/>
  <c r="S144"/>
  <c r="BX144"/>
  <c r="FG144"/>
  <c r="AU145"/>
  <c r="BT146"/>
  <c r="BU146" s="1"/>
  <c r="R149"/>
  <c r="AV150"/>
  <c r="FG150"/>
  <c r="ED151"/>
  <c r="GJ153"/>
  <c r="IQ153"/>
  <c r="IP156"/>
  <c r="EE157"/>
  <c r="GF158"/>
  <c r="GH158" s="1"/>
  <c r="IL158"/>
  <c r="N160"/>
  <c r="GK161"/>
  <c r="FC162"/>
  <c r="FD162" s="1"/>
  <c r="N163"/>
  <c r="GK165"/>
  <c r="DB166"/>
  <c r="HN166"/>
  <c r="HM168"/>
  <c r="HN169"/>
  <c r="HN171"/>
  <c r="HN173"/>
  <c r="HN177"/>
  <c r="HN179"/>
  <c r="EE183"/>
  <c r="R185"/>
  <c r="FG186"/>
  <c r="GJ186"/>
  <c r="IP186"/>
  <c r="FG188"/>
  <c r="GJ188"/>
  <c r="IP188"/>
  <c r="IQ189"/>
  <c r="N191"/>
  <c r="O191" s="1"/>
  <c r="DB193"/>
  <c r="FH193"/>
  <c r="IL163"/>
  <c r="IN163" s="1"/>
  <c r="GK166"/>
  <c r="Q169"/>
  <c r="N169"/>
  <c r="FG184"/>
  <c r="S192"/>
  <c r="N192"/>
  <c r="DB38"/>
  <c r="DB41"/>
  <c r="FG41"/>
  <c r="GI41"/>
  <c r="GJ41"/>
  <c r="R51"/>
  <c r="GK51"/>
  <c r="IP51"/>
  <c r="EE57"/>
  <c r="GK57"/>
  <c r="HN57"/>
  <c r="AV60"/>
  <c r="Q61"/>
  <c r="FG61"/>
  <c r="HM61"/>
  <c r="S63"/>
  <c r="AV63"/>
  <c r="S69"/>
  <c r="AV69"/>
  <c r="EE69"/>
  <c r="Q71"/>
  <c r="BW71"/>
  <c r="BZ71" s="1"/>
  <c r="BY78"/>
  <c r="S79"/>
  <c r="AV79"/>
  <c r="FH79"/>
  <c r="IQ79"/>
  <c r="FH84"/>
  <c r="GK84"/>
  <c r="S87"/>
  <c r="HN87"/>
  <c r="IQ87"/>
  <c r="DB88"/>
  <c r="GK88"/>
  <c r="HN88"/>
  <c r="DB89"/>
  <c r="Q91"/>
  <c r="DB92"/>
  <c r="GK96"/>
  <c r="HN96"/>
  <c r="AV100"/>
  <c r="FC101"/>
  <c r="FE101" s="1"/>
  <c r="HI101"/>
  <c r="HK101" s="1"/>
  <c r="GK103"/>
  <c r="AQ104"/>
  <c r="AS104" s="1"/>
  <c r="AV105"/>
  <c r="GI105"/>
  <c r="HM107"/>
  <c r="S108"/>
  <c r="GJ110"/>
  <c r="IP112"/>
  <c r="FG113"/>
  <c r="HM115"/>
  <c r="S116"/>
  <c r="GJ116"/>
  <c r="IP117"/>
  <c r="S118"/>
  <c r="BX118"/>
  <c r="IP119"/>
  <c r="S120"/>
  <c r="GJ120"/>
  <c r="IP121"/>
  <c r="S122"/>
  <c r="BX122"/>
  <c r="IP123"/>
  <c r="S124"/>
  <c r="AV124"/>
  <c r="BY124"/>
  <c r="GK124"/>
  <c r="EE125"/>
  <c r="IQ125"/>
  <c r="S126"/>
  <c r="AV126"/>
  <c r="GK126"/>
  <c r="EE128"/>
  <c r="IQ128"/>
  <c r="S129"/>
  <c r="AV129"/>
  <c r="GK129"/>
  <c r="IQ130"/>
  <c r="S131"/>
  <c r="AV131"/>
  <c r="GK131"/>
  <c r="GJ132"/>
  <c r="S135"/>
  <c r="AQ135"/>
  <c r="AS135" s="1"/>
  <c r="IL135"/>
  <c r="IN135" s="1"/>
  <c r="Q136"/>
  <c r="HM136"/>
  <c r="ED137"/>
  <c r="FG137"/>
  <c r="GJ137"/>
  <c r="HM137"/>
  <c r="IP137"/>
  <c r="Q138"/>
  <c r="N139"/>
  <c r="O139" s="1"/>
  <c r="BY139"/>
  <c r="GK139"/>
  <c r="GK140"/>
  <c r="IP140"/>
  <c r="FC141"/>
  <c r="FE141" s="1"/>
  <c r="DB142"/>
  <c r="IQ142"/>
  <c r="FG143"/>
  <c r="N144"/>
  <c r="O144" s="1"/>
  <c r="FC144"/>
  <c r="FE144" s="1"/>
  <c r="S145"/>
  <c r="T145" s="1"/>
  <c r="U145" s="1"/>
  <c r="DZ145"/>
  <c r="EB145" s="1"/>
  <c r="BY146"/>
  <c r="FH147"/>
  <c r="FG147"/>
  <c r="S148"/>
  <c r="Q149"/>
  <c r="BY149"/>
  <c r="FH149"/>
  <c r="Q150"/>
  <c r="DB153"/>
  <c r="FG153"/>
  <c r="HN153"/>
  <c r="IL153"/>
  <c r="EC156"/>
  <c r="EE156"/>
  <c r="S157"/>
  <c r="Q157"/>
  <c r="ED157"/>
  <c r="HN157"/>
  <c r="S158"/>
  <c r="R158"/>
  <c r="BY158"/>
  <c r="FG158"/>
  <c r="HM158"/>
  <c r="FG160"/>
  <c r="GJ160"/>
  <c r="HM160"/>
  <c r="IP160"/>
  <c r="R161"/>
  <c r="GJ161"/>
  <c r="N162"/>
  <c r="P162" s="1"/>
  <c r="ED162"/>
  <c r="GJ162"/>
  <c r="IP162"/>
  <c r="FG164"/>
  <c r="GJ164"/>
  <c r="IP164"/>
  <c r="R165"/>
  <c r="FH165"/>
  <c r="GJ165"/>
  <c r="N166"/>
  <c r="CW166"/>
  <c r="CX166" s="1"/>
  <c r="GJ166"/>
  <c r="HM166"/>
  <c r="AV167"/>
  <c r="AU168"/>
  <c r="GJ168"/>
  <c r="HI168"/>
  <c r="Q171"/>
  <c r="S171"/>
  <c r="Q175"/>
  <c r="S175"/>
  <c r="DB176"/>
  <c r="DB179"/>
  <c r="S182"/>
  <c r="N185"/>
  <c r="P185" s="1"/>
  <c r="GF185"/>
  <c r="GH185" s="1"/>
  <c r="AV186"/>
  <c r="BT188"/>
  <c r="BU188" s="1"/>
  <c r="FC166"/>
  <c r="FD166" s="1"/>
  <c r="Q173"/>
  <c r="N173"/>
  <c r="Q177"/>
  <c r="N177"/>
  <c r="O177" s="1"/>
  <c r="HI184"/>
  <c r="HJ184" s="1"/>
  <c r="HN184"/>
  <c r="CW188"/>
  <c r="CY188" s="1"/>
  <c r="DB188"/>
  <c r="AU190"/>
  <c r="FC192"/>
  <c r="FD192" s="1"/>
  <c r="FH192"/>
  <c r="GK192"/>
  <c r="GF192"/>
  <c r="GG192" s="1"/>
  <c r="HI192"/>
  <c r="HJ192" s="1"/>
  <c r="HN192"/>
  <c r="IQ192"/>
  <c r="IL192"/>
  <c r="IM192" s="1"/>
  <c r="ED196"/>
  <c r="AU197"/>
  <c r="HN197"/>
  <c r="HI197"/>
  <c r="HJ197" s="1"/>
  <c r="BY135"/>
  <c r="GK135"/>
  <c r="FH139"/>
  <c r="GK157"/>
  <c r="AU160"/>
  <c r="EE161"/>
  <c r="IP161"/>
  <c r="AV163"/>
  <c r="IP165"/>
  <c r="FH166"/>
  <c r="IQ197"/>
  <c r="Q316"/>
  <c r="Q316" i="39" s="1"/>
  <c r="N316" i="77"/>
  <c r="N316" i="39" s="1"/>
  <c r="N164" i="77"/>
  <c r="P164" s="1"/>
  <c r="S165"/>
  <c r="Q165"/>
  <c r="DB165"/>
  <c r="HM165"/>
  <c r="N167"/>
  <c r="FG168"/>
  <c r="Q170"/>
  <c r="S170"/>
  <c r="BY170"/>
  <c r="GK171"/>
  <c r="HN172"/>
  <c r="Q174"/>
  <c r="S174"/>
  <c r="Q176"/>
  <c r="S176"/>
  <c r="HN176"/>
  <c r="Q180"/>
  <c r="S180"/>
  <c r="HN180"/>
  <c r="R183"/>
  <c r="S183"/>
  <c r="DZ183"/>
  <c r="IQ183"/>
  <c r="HM185"/>
  <c r="GJ189"/>
  <c r="IP189"/>
  <c r="S193"/>
  <c r="R193"/>
  <c r="BY193"/>
  <c r="IP193"/>
  <c r="IP195"/>
  <c r="R196"/>
  <c r="GJ196"/>
  <c r="IP196"/>
  <c r="GK197"/>
  <c r="N198"/>
  <c r="FH200"/>
  <c r="GJ201"/>
  <c r="BY203"/>
  <c r="FH204"/>
  <c r="HN204"/>
  <c r="FH205"/>
  <c r="FH206"/>
  <c r="HN206"/>
  <c r="S207"/>
  <c r="IQ207"/>
  <c r="Q210"/>
  <c r="DA210"/>
  <c r="GJ211"/>
  <c r="FG213"/>
  <c r="Q215"/>
  <c r="R215"/>
  <c r="FH215"/>
  <c r="AV219"/>
  <c r="GK220"/>
  <c r="GK221"/>
  <c r="GK222"/>
  <c r="HN222"/>
  <c r="DB223"/>
  <c r="S225"/>
  <c r="HN225"/>
  <c r="IQ225"/>
  <c r="BY226"/>
  <c r="GK226"/>
  <c r="HN226"/>
  <c r="S229"/>
  <c r="IQ229"/>
  <c r="S230"/>
  <c r="AV230"/>
  <c r="FH230"/>
  <c r="GK230"/>
  <c r="HN230"/>
  <c r="IQ230"/>
  <c r="N231"/>
  <c r="GK234"/>
  <c r="AV236"/>
  <c r="S237"/>
  <c r="BY237"/>
  <c r="DB237"/>
  <c r="FH237"/>
  <c r="GK237"/>
  <c r="IQ237"/>
  <c r="EE238"/>
  <c r="FC241"/>
  <c r="GJ241"/>
  <c r="AV242"/>
  <c r="BY244"/>
  <c r="DB244"/>
  <c r="EE245"/>
  <c r="GK247"/>
  <c r="IQ247"/>
  <c r="S250"/>
  <c r="R251"/>
  <c r="GK251"/>
  <c r="BY252"/>
  <c r="AV253"/>
  <c r="S256"/>
  <c r="BY256"/>
  <c r="EE256"/>
  <c r="GK256"/>
  <c r="IQ256"/>
  <c r="HN257"/>
  <c r="BY259"/>
  <c r="GK259"/>
  <c r="HN261"/>
  <c r="IQ261"/>
  <c r="IQ263"/>
  <c r="AV264"/>
  <c r="S265"/>
  <c r="HN265"/>
  <c r="GK266"/>
  <c r="S267"/>
  <c r="HN267"/>
  <c r="GK269"/>
  <c r="IQ270"/>
  <c r="FG271"/>
  <c r="EE272"/>
  <c r="IQ272"/>
  <c r="AV273"/>
  <c r="S274"/>
  <c r="HN274"/>
  <c r="GK275"/>
  <c r="S276"/>
  <c r="HN276"/>
  <c r="IQ279"/>
  <c r="BY280"/>
  <c r="IQ280"/>
  <c r="AU281"/>
  <c r="GJ281"/>
  <c r="AV282"/>
  <c r="AV283"/>
  <c r="GK284"/>
  <c r="S285"/>
  <c r="HN285"/>
  <c r="S287"/>
  <c r="DB287"/>
  <c r="HN287"/>
  <c r="AV288"/>
  <c r="BY290"/>
  <c r="GK291"/>
  <c r="GK292"/>
  <c r="IQ292"/>
  <c r="AV293"/>
  <c r="IQ295"/>
  <c r="N301"/>
  <c r="O301" s="1"/>
  <c r="O301" i="39" s="1"/>
  <c r="AV302" i="77"/>
  <c r="S302" i="65" s="1"/>
  <c r="BY302" i="77"/>
  <c r="S302" i="68" s="1"/>
  <c r="BY306" i="77"/>
  <c r="S306" i="68" s="1"/>
  <c r="IQ308" i="77"/>
  <c r="S308" i="74" s="1"/>
  <c r="AQ312" i="77"/>
  <c r="N312" i="65" s="1"/>
  <c r="S313" i="77"/>
  <c r="S313" i="39" s="1"/>
  <c r="N313" i="77"/>
  <c r="N313" i="39" s="1"/>
  <c r="GI313" i="77"/>
  <c r="Q313" i="72" s="1"/>
  <c r="GJ313" i="77"/>
  <c r="R313" i="72" s="1"/>
  <c r="IQ313" i="77"/>
  <c r="S313" i="74" s="1"/>
  <c r="IL313" i="77"/>
  <c r="N313" i="74" s="1"/>
  <c r="GK318" i="77"/>
  <c r="S318" i="72" s="1"/>
  <c r="GF318" i="77"/>
  <c r="HN319"/>
  <c r="S319" i="73" s="1"/>
  <c r="HI319" i="77"/>
  <c r="HK319" s="1"/>
  <c r="P319" i="73" s="1"/>
  <c r="AV194" i="77"/>
  <c r="S197"/>
  <c r="R197"/>
  <c r="FH197"/>
  <c r="IP197"/>
  <c r="AU199"/>
  <c r="Q201"/>
  <c r="DA201"/>
  <c r="HM201"/>
  <c r="S203"/>
  <c r="IQ203"/>
  <c r="S206"/>
  <c r="BY206"/>
  <c r="GK206"/>
  <c r="IQ206"/>
  <c r="GK207"/>
  <c r="AV209"/>
  <c r="IP210"/>
  <c r="Q211"/>
  <c r="AU211"/>
  <c r="DA211"/>
  <c r="HM211"/>
  <c r="BX213"/>
  <c r="HN214"/>
  <c r="N215"/>
  <c r="O215" s="1"/>
  <c r="BY215"/>
  <c r="HN219"/>
  <c r="DB221"/>
  <c r="S233"/>
  <c r="DB233"/>
  <c r="EE233"/>
  <c r="GK233"/>
  <c r="DA241"/>
  <c r="HM241"/>
  <c r="S245"/>
  <c r="FH246"/>
  <c r="S252"/>
  <c r="IQ252"/>
  <c r="S254"/>
  <c r="GK254"/>
  <c r="IQ254"/>
  <c r="FH259"/>
  <c r="S263"/>
  <c r="HN263"/>
  <c r="GK265"/>
  <c r="BY267"/>
  <c r="GK267"/>
  <c r="AV269"/>
  <c r="FH269"/>
  <c r="S271"/>
  <c r="AU271"/>
  <c r="IP271"/>
  <c r="S272"/>
  <c r="HN272"/>
  <c r="GK274"/>
  <c r="GK276"/>
  <c r="AV278"/>
  <c r="FH278"/>
  <c r="FG291"/>
  <c r="AQ301"/>
  <c r="AS301" s="1"/>
  <c r="P301" i="65" s="1"/>
  <c r="GK302" i="77"/>
  <c r="S302" i="72" s="1"/>
  <c r="AV308" i="77"/>
  <c r="S308" i="65" s="1"/>
  <c r="HL311" i="77"/>
  <c r="Q311" i="73" s="1"/>
  <c r="R315" i="77"/>
  <c r="R315" i="39" s="1"/>
  <c r="GI301" i="77"/>
  <c r="Q301" i="72" s="1"/>
  <c r="GF301" i="77"/>
  <c r="GG301" s="1"/>
  <c r="O301" i="72" s="1"/>
  <c r="EC315" i="77"/>
  <c r="Q315" i="70" s="1"/>
  <c r="DZ315" i="77"/>
  <c r="N315" i="70" s="1"/>
  <c r="IP184" i="77"/>
  <c r="GJ185"/>
  <c r="S188"/>
  <c r="BY189"/>
  <c r="HM189"/>
  <c r="N193"/>
  <c r="P193" s="1"/>
  <c r="HM193"/>
  <c r="AU194"/>
  <c r="GF194"/>
  <c r="HI194"/>
  <c r="IL194"/>
  <c r="N195"/>
  <c r="O195" s="1"/>
  <c r="S196"/>
  <c r="AV196"/>
  <c r="HM196"/>
  <c r="Q197"/>
  <c r="FC197"/>
  <c r="FD197" s="1"/>
  <c r="IL197"/>
  <c r="IM197" s="1"/>
  <c r="AQ199"/>
  <c r="AR199" s="1"/>
  <c r="IP201"/>
  <c r="S202"/>
  <c r="EE202"/>
  <c r="GK202"/>
  <c r="IQ202"/>
  <c r="AV205"/>
  <c r="S208"/>
  <c r="GK208"/>
  <c r="IQ208"/>
  <c r="HN209"/>
  <c r="FG210"/>
  <c r="IP211"/>
  <c r="Q213"/>
  <c r="DA213"/>
  <c r="HM213"/>
  <c r="BX214"/>
  <c r="GK214"/>
  <c r="IQ214"/>
  <c r="Q216"/>
  <c r="AV217"/>
  <c r="HN217"/>
  <c r="GK218"/>
  <c r="IQ218"/>
  <c r="Q219"/>
  <c r="FH219"/>
  <c r="AV220"/>
  <c r="IQ221"/>
  <c r="S223"/>
  <c r="HN223"/>
  <c r="IQ223"/>
  <c r="GK224"/>
  <c r="HN224"/>
  <c r="EE225"/>
  <c r="S227"/>
  <c r="HN227"/>
  <c r="IQ227"/>
  <c r="S228"/>
  <c r="BY228"/>
  <c r="FH228"/>
  <c r="GK228"/>
  <c r="IQ228"/>
  <c r="Q231"/>
  <c r="BY234"/>
  <c r="S238"/>
  <c r="IQ238"/>
  <c r="S239"/>
  <c r="AV239"/>
  <c r="EE239"/>
  <c r="FH239"/>
  <c r="GK239"/>
  <c r="IQ239"/>
  <c r="CW241"/>
  <c r="HI241"/>
  <c r="HJ241" s="1"/>
  <c r="IP241"/>
  <c r="GK243"/>
  <c r="HN243"/>
  <c r="BY246"/>
  <c r="S247"/>
  <c r="FH247"/>
  <c r="GK248"/>
  <c r="HN248"/>
  <c r="GK252"/>
  <c r="AV256"/>
  <c r="EE259"/>
  <c r="DB261"/>
  <c r="IQ262"/>
  <c r="GK263"/>
  <c r="FH264"/>
  <c r="AV265"/>
  <c r="S266"/>
  <c r="HN268"/>
  <c r="IQ269"/>
  <c r="AQ271"/>
  <c r="HM271"/>
  <c r="IL271"/>
  <c r="IN271" s="1"/>
  <c r="GK272"/>
  <c r="FH273"/>
  <c r="AV274"/>
  <c r="FH274"/>
  <c r="S275"/>
  <c r="BY275"/>
  <c r="AV276"/>
  <c r="EE278"/>
  <c r="IQ278"/>
  <c r="R281"/>
  <c r="S283"/>
  <c r="IQ283"/>
  <c r="DB288"/>
  <c r="GK289"/>
  <c r="HN290"/>
  <c r="IQ290"/>
  <c r="BX291"/>
  <c r="FC291"/>
  <c r="IQ291"/>
  <c r="S292"/>
  <c r="GK294"/>
  <c r="IO301"/>
  <c r="Q301" i="74" s="1"/>
  <c r="S302" i="77"/>
  <c r="S302" i="39" s="1"/>
  <c r="FG314" i="77"/>
  <c r="R314" i="71" s="1"/>
  <c r="N315" i="77"/>
  <c r="N315" i="39" s="1"/>
  <c r="GI315" i="77"/>
  <c r="Q315" i="72" s="1"/>
  <c r="HL315" i="77"/>
  <c r="Q315" i="73" s="1"/>
  <c r="GJ318" i="77"/>
  <c r="R318" i="72" s="1"/>
  <c r="BW313" i="77"/>
  <c r="Q313" i="68" s="1"/>
  <c r="BX313" i="77"/>
  <c r="R313" i="68" s="1"/>
  <c r="EE313" i="77"/>
  <c r="S313" i="70" s="1"/>
  <c r="DZ313" i="77"/>
  <c r="N313" i="70" s="1"/>
  <c r="BW318" i="77"/>
  <c r="Q318" i="68" s="1"/>
  <c r="BT318" i="77"/>
  <c r="R231"/>
  <c r="BX271"/>
  <c r="S280"/>
  <c r="DB283"/>
  <c r="IQ287"/>
  <c r="FH289"/>
  <c r="S290"/>
  <c r="S291"/>
  <c r="BT291"/>
  <c r="BV291" s="1"/>
  <c r="DB292"/>
  <c r="S295"/>
  <c r="HN300"/>
  <c r="S300" i="73" s="1"/>
  <c r="R301" i="77"/>
  <c r="R301" i="39" s="1"/>
  <c r="FG401" i="77"/>
  <c r="FC401"/>
  <c r="HN280"/>
  <c r="HM281"/>
  <c r="GK283"/>
  <c r="IQ284"/>
  <c r="GK285"/>
  <c r="AV287"/>
  <c r="EE289"/>
  <c r="S293"/>
  <c r="DB293"/>
  <c r="FH294"/>
  <c r="S296"/>
  <c r="BY296"/>
  <c r="IQ296"/>
  <c r="GK298"/>
  <c r="S298" i="72" s="1"/>
  <c r="BY299" i="77"/>
  <c r="S299" i="68" s="1"/>
  <c r="IQ299" i="77"/>
  <c r="S299" i="74" s="1"/>
  <c r="EE300" i="77"/>
  <c r="S300" i="70" s="1"/>
  <c r="DB302" i="77"/>
  <c r="S302" i="69" s="1"/>
  <c r="BY304" i="77"/>
  <c r="S304" i="68" s="1"/>
  <c r="IQ304" i="77"/>
  <c r="S304" i="74" s="1"/>
  <c r="IQ306" i="77"/>
  <c r="S306" i="74" s="1"/>
  <c r="HN308" i="77"/>
  <c r="S308" i="73" s="1"/>
  <c r="HN309" i="77"/>
  <c r="S309" i="73" s="1"/>
  <c r="IO311" i="77"/>
  <c r="Q311" i="74" s="1"/>
  <c r="IQ311" i="77"/>
  <c r="S311" i="74" s="1"/>
  <c r="Q312" i="77"/>
  <c r="Q312" i="39" s="1"/>
  <c r="EE312" i="77"/>
  <c r="S312" i="70" s="1"/>
  <c r="FF312" i="77"/>
  <c r="Q312" i="71" s="1"/>
  <c r="FG312" i="77"/>
  <c r="R312" i="71" s="1"/>
  <c r="HN312" i="77"/>
  <c r="S312" i="73" s="1"/>
  <c r="Q313" i="77"/>
  <c r="Q313" i="39" s="1"/>
  <c r="EC313" i="77"/>
  <c r="Q313" i="70" s="1"/>
  <c r="FH313" i="77"/>
  <c r="S313" i="71" s="1"/>
  <c r="IO313" i="77"/>
  <c r="Q313" i="74" s="1"/>
  <c r="Q314" i="77"/>
  <c r="Q314" i="39" s="1"/>
  <c r="R314" i="77"/>
  <c r="R314" i="39" s="1"/>
  <c r="HM314" i="77"/>
  <c r="R314" i="73" s="1"/>
  <c r="BY315" i="77"/>
  <c r="S315" i="68" s="1"/>
  <c r="IO315" i="77"/>
  <c r="Q315" i="74" s="1"/>
  <c r="IP315" i="77"/>
  <c r="R315" i="74" s="1"/>
  <c r="FG316" i="77"/>
  <c r="R316" i="71" s="1"/>
  <c r="AU317" i="77"/>
  <c r="R317" i="65" s="1"/>
  <c r="BY318" i="77"/>
  <c r="S318" i="68" s="1"/>
  <c r="BX318" i="77"/>
  <c r="R318" i="68" s="1"/>
  <c r="EC318" i="77"/>
  <c r="Q318" i="70" s="1"/>
  <c r="GI318" i="77"/>
  <c r="Q318" i="72" s="1"/>
  <c r="IO318" i="77"/>
  <c r="Q318" i="74" s="1"/>
  <c r="AV319" i="77"/>
  <c r="S319" i="65" s="1"/>
  <c r="FH319" i="77"/>
  <c r="S319" i="71" s="1"/>
  <c r="DB323" i="77"/>
  <c r="S323" i="69" s="1"/>
  <c r="HN323" i="77"/>
  <c r="S323" i="73" s="1"/>
  <c r="S324" i="77"/>
  <c r="S324" i="39" s="1"/>
  <c r="IQ324" i="77"/>
  <c r="S324" i="74" s="1"/>
  <c r="HN325" i="77"/>
  <c r="S325" i="73" s="1"/>
  <c r="S326" i="77"/>
  <c r="S326" i="39" s="1"/>
  <c r="IQ326" i="77"/>
  <c r="S326" i="74" s="1"/>
  <c r="HN327" i="77"/>
  <c r="S327" i="73" s="1"/>
  <c r="S328" i="77"/>
  <c r="S328" i="39" s="1"/>
  <c r="IQ328" i="77"/>
  <c r="S328" i="74" s="1"/>
  <c r="Q331" i="77"/>
  <c r="Q331" i="39" s="1"/>
  <c r="DB331" i="77"/>
  <c r="S331" i="69" s="1"/>
  <c r="DA331" i="77"/>
  <c r="R331" i="69" s="1"/>
  <c r="HN331" i="77"/>
  <c r="S331" i="73" s="1"/>
  <c r="HM331" i="77"/>
  <c r="R331" i="73" s="1"/>
  <c r="HN332" i="77"/>
  <c r="S332" i="73" s="1"/>
  <c r="S334" i="77"/>
  <c r="S334" i="39" s="1"/>
  <c r="EE334" i="77"/>
  <c r="S334" i="70" s="1"/>
  <c r="BY335" i="77"/>
  <c r="S335" i="68" s="1"/>
  <c r="HN338" i="77"/>
  <c r="S338" i="73" s="1"/>
  <c r="HN339" i="77"/>
  <c r="S339" i="73" s="1"/>
  <c r="S340" i="77"/>
  <c r="S340" i="39" s="1"/>
  <c r="IQ340" i="77"/>
  <c r="S340" i="74" s="1"/>
  <c r="AQ341" i="77"/>
  <c r="AR341" s="1"/>
  <c r="O341" i="65" s="1"/>
  <c r="BW341" i="77"/>
  <c r="Q341" i="68" s="1"/>
  <c r="DA341" i="77"/>
  <c r="R341" i="69" s="1"/>
  <c r="HL341" i="77"/>
  <c r="Q341" i="73" s="1"/>
  <c r="HN342" i="77"/>
  <c r="S342" i="73" s="1"/>
  <c r="HN343" i="77"/>
  <c r="S343" i="73" s="1"/>
  <c r="S344" i="77"/>
  <c r="S344" i="39" s="1"/>
  <c r="EE344" i="77"/>
  <c r="S344" i="70" s="1"/>
  <c r="IQ344" i="77"/>
  <c r="S344" i="74" s="1"/>
  <c r="S345" i="77"/>
  <c r="S345" i="39" s="1"/>
  <c r="IQ345" i="77"/>
  <c r="S345" i="74" s="1"/>
  <c r="S346" i="77"/>
  <c r="S346" i="39" s="1"/>
  <c r="EE346" i="77"/>
  <c r="S346" i="70" s="1"/>
  <c r="IQ346" i="77"/>
  <c r="S346" i="74" s="1"/>
  <c r="AV347" i="77"/>
  <c r="S347" i="65" s="1"/>
  <c r="FH348" i="77"/>
  <c r="S348" i="71" s="1"/>
  <c r="GK352" i="77"/>
  <c r="AV354"/>
  <c r="HN359"/>
  <c r="Q361"/>
  <c r="HN361"/>
  <c r="BY362"/>
  <c r="FH365"/>
  <c r="HN365"/>
  <c r="DB381"/>
  <c r="CW381"/>
  <c r="CY381" s="1"/>
  <c r="FH381"/>
  <c r="FC381"/>
  <c r="FE381" s="1"/>
  <c r="HI391"/>
  <c r="HK391" s="1"/>
  <c r="AT318"/>
  <c r="Q318" i="65" s="1"/>
  <c r="AU319" i="77"/>
  <c r="R319" i="65" s="1"/>
  <c r="HM319" i="77"/>
  <c r="R319" i="73" s="1"/>
  <c r="BY326" i="77"/>
  <c r="S326" i="68" s="1"/>
  <c r="HN341" i="77"/>
  <c r="S341" i="73" s="1"/>
  <c r="GI401" i="77"/>
  <c r="GK401"/>
  <c r="O431"/>
  <c r="FH327"/>
  <c r="S327" i="71" s="1"/>
  <c r="BY330" i="77"/>
  <c r="S330" i="68" s="1"/>
  <c r="R331" i="77"/>
  <c r="R331" i="39" s="1"/>
  <c r="FH331" i="77"/>
  <c r="S331" i="71" s="1"/>
  <c r="FG331" i="77"/>
  <c r="R331" i="71" s="1"/>
  <c r="FH332" i="77"/>
  <c r="S332" i="71" s="1"/>
  <c r="FH333" i="77"/>
  <c r="S333" i="71" s="1"/>
  <c r="BY334" i="77"/>
  <c r="S334" i="68" s="1"/>
  <c r="FH338" i="77"/>
  <c r="S338" i="71" s="1"/>
  <c r="AV341" i="77"/>
  <c r="S341" i="65" s="1"/>
  <c r="ED341" i="77"/>
  <c r="R341" i="70" s="1"/>
  <c r="HM341" i="77"/>
  <c r="R341" i="73" s="1"/>
  <c r="FH342" i="77"/>
  <c r="S342" i="71" s="1"/>
  <c r="EE345" i="77"/>
  <c r="S345" i="70" s="1"/>
  <c r="FH361" i="77"/>
  <c r="GK362"/>
  <c r="IQ362"/>
  <c r="FH363"/>
  <c r="HN363"/>
  <c r="S369"/>
  <c r="HN369"/>
  <c r="IQ369"/>
  <c r="S374"/>
  <c r="BY374"/>
  <c r="BY376"/>
  <c r="DB376"/>
  <c r="FH378"/>
  <c r="GK378"/>
  <c r="S380"/>
  <c r="FH380"/>
  <c r="IQ380"/>
  <c r="DA381"/>
  <c r="FG381"/>
  <c r="BY385"/>
  <c r="GK389"/>
  <c r="IQ389"/>
  <c r="DB405"/>
  <c r="Q371"/>
  <c r="N371"/>
  <c r="IQ391"/>
  <c r="IL391"/>
  <c r="IN391" s="1"/>
  <c r="AV401"/>
  <c r="AQ401"/>
  <c r="AU401"/>
  <c r="HN298"/>
  <c r="S298" i="73" s="1"/>
  <c r="S299" i="77"/>
  <c r="S299" i="39" s="1"/>
  <c r="FH300" i="77"/>
  <c r="S300" i="71" s="1"/>
  <c r="S301" i="77"/>
  <c r="S301" i="39" s="1"/>
  <c r="AU301" i="77"/>
  <c r="R301" i="65" s="1"/>
  <c r="AV301" i="77"/>
  <c r="S301" i="65" s="1"/>
  <c r="EC301" i="77"/>
  <c r="Q301" i="70" s="1"/>
  <c r="FG301" i="77"/>
  <c r="R301" i="71" s="1"/>
  <c r="EE302" i="77"/>
  <c r="S302" i="70" s="1"/>
  <c r="S304" i="77"/>
  <c r="S304" i="39" s="1"/>
  <c r="GK304" i="77"/>
  <c r="S304" i="72" s="1"/>
  <c r="S306" i="77"/>
  <c r="S306" i="39" s="1"/>
  <c r="AV307" i="77"/>
  <c r="S307" i="65" s="1"/>
  <c r="FH307" i="77"/>
  <c r="S307" i="71" s="1"/>
  <c r="FH308" i="77"/>
  <c r="S308" i="71" s="1"/>
  <c r="GK310" i="77"/>
  <c r="S310" i="72" s="1"/>
  <c r="HN310" i="77"/>
  <c r="S310" i="73" s="1"/>
  <c r="FG311" i="77"/>
  <c r="R311" i="71" s="1"/>
  <c r="AT312" i="77"/>
  <c r="Q312" i="65" s="1"/>
  <c r="AU312" i="77"/>
  <c r="R312" i="65" s="1"/>
  <c r="DB312" i="77"/>
  <c r="S312" i="69" s="1"/>
  <c r="BY313" i="77"/>
  <c r="S313" i="68" s="1"/>
  <c r="DA313" i="77"/>
  <c r="R313" i="69" s="1"/>
  <c r="GK313" i="77"/>
  <c r="S313" i="72" s="1"/>
  <c r="HM313" i="77"/>
  <c r="R313" i="73" s="1"/>
  <c r="AU314" i="77"/>
  <c r="R314" i="65" s="1"/>
  <c r="AU315" i="77"/>
  <c r="R315" i="65" s="1"/>
  <c r="BW315" i="77"/>
  <c r="Q315" i="68" s="1"/>
  <c r="CZ315" i="77"/>
  <c r="Q315" i="69" s="1"/>
  <c r="HM315" i="77"/>
  <c r="R315" i="73" s="1"/>
  <c r="IP316" i="77"/>
  <c r="R316" i="74" s="1"/>
  <c r="Q317" i="77"/>
  <c r="Q317" i="39" s="1"/>
  <c r="FG317" i="77"/>
  <c r="R317" i="71" s="1"/>
  <c r="AU318" i="77"/>
  <c r="R318" i="65" s="1"/>
  <c r="CZ318" i="77"/>
  <c r="Q318" i="69" s="1"/>
  <c r="FF318" i="77"/>
  <c r="Q318" i="71" s="1"/>
  <c r="BW319" i="77"/>
  <c r="Q319" i="68" s="1"/>
  <c r="CW319" i="77"/>
  <c r="N319" i="69" s="1"/>
  <c r="GK319" i="77"/>
  <c r="S319" i="72" s="1"/>
  <c r="CZ321" i="77"/>
  <c r="Q321" i="69" s="1"/>
  <c r="BY323" i="77"/>
  <c r="S323" i="68" s="1"/>
  <c r="GK323" i="77"/>
  <c r="S323" i="72" s="1"/>
  <c r="BY325" i="77"/>
  <c r="S325" i="68" s="1"/>
  <c r="BY327" i="77"/>
  <c r="S327" i="68" s="1"/>
  <c r="AV331" i="77"/>
  <c r="S331" i="65" s="1"/>
  <c r="AU331" i="77"/>
  <c r="R331" i="65" s="1"/>
  <c r="FC331" i="77"/>
  <c r="N331" i="71" s="1"/>
  <c r="IQ331" i="77"/>
  <c r="S331" i="74" s="1"/>
  <c r="IP331" i="77"/>
  <c r="R331" i="74" s="1"/>
  <c r="BY332" i="77"/>
  <c r="S332" i="68" s="1"/>
  <c r="HN333" i="77"/>
  <c r="S333" i="73" s="1"/>
  <c r="DB334" i="77"/>
  <c r="S334" i="69" s="1"/>
  <c r="S335" i="77"/>
  <c r="S335" i="39" s="1"/>
  <c r="EE337" i="77"/>
  <c r="S337" i="70" s="1"/>
  <c r="BY338" i="77"/>
  <c r="S338" i="68" s="1"/>
  <c r="FH339" i="77"/>
  <c r="S339" i="71" s="1"/>
  <c r="DB340" i="77"/>
  <c r="S340" i="69" s="1"/>
  <c r="HN340" i="77"/>
  <c r="S340" i="73" s="1"/>
  <c r="Q341" i="77"/>
  <c r="Q341" i="39" s="1"/>
  <c r="FF341" i="77"/>
  <c r="Q341" i="71" s="1"/>
  <c r="GJ341" i="77"/>
  <c r="R341" i="72" s="1"/>
  <c r="IO341" i="77"/>
  <c r="Q341" i="74" s="1"/>
  <c r="BY342" i="77"/>
  <c r="S342" i="68" s="1"/>
  <c r="FH343" i="77"/>
  <c r="S343" i="71" s="1"/>
  <c r="HN344" i="77"/>
  <c r="S344" i="73" s="1"/>
  <c r="GK345" i="77"/>
  <c r="S345" i="72" s="1"/>
  <c r="DB346" i="77"/>
  <c r="S346" i="69" s="1"/>
  <c r="HN346" i="77"/>
  <c r="S346" i="73" s="1"/>
  <c r="HN347" i="77"/>
  <c r="S347" i="73" s="1"/>
  <c r="S348" i="77"/>
  <c r="S348" i="39" s="1"/>
  <c r="IQ348" i="77"/>
  <c r="S348" i="74" s="1"/>
  <c r="S352" i="77"/>
  <c r="IQ352"/>
  <c r="DB354"/>
  <c r="S355"/>
  <c r="AV355"/>
  <c r="EE355"/>
  <c r="GK355"/>
  <c r="HN355"/>
  <c r="IQ355"/>
  <c r="GK357"/>
  <c r="FH364"/>
  <c r="AV365"/>
  <c r="GK374"/>
  <c r="IQ374"/>
  <c r="BY378"/>
  <c r="S384"/>
  <c r="FH369"/>
  <c r="ED371"/>
  <c r="IP371"/>
  <c r="S372"/>
  <c r="GK372"/>
  <c r="IQ372"/>
  <c r="S377"/>
  <c r="BY377"/>
  <c r="GK377"/>
  <c r="IQ377"/>
  <c r="BY380"/>
  <c r="S381"/>
  <c r="IQ381"/>
  <c r="IP381"/>
  <c r="S386"/>
  <c r="BY386"/>
  <c r="GK386"/>
  <c r="IQ386"/>
  <c r="DB388"/>
  <c r="FH388"/>
  <c r="AU391"/>
  <c r="S402"/>
  <c r="IQ402"/>
  <c r="GK405"/>
  <c r="GK407"/>
  <c r="AV409"/>
  <c r="AV411"/>
  <c r="FH411"/>
  <c r="Q412"/>
  <c r="BX412"/>
  <c r="FH414"/>
  <c r="HL414"/>
  <c r="S415"/>
  <c r="GK415"/>
  <c r="Q416"/>
  <c r="Q417"/>
  <c r="AV417"/>
  <c r="FC417"/>
  <c r="FD417" s="1"/>
  <c r="GF417"/>
  <c r="GH417" s="1"/>
  <c r="HN417"/>
  <c r="IQ419"/>
  <c r="Q421"/>
  <c r="FC421"/>
  <c r="GJ421"/>
  <c r="HI421"/>
  <c r="IP421"/>
  <c r="FH423"/>
  <c r="HN425"/>
  <c r="AV429"/>
  <c r="S430"/>
  <c r="IQ430"/>
  <c r="R431"/>
  <c r="AT431"/>
  <c r="ED431"/>
  <c r="HN431"/>
  <c r="IO431"/>
  <c r="R441"/>
  <c r="GG441"/>
  <c r="GK441"/>
  <c r="HI441"/>
  <c r="HM441"/>
  <c r="S461"/>
  <c r="HM417"/>
  <c r="AU421"/>
  <c r="HM431"/>
  <c r="Q441"/>
  <c r="BY441"/>
  <c r="FH441"/>
  <c r="R461"/>
  <c r="GK361"/>
  <c r="S363"/>
  <c r="EE363"/>
  <c r="GK363"/>
  <c r="IQ363"/>
  <c r="BX371"/>
  <c r="GJ371"/>
  <c r="FH374"/>
  <c r="HN374"/>
  <c r="S376"/>
  <c r="IQ376"/>
  <c r="DB378"/>
  <c r="S379"/>
  <c r="BY379"/>
  <c r="EE379"/>
  <c r="GK379"/>
  <c r="IQ379"/>
  <c r="GK380"/>
  <c r="Q381"/>
  <c r="BY381"/>
  <c r="BX381"/>
  <c r="GK381"/>
  <c r="GJ381"/>
  <c r="FH382"/>
  <c r="FH383"/>
  <c r="AV384"/>
  <c r="DB384"/>
  <c r="FH384"/>
  <c r="S385"/>
  <c r="IQ385"/>
  <c r="S388"/>
  <c r="BY388"/>
  <c r="GK388"/>
  <c r="IQ388"/>
  <c r="DB389"/>
  <c r="FH389"/>
  <c r="S391"/>
  <c r="HN391"/>
  <c r="BW401"/>
  <c r="BZ401" s="1"/>
  <c r="FH401"/>
  <c r="GJ401"/>
  <c r="S408"/>
  <c r="EE408"/>
  <c r="FH408"/>
  <c r="GK408"/>
  <c r="HN408"/>
  <c r="IQ408"/>
  <c r="FH409"/>
  <c r="ED411"/>
  <c r="GK411"/>
  <c r="IO411"/>
  <c r="R413"/>
  <c r="S414"/>
  <c r="AT414"/>
  <c r="FC414"/>
  <c r="FE414" s="1"/>
  <c r="GK414"/>
  <c r="GK416"/>
  <c r="AU417"/>
  <c r="FH419"/>
  <c r="S420"/>
  <c r="IQ420"/>
  <c r="AV421"/>
  <c r="GF421"/>
  <c r="IL421"/>
  <c r="IN421" s="1"/>
  <c r="AV423"/>
  <c r="DB425"/>
  <c r="BY426"/>
  <c r="FH429"/>
  <c r="AV431"/>
  <c r="BX431"/>
  <c r="FF431"/>
  <c r="HL431"/>
  <c r="IQ431"/>
  <c r="BT441"/>
  <c r="BX441"/>
  <c r="FC441"/>
  <c r="FG441"/>
  <c r="BT461"/>
  <c r="BY461"/>
  <c r="FC461"/>
  <c r="FH461"/>
  <c r="GF461"/>
  <c r="GK461"/>
  <c r="HI461"/>
  <c r="HN461"/>
  <c r="IL461"/>
  <c r="IQ461"/>
  <c r="DB393"/>
  <c r="GK393"/>
  <c r="HN393"/>
  <c r="S407"/>
  <c r="IQ407"/>
  <c r="GI414"/>
  <c r="FH415"/>
  <c r="GI417"/>
  <c r="GL417" s="1"/>
  <c r="HI417"/>
  <c r="FH421"/>
  <c r="HN421"/>
  <c r="S422"/>
  <c r="GK422"/>
  <c r="IQ422"/>
  <c r="N441"/>
  <c r="IL441"/>
  <c r="HJ341"/>
  <c r="FD341"/>
  <c r="O341" i="71" s="1"/>
  <c r="CX341" i="77"/>
  <c r="O341" i="69" s="1"/>
  <c r="BZ303" i="77"/>
  <c r="T303" i="68" s="1"/>
  <c r="AW303" i="77"/>
  <c r="T303" i="65" s="1"/>
  <c r="DK311" i="77"/>
  <c r="AB311" i="69" s="1"/>
  <c r="BE291" i="77"/>
  <c r="CH455"/>
  <c r="GT455"/>
  <c r="EN462"/>
  <c r="BE448"/>
  <c r="BE455"/>
  <c r="FQ455"/>
  <c r="DK462"/>
  <c r="HW462"/>
  <c r="EN455"/>
  <c r="CE461"/>
  <c r="CH461" s="1"/>
  <c r="CH462"/>
  <c r="GT462"/>
  <c r="BE449"/>
  <c r="DK455"/>
  <c r="HW455"/>
  <c r="BE457"/>
  <c r="BE462"/>
  <c r="FQ462"/>
  <c r="BE259"/>
  <c r="BE262"/>
  <c r="BE263"/>
  <c r="HW266"/>
  <c r="BE269"/>
  <c r="BE274"/>
  <c r="BE277"/>
  <c r="HW284"/>
  <c r="BE286"/>
  <c r="BE288"/>
  <c r="DK290"/>
  <c r="EN290"/>
  <c r="BE294"/>
  <c r="BE295"/>
  <c r="BE265"/>
  <c r="FQ266"/>
  <c r="GT266"/>
  <c r="BE268"/>
  <c r="BE273"/>
  <c r="BE279"/>
  <c r="BE280"/>
  <c r="CH280"/>
  <c r="DK280"/>
  <c r="EN280"/>
  <c r="FQ280"/>
  <c r="GT280"/>
  <c r="HW280"/>
  <c r="BE281"/>
  <c r="BE283"/>
  <c r="FQ284"/>
  <c r="GT284"/>
  <c r="BE290"/>
  <c r="CH290"/>
  <c r="BE264"/>
  <c r="DK266"/>
  <c r="EN266"/>
  <c r="BE270"/>
  <c r="BE275"/>
  <c r="BE276"/>
  <c r="BE282"/>
  <c r="DK284"/>
  <c r="EN284"/>
  <c r="BE287"/>
  <c r="HW290"/>
  <c r="BE292"/>
  <c r="BE296"/>
  <c r="BE266"/>
  <c r="CH266"/>
  <c r="BE267"/>
  <c r="BE271"/>
  <c r="BE272"/>
  <c r="BE278"/>
  <c r="BE284"/>
  <c r="CH284"/>
  <c r="BE285"/>
  <c r="BE289"/>
  <c r="FQ290"/>
  <c r="GT290"/>
  <c r="BE293"/>
  <c r="CH12"/>
  <c r="DH12"/>
  <c r="EK14"/>
  <c r="DK14"/>
  <c r="CH21"/>
  <c r="DH21"/>
  <c r="BZ15"/>
  <c r="CB15" s="1"/>
  <c r="CH13"/>
  <c r="DH13"/>
  <c r="CH16"/>
  <c r="DH16"/>
  <c r="DK51"/>
  <c r="EK51"/>
  <c r="DH15"/>
  <c r="CH15"/>
  <c r="CH17"/>
  <c r="DH17"/>
  <c r="EK18"/>
  <c r="DK18"/>
  <c r="DH19"/>
  <c r="CH19"/>
  <c r="CH31"/>
  <c r="DH31"/>
  <c r="CH11"/>
  <c r="DH11"/>
  <c r="AR81"/>
  <c r="GJ91"/>
  <c r="GF91"/>
  <c r="R100"/>
  <c r="N100"/>
  <c r="IM101"/>
  <c r="R104"/>
  <c r="N104"/>
  <c r="HM104"/>
  <c r="HI104"/>
  <c r="ED105"/>
  <c r="DZ105"/>
  <c r="EE105"/>
  <c r="Q106"/>
  <c r="R106"/>
  <c r="N106"/>
  <c r="Q110"/>
  <c r="R110"/>
  <c r="N110"/>
  <c r="Q114"/>
  <c r="R114"/>
  <c r="N114"/>
  <c r="DH116"/>
  <c r="CH116"/>
  <c r="DH118"/>
  <c r="CH118"/>
  <c r="DH120"/>
  <c r="CH120"/>
  <c r="DH122"/>
  <c r="CH122"/>
  <c r="DH124"/>
  <c r="CH124"/>
  <c r="DH126"/>
  <c r="CH126"/>
  <c r="DH129"/>
  <c r="CH129"/>
  <c r="DH131"/>
  <c r="CH131"/>
  <c r="O141"/>
  <c r="P141"/>
  <c r="AW305"/>
  <c r="T305" i="65" s="1"/>
  <c r="Q14" i="77"/>
  <c r="T14" s="1"/>
  <c r="V14" s="1"/>
  <c r="AV14"/>
  <c r="CH14"/>
  <c r="CZ14"/>
  <c r="DZ14"/>
  <c r="ED14"/>
  <c r="EF14" s="1"/>
  <c r="FH14"/>
  <c r="IL14"/>
  <c r="IP14"/>
  <c r="IR14" s="1"/>
  <c r="N15"/>
  <c r="R15"/>
  <c r="T15" s="1"/>
  <c r="BE15"/>
  <c r="CW15"/>
  <c r="DA15"/>
  <c r="DC15" s="1"/>
  <c r="EE15"/>
  <c r="EF15" s="1"/>
  <c r="N16"/>
  <c r="R16"/>
  <c r="AV16"/>
  <c r="BY16"/>
  <c r="DB16"/>
  <c r="FH16"/>
  <c r="HN16"/>
  <c r="N17"/>
  <c r="R17"/>
  <c r="AV17"/>
  <c r="BY17"/>
  <c r="DB17"/>
  <c r="EE17"/>
  <c r="FH17"/>
  <c r="S18"/>
  <c r="BT18"/>
  <c r="BX18"/>
  <c r="DB18"/>
  <c r="FF18"/>
  <c r="FI18" s="1"/>
  <c r="FK18" s="1"/>
  <c r="GF18"/>
  <c r="GJ18"/>
  <c r="GL18" s="1"/>
  <c r="S19"/>
  <c r="T19" s="1"/>
  <c r="BE19"/>
  <c r="N21"/>
  <c r="R21"/>
  <c r="AV21"/>
  <c r="DB21"/>
  <c r="FH21"/>
  <c r="HN21"/>
  <c r="IQ21"/>
  <c r="BX41"/>
  <c r="IP41"/>
  <c r="S51"/>
  <c r="Q51"/>
  <c r="AU51"/>
  <c r="EC51"/>
  <c r="FG51"/>
  <c r="HN51"/>
  <c r="HL51"/>
  <c r="S61"/>
  <c r="EA61"/>
  <c r="FD61"/>
  <c r="GG61"/>
  <c r="HJ61"/>
  <c r="R71"/>
  <c r="T71" s="1"/>
  <c r="AT71"/>
  <c r="EE71"/>
  <c r="GL71"/>
  <c r="HL71"/>
  <c r="FH86"/>
  <c r="FH88"/>
  <c r="AV90"/>
  <c r="FH90"/>
  <c r="N91"/>
  <c r="CE91"/>
  <c r="S93"/>
  <c r="EE93"/>
  <c r="S95"/>
  <c r="EE95"/>
  <c r="IQ95"/>
  <c r="S97"/>
  <c r="IQ97"/>
  <c r="Q100"/>
  <c r="AU100"/>
  <c r="EE100"/>
  <c r="GK100"/>
  <c r="HN100"/>
  <c r="IQ100"/>
  <c r="BT101"/>
  <c r="CW101"/>
  <c r="DA103"/>
  <c r="ED103"/>
  <c r="FG103"/>
  <c r="GJ103"/>
  <c r="IP103"/>
  <c r="Q104"/>
  <c r="AU104"/>
  <c r="EN104"/>
  <c r="GK104"/>
  <c r="S107"/>
  <c r="AU107"/>
  <c r="CE107"/>
  <c r="FG107"/>
  <c r="DH108"/>
  <c r="GJ108"/>
  <c r="IP110"/>
  <c r="S111"/>
  <c r="CE111"/>
  <c r="FG111"/>
  <c r="BX112"/>
  <c r="DH112"/>
  <c r="GJ112"/>
  <c r="HM113"/>
  <c r="IP114"/>
  <c r="S115"/>
  <c r="CE115"/>
  <c r="FG115"/>
  <c r="IP71"/>
  <c r="IL71"/>
  <c r="DA91"/>
  <c r="CW91"/>
  <c r="HM91"/>
  <c r="HI91"/>
  <c r="EA100"/>
  <c r="GG100"/>
  <c r="HJ100"/>
  <c r="IM100"/>
  <c r="R103"/>
  <c r="N103"/>
  <c r="ED104"/>
  <c r="DZ104"/>
  <c r="IP104"/>
  <c r="IL104"/>
  <c r="AR105"/>
  <c r="AS105"/>
  <c r="FD105"/>
  <c r="FE105"/>
  <c r="Q109"/>
  <c r="R109"/>
  <c r="N109"/>
  <c r="Q113"/>
  <c r="R113"/>
  <c r="N113"/>
  <c r="O142"/>
  <c r="P142"/>
  <c r="O145"/>
  <c r="V145" s="1"/>
  <c r="P145"/>
  <c r="S11"/>
  <c r="T11" s="1"/>
  <c r="BV11"/>
  <c r="EB11"/>
  <c r="FE11"/>
  <c r="HK11"/>
  <c r="IN11"/>
  <c r="S12"/>
  <c r="BV12"/>
  <c r="CY12"/>
  <c r="HK12"/>
  <c r="IN12"/>
  <c r="S13"/>
  <c r="T13" s="1"/>
  <c r="BV13"/>
  <c r="CY13"/>
  <c r="EB13"/>
  <c r="FE13"/>
  <c r="P14"/>
  <c r="AQ14"/>
  <c r="AU14"/>
  <c r="AW14" s="1"/>
  <c r="BY14"/>
  <c r="BZ14" s="1"/>
  <c r="CY14"/>
  <c r="FC14"/>
  <c r="FG14"/>
  <c r="AV15"/>
  <c r="AW15" s="1"/>
  <c r="DZ15"/>
  <c r="FH15"/>
  <c r="FI15" s="1"/>
  <c r="GH15"/>
  <c r="Q16"/>
  <c r="AQ16"/>
  <c r="BT16"/>
  <c r="CW16"/>
  <c r="FC16"/>
  <c r="HI16"/>
  <c r="Q17"/>
  <c r="AQ17"/>
  <c r="BT17"/>
  <c r="CW17"/>
  <c r="DZ17"/>
  <c r="FC17"/>
  <c r="N18"/>
  <c r="R18"/>
  <c r="CW18"/>
  <c r="DA18"/>
  <c r="EE18"/>
  <c r="EF18" s="1"/>
  <c r="FE18"/>
  <c r="IQ18"/>
  <c r="IR18" s="1"/>
  <c r="N19"/>
  <c r="AV19"/>
  <c r="DB19"/>
  <c r="FH19"/>
  <c r="GK19"/>
  <c r="IQ19"/>
  <c r="Q21"/>
  <c r="AQ21"/>
  <c r="CW21"/>
  <c r="FC21"/>
  <c r="HI21"/>
  <c r="IL21"/>
  <c r="S31"/>
  <c r="T31" s="1"/>
  <c r="AS31"/>
  <c r="FE31"/>
  <c r="GH31"/>
  <c r="HK31"/>
  <c r="IN31"/>
  <c r="N41"/>
  <c r="S41"/>
  <c r="BV41"/>
  <c r="IO41"/>
  <c r="S42"/>
  <c r="IQ42"/>
  <c r="AS51"/>
  <c r="CH51"/>
  <c r="FE51"/>
  <c r="IR51"/>
  <c r="HN58"/>
  <c r="GK60"/>
  <c r="N61"/>
  <c r="CE61"/>
  <c r="FH63"/>
  <c r="DB65"/>
  <c r="HN65"/>
  <c r="AV67"/>
  <c r="DB69"/>
  <c r="AU71"/>
  <c r="HM71"/>
  <c r="DB79"/>
  <c r="ED81"/>
  <c r="GJ81"/>
  <c r="HM81"/>
  <c r="IP81"/>
  <c r="S82"/>
  <c r="EE82"/>
  <c r="IQ82"/>
  <c r="S84"/>
  <c r="EE84"/>
  <c r="IQ84"/>
  <c r="S86"/>
  <c r="IQ86"/>
  <c r="S88"/>
  <c r="IQ88"/>
  <c r="S90"/>
  <c r="IQ90"/>
  <c r="DB93"/>
  <c r="HN93"/>
  <c r="HN95"/>
  <c r="HN97"/>
  <c r="DA102"/>
  <c r="FG102"/>
  <c r="GJ102"/>
  <c r="HM102"/>
  <c r="IP102"/>
  <c r="Q103"/>
  <c r="EK105"/>
  <c r="CE41"/>
  <c r="BE41"/>
  <c r="DA41"/>
  <c r="CW41"/>
  <c r="GJ51"/>
  <c r="GF51"/>
  <c r="DH71"/>
  <c r="CH71"/>
  <c r="R81"/>
  <c r="N81"/>
  <c r="IP91"/>
  <c r="IL91"/>
  <c r="AR100"/>
  <c r="R102"/>
  <c r="N102"/>
  <c r="GG103"/>
  <c r="AR104"/>
  <c r="Q105"/>
  <c r="R105"/>
  <c r="N105"/>
  <c r="S105"/>
  <c r="HL105"/>
  <c r="HM105"/>
  <c r="HI105"/>
  <c r="HN105"/>
  <c r="Q108"/>
  <c r="R108"/>
  <c r="N108"/>
  <c r="Q112"/>
  <c r="R112"/>
  <c r="N112"/>
  <c r="DH117"/>
  <c r="CH117"/>
  <c r="DH119"/>
  <c r="CH119"/>
  <c r="DH121"/>
  <c r="CH121"/>
  <c r="DH123"/>
  <c r="CH123"/>
  <c r="DH125"/>
  <c r="CH125"/>
  <c r="DH128"/>
  <c r="CH128"/>
  <c r="DH130"/>
  <c r="CH130"/>
  <c r="DH132"/>
  <c r="CH132"/>
  <c r="P347"/>
  <c r="P347" i="39" s="1"/>
  <c r="FL303" i="77"/>
  <c r="W303" i="71" s="1"/>
  <c r="FI305" i="77"/>
  <c r="T305" i="71" s="1"/>
  <c r="N11" i="77"/>
  <c r="N12"/>
  <c r="N13"/>
  <c r="BT14"/>
  <c r="AQ15"/>
  <c r="FC15"/>
  <c r="CH18"/>
  <c r="DZ18"/>
  <c r="IL18"/>
  <c r="AQ19"/>
  <c r="CW19"/>
  <c r="FC19"/>
  <c r="GF19"/>
  <c r="IL19"/>
  <c r="N31"/>
  <c r="Q41"/>
  <c r="CZ41"/>
  <c r="FD41"/>
  <c r="GH41"/>
  <c r="IN41"/>
  <c r="BY42"/>
  <c r="N51"/>
  <c r="DZ51"/>
  <c r="EE51"/>
  <c r="GI51"/>
  <c r="HI51"/>
  <c r="IM51"/>
  <c r="AV58"/>
  <c r="S60"/>
  <c r="IQ60"/>
  <c r="R61"/>
  <c r="IQ63"/>
  <c r="BY65"/>
  <c r="S67"/>
  <c r="EE67"/>
  <c r="IQ67"/>
  <c r="BY69"/>
  <c r="GK69"/>
  <c r="N71"/>
  <c r="IQ71"/>
  <c r="GK79"/>
  <c r="Q81"/>
  <c r="AU81"/>
  <c r="EE81"/>
  <c r="GK81"/>
  <c r="HN81"/>
  <c r="IQ81"/>
  <c r="HN82"/>
  <c r="HN84"/>
  <c r="R91"/>
  <c r="T91" s="1"/>
  <c r="BX101"/>
  <c r="DA101"/>
  <c r="FG101"/>
  <c r="HM101"/>
  <c r="IP101"/>
  <c r="Q102"/>
  <c r="DB102"/>
  <c r="FH102"/>
  <c r="GK102"/>
  <c r="HN102"/>
  <c r="IQ102"/>
  <c r="CW103"/>
  <c r="DZ103"/>
  <c r="FC103"/>
  <c r="EE104"/>
  <c r="IQ104"/>
  <c r="DH106"/>
  <c r="S109"/>
  <c r="CE109"/>
  <c r="DH110"/>
  <c r="S113"/>
  <c r="CE113"/>
  <c r="DH114"/>
  <c r="HM41"/>
  <c r="HI41"/>
  <c r="AR71"/>
  <c r="ED71"/>
  <c r="DZ71"/>
  <c r="HJ71"/>
  <c r="EA81"/>
  <c r="GG81"/>
  <c r="IM81"/>
  <c r="FG91"/>
  <c r="FC91"/>
  <c r="R101"/>
  <c r="N101"/>
  <c r="GJ104"/>
  <c r="GF104"/>
  <c r="IP105"/>
  <c r="IL105"/>
  <c r="IQ105"/>
  <c r="Q107"/>
  <c r="R107"/>
  <c r="N107"/>
  <c r="Q111"/>
  <c r="R111"/>
  <c r="N111"/>
  <c r="Q115"/>
  <c r="R115"/>
  <c r="N115"/>
  <c r="HL41"/>
  <c r="ED100"/>
  <c r="GJ100"/>
  <c r="HM100"/>
  <c r="IP100"/>
  <c r="Q101"/>
  <c r="CW102"/>
  <c r="FC102"/>
  <c r="GF102"/>
  <c r="HI102"/>
  <c r="IL102"/>
  <c r="CH103"/>
  <c r="DK103"/>
  <c r="EN103"/>
  <c r="FQ103"/>
  <c r="GT103"/>
  <c r="HW103"/>
  <c r="GL105"/>
  <c r="DA106"/>
  <c r="HM106"/>
  <c r="IP107"/>
  <c r="AU108"/>
  <c r="FG108"/>
  <c r="BX109"/>
  <c r="GJ109"/>
  <c r="HM110"/>
  <c r="IP111"/>
  <c r="AU112"/>
  <c r="GJ113"/>
  <c r="HM114"/>
  <c r="IP115"/>
  <c r="R148"/>
  <c r="T148" s="1"/>
  <c r="N148"/>
  <c r="AU148"/>
  <c r="AV148"/>
  <c r="AQ148"/>
  <c r="ED148"/>
  <c r="EE148"/>
  <c r="DZ148"/>
  <c r="FE150"/>
  <c r="FD150"/>
  <c r="EB154"/>
  <c r="EA154"/>
  <c r="GH154"/>
  <c r="GG154"/>
  <c r="HK154"/>
  <c r="HJ154"/>
  <c r="IN154"/>
  <c r="IM154"/>
  <c r="FC155"/>
  <c r="S156"/>
  <c r="N156"/>
  <c r="Q156"/>
  <c r="AU157"/>
  <c r="AV157"/>
  <c r="AQ157"/>
  <c r="BV158"/>
  <c r="BU158"/>
  <c r="P166"/>
  <c r="O166"/>
  <c r="BT71"/>
  <c r="GF71"/>
  <c r="AT105"/>
  <c r="FF105"/>
  <c r="FI105" s="1"/>
  <c r="GF105"/>
  <c r="BE116"/>
  <c r="BE117"/>
  <c r="BE118"/>
  <c r="BE119"/>
  <c r="BE120"/>
  <c r="BE121"/>
  <c r="BE122"/>
  <c r="BE123"/>
  <c r="BE124"/>
  <c r="BE125"/>
  <c r="BE126"/>
  <c r="BE128"/>
  <c r="BE129"/>
  <c r="BE130"/>
  <c r="BE131"/>
  <c r="BE132"/>
  <c r="S133"/>
  <c r="N134"/>
  <c r="AQ134"/>
  <c r="AV134"/>
  <c r="BT134"/>
  <c r="BY134"/>
  <c r="CE134"/>
  <c r="FC134"/>
  <c r="FH134"/>
  <c r="HI134"/>
  <c r="HN134"/>
  <c r="IL134"/>
  <c r="IQ134"/>
  <c r="R135"/>
  <c r="T135" s="1"/>
  <c r="U135" s="1"/>
  <c r="AU135"/>
  <c r="BX135"/>
  <c r="FG135"/>
  <c r="GJ135"/>
  <c r="IP135"/>
  <c r="S137"/>
  <c r="N138"/>
  <c r="AQ138"/>
  <c r="AV138"/>
  <c r="CE138"/>
  <c r="DZ138"/>
  <c r="EE138"/>
  <c r="FC138"/>
  <c r="FH138"/>
  <c r="GF138"/>
  <c r="GK138"/>
  <c r="IL138"/>
  <c r="IQ138"/>
  <c r="R139"/>
  <c r="T139" s="1"/>
  <c r="U139" s="1"/>
  <c r="AU139"/>
  <c r="BX139"/>
  <c r="FG139"/>
  <c r="GJ139"/>
  <c r="IP139"/>
  <c r="GG140"/>
  <c r="HI140"/>
  <c r="IQ140"/>
  <c r="S141"/>
  <c r="T141" s="1"/>
  <c r="U141" s="1"/>
  <c r="CE141"/>
  <c r="DZ141"/>
  <c r="FH141"/>
  <c r="IL141"/>
  <c r="GF142"/>
  <c r="IP142"/>
  <c r="P143"/>
  <c r="Q144"/>
  <c r="BT144"/>
  <c r="GF144"/>
  <c r="HN144"/>
  <c r="CW145"/>
  <c r="EE145"/>
  <c r="HI145"/>
  <c r="Q146"/>
  <c r="DZ146"/>
  <c r="FH146"/>
  <c r="GF146"/>
  <c r="IL146"/>
  <c r="R147"/>
  <c r="HN147"/>
  <c r="HM147"/>
  <c r="DH149"/>
  <c r="FC149"/>
  <c r="HI149"/>
  <c r="AQ150"/>
  <c r="DH150"/>
  <c r="EE150"/>
  <c r="GK150"/>
  <c r="IQ150"/>
  <c r="FH151"/>
  <c r="FG151"/>
  <c r="CE153"/>
  <c r="DA148"/>
  <c r="DB148"/>
  <c r="CW148"/>
  <c r="HM148"/>
  <c r="HN148"/>
  <c r="HI148"/>
  <c r="BX149"/>
  <c r="GJ149"/>
  <c r="IP149"/>
  <c r="AS154"/>
  <c r="AR154"/>
  <c r="ED154"/>
  <c r="GJ154"/>
  <c r="HM154"/>
  <c r="IP154"/>
  <c r="R155"/>
  <c r="N155"/>
  <c r="Q155"/>
  <c r="BT155"/>
  <c r="EB156"/>
  <c r="EA156"/>
  <c r="GK156"/>
  <c r="GJ156"/>
  <c r="GF156"/>
  <c r="GI156"/>
  <c r="HK156"/>
  <c r="HJ156"/>
  <c r="AV106"/>
  <c r="DB106"/>
  <c r="FH106"/>
  <c r="GK106"/>
  <c r="HN106"/>
  <c r="AV107"/>
  <c r="FH107"/>
  <c r="GK107"/>
  <c r="HN107"/>
  <c r="IQ107"/>
  <c r="AV108"/>
  <c r="FH108"/>
  <c r="GK108"/>
  <c r="HN108"/>
  <c r="IQ108"/>
  <c r="AV109"/>
  <c r="BY109"/>
  <c r="FH109"/>
  <c r="GK109"/>
  <c r="IQ109"/>
  <c r="BY110"/>
  <c r="FH110"/>
  <c r="GK110"/>
  <c r="HN110"/>
  <c r="IQ110"/>
  <c r="BY111"/>
  <c r="FH111"/>
  <c r="GK111"/>
  <c r="HN111"/>
  <c r="IQ111"/>
  <c r="AV112"/>
  <c r="BY112"/>
  <c r="EE112"/>
  <c r="GK112"/>
  <c r="IQ112"/>
  <c r="AV113"/>
  <c r="FH113"/>
  <c r="GK113"/>
  <c r="HN113"/>
  <c r="IQ113"/>
  <c r="AV114"/>
  <c r="FH114"/>
  <c r="GK114"/>
  <c r="HN114"/>
  <c r="IQ114"/>
  <c r="DB115"/>
  <c r="FH115"/>
  <c r="GK115"/>
  <c r="HN115"/>
  <c r="IQ115"/>
  <c r="N116"/>
  <c r="R116"/>
  <c r="T116" s="1"/>
  <c r="DB116"/>
  <c r="FH116"/>
  <c r="GK116"/>
  <c r="HN116"/>
  <c r="IQ116"/>
  <c r="N117"/>
  <c r="R117"/>
  <c r="T117" s="1"/>
  <c r="BY117"/>
  <c r="FH117"/>
  <c r="GK117"/>
  <c r="HN117"/>
  <c r="IQ117"/>
  <c r="N118"/>
  <c r="R118"/>
  <c r="T118" s="1"/>
  <c r="BY118"/>
  <c r="DB118"/>
  <c r="FH118"/>
  <c r="HN118"/>
  <c r="IQ118"/>
  <c r="N119"/>
  <c r="R119"/>
  <c r="T119" s="1"/>
  <c r="DB119"/>
  <c r="FH119"/>
  <c r="GK119"/>
  <c r="HN119"/>
  <c r="IQ119"/>
  <c r="N120"/>
  <c r="R120"/>
  <c r="T120" s="1"/>
  <c r="DB120"/>
  <c r="EE120"/>
  <c r="FH120"/>
  <c r="GK120"/>
  <c r="IQ120"/>
  <c r="N121"/>
  <c r="R121"/>
  <c r="T121" s="1"/>
  <c r="AV121"/>
  <c r="FH121"/>
  <c r="GK121"/>
  <c r="HN121"/>
  <c r="IQ121"/>
  <c r="N122"/>
  <c r="R122"/>
  <c r="BY122"/>
  <c r="DB122"/>
  <c r="FH122"/>
  <c r="HN122"/>
  <c r="IQ122"/>
  <c r="N123"/>
  <c r="R123"/>
  <c r="T123" s="1"/>
  <c r="BY123"/>
  <c r="FH123"/>
  <c r="GK123"/>
  <c r="HN123"/>
  <c r="IQ123"/>
  <c r="N124"/>
  <c r="R124"/>
  <c r="T124" s="1"/>
  <c r="N125"/>
  <c r="R125"/>
  <c r="T125" s="1"/>
  <c r="N126"/>
  <c r="R126"/>
  <c r="T126" s="1"/>
  <c r="N128"/>
  <c r="R128"/>
  <c r="T128" s="1"/>
  <c r="N129"/>
  <c r="R129"/>
  <c r="T129" s="1"/>
  <c r="N130"/>
  <c r="R130"/>
  <c r="N131"/>
  <c r="R131"/>
  <c r="T131" s="1"/>
  <c r="N132"/>
  <c r="R132"/>
  <c r="T132" s="1"/>
  <c r="N133"/>
  <c r="AQ133"/>
  <c r="AV133"/>
  <c r="CE133"/>
  <c r="FC133"/>
  <c r="FH133"/>
  <c r="GF133"/>
  <c r="GK133"/>
  <c r="HI133"/>
  <c r="HN133"/>
  <c r="IL133"/>
  <c r="IQ133"/>
  <c r="R134"/>
  <c r="T134" s="1"/>
  <c r="AU134"/>
  <c r="BX134"/>
  <c r="FG134"/>
  <c r="HM134"/>
  <c r="IP134"/>
  <c r="S136"/>
  <c r="N137"/>
  <c r="CE137"/>
  <c r="DZ137"/>
  <c r="EE137"/>
  <c r="FC137"/>
  <c r="FH137"/>
  <c r="GF137"/>
  <c r="GK137"/>
  <c r="HI137"/>
  <c r="HN137"/>
  <c r="IL137"/>
  <c r="IQ137"/>
  <c r="R138"/>
  <c r="AU138"/>
  <c r="ED138"/>
  <c r="FG138"/>
  <c r="GJ138"/>
  <c r="IP138"/>
  <c r="S140"/>
  <c r="T140" s="1"/>
  <c r="HN140"/>
  <c r="EE141"/>
  <c r="FG141"/>
  <c r="IQ141"/>
  <c r="Q142"/>
  <c r="FC142"/>
  <c r="P144"/>
  <c r="BY144"/>
  <c r="GK144"/>
  <c r="IM144"/>
  <c r="DB145"/>
  <c r="ED145"/>
  <c r="GF145"/>
  <c r="HN145"/>
  <c r="N146"/>
  <c r="CE146"/>
  <c r="FG146"/>
  <c r="Q147"/>
  <c r="BY147"/>
  <c r="BX147"/>
  <c r="GK147"/>
  <c r="GJ147"/>
  <c r="BU149"/>
  <c r="GG149"/>
  <c r="IM149"/>
  <c r="ED150"/>
  <c r="GJ150"/>
  <c r="IP150"/>
  <c r="N151"/>
  <c r="AV151"/>
  <c r="EE151"/>
  <c r="IQ151"/>
  <c r="BY143"/>
  <c r="BT143"/>
  <c r="FH143"/>
  <c r="FC143"/>
  <c r="GK143"/>
  <c r="GF143"/>
  <c r="IQ143"/>
  <c r="IL143"/>
  <c r="GJ148"/>
  <c r="GK148"/>
  <c r="GF148"/>
  <c r="EB150"/>
  <c r="EA150"/>
  <c r="GH150"/>
  <c r="GG150"/>
  <c r="IN150"/>
  <c r="IM150"/>
  <c r="R153"/>
  <c r="N153"/>
  <c r="AU154"/>
  <c r="CW155"/>
  <c r="HI155"/>
  <c r="CH156"/>
  <c r="DH156"/>
  <c r="DH158"/>
  <c r="CH158"/>
  <c r="FE158"/>
  <c r="FD158"/>
  <c r="GG158"/>
  <c r="HK158"/>
  <c r="HJ158"/>
  <c r="IN158"/>
  <c r="IM158"/>
  <c r="N159"/>
  <c r="Q159"/>
  <c r="R159"/>
  <c r="P160"/>
  <c r="O160"/>
  <c r="P163"/>
  <c r="O163"/>
  <c r="CH105"/>
  <c r="AQ106"/>
  <c r="CW106"/>
  <c r="FC106"/>
  <c r="GF106"/>
  <c r="HI106"/>
  <c r="AQ107"/>
  <c r="FC107"/>
  <c r="GF107"/>
  <c r="HI107"/>
  <c r="IL107"/>
  <c r="AQ108"/>
  <c r="FC108"/>
  <c r="GF108"/>
  <c r="HI108"/>
  <c r="IL108"/>
  <c r="AQ109"/>
  <c r="BT109"/>
  <c r="FC109"/>
  <c r="GF109"/>
  <c r="IL109"/>
  <c r="BT110"/>
  <c r="FC110"/>
  <c r="GF110"/>
  <c r="HI110"/>
  <c r="IL110"/>
  <c r="BT111"/>
  <c r="FC111"/>
  <c r="GF111"/>
  <c r="HI111"/>
  <c r="IL111"/>
  <c r="AQ112"/>
  <c r="BT112"/>
  <c r="DZ112"/>
  <c r="GF112"/>
  <c r="IL112"/>
  <c r="AQ113"/>
  <c r="FC113"/>
  <c r="GF113"/>
  <c r="HI113"/>
  <c r="IL113"/>
  <c r="AQ114"/>
  <c r="FC114"/>
  <c r="GF114"/>
  <c r="HI114"/>
  <c r="IL114"/>
  <c r="CW115"/>
  <c r="FC115"/>
  <c r="GF115"/>
  <c r="HI115"/>
  <c r="IL115"/>
  <c r="CW116"/>
  <c r="FC116"/>
  <c r="GF116"/>
  <c r="HI116"/>
  <c r="IL116"/>
  <c r="BT117"/>
  <c r="FC117"/>
  <c r="GF117"/>
  <c r="HI117"/>
  <c r="IL117"/>
  <c r="BT118"/>
  <c r="CW118"/>
  <c r="FC118"/>
  <c r="HI118"/>
  <c r="IL118"/>
  <c r="CW119"/>
  <c r="FC119"/>
  <c r="GF119"/>
  <c r="HI119"/>
  <c r="IL119"/>
  <c r="CW120"/>
  <c r="DZ120"/>
  <c r="FC120"/>
  <c r="GF120"/>
  <c r="IL120"/>
  <c r="AQ121"/>
  <c r="FC121"/>
  <c r="GF121"/>
  <c r="HI121"/>
  <c r="IL121"/>
  <c r="BT122"/>
  <c r="CW122"/>
  <c r="FC122"/>
  <c r="HI122"/>
  <c r="IL122"/>
  <c r="BT123"/>
  <c r="FC123"/>
  <c r="GF123"/>
  <c r="HI123"/>
  <c r="IL123"/>
  <c r="AQ124"/>
  <c r="AU124"/>
  <c r="BT124"/>
  <c r="BX124"/>
  <c r="DZ124"/>
  <c r="ED124"/>
  <c r="GF124"/>
  <c r="GJ124"/>
  <c r="IL124"/>
  <c r="IP124"/>
  <c r="AQ125"/>
  <c r="AU125"/>
  <c r="BT125"/>
  <c r="BX125"/>
  <c r="DZ125"/>
  <c r="ED125"/>
  <c r="GF125"/>
  <c r="GJ125"/>
  <c r="IL125"/>
  <c r="IP125"/>
  <c r="AQ126"/>
  <c r="AU126"/>
  <c r="FC126"/>
  <c r="FG126"/>
  <c r="GF126"/>
  <c r="GJ126"/>
  <c r="HI126"/>
  <c r="HM126"/>
  <c r="IL126"/>
  <c r="IP126"/>
  <c r="AQ128"/>
  <c r="AU128"/>
  <c r="DZ128"/>
  <c r="ED128"/>
  <c r="GF128"/>
  <c r="GJ128"/>
  <c r="HI128"/>
  <c r="HM128"/>
  <c r="IL128"/>
  <c r="IP128"/>
  <c r="AQ129"/>
  <c r="AU129"/>
  <c r="DZ129"/>
  <c r="ED129"/>
  <c r="GF129"/>
  <c r="GJ129"/>
  <c r="HI129"/>
  <c r="HM129"/>
  <c r="IL129"/>
  <c r="IP129"/>
  <c r="BT130"/>
  <c r="BX130"/>
  <c r="FC130"/>
  <c r="FG130"/>
  <c r="GF130"/>
  <c r="GJ130"/>
  <c r="HI130"/>
  <c r="HM130"/>
  <c r="IL130"/>
  <c r="IP130"/>
  <c r="AQ131"/>
  <c r="AU131"/>
  <c r="DZ131"/>
  <c r="ED131"/>
  <c r="GF131"/>
  <c r="GJ131"/>
  <c r="HI131"/>
  <c r="HM131"/>
  <c r="IL131"/>
  <c r="IP131"/>
  <c r="AQ132"/>
  <c r="AU132"/>
  <c r="CW132"/>
  <c r="DB132"/>
  <c r="FC132"/>
  <c r="FH132"/>
  <c r="GF132"/>
  <c r="GK132"/>
  <c r="HI132"/>
  <c r="HN132"/>
  <c r="R133"/>
  <c r="P135"/>
  <c r="AR135"/>
  <c r="BU135"/>
  <c r="FD135"/>
  <c r="GG135"/>
  <c r="IM135"/>
  <c r="N136"/>
  <c r="BT136"/>
  <c r="BY136"/>
  <c r="CE136"/>
  <c r="FC136"/>
  <c r="FH136"/>
  <c r="GF136"/>
  <c r="GK136"/>
  <c r="HI136"/>
  <c r="HN136"/>
  <c r="IL136"/>
  <c r="IQ136"/>
  <c r="R137"/>
  <c r="P139"/>
  <c r="BU139"/>
  <c r="FD139"/>
  <c r="GG139"/>
  <c r="IM139"/>
  <c r="N140"/>
  <c r="AQ140"/>
  <c r="AV140"/>
  <c r="BT140"/>
  <c r="BY140"/>
  <c r="CE140"/>
  <c r="IM140"/>
  <c r="BT141"/>
  <c r="ED141"/>
  <c r="FD141"/>
  <c r="GF141"/>
  <c r="IP141"/>
  <c r="CE142"/>
  <c r="IL142"/>
  <c r="R143"/>
  <c r="CE144"/>
  <c r="HJ144"/>
  <c r="AQ145"/>
  <c r="DA145"/>
  <c r="DH145"/>
  <c r="EA145"/>
  <c r="HM145"/>
  <c r="FC146"/>
  <c r="CY142"/>
  <c r="CX142"/>
  <c r="HK142"/>
  <c r="HJ142"/>
  <c r="AV143"/>
  <c r="AQ143"/>
  <c r="BV146"/>
  <c r="O147"/>
  <c r="FG149"/>
  <c r="HM149"/>
  <c r="O150"/>
  <c r="P150"/>
  <c r="CY153"/>
  <c r="CX153"/>
  <c r="FE153"/>
  <c r="FD153"/>
  <c r="GH153"/>
  <c r="GG153"/>
  <c r="HK153"/>
  <c r="HJ153"/>
  <c r="IN153"/>
  <c r="IM153"/>
  <c r="IL155"/>
  <c r="P158"/>
  <c r="O158"/>
  <c r="BX159"/>
  <c r="BY159"/>
  <c r="BT159"/>
  <c r="O162"/>
  <c r="O164"/>
  <c r="P167"/>
  <c r="O167"/>
  <c r="CE135"/>
  <c r="CE139"/>
  <c r="S153"/>
  <c r="Q153"/>
  <c r="P157"/>
  <c r="O157"/>
  <c r="DH159"/>
  <c r="CH159"/>
  <c r="P161"/>
  <c r="O161"/>
  <c r="DH163"/>
  <c r="CH163"/>
  <c r="P165"/>
  <c r="O165"/>
  <c r="DH167"/>
  <c r="CH167"/>
  <c r="GH167"/>
  <c r="HK167"/>
  <c r="R168"/>
  <c r="N168"/>
  <c r="DH168"/>
  <c r="CH168"/>
  <c r="DK181"/>
  <c r="EK181"/>
  <c r="IM183"/>
  <c r="IN183"/>
  <c r="O185"/>
  <c r="IM185"/>
  <c r="IN185"/>
  <c r="DZ159"/>
  <c r="FC159"/>
  <c r="GF159"/>
  <c r="HI159"/>
  <c r="AQ161"/>
  <c r="T162"/>
  <c r="U162" s="1"/>
  <c r="R163"/>
  <c r="CW163"/>
  <c r="FC163"/>
  <c r="GF163"/>
  <c r="T166"/>
  <c r="U166" s="1"/>
  <c r="R167"/>
  <c r="CW167"/>
  <c r="FC167"/>
  <c r="R154"/>
  <c r="N154"/>
  <c r="AU156"/>
  <c r="AQ156"/>
  <c r="AT156"/>
  <c r="IN156"/>
  <c r="DH160"/>
  <c r="CH160"/>
  <c r="DH164"/>
  <c r="CH164"/>
  <c r="FD168"/>
  <c r="FE168"/>
  <c r="GG168"/>
  <c r="GH168"/>
  <c r="HJ168"/>
  <c r="HK168"/>
  <c r="IM168"/>
  <c r="IN168"/>
  <c r="O169"/>
  <c r="P169"/>
  <c r="AU169"/>
  <c r="AQ169"/>
  <c r="AV169"/>
  <c r="FG169"/>
  <c r="FC169"/>
  <c r="FH169"/>
  <c r="O170"/>
  <c r="P170"/>
  <c r="FG170"/>
  <c r="FC170"/>
  <c r="FH170"/>
  <c r="O171"/>
  <c r="P171"/>
  <c r="AU171"/>
  <c r="AQ171"/>
  <c r="AV171"/>
  <c r="FG171"/>
  <c r="FC171"/>
  <c r="FH171"/>
  <c r="O172"/>
  <c r="P172"/>
  <c r="AU172"/>
  <c r="AQ172"/>
  <c r="AV172"/>
  <c r="FG172"/>
  <c r="FC172"/>
  <c r="FH172"/>
  <c r="O173"/>
  <c r="P173"/>
  <c r="FG173"/>
  <c r="FC173"/>
  <c r="FH173"/>
  <c r="O174"/>
  <c r="P174"/>
  <c r="AU174"/>
  <c r="AQ174"/>
  <c r="AV174"/>
  <c r="FQ175"/>
  <c r="GQ175"/>
  <c r="S147"/>
  <c r="CE148"/>
  <c r="S151"/>
  <c r="T151" s="1"/>
  <c r="S155"/>
  <c r="BY155"/>
  <c r="CE155"/>
  <c r="DB155"/>
  <c r="FH155"/>
  <c r="HN155"/>
  <c r="IQ155"/>
  <c r="AV156"/>
  <c r="BX158"/>
  <c r="S159"/>
  <c r="EE159"/>
  <c r="FH159"/>
  <c r="GK159"/>
  <c r="HN159"/>
  <c r="R160"/>
  <c r="FC160"/>
  <c r="GF160"/>
  <c r="HI160"/>
  <c r="IL160"/>
  <c r="AV161"/>
  <c r="AQ162"/>
  <c r="S163"/>
  <c r="Q163"/>
  <c r="DB163"/>
  <c r="FH163"/>
  <c r="GK163"/>
  <c r="IQ163"/>
  <c r="R164"/>
  <c r="BT164"/>
  <c r="CW164"/>
  <c r="FC164"/>
  <c r="GF164"/>
  <c r="IL164"/>
  <c r="DA166"/>
  <c r="S167"/>
  <c r="Q167"/>
  <c r="DB167"/>
  <c r="FH167"/>
  <c r="GK167"/>
  <c r="HN167"/>
  <c r="FG156"/>
  <c r="FC156"/>
  <c r="FF156"/>
  <c r="DH157"/>
  <c r="CH157"/>
  <c r="DH161"/>
  <c r="CH161"/>
  <c r="IN161"/>
  <c r="DH165"/>
  <c r="CH165"/>
  <c r="HK165"/>
  <c r="IN165"/>
  <c r="FN170"/>
  <c r="EN170"/>
  <c r="FN173"/>
  <c r="EN173"/>
  <c r="S142"/>
  <c r="CE143"/>
  <c r="S146"/>
  <c r="BT147"/>
  <c r="CE147"/>
  <c r="FC147"/>
  <c r="GF147"/>
  <c r="HI147"/>
  <c r="IL147"/>
  <c r="S150"/>
  <c r="T150" s="1"/>
  <c r="U150" s="1"/>
  <c r="AQ151"/>
  <c r="CE151"/>
  <c r="DZ151"/>
  <c r="FC151"/>
  <c r="GF151"/>
  <c r="IL151"/>
  <c r="S154"/>
  <c r="Q154"/>
  <c r="AV154"/>
  <c r="CE154"/>
  <c r="EE154"/>
  <c r="GK154"/>
  <c r="HN154"/>
  <c r="IQ154"/>
  <c r="FH156"/>
  <c r="HM156"/>
  <c r="HO156" s="1"/>
  <c r="HP156" s="1"/>
  <c r="DZ157"/>
  <c r="FC157"/>
  <c r="GF157"/>
  <c r="HI157"/>
  <c r="ED159"/>
  <c r="FG159"/>
  <c r="GJ159"/>
  <c r="HM159"/>
  <c r="S160"/>
  <c r="Q160"/>
  <c r="FH160"/>
  <c r="GK160"/>
  <c r="HN160"/>
  <c r="IQ160"/>
  <c r="AU161"/>
  <c r="DZ161"/>
  <c r="GF161"/>
  <c r="HI161"/>
  <c r="AV162"/>
  <c r="AQ163"/>
  <c r="DA163"/>
  <c r="FG163"/>
  <c r="GJ163"/>
  <c r="IP163"/>
  <c r="S164"/>
  <c r="Q164"/>
  <c r="BY164"/>
  <c r="DB164"/>
  <c r="FH164"/>
  <c r="GK164"/>
  <c r="IQ164"/>
  <c r="CW165"/>
  <c r="FC165"/>
  <c r="GF165"/>
  <c r="AQ167"/>
  <c r="DA167"/>
  <c r="FG167"/>
  <c r="GJ167"/>
  <c r="HM167"/>
  <c r="S168"/>
  <c r="AS160"/>
  <c r="DH162"/>
  <c r="CH162"/>
  <c r="EB162"/>
  <c r="FE162"/>
  <c r="GH162"/>
  <c r="IN162"/>
  <c r="DH166"/>
  <c r="CH166"/>
  <c r="CY166"/>
  <c r="FE166"/>
  <c r="GH166"/>
  <c r="HK166"/>
  <c r="IN166"/>
  <c r="AR168"/>
  <c r="AS168"/>
  <c r="EA183"/>
  <c r="EB183"/>
  <c r="T161"/>
  <c r="U161" s="1"/>
  <c r="BX164"/>
  <c r="DA164"/>
  <c r="T165"/>
  <c r="U165" s="1"/>
  <c r="HJ167"/>
  <c r="Q168"/>
  <c r="HM169"/>
  <c r="HI169"/>
  <c r="HM170"/>
  <c r="HI170"/>
  <c r="HM171"/>
  <c r="HI171"/>
  <c r="DA172"/>
  <c r="CW172"/>
  <c r="HM172"/>
  <c r="HI172"/>
  <c r="HM173"/>
  <c r="HI173"/>
  <c r="HM174"/>
  <c r="HI174"/>
  <c r="DA176"/>
  <c r="CW176"/>
  <c r="HM176"/>
  <c r="HI176"/>
  <c r="DA177"/>
  <c r="CW177"/>
  <c r="HM177"/>
  <c r="HI177"/>
  <c r="HM178"/>
  <c r="HI178"/>
  <c r="DA179"/>
  <c r="CW179"/>
  <c r="HM179"/>
  <c r="HI179"/>
  <c r="HM180"/>
  <c r="HI180"/>
  <c r="HM181"/>
  <c r="HI181"/>
  <c r="DB182"/>
  <c r="CW182"/>
  <c r="FH182"/>
  <c r="FC182"/>
  <c r="GK182"/>
  <c r="GF182"/>
  <c r="HN182"/>
  <c r="HI182"/>
  <c r="IQ182"/>
  <c r="IL182"/>
  <c r="DA183"/>
  <c r="AU184"/>
  <c r="S186"/>
  <c r="N186"/>
  <c r="HM187"/>
  <c r="HN187"/>
  <c r="HI187"/>
  <c r="DH188"/>
  <c r="CH188"/>
  <c r="BX188"/>
  <c r="P191"/>
  <c r="P175"/>
  <c r="EN175"/>
  <c r="FH175"/>
  <c r="P176"/>
  <c r="FH176"/>
  <c r="P177"/>
  <c r="AV177"/>
  <c r="P178"/>
  <c r="AV178"/>
  <c r="FH178"/>
  <c r="P179"/>
  <c r="FH179"/>
  <c r="FH180"/>
  <c r="P181"/>
  <c r="FH181"/>
  <c r="P182"/>
  <c r="N183"/>
  <c r="GH183"/>
  <c r="R184"/>
  <c r="FC184"/>
  <c r="FQ184"/>
  <c r="GK184"/>
  <c r="S185"/>
  <c r="CW185"/>
  <c r="DK185"/>
  <c r="FG185"/>
  <c r="HI185"/>
  <c r="HW185"/>
  <c r="IQ185"/>
  <c r="Q186"/>
  <c r="IP169"/>
  <c r="IL169"/>
  <c r="IP170"/>
  <c r="IL170"/>
  <c r="IP171"/>
  <c r="IL171"/>
  <c r="IP172"/>
  <c r="IL172"/>
  <c r="IP173"/>
  <c r="IL173"/>
  <c r="ED174"/>
  <c r="DZ174"/>
  <c r="IP174"/>
  <c r="IL174"/>
  <c r="ED175"/>
  <c r="DZ175"/>
  <c r="IP175"/>
  <c r="IL175"/>
  <c r="IP176"/>
  <c r="IL176"/>
  <c r="IP177"/>
  <c r="IL177"/>
  <c r="IP178"/>
  <c r="IL178"/>
  <c r="IP180"/>
  <c r="IL180"/>
  <c r="IP181"/>
  <c r="IL181"/>
  <c r="GJ183"/>
  <c r="IN184"/>
  <c r="GG185"/>
  <c r="AR186"/>
  <c r="R187"/>
  <c r="S187"/>
  <c r="N187"/>
  <c r="BX187"/>
  <c r="BY187"/>
  <c r="BT187"/>
  <c r="GJ187"/>
  <c r="GK187"/>
  <c r="GF187"/>
  <c r="Q188"/>
  <c r="R188"/>
  <c r="BV188"/>
  <c r="O193"/>
  <c r="P195"/>
  <c r="AV168"/>
  <c r="FH168"/>
  <c r="GK168"/>
  <c r="HN168"/>
  <c r="IQ168"/>
  <c r="BY175"/>
  <c r="GK175"/>
  <c r="GK176"/>
  <c r="GK177"/>
  <c r="GK178"/>
  <c r="BY179"/>
  <c r="GK179"/>
  <c r="BY180"/>
  <c r="GK180"/>
  <c r="BY181"/>
  <c r="GK181"/>
  <c r="Q182"/>
  <c r="EN184"/>
  <c r="GJ184"/>
  <c r="DB185"/>
  <c r="HN185"/>
  <c r="IP185"/>
  <c r="Q187"/>
  <c r="FG175"/>
  <c r="FC175"/>
  <c r="FG176"/>
  <c r="FC176"/>
  <c r="AU177"/>
  <c r="AQ177"/>
  <c r="AU178"/>
  <c r="AQ178"/>
  <c r="FG178"/>
  <c r="FC178"/>
  <c r="FG179"/>
  <c r="FC179"/>
  <c r="FG180"/>
  <c r="FC180"/>
  <c r="FG181"/>
  <c r="FC181"/>
  <c r="DH183"/>
  <c r="CH183"/>
  <c r="FG183"/>
  <c r="HK184"/>
  <c r="FD185"/>
  <c r="DB186"/>
  <c r="CW186"/>
  <c r="FH186"/>
  <c r="FC186"/>
  <c r="GK186"/>
  <c r="GF186"/>
  <c r="IQ186"/>
  <c r="IL186"/>
  <c r="GH189"/>
  <c r="GG189"/>
  <c r="HK189"/>
  <c r="HJ189"/>
  <c r="IN189"/>
  <c r="IM189"/>
  <c r="N190"/>
  <c r="Q190"/>
  <c r="R190"/>
  <c r="P194"/>
  <c r="O194"/>
  <c r="P197"/>
  <c r="O197"/>
  <c r="P199"/>
  <c r="O199"/>
  <c r="DK184"/>
  <c r="HW184"/>
  <c r="T185"/>
  <c r="U185" s="1"/>
  <c r="N188"/>
  <c r="GJ169"/>
  <c r="GF169"/>
  <c r="BX170"/>
  <c r="BT170"/>
  <c r="GJ170"/>
  <c r="GF170"/>
  <c r="GJ171"/>
  <c r="GF171"/>
  <c r="BX173"/>
  <c r="BT173"/>
  <c r="GJ173"/>
  <c r="GF173"/>
  <c r="GJ174"/>
  <c r="GF174"/>
  <c r="BX175"/>
  <c r="BT175"/>
  <c r="GJ175"/>
  <c r="GF175"/>
  <c r="GJ176"/>
  <c r="GF176"/>
  <c r="GJ177"/>
  <c r="GF177"/>
  <c r="GJ178"/>
  <c r="GF178"/>
  <c r="BX179"/>
  <c r="BT179"/>
  <c r="GJ179"/>
  <c r="GF179"/>
  <c r="BX180"/>
  <c r="BT180"/>
  <c r="GJ180"/>
  <c r="GF180"/>
  <c r="BX181"/>
  <c r="BT181"/>
  <c r="GJ181"/>
  <c r="GF181"/>
  <c r="ED183"/>
  <c r="IP183"/>
  <c r="ED187"/>
  <c r="EE187"/>
  <c r="DZ187"/>
  <c r="IP187"/>
  <c r="IQ187"/>
  <c r="IL187"/>
  <c r="CX188"/>
  <c r="FD188"/>
  <c r="FE188"/>
  <c r="GG188"/>
  <c r="IM188"/>
  <c r="IN188"/>
  <c r="S189"/>
  <c r="N189"/>
  <c r="Q189"/>
  <c r="BX190"/>
  <c r="BY190"/>
  <c r="BT190"/>
  <c r="P198"/>
  <c r="O198"/>
  <c r="R169"/>
  <c r="T169" s="1"/>
  <c r="U169" s="1"/>
  <c r="IQ169"/>
  <c r="R170"/>
  <c r="T170" s="1"/>
  <c r="U170" s="1"/>
  <c r="IQ170"/>
  <c r="R171"/>
  <c r="T171" s="1"/>
  <c r="U171" s="1"/>
  <c r="IQ171"/>
  <c r="R172"/>
  <c r="T172" s="1"/>
  <c r="U172" s="1"/>
  <c r="IQ172"/>
  <c r="R173"/>
  <c r="T173" s="1"/>
  <c r="U173" s="1"/>
  <c r="IQ173"/>
  <c r="R174"/>
  <c r="T174" s="1"/>
  <c r="U174" s="1"/>
  <c r="EE174"/>
  <c r="IQ174"/>
  <c r="R175"/>
  <c r="EE175"/>
  <c r="IQ175"/>
  <c r="R176"/>
  <c r="IQ176"/>
  <c r="R177"/>
  <c r="T177" s="1"/>
  <c r="U177" s="1"/>
  <c r="IQ177"/>
  <c r="R178"/>
  <c r="T178" s="1"/>
  <c r="U178" s="1"/>
  <c r="IQ178"/>
  <c r="R179"/>
  <c r="R180"/>
  <c r="IQ180"/>
  <c r="R181"/>
  <c r="T181" s="1"/>
  <c r="U181" s="1"/>
  <c r="IQ181"/>
  <c r="R182"/>
  <c r="DA182"/>
  <c r="FG182"/>
  <c r="GJ182"/>
  <c r="HM182"/>
  <c r="IP182"/>
  <c r="FC183"/>
  <c r="GK183"/>
  <c r="S184"/>
  <c r="CH184"/>
  <c r="GF184"/>
  <c r="GT184"/>
  <c r="EN185"/>
  <c r="R186"/>
  <c r="BY188"/>
  <c r="DH190"/>
  <c r="CH190"/>
  <c r="FE190"/>
  <c r="GH190"/>
  <c r="IN190"/>
  <c r="P192"/>
  <c r="O192"/>
  <c r="DH194"/>
  <c r="CH194"/>
  <c r="GH194"/>
  <c r="HK194"/>
  <c r="IN194"/>
  <c r="DH198"/>
  <c r="CH198"/>
  <c r="FE198"/>
  <c r="GH198"/>
  <c r="HK198"/>
  <c r="IN198"/>
  <c r="FG199"/>
  <c r="GJ199"/>
  <c r="GF199"/>
  <c r="CH210"/>
  <c r="DH210"/>
  <c r="O218"/>
  <c r="P218"/>
  <c r="AQ192"/>
  <c r="T193"/>
  <c r="U193" s="1"/>
  <c r="R194"/>
  <c r="CW194"/>
  <c r="N196"/>
  <c r="AQ196"/>
  <c r="R198"/>
  <c r="CW198"/>
  <c r="GK199"/>
  <c r="DH191"/>
  <c r="CH191"/>
  <c r="DH195"/>
  <c r="CH195"/>
  <c r="IN195"/>
  <c r="DH199"/>
  <c r="CH199"/>
  <c r="CH201"/>
  <c r="DH201"/>
  <c r="CH211"/>
  <c r="DH211"/>
  <c r="CH215"/>
  <c r="DH215"/>
  <c r="CH187"/>
  <c r="DK187"/>
  <c r="EN187"/>
  <c r="FQ187"/>
  <c r="GT187"/>
  <c r="HW187"/>
  <c r="S190"/>
  <c r="FH190"/>
  <c r="GK190"/>
  <c r="IQ190"/>
  <c r="R191"/>
  <c r="BT191"/>
  <c r="DZ191"/>
  <c r="FC191"/>
  <c r="GF191"/>
  <c r="IL191"/>
  <c r="AV192"/>
  <c r="BX193"/>
  <c r="DA193"/>
  <c r="FG193"/>
  <c r="S194"/>
  <c r="Q194"/>
  <c r="DB194"/>
  <c r="GK194"/>
  <c r="HN194"/>
  <c r="IQ194"/>
  <c r="R195"/>
  <c r="CW195"/>
  <c r="FC195"/>
  <c r="GF195"/>
  <c r="HI195"/>
  <c r="AQ197"/>
  <c r="FG197"/>
  <c r="GJ197"/>
  <c r="S198"/>
  <c r="Q198"/>
  <c r="DB198"/>
  <c r="FH198"/>
  <c r="GK198"/>
  <c r="HN198"/>
  <c r="IQ198"/>
  <c r="R199"/>
  <c r="DZ199"/>
  <c r="FC199"/>
  <c r="GQ189"/>
  <c r="FQ189"/>
  <c r="DH192"/>
  <c r="CH192"/>
  <c r="FE192"/>
  <c r="GH192"/>
  <c r="HK192"/>
  <c r="IN192"/>
  <c r="DH196"/>
  <c r="CH196"/>
  <c r="GH196"/>
  <c r="HK196"/>
  <c r="IN196"/>
  <c r="IP199"/>
  <c r="IL199"/>
  <c r="CH213"/>
  <c r="DH213"/>
  <c r="BT189"/>
  <c r="FC189"/>
  <c r="AQ190"/>
  <c r="FG190"/>
  <c r="GJ190"/>
  <c r="IP190"/>
  <c r="S191"/>
  <c r="Q191"/>
  <c r="BY191"/>
  <c r="EE191"/>
  <c r="FH191"/>
  <c r="GK191"/>
  <c r="IQ191"/>
  <c r="AU192"/>
  <c r="AQ194"/>
  <c r="DA194"/>
  <c r="GJ194"/>
  <c r="HM194"/>
  <c r="IP194"/>
  <c r="S195"/>
  <c r="Q195"/>
  <c r="DB195"/>
  <c r="FH195"/>
  <c r="GK195"/>
  <c r="HN195"/>
  <c r="IQ195"/>
  <c r="AU196"/>
  <c r="DZ196"/>
  <c r="DA198"/>
  <c r="FG198"/>
  <c r="GJ198"/>
  <c r="HM198"/>
  <c r="IP198"/>
  <c r="S199"/>
  <c r="Q199"/>
  <c r="EE199"/>
  <c r="IQ199"/>
  <c r="DH193"/>
  <c r="CH193"/>
  <c r="BV193"/>
  <c r="CY193"/>
  <c r="FE193"/>
  <c r="HK193"/>
  <c r="IN193"/>
  <c r="DH197"/>
  <c r="CH197"/>
  <c r="FE197"/>
  <c r="GH197"/>
  <c r="HK197"/>
  <c r="IN197"/>
  <c r="AS199"/>
  <c r="CH214"/>
  <c r="DH214"/>
  <c r="FD190"/>
  <c r="GG190"/>
  <c r="IM190"/>
  <c r="BX191"/>
  <c r="ED191"/>
  <c r="FG191"/>
  <c r="GJ191"/>
  <c r="T192"/>
  <c r="U192" s="1"/>
  <c r="GG194"/>
  <c r="HJ194"/>
  <c r="IM194"/>
  <c r="DA195"/>
  <c r="FG195"/>
  <c r="T196"/>
  <c r="FD198"/>
  <c r="GG198"/>
  <c r="HJ198"/>
  <c r="IM198"/>
  <c r="ED199"/>
  <c r="FH199"/>
  <c r="IP214"/>
  <c r="IL214"/>
  <c r="IP215"/>
  <c r="IL215"/>
  <c r="AU216"/>
  <c r="AQ216"/>
  <c r="FG216"/>
  <c r="FC216"/>
  <c r="GJ217"/>
  <c r="GF217"/>
  <c r="HM218"/>
  <c r="HI218"/>
  <c r="IP219"/>
  <c r="IL219"/>
  <c r="FG231"/>
  <c r="FC231"/>
  <c r="GG241"/>
  <c r="GH241"/>
  <c r="BE215"/>
  <c r="N217"/>
  <c r="CH221"/>
  <c r="DK221"/>
  <c r="EN221"/>
  <c r="FQ221"/>
  <c r="GT221"/>
  <c r="HW221"/>
  <c r="AV222"/>
  <c r="FH222"/>
  <c r="AV224"/>
  <c r="FH226"/>
  <c r="FH231"/>
  <c r="AV233"/>
  <c r="FG215"/>
  <c r="FC215"/>
  <c r="O216"/>
  <c r="GJ216"/>
  <c r="GF216"/>
  <c r="HM217"/>
  <c r="HI217"/>
  <c r="IP218"/>
  <c r="IL218"/>
  <c r="AU219"/>
  <c r="AQ219"/>
  <c r="FG219"/>
  <c r="FC219"/>
  <c r="BX231"/>
  <c r="BT231"/>
  <c r="GJ231"/>
  <c r="GF231"/>
  <c r="CX241"/>
  <c r="CY241"/>
  <c r="HK241"/>
  <c r="S201"/>
  <c r="S210"/>
  <c r="S211"/>
  <c r="S213"/>
  <c r="S214"/>
  <c r="R218"/>
  <c r="BX221"/>
  <c r="DA221"/>
  <c r="FG221"/>
  <c r="GJ221"/>
  <c r="IP221"/>
  <c r="S222"/>
  <c r="IQ222"/>
  <c r="S224"/>
  <c r="EE224"/>
  <c r="IQ224"/>
  <c r="S226"/>
  <c r="IQ226"/>
  <c r="HN228"/>
  <c r="BY231"/>
  <c r="GK231"/>
  <c r="HN233"/>
  <c r="GJ214"/>
  <c r="GF214"/>
  <c r="BX215"/>
  <c r="BT215"/>
  <c r="GJ215"/>
  <c r="GF215"/>
  <c r="DA216"/>
  <c r="CW216"/>
  <c r="HM216"/>
  <c r="HI216"/>
  <c r="ED217"/>
  <c r="DZ217"/>
  <c r="IP217"/>
  <c r="IL217"/>
  <c r="AU218"/>
  <c r="AQ218"/>
  <c r="FG218"/>
  <c r="FC218"/>
  <c r="O219"/>
  <c r="GJ219"/>
  <c r="GF219"/>
  <c r="R221"/>
  <c r="N221"/>
  <c r="O231"/>
  <c r="P231"/>
  <c r="DA231"/>
  <c r="CW231"/>
  <c r="HM231"/>
  <c r="HI231"/>
  <c r="IM241"/>
  <c r="IN241"/>
  <c r="N201"/>
  <c r="R201"/>
  <c r="DB201"/>
  <c r="FH201"/>
  <c r="GK201"/>
  <c r="HN201"/>
  <c r="IQ201"/>
  <c r="N210"/>
  <c r="R210"/>
  <c r="T210" s="1"/>
  <c r="BY210"/>
  <c r="DB210"/>
  <c r="FH210"/>
  <c r="GK210"/>
  <c r="IQ210"/>
  <c r="N211"/>
  <c r="R211"/>
  <c r="AV211"/>
  <c r="DB211"/>
  <c r="GK211"/>
  <c r="HN211"/>
  <c r="IQ211"/>
  <c r="N213"/>
  <c r="R213"/>
  <c r="BY213"/>
  <c r="DB213"/>
  <c r="FH213"/>
  <c r="HN213"/>
  <c r="IQ213"/>
  <c r="N214"/>
  <c r="R214"/>
  <c r="BY214"/>
  <c r="FG214"/>
  <c r="DH216"/>
  <c r="EK217"/>
  <c r="Q218"/>
  <c r="CE219"/>
  <c r="Q221"/>
  <c r="BY221"/>
  <c r="DB231"/>
  <c r="HN231"/>
  <c r="HM214"/>
  <c r="HI214"/>
  <c r="HM215"/>
  <c r="HI215"/>
  <c r="AU217"/>
  <c r="AQ217"/>
  <c r="GJ218"/>
  <c r="GF218"/>
  <c r="HM219"/>
  <c r="HI219"/>
  <c r="GG221"/>
  <c r="IM221"/>
  <c r="DH241"/>
  <c r="CH241"/>
  <c r="FD241"/>
  <c r="FE241"/>
  <c r="CW201"/>
  <c r="FC201"/>
  <c r="GF201"/>
  <c r="HI201"/>
  <c r="IL201"/>
  <c r="BT210"/>
  <c r="CW210"/>
  <c r="FC210"/>
  <c r="GF210"/>
  <c r="IL210"/>
  <c r="AQ211"/>
  <c r="CW211"/>
  <c r="GF211"/>
  <c r="HI211"/>
  <c r="IL211"/>
  <c r="BT213"/>
  <c r="CW213"/>
  <c r="FC213"/>
  <c r="HI213"/>
  <c r="IL213"/>
  <c r="BT214"/>
  <c r="FC214"/>
  <c r="FH214"/>
  <c r="P215"/>
  <c r="IQ215"/>
  <c r="AV216"/>
  <c r="FH216"/>
  <c r="Q217"/>
  <c r="GK217"/>
  <c r="CE218"/>
  <c r="HN218"/>
  <c r="IQ219"/>
  <c r="BT221"/>
  <c r="CW221"/>
  <c r="FC221"/>
  <c r="ED251"/>
  <c r="DZ251"/>
  <c r="IP251"/>
  <c r="IL251"/>
  <c r="DA261"/>
  <c r="CW261"/>
  <c r="HM261"/>
  <c r="HI261"/>
  <c r="S216"/>
  <c r="S217"/>
  <c r="S218"/>
  <c r="S219"/>
  <c r="N241"/>
  <c r="R241"/>
  <c r="S242"/>
  <c r="IQ242"/>
  <c r="FH244"/>
  <c r="AV248"/>
  <c r="Q251"/>
  <c r="DH251"/>
  <c r="BY253"/>
  <c r="GK253"/>
  <c r="S261"/>
  <c r="CE261"/>
  <c r="FH261"/>
  <c r="AU251"/>
  <c r="AQ251"/>
  <c r="FG251"/>
  <c r="FC251"/>
  <c r="IP261"/>
  <c r="IL261"/>
  <c r="CH281"/>
  <c r="DH281"/>
  <c r="CE231"/>
  <c r="Q241"/>
  <c r="DB241"/>
  <c r="FH241"/>
  <c r="GK241"/>
  <c r="HN241"/>
  <c r="IQ241"/>
  <c r="HN244"/>
  <c r="GK246"/>
  <c r="N251"/>
  <c r="S251"/>
  <c r="EE251"/>
  <c r="IQ251"/>
  <c r="BY261"/>
  <c r="GJ251"/>
  <c r="GF251"/>
  <c r="FG261"/>
  <c r="FC261"/>
  <c r="DH291"/>
  <c r="CH291"/>
  <c r="S246"/>
  <c r="IQ246"/>
  <c r="FH248"/>
  <c r="DB250"/>
  <c r="FH251"/>
  <c r="S253"/>
  <c r="EE253"/>
  <c r="IQ253"/>
  <c r="Q261"/>
  <c r="R261"/>
  <c r="N261"/>
  <c r="BX261"/>
  <c r="BT261"/>
  <c r="DH271"/>
  <c r="CH271"/>
  <c r="HM310"/>
  <c r="R310" i="73" s="1"/>
  <c r="HI310" i="77"/>
  <c r="N310" i="73" s="1"/>
  <c r="BY311" i="77"/>
  <c r="S311" i="68" s="1"/>
  <c r="BW311" i="77"/>
  <c r="Q311" i="68" s="1"/>
  <c r="BX311" i="77"/>
  <c r="R311" i="68" s="1"/>
  <c r="BT311" i="77"/>
  <c r="N311" i="68" s="1"/>
  <c r="DA311" i="77"/>
  <c r="R311" i="69" s="1"/>
  <c r="CW311" i="77"/>
  <c r="N311" i="69" s="1"/>
  <c r="DB311" i="77"/>
  <c r="S311" i="69" s="1"/>
  <c r="BX312" i="77"/>
  <c r="R312" i="68" s="1"/>
  <c r="BT312" i="77"/>
  <c r="N312" i="68" s="1"/>
  <c r="BW312" i="77"/>
  <c r="Q312" i="68" s="1"/>
  <c r="CZ312" i="77"/>
  <c r="Q312" i="69" s="1"/>
  <c r="DA312" i="77"/>
  <c r="R312" i="69" s="1"/>
  <c r="CW312" i="77"/>
  <c r="N312" i="69" s="1"/>
  <c r="IP312" i="77"/>
  <c r="R312" i="74" s="1"/>
  <c r="IL312" i="77"/>
  <c r="N312" i="74" s="1"/>
  <c r="AS271" i="77"/>
  <c r="FE271"/>
  <c r="HK271"/>
  <c r="P281"/>
  <c r="FE291"/>
  <c r="GJ291"/>
  <c r="HM291"/>
  <c r="IP291"/>
  <c r="HN293"/>
  <c r="GK295"/>
  <c r="DB298"/>
  <c r="S298" i="69" s="1"/>
  <c r="BY300" i="77"/>
  <c r="S300" i="68" s="1"/>
  <c r="Q301" i="77"/>
  <c r="AT301"/>
  <c r="BX301"/>
  <c r="R301" i="68" s="1"/>
  <c r="EE301" i="77"/>
  <c r="EF301" s="1"/>
  <c r="T301" i="70" s="1"/>
  <c r="GH301" i="77"/>
  <c r="P301" i="72" s="1"/>
  <c r="HN301" i="77"/>
  <c r="S301" i="73" s="1"/>
  <c r="IL301" i="77"/>
  <c r="N301" i="74" s="1"/>
  <c r="BY307" i="77"/>
  <c r="S307" i="68" s="1"/>
  <c r="GK307" i="77"/>
  <c r="S307" i="72" s="1"/>
  <c r="DB309" i="77"/>
  <c r="S309" i="69" s="1"/>
  <c r="FH310" i="77"/>
  <c r="S310" i="71" s="1"/>
  <c r="S312" i="77"/>
  <c r="S312" i="39" s="1"/>
  <c r="BY312" i="77"/>
  <c r="S312" i="68" s="1"/>
  <c r="T313" i="77"/>
  <c r="T313" i="39" s="1"/>
  <c r="GL318" i="77"/>
  <c r="GM318" s="1"/>
  <c r="U318" i="72" s="1"/>
  <c r="ED310" i="77"/>
  <c r="R310" i="70" s="1"/>
  <c r="DZ310" i="77"/>
  <c r="N310" i="70" s="1"/>
  <c r="IP310" i="77"/>
  <c r="R310" i="74" s="1"/>
  <c r="IL310" i="77"/>
  <c r="N310" i="74" s="1"/>
  <c r="GK311" i="77"/>
  <c r="S311" i="72" s="1"/>
  <c r="GI311" i="77"/>
  <c r="Q311" i="72" s="1"/>
  <c r="GJ311" i="77"/>
  <c r="R311" i="72" s="1"/>
  <c r="GF311" i="77"/>
  <c r="N311" i="72" s="1"/>
  <c r="AR312" i="77"/>
  <c r="O312" i="65" s="1"/>
  <c r="AS312" i="77"/>
  <c r="P312" i="65" s="1"/>
  <c r="GJ312" i="77"/>
  <c r="R312" i="72" s="1"/>
  <c r="GF312" i="77"/>
  <c r="N312" i="72" s="1"/>
  <c r="GI312" i="77"/>
  <c r="Q312" i="72" s="1"/>
  <c r="HL312" i="77"/>
  <c r="Q312" i="73" s="1"/>
  <c r="HM312" i="77"/>
  <c r="R312" i="73" s="1"/>
  <c r="HI312" i="77"/>
  <c r="N312" i="73" s="1"/>
  <c r="CX319" i="77"/>
  <c r="O319" i="69" s="1"/>
  <c r="CY319" i="77"/>
  <c r="P319" i="69" s="1"/>
  <c r="N271" i="77"/>
  <c r="R271"/>
  <c r="AR271"/>
  <c r="AV271"/>
  <c r="BY271"/>
  <c r="FD271"/>
  <c r="FH271"/>
  <c r="HJ271"/>
  <c r="HN271"/>
  <c r="IM271"/>
  <c r="IQ271"/>
  <c r="O281"/>
  <c r="S281"/>
  <c r="N291"/>
  <c r="R291"/>
  <c r="T291" s="1"/>
  <c r="BU291"/>
  <c r="BY291"/>
  <c r="FD291"/>
  <c r="FH291"/>
  <c r="P301"/>
  <c r="DB301"/>
  <c r="S301" i="69" s="1"/>
  <c r="DZ301" i="77"/>
  <c r="N301" i="70" s="1"/>
  <c r="FC301" i="77"/>
  <c r="N301" i="71" s="1"/>
  <c r="FH301" i="77"/>
  <c r="IP301"/>
  <c r="R301" i="74" s="1"/>
  <c r="DK310" i="77"/>
  <c r="AB310" i="69" s="1"/>
  <c r="IR311" i="77"/>
  <c r="GK312"/>
  <c r="S312" i="72" s="1"/>
  <c r="AV313" i="77"/>
  <c r="S313" i="65" s="1"/>
  <c r="HM301" i="77"/>
  <c r="HI301"/>
  <c r="N301" i="73" s="1"/>
  <c r="FG310" i="77"/>
  <c r="R310" i="71" s="1"/>
  <c r="FC310" i="77"/>
  <c r="N310" i="71" s="1"/>
  <c r="R311" i="77"/>
  <c r="R311" i="39" s="1"/>
  <c r="N311" i="77"/>
  <c r="N311" i="39" s="1"/>
  <c r="S311" i="77"/>
  <c r="S311" i="39" s="1"/>
  <c r="HM311" i="77"/>
  <c r="R311" i="73" s="1"/>
  <c r="HI311" i="77"/>
  <c r="N311" i="73" s="1"/>
  <c r="HN311" i="77"/>
  <c r="S311" i="73" s="1"/>
  <c r="R312" i="77"/>
  <c r="R312" i="39" s="1"/>
  <c r="N312" i="77"/>
  <c r="N312" i="39" s="1"/>
  <c r="FD312" i="77"/>
  <c r="O312" i="71" s="1"/>
  <c r="FE312" i="77"/>
  <c r="P312" i="71" s="1"/>
  <c r="AU313" i="77"/>
  <c r="R313" i="65" s="1"/>
  <c r="AQ313" i="77"/>
  <c r="N313" i="65" s="1"/>
  <c r="AV281" i="77"/>
  <c r="FH281"/>
  <c r="GK281"/>
  <c r="HN281"/>
  <c r="IQ281"/>
  <c r="DA301"/>
  <c r="R301" i="69" s="1"/>
  <c r="CW301" i="77"/>
  <c r="N301" i="69" s="1"/>
  <c r="Q310" i="77"/>
  <c r="Q310" i="39" s="1"/>
  <c r="R310" i="77"/>
  <c r="R310" i="39" s="1"/>
  <c r="N310" i="77"/>
  <c r="N310" i="39" s="1"/>
  <c r="GJ310" i="77"/>
  <c r="R310" i="72" s="1"/>
  <c r="GF310" i="77"/>
  <c r="N310" i="72" s="1"/>
  <c r="IM311" i="77"/>
  <c r="O311" i="74" s="1"/>
  <c r="IN311" i="77"/>
  <c r="P311" i="74" s="1"/>
  <c r="ED312" i="77"/>
  <c r="DZ312"/>
  <c r="N312" i="70" s="1"/>
  <c r="O313" i="77"/>
  <c r="P313"/>
  <c r="P313" i="39" s="1"/>
  <c r="AQ281" i="77"/>
  <c r="FC281"/>
  <c r="GF281"/>
  <c r="HI281"/>
  <c r="IL281"/>
  <c r="GF291"/>
  <c r="HI291"/>
  <c r="IL291"/>
  <c r="EE295"/>
  <c r="AV298"/>
  <c r="S298" i="65" s="1"/>
  <c r="S300" i="77"/>
  <c r="S300" i="39" s="1"/>
  <c r="IQ300" i="77"/>
  <c r="S300" i="74" s="1"/>
  <c r="BT301" i="77"/>
  <c r="N301" i="68" s="1"/>
  <c r="BY301" i="77"/>
  <c r="S301" i="68" s="1"/>
  <c r="GJ301" i="77"/>
  <c r="R301" i="72" s="1"/>
  <c r="IQ301" i="77"/>
  <c r="S301" i="74" s="1"/>
  <c r="DB307" i="77"/>
  <c r="S307" i="69" s="1"/>
  <c r="HN307" i="77"/>
  <c r="S307" i="73" s="1"/>
  <c r="FH309" i="77"/>
  <c r="S309" i="71" s="1"/>
  <c r="EE310" i="77"/>
  <c r="S310" i="70" s="1"/>
  <c r="IQ310" i="77"/>
  <c r="S310" i="74" s="1"/>
  <c r="CZ311" i="77"/>
  <c r="IO312"/>
  <c r="GJ319"/>
  <c r="R319" i="72" s="1"/>
  <c r="GF319" i="77"/>
  <c r="N319" i="72" s="1"/>
  <c r="IQ321" i="77"/>
  <c r="S321" i="74" s="1"/>
  <c r="IO321" i="77"/>
  <c r="Q321" i="74" s="1"/>
  <c r="CH371" i="77"/>
  <c r="DH371"/>
  <c r="FF311"/>
  <c r="BV313"/>
  <c r="CW313"/>
  <c r="N313" i="69" s="1"/>
  <c r="EB313" i="77"/>
  <c r="P313" i="70" s="1"/>
  <c r="FC313" i="77"/>
  <c r="N313" i="71" s="1"/>
  <c r="GH313" i="77"/>
  <c r="HI313"/>
  <c r="N313" i="73" s="1"/>
  <c r="P314" i="77"/>
  <c r="P314" i="39" s="1"/>
  <c r="CH314" i="77"/>
  <c r="AB314" i="68" s="1"/>
  <c r="P315" i="77"/>
  <c r="P315" i="39" s="1"/>
  <c r="AT315" i="77"/>
  <c r="Q315" i="65" s="1"/>
  <c r="BT315" i="77"/>
  <c r="N315" i="68" s="1"/>
  <c r="BX315" i="77"/>
  <c r="DB315"/>
  <c r="FF315"/>
  <c r="Q315" i="71" s="1"/>
  <c r="GF315" i="77"/>
  <c r="N315" i="72" s="1"/>
  <c r="GJ315" i="77"/>
  <c r="HN315"/>
  <c r="IN315"/>
  <c r="P315" i="74" s="1"/>
  <c r="P316" i="77"/>
  <c r="P316" i="39" s="1"/>
  <c r="CH316" i="77"/>
  <c r="AB316" i="68" s="1"/>
  <c r="CH317" i="77"/>
  <c r="AB317" i="68" s="1"/>
  <c r="DB318" i="77"/>
  <c r="S318" i="69" s="1"/>
  <c r="N319" i="77"/>
  <c r="N319" i="39" s="1"/>
  <c r="S319" i="77"/>
  <c r="S319" i="39" s="1"/>
  <c r="DA319" i="77"/>
  <c r="R319" i="69" s="1"/>
  <c r="ED319" i="77"/>
  <c r="FC319"/>
  <c r="N319" i="71" s="1"/>
  <c r="HL319" i="77"/>
  <c r="Q319" i="73" s="1"/>
  <c r="IO319" i="77"/>
  <c r="Q319" i="74" s="1"/>
  <c r="Q321" i="77"/>
  <c r="Q321" i="39" s="1"/>
  <c r="IP321" i="77"/>
  <c r="R321" i="74" s="1"/>
  <c r="S323" i="77"/>
  <c r="S323" i="39" s="1"/>
  <c r="EE323" i="77"/>
  <c r="S323" i="70" s="1"/>
  <c r="BX319" i="77"/>
  <c r="R319" i="68" s="1"/>
  <c r="BT319" i="77"/>
  <c r="N319" i="68" s="1"/>
  <c r="BU321" i="77"/>
  <c r="O321" i="68" s="1"/>
  <c r="GI321" i="77"/>
  <c r="Q321" i="72" s="1"/>
  <c r="GK321" i="77"/>
  <c r="S321" i="72" s="1"/>
  <c r="DK331" i="77"/>
  <c r="AB331" i="69" s="1"/>
  <c r="AV312" i="77"/>
  <c r="FH312"/>
  <c r="AT313"/>
  <c r="BU313"/>
  <c r="CZ313"/>
  <c r="EA313"/>
  <c r="O313" i="70" s="1"/>
  <c r="FF313" i="77"/>
  <c r="GG313"/>
  <c r="HL313"/>
  <c r="IM313"/>
  <c r="O314"/>
  <c r="O314" i="39" s="1"/>
  <c r="S314" i="77"/>
  <c r="O315"/>
  <c r="O315" i="39" s="1"/>
  <c r="S315" i="77"/>
  <c r="CW315"/>
  <c r="N315" i="69" s="1"/>
  <c r="EA315" i="77"/>
  <c r="O315" i="70" s="1"/>
  <c r="EE315" i="77"/>
  <c r="HI315"/>
  <c r="N315" i="73" s="1"/>
  <c r="IM315" i="77"/>
  <c r="O315" i="74" s="1"/>
  <c r="IQ315" i="77"/>
  <c r="O316"/>
  <c r="O316" i="39" s="1"/>
  <c r="S316" i="77"/>
  <c r="S317"/>
  <c r="S317" i="39" s="1"/>
  <c r="S318" i="77"/>
  <c r="S318" i="39" s="1"/>
  <c r="CW318" i="77"/>
  <c r="N318" i="69" s="1"/>
  <c r="DA318" i="77"/>
  <c r="R318" i="69" s="1"/>
  <c r="EE318" i="77"/>
  <c r="S318" i="70" s="1"/>
  <c r="HI318" i="77"/>
  <c r="N318" i="73" s="1"/>
  <c r="HM318" i="77"/>
  <c r="R318" i="73" s="1"/>
  <c r="IP318" i="77"/>
  <c r="R319"/>
  <c r="CZ319"/>
  <c r="Q319" i="69" s="1"/>
  <c r="GJ321" i="77"/>
  <c r="R321" i="72" s="1"/>
  <c r="CH321" i="77"/>
  <c r="AB321" i="68" s="1"/>
  <c r="FG321" i="77"/>
  <c r="R321" i="71" s="1"/>
  <c r="FC321" i="77"/>
  <c r="N321" i="71" s="1"/>
  <c r="IM321" i="77"/>
  <c r="O321" i="74" s="1"/>
  <c r="AV314" i="77"/>
  <c r="S314" i="65" s="1"/>
  <c r="EE314" i="77"/>
  <c r="S314" i="70" s="1"/>
  <c r="FH314" i="77"/>
  <c r="S314" i="71" s="1"/>
  <c r="HN314" i="77"/>
  <c r="S314" i="73" s="1"/>
  <c r="IQ314" i="77"/>
  <c r="S314" i="74" s="1"/>
  <c r="AV315" i="77"/>
  <c r="S315" i="65" s="1"/>
  <c r="FH315" i="77"/>
  <c r="S315" i="71" s="1"/>
  <c r="BY316" i="77"/>
  <c r="S316" i="68" s="1"/>
  <c r="FH316" i="77"/>
  <c r="S316" i="71" s="1"/>
  <c r="GK316" i="77"/>
  <c r="S316" i="72" s="1"/>
  <c r="HN316" i="77"/>
  <c r="S316" i="73" s="1"/>
  <c r="IQ316" i="77"/>
  <c r="S316" i="74" s="1"/>
  <c r="N317" i="77"/>
  <c r="N317" i="39" s="1"/>
  <c r="R317" i="77"/>
  <c r="AV317"/>
  <c r="S317" i="65" s="1"/>
  <c r="EE317" i="77"/>
  <c r="S317" i="70" s="1"/>
  <c r="FH317" i="77"/>
  <c r="S317" i="71" s="1"/>
  <c r="HN317" i="77"/>
  <c r="S317" i="73" s="1"/>
  <c r="IQ317" i="77"/>
  <c r="S317" i="74" s="1"/>
  <c r="N318" i="77"/>
  <c r="N318" i="39" s="1"/>
  <c r="R318" i="77"/>
  <c r="R318" i="39" s="1"/>
  <c r="AV318" i="77"/>
  <c r="BV318"/>
  <c r="DZ318"/>
  <c r="N318" i="70" s="1"/>
  <c r="ED318" i="77"/>
  <c r="R318" i="70" s="1"/>
  <c r="FH318" i="77"/>
  <c r="GH318"/>
  <c r="HL318"/>
  <c r="Q318" i="73" s="1"/>
  <c r="DB319" i="77"/>
  <c r="S319" i="69" s="1"/>
  <c r="IL319" i="77"/>
  <c r="N319" i="74" s="1"/>
  <c r="HM321" i="77"/>
  <c r="R321" i="73" s="1"/>
  <c r="HN321" i="77"/>
  <c r="S321" i="73" s="1"/>
  <c r="BW321" i="77"/>
  <c r="Q321" i="68" s="1"/>
  <c r="BY321" i="77"/>
  <c r="S321" i="68" s="1"/>
  <c r="CH391" i="77"/>
  <c r="DH391"/>
  <c r="FC311"/>
  <c r="N311" i="71" s="1"/>
  <c r="AQ314" i="77"/>
  <c r="N314" i="65" s="1"/>
  <c r="DZ314" i="77"/>
  <c r="N314" i="70" s="1"/>
  <c r="FC314" i="77"/>
  <c r="N314" i="71" s="1"/>
  <c r="HI314" i="77"/>
  <c r="N314" i="73" s="1"/>
  <c r="IL314" i="77"/>
  <c r="N314" i="74" s="1"/>
  <c r="AQ315" i="77"/>
  <c r="N315" i="65" s="1"/>
  <c r="FC315" i="77"/>
  <c r="N315" i="71" s="1"/>
  <c r="BT316" i="77"/>
  <c r="N316" i="68" s="1"/>
  <c r="FC316" i="77"/>
  <c r="N316" i="71" s="1"/>
  <c r="GF316" i="77"/>
  <c r="N316" i="72" s="1"/>
  <c r="HI316" i="77"/>
  <c r="N316" i="73" s="1"/>
  <c r="IL316" i="77"/>
  <c r="N316" i="74" s="1"/>
  <c r="AQ317" i="77"/>
  <c r="N317" i="65" s="1"/>
  <c r="DZ317" i="77"/>
  <c r="N317" i="70" s="1"/>
  <c r="FC317" i="77"/>
  <c r="N317" i="71" s="1"/>
  <c r="HI317" i="77"/>
  <c r="N317" i="73" s="1"/>
  <c r="IL317" i="77"/>
  <c r="N317" i="74" s="1"/>
  <c r="AQ318" i="77"/>
  <c r="N318" i="65" s="1"/>
  <c r="FC318" i="77"/>
  <c r="N318" i="71" s="1"/>
  <c r="IM318" i="77"/>
  <c r="O318" i="74" s="1"/>
  <c r="AS319" i="77"/>
  <c r="BY319"/>
  <c r="S319" i="68" s="1"/>
  <c r="DZ319" i="77"/>
  <c r="N319" i="70" s="1"/>
  <c r="FF319" i="77"/>
  <c r="GI319"/>
  <c r="IQ319"/>
  <c r="S319" i="74" s="1"/>
  <c r="R321" i="77"/>
  <c r="R321" i="39" s="1"/>
  <c r="BX321" i="77"/>
  <c r="R321" i="68" s="1"/>
  <c r="FH321" i="77"/>
  <c r="S321" i="71" s="1"/>
  <c r="GF321" i="77"/>
  <c r="N321" i="72" s="1"/>
  <c r="AV323" i="77"/>
  <c r="S323" i="65" s="1"/>
  <c r="IP401" i="77"/>
  <c r="IL401"/>
  <c r="IQ401"/>
  <c r="DH411"/>
  <c r="CH411"/>
  <c r="S331"/>
  <c r="AS331"/>
  <c r="P331" i="65" s="1"/>
  <c r="CY331" i="77"/>
  <c r="P331" i="69" s="1"/>
  <c r="FE331" i="77"/>
  <c r="P331" i="71" s="1"/>
  <c r="HK331" i="77"/>
  <c r="P331" i="73" s="1"/>
  <c r="IN331" i="77"/>
  <c r="P331" i="74" s="1"/>
  <c r="S341" i="77"/>
  <c r="BY341"/>
  <c r="EE341"/>
  <c r="GK341"/>
  <c r="IQ341"/>
  <c r="N361"/>
  <c r="R361"/>
  <c r="T361" s="1"/>
  <c r="P371"/>
  <c r="N381"/>
  <c r="BU381"/>
  <c r="CX381"/>
  <c r="FD381"/>
  <c r="GG381"/>
  <c r="IM381"/>
  <c r="AQ391"/>
  <c r="DZ391"/>
  <c r="AV393"/>
  <c r="FH395"/>
  <c r="GL401"/>
  <c r="DH412"/>
  <c r="CH412"/>
  <c r="N331"/>
  <c r="N331" i="39" s="1"/>
  <c r="AR331" i="77"/>
  <c r="O331" i="65" s="1"/>
  <c r="CX331" i="77"/>
  <c r="O331" i="69" s="1"/>
  <c r="FD331" i="77"/>
  <c r="O331" i="71" s="1"/>
  <c r="HJ331" i="77"/>
  <c r="O331" i="73" s="1"/>
  <c r="IM331" i="77"/>
  <c r="O331" i="74" s="1"/>
  <c r="N341" i="77"/>
  <c r="N341" i="39" s="1"/>
  <c r="BT341" i="77"/>
  <c r="N341" i="68" s="1"/>
  <c r="DZ341" i="77"/>
  <c r="N341" i="70" s="1"/>
  <c r="GF341" i="77"/>
  <c r="N341" i="72" s="1"/>
  <c r="IL341" i="77"/>
  <c r="N341" i="74" s="1"/>
  <c r="AQ361" i="77"/>
  <c r="AU361"/>
  <c r="FC361"/>
  <c r="FG361"/>
  <c r="GF361"/>
  <c r="GJ361"/>
  <c r="HI361"/>
  <c r="HM361"/>
  <c r="IL361"/>
  <c r="IP361"/>
  <c r="O371"/>
  <c r="S371"/>
  <c r="T371" s="1"/>
  <c r="U371" s="1"/>
  <c r="GJ391"/>
  <c r="HM391"/>
  <c r="IP391"/>
  <c r="S393"/>
  <c r="IQ393"/>
  <c r="S395"/>
  <c r="EE395"/>
  <c r="IQ395"/>
  <c r="R391"/>
  <c r="T391" s="1"/>
  <c r="N391"/>
  <c r="AR401"/>
  <c r="AS401"/>
  <c r="FD401"/>
  <c r="FE401"/>
  <c r="CE361"/>
  <c r="BY371"/>
  <c r="EE371"/>
  <c r="FH371"/>
  <c r="GK371"/>
  <c r="IQ371"/>
  <c r="CE381"/>
  <c r="EK401"/>
  <c r="HJ391"/>
  <c r="IM391"/>
  <c r="Q401"/>
  <c r="R401"/>
  <c r="N401"/>
  <c r="S401"/>
  <c r="HL401"/>
  <c r="HM401"/>
  <c r="HI401"/>
  <c r="HN401"/>
  <c r="N321"/>
  <c r="N321" i="39" s="1"/>
  <c r="CW321" i="77"/>
  <c r="N321" i="69" s="1"/>
  <c r="HI321" i="77"/>
  <c r="N321" i="73" s="1"/>
  <c r="BT371" i="77"/>
  <c r="DZ371"/>
  <c r="FC371"/>
  <c r="GF371"/>
  <c r="IL371"/>
  <c r="AV391"/>
  <c r="EE391"/>
  <c r="GF391"/>
  <c r="IP414"/>
  <c r="IL414"/>
  <c r="HM415"/>
  <c r="HI415"/>
  <c r="ED416"/>
  <c r="DZ416"/>
  <c r="IP416"/>
  <c r="IL416"/>
  <c r="AT401"/>
  <c r="AW401" s="1"/>
  <c r="BT401"/>
  <c r="FF401"/>
  <c r="FI401" s="1"/>
  <c r="GF401"/>
  <c r="S411"/>
  <c r="AT411"/>
  <c r="AW411" s="1"/>
  <c r="AY411" s="1"/>
  <c r="FF411"/>
  <c r="FI411" s="1"/>
  <c r="FK411" s="1"/>
  <c r="GF411"/>
  <c r="GJ411"/>
  <c r="GL411" s="1"/>
  <c r="HN411"/>
  <c r="S412"/>
  <c r="BE412"/>
  <c r="AU414"/>
  <c r="AW414" s="1"/>
  <c r="HM414"/>
  <c r="HO414" s="1"/>
  <c r="R416"/>
  <c r="GO417"/>
  <c r="DH414"/>
  <c r="CH414"/>
  <c r="ED415"/>
  <c r="DZ415"/>
  <c r="IP415"/>
  <c r="IL415"/>
  <c r="FG416"/>
  <c r="FC416"/>
  <c r="BX419"/>
  <c r="BT419"/>
  <c r="GJ419"/>
  <c r="GF419"/>
  <c r="N411"/>
  <c r="R411"/>
  <c r="AS411"/>
  <c r="BE411"/>
  <c r="EE411"/>
  <c r="EF411" s="1"/>
  <c r="FE411"/>
  <c r="HI411"/>
  <c r="HM411"/>
  <c r="IQ411"/>
  <c r="IR411" s="1"/>
  <c r="N412"/>
  <c r="R412"/>
  <c r="T412" s="1"/>
  <c r="BY412"/>
  <c r="N413"/>
  <c r="S413"/>
  <c r="BT413"/>
  <c r="BY413"/>
  <c r="FC413"/>
  <c r="FH413"/>
  <c r="GF413"/>
  <c r="GK413"/>
  <c r="HI413"/>
  <c r="HN413"/>
  <c r="IL413"/>
  <c r="IQ413"/>
  <c r="N414"/>
  <c r="FG414"/>
  <c r="FI414" s="1"/>
  <c r="IQ414"/>
  <c r="R415"/>
  <c r="T415" s="1"/>
  <c r="W415" s="1"/>
  <c r="S416"/>
  <c r="FE417"/>
  <c r="ED414"/>
  <c r="EF414" s="1"/>
  <c r="DZ414"/>
  <c r="FG415"/>
  <c r="FC415"/>
  <c r="GJ416"/>
  <c r="GF416"/>
  <c r="CH401"/>
  <c r="DZ411"/>
  <c r="IL411"/>
  <c r="BT412"/>
  <c r="FC412"/>
  <c r="FH412"/>
  <c r="GF412"/>
  <c r="GK412"/>
  <c r="HI412"/>
  <c r="HN412"/>
  <c r="IL412"/>
  <c r="IQ412"/>
  <c r="BX413"/>
  <c r="FG413"/>
  <c r="FQ413"/>
  <c r="GJ413"/>
  <c r="GT413"/>
  <c r="HM413"/>
  <c r="HW413"/>
  <c r="IP413"/>
  <c r="Q414"/>
  <c r="AQ414"/>
  <c r="HI414"/>
  <c r="IO414"/>
  <c r="N416"/>
  <c r="CE416"/>
  <c r="DH421"/>
  <c r="FD414"/>
  <c r="O415"/>
  <c r="GJ415"/>
  <c r="GF415"/>
  <c r="HM416"/>
  <c r="HI416"/>
  <c r="R417"/>
  <c r="N417"/>
  <c r="S417"/>
  <c r="BE419"/>
  <c r="CE419"/>
  <c r="HM419"/>
  <c r="HI419"/>
  <c r="R414"/>
  <c r="HN415"/>
  <c r="ED417"/>
  <c r="DZ417"/>
  <c r="IP419"/>
  <c r="IL419"/>
  <c r="FD421"/>
  <c r="FE421"/>
  <c r="GG421"/>
  <c r="GH421"/>
  <c r="HJ421"/>
  <c r="HK421"/>
  <c r="IM421"/>
  <c r="GF414"/>
  <c r="AQ417"/>
  <c r="CE417"/>
  <c r="EC417"/>
  <c r="GG417"/>
  <c r="GN417" s="1"/>
  <c r="GM417"/>
  <c r="BY419"/>
  <c r="GK419"/>
  <c r="S421"/>
  <c r="IP417"/>
  <c r="IL417"/>
  <c r="AR421"/>
  <c r="AS421"/>
  <c r="FN431"/>
  <c r="EN431"/>
  <c r="IO417"/>
  <c r="HN419"/>
  <c r="Q419"/>
  <c r="R419"/>
  <c r="N419"/>
  <c r="FG419"/>
  <c r="FC419"/>
  <c r="R421"/>
  <c r="N421"/>
  <c r="FH417"/>
  <c r="FF417"/>
  <c r="BW431"/>
  <c r="EA431"/>
  <c r="IM431"/>
  <c r="DH461"/>
  <c r="DH441"/>
  <c r="O461"/>
  <c r="P431"/>
  <c r="AQ431"/>
  <c r="AU431"/>
  <c r="AW431" s="1"/>
  <c r="BY431"/>
  <c r="DK431"/>
  <c r="FC431"/>
  <c r="FG431"/>
  <c r="FI431" s="1"/>
  <c r="HK431"/>
  <c r="BT431"/>
  <c r="AZ305"/>
  <c r="W305" i="65" s="1"/>
  <c r="BZ307" i="77"/>
  <c r="T307" i="68" s="1"/>
  <c r="AT298" i="77"/>
  <c r="FF298"/>
  <c r="Q298" i="71" s="1"/>
  <c r="AU302" i="77"/>
  <c r="R302" i="65" s="1"/>
  <c r="BX302" i="77"/>
  <c r="R302" i="68" s="1"/>
  <c r="DA302" i="77"/>
  <c r="R302" i="69" s="1"/>
  <c r="ED302" i="77"/>
  <c r="R302" i="70" s="1"/>
  <c r="FG302" i="77"/>
  <c r="R302" i="71" s="1"/>
  <c r="GJ302" i="77"/>
  <c r="R302" i="72" s="1"/>
  <c r="HM302" i="77"/>
  <c r="R302" i="73" s="1"/>
  <c r="IP302" i="77"/>
  <c r="R302" i="74" s="1"/>
  <c r="AT304" i="77"/>
  <c r="FF304"/>
  <c r="Q304" i="71" s="1"/>
  <c r="AT307" i="77"/>
  <c r="FF307"/>
  <c r="AT323"/>
  <c r="Q323" i="65" s="1"/>
  <c r="FF323" i="77"/>
  <c r="AU329"/>
  <c r="R329" i="65" s="1"/>
  <c r="BX329" i="77"/>
  <c r="R329" i="68" s="1"/>
  <c r="DA329" i="77"/>
  <c r="R329" i="69" s="1"/>
  <c r="ED329" i="77"/>
  <c r="R329" i="70" s="1"/>
  <c r="FG329" i="77"/>
  <c r="R329" i="71" s="1"/>
  <c r="GJ329" i="77"/>
  <c r="R329" i="72" s="1"/>
  <c r="HM329" i="77"/>
  <c r="R329" i="73" s="1"/>
  <c r="IP329" i="77"/>
  <c r="R329" i="74" s="1"/>
  <c r="AU336" i="77"/>
  <c r="R336" i="65" s="1"/>
  <c r="BX336" i="77"/>
  <c r="R336" i="68" s="1"/>
  <c r="DA336" i="77"/>
  <c r="R336" i="69" s="1"/>
  <c r="ED336" i="77"/>
  <c r="R336" i="70" s="1"/>
  <c r="FG336" i="77"/>
  <c r="R336" i="71" s="1"/>
  <c r="GJ336" i="77"/>
  <c r="R336" i="72" s="1"/>
  <c r="HM336" i="77"/>
  <c r="R336" i="73" s="1"/>
  <c r="IP336" i="77"/>
  <c r="R336" i="74" s="1"/>
  <c r="DA298" i="77"/>
  <c r="R298" i="69" s="1"/>
  <c r="HM298" i="77"/>
  <c r="R298" i="73" s="1"/>
  <c r="DA304" i="77"/>
  <c r="R304" i="69" s="1"/>
  <c r="HM304" i="77"/>
  <c r="R304" i="73" s="1"/>
  <c r="DA307" i="77"/>
  <c r="R307" i="69" s="1"/>
  <c r="HM307" i="77"/>
  <c r="R307" i="73" s="1"/>
  <c r="DA323" i="77"/>
  <c r="R323" i="69" s="1"/>
  <c r="HM323" i="77"/>
  <c r="R323" i="73" s="1"/>
  <c r="Q335" i="77"/>
  <c r="AQ335"/>
  <c r="N335" i="65" s="1"/>
  <c r="AU335" i="77"/>
  <c r="R335" i="65" s="1"/>
  <c r="BT335" i="77"/>
  <c r="N335" i="68" s="1"/>
  <c r="BX335" i="77"/>
  <c r="R335" i="68" s="1"/>
  <c r="CW335" i="77"/>
  <c r="N335" i="69" s="1"/>
  <c r="DA335" i="77"/>
  <c r="R335" i="69" s="1"/>
  <c r="DZ335" i="77"/>
  <c r="N335" i="70" s="1"/>
  <c r="ED335" i="77"/>
  <c r="R335" i="70" s="1"/>
  <c r="FC335" i="77"/>
  <c r="N335" i="71" s="1"/>
  <c r="FG335" i="77"/>
  <c r="R335" i="71" s="1"/>
  <c r="CH335" i="77"/>
  <c r="AB335" i="68" s="1"/>
  <c r="N335" i="77"/>
  <c r="N335" i="39" s="1"/>
  <c r="Q334" i="77"/>
  <c r="AQ334"/>
  <c r="N334" i="65" s="1"/>
  <c r="AU334" i="77"/>
  <c r="R334" i="65" s="1"/>
  <c r="BT334" i="77"/>
  <c r="N334" i="68" s="1"/>
  <c r="BX334" i="77"/>
  <c r="R334" i="68" s="1"/>
  <c r="CW334" i="77"/>
  <c r="N334" i="69" s="1"/>
  <c r="DA334" i="77"/>
  <c r="R334" i="69" s="1"/>
  <c r="DZ334" i="77"/>
  <c r="N334" i="70" s="1"/>
  <c r="ED334" i="77"/>
  <c r="R334" i="70" s="1"/>
  <c r="FC334" i="77"/>
  <c r="N334" i="71" s="1"/>
  <c r="FG334" i="77"/>
  <c r="R334" i="71" s="1"/>
  <c r="CH334" i="77"/>
  <c r="AB334" i="68" s="1"/>
  <c r="N334" i="77"/>
  <c r="N334" i="39" s="1"/>
  <c r="Q339" i="77"/>
  <c r="AQ339"/>
  <c r="N339" i="65" s="1"/>
  <c r="AU339" i="77"/>
  <c r="R339" i="65" s="1"/>
  <c r="BT339" i="77"/>
  <c r="N339" i="68" s="1"/>
  <c r="BX339" i="77"/>
  <c r="R339" i="68" s="1"/>
  <c r="FC339" i="77"/>
  <c r="N339" i="71" s="1"/>
  <c r="FG339" i="77"/>
  <c r="R339" i="71" s="1"/>
  <c r="HI339" i="77"/>
  <c r="N339" i="73" s="1"/>
  <c r="HM339" i="77"/>
  <c r="R339" i="73" s="1"/>
  <c r="IL339" i="77"/>
  <c r="N339" i="74" s="1"/>
  <c r="IP339" i="77"/>
  <c r="R339" i="74" s="1"/>
  <c r="CH339" i="77"/>
  <c r="AB339" i="68" s="1"/>
  <c r="N339" i="77"/>
  <c r="N339" i="39" s="1"/>
  <c r="Q330" i="77"/>
  <c r="AQ330"/>
  <c r="N330" i="65" s="1"/>
  <c r="AU330" i="77"/>
  <c r="R330" i="65" s="1"/>
  <c r="BT330" i="77"/>
  <c r="N330" i="68" s="1"/>
  <c r="BX330" i="77"/>
  <c r="R330" i="68" s="1"/>
  <c r="FC330" i="77"/>
  <c r="N330" i="71" s="1"/>
  <c r="FG330" i="77"/>
  <c r="R330" i="71" s="1"/>
  <c r="HI330" i="77"/>
  <c r="N330" i="73" s="1"/>
  <c r="HM330" i="77"/>
  <c r="R330" i="73" s="1"/>
  <c r="IL330" i="77"/>
  <c r="N330" i="74" s="1"/>
  <c r="IP330" i="77"/>
  <c r="R330" i="74" s="1"/>
  <c r="CH330" i="77"/>
  <c r="AB330" i="68" s="1"/>
  <c r="N330" i="77"/>
  <c r="N330" i="39" s="1"/>
  <c r="Q328" i="77"/>
  <c r="AQ328"/>
  <c r="N328" i="65" s="1"/>
  <c r="AU328" i="77"/>
  <c r="R328" i="65" s="1"/>
  <c r="BT328" i="77"/>
  <c r="N328" i="68" s="1"/>
  <c r="BX328" i="77"/>
  <c r="R328" i="68" s="1"/>
  <c r="FC328" i="77"/>
  <c r="N328" i="71" s="1"/>
  <c r="FG328" i="77"/>
  <c r="R328" i="71" s="1"/>
  <c r="HI328" i="77"/>
  <c r="N328" i="73" s="1"/>
  <c r="HM328" i="77"/>
  <c r="R328" i="73" s="1"/>
  <c r="IL328" i="77"/>
  <c r="N328" i="74" s="1"/>
  <c r="IP328" i="77"/>
  <c r="R328" i="74" s="1"/>
  <c r="CH328" i="77"/>
  <c r="AB328" i="68" s="1"/>
  <c r="N328" i="77"/>
  <c r="N328" i="39" s="1"/>
  <c r="Q325" i="77"/>
  <c r="AQ325"/>
  <c r="N325" i="65" s="1"/>
  <c r="AU325" i="77"/>
  <c r="R325" i="65" s="1"/>
  <c r="BT325" i="77"/>
  <c r="N325" i="68" s="1"/>
  <c r="BX325" i="77"/>
  <c r="R325" i="68" s="1"/>
  <c r="FC325" i="77"/>
  <c r="N325" i="71" s="1"/>
  <c r="FG325" i="77"/>
  <c r="R325" i="71" s="1"/>
  <c r="HI325" i="77"/>
  <c r="N325" i="73" s="1"/>
  <c r="HM325" i="77"/>
  <c r="R325" i="73" s="1"/>
  <c r="IL325" i="77"/>
  <c r="N325" i="74" s="1"/>
  <c r="IP325" i="77"/>
  <c r="R325" i="74" s="1"/>
  <c r="CH325" i="77"/>
  <c r="AB325" i="68" s="1"/>
  <c r="N325" i="77"/>
  <c r="N325" i="39" s="1"/>
  <c r="Q344" i="77"/>
  <c r="AQ344"/>
  <c r="N344" i="65" s="1"/>
  <c r="AU344" i="77"/>
  <c r="R344" i="65" s="1"/>
  <c r="DZ344" i="77"/>
  <c r="N344" i="70" s="1"/>
  <c r="ED344" i="77"/>
  <c r="R344" i="70" s="1"/>
  <c r="FC344" i="77"/>
  <c r="N344" i="71" s="1"/>
  <c r="FG344" i="77"/>
  <c r="R344" i="71" s="1"/>
  <c r="HI344" i="77"/>
  <c r="N344" i="73" s="1"/>
  <c r="HM344" i="77"/>
  <c r="R344" i="73" s="1"/>
  <c r="IL344" i="77"/>
  <c r="N344" i="74" s="1"/>
  <c r="IP344" i="77"/>
  <c r="R344" i="74" s="1"/>
  <c r="CH344" i="77"/>
  <c r="AB344" i="68" s="1"/>
  <c r="N344" i="77"/>
  <c r="N344" i="39" s="1"/>
  <c r="Q337" i="77"/>
  <c r="AQ337"/>
  <c r="N337" i="65" s="1"/>
  <c r="AU337" i="77"/>
  <c r="R337" i="65" s="1"/>
  <c r="DZ337" i="77"/>
  <c r="N337" i="70" s="1"/>
  <c r="ED337" i="77"/>
  <c r="R337" i="70" s="1"/>
  <c r="FC337" i="77"/>
  <c r="N337" i="71" s="1"/>
  <c r="FG337" i="77"/>
  <c r="R337" i="71" s="1"/>
  <c r="HI337" i="77"/>
  <c r="N337" i="73" s="1"/>
  <c r="HM337" i="77"/>
  <c r="R337" i="73" s="1"/>
  <c r="IL337" i="77"/>
  <c r="N337" i="74" s="1"/>
  <c r="IP337" i="77"/>
  <c r="R337" i="74" s="1"/>
  <c r="CH337" i="77"/>
  <c r="AB337" i="68" s="1"/>
  <c r="N337" i="77"/>
  <c r="N337" i="39" s="1"/>
  <c r="Q324" i="77"/>
  <c r="AQ324"/>
  <c r="N324" i="65" s="1"/>
  <c r="AU324" i="77"/>
  <c r="R324" i="65" s="1"/>
  <c r="DZ324" i="77"/>
  <c r="N324" i="70" s="1"/>
  <c r="ED324" i="77"/>
  <c r="R324" i="70" s="1"/>
  <c r="FC324" i="77"/>
  <c r="N324" i="71" s="1"/>
  <c r="FG324" i="77"/>
  <c r="R324" i="71" s="1"/>
  <c r="HI324" i="77"/>
  <c r="N324" i="73" s="1"/>
  <c r="HM324" i="77"/>
  <c r="R324" i="73" s="1"/>
  <c r="IL324" i="77"/>
  <c r="N324" i="74" s="1"/>
  <c r="IP324" i="77"/>
  <c r="R324" i="74" s="1"/>
  <c r="CH324" i="77"/>
  <c r="AB324" i="68" s="1"/>
  <c r="N324" i="77"/>
  <c r="N324" i="39" s="1"/>
  <c r="Q340" i="77"/>
  <c r="AQ340"/>
  <c r="N340" i="65" s="1"/>
  <c r="AU340" i="77"/>
  <c r="R340" i="65" s="1"/>
  <c r="CW340" i="77"/>
  <c r="N340" i="69" s="1"/>
  <c r="DA340" i="77"/>
  <c r="R340" i="69" s="1"/>
  <c r="FC340" i="77"/>
  <c r="N340" i="71" s="1"/>
  <c r="FG340" i="77"/>
  <c r="R340" i="71" s="1"/>
  <c r="HI340" i="77"/>
  <c r="N340" i="73" s="1"/>
  <c r="HM340" i="77"/>
  <c r="R340" i="73" s="1"/>
  <c r="IL340" i="77"/>
  <c r="N340" i="74" s="1"/>
  <c r="IP340" i="77"/>
  <c r="R340" i="74" s="1"/>
  <c r="CH340" i="77"/>
  <c r="AB340" i="68" s="1"/>
  <c r="N340" i="77"/>
  <c r="N340" i="39" s="1"/>
  <c r="AQ309" i="77"/>
  <c r="N309" i="65" s="1"/>
  <c r="AU309" i="77"/>
  <c r="R309" i="65" s="1"/>
  <c r="CW309" i="77"/>
  <c r="N309" i="69" s="1"/>
  <c r="DA309" i="77"/>
  <c r="R309" i="69" s="1"/>
  <c r="FC309" i="77"/>
  <c r="N309" i="71" s="1"/>
  <c r="FG309" i="77"/>
  <c r="R309" i="71" s="1"/>
  <c r="HI309" i="77"/>
  <c r="N309" i="73" s="1"/>
  <c r="HM309" i="77"/>
  <c r="R309" i="73" s="1"/>
  <c r="IL309" i="77"/>
  <c r="N309" i="74" s="1"/>
  <c r="IP309" i="77"/>
  <c r="R309" i="74" s="1"/>
  <c r="CH309" i="77"/>
  <c r="AB309" i="68" s="1"/>
  <c r="T309" i="77"/>
  <c r="T309" i="39" s="1"/>
  <c r="N309" i="77"/>
  <c r="N309" i="39" s="1"/>
  <c r="Q308" i="77"/>
  <c r="AQ308"/>
  <c r="N308" i="65" s="1"/>
  <c r="AU308" i="77"/>
  <c r="R308" i="65" s="1"/>
  <c r="FC308" i="77"/>
  <c r="N308" i="71" s="1"/>
  <c r="FG308" i="77"/>
  <c r="R308" i="71" s="1"/>
  <c r="GF308" i="77"/>
  <c r="N308" i="72" s="1"/>
  <c r="GJ308" i="77"/>
  <c r="R308" i="72" s="1"/>
  <c r="HI308" i="77"/>
  <c r="N308" i="73" s="1"/>
  <c r="HM308" i="77"/>
  <c r="R308" i="73" s="1"/>
  <c r="IL308" i="77"/>
  <c r="N308" i="74" s="1"/>
  <c r="IP308" i="77"/>
  <c r="R308" i="74" s="1"/>
  <c r="CH308" i="77"/>
  <c r="AB308" i="68" s="1"/>
  <c r="N308" i="77"/>
  <c r="N308" i="39" s="1"/>
  <c r="FL305" i="77"/>
  <c r="W305" i="71" s="1"/>
  <c r="DK305" i="77"/>
  <c r="AB305" i="69" s="1"/>
  <c r="Q305" i="77"/>
  <c r="Q305" i="39" s="1"/>
  <c r="AR305" i="77"/>
  <c r="FD305"/>
  <c r="HL305"/>
  <c r="Q305" i="73" s="1"/>
  <c r="IL305" i="77"/>
  <c r="N305" i="74" s="1"/>
  <c r="IP305" i="77"/>
  <c r="R305" i="74" s="1"/>
  <c r="GK305" i="77"/>
  <c r="S305" i="72" s="1"/>
  <c r="IO305" i="77"/>
  <c r="Q305" i="74" s="1"/>
  <c r="S305" i="77"/>
  <c r="S305" i="39" s="1"/>
  <c r="AX305" i="77"/>
  <c r="U305" i="65" s="1"/>
  <c r="BT305" i="77"/>
  <c r="N305" i="68" s="1"/>
  <c r="BX305" i="77"/>
  <c r="FJ305"/>
  <c r="U305" i="71" s="1"/>
  <c r="GF305" i="77"/>
  <c r="N305" i="72" s="1"/>
  <c r="GJ305" i="77"/>
  <c r="R305" i="72" s="1"/>
  <c r="HN305" i="77"/>
  <c r="S305" i="73" s="1"/>
  <c r="N305" i="77"/>
  <c r="N305" i="39" s="1"/>
  <c r="HI305" i="77"/>
  <c r="N305" i="73" s="1"/>
  <c r="DK303" i="77"/>
  <c r="AB303" i="69" s="1"/>
  <c r="AR303" i="77"/>
  <c r="FD303"/>
  <c r="IL303"/>
  <c r="N303" i="74" s="1"/>
  <c r="IP303" i="77"/>
  <c r="GK303"/>
  <c r="S303"/>
  <c r="AX303"/>
  <c r="U303" i="65" s="1"/>
  <c r="BT303" i="77"/>
  <c r="N303" i="68" s="1"/>
  <c r="FJ303" i="77"/>
  <c r="U303" i="71" s="1"/>
  <c r="GF303" i="77"/>
  <c r="N303" i="72" s="1"/>
  <c r="HN303" i="77"/>
  <c r="N303"/>
  <c r="N303" i="39" s="1"/>
  <c r="HI303" i="77"/>
  <c r="N303" i="73" s="1"/>
  <c r="Q343" i="77"/>
  <c r="BT343"/>
  <c r="N343" i="68" s="1"/>
  <c r="BX343" i="77"/>
  <c r="R343" i="68" s="1"/>
  <c r="DZ343" i="77"/>
  <c r="N343" i="70" s="1"/>
  <c r="ED343" i="77"/>
  <c r="R343" i="70" s="1"/>
  <c r="FC343" i="77"/>
  <c r="N343" i="71" s="1"/>
  <c r="FG343" i="77"/>
  <c r="R343" i="71" s="1"/>
  <c r="HI343" i="77"/>
  <c r="N343" i="73" s="1"/>
  <c r="HM343" i="77"/>
  <c r="R343" i="73" s="1"/>
  <c r="IL343" i="77"/>
  <c r="N343" i="74" s="1"/>
  <c r="IP343" i="77"/>
  <c r="R343" i="74" s="1"/>
  <c r="CH343" i="77"/>
  <c r="AB343" i="68" s="1"/>
  <c r="N343" i="77"/>
  <c r="N343" i="39" s="1"/>
  <c r="Q342" i="77"/>
  <c r="BT342"/>
  <c r="N342" i="68" s="1"/>
  <c r="BX342" i="77"/>
  <c r="R342" i="68" s="1"/>
  <c r="DZ342" i="77"/>
  <c r="N342" i="70" s="1"/>
  <c r="ED342" i="77"/>
  <c r="R342" i="70" s="1"/>
  <c r="FC342" i="77"/>
  <c r="N342" i="71" s="1"/>
  <c r="FG342" i="77"/>
  <c r="R342" i="71" s="1"/>
  <c r="HI342" i="77"/>
  <c r="N342" i="73" s="1"/>
  <c r="HM342" i="77"/>
  <c r="R342" i="73" s="1"/>
  <c r="IL342" i="77"/>
  <c r="N342" i="74" s="1"/>
  <c r="IP342" i="77"/>
  <c r="R342" i="74" s="1"/>
  <c r="CH342" i="77"/>
  <c r="AB342" i="68" s="1"/>
  <c r="N342" i="77"/>
  <c r="N342" i="39" s="1"/>
  <c r="Q338" i="77"/>
  <c r="BT338"/>
  <c r="N338" i="68" s="1"/>
  <c r="BX338" i="77"/>
  <c r="R338" i="68" s="1"/>
  <c r="DZ338" i="77"/>
  <c r="N338" i="70" s="1"/>
  <c r="ED338" i="77"/>
  <c r="R338" i="70" s="1"/>
  <c r="FC338" i="77"/>
  <c r="N338" i="71" s="1"/>
  <c r="FG338" i="77"/>
  <c r="R338" i="71" s="1"/>
  <c r="HI338" i="77"/>
  <c r="N338" i="73" s="1"/>
  <c r="HM338" i="77"/>
  <c r="R338" i="73" s="1"/>
  <c r="IL338" i="77"/>
  <c r="N338" i="74" s="1"/>
  <c r="IP338" i="77"/>
  <c r="R338" i="74" s="1"/>
  <c r="CH338" i="77"/>
  <c r="AB338" i="68" s="1"/>
  <c r="N338" i="77"/>
  <c r="N338" i="39" s="1"/>
  <c r="Q332" i="77"/>
  <c r="BT332"/>
  <c r="N332" i="68" s="1"/>
  <c r="BX332" i="77"/>
  <c r="R332" i="68" s="1"/>
  <c r="DZ332" i="77"/>
  <c r="N332" i="70" s="1"/>
  <c r="ED332" i="77"/>
  <c r="R332" i="70" s="1"/>
  <c r="FC332" i="77"/>
  <c r="N332" i="71" s="1"/>
  <c r="FG332" i="77"/>
  <c r="R332" i="71" s="1"/>
  <c r="HI332" i="77"/>
  <c r="N332" i="73" s="1"/>
  <c r="HM332" i="77"/>
  <c r="R332" i="73" s="1"/>
  <c r="IL332" i="77"/>
  <c r="N332" i="74" s="1"/>
  <c r="IP332" i="77"/>
  <c r="R332" i="74" s="1"/>
  <c r="CH332" i="77"/>
  <c r="AB332" i="68" s="1"/>
  <c r="N332" i="77"/>
  <c r="N332" i="39" s="1"/>
  <c r="Q327" i="77"/>
  <c r="BT327"/>
  <c r="N327" i="68" s="1"/>
  <c r="BX327" i="77"/>
  <c r="R327" i="68" s="1"/>
  <c r="DZ327" i="77"/>
  <c r="N327" i="70" s="1"/>
  <c r="ED327" i="77"/>
  <c r="R327" i="70" s="1"/>
  <c r="FC327" i="77"/>
  <c r="N327" i="71" s="1"/>
  <c r="FG327" i="77"/>
  <c r="R327" i="71" s="1"/>
  <c r="HI327" i="77"/>
  <c r="N327" i="73" s="1"/>
  <c r="HM327" i="77"/>
  <c r="R327" i="73" s="1"/>
  <c r="IL327" i="77"/>
  <c r="N327" i="74" s="1"/>
  <c r="IP327" i="77"/>
  <c r="R327" i="74" s="1"/>
  <c r="CH327" i="77"/>
  <c r="AB327" i="68" s="1"/>
  <c r="N327" i="77"/>
  <c r="N327" i="39" s="1"/>
  <c r="Q306" i="77"/>
  <c r="BT306"/>
  <c r="N306" i="68" s="1"/>
  <c r="BX306" i="77"/>
  <c r="R306" i="68" s="1"/>
  <c r="DZ306" i="77"/>
  <c r="N306" i="70" s="1"/>
  <c r="ED306" i="77"/>
  <c r="R306" i="70" s="1"/>
  <c r="FC306" i="77"/>
  <c r="N306" i="71" s="1"/>
  <c r="FG306" i="77"/>
  <c r="R306" i="71" s="1"/>
  <c r="HI306" i="77"/>
  <c r="N306" i="73" s="1"/>
  <c r="HM306" i="77"/>
  <c r="R306" i="73" s="1"/>
  <c r="IL306" i="77"/>
  <c r="N306" i="74" s="1"/>
  <c r="IP306" i="77"/>
  <c r="R306" i="74" s="1"/>
  <c r="CH306" i="77"/>
  <c r="AB306" i="68" s="1"/>
  <c r="N306" i="77"/>
  <c r="N306" i="39" s="1"/>
  <c r="Q300" i="77"/>
  <c r="Q300" i="39" s="1"/>
  <c r="BT300" i="77"/>
  <c r="N300" i="68" s="1"/>
  <c r="BX300" i="77"/>
  <c r="R300" i="68" s="1"/>
  <c r="DZ300" i="77"/>
  <c r="N300" i="70" s="1"/>
  <c r="ED300" i="77"/>
  <c r="R300" i="70" s="1"/>
  <c r="FC300" i="77"/>
  <c r="N300" i="71" s="1"/>
  <c r="FG300" i="77"/>
  <c r="R300" i="71" s="1"/>
  <c r="HI300" i="77"/>
  <c r="N300" i="73" s="1"/>
  <c r="HM300" i="77"/>
  <c r="R300" i="73" s="1"/>
  <c r="IL300" i="77"/>
  <c r="N300" i="74" s="1"/>
  <c r="IP300" i="77"/>
  <c r="R300" i="74" s="1"/>
  <c r="CH300" i="77"/>
  <c r="AB300" i="68" s="1"/>
  <c r="N300" i="77"/>
  <c r="N300" i="39" s="1"/>
  <c r="Q348" i="77"/>
  <c r="BT348"/>
  <c r="N348" i="68" s="1"/>
  <c r="BX348" i="77"/>
  <c r="R348" i="68" s="1"/>
  <c r="CW348" i="77"/>
  <c r="N348" i="69" s="1"/>
  <c r="DA348" i="77"/>
  <c r="R348" i="69" s="1"/>
  <c r="FC348" i="77"/>
  <c r="N348" i="71" s="1"/>
  <c r="FG348" i="77"/>
  <c r="R348" i="71" s="1"/>
  <c r="HI348" i="77"/>
  <c r="N348" i="73" s="1"/>
  <c r="HM348" i="77"/>
  <c r="R348" i="73" s="1"/>
  <c r="IL348" i="77"/>
  <c r="N348" i="74" s="1"/>
  <c r="IP348" i="77"/>
  <c r="R348" i="74" s="1"/>
  <c r="CH348" i="77"/>
  <c r="AB348" i="68" s="1"/>
  <c r="N348" i="77"/>
  <c r="N348" i="39" s="1"/>
  <c r="Q333" i="77"/>
  <c r="BT333"/>
  <c r="N333" i="68" s="1"/>
  <c r="BX333" i="77"/>
  <c r="R333" i="68" s="1"/>
  <c r="CW333" i="77"/>
  <c r="N333" i="69" s="1"/>
  <c r="DA333" i="77"/>
  <c r="R333" i="69" s="1"/>
  <c r="FC333" i="77"/>
  <c r="N333" i="71" s="1"/>
  <c r="FG333" i="77"/>
  <c r="R333" i="71" s="1"/>
  <c r="HI333" i="77"/>
  <c r="N333" i="73" s="1"/>
  <c r="HM333" i="77"/>
  <c r="R333" i="73" s="1"/>
  <c r="IL333" i="77"/>
  <c r="N333" i="74" s="1"/>
  <c r="IP333" i="77"/>
  <c r="R333" i="74" s="1"/>
  <c r="CH333" i="77"/>
  <c r="AB333" i="68" s="1"/>
  <c r="N333" i="77"/>
  <c r="N333" i="39" s="1"/>
  <c r="Q326" i="77"/>
  <c r="BT326"/>
  <c r="N326" i="68" s="1"/>
  <c r="BX326" i="77"/>
  <c r="R326" i="68" s="1"/>
  <c r="CW326" i="77"/>
  <c r="N326" i="69" s="1"/>
  <c r="DA326" i="77"/>
  <c r="R326" i="69" s="1"/>
  <c r="FC326" i="77"/>
  <c r="N326" i="71" s="1"/>
  <c r="FG326" i="77"/>
  <c r="R326" i="71" s="1"/>
  <c r="HI326" i="77"/>
  <c r="N326" i="73" s="1"/>
  <c r="HM326" i="77"/>
  <c r="R326" i="73" s="1"/>
  <c r="IL326" i="77"/>
  <c r="N326" i="74" s="1"/>
  <c r="IP326" i="77"/>
  <c r="R326" i="74" s="1"/>
  <c r="CH326" i="77"/>
  <c r="AB326" i="68" s="1"/>
  <c r="N326" i="77"/>
  <c r="N326" i="39" s="1"/>
  <c r="DK299" i="77"/>
  <c r="AB299" i="69" s="1"/>
  <c r="Q299" i="77"/>
  <c r="BT299"/>
  <c r="N299" i="68" s="1"/>
  <c r="BX299" i="77"/>
  <c r="R299" i="68" s="1"/>
  <c r="CW299" i="77"/>
  <c r="N299" i="69" s="1"/>
  <c r="DA299" i="77"/>
  <c r="R299" i="69" s="1"/>
  <c r="FC299" i="77"/>
  <c r="N299" i="71" s="1"/>
  <c r="FG299" i="77"/>
  <c r="R299" i="71" s="1"/>
  <c r="HI299" i="77"/>
  <c r="N299" i="73" s="1"/>
  <c r="HM299" i="77"/>
  <c r="R299" i="73" s="1"/>
  <c r="IL299" i="77"/>
  <c r="N299" i="74" s="1"/>
  <c r="IP299" i="77"/>
  <c r="R299" i="74" s="1"/>
  <c r="N299" i="77"/>
  <c r="N299" i="39" s="1"/>
  <c r="IQ336" i="77"/>
  <c r="IL336"/>
  <c r="N336" i="74" s="1"/>
  <c r="HN336" i="77"/>
  <c r="HI336"/>
  <c r="N336" i="73" s="1"/>
  <c r="GK336" i="77"/>
  <c r="GF336"/>
  <c r="N336" i="72" s="1"/>
  <c r="FH336" i="77"/>
  <c r="FC336"/>
  <c r="N336" i="71" s="1"/>
  <c r="EE336" i="77"/>
  <c r="DZ336"/>
  <c r="N336" i="70" s="1"/>
  <c r="DB336" i="77"/>
  <c r="CW336"/>
  <c r="N336" i="69" s="1"/>
  <c r="BY336" i="77"/>
  <c r="BT336"/>
  <c r="N336" i="68" s="1"/>
  <c r="AV336" i="77"/>
  <c r="AQ336"/>
  <c r="N336" i="65" s="1"/>
  <c r="T336" i="77"/>
  <c r="T336" i="39" s="1"/>
  <c r="IM320" i="77"/>
  <c r="O320" i="74" s="1"/>
  <c r="IN320" i="77"/>
  <c r="P320" i="74" s="1"/>
  <c r="IQ320" i="77"/>
  <c r="HJ320"/>
  <c r="O320" i="73" s="1"/>
  <c r="HK320" i="77"/>
  <c r="P320" i="73" s="1"/>
  <c r="HN320" i="77"/>
  <c r="GL320"/>
  <c r="T320" i="72" s="1"/>
  <c r="GF320" i="77"/>
  <c r="N320" i="72" s="1"/>
  <c r="FD320" i="77"/>
  <c r="O320" i="71" s="1"/>
  <c r="FE320" i="77"/>
  <c r="P320" i="71" s="1"/>
  <c r="FH320" i="77"/>
  <c r="EA320"/>
  <c r="O320" i="70" s="1"/>
  <c r="EB320" i="77"/>
  <c r="P320" i="70" s="1"/>
  <c r="EE320" i="77"/>
  <c r="CX320"/>
  <c r="O320" i="69" s="1"/>
  <c r="CY320" i="77"/>
  <c r="P320" i="69" s="1"/>
  <c r="DB320" i="77"/>
  <c r="BU320"/>
  <c r="O320" i="68" s="1"/>
  <c r="BV320" i="77"/>
  <c r="P320" i="68" s="1"/>
  <c r="BY320" i="77"/>
  <c r="AR320"/>
  <c r="O320" i="65" s="1"/>
  <c r="AS320" i="77"/>
  <c r="P320" i="65" s="1"/>
  <c r="AV320" i="77"/>
  <c r="O320"/>
  <c r="O320" i="39" s="1"/>
  <c r="P320" i="77"/>
  <c r="P320" i="39" s="1"/>
  <c r="T320" i="77"/>
  <c r="T320" i="39" s="1"/>
  <c r="IQ329" i="77"/>
  <c r="IL329"/>
  <c r="N329" i="74" s="1"/>
  <c r="HN329" i="77"/>
  <c r="HI329"/>
  <c r="N329" i="73" s="1"/>
  <c r="GK329" i="77"/>
  <c r="S329" i="72" s="1"/>
  <c r="GF329" i="77"/>
  <c r="N329" i="72" s="1"/>
  <c r="FH329" i="77"/>
  <c r="FC329"/>
  <c r="N329" i="71" s="1"/>
  <c r="EE329" i="77"/>
  <c r="S329" i="70" s="1"/>
  <c r="DZ329" i="77"/>
  <c r="N329" i="70" s="1"/>
  <c r="DB329" i="77"/>
  <c r="CW329"/>
  <c r="N329" i="69" s="1"/>
  <c r="BY329" i="77"/>
  <c r="S329" i="68" s="1"/>
  <c r="BT329" i="77"/>
  <c r="N329" i="68" s="1"/>
  <c r="AV329" i="77"/>
  <c r="AQ329"/>
  <c r="N329" i="65" s="1"/>
  <c r="IR347" i="77"/>
  <c r="T347" i="74" s="1"/>
  <c r="IL347" i="77"/>
  <c r="N347" i="74" s="1"/>
  <c r="HO347" i="77"/>
  <c r="T347" i="73" s="1"/>
  <c r="HI347" i="77"/>
  <c r="N347" i="73" s="1"/>
  <c r="GL347" i="77"/>
  <c r="T347" i="72" s="1"/>
  <c r="GF347" i="77"/>
  <c r="N347" i="72" s="1"/>
  <c r="FI347" i="77"/>
  <c r="T347" i="71" s="1"/>
  <c r="FC347" i="77"/>
  <c r="N347" i="71" s="1"/>
  <c r="EF347" i="77"/>
  <c r="T347" i="70" s="1"/>
  <c r="DZ347" i="77"/>
  <c r="N347" i="70" s="1"/>
  <c r="DC347" i="77"/>
  <c r="T347" i="69" s="1"/>
  <c r="CW347" i="77"/>
  <c r="N347" i="69" s="1"/>
  <c r="BZ347" i="77"/>
  <c r="T347" i="68" s="1"/>
  <c r="BT347" i="77"/>
  <c r="N347" i="68" s="1"/>
  <c r="AW347" i="77"/>
  <c r="T347" i="65" s="1"/>
  <c r="AQ347" i="77"/>
  <c r="N347" i="65" s="1"/>
  <c r="FI346" i="77"/>
  <c r="T346" i="71" s="1"/>
  <c r="AW346" i="77"/>
  <c r="T346" i="65" s="1"/>
  <c r="Q346" i="77"/>
  <c r="Q346" i="39" s="1"/>
  <c r="AQ346" i="77"/>
  <c r="N346" i="65" s="1"/>
  <c r="BU346" i="77"/>
  <c r="O346" i="68" s="1"/>
  <c r="BZ346" i="77"/>
  <c r="FC346"/>
  <c r="N346" i="71" s="1"/>
  <c r="GL346" i="77"/>
  <c r="T346" i="72" s="1"/>
  <c r="DC346" i="77"/>
  <c r="T346" i="69" s="1"/>
  <c r="GF346" i="77"/>
  <c r="N346" i="72" s="1"/>
  <c r="CW346" i="77"/>
  <c r="N346" i="69" s="1"/>
  <c r="HI346" i="77"/>
  <c r="N346" i="73" s="1"/>
  <c r="HO346" i="77"/>
  <c r="T346" i="73" s="1"/>
  <c r="N346" i="77"/>
  <c r="N346" i="39" s="1"/>
  <c r="DZ346" i="77"/>
  <c r="N346" i="70" s="1"/>
  <c r="IL346" i="77"/>
  <c r="N346" i="74" s="1"/>
  <c r="AY345" i="77"/>
  <c r="V345" i="65" s="1"/>
  <c r="AX345" i="77"/>
  <c r="U345" i="65" s="1"/>
  <c r="BT345" i="77"/>
  <c r="N345" i="68" s="1"/>
  <c r="BZ345" i="77"/>
  <c r="T345" i="68" s="1"/>
  <c r="GF345" i="77"/>
  <c r="N345" i="72" s="1"/>
  <c r="GL345" i="77"/>
  <c r="T345" i="72" s="1"/>
  <c r="T345" i="77"/>
  <c r="T345" i="39" s="1"/>
  <c r="AS345" i="77"/>
  <c r="CW345"/>
  <c r="N345" i="69" s="1"/>
  <c r="DC345" i="77"/>
  <c r="T345" i="69" s="1"/>
  <c r="EF345" i="77"/>
  <c r="T345" i="70" s="1"/>
  <c r="FE345" i="77"/>
  <c r="P345" i="71" s="1"/>
  <c r="HI345" i="77"/>
  <c r="N345" i="73" s="1"/>
  <c r="HO345" i="77"/>
  <c r="T345" i="73" s="1"/>
  <c r="IR345" i="77"/>
  <c r="T345" i="74" s="1"/>
  <c r="N345" i="77"/>
  <c r="N345" i="39" s="1"/>
  <c r="DZ345" i="77"/>
  <c r="N345" i="70" s="1"/>
  <c r="IL345" i="77"/>
  <c r="N345" i="74" s="1"/>
  <c r="FC323" i="77"/>
  <c r="N323" i="71" s="1"/>
  <c r="GL323" i="77"/>
  <c r="T323" i="72" s="1"/>
  <c r="BT323" i="77"/>
  <c r="N323" i="68" s="1"/>
  <c r="BZ323" i="77"/>
  <c r="T323" i="68" s="1"/>
  <c r="DC323" i="77"/>
  <c r="T323" i="69" s="1"/>
  <c r="GF323" i="77"/>
  <c r="N323" i="72" s="1"/>
  <c r="AS323" i="77"/>
  <c r="P323" i="65" s="1"/>
  <c r="CW323" i="77"/>
  <c r="N323" i="69" s="1"/>
  <c r="EF323" i="77"/>
  <c r="T323" i="70" s="1"/>
  <c r="HI323" i="77"/>
  <c r="N323" i="73" s="1"/>
  <c r="IR323" i="77"/>
  <c r="T323" i="74" s="1"/>
  <c r="N323" i="77"/>
  <c r="N323" i="39" s="1"/>
  <c r="DZ323" i="77"/>
  <c r="N323" i="70" s="1"/>
  <c r="IL323" i="77"/>
  <c r="N323" i="74" s="1"/>
  <c r="Q307" i="77"/>
  <c r="Q307" i="39" s="1"/>
  <c r="AQ307" i="77"/>
  <c r="N307" i="65" s="1"/>
  <c r="BU307" i="77"/>
  <c r="FC307"/>
  <c r="N307" i="71" s="1"/>
  <c r="GL307" i="77"/>
  <c r="T307" i="72" s="1"/>
  <c r="GF307" i="77"/>
  <c r="N307" i="72" s="1"/>
  <c r="HO307" i="77"/>
  <c r="T307" i="73" s="1"/>
  <c r="CW307" i="77"/>
  <c r="N307" i="69" s="1"/>
  <c r="DC307" i="77"/>
  <c r="T307" i="69" s="1"/>
  <c r="HI307" i="77"/>
  <c r="N307" i="73" s="1"/>
  <c r="N307" i="77"/>
  <c r="N307" i="39" s="1"/>
  <c r="DZ307" i="77"/>
  <c r="N307" i="70" s="1"/>
  <c r="IL307" i="77"/>
  <c r="N307" i="74" s="1"/>
  <c r="AQ304" i="77"/>
  <c r="N304" i="65" s="1"/>
  <c r="FC304" i="77"/>
  <c r="N304" i="71" s="1"/>
  <c r="FI304" i="77"/>
  <c r="T304" i="71" s="1"/>
  <c r="BT304" i="77"/>
  <c r="N304" i="68" s="1"/>
  <c r="BZ304" i="77"/>
  <c r="T304" i="68" s="1"/>
  <c r="GF304" i="77"/>
  <c r="N304" i="72" s="1"/>
  <c r="GL304" i="77"/>
  <c r="T304" i="72" s="1"/>
  <c r="T304" i="77"/>
  <c r="T304" i="39" s="1"/>
  <c r="CW304" i="77"/>
  <c r="N304" i="69" s="1"/>
  <c r="DC304" i="77"/>
  <c r="T304" i="69" s="1"/>
  <c r="EF304" i="77"/>
  <c r="T304" i="70" s="1"/>
  <c r="HI304" i="77"/>
  <c r="N304" i="73" s="1"/>
  <c r="IR304" i="77"/>
  <c r="T304" i="74" s="1"/>
  <c r="N304" i="77"/>
  <c r="N304" i="39" s="1"/>
  <c r="DZ304" i="77"/>
  <c r="N304" i="70" s="1"/>
  <c r="IL304" i="77"/>
  <c r="N304" i="74" s="1"/>
  <c r="AQ302" i="77"/>
  <c r="N302" i="65" s="1"/>
  <c r="AW302" i="77"/>
  <c r="T302" i="65" s="1"/>
  <c r="BU302" i="77"/>
  <c r="O302" i="68" s="1"/>
  <c r="FC302" i="77"/>
  <c r="N302" i="71" s="1"/>
  <c r="FI302" i="77"/>
  <c r="T302" i="71" s="1"/>
  <c r="GG302" i="77"/>
  <c r="O302" i="72" s="1"/>
  <c r="T302" i="77"/>
  <c r="T302" i="39" s="1"/>
  <c r="CW302" i="77"/>
  <c r="N302" i="69" s="1"/>
  <c r="DC302" i="77"/>
  <c r="T302" i="69" s="1"/>
  <c r="EF302" i="77"/>
  <c r="T302" i="70" s="1"/>
  <c r="HI302" i="77"/>
  <c r="N302" i="73" s="1"/>
  <c r="N302" i="77"/>
  <c r="N302" i="39" s="1"/>
  <c r="DZ302" i="77"/>
  <c r="N302" i="70" s="1"/>
  <c r="IL302" i="77"/>
  <c r="N302" i="74" s="1"/>
  <c r="IR298" i="77"/>
  <c r="T298" i="74" s="1"/>
  <c r="IL298" i="77"/>
  <c r="N298" i="74" s="1"/>
  <c r="HO298" i="77"/>
  <c r="T298" i="73" s="1"/>
  <c r="HI298" i="77"/>
  <c r="N298" i="73" s="1"/>
  <c r="GL298" i="77"/>
  <c r="T298" i="72" s="1"/>
  <c r="GF298" i="77"/>
  <c r="N298" i="72" s="1"/>
  <c r="FI298" i="77"/>
  <c r="T298" i="71" s="1"/>
  <c r="FC298" i="77"/>
  <c r="N298" i="71" s="1"/>
  <c r="EF298" i="77"/>
  <c r="T298" i="70" s="1"/>
  <c r="DZ298" i="77"/>
  <c r="N298" i="70" s="1"/>
  <c r="DC298" i="77"/>
  <c r="CY298"/>
  <c r="P298" i="69" s="1"/>
  <c r="BZ298" i="77"/>
  <c r="T298" i="68" s="1"/>
  <c r="BT298" i="77"/>
  <c r="N298" i="68" s="1"/>
  <c r="AQ298" i="77"/>
  <c r="N298" i="65" s="1"/>
  <c r="E360" i="68"/>
  <c r="L360"/>
  <c r="D358" i="72"/>
  <c r="J358"/>
  <c r="H360" i="71"/>
  <c r="M360"/>
  <c r="D358" i="70"/>
  <c r="J358"/>
  <c r="H360" i="69"/>
  <c r="M360"/>
  <c r="E358" i="65"/>
  <c r="K358"/>
  <c r="D370" i="68"/>
  <c r="K370"/>
  <c r="D369" i="74"/>
  <c r="K369"/>
  <c r="G370" i="71"/>
  <c r="M370"/>
  <c r="E369" i="70"/>
  <c r="L369"/>
  <c r="G379" i="71"/>
  <c r="M379"/>
  <c r="D394" i="65"/>
  <c r="E394"/>
  <c r="J283" i="70"/>
  <c r="D283"/>
  <c r="K279"/>
  <c r="D279"/>
  <c r="K275"/>
  <c r="D275"/>
  <c r="J271"/>
  <c r="D271"/>
  <c r="K284" i="69"/>
  <c r="D284"/>
  <c r="J280"/>
  <c r="D280"/>
  <c r="K276"/>
  <c r="D276"/>
  <c r="K272"/>
  <c r="D272"/>
  <c r="L286" i="68"/>
  <c r="E286"/>
  <c r="L282"/>
  <c r="E282"/>
  <c r="L278"/>
  <c r="E278"/>
  <c r="L274"/>
  <c r="E274"/>
  <c r="L270"/>
  <c r="E270"/>
  <c r="J285" i="65"/>
  <c r="J281"/>
  <c r="I277"/>
  <c r="J273"/>
  <c r="M360" i="74"/>
  <c r="H360"/>
  <c r="J358" i="73"/>
  <c r="J360" i="72"/>
  <c r="M360" i="70"/>
  <c r="D358" i="69"/>
  <c r="M370" i="73"/>
  <c r="E369" i="72"/>
  <c r="E383" i="74"/>
  <c r="M379"/>
  <c r="E379" i="72"/>
  <c r="H381" i="71"/>
  <c r="D377"/>
  <c r="D359" i="68"/>
  <c r="K359"/>
  <c r="E359" i="71"/>
  <c r="L359"/>
  <c r="D361" i="70"/>
  <c r="K361"/>
  <c r="E359" i="69"/>
  <c r="L359"/>
  <c r="E361" i="65"/>
  <c r="L361"/>
  <c r="E370" i="72"/>
  <c r="K370"/>
  <c r="G369" i="71"/>
  <c r="M369"/>
  <c r="G370" i="65"/>
  <c r="M370"/>
  <c r="G378" i="68"/>
  <c r="M378"/>
  <c r="G382"/>
  <c r="M382"/>
  <c r="E380" i="74"/>
  <c r="K380"/>
  <c r="G378" i="73"/>
  <c r="M378"/>
  <c r="G382"/>
  <c r="M382"/>
  <c r="D380" i="72"/>
  <c r="J380"/>
  <c r="D378" i="71"/>
  <c r="J378"/>
  <c r="E382"/>
  <c r="K382"/>
  <c r="E380" i="70"/>
  <c r="K380"/>
  <c r="E378" i="69"/>
  <c r="K378"/>
  <c r="E382"/>
  <c r="K382"/>
  <c r="E380" i="65"/>
  <c r="K380"/>
  <c r="E395" i="68"/>
  <c r="K395"/>
  <c r="G395" i="71"/>
  <c r="M395"/>
  <c r="E395" i="69"/>
  <c r="K395"/>
  <c r="I235" i="72"/>
  <c r="H231"/>
  <c r="J227"/>
  <c r="H223"/>
  <c r="J237" i="71"/>
  <c r="D237"/>
  <c r="I233"/>
  <c r="D233"/>
  <c r="K229"/>
  <c r="D229"/>
  <c r="J225"/>
  <c r="D225"/>
  <c r="K235" i="70"/>
  <c r="E235"/>
  <c r="K231"/>
  <c r="E231"/>
  <c r="L227"/>
  <c r="E227"/>
  <c r="L223"/>
  <c r="E223"/>
  <c r="M237" i="69"/>
  <c r="G237"/>
  <c r="L233"/>
  <c r="F233"/>
  <c r="M229"/>
  <c r="F229"/>
  <c r="M225"/>
  <c r="F225"/>
  <c r="K237" i="68"/>
  <c r="E237"/>
  <c r="K233"/>
  <c r="E233"/>
  <c r="L229"/>
  <c r="E229"/>
  <c r="L225"/>
  <c r="E225"/>
  <c r="M235" i="65"/>
  <c r="F235"/>
  <c r="L231"/>
  <c r="G231"/>
  <c r="M227"/>
  <c r="F227"/>
  <c r="M223"/>
  <c r="F223"/>
  <c r="K283" i="74"/>
  <c r="E283"/>
  <c r="L279"/>
  <c r="E279"/>
  <c r="L275"/>
  <c r="E275"/>
  <c r="L271"/>
  <c r="E271"/>
  <c r="L284" i="73"/>
  <c r="E284"/>
  <c r="L280"/>
  <c r="E280"/>
  <c r="L276"/>
  <c r="E276"/>
  <c r="L272"/>
  <c r="E272"/>
  <c r="L285" i="72"/>
  <c r="E285"/>
  <c r="L281"/>
  <c r="E281"/>
  <c r="K277"/>
  <c r="E277"/>
  <c r="L273"/>
  <c r="E273"/>
  <c r="L286" i="71"/>
  <c r="E286"/>
  <c r="L282"/>
  <c r="E282"/>
  <c r="L278"/>
  <c r="E278"/>
  <c r="L274"/>
  <c r="E274"/>
  <c r="L270"/>
  <c r="E270"/>
  <c r="K283" i="70"/>
  <c r="E283"/>
  <c r="L279"/>
  <c r="E279"/>
  <c r="L275"/>
  <c r="E275"/>
  <c r="L271"/>
  <c r="E271"/>
  <c r="L284" i="69"/>
  <c r="E284"/>
  <c r="L280"/>
  <c r="E280"/>
  <c r="L276"/>
  <c r="E276"/>
  <c r="L272"/>
  <c r="E272"/>
  <c r="M286" i="68"/>
  <c r="G286"/>
  <c r="K284"/>
  <c r="D284"/>
  <c r="M282"/>
  <c r="F282"/>
  <c r="J280"/>
  <c r="D280"/>
  <c r="M278"/>
  <c r="F278"/>
  <c r="K276"/>
  <c r="D276"/>
  <c r="M274"/>
  <c r="F274"/>
  <c r="K272"/>
  <c r="D272"/>
  <c r="M270"/>
  <c r="F270"/>
  <c r="K285" i="65"/>
  <c r="D285"/>
  <c r="M283"/>
  <c r="F283"/>
  <c r="K281"/>
  <c r="D281"/>
  <c r="M279"/>
  <c r="F279"/>
  <c r="J277"/>
  <c r="D277"/>
  <c r="M275"/>
  <c r="F275"/>
  <c r="K273"/>
  <c r="D273"/>
  <c r="M271"/>
  <c r="F271"/>
  <c r="J360" i="74"/>
  <c r="K358"/>
  <c r="E358"/>
  <c r="J360" i="73"/>
  <c r="K358"/>
  <c r="E358"/>
  <c r="K358" i="72"/>
  <c r="K360" i="71"/>
  <c r="G358" i="70"/>
  <c r="J360" i="69"/>
  <c r="J358"/>
  <c r="H360" i="68"/>
  <c r="D358"/>
  <c r="J358" i="65"/>
  <c r="M369" i="74"/>
  <c r="E369"/>
  <c r="L369" i="72"/>
  <c r="J370" i="71"/>
  <c r="G369" i="70"/>
  <c r="J370" i="68"/>
  <c r="K383" i="74"/>
  <c r="M381"/>
  <c r="M377"/>
  <c r="M383" i="73"/>
  <c r="D383"/>
  <c r="M379"/>
  <c r="D379"/>
  <c r="D383" i="72"/>
  <c r="J381"/>
  <c r="K379"/>
  <c r="K377"/>
  <c r="M383" i="71"/>
  <c r="J379"/>
  <c r="J377"/>
  <c r="D381" i="70"/>
  <c r="E377"/>
  <c r="D383" i="69"/>
  <c r="E379"/>
  <c r="G377"/>
  <c r="M381" i="65"/>
  <c r="G379"/>
  <c r="M377"/>
  <c r="G394" i="74"/>
  <c r="G394" i="70"/>
  <c r="H360" i="72"/>
  <c r="M360"/>
  <c r="E358" i="71"/>
  <c r="F358"/>
  <c r="J369" i="65"/>
  <c r="M369"/>
  <c r="G377" i="68"/>
  <c r="E377"/>
  <c r="E381"/>
  <c r="D381"/>
  <c r="G377" i="73"/>
  <c r="E377"/>
  <c r="E381"/>
  <c r="D381"/>
  <c r="G394"/>
  <c r="M394"/>
  <c r="K168" i="72"/>
  <c r="J164"/>
  <c r="K160"/>
  <c r="K156"/>
  <c r="M190" i="71"/>
  <c r="M186"/>
  <c r="M182"/>
  <c r="M178"/>
  <c r="M174"/>
  <c r="M170"/>
  <c r="M166"/>
  <c r="M162"/>
  <c r="M158"/>
  <c r="J188" i="70"/>
  <c r="K184"/>
  <c r="K180"/>
  <c r="K176"/>
  <c r="J172"/>
  <c r="K168"/>
  <c r="J164"/>
  <c r="K160"/>
  <c r="K156"/>
  <c r="M190" i="69"/>
  <c r="M186"/>
  <c r="M182"/>
  <c r="M178"/>
  <c r="M174"/>
  <c r="M170"/>
  <c r="M166"/>
  <c r="M162"/>
  <c r="M158"/>
  <c r="M190" i="68"/>
  <c r="M186"/>
  <c r="M182"/>
  <c r="M178"/>
  <c r="M174"/>
  <c r="M170"/>
  <c r="M166"/>
  <c r="M162"/>
  <c r="M158"/>
  <c r="J188" i="65"/>
  <c r="K184"/>
  <c r="K180"/>
  <c r="K176"/>
  <c r="J172"/>
  <c r="K168"/>
  <c r="J164"/>
  <c r="K160"/>
  <c r="K156"/>
  <c r="J237" i="73"/>
  <c r="I233"/>
  <c r="K229"/>
  <c r="M227"/>
  <c r="J225"/>
  <c r="M223"/>
  <c r="K235" i="72"/>
  <c r="K231"/>
  <c r="L227"/>
  <c r="L223"/>
  <c r="M237" i="71"/>
  <c r="J235"/>
  <c r="L233"/>
  <c r="J231"/>
  <c r="M229"/>
  <c r="K227"/>
  <c r="M225"/>
  <c r="J223"/>
  <c r="K237" i="70"/>
  <c r="K233"/>
  <c r="L229"/>
  <c r="L225"/>
  <c r="J237" i="69"/>
  <c r="M235"/>
  <c r="I233"/>
  <c r="L231"/>
  <c r="K229"/>
  <c r="M227"/>
  <c r="J225"/>
  <c r="M223"/>
  <c r="K235" i="68"/>
  <c r="K231"/>
  <c r="L227"/>
  <c r="L223"/>
  <c r="M237" i="65"/>
  <c r="J235"/>
  <c r="L233"/>
  <c r="J231"/>
  <c r="M229"/>
  <c r="K227"/>
  <c r="M225"/>
  <c r="J223"/>
  <c r="L285" i="74"/>
  <c r="L281"/>
  <c r="K277"/>
  <c r="L273"/>
  <c r="L286" i="73"/>
  <c r="L282"/>
  <c r="L278"/>
  <c r="L274"/>
  <c r="L270"/>
  <c r="K283" i="72"/>
  <c r="L279"/>
  <c r="L275"/>
  <c r="L271"/>
  <c r="L284" i="71"/>
  <c r="L280"/>
  <c r="L276"/>
  <c r="L272"/>
  <c r="L285" i="70"/>
  <c r="L281"/>
  <c r="K277"/>
  <c r="L273"/>
  <c r="K272"/>
  <c r="L286" i="69"/>
  <c r="K285"/>
  <c r="L282"/>
  <c r="K281"/>
  <c r="L278"/>
  <c r="J277"/>
  <c r="L274"/>
  <c r="K273"/>
  <c r="L270"/>
  <c r="J286" i="68"/>
  <c r="M284"/>
  <c r="K283"/>
  <c r="K282"/>
  <c r="M280"/>
  <c r="L279"/>
  <c r="J278"/>
  <c r="M276"/>
  <c r="L275"/>
  <c r="K274"/>
  <c r="M272"/>
  <c r="L271"/>
  <c r="K270"/>
  <c r="M285" i="65"/>
  <c r="J283"/>
  <c r="M281"/>
  <c r="K279"/>
  <c r="M277"/>
  <c r="K275"/>
  <c r="M273"/>
  <c r="J271"/>
  <c r="M361" i="74"/>
  <c r="L360"/>
  <c r="L360" i="73"/>
  <c r="K359"/>
  <c r="G358"/>
  <c r="L361" i="72"/>
  <c r="D361"/>
  <c r="E360"/>
  <c r="F358"/>
  <c r="E360" i="71"/>
  <c r="J359"/>
  <c r="J358"/>
  <c r="J361" i="70"/>
  <c r="H360"/>
  <c r="M358"/>
  <c r="E358"/>
  <c r="L360" i="69"/>
  <c r="D360"/>
  <c r="G359"/>
  <c r="K360" i="68"/>
  <c r="M359"/>
  <c r="E359"/>
  <c r="K361" i="65"/>
  <c r="M360"/>
  <c r="F358"/>
  <c r="J369" i="74"/>
  <c r="G370" i="73"/>
  <c r="M370" i="72"/>
  <c r="F370"/>
  <c r="L370" i="71"/>
  <c r="E370"/>
  <c r="J369"/>
  <c r="K369" i="70"/>
  <c r="M370" i="69"/>
  <c r="F370" i="68"/>
  <c r="G369"/>
  <c r="K370" i="65"/>
  <c r="D370"/>
  <c r="E381" i="74"/>
  <c r="H380"/>
  <c r="G379"/>
  <c r="H377"/>
  <c r="H383" i="73"/>
  <c r="J382"/>
  <c r="J381"/>
  <c r="G379"/>
  <c r="J378"/>
  <c r="K377"/>
  <c r="D381" i="72"/>
  <c r="G380"/>
  <c r="H377"/>
  <c r="I383" i="71"/>
  <c r="I382"/>
  <c r="E379"/>
  <c r="G378"/>
  <c r="I383" i="70"/>
  <c r="J381"/>
  <c r="J380"/>
  <c r="J379"/>
  <c r="I383" i="69"/>
  <c r="J382"/>
  <c r="K381"/>
  <c r="M378"/>
  <c r="D378"/>
  <c r="I383" i="68"/>
  <c r="I382"/>
  <c r="I379"/>
  <c r="H378"/>
  <c r="J383" i="65"/>
  <c r="D381"/>
  <c r="G380"/>
  <c r="D377"/>
  <c r="K395" i="73"/>
  <c r="D395"/>
  <c r="K395" i="71"/>
  <c r="D395"/>
  <c r="M395" i="69"/>
  <c r="D395"/>
  <c r="H395" i="68"/>
  <c r="L394" i="65"/>
  <c r="N298" i="77"/>
  <c r="P329"/>
  <c r="P329" i="39" s="1"/>
  <c r="K354" i="72"/>
  <c r="F354"/>
  <c r="M379" i="65"/>
  <c r="F394" i="73"/>
  <c r="H354" i="70"/>
  <c r="E354" i="72"/>
  <c r="D354" i="74"/>
  <c r="L354" i="70"/>
  <c r="H354" i="74"/>
  <c r="E358" i="39"/>
  <c r="M358"/>
  <c r="K360" i="70"/>
  <c r="D360"/>
  <c r="M358" i="69"/>
  <c r="F358"/>
  <c r="M358" i="68"/>
  <c r="F358"/>
  <c r="K360" i="65"/>
  <c r="D360"/>
  <c r="K370" i="73"/>
  <c r="E370"/>
  <c r="J369" i="72"/>
  <c r="K370" i="69"/>
  <c r="E370"/>
  <c r="K369" i="65"/>
  <c r="D369"/>
  <c r="I383" i="74"/>
  <c r="J379"/>
  <c r="D379"/>
  <c r="M381" i="73"/>
  <c r="G381"/>
  <c r="H377"/>
  <c r="M383" i="72"/>
  <c r="H383"/>
  <c r="I379"/>
  <c r="K381" i="71"/>
  <c r="E381"/>
  <c r="M377"/>
  <c r="G377"/>
  <c r="K383" i="70"/>
  <c r="E383"/>
  <c r="M379"/>
  <c r="G379"/>
  <c r="H381" i="69"/>
  <c r="J377"/>
  <c r="D377"/>
  <c r="M381" i="68"/>
  <c r="G381"/>
  <c r="H377"/>
  <c r="M383" i="65"/>
  <c r="H383"/>
  <c r="J379"/>
  <c r="D379"/>
  <c r="J394" i="73"/>
  <c r="D394"/>
  <c r="L394" i="71"/>
  <c r="G358"/>
  <c r="L360" i="70"/>
  <c r="E360"/>
  <c r="G358" i="69"/>
  <c r="G358" i="68"/>
  <c r="L360" i="65"/>
  <c r="E360"/>
  <c r="L370" i="73"/>
  <c r="F370"/>
  <c r="K369" i="72"/>
  <c r="D369"/>
  <c r="L370" i="69"/>
  <c r="F370"/>
  <c r="L369" i="65"/>
  <c r="E369"/>
  <c r="J383" i="74"/>
  <c r="D383"/>
  <c r="K379"/>
  <c r="E379"/>
  <c r="H381" i="73"/>
  <c r="J377"/>
  <c r="D377"/>
  <c r="I383" i="72"/>
  <c r="J379"/>
  <c r="D379"/>
  <c r="M381" i="71"/>
  <c r="G381"/>
  <c r="H377"/>
  <c r="M383" i="70"/>
  <c r="H383"/>
  <c r="I379"/>
  <c r="J381" i="69"/>
  <c r="D381"/>
  <c r="K377"/>
  <c r="E377"/>
  <c r="H381" i="68"/>
  <c r="J377"/>
  <c r="D377"/>
  <c r="I383" i="65"/>
  <c r="K379"/>
  <c r="E379"/>
  <c r="L394" i="73"/>
  <c r="E394"/>
  <c r="M394" i="71"/>
  <c r="K358"/>
  <c r="K358" i="69"/>
  <c r="K358" i="68"/>
  <c r="J370" i="73"/>
  <c r="M369" i="72"/>
  <c r="J370" i="69"/>
  <c r="M383" i="74"/>
  <c r="K381" i="73"/>
  <c r="M377"/>
  <c r="K383" i="72"/>
  <c r="M379"/>
  <c r="J381" i="71"/>
  <c r="K377"/>
  <c r="J383" i="70"/>
  <c r="K379"/>
  <c r="M381" i="69"/>
  <c r="K381" i="68"/>
  <c r="M377"/>
  <c r="K383" i="65"/>
  <c r="DH26" i="77"/>
  <c r="DK26" s="1"/>
  <c r="DH30"/>
  <c r="DK30" s="1"/>
  <c r="DH34"/>
  <c r="DK34" s="1"/>
  <c r="DH39"/>
  <c r="DK39" s="1"/>
  <c r="DH44"/>
  <c r="DK44" s="1"/>
  <c r="DH48"/>
  <c r="DK48" s="1"/>
  <c r="DH52"/>
  <c r="DK52" s="1"/>
  <c r="DH57"/>
  <c r="DK57" s="1"/>
  <c r="DH65"/>
  <c r="DK65" s="1"/>
  <c r="DH69"/>
  <c r="DK69" s="1"/>
  <c r="DH73"/>
  <c r="DK73" s="1"/>
  <c r="DH85"/>
  <c r="AB85" i="68"/>
  <c r="DH89" i="77"/>
  <c r="DK89" s="1"/>
  <c r="DH93"/>
  <c r="DK93" s="1"/>
  <c r="Y106" i="69"/>
  <c r="AB106" i="68"/>
  <c r="Y156" i="69"/>
  <c r="DH200" i="77"/>
  <c r="DK200" s="1"/>
  <c r="DH204"/>
  <c r="DK204" s="1"/>
  <c r="DH208"/>
  <c r="Y221" i="69"/>
  <c r="DH225" i="77"/>
  <c r="DK225" s="1"/>
  <c r="AB278" i="68"/>
  <c r="DH229" i="77"/>
  <c r="DH237"/>
  <c r="DK237" s="1"/>
  <c r="DH245"/>
  <c r="DK245" s="1"/>
  <c r="DH253"/>
  <c r="DK253" s="1"/>
  <c r="DH257"/>
  <c r="DK257" s="1"/>
  <c r="DH263"/>
  <c r="DH267"/>
  <c r="DK267" s="1"/>
  <c r="DH275"/>
  <c r="DK275" s="1"/>
  <c r="AB275" i="68"/>
  <c r="DH279" i="77"/>
  <c r="DK279" s="1"/>
  <c r="DH283"/>
  <c r="DK283" s="1"/>
  <c r="DH287"/>
  <c r="DH295"/>
  <c r="DK295" s="1"/>
  <c r="DH354"/>
  <c r="DH372"/>
  <c r="DH385"/>
  <c r="Y391" i="69"/>
  <c r="DH409" i="77"/>
  <c r="DK409" s="1"/>
  <c r="DH423"/>
  <c r="DK423" s="1"/>
  <c r="DH437"/>
  <c r="DK437" s="1"/>
  <c r="DH442"/>
  <c r="DK442" s="1"/>
  <c r="DH449"/>
  <c r="DK449" s="1"/>
  <c r="DH20"/>
  <c r="DK20" s="1"/>
  <c r="DH24"/>
  <c r="DK24" s="1"/>
  <c r="DH29"/>
  <c r="DK29" s="1"/>
  <c r="DH33"/>
  <c r="DK33" s="1"/>
  <c r="DH38"/>
  <c r="DK38" s="1"/>
  <c r="DH42"/>
  <c r="DK42" s="1"/>
  <c r="DH47"/>
  <c r="DK47" s="1"/>
  <c r="DH55"/>
  <c r="DK55" s="1"/>
  <c r="DH60"/>
  <c r="DK60" s="1"/>
  <c r="DH64"/>
  <c r="DK64" s="1"/>
  <c r="DH68"/>
  <c r="DK68" s="1"/>
  <c r="DH72"/>
  <c r="DK72" s="1"/>
  <c r="DH80"/>
  <c r="DK80" s="1"/>
  <c r="DH84"/>
  <c r="AB84" i="68"/>
  <c r="DH88" i="77"/>
  <c r="AB88" i="68"/>
  <c r="DH92" i="77"/>
  <c r="DK92" s="1"/>
  <c r="EK96"/>
  <c r="EN96" s="1"/>
  <c r="Y159" i="69"/>
  <c r="AB159" i="68"/>
  <c r="AB167"/>
  <c r="AB179"/>
  <c r="AB187"/>
  <c r="Y195" i="69"/>
  <c r="DH207" i="77"/>
  <c r="Y216" i="69"/>
  <c r="DH240" i="77"/>
  <c r="DK240" s="1"/>
  <c r="DH244"/>
  <c r="DK244" s="1"/>
  <c r="DH248"/>
  <c r="DK248" s="1"/>
  <c r="DH256"/>
  <c r="DK256" s="1"/>
  <c r="DH262"/>
  <c r="DK262" s="1"/>
  <c r="DH270"/>
  <c r="DK270" s="1"/>
  <c r="DH274"/>
  <c r="DK274" s="1"/>
  <c r="DH278"/>
  <c r="DH282"/>
  <c r="DK282" s="1"/>
  <c r="AB282" i="68"/>
  <c r="DH286" i="77"/>
  <c r="DK286" s="1"/>
  <c r="DH294"/>
  <c r="DK294" s="1"/>
  <c r="DH362"/>
  <c r="Y371" i="69"/>
  <c r="DH376" i="77"/>
  <c r="DK376" s="1"/>
  <c r="DH384"/>
  <c r="DK384" s="1"/>
  <c r="DH395"/>
  <c r="DK395" s="1"/>
  <c r="DH422"/>
  <c r="DK422" s="1"/>
  <c r="DH436"/>
  <c r="DK436" s="1"/>
  <c r="DH448"/>
  <c r="DK448" s="1"/>
  <c r="DH23"/>
  <c r="DK23" s="1"/>
  <c r="DH28"/>
  <c r="DK28" s="1"/>
  <c r="DH32"/>
  <c r="DK32" s="1"/>
  <c r="DH37"/>
  <c r="DK37" s="1"/>
  <c r="DH46"/>
  <c r="DK46" s="1"/>
  <c r="DH50"/>
  <c r="DK50" s="1"/>
  <c r="DH54"/>
  <c r="DK54" s="1"/>
  <c r="DH59"/>
  <c r="DK59" s="1"/>
  <c r="DH63"/>
  <c r="DK63" s="1"/>
  <c r="DH67"/>
  <c r="DK67" s="1"/>
  <c r="DH79"/>
  <c r="DK79" s="1"/>
  <c r="GQ83"/>
  <c r="GT83" s="1"/>
  <c r="AB83" i="71"/>
  <c r="EK87" i="77"/>
  <c r="AB87" i="69"/>
  <c r="DH95" i="77"/>
  <c r="DK95" s="1"/>
  <c r="Y154" i="69"/>
  <c r="Y194"/>
  <c r="DH202" i="77"/>
  <c r="DH223"/>
  <c r="DH239"/>
  <c r="DK239" s="1"/>
  <c r="DH243"/>
  <c r="DK243" s="1"/>
  <c r="DH247"/>
  <c r="DK247" s="1"/>
  <c r="DH265"/>
  <c r="DK265" s="1"/>
  <c r="DH269"/>
  <c r="DK269" s="1"/>
  <c r="DH273"/>
  <c r="DH277"/>
  <c r="DK277" s="1"/>
  <c r="DH285"/>
  <c r="DK285" s="1"/>
  <c r="DH289"/>
  <c r="DH293"/>
  <c r="DK293" s="1"/>
  <c r="DH365"/>
  <c r="DK365" s="1"/>
  <c r="DH394"/>
  <c r="DK394" s="1"/>
  <c r="DH402"/>
  <c r="DK402" s="1"/>
  <c r="DH426"/>
  <c r="DK426" s="1"/>
  <c r="DH430"/>
  <c r="DK430" s="1"/>
  <c r="DH444"/>
  <c r="DK444" s="1"/>
  <c r="DH457"/>
  <c r="DK457" s="1"/>
  <c r="DH22"/>
  <c r="DK22" s="1"/>
  <c r="DH27"/>
  <c r="DK27" s="1"/>
  <c r="DH36"/>
  <c r="DK36" s="1"/>
  <c r="DH40"/>
  <c r="DK40" s="1"/>
  <c r="DH45"/>
  <c r="DK45" s="1"/>
  <c r="DH49"/>
  <c r="DK49" s="1"/>
  <c r="DH53"/>
  <c r="DK53" s="1"/>
  <c r="DH58"/>
  <c r="DK58" s="1"/>
  <c r="DH62"/>
  <c r="DK62" s="1"/>
  <c r="DH66"/>
  <c r="DK66" s="1"/>
  <c r="DH70"/>
  <c r="DK70" s="1"/>
  <c r="DH78"/>
  <c r="DK78" s="1"/>
  <c r="DH82"/>
  <c r="DK82" s="1"/>
  <c r="EK86"/>
  <c r="EN86" s="1"/>
  <c r="AB86" i="69"/>
  <c r="DH94" i="77"/>
  <c r="DK94" s="1"/>
  <c r="DH98"/>
  <c r="DK98" s="1"/>
  <c r="Y132" i="69"/>
  <c r="AB140" i="68"/>
  <c r="AB229"/>
  <c r="Y193" i="74"/>
  <c r="Y201" i="69"/>
  <c r="DH205" i="77"/>
  <c r="DK205" s="1"/>
  <c r="DH209"/>
  <c r="DK209" s="1"/>
  <c r="DH222"/>
  <c r="DH230"/>
  <c r="DK230" s="1"/>
  <c r="DH242"/>
  <c r="DK242" s="1"/>
  <c r="DH246"/>
  <c r="DK246" s="1"/>
  <c r="DH250"/>
  <c r="DK250" s="1"/>
  <c r="DH254"/>
  <c r="DK254" s="1"/>
  <c r="DH259"/>
  <c r="DH264"/>
  <c r="DK264" s="1"/>
  <c r="DH268"/>
  <c r="DH272"/>
  <c r="DK272" s="1"/>
  <c r="DH276"/>
  <c r="DH288"/>
  <c r="DK288" s="1"/>
  <c r="DH292"/>
  <c r="DH296"/>
  <c r="DK296" s="1"/>
  <c r="AB395" i="70"/>
  <c r="DH393" i="77"/>
  <c r="DK393" s="1"/>
  <c r="DH420"/>
  <c r="DK420" s="1"/>
  <c r="DH429"/>
  <c r="DK429" s="1"/>
  <c r="DH443"/>
  <c r="DK443" s="1"/>
  <c r="G273" i="65"/>
  <c r="G168"/>
  <c r="G107"/>
  <c r="I273" i="68"/>
  <c r="I168"/>
  <c r="I107"/>
  <c r="H273" i="70"/>
  <c r="H168"/>
  <c r="H107"/>
  <c r="G273" i="72"/>
  <c r="G168"/>
  <c r="G107"/>
  <c r="H273" i="73"/>
  <c r="H168"/>
  <c r="H107"/>
  <c r="I273" i="74"/>
  <c r="I168"/>
  <c r="I107"/>
  <c r="H136" i="65"/>
  <c r="H111"/>
  <c r="I136" i="68"/>
  <c r="I111"/>
  <c r="H111" i="70"/>
  <c r="H136"/>
  <c r="F136" i="72"/>
  <c r="F111"/>
  <c r="H136" i="73"/>
  <c r="H111"/>
  <c r="I136" i="74"/>
  <c r="I111"/>
  <c r="H272" i="68"/>
  <c r="H161"/>
  <c r="G272" i="70"/>
  <c r="G161"/>
  <c r="H272" i="71"/>
  <c r="H161"/>
  <c r="G272" i="73"/>
  <c r="G161"/>
  <c r="H272" i="74"/>
  <c r="H161"/>
  <c r="H224" i="68"/>
  <c r="H276"/>
  <c r="H174"/>
  <c r="G276" i="70"/>
  <c r="G224"/>
  <c r="G174"/>
  <c r="H276" i="71"/>
  <c r="H174"/>
  <c r="H224"/>
  <c r="G276" i="73"/>
  <c r="G224"/>
  <c r="G174"/>
  <c r="H276" i="74"/>
  <c r="H174"/>
  <c r="H224"/>
  <c r="H277" i="68"/>
  <c r="H175"/>
  <c r="F277" i="70"/>
  <c r="F175"/>
  <c r="H277" i="71"/>
  <c r="H175"/>
  <c r="L277" i="72"/>
  <c r="L175"/>
  <c r="H277" i="74"/>
  <c r="H175"/>
  <c r="I237" i="68"/>
  <c r="I188"/>
  <c r="L237" i="69"/>
  <c r="L188"/>
  <c r="I188" i="71"/>
  <c r="I237"/>
  <c r="L188" i="72"/>
  <c r="L237"/>
  <c r="I237" i="74"/>
  <c r="I188"/>
  <c r="I283" i="65"/>
  <c r="I186"/>
  <c r="G283" i="69"/>
  <c r="G186"/>
  <c r="L283" i="70"/>
  <c r="L186"/>
  <c r="G283" i="72"/>
  <c r="G186"/>
  <c r="I283" i="73"/>
  <c r="I186"/>
  <c r="I185" i="65"/>
  <c r="I116"/>
  <c r="G185" i="69"/>
  <c r="G116"/>
  <c r="F185" i="71"/>
  <c r="F116"/>
  <c r="G185" i="72"/>
  <c r="G116"/>
  <c r="I185" i="73"/>
  <c r="I116"/>
  <c r="H274" i="65"/>
  <c r="H222"/>
  <c r="H171"/>
  <c r="H108"/>
  <c r="G274" i="69"/>
  <c r="G222"/>
  <c r="G171"/>
  <c r="G108"/>
  <c r="G274" i="71"/>
  <c r="G171"/>
  <c r="G222"/>
  <c r="G108"/>
  <c r="H274" i="72"/>
  <c r="H171"/>
  <c r="H222"/>
  <c r="H108"/>
  <c r="I274" i="73"/>
  <c r="I222"/>
  <c r="I171"/>
  <c r="I108"/>
  <c r="H279" i="65"/>
  <c r="H230"/>
  <c r="H178"/>
  <c r="H113"/>
  <c r="G279" i="69"/>
  <c r="G230"/>
  <c r="G178"/>
  <c r="G113"/>
  <c r="G279" i="71"/>
  <c r="G230"/>
  <c r="G178"/>
  <c r="G113"/>
  <c r="H279" i="72"/>
  <c r="H230"/>
  <c r="H178"/>
  <c r="H113"/>
  <c r="I279" i="73"/>
  <c r="I230"/>
  <c r="I178"/>
  <c r="I113"/>
  <c r="H281" i="65"/>
  <c r="H184"/>
  <c r="G281" i="69"/>
  <c r="G184"/>
  <c r="G281" i="71"/>
  <c r="G184"/>
  <c r="H281" i="72"/>
  <c r="H184"/>
  <c r="I281" i="73"/>
  <c r="I184"/>
  <c r="G156" i="65"/>
  <c r="G105"/>
  <c r="G156" i="70"/>
  <c r="G105"/>
  <c r="G156" i="72"/>
  <c r="G105"/>
  <c r="G156" i="74"/>
  <c r="G105"/>
  <c r="H173" i="68"/>
  <c r="H110"/>
  <c r="F173" i="70"/>
  <c r="F110"/>
  <c r="I173" i="71"/>
  <c r="I110"/>
  <c r="F173" i="73"/>
  <c r="F110"/>
  <c r="H173" i="74"/>
  <c r="H110"/>
  <c r="H284" i="68"/>
  <c r="H117"/>
  <c r="F284" i="70"/>
  <c r="F117"/>
  <c r="I284" i="71"/>
  <c r="I117"/>
  <c r="F284" i="73"/>
  <c r="F117"/>
  <c r="H284" i="74"/>
  <c r="H117"/>
  <c r="F158" i="68"/>
  <c r="F130"/>
  <c r="I158" i="69"/>
  <c r="I130"/>
  <c r="H158" i="71"/>
  <c r="H130"/>
  <c r="I158" i="72"/>
  <c r="I130"/>
  <c r="F158" i="74"/>
  <c r="F130"/>
  <c r="I271" i="65"/>
  <c r="I134"/>
  <c r="K271" i="68"/>
  <c r="K134"/>
  <c r="K271" i="70"/>
  <c r="K134"/>
  <c r="H271" i="72"/>
  <c r="H134"/>
  <c r="K271" i="73"/>
  <c r="K134"/>
  <c r="K223" i="65"/>
  <c r="K172"/>
  <c r="I223" i="69"/>
  <c r="I172"/>
  <c r="G172" i="71"/>
  <c r="G223"/>
  <c r="I223" i="72"/>
  <c r="I172"/>
  <c r="G223" i="74"/>
  <c r="G172"/>
  <c r="G132" i="65"/>
  <c r="G106"/>
  <c r="M132" i="68"/>
  <c r="M106"/>
  <c r="G132" i="70"/>
  <c r="G106"/>
  <c r="M132" i="71"/>
  <c r="M106"/>
  <c r="G132" i="73"/>
  <c r="G106"/>
  <c r="I132" i="74"/>
  <c r="I106"/>
  <c r="I229" i="68"/>
  <c r="I177"/>
  <c r="J229" i="69"/>
  <c r="J177"/>
  <c r="I229" i="71"/>
  <c r="I177"/>
  <c r="G177" i="73"/>
  <c r="G229"/>
  <c r="I229" i="74"/>
  <c r="I177"/>
  <c r="F231" i="68"/>
  <c r="F179"/>
  <c r="I231" i="69"/>
  <c r="I179"/>
  <c r="F231" i="71"/>
  <c r="F179"/>
  <c r="I231" i="72"/>
  <c r="I179"/>
  <c r="M179" i="73"/>
  <c r="M231"/>
  <c r="H225" i="65"/>
  <c r="H278"/>
  <c r="G225" i="69"/>
  <c r="G278"/>
  <c r="K225" i="70"/>
  <c r="K278"/>
  <c r="G278" i="72"/>
  <c r="G225"/>
  <c r="K278" i="73"/>
  <c r="K225"/>
  <c r="H273" i="68"/>
  <c r="H168"/>
  <c r="H107"/>
  <c r="G273" i="70"/>
  <c r="G168"/>
  <c r="G107"/>
  <c r="I273" i="71"/>
  <c r="I168"/>
  <c r="I107"/>
  <c r="G273" i="73"/>
  <c r="G168"/>
  <c r="G107"/>
  <c r="H273" i="74"/>
  <c r="H168"/>
  <c r="H107"/>
  <c r="H136" i="68"/>
  <c r="H111"/>
  <c r="F136" i="70"/>
  <c r="F111"/>
  <c r="I136" i="71"/>
  <c r="I111"/>
  <c r="F136" i="73"/>
  <c r="F111"/>
  <c r="H136" i="74"/>
  <c r="H111"/>
  <c r="J272" i="65"/>
  <c r="J161"/>
  <c r="J272" i="69"/>
  <c r="J161"/>
  <c r="G272" i="71"/>
  <c r="G161"/>
  <c r="J272" i="72"/>
  <c r="J161"/>
  <c r="G272" i="74"/>
  <c r="G161"/>
  <c r="J276" i="65"/>
  <c r="J224"/>
  <c r="J174"/>
  <c r="J224" i="69"/>
  <c r="J276"/>
  <c r="J174"/>
  <c r="G276" i="71"/>
  <c r="G224"/>
  <c r="G174"/>
  <c r="J276" i="72"/>
  <c r="J174"/>
  <c r="J224"/>
  <c r="G276" i="74"/>
  <c r="G224"/>
  <c r="G174"/>
  <c r="F277" i="68"/>
  <c r="F175"/>
  <c r="L277" i="69"/>
  <c r="L175"/>
  <c r="F277" i="71"/>
  <c r="F175"/>
  <c r="H277" i="72"/>
  <c r="H175"/>
  <c r="F277" i="74"/>
  <c r="F175"/>
  <c r="F237" i="68"/>
  <c r="F188"/>
  <c r="I237" i="69"/>
  <c r="I188"/>
  <c r="F188" i="71"/>
  <c r="F237"/>
  <c r="I237" i="72"/>
  <c r="I188"/>
  <c r="F237" i="74"/>
  <c r="F188"/>
  <c r="G283" i="65"/>
  <c r="G186"/>
  <c r="L283" i="68"/>
  <c r="L186"/>
  <c r="G283" i="70"/>
  <c r="G186"/>
  <c r="L283" i="71"/>
  <c r="L186"/>
  <c r="G283" i="73"/>
  <c r="G186"/>
  <c r="L283" i="74"/>
  <c r="L186"/>
  <c r="G185" i="65"/>
  <c r="G116"/>
  <c r="F185" i="69"/>
  <c r="F116"/>
  <c r="G185" i="70"/>
  <c r="G116"/>
  <c r="F185" i="72"/>
  <c r="F116"/>
  <c r="G185" i="73"/>
  <c r="G116"/>
  <c r="I185" i="74"/>
  <c r="I116"/>
  <c r="G222" i="65"/>
  <c r="G274"/>
  <c r="G171"/>
  <c r="G108"/>
  <c r="I274" i="68"/>
  <c r="I222"/>
  <c r="I171"/>
  <c r="I108"/>
  <c r="H274" i="70"/>
  <c r="H222"/>
  <c r="H171"/>
  <c r="H108"/>
  <c r="G274" i="72"/>
  <c r="G171"/>
  <c r="G222"/>
  <c r="G108"/>
  <c r="H274" i="73"/>
  <c r="H222"/>
  <c r="H171"/>
  <c r="H108"/>
  <c r="I274" i="74"/>
  <c r="I171"/>
  <c r="I222"/>
  <c r="I108"/>
  <c r="G230" i="65"/>
  <c r="G279"/>
  <c r="G178"/>
  <c r="G113"/>
  <c r="I279" i="68"/>
  <c r="I230"/>
  <c r="I178"/>
  <c r="I113"/>
  <c r="H230" i="70"/>
  <c r="H279"/>
  <c r="H178"/>
  <c r="H113"/>
  <c r="G279" i="72"/>
  <c r="G230"/>
  <c r="G178"/>
  <c r="G113"/>
  <c r="H279" i="73"/>
  <c r="H178"/>
  <c r="H230"/>
  <c r="H113"/>
  <c r="I279" i="74"/>
  <c r="I230"/>
  <c r="I178"/>
  <c r="I113"/>
  <c r="G281" i="65"/>
  <c r="G184"/>
  <c r="I281" i="68"/>
  <c r="I184"/>
  <c r="H281" i="70"/>
  <c r="H184"/>
  <c r="G281" i="72"/>
  <c r="G184"/>
  <c r="H281" i="73"/>
  <c r="H184"/>
  <c r="I281" i="74"/>
  <c r="I184"/>
  <c r="G156" i="69"/>
  <c r="G105"/>
  <c r="H156" i="71"/>
  <c r="H105"/>
  <c r="H156" i="73"/>
  <c r="H105"/>
  <c r="F173" i="68"/>
  <c r="F110"/>
  <c r="I173" i="69"/>
  <c r="I110"/>
  <c r="H173" i="71"/>
  <c r="H110"/>
  <c r="I173" i="72"/>
  <c r="I110"/>
  <c r="F173" i="74"/>
  <c r="F110"/>
  <c r="F284" i="68"/>
  <c r="F117"/>
  <c r="I284" i="69"/>
  <c r="I117"/>
  <c r="H284" i="71"/>
  <c r="H117"/>
  <c r="I284" i="72"/>
  <c r="I117"/>
  <c r="F284" i="74"/>
  <c r="F117"/>
  <c r="I158" i="65"/>
  <c r="I130"/>
  <c r="F158" i="69"/>
  <c r="F130"/>
  <c r="F158" i="71"/>
  <c r="F130"/>
  <c r="H158" i="72"/>
  <c r="H130"/>
  <c r="I158" i="73"/>
  <c r="I130"/>
  <c r="H271" i="65"/>
  <c r="H134"/>
  <c r="I271" i="68"/>
  <c r="I134"/>
  <c r="H271" i="70"/>
  <c r="H134"/>
  <c r="K271" i="71"/>
  <c r="K134"/>
  <c r="I271" i="73"/>
  <c r="I134"/>
  <c r="K271" i="74"/>
  <c r="K134"/>
  <c r="I223" i="65"/>
  <c r="I172"/>
  <c r="G223" i="69"/>
  <c r="G172"/>
  <c r="K223" i="70"/>
  <c r="K172"/>
  <c r="G223" i="72"/>
  <c r="G172"/>
  <c r="K172" i="73"/>
  <c r="K223"/>
  <c r="I132" i="68"/>
  <c r="I106"/>
  <c r="M132" i="69"/>
  <c r="M106"/>
  <c r="I132" i="71"/>
  <c r="I106"/>
  <c r="M106" i="72"/>
  <c r="M132"/>
  <c r="G132" i="74"/>
  <c r="G106"/>
  <c r="J229" i="65"/>
  <c r="J177"/>
  <c r="I229" i="69"/>
  <c r="I177"/>
  <c r="G177" i="71"/>
  <c r="G229"/>
  <c r="J229" i="72"/>
  <c r="J177"/>
  <c r="G229" i="74"/>
  <c r="G177"/>
  <c r="M231" i="65"/>
  <c r="M179"/>
  <c r="F231" i="69"/>
  <c r="F179"/>
  <c r="M231" i="70"/>
  <c r="M179"/>
  <c r="F179" i="72"/>
  <c r="F231"/>
  <c r="I179" i="73"/>
  <c r="I231"/>
  <c r="G278" i="65"/>
  <c r="G225"/>
  <c r="K278" i="68"/>
  <c r="K225"/>
  <c r="H225" i="70"/>
  <c r="H278"/>
  <c r="K278" i="71"/>
  <c r="K225"/>
  <c r="H278" i="73"/>
  <c r="H225"/>
  <c r="K278" i="74"/>
  <c r="K225"/>
  <c r="Y259" i="68"/>
  <c r="I273" i="65"/>
  <c r="I168"/>
  <c r="I107"/>
  <c r="I273" i="69"/>
  <c r="I168"/>
  <c r="I107"/>
  <c r="H273" i="71"/>
  <c r="H168"/>
  <c r="H107"/>
  <c r="I273" i="72"/>
  <c r="I168"/>
  <c r="I107"/>
  <c r="G273" i="74"/>
  <c r="G168"/>
  <c r="G107"/>
  <c r="F136" i="68"/>
  <c r="F111"/>
  <c r="I136" i="69"/>
  <c r="I111"/>
  <c r="H136" i="71"/>
  <c r="H111"/>
  <c r="I136" i="72"/>
  <c r="I111"/>
  <c r="F136" i="74"/>
  <c r="F111"/>
  <c r="H272" i="65"/>
  <c r="H161"/>
  <c r="G272" i="69"/>
  <c r="G161"/>
  <c r="J272" i="70"/>
  <c r="J161"/>
  <c r="H272" i="72"/>
  <c r="H161"/>
  <c r="J272" i="73"/>
  <c r="J161"/>
  <c r="H224" i="65"/>
  <c r="H276"/>
  <c r="H174"/>
  <c r="G276" i="69"/>
  <c r="G224"/>
  <c r="G174"/>
  <c r="J276" i="70"/>
  <c r="J224"/>
  <c r="J174"/>
  <c r="H276" i="72"/>
  <c r="H224"/>
  <c r="H174"/>
  <c r="J276" i="73"/>
  <c r="J174"/>
  <c r="J224"/>
  <c r="L277" i="65"/>
  <c r="L175"/>
  <c r="F277" i="69"/>
  <c r="F175"/>
  <c r="L277" i="70"/>
  <c r="L175"/>
  <c r="F277" i="72"/>
  <c r="F175"/>
  <c r="H277" i="73"/>
  <c r="H175"/>
  <c r="L237" i="65"/>
  <c r="L188"/>
  <c r="F237" i="69"/>
  <c r="F188"/>
  <c r="L237" i="70"/>
  <c r="L188"/>
  <c r="F237" i="72"/>
  <c r="F188"/>
  <c r="I237" i="73"/>
  <c r="I188"/>
  <c r="I283" i="68"/>
  <c r="I186"/>
  <c r="L283" i="69"/>
  <c r="L186"/>
  <c r="I283" i="71"/>
  <c r="I186"/>
  <c r="L283" i="72"/>
  <c r="L186"/>
  <c r="I283" i="74"/>
  <c r="I186"/>
  <c r="I185" i="68"/>
  <c r="I116"/>
  <c r="F185" i="70"/>
  <c r="F116"/>
  <c r="I185" i="71"/>
  <c r="I116"/>
  <c r="F185" i="73"/>
  <c r="F116"/>
  <c r="G185" i="74"/>
  <c r="G116"/>
  <c r="H274" i="68"/>
  <c r="H222"/>
  <c r="H171"/>
  <c r="H108"/>
  <c r="G274" i="70"/>
  <c r="G222"/>
  <c r="G171"/>
  <c r="G108"/>
  <c r="I274" i="71"/>
  <c r="I222"/>
  <c r="I171"/>
  <c r="I108"/>
  <c r="G274" i="73"/>
  <c r="G171"/>
  <c r="G222"/>
  <c r="G108"/>
  <c r="H274" i="74"/>
  <c r="H222"/>
  <c r="H108"/>
  <c r="H171"/>
  <c r="H279" i="68"/>
  <c r="H230"/>
  <c r="H178"/>
  <c r="H113"/>
  <c r="G279" i="70"/>
  <c r="G230"/>
  <c r="G178"/>
  <c r="G113"/>
  <c r="I279" i="71"/>
  <c r="I230"/>
  <c r="I178"/>
  <c r="I113"/>
  <c r="G279" i="73"/>
  <c r="G178"/>
  <c r="G230"/>
  <c r="G113"/>
  <c r="H279" i="74"/>
  <c r="H230"/>
  <c r="H113"/>
  <c r="H178"/>
  <c r="H281" i="68"/>
  <c r="H184"/>
  <c r="G281" i="70"/>
  <c r="G184"/>
  <c r="I281" i="71"/>
  <c r="I184"/>
  <c r="G281" i="73"/>
  <c r="G184"/>
  <c r="H281" i="74"/>
  <c r="H184"/>
  <c r="H156" i="68"/>
  <c r="H105"/>
  <c r="G156" i="71"/>
  <c r="G105"/>
  <c r="G156" i="73"/>
  <c r="G105"/>
  <c r="I173" i="65"/>
  <c r="I110"/>
  <c r="F173" i="69"/>
  <c r="F110"/>
  <c r="F173" i="71"/>
  <c r="F110"/>
  <c r="H173" i="72"/>
  <c r="H110"/>
  <c r="I173" i="73"/>
  <c r="I110"/>
  <c r="I284" i="65"/>
  <c r="I117"/>
  <c r="F284" i="69"/>
  <c r="F117"/>
  <c r="F284" i="71"/>
  <c r="F117"/>
  <c r="H284" i="72"/>
  <c r="H117"/>
  <c r="I284" i="73"/>
  <c r="I117"/>
  <c r="H158" i="65"/>
  <c r="H130"/>
  <c r="I158" i="68"/>
  <c r="I130"/>
  <c r="H158" i="70"/>
  <c r="H130"/>
  <c r="F158" i="72"/>
  <c r="F130"/>
  <c r="H158" i="73"/>
  <c r="H130"/>
  <c r="I158" i="74"/>
  <c r="I130"/>
  <c r="H271" i="68"/>
  <c r="H134"/>
  <c r="K271" i="69"/>
  <c r="K134"/>
  <c r="I271" i="71"/>
  <c r="I134"/>
  <c r="H271" i="73"/>
  <c r="H134"/>
  <c r="I271" i="74"/>
  <c r="I134"/>
  <c r="G223" i="65"/>
  <c r="G172"/>
  <c r="K223" i="68"/>
  <c r="K172"/>
  <c r="G223" i="70"/>
  <c r="G172"/>
  <c r="K172" i="71"/>
  <c r="K223"/>
  <c r="I223" i="73"/>
  <c r="I172"/>
  <c r="K223" i="74"/>
  <c r="K172"/>
  <c r="M132" i="65"/>
  <c r="M106"/>
  <c r="I132" i="69"/>
  <c r="I106"/>
  <c r="G106" i="71"/>
  <c r="G132"/>
  <c r="I106" i="72"/>
  <c r="I132"/>
  <c r="M106" i="73"/>
  <c r="M132"/>
  <c r="I229" i="65"/>
  <c r="I177"/>
  <c r="G229" i="69"/>
  <c r="G177"/>
  <c r="J229" i="70"/>
  <c r="J177"/>
  <c r="I177" i="72"/>
  <c r="I229"/>
  <c r="J177" i="73"/>
  <c r="J229"/>
  <c r="I231" i="65"/>
  <c r="I179"/>
  <c r="M231" i="68"/>
  <c r="M179"/>
  <c r="F231" i="70"/>
  <c r="F179"/>
  <c r="M231" i="71"/>
  <c r="M179"/>
  <c r="F231" i="73"/>
  <c r="F179"/>
  <c r="I231" i="74"/>
  <c r="I179"/>
  <c r="H225" i="68"/>
  <c r="H278"/>
  <c r="G225" i="70"/>
  <c r="G278"/>
  <c r="H278" i="71"/>
  <c r="H225"/>
  <c r="G278" i="73"/>
  <c r="G225"/>
  <c r="H278" i="74"/>
  <c r="H225"/>
  <c r="H273" i="65"/>
  <c r="H168"/>
  <c r="H107"/>
  <c r="G273" i="69"/>
  <c r="G168"/>
  <c r="G107"/>
  <c r="G273" i="71"/>
  <c r="G168"/>
  <c r="G107"/>
  <c r="H273" i="72"/>
  <c r="H168"/>
  <c r="H107"/>
  <c r="I273" i="73"/>
  <c r="I168"/>
  <c r="I107"/>
  <c r="I136" i="65"/>
  <c r="I111"/>
  <c r="F136" i="69"/>
  <c r="F111"/>
  <c r="F136" i="71"/>
  <c r="F111"/>
  <c r="H136" i="72"/>
  <c r="H111"/>
  <c r="I136" i="73"/>
  <c r="I111"/>
  <c r="G272" i="65"/>
  <c r="G161"/>
  <c r="J272" i="68"/>
  <c r="J161"/>
  <c r="H272" i="70"/>
  <c r="H161"/>
  <c r="G272" i="72"/>
  <c r="G161"/>
  <c r="H272" i="73"/>
  <c r="H161"/>
  <c r="J272" i="74"/>
  <c r="J161"/>
  <c r="G276" i="65"/>
  <c r="G224"/>
  <c r="G174"/>
  <c r="J276" i="68"/>
  <c r="J224"/>
  <c r="J174"/>
  <c r="H276" i="70"/>
  <c r="H224"/>
  <c r="H174"/>
  <c r="G276" i="72"/>
  <c r="G224"/>
  <c r="G174"/>
  <c r="H276" i="73"/>
  <c r="H174"/>
  <c r="H224"/>
  <c r="J276" i="74"/>
  <c r="J224"/>
  <c r="J174"/>
  <c r="H277" i="65"/>
  <c r="H175"/>
  <c r="L277" i="68"/>
  <c r="L175"/>
  <c r="H277" i="70"/>
  <c r="H175"/>
  <c r="L277" i="71"/>
  <c r="L175"/>
  <c r="F277" i="73"/>
  <c r="F175"/>
  <c r="L277" i="74"/>
  <c r="L175"/>
  <c r="I237" i="65"/>
  <c r="I188"/>
  <c r="L237" i="68"/>
  <c r="L188"/>
  <c r="F237" i="70"/>
  <c r="F188"/>
  <c r="L237" i="71"/>
  <c r="L188"/>
  <c r="F237" i="73"/>
  <c r="F188"/>
  <c r="L237" i="74"/>
  <c r="L188"/>
  <c r="L283" i="65"/>
  <c r="L186"/>
  <c r="I283" i="69"/>
  <c r="I186"/>
  <c r="G283" i="71"/>
  <c r="G186"/>
  <c r="I283" i="72"/>
  <c r="I186"/>
  <c r="G283" i="74"/>
  <c r="G186"/>
  <c r="F185" i="68"/>
  <c r="F116"/>
  <c r="I185" i="69"/>
  <c r="I116"/>
  <c r="G185" i="71"/>
  <c r="G116"/>
  <c r="I185" i="72"/>
  <c r="I116"/>
  <c r="F185" i="74"/>
  <c r="F116"/>
  <c r="I274" i="65"/>
  <c r="I222"/>
  <c r="I171"/>
  <c r="I108"/>
  <c r="I274" i="69"/>
  <c r="I222"/>
  <c r="I171"/>
  <c r="I108"/>
  <c r="H274" i="71"/>
  <c r="H222"/>
  <c r="H171"/>
  <c r="H108"/>
  <c r="I274" i="72"/>
  <c r="I222"/>
  <c r="I171"/>
  <c r="I108"/>
  <c r="G274" i="74"/>
  <c r="G222"/>
  <c r="G171"/>
  <c r="G108"/>
  <c r="I230" i="65"/>
  <c r="I279"/>
  <c r="I178"/>
  <c r="I113"/>
  <c r="I279" i="69"/>
  <c r="I230"/>
  <c r="I178"/>
  <c r="I113"/>
  <c r="H279" i="71"/>
  <c r="H230"/>
  <c r="H178"/>
  <c r="H113"/>
  <c r="I279" i="72"/>
  <c r="I178"/>
  <c r="I230"/>
  <c r="I113"/>
  <c r="G279" i="74"/>
  <c r="G230"/>
  <c r="G178"/>
  <c r="G113"/>
  <c r="I281" i="65"/>
  <c r="I184"/>
  <c r="I281" i="69"/>
  <c r="I184"/>
  <c r="H281" i="71"/>
  <c r="H184"/>
  <c r="I281" i="72"/>
  <c r="I184"/>
  <c r="G281" i="74"/>
  <c r="G184"/>
  <c r="H156" i="65"/>
  <c r="H105"/>
  <c r="H156" i="70"/>
  <c r="H105"/>
  <c r="H156" i="72"/>
  <c r="H105"/>
  <c r="H156" i="74"/>
  <c r="H105"/>
  <c r="H173" i="65"/>
  <c r="H110"/>
  <c r="I173" i="68"/>
  <c r="I110"/>
  <c r="H173" i="70"/>
  <c r="H110"/>
  <c r="F173" i="72"/>
  <c r="F110"/>
  <c r="H173" i="73"/>
  <c r="H110"/>
  <c r="I173" i="74"/>
  <c r="I110"/>
  <c r="H284" i="65"/>
  <c r="H117"/>
  <c r="I284" i="68"/>
  <c r="I117"/>
  <c r="H284" i="70"/>
  <c r="H117"/>
  <c r="F284" i="72"/>
  <c r="F117"/>
  <c r="H284" i="73"/>
  <c r="H117"/>
  <c r="I284" i="74"/>
  <c r="I117"/>
  <c r="H158" i="68"/>
  <c r="H130"/>
  <c r="F158" i="70"/>
  <c r="F130"/>
  <c r="I158" i="71"/>
  <c r="I130"/>
  <c r="F158" i="73"/>
  <c r="F130"/>
  <c r="H158" i="74"/>
  <c r="H130"/>
  <c r="K271" i="65"/>
  <c r="K134"/>
  <c r="I271" i="69"/>
  <c r="I134"/>
  <c r="H271" i="71"/>
  <c r="H134"/>
  <c r="I271" i="72"/>
  <c r="I134"/>
  <c r="H271" i="74"/>
  <c r="H134"/>
  <c r="I223" i="68"/>
  <c r="I172"/>
  <c r="K223" i="69"/>
  <c r="K172"/>
  <c r="I223" i="71"/>
  <c r="I172"/>
  <c r="G172" i="73"/>
  <c r="G223"/>
  <c r="I223" i="74"/>
  <c r="I172"/>
  <c r="I132" i="65"/>
  <c r="I106"/>
  <c r="G132" i="69"/>
  <c r="G106"/>
  <c r="M132" i="70"/>
  <c r="M106"/>
  <c r="G132" i="72"/>
  <c r="G106"/>
  <c r="I106" i="73"/>
  <c r="I132"/>
  <c r="G229" i="65"/>
  <c r="G177"/>
  <c r="J229" i="68"/>
  <c r="J177"/>
  <c r="G229" i="70"/>
  <c r="G177"/>
  <c r="G229" i="72"/>
  <c r="G177"/>
  <c r="I177" i="73"/>
  <c r="I229"/>
  <c r="J229" i="74"/>
  <c r="J177"/>
  <c r="I231" i="68"/>
  <c r="I179"/>
  <c r="M231" i="69"/>
  <c r="M179"/>
  <c r="I231" i="71"/>
  <c r="I179"/>
  <c r="M231" i="72"/>
  <c r="M179"/>
  <c r="F231" i="74"/>
  <c r="F179"/>
  <c r="K278" i="65"/>
  <c r="K225"/>
  <c r="K225" i="69"/>
  <c r="K278"/>
  <c r="G278" i="71"/>
  <c r="G225"/>
  <c r="H278" i="72"/>
  <c r="H225"/>
  <c r="G278" i="74"/>
  <c r="G225"/>
  <c r="K267" i="68"/>
  <c r="Y391"/>
  <c r="G292" i="71"/>
  <c r="Y393" i="68"/>
  <c r="Y393" i="69"/>
  <c r="Y84" i="68"/>
  <c r="Y88"/>
  <c r="Y86" i="70"/>
  <c r="Y84" i="69"/>
  <c r="Y102" i="68"/>
  <c r="Y106"/>
  <c r="Y110"/>
  <c r="Y114"/>
  <c r="Y101" i="74"/>
  <c r="Y105"/>
  <c r="Y109"/>
  <c r="Y113"/>
  <c r="Y117"/>
  <c r="Y104" i="73"/>
  <c r="Y108"/>
  <c r="Y112"/>
  <c r="Y116"/>
  <c r="Y103" i="72"/>
  <c r="Y107"/>
  <c r="Y111"/>
  <c r="Y115"/>
  <c r="Y102" i="71"/>
  <c r="Y110"/>
  <c r="Y114"/>
  <c r="Y101" i="70"/>
  <c r="Y105"/>
  <c r="Y109"/>
  <c r="Y113"/>
  <c r="Y117"/>
  <c r="Y104" i="69"/>
  <c r="Y108"/>
  <c r="Y112"/>
  <c r="Y116"/>
  <c r="Y130" i="68"/>
  <c r="Y134"/>
  <c r="Y138"/>
  <c r="Y129" i="74"/>
  <c r="Y133"/>
  <c r="Y137"/>
  <c r="Y141"/>
  <c r="Y136" i="73"/>
  <c r="Y131" i="72"/>
  <c r="Y135"/>
  <c r="Y139"/>
  <c r="Y130" i="71"/>
  <c r="Y134"/>
  <c r="Y138"/>
  <c r="Y129" i="70"/>
  <c r="Y133"/>
  <c r="Y137"/>
  <c r="Y141"/>
  <c r="Y136" i="69"/>
  <c r="Y140"/>
  <c r="Y155" i="68"/>
  <c r="Y159"/>
  <c r="Y163"/>
  <c r="Y167"/>
  <c r="Y171"/>
  <c r="Y175"/>
  <c r="Y179"/>
  <c r="Y183"/>
  <c r="Y187"/>
  <c r="Y191"/>
  <c r="Y195"/>
  <c r="Y199"/>
  <c r="Y203"/>
  <c r="Y207"/>
  <c r="Y211"/>
  <c r="Y157" i="74"/>
  <c r="Y161"/>
  <c r="Y165"/>
  <c r="Y169"/>
  <c r="Y173"/>
  <c r="Y181"/>
  <c r="Y189"/>
  <c r="Y155" i="73"/>
  <c r="Y163"/>
  <c r="Y175"/>
  <c r="Y183"/>
  <c r="Y203"/>
  <c r="Y157" i="72"/>
  <c r="Y161"/>
  <c r="Y165"/>
  <c r="Y169"/>
  <c r="Y173"/>
  <c r="Y181"/>
  <c r="Y83" i="68"/>
  <c r="Y87"/>
  <c r="Y83" i="71"/>
  <c r="Y85" i="70"/>
  <c r="Y83" i="69"/>
  <c r="Y87"/>
  <c r="Y101" i="68"/>
  <c r="Y105"/>
  <c r="Y109"/>
  <c r="Y113"/>
  <c r="Y117"/>
  <c r="Y104" i="74"/>
  <c r="Y108"/>
  <c r="Y112"/>
  <c r="Y116"/>
  <c r="Y103" i="73"/>
  <c r="Y107"/>
  <c r="Y111"/>
  <c r="Y115"/>
  <c r="Y102" i="72"/>
  <c r="Y110"/>
  <c r="Y114"/>
  <c r="Y101" i="71"/>
  <c r="Y105"/>
  <c r="Y109"/>
  <c r="Y113"/>
  <c r="Y117"/>
  <c r="Y104" i="70"/>
  <c r="Y108"/>
  <c r="Y112"/>
  <c r="Y116"/>
  <c r="Y103" i="69"/>
  <c r="Y107"/>
  <c r="Y111"/>
  <c r="Y115"/>
  <c r="Y129" i="68"/>
  <c r="Y133"/>
  <c r="Y137"/>
  <c r="Y141"/>
  <c r="Y136" i="74"/>
  <c r="Y131" i="73"/>
  <c r="Y135"/>
  <c r="Y139"/>
  <c r="Y130" i="72"/>
  <c r="Y134"/>
  <c r="Y138"/>
  <c r="Y129" i="71"/>
  <c r="Y133"/>
  <c r="Y137"/>
  <c r="Y141"/>
  <c r="Y136" i="70"/>
  <c r="Y131" i="69"/>
  <c r="Y135"/>
  <c r="Y139"/>
  <c r="Y154" i="68"/>
  <c r="Y158"/>
  <c r="Y162"/>
  <c r="Y166"/>
  <c r="Y170"/>
  <c r="Y174"/>
  <c r="Y178"/>
  <c r="Y182"/>
  <c r="Y186"/>
  <c r="Y190"/>
  <c r="Y194"/>
  <c r="Y198"/>
  <c r="Y202"/>
  <c r="Y206"/>
  <c r="Y210"/>
  <c r="Y160" i="74"/>
  <c r="Y164"/>
  <c r="Y168"/>
  <c r="Y172"/>
  <c r="Y176"/>
  <c r="Y180"/>
  <c r="Y184"/>
  <c r="Y188"/>
  <c r="Y192"/>
  <c r="Y158" i="73"/>
  <c r="Y162"/>
  <c r="Y166"/>
  <c r="Y170"/>
  <c r="Y174"/>
  <c r="Y182"/>
  <c r="Y186"/>
  <c r="Y190"/>
  <c r="Y206"/>
  <c r="Y160" i="72"/>
  <c r="Y164"/>
  <c r="Y168"/>
  <c r="Y172"/>
  <c r="Y176"/>
  <c r="Y180"/>
  <c r="Y184"/>
  <c r="Y188"/>
  <c r="Y192"/>
  <c r="Y158" i="71"/>
  <c r="Y162"/>
  <c r="Y166"/>
  <c r="Y170"/>
  <c r="Y174"/>
  <c r="Y182"/>
  <c r="Y186"/>
  <c r="Y190"/>
  <c r="Y206"/>
  <c r="Y160" i="70"/>
  <c r="Y164"/>
  <c r="Y168"/>
  <c r="Y172"/>
  <c r="Y176"/>
  <c r="Y180"/>
  <c r="Y184"/>
  <c r="Y188"/>
  <c r="Y192"/>
  <c r="Y158" i="69"/>
  <c r="Y162"/>
  <c r="Y166"/>
  <c r="Y170"/>
  <c r="Y174"/>
  <c r="Y178"/>
  <c r="Y182"/>
  <c r="Y186"/>
  <c r="Y190"/>
  <c r="Y198"/>
  <c r="Y206"/>
  <c r="Y210"/>
  <c r="Y213" i="68"/>
  <c r="Y217"/>
  <c r="Y221"/>
  <c r="Y225"/>
  <c r="Y229"/>
  <c r="Y233"/>
  <c r="Y237"/>
  <c r="Y215" i="74"/>
  <c r="Y219"/>
  <c r="Y227"/>
  <c r="Y235"/>
  <c r="Y213" i="73"/>
  <c r="Y233"/>
  <c r="Y215" i="72"/>
  <c r="Y219"/>
  <c r="Y227"/>
  <c r="Y235"/>
  <c r="Y213" i="71"/>
  <c r="Y233"/>
  <c r="Y215" i="70"/>
  <c r="Y219"/>
  <c r="Y227"/>
  <c r="Y235"/>
  <c r="Y213" i="69"/>
  <c r="Y217"/>
  <c r="Y225"/>
  <c r="Y233"/>
  <c r="Y237"/>
  <c r="Y358" i="68"/>
  <c r="Y362"/>
  <c r="Y360" i="74"/>
  <c r="Y358" i="73"/>
  <c r="Y360" i="72"/>
  <c r="Y358" i="71"/>
  <c r="Y360" i="70"/>
  <c r="Y358" i="69"/>
  <c r="Y368" i="68"/>
  <c r="Y372"/>
  <c r="Y370" i="73"/>
  <c r="Y369" i="72"/>
  <c r="Y368" i="71"/>
  <c r="Y370" i="69"/>
  <c r="Y377" i="68"/>
  <c r="Y381"/>
  <c r="Y385"/>
  <c r="Y379" i="74"/>
  <c r="Y383"/>
  <c r="Y377" i="73"/>
  <c r="Y381"/>
  <c r="Y379" i="72"/>
  <c r="Y383"/>
  <c r="Y377" i="71"/>
  <c r="Y381"/>
  <c r="Y379" i="70"/>
  <c r="Y383"/>
  <c r="Y377" i="69"/>
  <c r="Y381"/>
  <c r="Y385"/>
  <c r="F394" i="68"/>
  <c r="Y394"/>
  <c r="G394" i="71"/>
  <c r="D394" i="69"/>
  <c r="Y394"/>
  <c r="Y86" i="68"/>
  <c r="Y84" i="70"/>
  <c r="Y88"/>
  <c r="Y86" i="69"/>
  <c r="Y104" i="68"/>
  <c r="Y108"/>
  <c r="Y112"/>
  <c r="Y116"/>
  <c r="Y103" i="74"/>
  <c r="Y107"/>
  <c r="Y111"/>
  <c r="Y115"/>
  <c r="Y102" i="73"/>
  <c r="Y110"/>
  <c r="Y114"/>
  <c r="Y101" i="72"/>
  <c r="Y105"/>
  <c r="Y109"/>
  <c r="Y113"/>
  <c r="Y117"/>
  <c r="Y104" i="71"/>
  <c r="Y108"/>
  <c r="Y112"/>
  <c r="Y116"/>
  <c r="Y103" i="70"/>
  <c r="Y107"/>
  <c r="Y111"/>
  <c r="Y115"/>
  <c r="Y102" i="69"/>
  <c r="Y110"/>
  <c r="Y114"/>
  <c r="Y132" i="68"/>
  <c r="Y136"/>
  <c r="Y140"/>
  <c r="Y131" i="74"/>
  <c r="Y135"/>
  <c r="Y139"/>
  <c r="Y130" i="73"/>
  <c r="Y134"/>
  <c r="Y138"/>
  <c r="Y129" i="72"/>
  <c r="Y133"/>
  <c r="Y137"/>
  <c r="Y141"/>
  <c r="Y136" i="71"/>
  <c r="Y131" i="70"/>
  <c r="Y135"/>
  <c r="Y139"/>
  <c r="Y130" i="69"/>
  <c r="Y134"/>
  <c r="Y138"/>
  <c r="Y157" i="68"/>
  <c r="Y161"/>
  <c r="Y165"/>
  <c r="Y169"/>
  <c r="Y173"/>
  <c r="Y177"/>
  <c r="Y181"/>
  <c r="Y185"/>
  <c r="Y189"/>
  <c r="Y193"/>
  <c r="Y197"/>
  <c r="Y201"/>
  <c r="Y205"/>
  <c r="Y209"/>
  <c r="Y155" i="74"/>
  <c r="Y163"/>
  <c r="Y175"/>
  <c r="Y183"/>
  <c r="Y203"/>
  <c r="Y157" i="73"/>
  <c r="Y161"/>
  <c r="Y165"/>
  <c r="Y169"/>
  <c r="Y173"/>
  <c r="Y181"/>
  <c r="Y189"/>
  <c r="Y193"/>
  <c r="Y155" i="72"/>
  <c r="Y163"/>
  <c r="Y175"/>
  <c r="Y183"/>
  <c r="Y203"/>
  <c r="Y157" i="71"/>
  <c r="Y161"/>
  <c r="Y165"/>
  <c r="Y169"/>
  <c r="Y173"/>
  <c r="Y181"/>
  <c r="Y189"/>
  <c r="Y155" i="70"/>
  <c r="Y163"/>
  <c r="Y175"/>
  <c r="Y183"/>
  <c r="Y203"/>
  <c r="Y157" i="69"/>
  <c r="Y161"/>
  <c r="Y165"/>
  <c r="Y169"/>
  <c r="Y173"/>
  <c r="Y177"/>
  <c r="Y181"/>
  <c r="Y185"/>
  <c r="Y189"/>
  <c r="Y193"/>
  <c r="Y197"/>
  <c r="Y205"/>
  <c r="Y209"/>
  <c r="Y85" i="68"/>
  <c r="Y83" i="72"/>
  <c r="Y83" i="70"/>
  <c r="Y87"/>
  <c r="Y85" i="69"/>
  <c r="Y103" i="68"/>
  <c r="Y107"/>
  <c r="Y111"/>
  <c r="Y115"/>
  <c r="Y102" i="74"/>
  <c r="Y110"/>
  <c r="Y114"/>
  <c r="Y101" i="73"/>
  <c r="Y105"/>
  <c r="Y109"/>
  <c r="Y113"/>
  <c r="Y117"/>
  <c r="Y104" i="72"/>
  <c r="Y108"/>
  <c r="Y112"/>
  <c r="Y116"/>
  <c r="Y216" i="68"/>
  <c r="Y220"/>
  <c r="Y224"/>
  <c r="Y228"/>
  <c r="Y232"/>
  <c r="Y236"/>
  <c r="Y214" i="74"/>
  <c r="Y226"/>
  <c r="Y234"/>
  <c r="Y238"/>
  <c r="Y220" i="73"/>
  <c r="Y224"/>
  <c r="Y228"/>
  <c r="Y232"/>
  <c r="Y236"/>
  <c r="Y214" i="72"/>
  <c r="Y226"/>
  <c r="Y234"/>
  <c r="Y238"/>
  <c r="Y220" i="71"/>
  <c r="Y224"/>
  <c r="Y228"/>
  <c r="Y232"/>
  <c r="Y236"/>
  <c r="Y214" i="70"/>
  <c r="Y226"/>
  <c r="Y234"/>
  <c r="Y238"/>
  <c r="Y220" i="69"/>
  <c r="Y224"/>
  <c r="Y228"/>
  <c r="Y232"/>
  <c r="Y236"/>
  <c r="Y361" i="68"/>
  <c r="Y359" i="74"/>
  <c r="Y363"/>
  <c r="Y361" i="73"/>
  <c r="Y359" i="72"/>
  <c r="Y363"/>
  <c r="Y361" i="71"/>
  <c r="Y359" i="70"/>
  <c r="Y363"/>
  <c r="Y361" i="69"/>
  <c r="Y371" i="68"/>
  <c r="Y370" i="74"/>
  <c r="Y369" i="73"/>
  <c r="Y368" i="72"/>
  <c r="Y370" i="70"/>
  <c r="Y369" i="69"/>
  <c r="Y380" i="68"/>
  <c r="Y384"/>
  <c r="Y378" i="74"/>
  <c r="Y382"/>
  <c r="Y380" i="73"/>
  <c r="Y378" i="72"/>
  <c r="Y382"/>
  <c r="Y386"/>
  <c r="Y380" i="71"/>
  <c r="Y378" i="70"/>
  <c r="Y382"/>
  <c r="Y386"/>
  <c r="Y380" i="69"/>
  <c r="Y384"/>
  <c r="D354" i="72"/>
  <c r="E354" i="68"/>
  <c r="Y354"/>
  <c r="I354" i="71"/>
  <c r="Y103"/>
  <c r="Y107"/>
  <c r="Y111"/>
  <c r="Y115"/>
  <c r="Y102" i="70"/>
  <c r="Y110"/>
  <c r="Y114"/>
  <c r="Y101" i="69"/>
  <c r="Y105"/>
  <c r="Y109"/>
  <c r="Y113"/>
  <c r="Y117"/>
  <c r="Y131" i="68"/>
  <c r="Y135"/>
  <c r="Y139"/>
  <c r="Y130" i="74"/>
  <c r="Y134"/>
  <c r="Y138"/>
  <c r="Y129" i="73"/>
  <c r="Y133"/>
  <c r="Y137"/>
  <c r="Y141"/>
  <c r="Y136" i="72"/>
  <c r="Y131" i="71"/>
  <c r="Y135"/>
  <c r="Y139"/>
  <c r="Y130" i="70"/>
  <c r="Y134"/>
  <c r="Y138"/>
  <c r="Y129" i="69"/>
  <c r="Y133"/>
  <c r="Y137"/>
  <c r="Y141"/>
  <c r="Y156" i="68"/>
  <c r="Y160"/>
  <c r="Y164"/>
  <c r="Y168"/>
  <c r="Y172"/>
  <c r="Y176"/>
  <c r="Y180"/>
  <c r="Y184"/>
  <c r="Y188"/>
  <c r="Y192"/>
  <c r="Y196"/>
  <c r="Y200"/>
  <c r="Y204"/>
  <c r="Y208"/>
  <c r="Y158" i="74"/>
  <c r="Y162"/>
  <c r="Y166"/>
  <c r="Y170"/>
  <c r="Y174"/>
  <c r="Y182"/>
  <c r="Y186"/>
  <c r="Y190"/>
  <c r="Y206"/>
  <c r="Y160" i="73"/>
  <c r="Y164"/>
  <c r="Y168"/>
  <c r="Y172"/>
  <c r="Y176"/>
  <c r="Y180"/>
  <c r="Y184"/>
  <c r="Y188"/>
  <c r="Y192"/>
  <c r="Y158" i="72"/>
  <c r="Y162"/>
  <c r="Y166"/>
  <c r="Y170"/>
  <c r="Y174"/>
  <c r="Y182"/>
  <c r="Y186"/>
  <c r="Y190"/>
  <c r="Y206"/>
  <c r="Y160" i="71"/>
  <c r="Y164"/>
  <c r="Y168"/>
  <c r="Y172"/>
  <c r="Y176"/>
  <c r="Y180"/>
  <c r="Y184"/>
  <c r="Y188"/>
  <c r="Y192"/>
  <c r="Y158" i="70"/>
  <c r="Y162"/>
  <c r="Y166"/>
  <c r="Y170"/>
  <c r="Y174"/>
  <c r="Y182"/>
  <c r="Y186"/>
  <c r="Y190"/>
  <c r="Y206"/>
  <c r="Y160" i="69"/>
  <c r="Y164"/>
  <c r="Y168"/>
  <c r="Y172"/>
  <c r="Y176"/>
  <c r="Y180"/>
  <c r="Y184"/>
  <c r="Y188"/>
  <c r="Y192"/>
  <c r="Y196"/>
  <c r="Y200"/>
  <c r="Y204"/>
  <c r="Y215" i="68"/>
  <c r="Y219"/>
  <c r="Y223"/>
  <c r="Y227"/>
  <c r="Y231"/>
  <c r="Y235"/>
  <c r="Y213" i="74"/>
  <c r="Y233"/>
  <c r="Y215" i="73"/>
  <c r="Y219"/>
  <c r="Y227"/>
  <c r="Y235"/>
  <c r="Y213" i="72"/>
  <c r="Y233"/>
  <c r="Y215" i="71"/>
  <c r="Y219"/>
  <c r="Y227"/>
  <c r="Y235"/>
  <c r="Y213" i="70"/>
  <c r="Y233"/>
  <c r="Y215" i="69"/>
  <c r="Y219"/>
  <c r="Y227"/>
  <c r="Y231"/>
  <c r="Y235"/>
  <c r="Y360" i="68"/>
  <c r="Y358" i="74"/>
  <c r="Y360" i="73"/>
  <c r="Y358" i="72"/>
  <c r="Y360" i="71"/>
  <c r="Y358" i="70"/>
  <c r="Y360" i="69"/>
  <c r="Y370" i="68"/>
  <c r="Y369" i="74"/>
  <c r="Y368" i="73"/>
  <c r="Y370" i="71"/>
  <c r="Y369" i="70"/>
  <c r="Y368" i="69"/>
  <c r="Y379" i="68"/>
  <c r="Y383"/>
  <c r="Y377" i="74"/>
  <c r="Y381"/>
  <c r="Y379" i="73"/>
  <c r="Y383"/>
  <c r="Y377" i="72"/>
  <c r="Y381"/>
  <c r="Y379" i="71"/>
  <c r="Y383"/>
  <c r="Y377" i="70"/>
  <c r="Y381"/>
  <c r="Y385"/>
  <c r="Y379" i="69"/>
  <c r="Y383"/>
  <c r="I354" i="73"/>
  <c r="J354" i="68"/>
  <c r="Y189" i="72"/>
  <c r="Y155" i="71"/>
  <c r="Y163"/>
  <c r="Y175"/>
  <c r="Y183"/>
  <c r="Y203"/>
  <c r="Y157" i="70"/>
  <c r="Y161"/>
  <c r="Y165"/>
  <c r="Y169"/>
  <c r="Y173"/>
  <c r="Y181"/>
  <c r="Y189"/>
  <c r="Y155" i="69"/>
  <c r="Y163"/>
  <c r="Y167"/>
  <c r="Y171"/>
  <c r="Y175"/>
  <c r="Y179"/>
  <c r="Y183"/>
  <c r="Y187"/>
  <c r="Y191"/>
  <c r="Y199"/>
  <c r="Y203"/>
  <c r="Y211"/>
  <c r="Y214" i="68"/>
  <c r="Y218"/>
  <c r="Y222"/>
  <c r="Y226"/>
  <c r="Y230"/>
  <c r="Y234"/>
  <c r="Y238"/>
  <c r="Y220" i="74"/>
  <c r="Y224"/>
  <c r="Y228"/>
  <c r="Y232"/>
  <c r="Y236"/>
  <c r="Y214" i="73"/>
  <c r="Y226"/>
  <c r="Y234"/>
  <c r="Y238"/>
  <c r="Y220" i="72"/>
  <c r="Y224"/>
  <c r="Y228"/>
  <c r="Y232"/>
  <c r="Y236"/>
  <c r="Y214" i="71"/>
  <c r="Y226"/>
  <c r="Y234"/>
  <c r="Y238"/>
  <c r="Y220" i="70"/>
  <c r="Y224"/>
  <c r="Y228"/>
  <c r="Y232"/>
  <c r="Y236"/>
  <c r="Y214" i="69"/>
  <c r="Y218"/>
  <c r="Y226"/>
  <c r="Y230"/>
  <c r="Y234"/>
  <c r="Y238"/>
  <c r="Y359" i="68"/>
  <c r="Y363"/>
  <c r="Y361" i="74"/>
  <c r="Y359" i="73"/>
  <c r="Y363"/>
  <c r="Y361" i="72"/>
  <c r="Y359" i="71"/>
  <c r="Y363"/>
  <c r="Y361" i="70"/>
  <c r="Y359" i="69"/>
  <c r="Y363"/>
  <c r="Y369" i="68"/>
  <c r="Y368" i="74"/>
  <c r="Y370" i="72"/>
  <c r="Y369" i="71"/>
  <c r="Y368" i="70"/>
  <c r="Y378" i="68"/>
  <c r="Y382"/>
  <c r="Y386"/>
  <c r="Y380" i="74"/>
  <c r="Y378" i="73"/>
  <c r="Y382"/>
  <c r="Y380" i="72"/>
  <c r="Y378" i="71"/>
  <c r="Y382"/>
  <c r="Y386"/>
  <c r="Y380" i="70"/>
  <c r="Y378" i="69"/>
  <c r="Y382"/>
  <c r="Y386"/>
  <c r="Y395" i="68"/>
  <c r="Y395" i="69"/>
  <c r="G354" i="74"/>
  <c r="G354" i="70"/>
  <c r="K354" i="68"/>
  <c r="Y259" i="65"/>
  <c r="Y393"/>
  <c r="F354" i="71"/>
  <c r="Y391" i="65"/>
  <c r="AB177" i="68"/>
  <c r="AB231"/>
  <c r="AB132"/>
  <c r="AB225"/>
  <c r="Y209" i="65"/>
  <c r="Y386"/>
  <c r="AB179"/>
  <c r="AB225"/>
  <c r="Y85"/>
  <c r="Y102"/>
  <c r="Y106"/>
  <c r="Y110"/>
  <c r="Y114"/>
  <c r="Y131"/>
  <c r="Y135"/>
  <c r="Y139"/>
  <c r="Y156"/>
  <c r="Y160"/>
  <c r="Y164"/>
  <c r="Y168"/>
  <c r="Y172"/>
  <c r="Y176"/>
  <c r="Y180"/>
  <c r="Y184"/>
  <c r="Y188"/>
  <c r="Y192"/>
  <c r="Y196"/>
  <c r="Y200"/>
  <c r="Y204"/>
  <c r="Y208"/>
  <c r="Y213"/>
  <c r="Y217"/>
  <c r="Y221"/>
  <c r="Y225"/>
  <c r="Y229"/>
  <c r="Y233"/>
  <c r="Y237"/>
  <c r="Y354"/>
  <c r="Y359"/>
  <c r="Y363"/>
  <c r="Y368"/>
  <c r="Y372"/>
  <c r="Y377"/>
  <c r="Y381"/>
  <c r="Y385"/>
  <c r="AB106"/>
  <c r="AB229"/>
  <c r="Y84"/>
  <c r="Y88"/>
  <c r="Y101"/>
  <c r="Y105"/>
  <c r="Y109"/>
  <c r="Y113"/>
  <c r="Y117"/>
  <c r="Y130"/>
  <c r="Y134"/>
  <c r="Y138"/>
  <c r="Y155"/>
  <c r="Y159"/>
  <c r="Y163"/>
  <c r="Y167"/>
  <c r="Y171"/>
  <c r="Y175"/>
  <c r="Y179"/>
  <c r="Y183"/>
  <c r="Y187"/>
  <c r="Y191"/>
  <c r="Y195"/>
  <c r="Y199"/>
  <c r="Y203"/>
  <c r="Y207"/>
  <c r="Y211"/>
  <c r="Y216"/>
  <c r="Y220"/>
  <c r="Y224"/>
  <c r="Y228"/>
  <c r="Y232"/>
  <c r="Y236"/>
  <c r="Y358"/>
  <c r="Y362"/>
  <c r="Y371"/>
  <c r="Y380"/>
  <c r="Y384"/>
  <c r="Y395"/>
  <c r="G358" i="39"/>
  <c r="Y83" i="65"/>
  <c r="Y87"/>
  <c r="Y104"/>
  <c r="Y108"/>
  <c r="Y112"/>
  <c r="Y116"/>
  <c r="Y129"/>
  <c r="Y133"/>
  <c r="Y137"/>
  <c r="Y141"/>
  <c r="Y154"/>
  <c r="Y158"/>
  <c r="Y162"/>
  <c r="Y166"/>
  <c r="Y170"/>
  <c r="Y174"/>
  <c r="Y178"/>
  <c r="Y182"/>
  <c r="Y186"/>
  <c r="Y190"/>
  <c r="Y194"/>
  <c r="Y198"/>
  <c r="Y202"/>
  <c r="Y206"/>
  <c r="Y210"/>
  <c r="Y215"/>
  <c r="Y219"/>
  <c r="Y223"/>
  <c r="Y227"/>
  <c r="Y231"/>
  <c r="Y235"/>
  <c r="Y361"/>
  <c r="Y370"/>
  <c r="Y379"/>
  <c r="Y383"/>
  <c r="Y394"/>
  <c r="Y86"/>
  <c r="Y103"/>
  <c r="Y107"/>
  <c r="Y111"/>
  <c r="Y115"/>
  <c r="Y132"/>
  <c r="Y136"/>
  <c r="Y140"/>
  <c r="Y157"/>
  <c r="Y161"/>
  <c r="Y165"/>
  <c r="Y169"/>
  <c r="Y173"/>
  <c r="Y177"/>
  <c r="Y181"/>
  <c r="Y185"/>
  <c r="Y189"/>
  <c r="Y193"/>
  <c r="Y197"/>
  <c r="Y201"/>
  <c r="Y205"/>
  <c r="Y214"/>
  <c r="Y218"/>
  <c r="Y222"/>
  <c r="Y226"/>
  <c r="Y230"/>
  <c r="Y234"/>
  <c r="Y238"/>
  <c r="Y360"/>
  <c r="Y369"/>
  <c r="Y378"/>
  <c r="Y382"/>
  <c r="J358" i="39"/>
  <c r="F358"/>
  <c r="K358"/>
  <c r="Y11"/>
  <c r="K354"/>
  <c r="Y39"/>
  <c r="Y52"/>
  <c r="G354"/>
  <c r="F354"/>
  <c r="L354"/>
  <c r="H354"/>
  <c r="D354"/>
  <c r="Y44"/>
  <c r="M354"/>
  <c r="I354"/>
  <c r="E354"/>
  <c r="Y36"/>
  <c r="J354"/>
  <c r="Y12"/>
  <c r="Y16"/>
  <c r="Y20"/>
  <c r="Y24"/>
  <c r="Y29"/>
  <c r="Y33"/>
  <c r="Y38"/>
  <c r="Y42"/>
  <c r="Y47"/>
  <c r="Y51"/>
  <c r="Y55"/>
  <c r="Y60"/>
  <c r="Y64"/>
  <c r="Y68"/>
  <c r="Y72"/>
  <c r="Y80"/>
  <c r="Y84"/>
  <c r="Y88"/>
  <c r="Y92"/>
  <c r="Y96"/>
  <c r="Y101"/>
  <c r="Y105"/>
  <c r="Y109"/>
  <c r="Y113"/>
  <c r="Y117"/>
  <c r="Y121"/>
  <c r="Y125"/>
  <c r="Y130"/>
  <c r="Y134"/>
  <c r="Y138"/>
  <c r="Y142"/>
  <c r="Y146"/>
  <c r="Y150"/>
  <c r="Y155"/>
  <c r="Y159"/>
  <c r="Y163"/>
  <c r="Y167"/>
  <c r="Y171"/>
  <c r="Y175"/>
  <c r="Y179"/>
  <c r="Y183"/>
  <c r="Y187"/>
  <c r="Y191"/>
  <c r="Y195"/>
  <c r="Y199"/>
  <c r="Y203"/>
  <c r="Y207"/>
  <c r="Y211"/>
  <c r="Y216"/>
  <c r="Y220"/>
  <c r="Y224"/>
  <c r="Y228"/>
  <c r="Y232"/>
  <c r="Y236"/>
  <c r="Y240"/>
  <c r="Y244"/>
  <c r="Y248"/>
  <c r="Y252"/>
  <c r="Y256"/>
  <c r="Y353"/>
  <c r="Y358"/>
  <c r="Y362"/>
  <c r="Y367"/>
  <c r="Y371"/>
  <c r="Y376"/>
  <c r="Y380"/>
  <c r="Y384"/>
  <c r="Y389"/>
  <c r="Y395"/>
  <c r="Y404"/>
  <c r="Y408"/>
  <c r="Y413"/>
  <c r="Y417"/>
  <c r="Y422"/>
  <c r="Y427"/>
  <c r="Y431"/>
  <c r="Y436"/>
  <c r="Y441"/>
  <c r="Y448"/>
  <c r="Y461"/>
  <c r="Y15"/>
  <c r="Y19"/>
  <c r="Y23"/>
  <c r="Y28"/>
  <c r="Y32"/>
  <c r="Y37"/>
  <c r="Y41"/>
  <c r="Y46"/>
  <c r="Y50"/>
  <c r="Y54"/>
  <c r="Y59"/>
  <c r="Y63"/>
  <c r="Y67"/>
  <c r="Y71"/>
  <c r="Y79"/>
  <c r="Y83"/>
  <c r="Y87"/>
  <c r="Y91"/>
  <c r="Y95"/>
  <c r="Y100"/>
  <c r="Y104"/>
  <c r="Y108"/>
  <c r="Y112"/>
  <c r="Y116"/>
  <c r="Y120"/>
  <c r="Y124"/>
  <c r="Y129"/>
  <c r="Y133"/>
  <c r="Y137"/>
  <c r="Y141"/>
  <c r="Y145"/>
  <c r="Y149"/>
  <c r="Y154"/>
  <c r="Y158"/>
  <c r="Y162"/>
  <c r="Y166"/>
  <c r="Y170"/>
  <c r="Y174"/>
  <c r="Y178"/>
  <c r="Y182"/>
  <c r="Y186"/>
  <c r="Y190"/>
  <c r="Y194"/>
  <c r="Y198"/>
  <c r="Y202"/>
  <c r="Y206"/>
  <c r="Y210"/>
  <c r="Y215"/>
  <c r="Y219"/>
  <c r="Y223"/>
  <c r="Y227"/>
  <c r="Y231"/>
  <c r="Y235"/>
  <c r="Y239"/>
  <c r="Y243"/>
  <c r="Y247"/>
  <c r="Y251"/>
  <c r="Y255"/>
  <c r="Y352"/>
  <c r="Y357"/>
  <c r="Y361"/>
  <c r="Y365"/>
  <c r="Y370"/>
  <c r="Y374"/>
  <c r="Y379"/>
  <c r="Y383"/>
  <c r="Y388"/>
  <c r="Y394"/>
  <c r="Y402"/>
  <c r="Y407"/>
  <c r="Y412"/>
  <c r="Y416"/>
  <c r="Y421"/>
  <c r="Y426"/>
  <c r="Y430"/>
  <c r="Y435"/>
  <c r="Y439"/>
  <c r="Y444"/>
  <c r="Y457"/>
  <c r="Y14"/>
  <c r="Y18"/>
  <c r="Y22"/>
  <c r="Y27"/>
  <c r="Y31"/>
  <c r="Y40"/>
  <c r="Y45"/>
  <c r="Y49"/>
  <c r="Y53"/>
  <c r="Y58"/>
  <c r="Y62"/>
  <c r="Y66"/>
  <c r="Y70"/>
  <c r="Y78"/>
  <c r="Y82"/>
  <c r="Y86"/>
  <c r="Y90"/>
  <c r="Y94"/>
  <c r="Y98"/>
  <c r="Y103"/>
  <c r="Y107"/>
  <c r="Y111"/>
  <c r="Y115"/>
  <c r="Y119"/>
  <c r="Y123"/>
  <c r="Y128"/>
  <c r="Y132"/>
  <c r="Y136"/>
  <c r="Y140"/>
  <c r="Y144"/>
  <c r="Y148"/>
  <c r="Y153"/>
  <c r="Y157"/>
  <c r="Y161"/>
  <c r="Y165"/>
  <c r="Y169"/>
  <c r="Y173"/>
  <c r="Y177"/>
  <c r="Y181"/>
  <c r="Y185"/>
  <c r="Y189"/>
  <c r="Y193"/>
  <c r="Y197"/>
  <c r="Y201"/>
  <c r="Y205"/>
  <c r="Y209"/>
  <c r="Y214"/>
  <c r="Y218"/>
  <c r="Y222"/>
  <c r="Y226"/>
  <c r="Y230"/>
  <c r="Y234"/>
  <c r="Y238"/>
  <c r="Y242"/>
  <c r="Y246"/>
  <c r="Y250"/>
  <c r="Y254"/>
  <c r="Y259"/>
  <c r="Y355"/>
  <c r="Y360"/>
  <c r="Y364"/>
  <c r="Y369"/>
  <c r="Y373"/>
  <c r="Y378"/>
  <c r="Y382"/>
  <c r="Y386"/>
  <c r="Y393"/>
  <c r="Y401"/>
  <c r="Y406"/>
  <c r="Y411"/>
  <c r="Y415"/>
  <c r="Y420"/>
  <c r="Y425"/>
  <c r="Y429"/>
  <c r="Y434"/>
  <c r="Y438"/>
  <c r="Y443"/>
  <c r="Y455"/>
  <c r="Y13"/>
  <c r="Y17"/>
  <c r="Y21"/>
  <c r="Y26"/>
  <c r="Y30"/>
  <c r="Y34"/>
  <c r="Y48"/>
  <c r="Y57"/>
  <c r="Y61"/>
  <c r="Y65"/>
  <c r="Y69"/>
  <c r="Y73"/>
  <c r="Y81"/>
  <c r="Y85"/>
  <c r="Y89"/>
  <c r="Y93"/>
  <c r="Y97"/>
  <c r="Y102"/>
  <c r="Y106"/>
  <c r="Y110"/>
  <c r="Y114"/>
  <c r="Y118"/>
  <c r="Y122"/>
  <c r="Y126"/>
  <c r="Y131"/>
  <c r="Y135"/>
  <c r="Y139"/>
  <c r="Y143"/>
  <c r="Y147"/>
  <c r="Y151"/>
  <c r="Y156"/>
  <c r="Y160"/>
  <c r="Y164"/>
  <c r="Y168"/>
  <c r="Y172"/>
  <c r="Y176"/>
  <c r="Y180"/>
  <c r="Y184"/>
  <c r="Y188"/>
  <c r="Y192"/>
  <c r="Y196"/>
  <c r="Y200"/>
  <c r="Y204"/>
  <c r="Y208"/>
  <c r="Y213"/>
  <c r="Y217"/>
  <c r="Y221"/>
  <c r="Y225"/>
  <c r="Y229"/>
  <c r="Y233"/>
  <c r="Y237"/>
  <c r="Y241"/>
  <c r="Y245"/>
  <c r="Y249"/>
  <c r="Y253"/>
  <c r="Y257"/>
  <c r="Y354"/>
  <c r="Y359"/>
  <c r="Y363"/>
  <c r="Y368"/>
  <c r="Y372"/>
  <c r="Y377"/>
  <c r="Y381"/>
  <c r="Y385"/>
  <c r="Y391"/>
  <c r="Y400"/>
  <c r="Y405"/>
  <c r="Y409"/>
  <c r="Y414"/>
  <c r="Y419"/>
  <c r="Y423"/>
  <c r="Y428"/>
  <c r="Y432"/>
  <c r="Y437"/>
  <c r="Y442"/>
  <c r="Y449"/>
  <c r="Y462"/>
  <c r="AB86" i="65"/>
  <c r="AB131" i="68"/>
  <c r="AB137"/>
  <c r="AB138" i="70"/>
  <c r="AB138" i="71"/>
  <c r="AB162" i="69"/>
  <c r="AB162" i="70"/>
  <c r="AB162" i="72"/>
  <c r="AB169" i="65"/>
  <c r="AB170"/>
  <c r="AB182"/>
  <c r="AB227" i="68"/>
  <c r="AB228" i="69"/>
  <c r="AB232" i="73"/>
  <c r="AB232" i="74"/>
  <c r="AB233" i="65"/>
  <c r="AB235" i="73"/>
  <c r="AB235" i="74"/>
  <c r="AB236" i="65"/>
  <c r="AB236" i="68"/>
  <c r="AB238" i="65"/>
  <c r="AB361"/>
  <c r="AB369"/>
  <c r="AB369" i="68"/>
  <c r="AB370" i="65"/>
  <c r="AB370" i="73"/>
  <c r="AB83" i="70"/>
  <c r="AB85" i="65"/>
  <c r="AB86" i="68"/>
  <c r="AB88" i="69"/>
  <c r="AB131"/>
  <c r="AB131" i="70"/>
  <c r="AB137" i="69"/>
  <c r="AB137" i="70"/>
  <c r="AB137" i="71"/>
  <c r="AB137" i="72"/>
  <c r="AB137" i="73"/>
  <c r="AB137" i="74"/>
  <c r="AB138" i="73"/>
  <c r="AB138" i="74"/>
  <c r="AB162" i="73"/>
  <c r="AB162" i="74"/>
  <c r="AB169" i="68"/>
  <c r="AB181" i="65"/>
  <c r="AB181" i="68"/>
  <c r="AB182"/>
  <c r="AB182" i="69"/>
  <c r="AB226" i="65"/>
  <c r="AB226" i="68"/>
  <c r="AB227" i="69"/>
  <c r="AB228" i="70"/>
  <c r="AB228" i="71"/>
  <c r="AB228" i="72"/>
  <c r="AB228" i="73"/>
  <c r="AB228" i="74"/>
  <c r="AB232" i="65"/>
  <c r="AB235"/>
  <c r="AB236" i="69"/>
  <c r="AB236" i="70"/>
  <c r="AB238" i="68"/>
  <c r="AB129" i="71"/>
  <c r="AB129" i="72"/>
  <c r="AB129" i="73"/>
  <c r="AB129" i="74"/>
  <c r="AB377" i="65"/>
  <c r="AB163"/>
  <c r="AB133"/>
  <c r="AB160"/>
  <c r="AB285"/>
  <c r="AB270"/>
  <c r="AB154"/>
  <c r="AB101"/>
  <c r="AB103"/>
  <c r="AB109" i="70"/>
  <c r="AB109" i="71"/>
  <c r="AB109" i="72"/>
  <c r="AB135" i="70"/>
  <c r="AB135" i="71"/>
  <c r="AB135" i="72"/>
  <c r="AB139" i="70"/>
  <c r="AB139" i="71"/>
  <c r="AB139" i="72"/>
  <c r="AB190" i="70"/>
  <c r="AB190" i="71"/>
  <c r="AB190" i="72"/>
  <c r="AB189" i="65"/>
  <c r="AB280"/>
  <c r="AB280" i="68"/>
  <c r="AB394" i="65"/>
  <c r="AB84" i="69"/>
  <c r="AB359" i="65"/>
  <c r="AB369" i="69"/>
  <c r="AB370" i="68"/>
  <c r="AB370" i="70"/>
  <c r="AB370" i="74"/>
  <c r="AB380" i="65"/>
  <c r="AB84"/>
  <c r="AB85" i="69"/>
  <c r="AB114" i="65"/>
  <c r="AB286"/>
  <c r="AB131" i="71"/>
  <c r="AB131" i="72"/>
  <c r="AB131" i="73"/>
  <c r="AB131" i="74"/>
  <c r="AB138" i="65"/>
  <c r="AB162"/>
  <c r="AB169" i="69"/>
  <c r="AB181"/>
  <c r="AB182" i="70"/>
  <c r="AB182" i="71"/>
  <c r="AB182" i="72"/>
  <c r="AB182" i="73"/>
  <c r="AB182" i="74"/>
  <c r="AB226" i="69"/>
  <c r="AB227" i="70"/>
  <c r="AB227" i="71"/>
  <c r="AB227" i="72"/>
  <c r="AB227" i="73"/>
  <c r="AB227" i="74"/>
  <c r="AB232" i="68"/>
  <c r="AB235"/>
  <c r="AB236" i="71"/>
  <c r="AB236" i="72"/>
  <c r="AB238" i="69"/>
  <c r="AB238" i="70"/>
  <c r="AB238" i="71"/>
  <c r="AB238" i="72"/>
  <c r="AB129" i="65"/>
  <c r="AB157"/>
  <c r="AB87" i="68"/>
  <c r="AB163"/>
  <c r="AB163" i="69"/>
  <c r="AB102" i="65"/>
  <c r="AB115"/>
  <c r="AB165"/>
  <c r="AB166"/>
  <c r="AB176"/>
  <c r="AB133" i="68"/>
  <c r="AB160"/>
  <c r="AB285"/>
  <c r="AB270"/>
  <c r="AB154"/>
  <c r="AB383" i="65"/>
  <c r="AB109" i="73"/>
  <c r="AB109" i="74"/>
  <c r="AB135" i="73"/>
  <c r="AB135" i="74"/>
  <c r="AB139" i="73"/>
  <c r="AB139" i="74"/>
  <c r="AB190" i="73"/>
  <c r="AB190" i="74"/>
  <c r="AB280" i="69"/>
  <c r="AB141" i="65"/>
  <c r="AB141" i="68"/>
  <c r="AB379" i="65"/>
  <c r="AB382"/>
  <c r="AB382" i="68"/>
  <c r="AB164" i="65"/>
  <c r="AB164" i="68"/>
  <c r="AB164" i="69"/>
  <c r="AB395" i="68"/>
  <c r="AB395" i="69"/>
  <c r="AB360" i="65"/>
  <c r="AB370" i="69"/>
  <c r="AB370" i="72"/>
  <c r="AB358" i="65"/>
  <c r="AB369" i="70"/>
  <c r="AB369" i="71"/>
  <c r="AB369" i="72"/>
  <c r="AB369" i="73"/>
  <c r="AB369" i="74"/>
  <c r="AB370" i="71"/>
  <c r="AB83" i="65"/>
  <c r="AB83" i="68"/>
  <c r="AB112" i="65"/>
  <c r="AB131"/>
  <c r="AB137"/>
  <c r="AB138" i="68"/>
  <c r="AB162"/>
  <c r="AB169" i="70"/>
  <c r="AB169" i="71"/>
  <c r="AB169" i="72"/>
  <c r="AB169" i="73"/>
  <c r="AB169" i="74"/>
  <c r="AB180" i="65"/>
  <c r="AB181" i="70"/>
  <c r="AB181" i="71"/>
  <c r="AB181" i="72"/>
  <c r="AB181" i="73"/>
  <c r="AB181" i="74"/>
  <c r="AB226" i="70"/>
  <c r="AB226" i="71"/>
  <c r="AB226" i="72"/>
  <c r="AB226" i="73"/>
  <c r="AB226" i="74"/>
  <c r="AB227" i="65"/>
  <c r="AB228"/>
  <c r="AB228" i="68"/>
  <c r="AB232" i="69"/>
  <c r="AB232" i="70"/>
  <c r="AB232" i="71"/>
  <c r="AB232" i="72"/>
  <c r="AB234" i="65"/>
  <c r="AB235" i="69"/>
  <c r="AB235" i="70"/>
  <c r="AB235" i="71"/>
  <c r="AB235" i="72"/>
  <c r="AB236" i="73"/>
  <c r="AB236" i="74"/>
  <c r="AB238" i="73"/>
  <c r="AB238" i="74"/>
  <c r="AB129" i="68"/>
  <c r="AB381" i="65"/>
  <c r="AB163" i="70"/>
  <c r="AB163" i="71"/>
  <c r="AB163" i="72"/>
  <c r="AB102" i="68"/>
  <c r="AB102" i="69"/>
  <c r="AB115" i="68"/>
  <c r="AB115" i="69"/>
  <c r="AB165" i="68"/>
  <c r="AB165" i="69"/>
  <c r="AB166" i="68"/>
  <c r="AB166" i="69"/>
  <c r="AB176" i="68"/>
  <c r="AB176" i="69"/>
  <c r="AB133"/>
  <c r="AB160"/>
  <c r="AB285"/>
  <c r="AB270"/>
  <c r="AB154"/>
  <c r="AB154" i="70"/>
  <c r="AB155" i="65"/>
  <c r="AB109"/>
  <c r="AB109" i="68"/>
  <c r="AB135" i="65"/>
  <c r="AB135" i="68"/>
  <c r="AB139" i="65"/>
  <c r="AB139" i="68"/>
  <c r="AB190" i="65"/>
  <c r="AB190" i="68"/>
  <c r="AB280" i="70"/>
  <c r="AB280" i="71"/>
  <c r="AB141" i="69"/>
  <c r="AB141" i="70"/>
  <c r="AB141" i="71"/>
  <c r="AB141" i="72"/>
  <c r="AB379" i="69"/>
  <c r="AB379" i="70"/>
  <c r="AB379" i="72"/>
  <c r="AB382" i="69"/>
  <c r="AB382" i="71"/>
  <c r="AB382" i="72"/>
  <c r="AB164" i="70"/>
  <c r="AB164" i="71"/>
  <c r="AB164" i="72"/>
  <c r="AB395" i="71"/>
  <c r="AB88" i="65"/>
  <c r="AB138" i="69"/>
  <c r="AB138" i="72"/>
  <c r="AB162" i="71"/>
  <c r="AB104" i="65"/>
  <c r="AB129" i="69"/>
  <c r="AB129" i="70"/>
  <c r="AB163" i="73"/>
  <c r="AB163" i="74"/>
  <c r="AB102" i="70"/>
  <c r="AB102" i="71"/>
  <c r="AB102" i="72"/>
  <c r="AB102" i="73"/>
  <c r="AB102" i="74"/>
  <c r="AB115" i="70"/>
  <c r="AB115" i="71"/>
  <c r="AB115" i="72"/>
  <c r="AB115" i="73"/>
  <c r="AB115" i="74"/>
  <c r="AB165" i="70"/>
  <c r="AB165" i="71"/>
  <c r="AB165" i="72"/>
  <c r="AB165" i="73"/>
  <c r="AB165" i="74"/>
  <c r="AB166" i="70"/>
  <c r="AB166" i="71"/>
  <c r="AB166" i="72"/>
  <c r="AB166" i="73"/>
  <c r="AB166" i="74"/>
  <c r="AB176" i="70"/>
  <c r="AB176" i="71"/>
  <c r="AB176" i="72"/>
  <c r="AB176" i="73"/>
  <c r="AB176" i="74"/>
  <c r="AB133" i="70"/>
  <c r="AB133" i="71"/>
  <c r="AB133" i="72"/>
  <c r="AB133" i="73"/>
  <c r="AB133" i="74"/>
  <c r="AB160" i="70"/>
  <c r="AB160" i="71"/>
  <c r="AB160" i="72"/>
  <c r="AB160" i="73"/>
  <c r="AB160" i="74"/>
  <c r="AB285" i="70"/>
  <c r="AB285" i="71"/>
  <c r="AB285" i="72"/>
  <c r="AB285" i="73"/>
  <c r="AB285" i="74"/>
  <c r="AB270" i="70"/>
  <c r="AB270" i="71"/>
  <c r="AB270" i="72"/>
  <c r="AB270" i="73"/>
  <c r="AB270" i="74"/>
  <c r="AB154" i="71"/>
  <c r="AB154" i="72"/>
  <c r="AB154" i="73"/>
  <c r="AB154" i="74"/>
  <c r="AB109" i="69"/>
  <c r="AB135"/>
  <c r="AB139"/>
  <c r="AB190"/>
  <c r="AB280" i="72"/>
  <c r="AB280" i="73"/>
  <c r="AB280" i="74"/>
  <c r="AB141" i="73"/>
  <c r="AB141" i="74"/>
  <c r="AB379" i="73"/>
  <c r="AB379" i="74"/>
  <c r="AB382" i="73"/>
  <c r="AB382" i="74"/>
  <c r="AB164" i="73"/>
  <c r="AB164" i="74"/>
  <c r="J394" i="71"/>
  <c r="F394"/>
  <c r="J394" i="69"/>
  <c r="F394"/>
  <c r="AB394" i="68"/>
  <c r="L394"/>
  <c r="H394"/>
  <c r="D394"/>
  <c r="I354" i="74"/>
  <c r="E354"/>
  <c r="M354" i="70"/>
  <c r="I354"/>
  <c r="E354"/>
  <c r="K394" i="71"/>
  <c r="K394" i="69"/>
  <c r="G394"/>
  <c r="M394" i="68"/>
  <c r="I394"/>
  <c r="E394"/>
  <c r="J354" i="74"/>
  <c r="F354"/>
  <c r="J354" i="70"/>
  <c r="F354"/>
  <c r="AB394" i="69"/>
  <c r="L394"/>
  <c r="J394" i="68"/>
  <c r="K354" i="74"/>
  <c r="K354" i="70"/>
  <c r="L354" i="72"/>
  <c r="H354"/>
  <c r="M354" i="71"/>
  <c r="E354"/>
  <c r="L354"/>
  <c r="H354"/>
  <c r="D354"/>
  <c r="F354" i="69"/>
  <c r="G354" i="65"/>
  <c r="D354" i="73"/>
  <c r="H354"/>
  <c r="L354"/>
  <c r="G354"/>
  <c r="K354"/>
  <c r="D354" i="69"/>
  <c r="H354"/>
  <c r="L354"/>
  <c r="G354"/>
  <c r="K354"/>
  <c r="J354" i="73"/>
  <c r="I354" i="69"/>
  <c r="E380" i="68"/>
  <c r="I380"/>
  <c r="M380"/>
  <c r="D380"/>
  <c r="H380"/>
  <c r="L380"/>
  <c r="D378" i="74"/>
  <c r="H378"/>
  <c r="L378"/>
  <c r="D382"/>
  <c r="H382"/>
  <c r="L382"/>
  <c r="G380" i="73"/>
  <c r="K380"/>
  <c r="F378" i="72"/>
  <c r="J378"/>
  <c r="F382"/>
  <c r="J382"/>
  <c r="E380" i="71"/>
  <c r="I380"/>
  <c r="M380"/>
  <c r="E378" i="70"/>
  <c r="M378"/>
  <c r="D378"/>
  <c r="H378"/>
  <c r="L378"/>
  <c r="D382"/>
  <c r="H382"/>
  <c r="L382"/>
  <c r="AB382"/>
  <c r="D380" i="69"/>
  <c r="H380"/>
  <c r="L380"/>
  <c r="G380"/>
  <c r="K380"/>
  <c r="D378" i="65"/>
  <c r="H378"/>
  <c r="L378"/>
  <c r="G378"/>
  <c r="K378"/>
  <c r="D382"/>
  <c r="H382"/>
  <c r="L382"/>
  <c r="G382"/>
  <c r="K382"/>
  <c r="F395" i="74"/>
  <c r="J395"/>
  <c r="E395"/>
  <c r="I395"/>
  <c r="M395"/>
  <c r="F395" i="72"/>
  <c r="J395"/>
  <c r="E395"/>
  <c r="I395"/>
  <c r="M395"/>
  <c r="F395" i="70"/>
  <c r="J395"/>
  <c r="E395"/>
  <c r="M395"/>
  <c r="D395" i="65"/>
  <c r="H395"/>
  <c r="L395"/>
  <c r="AB395"/>
  <c r="G395"/>
  <c r="K395"/>
  <c r="M354" i="73"/>
  <c r="E354"/>
  <c r="J354" i="69"/>
  <c r="E370" i="68"/>
  <c r="I370"/>
  <c r="M370"/>
  <c r="D379"/>
  <c r="H379"/>
  <c r="L379"/>
  <c r="AB379"/>
  <c r="G379"/>
  <c r="K379"/>
  <c r="D383"/>
  <c r="H383"/>
  <c r="L383"/>
  <c r="K383"/>
  <c r="G377" i="74"/>
  <c r="K377"/>
  <c r="G381"/>
  <c r="K381"/>
  <c r="F379" i="73"/>
  <c r="J379"/>
  <c r="F383"/>
  <c r="J383"/>
  <c r="E377" i="72"/>
  <c r="I377"/>
  <c r="M377"/>
  <c r="E381"/>
  <c r="I381"/>
  <c r="M381"/>
  <c r="D379" i="71"/>
  <c r="H379"/>
  <c r="L379"/>
  <c r="AB379"/>
  <c r="D383"/>
  <c r="H383"/>
  <c r="L383"/>
  <c r="D377" i="70"/>
  <c r="H377"/>
  <c r="L377"/>
  <c r="G377"/>
  <c r="K377"/>
  <c r="G381"/>
  <c r="K381"/>
  <c r="G379" i="69"/>
  <c r="K379"/>
  <c r="F379"/>
  <c r="J379"/>
  <c r="G383"/>
  <c r="K383"/>
  <c r="F383"/>
  <c r="J383"/>
  <c r="G377" i="65"/>
  <c r="K377"/>
  <c r="J377"/>
  <c r="G381"/>
  <c r="K381"/>
  <c r="J381"/>
  <c r="E394" i="74"/>
  <c r="I394"/>
  <c r="M394"/>
  <c r="D394"/>
  <c r="H394"/>
  <c r="L394"/>
  <c r="E394" i="72"/>
  <c r="I394"/>
  <c r="M394"/>
  <c r="D394"/>
  <c r="H394"/>
  <c r="L394"/>
  <c r="E394" i="70"/>
  <c r="M394"/>
  <c r="D394"/>
  <c r="H394"/>
  <c r="L394"/>
  <c r="G394" i="65"/>
  <c r="K394"/>
  <c r="F394"/>
  <c r="J394"/>
  <c r="F354" i="73"/>
  <c r="M354" i="69"/>
  <c r="E354"/>
  <c r="F393" i="70"/>
  <c r="J393"/>
  <c r="F393" i="74"/>
  <c r="F393" i="72"/>
  <c r="F393" i="71"/>
  <c r="F393" i="68"/>
  <c r="J393" i="65"/>
  <c r="J393" i="74"/>
  <c r="F393" i="65"/>
  <c r="J393" i="73"/>
  <c r="J393" i="69"/>
  <c r="F393" i="73"/>
  <c r="J393" i="72"/>
  <c r="F393" i="69"/>
  <c r="J393" i="68"/>
  <c r="AB378" i="65"/>
  <c r="AB378" i="68"/>
  <c r="AB183" i="65"/>
  <c r="S159" i="73"/>
  <c r="AB354" i="68"/>
  <c r="L354"/>
  <c r="H354"/>
  <c r="D354"/>
  <c r="K354" i="65"/>
  <c r="G268" i="72"/>
  <c r="M354" i="68"/>
  <c r="I354"/>
  <c r="AB354" i="65"/>
  <c r="L354"/>
  <c r="H354"/>
  <c r="D354"/>
  <c r="M354"/>
  <c r="I354"/>
  <c r="E354"/>
  <c r="J354"/>
  <c r="F394" i="39"/>
  <c r="M395"/>
  <c r="I395"/>
  <c r="E395"/>
  <c r="AB394"/>
  <c r="L394"/>
  <c r="H394"/>
  <c r="D394"/>
  <c r="J395"/>
  <c r="F395"/>
  <c r="M394"/>
  <c r="I394"/>
  <c r="E394"/>
  <c r="K395"/>
  <c r="G395"/>
  <c r="J394"/>
  <c r="E377"/>
  <c r="AB395"/>
  <c r="L395"/>
  <c r="H395"/>
  <c r="D395"/>
  <c r="K394"/>
  <c r="G394"/>
  <c r="J383"/>
  <c r="F383"/>
  <c r="M382"/>
  <c r="I382"/>
  <c r="E382"/>
  <c r="AB381"/>
  <c r="L381"/>
  <c r="H381"/>
  <c r="D381"/>
  <c r="K380"/>
  <c r="G380"/>
  <c r="J379"/>
  <c r="F379"/>
  <c r="M378"/>
  <c r="I378"/>
  <c r="E378"/>
  <c r="AB377"/>
  <c r="L377"/>
  <c r="H377"/>
  <c r="D377"/>
  <c r="K383"/>
  <c r="G383"/>
  <c r="J382"/>
  <c r="F382"/>
  <c r="M381"/>
  <c r="I381"/>
  <c r="E381"/>
  <c r="AB380"/>
  <c r="L380"/>
  <c r="H380"/>
  <c r="D380"/>
  <c r="K379"/>
  <c r="G379"/>
  <c r="J378"/>
  <c r="F378"/>
  <c r="M377"/>
  <c r="I377"/>
  <c r="F369"/>
  <c r="AB383"/>
  <c r="L383"/>
  <c r="H383"/>
  <c r="D383"/>
  <c r="K382"/>
  <c r="G382"/>
  <c r="J381"/>
  <c r="F381"/>
  <c r="M380"/>
  <c r="I380"/>
  <c r="E380"/>
  <c r="AB379"/>
  <c r="L379"/>
  <c r="H379"/>
  <c r="D379"/>
  <c r="K378"/>
  <c r="G378"/>
  <c r="J377"/>
  <c r="F377"/>
  <c r="H369"/>
  <c r="M383"/>
  <c r="I383"/>
  <c r="E383"/>
  <c r="AB382"/>
  <c r="L382"/>
  <c r="H382"/>
  <c r="D382"/>
  <c r="K381"/>
  <c r="G381"/>
  <c r="J380"/>
  <c r="F380"/>
  <c r="M379"/>
  <c r="I379"/>
  <c r="E379"/>
  <c r="AB378"/>
  <c r="L378"/>
  <c r="H378"/>
  <c r="D378"/>
  <c r="K377"/>
  <c r="G377"/>
  <c r="M370"/>
  <c r="I370"/>
  <c r="AB369"/>
  <c r="L369"/>
  <c r="D369"/>
  <c r="J370"/>
  <c r="F370"/>
  <c r="M369"/>
  <c r="I369"/>
  <c r="E369"/>
  <c r="E370"/>
  <c r="K370"/>
  <c r="G370"/>
  <c r="J369"/>
  <c r="G359"/>
  <c r="AB370"/>
  <c r="L370"/>
  <c r="H370"/>
  <c r="D370"/>
  <c r="K369"/>
  <c r="G369"/>
  <c r="K361"/>
  <c r="G361"/>
  <c r="J360"/>
  <c r="F360"/>
  <c r="M359"/>
  <c r="I359"/>
  <c r="E359"/>
  <c r="AB361"/>
  <c r="L361"/>
  <c r="H361"/>
  <c r="D361"/>
  <c r="K360"/>
  <c r="G360"/>
  <c r="J359"/>
  <c r="F359"/>
  <c r="M361"/>
  <c r="I361"/>
  <c r="E361"/>
  <c r="AB360"/>
  <c r="L360"/>
  <c r="H360"/>
  <c r="D360"/>
  <c r="K359"/>
  <c r="G270"/>
  <c r="J361"/>
  <c r="F361"/>
  <c r="M360"/>
  <c r="I360"/>
  <c r="E360"/>
  <c r="AB359"/>
  <c r="L359"/>
  <c r="H359"/>
  <c r="D359"/>
  <c r="AB286"/>
  <c r="H286"/>
  <c r="K285"/>
  <c r="F284"/>
  <c r="M283"/>
  <c r="E283"/>
  <c r="H282"/>
  <c r="K281"/>
  <c r="F280"/>
  <c r="I279"/>
  <c r="AB278"/>
  <c r="H278"/>
  <c r="K277"/>
  <c r="F276"/>
  <c r="I275"/>
  <c r="AB274"/>
  <c r="L274"/>
  <c r="D274"/>
  <c r="G273"/>
  <c r="J272"/>
  <c r="F272"/>
  <c r="M271"/>
  <c r="I271"/>
  <c r="E271"/>
  <c r="AB270"/>
  <c r="L270"/>
  <c r="H270"/>
  <c r="D270"/>
  <c r="M286"/>
  <c r="I286"/>
  <c r="E286"/>
  <c r="AB285"/>
  <c r="L285"/>
  <c r="H285"/>
  <c r="D285"/>
  <c r="K284"/>
  <c r="G284"/>
  <c r="J283"/>
  <c r="F283"/>
  <c r="M282"/>
  <c r="I282"/>
  <c r="E282"/>
  <c r="AB281"/>
  <c r="L281"/>
  <c r="H281"/>
  <c r="D281"/>
  <c r="K280"/>
  <c r="G280"/>
  <c r="J279"/>
  <c r="F279"/>
  <c r="M278"/>
  <c r="I278"/>
  <c r="E278"/>
  <c r="AB277"/>
  <c r="L277"/>
  <c r="H277"/>
  <c r="D277"/>
  <c r="K276"/>
  <c r="G276"/>
  <c r="J275"/>
  <c r="F275"/>
  <c r="M274"/>
  <c r="I274"/>
  <c r="E274"/>
  <c r="AB273"/>
  <c r="L273"/>
  <c r="H273"/>
  <c r="D273"/>
  <c r="K272"/>
  <c r="G272"/>
  <c r="J271"/>
  <c r="F271"/>
  <c r="M270"/>
  <c r="I270"/>
  <c r="E270"/>
  <c r="L286"/>
  <c r="D286"/>
  <c r="G285"/>
  <c r="J284"/>
  <c r="I283"/>
  <c r="AB282"/>
  <c r="L282"/>
  <c r="D282"/>
  <c r="G281"/>
  <c r="J280"/>
  <c r="M279"/>
  <c r="E279"/>
  <c r="L278"/>
  <c r="D278"/>
  <c r="G277"/>
  <c r="J276"/>
  <c r="M275"/>
  <c r="E275"/>
  <c r="H274"/>
  <c r="K273"/>
  <c r="J286"/>
  <c r="F286"/>
  <c r="M285"/>
  <c r="I285"/>
  <c r="E285"/>
  <c r="AB284"/>
  <c r="L284"/>
  <c r="H284"/>
  <c r="D284"/>
  <c r="K283"/>
  <c r="G283"/>
  <c r="J282"/>
  <c r="F282"/>
  <c r="M281"/>
  <c r="I281"/>
  <c r="E281"/>
  <c r="AB280"/>
  <c r="L280"/>
  <c r="H280"/>
  <c r="D280"/>
  <c r="K279"/>
  <c r="G279"/>
  <c r="J278"/>
  <c r="F278"/>
  <c r="M277"/>
  <c r="I277"/>
  <c r="E277"/>
  <c r="AB276"/>
  <c r="L276"/>
  <c r="H276"/>
  <c r="D276"/>
  <c r="K275"/>
  <c r="G275"/>
  <c r="J274"/>
  <c r="F274"/>
  <c r="M273"/>
  <c r="I273"/>
  <c r="E273"/>
  <c r="AB272"/>
  <c r="L272"/>
  <c r="H272"/>
  <c r="D272"/>
  <c r="K271"/>
  <c r="G271"/>
  <c r="J270"/>
  <c r="F270"/>
  <c r="H222"/>
  <c r="K286"/>
  <c r="G286"/>
  <c r="J285"/>
  <c r="F285"/>
  <c r="M284"/>
  <c r="I284"/>
  <c r="E284"/>
  <c r="AB283"/>
  <c r="L283"/>
  <c r="H283"/>
  <c r="D283"/>
  <c r="K282"/>
  <c r="G282"/>
  <c r="J281"/>
  <c r="F281"/>
  <c r="M280"/>
  <c r="I280"/>
  <c r="E280"/>
  <c r="AB279"/>
  <c r="L279"/>
  <c r="H279"/>
  <c r="D279"/>
  <c r="K278"/>
  <c r="G278"/>
  <c r="J277"/>
  <c r="F277"/>
  <c r="M276"/>
  <c r="I276"/>
  <c r="E276"/>
  <c r="AB275"/>
  <c r="L275"/>
  <c r="H275"/>
  <c r="D275"/>
  <c r="K274"/>
  <c r="G274"/>
  <c r="J273"/>
  <c r="F273"/>
  <c r="M272"/>
  <c r="I272"/>
  <c r="E272"/>
  <c r="AB271"/>
  <c r="L271"/>
  <c r="H271"/>
  <c r="D271"/>
  <c r="K270"/>
  <c r="D238"/>
  <c r="J236"/>
  <c r="E235"/>
  <c r="K233"/>
  <c r="F232"/>
  <c r="AB230"/>
  <c r="L230"/>
  <c r="G229"/>
  <c r="E227"/>
  <c r="AB238"/>
  <c r="H238"/>
  <c r="K237"/>
  <c r="I235"/>
  <c r="L234"/>
  <c r="D234"/>
  <c r="G233"/>
  <c r="I231"/>
  <c r="D230"/>
  <c r="J228"/>
  <c r="M227"/>
  <c r="AB226"/>
  <c r="H226"/>
  <c r="G225"/>
  <c r="F224"/>
  <c r="I223"/>
  <c r="E223"/>
  <c r="L222"/>
  <c r="D222"/>
  <c r="F154"/>
  <c r="M238"/>
  <c r="I238"/>
  <c r="E238"/>
  <c r="AB237"/>
  <c r="L237"/>
  <c r="H237"/>
  <c r="D237"/>
  <c r="K236"/>
  <c r="G236"/>
  <c r="J235"/>
  <c r="F235"/>
  <c r="M234"/>
  <c r="I234"/>
  <c r="E234"/>
  <c r="AB233"/>
  <c r="L233"/>
  <c r="H233"/>
  <c r="D233"/>
  <c r="K232"/>
  <c r="G232"/>
  <c r="J231"/>
  <c r="F231"/>
  <c r="M230"/>
  <c r="I230"/>
  <c r="E230"/>
  <c r="AB229"/>
  <c r="L229"/>
  <c r="H229"/>
  <c r="D229"/>
  <c r="K228"/>
  <c r="G228"/>
  <c r="J227"/>
  <c r="F227"/>
  <c r="M226"/>
  <c r="I226"/>
  <c r="E226"/>
  <c r="AB225"/>
  <c r="L225"/>
  <c r="H225"/>
  <c r="D225"/>
  <c r="K224"/>
  <c r="G224"/>
  <c r="J223"/>
  <c r="F223"/>
  <c r="M222"/>
  <c r="I222"/>
  <c r="E222"/>
  <c r="L238"/>
  <c r="G237"/>
  <c r="F236"/>
  <c r="M235"/>
  <c r="AB234"/>
  <c r="H234"/>
  <c r="J232"/>
  <c r="M231"/>
  <c r="E231"/>
  <c r="H230"/>
  <c r="K229"/>
  <c r="F228"/>
  <c r="I227"/>
  <c r="L226"/>
  <c r="D226"/>
  <c r="K225"/>
  <c r="J224"/>
  <c r="M223"/>
  <c r="AB222"/>
  <c r="J238"/>
  <c r="F238"/>
  <c r="M237"/>
  <c r="I237"/>
  <c r="E237"/>
  <c r="AB236"/>
  <c r="L236"/>
  <c r="H236"/>
  <c r="D236"/>
  <c r="K235"/>
  <c r="G235"/>
  <c r="J234"/>
  <c r="F234"/>
  <c r="M233"/>
  <c r="I233"/>
  <c r="E233"/>
  <c r="AB232"/>
  <c r="L232"/>
  <c r="H232"/>
  <c r="D232"/>
  <c r="K231"/>
  <c r="G231"/>
  <c r="J230"/>
  <c r="F230"/>
  <c r="M229"/>
  <c r="I229"/>
  <c r="E229"/>
  <c r="AB228"/>
  <c r="L228"/>
  <c r="H228"/>
  <c r="D228"/>
  <c r="K227"/>
  <c r="G227"/>
  <c r="J226"/>
  <c r="F226"/>
  <c r="M225"/>
  <c r="I225"/>
  <c r="E225"/>
  <c r="AB224"/>
  <c r="L224"/>
  <c r="H224"/>
  <c r="D224"/>
  <c r="K223"/>
  <c r="G223"/>
  <c r="J222"/>
  <c r="F222"/>
  <c r="K238"/>
  <c r="G238"/>
  <c r="J237"/>
  <c r="F237"/>
  <c r="M236"/>
  <c r="I236"/>
  <c r="E236"/>
  <c r="AB235"/>
  <c r="L235"/>
  <c r="H235"/>
  <c r="D235"/>
  <c r="K234"/>
  <c r="G234"/>
  <c r="J233"/>
  <c r="F233"/>
  <c r="M232"/>
  <c r="I232"/>
  <c r="E232"/>
  <c r="AB231"/>
  <c r="L231"/>
  <c r="H231"/>
  <c r="D231"/>
  <c r="K230"/>
  <c r="G230"/>
  <c r="J229"/>
  <c r="F229"/>
  <c r="M228"/>
  <c r="I228"/>
  <c r="E228"/>
  <c r="AB227"/>
  <c r="L227"/>
  <c r="H227"/>
  <c r="D227"/>
  <c r="K226"/>
  <c r="G226"/>
  <c r="J225"/>
  <c r="F225"/>
  <c r="M224"/>
  <c r="I224"/>
  <c r="E224"/>
  <c r="AB223"/>
  <c r="L223"/>
  <c r="H223"/>
  <c r="D223"/>
  <c r="K222"/>
  <c r="G222"/>
  <c r="AB190"/>
  <c r="L190"/>
  <c r="H190"/>
  <c r="D190"/>
  <c r="K189"/>
  <c r="G189"/>
  <c r="J188"/>
  <c r="F188"/>
  <c r="M187"/>
  <c r="I187"/>
  <c r="E187"/>
  <c r="AB186"/>
  <c r="L186"/>
  <c r="H186"/>
  <c r="D186"/>
  <c r="K185"/>
  <c r="G185"/>
  <c r="J184"/>
  <c r="F184"/>
  <c r="M183"/>
  <c r="I183"/>
  <c r="E183"/>
  <c r="AB182"/>
  <c r="L182"/>
  <c r="H182"/>
  <c r="D182"/>
  <c r="K181"/>
  <c r="G181"/>
  <c r="J180"/>
  <c r="F180"/>
  <c r="M179"/>
  <c r="I179"/>
  <c r="E179"/>
  <c r="AB178"/>
  <c r="L178"/>
  <c r="H178"/>
  <c r="D178"/>
  <c r="K177"/>
  <c r="G177"/>
  <c r="J176"/>
  <c r="F176"/>
  <c r="M175"/>
  <c r="I175"/>
  <c r="E175"/>
  <c r="AB174"/>
  <c r="L174"/>
  <c r="H174"/>
  <c r="D174"/>
  <c r="K173"/>
  <c r="G173"/>
  <c r="J172"/>
  <c r="F172"/>
  <c r="M171"/>
  <c r="I171"/>
  <c r="E171"/>
  <c r="AB170"/>
  <c r="L170"/>
  <c r="H170"/>
  <c r="D170"/>
  <c r="K169"/>
  <c r="G169"/>
  <c r="J168"/>
  <c r="F168"/>
  <c r="M167"/>
  <c r="I167"/>
  <c r="E167"/>
  <c r="AB166"/>
  <c r="L166"/>
  <c r="H166"/>
  <c r="D166"/>
  <c r="K165"/>
  <c r="G165"/>
  <c r="J164"/>
  <c r="F164"/>
  <c r="M163"/>
  <c r="I163"/>
  <c r="E163"/>
  <c r="AB162"/>
  <c r="L162"/>
  <c r="H162"/>
  <c r="D162"/>
  <c r="K161"/>
  <c r="G161"/>
  <c r="J160"/>
  <c r="F160"/>
  <c r="M159"/>
  <c r="I159"/>
  <c r="E159"/>
  <c r="AB158"/>
  <c r="L158"/>
  <c r="H158"/>
  <c r="D158"/>
  <c r="K157"/>
  <c r="G157"/>
  <c r="J156"/>
  <c r="F156"/>
  <c r="M155"/>
  <c r="I155"/>
  <c r="E155"/>
  <c r="AB154"/>
  <c r="L154"/>
  <c r="H154"/>
  <c r="D154"/>
  <c r="M190"/>
  <c r="I190"/>
  <c r="E190"/>
  <c r="AB189"/>
  <c r="L189"/>
  <c r="H189"/>
  <c r="D189"/>
  <c r="K188"/>
  <c r="G188"/>
  <c r="J187"/>
  <c r="F187"/>
  <c r="M186"/>
  <c r="I186"/>
  <c r="E186"/>
  <c r="AB185"/>
  <c r="L185"/>
  <c r="H185"/>
  <c r="D185"/>
  <c r="K184"/>
  <c r="G184"/>
  <c r="J183"/>
  <c r="F183"/>
  <c r="M182"/>
  <c r="I182"/>
  <c r="E182"/>
  <c r="AB181"/>
  <c r="L181"/>
  <c r="H181"/>
  <c r="D181"/>
  <c r="K180"/>
  <c r="G180"/>
  <c r="J179"/>
  <c r="F179"/>
  <c r="M178"/>
  <c r="I178"/>
  <c r="E178"/>
  <c r="AB177"/>
  <c r="L177"/>
  <c r="H177"/>
  <c r="D177"/>
  <c r="K176"/>
  <c r="G176"/>
  <c r="J175"/>
  <c r="F175"/>
  <c r="M174"/>
  <c r="I174"/>
  <c r="E174"/>
  <c r="AB173"/>
  <c r="L173"/>
  <c r="H173"/>
  <c r="D173"/>
  <c r="K172"/>
  <c r="G172"/>
  <c r="J171"/>
  <c r="F171"/>
  <c r="M170"/>
  <c r="I170"/>
  <c r="E170"/>
  <c r="AB169"/>
  <c r="L169"/>
  <c r="H169"/>
  <c r="D169"/>
  <c r="K168"/>
  <c r="G168"/>
  <c r="J167"/>
  <c r="F167"/>
  <c r="M166"/>
  <c r="I166"/>
  <c r="E166"/>
  <c r="AB165"/>
  <c r="L165"/>
  <c r="H165"/>
  <c r="D165"/>
  <c r="K164"/>
  <c r="G164"/>
  <c r="J163"/>
  <c r="F163"/>
  <c r="M162"/>
  <c r="I162"/>
  <c r="E162"/>
  <c r="AB161"/>
  <c r="L161"/>
  <c r="H161"/>
  <c r="D161"/>
  <c r="K160"/>
  <c r="G160"/>
  <c r="J159"/>
  <c r="F159"/>
  <c r="M158"/>
  <c r="I158"/>
  <c r="E158"/>
  <c r="AB157"/>
  <c r="L157"/>
  <c r="H157"/>
  <c r="D157"/>
  <c r="K156"/>
  <c r="G156"/>
  <c r="J155"/>
  <c r="F155"/>
  <c r="M154"/>
  <c r="I154"/>
  <c r="E154"/>
  <c r="J190"/>
  <c r="F190"/>
  <c r="M189"/>
  <c r="I189"/>
  <c r="E189"/>
  <c r="AB188"/>
  <c r="L188"/>
  <c r="H188"/>
  <c r="D188"/>
  <c r="K187"/>
  <c r="G187"/>
  <c r="J186"/>
  <c r="F186"/>
  <c r="M185"/>
  <c r="I185"/>
  <c r="E185"/>
  <c r="AB184"/>
  <c r="L184"/>
  <c r="H184"/>
  <c r="D184"/>
  <c r="K183"/>
  <c r="G183"/>
  <c r="J182"/>
  <c r="F182"/>
  <c r="M181"/>
  <c r="I181"/>
  <c r="E181"/>
  <c r="AB180"/>
  <c r="L180"/>
  <c r="H180"/>
  <c r="D180"/>
  <c r="K179"/>
  <c r="G179"/>
  <c r="J178"/>
  <c r="F178"/>
  <c r="M177"/>
  <c r="I177"/>
  <c r="E177"/>
  <c r="AB176"/>
  <c r="L176"/>
  <c r="H176"/>
  <c r="D176"/>
  <c r="K175"/>
  <c r="G175"/>
  <c r="J174"/>
  <c r="F174"/>
  <c r="M173"/>
  <c r="I173"/>
  <c r="E173"/>
  <c r="AB172"/>
  <c r="L172"/>
  <c r="H172"/>
  <c r="D172"/>
  <c r="K171"/>
  <c r="G171"/>
  <c r="J170"/>
  <c r="F170"/>
  <c r="M169"/>
  <c r="I169"/>
  <c r="E169"/>
  <c r="AB168"/>
  <c r="L168"/>
  <c r="H168"/>
  <c r="D168"/>
  <c r="K167"/>
  <c r="G167"/>
  <c r="J166"/>
  <c r="F166"/>
  <c r="M165"/>
  <c r="I165"/>
  <c r="E165"/>
  <c r="AB164"/>
  <c r="L164"/>
  <c r="H164"/>
  <c r="D164"/>
  <c r="K163"/>
  <c r="G163"/>
  <c r="J162"/>
  <c r="F162"/>
  <c r="M161"/>
  <c r="I161"/>
  <c r="E161"/>
  <c r="AB160"/>
  <c r="L160"/>
  <c r="H160"/>
  <c r="D160"/>
  <c r="K159"/>
  <c r="G159"/>
  <c r="J158"/>
  <c r="F158"/>
  <c r="M157"/>
  <c r="I157"/>
  <c r="E157"/>
  <c r="AB156"/>
  <c r="L156"/>
  <c r="H156"/>
  <c r="D156"/>
  <c r="K155"/>
  <c r="G155"/>
  <c r="J154"/>
  <c r="D129"/>
  <c r="K190"/>
  <c r="G190"/>
  <c r="J189"/>
  <c r="F189"/>
  <c r="M188"/>
  <c r="I188"/>
  <c r="E188"/>
  <c r="AB187"/>
  <c r="L187"/>
  <c r="H187"/>
  <c r="D187"/>
  <c r="K186"/>
  <c r="G186"/>
  <c r="J185"/>
  <c r="F185"/>
  <c r="M184"/>
  <c r="I184"/>
  <c r="E184"/>
  <c r="AB183"/>
  <c r="L183"/>
  <c r="H183"/>
  <c r="D183"/>
  <c r="K182"/>
  <c r="G182"/>
  <c r="J181"/>
  <c r="F181"/>
  <c r="M180"/>
  <c r="I180"/>
  <c r="E180"/>
  <c r="AB179"/>
  <c r="L179"/>
  <c r="H179"/>
  <c r="D179"/>
  <c r="K178"/>
  <c r="G178"/>
  <c r="J177"/>
  <c r="F177"/>
  <c r="M176"/>
  <c r="I176"/>
  <c r="E176"/>
  <c r="AB175"/>
  <c r="L175"/>
  <c r="H175"/>
  <c r="D175"/>
  <c r="K174"/>
  <c r="G174"/>
  <c r="J173"/>
  <c r="F173"/>
  <c r="M172"/>
  <c r="I172"/>
  <c r="E172"/>
  <c r="AB171"/>
  <c r="L171"/>
  <c r="H171"/>
  <c r="D171"/>
  <c r="K170"/>
  <c r="G170"/>
  <c r="J169"/>
  <c r="F169"/>
  <c r="M168"/>
  <c r="I168"/>
  <c r="E168"/>
  <c r="AB167"/>
  <c r="L167"/>
  <c r="H167"/>
  <c r="D167"/>
  <c r="K166"/>
  <c r="G166"/>
  <c r="J165"/>
  <c r="F165"/>
  <c r="M164"/>
  <c r="I164"/>
  <c r="E164"/>
  <c r="AB163"/>
  <c r="L163"/>
  <c r="H163"/>
  <c r="D163"/>
  <c r="K162"/>
  <c r="G162"/>
  <c r="J161"/>
  <c r="F161"/>
  <c r="M160"/>
  <c r="I160"/>
  <c r="E160"/>
  <c r="AB159"/>
  <c r="L159"/>
  <c r="H159"/>
  <c r="D159"/>
  <c r="K158"/>
  <c r="G158"/>
  <c r="J157"/>
  <c r="F157"/>
  <c r="M156"/>
  <c r="I156"/>
  <c r="E156"/>
  <c r="AB155"/>
  <c r="L155"/>
  <c r="H155"/>
  <c r="D155"/>
  <c r="K154"/>
  <c r="G154"/>
  <c r="AB141"/>
  <c r="L141"/>
  <c r="H141"/>
  <c r="D141"/>
  <c r="K140"/>
  <c r="G140"/>
  <c r="J139"/>
  <c r="F139"/>
  <c r="M138"/>
  <c r="I138"/>
  <c r="E138"/>
  <c r="AB137"/>
  <c r="L137"/>
  <c r="H137"/>
  <c r="D137"/>
  <c r="K136"/>
  <c r="G136"/>
  <c r="J135"/>
  <c r="F135"/>
  <c r="M134"/>
  <c r="I134"/>
  <c r="E134"/>
  <c r="AB133"/>
  <c r="L133"/>
  <c r="H133"/>
  <c r="D133"/>
  <c r="K132"/>
  <c r="G132"/>
  <c r="J131"/>
  <c r="F131"/>
  <c r="M130"/>
  <c r="I130"/>
  <c r="E130"/>
  <c r="AB129"/>
  <c r="L129"/>
  <c r="H129"/>
  <c r="G101"/>
  <c r="M141"/>
  <c r="I141"/>
  <c r="E141"/>
  <c r="AB140"/>
  <c r="L140"/>
  <c r="H140"/>
  <c r="D140"/>
  <c r="K139"/>
  <c r="G139"/>
  <c r="J138"/>
  <c r="F138"/>
  <c r="M137"/>
  <c r="I137"/>
  <c r="E137"/>
  <c r="AB136"/>
  <c r="L136"/>
  <c r="H136"/>
  <c r="D136"/>
  <c r="K135"/>
  <c r="G135"/>
  <c r="J134"/>
  <c r="F134"/>
  <c r="M133"/>
  <c r="I133"/>
  <c r="E133"/>
  <c r="AB132"/>
  <c r="L132"/>
  <c r="H132"/>
  <c r="D132"/>
  <c r="K131"/>
  <c r="G131"/>
  <c r="J130"/>
  <c r="F130"/>
  <c r="M129"/>
  <c r="I129"/>
  <c r="E129"/>
  <c r="J141"/>
  <c r="F141"/>
  <c r="M140"/>
  <c r="I140"/>
  <c r="E140"/>
  <c r="AB139"/>
  <c r="L139"/>
  <c r="H139"/>
  <c r="D139"/>
  <c r="K138"/>
  <c r="G138"/>
  <c r="J137"/>
  <c r="F137"/>
  <c r="M136"/>
  <c r="I136"/>
  <c r="E136"/>
  <c r="AB135"/>
  <c r="L135"/>
  <c r="H135"/>
  <c r="D135"/>
  <c r="K134"/>
  <c r="G134"/>
  <c r="J133"/>
  <c r="F133"/>
  <c r="M132"/>
  <c r="I132"/>
  <c r="E132"/>
  <c r="AB131"/>
  <c r="L131"/>
  <c r="H131"/>
  <c r="D131"/>
  <c r="K130"/>
  <c r="G130"/>
  <c r="J129"/>
  <c r="F129"/>
  <c r="K141"/>
  <c r="G141"/>
  <c r="J140"/>
  <c r="F140"/>
  <c r="M139"/>
  <c r="I139"/>
  <c r="E139"/>
  <c r="AB138"/>
  <c r="L138"/>
  <c r="H138"/>
  <c r="D138"/>
  <c r="K137"/>
  <c r="G137"/>
  <c r="J136"/>
  <c r="F136"/>
  <c r="M135"/>
  <c r="I135"/>
  <c r="E135"/>
  <c r="AB134"/>
  <c r="L134"/>
  <c r="H134"/>
  <c r="D134"/>
  <c r="K133"/>
  <c r="G133"/>
  <c r="J132"/>
  <c r="F132"/>
  <c r="M131"/>
  <c r="I131"/>
  <c r="E131"/>
  <c r="AB130"/>
  <c r="L130"/>
  <c r="H130"/>
  <c r="D130"/>
  <c r="K129"/>
  <c r="G129"/>
  <c r="AB117"/>
  <c r="L117"/>
  <c r="H117"/>
  <c r="D117"/>
  <c r="K116"/>
  <c r="G116"/>
  <c r="J115"/>
  <c r="F115"/>
  <c r="M114"/>
  <c r="I114"/>
  <c r="E114"/>
  <c r="AB113"/>
  <c r="L113"/>
  <c r="H113"/>
  <c r="D113"/>
  <c r="K112"/>
  <c r="G112"/>
  <c r="J111"/>
  <c r="F111"/>
  <c r="M110"/>
  <c r="I110"/>
  <c r="E110"/>
  <c r="AB109"/>
  <c r="L109"/>
  <c r="H109"/>
  <c r="D109"/>
  <c r="K108"/>
  <c r="G108"/>
  <c r="J107"/>
  <c r="F107"/>
  <c r="M106"/>
  <c r="I106"/>
  <c r="E106"/>
  <c r="AB105"/>
  <c r="L105"/>
  <c r="H105"/>
  <c r="D105"/>
  <c r="K104"/>
  <c r="G104"/>
  <c r="J103"/>
  <c r="F103"/>
  <c r="M102"/>
  <c r="I102"/>
  <c r="E102"/>
  <c r="AB101"/>
  <c r="L101"/>
  <c r="H101"/>
  <c r="D101"/>
  <c r="M117"/>
  <c r="I117"/>
  <c r="E117"/>
  <c r="AB116"/>
  <c r="L116"/>
  <c r="H116"/>
  <c r="D116"/>
  <c r="K115"/>
  <c r="G115"/>
  <c r="J114"/>
  <c r="F114"/>
  <c r="M113"/>
  <c r="I113"/>
  <c r="E113"/>
  <c r="AB112"/>
  <c r="L112"/>
  <c r="H112"/>
  <c r="D112"/>
  <c r="K111"/>
  <c r="G111"/>
  <c r="J110"/>
  <c r="F110"/>
  <c r="M109"/>
  <c r="I109"/>
  <c r="E109"/>
  <c r="AB108"/>
  <c r="L108"/>
  <c r="H108"/>
  <c r="D108"/>
  <c r="K107"/>
  <c r="G107"/>
  <c r="J106"/>
  <c r="F106"/>
  <c r="M105"/>
  <c r="I105"/>
  <c r="E105"/>
  <c r="AB104"/>
  <c r="L104"/>
  <c r="H104"/>
  <c r="D104"/>
  <c r="K103"/>
  <c r="G103"/>
  <c r="J102"/>
  <c r="F102"/>
  <c r="M101"/>
  <c r="I101"/>
  <c r="E101"/>
  <c r="J117"/>
  <c r="F117"/>
  <c r="M116"/>
  <c r="I116"/>
  <c r="E116"/>
  <c r="AB115"/>
  <c r="L115"/>
  <c r="H115"/>
  <c r="D115"/>
  <c r="K114"/>
  <c r="G114"/>
  <c r="J113"/>
  <c r="F113"/>
  <c r="M112"/>
  <c r="I112"/>
  <c r="E112"/>
  <c r="AB111"/>
  <c r="L111"/>
  <c r="H111"/>
  <c r="D111"/>
  <c r="K110"/>
  <c r="G110"/>
  <c r="J109"/>
  <c r="F109"/>
  <c r="M108"/>
  <c r="I108"/>
  <c r="E108"/>
  <c r="AB107"/>
  <c r="L107"/>
  <c r="H107"/>
  <c r="D107"/>
  <c r="K106"/>
  <c r="G106"/>
  <c r="J105"/>
  <c r="F105"/>
  <c r="M104"/>
  <c r="I104"/>
  <c r="E104"/>
  <c r="AB103"/>
  <c r="L103"/>
  <c r="H103"/>
  <c r="D103"/>
  <c r="K102"/>
  <c r="G102"/>
  <c r="J101"/>
  <c r="F101"/>
  <c r="K117"/>
  <c r="G117"/>
  <c r="J116"/>
  <c r="F116"/>
  <c r="M115"/>
  <c r="I115"/>
  <c r="E115"/>
  <c r="AB114"/>
  <c r="L114"/>
  <c r="H114"/>
  <c r="D114"/>
  <c r="K113"/>
  <c r="G113"/>
  <c r="J112"/>
  <c r="F112"/>
  <c r="M111"/>
  <c r="I111"/>
  <c r="E111"/>
  <c r="AB110"/>
  <c r="L110"/>
  <c r="H110"/>
  <c r="D110"/>
  <c r="K109"/>
  <c r="G109"/>
  <c r="J108"/>
  <c r="F108"/>
  <c r="M107"/>
  <c r="I107"/>
  <c r="E107"/>
  <c r="AB106"/>
  <c r="L106"/>
  <c r="H106"/>
  <c r="D106"/>
  <c r="K105"/>
  <c r="G105"/>
  <c r="J104"/>
  <c r="F104"/>
  <c r="M103"/>
  <c r="I103"/>
  <c r="E103"/>
  <c r="AB102"/>
  <c r="L102"/>
  <c r="H102"/>
  <c r="D102"/>
  <c r="K101"/>
  <c r="E393" i="74"/>
  <c r="I393"/>
  <c r="M393"/>
  <c r="E393" i="73"/>
  <c r="I393"/>
  <c r="M393"/>
  <c r="E393" i="72"/>
  <c r="I393"/>
  <c r="M393"/>
  <c r="E393" i="71"/>
  <c r="I393"/>
  <c r="M393"/>
  <c r="E393" i="70"/>
  <c r="M393"/>
  <c r="E393" i="69"/>
  <c r="I393"/>
  <c r="M393"/>
  <c r="E393" i="68"/>
  <c r="I393"/>
  <c r="M393"/>
  <c r="E393" i="65"/>
  <c r="I393"/>
  <c r="M393"/>
  <c r="D393" i="74"/>
  <c r="H393"/>
  <c r="L393"/>
  <c r="D393" i="73"/>
  <c r="H393"/>
  <c r="L393"/>
  <c r="D393" i="72"/>
  <c r="H393"/>
  <c r="L393"/>
  <c r="D393" i="71"/>
  <c r="H393"/>
  <c r="L393"/>
  <c r="D393" i="70"/>
  <c r="H393"/>
  <c r="L393"/>
  <c r="D393" i="69"/>
  <c r="H393"/>
  <c r="L393"/>
  <c r="D393" i="68"/>
  <c r="H393"/>
  <c r="L393"/>
  <c r="AB393"/>
  <c r="D393" i="65"/>
  <c r="H393"/>
  <c r="L393"/>
  <c r="AB393"/>
  <c r="G393" i="74"/>
  <c r="K393"/>
  <c r="G393" i="73"/>
  <c r="K393"/>
  <c r="G393" i="72"/>
  <c r="K393"/>
  <c r="G393" i="71"/>
  <c r="K393"/>
  <c r="G393" i="70"/>
  <c r="K393"/>
  <c r="G393" i="69"/>
  <c r="K393"/>
  <c r="K393" i="68"/>
  <c r="G393" i="65"/>
  <c r="K393"/>
  <c r="F391" i="74"/>
  <c r="J391"/>
  <c r="F391" i="73"/>
  <c r="J391"/>
  <c r="F391" i="72"/>
  <c r="J391"/>
  <c r="F391" i="71"/>
  <c r="F391" i="70"/>
  <c r="J391"/>
  <c r="F391" i="69"/>
  <c r="J391"/>
  <c r="F391" i="68"/>
  <c r="J391"/>
  <c r="F391" i="65"/>
  <c r="J391"/>
  <c r="F288" i="73"/>
  <c r="E391" i="74"/>
  <c r="I391"/>
  <c r="M391"/>
  <c r="E391" i="73"/>
  <c r="I391"/>
  <c r="M391"/>
  <c r="E391" i="72"/>
  <c r="I391"/>
  <c r="M391"/>
  <c r="E391" i="71"/>
  <c r="I391"/>
  <c r="M391"/>
  <c r="E391" i="70"/>
  <c r="I391"/>
  <c r="M391"/>
  <c r="E391" i="69"/>
  <c r="I391"/>
  <c r="M391"/>
  <c r="E391" i="68"/>
  <c r="I391"/>
  <c r="M391"/>
  <c r="E391" i="65"/>
  <c r="I391"/>
  <c r="M391"/>
  <c r="D391" i="74"/>
  <c r="H391"/>
  <c r="L391"/>
  <c r="D391" i="73"/>
  <c r="H391"/>
  <c r="L391"/>
  <c r="D391" i="72"/>
  <c r="H391"/>
  <c r="L391"/>
  <c r="D391" i="71"/>
  <c r="H391"/>
  <c r="L391"/>
  <c r="D391" i="70"/>
  <c r="H391"/>
  <c r="L391"/>
  <c r="D391" i="69"/>
  <c r="L391"/>
  <c r="D391" i="68"/>
  <c r="H391"/>
  <c r="L391"/>
  <c r="AB391"/>
  <c r="D391" i="65"/>
  <c r="H391"/>
  <c r="L391"/>
  <c r="AB391"/>
  <c r="F266" i="73"/>
  <c r="G391" i="74"/>
  <c r="K391"/>
  <c r="G391" i="73"/>
  <c r="K391"/>
  <c r="G391" i="72"/>
  <c r="K391"/>
  <c r="G391" i="71"/>
  <c r="K391"/>
  <c r="G391" i="70"/>
  <c r="K391"/>
  <c r="G391" i="69"/>
  <c r="K391"/>
  <c r="K391" i="68"/>
  <c r="G391" i="65"/>
  <c r="K391"/>
  <c r="F266" i="74"/>
  <c r="F290" i="72"/>
  <c r="F291" i="74"/>
  <c r="M261" i="73"/>
  <c r="M268" i="72"/>
  <c r="K266" i="74"/>
  <c r="G290" i="72"/>
  <c r="M294" i="73"/>
  <c r="G295" i="72"/>
  <c r="K291" i="71"/>
  <c r="K265"/>
  <c r="F262" i="74"/>
  <c r="J295" i="72"/>
  <c r="G265" i="71"/>
  <c r="F262" i="73"/>
  <c r="F295"/>
  <c r="G291" i="70"/>
  <c r="J292"/>
  <c r="E263" i="68"/>
  <c r="G263" i="74"/>
  <c r="F287"/>
  <c r="E293"/>
  <c r="F267" i="73"/>
  <c r="E290"/>
  <c r="F263" i="74"/>
  <c r="E287"/>
  <c r="M290"/>
  <c r="I291"/>
  <c r="M293"/>
  <c r="I295"/>
  <c r="E262" i="73"/>
  <c r="M266"/>
  <c r="E267"/>
  <c r="M287"/>
  <c r="I288"/>
  <c r="M290"/>
  <c r="I292"/>
  <c r="E295"/>
  <c r="G265" i="72"/>
  <c r="G266"/>
  <c r="G291"/>
  <c r="J294"/>
  <c r="F295"/>
  <c r="F291" i="70"/>
  <c r="F292"/>
  <c r="K266" i="68"/>
  <c r="N225" i="77"/>
  <c r="P225" s="1"/>
  <c r="P225" i="39" s="1"/>
  <c r="K262" i="72"/>
  <c r="F291"/>
  <c r="D292" i="70"/>
  <c r="F265" i="68"/>
  <c r="I287" i="74"/>
  <c r="M262" i="73"/>
  <c r="I267"/>
  <c r="M296"/>
  <c r="E262" i="72"/>
  <c r="E266" i="68"/>
  <c r="M263" i="73"/>
  <c r="E263" i="74"/>
  <c r="M263"/>
  <c r="M287"/>
  <c r="F290"/>
  <c r="E291"/>
  <c r="M294"/>
  <c r="F295"/>
  <c r="E261" i="73"/>
  <c r="I263"/>
  <c r="M265"/>
  <c r="E266"/>
  <c r="M267"/>
  <c r="F287"/>
  <c r="E288"/>
  <c r="M291"/>
  <c r="F292"/>
  <c r="E294"/>
  <c r="G296"/>
  <c r="F265" i="72"/>
  <c r="F266"/>
  <c r="E291"/>
  <c r="M291"/>
  <c r="K262" i="71"/>
  <c r="K269"/>
  <c r="J289" i="70"/>
  <c r="D291"/>
  <c r="L291"/>
  <c r="D295"/>
  <c r="E265" i="68"/>
  <c r="M265"/>
  <c r="K263" i="74"/>
  <c r="G265"/>
  <c r="K267"/>
  <c r="E290"/>
  <c r="M291"/>
  <c r="F294"/>
  <c r="E295"/>
  <c r="F263" i="73"/>
  <c r="E265"/>
  <c r="M269"/>
  <c r="E287"/>
  <c r="M288"/>
  <c r="F291"/>
  <c r="E292"/>
  <c r="E266" i="72"/>
  <c r="M266"/>
  <c r="K287"/>
  <c r="K291"/>
  <c r="G293"/>
  <c r="G269" i="71"/>
  <c r="K287" i="70"/>
  <c r="D288"/>
  <c r="D289"/>
  <c r="K291"/>
  <c r="K265" i="68"/>
  <c r="E265" i="74"/>
  <c r="E267"/>
  <c r="E289"/>
  <c r="E294"/>
  <c r="M295"/>
  <c r="E263" i="73"/>
  <c r="E269"/>
  <c r="E291"/>
  <c r="M292"/>
  <c r="K266" i="72"/>
  <c r="E287"/>
  <c r="F293"/>
  <c r="K266" i="71"/>
  <c r="G290"/>
  <c r="D287" i="70"/>
  <c r="E261" i="74"/>
  <c r="K262"/>
  <c r="J263"/>
  <c r="J265"/>
  <c r="F267"/>
  <c r="M267"/>
  <c r="E269"/>
  <c r="J287"/>
  <c r="E288"/>
  <c r="M288"/>
  <c r="F289"/>
  <c r="I290"/>
  <c r="J291"/>
  <c r="E292"/>
  <c r="M292"/>
  <c r="F293"/>
  <c r="I294"/>
  <c r="J295"/>
  <c r="E296"/>
  <c r="M296"/>
  <c r="F261" i="73"/>
  <c r="I262"/>
  <c r="J263"/>
  <c r="E264"/>
  <c r="M264"/>
  <c r="F265"/>
  <c r="I266"/>
  <c r="J267"/>
  <c r="E268"/>
  <c r="M268"/>
  <c r="F269"/>
  <c r="I287"/>
  <c r="J288"/>
  <c r="E289"/>
  <c r="M289"/>
  <c r="F290"/>
  <c r="I291"/>
  <c r="J292"/>
  <c r="E293"/>
  <c r="M293"/>
  <c r="F294"/>
  <c r="I295"/>
  <c r="F261" i="72"/>
  <c r="F262"/>
  <c r="M262"/>
  <c r="G264"/>
  <c r="K265"/>
  <c r="J266"/>
  <c r="F269"/>
  <c r="F287"/>
  <c r="M287"/>
  <c r="G289"/>
  <c r="J291"/>
  <c r="J293"/>
  <c r="J296"/>
  <c r="F261" i="71"/>
  <c r="K287"/>
  <c r="K290"/>
  <c r="D268" i="70"/>
  <c r="F287"/>
  <c r="L287"/>
  <c r="F288"/>
  <c r="J291"/>
  <c r="K292"/>
  <c r="D293"/>
  <c r="G295"/>
  <c r="D261" i="69"/>
  <c r="D262"/>
  <c r="D263"/>
  <c r="D264"/>
  <c r="D265"/>
  <c r="D266"/>
  <c r="D267"/>
  <c r="D268"/>
  <c r="D269"/>
  <c r="D287"/>
  <c r="D288"/>
  <c r="D289"/>
  <c r="D290"/>
  <c r="D291"/>
  <c r="D292"/>
  <c r="D293"/>
  <c r="D294"/>
  <c r="D295"/>
  <c r="D296"/>
  <c r="D261" i="68"/>
  <c r="D262"/>
  <c r="J263"/>
  <c r="J265"/>
  <c r="G267"/>
  <c r="K287"/>
  <c r="M261" i="74"/>
  <c r="M269"/>
  <c r="J288"/>
  <c r="J292"/>
  <c r="J296"/>
  <c r="J264" i="73"/>
  <c r="J268"/>
  <c r="J289"/>
  <c r="J293"/>
  <c r="M261" i="72"/>
  <c r="M269"/>
  <c r="S167" i="65"/>
  <c r="FC225" i="77"/>
  <c r="FE225" s="1"/>
  <c r="S289" i="73"/>
  <c r="J261" i="74"/>
  <c r="J267"/>
  <c r="J269"/>
  <c r="I288"/>
  <c r="J289"/>
  <c r="I292"/>
  <c r="J293"/>
  <c r="I296"/>
  <c r="J261" i="73"/>
  <c r="I264"/>
  <c r="J265"/>
  <c r="I268"/>
  <c r="J269"/>
  <c r="I289"/>
  <c r="J290"/>
  <c r="I293"/>
  <c r="J294"/>
  <c r="J262" i="72"/>
  <c r="K269"/>
  <c r="J287"/>
  <c r="J261" i="71"/>
  <c r="J287" i="70"/>
  <c r="K288"/>
  <c r="L261" i="69"/>
  <c r="L262"/>
  <c r="L263"/>
  <c r="L264"/>
  <c r="L265"/>
  <c r="L266"/>
  <c r="L267"/>
  <c r="L268"/>
  <c r="AB268"/>
  <c r="L269"/>
  <c r="AB269"/>
  <c r="L287"/>
  <c r="L288"/>
  <c r="L289"/>
  <c r="L290"/>
  <c r="L291"/>
  <c r="L292"/>
  <c r="L293"/>
  <c r="L294"/>
  <c r="L295"/>
  <c r="L296"/>
  <c r="L261" i="68"/>
  <c r="L262"/>
  <c r="G261" i="74"/>
  <c r="M265"/>
  <c r="G267"/>
  <c r="G269"/>
  <c r="F288"/>
  <c r="I289"/>
  <c r="J290"/>
  <c r="F292"/>
  <c r="I293"/>
  <c r="J294"/>
  <c r="F296"/>
  <c r="I261" i="73"/>
  <c r="J262"/>
  <c r="F264"/>
  <c r="I265"/>
  <c r="J266"/>
  <c r="F268"/>
  <c r="I269"/>
  <c r="J287"/>
  <c r="F289"/>
  <c r="I290"/>
  <c r="J291"/>
  <c r="F293"/>
  <c r="I294"/>
  <c r="J295"/>
  <c r="G261" i="72"/>
  <c r="G262"/>
  <c r="M264"/>
  <c r="M265"/>
  <c r="G269"/>
  <c r="G287"/>
  <c r="M289"/>
  <c r="M290"/>
  <c r="G261" i="71"/>
  <c r="J268" i="70"/>
  <c r="G287"/>
  <c r="J288"/>
  <c r="J293"/>
  <c r="L295"/>
  <c r="H261" i="69"/>
  <c r="H262"/>
  <c r="H287"/>
  <c r="H288"/>
  <c r="H289"/>
  <c r="H290"/>
  <c r="H292"/>
  <c r="H293"/>
  <c r="H261" i="68"/>
  <c r="H262"/>
  <c r="L263" i="74"/>
  <c r="H263"/>
  <c r="D263"/>
  <c r="L267"/>
  <c r="H267"/>
  <c r="D267"/>
  <c r="S187" i="72"/>
  <c r="BT282" i="77"/>
  <c r="BU282" s="1"/>
  <c r="O282" i="68" s="1"/>
  <c r="GF293" i="77"/>
  <c r="GH293" s="1"/>
  <c r="P293" i="72" s="1"/>
  <c r="S393" i="65"/>
  <c r="F261" i="74"/>
  <c r="K261"/>
  <c r="E262"/>
  <c r="J262"/>
  <c r="I263"/>
  <c r="G264"/>
  <c r="M264"/>
  <c r="F265"/>
  <c r="K265"/>
  <c r="E266"/>
  <c r="J266"/>
  <c r="I267"/>
  <c r="G268"/>
  <c r="M268"/>
  <c r="F269"/>
  <c r="K269"/>
  <c r="L262"/>
  <c r="H262"/>
  <c r="D262"/>
  <c r="L266"/>
  <c r="H266"/>
  <c r="D266"/>
  <c r="I262"/>
  <c r="F264"/>
  <c r="K264"/>
  <c r="I266"/>
  <c r="F268"/>
  <c r="K268"/>
  <c r="L261"/>
  <c r="H261"/>
  <c r="D261"/>
  <c r="L265"/>
  <c r="H265"/>
  <c r="D265"/>
  <c r="AB269"/>
  <c r="L269"/>
  <c r="H269"/>
  <c r="D269"/>
  <c r="AQ288" i="77"/>
  <c r="AR288" s="1"/>
  <c r="I261" i="74"/>
  <c r="G262"/>
  <c r="M262"/>
  <c r="E264"/>
  <c r="J264"/>
  <c r="I265"/>
  <c r="G266"/>
  <c r="E268"/>
  <c r="J268"/>
  <c r="I269"/>
  <c r="L264"/>
  <c r="H264"/>
  <c r="D264"/>
  <c r="AB268"/>
  <c r="L268"/>
  <c r="H268"/>
  <c r="D268"/>
  <c r="I264"/>
  <c r="I268"/>
  <c r="L262" i="72"/>
  <c r="H262"/>
  <c r="D262"/>
  <c r="L266"/>
  <c r="H266"/>
  <c r="D266"/>
  <c r="L287"/>
  <c r="H287"/>
  <c r="D287"/>
  <c r="L291"/>
  <c r="H291"/>
  <c r="D291"/>
  <c r="M293"/>
  <c r="I293"/>
  <c r="E293"/>
  <c r="L293"/>
  <c r="H293"/>
  <c r="D293"/>
  <c r="M295"/>
  <c r="I295"/>
  <c r="E295"/>
  <c r="L295"/>
  <c r="H295"/>
  <c r="D295"/>
  <c r="M261" i="71"/>
  <c r="I261"/>
  <c r="E261"/>
  <c r="L261"/>
  <c r="H261"/>
  <c r="D261"/>
  <c r="M265"/>
  <c r="I265"/>
  <c r="E265"/>
  <c r="F265"/>
  <c r="L265"/>
  <c r="H265"/>
  <c r="D265"/>
  <c r="M269"/>
  <c r="I269"/>
  <c r="E269"/>
  <c r="J269"/>
  <c r="F269"/>
  <c r="AB269"/>
  <c r="L269"/>
  <c r="H269"/>
  <c r="D269"/>
  <c r="M290"/>
  <c r="I290"/>
  <c r="E290"/>
  <c r="J290"/>
  <c r="F290"/>
  <c r="L290"/>
  <c r="H290"/>
  <c r="D290"/>
  <c r="D287" i="74"/>
  <c r="H287"/>
  <c r="L287"/>
  <c r="D288"/>
  <c r="H288"/>
  <c r="L288"/>
  <c r="D289"/>
  <c r="H289"/>
  <c r="L289"/>
  <c r="D290"/>
  <c r="H290"/>
  <c r="L290"/>
  <c r="D291"/>
  <c r="H291"/>
  <c r="L291"/>
  <c r="D292"/>
  <c r="H292"/>
  <c r="L292"/>
  <c r="D293"/>
  <c r="H293"/>
  <c r="L293"/>
  <c r="D294"/>
  <c r="H294"/>
  <c r="L294"/>
  <c r="D295"/>
  <c r="H295"/>
  <c r="L295"/>
  <c r="D296"/>
  <c r="H296"/>
  <c r="L296"/>
  <c r="D261" i="73"/>
  <c r="H261"/>
  <c r="L261"/>
  <c r="D262"/>
  <c r="H262"/>
  <c r="D263"/>
  <c r="H263"/>
  <c r="L263"/>
  <c r="D264"/>
  <c r="H264"/>
  <c r="L264"/>
  <c r="D265"/>
  <c r="H265"/>
  <c r="L265"/>
  <c r="D266"/>
  <c r="H266"/>
  <c r="L266"/>
  <c r="D267"/>
  <c r="H267"/>
  <c r="L267"/>
  <c r="D268"/>
  <c r="H268"/>
  <c r="L268"/>
  <c r="AB268"/>
  <c r="D269"/>
  <c r="H269"/>
  <c r="L269"/>
  <c r="AB269"/>
  <c r="D287"/>
  <c r="H287"/>
  <c r="L287"/>
  <c r="D288"/>
  <c r="H288"/>
  <c r="D289"/>
  <c r="H289"/>
  <c r="L289"/>
  <c r="D290"/>
  <c r="H290"/>
  <c r="L290"/>
  <c r="D291"/>
  <c r="H291"/>
  <c r="L291"/>
  <c r="D292"/>
  <c r="H292"/>
  <c r="L292"/>
  <c r="D293"/>
  <c r="H293"/>
  <c r="L293"/>
  <c r="D294"/>
  <c r="H294"/>
  <c r="L294"/>
  <c r="D295"/>
  <c r="H295"/>
  <c r="M295"/>
  <c r="F296"/>
  <c r="K296"/>
  <c r="E261" i="72"/>
  <c r="J261"/>
  <c r="I262"/>
  <c r="G263"/>
  <c r="M263"/>
  <c r="F264"/>
  <c r="K264"/>
  <c r="E265"/>
  <c r="J265"/>
  <c r="I266"/>
  <c r="G267"/>
  <c r="M267"/>
  <c r="F268"/>
  <c r="K268"/>
  <c r="E269"/>
  <c r="J269"/>
  <c r="I287"/>
  <c r="G288"/>
  <c r="M288"/>
  <c r="F289"/>
  <c r="K289"/>
  <c r="E290"/>
  <c r="J290"/>
  <c r="I291"/>
  <c r="G292"/>
  <c r="M292"/>
  <c r="K293"/>
  <c r="G294"/>
  <c r="K295"/>
  <c r="G296"/>
  <c r="K261" i="71"/>
  <c r="G262"/>
  <c r="K263"/>
  <c r="G266"/>
  <c r="K267"/>
  <c r="G287"/>
  <c r="K288"/>
  <c r="G291"/>
  <c r="L295" i="73"/>
  <c r="L261" i="72"/>
  <c r="H261"/>
  <c r="D261"/>
  <c r="L265"/>
  <c r="H265"/>
  <c r="D265"/>
  <c r="AB269"/>
  <c r="L269"/>
  <c r="H269"/>
  <c r="D269"/>
  <c r="L290"/>
  <c r="H290"/>
  <c r="D290"/>
  <c r="M266" i="71"/>
  <c r="I266"/>
  <c r="E266"/>
  <c r="J266"/>
  <c r="F266"/>
  <c r="L266"/>
  <c r="H266"/>
  <c r="D266"/>
  <c r="M287"/>
  <c r="I287"/>
  <c r="E287"/>
  <c r="F287"/>
  <c r="L287"/>
  <c r="H287"/>
  <c r="D287"/>
  <c r="M291"/>
  <c r="I291"/>
  <c r="E291"/>
  <c r="J291"/>
  <c r="F291"/>
  <c r="L291"/>
  <c r="H291"/>
  <c r="D291"/>
  <c r="G287" i="74"/>
  <c r="K287"/>
  <c r="G288"/>
  <c r="K288"/>
  <c r="G289"/>
  <c r="K289"/>
  <c r="G290"/>
  <c r="K290"/>
  <c r="G291"/>
  <c r="K291"/>
  <c r="G292"/>
  <c r="K292"/>
  <c r="G293"/>
  <c r="K293"/>
  <c r="G294"/>
  <c r="K294"/>
  <c r="G295"/>
  <c r="K295"/>
  <c r="G296"/>
  <c r="K296"/>
  <c r="G261" i="73"/>
  <c r="K261"/>
  <c r="G262"/>
  <c r="K262"/>
  <c r="G263"/>
  <c r="K263"/>
  <c r="G264"/>
  <c r="K264"/>
  <c r="G265"/>
  <c r="K265"/>
  <c r="G266"/>
  <c r="K266"/>
  <c r="G267"/>
  <c r="K267"/>
  <c r="G268"/>
  <c r="K268"/>
  <c r="G269"/>
  <c r="K269"/>
  <c r="G287"/>
  <c r="K287"/>
  <c r="G288"/>
  <c r="K288"/>
  <c r="G289"/>
  <c r="K289"/>
  <c r="G290"/>
  <c r="K290"/>
  <c r="G291"/>
  <c r="K291"/>
  <c r="G292"/>
  <c r="K292"/>
  <c r="G293"/>
  <c r="K293"/>
  <c r="G294"/>
  <c r="K294"/>
  <c r="G295"/>
  <c r="K295"/>
  <c r="E296"/>
  <c r="J296"/>
  <c r="I261" i="72"/>
  <c r="F263"/>
  <c r="K263"/>
  <c r="E264"/>
  <c r="J264"/>
  <c r="I265"/>
  <c r="F267"/>
  <c r="K267"/>
  <c r="E268"/>
  <c r="J268"/>
  <c r="I269"/>
  <c r="F288"/>
  <c r="K288"/>
  <c r="E289"/>
  <c r="J289"/>
  <c r="I290"/>
  <c r="F292"/>
  <c r="K292"/>
  <c r="F294"/>
  <c r="F296"/>
  <c r="F262" i="71"/>
  <c r="G263"/>
  <c r="K264"/>
  <c r="G267"/>
  <c r="K268"/>
  <c r="G288"/>
  <c r="K289"/>
  <c r="L296" i="73"/>
  <c r="H296"/>
  <c r="D296"/>
  <c r="L264" i="72"/>
  <c r="H264"/>
  <c r="D264"/>
  <c r="AB268"/>
  <c r="L268"/>
  <c r="H268"/>
  <c r="D268"/>
  <c r="L289"/>
  <c r="H289"/>
  <c r="D289"/>
  <c r="M294"/>
  <c r="I294"/>
  <c r="E294"/>
  <c r="L294"/>
  <c r="H294"/>
  <c r="D294"/>
  <c r="M296"/>
  <c r="I296"/>
  <c r="E296"/>
  <c r="L296"/>
  <c r="H296"/>
  <c r="D296"/>
  <c r="M262" i="71"/>
  <c r="I262"/>
  <c r="E262"/>
  <c r="J262"/>
  <c r="L262"/>
  <c r="H262"/>
  <c r="D262"/>
  <c r="M263"/>
  <c r="I263"/>
  <c r="E263"/>
  <c r="J263"/>
  <c r="F263"/>
  <c r="L263"/>
  <c r="H263"/>
  <c r="D263"/>
  <c r="M267"/>
  <c r="I267"/>
  <c r="E267"/>
  <c r="F267"/>
  <c r="L267"/>
  <c r="H267"/>
  <c r="D267"/>
  <c r="M288"/>
  <c r="I288"/>
  <c r="E288"/>
  <c r="F288"/>
  <c r="L288"/>
  <c r="H288"/>
  <c r="D288"/>
  <c r="M292"/>
  <c r="I292"/>
  <c r="E292"/>
  <c r="F292"/>
  <c r="K292"/>
  <c r="L292"/>
  <c r="H292"/>
  <c r="D292"/>
  <c r="I296" i="73"/>
  <c r="E263" i="72"/>
  <c r="J263"/>
  <c r="I264"/>
  <c r="E267"/>
  <c r="J267"/>
  <c r="I268"/>
  <c r="E288"/>
  <c r="J288"/>
  <c r="I289"/>
  <c r="E292"/>
  <c r="J292"/>
  <c r="K294"/>
  <c r="G264" i="71"/>
  <c r="G268"/>
  <c r="G289"/>
  <c r="L263" i="72"/>
  <c r="H263"/>
  <c r="D263"/>
  <c r="L267"/>
  <c r="H267"/>
  <c r="D267"/>
  <c r="L288"/>
  <c r="H288"/>
  <c r="D288"/>
  <c r="L292"/>
  <c r="H292"/>
  <c r="D292"/>
  <c r="M264" i="71"/>
  <c r="I264"/>
  <c r="E264"/>
  <c r="J264"/>
  <c r="F264"/>
  <c r="L264"/>
  <c r="H264"/>
  <c r="D264"/>
  <c r="M268"/>
  <c r="I268"/>
  <c r="E268"/>
  <c r="J268"/>
  <c r="F268"/>
  <c r="AB268"/>
  <c r="L268"/>
  <c r="H268"/>
  <c r="D268"/>
  <c r="M289"/>
  <c r="I289"/>
  <c r="E289"/>
  <c r="J289"/>
  <c r="F289"/>
  <c r="L289"/>
  <c r="H289"/>
  <c r="D289"/>
  <c r="I263" i="72"/>
  <c r="I267"/>
  <c r="I288"/>
  <c r="I292"/>
  <c r="M287" i="70"/>
  <c r="E287"/>
  <c r="M291"/>
  <c r="E291"/>
  <c r="D293" i="71"/>
  <c r="H293"/>
  <c r="L293"/>
  <c r="D294"/>
  <c r="H294"/>
  <c r="L294"/>
  <c r="D295"/>
  <c r="H295"/>
  <c r="L295"/>
  <c r="D296"/>
  <c r="H296"/>
  <c r="L296"/>
  <c r="D261" i="70"/>
  <c r="H261"/>
  <c r="L261"/>
  <c r="D262"/>
  <c r="H262"/>
  <c r="L262"/>
  <c r="D263"/>
  <c r="H263"/>
  <c r="L263"/>
  <c r="D264"/>
  <c r="H264"/>
  <c r="L264"/>
  <c r="D265"/>
  <c r="H265"/>
  <c r="L265"/>
  <c r="D266"/>
  <c r="H266"/>
  <c r="L266"/>
  <c r="D267"/>
  <c r="H267"/>
  <c r="L267"/>
  <c r="F268"/>
  <c r="K268"/>
  <c r="D269"/>
  <c r="J269"/>
  <c r="H287"/>
  <c r="G288"/>
  <c r="L288"/>
  <c r="F289"/>
  <c r="K289"/>
  <c r="D290"/>
  <c r="J290"/>
  <c r="H291"/>
  <c r="G292"/>
  <c r="L292"/>
  <c r="F293"/>
  <c r="K293"/>
  <c r="D294"/>
  <c r="J294"/>
  <c r="H295"/>
  <c r="D296"/>
  <c r="L296"/>
  <c r="M267"/>
  <c r="M269"/>
  <c r="E269"/>
  <c r="M290"/>
  <c r="E290"/>
  <c r="M294"/>
  <c r="E294"/>
  <c r="J296"/>
  <c r="F296"/>
  <c r="M296"/>
  <c r="I296"/>
  <c r="E296"/>
  <c r="G293" i="71"/>
  <c r="K293"/>
  <c r="G294"/>
  <c r="K294"/>
  <c r="G295"/>
  <c r="K295"/>
  <c r="G296"/>
  <c r="K296"/>
  <c r="G261" i="70"/>
  <c r="K261"/>
  <c r="G262"/>
  <c r="K262"/>
  <c r="G263"/>
  <c r="K263"/>
  <c r="G264"/>
  <c r="K264"/>
  <c r="G265"/>
  <c r="K265"/>
  <c r="G266"/>
  <c r="K266"/>
  <c r="G267"/>
  <c r="K267"/>
  <c r="H269"/>
  <c r="H290"/>
  <c r="H294"/>
  <c r="K296"/>
  <c r="M268"/>
  <c r="E268"/>
  <c r="M289"/>
  <c r="I289"/>
  <c r="E289"/>
  <c r="M293"/>
  <c r="E293"/>
  <c r="F293" i="71"/>
  <c r="F294"/>
  <c r="J294"/>
  <c r="F295"/>
  <c r="F296"/>
  <c r="J296"/>
  <c r="F261" i="70"/>
  <c r="J261"/>
  <c r="F262"/>
  <c r="J262"/>
  <c r="F263"/>
  <c r="J263"/>
  <c r="F264"/>
  <c r="J264"/>
  <c r="F265"/>
  <c r="J265"/>
  <c r="F266"/>
  <c r="J266"/>
  <c r="F267"/>
  <c r="J267"/>
  <c r="H268"/>
  <c r="G269"/>
  <c r="L269"/>
  <c r="AB269"/>
  <c r="H289"/>
  <c r="G290"/>
  <c r="L290"/>
  <c r="H293"/>
  <c r="G294"/>
  <c r="L294"/>
  <c r="H296"/>
  <c r="M288"/>
  <c r="I288"/>
  <c r="E288"/>
  <c r="M292"/>
  <c r="E292"/>
  <c r="J295"/>
  <c r="F295"/>
  <c r="M295"/>
  <c r="I295"/>
  <c r="E295"/>
  <c r="E293" i="71"/>
  <c r="I293"/>
  <c r="M293"/>
  <c r="E294"/>
  <c r="I294"/>
  <c r="M294"/>
  <c r="E295"/>
  <c r="I295"/>
  <c r="M295"/>
  <c r="E296"/>
  <c r="I296"/>
  <c r="M296"/>
  <c r="E261" i="70"/>
  <c r="M261"/>
  <c r="E262"/>
  <c r="M262"/>
  <c r="E263"/>
  <c r="M263"/>
  <c r="E264"/>
  <c r="M264"/>
  <c r="E265"/>
  <c r="I265"/>
  <c r="M265"/>
  <c r="E266"/>
  <c r="I266"/>
  <c r="M266"/>
  <c r="E267"/>
  <c r="G268"/>
  <c r="L268"/>
  <c r="AB268"/>
  <c r="F269"/>
  <c r="K269"/>
  <c r="H288"/>
  <c r="G289"/>
  <c r="L289"/>
  <c r="F290"/>
  <c r="K290"/>
  <c r="H292"/>
  <c r="G293"/>
  <c r="L293"/>
  <c r="F294"/>
  <c r="K294"/>
  <c r="K295"/>
  <c r="G296"/>
  <c r="AB265" i="68"/>
  <c r="L265"/>
  <c r="H265"/>
  <c r="D265"/>
  <c r="L266"/>
  <c r="H266"/>
  <c r="D266"/>
  <c r="M266"/>
  <c r="I266"/>
  <c r="J266"/>
  <c r="F266"/>
  <c r="AB267"/>
  <c r="L267"/>
  <c r="H267"/>
  <c r="D267"/>
  <c r="M267"/>
  <c r="I267"/>
  <c r="E267"/>
  <c r="J267"/>
  <c r="F267"/>
  <c r="E261" i="69"/>
  <c r="I261"/>
  <c r="M261"/>
  <c r="E262"/>
  <c r="I262"/>
  <c r="M262"/>
  <c r="E263"/>
  <c r="I263"/>
  <c r="M263"/>
  <c r="E264"/>
  <c r="I264"/>
  <c r="M264"/>
  <c r="E265"/>
  <c r="I265"/>
  <c r="M265"/>
  <c r="E266"/>
  <c r="I266"/>
  <c r="M266"/>
  <c r="E267"/>
  <c r="I267"/>
  <c r="M267"/>
  <c r="E268"/>
  <c r="I268"/>
  <c r="M268"/>
  <c r="E269"/>
  <c r="I269"/>
  <c r="M269"/>
  <c r="E287"/>
  <c r="I287"/>
  <c r="M287"/>
  <c r="E288"/>
  <c r="I288"/>
  <c r="M288"/>
  <c r="E289"/>
  <c r="I289"/>
  <c r="M289"/>
  <c r="E290"/>
  <c r="I290"/>
  <c r="M290"/>
  <c r="E291"/>
  <c r="I291"/>
  <c r="M291"/>
  <c r="E292"/>
  <c r="I292"/>
  <c r="M292"/>
  <c r="E293"/>
  <c r="I293"/>
  <c r="M293"/>
  <c r="E294"/>
  <c r="I294"/>
  <c r="M294"/>
  <c r="E295"/>
  <c r="I295"/>
  <c r="M295"/>
  <c r="E296"/>
  <c r="I296"/>
  <c r="M296"/>
  <c r="E261" i="68"/>
  <c r="I261"/>
  <c r="M261"/>
  <c r="E262"/>
  <c r="I262"/>
  <c r="M262"/>
  <c r="F263"/>
  <c r="K263"/>
  <c r="E264"/>
  <c r="J264"/>
  <c r="I265"/>
  <c r="K269"/>
  <c r="AB264"/>
  <c r="L264"/>
  <c r="H264"/>
  <c r="D264"/>
  <c r="AB268"/>
  <c r="L268"/>
  <c r="H268"/>
  <c r="D268"/>
  <c r="M268"/>
  <c r="I268"/>
  <c r="E268"/>
  <c r="J268"/>
  <c r="F268"/>
  <c r="I264"/>
  <c r="AB262"/>
  <c r="AB263"/>
  <c r="L263"/>
  <c r="H263"/>
  <c r="D263"/>
  <c r="AB269"/>
  <c r="L269"/>
  <c r="H269"/>
  <c r="D269"/>
  <c r="M269"/>
  <c r="I269"/>
  <c r="E269"/>
  <c r="J269"/>
  <c r="F269"/>
  <c r="G261" i="69"/>
  <c r="K261"/>
  <c r="G262"/>
  <c r="K262"/>
  <c r="G263"/>
  <c r="K263"/>
  <c r="G264"/>
  <c r="K264"/>
  <c r="G265"/>
  <c r="K265"/>
  <c r="G266"/>
  <c r="K266"/>
  <c r="G267"/>
  <c r="K267"/>
  <c r="G268"/>
  <c r="K268"/>
  <c r="G269"/>
  <c r="K269"/>
  <c r="G287"/>
  <c r="K287"/>
  <c r="G288"/>
  <c r="K288"/>
  <c r="G289"/>
  <c r="K289"/>
  <c r="S289"/>
  <c r="G290"/>
  <c r="K290"/>
  <c r="G291"/>
  <c r="K291"/>
  <c r="G292"/>
  <c r="K292"/>
  <c r="G293"/>
  <c r="K293"/>
  <c r="G294"/>
  <c r="K294"/>
  <c r="G295"/>
  <c r="K295"/>
  <c r="G296"/>
  <c r="K296"/>
  <c r="G261" i="68"/>
  <c r="K261"/>
  <c r="G262"/>
  <c r="K262"/>
  <c r="I263"/>
  <c r="M264"/>
  <c r="AB287"/>
  <c r="L287"/>
  <c r="H287"/>
  <c r="D287"/>
  <c r="M287"/>
  <c r="I287"/>
  <c r="E287"/>
  <c r="J287"/>
  <c r="F287"/>
  <c r="F261" i="69"/>
  <c r="J261"/>
  <c r="F262"/>
  <c r="J262"/>
  <c r="F263"/>
  <c r="J263"/>
  <c r="F264"/>
  <c r="J264"/>
  <c r="F265"/>
  <c r="J265"/>
  <c r="F266"/>
  <c r="J266"/>
  <c r="F267"/>
  <c r="J267"/>
  <c r="F268"/>
  <c r="J268"/>
  <c r="F269"/>
  <c r="J269"/>
  <c r="F287"/>
  <c r="J287"/>
  <c r="F288"/>
  <c r="J288"/>
  <c r="F289"/>
  <c r="J289"/>
  <c r="F290"/>
  <c r="J290"/>
  <c r="F291"/>
  <c r="J291"/>
  <c r="F292"/>
  <c r="J292"/>
  <c r="F293"/>
  <c r="J293"/>
  <c r="F294"/>
  <c r="J294"/>
  <c r="F295"/>
  <c r="J295"/>
  <c r="F296"/>
  <c r="J296"/>
  <c r="F261" i="68"/>
  <c r="J261"/>
  <c r="F262"/>
  <c r="J262"/>
  <c r="M263"/>
  <c r="F264"/>
  <c r="K264"/>
  <c r="K268"/>
  <c r="F288"/>
  <c r="J288"/>
  <c r="F289"/>
  <c r="J289"/>
  <c r="F290"/>
  <c r="J290"/>
  <c r="F291"/>
  <c r="J291"/>
  <c r="F292"/>
  <c r="J292"/>
  <c r="F293"/>
  <c r="J293"/>
  <c r="F294"/>
  <c r="J294"/>
  <c r="F295"/>
  <c r="J295"/>
  <c r="F296"/>
  <c r="J296"/>
  <c r="J261" i="65"/>
  <c r="J262"/>
  <c r="F263"/>
  <c r="J263"/>
  <c r="F264"/>
  <c r="J264"/>
  <c r="F265"/>
  <c r="J265"/>
  <c r="F266"/>
  <c r="J266"/>
  <c r="F267"/>
  <c r="J267"/>
  <c r="F268"/>
  <c r="J268"/>
  <c r="F269"/>
  <c r="J269"/>
  <c r="F287"/>
  <c r="J287"/>
  <c r="F288"/>
  <c r="J288"/>
  <c r="N288"/>
  <c r="J289"/>
  <c r="J290"/>
  <c r="J291"/>
  <c r="F292"/>
  <c r="J292"/>
  <c r="F293"/>
  <c r="J293"/>
  <c r="F294"/>
  <c r="J294"/>
  <c r="F295"/>
  <c r="J295"/>
  <c r="J296"/>
  <c r="E288" i="68"/>
  <c r="I288"/>
  <c r="M288"/>
  <c r="E289"/>
  <c r="I289"/>
  <c r="M289"/>
  <c r="E290"/>
  <c r="I290"/>
  <c r="M290"/>
  <c r="E291"/>
  <c r="I291"/>
  <c r="M291"/>
  <c r="E292"/>
  <c r="I292"/>
  <c r="M292"/>
  <c r="E293"/>
  <c r="I293"/>
  <c r="M293"/>
  <c r="E294"/>
  <c r="I294"/>
  <c r="M294"/>
  <c r="E295"/>
  <c r="I295"/>
  <c r="M295"/>
  <c r="E296"/>
  <c r="I296"/>
  <c r="M296"/>
  <c r="E261" i="65"/>
  <c r="I261"/>
  <c r="M261"/>
  <c r="E262"/>
  <c r="I262"/>
  <c r="M262"/>
  <c r="E263"/>
  <c r="I263"/>
  <c r="M263"/>
  <c r="E264"/>
  <c r="I264"/>
  <c r="M264"/>
  <c r="E265"/>
  <c r="I265"/>
  <c r="M265"/>
  <c r="E266"/>
  <c r="I266"/>
  <c r="M266"/>
  <c r="E267"/>
  <c r="I267"/>
  <c r="M267"/>
  <c r="E268"/>
  <c r="I268"/>
  <c r="M268"/>
  <c r="E269"/>
  <c r="I269"/>
  <c r="M269"/>
  <c r="E287"/>
  <c r="I287"/>
  <c r="M287"/>
  <c r="E288"/>
  <c r="I288"/>
  <c r="M288"/>
  <c r="E289"/>
  <c r="I289"/>
  <c r="M289"/>
  <c r="E290"/>
  <c r="I290"/>
  <c r="M290"/>
  <c r="E291"/>
  <c r="I291"/>
  <c r="M291"/>
  <c r="E292"/>
  <c r="I292"/>
  <c r="M292"/>
  <c r="E293"/>
  <c r="I293"/>
  <c r="M293"/>
  <c r="E294"/>
  <c r="I294"/>
  <c r="M294"/>
  <c r="E295"/>
  <c r="I295"/>
  <c r="M295"/>
  <c r="E296"/>
  <c r="I296"/>
  <c r="M296"/>
  <c r="D288" i="68"/>
  <c r="H288"/>
  <c r="L288"/>
  <c r="AB288"/>
  <c r="D289"/>
  <c r="H289"/>
  <c r="L289"/>
  <c r="AB289"/>
  <c r="D290"/>
  <c r="H290"/>
  <c r="L290"/>
  <c r="D291"/>
  <c r="H291"/>
  <c r="L291"/>
  <c r="D292"/>
  <c r="H292"/>
  <c r="L292"/>
  <c r="AB292"/>
  <c r="D293"/>
  <c r="H293"/>
  <c r="L293"/>
  <c r="AB293"/>
  <c r="D294"/>
  <c r="H294"/>
  <c r="L294"/>
  <c r="AB294"/>
  <c r="D295"/>
  <c r="H295"/>
  <c r="L295"/>
  <c r="AB295"/>
  <c r="D296"/>
  <c r="H296"/>
  <c r="L296"/>
  <c r="AB296"/>
  <c r="D261" i="65"/>
  <c r="H261"/>
  <c r="L261"/>
  <c r="AB261"/>
  <c r="D262"/>
  <c r="H262"/>
  <c r="L262"/>
  <c r="AB262"/>
  <c r="D263"/>
  <c r="H263"/>
  <c r="L263"/>
  <c r="AB263"/>
  <c r="D264"/>
  <c r="H264"/>
  <c r="L264"/>
  <c r="AB264"/>
  <c r="D265"/>
  <c r="H265"/>
  <c r="L265"/>
  <c r="AB265"/>
  <c r="D266"/>
  <c r="H266"/>
  <c r="L266"/>
  <c r="AB266"/>
  <c r="D267"/>
  <c r="H267"/>
  <c r="L267"/>
  <c r="AB267"/>
  <c r="D268"/>
  <c r="H268"/>
  <c r="L268"/>
  <c r="AB268"/>
  <c r="D269"/>
  <c r="H269"/>
  <c r="L269"/>
  <c r="AB269"/>
  <c r="D287"/>
  <c r="H287"/>
  <c r="L287"/>
  <c r="AB287"/>
  <c r="D288"/>
  <c r="H288"/>
  <c r="L288"/>
  <c r="AB288"/>
  <c r="D289"/>
  <c r="H289"/>
  <c r="L289"/>
  <c r="AB289"/>
  <c r="D290"/>
  <c r="H290"/>
  <c r="L290"/>
  <c r="AB290"/>
  <c r="D291"/>
  <c r="H291"/>
  <c r="L291"/>
  <c r="AB291"/>
  <c r="D292"/>
  <c r="H292"/>
  <c r="L292"/>
  <c r="AB292"/>
  <c r="D293"/>
  <c r="H293"/>
  <c r="L293"/>
  <c r="AB293"/>
  <c r="D294"/>
  <c r="H294"/>
  <c r="L294"/>
  <c r="AB294"/>
  <c r="D295"/>
  <c r="H295"/>
  <c r="L295"/>
  <c r="AB295"/>
  <c r="D296"/>
  <c r="H296"/>
  <c r="L296"/>
  <c r="AB296"/>
  <c r="K288" i="68"/>
  <c r="K289"/>
  <c r="G290"/>
  <c r="K290"/>
  <c r="G291"/>
  <c r="K291"/>
  <c r="K292"/>
  <c r="K293"/>
  <c r="K294"/>
  <c r="K295"/>
  <c r="G296"/>
  <c r="K296"/>
  <c r="G261" i="65"/>
  <c r="K261"/>
  <c r="G262"/>
  <c r="K262"/>
  <c r="G263"/>
  <c r="K263"/>
  <c r="G264"/>
  <c r="K264"/>
  <c r="G265"/>
  <c r="K265"/>
  <c r="G266"/>
  <c r="K266"/>
  <c r="G267"/>
  <c r="K267"/>
  <c r="G268"/>
  <c r="K268"/>
  <c r="G269"/>
  <c r="K269"/>
  <c r="G287"/>
  <c r="K287"/>
  <c r="G288"/>
  <c r="K288"/>
  <c r="O288"/>
  <c r="G289"/>
  <c r="K289"/>
  <c r="G290"/>
  <c r="K290"/>
  <c r="G291"/>
  <c r="K291"/>
  <c r="G292"/>
  <c r="K292"/>
  <c r="G293"/>
  <c r="K293"/>
  <c r="S293"/>
  <c r="G294"/>
  <c r="K294"/>
  <c r="G295"/>
  <c r="K295"/>
  <c r="G296"/>
  <c r="K296"/>
  <c r="F259" i="74"/>
  <c r="J259"/>
  <c r="F259" i="73"/>
  <c r="J259"/>
  <c r="F259" i="72"/>
  <c r="J259"/>
  <c r="F259" i="71"/>
  <c r="J259"/>
  <c r="F259" i="70"/>
  <c r="J259"/>
  <c r="F259" i="69"/>
  <c r="J259"/>
  <c r="F259" i="68"/>
  <c r="J259"/>
  <c r="J259" i="65"/>
  <c r="E259" i="74"/>
  <c r="I259"/>
  <c r="E259" i="73"/>
  <c r="I259"/>
  <c r="M259"/>
  <c r="E259" i="72"/>
  <c r="I259"/>
  <c r="M259"/>
  <c r="E259" i="71"/>
  <c r="I259"/>
  <c r="M259"/>
  <c r="E259" i="70"/>
  <c r="I259"/>
  <c r="M259"/>
  <c r="E259" i="69"/>
  <c r="I259"/>
  <c r="M259"/>
  <c r="E259" i="68"/>
  <c r="I259"/>
  <c r="M259"/>
  <c r="E259" i="65"/>
  <c r="I259"/>
  <c r="M259"/>
  <c r="D259" i="74"/>
  <c r="H259"/>
  <c r="L259"/>
  <c r="D259" i="73"/>
  <c r="H259"/>
  <c r="L259"/>
  <c r="D259" i="72"/>
  <c r="H259"/>
  <c r="L259"/>
  <c r="D259" i="71"/>
  <c r="H259"/>
  <c r="L259"/>
  <c r="D259" i="70"/>
  <c r="H259"/>
  <c r="L259"/>
  <c r="D259" i="69"/>
  <c r="L259"/>
  <c r="D259" i="68"/>
  <c r="H259"/>
  <c r="L259"/>
  <c r="AB259"/>
  <c r="D259" i="65"/>
  <c r="H259"/>
  <c r="L259"/>
  <c r="AB259"/>
  <c r="G259" i="74"/>
  <c r="K259"/>
  <c r="G259" i="73"/>
  <c r="K259"/>
  <c r="S259"/>
  <c r="G259" i="72"/>
  <c r="K259"/>
  <c r="G259" i="71"/>
  <c r="K259"/>
  <c r="G259" i="70"/>
  <c r="K259"/>
  <c r="G259" i="69"/>
  <c r="K259"/>
  <c r="G259" i="68"/>
  <c r="K259"/>
  <c r="G259" i="65"/>
  <c r="K259"/>
  <c r="Q254" i="77"/>
  <c r="S159" i="70"/>
  <c r="S159" i="72"/>
  <c r="S287" i="65"/>
  <c r="HI225" i="77"/>
  <c r="AQ229"/>
  <c r="AR229" s="1"/>
  <c r="GF254"/>
  <c r="GH254" s="1"/>
  <c r="P187" i="39"/>
  <c r="R278" i="77"/>
  <c r="R289"/>
  <c r="R289" i="39" s="1"/>
  <c r="FH286" i="77"/>
  <c r="R288"/>
  <c r="R288" i="39" s="1"/>
  <c r="R354" i="77"/>
  <c r="R354" i="39" s="1"/>
  <c r="R267" i="77"/>
  <c r="R267" i="39" s="1"/>
  <c r="S231"/>
  <c r="R140" i="65"/>
  <c r="AU254" i="77"/>
  <c r="AU278"/>
  <c r="HM290"/>
  <c r="IL290"/>
  <c r="IM290" s="1"/>
  <c r="BX282"/>
  <c r="R282" i="68" s="1"/>
  <c r="R87" i="77"/>
  <c r="R87" i="39" s="1"/>
  <c r="R163"/>
  <c r="R384" i="77"/>
  <c r="R116" i="39"/>
  <c r="R165"/>
  <c r="BT290" i="77"/>
  <c r="BU290" s="1"/>
  <c r="AV286"/>
  <c r="O291" i="74"/>
  <c r="AU286" i="77"/>
  <c r="R240"/>
  <c r="R291" i="71"/>
  <c r="R385" i="77"/>
  <c r="R394" i="39" s="1"/>
  <c r="AQ385" i="77"/>
  <c r="AR385" s="1"/>
  <c r="O394" i="65" s="1"/>
  <c r="BT385" i="77"/>
  <c r="BU385" s="1"/>
  <c r="O394" i="68" s="1"/>
  <c r="O291" i="72"/>
  <c r="S140" i="39"/>
  <c r="R264" i="77"/>
  <c r="R264" i="39" s="1"/>
  <c r="R273" i="77"/>
  <c r="R209"/>
  <c r="R295" i="39" s="1"/>
  <c r="R155"/>
  <c r="DA290" i="77"/>
  <c r="GI286"/>
  <c r="O285" i="39"/>
  <c r="R140"/>
  <c r="R275" i="77"/>
  <c r="R275" i="39" s="1"/>
  <c r="R282" i="77"/>
  <c r="R282" i="39" s="1"/>
  <c r="Q229"/>
  <c r="Q289" i="77"/>
  <c r="Q289" i="39" s="1"/>
  <c r="R187" i="68"/>
  <c r="R287" i="69"/>
  <c r="DA229" i="77"/>
  <c r="BX259"/>
  <c r="HI259"/>
  <c r="HK259" s="1"/>
  <c r="AU275"/>
  <c r="R275" i="65" s="1"/>
  <c r="DA287" i="77"/>
  <c r="DA289"/>
  <c r="R289" i="69" s="1"/>
  <c r="AQ365" i="77"/>
  <c r="AR365" s="1"/>
  <c r="R154" i="39"/>
  <c r="R261"/>
  <c r="FG286" i="77"/>
  <c r="HM286"/>
  <c r="Q291" i="39"/>
  <c r="S382" i="68"/>
  <c r="S395"/>
  <c r="S395" i="69"/>
  <c r="R223" i="77"/>
  <c r="DZ288"/>
  <c r="EA288" s="1"/>
  <c r="O288" i="70" s="1"/>
  <c r="S354" i="65"/>
  <c r="P231" i="39"/>
  <c r="R296" i="77"/>
  <c r="R296" i="39" s="1"/>
  <c r="R283" i="77"/>
  <c r="R102" i="39"/>
  <c r="R176"/>
  <c r="R269" i="77"/>
  <c r="R279"/>
  <c r="R272"/>
  <c r="R391" i="39"/>
  <c r="Q290" i="77"/>
  <c r="R383"/>
  <c r="S354" i="69"/>
  <c r="S259" i="39"/>
  <c r="S187"/>
  <c r="Q225" i="77"/>
  <c r="Q225" i="39" s="1"/>
  <c r="N78" i="77"/>
  <c r="P78" s="1"/>
  <c r="R294"/>
  <c r="R294" i="39" s="1"/>
  <c r="N276" i="77"/>
  <c r="O276" s="1"/>
  <c r="EC286"/>
  <c r="FC286"/>
  <c r="FE286" s="1"/>
  <c r="P135" i="71"/>
  <c r="R130" i="39"/>
  <c r="R252" i="77"/>
  <c r="S141" i="68"/>
  <c r="R386" i="77"/>
  <c r="R395" i="39" s="1"/>
  <c r="S288" i="65"/>
  <c r="S288" i="69"/>
  <c r="IL288" i="77"/>
  <c r="IM288" s="1"/>
  <c r="O288" i="74" s="1"/>
  <c r="Q132" i="39"/>
  <c r="Q167"/>
  <c r="R287"/>
  <c r="Q292" i="77"/>
  <c r="Q292" i="39" s="1"/>
  <c r="S87" i="73"/>
  <c r="S87" i="74"/>
  <c r="S296" i="73"/>
  <c r="S296" i="74"/>
  <c r="S163"/>
  <c r="S102" i="71"/>
  <c r="S102" i="72"/>
  <c r="S102" i="73"/>
  <c r="S102" i="74"/>
  <c r="S165" i="71"/>
  <c r="S165" i="72"/>
  <c r="S165" i="73"/>
  <c r="S165" i="74"/>
  <c r="S176" i="71"/>
  <c r="S176" i="72"/>
  <c r="S176" i="73"/>
  <c r="S176" i="74"/>
  <c r="S294" i="65"/>
  <c r="S154"/>
  <c r="S265" i="70"/>
  <c r="S391"/>
  <c r="S101" i="73"/>
  <c r="S103" i="72"/>
  <c r="AT286" i="77"/>
  <c r="AQ286"/>
  <c r="AS286" s="1"/>
  <c r="S139" i="71"/>
  <c r="S139" i="72"/>
  <c r="R94" i="77"/>
  <c r="R279" i="39"/>
  <c r="R268"/>
  <c r="S285"/>
  <c r="R285"/>
  <c r="R270"/>
  <c r="R230" i="77"/>
  <c r="FG365"/>
  <c r="HM365"/>
  <c r="S115" i="69"/>
  <c r="S166"/>
  <c r="S133" i="71"/>
  <c r="S133" i="72"/>
  <c r="S133" i="73"/>
  <c r="S133" i="74"/>
  <c r="S160" i="65"/>
  <c r="S285" i="71"/>
  <c r="S285" i="72"/>
  <c r="S285" i="73"/>
  <c r="S285" i="74"/>
  <c r="S270" i="65"/>
  <c r="S263" i="71"/>
  <c r="S263" i="72"/>
  <c r="S263" i="73"/>
  <c r="S263" i="74"/>
  <c r="S264" i="65"/>
  <c r="S154" i="70"/>
  <c r="S391" i="72"/>
  <c r="S391" i="73"/>
  <c r="S391" i="74"/>
  <c r="S101" i="68"/>
  <c r="S101" i="71"/>
  <c r="S101" i="74"/>
  <c r="S290" i="73"/>
  <c r="S155"/>
  <c r="FC290" i="77"/>
  <c r="FD290" s="1"/>
  <c r="S383" i="71"/>
  <c r="S383" i="74"/>
  <c r="S109"/>
  <c r="S135" i="68"/>
  <c r="P135"/>
  <c r="R285" i="77"/>
  <c r="R365"/>
  <c r="FC365"/>
  <c r="FD365" s="1"/>
  <c r="HI365"/>
  <c r="HJ365" s="1"/>
  <c r="R202"/>
  <c r="R290" i="39"/>
  <c r="S87" i="68"/>
  <c r="S296"/>
  <c r="S163" i="65"/>
  <c r="S163" i="69"/>
  <c r="S115" i="71"/>
  <c r="S115" i="72"/>
  <c r="S115" i="73"/>
  <c r="S115" i="74"/>
  <c r="S166" i="71"/>
  <c r="S166" i="72"/>
  <c r="S166" i="73"/>
  <c r="S166" i="74"/>
  <c r="S294" i="71"/>
  <c r="S294" i="72"/>
  <c r="S294" i="73"/>
  <c r="S294" i="74"/>
  <c r="S154" i="72"/>
  <c r="S154" i="73"/>
  <c r="S154" i="74"/>
  <c r="S295" i="70"/>
  <c r="S101" i="69"/>
  <c r="S290" i="68"/>
  <c r="S290" i="71"/>
  <c r="S290" i="74"/>
  <c r="S155" i="39"/>
  <c r="O155"/>
  <c r="S155" i="68"/>
  <c r="S155" i="71"/>
  <c r="S155" i="74"/>
  <c r="S103" i="70"/>
  <c r="S190" i="71"/>
  <c r="S190" i="72"/>
  <c r="S291" i="71"/>
  <c r="O291"/>
  <c r="R78" i="77"/>
  <c r="R208"/>
  <c r="R243"/>
  <c r="R222" i="39"/>
  <c r="R269"/>
  <c r="R281"/>
  <c r="R222" i="77"/>
  <c r="R263"/>
  <c r="R263" i="39" s="1"/>
  <c r="R268" i="77"/>
  <c r="R270"/>
  <c r="R274"/>
  <c r="AU365"/>
  <c r="GJ365"/>
  <c r="IP365"/>
  <c r="R265"/>
  <c r="R265" i="39" s="1"/>
  <c r="R203" i="77"/>
  <c r="FG290"/>
  <c r="R135" i="68"/>
  <c r="S87" i="70"/>
  <c r="S87" i="71"/>
  <c r="S296" i="70"/>
  <c r="S296" i="71"/>
  <c r="S163"/>
  <c r="S163" i="72"/>
  <c r="S102" i="69"/>
  <c r="S165"/>
  <c r="S176"/>
  <c r="S133" i="65"/>
  <c r="S160" i="71"/>
  <c r="S160" i="72"/>
  <c r="S160" i="73"/>
  <c r="S160" i="74"/>
  <c r="S285" i="65"/>
  <c r="S270" i="71"/>
  <c r="S270" i="72"/>
  <c r="S270" i="73"/>
  <c r="S270" i="74"/>
  <c r="S263" i="65"/>
  <c r="S264" i="71"/>
  <c r="S264" i="72"/>
  <c r="S264" i="73"/>
  <c r="S264" i="74"/>
  <c r="S295" i="72"/>
  <c r="S295" i="73"/>
  <c r="S295" i="74"/>
  <c r="S265" i="65"/>
  <c r="S155" i="69"/>
  <c r="CW290" i="77"/>
  <c r="CX290" s="1"/>
  <c r="HI290"/>
  <c r="HJ290" s="1"/>
  <c r="S383" i="69"/>
  <c r="S109" i="65"/>
  <c r="S189" i="71"/>
  <c r="R98" i="77"/>
  <c r="R79"/>
  <c r="R186" i="39"/>
  <c r="R372" i="77"/>
  <c r="R89"/>
  <c r="R115" i="39"/>
  <c r="R153"/>
  <c r="R166"/>
  <c r="Q365" i="77"/>
  <c r="GF365"/>
  <c r="GG365" s="1"/>
  <c r="IL365"/>
  <c r="IM365" s="1"/>
  <c r="R276"/>
  <c r="GK286"/>
  <c r="S109" i="68"/>
  <c r="S189" i="73"/>
  <c r="S291"/>
  <c r="S394"/>
  <c r="S141" i="74"/>
  <c r="S382"/>
  <c r="S395"/>
  <c r="S288"/>
  <c r="R159" i="72"/>
  <c r="R167" i="73"/>
  <c r="R187" i="72"/>
  <c r="R287" i="73"/>
  <c r="HM229" i="77"/>
  <c r="HM259"/>
  <c r="HM267"/>
  <c r="R267" i="73" s="1"/>
  <c r="GJ282" i="77"/>
  <c r="R282" i="72" s="1"/>
  <c r="HM287" i="77"/>
  <c r="FG289"/>
  <c r="R289" i="71" s="1"/>
  <c r="HM393" i="77"/>
  <c r="R393" i="73" s="1"/>
  <c r="S135" i="65"/>
  <c r="R135"/>
  <c r="R139" i="39"/>
  <c r="R190"/>
  <c r="R173"/>
  <c r="R291"/>
  <c r="S291" i="68"/>
  <c r="R291"/>
  <c r="R291" i="73"/>
  <c r="R280" i="77"/>
  <c r="R280" i="39" s="1"/>
  <c r="Q385" i="77"/>
  <c r="Q394" i="39" s="1"/>
  <c r="HM385" i="77"/>
  <c r="R394" i="73" s="1"/>
  <c r="S379" i="68"/>
  <c r="S164"/>
  <c r="S164" i="69"/>
  <c r="S262" i="68"/>
  <c r="S262" i="69"/>
  <c r="S288" i="39"/>
  <c r="S288" i="70"/>
  <c r="ED288" i="77"/>
  <c r="R288" i="70" s="1"/>
  <c r="IP288" i="77"/>
  <c r="R288" i="74" s="1"/>
  <c r="R106" i="39"/>
  <c r="R167"/>
  <c r="P140"/>
  <c r="Q275" i="77"/>
  <c r="Q275" i="39" s="1"/>
  <c r="R177"/>
  <c r="R292" i="77"/>
  <c r="R292" i="39" s="1"/>
  <c r="R293" i="77"/>
  <c r="R293" i="39" s="1"/>
  <c r="R393" i="77"/>
  <c r="R393" i="39" s="1"/>
  <c r="Q259"/>
  <c r="Q179"/>
  <c r="Q187"/>
  <c r="R225" i="77"/>
  <c r="R225" i="39" s="1"/>
  <c r="Q278" i="77"/>
  <c r="S289" i="39"/>
  <c r="R167" i="65"/>
  <c r="AU225" i="77"/>
  <c r="DA254"/>
  <c r="BX267"/>
  <c r="R267" i="68" s="1"/>
  <c r="AU282" i="77"/>
  <c r="R282" i="65" s="1"/>
  <c r="CW289" i="77"/>
  <c r="CX289" s="1"/>
  <c r="O289" i="69" s="1"/>
  <c r="HI289" i="77"/>
  <c r="HJ289" s="1"/>
  <c r="O289" i="73" s="1"/>
  <c r="S103" i="69"/>
  <c r="S383" i="72"/>
  <c r="S135"/>
  <c r="S189" i="74"/>
  <c r="S291" i="72"/>
  <c r="S379" i="70"/>
  <c r="S379" i="71"/>
  <c r="S379" i="72"/>
  <c r="S164" i="71"/>
  <c r="S164" i="72"/>
  <c r="S262" i="71"/>
  <c r="S262" i="72"/>
  <c r="R159" i="73"/>
  <c r="R187"/>
  <c r="HM225" i="77"/>
  <c r="GJ254"/>
  <c r="HM282"/>
  <c r="R282" i="73" s="1"/>
  <c r="GJ289" i="77"/>
  <c r="R289" i="72" s="1"/>
  <c r="IP290" i="77"/>
  <c r="R156" i="39"/>
  <c r="R286" i="77"/>
  <c r="EE286"/>
  <c r="FF286"/>
  <c r="IQ286"/>
  <c r="R109" i="39"/>
  <c r="Q135"/>
  <c r="R135" i="72"/>
  <c r="S139" i="65"/>
  <c r="S139" i="68"/>
  <c r="S190" i="65"/>
  <c r="S190" i="68"/>
  <c r="R284" i="39"/>
  <c r="R189"/>
  <c r="S189" i="68"/>
  <c r="R206" i="77"/>
  <c r="O291" i="68"/>
  <c r="R291" i="72"/>
  <c r="O291" i="73"/>
  <c r="R134" i="39"/>
  <c r="S280" i="65"/>
  <c r="S280" i="68"/>
  <c r="S394"/>
  <c r="BX385" i="77"/>
  <c r="R394" i="68" s="1"/>
  <c r="HI385" i="77"/>
  <c r="R141" i="39"/>
  <c r="R382" i="77"/>
  <c r="R382" i="39" s="1"/>
  <c r="R207" i="77"/>
  <c r="R250"/>
  <c r="R362"/>
  <c r="AU288"/>
  <c r="R288" i="65" s="1"/>
  <c r="S132" i="39"/>
  <c r="Q140"/>
  <c r="Q282" i="77"/>
  <c r="Q282" i="39" s="1"/>
  <c r="S177"/>
  <c r="R259"/>
  <c r="R231"/>
  <c r="R187"/>
  <c r="S225"/>
  <c r="N289" i="77"/>
  <c r="AU292"/>
  <c r="R292" i="65" s="1"/>
  <c r="S280" i="71"/>
  <c r="S394"/>
  <c r="S394" i="74"/>
  <c r="S379"/>
  <c r="S164"/>
  <c r="S262"/>
  <c r="S288" i="72"/>
  <c r="S354" i="70"/>
  <c r="R140" i="72"/>
  <c r="R167" i="71"/>
  <c r="FG225" i="77"/>
  <c r="HM254"/>
  <c r="FG259"/>
  <c r="GJ275"/>
  <c r="R275" i="72" s="1"/>
  <c r="HM278" i="77"/>
  <c r="HM289"/>
  <c r="R289" i="73" s="1"/>
  <c r="FG385" i="77"/>
  <c r="R394" i="71" s="1"/>
  <c r="IP385" i="77"/>
  <c r="R394" i="74" s="1"/>
  <c r="DA288" i="77"/>
  <c r="R288" i="69" s="1"/>
  <c r="GJ288" i="77"/>
  <c r="R288" i="72" s="1"/>
  <c r="P132" i="39"/>
  <c r="P229"/>
  <c r="AU293" i="77"/>
  <c r="R293" i="65" s="1"/>
  <c r="DA293" i="77"/>
  <c r="R293" i="69" s="1"/>
  <c r="GJ293" i="77"/>
  <c r="R293" i="72" s="1"/>
  <c r="HM293" i="77"/>
  <c r="R293" i="73" s="1"/>
  <c r="IP293" i="77"/>
  <c r="R293" i="74" s="1"/>
  <c r="DA393" i="77"/>
  <c r="R393" i="69" s="1"/>
  <c r="S265" i="72"/>
  <c r="S265" i="73"/>
  <c r="S265" i="74"/>
  <c r="S103" i="71"/>
  <c r="S103" i="74"/>
  <c r="S383" i="70"/>
  <c r="S109" i="71"/>
  <c r="S109" i="72"/>
  <c r="S135" i="71"/>
  <c r="S135" i="74"/>
  <c r="S139"/>
  <c r="S190"/>
  <c r="S189" i="72"/>
  <c r="S291" i="74"/>
  <c r="S280" i="73"/>
  <c r="S280" i="74"/>
  <c r="S141" i="70"/>
  <c r="S141" i="71"/>
  <c r="S141" i="72"/>
  <c r="S382" i="71"/>
  <c r="S382" i="72"/>
  <c r="S395" i="71"/>
  <c r="S395" i="72"/>
  <c r="S354"/>
  <c r="S354" i="73"/>
  <c r="R140"/>
  <c r="R159" i="71"/>
  <c r="R167" i="72"/>
  <c r="R287"/>
  <c r="GJ229" i="77"/>
  <c r="GJ259"/>
  <c r="GJ267"/>
  <c r="R267" i="72" s="1"/>
  <c r="HM275" i="77"/>
  <c r="R275" i="73" s="1"/>
  <c r="FG278" i="77"/>
  <c r="GJ287"/>
  <c r="GJ393"/>
  <c r="R393" i="72" s="1"/>
  <c r="S295" i="65"/>
  <c r="R295" i="77"/>
  <c r="S391" i="65"/>
  <c r="S290" i="69"/>
  <c r="R290" i="77"/>
  <c r="BX290"/>
  <c r="R103" i="39"/>
  <c r="R364" i="77"/>
  <c r="R383" i="39" s="1"/>
  <c r="R135"/>
  <c r="R135" i="71"/>
  <c r="R135" i="74"/>
  <c r="Q117" i="39"/>
  <c r="R284" i="77"/>
  <c r="R291" i="74"/>
  <c r="S394" i="65"/>
  <c r="AU385" i="77"/>
  <c r="R394" i="65" s="1"/>
  <c r="FC385" i="77"/>
  <c r="FD385" s="1"/>
  <c r="O394" i="71" s="1"/>
  <c r="IL385" i="77"/>
  <c r="R394"/>
  <c r="R277"/>
  <c r="R379"/>
  <c r="R379" i="39" s="1"/>
  <c r="S382" i="70"/>
  <c r="R164" i="39"/>
  <c r="R262" i="77"/>
  <c r="R262" i="39" s="1"/>
  <c r="R376" i="77"/>
  <c r="R172" i="39"/>
  <c r="R266" i="77"/>
  <c r="CW288"/>
  <c r="CX288" s="1"/>
  <c r="O288" i="69" s="1"/>
  <c r="GF288" i="77"/>
  <c r="GG288" s="1"/>
  <c r="O288" i="72" s="1"/>
  <c r="R395" i="77"/>
  <c r="Q287" i="39"/>
  <c r="R229" i="77"/>
  <c r="R254"/>
  <c r="R287"/>
  <c r="R259"/>
  <c r="R140" i="68"/>
  <c r="S140" i="74"/>
  <c r="R159" i="68"/>
  <c r="R167" i="69"/>
  <c r="S187" i="73"/>
  <c r="R287" i="65"/>
  <c r="AU229" i="77"/>
  <c r="AU267"/>
  <c r="R267" i="65" s="1"/>
  <c r="BX275" i="77"/>
  <c r="R275" i="68" s="1"/>
  <c r="AU287" i="77"/>
  <c r="DA292"/>
  <c r="R292" i="69" s="1"/>
  <c r="AU393" i="77"/>
  <c r="R393" i="65" s="1"/>
  <c r="S282"/>
  <c r="DZ225" i="77"/>
  <c r="FC289"/>
  <c r="FD289" s="1"/>
  <c r="O289" i="71" s="1"/>
  <c r="R140" i="74"/>
  <c r="R159" i="70"/>
  <c r="R187"/>
  <c r="R187" i="74"/>
  <c r="R287"/>
  <c r="ED225" i="77"/>
  <c r="IP225"/>
  <c r="IP229"/>
  <c r="IP254"/>
  <c r="ED259"/>
  <c r="IP267"/>
  <c r="R267" i="74" s="1"/>
  <c r="IP275" i="77"/>
  <c r="R275" i="74" s="1"/>
  <c r="ED278" i="77"/>
  <c r="IP278"/>
  <c r="IP282"/>
  <c r="R282" i="74" s="1"/>
  <c r="IP287" i="77"/>
  <c r="ED289"/>
  <c r="R289" i="70" s="1"/>
  <c r="IP393" i="77"/>
  <c r="R393" i="74" s="1"/>
  <c r="S167" i="71"/>
  <c r="S267" i="65"/>
  <c r="AQ275" i="77"/>
  <c r="AQ292"/>
  <c r="AR292" s="1"/>
  <c r="O292" i="65" s="1"/>
  <c r="N159" i="71"/>
  <c r="N187" i="73"/>
  <c r="S187" i="74"/>
  <c r="IL225" i="77"/>
  <c r="S289" i="71"/>
  <c r="O140" i="74"/>
  <c r="S275" i="65"/>
  <c r="O287"/>
  <c r="S292"/>
  <c r="S159" i="71"/>
  <c r="GJ292" i="77"/>
  <c r="R292" i="72" s="1"/>
  <c r="HM292" i="77"/>
  <c r="R292" i="73" s="1"/>
  <c r="IP292" i="77"/>
  <c r="R292" i="74" s="1"/>
  <c r="S289" i="72"/>
  <c r="GF289" i="77"/>
  <c r="N289" i="72" s="1"/>
  <c r="S289" i="70"/>
  <c r="DZ289" i="77"/>
  <c r="N289" i="70" s="1"/>
  <c r="AQ278" i="77"/>
  <c r="FC278"/>
  <c r="HI278"/>
  <c r="N278"/>
  <c r="DZ278"/>
  <c r="IL278"/>
  <c r="AQ225"/>
  <c r="S187" i="70"/>
  <c r="N187"/>
  <c r="S187" i="68"/>
  <c r="N187"/>
  <c r="Q259" i="77"/>
  <c r="FC259"/>
  <c r="BT259"/>
  <c r="GF259"/>
  <c r="N259"/>
  <c r="DZ259"/>
  <c r="S159" i="68"/>
  <c r="N159"/>
  <c r="Q393" i="77"/>
  <c r="Q393" i="39" s="1"/>
  <c r="AQ393" i="77"/>
  <c r="N393" i="65" s="1"/>
  <c r="S393" i="72"/>
  <c r="S393" i="69"/>
  <c r="GF393" i="77"/>
  <c r="N393" i="72" s="1"/>
  <c r="S393" i="73"/>
  <c r="S393" i="39"/>
  <c r="CW393" i="77"/>
  <c r="N393" i="69" s="1"/>
  <c r="HI393" i="77"/>
  <c r="N393" i="73" s="1"/>
  <c r="S393" i="74"/>
  <c r="N393" i="77"/>
  <c r="N393" i="39" s="1"/>
  <c r="IL393" i="77"/>
  <c r="N393" i="74" s="1"/>
  <c r="Q293" i="77"/>
  <c r="Q293" i="39" s="1"/>
  <c r="AQ293" i="77"/>
  <c r="N293" i="65" s="1"/>
  <c r="S293" i="72"/>
  <c r="S293" i="69"/>
  <c r="S293" i="73"/>
  <c r="S293" i="39"/>
  <c r="CW293" i="77"/>
  <c r="N293" i="69" s="1"/>
  <c r="HI293" i="77"/>
  <c r="N293" i="73" s="1"/>
  <c r="S293" i="74"/>
  <c r="N293" i="77"/>
  <c r="N293" i="39" s="1"/>
  <c r="IL293" i="77"/>
  <c r="N293" i="74" s="1"/>
  <c r="S292" i="72"/>
  <c r="S292" i="69"/>
  <c r="GF292" i="77"/>
  <c r="N292" i="72" s="1"/>
  <c r="S292" i="73"/>
  <c r="S292" i="39"/>
  <c r="CW292" i="77"/>
  <c r="N292" i="69" s="1"/>
  <c r="HI292" i="77"/>
  <c r="N292" i="73" s="1"/>
  <c r="S292" i="74"/>
  <c r="N292" i="77"/>
  <c r="N292" i="39" s="1"/>
  <c r="IL292" i="77"/>
  <c r="N292" i="74" s="1"/>
  <c r="Q287" i="77"/>
  <c r="AQ287"/>
  <c r="GF287"/>
  <c r="CW287"/>
  <c r="HI287"/>
  <c r="N287"/>
  <c r="IL287"/>
  <c r="AQ254"/>
  <c r="CW254"/>
  <c r="HI254"/>
  <c r="N254"/>
  <c r="IL254"/>
  <c r="Q229"/>
  <c r="GF229"/>
  <c r="CW229"/>
  <c r="HI229"/>
  <c r="N229"/>
  <c r="IL229"/>
  <c r="S287" i="72"/>
  <c r="S287" i="69"/>
  <c r="N287" i="72"/>
  <c r="S287" i="73"/>
  <c r="S287" i="39"/>
  <c r="N287" i="69"/>
  <c r="N287" i="73"/>
  <c r="S287" i="74"/>
  <c r="N287" i="39"/>
  <c r="N287" i="74"/>
  <c r="AQ282" i="77"/>
  <c r="N282" i="65" s="1"/>
  <c r="S282" i="68"/>
  <c r="S282" i="72"/>
  <c r="GF282" i="77"/>
  <c r="N282" i="72" s="1"/>
  <c r="S282" i="73"/>
  <c r="S282" i="39"/>
  <c r="HI282" i="77"/>
  <c r="N282" i="73" s="1"/>
  <c r="S282" i="74"/>
  <c r="N282" i="77"/>
  <c r="N282" i="39" s="1"/>
  <c r="IL282" i="77"/>
  <c r="N282" i="74" s="1"/>
  <c r="S275" i="68"/>
  <c r="S275" i="72"/>
  <c r="BT275" i="77"/>
  <c r="N275" i="68" s="1"/>
  <c r="GF275" i="77"/>
  <c r="N275" i="72" s="1"/>
  <c r="S275" i="73"/>
  <c r="S275" i="39"/>
  <c r="HI275" i="77"/>
  <c r="N275" i="73" s="1"/>
  <c r="S275" i="74"/>
  <c r="N275" i="77"/>
  <c r="N275" i="39" s="1"/>
  <c r="IL275" i="77"/>
  <c r="N275" i="74" s="1"/>
  <c r="Q267" i="77"/>
  <c r="Q267" i="39" s="1"/>
  <c r="AQ267" i="77"/>
  <c r="N267" i="65" s="1"/>
  <c r="S267" i="68"/>
  <c r="S267" i="72"/>
  <c r="BT267" i="77"/>
  <c r="N267" i="68" s="1"/>
  <c r="GF267" i="77"/>
  <c r="N267" i="72" s="1"/>
  <c r="S267" i="73"/>
  <c r="S267" i="39"/>
  <c r="HI267" i="77"/>
  <c r="N267" i="73" s="1"/>
  <c r="S267" i="74"/>
  <c r="N267" i="77"/>
  <c r="N267" i="39" s="1"/>
  <c r="IL267" i="77"/>
  <c r="N267" i="74" s="1"/>
  <c r="S140" i="73"/>
  <c r="N140"/>
  <c r="S140" i="72"/>
  <c r="N140"/>
  <c r="S140" i="68"/>
  <c r="N140"/>
  <c r="S140" i="65"/>
  <c r="N140"/>
  <c r="S167" i="72"/>
  <c r="S167" i="69"/>
  <c r="N167" i="72"/>
  <c r="S167" i="73"/>
  <c r="S167" i="39"/>
  <c r="N167" i="69"/>
  <c r="N167" i="73"/>
  <c r="N167" i="39"/>
  <c r="Q395" i="77"/>
  <c r="DZ395"/>
  <c r="ED395"/>
  <c r="FC395"/>
  <c r="FG395"/>
  <c r="GF395"/>
  <c r="GJ395"/>
  <c r="HI395"/>
  <c r="HM395"/>
  <c r="IL395"/>
  <c r="IP395"/>
  <c r="N395"/>
  <c r="Q354"/>
  <c r="Q354" i="39" s="1"/>
  <c r="AQ354" i="77"/>
  <c r="N354" i="65" s="1"/>
  <c r="AU354" i="77"/>
  <c r="R354" i="65" s="1"/>
  <c r="CW354" i="77"/>
  <c r="N354" i="69" s="1"/>
  <c r="DA354" i="77"/>
  <c r="R354" i="69" s="1"/>
  <c r="DZ354" i="77"/>
  <c r="N354" i="70" s="1"/>
  <c r="ED354" i="77"/>
  <c r="R354" i="70" s="1"/>
  <c r="GF354" i="77"/>
  <c r="N354" i="72" s="1"/>
  <c r="GJ354" i="77"/>
  <c r="R354" i="72" s="1"/>
  <c r="HI354" i="77"/>
  <c r="N354" i="73" s="1"/>
  <c r="HM354" i="77"/>
  <c r="R354" i="73" s="1"/>
  <c r="S354" i="39"/>
  <c r="N354" i="77"/>
  <c r="N354" i="39" s="1"/>
  <c r="Q288" i="77"/>
  <c r="Q288" i="39" s="1"/>
  <c r="N288" i="77"/>
  <c r="N288" i="39" s="1"/>
  <c r="Q266" i="77"/>
  <c r="AQ266"/>
  <c r="AU266"/>
  <c r="DZ266"/>
  <c r="ED266"/>
  <c r="FC266"/>
  <c r="FG266"/>
  <c r="GF266"/>
  <c r="GJ266"/>
  <c r="HI266"/>
  <c r="HM266"/>
  <c r="N266"/>
  <c r="Q223"/>
  <c r="AQ223"/>
  <c r="AU223"/>
  <c r="CW223"/>
  <c r="DA223"/>
  <c r="FC223"/>
  <c r="FG223"/>
  <c r="HI223"/>
  <c r="HM223"/>
  <c r="IL223"/>
  <c r="IP223"/>
  <c r="N223"/>
  <c r="Q172" i="39"/>
  <c r="S223"/>
  <c r="N223"/>
  <c r="Q386" i="77"/>
  <c r="Q395" i="39" s="1"/>
  <c r="BT386" i="77"/>
  <c r="N395" i="68" s="1"/>
  <c r="BX386" i="77"/>
  <c r="R395" i="68" s="1"/>
  <c r="CW386" i="77"/>
  <c r="N395" i="69" s="1"/>
  <c r="DA386" i="77"/>
  <c r="R395" i="69" s="1"/>
  <c r="FC386" i="77"/>
  <c r="N395" i="71" s="1"/>
  <c r="FG386" i="77"/>
  <c r="R395" i="71" s="1"/>
  <c r="GF386" i="77"/>
  <c r="N395" i="72" s="1"/>
  <c r="GJ386" i="77"/>
  <c r="R395" i="72" s="1"/>
  <c r="IL386" i="77"/>
  <c r="N395" i="74" s="1"/>
  <c r="IP386" i="77"/>
  <c r="R395" i="74" s="1"/>
  <c r="S395" i="39"/>
  <c r="N386" i="77"/>
  <c r="N395" i="39" s="1"/>
  <c r="Q376" i="77"/>
  <c r="BT376"/>
  <c r="BX376"/>
  <c r="CW376"/>
  <c r="DA376"/>
  <c r="FC376"/>
  <c r="FG376"/>
  <c r="GF376"/>
  <c r="GJ376"/>
  <c r="IL376"/>
  <c r="IP376"/>
  <c r="N376"/>
  <c r="Q362"/>
  <c r="BT362"/>
  <c r="BX362"/>
  <c r="CW362"/>
  <c r="DA362"/>
  <c r="FC362"/>
  <c r="FG362"/>
  <c r="GF362"/>
  <c r="GJ362"/>
  <c r="IL362"/>
  <c r="IP362"/>
  <c r="N362"/>
  <c r="Q262"/>
  <c r="Q262" i="39" s="1"/>
  <c r="BT262" i="77"/>
  <c r="N262" i="68" s="1"/>
  <c r="BX262" i="77"/>
  <c r="R262" i="68" s="1"/>
  <c r="CW262" i="77"/>
  <c r="N262" i="69" s="1"/>
  <c r="DA262" i="77"/>
  <c r="R262" i="69" s="1"/>
  <c r="FC262" i="77"/>
  <c r="N262" i="71" s="1"/>
  <c r="FG262" i="77"/>
  <c r="R262" i="71" s="1"/>
  <c r="GF262" i="77"/>
  <c r="N262" i="72" s="1"/>
  <c r="GJ262" i="77"/>
  <c r="R262" i="72" s="1"/>
  <c r="IL262" i="77"/>
  <c r="N262" i="74" s="1"/>
  <c r="IP262" i="77"/>
  <c r="R262" i="74" s="1"/>
  <c r="S262" i="39"/>
  <c r="N262" i="77"/>
  <c r="N262" i="39" s="1"/>
  <c r="Q250" i="77"/>
  <c r="BT250"/>
  <c r="BX250"/>
  <c r="CW250"/>
  <c r="DA250"/>
  <c r="FC250"/>
  <c r="FG250"/>
  <c r="GF250"/>
  <c r="GJ250"/>
  <c r="IL250"/>
  <c r="IP250"/>
  <c r="N250"/>
  <c r="Q207"/>
  <c r="BT207"/>
  <c r="BX207"/>
  <c r="CW207"/>
  <c r="DA207"/>
  <c r="FC207"/>
  <c r="FG207"/>
  <c r="GF207"/>
  <c r="GJ207"/>
  <c r="IL207"/>
  <c r="IP207"/>
  <c r="N207"/>
  <c r="Q164" i="39"/>
  <c r="N164" i="68"/>
  <c r="R164"/>
  <c r="N164" i="69"/>
  <c r="R164"/>
  <c r="N164" i="71"/>
  <c r="R164"/>
  <c r="N164" i="72"/>
  <c r="R164"/>
  <c r="N164" i="74"/>
  <c r="R164"/>
  <c r="S164" i="39"/>
  <c r="N164"/>
  <c r="Q382" i="77"/>
  <c r="Q382" i="39" s="1"/>
  <c r="BT382" i="77"/>
  <c r="N382" i="68" s="1"/>
  <c r="BX382" i="77"/>
  <c r="R382" i="68" s="1"/>
  <c r="DZ382" i="77"/>
  <c r="N382" i="70" s="1"/>
  <c r="ED382" i="77"/>
  <c r="R382" i="70" s="1"/>
  <c r="FC382" i="77"/>
  <c r="N382" i="71" s="1"/>
  <c r="FG382" i="77"/>
  <c r="R382" i="71" s="1"/>
  <c r="GF382" i="77"/>
  <c r="N382" i="72" s="1"/>
  <c r="GJ382" i="77"/>
  <c r="R382" i="72" s="1"/>
  <c r="IL382" i="77"/>
  <c r="N382" i="74" s="1"/>
  <c r="IP382" i="77"/>
  <c r="R382" i="74" s="1"/>
  <c r="S382" i="39"/>
  <c r="N382" i="77"/>
  <c r="N382" i="39" s="1"/>
  <c r="Q379" i="77"/>
  <c r="Q379" i="39" s="1"/>
  <c r="BT379" i="77"/>
  <c r="N379" i="68" s="1"/>
  <c r="BX379" i="77"/>
  <c r="R379" i="68" s="1"/>
  <c r="DZ379" i="77"/>
  <c r="N379" i="70" s="1"/>
  <c r="ED379" i="77"/>
  <c r="R379" i="70" s="1"/>
  <c r="FC379" i="77"/>
  <c r="N379" i="71" s="1"/>
  <c r="FG379" i="77"/>
  <c r="R379" i="71" s="1"/>
  <c r="GF379" i="77"/>
  <c r="N379" i="72" s="1"/>
  <c r="GJ379" i="77"/>
  <c r="R379" i="72" s="1"/>
  <c r="IL379" i="77"/>
  <c r="N379" i="74" s="1"/>
  <c r="IP379" i="77"/>
  <c r="R379" i="74" s="1"/>
  <c r="S379" i="39"/>
  <c r="N379" i="77"/>
  <c r="N379" i="39" s="1"/>
  <c r="Q371"/>
  <c r="Q277" i="77"/>
  <c r="BT277"/>
  <c r="BX277"/>
  <c r="DZ277"/>
  <c r="ED277"/>
  <c r="FC277"/>
  <c r="FG277"/>
  <c r="GF277"/>
  <c r="GJ277"/>
  <c r="IL277"/>
  <c r="IP277"/>
  <c r="N277"/>
  <c r="Q141" i="39"/>
  <c r="N141" i="68"/>
  <c r="R141"/>
  <c r="N141" i="70"/>
  <c r="R141"/>
  <c r="N141" i="71"/>
  <c r="R141"/>
  <c r="N141" i="72"/>
  <c r="R141"/>
  <c r="N141" i="74"/>
  <c r="R141"/>
  <c r="S141" i="39"/>
  <c r="N141"/>
  <c r="Q394" i="77"/>
  <c r="AQ394"/>
  <c r="AU394"/>
  <c r="BT394"/>
  <c r="BX394"/>
  <c r="FC394"/>
  <c r="FG394"/>
  <c r="HI394"/>
  <c r="HM394"/>
  <c r="IL394"/>
  <c r="IP394"/>
  <c r="N394"/>
  <c r="S394" i="39"/>
  <c r="BV385" i="77"/>
  <c r="P394" i="68" s="1"/>
  <c r="N385" i="77"/>
  <c r="N394" i="39" s="1"/>
  <c r="Q280" i="77"/>
  <c r="Q280" i="39" s="1"/>
  <c r="AQ280" i="77"/>
  <c r="N280" i="65" s="1"/>
  <c r="AU280" i="77"/>
  <c r="R280" i="65" s="1"/>
  <c r="BT280" i="77"/>
  <c r="N280" i="68" s="1"/>
  <c r="BX280" i="77"/>
  <c r="R280" i="68" s="1"/>
  <c r="FC280" i="77"/>
  <c r="N280" i="71" s="1"/>
  <c r="FG280" i="77"/>
  <c r="R280" i="71" s="1"/>
  <c r="HI280" i="77"/>
  <c r="N280" i="73" s="1"/>
  <c r="HM280" i="77"/>
  <c r="R280" i="73" s="1"/>
  <c r="IL280" i="77"/>
  <c r="N280" i="74" s="1"/>
  <c r="IP280" i="77"/>
  <c r="R280" i="74" s="1"/>
  <c r="S280" i="39"/>
  <c r="N280" i="77"/>
  <c r="N280" i="39" s="1"/>
  <c r="Q271"/>
  <c r="S271"/>
  <c r="N134"/>
  <c r="AB291" i="68"/>
  <c r="S291" i="39"/>
  <c r="P291" i="74"/>
  <c r="N291" i="39"/>
  <c r="Q284" i="77"/>
  <c r="BT284"/>
  <c r="BX284"/>
  <c r="FC284"/>
  <c r="FG284"/>
  <c r="GF284"/>
  <c r="GJ284"/>
  <c r="HI284"/>
  <c r="HM284"/>
  <c r="IL284"/>
  <c r="IP284"/>
  <c r="N284"/>
  <c r="Q252"/>
  <c r="BT252"/>
  <c r="BX252"/>
  <c r="FC252"/>
  <c r="FG252"/>
  <c r="GF252"/>
  <c r="GJ252"/>
  <c r="HI252"/>
  <c r="HM252"/>
  <c r="IL252"/>
  <c r="IP252"/>
  <c r="N252"/>
  <c r="Q206"/>
  <c r="BT206"/>
  <c r="BX206"/>
  <c r="FC206"/>
  <c r="FG206"/>
  <c r="GF206"/>
  <c r="GJ206"/>
  <c r="HI206"/>
  <c r="HM206"/>
  <c r="IL206"/>
  <c r="IP206"/>
  <c r="N206"/>
  <c r="Q189" i="39"/>
  <c r="N189" i="68"/>
  <c r="R189"/>
  <c r="N189" i="71"/>
  <c r="R189"/>
  <c r="N189" i="72"/>
  <c r="R189"/>
  <c r="N189" i="73"/>
  <c r="R189"/>
  <c r="N189" i="74"/>
  <c r="R189"/>
  <c r="S189" i="39"/>
  <c r="N189"/>
  <c r="Q130"/>
  <c r="S130"/>
  <c r="N130"/>
  <c r="S284"/>
  <c r="N284"/>
  <c r="Q173"/>
  <c r="S173"/>
  <c r="N173"/>
  <c r="Q240" i="77"/>
  <c r="AQ240"/>
  <c r="AU240"/>
  <c r="BT240"/>
  <c r="BX240"/>
  <c r="FC240"/>
  <c r="FG240"/>
  <c r="GF240"/>
  <c r="GJ240"/>
  <c r="IL240"/>
  <c r="IP240"/>
  <c r="N240"/>
  <c r="Q190" i="39"/>
  <c r="N190" i="65"/>
  <c r="R190"/>
  <c r="N190" i="68"/>
  <c r="R190"/>
  <c r="N190" i="71"/>
  <c r="R190"/>
  <c r="N190" i="72"/>
  <c r="R190"/>
  <c r="N190" i="74"/>
  <c r="R190"/>
  <c r="S190" i="39"/>
  <c r="N190"/>
  <c r="N143"/>
  <c r="Q139"/>
  <c r="N139" i="65"/>
  <c r="R139"/>
  <c r="N139" i="68"/>
  <c r="R139"/>
  <c r="N139" i="71"/>
  <c r="R139"/>
  <c r="N139" i="72"/>
  <c r="R139"/>
  <c r="N139" i="74"/>
  <c r="R139"/>
  <c r="S139" i="39"/>
  <c r="N139"/>
  <c r="S135"/>
  <c r="N135"/>
  <c r="Q109"/>
  <c r="N109" i="65"/>
  <c r="R109"/>
  <c r="N109" i="68"/>
  <c r="R109"/>
  <c r="N109" i="71"/>
  <c r="R109"/>
  <c r="N109" i="72"/>
  <c r="R109"/>
  <c r="N109" i="74"/>
  <c r="R109"/>
  <c r="S109" i="39"/>
  <c r="N109"/>
  <c r="Q286" i="77"/>
  <c r="DZ286"/>
  <c r="ED286"/>
  <c r="HL286"/>
  <c r="IL286"/>
  <c r="IP286"/>
  <c r="IO286"/>
  <c r="S286"/>
  <c r="GF286"/>
  <c r="GJ286"/>
  <c r="HN286"/>
  <c r="N286"/>
  <c r="HI286"/>
  <c r="Q156" i="39"/>
  <c r="S105"/>
  <c r="N105"/>
  <c r="Q383" i="77"/>
  <c r="CW383"/>
  <c r="DA383"/>
  <c r="DZ383"/>
  <c r="ED383"/>
  <c r="FC383"/>
  <c r="FG383"/>
  <c r="GF383"/>
  <c r="GJ383"/>
  <c r="IL383"/>
  <c r="IP383"/>
  <c r="N383"/>
  <c r="Q364"/>
  <c r="Q383" i="39" s="1"/>
  <c r="CW364" i="77"/>
  <c r="N383" i="69" s="1"/>
  <c r="DA364" i="77"/>
  <c r="R383" i="69" s="1"/>
  <c r="DZ364" i="77"/>
  <c r="N383" i="70" s="1"/>
  <c r="ED364" i="77"/>
  <c r="R383" i="70" s="1"/>
  <c r="FC364" i="77"/>
  <c r="N383" i="71" s="1"/>
  <c r="FG364" i="77"/>
  <c r="R383" i="71" s="1"/>
  <c r="GF364" i="77"/>
  <c r="N383" i="72" s="1"/>
  <c r="GJ364" i="77"/>
  <c r="R383" i="72" s="1"/>
  <c r="IL364" i="77"/>
  <c r="N383" i="74" s="1"/>
  <c r="IP364" i="77"/>
  <c r="R383" i="74" s="1"/>
  <c r="S383" i="39"/>
  <c r="N364" i="77"/>
  <c r="N383" i="39" s="1"/>
  <c r="Q103"/>
  <c r="N103" i="69"/>
  <c r="R103"/>
  <c r="N103" i="70"/>
  <c r="R103"/>
  <c r="N103" i="71"/>
  <c r="R103"/>
  <c r="N103" i="72"/>
  <c r="R103"/>
  <c r="N103" i="74"/>
  <c r="R103"/>
  <c r="S103" i="39"/>
  <c r="N103"/>
  <c r="N290" i="77"/>
  <c r="Q203"/>
  <c r="BT203"/>
  <c r="BX203"/>
  <c r="CW203"/>
  <c r="DA203"/>
  <c r="FC203"/>
  <c r="FG203"/>
  <c r="HI203"/>
  <c r="HM203"/>
  <c r="IL203"/>
  <c r="IP203"/>
  <c r="N203"/>
  <c r="Q155" i="39"/>
  <c r="N155" i="68"/>
  <c r="R155"/>
  <c r="N155" i="69"/>
  <c r="R155"/>
  <c r="N155" i="71"/>
  <c r="R155"/>
  <c r="N155" i="73"/>
  <c r="R155"/>
  <c r="N155" i="74"/>
  <c r="R155"/>
  <c r="Q290" i="39"/>
  <c r="N290" i="68"/>
  <c r="R290"/>
  <c r="N290" i="69"/>
  <c r="R290"/>
  <c r="N290" i="71"/>
  <c r="R290"/>
  <c r="N290" i="73"/>
  <c r="R290"/>
  <c r="N290" i="74"/>
  <c r="R290"/>
  <c r="AB290" i="68"/>
  <c r="S290" i="39"/>
  <c r="N290"/>
  <c r="Q261"/>
  <c r="N101" i="68"/>
  <c r="R101"/>
  <c r="N101" i="69"/>
  <c r="R101"/>
  <c r="N101" i="71"/>
  <c r="R101"/>
  <c r="N101" i="73"/>
  <c r="R101"/>
  <c r="N101" i="74"/>
  <c r="R101"/>
  <c r="S261" i="39"/>
  <c r="N261"/>
  <c r="Q391"/>
  <c r="N391" i="65"/>
  <c r="R391"/>
  <c r="N391" i="70"/>
  <c r="R391"/>
  <c r="N391" i="72"/>
  <c r="R391"/>
  <c r="N391" i="73"/>
  <c r="R391"/>
  <c r="N391" i="74"/>
  <c r="R391"/>
  <c r="S391" i="39"/>
  <c r="N391"/>
  <c r="Q295" i="77"/>
  <c r="AQ295"/>
  <c r="AU295"/>
  <c r="DZ295"/>
  <c r="ED295"/>
  <c r="GF295"/>
  <c r="GJ295"/>
  <c r="HI295"/>
  <c r="HM295"/>
  <c r="IL295"/>
  <c r="IP295"/>
  <c r="N295"/>
  <c r="Q276"/>
  <c r="AQ276"/>
  <c r="AU276"/>
  <c r="DZ276"/>
  <c r="ED276"/>
  <c r="GF276"/>
  <c r="GJ276"/>
  <c r="HI276"/>
  <c r="HM276"/>
  <c r="IL276"/>
  <c r="IP276"/>
  <c r="Q272"/>
  <c r="AQ272"/>
  <c r="AU272"/>
  <c r="DZ272"/>
  <c r="ED272"/>
  <c r="GF272"/>
  <c r="GJ272"/>
  <c r="HI272"/>
  <c r="HM272"/>
  <c r="IL272"/>
  <c r="IP272"/>
  <c r="N272"/>
  <c r="Q265"/>
  <c r="Q265" i="39" s="1"/>
  <c r="AQ265" i="77"/>
  <c r="N265" i="65" s="1"/>
  <c r="AU265" i="77"/>
  <c r="R265" i="65" s="1"/>
  <c r="DZ265" i="77"/>
  <c r="N265" i="70" s="1"/>
  <c r="ED265" i="77"/>
  <c r="R265" i="70" s="1"/>
  <c r="GF265" i="77"/>
  <c r="N265" i="72" s="1"/>
  <c r="GJ265" i="77"/>
  <c r="R265" i="72" s="1"/>
  <c r="HI265" i="77"/>
  <c r="N265" i="73" s="1"/>
  <c r="HM265" i="77"/>
  <c r="R265" i="73" s="1"/>
  <c r="IL265" i="77"/>
  <c r="N265" i="74" s="1"/>
  <c r="IP265" i="77"/>
  <c r="R265" i="74" s="1"/>
  <c r="S265" i="39"/>
  <c r="N265" i="77"/>
  <c r="N265" i="39" s="1"/>
  <c r="Q209" i="77"/>
  <c r="Q295" i="39" s="1"/>
  <c r="AQ209" i="77"/>
  <c r="N295" i="65" s="1"/>
  <c r="AU209" i="77"/>
  <c r="R295" i="65" s="1"/>
  <c r="DZ209" i="77"/>
  <c r="N295" i="70" s="1"/>
  <c r="ED209" i="77"/>
  <c r="R295" i="70" s="1"/>
  <c r="GF209" i="77"/>
  <c r="N295" i="72" s="1"/>
  <c r="GJ209" i="77"/>
  <c r="R295" i="72" s="1"/>
  <c r="HI209" i="77"/>
  <c r="N295" i="73" s="1"/>
  <c r="HM209" i="77"/>
  <c r="R295" i="73" s="1"/>
  <c r="IL209" i="77"/>
  <c r="N295" i="74" s="1"/>
  <c r="IP209" i="77"/>
  <c r="R295" i="74" s="1"/>
  <c r="S295" i="39"/>
  <c r="N209" i="77"/>
  <c r="N295" i="39" s="1"/>
  <c r="Q202" i="77"/>
  <c r="AQ202"/>
  <c r="AU202"/>
  <c r="DZ202"/>
  <c r="ED202"/>
  <c r="GF202"/>
  <c r="GJ202"/>
  <c r="HI202"/>
  <c r="HM202"/>
  <c r="IL202"/>
  <c r="IP202"/>
  <c r="N202"/>
  <c r="Q154" i="39"/>
  <c r="N154" i="65"/>
  <c r="R154"/>
  <c r="N154" i="70"/>
  <c r="R154"/>
  <c r="N154" i="72"/>
  <c r="R154"/>
  <c r="N154" i="73"/>
  <c r="R154"/>
  <c r="N154" i="74"/>
  <c r="R154"/>
  <c r="S154" i="39"/>
  <c r="N154"/>
  <c r="N365" i="77"/>
  <c r="Q294"/>
  <c r="Q294" i="39" s="1"/>
  <c r="AQ294" i="77"/>
  <c r="N294" i="65" s="1"/>
  <c r="AU294" i="77"/>
  <c r="R294" i="65" s="1"/>
  <c r="FC294" i="77"/>
  <c r="N294" i="71" s="1"/>
  <c r="FG294" i="77"/>
  <c r="R294" i="71" s="1"/>
  <c r="GF294" i="77"/>
  <c r="N294" i="72" s="1"/>
  <c r="GJ294" i="77"/>
  <c r="R294" i="72" s="1"/>
  <c r="HI294" i="77"/>
  <c r="N294" i="73" s="1"/>
  <c r="HM294" i="77"/>
  <c r="R294" i="73" s="1"/>
  <c r="IL294" i="77"/>
  <c r="N294" i="74" s="1"/>
  <c r="IP294" i="77"/>
  <c r="R294" i="74" s="1"/>
  <c r="S294" i="39"/>
  <c r="N294" i="77"/>
  <c r="N294" i="39" s="1"/>
  <c r="Q285" i="77"/>
  <c r="AQ285"/>
  <c r="AU285"/>
  <c r="FC285"/>
  <c r="FG285"/>
  <c r="GF285"/>
  <c r="GJ285"/>
  <c r="HI285"/>
  <c r="HM285"/>
  <c r="IL285"/>
  <c r="IP285"/>
  <c r="N285"/>
  <c r="Q279"/>
  <c r="AQ279"/>
  <c r="AU279"/>
  <c r="FC279"/>
  <c r="FG279"/>
  <c r="GF279"/>
  <c r="GJ279"/>
  <c r="HI279"/>
  <c r="HM279"/>
  <c r="IL279"/>
  <c r="IP279"/>
  <c r="N279"/>
  <c r="Q274"/>
  <c r="AQ274"/>
  <c r="AU274"/>
  <c r="FC274"/>
  <c r="FG274"/>
  <c r="GF274"/>
  <c r="GJ274"/>
  <c r="HI274"/>
  <c r="HM274"/>
  <c r="IL274"/>
  <c r="IP274"/>
  <c r="N274"/>
  <c r="Q273"/>
  <c r="AQ273"/>
  <c r="AU273"/>
  <c r="FC273"/>
  <c r="FG273"/>
  <c r="GF273"/>
  <c r="GJ273"/>
  <c r="HI273"/>
  <c r="HM273"/>
  <c r="IL273"/>
  <c r="IP273"/>
  <c r="N273"/>
  <c r="Q270"/>
  <c r="AQ270"/>
  <c r="AU270"/>
  <c r="FC270"/>
  <c r="FG270"/>
  <c r="GF270"/>
  <c r="GJ270"/>
  <c r="HI270"/>
  <c r="HM270"/>
  <c r="IL270"/>
  <c r="IP270"/>
  <c r="N270"/>
  <c r="Q269"/>
  <c r="AQ269"/>
  <c r="AU269"/>
  <c r="FC269"/>
  <c r="FG269"/>
  <c r="GF269"/>
  <c r="GJ269"/>
  <c r="HI269"/>
  <c r="HM269"/>
  <c r="IL269"/>
  <c r="IP269"/>
  <c r="N269"/>
  <c r="Q268"/>
  <c r="AQ268"/>
  <c r="AU268"/>
  <c r="FC268"/>
  <c r="FG268"/>
  <c r="GF268"/>
  <c r="GJ268"/>
  <c r="HI268"/>
  <c r="HM268"/>
  <c r="IL268"/>
  <c r="IP268"/>
  <c r="N268"/>
  <c r="Q264"/>
  <c r="Q264" i="39" s="1"/>
  <c r="AQ264" i="77"/>
  <c r="N264" i="65" s="1"/>
  <c r="AU264" i="77"/>
  <c r="R264" i="65" s="1"/>
  <c r="FC264" i="77"/>
  <c r="N264" i="71" s="1"/>
  <c r="FG264" i="77"/>
  <c r="R264" i="71" s="1"/>
  <c r="GF264" i="77"/>
  <c r="N264" i="72" s="1"/>
  <c r="GJ264" i="77"/>
  <c r="R264" i="72" s="1"/>
  <c r="HI264" i="77"/>
  <c r="N264" i="73" s="1"/>
  <c r="HM264" i="77"/>
  <c r="R264" i="73" s="1"/>
  <c r="IL264" i="77"/>
  <c r="N264" i="74" s="1"/>
  <c r="IP264" i="77"/>
  <c r="R264" i="74" s="1"/>
  <c r="S264" i="39"/>
  <c r="N264" i="77"/>
  <c r="N264" i="39" s="1"/>
  <c r="Q263" i="77"/>
  <c r="Q263" i="39" s="1"/>
  <c r="AQ263" i="77"/>
  <c r="N263" i="65" s="1"/>
  <c r="AU263" i="77"/>
  <c r="R263" i="65" s="1"/>
  <c r="FC263" i="77"/>
  <c r="N263" i="71" s="1"/>
  <c r="FG263" i="77"/>
  <c r="R263" i="71" s="1"/>
  <c r="GF263" i="77"/>
  <c r="N263" i="72" s="1"/>
  <c r="GJ263" i="77"/>
  <c r="R263" i="72" s="1"/>
  <c r="HI263" i="77"/>
  <c r="N263" i="73" s="1"/>
  <c r="HM263" i="77"/>
  <c r="R263" i="73" s="1"/>
  <c r="IL263" i="77"/>
  <c r="N263" i="74" s="1"/>
  <c r="IP263" i="77"/>
  <c r="R263" i="74" s="1"/>
  <c r="S263" i="39"/>
  <c r="N263" i="77"/>
  <c r="N263" i="39" s="1"/>
  <c r="Q230" i="77"/>
  <c r="AQ230"/>
  <c r="AU230"/>
  <c r="FC230"/>
  <c r="FG230"/>
  <c r="GF230"/>
  <c r="GJ230"/>
  <c r="HI230"/>
  <c r="HM230"/>
  <c r="IL230"/>
  <c r="IP230"/>
  <c r="N230"/>
  <c r="Q222"/>
  <c r="AQ222"/>
  <c r="AU222"/>
  <c r="FC222"/>
  <c r="FG222"/>
  <c r="GF222"/>
  <c r="GJ222"/>
  <c r="HI222"/>
  <c r="HM222"/>
  <c r="IL222"/>
  <c r="IP222"/>
  <c r="N222"/>
  <c r="Q270" i="39"/>
  <c r="N270" i="65"/>
  <c r="R270"/>
  <c r="N270" i="71"/>
  <c r="R270"/>
  <c r="N270" i="72"/>
  <c r="R270"/>
  <c r="N270" i="73"/>
  <c r="R270"/>
  <c r="N270" i="74"/>
  <c r="R270"/>
  <c r="S270" i="39"/>
  <c r="N270"/>
  <c r="N285" i="65"/>
  <c r="R285"/>
  <c r="N285" i="71"/>
  <c r="R285"/>
  <c r="N285" i="72"/>
  <c r="R285"/>
  <c r="N285" i="73"/>
  <c r="R285"/>
  <c r="N285" i="74"/>
  <c r="R285"/>
  <c r="Q184" i="39"/>
  <c r="S281"/>
  <c r="N184"/>
  <c r="Q268"/>
  <c r="N160" i="65"/>
  <c r="R160"/>
  <c r="N160" i="71"/>
  <c r="R160"/>
  <c r="N160" i="72"/>
  <c r="R160"/>
  <c r="N160" i="73"/>
  <c r="R160"/>
  <c r="N160" i="74"/>
  <c r="R160"/>
  <c r="S268" i="39"/>
  <c r="N268"/>
  <c r="Q269"/>
  <c r="N133" i="65"/>
  <c r="R133"/>
  <c r="N133" i="71"/>
  <c r="R133"/>
  <c r="N133" i="72"/>
  <c r="R133"/>
  <c r="N133" i="73"/>
  <c r="R133"/>
  <c r="N133" i="74"/>
  <c r="R133"/>
  <c r="S269" i="39"/>
  <c r="N269"/>
  <c r="Q113"/>
  <c r="S230"/>
  <c r="N230"/>
  <c r="Q274"/>
  <c r="S171"/>
  <c r="N171"/>
  <c r="Q94" i="77"/>
  <c r="AQ94"/>
  <c r="AU94"/>
  <c r="FC94"/>
  <c r="FG94"/>
  <c r="GF94"/>
  <c r="GJ94"/>
  <c r="HI94"/>
  <c r="HM94"/>
  <c r="IL94"/>
  <c r="IP94"/>
  <c r="N94"/>
  <c r="Q243"/>
  <c r="CW243"/>
  <c r="DA243"/>
  <c r="FC243"/>
  <c r="FG243"/>
  <c r="GF243"/>
  <c r="GJ243"/>
  <c r="HI243"/>
  <c r="HM243"/>
  <c r="IL243"/>
  <c r="IP243"/>
  <c r="N243"/>
  <c r="Q208"/>
  <c r="CW208"/>
  <c r="DA208"/>
  <c r="FC208"/>
  <c r="FG208"/>
  <c r="GF208"/>
  <c r="GJ208"/>
  <c r="HI208"/>
  <c r="HM208"/>
  <c r="IL208"/>
  <c r="IP208"/>
  <c r="N208"/>
  <c r="Q176" i="39"/>
  <c r="N176" i="69"/>
  <c r="R176"/>
  <c r="N176" i="71"/>
  <c r="R176"/>
  <c r="N176" i="72"/>
  <c r="R176"/>
  <c r="N176" i="73"/>
  <c r="R176"/>
  <c r="N176" i="74"/>
  <c r="R176"/>
  <c r="S176" i="39"/>
  <c r="N176"/>
  <c r="Q166"/>
  <c r="N166" i="69"/>
  <c r="R166"/>
  <c r="N166" i="71"/>
  <c r="R166"/>
  <c r="N166" i="72"/>
  <c r="R166"/>
  <c r="N166" i="73"/>
  <c r="R166"/>
  <c r="N166" i="74"/>
  <c r="R166"/>
  <c r="S166" i="39"/>
  <c r="N166"/>
  <c r="Q165"/>
  <c r="N165" i="69"/>
  <c r="R165"/>
  <c r="N165" i="71"/>
  <c r="R165"/>
  <c r="N165" i="72"/>
  <c r="R165"/>
  <c r="N165" i="73"/>
  <c r="R165"/>
  <c r="N165" i="74"/>
  <c r="R165"/>
  <c r="S165" i="39"/>
  <c r="N165"/>
  <c r="N119"/>
  <c r="Q116"/>
  <c r="S185"/>
  <c r="N185"/>
  <c r="Q115"/>
  <c r="N115" i="69"/>
  <c r="R115"/>
  <c r="N115" i="71"/>
  <c r="R115"/>
  <c r="N115" i="72"/>
  <c r="R115"/>
  <c r="N115" i="73"/>
  <c r="R115"/>
  <c r="N115" i="74"/>
  <c r="R115"/>
  <c r="S115" i="39"/>
  <c r="N115"/>
  <c r="Q102"/>
  <c r="N102" i="69"/>
  <c r="R102"/>
  <c r="N102" i="71"/>
  <c r="R102"/>
  <c r="N102" i="72"/>
  <c r="R102"/>
  <c r="N102" i="73"/>
  <c r="R102"/>
  <c r="N102" i="74"/>
  <c r="R102"/>
  <c r="S102" i="39"/>
  <c r="N102"/>
  <c r="Q89" i="77"/>
  <c r="CW89"/>
  <c r="DA89"/>
  <c r="FC89"/>
  <c r="FG89"/>
  <c r="GF89"/>
  <c r="GJ89"/>
  <c r="HI89"/>
  <c r="HM89"/>
  <c r="IL89"/>
  <c r="IP89"/>
  <c r="N89"/>
  <c r="Q384"/>
  <c r="AQ384"/>
  <c r="AU384"/>
  <c r="CW384"/>
  <c r="DA384"/>
  <c r="FC384"/>
  <c r="FG384"/>
  <c r="GF384"/>
  <c r="GJ384"/>
  <c r="IL384"/>
  <c r="IP384"/>
  <c r="N384"/>
  <c r="Q372"/>
  <c r="AQ372"/>
  <c r="AU372"/>
  <c r="CW372"/>
  <c r="DA372"/>
  <c r="FC372"/>
  <c r="FG372"/>
  <c r="GF372"/>
  <c r="GJ372"/>
  <c r="IL372"/>
  <c r="IP372"/>
  <c r="N372"/>
  <c r="Q283"/>
  <c r="AQ283"/>
  <c r="AU283"/>
  <c r="CW283"/>
  <c r="DA283"/>
  <c r="FC283"/>
  <c r="FG283"/>
  <c r="GF283"/>
  <c r="GJ283"/>
  <c r="IL283"/>
  <c r="IP283"/>
  <c r="N283"/>
  <c r="Q283" i="39"/>
  <c r="S283"/>
  <c r="N283"/>
  <c r="Q163"/>
  <c r="N163" i="65"/>
  <c r="R163"/>
  <c r="N163" i="69"/>
  <c r="R163"/>
  <c r="N163" i="71"/>
  <c r="R163"/>
  <c r="N163" i="72"/>
  <c r="R163"/>
  <c r="N163" i="74"/>
  <c r="R163"/>
  <c r="S163" i="39"/>
  <c r="N163"/>
  <c r="Q79" i="77"/>
  <c r="AQ79"/>
  <c r="AU79"/>
  <c r="CW79"/>
  <c r="DA79"/>
  <c r="FC79"/>
  <c r="FG79"/>
  <c r="GF79"/>
  <c r="GJ79"/>
  <c r="IL79"/>
  <c r="IP79"/>
  <c r="N79"/>
  <c r="Q296"/>
  <c r="Q296" i="39" s="1"/>
  <c r="BT296" i="77"/>
  <c r="N296" i="68" s="1"/>
  <c r="BX296" i="77"/>
  <c r="R296" i="68" s="1"/>
  <c r="DZ296" i="77"/>
  <c r="N296" i="70" s="1"/>
  <c r="ED296" i="77"/>
  <c r="R296" i="70" s="1"/>
  <c r="FC296" i="77"/>
  <c r="N296" i="71" s="1"/>
  <c r="FG296" i="77"/>
  <c r="R296" i="71" s="1"/>
  <c r="HI296" i="77"/>
  <c r="N296" i="73" s="1"/>
  <c r="HM296" i="77"/>
  <c r="R296" i="73" s="1"/>
  <c r="IL296" i="77"/>
  <c r="N296" i="74" s="1"/>
  <c r="IP296" i="77"/>
  <c r="R296" i="74" s="1"/>
  <c r="S296" i="39"/>
  <c r="N296" i="77"/>
  <c r="N296" i="39" s="1"/>
  <c r="Q98" i="77"/>
  <c r="BT98"/>
  <c r="BX98"/>
  <c r="DZ98"/>
  <c r="ED98"/>
  <c r="FC98"/>
  <c r="FG98"/>
  <c r="HI98"/>
  <c r="HM98"/>
  <c r="IL98"/>
  <c r="IP98"/>
  <c r="N98"/>
  <c r="Q87"/>
  <c r="Q87" i="39" s="1"/>
  <c r="BT87" i="77"/>
  <c r="N87" i="68" s="1"/>
  <c r="BX87" i="77"/>
  <c r="R87" i="68" s="1"/>
  <c r="DZ87" i="77"/>
  <c r="N87" i="70" s="1"/>
  <c r="ED87" i="77"/>
  <c r="R87" i="70" s="1"/>
  <c r="FC87" i="77"/>
  <c r="N87" i="71" s="1"/>
  <c r="FG87" i="77"/>
  <c r="R87" i="71" s="1"/>
  <c r="HI87" i="77"/>
  <c r="N87" i="73" s="1"/>
  <c r="HM87" i="77"/>
  <c r="R87" i="73" s="1"/>
  <c r="IL87" i="77"/>
  <c r="N87" i="74" s="1"/>
  <c r="IP87" i="77"/>
  <c r="R87" i="74" s="1"/>
  <c r="S87" i="39"/>
  <c r="N87" i="77"/>
  <c r="N87" i="39" s="1"/>
  <c r="Q78" i="77"/>
  <c r="BT78"/>
  <c r="BX78"/>
  <c r="DZ78"/>
  <c r="ED78"/>
  <c r="FC78"/>
  <c r="FG78"/>
  <c r="HI78"/>
  <c r="HM78"/>
  <c r="IL78"/>
  <c r="IP78"/>
  <c r="S381" i="74"/>
  <c r="S381" i="71"/>
  <c r="S377" i="69"/>
  <c r="S377" i="74"/>
  <c r="R381" i="39"/>
  <c r="S381" i="68"/>
  <c r="S381" i="72"/>
  <c r="S381" i="69"/>
  <c r="S377" i="72"/>
  <c r="Q381" i="39"/>
  <c r="N381" i="68"/>
  <c r="R381"/>
  <c r="N381" i="69"/>
  <c r="R381"/>
  <c r="N381" i="71"/>
  <c r="R381"/>
  <c r="N381" i="72"/>
  <c r="R381"/>
  <c r="N381" i="74"/>
  <c r="R381"/>
  <c r="S381" i="39"/>
  <c r="N381"/>
  <c r="R377" i="77"/>
  <c r="R377" i="39" s="1"/>
  <c r="S377" i="68"/>
  <c r="S377" i="71"/>
  <c r="Q377" i="77"/>
  <c r="Q377" i="39" s="1"/>
  <c r="BT377" i="77"/>
  <c r="N377" i="68" s="1"/>
  <c r="BX377" i="77"/>
  <c r="R377" i="68" s="1"/>
  <c r="CW377" i="77"/>
  <c r="N377" i="69" s="1"/>
  <c r="DA377" i="77"/>
  <c r="R377" i="69" s="1"/>
  <c r="FC377" i="77"/>
  <c r="N377" i="71" s="1"/>
  <c r="FG377" i="77"/>
  <c r="R377" i="71" s="1"/>
  <c r="GF377" i="77"/>
  <c r="N377" i="72" s="1"/>
  <c r="GJ377" i="77"/>
  <c r="R377" i="72" s="1"/>
  <c r="IL377" i="77"/>
  <c r="N377" i="74" s="1"/>
  <c r="IP377" i="77"/>
  <c r="R377" i="74" s="1"/>
  <c r="S377" i="39"/>
  <c r="N377" i="77"/>
  <c r="N377" i="39" s="1"/>
  <c r="R363" i="77"/>
  <c r="Q363"/>
  <c r="DZ363"/>
  <c r="ED363"/>
  <c r="FC363"/>
  <c r="FG363"/>
  <c r="GF363"/>
  <c r="GJ363"/>
  <c r="HI363"/>
  <c r="HM363"/>
  <c r="IL363"/>
  <c r="IP363"/>
  <c r="N363"/>
  <c r="AU80"/>
  <c r="FG80"/>
  <c r="R266" i="39"/>
  <c r="S157" i="65"/>
  <c r="S157" i="72"/>
  <c r="S157" i="73"/>
  <c r="S157" i="70"/>
  <c r="S157" i="71"/>
  <c r="Q266" i="39"/>
  <c r="N157" i="65"/>
  <c r="R157"/>
  <c r="N157" i="70"/>
  <c r="R157"/>
  <c r="N157" i="71"/>
  <c r="R157"/>
  <c r="N157" i="72"/>
  <c r="R157"/>
  <c r="N157" i="73"/>
  <c r="R157"/>
  <c r="S266" i="39"/>
  <c r="N266"/>
  <c r="R129"/>
  <c r="S129" i="65"/>
  <c r="S129" i="70"/>
  <c r="S129" i="72"/>
  <c r="S129" i="73"/>
  <c r="S129" i="74"/>
  <c r="Q129" i="39"/>
  <c r="N129" i="65"/>
  <c r="R129"/>
  <c r="N129" i="70"/>
  <c r="R129"/>
  <c r="N129" i="72"/>
  <c r="R129"/>
  <c r="N129" i="73"/>
  <c r="R129"/>
  <c r="N129" i="74"/>
  <c r="R129"/>
  <c r="S129" i="39"/>
  <c r="N129"/>
  <c r="R104"/>
  <c r="S104" i="65"/>
  <c r="HM255" i="77"/>
  <c r="EE80"/>
  <c r="R80"/>
  <c r="GI80"/>
  <c r="HM80"/>
  <c r="IQ80"/>
  <c r="S104" i="74"/>
  <c r="S104" i="72"/>
  <c r="S104" i="73"/>
  <c r="S104" i="70"/>
  <c r="Q104" i="39"/>
  <c r="N104" i="65"/>
  <c r="R104"/>
  <c r="N104" i="70"/>
  <c r="R104"/>
  <c r="N104" i="72"/>
  <c r="R104"/>
  <c r="N104" i="73"/>
  <c r="R104"/>
  <c r="N104" i="74"/>
  <c r="R104"/>
  <c r="S104" i="39"/>
  <c r="N104"/>
  <c r="R97" i="77"/>
  <c r="Q97"/>
  <c r="BT97"/>
  <c r="BX97"/>
  <c r="FC97"/>
  <c r="FG97"/>
  <c r="GF97"/>
  <c r="GJ97"/>
  <c r="HI97"/>
  <c r="HM97"/>
  <c r="IL97"/>
  <c r="IP97"/>
  <c r="N97"/>
  <c r="CW72"/>
  <c r="EC80"/>
  <c r="FC80"/>
  <c r="FE80" s="1"/>
  <c r="AQ80"/>
  <c r="FH80"/>
  <c r="AT80"/>
  <c r="AV80"/>
  <c r="FF80"/>
  <c r="Q80"/>
  <c r="DZ80"/>
  <c r="ED80"/>
  <c r="HL80"/>
  <c r="IL80"/>
  <c r="IP80"/>
  <c r="GK80"/>
  <c r="IO80"/>
  <c r="S80"/>
  <c r="GF80"/>
  <c r="GJ80"/>
  <c r="HN80"/>
  <c r="N80"/>
  <c r="HI80"/>
  <c r="GI72"/>
  <c r="AU44"/>
  <c r="ED50"/>
  <c r="HI72"/>
  <c r="HK72" s="1"/>
  <c r="GK45"/>
  <c r="AV72"/>
  <c r="BW72"/>
  <c r="Q72"/>
  <c r="GF73"/>
  <c r="GG73" s="1"/>
  <c r="S182" i="72"/>
  <c r="GJ204" i="77"/>
  <c r="N220"/>
  <c r="P220" s="1"/>
  <c r="FG367"/>
  <c r="GK44"/>
  <c r="GF46"/>
  <c r="GH46" s="1"/>
  <c r="HM52"/>
  <c r="FC234"/>
  <c r="AV20"/>
  <c r="AU45"/>
  <c r="HI47"/>
  <c r="HJ47" s="1"/>
  <c r="GF367"/>
  <c r="GH367" s="1"/>
  <c r="CW255"/>
  <c r="CX255" s="1"/>
  <c r="Q429"/>
  <c r="Q429" i="39" s="1"/>
  <c r="HM352" i="77"/>
  <c r="N162" i="39"/>
  <c r="S170" i="71"/>
  <c r="N255" i="77"/>
  <c r="P255" s="1"/>
  <c r="S359" i="73"/>
  <c r="IP368" i="77"/>
  <c r="BX369"/>
  <c r="R369" i="68" s="1"/>
  <c r="IL370" i="77"/>
  <c r="S373"/>
  <c r="S373" i="39" s="1"/>
  <c r="S169" i="72"/>
  <c r="GF233" i="77"/>
  <c r="N233" i="72" s="1"/>
  <c r="R427" i="77"/>
  <c r="R427" i="39" s="1"/>
  <c r="EC39" i="77"/>
  <c r="GF49"/>
  <c r="GH49" s="1"/>
  <c r="AQ53"/>
  <c r="AR53" s="1"/>
  <c r="GF437"/>
  <c r="GH437" s="1"/>
  <c r="HI444"/>
  <c r="HK444" s="1"/>
  <c r="IL444"/>
  <c r="IM444" s="1"/>
  <c r="AQ358"/>
  <c r="N358" i="65" s="1"/>
  <c r="AU367" i="77"/>
  <c r="AU368"/>
  <c r="IL249"/>
  <c r="IM249" s="1"/>
  <c r="R257"/>
  <c r="Q20"/>
  <c r="Q20" i="39" s="1"/>
  <c r="S170" i="73"/>
  <c r="S182"/>
  <c r="FC200" i="77"/>
  <c r="R205"/>
  <c r="R210" i="39" s="1"/>
  <c r="IP29" i="77"/>
  <c r="Q44"/>
  <c r="Q409"/>
  <c r="Q409" i="39" s="1"/>
  <c r="HM425" i="77"/>
  <c r="S169" i="74"/>
  <c r="BX228" i="77"/>
  <c r="R228" i="68" s="1"/>
  <c r="DA255" i="77"/>
  <c r="HI255"/>
  <c r="HJ255" s="1"/>
  <c r="FC27"/>
  <c r="FE27" s="1"/>
  <c r="AQ40"/>
  <c r="AS40" s="1"/>
  <c r="AQ44"/>
  <c r="AS44" s="1"/>
  <c r="N45"/>
  <c r="HI46"/>
  <c r="HK46" s="1"/>
  <c r="GJ49"/>
  <c r="N449"/>
  <c r="O449" s="1"/>
  <c r="O449" i="39" s="1"/>
  <c r="GF400" i="77"/>
  <c r="GH400" s="1"/>
  <c r="Q406"/>
  <c r="Q406" i="39" s="1"/>
  <c r="CZ406" i="77"/>
  <c r="DA425"/>
  <c r="HI429"/>
  <c r="HK429" s="1"/>
  <c r="HI436"/>
  <c r="HJ436" s="1"/>
  <c r="EE438"/>
  <c r="ED439"/>
  <c r="HN373"/>
  <c r="P112" i="39"/>
  <c r="GF228" i="77"/>
  <c r="HM73"/>
  <c r="S114" i="65"/>
  <c r="FC235" i="77"/>
  <c r="GF235"/>
  <c r="DB249"/>
  <c r="Q33"/>
  <c r="Q33" i="39" s="1"/>
  <c r="HL45" i="77"/>
  <c r="FF46"/>
  <c r="HM47"/>
  <c r="IL54"/>
  <c r="IM54" s="1"/>
  <c r="S55"/>
  <c r="N58"/>
  <c r="O58" s="1"/>
  <c r="O58" i="39" s="1"/>
  <c r="S63"/>
  <c r="AU63" i="77"/>
  <c r="GJ66"/>
  <c r="IQ406"/>
  <c r="Q432" i="39"/>
  <c r="FG420" i="77"/>
  <c r="N422"/>
  <c r="O422" s="1"/>
  <c r="O422" i="39" s="1"/>
  <c r="GF423" i="77"/>
  <c r="GG423" s="1"/>
  <c r="IL430"/>
  <c r="IM430" s="1"/>
  <c r="N438"/>
  <c r="O438" s="1"/>
  <c r="IQ438"/>
  <c r="S137" i="71"/>
  <c r="AQ236" i="77"/>
  <c r="DZ236"/>
  <c r="N244"/>
  <c r="O244" s="1"/>
  <c r="DZ23"/>
  <c r="EB23" s="1"/>
  <c r="CW24"/>
  <c r="CY24" s="1"/>
  <c r="HI26"/>
  <c r="HK26" s="1"/>
  <c r="GJ52"/>
  <c r="HL53"/>
  <c r="IL62"/>
  <c r="IN62" s="1"/>
  <c r="GJ63"/>
  <c r="IL63"/>
  <c r="IM63" s="1"/>
  <c r="IL67"/>
  <c r="IN67" s="1"/>
  <c r="S68"/>
  <c r="N368"/>
  <c r="P368" s="1"/>
  <c r="P368" i="39" s="1"/>
  <c r="Q368" i="77"/>
  <c r="GJ373"/>
  <c r="GF373"/>
  <c r="GH373" s="1"/>
  <c r="GF425"/>
  <c r="GG425" s="1"/>
  <c r="FC426"/>
  <c r="FD426" s="1"/>
  <c r="BT437"/>
  <c r="BU437" s="1"/>
  <c r="N439"/>
  <c r="P439" s="1"/>
  <c r="P439" i="39" s="1"/>
  <c r="BT444" i="77"/>
  <c r="BV444" s="1"/>
  <c r="N455"/>
  <c r="P455" s="1"/>
  <c r="P455" i="39" s="1"/>
  <c r="R400" i="77"/>
  <c r="R400" i="39" s="1"/>
  <c r="AT400" i="77"/>
  <c r="HM400"/>
  <c r="HL404"/>
  <c r="IL405"/>
  <c r="IM405" s="1"/>
  <c r="HL406"/>
  <c r="IO406"/>
  <c r="Q407"/>
  <c r="Q407" i="39" s="1"/>
  <c r="BX427" i="77"/>
  <c r="FF427"/>
  <c r="GF428"/>
  <c r="GH428" s="1"/>
  <c r="FC429"/>
  <c r="FE429" s="1"/>
  <c r="FH432"/>
  <c r="GF432"/>
  <c r="GG432" s="1"/>
  <c r="FC434"/>
  <c r="FE434" s="1"/>
  <c r="HM442"/>
  <c r="Q443"/>
  <c r="BX443"/>
  <c r="GF444"/>
  <c r="GG444" s="1"/>
  <c r="DZ407"/>
  <c r="EA407" s="1"/>
  <c r="R411" i="39"/>
  <c r="GJ422" i="77"/>
  <c r="N425"/>
  <c r="O425" s="1"/>
  <c r="N426"/>
  <c r="O426" s="1"/>
  <c r="O426" i="39" s="1"/>
  <c r="FC430" i="77"/>
  <c r="FE430" s="1"/>
  <c r="HM370"/>
  <c r="R370" i="73" s="1"/>
  <c r="HI370" i="77"/>
  <c r="FF400"/>
  <c r="IL404"/>
  <c r="IN404" s="1"/>
  <c r="S427"/>
  <c r="S427" i="39" s="1"/>
  <c r="FF368" i="77"/>
  <c r="BW370"/>
  <c r="Q370" i="68" s="1"/>
  <c r="S378" i="72"/>
  <c r="FG442" i="77"/>
  <c r="FC443"/>
  <c r="FE443" s="1"/>
  <c r="Q369"/>
  <c r="Q369" i="39" s="1"/>
  <c r="BY373" i="77"/>
  <c r="FF373"/>
  <c r="S378" i="68"/>
  <c r="R125" i="39"/>
  <c r="S162" i="71"/>
  <c r="Q228" i="77"/>
  <c r="Q228" i="39" s="1"/>
  <c r="IL236" i="77"/>
  <c r="N236" i="74" s="1"/>
  <c r="S238" i="71"/>
  <c r="IP249" i="77"/>
  <c r="EE20"/>
  <c r="S27"/>
  <c r="DB27"/>
  <c r="O41" i="39"/>
  <c r="FC44" i="77"/>
  <c r="FE44" s="1"/>
  <c r="GI52"/>
  <c r="EC54"/>
  <c r="IO54"/>
  <c r="CZ72"/>
  <c r="ED72"/>
  <c r="HL72"/>
  <c r="Q73"/>
  <c r="GI73"/>
  <c r="F11" i="39"/>
  <c r="F13"/>
  <c r="K16"/>
  <c r="S370" i="77"/>
  <c r="S370" i="39" s="1"/>
  <c r="R136"/>
  <c r="S114" i="74"/>
  <c r="GF234" i="77"/>
  <c r="S234" i="74"/>
  <c r="N248" i="77"/>
  <c r="P248" s="1"/>
  <c r="BW255"/>
  <c r="R256"/>
  <c r="R30"/>
  <c r="BX32"/>
  <c r="AU33"/>
  <c r="BX33"/>
  <c r="HL39"/>
  <c r="Q40"/>
  <c r="Q45"/>
  <c r="AQ45"/>
  <c r="AR45" s="1"/>
  <c r="GJ46"/>
  <c r="HL46"/>
  <c r="FH49"/>
  <c r="Q53"/>
  <c r="Q53" i="39" s="1"/>
  <c r="HL55" i="77"/>
  <c r="GI64"/>
  <c r="AV66"/>
  <c r="EC66"/>
  <c r="DA67"/>
  <c r="EC68"/>
  <c r="AT73"/>
  <c r="L11" i="39"/>
  <c r="K14"/>
  <c r="D19"/>
  <c r="GJ205" i="77"/>
  <c r="HM220"/>
  <c r="R224"/>
  <c r="H462" i="39"/>
  <c r="IO73" i="77"/>
  <c r="K11" i="39"/>
  <c r="L12"/>
  <c r="AB13"/>
  <c r="E17"/>
  <c r="S86" i="73"/>
  <c r="R124" i="39"/>
  <c r="S138" i="72"/>
  <c r="BX204" i="77"/>
  <c r="BX226"/>
  <c r="R226" i="68" s="1"/>
  <c r="HI226" i="77"/>
  <c r="HM228"/>
  <c r="R228" i="73" s="1"/>
  <c r="AQ233" i="77"/>
  <c r="Q234"/>
  <c r="Q234" i="39" s="1"/>
  <c r="HI234" i="77"/>
  <c r="DZ235"/>
  <c r="IL235"/>
  <c r="IL22"/>
  <c r="IN22" s="1"/>
  <c r="HI23"/>
  <c r="HK23" s="1"/>
  <c r="BT33"/>
  <c r="BV33" s="1"/>
  <c r="FG33"/>
  <c r="DZ39"/>
  <c r="EB39" s="1"/>
  <c r="IQ39"/>
  <c r="IL45"/>
  <c r="IN45" s="1"/>
  <c r="FC52"/>
  <c r="FD52" s="1"/>
  <c r="AU53"/>
  <c r="N54"/>
  <c r="O54" s="1"/>
  <c r="O54" i="39" s="1"/>
  <c r="AV64" i="77"/>
  <c r="HN64"/>
  <c r="BY66"/>
  <c r="BX68"/>
  <c r="G11" i="39"/>
  <c r="AB11"/>
  <c r="F15"/>
  <c r="J18"/>
  <c r="D21"/>
  <c r="H24"/>
  <c r="G27"/>
  <c r="L30"/>
  <c r="F57"/>
  <c r="E80"/>
  <c r="M143"/>
  <c r="AB191"/>
  <c r="L200"/>
  <c r="I218"/>
  <c r="K245"/>
  <c r="E389"/>
  <c r="K415"/>
  <c r="M455"/>
  <c r="G12"/>
  <c r="AB12"/>
  <c r="L13"/>
  <c r="F14"/>
  <c r="K15"/>
  <c r="E16"/>
  <c r="J17"/>
  <c r="E18"/>
  <c r="J19"/>
  <c r="D20"/>
  <c r="I21"/>
  <c r="H23"/>
  <c r="M24"/>
  <c r="H26"/>
  <c r="M27"/>
  <c r="G28"/>
  <c r="AB28"/>
  <c r="L29"/>
  <c r="F30"/>
  <c r="AB30"/>
  <c r="K31"/>
  <c r="F32"/>
  <c r="L33"/>
  <c r="M34"/>
  <c r="AB34"/>
  <c r="D38"/>
  <c r="E39"/>
  <c r="F40"/>
  <c r="H41"/>
  <c r="I42"/>
  <c r="J44"/>
  <c r="E55"/>
  <c r="I58"/>
  <c r="K60"/>
  <c r="AB72"/>
  <c r="D79"/>
  <c r="H81"/>
  <c r="J89"/>
  <c r="M91"/>
  <c r="G124"/>
  <c r="I126"/>
  <c r="L142"/>
  <c r="F195"/>
  <c r="H197"/>
  <c r="K199"/>
  <c r="AB211"/>
  <c r="E215"/>
  <c r="G217"/>
  <c r="J219"/>
  <c r="M221"/>
  <c r="D241"/>
  <c r="AB243"/>
  <c r="F353"/>
  <c r="L362"/>
  <c r="G401"/>
  <c r="E419"/>
  <c r="L431"/>
  <c r="AB437"/>
  <c r="H461"/>
  <c r="I442"/>
  <c r="M438"/>
  <c r="G434"/>
  <c r="L430"/>
  <c r="F426"/>
  <c r="L422"/>
  <c r="G417"/>
  <c r="L414"/>
  <c r="AB412"/>
  <c r="E409"/>
  <c r="M389"/>
  <c r="L388"/>
  <c r="K386"/>
  <c r="I385"/>
  <c r="H384"/>
  <c r="G376"/>
  <c r="E374"/>
  <c r="D373"/>
  <c r="M352"/>
  <c r="L257"/>
  <c r="J256"/>
  <c r="I255"/>
  <c r="H254"/>
  <c r="F253"/>
  <c r="E252"/>
  <c r="D251"/>
  <c r="AB249"/>
  <c r="K246"/>
  <c r="G244"/>
  <c r="D242"/>
  <c r="L241"/>
  <c r="I239"/>
  <c r="D221"/>
  <c r="AB218"/>
  <c r="L217"/>
  <c r="K216"/>
  <c r="J215"/>
  <c r="H214"/>
  <c r="G213"/>
  <c r="F211"/>
  <c r="AB207"/>
  <c r="M206"/>
  <c r="J205"/>
  <c r="I204"/>
  <c r="H203"/>
  <c r="F202"/>
  <c r="E201"/>
  <c r="D200"/>
  <c r="AB197"/>
  <c r="M197"/>
  <c r="L196"/>
  <c r="K195"/>
  <c r="I194"/>
  <c r="H193"/>
  <c r="G192"/>
  <c r="D191"/>
  <c r="K148"/>
  <c r="J147"/>
  <c r="I146"/>
  <c r="G145"/>
  <c r="F144"/>
  <c r="R143"/>
  <c r="E143"/>
  <c r="AB125"/>
  <c r="M125"/>
  <c r="L124"/>
  <c r="J123"/>
  <c r="I122"/>
  <c r="H121"/>
  <c r="E120"/>
  <c r="D119"/>
  <c r="AB98"/>
  <c r="L97"/>
  <c r="K96"/>
  <c r="J95"/>
  <c r="H94"/>
  <c r="G93"/>
  <c r="F92"/>
  <c r="D91"/>
  <c r="M81"/>
  <c r="K80"/>
  <c r="J79"/>
  <c r="I78"/>
  <c r="F73"/>
  <c r="E72"/>
  <c r="D71"/>
  <c r="AB68"/>
  <c r="M68"/>
  <c r="L67"/>
  <c r="K66"/>
  <c r="I65"/>
  <c r="H64"/>
  <c r="G63"/>
  <c r="E62"/>
  <c r="D61"/>
  <c r="L57"/>
  <c r="K55"/>
  <c r="J54"/>
  <c r="G53"/>
  <c r="F52"/>
  <c r="E51"/>
  <c r="AB47"/>
  <c r="M47"/>
  <c r="L46"/>
  <c r="J45"/>
  <c r="G29"/>
  <c r="AB51"/>
  <c r="M61"/>
  <c r="L90"/>
  <c r="H125"/>
  <c r="K220"/>
  <c r="E12"/>
  <c r="J13"/>
  <c r="E14"/>
  <c r="J15"/>
  <c r="D16"/>
  <c r="I17"/>
  <c r="H19"/>
  <c r="M20"/>
  <c r="H21"/>
  <c r="M22"/>
  <c r="G23"/>
  <c r="AB23"/>
  <c r="L24"/>
  <c r="F26"/>
  <c r="AB26"/>
  <c r="K27"/>
  <c r="F28"/>
  <c r="K29"/>
  <c r="E30"/>
  <c r="J31"/>
  <c r="D32"/>
  <c r="K33"/>
  <c r="L34"/>
  <c r="M36"/>
  <c r="AB37"/>
  <c r="D39"/>
  <c r="E40"/>
  <c r="F41"/>
  <c r="H42"/>
  <c r="I44"/>
  <c r="G46"/>
  <c r="I48"/>
  <c r="L50"/>
  <c r="F66"/>
  <c r="H68"/>
  <c r="K70"/>
  <c r="E95"/>
  <c r="G97"/>
  <c r="J100"/>
  <c r="AB143"/>
  <c r="D146"/>
  <c r="F148"/>
  <c r="I150"/>
  <c r="M153"/>
  <c r="E205"/>
  <c r="H207"/>
  <c r="L209"/>
  <c r="H243"/>
  <c r="D352"/>
  <c r="AB384"/>
  <c r="F400"/>
  <c r="L405"/>
  <c r="E411"/>
  <c r="J423"/>
  <c r="F443"/>
  <c r="I20"/>
  <c r="L28"/>
  <c r="AB29"/>
  <c r="E33"/>
  <c r="G36"/>
  <c r="K38"/>
  <c r="D54"/>
  <c r="K128"/>
  <c r="J198"/>
  <c r="F216"/>
  <c r="G435"/>
  <c r="I22"/>
  <c r="M26"/>
  <c r="F31"/>
  <c r="K32"/>
  <c r="F34"/>
  <c r="J37"/>
  <c r="L39"/>
  <c r="D44"/>
  <c r="J59"/>
  <c r="I82"/>
  <c r="D123"/>
  <c r="G196"/>
  <c r="H357"/>
  <c r="K404"/>
  <c r="K12"/>
  <c r="E13"/>
  <c r="J14"/>
  <c r="D15"/>
  <c r="I16"/>
  <c r="D17"/>
  <c r="I18"/>
  <c r="H20"/>
  <c r="M21"/>
  <c r="G22"/>
  <c r="L23"/>
  <c r="G24"/>
  <c r="AB24"/>
  <c r="L26"/>
  <c r="F27"/>
  <c r="K28"/>
  <c r="E29"/>
  <c r="J30"/>
  <c r="E31"/>
  <c r="J32"/>
  <c r="D33"/>
  <c r="E34"/>
  <c r="F36"/>
  <c r="G37"/>
  <c r="I38"/>
  <c r="J39"/>
  <c r="K40"/>
  <c r="E45"/>
  <c r="H47"/>
  <c r="K49"/>
  <c r="M51"/>
  <c r="D65"/>
  <c r="G67"/>
  <c r="J69"/>
  <c r="L71"/>
  <c r="AB91"/>
  <c r="F96"/>
  <c r="I98"/>
  <c r="K118"/>
  <c r="E147"/>
  <c r="H149"/>
  <c r="J151"/>
  <c r="AB201"/>
  <c r="D204"/>
  <c r="G206"/>
  <c r="I208"/>
  <c r="M210"/>
  <c r="G355"/>
  <c r="M363"/>
  <c r="J402"/>
  <c r="E427"/>
  <c r="L439"/>
  <c r="K462"/>
  <c r="G462"/>
  <c r="J461"/>
  <c r="F461"/>
  <c r="M457"/>
  <c r="I457"/>
  <c r="E457"/>
  <c r="AB455"/>
  <c r="L455"/>
  <c r="H455"/>
  <c r="D455"/>
  <c r="K449"/>
  <c r="G449"/>
  <c r="J448"/>
  <c r="F448"/>
  <c r="M444"/>
  <c r="I444"/>
  <c r="E444"/>
  <c r="AB443"/>
  <c r="L443"/>
  <c r="H443"/>
  <c r="D443"/>
  <c r="K442"/>
  <c r="G442"/>
  <c r="J441"/>
  <c r="F441"/>
  <c r="M439"/>
  <c r="I439"/>
  <c r="E439"/>
  <c r="AB438"/>
  <c r="L438"/>
  <c r="H438"/>
  <c r="D438"/>
  <c r="K437"/>
  <c r="G437"/>
  <c r="J436"/>
  <c r="F436"/>
  <c r="M435"/>
  <c r="I435"/>
  <c r="E435"/>
  <c r="AB434"/>
  <c r="L434"/>
  <c r="H434"/>
  <c r="D434"/>
  <c r="K432"/>
  <c r="G432"/>
  <c r="J431"/>
  <c r="F431"/>
  <c r="M430"/>
  <c r="I430"/>
  <c r="E430"/>
  <c r="AB429"/>
  <c r="L429"/>
  <c r="H429"/>
  <c r="D429"/>
  <c r="K428"/>
  <c r="G428"/>
  <c r="J427"/>
  <c r="F427"/>
  <c r="M426"/>
  <c r="I426"/>
  <c r="E426"/>
  <c r="AB425"/>
  <c r="L425"/>
  <c r="H425"/>
  <c r="D425"/>
  <c r="K423"/>
  <c r="G423"/>
  <c r="J422"/>
  <c r="F422"/>
  <c r="M421"/>
  <c r="I421"/>
  <c r="E421"/>
  <c r="AB420"/>
  <c r="L420"/>
  <c r="H420"/>
  <c r="D420"/>
  <c r="K419"/>
  <c r="G419"/>
  <c r="J417"/>
  <c r="F417"/>
  <c r="M416"/>
  <c r="I416"/>
  <c r="E416"/>
  <c r="AB415"/>
  <c r="L415"/>
  <c r="H415"/>
  <c r="D415"/>
  <c r="S414"/>
  <c r="K414"/>
  <c r="G414"/>
  <c r="J413"/>
  <c r="F413"/>
  <c r="M412"/>
  <c r="I412"/>
  <c r="E412"/>
  <c r="AB411"/>
  <c r="L411"/>
  <c r="H411"/>
  <c r="D411"/>
  <c r="K409"/>
  <c r="G409"/>
  <c r="J408"/>
  <c r="F408"/>
  <c r="J462"/>
  <c r="E462"/>
  <c r="K461"/>
  <c r="E461"/>
  <c r="K457"/>
  <c r="F457"/>
  <c r="K455"/>
  <c r="F455"/>
  <c r="AB449"/>
  <c r="L449"/>
  <c r="F449"/>
  <c r="AB448"/>
  <c r="L448"/>
  <c r="G448"/>
  <c r="AB444"/>
  <c r="L444"/>
  <c r="G444"/>
  <c r="M443"/>
  <c r="G443"/>
  <c r="M442"/>
  <c r="H442"/>
  <c r="M441"/>
  <c r="H441"/>
  <c r="H439"/>
  <c r="S438"/>
  <c r="I438"/>
  <c r="I437"/>
  <c r="D437"/>
  <c r="I436"/>
  <c r="D436"/>
  <c r="J435"/>
  <c r="D435"/>
  <c r="J434"/>
  <c r="E434"/>
  <c r="J432"/>
  <c r="E432"/>
  <c r="K431"/>
  <c r="E431"/>
  <c r="K430"/>
  <c r="F430"/>
  <c r="K429"/>
  <c r="F429"/>
  <c r="AB428"/>
  <c r="L428"/>
  <c r="F428"/>
  <c r="AB427"/>
  <c r="L427"/>
  <c r="G427"/>
  <c r="AB426"/>
  <c r="L426"/>
  <c r="G426"/>
  <c r="M425"/>
  <c r="G425"/>
  <c r="M423"/>
  <c r="H423"/>
  <c r="M422"/>
  <c r="H422"/>
  <c r="H421"/>
  <c r="I420"/>
  <c r="I419"/>
  <c r="D419"/>
  <c r="I417"/>
  <c r="D417"/>
  <c r="J416"/>
  <c r="D416"/>
  <c r="J415"/>
  <c r="E415"/>
  <c r="J414"/>
  <c r="E414"/>
  <c r="K413"/>
  <c r="E413"/>
  <c r="K412"/>
  <c r="F412"/>
  <c r="K411"/>
  <c r="F411"/>
  <c r="AB409"/>
  <c r="L409"/>
  <c r="F409"/>
  <c r="AB408"/>
  <c r="L408"/>
  <c r="G408"/>
  <c r="M407"/>
  <c r="I407"/>
  <c r="E407"/>
  <c r="AB406"/>
  <c r="L406"/>
  <c r="H406"/>
  <c r="D406"/>
  <c r="K405"/>
  <c r="G405"/>
  <c r="J404"/>
  <c r="F404"/>
  <c r="M402"/>
  <c r="I402"/>
  <c r="E402"/>
  <c r="AB401"/>
  <c r="L401"/>
  <c r="H401"/>
  <c r="D401"/>
  <c r="K400"/>
  <c r="G400"/>
  <c r="J389"/>
  <c r="F389"/>
  <c r="M388"/>
  <c r="I388"/>
  <c r="E388"/>
  <c r="AB386"/>
  <c r="L386"/>
  <c r="H386"/>
  <c r="D386"/>
  <c r="K385"/>
  <c r="G385"/>
  <c r="J384"/>
  <c r="F384"/>
  <c r="M376"/>
  <c r="I376"/>
  <c r="E376"/>
  <c r="AB374"/>
  <c r="L374"/>
  <c r="H374"/>
  <c r="D374"/>
  <c r="K373"/>
  <c r="G373"/>
  <c r="J372"/>
  <c r="F372"/>
  <c r="M371"/>
  <c r="I371"/>
  <c r="E371"/>
  <c r="AB368"/>
  <c r="L368"/>
  <c r="H368"/>
  <c r="D368"/>
  <c r="K367"/>
  <c r="G367"/>
  <c r="J365"/>
  <c r="F365"/>
  <c r="M364"/>
  <c r="I364"/>
  <c r="E364"/>
  <c r="AB363"/>
  <c r="L363"/>
  <c r="H363"/>
  <c r="D363"/>
  <c r="K362"/>
  <c r="G362"/>
  <c r="M357"/>
  <c r="I357"/>
  <c r="E357"/>
  <c r="AB355"/>
  <c r="L355"/>
  <c r="H355"/>
  <c r="D355"/>
  <c r="K353"/>
  <c r="G353"/>
  <c r="J352"/>
  <c r="F352"/>
  <c r="M257"/>
  <c r="I257"/>
  <c r="E257"/>
  <c r="AB256"/>
  <c r="L256"/>
  <c r="H256"/>
  <c r="D256"/>
  <c r="K255"/>
  <c r="G255"/>
  <c r="J254"/>
  <c r="F254"/>
  <c r="M253"/>
  <c r="I253"/>
  <c r="E253"/>
  <c r="AB252"/>
  <c r="L252"/>
  <c r="H252"/>
  <c r="D252"/>
  <c r="K251"/>
  <c r="G251"/>
  <c r="J250"/>
  <c r="F250"/>
  <c r="M249"/>
  <c r="I249"/>
  <c r="E249"/>
  <c r="AB248"/>
  <c r="L248"/>
  <c r="H248"/>
  <c r="D248"/>
  <c r="K247"/>
  <c r="G247"/>
  <c r="J246"/>
  <c r="F246"/>
  <c r="M245"/>
  <c r="I245"/>
  <c r="E245"/>
  <c r="AB244"/>
  <c r="L244"/>
  <c r="H244"/>
  <c r="D244"/>
  <c r="K243"/>
  <c r="G243"/>
  <c r="J242"/>
  <c r="F242"/>
  <c r="M241"/>
  <c r="I241"/>
  <c r="E241"/>
  <c r="AB240"/>
  <c r="L240"/>
  <c r="H240"/>
  <c r="D240"/>
  <c r="K239"/>
  <c r="G239"/>
  <c r="L462"/>
  <c r="D462"/>
  <c r="I461"/>
  <c r="H457"/>
  <c r="G455"/>
  <c r="M449"/>
  <c r="E449"/>
  <c r="K448"/>
  <c r="D448"/>
  <c r="J444"/>
  <c r="I443"/>
  <c r="AB442"/>
  <c r="F442"/>
  <c r="L441"/>
  <c r="E441"/>
  <c r="K439"/>
  <c r="D439"/>
  <c r="J438"/>
  <c r="H437"/>
  <c r="AB436"/>
  <c r="M436"/>
  <c r="G436"/>
  <c r="L435"/>
  <c r="F435"/>
  <c r="K434"/>
  <c r="I432"/>
  <c r="H431"/>
  <c r="AB430"/>
  <c r="G430"/>
  <c r="M429"/>
  <c r="E429"/>
  <c r="J428"/>
  <c r="D428"/>
  <c r="I427"/>
  <c r="H426"/>
  <c r="F425"/>
  <c r="L423"/>
  <c r="E423"/>
  <c r="K422"/>
  <c r="D422"/>
  <c r="J421"/>
  <c r="G420"/>
  <c r="AB419"/>
  <c r="M419"/>
  <c r="F419"/>
  <c r="L417"/>
  <c r="E417"/>
  <c r="K416"/>
  <c r="I415"/>
  <c r="H414"/>
  <c r="AB413"/>
  <c r="M413"/>
  <c r="G413"/>
  <c r="L412"/>
  <c r="D412"/>
  <c r="J411"/>
  <c r="I409"/>
  <c r="H408"/>
  <c r="AB407"/>
  <c r="L407"/>
  <c r="G407"/>
  <c r="M406"/>
  <c r="G406"/>
  <c r="M405"/>
  <c r="H405"/>
  <c r="M404"/>
  <c r="H404"/>
  <c r="H402"/>
  <c r="I401"/>
  <c r="I400"/>
  <c r="D400"/>
  <c r="I389"/>
  <c r="D389"/>
  <c r="J388"/>
  <c r="D388"/>
  <c r="J386"/>
  <c r="E386"/>
  <c r="J385"/>
  <c r="E385"/>
  <c r="K384"/>
  <c r="E384"/>
  <c r="K376"/>
  <c r="F376"/>
  <c r="K374"/>
  <c r="F374"/>
  <c r="AB373"/>
  <c r="L373"/>
  <c r="F373"/>
  <c r="AB372"/>
  <c r="L372"/>
  <c r="G372"/>
  <c r="AB371"/>
  <c r="L371"/>
  <c r="G371"/>
  <c r="M368"/>
  <c r="G368"/>
  <c r="M367"/>
  <c r="H367"/>
  <c r="M365"/>
  <c r="H365"/>
  <c r="H364"/>
  <c r="I363"/>
  <c r="I362"/>
  <c r="D362"/>
  <c r="J357"/>
  <c r="D357"/>
  <c r="J355"/>
  <c r="E355"/>
  <c r="J353"/>
  <c r="E353"/>
  <c r="K352"/>
  <c r="E352"/>
  <c r="K257"/>
  <c r="F257"/>
  <c r="K256"/>
  <c r="F256"/>
  <c r="AB255"/>
  <c r="L255"/>
  <c r="F255"/>
  <c r="AB254"/>
  <c r="L254"/>
  <c r="G254"/>
  <c r="AB253"/>
  <c r="L253"/>
  <c r="G253"/>
  <c r="M252"/>
  <c r="G252"/>
  <c r="M251"/>
  <c r="H251"/>
  <c r="M250"/>
  <c r="H250"/>
  <c r="H249"/>
  <c r="I248"/>
  <c r="I247"/>
  <c r="D247"/>
  <c r="I246"/>
  <c r="D246"/>
  <c r="J245"/>
  <c r="D245"/>
  <c r="J244"/>
  <c r="E244"/>
  <c r="J243"/>
  <c r="E243"/>
  <c r="K242"/>
  <c r="E242"/>
  <c r="K241"/>
  <c r="F241"/>
  <c r="Q240"/>
  <c r="K240"/>
  <c r="F240"/>
  <c r="AB239"/>
  <c r="L239"/>
  <c r="F239"/>
  <c r="AB221"/>
  <c r="J221"/>
  <c r="F221"/>
  <c r="M220"/>
  <c r="I220"/>
  <c r="E220"/>
  <c r="AB219"/>
  <c r="L219"/>
  <c r="H219"/>
  <c r="D219"/>
  <c r="K218"/>
  <c r="G218"/>
  <c r="J217"/>
  <c r="F217"/>
  <c r="M216"/>
  <c r="I216"/>
  <c r="E216"/>
  <c r="AB215"/>
  <c r="L215"/>
  <c r="H215"/>
  <c r="D215"/>
  <c r="K214"/>
  <c r="G214"/>
  <c r="J213"/>
  <c r="F213"/>
  <c r="M211"/>
  <c r="I211"/>
  <c r="E211"/>
  <c r="AB210"/>
  <c r="L210"/>
  <c r="H210"/>
  <c r="D210"/>
  <c r="K209"/>
  <c r="G209"/>
  <c r="J208"/>
  <c r="F208"/>
  <c r="M207"/>
  <c r="I207"/>
  <c r="E207"/>
  <c r="AB206"/>
  <c r="L206"/>
  <c r="H206"/>
  <c r="D206"/>
  <c r="K205"/>
  <c r="G205"/>
  <c r="J204"/>
  <c r="F204"/>
  <c r="M203"/>
  <c r="I203"/>
  <c r="E203"/>
  <c r="AB202"/>
  <c r="L202"/>
  <c r="H202"/>
  <c r="D202"/>
  <c r="K201"/>
  <c r="G201"/>
  <c r="J200"/>
  <c r="F200"/>
  <c r="M199"/>
  <c r="I199"/>
  <c r="E199"/>
  <c r="AB198"/>
  <c r="L198"/>
  <c r="H198"/>
  <c r="D198"/>
  <c r="K197"/>
  <c r="G197"/>
  <c r="J196"/>
  <c r="F196"/>
  <c r="M195"/>
  <c r="I195"/>
  <c r="E195"/>
  <c r="AB194"/>
  <c r="L194"/>
  <c r="H194"/>
  <c r="D194"/>
  <c r="K193"/>
  <c r="G193"/>
  <c r="N192"/>
  <c r="J192"/>
  <c r="F192"/>
  <c r="M191"/>
  <c r="I191"/>
  <c r="E191"/>
  <c r="AB153"/>
  <c r="L153"/>
  <c r="H153"/>
  <c r="D153"/>
  <c r="K151"/>
  <c r="G151"/>
  <c r="J150"/>
  <c r="F150"/>
  <c r="M149"/>
  <c r="I149"/>
  <c r="E149"/>
  <c r="AB148"/>
  <c r="L148"/>
  <c r="H148"/>
  <c r="D148"/>
  <c r="K147"/>
  <c r="G147"/>
  <c r="N146"/>
  <c r="J146"/>
  <c r="F146"/>
  <c r="M145"/>
  <c r="I145"/>
  <c r="E145"/>
  <c r="AB144"/>
  <c r="L144"/>
  <c r="H144"/>
  <c r="D144"/>
  <c r="K143"/>
  <c r="G143"/>
  <c r="N142"/>
  <c r="J142"/>
  <c r="F142"/>
  <c r="M128"/>
  <c r="I128"/>
  <c r="E128"/>
  <c r="AB126"/>
  <c r="L126"/>
  <c r="H126"/>
  <c r="D126"/>
  <c r="K125"/>
  <c r="G125"/>
  <c r="J124"/>
  <c r="F124"/>
  <c r="M123"/>
  <c r="I123"/>
  <c r="E123"/>
  <c r="AB122"/>
  <c r="L122"/>
  <c r="H122"/>
  <c r="D122"/>
  <c r="K121"/>
  <c r="G121"/>
  <c r="N120"/>
  <c r="J120"/>
  <c r="F120"/>
  <c r="M119"/>
  <c r="I119"/>
  <c r="E119"/>
  <c r="AB118"/>
  <c r="L118"/>
  <c r="H118"/>
  <c r="D118"/>
  <c r="K100"/>
  <c r="G100"/>
  <c r="J98"/>
  <c r="F98"/>
  <c r="M97"/>
  <c r="I97"/>
  <c r="E97"/>
  <c r="AB96"/>
  <c r="L96"/>
  <c r="H96"/>
  <c r="D96"/>
  <c r="K95"/>
  <c r="G95"/>
  <c r="J94"/>
  <c r="F94"/>
  <c r="M93"/>
  <c r="I93"/>
  <c r="E93"/>
  <c r="AB92"/>
  <c r="L92"/>
  <c r="H92"/>
  <c r="D92"/>
  <c r="K91"/>
  <c r="G91"/>
  <c r="J90"/>
  <c r="F90"/>
  <c r="M89"/>
  <c r="I89"/>
  <c r="E89"/>
  <c r="AB82"/>
  <c r="L82"/>
  <c r="H82"/>
  <c r="D82"/>
  <c r="K81"/>
  <c r="G81"/>
  <c r="J80"/>
  <c r="F80"/>
  <c r="M79"/>
  <c r="I79"/>
  <c r="E79"/>
  <c r="AB78"/>
  <c r="L78"/>
  <c r="H78"/>
  <c r="D78"/>
  <c r="K73"/>
  <c r="G73"/>
  <c r="J72"/>
  <c r="F72"/>
  <c r="M71"/>
  <c r="I71"/>
  <c r="E71"/>
  <c r="AB70"/>
  <c r="L70"/>
  <c r="H70"/>
  <c r="D70"/>
  <c r="K69"/>
  <c r="G69"/>
  <c r="J68"/>
  <c r="F68"/>
  <c r="M67"/>
  <c r="I67"/>
  <c r="E67"/>
  <c r="AB66"/>
  <c r="L66"/>
  <c r="H66"/>
  <c r="D66"/>
  <c r="K65"/>
  <c r="G65"/>
  <c r="J64"/>
  <c r="F64"/>
  <c r="M63"/>
  <c r="I63"/>
  <c r="E63"/>
  <c r="AB62"/>
  <c r="L62"/>
  <c r="H62"/>
  <c r="D62"/>
  <c r="K61"/>
  <c r="G61"/>
  <c r="J60"/>
  <c r="F60"/>
  <c r="M59"/>
  <c r="I59"/>
  <c r="E59"/>
  <c r="AB58"/>
  <c r="L58"/>
  <c r="H58"/>
  <c r="D58"/>
  <c r="K57"/>
  <c r="G57"/>
  <c r="J55"/>
  <c r="F55"/>
  <c r="M54"/>
  <c r="I54"/>
  <c r="E54"/>
  <c r="AB53"/>
  <c r="L53"/>
  <c r="H53"/>
  <c r="D53"/>
  <c r="K52"/>
  <c r="G52"/>
  <c r="J51"/>
  <c r="F51"/>
  <c r="M50"/>
  <c r="I50"/>
  <c r="E50"/>
  <c r="AB49"/>
  <c r="L49"/>
  <c r="H49"/>
  <c r="D49"/>
  <c r="K48"/>
  <c r="G48"/>
  <c r="J47"/>
  <c r="F47"/>
  <c r="M46"/>
  <c r="I46"/>
  <c r="E46"/>
  <c r="AB45"/>
  <c r="L45"/>
  <c r="H45"/>
  <c r="D45"/>
  <c r="F462"/>
  <c r="M461"/>
  <c r="D461"/>
  <c r="L457"/>
  <c r="J455"/>
  <c r="I449"/>
  <c r="H448"/>
  <c r="F444"/>
  <c r="E443"/>
  <c r="L442"/>
  <c r="D442"/>
  <c r="K441"/>
  <c r="AB439"/>
  <c r="J439"/>
  <c r="G438"/>
  <c r="F437"/>
  <c r="E436"/>
  <c r="M434"/>
  <c r="L432"/>
  <c r="AB431"/>
  <c r="I431"/>
  <c r="H430"/>
  <c r="G429"/>
  <c r="E428"/>
  <c r="M427"/>
  <c r="D427"/>
  <c r="K426"/>
  <c r="J425"/>
  <c r="AB423"/>
  <c r="I423"/>
  <c r="G422"/>
  <c r="F421"/>
  <c r="M420"/>
  <c r="E420"/>
  <c r="L419"/>
  <c r="K417"/>
  <c r="AB416"/>
  <c r="H416"/>
  <c r="G415"/>
  <c r="F414"/>
  <c r="D413"/>
  <c r="M411"/>
  <c r="J409"/>
  <c r="I408"/>
  <c r="F407"/>
  <c r="K406"/>
  <c r="E406"/>
  <c r="J405"/>
  <c r="D405"/>
  <c r="I404"/>
  <c r="AB402"/>
  <c r="G402"/>
  <c r="M401"/>
  <c r="F401"/>
  <c r="L400"/>
  <c r="E400"/>
  <c r="K389"/>
  <c r="H388"/>
  <c r="G386"/>
  <c r="AB385"/>
  <c r="M385"/>
  <c r="F385"/>
  <c r="L384"/>
  <c r="D384"/>
  <c r="J376"/>
  <c r="I374"/>
  <c r="H373"/>
  <c r="M372"/>
  <c r="E372"/>
  <c r="K371"/>
  <c r="D371"/>
  <c r="Q368"/>
  <c r="J368"/>
  <c r="I367"/>
  <c r="AB365"/>
  <c r="G365"/>
  <c r="L364"/>
  <c r="F364"/>
  <c r="K363"/>
  <c r="E363"/>
  <c r="J362"/>
  <c r="AB357"/>
  <c r="G357"/>
  <c r="M355"/>
  <c r="F355"/>
  <c r="L353"/>
  <c r="D353"/>
  <c r="I352"/>
  <c r="H257"/>
  <c r="G256"/>
  <c r="M255"/>
  <c r="E255"/>
  <c r="K254"/>
  <c r="D254"/>
  <c r="J253"/>
  <c r="I252"/>
  <c r="AB251"/>
  <c r="F251"/>
  <c r="L250"/>
  <c r="E250"/>
  <c r="K249"/>
  <c r="D249"/>
  <c r="J248"/>
  <c r="H247"/>
  <c r="AB246"/>
  <c r="M246"/>
  <c r="G246"/>
  <c r="L245"/>
  <c r="F245"/>
  <c r="K244"/>
  <c r="I243"/>
  <c r="H242"/>
  <c r="AB241"/>
  <c r="G241"/>
  <c r="M240"/>
  <c r="E240"/>
  <c r="J239"/>
  <c r="D239"/>
  <c r="L221"/>
  <c r="G221"/>
  <c r="AB220"/>
  <c r="L220"/>
  <c r="G220"/>
  <c r="M219"/>
  <c r="G219"/>
  <c r="M218"/>
  <c r="H218"/>
  <c r="M217"/>
  <c r="H217"/>
  <c r="H216"/>
  <c r="I215"/>
  <c r="I214"/>
  <c r="D214"/>
  <c r="I213"/>
  <c r="D213"/>
  <c r="J211"/>
  <c r="D211"/>
  <c r="J210"/>
  <c r="E210"/>
  <c r="J209"/>
  <c r="E209"/>
  <c r="K208"/>
  <c r="E208"/>
  <c r="K207"/>
  <c r="F207"/>
  <c r="K206"/>
  <c r="F206"/>
  <c r="AB205"/>
  <c r="L205"/>
  <c r="F205"/>
  <c r="AB204"/>
  <c r="L204"/>
  <c r="G204"/>
  <c r="AB203"/>
  <c r="L203"/>
  <c r="G203"/>
  <c r="M202"/>
  <c r="G202"/>
  <c r="M201"/>
  <c r="H201"/>
  <c r="M200"/>
  <c r="H200"/>
  <c r="H199"/>
  <c r="I198"/>
  <c r="I197"/>
  <c r="D197"/>
  <c r="I196"/>
  <c r="D196"/>
  <c r="J195"/>
  <c r="D195"/>
  <c r="J194"/>
  <c r="E194"/>
  <c r="J193"/>
  <c r="E193"/>
  <c r="K192"/>
  <c r="E192"/>
  <c r="K191"/>
  <c r="F191"/>
  <c r="K153"/>
  <c r="F153"/>
  <c r="AB151"/>
  <c r="L151"/>
  <c r="F151"/>
  <c r="AB150"/>
  <c r="L150"/>
  <c r="G150"/>
  <c r="AB149"/>
  <c r="L149"/>
  <c r="G149"/>
  <c r="M148"/>
  <c r="G148"/>
  <c r="M147"/>
  <c r="H147"/>
  <c r="M146"/>
  <c r="H146"/>
  <c r="H145"/>
  <c r="I144"/>
  <c r="I143"/>
  <c r="D143"/>
  <c r="I142"/>
  <c r="D142"/>
  <c r="J128"/>
  <c r="D128"/>
  <c r="J126"/>
  <c r="E126"/>
  <c r="J125"/>
  <c r="E125"/>
  <c r="K124"/>
  <c r="E124"/>
  <c r="K123"/>
  <c r="F123"/>
  <c r="K122"/>
  <c r="F122"/>
  <c r="AB121"/>
  <c r="L121"/>
  <c r="F121"/>
  <c r="AB120"/>
  <c r="L120"/>
  <c r="G120"/>
  <c r="AB119"/>
  <c r="R119"/>
  <c r="L119"/>
  <c r="G119"/>
  <c r="M118"/>
  <c r="G118"/>
  <c r="M100"/>
  <c r="H100"/>
  <c r="M98"/>
  <c r="H98"/>
  <c r="H97"/>
  <c r="I96"/>
  <c r="I95"/>
  <c r="D95"/>
  <c r="I94"/>
  <c r="D94"/>
  <c r="J93"/>
  <c r="D93"/>
  <c r="J92"/>
  <c r="E92"/>
  <c r="J91"/>
  <c r="E91"/>
  <c r="K90"/>
  <c r="E90"/>
  <c r="K89"/>
  <c r="F89"/>
  <c r="K82"/>
  <c r="F82"/>
  <c r="AB81"/>
  <c r="L81"/>
  <c r="F81"/>
  <c r="AB80"/>
  <c r="L80"/>
  <c r="G80"/>
  <c r="AB79"/>
  <c r="L79"/>
  <c r="G79"/>
  <c r="M78"/>
  <c r="G78"/>
  <c r="M73"/>
  <c r="H73"/>
  <c r="M72"/>
  <c r="H72"/>
  <c r="H71"/>
  <c r="I70"/>
  <c r="I69"/>
  <c r="D69"/>
  <c r="I68"/>
  <c r="D68"/>
  <c r="J67"/>
  <c r="D67"/>
  <c r="J66"/>
  <c r="E66"/>
  <c r="J65"/>
  <c r="E65"/>
  <c r="K64"/>
  <c r="E64"/>
  <c r="K63"/>
  <c r="F63"/>
  <c r="K62"/>
  <c r="F62"/>
  <c r="AB61"/>
  <c r="L61"/>
  <c r="F61"/>
  <c r="AB60"/>
  <c r="L60"/>
  <c r="G60"/>
  <c r="AB59"/>
  <c r="L59"/>
  <c r="G59"/>
  <c r="M58"/>
  <c r="G58"/>
  <c r="M57"/>
  <c r="H57"/>
  <c r="S55"/>
  <c r="M55"/>
  <c r="H55"/>
  <c r="H54"/>
  <c r="I53"/>
  <c r="I52"/>
  <c r="D52"/>
  <c r="I51"/>
  <c r="D51"/>
  <c r="J50"/>
  <c r="D50"/>
  <c r="J49"/>
  <c r="E49"/>
  <c r="J48"/>
  <c r="E48"/>
  <c r="K47"/>
  <c r="E47"/>
  <c r="K46"/>
  <c r="F46"/>
  <c r="Q45"/>
  <c r="K45"/>
  <c r="F45"/>
  <c r="AB44"/>
  <c r="K44"/>
  <c r="G44"/>
  <c r="J42"/>
  <c r="F42"/>
  <c r="M41"/>
  <c r="I41"/>
  <c r="E41"/>
  <c r="AB40"/>
  <c r="L40"/>
  <c r="H40"/>
  <c r="D40"/>
  <c r="K39"/>
  <c r="G39"/>
  <c r="J38"/>
  <c r="F38"/>
  <c r="M37"/>
  <c r="I37"/>
  <c r="E37"/>
  <c r="AB36"/>
  <c r="L36"/>
  <c r="H36"/>
  <c r="D36"/>
  <c r="K34"/>
  <c r="G34"/>
  <c r="J33"/>
  <c r="F33"/>
  <c r="M32"/>
  <c r="I32"/>
  <c r="E32"/>
  <c r="AB31"/>
  <c r="L31"/>
  <c r="H31"/>
  <c r="D31"/>
  <c r="K30"/>
  <c r="G30"/>
  <c r="J29"/>
  <c r="F29"/>
  <c r="M28"/>
  <c r="I28"/>
  <c r="E28"/>
  <c r="AB27"/>
  <c r="L27"/>
  <c r="H27"/>
  <c r="D27"/>
  <c r="K26"/>
  <c r="G26"/>
  <c r="J24"/>
  <c r="F24"/>
  <c r="M23"/>
  <c r="I23"/>
  <c r="E23"/>
  <c r="AB22"/>
  <c r="L22"/>
  <c r="H22"/>
  <c r="D22"/>
  <c r="K21"/>
  <c r="G21"/>
  <c r="J20"/>
  <c r="F20"/>
  <c r="M19"/>
  <c r="I19"/>
  <c r="E19"/>
  <c r="AB18"/>
  <c r="L18"/>
  <c r="H18"/>
  <c r="D18"/>
  <c r="K17"/>
  <c r="G17"/>
  <c r="J16"/>
  <c r="F16"/>
  <c r="M15"/>
  <c r="I15"/>
  <c r="E15"/>
  <c r="AB14"/>
  <c r="L14"/>
  <c r="H14"/>
  <c r="D14"/>
  <c r="K13"/>
  <c r="G13"/>
  <c r="J12"/>
  <c r="F12"/>
  <c r="M11"/>
  <c r="I11"/>
  <c r="E11"/>
  <c r="M462"/>
  <c r="L461"/>
  <c r="AB457"/>
  <c r="J457"/>
  <c r="I455"/>
  <c r="H449"/>
  <c r="E448"/>
  <c r="D444"/>
  <c r="K443"/>
  <c r="J442"/>
  <c r="AB441"/>
  <c r="I441"/>
  <c r="G439"/>
  <c r="F438"/>
  <c r="M437"/>
  <c r="E437"/>
  <c r="L436"/>
  <c r="K435"/>
  <c r="I434"/>
  <c r="AB432"/>
  <c r="H432"/>
  <c r="G431"/>
  <c r="D430"/>
  <c r="M428"/>
  <c r="K427"/>
  <c r="J426"/>
  <c r="I425"/>
  <c r="F423"/>
  <c r="E422"/>
  <c r="L421"/>
  <c r="D421"/>
  <c r="K420"/>
  <c r="J419"/>
  <c r="AB417"/>
  <c r="Q417"/>
  <c r="H417"/>
  <c r="G416"/>
  <c r="F415"/>
  <c r="M414"/>
  <c r="D414"/>
  <c r="L413"/>
  <c r="J412"/>
  <c r="I411"/>
  <c r="H409"/>
  <c r="E408"/>
  <c r="K407"/>
  <c r="D407"/>
  <c r="J406"/>
  <c r="I405"/>
  <c r="AB404"/>
  <c r="G404"/>
  <c r="L402"/>
  <c r="F402"/>
  <c r="K401"/>
  <c r="E401"/>
  <c r="J400"/>
  <c r="H389"/>
  <c r="AB388"/>
  <c r="G388"/>
  <c r="M386"/>
  <c r="F386"/>
  <c r="L385"/>
  <c r="D385"/>
  <c r="I384"/>
  <c r="H376"/>
  <c r="G374"/>
  <c r="M373"/>
  <c r="E373"/>
  <c r="S372"/>
  <c r="K372"/>
  <c r="D372"/>
  <c r="J371"/>
  <c r="I368"/>
  <c r="AB367"/>
  <c r="F367"/>
  <c r="L365"/>
  <c r="E365"/>
  <c r="K364"/>
  <c r="D364"/>
  <c r="J363"/>
  <c r="H362"/>
  <c r="L357"/>
  <c r="F357"/>
  <c r="K355"/>
  <c r="I353"/>
  <c r="H352"/>
  <c r="AB257"/>
  <c r="G257"/>
  <c r="M256"/>
  <c r="E256"/>
  <c r="J255"/>
  <c r="D255"/>
  <c r="I254"/>
  <c r="H253"/>
  <c r="F252"/>
  <c r="L251"/>
  <c r="E251"/>
  <c r="K250"/>
  <c r="D250"/>
  <c r="J249"/>
  <c r="G248"/>
  <c r="AB247"/>
  <c r="M247"/>
  <c r="G461"/>
  <c r="J449"/>
  <c r="H444"/>
  <c r="Q443"/>
  <c r="E442"/>
  <c r="K438"/>
  <c r="H436"/>
  <c r="F434"/>
  <c r="M432"/>
  <c r="J430"/>
  <c r="H428"/>
  <c r="D426"/>
  <c r="K425"/>
  <c r="AB422"/>
  <c r="I422"/>
  <c r="F420"/>
  <c r="L416"/>
  <c r="AB414"/>
  <c r="I414"/>
  <c r="G412"/>
  <c r="D409"/>
  <c r="K408"/>
  <c r="H407"/>
  <c r="F406"/>
  <c r="E405"/>
  <c r="D404"/>
  <c r="AB400"/>
  <c r="M400"/>
  <c r="L389"/>
  <c r="K388"/>
  <c r="I386"/>
  <c r="H385"/>
  <c r="G384"/>
  <c r="D376"/>
  <c r="K368"/>
  <c r="J367"/>
  <c r="I365"/>
  <c r="G364"/>
  <c r="F363"/>
  <c r="E362"/>
  <c r="AB353"/>
  <c r="M353"/>
  <c r="L352"/>
  <c r="J257"/>
  <c r="I256"/>
  <c r="H255"/>
  <c r="E254"/>
  <c r="D253"/>
  <c r="AB250"/>
  <c r="L249"/>
  <c r="K248"/>
  <c r="J247"/>
  <c r="H246"/>
  <c r="G245"/>
  <c r="F244"/>
  <c r="M243"/>
  <c r="D243"/>
  <c r="L242"/>
  <c r="J241"/>
  <c r="I240"/>
  <c r="H239"/>
  <c r="I221"/>
  <c r="H220"/>
  <c r="F219"/>
  <c r="L218"/>
  <c r="E218"/>
  <c r="K217"/>
  <c r="D217"/>
  <c r="J216"/>
  <c r="G215"/>
  <c r="AB214"/>
  <c r="M214"/>
  <c r="F214"/>
  <c r="L213"/>
  <c r="E213"/>
  <c r="K211"/>
  <c r="I210"/>
  <c r="H209"/>
  <c r="AB208"/>
  <c r="M208"/>
  <c r="G208"/>
  <c r="L207"/>
  <c r="D207"/>
  <c r="J206"/>
  <c r="I205"/>
  <c r="H204"/>
  <c r="F203"/>
  <c r="K202"/>
  <c r="E202"/>
  <c r="J201"/>
  <c r="D201"/>
  <c r="I200"/>
  <c r="AB199"/>
  <c r="G199"/>
  <c r="M198"/>
  <c r="F198"/>
  <c r="L197"/>
  <c r="E197"/>
  <c r="K196"/>
  <c r="H195"/>
  <c r="G194"/>
  <c r="AB193"/>
  <c r="M193"/>
  <c r="F193"/>
  <c r="L192"/>
  <c r="D192"/>
  <c r="J191"/>
  <c r="I153"/>
  <c r="H151"/>
  <c r="M150"/>
  <c r="E150"/>
  <c r="K149"/>
  <c r="D149"/>
  <c r="J148"/>
  <c r="I147"/>
  <c r="AB146"/>
  <c r="G146"/>
  <c r="L145"/>
  <c r="F145"/>
  <c r="K144"/>
  <c r="E144"/>
  <c r="J143"/>
  <c r="H142"/>
  <c r="AB128"/>
  <c r="G128"/>
  <c r="M126"/>
  <c r="F126"/>
  <c r="L125"/>
  <c r="D125"/>
  <c r="I124"/>
  <c r="H123"/>
  <c r="G122"/>
  <c r="M121"/>
  <c r="E121"/>
  <c r="K120"/>
  <c r="D120"/>
  <c r="J119"/>
  <c r="I118"/>
  <c r="AB100"/>
  <c r="F100"/>
  <c r="L98"/>
  <c r="E98"/>
  <c r="K97"/>
  <c r="D97"/>
  <c r="J96"/>
  <c r="H95"/>
  <c r="AB94"/>
  <c r="M94"/>
  <c r="G94"/>
  <c r="L93"/>
  <c r="F93"/>
  <c r="K92"/>
  <c r="I91"/>
  <c r="H90"/>
  <c r="AB89"/>
  <c r="G89"/>
  <c r="M82"/>
  <c r="E82"/>
  <c r="J81"/>
  <c r="D81"/>
  <c r="I80"/>
  <c r="H79"/>
  <c r="F78"/>
  <c r="L73"/>
  <c r="E73"/>
  <c r="Q72"/>
  <c r="K72"/>
  <c r="D72"/>
  <c r="J71"/>
  <c r="G70"/>
  <c r="AB69"/>
  <c r="M69"/>
  <c r="F69"/>
  <c r="S68"/>
  <c r="L68"/>
  <c r="E68"/>
  <c r="K67"/>
  <c r="I66"/>
  <c r="H65"/>
  <c r="AB64"/>
  <c r="M64"/>
  <c r="G64"/>
  <c r="L63"/>
  <c r="D63"/>
  <c r="J62"/>
  <c r="I61"/>
  <c r="H60"/>
  <c r="F59"/>
  <c r="K58"/>
  <c r="E58"/>
  <c r="J57"/>
  <c r="D57"/>
  <c r="I55"/>
  <c r="AB54"/>
  <c r="G54"/>
  <c r="M53"/>
  <c r="F53"/>
  <c r="L52"/>
  <c r="E52"/>
  <c r="Q51"/>
  <c r="K51"/>
  <c r="H50"/>
  <c r="G49"/>
  <c r="AB48"/>
  <c r="M48"/>
  <c r="F48"/>
  <c r="L47"/>
  <c r="D47"/>
  <c r="J46"/>
  <c r="I45"/>
  <c r="Q44"/>
  <c r="L44"/>
  <c r="F44"/>
  <c r="AB42"/>
  <c r="L42"/>
  <c r="G42"/>
  <c r="AB41"/>
  <c r="L41"/>
  <c r="G41"/>
  <c r="M40"/>
  <c r="G40"/>
  <c r="M39"/>
  <c r="H39"/>
  <c r="M38"/>
  <c r="H38"/>
  <c r="H37"/>
  <c r="I36"/>
  <c r="I34"/>
  <c r="D34"/>
  <c r="I33"/>
  <c r="I462"/>
  <c r="G457"/>
  <c r="D449"/>
  <c r="M448"/>
  <c r="J443"/>
  <c r="G441"/>
  <c r="E438"/>
  <c r="L437"/>
  <c r="AB435"/>
  <c r="H435"/>
  <c r="F432"/>
  <c r="M431"/>
  <c r="J429"/>
  <c r="H427"/>
  <c r="E425"/>
  <c r="AB421"/>
  <c r="K421"/>
  <c r="H419"/>
  <c r="F416"/>
  <c r="M415"/>
  <c r="I413"/>
  <c r="G411"/>
  <c r="D408"/>
  <c r="AB405"/>
  <c r="L404"/>
  <c r="K402"/>
  <c r="J401"/>
  <c r="H400"/>
  <c r="G389"/>
  <c r="F388"/>
  <c r="AB376"/>
  <c r="M374"/>
  <c r="J373"/>
  <c r="I372"/>
  <c r="H371"/>
  <c r="F368"/>
  <c r="E367"/>
  <c r="D365"/>
  <c r="AB362"/>
  <c r="M362"/>
  <c r="K357"/>
  <c r="I355"/>
  <c r="H353"/>
  <c r="G352"/>
  <c r="D257"/>
  <c r="R256"/>
  <c r="K252"/>
  <c r="J251"/>
  <c r="I250"/>
  <c r="G249"/>
  <c r="F248"/>
  <c r="F247"/>
  <c r="E246"/>
  <c r="M244"/>
  <c r="L243"/>
  <c r="AB242"/>
  <c r="I242"/>
  <c r="H241"/>
  <c r="G240"/>
  <c r="E239"/>
  <c r="H221"/>
  <c r="F220"/>
  <c r="K219"/>
  <c r="E219"/>
  <c r="J218"/>
  <c r="D218"/>
  <c r="I217"/>
  <c r="AB216"/>
  <c r="G216"/>
  <c r="M215"/>
  <c r="F215"/>
  <c r="L214"/>
  <c r="E214"/>
  <c r="K213"/>
  <c r="H211"/>
  <c r="G210"/>
  <c r="AB209"/>
  <c r="M209"/>
  <c r="F209"/>
  <c r="L208"/>
  <c r="D208"/>
  <c r="J207"/>
  <c r="I206"/>
  <c r="H205"/>
  <c r="M204"/>
  <c r="E204"/>
  <c r="K203"/>
  <c r="D203"/>
  <c r="J202"/>
  <c r="I201"/>
  <c r="AB200"/>
  <c r="G200"/>
  <c r="L199"/>
  <c r="F199"/>
  <c r="K198"/>
  <c r="E198"/>
  <c r="J197"/>
  <c r="H196"/>
  <c r="AB195"/>
  <c r="G195"/>
  <c r="M194"/>
  <c r="F194"/>
  <c r="L193"/>
  <c r="D193"/>
  <c r="I192"/>
  <c r="H191"/>
  <c r="G153"/>
  <c r="M151"/>
  <c r="E151"/>
  <c r="K150"/>
  <c r="D150"/>
  <c r="J149"/>
  <c r="I148"/>
  <c r="AB147"/>
  <c r="F147"/>
  <c r="L146"/>
  <c r="E146"/>
  <c r="K145"/>
  <c r="D145"/>
  <c r="J144"/>
  <c r="H143"/>
  <c r="AB142"/>
  <c r="M142"/>
  <c r="G142"/>
  <c r="L128"/>
  <c r="F128"/>
  <c r="K126"/>
  <c r="I125"/>
  <c r="H124"/>
  <c r="AB123"/>
  <c r="G123"/>
  <c r="M122"/>
  <c r="E122"/>
  <c r="J121"/>
  <c r="D121"/>
  <c r="I120"/>
  <c r="H119"/>
  <c r="F118"/>
  <c r="L100"/>
  <c r="E100"/>
  <c r="K98"/>
  <c r="D98"/>
  <c r="J97"/>
  <c r="G96"/>
  <c r="AB95"/>
  <c r="M95"/>
  <c r="F95"/>
  <c r="L94"/>
  <c r="E94"/>
  <c r="K93"/>
  <c r="I92"/>
  <c r="H91"/>
  <c r="AB90"/>
  <c r="M90"/>
  <c r="G90"/>
  <c r="L89"/>
  <c r="D89"/>
  <c r="J82"/>
  <c r="I81"/>
  <c r="H80"/>
  <c r="F79"/>
  <c r="K78"/>
  <c r="E78"/>
  <c r="Q73"/>
  <c r="J73"/>
  <c r="D73"/>
  <c r="I72"/>
  <c r="AB71"/>
  <c r="G71"/>
  <c r="M70"/>
  <c r="F70"/>
  <c r="L69"/>
  <c r="E69"/>
  <c r="K68"/>
  <c r="H67"/>
  <c r="G66"/>
  <c r="AB65"/>
  <c r="M65"/>
  <c r="F65"/>
  <c r="L64"/>
  <c r="D64"/>
  <c r="J63"/>
  <c r="I62"/>
  <c r="H61"/>
  <c r="M60"/>
  <c r="E60"/>
  <c r="K59"/>
  <c r="D59"/>
  <c r="J58"/>
  <c r="I57"/>
  <c r="AB55"/>
  <c r="G55"/>
  <c r="L54"/>
  <c r="F54"/>
  <c r="K53"/>
  <c r="E53"/>
  <c r="J52"/>
  <c r="H51"/>
  <c r="AB50"/>
  <c r="G50"/>
  <c r="M49"/>
  <c r="F49"/>
  <c r="L48"/>
  <c r="D48"/>
  <c r="I47"/>
  <c r="H46"/>
  <c r="N45"/>
  <c r="G45"/>
  <c r="H11"/>
  <c r="H12"/>
  <c r="M12"/>
  <c r="H13"/>
  <c r="M13"/>
  <c r="G14"/>
  <c r="M14"/>
  <c r="G15"/>
  <c r="L15"/>
  <c r="AB15"/>
  <c r="G16"/>
  <c r="L16"/>
  <c r="Q16"/>
  <c r="AB16"/>
  <c r="F17"/>
  <c r="L17"/>
  <c r="AB17"/>
  <c r="F18"/>
  <c r="K18"/>
  <c r="F19"/>
  <c r="K19"/>
  <c r="E20"/>
  <c r="K20"/>
  <c r="E21"/>
  <c r="J21"/>
  <c r="E22"/>
  <c r="J22"/>
  <c r="D23"/>
  <c r="J23"/>
  <c r="D24"/>
  <c r="I24"/>
  <c r="D26"/>
  <c r="I26"/>
  <c r="I27"/>
  <c r="S27"/>
  <c r="H28"/>
  <c r="H29"/>
  <c r="M29"/>
  <c r="H30"/>
  <c r="M30"/>
  <c r="R30"/>
  <c r="G31"/>
  <c r="M31"/>
  <c r="G32"/>
  <c r="L32"/>
  <c r="AB32"/>
  <c r="G33"/>
  <c r="M33"/>
  <c r="AB33"/>
  <c r="H34"/>
  <c r="J36"/>
  <c r="D37"/>
  <c r="K37"/>
  <c r="E38"/>
  <c r="L38"/>
  <c r="F39"/>
  <c r="AB39"/>
  <c r="I40"/>
  <c r="J41"/>
  <c r="D42"/>
  <c r="K42"/>
  <c r="E44"/>
  <c r="M44"/>
  <c r="M45"/>
  <c r="AB46"/>
  <c r="F50"/>
  <c r="G51"/>
  <c r="H52"/>
  <c r="J53"/>
  <c r="K54"/>
  <c r="L55"/>
  <c r="AB57"/>
  <c r="D60"/>
  <c r="E61"/>
  <c r="G62"/>
  <c r="H63"/>
  <c r="I64"/>
  <c r="L65"/>
  <c r="M66"/>
  <c r="AB67"/>
  <c r="E70"/>
  <c r="F71"/>
  <c r="G72"/>
  <c r="I73"/>
  <c r="J78"/>
  <c r="K79"/>
  <c r="M80"/>
  <c r="D90"/>
  <c r="F91"/>
  <c r="G92"/>
  <c r="H93"/>
  <c r="K94"/>
  <c r="L95"/>
  <c r="M96"/>
  <c r="AB97"/>
  <c r="D100"/>
  <c r="E118"/>
  <c r="F119"/>
  <c r="H120"/>
  <c r="I121"/>
  <c r="J122"/>
  <c r="L123"/>
  <c r="M124"/>
  <c r="AB124"/>
  <c r="E142"/>
  <c r="F143"/>
  <c r="G144"/>
  <c r="J145"/>
  <c r="K146"/>
  <c r="L147"/>
  <c r="D151"/>
  <c r="E153"/>
  <c r="G191"/>
  <c r="H192"/>
  <c r="I193"/>
  <c r="K194"/>
  <c r="L195"/>
  <c r="M196"/>
  <c r="AB196"/>
  <c r="D199"/>
  <c r="E200"/>
  <c r="F201"/>
  <c r="I202"/>
  <c r="J203"/>
  <c r="K204"/>
  <c r="M205"/>
  <c r="D209"/>
  <c r="F210"/>
  <c r="G211"/>
  <c r="H213"/>
  <c r="J214"/>
  <c r="K215"/>
  <c r="L216"/>
  <c r="AB217"/>
  <c r="D220"/>
  <c r="E221"/>
  <c r="M239"/>
  <c r="G242"/>
  <c r="I244"/>
  <c r="L246"/>
  <c r="E247"/>
  <c r="E248"/>
  <c r="F249"/>
  <c r="G250"/>
  <c r="I251"/>
  <c r="J252"/>
  <c r="K253"/>
  <c r="M254"/>
  <c r="N255"/>
  <c r="R257"/>
  <c r="AB364"/>
  <c r="D367"/>
  <c r="E368"/>
  <c r="F371"/>
  <c r="H372"/>
  <c r="I373"/>
  <c r="J374"/>
  <c r="L376"/>
  <c r="M384"/>
  <c r="M409"/>
  <c r="H413"/>
  <c r="M417"/>
  <c r="G421"/>
  <c r="N426"/>
  <c r="I429"/>
  <c r="D432"/>
  <c r="J437"/>
  <c r="D441"/>
  <c r="I448"/>
  <c r="D457"/>
  <c r="AB462"/>
  <c r="D11"/>
  <c r="J11"/>
  <c r="D12"/>
  <c r="I12"/>
  <c r="D13"/>
  <c r="I13"/>
  <c r="I14"/>
  <c r="S14"/>
  <c r="H15"/>
  <c r="H16"/>
  <c r="M16"/>
  <c r="H17"/>
  <c r="M17"/>
  <c r="G18"/>
  <c r="M18"/>
  <c r="G19"/>
  <c r="L19"/>
  <c r="AB19"/>
  <c r="G20"/>
  <c r="L20"/>
  <c r="AB20"/>
  <c r="F21"/>
  <c r="L21"/>
  <c r="AB21"/>
  <c r="F22"/>
  <c r="K22"/>
  <c r="F23"/>
  <c r="K23"/>
  <c r="E24"/>
  <c r="K24"/>
  <c r="E26"/>
  <c r="J26"/>
  <c r="E27"/>
  <c r="J27"/>
  <c r="D28"/>
  <c r="J28"/>
  <c r="D29"/>
  <c r="I29"/>
  <c r="D30"/>
  <c r="I30"/>
  <c r="I31"/>
  <c r="H32"/>
  <c r="H33"/>
  <c r="J34"/>
  <c r="E36"/>
  <c r="K36"/>
  <c r="F37"/>
  <c r="L37"/>
  <c r="G38"/>
  <c r="AB38"/>
  <c r="I39"/>
  <c r="J40"/>
  <c r="Q40"/>
  <c r="D41"/>
  <c r="K41"/>
  <c r="E42"/>
  <c r="M42"/>
  <c r="H44"/>
  <c r="D46"/>
  <c r="G47"/>
  <c r="H48"/>
  <c r="I49"/>
  <c r="K50"/>
  <c r="L51"/>
  <c r="M52"/>
  <c r="AB52"/>
  <c r="D55"/>
  <c r="E57"/>
  <c r="F58"/>
  <c r="H59"/>
  <c r="I60"/>
  <c r="J61"/>
  <c r="M62"/>
  <c r="AB63"/>
  <c r="F67"/>
  <c r="G68"/>
  <c r="H69"/>
  <c r="J70"/>
  <c r="K71"/>
  <c r="L72"/>
  <c r="AB73"/>
  <c r="D80"/>
  <c r="E81"/>
  <c r="G82"/>
  <c r="H89"/>
  <c r="I90"/>
  <c r="L91"/>
  <c r="M92"/>
  <c r="AB93"/>
  <c r="E96"/>
  <c r="F97"/>
  <c r="G98"/>
  <c r="I100"/>
  <c r="J118"/>
  <c r="K119"/>
  <c r="M120"/>
  <c r="D124"/>
  <c r="F125"/>
  <c r="G126"/>
  <c r="H128"/>
  <c r="K142"/>
  <c r="L143"/>
  <c r="M144"/>
  <c r="AB145"/>
  <c r="D147"/>
  <c r="E148"/>
  <c r="F149"/>
  <c r="H150"/>
  <c r="I151"/>
  <c r="J153"/>
  <c r="L191"/>
  <c r="M192"/>
  <c r="AB192"/>
  <c r="E196"/>
  <c r="F197"/>
  <c r="G198"/>
  <c r="J199"/>
  <c r="K200"/>
  <c r="L201"/>
  <c r="D205"/>
  <c r="E206"/>
  <c r="G207"/>
  <c r="H208"/>
  <c r="I209"/>
  <c r="K210"/>
  <c r="L211"/>
  <c r="M213"/>
  <c r="AB213"/>
  <c r="D216"/>
  <c r="E217"/>
  <c r="F218"/>
  <c r="I219"/>
  <c r="J220"/>
  <c r="K221"/>
  <c r="J240"/>
  <c r="M242"/>
  <c r="F243"/>
  <c r="H245"/>
  <c r="AB245"/>
  <c r="L247"/>
  <c r="M248"/>
  <c r="AB352"/>
  <c r="F362"/>
  <c r="G363"/>
  <c r="J364"/>
  <c r="K365"/>
  <c r="L367"/>
  <c r="N368"/>
  <c r="AB389"/>
  <c r="D402"/>
  <c r="E404"/>
  <c r="F405"/>
  <c r="I406"/>
  <c r="J407"/>
  <c r="M408"/>
  <c r="H412"/>
  <c r="J420"/>
  <c r="D423"/>
  <c r="I428"/>
  <c r="D431"/>
  <c r="K436"/>
  <c r="F439"/>
  <c r="K444"/>
  <c r="E455"/>
  <c r="AB461"/>
  <c r="R405" i="77"/>
  <c r="R405" i="39" s="1"/>
  <c r="AQ404" i="77"/>
  <c r="AR404" s="1"/>
  <c r="BW404"/>
  <c r="GJ405"/>
  <c r="N406"/>
  <c r="N406" i="39" s="1"/>
  <c r="IP406" i="77"/>
  <c r="N407"/>
  <c r="N407" i="39" s="1"/>
  <c r="Q411"/>
  <c r="O419"/>
  <c r="R432"/>
  <c r="AU420" i="77"/>
  <c r="GF420"/>
  <c r="GH420" s="1"/>
  <c r="Q422"/>
  <c r="Q422" i="39" s="1"/>
  <c r="GJ423" i="77"/>
  <c r="GJ425"/>
  <c r="AT427"/>
  <c r="HI427"/>
  <c r="HK427" s="1"/>
  <c r="EC428"/>
  <c r="FG428"/>
  <c r="HM429"/>
  <c r="O431" i="39"/>
  <c r="EC432" i="77"/>
  <c r="Q439"/>
  <c r="Q439" i="39" s="1"/>
  <c r="GF442" i="77"/>
  <c r="GH442" s="1"/>
  <c r="Q355"/>
  <c r="Q355" i="39" s="1"/>
  <c r="S367" i="77"/>
  <c r="S367" i="39" s="1"/>
  <c r="IQ368" i="77"/>
  <c r="Q373"/>
  <c r="Q373" i="39" s="1"/>
  <c r="S380" i="69"/>
  <c r="S114" i="71"/>
  <c r="S286" i="74"/>
  <c r="S181" i="72"/>
  <c r="R200" i="77"/>
  <c r="R208" i="39" s="1"/>
  <c r="FG200" i="77"/>
  <c r="FG204"/>
  <c r="AQ205"/>
  <c r="AS205" s="1"/>
  <c r="FG205"/>
  <c r="IL205"/>
  <c r="IN205" s="1"/>
  <c r="Q213" i="39"/>
  <c r="IL220" i="77"/>
  <c r="IM220" s="1"/>
  <c r="S226" i="71"/>
  <c r="FC228" i="77"/>
  <c r="S228" i="74"/>
  <c r="Q233" i="77"/>
  <c r="DZ233"/>
  <c r="S233" i="72"/>
  <c r="BT234" i="77"/>
  <c r="AQ235"/>
  <c r="Q236"/>
  <c r="S236" i="65"/>
  <c r="GF236" i="77"/>
  <c r="HM246"/>
  <c r="HM249"/>
  <c r="IQ255"/>
  <c r="S24" i="39"/>
  <c r="IL26" i="77"/>
  <c r="IN26" s="1"/>
  <c r="HN27"/>
  <c r="IP27"/>
  <c r="N29"/>
  <c r="P29" s="1"/>
  <c r="P29" i="39" s="1"/>
  <c r="HI29" i="77"/>
  <c r="HJ29" s="1"/>
  <c r="FG32"/>
  <c r="IO39"/>
  <c r="FH45"/>
  <c r="IO45"/>
  <c r="HL47"/>
  <c r="AV49"/>
  <c r="GI49"/>
  <c r="IO49"/>
  <c r="IO50"/>
  <c r="AQ52"/>
  <c r="AR52" s="1"/>
  <c r="EC52"/>
  <c r="GI54"/>
  <c r="AT55"/>
  <c r="Q59"/>
  <c r="Q59" i="39" s="1"/>
  <c r="R60" i="77"/>
  <c r="R60" i="39" s="1"/>
  <c r="FC62" i="77"/>
  <c r="FD62" s="1"/>
  <c r="S64"/>
  <c r="S64" i="39" s="1"/>
  <c r="DB64" i="77"/>
  <c r="BW66"/>
  <c r="GI66"/>
  <c r="GJ68"/>
  <c r="N72"/>
  <c r="N72" i="39" s="1"/>
  <c r="GJ400" i="77"/>
  <c r="HL400"/>
  <c r="Q404"/>
  <c r="Q404" i="39" s="1"/>
  <c r="FC404" i="77"/>
  <c r="FD404" s="1"/>
  <c r="GI404"/>
  <c r="IO404"/>
  <c r="GF405"/>
  <c r="GH405" s="1"/>
  <c r="HI405"/>
  <c r="HK405" s="1"/>
  <c r="CW406"/>
  <c r="CX406" s="1"/>
  <c r="HI406"/>
  <c r="HK406" s="1"/>
  <c r="IL406"/>
  <c r="IM406" s="1"/>
  <c r="S408" i="39"/>
  <c r="Q414"/>
  <c r="S420"/>
  <c r="IL420" i="77"/>
  <c r="IM420" s="1"/>
  <c r="HM422"/>
  <c r="S428"/>
  <c r="S428" i="39" s="1"/>
  <c r="AU428" i="77"/>
  <c r="AQ430"/>
  <c r="AS430" s="1"/>
  <c r="GJ430"/>
  <c r="HM430"/>
  <c r="N432"/>
  <c r="P432" s="1"/>
  <c r="HM432"/>
  <c r="S434" i="39"/>
  <c r="FG443" i="77"/>
  <c r="FC444"/>
  <c r="FE444" s="1"/>
  <c r="S358" i="71"/>
  <c r="S359"/>
  <c r="P361" i="39"/>
  <c r="S361" i="74"/>
  <c r="R365" i="39"/>
  <c r="AT368" i="77"/>
  <c r="BW368"/>
  <c r="FG368"/>
  <c r="GI368"/>
  <c r="HL368"/>
  <c r="IL368"/>
  <c r="IN368" s="1"/>
  <c r="Q370"/>
  <c r="Q372" i="39" s="1"/>
  <c r="HN370" i="77"/>
  <c r="S370" i="73" s="1"/>
  <c r="R373" i="77"/>
  <c r="GK373"/>
  <c r="S378" i="74"/>
  <c r="S114" i="73"/>
  <c r="S124" i="39"/>
  <c r="R196"/>
  <c r="AU205" i="77"/>
  <c r="DZ205"/>
  <c r="EB205" s="1"/>
  <c r="R211" i="39"/>
  <c r="Q220" i="77"/>
  <c r="GF220"/>
  <c r="GG220" s="1"/>
  <c r="Q226"/>
  <c r="Q226" i="39" s="1"/>
  <c r="N228" i="77"/>
  <c r="P228" s="1"/>
  <c r="BT228"/>
  <c r="S228" i="71"/>
  <c r="GJ228" i="77"/>
  <c r="R228" i="72" s="1"/>
  <c r="IL232" i="77"/>
  <c r="IM232" s="1"/>
  <c r="O232" i="74" s="1"/>
  <c r="CW233" i="77"/>
  <c r="HI233"/>
  <c r="S235" i="72"/>
  <c r="S235" i="74"/>
  <c r="BT236" i="77"/>
  <c r="R13" i="39"/>
  <c r="S20" i="77"/>
  <c r="S20" i="39" s="1"/>
  <c r="GK20" i="77"/>
  <c r="BT22"/>
  <c r="BV22" s="1"/>
  <c r="ED22"/>
  <c r="HI22"/>
  <c r="HK22" s="1"/>
  <c r="R32"/>
  <c r="R32" i="39" s="1"/>
  <c r="S36"/>
  <c r="EE39" i="77"/>
  <c r="S42" i="39"/>
  <c r="S48"/>
  <c r="GI50" i="77"/>
  <c r="EE54"/>
  <c r="IQ54"/>
  <c r="R55"/>
  <c r="R55" i="39" s="1"/>
  <c r="R62" i="77"/>
  <c r="R62" i="39" s="1"/>
  <c r="DZ62" i="77"/>
  <c r="EB62" s="1"/>
  <c r="FG62"/>
  <c r="AQ63"/>
  <c r="AR63" s="1"/>
  <c r="FG63"/>
  <c r="Q65"/>
  <c r="Q65" i="39" s="1"/>
  <c r="BX66" i="77"/>
  <c r="IO66"/>
  <c r="AV68"/>
  <c r="BW68"/>
  <c r="GK68"/>
  <c r="S70" i="39"/>
  <c r="AU70" i="77"/>
  <c r="BX70"/>
  <c r="DA70"/>
  <c r="S73"/>
  <c r="DA73"/>
  <c r="GK73"/>
  <c r="IQ73"/>
  <c r="N421" i="39"/>
  <c r="Q423" i="77"/>
  <c r="Q423" i="39" s="1"/>
  <c r="IL437" i="77"/>
  <c r="IN437" s="1"/>
  <c r="BT442"/>
  <c r="BV442" s="1"/>
  <c r="IL442"/>
  <c r="IM442" s="1"/>
  <c r="S360" i="71"/>
  <c r="FG369" i="77"/>
  <c r="R369" i="71" s="1"/>
  <c r="GJ369" i="77"/>
  <c r="R369" i="72" s="1"/>
  <c r="N373" i="77"/>
  <c r="O373" s="1"/>
  <c r="O373" i="39" s="1"/>
  <c r="S380" i="74"/>
  <c r="P124" i="39"/>
  <c r="S131" i="73"/>
  <c r="R180" i="74"/>
  <c r="GJ200" i="77"/>
  <c r="S210" i="39"/>
  <c r="DZ220" i="77"/>
  <c r="EB220" s="1"/>
  <c r="GJ226"/>
  <c r="R226" i="72" s="1"/>
  <c r="S234" i="71"/>
  <c r="Q235" i="77"/>
  <c r="Q241" i="39" s="1"/>
  <c r="S235" i="70"/>
  <c r="Q237" i="77"/>
  <c r="Q238"/>
  <c r="S238" i="65"/>
  <c r="CW249" i="77"/>
  <c r="CY249" s="1"/>
  <c r="GF249"/>
  <c r="GG249" s="1"/>
  <c r="IQ249"/>
  <c r="R11" i="39"/>
  <c r="P13"/>
  <c r="DZ20" i="77"/>
  <c r="EB20" s="1"/>
  <c r="HN20"/>
  <c r="S23" i="39"/>
  <c r="FH27" i="77"/>
  <c r="N28"/>
  <c r="O28" s="1"/>
  <c r="O28" i="39" s="1"/>
  <c r="IP33" i="77"/>
  <c r="Q34"/>
  <c r="Q34" i="39" s="1"/>
  <c r="GK39" i="77"/>
  <c r="IL39"/>
  <c r="IN39" s="1"/>
  <c r="EE44"/>
  <c r="FF44"/>
  <c r="EC45"/>
  <c r="N47"/>
  <c r="O47" s="1"/>
  <c r="O47" i="39" s="1"/>
  <c r="CW50" i="77"/>
  <c r="CY50" s="1"/>
  <c r="AV53"/>
  <c r="FH53"/>
  <c r="N55"/>
  <c r="N55" i="39" s="1"/>
  <c r="BT66" i="77"/>
  <c r="BU66" s="1"/>
  <c r="EE73"/>
  <c r="GJ73"/>
  <c r="Q427"/>
  <c r="Q427" i="39" s="1"/>
  <c r="N427" i="77"/>
  <c r="N427" i="39" s="1"/>
  <c r="FC437" i="77"/>
  <c r="FD437" s="1"/>
  <c r="ED438"/>
  <c r="EC438"/>
  <c r="IL443"/>
  <c r="IN443" s="1"/>
  <c r="IP443"/>
  <c r="S369" i="74"/>
  <c r="HM373" i="77"/>
  <c r="HI373"/>
  <c r="HJ373" s="1"/>
  <c r="S388" i="39"/>
  <c r="N380" i="77"/>
  <c r="P380" s="1"/>
  <c r="IP407"/>
  <c r="S448" i="39"/>
  <c r="HN400" i="77"/>
  <c r="HM402"/>
  <c r="AU404"/>
  <c r="S449" i="39"/>
  <c r="N400" i="77"/>
  <c r="O400" s="1"/>
  <c r="O400" i="39" s="1"/>
  <c r="ED408" i="77"/>
  <c r="GJ408"/>
  <c r="IP408"/>
  <c r="AU409"/>
  <c r="FG409"/>
  <c r="HM409"/>
  <c r="S417" i="39"/>
  <c r="R449" i="77"/>
  <c r="R449" i="39" s="1"/>
  <c r="Q400" i="77"/>
  <c r="Q400" i="39" s="1"/>
  <c r="GI400" i="77"/>
  <c r="HI400"/>
  <c r="HJ400" s="1"/>
  <c r="AT404"/>
  <c r="FH404"/>
  <c r="IQ404"/>
  <c r="IP404"/>
  <c r="S407" i="39"/>
  <c r="R407" i="77"/>
  <c r="R407" i="39" s="1"/>
  <c r="ED407" i="77"/>
  <c r="HI407"/>
  <c r="HJ407" s="1"/>
  <c r="R408"/>
  <c r="R408" i="39" s="1"/>
  <c r="DZ408" i="77"/>
  <c r="EA408" s="1"/>
  <c r="GF408"/>
  <c r="GG408" s="1"/>
  <c r="IL408"/>
  <c r="IN408" s="1"/>
  <c r="S409" i="39"/>
  <c r="AQ409" i="77"/>
  <c r="AS409" s="1"/>
  <c r="FC409"/>
  <c r="FD409" s="1"/>
  <c r="HI409"/>
  <c r="HJ409" s="1"/>
  <c r="O411" i="39"/>
  <c r="S416"/>
  <c r="S421"/>
  <c r="S426"/>
  <c r="HM426" i="77"/>
  <c r="HM427"/>
  <c r="IL428"/>
  <c r="IN428" s="1"/>
  <c r="GF430"/>
  <c r="GG430" s="1"/>
  <c r="HI430"/>
  <c r="HJ430" s="1"/>
  <c r="Q432"/>
  <c r="R359"/>
  <c r="R362" i="39" s="1"/>
  <c r="N388" i="77"/>
  <c r="O388" s="1"/>
  <c r="S400"/>
  <c r="S400" i="39" s="1"/>
  <c r="Q408" i="77"/>
  <c r="Q408" i="39" s="1"/>
  <c r="FG408" i="77"/>
  <c r="HM408"/>
  <c r="GJ409"/>
  <c r="IP409"/>
  <c r="P432" i="39"/>
  <c r="R420" i="77"/>
  <c r="R420" i="39" s="1"/>
  <c r="GJ420" i="77"/>
  <c r="R421" i="39"/>
  <c r="Q425" i="77"/>
  <c r="R426"/>
  <c r="R426" i="39" s="1"/>
  <c r="EE427" i="77"/>
  <c r="IQ427"/>
  <c r="IP429"/>
  <c r="Q437"/>
  <c r="DZ443"/>
  <c r="EA443" s="1"/>
  <c r="ED443"/>
  <c r="AV404"/>
  <c r="FG404"/>
  <c r="FF404"/>
  <c r="Q405"/>
  <c r="Q405" i="39" s="1"/>
  <c r="CW405" i="77"/>
  <c r="CY405" s="1"/>
  <c r="FC405"/>
  <c r="FE405" s="1"/>
  <c r="N408"/>
  <c r="N408" i="39" s="1"/>
  <c r="FC408" i="77"/>
  <c r="FE408" s="1"/>
  <c r="HI408"/>
  <c r="HK408" s="1"/>
  <c r="GF409"/>
  <c r="GG409" s="1"/>
  <c r="IL409"/>
  <c r="IM409" s="1"/>
  <c r="S411" i="39"/>
  <c r="S419"/>
  <c r="R419"/>
  <c r="S413"/>
  <c r="R413"/>
  <c r="S415"/>
  <c r="BT426" i="77"/>
  <c r="BV426" s="1"/>
  <c r="IO438"/>
  <c r="IL438"/>
  <c r="IN438" s="1"/>
  <c r="S86" i="74"/>
  <c r="FG407" i="77"/>
  <c r="IL407"/>
  <c r="IM407" s="1"/>
  <c r="S402" i="39"/>
  <c r="DA405" i="77"/>
  <c r="FG405"/>
  <c r="O437" i="39"/>
  <c r="R414"/>
  <c r="HM420" i="77"/>
  <c r="R425"/>
  <c r="BX426"/>
  <c r="S432"/>
  <c r="IP439"/>
  <c r="GJ443"/>
  <c r="AU358"/>
  <c r="R358" i="65" s="1"/>
  <c r="BX358" i="77"/>
  <c r="R358" i="68" s="1"/>
  <c r="R128" i="39"/>
  <c r="P151"/>
  <c r="S151"/>
  <c r="S153"/>
  <c r="P272"/>
  <c r="S216"/>
  <c r="GI428" i="77"/>
  <c r="GK428"/>
  <c r="AU429"/>
  <c r="GJ429"/>
  <c r="AU430"/>
  <c r="FG430"/>
  <c r="S431" i="39"/>
  <c r="AV432" i="77"/>
  <c r="GK432"/>
  <c r="BX442"/>
  <c r="FC442"/>
  <c r="FD442" s="1"/>
  <c r="GJ442"/>
  <c r="HI442"/>
  <c r="HJ442" s="1"/>
  <c r="IP442"/>
  <c r="Q444"/>
  <c r="Q444" i="39" s="1"/>
  <c r="Q353" i="77"/>
  <c r="Q353" i="39" s="1"/>
  <c r="Q357" i="77"/>
  <c r="Q357" i="39" s="1"/>
  <c r="S358"/>
  <c r="S360" i="74"/>
  <c r="GJ367" i="77"/>
  <c r="HL367"/>
  <c r="AV368"/>
  <c r="FH368"/>
  <c r="S369" i="68"/>
  <c r="S369" i="72"/>
  <c r="IP369" i="77"/>
  <c r="R369" i="74" s="1"/>
  <c r="GI370" i="77"/>
  <c r="Q370" i="72" s="1"/>
  <c r="IO370" i="77"/>
  <c r="Q370" i="74" s="1"/>
  <c r="IQ370" i="77"/>
  <c r="S370" i="74" s="1"/>
  <c r="Q374" i="77"/>
  <c r="Q374" i="39" s="1"/>
  <c r="S378" i="69"/>
  <c r="S378" i="71"/>
  <c r="S380" i="72"/>
  <c r="R386" i="39"/>
  <c r="S84" i="71"/>
  <c r="S84" i="72"/>
  <c r="S86" i="69"/>
  <c r="S273" i="39"/>
  <c r="N123"/>
  <c r="R422" i="77"/>
  <c r="R422" i="39" s="1"/>
  <c r="HM423" i="77"/>
  <c r="Q426"/>
  <c r="Q426" i="39" s="1"/>
  <c r="HL427" i="77"/>
  <c r="HN427"/>
  <c r="GJ428"/>
  <c r="HN428"/>
  <c r="FG429"/>
  <c r="IP430"/>
  <c r="R432"/>
  <c r="IL432"/>
  <c r="IM432" s="1"/>
  <c r="DA434"/>
  <c r="FG434"/>
  <c r="IL436"/>
  <c r="IM436" s="1"/>
  <c r="HI437"/>
  <c r="HJ437" s="1"/>
  <c r="S438"/>
  <c r="DZ438"/>
  <c r="EA438" s="1"/>
  <c r="IP438"/>
  <c r="R439"/>
  <c r="R439" i="39" s="1"/>
  <c r="GJ439" i="77"/>
  <c r="S443" i="39"/>
  <c r="BT443" i="77"/>
  <c r="BU443" s="1"/>
  <c r="GF443"/>
  <c r="GG443" s="1"/>
  <c r="S352" i="39"/>
  <c r="S357"/>
  <c r="BT358" i="77"/>
  <c r="S360" i="69"/>
  <c r="Q367" i="77"/>
  <c r="Q367" i="39" s="1"/>
  <c r="IL367" i="77"/>
  <c r="IM367" s="1"/>
  <c r="IO368"/>
  <c r="S371" i="39"/>
  <c r="S369" i="71"/>
  <c r="HM369" i="77"/>
  <c r="R369" i="73" s="1"/>
  <c r="IP370" i="77"/>
  <c r="R370" i="74" s="1"/>
  <c r="EC373" i="77"/>
  <c r="GI373"/>
  <c r="HL373"/>
  <c r="Q378"/>
  <c r="Q384" i="39" s="1"/>
  <c r="R380" i="77"/>
  <c r="R388" i="39" s="1"/>
  <c r="S380" i="68"/>
  <c r="S83" i="71"/>
  <c r="S85" i="68"/>
  <c r="S88" i="74"/>
  <c r="S94" i="39"/>
  <c r="R205"/>
  <c r="R126"/>
  <c r="R180" i="73"/>
  <c r="Q358" i="77"/>
  <c r="Q358" i="39" s="1"/>
  <c r="S358" i="74"/>
  <c r="N360" i="77"/>
  <c r="N363" i="39" s="1"/>
  <c r="R364"/>
  <c r="DZ367" i="77"/>
  <c r="EB367" s="1"/>
  <c r="S369" i="73"/>
  <c r="S380" i="71"/>
  <c r="R388" i="77"/>
  <c r="R389"/>
  <c r="S80" i="39"/>
  <c r="S83" i="74"/>
  <c r="S85" i="72"/>
  <c r="S85" i="73"/>
  <c r="S88" i="71"/>
  <c r="S98" i="39"/>
  <c r="R123"/>
  <c r="R142"/>
  <c r="S137" i="73"/>
  <c r="IQ20" i="77"/>
  <c r="IL20"/>
  <c r="IN20" s="1"/>
  <c r="IP23"/>
  <c r="IL23"/>
  <c r="IN23" s="1"/>
  <c r="GI47"/>
  <c r="GF47"/>
  <c r="GH47" s="1"/>
  <c r="HN50"/>
  <c r="HI50"/>
  <c r="HJ50" s="1"/>
  <c r="R120" i="39"/>
  <c r="S131" i="65"/>
  <c r="S137" i="72"/>
  <c r="N150" i="39"/>
  <c r="R151"/>
  <c r="R216"/>
  <c r="Q195"/>
  <c r="S182" i="69"/>
  <c r="S183" i="72"/>
  <c r="Q206" i="39"/>
  <c r="S208"/>
  <c r="FC204" i="77"/>
  <c r="FE204" s="1"/>
  <c r="Q205"/>
  <c r="Q210" i="39" s="1"/>
  <c r="FC205" i="77"/>
  <c r="FD205" s="1"/>
  <c r="AU220"/>
  <c r="HI220"/>
  <c r="HK220" s="1"/>
  <c r="N224"/>
  <c r="O224" s="1"/>
  <c r="S226" i="68"/>
  <c r="S226" i="72"/>
  <c r="HM226" i="77"/>
  <c r="R226" i="73" s="1"/>
  <c r="IL226" i="77"/>
  <c r="HI228"/>
  <c r="IP228"/>
  <c r="R228" i="74" s="1"/>
  <c r="S232"/>
  <c r="IP232" i="77"/>
  <c r="R232" i="74" s="1"/>
  <c r="R233" i="77"/>
  <c r="S233" i="65"/>
  <c r="AU233" i="77"/>
  <c r="R233" i="65" s="1"/>
  <c r="S233" i="70"/>
  <c r="ED233" i="77"/>
  <c r="R233" i="70" s="1"/>
  <c r="S234" i="73"/>
  <c r="HM234" i="77"/>
  <c r="R234" i="73" s="1"/>
  <c r="IL234" i="77"/>
  <c r="S235" i="65"/>
  <c r="AU235" i="77"/>
  <c r="R235" i="65" s="1"/>
  <c r="S235" i="71"/>
  <c r="FG235" i="77"/>
  <c r="R235" i="71" s="1"/>
  <c r="S236" i="68"/>
  <c r="BX236" i="77"/>
  <c r="R236" i="68" s="1"/>
  <c r="S236" i="70"/>
  <c r="ED236" i="77"/>
  <c r="R236" i="70" s="1"/>
  <c r="S236" i="72"/>
  <c r="GJ236" i="77"/>
  <c r="R236" i="72" s="1"/>
  <c r="S236" i="74"/>
  <c r="IP236" i="77"/>
  <c r="R236" i="74" s="1"/>
  <c r="S238" i="72"/>
  <c r="Q242" i="77"/>
  <c r="GJ246"/>
  <c r="S249"/>
  <c r="S252" i="39" s="1"/>
  <c r="CZ249" i="77"/>
  <c r="HI249"/>
  <c r="HK249" s="1"/>
  <c r="S16" i="39"/>
  <c r="DZ22" i="77"/>
  <c r="EB22" s="1"/>
  <c r="GF29"/>
  <c r="GH29" s="1"/>
  <c r="HM29"/>
  <c r="GF40"/>
  <c r="GG40" s="1"/>
  <c r="N48"/>
  <c r="N48" i="39" s="1"/>
  <c r="AU49" i="77"/>
  <c r="HN55"/>
  <c r="Q14" i="39"/>
  <c r="P14"/>
  <c r="N144"/>
  <c r="R145"/>
  <c r="S138" i="70"/>
  <c r="S138" i="74"/>
  <c r="R146" i="39"/>
  <c r="S170" i="68"/>
  <c r="R224" i="39"/>
  <c r="R181" i="71"/>
  <c r="S207" i="39"/>
  <c r="S211"/>
  <c r="R213"/>
  <c r="R215"/>
  <c r="R220" i="77"/>
  <c r="AQ220"/>
  <c r="AS220" s="1"/>
  <c r="ED220"/>
  <c r="GJ220"/>
  <c r="IP220"/>
  <c r="FC226"/>
  <c r="S226" i="73"/>
  <c r="IP226" i="77"/>
  <c r="R226" i="74" s="1"/>
  <c r="R227" i="77"/>
  <c r="R219" i="39" s="1"/>
  <c r="R228" i="77"/>
  <c r="S228" i="68"/>
  <c r="FG228" i="77"/>
  <c r="R228" i="71" s="1"/>
  <c r="S228" i="72"/>
  <c r="IL228" i="77"/>
  <c r="S233" i="69"/>
  <c r="DA233" i="77"/>
  <c r="R233" i="69" s="1"/>
  <c r="S233" i="73"/>
  <c r="HM233" i="77"/>
  <c r="R233" i="73" s="1"/>
  <c r="S234" i="68"/>
  <c r="BX234" i="77"/>
  <c r="R234" i="68" s="1"/>
  <c r="S234" i="72"/>
  <c r="GJ234" i="77"/>
  <c r="R234" i="72" s="1"/>
  <c r="S241" i="39"/>
  <c r="Q239" i="77"/>
  <c r="Q245"/>
  <c r="R245"/>
  <c r="HN249"/>
  <c r="R255"/>
  <c r="R255" i="39" s="1"/>
  <c r="IQ27" i="77"/>
  <c r="S256" i="39"/>
  <c r="N256" i="77"/>
  <c r="O256" s="1"/>
  <c r="O256" i="39" s="1"/>
  <c r="ED24" i="77"/>
  <c r="DZ24"/>
  <c r="EB24" s="1"/>
  <c r="DA26"/>
  <c r="CW26"/>
  <c r="CY26" s="1"/>
  <c r="FG39"/>
  <c r="FH39"/>
  <c r="FF45"/>
  <c r="FG45"/>
  <c r="FC45"/>
  <c r="FD45" s="1"/>
  <c r="N196" i="39"/>
  <c r="S181" i="73"/>
  <c r="Q200" i="77"/>
  <c r="Q208" i="39" s="1"/>
  <c r="Q204" i="77"/>
  <c r="Q209" i="39" s="1"/>
  <c r="R226" i="77"/>
  <c r="BT226"/>
  <c r="FG226"/>
  <c r="R226" i="71" s="1"/>
  <c r="GF226" i="77"/>
  <c r="S226" i="74"/>
  <c r="N227" i="77"/>
  <c r="O227" s="1"/>
  <c r="O227" i="39" s="1"/>
  <c r="S228" i="73"/>
  <c r="Q232" i="77"/>
  <c r="Q221" i="39" s="1"/>
  <c r="GJ233" i="77"/>
  <c r="R233" i="72" s="1"/>
  <c r="FG234" i="77"/>
  <c r="R234" i="71" s="1"/>
  <c r="ED235" i="77"/>
  <c r="R235" i="70" s="1"/>
  <c r="GJ235" i="77"/>
  <c r="R235" i="72" s="1"/>
  <c r="IP235" i="77"/>
  <c r="R235" i="74" s="1"/>
  <c r="R236" i="77"/>
  <c r="AU236"/>
  <c r="R236" i="65" s="1"/>
  <c r="Q244" i="77"/>
  <c r="R244"/>
  <c r="N245"/>
  <c r="N248" i="39" s="1"/>
  <c r="BX246" i="77"/>
  <c r="ED247"/>
  <c r="FG247"/>
  <c r="GJ247"/>
  <c r="IP247"/>
  <c r="BW249"/>
  <c r="HL249"/>
  <c r="Q253"/>
  <c r="Q254" i="39" s="1"/>
  <c r="IO255" i="77"/>
  <c r="S13" i="39"/>
  <c r="S15"/>
  <c r="Q19"/>
  <c r="HL20" i="77"/>
  <c r="BT23"/>
  <c r="BV23" s="1"/>
  <c r="FG24"/>
  <c r="GF24"/>
  <c r="GG24" s="1"/>
  <c r="IO27"/>
  <c r="IL29"/>
  <c r="IN29" s="1"/>
  <c r="IP32"/>
  <c r="FG49"/>
  <c r="HN49"/>
  <c r="EC50"/>
  <c r="FF55"/>
  <c r="DA22"/>
  <c r="CW22"/>
  <c r="CY22" s="1"/>
  <c r="R31" i="39"/>
  <c r="N31"/>
  <c r="AU39" i="77"/>
  <c r="AV39"/>
  <c r="Q42"/>
  <c r="Q42" i="39" s="1"/>
  <c r="N42" i="77"/>
  <c r="O42" s="1"/>
  <c r="O42" i="39" s="1"/>
  <c r="FG53" i="77"/>
  <c r="FC53"/>
  <c r="FD53" s="1"/>
  <c r="IP234"/>
  <c r="R234" i="74" s="1"/>
  <c r="GF55" i="77"/>
  <c r="GG55" s="1"/>
  <c r="GI249"/>
  <c r="IO249"/>
  <c r="Q255"/>
  <c r="S255"/>
  <c r="S255" i="39" s="1"/>
  <c r="CZ255" i="77"/>
  <c r="DB255"/>
  <c r="HL255"/>
  <c r="HN255"/>
  <c r="R12" i="39"/>
  <c r="R18"/>
  <c r="EC20" i="77"/>
  <c r="FH20"/>
  <c r="S22" i="39"/>
  <c r="IP22" i="77"/>
  <c r="FG23"/>
  <c r="HM23"/>
  <c r="DA24"/>
  <c r="S26" i="39"/>
  <c r="IP26" i="77"/>
  <c r="BW27"/>
  <c r="FF27"/>
  <c r="GI27"/>
  <c r="S28" i="39"/>
  <c r="R29" i="77"/>
  <c r="R29" i="39" s="1"/>
  <c r="Q30" i="77"/>
  <c r="Q30" i="39" s="1"/>
  <c r="N32" i="77"/>
  <c r="N32" i="39" s="1"/>
  <c r="HM33" i="77"/>
  <c r="S38" i="39"/>
  <c r="Q39" i="77"/>
  <c r="Q39" i="39" s="1"/>
  <c r="DA40" i="77"/>
  <c r="R41" i="39"/>
  <c r="AT44" i="77"/>
  <c r="FG44"/>
  <c r="IQ44"/>
  <c r="AT45"/>
  <c r="AV45"/>
  <c r="R47"/>
  <c r="R47" i="39" s="1"/>
  <c r="AT47" i="77"/>
  <c r="FF49"/>
  <c r="GK50"/>
  <c r="R51" i="39"/>
  <c r="FH52" i="77"/>
  <c r="AT53"/>
  <c r="IL53"/>
  <c r="IN53" s="1"/>
  <c r="ED54"/>
  <c r="Q55"/>
  <c r="Q55" i="39" s="1"/>
  <c r="HM55" i="77"/>
  <c r="S59" i="39"/>
  <c r="Q60" i="77"/>
  <c r="Q60" i="39" s="1"/>
  <c r="S60"/>
  <c r="S61"/>
  <c r="R61"/>
  <c r="Q63" i="77"/>
  <c r="Q63" i="39" s="1"/>
  <c r="R64" i="77"/>
  <c r="R64" i="39" s="1"/>
  <c r="AQ64" i="77"/>
  <c r="AR64" s="1"/>
  <c r="DA64"/>
  <c r="N65"/>
  <c r="O65" s="1"/>
  <c r="O65" i="39" s="1"/>
  <c r="GK66" i="77"/>
  <c r="DZ67"/>
  <c r="EB67" s="1"/>
  <c r="BY68"/>
  <c r="GI68"/>
  <c r="ED69"/>
  <c r="GJ69"/>
  <c r="CZ73"/>
  <c r="EC73"/>
  <c r="HL73"/>
  <c r="Q17" i="39"/>
  <c r="IO20" i="77"/>
  <c r="S21" i="39"/>
  <c r="HM22" i="77"/>
  <c r="ED23"/>
  <c r="AU24"/>
  <c r="FG26"/>
  <c r="GF26"/>
  <c r="GH26" s="1"/>
  <c r="HM26"/>
  <c r="S29" i="39"/>
  <c r="GJ29" i="77"/>
  <c r="GJ32"/>
  <c r="HM32"/>
  <c r="AQ33"/>
  <c r="AS33" s="1"/>
  <c r="BT34"/>
  <c r="BV34" s="1"/>
  <c r="FC34"/>
  <c r="FE34" s="1"/>
  <c r="GF34"/>
  <c r="GG34" s="1"/>
  <c r="HI34"/>
  <c r="HK34" s="1"/>
  <c r="AT39"/>
  <c r="ED39"/>
  <c r="FF39"/>
  <c r="GI39"/>
  <c r="IP39"/>
  <c r="S40" i="39"/>
  <c r="AU40" i="77"/>
  <c r="DZ45"/>
  <c r="EB45" s="1"/>
  <c r="IP45"/>
  <c r="Q46"/>
  <c r="Q46" i="39" s="1"/>
  <c r="HN46" i="77"/>
  <c r="GK47"/>
  <c r="HN47"/>
  <c r="FC49"/>
  <c r="FD49" s="1"/>
  <c r="GK49"/>
  <c r="IP50"/>
  <c r="FF53"/>
  <c r="DZ54"/>
  <c r="EA54" s="1"/>
  <c r="IP54"/>
  <c r="HI55"/>
  <c r="HJ55" s="1"/>
  <c r="Q57"/>
  <c r="Q57" i="39" s="1"/>
  <c r="S57"/>
  <c r="Q61"/>
  <c r="S62"/>
  <c r="GJ62" i="77"/>
  <c r="R63"/>
  <c r="Q64"/>
  <c r="Q64" i="39" s="1"/>
  <c r="CZ64" i="77"/>
  <c r="EC64"/>
  <c r="HM64"/>
  <c r="N68"/>
  <c r="N68" i="39" s="1"/>
  <c r="AQ68" i="77"/>
  <c r="AS68" s="1"/>
  <c r="DA69"/>
  <c r="Q71" i="39"/>
  <c r="S72" i="77"/>
  <c r="S72" i="39" s="1"/>
  <c r="DB72" i="77"/>
  <c r="EE72"/>
  <c r="HN72"/>
  <c r="N57"/>
  <c r="P57" s="1"/>
  <c r="P57" i="39" s="1"/>
  <c r="Q58" i="77"/>
  <c r="Q58" i="39" s="1"/>
  <c r="S58"/>
  <c r="Q62" i="77"/>
  <c r="BX62"/>
  <c r="BX63"/>
  <c r="IP63"/>
  <c r="GJ64"/>
  <c r="HL64"/>
  <c r="IO64"/>
  <c r="GF66"/>
  <c r="GG66" s="1"/>
  <c r="Q68"/>
  <c r="Q68" i="39" s="1"/>
  <c r="Q70" i="77"/>
  <c r="Q70" i="39" s="1"/>
  <c r="R72" i="77"/>
  <c r="R72" i="39" s="1"/>
  <c r="DA72" i="77"/>
  <c r="HM72"/>
  <c r="R73"/>
  <c r="R73" i="39" s="1"/>
  <c r="S34"/>
  <c r="GJ40" i="77"/>
  <c r="Q41" i="39"/>
  <c r="S41"/>
  <c r="Q47" i="77"/>
  <c r="Q47" i="39" s="1"/>
  <c r="S47" i="77"/>
  <c r="Q48"/>
  <c r="Q48" i="39" s="1"/>
  <c r="R48" i="77"/>
  <c r="R48" i="39" s="1"/>
  <c r="DB50" i="77"/>
  <c r="AV52"/>
  <c r="S65" i="39"/>
  <c r="DB73" i="77"/>
  <c r="FD44"/>
  <c r="R20"/>
  <c r="R20" i="39" s="1"/>
  <c r="N20" i="77"/>
  <c r="N20" i="39" s="1"/>
  <c r="HM20" i="77"/>
  <c r="HI20"/>
  <c r="HM28"/>
  <c r="HI28"/>
  <c r="R33"/>
  <c r="R33" i="39" s="1"/>
  <c r="N33" i="77"/>
  <c r="N33" i="39" s="1"/>
  <c r="Q11"/>
  <c r="Q12"/>
  <c r="N19"/>
  <c r="AT20" i="77"/>
  <c r="FF20"/>
  <c r="GI20"/>
  <c r="FC23"/>
  <c r="AQ24"/>
  <c r="FC24"/>
  <c r="FC26"/>
  <c r="N27"/>
  <c r="N27" i="39" s="1"/>
  <c r="CZ27" i="77"/>
  <c r="HL27"/>
  <c r="Q31" i="39"/>
  <c r="Q32" i="77"/>
  <c r="Q32" i="39" s="1"/>
  <c r="IP28" i="77"/>
  <c r="IL28"/>
  <c r="AU29"/>
  <c r="AQ29"/>
  <c r="FG29"/>
  <c r="FC29"/>
  <c r="AQ30"/>
  <c r="FC30"/>
  <c r="HI30"/>
  <c r="S17" i="39"/>
  <c r="N18"/>
  <c r="R19"/>
  <c r="GJ20" i="77"/>
  <c r="BX22"/>
  <c r="BX23"/>
  <c r="GJ24"/>
  <c r="GJ26"/>
  <c r="Q27"/>
  <c r="Q27" i="39" s="1"/>
  <c r="DA27" i="77"/>
  <c r="HM27"/>
  <c r="R28"/>
  <c r="R28" i="39" s="1"/>
  <c r="AU30" i="77"/>
  <c r="FG30"/>
  <c r="HM30"/>
  <c r="R15" i="39"/>
  <c r="N15"/>
  <c r="R21"/>
  <c r="N21"/>
  <c r="R22" i="77"/>
  <c r="R22" i="39" s="1"/>
  <c r="N22" i="77"/>
  <c r="N22" i="39" s="1"/>
  <c r="R23" i="77"/>
  <c r="R23" i="39" s="1"/>
  <c r="N23" i="77"/>
  <c r="N23" i="39" s="1"/>
  <c r="R24" i="77"/>
  <c r="R24" i="39" s="1"/>
  <c r="N24" i="77"/>
  <c r="N24" i="39" s="1"/>
  <c r="R26" i="77"/>
  <c r="R26" i="39" s="1"/>
  <c r="N26" i="77"/>
  <c r="N26" i="39" s="1"/>
  <c r="BX27" i="77"/>
  <c r="BT27"/>
  <c r="GJ27"/>
  <c r="GF27"/>
  <c r="FG28"/>
  <c r="FC28"/>
  <c r="S11" i="39"/>
  <c r="S12"/>
  <c r="Q21"/>
  <c r="Q22" i="77"/>
  <c r="Q22" i="39" s="1"/>
  <c r="Q23" i="77"/>
  <c r="Q24"/>
  <c r="Q24" i="39" s="1"/>
  <c r="Q26" i="77"/>
  <c r="R27"/>
  <c r="R27" i="39" s="1"/>
  <c r="N16"/>
  <c r="N17"/>
  <c r="BX28" i="77"/>
  <c r="BT28"/>
  <c r="GJ28"/>
  <c r="GF28"/>
  <c r="GF30"/>
  <c r="IL30"/>
  <c r="N11" i="39"/>
  <c r="N12"/>
  <c r="S18"/>
  <c r="Q18"/>
  <c r="S19"/>
  <c r="AU20" i="77"/>
  <c r="ED20"/>
  <c r="FG20"/>
  <c r="GF20"/>
  <c r="IP20"/>
  <c r="BY27"/>
  <c r="CW27"/>
  <c r="FG27"/>
  <c r="GK27"/>
  <c r="HI27"/>
  <c r="GJ30"/>
  <c r="IP30"/>
  <c r="Q36"/>
  <c r="Q36" i="39" s="1"/>
  <c r="R36" i="77"/>
  <c r="R36" i="39" s="1"/>
  <c r="N36" i="77"/>
  <c r="N36" i="39" s="1"/>
  <c r="BX36" i="77"/>
  <c r="BT36"/>
  <c r="DA37"/>
  <c r="CW37"/>
  <c r="HM37"/>
  <c r="HI37"/>
  <c r="ED38"/>
  <c r="DZ38"/>
  <c r="IP38"/>
  <c r="IL38"/>
  <c r="O45"/>
  <c r="O45" i="39" s="1"/>
  <c r="P45" i="77"/>
  <c r="P45" i="39" s="1"/>
  <c r="AQ20" i="77"/>
  <c r="FC20"/>
  <c r="IL27"/>
  <c r="Q28"/>
  <c r="Q29"/>
  <c r="N30"/>
  <c r="N30" i="39" s="1"/>
  <c r="N34" i="77"/>
  <c r="N34" i="39" s="1"/>
  <c r="BX34" i="77"/>
  <c r="FG34"/>
  <c r="GJ34"/>
  <c r="HM34"/>
  <c r="S37" i="39"/>
  <c r="HM36" i="77"/>
  <c r="HI36"/>
  <c r="ED37"/>
  <c r="DZ37"/>
  <c r="AU38"/>
  <c r="AQ38"/>
  <c r="R39"/>
  <c r="R39" i="39" s="1"/>
  <c r="N39" i="77"/>
  <c r="N39" i="39" s="1"/>
  <c r="S39" i="77"/>
  <c r="S39" i="39" s="1"/>
  <c r="S32"/>
  <c r="FC33" i="77"/>
  <c r="HI33"/>
  <c r="IL33"/>
  <c r="R34"/>
  <c r="ED36"/>
  <c r="DZ36"/>
  <c r="IP36"/>
  <c r="IL36"/>
  <c r="AU37"/>
  <c r="AQ37"/>
  <c r="Q38"/>
  <c r="Q38" i="39" s="1"/>
  <c r="R38" i="77"/>
  <c r="R38" i="39" s="1"/>
  <c r="N38" i="77"/>
  <c r="N38" i="39" s="1"/>
  <c r="BX38" i="77"/>
  <c r="BT38"/>
  <c r="S31" i="39"/>
  <c r="BT32" i="77"/>
  <c r="FC32"/>
  <c r="GF32"/>
  <c r="HI32"/>
  <c r="IL32"/>
  <c r="IP34"/>
  <c r="IL34"/>
  <c r="FG36"/>
  <c r="FC36"/>
  <c r="Q37"/>
  <c r="Q37" i="39" s="1"/>
  <c r="R37" i="77"/>
  <c r="R37" i="39" s="1"/>
  <c r="N37" i="77"/>
  <c r="N37" i="39" s="1"/>
  <c r="GJ37" i="77"/>
  <c r="GF37"/>
  <c r="DA38"/>
  <c r="CW38"/>
  <c r="EC47"/>
  <c r="ED47"/>
  <c r="DZ47"/>
  <c r="FG48"/>
  <c r="FC48"/>
  <c r="GF39"/>
  <c r="GJ39"/>
  <c r="HN39"/>
  <c r="CW40"/>
  <c r="ED40"/>
  <c r="IP40"/>
  <c r="DZ44"/>
  <c r="GF44"/>
  <c r="IL44"/>
  <c r="EE45"/>
  <c r="R46"/>
  <c r="R46" i="39" s="1"/>
  <c r="R44" i="77"/>
  <c r="R44" i="39" s="1"/>
  <c r="N44" i="77"/>
  <c r="N44" i="39" s="1"/>
  <c r="HM44" i="77"/>
  <c r="HI44"/>
  <c r="HN44"/>
  <c r="HN45"/>
  <c r="HI45"/>
  <c r="FG46"/>
  <c r="FC46"/>
  <c r="FH46"/>
  <c r="AV47"/>
  <c r="AQ47"/>
  <c r="FG47"/>
  <c r="FC47"/>
  <c r="FH47"/>
  <c r="FF47"/>
  <c r="ED48"/>
  <c r="DZ48"/>
  <c r="EC53"/>
  <c r="ED53"/>
  <c r="DZ53"/>
  <c r="HL54"/>
  <c r="HM54"/>
  <c r="HI54"/>
  <c r="AU58"/>
  <c r="AQ58"/>
  <c r="HI39"/>
  <c r="HM39"/>
  <c r="N40"/>
  <c r="N40" i="39" s="1"/>
  <c r="R40" i="77"/>
  <c r="S44"/>
  <c r="S44" i="39" s="1"/>
  <c r="AV44" i="77"/>
  <c r="FH44"/>
  <c r="HL44"/>
  <c r="S45"/>
  <c r="S45" i="39" s="1"/>
  <c r="R45" i="77"/>
  <c r="R45" i="39" s="1"/>
  <c r="ED45" i="77"/>
  <c r="HM45"/>
  <c r="IQ45"/>
  <c r="N46"/>
  <c r="N46" i="39" s="1"/>
  <c r="EE47" i="77"/>
  <c r="IP42"/>
  <c r="IL42"/>
  <c r="GI44"/>
  <c r="GJ44"/>
  <c r="AU46"/>
  <c r="AQ46"/>
  <c r="AV46"/>
  <c r="IO46"/>
  <c r="IP46"/>
  <c r="IQ46"/>
  <c r="IL46"/>
  <c r="HM48"/>
  <c r="HI48"/>
  <c r="ED44"/>
  <c r="IP44"/>
  <c r="AU47"/>
  <c r="BX42"/>
  <c r="BT42"/>
  <c r="DA42"/>
  <c r="CW42"/>
  <c r="ED42"/>
  <c r="DZ42"/>
  <c r="FG42"/>
  <c r="FC42"/>
  <c r="IM45"/>
  <c r="EC46"/>
  <c r="ED46"/>
  <c r="EE46"/>
  <c r="DZ46"/>
  <c r="GJ48"/>
  <c r="GF48"/>
  <c r="IP52"/>
  <c r="IL52"/>
  <c r="IO52"/>
  <c r="IQ52"/>
  <c r="AQ39"/>
  <c r="FC39"/>
  <c r="DZ40"/>
  <c r="IL40"/>
  <c r="R42"/>
  <c r="R42" i="39" s="1"/>
  <c r="EC44" i="77"/>
  <c r="IO44"/>
  <c r="S46"/>
  <c r="S46" i="39" s="1"/>
  <c r="AT46" i="77"/>
  <c r="ED49"/>
  <c r="DZ49"/>
  <c r="EE49"/>
  <c r="S50"/>
  <c r="S50" i="39" s="1"/>
  <c r="R50" i="77"/>
  <c r="R50" i="39" s="1"/>
  <c r="N50" i="77"/>
  <c r="N50" i="39" s="1"/>
  <c r="AT50" i="77"/>
  <c r="AV50"/>
  <c r="AQ50"/>
  <c r="Q52"/>
  <c r="Q52" i="39" s="1"/>
  <c r="S52" i="77"/>
  <c r="S52" i="39" s="1"/>
  <c r="N52" i="77"/>
  <c r="N52" i="39" s="1"/>
  <c r="ED52" i="77"/>
  <c r="DZ52"/>
  <c r="FH55"/>
  <c r="FG55"/>
  <c r="FC55"/>
  <c r="ED57"/>
  <c r="DZ57"/>
  <c r="IP57"/>
  <c r="IL57"/>
  <c r="ED58"/>
  <c r="DZ58"/>
  <c r="GK46"/>
  <c r="GI46"/>
  <c r="HM46"/>
  <c r="AT49"/>
  <c r="GJ45"/>
  <c r="GF45"/>
  <c r="IO47"/>
  <c r="IP47"/>
  <c r="IL47"/>
  <c r="Q49"/>
  <c r="Q49" i="39" s="1"/>
  <c r="R49" i="77"/>
  <c r="R49" i="39" s="1"/>
  <c r="N49" i="77"/>
  <c r="N49" i="39" s="1"/>
  <c r="GJ50" i="77"/>
  <c r="GF50"/>
  <c r="HL52"/>
  <c r="HN52"/>
  <c r="HI52"/>
  <c r="HN53"/>
  <c r="HM53"/>
  <c r="HI53"/>
  <c r="Q54"/>
  <c r="Q54" i="39" s="1"/>
  <c r="R54" i="77"/>
  <c r="R54" i="39" s="1"/>
  <c r="AV55" i="77"/>
  <c r="AU55"/>
  <c r="AQ55"/>
  <c r="GI55"/>
  <c r="GJ55"/>
  <c r="DA57"/>
  <c r="CW57"/>
  <c r="HM57"/>
  <c r="HI57"/>
  <c r="DA58"/>
  <c r="CW58"/>
  <c r="HM58"/>
  <c r="HI58"/>
  <c r="GI45"/>
  <c r="GJ47"/>
  <c r="IQ47"/>
  <c r="S49"/>
  <c r="S49" i="39" s="1"/>
  <c r="AQ49" i="77"/>
  <c r="EC49"/>
  <c r="Q50"/>
  <c r="Q50" i="39" s="1"/>
  <c r="AU50" i="77"/>
  <c r="R52"/>
  <c r="R52" i="39" s="1"/>
  <c r="EE52" i="77"/>
  <c r="IP48"/>
  <c r="IL48"/>
  <c r="IQ49"/>
  <c r="IP49"/>
  <c r="IL49"/>
  <c r="IO53"/>
  <c r="IP53"/>
  <c r="GK54"/>
  <c r="GJ54"/>
  <c r="GF54"/>
  <c r="IN54"/>
  <c r="GJ57"/>
  <c r="GF57"/>
  <c r="BX58"/>
  <c r="BT58"/>
  <c r="IP60"/>
  <c r="IL60"/>
  <c r="HM49"/>
  <c r="HI49"/>
  <c r="S53"/>
  <c r="S53" i="39" s="1"/>
  <c r="R53" i="77"/>
  <c r="R53" i="39" s="1"/>
  <c r="N53" i="77"/>
  <c r="N53" i="39" s="1"/>
  <c r="HL49" i="77"/>
  <c r="DA50"/>
  <c r="DZ50"/>
  <c r="EE50"/>
  <c r="HM50"/>
  <c r="IL50"/>
  <c r="IQ50"/>
  <c r="N51" i="39"/>
  <c r="AU52" i="77"/>
  <c r="FG52"/>
  <c r="GF52"/>
  <c r="GK52"/>
  <c r="EE53"/>
  <c r="IQ53"/>
  <c r="S54"/>
  <c r="S54" i="39" s="1"/>
  <c r="HN54" i="77"/>
  <c r="GK55"/>
  <c r="R57"/>
  <c r="R57" i="39" s="1"/>
  <c r="R58" i="77"/>
  <c r="R58" i="39" s="1"/>
  <c r="R59" i="77"/>
  <c r="R59" i="39" s="1"/>
  <c r="GJ53" i="77"/>
  <c r="GF53"/>
  <c r="GI53"/>
  <c r="AU54"/>
  <c r="AQ54"/>
  <c r="AT54"/>
  <c r="FG54"/>
  <c r="FC54"/>
  <c r="FF54"/>
  <c r="ED55"/>
  <c r="DZ55"/>
  <c r="EC55"/>
  <c r="IP55"/>
  <c r="IL55"/>
  <c r="IO55"/>
  <c r="CZ50"/>
  <c r="HL50"/>
  <c r="AT52"/>
  <c r="FF52"/>
  <c r="GK53"/>
  <c r="AV54"/>
  <c r="FH54"/>
  <c r="EE55"/>
  <c r="IQ55"/>
  <c r="AU59"/>
  <c r="AQ59"/>
  <c r="BX59"/>
  <c r="BT59"/>
  <c r="DA59"/>
  <c r="CW59"/>
  <c r="GJ59"/>
  <c r="GF59"/>
  <c r="IP59"/>
  <c r="IL59"/>
  <c r="AU60"/>
  <c r="AQ60"/>
  <c r="FG60"/>
  <c r="FC60"/>
  <c r="GJ60"/>
  <c r="GF60"/>
  <c r="HI60"/>
  <c r="HM60"/>
  <c r="N59"/>
  <c r="N59" i="39" s="1"/>
  <c r="N60" i="77"/>
  <c r="N60" i="39" s="1"/>
  <c r="ED66" i="77"/>
  <c r="DZ66"/>
  <c r="EE66"/>
  <c r="N61" i="39"/>
  <c r="N62" i="77"/>
  <c r="N62" i="39" s="1"/>
  <c r="BT62" i="77"/>
  <c r="GF62"/>
  <c r="N63"/>
  <c r="N63" i="39" s="1"/>
  <c r="BT63" i="77"/>
  <c r="GF63"/>
  <c r="AU64"/>
  <c r="GF64"/>
  <c r="GK64"/>
  <c r="R65"/>
  <c r="R65" i="39" s="1"/>
  <c r="Q66" i="77"/>
  <c r="Q66" i="39" s="1"/>
  <c r="AT66" i="77"/>
  <c r="R66"/>
  <c r="R66" i="39" s="1"/>
  <c r="N66" i="77"/>
  <c r="N66" i="39" s="1"/>
  <c r="IQ66" i="77"/>
  <c r="IP66"/>
  <c r="IL66"/>
  <c r="AU67"/>
  <c r="AQ67"/>
  <c r="CW67"/>
  <c r="HN68"/>
  <c r="HM68"/>
  <c r="HI68"/>
  <c r="Q69"/>
  <c r="Q69" i="39" s="1"/>
  <c r="R69" i="77"/>
  <c r="R69" i="39" s="1"/>
  <c r="N69" i="77"/>
  <c r="N69" i="39" s="1"/>
  <c r="FC63" i="77"/>
  <c r="N64"/>
  <c r="N64" i="39" s="1"/>
  <c r="AT64" i="77"/>
  <c r="CW64"/>
  <c r="HI64"/>
  <c r="S66"/>
  <c r="S66" i="39" s="1"/>
  <c r="AQ66" i="77"/>
  <c r="HL66"/>
  <c r="AU65"/>
  <c r="AQ65"/>
  <c r="BX65"/>
  <c r="BT65"/>
  <c r="DA65"/>
  <c r="CW65"/>
  <c r="ED65"/>
  <c r="DZ65"/>
  <c r="HM65"/>
  <c r="HI65"/>
  <c r="HM66"/>
  <c r="HI66"/>
  <c r="IP68"/>
  <c r="IL68"/>
  <c r="IQ68"/>
  <c r="IO68"/>
  <c r="EE64"/>
  <c r="IQ64"/>
  <c r="HN66"/>
  <c r="ED64"/>
  <c r="DZ64"/>
  <c r="IP64"/>
  <c r="IL64"/>
  <c r="R67"/>
  <c r="R67" i="39" s="1"/>
  <c r="N67" i="77"/>
  <c r="N67" i="39" s="1"/>
  <c r="Q67" i="77"/>
  <c r="Q67" i="39" s="1"/>
  <c r="S67"/>
  <c r="BX67" i="77"/>
  <c r="BT67"/>
  <c r="ED68"/>
  <c r="DZ68"/>
  <c r="EE68"/>
  <c r="ED62"/>
  <c r="IP62"/>
  <c r="AU66"/>
  <c r="R68"/>
  <c r="AT68"/>
  <c r="S69" i="39"/>
  <c r="AU69" i="77"/>
  <c r="ED67"/>
  <c r="IP67"/>
  <c r="AU68"/>
  <c r="HL68"/>
  <c r="BX69"/>
  <c r="N70"/>
  <c r="N70" i="39" s="1"/>
  <c r="R70" i="77"/>
  <c r="S71" i="39"/>
  <c r="AQ72" i="77"/>
  <c r="AU72"/>
  <c r="BY72"/>
  <c r="CY72"/>
  <c r="EC72"/>
  <c r="GK72"/>
  <c r="AV73"/>
  <c r="DZ73"/>
  <c r="ED73"/>
  <c r="IL73"/>
  <c r="IP73"/>
  <c r="AQ69"/>
  <c r="BT69"/>
  <c r="CW69"/>
  <c r="DZ69"/>
  <c r="GF69"/>
  <c r="AQ70"/>
  <c r="BT70"/>
  <c r="CW70"/>
  <c r="GF70"/>
  <c r="GJ70"/>
  <c r="IL70"/>
  <c r="IP70"/>
  <c r="N71" i="39"/>
  <c r="R71"/>
  <c r="AT72" i="77"/>
  <c r="BT72"/>
  <c r="BX72"/>
  <c r="CX72"/>
  <c r="GF72"/>
  <c r="GJ72"/>
  <c r="AQ73"/>
  <c r="AU73"/>
  <c r="HN73"/>
  <c r="BT68"/>
  <c r="GF68"/>
  <c r="DZ72"/>
  <c r="N73"/>
  <c r="N73" i="39" s="1"/>
  <c r="CW73" i="77"/>
  <c r="HI73"/>
  <c r="R79" i="39"/>
  <c r="IP83" i="77"/>
  <c r="R83" i="74" s="1"/>
  <c r="IL83" i="77"/>
  <c r="N83" i="74" s="1"/>
  <c r="Q85" i="77"/>
  <c r="R85"/>
  <c r="N85"/>
  <c r="BX85"/>
  <c r="R85" i="68" s="1"/>
  <c r="BT85" i="77"/>
  <c r="N85" i="68" s="1"/>
  <c r="DA86" i="77"/>
  <c r="R86" i="69" s="1"/>
  <c r="CW86" i="77"/>
  <c r="N86" i="69" s="1"/>
  <c r="IP88" i="77"/>
  <c r="R88" i="74" s="1"/>
  <c r="IL88" i="77"/>
  <c r="N88" i="74" s="1"/>
  <c r="AU90" i="77"/>
  <c r="AQ90"/>
  <c r="HM92"/>
  <c r="HI92"/>
  <c r="ED93"/>
  <c r="DZ93"/>
  <c r="FG95"/>
  <c r="FC95"/>
  <c r="Q96"/>
  <c r="Q97" i="39" s="1"/>
  <c r="R96" i="77"/>
  <c r="R97" i="39" s="1"/>
  <c r="N96" i="77"/>
  <c r="N97" i="39" s="1"/>
  <c r="ED82" i="77"/>
  <c r="DZ82"/>
  <c r="IP82"/>
  <c r="IL82"/>
  <c r="FG83"/>
  <c r="R83" i="71" s="1"/>
  <c r="FC83" i="77"/>
  <c r="N83" i="71" s="1"/>
  <c r="Q84" i="77"/>
  <c r="R84"/>
  <c r="N84"/>
  <c r="GJ84"/>
  <c r="R84" i="72" s="1"/>
  <c r="GF84" i="77"/>
  <c r="N84" i="72" s="1"/>
  <c r="HM85" i="77"/>
  <c r="R85" i="73" s="1"/>
  <c r="HI85" i="77"/>
  <c r="N85" i="73" s="1"/>
  <c r="IP86" i="77"/>
  <c r="R86" i="74" s="1"/>
  <c r="IL86" i="77"/>
  <c r="N86" i="74" s="1"/>
  <c r="FG88" i="77"/>
  <c r="R88" i="71" s="1"/>
  <c r="FC88" i="77"/>
  <c r="N88" i="71" s="1"/>
  <c r="Q90" i="77"/>
  <c r="R90"/>
  <c r="N90"/>
  <c r="GJ90"/>
  <c r="GF90"/>
  <c r="ED92"/>
  <c r="DZ92"/>
  <c r="AU93"/>
  <c r="AQ93"/>
  <c r="Q95"/>
  <c r="R95"/>
  <c r="N95"/>
  <c r="GJ95"/>
  <c r="GF95"/>
  <c r="HM96"/>
  <c r="HI96"/>
  <c r="R273" i="39"/>
  <c r="N273"/>
  <c r="S114"/>
  <c r="S83" i="72"/>
  <c r="S84" i="73"/>
  <c r="S85" i="74"/>
  <c r="S88" i="72"/>
  <c r="S79" i="39"/>
  <c r="S83" i="73"/>
  <c r="S84" i="70"/>
  <c r="S84" i="74"/>
  <c r="S85" i="71"/>
  <c r="S86" i="72"/>
  <c r="S88" i="69"/>
  <c r="S88" i="73"/>
  <c r="S97" i="39"/>
  <c r="AU82" i="77"/>
  <c r="AQ82"/>
  <c r="GJ83"/>
  <c r="R83" i="72" s="1"/>
  <c r="GF83" i="77"/>
  <c r="N83" i="72" s="1"/>
  <c r="HM84" i="77"/>
  <c r="R84" i="73" s="1"/>
  <c r="HI84" i="77"/>
  <c r="N84" i="73" s="1"/>
  <c r="IP85" i="77"/>
  <c r="R85" i="74" s="1"/>
  <c r="IL85" i="77"/>
  <c r="N85" i="74" s="1"/>
  <c r="Q88" i="77"/>
  <c r="R88"/>
  <c r="N88"/>
  <c r="AU92"/>
  <c r="AQ92"/>
  <c r="Q93"/>
  <c r="R93"/>
  <c r="N93"/>
  <c r="HM95"/>
  <c r="HI95"/>
  <c r="ED96"/>
  <c r="DZ96"/>
  <c r="R286" i="69"/>
  <c r="N286"/>
  <c r="S286"/>
  <c r="R286" i="73"/>
  <c r="N286"/>
  <c r="S286"/>
  <c r="R138" i="71"/>
  <c r="N138"/>
  <c r="S138"/>
  <c r="Q83" i="77"/>
  <c r="R83"/>
  <c r="N83"/>
  <c r="BX83"/>
  <c r="R83" i="68" s="1"/>
  <c r="BT83" i="77"/>
  <c r="N83" i="68" s="1"/>
  <c r="FG86" i="77"/>
  <c r="R86" i="71" s="1"/>
  <c r="FC86" i="77"/>
  <c r="N86" i="71" s="1"/>
  <c r="GJ88" i="77"/>
  <c r="R88" i="72" s="1"/>
  <c r="GF88" i="77"/>
  <c r="N88" i="72" s="1"/>
  <c r="HM90" i="77"/>
  <c r="HI90"/>
  <c r="GJ93"/>
  <c r="GF93"/>
  <c r="IP96"/>
  <c r="IL96"/>
  <c r="Q100" i="39"/>
  <c r="R100"/>
  <c r="N100"/>
  <c r="R78"/>
  <c r="N78"/>
  <c r="S78"/>
  <c r="Q82" i="77"/>
  <c r="Q80" i="39" s="1"/>
  <c r="R82" i="77"/>
  <c r="N82"/>
  <c r="N80" i="39" s="1"/>
  <c r="GJ82" i="77"/>
  <c r="GF82"/>
  <c r="HM83"/>
  <c r="R83" i="73" s="1"/>
  <c r="HI83" i="77"/>
  <c r="N83" i="73" s="1"/>
  <c r="ED84" i="77"/>
  <c r="R84" i="70" s="1"/>
  <c r="DZ84" i="77"/>
  <c r="N84" i="70" s="1"/>
  <c r="IP84" i="77"/>
  <c r="R84" i="74" s="1"/>
  <c r="IL84" i="77"/>
  <c r="N84" i="74" s="1"/>
  <c r="FG85" i="77"/>
  <c r="R85" i="71" s="1"/>
  <c r="FC85" i="77"/>
  <c r="N85" i="71" s="1"/>
  <c r="Q86" i="77"/>
  <c r="R86"/>
  <c r="N86"/>
  <c r="GJ86"/>
  <c r="R86" i="72" s="1"/>
  <c r="GF86" i="77"/>
  <c r="N86" i="72" s="1"/>
  <c r="DA88" i="77"/>
  <c r="R88" i="69" s="1"/>
  <c r="CW88" i="77"/>
  <c r="N88" i="69" s="1"/>
  <c r="HM88" i="77"/>
  <c r="R88" i="73" s="1"/>
  <c r="HI88" i="77"/>
  <c r="N88" i="73" s="1"/>
  <c r="IP90" i="77"/>
  <c r="IL90"/>
  <c r="Q92"/>
  <c r="Q94" i="39" s="1"/>
  <c r="R92" i="77"/>
  <c r="R94" i="39" s="1"/>
  <c r="N92" i="77"/>
  <c r="N94" i="39" s="1"/>
  <c r="GJ92" i="77"/>
  <c r="GF92"/>
  <c r="DA93"/>
  <c r="CW93"/>
  <c r="HM93"/>
  <c r="HI93"/>
  <c r="ED95"/>
  <c r="DZ95"/>
  <c r="IP95"/>
  <c r="IL95"/>
  <c r="AU96"/>
  <c r="AQ96"/>
  <c r="Q98" i="39"/>
  <c r="R98"/>
  <c r="N98"/>
  <c r="R286" i="68"/>
  <c r="N286"/>
  <c r="S286"/>
  <c r="S125" i="39"/>
  <c r="N125"/>
  <c r="S100"/>
  <c r="S112" i="70"/>
  <c r="S112" i="74"/>
  <c r="HM82" i="77"/>
  <c r="HI82"/>
  <c r="FG84"/>
  <c r="R84" i="71" s="1"/>
  <c r="FC84" i="77"/>
  <c r="N84" i="71" s="1"/>
  <c r="GJ85" i="77"/>
  <c r="R85" i="72" s="1"/>
  <c r="GF85" i="77"/>
  <c r="N85" i="72" s="1"/>
  <c r="HM86" i="77"/>
  <c r="R86" i="73" s="1"/>
  <c r="HI86" i="77"/>
  <c r="N86" i="73" s="1"/>
  <c r="FG90" i="77"/>
  <c r="FC90"/>
  <c r="DA92"/>
  <c r="CW92"/>
  <c r="GJ96"/>
  <c r="GF96"/>
  <c r="R286" i="71"/>
  <c r="N286"/>
  <c r="S286"/>
  <c r="R137" i="72"/>
  <c r="N137"/>
  <c r="S83" i="68"/>
  <c r="S86" i="71"/>
  <c r="S112" i="65"/>
  <c r="R144" i="39"/>
  <c r="O192"/>
  <c r="R169" i="65"/>
  <c r="N169"/>
  <c r="S169"/>
  <c r="R169" i="73"/>
  <c r="N169"/>
  <c r="S169"/>
  <c r="R114" i="65"/>
  <c r="N114"/>
  <c r="R114" i="71"/>
  <c r="N114"/>
  <c r="R114" i="72"/>
  <c r="N114"/>
  <c r="S114"/>
  <c r="R114" i="73"/>
  <c r="N114"/>
  <c r="R131" i="74"/>
  <c r="N131"/>
  <c r="R137" i="71"/>
  <c r="N137"/>
  <c r="R137" i="74"/>
  <c r="N137"/>
  <c r="S137"/>
  <c r="R138" i="65"/>
  <c r="N138"/>
  <c r="S138"/>
  <c r="S162" i="72"/>
  <c r="S119" i="39"/>
  <c r="S123"/>
  <c r="N126"/>
  <c r="S128"/>
  <c r="S131" i="74"/>
  <c r="S144" i="39"/>
  <c r="R150"/>
  <c r="S150"/>
  <c r="R192"/>
  <c r="S192"/>
  <c r="R112" i="65"/>
  <c r="N112"/>
  <c r="R112" i="68"/>
  <c r="N112"/>
  <c r="S112"/>
  <c r="R112" i="72"/>
  <c r="N112"/>
  <c r="S112"/>
  <c r="R131" i="70"/>
  <c r="N131"/>
  <c r="R131" i="73"/>
  <c r="N131"/>
  <c r="R137" i="70"/>
  <c r="N137"/>
  <c r="S137"/>
  <c r="R162" i="71"/>
  <c r="N162"/>
  <c r="S126" i="39"/>
  <c r="S131" i="70"/>
  <c r="S149" i="39"/>
  <c r="O112"/>
  <c r="R131" i="72"/>
  <c r="N131"/>
  <c r="S131"/>
  <c r="R138"/>
  <c r="N138"/>
  <c r="R162" i="65"/>
  <c r="N162"/>
  <c r="S162"/>
  <c r="S162" i="70"/>
  <c r="S170" i="72"/>
  <c r="R112" i="70"/>
  <c r="N112"/>
  <c r="R112" i="74"/>
  <c r="N112"/>
  <c r="R114"/>
  <c r="N114"/>
  <c r="R286"/>
  <c r="N286"/>
  <c r="R131" i="65"/>
  <c r="N131"/>
  <c r="R137" i="73"/>
  <c r="N137"/>
  <c r="R138" i="70"/>
  <c r="N138"/>
  <c r="R138" i="74"/>
  <c r="N138"/>
  <c r="R169" i="71"/>
  <c r="N169"/>
  <c r="S169"/>
  <c r="R170" i="74"/>
  <c r="N170"/>
  <c r="S170"/>
  <c r="Q136" i="39"/>
  <c r="Q112"/>
  <c r="Q286"/>
  <c r="Q123"/>
  <c r="S146"/>
  <c r="S162" i="74"/>
  <c r="R162" i="72"/>
  <c r="N162"/>
  <c r="R169" i="74"/>
  <c r="N169"/>
  <c r="R170" i="71"/>
  <c r="N170"/>
  <c r="R183" i="70"/>
  <c r="N183"/>
  <c r="S183"/>
  <c r="R183" i="74"/>
  <c r="N183"/>
  <c r="S183"/>
  <c r="Q142" i="39"/>
  <c r="Q137"/>
  <c r="Q138"/>
  <c r="R195"/>
  <c r="Q196"/>
  <c r="N174"/>
  <c r="Q200"/>
  <c r="R180" i="71"/>
  <c r="R181" i="68"/>
  <c r="R170"/>
  <c r="N170"/>
  <c r="R170" i="72"/>
  <c r="N170"/>
  <c r="R198" i="39"/>
  <c r="N198"/>
  <c r="S237"/>
  <c r="N243"/>
  <c r="R180" i="68"/>
  <c r="R180" i="72"/>
  <c r="R162" i="70"/>
  <c r="N162"/>
  <c r="R162" i="74"/>
  <c r="N162"/>
  <c r="R169" i="72"/>
  <c r="N169"/>
  <c r="R170" i="73"/>
  <c r="N170"/>
  <c r="R181" i="74"/>
  <c r="N181"/>
  <c r="S181"/>
  <c r="Q202" i="39"/>
  <c r="R202"/>
  <c r="S202"/>
  <c r="N202"/>
  <c r="R182" i="74"/>
  <c r="N182"/>
  <c r="S182"/>
  <c r="Q203" i="39"/>
  <c r="R203"/>
  <c r="S203"/>
  <c r="Q149"/>
  <c r="Q272"/>
  <c r="Q192"/>
  <c r="Q198"/>
  <c r="R182" i="71"/>
  <c r="N182"/>
  <c r="R183"/>
  <c r="N183"/>
  <c r="HM200" i="77"/>
  <c r="HI200"/>
  <c r="S195" i="39"/>
  <c r="S196"/>
  <c r="S276"/>
  <c r="S198"/>
  <c r="S201"/>
  <c r="S183" i="69"/>
  <c r="N206" i="39"/>
  <c r="S206"/>
  <c r="IL204" i="77"/>
  <c r="R181" i="72"/>
  <c r="N181"/>
  <c r="R182"/>
  <c r="N182"/>
  <c r="R183"/>
  <c r="N183"/>
  <c r="ED200" i="77"/>
  <c r="IP200"/>
  <c r="S180" i="68"/>
  <c r="S180" i="71"/>
  <c r="S180" i="72"/>
  <c r="S180" i="73"/>
  <c r="S180" i="74"/>
  <c r="R201" i="39"/>
  <c r="S181" i="68"/>
  <c r="S181" i="71"/>
  <c r="R206" i="39"/>
  <c r="S209"/>
  <c r="R204" i="77"/>
  <c r="R209" i="39" s="1"/>
  <c r="R181" i="73"/>
  <c r="N181"/>
  <c r="R182" i="69"/>
  <c r="N182"/>
  <c r="R182" i="73"/>
  <c r="N182"/>
  <c r="R183" i="69"/>
  <c r="N183"/>
  <c r="HM204" i="77"/>
  <c r="HI204"/>
  <c r="R214" i="39"/>
  <c r="N214"/>
  <c r="N180" i="68"/>
  <c r="N180" i="71"/>
  <c r="N180" i="72"/>
  <c r="N180" i="73"/>
  <c r="N180" i="74"/>
  <c r="N181" i="68"/>
  <c r="N181" i="71"/>
  <c r="S182"/>
  <c r="S183"/>
  <c r="DZ200" i="77"/>
  <c r="IL200"/>
  <c r="R207" i="39"/>
  <c r="FD200" i="77"/>
  <c r="FE200"/>
  <c r="IP204"/>
  <c r="HI224"/>
  <c r="S227" i="65"/>
  <c r="AQ227" i="77"/>
  <c r="N227" i="65" s="1"/>
  <c r="S227" i="71"/>
  <c r="FC227" i="77"/>
  <c r="N227" i="71" s="1"/>
  <c r="S227" i="73"/>
  <c r="HI227" i="77"/>
  <c r="N227" i="73" s="1"/>
  <c r="ED232" i="77"/>
  <c r="R232" i="70" s="1"/>
  <c r="DZ232" i="77"/>
  <c r="N232" i="70" s="1"/>
  <c r="GJ232" i="77"/>
  <c r="R232" i="72" s="1"/>
  <c r="GF232" i="77"/>
  <c r="N232" i="72" s="1"/>
  <c r="Q224" i="77"/>
  <c r="HM224"/>
  <c r="AU227"/>
  <c r="R227" i="65" s="1"/>
  <c r="FG227" i="77"/>
  <c r="R227" i="71" s="1"/>
  <c r="HM227" i="77"/>
  <c r="R227" i="73" s="1"/>
  <c r="GF224" i="77"/>
  <c r="ED205"/>
  <c r="IP205"/>
  <c r="GJ224"/>
  <c r="S227" i="72"/>
  <c r="GF227" i="77"/>
  <c r="N227" i="72" s="1"/>
  <c r="S227" i="74"/>
  <c r="IL227" i="77"/>
  <c r="N227" i="74" s="1"/>
  <c r="AU232" i="77"/>
  <c r="R232" i="65" s="1"/>
  <c r="AQ232" i="77"/>
  <c r="N232" i="65" s="1"/>
  <c r="FG232" i="77"/>
  <c r="R232" i="71" s="1"/>
  <c r="FC232" i="77"/>
  <c r="N232" i="71" s="1"/>
  <c r="N200" i="77"/>
  <c r="N208" i="39" s="1"/>
  <c r="GF200" i="77"/>
  <c r="N204"/>
  <c r="N209" i="39" s="1"/>
  <c r="BT204" i="77"/>
  <c r="GF204"/>
  <c r="N205"/>
  <c r="N210" i="39" s="1"/>
  <c r="GF205" i="77"/>
  <c r="N211" i="39"/>
  <c r="N213"/>
  <c r="N215"/>
  <c r="N226" i="77"/>
  <c r="S219" i="39"/>
  <c r="GJ227" i="77"/>
  <c r="R227" i="72" s="1"/>
  <c r="IP227" i="77"/>
  <c r="R227" i="74" s="1"/>
  <c r="AQ224" i="77"/>
  <c r="DZ224"/>
  <c r="IL224"/>
  <c r="S215" i="39"/>
  <c r="AU224" i="77"/>
  <c r="ED224"/>
  <c r="IP224"/>
  <c r="S232" i="65"/>
  <c r="S232" i="70"/>
  <c r="S232" i="71"/>
  <c r="S232" i="72"/>
  <c r="R235" i="77"/>
  <c r="R235" i="39" s="1"/>
  <c r="GH233" i="77"/>
  <c r="P233" i="72" s="1"/>
  <c r="GG233" i="77"/>
  <c r="O233" i="72" s="1"/>
  <c r="Q215" i="39"/>
  <c r="Q227" i="77"/>
  <c r="Q219" i="39" s="1"/>
  <c r="S228"/>
  <c r="IN236" i="77"/>
  <c r="P236" i="74" s="1"/>
  <c r="IM236" i="77"/>
  <c r="O236" i="74" s="1"/>
  <c r="R234" i="77"/>
  <c r="R240" i="39" s="1"/>
  <c r="R237" i="77"/>
  <c r="R232"/>
  <c r="R221" i="39" s="1"/>
  <c r="N232" i="77"/>
  <c r="N221" i="39" s="1"/>
  <c r="HJ234" i="77"/>
  <c r="O234" i="73" s="1"/>
  <c r="S226" i="39"/>
  <c r="S240"/>
  <c r="DA237" i="77"/>
  <c r="CW237"/>
  <c r="FG242"/>
  <c r="FC242"/>
  <c r="GJ242"/>
  <c r="GF242"/>
  <c r="HM242"/>
  <c r="HI242"/>
  <c r="IP242"/>
  <c r="IL242"/>
  <c r="BX244"/>
  <c r="BT244"/>
  <c r="DA244"/>
  <c r="CW244"/>
  <c r="N233"/>
  <c r="N234"/>
  <c r="N240" i="39" s="1"/>
  <c r="N235" i="77"/>
  <c r="N241" i="39" s="1"/>
  <c r="N236" i="77"/>
  <c r="N237"/>
  <c r="IP237"/>
  <c r="IL237"/>
  <c r="ED238"/>
  <c r="R238" i="70" s="1"/>
  <c r="DZ238" i="77"/>
  <c r="N238" i="70" s="1"/>
  <c r="IP238" i="77"/>
  <c r="R238" i="74" s="1"/>
  <c r="IL238" i="77"/>
  <c r="N238" i="74" s="1"/>
  <c r="ED239" i="77"/>
  <c r="DZ239"/>
  <c r="IP239"/>
  <c r="IL239"/>
  <c r="AU245"/>
  <c r="AQ245"/>
  <c r="FG237"/>
  <c r="FC237"/>
  <c r="AU238"/>
  <c r="R238" i="65" s="1"/>
  <c r="AQ238" i="77"/>
  <c r="N238" i="65" s="1"/>
  <c r="FG238" i="77"/>
  <c r="R238" i="71" s="1"/>
  <c r="FC238" i="77"/>
  <c r="N238" i="71" s="1"/>
  <c r="AU239" i="77"/>
  <c r="AQ239"/>
  <c r="FG239"/>
  <c r="FC239"/>
  <c r="AU242"/>
  <c r="AQ242"/>
  <c r="FG244"/>
  <c r="FC244"/>
  <c r="GJ245"/>
  <c r="GF245"/>
  <c r="N238"/>
  <c r="N244" i="39" s="1"/>
  <c r="N239" i="77"/>
  <c r="N242"/>
  <c r="IP246"/>
  <c r="BX237"/>
  <c r="BT237"/>
  <c r="GJ237"/>
  <c r="GF237"/>
  <c r="GJ238"/>
  <c r="R238" i="72" s="1"/>
  <c r="GF238" i="77"/>
  <c r="N238" i="72" s="1"/>
  <c r="GJ239" i="77"/>
  <c r="GF239"/>
  <c r="R238"/>
  <c r="S238" i="70"/>
  <c r="S238" i="74"/>
  <c r="R239" i="77"/>
  <c r="R242"/>
  <c r="AU247"/>
  <c r="HM244"/>
  <c r="HI244"/>
  <c r="DA245"/>
  <c r="CW245"/>
  <c r="HM245"/>
  <c r="HI245"/>
  <c r="FG246"/>
  <c r="Q247"/>
  <c r="Q250" i="39" s="1"/>
  <c r="IP244" i="77"/>
  <c r="IL244"/>
  <c r="ED245"/>
  <c r="DZ245"/>
  <c r="Q246"/>
  <c r="R246"/>
  <c r="N246"/>
  <c r="FG249"/>
  <c r="FC249"/>
  <c r="GJ255"/>
  <c r="GF255"/>
  <c r="GK255"/>
  <c r="R248"/>
  <c r="AU248"/>
  <c r="FG248"/>
  <c r="GJ248"/>
  <c r="HM248"/>
  <c r="IP248"/>
  <c r="R249"/>
  <c r="R252" i="39" s="1"/>
  <c r="BX249" i="77"/>
  <c r="FF249"/>
  <c r="N253"/>
  <c r="N254" i="39" s="1"/>
  <c r="AQ253" i="77"/>
  <c r="BX253"/>
  <c r="ED253"/>
  <c r="GJ253"/>
  <c r="IP253"/>
  <c r="S250" i="39"/>
  <c r="Q248" i="77"/>
  <c r="Q251" i="39" s="1"/>
  <c r="Q249" i="77"/>
  <c r="BY249"/>
  <c r="DA249"/>
  <c r="GJ249"/>
  <c r="BX255"/>
  <c r="BT255"/>
  <c r="BY255"/>
  <c r="N247"/>
  <c r="N250" i="39" s="1"/>
  <c r="R247" i="77"/>
  <c r="R250" i="39" s="1"/>
  <c r="GK249" i="77"/>
  <c r="R253"/>
  <c r="R254" i="39" s="1"/>
  <c r="AU253" i="77"/>
  <c r="BT253"/>
  <c r="DZ253"/>
  <c r="GF253"/>
  <c r="IL253"/>
  <c r="FF255"/>
  <c r="FG255"/>
  <c r="FC255"/>
  <c r="FH255"/>
  <c r="BT246"/>
  <c r="FC246"/>
  <c r="GF246"/>
  <c r="HI246"/>
  <c r="IL246"/>
  <c r="AQ247"/>
  <c r="DZ247"/>
  <c r="FC247"/>
  <c r="GF247"/>
  <c r="IL247"/>
  <c r="AQ248"/>
  <c r="FC248"/>
  <c r="GF248"/>
  <c r="HI248"/>
  <c r="IL248"/>
  <c r="N249"/>
  <c r="N252" i="39" s="1"/>
  <c r="BT249" i="77"/>
  <c r="FH249"/>
  <c r="S254" i="39"/>
  <c r="GI255" i="77"/>
  <c r="IL255"/>
  <c r="IP255"/>
  <c r="Q256"/>
  <c r="AQ256"/>
  <c r="AU256"/>
  <c r="BT256"/>
  <c r="BX256"/>
  <c r="DZ256"/>
  <c r="ED256"/>
  <c r="GF256"/>
  <c r="GJ256"/>
  <c r="IL256"/>
  <c r="IP256"/>
  <c r="Q257"/>
  <c r="Q257" i="39" s="1"/>
  <c r="AQ257" i="77"/>
  <c r="AU257"/>
  <c r="FC257"/>
  <c r="FG257"/>
  <c r="GF257"/>
  <c r="GJ257"/>
  <c r="HI257"/>
  <c r="HM257"/>
  <c r="IL257"/>
  <c r="IP257"/>
  <c r="S257" i="39"/>
  <c r="N257" i="77"/>
  <c r="N257" i="39" s="1"/>
  <c r="AU353" i="77"/>
  <c r="AQ353"/>
  <c r="IP352"/>
  <c r="IL352"/>
  <c r="ED355"/>
  <c r="DZ355"/>
  <c r="IP355"/>
  <c r="IL355"/>
  <c r="FG357"/>
  <c r="FC357"/>
  <c r="GJ352"/>
  <c r="N352"/>
  <c r="N352" i="39" s="1"/>
  <c r="R352" i="77"/>
  <c r="R352" i="39" s="1"/>
  <c r="Q352" i="77"/>
  <c r="Q352" i="39" s="1"/>
  <c r="AQ352" i="77"/>
  <c r="AU352"/>
  <c r="S353" i="39"/>
  <c r="ED353" i="77"/>
  <c r="DZ353"/>
  <c r="IP353"/>
  <c r="IL353"/>
  <c r="AU355"/>
  <c r="AQ355"/>
  <c r="BX357"/>
  <c r="BT357"/>
  <c r="GJ357"/>
  <c r="GF357"/>
  <c r="ED352"/>
  <c r="DZ352"/>
  <c r="GF352"/>
  <c r="HI352"/>
  <c r="FG353"/>
  <c r="FC353"/>
  <c r="GJ355"/>
  <c r="GF355"/>
  <c r="HM357"/>
  <c r="HI357"/>
  <c r="GJ353"/>
  <c r="GF353"/>
  <c r="HM355"/>
  <c r="HI355"/>
  <c r="IP357"/>
  <c r="IL357"/>
  <c r="AR358"/>
  <c r="O358" i="65" s="1"/>
  <c r="AS358" i="77"/>
  <c r="P358" i="65" s="1"/>
  <c r="S362" i="39"/>
  <c r="N359" i="77"/>
  <c r="S355" i="39"/>
  <c r="FG358" i="77"/>
  <c r="R358" i="71" s="1"/>
  <c r="FC358" i="77"/>
  <c r="N358" i="71" s="1"/>
  <c r="GJ358" i="77"/>
  <c r="R358" i="72" s="1"/>
  <c r="GF358" i="77"/>
  <c r="N358" i="72" s="1"/>
  <c r="S358"/>
  <c r="R361" i="73"/>
  <c r="N361"/>
  <c r="N353" i="77"/>
  <c r="N353" i="39" s="1"/>
  <c r="R353" i="77"/>
  <c r="R353" i="39" s="1"/>
  <c r="N355" i="77"/>
  <c r="N355" i="39" s="1"/>
  <c r="R355" i="77"/>
  <c r="R355" i="39" s="1"/>
  <c r="N357" i="77"/>
  <c r="N357" i="39" s="1"/>
  <c r="R357" i="77"/>
  <c r="N358"/>
  <c r="N358" i="39" s="1"/>
  <c r="R358" i="77"/>
  <c r="R358" i="39" s="1"/>
  <c r="S358" i="65"/>
  <c r="S358" i="68"/>
  <c r="S363" i="39"/>
  <c r="S361" i="73"/>
  <c r="S365" i="39"/>
  <c r="EC367" i="77"/>
  <c r="IO367"/>
  <c r="AV367"/>
  <c r="AQ367"/>
  <c r="AT367"/>
  <c r="FH367"/>
  <c r="FC367"/>
  <c r="FF367"/>
  <c r="S368"/>
  <c r="S368" i="39" s="1"/>
  <c r="R368" i="77"/>
  <c r="R368" i="39" s="1"/>
  <c r="R360" i="77"/>
  <c r="R363" i="39" s="1"/>
  <c r="GK367" i="77"/>
  <c r="BY368"/>
  <c r="GK368"/>
  <c r="DA360"/>
  <c r="R360" i="69" s="1"/>
  <c r="CW360" i="77"/>
  <c r="N360" i="69" s="1"/>
  <c r="FG360" i="77"/>
  <c r="R360" i="71" s="1"/>
  <c r="FC360" i="77"/>
  <c r="N360" i="71" s="1"/>
  <c r="GJ360" i="77"/>
  <c r="R360" i="72" s="1"/>
  <c r="GF360" i="77"/>
  <c r="N360" i="72" s="1"/>
  <c r="S360"/>
  <c r="R361" i="71"/>
  <c r="N361"/>
  <c r="S359" i="74"/>
  <c r="S361" i="71"/>
  <c r="BX359" i="77"/>
  <c r="R359" i="68" s="1"/>
  <c r="BT359" i="77"/>
  <c r="N359" i="68" s="1"/>
  <c r="S359"/>
  <c r="FG359" i="77"/>
  <c r="R359" i="71" s="1"/>
  <c r="FC359" i="77"/>
  <c r="N359" i="71" s="1"/>
  <c r="GJ359" i="77"/>
  <c r="R359" i="72" s="1"/>
  <c r="GF359" i="77"/>
  <c r="N359" i="72" s="1"/>
  <c r="S359"/>
  <c r="HM359" i="77"/>
  <c r="R359" i="73" s="1"/>
  <c r="HI359" i="77"/>
  <c r="N359" i="73" s="1"/>
  <c r="HM360" i="77"/>
  <c r="R360" i="73" s="1"/>
  <c r="HI360" i="77"/>
  <c r="N360" i="73" s="1"/>
  <c r="R361" i="65"/>
  <c r="N361"/>
  <c r="EE367" i="77"/>
  <c r="ED367"/>
  <c r="HM367"/>
  <c r="HI367"/>
  <c r="HN367"/>
  <c r="IQ367"/>
  <c r="IP367"/>
  <c r="S360" i="73"/>
  <c r="S364" i="39"/>
  <c r="S361" i="65"/>
  <c r="R361" i="72"/>
  <c r="N361"/>
  <c r="BX368" i="77"/>
  <c r="BT368"/>
  <c r="GJ368"/>
  <c r="GF368"/>
  <c r="BX370"/>
  <c r="R370" i="68" s="1"/>
  <c r="BT370" i="77"/>
  <c r="N370" i="68" s="1"/>
  <c r="BY370" i="77"/>
  <c r="S370" i="68" s="1"/>
  <c r="ED373" i="77"/>
  <c r="DZ373"/>
  <c r="BX374"/>
  <c r="BT374"/>
  <c r="GI367"/>
  <c r="HI368"/>
  <c r="BT369"/>
  <c r="N369" i="68" s="1"/>
  <c r="FC369" i="77"/>
  <c r="N369" i="71" s="1"/>
  <c r="GF369" i="77"/>
  <c r="N369" i="72" s="1"/>
  <c r="HI369" i="77"/>
  <c r="N369" i="73" s="1"/>
  <c r="IL369" i="77"/>
  <c r="N369" i="74" s="1"/>
  <c r="N370" i="77"/>
  <c r="BX373"/>
  <c r="EE373"/>
  <c r="N374"/>
  <c r="N374" i="39" s="1"/>
  <c r="FG373" i="77"/>
  <c r="FC373"/>
  <c r="FH373"/>
  <c r="GG373"/>
  <c r="HM368"/>
  <c r="BW373"/>
  <c r="S374" i="39"/>
  <c r="IP358" i="77"/>
  <c r="R358" i="74" s="1"/>
  <c r="IL358" i="77"/>
  <c r="N358" i="74" s="1"/>
  <c r="IP359" i="77"/>
  <c r="R359" i="74" s="1"/>
  <c r="IL359" i="77"/>
  <c r="N359" i="74" s="1"/>
  <c r="IP360" i="77"/>
  <c r="R360" i="74" s="1"/>
  <c r="IL360" i="77"/>
  <c r="N360" i="74" s="1"/>
  <c r="R361"/>
  <c r="N361"/>
  <c r="R367" i="77"/>
  <c r="N367"/>
  <c r="N367" i="39" s="1"/>
  <c r="R369" i="77"/>
  <c r="R369" i="39" s="1"/>
  <c r="N369" i="77"/>
  <c r="FF370"/>
  <c r="Q370" i="71" s="1"/>
  <c r="FG370" i="77"/>
  <c r="R370" i="71" s="1"/>
  <c r="FC370" i="77"/>
  <c r="N370" i="71" s="1"/>
  <c r="Q359" i="77"/>
  <c r="Q359" i="39" s="1"/>
  <c r="Q360" i="77"/>
  <c r="Q363" i="39" s="1"/>
  <c r="Q364"/>
  <c r="S361" i="72"/>
  <c r="Q365" i="39"/>
  <c r="AQ368" i="77"/>
  <c r="FC368"/>
  <c r="HN368"/>
  <c r="R370"/>
  <c r="R370" i="39" s="1"/>
  <c r="FH370" i="77"/>
  <c r="S370" i="71" s="1"/>
  <c r="HL370" i="77"/>
  <c r="Q370" i="73" s="1"/>
  <c r="BT373" i="77"/>
  <c r="IO373"/>
  <c r="R374"/>
  <c r="R374" i="39" s="1"/>
  <c r="AT370" i="77"/>
  <c r="Q370" i="65" s="1"/>
  <c r="AU370" i="77"/>
  <c r="R370" i="65" s="1"/>
  <c r="AQ370" i="77"/>
  <c r="N370" i="65" s="1"/>
  <c r="GJ370" i="77"/>
  <c r="R370" i="72" s="1"/>
  <c r="GF370" i="77"/>
  <c r="N370" i="72" s="1"/>
  <c r="GK370" i="77"/>
  <c r="S370" i="72" s="1"/>
  <c r="HK370" i="77"/>
  <c r="P370" i="73" s="1"/>
  <c r="IP373" i="77"/>
  <c r="IL373"/>
  <c r="AV370"/>
  <c r="S370" i="65" s="1"/>
  <c r="IQ373" i="77"/>
  <c r="BX378"/>
  <c r="R378" i="68" s="1"/>
  <c r="BT378" i="77"/>
  <c r="N378" i="68" s="1"/>
  <c r="IP380" i="77"/>
  <c r="R380" i="74" s="1"/>
  <c r="IL380" i="77"/>
  <c r="N380" i="74" s="1"/>
  <c r="FC374" i="77"/>
  <c r="FG374"/>
  <c r="GF374"/>
  <c r="GJ374"/>
  <c r="HI374"/>
  <c r="HM374"/>
  <c r="IL374"/>
  <c r="IP374"/>
  <c r="R378"/>
  <c r="R384" i="39" s="1"/>
  <c r="S386"/>
  <c r="DA378" i="77"/>
  <c r="R378" i="69" s="1"/>
  <c r="CW378" i="77"/>
  <c r="N378" i="69" s="1"/>
  <c r="IP378" i="77"/>
  <c r="R378" i="74" s="1"/>
  <c r="IL378" i="77"/>
  <c r="N378" i="74" s="1"/>
  <c r="FG380" i="77"/>
  <c r="R380" i="71" s="1"/>
  <c r="FC380" i="77"/>
  <c r="N380" i="71" s="1"/>
  <c r="N386" i="39"/>
  <c r="BX380" i="77"/>
  <c r="R380" i="68" s="1"/>
  <c r="BT380" i="77"/>
  <c r="N380" i="68" s="1"/>
  <c r="GJ380" i="77"/>
  <c r="R380" i="72" s="1"/>
  <c r="GF380" i="77"/>
  <c r="N380" i="72" s="1"/>
  <c r="BX388" i="77"/>
  <c r="BT388"/>
  <c r="S376" i="39"/>
  <c r="AB380" i="68"/>
  <c r="FG378" i="77"/>
  <c r="R378" i="71" s="1"/>
  <c r="FC378" i="77"/>
  <c r="N378" i="71" s="1"/>
  <c r="GJ378" i="77"/>
  <c r="R378" i="72" s="1"/>
  <c r="GF378" i="77"/>
  <c r="N378" i="72" s="1"/>
  <c r="DA380" i="77"/>
  <c r="R380" i="69" s="1"/>
  <c r="CW380" i="77"/>
  <c r="N380" i="69" s="1"/>
  <c r="DA388" i="77"/>
  <c r="CW388"/>
  <c r="N378"/>
  <c r="S384" i="39"/>
  <c r="Q380" i="77"/>
  <c r="Q380" i="39" s="1"/>
  <c r="Q388" i="77"/>
  <c r="FC388"/>
  <c r="FG388"/>
  <c r="GF388"/>
  <c r="GJ388"/>
  <c r="IL388"/>
  <c r="IP388"/>
  <c r="Q389"/>
  <c r="BT389"/>
  <c r="BX389"/>
  <c r="CW389"/>
  <c r="DA389"/>
  <c r="FC389"/>
  <c r="FG389"/>
  <c r="GF389"/>
  <c r="GJ389"/>
  <c r="IL389"/>
  <c r="IP389"/>
  <c r="N389"/>
  <c r="AU400"/>
  <c r="AQ400"/>
  <c r="AV400"/>
  <c r="FG400"/>
  <c r="FC400"/>
  <c r="FH400"/>
  <c r="GG400"/>
  <c r="R404"/>
  <c r="R404" i="39" s="1"/>
  <c r="N404" i="77"/>
  <c r="N404" i="39" s="1"/>
  <c r="S404" i="77"/>
  <c r="S404" i="39" s="1"/>
  <c r="BX406" i="77"/>
  <c r="BT406"/>
  <c r="BY406"/>
  <c r="CY406"/>
  <c r="GJ406"/>
  <c r="GF406"/>
  <c r="GK406"/>
  <c r="BX404"/>
  <c r="BT404"/>
  <c r="HM404"/>
  <c r="HI404"/>
  <c r="HN404"/>
  <c r="IP402"/>
  <c r="BY404"/>
  <c r="EC400"/>
  <c r="GK400"/>
  <c r="IO400"/>
  <c r="BX402"/>
  <c r="GJ402"/>
  <c r="HM405"/>
  <c r="IP405"/>
  <c r="S406"/>
  <c r="S406" i="39" s="1"/>
  <c r="R406" i="77"/>
  <c r="R406" i="39" s="1"/>
  <c r="DB406" i="77"/>
  <c r="DA406"/>
  <c r="HN406"/>
  <c r="HM406"/>
  <c r="FC407"/>
  <c r="HM407"/>
  <c r="IP400"/>
  <c r="IL400"/>
  <c r="Q401" i="39"/>
  <c r="R401"/>
  <c r="N401"/>
  <c r="FF406" i="77"/>
  <c r="FG406"/>
  <c r="FC406"/>
  <c r="S401" i="39"/>
  <c r="FH406" i="77"/>
  <c r="GJ407"/>
  <c r="ED400"/>
  <c r="DZ400"/>
  <c r="EE400"/>
  <c r="IQ400"/>
  <c r="Q402"/>
  <c r="Q402" i="39" s="1"/>
  <c r="R402" i="77"/>
  <c r="R402" i="39" s="1"/>
  <c r="N402" i="77"/>
  <c r="N402" i="39" s="1"/>
  <c r="GJ404" i="77"/>
  <c r="GF404"/>
  <c r="R409"/>
  <c r="N409"/>
  <c r="N409" i="39" s="1"/>
  <c r="GK404" i="77"/>
  <c r="FG402"/>
  <c r="BW406"/>
  <c r="GI406"/>
  <c r="GF407"/>
  <c r="HI420"/>
  <c r="IP422"/>
  <c r="FG425"/>
  <c r="DZ426"/>
  <c r="ED426"/>
  <c r="IL426"/>
  <c r="IP426"/>
  <c r="FH427"/>
  <c r="FG427"/>
  <c r="FC427"/>
  <c r="AT428"/>
  <c r="AV428"/>
  <c r="AQ428"/>
  <c r="GG428"/>
  <c r="N414" i="39"/>
  <c r="N415"/>
  <c r="R415"/>
  <c r="N416"/>
  <c r="R416"/>
  <c r="Q420" i="77"/>
  <c r="S423" i="39"/>
  <c r="AQ423" i="77"/>
  <c r="FC423"/>
  <c r="FG426"/>
  <c r="AV427"/>
  <c r="AU427"/>
  <c r="AQ427"/>
  <c r="R429"/>
  <c r="R429" i="39" s="1"/>
  <c r="N429" i="77"/>
  <c r="N429" i="39" s="1"/>
  <c r="S429"/>
  <c r="BT402" i="77"/>
  <c r="FC402"/>
  <c r="GF402"/>
  <c r="HI402"/>
  <c r="IL402"/>
  <c r="N405"/>
  <c r="N425" i="39" s="1"/>
  <c r="Q415"/>
  <c r="Q416"/>
  <c r="N420" i="77"/>
  <c r="N420" i="39" s="1"/>
  <c r="AQ420" i="77"/>
  <c r="FC420"/>
  <c r="AU422"/>
  <c r="FG422"/>
  <c r="GF422"/>
  <c r="IL422"/>
  <c r="R423"/>
  <c r="R423" i="39" s="1"/>
  <c r="FC425" i="77"/>
  <c r="IP420"/>
  <c r="HI422"/>
  <c r="IL423"/>
  <c r="IP423"/>
  <c r="BW427"/>
  <c r="BY427"/>
  <c r="BT427"/>
  <c r="EE428"/>
  <c r="ED428"/>
  <c r="DZ428"/>
  <c r="AQ429"/>
  <c r="N423"/>
  <c r="N423" i="39" s="1"/>
  <c r="AU423" i="77"/>
  <c r="FG423"/>
  <c r="IL425"/>
  <c r="IP425"/>
  <c r="FF428"/>
  <c r="FH428"/>
  <c r="FC428"/>
  <c r="AQ422"/>
  <c r="FC422"/>
  <c r="ED427"/>
  <c r="DZ427"/>
  <c r="IP427"/>
  <c r="IL427"/>
  <c r="HM428"/>
  <c r="HI428"/>
  <c r="HI423"/>
  <c r="CW425"/>
  <c r="HI425"/>
  <c r="HI426"/>
  <c r="EC427"/>
  <c r="IO427"/>
  <c r="HL428"/>
  <c r="R428"/>
  <c r="R428" i="39" s="1"/>
  <c r="N428" i="77"/>
  <c r="N428" i="39" s="1"/>
  <c r="Q428" i="77"/>
  <c r="Q428" i="39" s="1"/>
  <c r="IO428" i="77"/>
  <c r="IQ428"/>
  <c r="R430"/>
  <c r="R430" i="39" s="1"/>
  <c r="N430" i="77"/>
  <c r="N430" i="39" s="1"/>
  <c r="Q430" i="77"/>
  <c r="Q430" i="39" s="1"/>
  <c r="IP428" i="77"/>
  <c r="GF429"/>
  <c r="IL429"/>
  <c r="S430" i="39"/>
  <c r="GJ434" i="77"/>
  <c r="GF434"/>
  <c r="Q436"/>
  <c r="Q436" i="39" s="1"/>
  <c r="R436" i="77"/>
  <c r="R436" i="39" s="1"/>
  <c r="N436" i="77"/>
  <c r="N436" i="39" s="1"/>
  <c r="S436"/>
  <c r="FC439" i="77"/>
  <c r="FG439"/>
  <c r="Q431" i="39"/>
  <c r="DZ432" i="77"/>
  <c r="EE432"/>
  <c r="GI432"/>
  <c r="HN432"/>
  <c r="R434"/>
  <c r="R434" i="39" s="1"/>
  <c r="N434" i="77"/>
  <c r="N434" i="39" s="1"/>
  <c r="Q435" i="77"/>
  <c r="Q435" i="39" s="1"/>
  <c r="R435" i="77"/>
  <c r="R435" i="39" s="1"/>
  <c r="N435" i="77"/>
  <c r="N435" i="39" s="1"/>
  <c r="S435"/>
  <c r="FG436" i="77"/>
  <c r="FC436"/>
  <c r="FG438"/>
  <c r="FH438"/>
  <c r="FC438"/>
  <c r="HI439"/>
  <c r="HM439"/>
  <c r="R442"/>
  <c r="R442" i="39" s="1"/>
  <c r="N442" i="77"/>
  <c r="N442" i="39" s="1"/>
  <c r="Q442" i="77"/>
  <c r="Q442" i="39" s="1"/>
  <c r="ED432" i="77"/>
  <c r="HL432"/>
  <c r="Q434"/>
  <c r="Q434" i="39" s="1"/>
  <c r="CW434" i="77"/>
  <c r="IP434"/>
  <c r="AU432"/>
  <c r="AQ432"/>
  <c r="FG432"/>
  <c r="FC432"/>
  <c r="IQ432"/>
  <c r="IO432"/>
  <c r="FG435"/>
  <c r="FC435"/>
  <c r="HL438"/>
  <c r="HI438"/>
  <c r="HM438"/>
  <c r="R441" i="39"/>
  <c r="N441"/>
  <c r="Q441"/>
  <c r="AT432" i="77"/>
  <c r="FF432"/>
  <c r="IP432"/>
  <c r="FD434"/>
  <c r="HM435"/>
  <c r="HI435"/>
  <c r="GG437"/>
  <c r="R431" i="39"/>
  <c r="GJ432" i="77"/>
  <c r="HI432"/>
  <c r="GJ435"/>
  <c r="GF435"/>
  <c r="BX436"/>
  <c r="BT436"/>
  <c r="GJ436"/>
  <c r="GF436"/>
  <c r="GH444"/>
  <c r="P438"/>
  <c r="DZ439"/>
  <c r="GF439"/>
  <c r="IL439"/>
  <c r="S442" i="39"/>
  <c r="AU438" i="77"/>
  <c r="AV438"/>
  <c r="AQ438"/>
  <c r="GJ438"/>
  <c r="GF438"/>
  <c r="GK438"/>
  <c r="HM434"/>
  <c r="HI434"/>
  <c r="ED435"/>
  <c r="DZ435"/>
  <c r="IP435"/>
  <c r="IL435"/>
  <c r="GI438"/>
  <c r="HM436"/>
  <c r="IP436"/>
  <c r="BX437"/>
  <c r="FG437"/>
  <c r="GJ437"/>
  <c r="HM437"/>
  <c r="IP437"/>
  <c r="R438"/>
  <c r="HN438"/>
  <c r="S441" i="39"/>
  <c r="BX444" i="77"/>
  <c r="FG444"/>
  <c r="GJ444"/>
  <c r="HM444"/>
  <c r="IP444"/>
  <c r="R437"/>
  <c r="N437"/>
  <c r="R443"/>
  <c r="N443"/>
  <c r="N443" i="39" s="1"/>
  <c r="IL434" i="77"/>
  <c r="Q438"/>
  <c r="AT438"/>
  <c r="FF438"/>
  <c r="R444"/>
  <c r="R444" i="39" s="1"/>
  <c r="S444"/>
  <c r="N444" i="77"/>
  <c r="N444" i="39" s="1"/>
  <c r="N448" i="77"/>
  <c r="O448" s="1"/>
  <c r="O448" i="39" s="1"/>
  <c r="Q455" i="77"/>
  <c r="Q455" i="39" s="1"/>
  <c r="S455"/>
  <c r="S457"/>
  <c r="R457" i="77"/>
  <c r="R457" i="39" s="1"/>
  <c r="Q448" i="77"/>
  <c r="Q448" i="39" s="1"/>
  <c r="N457" i="77"/>
  <c r="P457" s="1"/>
  <c r="P457" i="39" s="1"/>
  <c r="S461"/>
  <c r="R461"/>
  <c r="R448" i="77"/>
  <c r="R448" i="39" s="1"/>
  <c r="P461"/>
  <c r="R462" i="77"/>
  <c r="R462" i="39" s="1"/>
  <c r="FG448" i="77"/>
  <c r="FC448"/>
  <c r="BX448"/>
  <c r="BT448"/>
  <c r="GJ448"/>
  <c r="GF448"/>
  <c r="FG449"/>
  <c r="FC449"/>
  <c r="GJ449"/>
  <c r="GF449"/>
  <c r="HM449"/>
  <c r="HI449"/>
  <c r="IP449"/>
  <c r="IL449"/>
  <c r="AU457"/>
  <c r="AQ457"/>
  <c r="FG457"/>
  <c r="FC457"/>
  <c r="IP457"/>
  <c r="IL457"/>
  <c r="ED455"/>
  <c r="DZ455"/>
  <c r="FG455"/>
  <c r="FC455"/>
  <c r="GJ455"/>
  <c r="GF455"/>
  <c r="HM448"/>
  <c r="HI448"/>
  <c r="IP448"/>
  <c r="IL448"/>
  <c r="IP455"/>
  <c r="IL455"/>
  <c r="HM457"/>
  <c r="HI457"/>
  <c r="P449"/>
  <c r="P449" i="39" s="1"/>
  <c r="Q449" i="77"/>
  <c r="R455"/>
  <c r="R455" i="39" s="1"/>
  <c r="AU449" i="77"/>
  <c r="AQ449"/>
  <c r="HM455"/>
  <c r="HI455"/>
  <c r="GJ457"/>
  <c r="GF457"/>
  <c r="Q457"/>
  <c r="Q457" i="39" s="1"/>
  <c r="Q461"/>
  <c r="Q462" i="77"/>
  <c r="Q462" i="39" s="1"/>
  <c r="DZ462" i="77"/>
  <c r="ED462"/>
  <c r="FC462"/>
  <c r="FG462"/>
  <c r="GF462"/>
  <c r="GJ462"/>
  <c r="HI462"/>
  <c r="HM462"/>
  <c r="IL462"/>
  <c r="IP462"/>
  <c r="S462" i="39"/>
  <c r="N462" i="77"/>
  <c r="N462" i="39" s="1"/>
  <c r="F5" i="68"/>
  <c r="F5" i="69"/>
  <c r="F5" i="70"/>
  <c r="F5" i="71"/>
  <c r="F5" i="72"/>
  <c r="F5" i="73"/>
  <c r="F5" i="74"/>
  <c r="HO304" i="77" l="1"/>
  <c r="T304" i="73" s="1"/>
  <c r="EF71" i="77"/>
  <c r="GL302"/>
  <c r="BZ302"/>
  <c r="HO323"/>
  <c r="T323" i="73" s="1"/>
  <c r="T137" i="77"/>
  <c r="AW319"/>
  <c r="AX319" s="1"/>
  <c r="U319" i="65" s="1"/>
  <c r="DC341" i="77"/>
  <c r="DD341" s="1"/>
  <c r="U341" i="69" s="1"/>
  <c r="CA307" i="77"/>
  <c r="U307" i="68" s="1"/>
  <c r="CC307" i="77"/>
  <c r="W307" i="68" s="1"/>
  <c r="T323" i="77"/>
  <c r="T323" i="39" s="1"/>
  <c r="T17" i="77"/>
  <c r="T197"/>
  <c r="U197" s="1"/>
  <c r="EF156"/>
  <c r="EG156" s="1"/>
  <c r="T184"/>
  <c r="U184" s="1"/>
  <c r="AS53"/>
  <c r="HO302"/>
  <c r="T302" i="73" s="1"/>
  <c r="T413" i="77"/>
  <c r="EB315"/>
  <c r="P315" i="70" s="1"/>
  <c r="IN313" i="77"/>
  <c r="FI301"/>
  <c r="T301" i="71" s="1"/>
  <c r="AR301" i="77"/>
  <c r="O301" i="65" s="1"/>
  <c r="T281" i="77"/>
  <c r="U281" s="1"/>
  <c r="AS184"/>
  <c r="CY183"/>
  <c r="O184"/>
  <c r="P180"/>
  <c r="IM163"/>
  <c r="P149"/>
  <c r="AR139"/>
  <c r="T136"/>
  <c r="FD144"/>
  <c r="HJ81"/>
  <c r="IM103"/>
  <c r="IU51"/>
  <c r="IM61"/>
  <c r="BZ18"/>
  <c r="FD101"/>
  <c r="DC321"/>
  <c r="T321" i="69" s="1"/>
  <c r="T381" i="77"/>
  <c r="T431"/>
  <c r="U431" s="1"/>
  <c r="FD444"/>
  <c r="O432"/>
  <c r="T144"/>
  <c r="V144" s="1"/>
  <c r="AW105"/>
  <c r="HK13"/>
  <c r="GH12"/>
  <c r="AW51"/>
  <c r="AX51" s="1"/>
  <c r="BZ41"/>
  <c r="CA41" s="1"/>
  <c r="EF431"/>
  <c r="T301"/>
  <c r="V301" s="1"/>
  <c r="V301" i="39" s="1"/>
  <c r="T61" i="77"/>
  <c r="IS51"/>
  <c r="T41"/>
  <c r="T103"/>
  <c r="IR41"/>
  <c r="EF105"/>
  <c r="GL414"/>
  <c r="T461"/>
  <c r="W461" s="1"/>
  <c r="FE290"/>
  <c r="AZ411"/>
  <c r="BZ318"/>
  <c r="T149"/>
  <c r="FD408"/>
  <c r="AR430"/>
  <c r="IM438"/>
  <c r="W149"/>
  <c r="IR156"/>
  <c r="IS156" s="1"/>
  <c r="T21"/>
  <c r="T114"/>
  <c r="AW341"/>
  <c r="IR401"/>
  <c r="T158"/>
  <c r="U158" s="1"/>
  <c r="T157"/>
  <c r="U157" s="1"/>
  <c r="FI41"/>
  <c r="FJ41" s="1"/>
  <c r="HK436"/>
  <c r="HK365"/>
  <c r="GG293"/>
  <c r="O293" i="72" s="1"/>
  <c r="T143" i="77"/>
  <c r="U143" s="1"/>
  <c r="T133"/>
  <c r="T138"/>
  <c r="T130"/>
  <c r="T122"/>
  <c r="IR71"/>
  <c r="AZ303"/>
  <c r="W303" i="65" s="1"/>
  <c r="BV15" i="77"/>
  <c r="T12"/>
  <c r="W145"/>
  <c r="DC14"/>
  <c r="DE14" s="1"/>
  <c r="HJ101"/>
  <c r="FI341"/>
  <c r="AW417"/>
  <c r="GL41"/>
  <c r="GM41" s="1"/>
  <c r="HK47"/>
  <c r="O225"/>
  <c r="O278" i="39" s="1"/>
  <c r="T214" i="77"/>
  <c r="T201"/>
  <c r="HO341"/>
  <c r="HP341" s="1"/>
  <c r="U341" i="73" s="1"/>
  <c r="O455" i="77"/>
  <c r="O455" i="39" s="1"/>
  <c r="FE52" i="77"/>
  <c r="DC311"/>
  <c r="T311" i="69" s="1"/>
  <c r="U301" i="77"/>
  <c r="U301" i="39" s="1"/>
  <c r="AW301" i="77"/>
  <c r="AZ301" s="1"/>
  <c r="W301" i="65" s="1"/>
  <c r="FI14" i="77"/>
  <c r="GL313"/>
  <c r="IR313"/>
  <c r="Y222" i="69"/>
  <c r="DK222" i="77"/>
  <c r="FN87"/>
  <c r="EN87"/>
  <c r="Y362" i="69"/>
  <c r="DK362" i="77"/>
  <c r="EK88"/>
  <c r="EN88" s="1"/>
  <c r="DK88"/>
  <c r="Y354" i="69"/>
  <c r="DK354" i="77"/>
  <c r="IR329"/>
  <c r="T329" i="74" s="1"/>
  <c r="S329"/>
  <c r="AW320" i="77"/>
  <c r="T320" i="65" s="1"/>
  <c r="S320"/>
  <c r="FI320" i="77"/>
  <c r="T320" i="71" s="1"/>
  <c r="S320"/>
  <c r="IR320" i="77"/>
  <c r="T320" i="74" s="1"/>
  <c r="S320"/>
  <c r="T338" i="77"/>
  <c r="T338" i="39" s="1"/>
  <c r="Q338"/>
  <c r="IR303" i="77"/>
  <c r="T303" i="74" s="1"/>
  <c r="R303"/>
  <c r="FK305" i="77"/>
  <c r="V305" i="71" s="1"/>
  <c r="O305"/>
  <c r="T324" i="77"/>
  <c r="T324" i="39" s="1"/>
  <c r="Q324"/>
  <c r="T328" i="77"/>
  <c r="T328" i="39" s="1"/>
  <c r="Q328"/>
  <c r="T335" i="77"/>
  <c r="T335" i="39" s="1"/>
  <c r="Q335"/>
  <c r="AW307" i="77"/>
  <c r="T307" i="65" s="1"/>
  <c r="Q307"/>
  <c r="AW298" i="77"/>
  <c r="T298" i="65" s="1"/>
  <c r="Q298"/>
  <c r="Y202" i="69"/>
  <c r="DK202" i="77"/>
  <c r="DE298"/>
  <c r="V298" i="69" s="1"/>
  <c r="T298"/>
  <c r="GM302" i="77"/>
  <c r="U302" i="72" s="1"/>
  <c r="T302"/>
  <c r="CA302" i="77"/>
  <c r="U302" i="68" s="1"/>
  <c r="T302"/>
  <c r="CB307" i="77"/>
  <c r="V307" i="68" s="1"/>
  <c r="O307"/>
  <c r="CA346" i="77"/>
  <c r="U346" i="68" s="1"/>
  <c r="T346"/>
  <c r="BZ320" i="77"/>
  <c r="T320" i="68" s="1"/>
  <c r="S320"/>
  <c r="BZ336" i="77"/>
  <c r="T336" i="68" s="1"/>
  <c r="S336"/>
  <c r="EF336" i="77"/>
  <c r="T336" i="70" s="1"/>
  <c r="S336"/>
  <c r="GL336" i="77"/>
  <c r="T336" i="72" s="1"/>
  <c r="S336"/>
  <c r="IR336" i="77"/>
  <c r="T336" i="74" s="1"/>
  <c r="S336"/>
  <c r="T299" i="77"/>
  <c r="T299" i="39" s="1"/>
  <c r="Q299"/>
  <c r="T348" i="77"/>
  <c r="T348" i="39" s="1"/>
  <c r="Q348"/>
  <c r="T332" i="77"/>
  <c r="T332" i="39" s="1"/>
  <c r="Q332"/>
  <c r="GL303" i="77"/>
  <c r="T303" i="72" s="1"/>
  <c r="S303"/>
  <c r="AY303" i="77"/>
  <c r="V303" i="65" s="1"/>
  <c r="O303"/>
  <c r="BZ305" i="77"/>
  <c r="T305" i="68" s="1"/>
  <c r="R305"/>
  <c r="T340" i="77"/>
  <c r="T340" i="39" s="1"/>
  <c r="Q340"/>
  <c r="T325" i="77"/>
  <c r="T325" i="39" s="1"/>
  <c r="Q325"/>
  <c r="T334" i="77"/>
  <c r="T334" i="39" s="1"/>
  <c r="Q334"/>
  <c r="FI307" i="77"/>
  <c r="T307" i="71" s="1"/>
  <c r="Q307"/>
  <c r="IR417" i="77"/>
  <c r="Y223" i="69"/>
  <c r="DK223" i="77"/>
  <c r="Y207" i="69"/>
  <c r="DK207" i="77"/>
  <c r="EK84"/>
  <c r="EN84" s="1"/>
  <c r="DK84"/>
  <c r="Y372" i="69"/>
  <c r="DK372" i="77"/>
  <c r="EK85"/>
  <c r="EN85" s="1"/>
  <c r="DK85"/>
  <c r="P298"/>
  <c r="P298" i="39" s="1"/>
  <c r="N298"/>
  <c r="AW329" i="77"/>
  <c r="T329" i="65" s="1"/>
  <c r="S329"/>
  <c r="DC329" i="77"/>
  <c r="T329" i="69" s="1"/>
  <c r="S329"/>
  <c r="FI329" i="77"/>
  <c r="T329" i="71" s="1"/>
  <c r="S329"/>
  <c r="HO329" i="77"/>
  <c r="T329" i="73" s="1"/>
  <c r="S329"/>
  <c r="DC320" i="77"/>
  <c r="T320" i="69" s="1"/>
  <c r="S320"/>
  <c r="T333" i="77"/>
  <c r="T333" i="39" s="1"/>
  <c r="Q333"/>
  <c r="T327" i="77"/>
  <c r="T327" i="39" s="1"/>
  <c r="Q327"/>
  <c r="T343" i="77"/>
  <c r="T343" i="39" s="1"/>
  <c r="Q343"/>
  <c r="T303" i="77"/>
  <c r="T303" i="39" s="1"/>
  <c r="S303"/>
  <c r="FK303" i="77"/>
  <c r="V303" i="71" s="1"/>
  <c r="O303"/>
  <c r="T344" i="77"/>
  <c r="T344" i="39" s="1"/>
  <c r="Q344"/>
  <c r="T339" i="77"/>
  <c r="T339" i="39" s="1"/>
  <c r="Q339"/>
  <c r="AW304" i="77"/>
  <c r="T304" i="65" s="1"/>
  <c r="Q304"/>
  <c r="EK385" i="77"/>
  <c r="EN385" s="1"/>
  <c r="DK385"/>
  <c r="Y229" i="69"/>
  <c r="DK229" i="77"/>
  <c r="Y208" i="69"/>
  <c r="DK208" i="77"/>
  <c r="AZ345"/>
  <c r="W345" i="65" s="1"/>
  <c r="P345"/>
  <c r="EF320" i="77"/>
  <c r="T320" i="70" s="1"/>
  <c r="S320"/>
  <c r="HO320" i="77"/>
  <c r="T320" i="73" s="1"/>
  <c r="S320"/>
  <c r="AW336" i="77"/>
  <c r="T336" i="65" s="1"/>
  <c r="S336"/>
  <c r="DC336" i="77"/>
  <c r="T336" i="69" s="1"/>
  <c r="S336"/>
  <c r="FI336" i="77"/>
  <c r="T336" i="71" s="1"/>
  <c r="S336"/>
  <c r="HO336" i="77"/>
  <c r="T336" i="73" s="1"/>
  <c r="S336"/>
  <c r="T326" i="77"/>
  <c r="T326" i="39" s="1"/>
  <c r="Q326"/>
  <c r="T306" i="77"/>
  <c r="T306" i="39" s="1"/>
  <c r="Q306"/>
  <c r="T342" i="77"/>
  <c r="T342" i="39" s="1"/>
  <c r="Q342"/>
  <c r="HO303" i="77"/>
  <c r="T303" i="73" s="1"/>
  <c r="S303"/>
  <c r="AY305" i="77"/>
  <c r="V305" i="65" s="1"/>
  <c r="O305"/>
  <c r="T308" i="77"/>
  <c r="T308" i="39" s="1"/>
  <c r="Q308"/>
  <c r="T337" i="77"/>
  <c r="T337" i="39" s="1"/>
  <c r="Q337"/>
  <c r="T330" i="77"/>
  <c r="T330" i="39" s="1"/>
  <c r="Q330"/>
  <c r="FI323" i="77"/>
  <c r="T323" i="71" s="1"/>
  <c r="Q323"/>
  <c r="IR341" i="77"/>
  <c r="T341" i="74" s="1"/>
  <c r="S341"/>
  <c r="EF341" i="77"/>
  <c r="T341" i="70" s="1"/>
  <c r="S341"/>
  <c r="T341" i="77"/>
  <c r="T341" i="39" s="1"/>
  <c r="S341"/>
  <c r="GL319" i="77"/>
  <c r="T319" i="72" s="1"/>
  <c r="Q319"/>
  <c r="AZ319" i="77"/>
  <c r="W319" i="65" s="1"/>
  <c r="P319"/>
  <c r="GO318" i="77"/>
  <c r="W318" i="72" s="1"/>
  <c r="P318"/>
  <c r="CC318" i="77"/>
  <c r="W318" i="68" s="1"/>
  <c r="P318"/>
  <c r="FI313" i="77"/>
  <c r="T313" i="71" s="1"/>
  <c r="Q313"/>
  <c r="AW313" i="77"/>
  <c r="T313" i="65" s="1"/>
  <c r="Q313"/>
  <c r="GL315" i="77"/>
  <c r="T315" i="72" s="1"/>
  <c r="R315"/>
  <c r="DC315" i="77"/>
  <c r="T315" i="69" s="1"/>
  <c r="S315"/>
  <c r="EF312" i="77"/>
  <c r="T312" i="70" s="1"/>
  <c r="R312"/>
  <c r="T318" i="72"/>
  <c r="AY319" i="77"/>
  <c r="V319" i="65" s="1"/>
  <c r="T319"/>
  <c r="HR341" i="77"/>
  <c r="W341" i="73" s="1"/>
  <c r="T341"/>
  <c r="IN318" i="77"/>
  <c r="P318" i="74" s="1"/>
  <c r="N318"/>
  <c r="T347" i="77"/>
  <c r="T347" i="39" s="1"/>
  <c r="S347"/>
  <c r="V415" i="77"/>
  <c r="T411"/>
  <c r="DC18"/>
  <c r="BZ313"/>
  <c r="CB313" s="1"/>
  <c r="V313" i="68" s="1"/>
  <c r="T301" i="65"/>
  <c r="Q301"/>
  <c r="N301" i="39"/>
  <c r="S301" i="70"/>
  <c r="GL341" i="77"/>
  <c r="T341" i="72" s="1"/>
  <c r="S341"/>
  <c r="BZ341" i="77"/>
  <c r="T341" i="68" s="1"/>
  <c r="S341"/>
  <c r="T331" i="77"/>
  <c r="T331" i="39" s="1"/>
  <c r="S331"/>
  <c r="IR318" i="77"/>
  <c r="T318" i="74" s="1"/>
  <c r="R318"/>
  <c r="IR315" i="77"/>
  <c r="S315" i="74"/>
  <c r="T314" i="77"/>
  <c r="S314" i="39"/>
  <c r="GN313" i="77"/>
  <c r="V313" i="72" s="1"/>
  <c r="O313"/>
  <c r="O313" i="68"/>
  <c r="HO315" i="77"/>
  <c r="T315" i="73" s="1"/>
  <c r="S315"/>
  <c r="IU313" i="77"/>
  <c r="W313" i="74" s="1"/>
  <c r="P313"/>
  <c r="AS341" i="77"/>
  <c r="N341" i="65"/>
  <c r="BU318" i="77"/>
  <c r="N318" i="68"/>
  <c r="HJ319" i="77"/>
  <c r="O319" i="73" s="1"/>
  <c r="N319"/>
  <c r="FE341" i="77"/>
  <c r="N341" i="71"/>
  <c r="IN321" i="77"/>
  <c r="P321" i="74" s="1"/>
  <c r="N321"/>
  <c r="T221" i="77"/>
  <c r="T153"/>
  <c r="T112"/>
  <c r="T16"/>
  <c r="W14"/>
  <c r="T100"/>
  <c r="HO431"/>
  <c r="N301" i="72"/>
  <c r="N301" i="65"/>
  <c r="Q311" i="69"/>
  <c r="FI319" i="77"/>
  <c r="T319" i="71" s="1"/>
  <c r="Q319"/>
  <c r="T319" i="77"/>
  <c r="T319" i="39" s="1"/>
  <c r="R319"/>
  <c r="EF315" i="77"/>
  <c r="S315" i="70"/>
  <c r="HO313" i="77"/>
  <c r="T313" i="73" s="1"/>
  <c r="Q313"/>
  <c r="DC313" i="77"/>
  <c r="T313" i="69" s="1"/>
  <c r="Q313"/>
  <c r="AW312" i="77"/>
  <c r="S312" i="65"/>
  <c r="EF319" i="77"/>
  <c r="T319" i="70" s="1"/>
  <c r="R319"/>
  <c r="FI311" i="77"/>
  <c r="T311" i="71" s="1"/>
  <c r="Q311"/>
  <c r="T341" i="69"/>
  <c r="HQ341" i="77"/>
  <c r="V341" i="73" s="1"/>
  <c r="O341"/>
  <c r="CY341" i="77"/>
  <c r="P341" i="69" s="1"/>
  <c r="N341"/>
  <c r="U313" i="77"/>
  <c r="U313" i="39" s="1"/>
  <c r="HO301" i="77"/>
  <c r="T301" i="73" s="1"/>
  <c r="T104" i="77"/>
  <c r="T106"/>
  <c r="R301" i="73"/>
  <c r="Q301" i="39"/>
  <c r="P301"/>
  <c r="T301"/>
  <c r="FI318" i="77"/>
  <c r="T318" i="71" s="1"/>
  <c r="S318"/>
  <c r="AW318" i="77"/>
  <c r="T318" i="65" s="1"/>
  <c r="S318"/>
  <c r="T317" i="77"/>
  <c r="T317" i="39" s="1"/>
  <c r="R317"/>
  <c r="T316" i="77"/>
  <c r="S316" i="39"/>
  <c r="T315" i="77"/>
  <c r="S315" i="39"/>
  <c r="IT313" i="77"/>
  <c r="V313" i="74" s="1"/>
  <c r="O313"/>
  <c r="FI312" i="77"/>
  <c r="S312" i="71"/>
  <c r="BZ315" i="77"/>
  <c r="T315" i="68" s="1"/>
  <c r="R315"/>
  <c r="GO313" i="77"/>
  <c r="W313" i="72" s="1"/>
  <c r="P313"/>
  <c r="CC313" i="77"/>
  <c r="W313" i="68" s="1"/>
  <c r="P313"/>
  <c r="IR312" i="77"/>
  <c r="T312" i="74" s="1"/>
  <c r="Q312"/>
  <c r="V313" i="77"/>
  <c r="V313" i="39" s="1"/>
  <c r="O313"/>
  <c r="IS311" i="77"/>
  <c r="U311" i="74" s="1"/>
  <c r="T311"/>
  <c r="GG318" i="77"/>
  <c r="O318" i="72" s="1"/>
  <c r="N318"/>
  <c r="FI345" i="77"/>
  <c r="T345" i="71" s="1"/>
  <c r="S345"/>
  <c r="S301"/>
  <c r="CH415" i="77"/>
  <c r="DH415"/>
  <c r="DH434"/>
  <c r="CH434"/>
  <c r="DH404"/>
  <c r="CH404"/>
  <c r="DH386"/>
  <c r="CH386"/>
  <c r="DH377"/>
  <c r="CH377"/>
  <c r="DH367"/>
  <c r="CH367"/>
  <c r="DH357"/>
  <c r="CH357"/>
  <c r="DH255"/>
  <c r="CH255"/>
  <c r="DH228"/>
  <c r="CH228"/>
  <c r="DH406"/>
  <c r="CH406"/>
  <c r="DH389"/>
  <c r="CH389"/>
  <c r="DH379"/>
  <c r="CH379"/>
  <c r="DH369"/>
  <c r="CH369"/>
  <c r="DH359"/>
  <c r="CH359"/>
  <c r="GQ203"/>
  <c r="FQ203"/>
  <c r="DH427"/>
  <c r="CH427"/>
  <c r="DH407"/>
  <c r="CH407"/>
  <c r="DH380"/>
  <c r="CH380"/>
  <c r="DH370"/>
  <c r="CH370"/>
  <c r="DH360"/>
  <c r="CH360"/>
  <c r="DH236"/>
  <c r="CH236"/>
  <c r="DH227"/>
  <c r="CH227"/>
  <c r="DK180"/>
  <c r="EK180"/>
  <c r="DK169"/>
  <c r="EK169"/>
  <c r="DK178"/>
  <c r="EK178"/>
  <c r="DK174"/>
  <c r="EK174"/>
  <c r="DH439"/>
  <c r="CH439"/>
  <c r="DH383"/>
  <c r="CH383"/>
  <c r="DH373"/>
  <c r="CH373"/>
  <c r="DH363"/>
  <c r="CH363"/>
  <c r="DH353"/>
  <c r="CH353"/>
  <c r="DH252"/>
  <c r="CH252"/>
  <c r="DH234"/>
  <c r="CH234"/>
  <c r="DH206"/>
  <c r="CH206"/>
  <c r="DH438"/>
  <c r="CH438"/>
  <c r="DH428"/>
  <c r="CH428"/>
  <c r="DH408"/>
  <c r="CH408"/>
  <c r="DH382"/>
  <c r="CH382"/>
  <c r="DH352"/>
  <c r="CH352"/>
  <c r="DH233"/>
  <c r="CH233"/>
  <c r="DH224"/>
  <c r="CH224"/>
  <c r="FN182"/>
  <c r="EN182"/>
  <c r="DH400"/>
  <c r="CH400"/>
  <c r="DH374"/>
  <c r="CH374"/>
  <c r="DH364"/>
  <c r="CH364"/>
  <c r="DH235"/>
  <c r="CH235"/>
  <c r="DH226"/>
  <c r="CH226"/>
  <c r="DH432"/>
  <c r="CH432"/>
  <c r="DH355"/>
  <c r="CH355"/>
  <c r="DH249"/>
  <c r="CH249"/>
  <c r="DH232"/>
  <c r="CH232"/>
  <c r="DK171"/>
  <c r="EK171"/>
  <c r="DK179"/>
  <c r="EK179"/>
  <c r="DK176"/>
  <c r="EK176"/>
  <c r="DK177"/>
  <c r="EK177"/>
  <c r="DK172"/>
  <c r="EK172"/>
  <c r="Y299" i="69"/>
  <c r="Y299" i="70"/>
  <c r="Y331" i="71"/>
  <c r="Y299" i="72"/>
  <c r="Y331" i="73"/>
  <c r="DH435" i="77"/>
  <c r="CH435"/>
  <c r="DH425"/>
  <c r="CH425"/>
  <c r="DH405"/>
  <c r="CH405"/>
  <c r="DH388"/>
  <c r="CH388"/>
  <c r="DH378"/>
  <c r="CH378"/>
  <c r="DH368"/>
  <c r="CH368"/>
  <c r="DH358"/>
  <c r="CH358"/>
  <c r="DH238"/>
  <c r="CH238"/>
  <c r="DH220"/>
  <c r="CH220"/>
  <c r="EK298"/>
  <c r="DK298"/>
  <c r="AB298" i="69" s="1"/>
  <c r="Y310" i="73"/>
  <c r="EK345" i="77"/>
  <c r="DK345"/>
  <c r="AB345" i="69" s="1"/>
  <c r="EK329" i="77"/>
  <c r="DK329"/>
  <c r="AB329" i="69" s="1"/>
  <c r="EK347" i="77"/>
  <c r="DK347"/>
  <c r="AB347" i="69" s="1"/>
  <c r="DK323" i="77"/>
  <c r="AB323" i="69" s="1"/>
  <c r="EK323" i="77"/>
  <c r="EK336"/>
  <c r="DK336"/>
  <c r="AB336" i="69" s="1"/>
  <c r="EK346" i="77"/>
  <c r="DK346"/>
  <c r="AB346" i="69" s="1"/>
  <c r="EK341" i="77"/>
  <c r="DK341"/>
  <c r="AB341" i="69" s="1"/>
  <c r="EK319" i="77"/>
  <c r="DK319"/>
  <c r="AB319" i="69" s="1"/>
  <c r="FN318" i="77"/>
  <c r="EN318"/>
  <c r="AB318" i="70" s="1"/>
  <c r="DK302" i="77"/>
  <c r="AB302" i="69" s="1"/>
  <c r="EK302" i="77"/>
  <c r="EK312"/>
  <c r="DK312"/>
  <c r="AB312" i="69" s="1"/>
  <c r="DK315" i="77"/>
  <c r="AB315" i="69" s="1"/>
  <c r="EK315" i="77"/>
  <c r="EK304"/>
  <c r="DK304"/>
  <c r="AB304" i="69" s="1"/>
  <c r="EK320" i="77"/>
  <c r="DK320"/>
  <c r="AB320" i="69" s="1"/>
  <c r="CH299" i="77"/>
  <c r="AB299" i="68" s="1"/>
  <c r="DK307" i="77"/>
  <c r="AB307" i="69" s="1"/>
  <c r="EK307" i="77"/>
  <c r="EK301"/>
  <c r="DK301"/>
  <c r="AB301" i="69" s="1"/>
  <c r="DK313" i="77"/>
  <c r="AB313" i="69" s="1"/>
  <c r="EK313" i="77"/>
  <c r="EN311"/>
  <c r="AB311" i="70" s="1"/>
  <c r="IN290" i="77"/>
  <c r="BU271"/>
  <c r="T271"/>
  <c r="U271" s="1"/>
  <c r="BZ329"/>
  <c r="T329" i="68" s="1"/>
  <c r="EF329" i="77"/>
  <c r="T329" i="70" s="1"/>
  <c r="GL329" i="77"/>
  <c r="T329" i="72" s="1"/>
  <c r="FL411" i="77"/>
  <c r="IU41"/>
  <c r="CC15"/>
  <c r="CA15"/>
  <c r="FJ345"/>
  <c r="U345" i="71" s="1"/>
  <c r="W347" i="77"/>
  <c r="W347" i="39" s="1"/>
  <c r="U347" i="77"/>
  <c r="U347" i="39" s="1"/>
  <c r="V347" i="77"/>
  <c r="V347" i="39" s="1"/>
  <c r="BA303" i="77"/>
  <c r="FI417"/>
  <c r="FK417" s="1"/>
  <c r="T419"/>
  <c r="HS341"/>
  <c r="W313"/>
  <c r="W313" i="39" s="1"/>
  <c r="T312" i="77"/>
  <c r="T312" i="39" s="1"/>
  <c r="DC312" i="77"/>
  <c r="T312" i="69" s="1"/>
  <c r="T154" i="77"/>
  <c r="W157"/>
  <c r="T115"/>
  <c r="T215"/>
  <c r="GN41"/>
  <c r="IT156"/>
  <c r="W431"/>
  <c r="T183"/>
  <c r="FM303"/>
  <c r="EF417"/>
  <c r="EG417" s="1"/>
  <c r="FJ411"/>
  <c r="GL156"/>
  <c r="T107"/>
  <c r="FL18"/>
  <c r="T18"/>
  <c r="T305"/>
  <c r="T305" i="39" s="1"/>
  <c r="HO411" i="77"/>
  <c r="FJ401"/>
  <c r="DC301"/>
  <c r="T301" i="69" s="1"/>
  <c r="FI156" i="77"/>
  <c r="T163"/>
  <c r="GP417"/>
  <c r="T417"/>
  <c r="U417" s="1"/>
  <c r="T416"/>
  <c r="AX411"/>
  <c r="FL401"/>
  <c r="T318"/>
  <c r="T318" i="39" s="1"/>
  <c r="T211" i="77"/>
  <c r="IR414"/>
  <c r="IT311"/>
  <c r="V311" i="74" s="1"/>
  <c r="T310" i="77"/>
  <c r="T310" i="39" s="1"/>
  <c r="T311" i="77"/>
  <c r="T311" i="39" s="1"/>
  <c r="T421" i="77"/>
  <c r="U415"/>
  <c r="HO401"/>
  <c r="HP401" s="1"/>
  <c r="T401"/>
  <c r="U401" s="1"/>
  <c r="HO312"/>
  <c r="T312" i="73" s="1"/>
  <c r="T213" i="77"/>
  <c r="T187"/>
  <c r="T188"/>
  <c r="DC41"/>
  <c r="IT41"/>
  <c r="DD14"/>
  <c r="U14"/>
  <c r="DE341"/>
  <c r="V341" i="69" s="1"/>
  <c r="HO417" i="77"/>
  <c r="HP417" s="1"/>
  <c r="IR431"/>
  <c r="IS431" s="1"/>
  <c r="IM441"/>
  <c r="IN441"/>
  <c r="HK417"/>
  <c r="HJ417"/>
  <c r="HK461"/>
  <c r="HJ461"/>
  <c r="FE461"/>
  <c r="FD461"/>
  <c r="FD441"/>
  <c r="FE441"/>
  <c r="AW156"/>
  <c r="V431"/>
  <c r="T198"/>
  <c r="V157"/>
  <c r="W158"/>
  <c r="V143"/>
  <c r="T101"/>
  <c r="HO41"/>
  <c r="IR105"/>
  <c r="IT51"/>
  <c r="IS41"/>
  <c r="T110"/>
  <c r="O441"/>
  <c r="P441"/>
  <c r="IN461"/>
  <c r="IM461"/>
  <c r="GH461"/>
  <c r="GG461"/>
  <c r="BV461"/>
  <c r="BU461"/>
  <c r="BU441"/>
  <c r="BV441"/>
  <c r="T441"/>
  <c r="U441" s="1"/>
  <c r="HJ441"/>
  <c r="HK441"/>
  <c r="T189"/>
  <c r="V158"/>
  <c r="T156"/>
  <c r="X145"/>
  <c r="EF313"/>
  <c r="GL15"/>
  <c r="GO15" s="1"/>
  <c r="T231"/>
  <c r="U231" s="1"/>
  <c r="U461"/>
  <c r="IR301"/>
  <c r="T301" i="74" s="1"/>
  <c r="IU311" i="77"/>
  <c r="W311" i="74" s="1"/>
  <c r="HO321" i="77"/>
  <c r="T321" i="73" s="1"/>
  <c r="HO311" i="77"/>
  <c r="T311" i="73" s="1"/>
  <c r="HO318" i="77"/>
  <c r="T318" i="73" s="1"/>
  <c r="FI321" i="77"/>
  <c r="T321" i="71" s="1"/>
  <c r="EF318" i="77"/>
  <c r="T318" i="70" s="1"/>
  <c r="DC318" i="77"/>
  <c r="T318" i="69" s="1"/>
  <c r="BZ301" i="77"/>
  <c r="T301" i="68" s="1"/>
  <c r="BZ319" i="77"/>
  <c r="T319" i="68" s="1"/>
  <c r="AY301" i="77"/>
  <c r="V301" i="65" s="1"/>
  <c r="AX301" i="77"/>
  <c r="U301" i="65" s="1"/>
  <c r="Y259" i="69"/>
  <c r="DK259" i="77"/>
  <c r="DK289"/>
  <c r="DK273"/>
  <c r="DK292"/>
  <c r="DK268"/>
  <c r="DK287"/>
  <c r="DK276"/>
  <c r="DK278"/>
  <c r="DK263"/>
  <c r="FL414"/>
  <c r="FJ414"/>
  <c r="IU318"/>
  <c r="W318" i="74" s="1"/>
  <c r="IS318" i="77"/>
  <c r="U318" i="74" s="1"/>
  <c r="DK461" i="77"/>
  <c r="EK461"/>
  <c r="GH414"/>
  <c r="GO414" s="1"/>
  <c r="GM414"/>
  <c r="GG414"/>
  <c r="GN414" s="1"/>
  <c r="IM419"/>
  <c r="IN419"/>
  <c r="EA417"/>
  <c r="EB417"/>
  <c r="O417"/>
  <c r="V417" s="1"/>
  <c r="P417"/>
  <c r="CH416"/>
  <c r="DH416"/>
  <c r="EG411"/>
  <c r="EA411"/>
  <c r="EH411" s="1"/>
  <c r="EB411"/>
  <c r="EI411" s="1"/>
  <c r="P413"/>
  <c r="W413" s="1"/>
  <c r="U413"/>
  <c r="O413"/>
  <c r="V413" s="1"/>
  <c r="FE416"/>
  <c r="FD416"/>
  <c r="IN415"/>
  <c r="IM415"/>
  <c r="IM371"/>
  <c r="IN371"/>
  <c r="EA371"/>
  <c r="EB371"/>
  <c r="HK321"/>
  <c r="HP321"/>
  <c r="U321" i="73" s="1"/>
  <c r="HJ321" i="77"/>
  <c r="HJ401"/>
  <c r="HK401"/>
  <c r="O401"/>
  <c r="V401" s="1"/>
  <c r="P401"/>
  <c r="O391"/>
  <c r="V391" s="1"/>
  <c r="U391"/>
  <c r="P391"/>
  <c r="W391" s="1"/>
  <c r="IN341"/>
  <c r="IS341"/>
  <c r="U341" i="74" s="1"/>
  <c r="IM341" i="77"/>
  <c r="P341"/>
  <c r="U341"/>
  <c r="U341" i="39" s="1"/>
  <c r="O341" i="77"/>
  <c r="EA391"/>
  <c r="EB391"/>
  <c r="O381"/>
  <c r="V381" s="1"/>
  <c r="P381"/>
  <c r="W381" s="1"/>
  <c r="U381"/>
  <c r="GG321"/>
  <c r="O321" i="72" s="1"/>
  <c r="GH321" i="77"/>
  <c r="P321" i="72" s="1"/>
  <c r="HJ317" i="77"/>
  <c r="O317" i="73" s="1"/>
  <c r="HK317" i="77"/>
  <c r="P317" i="73" s="1"/>
  <c r="HJ316" i="77"/>
  <c r="O316" i="73" s="1"/>
  <c r="HK316" i="77"/>
  <c r="P316" i="73" s="1"/>
  <c r="AR315" i="77"/>
  <c r="O315" i="65" s="1"/>
  <c r="AS315" i="77"/>
  <c r="P315" i="65" s="1"/>
  <c r="FD314" i="77"/>
  <c r="O314" i="71" s="1"/>
  <c r="FE314" i="77"/>
  <c r="P314" i="71" s="1"/>
  <c r="AR314" i="77"/>
  <c r="O314" i="65" s="1"/>
  <c r="AS314" i="77"/>
  <c r="P314" i="65" s="1"/>
  <c r="IN319" i="77"/>
  <c r="P319" i="74" s="1"/>
  <c r="IM319" i="77"/>
  <c r="O319" i="74" s="1"/>
  <c r="HO319" i="77"/>
  <c r="HJ313"/>
  <c r="HK313"/>
  <c r="HP313"/>
  <c r="U313" i="73" s="1"/>
  <c r="CX313" i="77"/>
  <c r="CY313"/>
  <c r="DD313"/>
  <c r="U313" i="69" s="1"/>
  <c r="DK371" i="77"/>
  <c r="EK371"/>
  <c r="IN291"/>
  <c r="IM291"/>
  <c r="HJ281"/>
  <c r="HK281"/>
  <c r="P291"/>
  <c r="W291" s="1"/>
  <c r="U291"/>
  <c r="O291"/>
  <c r="V291" s="1"/>
  <c r="P271"/>
  <c r="W271" s="1"/>
  <c r="O271"/>
  <c r="V271" s="1"/>
  <c r="HJ312"/>
  <c r="HK312"/>
  <c r="GH312"/>
  <c r="P312" i="72" s="1"/>
  <c r="GG312" i="77"/>
  <c r="O312" i="72" s="1"/>
  <c r="EB310" i="77"/>
  <c r="P310" i="70" s="1"/>
  <c r="EA310" i="77"/>
  <c r="O310" i="70" s="1"/>
  <c r="IN312" i="77"/>
  <c r="IM312"/>
  <c r="IS312"/>
  <c r="U312" i="74" s="1"/>
  <c r="CH261" i="77"/>
  <c r="DH261"/>
  <c r="O241"/>
  <c r="P241"/>
  <c r="BU221"/>
  <c r="BV221"/>
  <c r="BU214"/>
  <c r="BV214"/>
  <c r="BU213"/>
  <c r="BV213"/>
  <c r="GG211"/>
  <c r="GH211"/>
  <c r="GG210"/>
  <c r="GH210"/>
  <c r="BU210"/>
  <c r="BV210"/>
  <c r="GG201"/>
  <c r="GH201"/>
  <c r="T218"/>
  <c r="U218" s="1"/>
  <c r="AS216"/>
  <c r="AR216"/>
  <c r="EB196"/>
  <c r="EA196"/>
  <c r="T195"/>
  <c r="U195" s="1"/>
  <c r="IN199"/>
  <c r="IM199"/>
  <c r="HK195"/>
  <c r="HJ195"/>
  <c r="CY195"/>
  <c r="CX195"/>
  <c r="O298"/>
  <c r="O298" i="39" s="1"/>
  <c r="GL305" i="77"/>
  <c r="T305" i="72" s="1"/>
  <c r="IR305" i="77"/>
  <c r="T305" i="74" s="1"/>
  <c r="HO305" i="77"/>
  <c r="T305" i="73" s="1"/>
  <c r="BA411" i="77"/>
  <c r="FK401"/>
  <c r="IT318"/>
  <c r="V318" i="74" s="1"/>
  <c r="V316" i="77"/>
  <c r="V316" i="39" s="1"/>
  <c r="V315" i="77"/>
  <c r="V315" i="39" s="1"/>
  <c r="GL321" i="77"/>
  <c r="W315"/>
  <c r="W315" i="39" s="1"/>
  <c r="FL312" i="77"/>
  <c r="W312" i="71" s="1"/>
  <c r="T251" i="77"/>
  <c r="U251" s="1"/>
  <c r="T217"/>
  <c r="T219"/>
  <c r="U219" s="1"/>
  <c r="FJ431"/>
  <c r="FD431"/>
  <c r="FK431" s="1"/>
  <c r="FE431"/>
  <c r="FL431" s="1"/>
  <c r="FD419"/>
  <c r="FE419"/>
  <c r="U419"/>
  <c r="P419"/>
  <c r="W419" s="1"/>
  <c r="O419"/>
  <c r="V419" s="1"/>
  <c r="IS417"/>
  <c r="IN417"/>
  <c r="IU417" s="1"/>
  <c r="IM417"/>
  <c r="IT417" s="1"/>
  <c r="GS417"/>
  <c r="AS417"/>
  <c r="AZ417" s="1"/>
  <c r="AX417"/>
  <c r="AR417"/>
  <c r="AY417" s="1"/>
  <c r="HJ419"/>
  <c r="HK419"/>
  <c r="HP414"/>
  <c r="HJ414"/>
  <c r="HQ414" s="1"/>
  <c r="HK414"/>
  <c r="HR414" s="1"/>
  <c r="IM412"/>
  <c r="IN412"/>
  <c r="GG412"/>
  <c r="GH412"/>
  <c r="IS411"/>
  <c r="IM411"/>
  <c r="IT411" s="1"/>
  <c r="IN411"/>
  <c r="IU411" s="1"/>
  <c r="O414"/>
  <c r="P414"/>
  <c r="HK413"/>
  <c r="HJ413"/>
  <c r="FE413"/>
  <c r="FD413"/>
  <c r="GG419"/>
  <c r="GH419"/>
  <c r="GH401"/>
  <c r="GO401" s="1"/>
  <c r="GM401"/>
  <c r="GG401"/>
  <c r="GN401" s="1"/>
  <c r="EB416"/>
  <c r="EA416"/>
  <c r="FD371"/>
  <c r="FE371"/>
  <c r="HK361"/>
  <c r="HJ361"/>
  <c r="FE361"/>
  <c r="FD361"/>
  <c r="AS361"/>
  <c r="AR361"/>
  <c r="BV341"/>
  <c r="CA341"/>
  <c r="U341" i="68" s="1"/>
  <c r="BU341" i="77"/>
  <c r="EK412"/>
  <c r="DK412"/>
  <c r="AR391"/>
  <c r="AS391"/>
  <c r="O361"/>
  <c r="V361" s="1"/>
  <c r="P361"/>
  <c r="W361" s="1"/>
  <c r="U361"/>
  <c r="EK411"/>
  <c r="DK411"/>
  <c r="EB319"/>
  <c r="EG319"/>
  <c r="U319" i="70" s="1"/>
  <c r="EA319" i="77"/>
  <c r="IM317"/>
  <c r="O317" i="74" s="1"/>
  <c r="IN317" i="77"/>
  <c r="P317" i="74" s="1"/>
  <c r="EA317" i="77"/>
  <c r="O317" i="70" s="1"/>
  <c r="EB317" i="77"/>
  <c r="P317" i="70" s="1"/>
  <c r="IM316" i="77"/>
  <c r="O316" i="74" s="1"/>
  <c r="IN316" i="77"/>
  <c r="P316" i="74" s="1"/>
  <c r="FD315" i="77"/>
  <c r="O315" i="71" s="1"/>
  <c r="FE315" i="77"/>
  <c r="P315" i="71" s="1"/>
  <c r="EK391" i="77"/>
  <c r="DK391"/>
  <c r="EG318"/>
  <c r="U318" i="70" s="1"/>
  <c r="EA318" i="77"/>
  <c r="EB318"/>
  <c r="U318"/>
  <c r="U318" i="39" s="1"/>
  <c r="O318" i="77"/>
  <c r="P318"/>
  <c r="DK321"/>
  <c r="AB321" i="69" s="1"/>
  <c r="HP318" i="77"/>
  <c r="U318" i="73" s="1"/>
  <c r="HK318" i="77"/>
  <c r="HJ318"/>
  <c r="CY318"/>
  <c r="DD318"/>
  <c r="U318" i="69" s="1"/>
  <c r="CX318" i="77"/>
  <c r="HK315"/>
  <c r="HP315"/>
  <c r="U315" i="73" s="1"/>
  <c r="HJ315" i="77"/>
  <c r="BU319"/>
  <c r="CA319"/>
  <c r="U319" i="68" s="1"/>
  <c r="BV319" i="77"/>
  <c r="DK317"/>
  <c r="AB317" i="69" s="1"/>
  <c r="DK314" i="77"/>
  <c r="AB314" i="69" s="1"/>
  <c r="IM281" i="77"/>
  <c r="IN281"/>
  <c r="GH310"/>
  <c r="P310" i="72" s="1"/>
  <c r="GG310" i="77"/>
  <c r="O310" i="72" s="1"/>
  <c r="O310" i="77"/>
  <c r="U310"/>
  <c r="P310"/>
  <c r="P312"/>
  <c r="O312"/>
  <c r="U312"/>
  <c r="U312" i="39" s="1"/>
  <c r="FE310" i="77"/>
  <c r="P310" i="71" s="1"/>
  <c r="FD310" i="77"/>
  <c r="O310" i="71" s="1"/>
  <c r="HJ301" i="77"/>
  <c r="HP301"/>
  <c r="U301" i="73" s="1"/>
  <c r="HK301" i="77"/>
  <c r="EN310"/>
  <c r="AB310" i="70" s="1"/>
  <c r="EA301" i="77"/>
  <c r="EG301"/>
  <c r="U301" i="70" s="1"/>
  <c r="EB301" i="77"/>
  <c r="IM301"/>
  <c r="IS301"/>
  <c r="U301" i="74" s="1"/>
  <c r="IN301" i="77"/>
  <c r="BU311"/>
  <c r="O311" i="68" s="1"/>
  <c r="BV311" i="77"/>
  <c r="P311" i="68" s="1"/>
  <c r="HK310" i="77"/>
  <c r="P310" i="73" s="1"/>
  <c r="HJ310" i="77"/>
  <c r="O310" i="73" s="1"/>
  <c r="O261" i="77"/>
  <c r="P261"/>
  <c r="FE261"/>
  <c r="FD261"/>
  <c r="GG251"/>
  <c r="GH251"/>
  <c r="P251"/>
  <c r="O251"/>
  <c r="DK281"/>
  <c r="EK281"/>
  <c r="AR251"/>
  <c r="AS251"/>
  <c r="CY261"/>
  <c r="CX261"/>
  <c r="EA251"/>
  <c r="EB251"/>
  <c r="CX221"/>
  <c r="CY221"/>
  <c r="HJ213"/>
  <c r="HK213"/>
  <c r="CX213"/>
  <c r="CY213"/>
  <c r="HJ211"/>
  <c r="HK211"/>
  <c r="CX211"/>
  <c r="CY211"/>
  <c r="CX210"/>
  <c r="CY210"/>
  <c r="HJ201"/>
  <c r="HK201"/>
  <c r="CX201"/>
  <c r="CY201"/>
  <c r="HK219"/>
  <c r="HJ219"/>
  <c r="GH218"/>
  <c r="GG218"/>
  <c r="HK215"/>
  <c r="HJ215"/>
  <c r="HK214"/>
  <c r="HJ214"/>
  <c r="CH219"/>
  <c r="DH219"/>
  <c r="U214"/>
  <c r="O214"/>
  <c r="V214" s="1"/>
  <c r="P214"/>
  <c r="W214" s="1"/>
  <c r="U211"/>
  <c r="O211"/>
  <c r="V211" s="1"/>
  <c r="P211"/>
  <c r="W211" s="1"/>
  <c r="U201"/>
  <c r="O201"/>
  <c r="V201" s="1"/>
  <c r="P201"/>
  <c r="W201" s="1"/>
  <c r="P221"/>
  <c r="W221" s="1"/>
  <c r="O221"/>
  <c r="V221" s="1"/>
  <c r="U221"/>
  <c r="FE218"/>
  <c r="FD218"/>
  <c r="IN217"/>
  <c r="IM217"/>
  <c r="HK216"/>
  <c r="HJ216"/>
  <c r="GH215"/>
  <c r="GG215"/>
  <c r="GG214"/>
  <c r="GH214"/>
  <c r="FE219"/>
  <c r="FD219"/>
  <c r="IN218"/>
  <c r="IM218"/>
  <c r="HK217"/>
  <c r="HJ217"/>
  <c r="GH216"/>
  <c r="GG216"/>
  <c r="EK197"/>
  <c r="DK197"/>
  <c r="T199"/>
  <c r="U199" s="1"/>
  <c r="EK196"/>
  <c r="DK196"/>
  <c r="T194"/>
  <c r="U194" s="1"/>
  <c r="DK215"/>
  <c r="EK215"/>
  <c r="DK201"/>
  <c r="EK201"/>
  <c r="BZ431"/>
  <c r="CA431" s="1"/>
  <c r="X415"/>
  <c r="FL417"/>
  <c r="FM411"/>
  <c r="AY401"/>
  <c r="V371"/>
  <c r="BA319"/>
  <c r="IR319"/>
  <c r="EI315"/>
  <c r="W315" i="70" s="1"/>
  <c r="AW315" i="77"/>
  <c r="GL312"/>
  <c r="AY312"/>
  <c r="V312" i="65" s="1"/>
  <c r="GL311" i="77"/>
  <c r="T311" i="72" s="1"/>
  <c r="W281" i="77"/>
  <c r="T216"/>
  <c r="U216" s="1"/>
  <c r="BU431"/>
  <c r="BV431"/>
  <c r="GQ431"/>
  <c r="FQ431"/>
  <c r="DH417"/>
  <c r="CH417"/>
  <c r="HK416"/>
  <c r="HJ416"/>
  <c r="GH415"/>
  <c r="GG415"/>
  <c r="DK421"/>
  <c r="EK421"/>
  <c r="U416"/>
  <c r="O416"/>
  <c r="V416" s="1"/>
  <c r="P416"/>
  <c r="W416" s="1"/>
  <c r="GH416"/>
  <c r="GG416"/>
  <c r="FE415"/>
  <c r="FD415"/>
  <c r="EB414"/>
  <c r="EI414" s="1"/>
  <c r="EG414"/>
  <c r="EA414"/>
  <c r="EH414" s="1"/>
  <c r="P412"/>
  <c r="W412" s="1"/>
  <c r="U412"/>
  <c r="O412"/>
  <c r="V412" s="1"/>
  <c r="BU419"/>
  <c r="BV419"/>
  <c r="EB415"/>
  <c r="EA415"/>
  <c r="GG411"/>
  <c r="GN411" s="1"/>
  <c r="GH411"/>
  <c r="GO411" s="1"/>
  <c r="GM411"/>
  <c r="GG391"/>
  <c r="GH391"/>
  <c r="GG371"/>
  <c r="GH371"/>
  <c r="BU371"/>
  <c r="BV371"/>
  <c r="P321"/>
  <c r="P321" i="39" s="1"/>
  <c r="O321" i="77"/>
  <c r="O321" i="39" s="1"/>
  <c r="CH381" i="77"/>
  <c r="DH381"/>
  <c r="EB341"/>
  <c r="EG341"/>
  <c r="U341" i="70" s="1"/>
  <c r="EA341" i="77"/>
  <c r="AR318"/>
  <c r="AS318"/>
  <c r="AX318"/>
  <c r="U318" i="65" s="1"/>
  <c r="FD317" i="77"/>
  <c r="O317" i="71" s="1"/>
  <c r="FE317" i="77"/>
  <c r="P317" i="71" s="1"/>
  <c r="AR317" i="77"/>
  <c r="O317" i="65" s="1"/>
  <c r="AS317" i="77"/>
  <c r="P317" i="65" s="1"/>
  <c r="FD316" i="77"/>
  <c r="O316" i="71" s="1"/>
  <c r="FE316" i="77"/>
  <c r="P316" i="71" s="1"/>
  <c r="HJ314" i="77"/>
  <c r="O314" i="73" s="1"/>
  <c r="HK314" i="77"/>
  <c r="P314" i="73" s="1"/>
  <c r="FE321" i="77"/>
  <c r="FJ321"/>
  <c r="U321" i="71" s="1"/>
  <c r="FD321" i="77"/>
  <c r="CY315"/>
  <c r="DD315"/>
  <c r="U315" i="69" s="1"/>
  <c r="CX315" i="77"/>
  <c r="EN331"/>
  <c r="AB331" i="70" s="1"/>
  <c r="DK316" i="77"/>
  <c r="AB316" i="69" s="1"/>
  <c r="BU315" i="77"/>
  <c r="BV315"/>
  <c r="CA315"/>
  <c r="U315" i="68" s="1"/>
  <c r="FD313" i="77"/>
  <c r="FE313"/>
  <c r="FJ313"/>
  <c r="U313" i="71" s="1"/>
  <c r="GG319" i="77"/>
  <c r="GM319"/>
  <c r="U319" i="72" s="1"/>
  <c r="GH319" i="77"/>
  <c r="CA301"/>
  <c r="U301" i="68" s="1"/>
  <c r="BU301" i="77"/>
  <c r="BV301"/>
  <c r="GH291"/>
  <c r="GG291"/>
  <c r="FD281"/>
  <c r="FE281"/>
  <c r="AR281"/>
  <c r="AS281"/>
  <c r="EB312"/>
  <c r="EA312"/>
  <c r="EG312"/>
  <c r="U312" i="70" s="1"/>
  <c r="DD301" i="77"/>
  <c r="U301" i="69" s="1"/>
  <c r="CY301" i="77"/>
  <c r="CX301"/>
  <c r="AR313"/>
  <c r="AS313"/>
  <c r="AX313"/>
  <c r="U313" i="65" s="1"/>
  <c r="HK311" i="77"/>
  <c r="HJ311"/>
  <c r="HP311"/>
  <c r="U311" i="73" s="1"/>
  <c r="FE301" i="77"/>
  <c r="FJ301"/>
  <c r="U301" i="71" s="1"/>
  <c r="FD301" i="77"/>
  <c r="IN310"/>
  <c r="P310" i="74" s="1"/>
  <c r="IM310" i="77"/>
  <c r="O310" i="74" s="1"/>
  <c r="CX312" i="77"/>
  <c r="DD312"/>
  <c r="U312" i="69" s="1"/>
  <c r="CY312" i="77"/>
  <c r="BV312"/>
  <c r="P312" i="68" s="1"/>
  <c r="BU312" i="77"/>
  <c r="O312" i="68" s="1"/>
  <c r="EK271" i="77"/>
  <c r="DK271"/>
  <c r="EK291"/>
  <c r="DK291"/>
  <c r="CH231"/>
  <c r="DH231"/>
  <c r="DK251"/>
  <c r="EK251"/>
  <c r="IM213"/>
  <c r="IN213"/>
  <c r="IM211"/>
  <c r="IN211"/>
  <c r="IM210"/>
  <c r="IN210"/>
  <c r="IM201"/>
  <c r="IN201"/>
  <c r="EK241"/>
  <c r="DK241"/>
  <c r="EN217"/>
  <c r="FN217"/>
  <c r="HK231"/>
  <c r="HJ231"/>
  <c r="GH231"/>
  <c r="GG231"/>
  <c r="IN219"/>
  <c r="IM219"/>
  <c r="HK218"/>
  <c r="HJ218"/>
  <c r="GH217"/>
  <c r="GG217"/>
  <c r="FE216"/>
  <c r="FD216"/>
  <c r="IN215"/>
  <c r="IM215"/>
  <c r="HT189"/>
  <c r="GT189"/>
  <c r="IN191"/>
  <c r="IM191"/>
  <c r="EB191"/>
  <c r="EA191"/>
  <c r="CY198"/>
  <c r="CX198"/>
  <c r="P196"/>
  <c r="W196" s="1"/>
  <c r="O196"/>
  <c r="V196" s="1"/>
  <c r="U196"/>
  <c r="FM305"/>
  <c r="BA305"/>
  <c r="T414"/>
  <c r="U414" s="1"/>
  <c r="FJ417"/>
  <c r="FM401"/>
  <c r="AZ401"/>
  <c r="BZ321"/>
  <c r="CB321" s="1"/>
  <c r="V321" i="68" s="1"/>
  <c r="DC319" i="77"/>
  <c r="IT315"/>
  <c r="V315" i="74" s="1"/>
  <c r="V314" i="77"/>
  <c r="V314" i="39" s="1"/>
  <c r="T321" i="77"/>
  <c r="IU315"/>
  <c r="W315" i="74" s="1"/>
  <c r="FI315" i="77"/>
  <c r="W314"/>
  <c r="W314" i="39" s="1"/>
  <c r="IR321" i="77"/>
  <c r="T321" i="74" s="1"/>
  <c r="BA301" i="77"/>
  <c r="V281"/>
  <c r="AZ312"/>
  <c r="W312" i="65" s="1"/>
  <c r="GL301" i="77"/>
  <c r="AX431"/>
  <c r="AS431"/>
  <c r="AZ431" s="1"/>
  <c r="AR431"/>
  <c r="AY431" s="1"/>
  <c r="DK441"/>
  <c r="EK441"/>
  <c r="O421"/>
  <c r="V421" s="1"/>
  <c r="U421"/>
  <c r="P421"/>
  <c r="W421" s="1"/>
  <c r="DH419"/>
  <c r="CH419"/>
  <c r="AR414"/>
  <c r="AY414" s="1"/>
  <c r="AX414"/>
  <c r="AS414"/>
  <c r="AZ414" s="1"/>
  <c r="HJ412"/>
  <c r="HK412"/>
  <c r="FD412"/>
  <c r="FE412"/>
  <c r="BU412"/>
  <c r="BV412"/>
  <c r="IN413"/>
  <c r="IM413"/>
  <c r="GH413"/>
  <c r="GG413"/>
  <c r="BV413"/>
  <c r="BU413"/>
  <c r="HK411"/>
  <c r="HR411" s="1"/>
  <c r="HP411"/>
  <c r="HJ411"/>
  <c r="HQ411" s="1"/>
  <c r="P411"/>
  <c r="W411" s="1"/>
  <c r="U411"/>
  <c r="O411"/>
  <c r="V411" s="1"/>
  <c r="DK414"/>
  <c r="EK414"/>
  <c r="BV401"/>
  <c r="CC401" s="1"/>
  <c r="CA401"/>
  <c r="BU401"/>
  <c r="CB401" s="1"/>
  <c r="IN416"/>
  <c r="IM416"/>
  <c r="HK415"/>
  <c r="HJ415"/>
  <c r="IN414"/>
  <c r="IU414" s="1"/>
  <c r="IM414"/>
  <c r="IT414" s="1"/>
  <c r="IS414"/>
  <c r="CY321"/>
  <c r="DD321"/>
  <c r="U321" i="69" s="1"/>
  <c r="CX321" i="77"/>
  <c r="FN401"/>
  <c r="EN401"/>
  <c r="CH361"/>
  <c r="DH361"/>
  <c r="IN361"/>
  <c r="IM361"/>
  <c r="GH361"/>
  <c r="GG361"/>
  <c r="GH341"/>
  <c r="GM341"/>
  <c r="U341" i="72" s="1"/>
  <c r="GG341" i="77"/>
  <c r="P331"/>
  <c r="U331"/>
  <c r="U331" i="39" s="1"/>
  <c r="O331" i="77"/>
  <c r="IS401"/>
  <c r="IM401"/>
  <c r="IT401" s="1"/>
  <c r="IN401"/>
  <c r="IU401" s="1"/>
  <c r="FD318"/>
  <c r="FE318"/>
  <c r="FJ318"/>
  <c r="U318" i="71" s="1"/>
  <c r="GG316" i="77"/>
  <c r="O316" i="72" s="1"/>
  <c r="GH316" i="77"/>
  <c r="P316" i="72" s="1"/>
  <c r="BU316" i="77"/>
  <c r="O316" i="68" s="1"/>
  <c r="BV316" i="77"/>
  <c r="P316" i="68" s="1"/>
  <c r="IM314" i="77"/>
  <c r="O314" i="74" s="1"/>
  <c r="IN314" i="77"/>
  <c r="P314" i="74" s="1"/>
  <c r="EA314" i="77"/>
  <c r="O314" i="70" s="1"/>
  <c r="EB314" i="77"/>
  <c r="P314" i="70" s="1"/>
  <c r="FE311" i="77"/>
  <c r="FJ311"/>
  <c r="U311" i="71" s="1"/>
  <c r="FD311" i="77"/>
  <c r="U317"/>
  <c r="U317" i="39" s="1"/>
  <c r="O317" i="77"/>
  <c r="P317"/>
  <c r="FJ319"/>
  <c r="U319" i="71" s="1"/>
  <c r="FD319" i="77"/>
  <c r="FE319"/>
  <c r="P319"/>
  <c r="U319"/>
  <c r="U319" i="39" s="1"/>
  <c r="O319" i="77"/>
  <c r="GG315"/>
  <c r="GH315"/>
  <c r="GM315"/>
  <c r="U315" i="72" s="1"/>
  <c r="HK291" i="77"/>
  <c r="HJ291"/>
  <c r="GG281"/>
  <c r="GH281"/>
  <c r="P311"/>
  <c r="O311"/>
  <c r="U311"/>
  <c r="U311" i="39" s="1"/>
  <c r="GG311" i="77"/>
  <c r="GM311"/>
  <c r="U311" i="72" s="1"/>
  <c r="GH311" i="77"/>
  <c r="FQ311"/>
  <c r="AB311" i="71" s="1"/>
  <c r="CY311" i="77"/>
  <c r="CX311"/>
  <c r="DD311"/>
  <c r="U311" i="69" s="1"/>
  <c r="BV261" i="77"/>
  <c r="BU261"/>
  <c r="IN261"/>
  <c r="IM261"/>
  <c r="FD251"/>
  <c r="FE251"/>
  <c r="HK261"/>
  <c r="HJ261"/>
  <c r="IM251"/>
  <c r="IN251"/>
  <c r="FD221"/>
  <c r="FE221"/>
  <c r="CH218"/>
  <c r="DH218"/>
  <c r="FD214"/>
  <c r="FE214"/>
  <c r="FD213"/>
  <c r="FE213"/>
  <c r="AR211"/>
  <c r="AS211"/>
  <c r="FD210"/>
  <c r="FE210"/>
  <c r="FD201"/>
  <c r="FE201"/>
  <c r="AS217"/>
  <c r="AR217"/>
  <c r="DK216"/>
  <c r="EK216"/>
  <c r="U213"/>
  <c r="O213"/>
  <c r="V213" s="1"/>
  <c r="P213"/>
  <c r="W213" s="1"/>
  <c r="U210"/>
  <c r="O210"/>
  <c r="V210" s="1"/>
  <c r="P210"/>
  <c r="W210" s="1"/>
  <c r="CY231"/>
  <c r="CX231"/>
  <c r="GH219"/>
  <c r="GG219"/>
  <c r="AS218"/>
  <c r="AR218"/>
  <c r="EB217"/>
  <c r="EA217"/>
  <c r="CY216"/>
  <c r="CX216"/>
  <c r="BU215"/>
  <c r="BV215"/>
  <c r="BV231"/>
  <c r="BU231"/>
  <c r="AS219"/>
  <c r="AR219"/>
  <c r="FE215"/>
  <c r="FD215"/>
  <c r="U217"/>
  <c r="O217"/>
  <c r="V217" s="1"/>
  <c r="P217"/>
  <c r="W217" s="1"/>
  <c r="FE199"/>
  <c r="FD199"/>
  <c r="AS197"/>
  <c r="AR197"/>
  <c r="FK414"/>
  <c r="AX401"/>
  <c r="BA401" s="1"/>
  <c r="W371"/>
  <c r="EH315"/>
  <c r="V315" i="70" s="1"/>
  <c r="W316" i="77"/>
  <c r="W316" i="39" s="1"/>
  <c r="X313" i="77"/>
  <c r="FK312"/>
  <c r="BZ312"/>
  <c r="BZ311"/>
  <c r="T261"/>
  <c r="U261" s="1"/>
  <c r="T241"/>
  <c r="U241" s="1"/>
  <c r="V219"/>
  <c r="FE231"/>
  <c r="FD231"/>
  <c r="EK193"/>
  <c r="DK193"/>
  <c r="AS190"/>
  <c r="AR190"/>
  <c r="FD189"/>
  <c r="FE189"/>
  <c r="DK213"/>
  <c r="EK213"/>
  <c r="EK192"/>
  <c r="DK192"/>
  <c r="FE195"/>
  <c r="FD195"/>
  <c r="FE191"/>
  <c r="FD191"/>
  <c r="DK211"/>
  <c r="EK211"/>
  <c r="EK199"/>
  <c r="DK199"/>
  <c r="EK195"/>
  <c r="DK195"/>
  <c r="AS196"/>
  <c r="AR196"/>
  <c r="DK210"/>
  <c r="EK210"/>
  <c r="EK198"/>
  <c r="DK198"/>
  <c r="EK190"/>
  <c r="DK190"/>
  <c r="GH184"/>
  <c r="GG184"/>
  <c r="P188"/>
  <c r="W188" s="1"/>
  <c r="U188"/>
  <c r="O188"/>
  <c r="V188" s="1"/>
  <c r="FD186"/>
  <c r="FE186"/>
  <c r="AR178"/>
  <c r="AS178"/>
  <c r="AR177"/>
  <c r="AS177"/>
  <c r="IM181"/>
  <c r="IN181"/>
  <c r="IM180"/>
  <c r="IN180"/>
  <c r="IM178"/>
  <c r="IN178"/>
  <c r="IM177"/>
  <c r="IN177"/>
  <c r="IM176"/>
  <c r="IN176"/>
  <c r="IM175"/>
  <c r="IN175"/>
  <c r="IN174"/>
  <c r="IM174"/>
  <c r="IN173"/>
  <c r="IM173"/>
  <c r="IN172"/>
  <c r="IM172"/>
  <c r="IN171"/>
  <c r="IM171"/>
  <c r="IN170"/>
  <c r="IM170"/>
  <c r="IN169"/>
  <c r="IM169"/>
  <c r="FD182"/>
  <c r="FE182"/>
  <c r="HJ181"/>
  <c r="HK181"/>
  <c r="HJ180"/>
  <c r="HK180"/>
  <c r="HJ179"/>
  <c r="HK179"/>
  <c r="HJ178"/>
  <c r="HK178"/>
  <c r="HJ177"/>
  <c r="HK177"/>
  <c r="HJ176"/>
  <c r="HK176"/>
  <c r="HJ174"/>
  <c r="HK174"/>
  <c r="HJ173"/>
  <c r="HK173"/>
  <c r="HJ172"/>
  <c r="HK172"/>
  <c r="HJ171"/>
  <c r="HK171"/>
  <c r="HJ170"/>
  <c r="HK170"/>
  <c r="HJ169"/>
  <c r="HK169"/>
  <c r="EB157"/>
  <c r="EA157"/>
  <c r="IN151"/>
  <c r="IM151"/>
  <c r="EB151"/>
  <c r="EA151"/>
  <c r="AS151"/>
  <c r="AR151"/>
  <c r="GH147"/>
  <c r="GG147"/>
  <c r="CH147"/>
  <c r="DH147"/>
  <c r="CH143"/>
  <c r="DH143"/>
  <c r="CY164"/>
  <c r="CX164"/>
  <c r="FE160"/>
  <c r="FD160"/>
  <c r="CH148"/>
  <c r="DH148"/>
  <c r="FD171"/>
  <c r="FE171"/>
  <c r="AR171"/>
  <c r="AS171"/>
  <c r="FE167"/>
  <c r="FD167"/>
  <c r="FE163"/>
  <c r="FD163"/>
  <c r="GH159"/>
  <c r="GG159"/>
  <c r="EK168"/>
  <c r="DK168"/>
  <c r="EK159"/>
  <c r="DK159"/>
  <c r="BV159"/>
  <c r="BU159"/>
  <c r="IN155"/>
  <c r="IM155"/>
  <c r="DK145"/>
  <c r="EK145"/>
  <c r="GH141"/>
  <c r="GG141"/>
  <c r="BV141"/>
  <c r="BU141"/>
  <c r="BV140"/>
  <c r="BU140"/>
  <c r="IN136"/>
  <c r="IM136"/>
  <c r="GH136"/>
  <c r="GG136"/>
  <c r="O136"/>
  <c r="V136" s="1"/>
  <c r="U136"/>
  <c r="P136"/>
  <c r="W136" s="1"/>
  <c r="IM123"/>
  <c r="IN123"/>
  <c r="IM122"/>
  <c r="IN122"/>
  <c r="IM121"/>
  <c r="IN121"/>
  <c r="IM120"/>
  <c r="IN120"/>
  <c r="EA120"/>
  <c r="EB120"/>
  <c r="IM119"/>
  <c r="IN119"/>
  <c r="IM118"/>
  <c r="IN118"/>
  <c r="IM117"/>
  <c r="IN117"/>
  <c r="IM116"/>
  <c r="IN116"/>
  <c r="IM115"/>
  <c r="IN115"/>
  <c r="IM114"/>
  <c r="IN114"/>
  <c r="IM113"/>
  <c r="IN113"/>
  <c r="IM112"/>
  <c r="IN112"/>
  <c r="EA112"/>
  <c r="EB112"/>
  <c r="IM111"/>
  <c r="IN111"/>
  <c r="IM110"/>
  <c r="IN110"/>
  <c r="IM109"/>
  <c r="IN109"/>
  <c r="IM108"/>
  <c r="IN108"/>
  <c r="IM107"/>
  <c r="IN107"/>
  <c r="CY155"/>
  <c r="CX155"/>
  <c r="IN143"/>
  <c r="IM143"/>
  <c r="GH143"/>
  <c r="GG143"/>
  <c r="BV143"/>
  <c r="BU143"/>
  <c r="O146"/>
  <c r="P146"/>
  <c r="BV155"/>
  <c r="BU155"/>
  <c r="O155"/>
  <c r="P155"/>
  <c r="AS150"/>
  <c r="AR150"/>
  <c r="IN146"/>
  <c r="IM146"/>
  <c r="EB146"/>
  <c r="EA146"/>
  <c r="CY145"/>
  <c r="CX145"/>
  <c r="GH144"/>
  <c r="GG144"/>
  <c r="BV144"/>
  <c r="BU144"/>
  <c r="CH138"/>
  <c r="DH138"/>
  <c r="AS138"/>
  <c r="AR138"/>
  <c r="CH134"/>
  <c r="DH134"/>
  <c r="AS134"/>
  <c r="AR134"/>
  <c r="BV71"/>
  <c r="CC71" s="1"/>
  <c r="BU71"/>
  <c r="CB71" s="1"/>
  <c r="CA71"/>
  <c r="AS148"/>
  <c r="AR148"/>
  <c r="HJ102"/>
  <c r="HK102"/>
  <c r="CX102"/>
  <c r="CY102"/>
  <c r="U115"/>
  <c r="O115"/>
  <c r="V115" s="1"/>
  <c r="P115"/>
  <c r="W115" s="1"/>
  <c r="GG104"/>
  <c r="GH104"/>
  <c r="CH113"/>
  <c r="DH113"/>
  <c r="CH109"/>
  <c r="DH109"/>
  <c r="EA103"/>
  <c r="EB103"/>
  <c r="HJ51"/>
  <c r="HK51"/>
  <c r="GG19"/>
  <c r="GH19"/>
  <c r="CA14"/>
  <c r="BU14"/>
  <c r="CB14" s="1"/>
  <c r="BV14"/>
  <c r="CC14" s="1"/>
  <c r="U112"/>
  <c r="O112"/>
  <c r="V112" s="1"/>
  <c r="P112"/>
  <c r="W112" s="1"/>
  <c r="DK71"/>
  <c r="EK71"/>
  <c r="HK21"/>
  <c r="HJ21"/>
  <c r="CY21"/>
  <c r="CX21"/>
  <c r="P19"/>
  <c r="W19" s="1"/>
  <c r="U19"/>
  <c r="O19"/>
  <c r="V19" s="1"/>
  <c r="CY17"/>
  <c r="CX17"/>
  <c r="EB15"/>
  <c r="EI15" s="1"/>
  <c r="EG15"/>
  <c r="EA15"/>
  <c r="EH15" s="1"/>
  <c r="O109"/>
  <c r="P109"/>
  <c r="EA104"/>
  <c r="EB104"/>
  <c r="DK112"/>
  <c r="EK112"/>
  <c r="DK108"/>
  <c r="EK108"/>
  <c r="BU101"/>
  <c r="BV101"/>
  <c r="BU18"/>
  <c r="CB18" s="1"/>
  <c r="BV18"/>
  <c r="CC18" s="1"/>
  <c r="CA18"/>
  <c r="IM14"/>
  <c r="IT14" s="1"/>
  <c r="IN14"/>
  <c r="IU14" s="1"/>
  <c r="IS14"/>
  <c r="U114"/>
  <c r="O114"/>
  <c r="V114" s="1"/>
  <c r="P114"/>
  <c r="W114" s="1"/>
  <c r="HJ104"/>
  <c r="HK104"/>
  <c r="DK31"/>
  <c r="EK31"/>
  <c r="T191"/>
  <c r="U191" s="1"/>
  <c r="W192"/>
  <c r="V198"/>
  <c r="T190"/>
  <c r="U190" s="1"/>
  <c r="V184"/>
  <c r="T176"/>
  <c r="U176" s="1"/>
  <c r="T168"/>
  <c r="U168" s="1"/>
  <c r="T164"/>
  <c r="W164" s="1"/>
  <c r="W184"/>
  <c r="W173"/>
  <c r="V172"/>
  <c r="W169"/>
  <c r="T175"/>
  <c r="U175" s="1"/>
  <c r="V185"/>
  <c r="W165"/>
  <c r="W161"/>
  <c r="T159"/>
  <c r="U159" s="1"/>
  <c r="T147"/>
  <c r="U147" s="1"/>
  <c r="HQ156"/>
  <c r="T102"/>
  <c r="U102" s="1"/>
  <c r="FL105"/>
  <c r="AY105"/>
  <c r="V135"/>
  <c r="T51"/>
  <c r="U51" s="1"/>
  <c r="FJ18"/>
  <c r="FM18" s="1"/>
  <c r="IM214"/>
  <c r="IN214"/>
  <c r="DK214"/>
  <c r="EK214"/>
  <c r="AS194"/>
  <c r="AR194"/>
  <c r="BU189"/>
  <c r="BV189"/>
  <c r="EB199"/>
  <c r="EA199"/>
  <c r="GH195"/>
  <c r="GG195"/>
  <c r="GH191"/>
  <c r="GG191"/>
  <c r="BV191"/>
  <c r="BU191"/>
  <c r="AS192"/>
  <c r="AR192"/>
  <c r="FD183"/>
  <c r="FE183"/>
  <c r="BV181"/>
  <c r="BU181"/>
  <c r="BV180"/>
  <c r="BU180"/>
  <c r="BV179"/>
  <c r="BU179"/>
  <c r="BV175"/>
  <c r="BU175"/>
  <c r="BV173"/>
  <c r="BU173"/>
  <c r="BV170"/>
  <c r="BU170"/>
  <c r="IM186"/>
  <c r="IN186"/>
  <c r="GG187"/>
  <c r="GH187"/>
  <c r="BU187"/>
  <c r="BV187"/>
  <c r="P187"/>
  <c r="W187" s="1"/>
  <c r="O187"/>
  <c r="V187" s="1"/>
  <c r="U187"/>
  <c r="FE184"/>
  <c r="FD184"/>
  <c r="HJ187"/>
  <c r="HK187"/>
  <c r="P186"/>
  <c r="O186"/>
  <c r="IM182"/>
  <c r="IN182"/>
  <c r="EK162"/>
  <c r="DK162"/>
  <c r="FE165"/>
  <c r="FD165"/>
  <c r="GH161"/>
  <c r="GG161"/>
  <c r="FE157"/>
  <c r="FD157"/>
  <c r="CH154"/>
  <c r="DH154"/>
  <c r="FE151"/>
  <c r="FD151"/>
  <c r="HK147"/>
  <c r="HJ147"/>
  <c r="FQ173"/>
  <c r="GQ173"/>
  <c r="FJ156"/>
  <c r="FD156"/>
  <c r="FK156" s="1"/>
  <c r="FE156"/>
  <c r="FL156" s="1"/>
  <c r="IN164"/>
  <c r="IM164"/>
  <c r="AS162"/>
  <c r="AR162"/>
  <c r="GH160"/>
  <c r="GG160"/>
  <c r="CH155"/>
  <c r="DH155"/>
  <c r="GT175"/>
  <c r="HT175"/>
  <c r="AR174"/>
  <c r="AS174"/>
  <c r="FD170"/>
  <c r="FE170"/>
  <c r="EK160"/>
  <c r="DK160"/>
  <c r="AX156"/>
  <c r="AS156"/>
  <c r="AZ156" s="1"/>
  <c r="AR156"/>
  <c r="AY156" s="1"/>
  <c r="GH163"/>
  <c r="GG163"/>
  <c r="AS161"/>
  <c r="AR161"/>
  <c r="HK159"/>
  <c r="HJ159"/>
  <c r="AS143"/>
  <c r="AR143"/>
  <c r="FE146"/>
  <c r="FD146"/>
  <c r="O140"/>
  <c r="V140" s="1"/>
  <c r="U140"/>
  <c r="P140"/>
  <c r="W140" s="1"/>
  <c r="CH136"/>
  <c r="DH136"/>
  <c r="HK132"/>
  <c r="HJ132"/>
  <c r="FE132"/>
  <c r="FD132"/>
  <c r="CY132"/>
  <c r="CX132"/>
  <c r="AR132"/>
  <c r="AS132"/>
  <c r="HJ131"/>
  <c r="HK131"/>
  <c r="AR131"/>
  <c r="AS131"/>
  <c r="HJ130"/>
  <c r="HK130"/>
  <c r="FD130"/>
  <c r="FE130"/>
  <c r="HJ129"/>
  <c r="HK129"/>
  <c r="AR129"/>
  <c r="AS129"/>
  <c r="HJ128"/>
  <c r="HK128"/>
  <c r="AR128"/>
  <c r="AS128"/>
  <c r="HJ126"/>
  <c r="HK126"/>
  <c r="FD126"/>
  <c r="FE126"/>
  <c r="AR126"/>
  <c r="AS126"/>
  <c r="AR125"/>
  <c r="AS125"/>
  <c r="AR124"/>
  <c r="AS124"/>
  <c r="FD123"/>
  <c r="FE123"/>
  <c r="FD122"/>
  <c r="FE122"/>
  <c r="FD121"/>
  <c r="FE121"/>
  <c r="AR121"/>
  <c r="AS121"/>
  <c r="FD120"/>
  <c r="FE120"/>
  <c r="FD119"/>
  <c r="FE119"/>
  <c r="FD118"/>
  <c r="FE118"/>
  <c r="FD117"/>
  <c r="FE117"/>
  <c r="FD116"/>
  <c r="FE116"/>
  <c r="FD115"/>
  <c r="FE115"/>
  <c r="FD114"/>
  <c r="FE114"/>
  <c r="AR114"/>
  <c r="AS114"/>
  <c r="FD113"/>
  <c r="FE113"/>
  <c r="AR113"/>
  <c r="AS113"/>
  <c r="AR112"/>
  <c r="AS112"/>
  <c r="FD111"/>
  <c r="FE111"/>
  <c r="FD110"/>
  <c r="FE110"/>
  <c r="FD109"/>
  <c r="FE109"/>
  <c r="AR109"/>
  <c r="AS109"/>
  <c r="FD108"/>
  <c r="FE108"/>
  <c r="AR108"/>
  <c r="AS108"/>
  <c r="FD107"/>
  <c r="FE107"/>
  <c r="AR107"/>
  <c r="AS107"/>
  <c r="FD106"/>
  <c r="FE106"/>
  <c r="AR106"/>
  <c r="AS106"/>
  <c r="EK156"/>
  <c r="DK156"/>
  <c r="O153"/>
  <c r="V153" s="1"/>
  <c r="U153"/>
  <c r="P153"/>
  <c r="W153" s="1"/>
  <c r="O151"/>
  <c r="V151" s="1"/>
  <c r="U151"/>
  <c r="P151"/>
  <c r="W151" s="1"/>
  <c r="CH146"/>
  <c r="DH146"/>
  <c r="GH145"/>
  <c r="GG145"/>
  <c r="IN137"/>
  <c r="IM137"/>
  <c r="GH137"/>
  <c r="GG137"/>
  <c r="EB137"/>
  <c r="EA137"/>
  <c r="O137"/>
  <c r="V137" s="1"/>
  <c r="U137"/>
  <c r="P137"/>
  <c r="W137" s="1"/>
  <c r="IN133"/>
  <c r="IM133"/>
  <c r="GH133"/>
  <c r="GG133"/>
  <c r="O133"/>
  <c r="V133" s="1"/>
  <c r="U133"/>
  <c r="P133"/>
  <c r="W133" s="1"/>
  <c r="P131"/>
  <c r="W131" s="1"/>
  <c r="U131"/>
  <c r="O131"/>
  <c r="V131" s="1"/>
  <c r="P129"/>
  <c r="W129" s="1"/>
  <c r="U129"/>
  <c r="O129"/>
  <c r="V129" s="1"/>
  <c r="P126"/>
  <c r="W126" s="1"/>
  <c r="U126"/>
  <c r="O126"/>
  <c r="V126" s="1"/>
  <c r="P124"/>
  <c r="W124" s="1"/>
  <c r="U124"/>
  <c r="O124"/>
  <c r="V124" s="1"/>
  <c r="P122"/>
  <c r="W122" s="1"/>
  <c r="U122"/>
  <c r="O122"/>
  <c r="V122" s="1"/>
  <c r="P120"/>
  <c r="W120" s="1"/>
  <c r="U120"/>
  <c r="O120"/>
  <c r="V120" s="1"/>
  <c r="P118"/>
  <c r="W118" s="1"/>
  <c r="U118"/>
  <c r="O118"/>
  <c r="V118" s="1"/>
  <c r="P116"/>
  <c r="W116" s="1"/>
  <c r="U116"/>
  <c r="O116"/>
  <c r="V116" s="1"/>
  <c r="GG156"/>
  <c r="GN156" s="1"/>
  <c r="GH156"/>
  <c r="GO156" s="1"/>
  <c r="GM156"/>
  <c r="DK149"/>
  <c r="EK149"/>
  <c r="CH141"/>
  <c r="DH141"/>
  <c r="HK140"/>
  <c r="HJ140"/>
  <c r="FE138"/>
  <c r="FD138"/>
  <c r="HK134"/>
  <c r="HJ134"/>
  <c r="FE134"/>
  <c r="FD134"/>
  <c r="GH105"/>
  <c r="GO105" s="1"/>
  <c r="GM105"/>
  <c r="GG105"/>
  <c r="GN105" s="1"/>
  <c r="GH71"/>
  <c r="GO71" s="1"/>
  <c r="GM71"/>
  <c r="GG71"/>
  <c r="GN71" s="1"/>
  <c r="AS157"/>
  <c r="AR157"/>
  <c r="P156"/>
  <c r="W156" s="1"/>
  <c r="O156"/>
  <c r="V156" s="1"/>
  <c r="U156"/>
  <c r="O148"/>
  <c r="V148" s="1"/>
  <c r="P148"/>
  <c r="W148" s="1"/>
  <c r="U148"/>
  <c r="IM102"/>
  <c r="IN102"/>
  <c r="O111"/>
  <c r="P111"/>
  <c r="P101"/>
  <c r="W101" s="1"/>
  <c r="U101"/>
  <c r="O101"/>
  <c r="V101" s="1"/>
  <c r="DK114"/>
  <c r="EK114"/>
  <c r="DK110"/>
  <c r="EK110"/>
  <c r="DK106"/>
  <c r="EK106"/>
  <c r="FD103"/>
  <c r="FE103"/>
  <c r="EB51"/>
  <c r="EA51"/>
  <c r="CX19"/>
  <c r="CY19"/>
  <c r="EG18"/>
  <c r="EA18"/>
  <c r="EH18" s="1"/>
  <c r="EB18"/>
  <c r="EI18" s="1"/>
  <c r="U11"/>
  <c r="O11"/>
  <c r="V11" s="1"/>
  <c r="P11"/>
  <c r="W11" s="1"/>
  <c r="EK130"/>
  <c r="DK130"/>
  <c r="EK125"/>
  <c r="DK125"/>
  <c r="EK121"/>
  <c r="DK121"/>
  <c r="EK117"/>
  <c r="DK117"/>
  <c r="O108"/>
  <c r="P108"/>
  <c r="HJ105"/>
  <c r="HK105"/>
  <c r="O105"/>
  <c r="P105"/>
  <c r="DD41"/>
  <c r="CY41"/>
  <c r="DF41" s="1"/>
  <c r="CX41"/>
  <c r="DE41" s="1"/>
  <c r="FN105"/>
  <c r="EN105"/>
  <c r="IN21"/>
  <c r="IM21"/>
  <c r="CY18"/>
  <c r="DF18" s="1"/>
  <c r="DD18"/>
  <c r="CX18"/>
  <c r="DE18" s="1"/>
  <c r="EB17"/>
  <c r="EA17"/>
  <c r="FE16"/>
  <c r="FD16"/>
  <c r="AS16"/>
  <c r="AR16"/>
  <c r="Z145"/>
  <c r="AA145"/>
  <c r="P103"/>
  <c r="W103" s="1"/>
  <c r="U103"/>
  <c r="O103"/>
  <c r="V103" s="1"/>
  <c r="CY91"/>
  <c r="CX91"/>
  <c r="CH115"/>
  <c r="DH115"/>
  <c r="CH111"/>
  <c r="DH111"/>
  <c r="CH107"/>
  <c r="DH107"/>
  <c r="CX101"/>
  <c r="CY101"/>
  <c r="U91"/>
  <c r="O91"/>
  <c r="V91" s="1"/>
  <c r="P91"/>
  <c r="W91" s="1"/>
  <c r="GG18"/>
  <c r="GN18" s="1"/>
  <c r="GH18"/>
  <c r="GO18" s="1"/>
  <c r="GM18"/>
  <c r="O16"/>
  <c r="V16" s="1"/>
  <c r="P16"/>
  <c r="W16" s="1"/>
  <c r="U16"/>
  <c r="EK129"/>
  <c r="DK129"/>
  <c r="EK124"/>
  <c r="DK124"/>
  <c r="EK120"/>
  <c r="DK120"/>
  <c r="EK116"/>
  <c r="DK116"/>
  <c r="U110"/>
  <c r="O110"/>
  <c r="V110" s="1"/>
  <c r="P110"/>
  <c r="W110" s="1"/>
  <c r="P104"/>
  <c r="W104" s="1"/>
  <c r="U104"/>
  <c r="O104"/>
  <c r="V104" s="1"/>
  <c r="P100"/>
  <c r="W100" s="1"/>
  <c r="U100"/>
  <c r="O100"/>
  <c r="V100" s="1"/>
  <c r="DK11"/>
  <c r="EK11"/>
  <c r="EK19"/>
  <c r="DK19"/>
  <c r="DK16"/>
  <c r="EK16"/>
  <c r="DK21"/>
  <c r="EK21"/>
  <c r="DK12"/>
  <c r="EK12"/>
  <c r="V192"/>
  <c r="X192" s="1"/>
  <c r="U198"/>
  <c r="V199"/>
  <c r="W197"/>
  <c r="W195"/>
  <c r="T186"/>
  <c r="U186" s="1"/>
  <c r="W181"/>
  <c r="W177"/>
  <c r="T180"/>
  <c r="U180" s="1"/>
  <c r="V177"/>
  <c r="W172"/>
  <c r="V171"/>
  <c r="T179"/>
  <c r="U179" s="1"/>
  <c r="V165"/>
  <c r="V161"/>
  <c r="V164"/>
  <c r="W162"/>
  <c r="W150"/>
  <c r="W163"/>
  <c r="EI156"/>
  <c r="T155"/>
  <c r="U155" s="1"/>
  <c r="T146"/>
  <c r="U146" s="1"/>
  <c r="W143"/>
  <c r="X143" s="1"/>
  <c r="W166"/>
  <c r="V139"/>
  <c r="T81"/>
  <c r="U81" s="1"/>
  <c r="IV41"/>
  <c r="FK41"/>
  <c r="CC41"/>
  <c r="T113"/>
  <c r="U113" s="1"/>
  <c r="FJ105"/>
  <c r="AZ105"/>
  <c r="HO51"/>
  <c r="HP51" s="1"/>
  <c r="CD15"/>
  <c r="V141"/>
  <c r="CB41"/>
  <c r="FI51"/>
  <c r="FJ51" s="1"/>
  <c r="EK191"/>
  <c r="DK191"/>
  <c r="CY194"/>
  <c r="CX194"/>
  <c r="GH199"/>
  <c r="GG199"/>
  <c r="EK194"/>
  <c r="DK194"/>
  <c r="BV190"/>
  <c r="BU190"/>
  <c r="P189"/>
  <c r="W189" s="1"/>
  <c r="U189"/>
  <c r="O189"/>
  <c r="V189" s="1"/>
  <c r="IN187"/>
  <c r="IM187"/>
  <c r="EB187"/>
  <c r="EA187"/>
  <c r="CX186"/>
  <c r="CY186"/>
  <c r="FD181"/>
  <c r="FE181"/>
  <c r="FD180"/>
  <c r="FE180"/>
  <c r="FD179"/>
  <c r="FE179"/>
  <c r="FD178"/>
  <c r="FE178"/>
  <c r="FD176"/>
  <c r="FE176"/>
  <c r="FD175"/>
  <c r="FE175"/>
  <c r="EA175"/>
  <c r="EB175"/>
  <c r="EB174"/>
  <c r="EA174"/>
  <c r="HJ185"/>
  <c r="HK185"/>
  <c r="CX185"/>
  <c r="CY185"/>
  <c r="EK188"/>
  <c r="DK188"/>
  <c r="HJ182"/>
  <c r="HK182"/>
  <c r="CX182"/>
  <c r="CY182"/>
  <c r="CX179"/>
  <c r="CY179"/>
  <c r="CX177"/>
  <c r="CY177"/>
  <c r="CX176"/>
  <c r="CY176"/>
  <c r="CX172"/>
  <c r="CY172"/>
  <c r="GH165"/>
  <c r="GG165"/>
  <c r="HK161"/>
  <c r="HJ161"/>
  <c r="GH157"/>
  <c r="GG157"/>
  <c r="GH151"/>
  <c r="GG151"/>
  <c r="CH151"/>
  <c r="DH151"/>
  <c r="IN147"/>
  <c r="IM147"/>
  <c r="FE164"/>
  <c r="FD164"/>
  <c r="HK160"/>
  <c r="HJ160"/>
  <c r="FD173"/>
  <c r="FE173"/>
  <c r="FD169"/>
  <c r="FE169"/>
  <c r="AR169"/>
  <c r="AS169"/>
  <c r="CY167"/>
  <c r="CX167"/>
  <c r="CY163"/>
  <c r="CX163"/>
  <c r="EB159"/>
  <c r="EA159"/>
  <c r="EK167"/>
  <c r="DK167"/>
  <c r="EK163"/>
  <c r="DK163"/>
  <c r="CH135"/>
  <c r="DH135"/>
  <c r="AS145"/>
  <c r="AR145"/>
  <c r="CH144"/>
  <c r="DH144"/>
  <c r="IN142"/>
  <c r="IM142"/>
  <c r="CH142"/>
  <c r="DH142"/>
  <c r="CH140"/>
  <c r="DH140"/>
  <c r="AS140"/>
  <c r="AR140"/>
  <c r="HK136"/>
  <c r="HJ136"/>
  <c r="FE136"/>
  <c r="FD136"/>
  <c r="GG123"/>
  <c r="GH123"/>
  <c r="BU123"/>
  <c r="BV123"/>
  <c r="BU122"/>
  <c r="BV122"/>
  <c r="GG121"/>
  <c r="GH121"/>
  <c r="GG120"/>
  <c r="GH120"/>
  <c r="GG119"/>
  <c r="GH119"/>
  <c r="BU118"/>
  <c r="BV118"/>
  <c r="GG117"/>
  <c r="GH117"/>
  <c r="BU117"/>
  <c r="BV117"/>
  <c r="GG116"/>
  <c r="GH116"/>
  <c r="GG115"/>
  <c r="GH115"/>
  <c r="GG114"/>
  <c r="GH114"/>
  <c r="GG113"/>
  <c r="GH113"/>
  <c r="GG112"/>
  <c r="GH112"/>
  <c r="BU112"/>
  <c r="BV112"/>
  <c r="GG111"/>
  <c r="GH111"/>
  <c r="BU111"/>
  <c r="BV111"/>
  <c r="GG110"/>
  <c r="GH110"/>
  <c r="BU110"/>
  <c r="BV110"/>
  <c r="GG109"/>
  <c r="GH109"/>
  <c r="BU109"/>
  <c r="BV109"/>
  <c r="GG108"/>
  <c r="GH108"/>
  <c r="GG107"/>
  <c r="GH107"/>
  <c r="GG106"/>
  <c r="GH106"/>
  <c r="EK158"/>
  <c r="DK158"/>
  <c r="HK155"/>
  <c r="HJ155"/>
  <c r="GH148"/>
  <c r="GG148"/>
  <c r="FE143"/>
  <c r="FD143"/>
  <c r="FE142"/>
  <c r="FD142"/>
  <c r="CH137"/>
  <c r="DH137"/>
  <c r="CH133"/>
  <c r="DH133"/>
  <c r="AS133"/>
  <c r="AR133"/>
  <c r="HK148"/>
  <c r="HJ148"/>
  <c r="CH153"/>
  <c r="DH153"/>
  <c r="DK150"/>
  <c r="EK150"/>
  <c r="FE149"/>
  <c r="FD149"/>
  <c r="GH146"/>
  <c r="GG146"/>
  <c r="IN141"/>
  <c r="IM141"/>
  <c r="BV134"/>
  <c r="BU134"/>
  <c r="FE155"/>
  <c r="FD155"/>
  <c r="FD102"/>
  <c r="FE102"/>
  <c r="U107"/>
  <c r="O107"/>
  <c r="V107" s="1"/>
  <c r="P107"/>
  <c r="W107" s="1"/>
  <c r="IM105"/>
  <c r="IT105" s="1"/>
  <c r="IN105"/>
  <c r="IU105" s="1"/>
  <c r="IS105"/>
  <c r="IM19"/>
  <c r="IN19"/>
  <c r="IS18"/>
  <c r="IM18"/>
  <c r="IT18" s="1"/>
  <c r="IN18"/>
  <c r="IU18" s="1"/>
  <c r="AX15"/>
  <c r="AR15"/>
  <c r="AY15" s="1"/>
  <c r="AS15"/>
  <c r="AZ15" s="1"/>
  <c r="U12"/>
  <c r="O12"/>
  <c r="V12" s="1"/>
  <c r="P12"/>
  <c r="W12" s="1"/>
  <c r="DH41"/>
  <c r="CH41"/>
  <c r="O61"/>
  <c r="V61" s="1"/>
  <c r="U61"/>
  <c r="P61"/>
  <c r="W61" s="1"/>
  <c r="FE21"/>
  <c r="FD21"/>
  <c r="AS21"/>
  <c r="AR21"/>
  <c r="P18"/>
  <c r="W18" s="1"/>
  <c r="U18"/>
  <c r="O18"/>
  <c r="V18" s="1"/>
  <c r="FE17"/>
  <c r="FD17"/>
  <c r="AS17"/>
  <c r="AR17"/>
  <c r="BV16"/>
  <c r="BU16"/>
  <c r="FE14"/>
  <c r="FL14" s="1"/>
  <c r="FJ14"/>
  <c r="FD14"/>
  <c r="FK14" s="1"/>
  <c r="AS14"/>
  <c r="AZ14" s="1"/>
  <c r="AX14"/>
  <c r="AR14"/>
  <c r="AY14" s="1"/>
  <c r="O21"/>
  <c r="V21" s="1"/>
  <c r="P21"/>
  <c r="W21" s="1"/>
  <c r="U21"/>
  <c r="CX15"/>
  <c r="DE15" s="1"/>
  <c r="CY15"/>
  <c r="DF15" s="1"/>
  <c r="DD15"/>
  <c r="O15"/>
  <c r="V15" s="1"/>
  <c r="P15"/>
  <c r="W15" s="1"/>
  <c r="U15"/>
  <c r="U106"/>
  <c r="O106"/>
  <c r="V106" s="1"/>
  <c r="P106"/>
  <c r="W106" s="1"/>
  <c r="EA105"/>
  <c r="EH105" s="1"/>
  <c r="EB105"/>
  <c r="EI105" s="1"/>
  <c r="EG105"/>
  <c r="DK17"/>
  <c r="EK17"/>
  <c r="FN14"/>
  <c r="EN14"/>
  <c r="V218"/>
  <c r="V197"/>
  <c r="W194"/>
  <c r="V195"/>
  <c r="W193"/>
  <c r="W178"/>
  <c r="V181"/>
  <c r="V178"/>
  <c r="V174"/>
  <c r="W171"/>
  <c r="V170"/>
  <c r="W185"/>
  <c r="V162"/>
  <c r="W135"/>
  <c r="V163"/>
  <c r="EH156"/>
  <c r="V166"/>
  <c r="IV51"/>
  <c r="AZ51"/>
  <c r="T109"/>
  <c r="U109" s="1"/>
  <c r="AX105"/>
  <c r="HO71"/>
  <c r="EF51"/>
  <c r="EG51" s="1"/>
  <c r="X14"/>
  <c r="GH181"/>
  <c r="GG181"/>
  <c r="GH180"/>
  <c r="GG180"/>
  <c r="GH179"/>
  <c r="GG179"/>
  <c r="GH178"/>
  <c r="GG178"/>
  <c r="GH177"/>
  <c r="GG177"/>
  <c r="GH176"/>
  <c r="GG176"/>
  <c r="GH175"/>
  <c r="GG175"/>
  <c r="GH174"/>
  <c r="GG174"/>
  <c r="GH173"/>
  <c r="GG173"/>
  <c r="GH171"/>
  <c r="GG171"/>
  <c r="GH170"/>
  <c r="GG170"/>
  <c r="GH169"/>
  <c r="GG169"/>
  <c r="P190"/>
  <c r="O190"/>
  <c r="GG186"/>
  <c r="GH186"/>
  <c r="EK183"/>
  <c r="DK183"/>
  <c r="P183"/>
  <c r="W183" s="1"/>
  <c r="O183"/>
  <c r="V183" s="1"/>
  <c r="U183"/>
  <c r="GG182"/>
  <c r="GH182"/>
  <c r="EK166"/>
  <c r="DK166"/>
  <c r="AS167"/>
  <c r="AR167"/>
  <c r="CY165"/>
  <c r="CX165"/>
  <c r="AS163"/>
  <c r="AR163"/>
  <c r="EB161"/>
  <c r="EA161"/>
  <c r="HK157"/>
  <c r="HJ157"/>
  <c r="FE147"/>
  <c r="FD147"/>
  <c r="BV147"/>
  <c r="BU147"/>
  <c r="FQ170"/>
  <c r="GQ170"/>
  <c r="EK165"/>
  <c r="DK165"/>
  <c r="EK161"/>
  <c r="DK161"/>
  <c r="EK157"/>
  <c r="DK157"/>
  <c r="GH164"/>
  <c r="GG164"/>
  <c r="BV164"/>
  <c r="BU164"/>
  <c r="IN160"/>
  <c r="IM160"/>
  <c r="FD172"/>
  <c r="FE172"/>
  <c r="AR172"/>
  <c r="AS172"/>
  <c r="EK164"/>
  <c r="DK164"/>
  <c r="O154"/>
  <c r="V154" s="1"/>
  <c r="P154"/>
  <c r="W154" s="1"/>
  <c r="U154"/>
  <c r="FE159"/>
  <c r="FD159"/>
  <c r="FN181"/>
  <c r="EN181"/>
  <c r="P168"/>
  <c r="O168"/>
  <c r="CH139"/>
  <c r="DH139"/>
  <c r="BV136"/>
  <c r="BU136"/>
  <c r="GH132"/>
  <c r="GG132"/>
  <c r="IM131"/>
  <c r="IN131"/>
  <c r="GG131"/>
  <c r="GH131"/>
  <c r="EA131"/>
  <c r="EB131"/>
  <c r="IM130"/>
  <c r="IN130"/>
  <c r="GG130"/>
  <c r="GH130"/>
  <c r="BU130"/>
  <c r="BV130"/>
  <c r="IM129"/>
  <c r="IN129"/>
  <c r="GG129"/>
  <c r="GH129"/>
  <c r="EA129"/>
  <c r="EB129"/>
  <c r="IM128"/>
  <c r="IN128"/>
  <c r="GG128"/>
  <c r="GH128"/>
  <c r="EA128"/>
  <c r="EB128"/>
  <c r="IM126"/>
  <c r="IN126"/>
  <c r="GG126"/>
  <c r="GH126"/>
  <c r="IM125"/>
  <c r="IN125"/>
  <c r="GG125"/>
  <c r="GH125"/>
  <c r="EA125"/>
  <c r="EB125"/>
  <c r="BU125"/>
  <c r="BV125"/>
  <c r="IM124"/>
  <c r="IN124"/>
  <c r="GG124"/>
  <c r="GH124"/>
  <c r="EA124"/>
  <c r="EB124"/>
  <c r="BU124"/>
  <c r="BV124"/>
  <c r="HJ123"/>
  <c r="HK123"/>
  <c r="HJ122"/>
  <c r="HK122"/>
  <c r="CX122"/>
  <c r="CY122"/>
  <c r="HJ121"/>
  <c r="HK121"/>
  <c r="CX120"/>
  <c r="CY120"/>
  <c r="HJ119"/>
  <c r="HK119"/>
  <c r="CX119"/>
  <c r="CY119"/>
  <c r="HJ118"/>
  <c r="HK118"/>
  <c r="CX118"/>
  <c r="CY118"/>
  <c r="HJ117"/>
  <c r="HK117"/>
  <c r="HJ116"/>
  <c r="HK116"/>
  <c r="CX116"/>
  <c r="CY116"/>
  <c r="HJ115"/>
  <c r="HK115"/>
  <c r="CX115"/>
  <c r="CY115"/>
  <c r="HJ114"/>
  <c r="HK114"/>
  <c r="HJ113"/>
  <c r="HK113"/>
  <c r="HJ111"/>
  <c r="HK111"/>
  <c r="HJ110"/>
  <c r="HK110"/>
  <c r="HJ108"/>
  <c r="HK108"/>
  <c r="HJ107"/>
  <c r="HK107"/>
  <c r="HJ106"/>
  <c r="HK106"/>
  <c r="CX106"/>
  <c r="CY106"/>
  <c r="P159"/>
  <c r="O159"/>
  <c r="HK137"/>
  <c r="HJ137"/>
  <c r="FE137"/>
  <c r="FD137"/>
  <c r="HK133"/>
  <c r="HJ133"/>
  <c r="FE133"/>
  <c r="FD133"/>
  <c r="P132"/>
  <c r="W132" s="1"/>
  <c r="U132"/>
  <c r="O132"/>
  <c r="V132" s="1"/>
  <c r="P130"/>
  <c r="W130" s="1"/>
  <c r="U130"/>
  <c r="O130"/>
  <c r="V130" s="1"/>
  <c r="P128"/>
  <c r="W128" s="1"/>
  <c r="U128"/>
  <c r="O128"/>
  <c r="V128" s="1"/>
  <c r="P125"/>
  <c r="W125" s="1"/>
  <c r="U125"/>
  <c r="O125"/>
  <c r="V125" s="1"/>
  <c r="P123"/>
  <c r="W123" s="1"/>
  <c r="U123"/>
  <c r="O123"/>
  <c r="V123" s="1"/>
  <c r="P121"/>
  <c r="W121" s="1"/>
  <c r="U121"/>
  <c r="O121"/>
  <c r="V121" s="1"/>
  <c r="P119"/>
  <c r="W119" s="1"/>
  <c r="U119"/>
  <c r="O119"/>
  <c r="V119" s="1"/>
  <c r="P117"/>
  <c r="W117" s="1"/>
  <c r="U117"/>
  <c r="O117"/>
  <c r="V117" s="1"/>
  <c r="CY148"/>
  <c r="CX148"/>
  <c r="HK149"/>
  <c r="HJ149"/>
  <c r="HK145"/>
  <c r="HJ145"/>
  <c r="GH142"/>
  <c r="GG142"/>
  <c r="EB141"/>
  <c r="EA141"/>
  <c r="IN138"/>
  <c r="IM138"/>
  <c r="GH138"/>
  <c r="GG138"/>
  <c r="EB138"/>
  <c r="EA138"/>
  <c r="O138"/>
  <c r="V138" s="1"/>
  <c r="U138"/>
  <c r="P138"/>
  <c r="W138" s="1"/>
  <c r="IN134"/>
  <c r="IM134"/>
  <c r="O134"/>
  <c r="V134" s="1"/>
  <c r="U134"/>
  <c r="P134"/>
  <c r="W134" s="1"/>
  <c r="EB148"/>
  <c r="EA148"/>
  <c r="GG102"/>
  <c r="GH102"/>
  <c r="FE91"/>
  <c r="FD91"/>
  <c r="EB71"/>
  <c r="EI71" s="1"/>
  <c r="EG71"/>
  <c r="EA71"/>
  <c r="EH71" s="1"/>
  <c r="HJ41"/>
  <c r="HQ41" s="1"/>
  <c r="HP41"/>
  <c r="HK41"/>
  <c r="HR41" s="1"/>
  <c r="CX103"/>
  <c r="CY103"/>
  <c r="U71"/>
  <c r="O71"/>
  <c r="V71" s="1"/>
  <c r="P71"/>
  <c r="W71" s="1"/>
  <c r="O51"/>
  <c r="P51"/>
  <c r="U31"/>
  <c r="O31"/>
  <c r="V31" s="1"/>
  <c r="P31"/>
  <c r="W31" s="1"/>
  <c r="FD19"/>
  <c r="FE19"/>
  <c r="AR19"/>
  <c r="AS19"/>
  <c r="FJ15"/>
  <c r="FD15"/>
  <c r="FK15" s="1"/>
  <c r="FE15"/>
  <c r="FL15" s="1"/>
  <c r="U13"/>
  <c r="O13"/>
  <c r="V13" s="1"/>
  <c r="P13"/>
  <c r="W13" s="1"/>
  <c r="DK132"/>
  <c r="EK132"/>
  <c r="EK128"/>
  <c r="DK128"/>
  <c r="EK123"/>
  <c r="DK123"/>
  <c r="EK119"/>
  <c r="DK119"/>
  <c r="P102"/>
  <c r="O102"/>
  <c r="IN91"/>
  <c r="IM91"/>
  <c r="P81"/>
  <c r="O81"/>
  <c r="GH51"/>
  <c r="GG51"/>
  <c r="CH61"/>
  <c r="DH61"/>
  <c r="U41"/>
  <c r="P41"/>
  <c r="W41" s="1"/>
  <c r="O41"/>
  <c r="V41" s="1"/>
  <c r="BV17"/>
  <c r="BU17"/>
  <c r="HK16"/>
  <c r="HJ16"/>
  <c r="CY16"/>
  <c r="CX16"/>
  <c r="O113"/>
  <c r="P113"/>
  <c r="IM104"/>
  <c r="IN104"/>
  <c r="HK91"/>
  <c r="HJ91"/>
  <c r="IN71"/>
  <c r="IU71" s="1"/>
  <c r="IS71"/>
  <c r="IM71"/>
  <c r="IT71" s="1"/>
  <c r="CH91"/>
  <c r="DH91"/>
  <c r="O17"/>
  <c r="V17" s="1"/>
  <c r="P17"/>
  <c r="W17" s="1"/>
  <c r="U17"/>
  <c r="EA14"/>
  <c r="EH14" s="1"/>
  <c r="EB14"/>
  <c r="EI14" s="1"/>
  <c r="EG14"/>
  <c r="EK131"/>
  <c r="DK131"/>
  <c r="EK126"/>
  <c r="DK126"/>
  <c r="EK122"/>
  <c r="DK122"/>
  <c r="EK118"/>
  <c r="DK118"/>
  <c r="GH91"/>
  <c r="GG91"/>
  <c r="FN18"/>
  <c r="EN18"/>
  <c r="EK15"/>
  <c r="DK15"/>
  <c r="FN51"/>
  <c r="EN51"/>
  <c r="DK13"/>
  <c r="EK13"/>
  <c r="W198"/>
  <c r="V194"/>
  <c r="T182"/>
  <c r="U182" s="1"/>
  <c r="V193"/>
  <c r="T160"/>
  <c r="U160" s="1"/>
  <c r="T167"/>
  <c r="W167" s="1"/>
  <c r="W174"/>
  <c r="V173"/>
  <c r="W170"/>
  <c r="V169"/>
  <c r="V150"/>
  <c r="X150" s="1"/>
  <c r="W139"/>
  <c r="U163"/>
  <c r="T142"/>
  <c r="V142" s="1"/>
  <c r="HR156"/>
  <c r="T111"/>
  <c r="U111" s="1"/>
  <c r="GL51"/>
  <c r="GM51" s="1"/>
  <c r="T108"/>
  <c r="U108" s="1"/>
  <c r="HO105"/>
  <c r="HP105" s="1"/>
  <c r="T105"/>
  <c r="U105" s="1"/>
  <c r="FK105"/>
  <c r="AW71"/>
  <c r="AY71" s="1"/>
  <c r="W141"/>
  <c r="AY51"/>
  <c r="GO302"/>
  <c r="W302" i="72" s="1"/>
  <c r="CD307" i="77"/>
  <c r="O335"/>
  <c r="P335"/>
  <c r="U335"/>
  <c r="U335" i="39" s="1"/>
  <c r="EA335" i="77"/>
  <c r="O335" i="70" s="1"/>
  <c r="EB335" i="77"/>
  <c r="P335" i="70" s="1"/>
  <c r="BU335" i="77"/>
  <c r="O335" i="68" s="1"/>
  <c r="BV335" i="77"/>
  <c r="P335" i="68" s="1"/>
  <c r="DK335" i="77"/>
  <c r="AB335" i="69" s="1"/>
  <c r="FD335" i="77"/>
  <c r="O335" i="71" s="1"/>
  <c r="FE335" i="77"/>
  <c r="P335" i="71" s="1"/>
  <c r="CX335" i="77"/>
  <c r="O335" i="69" s="1"/>
  <c r="CY335" i="77"/>
  <c r="P335" i="69" s="1"/>
  <c r="AR335" i="77"/>
  <c r="O335" i="65" s="1"/>
  <c r="AS335" i="77"/>
  <c r="P335" i="65" s="1"/>
  <c r="O334" i="77"/>
  <c r="P334"/>
  <c r="U334"/>
  <c r="U334" i="39" s="1"/>
  <c r="EA334" i="77"/>
  <c r="O334" i="70" s="1"/>
  <c r="EB334" i="77"/>
  <c r="P334" i="70" s="1"/>
  <c r="BU334" i="77"/>
  <c r="O334" i="68" s="1"/>
  <c r="BV334" i="77"/>
  <c r="P334" i="68" s="1"/>
  <c r="DK334" i="77"/>
  <c r="AB334" i="69" s="1"/>
  <c r="FD334" i="77"/>
  <c r="O334" i="71" s="1"/>
  <c r="FE334" i="77"/>
  <c r="P334" i="71" s="1"/>
  <c r="CX334" i="77"/>
  <c r="O334" i="69" s="1"/>
  <c r="CY334" i="77"/>
  <c r="P334" i="69" s="1"/>
  <c r="AR334" i="77"/>
  <c r="O334" i="65" s="1"/>
  <c r="AS334" i="77"/>
  <c r="P334" i="65" s="1"/>
  <c r="IM339" i="77"/>
  <c r="O339" i="74" s="1"/>
  <c r="IN339" i="77"/>
  <c r="P339" i="74" s="1"/>
  <c r="BU339" i="77"/>
  <c r="O339" i="68" s="1"/>
  <c r="BV339" i="77"/>
  <c r="P339" i="68" s="1"/>
  <c r="O339" i="77"/>
  <c r="P339"/>
  <c r="U339"/>
  <c r="U339" i="39" s="1"/>
  <c r="DK339" i="77"/>
  <c r="AB339" i="69" s="1"/>
  <c r="HJ339" i="77"/>
  <c r="O339" i="73" s="1"/>
  <c r="HK339" i="77"/>
  <c r="P339" i="73" s="1"/>
  <c r="FD339" i="77"/>
  <c r="O339" i="71" s="1"/>
  <c r="FE339" i="77"/>
  <c r="P339" i="71" s="1"/>
  <c r="AR339" i="77"/>
  <c r="O339" i="65" s="1"/>
  <c r="AS339" i="77"/>
  <c r="P339" i="65" s="1"/>
  <c r="IM330" i="77"/>
  <c r="O330" i="74" s="1"/>
  <c r="IN330" i="77"/>
  <c r="P330" i="74" s="1"/>
  <c r="BU330" i="77"/>
  <c r="O330" i="68" s="1"/>
  <c r="BV330" i="77"/>
  <c r="P330" i="68" s="1"/>
  <c r="O330" i="77"/>
  <c r="P330"/>
  <c r="U330"/>
  <c r="U330" i="39" s="1"/>
  <c r="DK330" i="77"/>
  <c r="AB330" i="69" s="1"/>
  <c r="HJ330" i="77"/>
  <c r="O330" i="73" s="1"/>
  <c r="HK330" i="77"/>
  <c r="P330" i="73" s="1"/>
  <c r="FD330" i="77"/>
  <c r="O330" i="71" s="1"/>
  <c r="FE330" i="77"/>
  <c r="P330" i="71" s="1"/>
  <c r="AR330" i="77"/>
  <c r="O330" i="65" s="1"/>
  <c r="AS330" i="77"/>
  <c r="P330" i="65" s="1"/>
  <c r="IM328" i="77"/>
  <c r="O328" i="74" s="1"/>
  <c r="IN328" i="77"/>
  <c r="P328" i="74" s="1"/>
  <c r="BU328" i="77"/>
  <c r="O328" i="68" s="1"/>
  <c r="BV328" i="77"/>
  <c r="P328" i="68" s="1"/>
  <c r="O328" i="77"/>
  <c r="P328"/>
  <c r="U328"/>
  <c r="U328" i="39" s="1"/>
  <c r="DK328" i="77"/>
  <c r="AB328" i="69" s="1"/>
  <c r="HJ328" i="77"/>
  <c r="O328" i="73" s="1"/>
  <c r="HK328" i="77"/>
  <c r="P328" i="73" s="1"/>
  <c r="FD328" i="77"/>
  <c r="O328" i="71" s="1"/>
  <c r="FE328" i="77"/>
  <c r="P328" i="71" s="1"/>
  <c r="AR328" i="77"/>
  <c r="O328" i="65" s="1"/>
  <c r="AS328" i="77"/>
  <c r="P328" i="65" s="1"/>
  <c r="IM325" i="77"/>
  <c r="O325" i="74" s="1"/>
  <c r="IN325" i="77"/>
  <c r="P325" i="74" s="1"/>
  <c r="BU325" i="77"/>
  <c r="O325" i="68" s="1"/>
  <c r="BV325" i="77"/>
  <c r="P325" i="68" s="1"/>
  <c r="O325" i="77"/>
  <c r="P325"/>
  <c r="U325"/>
  <c r="U325" i="39" s="1"/>
  <c r="DK325" i="77"/>
  <c r="AB325" i="69" s="1"/>
  <c r="HJ325" i="77"/>
  <c r="O325" i="73" s="1"/>
  <c r="HK325" i="77"/>
  <c r="P325" i="73" s="1"/>
  <c r="FD325" i="77"/>
  <c r="O325" i="71" s="1"/>
  <c r="FE325" i="77"/>
  <c r="P325" i="71" s="1"/>
  <c r="AR325" i="77"/>
  <c r="O325" i="65" s="1"/>
  <c r="AS325" i="77"/>
  <c r="P325" i="65" s="1"/>
  <c r="IM344" i="77"/>
  <c r="O344" i="74" s="1"/>
  <c r="IN344" i="77"/>
  <c r="P344" i="74" s="1"/>
  <c r="EA344" i="77"/>
  <c r="O344" i="70" s="1"/>
  <c r="EB344" i="77"/>
  <c r="P344" i="70" s="1"/>
  <c r="O344" i="77"/>
  <c r="P344"/>
  <c r="U344"/>
  <c r="U344" i="39" s="1"/>
  <c r="DK344" i="77"/>
  <c r="AB344" i="69" s="1"/>
  <c r="HJ344" i="77"/>
  <c r="O344" i="73" s="1"/>
  <c r="HK344" i="77"/>
  <c r="P344" i="73" s="1"/>
  <c r="FD344" i="77"/>
  <c r="O344" i="71" s="1"/>
  <c r="FE344" i="77"/>
  <c r="P344" i="71" s="1"/>
  <c r="AR344" i="77"/>
  <c r="O344" i="65" s="1"/>
  <c r="AS344" i="77"/>
  <c r="P344" i="65" s="1"/>
  <c r="IM337" i="77"/>
  <c r="O337" i="74" s="1"/>
  <c r="IN337" i="77"/>
  <c r="P337" i="74" s="1"/>
  <c r="EA337" i="77"/>
  <c r="O337" i="70" s="1"/>
  <c r="EB337" i="77"/>
  <c r="P337" i="70" s="1"/>
  <c r="O337" i="77"/>
  <c r="P337"/>
  <c r="U337"/>
  <c r="U337" i="39" s="1"/>
  <c r="DK337" i="77"/>
  <c r="AB337" i="69" s="1"/>
  <c r="HJ337" i="77"/>
  <c r="O337" i="73" s="1"/>
  <c r="HK337" i="77"/>
  <c r="P337" i="73" s="1"/>
  <c r="FD337" i="77"/>
  <c r="O337" i="71" s="1"/>
  <c r="FE337" i="77"/>
  <c r="P337" i="71" s="1"/>
  <c r="AR337" i="77"/>
  <c r="O337" i="65" s="1"/>
  <c r="AS337" i="77"/>
  <c r="P337" i="65" s="1"/>
  <c r="IM324" i="77"/>
  <c r="O324" i="74" s="1"/>
  <c r="IN324" i="77"/>
  <c r="P324" i="74" s="1"/>
  <c r="EA324" i="77"/>
  <c r="O324" i="70" s="1"/>
  <c r="EB324" i="77"/>
  <c r="P324" i="70" s="1"/>
  <c r="O324" i="77"/>
  <c r="P324"/>
  <c r="U324"/>
  <c r="U324" i="39" s="1"/>
  <c r="DK324" i="77"/>
  <c r="AB324" i="69" s="1"/>
  <c r="HJ324" i="77"/>
  <c r="O324" i="73" s="1"/>
  <c r="HK324" i="77"/>
  <c r="P324" i="73" s="1"/>
  <c r="FD324" i="77"/>
  <c r="O324" i="71" s="1"/>
  <c r="FE324" i="77"/>
  <c r="P324" i="71" s="1"/>
  <c r="AR324" i="77"/>
  <c r="O324" i="65" s="1"/>
  <c r="AS324" i="77"/>
  <c r="P324" i="65" s="1"/>
  <c r="IM340" i="77"/>
  <c r="O340" i="74" s="1"/>
  <c r="IN340" i="77"/>
  <c r="P340" i="74" s="1"/>
  <c r="O340" i="77"/>
  <c r="P340"/>
  <c r="U340"/>
  <c r="U340" i="39" s="1"/>
  <c r="DK340" i="77"/>
  <c r="AB340" i="69" s="1"/>
  <c r="HJ340" i="77"/>
  <c r="O340" i="73" s="1"/>
  <c r="HK340" i="77"/>
  <c r="P340" i="73" s="1"/>
  <c r="FD340" i="77"/>
  <c r="O340" i="71" s="1"/>
  <c r="FE340" i="77"/>
  <c r="P340" i="71" s="1"/>
  <c r="CX340" i="77"/>
  <c r="O340" i="69" s="1"/>
  <c r="CY340" i="77"/>
  <c r="P340" i="69" s="1"/>
  <c r="AR340" i="77"/>
  <c r="O340" i="65" s="1"/>
  <c r="AS340" i="77"/>
  <c r="P340" i="65" s="1"/>
  <c r="O309" i="77"/>
  <c r="P309"/>
  <c r="U309"/>
  <c r="U309" i="39" s="1"/>
  <c r="IM309" i="77"/>
  <c r="O309" i="74" s="1"/>
  <c r="IN309" i="77"/>
  <c r="P309" i="74" s="1"/>
  <c r="DK309" i="77"/>
  <c r="AB309" i="69" s="1"/>
  <c r="HJ309" i="77"/>
  <c r="O309" i="73" s="1"/>
  <c r="HK309" i="77"/>
  <c r="P309" i="73" s="1"/>
  <c r="FD309" i="77"/>
  <c r="O309" i="71" s="1"/>
  <c r="FE309" i="77"/>
  <c r="P309" i="71" s="1"/>
  <c r="CX309" i="77"/>
  <c r="O309" i="69" s="1"/>
  <c r="CY309" i="77"/>
  <c r="P309" i="69" s="1"/>
  <c r="AR309" i="77"/>
  <c r="O309" i="65" s="1"/>
  <c r="AS309" i="77"/>
  <c r="P309" i="65" s="1"/>
  <c r="IM308" i="77"/>
  <c r="O308" i="74" s="1"/>
  <c r="IN308" i="77"/>
  <c r="P308" i="74" s="1"/>
  <c r="GG308" i="77"/>
  <c r="O308" i="72" s="1"/>
  <c r="GH308" i="77"/>
  <c r="P308" i="72" s="1"/>
  <c r="O308" i="77"/>
  <c r="P308"/>
  <c r="U308"/>
  <c r="U308" i="39" s="1"/>
  <c r="DK308" i="77"/>
  <c r="AB308" i="69" s="1"/>
  <c r="HJ308" i="77"/>
  <c r="O308" i="73" s="1"/>
  <c r="HK308" i="77"/>
  <c r="P308" i="73" s="1"/>
  <c r="FD308" i="77"/>
  <c r="O308" i="71" s="1"/>
  <c r="FE308" i="77"/>
  <c r="P308" i="71" s="1"/>
  <c r="AR308" i="77"/>
  <c r="O308" i="65" s="1"/>
  <c r="AS308" i="77"/>
  <c r="P308" i="65" s="1"/>
  <c r="GM305" i="77"/>
  <c r="U305" i="72" s="1"/>
  <c r="GG305" i="77"/>
  <c r="GH305"/>
  <c r="CA305"/>
  <c r="U305" i="68" s="1"/>
  <c r="BU305" i="77"/>
  <c r="BV305"/>
  <c r="EN305"/>
  <c r="AB305" i="70" s="1"/>
  <c r="HJ305" i="77"/>
  <c r="HK305"/>
  <c r="HP305"/>
  <c r="U305" i="73" s="1"/>
  <c r="IM305" i="77"/>
  <c r="IN305"/>
  <c r="IS305"/>
  <c r="U305" i="74" s="1"/>
  <c r="O305" i="77"/>
  <c r="P305"/>
  <c r="U305"/>
  <c r="U305" i="39" s="1"/>
  <c r="BC305" i="77"/>
  <c r="Z305" i="65" s="1"/>
  <c r="GM303" i="77"/>
  <c r="U303" i="72" s="1"/>
  <c r="GG303" i="77"/>
  <c r="GH303"/>
  <c r="BC303"/>
  <c r="Z303" i="65" s="1"/>
  <c r="IM303" i="77"/>
  <c r="IN303"/>
  <c r="IS303"/>
  <c r="U303" i="74" s="1"/>
  <c r="EN303" i="77"/>
  <c r="AB303" i="70" s="1"/>
  <c r="HJ303" i="77"/>
  <c r="HK303"/>
  <c r="HP303"/>
  <c r="U303" i="73" s="1"/>
  <c r="CA303" i="77"/>
  <c r="U303" i="68" s="1"/>
  <c r="BU303" i="77"/>
  <c r="BV303"/>
  <c r="O303"/>
  <c r="P303"/>
  <c r="U303"/>
  <c r="U303" i="39" s="1"/>
  <c r="IM343" i="77"/>
  <c r="O343" i="74" s="1"/>
  <c r="IN343" i="77"/>
  <c r="P343" i="74" s="1"/>
  <c r="EA343" i="77"/>
  <c r="O343" i="70" s="1"/>
  <c r="EB343" i="77"/>
  <c r="P343" i="70" s="1"/>
  <c r="BU343" i="77"/>
  <c r="O343" i="68" s="1"/>
  <c r="BV343" i="77"/>
  <c r="P343" i="68" s="1"/>
  <c r="O343" i="77"/>
  <c r="P343"/>
  <c r="U343"/>
  <c r="U343" i="39" s="1"/>
  <c r="DK343" i="77"/>
  <c r="AB343" i="69" s="1"/>
  <c r="HJ343" i="77"/>
  <c r="O343" i="73" s="1"/>
  <c r="HK343" i="77"/>
  <c r="P343" i="73" s="1"/>
  <c r="FD343" i="77"/>
  <c r="O343" i="71" s="1"/>
  <c r="FE343" i="77"/>
  <c r="P343" i="71" s="1"/>
  <c r="IM342" i="77"/>
  <c r="O342" i="74" s="1"/>
  <c r="IN342" i="77"/>
  <c r="P342" i="74" s="1"/>
  <c r="EA342" i="77"/>
  <c r="O342" i="70" s="1"/>
  <c r="EB342" i="77"/>
  <c r="P342" i="70" s="1"/>
  <c r="BU342" i="77"/>
  <c r="O342" i="68" s="1"/>
  <c r="BV342" i="77"/>
  <c r="P342" i="68" s="1"/>
  <c r="O342" i="77"/>
  <c r="P342"/>
  <c r="U342"/>
  <c r="U342" i="39" s="1"/>
  <c r="DK342" i="77"/>
  <c r="AB342" i="69" s="1"/>
  <c r="HJ342" i="77"/>
  <c r="O342" i="73" s="1"/>
  <c r="HK342" i="77"/>
  <c r="P342" i="73" s="1"/>
  <c r="FD342" i="77"/>
  <c r="O342" i="71" s="1"/>
  <c r="FE342" i="77"/>
  <c r="P342" i="71" s="1"/>
  <c r="IM338" i="77"/>
  <c r="O338" i="74" s="1"/>
  <c r="IN338" i="77"/>
  <c r="P338" i="74" s="1"/>
  <c r="EA338" i="77"/>
  <c r="O338" i="70" s="1"/>
  <c r="EB338" i="77"/>
  <c r="P338" i="70" s="1"/>
  <c r="BU338" i="77"/>
  <c r="O338" i="68" s="1"/>
  <c r="BV338" i="77"/>
  <c r="P338" i="68" s="1"/>
  <c r="O338" i="77"/>
  <c r="P338"/>
  <c r="U338"/>
  <c r="U338" i="39" s="1"/>
  <c r="DK338" i="77"/>
  <c r="AB338" i="69" s="1"/>
  <c r="HJ338" i="77"/>
  <c r="O338" i="73" s="1"/>
  <c r="HK338" i="77"/>
  <c r="P338" i="73" s="1"/>
  <c r="FD338" i="77"/>
  <c r="O338" i="71" s="1"/>
  <c r="FE338" i="77"/>
  <c r="P338" i="71" s="1"/>
  <c r="IM332" i="77"/>
  <c r="O332" i="74" s="1"/>
  <c r="IN332" i="77"/>
  <c r="P332" i="74" s="1"/>
  <c r="EA332" i="77"/>
  <c r="O332" i="70" s="1"/>
  <c r="EB332" i="77"/>
  <c r="P332" i="70" s="1"/>
  <c r="BU332" i="77"/>
  <c r="O332" i="68" s="1"/>
  <c r="BV332" i="77"/>
  <c r="P332" i="68" s="1"/>
  <c r="O332" i="77"/>
  <c r="P332"/>
  <c r="U332"/>
  <c r="U332" i="39" s="1"/>
  <c r="DK332" i="77"/>
  <c r="AB332" i="69" s="1"/>
  <c r="HJ332" i="77"/>
  <c r="O332" i="73" s="1"/>
  <c r="HK332" i="77"/>
  <c r="P332" i="73" s="1"/>
  <c r="FD332" i="77"/>
  <c r="O332" i="71" s="1"/>
  <c r="FE332" i="77"/>
  <c r="P332" i="71" s="1"/>
  <c r="IM327" i="77"/>
  <c r="O327" i="74" s="1"/>
  <c r="IN327" i="77"/>
  <c r="P327" i="74" s="1"/>
  <c r="EA327" i="77"/>
  <c r="O327" i="70" s="1"/>
  <c r="EB327" i="77"/>
  <c r="P327" i="70" s="1"/>
  <c r="BU327" i="77"/>
  <c r="O327" i="68" s="1"/>
  <c r="BV327" i="77"/>
  <c r="P327" i="68" s="1"/>
  <c r="O327" i="77"/>
  <c r="P327"/>
  <c r="U327"/>
  <c r="U327" i="39" s="1"/>
  <c r="DK327" i="77"/>
  <c r="AB327" i="69" s="1"/>
  <c r="HJ327" i="77"/>
  <c r="O327" i="73" s="1"/>
  <c r="HK327" i="77"/>
  <c r="P327" i="73" s="1"/>
  <c r="FD327" i="77"/>
  <c r="O327" i="71" s="1"/>
  <c r="FE327" i="77"/>
  <c r="P327" i="71" s="1"/>
  <c r="IM306" i="77"/>
  <c r="O306" i="74" s="1"/>
  <c r="IN306" i="77"/>
  <c r="P306" i="74" s="1"/>
  <c r="EA306" i="77"/>
  <c r="O306" i="70" s="1"/>
  <c r="EB306" i="77"/>
  <c r="P306" i="70" s="1"/>
  <c r="BU306" i="77"/>
  <c r="O306" i="68" s="1"/>
  <c r="BV306" i="77"/>
  <c r="P306" i="68" s="1"/>
  <c r="O306" i="77"/>
  <c r="P306"/>
  <c r="U306"/>
  <c r="U306" i="39" s="1"/>
  <c r="DK306" i="77"/>
  <c r="AB306" i="69" s="1"/>
  <c r="HJ306" i="77"/>
  <c r="O306" i="73" s="1"/>
  <c r="HK306" i="77"/>
  <c r="P306" i="73" s="1"/>
  <c r="FD306" i="77"/>
  <c r="O306" i="71" s="1"/>
  <c r="FE306" i="77"/>
  <c r="P306" i="71" s="1"/>
  <c r="T300" i="77"/>
  <c r="O300"/>
  <c r="O300" i="39" s="1"/>
  <c r="P300" i="77"/>
  <c r="P300" i="39" s="1"/>
  <c r="DK300" i="77"/>
  <c r="AB300" i="69" s="1"/>
  <c r="HJ300" i="77"/>
  <c r="O300" i="73" s="1"/>
  <c r="HK300" i="77"/>
  <c r="P300" i="73" s="1"/>
  <c r="FD300" i="77"/>
  <c r="O300" i="71" s="1"/>
  <c r="FE300" i="77"/>
  <c r="P300" i="71" s="1"/>
  <c r="IM300" i="77"/>
  <c r="O300" i="74" s="1"/>
  <c r="IN300" i="77"/>
  <c r="P300" i="74" s="1"/>
  <c r="EA300" i="77"/>
  <c r="O300" i="70" s="1"/>
  <c r="EB300" i="77"/>
  <c r="P300" i="70" s="1"/>
  <c r="BU300" i="77"/>
  <c r="O300" i="68" s="1"/>
  <c r="BV300" i="77"/>
  <c r="P300" i="68" s="1"/>
  <c r="IM348" i="77"/>
  <c r="O348" i="74" s="1"/>
  <c r="IN348" i="77"/>
  <c r="P348" i="74" s="1"/>
  <c r="BU348" i="77"/>
  <c r="O348" i="68" s="1"/>
  <c r="BV348" i="77"/>
  <c r="P348" i="68" s="1"/>
  <c r="O348" i="77"/>
  <c r="P348"/>
  <c r="U348"/>
  <c r="U348" i="39" s="1"/>
  <c r="DK348" i="77"/>
  <c r="AB348" i="69" s="1"/>
  <c r="HJ348" i="77"/>
  <c r="O348" i="73" s="1"/>
  <c r="HK348" i="77"/>
  <c r="P348" i="73" s="1"/>
  <c r="FD348" i="77"/>
  <c r="O348" i="71" s="1"/>
  <c r="FE348" i="77"/>
  <c r="P348" i="71" s="1"/>
  <c r="CX348" i="77"/>
  <c r="O348" i="69" s="1"/>
  <c r="CY348" i="77"/>
  <c r="P348" i="69" s="1"/>
  <c r="IM333" i="77"/>
  <c r="O333" i="74" s="1"/>
  <c r="IN333" i="77"/>
  <c r="P333" i="74" s="1"/>
  <c r="BU333" i="77"/>
  <c r="O333" i="68" s="1"/>
  <c r="BV333" i="77"/>
  <c r="P333" i="68" s="1"/>
  <c r="O333" i="77"/>
  <c r="P333"/>
  <c r="U333"/>
  <c r="U333" i="39" s="1"/>
  <c r="DK333" i="77"/>
  <c r="AB333" i="69" s="1"/>
  <c r="HJ333" i="77"/>
  <c r="O333" i="73" s="1"/>
  <c r="HK333" i="77"/>
  <c r="P333" i="73" s="1"/>
  <c r="FD333" i="77"/>
  <c r="O333" i="71" s="1"/>
  <c r="FE333" i="77"/>
  <c r="P333" i="71" s="1"/>
  <c r="CX333" i="77"/>
  <c r="O333" i="69" s="1"/>
  <c r="CY333" i="77"/>
  <c r="P333" i="69" s="1"/>
  <c r="IM326" i="77"/>
  <c r="O326" i="74" s="1"/>
  <c r="IN326" i="77"/>
  <c r="P326" i="74" s="1"/>
  <c r="BU326" i="77"/>
  <c r="O326" i="68" s="1"/>
  <c r="BV326" i="77"/>
  <c r="P326" i="68" s="1"/>
  <c r="O326" i="77"/>
  <c r="P326"/>
  <c r="U326"/>
  <c r="U326" i="39" s="1"/>
  <c r="DK326" i="77"/>
  <c r="AB326" i="69" s="1"/>
  <c r="HJ326" i="77"/>
  <c r="O326" i="73" s="1"/>
  <c r="HK326" i="77"/>
  <c r="P326" i="73" s="1"/>
  <c r="FD326" i="77"/>
  <c r="O326" i="71" s="1"/>
  <c r="FE326" i="77"/>
  <c r="P326" i="71" s="1"/>
  <c r="CX326" i="77"/>
  <c r="O326" i="69" s="1"/>
  <c r="CY326" i="77"/>
  <c r="P326" i="69" s="1"/>
  <c r="HJ299" i="77"/>
  <c r="O299" i="73" s="1"/>
  <c r="HK299" i="77"/>
  <c r="P299" i="73" s="1"/>
  <c r="FD299" i="77"/>
  <c r="O299" i="71" s="1"/>
  <c r="FE299" i="77"/>
  <c r="P299" i="71" s="1"/>
  <c r="CX299" i="77"/>
  <c r="O299" i="69" s="1"/>
  <c r="CY299" i="77"/>
  <c r="P299" i="69" s="1"/>
  <c r="O299" i="77"/>
  <c r="P299"/>
  <c r="U299"/>
  <c r="U299" i="39" s="1"/>
  <c r="IM299" i="77"/>
  <c r="O299" i="74" s="1"/>
  <c r="IN299" i="77"/>
  <c r="P299" i="74" s="1"/>
  <c r="BU299" i="77"/>
  <c r="O299" i="68" s="1"/>
  <c r="BV299" i="77"/>
  <c r="P299" i="68" s="1"/>
  <c r="EN299" i="77"/>
  <c r="AB299" i="70" s="1"/>
  <c r="IM336" i="77"/>
  <c r="IN336"/>
  <c r="IS336"/>
  <c r="U336" i="74" s="1"/>
  <c r="HJ336" i="77"/>
  <c r="HK336"/>
  <c r="HP336"/>
  <c r="U336" i="73" s="1"/>
  <c r="GG336" i="77"/>
  <c r="GH336"/>
  <c r="GM336"/>
  <c r="U336" i="72" s="1"/>
  <c r="FD336" i="77"/>
  <c r="FE336"/>
  <c r="FJ336"/>
  <c r="U336" i="71" s="1"/>
  <c r="EA336" i="77"/>
  <c r="EB336"/>
  <c r="EG336"/>
  <c r="U336" i="70" s="1"/>
  <c r="CX336" i="77"/>
  <c r="CY336"/>
  <c r="DD336"/>
  <c r="U336" i="69" s="1"/>
  <c r="BU336" i="77"/>
  <c r="BV336"/>
  <c r="CA336"/>
  <c r="U336" i="68" s="1"/>
  <c r="AR336" i="77"/>
  <c r="AS336"/>
  <c r="AX336"/>
  <c r="U336" i="65" s="1"/>
  <c r="O336" i="77"/>
  <c r="P336"/>
  <c r="U336"/>
  <c r="U336" i="39" s="1"/>
  <c r="IT320" i="77"/>
  <c r="V320" i="74" s="1"/>
  <c r="IU320" i="77"/>
  <c r="W320" i="74" s="1"/>
  <c r="IS320" i="77"/>
  <c r="U320" i="74" s="1"/>
  <c r="HQ320" i="77"/>
  <c r="V320" i="73" s="1"/>
  <c r="HR320" i="77"/>
  <c r="W320" i="73" s="1"/>
  <c r="HP320" i="77"/>
  <c r="U320" i="73" s="1"/>
  <c r="GG320" i="77"/>
  <c r="GH320"/>
  <c r="GM320"/>
  <c r="U320" i="72" s="1"/>
  <c r="FK320" i="77"/>
  <c r="V320" i="71" s="1"/>
  <c r="FL320" i="77"/>
  <c r="W320" i="71" s="1"/>
  <c r="FJ320" i="77"/>
  <c r="U320" i="71" s="1"/>
  <c r="EH320" i="77"/>
  <c r="V320" i="70" s="1"/>
  <c r="EI320" i="77"/>
  <c r="W320" i="70" s="1"/>
  <c r="EG320" i="77"/>
  <c r="U320" i="70" s="1"/>
  <c r="DE320" i="77"/>
  <c r="V320" i="69" s="1"/>
  <c r="DF320" i="77"/>
  <c r="W320" i="69" s="1"/>
  <c r="DD320" i="77"/>
  <c r="U320" i="69" s="1"/>
  <c r="CB320" i="77"/>
  <c r="V320" i="68" s="1"/>
  <c r="CC320" i="77"/>
  <c r="W320" i="68" s="1"/>
  <c r="CA320" i="77"/>
  <c r="U320" i="68" s="1"/>
  <c r="AY320" i="77"/>
  <c r="V320" i="65" s="1"/>
  <c r="AZ320" i="77"/>
  <c r="W320" i="65" s="1"/>
  <c r="AX320" i="77"/>
  <c r="U320" i="65" s="1"/>
  <c r="V320" i="77"/>
  <c r="V320" i="39" s="1"/>
  <c r="W320" i="77"/>
  <c r="W320" i="39" s="1"/>
  <c r="U320" i="77"/>
  <c r="U320" i="39" s="1"/>
  <c r="IM329" i="77"/>
  <c r="IN329"/>
  <c r="IS329"/>
  <c r="U329" i="74" s="1"/>
  <c r="HJ329" i="77"/>
  <c r="HK329"/>
  <c r="HP329"/>
  <c r="U329" i="73" s="1"/>
  <c r="GG329" i="77"/>
  <c r="GH329"/>
  <c r="GM329"/>
  <c r="U329" i="72" s="1"/>
  <c r="FD329" i="77"/>
  <c r="FE329"/>
  <c r="FJ329"/>
  <c r="U329" i="71" s="1"/>
  <c r="EA329" i="77"/>
  <c r="EB329"/>
  <c r="EG329"/>
  <c r="U329" i="70" s="1"/>
  <c r="CX329" i="77"/>
  <c r="CY329"/>
  <c r="DD329"/>
  <c r="U329" i="69" s="1"/>
  <c r="BU329" i="77"/>
  <c r="BV329"/>
  <c r="CA329"/>
  <c r="U329" i="68" s="1"/>
  <c r="AR329" i="77"/>
  <c r="AS329"/>
  <c r="AX329"/>
  <c r="U329" i="65" s="1"/>
  <c r="IM347" i="77"/>
  <c r="IN347"/>
  <c r="IS347"/>
  <c r="U347" i="74" s="1"/>
  <c r="HJ347" i="77"/>
  <c r="HK347"/>
  <c r="HP347"/>
  <c r="U347" i="73" s="1"/>
  <c r="GG347" i="77"/>
  <c r="GH347"/>
  <c r="GM347"/>
  <c r="U347" i="72" s="1"/>
  <c r="FD347" i="77"/>
  <c r="FE347"/>
  <c r="FJ347"/>
  <c r="U347" i="71" s="1"/>
  <c r="EA347" i="77"/>
  <c r="EB347"/>
  <c r="EG347"/>
  <c r="U347" i="70" s="1"/>
  <c r="CX347" i="77"/>
  <c r="CY347"/>
  <c r="DD347"/>
  <c r="U347" i="69" s="1"/>
  <c r="BU347" i="77"/>
  <c r="BV347"/>
  <c r="CA347"/>
  <c r="U347" i="68" s="1"/>
  <c r="AR347" i="77"/>
  <c r="AS347"/>
  <c r="AX347"/>
  <c r="U347" i="65" s="1"/>
  <c r="X347" i="77"/>
  <c r="Z347" s="1"/>
  <c r="IM346"/>
  <c r="O346" i="74" s="1"/>
  <c r="IN346" i="77"/>
  <c r="P346" i="74" s="1"/>
  <c r="DD346" i="77"/>
  <c r="U346" i="69" s="1"/>
  <c r="CX346" i="77"/>
  <c r="CY346"/>
  <c r="CB346"/>
  <c r="V346" i="68" s="1"/>
  <c r="CC346" i="77"/>
  <c r="W346" i="68" s="1"/>
  <c r="IR346" i="77"/>
  <c r="T346"/>
  <c r="O346"/>
  <c r="O346" i="39" s="1"/>
  <c r="P346" i="77"/>
  <c r="P346" i="39" s="1"/>
  <c r="AR346" i="77"/>
  <c r="AS346"/>
  <c r="AX346"/>
  <c r="U346" i="65" s="1"/>
  <c r="EF346" i="77"/>
  <c r="EA346"/>
  <c r="O346" i="70" s="1"/>
  <c r="EB346" i="77"/>
  <c r="P346" i="70" s="1"/>
  <c r="HP346" i="77"/>
  <c r="U346" i="73" s="1"/>
  <c r="HJ346" i="77"/>
  <c r="HK346"/>
  <c r="GH346"/>
  <c r="GM346"/>
  <c r="U346" i="72" s="1"/>
  <c r="GG346" i="77"/>
  <c r="FD346"/>
  <c r="FE346"/>
  <c r="FJ346"/>
  <c r="U346" i="71" s="1"/>
  <c r="O345" i="77"/>
  <c r="P345"/>
  <c r="U345"/>
  <c r="U345" i="39" s="1"/>
  <c r="GH345" i="77"/>
  <c r="GM345"/>
  <c r="U345" i="72" s="1"/>
  <c r="GG345" i="77"/>
  <c r="BV345"/>
  <c r="CA345"/>
  <c r="U345" i="68" s="1"/>
  <c r="BU345" i="77"/>
  <c r="EA345"/>
  <c r="EB345"/>
  <c r="EG345"/>
  <c r="U345" i="70" s="1"/>
  <c r="HP345" i="77"/>
  <c r="U345" i="73" s="1"/>
  <c r="HJ345" i="77"/>
  <c r="HK345"/>
  <c r="DD345"/>
  <c r="U345" i="69" s="1"/>
  <c r="CX345" i="77"/>
  <c r="CY345"/>
  <c r="IM345"/>
  <c r="IN345"/>
  <c r="IS345"/>
  <c r="U345" i="74" s="1"/>
  <c r="BA345" i="77"/>
  <c r="EA323"/>
  <c r="EB323"/>
  <c r="EG323"/>
  <c r="U323" i="70" s="1"/>
  <c r="HP323" i="77"/>
  <c r="U323" i="73" s="1"/>
  <c r="HJ323" i="77"/>
  <c r="HK323"/>
  <c r="GH323"/>
  <c r="GM323"/>
  <c r="U323" i="72" s="1"/>
  <c r="GG323" i="77"/>
  <c r="FD323"/>
  <c r="FE323"/>
  <c r="FJ323"/>
  <c r="U323" i="71" s="1"/>
  <c r="IM323" i="77"/>
  <c r="IN323"/>
  <c r="IS323"/>
  <c r="U323" i="74" s="1"/>
  <c r="DD323" i="77"/>
  <c r="U323" i="69" s="1"/>
  <c r="CX323" i="77"/>
  <c r="CY323"/>
  <c r="BV323"/>
  <c r="CA323"/>
  <c r="U323" i="68" s="1"/>
  <c r="BU323" i="77"/>
  <c r="AW323"/>
  <c r="O323"/>
  <c r="P323"/>
  <c r="U323"/>
  <c r="U323" i="39" s="1"/>
  <c r="IM307" i="77"/>
  <c r="O307" i="74" s="1"/>
  <c r="IN307" i="77"/>
  <c r="P307" i="74" s="1"/>
  <c r="DD307" i="77"/>
  <c r="U307" i="69" s="1"/>
  <c r="CX307" i="77"/>
  <c r="CY307"/>
  <c r="AR307"/>
  <c r="AS307"/>
  <c r="AX307"/>
  <c r="U307" i="65" s="1"/>
  <c r="IR307" i="77"/>
  <c r="O307"/>
  <c r="O307" i="39" s="1"/>
  <c r="P307" i="77"/>
  <c r="P307" i="39" s="1"/>
  <c r="EF307" i="77"/>
  <c r="EA307"/>
  <c r="O307" i="70" s="1"/>
  <c r="EB307" i="77"/>
  <c r="P307" i="70" s="1"/>
  <c r="HP307" i="77"/>
  <c r="U307" i="73" s="1"/>
  <c r="HJ307" i="77"/>
  <c r="HK307"/>
  <c r="CF307"/>
  <c r="Z307" i="68" s="1"/>
  <c r="GH307" i="77"/>
  <c r="GM307"/>
  <c r="U307" i="72" s="1"/>
  <c r="GG307" i="77"/>
  <c r="FD307"/>
  <c r="FE307"/>
  <c r="FJ307"/>
  <c r="U307" i="71" s="1"/>
  <c r="T307" i="77"/>
  <c r="BV304"/>
  <c r="CA304"/>
  <c r="U304" i="68" s="1"/>
  <c r="BU304" i="77"/>
  <c r="FD304"/>
  <c r="FE304"/>
  <c r="FJ304"/>
  <c r="U304" i="71" s="1"/>
  <c r="O304" i="77"/>
  <c r="P304"/>
  <c r="U304"/>
  <c r="U304" i="39" s="1"/>
  <c r="AR304" i="77"/>
  <c r="AS304"/>
  <c r="AX304"/>
  <c r="U304" i="65" s="1"/>
  <c r="EA304" i="77"/>
  <c r="EB304"/>
  <c r="EG304"/>
  <c r="U304" i="70" s="1"/>
  <c r="HP304" i="77"/>
  <c r="U304" i="73" s="1"/>
  <c r="HJ304" i="77"/>
  <c r="HK304"/>
  <c r="IM304"/>
  <c r="IN304"/>
  <c r="IS304"/>
  <c r="U304" i="74" s="1"/>
  <c r="DD304" i="77"/>
  <c r="U304" i="69" s="1"/>
  <c r="CX304" i="77"/>
  <c r="CY304"/>
  <c r="GH304"/>
  <c r="GM304"/>
  <c r="U304" i="72" s="1"/>
  <c r="GG304" i="77"/>
  <c r="O302"/>
  <c r="P302"/>
  <c r="U302"/>
  <c r="U302" i="39" s="1"/>
  <c r="CC302" i="77"/>
  <c r="W302" i="68" s="1"/>
  <c r="EA302" i="77"/>
  <c r="EB302"/>
  <c r="EG302"/>
  <c r="U302" i="70" s="1"/>
  <c r="HP302" i="77"/>
  <c r="U302" i="73" s="1"/>
  <c r="HJ302" i="77"/>
  <c r="HK302"/>
  <c r="DD302"/>
  <c r="U302" i="69" s="1"/>
  <c r="CX302" i="77"/>
  <c r="CY302"/>
  <c r="GN302"/>
  <c r="CB302"/>
  <c r="V302" i="68" s="1"/>
  <c r="IM302" i="77"/>
  <c r="O302" i="74" s="1"/>
  <c r="IN302" i="77"/>
  <c r="P302" i="74" s="1"/>
  <c r="FD302" i="77"/>
  <c r="FE302"/>
  <c r="FJ302"/>
  <c r="U302" i="71" s="1"/>
  <c r="AR302" i="77"/>
  <c r="AS302"/>
  <c r="AX302"/>
  <c r="U302" i="65" s="1"/>
  <c r="IR302" i="77"/>
  <c r="IM298"/>
  <c r="IN298"/>
  <c r="IS298"/>
  <c r="U298" i="74" s="1"/>
  <c r="HJ298" i="77"/>
  <c r="HK298"/>
  <c r="HP298"/>
  <c r="U298" i="73" s="1"/>
  <c r="GG298" i="77"/>
  <c r="GH298"/>
  <c r="GM298"/>
  <c r="U298" i="72" s="1"/>
  <c r="FD298" i="77"/>
  <c r="FE298"/>
  <c r="FJ298"/>
  <c r="U298" i="71" s="1"/>
  <c r="EA298" i="77"/>
  <c r="EB298"/>
  <c r="EG298"/>
  <c r="U298" i="70" s="1"/>
  <c r="DF298" i="77"/>
  <c r="W298" i="69" s="1"/>
  <c r="DD298" i="77"/>
  <c r="U298" i="69" s="1"/>
  <c r="BU298" i="77"/>
  <c r="BV298"/>
  <c r="CA298"/>
  <c r="U298" i="68" s="1"/>
  <c r="AR298" i="77"/>
  <c r="AS298"/>
  <c r="AX298"/>
  <c r="U298" i="65" s="1"/>
  <c r="T298" i="77"/>
  <c r="T329"/>
  <c r="HJ46"/>
  <c r="FD225"/>
  <c r="Y193" i="72"/>
  <c r="T449" i="77"/>
  <c r="V449" s="1"/>
  <c r="V449" i="39" s="1"/>
  <c r="HK407" i="77"/>
  <c r="GH408"/>
  <c r="O380"/>
  <c r="Y193" i="70"/>
  <c r="IM428" i="77"/>
  <c r="IN420"/>
  <c r="T78"/>
  <c r="AB87" i="70"/>
  <c r="Y193" i="71"/>
  <c r="Y88" i="69"/>
  <c r="BV437" i="77"/>
  <c r="N372" i="39"/>
  <c r="S245"/>
  <c r="S221"/>
  <c r="Q207"/>
  <c r="Q214"/>
  <c r="N201"/>
  <c r="Q243"/>
  <c r="S142"/>
  <c r="N122"/>
  <c r="N79"/>
  <c r="AS45" i="77"/>
  <c r="Q201" i="39"/>
  <c r="P220"/>
  <c r="S120"/>
  <c r="V285"/>
  <c r="EB443" i="77"/>
  <c r="GH409"/>
  <c r="IM404"/>
  <c r="N384" i="39"/>
  <c r="N371"/>
  <c r="N362"/>
  <c r="Q252"/>
  <c r="R244"/>
  <c r="S213"/>
  <c r="N207"/>
  <c r="S214"/>
  <c r="R200"/>
  <c r="N203"/>
  <c r="R149"/>
  <c r="R80"/>
  <c r="Q79"/>
  <c r="IM62" i="77"/>
  <c r="N455" i="39"/>
  <c r="R251"/>
  <c r="S205"/>
  <c r="IN432" i="77"/>
  <c r="BU426"/>
  <c r="FD405"/>
  <c r="S249" i="39"/>
  <c r="S244"/>
  <c r="GH220" i="77"/>
  <c r="N54" i="39"/>
  <c r="Q78"/>
  <c r="P285"/>
  <c r="P291" i="72"/>
  <c r="N245" i="39"/>
  <c r="S199"/>
  <c r="P276" i="77"/>
  <c r="S259" i="70"/>
  <c r="N376" i="39"/>
  <c r="Q95"/>
  <c r="N121"/>
  <c r="N96"/>
  <c r="N93"/>
  <c r="S200"/>
  <c r="N199"/>
  <c r="N147"/>
  <c r="Q197"/>
  <c r="Q239"/>
  <c r="N439"/>
  <c r="N422"/>
  <c r="AS229" i="77"/>
  <c r="N218" i="39"/>
  <c r="Q376"/>
  <c r="S251"/>
  <c r="N200"/>
  <c r="T365" i="77"/>
  <c r="U365" s="1"/>
  <c r="P155" i="39"/>
  <c r="EK443" i="77"/>
  <c r="EN443" s="1"/>
  <c r="EK429"/>
  <c r="EN429" s="1"/>
  <c r="AB395" i="72"/>
  <c r="EK296" i="77"/>
  <c r="EN296" s="1"/>
  <c r="AB296" i="69"/>
  <c r="EK288" i="77"/>
  <c r="EN288" s="1"/>
  <c r="AB288" i="69"/>
  <c r="EK272" i="77"/>
  <c r="EN272" s="1"/>
  <c r="EK264"/>
  <c r="EN264" s="1"/>
  <c r="AB264" i="69"/>
  <c r="EK254" i="77"/>
  <c r="EN254" s="1"/>
  <c r="EK246"/>
  <c r="EN246" s="1"/>
  <c r="EK230"/>
  <c r="EN230" s="1"/>
  <c r="EK205"/>
  <c r="EN205" s="1"/>
  <c r="AB140" i="69"/>
  <c r="EK98" i="77"/>
  <c r="EN98" s="1"/>
  <c r="FN86"/>
  <c r="FQ86" s="1"/>
  <c r="AB86" i="70"/>
  <c r="EK78" i="77"/>
  <c r="EN78" s="1"/>
  <c r="EK58"/>
  <c r="EN58" s="1"/>
  <c r="EK49"/>
  <c r="EN49" s="1"/>
  <c r="EK444"/>
  <c r="EN444" s="1"/>
  <c r="EK426"/>
  <c r="EN426" s="1"/>
  <c r="EK394"/>
  <c r="EN394" s="1"/>
  <c r="EK293"/>
  <c r="EN293" s="1"/>
  <c r="AB293" i="69"/>
  <c r="EK285" i="77"/>
  <c r="EN285" s="1"/>
  <c r="EK277"/>
  <c r="EN277" s="1"/>
  <c r="EK269"/>
  <c r="EN269" s="1"/>
  <c r="EK243"/>
  <c r="EN243" s="1"/>
  <c r="HT83"/>
  <c r="HW83" s="1"/>
  <c r="AB83" i="72"/>
  <c r="EK63" i="77"/>
  <c r="EN63" s="1"/>
  <c r="EK54"/>
  <c r="EN54" s="1"/>
  <c r="EK46"/>
  <c r="EN46" s="1"/>
  <c r="EK422"/>
  <c r="EN422" s="1"/>
  <c r="EK395"/>
  <c r="EN395" s="1"/>
  <c r="EK376"/>
  <c r="EN376" s="1"/>
  <c r="EK294"/>
  <c r="EN294" s="1"/>
  <c r="AB294" i="69"/>
  <c r="EK282" i="77"/>
  <c r="EN282" s="1"/>
  <c r="AB282" i="69"/>
  <c r="EK274" i="77"/>
  <c r="EN274" s="1"/>
  <c r="EK262"/>
  <c r="EN262" s="1"/>
  <c r="AB262" i="69"/>
  <c r="EK248" i="77"/>
  <c r="EN248" s="1"/>
  <c r="EK240"/>
  <c r="EN240" s="1"/>
  <c r="AB167" i="69"/>
  <c r="EK92" i="77"/>
  <c r="EN92" s="1"/>
  <c r="FN84"/>
  <c r="FQ84" s="1"/>
  <c r="AB84" i="70"/>
  <c r="EK72" i="77"/>
  <c r="EN72" s="1"/>
  <c r="EK64"/>
  <c r="EN64" s="1"/>
  <c r="EK55"/>
  <c r="EN55" s="1"/>
  <c r="EK47"/>
  <c r="EN47" s="1"/>
  <c r="EK38"/>
  <c r="EN38" s="1"/>
  <c r="EK20"/>
  <c r="EN20" s="1"/>
  <c r="EK442"/>
  <c r="EN442" s="1"/>
  <c r="EK423"/>
  <c r="EN423" s="1"/>
  <c r="FN385"/>
  <c r="FQ385" s="1"/>
  <c r="AB394" i="70"/>
  <c r="EK295" i="77"/>
  <c r="EN295" s="1"/>
  <c r="EK283"/>
  <c r="EN283" s="1"/>
  <c r="EK275"/>
  <c r="EN275" s="1"/>
  <c r="AB275" i="69"/>
  <c r="EK267" i="77"/>
  <c r="EN267" s="1"/>
  <c r="AB267" i="69"/>
  <c r="EK257" i="77"/>
  <c r="EN257" s="1"/>
  <c r="EK245"/>
  <c r="EN245" s="1"/>
  <c r="EK237"/>
  <c r="EN237" s="1"/>
  <c r="EK225"/>
  <c r="EN225" s="1"/>
  <c r="EK204"/>
  <c r="EN204" s="1"/>
  <c r="EK93"/>
  <c r="EN93" s="1"/>
  <c r="FN85"/>
  <c r="FQ85" s="1"/>
  <c r="AB85" i="70"/>
  <c r="EK73" i="77"/>
  <c r="EN73" s="1"/>
  <c r="EK65"/>
  <c r="EN65" s="1"/>
  <c r="EK57"/>
  <c r="EN57" s="1"/>
  <c r="EK48"/>
  <c r="EN48" s="1"/>
  <c r="EK39"/>
  <c r="EN39" s="1"/>
  <c r="EK30"/>
  <c r="EN30" s="1"/>
  <c r="S239" i="39"/>
  <c r="N220"/>
  <c r="R259" i="73"/>
  <c r="EK66" i="77"/>
  <c r="EN66" s="1"/>
  <c r="EK40"/>
  <c r="EN40" s="1"/>
  <c r="EK22"/>
  <c r="EN22" s="1"/>
  <c r="EK37"/>
  <c r="EN37" s="1"/>
  <c r="EK28"/>
  <c r="EN28" s="1"/>
  <c r="EK29"/>
  <c r="EN29" s="1"/>
  <c r="S148" i="39"/>
  <c r="Q242"/>
  <c r="S145"/>
  <c r="R121"/>
  <c r="EK420" i="77"/>
  <c r="EN420" s="1"/>
  <c r="EK393"/>
  <c r="EN393" s="1"/>
  <c r="AB393" i="69"/>
  <c r="EK292" i="77"/>
  <c r="EN292" s="1"/>
  <c r="AB292" i="69"/>
  <c r="EK276" i="77"/>
  <c r="EN276" s="1"/>
  <c r="EK268"/>
  <c r="EN268" s="1"/>
  <c r="EK259"/>
  <c r="EN259" s="1"/>
  <c r="EK250"/>
  <c r="EN250" s="1"/>
  <c r="EK242"/>
  <c r="EN242" s="1"/>
  <c r="EK222"/>
  <c r="EN222" s="1"/>
  <c r="EK209"/>
  <c r="EN209" s="1"/>
  <c r="AB295" i="69"/>
  <c r="EK94" i="77"/>
  <c r="EN94" s="1"/>
  <c r="EK82"/>
  <c r="EN82" s="1"/>
  <c r="EK70"/>
  <c r="EN70" s="1"/>
  <c r="EK53"/>
  <c r="EN53" s="1"/>
  <c r="EK45"/>
  <c r="EN45" s="1"/>
  <c r="EK27"/>
  <c r="EN27" s="1"/>
  <c r="EK457"/>
  <c r="EN457" s="1"/>
  <c r="EK430"/>
  <c r="EN430" s="1"/>
  <c r="EK402"/>
  <c r="EN402" s="1"/>
  <c r="EK365"/>
  <c r="EN365" s="1"/>
  <c r="EK289"/>
  <c r="EN289" s="1"/>
  <c r="AB289" i="69"/>
  <c r="EK273" i="77"/>
  <c r="EN273" s="1"/>
  <c r="EK265"/>
  <c r="EN265" s="1"/>
  <c r="AB265" i="69"/>
  <c r="EK247" i="77"/>
  <c r="EN247" s="1"/>
  <c r="EK239"/>
  <c r="EN239" s="1"/>
  <c r="EK223"/>
  <c r="EN223" s="1"/>
  <c r="EK202"/>
  <c r="EN202" s="1"/>
  <c r="AB287" i="69"/>
  <c r="EK95" i="77"/>
  <c r="EN95" s="1"/>
  <c r="GQ87"/>
  <c r="GT87" s="1"/>
  <c r="AB87" i="71"/>
  <c r="EK79" i="77"/>
  <c r="EN79" s="1"/>
  <c r="EK67"/>
  <c r="EN67" s="1"/>
  <c r="EK59"/>
  <c r="EN59" s="1"/>
  <c r="EK50"/>
  <c r="EN50" s="1"/>
  <c r="EK448"/>
  <c r="EN448" s="1"/>
  <c r="EK436"/>
  <c r="EN436" s="1"/>
  <c r="EK384"/>
  <c r="EN384" s="1"/>
  <c r="EK362"/>
  <c r="EN362" s="1"/>
  <c r="EK286"/>
  <c r="EN286" s="1"/>
  <c r="EK278"/>
  <c r="EN278" s="1"/>
  <c r="EK270"/>
  <c r="EN270" s="1"/>
  <c r="EK256"/>
  <c r="EN256" s="1"/>
  <c r="EK244"/>
  <c r="EN244" s="1"/>
  <c r="EK207"/>
  <c r="EN207" s="1"/>
  <c r="AB187" i="69"/>
  <c r="FN96" i="77"/>
  <c r="FQ96" s="1"/>
  <c r="FN88"/>
  <c r="FQ88" s="1"/>
  <c r="AB88" i="70"/>
  <c r="EK80" i="77"/>
  <c r="EN80" s="1"/>
  <c r="EK68"/>
  <c r="EN68" s="1"/>
  <c r="EK60"/>
  <c r="EN60" s="1"/>
  <c r="EK33"/>
  <c r="EN33" s="1"/>
  <c r="EK449"/>
  <c r="EN449" s="1"/>
  <c r="EK437"/>
  <c r="EN437" s="1"/>
  <c r="EK409"/>
  <c r="EN409" s="1"/>
  <c r="AB391" i="69"/>
  <c r="EK372" i="77"/>
  <c r="EN372" s="1"/>
  <c r="EK354"/>
  <c r="EN354" s="1"/>
  <c r="AB354" i="69"/>
  <c r="EK287" i="77"/>
  <c r="EN287" s="1"/>
  <c r="EK279"/>
  <c r="EN279" s="1"/>
  <c r="EK263"/>
  <c r="EN263" s="1"/>
  <c r="AB263" i="69"/>
  <c r="EK253" i="77"/>
  <c r="EN253" s="1"/>
  <c r="EK229"/>
  <c r="EN229" s="1"/>
  <c r="EK208"/>
  <c r="EN208" s="1"/>
  <c r="EK200"/>
  <c r="EN200" s="1"/>
  <c r="EK89"/>
  <c r="EN89" s="1"/>
  <c r="EK69"/>
  <c r="EN69" s="1"/>
  <c r="EK52"/>
  <c r="EN52" s="1"/>
  <c r="EK44"/>
  <c r="EN44" s="1"/>
  <c r="EK34"/>
  <c r="EN34" s="1"/>
  <c r="EK26"/>
  <c r="EN26" s="1"/>
  <c r="R245" i="39"/>
  <c r="EA205" i="77"/>
  <c r="Q121" i="39"/>
  <c r="S95"/>
  <c r="R95"/>
  <c r="Q118"/>
  <c r="Q92"/>
  <c r="R218"/>
  <c r="S269" i="65"/>
  <c r="EK62" i="77"/>
  <c r="EN62" s="1"/>
  <c r="EK36"/>
  <c r="EN36" s="1"/>
  <c r="EK32"/>
  <c r="EN32" s="1"/>
  <c r="EK23"/>
  <c r="EN23" s="1"/>
  <c r="EK42"/>
  <c r="EN42" s="1"/>
  <c r="EK24"/>
  <c r="EN24" s="1"/>
  <c r="N239" i="39"/>
  <c r="R220"/>
  <c r="R259" i="72"/>
  <c r="R237" i="74"/>
  <c r="R188"/>
  <c r="N277" i="72"/>
  <c r="N175"/>
  <c r="N276" i="74"/>
  <c r="N224"/>
  <c r="N174"/>
  <c r="S277" i="70"/>
  <c r="S175"/>
  <c r="S276" i="72"/>
  <c r="S174"/>
  <c r="S224"/>
  <c r="R237"/>
  <c r="R188"/>
  <c r="R272" i="74"/>
  <c r="R161"/>
  <c r="S272" i="70"/>
  <c r="S161"/>
  <c r="R224" i="65"/>
  <c r="R276"/>
  <c r="R174"/>
  <c r="R273" i="74"/>
  <c r="R168"/>
  <c r="R107"/>
  <c r="N136" i="73"/>
  <c r="N111"/>
  <c r="R136" i="72"/>
  <c r="R111"/>
  <c r="N136" i="68"/>
  <c r="N111"/>
  <c r="N272" i="65"/>
  <c r="N161"/>
  <c r="S91" i="39"/>
  <c r="S88"/>
  <c r="N273" i="71"/>
  <c r="N168"/>
  <c r="N107"/>
  <c r="R273" i="72"/>
  <c r="R168"/>
  <c r="R107"/>
  <c r="N82" i="39"/>
  <c r="N84"/>
  <c r="N273" i="73"/>
  <c r="N168"/>
  <c r="N107"/>
  <c r="N89" i="39"/>
  <c r="N85"/>
  <c r="GG226" i="77"/>
  <c r="O226" i="72" s="1"/>
  <c r="N226"/>
  <c r="IM228" i="77"/>
  <c r="O228" i="74" s="1"/>
  <c r="N228"/>
  <c r="FD226" i="77"/>
  <c r="O226" i="71" s="1"/>
  <c r="N226"/>
  <c r="R277"/>
  <c r="R175"/>
  <c r="HJ228" i="77"/>
  <c r="O228" i="73" s="1"/>
  <c r="N228"/>
  <c r="S90" i="39"/>
  <c r="S86"/>
  <c r="IN232" i="77"/>
  <c r="P232" i="74" s="1"/>
  <c r="N232"/>
  <c r="AR235" i="77"/>
  <c r="O235" i="65" s="1"/>
  <c r="N235"/>
  <c r="EA235" i="77"/>
  <c r="O235" i="70" s="1"/>
  <c r="N235"/>
  <c r="GG234" i="77"/>
  <c r="O234" i="72" s="1"/>
  <c r="N234"/>
  <c r="S237" i="68"/>
  <c r="S188"/>
  <c r="GG235" i="77"/>
  <c r="O235" i="72" s="1"/>
  <c r="N235"/>
  <c r="GG228" i="77"/>
  <c r="O228" i="72" s="1"/>
  <c r="N228"/>
  <c r="IM370" i="77"/>
  <c r="O370" i="74" s="1"/>
  <c r="N370"/>
  <c r="N283"/>
  <c r="N186"/>
  <c r="N283" i="71"/>
  <c r="N186"/>
  <c r="N283" i="65"/>
  <c r="N186"/>
  <c r="R185" i="73"/>
  <c r="R116"/>
  <c r="R185" i="71"/>
  <c r="R116"/>
  <c r="N274" i="74"/>
  <c r="N222"/>
  <c r="N171"/>
  <c r="N108"/>
  <c r="N274" i="72"/>
  <c r="N222"/>
  <c r="N171"/>
  <c r="N108"/>
  <c r="N222" i="65"/>
  <c r="N274"/>
  <c r="N171"/>
  <c r="N108"/>
  <c r="R279" i="74"/>
  <c r="R230"/>
  <c r="R178"/>
  <c r="R113"/>
  <c r="R279" i="72"/>
  <c r="R178"/>
  <c r="R230"/>
  <c r="R113"/>
  <c r="R230" i="65"/>
  <c r="R279"/>
  <c r="R178"/>
  <c r="R113"/>
  <c r="N281" i="73"/>
  <c r="N184"/>
  <c r="N281" i="71"/>
  <c r="N184"/>
  <c r="N156" i="73"/>
  <c r="N105"/>
  <c r="N156" i="72"/>
  <c r="N105"/>
  <c r="N156" i="74"/>
  <c r="N105"/>
  <c r="N156" i="70"/>
  <c r="N105"/>
  <c r="R173" i="74"/>
  <c r="R110"/>
  <c r="R173" i="72"/>
  <c r="R110"/>
  <c r="R173" i="68"/>
  <c r="R110"/>
  <c r="P284" i="72"/>
  <c r="P117"/>
  <c r="N158" i="74"/>
  <c r="N130"/>
  <c r="N158" i="72"/>
  <c r="N130"/>
  <c r="N158" i="68"/>
  <c r="N130"/>
  <c r="N271" i="74"/>
  <c r="N134"/>
  <c r="N271" i="71"/>
  <c r="N134"/>
  <c r="N271" i="65"/>
  <c r="N134"/>
  <c r="R223" i="74"/>
  <c r="R172"/>
  <c r="R223" i="71"/>
  <c r="R172"/>
  <c r="R223" i="65"/>
  <c r="R172"/>
  <c r="N106" i="69"/>
  <c r="N132"/>
  <c r="N106" i="72"/>
  <c r="N132"/>
  <c r="N229" i="65"/>
  <c r="N177"/>
  <c r="N229" i="72"/>
  <c r="N177"/>
  <c r="N225" i="65"/>
  <c r="N278"/>
  <c r="P229" i="73"/>
  <c r="P177"/>
  <c r="R229" i="74"/>
  <c r="R177"/>
  <c r="S225" i="71"/>
  <c r="S278"/>
  <c r="N231" i="69"/>
  <c r="N179"/>
  <c r="S231" i="73"/>
  <c r="S179"/>
  <c r="N159"/>
  <c r="R284" i="74"/>
  <c r="R117"/>
  <c r="R156" i="73"/>
  <c r="R105"/>
  <c r="R106" i="72"/>
  <c r="R132"/>
  <c r="S173"/>
  <c r="S110"/>
  <c r="R278" i="71"/>
  <c r="R225"/>
  <c r="S284" i="68"/>
  <c r="S117"/>
  <c r="O135" i="65"/>
  <c r="N135"/>
  <c r="S158" i="72"/>
  <c r="S130"/>
  <c r="R225" i="65"/>
  <c r="R278"/>
  <c r="S223"/>
  <c r="S172"/>
  <c r="R177" i="73"/>
  <c r="R229"/>
  <c r="S284"/>
  <c r="S117"/>
  <c r="S284" i="71"/>
  <c r="S117"/>
  <c r="S279" i="72"/>
  <c r="S178"/>
  <c r="S230"/>
  <c r="S113"/>
  <c r="S281" i="73"/>
  <c r="S184"/>
  <c r="S274" i="72"/>
  <c r="S222"/>
  <c r="S171"/>
  <c r="S108"/>
  <c r="S283"/>
  <c r="S186"/>
  <c r="S185" i="71"/>
  <c r="S116"/>
  <c r="N259" i="39"/>
  <c r="S156" i="74"/>
  <c r="S105"/>
  <c r="O135" i="72"/>
  <c r="N135"/>
  <c r="N284"/>
  <c r="N117"/>
  <c r="R156" i="65"/>
  <c r="R105"/>
  <c r="R231" i="69"/>
  <c r="R179"/>
  <c r="S177" i="73"/>
  <c r="S229"/>
  <c r="HJ225" i="77"/>
  <c r="N278" i="73"/>
  <c r="N225"/>
  <c r="O167" i="71"/>
  <c r="N167"/>
  <c r="S179" i="72"/>
  <c r="S231"/>
  <c r="S242" i="39"/>
  <c r="R247"/>
  <c r="N253"/>
  <c r="Q248"/>
  <c r="R148"/>
  <c r="R239"/>
  <c r="S92"/>
  <c r="Q199"/>
  <c r="N145"/>
  <c r="N251"/>
  <c r="Q220"/>
  <c r="N247"/>
  <c r="N259" i="68"/>
  <c r="S268" i="65"/>
  <c r="S266"/>
  <c r="R269"/>
  <c r="R268"/>
  <c r="R266"/>
  <c r="R261" i="69"/>
  <c r="S261"/>
  <c r="N288" i="70"/>
  <c r="N266"/>
  <c r="N289" i="71"/>
  <c r="N268"/>
  <c r="S266"/>
  <c r="N269" i="72"/>
  <c r="N266" i="71"/>
  <c r="S261"/>
  <c r="N268" i="74"/>
  <c r="R261" i="71"/>
  <c r="R266" i="73"/>
  <c r="R261" i="74"/>
  <c r="R261" i="73"/>
  <c r="R268"/>
  <c r="N269"/>
  <c r="R266" i="72"/>
  <c r="N116" i="39"/>
  <c r="R101"/>
  <c r="S106"/>
  <c r="N113"/>
  <c r="R117"/>
  <c r="Q105"/>
  <c r="N106"/>
  <c r="R110"/>
  <c r="Q106"/>
  <c r="N107"/>
  <c r="R111"/>
  <c r="S116"/>
  <c r="S133"/>
  <c r="N140"/>
  <c r="S134"/>
  <c r="S131"/>
  <c r="N138"/>
  <c r="R131"/>
  <c r="S136"/>
  <c r="Q160"/>
  <c r="N161"/>
  <c r="S170"/>
  <c r="N177"/>
  <c r="P179"/>
  <c r="R181"/>
  <c r="S186"/>
  <c r="R158"/>
  <c r="Q169"/>
  <c r="N170"/>
  <c r="R174"/>
  <c r="S179"/>
  <c r="Q185"/>
  <c r="N186"/>
  <c r="Q158"/>
  <c r="N159"/>
  <c r="P161"/>
  <c r="S168"/>
  <c r="Q174"/>
  <c r="N175"/>
  <c r="P177"/>
  <c r="R179"/>
  <c r="S184"/>
  <c r="N156"/>
  <c r="R160"/>
  <c r="Q171"/>
  <c r="N172"/>
  <c r="S181"/>
  <c r="N188"/>
  <c r="Q224"/>
  <c r="N225"/>
  <c r="R229"/>
  <c r="S234"/>
  <c r="N222"/>
  <c r="R226"/>
  <c r="Q237"/>
  <c r="N238"/>
  <c r="N228"/>
  <c r="R232"/>
  <c r="N227"/>
  <c r="S236"/>
  <c r="N224"/>
  <c r="Q235"/>
  <c r="S274"/>
  <c r="N281"/>
  <c r="Q281"/>
  <c r="R286"/>
  <c r="S272"/>
  <c r="Q278"/>
  <c r="N279"/>
  <c r="R283"/>
  <c r="T285"/>
  <c r="S277"/>
  <c r="R361"/>
  <c r="R359"/>
  <c r="S361"/>
  <c r="N380"/>
  <c r="Q378"/>
  <c r="N394" i="68"/>
  <c r="N394" i="71"/>
  <c r="S277"/>
  <c r="S175"/>
  <c r="N237" i="72"/>
  <c r="N188"/>
  <c r="N272" i="74"/>
  <c r="N161"/>
  <c r="R272" i="72"/>
  <c r="R161"/>
  <c r="S272" i="74"/>
  <c r="S161"/>
  <c r="N276" i="65"/>
  <c r="N224"/>
  <c r="N174"/>
  <c r="N273" i="74"/>
  <c r="N168"/>
  <c r="N107"/>
  <c r="R272" i="73"/>
  <c r="R161"/>
  <c r="N136" i="72"/>
  <c r="N111"/>
  <c r="S136" i="68"/>
  <c r="S111"/>
  <c r="S272" i="65"/>
  <c r="S161"/>
  <c r="R273"/>
  <c r="R168"/>
  <c r="R107"/>
  <c r="Q90" i="39"/>
  <c r="Q86"/>
  <c r="Q81"/>
  <c r="Q83"/>
  <c r="S273" i="71"/>
  <c r="S168"/>
  <c r="S107"/>
  <c r="Q91" i="39"/>
  <c r="Q88"/>
  <c r="N273" i="72"/>
  <c r="N168"/>
  <c r="N107"/>
  <c r="S273" i="73"/>
  <c r="S168"/>
  <c r="S107"/>
  <c r="R277" i="72"/>
  <c r="R175"/>
  <c r="S272"/>
  <c r="S161"/>
  <c r="S136" i="71"/>
  <c r="S111"/>
  <c r="BU236" i="77"/>
  <c r="O236" i="68" s="1"/>
  <c r="N236"/>
  <c r="CY233" i="77"/>
  <c r="P233" i="69" s="1"/>
  <c r="N233"/>
  <c r="BU228" i="77"/>
  <c r="O228" i="68" s="1"/>
  <c r="N228"/>
  <c r="R276" i="70"/>
  <c r="R224"/>
  <c r="R174"/>
  <c r="S82" i="39"/>
  <c r="S84"/>
  <c r="EA233" i="77"/>
  <c r="O233" i="70" s="1"/>
  <c r="N233"/>
  <c r="IM235" i="77"/>
  <c r="O235" i="74" s="1"/>
  <c r="N235"/>
  <c r="AR233" i="77"/>
  <c r="O233" i="65" s="1"/>
  <c r="N233"/>
  <c r="S273" i="74"/>
  <c r="S168"/>
  <c r="S107"/>
  <c r="R283"/>
  <c r="R186"/>
  <c r="R283" i="71"/>
  <c r="R186"/>
  <c r="R283" i="65"/>
  <c r="R186"/>
  <c r="N185" i="74"/>
  <c r="N116"/>
  <c r="N185" i="72"/>
  <c r="N116"/>
  <c r="N185" i="69"/>
  <c r="N116"/>
  <c r="R274" i="74"/>
  <c r="R171"/>
  <c r="R222"/>
  <c r="R108"/>
  <c r="R274" i="72"/>
  <c r="R222"/>
  <c r="R171"/>
  <c r="R108"/>
  <c r="R274" i="65"/>
  <c r="R222"/>
  <c r="R171"/>
  <c r="R108"/>
  <c r="N279" i="73"/>
  <c r="N178"/>
  <c r="N230"/>
  <c r="N113"/>
  <c r="N279" i="71"/>
  <c r="N178"/>
  <c r="N230"/>
  <c r="N113"/>
  <c r="R281" i="73"/>
  <c r="R184"/>
  <c r="R281" i="71"/>
  <c r="R184"/>
  <c r="R156" i="72"/>
  <c r="R105"/>
  <c r="R156" i="74"/>
  <c r="R105"/>
  <c r="R156" i="70"/>
  <c r="R105"/>
  <c r="N173" i="73"/>
  <c r="N110"/>
  <c r="N173" i="71"/>
  <c r="N110"/>
  <c r="R158" i="74"/>
  <c r="R130"/>
  <c r="R158" i="72"/>
  <c r="R130"/>
  <c r="R158" i="68"/>
  <c r="R130"/>
  <c r="R271" i="74"/>
  <c r="R134"/>
  <c r="R271" i="71"/>
  <c r="R134"/>
  <c r="R271" i="65"/>
  <c r="R134"/>
  <c r="N223" i="73"/>
  <c r="N172"/>
  <c r="N223" i="69"/>
  <c r="N172"/>
  <c r="S132" i="65"/>
  <c r="S106"/>
  <c r="S106" i="71"/>
  <c r="S132"/>
  <c r="S106" i="73"/>
  <c r="S132"/>
  <c r="S229" i="69"/>
  <c r="S177"/>
  <c r="O278" i="71"/>
  <c r="O225"/>
  <c r="O167" i="65"/>
  <c r="N167"/>
  <c r="P278" i="71"/>
  <c r="P225"/>
  <c r="N229" i="74"/>
  <c r="N177"/>
  <c r="R225" i="70"/>
  <c r="R278"/>
  <c r="N231" i="71"/>
  <c r="N179"/>
  <c r="IM385" i="77"/>
  <c r="O394" i="74" s="1"/>
  <c r="N394"/>
  <c r="S158" i="68"/>
  <c r="S130"/>
  <c r="R177" i="72"/>
  <c r="R229"/>
  <c r="S284" i="74"/>
  <c r="S117"/>
  <c r="S223" i="73"/>
  <c r="S172"/>
  <c r="P289" i="77"/>
  <c r="P289" i="39" s="1"/>
  <c r="N289"/>
  <c r="R284" i="68"/>
  <c r="R117"/>
  <c r="S110" i="74"/>
  <c r="S173"/>
  <c r="S278" i="70"/>
  <c r="S225"/>
  <c r="S229" i="74"/>
  <c r="S177"/>
  <c r="S223" i="69"/>
  <c r="S172"/>
  <c r="R231" i="72"/>
  <c r="R179"/>
  <c r="R106" i="73"/>
  <c r="R132"/>
  <c r="S271"/>
  <c r="S134"/>
  <c r="N284" i="71"/>
  <c r="N117"/>
  <c r="S281" i="65"/>
  <c r="S184"/>
  <c r="S279" i="73"/>
  <c r="S178"/>
  <c r="S230"/>
  <c r="S113"/>
  <c r="S156" i="65"/>
  <c r="S105"/>
  <c r="O135" i="68"/>
  <c r="N135"/>
  <c r="S281" i="74"/>
  <c r="S184"/>
  <c r="S274" i="73"/>
  <c r="S171"/>
  <c r="S222"/>
  <c r="S108"/>
  <c r="Q156" i="65"/>
  <c r="Q105"/>
  <c r="S185" i="72"/>
  <c r="S116"/>
  <c r="O135" i="71"/>
  <c r="N135"/>
  <c r="N284" i="68"/>
  <c r="N117"/>
  <c r="N156" i="71"/>
  <c r="N105"/>
  <c r="N177" i="73"/>
  <c r="N229"/>
  <c r="O187" i="74"/>
  <c r="N187"/>
  <c r="P140"/>
  <c r="N140"/>
  <c r="N179" i="72"/>
  <c r="N231"/>
  <c r="S93" i="39"/>
  <c r="Q93"/>
  <c r="R248"/>
  <c r="R376"/>
  <c r="S96"/>
  <c r="S248"/>
  <c r="Q253"/>
  <c r="S259" i="68"/>
  <c r="R259"/>
  <c r="N291"/>
  <c r="N261"/>
  <c r="N289" i="69"/>
  <c r="N288"/>
  <c r="R266" i="70"/>
  <c r="S266"/>
  <c r="S268" i="71"/>
  <c r="S269" i="72"/>
  <c r="S269" i="73"/>
  <c r="S268"/>
  <c r="S266"/>
  <c r="S268" i="74"/>
  <c r="N269"/>
  <c r="N261"/>
  <c r="S269"/>
  <c r="R268"/>
  <c r="R269" i="72"/>
  <c r="R269" i="74"/>
  <c r="N266" i="73"/>
  <c r="P106" i="39"/>
  <c r="R108"/>
  <c r="S113"/>
  <c r="N101"/>
  <c r="R105"/>
  <c r="S110"/>
  <c r="N117"/>
  <c r="N110"/>
  <c r="R114"/>
  <c r="Q110"/>
  <c r="N111"/>
  <c r="R132"/>
  <c r="S137"/>
  <c r="P131"/>
  <c r="R133"/>
  <c r="S138"/>
  <c r="N131"/>
  <c r="S158"/>
  <c r="R169"/>
  <c r="S174"/>
  <c r="Q180"/>
  <c r="N181"/>
  <c r="R185"/>
  <c r="Q157"/>
  <c r="N158"/>
  <c r="R162"/>
  <c r="R178"/>
  <c r="S183"/>
  <c r="S156"/>
  <c r="Q162"/>
  <c r="S172"/>
  <c r="Q178"/>
  <c r="N179"/>
  <c r="R183"/>
  <c r="S188"/>
  <c r="Q159"/>
  <c r="N160"/>
  <c r="P162"/>
  <c r="S169"/>
  <c r="Q175"/>
  <c r="R180"/>
  <c r="S222"/>
  <c r="N229"/>
  <c r="R233"/>
  <c r="S238"/>
  <c r="N226"/>
  <c r="P228"/>
  <c r="R230"/>
  <c r="S235"/>
  <c r="S224"/>
  <c r="Q230"/>
  <c r="N231"/>
  <c r="S229"/>
  <c r="S233"/>
  <c r="Q231"/>
  <c r="S278"/>
  <c r="Q284"/>
  <c r="N285"/>
  <c r="R274"/>
  <c r="S279"/>
  <c r="Q285"/>
  <c r="N286"/>
  <c r="R271"/>
  <c r="P278"/>
  <c r="Q279"/>
  <c r="Q360"/>
  <c r="N361"/>
  <c r="N359"/>
  <c r="R360"/>
  <c r="R378"/>
  <c r="N237" i="74"/>
  <c r="N188"/>
  <c r="N277"/>
  <c r="N175"/>
  <c r="N277" i="68"/>
  <c r="N175"/>
  <c r="N276" i="70"/>
  <c r="N224"/>
  <c r="N174"/>
  <c r="S276" i="73"/>
  <c r="S174"/>
  <c r="S224"/>
  <c r="R237" i="71"/>
  <c r="R188"/>
  <c r="R276" i="73"/>
  <c r="R174"/>
  <c r="R224"/>
  <c r="N277" i="70"/>
  <c r="N175"/>
  <c r="N276" i="72"/>
  <c r="N174"/>
  <c r="N224"/>
  <c r="R237" i="69"/>
  <c r="R188"/>
  <c r="S277" i="72"/>
  <c r="S175"/>
  <c r="S276" i="74"/>
  <c r="S224"/>
  <c r="S174"/>
  <c r="R237" i="68"/>
  <c r="R188"/>
  <c r="N188" i="71"/>
  <c r="N237"/>
  <c r="R272" i="70"/>
  <c r="R161"/>
  <c r="R277"/>
  <c r="R175"/>
  <c r="N272" i="72"/>
  <c r="N161"/>
  <c r="S276" i="65"/>
  <c r="S224"/>
  <c r="S174"/>
  <c r="R136" i="74"/>
  <c r="R111"/>
  <c r="N272" i="73"/>
  <c r="N161"/>
  <c r="S136" i="72"/>
  <c r="S111"/>
  <c r="R136" i="71"/>
  <c r="R111"/>
  <c r="N273" i="65"/>
  <c r="N168"/>
  <c r="N107"/>
  <c r="R90" i="39"/>
  <c r="R86"/>
  <c r="R81"/>
  <c r="R83"/>
  <c r="R91"/>
  <c r="R88"/>
  <c r="S273" i="72"/>
  <c r="S168"/>
  <c r="S107"/>
  <c r="Q82" i="39"/>
  <c r="Q84"/>
  <c r="Q89"/>
  <c r="Q85"/>
  <c r="BV226" i="77"/>
  <c r="P226" i="68" s="1"/>
  <c r="N226"/>
  <c r="S188" i="71"/>
  <c r="S237"/>
  <c r="S136" i="73"/>
  <c r="S111"/>
  <c r="HK233" i="77"/>
  <c r="P233" i="73" s="1"/>
  <c r="N233"/>
  <c r="FE228" i="77"/>
  <c r="P228" i="71" s="1"/>
  <c r="N228"/>
  <c r="S237" i="69"/>
  <c r="S188"/>
  <c r="HJ370" i="77"/>
  <c r="O370" i="73" s="1"/>
  <c r="N370"/>
  <c r="AR236" i="77"/>
  <c r="O236" i="65" s="1"/>
  <c r="N236"/>
  <c r="N283" i="72"/>
  <c r="N186"/>
  <c r="N283" i="69"/>
  <c r="N186"/>
  <c r="R185" i="74"/>
  <c r="R116"/>
  <c r="R185" i="72"/>
  <c r="R116"/>
  <c r="R185" i="69"/>
  <c r="R116"/>
  <c r="N274" i="73"/>
  <c r="N171"/>
  <c r="N222"/>
  <c r="N108"/>
  <c r="N274" i="71"/>
  <c r="N222"/>
  <c r="N171"/>
  <c r="N108"/>
  <c r="R279" i="73"/>
  <c r="R230"/>
  <c r="R178"/>
  <c r="R113"/>
  <c r="R279" i="71"/>
  <c r="R230"/>
  <c r="R178"/>
  <c r="R113"/>
  <c r="N281" i="74"/>
  <c r="N184"/>
  <c r="N281" i="72"/>
  <c r="N184"/>
  <c r="N281" i="65"/>
  <c r="N184"/>
  <c r="S156" i="73"/>
  <c r="S105"/>
  <c r="Q156" i="74"/>
  <c r="Q105"/>
  <c r="R173" i="73"/>
  <c r="R110"/>
  <c r="R173" i="71"/>
  <c r="R110"/>
  <c r="N158" i="73"/>
  <c r="N130"/>
  <c r="N158" i="71"/>
  <c r="N130"/>
  <c r="N271" i="73"/>
  <c r="N134"/>
  <c r="N271" i="68"/>
  <c r="N134"/>
  <c r="R223" i="73"/>
  <c r="R172"/>
  <c r="R223" i="69"/>
  <c r="R172"/>
  <c r="N132" i="65"/>
  <c r="N106"/>
  <c r="N106" i="71"/>
  <c r="N132"/>
  <c r="N106" i="73"/>
  <c r="N132"/>
  <c r="N229" i="69"/>
  <c r="N177"/>
  <c r="S231" i="68"/>
  <c r="S179"/>
  <c r="N278" i="74"/>
  <c r="N225"/>
  <c r="S231" i="71"/>
  <c r="S179"/>
  <c r="R278" i="74"/>
  <c r="R225"/>
  <c r="N231" i="73"/>
  <c r="N179"/>
  <c r="O179" i="72"/>
  <c r="O231"/>
  <c r="R229" i="65"/>
  <c r="R177"/>
  <c r="Q156" i="70"/>
  <c r="Q105"/>
  <c r="R231" i="71"/>
  <c r="R179"/>
  <c r="S271"/>
  <c r="S134"/>
  <c r="S172" i="74"/>
  <c r="S223"/>
  <c r="N159" i="70"/>
  <c r="R284" i="72"/>
  <c r="R117"/>
  <c r="S173" i="68"/>
  <c r="S110"/>
  <c r="S156" i="71"/>
  <c r="S105"/>
  <c r="R278" i="73"/>
  <c r="R225"/>
  <c r="S284" i="72"/>
  <c r="S117"/>
  <c r="R231" i="68"/>
  <c r="R179"/>
  <c r="R284" i="73"/>
  <c r="R117"/>
  <c r="S271" i="74"/>
  <c r="S134"/>
  <c r="S158" i="71"/>
  <c r="S130"/>
  <c r="R156"/>
  <c r="R105"/>
  <c r="S279" i="74"/>
  <c r="S230"/>
  <c r="S178"/>
  <c r="S113"/>
  <c r="S222" i="65"/>
  <c r="S274"/>
  <c r="S171"/>
  <c r="S108"/>
  <c r="S281" i="71"/>
  <c r="S184"/>
  <c r="S274" i="74"/>
  <c r="S222"/>
  <c r="S171"/>
  <c r="S108"/>
  <c r="N156" i="65"/>
  <c r="N105"/>
  <c r="S185" i="73"/>
  <c r="S116"/>
  <c r="S283" i="65"/>
  <c r="S186"/>
  <c r="O135" i="74"/>
  <c r="N135"/>
  <c r="S156" i="70"/>
  <c r="S105"/>
  <c r="P187" i="72"/>
  <c r="N187"/>
  <c r="S271" i="65"/>
  <c r="S134"/>
  <c r="N284" i="74"/>
  <c r="N117"/>
  <c r="S156" i="72"/>
  <c r="S105"/>
  <c r="N159"/>
  <c r="BV282" i="77"/>
  <c r="P282" i="68" s="1"/>
  <c r="N282"/>
  <c r="S246" i="39"/>
  <c r="Q249"/>
  <c r="R249"/>
  <c r="R246"/>
  <c r="R204"/>
  <c r="N197"/>
  <c r="S147"/>
  <c r="N95"/>
  <c r="R118"/>
  <c r="Q96"/>
  <c r="R92"/>
  <c r="R93"/>
  <c r="R253"/>
  <c r="R242"/>
  <c r="Q246"/>
  <c r="P148"/>
  <c r="R193"/>
  <c r="S118"/>
  <c r="S247"/>
  <c r="N41"/>
  <c r="N449"/>
  <c r="P135" i="72"/>
  <c r="P291" i="71"/>
  <c r="P187" i="74"/>
  <c r="N259" i="70"/>
  <c r="N259" i="71"/>
  <c r="N259" i="72"/>
  <c r="N259" i="73"/>
  <c r="N292" i="65"/>
  <c r="R261" i="68"/>
  <c r="S261"/>
  <c r="N268" i="72"/>
  <c r="N266"/>
  <c r="R269" i="71"/>
  <c r="S261" i="74"/>
  <c r="N293" i="72"/>
  <c r="N268" i="73"/>
  <c r="R269"/>
  <c r="N261"/>
  <c r="N291"/>
  <c r="S101" i="39"/>
  <c r="Q107"/>
  <c r="N108"/>
  <c r="R112"/>
  <c r="S117"/>
  <c r="S107"/>
  <c r="N114"/>
  <c r="S108"/>
  <c r="Q114"/>
  <c r="Q131"/>
  <c r="N132"/>
  <c r="N133"/>
  <c r="R137"/>
  <c r="Q134"/>
  <c r="R157"/>
  <c r="S162"/>
  <c r="Q168"/>
  <c r="N169"/>
  <c r="S178"/>
  <c r="Q161"/>
  <c r="Q177"/>
  <c r="N178"/>
  <c r="R182"/>
  <c r="S160"/>
  <c r="P169"/>
  <c r="R171"/>
  <c r="Q182"/>
  <c r="N183"/>
  <c r="S157"/>
  <c r="R168"/>
  <c r="N180"/>
  <c r="R184"/>
  <c r="Q232"/>
  <c r="N233"/>
  <c r="R237"/>
  <c r="R234"/>
  <c r="R223"/>
  <c r="N235"/>
  <c r="Q223"/>
  <c r="O225"/>
  <c r="R236"/>
  <c r="R277"/>
  <c r="Q273"/>
  <c r="N274"/>
  <c r="R278"/>
  <c r="N271"/>
  <c r="R272"/>
  <c r="Q361"/>
  <c r="N360"/>
  <c r="S369"/>
  <c r="N369"/>
  <c r="S378"/>
  <c r="N378"/>
  <c r="P380"/>
  <c r="S380"/>
  <c r="N277" i="71"/>
  <c r="N175"/>
  <c r="N276" i="73"/>
  <c r="N174"/>
  <c r="N224"/>
  <c r="N237" i="69"/>
  <c r="N188"/>
  <c r="S237" i="74"/>
  <c r="S188"/>
  <c r="S277"/>
  <c r="S175"/>
  <c r="S277" i="68"/>
  <c r="S175"/>
  <c r="S276" i="70"/>
  <c r="S224"/>
  <c r="S174"/>
  <c r="N237" i="68"/>
  <c r="N188"/>
  <c r="N272" i="70"/>
  <c r="N161"/>
  <c r="R277" i="74"/>
  <c r="R175"/>
  <c r="R276" i="72"/>
  <c r="R174"/>
  <c r="R224"/>
  <c r="N136" i="74"/>
  <c r="N111"/>
  <c r="S272" i="73"/>
  <c r="S161"/>
  <c r="R136"/>
  <c r="R111"/>
  <c r="N136" i="71"/>
  <c r="N111"/>
  <c r="R136" i="68"/>
  <c r="R111"/>
  <c r="R272" i="65"/>
  <c r="R161"/>
  <c r="S81" i="39"/>
  <c r="S83"/>
  <c r="N90"/>
  <c r="N86"/>
  <c r="N81"/>
  <c r="N83"/>
  <c r="R273" i="71"/>
  <c r="R168"/>
  <c r="R107"/>
  <c r="N91" i="39"/>
  <c r="N88"/>
  <c r="S89"/>
  <c r="S85"/>
  <c r="R82"/>
  <c r="R84"/>
  <c r="R273" i="73"/>
  <c r="R168"/>
  <c r="R107"/>
  <c r="R89" i="39"/>
  <c r="R85"/>
  <c r="S237" i="72"/>
  <c r="S188"/>
  <c r="IM234" i="77"/>
  <c r="O234" i="74" s="1"/>
  <c r="N234"/>
  <c r="IM226" i="77"/>
  <c r="O226" i="74" s="1"/>
  <c r="N226"/>
  <c r="R276"/>
  <c r="R224"/>
  <c r="R174"/>
  <c r="S136"/>
  <c r="S111"/>
  <c r="BV358" i="77"/>
  <c r="P358" i="68" s="1"/>
  <c r="N358"/>
  <c r="S273" i="65"/>
  <c r="S168"/>
  <c r="S107"/>
  <c r="GG236" i="77"/>
  <c r="O236" i="72" s="1"/>
  <c r="N236"/>
  <c r="BU234" i="77"/>
  <c r="O234" i="68" s="1"/>
  <c r="N234"/>
  <c r="R277"/>
  <c r="R175"/>
  <c r="HK234" i="77"/>
  <c r="P234" i="73" s="1"/>
  <c r="N234"/>
  <c r="HJ226" i="77"/>
  <c r="O226" i="73" s="1"/>
  <c r="N226"/>
  <c r="EA236" i="77"/>
  <c r="O236" i="70" s="1"/>
  <c r="N236"/>
  <c r="FD235" i="77"/>
  <c r="O235" i="71" s="1"/>
  <c r="N235"/>
  <c r="FE234" i="77"/>
  <c r="P234" i="71" s="1"/>
  <c r="N234"/>
  <c r="R283" i="72"/>
  <c r="R186"/>
  <c r="R283" i="69"/>
  <c r="R186"/>
  <c r="N185" i="73"/>
  <c r="N116"/>
  <c r="N185" i="71"/>
  <c r="N116"/>
  <c r="R274" i="73"/>
  <c r="R222"/>
  <c r="R171"/>
  <c r="R108"/>
  <c r="R274" i="71"/>
  <c r="R222"/>
  <c r="R171"/>
  <c r="R108"/>
  <c r="N279" i="74"/>
  <c r="N230"/>
  <c r="N178"/>
  <c r="N113"/>
  <c r="N279" i="72"/>
  <c r="N178"/>
  <c r="N230"/>
  <c r="N113"/>
  <c r="N230" i="65"/>
  <c r="N279"/>
  <c r="N178"/>
  <c r="N113"/>
  <c r="R281" i="74"/>
  <c r="R184"/>
  <c r="R281" i="72"/>
  <c r="R184"/>
  <c r="R281" i="65"/>
  <c r="R184"/>
  <c r="Q156" i="73"/>
  <c r="Q105"/>
  <c r="N110" i="74"/>
  <c r="N173"/>
  <c r="N173" i="72"/>
  <c r="N110"/>
  <c r="N173" i="68"/>
  <c r="N110"/>
  <c r="P284"/>
  <c r="P117"/>
  <c r="R158" i="73"/>
  <c r="R130"/>
  <c r="R158" i="71"/>
  <c r="R130"/>
  <c r="R271" i="73"/>
  <c r="R134"/>
  <c r="R271" i="68"/>
  <c r="R134"/>
  <c r="N172" i="74"/>
  <c r="N223"/>
  <c r="N223" i="71"/>
  <c r="N172"/>
  <c r="N223" i="65"/>
  <c r="N172"/>
  <c r="S106" i="69"/>
  <c r="S132"/>
  <c r="S106" i="72"/>
  <c r="S132"/>
  <c r="S229" i="65"/>
  <c r="S177"/>
  <c r="S229" i="72"/>
  <c r="S177"/>
  <c r="N231" i="68"/>
  <c r="N179"/>
  <c r="S225" i="65"/>
  <c r="S278"/>
  <c r="AR275" i="77"/>
  <c r="O275" i="65" s="1"/>
  <c r="N275"/>
  <c r="N278" i="70"/>
  <c r="N225"/>
  <c r="S278" i="73"/>
  <c r="S225"/>
  <c r="S231" i="69"/>
  <c r="S179"/>
  <c r="R132"/>
  <c r="R106"/>
  <c r="Q156" i="72"/>
  <c r="Q105"/>
  <c r="S158" i="74"/>
  <c r="S130"/>
  <c r="R132" i="71"/>
  <c r="R106"/>
  <c r="S278" i="74"/>
  <c r="S225"/>
  <c r="HJ385" i="77"/>
  <c r="O394" i="73" s="1"/>
  <c r="N394"/>
  <c r="N284"/>
  <c r="N117"/>
  <c r="R179"/>
  <c r="R231"/>
  <c r="S223" i="71"/>
  <c r="S172"/>
  <c r="R132" i="65"/>
  <c r="R106"/>
  <c r="S173" i="73"/>
  <c r="S110"/>
  <c r="S279" i="71"/>
  <c r="S178"/>
  <c r="S230"/>
  <c r="S113"/>
  <c r="S185" i="69"/>
  <c r="S116"/>
  <c r="S158" i="73"/>
  <c r="S130"/>
  <c r="S283" i="74"/>
  <c r="S186"/>
  <c r="S281" i="72"/>
  <c r="S184"/>
  <c r="S230" i="65"/>
  <c r="S279"/>
  <c r="S178"/>
  <c r="S113"/>
  <c r="S274" i="71"/>
  <c r="S171"/>
  <c r="S222"/>
  <c r="S108"/>
  <c r="S283"/>
  <c r="S186"/>
  <c r="S173"/>
  <c r="S110"/>
  <c r="S185" i="74"/>
  <c r="S116"/>
  <c r="S283" i="69"/>
  <c r="S186"/>
  <c r="R284" i="71"/>
  <c r="R117"/>
  <c r="Q156"/>
  <c r="Q105"/>
  <c r="S271" i="68"/>
  <c r="S134"/>
  <c r="R229" i="69"/>
  <c r="R177"/>
  <c r="N225" i="71"/>
  <c r="N278"/>
  <c r="N249" i="39"/>
  <c r="N246"/>
  <c r="N242"/>
  <c r="S204"/>
  <c r="Q147"/>
  <c r="R199"/>
  <c r="S121"/>
  <c r="N118"/>
  <c r="R96"/>
  <c r="N92"/>
  <c r="Q247"/>
  <c r="S253"/>
  <c r="Q245"/>
  <c r="R217"/>
  <c r="S193"/>
  <c r="Q244"/>
  <c r="Q218"/>
  <c r="R147"/>
  <c r="N58"/>
  <c r="S259" i="71"/>
  <c r="S259" i="72"/>
  <c r="R259" i="70"/>
  <c r="R259" i="71"/>
  <c r="N287" i="65"/>
  <c r="N269"/>
  <c r="N268"/>
  <c r="N266"/>
  <c r="N261" i="69"/>
  <c r="N288" i="72"/>
  <c r="R268" i="71"/>
  <c r="S268" i="72"/>
  <c r="S261" i="73"/>
  <c r="N291" i="71"/>
  <c r="R266"/>
  <c r="S269"/>
  <c r="N291" i="72"/>
  <c r="S266"/>
  <c r="N269" i="71"/>
  <c r="N289" i="73"/>
  <c r="N288" i="74"/>
  <c r="N261" i="71"/>
  <c r="R268" i="72"/>
  <c r="N291" i="74"/>
  <c r="Q111" i="39"/>
  <c r="N112"/>
  <c r="Q108"/>
  <c r="P111"/>
  <c r="R113"/>
  <c r="Q101"/>
  <c r="S111"/>
  <c r="R107"/>
  <c r="S112"/>
  <c r="N136"/>
  <c r="P138"/>
  <c r="N137"/>
  <c r="Q133"/>
  <c r="P136"/>
  <c r="R138"/>
  <c r="N157"/>
  <c r="R161"/>
  <c r="O162"/>
  <c r="S182"/>
  <c r="Q188"/>
  <c r="S159"/>
  <c r="R170"/>
  <c r="S175"/>
  <c r="Q181"/>
  <c r="N182"/>
  <c r="N155"/>
  <c r="R159"/>
  <c r="Q170"/>
  <c r="R175"/>
  <c r="S180"/>
  <c r="Q186"/>
  <c r="N187"/>
  <c r="S161"/>
  <c r="N168"/>
  <c r="Q183"/>
  <c r="R188"/>
  <c r="Q236"/>
  <c r="N237"/>
  <c r="S227"/>
  <c r="Q233"/>
  <c r="N234"/>
  <c r="R238"/>
  <c r="Q222"/>
  <c r="R227"/>
  <c r="S232"/>
  <c r="Q238"/>
  <c r="R228"/>
  <c r="N232"/>
  <c r="N236"/>
  <c r="Q227"/>
  <c r="Q276"/>
  <c r="N277"/>
  <c r="S286"/>
  <c r="Q277"/>
  <c r="N278"/>
  <c r="R276"/>
  <c r="N272"/>
  <c r="N276"/>
  <c r="S359"/>
  <c r="S360"/>
  <c r="Q370"/>
  <c r="N370"/>
  <c r="R380"/>
  <c r="O380"/>
  <c r="N394" i="65"/>
  <c r="AB358" i="68"/>
  <c r="AB180"/>
  <c r="AB114"/>
  <c r="AB104"/>
  <c r="AB377"/>
  <c r="AB155"/>
  <c r="AB183"/>
  <c r="AB223" i="72"/>
  <c r="AB172"/>
  <c r="AB271" i="73"/>
  <c r="AB134"/>
  <c r="AB281" i="74"/>
  <c r="AB184"/>
  <c r="AB281" i="70"/>
  <c r="AB184"/>
  <c r="AB279" i="71"/>
  <c r="AB230"/>
  <c r="AB178"/>
  <c r="AB113"/>
  <c r="AB274" i="72"/>
  <c r="AB222"/>
  <c r="AB171"/>
  <c r="AB108"/>
  <c r="AB185" i="71"/>
  <c r="AB116"/>
  <c r="AB223" i="70"/>
  <c r="AB172"/>
  <c r="AB271"/>
  <c r="AB134"/>
  <c r="AB274" i="69"/>
  <c r="AB222"/>
  <c r="AB171"/>
  <c r="AB108"/>
  <c r="AB283" i="71"/>
  <c r="AB186"/>
  <c r="AB237" i="72"/>
  <c r="AB188"/>
  <c r="AB156" i="74"/>
  <c r="AB105"/>
  <c r="AB274" i="68"/>
  <c r="AB222"/>
  <c r="AB171"/>
  <c r="AB108"/>
  <c r="AB283" i="69"/>
  <c r="AB186"/>
  <c r="AB237"/>
  <c r="AB188"/>
  <c r="AB271" i="68"/>
  <c r="AB134"/>
  <c r="AB158" i="65"/>
  <c r="AB130"/>
  <c r="AB274"/>
  <c r="AB171"/>
  <c r="AB222"/>
  <c r="AB108"/>
  <c r="AB277"/>
  <c r="AB175"/>
  <c r="AB276"/>
  <c r="AB224"/>
  <c r="AB174"/>
  <c r="AB286" i="68"/>
  <c r="AB112"/>
  <c r="AB359"/>
  <c r="AB233"/>
  <c r="AB170"/>
  <c r="AB271" i="72"/>
  <c r="AB134"/>
  <c r="AB281" i="73"/>
  <c r="AB184"/>
  <c r="AB279" i="72"/>
  <c r="AB230"/>
  <c r="AB178"/>
  <c r="AB113"/>
  <c r="AB274" i="73"/>
  <c r="AB222"/>
  <c r="AB171"/>
  <c r="AB108"/>
  <c r="AB185" i="74"/>
  <c r="AB116"/>
  <c r="AB185" i="70"/>
  <c r="AB116"/>
  <c r="AB284" i="65"/>
  <c r="AB117"/>
  <c r="AB279" i="69"/>
  <c r="AB230"/>
  <c r="AB178"/>
  <c r="AB113"/>
  <c r="AB185"/>
  <c r="AB116"/>
  <c r="AB283" i="70"/>
  <c r="AB186"/>
  <c r="AB237" i="71"/>
  <c r="AB188"/>
  <c r="AB223" i="69"/>
  <c r="AB172"/>
  <c r="AB156" i="70"/>
  <c r="AB105"/>
  <c r="AB279" i="68"/>
  <c r="AB230"/>
  <c r="AB178"/>
  <c r="AB113"/>
  <c r="AB283"/>
  <c r="AB186"/>
  <c r="AB237"/>
  <c r="AB188"/>
  <c r="AB237" i="73"/>
  <c r="AB188"/>
  <c r="AB223" i="65"/>
  <c r="AB172"/>
  <c r="AB271"/>
  <c r="AB134"/>
  <c r="AB156" i="73"/>
  <c r="AB105"/>
  <c r="AB279" i="65"/>
  <c r="AB230"/>
  <c r="AB178"/>
  <c r="AB113"/>
  <c r="AB283"/>
  <c r="AB186"/>
  <c r="AB360" i="68"/>
  <c r="AB234"/>
  <c r="AB183" i="69"/>
  <c r="AB189" i="68"/>
  <c r="AB223" i="74"/>
  <c r="AB172"/>
  <c r="AB173" i="65"/>
  <c r="AB110"/>
  <c r="AB281" i="72"/>
  <c r="AB184"/>
  <c r="AB230" i="73"/>
  <c r="AB279"/>
  <c r="AB178"/>
  <c r="AB113"/>
  <c r="AB274" i="74"/>
  <c r="AB222"/>
  <c r="AB171"/>
  <c r="AB108"/>
  <c r="AB274" i="70"/>
  <c r="AB222"/>
  <c r="AB171"/>
  <c r="AB108"/>
  <c r="AB185" i="73"/>
  <c r="AB116"/>
  <c r="AB283" i="74"/>
  <c r="AB186"/>
  <c r="AB156" i="71"/>
  <c r="AB105"/>
  <c r="AB281" i="69"/>
  <c r="AB184"/>
  <c r="AB185" i="68"/>
  <c r="AB116"/>
  <c r="AB237" i="70"/>
  <c r="AB188"/>
  <c r="AB223" i="68"/>
  <c r="AB172"/>
  <c r="AB281"/>
  <c r="AB184"/>
  <c r="AB188" i="65"/>
  <c r="AB237"/>
  <c r="AB156" i="69"/>
  <c r="AB105"/>
  <c r="AB281" i="65"/>
  <c r="AB184"/>
  <c r="AB237" i="74"/>
  <c r="AB188"/>
  <c r="AB381" i="68"/>
  <c r="AB103"/>
  <c r="AB383"/>
  <c r="AB223" i="73"/>
  <c r="AB172"/>
  <c r="AB271" i="74"/>
  <c r="AB134"/>
  <c r="AB156" i="72"/>
  <c r="AB105"/>
  <c r="AB281" i="71"/>
  <c r="AB184"/>
  <c r="AB230" i="74"/>
  <c r="AB279"/>
  <c r="AB178"/>
  <c r="AB113"/>
  <c r="AB279" i="70"/>
  <c r="AB230"/>
  <c r="AB178"/>
  <c r="AB113"/>
  <c r="AB274" i="71"/>
  <c r="AB222"/>
  <c r="AB171"/>
  <c r="AB108"/>
  <c r="AB185" i="72"/>
  <c r="AB116"/>
  <c r="AB283" i="73"/>
  <c r="AB186"/>
  <c r="AB223" i="71"/>
  <c r="AB172"/>
  <c r="AB271"/>
  <c r="AB134"/>
  <c r="AB156" i="68"/>
  <c r="AB105"/>
  <c r="AB283" i="72"/>
  <c r="AB186"/>
  <c r="AB272" i="65"/>
  <c r="AB161"/>
  <c r="AB271" i="69"/>
  <c r="AB134"/>
  <c r="AB185" i="65"/>
  <c r="AB116"/>
  <c r="AB156"/>
  <c r="AB105"/>
  <c r="AB136"/>
  <c r="AB111"/>
  <c r="AB273"/>
  <c r="AB168"/>
  <c r="AB107"/>
  <c r="AW286" i="77"/>
  <c r="AX286" s="1"/>
  <c r="HK290"/>
  <c r="O187" i="39"/>
  <c r="IM368" i="77"/>
  <c r="FI49"/>
  <c r="FJ49" s="1"/>
  <c r="GL286"/>
  <c r="GM286" s="1"/>
  <c r="P135" i="65"/>
  <c r="EB288" i="77"/>
  <c r="P288" i="70" s="1"/>
  <c r="P167" i="71"/>
  <c r="HK225" i="77"/>
  <c r="T289"/>
  <c r="T289" i="39" s="1"/>
  <c r="HJ220" i="77"/>
  <c r="BV290"/>
  <c r="FD286"/>
  <c r="IN288"/>
  <c r="P288" i="74" s="1"/>
  <c r="U187" i="39"/>
  <c r="HJ259" i="77"/>
  <c r="T140" i="39"/>
  <c r="P291" i="73"/>
  <c r="FE365" i="77"/>
  <c r="T290"/>
  <c r="U290" s="1"/>
  <c r="HJ26"/>
  <c r="O78"/>
  <c r="V78" s="1"/>
  <c r="T291" i="39"/>
  <c r="O187" i="72"/>
  <c r="FI286" i="77"/>
  <c r="FJ286" s="1"/>
  <c r="FD443"/>
  <c r="CY255"/>
  <c r="P135" i="74"/>
  <c r="AS385" i="77"/>
  <c r="P394" i="65" s="1"/>
  <c r="GG254" i="77"/>
  <c r="CY290"/>
  <c r="AS288"/>
  <c r="P288" i="65" s="1"/>
  <c r="AR286" i="77"/>
  <c r="AS365"/>
  <c r="AB361" i="68"/>
  <c r="AB378" i="69"/>
  <c r="T288" i="77"/>
  <c r="T385"/>
  <c r="IN385"/>
  <c r="P394" i="74" s="1"/>
  <c r="IN365" i="77"/>
  <c r="P291" i="68"/>
  <c r="HK289" i="77"/>
  <c r="P289" i="73" s="1"/>
  <c r="T254" i="77"/>
  <c r="U254" s="1"/>
  <c r="GH288"/>
  <c r="P288" i="72" s="1"/>
  <c r="HK385" i="77"/>
  <c r="P394" i="73" s="1"/>
  <c r="CY289" i="77"/>
  <c r="P289" i="69" s="1"/>
  <c r="P47" i="77"/>
  <c r="P47" i="39" s="1"/>
  <c r="T276" i="77"/>
  <c r="V276" s="1"/>
  <c r="EF286"/>
  <c r="EG286" s="1"/>
  <c r="T275"/>
  <c r="T275" i="39" s="1"/>
  <c r="T282" i="77"/>
  <c r="IR54"/>
  <c r="IT54" s="1"/>
  <c r="EF39"/>
  <c r="EG39" s="1"/>
  <c r="T225"/>
  <c r="V225" s="1"/>
  <c r="W140" i="39"/>
  <c r="T135"/>
  <c r="FE385" i="77"/>
  <c r="P394" i="71" s="1"/>
  <c r="T287" i="77"/>
  <c r="U287" s="1"/>
  <c r="GH365"/>
  <c r="P287" i="65"/>
  <c r="U211" i="39"/>
  <c r="T278" i="77"/>
  <c r="U278" s="1"/>
  <c r="O289"/>
  <c r="T382"/>
  <c r="T382" i="39" s="1"/>
  <c r="CY288" i="77"/>
  <c r="P288" i="69" s="1"/>
  <c r="AS275" i="77"/>
  <c r="P275" i="65" s="1"/>
  <c r="T229" i="77"/>
  <c r="U229" s="1"/>
  <c r="T292"/>
  <c r="T292" i="39" s="1"/>
  <c r="T267" i="77"/>
  <c r="T267" i="39" s="1"/>
  <c r="T296" i="77"/>
  <c r="T394"/>
  <c r="U394" s="1"/>
  <c r="T141" i="39"/>
  <c r="T190"/>
  <c r="P167" i="65"/>
  <c r="T203" i="77"/>
  <c r="T87"/>
  <c r="T87" i="39" s="1"/>
  <c r="T250" i="77"/>
  <c r="U250" s="1"/>
  <c r="AS292"/>
  <c r="P292" i="65" s="1"/>
  <c r="HO286" i="77"/>
  <c r="HP286" s="1"/>
  <c r="T139" i="39"/>
  <c r="T164"/>
  <c r="T386" i="77"/>
  <c r="T395" i="39" s="1"/>
  <c r="T379" i="77"/>
  <c r="T379" i="39" s="1"/>
  <c r="T207" i="77"/>
  <c r="U207" s="1"/>
  <c r="T293"/>
  <c r="T268"/>
  <c r="U268" s="1"/>
  <c r="T98"/>
  <c r="U98" s="1"/>
  <c r="T206"/>
  <c r="U206" s="1"/>
  <c r="T252"/>
  <c r="U252" s="1"/>
  <c r="T277"/>
  <c r="U277" s="1"/>
  <c r="FE289"/>
  <c r="P289" i="71" s="1"/>
  <c r="T290" i="39"/>
  <c r="T103"/>
  <c r="T189"/>
  <c r="T284" i="77"/>
  <c r="U284" s="1"/>
  <c r="T243"/>
  <c r="U243" s="1"/>
  <c r="T395"/>
  <c r="U395" s="1"/>
  <c r="T89"/>
  <c r="U89" s="1"/>
  <c r="T102" i="39"/>
  <c r="T165"/>
  <c r="T166"/>
  <c r="T176"/>
  <c r="T383" i="77"/>
  <c r="U383" s="1"/>
  <c r="T286"/>
  <c r="U286" s="1"/>
  <c r="T240"/>
  <c r="U240" s="1"/>
  <c r="T280"/>
  <c r="T280" i="39" s="1"/>
  <c r="IR286" i="77"/>
  <c r="IS286" s="1"/>
  <c r="T262"/>
  <c r="T262" i="39" s="1"/>
  <c r="T362" i="77"/>
  <c r="U362" s="1"/>
  <c r="IN225"/>
  <c r="IM225"/>
  <c r="P187" i="73"/>
  <c r="O187"/>
  <c r="EA225" i="77"/>
  <c r="EB225"/>
  <c r="GG289"/>
  <c r="O289" i="72" s="1"/>
  <c r="GH289" i="77"/>
  <c r="P289" i="72" s="1"/>
  <c r="EA289" i="77"/>
  <c r="O289" i="70" s="1"/>
  <c r="EB289" i="77"/>
  <c r="P289" i="70" s="1"/>
  <c r="O278" i="77"/>
  <c r="P278"/>
  <c r="FD278"/>
  <c r="FE278"/>
  <c r="AR278"/>
  <c r="AS278"/>
  <c r="EA278"/>
  <c r="EB278"/>
  <c r="HJ278"/>
  <c r="HK278"/>
  <c r="IM278"/>
  <c r="IN278"/>
  <c r="AR225"/>
  <c r="AS225"/>
  <c r="O187" i="70"/>
  <c r="P187"/>
  <c r="O187" i="68"/>
  <c r="P187"/>
  <c r="V187" i="39"/>
  <c r="T259" i="77"/>
  <c r="U259" s="1"/>
  <c r="O259"/>
  <c r="P259"/>
  <c r="EA259"/>
  <c r="EB259"/>
  <c r="GH259"/>
  <c r="GG259"/>
  <c r="BV259"/>
  <c r="BU259"/>
  <c r="FD259"/>
  <c r="FE259"/>
  <c r="O393"/>
  <c r="O393" i="39" s="1"/>
  <c r="P393" i="77"/>
  <c r="P393" i="39" s="1"/>
  <c r="T393" i="77"/>
  <c r="HJ393"/>
  <c r="O393" i="73" s="1"/>
  <c r="HK393" i="77"/>
  <c r="P393" i="73" s="1"/>
  <c r="GH393" i="77"/>
  <c r="P393" i="72" s="1"/>
  <c r="GG393" i="77"/>
  <c r="O393" i="72" s="1"/>
  <c r="AR393" i="77"/>
  <c r="O393" i="65" s="1"/>
  <c r="AS393" i="77"/>
  <c r="P393" i="65" s="1"/>
  <c r="IM393" i="77"/>
  <c r="O393" i="74" s="1"/>
  <c r="IN393" i="77"/>
  <c r="P393" i="74" s="1"/>
  <c r="CX393" i="77"/>
  <c r="O393" i="69" s="1"/>
  <c r="CY393" i="77"/>
  <c r="P393" i="69" s="1"/>
  <c r="O293" i="77"/>
  <c r="O293" i="39" s="1"/>
  <c r="P293" i="77"/>
  <c r="P293" i="39" s="1"/>
  <c r="HJ293" i="77"/>
  <c r="O293" i="73" s="1"/>
  <c r="HK293" i="77"/>
  <c r="P293" i="73" s="1"/>
  <c r="CX293" i="77"/>
  <c r="O293" i="69" s="1"/>
  <c r="CY293" i="77"/>
  <c r="P293" i="69" s="1"/>
  <c r="AR293" i="77"/>
  <c r="O293" i="65" s="1"/>
  <c r="AS293" i="77"/>
  <c r="P293" i="65" s="1"/>
  <c r="IM293" i="77"/>
  <c r="O293" i="74" s="1"/>
  <c r="IN293" i="77"/>
  <c r="P293" i="74" s="1"/>
  <c r="O292" i="77"/>
  <c r="P292"/>
  <c r="GH292"/>
  <c r="P292" i="72" s="1"/>
  <c r="GG292" i="77"/>
  <c r="O292" i="72" s="1"/>
  <c r="HJ292" i="77"/>
  <c r="O292" i="73" s="1"/>
  <c r="HK292" i="77"/>
  <c r="P292" i="73" s="1"/>
  <c r="CX292" i="77"/>
  <c r="O292" i="69" s="1"/>
  <c r="CY292" i="77"/>
  <c r="P292" i="69" s="1"/>
  <c r="IM292" i="77"/>
  <c r="O292" i="74" s="1"/>
  <c r="IN292" i="77"/>
  <c r="P292" i="74" s="1"/>
  <c r="HJ287" i="77"/>
  <c r="HK287"/>
  <c r="AR287"/>
  <c r="AS287"/>
  <c r="IM287"/>
  <c r="IN287"/>
  <c r="CX287"/>
  <c r="CY287"/>
  <c r="GH287"/>
  <c r="GG287"/>
  <c r="O287"/>
  <c r="P287"/>
  <c r="IM254"/>
  <c r="IN254"/>
  <c r="O254"/>
  <c r="P254"/>
  <c r="AR254"/>
  <c r="AS254"/>
  <c r="HJ254"/>
  <c r="HK254"/>
  <c r="CX254"/>
  <c r="CY254"/>
  <c r="O229"/>
  <c r="P229"/>
  <c r="HJ229"/>
  <c r="HK229"/>
  <c r="CX229"/>
  <c r="CY229"/>
  <c r="GH229"/>
  <c r="GG229"/>
  <c r="IM229"/>
  <c r="IN229"/>
  <c r="P287" i="39"/>
  <c r="P287" i="72"/>
  <c r="O287"/>
  <c r="O287" i="73"/>
  <c r="P287"/>
  <c r="O287" i="69"/>
  <c r="P287"/>
  <c r="O287" i="74"/>
  <c r="P287"/>
  <c r="IM282" i="77"/>
  <c r="O282" i="74" s="1"/>
  <c r="IN282" i="77"/>
  <c r="P282" i="74" s="1"/>
  <c r="O282" i="77"/>
  <c r="P282"/>
  <c r="P282" i="39" s="1"/>
  <c r="AR282" i="77"/>
  <c r="O282" i="65" s="1"/>
  <c r="AS282" i="77"/>
  <c r="P282" i="65" s="1"/>
  <c r="HJ282" i="77"/>
  <c r="O282" i="73" s="1"/>
  <c r="HK282" i="77"/>
  <c r="P282" i="73" s="1"/>
  <c r="GH282" i="77"/>
  <c r="P282" i="72" s="1"/>
  <c r="GG282" i="77"/>
  <c r="O282" i="72" s="1"/>
  <c r="O275" i="77"/>
  <c r="O275" i="39" s="1"/>
  <c r="P275" i="77"/>
  <c r="P275" i="39" s="1"/>
  <c r="GH275" i="77"/>
  <c r="P275" i="72" s="1"/>
  <c r="GG275" i="77"/>
  <c r="O275" i="72" s="1"/>
  <c r="BV275" i="77"/>
  <c r="P275" i="68" s="1"/>
  <c r="BU275" i="77"/>
  <c r="O275" i="68" s="1"/>
  <c r="HJ275" i="77"/>
  <c r="O275" i="73" s="1"/>
  <c r="HK275" i="77"/>
  <c r="P275" i="73" s="1"/>
  <c r="IM275" i="77"/>
  <c r="O275" i="74" s="1"/>
  <c r="IN275" i="77"/>
  <c r="P275" i="74" s="1"/>
  <c r="BV267" i="77"/>
  <c r="P267" i="68" s="1"/>
  <c r="BU267" i="77"/>
  <c r="O267" i="68" s="1"/>
  <c r="O267" i="77"/>
  <c r="O267" i="39" s="1"/>
  <c r="P267" i="77"/>
  <c r="P267" i="39" s="1"/>
  <c r="HJ267" i="77"/>
  <c r="O267" i="73" s="1"/>
  <c r="HK267" i="77"/>
  <c r="P267" i="73" s="1"/>
  <c r="AR267" i="77"/>
  <c r="O267" i="65" s="1"/>
  <c r="AS267" i="77"/>
  <c r="P267" i="65" s="1"/>
  <c r="IM267" i="77"/>
  <c r="O267" i="74" s="1"/>
  <c r="IN267" i="77"/>
  <c r="P267" i="74" s="1"/>
  <c r="GH267" i="77"/>
  <c r="P267" i="72" s="1"/>
  <c r="GG267" i="77"/>
  <c r="O267" i="72" s="1"/>
  <c r="O140" i="73"/>
  <c r="P140"/>
  <c r="O140" i="72"/>
  <c r="P140"/>
  <c r="O140" i="68"/>
  <c r="P140"/>
  <c r="O140" i="65"/>
  <c r="P140"/>
  <c r="U140" i="39"/>
  <c r="P167"/>
  <c r="P167" i="72"/>
  <c r="O167"/>
  <c r="O167" i="73"/>
  <c r="P167"/>
  <c r="O167" i="69"/>
  <c r="P167"/>
  <c r="HJ395" i="77"/>
  <c r="HK395"/>
  <c r="FD395"/>
  <c r="FE395"/>
  <c r="O395"/>
  <c r="P395"/>
  <c r="IM395"/>
  <c r="IN395"/>
  <c r="GG395"/>
  <c r="GH395"/>
  <c r="EA395"/>
  <c r="EB395"/>
  <c r="GG354"/>
  <c r="O354" i="72" s="1"/>
  <c r="GH354" i="77"/>
  <c r="P354" i="72" s="1"/>
  <c r="EA354" i="77"/>
  <c r="O354" i="70" s="1"/>
  <c r="EB354" i="77"/>
  <c r="P354" i="70" s="1"/>
  <c r="T354" i="77"/>
  <c r="HJ354"/>
  <c r="O354" i="73" s="1"/>
  <c r="HK354" i="77"/>
  <c r="P354" i="73" s="1"/>
  <c r="CX354" i="77"/>
  <c r="O354" i="69" s="1"/>
  <c r="CY354" i="77"/>
  <c r="P354" i="69" s="1"/>
  <c r="AR354" i="77"/>
  <c r="O354" i="65" s="1"/>
  <c r="AS354" i="77"/>
  <c r="P354" i="65" s="1"/>
  <c r="O354" i="77"/>
  <c r="O354" i="39" s="1"/>
  <c r="P354" i="77"/>
  <c r="P354" i="39" s="1"/>
  <c r="O288" i="77"/>
  <c r="O288" i="39" s="1"/>
  <c r="P288" i="77"/>
  <c r="P288" i="39" s="1"/>
  <c r="O266" i="77"/>
  <c r="P266"/>
  <c r="GG266"/>
  <c r="GH266"/>
  <c r="EA266"/>
  <c r="EB266"/>
  <c r="T266"/>
  <c r="U266" s="1"/>
  <c r="HJ266"/>
  <c r="HK266"/>
  <c r="FD266"/>
  <c r="FE266"/>
  <c r="AR266"/>
  <c r="AS266"/>
  <c r="IM223"/>
  <c r="IN223"/>
  <c r="T223"/>
  <c r="U223" s="1"/>
  <c r="HJ223"/>
  <c r="HK223"/>
  <c r="FD223"/>
  <c r="FE223"/>
  <c r="CX223"/>
  <c r="CY223"/>
  <c r="AR223"/>
  <c r="AS223"/>
  <c r="O223"/>
  <c r="P223"/>
  <c r="FD386"/>
  <c r="O395" i="71" s="1"/>
  <c r="FE386" i="77"/>
  <c r="P395" i="71" s="1"/>
  <c r="CX386" i="77"/>
  <c r="O395" i="69" s="1"/>
  <c r="CY386" i="77"/>
  <c r="P395" i="69" s="1"/>
  <c r="O386" i="77"/>
  <c r="P386"/>
  <c r="IM386"/>
  <c r="O395" i="74" s="1"/>
  <c r="IN386" i="77"/>
  <c r="P395" i="74" s="1"/>
  <c r="GG386" i="77"/>
  <c r="O395" i="72" s="1"/>
  <c r="GH386" i="77"/>
  <c r="P395" i="72" s="1"/>
  <c r="BU386" i="77"/>
  <c r="O395" i="68" s="1"/>
  <c r="BV386" i="77"/>
  <c r="P395" i="68" s="1"/>
  <c r="IM376" i="77"/>
  <c r="IN376"/>
  <c r="GG376"/>
  <c r="GH376"/>
  <c r="BU376"/>
  <c r="BV376"/>
  <c r="T376"/>
  <c r="U376" s="1"/>
  <c r="FD376"/>
  <c r="FE376"/>
  <c r="CX376"/>
  <c r="CY376"/>
  <c r="O376"/>
  <c r="P376"/>
  <c r="FD362"/>
  <c r="FE362"/>
  <c r="CX362"/>
  <c r="CY362"/>
  <c r="O362"/>
  <c r="P362"/>
  <c r="IM362"/>
  <c r="IN362"/>
  <c r="GG362"/>
  <c r="GH362"/>
  <c r="BU362"/>
  <c r="BV362"/>
  <c r="FD262"/>
  <c r="O262" i="71" s="1"/>
  <c r="FE262" i="77"/>
  <c r="P262" i="71" s="1"/>
  <c r="CX262" i="77"/>
  <c r="O262" i="69" s="1"/>
  <c r="CY262" i="77"/>
  <c r="P262" i="69" s="1"/>
  <c r="O262" i="77"/>
  <c r="P262"/>
  <c r="IM262"/>
  <c r="O262" i="74" s="1"/>
  <c r="IN262" i="77"/>
  <c r="P262" i="74" s="1"/>
  <c r="GG262" i="77"/>
  <c r="O262" i="72" s="1"/>
  <c r="GH262" i="77"/>
  <c r="P262" i="72" s="1"/>
  <c r="BU262" i="77"/>
  <c r="O262" i="68" s="1"/>
  <c r="BV262" i="77"/>
  <c r="P262" i="68" s="1"/>
  <c r="FD250" i="77"/>
  <c r="FE250"/>
  <c r="CX250"/>
  <c r="CY250"/>
  <c r="O250"/>
  <c r="P250"/>
  <c r="IM250"/>
  <c r="IN250"/>
  <c r="GG250"/>
  <c r="GH250"/>
  <c r="BU250"/>
  <c r="BV250"/>
  <c r="FD207"/>
  <c r="FE207"/>
  <c r="CX207"/>
  <c r="CY207"/>
  <c r="O207"/>
  <c r="P207"/>
  <c r="IM207"/>
  <c r="IN207"/>
  <c r="GG207"/>
  <c r="GH207"/>
  <c r="BU207"/>
  <c r="BV207"/>
  <c r="O164" i="71"/>
  <c r="P164"/>
  <c r="O164" i="69"/>
  <c r="P164"/>
  <c r="O164" i="74"/>
  <c r="P164"/>
  <c r="O164" i="72"/>
  <c r="P164"/>
  <c r="O164" i="68"/>
  <c r="P164"/>
  <c r="O164" i="39"/>
  <c r="U164"/>
  <c r="FD382" i="77"/>
  <c r="O382" i="71" s="1"/>
  <c r="FE382" i="77"/>
  <c r="P382" i="71" s="1"/>
  <c r="O382" i="77"/>
  <c r="P382"/>
  <c r="IM382"/>
  <c r="O382" i="74" s="1"/>
  <c r="IN382" i="77"/>
  <c r="P382" i="74" s="1"/>
  <c r="GG382" i="77"/>
  <c r="O382" i="72" s="1"/>
  <c r="GH382" i="77"/>
  <c r="P382" i="72" s="1"/>
  <c r="EA382" i="77"/>
  <c r="O382" i="70" s="1"/>
  <c r="EB382" i="77"/>
  <c r="P382" i="70" s="1"/>
  <c r="BU382" i="77"/>
  <c r="O382" i="68" s="1"/>
  <c r="BV382" i="77"/>
  <c r="P382" i="68" s="1"/>
  <c r="FD379" i="77"/>
  <c r="O379" i="71" s="1"/>
  <c r="FE379" i="77"/>
  <c r="P379" i="71" s="1"/>
  <c r="O379" i="77"/>
  <c r="P379"/>
  <c r="IM379"/>
  <c r="O379" i="74" s="1"/>
  <c r="IN379" i="77"/>
  <c r="P379" i="74" s="1"/>
  <c r="GG379" i="77"/>
  <c r="O379" i="72" s="1"/>
  <c r="GH379" i="77"/>
  <c r="P379" i="72" s="1"/>
  <c r="EA379" i="77"/>
  <c r="O379" i="70" s="1"/>
  <c r="EB379" i="77"/>
  <c r="P379" i="70" s="1"/>
  <c r="BU379" i="77"/>
  <c r="O379" i="68" s="1"/>
  <c r="BV379" i="77"/>
  <c r="P379" i="68" s="1"/>
  <c r="FD277" i="77"/>
  <c r="FE277"/>
  <c r="O277"/>
  <c r="P277"/>
  <c r="IM277"/>
  <c r="IN277"/>
  <c r="GG277"/>
  <c r="GH277"/>
  <c r="EA277"/>
  <c r="EB277"/>
  <c r="BU277"/>
  <c r="BV277"/>
  <c r="O146" i="39"/>
  <c r="O141" i="71"/>
  <c r="P141"/>
  <c r="P191" i="39"/>
  <c r="U141"/>
  <c r="O141" i="74"/>
  <c r="P141"/>
  <c r="O141" i="72"/>
  <c r="P141"/>
  <c r="O141" i="70"/>
  <c r="P141"/>
  <c r="O141" i="68"/>
  <c r="P141"/>
  <c r="IM394" i="77"/>
  <c r="IN394"/>
  <c r="BU394"/>
  <c r="BV394"/>
  <c r="HJ394"/>
  <c r="HK394"/>
  <c r="FD394"/>
  <c r="FE394"/>
  <c r="AR394"/>
  <c r="AS394"/>
  <c r="O394"/>
  <c r="P394"/>
  <c r="O385"/>
  <c r="P385"/>
  <c r="IM280"/>
  <c r="O280" i="74" s="1"/>
  <c r="IN280" i="77"/>
  <c r="P280" i="74" s="1"/>
  <c r="BU280" i="77"/>
  <c r="O280" i="68" s="1"/>
  <c r="BV280" i="77"/>
  <c r="P280" i="68" s="1"/>
  <c r="HJ280" i="77"/>
  <c r="O280" i="73" s="1"/>
  <c r="HK280" i="77"/>
  <c r="P280" i="73" s="1"/>
  <c r="FD280" i="77"/>
  <c r="O280" i="71" s="1"/>
  <c r="FE280" i="77"/>
  <c r="P280" i="71" s="1"/>
  <c r="AR280" i="77"/>
  <c r="O280" i="65" s="1"/>
  <c r="AS280" i="77"/>
  <c r="P280" i="65" s="1"/>
  <c r="O280" i="77"/>
  <c r="P280"/>
  <c r="U280"/>
  <c r="U280" i="39" s="1"/>
  <c r="U291"/>
  <c r="IM284" i="77"/>
  <c r="IN284"/>
  <c r="GG284"/>
  <c r="GH284"/>
  <c r="BU284"/>
  <c r="BV284"/>
  <c r="O284"/>
  <c r="P284"/>
  <c r="HJ284"/>
  <c r="HK284"/>
  <c r="FD284"/>
  <c r="FE284"/>
  <c r="IM252"/>
  <c r="IN252"/>
  <c r="GG252"/>
  <c r="GH252"/>
  <c r="BU252"/>
  <c r="BV252"/>
  <c r="O252"/>
  <c r="P252"/>
  <c r="HJ252"/>
  <c r="HK252"/>
  <c r="FD252"/>
  <c r="FE252"/>
  <c r="IM206"/>
  <c r="IN206"/>
  <c r="GG206"/>
  <c r="GH206"/>
  <c r="BU206"/>
  <c r="BV206"/>
  <c r="O206"/>
  <c r="P206"/>
  <c r="HJ206"/>
  <c r="HK206"/>
  <c r="FD206"/>
  <c r="FE206"/>
  <c r="O189" i="74"/>
  <c r="P189"/>
  <c r="O189" i="72"/>
  <c r="P189"/>
  <c r="O189" i="68"/>
  <c r="P189"/>
  <c r="U189" i="39"/>
  <c r="O189" i="73"/>
  <c r="P189"/>
  <c r="O189" i="71"/>
  <c r="P189"/>
  <c r="IM240" i="77"/>
  <c r="IN240"/>
  <c r="GG240"/>
  <c r="GH240"/>
  <c r="BU240"/>
  <c r="BV240"/>
  <c r="FD240"/>
  <c r="FE240"/>
  <c r="AR240"/>
  <c r="AS240"/>
  <c r="O240"/>
  <c r="P240"/>
  <c r="O190" i="74"/>
  <c r="P190"/>
  <c r="O190" i="72"/>
  <c r="P190"/>
  <c r="O190" i="68"/>
  <c r="P190"/>
  <c r="O190" i="71"/>
  <c r="P190"/>
  <c r="O190" i="65"/>
  <c r="P190"/>
  <c r="O190" i="39"/>
  <c r="P190"/>
  <c r="U190"/>
  <c r="O139" i="74"/>
  <c r="P139"/>
  <c r="O139" i="72"/>
  <c r="P139"/>
  <c r="O139" i="68"/>
  <c r="P139"/>
  <c r="O139" i="71"/>
  <c r="P139"/>
  <c r="O139" i="65"/>
  <c r="P139"/>
  <c r="O139" i="39"/>
  <c r="U139"/>
  <c r="O109" i="74"/>
  <c r="P109"/>
  <c r="O109" i="72"/>
  <c r="P109"/>
  <c r="O109" i="68"/>
  <c r="P109"/>
  <c r="O109" i="71"/>
  <c r="P109"/>
  <c r="O109" i="65"/>
  <c r="P109"/>
  <c r="O109" i="39"/>
  <c r="P109"/>
  <c r="O286" i="77"/>
  <c r="P286"/>
  <c r="GG286"/>
  <c r="GH286"/>
  <c r="HJ286"/>
  <c r="HK286"/>
  <c r="IM286"/>
  <c r="IN286"/>
  <c r="EA286"/>
  <c r="EB286"/>
  <c r="IM383"/>
  <c r="IN383"/>
  <c r="GG383"/>
  <c r="GH383"/>
  <c r="EA383"/>
  <c r="EB383"/>
  <c r="O383"/>
  <c r="P383"/>
  <c r="FD383"/>
  <c r="FE383"/>
  <c r="CX383"/>
  <c r="CY383"/>
  <c r="IM364"/>
  <c r="O383" i="74" s="1"/>
  <c r="IN364" i="77"/>
  <c r="P383" i="74" s="1"/>
  <c r="GG364" i="77"/>
  <c r="O383" i="72" s="1"/>
  <c r="GH364" i="77"/>
  <c r="P383" i="72" s="1"/>
  <c r="EA364" i="77"/>
  <c r="O383" i="70" s="1"/>
  <c r="EB364" i="77"/>
  <c r="P383" i="70" s="1"/>
  <c r="O364" i="77"/>
  <c r="O383" i="39" s="1"/>
  <c r="P364" i="77"/>
  <c r="P383" i="39" s="1"/>
  <c r="T364" i="77"/>
  <c r="FD364"/>
  <c r="O383" i="71" s="1"/>
  <c r="FE364" i="77"/>
  <c r="P383" i="71" s="1"/>
  <c r="CX364" i="77"/>
  <c r="O383" i="69" s="1"/>
  <c r="CY364" i="77"/>
  <c r="P383" i="69" s="1"/>
  <c r="O120" i="39"/>
  <c r="O103" i="74"/>
  <c r="P103"/>
  <c r="O103" i="72"/>
  <c r="P103"/>
  <c r="O103" i="70"/>
  <c r="P103"/>
  <c r="U103" i="39"/>
  <c r="O103" i="71"/>
  <c r="P103"/>
  <c r="O103" i="69"/>
  <c r="P103"/>
  <c r="O290" i="77"/>
  <c r="P290"/>
  <c r="IM203"/>
  <c r="IN203"/>
  <c r="BU203"/>
  <c r="BV203"/>
  <c r="O203"/>
  <c r="P203"/>
  <c r="U203"/>
  <c r="HJ203"/>
  <c r="HK203"/>
  <c r="FD203"/>
  <c r="FE203"/>
  <c r="CX203"/>
  <c r="CY203"/>
  <c r="U155" i="39"/>
  <c r="O155" i="73"/>
  <c r="P155"/>
  <c r="O155" i="71"/>
  <c r="P155"/>
  <c r="O155" i="69"/>
  <c r="P155"/>
  <c r="W155" i="39"/>
  <c r="O155" i="74"/>
  <c r="P155"/>
  <c r="O155" i="68"/>
  <c r="P155"/>
  <c r="O290" i="74"/>
  <c r="P290"/>
  <c r="O290" i="68"/>
  <c r="P290"/>
  <c r="O290" i="73"/>
  <c r="P290"/>
  <c r="O290" i="71"/>
  <c r="P290"/>
  <c r="O290" i="69"/>
  <c r="P290"/>
  <c r="O391" i="74"/>
  <c r="P391"/>
  <c r="O391" i="72"/>
  <c r="P391"/>
  <c r="O391" i="70"/>
  <c r="P391"/>
  <c r="O391" i="73"/>
  <c r="P391"/>
  <c r="O391" i="65"/>
  <c r="P391"/>
  <c r="O391" i="39"/>
  <c r="P391"/>
  <c r="IM295" i="77"/>
  <c r="IN295"/>
  <c r="GG295"/>
  <c r="GH295"/>
  <c r="EA295"/>
  <c r="EB295"/>
  <c r="T295"/>
  <c r="U295" s="1"/>
  <c r="HJ295"/>
  <c r="HK295"/>
  <c r="AR295"/>
  <c r="AS295"/>
  <c r="O295"/>
  <c r="P295"/>
  <c r="HJ276"/>
  <c r="HK276"/>
  <c r="AR276"/>
  <c r="AS276"/>
  <c r="IM276"/>
  <c r="IN276"/>
  <c r="GG276"/>
  <c r="GH276"/>
  <c r="EA276"/>
  <c r="EB276"/>
  <c r="IM272"/>
  <c r="IN272"/>
  <c r="GG272"/>
  <c r="GH272"/>
  <c r="EA272"/>
  <c r="EB272"/>
  <c r="T272"/>
  <c r="U272" s="1"/>
  <c r="HJ272"/>
  <c r="HK272"/>
  <c r="AR272"/>
  <c r="AS272"/>
  <c r="O272"/>
  <c r="P272"/>
  <c r="IM265"/>
  <c r="O265" i="74" s="1"/>
  <c r="IN265" i="77"/>
  <c r="P265" i="74" s="1"/>
  <c r="GG265" i="77"/>
  <c r="O265" i="72" s="1"/>
  <c r="GH265" i="77"/>
  <c r="P265" i="72" s="1"/>
  <c r="EA265" i="77"/>
  <c r="O265" i="70" s="1"/>
  <c r="EB265" i="77"/>
  <c r="P265" i="70" s="1"/>
  <c r="T265" i="77"/>
  <c r="HJ265"/>
  <c r="O265" i="73" s="1"/>
  <c r="HK265" i="77"/>
  <c r="P265" i="73" s="1"/>
  <c r="AR265" i="77"/>
  <c r="O265" i="65" s="1"/>
  <c r="AS265" i="77"/>
  <c r="P265" i="65" s="1"/>
  <c r="O265" i="77"/>
  <c r="O265" i="39" s="1"/>
  <c r="P265" i="77"/>
  <c r="P265" i="39" s="1"/>
  <c r="IM209" i="77"/>
  <c r="O295" i="74" s="1"/>
  <c r="IN209" i="77"/>
  <c r="P295" i="74" s="1"/>
  <c r="GG209" i="77"/>
  <c r="O295" i="72" s="1"/>
  <c r="GH209" i="77"/>
  <c r="P295" i="72" s="1"/>
  <c r="EA209" i="77"/>
  <c r="O295" i="70" s="1"/>
  <c r="EB209" i="77"/>
  <c r="P295" i="70" s="1"/>
  <c r="T209" i="77"/>
  <c r="HJ209"/>
  <c r="O295" i="73" s="1"/>
  <c r="HK209" i="77"/>
  <c r="P295" i="73" s="1"/>
  <c r="AR209" i="77"/>
  <c r="O295" i="65" s="1"/>
  <c r="AS209" i="77"/>
  <c r="P295" i="65" s="1"/>
  <c r="O209" i="77"/>
  <c r="O295" i="39" s="1"/>
  <c r="P209" i="77"/>
  <c r="P295" i="39" s="1"/>
  <c r="IM202" i="77"/>
  <c r="IN202"/>
  <c r="GG202"/>
  <c r="GH202"/>
  <c r="EA202"/>
  <c r="EB202"/>
  <c r="T202"/>
  <c r="U202" s="1"/>
  <c r="HJ202"/>
  <c r="HK202"/>
  <c r="AR202"/>
  <c r="AS202"/>
  <c r="O202"/>
  <c r="P202"/>
  <c r="O154" i="74"/>
  <c r="P154"/>
  <c r="O154" i="72"/>
  <c r="P154"/>
  <c r="O154" i="70"/>
  <c r="P154"/>
  <c r="O154" i="73"/>
  <c r="P154"/>
  <c r="O154" i="65"/>
  <c r="P154"/>
  <c r="P154" i="39"/>
  <c r="O365" i="77"/>
  <c r="P365"/>
  <c r="IM294"/>
  <c r="O294" i="74" s="1"/>
  <c r="IN294" i="77"/>
  <c r="P294" i="74" s="1"/>
  <c r="GG294" i="77"/>
  <c r="O294" i="72" s="1"/>
  <c r="GH294" i="77"/>
  <c r="P294" i="72" s="1"/>
  <c r="T294" i="77"/>
  <c r="HJ294"/>
  <c r="O294" i="73" s="1"/>
  <c r="HK294" i="77"/>
  <c r="P294" i="73" s="1"/>
  <c r="FD294" i="77"/>
  <c r="O294" i="71" s="1"/>
  <c r="FE294" i="77"/>
  <c r="P294" i="71" s="1"/>
  <c r="AR294" i="77"/>
  <c r="O294" i="65" s="1"/>
  <c r="AS294" i="77"/>
  <c r="P294" i="65" s="1"/>
  <c r="O294" i="77"/>
  <c r="O294" i="39" s="1"/>
  <c r="P294" i="77"/>
  <c r="P294" i="39" s="1"/>
  <c r="IM285" i="77"/>
  <c r="IN285"/>
  <c r="GG285"/>
  <c r="GH285"/>
  <c r="T285"/>
  <c r="U285" s="1"/>
  <c r="HJ285"/>
  <c r="HK285"/>
  <c r="FD285"/>
  <c r="FE285"/>
  <c r="AR285"/>
  <c r="AS285"/>
  <c r="O285"/>
  <c r="P285"/>
  <c r="IM279"/>
  <c r="IN279"/>
  <c r="GG279"/>
  <c r="GH279"/>
  <c r="T279"/>
  <c r="U279" s="1"/>
  <c r="HJ279"/>
  <c r="HK279"/>
  <c r="FD279"/>
  <c r="FE279"/>
  <c r="AR279"/>
  <c r="AS279"/>
  <c r="O279"/>
  <c r="P279"/>
  <c r="IM274"/>
  <c r="IN274"/>
  <c r="GG274"/>
  <c r="GH274"/>
  <c r="T274"/>
  <c r="U274" s="1"/>
  <c r="HJ274"/>
  <c r="HK274"/>
  <c r="FD274"/>
  <c r="FE274"/>
  <c r="AR274"/>
  <c r="AS274"/>
  <c r="O274"/>
  <c r="P274"/>
  <c r="IM273"/>
  <c r="IN273"/>
  <c r="GG273"/>
  <c r="GH273"/>
  <c r="T273"/>
  <c r="U273" s="1"/>
  <c r="HJ273"/>
  <c r="HK273"/>
  <c r="FD273"/>
  <c r="FE273"/>
  <c r="AR273"/>
  <c r="AS273"/>
  <c r="O273"/>
  <c r="P273"/>
  <c r="IM270"/>
  <c r="IN270"/>
  <c r="GG270"/>
  <c r="GH270"/>
  <c r="T270"/>
  <c r="U270" s="1"/>
  <c r="HJ270"/>
  <c r="HK270"/>
  <c r="FD270"/>
  <c r="FE270"/>
  <c r="AR270"/>
  <c r="AS270"/>
  <c r="O270"/>
  <c r="P270"/>
  <c r="T269"/>
  <c r="U269" s="1"/>
  <c r="HJ269"/>
  <c r="HK269"/>
  <c r="FD269"/>
  <c r="FE269"/>
  <c r="AR269"/>
  <c r="AS269"/>
  <c r="O269"/>
  <c r="P269"/>
  <c r="IM269"/>
  <c r="IN269"/>
  <c r="GG269"/>
  <c r="GH269"/>
  <c r="IM268"/>
  <c r="IN268"/>
  <c r="GG268"/>
  <c r="GH268"/>
  <c r="HJ268"/>
  <c r="HK268"/>
  <c r="FD268"/>
  <c r="FE268"/>
  <c r="AR268"/>
  <c r="AS268"/>
  <c r="O268"/>
  <c r="P268"/>
  <c r="IM264"/>
  <c r="O264" i="74" s="1"/>
  <c r="IN264" i="77"/>
  <c r="P264" i="74" s="1"/>
  <c r="GG264" i="77"/>
  <c r="O264" i="72" s="1"/>
  <c r="GH264" i="77"/>
  <c r="P264" i="72" s="1"/>
  <c r="T264" i="77"/>
  <c r="HJ264"/>
  <c r="O264" i="73" s="1"/>
  <c r="HK264" i="77"/>
  <c r="P264" i="73" s="1"/>
  <c r="FD264" i="77"/>
  <c r="O264" i="71" s="1"/>
  <c r="FE264" i="77"/>
  <c r="P264" i="71" s="1"/>
  <c r="AR264" i="77"/>
  <c r="O264" i="65" s="1"/>
  <c r="AS264" i="77"/>
  <c r="P264" i="65" s="1"/>
  <c r="O264" i="77"/>
  <c r="O264" i="39" s="1"/>
  <c r="P264" i="77"/>
  <c r="P264" i="39" s="1"/>
  <c r="IM263" i="77"/>
  <c r="O263" i="74" s="1"/>
  <c r="IN263" i="77"/>
  <c r="P263" i="74" s="1"/>
  <c r="GG263" i="77"/>
  <c r="O263" i="72" s="1"/>
  <c r="GH263" i="77"/>
  <c r="P263" i="72" s="1"/>
  <c r="T263" i="77"/>
  <c r="HJ263"/>
  <c r="O263" i="73" s="1"/>
  <c r="HK263" i="77"/>
  <c r="P263" i="73" s="1"/>
  <c r="FD263" i="77"/>
  <c r="O263" i="71" s="1"/>
  <c r="FE263" i="77"/>
  <c r="P263" i="71" s="1"/>
  <c r="AR263" i="77"/>
  <c r="O263" i="65" s="1"/>
  <c r="AS263" i="77"/>
  <c r="P263" i="65" s="1"/>
  <c r="O263" i="77"/>
  <c r="O263" i="39" s="1"/>
  <c r="P263" i="77"/>
  <c r="P263" i="39" s="1"/>
  <c r="IM230" i="77"/>
  <c r="IN230"/>
  <c r="GG230"/>
  <c r="GH230"/>
  <c r="T230"/>
  <c r="U230" s="1"/>
  <c r="HJ230"/>
  <c r="HK230"/>
  <c r="FD230"/>
  <c r="FE230"/>
  <c r="AR230"/>
  <c r="AS230"/>
  <c r="O230"/>
  <c r="P230"/>
  <c r="IM222"/>
  <c r="IN222"/>
  <c r="GG222"/>
  <c r="GH222"/>
  <c r="T222"/>
  <c r="U222" s="1"/>
  <c r="HJ222"/>
  <c r="HK222"/>
  <c r="FD222"/>
  <c r="FE222"/>
  <c r="AR222"/>
  <c r="AS222"/>
  <c r="O222"/>
  <c r="P222"/>
  <c r="O270" i="74"/>
  <c r="P270"/>
  <c r="O270" i="72"/>
  <c r="P270"/>
  <c r="O270" i="73"/>
  <c r="P270"/>
  <c r="O270" i="71"/>
  <c r="P270"/>
  <c r="O270" i="65"/>
  <c r="P270"/>
  <c r="O270" i="39"/>
  <c r="P270"/>
  <c r="O285" i="73"/>
  <c r="P285"/>
  <c r="O285" i="71"/>
  <c r="P285"/>
  <c r="O285" i="65"/>
  <c r="P285"/>
  <c r="W285" i="39"/>
  <c r="O285" i="74"/>
  <c r="P285"/>
  <c r="O285" i="72"/>
  <c r="P285"/>
  <c r="U285" i="39"/>
  <c r="IM94" i="77"/>
  <c r="IN94"/>
  <c r="GG94"/>
  <c r="GH94"/>
  <c r="T94"/>
  <c r="U94" s="1"/>
  <c r="HJ94"/>
  <c r="HK94"/>
  <c r="FD94"/>
  <c r="FE94"/>
  <c r="AR94"/>
  <c r="AS94"/>
  <c r="O94"/>
  <c r="P94"/>
  <c r="HJ243"/>
  <c r="HK243"/>
  <c r="FD243"/>
  <c r="FE243"/>
  <c r="CX243"/>
  <c r="CY243"/>
  <c r="O243"/>
  <c r="P243"/>
  <c r="IM243"/>
  <c r="IN243"/>
  <c r="GG243"/>
  <c r="GH243"/>
  <c r="T208"/>
  <c r="U208" s="1"/>
  <c r="HJ208"/>
  <c r="HK208"/>
  <c r="FD208"/>
  <c r="FE208"/>
  <c r="CX208"/>
  <c r="CY208"/>
  <c r="O208"/>
  <c r="P208"/>
  <c r="IM208"/>
  <c r="IN208"/>
  <c r="GG208"/>
  <c r="GH208"/>
  <c r="P195" i="39"/>
  <c r="O176" i="73"/>
  <c r="P176"/>
  <c r="O176" i="71"/>
  <c r="P176"/>
  <c r="O176" i="69"/>
  <c r="P176"/>
  <c r="U176" i="39"/>
  <c r="O176" i="74"/>
  <c r="P176"/>
  <c r="O176" i="72"/>
  <c r="P176"/>
  <c r="O166" i="73"/>
  <c r="P166"/>
  <c r="O166" i="71"/>
  <c r="P166"/>
  <c r="O166" i="69"/>
  <c r="P166"/>
  <c r="O166" i="74"/>
  <c r="P166"/>
  <c r="O166" i="72"/>
  <c r="P166"/>
  <c r="O165" i="73"/>
  <c r="P165"/>
  <c r="O165" i="71"/>
  <c r="P165"/>
  <c r="O165" i="69"/>
  <c r="P165"/>
  <c r="O165" i="39"/>
  <c r="P165"/>
  <c r="U165"/>
  <c r="O165" i="74"/>
  <c r="P165"/>
  <c r="O165" i="72"/>
  <c r="P165"/>
  <c r="P153" i="39"/>
  <c r="O115" i="73"/>
  <c r="P115"/>
  <c r="O115" i="71"/>
  <c r="P115"/>
  <c r="O115" i="69"/>
  <c r="P115"/>
  <c r="O115" i="39"/>
  <c r="P115"/>
  <c r="O115" i="74"/>
  <c r="P115"/>
  <c r="O115" i="72"/>
  <c r="P115"/>
  <c r="O102" i="73"/>
  <c r="P102"/>
  <c r="O102" i="71"/>
  <c r="P102"/>
  <c r="O102" i="69"/>
  <c r="P102"/>
  <c r="U102" i="39"/>
  <c r="O102" i="74"/>
  <c r="P102"/>
  <c r="O102" i="72"/>
  <c r="P102"/>
  <c r="HJ89" i="77"/>
  <c r="HK89"/>
  <c r="FD89"/>
  <c r="FE89"/>
  <c r="CX89"/>
  <c r="CY89"/>
  <c r="O89"/>
  <c r="P89"/>
  <c r="IM89"/>
  <c r="IN89"/>
  <c r="GG89"/>
  <c r="GH89"/>
  <c r="IM384"/>
  <c r="IN384"/>
  <c r="GG384"/>
  <c r="GH384"/>
  <c r="T384"/>
  <c r="U384" s="1"/>
  <c r="FD384"/>
  <c r="FE384"/>
  <c r="CX384"/>
  <c r="CY384"/>
  <c r="AR384"/>
  <c r="AS384"/>
  <c r="O384"/>
  <c r="P384"/>
  <c r="IM372"/>
  <c r="IN372"/>
  <c r="GG372"/>
  <c r="GH372"/>
  <c r="T372"/>
  <c r="U372" s="1"/>
  <c r="FD372"/>
  <c r="FE372"/>
  <c r="CX372"/>
  <c r="CY372"/>
  <c r="AR372"/>
  <c r="AS372"/>
  <c r="O372"/>
  <c r="P372"/>
  <c r="IM283"/>
  <c r="IN283"/>
  <c r="GG283"/>
  <c r="GH283"/>
  <c r="T283"/>
  <c r="U283" s="1"/>
  <c r="FD283"/>
  <c r="FE283"/>
  <c r="CX283"/>
  <c r="CY283"/>
  <c r="AR283"/>
  <c r="AS283"/>
  <c r="O283"/>
  <c r="P283"/>
  <c r="O163" i="74"/>
  <c r="P163"/>
  <c r="O163" i="72"/>
  <c r="P163"/>
  <c r="O163" i="71"/>
  <c r="P163"/>
  <c r="O163" i="69"/>
  <c r="P163"/>
  <c r="O163" i="65"/>
  <c r="P163"/>
  <c r="O163" i="39"/>
  <c r="P163"/>
  <c r="IM79" i="77"/>
  <c r="IN79"/>
  <c r="GG79"/>
  <c r="GH79"/>
  <c r="T79"/>
  <c r="U79" s="1"/>
  <c r="FD79"/>
  <c r="FE79"/>
  <c r="CX79"/>
  <c r="CY79"/>
  <c r="AR79"/>
  <c r="AS79"/>
  <c r="O79"/>
  <c r="P79"/>
  <c r="HJ296"/>
  <c r="O296" i="73" s="1"/>
  <c r="HK296" i="77"/>
  <c r="P296" i="73" s="1"/>
  <c r="FD296" i="77"/>
  <c r="O296" i="71" s="1"/>
  <c r="FE296" i="77"/>
  <c r="P296" i="71" s="1"/>
  <c r="O296" i="77"/>
  <c r="O296" i="39" s="1"/>
  <c r="P296" i="77"/>
  <c r="P296" i="39" s="1"/>
  <c r="IM296" i="77"/>
  <c r="O296" i="74" s="1"/>
  <c r="IN296" i="77"/>
  <c r="P296" i="74" s="1"/>
  <c r="EA296" i="77"/>
  <c r="O296" i="70" s="1"/>
  <c r="EB296" i="77"/>
  <c r="P296" i="70" s="1"/>
  <c r="BU296" i="77"/>
  <c r="O296" i="68" s="1"/>
  <c r="BV296" i="77"/>
  <c r="P296" i="68" s="1"/>
  <c r="HJ98" i="77"/>
  <c r="HK98"/>
  <c r="FD98"/>
  <c r="FE98"/>
  <c r="O98"/>
  <c r="V98" s="1"/>
  <c r="P98"/>
  <c r="IM98"/>
  <c r="IN98"/>
  <c r="EA98"/>
  <c r="EB98"/>
  <c r="BU98"/>
  <c r="BV98"/>
  <c r="HJ87"/>
  <c r="O87" i="73" s="1"/>
  <c r="HK87" i="77"/>
  <c r="P87" i="73" s="1"/>
  <c r="FD87" i="77"/>
  <c r="O87" i="71" s="1"/>
  <c r="FE87" i="77"/>
  <c r="P87" i="71" s="1"/>
  <c r="O87" i="77"/>
  <c r="O87" i="39" s="1"/>
  <c r="P87" i="77"/>
  <c r="IM87"/>
  <c r="O87" i="74" s="1"/>
  <c r="IN87" i="77"/>
  <c r="P87" i="74" s="1"/>
  <c r="EA87" i="77"/>
  <c r="O87" i="70" s="1"/>
  <c r="EB87" i="77"/>
  <c r="P87" i="70" s="1"/>
  <c r="BU87" i="77"/>
  <c r="O87" i="68" s="1"/>
  <c r="BV87" i="77"/>
  <c r="P87" i="68" s="1"/>
  <c r="HJ78" i="77"/>
  <c r="HK78"/>
  <c r="FD78"/>
  <c r="FE78"/>
  <c r="W78"/>
  <c r="IM78"/>
  <c r="IN78"/>
  <c r="EA78"/>
  <c r="EB78"/>
  <c r="BU78"/>
  <c r="BV78"/>
  <c r="U78"/>
  <c r="GH425"/>
  <c r="O368"/>
  <c r="O368" i="39" s="1"/>
  <c r="IM205" i="77"/>
  <c r="HJ444"/>
  <c r="HK255"/>
  <c r="FD234"/>
  <c r="O234" i="71" s="1"/>
  <c r="HJ233" i="77"/>
  <c r="O233" i="73" s="1"/>
  <c r="P54" i="77"/>
  <c r="P54" i="39" s="1"/>
  <c r="GH443" i="77"/>
  <c r="O381" i="74"/>
  <c r="P381"/>
  <c r="O381" i="72"/>
  <c r="P381"/>
  <c r="O381" i="68"/>
  <c r="P381"/>
  <c r="O381" i="39"/>
  <c r="P381"/>
  <c r="T389"/>
  <c r="O381" i="71"/>
  <c r="P381"/>
  <c r="O381" i="69"/>
  <c r="P381"/>
  <c r="FE409" i="77"/>
  <c r="P360"/>
  <c r="AR205"/>
  <c r="IM67"/>
  <c r="AS52"/>
  <c r="T363"/>
  <c r="U363" s="1"/>
  <c r="IM377"/>
  <c r="O377" i="74" s="1"/>
  <c r="IN377" i="77"/>
  <c r="P377" i="74" s="1"/>
  <c r="GG377" i="77"/>
  <c r="O377" i="72" s="1"/>
  <c r="GH377" i="77"/>
  <c r="P377" i="72" s="1"/>
  <c r="BU377" i="77"/>
  <c r="O377" i="68" s="1"/>
  <c r="BV377" i="77"/>
  <c r="P377" i="68" s="1"/>
  <c r="O377" i="77"/>
  <c r="O377" i="39" s="1"/>
  <c r="P377" i="77"/>
  <c r="P377" i="39" s="1"/>
  <c r="T377" i="77"/>
  <c r="FD377"/>
  <c r="O377" i="71" s="1"/>
  <c r="FE377" i="77"/>
  <c r="P377" i="71" s="1"/>
  <c r="CX377" i="77"/>
  <c r="O377" i="69" s="1"/>
  <c r="CY377" i="77"/>
  <c r="P377" i="69" s="1"/>
  <c r="IM363" i="77"/>
  <c r="IN363"/>
  <c r="GG363"/>
  <c r="GH363"/>
  <c r="EA363"/>
  <c r="EB363"/>
  <c r="O363"/>
  <c r="P363"/>
  <c r="HJ363"/>
  <c r="HK363"/>
  <c r="FD363"/>
  <c r="FE363"/>
  <c r="HK442"/>
  <c r="AS404"/>
  <c r="FD228"/>
  <c r="O228" i="71" s="1"/>
  <c r="O228" i="77"/>
  <c r="W124" i="39"/>
  <c r="BV66" i="77"/>
  <c r="HK409"/>
  <c r="P407"/>
  <c r="P407" i="39" s="1"/>
  <c r="IM39" i="77"/>
  <c r="HK437"/>
  <c r="GH430"/>
  <c r="P421" i="39"/>
  <c r="BV236" i="77"/>
  <c r="P236" i="68" s="1"/>
  <c r="O427" i="77"/>
  <c r="O427" i="39" s="1"/>
  <c r="IN409" i="77"/>
  <c r="O421" i="39"/>
  <c r="T407" i="77"/>
  <c r="U407" s="1"/>
  <c r="U407" i="39" s="1"/>
  <c r="P400" i="77"/>
  <c r="O255"/>
  <c r="O255" i="39" s="1"/>
  <c r="GH234" i="77"/>
  <c r="P234" i="72" s="1"/>
  <c r="BV234" i="77"/>
  <c r="P234" i="68" s="1"/>
  <c r="FE235" i="77"/>
  <c r="P235" i="71" s="1"/>
  <c r="GH236" i="77"/>
  <c r="P236" i="72" s="1"/>
  <c r="HK226" i="77"/>
  <c r="P226" i="73" s="1"/>
  <c r="EA39" i="77"/>
  <c r="IM437"/>
  <c r="P425"/>
  <c r="P422"/>
  <c r="P422" i="39" s="1"/>
  <c r="HJ427" i="77"/>
  <c r="P427"/>
  <c r="V412" i="39"/>
  <c r="IM408" i="77"/>
  <c r="DC249"/>
  <c r="DD249" s="1"/>
  <c r="AS236"/>
  <c r="P236" i="65" s="1"/>
  <c r="CX233" i="77"/>
  <c r="O233" i="69" s="1"/>
  <c r="BV443" i="77"/>
  <c r="O439"/>
  <c r="O439" i="39" s="1"/>
  <c r="GG442" i="77"/>
  <c r="FE437"/>
  <c r="FE442"/>
  <c r="P431" i="39"/>
  <c r="T425" i="77"/>
  <c r="U425" s="1"/>
  <c r="P419" i="39"/>
  <c r="EB407" i="77"/>
  <c r="HJ406"/>
  <c r="O407"/>
  <c r="O407" i="39" s="1"/>
  <c r="T370" i="77"/>
  <c r="T357"/>
  <c r="T357" i="39" s="1"/>
  <c r="BV228" i="77"/>
  <c r="P228" i="68" s="1"/>
  <c r="FD27" i="77"/>
  <c r="IR406"/>
  <c r="IT406" s="1"/>
  <c r="FE426"/>
  <c r="IN249"/>
  <c r="BU226"/>
  <c r="O226" i="68" s="1"/>
  <c r="O408" i="77"/>
  <c r="O408" i="39" s="1"/>
  <c r="T369" i="77"/>
  <c r="P41" i="39"/>
  <c r="O360" i="77"/>
  <c r="AR220"/>
  <c r="IM22"/>
  <c r="IR368"/>
  <c r="IU368" s="1"/>
  <c r="GL373"/>
  <c r="GM373" s="1"/>
  <c r="T426"/>
  <c r="U426" s="1"/>
  <c r="U426" i="39" s="1"/>
  <c r="FE226" i="77"/>
  <c r="P226" i="71" s="1"/>
  <c r="P72" i="77"/>
  <c r="P72" i="39" s="1"/>
  <c r="O13"/>
  <c r="T439" i="77"/>
  <c r="U439" s="1"/>
  <c r="U439" i="39" s="1"/>
  <c r="T437" i="77"/>
  <c r="U437" s="1"/>
  <c r="P408"/>
  <c r="CX249"/>
  <c r="IN228"/>
  <c r="P228" i="74" s="1"/>
  <c r="O72" i="77"/>
  <c r="O72" i="39" s="1"/>
  <c r="FE62" i="77"/>
  <c r="HJ22"/>
  <c r="FI368"/>
  <c r="FJ368" s="1"/>
  <c r="BZ66"/>
  <c r="CB66" s="1"/>
  <c r="FI404"/>
  <c r="FK404" s="1"/>
  <c r="IM443"/>
  <c r="FD429"/>
  <c r="GH423"/>
  <c r="P426"/>
  <c r="P426" i="39" s="1"/>
  <c r="IN406" i="77"/>
  <c r="HO370"/>
  <c r="HK373"/>
  <c r="GH235"/>
  <c r="P235" i="72" s="1"/>
  <c r="IN220" i="77"/>
  <c r="O220"/>
  <c r="T224"/>
  <c r="U224" s="1"/>
  <c r="P128" i="39"/>
  <c r="AR40" i="77"/>
  <c r="O29"/>
  <c r="O29" i="39" s="1"/>
  <c r="HJ23" i="77"/>
  <c r="EA23"/>
  <c r="IR249"/>
  <c r="IS249" s="1"/>
  <c r="T443"/>
  <c r="T443" i="39" s="1"/>
  <c r="BU442" i="77"/>
  <c r="GH432"/>
  <c r="T405"/>
  <c r="T425" i="39" s="1"/>
  <c r="T409" i="77"/>
  <c r="T409" i="39" s="1"/>
  <c r="GG405" i="77"/>
  <c r="T438" i="39"/>
  <c r="GL400" i="77"/>
  <c r="GM400" s="1"/>
  <c r="GG367"/>
  <c r="EB235"/>
  <c r="P235" i="70" s="1"/>
  <c r="EB236" i="77"/>
  <c r="P236" i="70" s="1"/>
  <c r="AS235" i="77"/>
  <c r="P235" i="65" s="1"/>
  <c r="GH228" i="77"/>
  <c r="P228" i="72" s="1"/>
  <c r="HK430" i="77"/>
  <c r="FE404"/>
  <c r="IN407"/>
  <c r="GH249"/>
  <c r="W151" i="39"/>
  <c r="O129" i="74"/>
  <c r="P129"/>
  <c r="O129" i="72"/>
  <c r="P129"/>
  <c r="O129" i="70"/>
  <c r="P129"/>
  <c r="O129" i="73"/>
  <c r="P129"/>
  <c r="O129" i="65"/>
  <c r="P129"/>
  <c r="O129" i="39"/>
  <c r="P129"/>
  <c r="BZ68" i="77"/>
  <c r="CA68" s="1"/>
  <c r="T211" i="39"/>
  <c r="AW80" i="77"/>
  <c r="AX80" s="1"/>
  <c r="U417" i="39"/>
  <c r="HJ72" i="77"/>
  <c r="GL52"/>
  <c r="GM52" s="1"/>
  <c r="P58"/>
  <c r="P58" i="39" s="1"/>
  <c r="BU33" i="77"/>
  <c r="EF54"/>
  <c r="EG54" s="1"/>
  <c r="BU444"/>
  <c r="EB438"/>
  <c r="IN430"/>
  <c r="O248"/>
  <c r="P244"/>
  <c r="T228"/>
  <c r="IN444"/>
  <c r="FD430"/>
  <c r="HJ429"/>
  <c r="IN405"/>
  <c r="IN235"/>
  <c r="P235" i="74" s="1"/>
  <c r="AS233" i="77"/>
  <c r="P233" i="65" s="1"/>
  <c r="O151" i="39"/>
  <c r="GH73" i="77"/>
  <c r="GG49"/>
  <c r="GG46"/>
  <c r="AR44"/>
  <c r="IN370"/>
  <c r="P370" i="74" s="1"/>
  <c r="IN63" i="77"/>
  <c r="CX24"/>
  <c r="HO47"/>
  <c r="HQ47" s="1"/>
  <c r="HO55"/>
  <c r="HQ55" s="1"/>
  <c r="O104" i="39"/>
  <c r="P104"/>
  <c r="O104" i="74"/>
  <c r="P104"/>
  <c r="O104" i="72"/>
  <c r="P104"/>
  <c r="O104" i="70"/>
  <c r="P104"/>
  <c r="O104" i="73"/>
  <c r="P104"/>
  <c r="O104" i="65"/>
  <c r="P104"/>
  <c r="FD80" i="77"/>
  <c r="EF80"/>
  <c r="EG80" s="1"/>
  <c r="T97"/>
  <c r="U97" s="1"/>
  <c r="IM97"/>
  <c r="IN97"/>
  <c r="GG97"/>
  <c r="GH97"/>
  <c r="BU97"/>
  <c r="BV97"/>
  <c r="O97"/>
  <c r="P97"/>
  <c r="HJ97"/>
  <c r="HK97"/>
  <c r="FD97"/>
  <c r="FE97"/>
  <c r="FI80"/>
  <c r="FJ80" s="1"/>
  <c r="IR80"/>
  <c r="IS80" s="1"/>
  <c r="HO80"/>
  <c r="HP80" s="1"/>
  <c r="AS80"/>
  <c r="AR80"/>
  <c r="GL80"/>
  <c r="GM80" s="1"/>
  <c r="GG80"/>
  <c r="GH80"/>
  <c r="HJ80"/>
  <c r="HK80"/>
  <c r="IM80"/>
  <c r="IN80"/>
  <c r="EA80"/>
  <c r="EB80"/>
  <c r="O80"/>
  <c r="P80"/>
  <c r="T80"/>
  <c r="U80" s="1"/>
  <c r="P227"/>
  <c r="O148" i="39"/>
  <c r="P123"/>
  <c r="T388" i="77"/>
  <c r="V388" s="1"/>
  <c r="O245"/>
  <c r="O248" i="39" s="1"/>
  <c r="HK228" i="77"/>
  <c r="P228" i="73" s="1"/>
  <c r="EA62" i="77"/>
  <c r="P245"/>
  <c r="P248" i="39" s="1"/>
  <c r="P48" i="77"/>
  <c r="P48" i="39" s="1"/>
  <c r="GG47" i="77"/>
  <c r="DC73"/>
  <c r="DD73" s="1"/>
  <c r="AW53"/>
  <c r="AX53" s="1"/>
  <c r="GH226"/>
  <c r="P226" i="72" s="1"/>
  <c r="FD204" i="77"/>
  <c r="P28"/>
  <c r="P28" i="39" s="1"/>
  <c r="AS63" i="77"/>
  <c r="EA20"/>
  <c r="EF50"/>
  <c r="EG50" s="1"/>
  <c r="O14" i="39"/>
  <c r="T51"/>
  <c r="T30" i="77"/>
  <c r="T30" i="39" s="1"/>
  <c r="FE45" i="77"/>
  <c r="O48"/>
  <c r="O48" i="39" s="1"/>
  <c r="CX22" i="77"/>
  <c r="IM20"/>
  <c r="GH24"/>
  <c r="FE205"/>
  <c r="O149" i="39"/>
  <c r="CX26" i="77"/>
  <c r="HO249"/>
  <c r="HR249" s="1"/>
  <c r="T432"/>
  <c r="W432" s="1"/>
  <c r="IR370"/>
  <c r="IR438"/>
  <c r="IS438" s="1"/>
  <c r="IR404"/>
  <c r="IS404" s="1"/>
  <c r="AR409"/>
  <c r="IR255"/>
  <c r="IS255" s="1"/>
  <c r="T55"/>
  <c r="T55" i="39" s="1"/>
  <c r="EB408" i="77"/>
  <c r="IN226"/>
  <c r="P226" i="74" s="1"/>
  <c r="HK29" i="77"/>
  <c r="IM26"/>
  <c r="HK400"/>
  <c r="IN367"/>
  <c r="AW49"/>
  <c r="AX49" s="1"/>
  <c r="O406"/>
  <c r="O406" i="39" s="1"/>
  <c r="EA367" i="77"/>
  <c r="IN234"/>
  <c r="P234" i="74" s="1"/>
  <c r="EB233" i="77"/>
  <c r="P233" i="70" s="1"/>
  <c r="T235" i="77"/>
  <c r="P224"/>
  <c r="O147" i="39"/>
  <c r="IN442" i="77"/>
  <c r="GG420"/>
  <c r="HJ405"/>
  <c r="T380"/>
  <c r="T388" i="39" s="1"/>
  <c r="P388" i="77"/>
  <c r="T367"/>
  <c r="T367" i="39" s="1"/>
  <c r="T358" i="77"/>
  <c r="T358" i="39" s="1"/>
  <c r="BU358" i="77"/>
  <c r="O358" i="68" s="1"/>
  <c r="P147" i="39"/>
  <c r="HJ408" i="77"/>
  <c r="P256"/>
  <c r="P256" i="39" s="1"/>
  <c r="T245" i="77"/>
  <c r="U245" s="1"/>
  <c r="T226"/>
  <c r="T220"/>
  <c r="U220" s="1"/>
  <c r="EA220"/>
  <c r="T400"/>
  <c r="V400" s="1"/>
  <c r="V400" i="39" s="1"/>
  <c r="GL68" i="77"/>
  <c r="GM68" s="1"/>
  <c r="AR68"/>
  <c r="T70"/>
  <c r="T70" i="39" s="1"/>
  <c r="EA67" i="77"/>
  <c r="IM53"/>
  <c r="EF72"/>
  <c r="EG72" s="1"/>
  <c r="EB54"/>
  <c r="HO73"/>
  <c r="HP73" s="1"/>
  <c r="P65"/>
  <c r="P65" i="39" s="1"/>
  <c r="BU34" i="77"/>
  <c r="HO64"/>
  <c r="HP64" s="1"/>
  <c r="T33"/>
  <c r="T33" i="39" s="1"/>
  <c r="HO373" i="77"/>
  <c r="HQ373" s="1"/>
  <c r="HO45"/>
  <c r="HP45" s="1"/>
  <c r="O57"/>
  <c r="O57" i="39" s="1"/>
  <c r="FI53" i="77"/>
  <c r="FJ53" s="1"/>
  <c r="T57"/>
  <c r="W57" s="1"/>
  <c r="W57" i="39" s="1"/>
  <c r="T61"/>
  <c r="GH34" i="77"/>
  <c r="T63"/>
  <c r="T63" i="39" s="1"/>
  <c r="DC255" i="77"/>
  <c r="DD255" s="1"/>
  <c r="P42"/>
  <c r="P42" i="39" s="1"/>
  <c r="T16"/>
  <c r="HJ34" i="77"/>
  <c r="IR45"/>
  <c r="IS45" s="1"/>
  <c r="T359"/>
  <c r="T125" i="39"/>
  <c r="P68" i="77"/>
  <c r="P68" i="39" s="1"/>
  <c r="GG29" i="77"/>
  <c r="AW39"/>
  <c r="AX39" s="1"/>
  <c r="IR27"/>
  <c r="IS27" s="1"/>
  <c r="HO20"/>
  <c r="HP20" s="1"/>
  <c r="FE49"/>
  <c r="IM29"/>
  <c r="GG26"/>
  <c r="T59"/>
  <c r="T59" i="39" s="1"/>
  <c r="T40" i="77"/>
  <c r="T40" i="39" s="1"/>
  <c r="GL66" i="77"/>
  <c r="GM66" s="1"/>
  <c r="EA45"/>
  <c r="GL73"/>
  <c r="GM73" s="1"/>
  <c r="T373"/>
  <c r="U373" s="1"/>
  <c r="U373" i="39" s="1"/>
  <c r="HO400" i="77"/>
  <c r="HQ400" s="1"/>
  <c r="T150" i="39"/>
  <c r="T128"/>
  <c r="T29" i="77"/>
  <c r="W29" s="1"/>
  <c r="W29" i="39" s="1"/>
  <c r="IR20" i="77"/>
  <c r="IS20" s="1"/>
  <c r="T17" i="39"/>
  <c r="T26" i="77"/>
  <c r="T26" i="39" s="1"/>
  <c r="T244" i="77"/>
  <c r="U244" s="1"/>
  <c r="IR73"/>
  <c r="IS73" s="1"/>
  <c r="T68"/>
  <c r="U68" s="1"/>
  <c r="U68" i="39" s="1"/>
  <c r="GL64" i="77"/>
  <c r="GM64" s="1"/>
  <c r="T60"/>
  <c r="T60" i="39" s="1"/>
  <c r="O55" i="77"/>
  <c r="GH40"/>
  <c r="GL39"/>
  <c r="GM39" s="1"/>
  <c r="O31" i="39"/>
  <c r="FD34" i="77"/>
  <c r="T427"/>
  <c r="T205"/>
  <c r="DC64"/>
  <c r="DD64" s="1"/>
  <c r="T193" i="39"/>
  <c r="O68" i="77"/>
  <c r="O68" i="39" s="1"/>
  <c r="T58" i="77"/>
  <c r="U58" s="1"/>
  <c r="U58" i="39" s="1"/>
  <c r="T48" i="77"/>
  <c r="U48" s="1"/>
  <c r="U48" i="39" s="1"/>
  <c r="AW44" i="77"/>
  <c r="AZ44" s="1"/>
  <c r="AR33"/>
  <c r="T28"/>
  <c r="T28" i="39" s="1"/>
  <c r="W411"/>
  <c r="O417"/>
  <c r="T47" i="77"/>
  <c r="T47" i="39" s="1"/>
  <c r="DC72" i="77"/>
  <c r="DD72" s="1"/>
  <c r="T62"/>
  <c r="T62" i="39" s="1"/>
  <c r="FI39" i="77"/>
  <c r="FJ39" s="1"/>
  <c r="HO255"/>
  <c r="HP255" s="1"/>
  <c r="T255"/>
  <c r="T255" i="39" s="1"/>
  <c r="FI45" i="77"/>
  <c r="FK45" s="1"/>
  <c r="HO427"/>
  <c r="HR427" s="1"/>
  <c r="GL428"/>
  <c r="GM428" s="1"/>
  <c r="T421" i="39"/>
  <c r="AW404" i="77"/>
  <c r="AX404" s="1"/>
  <c r="EF438"/>
  <c r="EG438" s="1"/>
  <c r="T73"/>
  <c r="T73" i="39" s="1"/>
  <c r="AW368" i="77"/>
  <c r="AX368" s="1"/>
  <c r="GL49"/>
  <c r="GM49" s="1"/>
  <c r="N14" i="39"/>
  <c r="R17"/>
  <c r="S389"/>
  <c r="S220"/>
  <c r="N57"/>
  <c r="R14"/>
  <c r="R63"/>
  <c r="P143"/>
  <c r="Q144"/>
  <c r="R412"/>
  <c r="N151"/>
  <c r="R191"/>
  <c r="N411"/>
  <c r="R16"/>
  <c r="N29"/>
  <c r="S30"/>
  <c r="Q150"/>
  <c r="N216"/>
  <c r="N412"/>
  <c r="S425"/>
  <c r="N47"/>
  <c r="R68"/>
  <c r="T122"/>
  <c r="N124"/>
  <c r="Q145"/>
  <c r="Q216"/>
  <c r="Q255"/>
  <c r="S412"/>
  <c r="S243"/>
  <c r="S385"/>
  <c r="R389"/>
  <c r="R425"/>
  <c r="N438"/>
  <c r="Q449"/>
  <c r="N413"/>
  <c r="R417"/>
  <c r="Q421"/>
  <c r="N431"/>
  <c r="S432"/>
  <c r="N461"/>
  <c r="R357"/>
  <c r="O412"/>
  <c r="O461"/>
  <c r="T422" i="77"/>
  <c r="V422" s="1"/>
  <c r="V422" i="39" s="1"/>
  <c r="T420" i="77"/>
  <c r="T420" i="39" s="1"/>
  <c r="CX405" i="77"/>
  <c r="P406"/>
  <c r="P406" i="39" s="1"/>
  <c r="BZ368" i="77"/>
  <c r="CA368" s="1"/>
  <c r="T256"/>
  <c r="U256" s="1"/>
  <c r="U256" i="39" s="1"/>
  <c r="T236" i="77"/>
  <c r="T213" i="39"/>
  <c r="U153"/>
  <c r="T146"/>
  <c r="O124"/>
  <c r="P150"/>
  <c r="O150"/>
  <c r="EF73" i="77"/>
  <c r="EG73" s="1"/>
  <c r="GH66"/>
  <c r="T64"/>
  <c r="T64" i="39" s="1"/>
  <c r="GL47" i="77"/>
  <c r="GM47" s="1"/>
  <c r="GH55"/>
  <c r="CX50"/>
  <c r="T34"/>
  <c r="T34" i="39" s="1"/>
  <c r="FI27" i="77"/>
  <c r="FL27" s="1"/>
  <c r="EF20"/>
  <c r="EI20" s="1"/>
  <c r="O32"/>
  <c r="O32" i="39" s="1"/>
  <c r="T23" i="77"/>
  <c r="T23" i="39" s="1"/>
  <c r="T20" i="77"/>
  <c r="T20" i="39" s="1"/>
  <c r="P31"/>
  <c r="IR39" i="77"/>
  <c r="IS39" s="1"/>
  <c r="HJ249"/>
  <c r="T233"/>
  <c r="AS64"/>
  <c r="Q194" i="39"/>
  <c r="N385"/>
  <c r="R243"/>
  <c r="N148"/>
  <c r="T119"/>
  <c r="R70"/>
  <c r="N28"/>
  <c r="T151"/>
  <c r="N205"/>
  <c r="Q385"/>
  <c r="P417"/>
  <c r="Q124"/>
  <c r="N194"/>
  <c r="R197"/>
  <c r="P216"/>
  <c r="Q217"/>
  <c r="Q413"/>
  <c r="N457"/>
  <c r="P408"/>
  <c r="Q425"/>
  <c r="T14"/>
  <c r="Q23"/>
  <c r="Q62"/>
  <c r="Q120"/>
  <c r="N373"/>
  <c r="T385"/>
  <c r="O413"/>
  <c r="T426"/>
  <c r="Q437"/>
  <c r="Q119"/>
  <c r="S143"/>
  <c r="S197"/>
  <c r="R371"/>
  <c r="O388"/>
  <c r="Q438"/>
  <c r="T386"/>
  <c r="N389"/>
  <c r="T419"/>
  <c r="N437"/>
  <c r="P411"/>
  <c r="N417"/>
  <c r="O432"/>
  <c r="S437"/>
  <c r="Q420"/>
  <c r="N191"/>
  <c r="R122"/>
  <c r="R194"/>
  <c r="Q26"/>
  <c r="S51"/>
  <c r="T120"/>
  <c r="N149"/>
  <c r="S191"/>
  <c r="S33"/>
  <c r="T415"/>
  <c r="P373" i="77"/>
  <c r="T126" i="39"/>
  <c r="O153"/>
  <c r="IR64" i="77"/>
  <c r="IS64" s="1"/>
  <c r="IR50"/>
  <c r="IS50" s="1"/>
  <c r="P55"/>
  <c r="FE53"/>
  <c r="HK50"/>
  <c r="GL50"/>
  <c r="GM50" s="1"/>
  <c r="IR44"/>
  <c r="IS44" s="1"/>
  <c r="FI44"/>
  <c r="FJ44" s="1"/>
  <c r="P32"/>
  <c r="P32" i="39" s="1"/>
  <c r="IM23" i="77"/>
  <c r="BU23"/>
  <c r="BU22"/>
  <c r="T200"/>
  <c r="IN436"/>
  <c r="T408"/>
  <c r="T41" i="39"/>
  <c r="R373"/>
  <c r="Q386"/>
  <c r="Q126"/>
  <c r="O119"/>
  <c r="S122"/>
  <c r="N153"/>
  <c r="O191"/>
  <c r="S194"/>
  <c r="N405"/>
  <c r="R40"/>
  <c r="N128"/>
  <c r="Q143"/>
  <c r="N219"/>
  <c r="R385"/>
  <c r="R409"/>
  <c r="Q28"/>
  <c r="Q153"/>
  <c r="Q205"/>
  <c r="S217"/>
  <c r="N256"/>
  <c r="P388"/>
  <c r="Q389"/>
  <c r="V419"/>
  <c r="R438"/>
  <c r="S73"/>
  <c r="Q191"/>
  <c r="N217"/>
  <c r="S218"/>
  <c r="N364"/>
  <c r="T449"/>
  <c r="N365"/>
  <c r="R372"/>
  <c r="S405"/>
  <c r="T417"/>
  <c r="N419"/>
  <c r="S422"/>
  <c r="S439"/>
  <c r="Q412"/>
  <c r="Q193"/>
  <c r="T124"/>
  <c r="R34"/>
  <c r="Q419"/>
  <c r="Q146"/>
  <c r="Q13"/>
  <c r="HK55" i="77"/>
  <c r="T21" i="39"/>
  <c r="T15"/>
  <c r="EA24" i="77"/>
  <c r="EA22"/>
  <c r="N432" i="39"/>
  <c r="N193"/>
  <c r="N13"/>
  <c r="T191"/>
  <c r="O55"/>
  <c r="Q125"/>
  <c r="N195"/>
  <c r="T220"/>
  <c r="R241"/>
  <c r="P255"/>
  <c r="S47"/>
  <c r="T48"/>
  <c r="N65"/>
  <c r="Q148"/>
  <c r="R437"/>
  <c r="N388"/>
  <c r="Q15"/>
  <c r="N42"/>
  <c r="Q122"/>
  <c r="Q151"/>
  <c r="Q204"/>
  <c r="Q362"/>
  <c r="T407"/>
  <c r="T439"/>
  <c r="T58"/>
  <c r="Q128"/>
  <c r="N204"/>
  <c r="Q211"/>
  <c r="Q256"/>
  <c r="R367"/>
  <c r="N400"/>
  <c r="P427"/>
  <c r="Q388"/>
  <c r="R443"/>
  <c r="N448"/>
  <c r="Q29"/>
  <c r="T216"/>
  <c r="P400"/>
  <c r="P448" i="77"/>
  <c r="P448" i="39" s="1"/>
  <c r="EF427" i="77"/>
  <c r="EG427" s="1"/>
  <c r="GL368"/>
  <c r="GM368" s="1"/>
  <c r="T123" i="39"/>
  <c r="EF44" i="77"/>
  <c r="EG44" s="1"/>
  <c r="T72"/>
  <c r="T237"/>
  <c r="U237" s="1"/>
  <c r="FI55"/>
  <c r="FJ55" s="1"/>
  <c r="T46"/>
  <c r="T46" i="39" s="1"/>
  <c r="HO72" i="77"/>
  <c r="HP72" s="1"/>
  <c r="AW45"/>
  <c r="AZ45" s="1"/>
  <c r="AW46"/>
  <c r="AX46" s="1"/>
  <c r="HO39"/>
  <c r="HP39" s="1"/>
  <c r="T242"/>
  <c r="GL54"/>
  <c r="GM54" s="1"/>
  <c r="FI427"/>
  <c r="FJ427" s="1"/>
  <c r="T457"/>
  <c r="T457" i="39" s="1"/>
  <c r="O457" i="77"/>
  <c r="O457" i="39" s="1"/>
  <c r="FI400" i="77"/>
  <c r="FJ400" s="1"/>
  <c r="T444"/>
  <c r="T444" i="39" s="1"/>
  <c r="T227" i="77"/>
  <c r="AW72"/>
  <c r="AX72" s="1"/>
  <c r="T365" i="39"/>
  <c r="T249" i="77"/>
  <c r="T252" i="39" s="1"/>
  <c r="T84" i="77"/>
  <c r="IR66"/>
  <c r="IS66" s="1"/>
  <c r="T378"/>
  <c r="T206" i="39"/>
  <c r="IR49" i="77"/>
  <c r="IS49" s="1"/>
  <c r="HO68"/>
  <c r="HP68" s="1"/>
  <c r="EF68"/>
  <c r="EG68" s="1"/>
  <c r="HO49"/>
  <c r="HP49" s="1"/>
  <c r="AW432"/>
  <c r="AX432" s="1"/>
  <c r="T434"/>
  <c r="T434" i="39" s="1"/>
  <c r="T423" i="77"/>
  <c r="T423" i="39" s="1"/>
  <c r="T429" i="77"/>
  <c r="T429" i="39" s="1"/>
  <c r="T360" i="77"/>
  <c r="EF373"/>
  <c r="EG373" s="1"/>
  <c r="T71" i="39"/>
  <c r="T441"/>
  <c r="EF432" i="77"/>
  <c r="EG432" s="1"/>
  <c r="IR427"/>
  <c r="IS427" s="1"/>
  <c r="T416" i="39"/>
  <c r="AW427" i="77"/>
  <c r="AX427" s="1"/>
  <c r="BZ404"/>
  <c r="CA404" s="1"/>
  <c r="AW400"/>
  <c r="AX400" s="1"/>
  <c r="HO368"/>
  <c r="HP368" s="1"/>
  <c r="FI373"/>
  <c r="FJ373" s="1"/>
  <c r="GL367"/>
  <c r="GO367" s="1"/>
  <c r="BZ255"/>
  <c r="CA255" s="1"/>
  <c r="BZ249"/>
  <c r="CA249" s="1"/>
  <c r="T239"/>
  <c r="T204"/>
  <c r="T209" i="39" s="1"/>
  <c r="EF64" i="77"/>
  <c r="EG64" s="1"/>
  <c r="T53"/>
  <c r="T53" i="39" s="1"/>
  <c r="FI46" i="77"/>
  <c r="FJ46" s="1"/>
  <c r="AW55"/>
  <c r="AX55" s="1"/>
  <c r="EF45"/>
  <c r="EG45" s="1"/>
  <c r="EF428"/>
  <c r="EG428" s="1"/>
  <c r="DC406"/>
  <c r="DD406" s="1"/>
  <c r="T455"/>
  <c r="W455" s="1"/>
  <c r="W455" i="39" s="1"/>
  <c r="T461"/>
  <c r="FI438" i="77"/>
  <c r="FJ438" s="1"/>
  <c r="HO428"/>
  <c r="HP428" s="1"/>
  <c r="FI428"/>
  <c r="FJ428" s="1"/>
  <c r="BZ406"/>
  <c r="CA406" s="1"/>
  <c r="T402"/>
  <c r="T402" i="39" s="1"/>
  <c r="HO406" i="77"/>
  <c r="HP406" s="1"/>
  <c r="HO404"/>
  <c r="HP404" s="1"/>
  <c r="T404"/>
  <c r="T404" i="39" s="1"/>
  <c r="T389" i="77"/>
  <c r="U389" s="1"/>
  <c r="T374"/>
  <c r="T374" i="39" s="1"/>
  <c r="BZ373" i="77"/>
  <c r="CA373" s="1"/>
  <c r="BZ370"/>
  <c r="T368"/>
  <c r="T253"/>
  <c r="T254" i="39" s="1"/>
  <c r="T232" i="77"/>
  <c r="T214" i="39"/>
  <c r="FI54" i="77"/>
  <c r="FJ54" s="1"/>
  <c r="IR53"/>
  <c r="IU53" s="1"/>
  <c r="HO53"/>
  <c r="HP53" s="1"/>
  <c r="T49"/>
  <c r="T49" i="39" s="1"/>
  <c r="EF52" i="77"/>
  <c r="EG52" s="1"/>
  <c r="T44"/>
  <c r="T44" i="39" s="1"/>
  <c r="HO432" i="77"/>
  <c r="HP432" s="1"/>
  <c r="T435"/>
  <c r="T435" i="39" s="1"/>
  <c r="GL406" i="77"/>
  <c r="GM406" s="1"/>
  <c r="GL370"/>
  <c r="HO367"/>
  <c r="HP367" s="1"/>
  <c r="T355"/>
  <c r="T355" i="39" s="1"/>
  <c r="FI255" i="77"/>
  <c r="FJ255" s="1"/>
  <c r="T238"/>
  <c r="BZ27"/>
  <c r="CA27" s="1"/>
  <c r="T19" i="39"/>
  <c r="T169"/>
  <c r="T78"/>
  <c r="GL72" i="77"/>
  <c r="GM72" s="1"/>
  <c r="BZ72"/>
  <c r="CA72" s="1"/>
  <c r="T50"/>
  <c r="T50" i="39" s="1"/>
  <c r="AW47" i="77"/>
  <c r="AX47" s="1"/>
  <c r="T45"/>
  <c r="W45" s="1"/>
  <c r="W45" i="39" s="1"/>
  <c r="T24" i="77"/>
  <c r="T24" i="39" s="1"/>
  <c r="GL404" i="77"/>
  <c r="GM404" s="1"/>
  <c r="T406"/>
  <c r="T353"/>
  <c r="T353" i="39" s="1"/>
  <c r="FI249" i="77"/>
  <c r="FJ249" s="1"/>
  <c r="T234"/>
  <c r="T82"/>
  <c r="T80" i="39" s="1"/>
  <c r="AW73" i="77"/>
  <c r="AX73" s="1"/>
  <c r="AW68"/>
  <c r="AZ68" s="1"/>
  <c r="IR68"/>
  <c r="IS68" s="1"/>
  <c r="EF66"/>
  <c r="EG66" s="1"/>
  <c r="T39"/>
  <c r="T39" i="39" s="1"/>
  <c r="T36" i="77"/>
  <c r="T36" i="39" s="1"/>
  <c r="GL27" i="77"/>
  <c r="GM27" s="1"/>
  <c r="CX73"/>
  <c r="CY73"/>
  <c r="GH72"/>
  <c r="GG72"/>
  <c r="BV72"/>
  <c r="BU72"/>
  <c r="IN70"/>
  <c r="IM70"/>
  <c r="GH70"/>
  <c r="GG70"/>
  <c r="CY70"/>
  <c r="CX70"/>
  <c r="CY69"/>
  <c r="CX69"/>
  <c r="IM73"/>
  <c r="IN73"/>
  <c r="EA73"/>
  <c r="EB73"/>
  <c r="AR72"/>
  <c r="AS72"/>
  <c r="O70"/>
  <c r="P70"/>
  <c r="EB68"/>
  <c r="EA68"/>
  <c r="BU67"/>
  <c r="BV67"/>
  <c r="P67"/>
  <c r="P67" i="39" s="1"/>
  <c r="O67" i="77"/>
  <c r="O67" i="39" s="1"/>
  <c r="IM64" i="77"/>
  <c r="IN64"/>
  <c r="IN68"/>
  <c r="IM68"/>
  <c r="BU65"/>
  <c r="BV65"/>
  <c r="AW64"/>
  <c r="O66"/>
  <c r="O66" i="39" s="1"/>
  <c r="P66" i="77"/>
  <c r="P66" i="39" s="1"/>
  <c r="BU62" i="77"/>
  <c r="BV62"/>
  <c r="P60"/>
  <c r="O60"/>
  <c r="IN59"/>
  <c r="IM59"/>
  <c r="EA55"/>
  <c r="EB55"/>
  <c r="O53"/>
  <c r="P53"/>
  <c r="HJ58"/>
  <c r="HK58"/>
  <c r="CX58"/>
  <c r="CY58"/>
  <c r="HJ57"/>
  <c r="HK57"/>
  <c r="CX57"/>
  <c r="CY57"/>
  <c r="EA52"/>
  <c r="EB52"/>
  <c r="O50"/>
  <c r="P50"/>
  <c r="FD39"/>
  <c r="FE39"/>
  <c r="EA46"/>
  <c r="EB46"/>
  <c r="IM42"/>
  <c r="IN42"/>
  <c r="HK39"/>
  <c r="HJ39"/>
  <c r="HK54"/>
  <c r="HJ54"/>
  <c r="EA48"/>
  <c r="EB48"/>
  <c r="FD47"/>
  <c r="FE47"/>
  <c r="AR47"/>
  <c r="AS47"/>
  <c r="HJ44"/>
  <c r="HK44"/>
  <c r="IM44"/>
  <c r="IN44"/>
  <c r="CX40"/>
  <c r="CY40"/>
  <c r="FD48"/>
  <c r="FE48"/>
  <c r="GH37"/>
  <c r="GG37"/>
  <c r="O37"/>
  <c r="O37" i="39" s="1"/>
  <c r="P37" i="77"/>
  <c r="P37" i="39" s="1"/>
  <c r="FE32" i="77"/>
  <c r="FD32"/>
  <c r="BV38"/>
  <c r="BU38"/>
  <c r="HK36"/>
  <c r="HJ36"/>
  <c r="IN27"/>
  <c r="IM27"/>
  <c r="HJ27"/>
  <c r="HK27"/>
  <c r="BV28"/>
  <c r="BU28"/>
  <c r="FE30"/>
  <c r="FD30"/>
  <c r="FE29"/>
  <c r="FD29"/>
  <c r="IN28"/>
  <c r="IM28"/>
  <c r="T65"/>
  <c r="T66"/>
  <c r="DC50"/>
  <c r="DD50" s="1"/>
  <c r="IR55"/>
  <c r="IS55" s="1"/>
  <c r="GL53"/>
  <c r="GM53" s="1"/>
  <c r="IU54"/>
  <c r="EF49"/>
  <c r="EG49" s="1"/>
  <c r="HO52"/>
  <c r="HP52" s="1"/>
  <c r="IR47"/>
  <c r="IS47" s="1"/>
  <c r="GL46"/>
  <c r="GM46" s="1"/>
  <c r="T52"/>
  <c r="T52" i="39" s="1"/>
  <c r="IR46" i="77"/>
  <c r="IS46" s="1"/>
  <c r="GL44"/>
  <c r="GM44" s="1"/>
  <c r="EF47"/>
  <c r="EG47" s="1"/>
  <c r="T42"/>
  <c r="T38"/>
  <c r="T38" i="39" s="1"/>
  <c r="T22" i="77"/>
  <c r="T22" i="39" s="1"/>
  <c r="T27" i="77"/>
  <c r="T27" i="39" s="1"/>
  <c r="GL20" i="77"/>
  <c r="GM20" s="1"/>
  <c r="HJ73"/>
  <c r="HK73"/>
  <c r="EA72"/>
  <c r="EB72"/>
  <c r="BV68"/>
  <c r="BU68"/>
  <c r="EB69"/>
  <c r="EA69"/>
  <c r="AR65"/>
  <c r="AS65"/>
  <c r="CY64"/>
  <c r="CX64"/>
  <c r="O69"/>
  <c r="O69" i="39" s="1"/>
  <c r="P69" i="77"/>
  <c r="P69" i="39" s="1"/>
  <c r="CX67" i="77"/>
  <c r="CY67"/>
  <c r="IM66"/>
  <c r="IN66"/>
  <c r="GH64"/>
  <c r="GG64"/>
  <c r="GG63"/>
  <c r="GH63"/>
  <c r="BU63"/>
  <c r="BV63"/>
  <c r="EA66"/>
  <c r="EB66"/>
  <c r="CY59"/>
  <c r="CX59"/>
  <c r="HO50"/>
  <c r="HQ50" s="1"/>
  <c r="FD54"/>
  <c r="FE54"/>
  <c r="IN50"/>
  <c r="IM50"/>
  <c r="HK49"/>
  <c r="HJ49"/>
  <c r="IN60"/>
  <c r="IM60"/>
  <c r="GL55"/>
  <c r="HJ53"/>
  <c r="HK53"/>
  <c r="P49"/>
  <c r="O49"/>
  <c r="EA58"/>
  <c r="EB58"/>
  <c r="IM57"/>
  <c r="IN57"/>
  <c r="EA57"/>
  <c r="EB57"/>
  <c r="EA49"/>
  <c r="EB49"/>
  <c r="IM52"/>
  <c r="IN52"/>
  <c r="FD42"/>
  <c r="FE42"/>
  <c r="BV42"/>
  <c r="BU42"/>
  <c r="P46"/>
  <c r="O46"/>
  <c r="HJ45"/>
  <c r="HK45"/>
  <c r="EA44"/>
  <c r="EB44"/>
  <c r="FE36"/>
  <c r="FD36"/>
  <c r="IN34"/>
  <c r="IM34"/>
  <c r="GH32"/>
  <c r="GG32"/>
  <c r="BV32"/>
  <c r="BU32"/>
  <c r="AS37"/>
  <c r="AR37"/>
  <c r="EB36"/>
  <c r="EA36"/>
  <c r="IN33"/>
  <c r="IM33"/>
  <c r="O34"/>
  <c r="P34"/>
  <c r="AS20"/>
  <c r="AR20"/>
  <c r="IN38"/>
  <c r="IM38"/>
  <c r="HK37"/>
  <c r="HJ37"/>
  <c r="O36"/>
  <c r="P36"/>
  <c r="CX27"/>
  <c r="CY27"/>
  <c r="FE28"/>
  <c r="FD28"/>
  <c r="GH27"/>
  <c r="GG27"/>
  <c r="P26"/>
  <c r="O26"/>
  <c r="P23"/>
  <c r="O23"/>
  <c r="O27"/>
  <c r="P27"/>
  <c r="AR24"/>
  <c r="AS24"/>
  <c r="T67"/>
  <c r="HO66"/>
  <c r="HP66" s="1"/>
  <c r="AW66"/>
  <c r="AX66" s="1"/>
  <c r="EF55"/>
  <c r="EG55" s="1"/>
  <c r="AW50"/>
  <c r="AX50" s="1"/>
  <c r="EF46"/>
  <c r="EG46" s="1"/>
  <c r="HO46"/>
  <c r="EF53"/>
  <c r="EG53" s="1"/>
  <c r="HO27"/>
  <c r="HP27" s="1"/>
  <c r="GH68"/>
  <c r="GG68"/>
  <c r="AS70"/>
  <c r="AR70"/>
  <c r="AS69"/>
  <c r="AR69"/>
  <c r="EA64"/>
  <c r="EB64"/>
  <c r="HK66"/>
  <c r="HJ66"/>
  <c r="EA65"/>
  <c r="EB65"/>
  <c r="FE63"/>
  <c r="FD63"/>
  <c r="HJ68"/>
  <c r="HK68"/>
  <c r="GG62"/>
  <c r="GH62"/>
  <c r="P62"/>
  <c r="O62"/>
  <c r="HK60"/>
  <c r="HJ60"/>
  <c r="GH60"/>
  <c r="GG60"/>
  <c r="GH59"/>
  <c r="GG59"/>
  <c r="BV59"/>
  <c r="BU59"/>
  <c r="AW52"/>
  <c r="AY52" s="1"/>
  <c r="AR54"/>
  <c r="AS54"/>
  <c r="EB50"/>
  <c r="EA50"/>
  <c r="GG54"/>
  <c r="GH54"/>
  <c r="AR49"/>
  <c r="AS49"/>
  <c r="AR55"/>
  <c r="AS55"/>
  <c r="T54"/>
  <c r="V54" s="1"/>
  <c r="V54" i="39" s="1"/>
  <c r="HJ52" i="77"/>
  <c r="HK52"/>
  <c r="IM47"/>
  <c r="IN47"/>
  <c r="O52"/>
  <c r="P52"/>
  <c r="EA40"/>
  <c r="EB40"/>
  <c r="EB42"/>
  <c r="EA42"/>
  <c r="HJ48"/>
  <c r="HK48"/>
  <c r="AR58"/>
  <c r="AS58"/>
  <c r="GG39"/>
  <c r="GH39"/>
  <c r="EA47"/>
  <c r="EB47"/>
  <c r="CY38"/>
  <c r="CX38"/>
  <c r="HK32"/>
  <c r="HJ32"/>
  <c r="O38"/>
  <c r="P38"/>
  <c r="P39"/>
  <c r="O39"/>
  <c r="AS38"/>
  <c r="AR38"/>
  <c r="EB37"/>
  <c r="EA37"/>
  <c r="FE20"/>
  <c r="FD20"/>
  <c r="O11" i="39"/>
  <c r="P11"/>
  <c r="IN30" i="77"/>
  <c r="IM30"/>
  <c r="GH28"/>
  <c r="GG28"/>
  <c r="O18" i="39"/>
  <c r="P18"/>
  <c r="AS30" i="77"/>
  <c r="AR30"/>
  <c r="AS29"/>
  <c r="AR29"/>
  <c r="IR52"/>
  <c r="IS52" s="1"/>
  <c r="HO44"/>
  <c r="HP44" s="1"/>
  <c r="HO54"/>
  <c r="HP54" s="1"/>
  <c r="FI47"/>
  <c r="FJ47" s="1"/>
  <c r="T37"/>
  <c r="FI20"/>
  <c r="FJ20" s="1"/>
  <c r="O73"/>
  <c r="P73"/>
  <c r="AS73"/>
  <c r="AR73"/>
  <c r="BV70"/>
  <c r="BU70"/>
  <c r="GH69"/>
  <c r="GG69"/>
  <c r="BV69"/>
  <c r="BU69"/>
  <c r="HJ65"/>
  <c r="HK65"/>
  <c r="CX65"/>
  <c r="CY65"/>
  <c r="AR66"/>
  <c r="AS66"/>
  <c r="HK64"/>
  <c r="HJ64"/>
  <c r="P64"/>
  <c r="O64"/>
  <c r="AR67"/>
  <c r="AS67"/>
  <c r="P63"/>
  <c r="O63"/>
  <c r="P59"/>
  <c r="O59"/>
  <c r="FE60"/>
  <c r="FD60"/>
  <c r="AS60"/>
  <c r="AR60"/>
  <c r="AS59"/>
  <c r="AR59"/>
  <c r="FI52"/>
  <c r="FL52" s="1"/>
  <c r="IM55"/>
  <c r="IN55"/>
  <c r="GH53"/>
  <c r="GG53"/>
  <c r="GH52"/>
  <c r="GG52"/>
  <c r="BV58"/>
  <c r="BU58"/>
  <c r="GH57"/>
  <c r="GG57"/>
  <c r="IM49"/>
  <c r="IN49"/>
  <c r="IN48"/>
  <c r="IM48"/>
  <c r="GG50"/>
  <c r="GH50"/>
  <c r="GG45"/>
  <c r="GH45"/>
  <c r="FD55"/>
  <c r="FE55"/>
  <c r="AR50"/>
  <c r="AS50"/>
  <c r="IM40"/>
  <c r="IN40"/>
  <c r="AS39"/>
  <c r="AR39"/>
  <c r="GH48"/>
  <c r="GG48"/>
  <c r="CY42"/>
  <c r="CX42"/>
  <c r="IN46"/>
  <c r="IM46"/>
  <c r="AR46"/>
  <c r="AS46"/>
  <c r="P40"/>
  <c r="O40"/>
  <c r="EB53"/>
  <c r="EA53"/>
  <c r="FD46"/>
  <c r="FE46"/>
  <c r="O44"/>
  <c r="P44"/>
  <c r="GG44"/>
  <c r="GH44"/>
  <c r="IN32"/>
  <c r="IM32"/>
  <c r="IN36"/>
  <c r="IM36"/>
  <c r="HK33"/>
  <c r="HJ33"/>
  <c r="FE33"/>
  <c r="FD33"/>
  <c r="O30"/>
  <c r="P30"/>
  <c r="EB38"/>
  <c r="EA38"/>
  <c r="CY37"/>
  <c r="CX37"/>
  <c r="BV36"/>
  <c r="BU36"/>
  <c r="GG20"/>
  <c r="GH20"/>
  <c r="O12" i="39"/>
  <c r="P12"/>
  <c r="GH30" i="77"/>
  <c r="GG30"/>
  <c r="BV27"/>
  <c r="BU27"/>
  <c r="P24"/>
  <c r="O24"/>
  <c r="P22"/>
  <c r="O22"/>
  <c r="HK30"/>
  <c r="HJ30"/>
  <c r="FD26"/>
  <c r="FE26"/>
  <c r="FD24"/>
  <c r="FE24"/>
  <c r="FD23"/>
  <c r="FE23"/>
  <c r="O33"/>
  <c r="P33"/>
  <c r="HK28"/>
  <c r="HJ28"/>
  <c r="HK20"/>
  <c r="HJ20"/>
  <c r="P20"/>
  <c r="O20"/>
  <c r="T69"/>
  <c r="AW54"/>
  <c r="AX54" s="1"/>
  <c r="GL45"/>
  <c r="GM45" s="1"/>
  <c r="T32"/>
  <c r="DC27"/>
  <c r="DD27" s="1"/>
  <c r="AW20"/>
  <c r="AX20" s="1"/>
  <c r="IM257"/>
  <c r="IN257"/>
  <c r="GH248"/>
  <c r="GG248"/>
  <c r="GG247"/>
  <c r="GH247"/>
  <c r="GG246"/>
  <c r="GH246"/>
  <c r="BU246"/>
  <c r="BV246"/>
  <c r="CX245"/>
  <c r="CY245"/>
  <c r="BV237"/>
  <c r="BU237"/>
  <c r="O242"/>
  <c r="P242"/>
  <c r="O239"/>
  <c r="P239"/>
  <c r="O238"/>
  <c r="O238" i="39" s="1"/>
  <c r="P238" i="77"/>
  <c r="P238" i="39" s="1"/>
  <c r="AR242" i="77"/>
  <c r="AS242"/>
  <c r="AR239"/>
  <c r="AS239"/>
  <c r="AR238"/>
  <c r="O238" i="65" s="1"/>
  <c r="AS238" i="77"/>
  <c r="P238" i="65" s="1"/>
  <c r="EA239" i="77"/>
  <c r="EB239"/>
  <c r="EA238"/>
  <c r="O238" i="70" s="1"/>
  <c r="EB238" i="77"/>
  <c r="P238" i="70" s="1"/>
  <c r="O237" i="77"/>
  <c r="P237"/>
  <c r="O233"/>
  <c r="O233" i="39" s="1"/>
  <c r="P233" i="77"/>
  <c r="P233" i="39" s="1"/>
  <c r="HJ242" i="77"/>
  <c r="HK242"/>
  <c r="O215" i="39"/>
  <c r="P215"/>
  <c r="GG204" i="77"/>
  <c r="GH204"/>
  <c r="P200"/>
  <c r="O200"/>
  <c r="O181" i="71"/>
  <c r="P181"/>
  <c r="O180"/>
  <c r="P180"/>
  <c r="HJ204" i="77"/>
  <c r="HK204"/>
  <c r="P183" i="69"/>
  <c r="O183"/>
  <c r="P182"/>
  <c r="O182"/>
  <c r="O181" i="39"/>
  <c r="P181"/>
  <c r="O183" i="72"/>
  <c r="P183"/>
  <c r="O182"/>
  <c r="P182"/>
  <c r="O181"/>
  <c r="P181"/>
  <c r="IN204" i="77"/>
  <c r="IM204"/>
  <c r="O183" i="71"/>
  <c r="P183"/>
  <c r="O182"/>
  <c r="P182"/>
  <c r="O182" i="74"/>
  <c r="P182"/>
  <c r="O181"/>
  <c r="P181"/>
  <c r="P162" i="70"/>
  <c r="O162"/>
  <c r="P170" i="71"/>
  <c r="O170"/>
  <c r="P169" i="74"/>
  <c r="O169"/>
  <c r="P162" i="72"/>
  <c r="O162"/>
  <c r="O162" i="65"/>
  <c r="P162"/>
  <c r="P131" i="72"/>
  <c r="O131"/>
  <c r="O114"/>
  <c r="P114"/>
  <c r="GG85" i="77"/>
  <c r="O85" i="72" s="1"/>
  <c r="GH85" i="77"/>
  <c r="P85" i="72" s="1"/>
  <c r="IM95" i="77"/>
  <c r="IN95"/>
  <c r="HJ93"/>
  <c r="HK93"/>
  <c r="GG92"/>
  <c r="GH92"/>
  <c r="O92"/>
  <c r="O94" i="39" s="1"/>
  <c r="P92" i="77"/>
  <c r="P94" i="39" s="1"/>
  <c r="EA84" i="77"/>
  <c r="O84" i="70" s="1"/>
  <c r="EB84" i="77"/>
  <c r="P84" i="70" s="1"/>
  <c r="O100" i="39"/>
  <c r="P100"/>
  <c r="GG90" i="77"/>
  <c r="GH90"/>
  <c r="O90"/>
  <c r="P90"/>
  <c r="EA82"/>
  <c r="EB82"/>
  <c r="HJ92"/>
  <c r="HK92"/>
  <c r="IM83"/>
  <c r="O83" i="74" s="1"/>
  <c r="IN83" i="77"/>
  <c r="P83" i="74" s="1"/>
  <c r="T246" i="77"/>
  <c r="T88"/>
  <c r="T79" i="39"/>
  <c r="IM256" i="77"/>
  <c r="IN256"/>
  <c r="GG256"/>
  <c r="GH256"/>
  <c r="EA256"/>
  <c r="EB256"/>
  <c r="BU256"/>
  <c r="BV256"/>
  <c r="P249"/>
  <c r="O249"/>
  <c r="AS248"/>
  <c r="AR248"/>
  <c r="O257"/>
  <c r="O257" i="39" s="1"/>
  <c r="P257" i="77"/>
  <c r="P257" i="39" s="1"/>
  <c r="GG257" i="77"/>
  <c r="GH257"/>
  <c r="AR256"/>
  <c r="AS256"/>
  <c r="IM255"/>
  <c r="IN255"/>
  <c r="HK248"/>
  <c r="HJ248"/>
  <c r="HJ246"/>
  <c r="HK246"/>
  <c r="FD255"/>
  <c r="FE255"/>
  <c r="GH253"/>
  <c r="GG253"/>
  <c r="BV253"/>
  <c r="BU253"/>
  <c r="O247"/>
  <c r="O250" i="39" s="1"/>
  <c r="P247" i="77"/>
  <c r="P250" i="39" s="1"/>
  <c r="O253" i="77"/>
  <c r="P253"/>
  <c r="FD249"/>
  <c r="FE249"/>
  <c r="EB245"/>
  <c r="EA245"/>
  <c r="O234"/>
  <c r="O234" i="39" s="1"/>
  <c r="P234" i="77"/>
  <c r="P234" i="39" s="1"/>
  <c r="GG242" i="77"/>
  <c r="GH242"/>
  <c r="IN224"/>
  <c r="IM224"/>
  <c r="BU204"/>
  <c r="BV204"/>
  <c r="GG200"/>
  <c r="GH200"/>
  <c r="AS232"/>
  <c r="P232" i="65" s="1"/>
  <c r="AR232" i="77"/>
  <c r="O232" i="65" s="1"/>
  <c r="IN227" i="77"/>
  <c r="P227" i="74" s="1"/>
  <c r="IM227" i="77"/>
  <c r="O227" i="74" s="1"/>
  <c r="GH232" i="77"/>
  <c r="P232" i="72" s="1"/>
  <c r="GG232" i="77"/>
  <c r="O232" i="72" s="1"/>
  <c r="AS227" i="77"/>
  <c r="P227" i="65" s="1"/>
  <c r="AR227" i="77"/>
  <c r="O227" i="65" s="1"/>
  <c r="O181" i="68"/>
  <c r="P181"/>
  <c r="O180" i="72"/>
  <c r="P180"/>
  <c r="O180" i="68"/>
  <c r="P180"/>
  <c r="P170" i="72"/>
  <c r="O170"/>
  <c r="P169" i="71"/>
  <c r="O169"/>
  <c r="P138" i="74"/>
  <c r="O138"/>
  <c r="P137" i="73"/>
  <c r="O137"/>
  <c r="P286" i="74"/>
  <c r="O286"/>
  <c r="P114"/>
  <c r="O114"/>
  <c r="P112"/>
  <c r="O112"/>
  <c r="P138" i="72"/>
  <c r="O138"/>
  <c r="P131" i="73"/>
  <c r="O131"/>
  <c r="O112" i="72"/>
  <c r="P112"/>
  <c r="O112" i="68"/>
  <c r="P112"/>
  <c r="U286" i="39"/>
  <c r="O286"/>
  <c r="P137" i="71"/>
  <c r="O137"/>
  <c r="P131" i="74"/>
  <c r="O131"/>
  <c r="O114" i="71"/>
  <c r="P114"/>
  <c r="O114" i="65"/>
  <c r="P114"/>
  <c r="P137" i="72"/>
  <c r="O137"/>
  <c r="O286" i="68"/>
  <c r="P286"/>
  <c r="IM90" i="77"/>
  <c r="IN90"/>
  <c r="HJ88"/>
  <c r="O88" i="73" s="1"/>
  <c r="HK88" i="77"/>
  <c r="P88" i="73" s="1"/>
  <c r="GG86" i="77"/>
  <c r="O86" i="72" s="1"/>
  <c r="GH86" i="77"/>
  <c r="P86" i="72" s="1"/>
  <c r="O86" i="77"/>
  <c r="P86"/>
  <c r="GG93"/>
  <c r="GH93"/>
  <c r="GG88"/>
  <c r="O88" i="72" s="1"/>
  <c r="GH88" i="77"/>
  <c r="P88" i="72" s="1"/>
  <c r="O83" i="77"/>
  <c r="P83"/>
  <c r="P138" i="71"/>
  <c r="O138"/>
  <c r="O286" i="73"/>
  <c r="P286"/>
  <c r="EA96" i="77"/>
  <c r="EB96"/>
  <c r="O93"/>
  <c r="P93"/>
  <c r="IM85"/>
  <c r="O85" i="74" s="1"/>
  <c r="IN85" i="77"/>
  <c r="P85" i="74" s="1"/>
  <c r="HJ84" i="77"/>
  <c r="O84" i="73" s="1"/>
  <c r="HK84" i="77"/>
  <c r="P84" i="73" s="1"/>
  <c r="AR82" i="77"/>
  <c r="AS82"/>
  <c r="FD88"/>
  <c r="O88" i="71" s="1"/>
  <c r="FE88" i="77"/>
  <c r="P88" i="71" s="1"/>
  <c r="IM86" i="77"/>
  <c r="O86" i="74" s="1"/>
  <c r="IN86" i="77"/>
  <c r="P86" i="74" s="1"/>
  <c r="HJ85" i="77"/>
  <c r="O85" i="73" s="1"/>
  <c r="HK85" i="77"/>
  <c r="P85" i="73" s="1"/>
  <c r="GG84" i="77"/>
  <c r="O84" i="72" s="1"/>
  <c r="GH84" i="77"/>
  <c r="P84" i="72" s="1"/>
  <c r="O84" i="77"/>
  <c r="O84" i="39" s="1"/>
  <c r="P84" i="77"/>
  <c r="P84" i="39" s="1"/>
  <c r="O96" i="77"/>
  <c r="O97" i="39" s="1"/>
  <c r="P96" i="77"/>
  <c r="P97" i="39" s="1"/>
  <c r="AR90" i="77"/>
  <c r="AS90"/>
  <c r="CX86"/>
  <c r="O86" i="69" s="1"/>
  <c r="CY86" i="77"/>
  <c r="P86" i="69" s="1"/>
  <c r="O85" i="77"/>
  <c r="P85"/>
  <c r="T257"/>
  <c r="GL255"/>
  <c r="GM255" s="1"/>
  <c r="GL249"/>
  <c r="GM249" s="1"/>
  <c r="T207" i="39"/>
  <c r="T98"/>
  <c r="T95" i="77"/>
  <c r="HJ257"/>
  <c r="HK257"/>
  <c r="FD257"/>
  <c r="FE257"/>
  <c r="AR257"/>
  <c r="AS257"/>
  <c r="BU249"/>
  <c r="BV249"/>
  <c r="IN248"/>
  <c r="IM248"/>
  <c r="IM247"/>
  <c r="IN247"/>
  <c r="EA247"/>
  <c r="EB247"/>
  <c r="IM246"/>
  <c r="IN246"/>
  <c r="IN253"/>
  <c r="IM253"/>
  <c r="AS253"/>
  <c r="AR253"/>
  <c r="GG255"/>
  <c r="GH255"/>
  <c r="O246"/>
  <c r="P246"/>
  <c r="HJ245"/>
  <c r="HK245"/>
  <c r="HJ244"/>
  <c r="HK244"/>
  <c r="GH239"/>
  <c r="GG239"/>
  <c r="GH238"/>
  <c r="P238" i="72" s="1"/>
  <c r="GG238" i="77"/>
  <c r="O238" i="72" s="1"/>
  <c r="GH237" i="77"/>
  <c r="GG237"/>
  <c r="GG245"/>
  <c r="GH245"/>
  <c r="FD244"/>
  <c r="FE244"/>
  <c r="FD239"/>
  <c r="FE239"/>
  <c r="FD238"/>
  <c r="O238" i="71" s="1"/>
  <c r="FE238" i="77"/>
  <c r="P238" i="71" s="1"/>
  <c r="FD237" i="77"/>
  <c r="FE237"/>
  <c r="IM239"/>
  <c r="IN239"/>
  <c r="IM238"/>
  <c r="O238" i="74" s="1"/>
  <c r="IN238" i="77"/>
  <c r="P238" i="74" s="1"/>
  <c r="IM237" i="77"/>
  <c r="IN237"/>
  <c r="O235"/>
  <c r="O235" i="39" s="1"/>
  <c r="P235" i="77"/>
  <c r="P235" i="39" s="1"/>
  <c r="CX244" i="77"/>
  <c r="CY244"/>
  <c r="FD242"/>
  <c r="FE242"/>
  <c r="O232"/>
  <c r="O232" i="39" s="1"/>
  <c r="P232" i="77"/>
  <c r="P232" i="39" s="1"/>
  <c r="EB224" i="77"/>
  <c r="EA224"/>
  <c r="P205"/>
  <c r="O205"/>
  <c r="GH227"/>
  <c r="P227" i="72" s="1"/>
  <c r="GG227" i="77"/>
  <c r="O227" i="72" s="1"/>
  <c r="EB232" i="77"/>
  <c r="P232" i="70" s="1"/>
  <c r="EA232" i="77"/>
  <c r="O232" i="70" s="1"/>
  <c r="HK227" i="77"/>
  <c r="P227" i="73" s="1"/>
  <c r="HJ227" i="77"/>
  <c r="O227" i="73" s="1"/>
  <c r="EB200" i="77"/>
  <c r="EA200"/>
  <c r="O180" i="73"/>
  <c r="P180"/>
  <c r="P182"/>
  <c r="O182"/>
  <c r="P181"/>
  <c r="O181"/>
  <c r="HJ200" i="77"/>
  <c r="HK200"/>
  <c r="P183" i="39"/>
  <c r="O183"/>
  <c r="P182"/>
  <c r="O182"/>
  <c r="P170" i="73"/>
  <c r="O170"/>
  <c r="P169" i="72"/>
  <c r="O169"/>
  <c r="P162" i="74"/>
  <c r="O162"/>
  <c r="O162" i="71"/>
  <c r="P162"/>
  <c r="O112" i="65"/>
  <c r="P112"/>
  <c r="P138"/>
  <c r="O138"/>
  <c r="P169" i="73"/>
  <c r="O169"/>
  <c r="P169" i="65"/>
  <c r="O169"/>
  <c r="O286" i="71"/>
  <c r="P286"/>
  <c r="GG96" i="77"/>
  <c r="GH96"/>
  <c r="CX92"/>
  <c r="CY92"/>
  <c r="FD90"/>
  <c r="FE90"/>
  <c r="HJ86"/>
  <c r="O86" i="73" s="1"/>
  <c r="HK86" i="77"/>
  <c r="P86" i="73" s="1"/>
  <c r="FD84" i="77"/>
  <c r="O84" i="71" s="1"/>
  <c r="FE84" i="77"/>
  <c r="P84" i="71" s="1"/>
  <c r="HJ82" i="77"/>
  <c r="HK82"/>
  <c r="AR96"/>
  <c r="AS96"/>
  <c r="EA95"/>
  <c r="EB95"/>
  <c r="CX93"/>
  <c r="CY93"/>
  <c r="FD85"/>
  <c r="O85" i="71" s="1"/>
  <c r="FE85" i="77"/>
  <c r="P85" i="71" s="1"/>
  <c r="IM84" i="77"/>
  <c r="O84" i="74" s="1"/>
  <c r="IN84" i="77"/>
  <c r="P84" i="74" s="1"/>
  <c r="HJ83" i="77"/>
  <c r="O83" i="73" s="1"/>
  <c r="HK83" i="77"/>
  <c r="P83" i="73" s="1"/>
  <c r="GG82" i="77"/>
  <c r="GH82"/>
  <c r="O82"/>
  <c r="P82"/>
  <c r="O286" i="69"/>
  <c r="P286"/>
  <c r="AR92" i="77"/>
  <c r="AS92"/>
  <c r="O88"/>
  <c r="O88" i="39" s="1"/>
  <c r="P88" i="77"/>
  <c r="P88" i="39" s="1"/>
  <c r="O114"/>
  <c r="P114"/>
  <c r="AR93" i="77"/>
  <c r="AS93"/>
  <c r="EA92"/>
  <c r="EB92"/>
  <c r="FD83"/>
  <c r="O83" i="71" s="1"/>
  <c r="FE83" i="77"/>
  <c r="P83" i="71" s="1"/>
  <c r="IM82" i="77"/>
  <c r="IN82"/>
  <c r="FD95"/>
  <c r="FE95"/>
  <c r="EA93"/>
  <c r="EB93"/>
  <c r="T247"/>
  <c r="T247" i="39" s="1"/>
  <c r="T92" i="77"/>
  <c r="T90"/>
  <c r="FE248"/>
  <c r="FD248"/>
  <c r="FD247"/>
  <c r="FE247"/>
  <c r="AR247"/>
  <c r="AS247"/>
  <c r="FD246"/>
  <c r="FE246"/>
  <c r="EB253"/>
  <c r="EA253"/>
  <c r="BU255"/>
  <c r="BV255"/>
  <c r="IN244"/>
  <c r="IM244"/>
  <c r="AR245"/>
  <c r="AS245"/>
  <c r="O236"/>
  <c r="O236" i="39" s="1"/>
  <c r="P236" i="77"/>
  <c r="P236" i="39" s="1"/>
  <c r="BU244" i="77"/>
  <c r="BV244"/>
  <c r="IM242"/>
  <c r="IN242"/>
  <c r="CY237"/>
  <c r="CX237"/>
  <c r="AS224"/>
  <c r="AR224"/>
  <c r="O226"/>
  <c r="O226" i="39" s="1"/>
  <c r="P226" i="77"/>
  <c r="P226" i="39" s="1"/>
  <c r="GG205" i="77"/>
  <c r="GH205"/>
  <c r="P204"/>
  <c r="O204"/>
  <c r="FE232"/>
  <c r="P232" i="71" s="1"/>
  <c r="FD232" i="77"/>
  <c r="O232" i="71" s="1"/>
  <c r="GH224" i="77"/>
  <c r="GG224"/>
  <c r="FE227"/>
  <c r="P227" i="71" s="1"/>
  <c r="FD227" i="77"/>
  <c r="O227" i="71" s="1"/>
  <c r="HK224" i="77"/>
  <c r="HJ224"/>
  <c r="IN200"/>
  <c r="IM200"/>
  <c r="O180" i="74"/>
  <c r="P180"/>
  <c r="P170" i="68"/>
  <c r="O170"/>
  <c r="O183" i="74"/>
  <c r="P183"/>
  <c r="O183" i="70"/>
  <c r="P183"/>
  <c r="P170" i="74"/>
  <c r="O170"/>
  <c r="P138" i="70"/>
  <c r="O138"/>
  <c r="P131" i="65"/>
  <c r="O131"/>
  <c r="P112" i="70"/>
  <c r="O112"/>
  <c r="P137"/>
  <c r="O137"/>
  <c r="P131"/>
  <c r="O131"/>
  <c r="P137" i="74"/>
  <c r="O137"/>
  <c r="O114" i="73"/>
  <c r="P114"/>
  <c r="CX88" i="77"/>
  <c r="O88" i="69" s="1"/>
  <c r="CY88" i="77"/>
  <c r="P88" i="69" s="1"/>
  <c r="IM96" i="77"/>
  <c r="IN96"/>
  <c r="HJ90"/>
  <c r="HK90"/>
  <c r="FD86"/>
  <c r="O86" i="71" s="1"/>
  <c r="FE86" i="77"/>
  <c r="P86" i="71" s="1"/>
  <c r="BU83" i="77"/>
  <c r="O83" i="68" s="1"/>
  <c r="BV83" i="77"/>
  <c r="P83" i="68" s="1"/>
  <c r="HJ95" i="77"/>
  <c r="HK95"/>
  <c r="GG83"/>
  <c r="O83" i="72" s="1"/>
  <c r="GH83" i="77"/>
  <c r="P83" i="72" s="1"/>
  <c r="HJ96" i="77"/>
  <c r="HK96"/>
  <c r="GG95"/>
  <c r="GH95"/>
  <c r="O95"/>
  <c r="P95"/>
  <c r="IM88"/>
  <c r="O88" i="74" s="1"/>
  <c r="IN88" i="77"/>
  <c r="P88" i="74" s="1"/>
  <c r="BU85" i="77"/>
  <c r="O85" i="68" s="1"/>
  <c r="BV85" i="77"/>
  <c r="P85" i="68" s="1"/>
  <c r="T248" i="77"/>
  <c r="T248" i="39" s="1"/>
  <c r="T180"/>
  <c r="T86" i="77"/>
  <c r="T86" i="39" s="1"/>
  <c r="T83" i="77"/>
  <c r="T83" i="39" s="1"/>
  <c r="T93" i="77"/>
  <c r="T96"/>
  <c r="T85"/>
  <c r="T85" i="39" s="1"/>
  <c r="HJ374" i="77"/>
  <c r="HK374"/>
  <c r="FD374"/>
  <c r="FE374"/>
  <c r="IM373"/>
  <c r="IN373"/>
  <c r="BU373"/>
  <c r="BV373"/>
  <c r="BU374"/>
  <c r="BV374"/>
  <c r="FD389"/>
  <c r="FE389"/>
  <c r="CX389"/>
  <c r="CY389"/>
  <c r="GH380"/>
  <c r="P380" i="72" s="1"/>
  <c r="GG380" i="77"/>
  <c r="O380" i="72" s="1"/>
  <c r="FE380" i="77"/>
  <c r="P380" i="71" s="1"/>
  <c r="FD380" i="77"/>
  <c r="O380" i="71" s="1"/>
  <c r="IN378" i="77"/>
  <c r="P378" i="74" s="1"/>
  <c r="IM378" i="77"/>
  <c r="O378" i="74" s="1"/>
  <c r="BU378" i="77"/>
  <c r="O378" i="68" s="1"/>
  <c r="BV378" i="77"/>
  <c r="P378" i="68" s="1"/>
  <c r="GG370" i="77"/>
  <c r="O370" i="72" s="1"/>
  <c r="GH370" i="77"/>
  <c r="P370" i="72" s="1"/>
  <c r="FD368" i="77"/>
  <c r="FE368"/>
  <c r="P374"/>
  <c r="O374"/>
  <c r="HJ369"/>
  <c r="O369" i="73" s="1"/>
  <c r="HK369" i="77"/>
  <c r="P369" i="73" s="1"/>
  <c r="BU370" i="77"/>
  <c r="O370" i="68" s="1"/>
  <c r="BV370" i="77"/>
  <c r="P370" i="68" s="1"/>
  <c r="BU368" i="77"/>
  <c r="BV368"/>
  <c r="O361" i="65"/>
  <c r="P361"/>
  <c r="GH359" i="77"/>
  <c r="P359" i="72" s="1"/>
  <c r="GG359" i="77"/>
  <c r="O359" i="72" s="1"/>
  <c r="BV359" i="77"/>
  <c r="P359" i="68" s="1"/>
  <c r="BU359" i="77"/>
  <c r="O359" i="68" s="1"/>
  <c r="O361" i="71"/>
  <c r="P361"/>
  <c r="CX360" i="77"/>
  <c r="O360" i="69" s="1"/>
  <c r="CY360" i="77"/>
  <c r="P360" i="69" s="1"/>
  <c r="FE367" i="77"/>
  <c r="FD367"/>
  <c r="HK357"/>
  <c r="HJ357"/>
  <c r="GH355"/>
  <c r="GG355"/>
  <c r="FE353"/>
  <c r="FD353"/>
  <c r="HK352"/>
  <c r="HJ352"/>
  <c r="GH357"/>
  <c r="GG357"/>
  <c r="IN353"/>
  <c r="IM353"/>
  <c r="AW370"/>
  <c r="FI370"/>
  <c r="CY380"/>
  <c r="P380" i="69" s="1"/>
  <c r="CX380" i="77"/>
  <c r="O380" i="69" s="1"/>
  <c r="FE378" i="77"/>
  <c r="P378" i="71" s="1"/>
  <c r="FD378" i="77"/>
  <c r="O378" i="71" s="1"/>
  <c r="IN360" i="77"/>
  <c r="P360" i="74" s="1"/>
  <c r="IM360" i="77"/>
  <c r="O360" i="74" s="1"/>
  <c r="IN358" i="77"/>
  <c r="P358" i="74" s="1"/>
  <c r="IM358" i="77"/>
  <c r="O358" i="74" s="1"/>
  <c r="GG369" i="77"/>
  <c r="O369" i="72" s="1"/>
  <c r="GH369" i="77"/>
  <c r="P369" i="72" s="1"/>
  <c r="HJ368" i="77"/>
  <c r="HK368"/>
  <c r="FD358"/>
  <c r="O358" i="71" s="1"/>
  <c r="FE358" i="77"/>
  <c r="P358" i="71" s="1"/>
  <c r="EB352" i="77"/>
  <c r="EA352"/>
  <c r="EB355"/>
  <c r="EA355"/>
  <c r="AS353"/>
  <c r="AR353"/>
  <c r="O389"/>
  <c r="P389"/>
  <c r="O378"/>
  <c r="O378" i="39" s="1"/>
  <c r="P378" i="77"/>
  <c r="P378" i="39" s="1"/>
  <c r="IM388" i="77"/>
  <c r="IN388"/>
  <c r="GG388"/>
  <c r="GH388"/>
  <c r="GH378"/>
  <c r="P378" i="72" s="1"/>
  <c r="GG378" i="77"/>
  <c r="O378" i="72" s="1"/>
  <c r="IM374" i="77"/>
  <c r="IN374"/>
  <c r="GG374"/>
  <c r="GH374"/>
  <c r="O367"/>
  <c r="P367"/>
  <c r="FD373"/>
  <c r="FE373"/>
  <c r="IM369"/>
  <c r="O369" i="74" s="1"/>
  <c r="IN369" i="77"/>
  <c r="P369" i="74" s="1"/>
  <c r="EA373" i="77"/>
  <c r="EB373"/>
  <c r="HJ360"/>
  <c r="O360" i="73" s="1"/>
  <c r="HK360" i="77"/>
  <c r="P360" i="73" s="1"/>
  <c r="FE359" i="77"/>
  <c r="P359" i="71" s="1"/>
  <c r="FD359" i="77"/>
  <c r="O359" i="71" s="1"/>
  <c r="GG360" i="77"/>
  <c r="O360" i="72" s="1"/>
  <c r="GH360" i="77"/>
  <c r="P360" i="72" s="1"/>
  <c r="AS367" i="77"/>
  <c r="AR367"/>
  <c r="O358"/>
  <c r="O358" i="39" s="1"/>
  <c r="P358" i="77"/>
  <c r="P358" i="39" s="1"/>
  <c r="O355" i="77"/>
  <c r="P355"/>
  <c r="IN357"/>
  <c r="IM357"/>
  <c r="HK355"/>
  <c r="HJ355"/>
  <c r="GH353"/>
  <c r="GG353"/>
  <c r="FE357"/>
  <c r="FD357"/>
  <c r="IN355"/>
  <c r="IM355"/>
  <c r="IN352"/>
  <c r="IM352"/>
  <c r="FI367"/>
  <c r="FJ367" s="1"/>
  <c r="IR367"/>
  <c r="IT367" s="1"/>
  <c r="T352"/>
  <c r="T352" i="39" s="1"/>
  <c r="FD388" i="77"/>
  <c r="FE388"/>
  <c r="O369"/>
  <c r="O369" i="39" s="1"/>
  <c r="P369" i="77"/>
  <c r="P369" i="39" s="1"/>
  <c r="P361" i="74"/>
  <c r="O361"/>
  <c r="IN359" i="77"/>
  <c r="P359" i="74" s="1"/>
  <c r="IM359" i="77"/>
  <c r="O359" i="74" s="1"/>
  <c r="BU369" i="77"/>
  <c r="O369" i="68" s="1"/>
  <c r="BV369" i="77"/>
  <c r="P369" i="68" s="1"/>
  <c r="HK367" i="77"/>
  <c r="HJ367"/>
  <c r="HJ359"/>
  <c r="O359" i="73" s="1"/>
  <c r="HK359" i="77"/>
  <c r="P359" i="73" s="1"/>
  <c r="O357" i="77"/>
  <c r="P357"/>
  <c r="O353"/>
  <c r="P353"/>
  <c r="IM389"/>
  <c r="IN389"/>
  <c r="GG389"/>
  <c r="GH389"/>
  <c r="BU389"/>
  <c r="BV389"/>
  <c r="CY388"/>
  <c r="CX388"/>
  <c r="BV388"/>
  <c r="BU388"/>
  <c r="BV380"/>
  <c r="P380" i="68" s="1"/>
  <c r="BU380" i="77"/>
  <c r="O380" i="68" s="1"/>
  <c r="CX378" i="77"/>
  <c r="O378" i="69" s="1"/>
  <c r="CY378" i="77"/>
  <c r="P378" i="69" s="1"/>
  <c r="IN380" i="77"/>
  <c r="P380" i="74" s="1"/>
  <c r="IM380" i="77"/>
  <c r="O380" i="74" s="1"/>
  <c r="AR370" i="77"/>
  <c r="O370" i="65" s="1"/>
  <c r="AS370" i="77"/>
  <c r="P370" i="65" s="1"/>
  <c r="AR368" i="77"/>
  <c r="AS368"/>
  <c r="FE370"/>
  <c r="P370" i="71" s="1"/>
  <c r="FD370" i="77"/>
  <c r="O370" i="71" s="1"/>
  <c r="O370" i="77"/>
  <c r="O370" i="39" s="1"/>
  <c r="P370" i="77"/>
  <c r="P370" i="39" s="1"/>
  <c r="FD369" i="77"/>
  <c r="O369" i="71" s="1"/>
  <c r="FE369" i="77"/>
  <c r="P369" i="71" s="1"/>
  <c r="GG368" i="77"/>
  <c r="GH368"/>
  <c r="P361" i="72"/>
  <c r="O361"/>
  <c r="FD360" i="77"/>
  <c r="O360" i="71" s="1"/>
  <c r="FE360" i="77"/>
  <c r="P360" i="71" s="1"/>
  <c r="O361" i="73"/>
  <c r="P361"/>
  <c r="GG358" i="77"/>
  <c r="O358" i="72" s="1"/>
  <c r="GH358" i="77"/>
  <c r="P358" i="72" s="1"/>
  <c r="O359" i="77"/>
  <c r="O359" i="39" s="1"/>
  <c r="P359" i="77"/>
  <c r="P359" i="39" s="1"/>
  <c r="GH352" i="77"/>
  <c r="GG352"/>
  <c r="BV357"/>
  <c r="BU357"/>
  <c r="AS355"/>
  <c r="AR355"/>
  <c r="EB353"/>
  <c r="EA353"/>
  <c r="AS352"/>
  <c r="AR352"/>
  <c r="O352"/>
  <c r="O352" i="39" s="1"/>
  <c r="P352" i="77"/>
  <c r="P352" i="39" s="1"/>
  <c r="IR373" i="77"/>
  <c r="IS373" s="1"/>
  <c r="AW367"/>
  <c r="AX367" s="1"/>
  <c r="EF367"/>
  <c r="EG367" s="1"/>
  <c r="AS438"/>
  <c r="AR438"/>
  <c r="HK432"/>
  <c r="HJ432"/>
  <c r="CX434"/>
  <c r="CY434"/>
  <c r="O435"/>
  <c r="P435"/>
  <c r="EA432"/>
  <c r="EB432"/>
  <c r="O428"/>
  <c r="O428" i="39" s="1"/>
  <c r="P428" i="77"/>
  <c r="P428" i="39" s="1"/>
  <c r="HK428" i="77"/>
  <c r="HJ428"/>
  <c r="IN427"/>
  <c r="IM427"/>
  <c r="FE422"/>
  <c r="FD422"/>
  <c r="AR429"/>
  <c r="AS429"/>
  <c r="BV427"/>
  <c r="BU427"/>
  <c r="HJ422"/>
  <c r="HK422"/>
  <c r="FE425"/>
  <c r="FD425"/>
  <c r="FE420"/>
  <c r="FD420"/>
  <c r="P420"/>
  <c r="O420"/>
  <c r="O405"/>
  <c r="P405"/>
  <c r="FD402"/>
  <c r="FE402"/>
  <c r="P429"/>
  <c r="O429"/>
  <c r="AR427"/>
  <c r="AS427"/>
  <c r="AS423"/>
  <c r="AR423"/>
  <c r="GH407"/>
  <c r="GG407"/>
  <c r="O402"/>
  <c r="P402"/>
  <c r="EA400"/>
  <c r="EB400"/>
  <c r="HJ404"/>
  <c r="HK404"/>
  <c r="FI406"/>
  <c r="FJ406" s="1"/>
  <c r="IR400"/>
  <c r="IS400" s="1"/>
  <c r="IM434"/>
  <c r="IN434"/>
  <c r="EA435"/>
  <c r="EB435"/>
  <c r="IM435"/>
  <c r="IN435"/>
  <c r="HK434"/>
  <c r="HJ434"/>
  <c r="O443"/>
  <c r="P443"/>
  <c r="EB439"/>
  <c r="EA439"/>
  <c r="BU436"/>
  <c r="BV436"/>
  <c r="HJ435"/>
  <c r="HK435"/>
  <c r="FE432"/>
  <c r="FD432"/>
  <c r="O442"/>
  <c r="O442" i="39" s="1"/>
  <c r="P442" i="77"/>
  <c r="P442" i="39" s="1"/>
  <c r="P434" i="77"/>
  <c r="O434"/>
  <c r="O436"/>
  <c r="O436" i="39" s="1"/>
  <c r="P436" i="77"/>
  <c r="P436" i="39" s="1"/>
  <c r="O430" i="77"/>
  <c r="O430" i="39" s="1"/>
  <c r="P430" i="77"/>
  <c r="P430" i="39" s="1"/>
  <c r="HJ426" i="77"/>
  <c r="HK426"/>
  <c r="HJ425"/>
  <c r="HK425"/>
  <c r="HJ423"/>
  <c r="HK423"/>
  <c r="IN425"/>
  <c r="IM425"/>
  <c r="GG422"/>
  <c r="GH422"/>
  <c r="AS420"/>
  <c r="AR420"/>
  <c r="GG402"/>
  <c r="GH402"/>
  <c r="BU402"/>
  <c r="BV402"/>
  <c r="FE423"/>
  <c r="FD423"/>
  <c r="AS428"/>
  <c r="AR428"/>
  <c r="HJ420"/>
  <c r="HK420"/>
  <c r="AR400"/>
  <c r="AS400"/>
  <c r="AW438"/>
  <c r="AX438" s="1"/>
  <c r="GL438"/>
  <c r="GM438" s="1"/>
  <c r="FI432"/>
  <c r="FJ432" s="1"/>
  <c r="EF400"/>
  <c r="EG400" s="1"/>
  <c r="GG438"/>
  <c r="GH438"/>
  <c r="GH439"/>
  <c r="GG439"/>
  <c r="FD438"/>
  <c r="FE438"/>
  <c r="FD436"/>
  <c r="FE436"/>
  <c r="FE439"/>
  <c r="FD439"/>
  <c r="GG434"/>
  <c r="GH434"/>
  <c r="GG429"/>
  <c r="GH429"/>
  <c r="EB427"/>
  <c r="EA427"/>
  <c r="AS422"/>
  <c r="AR422"/>
  <c r="FE428"/>
  <c r="FD428"/>
  <c r="P423"/>
  <c r="O423"/>
  <c r="EA428"/>
  <c r="EB428"/>
  <c r="IN422"/>
  <c r="IM422"/>
  <c r="HJ402"/>
  <c r="HK402"/>
  <c r="FD427"/>
  <c r="FE427"/>
  <c r="IM426"/>
  <c r="IN426"/>
  <c r="EA426"/>
  <c r="EB426"/>
  <c r="GG404"/>
  <c r="GH404"/>
  <c r="FD406"/>
  <c r="FE406"/>
  <c r="O401" i="39"/>
  <c r="P401"/>
  <c r="BU404" i="77"/>
  <c r="BV404"/>
  <c r="BU406"/>
  <c r="BV406"/>
  <c r="FD400"/>
  <c r="FE400"/>
  <c r="HO438"/>
  <c r="HP438" s="1"/>
  <c r="T442"/>
  <c r="GL432"/>
  <c r="GM432" s="1"/>
  <c r="T430"/>
  <c r="IR428"/>
  <c r="IT428" s="1"/>
  <c r="T428"/>
  <c r="BZ427"/>
  <c r="CA427" s="1"/>
  <c r="O444"/>
  <c r="P444"/>
  <c r="P437"/>
  <c r="O437"/>
  <c r="IN439"/>
  <c r="IM439"/>
  <c r="GG436"/>
  <c r="GH436"/>
  <c r="GG435"/>
  <c r="GH435"/>
  <c r="HJ438"/>
  <c r="HK438"/>
  <c r="FD435"/>
  <c r="FE435"/>
  <c r="AS432"/>
  <c r="AR432"/>
  <c r="HK439"/>
  <c r="HJ439"/>
  <c r="IM429"/>
  <c r="IN429"/>
  <c r="CX425"/>
  <c r="CY425"/>
  <c r="IM423"/>
  <c r="IN423"/>
  <c r="IM402"/>
  <c r="IN402"/>
  <c r="O409"/>
  <c r="P409"/>
  <c r="IM400"/>
  <c r="IN400"/>
  <c r="FE407"/>
  <c r="FD407"/>
  <c r="GG406"/>
  <c r="GH406"/>
  <c r="O404"/>
  <c r="P404"/>
  <c r="T438"/>
  <c r="U438" s="1"/>
  <c r="IR432"/>
  <c r="IS432" s="1"/>
  <c r="T436"/>
  <c r="AW428"/>
  <c r="AX428" s="1"/>
  <c r="W449"/>
  <c r="W449" i="39" s="1"/>
  <c r="T448" i="77"/>
  <c r="U449"/>
  <c r="U449" i="39" s="1"/>
  <c r="GH457" i="77"/>
  <c r="GG457"/>
  <c r="IM448"/>
  <c r="IN448"/>
  <c r="EA455"/>
  <c r="EB455"/>
  <c r="FD449"/>
  <c r="FE449"/>
  <c r="IN455"/>
  <c r="IM455"/>
  <c r="IN457"/>
  <c r="IM457"/>
  <c r="FE457"/>
  <c r="FD457"/>
  <c r="IM449"/>
  <c r="IN449"/>
  <c r="BU448"/>
  <c r="BV448"/>
  <c r="O462"/>
  <c r="O462" i="39" s="1"/>
  <c r="P462" i="77"/>
  <c r="P462" i="39" s="1"/>
  <c r="IM462" i="77"/>
  <c r="IN462"/>
  <c r="GG462"/>
  <c r="GH462"/>
  <c r="EA462"/>
  <c r="EB462"/>
  <c r="HK455"/>
  <c r="HJ455"/>
  <c r="HJ448"/>
  <c r="HK448"/>
  <c r="GH455"/>
  <c r="GG455"/>
  <c r="AS457"/>
  <c r="AR457"/>
  <c r="HJ449"/>
  <c r="HK449"/>
  <c r="T462"/>
  <c r="HJ462"/>
  <c r="HK462"/>
  <c r="FD462"/>
  <c r="FE462"/>
  <c r="AS449"/>
  <c r="AR449"/>
  <c r="HK457"/>
  <c r="HJ457"/>
  <c r="FD455"/>
  <c r="FE455"/>
  <c r="GG449"/>
  <c r="GH449"/>
  <c r="GG448"/>
  <c r="GH448"/>
  <c r="FE448"/>
  <c r="FD448"/>
  <c r="C257" i="65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153"/>
  <c r="C151"/>
  <c r="C150"/>
  <c r="C149"/>
  <c r="C148"/>
  <c r="C147"/>
  <c r="C146"/>
  <c r="C145"/>
  <c r="C144"/>
  <c r="C143"/>
  <c r="C142"/>
  <c r="C128"/>
  <c r="C126"/>
  <c r="C125"/>
  <c r="C124"/>
  <c r="C123"/>
  <c r="C122"/>
  <c r="C121"/>
  <c r="C120"/>
  <c r="C119"/>
  <c r="C118"/>
  <c r="C100"/>
  <c r="M2" i="74"/>
  <c r="L2" i="73"/>
  <c r="K2" i="72"/>
  <c r="J2" i="71"/>
  <c r="I2" i="70"/>
  <c r="H2" i="69"/>
  <c r="G2" i="68"/>
  <c r="M2" i="73"/>
  <c r="K2"/>
  <c r="J2"/>
  <c r="I2"/>
  <c r="H2"/>
  <c r="G2"/>
  <c r="F2"/>
  <c r="M2" i="72"/>
  <c r="L2"/>
  <c r="J2"/>
  <c r="I2"/>
  <c r="H2"/>
  <c r="G2"/>
  <c r="F2"/>
  <c r="M2" i="71"/>
  <c r="L2"/>
  <c r="K2"/>
  <c r="I2"/>
  <c r="H2"/>
  <c r="G2"/>
  <c r="F2"/>
  <c r="M2" i="70"/>
  <c r="L2"/>
  <c r="K2"/>
  <c r="J2"/>
  <c r="H2"/>
  <c r="G2"/>
  <c r="F2"/>
  <c r="M2" i="69"/>
  <c r="L2"/>
  <c r="K2"/>
  <c r="J2"/>
  <c r="I2"/>
  <c r="G2"/>
  <c r="F2"/>
  <c r="M2" i="68"/>
  <c r="L2"/>
  <c r="K2"/>
  <c r="J2"/>
  <c r="I2"/>
  <c r="H2"/>
  <c r="F2"/>
  <c r="F2" i="74"/>
  <c r="L2"/>
  <c r="K2"/>
  <c r="J2"/>
  <c r="I2"/>
  <c r="H2"/>
  <c r="G2"/>
  <c r="F2" i="65"/>
  <c r="M2"/>
  <c r="L2"/>
  <c r="K2"/>
  <c r="J2"/>
  <c r="I2"/>
  <c r="H2"/>
  <c r="G2"/>
  <c r="M5" i="68"/>
  <c r="L5"/>
  <c r="K5"/>
  <c r="J5"/>
  <c r="I5"/>
  <c r="H5"/>
  <c r="M5" i="69"/>
  <c r="L5"/>
  <c r="K5"/>
  <c r="J5"/>
  <c r="I5"/>
  <c r="G5"/>
  <c r="M5" i="70"/>
  <c r="L5"/>
  <c r="K5"/>
  <c r="J5"/>
  <c r="H5"/>
  <c r="G5"/>
  <c r="M5" i="71"/>
  <c r="L5"/>
  <c r="K5"/>
  <c r="I5"/>
  <c r="H5"/>
  <c r="G5"/>
  <c r="M5" i="72"/>
  <c r="L5"/>
  <c r="J5"/>
  <c r="I5"/>
  <c r="H5"/>
  <c r="G5"/>
  <c r="M5" i="73"/>
  <c r="K5"/>
  <c r="J5"/>
  <c r="I5"/>
  <c r="H5"/>
  <c r="G5"/>
  <c r="L5" i="74"/>
  <c r="K5"/>
  <c r="J5"/>
  <c r="I5"/>
  <c r="H5"/>
  <c r="G5"/>
  <c r="M5" i="65"/>
  <c r="L5"/>
  <c r="K5"/>
  <c r="J5"/>
  <c r="I5"/>
  <c r="H5"/>
  <c r="G5"/>
  <c r="N2" i="39"/>
  <c r="F5"/>
  <c r="G5"/>
  <c r="H5"/>
  <c r="I5"/>
  <c r="J5"/>
  <c r="K5"/>
  <c r="L5"/>
  <c r="M5"/>
  <c r="T467" i="68"/>
  <c r="S467"/>
  <c r="R467"/>
  <c r="Q467"/>
  <c r="T467" i="69"/>
  <c r="S467"/>
  <c r="R467"/>
  <c r="Q467"/>
  <c r="T467" i="70"/>
  <c r="S467"/>
  <c r="R467"/>
  <c r="Q467"/>
  <c r="T467" i="71"/>
  <c r="S467"/>
  <c r="R467"/>
  <c r="Q467"/>
  <c r="T467" i="72"/>
  <c r="S467"/>
  <c r="R467"/>
  <c r="Q467"/>
  <c r="T467" i="73"/>
  <c r="S467"/>
  <c r="R467"/>
  <c r="Q467"/>
  <c r="T467" i="74"/>
  <c r="S467"/>
  <c r="R467"/>
  <c r="Q467"/>
  <c r="T467" i="65"/>
  <c r="S467"/>
  <c r="R467"/>
  <c r="Q467"/>
  <c r="GO41" i="77" l="1"/>
  <c r="GP41" s="1"/>
  <c r="EI431"/>
  <c r="EG431"/>
  <c r="V425"/>
  <c r="W207"/>
  <c r="HP312"/>
  <c r="U312" i="73" s="1"/>
  <c r="FL345" i="77"/>
  <c r="W345" i="71" s="1"/>
  <c r="W301" i="77"/>
  <c r="W144"/>
  <c r="W199"/>
  <c r="FK345"/>
  <c r="IU156"/>
  <c r="IV156" s="1"/>
  <c r="IY156" s="1"/>
  <c r="EH431"/>
  <c r="U144"/>
  <c r="X144" s="1"/>
  <c r="V113"/>
  <c r="V461"/>
  <c r="X461" s="1"/>
  <c r="EH39"/>
  <c r="W98"/>
  <c r="V365"/>
  <c r="W203"/>
  <c r="X173"/>
  <c r="V81"/>
  <c r="W51"/>
  <c r="X165"/>
  <c r="FL41"/>
  <c r="FM41" s="1"/>
  <c r="FP41" s="1"/>
  <c r="W439"/>
  <c r="W439" i="39" s="1"/>
  <c r="EI39" i="77"/>
  <c r="V190"/>
  <c r="T318" i="68"/>
  <c r="CA318" i="77"/>
  <c r="U318" i="68" s="1"/>
  <c r="X169" i="77"/>
  <c r="W102"/>
  <c r="W218"/>
  <c r="BA417"/>
  <c r="HR401"/>
  <c r="U149"/>
  <c r="V149"/>
  <c r="V368"/>
  <c r="V368" i="39" s="1"/>
  <c r="V51" i="77"/>
  <c r="W159"/>
  <c r="EI417"/>
  <c r="X193"/>
  <c r="V168"/>
  <c r="X181"/>
  <c r="W175"/>
  <c r="FL51"/>
  <c r="IT321"/>
  <c r="V321" i="74" s="1"/>
  <c r="EH417" i="77"/>
  <c r="X157"/>
  <c r="Z157" s="1"/>
  <c r="T341" i="65"/>
  <c r="AX341" i="77"/>
  <c r="U341" i="65" s="1"/>
  <c r="AY341" i="77"/>
  <c r="V341" i="65" s="1"/>
  <c r="U276" i="77"/>
  <c r="W252"/>
  <c r="U87"/>
  <c r="U87" i="39" s="1"/>
  <c r="X118" i="77"/>
  <c r="X126"/>
  <c r="X153"/>
  <c r="DF14"/>
  <c r="DG14" s="1"/>
  <c r="T313" i="72"/>
  <c r="GM313" i="77"/>
  <c r="T341" i="71"/>
  <c r="FJ341" i="77"/>
  <c r="U341" i="71" s="1"/>
  <c r="FK341" i="77"/>
  <c r="V341" i="71" s="1"/>
  <c r="IS54" i="77"/>
  <c r="V250"/>
  <c r="BA51"/>
  <c r="V191"/>
  <c r="X197"/>
  <c r="FM417"/>
  <c r="IV311"/>
  <c r="T313" i="74"/>
  <c r="IS313" i="77"/>
  <c r="V207"/>
  <c r="W190"/>
  <c r="U164"/>
  <c r="W191"/>
  <c r="X161"/>
  <c r="X122"/>
  <c r="X131"/>
  <c r="X136"/>
  <c r="HQ401"/>
  <c r="X158"/>
  <c r="W329"/>
  <c r="W329" i="39" s="1"/>
  <c r="T329"/>
  <c r="AY298" i="77"/>
  <c r="V298" i="65" s="1"/>
  <c r="O298"/>
  <c r="EH298" i="77"/>
  <c r="V298" i="70" s="1"/>
  <c r="O298"/>
  <c r="HR298" i="77"/>
  <c r="W298" i="73" s="1"/>
  <c r="P298"/>
  <c r="IT298" i="77"/>
  <c r="V298" i="74" s="1"/>
  <c r="O298"/>
  <c r="AY302" i="77"/>
  <c r="V302" i="65" s="1"/>
  <c r="O302"/>
  <c r="DF302" i="77"/>
  <c r="W302" i="69" s="1"/>
  <c r="P302"/>
  <c r="HQ302" i="77"/>
  <c r="V302" i="73" s="1"/>
  <c r="O302"/>
  <c r="EH302" i="77"/>
  <c r="V302" i="70" s="1"/>
  <c r="O302"/>
  <c r="V302" i="77"/>
  <c r="V302" i="39" s="1"/>
  <c r="O302"/>
  <c r="DF304" i="77"/>
  <c r="W304" i="69" s="1"/>
  <c r="P304"/>
  <c r="IU304" i="77"/>
  <c r="W304" i="74" s="1"/>
  <c r="P304"/>
  <c r="W304" i="77"/>
  <c r="W304" i="39" s="1"/>
  <c r="P304"/>
  <c r="FK304" i="77"/>
  <c r="V304" i="71" s="1"/>
  <c r="O304"/>
  <c r="U307" i="77"/>
  <c r="U307" i="39" s="1"/>
  <c r="T307"/>
  <c r="GN307" i="77"/>
  <c r="V307" i="72" s="1"/>
  <c r="O307"/>
  <c r="HR307" i="77"/>
  <c r="W307" i="73" s="1"/>
  <c r="P307"/>
  <c r="IS307" i="77"/>
  <c r="U307" i="74" s="1"/>
  <c r="T307"/>
  <c r="DF307" i="77"/>
  <c r="W307" i="69" s="1"/>
  <c r="P307"/>
  <c r="AX323" i="77"/>
  <c r="U323" i="65" s="1"/>
  <c r="T323"/>
  <c r="DF323" i="77"/>
  <c r="W323" i="69" s="1"/>
  <c r="P323"/>
  <c r="IU323" i="77"/>
  <c r="W323" i="74" s="1"/>
  <c r="P323"/>
  <c r="FK323" i="77"/>
  <c r="V323" i="71" s="1"/>
  <c r="O323"/>
  <c r="HR323" i="77"/>
  <c r="W323" i="73" s="1"/>
  <c r="P323"/>
  <c r="EI323" i="77"/>
  <c r="W323" i="70" s="1"/>
  <c r="P323"/>
  <c r="DE345" i="77"/>
  <c r="V345" i="69" s="1"/>
  <c r="O345"/>
  <c r="CB345" i="77"/>
  <c r="V345" i="68" s="1"/>
  <c r="O345"/>
  <c r="V345" i="77"/>
  <c r="V345" i="39" s="1"/>
  <c r="O345"/>
  <c r="GN346" i="77"/>
  <c r="V346" i="72" s="1"/>
  <c r="O346"/>
  <c r="HQ346" i="77"/>
  <c r="V346" i="73" s="1"/>
  <c r="O346"/>
  <c r="EG346" i="77"/>
  <c r="U346" i="70" s="1"/>
  <c r="T346"/>
  <c r="CC347" i="77"/>
  <c r="W347" i="68" s="1"/>
  <c r="P347"/>
  <c r="DE347" i="77"/>
  <c r="V347" i="69" s="1"/>
  <c r="O347"/>
  <c r="GO347" i="77"/>
  <c r="W347" i="72" s="1"/>
  <c r="P347"/>
  <c r="HQ347" i="77"/>
  <c r="V347" i="73" s="1"/>
  <c r="O347"/>
  <c r="CC329" i="77"/>
  <c r="W329" i="68" s="1"/>
  <c r="P329"/>
  <c r="DE329" i="77"/>
  <c r="V329" i="69" s="1"/>
  <c r="O329"/>
  <c r="GO329" i="77"/>
  <c r="W329" i="72" s="1"/>
  <c r="P329"/>
  <c r="HQ329" i="77"/>
  <c r="V329" i="73" s="1"/>
  <c r="O329"/>
  <c r="GN320" i="77"/>
  <c r="V320" i="72" s="1"/>
  <c r="O320"/>
  <c r="W336" i="77"/>
  <c r="W336" i="39" s="1"/>
  <c r="P336"/>
  <c r="AY336" i="77"/>
  <c r="V336" i="65" s="1"/>
  <c r="O336"/>
  <c r="EI336" i="77"/>
  <c r="W336" i="70" s="1"/>
  <c r="P336"/>
  <c r="FK336" i="77"/>
  <c r="V336" i="71" s="1"/>
  <c r="O336"/>
  <c r="IU336" i="77"/>
  <c r="W336" i="74" s="1"/>
  <c r="P336"/>
  <c r="W299" i="77"/>
  <c r="W299" i="39" s="1"/>
  <c r="P299"/>
  <c r="W326" i="77"/>
  <c r="W326" i="39" s="1"/>
  <c r="P326"/>
  <c r="W348" i="77"/>
  <c r="W348" i="39" s="1"/>
  <c r="P348"/>
  <c r="W327" i="77"/>
  <c r="W327" i="39" s="1"/>
  <c r="P327"/>
  <c r="W338" i="77"/>
  <c r="W338" i="39" s="1"/>
  <c r="P338"/>
  <c r="W343" i="77"/>
  <c r="W343" i="39" s="1"/>
  <c r="P343"/>
  <c r="CC303" i="77"/>
  <c r="W303" i="68" s="1"/>
  <c r="P303"/>
  <c r="HR303" i="77"/>
  <c r="W303" i="73" s="1"/>
  <c r="P303"/>
  <c r="IU303" i="77"/>
  <c r="W303" i="74" s="1"/>
  <c r="P303"/>
  <c r="GO303" i="77"/>
  <c r="W303" i="72" s="1"/>
  <c r="P303"/>
  <c r="HR305" i="77"/>
  <c r="W305" i="73" s="1"/>
  <c r="P305"/>
  <c r="CB305" i="77"/>
  <c r="V305" i="68" s="1"/>
  <c r="O305"/>
  <c r="V309" i="77"/>
  <c r="V309" i="39" s="1"/>
  <c r="O309"/>
  <c r="V340" i="77"/>
  <c r="V340" i="39" s="1"/>
  <c r="O340"/>
  <c r="V324" i="77"/>
  <c r="V324" i="39" s="1"/>
  <c r="O324"/>
  <c r="V344" i="77"/>
  <c r="V344" i="39" s="1"/>
  <c r="O344"/>
  <c r="V328" i="77"/>
  <c r="V328" i="39" s="1"/>
  <c r="O328"/>
  <c r="V339" i="77"/>
  <c r="V339" i="39" s="1"/>
  <c r="O339"/>
  <c r="V335" i="77"/>
  <c r="V335" i="39" s="1"/>
  <c r="O335"/>
  <c r="V312" i="71"/>
  <c r="GO311" i="77"/>
  <c r="W311" i="72" s="1"/>
  <c r="P311"/>
  <c r="V311" i="77"/>
  <c r="V311" i="39" s="1"/>
  <c r="O311"/>
  <c r="GN315" i="77"/>
  <c r="V315" i="72" s="1"/>
  <c r="O315"/>
  <c r="FL319" i="77"/>
  <c r="W319" i="71" s="1"/>
  <c r="P319"/>
  <c r="V317" i="77"/>
  <c r="V317" i="39" s="1"/>
  <c r="O317"/>
  <c r="FL311" i="77"/>
  <c r="W311" i="71" s="1"/>
  <c r="P311"/>
  <c r="V331" i="77"/>
  <c r="V331" i="39" s="1"/>
  <c r="O331"/>
  <c r="DF321" i="77"/>
  <c r="W321" i="69" s="1"/>
  <c r="P321"/>
  <c r="GM301" i="77"/>
  <c r="U301" i="72" s="1"/>
  <c r="T301"/>
  <c r="DD319" i="77"/>
  <c r="U319" i="69" s="1"/>
  <c r="T319"/>
  <c r="FK301" i="77"/>
  <c r="V301" i="71" s="1"/>
  <c r="O301"/>
  <c r="HQ311" i="77"/>
  <c r="V311" i="73" s="1"/>
  <c r="O311"/>
  <c r="AY313" i="77"/>
  <c r="V313" i="65" s="1"/>
  <c r="O313"/>
  <c r="GO319" i="77"/>
  <c r="W319" i="72" s="1"/>
  <c r="P319"/>
  <c r="FL313" i="77"/>
  <c r="W313" i="71" s="1"/>
  <c r="P313"/>
  <c r="CB315" i="77"/>
  <c r="V315" i="68" s="1"/>
  <c r="O315"/>
  <c r="FL321" i="77"/>
  <c r="W321" i="71" s="1"/>
  <c r="P321"/>
  <c r="EH341" i="77"/>
  <c r="V341" i="70" s="1"/>
  <c r="O341"/>
  <c r="IU301" i="77"/>
  <c r="W301" i="74" s="1"/>
  <c r="P301"/>
  <c r="U310" i="39"/>
  <c r="CC319" i="77"/>
  <c r="W319" i="68" s="1"/>
  <c r="P319"/>
  <c r="DF318" i="77"/>
  <c r="W318" i="69" s="1"/>
  <c r="P318"/>
  <c r="EI318" i="77"/>
  <c r="W318" i="70" s="1"/>
  <c r="P318"/>
  <c r="CC341" i="77"/>
  <c r="W341" i="68" s="1"/>
  <c r="P341"/>
  <c r="GM321" i="77"/>
  <c r="U321" i="72" s="1"/>
  <c r="T321"/>
  <c r="IT312" i="77"/>
  <c r="V312" i="74" s="1"/>
  <c r="O312"/>
  <c r="HQ312" i="77"/>
  <c r="V312" i="73" s="1"/>
  <c r="O312"/>
  <c r="IU341" i="77"/>
  <c r="W341" i="74" s="1"/>
  <c r="P341"/>
  <c r="HR321" i="77"/>
  <c r="W321" i="73" s="1"/>
  <c r="P321"/>
  <c r="FN298" i="77"/>
  <c r="EN298"/>
  <c r="AB298" i="70" s="1"/>
  <c r="Y298"/>
  <c r="EK238" i="77"/>
  <c r="DK238"/>
  <c r="EK368"/>
  <c r="DK368"/>
  <c r="EK388"/>
  <c r="DK388"/>
  <c r="EK425"/>
  <c r="DK425"/>
  <c r="EN172"/>
  <c r="FN172"/>
  <c r="FN176"/>
  <c r="EN176"/>
  <c r="FN171"/>
  <c r="EN171"/>
  <c r="EN174"/>
  <c r="FN174"/>
  <c r="FN169"/>
  <c r="EN169"/>
  <c r="U316"/>
  <c r="U316" i="39" s="1"/>
  <c r="T316"/>
  <c r="EG315" i="77"/>
  <c r="U315" i="70" s="1"/>
  <c r="T315"/>
  <c r="HP431" i="77"/>
  <c r="HQ431"/>
  <c r="P341" i="65"/>
  <c r="AZ341" i="77"/>
  <c r="IS315"/>
  <c r="U315" i="74" s="1"/>
  <c r="T315"/>
  <c r="W268" i="77"/>
  <c r="W383"/>
  <c r="V240"/>
  <c r="V394"/>
  <c r="W250"/>
  <c r="W147"/>
  <c r="W113"/>
  <c r="X121"/>
  <c r="X130"/>
  <c r="W168"/>
  <c r="X166"/>
  <c r="W251"/>
  <c r="W401"/>
  <c r="DF341"/>
  <c r="AZ298"/>
  <c r="W298" i="65" s="1"/>
  <c r="P298"/>
  <c r="CB298" i="77"/>
  <c r="V298" i="68" s="1"/>
  <c r="O298"/>
  <c r="EI298" i="77"/>
  <c r="W298" i="70" s="1"/>
  <c r="P298"/>
  <c r="FK298" i="77"/>
  <c r="V298" i="71" s="1"/>
  <c r="O298"/>
  <c r="IU298" i="77"/>
  <c r="W298" i="74" s="1"/>
  <c r="P298"/>
  <c r="AZ302" i="77"/>
  <c r="W302" i="65" s="1"/>
  <c r="P302"/>
  <c r="FK302" i="77"/>
  <c r="V302" i="71" s="1"/>
  <c r="O302"/>
  <c r="GP302" i="77"/>
  <c r="V302" i="72"/>
  <c r="HR302" i="77"/>
  <c r="W302" i="73" s="1"/>
  <c r="P302"/>
  <c r="EI302" i="77"/>
  <c r="W302" i="70" s="1"/>
  <c r="P302"/>
  <c r="W302" i="77"/>
  <c r="W302" i="39" s="1"/>
  <c r="P302"/>
  <c r="GO304" i="77"/>
  <c r="W304" i="72" s="1"/>
  <c r="P304"/>
  <c r="HQ304" i="77"/>
  <c r="V304" i="73" s="1"/>
  <c r="O304"/>
  <c r="EH304" i="77"/>
  <c r="V304" i="70" s="1"/>
  <c r="O304"/>
  <c r="FL304" i="77"/>
  <c r="W304" i="71" s="1"/>
  <c r="P304"/>
  <c r="CC304" i="77"/>
  <c r="W304" i="68" s="1"/>
  <c r="P304"/>
  <c r="FK307" i="77"/>
  <c r="V307" i="71" s="1"/>
  <c r="O307"/>
  <c r="AY307" i="77"/>
  <c r="V307" i="65" s="1"/>
  <c r="O307"/>
  <c r="V323" i="77"/>
  <c r="V323" i="39" s="1"/>
  <c r="O323"/>
  <c r="CC323" i="77"/>
  <c r="W323" i="68" s="1"/>
  <c r="P323"/>
  <c r="FL323" i="77"/>
  <c r="W323" i="71" s="1"/>
  <c r="P323"/>
  <c r="GO323" i="77"/>
  <c r="W323" i="72" s="1"/>
  <c r="P323"/>
  <c r="DF345" i="77"/>
  <c r="W345" i="69" s="1"/>
  <c r="P345"/>
  <c r="HQ345" i="77"/>
  <c r="V345" i="73" s="1"/>
  <c r="O345"/>
  <c r="EH345" i="77"/>
  <c r="V345" i="70" s="1"/>
  <c r="O345"/>
  <c r="GN345" i="77"/>
  <c r="V345" i="72" s="1"/>
  <c r="O345"/>
  <c r="W345" i="77"/>
  <c r="W345" i="39" s="1"/>
  <c r="P345"/>
  <c r="FK346" i="77"/>
  <c r="V346" i="71" s="1"/>
  <c r="O346"/>
  <c r="HR346" i="77"/>
  <c r="W346" i="73" s="1"/>
  <c r="P346"/>
  <c r="AY346" i="77"/>
  <c r="V346" i="65" s="1"/>
  <c r="O346"/>
  <c r="IS346" i="77"/>
  <c r="U346" i="74" s="1"/>
  <c r="T346"/>
  <c r="DE346" i="77"/>
  <c r="V346" i="69" s="1"/>
  <c r="O346"/>
  <c r="AA347" i="77"/>
  <c r="AA347" i="39" s="1"/>
  <c r="X347"/>
  <c r="DF347" i="77"/>
  <c r="W347" i="69" s="1"/>
  <c r="P347"/>
  <c r="EH347" i="77"/>
  <c r="V347" i="70" s="1"/>
  <c r="O347"/>
  <c r="HR347" i="77"/>
  <c r="W347" i="73" s="1"/>
  <c r="P347"/>
  <c r="IT347" i="77"/>
  <c r="V347" i="74" s="1"/>
  <c r="O347"/>
  <c r="DF329" i="77"/>
  <c r="W329" i="69" s="1"/>
  <c r="P329"/>
  <c r="EH329" i="77"/>
  <c r="V329" i="70" s="1"/>
  <c r="O329"/>
  <c r="HR329" i="77"/>
  <c r="W329" i="73" s="1"/>
  <c r="P329"/>
  <c r="IT329" i="77"/>
  <c r="V329" i="74" s="1"/>
  <c r="O329"/>
  <c r="GO320" i="77"/>
  <c r="W320" i="72" s="1"/>
  <c r="P320"/>
  <c r="AZ336" i="77"/>
  <c r="W336" i="65" s="1"/>
  <c r="P336"/>
  <c r="CB336" i="77"/>
  <c r="V336" i="68" s="1"/>
  <c r="O336"/>
  <c r="FL336" i="77"/>
  <c r="W336" i="71" s="1"/>
  <c r="P336"/>
  <c r="GN336" i="77"/>
  <c r="V336" i="72" s="1"/>
  <c r="O336"/>
  <c r="V333" i="77"/>
  <c r="V333" i="39" s="1"/>
  <c r="O333"/>
  <c r="U300" i="77"/>
  <c r="U300" i="39" s="1"/>
  <c r="T300"/>
  <c r="V306" i="77"/>
  <c r="V306" i="39" s="1"/>
  <c r="O306"/>
  <c r="V332" i="77"/>
  <c r="V332" i="39" s="1"/>
  <c r="O332"/>
  <c r="V342" i="77"/>
  <c r="V342" i="39" s="1"/>
  <c r="O342"/>
  <c r="V303" i="77"/>
  <c r="V303" i="39" s="1"/>
  <c r="O303"/>
  <c r="V305" i="77"/>
  <c r="V305" i="39" s="1"/>
  <c r="O305"/>
  <c r="CC305" i="77"/>
  <c r="W305" i="68" s="1"/>
  <c r="P305"/>
  <c r="GN305" i="77"/>
  <c r="V305" i="72" s="1"/>
  <c r="O305"/>
  <c r="W309" i="77"/>
  <c r="W309" i="39" s="1"/>
  <c r="P309"/>
  <c r="W340" i="77"/>
  <c r="W340" i="39" s="1"/>
  <c r="P340"/>
  <c r="W324" i="77"/>
  <c r="W324" i="39" s="1"/>
  <c r="P324"/>
  <c r="W344" i="77"/>
  <c r="W344" i="39" s="1"/>
  <c r="P344"/>
  <c r="W328" i="77"/>
  <c r="W328" i="39" s="1"/>
  <c r="P328"/>
  <c r="W339" i="77"/>
  <c r="W339" i="39" s="1"/>
  <c r="P339"/>
  <c r="W335" i="77"/>
  <c r="W335" i="39" s="1"/>
  <c r="P335"/>
  <c r="GO315" i="77"/>
  <c r="W315" i="72" s="1"/>
  <c r="P315"/>
  <c r="W319" i="77"/>
  <c r="W319" i="39" s="1"/>
  <c r="P319"/>
  <c r="W317" i="77"/>
  <c r="W317" i="39" s="1"/>
  <c r="P317"/>
  <c r="FK318" i="77"/>
  <c r="V318" i="71" s="1"/>
  <c r="O318"/>
  <c r="GN341" i="77"/>
  <c r="V341" i="72" s="1"/>
  <c r="O341"/>
  <c r="BD301" i="77"/>
  <c r="AA301" i="65" s="1"/>
  <c r="X301"/>
  <c r="FJ315" i="77"/>
  <c r="U315" i="71" s="1"/>
  <c r="T315"/>
  <c r="FP305" i="77"/>
  <c r="AA305" i="71" s="1"/>
  <c r="X305"/>
  <c r="DF312" i="77"/>
  <c r="W312" i="69" s="1"/>
  <c r="P312"/>
  <c r="AZ313" i="77"/>
  <c r="W313" i="65" s="1"/>
  <c r="P313"/>
  <c r="CC315" i="77"/>
  <c r="W315" i="68" s="1"/>
  <c r="P315"/>
  <c r="DE315" i="77"/>
  <c r="V315" i="69" s="1"/>
  <c r="O315"/>
  <c r="AY318" i="77"/>
  <c r="V318" i="65" s="1"/>
  <c r="O318"/>
  <c r="AX315" i="77"/>
  <c r="U315" i="65" s="1"/>
  <c r="T315"/>
  <c r="EI301" i="77"/>
  <c r="W301" i="70" s="1"/>
  <c r="P301"/>
  <c r="HR301" i="77"/>
  <c r="W301" i="73" s="1"/>
  <c r="P301"/>
  <c r="W310" i="77"/>
  <c r="W310" i="39" s="1"/>
  <c r="P310"/>
  <c r="HQ315" i="77"/>
  <c r="V315" i="73" s="1"/>
  <c r="O315"/>
  <c r="EI319" i="77"/>
  <c r="W319" i="70" s="1"/>
  <c r="P319"/>
  <c r="DE313" i="77"/>
  <c r="V313" i="69" s="1"/>
  <c r="O313"/>
  <c r="HP319" i="77"/>
  <c r="U319" i="73" s="1"/>
  <c r="T319"/>
  <c r="V341" i="77"/>
  <c r="V341" i="39" s="1"/>
  <c r="O341"/>
  <c r="IY311" i="77"/>
  <c r="AA311" i="74" s="1"/>
  <c r="X311"/>
  <c r="EG313" i="77"/>
  <c r="U313" i="70" s="1"/>
  <c r="T313"/>
  <c r="FP303" i="77"/>
  <c r="AA303" i="71" s="1"/>
  <c r="X303"/>
  <c r="HV341" i="77"/>
  <c r="AA341" i="73" s="1"/>
  <c r="X341"/>
  <c r="EK232" i="77"/>
  <c r="DK232"/>
  <c r="EK355"/>
  <c r="DK355"/>
  <c r="EK226"/>
  <c r="DK226"/>
  <c r="EK364"/>
  <c r="DK364"/>
  <c r="EK400"/>
  <c r="DK400"/>
  <c r="EK224"/>
  <c r="DK224"/>
  <c r="EK352"/>
  <c r="DK352"/>
  <c r="EK408"/>
  <c r="DK408"/>
  <c r="EK438"/>
  <c r="DK438"/>
  <c r="EK234"/>
  <c r="DK234"/>
  <c r="EK353"/>
  <c r="DK353"/>
  <c r="EK373"/>
  <c r="DK373"/>
  <c r="EK439"/>
  <c r="DK439"/>
  <c r="EK236"/>
  <c r="DK236"/>
  <c r="EK370"/>
  <c r="DK370"/>
  <c r="EK407"/>
  <c r="DK407"/>
  <c r="HT203"/>
  <c r="GT203"/>
  <c r="EK369"/>
  <c r="DK369"/>
  <c r="EK389"/>
  <c r="DK389"/>
  <c r="EK228"/>
  <c r="DK228"/>
  <c r="EK357"/>
  <c r="DK357"/>
  <c r="EK377"/>
  <c r="DK377"/>
  <c r="DK404"/>
  <c r="EK404"/>
  <c r="V203"/>
  <c r="IT286"/>
  <c r="W394"/>
  <c r="CC298"/>
  <c r="W298" i="68" s="1"/>
  <c r="P298"/>
  <c r="FL298" i="77"/>
  <c r="W298" i="71" s="1"/>
  <c r="P298"/>
  <c r="GN298" i="77"/>
  <c r="V298" i="72" s="1"/>
  <c r="O298"/>
  <c r="FL302" i="77"/>
  <c r="W302" i="71" s="1"/>
  <c r="P302"/>
  <c r="HR304" i="77"/>
  <c r="W304" i="73" s="1"/>
  <c r="P304"/>
  <c r="EI304" i="77"/>
  <c r="W304" i="70" s="1"/>
  <c r="P304"/>
  <c r="AY304" i="77"/>
  <c r="V304" i="65" s="1"/>
  <c r="O304"/>
  <c r="FL307" i="77"/>
  <c r="W307" i="71" s="1"/>
  <c r="P307"/>
  <c r="GO307" i="77"/>
  <c r="W307" i="72" s="1"/>
  <c r="P307"/>
  <c r="AZ307" i="77"/>
  <c r="W307" i="65" s="1"/>
  <c r="P307"/>
  <c r="W323" i="77"/>
  <c r="W323" i="39" s="1"/>
  <c r="P323"/>
  <c r="BD345" i="77"/>
  <c r="AA345" i="65" s="1"/>
  <c r="X345"/>
  <c r="IT345" i="77"/>
  <c r="V345" i="74" s="1"/>
  <c r="O345"/>
  <c r="HR345" i="77"/>
  <c r="W345" i="73" s="1"/>
  <c r="P345"/>
  <c r="EI345" i="77"/>
  <c r="W345" i="70" s="1"/>
  <c r="P345"/>
  <c r="CC345" i="77"/>
  <c r="W345" i="68" s="1"/>
  <c r="P345"/>
  <c r="FL346" i="77"/>
  <c r="W346" i="71" s="1"/>
  <c r="P346"/>
  <c r="GO346" i="77"/>
  <c r="W346" i="72" s="1"/>
  <c r="P346"/>
  <c r="AZ346" i="77"/>
  <c r="W346" i="65" s="1"/>
  <c r="P346"/>
  <c r="U346" i="77"/>
  <c r="U346" i="39" s="1"/>
  <c r="T346"/>
  <c r="DF346" i="77"/>
  <c r="W346" i="69" s="1"/>
  <c r="P346"/>
  <c r="AY347" i="77"/>
  <c r="V347" i="65" s="1"/>
  <c r="O347"/>
  <c r="EI347" i="77"/>
  <c r="W347" i="70" s="1"/>
  <c r="P347"/>
  <c r="FK347" i="77"/>
  <c r="V347" i="71" s="1"/>
  <c r="O347"/>
  <c r="IU347" i="77"/>
  <c r="W347" i="74" s="1"/>
  <c r="P347"/>
  <c r="AY329" i="77"/>
  <c r="V329" i="65" s="1"/>
  <c r="O329"/>
  <c r="EI329" i="77"/>
  <c r="W329" i="70" s="1"/>
  <c r="P329"/>
  <c r="FK329" i="77"/>
  <c r="V329" i="71" s="1"/>
  <c r="O329"/>
  <c r="IU329" i="77"/>
  <c r="W329" i="74" s="1"/>
  <c r="P329"/>
  <c r="CC336" i="77"/>
  <c r="W336" i="68" s="1"/>
  <c r="P336"/>
  <c r="DE336" i="77"/>
  <c r="V336" i="69" s="1"/>
  <c r="O336"/>
  <c r="GO336" i="77"/>
  <c r="W336" i="72" s="1"/>
  <c r="P336"/>
  <c r="HQ336" i="77"/>
  <c r="V336" i="73" s="1"/>
  <c r="O336"/>
  <c r="W333" i="77"/>
  <c r="W333" i="39" s="1"/>
  <c r="P333"/>
  <c r="W306" i="77"/>
  <c r="W306" i="39" s="1"/>
  <c r="P306"/>
  <c r="W332" i="77"/>
  <c r="W332" i="39" s="1"/>
  <c r="P332"/>
  <c r="W342" i="77"/>
  <c r="W342" i="39" s="1"/>
  <c r="P342"/>
  <c r="W303" i="77"/>
  <c r="W303" i="39" s="1"/>
  <c r="P303"/>
  <c r="W305" i="77"/>
  <c r="W305" i="39" s="1"/>
  <c r="P305"/>
  <c r="IT305" i="77"/>
  <c r="V305" i="74" s="1"/>
  <c r="O305"/>
  <c r="GO305" i="77"/>
  <c r="W305" i="72" s="1"/>
  <c r="P305"/>
  <c r="V308" i="77"/>
  <c r="V308" i="39" s="1"/>
  <c r="O308"/>
  <c r="V337" i="77"/>
  <c r="V337" i="39" s="1"/>
  <c r="O337"/>
  <c r="V325" i="77"/>
  <c r="V325" i="39" s="1"/>
  <c r="O325"/>
  <c r="V330" i="77"/>
  <c r="V330" i="39" s="1"/>
  <c r="O330"/>
  <c r="V334" i="77"/>
  <c r="V334" i="39" s="1"/>
  <c r="O334"/>
  <c r="CA312" i="77"/>
  <c r="U312" i="68" s="1"/>
  <c r="T312"/>
  <c r="DF311" i="77"/>
  <c r="W311" i="69" s="1"/>
  <c r="P311"/>
  <c r="GN311" i="77"/>
  <c r="V311" i="72" s="1"/>
  <c r="O311"/>
  <c r="FK311" i="77"/>
  <c r="V311" i="71" s="1"/>
  <c r="O311"/>
  <c r="FL318" i="77"/>
  <c r="W318" i="71" s="1"/>
  <c r="P318"/>
  <c r="W331" i="77"/>
  <c r="W331" i="39" s="1"/>
  <c r="P331"/>
  <c r="DE321" i="77"/>
  <c r="V321" i="69" s="1"/>
  <c r="O321"/>
  <c r="BD305" i="77"/>
  <c r="X305" i="65"/>
  <c r="FL301" i="77"/>
  <c r="W301" i="71" s="1"/>
  <c r="P301"/>
  <c r="DF301" i="77"/>
  <c r="W301" i="69" s="1"/>
  <c r="P301"/>
  <c r="EI312" i="77"/>
  <c r="W312" i="70" s="1"/>
  <c r="P312"/>
  <c r="CB301" i="77"/>
  <c r="V301" i="68" s="1"/>
  <c r="O301"/>
  <c r="GN319" i="77"/>
  <c r="V319" i="72" s="1"/>
  <c r="O319"/>
  <c r="FK321" i="77"/>
  <c r="V321" i="71" s="1"/>
  <c r="O321"/>
  <c r="AZ318" i="77"/>
  <c r="W318" i="65" s="1"/>
  <c r="P318"/>
  <c r="EI341" i="77"/>
  <c r="W341" i="70" s="1"/>
  <c r="P341"/>
  <c r="GM312" i="77"/>
  <c r="U312" i="72" s="1"/>
  <c r="T312"/>
  <c r="BD319" i="77"/>
  <c r="AA319" i="65" s="1"/>
  <c r="X319"/>
  <c r="IT301" i="77"/>
  <c r="V301" i="74" s="1"/>
  <c r="O301"/>
  <c r="W312" i="77"/>
  <c r="W312" i="39" s="1"/>
  <c r="P312"/>
  <c r="CB319" i="77"/>
  <c r="V319" i="68" s="1"/>
  <c r="O319"/>
  <c r="DE318" i="77"/>
  <c r="V318" i="69" s="1"/>
  <c r="O318"/>
  <c r="HR318" i="77"/>
  <c r="W318" i="73" s="1"/>
  <c r="P318"/>
  <c r="V318" i="77"/>
  <c r="V318" i="39" s="1"/>
  <c r="O318"/>
  <c r="CB341" i="77"/>
  <c r="V341" i="68" s="1"/>
  <c r="O341"/>
  <c r="HR312" i="77"/>
  <c r="W312" i="73" s="1"/>
  <c r="P312"/>
  <c r="DF313" i="77"/>
  <c r="W313" i="69" s="1"/>
  <c r="P313"/>
  <c r="HQ313" i="77"/>
  <c r="V313" i="73" s="1"/>
  <c r="O313"/>
  <c r="IT341" i="77"/>
  <c r="V341" i="74" s="1"/>
  <c r="O341"/>
  <c r="HQ321" i="77"/>
  <c r="V321" i="73" s="1"/>
  <c r="O321"/>
  <c r="BD303" i="77"/>
  <c r="X303" i="65"/>
  <c r="EK220" i="77"/>
  <c r="DK220"/>
  <c r="EK358"/>
  <c r="DK358"/>
  <c r="EK378"/>
  <c r="DK378"/>
  <c r="EK405"/>
  <c r="DK405"/>
  <c r="EK435"/>
  <c r="DK435"/>
  <c r="FN177"/>
  <c r="EN177"/>
  <c r="FN179"/>
  <c r="EN179"/>
  <c r="FN178"/>
  <c r="EN178"/>
  <c r="FN180"/>
  <c r="EN180"/>
  <c r="DK415"/>
  <c r="EK415"/>
  <c r="FJ312"/>
  <c r="U312" i="71" s="1"/>
  <c r="T312"/>
  <c r="U315" i="77"/>
  <c r="U315" i="39" s="1"/>
  <c r="T315"/>
  <c r="AX312" i="77"/>
  <c r="U312" i="65" s="1"/>
  <c r="T312"/>
  <c r="P341" i="71"/>
  <c r="FL341" i="77"/>
  <c r="O318" i="68"/>
  <c r="CB318" i="77"/>
  <c r="U314"/>
  <c r="U314" i="39" s="1"/>
  <c r="T314"/>
  <c r="Y87" i="71"/>
  <c r="FQ87" i="77"/>
  <c r="X163"/>
  <c r="W179"/>
  <c r="W81"/>
  <c r="X81" s="1"/>
  <c r="V102"/>
  <c r="V159"/>
  <c r="X164"/>
  <c r="X281"/>
  <c r="W417"/>
  <c r="X431"/>
  <c r="GN318"/>
  <c r="HR431"/>
  <c r="V298"/>
  <c r="V298" i="39" s="1"/>
  <c r="T298"/>
  <c r="GO298" i="77"/>
  <c r="W298" i="72" s="1"/>
  <c r="P298"/>
  <c r="HQ298" i="77"/>
  <c r="V298" i="73" s="1"/>
  <c r="O298"/>
  <c r="IS302" i="77"/>
  <c r="U302" i="74" s="1"/>
  <c r="T302"/>
  <c r="DE302" i="77"/>
  <c r="V302" i="69" s="1"/>
  <c r="O302"/>
  <c r="GN304" i="77"/>
  <c r="V304" i="72" s="1"/>
  <c r="O304"/>
  <c r="DE304" i="77"/>
  <c r="V304" i="69" s="1"/>
  <c r="O304"/>
  <c r="IT304" i="77"/>
  <c r="V304" i="74" s="1"/>
  <c r="O304"/>
  <c r="AZ304" i="77"/>
  <c r="W304" i="65" s="1"/>
  <c r="P304"/>
  <c r="V304" i="77"/>
  <c r="V304" i="39" s="1"/>
  <c r="O304"/>
  <c r="CB304" i="77"/>
  <c r="V304" i="68" s="1"/>
  <c r="O304"/>
  <c r="HQ307" i="77"/>
  <c r="V307" i="73" s="1"/>
  <c r="O307"/>
  <c r="EG307" i="77"/>
  <c r="U307" i="70" s="1"/>
  <c r="T307"/>
  <c r="DE307" i="77"/>
  <c r="V307" i="69" s="1"/>
  <c r="O307"/>
  <c r="CB323" i="77"/>
  <c r="V323" i="68" s="1"/>
  <c r="O323"/>
  <c r="DE323" i="77"/>
  <c r="V323" i="69" s="1"/>
  <c r="O323"/>
  <c r="IT323" i="77"/>
  <c r="V323" i="74" s="1"/>
  <c r="O323"/>
  <c r="GN323" i="77"/>
  <c r="V323" i="72" s="1"/>
  <c r="O323"/>
  <c r="HQ323" i="77"/>
  <c r="V323" i="73" s="1"/>
  <c r="O323"/>
  <c r="EH323" i="77"/>
  <c r="V323" i="70" s="1"/>
  <c r="O323"/>
  <c r="IU345" i="77"/>
  <c r="W345" i="74" s="1"/>
  <c r="P345"/>
  <c r="GO345" i="77"/>
  <c r="W345" i="72" s="1"/>
  <c r="P345"/>
  <c r="AZ347" i="77"/>
  <c r="W347" i="65" s="1"/>
  <c r="P347"/>
  <c r="CB347" i="77"/>
  <c r="V347" i="68" s="1"/>
  <c r="O347"/>
  <c r="FL347" i="77"/>
  <c r="W347" i="71" s="1"/>
  <c r="P347"/>
  <c r="GN347" i="77"/>
  <c r="V347" i="72" s="1"/>
  <c r="O347"/>
  <c r="AZ329" i="77"/>
  <c r="W329" i="65" s="1"/>
  <c r="P329"/>
  <c r="CB329" i="77"/>
  <c r="V329" i="68" s="1"/>
  <c r="O329"/>
  <c r="FL329" i="77"/>
  <c r="W329" i="71" s="1"/>
  <c r="P329"/>
  <c r="GN329" i="77"/>
  <c r="V329" i="72" s="1"/>
  <c r="O329"/>
  <c r="V336" i="77"/>
  <c r="V336" i="39" s="1"/>
  <c r="O336"/>
  <c r="DF336" i="77"/>
  <c r="W336" i="69" s="1"/>
  <c r="P336"/>
  <c r="EH336" i="77"/>
  <c r="V336" i="70" s="1"/>
  <c r="O336"/>
  <c r="HR336" i="77"/>
  <c r="W336" i="73" s="1"/>
  <c r="P336"/>
  <c r="IT336" i="77"/>
  <c r="V336" i="74" s="1"/>
  <c r="O336"/>
  <c r="V299" i="77"/>
  <c r="V299" i="39" s="1"/>
  <c r="O299"/>
  <c r="V326" i="77"/>
  <c r="V326" i="39" s="1"/>
  <c r="O326"/>
  <c r="V348" i="77"/>
  <c r="V348" i="39" s="1"/>
  <c r="O348"/>
  <c r="V327" i="77"/>
  <c r="V327" i="39" s="1"/>
  <c r="O327"/>
  <c r="V338" i="77"/>
  <c r="V338" i="39" s="1"/>
  <c r="O338"/>
  <c r="V343" i="77"/>
  <c r="V343" i="39" s="1"/>
  <c r="O343"/>
  <c r="CB303" i="77"/>
  <c r="V303" i="68" s="1"/>
  <c r="O303"/>
  <c r="HQ303" i="77"/>
  <c r="V303" i="73" s="1"/>
  <c r="O303"/>
  <c r="IT303" i="77"/>
  <c r="V303" i="74" s="1"/>
  <c r="O303"/>
  <c r="GN303" i="77"/>
  <c r="V303" i="72" s="1"/>
  <c r="O303"/>
  <c r="IU305" i="77"/>
  <c r="W305" i="74" s="1"/>
  <c r="P305"/>
  <c r="HQ305" i="77"/>
  <c r="V305" i="73" s="1"/>
  <c r="O305"/>
  <c r="W308" i="77"/>
  <c r="W308" i="39" s="1"/>
  <c r="P308"/>
  <c r="W337" i="77"/>
  <c r="W337" i="39" s="1"/>
  <c r="P337"/>
  <c r="W325" i="77"/>
  <c r="W325" i="39" s="1"/>
  <c r="P325"/>
  <c r="W330" i="77"/>
  <c r="W330" i="39" s="1"/>
  <c r="P330"/>
  <c r="W334" i="77"/>
  <c r="W334" i="39" s="1"/>
  <c r="P334"/>
  <c r="CG307" i="77"/>
  <c r="AA307" i="68" s="1"/>
  <c r="X307"/>
  <c r="CA311" i="77"/>
  <c r="U311" i="68" s="1"/>
  <c r="T311"/>
  <c r="AA313" i="77"/>
  <c r="AA313" i="39" s="1"/>
  <c r="X313"/>
  <c r="DE311" i="77"/>
  <c r="V311" i="69" s="1"/>
  <c r="O311"/>
  <c r="W311" i="77"/>
  <c r="W311" i="39" s="1"/>
  <c r="P311"/>
  <c r="V319" i="77"/>
  <c r="V319" i="39" s="1"/>
  <c r="O319"/>
  <c r="FK319" i="77"/>
  <c r="V319" i="71" s="1"/>
  <c r="O319"/>
  <c r="GO341" i="77"/>
  <c r="W341" i="72" s="1"/>
  <c r="P341"/>
  <c r="U321" i="77"/>
  <c r="U321" i="39" s="1"/>
  <c r="T321"/>
  <c r="CC321" i="77"/>
  <c r="W321" i="68" s="1"/>
  <c r="T321"/>
  <c r="DE312" i="77"/>
  <c r="V312" i="69" s="1"/>
  <c r="O312"/>
  <c r="HR311" i="77"/>
  <c r="W311" i="73" s="1"/>
  <c r="P311"/>
  <c r="DE301" i="77"/>
  <c r="V301" i="69" s="1"/>
  <c r="O301"/>
  <c r="EH312" i="77"/>
  <c r="V312" i="70" s="1"/>
  <c r="O312"/>
  <c r="CC301" i="77"/>
  <c r="W301" i="68" s="1"/>
  <c r="P301"/>
  <c r="FK313" i="77"/>
  <c r="V313" i="71" s="1"/>
  <c r="O313"/>
  <c r="DF315" i="77"/>
  <c r="W315" i="69" s="1"/>
  <c r="P315"/>
  <c r="IS319" i="77"/>
  <c r="U319" i="74" s="1"/>
  <c r="T319"/>
  <c r="EH301" i="77"/>
  <c r="V301" i="70" s="1"/>
  <c r="O301"/>
  <c r="HQ301" i="77"/>
  <c r="V301" i="73" s="1"/>
  <c r="O301"/>
  <c r="V312" i="77"/>
  <c r="V312" i="39" s="1"/>
  <c r="O312"/>
  <c r="V310" i="77"/>
  <c r="V310" i="39" s="1"/>
  <c r="O310"/>
  <c r="HR315" i="77"/>
  <c r="W315" i="73" s="1"/>
  <c r="P315"/>
  <c r="HQ318" i="77"/>
  <c r="V318" i="73" s="1"/>
  <c r="O318"/>
  <c r="W318" i="77"/>
  <c r="W318" i="39" s="1"/>
  <c r="P318"/>
  <c r="EH318" i="77"/>
  <c r="V318" i="70" s="1"/>
  <c r="O318"/>
  <c r="EH319" i="77"/>
  <c r="V319" i="70" s="1"/>
  <c r="O319"/>
  <c r="IU312" i="77"/>
  <c r="W312" i="74" s="1"/>
  <c r="P312"/>
  <c r="HR313" i="77"/>
  <c r="W313" i="73" s="1"/>
  <c r="P313"/>
  <c r="W341" i="77"/>
  <c r="W341" i="39" s="1"/>
  <c r="P341"/>
  <c r="EK249" i="77"/>
  <c r="DK249"/>
  <c r="EK432"/>
  <c r="DK432"/>
  <c r="EK235"/>
  <c r="DK235"/>
  <c r="EK374"/>
  <c r="DK374"/>
  <c r="GQ182"/>
  <c r="FQ182"/>
  <c r="EK233"/>
  <c r="DK233"/>
  <c r="EK382"/>
  <c r="DK382"/>
  <c r="EK428"/>
  <c r="DK428"/>
  <c r="EK206"/>
  <c r="DK206"/>
  <c r="EK252"/>
  <c r="DK252"/>
  <c r="EK363"/>
  <c r="DK363"/>
  <c r="EK383"/>
  <c r="DK383"/>
  <c r="EK227"/>
  <c r="DK227"/>
  <c r="EK360"/>
  <c r="DK360"/>
  <c r="EK380"/>
  <c r="DK380"/>
  <c r="DK427"/>
  <c r="EK427"/>
  <c r="EK359"/>
  <c r="DK359"/>
  <c r="EK379"/>
  <c r="DK379"/>
  <c r="DK406"/>
  <c r="EK406"/>
  <c r="EK255"/>
  <c r="DK255"/>
  <c r="DK367"/>
  <c r="EK367"/>
  <c r="EK386"/>
  <c r="DK386"/>
  <c r="EK434"/>
  <c r="DK434"/>
  <c r="T313" i="68"/>
  <c r="CA313" i="77"/>
  <c r="X162"/>
  <c r="V147"/>
  <c r="EN341"/>
  <c r="AB341" i="70" s="1"/>
  <c r="FN341" i="77"/>
  <c r="Y341" i="70"/>
  <c r="FN336" i="77"/>
  <c r="EN336"/>
  <c r="AB336" i="70" s="1"/>
  <c r="Y336"/>
  <c r="FN347" i="77"/>
  <c r="EN347"/>
  <c r="AB347" i="70" s="1"/>
  <c r="Y347"/>
  <c r="EN345" i="77"/>
  <c r="AB345" i="70" s="1"/>
  <c r="FN345" i="77"/>
  <c r="Y345" i="70"/>
  <c r="FN346" i="77"/>
  <c r="EN346"/>
  <c r="AB346" i="70" s="1"/>
  <c r="Y346"/>
  <c r="EN329" i="77"/>
  <c r="AB329" i="70" s="1"/>
  <c r="FN329" i="77"/>
  <c r="Y329" i="70"/>
  <c r="FN323" i="77"/>
  <c r="EN323"/>
  <c r="AB323" i="70" s="1"/>
  <c r="Y323"/>
  <c r="EN313" i="77"/>
  <c r="AB313" i="70" s="1"/>
  <c r="FN313" i="77"/>
  <c r="Y313" i="70"/>
  <c r="EN307" i="77"/>
  <c r="AB307" i="70" s="1"/>
  <c r="FN307" i="77"/>
  <c r="Y307" i="70"/>
  <c r="FN320" i="77"/>
  <c r="EN320"/>
  <c r="AB320" i="70" s="1"/>
  <c r="Y320"/>
  <c r="FN319" i="77"/>
  <c r="EN319"/>
  <c r="AB319" i="70" s="1"/>
  <c r="Y319"/>
  <c r="EN301" i="77"/>
  <c r="AB301" i="70" s="1"/>
  <c r="FN301" i="77"/>
  <c r="Y301" i="70"/>
  <c r="FN315" i="77"/>
  <c r="EN315"/>
  <c r="AB315" i="70" s="1"/>
  <c r="Y315"/>
  <c r="FN302" i="77"/>
  <c r="EN302"/>
  <c r="AB302" i="70" s="1"/>
  <c r="Y302"/>
  <c r="FN304" i="77"/>
  <c r="EN304"/>
  <c r="AB304" i="70" s="1"/>
  <c r="Y304"/>
  <c r="EN312" i="77"/>
  <c r="AB312" i="70" s="1"/>
  <c r="FN312" i="77"/>
  <c r="Y312" i="70"/>
  <c r="GQ318" i="77"/>
  <c r="FQ318"/>
  <c r="AB318" i="71" s="1"/>
  <c r="Y318"/>
  <c r="Z347" i="39"/>
  <c r="EJ315" i="77"/>
  <c r="CD41"/>
  <c r="EJ15"/>
  <c r="DF319"/>
  <c r="W319" i="69" s="1"/>
  <c r="HS411" i="77"/>
  <c r="V215"/>
  <c r="U215"/>
  <c r="X178"/>
  <c r="X107"/>
  <c r="X411"/>
  <c r="X412"/>
  <c r="W215"/>
  <c r="X154"/>
  <c r="BA105"/>
  <c r="EJ156"/>
  <c r="X177"/>
  <c r="GP105"/>
  <c r="CC431"/>
  <c r="V251"/>
  <c r="X302"/>
  <c r="DG347"/>
  <c r="X168"/>
  <c r="X21"/>
  <c r="BM457"/>
  <c r="BY457" s="1"/>
  <c r="BM449"/>
  <c r="BY449" s="1"/>
  <c r="BM435"/>
  <c r="BY435" s="1"/>
  <c r="BM423"/>
  <c r="BY423" s="1"/>
  <c r="BM414"/>
  <c r="BM411"/>
  <c r="BM393"/>
  <c r="BY393" s="1"/>
  <c r="BM462"/>
  <c r="BY462" s="1"/>
  <c r="BM438"/>
  <c r="BM432"/>
  <c r="BM429"/>
  <c r="BY429" s="1"/>
  <c r="BM421"/>
  <c r="BM420"/>
  <c r="BY420" s="1"/>
  <c r="BM417"/>
  <c r="BM415"/>
  <c r="BM405"/>
  <c r="BY405" s="1"/>
  <c r="BM400"/>
  <c r="BM363"/>
  <c r="BY363" s="1"/>
  <c r="BM439"/>
  <c r="BY439" s="1"/>
  <c r="BM434"/>
  <c r="BY434" s="1"/>
  <c r="BM428"/>
  <c r="BM422"/>
  <c r="BY422" s="1"/>
  <c r="BM455"/>
  <c r="BY455" s="1"/>
  <c r="BM430"/>
  <c r="BY430" s="1"/>
  <c r="BM425"/>
  <c r="BY425" s="1"/>
  <c r="BM416"/>
  <c r="BM409"/>
  <c r="BY409" s="1"/>
  <c r="BM395"/>
  <c r="BY395" s="1"/>
  <c r="BM372"/>
  <c r="BY372" s="1"/>
  <c r="BM384"/>
  <c r="BY384" s="1"/>
  <c r="BM364"/>
  <c r="BY364" s="1"/>
  <c r="BM355"/>
  <c r="BY355" s="1"/>
  <c r="BM314"/>
  <c r="G314" i="68" s="1"/>
  <c r="BM309" i="77"/>
  <c r="G309" i="68" s="1"/>
  <c r="BM308" i="77"/>
  <c r="G308" i="68" s="1"/>
  <c r="BM367" i="77"/>
  <c r="BM353"/>
  <c r="BY353" s="1"/>
  <c r="BM352"/>
  <c r="BY352" s="1"/>
  <c r="BM344"/>
  <c r="G344" i="68" s="1"/>
  <c r="BM340" i="77"/>
  <c r="G340" i="68" s="1"/>
  <c r="BM337" i="77"/>
  <c r="G337" i="68" s="1"/>
  <c r="BM383" i="77"/>
  <c r="BY383" s="1"/>
  <c r="BM361"/>
  <c r="BM360"/>
  <c r="BY360" s="1"/>
  <c r="BM331"/>
  <c r="G331" i="68" s="1"/>
  <c r="BM408" i="77"/>
  <c r="BY408" s="1"/>
  <c r="BM407"/>
  <c r="BY407" s="1"/>
  <c r="BM391"/>
  <c r="BM365"/>
  <c r="BY365" s="1"/>
  <c r="BM354"/>
  <c r="BY354" s="1"/>
  <c r="BM317"/>
  <c r="G317" i="68" s="1"/>
  <c r="BM295" i="77"/>
  <c r="BY295" s="1"/>
  <c r="BM294"/>
  <c r="BY294" s="1"/>
  <c r="BM283"/>
  <c r="BY283" s="1"/>
  <c r="BM287"/>
  <c r="BY287" s="1"/>
  <c r="BM285"/>
  <c r="BY285" s="1"/>
  <c r="BM276"/>
  <c r="BY276" s="1"/>
  <c r="BM266"/>
  <c r="BY266" s="1"/>
  <c r="BM254"/>
  <c r="BY254" s="1"/>
  <c r="BM248"/>
  <c r="BY248" s="1"/>
  <c r="BM247"/>
  <c r="BY247" s="1"/>
  <c r="BM243"/>
  <c r="BY243" s="1"/>
  <c r="BM235"/>
  <c r="BY235" s="1"/>
  <c r="BM220"/>
  <c r="BY220" s="1"/>
  <c r="BM310"/>
  <c r="G310" i="68" s="1"/>
  <c r="BM292" i="77"/>
  <c r="BY292" s="1"/>
  <c r="BM288"/>
  <c r="BY288" s="1"/>
  <c r="BM279"/>
  <c r="BY279" s="1"/>
  <c r="BM273"/>
  <c r="BY273" s="1"/>
  <c r="BM270"/>
  <c r="BY270" s="1"/>
  <c r="BM264"/>
  <c r="BY264" s="1"/>
  <c r="BM239"/>
  <c r="BY239" s="1"/>
  <c r="BM238"/>
  <c r="BY238" s="1"/>
  <c r="BM232"/>
  <c r="BY232" s="1"/>
  <c r="BM227"/>
  <c r="BY227" s="1"/>
  <c r="BM224"/>
  <c r="BY224" s="1"/>
  <c r="BM223"/>
  <c r="BY223" s="1"/>
  <c r="BM208"/>
  <c r="BY208" s="1"/>
  <c r="BM205"/>
  <c r="BY205" s="1"/>
  <c r="BM202"/>
  <c r="BY202" s="1"/>
  <c r="BM198"/>
  <c r="BM194"/>
  <c r="BM293"/>
  <c r="BY293" s="1"/>
  <c r="BM289"/>
  <c r="BY289" s="1"/>
  <c r="BM274"/>
  <c r="BY274" s="1"/>
  <c r="BM268"/>
  <c r="BY268" s="1"/>
  <c r="BM265"/>
  <c r="BY265" s="1"/>
  <c r="BM251"/>
  <c r="BM245"/>
  <c r="BY245" s="1"/>
  <c r="BM241"/>
  <c r="BM233"/>
  <c r="BY233" s="1"/>
  <c r="BM218"/>
  <c r="BM216"/>
  <c r="BM209"/>
  <c r="BY209" s="1"/>
  <c r="BM200"/>
  <c r="BY200" s="1"/>
  <c r="BM199"/>
  <c r="BM324"/>
  <c r="G324" i="68" s="1"/>
  <c r="BM286" i="77"/>
  <c r="BM281"/>
  <c r="BM278"/>
  <c r="BY278" s="1"/>
  <c r="BM272"/>
  <c r="BY272" s="1"/>
  <c r="BM269"/>
  <c r="BY269" s="1"/>
  <c r="BM263"/>
  <c r="BY263" s="1"/>
  <c r="BM257"/>
  <c r="BY257" s="1"/>
  <c r="BM242"/>
  <c r="BY242" s="1"/>
  <c r="BM230"/>
  <c r="BY230" s="1"/>
  <c r="BM229"/>
  <c r="BY229" s="1"/>
  <c r="BM225"/>
  <c r="BY225" s="1"/>
  <c r="BM222"/>
  <c r="BY222" s="1"/>
  <c r="BM219"/>
  <c r="BM217"/>
  <c r="BM211"/>
  <c r="BM197"/>
  <c r="BM192"/>
  <c r="BM183"/>
  <c r="BM182"/>
  <c r="BM177"/>
  <c r="BM176"/>
  <c r="BM169"/>
  <c r="BM165"/>
  <c r="BM171"/>
  <c r="BM168"/>
  <c r="BM167"/>
  <c r="BM160"/>
  <c r="BM157"/>
  <c r="BM150"/>
  <c r="BW150" s="1"/>
  <c r="BM138"/>
  <c r="BM137"/>
  <c r="BM195"/>
  <c r="BW195" s="1"/>
  <c r="BM184"/>
  <c r="BM174"/>
  <c r="BM154"/>
  <c r="BM153"/>
  <c r="BM131"/>
  <c r="BM129"/>
  <c r="BM126"/>
  <c r="BM115"/>
  <c r="BM108"/>
  <c r="BW108" s="1"/>
  <c r="BM104"/>
  <c r="BM91"/>
  <c r="BM79"/>
  <c r="BY79" s="1"/>
  <c r="BM73"/>
  <c r="BM64"/>
  <c r="BM60"/>
  <c r="BY60" s="1"/>
  <c r="BM51"/>
  <c r="BM40"/>
  <c r="BY40" s="1"/>
  <c r="BM185"/>
  <c r="BM178"/>
  <c r="BM172"/>
  <c r="BM161"/>
  <c r="BM156"/>
  <c r="BM151"/>
  <c r="BM148"/>
  <c r="BM145"/>
  <c r="BM133"/>
  <c r="BM120"/>
  <c r="BM116"/>
  <c r="BW116" s="1"/>
  <c r="BW112"/>
  <c r="BM103"/>
  <c r="BM96"/>
  <c r="BY96" s="1"/>
  <c r="BM201"/>
  <c r="BM196"/>
  <c r="BM186"/>
  <c r="BM166"/>
  <c r="BM163"/>
  <c r="BM162"/>
  <c r="BM142"/>
  <c r="BM132"/>
  <c r="BM128"/>
  <c r="BM121"/>
  <c r="BW121" s="1"/>
  <c r="BM113"/>
  <c r="BM105"/>
  <c r="BM94"/>
  <c r="BY94" s="1"/>
  <c r="BM90"/>
  <c r="BY90" s="1"/>
  <c r="BM47"/>
  <c r="BM46"/>
  <c r="BM45"/>
  <c r="BM44"/>
  <c r="BM119"/>
  <c r="BM102"/>
  <c r="BM89"/>
  <c r="BY89" s="1"/>
  <c r="BM88"/>
  <c r="BY88" s="1"/>
  <c r="BM86"/>
  <c r="BY86" s="1"/>
  <c r="BM82"/>
  <c r="BY82" s="1"/>
  <c r="BM61"/>
  <c r="BW61" s="1"/>
  <c r="BM50"/>
  <c r="BM49"/>
  <c r="BM39"/>
  <c r="BM37"/>
  <c r="BY37" s="1"/>
  <c r="BM30"/>
  <c r="BY30" s="1"/>
  <c r="BM26"/>
  <c r="BY26" s="1"/>
  <c r="BW334"/>
  <c r="Q334" i="68" s="1"/>
  <c r="BW325" i="77"/>
  <c r="Q325" i="68" s="1"/>
  <c r="BW308" i="77"/>
  <c r="Q308" i="68" s="1"/>
  <c r="BW342" i="77"/>
  <c r="Q342" i="68" s="1"/>
  <c r="BW306" i="77"/>
  <c r="Q306" i="68" s="1"/>
  <c r="BW300" i="77"/>
  <c r="Q300" i="68" s="1"/>
  <c r="BW299" i="77"/>
  <c r="Q299" i="68" s="1"/>
  <c r="BM114" i="77"/>
  <c r="BM106"/>
  <c r="BW106" s="1"/>
  <c r="BM81"/>
  <c r="BW81" s="1"/>
  <c r="BM80"/>
  <c r="BM55"/>
  <c r="BM54"/>
  <c r="BM53"/>
  <c r="BM52"/>
  <c r="BM24"/>
  <c r="BY24" s="1"/>
  <c r="BM21"/>
  <c r="BW328"/>
  <c r="Q328" i="68" s="1"/>
  <c r="BW343" i="77"/>
  <c r="Q343" i="68" s="1"/>
  <c r="BW327" i="77"/>
  <c r="Q327" i="68" s="1"/>
  <c r="BW326" i="77"/>
  <c r="Q326" i="68" s="1"/>
  <c r="BM100" i="77"/>
  <c r="BW100" s="1"/>
  <c r="BM92"/>
  <c r="BY92" s="1"/>
  <c r="BM48"/>
  <c r="BY48" s="1"/>
  <c r="BM29"/>
  <c r="BY29" s="1"/>
  <c r="BM20"/>
  <c r="BM19"/>
  <c r="BW19" s="1"/>
  <c r="BW335"/>
  <c r="Q335" i="68" s="1"/>
  <c r="BW330" i="77"/>
  <c r="Q330" i="68" s="1"/>
  <c r="BW337" i="77"/>
  <c r="Q337" i="68" s="1"/>
  <c r="BW332" i="77"/>
  <c r="Q332" i="68" s="1"/>
  <c r="BW333" i="77"/>
  <c r="Q333" i="68" s="1"/>
  <c r="BM107" i="77"/>
  <c r="BW107" s="1"/>
  <c r="BM95"/>
  <c r="BY95" s="1"/>
  <c r="BM93"/>
  <c r="BY93" s="1"/>
  <c r="BM84"/>
  <c r="BY84" s="1"/>
  <c r="BM57"/>
  <c r="BY57" s="1"/>
  <c r="BM31"/>
  <c r="BW31" s="1"/>
  <c r="BW339"/>
  <c r="Q339" i="68" s="1"/>
  <c r="BW344" i="77"/>
  <c r="Q344" i="68" s="1"/>
  <c r="BW338" i="77"/>
  <c r="Q338" i="68" s="1"/>
  <c r="BW348" i="77"/>
  <c r="Q348" i="68" s="1"/>
  <c r="BW12" i="77"/>
  <c r="BW122"/>
  <c r="BW124"/>
  <c r="BW117"/>
  <c r="BW130"/>
  <c r="BW153"/>
  <c r="BW251"/>
  <c r="BW146"/>
  <c r="BW16"/>
  <c r="BW118"/>
  <c r="BW120"/>
  <c r="BW126"/>
  <c r="BW166"/>
  <c r="BW181"/>
  <c r="BW113"/>
  <c r="BW139"/>
  <c r="BW147"/>
  <c r="BW158"/>
  <c r="BZ158" s="1"/>
  <c r="BW165"/>
  <c r="BW175"/>
  <c r="BW198"/>
  <c r="BW180"/>
  <c r="BW193"/>
  <c r="BW261"/>
  <c r="BW11"/>
  <c r="BW17"/>
  <c r="BW142"/>
  <c r="BW101"/>
  <c r="BW109"/>
  <c r="BW131"/>
  <c r="BW104"/>
  <c r="BW110"/>
  <c r="BW119"/>
  <c r="BW123"/>
  <c r="BW128"/>
  <c r="BW132"/>
  <c r="BW215"/>
  <c r="BW241"/>
  <c r="BW291"/>
  <c r="BZ291" s="1"/>
  <c r="BW221"/>
  <c r="BZ221" s="1"/>
  <c r="CA221" s="1"/>
  <c r="BW271"/>
  <c r="BZ271" s="1"/>
  <c r="BW13"/>
  <c r="BW111"/>
  <c r="BW129"/>
  <c r="BW134"/>
  <c r="BW178"/>
  <c r="BW179"/>
  <c r="BW115"/>
  <c r="BW177"/>
  <c r="BW191"/>
  <c r="BW125"/>
  <c r="BW140"/>
  <c r="BW164"/>
  <c r="BW135"/>
  <c r="BW136"/>
  <c r="BW317"/>
  <c r="Q317" i="68" s="1"/>
  <c r="BW310" i="77"/>
  <c r="Q310" i="68" s="1"/>
  <c r="BW331" i="77"/>
  <c r="Q331" i="68" s="1"/>
  <c r="BW361" i="77"/>
  <c r="BW441"/>
  <c r="BW391"/>
  <c r="BW461"/>
  <c r="BW149"/>
  <c r="BZ149" s="1"/>
  <c r="CC149" s="1"/>
  <c r="BW143"/>
  <c r="BW144"/>
  <c r="BW172"/>
  <c r="BW188"/>
  <c r="BZ188" s="1"/>
  <c r="BW190"/>
  <c r="BW185"/>
  <c r="BW189"/>
  <c r="BW412"/>
  <c r="BW414"/>
  <c r="BW145"/>
  <c r="BW171"/>
  <c r="BW183"/>
  <c r="BW186"/>
  <c r="BW91"/>
  <c r="BW154"/>
  <c r="BW155"/>
  <c r="BZ155" s="1"/>
  <c r="CA155" s="1"/>
  <c r="BW141"/>
  <c r="BW148"/>
  <c r="BW170"/>
  <c r="BZ170" s="1"/>
  <c r="CA170" s="1"/>
  <c r="BW174"/>
  <c r="BW381"/>
  <c r="BW159"/>
  <c r="BZ159" s="1"/>
  <c r="CA159" s="1"/>
  <c r="BW169"/>
  <c r="BW173"/>
  <c r="BZ173" s="1"/>
  <c r="CA173" s="1"/>
  <c r="BW182"/>
  <c r="BW187"/>
  <c r="BW201"/>
  <c r="BW211"/>
  <c r="BW214"/>
  <c r="BZ214" s="1"/>
  <c r="CA214" s="1"/>
  <c r="BW217"/>
  <c r="BW231"/>
  <c r="BW216"/>
  <c r="BW281"/>
  <c r="BW316"/>
  <c r="Q316" i="68" s="1"/>
  <c r="BW371" i="77"/>
  <c r="BW413"/>
  <c r="BZ413" s="1"/>
  <c r="CA413" s="1"/>
  <c r="BW415"/>
  <c r="BW314"/>
  <c r="Q314" i="68" s="1"/>
  <c r="BW210" i="77"/>
  <c r="BZ210" s="1"/>
  <c r="CA210" s="1"/>
  <c r="BW213"/>
  <c r="BZ213" s="1"/>
  <c r="CA213" s="1"/>
  <c r="BW218"/>
  <c r="BW419"/>
  <c r="BZ419" s="1"/>
  <c r="CA419" s="1"/>
  <c r="BW416"/>
  <c r="BW219"/>
  <c r="GC426"/>
  <c r="GK426" s="1"/>
  <c r="GC431"/>
  <c r="GC427"/>
  <c r="GC385"/>
  <c r="GK385" s="1"/>
  <c r="GC348"/>
  <c r="K348" i="72" s="1"/>
  <c r="GC335" i="77"/>
  <c r="K335" i="72" s="1"/>
  <c r="GC331" i="77"/>
  <c r="K331" i="72" s="1"/>
  <c r="GC330" i="77"/>
  <c r="K330" i="72" s="1"/>
  <c r="GC394" i="77"/>
  <c r="GK394" s="1"/>
  <c r="GC343"/>
  <c r="K343" i="72" s="1"/>
  <c r="GC339" i="77"/>
  <c r="K339" i="72" s="1"/>
  <c r="GC337" i="77"/>
  <c r="GC334"/>
  <c r="K334" i="72" s="1"/>
  <c r="GC333" i="77"/>
  <c r="K333" i="72" s="1"/>
  <c r="GC328" i="77"/>
  <c r="K328" i="72" s="1"/>
  <c r="GC326" i="77"/>
  <c r="GC324"/>
  <c r="K324" i="72" s="1"/>
  <c r="GC342" i="77"/>
  <c r="K342" i="72" s="1"/>
  <c r="GC338" i="77"/>
  <c r="K338" i="72" s="1"/>
  <c r="GC332" i="77"/>
  <c r="GC327"/>
  <c r="K327" i="72" s="1"/>
  <c r="GC325" i="77"/>
  <c r="K325" i="72" s="1"/>
  <c r="GC344" i="77"/>
  <c r="K344" i="72" s="1"/>
  <c r="GC340" i="77"/>
  <c r="K340" i="72" s="1"/>
  <c r="GC300" i="77"/>
  <c r="K300" i="72" s="1"/>
  <c r="GC290" i="77"/>
  <c r="GK290" s="1"/>
  <c r="GC317"/>
  <c r="K317" i="72" s="1"/>
  <c r="GC299" i="77"/>
  <c r="GC213"/>
  <c r="GC309"/>
  <c r="K309" i="72" s="1"/>
  <c r="GC280" i="77"/>
  <c r="GK280" s="1"/>
  <c r="GC278"/>
  <c r="GK278" s="1"/>
  <c r="GC223"/>
  <c r="GK223" s="1"/>
  <c r="GC193"/>
  <c r="GJ193" s="1"/>
  <c r="GC314"/>
  <c r="K314" i="72" s="1"/>
  <c r="GC306" i="77"/>
  <c r="GC296"/>
  <c r="GK296" s="1"/>
  <c r="GC271"/>
  <c r="GJ271" s="1"/>
  <c r="GC261"/>
  <c r="GC244"/>
  <c r="GK244" s="1"/>
  <c r="GC225"/>
  <c r="GK225" s="1"/>
  <c r="GC203"/>
  <c r="GK203" s="1"/>
  <c r="GC172"/>
  <c r="GI172" s="1"/>
  <c r="GC155"/>
  <c r="GC134"/>
  <c r="GC87"/>
  <c r="GK87" s="1"/>
  <c r="GC67"/>
  <c r="GK67" s="1"/>
  <c r="GC58"/>
  <c r="GK58" s="1"/>
  <c r="GC42"/>
  <c r="GK42" s="1"/>
  <c r="GC101"/>
  <c r="GI101" s="1"/>
  <c r="GC122"/>
  <c r="GJ122" s="1"/>
  <c r="GC118"/>
  <c r="GC78"/>
  <c r="GK78" s="1"/>
  <c r="GC36"/>
  <c r="GK36" s="1"/>
  <c r="GC33"/>
  <c r="GK33" s="1"/>
  <c r="GC11"/>
  <c r="GI334"/>
  <c r="Q334" i="72" s="1"/>
  <c r="GI325" i="77"/>
  <c r="Q325" i="72" s="1"/>
  <c r="GI308" i="77"/>
  <c r="Q308" i="72" s="1"/>
  <c r="GC98" i="77"/>
  <c r="GK98" s="1"/>
  <c r="GC38"/>
  <c r="GK38" s="1"/>
  <c r="GC23"/>
  <c r="GK23" s="1"/>
  <c r="GC22"/>
  <c r="GK22" s="1"/>
  <c r="GC16"/>
  <c r="GC14"/>
  <c r="GC13"/>
  <c r="GI110"/>
  <c r="GC65"/>
  <c r="GK65" s="1"/>
  <c r="GC21"/>
  <c r="GJ21" s="1"/>
  <c r="GC17"/>
  <c r="GI338"/>
  <c r="Q338" i="72" s="1"/>
  <c r="GI102" i="77"/>
  <c r="GI137"/>
  <c r="GI12"/>
  <c r="GI19"/>
  <c r="GI61"/>
  <c r="GI113"/>
  <c r="GI116"/>
  <c r="GI131"/>
  <c r="GI163"/>
  <c r="GI150"/>
  <c r="GL150" s="1"/>
  <c r="GI160"/>
  <c r="GI177"/>
  <c r="GI119"/>
  <c r="GI123"/>
  <c r="GI128"/>
  <c r="GI169"/>
  <c r="GI140"/>
  <c r="GI181"/>
  <c r="GI176"/>
  <c r="GI196"/>
  <c r="GI197"/>
  <c r="GL197" s="1"/>
  <c r="GI214"/>
  <c r="GJ155"/>
  <c r="GI114"/>
  <c r="GI31"/>
  <c r="GI129"/>
  <c r="GI158"/>
  <c r="GL158" s="1"/>
  <c r="GI103"/>
  <c r="GI146"/>
  <c r="GI161"/>
  <c r="GI178"/>
  <c r="GI166"/>
  <c r="GJ118"/>
  <c r="GI125"/>
  <c r="GI174"/>
  <c r="GI135"/>
  <c r="GI147"/>
  <c r="GI175"/>
  <c r="GI251"/>
  <c r="GI190"/>
  <c r="GL190" s="1"/>
  <c r="GI195"/>
  <c r="GI198"/>
  <c r="GL198" s="1"/>
  <c r="GI221"/>
  <c r="GL221" s="1"/>
  <c r="GI331"/>
  <c r="Q331" i="72" s="1"/>
  <c r="GI112" i="77"/>
  <c r="GI133"/>
  <c r="GI151"/>
  <c r="GI107"/>
  <c r="GI188"/>
  <c r="GI81"/>
  <c r="GL81" s="1"/>
  <c r="GI124"/>
  <c r="GI134"/>
  <c r="GI164"/>
  <c r="GI191"/>
  <c r="GI100"/>
  <c r="GL100" s="1"/>
  <c r="GI117"/>
  <c r="GI121"/>
  <c r="GI130"/>
  <c r="GI159"/>
  <c r="GI173"/>
  <c r="GI192"/>
  <c r="GI136"/>
  <c r="GI157"/>
  <c r="GI180"/>
  <c r="GI184"/>
  <c r="GI194"/>
  <c r="GL194" s="1"/>
  <c r="GJ213"/>
  <c r="GJ317"/>
  <c r="R317" i="72" s="1"/>
  <c r="GI441" i="77"/>
  <c r="GJ331"/>
  <c r="R331" i="72" s="1"/>
  <c r="GI11" i="77"/>
  <c r="GJ11"/>
  <c r="GI106"/>
  <c r="GI171"/>
  <c r="GI108"/>
  <c r="GI115"/>
  <c r="GI16"/>
  <c r="GI167"/>
  <c r="GL167" s="1"/>
  <c r="GI120"/>
  <c r="GI126"/>
  <c r="GI132"/>
  <c r="GI142"/>
  <c r="GI168"/>
  <c r="GL168" s="1"/>
  <c r="GI111"/>
  <c r="GI165"/>
  <c r="GI179"/>
  <c r="GI109"/>
  <c r="GI139"/>
  <c r="GI162"/>
  <c r="GI170"/>
  <c r="GI138"/>
  <c r="GI153"/>
  <c r="GI189"/>
  <c r="GL189" s="1"/>
  <c r="GI310"/>
  <c r="Q310" i="72" s="1"/>
  <c r="GI381" i="77"/>
  <c r="GI461"/>
  <c r="GI91"/>
  <c r="GI104"/>
  <c r="GI149"/>
  <c r="GL149" s="1"/>
  <c r="GI155"/>
  <c r="GI143"/>
  <c r="GJ172"/>
  <c r="GI185"/>
  <c r="GI271"/>
  <c r="GI391"/>
  <c r="GJ101"/>
  <c r="GJ134"/>
  <c r="GI148"/>
  <c r="GI186"/>
  <c r="GI199"/>
  <c r="GI231"/>
  <c r="GI361"/>
  <c r="GJ314"/>
  <c r="R314" i="72" s="1"/>
  <c r="GI421" i="77"/>
  <c r="GL421" s="1"/>
  <c r="GI145"/>
  <c r="GI154"/>
  <c r="GL154" s="1"/>
  <c r="GI141"/>
  <c r="GI144"/>
  <c r="GI182"/>
  <c r="GI183"/>
  <c r="GL183" s="1"/>
  <c r="GM183" s="1"/>
  <c r="GI187"/>
  <c r="GI281"/>
  <c r="GL281" s="1"/>
  <c r="GM281" s="1"/>
  <c r="GI291"/>
  <c r="GI314"/>
  <c r="Q314" i="72" s="1"/>
  <c r="GI371" i="77"/>
  <c r="GI413"/>
  <c r="GL413" s="1"/>
  <c r="GM413" s="1"/>
  <c r="GI412"/>
  <c r="GL412" s="1"/>
  <c r="GM412" s="1"/>
  <c r="GI416"/>
  <c r="GJ339"/>
  <c r="R339" i="72" s="1"/>
  <c r="GJ330" i="77"/>
  <c r="R330" i="72" s="1"/>
  <c r="GJ328" i="77"/>
  <c r="R328" i="72" s="1"/>
  <c r="GJ325" i="77"/>
  <c r="R325" i="72" s="1"/>
  <c r="GJ342" i="77"/>
  <c r="R342" i="72" s="1"/>
  <c r="GJ338" i="77"/>
  <c r="R338" i="72" s="1"/>
  <c r="GJ332" i="77"/>
  <c r="R332" i="72" s="1"/>
  <c r="GJ327" i="77"/>
  <c r="R327" i="72" s="1"/>
  <c r="GJ306" i="77"/>
  <c r="R306" i="72" s="1"/>
  <c r="GJ300" i="77"/>
  <c r="R300" i="72" s="1"/>
  <c r="GI201" i="77"/>
  <c r="GL201" s="1"/>
  <c r="GM201" s="1"/>
  <c r="GI211"/>
  <c r="GL211" s="1"/>
  <c r="GM211" s="1"/>
  <c r="GI215"/>
  <c r="GI219"/>
  <c r="GI431"/>
  <c r="GI241"/>
  <c r="GL241" s="1"/>
  <c r="GN241" s="1"/>
  <c r="GJ261"/>
  <c r="GI415"/>
  <c r="GJ299"/>
  <c r="R299" i="72" s="1"/>
  <c r="GI210" i="77"/>
  <c r="GL210" s="1"/>
  <c r="GM210" s="1"/>
  <c r="GI213"/>
  <c r="GI217"/>
  <c r="GL217" s="1"/>
  <c r="GM217" s="1"/>
  <c r="GI216"/>
  <c r="GI218"/>
  <c r="GI316"/>
  <c r="Q316" i="72" s="1"/>
  <c r="GI419" i="77"/>
  <c r="GL419" s="1"/>
  <c r="GM419" s="1"/>
  <c r="GJ344"/>
  <c r="R344" i="72" s="1"/>
  <c r="GJ337" i="77"/>
  <c r="R337" i="72" s="1"/>
  <c r="GJ324" i="77"/>
  <c r="R324" i="72" s="1"/>
  <c r="GJ340" i="77"/>
  <c r="R340" i="72" s="1"/>
  <c r="GJ309" i="77"/>
  <c r="R309" i="72" s="1"/>
  <c r="GJ348" i="77"/>
  <c r="R348" i="72" s="1"/>
  <c r="GJ333" i="77"/>
  <c r="R333" i="72" s="1"/>
  <c r="GJ326" i="77"/>
  <c r="R326" i="72" s="1"/>
  <c r="EY391" i="77"/>
  <c r="EY352"/>
  <c r="FH352" s="1"/>
  <c r="EY393"/>
  <c r="FH393" s="1"/>
  <c r="EY355"/>
  <c r="FH355" s="1"/>
  <c r="EY354"/>
  <c r="FH354" s="1"/>
  <c r="EY295"/>
  <c r="FH295" s="1"/>
  <c r="EY282"/>
  <c r="FH282" s="1"/>
  <c r="EY292"/>
  <c r="FH292" s="1"/>
  <c r="EY288"/>
  <c r="FH288" s="1"/>
  <c r="EY275"/>
  <c r="FH275" s="1"/>
  <c r="EY253"/>
  <c r="FH253" s="1"/>
  <c r="EY245"/>
  <c r="FH245" s="1"/>
  <c r="EY220"/>
  <c r="FH220" s="1"/>
  <c r="EY293"/>
  <c r="FH293" s="1"/>
  <c r="EY265"/>
  <c r="FH265" s="1"/>
  <c r="EY236"/>
  <c r="FH236" s="1"/>
  <c r="EY217"/>
  <c r="EY272"/>
  <c r="FH272" s="1"/>
  <c r="EY256"/>
  <c r="FH256" s="1"/>
  <c r="EY254"/>
  <c r="FH254" s="1"/>
  <c r="EY229"/>
  <c r="FH229" s="1"/>
  <c r="EY211"/>
  <c r="EY209"/>
  <c r="FH209" s="1"/>
  <c r="EY287"/>
  <c r="FH287" s="1"/>
  <c r="EY276"/>
  <c r="FH276" s="1"/>
  <c r="EY267"/>
  <c r="FH267" s="1"/>
  <c r="EY233"/>
  <c r="FH233" s="1"/>
  <c r="EY224"/>
  <c r="FH224" s="1"/>
  <c r="EY202"/>
  <c r="FH202" s="1"/>
  <c r="EY196"/>
  <c r="EY194"/>
  <c r="EY177"/>
  <c r="FF177" s="1"/>
  <c r="EY148"/>
  <c r="FF147"/>
  <c r="EY131"/>
  <c r="EY129"/>
  <c r="EY174"/>
  <c r="EY140"/>
  <c r="EY125"/>
  <c r="FF125" s="1"/>
  <c r="EY100"/>
  <c r="FF100" s="1"/>
  <c r="EY96"/>
  <c r="FH96" s="1"/>
  <c r="EY93"/>
  <c r="FH93" s="1"/>
  <c r="EY71"/>
  <c r="EY69"/>
  <c r="FH69" s="1"/>
  <c r="EY68"/>
  <c r="EY38"/>
  <c r="FH38" s="1"/>
  <c r="EY187"/>
  <c r="EY128"/>
  <c r="EY92"/>
  <c r="FH92" s="1"/>
  <c r="EY161"/>
  <c r="FG161" s="1"/>
  <c r="EY154"/>
  <c r="EY145"/>
  <c r="EY124"/>
  <c r="EY81"/>
  <c r="FF81" s="1"/>
  <c r="EY73"/>
  <c r="EY65"/>
  <c r="FH65" s="1"/>
  <c r="EY64"/>
  <c r="EY104"/>
  <c r="EY22"/>
  <c r="FH22" s="1"/>
  <c r="FF328"/>
  <c r="Q328" i="71" s="1"/>
  <c r="FF324" i="77"/>
  <c r="Q324" i="71" s="1"/>
  <c r="FF343" i="77"/>
  <c r="Q343" i="71" s="1"/>
  <c r="FF327" i="77"/>
  <c r="Q327" i="71" s="1"/>
  <c r="FF326" i="77"/>
  <c r="Q326" i="71" s="1"/>
  <c r="EY82" i="77"/>
  <c r="FH82" s="1"/>
  <c r="EY70"/>
  <c r="FH70" s="1"/>
  <c r="EY67"/>
  <c r="FH67" s="1"/>
  <c r="EY66"/>
  <c r="EY59"/>
  <c r="FH59" s="1"/>
  <c r="EY58"/>
  <c r="FH58" s="1"/>
  <c r="EY57"/>
  <c r="FH57" s="1"/>
  <c r="EY37"/>
  <c r="FH37" s="1"/>
  <c r="FF335"/>
  <c r="Q335" i="71" s="1"/>
  <c r="FF330" i="77"/>
  <c r="Q330" i="71" s="1"/>
  <c r="FF337" i="77"/>
  <c r="Q337" i="71" s="1"/>
  <c r="FF309" i="77"/>
  <c r="Q309" i="71" s="1"/>
  <c r="FF332" i="77"/>
  <c r="Q332" i="71" s="1"/>
  <c r="FF333" i="77"/>
  <c r="Q333" i="71" s="1"/>
  <c r="FF113" i="77"/>
  <c r="EY72"/>
  <c r="EY50"/>
  <c r="EY12"/>
  <c r="FF12" s="1"/>
  <c r="FF339"/>
  <c r="Q339" i="71" s="1"/>
  <c r="FF344" i="77"/>
  <c r="Q344" i="71" s="1"/>
  <c r="FF338" i="77"/>
  <c r="Q338" i="71" s="1"/>
  <c r="FF348" i="77"/>
  <c r="Q348" i="71" s="1"/>
  <c r="EY112" i="77"/>
  <c r="FF112" s="1"/>
  <c r="EY40"/>
  <c r="FH40" s="1"/>
  <c r="FF334"/>
  <c r="Q334" i="71" s="1"/>
  <c r="FF325" i="77"/>
  <c r="Q325" i="71" s="1"/>
  <c r="FF340" i="77"/>
  <c r="Q340" i="71" s="1"/>
  <c r="FF308" i="77"/>
  <c r="Q308" i="71" s="1"/>
  <c r="FF342" i="77"/>
  <c r="Q342" i="71" s="1"/>
  <c r="FF306" i="77"/>
  <c r="Q306" i="71" s="1"/>
  <c r="FF300" i="77"/>
  <c r="Q300" i="71" s="1"/>
  <c r="FF299" i="77"/>
  <c r="Q299" i="71" s="1"/>
  <c r="FF31" i="77"/>
  <c r="FF107"/>
  <c r="FF21"/>
  <c r="FF133"/>
  <c r="FF17"/>
  <c r="FF109"/>
  <c r="FF101"/>
  <c r="FI101" s="1"/>
  <c r="FF108"/>
  <c r="FF153"/>
  <c r="FI153" s="1"/>
  <c r="FF162"/>
  <c r="FF261"/>
  <c r="FF114"/>
  <c r="FF123"/>
  <c r="FF141"/>
  <c r="FF144"/>
  <c r="FF159"/>
  <c r="FF179"/>
  <c r="FF184"/>
  <c r="FF136"/>
  <c r="FF165"/>
  <c r="FF124"/>
  <c r="FF134"/>
  <c r="FF167"/>
  <c r="FF271"/>
  <c r="FI271" s="1"/>
  <c r="FF191"/>
  <c r="FG211"/>
  <c r="FF102"/>
  <c r="FF111"/>
  <c r="FF11"/>
  <c r="FF19"/>
  <c r="FG12"/>
  <c r="FF137"/>
  <c r="FF188"/>
  <c r="FI188" s="1"/>
  <c r="FF103"/>
  <c r="FF135"/>
  <c r="FF146"/>
  <c r="FF117"/>
  <c r="FF130"/>
  <c r="FF160"/>
  <c r="FF192"/>
  <c r="FF163"/>
  <c r="FF181"/>
  <c r="FF176"/>
  <c r="FF214"/>
  <c r="FF221"/>
  <c r="FF361"/>
  <c r="FF118"/>
  <c r="FF16"/>
  <c r="FF115"/>
  <c r="FG140"/>
  <c r="FF157"/>
  <c r="FF106"/>
  <c r="FF121"/>
  <c r="FF151"/>
  <c r="FF178"/>
  <c r="FF61"/>
  <c r="FF158"/>
  <c r="FI158" s="1"/>
  <c r="FF161"/>
  <c r="FF166"/>
  <c r="FF139"/>
  <c r="FF150"/>
  <c r="FI150" s="1"/>
  <c r="FF175"/>
  <c r="FF168"/>
  <c r="FI168" s="1"/>
  <c r="FF190"/>
  <c r="FI190" s="1"/>
  <c r="FG196"/>
  <c r="FF198"/>
  <c r="FI198" s="1"/>
  <c r="FF317"/>
  <c r="Q317" i="71" s="1"/>
  <c r="FF310" i="77"/>
  <c r="Q310" i="71" s="1"/>
  <c r="FF419" i="77"/>
  <c r="FF110"/>
  <c r="FF116"/>
  <c r="FF13"/>
  <c r="FF193"/>
  <c r="FI193" s="1"/>
  <c r="FF119"/>
  <c r="FF164"/>
  <c r="FF138"/>
  <c r="FF120"/>
  <c r="FF122"/>
  <c r="FF126"/>
  <c r="FF132"/>
  <c r="FF195"/>
  <c r="FF180"/>
  <c r="FF194"/>
  <c r="FF197"/>
  <c r="FI197" s="1"/>
  <c r="FF291"/>
  <c r="FI291" s="1"/>
  <c r="FF196"/>
  <c r="FF154"/>
  <c r="FG177"/>
  <c r="FF183"/>
  <c r="FI183" s="1"/>
  <c r="FJ183" s="1"/>
  <c r="FF186"/>
  <c r="FF187"/>
  <c r="FF461"/>
  <c r="FF391"/>
  <c r="FG104"/>
  <c r="FF91"/>
  <c r="FG100"/>
  <c r="FF140"/>
  <c r="FF143"/>
  <c r="FF148"/>
  <c r="FF169"/>
  <c r="FF171"/>
  <c r="FI171" s="1"/>
  <c r="FJ171" s="1"/>
  <c r="FF173"/>
  <c r="FG174"/>
  <c r="FF185"/>
  <c r="FI185" s="1"/>
  <c r="FF189"/>
  <c r="FF201"/>
  <c r="FI201" s="1"/>
  <c r="FJ201" s="1"/>
  <c r="FF210"/>
  <c r="FF211"/>
  <c r="FF213"/>
  <c r="FF216"/>
  <c r="FI216" s="1"/>
  <c r="FJ216" s="1"/>
  <c r="FF381"/>
  <c r="FF441"/>
  <c r="FF421"/>
  <c r="FI421" s="1"/>
  <c r="FG81"/>
  <c r="FF104"/>
  <c r="FF142"/>
  <c r="FG128"/>
  <c r="FG129"/>
  <c r="FG131"/>
  <c r="FF182"/>
  <c r="FI182" s="1"/>
  <c r="FJ182" s="1"/>
  <c r="FF331"/>
  <c r="FF155"/>
  <c r="FI155" s="1"/>
  <c r="FJ155" s="1"/>
  <c r="FG154"/>
  <c r="FF145"/>
  <c r="FF149"/>
  <c r="FF170"/>
  <c r="FF172"/>
  <c r="FF174"/>
  <c r="FG187"/>
  <c r="FF199"/>
  <c r="FI199" s="1"/>
  <c r="FJ199" s="1"/>
  <c r="FG194"/>
  <c r="FF218"/>
  <c r="FG217"/>
  <c r="FF217"/>
  <c r="FF316"/>
  <c r="Q316" i="71" s="1"/>
  <c r="FF415" i="77"/>
  <c r="FF231"/>
  <c r="FI231" s="1"/>
  <c r="FJ231" s="1"/>
  <c r="FF215"/>
  <c r="FI215" s="1"/>
  <c r="FJ215" s="1"/>
  <c r="FF281"/>
  <c r="FI281" s="1"/>
  <c r="FJ281" s="1"/>
  <c r="FF314"/>
  <c r="FF371"/>
  <c r="FF413"/>
  <c r="FI413" s="1"/>
  <c r="FJ413" s="1"/>
  <c r="FF412"/>
  <c r="FF219"/>
  <c r="FG391"/>
  <c r="FF416"/>
  <c r="FF241"/>
  <c r="FI241" s="1"/>
  <c r="FF251"/>
  <c r="FI251" s="1"/>
  <c r="FJ251" s="1"/>
  <c r="AI462"/>
  <c r="AV462" s="1"/>
  <c r="AI444"/>
  <c r="AV444" s="1"/>
  <c r="AI442"/>
  <c r="AV442" s="1"/>
  <c r="AI439"/>
  <c r="AV439" s="1"/>
  <c r="AI436"/>
  <c r="AV436" s="1"/>
  <c r="AI434"/>
  <c r="AV434" s="1"/>
  <c r="AI415"/>
  <c r="AI407"/>
  <c r="AV407" s="1"/>
  <c r="AI461"/>
  <c r="AI408"/>
  <c r="AV408" s="1"/>
  <c r="AI382"/>
  <c r="AV382" s="1"/>
  <c r="AI379"/>
  <c r="AV379" s="1"/>
  <c r="AI376"/>
  <c r="AV376" s="1"/>
  <c r="AI369"/>
  <c r="AV369" s="1"/>
  <c r="AI455"/>
  <c r="AV455" s="1"/>
  <c r="AI448"/>
  <c r="AV448" s="1"/>
  <c r="AI443"/>
  <c r="AV443" s="1"/>
  <c r="AI437"/>
  <c r="AV437" s="1"/>
  <c r="AI435"/>
  <c r="AV435" s="1"/>
  <c r="AI425"/>
  <c r="AV425" s="1"/>
  <c r="AI416"/>
  <c r="AI413"/>
  <c r="AI441"/>
  <c r="AI426"/>
  <c r="AV426" s="1"/>
  <c r="AI419"/>
  <c r="AI412"/>
  <c r="AI406"/>
  <c r="AI405"/>
  <c r="AV405" s="1"/>
  <c r="AI388"/>
  <c r="AV388" s="1"/>
  <c r="AI383"/>
  <c r="AV383" s="1"/>
  <c r="AI381"/>
  <c r="AI373"/>
  <c r="AI395"/>
  <c r="AV395" s="1"/>
  <c r="AI378"/>
  <c r="AV378" s="1"/>
  <c r="AI359"/>
  <c r="AV359" s="1"/>
  <c r="AI380"/>
  <c r="AV380" s="1"/>
  <c r="AI374"/>
  <c r="AV374" s="1"/>
  <c r="AI371"/>
  <c r="AI360"/>
  <c r="AV360" s="1"/>
  <c r="AI357"/>
  <c r="AV357" s="1"/>
  <c r="AI342"/>
  <c r="F342" i="65" s="1"/>
  <c r="AI338" i="77"/>
  <c r="F338" i="65" s="1"/>
  <c r="AI332" i="77"/>
  <c r="F332" i="65" s="1"/>
  <c r="AI327" i="77"/>
  <c r="F327" i="65" s="1"/>
  <c r="AI326" i="77"/>
  <c r="F326" i="65" s="1"/>
  <c r="AI389" i="77"/>
  <c r="AV389" s="1"/>
  <c r="AI363"/>
  <c r="AV363" s="1"/>
  <c r="AI362"/>
  <c r="AV362" s="1"/>
  <c r="AI343"/>
  <c r="F343" i="65" s="1"/>
  <c r="AI333" i="77"/>
  <c r="F333" i="65" s="1"/>
  <c r="AI321" i="77"/>
  <c r="F321" i="65" s="1"/>
  <c r="AI402" i="77"/>
  <c r="AV402" s="1"/>
  <c r="AI386"/>
  <c r="AV386" s="1"/>
  <c r="AI377"/>
  <c r="AV377" s="1"/>
  <c r="AI364"/>
  <c r="AV364" s="1"/>
  <c r="AI348"/>
  <c r="F348" i="65" s="1"/>
  <c r="AI299" i="77"/>
  <c r="F299" i="65" s="1"/>
  <c r="AI290" i="77"/>
  <c r="AV290" s="1"/>
  <c r="AI310"/>
  <c r="F310" i="65" s="1"/>
  <c r="AI306" i="77"/>
  <c r="F306" i="65" s="1"/>
  <c r="AI291" i="77"/>
  <c r="AI259"/>
  <c r="AV259" s="1"/>
  <c r="AI255"/>
  <c r="AI241"/>
  <c r="AI214"/>
  <c r="AI208"/>
  <c r="AV208" s="1"/>
  <c r="AI311"/>
  <c r="F311" i="65" s="1"/>
  <c r="AI284" i="77"/>
  <c r="AV284" s="1"/>
  <c r="AI261"/>
  <c r="AI246"/>
  <c r="AV246" s="1"/>
  <c r="AI228"/>
  <c r="AV228" s="1"/>
  <c r="AI213"/>
  <c r="AI200"/>
  <c r="AV200" s="1"/>
  <c r="AI198"/>
  <c r="AI193"/>
  <c r="AI188"/>
  <c r="AI187"/>
  <c r="AI289"/>
  <c r="AV289" s="1"/>
  <c r="AI252"/>
  <c r="AV252" s="1"/>
  <c r="AI249"/>
  <c r="AI231"/>
  <c r="AI221"/>
  <c r="AI215"/>
  <c r="AI206"/>
  <c r="AV206" s="1"/>
  <c r="AI203"/>
  <c r="AV203" s="1"/>
  <c r="AI201"/>
  <c r="AI316"/>
  <c r="F316" i="65" s="1"/>
  <c r="AI300" i="77"/>
  <c r="F300" i="65" s="1"/>
  <c r="AI296" i="77"/>
  <c r="AV296" s="1"/>
  <c r="AI277"/>
  <c r="AV277" s="1"/>
  <c r="AI262"/>
  <c r="AV262" s="1"/>
  <c r="AI250"/>
  <c r="AV250" s="1"/>
  <c r="AI244"/>
  <c r="AV244" s="1"/>
  <c r="AI243"/>
  <c r="AV243" s="1"/>
  <c r="AI237"/>
  <c r="AV237" s="1"/>
  <c r="AI234"/>
  <c r="AV234" s="1"/>
  <c r="AI226"/>
  <c r="AV226" s="1"/>
  <c r="AI210"/>
  <c r="AI207"/>
  <c r="AV207" s="1"/>
  <c r="AI204"/>
  <c r="AV204" s="1"/>
  <c r="AI195"/>
  <c r="AI191"/>
  <c r="AI185"/>
  <c r="AI183"/>
  <c r="AI181"/>
  <c r="AI180"/>
  <c r="AI170"/>
  <c r="AI166"/>
  <c r="AI165"/>
  <c r="AT151"/>
  <c r="AI136"/>
  <c r="AT133"/>
  <c r="AI189"/>
  <c r="AI179"/>
  <c r="AI173"/>
  <c r="AI164"/>
  <c r="AI149"/>
  <c r="AI146"/>
  <c r="AI142"/>
  <c r="AI122"/>
  <c r="AI120"/>
  <c r="AI118"/>
  <c r="AI116"/>
  <c r="AI111"/>
  <c r="AI88"/>
  <c r="AV88" s="1"/>
  <c r="AI84"/>
  <c r="AV84" s="1"/>
  <c r="AI48"/>
  <c r="AV48" s="1"/>
  <c r="AI41"/>
  <c r="AI182"/>
  <c r="AI176"/>
  <c r="AI159"/>
  <c r="AI155"/>
  <c r="AI153"/>
  <c r="AI147"/>
  <c r="AI137"/>
  <c r="AI110"/>
  <c r="AI97"/>
  <c r="AV97" s="1"/>
  <c r="AI175"/>
  <c r="AI158"/>
  <c r="AI144"/>
  <c r="AI141"/>
  <c r="AI130"/>
  <c r="AI123"/>
  <c r="AI119"/>
  <c r="AI117"/>
  <c r="AI115"/>
  <c r="AI98"/>
  <c r="AV98" s="1"/>
  <c r="AI95"/>
  <c r="AV95" s="1"/>
  <c r="AI86"/>
  <c r="AV86" s="1"/>
  <c r="AI57"/>
  <c r="AV57" s="1"/>
  <c r="AI34"/>
  <c r="AV34" s="1"/>
  <c r="AI36"/>
  <c r="AV36" s="1"/>
  <c r="AI23"/>
  <c r="AV23" s="1"/>
  <c r="AI18"/>
  <c r="AT335"/>
  <c r="Q335" i="65" s="1"/>
  <c r="AT330" i="77"/>
  <c r="Q330" i="65" s="1"/>
  <c r="AT337" i="77"/>
  <c r="Q337" i="65" s="1"/>
  <c r="AT309" i="77"/>
  <c r="Q309" i="65" s="1"/>
  <c r="AI102" i="77"/>
  <c r="AI91"/>
  <c r="AI83"/>
  <c r="AV83" s="1"/>
  <c r="AI42"/>
  <c r="AV42" s="1"/>
  <c r="AI28"/>
  <c r="AV28" s="1"/>
  <c r="AI13"/>
  <c r="AT339"/>
  <c r="Q339" i="65" s="1"/>
  <c r="AT344" i="77"/>
  <c r="Q344" i="65" s="1"/>
  <c r="AI85" i="77"/>
  <c r="AV85" s="1"/>
  <c r="AI78"/>
  <c r="AV78" s="1"/>
  <c r="AI62"/>
  <c r="AV62" s="1"/>
  <c r="AI61"/>
  <c r="AI12"/>
  <c r="AT334"/>
  <c r="Q334" i="65" s="1"/>
  <c r="AT325" i="77"/>
  <c r="Q325" i="65" s="1"/>
  <c r="AT340" i="77"/>
  <c r="Q340" i="65" s="1"/>
  <c r="AT308" i="77"/>
  <c r="Q308" i="65" s="1"/>
  <c r="AI103" i="77"/>
  <c r="AI101"/>
  <c r="AI89"/>
  <c r="AV89" s="1"/>
  <c r="AI87"/>
  <c r="AV87" s="1"/>
  <c r="AI32"/>
  <c r="AV32" s="1"/>
  <c r="AI27"/>
  <c r="AI26"/>
  <c r="AV26" s="1"/>
  <c r="AI22"/>
  <c r="AV22" s="1"/>
  <c r="AI11"/>
  <c r="AT328"/>
  <c r="Q328" i="65" s="1"/>
  <c r="AT324" i="77"/>
  <c r="Q324" i="65" s="1"/>
  <c r="AT129" i="77"/>
  <c r="AT134"/>
  <c r="AT139"/>
  <c r="AT135"/>
  <c r="AT125"/>
  <c r="AT140"/>
  <c r="AT167"/>
  <c r="AT138"/>
  <c r="AT150"/>
  <c r="AT251"/>
  <c r="AT317"/>
  <c r="Q317" i="65" s="1"/>
  <c r="AT17" i="77"/>
  <c r="AT31"/>
  <c r="AT21"/>
  <c r="AT108"/>
  <c r="AT124"/>
  <c r="AT100"/>
  <c r="AT114"/>
  <c r="AT192"/>
  <c r="AT112"/>
  <c r="AT121"/>
  <c r="AT194"/>
  <c r="AT104"/>
  <c r="AT126"/>
  <c r="AT113"/>
  <c r="AT162"/>
  <c r="AT168"/>
  <c r="AW168" s="1"/>
  <c r="AT178"/>
  <c r="AT196"/>
  <c r="AT199"/>
  <c r="AT109"/>
  <c r="AT16"/>
  <c r="AT19"/>
  <c r="AT81"/>
  <c r="AW81" s="1"/>
  <c r="AT107"/>
  <c r="AT131"/>
  <c r="AT106"/>
  <c r="AT128"/>
  <c r="AT132"/>
  <c r="AT161"/>
  <c r="AT177"/>
  <c r="AT190"/>
  <c r="AT197"/>
  <c r="AT160"/>
  <c r="AT163"/>
  <c r="AT271"/>
  <c r="AW271" s="1"/>
  <c r="AT391"/>
  <c r="AT157"/>
  <c r="AT331"/>
  <c r="Q331" i="65" s="1"/>
  <c r="AT361" i="77"/>
  <c r="AT143"/>
  <c r="AT169"/>
  <c r="AT171"/>
  <c r="AW171" s="1"/>
  <c r="AX171" s="1"/>
  <c r="AT186"/>
  <c r="AW186" s="1"/>
  <c r="AT211"/>
  <c r="AT421"/>
  <c r="AT148"/>
  <c r="AW148" s="1"/>
  <c r="AX148" s="1"/>
  <c r="AT184"/>
  <c r="AT145"/>
  <c r="AT154"/>
  <c r="AW154" s="1"/>
  <c r="AT172"/>
  <c r="AT174"/>
  <c r="AT218"/>
  <c r="AT281"/>
  <c r="AW281" s="1"/>
  <c r="AX281" s="1"/>
  <c r="AT216"/>
  <c r="AW216" s="1"/>
  <c r="AX216" s="1"/>
  <c r="AT217"/>
  <c r="AT314"/>
  <c r="AT219"/>
  <c r="DU461"/>
  <c r="DU448"/>
  <c r="EE448" s="1"/>
  <c r="DU429"/>
  <c r="EE429" s="1"/>
  <c r="DU422"/>
  <c r="EE422" s="1"/>
  <c r="DU421"/>
  <c r="DU420"/>
  <c r="EE420" s="1"/>
  <c r="DU419"/>
  <c r="DU404"/>
  <c r="DU394"/>
  <c r="EE394" s="1"/>
  <c r="DU444"/>
  <c r="EE444" s="1"/>
  <c r="DU442"/>
  <c r="EE442" s="1"/>
  <c r="DU436"/>
  <c r="EE436" s="1"/>
  <c r="DU434"/>
  <c r="EE434" s="1"/>
  <c r="DU425"/>
  <c r="EE425" s="1"/>
  <c r="DU406"/>
  <c r="DU393"/>
  <c r="EE393" s="1"/>
  <c r="DU389"/>
  <c r="EE389" s="1"/>
  <c r="DU384"/>
  <c r="EE384" s="1"/>
  <c r="DU380"/>
  <c r="EE380" s="1"/>
  <c r="DU368"/>
  <c r="DU365"/>
  <c r="EE365" s="1"/>
  <c r="DU361"/>
  <c r="DU457"/>
  <c r="EE457" s="1"/>
  <c r="DU449"/>
  <c r="EE449" s="1"/>
  <c r="DU430"/>
  <c r="EE430" s="1"/>
  <c r="DU413"/>
  <c r="DU441"/>
  <c r="DU437"/>
  <c r="EE437" s="1"/>
  <c r="DU423"/>
  <c r="EE423" s="1"/>
  <c r="DU412"/>
  <c r="DU405"/>
  <c r="EE405" s="1"/>
  <c r="DU401"/>
  <c r="EC401" s="1"/>
  <c r="DU386"/>
  <c r="EE386" s="1"/>
  <c r="DU377"/>
  <c r="EE377" s="1"/>
  <c r="DU370"/>
  <c r="DU340"/>
  <c r="DU330"/>
  <c r="DU311"/>
  <c r="I311" i="70" s="1"/>
  <c r="DU305" i="77"/>
  <c r="I305" i="70" s="1"/>
  <c r="DU402" i="77"/>
  <c r="EE402" s="1"/>
  <c r="DU378"/>
  <c r="EE378" s="1"/>
  <c r="DU362"/>
  <c r="EE362" s="1"/>
  <c r="DU357"/>
  <c r="EE357" s="1"/>
  <c r="DU348"/>
  <c r="I348" i="70" s="1"/>
  <c r="DU339" i="77"/>
  <c r="I339" i="70" s="1"/>
  <c r="DU333" i="77"/>
  <c r="DU331"/>
  <c r="I331" i="70" s="1"/>
  <c r="DU328" i="77"/>
  <c r="DU326"/>
  <c r="DU385"/>
  <c r="EE385" s="1"/>
  <c r="DU376"/>
  <c r="EE376" s="1"/>
  <c r="DU374"/>
  <c r="EE374" s="1"/>
  <c r="DU369"/>
  <c r="EE369" s="1"/>
  <c r="DU409"/>
  <c r="EE409" s="1"/>
  <c r="DU388"/>
  <c r="EE388" s="1"/>
  <c r="DU381"/>
  <c r="EC381" s="1"/>
  <c r="DU372"/>
  <c r="EE372" s="1"/>
  <c r="DU360"/>
  <c r="EE360" s="1"/>
  <c r="DU359"/>
  <c r="EE359" s="1"/>
  <c r="DU358"/>
  <c r="EE358" s="1"/>
  <c r="DU325"/>
  <c r="I325" i="70" s="1"/>
  <c r="DU321" i="77"/>
  <c r="I321" i="70" s="1"/>
  <c r="DU309" i="77"/>
  <c r="I309" i="70" s="1"/>
  <c r="DU293" i="77"/>
  <c r="EE293" s="1"/>
  <c r="DU290"/>
  <c r="EE290" s="1"/>
  <c r="DU280"/>
  <c r="EE280" s="1"/>
  <c r="DU294"/>
  <c r="EE294" s="1"/>
  <c r="DU292"/>
  <c r="EE292" s="1"/>
  <c r="DU291"/>
  <c r="ED291" s="1"/>
  <c r="DU285"/>
  <c r="EE285" s="1"/>
  <c r="DU275"/>
  <c r="EE275" s="1"/>
  <c r="DU249"/>
  <c r="DU246"/>
  <c r="EE246" s="1"/>
  <c r="DU244"/>
  <c r="EE244" s="1"/>
  <c r="DU237"/>
  <c r="EE237" s="1"/>
  <c r="DU227"/>
  <c r="EE227" s="1"/>
  <c r="DU219"/>
  <c r="DU206"/>
  <c r="EE206" s="1"/>
  <c r="DU303"/>
  <c r="I303" i="70" s="1"/>
  <c r="DU299" i="77"/>
  <c r="DU284"/>
  <c r="EE284" s="1"/>
  <c r="DU282"/>
  <c r="EE282" s="1"/>
  <c r="DU254"/>
  <c r="EE254" s="1"/>
  <c r="DU250"/>
  <c r="EE250" s="1"/>
  <c r="DU241"/>
  <c r="DU240"/>
  <c r="EE240" s="1"/>
  <c r="DU231"/>
  <c r="EC231" s="1"/>
  <c r="DU230"/>
  <c r="EE230" s="1"/>
  <c r="DU229"/>
  <c r="EE229" s="1"/>
  <c r="DU226"/>
  <c r="EE226" s="1"/>
  <c r="DU222"/>
  <c r="EE222" s="1"/>
  <c r="DU214"/>
  <c r="ED214" s="1"/>
  <c r="DU213"/>
  <c r="DU204"/>
  <c r="EE204" s="1"/>
  <c r="DU203"/>
  <c r="EE203" s="1"/>
  <c r="DU188"/>
  <c r="EC188" s="1"/>
  <c r="DU186"/>
  <c r="DU283"/>
  <c r="EE283" s="1"/>
  <c r="DU279"/>
  <c r="EE279" s="1"/>
  <c r="DU274"/>
  <c r="EE274" s="1"/>
  <c r="DU273"/>
  <c r="EE273" s="1"/>
  <c r="DU270"/>
  <c r="EE270" s="1"/>
  <c r="DU264"/>
  <c r="EE264" s="1"/>
  <c r="DU261"/>
  <c r="EC261" s="1"/>
  <c r="DU257"/>
  <c r="EE257" s="1"/>
  <c r="DU255"/>
  <c r="DU252"/>
  <c r="EE252" s="1"/>
  <c r="DU248"/>
  <c r="EE248" s="1"/>
  <c r="DU243"/>
  <c r="EE243" s="1"/>
  <c r="DU242"/>
  <c r="EE242" s="1"/>
  <c r="DU221"/>
  <c r="DU218"/>
  <c r="ED218" s="1"/>
  <c r="DU215"/>
  <c r="DU211"/>
  <c r="DU208"/>
  <c r="EE208" s="1"/>
  <c r="DU207"/>
  <c r="EE207" s="1"/>
  <c r="DU316"/>
  <c r="I316" i="70" s="1"/>
  <c r="ED311" i="77"/>
  <c r="R311" i="70" s="1"/>
  <c r="DU308" i="77"/>
  <c r="I308" i="70" s="1"/>
  <c r="DU287" i="77"/>
  <c r="EE287" s="1"/>
  <c r="DU281"/>
  <c r="ED281" s="1"/>
  <c r="DU271"/>
  <c r="EC271" s="1"/>
  <c r="DU269"/>
  <c r="EE269" s="1"/>
  <c r="DU268"/>
  <c r="EE268" s="1"/>
  <c r="DU267"/>
  <c r="EE267" s="1"/>
  <c r="DU263"/>
  <c r="EE263" s="1"/>
  <c r="DU262"/>
  <c r="EE262" s="1"/>
  <c r="DU234"/>
  <c r="EE234" s="1"/>
  <c r="DU228"/>
  <c r="EE228" s="1"/>
  <c r="DU223"/>
  <c r="EE223" s="1"/>
  <c r="DU216"/>
  <c r="DU210"/>
  <c r="EC210" s="1"/>
  <c r="DU201"/>
  <c r="DU197"/>
  <c r="DU195"/>
  <c r="ED195" s="1"/>
  <c r="DU192"/>
  <c r="ED192" s="1"/>
  <c r="DU179"/>
  <c r="EC179" s="1"/>
  <c r="DU178"/>
  <c r="EC178" s="1"/>
  <c r="DU173"/>
  <c r="DU172"/>
  <c r="EC172" s="1"/>
  <c r="DU169"/>
  <c r="EC169" s="1"/>
  <c r="DU167"/>
  <c r="DU198"/>
  <c r="ED198" s="1"/>
  <c r="DU194"/>
  <c r="EC194" s="1"/>
  <c r="DU193"/>
  <c r="EC193" s="1"/>
  <c r="DU182"/>
  <c r="DU180"/>
  <c r="EC180" s="1"/>
  <c r="DU164"/>
  <c r="EC164" s="1"/>
  <c r="DU160"/>
  <c r="DU155"/>
  <c r="EC155" s="1"/>
  <c r="DU153"/>
  <c r="EC153" s="1"/>
  <c r="DU140"/>
  <c r="EC140" s="1"/>
  <c r="DU139"/>
  <c r="DU136"/>
  <c r="EC136" s="1"/>
  <c r="DU133"/>
  <c r="EC133" s="1"/>
  <c r="DU122"/>
  <c r="EC122" s="1"/>
  <c r="DU190"/>
  <c r="DU176"/>
  <c r="EC176" s="1"/>
  <c r="DU170"/>
  <c r="EC170" s="1"/>
  <c r="DU166"/>
  <c r="ED166" s="1"/>
  <c r="DU158"/>
  <c r="DU126"/>
  <c r="DU116"/>
  <c r="ED116" s="1"/>
  <c r="DU115"/>
  <c r="ED115" s="1"/>
  <c r="DU109"/>
  <c r="EC109" s="1"/>
  <c r="DU107"/>
  <c r="DU106"/>
  <c r="EC106" s="1"/>
  <c r="DU102"/>
  <c r="ED102" s="1"/>
  <c r="DU94"/>
  <c r="EE94" s="1"/>
  <c r="DU91"/>
  <c r="DU90"/>
  <c r="EE90" s="1"/>
  <c r="DU86"/>
  <c r="EE86" s="1"/>
  <c r="DU189"/>
  <c r="DU163"/>
  <c r="DU134"/>
  <c r="EC134" s="1"/>
  <c r="DU132"/>
  <c r="EC132" s="1"/>
  <c r="DU114"/>
  <c r="EC114" s="1"/>
  <c r="EC112"/>
  <c r="DU185"/>
  <c r="EC185" s="1"/>
  <c r="DU184"/>
  <c r="ED184" s="1"/>
  <c r="DU181"/>
  <c r="EC181" s="1"/>
  <c r="DU177"/>
  <c r="DU171"/>
  <c r="ED171" s="1"/>
  <c r="DU168"/>
  <c r="ED168" s="1"/>
  <c r="DU165"/>
  <c r="EC165" s="1"/>
  <c r="DU149"/>
  <c r="EC149" s="1"/>
  <c r="DU147"/>
  <c r="ED147" s="1"/>
  <c r="DU144"/>
  <c r="ED144" s="1"/>
  <c r="DU143"/>
  <c r="EC143" s="1"/>
  <c r="DU142"/>
  <c r="EC142" s="1"/>
  <c r="DU135"/>
  <c r="DU130"/>
  <c r="ED130" s="1"/>
  <c r="DU123"/>
  <c r="ED123" s="1"/>
  <c r="DU121"/>
  <c r="DU119"/>
  <c r="ED119" s="1"/>
  <c r="DU117"/>
  <c r="ED117" s="1"/>
  <c r="DU111"/>
  <c r="DU108"/>
  <c r="EC108" s="1"/>
  <c r="DU101"/>
  <c r="DU88"/>
  <c r="EE88" s="1"/>
  <c r="DU83"/>
  <c r="EE83" s="1"/>
  <c r="DU63"/>
  <c r="EE63" s="1"/>
  <c r="DU59"/>
  <c r="EE59" s="1"/>
  <c r="DU41"/>
  <c r="EC41" s="1"/>
  <c r="DU110"/>
  <c r="EC110" s="1"/>
  <c r="DU85"/>
  <c r="EE85" s="1"/>
  <c r="DU79"/>
  <c r="EE79" s="1"/>
  <c r="DU70"/>
  <c r="EE70" s="1"/>
  <c r="DU29"/>
  <c r="EE29" s="1"/>
  <c r="DU28"/>
  <c r="EE28" s="1"/>
  <c r="DU21"/>
  <c r="EC21" s="1"/>
  <c r="DU12"/>
  <c r="EC335"/>
  <c r="Q335" i="70" s="1"/>
  <c r="EC337" i="77"/>
  <c r="Q337" i="70" s="1"/>
  <c r="EC309" i="77"/>
  <c r="Q309" i="70" s="1"/>
  <c r="EC332" i="77"/>
  <c r="Q332" i="70" s="1"/>
  <c r="DU97" i="77"/>
  <c r="EE97" s="1"/>
  <c r="DU34"/>
  <c r="EE34" s="1"/>
  <c r="DU32"/>
  <c r="EE32" s="1"/>
  <c r="DU27"/>
  <c r="DU19"/>
  <c r="EC19" s="1"/>
  <c r="EC344"/>
  <c r="Q344" i="70" s="1"/>
  <c r="EC338" i="77"/>
  <c r="Q338" i="70" s="1"/>
  <c r="EC348" i="77"/>
  <c r="Q348" i="70" s="1"/>
  <c r="DU118" i="77"/>
  <c r="EC118" s="1"/>
  <c r="DU113"/>
  <c r="DU89"/>
  <c r="EE89" s="1"/>
  <c r="DU33"/>
  <c r="EE33" s="1"/>
  <c r="DU26"/>
  <c r="EE26" s="1"/>
  <c r="DU16"/>
  <c r="EC334"/>
  <c r="Q334" i="70" s="1"/>
  <c r="EC325" i="77"/>
  <c r="Q325" i="70" s="1"/>
  <c r="EC342" i="77"/>
  <c r="Q342" i="70" s="1"/>
  <c r="EC306" i="77"/>
  <c r="Q306" i="70" s="1"/>
  <c r="EC300" i="77"/>
  <c r="Q300" i="70" s="1"/>
  <c r="DU60" i="77"/>
  <c r="EE60" s="1"/>
  <c r="DU31"/>
  <c r="EC31" s="1"/>
  <c r="DU30"/>
  <c r="EE30" s="1"/>
  <c r="EC324"/>
  <c r="Q324" i="70" s="1"/>
  <c r="EC343" i="77"/>
  <c r="Q343" i="70" s="1"/>
  <c r="EC327" i="77"/>
  <c r="Q327" i="70" s="1"/>
  <c r="EC151" i="77"/>
  <c r="EC11"/>
  <c r="EC100"/>
  <c r="EF100" s="1"/>
  <c r="EC174"/>
  <c r="EC138"/>
  <c r="EC81"/>
  <c r="EF81" s="1"/>
  <c r="EC120"/>
  <c r="EC129"/>
  <c r="EC310"/>
  <c r="Q310" i="70" s="1"/>
  <c r="ED201" i="77"/>
  <c r="EC103"/>
  <c r="EC17"/>
  <c r="EC137"/>
  <c r="EC125"/>
  <c r="EC159"/>
  <c r="EC173"/>
  <c r="EC145"/>
  <c r="EC157"/>
  <c r="ED160"/>
  <c r="EC162"/>
  <c r="EC196"/>
  <c r="EC161"/>
  <c r="EC191"/>
  <c r="EC163"/>
  <c r="EC291"/>
  <c r="EC311"/>
  <c r="Q311" i="70" s="1"/>
  <c r="ED461" i="77"/>
  <c r="EC61"/>
  <c r="EC139"/>
  <c r="EC141"/>
  <c r="ED158"/>
  <c r="EC135"/>
  <c r="EC146"/>
  <c r="EC160"/>
  <c r="EC167"/>
  <c r="EC177"/>
  <c r="EC131"/>
  <c r="ED189"/>
  <c r="EC195"/>
  <c r="EC197"/>
  <c r="EC13"/>
  <c r="EC128"/>
  <c r="EC158"/>
  <c r="EC199"/>
  <c r="ED113"/>
  <c r="ED121"/>
  <c r="EC124"/>
  <c r="EC150"/>
  <c r="EF150" s="1"/>
  <c r="EC175"/>
  <c r="EC190"/>
  <c r="EC251"/>
  <c r="EC198"/>
  <c r="EC317"/>
  <c r="Q317" i="70" s="1"/>
  <c r="EC104" i="77"/>
  <c r="EF104" s="1"/>
  <c r="EG104" s="1"/>
  <c r="ED126"/>
  <c r="ED441"/>
  <c r="ED316"/>
  <c r="R316" i="70" s="1"/>
  <c r="ED110" i="77"/>
  <c r="EC148"/>
  <c r="ED149"/>
  <c r="EC182"/>
  <c r="ED169"/>
  <c r="ED173"/>
  <c r="ED176"/>
  <c r="ED181"/>
  <c r="ED197"/>
  <c r="ED421"/>
  <c r="EC461"/>
  <c r="EC391"/>
  <c r="ED114"/>
  <c r="ED91"/>
  <c r="EC154"/>
  <c r="EF154" s="1"/>
  <c r="EC441"/>
  <c r="EC421"/>
  <c r="EC91"/>
  <c r="ED107"/>
  <c r="ED111"/>
  <c r="ED142"/>
  <c r="EC186"/>
  <c r="EC183"/>
  <c r="EC187"/>
  <c r="ED182"/>
  <c r="ED219"/>
  <c r="EC213"/>
  <c r="EC215"/>
  <c r="EC218"/>
  <c r="EC241"/>
  <c r="EC321"/>
  <c r="Q321" i="70" s="1"/>
  <c r="ED321" i="77"/>
  <c r="R321" i="70" s="1"/>
  <c r="ED419" i="77"/>
  <c r="EC189"/>
  <c r="ED215"/>
  <c r="EC219"/>
  <c r="EC217"/>
  <c r="EC316"/>
  <c r="Q316" i="70" s="1"/>
  <c r="ED361" i="77"/>
  <c r="ED305"/>
  <c r="R305" i="70" s="1"/>
  <c r="EC201" i="77"/>
  <c r="EC211"/>
  <c r="EC216"/>
  <c r="EC281"/>
  <c r="EC314"/>
  <c r="EC371"/>
  <c r="EF371" s="1"/>
  <c r="EG371" s="1"/>
  <c r="EC413"/>
  <c r="EC416"/>
  <c r="EC412"/>
  <c r="ED413"/>
  <c r="ED185"/>
  <c r="EC415"/>
  <c r="EC419"/>
  <c r="ED308"/>
  <c r="R308" i="70" s="1"/>
  <c r="IO419" i="77"/>
  <c r="IK354"/>
  <c r="IQ354" s="1"/>
  <c r="IK335"/>
  <c r="IK334"/>
  <c r="M334" i="74" s="1"/>
  <c r="IK233" i="77"/>
  <c r="IQ233" s="1"/>
  <c r="IK289"/>
  <c r="IQ289" s="1"/>
  <c r="IK216"/>
  <c r="IO216" s="1"/>
  <c r="IK245"/>
  <c r="IQ245" s="1"/>
  <c r="IK231"/>
  <c r="IK266"/>
  <c r="IQ266" s="1"/>
  <c r="IK259"/>
  <c r="IQ259" s="1"/>
  <c r="IK157"/>
  <c r="IP157" s="1"/>
  <c r="IO151"/>
  <c r="IK179"/>
  <c r="IO179" s="1"/>
  <c r="IK159"/>
  <c r="IO159" s="1"/>
  <c r="IK65"/>
  <c r="IQ65" s="1"/>
  <c r="IK148"/>
  <c r="IO148" s="1"/>
  <c r="IK145"/>
  <c r="IO145" s="1"/>
  <c r="IK93"/>
  <c r="IQ93" s="1"/>
  <c r="IK167"/>
  <c r="IO167" s="1"/>
  <c r="IK132"/>
  <c r="IO132" s="1"/>
  <c r="IK69"/>
  <c r="IQ69" s="1"/>
  <c r="IK37"/>
  <c r="IQ37" s="1"/>
  <c r="IK92"/>
  <c r="IQ92" s="1"/>
  <c r="IK72"/>
  <c r="IK16"/>
  <c r="IP16" s="1"/>
  <c r="IK13"/>
  <c r="IP13" s="1"/>
  <c r="IO309"/>
  <c r="Q309" i="74" s="1"/>
  <c r="IK106" i="77"/>
  <c r="IO106" s="1"/>
  <c r="IK15"/>
  <c r="IO112"/>
  <c r="IK58"/>
  <c r="IQ58" s="1"/>
  <c r="IK24"/>
  <c r="IQ24" s="1"/>
  <c r="IK17"/>
  <c r="IP17" s="1"/>
  <c r="IO114"/>
  <c r="IO11"/>
  <c r="IO137"/>
  <c r="IO188"/>
  <c r="IO115"/>
  <c r="IO130"/>
  <c r="IO139"/>
  <c r="IO171"/>
  <c r="IO135"/>
  <c r="IO146"/>
  <c r="IO153"/>
  <c r="IR153" s="1"/>
  <c r="IO164"/>
  <c r="IO118"/>
  <c r="IO122"/>
  <c r="IO126"/>
  <c r="IO131"/>
  <c r="IO174"/>
  <c r="IO192"/>
  <c r="IO172"/>
  <c r="IO176"/>
  <c r="IO310"/>
  <c r="Q310" i="74" s="1"/>
  <c r="IO169" i="77"/>
  <c r="IO191"/>
  <c r="IO194"/>
  <c r="IR194" s="1"/>
  <c r="IO184"/>
  <c r="IO261"/>
  <c r="IO109"/>
  <c r="IO108"/>
  <c r="IO166"/>
  <c r="IO31"/>
  <c r="IO128"/>
  <c r="IO178"/>
  <c r="IO180"/>
  <c r="IO136"/>
  <c r="IO163"/>
  <c r="IR163" s="1"/>
  <c r="IO101"/>
  <c r="IR101" s="1"/>
  <c r="IO124"/>
  <c r="IO134"/>
  <c r="IO162"/>
  <c r="IO150"/>
  <c r="IR150" s="1"/>
  <c r="IO173"/>
  <c r="IO175"/>
  <c r="IO189"/>
  <c r="IR189" s="1"/>
  <c r="IO193"/>
  <c r="IO197"/>
  <c r="IO251"/>
  <c r="IO317"/>
  <c r="Q317" i="74" s="1"/>
  <c r="IO103" i="77"/>
  <c r="IO102"/>
  <c r="IO110"/>
  <c r="IO133"/>
  <c r="IO19"/>
  <c r="IO61"/>
  <c r="IO107"/>
  <c r="IO121"/>
  <c r="IO123"/>
  <c r="IO177"/>
  <c r="IO113"/>
  <c r="IO160"/>
  <c r="IO111"/>
  <c r="IO116"/>
  <c r="IO120"/>
  <c r="IO129"/>
  <c r="IO141"/>
  <c r="IO170"/>
  <c r="IO196"/>
  <c r="IO221"/>
  <c r="IO21"/>
  <c r="IO12"/>
  <c r="IO100"/>
  <c r="IR100" s="1"/>
  <c r="IO117"/>
  <c r="IO119"/>
  <c r="IO125"/>
  <c r="IO158"/>
  <c r="IR158" s="1"/>
  <c r="IO168"/>
  <c r="IR168" s="1"/>
  <c r="IO138"/>
  <c r="IO147"/>
  <c r="IO81"/>
  <c r="IR81" s="1"/>
  <c r="IO161"/>
  <c r="IO165"/>
  <c r="IO181"/>
  <c r="IO190"/>
  <c r="IR190" s="1"/>
  <c r="IO195"/>
  <c r="IO271"/>
  <c r="IR271" s="1"/>
  <c r="IO198"/>
  <c r="IR198" s="1"/>
  <c r="IO391"/>
  <c r="IO140"/>
  <c r="IO331"/>
  <c r="Q331" i="74" s="1"/>
  <c r="IO421" i="77"/>
  <c r="IO104"/>
  <c r="IO182"/>
  <c r="IR182" s="1"/>
  <c r="IS182" s="1"/>
  <c r="IO183"/>
  <c r="IO199"/>
  <c r="IR199" s="1"/>
  <c r="IS199" s="1"/>
  <c r="IO218"/>
  <c r="IO441"/>
  <c r="IO461"/>
  <c r="IO91"/>
  <c r="IO144"/>
  <c r="IO149"/>
  <c r="IR149" s="1"/>
  <c r="IU149" s="1"/>
  <c r="IO154"/>
  <c r="IR154" s="1"/>
  <c r="IO143"/>
  <c r="IO155"/>
  <c r="IR155" s="1"/>
  <c r="IS155" s="1"/>
  <c r="IO361"/>
  <c r="IO381"/>
  <c r="IO142"/>
  <c r="IP179"/>
  <c r="IO186"/>
  <c r="IO187"/>
  <c r="IO185"/>
  <c r="IR185" s="1"/>
  <c r="IO219"/>
  <c r="IR219" s="1"/>
  <c r="IS219" s="1"/>
  <c r="IO241"/>
  <c r="IO210"/>
  <c r="IO213"/>
  <c r="IP231"/>
  <c r="IO214"/>
  <c r="IO316"/>
  <c r="Q316" i="74" s="1"/>
  <c r="IO416" i="77"/>
  <c r="IO415"/>
  <c r="IO344"/>
  <c r="IO337"/>
  <c r="IO324"/>
  <c r="IO340"/>
  <c r="IO308"/>
  <c r="IO300"/>
  <c r="IO348"/>
  <c r="IO333"/>
  <c r="Q333" i="74" s="1"/>
  <c r="IO326" i="77"/>
  <c r="IO299"/>
  <c r="Q299" i="74" s="1"/>
  <c r="IO231" i="77"/>
  <c r="IO281"/>
  <c r="IR281" s="1"/>
  <c r="IS281" s="1"/>
  <c r="IO291"/>
  <c r="IO314"/>
  <c r="IO371"/>
  <c r="IR371" s="1"/>
  <c r="IS371" s="1"/>
  <c r="IO413"/>
  <c r="IO412"/>
  <c r="IR412" s="1"/>
  <c r="IS412" s="1"/>
  <c r="IP335"/>
  <c r="R335" i="74" s="1"/>
  <c r="IO339" i="77"/>
  <c r="IO330"/>
  <c r="IO328"/>
  <c r="IO325"/>
  <c r="IO343"/>
  <c r="IO342"/>
  <c r="IO338"/>
  <c r="IO332"/>
  <c r="IO327"/>
  <c r="IO306"/>
  <c r="IO201"/>
  <c r="IO211"/>
  <c r="IO215"/>
  <c r="IR215" s="1"/>
  <c r="IS215" s="1"/>
  <c r="IO217"/>
  <c r="U298"/>
  <c r="U298" i="39" s="1"/>
  <c r="W298" i="77"/>
  <c r="W298" i="39" s="1"/>
  <c r="CQ455" i="77"/>
  <c r="DB455" s="1"/>
  <c r="CQ439"/>
  <c r="DB439" s="1"/>
  <c r="CQ431"/>
  <c r="CQ430"/>
  <c r="DB430" s="1"/>
  <c r="CQ419"/>
  <c r="CZ419" s="1"/>
  <c r="CQ417"/>
  <c r="CQ414"/>
  <c r="CQ411"/>
  <c r="DA411" s="1"/>
  <c r="CQ404"/>
  <c r="CQ402"/>
  <c r="DB402" s="1"/>
  <c r="CQ401"/>
  <c r="CQ395"/>
  <c r="DB395" s="1"/>
  <c r="CQ457"/>
  <c r="DB457" s="1"/>
  <c r="CQ449"/>
  <c r="DB449" s="1"/>
  <c r="CQ443"/>
  <c r="DB443" s="1"/>
  <c r="CQ441"/>
  <c r="CZ441" s="1"/>
  <c r="CQ438"/>
  <c r="CQ437"/>
  <c r="DB437" s="1"/>
  <c r="CQ432"/>
  <c r="CQ427"/>
  <c r="CQ426"/>
  <c r="DB426" s="1"/>
  <c r="CQ421"/>
  <c r="CQ413"/>
  <c r="CZ413" s="1"/>
  <c r="CQ409"/>
  <c r="DB409" s="1"/>
  <c r="CQ400"/>
  <c r="CQ374"/>
  <c r="DB374" s="1"/>
  <c r="CQ371"/>
  <c r="CZ371" s="1"/>
  <c r="CQ368"/>
  <c r="CQ361"/>
  <c r="CQ462"/>
  <c r="DB462" s="1"/>
  <c r="CQ435"/>
  <c r="DB435" s="1"/>
  <c r="CQ428"/>
  <c r="CQ423"/>
  <c r="DB423" s="1"/>
  <c r="CQ420"/>
  <c r="DB420" s="1"/>
  <c r="CQ415"/>
  <c r="CQ461"/>
  <c r="CZ461" s="1"/>
  <c r="CQ448"/>
  <c r="DB448" s="1"/>
  <c r="CQ444"/>
  <c r="DB444" s="1"/>
  <c r="CQ442"/>
  <c r="DB442" s="1"/>
  <c r="CQ436"/>
  <c r="DB436" s="1"/>
  <c r="CQ429"/>
  <c r="DB429" s="1"/>
  <c r="CQ422"/>
  <c r="DB422" s="1"/>
  <c r="CQ416"/>
  <c r="DA416" s="1"/>
  <c r="CQ412"/>
  <c r="CZ412" s="1"/>
  <c r="CQ408"/>
  <c r="DB408" s="1"/>
  <c r="CQ407"/>
  <c r="DB407" s="1"/>
  <c r="CQ394"/>
  <c r="DB394" s="1"/>
  <c r="CQ370"/>
  <c r="CQ369"/>
  <c r="DB369" s="1"/>
  <c r="CQ365"/>
  <c r="DB365" s="1"/>
  <c r="CQ342"/>
  <c r="H342" i="69" s="1"/>
  <c r="CQ338" i="77"/>
  <c r="H338" i="69" s="1"/>
  <c r="CQ332" i="77"/>
  <c r="CQ328"/>
  <c r="CQ327"/>
  <c r="H327" i="69" s="1"/>
  <c r="CQ314" i="77"/>
  <c r="H314" i="69" s="1"/>
  <c r="CQ310" i="77"/>
  <c r="H310" i="69" s="1"/>
  <c r="CQ385" i="77"/>
  <c r="DB385" s="1"/>
  <c r="CQ367"/>
  <c r="CQ355"/>
  <c r="DB355" s="1"/>
  <c r="CQ344"/>
  <c r="CQ339"/>
  <c r="CQ337"/>
  <c r="H337" i="69" s="1"/>
  <c r="CQ379" i="77"/>
  <c r="DB379" s="1"/>
  <c r="CQ359"/>
  <c r="DB359" s="1"/>
  <c r="CQ358"/>
  <c r="DB358" s="1"/>
  <c r="CQ353"/>
  <c r="DB353" s="1"/>
  <c r="CQ352"/>
  <c r="DB352" s="1"/>
  <c r="CQ343"/>
  <c r="CQ391"/>
  <c r="CQ382"/>
  <c r="DB382" s="1"/>
  <c r="CQ373"/>
  <c r="CQ363"/>
  <c r="DB363" s="1"/>
  <c r="CQ357"/>
  <c r="DB357" s="1"/>
  <c r="CQ330"/>
  <c r="H330" i="69" s="1"/>
  <c r="CQ325" i="77"/>
  <c r="H325" i="69" s="1"/>
  <c r="CQ317" i="77"/>
  <c r="H317" i="69" s="1"/>
  <c r="CQ295" i="77"/>
  <c r="DB295" s="1"/>
  <c r="CQ286"/>
  <c r="CQ280"/>
  <c r="DB280" s="1"/>
  <c r="CQ294"/>
  <c r="DB294" s="1"/>
  <c r="CQ285"/>
  <c r="DB285" s="1"/>
  <c r="CQ276"/>
  <c r="DB276" s="1"/>
  <c r="CQ266"/>
  <c r="DB266" s="1"/>
  <c r="CZ261"/>
  <c r="CQ252"/>
  <c r="DB252" s="1"/>
  <c r="CQ242"/>
  <c r="DB242" s="1"/>
  <c r="CQ240"/>
  <c r="DB240" s="1"/>
  <c r="CQ230"/>
  <c r="DB230" s="1"/>
  <c r="CQ226"/>
  <c r="DB226" s="1"/>
  <c r="CQ222"/>
  <c r="DB222" s="1"/>
  <c r="CQ219"/>
  <c r="CZ219" s="1"/>
  <c r="CQ217"/>
  <c r="CQ209"/>
  <c r="DB209" s="1"/>
  <c r="CQ204"/>
  <c r="DB204" s="1"/>
  <c r="CQ305"/>
  <c r="H305" i="69" s="1"/>
  <c r="CQ284" i="77"/>
  <c r="DB284" s="1"/>
  <c r="CQ282"/>
  <c r="DB282" s="1"/>
  <c r="CQ279"/>
  <c r="DB279" s="1"/>
  <c r="CQ271"/>
  <c r="CQ270"/>
  <c r="DB270" s="1"/>
  <c r="CQ257"/>
  <c r="DB257" s="1"/>
  <c r="CQ256"/>
  <c r="DB256" s="1"/>
  <c r="CQ248"/>
  <c r="DB248" s="1"/>
  <c r="CQ247"/>
  <c r="DB247" s="1"/>
  <c r="CQ235"/>
  <c r="DB235" s="1"/>
  <c r="CQ234"/>
  <c r="DB234" s="1"/>
  <c r="CQ225"/>
  <c r="DB225" s="1"/>
  <c r="CQ220"/>
  <c r="DB220" s="1"/>
  <c r="CQ214"/>
  <c r="CQ197"/>
  <c r="CQ196"/>
  <c r="CZ196" s="1"/>
  <c r="CQ192"/>
  <c r="CQ303"/>
  <c r="CQ300"/>
  <c r="CQ296"/>
  <c r="DB296" s="1"/>
  <c r="CQ274"/>
  <c r="DB274" s="1"/>
  <c r="CQ273"/>
  <c r="DB273" s="1"/>
  <c r="CQ265"/>
  <c r="DB265" s="1"/>
  <c r="CQ264"/>
  <c r="DB264" s="1"/>
  <c r="CQ246"/>
  <c r="DB246" s="1"/>
  <c r="CQ239"/>
  <c r="DB239" s="1"/>
  <c r="CQ238"/>
  <c r="DB238" s="1"/>
  <c r="CQ228"/>
  <c r="DB228" s="1"/>
  <c r="CQ224"/>
  <c r="DB224" s="1"/>
  <c r="CQ218"/>
  <c r="CZ218" s="1"/>
  <c r="CQ215"/>
  <c r="CQ202"/>
  <c r="DB202" s="1"/>
  <c r="CQ199"/>
  <c r="CZ199" s="1"/>
  <c r="CQ324"/>
  <c r="CQ316"/>
  <c r="H316" i="69" s="1"/>
  <c r="CQ308" i="77"/>
  <c r="H308" i="69" s="1"/>
  <c r="CQ306" i="77"/>
  <c r="CQ291"/>
  <c r="CZ291" s="1"/>
  <c r="CQ281"/>
  <c r="CZ281" s="1"/>
  <c r="CQ278"/>
  <c r="DB278" s="1"/>
  <c r="CQ277"/>
  <c r="DB277" s="1"/>
  <c r="CQ275"/>
  <c r="DB275" s="1"/>
  <c r="CQ272"/>
  <c r="DB272" s="1"/>
  <c r="CQ269"/>
  <c r="DB269" s="1"/>
  <c r="CQ268"/>
  <c r="DB268" s="1"/>
  <c r="CQ267"/>
  <c r="DB267" s="1"/>
  <c r="CQ263"/>
  <c r="DB263" s="1"/>
  <c r="CQ259"/>
  <c r="DB259" s="1"/>
  <c r="CQ253"/>
  <c r="DB253" s="1"/>
  <c r="CQ251"/>
  <c r="CQ236"/>
  <c r="DB236" s="1"/>
  <c r="CQ232"/>
  <c r="DB232" s="1"/>
  <c r="CQ227"/>
  <c r="DB227" s="1"/>
  <c r="CQ206"/>
  <c r="DB206" s="1"/>
  <c r="CQ205"/>
  <c r="DB205" s="1"/>
  <c r="CQ187"/>
  <c r="CZ187" s="1"/>
  <c r="CQ175"/>
  <c r="CQ171"/>
  <c r="CQ189"/>
  <c r="CZ189" s="1"/>
  <c r="CQ178"/>
  <c r="CZ178" s="1"/>
  <c r="CQ173"/>
  <c r="CQ169"/>
  <c r="CZ169" s="1"/>
  <c r="CQ161"/>
  <c r="CQ160"/>
  <c r="CQ151"/>
  <c r="CZ151" s="1"/>
  <c r="CQ141"/>
  <c r="CQ140"/>
  <c r="CQ138"/>
  <c r="CZ138" s="1"/>
  <c r="CQ136"/>
  <c r="CZ136" s="1"/>
  <c r="CQ124"/>
  <c r="CQ190"/>
  <c r="CQ184"/>
  <c r="CZ184" s="1"/>
  <c r="CQ168"/>
  <c r="CZ168" s="1"/>
  <c r="CQ162"/>
  <c r="CZ162" s="1"/>
  <c r="CQ159"/>
  <c r="CQ150"/>
  <c r="CZ150" s="1"/>
  <c r="CQ137"/>
  <c r="CZ137" s="1"/>
  <c r="CQ135"/>
  <c r="CQ131"/>
  <c r="CZ131" s="1"/>
  <c r="CQ129"/>
  <c r="CZ129" s="1"/>
  <c r="CQ126"/>
  <c r="CZ126" s="1"/>
  <c r="CQ95"/>
  <c r="DB95" s="1"/>
  <c r="CQ85"/>
  <c r="DB85" s="1"/>
  <c r="CQ78"/>
  <c r="DB78" s="1"/>
  <c r="CQ66"/>
  <c r="CQ51"/>
  <c r="CQ191"/>
  <c r="CZ191" s="1"/>
  <c r="CQ157"/>
  <c r="CZ157" s="1"/>
  <c r="CQ154"/>
  <c r="CZ154" s="1"/>
  <c r="CQ146"/>
  <c r="CQ144"/>
  <c r="CQ139"/>
  <c r="CQ134"/>
  <c r="CQ125"/>
  <c r="CQ114"/>
  <c r="CQ111"/>
  <c r="CZ111" s="1"/>
  <c r="CQ100"/>
  <c r="CQ98"/>
  <c r="DB98" s="1"/>
  <c r="CQ200"/>
  <c r="DB200" s="1"/>
  <c r="CQ181"/>
  <c r="CZ181" s="1"/>
  <c r="CQ180"/>
  <c r="CZ180" s="1"/>
  <c r="CQ174"/>
  <c r="CZ174" s="1"/>
  <c r="CQ170"/>
  <c r="CZ170" s="1"/>
  <c r="CQ158"/>
  <c r="CZ158" s="1"/>
  <c r="CQ156"/>
  <c r="DA156" s="1"/>
  <c r="CQ149"/>
  <c r="CQ147"/>
  <c r="CZ147" s="1"/>
  <c r="CQ143"/>
  <c r="CZ143" s="1"/>
  <c r="CQ133"/>
  <c r="CZ133" s="1"/>
  <c r="CQ130"/>
  <c r="CQ128"/>
  <c r="CQ123"/>
  <c r="CZ123" s="1"/>
  <c r="CQ121"/>
  <c r="CZ121" s="1"/>
  <c r="CQ117"/>
  <c r="CQ113"/>
  <c r="CZ113" s="1"/>
  <c r="CQ108"/>
  <c r="CZ108" s="1"/>
  <c r="CQ104"/>
  <c r="CQ97"/>
  <c r="DB97" s="1"/>
  <c r="CQ96"/>
  <c r="DB96" s="1"/>
  <c r="CQ87"/>
  <c r="DB87" s="1"/>
  <c r="CQ84"/>
  <c r="DB84" s="1"/>
  <c r="CQ82"/>
  <c r="DB82" s="1"/>
  <c r="CQ61"/>
  <c r="DA61" s="1"/>
  <c r="CQ48"/>
  <c r="DB48" s="1"/>
  <c r="CQ47"/>
  <c r="CQ46"/>
  <c r="CQ45"/>
  <c r="CQ44"/>
  <c r="CQ33"/>
  <c r="DB33" s="1"/>
  <c r="CQ112"/>
  <c r="CZ112" s="1"/>
  <c r="CQ110"/>
  <c r="CZ110" s="1"/>
  <c r="CQ71"/>
  <c r="CZ71" s="1"/>
  <c r="CQ49"/>
  <c r="CQ39"/>
  <c r="CQ34"/>
  <c r="DB34" s="1"/>
  <c r="CQ32"/>
  <c r="DB32" s="1"/>
  <c r="CQ11"/>
  <c r="CZ348"/>
  <c r="Q348" i="69" s="1"/>
  <c r="CQ105" i="77"/>
  <c r="DA105" s="1"/>
  <c r="CQ80"/>
  <c r="CQ63"/>
  <c r="DB63" s="1"/>
  <c r="CQ60"/>
  <c r="DB60" s="1"/>
  <c r="CQ55"/>
  <c r="CQ54"/>
  <c r="CQ53"/>
  <c r="CQ52"/>
  <c r="CQ36"/>
  <c r="DB36" s="1"/>
  <c r="CQ31"/>
  <c r="CQ30"/>
  <c r="DB30" s="1"/>
  <c r="CZ334"/>
  <c r="Q334" i="69" s="1"/>
  <c r="CZ340" i="77"/>
  <c r="Q340" i="69" s="1"/>
  <c r="CZ299" i="77"/>
  <c r="Q299" i="69" s="1"/>
  <c r="CQ109" i="77"/>
  <c r="CZ109" s="1"/>
  <c r="CQ90"/>
  <c r="DB90" s="1"/>
  <c r="CQ83"/>
  <c r="DB83" s="1"/>
  <c r="CQ81"/>
  <c r="CQ68"/>
  <c r="CQ23"/>
  <c r="DB23" s="1"/>
  <c r="CQ20"/>
  <c r="CZ326"/>
  <c r="Q326" i="69" s="1"/>
  <c r="CQ107" i="77"/>
  <c r="CQ94"/>
  <c r="DB94" s="1"/>
  <c r="CQ62"/>
  <c r="DB62" s="1"/>
  <c r="CQ29"/>
  <c r="DB29" s="1"/>
  <c r="CQ28"/>
  <c r="DB28" s="1"/>
  <c r="CZ335"/>
  <c r="Q335" i="69" s="1"/>
  <c r="CZ309" i="77"/>
  <c r="Q309" i="69" s="1"/>
  <c r="CZ333" i="77"/>
  <c r="Q333" i="69" s="1"/>
  <c r="CZ12" i="77"/>
  <c r="CZ17"/>
  <c r="CZ21"/>
  <c r="CZ119"/>
  <c r="CZ122"/>
  <c r="CZ132"/>
  <c r="CZ163"/>
  <c r="CZ153"/>
  <c r="CZ164"/>
  <c r="CZ194"/>
  <c r="CZ165"/>
  <c r="CZ19"/>
  <c r="CZ117"/>
  <c r="CZ193"/>
  <c r="DC193" s="1"/>
  <c r="CZ101"/>
  <c r="CZ106"/>
  <c r="CZ192"/>
  <c r="CZ116"/>
  <c r="CZ120"/>
  <c r="CZ166"/>
  <c r="CZ103"/>
  <c r="CZ188"/>
  <c r="CZ197"/>
  <c r="CZ198"/>
  <c r="CZ361"/>
  <c r="CZ16"/>
  <c r="CZ145"/>
  <c r="CZ160"/>
  <c r="CZ124"/>
  <c r="CZ125"/>
  <c r="CZ128"/>
  <c r="CZ130"/>
  <c r="CZ221"/>
  <c r="CZ13"/>
  <c r="CZ102"/>
  <c r="CZ115"/>
  <c r="CZ142"/>
  <c r="CZ114"/>
  <c r="CZ146"/>
  <c r="CZ161"/>
  <c r="CZ118"/>
  <c r="CZ167"/>
  <c r="CZ195"/>
  <c r="CZ421"/>
  <c r="CZ51"/>
  <c r="CZ155"/>
  <c r="DC155" s="1"/>
  <c r="DD155" s="1"/>
  <c r="CZ159"/>
  <c r="CZ182"/>
  <c r="CZ331"/>
  <c r="Q331" i="69" s="1"/>
  <c r="CZ148" i="77"/>
  <c r="CZ149"/>
  <c r="CZ173"/>
  <c r="CZ177"/>
  <c r="CZ217"/>
  <c r="CZ317"/>
  <c r="Q317" i="69" s="1"/>
  <c r="DA51" i="77"/>
  <c r="CZ141"/>
  <c r="CZ144"/>
  <c r="CZ183"/>
  <c r="CZ381"/>
  <c r="CZ91"/>
  <c r="CZ171"/>
  <c r="CZ175"/>
  <c r="CZ179"/>
  <c r="CZ185"/>
  <c r="CZ186"/>
  <c r="CZ172"/>
  <c r="CZ176"/>
  <c r="CZ216"/>
  <c r="CZ310"/>
  <c r="Q310" i="69" s="1"/>
  <c r="CZ417" i="77"/>
  <c r="CZ210"/>
  <c r="DC210" s="1"/>
  <c r="DD210" s="1"/>
  <c r="CZ213"/>
  <c r="DC213" s="1"/>
  <c r="DD213" s="1"/>
  <c r="CZ241"/>
  <c r="CZ415"/>
  <c r="CZ231"/>
  <c r="CZ201"/>
  <c r="DC201" s="1"/>
  <c r="DD201" s="1"/>
  <c r="CZ211"/>
  <c r="DC211" s="1"/>
  <c r="DD211" s="1"/>
  <c r="CZ214"/>
  <c r="DA415"/>
  <c r="DA417"/>
  <c r="HG388"/>
  <c r="HN388" s="1"/>
  <c r="HG378"/>
  <c r="HN378" s="1"/>
  <c r="HG372"/>
  <c r="HN372" s="1"/>
  <c r="HG443"/>
  <c r="HN443" s="1"/>
  <c r="HG382"/>
  <c r="HN382" s="1"/>
  <c r="HG380"/>
  <c r="HN380" s="1"/>
  <c r="HG379"/>
  <c r="HN379" s="1"/>
  <c r="HG386"/>
  <c r="HN386" s="1"/>
  <c r="HG381"/>
  <c r="HM381" s="1"/>
  <c r="HG377"/>
  <c r="HN377" s="1"/>
  <c r="HG376"/>
  <c r="HN376" s="1"/>
  <c r="HG358"/>
  <c r="HN358" s="1"/>
  <c r="HG335"/>
  <c r="L335" i="73" s="1"/>
  <c r="HG384" i="77"/>
  <c r="HN384" s="1"/>
  <c r="HG383"/>
  <c r="HN383" s="1"/>
  <c r="HG334"/>
  <c r="HG371"/>
  <c r="HM371" s="1"/>
  <c r="HG389"/>
  <c r="HN389" s="1"/>
  <c r="HG364"/>
  <c r="HN364" s="1"/>
  <c r="HG362"/>
  <c r="HN362" s="1"/>
  <c r="HG353"/>
  <c r="HN353" s="1"/>
  <c r="HG288"/>
  <c r="HN288" s="1"/>
  <c r="HG283"/>
  <c r="HN283" s="1"/>
  <c r="HG240"/>
  <c r="HN240" s="1"/>
  <c r="HG207"/>
  <c r="HN207" s="1"/>
  <c r="HG253"/>
  <c r="HN253" s="1"/>
  <c r="HG251"/>
  <c r="HL251" s="1"/>
  <c r="HG238"/>
  <c r="HN238" s="1"/>
  <c r="HG237"/>
  <c r="HN237" s="1"/>
  <c r="HG210"/>
  <c r="HL210" s="1"/>
  <c r="HG191"/>
  <c r="HL191" s="1"/>
  <c r="HG190"/>
  <c r="HM190" s="1"/>
  <c r="HG277"/>
  <c r="HN277" s="1"/>
  <c r="HG262"/>
  <c r="HN262" s="1"/>
  <c r="HG235"/>
  <c r="HN235" s="1"/>
  <c r="HG232"/>
  <c r="HN232" s="1"/>
  <c r="HG221"/>
  <c r="HM221" s="1"/>
  <c r="HG205"/>
  <c r="HN205" s="1"/>
  <c r="HG256"/>
  <c r="HN256" s="1"/>
  <c r="HG250"/>
  <c r="HN250" s="1"/>
  <c r="HG247"/>
  <c r="HN247" s="1"/>
  <c r="HG239"/>
  <c r="HN239" s="1"/>
  <c r="HG236"/>
  <c r="HN236" s="1"/>
  <c r="HG199"/>
  <c r="HL199" s="1"/>
  <c r="HG183"/>
  <c r="HM183" s="1"/>
  <c r="HG186"/>
  <c r="HM186" s="1"/>
  <c r="HG175"/>
  <c r="HM175" s="1"/>
  <c r="HG164"/>
  <c r="HM164" s="1"/>
  <c r="HG163"/>
  <c r="HM163" s="1"/>
  <c r="HG139"/>
  <c r="HM139" s="1"/>
  <c r="HG125"/>
  <c r="HM125" s="1"/>
  <c r="HG188"/>
  <c r="HM188" s="1"/>
  <c r="HG162"/>
  <c r="HM162" s="1"/>
  <c r="HG143"/>
  <c r="HL143" s="1"/>
  <c r="HG138"/>
  <c r="HG59"/>
  <c r="HN59" s="1"/>
  <c r="HG151"/>
  <c r="HL151" s="1"/>
  <c r="HG150"/>
  <c r="HM150" s="1"/>
  <c r="HG124"/>
  <c r="HG120"/>
  <c r="HM120" s="1"/>
  <c r="HG146"/>
  <c r="HM146" s="1"/>
  <c r="HG141"/>
  <c r="HM141" s="1"/>
  <c r="HG135"/>
  <c r="HL135" s="1"/>
  <c r="HG79"/>
  <c r="HN79" s="1"/>
  <c r="HG70"/>
  <c r="HN70" s="1"/>
  <c r="HL107"/>
  <c r="HG69"/>
  <c r="HN69" s="1"/>
  <c r="HG14"/>
  <c r="HM14" s="1"/>
  <c r="HL339"/>
  <c r="Q339" i="73" s="1"/>
  <c r="HL344" i="77"/>
  <c r="Q344" i="73" s="1"/>
  <c r="HL338" i="77"/>
  <c r="Q338" i="73" s="1"/>
  <c r="HL348" i="77"/>
  <c r="Q348" i="73" s="1"/>
  <c r="HL115" i="77"/>
  <c r="HG103"/>
  <c r="HL103" s="1"/>
  <c r="HG62"/>
  <c r="HN62" s="1"/>
  <c r="HG40"/>
  <c r="HN40" s="1"/>
  <c r="HG15"/>
  <c r="HL15" s="1"/>
  <c r="HL325"/>
  <c r="Q325" i="73" s="1"/>
  <c r="HL340" i="77"/>
  <c r="Q340" i="73" s="1"/>
  <c r="HL308" i="77"/>
  <c r="Q308" i="73" s="1"/>
  <c r="HL342" i="77"/>
  <c r="Q342" i="73" s="1"/>
  <c r="HL306" i="77"/>
  <c r="Q306" i="73" s="1"/>
  <c r="HL299" i="77"/>
  <c r="Q299" i="73" s="1"/>
  <c r="HG112" i="77"/>
  <c r="HM112" s="1"/>
  <c r="HG67"/>
  <c r="HN67" s="1"/>
  <c r="HG63"/>
  <c r="HN63" s="1"/>
  <c r="HG24"/>
  <c r="HN24" s="1"/>
  <c r="HG18"/>
  <c r="HL18" s="1"/>
  <c r="HL328"/>
  <c r="Q328" i="73" s="1"/>
  <c r="HL324" i="77"/>
  <c r="Q324" i="73" s="1"/>
  <c r="HL343" i="77"/>
  <c r="Q343" i="73" s="1"/>
  <c r="HL327" i="77"/>
  <c r="Q327" i="73" s="1"/>
  <c r="HL326" i="77"/>
  <c r="Q326" i="73" s="1"/>
  <c r="HG109" i="77"/>
  <c r="HG42"/>
  <c r="HN42" s="1"/>
  <c r="HG38"/>
  <c r="HN38" s="1"/>
  <c r="HG19"/>
  <c r="HG17"/>
  <c r="HL17" s="1"/>
  <c r="HL330"/>
  <c r="Q330" i="73" s="1"/>
  <c r="HL337" i="77"/>
  <c r="Q337" i="73" s="1"/>
  <c r="HL309" i="77"/>
  <c r="Q309" i="73" s="1"/>
  <c r="HL332" i="77"/>
  <c r="Q332" i="73" s="1"/>
  <c r="HL333" i="77"/>
  <c r="Q333" i="73" s="1"/>
  <c r="HL16" i="77"/>
  <c r="HL110"/>
  <c r="HL100"/>
  <c r="HO100" s="1"/>
  <c r="HL126"/>
  <c r="HL61"/>
  <c r="HO61" s="1"/>
  <c r="HL153"/>
  <c r="HL158"/>
  <c r="HO158" s="1"/>
  <c r="HL184"/>
  <c r="HL119"/>
  <c r="HL121"/>
  <c r="HL128"/>
  <c r="HL159"/>
  <c r="HL195"/>
  <c r="HL198"/>
  <c r="HO198" s="1"/>
  <c r="HL12"/>
  <c r="HL113"/>
  <c r="HL31"/>
  <c r="HL109"/>
  <c r="HL136"/>
  <c r="HL147"/>
  <c r="HL161"/>
  <c r="HL167"/>
  <c r="HO167" s="1"/>
  <c r="HL118"/>
  <c r="HL131"/>
  <c r="HL134"/>
  <c r="HL139"/>
  <c r="HL168"/>
  <c r="HO168" s="1"/>
  <c r="HL123"/>
  <c r="HL130"/>
  <c r="HL194"/>
  <c r="HO194" s="1"/>
  <c r="HL196"/>
  <c r="HL271"/>
  <c r="HO271" s="1"/>
  <c r="HL391"/>
  <c r="HL361"/>
  <c r="HL133"/>
  <c r="HL138"/>
  <c r="HL108"/>
  <c r="HL122"/>
  <c r="HL132"/>
  <c r="HL157"/>
  <c r="HL165"/>
  <c r="HL189"/>
  <c r="HO189" s="1"/>
  <c r="HL193"/>
  <c r="HL214"/>
  <c r="HL441"/>
  <c r="HL81"/>
  <c r="HO81" s="1"/>
  <c r="HL102"/>
  <c r="HL117"/>
  <c r="HL142"/>
  <c r="HL13"/>
  <c r="HL111"/>
  <c r="HL137"/>
  <c r="HL11"/>
  <c r="HL21"/>
  <c r="HL188"/>
  <c r="HL101"/>
  <c r="HO101" s="1"/>
  <c r="HL166"/>
  <c r="HL116"/>
  <c r="HL129"/>
  <c r="HL160"/>
  <c r="HL106"/>
  <c r="HL114"/>
  <c r="HL145"/>
  <c r="HL261"/>
  <c r="HL192"/>
  <c r="HL197"/>
  <c r="HL317"/>
  <c r="Q317" i="73" s="1"/>
  <c r="HL421" i="77"/>
  <c r="HO421" s="1"/>
  <c r="HM103"/>
  <c r="HL154"/>
  <c r="HO154" s="1"/>
  <c r="HR154" s="1"/>
  <c r="HM138"/>
  <c r="HL148"/>
  <c r="HL140"/>
  <c r="HL182"/>
  <c r="HL172"/>
  <c r="HL176"/>
  <c r="HL180"/>
  <c r="HL331"/>
  <c r="Q331" i="73" s="1"/>
  <c r="HL144" i="77"/>
  <c r="HL149"/>
  <c r="HL171"/>
  <c r="HL179"/>
  <c r="HL104"/>
  <c r="HM109"/>
  <c r="HL91"/>
  <c r="HO91" s="1"/>
  <c r="HP91" s="1"/>
  <c r="HL155"/>
  <c r="HO155" s="1"/>
  <c r="HP155" s="1"/>
  <c r="HM124"/>
  <c r="HL187"/>
  <c r="HL461"/>
  <c r="HL169"/>
  <c r="HL173"/>
  <c r="HL177"/>
  <c r="HL181"/>
  <c r="HL185"/>
  <c r="HL201"/>
  <c r="HO201" s="1"/>
  <c r="HP201" s="1"/>
  <c r="HL211"/>
  <c r="HO211" s="1"/>
  <c r="HP211" s="1"/>
  <c r="HL415"/>
  <c r="HL419"/>
  <c r="HL215"/>
  <c r="HL241"/>
  <c r="HM251"/>
  <c r="HL170"/>
  <c r="HL174"/>
  <c r="HL213"/>
  <c r="HO213" s="1"/>
  <c r="HP213" s="1"/>
  <c r="HL218"/>
  <c r="HL217"/>
  <c r="HL216"/>
  <c r="HL310"/>
  <c r="Q310" i="73" s="1"/>
  <c r="HL316" i="77"/>
  <c r="HL300"/>
  <c r="Q300" i="73" s="1"/>
  <c r="HL178" i="77"/>
  <c r="HL231"/>
  <c r="HL219"/>
  <c r="HL281"/>
  <c r="HO281" s="1"/>
  <c r="HP281" s="1"/>
  <c r="HL291"/>
  <c r="HL314"/>
  <c r="HL413"/>
  <c r="HL412"/>
  <c r="HL416"/>
  <c r="IV71"/>
  <c r="IY71" s="1"/>
  <c r="HS41"/>
  <c r="HV41" s="1"/>
  <c r="X134"/>
  <c r="Z134" s="1"/>
  <c r="X138"/>
  <c r="AA138" s="1"/>
  <c r="X190"/>
  <c r="Z190" s="1"/>
  <c r="X174"/>
  <c r="Z174" s="1"/>
  <c r="X141"/>
  <c r="Z141" s="1"/>
  <c r="X103"/>
  <c r="Z103" s="1"/>
  <c r="X117"/>
  <c r="Z117" s="1"/>
  <c r="X125"/>
  <c r="Z125" s="1"/>
  <c r="FM14"/>
  <c r="FP14" s="1"/>
  <c r="X61"/>
  <c r="AA61" s="1"/>
  <c r="X171"/>
  <c r="AA171" s="1"/>
  <c r="X11"/>
  <c r="AA11" s="1"/>
  <c r="Z158"/>
  <c r="AA158"/>
  <c r="AD158" s="1"/>
  <c r="AA431"/>
  <c r="AC431" s="1"/>
  <c r="Z431"/>
  <c r="DG304"/>
  <c r="GP305"/>
  <c r="X170"/>
  <c r="AA170" s="1"/>
  <c r="X139"/>
  <c r="AA139" s="1"/>
  <c r="X104"/>
  <c r="Z104" s="1"/>
  <c r="X110"/>
  <c r="AA110" s="1"/>
  <c r="GP18"/>
  <c r="X101"/>
  <c r="Z101" s="1"/>
  <c r="GO51"/>
  <c r="X185"/>
  <c r="Z185" s="1"/>
  <c r="X115"/>
  <c r="AA115" s="1"/>
  <c r="X213"/>
  <c r="AA213" s="1"/>
  <c r="X311"/>
  <c r="GN413"/>
  <c r="X314"/>
  <c r="FK216"/>
  <c r="FM301"/>
  <c r="DG315"/>
  <c r="DI315" s="1"/>
  <c r="Z315" i="69" s="1"/>
  <c r="BA318" i="77"/>
  <c r="X201"/>
  <c r="Z201" s="1"/>
  <c r="EJ301"/>
  <c r="CD341"/>
  <c r="CF341" s="1"/>
  <c r="Z341" i="68" s="1"/>
  <c r="GP401" i="77"/>
  <c r="IV417"/>
  <c r="IY417" s="1"/>
  <c r="X315"/>
  <c r="AA315" s="1"/>
  <c r="AA315" i="39" s="1"/>
  <c r="X195" i="77"/>
  <c r="AA195" s="1"/>
  <c r="AZ216"/>
  <c r="X391"/>
  <c r="AA391" s="1"/>
  <c r="W441"/>
  <c r="IU431"/>
  <c r="IT431"/>
  <c r="X135"/>
  <c r="AA135" s="1"/>
  <c r="X371"/>
  <c r="AA371" s="1"/>
  <c r="W231"/>
  <c r="EH313"/>
  <c r="V313" i="70" s="1"/>
  <c r="GM15" i="77"/>
  <c r="GN15"/>
  <c r="X187"/>
  <c r="Z187" s="1"/>
  <c r="HS156"/>
  <c r="HV156" s="1"/>
  <c r="X172"/>
  <c r="AA172" s="1"/>
  <c r="X184"/>
  <c r="AA184" s="1"/>
  <c r="X112"/>
  <c r="Z112" s="1"/>
  <c r="X188"/>
  <c r="AA188" s="1"/>
  <c r="FL231"/>
  <c r="DG312"/>
  <c r="X341"/>
  <c r="Z341" s="1"/>
  <c r="HR417"/>
  <c r="EI313"/>
  <c r="W313" i="70" s="1"/>
  <c r="X191" i="77"/>
  <c r="Z191" s="1"/>
  <c r="FL251"/>
  <c r="FL216"/>
  <c r="X194"/>
  <c r="AA194" s="1"/>
  <c r="X316"/>
  <c r="V441"/>
  <c r="HQ417"/>
  <c r="V231"/>
  <c r="IV315"/>
  <c r="HS318"/>
  <c r="HS305"/>
  <c r="GP341"/>
  <c r="FM311"/>
  <c r="FO311" s="1"/>
  <c r="Z311" i="71" s="1"/>
  <c r="FM318" i="77"/>
  <c r="FO318" s="1"/>
  <c r="Z318" i="71" s="1"/>
  <c r="EJ318" i="77"/>
  <c r="DG318"/>
  <c r="CD302"/>
  <c r="CD319"/>
  <c r="IU286"/>
  <c r="HQ286"/>
  <c r="HR286"/>
  <c r="W290"/>
  <c r="EI286"/>
  <c r="GN286"/>
  <c r="W284"/>
  <c r="BA312"/>
  <c r="BC312" s="1"/>
  <c r="Z312" i="65" s="1"/>
  <c r="X271" i="77"/>
  <c r="AA271" s="1"/>
  <c r="GO281"/>
  <c r="AA193"/>
  <c r="Z193"/>
  <c r="Z143"/>
  <c r="AA143"/>
  <c r="BC51"/>
  <c r="BD51"/>
  <c r="Z169"/>
  <c r="AA169"/>
  <c r="AA166"/>
  <c r="Z166"/>
  <c r="AA162"/>
  <c r="Z162"/>
  <c r="Z178"/>
  <c r="AA178"/>
  <c r="CF41"/>
  <c r="CG41"/>
  <c r="CI41" s="1"/>
  <c r="Z192"/>
  <c r="AA192"/>
  <c r="AA150"/>
  <c r="Z150"/>
  <c r="Z181"/>
  <c r="AA181"/>
  <c r="EL315"/>
  <c r="Z315" i="70" s="1"/>
  <c r="Z281" i="77"/>
  <c r="AA281"/>
  <c r="Z173"/>
  <c r="AA173"/>
  <c r="EL156"/>
  <c r="EM156"/>
  <c r="AA197"/>
  <c r="Z197"/>
  <c r="Z161"/>
  <c r="AA161"/>
  <c r="Z177"/>
  <c r="AA177"/>
  <c r="FN15"/>
  <c r="EN15"/>
  <c r="DK91"/>
  <c r="EK91"/>
  <c r="AA14"/>
  <c r="Z14"/>
  <c r="IY51"/>
  <c r="Z164"/>
  <c r="AA164"/>
  <c r="EK41"/>
  <c r="DK41"/>
  <c r="DK153"/>
  <c r="EK153"/>
  <c r="FN163"/>
  <c r="EN163"/>
  <c r="IY41"/>
  <c r="EN21"/>
  <c r="FN21"/>
  <c r="DK107"/>
  <c r="EK107"/>
  <c r="DK115"/>
  <c r="EK115"/>
  <c r="FN121"/>
  <c r="EN121"/>
  <c r="FN130"/>
  <c r="EN130"/>
  <c r="EN149"/>
  <c r="FN149"/>
  <c r="FN160"/>
  <c r="EN160"/>
  <c r="FN162"/>
  <c r="EN162"/>
  <c r="AA144"/>
  <c r="Z144"/>
  <c r="EN112"/>
  <c r="FN112"/>
  <c r="DK113"/>
  <c r="EK113"/>
  <c r="FN168"/>
  <c r="EN168"/>
  <c r="DK148"/>
  <c r="EK148"/>
  <c r="FN192"/>
  <c r="EN192"/>
  <c r="FN193"/>
  <c r="EN193"/>
  <c r="BD401"/>
  <c r="BC401"/>
  <c r="EN216"/>
  <c r="FN216"/>
  <c r="GT311"/>
  <c r="AB311" i="72" s="1"/>
  <c r="GQ401" i="77"/>
  <c r="FQ401"/>
  <c r="EN441"/>
  <c r="FN441"/>
  <c r="IU321"/>
  <c r="W321" i="74" s="1"/>
  <c r="IS321" i="77"/>
  <c r="U321" i="74" s="1"/>
  <c r="DK231" i="77"/>
  <c r="EK231"/>
  <c r="FN271"/>
  <c r="EN271"/>
  <c r="EN316"/>
  <c r="AB316" i="70" s="1"/>
  <c r="DK381" i="77"/>
  <c r="EK381"/>
  <c r="FP411"/>
  <c r="EN201"/>
  <c r="FN201"/>
  <c r="EN314"/>
  <c r="AB314" i="70" s="1"/>
  <c r="EN321" i="77"/>
  <c r="AB321" i="70" s="1"/>
  <c r="EN371" i="77"/>
  <c r="FN371"/>
  <c r="EN461"/>
  <c r="FN461"/>
  <c r="U409"/>
  <c r="U409" i="39" s="1"/>
  <c r="W89" i="77"/>
  <c r="V286"/>
  <c r="IV304"/>
  <c r="X304"/>
  <c r="Z304" s="1"/>
  <c r="CD303"/>
  <c r="CF303" s="1"/>
  <c r="Z303" i="68" s="1"/>
  <c r="V160" i="77"/>
  <c r="GN51"/>
  <c r="X51"/>
  <c r="X71"/>
  <c r="EJ71"/>
  <c r="GM149"/>
  <c r="X119"/>
  <c r="X128"/>
  <c r="X183"/>
  <c r="W142"/>
  <c r="EJ105"/>
  <c r="X18"/>
  <c r="IV18"/>
  <c r="AX154"/>
  <c r="X100"/>
  <c r="X16"/>
  <c r="X91"/>
  <c r="DG41"/>
  <c r="W105"/>
  <c r="HQ105"/>
  <c r="GP71"/>
  <c r="IS149"/>
  <c r="IS154"/>
  <c r="X120"/>
  <c r="X129"/>
  <c r="X151"/>
  <c r="X140"/>
  <c r="IU182"/>
  <c r="CB170"/>
  <c r="FL183"/>
  <c r="GO154"/>
  <c r="X114"/>
  <c r="CD18"/>
  <c r="X19"/>
  <c r="HR51"/>
  <c r="AZ148"/>
  <c r="CD71"/>
  <c r="W146"/>
  <c r="IT155"/>
  <c r="AY171"/>
  <c r="FK51"/>
  <c r="FM51" s="1"/>
  <c r="V182"/>
  <c r="GM241"/>
  <c r="FK199"/>
  <c r="FL215"/>
  <c r="X210"/>
  <c r="FK251"/>
  <c r="DG311"/>
  <c r="IV401"/>
  <c r="X331"/>
  <c r="CD401"/>
  <c r="GO413"/>
  <c r="BA414"/>
  <c r="CA321"/>
  <c r="AX186"/>
  <c r="IT215"/>
  <c r="GO217"/>
  <c r="IT219"/>
  <c r="BA313"/>
  <c r="EJ312"/>
  <c r="AZ281"/>
  <c r="GP319"/>
  <c r="FM321"/>
  <c r="V321"/>
  <c r="V321" i="39" s="1"/>
  <c r="GP411" i="77"/>
  <c r="EJ414"/>
  <c r="V176"/>
  <c r="V216"/>
  <c r="DE319"/>
  <c r="X251"/>
  <c r="CC311"/>
  <c r="W311" i="68" s="1"/>
  <c r="IV301" i="77"/>
  <c r="HS301"/>
  <c r="HS315"/>
  <c r="X318"/>
  <c r="EJ319"/>
  <c r="X361"/>
  <c r="GO419"/>
  <c r="W414"/>
  <c r="IV411"/>
  <c r="GO412"/>
  <c r="IT412"/>
  <c r="HS414"/>
  <c r="IU199"/>
  <c r="CC210"/>
  <c r="GN210"/>
  <c r="CC213"/>
  <c r="CC221"/>
  <c r="W241"/>
  <c r="GN312"/>
  <c r="V312" i="72" s="1"/>
  <c r="HS312" i="77"/>
  <c r="IU319"/>
  <c r="W319" i="74" s="1"/>
  <c r="AZ315" i="77"/>
  <c r="W315" i="65" s="1"/>
  <c r="X381" i="77"/>
  <c r="HS401"/>
  <c r="X413"/>
  <c r="GP414"/>
  <c r="EN13"/>
  <c r="FN13"/>
  <c r="FN118"/>
  <c r="EN118"/>
  <c r="FN126"/>
  <c r="EN126"/>
  <c r="FN123"/>
  <c r="EN123"/>
  <c r="Z121"/>
  <c r="AA121"/>
  <c r="Z130"/>
  <c r="AA130"/>
  <c r="AA168"/>
  <c r="Z168"/>
  <c r="AA154"/>
  <c r="Z154"/>
  <c r="FN161"/>
  <c r="EN161"/>
  <c r="FN166"/>
  <c r="EN166"/>
  <c r="HR71"/>
  <c r="HP71"/>
  <c r="Z21"/>
  <c r="AA21"/>
  <c r="Z107"/>
  <c r="AA107"/>
  <c r="DK137"/>
  <c r="EK137"/>
  <c r="DK140"/>
  <c r="EK140"/>
  <c r="FN120"/>
  <c r="EN120"/>
  <c r="FN129"/>
  <c r="EN129"/>
  <c r="AC145"/>
  <c r="AD145"/>
  <c r="EN110"/>
  <c r="FN110"/>
  <c r="GS105"/>
  <c r="Z122"/>
  <c r="AA122"/>
  <c r="Z131"/>
  <c r="AA131"/>
  <c r="AA153"/>
  <c r="Z153"/>
  <c r="DK155"/>
  <c r="EK155"/>
  <c r="HT173"/>
  <c r="GT173"/>
  <c r="FN214"/>
  <c r="EN214"/>
  <c r="FN71"/>
  <c r="EN71"/>
  <c r="DK138"/>
  <c r="EK138"/>
  <c r="Z136"/>
  <c r="AA136"/>
  <c r="DK143"/>
  <c r="EK143"/>
  <c r="FN190"/>
  <c r="EN190"/>
  <c r="FN195"/>
  <c r="EN195"/>
  <c r="Z313"/>
  <c r="DK218"/>
  <c r="EK218"/>
  <c r="HV411"/>
  <c r="EK419"/>
  <c r="DK419"/>
  <c r="FN241"/>
  <c r="EN241"/>
  <c r="FN291"/>
  <c r="EN291"/>
  <c r="FQ331"/>
  <c r="AB331" i="71" s="1"/>
  <c r="FN411" i="77"/>
  <c r="EN411"/>
  <c r="FN412"/>
  <c r="EN412"/>
  <c r="BC411"/>
  <c r="BD411"/>
  <c r="FL155"/>
  <c r="FM105"/>
  <c r="CB149"/>
  <c r="HR105"/>
  <c r="V108"/>
  <c r="EH51"/>
  <c r="V186"/>
  <c r="V167"/>
  <c r="W180"/>
  <c r="EH104"/>
  <c r="V155"/>
  <c r="CC159"/>
  <c r="AZ171"/>
  <c r="FK171"/>
  <c r="FK182"/>
  <c r="CC312"/>
  <c r="W312" i="68" s="1"/>
  <c r="FL281" i="77"/>
  <c r="CB419"/>
  <c r="U142"/>
  <c r="CB188"/>
  <c r="W261"/>
  <c r="IT281"/>
  <c r="FL413"/>
  <c r="U167"/>
  <c r="W216"/>
  <c r="IT199"/>
  <c r="X218"/>
  <c r="GO210"/>
  <c r="CB214"/>
  <c r="GN321"/>
  <c r="V321" i="72" s="1"/>
  <c r="FJ241" i="77"/>
  <c r="IV318"/>
  <c r="GN301"/>
  <c r="V301" i="72" s="1"/>
  <c r="AZ71" i="77"/>
  <c r="AX71"/>
  <c r="GQ51"/>
  <c r="FQ51"/>
  <c r="GQ18"/>
  <c r="FQ18"/>
  <c r="DK61"/>
  <c r="EK61"/>
  <c r="EN132"/>
  <c r="FN132"/>
  <c r="HT170"/>
  <c r="GT170"/>
  <c r="FN183"/>
  <c r="EN183"/>
  <c r="BD105"/>
  <c r="BC105"/>
  <c r="EN17"/>
  <c r="FN17"/>
  <c r="EN150"/>
  <c r="FN150"/>
  <c r="DK133"/>
  <c r="EK133"/>
  <c r="FN158"/>
  <c r="EN158"/>
  <c r="DK144"/>
  <c r="EK144"/>
  <c r="FN167"/>
  <c r="EN167"/>
  <c r="FN188"/>
  <c r="EN188"/>
  <c r="FN194"/>
  <c r="EN194"/>
  <c r="CF15"/>
  <c r="CG15"/>
  <c r="EN12"/>
  <c r="FN12"/>
  <c r="EN16"/>
  <c r="FN16"/>
  <c r="EN11"/>
  <c r="FN11"/>
  <c r="DK111"/>
  <c r="EK111"/>
  <c r="FN117"/>
  <c r="EN117"/>
  <c r="FN125"/>
  <c r="EN125"/>
  <c r="DK141"/>
  <c r="EK141"/>
  <c r="FN156"/>
  <c r="EN156"/>
  <c r="EN108"/>
  <c r="FN108"/>
  <c r="DK109"/>
  <c r="EK109"/>
  <c r="DK134"/>
  <c r="EK134"/>
  <c r="EN145"/>
  <c r="FN145"/>
  <c r="FN159"/>
  <c r="EN159"/>
  <c r="EN210"/>
  <c r="FN210"/>
  <c r="FN414"/>
  <c r="EN414"/>
  <c r="BC301"/>
  <c r="Z301" i="65" s="1"/>
  <c r="FN251" i="77"/>
  <c r="EN251"/>
  <c r="EN421"/>
  <c r="FN421"/>
  <c r="EK417"/>
  <c r="DK417"/>
  <c r="HT431"/>
  <c r="GT431"/>
  <c r="BC319"/>
  <c r="Z319" i="65" s="1"/>
  <c r="Z415" i="77"/>
  <c r="AA415"/>
  <c r="EN215"/>
  <c r="FN215"/>
  <c r="FN196"/>
  <c r="EN196"/>
  <c r="FN197"/>
  <c r="EN197"/>
  <c r="DK219"/>
  <c r="EK219"/>
  <c r="EN317"/>
  <c r="AB317" i="70" s="1"/>
  <c r="DK261" i="77"/>
  <c r="EK261"/>
  <c r="DK416"/>
  <c r="EK416"/>
  <c r="CD298"/>
  <c r="FM298"/>
  <c r="BA307"/>
  <c r="BC307" s="1"/>
  <c r="Z307" i="65" s="1"/>
  <c r="X328" i="77"/>
  <c r="EJ14"/>
  <c r="X13"/>
  <c r="X31"/>
  <c r="CA149"/>
  <c r="X123"/>
  <c r="X132"/>
  <c r="W160"/>
  <c r="GO183"/>
  <c r="X15"/>
  <c r="BA14"/>
  <c r="X12"/>
  <c r="IV105"/>
  <c r="FK155"/>
  <c r="X189"/>
  <c r="HQ71"/>
  <c r="W182"/>
  <c r="DG18"/>
  <c r="W108"/>
  <c r="V111"/>
  <c r="X148"/>
  <c r="GP156"/>
  <c r="X116"/>
  <c r="X124"/>
  <c r="X133"/>
  <c r="X137"/>
  <c r="BA156"/>
  <c r="FM156"/>
  <c r="CC173"/>
  <c r="IT149"/>
  <c r="EI104"/>
  <c r="V109"/>
  <c r="CD14"/>
  <c r="HQ51"/>
  <c r="AY148"/>
  <c r="W155"/>
  <c r="CC155"/>
  <c r="V146"/>
  <c r="CB159"/>
  <c r="FL171"/>
  <c r="FL182"/>
  <c r="FK215"/>
  <c r="FK201"/>
  <c r="GP311"/>
  <c r="GN281"/>
  <c r="GP315"/>
  <c r="X319"/>
  <c r="FM319"/>
  <c r="DG321"/>
  <c r="IV414"/>
  <c r="CC413"/>
  <c r="X421"/>
  <c r="BA431"/>
  <c r="GN183"/>
  <c r="GO301"/>
  <c r="W301" i="72" s="1"/>
  <c r="X196" i="77"/>
  <c r="FJ185"/>
  <c r="GN217"/>
  <c r="IU219"/>
  <c r="CD301"/>
  <c r="FM313"/>
  <c r="EJ341"/>
  <c r="W321"/>
  <c r="W321" i="39" s="1"/>
  <c r="X221" i="77"/>
  <c r="X211"/>
  <c r="CB311"/>
  <c r="V311" i="68" s="1"/>
  <c r="IU281" i="77"/>
  <c r="FK315"/>
  <c r="V315" i="71" s="1"/>
  <c r="GN419" i="77"/>
  <c r="FK413"/>
  <c r="X419"/>
  <c r="FM431"/>
  <c r="V179"/>
  <c r="X179" s="1"/>
  <c r="GO241"/>
  <c r="GN201"/>
  <c r="CC214"/>
  <c r="CB221"/>
  <c r="IV312"/>
  <c r="GO312"/>
  <c r="W312" i="72" s="1"/>
  <c r="X291" i="77"/>
  <c r="DG313"/>
  <c r="IT319"/>
  <c r="V319" i="74" s="1"/>
  <c r="GO321" i="77"/>
  <c r="W321" i="72" s="1"/>
  <c r="IV341" i="77"/>
  <c r="HS321"/>
  <c r="EH371"/>
  <c r="EJ411"/>
  <c r="X417"/>
  <c r="EJ417"/>
  <c r="W219"/>
  <c r="X219" s="1"/>
  <c r="Z163"/>
  <c r="AA163"/>
  <c r="FN122"/>
  <c r="EN122"/>
  <c r="FN131"/>
  <c r="EN131"/>
  <c r="FN119"/>
  <c r="EN119"/>
  <c r="FN128"/>
  <c r="EN128"/>
  <c r="DK139"/>
  <c r="EK139"/>
  <c r="FQ181"/>
  <c r="GQ181"/>
  <c r="FN164"/>
  <c r="EN164"/>
  <c r="FN157"/>
  <c r="EN157"/>
  <c r="FN165"/>
  <c r="EN165"/>
  <c r="DI14"/>
  <c r="DJ14"/>
  <c r="Z165"/>
  <c r="AA165"/>
  <c r="GQ14"/>
  <c r="FQ14"/>
  <c r="DK142"/>
  <c r="EK142"/>
  <c r="DK135"/>
  <c r="EK135"/>
  <c r="DK151"/>
  <c r="EK151"/>
  <c r="FN191"/>
  <c r="EN191"/>
  <c r="FN19"/>
  <c r="EN19"/>
  <c r="FN116"/>
  <c r="EN116"/>
  <c r="FN124"/>
  <c r="EN124"/>
  <c r="GQ105"/>
  <c r="FQ105"/>
  <c r="EN106"/>
  <c r="FN106"/>
  <c r="EN114"/>
  <c r="FN114"/>
  <c r="Z118"/>
  <c r="AA118"/>
  <c r="Z126"/>
  <c r="AA126"/>
  <c r="DK146"/>
  <c r="EK146"/>
  <c r="DK136"/>
  <c r="EK136"/>
  <c r="HW175"/>
  <c r="IW175"/>
  <c r="IZ175" s="1"/>
  <c r="DK154"/>
  <c r="EK154"/>
  <c r="FO18"/>
  <c r="FP18"/>
  <c r="GS41"/>
  <c r="EN31"/>
  <c r="FN31"/>
  <c r="EL15"/>
  <c r="EM15"/>
  <c r="EO15" s="1"/>
  <c r="DK147"/>
  <c r="EK147"/>
  <c r="FN198"/>
  <c r="EN198"/>
  <c r="FN199"/>
  <c r="EN199"/>
  <c r="EN211"/>
  <c r="FN211"/>
  <c r="EN213"/>
  <c r="FN213"/>
  <c r="DK361"/>
  <c r="EK361"/>
  <c r="Z411"/>
  <c r="AA411"/>
  <c r="FP401"/>
  <c r="FO401"/>
  <c r="FP417"/>
  <c r="IW189"/>
  <c r="HW189"/>
  <c r="FQ217"/>
  <c r="GQ217"/>
  <c r="Z412"/>
  <c r="AA412"/>
  <c r="EN281"/>
  <c r="FN281"/>
  <c r="FQ310"/>
  <c r="AB310" i="71" s="1"/>
  <c r="FN391" i="77"/>
  <c r="EN391"/>
  <c r="BC417"/>
  <c r="BD417"/>
  <c r="HQ319"/>
  <c r="V319" i="73" s="1"/>
  <c r="HR319" i="77"/>
  <c r="W319" i="73" s="1"/>
  <c r="IV345" i="77"/>
  <c r="X17"/>
  <c r="X113"/>
  <c r="X41"/>
  <c r="X102"/>
  <c r="FM15"/>
  <c r="X159"/>
  <c r="X106"/>
  <c r="DG15"/>
  <c r="BA15"/>
  <c r="X198"/>
  <c r="V105"/>
  <c r="EJ18"/>
  <c r="EI51"/>
  <c r="W111"/>
  <c r="X156"/>
  <c r="IT182"/>
  <c r="W186"/>
  <c r="CC170"/>
  <c r="CB173"/>
  <c r="FK183"/>
  <c r="X147"/>
  <c r="W176"/>
  <c r="IV14"/>
  <c r="W109"/>
  <c r="CB155"/>
  <c r="IU155"/>
  <c r="FK231"/>
  <c r="FL199"/>
  <c r="X217"/>
  <c r="FL201"/>
  <c r="X317"/>
  <c r="CB413"/>
  <c r="CB312"/>
  <c r="HS311"/>
  <c r="DG301"/>
  <c r="AY281"/>
  <c r="CD315"/>
  <c r="CC419"/>
  <c r="X416"/>
  <c r="CB431"/>
  <c r="CD431" s="1"/>
  <c r="V180"/>
  <c r="X199"/>
  <c r="X214"/>
  <c r="V261"/>
  <c r="X312"/>
  <c r="FL315"/>
  <c r="W315" i="71" s="1"/>
  <c r="V414" i="77"/>
  <c r="GN412"/>
  <c r="V175"/>
  <c r="X175" s="1"/>
  <c r="AY216"/>
  <c r="GO201"/>
  <c r="CB210"/>
  <c r="GO211"/>
  <c r="CB213"/>
  <c r="V241"/>
  <c r="HS313"/>
  <c r="AY315"/>
  <c r="V315" i="65" s="1"/>
  <c r="X401" i="77"/>
  <c r="IT371"/>
  <c r="FM414"/>
  <c r="W289"/>
  <c r="W289" i="39" s="1"/>
  <c r="W346" i="77"/>
  <c r="W346" i="39" s="1"/>
  <c r="HS307" i="77"/>
  <c r="HS345"/>
  <c r="GP345"/>
  <c r="DG298"/>
  <c r="DI298" s="1"/>
  <c r="Z298" i="69" s="1"/>
  <c r="GP298" i="77"/>
  <c r="GP304"/>
  <c r="FM304"/>
  <c r="HS336"/>
  <c r="BA302"/>
  <c r="BC302" s="1"/>
  <c r="Z302" i="65" s="1"/>
  <c r="DG302" i="77"/>
  <c r="DI302" s="1"/>
  <c r="Z302" i="69" s="1"/>
  <c r="EJ302" i="77"/>
  <c r="IV323"/>
  <c r="FM323"/>
  <c r="GP323"/>
  <c r="HS323"/>
  <c r="IV347"/>
  <c r="IV329"/>
  <c r="BA320"/>
  <c r="FM320"/>
  <c r="EJ336"/>
  <c r="HS302"/>
  <c r="DG323"/>
  <c r="DI323" s="1"/>
  <c r="Z323" i="69" s="1"/>
  <c r="AZ323" i="77"/>
  <c r="W323" i="65" s="1"/>
  <c r="FM346" i="77"/>
  <c r="FO346" s="1"/>
  <c r="Z346" i="71" s="1"/>
  <c r="GP346" i="77"/>
  <c r="HS346"/>
  <c r="BA346"/>
  <c r="CD346"/>
  <c r="CF346" s="1"/>
  <c r="Z346" i="68" s="1"/>
  <c r="DG346" i="77"/>
  <c r="BA336"/>
  <c r="EN335"/>
  <c r="AB335" i="70" s="1"/>
  <c r="X335" i="77"/>
  <c r="EN334"/>
  <c r="AB334" i="70" s="1"/>
  <c r="X334" i="77"/>
  <c r="EN339"/>
  <c r="AB339" i="70" s="1"/>
  <c r="X339" i="77"/>
  <c r="EN330"/>
  <c r="AB330" i="70" s="1"/>
  <c r="X330" i="77"/>
  <c r="EN328"/>
  <c r="AB328" i="70" s="1"/>
  <c r="EN325" i="77"/>
  <c r="AB325" i="70" s="1"/>
  <c r="X325" i="77"/>
  <c r="EN344"/>
  <c r="AB344" i="70" s="1"/>
  <c r="X344" i="77"/>
  <c r="EN337"/>
  <c r="AB337" i="70" s="1"/>
  <c r="X337" i="77"/>
  <c r="EN324"/>
  <c r="AB324" i="70" s="1"/>
  <c r="X324" i="77"/>
  <c r="EN340"/>
  <c r="AB340" i="70" s="1"/>
  <c r="X340" i="77"/>
  <c r="EN309"/>
  <c r="AB309" i="70" s="1"/>
  <c r="X309" i="77"/>
  <c r="EN308"/>
  <c r="AB308" i="70" s="1"/>
  <c r="X308" i="77"/>
  <c r="X305"/>
  <c r="BG305"/>
  <c r="AD305" i="65" s="1"/>
  <c r="FQ305" i="77"/>
  <c r="AB305" i="71" s="1"/>
  <c r="IV305" i="77"/>
  <c r="CD305"/>
  <c r="X303"/>
  <c r="IV303"/>
  <c r="FQ303"/>
  <c r="AB303" i="71" s="1"/>
  <c r="HS303" i="77"/>
  <c r="GP303"/>
  <c r="EN343"/>
  <c r="AB343" i="70" s="1"/>
  <c r="X343" i="77"/>
  <c r="EN342"/>
  <c r="AB342" i="70" s="1"/>
  <c r="X342" i="77"/>
  <c r="EN338"/>
  <c r="AB338" i="70" s="1"/>
  <c r="X338" i="77"/>
  <c r="EN332"/>
  <c r="AB332" i="70" s="1"/>
  <c r="X332" i="77"/>
  <c r="EN327"/>
  <c r="AB327" i="70" s="1"/>
  <c r="X327" i="77"/>
  <c r="EN306"/>
  <c r="AB306" i="70" s="1"/>
  <c r="X306" i="77"/>
  <c r="EN300"/>
  <c r="AB300" i="70" s="1"/>
  <c r="V300" i="77"/>
  <c r="V300" i="39" s="1"/>
  <c r="W300" i="77"/>
  <c r="W300" i="39" s="1"/>
  <c r="EN348" i="77"/>
  <c r="AB348" i="70" s="1"/>
  <c r="X348" i="77"/>
  <c r="EN333"/>
  <c r="AB333" i="70" s="1"/>
  <c r="X333" i="77"/>
  <c r="EN326"/>
  <c r="AB326" i="70" s="1"/>
  <c r="X326" i="77"/>
  <c r="FQ299"/>
  <c r="AB299" i="71" s="1"/>
  <c r="X299" i="77"/>
  <c r="IV336"/>
  <c r="GP336"/>
  <c r="FM336"/>
  <c r="DG336"/>
  <c r="CD336"/>
  <c r="X336"/>
  <c r="IV320"/>
  <c r="HS320"/>
  <c r="GP320"/>
  <c r="EJ320"/>
  <c r="DG320"/>
  <c r="CD320"/>
  <c r="X320"/>
  <c r="HS329"/>
  <c r="GP329"/>
  <c r="FM329"/>
  <c r="EJ329"/>
  <c r="DG329"/>
  <c r="CD329"/>
  <c r="BA329"/>
  <c r="HS347"/>
  <c r="GP347"/>
  <c r="FM347"/>
  <c r="EJ347"/>
  <c r="DI347"/>
  <c r="Z347" i="69" s="1"/>
  <c r="CD347" i="77"/>
  <c r="BA347"/>
  <c r="IT346"/>
  <c r="V346" i="74" s="1"/>
  <c r="EH346" i="77"/>
  <c r="V346" i="70" s="1"/>
  <c r="IU346" i="77"/>
  <c r="W346" i="74" s="1"/>
  <c r="EI346" i="77"/>
  <c r="W346" i="70" s="1"/>
  <c r="V346" i="77"/>
  <c r="BC345"/>
  <c r="Z345" i="65" s="1"/>
  <c r="X345" i="77"/>
  <c r="DG345"/>
  <c r="EJ345"/>
  <c r="CD345"/>
  <c r="AY323"/>
  <c r="V323" i="65" s="1"/>
  <c r="CD323" i="77"/>
  <c r="X323"/>
  <c r="EJ323"/>
  <c r="IT307"/>
  <c r="V307" i="74" s="1"/>
  <c r="CI307" i="77"/>
  <c r="AC307" i="68" s="1"/>
  <c r="CJ307" i="77"/>
  <c r="AD307" i="68" s="1"/>
  <c r="IU307" i="77"/>
  <c r="W307" i="74" s="1"/>
  <c r="EH307" i="77"/>
  <c r="V307" i="70" s="1"/>
  <c r="V307" i="77"/>
  <c r="V307" i="39" s="1"/>
  <c r="FM307" i="77"/>
  <c r="GP307"/>
  <c r="EI307"/>
  <c r="W307" i="70" s="1"/>
  <c r="W307" i="77"/>
  <c r="W307" i="39" s="1"/>
  <c r="DG307" i="77"/>
  <c r="CD304"/>
  <c r="EJ304"/>
  <c r="HS304"/>
  <c r="BA304"/>
  <c r="Z302"/>
  <c r="IT302"/>
  <c r="V302" i="74" s="1"/>
  <c r="FM302" i="77"/>
  <c r="IU302"/>
  <c r="W302" i="74" s="1"/>
  <c r="IV298" i="77"/>
  <c r="HS298"/>
  <c r="EJ298"/>
  <c r="BA298"/>
  <c r="X298"/>
  <c r="V329"/>
  <c r="V329" i="39" s="1"/>
  <c r="U329" i="77"/>
  <c r="U329" i="39" s="1"/>
  <c r="AC347" i="77"/>
  <c r="AC347" i="39" s="1"/>
  <c r="AD347" i="77"/>
  <c r="AD347" i="39" s="1"/>
  <c r="W240" i="77"/>
  <c r="V362"/>
  <c r="V284"/>
  <c r="W362"/>
  <c r="T249" i="39"/>
  <c r="W287" i="77"/>
  <c r="T414" i="39"/>
  <c r="U275" i="77"/>
  <c r="U275" i="39" s="1"/>
  <c r="T405"/>
  <c r="T373"/>
  <c r="T210"/>
  <c r="P192"/>
  <c r="U292" i="77"/>
  <c r="U292" i="39" s="1"/>
  <c r="U289" i="77"/>
  <c r="U289" i="39" s="1"/>
  <c r="T57"/>
  <c r="U443" i="77"/>
  <c r="U443" i="39" s="1"/>
  <c r="P92"/>
  <c r="T68"/>
  <c r="T208"/>
  <c r="U149"/>
  <c r="O365"/>
  <c r="V268" i="77"/>
  <c r="U290" i="39"/>
  <c r="V290" i="77"/>
  <c r="GO286"/>
  <c r="W286"/>
  <c r="V252"/>
  <c r="U382"/>
  <c r="U382" i="39" s="1"/>
  <c r="U267" i="77"/>
  <c r="U267" i="39" s="1"/>
  <c r="V229" i="77"/>
  <c r="U379"/>
  <c r="U379" i="39" s="1"/>
  <c r="U262" i="77"/>
  <c r="U262" i="39" s="1"/>
  <c r="W229" i="77"/>
  <c r="IS406"/>
  <c r="T245" i="39"/>
  <c r="T400"/>
  <c r="P412"/>
  <c r="FL49" i="77"/>
  <c r="O123" i="39"/>
  <c r="V89" i="77"/>
  <c r="U166" i="39"/>
  <c r="EH286" i="77"/>
  <c r="U135" i="39"/>
  <c r="U386" i="77"/>
  <c r="U395" i="39" s="1"/>
  <c r="FL286" i="77"/>
  <c r="FN24"/>
  <c r="FQ24" s="1"/>
  <c r="FN23"/>
  <c r="FQ23" s="1"/>
  <c r="FN36"/>
  <c r="FQ36" s="1"/>
  <c r="FN30"/>
  <c r="FQ30" s="1"/>
  <c r="FN48"/>
  <c r="FQ48" s="1"/>
  <c r="FN65"/>
  <c r="FQ65" s="1"/>
  <c r="GQ85"/>
  <c r="GT85" s="1"/>
  <c r="AB85" i="71"/>
  <c r="Y85"/>
  <c r="FN204" i="77"/>
  <c r="FQ204" s="1"/>
  <c r="Y204" i="70"/>
  <c r="FN225" i="77"/>
  <c r="FQ225" s="1"/>
  <c r="Y225" i="70"/>
  <c r="FN245" i="77"/>
  <c r="FQ245" s="1"/>
  <c r="FN267"/>
  <c r="FQ267" s="1"/>
  <c r="AB267" i="70"/>
  <c r="FN283" i="77"/>
  <c r="FQ283" s="1"/>
  <c r="GQ385"/>
  <c r="GT385" s="1"/>
  <c r="AB394" i="71"/>
  <c r="Y385"/>
  <c r="FN20" i="77"/>
  <c r="FQ20" s="1"/>
  <c r="FN47"/>
  <c r="FQ47" s="1"/>
  <c r="FN64"/>
  <c r="FQ64" s="1"/>
  <c r="GQ84"/>
  <c r="GT84" s="1"/>
  <c r="AB84" i="71"/>
  <c r="Y84"/>
  <c r="AB167" i="70"/>
  <c r="Y167"/>
  <c r="Y191"/>
  <c r="Y211"/>
  <c r="FN248" i="77"/>
  <c r="FQ248" s="1"/>
  <c r="FN274"/>
  <c r="FQ274" s="1"/>
  <c r="FN294"/>
  <c r="FQ294" s="1"/>
  <c r="AB294" i="70"/>
  <c r="FN376" i="77"/>
  <c r="FQ376" s="1"/>
  <c r="FN54"/>
  <c r="FQ54" s="1"/>
  <c r="Y178" i="70"/>
  <c r="Y210"/>
  <c r="FN243" i="77"/>
  <c r="FQ243" s="1"/>
  <c r="FN269"/>
  <c r="FQ269" s="1"/>
  <c r="FN285"/>
  <c r="FQ285" s="1"/>
  <c r="FN394"/>
  <c r="FQ394" s="1"/>
  <c r="Y394" i="70"/>
  <c r="FN426" i="77"/>
  <c r="FQ426" s="1"/>
  <c r="FN58"/>
  <c r="FQ58" s="1"/>
  <c r="GQ86"/>
  <c r="GT86" s="1"/>
  <c r="AB86" i="71"/>
  <c r="Y86"/>
  <c r="Y197" i="70"/>
  <c r="Y218"/>
  <c r="FN246" i="77"/>
  <c r="FQ246" s="1"/>
  <c r="FN264"/>
  <c r="FQ264" s="1"/>
  <c r="AB264" i="70"/>
  <c r="FN288" i="77"/>
  <c r="FQ288" s="1"/>
  <c r="AB288" i="70"/>
  <c r="Y386" i="73"/>
  <c r="AB395"/>
  <c r="FN443" i="77"/>
  <c r="FQ443" s="1"/>
  <c r="O92" i="39"/>
  <c r="FN26" i="77"/>
  <c r="FQ26" s="1"/>
  <c r="FN44"/>
  <c r="FQ44" s="1"/>
  <c r="Y106" i="70"/>
  <c r="Y156"/>
  <c r="FN208" i="77"/>
  <c r="FQ208" s="1"/>
  <c r="Y208" i="70"/>
  <c r="FN229" i="77"/>
  <c r="FQ229" s="1"/>
  <c r="Y229" i="70"/>
  <c r="FN253" i="77"/>
  <c r="FQ253" s="1"/>
  <c r="FN287"/>
  <c r="FQ287" s="1"/>
  <c r="FN372"/>
  <c r="FQ372" s="1"/>
  <c r="Y372" i="70"/>
  <c r="FN409" i="77"/>
  <c r="FQ409" s="1"/>
  <c r="FN449"/>
  <c r="FQ449" s="1"/>
  <c r="FN33"/>
  <c r="FQ33" s="1"/>
  <c r="FN60"/>
  <c r="FQ60" s="1"/>
  <c r="FN80"/>
  <c r="FQ80" s="1"/>
  <c r="GQ96"/>
  <c r="GT96" s="1"/>
  <c r="Y159" i="70"/>
  <c r="AB187"/>
  <c r="Y187"/>
  <c r="FN207" i="77"/>
  <c r="FQ207" s="1"/>
  <c r="Y207" i="70"/>
  <c r="FN244" i="77"/>
  <c r="FQ244" s="1"/>
  <c r="FN270"/>
  <c r="FQ270" s="1"/>
  <c r="FN286"/>
  <c r="FQ286" s="1"/>
  <c r="Y371" i="70"/>
  <c r="FN448" i="77"/>
  <c r="FQ448" s="1"/>
  <c r="FN59"/>
  <c r="FQ59" s="1"/>
  <c r="FN79"/>
  <c r="FQ79" s="1"/>
  <c r="FN95"/>
  <c r="FQ95" s="1"/>
  <c r="AB287" i="70"/>
  <c r="Y194"/>
  <c r="FN223" i="77"/>
  <c r="FQ223" s="1"/>
  <c r="Y223" i="70"/>
  <c r="FN247" i="77"/>
  <c r="FQ247" s="1"/>
  <c r="FN273"/>
  <c r="FQ273" s="1"/>
  <c r="FN289"/>
  <c r="FQ289" s="1"/>
  <c r="AB289" i="70"/>
  <c r="FN402" i="77"/>
  <c r="FQ402" s="1"/>
  <c r="FN430"/>
  <c r="FQ430" s="1"/>
  <c r="FN45"/>
  <c r="FQ45" s="1"/>
  <c r="FN70"/>
  <c r="FQ70" s="1"/>
  <c r="FN94"/>
  <c r="FQ94" s="1"/>
  <c r="Y132" i="70"/>
  <c r="Y177"/>
  <c r="FN209" i="77"/>
  <c r="FQ209" s="1"/>
  <c r="AB295" i="70"/>
  <c r="Y209"/>
  <c r="FN242" i="77"/>
  <c r="FQ242" s="1"/>
  <c r="FN259"/>
  <c r="FQ259" s="1"/>
  <c r="Y259" i="70"/>
  <c r="FN276" i="77"/>
  <c r="FQ276" s="1"/>
  <c r="FN37"/>
  <c r="FQ37" s="1"/>
  <c r="FN66"/>
  <c r="FQ66" s="1"/>
  <c r="AB278" i="69"/>
  <c r="AB225"/>
  <c r="O376" i="39"/>
  <c r="O251"/>
  <c r="FN42" i="77"/>
  <c r="FQ42" s="1"/>
  <c r="FN32"/>
  <c r="FQ32" s="1"/>
  <c r="FN62"/>
  <c r="FQ62" s="1"/>
  <c r="AB106" i="69"/>
  <c r="AB132"/>
  <c r="AB159"/>
  <c r="AB259"/>
  <c r="AB229"/>
  <c r="AB177"/>
  <c r="FN39" i="77"/>
  <c r="FQ39" s="1"/>
  <c r="FN57"/>
  <c r="FQ57" s="1"/>
  <c r="FN73"/>
  <c r="FQ73" s="1"/>
  <c r="FN93"/>
  <c r="FQ93" s="1"/>
  <c r="Y196" i="70"/>
  <c r="Y217"/>
  <c r="FN237" i="77"/>
  <c r="FQ237" s="1"/>
  <c r="Y237" i="70"/>
  <c r="FN257" i="77"/>
  <c r="FQ257" s="1"/>
  <c r="FN275"/>
  <c r="FQ275" s="1"/>
  <c r="AB275" i="70"/>
  <c r="FN295" i="77"/>
  <c r="FQ295" s="1"/>
  <c r="FN423"/>
  <c r="FQ423" s="1"/>
  <c r="FN442"/>
  <c r="FQ442" s="1"/>
  <c r="FN38"/>
  <c r="FQ38" s="1"/>
  <c r="FN55"/>
  <c r="FQ55" s="1"/>
  <c r="FN72"/>
  <c r="FQ72" s="1"/>
  <c r="FN92"/>
  <c r="FQ92" s="1"/>
  <c r="Y179" i="70"/>
  <c r="Y199"/>
  <c r="FN240" i="77"/>
  <c r="FQ240" s="1"/>
  <c r="FN262"/>
  <c r="FQ262" s="1"/>
  <c r="AB262" i="70"/>
  <c r="FN282" i="77"/>
  <c r="FQ282" s="1"/>
  <c r="AB282" i="70"/>
  <c r="FN395" i="77"/>
  <c r="FQ395" s="1"/>
  <c r="Y395" i="70"/>
  <c r="FN422" i="77"/>
  <c r="FQ422" s="1"/>
  <c r="FN46"/>
  <c r="FQ46" s="1"/>
  <c r="FN63"/>
  <c r="FQ63" s="1"/>
  <c r="IW83"/>
  <c r="IZ83" s="1"/>
  <c r="AB83" i="73"/>
  <c r="Y83"/>
  <c r="Y198" i="70"/>
  <c r="Y231"/>
  <c r="FN277" i="77"/>
  <c r="FQ277" s="1"/>
  <c r="FN293"/>
  <c r="FQ293" s="1"/>
  <c r="AB293" i="70"/>
  <c r="FN444" i="77"/>
  <c r="FQ444" s="1"/>
  <c r="FN49"/>
  <c r="FQ49" s="1"/>
  <c r="FN78"/>
  <c r="FQ78" s="1"/>
  <c r="FN98"/>
  <c r="FQ98" s="1"/>
  <c r="AB140" i="70"/>
  <c r="Y140"/>
  <c r="Y185"/>
  <c r="FN205" i="77"/>
  <c r="FQ205" s="1"/>
  <c r="Y205" i="70"/>
  <c r="FN230" i="77"/>
  <c r="FQ230" s="1"/>
  <c r="Y230" i="70"/>
  <c r="FN254" i="77"/>
  <c r="FQ254" s="1"/>
  <c r="FN272"/>
  <c r="FQ272" s="1"/>
  <c r="FN296"/>
  <c r="FQ296" s="1"/>
  <c r="AB296" i="70"/>
  <c r="FN429" i="77"/>
  <c r="FQ429" s="1"/>
  <c r="O93" i="39"/>
  <c r="FN34" i="77"/>
  <c r="FQ34" s="1"/>
  <c r="FN52"/>
  <c r="FQ52" s="1"/>
  <c r="FN69"/>
  <c r="FQ69" s="1"/>
  <c r="FN89"/>
  <c r="FQ89" s="1"/>
  <c r="FN200"/>
  <c r="FQ200" s="1"/>
  <c r="Y200" i="70"/>
  <c r="Y221"/>
  <c r="FN263" i="77"/>
  <c r="FQ263" s="1"/>
  <c r="AB263" i="70"/>
  <c r="FN279" i="77"/>
  <c r="FQ279" s="1"/>
  <c r="FN354"/>
  <c r="FQ354" s="1"/>
  <c r="AB354" i="70"/>
  <c r="Y354"/>
  <c r="AB391"/>
  <c r="Y391"/>
  <c r="FN437" i="77"/>
  <c r="FQ437" s="1"/>
  <c r="FN68"/>
  <c r="FQ68" s="1"/>
  <c r="GQ88"/>
  <c r="GT88" s="1"/>
  <c r="AB88" i="71"/>
  <c r="Y88"/>
  <c r="Y171" i="70"/>
  <c r="Y195"/>
  <c r="Y216"/>
  <c r="FN256" i="77"/>
  <c r="FQ256" s="1"/>
  <c r="FN278"/>
  <c r="FQ278" s="1"/>
  <c r="FN362"/>
  <c r="FQ362" s="1"/>
  <c r="Y362" i="70"/>
  <c r="FN384" i="77"/>
  <c r="FQ384" s="1"/>
  <c r="Y384" i="70"/>
  <c r="FN436" i="77"/>
  <c r="FQ436" s="1"/>
  <c r="FN50"/>
  <c r="FQ50" s="1"/>
  <c r="FN67"/>
  <c r="FQ67" s="1"/>
  <c r="HT87"/>
  <c r="HW87" s="1"/>
  <c r="AB87" i="72"/>
  <c r="Y87"/>
  <c r="Y154" i="70"/>
  <c r="FN202" i="77"/>
  <c r="FQ202" s="1"/>
  <c r="Y202" i="70"/>
  <c r="FN239" i="77"/>
  <c r="FQ239" s="1"/>
  <c r="FN265"/>
  <c r="FQ265" s="1"/>
  <c r="AB265" i="70"/>
  <c r="FN365" i="77"/>
  <c r="FQ365" s="1"/>
  <c r="FN457"/>
  <c r="FQ457" s="1"/>
  <c r="FN27"/>
  <c r="FQ27" s="1"/>
  <c r="FN53"/>
  <c r="FQ53" s="1"/>
  <c r="FN82"/>
  <c r="FQ82" s="1"/>
  <c r="Y201" i="70"/>
  <c r="FN222" i="77"/>
  <c r="FQ222" s="1"/>
  <c r="Y222" i="70"/>
  <c r="FN250" i="77"/>
  <c r="FQ250" s="1"/>
  <c r="FN268"/>
  <c r="FQ268" s="1"/>
  <c r="FN292"/>
  <c r="FQ292" s="1"/>
  <c r="AB292" i="70"/>
  <c r="FN393" i="77"/>
  <c r="FQ393" s="1"/>
  <c r="AB393" i="70"/>
  <c r="Y393"/>
  <c r="FN420" i="77"/>
  <c r="FQ420" s="1"/>
  <c r="FN29"/>
  <c r="FQ29" s="1"/>
  <c r="FN28"/>
  <c r="FQ28" s="1"/>
  <c r="FN22"/>
  <c r="FQ22" s="1"/>
  <c r="FN40"/>
  <c r="FQ40" s="1"/>
  <c r="AB179" i="69"/>
  <c r="AB231"/>
  <c r="Y119" i="65"/>
  <c r="Y123"/>
  <c r="Y128"/>
  <c r="Y145"/>
  <c r="Y149"/>
  <c r="Y239"/>
  <c r="Y243"/>
  <c r="Y247"/>
  <c r="Y255"/>
  <c r="Y118"/>
  <c r="Y122"/>
  <c r="Y126"/>
  <c r="Y144"/>
  <c r="Y148"/>
  <c r="Y153"/>
  <c r="Y246"/>
  <c r="Y250"/>
  <c r="Y254"/>
  <c r="Y100"/>
  <c r="Y121"/>
  <c r="Y125"/>
  <c r="Y143"/>
  <c r="Y147"/>
  <c r="Y151"/>
  <c r="Y241"/>
  <c r="Y245"/>
  <c r="Y249"/>
  <c r="Y253"/>
  <c r="Y257"/>
  <c r="AX370" i="77"/>
  <c r="U370" i="65" s="1"/>
  <c r="T370"/>
  <c r="P273" i="71"/>
  <c r="P168"/>
  <c r="P107"/>
  <c r="P136"/>
  <c r="P111"/>
  <c r="O188" i="39"/>
  <c r="O237"/>
  <c r="O276" i="70"/>
  <c r="O224"/>
  <c r="O174"/>
  <c r="O277"/>
  <c r="O175"/>
  <c r="O107" i="39"/>
  <c r="O168"/>
  <c r="O273"/>
  <c r="P136" i="68"/>
  <c r="P111"/>
  <c r="P224" i="65"/>
  <c r="P276"/>
  <c r="P174"/>
  <c r="O276" i="39"/>
  <c r="O224"/>
  <c r="O174"/>
  <c r="P272" i="74"/>
  <c r="P161"/>
  <c r="O237" i="68"/>
  <c r="O188"/>
  <c r="O200" i="39"/>
  <c r="O180"/>
  <c r="O276" i="73"/>
  <c r="O224"/>
  <c r="O174"/>
  <c r="O89" i="39"/>
  <c r="O85"/>
  <c r="O273" i="73"/>
  <c r="O168"/>
  <c r="O107"/>
  <c r="O81" i="39"/>
  <c r="O83"/>
  <c r="O90"/>
  <c r="O86"/>
  <c r="P136" i="73"/>
  <c r="P111"/>
  <c r="O111" i="74"/>
  <c r="O136"/>
  <c r="P276" i="72"/>
  <c r="P224"/>
  <c r="P174"/>
  <c r="P277"/>
  <c r="P175"/>
  <c r="T91" i="39"/>
  <c r="T88"/>
  <c r="P272" i="72"/>
  <c r="P161"/>
  <c r="P272" i="70"/>
  <c r="P161"/>
  <c r="O277" i="71"/>
  <c r="O175"/>
  <c r="T244" i="39"/>
  <c r="T238"/>
  <c r="GM370" i="77"/>
  <c r="U370" i="72" s="1"/>
  <c r="T370"/>
  <c r="CA370" i="77"/>
  <c r="U370" i="68" s="1"/>
  <c r="T370"/>
  <c r="T384" i="39"/>
  <c r="T378"/>
  <c r="T188"/>
  <c r="T237"/>
  <c r="T201"/>
  <c r="T181"/>
  <c r="T242"/>
  <c r="T236"/>
  <c r="T205"/>
  <c r="T286"/>
  <c r="T218"/>
  <c r="T226"/>
  <c r="P219"/>
  <c r="P227"/>
  <c r="O157" i="65"/>
  <c r="O266"/>
  <c r="O157" i="73"/>
  <c r="O266"/>
  <c r="P157" i="72"/>
  <c r="P266"/>
  <c r="O363" i="39"/>
  <c r="O360"/>
  <c r="T371"/>
  <c r="T369"/>
  <c r="W87" i="77"/>
  <c r="W87" i="39" s="1"/>
  <c r="P87"/>
  <c r="U163"/>
  <c r="T163"/>
  <c r="O283" i="65"/>
  <c r="O186"/>
  <c r="O283" i="71"/>
  <c r="O186"/>
  <c r="P283" i="74"/>
  <c r="P186"/>
  <c r="V102" i="39"/>
  <c r="O102"/>
  <c r="O185" i="72"/>
  <c r="O116"/>
  <c r="P185" i="39"/>
  <c r="P116"/>
  <c r="P185" i="71"/>
  <c r="P116"/>
  <c r="W166" i="39"/>
  <c r="P166"/>
  <c r="O171"/>
  <c r="O108"/>
  <c r="O222"/>
  <c r="O274"/>
  <c r="O274" i="71"/>
  <c r="O171"/>
  <c r="O222"/>
  <c r="O108"/>
  <c r="P274" i="72"/>
  <c r="P171"/>
  <c r="P222"/>
  <c r="P108"/>
  <c r="P279" i="39"/>
  <c r="P230"/>
  <c r="P178"/>
  <c r="P113"/>
  <c r="P279" i="71"/>
  <c r="P230"/>
  <c r="P178"/>
  <c r="P113"/>
  <c r="T279" i="39"/>
  <c r="T230"/>
  <c r="T178"/>
  <c r="T113"/>
  <c r="O279" i="74"/>
  <c r="O230"/>
  <c r="O178"/>
  <c r="O113"/>
  <c r="O133" i="65"/>
  <c r="O269"/>
  <c r="O133" i="73"/>
  <c r="O269"/>
  <c r="P133" i="74"/>
  <c r="P269"/>
  <c r="P160" i="65"/>
  <c r="P268"/>
  <c r="P160" i="73"/>
  <c r="P268"/>
  <c r="O160" i="72"/>
  <c r="O268"/>
  <c r="O281" i="65"/>
  <c r="O184"/>
  <c r="O281" i="73"/>
  <c r="O184"/>
  <c r="P281" i="74"/>
  <c r="P184"/>
  <c r="O154" i="39"/>
  <c r="O128"/>
  <c r="U391"/>
  <c r="T391"/>
  <c r="O101" i="69"/>
  <c r="O261"/>
  <c r="O101" i="73"/>
  <c r="O261"/>
  <c r="O101" i="68"/>
  <c r="O261"/>
  <c r="W103" i="39"/>
  <c r="P103"/>
  <c r="U156" i="74"/>
  <c r="U105"/>
  <c r="P156" i="73"/>
  <c r="P105"/>
  <c r="U156" i="72"/>
  <c r="U105"/>
  <c r="W135" i="39"/>
  <c r="P135"/>
  <c r="O173" i="73"/>
  <c r="O110"/>
  <c r="O173" i="68"/>
  <c r="O110"/>
  <c r="O173" i="74"/>
  <c r="O110"/>
  <c r="O158" i="73"/>
  <c r="O130"/>
  <c r="P158" i="68"/>
  <c r="P130"/>
  <c r="P158" i="74"/>
  <c r="P130"/>
  <c r="V189" i="39"/>
  <c r="O189"/>
  <c r="V291"/>
  <c r="O291"/>
  <c r="P271" i="65"/>
  <c r="P134"/>
  <c r="P271" i="73"/>
  <c r="P134"/>
  <c r="P271" i="74"/>
  <c r="P134"/>
  <c r="V280" i="77"/>
  <c r="V280" i="39" s="1"/>
  <c r="O280"/>
  <c r="V385" i="77"/>
  <c r="V394" i="39" s="1"/>
  <c r="O394"/>
  <c r="V141"/>
  <c r="O141"/>
  <c r="W386" i="77"/>
  <c r="W395" i="39" s="1"/>
  <c r="P395"/>
  <c r="P223" i="65"/>
  <c r="P172"/>
  <c r="P172" i="71"/>
  <c r="P223"/>
  <c r="T172" i="39"/>
  <c r="T223"/>
  <c r="U354" i="77"/>
  <c r="U354" i="39" s="1"/>
  <c r="T354"/>
  <c r="O132" i="69"/>
  <c r="O106"/>
  <c r="O132" i="72"/>
  <c r="O106"/>
  <c r="V282" i="77"/>
  <c r="V282" i="39" s="1"/>
  <c r="O282"/>
  <c r="P229" i="65"/>
  <c r="P177"/>
  <c r="P177" i="72"/>
  <c r="P229"/>
  <c r="O231" i="68"/>
  <c r="O179"/>
  <c r="O278" i="65"/>
  <c r="O225"/>
  <c r="P179" i="73"/>
  <c r="P231"/>
  <c r="P231" i="71"/>
  <c r="P179"/>
  <c r="O159"/>
  <c r="O259"/>
  <c r="O278" i="74"/>
  <c r="O225"/>
  <c r="T185" i="39"/>
  <c r="T116"/>
  <c r="T134"/>
  <c r="T271"/>
  <c r="T173"/>
  <c r="T110"/>
  <c r="U296" i="77"/>
  <c r="U296" i="39" s="1"/>
  <c r="T296"/>
  <c r="V289" i="77"/>
  <c r="V289" i="39" s="1"/>
  <c r="O289"/>
  <c r="T259"/>
  <c r="T159"/>
  <c r="T229"/>
  <c r="T177"/>
  <c r="U282" i="77"/>
  <c r="U282" i="39" s="1"/>
  <c r="T282"/>
  <c r="P284" i="73"/>
  <c r="P117"/>
  <c r="U288" i="77"/>
  <c r="U288" i="39" s="1"/>
  <c r="T288"/>
  <c r="V155"/>
  <c r="T155"/>
  <c r="O284" i="73"/>
  <c r="O117"/>
  <c r="P159" i="72"/>
  <c r="P259"/>
  <c r="O284" i="68"/>
  <c r="O117"/>
  <c r="O278" i="73"/>
  <c r="O225"/>
  <c r="T96" i="39"/>
  <c r="O95"/>
  <c r="P93"/>
  <c r="T199"/>
  <c r="T246"/>
  <c r="T147"/>
  <c r="U432"/>
  <c r="T432"/>
  <c r="T412"/>
  <c r="T29"/>
  <c r="O253"/>
  <c r="P247"/>
  <c r="P145"/>
  <c r="P119"/>
  <c r="P142"/>
  <c r="Y120" i="65"/>
  <c r="Y124"/>
  <c r="Y142"/>
  <c r="Y146"/>
  <c r="Y150"/>
  <c r="Y240"/>
  <c r="Y244"/>
  <c r="Y248"/>
  <c r="Y252"/>
  <c r="Y256"/>
  <c r="FJ370" i="77"/>
  <c r="U370" i="71" s="1"/>
  <c r="T370"/>
  <c r="O136"/>
  <c r="O111"/>
  <c r="O277" i="39"/>
  <c r="O175"/>
  <c r="P276" i="70"/>
  <c r="P224"/>
  <c r="P174"/>
  <c r="P277"/>
  <c r="P175"/>
  <c r="P168" i="39"/>
  <c r="P273"/>
  <c r="P107"/>
  <c r="O136" i="68"/>
  <c r="O111"/>
  <c r="O276" i="65"/>
  <c r="O224"/>
  <c r="O174"/>
  <c r="P276" i="39"/>
  <c r="P224"/>
  <c r="P174"/>
  <c r="O272" i="74"/>
  <c r="O161"/>
  <c r="P237" i="68"/>
  <c r="P188"/>
  <c r="P200" i="39"/>
  <c r="P180"/>
  <c r="P276" i="73"/>
  <c r="P174"/>
  <c r="P224"/>
  <c r="P89" i="39"/>
  <c r="P85"/>
  <c r="P273" i="73"/>
  <c r="P168"/>
  <c r="P107"/>
  <c r="P81" i="39"/>
  <c r="P83"/>
  <c r="P90"/>
  <c r="P86"/>
  <c r="O272" i="73"/>
  <c r="O161"/>
  <c r="P273" i="74"/>
  <c r="P168"/>
  <c r="P107"/>
  <c r="O277" i="68"/>
  <c r="O175"/>
  <c r="O272" i="72"/>
  <c r="O161"/>
  <c r="O272" i="70"/>
  <c r="O161"/>
  <c r="P277" i="71"/>
  <c r="P175"/>
  <c r="T240" i="39"/>
  <c r="T234"/>
  <c r="T168"/>
  <c r="T273"/>
  <c r="T107"/>
  <c r="T364"/>
  <c r="T361"/>
  <c r="T203"/>
  <c r="T183"/>
  <c r="T363"/>
  <c r="T360"/>
  <c r="T82"/>
  <c r="T84"/>
  <c r="P144"/>
  <c r="P137"/>
  <c r="T121"/>
  <c r="T114"/>
  <c r="O144"/>
  <c r="O137"/>
  <c r="T112"/>
  <c r="O216"/>
  <c r="O272"/>
  <c r="O161"/>
  <c r="O195"/>
  <c r="O169"/>
  <c r="U104"/>
  <c r="T104"/>
  <c r="U228" i="77"/>
  <c r="T228" i="39"/>
  <c r="HP370" i="77"/>
  <c r="U370" i="73" s="1"/>
  <c r="T370"/>
  <c r="P157" i="65"/>
  <c r="P266"/>
  <c r="P157" i="73"/>
  <c r="P266"/>
  <c r="O157" i="70"/>
  <c r="O266"/>
  <c r="O266" i="39"/>
  <c r="O157"/>
  <c r="O220"/>
  <c r="O228"/>
  <c r="P363"/>
  <c r="P360"/>
  <c r="P283" i="65"/>
  <c r="P186"/>
  <c r="P283" i="71"/>
  <c r="P186"/>
  <c r="O283" i="72"/>
  <c r="O186"/>
  <c r="W102" i="39"/>
  <c r="P102"/>
  <c r="P185" i="72"/>
  <c r="P116"/>
  <c r="U185" i="39"/>
  <c r="U116"/>
  <c r="O185" i="69"/>
  <c r="O116"/>
  <c r="O185" i="73"/>
  <c r="O116"/>
  <c r="P222" i="39"/>
  <c r="P171"/>
  <c r="P274"/>
  <c r="P108"/>
  <c r="P274" i="71"/>
  <c r="P222"/>
  <c r="P171"/>
  <c r="P108"/>
  <c r="T108" i="39"/>
  <c r="T222"/>
  <c r="T171"/>
  <c r="T274"/>
  <c r="O274" i="74"/>
  <c r="O222"/>
  <c r="O171"/>
  <c r="O108"/>
  <c r="O230" i="65"/>
  <c r="O279"/>
  <c r="O178"/>
  <c r="O113"/>
  <c r="O279" i="73"/>
  <c r="O178"/>
  <c r="O230"/>
  <c r="O113"/>
  <c r="P279" i="74"/>
  <c r="P230"/>
  <c r="P178"/>
  <c r="P113"/>
  <c r="P133" i="65"/>
  <c r="P269"/>
  <c r="P133" i="73"/>
  <c r="P269"/>
  <c r="O133" i="72"/>
  <c r="O269"/>
  <c r="O268" i="39"/>
  <c r="O160"/>
  <c r="O160" i="71"/>
  <c r="O268"/>
  <c r="P160" i="72"/>
  <c r="P268"/>
  <c r="P281" i="65"/>
  <c r="P184"/>
  <c r="P281" i="73"/>
  <c r="P184"/>
  <c r="O281" i="72"/>
  <c r="O184"/>
  <c r="U294" i="77"/>
  <c r="U294" i="39" s="1"/>
  <c r="T294"/>
  <c r="P101" i="69"/>
  <c r="P261"/>
  <c r="P101" i="73"/>
  <c r="P261"/>
  <c r="P101" i="68"/>
  <c r="P261"/>
  <c r="V290" i="39"/>
  <c r="O290"/>
  <c r="O156" i="70"/>
  <c r="O105"/>
  <c r="U156" i="73"/>
  <c r="U105"/>
  <c r="O156" i="72"/>
  <c r="O105"/>
  <c r="W139" i="39"/>
  <c r="P139"/>
  <c r="P173" i="73"/>
  <c r="P110"/>
  <c r="P173" i="68"/>
  <c r="P110"/>
  <c r="P173" i="74"/>
  <c r="P110"/>
  <c r="O117" i="39"/>
  <c r="O284"/>
  <c r="P158" i="73"/>
  <c r="P130"/>
  <c r="O158" i="39"/>
  <c r="O130"/>
  <c r="O158" i="72"/>
  <c r="O130"/>
  <c r="W189" i="39"/>
  <c r="P189"/>
  <c r="W291"/>
  <c r="P291"/>
  <c r="O134"/>
  <c r="O271"/>
  <c r="O271" i="71"/>
  <c r="O134"/>
  <c r="O271" i="68"/>
  <c r="O134"/>
  <c r="W280" i="77"/>
  <c r="W280" i="39" s="1"/>
  <c r="P280"/>
  <c r="W385" i="77"/>
  <c r="W394" i="39" s="1"/>
  <c r="P394"/>
  <c r="W141"/>
  <c r="P141"/>
  <c r="P146"/>
  <c r="V382" i="77"/>
  <c r="V382" i="39" s="1"/>
  <c r="O382"/>
  <c r="W164"/>
  <c r="P164"/>
  <c r="O223"/>
  <c r="O172"/>
  <c r="O223" i="69"/>
  <c r="O172"/>
  <c r="O172" i="73"/>
  <c r="O223"/>
  <c r="P132" i="69"/>
  <c r="P106"/>
  <c r="P132" i="72"/>
  <c r="P106"/>
  <c r="W229" i="39"/>
  <c r="W177"/>
  <c r="O229" i="69"/>
  <c r="O177"/>
  <c r="V287" i="39"/>
  <c r="O287"/>
  <c r="U393" i="77"/>
  <c r="U393" i="39" s="1"/>
  <c r="T393"/>
  <c r="O159" i="68"/>
  <c r="O259"/>
  <c r="P231"/>
  <c r="P179"/>
  <c r="P225" i="65"/>
  <c r="P278"/>
  <c r="O231" i="69"/>
  <c r="O179"/>
  <c r="P229" i="74"/>
  <c r="P177"/>
  <c r="O225" i="70"/>
  <c r="O278"/>
  <c r="T156" i="74"/>
  <c r="T105"/>
  <c r="T156" i="73"/>
  <c r="T105"/>
  <c r="P156" i="65"/>
  <c r="P105"/>
  <c r="O229" i="39"/>
  <c r="O177"/>
  <c r="O159" i="73"/>
  <c r="O259"/>
  <c r="O106" i="39"/>
  <c r="O132"/>
  <c r="T284"/>
  <c r="T117"/>
  <c r="U167"/>
  <c r="T167"/>
  <c r="T156" i="65"/>
  <c r="T105"/>
  <c r="T156" i="72"/>
  <c r="T105"/>
  <c r="W187" i="39"/>
  <c r="T187"/>
  <c r="P278" i="73"/>
  <c r="P225"/>
  <c r="P159" i="70"/>
  <c r="P259"/>
  <c r="O259" i="39"/>
  <c r="O159"/>
  <c r="P231" i="72"/>
  <c r="P179"/>
  <c r="P259" i="39"/>
  <c r="P159"/>
  <c r="P95"/>
  <c r="T197"/>
  <c r="T253"/>
  <c r="P253"/>
  <c r="O385"/>
  <c r="P385"/>
  <c r="O247"/>
  <c r="P149"/>
  <c r="Y251" i="65"/>
  <c r="O272"/>
  <c r="O161"/>
  <c r="P277" i="39"/>
  <c r="P175"/>
  <c r="O276" i="74"/>
  <c r="O224"/>
  <c r="O174"/>
  <c r="O277"/>
  <c r="O175"/>
  <c r="O273" i="72"/>
  <c r="O168"/>
  <c r="O107"/>
  <c r="P136"/>
  <c r="P111"/>
  <c r="P272" i="73"/>
  <c r="P161"/>
  <c r="O273" i="74"/>
  <c r="O168"/>
  <c r="O107"/>
  <c r="P277" i="68"/>
  <c r="P175"/>
  <c r="O273" i="65"/>
  <c r="O168"/>
  <c r="O107"/>
  <c r="O237" i="71"/>
  <c r="O188"/>
  <c r="O237" i="72"/>
  <c r="O188"/>
  <c r="P237" i="69"/>
  <c r="P188"/>
  <c r="P237" i="74"/>
  <c r="P188"/>
  <c r="T202" i="39"/>
  <c r="T182"/>
  <c r="T145"/>
  <c r="T138"/>
  <c r="T144"/>
  <c r="T137"/>
  <c r="T143"/>
  <c r="T136"/>
  <c r="T111"/>
  <c r="T217"/>
  <c r="T224"/>
  <c r="T174"/>
  <c r="T276"/>
  <c r="O157" i="71"/>
  <c r="O266"/>
  <c r="P157" i="70"/>
  <c r="P266"/>
  <c r="P266" i="39"/>
  <c r="P157"/>
  <c r="T372"/>
  <c r="T370"/>
  <c r="U381"/>
  <c r="T381"/>
  <c r="O283"/>
  <c r="O186"/>
  <c r="O283" i="69"/>
  <c r="O186"/>
  <c r="P283" i="72"/>
  <c r="P186"/>
  <c r="O185" i="74"/>
  <c r="O116"/>
  <c r="P185" i="69"/>
  <c r="P116"/>
  <c r="P185" i="73"/>
  <c r="P116"/>
  <c r="V176" i="39"/>
  <c r="O176"/>
  <c r="O222" i="65"/>
  <c r="O274"/>
  <c r="O171"/>
  <c r="O108"/>
  <c r="O274" i="73"/>
  <c r="O171"/>
  <c r="O222"/>
  <c r="O108"/>
  <c r="P274" i="74"/>
  <c r="P222"/>
  <c r="P171"/>
  <c r="P108"/>
  <c r="P279" i="65"/>
  <c r="P230"/>
  <c r="P178"/>
  <c r="P113"/>
  <c r="P279" i="73"/>
  <c r="P178"/>
  <c r="P230"/>
  <c r="P113"/>
  <c r="O279" i="72"/>
  <c r="O230"/>
  <c r="O178"/>
  <c r="O113"/>
  <c r="O269" i="39"/>
  <c r="O133"/>
  <c r="O133" i="71"/>
  <c r="O269"/>
  <c r="P133" i="72"/>
  <c r="P269"/>
  <c r="P268" i="39"/>
  <c r="P160"/>
  <c r="P160" i="71"/>
  <c r="P268"/>
  <c r="T268" i="39"/>
  <c r="T160"/>
  <c r="O160" i="74"/>
  <c r="O268"/>
  <c r="O281" i="39"/>
  <c r="O184"/>
  <c r="O281" i="71"/>
  <c r="O184"/>
  <c r="P281" i="72"/>
  <c r="P184"/>
  <c r="U270" i="39"/>
  <c r="T270"/>
  <c r="U264" i="77"/>
  <c r="U264" i="39" s="1"/>
  <c r="T264"/>
  <c r="U265" i="77"/>
  <c r="U265" i="39" s="1"/>
  <c r="T265"/>
  <c r="O101" i="71"/>
  <c r="O261"/>
  <c r="O261" i="39"/>
  <c r="O101"/>
  <c r="O101" i="74"/>
  <c r="O261"/>
  <c r="W290" i="39"/>
  <c r="P290"/>
  <c r="P120"/>
  <c r="U364" i="77"/>
  <c r="U383" i="39" s="1"/>
  <c r="T383"/>
  <c r="P156" i="70"/>
  <c r="P105"/>
  <c r="O156" i="74"/>
  <c r="O105"/>
  <c r="P156" i="72"/>
  <c r="P105"/>
  <c r="O156" i="39"/>
  <c r="O105"/>
  <c r="O173" i="71"/>
  <c r="O110"/>
  <c r="O173" i="39"/>
  <c r="O110"/>
  <c r="O173" i="72"/>
  <c r="O110"/>
  <c r="P117" i="39"/>
  <c r="P284"/>
  <c r="O158" i="71"/>
  <c r="O130"/>
  <c r="P130" i="39"/>
  <c r="P158"/>
  <c r="P158" i="72"/>
  <c r="P130"/>
  <c r="P134" i="39"/>
  <c r="P271"/>
  <c r="P271" i="71"/>
  <c r="P134"/>
  <c r="P271" i="68"/>
  <c r="P134"/>
  <c r="V379" i="77"/>
  <c r="V379" i="39" s="1"/>
  <c r="O379"/>
  <c r="W382" i="77"/>
  <c r="W382" i="39" s="1"/>
  <c r="P382"/>
  <c r="V262" i="77"/>
  <c r="V262" i="39" s="1"/>
  <c r="O262"/>
  <c r="P223"/>
  <c r="P172"/>
  <c r="P223" i="69"/>
  <c r="P172"/>
  <c r="P172" i="73"/>
  <c r="P223"/>
  <c r="O223" i="74"/>
  <c r="O172"/>
  <c r="O132" i="65"/>
  <c r="O106"/>
  <c r="O106" i="71"/>
  <c r="O132"/>
  <c r="O132" i="73"/>
  <c r="O106"/>
  <c r="V167" i="39"/>
  <c r="O167"/>
  <c r="P229" i="69"/>
  <c r="P177"/>
  <c r="V292" i="77"/>
  <c r="V292" i="39" s="1"/>
  <c r="O292"/>
  <c r="P159" i="68"/>
  <c r="P259"/>
  <c r="V225" i="39"/>
  <c r="V278"/>
  <c r="P231" i="69"/>
  <c r="P179"/>
  <c r="O229" i="74"/>
  <c r="O177"/>
  <c r="P225" i="70"/>
  <c r="P278"/>
  <c r="O156" i="65"/>
  <c r="O105"/>
  <c r="O159" i="70"/>
  <c r="O259"/>
  <c r="T132" i="39"/>
  <c r="T106"/>
  <c r="U385" i="77"/>
  <c r="U394" i="39" s="1"/>
  <c r="T394"/>
  <c r="O159" i="72"/>
  <c r="O259"/>
  <c r="O156" i="71"/>
  <c r="O105"/>
  <c r="O177" i="73"/>
  <c r="O229"/>
  <c r="Y242" i="65"/>
  <c r="O273" i="71"/>
  <c r="O168"/>
  <c r="O107"/>
  <c r="P272" i="65"/>
  <c r="P161"/>
  <c r="P237" i="39"/>
  <c r="P188"/>
  <c r="P276" i="74"/>
  <c r="P174"/>
  <c r="P224"/>
  <c r="P277"/>
  <c r="P175"/>
  <c r="T170" i="39"/>
  <c r="P273" i="72"/>
  <c r="P168"/>
  <c r="P107"/>
  <c r="O111"/>
  <c r="O136"/>
  <c r="P193" i="39"/>
  <c r="P286"/>
  <c r="O136" i="73"/>
  <c r="O111"/>
  <c r="P136" i="74"/>
  <c r="P111"/>
  <c r="O276" i="72"/>
  <c r="O224"/>
  <c r="O174"/>
  <c r="O277"/>
  <c r="O175"/>
  <c r="P273" i="65"/>
  <c r="P168"/>
  <c r="P107"/>
  <c r="P237" i="71"/>
  <c r="P188"/>
  <c r="P188" i="72"/>
  <c r="P237"/>
  <c r="O237" i="69"/>
  <c r="O188"/>
  <c r="O237" i="74"/>
  <c r="O188"/>
  <c r="T221" i="39"/>
  <c r="T232"/>
  <c r="T142"/>
  <c r="T131"/>
  <c r="T198"/>
  <c r="T277"/>
  <c r="T175"/>
  <c r="U227" i="77"/>
  <c r="U227" i="39" s="1"/>
  <c r="T227"/>
  <c r="T192"/>
  <c r="T162"/>
  <c r="T239"/>
  <c r="T233"/>
  <c r="P196"/>
  <c r="P170"/>
  <c r="T362"/>
  <c r="T359"/>
  <c r="W380" i="77"/>
  <c r="T380" i="39"/>
  <c r="T241"/>
  <c r="T235"/>
  <c r="T161"/>
  <c r="T272"/>
  <c r="O196"/>
  <c r="O170"/>
  <c r="IT370" i="77"/>
  <c r="V370" i="74" s="1"/>
  <c r="T370"/>
  <c r="U129" i="39"/>
  <c r="T129"/>
  <c r="O143"/>
  <c r="O136"/>
  <c r="O111"/>
  <c r="O142"/>
  <c r="O131"/>
  <c r="P157" i="71"/>
  <c r="P266"/>
  <c r="T266" i="39"/>
  <c r="T157"/>
  <c r="O157" i="72"/>
  <c r="O266"/>
  <c r="O145" i="39"/>
  <c r="O138"/>
  <c r="O364"/>
  <c r="O361"/>
  <c r="U377" i="77"/>
  <c r="U377" i="39" s="1"/>
  <c r="T377"/>
  <c r="P186"/>
  <c r="P283"/>
  <c r="P283" i="69"/>
  <c r="P186"/>
  <c r="T283" i="39"/>
  <c r="T186"/>
  <c r="O283" i="74"/>
  <c r="O186"/>
  <c r="P185"/>
  <c r="P116"/>
  <c r="O185" i="39"/>
  <c r="O116"/>
  <c r="O185" i="71"/>
  <c r="O116"/>
  <c r="V166" i="39"/>
  <c r="O166"/>
  <c r="W176"/>
  <c r="P176"/>
  <c r="P274" i="65"/>
  <c r="P222"/>
  <c r="P171"/>
  <c r="P108"/>
  <c r="P274" i="73"/>
  <c r="P222"/>
  <c r="P171"/>
  <c r="P108"/>
  <c r="O274" i="72"/>
  <c r="O222"/>
  <c r="O171"/>
  <c r="O108"/>
  <c r="O178" i="39"/>
  <c r="O279"/>
  <c r="O113"/>
  <c r="O230"/>
  <c r="O279" i="71"/>
  <c r="O230"/>
  <c r="O178"/>
  <c r="O113"/>
  <c r="P279" i="72"/>
  <c r="P230"/>
  <c r="P178"/>
  <c r="P113"/>
  <c r="P269" i="39"/>
  <c r="P133"/>
  <c r="P133" i="71"/>
  <c r="P269"/>
  <c r="T269" i="39"/>
  <c r="T133"/>
  <c r="O133" i="74"/>
  <c r="O269"/>
  <c r="O160" i="65"/>
  <c r="O268"/>
  <c r="O160" i="73"/>
  <c r="O268"/>
  <c r="P160" i="74"/>
  <c r="P268"/>
  <c r="P184" i="39"/>
  <c r="P281"/>
  <c r="P281" i="71"/>
  <c r="P184"/>
  <c r="T281" i="39"/>
  <c r="T184"/>
  <c r="O281" i="74"/>
  <c r="O184"/>
  <c r="U263" i="77"/>
  <c r="U263" i="39" s="1"/>
  <c r="T263"/>
  <c r="W365" i="77"/>
  <c r="P365" i="39"/>
  <c r="U154"/>
  <c r="T154"/>
  <c r="U209" i="77"/>
  <c r="U295" i="39" s="1"/>
  <c r="T295"/>
  <c r="P101" i="71"/>
  <c r="P261"/>
  <c r="P261" i="39"/>
  <c r="P101"/>
  <c r="P101" i="74"/>
  <c r="P261"/>
  <c r="V103" i="39"/>
  <c r="O103"/>
  <c r="U156" i="70"/>
  <c r="U105"/>
  <c r="P156" i="74"/>
  <c r="P105"/>
  <c r="O156" i="73"/>
  <c r="O105"/>
  <c r="P105" i="39"/>
  <c r="P156"/>
  <c r="V135"/>
  <c r="O135"/>
  <c r="P173" i="71"/>
  <c r="P110"/>
  <c r="P173" i="39"/>
  <c r="P110"/>
  <c r="P173" i="72"/>
  <c r="P110"/>
  <c r="U117" i="39"/>
  <c r="U284"/>
  <c r="P158" i="71"/>
  <c r="P130"/>
  <c r="T158" i="39"/>
  <c r="T130"/>
  <c r="O158" i="68"/>
  <c r="O130"/>
  <c r="O158" i="74"/>
  <c r="O130"/>
  <c r="U134" i="39"/>
  <c r="U271"/>
  <c r="O271" i="65"/>
  <c r="O134"/>
  <c r="O271" i="73"/>
  <c r="O134"/>
  <c r="O271" i="74"/>
  <c r="O134"/>
  <c r="W379" i="77"/>
  <c r="W379" i="39" s="1"/>
  <c r="P379"/>
  <c r="W262" i="77"/>
  <c r="W262" i="39" s="1"/>
  <c r="P262"/>
  <c r="V386" i="77"/>
  <c r="V395" i="39" s="1"/>
  <c r="O395"/>
  <c r="O223" i="65"/>
  <c r="O172"/>
  <c r="O223" i="71"/>
  <c r="O172"/>
  <c r="P223" i="74"/>
  <c r="P172"/>
  <c r="P106" i="65"/>
  <c r="P132"/>
  <c r="P106" i="71"/>
  <c r="P132"/>
  <c r="P106" i="73"/>
  <c r="P132"/>
  <c r="O229" i="65"/>
  <c r="O177"/>
  <c r="O229" i="72"/>
  <c r="O177"/>
  <c r="W292" i="77"/>
  <c r="W292" i="39" s="1"/>
  <c r="P292"/>
  <c r="O179" i="73"/>
  <c r="O231"/>
  <c r="O179" i="71"/>
  <c r="O231"/>
  <c r="P159"/>
  <c r="P259"/>
  <c r="P278" i="74"/>
  <c r="P225"/>
  <c r="T261" i="39"/>
  <c r="T101"/>
  <c r="U115"/>
  <c r="T115"/>
  <c r="U293" i="77"/>
  <c r="U293" i="39" s="1"/>
  <c r="T293"/>
  <c r="U109"/>
  <c r="T109"/>
  <c r="T156"/>
  <c r="T105"/>
  <c r="U287"/>
  <c r="T287"/>
  <c r="U225" i="77"/>
  <c r="T225" i="39"/>
  <c r="T278"/>
  <c r="T156" i="70"/>
  <c r="T105"/>
  <c r="T179" i="39"/>
  <c r="T231"/>
  <c r="P284" i="71"/>
  <c r="P117"/>
  <c r="V140" i="39"/>
  <c r="O140"/>
  <c r="P284" i="74"/>
  <c r="P117"/>
  <c r="T156" i="71"/>
  <c r="T105"/>
  <c r="O231" i="39"/>
  <c r="O179"/>
  <c r="O284" i="74"/>
  <c r="O117"/>
  <c r="P156" i="71"/>
  <c r="P105"/>
  <c r="O284"/>
  <c r="O117"/>
  <c r="O284" i="72"/>
  <c r="O117"/>
  <c r="P159" i="73"/>
  <c r="P259"/>
  <c r="P376" i="39"/>
  <c r="U148"/>
  <c r="O193"/>
  <c r="P251"/>
  <c r="P364"/>
  <c r="O219"/>
  <c r="AB180" i="69"/>
  <c r="AB233"/>
  <c r="AB377"/>
  <c r="AB291"/>
  <c r="AB276" i="68"/>
  <c r="AB174"/>
  <c r="AB224"/>
  <c r="AB277"/>
  <c r="AB175"/>
  <c r="AB173"/>
  <c r="AB110"/>
  <c r="AB136"/>
  <c r="AB111"/>
  <c r="AB360" i="69"/>
  <c r="AB114"/>
  <c r="AB104"/>
  <c r="AB290"/>
  <c r="AB155"/>
  <c r="AB103"/>
  <c r="AB383"/>
  <c r="AB189"/>
  <c r="AB361"/>
  <c r="AB273" i="68"/>
  <c r="AB168"/>
  <c r="AB107"/>
  <c r="AB380" i="69"/>
  <c r="AB358"/>
  <c r="AB286"/>
  <c r="AB183" i="70"/>
  <c r="AB112" i="69"/>
  <c r="AB234"/>
  <c r="AB381"/>
  <c r="AB272" i="68"/>
  <c r="AB161"/>
  <c r="AB157"/>
  <c r="AB266"/>
  <c r="AB359" i="69"/>
  <c r="AB170"/>
  <c r="AB101" i="68"/>
  <c r="AB261"/>
  <c r="AB284"/>
  <c r="AB117"/>
  <c r="AB158"/>
  <c r="AB130"/>
  <c r="FK286" i="77"/>
  <c r="W167" i="39"/>
  <c r="W287"/>
  <c r="V254" i="77"/>
  <c r="V278"/>
  <c r="AZ286"/>
  <c r="FK49"/>
  <c r="V165" i="39"/>
  <c r="W276" i="77"/>
  <c r="V190" i="39"/>
  <c r="V206" i="77"/>
  <c r="V275"/>
  <c r="V275" i="39" s="1"/>
  <c r="W282" i="77"/>
  <c r="W282" i="39" s="1"/>
  <c r="W254" i="77"/>
  <c r="W278"/>
  <c r="AY286"/>
  <c r="V87"/>
  <c r="V87" i="39" s="1"/>
  <c r="W165"/>
  <c r="V383" i="77"/>
  <c r="V139" i="39"/>
  <c r="W190"/>
  <c r="V164"/>
  <c r="W275" i="77"/>
  <c r="W275" i="39" s="1"/>
  <c r="W225" i="77"/>
  <c r="V293"/>
  <c r="V293" i="39" s="1"/>
  <c r="Z156" i="71"/>
  <c r="U359" i="77"/>
  <c r="V296"/>
  <c r="V296" i="39" s="1"/>
  <c r="V277" i="77"/>
  <c r="V288"/>
  <c r="V288" i="39" s="1"/>
  <c r="W296" i="77"/>
  <c r="W296" i="39" s="1"/>
  <c r="V115"/>
  <c r="V243" i="77"/>
  <c r="V109" i="39"/>
  <c r="W277" i="77"/>
  <c r="W288"/>
  <c r="W288" i="39" s="1"/>
  <c r="V267" i="77"/>
  <c r="V267" i="39" s="1"/>
  <c r="W115"/>
  <c r="W243" i="77"/>
  <c r="W109" i="39"/>
  <c r="W267" i="77"/>
  <c r="W267" i="39" s="1"/>
  <c r="V287" i="77"/>
  <c r="AB378" i="70"/>
  <c r="W293" i="77"/>
  <c r="W293" i="39" s="1"/>
  <c r="FL368" i="77"/>
  <c r="U370"/>
  <c r="U369"/>
  <c r="W228"/>
  <c r="IU249"/>
  <c r="V437"/>
  <c r="W407"/>
  <c r="W407" i="39" s="1"/>
  <c r="V407" i="77"/>
  <c r="V407" i="39" s="1"/>
  <c r="U124"/>
  <c r="IT249" i="77"/>
  <c r="GN47"/>
  <c r="AY432"/>
  <c r="W426"/>
  <c r="W426" i="39" s="1"/>
  <c r="U151"/>
  <c r="FJ404" i="77"/>
  <c r="HR55"/>
  <c r="V13" i="39"/>
  <c r="V295" i="77"/>
  <c r="W206"/>
  <c r="V395"/>
  <c r="W395"/>
  <c r="V279"/>
  <c r="V391" i="39"/>
  <c r="FF224" i="77"/>
  <c r="J129" i="71"/>
  <c r="FF96" i="77"/>
  <c r="J391" i="71"/>
  <c r="J288"/>
  <c r="FF276" i="77"/>
  <c r="FG229"/>
  <c r="J140" i="71"/>
  <c r="J293"/>
  <c r="J267"/>
  <c r="FG245" i="77"/>
  <c r="J295" i="71"/>
  <c r="J112"/>
  <c r="FG93" i="77"/>
  <c r="FF82"/>
  <c r="FG69"/>
  <c r="FG65"/>
  <c r="FF57"/>
  <c r="FG355"/>
  <c r="FF295"/>
  <c r="FG254"/>
  <c r="J287" i="71"/>
  <c r="J393"/>
  <c r="FG287" i="77"/>
  <c r="FF233"/>
  <c r="Q233" i="71" s="1"/>
  <c r="FG58" i="77"/>
  <c r="FG37"/>
  <c r="FG352"/>
  <c r="FF272"/>
  <c r="J236" i="71"/>
  <c r="FF220" i="77"/>
  <c r="FG202"/>
  <c r="FF58"/>
  <c r="FG59"/>
  <c r="FF50"/>
  <c r="FG22"/>
  <c r="FG256"/>
  <c r="J187" i="71"/>
  <c r="J282"/>
  <c r="FF455" i="77"/>
  <c r="FF408"/>
  <c r="Q169" i="71"/>
  <c r="FF228" i="77"/>
  <c r="Q228" i="71" s="1"/>
  <c r="FF246" i="77"/>
  <c r="FF227"/>
  <c r="Q227" i="71" s="1"/>
  <c r="FF237" i="77"/>
  <c r="FF97"/>
  <c r="FF420"/>
  <c r="FF434"/>
  <c r="FF389"/>
  <c r="FF200"/>
  <c r="FF204"/>
  <c r="FF232"/>
  <c r="Q232" i="71" s="1"/>
  <c r="FF29" i="77"/>
  <c r="FF377"/>
  <c r="Q377" i="71" s="1"/>
  <c r="FF423" i="77"/>
  <c r="FF437"/>
  <c r="Q361" i="71"/>
  <c r="FF380" i="77"/>
  <c r="Q380" i="71" s="1"/>
  <c r="FF23" i="77"/>
  <c r="FF426"/>
  <c r="Q181" i="71"/>
  <c r="FF42" i="77"/>
  <c r="Q165" i="71"/>
  <c r="FF285" i="77"/>
  <c r="FF206"/>
  <c r="FF98"/>
  <c r="FF263"/>
  <c r="Q263" i="71" s="1"/>
  <c r="FF268" i="77"/>
  <c r="FF270"/>
  <c r="FF274"/>
  <c r="Q166" i="71"/>
  <c r="Q190"/>
  <c r="FF363" i="77"/>
  <c r="FF266"/>
  <c r="FF383"/>
  <c r="Q103" i="71"/>
  <c r="Q141"/>
  <c r="FF382" i="77"/>
  <c r="Q382" i="71" s="1"/>
  <c r="FF250" i="77"/>
  <c r="FF223"/>
  <c r="FF409"/>
  <c r="FF83"/>
  <c r="Q83" i="71" s="1"/>
  <c r="FF95" i="77"/>
  <c r="FF244"/>
  <c r="FF448"/>
  <c r="FF430"/>
  <c r="FF443"/>
  <c r="FF359"/>
  <c r="Q359" i="71" s="1"/>
  <c r="Q137"/>
  <c r="Q162"/>
  <c r="FF238" i="77"/>
  <c r="Q238" i="71" s="1"/>
  <c r="FF36" i="77"/>
  <c r="FF62"/>
  <c r="FF425"/>
  <c r="FF429"/>
  <c r="FF85"/>
  <c r="Q85" i="71" s="1"/>
  <c r="FF235" i="77"/>
  <c r="Q235" i="71" s="1"/>
  <c r="FF247" i="77"/>
  <c r="FF374"/>
  <c r="FF388"/>
  <c r="Q183" i="71"/>
  <c r="Q102"/>
  <c r="Q176"/>
  <c r="Q139"/>
  <c r="FF372" i="77"/>
  <c r="FF208"/>
  <c r="FF290"/>
  <c r="FF89"/>
  <c r="FF87"/>
  <c r="Q87" i="71" s="1"/>
  <c r="FF384" i="77"/>
  <c r="FF94"/>
  <c r="Q270" i="71"/>
  <c r="FF252" i="77"/>
  <c r="FF262"/>
  <c r="Q262" i="71" s="1"/>
  <c r="FF385" i="77"/>
  <c r="Q394" i="71" s="1"/>
  <c r="FF395" i="77"/>
  <c r="FF225"/>
  <c r="FF362"/>
  <c r="Q140" i="71"/>
  <c r="FF462" i="77"/>
  <c r="FF422"/>
  <c r="FF353"/>
  <c r="Q286" i="71"/>
  <c r="Q138"/>
  <c r="FF407" i="77"/>
  <c r="FF435"/>
  <c r="FF444"/>
  <c r="FF239"/>
  <c r="Q129" i="71"/>
  <c r="FF457" i="77"/>
  <c r="FF352"/>
  <c r="Q170" i="71"/>
  <c r="FF242" i="77"/>
  <c r="FF248"/>
  <c r="FF257"/>
  <c r="FF60"/>
  <c r="FF358"/>
  <c r="Q358" i="71" s="1"/>
  <c r="FF84" i="77"/>
  <c r="Q84" i="71" s="1"/>
  <c r="Q182"/>
  <c r="FF63" i="77"/>
  <c r="FF449"/>
  <c r="FF378"/>
  <c r="Q378" i="71" s="1"/>
  <c r="FF30" i="77"/>
  <c r="FF32"/>
  <c r="FF48"/>
  <c r="Q381" i="71"/>
  <c r="FF279" i="77"/>
  <c r="Q285" i="71"/>
  <c r="FF222" i="77"/>
  <c r="FF364"/>
  <c r="Q383" i="71" s="1"/>
  <c r="Q115"/>
  <c r="FF294" i="77"/>
  <c r="Q294" i="71" s="1"/>
  <c r="Q290"/>
  <c r="Q155"/>
  <c r="FF269" i="77"/>
  <c r="FF273"/>
  <c r="FF203"/>
  <c r="Q189" i="71"/>
  <c r="FF284" i="77"/>
  <c r="FF394"/>
  <c r="FF277"/>
  <c r="FF379"/>
  <c r="Q379" i="71" s="1"/>
  <c r="FF287" i="77"/>
  <c r="FF207"/>
  <c r="FF386"/>
  <c r="Q395" i="71" s="1"/>
  <c r="FF278" i="77"/>
  <c r="FF355"/>
  <c r="FF24"/>
  <c r="FF402"/>
  <c r="FF439"/>
  <c r="FF86"/>
  <c r="Q86" i="71" s="1"/>
  <c r="FF88" i="77"/>
  <c r="Q88" i="71" s="1"/>
  <c r="Q180"/>
  <c r="FF33" i="77"/>
  <c r="FF37"/>
  <c r="FF405"/>
  <c r="FF360"/>
  <c r="Q360" i="71" s="1"/>
  <c r="Q114"/>
  <c r="FF226" i="77"/>
  <c r="Q226" i="71" s="1"/>
  <c r="FF442" i="77"/>
  <c r="FF357"/>
  <c r="FF234"/>
  <c r="Q234" i="71" s="1"/>
  <c r="FF436" i="77"/>
  <c r="FF369"/>
  <c r="Q369" i="71" s="1"/>
  <c r="FF90" i="77"/>
  <c r="FF205"/>
  <c r="FF26"/>
  <c r="FF28"/>
  <c r="FF34"/>
  <c r="FF365"/>
  <c r="FF78"/>
  <c r="FF79"/>
  <c r="FF243"/>
  <c r="Q154" i="71"/>
  <c r="FF296" i="77"/>
  <c r="Q296" i="71" s="1"/>
  <c r="Q163"/>
  <c r="FF283" i="77"/>
  <c r="FF230"/>
  <c r="FF264"/>
  <c r="Q264" i="71" s="1"/>
  <c r="FF240" i="77"/>
  <c r="FF289"/>
  <c r="Q164" i="71"/>
  <c r="FF376" i="77"/>
  <c r="FF280"/>
  <c r="Q280" i="71" s="1"/>
  <c r="FF259" i="77"/>
  <c r="Q109" i="71"/>
  <c r="Q135"/>
  <c r="FF254" i="77"/>
  <c r="FF256"/>
  <c r="FG209"/>
  <c r="R295" i="71" s="1"/>
  <c r="F380" i="65"/>
  <c r="F369"/>
  <c r="F262"/>
  <c r="F234"/>
  <c r="F228"/>
  <c r="F226"/>
  <c r="F181"/>
  <c r="F164"/>
  <c r="F286"/>
  <c r="F102"/>
  <c r="F88"/>
  <c r="F84"/>
  <c r="F187"/>
  <c r="F381"/>
  <c r="F377"/>
  <c r="F359"/>
  <c r="AU249" i="77"/>
  <c r="F189" i="65"/>
  <c r="F182"/>
  <c r="F176"/>
  <c r="F165"/>
  <c r="F115"/>
  <c r="F103"/>
  <c r="F85"/>
  <c r="F289"/>
  <c r="F395"/>
  <c r="F382"/>
  <c r="F378"/>
  <c r="AU373" i="77"/>
  <c r="F383" i="65"/>
  <c r="F360"/>
  <c r="F296"/>
  <c r="F183"/>
  <c r="F166"/>
  <c r="F155"/>
  <c r="F290"/>
  <c r="F86"/>
  <c r="F379"/>
  <c r="F291"/>
  <c r="F180"/>
  <c r="F170"/>
  <c r="F141"/>
  <c r="F137"/>
  <c r="F87"/>
  <c r="F83"/>
  <c r="AU27" i="77"/>
  <c r="AT409"/>
  <c r="AT249"/>
  <c r="Q169" i="65"/>
  <c r="AT224" i="77"/>
  <c r="AT245"/>
  <c r="AT256"/>
  <c r="AT37"/>
  <c r="AT67"/>
  <c r="AT205"/>
  <c r="AT220"/>
  <c r="Q162" i="65"/>
  <c r="AT238" i="77"/>
  <c r="Q238" i="65" s="1"/>
  <c r="AT29" i="77"/>
  <c r="AT60"/>
  <c r="AT372"/>
  <c r="AT294"/>
  <c r="Q294" i="65" s="1"/>
  <c r="AT209" i="77"/>
  <c r="Q295" i="65" s="1"/>
  <c r="AT264" i="77"/>
  <c r="Q264" i="65" s="1"/>
  <c r="AT269" i="77"/>
  <c r="AT273"/>
  <c r="AT279"/>
  <c r="AT229"/>
  <c r="AT293"/>
  <c r="Q293" i="65" s="1"/>
  <c r="Q163"/>
  <c r="AT283" i="77"/>
  <c r="AT254"/>
  <c r="AT225"/>
  <c r="Q140" i="65"/>
  <c r="AT266" i="77"/>
  <c r="AT420"/>
  <c r="AT355"/>
  <c r="Q114" i="65"/>
  <c r="AT235" i="77"/>
  <c r="Q235" i="65" s="1"/>
  <c r="AT449" i="77"/>
  <c r="AT93"/>
  <c r="Q112" i="65"/>
  <c r="AT253" i="77"/>
  <c r="AT30"/>
  <c r="AT65"/>
  <c r="AT430"/>
  <c r="AT358"/>
  <c r="Q358" i="65" s="1"/>
  <c r="AT90" i="77"/>
  <c r="AT233"/>
  <c r="Q233" i="65" s="1"/>
  <c r="AT236" i="77"/>
  <c r="Q236" i="65" s="1"/>
  <c r="AT248" i="77"/>
  <c r="AT257"/>
  <c r="AT40"/>
  <c r="Q129" i="65"/>
  <c r="AT79" i="77"/>
  <c r="AT276"/>
  <c r="AT385"/>
  <c r="Q394" i="65" s="1"/>
  <c r="AT287" i="77"/>
  <c r="AT202"/>
  <c r="AT222"/>
  <c r="Q109" i="65"/>
  <c r="AT292" i="77"/>
  <c r="Q292" i="65" s="1"/>
  <c r="AT278" i="77"/>
  <c r="AT275"/>
  <c r="Q275" i="65" s="1"/>
  <c r="Q139"/>
  <c r="AT354" i="77"/>
  <c r="Q354" i="65" s="1"/>
  <c r="AT282" i="77"/>
  <c r="Q282" i="65" s="1"/>
  <c r="AT240" i="77"/>
  <c r="AT394"/>
  <c r="AT423"/>
  <c r="AT232"/>
  <c r="Q232" i="65" s="1"/>
  <c r="AT422" i="77"/>
  <c r="AT352"/>
  <c r="Q361" i="65"/>
  <c r="AT92" i="77"/>
  <c r="Q138" i="65"/>
  <c r="Q104"/>
  <c r="AT457" i="77"/>
  <c r="AT353"/>
  <c r="Q131" i="65"/>
  <c r="AT242" i="77"/>
  <c r="AT24"/>
  <c r="AT33"/>
  <c r="AT58"/>
  <c r="AT70"/>
  <c r="AT96"/>
  <c r="AT247"/>
  <c r="Q270" i="65"/>
  <c r="AT230" i="77"/>
  <c r="AT272"/>
  <c r="AT267"/>
  <c r="Q267" i="65" s="1"/>
  <c r="AT393" i="77"/>
  <c r="Q393" i="65" s="1"/>
  <c r="AT365" i="77"/>
  <c r="Q391" i="65"/>
  <c r="AT270" i="77"/>
  <c r="AT274"/>
  <c r="AT265"/>
  <c r="Q265" i="65" s="1"/>
  <c r="AT288" i="77"/>
  <c r="Q288" i="65" s="1"/>
  <c r="AT280" i="77"/>
  <c r="Q280" i="65" s="1"/>
  <c r="AT59" i="77"/>
  <c r="AT63"/>
  <c r="AT69"/>
  <c r="AT82"/>
  <c r="AT227"/>
  <c r="Q227" i="65" s="1"/>
  <c r="AT429" i="77"/>
  <c r="AT239"/>
  <c r="AT38"/>
  <c r="Q154" i="65"/>
  <c r="Q190"/>
  <c r="AT94" i="77"/>
  <c r="AT384"/>
  <c r="AT285"/>
  <c r="Q285" i="65"/>
  <c r="AT263" i="77"/>
  <c r="Q263" i="65" s="1"/>
  <c r="AT268" i="77"/>
  <c r="AT295"/>
  <c r="Q135" i="65"/>
  <c r="Q167"/>
  <c r="AT223" i="77"/>
  <c r="Q287" i="65"/>
  <c r="EC248" i="77"/>
  <c r="EC242"/>
  <c r="ED208"/>
  <c r="I164" i="70"/>
  <c r="I139"/>
  <c r="I115"/>
  <c r="I109"/>
  <c r="ED70" i="77"/>
  <c r="EC58"/>
  <c r="ED437"/>
  <c r="ED429"/>
  <c r="ED252"/>
  <c r="EC243"/>
  <c r="ED230"/>
  <c r="EC204"/>
  <c r="ED88"/>
  <c r="R88" i="70" s="1"/>
  <c r="EC65" i="77"/>
  <c r="EC32"/>
  <c r="ED28"/>
  <c r="EC457"/>
  <c r="EC430"/>
  <c r="EC422"/>
  <c r="ED406"/>
  <c r="EC374"/>
  <c r="EC283"/>
  <c r="EC257"/>
  <c r="I140" i="70"/>
  <c r="EC246" i="77"/>
  <c r="ED234"/>
  <c r="R234" i="70" s="1"/>
  <c r="EC222" i="77"/>
  <c r="ED206"/>
  <c r="I190" i="70"/>
  <c r="I135"/>
  <c r="ED97" i="77"/>
  <c r="EC89"/>
  <c r="EC67"/>
  <c r="EC60"/>
  <c r="EC38"/>
  <c r="EC29"/>
  <c r="ED448"/>
  <c r="EC207"/>
  <c r="I163" i="70"/>
  <c r="Q114"/>
  <c r="EC90" i="77"/>
  <c r="EC79"/>
  <c r="EC69"/>
  <c r="ED63"/>
  <c r="ED34"/>
  <c r="ED30"/>
  <c r="EC26"/>
  <c r="EC449"/>
  <c r="EC444"/>
  <c r="EC442"/>
  <c r="ED436"/>
  <c r="ED425"/>
  <c r="EC420"/>
  <c r="EC409"/>
  <c r="ED388"/>
  <c r="I394" i="70"/>
  <c r="I381"/>
  <c r="EC357" i="77"/>
  <c r="EC285"/>
  <c r="ED274"/>
  <c r="EC269"/>
  <c r="I262" i="70"/>
  <c r="EC255" i="77"/>
  <c r="I287" i="70"/>
  <c r="EC423" i="77"/>
  <c r="ED389"/>
  <c r="EC270"/>
  <c r="EC402"/>
  <c r="EC394"/>
  <c r="EC279"/>
  <c r="EC273"/>
  <c r="I167" i="70"/>
  <c r="I282"/>
  <c r="ED434" i="77"/>
  <c r="ED405"/>
  <c r="I395" i="70"/>
  <c r="EC378" i="77"/>
  <c r="Q378" i="70" s="1"/>
  <c r="I358"/>
  <c r="I292"/>
  <c r="I380"/>
  <c r="EC372" i="77"/>
  <c r="ED365"/>
  <c r="EC284"/>
  <c r="EC268"/>
  <c r="EC254"/>
  <c r="EC406"/>
  <c r="EC355"/>
  <c r="EC439"/>
  <c r="Q131" i="70"/>
  <c r="EC96" i="77"/>
  <c r="EC455"/>
  <c r="EC57"/>
  <c r="EC95"/>
  <c r="Q112" i="70"/>
  <c r="EC40" i="77"/>
  <c r="EC265"/>
  <c r="Q265" i="70" s="1"/>
  <c r="EC278" i="77"/>
  <c r="EC209"/>
  <c r="Q295" i="70" s="1"/>
  <c r="EC383" i="77"/>
  <c r="EC382"/>
  <c r="Q382" i="70" s="1"/>
  <c r="EC202" i="77"/>
  <c r="EC277"/>
  <c r="EC379"/>
  <c r="Q379" i="70" s="1"/>
  <c r="EC364" i="77"/>
  <c r="Q383" i="70" s="1"/>
  <c r="EC408" i="77"/>
  <c r="EC426"/>
  <c r="EC352"/>
  <c r="EC92"/>
  <c r="EC200"/>
  <c r="EC232"/>
  <c r="Q232" i="70" s="1"/>
  <c r="EC245" i="77"/>
  <c r="EC253"/>
  <c r="Q104" i="70"/>
  <c r="EC353" i="77"/>
  <c r="EC23"/>
  <c r="EC236"/>
  <c r="Q236" i="70" s="1"/>
  <c r="EC24" i="77"/>
  <c r="EC42"/>
  <c r="EC363"/>
  <c r="Q391" i="70"/>
  <c r="EC78" i="77"/>
  <c r="EC295"/>
  <c r="EC296"/>
  <c r="Q296" i="70" s="1"/>
  <c r="EC205" i="77"/>
  <c r="EC443"/>
  <c r="Q137" i="70"/>
  <c r="Q162"/>
  <c r="EC238" i="77"/>
  <c r="Q238" i="70" s="1"/>
  <c r="EC36" i="77"/>
  <c r="EC62"/>
  <c r="EF62" s="1"/>
  <c r="EC93"/>
  <c r="EC233"/>
  <c r="Q233" i="70" s="1"/>
  <c r="EC235" i="77"/>
  <c r="Q235" i="70" s="1"/>
  <c r="EC247" i="77"/>
  <c r="Q183" i="70"/>
  <c r="EC98" i="77"/>
  <c r="Q154" i="70"/>
  <c r="Q103"/>
  <c r="EC272" i="77"/>
  <c r="EC259"/>
  <c r="EC288"/>
  <c r="Q288" i="70" s="1"/>
  <c r="Q141"/>
  <c r="EC266" i="77"/>
  <c r="EC289"/>
  <c r="Q289" i="70" s="1"/>
  <c r="EC203" i="77"/>
  <c r="EC462"/>
  <c r="Q138" i="70"/>
  <c r="EC22" i="77"/>
  <c r="EC407"/>
  <c r="EC435"/>
  <c r="EC224"/>
  <c r="EC239"/>
  <c r="EC220"/>
  <c r="EC256"/>
  <c r="EC37"/>
  <c r="Q129" i="70"/>
  <c r="EC84" i="77"/>
  <c r="Q84" i="70" s="1"/>
  <c r="EC82" i="77"/>
  <c r="EC48"/>
  <c r="EC276"/>
  <c r="EC87"/>
  <c r="Q87" i="70" s="1"/>
  <c r="EC225" i="77"/>
  <c r="Q187" i="70"/>
  <c r="EC354" i="77"/>
  <c r="Q354" i="70" s="1"/>
  <c r="EC395" i="77"/>
  <c r="ED94"/>
  <c r="IO92"/>
  <c r="IP37"/>
  <c r="IP58"/>
  <c r="IP93"/>
  <c r="IO65"/>
  <c r="M354" i="74"/>
  <c r="IP69" i="77"/>
  <c r="IO24"/>
  <c r="IO72"/>
  <c r="IO266"/>
  <c r="IP245"/>
  <c r="IP259"/>
  <c r="IO359"/>
  <c r="Q359" i="74" s="1"/>
  <c r="Q180"/>
  <c r="IO256" i="77"/>
  <c r="IO402"/>
  <c r="IO439"/>
  <c r="IO86"/>
  <c r="Q86" i="74" s="1"/>
  <c r="IO88" i="77"/>
  <c r="Q88" i="74" s="1"/>
  <c r="Q112"/>
  <c r="Q131"/>
  <c r="IO224" i="77"/>
  <c r="IO226"/>
  <c r="Q226" i="74" s="1"/>
  <c r="IO238" i="77"/>
  <c r="Q238" i="74" s="1"/>
  <c r="IO22" i="77"/>
  <c r="IO42"/>
  <c r="IO70"/>
  <c r="IO442"/>
  <c r="Q104" i="74"/>
  <c r="IO436" i="77"/>
  <c r="IO369"/>
  <c r="Q369" i="74" s="1"/>
  <c r="IO26" i="77"/>
  <c r="IO32"/>
  <c r="IO34"/>
  <c r="IO57"/>
  <c r="IO363"/>
  <c r="IO87"/>
  <c r="Q87" i="74" s="1"/>
  <c r="IO279" i="77"/>
  <c r="Q285" i="74"/>
  <c r="IO222" i="77"/>
  <c r="IO364"/>
  <c r="IO98"/>
  <c r="IR98" s="1"/>
  <c r="IS98" s="1"/>
  <c r="IO294"/>
  <c r="Q294" i="74" s="1"/>
  <c r="Q154"/>
  <c r="Q155"/>
  <c r="IO269" i="77"/>
  <c r="IO273"/>
  <c r="IO209"/>
  <c r="Q295" i="74" s="1"/>
  <c r="IO203" i="77"/>
  <c r="IR203" s="1"/>
  <c r="IS203" s="1"/>
  <c r="Q141" i="74"/>
  <c r="IO207" i="77"/>
  <c r="IR207" s="1"/>
  <c r="IS207" s="1"/>
  <c r="IO250"/>
  <c r="IO386"/>
  <c r="IO240"/>
  <c r="IO206"/>
  <c r="IO267"/>
  <c r="IO292"/>
  <c r="Q292" i="74" s="1"/>
  <c r="IO225" i="77"/>
  <c r="IO265"/>
  <c r="Q265" i="74" s="1"/>
  <c r="IO280" i="77"/>
  <c r="Q280" i="74" s="1"/>
  <c r="IO254" i="77"/>
  <c r="IO278"/>
  <c r="IR278" s="1"/>
  <c r="IS278" s="1"/>
  <c r="IO408"/>
  <c r="Q183" i="74"/>
  <c r="IO253" i="77"/>
  <c r="IO23"/>
  <c r="IO355"/>
  <c r="IO82"/>
  <c r="Q138" i="74"/>
  <c r="IO227" i="77"/>
  <c r="Q227" i="74" s="1"/>
  <c r="IO244" i="77"/>
  <c r="IO405"/>
  <c r="IO420"/>
  <c r="IO434"/>
  <c r="IO352"/>
  <c r="Q162" i="74"/>
  <c r="IO200" i="77"/>
  <c r="IO204"/>
  <c r="IO237"/>
  <c r="IO29"/>
  <c r="IO33"/>
  <c r="IO36"/>
  <c r="IO40"/>
  <c r="IO423"/>
  <c r="IO437"/>
  <c r="IR437" s="1"/>
  <c r="IO358"/>
  <c r="Q358" i="74" s="1"/>
  <c r="IO90" i="77"/>
  <c r="Q129" i="74"/>
  <c r="IO378" i="77"/>
  <c r="Q378" i="74" s="1"/>
  <c r="IO83" i="77"/>
  <c r="Q83" i="74" s="1"/>
  <c r="Q381"/>
  <c r="IO384" i="77"/>
  <c r="IO243"/>
  <c r="IR243" s="1"/>
  <c r="IS243" s="1"/>
  <c r="IO372"/>
  <c r="IO230"/>
  <c r="IO264"/>
  <c r="Q264" i="74" s="1"/>
  <c r="IO276" i="77"/>
  <c r="Q140" i="74"/>
  <c r="IO277" i="77"/>
  <c r="Q164" i="74"/>
  <c r="IO376" i="77"/>
  <c r="Q139" i="74"/>
  <c r="IO455" i="77"/>
  <c r="IR455" s="1"/>
  <c r="IS455" s="1"/>
  <c r="IO409"/>
  <c r="Q181" i="74"/>
  <c r="IO246" i="77"/>
  <c r="IO448"/>
  <c r="IO430"/>
  <c r="IR430" s="1"/>
  <c r="IU430" s="1"/>
  <c r="Q137" i="74"/>
  <c r="Q170"/>
  <c r="IO205" i="77"/>
  <c r="IR205" s="1"/>
  <c r="IO425"/>
  <c r="IO429"/>
  <c r="IO357"/>
  <c r="Q361" i="74"/>
  <c r="IO85" i="77"/>
  <c r="Q85" i="74" s="1"/>
  <c r="IO236" i="77"/>
  <c r="Q236" i="74" s="1"/>
  <c r="IO38" i="77"/>
  <c r="IO62"/>
  <c r="IR62" s="1"/>
  <c r="IO374"/>
  <c r="IO232"/>
  <c r="Q232" i="74" s="1"/>
  <c r="IO235" i="77"/>
  <c r="Q235" i="74" s="1"/>
  <c r="IO247" i="77"/>
  <c r="Q286" i="74"/>
  <c r="IO67" i="77"/>
  <c r="IO283"/>
  <c r="IO285"/>
  <c r="IO202"/>
  <c r="IO272"/>
  <c r="IO263"/>
  <c r="Q263" i="74" s="1"/>
  <c r="IO268" i="77"/>
  <c r="IO270"/>
  <c r="IO274"/>
  <c r="Q109" i="74"/>
  <c r="IO78" i="77"/>
  <c r="IO79"/>
  <c r="IO365"/>
  <c r="IO382"/>
  <c r="IO362"/>
  <c r="IR362" s="1"/>
  <c r="IS362" s="1"/>
  <c r="IO223"/>
  <c r="IO293"/>
  <c r="Q293" i="74" s="1"/>
  <c r="IO290" i="77"/>
  <c r="IO383"/>
  <c r="Q189" i="74"/>
  <c r="Q287"/>
  <c r="IO229" i="77"/>
  <c r="IO393"/>
  <c r="IO282"/>
  <c r="IO295"/>
  <c r="IO252"/>
  <c r="IR252" s="1"/>
  <c r="IS252" s="1"/>
  <c r="Q291" i="74"/>
  <c r="IP354" i="77"/>
  <c r="R354" i="74" s="1"/>
  <c r="IO233" i="77"/>
  <c r="Q233" i="74" s="1"/>
  <c r="IO462" i="77"/>
  <c r="IO422"/>
  <c r="IR422" s="1"/>
  <c r="IO388"/>
  <c r="IO95"/>
  <c r="Q169" i="74"/>
  <c r="IO28" i="77"/>
  <c r="IO407"/>
  <c r="IO426"/>
  <c r="IO435"/>
  <c r="IO444"/>
  <c r="IR444" s="1"/>
  <c r="IO360"/>
  <c r="Q360" i="74" s="1"/>
  <c r="Q114"/>
  <c r="IO457" i="77"/>
  <c r="IR457" s="1"/>
  <c r="IS457" s="1"/>
  <c r="IO443"/>
  <c r="IR443" s="1"/>
  <c r="IO389"/>
  <c r="IR389" s="1"/>
  <c r="IS389" s="1"/>
  <c r="IO234"/>
  <c r="Q234" i="74" s="1"/>
  <c r="IO239" i="77"/>
  <c r="IO242"/>
  <c r="IO248"/>
  <c r="IO257"/>
  <c r="IO60"/>
  <c r="IO377"/>
  <c r="Q377" i="74" s="1"/>
  <c r="IO380" i="77"/>
  <c r="Q380" i="74" s="1"/>
  <c r="IO84" i="77"/>
  <c r="Q84" i="74" s="1"/>
  <c r="IO96" i="77"/>
  <c r="Q182" i="74"/>
  <c r="IO220" i="77"/>
  <c r="IR220" s="1"/>
  <c r="IO449"/>
  <c r="IR449" s="1"/>
  <c r="IS449" s="1"/>
  <c r="IO353"/>
  <c r="IO228"/>
  <c r="Q228" i="74" s="1"/>
  <c r="IO30" i="77"/>
  <c r="IO48"/>
  <c r="IO59"/>
  <c r="IO63"/>
  <c r="IO97"/>
  <c r="IO296"/>
  <c r="Q163" i="74"/>
  <c r="IO208" i="77"/>
  <c r="Q391" i="74"/>
  <c r="IO89" i="77"/>
  <c r="IO94"/>
  <c r="Q270" i="74"/>
  <c r="IO284" i="77"/>
  <c r="IR284" s="1"/>
  <c r="IS284" s="1"/>
  <c r="IO288"/>
  <c r="Q288" i="74" s="1"/>
  <c r="IO275" i="77"/>
  <c r="Q275" i="74" s="1"/>
  <c r="IO287" i="77"/>
  <c r="IR287" s="1"/>
  <c r="IS287" s="1"/>
  <c r="IO385"/>
  <c r="Q394" i="74" s="1"/>
  <c r="IO394" i="77"/>
  <c r="IO379"/>
  <c r="IO262"/>
  <c r="Q262" i="74" s="1"/>
  <c r="IO395" i="77"/>
  <c r="IR395" s="1"/>
  <c r="IS395" s="1"/>
  <c r="Q187" i="74"/>
  <c r="Q190"/>
  <c r="DA248" i="77"/>
  <c r="DA224"/>
  <c r="H295" i="69"/>
  <c r="CZ206" i="77"/>
  <c r="CZ202"/>
  <c r="H190" i="69"/>
  <c r="H180"/>
  <c r="H114"/>
  <c r="DA96" i="77"/>
  <c r="CZ230"/>
  <c r="DA220"/>
  <c r="CZ200"/>
  <c r="H135" i="69"/>
  <c r="H112"/>
  <c r="CZ98" i="77"/>
  <c r="CZ78"/>
  <c r="CZ70"/>
  <c r="CZ65"/>
  <c r="CZ55"/>
  <c r="DA48"/>
  <c r="DA44"/>
  <c r="DA33"/>
  <c r="DA29"/>
  <c r="CZ462"/>
  <c r="CZ455"/>
  <c r="DA442"/>
  <c r="DA423"/>
  <c r="DA404"/>
  <c r="CZ394"/>
  <c r="H379" i="69"/>
  <c r="H361"/>
  <c r="CZ284" i="77"/>
  <c r="CZ272"/>
  <c r="CZ268"/>
  <c r="H264" i="69"/>
  <c r="DA256" i="77"/>
  <c r="DA242"/>
  <c r="H232" i="69"/>
  <c r="H129"/>
  <c r="H87"/>
  <c r="DA84" i="77"/>
  <c r="R84" i="69" s="1"/>
  <c r="CZ80" i="77"/>
  <c r="CZ67"/>
  <c r="DA60"/>
  <c r="CZ52"/>
  <c r="CZ49"/>
  <c r="CZ45"/>
  <c r="DA34"/>
  <c r="DA30"/>
  <c r="DA457"/>
  <c r="DA443"/>
  <c r="CZ439"/>
  <c r="CZ435"/>
  <c r="DA432"/>
  <c r="DA428"/>
  <c r="CZ407"/>
  <c r="CZ395"/>
  <c r="CZ363"/>
  <c r="H359" i="69"/>
  <c r="CZ285" i="77"/>
  <c r="CZ279"/>
  <c r="H265" i="69"/>
  <c r="CZ252" i="77"/>
  <c r="DA246"/>
  <c r="H234" i="69"/>
  <c r="H109"/>
  <c r="DA95" i="77"/>
  <c r="DA90"/>
  <c r="H85" i="69"/>
  <c r="DA68" i="77"/>
  <c r="CZ58"/>
  <c r="DC58" s="1"/>
  <c r="DD58" s="1"/>
  <c r="DA53"/>
  <c r="CZ46"/>
  <c r="CZ38"/>
  <c r="DA448"/>
  <c r="DA444"/>
  <c r="DA436"/>
  <c r="DA408"/>
  <c r="DA352"/>
  <c r="CZ286"/>
  <c r="H280" i="69"/>
  <c r="CZ276" i="77"/>
  <c r="CZ274"/>
  <c r="CZ259"/>
  <c r="DA253"/>
  <c r="DA247"/>
  <c r="CZ240"/>
  <c r="H235" i="69"/>
  <c r="H270"/>
  <c r="H181"/>
  <c r="DA97" i="77"/>
  <c r="DA82"/>
  <c r="CZ69"/>
  <c r="DA62"/>
  <c r="CZ59"/>
  <c r="CZ54"/>
  <c r="CZ47"/>
  <c r="DA32"/>
  <c r="DA28"/>
  <c r="DA449"/>
  <c r="DA437"/>
  <c r="DA430"/>
  <c r="DA426"/>
  <c r="DA409"/>
  <c r="DA402"/>
  <c r="DA374"/>
  <c r="H370" i="69"/>
  <c r="CZ365" i="77"/>
  <c r="DA357"/>
  <c r="CZ277"/>
  <c r="H263" i="69"/>
  <c r="H140"/>
  <c r="CZ278" i="77"/>
  <c r="CZ22"/>
  <c r="CZ24"/>
  <c r="CZ405"/>
  <c r="Q183" i="69"/>
  <c r="CZ37" i="77"/>
  <c r="CZ244"/>
  <c r="CZ380"/>
  <c r="Q380" i="69" s="1"/>
  <c r="CZ86" i="77"/>
  <c r="Q86" i="69" s="1"/>
  <c r="CZ237" i="77"/>
  <c r="Q167" i="69"/>
  <c r="Q165"/>
  <c r="Q287"/>
  <c r="CZ386" i="77"/>
  <c r="Q395" i="69" s="1"/>
  <c r="CZ207" i="77"/>
  <c r="Q103" i="69"/>
  <c r="CZ289" i="77"/>
  <c r="CZ393"/>
  <c r="Q393" i="69" s="1"/>
  <c r="CZ262" i="77"/>
  <c r="Q262" i="69" s="1"/>
  <c r="CZ223" i="77"/>
  <c r="CZ88"/>
  <c r="Q88" i="69" s="1"/>
  <c r="CZ425" i="77"/>
  <c r="CZ434"/>
  <c r="Q182" i="69"/>
  <c r="CZ26" i="77"/>
  <c r="CZ57"/>
  <c r="CZ377"/>
  <c r="Q377" i="69" s="1"/>
  <c r="CZ40" i="77"/>
  <c r="CZ208"/>
  <c r="CZ243"/>
  <c r="CZ384"/>
  <c r="Q155" i="69"/>
  <c r="CZ376" i="77"/>
  <c r="CZ287"/>
  <c r="CZ254"/>
  <c r="CZ362"/>
  <c r="CZ383"/>
  <c r="CZ378"/>
  <c r="Q378" i="69" s="1"/>
  <c r="CZ388" i="77"/>
  <c r="Q286" i="69"/>
  <c r="CZ92" i="77"/>
  <c r="CZ245"/>
  <c r="CZ360"/>
  <c r="Q360" i="69" s="1"/>
  <c r="CZ389" i="77"/>
  <c r="CZ42"/>
  <c r="CZ372"/>
  <c r="Q163" i="69"/>
  <c r="CZ283" i="77"/>
  <c r="Q176" i="69"/>
  <c r="CZ288" i="77"/>
  <c r="Q288" i="69" s="1"/>
  <c r="CZ354" i="77"/>
  <c r="Q354" i="69" s="1"/>
  <c r="CZ203" i="77"/>
  <c r="Q164" i="69"/>
  <c r="CZ233" i="77"/>
  <c r="Q233" i="69" s="1"/>
  <c r="CZ93" i="77"/>
  <c r="CZ53"/>
  <c r="CZ79"/>
  <c r="CZ293"/>
  <c r="Q293" i="69" s="1"/>
  <c r="CZ89" i="77"/>
  <c r="Q115" i="69"/>
  <c r="Q166"/>
  <c r="CZ292" i="77"/>
  <c r="Q292" i="69" s="1"/>
  <c r="Q381"/>
  <c r="Q102"/>
  <c r="CZ290" i="77"/>
  <c r="CZ364"/>
  <c r="Q383" i="69" s="1"/>
  <c r="Q290"/>
  <c r="CZ229" i="77"/>
  <c r="CZ250"/>
  <c r="HL237"/>
  <c r="HL205"/>
  <c r="HL63"/>
  <c r="HM59"/>
  <c r="Q164" i="73"/>
  <c r="HL70" i="77"/>
  <c r="HL67"/>
  <c r="HL378"/>
  <c r="Q378" i="73" s="1"/>
  <c r="HM372" i="77"/>
  <c r="HL353"/>
  <c r="HM247"/>
  <c r="HM79"/>
  <c r="HL38"/>
  <c r="HM383"/>
  <c r="HL256"/>
  <c r="HL253"/>
  <c r="HL250"/>
  <c r="HM239"/>
  <c r="HM207"/>
  <c r="HM62"/>
  <c r="HL40"/>
  <c r="HL443"/>
  <c r="HM388"/>
  <c r="HM384"/>
  <c r="HM362"/>
  <c r="HL277"/>
  <c r="HM69"/>
  <c r="HL42"/>
  <c r="HM389"/>
  <c r="HM283"/>
  <c r="HL462"/>
  <c r="HL422"/>
  <c r="HL83"/>
  <c r="Q83" i="73" s="1"/>
  <c r="HL95" i="77"/>
  <c r="Q114" i="73"/>
  <c r="HL28" i="77"/>
  <c r="HL407"/>
  <c r="HL426"/>
  <c r="HL435"/>
  <c r="HL444"/>
  <c r="HL352"/>
  <c r="HL357"/>
  <c r="HL234"/>
  <c r="Q234" i="73" s="1"/>
  <c r="HL58" i="77"/>
  <c r="HL457"/>
  <c r="HL90"/>
  <c r="HL242"/>
  <c r="HL248"/>
  <c r="HL257"/>
  <c r="HL60"/>
  <c r="Q104" i="73"/>
  <c r="HL84" i="77"/>
  <c r="Q84" i="73" s="1"/>
  <c r="HL96" i="77"/>
  <c r="Q180" i="73"/>
  <c r="Q182"/>
  <c r="HL37" i="77"/>
  <c r="HL65"/>
  <c r="HL449"/>
  <c r="HO449" s="1"/>
  <c r="HP449" s="1"/>
  <c r="HL30"/>
  <c r="HL48"/>
  <c r="Q165" i="73"/>
  <c r="HL285" i="77"/>
  <c r="HL202"/>
  <c r="HL272"/>
  <c r="HL263"/>
  <c r="Q263" i="73" s="1"/>
  <c r="HL268" i="77"/>
  <c r="HL270"/>
  <c r="HL274"/>
  <c r="HL252"/>
  <c r="HL78"/>
  <c r="Q166" i="73"/>
  <c r="HL290" i="77"/>
  <c r="HL385"/>
  <c r="HL223"/>
  <c r="HL295"/>
  <c r="HL284"/>
  <c r="HL354"/>
  <c r="Q354" i="73" s="1"/>
  <c r="Q140"/>
  <c r="HL275" i="77"/>
  <c r="Q275" i="73" s="1"/>
  <c r="HL402" i="77"/>
  <c r="HL439"/>
  <c r="Q361" i="73"/>
  <c r="HL86" i="77"/>
  <c r="Q86" i="73" s="1"/>
  <c r="HL88" i="77"/>
  <c r="Q88" i="73" s="1"/>
  <c r="Q131"/>
  <c r="HL226" i="77"/>
  <c r="Q226" i="73" s="1"/>
  <c r="HL233" i="77"/>
  <c r="Q233" i="73" s="1"/>
  <c r="HL22" i="77"/>
  <c r="HL442"/>
  <c r="HL92"/>
  <c r="HL245"/>
  <c r="HL436"/>
  <c r="HL360"/>
  <c r="Q360" i="73" s="1"/>
  <c r="HL369" i="77"/>
  <c r="Q369" i="73" s="1"/>
  <c r="HL26" i="77"/>
  <c r="HL32"/>
  <c r="HL34"/>
  <c r="HL57"/>
  <c r="HO57" s="1"/>
  <c r="HP57" s="1"/>
  <c r="HL296"/>
  <c r="Q296" i="73" s="1"/>
  <c r="Q102"/>
  <c r="Q176"/>
  <c r="HL365" i="77"/>
  <c r="HL208"/>
  <c r="Q391" i="73"/>
  <c r="Q155"/>
  <c r="HL89" i="77"/>
  <c r="HL94"/>
  <c r="Q270" i="73"/>
  <c r="Q167"/>
  <c r="Q287"/>
  <c r="HL267" i="77"/>
  <c r="Q267" i="73" s="1"/>
  <c r="HL287" i="77"/>
  <c r="HL393"/>
  <c r="Q393" i="73" s="1"/>
  <c r="Q187"/>
  <c r="HL225" i="77"/>
  <c r="HL394"/>
  <c r="HL395"/>
  <c r="HL254"/>
  <c r="HL289"/>
  <c r="Q289" i="73" s="1"/>
  <c r="HL408" i="77"/>
  <c r="Q170" i="73"/>
  <c r="HL23" i="77"/>
  <c r="HL82"/>
  <c r="HL224"/>
  <c r="HL227"/>
  <c r="HL244"/>
  <c r="HL420"/>
  <c r="HO420" s="1"/>
  <c r="HP420" s="1"/>
  <c r="HL434"/>
  <c r="HL200"/>
  <c r="HL204"/>
  <c r="HO204" s="1"/>
  <c r="HP204" s="1"/>
  <c r="HL220"/>
  <c r="HL29"/>
  <c r="HL33"/>
  <c r="HL36"/>
  <c r="HL423"/>
  <c r="HL437"/>
  <c r="HO437" s="1"/>
  <c r="HP437" s="1"/>
  <c r="HL93"/>
  <c r="HL97"/>
  <c r="HO97" s="1"/>
  <c r="HP97" s="1"/>
  <c r="Q129" i="73"/>
  <c r="HL363" i="77"/>
  <c r="Q169" i="73"/>
  <c r="HL87" i="77"/>
  <c r="Q87" i="73" s="1"/>
  <c r="HL279" i="77"/>
  <c r="Q285" i="73"/>
  <c r="HL222" i="77"/>
  <c r="HL98"/>
  <c r="Q115" i="73"/>
  <c r="HL294" i="77"/>
  <c r="Q294" i="73" s="1"/>
  <c r="Q154"/>
  <c r="HL203" i="77"/>
  <c r="HL269"/>
  <c r="HL273"/>
  <c r="HL209"/>
  <c r="Q295" i="73" s="1"/>
  <c r="HL265" i="77"/>
  <c r="Q265" i="73" s="1"/>
  <c r="HL280" i="77"/>
  <c r="Q280" i="73" s="1"/>
  <c r="HL455" i="77"/>
  <c r="HL409"/>
  <c r="HL355"/>
  <c r="HL228"/>
  <c r="Q228" i="73" s="1"/>
  <c r="HL448" i="77"/>
  <c r="HL430"/>
  <c r="HM443"/>
  <c r="Q137" i="73"/>
  <c r="HL425" i="77"/>
  <c r="HL429"/>
  <c r="HL85"/>
  <c r="Q85" i="73" s="1"/>
  <c r="R183"/>
  <c r="HL359" i="77"/>
  <c r="Q359" i="73" s="1"/>
  <c r="HL374" i="77"/>
  <c r="Q286" i="73"/>
  <c r="HL405" i="77"/>
  <c r="HO405" s="1"/>
  <c r="Q181" i="73"/>
  <c r="HL246" i="77"/>
  <c r="HL243"/>
  <c r="Q290" i="73"/>
  <c r="HL230" i="77"/>
  <c r="HL264"/>
  <c r="Q264" i="73" s="1"/>
  <c r="HL276" i="77"/>
  <c r="HL240"/>
  <c r="Q189" i="73"/>
  <c r="HL206" i="77"/>
  <c r="HL229"/>
  <c r="HL259"/>
  <c r="HO259" s="1"/>
  <c r="HM376"/>
  <c r="HL282"/>
  <c r="Q282" i="73" s="1"/>
  <c r="HL266" i="77"/>
  <c r="HL278"/>
  <c r="HL293"/>
  <c r="Q293" i="73" s="1"/>
  <c r="HL292" i="77"/>
  <c r="Q292" i="73" s="1"/>
  <c r="BW253" i="77"/>
  <c r="BW202"/>
  <c r="G162" i="68"/>
  <c r="Q139"/>
  <c r="G88"/>
  <c r="BX82" i="77"/>
  <c r="BW67"/>
  <c r="BW58"/>
  <c r="BX48"/>
  <c r="BX449"/>
  <c r="BX422"/>
  <c r="BW385"/>
  <c r="Q394" i="68" s="1"/>
  <c r="BW365" i="77"/>
  <c r="BW358"/>
  <c r="G360" i="68"/>
  <c r="BX352" i="77"/>
  <c r="BW283"/>
  <c r="BW280"/>
  <c r="Q280" i="68" s="1"/>
  <c r="G265"/>
  <c r="BW275" i="77"/>
  <c r="Q275" i="68" s="1"/>
  <c r="BW256" i="77"/>
  <c r="BW240"/>
  <c r="G238" i="68"/>
  <c r="G233"/>
  <c r="G169"/>
  <c r="G163"/>
  <c r="G137"/>
  <c r="Q112"/>
  <c r="G114"/>
  <c r="G84"/>
  <c r="BW69" i="77"/>
  <c r="BW63"/>
  <c r="BW59"/>
  <c r="BW33"/>
  <c r="BX462"/>
  <c r="BX457"/>
  <c r="BX438"/>
  <c r="BX434"/>
  <c r="BX430"/>
  <c r="BX409"/>
  <c r="BX405"/>
  <c r="BX400"/>
  <c r="BX367"/>
  <c r="BX353"/>
  <c r="BW295"/>
  <c r="BW285"/>
  <c r="BW279"/>
  <c r="BW276"/>
  <c r="BW274"/>
  <c r="BW266"/>
  <c r="BW282"/>
  <c r="Q282" i="68" s="1"/>
  <c r="BX247" i="77"/>
  <c r="BW236"/>
  <c r="Q236" i="68" s="1"/>
  <c r="BW243" i="77"/>
  <c r="BX224"/>
  <c r="G270" i="68"/>
  <c r="Q190"/>
  <c r="G285"/>
  <c r="G183"/>
  <c r="G176"/>
  <c r="Q135"/>
  <c r="G138"/>
  <c r="G131"/>
  <c r="G129"/>
  <c r="Q109"/>
  <c r="G115"/>
  <c r="G104"/>
  <c r="BW94" i="77"/>
  <c r="BX90"/>
  <c r="BW70"/>
  <c r="BX64"/>
  <c r="BX60"/>
  <c r="BX39"/>
  <c r="BW38"/>
  <c r="BX26"/>
  <c r="BX20"/>
  <c r="BX455"/>
  <c r="BX439"/>
  <c r="BX425"/>
  <c r="BX420"/>
  <c r="BW394"/>
  <c r="BW372"/>
  <c r="BX363"/>
  <c r="G354" i="68"/>
  <c r="BW272" i="77"/>
  <c r="BW268"/>
  <c r="G263" i="68"/>
  <c r="Q140"/>
  <c r="BW230" i="77"/>
  <c r="G227" i="68"/>
  <c r="BX73" i="77"/>
  <c r="BW65"/>
  <c r="BX40"/>
  <c r="BW395"/>
  <c r="BW384"/>
  <c r="G383" i="68"/>
  <c r="BX355" i="77"/>
  <c r="G288" i="68"/>
  <c r="G264"/>
  <c r="G167"/>
  <c r="BW267" i="77"/>
  <c r="Q267" i="68" s="1"/>
  <c r="BW443" i="77"/>
  <c r="BW402"/>
  <c r="BW436"/>
  <c r="BW234"/>
  <c r="Q234" i="68" s="1"/>
  <c r="BW246" i="77"/>
  <c r="BW34"/>
  <c r="BW426"/>
  <c r="BW62"/>
  <c r="BW97"/>
  <c r="BZ97" s="1"/>
  <c r="CA97" s="1"/>
  <c r="BW87"/>
  <c r="Q87" i="68" s="1"/>
  <c r="Q290"/>
  <c r="Q155"/>
  <c r="BW203" i="77"/>
  <c r="Q291" i="68"/>
  <c r="BW376" i="77"/>
  <c r="BZ376" s="1"/>
  <c r="CA376" s="1"/>
  <c r="Q189" i="68"/>
  <c r="BW277" i="77"/>
  <c r="BW369"/>
  <c r="Q369" i="68" s="1"/>
  <c r="BW389" i="77"/>
  <c r="BW28"/>
  <c r="BW377"/>
  <c r="Q377" i="68" s="1"/>
  <c r="BW448" i="77"/>
  <c r="BW380"/>
  <c r="Q380" i="68" s="1"/>
  <c r="BW244" i="77"/>
  <c r="Q180" i="68"/>
  <c r="BW226" i="77"/>
  <c r="Q226" i="68" s="1"/>
  <c r="BW252" i="77"/>
  <c r="BW207"/>
  <c r="BW437"/>
  <c r="BZ437" s="1"/>
  <c r="BW83"/>
  <c r="Q83" i="68" s="1"/>
  <c r="Q181"/>
  <c r="BW228" i="77"/>
  <c r="Q228" i="68" s="1"/>
  <c r="BW359" i="77"/>
  <c r="Q359" i="68" s="1"/>
  <c r="BW388" i="77"/>
  <c r="BW22"/>
  <c r="BW78"/>
  <c r="BW98"/>
  <c r="BW296"/>
  <c r="Q296" i="68" s="1"/>
  <c r="Q187"/>
  <c r="BW362" i="77"/>
  <c r="Q164" i="68"/>
  <c r="BW284" i="77"/>
  <c r="Q141" i="68"/>
  <c r="BW250" i="77"/>
  <c r="BW379"/>
  <c r="Q379" i="68" s="1"/>
  <c r="BW262" i="77"/>
  <c r="Q262" i="68" s="1"/>
  <c r="BW85" i="77"/>
  <c r="Q85" i="68" s="1"/>
  <c r="Q286"/>
  <c r="BW204" i="77"/>
  <c r="BZ204" s="1"/>
  <c r="CA204" s="1"/>
  <c r="BW237"/>
  <c r="BZ237" s="1"/>
  <c r="CA237" s="1"/>
  <c r="BW442"/>
  <c r="BW374"/>
  <c r="BZ374" s="1"/>
  <c r="CA374" s="1"/>
  <c r="Q170" i="68"/>
  <c r="BW357" i="77"/>
  <c r="BW23"/>
  <c r="BW32"/>
  <c r="BW444"/>
  <c r="BW378"/>
  <c r="Q378" i="68" s="1"/>
  <c r="BW36" i="77"/>
  <c r="BW42"/>
  <c r="Q381" i="68"/>
  <c r="BW290" i="77"/>
  <c r="BW382"/>
  <c r="Q382" i="68" s="1"/>
  <c r="BW259" i="77"/>
  <c r="BW386"/>
  <c r="Q395" i="68" s="1"/>
  <c r="BW206" i="77"/>
  <c r="GI244"/>
  <c r="GI203"/>
  <c r="GJ98"/>
  <c r="GI23"/>
  <c r="GJ67"/>
  <c r="GJ426"/>
  <c r="GJ394"/>
  <c r="GJ278"/>
  <c r="GI78"/>
  <c r="GJ58"/>
  <c r="GJ42"/>
  <c r="GJ38"/>
  <c r="GI36"/>
  <c r="GJ427"/>
  <c r="GI290"/>
  <c r="GJ223"/>
  <c r="GJ33"/>
  <c r="GJ22"/>
  <c r="GI409"/>
  <c r="GI448"/>
  <c r="GL448" s="1"/>
  <c r="GM448" s="1"/>
  <c r="GI430"/>
  <c r="GL430" s="1"/>
  <c r="GN430" s="1"/>
  <c r="GI443"/>
  <c r="Q137" i="72"/>
  <c r="GI238" i="77"/>
  <c r="Q238" i="72" s="1"/>
  <c r="GI62" i="77"/>
  <c r="GI425"/>
  <c r="GI429"/>
  <c r="GI359"/>
  <c r="Q359" i="72" s="1"/>
  <c r="GI85" i="77"/>
  <c r="Q85" i="72" s="1"/>
  <c r="GI235" i="77"/>
  <c r="Q235" i="72" s="1"/>
  <c r="GI247" i="77"/>
  <c r="GI355"/>
  <c r="GI374"/>
  <c r="Q114" i="72"/>
  <c r="Q170"/>
  <c r="GI253" i="77"/>
  <c r="GI377"/>
  <c r="Q377" i="72" s="1"/>
  <c r="Q361"/>
  <c r="GI228" i="77"/>
  <c r="GI24"/>
  <c r="GI279"/>
  <c r="Q285" i="72"/>
  <c r="GI222" i="77"/>
  <c r="Q115" i="72"/>
  <c r="GI294" i="77"/>
  <c r="Q294" i="72" s="1"/>
  <c r="GI365" i="77"/>
  <c r="Q154" i="72"/>
  <c r="GI269" i="77"/>
  <c r="GI273"/>
  <c r="GI209"/>
  <c r="Q295" i="72" s="1"/>
  <c r="Q135"/>
  <c r="GI252" i="77"/>
  <c r="GI277"/>
  <c r="GI379"/>
  <c r="Q379" i="72" s="1"/>
  <c r="GI265" i="77"/>
  <c r="Q265" i="72" s="1"/>
  <c r="GI206" i="77"/>
  <c r="GI207"/>
  <c r="GI386"/>
  <c r="Q395" i="72" s="1"/>
  <c r="Q167"/>
  <c r="GI229" i="77"/>
  <c r="GI259"/>
  <c r="GI287"/>
  <c r="GI393"/>
  <c r="Q393" i="72" s="1"/>
  <c r="GI462" i="77"/>
  <c r="GI422"/>
  <c r="GI358"/>
  <c r="Q358" i="72" s="1"/>
  <c r="GI205" i="77"/>
  <c r="GI28"/>
  <c r="GI407"/>
  <c r="GI435"/>
  <c r="GI444"/>
  <c r="GL444" s="1"/>
  <c r="GI378"/>
  <c r="Q378" i="72" s="1"/>
  <c r="GI388" i="77"/>
  <c r="GI220"/>
  <c r="GL220" s="1"/>
  <c r="GI239"/>
  <c r="GI457"/>
  <c r="GL457" s="1"/>
  <c r="GM457" s="1"/>
  <c r="GI242"/>
  <c r="GI248"/>
  <c r="GI257"/>
  <c r="GI60"/>
  <c r="GI360"/>
  <c r="Q360" i="72" s="1"/>
  <c r="GI389" i="77"/>
  <c r="GI84"/>
  <c r="Q84" i="72" s="1"/>
  <c r="GI96" i="77"/>
  <c r="Q112" i="72"/>
  <c r="Q182"/>
  <c r="GI37" i="77"/>
  <c r="GI59"/>
  <c r="GI63"/>
  <c r="GL63" s="1"/>
  <c r="GM63" s="1"/>
  <c r="GI449"/>
  <c r="GL449" s="1"/>
  <c r="GM449" s="1"/>
  <c r="GI30"/>
  <c r="GI48"/>
  <c r="Q103" i="72"/>
  <c r="GI79" i="77"/>
  <c r="GI243"/>
  <c r="GI284"/>
  <c r="Q163" i="72"/>
  <c r="GI283" i="77"/>
  <c r="GI230"/>
  <c r="GI264"/>
  <c r="Q264" i="72" s="1"/>
  <c r="GI276" i="77"/>
  <c r="GI240"/>
  <c r="Q164" i="72"/>
  <c r="GI376" i="77"/>
  <c r="GI254"/>
  <c r="GL254" s="1"/>
  <c r="GI292"/>
  <c r="Q292" i="72" s="1"/>
  <c r="GI288" i="77"/>
  <c r="Q288" i="72" s="1"/>
  <c r="Q140"/>
  <c r="GI275" i="77"/>
  <c r="Q275" i="72" s="1"/>
  <c r="Q109"/>
  <c r="GI357" i="77"/>
  <c r="GI224"/>
  <c r="GI32"/>
  <c r="GI402"/>
  <c r="GI439"/>
  <c r="GI353"/>
  <c r="GI86"/>
  <c r="Q86" i="72" s="1"/>
  <c r="GI88" i="77"/>
  <c r="Q88" i="72" s="1"/>
  <c r="GI233" i="77"/>
  <c r="GI236"/>
  <c r="Q236" i="72" s="1"/>
  <c r="GI40" i="77"/>
  <c r="GI70"/>
  <c r="GI405"/>
  <c r="GL405" s="1"/>
  <c r="GI226"/>
  <c r="Q226" i="72" s="1"/>
  <c r="GI69" i="77"/>
  <c r="GI363"/>
  <c r="GL363" s="1"/>
  <c r="GO363" s="1"/>
  <c r="GI442"/>
  <c r="GL442" s="1"/>
  <c r="GI92"/>
  <c r="GI245"/>
  <c r="GL245" s="1"/>
  <c r="GM245" s="1"/>
  <c r="GI436"/>
  <c r="GI369"/>
  <c r="Q369" i="72" s="1"/>
  <c r="GI83" i="77"/>
  <c r="Q83" i="72" s="1"/>
  <c r="Q138"/>
  <c r="GI234" i="77"/>
  <c r="GI26"/>
  <c r="GI34"/>
  <c r="GI57"/>
  <c r="Q165" i="72"/>
  <c r="GI285" i="77"/>
  <c r="GI202"/>
  <c r="GI272"/>
  <c r="GI263"/>
  <c r="Q263" i="72" s="1"/>
  <c r="GI268" i="77"/>
  <c r="GL268" s="1"/>
  <c r="GM268" s="1"/>
  <c r="GI270"/>
  <c r="GI274"/>
  <c r="Q166" i="72"/>
  <c r="Q190"/>
  <c r="Q381"/>
  <c r="GI364" i="77"/>
  <c r="Q383" i="72" s="1"/>
  <c r="Q291"/>
  <c r="GI295" i="77"/>
  <c r="Q189" i="72"/>
  <c r="Q141"/>
  <c r="GI382" i="77"/>
  <c r="Q382" i="72" s="1"/>
  <c r="GI250" i="77"/>
  <c r="GI354"/>
  <c r="Q354" i="72" s="1"/>
  <c r="Q287"/>
  <c r="GI267" i="77"/>
  <c r="Q267" i="72" s="1"/>
  <c r="GI408" i="77"/>
  <c r="GI352"/>
  <c r="Q181" i="72"/>
  <c r="GI246" i="77"/>
  <c r="GI82"/>
  <c r="GI90"/>
  <c r="GI227"/>
  <c r="GI237"/>
  <c r="GI420"/>
  <c r="GI434"/>
  <c r="GL434" s="1"/>
  <c r="GM434" s="1"/>
  <c r="Q180" i="72"/>
  <c r="GI200" i="77"/>
  <c r="GI204"/>
  <c r="GI232"/>
  <c r="GI29"/>
  <c r="GI97"/>
  <c r="GL97" s="1"/>
  <c r="GM97" s="1"/>
  <c r="GI455"/>
  <c r="GI423"/>
  <c r="GI437"/>
  <c r="GL437" s="1"/>
  <c r="GI93"/>
  <c r="GI256"/>
  <c r="GI380"/>
  <c r="GI95"/>
  <c r="Q169" i="72"/>
  <c r="Q102"/>
  <c r="Q176"/>
  <c r="GI383" i="77"/>
  <c r="Q139" i="72"/>
  <c r="GI372" i="77"/>
  <c r="GI208"/>
  <c r="GL208" s="1"/>
  <c r="GM208" s="1"/>
  <c r="Q391" i="72"/>
  <c r="GI89" i="77"/>
  <c r="GI384"/>
  <c r="GI94"/>
  <c r="Q270" i="72"/>
  <c r="Q187"/>
  <c r="GI282" i="77"/>
  <c r="Q282" i="72" s="1"/>
  <c r="GI293" i="77"/>
  <c r="GI262"/>
  <c r="Q262" i="72" s="1"/>
  <c r="GI266" i="77"/>
  <c r="GI289"/>
  <c r="Q289" i="72" s="1"/>
  <c r="GI395" i="77"/>
  <c r="GI362"/>
  <c r="IT98"/>
  <c r="IT278"/>
  <c r="IT362"/>
  <c r="V285"/>
  <c r="W202"/>
  <c r="IT207"/>
  <c r="X289"/>
  <c r="AA289" s="1"/>
  <c r="V263"/>
  <c r="V263" i="39" s="1"/>
  <c r="V274" i="77"/>
  <c r="W163" i="39"/>
  <c r="V94" i="77"/>
  <c r="V270"/>
  <c r="V273"/>
  <c r="X278"/>
  <c r="AA278" s="1"/>
  <c r="IU406"/>
  <c r="IV406" s="1"/>
  <c r="IY406" s="1"/>
  <c r="V154" i="39"/>
  <c r="V208" i="77"/>
  <c r="W270" i="39"/>
  <c r="W222" i="77"/>
  <c r="V230"/>
  <c r="X293"/>
  <c r="AA293" s="1"/>
  <c r="W264"/>
  <c r="W264" i="39" s="1"/>
  <c r="V269" i="77"/>
  <c r="W272"/>
  <c r="W364"/>
  <c r="W383" i="39" s="1"/>
  <c r="GN373" i="77"/>
  <c r="W384"/>
  <c r="Z156" i="65"/>
  <c r="IS368" i="77"/>
  <c r="X78"/>
  <c r="AA78" s="1"/>
  <c r="V163" i="39"/>
  <c r="V384" i="77"/>
  <c r="V79"/>
  <c r="V283"/>
  <c r="V372"/>
  <c r="W94"/>
  <c r="W230"/>
  <c r="W270"/>
  <c r="W273"/>
  <c r="W285"/>
  <c r="W376"/>
  <c r="W223"/>
  <c r="W354"/>
  <c r="W354" i="39" s="1"/>
  <c r="X275" i="77"/>
  <c r="AA275" s="1"/>
  <c r="Z132" i="39"/>
  <c r="IU278" i="77"/>
  <c r="IU98"/>
  <c r="W208"/>
  <c r="W269"/>
  <c r="V294"/>
  <c r="V294" i="39" s="1"/>
  <c r="V209" i="77"/>
  <c r="V295" i="39" s="1"/>
  <c r="X276" i="77"/>
  <c r="AA276" s="1"/>
  <c r="IU207"/>
  <c r="X254"/>
  <c r="X225"/>
  <c r="AA225" s="1"/>
  <c r="W209"/>
  <c r="W295" i="39" s="1"/>
  <c r="IV286" i="77"/>
  <c r="IY286" s="1"/>
  <c r="X288"/>
  <c r="AA288" s="1"/>
  <c r="X282"/>
  <c r="AA282" s="1"/>
  <c r="W79"/>
  <c r="W283"/>
  <c r="W372"/>
  <c r="V270" i="39"/>
  <c r="V222" i="77"/>
  <c r="V264"/>
  <c r="V264" i="39" s="1"/>
  <c r="W279" i="77"/>
  <c r="X279" s="1"/>
  <c r="AA279" s="1"/>
  <c r="W154" i="39"/>
  <c r="V202" i="77"/>
  <c r="V272"/>
  <c r="W295"/>
  <c r="X295" s="1"/>
  <c r="AA295" s="1"/>
  <c r="V364"/>
  <c r="V383" i="39" s="1"/>
  <c r="GP286" i="77"/>
  <c r="GS286" s="1"/>
  <c r="V376"/>
  <c r="V223"/>
  <c r="V354"/>
  <c r="V354" i="39" s="1"/>
  <c r="X292" i="77"/>
  <c r="AA292" s="1"/>
  <c r="V259"/>
  <c r="W259"/>
  <c r="V393"/>
  <c r="V393" i="39" s="1"/>
  <c r="W393" i="77"/>
  <c r="W393" i="39" s="1"/>
  <c r="X287" i="77"/>
  <c r="AA287" s="1"/>
  <c r="X229"/>
  <c r="AA229" s="1"/>
  <c r="X267"/>
  <c r="AA267" s="1"/>
  <c r="X395"/>
  <c r="AA395" s="1"/>
  <c r="V266"/>
  <c r="W266"/>
  <c r="X386"/>
  <c r="AA386" s="1"/>
  <c r="X362"/>
  <c r="AA362" s="1"/>
  <c r="X262"/>
  <c r="AA262" s="1"/>
  <c r="X250"/>
  <c r="AA250" s="1"/>
  <c r="X207"/>
  <c r="AA207" s="1"/>
  <c r="X382"/>
  <c r="AA382" s="1"/>
  <c r="X379"/>
  <c r="AA379" s="1"/>
  <c r="X277"/>
  <c r="AA277" s="1"/>
  <c r="X394"/>
  <c r="AA394" s="1"/>
  <c r="X385"/>
  <c r="AA385" s="1"/>
  <c r="X280"/>
  <c r="AA280" s="1"/>
  <c r="X284"/>
  <c r="AA284" s="1"/>
  <c r="IT252"/>
  <c r="X252"/>
  <c r="AA252" s="1"/>
  <c r="X206"/>
  <c r="AA206" s="1"/>
  <c r="X189" i="39"/>
  <c r="X240" i="77"/>
  <c r="AA240" s="1"/>
  <c r="HS286"/>
  <c r="HV286" s="1"/>
  <c r="X286"/>
  <c r="AA286" s="1"/>
  <c r="EJ286"/>
  <c r="EM286" s="1"/>
  <c r="X383"/>
  <c r="AA383" s="1"/>
  <c r="X103" i="39"/>
  <c r="X290" i="77"/>
  <c r="AA290" s="1"/>
  <c r="X203"/>
  <c r="AA203" s="1"/>
  <c r="V265"/>
  <c r="V265" i="39" s="1"/>
  <c r="W265" i="77"/>
  <c r="W265" i="39" s="1"/>
  <c r="X365" i="77"/>
  <c r="AA365" s="1"/>
  <c r="W294"/>
  <c r="W294" i="39" s="1"/>
  <c r="W274" i="77"/>
  <c r="X268"/>
  <c r="AA268" s="1"/>
  <c r="W263"/>
  <c r="W263" i="39" s="1"/>
  <c r="X243" i="77"/>
  <c r="AA243" s="1"/>
  <c r="X89"/>
  <c r="AA89" s="1"/>
  <c r="X296"/>
  <c r="AA296" s="1"/>
  <c r="X98"/>
  <c r="AA98" s="1"/>
  <c r="X87"/>
  <c r="AA87" s="1"/>
  <c r="IR97"/>
  <c r="IS97" s="1"/>
  <c r="IR363"/>
  <c r="IS363" s="1"/>
  <c r="HO363"/>
  <c r="HR363" s="1"/>
  <c r="FI377"/>
  <c r="FI97"/>
  <c r="FJ97" s="1"/>
  <c r="V377"/>
  <c r="V377" i="39" s="1"/>
  <c r="W377" i="77"/>
  <c r="W377" i="39" s="1"/>
  <c r="FL404" i="77"/>
  <c r="FM404" s="1"/>
  <c r="FP404" s="1"/>
  <c r="DE249"/>
  <c r="GO400"/>
  <c r="V408"/>
  <c r="V408" i="39" s="1"/>
  <c r="V224" i="77"/>
  <c r="V363"/>
  <c r="V381" i="39"/>
  <c r="W363" i="77"/>
  <c r="W381" i="39"/>
  <c r="CC68" i="77"/>
  <c r="U457"/>
  <c r="U457" i="39" s="1"/>
  <c r="HQ64" i="77"/>
  <c r="W42"/>
  <c r="W42" i="39" s="1"/>
  <c r="W457" i="77"/>
  <c r="W457" i="39" s="1"/>
  <c r="GN400" i="77"/>
  <c r="W425"/>
  <c r="X425" s="1"/>
  <c r="AA425" s="1"/>
  <c r="U405"/>
  <c r="U425" i="39" s="1"/>
  <c r="AY368" i="77"/>
  <c r="U150" i="39"/>
  <c r="AZ53" i="77"/>
  <c r="EI68"/>
  <c r="FL39"/>
  <c r="U60"/>
  <c r="U60" i="39" s="1"/>
  <c r="HR64" i="77"/>
  <c r="IS370"/>
  <c r="U370" i="74" s="1"/>
  <c r="W224" i="77"/>
  <c r="HQ370"/>
  <c r="V370" i="73" s="1"/>
  <c r="V427" i="77"/>
  <c r="V427" i="39" s="1"/>
  <c r="HR370" i="77"/>
  <c r="W370" i="73" s="1"/>
  <c r="DF249" i="77"/>
  <c r="CB68"/>
  <c r="AX44"/>
  <c r="U47"/>
  <c r="U47" i="39" s="1"/>
  <c r="IT368" i="77"/>
  <c r="U357"/>
  <c r="U357" i="39" s="1"/>
  <c r="GO370" i="77"/>
  <c r="W370" i="72" s="1"/>
  <c r="GO373" i="77"/>
  <c r="W437"/>
  <c r="X437" s="1"/>
  <c r="AA437" s="1"/>
  <c r="HR406"/>
  <c r="V439"/>
  <c r="V439" i="39" s="1"/>
  <c r="FK368" i="77"/>
  <c r="FM368" s="1"/>
  <c r="FP368" s="1"/>
  <c r="V228"/>
  <c r="FL55"/>
  <c r="EI50"/>
  <c r="GN68"/>
  <c r="HP427"/>
  <c r="W47"/>
  <c r="W47" i="39" s="1"/>
  <c r="U233" i="77"/>
  <c r="FL427"/>
  <c r="FK438"/>
  <c r="FL438"/>
  <c r="AZ400"/>
  <c r="EH432"/>
  <c r="W368"/>
  <c r="W368" i="39" s="1"/>
  <c r="AZ432" i="77"/>
  <c r="BA432" s="1"/>
  <c r="BD432" s="1"/>
  <c r="U444"/>
  <c r="U444" i="39" s="1"/>
  <c r="EI432" i="77"/>
  <c r="EI373"/>
  <c r="U378"/>
  <c r="U123" i="39"/>
  <c r="U84" i="77"/>
  <c r="FK55"/>
  <c r="HR68"/>
  <c r="GN368"/>
  <c r="EH373"/>
  <c r="W388"/>
  <c r="U234"/>
  <c r="V455"/>
  <c r="V455" i="39" s="1"/>
  <c r="IU370" i="77"/>
  <c r="W370" i="74" s="1"/>
  <c r="HQ368" i="77"/>
  <c r="U78" i="39"/>
  <c r="GN404" i="77"/>
  <c r="CB406"/>
  <c r="GO404"/>
  <c r="W417" i="39"/>
  <c r="V426" i="77"/>
  <c r="V426" i="39" s="1"/>
  <c r="U423" i="77"/>
  <c r="U423" i="39" s="1"/>
  <c r="V432"/>
  <c r="HR368" i="77"/>
  <c r="U236"/>
  <c r="CB249"/>
  <c r="U30"/>
  <c r="U30" i="39" s="1"/>
  <c r="EH54" i="77"/>
  <c r="IU27"/>
  <c r="V432"/>
  <c r="HR367"/>
  <c r="U17" i="39"/>
  <c r="U416"/>
  <c r="CC249" i="77"/>
  <c r="EH72"/>
  <c r="V380"/>
  <c r="V380" i="39" s="1"/>
  <c r="HR47" i="77"/>
  <c r="U57"/>
  <c r="U57" i="39" s="1"/>
  <c r="GN73" i="77"/>
  <c r="CC66"/>
  <c r="U16" i="39"/>
  <c r="GO406" i="77"/>
  <c r="CB404"/>
  <c r="U461" i="39"/>
  <c r="CC404" i="77"/>
  <c r="FK428"/>
  <c r="V220"/>
  <c r="V151" i="39"/>
  <c r="U126"/>
  <c r="EI72" i="77"/>
  <c r="AY53"/>
  <c r="HP47"/>
  <c r="CA66"/>
  <c r="IU80"/>
  <c r="CB255"/>
  <c r="DE64"/>
  <c r="IT44"/>
  <c r="AZ80"/>
  <c r="W129" i="39"/>
  <c r="U238" i="77"/>
  <c r="IU50"/>
  <c r="AY80"/>
  <c r="AY46"/>
  <c r="IT50"/>
  <c r="IU44"/>
  <c r="V129" i="39"/>
  <c r="EI54" i="77"/>
  <c r="FL249"/>
  <c r="GO47"/>
  <c r="GP47" s="1"/>
  <c r="GS47" s="1"/>
  <c r="AY404"/>
  <c r="V373"/>
  <c r="V373" i="39" s="1"/>
  <c r="FK249" i="77"/>
  <c r="FM249" s="1"/>
  <c r="FP249" s="1"/>
  <c r="W237"/>
  <c r="AY72"/>
  <c r="IT73"/>
  <c r="EG20"/>
  <c r="U226"/>
  <c r="GN52"/>
  <c r="U59"/>
  <c r="U59" i="39" s="1"/>
  <c r="EH50" i="77"/>
  <c r="V28"/>
  <c r="V28" i="39" s="1"/>
  <c r="HQ73" i="77"/>
  <c r="U380"/>
  <c r="U380" i="39" s="1"/>
  <c r="W48" i="77"/>
  <c r="W48" i="39" s="1"/>
  <c r="U20" i="77"/>
  <c r="U20" i="39" s="1"/>
  <c r="U15"/>
  <c r="U64" i="77"/>
  <c r="U64" i="39" s="1"/>
  <c r="GO39" i="77"/>
  <c r="AZ49"/>
  <c r="GO68"/>
  <c r="U26"/>
  <c r="U26" i="39" s="1"/>
  <c r="IU66" i="77"/>
  <c r="HR73"/>
  <c r="W65"/>
  <c r="W65" i="39" s="1"/>
  <c r="IT27" i="77"/>
  <c r="IU73"/>
  <c r="DE73"/>
  <c r="V55"/>
  <c r="V55" i="39" s="1"/>
  <c r="V421"/>
  <c r="AY39" i="77"/>
  <c r="HP55"/>
  <c r="HS55" s="1"/>
  <c r="HV55" s="1"/>
  <c r="GN39"/>
  <c r="AY49"/>
  <c r="U61" i="39"/>
  <c r="GN64" i="77"/>
  <c r="U432"/>
  <c r="V457"/>
  <c r="V457" i="39" s="1"/>
  <c r="EH427" i="77"/>
  <c r="HQ406"/>
  <c r="U429"/>
  <c r="U429" i="39" s="1"/>
  <c r="U358" i="77"/>
  <c r="U358" i="39" s="1"/>
  <c r="U374" i="77"/>
  <c r="U374" i="39" s="1"/>
  <c r="U205" i="77"/>
  <c r="U205" i="39" s="1"/>
  <c r="U235" i="77"/>
  <c r="W150" i="39"/>
  <c r="W220" i="77"/>
  <c r="V58"/>
  <c r="V58" i="39" s="1"/>
  <c r="U40" i="77"/>
  <c r="U40" i="39" s="1"/>
  <c r="AZ39" i="77"/>
  <c r="U51" i="39"/>
  <c r="GO52" i="77"/>
  <c r="W58"/>
  <c r="W58" i="39" s="1"/>
  <c r="GO64" i="77"/>
  <c r="DF64"/>
  <c r="FK39"/>
  <c r="DF73"/>
  <c r="FJ45"/>
  <c r="GO73"/>
  <c r="U55"/>
  <c r="U55" i="39" s="1"/>
  <c r="HR80" i="77"/>
  <c r="FK80"/>
  <c r="FM49"/>
  <c r="FP49" s="1"/>
  <c r="W227"/>
  <c r="AY44"/>
  <c r="V47"/>
  <c r="V47" i="39" s="1"/>
  <c r="IT438" i="77"/>
  <c r="W146" i="39"/>
  <c r="U388" i="77"/>
  <c r="W422"/>
  <c r="W422" i="39" s="1"/>
  <c r="U404" i="77"/>
  <c r="U404" i="39" s="1"/>
  <c r="CC406" i="77"/>
  <c r="U415" i="39"/>
  <c r="DE406" i="77"/>
  <c r="AZ427"/>
  <c r="IU427"/>
  <c r="U435"/>
  <c r="U435" i="39" s="1"/>
  <c r="HQ367" i="77"/>
  <c r="GN370"/>
  <c r="V370" i="72" s="1"/>
  <c r="U253" i="77"/>
  <c r="U254" i="39" s="1"/>
  <c r="IT49" i="77"/>
  <c r="V48"/>
  <c r="V48" i="39" s="1"/>
  <c r="GO55" i="77"/>
  <c r="FK44"/>
  <c r="V245"/>
  <c r="W245"/>
  <c r="HP249"/>
  <c r="EH80"/>
  <c r="V97"/>
  <c r="FK427"/>
  <c r="FL428"/>
  <c r="EI427"/>
  <c r="W406"/>
  <c r="W406" i="39" s="1"/>
  <c r="HR404" i="77"/>
  <c r="GO368"/>
  <c r="IV249"/>
  <c r="IY249" s="1"/>
  <c r="V237"/>
  <c r="V29"/>
  <c r="V29" i="39" s="1"/>
  <c r="U34" i="77"/>
  <c r="U34" i="39" s="1"/>
  <c r="AZ64" i="77"/>
  <c r="HQ427"/>
  <c r="GN428"/>
  <c r="EI80"/>
  <c r="IT80"/>
  <c r="W97"/>
  <c r="AZ404"/>
  <c r="V104" i="39"/>
  <c r="W104"/>
  <c r="GN80" i="77"/>
  <c r="GN66"/>
  <c r="FL80"/>
  <c r="HQ80"/>
  <c r="GO80"/>
  <c r="HR400"/>
  <c r="V461" i="39"/>
  <c r="IU404" i="77"/>
  <c r="EH428"/>
  <c r="U420"/>
  <c r="U420" i="39" s="1"/>
  <c r="HQ432" i="77"/>
  <c r="FK373"/>
  <c r="U367"/>
  <c r="U367" i="39" s="1"/>
  <c r="CC368" i="77"/>
  <c r="U200"/>
  <c r="U208" i="39" s="1"/>
  <c r="FL44" i="77"/>
  <c r="U21" i="39"/>
  <c r="IU64" i="77"/>
  <c r="IU20"/>
  <c r="FL53"/>
  <c r="DE255"/>
  <c r="W427"/>
  <c r="W427" i="39" s="1"/>
  <c r="HQ249" i="77"/>
  <c r="FK53"/>
  <c r="HR373"/>
  <c r="GN406"/>
  <c r="W421" i="39"/>
  <c r="AY400" i="77"/>
  <c r="FL373"/>
  <c r="W389"/>
  <c r="V149" i="39"/>
  <c r="U214"/>
  <c r="IT255" i="77"/>
  <c r="U239"/>
  <c r="U245" i="39" s="1"/>
  <c r="IT20" i="77"/>
  <c r="HQ45"/>
  <c r="V41" i="39"/>
  <c r="DF255" i="77"/>
  <c r="U400"/>
  <c r="W255"/>
  <c r="W255" i="39" s="1"/>
  <c r="GO66" i="77"/>
  <c r="U255"/>
  <c r="W400"/>
  <c r="W400" i="39" s="1"/>
  <c r="V406" i="77"/>
  <c r="IT404"/>
  <c r="EI428"/>
  <c r="HR432"/>
  <c r="U355"/>
  <c r="U355" i="39" s="1"/>
  <c r="IU255" i="77"/>
  <c r="W28"/>
  <c r="W28" i="39" s="1"/>
  <c r="U73" i="77"/>
  <c r="U73" i="39" s="1"/>
  <c r="U28" i="77"/>
  <c r="U28" i="39" s="1"/>
  <c r="U62" i="77"/>
  <c r="U62" i="39" s="1"/>
  <c r="HR45" i="77"/>
  <c r="IT64"/>
  <c r="W41" i="39"/>
  <c r="U13"/>
  <c r="V255" i="77"/>
  <c r="V255" i="39" s="1"/>
  <c r="HP373" i="77"/>
  <c r="V80"/>
  <c r="W80"/>
  <c r="U71" i="39"/>
  <c r="AZ72" i="77"/>
  <c r="U41" i="39"/>
  <c r="GO255" i="77"/>
  <c r="U421" i="39"/>
  <c r="FL45" i="77"/>
  <c r="EH20"/>
  <c r="W461" i="39"/>
  <c r="V360" i="77"/>
  <c r="CB368"/>
  <c r="CB373"/>
  <c r="V150" i="39"/>
  <c r="CC255" i="77"/>
  <c r="V146" i="39"/>
  <c r="U242" i="77"/>
  <c r="GO50"/>
  <c r="U46"/>
  <c r="U46" i="39" s="1"/>
  <c r="GO49" i="77"/>
  <c r="DF406"/>
  <c r="U434"/>
  <c r="U434" i="39" s="1"/>
  <c r="HQ404" i="77"/>
  <c r="HR428"/>
  <c r="CC373"/>
  <c r="W123" i="39"/>
  <c r="V123"/>
  <c r="U125"/>
  <c r="U206"/>
  <c r="AZ46" i="77"/>
  <c r="V57"/>
  <c r="EH73"/>
  <c r="W244"/>
  <c r="GN49"/>
  <c r="HQ428"/>
  <c r="V365" i="39"/>
  <c r="U213"/>
  <c r="GN50" i="77"/>
  <c r="U63"/>
  <c r="U63" i="39" s="1"/>
  <c r="HR49" i="77"/>
  <c r="IT66"/>
  <c r="EI73"/>
  <c r="EJ39"/>
  <c r="EM39" s="1"/>
  <c r="DF72"/>
  <c r="FK400"/>
  <c r="EH438"/>
  <c r="U441" i="39"/>
  <c r="HP400" i="77"/>
  <c r="IU438"/>
  <c r="U402"/>
  <c r="U402" i="39" s="1"/>
  <c r="IT427" i="77"/>
  <c r="AZ368"/>
  <c r="U360"/>
  <c r="GN367"/>
  <c r="W360"/>
  <c r="CB370"/>
  <c r="V370" i="68" s="1"/>
  <c r="U82" i="77"/>
  <c r="U80" i="39" s="1"/>
  <c r="U193"/>
  <c r="U249" i="77"/>
  <c r="U252" i="39" s="1"/>
  <c r="HR20" i="77"/>
  <c r="U33"/>
  <c r="U33" i="39" s="1"/>
  <c r="FL46" i="77"/>
  <c r="EH45"/>
  <c r="EH44"/>
  <c r="GO428"/>
  <c r="AY427"/>
  <c r="GM367"/>
  <c r="V153" i="39"/>
  <c r="V14"/>
  <c r="U29" i="77"/>
  <c r="U29" i="39" s="1"/>
  <c r="HQ20" i="77"/>
  <c r="IU49"/>
  <c r="V68"/>
  <c r="GN54"/>
  <c r="EI44"/>
  <c r="FK27"/>
  <c r="W68"/>
  <c r="W68" i="39" s="1"/>
  <c r="U70" i="77"/>
  <c r="U70" i="39" s="1"/>
  <c r="FJ27" i="77"/>
  <c r="HQ255"/>
  <c r="DE72"/>
  <c r="FL400"/>
  <c r="EI438"/>
  <c r="U353"/>
  <c r="U353" i="39" s="1"/>
  <c r="V389" i="77"/>
  <c r="CC370"/>
  <c r="W370" i="68" s="1"/>
  <c r="U204" i="77"/>
  <c r="U209" i="39" s="1"/>
  <c r="W256" i="77"/>
  <c r="W256" i="39" s="1"/>
  <c r="U232" i="77"/>
  <c r="HR255"/>
  <c r="FL255"/>
  <c r="IU45"/>
  <c r="U23"/>
  <c r="U23" i="39" s="1"/>
  <c r="IT45" i="77"/>
  <c r="V244"/>
  <c r="IT39"/>
  <c r="FK370"/>
  <c r="V370" i="71" s="1"/>
  <c r="AY68" i="77"/>
  <c r="U53"/>
  <c r="U53" i="39" s="1"/>
  <c r="IS53" i="77"/>
  <c r="U39"/>
  <c r="U39" i="39" s="1"/>
  <c r="EI45" i="77"/>
  <c r="HQ39"/>
  <c r="U88"/>
  <c r="U246"/>
  <c r="U249" i="39" s="1"/>
  <c r="FK255" i="77"/>
  <c r="FK46"/>
  <c r="U27"/>
  <c r="U27" i="39" s="1"/>
  <c r="HR53" i="77"/>
  <c r="CB27"/>
  <c r="GO44"/>
  <c r="AZ66"/>
  <c r="V45"/>
  <c r="AY47"/>
  <c r="DE50"/>
  <c r="U38"/>
  <c r="U38" i="39" s="1"/>
  <c r="IV54" i="77"/>
  <c r="IY54" s="1"/>
  <c r="IU39"/>
  <c r="EH53"/>
  <c r="U95"/>
  <c r="GO20"/>
  <c r="IT55"/>
  <c r="AY55"/>
  <c r="HQ53"/>
  <c r="GO46"/>
  <c r="GN44"/>
  <c r="IU47"/>
  <c r="HR72"/>
  <c r="DF50"/>
  <c r="IT47"/>
  <c r="IU68"/>
  <c r="FK406"/>
  <c r="U352"/>
  <c r="U352" i="39" s="1"/>
  <c r="AY370" i="77"/>
  <c r="V370" i="65" s="1"/>
  <c r="U98" i="39"/>
  <c r="CC27" i="77"/>
  <c r="U44"/>
  <c r="U44" i="39" s="1"/>
  <c r="EI53" i="77"/>
  <c r="AZ73"/>
  <c r="GO54"/>
  <c r="IT53"/>
  <c r="GN55"/>
  <c r="HR39"/>
  <c r="EH52"/>
  <c r="HQ72"/>
  <c r="U207" i="39"/>
  <c r="U36" i="77"/>
  <c r="U36" i="39" s="1"/>
  <c r="HQ49" i="77"/>
  <c r="EI52"/>
  <c r="HR50"/>
  <c r="U19" i="39"/>
  <c r="IT68" i="77"/>
  <c r="GO72"/>
  <c r="T427" i="39"/>
  <c r="U427" i="77"/>
  <c r="W14" i="39"/>
  <c r="U14"/>
  <c r="U24" i="77"/>
  <c r="U24" i="39" s="1"/>
  <c r="IU55" i="77"/>
  <c r="T411" i="39"/>
  <c r="V411"/>
  <c r="AY50" i="77"/>
  <c r="AZ52"/>
  <c r="EH47"/>
  <c r="HQ68"/>
  <c r="GN46"/>
  <c r="W365" i="39"/>
  <c r="U79"/>
  <c r="AZ50" i="77"/>
  <c r="GN53"/>
  <c r="AY66"/>
  <c r="AY73"/>
  <c r="EI47"/>
  <c r="EI64"/>
  <c r="FK54"/>
  <c r="AZ47"/>
  <c r="CB72"/>
  <c r="M100" i="65"/>
  <c r="I100"/>
  <c r="E100"/>
  <c r="R100"/>
  <c r="N100"/>
  <c r="J100"/>
  <c r="F100"/>
  <c r="S100"/>
  <c r="O100"/>
  <c r="K100"/>
  <c r="G100"/>
  <c r="AB100"/>
  <c r="P100"/>
  <c r="L100"/>
  <c r="H100"/>
  <c r="D100"/>
  <c r="M143"/>
  <c r="I143"/>
  <c r="E143"/>
  <c r="J143"/>
  <c r="K143"/>
  <c r="G143"/>
  <c r="AB143"/>
  <c r="L143"/>
  <c r="H143"/>
  <c r="D143"/>
  <c r="M151"/>
  <c r="I151"/>
  <c r="E151"/>
  <c r="R151"/>
  <c r="N151"/>
  <c r="J151"/>
  <c r="F151"/>
  <c r="S151"/>
  <c r="O151"/>
  <c r="K151"/>
  <c r="G151"/>
  <c r="AB151"/>
  <c r="P151"/>
  <c r="L151"/>
  <c r="H151"/>
  <c r="D151"/>
  <c r="M201"/>
  <c r="I201"/>
  <c r="E201"/>
  <c r="J201"/>
  <c r="K201"/>
  <c r="G201"/>
  <c r="AB201"/>
  <c r="L201"/>
  <c r="H201"/>
  <c r="D201"/>
  <c r="M239"/>
  <c r="I239"/>
  <c r="E239"/>
  <c r="R239"/>
  <c r="N239"/>
  <c r="J239"/>
  <c r="F239"/>
  <c r="S239"/>
  <c r="O239"/>
  <c r="K239"/>
  <c r="G239"/>
  <c r="AB239"/>
  <c r="P239"/>
  <c r="L239"/>
  <c r="H239"/>
  <c r="D239"/>
  <c r="U438" i="39"/>
  <c r="U414"/>
  <c r="W434" i="77"/>
  <c r="W434" i="39" s="1"/>
  <c r="P434"/>
  <c r="W415"/>
  <c r="P415"/>
  <c r="V423" i="77"/>
  <c r="V423" i="39" s="1"/>
  <c r="O423"/>
  <c r="K119" i="65"/>
  <c r="G119"/>
  <c r="AB119"/>
  <c r="L119"/>
  <c r="H119"/>
  <c r="D119"/>
  <c r="M119"/>
  <c r="I119"/>
  <c r="E119"/>
  <c r="J119"/>
  <c r="K123"/>
  <c r="G123"/>
  <c r="AB123"/>
  <c r="L123"/>
  <c r="H123"/>
  <c r="D123"/>
  <c r="M123"/>
  <c r="I123"/>
  <c r="E123"/>
  <c r="J123"/>
  <c r="F123"/>
  <c r="S128"/>
  <c r="O128"/>
  <c r="K128"/>
  <c r="G128"/>
  <c r="AB128"/>
  <c r="P128"/>
  <c r="L128"/>
  <c r="H128"/>
  <c r="D128"/>
  <c r="M128"/>
  <c r="I128"/>
  <c r="E128"/>
  <c r="R128"/>
  <c r="N128"/>
  <c r="J128"/>
  <c r="F128"/>
  <c r="S145"/>
  <c r="O145"/>
  <c r="K145"/>
  <c r="G145"/>
  <c r="AB145"/>
  <c r="P145"/>
  <c r="L145"/>
  <c r="H145"/>
  <c r="D145"/>
  <c r="M145"/>
  <c r="I145"/>
  <c r="E145"/>
  <c r="R145"/>
  <c r="N145"/>
  <c r="J145"/>
  <c r="F145"/>
  <c r="K149"/>
  <c r="G149"/>
  <c r="AB149"/>
  <c r="L149"/>
  <c r="H149"/>
  <c r="D149"/>
  <c r="M149"/>
  <c r="I149"/>
  <c r="E149"/>
  <c r="J149"/>
  <c r="F149"/>
  <c r="K191"/>
  <c r="G191"/>
  <c r="AB191"/>
  <c r="L191"/>
  <c r="H191"/>
  <c r="D191"/>
  <c r="M191"/>
  <c r="I191"/>
  <c r="E191"/>
  <c r="J191"/>
  <c r="F191"/>
  <c r="K195"/>
  <c r="G195"/>
  <c r="AB195"/>
  <c r="L195"/>
  <c r="H195"/>
  <c r="D195"/>
  <c r="M195"/>
  <c r="I195"/>
  <c r="E195"/>
  <c r="J195"/>
  <c r="F195"/>
  <c r="K199"/>
  <c r="G199"/>
  <c r="AB199"/>
  <c r="L199"/>
  <c r="H199"/>
  <c r="D199"/>
  <c r="M199"/>
  <c r="I199"/>
  <c r="E199"/>
  <c r="J199"/>
  <c r="K203"/>
  <c r="G203"/>
  <c r="AB203"/>
  <c r="L203"/>
  <c r="H203"/>
  <c r="D203"/>
  <c r="M203"/>
  <c r="I203"/>
  <c r="E203"/>
  <c r="J203"/>
  <c r="K207"/>
  <c r="G207"/>
  <c r="AB207"/>
  <c r="L207"/>
  <c r="H207"/>
  <c r="D207"/>
  <c r="M207"/>
  <c r="I207"/>
  <c r="E207"/>
  <c r="J207"/>
  <c r="F207"/>
  <c r="K211"/>
  <c r="G211"/>
  <c r="AB211"/>
  <c r="L211"/>
  <c r="H211"/>
  <c r="D211"/>
  <c r="M211"/>
  <c r="I211"/>
  <c r="E211"/>
  <c r="J211"/>
  <c r="S216"/>
  <c r="O216"/>
  <c r="K216"/>
  <c r="G216"/>
  <c r="AB216"/>
  <c r="P216"/>
  <c r="L216"/>
  <c r="H216"/>
  <c r="D216"/>
  <c r="M216"/>
  <c r="I216"/>
  <c r="E216"/>
  <c r="R216"/>
  <c r="N216"/>
  <c r="J216"/>
  <c r="F216"/>
  <c r="K220"/>
  <c r="G220"/>
  <c r="AB220"/>
  <c r="L220"/>
  <c r="H220"/>
  <c r="D220"/>
  <c r="M220"/>
  <c r="I220"/>
  <c r="E220"/>
  <c r="J220"/>
  <c r="K241"/>
  <c r="G241"/>
  <c r="AB241"/>
  <c r="L241"/>
  <c r="H241"/>
  <c r="D241"/>
  <c r="M241"/>
  <c r="I241"/>
  <c r="E241"/>
  <c r="J241"/>
  <c r="F241"/>
  <c r="S245"/>
  <c r="O245"/>
  <c r="K245"/>
  <c r="G245"/>
  <c r="AB245"/>
  <c r="P245"/>
  <c r="L245"/>
  <c r="H245"/>
  <c r="D245"/>
  <c r="M245"/>
  <c r="I245"/>
  <c r="E245"/>
  <c r="R245"/>
  <c r="N245"/>
  <c r="J245"/>
  <c r="F245"/>
  <c r="K249"/>
  <c r="G249"/>
  <c r="AB249"/>
  <c r="L249"/>
  <c r="H249"/>
  <c r="D249"/>
  <c r="M249"/>
  <c r="I249"/>
  <c r="E249"/>
  <c r="J249"/>
  <c r="S253"/>
  <c r="O253"/>
  <c r="K253"/>
  <c r="G253"/>
  <c r="AB253"/>
  <c r="P253"/>
  <c r="L253"/>
  <c r="H253"/>
  <c r="D253"/>
  <c r="M253"/>
  <c r="I253"/>
  <c r="E253"/>
  <c r="R253"/>
  <c r="N253"/>
  <c r="J253"/>
  <c r="F253"/>
  <c r="S257"/>
  <c r="O257"/>
  <c r="K257"/>
  <c r="G257"/>
  <c r="AB257"/>
  <c r="P257"/>
  <c r="L257"/>
  <c r="H257"/>
  <c r="D257"/>
  <c r="M257"/>
  <c r="I257"/>
  <c r="E257"/>
  <c r="R257"/>
  <c r="N257"/>
  <c r="J257"/>
  <c r="F257"/>
  <c r="U462" i="77"/>
  <c r="U462" i="39" s="1"/>
  <c r="T462"/>
  <c r="W404" i="77"/>
  <c r="W404" i="39" s="1"/>
  <c r="P404"/>
  <c r="V409" i="77"/>
  <c r="V409" i="39" s="1"/>
  <c r="O409"/>
  <c r="O438"/>
  <c r="O414"/>
  <c r="U428" i="77"/>
  <c r="U428" i="39" s="1"/>
  <c r="T428"/>
  <c r="V434" i="77"/>
  <c r="V434" i="39" s="1"/>
  <c r="O434"/>
  <c r="V443" i="77"/>
  <c r="V443" i="39" s="1"/>
  <c r="O443"/>
  <c r="W402" i="77"/>
  <c r="W402" i="39" s="1"/>
  <c r="P402"/>
  <c r="W429" i="77"/>
  <c r="W429" i="39" s="1"/>
  <c r="P429"/>
  <c r="W420" i="77"/>
  <c r="W420" i="39" s="1"/>
  <c r="P420"/>
  <c r="U365"/>
  <c r="W359" i="77"/>
  <c r="P362" i="39"/>
  <c r="V370" i="77"/>
  <c r="O372" i="39"/>
  <c r="V353" i="77"/>
  <c r="V353" i="39" s="1"/>
  <c r="O353"/>
  <c r="W355" i="77"/>
  <c r="W355" i="39" s="1"/>
  <c r="P355"/>
  <c r="V367" i="77"/>
  <c r="V367" i="39" s="1"/>
  <c r="O367"/>
  <c r="O386"/>
  <c r="O389"/>
  <c r="W374" i="77"/>
  <c r="W374" i="39" s="1"/>
  <c r="P374"/>
  <c r="V248" i="77"/>
  <c r="V251" i="39" s="1"/>
  <c r="T251"/>
  <c r="W95" i="77"/>
  <c r="P96" i="39"/>
  <c r="O198"/>
  <c r="U243"/>
  <c r="V214"/>
  <c r="O214"/>
  <c r="V207"/>
  <c r="O207"/>
  <c r="V226" i="77"/>
  <c r="O218" i="39"/>
  <c r="W236" i="77"/>
  <c r="P242" i="39"/>
  <c r="U90" i="77"/>
  <c r="T92" i="39"/>
  <c r="U92" i="77"/>
  <c r="U94" i="39" s="1"/>
  <c r="T94"/>
  <c r="T196"/>
  <c r="U247" i="77"/>
  <c r="U250" i="39" s="1"/>
  <c r="T250"/>
  <c r="O79"/>
  <c r="P194"/>
  <c r="P118"/>
  <c r="W82" i="77"/>
  <c r="P80" i="39"/>
  <c r="V232" i="77"/>
  <c r="O221" i="39"/>
  <c r="U122"/>
  <c r="O199"/>
  <c r="V211"/>
  <c r="O211"/>
  <c r="W253" i="77"/>
  <c r="W254" i="39" s="1"/>
  <c r="P254"/>
  <c r="W249" i="77"/>
  <c r="W252" i="39" s="1"/>
  <c r="P252"/>
  <c r="W119"/>
  <c r="W143"/>
  <c r="W78"/>
  <c r="P78"/>
  <c r="W206"/>
  <c r="P206"/>
  <c r="O201"/>
  <c r="V200" i="77"/>
  <c r="O208" i="39"/>
  <c r="V233" i="77"/>
  <c r="O239" i="39"/>
  <c r="W238" i="77"/>
  <c r="P244" i="39"/>
  <c r="V239" i="77"/>
  <c r="V245" i="39" s="1"/>
  <c r="O245"/>
  <c r="U12"/>
  <c r="T12"/>
  <c r="U69" i="77"/>
  <c r="U69" i="39" s="1"/>
  <c r="T69"/>
  <c r="W33" i="77"/>
  <c r="W33" i="39" s="1"/>
  <c r="P33"/>
  <c r="V15"/>
  <c r="O15"/>
  <c r="V22" i="77"/>
  <c r="V22" i="39" s="1"/>
  <c r="O22"/>
  <c r="W24" i="77"/>
  <c r="W24" i="39" s="1"/>
  <c r="P24"/>
  <c r="V51"/>
  <c r="O51"/>
  <c r="W59" i="77"/>
  <c r="W59" i="39" s="1"/>
  <c r="P59"/>
  <c r="W63" i="77"/>
  <c r="W63" i="39" s="1"/>
  <c r="P63"/>
  <c r="W64" i="77"/>
  <c r="W64" i="39" s="1"/>
  <c r="P64"/>
  <c r="U18"/>
  <c r="T18"/>
  <c r="W39" i="77"/>
  <c r="W39" i="39" s="1"/>
  <c r="P39"/>
  <c r="V52" i="77"/>
  <c r="V52" i="39" s="1"/>
  <c r="O52"/>
  <c r="W62" i="77"/>
  <c r="W62" i="39" s="1"/>
  <c r="P62"/>
  <c r="W21"/>
  <c r="P21"/>
  <c r="W36" i="77"/>
  <c r="W36" i="39" s="1"/>
  <c r="P36"/>
  <c r="W49" i="77"/>
  <c r="W49" i="39" s="1"/>
  <c r="P49"/>
  <c r="W61"/>
  <c r="P61"/>
  <c r="V17"/>
  <c r="O17"/>
  <c r="W50" i="77"/>
  <c r="W50" i="39" s="1"/>
  <c r="P50"/>
  <c r="W53" i="77"/>
  <c r="W53" i="39" s="1"/>
  <c r="P53"/>
  <c r="W60" i="77"/>
  <c r="W60" i="39" s="1"/>
  <c r="P60"/>
  <c r="V70" i="77"/>
  <c r="V70" i="39" s="1"/>
  <c r="O70"/>
  <c r="T118"/>
  <c r="T194"/>
  <c r="U408" i="77"/>
  <c r="T408" i="39"/>
  <c r="IU400" i="77"/>
  <c r="FL370"/>
  <c r="W370" i="71" s="1"/>
  <c r="AZ370" i="77"/>
  <c r="W370" i="65" s="1"/>
  <c r="IU46" i="77"/>
  <c r="HQ52"/>
  <c r="HQ66"/>
  <c r="EH64"/>
  <c r="EH49"/>
  <c r="EH68"/>
  <c r="CC72"/>
  <c r="W408"/>
  <c r="W408" i="39" s="1"/>
  <c r="M121" i="65"/>
  <c r="I121"/>
  <c r="E121"/>
  <c r="R121"/>
  <c r="N121"/>
  <c r="J121"/>
  <c r="F121"/>
  <c r="S121"/>
  <c r="O121"/>
  <c r="K121"/>
  <c r="G121"/>
  <c r="AB121"/>
  <c r="P121"/>
  <c r="L121"/>
  <c r="H121"/>
  <c r="D121"/>
  <c r="M197"/>
  <c r="I197"/>
  <c r="E197"/>
  <c r="R197"/>
  <c r="N197"/>
  <c r="J197"/>
  <c r="F197"/>
  <c r="S197"/>
  <c r="O197"/>
  <c r="K197"/>
  <c r="G197"/>
  <c r="AB197"/>
  <c r="P197"/>
  <c r="L197"/>
  <c r="H197"/>
  <c r="D197"/>
  <c r="J118"/>
  <c r="F118"/>
  <c r="K118"/>
  <c r="G118"/>
  <c r="AB118"/>
  <c r="L118"/>
  <c r="H118"/>
  <c r="D118"/>
  <c r="M118"/>
  <c r="I118"/>
  <c r="E118"/>
  <c r="J122"/>
  <c r="K122"/>
  <c r="G122"/>
  <c r="AB122"/>
  <c r="L122"/>
  <c r="H122"/>
  <c r="D122"/>
  <c r="M122"/>
  <c r="I122"/>
  <c r="E122"/>
  <c r="R126"/>
  <c r="N126"/>
  <c r="J126"/>
  <c r="F126"/>
  <c r="S126"/>
  <c r="O126"/>
  <c r="K126"/>
  <c r="G126"/>
  <c r="AB126"/>
  <c r="P126"/>
  <c r="L126"/>
  <c r="H126"/>
  <c r="D126"/>
  <c r="M126"/>
  <c r="I126"/>
  <c r="E126"/>
  <c r="J144"/>
  <c r="K144"/>
  <c r="G144"/>
  <c r="AB144"/>
  <c r="L144"/>
  <c r="H144"/>
  <c r="D144"/>
  <c r="M144"/>
  <c r="I144"/>
  <c r="E144"/>
  <c r="J148"/>
  <c r="K148"/>
  <c r="G148"/>
  <c r="AB148"/>
  <c r="L148"/>
  <c r="H148"/>
  <c r="D148"/>
  <c r="M148"/>
  <c r="I148"/>
  <c r="E148"/>
  <c r="J153"/>
  <c r="F153"/>
  <c r="K153"/>
  <c r="G153"/>
  <c r="AB153"/>
  <c r="L153"/>
  <c r="H153"/>
  <c r="D153"/>
  <c r="M153"/>
  <c r="I153"/>
  <c r="E153"/>
  <c r="R194"/>
  <c r="N194"/>
  <c r="J194"/>
  <c r="F194"/>
  <c r="S194"/>
  <c r="O194"/>
  <c r="K194"/>
  <c r="G194"/>
  <c r="AB194"/>
  <c r="P194"/>
  <c r="L194"/>
  <c r="H194"/>
  <c r="D194"/>
  <c r="M194"/>
  <c r="I194"/>
  <c r="E194"/>
  <c r="J198"/>
  <c r="K198"/>
  <c r="G198"/>
  <c r="AB198"/>
  <c r="L198"/>
  <c r="H198"/>
  <c r="D198"/>
  <c r="M198"/>
  <c r="I198"/>
  <c r="E198"/>
  <c r="J202"/>
  <c r="K202"/>
  <c r="G202"/>
  <c r="AB202"/>
  <c r="L202"/>
  <c r="H202"/>
  <c r="D202"/>
  <c r="M202"/>
  <c r="I202"/>
  <c r="E202"/>
  <c r="J206"/>
  <c r="F206"/>
  <c r="K206"/>
  <c r="G206"/>
  <c r="AB206"/>
  <c r="L206"/>
  <c r="H206"/>
  <c r="D206"/>
  <c r="M206"/>
  <c r="I206"/>
  <c r="E206"/>
  <c r="J210"/>
  <c r="F210"/>
  <c r="K210"/>
  <c r="G210"/>
  <c r="AB210"/>
  <c r="L210"/>
  <c r="H210"/>
  <c r="D210"/>
  <c r="M210"/>
  <c r="I210"/>
  <c r="E210"/>
  <c r="J215"/>
  <c r="F215"/>
  <c r="K215"/>
  <c r="G215"/>
  <c r="AB215"/>
  <c r="L215"/>
  <c r="H215"/>
  <c r="D215"/>
  <c r="M215"/>
  <c r="I215"/>
  <c r="E215"/>
  <c r="R219"/>
  <c r="N219"/>
  <c r="J219"/>
  <c r="F219"/>
  <c r="S219"/>
  <c r="O219"/>
  <c r="K219"/>
  <c r="G219"/>
  <c r="AB219"/>
  <c r="P219"/>
  <c r="L219"/>
  <c r="H219"/>
  <c r="D219"/>
  <c r="M219"/>
  <c r="I219"/>
  <c r="E219"/>
  <c r="J240"/>
  <c r="K240"/>
  <c r="G240"/>
  <c r="AB240"/>
  <c r="L240"/>
  <c r="H240"/>
  <c r="D240"/>
  <c r="M240"/>
  <c r="I240"/>
  <c r="E240"/>
  <c r="J244"/>
  <c r="F244"/>
  <c r="K244"/>
  <c r="G244"/>
  <c r="AB244"/>
  <c r="L244"/>
  <c r="H244"/>
  <c r="D244"/>
  <c r="M244"/>
  <c r="I244"/>
  <c r="E244"/>
  <c r="R248"/>
  <c r="N248"/>
  <c r="J248"/>
  <c r="F248"/>
  <c r="S248"/>
  <c r="O248"/>
  <c r="K248"/>
  <c r="G248"/>
  <c r="AB248"/>
  <c r="P248"/>
  <c r="L248"/>
  <c r="H248"/>
  <c r="D248"/>
  <c r="M248"/>
  <c r="I248"/>
  <c r="E248"/>
  <c r="J252"/>
  <c r="K252"/>
  <c r="G252"/>
  <c r="AB252"/>
  <c r="L252"/>
  <c r="H252"/>
  <c r="D252"/>
  <c r="M252"/>
  <c r="I252"/>
  <c r="E252"/>
  <c r="R256"/>
  <c r="N256"/>
  <c r="J256"/>
  <c r="F256"/>
  <c r="S256"/>
  <c r="O256"/>
  <c r="K256"/>
  <c r="G256"/>
  <c r="AB256"/>
  <c r="P256"/>
  <c r="L256"/>
  <c r="H256"/>
  <c r="D256"/>
  <c r="M256"/>
  <c r="I256"/>
  <c r="E256"/>
  <c r="U436" i="77"/>
  <c r="U436" i="39" s="1"/>
  <c r="T436"/>
  <c r="W409" i="77"/>
  <c r="W409" i="39" s="1"/>
  <c r="P409"/>
  <c r="P438"/>
  <c r="P414"/>
  <c r="V444" i="77"/>
  <c r="V444" i="39" s="1"/>
  <c r="O444"/>
  <c r="U431"/>
  <c r="T431"/>
  <c r="W423" i="77"/>
  <c r="W423" i="39" s="1"/>
  <c r="P423"/>
  <c r="V441"/>
  <c r="O441"/>
  <c r="U401"/>
  <c r="T401"/>
  <c r="V429" i="77"/>
  <c r="V429" i="39" s="1"/>
  <c r="O429"/>
  <c r="W405" i="77"/>
  <c r="P425" i="39"/>
  <c r="P405"/>
  <c r="W370" i="77"/>
  <c r="P372" i="39"/>
  <c r="V357" i="77"/>
  <c r="V357" i="39" s="1"/>
  <c r="O357"/>
  <c r="W369" i="77"/>
  <c r="P371" i="39"/>
  <c r="W358" i="77"/>
  <c r="W358" i="39" s="1"/>
  <c r="U389"/>
  <c r="U386"/>
  <c r="U376"/>
  <c r="T376"/>
  <c r="U96" i="77"/>
  <c r="U97" i="39" s="1"/>
  <c r="T97"/>
  <c r="U128"/>
  <c r="U146"/>
  <c r="V98"/>
  <c r="O98"/>
  <c r="P198"/>
  <c r="P243"/>
  <c r="P204"/>
  <c r="W204" i="77"/>
  <c r="P209" i="39"/>
  <c r="T93"/>
  <c r="U100"/>
  <c r="T100"/>
  <c r="W79"/>
  <c r="P79"/>
  <c r="V88" i="77"/>
  <c r="O91" i="39"/>
  <c r="U197"/>
  <c r="U217"/>
  <c r="P202"/>
  <c r="V205" i="77"/>
  <c r="V210" i="39" s="1"/>
  <c r="O210"/>
  <c r="W232" i="77"/>
  <c r="P221" i="39"/>
  <c r="V235" i="77"/>
  <c r="O241" i="39"/>
  <c r="V246" i="77"/>
  <c r="O249" i="39"/>
  <c r="U257" i="77"/>
  <c r="U257" i="39" s="1"/>
  <c r="T257"/>
  <c r="V286"/>
  <c r="O122"/>
  <c r="O205"/>
  <c r="P199"/>
  <c r="V234" i="77"/>
  <c r="O240" i="39"/>
  <c r="P201"/>
  <c r="W213"/>
  <c r="P213"/>
  <c r="W233" i="77"/>
  <c r="P239" i="39"/>
  <c r="W239" i="77"/>
  <c r="W245" i="39" s="1"/>
  <c r="P245"/>
  <c r="V242" i="77"/>
  <c r="O246" i="39"/>
  <c r="U32" i="77"/>
  <c r="U32" i="39" s="1"/>
  <c r="T32"/>
  <c r="V24" i="77"/>
  <c r="V24" i="39" s="1"/>
  <c r="O24"/>
  <c r="W30" i="77"/>
  <c r="W30" i="39" s="1"/>
  <c r="P30"/>
  <c r="W40" i="77"/>
  <c r="W40" i="39" s="1"/>
  <c r="P40"/>
  <c r="V59" i="77"/>
  <c r="V59" i="39" s="1"/>
  <c r="O59"/>
  <c r="V64" i="77"/>
  <c r="V64" i="39" s="1"/>
  <c r="O64"/>
  <c r="V73" i="77"/>
  <c r="V73" i="39" s="1"/>
  <c r="O73"/>
  <c r="U11"/>
  <c r="T11"/>
  <c r="V68"/>
  <c r="V39" i="77"/>
  <c r="V39" i="39" s="1"/>
  <c r="O39"/>
  <c r="V38" i="77"/>
  <c r="V38" i="39" s="1"/>
  <c r="O38"/>
  <c r="W52" i="77"/>
  <c r="W52" i="39" s="1"/>
  <c r="P52"/>
  <c r="W71"/>
  <c r="P71"/>
  <c r="U67" i="77"/>
  <c r="U67" i="39" s="1"/>
  <c r="T67"/>
  <c r="V27" i="77"/>
  <c r="V27" i="39" s="1"/>
  <c r="O27"/>
  <c r="V21"/>
  <c r="O21"/>
  <c r="W23" i="77"/>
  <c r="W23" i="39" s="1"/>
  <c r="P23"/>
  <c r="V34" i="77"/>
  <c r="V34" i="39" s="1"/>
  <c r="O34"/>
  <c r="V46" i="77"/>
  <c r="V46" i="39" s="1"/>
  <c r="O46"/>
  <c r="V49" i="77"/>
  <c r="V49" i="39" s="1"/>
  <c r="O49"/>
  <c r="U65" i="77"/>
  <c r="U65" i="39" s="1"/>
  <c r="T65"/>
  <c r="W19"/>
  <c r="P19"/>
  <c r="V60" i="77"/>
  <c r="V60" i="39" s="1"/>
  <c r="O60"/>
  <c r="W70" i="77"/>
  <c r="W70" i="39" s="1"/>
  <c r="P70"/>
  <c r="U45" i="77"/>
  <c r="U45" i="39" s="1"/>
  <c r="T45"/>
  <c r="V227" i="77"/>
  <c r="T219" i="39"/>
  <c r="U72" i="77"/>
  <c r="U72" i="39" s="1"/>
  <c r="T72"/>
  <c r="T13"/>
  <c r="V256" i="77"/>
  <c r="V256" i="39" s="1"/>
  <c r="T256"/>
  <c r="GN255" i="77"/>
  <c r="U22"/>
  <c r="U22" i="39" s="1"/>
  <c r="GN20" i="77"/>
  <c r="IT46"/>
  <c r="GO53"/>
  <c r="HR52"/>
  <c r="AZ55"/>
  <c r="GN27"/>
  <c r="EI66"/>
  <c r="U50"/>
  <c r="U50" i="39" s="1"/>
  <c r="M125" i="65"/>
  <c r="I125"/>
  <c r="E125"/>
  <c r="R125"/>
  <c r="N125"/>
  <c r="J125"/>
  <c r="F125"/>
  <c r="S125"/>
  <c r="O125"/>
  <c r="K125"/>
  <c r="G125"/>
  <c r="AB125"/>
  <c r="P125"/>
  <c r="L125"/>
  <c r="H125"/>
  <c r="D125"/>
  <c r="M147"/>
  <c r="I147"/>
  <c r="E147"/>
  <c r="J147"/>
  <c r="F147"/>
  <c r="K147"/>
  <c r="G147"/>
  <c r="AB147"/>
  <c r="L147"/>
  <c r="H147"/>
  <c r="D147"/>
  <c r="M193"/>
  <c r="I193"/>
  <c r="E193"/>
  <c r="J193"/>
  <c r="F193"/>
  <c r="K193"/>
  <c r="G193"/>
  <c r="AB193"/>
  <c r="L193"/>
  <c r="H193"/>
  <c r="D193"/>
  <c r="M205"/>
  <c r="I205"/>
  <c r="E205"/>
  <c r="J205"/>
  <c r="K205"/>
  <c r="G205"/>
  <c r="AB205"/>
  <c r="L205"/>
  <c r="H205"/>
  <c r="D205"/>
  <c r="M209"/>
  <c r="I209"/>
  <c r="E209"/>
  <c r="J209"/>
  <c r="K209"/>
  <c r="G209"/>
  <c r="AB209"/>
  <c r="L209"/>
  <c r="H209"/>
  <c r="D209"/>
  <c r="M214"/>
  <c r="I214"/>
  <c r="E214"/>
  <c r="J214"/>
  <c r="F214"/>
  <c r="K214"/>
  <c r="G214"/>
  <c r="AB214"/>
  <c r="L214"/>
  <c r="H214"/>
  <c r="D214"/>
  <c r="M218"/>
  <c r="I218"/>
  <c r="E218"/>
  <c r="J218"/>
  <c r="K218"/>
  <c r="G218"/>
  <c r="AB218"/>
  <c r="L218"/>
  <c r="H218"/>
  <c r="D218"/>
  <c r="M243"/>
  <c r="I243"/>
  <c r="E243"/>
  <c r="J243"/>
  <c r="K243"/>
  <c r="G243"/>
  <c r="AB243"/>
  <c r="L243"/>
  <c r="H243"/>
  <c r="D243"/>
  <c r="M247"/>
  <c r="I247"/>
  <c r="E247"/>
  <c r="J247"/>
  <c r="K247"/>
  <c r="G247"/>
  <c r="AB247"/>
  <c r="L247"/>
  <c r="H247"/>
  <c r="D247"/>
  <c r="M251"/>
  <c r="I251"/>
  <c r="E251"/>
  <c r="R251"/>
  <c r="N251"/>
  <c r="J251"/>
  <c r="F251"/>
  <c r="S251"/>
  <c r="O251"/>
  <c r="K251"/>
  <c r="G251"/>
  <c r="AB251"/>
  <c r="P251"/>
  <c r="L251"/>
  <c r="H251"/>
  <c r="D251"/>
  <c r="M255"/>
  <c r="I255"/>
  <c r="E255"/>
  <c r="J255"/>
  <c r="K255"/>
  <c r="G255"/>
  <c r="AB255"/>
  <c r="L255"/>
  <c r="H255"/>
  <c r="D255"/>
  <c r="U430" i="77"/>
  <c r="U430" i="39" s="1"/>
  <c r="T430"/>
  <c r="V415"/>
  <c r="O415"/>
  <c r="W441"/>
  <c r="P441"/>
  <c r="W443" i="77"/>
  <c r="W443" i="39" s="1"/>
  <c r="P443"/>
  <c r="V420" i="77"/>
  <c r="V420" i="39" s="1"/>
  <c r="O420"/>
  <c r="V435" i="77"/>
  <c r="V435" i="39" s="1"/>
  <c r="O435"/>
  <c r="W353" i="77"/>
  <c r="W353" i="39" s="1"/>
  <c r="P353"/>
  <c r="V355" i="77"/>
  <c r="V355" i="39" s="1"/>
  <c r="O355"/>
  <c r="W367" i="77"/>
  <c r="W367" i="39" s="1"/>
  <c r="P367"/>
  <c r="V378" i="77"/>
  <c r="O384" i="39"/>
  <c r="P389"/>
  <c r="P386"/>
  <c r="U388"/>
  <c r="U385"/>
  <c r="V374" i="77"/>
  <c r="V374" i="39" s="1"/>
  <c r="O374"/>
  <c r="U85" i="77"/>
  <c r="T89" i="39"/>
  <c r="V143"/>
  <c r="V119"/>
  <c r="U86" i="77"/>
  <c r="T90" i="39"/>
  <c r="T200"/>
  <c r="W98"/>
  <c r="P98"/>
  <c r="O204"/>
  <c r="O243"/>
  <c r="W226" i="77"/>
  <c r="P218" i="39"/>
  <c r="V216"/>
  <c r="V191"/>
  <c r="U219"/>
  <c r="U194"/>
  <c r="U118"/>
  <c r="O121"/>
  <c r="W88" i="77"/>
  <c r="P91" i="39"/>
  <c r="O197"/>
  <c r="O217"/>
  <c r="O202"/>
  <c r="P203"/>
  <c r="W235" i="77"/>
  <c r="P241" i="39"/>
  <c r="W246" i="77"/>
  <c r="W249" i="39" s="1"/>
  <c r="P249"/>
  <c r="U215"/>
  <c r="T215"/>
  <c r="V84" i="77"/>
  <c r="O82" i="39"/>
  <c r="V125"/>
  <c r="O125"/>
  <c r="P205"/>
  <c r="P122"/>
  <c r="W211"/>
  <c r="P211"/>
  <c r="W234" i="77"/>
  <c r="P240" i="39"/>
  <c r="V249" i="77"/>
  <c r="V252" i="39" s="1"/>
  <c r="O252"/>
  <c r="V126"/>
  <c r="O126"/>
  <c r="W200" i="77"/>
  <c r="W208" i="39" s="1"/>
  <c r="P208"/>
  <c r="W242" i="77"/>
  <c r="P246" i="39"/>
  <c r="W20" i="77"/>
  <c r="W20" i="39" s="1"/>
  <c r="P20"/>
  <c r="V33" i="77"/>
  <c r="V33" i="39" s="1"/>
  <c r="O33"/>
  <c r="V44" i="77"/>
  <c r="V44" i="39" s="1"/>
  <c r="O44"/>
  <c r="W51"/>
  <c r="P51"/>
  <c r="V63" i="77"/>
  <c r="V63" i="39" s="1"/>
  <c r="O63"/>
  <c r="W73" i="77"/>
  <c r="W73" i="39" s="1"/>
  <c r="P73"/>
  <c r="U37" i="77"/>
  <c r="U37" i="39" s="1"/>
  <c r="T37"/>
  <c r="V57"/>
  <c r="W16"/>
  <c r="P16"/>
  <c r="W54" i="77"/>
  <c r="W54" i="39" s="1"/>
  <c r="T54"/>
  <c r="V62" i="77"/>
  <c r="V62" i="39" s="1"/>
  <c r="O62"/>
  <c r="V23" i="77"/>
  <c r="V23" i="39" s="1"/>
  <c r="O23"/>
  <c r="W26" i="77"/>
  <c r="W26" i="39" s="1"/>
  <c r="P26"/>
  <c r="V36" i="77"/>
  <c r="V36" i="39" s="1"/>
  <c r="O36"/>
  <c r="V61"/>
  <c r="O61"/>
  <c r="U42" i="77"/>
  <c r="U42" i="39" s="1"/>
  <c r="T42"/>
  <c r="U66" i="77"/>
  <c r="U66" i="39" s="1"/>
  <c r="T66"/>
  <c r="V53" i="77"/>
  <c r="V53" i="39" s="1"/>
  <c r="O53"/>
  <c r="U406" i="77"/>
  <c r="U406" i="39" s="1"/>
  <c r="T406"/>
  <c r="T195"/>
  <c r="U368" i="77"/>
  <c r="U368" i="39" s="1"/>
  <c r="T368"/>
  <c r="W412"/>
  <c r="W419"/>
  <c r="U455" i="77"/>
  <c r="U455" i="39" s="1"/>
  <c r="T455"/>
  <c r="W149"/>
  <c r="T149"/>
  <c r="W153"/>
  <c r="T153"/>
  <c r="T437"/>
  <c r="T413"/>
  <c r="V404" i="77"/>
  <c r="V404" i="39" s="1"/>
  <c r="O404"/>
  <c r="V416"/>
  <c r="O416"/>
  <c r="AB120" i="65"/>
  <c r="L120"/>
  <c r="H120"/>
  <c r="D120"/>
  <c r="M120"/>
  <c r="I120"/>
  <c r="E120"/>
  <c r="J120"/>
  <c r="F120"/>
  <c r="K120"/>
  <c r="G120"/>
  <c r="AB124"/>
  <c r="P124"/>
  <c r="L124"/>
  <c r="H124"/>
  <c r="D124"/>
  <c r="M124"/>
  <c r="I124"/>
  <c r="E124"/>
  <c r="R124"/>
  <c r="N124"/>
  <c r="J124"/>
  <c r="F124"/>
  <c r="S124"/>
  <c r="O124"/>
  <c r="K124"/>
  <c r="G124"/>
  <c r="AB142"/>
  <c r="L142"/>
  <c r="H142"/>
  <c r="D142"/>
  <c r="M142"/>
  <c r="I142"/>
  <c r="E142"/>
  <c r="J142"/>
  <c r="F142"/>
  <c r="K142"/>
  <c r="G142"/>
  <c r="AB146"/>
  <c r="L146"/>
  <c r="H146"/>
  <c r="D146"/>
  <c r="M146"/>
  <c r="I146"/>
  <c r="E146"/>
  <c r="J146"/>
  <c r="K146"/>
  <c r="G146"/>
  <c r="AB150"/>
  <c r="P150"/>
  <c r="L150"/>
  <c r="H150"/>
  <c r="D150"/>
  <c r="M150"/>
  <c r="I150"/>
  <c r="E150"/>
  <c r="R150"/>
  <c r="N150"/>
  <c r="J150"/>
  <c r="F150"/>
  <c r="S150"/>
  <c r="O150"/>
  <c r="K150"/>
  <c r="G150"/>
  <c r="AB192"/>
  <c r="P192"/>
  <c r="L192"/>
  <c r="H192"/>
  <c r="D192"/>
  <c r="M192"/>
  <c r="I192"/>
  <c r="E192"/>
  <c r="R192"/>
  <c r="N192"/>
  <c r="J192"/>
  <c r="F192"/>
  <c r="S192"/>
  <c r="O192"/>
  <c r="K192"/>
  <c r="G192"/>
  <c r="AB196"/>
  <c r="L196"/>
  <c r="H196"/>
  <c r="D196"/>
  <c r="M196"/>
  <c r="I196"/>
  <c r="E196"/>
  <c r="J196"/>
  <c r="K196"/>
  <c r="G196"/>
  <c r="AB200"/>
  <c r="L200"/>
  <c r="H200"/>
  <c r="D200"/>
  <c r="M200"/>
  <c r="I200"/>
  <c r="E200"/>
  <c r="J200"/>
  <c r="K200"/>
  <c r="G200"/>
  <c r="AB204"/>
  <c r="L204"/>
  <c r="H204"/>
  <c r="D204"/>
  <c r="M204"/>
  <c r="I204"/>
  <c r="E204"/>
  <c r="J204"/>
  <c r="K204"/>
  <c r="G204"/>
  <c r="AB208"/>
  <c r="L208"/>
  <c r="H208"/>
  <c r="D208"/>
  <c r="M208"/>
  <c r="I208"/>
  <c r="E208"/>
  <c r="J208"/>
  <c r="K208"/>
  <c r="G208"/>
  <c r="AB213"/>
  <c r="L213"/>
  <c r="H213"/>
  <c r="D213"/>
  <c r="M213"/>
  <c r="I213"/>
  <c r="E213"/>
  <c r="J213"/>
  <c r="K213"/>
  <c r="G213"/>
  <c r="AB217"/>
  <c r="P217"/>
  <c r="L217"/>
  <c r="H217"/>
  <c r="D217"/>
  <c r="M217"/>
  <c r="I217"/>
  <c r="E217"/>
  <c r="R217"/>
  <c r="N217"/>
  <c r="J217"/>
  <c r="F217"/>
  <c r="S217"/>
  <c r="O217"/>
  <c r="K217"/>
  <c r="G217"/>
  <c r="AB221"/>
  <c r="L221"/>
  <c r="H221"/>
  <c r="D221"/>
  <c r="M221"/>
  <c r="I221"/>
  <c r="E221"/>
  <c r="J221"/>
  <c r="F221"/>
  <c r="K221"/>
  <c r="G221"/>
  <c r="AB242"/>
  <c r="P242"/>
  <c r="L242"/>
  <c r="H242"/>
  <c r="D242"/>
  <c r="M242"/>
  <c r="I242"/>
  <c r="E242"/>
  <c r="R242"/>
  <c r="N242"/>
  <c r="J242"/>
  <c r="F242"/>
  <c r="S242"/>
  <c r="O242"/>
  <c r="K242"/>
  <c r="G242"/>
  <c r="AB246"/>
  <c r="L246"/>
  <c r="H246"/>
  <c r="D246"/>
  <c r="M246"/>
  <c r="I246"/>
  <c r="E246"/>
  <c r="J246"/>
  <c r="F246"/>
  <c r="K246"/>
  <c r="G246"/>
  <c r="AB250"/>
  <c r="L250"/>
  <c r="H250"/>
  <c r="D250"/>
  <c r="M250"/>
  <c r="I250"/>
  <c r="E250"/>
  <c r="J250"/>
  <c r="F250"/>
  <c r="K250"/>
  <c r="G250"/>
  <c r="AB254"/>
  <c r="P254"/>
  <c r="L254"/>
  <c r="H254"/>
  <c r="D254"/>
  <c r="M254"/>
  <c r="I254"/>
  <c r="E254"/>
  <c r="R254"/>
  <c r="N254"/>
  <c r="J254"/>
  <c r="F254"/>
  <c r="S254"/>
  <c r="O254"/>
  <c r="K254"/>
  <c r="G254"/>
  <c r="W448" i="77"/>
  <c r="W448" i="39" s="1"/>
  <c r="T448"/>
  <c r="V406"/>
  <c r="W444" i="77"/>
  <c r="W444" i="39" s="1"/>
  <c r="P444"/>
  <c r="U413"/>
  <c r="U437"/>
  <c r="U442" i="77"/>
  <c r="U442" i="39" s="1"/>
  <c r="T442"/>
  <c r="V402" i="77"/>
  <c r="V402" i="39" s="1"/>
  <c r="O402"/>
  <c r="W416"/>
  <c r="P416"/>
  <c r="V405" i="77"/>
  <c r="O405" i="39"/>
  <c r="O425"/>
  <c r="W435" i="77"/>
  <c r="W435" i="39" s="1"/>
  <c r="P435"/>
  <c r="V359" i="77"/>
  <c r="O362" i="39"/>
  <c r="W357" i="77"/>
  <c r="W357" i="39" s="1"/>
  <c r="P357"/>
  <c r="V369" i="77"/>
  <c r="O371" i="39"/>
  <c r="V358" i="77"/>
  <c r="V358" i="39" s="1"/>
  <c r="W378" i="77"/>
  <c r="P384" i="39"/>
  <c r="U93" i="77"/>
  <c r="U95" i="39" s="1"/>
  <c r="T95"/>
  <c r="U83" i="77"/>
  <c r="T81" i="39"/>
  <c r="U147"/>
  <c r="V95" i="77"/>
  <c r="O96" i="39"/>
  <c r="W214"/>
  <c r="P214"/>
  <c r="P207"/>
  <c r="V204" i="77"/>
  <c r="V209" i="39" s="1"/>
  <c r="O209"/>
  <c r="V236" i="77"/>
  <c r="O242" i="39"/>
  <c r="U119"/>
  <c r="U143"/>
  <c r="W253"/>
  <c r="O194"/>
  <c r="O118"/>
  <c r="P121"/>
  <c r="V82" i="77"/>
  <c r="V80" i="39" s="1"/>
  <c r="O80"/>
  <c r="P217"/>
  <c r="P197"/>
  <c r="O203"/>
  <c r="W205" i="77"/>
  <c r="W210" i="39" s="1"/>
  <c r="P210"/>
  <c r="U216"/>
  <c r="U191"/>
  <c r="W84" i="77"/>
  <c r="P82" i="39"/>
  <c r="W125"/>
  <c r="P125"/>
  <c r="V253" i="77"/>
  <c r="V254" i="39" s="1"/>
  <c r="O254"/>
  <c r="V78"/>
  <c r="O78"/>
  <c r="W126"/>
  <c r="P126"/>
  <c r="V206"/>
  <c r="O206"/>
  <c r="V213"/>
  <c r="O213"/>
  <c r="V238" i="77"/>
  <c r="O244" i="39"/>
  <c r="V20" i="77"/>
  <c r="V20" i="39" s="1"/>
  <c r="O20"/>
  <c r="W15"/>
  <c r="P15"/>
  <c r="W22" i="77"/>
  <c r="W22" i="39" s="1"/>
  <c r="P22"/>
  <c r="V30" i="77"/>
  <c r="V30" i="39" s="1"/>
  <c r="O30"/>
  <c r="W44" i="77"/>
  <c r="W44" i="39" s="1"/>
  <c r="P44"/>
  <c r="V40" i="77"/>
  <c r="V40" i="39" s="1"/>
  <c r="O40"/>
  <c r="U31"/>
  <c r="T31"/>
  <c r="V45"/>
  <c r="V16"/>
  <c r="O16"/>
  <c r="W38" i="77"/>
  <c r="W38" i="39" s="1"/>
  <c r="P38"/>
  <c r="V71"/>
  <c r="O71"/>
  <c r="W27" i="77"/>
  <c r="W27" i="39" s="1"/>
  <c r="P27"/>
  <c r="V26" i="77"/>
  <c r="V26" i="39" s="1"/>
  <c r="O26"/>
  <c r="W34" i="77"/>
  <c r="W34" i="39" s="1"/>
  <c r="P34"/>
  <c r="W46" i="77"/>
  <c r="W46" i="39" s="1"/>
  <c r="P46"/>
  <c r="V19"/>
  <c r="O19"/>
  <c r="W17"/>
  <c r="P17"/>
  <c r="V50" i="77"/>
  <c r="V50" i="39" s="1"/>
  <c r="O50"/>
  <c r="V385"/>
  <c r="V388"/>
  <c r="U412"/>
  <c r="U419"/>
  <c r="T243"/>
  <c r="T204"/>
  <c r="W55" i="77"/>
  <c r="P55" i="39"/>
  <c r="W373" i="77"/>
  <c r="P373" i="39"/>
  <c r="P413"/>
  <c r="P437"/>
  <c r="W148"/>
  <c r="T148"/>
  <c r="U422" i="77"/>
  <c r="T422" i="39"/>
  <c r="IT400" i="77"/>
  <c r="U52"/>
  <c r="U52" i="39" s="1"/>
  <c r="GO27" i="77"/>
  <c r="U49"/>
  <c r="U49" i="39" s="1"/>
  <c r="FL54" i="77"/>
  <c r="EH66"/>
  <c r="GN72"/>
  <c r="V72"/>
  <c r="AY45"/>
  <c r="AX45"/>
  <c r="W72"/>
  <c r="W72" i="39" s="1"/>
  <c r="V401"/>
  <c r="DC405" i="77"/>
  <c r="DC57"/>
  <c r="DD57" s="1"/>
  <c r="DC380"/>
  <c r="HO407"/>
  <c r="HO444"/>
  <c r="HO442"/>
  <c r="HO233"/>
  <c r="T233" i="73" s="1"/>
  <c r="HO242" i="77"/>
  <c r="HP242" s="1"/>
  <c r="HO58"/>
  <c r="HP58" s="1"/>
  <c r="HO430"/>
  <c r="HR430" s="1"/>
  <c r="HO429"/>
  <c r="HQ429" s="1"/>
  <c r="HO422"/>
  <c r="HP422" s="1"/>
  <c r="BZ444"/>
  <c r="GL205"/>
  <c r="GM205" s="1"/>
  <c r="FI444"/>
  <c r="FI437"/>
  <c r="FI226"/>
  <c r="T226" i="71" s="1"/>
  <c r="FI442" i="77"/>
  <c r="FI443"/>
  <c r="FI228"/>
  <c r="T228" i="71" s="1"/>
  <c r="FI30" i="77"/>
  <c r="FJ30" s="1"/>
  <c r="FI48"/>
  <c r="FJ48" s="1"/>
  <c r="FI426"/>
  <c r="FI449"/>
  <c r="FJ449" s="1"/>
  <c r="FI457"/>
  <c r="FJ457" s="1"/>
  <c r="FI380"/>
  <c r="FI388"/>
  <c r="FJ388" s="1"/>
  <c r="FI423"/>
  <c r="FJ423" s="1"/>
  <c r="FI429"/>
  <c r="FL429" s="1"/>
  <c r="FI430"/>
  <c r="FI436"/>
  <c r="FJ436" s="1"/>
  <c r="FI455"/>
  <c r="FJ455" s="1"/>
  <c r="F255" i="65"/>
  <c r="F249"/>
  <c r="F247"/>
  <c r="F208"/>
  <c r="F252"/>
  <c r="F218"/>
  <c r="F199"/>
  <c r="F196"/>
  <c r="F240"/>
  <c r="F200"/>
  <c r="F146"/>
  <c r="F220"/>
  <c r="F213"/>
  <c r="F211"/>
  <c r="F209"/>
  <c r="F243"/>
  <c r="F203"/>
  <c r="F148"/>
  <c r="F198"/>
  <c r="F205"/>
  <c r="Q197"/>
  <c r="F202"/>
  <c r="F201"/>
  <c r="F144"/>
  <c r="F119"/>
  <c r="Q242"/>
  <c r="Q100"/>
  <c r="Q254"/>
  <c r="AW233" i="77"/>
  <c r="AW220"/>
  <c r="Q245" i="65"/>
  <c r="AW449" i="77"/>
  <c r="AX449" s="1"/>
  <c r="AW235"/>
  <c r="Q253" i="65"/>
  <c r="Q126"/>
  <c r="Q151"/>
  <c r="Q150"/>
  <c r="Q216"/>
  <c r="AW227" i="77"/>
  <c r="Q248" i="65"/>
  <c r="Q145"/>
  <c r="Q124"/>
  <c r="AW232" i="77"/>
  <c r="AW40"/>
  <c r="Q121" i="65"/>
  <c r="Q125"/>
  <c r="Q128"/>
  <c r="Q251"/>
  <c r="AW358" i="77"/>
  <c r="Q256" i="65"/>
  <c r="Q257"/>
  <c r="AW429" i="77"/>
  <c r="AX429" s="1"/>
  <c r="AW430"/>
  <c r="AX430" s="1"/>
  <c r="AW457"/>
  <c r="AX457" s="1"/>
  <c r="EF443"/>
  <c r="EF205"/>
  <c r="EF220"/>
  <c r="EF235"/>
  <c r="T235" i="70" s="1"/>
  <c r="EF200" i="77"/>
  <c r="EG200" s="1"/>
  <c r="EF245"/>
  <c r="EG245" s="1"/>
  <c r="EF48"/>
  <c r="EG48" s="1"/>
  <c r="EF57"/>
  <c r="EG57" s="1"/>
  <c r="EF455"/>
  <c r="EG455" s="1"/>
  <c r="IR436"/>
  <c r="IT436" s="1"/>
  <c r="IR235"/>
  <c r="T235" i="74" s="1"/>
  <c r="IR405" i="77"/>
  <c r="IR234"/>
  <c r="T234" i="74" s="1"/>
  <c r="IR442" i="77"/>
  <c r="IR227"/>
  <c r="IR224"/>
  <c r="IS224" s="1"/>
  <c r="IR59"/>
  <c r="T182" i="74"/>
  <c r="IR423" i="77"/>
  <c r="X449"/>
  <c r="AA449" s="1"/>
  <c r="HQ438"/>
  <c r="W376" i="39"/>
  <c r="W352" i="77"/>
  <c r="W352" i="39" s="1"/>
  <c r="V352" i="77"/>
  <c r="IU367"/>
  <c r="AX64"/>
  <c r="EI367"/>
  <c r="GO249"/>
  <c r="V11" i="39"/>
  <c r="FK432" i="77"/>
  <c r="X407"/>
  <c r="AA407" s="1"/>
  <c r="W31" i="39"/>
  <c r="W11"/>
  <c r="GM55" i="77"/>
  <c r="AX68"/>
  <c r="GN438"/>
  <c r="FL406"/>
  <c r="U248"/>
  <c r="HP50"/>
  <c r="GO45"/>
  <c r="FJ52"/>
  <c r="V18" i="39"/>
  <c r="U54" i="77"/>
  <c r="AX52"/>
  <c r="HR66"/>
  <c r="DE27"/>
  <c r="IU52"/>
  <c r="EI49"/>
  <c r="V69"/>
  <c r="V69" i="39" s="1"/>
  <c r="HR44" i="77"/>
  <c r="FK47"/>
  <c r="EI55"/>
  <c r="HP46"/>
  <c r="HR46"/>
  <c r="FK20"/>
  <c r="W32"/>
  <c r="W32" i="39" s="1"/>
  <c r="AZ20" i="77"/>
  <c r="HR27"/>
  <c r="W37"/>
  <c r="W37" i="39" s="1"/>
  <c r="FL47" i="77"/>
  <c r="V66"/>
  <c r="V66" i="39" s="1"/>
  <c r="W67" i="77"/>
  <c r="W67" i="39" s="1"/>
  <c r="HQ46" i="77"/>
  <c r="V42"/>
  <c r="V12" i="39"/>
  <c r="W18"/>
  <c r="AY54" i="77"/>
  <c r="DF27"/>
  <c r="IT52"/>
  <c r="W69"/>
  <c r="W69" i="39" s="1"/>
  <c r="HR54" i="77"/>
  <c r="EH46"/>
  <c r="W66"/>
  <c r="W66" i="39" s="1"/>
  <c r="V65" i="77"/>
  <c r="AY64"/>
  <c r="V32"/>
  <c r="V32" i="39" s="1"/>
  <c r="W12"/>
  <c r="GN45" i="77"/>
  <c r="FL20"/>
  <c r="AZ54"/>
  <c r="AY20"/>
  <c r="HQ27"/>
  <c r="V37"/>
  <c r="HQ44"/>
  <c r="HQ54"/>
  <c r="EI46"/>
  <c r="EH55"/>
  <c r="V67"/>
  <c r="V67" i="39" s="1"/>
  <c r="FK52" i="77"/>
  <c r="W170" i="39"/>
  <c r="W85" i="77"/>
  <c r="W93"/>
  <c r="W95" i="39" s="1"/>
  <c r="W247" i="77"/>
  <c r="W250" i="39" s="1"/>
  <c r="X153"/>
  <c r="W100"/>
  <c r="W92" i="77"/>
  <c r="W94" i="39" s="1"/>
  <c r="X213"/>
  <c r="V215"/>
  <c r="GN249" i="77"/>
  <c r="V86"/>
  <c r="V257"/>
  <c r="V257" i="39" s="1"/>
  <c r="W248" i="77"/>
  <c r="W93" i="39"/>
  <c r="V96" i="77"/>
  <c r="V97" i="39" s="1"/>
  <c r="V83" i="77"/>
  <c r="W86"/>
  <c r="W257"/>
  <c r="W257" i="39" s="1"/>
  <c r="V90" i="77"/>
  <c r="W215" i="39"/>
  <c r="V85" i="77"/>
  <c r="W96"/>
  <c r="W97" i="39" s="1"/>
  <c r="V93" i="77"/>
  <c r="W83"/>
  <c r="X211" i="39"/>
  <c r="V247" i="77"/>
  <c r="V250" i="39" s="1"/>
  <c r="W90" i="77"/>
  <c r="V92"/>
  <c r="V94" i="39" s="1"/>
  <c r="AZ367" i="77"/>
  <c r="FL367"/>
  <c r="IS367"/>
  <c r="EH367"/>
  <c r="AY367"/>
  <c r="FK367"/>
  <c r="IT373"/>
  <c r="IU373"/>
  <c r="W430"/>
  <c r="W430" i="39" s="1"/>
  <c r="W442" i="77"/>
  <c r="W442" i="39" s="1"/>
  <c r="FL432" i="77"/>
  <c r="CC427"/>
  <c r="IU428"/>
  <c r="IT432"/>
  <c r="AY428"/>
  <c r="EH400"/>
  <c r="V428"/>
  <c r="V428" i="39" s="1"/>
  <c r="GN432" i="77"/>
  <c r="IS428"/>
  <c r="V431" i="39"/>
  <c r="IU432" i="77"/>
  <c r="W438"/>
  <c r="V430"/>
  <c r="V436"/>
  <c r="V436" i="39" s="1"/>
  <c r="V442" i="77"/>
  <c r="V442" i="39" s="1"/>
  <c r="EI400" i="77"/>
  <c r="CB427"/>
  <c r="AZ438"/>
  <c r="HR438"/>
  <c r="GO432"/>
  <c r="GO438"/>
  <c r="AZ428"/>
  <c r="W436"/>
  <c r="W436" i="39" s="1"/>
  <c r="W431"/>
  <c r="W428" i="77"/>
  <c r="W428" i="39" s="1"/>
  <c r="AY438" i="77"/>
  <c r="V438"/>
  <c r="V448"/>
  <c r="V448" i="39" s="1"/>
  <c r="U448" i="77"/>
  <c r="U448" i="39" s="1"/>
  <c r="V462" i="77"/>
  <c r="V462" i="39" s="1"/>
  <c r="W462" i="77"/>
  <c r="W462" i="39" s="1"/>
  <c r="L5" i="73"/>
  <c r="N5" s="1"/>
  <c r="N2" i="69"/>
  <c r="N2" i="70"/>
  <c r="N2" i="71"/>
  <c r="N2" i="72"/>
  <c r="N2" i="73"/>
  <c r="F5" i="65"/>
  <c r="N5" s="1"/>
  <c r="N2"/>
  <c r="M5" i="74"/>
  <c r="N5" s="1"/>
  <c r="N2"/>
  <c r="J5" i="71"/>
  <c r="N5" s="1"/>
  <c r="H5" i="69"/>
  <c r="N5" s="1"/>
  <c r="I5" i="70"/>
  <c r="N5" s="1"/>
  <c r="K5" i="72"/>
  <c r="N5" s="1"/>
  <c r="C462" i="74"/>
  <c r="C461"/>
  <c r="C457"/>
  <c r="C455"/>
  <c r="C449"/>
  <c r="C448"/>
  <c r="C444"/>
  <c r="C443"/>
  <c r="C442"/>
  <c r="C441"/>
  <c r="C439"/>
  <c r="C438"/>
  <c r="C437"/>
  <c r="C436"/>
  <c r="C435"/>
  <c r="C434"/>
  <c r="C432"/>
  <c r="C431"/>
  <c r="C430"/>
  <c r="C429"/>
  <c r="C428"/>
  <c r="C427"/>
  <c r="C426"/>
  <c r="C425"/>
  <c r="C423"/>
  <c r="C422"/>
  <c r="C421"/>
  <c r="C420"/>
  <c r="C419"/>
  <c r="C417"/>
  <c r="C416"/>
  <c r="C415"/>
  <c r="C414"/>
  <c r="C413"/>
  <c r="C412"/>
  <c r="C411"/>
  <c r="C409"/>
  <c r="C408"/>
  <c r="C407"/>
  <c r="C406"/>
  <c r="C405"/>
  <c r="C404"/>
  <c r="C402"/>
  <c r="C401"/>
  <c r="C400"/>
  <c r="C389"/>
  <c r="C388"/>
  <c r="C376"/>
  <c r="C374"/>
  <c r="C373"/>
  <c r="C367"/>
  <c r="C365"/>
  <c r="C364"/>
  <c r="C357"/>
  <c r="C355"/>
  <c r="C353"/>
  <c r="C352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153"/>
  <c r="C151"/>
  <c r="C150"/>
  <c r="C149"/>
  <c r="C148"/>
  <c r="C147"/>
  <c r="C146"/>
  <c r="C145"/>
  <c r="C144"/>
  <c r="C143"/>
  <c r="C142"/>
  <c r="C128"/>
  <c r="C126"/>
  <c r="C125"/>
  <c r="C124"/>
  <c r="C123"/>
  <c r="C122"/>
  <c r="C121"/>
  <c r="C120"/>
  <c r="C119"/>
  <c r="C118"/>
  <c r="C100"/>
  <c r="C98"/>
  <c r="C97"/>
  <c r="C96"/>
  <c r="C95"/>
  <c r="C94"/>
  <c r="C93"/>
  <c r="C92"/>
  <c r="C91"/>
  <c r="C90"/>
  <c r="C89"/>
  <c r="C82"/>
  <c r="C81"/>
  <c r="C80"/>
  <c r="C79"/>
  <c r="C78"/>
  <c r="C73"/>
  <c r="C72"/>
  <c r="C71"/>
  <c r="C70"/>
  <c r="C69"/>
  <c r="C68"/>
  <c r="C67"/>
  <c r="C66"/>
  <c r="C65"/>
  <c r="C64"/>
  <c r="C63"/>
  <c r="C62"/>
  <c r="C61"/>
  <c r="C60"/>
  <c r="C59"/>
  <c r="C58"/>
  <c r="C57"/>
  <c r="C55"/>
  <c r="C54"/>
  <c r="C53"/>
  <c r="C52"/>
  <c r="C51"/>
  <c r="C50"/>
  <c r="C49"/>
  <c r="C48"/>
  <c r="C47"/>
  <c r="C46"/>
  <c r="C45"/>
  <c r="C44"/>
  <c r="C42"/>
  <c r="C41"/>
  <c r="C40"/>
  <c r="C39"/>
  <c r="C38"/>
  <c r="C37"/>
  <c r="C36"/>
  <c r="C34"/>
  <c r="C33"/>
  <c r="C32"/>
  <c r="C31"/>
  <c r="C30"/>
  <c r="C29"/>
  <c r="C28"/>
  <c r="C27"/>
  <c r="C26"/>
  <c r="C24"/>
  <c r="C23"/>
  <c r="C22"/>
  <c r="C21"/>
  <c r="C20"/>
  <c r="C19"/>
  <c r="C18"/>
  <c r="C17"/>
  <c r="C16"/>
  <c r="C15"/>
  <c r="C14"/>
  <c r="C13"/>
  <c r="C12"/>
  <c r="C11"/>
  <c r="C462" i="73"/>
  <c r="C461"/>
  <c r="C457"/>
  <c r="C455"/>
  <c r="C449"/>
  <c r="C448"/>
  <c r="C444"/>
  <c r="C443"/>
  <c r="C442"/>
  <c r="C441"/>
  <c r="C439"/>
  <c r="C438"/>
  <c r="C437"/>
  <c r="C436"/>
  <c r="C435"/>
  <c r="C434"/>
  <c r="C432"/>
  <c r="C431"/>
  <c r="C430"/>
  <c r="C429"/>
  <c r="C428"/>
  <c r="C427"/>
  <c r="C426"/>
  <c r="C425"/>
  <c r="C423"/>
  <c r="C422"/>
  <c r="C421"/>
  <c r="C420"/>
  <c r="C419"/>
  <c r="C417"/>
  <c r="C416"/>
  <c r="C415"/>
  <c r="C414"/>
  <c r="C413"/>
  <c r="C412"/>
  <c r="C411"/>
  <c r="C409"/>
  <c r="C408"/>
  <c r="C407"/>
  <c r="C406"/>
  <c r="C405"/>
  <c r="C404"/>
  <c r="C402"/>
  <c r="C401"/>
  <c r="C400"/>
  <c r="C389"/>
  <c r="C388"/>
  <c r="C376"/>
  <c r="C374"/>
  <c r="C373"/>
  <c r="C367"/>
  <c r="C365"/>
  <c r="C364"/>
  <c r="C357"/>
  <c r="C355"/>
  <c r="C353"/>
  <c r="C352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153"/>
  <c r="C151"/>
  <c r="C150"/>
  <c r="C149"/>
  <c r="C148"/>
  <c r="C147"/>
  <c r="C146"/>
  <c r="C145"/>
  <c r="C144"/>
  <c r="C143"/>
  <c r="C142"/>
  <c r="C128"/>
  <c r="C126"/>
  <c r="C125"/>
  <c r="C124"/>
  <c r="C123"/>
  <c r="C122"/>
  <c r="C121"/>
  <c r="C120"/>
  <c r="C119"/>
  <c r="C118"/>
  <c r="C100"/>
  <c r="C98"/>
  <c r="C97"/>
  <c r="C96"/>
  <c r="C95"/>
  <c r="C94"/>
  <c r="C93"/>
  <c r="C92"/>
  <c r="C91"/>
  <c r="C90"/>
  <c r="C89"/>
  <c r="C82"/>
  <c r="C81"/>
  <c r="C80"/>
  <c r="C79"/>
  <c r="C78"/>
  <c r="C73"/>
  <c r="C72"/>
  <c r="C71"/>
  <c r="C70"/>
  <c r="C69"/>
  <c r="C68"/>
  <c r="C67"/>
  <c r="C66"/>
  <c r="C65"/>
  <c r="C64"/>
  <c r="C63"/>
  <c r="C62"/>
  <c r="C61"/>
  <c r="C60"/>
  <c r="C59"/>
  <c r="C58"/>
  <c r="C57"/>
  <c r="C55"/>
  <c r="C54"/>
  <c r="C53"/>
  <c r="C52"/>
  <c r="C51"/>
  <c r="C50"/>
  <c r="C49"/>
  <c r="C48"/>
  <c r="C47"/>
  <c r="C46"/>
  <c r="C45"/>
  <c r="C44"/>
  <c r="C42"/>
  <c r="C41"/>
  <c r="C40"/>
  <c r="C39"/>
  <c r="C38"/>
  <c r="C37"/>
  <c r="C36"/>
  <c r="C34"/>
  <c r="C33"/>
  <c r="C32"/>
  <c r="C31"/>
  <c r="C30"/>
  <c r="C29"/>
  <c r="C28"/>
  <c r="C27"/>
  <c r="C26"/>
  <c r="C24"/>
  <c r="C23"/>
  <c r="C22"/>
  <c r="C21"/>
  <c r="C20"/>
  <c r="C19"/>
  <c r="C18"/>
  <c r="C17"/>
  <c r="C16"/>
  <c r="C15"/>
  <c r="C14"/>
  <c r="C13"/>
  <c r="C12"/>
  <c r="C11"/>
  <c r="C462" i="72"/>
  <c r="C461"/>
  <c r="C457"/>
  <c r="C455"/>
  <c r="C449"/>
  <c r="C448"/>
  <c r="C444"/>
  <c r="C443"/>
  <c r="C442"/>
  <c r="C441"/>
  <c r="C439"/>
  <c r="C438"/>
  <c r="C437"/>
  <c r="C436"/>
  <c r="C435"/>
  <c r="C434"/>
  <c r="C432"/>
  <c r="C431"/>
  <c r="C430"/>
  <c r="C429"/>
  <c r="C428"/>
  <c r="C427"/>
  <c r="C426"/>
  <c r="C425"/>
  <c r="C423"/>
  <c r="C422"/>
  <c r="C421"/>
  <c r="C420"/>
  <c r="C419"/>
  <c r="C417"/>
  <c r="C416"/>
  <c r="C415"/>
  <c r="C414"/>
  <c r="C413"/>
  <c r="C412"/>
  <c r="C411"/>
  <c r="C409"/>
  <c r="C408"/>
  <c r="C407"/>
  <c r="C406"/>
  <c r="C405"/>
  <c r="C404"/>
  <c r="C402"/>
  <c r="C401"/>
  <c r="C400"/>
  <c r="C389"/>
  <c r="C388"/>
  <c r="C376"/>
  <c r="C374"/>
  <c r="C373"/>
  <c r="C367"/>
  <c r="C365"/>
  <c r="C364"/>
  <c r="C357"/>
  <c r="C355"/>
  <c r="C353"/>
  <c r="C352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153"/>
  <c r="C151"/>
  <c r="C150"/>
  <c r="C149"/>
  <c r="C148"/>
  <c r="C147"/>
  <c r="C146"/>
  <c r="C145"/>
  <c r="C144"/>
  <c r="C143"/>
  <c r="C142"/>
  <c r="C128"/>
  <c r="C126"/>
  <c r="C125"/>
  <c r="C124"/>
  <c r="C123"/>
  <c r="C122"/>
  <c r="C121"/>
  <c r="C120"/>
  <c r="C119"/>
  <c r="C118"/>
  <c r="C100"/>
  <c r="C98"/>
  <c r="C97"/>
  <c r="C96"/>
  <c r="C95"/>
  <c r="C94"/>
  <c r="C93"/>
  <c r="C92"/>
  <c r="C91"/>
  <c r="C90"/>
  <c r="C89"/>
  <c r="C82"/>
  <c r="C81"/>
  <c r="C80"/>
  <c r="C79"/>
  <c r="C78"/>
  <c r="C73"/>
  <c r="C72"/>
  <c r="C71"/>
  <c r="C70"/>
  <c r="C69"/>
  <c r="C68"/>
  <c r="C67"/>
  <c r="C66"/>
  <c r="C65"/>
  <c r="C64"/>
  <c r="C63"/>
  <c r="C62"/>
  <c r="C61"/>
  <c r="C60"/>
  <c r="C59"/>
  <c r="C58"/>
  <c r="C57"/>
  <c r="C55"/>
  <c r="C54"/>
  <c r="C53"/>
  <c r="C52"/>
  <c r="C51"/>
  <c r="C50"/>
  <c r="C49"/>
  <c r="C48"/>
  <c r="C47"/>
  <c r="C46"/>
  <c r="C45"/>
  <c r="C44"/>
  <c r="C42"/>
  <c r="C41"/>
  <c r="C40"/>
  <c r="C39"/>
  <c r="C38"/>
  <c r="C37"/>
  <c r="C36"/>
  <c r="C34"/>
  <c r="C33"/>
  <c r="C32"/>
  <c r="C31"/>
  <c r="C30"/>
  <c r="C29"/>
  <c r="C28"/>
  <c r="C27"/>
  <c r="C26"/>
  <c r="C24"/>
  <c r="C23"/>
  <c r="C22"/>
  <c r="C21"/>
  <c r="C20"/>
  <c r="C19"/>
  <c r="C18"/>
  <c r="C17"/>
  <c r="C16"/>
  <c r="C15"/>
  <c r="C14"/>
  <c r="C13"/>
  <c r="C12"/>
  <c r="C11"/>
  <c r="C462" i="71"/>
  <c r="C461"/>
  <c r="C457"/>
  <c r="C455"/>
  <c r="C449"/>
  <c r="C448"/>
  <c r="C444"/>
  <c r="C443"/>
  <c r="C442"/>
  <c r="C441"/>
  <c r="C439"/>
  <c r="C438"/>
  <c r="C437"/>
  <c r="C436"/>
  <c r="C435"/>
  <c r="C434"/>
  <c r="C432"/>
  <c r="C431"/>
  <c r="C430"/>
  <c r="C429"/>
  <c r="C428"/>
  <c r="C427"/>
  <c r="C426"/>
  <c r="C425"/>
  <c r="C423"/>
  <c r="C422"/>
  <c r="C421"/>
  <c r="C420"/>
  <c r="C419"/>
  <c r="C417"/>
  <c r="C416"/>
  <c r="C415"/>
  <c r="C414"/>
  <c r="C413"/>
  <c r="C412"/>
  <c r="C411"/>
  <c r="C409"/>
  <c r="C408"/>
  <c r="C407"/>
  <c r="C406"/>
  <c r="C405"/>
  <c r="C404"/>
  <c r="C402"/>
  <c r="C401"/>
  <c r="C400"/>
  <c r="C389"/>
  <c r="C388"/>
  <c r="C376"/>
  <c r="C374"/>
  <c r="C373"/>
  <c r="C367"/>
  <c r="C365"/>
  <c r="C364"/>
  <c r="C357"/>
  <c r="C355"/>
  <c r="C353"/>
  <c r="C352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153"/>
  <c r="C151"/>
  <c r="C150"/>
  <c r="C149"/>
  <c r="C148"/>
  <c r="C147"/>
  <c r="C146"/>
  <c r="C145"/>
  <c r="C144"/>
  <c r="C143"/>
  <c r="C142"/>
  <c r="C128"/>
  <c r="C126"/>
  <c r="C125"/>
  <c r="C124"/>
  <c r="C123"/>
  <c r="C122"/>
  <c r="C121"/>
  <c r="C120"/>
  <c r="C119"/>
  <c r="C118"/>
  <c r="C100"/>
  <c r="C98"/>
  <c r="C97"/>
  <c r="C96"/>
  <c r="C95"/>
  <c r="C94"/>
  <c r="C93"/>
  <c r="C92"/>
  <c r="C91"/>
  <c r="C90"/>
  <c r="C89"/>
  <c r="C82"/>
  <c r="C81"/>
  <c r="C80"/>
  <c r="C79"/>
  <c r="C78"/>
  <c r="C73"/>
  <c r="C72"/>
  <c r="C71"/>
  <c r="C70"/>
  <c r="C69"/>
  <c r="C68"/>
  <c r="C67"/>
  <c r="C66"/>
  <c r="C65"/>
  <c r="C64"/>
  <c r="C63"/>
  <c r="C62"/>
  <c r="C61"/>
  <c r="C60"/>
  <c r="C59"/>
  <c r="C58"/>
  <c r="C57"/>
  <c r="C55"/>
  <c r="C54"/>
  <c r="C53"/>
  <c r="C52"/>
  <c r="C51"/>
  <c r="C50"/>
  <c r="C49"/>
  <c r="C48"/>
  <c r="C47"/>
  <c r="C46"/>
  <c r="C45"/>
  <c r="C44"/>
  <c r="C42"/>
  <c r="C41"/>
  <c r="C40"/>
  <c r="C39"/>
  <c r="C38"/>
  <c r="C37"/>
  <c r="C36"/>
  <c r="C34"/>
  <c r="C33"/>
  <c r="C32"/>
  <c r="C31"/>
  <c r="C30"/>
  <c r="C29"/>
  <c r="C28"/>
  <c r="C27"/>
  <c r="C26"/>
  <c r="C24"/>
  <c r="C23"/>
  <c r="C22"/>
  <c r="C21"/>
  <c r="C20"/>
  <c r="C19"/>
  <c r="C18"/>
  <c r="C17"/>
  <c r="C16"/>
  <c r="C15"/>
  <c r="C14"/>
  <c r="C13"/>
  <c r="C12"/>
  <c r="C11"/>
  <c r="C462" i="70"/>
  <c r="C461"/>
  <c r="C457"/>
  <c r="C455"/>
  <c r="C449"/>
  <c r="C448"/>
  <c r="C444"/>
  <c r="C443"/>
  <c r="C442"/>
  <c r="C441"/>
  <c r="C439"/>
  <c r="C438"/>
  <c r="C437"/>
  <c r="C436"/>
  <c r="C435"/>
  <c r="C434"/>
  <c r="C432"/>
  <c r="C431"/>
  <c r="C430"/>
  <c r="C429"/>
  <c r="C428"/>
  <c r="C427"/>
  <c r="C426"/>
  <c r="C425"/>
  <c r="C423"/>
  <c r="C422"/>
  <c r="C421"/>
  <c r="C420"/>
  <c r="C419"/>
  <c r="C417"/>
  <c r="C416"/>
  <c r="C415"/>
  <c r="C414"/>
  <c r="C413"/>
  <c r="C412"/>
  <c r="C411"/>
  <c r="C409"/>
  <c r="C408"/>
  <c r="C407"/>
  <c r="C406"/>
  <c r="C405"/>
  <c r="C404"/>
  <c r="C402"/>
  <c r="C401"/>
  <c r="C400"/>
  <c r="C389"/>
  <c r="C388"/>
  <c r="C376"/>
  <c r="C374"/>
  <c r="C373"/>
  <c r="C367"/>
  <c r="C365"/>
  <c r="C364"/>
  <c r="C357"/>
  <c r="C355"/>
  <c r="C353"/>
  <c r="C352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153"/>
  <c r="C151"/>
  <c r="C150"/>
  <c r="C149"/>
  <c r="C148"/>
  <c r="C147"/>
  <c r="C146"/>
  <c r="C145"/>
  <c r="C144"/>
  <c r="C143"/>
  <c r="C142"/>
  <c r="C128"/>
  <c r="C126"/>
  <c r="C125"/>
  <c r="C124"/>
  <c r="C123"/>
  <c r="C122"/>
  <c r="C121"/>
  <c r="C120"/>
  <c r="C119"/>
  <c r="C118"/>
  <c r="C100"/>
  <c r="C98"/>
  <c r="C97"/>
  <c r="C96"/>
  <c r="C95"/>
  <c r="C94"/>
  <c r="C93"/>
  <c r="C92"/>
  <c r="C91"/>
  <c r="C90"/>
  <c r="C89"/>
  <c r="C82"/>
  <c r="C81"/>
  <c r="C80"/>
  <c r="C79"/>
  <c r="C78"/>
  <c r="C73"/>
  <c r="C72"/>
  <c r="C71"/>
  <c r="C70"/>
  <c r="C69"/>
  <c r="C68"/>
  <c r="C67"/>
  <c r="C66"/>
  <c r="C65"/>
  <c r="C64"/>
  <c r="C63"/>
  <c r="C62"/>
  <c r="C61"/>
  <c r="C60"/>
  <c r="C59"/>
  <c r="C58"/>
  <c r="C57"/>
  <c r="C55"/>
  <c r="C54"/>
  <c r="C53"/>
  <c r="C52"/>
  <c r="C51"/>
  <c r="C50"/>
  <c r="C49"/>
  <c r="C48"/>
  <c r="C47"/>
  <c r="C46"/>
  <c r="C45"/>
  <c r="C44"/>
  <c r="C42"/>
  <c r="C41"/>
  <c r="C40"/>
  <c r="C39"/>
  <c r="C38"/>
  <c r="C37"/>
  <c r="C36"/>
  <c r="C34"/>
  <c r="C33"/>
  <c r="C32"/>
  <c r="C31"/>
  <c r="C30"/>
  <c r="C29"/>
  <c r="C28"/>
  <c r="C27"/>
  <c r="C26"/>
  <c r="C24"/>
  <c r="C23"/>
  <c r="C22"/>
  <c r="C21"/>
  <c r="C20"/>
  <c r="C19"/>
  <c r="C18"/>
  <c r="C17"/>
  <c r="C16"/>
  <c r="C15"/>
  <c r="C14"/>
  <c r="C13"/>
  <c r="C12"/>
  <c r="C11"/>
  <c r="C462" i="69"/>
  <c r="C461"/>
  <c r="C457"/>
  <c r="C455"/>
  <c r="C449"/>
  <c r="C448"/>
  <c r="C444"/>
  <c r="C443"/>
  <c r="C442"/>
  <c r="C441"/>
  <c r="C439"/>
  <c r="C438"/>
  <c r="C437"/>
  <c r="C436"/>
  <c r="C435"/>
  <c r="C434"/>
  <c r="C432"/>
  <c r="C431"/>
  <c r="C430"/>
  <c r="C429"/>
  <c r="C428"/>
  <c r="C427"/>
  <c r="C426"/>
  <c r="C425"/>
  <c r="C423"/>
  <c r="C422"/>
  <c r="C421"/>
  <c r="C420"/>
  <c r="C419"/>
  <c r="C417"/>
  <c r="C416"/>
  <c r="C415"/>
  <c r="C414"/>
  <c r="C413"/>
  <c r="C412"/>
  <c r="C411"/>
  <c r="C409"/>
  <c r="C408"/>
  <c r="C407"/>
  <c r="C406"/>
  <c r="C405"/>
  <c r="C404"/>
  <c r="C402"/>
  <c r="C401"/>
  <c r="C400"/>
  <c r="C389"/>
  <c r="C388"/>
  <c r="C376"/>
  <c r="C374"/>
  <c r="C373"/>
  <c r="C367"/>
  <c r="C365"/>
  <c r="C364"/>
  <c r="C357"/>
  <c r="C355"/>
  <c r="C353"/>
  <c r="C352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153"/>
  <c r="C151"/>
  <c r="C150"/>
  <c r="C149"/>
  <c r="C148"/>
  <c r="C147"/>
  <c r="C146"/>
  <c r="C145"/>
  <c r="C144"/>
  <c r="C143"/>
  <c r="C142"/>
  <c r="C128"/>
  <c r="C126"/>
  <c r="C125"/>
  <c r="C124"/>
  <c r="C123"/>
  <c r="C122"/>
  <c r="C121"/>
  <c r="C120"/>
  <c r="C119"/>
  <c r="C118"/>
  <c r="C100"/>
  <c r="C98"/>
  <c r="C97"/>
  <c r="C96"/>
  <c r="C95"/>
  <c r="C94"/>
  <c r="C93"/>
  <c r="C92"/>
  <c r="C91"/>
  <c r="C90"/>
  <c r="C89"/>
  <c r="C82"/>
  <c r="C81"/>
  <c r="C80"/>
  <c r="C79"/>
  <c r="C78"/>
  <c r="C73"/>
  <c r="C72"/>
  <c r="C71"/>
  <c r="C70"/>
  <c r="C69"/>
  <c r="C68"/>
  <c r="C67"/>
  <c r="C66"/>
  <c r="C65"/>
  <c r="C64"/>
  <c r="C63"/>
  <c r="C62"/>
  <c r="C61"/>
  <c r="C60"/>
  <c r="C59"/>
  <c r="C58"/>
  <c r="C57"/>
  <c r="C55"/>
  <c r="C54"/>
  <c r="C53"/>
  <c r="C52"/>
  <c r="C51"/>
  <c r="C50"/>
  <c r="C49"/>
  <c r="C48"/>
  <c r="C47"/>
  <c r="C46"/>
  <c r="C45"/>
  <c r="C44"/>
  <c r="C42"/>
  <c r="C41"/>
  <c r="C40"/>
  <c r="C39"/>
  <c r="C38"/>
  <c r="C37"/>
  <c r="C36"/>
  <c r="C34"/>
  <c r="C33"/>
  <c r="C32"/>
  <c r="C31"/>
  <c r="C30"/>
  <c r="C29"/>
  <c r="C28"/>
  <c r="C27"/>
  <c r="C26"/>
  <c r="C24"/>
  <c r="C23"/>
  <c r="C22"/>
  <c r="C21"/>
  <c r="C20"/>
  <c r="C19"/>
  <c r="C18"/>
  <c r="C17"/>
  <c r="C16"/>
  <c r="C15"/>
  <c r="C14"/>
  <c r="C13"/>
  <c r="C12"/>
  <c r="C11"/>
  <c r="C462" i="68"/>
  <c r="C461"/>
  <c r="C457"/>
  <c r="C455"/>
  <c r="C449"/>
  <c r="C448"/>
  <c r="C444"/>
  <c r="C443"/>
  <c r="C442"/>
  <c r="C441"/>
  <c r="C439"/>
  <c r="C438"/>
  <c r="C437"/>
  <c r="C436"/>
  <c r="C435"/>
  <c r="C434"/>
  <c r="C432"/>
  <c r="C431"/>
  <c r="C430"/>
  <c r="C429"/>
  <c r="C428"/>
  <c r="C427"/>
  <c r="C426"/>
  <c r="C425"/>
  <c r="C423"/>
  <c r="C422"/>
  <c r="C421"/>
  <c r="C420"/>
  <c r="C419"/>
  <c r="C417"/>
  <c r="C416"/>
  <c r="C415"/>
  <c r="C414"/>
  <c r="C413"/>
  <c r="C412"/>
  <c r="C411"/>
  <c r="C409"/>
  <c r="C408"/>
  <c r="C407"/>
  <c r="C406"/>
  <c r="C405"/>
  <c r="C404"/>
  <c r="C402"/>
  <c r="C401"/>
  <c r="C400"/>
  <c r="C389"/>
  <c r="C388"/>
  <c r="C376"/>
  <c r="C374"/>
  <c r="C373"/>
  <c r="C367"/>
  <c r="C365"/>
  <c r="C364"/>
  <c r="C357"/>
  <c r="C355"/>
  <c r="C353"/>
  <c r="C352"/>
  <c r="C257"/>
  <c r="C256"/>
  <c r="C255"/>
  <c r="C254"/>
  <c r="C253"/>
  <c r="C252"/>
  <c r="C251"/>
  <c r="C250"/>
  <c r="C249"/>
  <c r="C248"/>
  <c r="C247"/>
  <c r="C246"/>
  <c r="C245"/>
  <c r="C244"/>
  <c r="C243"/>
  <c r="C242"/>
  <c r="C241"/>
  <c r="C240"/>
  <c r="C239"/>
  <c r="C153"/>
  <c r="C151"/>
  <c r="C150"/>
  <c r="C149"/>
  <c r="C148"/>
  <c r="C147"/>
  <c r="C146"/>
  <c r="C145"/>
  <c r="C144"/>
  <c r="C143"/>
  <c r="C142"/>
  <c r="C128"/>
  <c r="C126"/>
  <c r="C125"/>
  <c r="C124"/>
  <c r="C123"/>
  <c r="C122"/>
  <c r="C121"/>
  <c r="C120"/>
  <c r="C119"/>
  <c r="C118"/>
  <c r="C100"/>
  <c r="C98"/>
  <c r="C97"/>
  <c r="C96"/>
  <c r="C95"/>
  <c r="C94"/>
  <c r="C93"/>
  <c r="C92"/>
  <c r="C91"/>
  <c r="C90"/>
  <c r="C89"/>
  <c r="C82"/>
  <c r="C81"/>
  <c r="C80"/>
  <c r="C79"/>
  <c r="C78"/>
  <c r="C73"/>
  <c r="C72"/>
  <c r="C71"/>
  <c r="C70"/>
  <c r="C69"/>
  <c r="C68"/>
  <c r="C67"/>
  <c r="C66"/>
  <c r="C65"/>
  <c r="C64"/>
  <c r="C63"/>
  <c r="C62"/>
  <c r="C61"/>
  <c r="C60"/>
  <c r="C59"/>
  <c r="C58"/>
  <c r="C57"/>
  <c r="C55"/>
  <c r="C54"/>
  <c r="C53"/>
  <c r="C52"/>
  <c r="C51"/>
  <c r="C50"/>
  <c r="C49"/>
  <c r="C48"/>
  <c r="C47"/>
  <c r="C46"/>
  <c r="C45"/>
  <c r="C44"/>
  <c r="C42"/>
  <c r="C41"/>
  <c r="C40"/>
  <c r="C39"/>
  <c r="C38"/>
  <c r="C37"/>
  <c r="C36"/>
  <c r="C34"/>
  <c r="C33"/>
  <c r="C32"/>
  <c r="C31"/>
  <c r="C30"/>
  <c r="C29"/>
  <c r="C28"/>
  <c r="C27"/>
  <c r="C26"/>
  <c r="C24"/>
  <c r="C23"/>
  <c r="C22"/>
  <c r="C21"/>
  <c r="C20"/>
  <c r="C19"/>
  <c r="C18"/>
  <c r="C17"/>
  <c r="C16"/>
  <c r="C15"/>
  <c r="C14"/>
  <c r="C13"/>
  <c r="C12"/>
  <c r="C11"/>
  <c r="C462" i="65"/>
  <c r="C461"/>
  <c r="C457"/>
  <c r="C455"/>
  <c r="C449"/>
  <c r="C448"/>
  <c r="C444"/>
  <c r="C443"/>
  <c r="C442"/>
  <c r="C441"/>
  <c r="C439"/>
  <c r="C438"/>
  <c r="C437"/>
  <c r="C436"/>
  <c r="C435"/>
  <c r="C434"/>
  <c r="C432"/>
  <c r="C431"/>
  <c r="C430"/>
  <c r="C429"/>
  <c r="C428"/>
  <c r="C427"/>
  <c r="C426"/>
  <c r="C425"/>
  <c r="C423"/>
  <c r="C422"/>
  <c r="C421"/>
  <c r="C420"/>
  <c r="C419"/>
  <c r="C417"/>
  <c r="C416"/>
  <c r="C415"/>
  <c r="C414"/>
  <c r="C413"/>
  <c r="C412"/>
  <c r="C411"/>
  <c r="C409"/>
  <c r="C408"/>
  <c r="C407"/>
  <c r="C406"/>
  <c r="C405"/>
  <c r="C404"/>
  <c r="C401"/>
  <c r="C402"/>
  <c r="C400"/>
  <c r="C389"/>
  <c r="C388"/>
  <c r="C376"/>
  <c r="C374"/>
  <c r="C373"/>
  <c r="C367"/>
  <c r="C365"/>
  <c r="C364"/>
  <c r="C357"/>
  <c r="C355"/>
  <c r="C353"/>
  <c r="C352"/>
  <c r="C79"/>
  <c r="C80"/>
  <c r="C81"/>
  <c r="C82"/>
  <c r="C89"/>
  <c r="C90"/>
  <c r="C91"/>
  <c r="C92"/>
  <c r="C93"/>
  <c r="C94"/>
  <c r="C95"/>
  <c r="C96"/>
  <c r="C97"/>
  <c r="C98"/>
  <c r="C78"/>
  <c r="C73"/>
  <c r="C72"/>
  <c r="C71"/>
  <c r="C70"/>
  <c r="C69"/>
  <c r="C68"/>
  <c r="C67"/>
  <c r="C66"/>
  <c r="C65"/>
  <c r="C64"/>
  <c r="C63"/>
  <c r="C62"/>
  <c r="C61"/>
  <c r="C60"/>
  <c r="C59"/>
  <c r="C58"/>
  <c r="C57"/>
  <c r="C55"/>
  <c r="C54"/>
  <c r="C53"/>
  <c r="C52"/>
  <c r="C51"/>
  <c r="C50"/>
  <c r="C49"/>
  <c r="C48"/>
  <c r="C47"/>
  <c r="C46"/>
  <c r="C45"/>
  <c r="C44"/>
  <c r="C42"/>
  <c r="C41"/>
  <c r="C40"/>
  <c r="C39"/>
  <c r="C38"/>
  <c r="C37"/>
  <c r="C36"/>
  <c r="C34"/>
  <c r="C33"/>
  <c r="C32"/>
  <c r="C31"/>
  <c r="C30"/>
  <c r="C29"/>
  <c r="C28"/>
  <c r="C27"/>
  <c r="C26"/>
  <c r="C24"/>
  <c r="C23"/>
  <c r="C22"/>
  <c r="C21"/>
  <c r="C20"/>
  <c r="C19"/>
  <c r="C18"/>
  <c r="C17"/>
  <c r="C16"/>
  <c r="C15"/>
  <c r="C14"/>
  <c r="C13"/>
  <c r="C12"/>
  <c r="C11"/>
  <c r="AA157" i="77" l="1"/>
  <c r="EC184"/>
  <c r="GI324"/>
  <c r="Q324" i="72" s="1"/>
  <c r="GI300" i="77"/>
  <c r="Q300" i="72" s="1"/>
  <c r="HL183" i="77"/>
  <c r="IP145"/>
  <c r="IO16"/>
  <c r="GJ343"/>
  <c r="R343" i="72" s="1"/>
  <c r="GI193" i="77"/>
  <c r="GI335"/>
  <c r="Q335" i="72" s="1"/>
  <c r="HQ201" i="77"/>
  <c r="HM151"/>
  <c r="CZ411"/>
  <c r="EC168"/>
  <c r="AA461"/>
  <c r="Z461"/>
  <c r="Z138"/>
  <c r="HM199"/>
  <c r="HM135"/>
  <c r="HL190"/>
  <c r="HM191"/>
  <c r="CZ330"/>
  <c r="Q330" i="69" s="1"/>
  <c r="CZ327" i="77"/>
  <c r="Q327" i="69" s="1"/>
  <c r="ED401" i="77"/>
  <c r="DF155"/>
  <c r="AA117"/>
  <c r="CZ314"/>
  <c r="Q314" i="69" s="1"/>
  <c r="IP334" i="77"/>
  <c r="R334" i="74" s="1"/>
  <c r="EC214" i="77"/>
  <c r="EC192"/>
  <c r="DE155"/>
  <c r="Z171"/>
  <c r="CZ325"/>
  <c r="Q325" i="69" s="1"/>
  <c r="IO157" i="77"/>
  <c r="EC144"/>
  <c r="EC166"/>
  <c r="GI330"/>
  <c r="Q330" i="72" s="1"/>
  <c r="GI340" i="77"/>
  <c r="Q340" i="72" s="1"/>
  <c r="EJ431" i="77"/>
  <c r="AD461"/>
  <c r="AC461"/>
  <c r="DA310"/>
  <c r="R310" i="69" s="1"/>
  <c r="CZ337" i="77"/>
  <c r="Q337" i="69" s="1"/>
  <c r="ED165" i="77"/>
  <c r="EC339"/>
  <c r="Q339" i="70" s="1"/>
  <c r="GI21" i="77"/>
  <c r="V345" i="71"/>
  <c r="FM345" i="77"/>
  <c r="AA134"/>
  <c r="AA141"/>
  <c r="GI339"/>
  <c r="Q339" i="72" s="1"/>
  <c r="GI328" i="77"/>
  <c r="Q328" i="72" s="1"/>
  <c r="BW340" i="77"/>
  <c r="Q340" i="68" s="1"/>
  <c r="W301" i="39"/>
  <c r="X301" i="77"/>
  <c r="Z184"/>
  <c r="GI344"/>
  <c r="Q344" i="72" s="1"/>
  <c r="BA281" i="77"/>
  <c r="GP217"/>
  <c r="X146"/>
  <c r="HM210"/>
  <c r="CZ416"/>
  <c r="IP106"/>
  <c r="ED178"/>
  <c r="ED170"/>
  <c r="EC171"/>
  <c r="ED108"/>
  <c r="GI309"/>
  <c r="Q309" i="72" s="1"/>
  <c r="GI343" i="77"/>
  <c r="Q343" i="72" s="1"/>
  <c r="HL371" i="77"/>
  <c r="HL186"/>
  <c r="CZ316"/>
  <c r="Q316" i="69" s="1"/>
  <c r="CZ342" i="77"/>
  <c r="Q342" i="69" s="1"/>
  <c r="CZ338" i="77"/>
  <c r="Q338" i="69" s="1"/>
  <c r="IP148" i="77"/>
  <c r="IP167"/>
  <c r="ED180"/>
  <c r="GI348"/>
  <c r="Q348" i="72" s="1"/>
  <c r="GI333" i="77"/>
  <c r="Q333" i="72" s="1"/>
  <c r="GI327" i="77"/>
  <c r="Q327" i="72" s="1"/>
  <c r="Z11" i="77"/>
  <c r="X182"/>
  <c r="HL335"/>
  <c r="Q335" i="73" s="1"/>
  <c r="EC305" i="77"/>
  <c r="Q305" i="70" s="1"/>
  <c r="GI342" i="77"/>
  <c r="Q342" i="72" s="1"/>
  <c r="BW324" i="77"/>
  <c r="Q324" i="68" s="1"/>
  <c r="BW309" i="77"/>
  <c r="Q309" i="68" s="1"/>
  <c r="X149" i="77"/>
  <c r="Z172"/>
  <c r="CZ308"/>
  <c r="Q308" i="69" s="1"/>
  <c r="IO334" i="77"/>
  <c r="Q334" i="74" s="1"/>
  <c r="EC308" i="77"/>
  <c r="Q308" i="70" s="1"/>
  <c r="Z110" i="77"/>
  <c r="HR281"/>
  <c r="HR155"/>
  <c r="Z61"/>
  <c r="AA187"/>
  <c r="X231"/>
  <c r="Z231" s="1"/>
  <c r="FR401"/>
  <c r="Z213"/>
  <c r="AA112"/>
  <c r="AA185"/>
  <c r="U313" i="74"/>
  <c r="IV313" i="77"/>
  <c r="U313" i="72"/>
  <c r="GP313" i="77"/>
  <c r="X180"/>
  <c r="AA125"/>
  <c r="HQ154"/>
  <c r="X142"/>
  <c r="AA201"/>
  <c r="HQ211"/>
  <c r="FM251"/>
  <c r="FM231"/>
  <c r="HS51"/>
  <c r="AA101"/>
  <c r="Z195"/>
  <c r="Z139"/>
  <c r="GR401"/>
  <c r="GR18"/>
  <c r="AA81"/>
  <c r="Z81"/>
  <c r="EM304"/>
  <c r="AA304" i="70" s="1"/>
  <c r="X304"/>
  <c r="AA323" i="77"/>
  <c r="AA323" i="39" s="1"/>
  <c r="X323"/>
  <c r="CG345" i="77"/>
  <c r="AA345" i="68" s="1"/>
  <c r="X345"/>
  <c r="EM347" i="77"/>
  <c r="AA347" i="70" s="1"/>
  <c r="X347"/>
  <c r="BD329" i="77"/>
  <c r="AA329" i="65" s="1"/>
  <c r="X329"/>
  <c r="FP329" i="77"/>
  <c r="AA329" i="71" s="1"/>
  <c r="X329"/>
  <c r="CG320" i="77"/>
  <c r="AA320" i="68" s="1"/>
  <c r="X320"/>
  <c r="HV320" i="77"/>
  <c r="AA320" i="73" s="1"/>
  <c r="X320"/>
  <c r="DJ336" i="77"/>
  <c r="AA336" i="69" s="1"/>
  <c r="X336"/>
  <c r="AA299" i="77"/>
  <c r="AA299" i="39" s="1"/>
  <c r="X299"/>
  <c r="AA333" i="77"/>
  <c r="AA333" i="39" s="1"/>
  <c r="X333"/>
  <c r="HV303" i="77"/>
  <c r="AA303" i="73" s="1"/>
  <c r="X303"/>
  <c r="AA309" i="77"/>
  <c r="AA309" i="39" s="1"/>
  <c r="X309"/>
  <c r="AA324" i="77"/>
  <c r="AA324" i="39" s="1"/>
  <c r="X324"/>
  <c r="AA344" i="77"/>
  <c r="AA344" i="39" s="1"/>
  <c r="X344"/>
  <c r="BD346" i="77"/>
  <c r="AA346" i="65" s="1"/>
  <c r="X346"/>
  <c r="FP320" i="77"/>
  <c r="AA320" i="71" s="1"/>
  <c r="X320"/>
  <c r="HV323" i="77"/>
  <c r="AA323" i="73" s="1"/>
  <c r="X323"/>
  <c r="EM302" i="77"/>
  <c r="AA302" i="70" s="1"/>
  <c r="X302"/>
  <c r="FP304" i="77"/>
  <c r="AA304" i="71" s="1"/>
  <c r="X304"/>
  <c r="GS345" i="77"/>
  <c r="AA345" i="72" s="1"/>
  <c r="X345"/>
  <c r="AA312" i="77"/>
  <c r="AA312" i="39" s="1"/>
  <c r="X312"/>
  <c r="CG315" i="77"/>
  <c r="AA315" i="68" s="1"/>
  <c r="X315"/>
  <c r="CD312" i="77"/>
  <c r="V312" i="68"/>
  <c r="IY341" i="77"/>
  <c r="AA341" i="74" s="1"/>
  <c r="X341"/>
  <c r="CG301" i="77"/>
  <c r="AA301" i="68" s="1"/>
  <c r="X301"/>
  <c r="FP319" i="77"/>
  <c r="AA319" i="71" s="1"/>
  <c r="X319"/>
  <c r="GS311" i="77"/>
  <c r="AA311" i="72" s="1"/>
  <c r="X311"/>
  <c r="FP298" i="77"/>
  <c r="AA298" i="71" s="1"/>
  <c r="X298"/>
  <c r="HV315" i="77"/>
  <c r="AA315" i="73" s="1"/>
  <c r="X315"/>
  <c r="EM312" i="77"/>
  <c r="AA312" i="70" s="1"/>
  <c r="X312"/>
  <c r="DJ311" i="77"/>
  <c r="AA311" i="69" s="1"/>
  <c r="X311"/>
  <c r="IY304" i="77"/>
  <c r="AA304" i="74" s="1"/>
  <c r="X304"/>
  <c r="CG302" i="77"/>
  <c r="AA302" i="68" s="1"/>
  <c r="X302"/>
  <c r="FP311" i="77"/>
  <c r="X311" i="71"/>
  <c r="IY315" i="77"/>
  <c r="AA315" i="74" s="1"/>
  <c r="X315"/>
  <c r="AA316" i="77"/>
  <c r="AA316" i="39" s="1"/>
  <c r="X316"/>
  <c r="DJ312" i="77"/>
  <c r="AA312" i="69" s="1"/>
  <c r="X312"/>
  <c r="Z315" i="77"/>
  <c r="X315" i="39"/>
  <c r="EM301" i="77"/>
  <c r="AA301" i="70" s="1"/>
  <c r="X301"/>
  <c r="FP301" i="77"/>
  <c r="AA301" i="71" s="1"/>
  <c r="X301"/>
  <c r="AA311" i="77"/>
  <c r="AA311" i="39" s="1"/>
  <c r="X311"/>
  <c r="DJ304" i="77"/>
  <c r="AA304" i="69" s="1"/>
  <c r="X304"/>
  <c r="DJ347" i="77"/>
  <c r="AA347" i="69" s="1"/>
  <c r="X347"/>
  <c r="EM315" i="77"/>
  <c r="AA315" i="70" s="1"/>
  <c r="X315"/>
  <c r="EN386" i="77"/>
  <c r="FN386"/>
  <c r="FN255"/>
  <c r="EN255"/>
  <c r="FN379"/>
  <c r="EN379"/>
  <c r="FN360"/>
  <c r="EN360"/>
  <c r="FN383"/>
  <c r="EN383"/>
  <c r="FN252"/>
  <c r="EN252"/>
  <c r="FN428"/>
  <c r="EN428"/>
  <c r="FN233"/>
  <c r="EN233"/>
  <c r="FN374"/>
  <c r="EN374"/>
  <c r="FN432"/>
  <c r="EN432"/>
  <c r="V318" i="72"/>
  <c r="GP318" i="77"/>
  <c r="W341" i="71"/>
  <c r="FM341" i="77"/>
  <c r="FN415"/>
  <c r="EN415"/>
  <c r="FN377"/>
  <c r="EN377"/>
  <c r="FN228"/>
  <c r="EN228"/>
  <c r="FN369"/>
  <c r="EN369"/>
  <c r="FN407"/>
  <c r="EN407"/>
  <c r="FN236"/>
  <c r="EN236"/>
  <c r="EN373"/>
  <c r="FN373"/>
  <c r="FN234"/>
  <c r="EN234"/>
  <c r="FN408"/>
  <c r="EN408"/>
  <c r="FN224"/>
  <c r="EN224"/>
  <c r="FN364"/>
  <c r="EN364"/>
  <c r="FN355"/>
  <c r="EN355"/>
  <c r="GS302"/>
  <c r="AA302" i="72" s="1"/>
  <c r="X302"/>
  <c r="GQ169" i="77"/>
  <c r="FQ169"/>
  <c r="FQ171"/>
  <c r="GQ171"/>
  <c r="FN388"/>
  <c r="EN388"/>
  <c r="FN238"/>
  <c r="EN238"/>
  <c r="X176"/>
  <c r="Z391"/>
  <c r="HP154"/>
  <c r="EP156"/>
  <c r="HQ155"/>
  <c r="GS401"/>
  <c r="GS18"/>
  <c r="AA190"/>
  <c r="GP413"/>
  <c r="Z135"/>
  <c r="Z194"/>
  <c r="FR14"/>
  <c r="BD298"/>
  <c r="AA298" i="65" s="1"/>
  <c r="X298"/>
  <c r="IY298" i="77"/>
  <c r="AA298" i="74" s="1"/>
  <c r="X298"/>
  <c r="HV304" i="77"/>
  <c r="AA304" i="73" s="1"/>
  <c r="X304"/>
  <c r="DJ307" i="77"/>
  <c r="AA307" i="69" s="1"/>
  <c r="X307"/>
  <c r="FP307" i="77"/>
  <c r="AA307" i="71" s="1"/>
  <c r="X307"/>
  <c r="EM323" i="77"/>
  <c r="AA323" i="70" s="1"/>
  <c r="X323"/>
  <c r="AA345" i="77"/>
  <c r="AA345" i="39" s="1"/>
  <c r="X345"/>
  <c r="HV347" i="77"/>
  <c r="AA347" i="73" s="1"/>
  <c r="X347"/>
  <c r="EM329" i="77"/>
  <c r="AA329" i="70" s="1"/>
  <c r="X329"/>
  <c r="AA320" i="77"/>
  <c r="AA320" i="39" s="1"/>
  <c r="X320"/>
  <c r="GS320" i="77"/>
  <c r="AA320" i="72" s="1"/>
  <c r="X320"/>
  <c r="CG336" i="77"/>
  <c r="AA336" i="68" s="1"/>
  <c r="X336"/>
  <c r="IY336" i="77"/>
  <c r="AA336" i="74" s="1"/>
  <c r="X336"/>
  <c r="AA306" i="77"/>
  <c r="AA306" i="39" s="1"/>
  <c r="X306"/>
  <c r="AA332" i="77"/>
  <c r="AA332" i="39" s="1"/>
  <c r="X332"/>
  <c r="AA342" i="77"/>
  <c r="AA342" i="39" s="1"/>
  <c r="X342"/>
  <c r="GS303" i="77"/>
  <c r="AA303" i="72" s="1"/>
  <c r="X303"/>
  <c r="AA303" i="77"/>
  <c r="AA303" i="39" s="1"/>
  <c r="X303"/>
  <c r="AA339" i="77"/>
  <c r="AA339" i="39" s="1"/>
  <c r="X339"/>
  <c r="AA335" i="77"/>
  <c r="AA335" i="39" s="1"/>
  <c r="X335"/>
  <c r="CG346" i="77"/>
  <c r="AA346" i="68" s="1"/>
  <c r="X346"/>
  <c r="FP346" i="77"/>
  <c r="AA346" i="71" s="1"/>
  <c r="X346"/>
  <c r="EM336" i="77"/>
  <c r="AA336" i="70" s="1"/>
  <c r="X336"/>
  <c r="IY347" i="77"/>
  <c r="AA347" i="74" s="1"/>
  <c r="X347"/>
  <c r="IY323" i="77"/>
  <c r="AA323" i="74" s="1"/>
  <c r="X323"/>
  <c r="HV336" i="77"/>
  <c r="AA336" i="73" s="1"/>
  <c r="X336"/>
  <c r="DJ298" i="77"/>
  <c r="AA298" i="69" s="1"/>
  <c r="X298"/>
  <c r="HV311" i="77"/>
  <c r="AA311" i="73" s="1"/>
  <c r="X311"/>
  <c r="HV321" i="77"/>
  <c r="AA321" i="73" s="1"/>
  <c r="X321"/>
  <c r="DJ313" i="77"/>
  <c r="AA313" i="69" s="1"/>
  <c r="X313"/>
  <c r="FP313" i="77"/>
  <c r="AA313" i="71" s="1"/>
  <c r="X313"/>
  <c r="DJ321" i="77"/>
  <c r="AA321" i="69" s="1"/>
  <c r="X321"/>
  <c r="BD307" i="77"/>
  <c r="AA307" i="65" s="1"/>
  <c r="X307"/>
  <c r="HV312" i="77"/>
  <c r="AA312" i="73" s="1"/>
  <c r="X312"/>
  <c r="AA318" i="77"/>
  <c r="AA318" i="39" s="1"/>
  <c r="X318"/>
  <c r="DG319" i="77"/>
  <c r="V319" i="69"/>
  <c r="AA304" i="77"/>
  <c r="AA304" i="39" s="1"/>
  <c r="X304"/>
  <c r="BD312" i="77"/>
  <c r="AA312" i="65" s="1"/>
  <c r="X312"/>
  <c r="CG319" i="77"/>
  <c r="AA319" i="68" s="1"/>
  <c r="X319"/>
  <c r="FP318" i="77"/>
  <c r="AA318" i="71" s="1"/>
  <c r="X318"/>
  <c r="HV318" i="77"/>
  <c r="AA318" i="73" s="1"/>
  <c r="X318"/>
  <c r="AA341" i="77"/>
  <c r="AA341" i="39" s="1"/>
  <c r="X341"/>
  <c r="CG341" i="77"/>
  <c r="AA341" i="68" s="1"/>
  <c r="X341"/>
  <c r="DJ315" i="77"/>
  <c r="AA315" i="69" s="1"/>
  <c r="X315"/>
  <c r="GS305" i="77"/>
  <c r="AA305" i="72" s="1"/>
  <c r="X305"/>
  <c r="U313" i="68"/>
  <c r="CD313" i="77"/>
  <c r="EN427"/>
  <c r="FN427"/>
  <c r="GQ180"/>
  <c r="FQ180"/>
  <c r="GQ179"/>
  <c r="FQ179"/>
  <c r="FN435"/>
  <c r="EN435"/>
  <c r="FN378"/>
  <c r="EN378"/>
  <c r="FN220"/>
  <c r="EN220"/>
  <c r="AA305" i="65"/>
  <c r="BF305" i="77"/>
  <c r="AC305" i="65" s="1"/>
  <c r="W341" i="69"/>
  <c r="DG341" i="77"/>
  <c r="W341" i="65"/>
  <c r="BA341" i="77"/>
  <c r="GQ172"/>
  <c r="FQ172"/>
  <c r="GQ298"/>
  <c r="FQ298"/>
  <c r="AB298" i="71" s="1"/>
  <c r="Y298"/>
  <c r="X105" i="77"/>
  <c r="AD431"/>
  <c r="AA174"/>
  <c r="FM312"/>
  <c r="AA298"/>
  <c r="AA298" i="39" s="1"/>
  <c r="X298"/>
  <c r="HV298" i="77"/>
  <c r="AA298" i="73" s="1"/>
  <c r="X298"/>
  <c r="BD304" i="77"/>
  <c r="AA304" i="65" s="1"/>
  <c r="X304"/>
  <c r="GS307" i="77"/>
  <c r="AA307" i="72" s="1"/>
  <c r="X307"/>
  <c r="DJ345" i="77"/>
  <c r="AA345" i="69" s="1"/>
  <c r="X345"/>
  <c r="X346" i="77"/>
  <c r="V346" i="39"/>
  <c r="CG347" i="77"/>
  <c r="AA347" i="68" s="1"/>
  <c r="X347"/>
  <c r="GS347" i="77"/>
  <c r="AA347" i="72" s="1"/>
  <c r="X347"/>
  <c r="DJ329" i="77"/>
  <c r="AA329" i="69" s="1"/>
  <c r="X329"/>
  <c r="HV329" i="77"/>
  <c r="AA329" i="73" s="1"/>
  <c r="X329"/>
  <c r="EM320" i="77"/>
  <c r="AA320" i="70" s="1"/>
  <c r="X320"/>
  <c r="AA336" i="77"/>
  <c r="AA336" i="39" s="1"/>
  <c r="X336"/>
  <c r="GS336" i="77"/>
  <c r="AA336" i="72" s="1"/>
  <c r="X336"/>
  <c r="AA326" i="77"/>
  <c r="AA326" i="39" s="1"/>
  <c r="X326"/>
  <c r="AA348" i="77"/>
  <c r="AA348" i="39" s="1"/>
  <c r="X348"/>
  <c r="IY303" i="77"/>
  <c r="AA303" i="74" s="1"/>
  <c r="X303"/>
  <c r="IY305" i="77"/>
  <c r="AA305" i="74" s="1"/>
  <c r="X305"/>
  <c r="AA308" i="77"/>
  <c r="AA308" i="39" s="1"/>
  <c r="X308"/>
  <c r="AA340" i="77"/>
  <c r="AA340" i="39" s="1"/>
  <c r="X340"/>
  <c r="AA337" i="77"/>
  <c r="AA337" i="39" s="1"/>
  <c r="X337"/>
  <c r="AA325" i="77"/>
  <c r="AA325" i="39" s="1"/>
  <c r="X325"/>
  <c r="DJ346" i="77"/>
  <c r="AA346" i="69" s="1"/>
  <c r="X346"/>
  <c r="GS346" i="77"/>
  <c r="AA346" i="72" s="1"/>
  <c r="X346"/>
  <c r="HV302" i="77"/>
  <c r="AA302" i="73" s="1"/>
  <c r="X302"/>
  <c r="IY329" i="77"/>
  <c r="AA329" i="74" s="1"/>
  <c r="X329"/>
  <c r="FP323" i="77"/>
  <c r="AA323" i="71" s="1"/>
  <c r="X323"/>
  <c r="BD302" i="77"/>
  <c r="AA302" i="65" s="1"/>
  <c r="X302"/>
  <c r="GS298" i="77"/>
  <c r="AA298" i="72" s="1"/>
  <c r="X298"/>
  <c r="HV307" i="77"/>
  <c r="AA307" i="73" s="1"/>
  <c r="X307"/>
  <c r="DJ301" i="77"/>
  <c r="AA301" i="69" s="1"/>
  <c r="X301"/>
  <c r="AA317" i="77"/>
  <c r="AA317" i="39" s="1"/>
  <c r="X317"/>
  <c r="IY345" i="77"/>
  <c r="AA345" i="74" s="1"/>
  <c r="X345"/>
  <c r="IY312" i="77"/>
  <c r="AA312" i="74" s="1"/>
  <c r="X312"/>
  <c r="EM341" i="77"/>
  <c r="AA341" i="70" s="1"/>
  <c r="X341"/>
  <c r="GS315" i="77"/>
  <c r="AA315" i="72" s="1"/>
  <c r="X315"/>
  <c r="AA328" i="77"/>
  <c r="AA328" i="39" s="1"/>
  <c r="X328"/>
  <c r="EM319" i="77"/>
  <c r="AA319" i="70" s="1"/>
  <c r="X319"/>
  <c r="IY301" i="77"/>
  <c r="AA301" i="74" s="1"/>
  <c r="X301"/>
  <c r="GS319" i="77"/>
  <c r="AA319" i="72" s="1"/>
  <c r="X319"/>
  <c r="CD321" i="77"/>
  <c r="U321" i="68"/>
  <c r="AA331" i="77"/>
  <c r="AA331" i="39" s="1"/>
  <c r="X331"/>
  <c r="CG303" i="77"/>
  <c r="AA303" i="68" s="1"/>
  <c r="X303"/>
  <c r="EM318" i="77"/>
  <c r="AA318" i="70" s="1"/>
  <c r="X318"/>
  <c r="HV305" i="77"/>
  <c r="AA305" i="73" s="1"/>
  <c r="X305"/>
  <c r="BD318" i="77"/>
  <c r="AA318" i="65" s="1"/>
  <c r="X318"/>
  <c r="AA314" i="77"/>
  <c r="AA314" i="39" s="1"/>
  <c r="X314"/>
  <c r="FN434" i="77"/>
  <c r="EN434"/>
  <c r="FN359"/>
  <c r="EN359"/>
  <c r="FN380"/>
  <c r="EN380"/>
  <c r="FN227"/>
  <c r="EN227"/>
  <c r="FN363"/>
  <c r="EN363"/>
  <c r="FN206"/>
  <c r="EN206"/>
  <c r="FN382"/>
  <c r="EN382"/>
  <c r="HT182"/>
  <c r="GT182"/>
  <c r="FN235"/>
  <c r="EN235"/>
  <c r="FN249"/>
  <c r="EN249"/>
  <c r="V318" i="68"/>
  <c r="CD318" i="77"/>
  <c r="FN357"/>
  <c r="EN357"/>
  <c r="FN389"/>
  <c r="EN389"/>
  <c r="IW203"/>
  <c r="IZ203" s="1"/>
  <c r="HW203"/>
  <c r="FN370"/>
  <c r="EN370"/>
  <c r="FN439"/>
  <c r="EN439"/>
  <c r="FN353"/>
  <c r="EN353"/>
  <c r="FN438"/>
  <c r="EN438"/>
  <c r="FN352"/>
  <c r="EN352"/>
  <c r="FN400"/>
  <c r="EN400"/>
  <c r="FN226"/>
  <c r="EN226"/>
  <c r="FN232"/>
  <c r="EN232"/>
  <c r="GQ176"/>
  <c r="FQ176"/>
  <c r="FN425"/>
  <c r="EN425"/>
  <c r="FN368"/>
  <c r="EN368"/>
  <c r="HS431"/>
  <c r="HV431" s="1"/>
  <c r="EM298"/>
  <c r="AA298" i="70" s="1"/>
  <c r="X298"/>
  <c r="FP302" i="77"/>
  <c r="AA302" i="71" s="1"/>
  <c r="X302"/>
  <c r="CG304" i="77"/>
  <c r="AA304" i="68" s="1"/>
  <c r="X304"/>
  <c r="CG323" i="77"/>
  <c r="AA323" i="68" s="1"/>
  <c r="X323"/>
  <c r="EM345" i="77"/>
  <c r="AA345" i="70" s="1"/>
  <c r="X345"/>
  <c r="BD347" i="77"/>
  <c r="AA347" i="65" s="1"/>
  <c r="X347"/>
  <c r="FP347" i="77"/>
  <c r="AA347" i="71" s="1"/>
  <c r="X347"/>
  <c r="CG329" i="77"/>
  <c r="AA329" i="68" s="1"/>
  <c r="X329"/>
  <c r="GS329" i="77"/>
  <c r="AA329" i="72" s="1"/>
  <c r="X329"/>
  <c r="DJ320" i="77"/>
  <c r="AA320" i="69" s="1"/>
  <c r="X320"/>
  <c r="IY320" i="77"/>
  <c r="AA320" i="74" s="1"/>
  <c r="X320"/>
  <c r="FP336" i="77"/>
  <c r="AA336" i="71" s="1"/>
  <c r="X336"/>
  <c r="AA327" i="77"/>
  <c r="AA327" i="39" s="1"/>
  <c r="X327"/>
  <c r="AA338" i="77"/>
  <c r="AA338" i="39" s="1"/>
  <c r="X338"/>
  <c r="AA343" i="77"/>
  <c r="AA343" i="39" s="1"/>
  <c r="X343"/>
  <c r="CG305" i="77"/>
  <c r="AA305" i="68" s="1"/>
  <c r="X305"/>
  <c r="AA305" i="77"/>
  <c r="AA305" i="39" s="1"/>
  <c r="X305"/>
  <c r="AA330" i="77"/>
  <c r="AA330" i="39" s="1"/>
  <c r="X330"/>
  <c r="AA334" i="77"/>
  <c r="AA334" i="39" s="1"/>
  <c r="X334"/>
  <c r="BD336" i="77"/>
  <c r="AA336" i="65" s="1"/>
  <c r="X336"/>
  <c r="HV346" i="77"/>
  <c r="AA346" i="73" s="1"/>
  <c r="X346"/>
  <c r="DJ323" i="77"/>
  <c r="AA323" i="69" s="1"/>
  <c r="X323"/>
  <c r="BD320" i="77"/>
  <c r="AA320" i="65" s="1"/>
  <c r="X320"/>
  <c r="GS323" i="77"/>
  <c r="AA323" i="72" s="1"/>
  <c r="X323"/>
  <c r="DJ302" i="77"/>
  <c r="AA302" i="69" s="1"/>
  <c r="X302"/>
  <c r="GS304" i="77"/>
  <c r="AA304" i="72" s="1"/>
  <c r="X304"/>
  <c r="HV345" i="77"/>
  <c r="AA345" i="73" s="1"/>
  <c r="X345"/>
  <c r="HV313" i="77"/>
  <c r="AA313" i="73" s="1"/>
  <c r="X313"/>
  <c r="AA319" i="77"/>
  <c r="AA319" i="39" s="1"/>
  <c r="X319"/>
  <c r="CG298" i="77"/>
  <c r="AA298" i="68" s="1"/>
  <c r="X298"/>
  <c r="IY318" i="77"/>
  <c r="AA318" i="74" s="1"/>
  <c r="X318"/>
  <c r="HV301" i="77"/>
  <c r="AA301" i="73" s="1"/>
  <c r="X301"/>
  <c r="FP321" i="77"/>
  <c r="AA321" i="71" s="1"/>
  <c r="X321"/>
  <c r="BD313" i="77"/>
  <c r="AA313" i="65" s="1"/>
  <c r="X313"/>
  <c r="DJ318" i="77"/>
  <c r="AA318" i="69" s="1"/>
  <c r="X318"/>
  <c r="GS341" i="77"/>
  <c r="AA341" i="72" s="1"/>
  <c r="X341"/>
  <c r="AA302" i="77"/>
  <c r="AA302" i="39" s="1"/>
  <c r="X302"/>
  <c r="EN367" i="77"/>
  <c r="FN367"/>
  <c r="EN406"/>
  <c r="FN406"/>
  <c r="FQ178"/>
  <c r="GQ178"/>
  <c r="FQ177"/>
  <c r="GQ177"/>
  <c r="FN405"/>
  <c r="EN405"/>
  <c r="FN358"/>
  <c r="EN358"/>
  <c r="AA303" i="65"/>
  <c r="BF303" i="77"/>
  <c r="AC303" i="65" s="1"/>
  <c r="BG303" i="77"/>
  <c r="AD303" i="65" s="1"/>
  <c r="EN404" i="77"/>
  <c r="FN404"/>
  <c r="GQ174"/>
  <c r="FQ174"/>
  <c r="EL318"/>
  <c r="Z318" i="70" s="1"/>
  <c r="Z115" i="77"/>
  <c r="X160"/>
  <c r="Z314"/>
  <c r="X310"/>
  <c r="GQ329"/>
  <c r="FQ329"/>
  <c r="AB329" i="71" s="1"/>
  <c r="Y329"/>
  <c r="FQ346" i="77"/>
  <c r="AB346" i="71" s="1"/>
  <c r="GQ346" i="77"/>
  <c r="Y346" i="71"/>
  <c r="FQ341" i="77"/>
  <c r="GQ341"/>
  <c r="Y341" i="71"/>
  <c r="FO341" i="77"/>
  <c r="Z341" i="71" s="1"/>
  <c r="GQ323" i="77"/>
  <c r="FQ323"/>
  <c r="AB323" i="71" s="1"/>
  <c r="Y323"/>
  <c r="FQ345" i="77"/>
  <c r="AB345" i="71" s="1"/>
  <c r="GQ345" i="77"/>
  <c r="Y345" i="71"/>
  <c r="GQ347" i="77"/>
  <c r="FQ347"/>
  <c r="AB347" i="71" s="1"/>
  <c r="Y347"/>
  <c r="GQ336" i="77"/>
  <c r="FQ336"/>
  <c r="AB336" i="71" s="1"/>
  <c r="Y336"/>
  <c r="FQ307" i="77"/>
  <c r="AB307" i="71" s="1"/>
  <c r="GQ307" i="77"/>
  <c r="Y307" i="71"/>
  <c r="GQ312" i="77"/>
  <c r="FQ312"/>
  <c r="AB312" i="71" s="1"/>
  <c r="Y312"/>
  <c r="GQ304" i="77"/>
  <c r="FQ304"/>
  <c r="AB304" i="71" s="1"/>
  <c r="Y304"/>
  <c r="GQ301" i="77"/>
  <c r="FQ301"/>
  <c r="AB301" i="71" s="1"/>
  <c r="Y301"/>
  <c r="GQ319" i="77"/>
  <c r="FQ319"/>
  <c r="AB319" i="71" s="1"/>
  <c r="Y319"/>
  <c r="FQ313" i="77"/>
  <c r="AB313" i="71" s="1"/>
  <c r="GQ313" i="77"/>
  <c r="Y313" i="71"/>
  <c r="FQ302" i="77"/>
  <c r="AB302" i="71" s="1"/>
  <c r="GQ302" i="77"/>
  <c r="Y302" i="71"/>
  <c r="GQ320" i="77"/>
  <c r="FQ320"/>
  <c r="AB320" i="71" s="1"/>
  <c r="Y320"/>
  <c r="HT318" i="77"/>
  <c r="GT318"/>
  <c r="AB318" i="72" s="1"/>
  <c r="Y318"/>
  <c r="FQ315" i="77"/>
  <c r="AB315" i="71" s="1"/>
  <c r="GQ315" i="77"/>
  <c r="Y315" i="71"/>
  <c r="IU362" i="77"/>
  <c r="IR228"/>
  <c r="T228" i="74" s="1"/>
  <c r="IU412" i="77"/>
  <c r="IR338"/>
  <c r="Q338" i="74"/>
  <c r="IR328" i="77"/>
  <c r="Q328" i="74"/>
  <c r="IR326" i="77"/>
  <c r="Q326" i="74"/>
  <c r="IR308" i="77"/>
  <c r="Q308" i="74"/>
  <c r="IR344" i="77"/>
  <c r="Q344" i="74"/>
  <c r="IR332" i="77"/>
  <c r="Q332" i="74"/>
  <c r="IR325" i="77"/>
  <c r="Q325" i="74"/>
  <c r="IR314" i="77"/>
  <c r="Q314" i="74"/>
  <c r="IR300" i="77"/>
  <c r="Q300" i="74"/>
  <c r="IR337" i="77"/>
  <c r="Q337" i="74"/>
  <c r="IR327" i="77"/>
  <c r="IU327" s="1"/>
  <c r="W327" i="74" s="1"/>
  <c r="Q327"/>
  <c r="IR343" i="77"/>
  <c r="Q343" i="74"/>
  <c r="IR339" i="77"/>
  <c r="Q339" i="74"/>
  <c r="IR348" i="77"/>
  <c r="Q348" i="74"/>
  <c r="IR324" i="77"/>
  <c r="Q324" i="74"/>
  <c r="IR306" i="77"/>
  <c r="Q306" i="74"/>
  <c r="IR342" i="77"/>
  <c r="Q342" i="74"/>
  <c r="IR330" i="77"/>
  <c r="Q330" i="74"/>
  <c r="IR340" i="77"/>
  <c r="Q340" i="74"/>
  <c r="IO335" i="77"/>
  <c r="Q335" i="74" s="1"/>
  <c r="M335"/>
  <c r="HO228" i="77"/>
  <c r="T228" i="73" s="1"/>
  <c r="HR201" i="77"/>
  <c r="HO314"/>
  <c r="Q314" i="73"/>
  <c r="HL334" i="77"/>
  <c r="Q334" i="73" s="1"/>
  <c r="L334"/>
  <c r="HO316" i="77"/>
  <c r="Q316" i="73"/>
  <c r="GI306" i="77"/>
  <c r="Q306" i="72" s="1"/>
  <c r="K306"/>
  <c r="GI299" i="77"/>
  <c r="Q299" i="72" s="1"/>
  <c r="K299"/>
  <c r="GI332" i="77"/>
  <c r="Q332" i="72" s="1"/>
  <c r="K332"/>
  <c r="GI326" i="77"/>
  <c r="Q326" i="72" s="1"/>
  <c r="K326"/>
  <c r="GI337" i="77"/>
  <c r="Q337" i="72" s="1"/>
  <c r="K337"/>
  <c r="GN211" i="77"/>
  <c r="FI314"/>
  <c r="Q314" i="71"/>
  <c r="FI331" i="77"/>
  <c r="T331" i="71" s="1"/>
  <c r="Q331"/>
  <c r="FK281" i="77"/>
  <c r="EG154"/>
  <c r="EC333"/>
  <c r="Q333" i="70" s="1"/>
  <c r="I333"/>
  <c r="EC299" i="77"/>
  <c r="Q299" i="70" s="1"/>
  <c r="I299"/>
  <c r="EC328" i="77"/>
  <c r="Q328" i="70" s="1"/>
  <c r="I328"/>
  <c r="EC340" i="77"/>
  <c r="Q340" i="70" s="1"/>
  <c r="I340"/>
  <c r="EI371" i="77"/>
  <c r="EF314"/>
  <c r="Q314" i="70"/>
  <c r="EC326" i="77"/>
  <c r="Q326" i="70" s="1"/>
  <c r="I326"/>
  <c r="EC330" i="77"/>
  <c r="Q330" i="70" s="1"/>
  <c r="I330"/>
  <c r="DE201" i="77"/>
  <c r="CZ306"/>
  <c r="Q306" i="69" s="1"/>
  <c r="H306"/>
  <c r="CZ343" i="77"/>
  <c r="Q343" i="69" s="1"/>
  <c r="H343"/>
  <c r="CZ344" i="77"/>
  <c r="Q344" i="69" s="1"/>
  <c r="H344"/>
  <c r="CZ332" i="77"/>
  <c r="Q332" i="69" s="1"/>
  <c r="H332"/>
  <c r="CZ324" i="77"/>
  <c r="Q324" i="69" s="1"/>
  <c r="H324"/>
  <c r="CZ303" i="77"/>
  <c r="Q303" i="69" s="1"/>
  <c r="H303"/>
  <c r="CZ339" i="77"/>
  <c r="Q339" i="69" s="1"/>
  <c r="H339"/>
  <c r="CZ328" i="77"/>
  <c r="Q328" i="69" s="1"/>
  <c r="H328"/>
  <c r="DC360" i="77"/>
  <c r="DF213"/>
  <c r="CZ300"/>
  <c r="Q300" i="69" s="1"/>
  <c r="H300"/>
  <c r="BA216" i="77"/>
  <c r="AW314"/>
  <c r="Q314" i="65"/>
  <c r="Z271" i="77"/>
  <c r="Z341" i="39"/>
  <c r="Z315"/>
  <c r="Z314"/>
  <c r="Z313"/>
  <c r="Z304"/>
  <c r="Z302"/>
  <c r="HQ281" i="77"/>
  <c r="HS281" s="1"/>
  <c r="HM143"/>
  <c r="EC102"/>
  <c r="IU243"/>
  <c r="IT243"/>
  <c r="EL336"/>
  <c r="Z336" i="70" s="1"/>
  <c r="DE211" i="77"/>
  <c r="HR314"/>
  <c r="W314" i="73" s="1"/>
  <c r="HQ213" i="77"/>
  <c r="DI318"/>
  <c r="Z318" i="69" s="1"/>
  <c r="HM18" i="77"/>
  <c r="HO226"/>
  <c r="T226" i="73" s="1"/>
  <c r="BZ228" i="77"/>
  <c r="T228" i="68" s="1"/>
  <c r="BA315" i="77"/>
  <c r="HR213"/>
  <c r="DF211"/>
  <c r="IV199"/>
  <c r="IT338"/>
  <c r="V338" i="74" s="1"/>
  <c r="IU215" i="77"/>
  <c r="IU343"/>
  <c r="W343" i="74" s="1"/>
  <c r="IV182" i="77"/>
  <c r="IU371"/>
  <c r="IV371" s="1"/>
  <c r="IY371" s="1"/>
  <c r="HQ316"/>
  <c r="V316" i="73" s="1"/>
  <c r="GP412" i="77"/>
  <c r="GP183"/>
  <c r="FM413"/>
  <c r="EI314"/>
  <c r="W314" i="70" s="1"/>
  <c r="EH314" i="77"/>
  <c r="V314" i="70" s="1"/>
  <c r="EJ104" i="77"/>
  <c r="DE213"/>
  <c r="DF201"/>
  <c r="CD210"/>
  <c r="CD155"/>
  <c r="IV64"/>
  <c r="IY64" s="1"/>
  <c r="FO298"/>
  <c r="Z298" i="71" s="1"/>
  <c r="FO304" i="77"/>
  <c r="Z304" i="71" s="1"/>
  <c r="BC346" i="77"/>
  <c r="Z346" i="65" s="1"/>
  <c r="X241" i="77"/>
  <c r="X414"/>
  <c r="HQ91"/>
  <c r="IV319"/>
  <c r="DF210"/>
  <c r="GP281"/>
  <c r="FM155"/>
  <c r="DE210"/>
  <c r="CJ41"/>
  <c r="EL301"/>
  <c r="Z301" i="70" s="1"/>
  <c r="GR341" i="77"/>
  <c r="Z341" i="72" s="1"/>
  <c r="Z311" i="77"/>
  <c r="GP51"/>
  <c r="AA191"/>
  <c r="Z170"/>
  <c r="GP15"/>
  <c r="GS15" s="1"/>
  <c r="HL141"/>
  <c r="HL175"/>
  <c r="HL163"/>
  <c r="HL162"/>
  <c r="HL221"/>
  <c r="CZ156"/>
  <c r="CZ61"/>
  <c r="IO17"/>
  <c r="X215"/>
  <c r="EL302"/>
  <c r="Z302" i="70" s="1"/>
  <c r="GR304" i="77"/>
  <c r="Z304" i="72" s="1"/>
  <c r="FO323" i="77"/>
  <c r="Z323" i="71" s="1"/>
  <c r="GR345" i="77"/>
  <c r="Z345" i="72" s="1"/>
  <c r="GR346" i="77"/>
  <c r="Z346" i="72" s="1"/>
  <c r="IU337" i="77"/>
  <c r="W337" i="74" s="1"/>
  <c r="IU325" i="77"/>
  <c r="CF319"/>
  <c r="Z319" i="68" s="1"/>
  <c r="DI312" i="77"/>
  <c r="Z312" i="69" s="1"/>
  <c r="AA103" i="77"/>
  <c r="FO14"/>
  <c r="BA148"/>
  <c r="CD149"/>
  <c r="HU318"/>
  <c r="Z318" i="73" s="1"/>
  <c r="Z371" i="77"/>
  <c r="X441"/>
  <c r="Z441" s="1"/>
  <c r="IV431"/>
  <c r="IY431" s="1"/>
  <c r="HR91"/>
  <c r="HL14"/>
  <c r="IO13"/>
  <c r="DI304"/>
  <c r="Z304" i="69" s="1"/>
  <c r="BA323" i="77"/>
  <c r="CD213"/>
  <c r="HR316"/>
  <c r="W316" i="73" s="1"/>
  <c r="CD311" i="77"/>
  <c r="HS417"/>
  <c r="HV417" s="1"/>
  <c r="CZ105"/>
  <c r="DC105" s="1"/>
  <c r="IP216"/>
  <c r="HO219"/>
  <c r="HP219" s="1"/>
  <c r="HO218"/>
  <c r="HP218" s="1"/>
  <c r="HO170"/>
  <c r="HP170" s="1"/>
  <c r="HO419"/>
  <c r="HO177"/>
  <c r="HP177" s="1"/>
  <c r="HO461"/>
  <c r="HO104"/>
  <c r="HP104" s="1"/>
  <c r="HO179"/>
  <c r="HO149"/>
  <c r="HO145"/>
  <c r="HO166"/>
  <c r="HO21"/>
  <c r="HP21" s="1"/>
  <c r="HO111"/>
  <c r="HP111" s="1"/>
  <c r="HO102"/>
  <c r="HO214"/>
  <c r="HO108"/>
  <c r="HP271"/>
  <c r="HQ271"/>
  <c r="HR271"/>
  <c r="HO130"/>
  <c r="HO118"/>
  <c r="HP118" s="1"/>
  <c r="HO161"/>
  <c r="HO128"/>
  <c r="HP128" s="1"/>
  <c r="HO126"/>
  <c r="HO332"/>
  <c r="HO343"/>
  <c r="T343" i="73" s="1"/>
  <c r="HO299" i="77"/>
  <c r="HO340"/>
  <c r="T340" i="73" s="1"/>
  <c r="HO348" i="77"/>
  <c r="HN14"/>
  <c r="HI14"/>
  <c r="HN151"/>
  <c r="HI151"/>
  <c r="HN162"/>
  <c r="HI162"/>
  <c r="HI186"/>
  <c r="HN186"/>
  <c r="HI210"/>
  <c r="HN210"/>
  <c r="DC186"/>
  <c r="DD186" s="1"/>
  <c r="DC183"/>
  <c r="DC142"/>
  <c r="DD142" s="1"/>
  <c r="DC198"/>
  <c r="DC188"/>
  <c r="DD188" s="1"/>
  <c r="DC120"/>
  <c r="DC101"/>
  <c r="DD101" s="1"/>
  <c r="DC164"/>
  <c r="DD164" s="1"/>
  <c r="DC132"/>
  <c r="DD132" s="1"/>
  <c r="DC17"/>
  <c r="DC309"/>
  <c r="DA107"/>
  <c r="CW107"/>
  <c r="DB107"/>
  <c r="DB105"/>
  <c r="CW105"/>
  <c r="CW61"/>
  <c r="DB61"/>
  <c r="DA123"/>
  <c r="CW123"/>
  <c r="DB123"/>
  <c r="DA143"/>
  <c r="CW143"/>
  <c r="DB143"/>
  <c r="DB158"/>
  <c r="DC158" s="1"/>
  <c r="CW158"/>
  <c r="DA158"/>
  <c r="DB181"/>
  <c r="CW181"/>
  <c r="DA181"/>
  <c r="CZ134"/>
  <c r="DA134"/>
  <c r="DB134"/>
  <c r="CW134"/>
  <c r="DB51"/>
  <c r="CW51"/>
  <c r="CZ135"/>
  <c r="CW135"/>
  <c r="DB135"/>
  <c r="DA135"/>
  <c r="DB162"/>
  <c r="CW162"/>
  <c r="DA162"/>
  <c r="DB124"/>
  <c r="DA124"/>
  <c r="CW124"/>
  <c r="DA141"/>
  <c r="DB141"/>
  <c r="CW141"/>
  <c r="DA161"/>
  <c r="DC161" s="1"/>
  <c r="DB161"/>
  <c r="CW161"/>
  <c r="DB189"/>
  <c r="DA189"/>
  <c r="CW189"/>
  <c r="DA281"/>
  <c r="CW281"/>
  <c r="DB281"/>
  <c r="DA316"/>
  <c r="R316" i="69" s="1"/>
  <c r="DB316" i="77"/>
  <c r="S316" i="69" s="1"/>
  <c r="CW316" i="77"/>
  <c r="N316" i="69" s="1"/>
  <c r="CZ215" i="77"/>
  <c r="DB215"/>
  <c r="CW215"/>
  <c r="DA215"/>
  <c r="DB300"/>
  <c r="S300" i="69" s="1"/>
  <c r="DA300" i="77"/>
  <c r="R300" i="69" s="1"/>
  <c r="CW300" i="77"/>
  <c r="N300" i="69" s="1"/>
  <c r="DB197" i="77"/>
  <c r="CW197"/>
  <c r="DA197"/>
  <c r="DB330"/>
  <c r="S330" i="69" s="1"/>
  <c r="DA330" i="77"/>
  <c r="CW330"/>
  <c r="N330" i="69" s="1"/>
  <c r="DB337" i="77"/>
  <c r="S337" i="69" s="1"/>
  <c r="DA337" i="77"/>
  <c r="R337" i="69" s="1"/>
  <c r="CW337" i="77"/>
  <c r="N337" i="69" s="1"/>
  <c r="DB327" i="77"/>
  <c r="S327" i="69" s="1"/>
  <c r="DA327" i="77"/>
  <c r="R327" i="69" s="1"/>
  <c r="CW327" i="77"/>
  <c r="N327" i="69" s="1"/>
  <c r="DB342" i="77"/>
  <c r="S342" i="69" s="1"/>
  <c r="DA342" i="77"/>
  <c r="R342" i="69" s="1"/>
  <c r="CW342" i="77"/>
  <c r="N342" i="69" s="1"/>
  <c r="DB416" i="77"/>
  <c r="CW416"/>
  <c r="CW415"/>
  <c r="DB415"/>
  <c r="DC415" s="1"/>
  <c r="DA441"/>
  <c r="CW441"/>
  <c r="DB441"/>
  <c r="DB411"/>
  <c r="DC411" s="1"/>
  <c r="CW411"/>
  <c r="IR416"/>
  <c r="IS416" s="1"/>
  <c r="IR213"/>
  <c r="IS213" s="1"/>
  <c r="IR381"/>
  <c r="IS381" s="1"/>
  <c r="IU154"/>
  <c r="IT154"/>
  <c r="GR323"/>
  <c r="Z323" i="72" s="1"/>
  <c r="DI346" i="77"/>
  <c r="Z346" i="69" s="1"/>
  <c r="BC320" i="77"/>
  <c r="Z320" i="65" s="1"/>
  <c r="BC336" i="77"/>
  <c r="Z336" i="65" s="1"/>
  <c r="CD413" i="77"/>
  <c r="FM183"/>
  <c r="CD173"/>
  <c r="Z188"/>
  <c r="CD221"/>
  <c r="FM215"/>
  <c r="CD159"/>
  <c r="FS18"/>
  <c r="X186"/>
  <c r="FO301"/>
  <c r="Z301" i="71" s="1"/>
  <c r="AA104" i="77"/>
  <c r="GP210"/>
  <c r="IV219"/>
  <c r="BA171"/>
  <c r="AC158"/>
  <c r="Z316"/>
  <c r="HL164"/>
  <c r="CZ107"/>
  <c r="HO413"/>
  <c r="HP413" s="1"/>
  <c r="HO300"/>
  <c r="HO217"/>
  <c r="HP217" s="1"/>
  <c r="HO174"/>
  <c r="HP174" s="1"/>
  <c r="HO215"/>
  <c r="HP215" s="1"/>
  <c r="HO181"/>
  <c r="HP181" s="1"/>
  <c r="HO331"/>
  <c r="HO172"/>
  <c r="HP172" s="1"/>
  <c r="HO148"/>
  <c r="HP148" s="1"/>
  <c r="HO317"/>
  <c r="HO261"/>
  <c r="HP261" s="1"/>
  <c r="HO116"/>
  <c r="HP116" s="1"/>
  <c r="HO137"/>
  <c r="HP137" s="1"/>
  <c r="HO117"/>
  <c r="HP117" s="1"/>
  <c r="HO165"/>
  <c r="HP165" s="1"/>
  <c r="HO122"/>
  <c r="HP122" s="1"/>
  <c r="HO133"/>
  <c r="HP133" s="1"/>
  <c r="HO391"/>
  <c r="HP391" s="1"/>
  <c r="HP168"/>
  <c r="HQ168"/>
  <c r="HR168"/>
  <c r="HO131"/>
  <c r="HP131" s="1"/>
  <c r="HP198"/>
  <c r="HR198"/>
  <c r="HQ198"/>
  <c r="HO159"/>
  <c r="HP159" s="1"/>
  <c r="HO184"/>
  <c r="HP184" s="1"/>
  <c r="HP61"/>
  <c r="HR61"/>
  <c r="HQ61"/>
  <c r="HO110"/>
  <c r="HP110" s="1"/>
  <c r="HO333"/>
  <c r="T333" i="73" s="1"/>
  <c r="HO330" i="77"/>
  <c r="HO327"/>
  <c r="T327" i="73" s="1"/>
  <c r="HI18" i="77"/>
  <c r="HN18"/>
  <c r="HL112"/>
  <c r="HI112"/>
  <c r="HN112"/>
  <c r="HO308"/>
  <c r="T308" i="73" s="1"/>
  <c r="HN15" i="77"/>
  <c r="HI15"/>
  <c r="HM15"/>
  <c r="HO115"/>
  <c r="HO339"/>
  <c r="HL146"/>
  <c r="HN146"/>
  <c r="HI146"/>
  <c r="HL150"/>
  <c r="HI150"/>
  <c r="HN150"/>
  <c r="HI143"/>
  <c r="HN143"/>
  <c r="HO143" s="1"/>
  <c r="HN139"/>
  <c r="HO139" s="1"/>
  <c r="HI139"/>
  <c r="HN175"/>
  <c r="HI175"/>
  <c r="HI191"/>
  <c r="HN191"/>
  <c r="HO191" s="1"/>
  <c r="HI251"/>
  <c r="HN251"/>
  <c r="DC172"/>
  <c r="DC179"/>
  <c r="DD179" s="1"/>
  <c r="DC91"/>
  <c r="DC13"/>
  <c r="DD13" s="1"/>
  <c r="DC103"/>
  <c r="DC106"/>
  <c r="DD106" s="1"/>
  <c r="DC194"/>
  <c r="DC163"/>
  <c r="DD163" s="1"/>
  <c r="DC21"/>
  <c r="DC335"/>
  <c r="DC340"/>
  <c r="T340" i="69" s="1"/>
  <c r="CZ31" i="77"/>
  <c r="CW31"/>
  <c r="DB31"/>
  <c r="DA31"/>
  <c r="DA110"/>
  <c r="CW110"/>
  <c r="DB110"/>
  <c r="DA108"/>
  <c r="CW108"/>
  <c r="DB108"/>
  <c r="DA121"/>
  <c r="CW121"/>
  <c r="DB121"/>
  <c r="DA133"/>
  <c r="DB133"/>
  <c r="CW133"/>
  <c r="IR186"/>
  <c r="IS186" s="1"/>
  <c r="IR143"/>
  <c r="IR91"/>
  <c r="IS91" s="1"/>
  <c r="IR104"/>
  <c r="GP44"/>
  <c r="GS44" s="1"/>
  <c r="IV404"/>
  <c r="IY404" s="1"/>
  <c r="CF298"/>
  <c r="Z298" i="68" s="1"/>
  <c r="GR298" i="77"/>
  <c r="Z298" i="72" s="1"/>
  <c r="CF302" i="77"/>
  <c r="Z302" i="68" s="1"/>
  <c r="EJ346" i="77"/>
  <c r="Z328"/>
  <c r="X261"/>
  <c r="GP419"/>
  <c r="HQ314"/>
  <c r="V314" i="73" s="1"/>
  <c r="GP301" i="77"/>
  <c r="X109"/>
  <c r="BA71"/>
  <c r="X216"/>
  <c r="HR211"/>
  <c r="FM171"/>
  <c r="X155"/>
  <c r="HS155"/>
  <c r="BC318"/>
  <c r="Z318" i="65" s="1"/>
  <c r="HS201" i="77"/>
  <c r="FM199"/>
  <c r="HS105"/>
  <c r="EJ313"/>
  <c r="X313" i="70" s="1"/>
  <c r="HO412" i="77"/>
  <c r="HP412" s="1"/>
  <c r="HO291"/>
  <c r="HP291" s="1"/>
  <c r="HO178"/>
  <c r="HP178" s="1"/>
  <c r="HO216"/>
  <c r="HP216" s="1"/>
  <c r="HO241"/>
  <c r="HP241" s="1"/>
  <c r="HO185"/>
  <c r="HP185" s="1"/>
  <c r="HO169"/>
  <c r="HP169" s="1"/>
  <c r="HO171"/>
  <c r="HP171" s="1"/>
  <c r="HO144"/>
  <c r="HP144" s="1"/>
  <c r="HO176"/>
  <c r="HP176" s="1"/>
  <c r="HO140"/>
  <c r="HP140" s="1"/>
  <c r="HO192"/>
  <c r="HP192" s="1"/>
  <c r="HO106"/>
  <c r="HP106" s="1"/>
  <c r="HO129"/>
  <c r="HP129" s="1"/>
  <c r="HP101"/>
  <c r="HR101"/>
  <c r="HQ101"/>
  <c r="HO142"/>
  <c r="HP142" s="1"/>
  <c r="HO441"/>
  <c r="HP189"/>
  <c r="HQ189"/>
  <c r="HR189"/>
  <c r="HO132"/>
  <c r="HP132" s="1"/>
  <c r="HO361"/>
  <c r="HP361" s="1"/>
  <c r="HP194"/>
  <c r="HQ194"/>
  <c r="HR194"/>
  <c r="HO134"/>
  <c r="HP167"/>
  <c r="HQ167"/>
  <c r="HR167"/>
  <c r="HO136"/>
  <c r="HP136" s="1"/>
  <c r="HO113"/>
  <c r="HP113" s="1"/>
  <c r="HO119"/>
  <c r="HP119" s="1"/>
  <c r="HO153"/>
  <c r="HP153" s="1"/>
  <c r="HO16"/>
  <c r="HP16" s="1"/>
  <c r="HO337"/>
  <c r="HL19"/>
  <c r="HI19"/>
  <c r="HN19"/>
  <c r="HO326"/>
  <c r="T326" i="73" s="1"/>
  <c r="HO328" i="77"/>
  <c r="HO342"/>
  <c r="T342" i="73" s="1"/>
  <c r="HN103" i="77"/>
  <c r="HO103" s="1"/>
  <c r="HI103"/>
  <c r="HO344"/>
  <c r="T344" i="73" s="1"/>
  <c r="HO107" i="77"/>
  <c r="HP107" s="1"/>
  <c r="HN141"/>
  <c r="HI141"/>
  <c r="HL124"/>
  <c r="HN124"/>
  <c r="HI124"/>
  <c r="HN138"/>
  <c r="HO138" s="1"/>
  <c r="HI138"/>
  <c r="HL125"/>
  <c r="HN125"/>
  <c r="HI125"/>
  <c r="HN164"/>
  <c r="HI164"/>
  <c r="HI199"/>
  <c r="HN199"/>
  <c r="HO199" s="1"/>
  <c r="HI190"/>
  <c r="HN190"/>
  <c r="HO190" s="1"/>
  <c r="HN334"/>
  <c r="S334" i="73" s="1"/>
  <c r="HM334" i="77"/>
  <c r="R334" i="73" s="1"/>
  <c r="HI334" i="77"/>
  <c r="N334" i="73" s="1"/>
  <c r="DC241" i="77"/>
  <c r="DD241" s="1"/>
  <c r="DC176"/>
  <c r="DD176" s="1"/>
  <c r="DC185"/>
  <c r="DD185" s="1"/>
  <c r="DC381"/>
  <c r="DD381" s="1"/>
  <c r="DC331"/>
  <c r="DC182"/>
  <c r="DD182" s="1"/>
  <c r="DC167"/>
  <c r="DD167" s="1"/>
  <c r="DC102"/>
  <c r="DD102" s="1"/>
  <c r="DC221"/>
  <c r="DD221" s="1"/>
  <c r="DC145"/>
  <c r="DD145" s="1"/>
  <c r="DC165"/>
  <c r="DD165" s="1"/>
  <c r="DC119"/>
  <c r="DD119" s="1"/>
  <c r="DC333"/>
  <c r="CZ81"/>
  <c r="CW81"/>
  <c r="DA81"/>
  <c r="DB81"/>
  <c r="DC299"/>
  <c r="DB71"/>
  <c r="CW71"/>
  <c r="DA71"/>
  <c r="CZ104"/>
  <c r="CW104"/>
  <c r="DA104"/>
  <c r="DB104"/>
  <c r="DA117"/>
  <c r="CW117"/>
  <c r="DB117"/>
  <c r="DB130"/>
  <c r="DA130"/>
  <c r="CW130"/>
  <c r="DB149"/>
  <c r="DA149"/>
  <c r="CW149"/>
  <c r="DB174"/>
  <c r="CW174"/>
  <c r="DA174"/>
  <c r="DA114"/>
  <c r="CW114"/>
  <c r="DB114"/>
  <c r="CW144"/>
  <c r="DA144"/>
  <c r="DB144"/>
  <c r="DA157"/>
  <c r="DB157"/>
  <c r="CW157"/>
  <c r="DB129"/>
  <c r="DA129"/>
  <c r="CW129"/>
  <c r="DA150"/>
  <c r="CW150"/>
  <c r="DB150"/>
  <c r="DB184"/>
  <c r="CW184"/>
  <c r="DA184"/>
  <c r="DA138"/>
  <c r="DB138"/>
  <c r="CW138"/>
  <c r="DB173"/>
  <c r="CW173"/>
  <c r="DA173"/>
  <c r="DB175"/>
  <c r="CW175"/>
  <c r="DA175"/>
  <c r="DB306"/>
  <c r="S306" i="69" s="1"/>
  <c r="DA306" i="77"/>
  <c r="R306" i="69" s="1"/>
  <c r="CW306" i="77"/>
  <c r="N306" i="69" s="1"/>
  <c r="CW199" i="77"/>
  <c r="DB199"/>
  <c r="DA199"/>
  <c r="DB192"/>
  <c r="DA192"/>
  <c r="CW192"/>
  <c r="DB217"/>
  <c r="CW217"/>
  <c r="DA217"/>
  <c r="DC261"/>
  <c r="DD261" s="1"/>
  <c r="DA317"/>
  <c r="R317" i="69" s="1"/>
  <c r="CW317" i="77"/>
  <c r="N317" i="69" s="1"/>
  <c r="DB317" i="77"/>
  <c r="S317" i="69" s="1"/>
  <c r="DB343" i="77"/>
  <c r="S343" i="69" s="1"/>
  <c r="DA343" i="77"/>
  <c r="R343" i="69" s="1"/>
  <c r="CW343" i="77"/>
  <c r="N343" i="69" s="1"/>
  <c r="DB344" i="77"/>
  <c r="S344" i="69" s="1"/>
  <c r="DA344" i="77"/>
  <c r="R344" i="69" s="1"/>
  <c r="CW344" i="77"/>
  <c r="N344" i="69" s="1"/>
  <c r="DB310" i="77"/>
  <c r="CW310"/>
  <c r="N310" i="69" s="1"/>
  <c r="DB332" i="77"/>
  <c r="S332" i="69" s="1"/>
  <c r="DA332" i="77"/>
  <c r="R332" i="69" s="1"/>
  <c r="CW332" i="77"/>
  <c r="N332" i="69" s="1"/>
  <c r="DB421" i="77"/>
  <c r="CW421"/>
  <c r="DA421"/>
  <c r="CW417"/>
  <c r="DB417"/>
  <c r="DC417" s="1"/>
  <c r="IR201"/>
  <c r="IS198"/>
  <c r="IT198"/>
  <c r="IU198"/>
  <c r="IR181"/>
  <c r="IS181" s="1"/>
  <c r="IS81"/>
  <c r="IU81"/>
  <c r="IT81"/>
  <c r="IR138"/>
  <c r="IR119"/>
  <c r="IR196"/>
  <c r="IR120"/>
  <c r="IR121"/>
  <c r="IR133"/>
  <c r="IS133" s="1"/>
  <c r="IR317"/>
  <c r="IS189"/>
  <c r="IT189"/>
  <c r="IU189"/>
  <c r="IR162"/>
  <c r="IS162" s="1"/>
  <c r="IS163"/>
  <c r="IT163"/>
  <c r="IU163"/>
  <c r="FM182"/>
  <c r="HO210"/>
  <c r="HP210" s="1"/>
  <c r="HO18"/>
  <c r="DC416"/>
  <c r="DC141"/>
  <c r="DC51"/>
  <c r="HO416"/>
  <c r="HP416" s="1"/>
  <c r="HO231"/>
  <c r="HP231" s="1"/>
  <c r="HO310"/>
  <c r="HO415"/>
  <c r="HP415" s="1"/>
  <c r="HO173"/>
  <c r="HP173" s="1"/>
  <c r="HO187"/>
  <c r="HP187" s="1"/>
  <c r="HO180"/>
  <c r="HP180" s="1"/>
  <c r="HO182"/>
  <c r="HP182" s="1"/>
  <c r="HP421"/>
  <c r="HR421"/>
  <c r="HQ421"/>
  <c r="HO197"/>
  <c r="HO114"/>
  <c r="HO160"/>
  <c r="HP160" s="1"/>
  <c r="HO11"/>
  <c r="HO13"/>
  <c r="HP13" s="1"/>
  <c r="HP81"/>
  <c r="HR81"/>
  <c r="HQ81"/>
  <c r="HO193"/>
  <c r="HP193" s="1"/>
  <c r="HO157"/>
  <c r="HP157" s="1"/>
  <c r="HO196"/>
  <c r="HP196" s="1"/>
  <c r="HO123"/>
  <c r="HP123" s="1"/>
  <c r="HO147"/>
  <c r="HP147" s="1"/>
  <c r="HO31"/>
  <c r="HP31" s="1"/>
  <c r="HO12"/>
  <c r="HP12" s="1"/>
  <c r="HO195"/>
  <c r="HP195" s="1"/>
  <c r="HO121"/>
  <c r="HP121" s="1"/>
  <c r="HP158"/>
  <c r="HQ158"/>
  <c r="HR158"/>
  <c r="HP100"/>
  <c r="HR100"/>
  <c r="HQ100"/>
  <c r="HO309"/>
  <c r="HM17"/>
  <c r="HI17"/>
  <c r="HN17"/>
  <c r="HI109"/>
  <c r="HN109"/>
  <c r="HO109" s="1"/>
  <c r="HO324"/>
  <c r="HO306"/>
  <c r="T306" i="73" s="1"/>
  <c r="HO325" i="77"/>
  <c r="HO338"/>
  <c r="T338" i="73" s="1"/>
  <c r="HI135" i="77"/>
  <c r="HN135"/>
  <c r="HO135" s="1"/>
  <c r="HL120"/>
  <c r="HN120"/>
  <c r="HI120"/>
  <c r="HN188"/>
  <c r="HO188" s="1"/>
  <c r="HI188"/>
  <c r="HI163"/>
  <c r="HN163"/>
  <c r="HI183"/>
  <c r="HN183"/>
  <c r="HO183" s="1"/>
  <c r="HI221"/>
  <c r="HN221"/>
  <c r="HO221" s="1"/>
  <c r="HI371"/>
  <c r="HN371"/>
  <c r="HO371" s="1"/>
  <c r="HN335"/>
  <c r="S335" i="73" s="1"/>
  <c r="HM335" i="77"/>
  <c r="R335" i="73" s="1"/>
  <c r="HI335" i="77"/>
  <c r="N335" i="73" s="1"/>
  <c r="HL381" i="77"/>
  <c r="HI381"/>
  <c r="HN381"/>
  <c r="DC231"/>
  <c r="DD231" s="1"/>
  <c r="DC216"/>
  <c r="DD216" s="1"/>
  <c r="DC177"/>
  <c r="DD177" s="1"/>
  <c r="DC148"/>
  <c r="DD148" s="1"/>
  <c r="DC195"/>
  <c r="DD195" s="1"/>
  <c r="DC118"/>
  <c r="DD118" s="1"/>
  <c r="DC115"/>
  <c r="DD115" s="1"/>
  <c r="DC16"/>
  <c r="DD16" s="1"/>
  <c r="DC166"/>
  <c r="DD166" s="1"/>
  <c r="DC116"/>
  <c r="DD116" s="1"/>
  <c r="DD193"/>
  <c r="DE193"/>
  <c r="DF193"/>
  <c r="DC19"/>
  <c r="DD19" s="1"/>
  <c r="DC153"/>
  <c r="DC122"/>
  <c r="DD122" s="1"/>
  <c r="DC12"/>
  <c r="DD12" s="1"/>
  <c r="DC326"/>
  <c r="CW109"/>
  <c r="DA109"/>
  <c r="DB109"/>
  <c r="DC334"/>
  <c r="DC348"/>
  <c r="CZ11"/>
  <c r="DA11"/>
  <c r="DB11"/>
  <c r="CW11"/>
  <c r="DA112"/>
  <c r="CW112"/>
  <c r="DB112"/>
  <c r="DA113"/>
  <c r="CW113"/>
  <c r="DB113"/>
  <c r="DB128"/>
  <c r="DA128"/>
  <c r="CW128"/>
  <c r="DA147"/>
  <c r="DB147"/>
  <c r="CW147"/>
  <c r="DB170"/>
  <c r="CW170"/>
  <c r="DA170"/>
  <c r="DA111"/>
  <c r="CW111"/>
  <c r="DB111"/>
  <c r="CZ139"/>
  <c r="CW139"/>
  <c r="DB139"/>
  <c r="DA139"/>
  <c r="CW154"/>
  <c r="DB154"/>
  <c r="DA154"/>
  <c r="DB126"/>
  <c r="DA126"/>
  <c r="CW126"/>
  <c r="DA137"/>
  <c r="DB137"/>
  <c r="CW137"/>
  <c r="CW168"/>
  <c r="DA168"/>
  <c r="DB168"/>
  <c r="DA136"/>
  <c r="DB136"/>
  <c r="CW136"/>
  <c r="DA151"/>
  <c r="DB151"/>
  <c r="CW151"/>
  <c r="DB169"/>
  <c r="CW169"/>
  <c r="DA169"/>
  <c r="DB171"/>
  <c r="CW171"/>
  <c r="DA171"/>
  <c r="CZ251"/>
  <c r="DB251"/>
  <c r="CW251"/>
  <c r="DA251"/>
  <c r="CW291"/>
  <c r="DA291"/>
  <c r="DB291"/>
  <c r="DB324"/>
  <c r="S324" i="69" s="1"/>
  <c r="DA324" i="77"/>
  <c r="R324" i="69" s="1"/>
  <c r="CW324" i="77"/>
  <c r="N324" i="69" s="1"/>
  <c r="CW218" i="77"/>
  <c r="DB218"/>
  <c r="DA218"/>
  <c r="DA303"/>
  <c r="R303" i="69" s="1"/>
  <c r="CW303" i="77"/>
  <c r="N303" i="69" s="1"/>
  <c r="DB303" i="77"/>
  <c r="S303" i="69" s="1"/>
  <c r="DA214" i="77"/>
  <c r="DB214"/>
  <c r="CW214"/>
  <c r="CZ391"/>
  <c r="DA391"/>
  <c r="DB391"/>
  <c r="CW391"/>
  <c r="DB339"/>
  <c r="S339" i="69" s="1"/>
  <c r="DA339" i="77"/>
  <c r="R339" i="69" s="1"/>
  <c r="CW339" i="77"/>
  <c r="N339" i="69" s="1"/>
  <c r="DB328" i="77"/>
  <c r="S328" i="69" s="1"/>
  <c r="DA328" i="77"/>
  <c r="R328" i="69" s="1"/>
  <c r="CW328" i="77"/>
  <c r="N328" i="69" s="1"/>
  <c r="DA371" i="77"/>
  <c r="CW371"/>
  <c r="DB371"/>
  <c r="CW413"/>
  <c r="DB413"/>
  <c r="DA413"/>
  <c r="DB401"/>
  <c r="CW401"/>
  <c r="DA401"/>
  <c r="CZ401"/>
  <c r="CW414"/>
  <c r="DB414"/>
  <c r="DA414"/>
  <c r="CZ414"/>
  <c r="DA431"/>
  <c r="DB431"/>
  <c r="CW431"/>
  <c r="CZ431"/>
  <c r="IR211"/>
  <c r="IS211" s="1"/>
  <c r="IR299"/>
  <c r="IR316"/>
  <c r="T316" i="74" s="1"/>
  <c r="IR210" i="77"/>
  <c r="CD214"/>
  <c r="X108"/>
  <c r="IV412"/>
  <c r="IY412" s="1"/>
  <c r="HS211"/>
  <c r="HV211" s="1"/>
  <c r="HO251"/>
  <c r="HO186"/>
  <c r="HO151"/>
  <c r="HM19"/>
  <c r="DC189"/>
  <c r="DC441"/>
  <c r="CW156"/>
  <c r="DB156"/>
  <c r="DC156" s="1"/>
  <c r="DB180"/>
  <c r="CW180"/>
  <c r="DA180"/>
  <c r="CZ100"/>
  <c r="CW100"/>
  <c r="DB100"/>
  <c r="DA100"/>
  <c r="DB125"/>
  <c r="DA125"/>
  <c r="CW125"/>
  <c r="DB146"/>
  <c r="DA146"/>
  <c r="CW146"/>
  <c r="CW191"/>
  <c r="DB191"/>
  <c r="DA191"/>
  <c r="DB131"/>
  <c r="DA131"/>
  <c r="CW131"/>
  <c r="CW159"/>
  <c r="DB159"/>
  <c r="DA159"/>
  <c r="CZ190"/>
  <c r="DA190"/>
  <c r="CW190"/>
  <c r="DB190"/>
  <c r="CZ140"/>
  <c r="DA140"/>
  <c r="DB140"/>
  <c r="CW140"/>
  <c r="CW160"/>
  <c r="DB160"/>
  <c r="DA160"/>
  <c r="DB178"/>
  <c r="CW178"/>
  <c r="DA178"/>
  <c r="DB187"/>
  <c r="DA187"/>
  <c r="CW187"/>
  <c r="DB308"/>
  <c r="S308" i="69" s="1"/>
  <c r="DA308" i="77"/>
  <c r="R308" i="69" s="1"/>
  <c r="CW308" i="77"/>
  <c r="N308" i="69" s="1"/>
  <c r="DB196" i="77"/>
  <c r="DA196"/>
  <c r="CW196"/>
  <c r="CZ271"/>
  <c r="CW271"/>
  <c r="DA271"/>
  <c r="DB271"/>
  <c r="DA305"/>
  <c r="R305" i="69" s="1"/>
  <c r="CW305" i="77"/>
  <c r="N305" i="69" s="1"/>
  <c r="DB305" i="77"/>
  <c r="S305" i="69" s="1"/>
  <c r="CZ305" i="77"/>
  <c r="Q305" i="69" s="1"/>
  <c r="DB219" i="77"/>
  <c r="CW219"/>
  <c r="DA219"/>
  <c r="DB325"/>
  <c r="S325" i="69" s="1"/>
  <c r="DA325" i="77"/>
  <c r="R325" i="69" s="1"/>
  <c r="CW325" i="77"/>
  <c r="N325" i="69" s="1"/>
  <c r="DA314" i="77"/>
  <c r="DB314"/>
  <c r="S314" i="69" s="1"/>
  <c r="CW314" i="77"/>
  <c r="N314" i="69" s="1"/>
  <c r="DB338" i="77"/>
  <c r="S338" i="69" s="1"/>
  <c r="DA338" i="77"/>
  <c r="R338" i="69" s="1"/>
  <c r="CW338" i="77"/>
  <c r="N338" i="69" s="1"/>
  <c r="DA412" i="77"/>
  <c r="CW412"/>
  <c r="DB412"/>
  <c r="DA461"/>
  <c r="DB461"/>
  <c r="CW461"/>
  <c r="DB361"/>
  <c r="CW361"/>
  <c r="DA361"/>
  <c r="CW419"/>
  <c r="DA419"/>
  <c r="DB419"/>
  <c r="IR217"/>
  <c r="IS217" s="1"/>
  <c r="IR413"/>
  <c r="IS413" s="1"/>
  <c r="IR333"/>
  <c r="IR415"/>
  <c r="IS415" s="1"/>
  <c r="IR187"/>
  <c r="IS187" s="1"/>
  <c r="IR144"/>
  <c r="IS144" s="1"/>
  <c r="IR218"/>
  <c r="IS218" s="1"/>
  <c r="IR391"/>
  <c r="IS391" s="1"/>
  <c r="IS190"/>
  <c r="IT190"/>
  <c r="IU190"/>
  <c r="IR147"/>
  <c r="IS147" s="1"/>
  <c r="IR125"/>
  <c r="IR12"/>
  <c r="IS12" s="1"/>
  <c r="IR221"/>
  <c r="IS221" s="1"/>
  <c r="IR129"/>
  <c r="IS129" s="1"/>
  <c r="IR160"/>
  <c r="IR123"/>
  <c r="IR19"/>
  <c r="IR103"/>
  <c r="IR193"/>
  <c r="IS150"/>
  <c r="IT150"/>
  <c r="IU150"/>
  <c r="IS101"/>
  <c r="IU101"/>
  <c r="IT101"/>
  <c r="IR178"/>
  <c r="IS178" s="1"/>
  <c r="IR108"/>
  <c r="IS108" s="1"/>
  <c r="IS194"/>
  <c r="IU194"/>
  <c r="IT194"/>
  <c r="IR310"/>
  <c r="IR192"/>
  <c r="IS192" s="1"/>
  <c r="IR122"/>
  <c r="IS122" s="1"/>
  <c r="IR146"/>
  <c r="IS146" s="1"/>
  <c r="IR139"/>
  <c r="IS139" s="1"/>
  <c r="IR137"/>
  <c r="IS137" s="1"/>
  <c r="IL17"/>
  <c r="IQ17"/>
  <c r="IR17" s="1"/>
  <c r="IR112"/>
  <c r="IS112" s="1"/>
  <c r="IL167"/>
  <c r="IQ167"/>
  <c r="IR167" s="1"/>
  <c r="IL157"/>
  <c r="IQ157"/>
  <c r="IR157" s="1"/>
  <c r="IQ334"/>
  <c r="IL334"/>
  <c r="N334" i="74" s="1"/>
  <c r="EI154" i="77"/>
  <c r="EH154"/>
  <c r="EF148"/>
  <c r="EG148" s="1"/>
  <c r="EF124"/>
  <c r="EG124" s="1"/>
  <c r="EF199"/>
  <c r="EG199" s="1"/>
  <c r="EF161"/>
  <c r="EG161" s="1"/>
  <c r="EF145"/>
  <c r="EG145" s="1"/>
  <c r="EF159"/>
  <c r="EG159" s="1"/>
  <c r="EF17"/>
  <c r="EG17" s="1"/>
  <c r="EG81"/>
  <c r="EI81"/>
  <c r="EH81"/>
  <c r="EF327"/>
  <c r="T327" i="70" s="1"/>
  <c r="EF300" i="77"/>
  <c r="ED118"/>
  <c r="EE118"/>
  <c r="DZ118"/>
  <c r="EF344"/>
  <c r="DZ108"/>
  <c r="EE108"/>
  <c r="EF108" s="1"/>
  <c r="EC121"/>
  <c r="DZ121"/>
  <c r="EE121"/>
  <c r="EE142"/>
  <c r="DZ142"/>
  <c r="DZ149"/>
  <c r="EE149"/>
  <c r="DZ177"/>
  <c r="EE177"/>
  <c r="ED177"/>
  <c r="EE134"/>
  <c r="DZ134"/>
  <c r="ED134"/>
  <c r="ED106"/>
  <c r="DZ106"/>
  <c r="EE106"/>
  <c r="EC116"/>
  <c r="EE116"/>
  <c r="DZ116"/>
  <c r="DZ170"/>
  <c r="EE170"/>
  <c r="ED133"/>
  <c r="EE133"/>
  <c r="DZ133"/>
  <c r="DZ164"/>
  <c r="EE164"/>
  <c r="ED164"/>
  <c r="DZ193"/>
  <c r="EE193"/>
  <c r="ED193"/>
  <c r="DZ169"/>
  <c r="EE169"/>
  <c r="DZ179"/>
  <c r="ED179"/>
  <c r="EE179"/>
  <c r="DZ201"/>
  <c r="EE201"/>
  <c r="EF201" s="1"/>
  <c r="DZ281"/>
  <c r="EE281"/>
  <c r="DZ316"/>
  <c r="N316" i="70" s="1"/>
  <c r="EE316" i="77"/>
  <c r="S316" i="70" s="1"/>
  <c r="DZ215" i="77"/>
  <c r="EE215"/>
  <c r="EF215" s="1"/>
  <c r="ED186"/>
  <c r="DZ186"/>
  <c r="EE186"/>
  <c r="ED213"/>
  <c r="DZ213"/>
  <c r="EE213"/>
  <c r="ED241"/>
  <c r="DZ241"/>
  <c r="EE241"/>
  <c r="DZ219"/>
  <c r="EE219"/>
  <c r="DZ291"/>
  <c r="EE291"/>
  <c r="EF291" s="1"/>
  <c r="EE325"/>
  <c r="S325" i="70" s="1"/>
  <c r="ED325" i="77"/>
  <c r="R325" i="70" s="1"/>
  <c r="DZ325" i="77"/>
  <c r="N325" i="70" s="1"/>
  <c r="EE326" i="77"/>
  <c r="S326" i="70" s="1"/>
  <c r="DZ326" i="77"/>
  <c r="N326" i="70" s="1"/>
  <c r="ED326" i="77"/>
  <c r="R326" i="70" s="1"/>
  <c r="EE339" i="77"/>
  <c r="S339" i="70" s="1"/>
  <c r="ED339" i="77"/>
  <c r="R339" i="70" s="1"/>
  <c r="DZ339" i="77"/>
  <c r="N339" i="70" s="1"/>
  <c r="EE330" i="77"/>
  <c r="S330" i="70" s="1"/>
  <c r="ED330" i="77"/>
  <c r="R330" i="70" s="1"/>
  <c r="DZ330" i="77"/>
  <c r="N330" i="70" s="1"/>
  <c r="EE421" i="77"/>
  <c r="DZ421"/>
  <c r="DZ461"/>
  <c r="EE461"/>
  <c r="AW172"/>
  <c r="AX172" s="1"/>
  <c r="AW331"/>
  <c r="AW163"/>
  <c r="AX163" s="1"/>
  <c r="AW177"/>
  <c r="AX177" s="1"/>
  <c r="AW106"/>
  <c r="AX106" s="1"/>
  <c r="AW19"/>
  <c r="AX19" s="1"/>
  <c r="AW196"/>
  <c r="AX196" s="1"/>
  <c r="AW113"/>
  <c r="AX113" s="1"/>
  <c r="AW121"/>
  <c r="AX121" s="1"/>
  <c r="AW100"/>
  <c r="AX100" s="1"/>
  <c r="AW31"/>
  <c r="AX31" s="1"/>
  <c r="AW150"/>
  <c r="AX150" s="1"/>
  <c r="AW125"/>
  <c r="AX125" s="1"/>
  <c r="AW129"/>
  <c r="AX129" s="1"/>
  <c r="AW308"/>
  <c r="AV12"/>
  <c r="AQ12"/>
  <c r="AU12"/>
  <c r="AT12"/>
  <c r="AV102"/>
  <c r="AQ102"/>
  <c r="AT102"/>
  <c r="AU102"/>
  <c r="AW335"/>
  <c r="AU123"/>
  <c r="AT123"/>
  <c r="AV123"/>
  <c r="AQ123"/>
  <c r="AT158"/>
  <c r="AU158"/>
  <c r="AQ158"/>
  <c r="AV158"/>
  <c r="AT137"/>
  <c r="AU137"/>
  <c r="AQ137"/>
  <c r="AV137"/>
  <c r="AT159"/>
  <c r="AU159"/>
  <c r="AV159"/>
  <c r="AQ159"/>
  <c r="AU116"/>
  <c r="AT116"/>
  <c r="AV116"/>
  <c r="AQ116"/>
  <c r="AU142"/>
  <c r="AV142"/>
  <c r="AT142"/>
  <c r="AQ142"/>
  <c r="AV173"/>
  <c r="AT173"/>
  <c r="AQ173"/>
  <c r="AU173"/>
  <c r="AT136"/>
  <c r="AU136"/>
  <c r="AQ136"/>
  <c r="AV136"/>
  <c r="AQ170"/>
  <c r="AU170"/>
  <c r="AV170"/>
  <c r="AT170"/>
  <c r="AT185"/>
  <c r="AU185"/>
  <c r="AV185"/>
  <c r="AQ185"/>
  <c r="AU316"/>
  <c r="R316" i="65" s="1"/>
  <c r="AT316" i="77"/>
  <c r="Q316" i="65" s="1"/>
  <c r="AV316" i="77"/>
  <c r="S316" i="65" s="1"/>
  <c r="AQ316" i="77"/>
  <c r="N316" i="65" s="1"/>
  <c r="AT215" i="77"/>
  <c r="AQ215"/>
  <c r="AU215"/>
  <c r="AV215"/>
  <c r="AT193"/>
  <c r="AU193"/>
  <c r="AQ193"/>
  <c r="AV193"/>
  <c r="AU311"/>
  <c r="R311" i="65" s="1"/>
  <c r="AV311" i="77"/>
  <c r="S311" i="65" s="1"/>
  <c r="AT311" i="77"/>
  <c r="Q311" i="65" s="1"/>
  <c r="AQ311" i="77"/>
  <c r="N311" i="65" s="1"/>
  <c r="AT310" i="77"/>
  <c r="Q310" i="65" s="1"/>
  <c r="AQ310" i="77"/>
  <c r="N310" i="65" s="1"/>
  <c r="AU310" i="77"/>
  <c r="R310" i="65" s="1"/>
  <c r="AV310" i="77"/>
  <c r="S310" i="65" s="1"/>
  <c r="AT321" i="77"/>
  <c r="Q321" i="65" s="1"/>
  <c r="AV321" i="77"/>
  <c r="S321" i="65" s="1"/>
  <c r="AQ321" i="77"/>
  <c r="N321" i="65" s="1"/>
  <c r="AU321" i="77"/>
  <c r="R321" i="65" s="1"/>
  <c r="AV332" i="77"/>
  <c r="S332" i="65" s="1"/>
  <c r="AT332" i="77"/>
  <c r="Q332" i="65" s="1"/>
  <c r="AU332" i="77"/>
  <c r="R332" i="65" s="1"/>
  <c r="AQ332" i="77"/>
  <c r="N332" i="65" s="1"/>
  <c r="AV381" i="77"/>
  <c r="AU381"/>
  <c r="AQ381"/>
  <c r="AT381"/>
  <c r="AT441"/>
  <c r="AU441"/>
  <c r="AQ441"/>
  <c r="AV441"/>
  <c r="AV415"/>
  <c r="AQ415"/>
  <c r="AU415"/>
  <c r="AT415"/>
  <c r="FI371"/>
  <c r="FI149"/>
  <c r="FJ149" s="1"/>
  <c r="FJ331"/>
  <c r="U331" i="71" s="1"/>
  <c r="FL331" i="77"/>
  <c r="W331" i="71" s="1"/>
  <c r="FK331" i="77"/>
  <c r="V331" i="71" s="1"/>
  <c r="FJ421" i="77"/>
  <c r="FK421"/>
  <c r="FL421"/>
  <c r="FI213"/>
  <c r="FJ213" s="1"/>
  <c r="FI189"/>
  <c r="FJ291"/>
  <c r="FK291"/>
  <c r="FL291"/>
  <c r="FI195"/>
  <c r="FI120"/>
  <c r="FJ120" s="1"/>
  <c r="FJ193"/>
  <c r="FL193"/>
  <c r="FK193"/>
  <c r="FI419"/>
  <c r="FJ419" s="1"/>
  <c r="FJ150"/>
  <c r="FK150"/>
  <c r="FL150"/>
  <c r="FJ158"/>
  <c r="FL158"/>
  <c r="FK158"/>
  <c r="FI121"/>
  <c r="FI115"/>
  <c r="FJ115" s="1"/>
  <c r="FI221"/>
  <c r="FJ221" s="1"/>
  <c r="FI163"/>
  <c r="FJ163" s="1"/>
  <c r="FI130"/>
  <c r="FI103"/>
  <c r="FJ103" s="1"/>
  <c r="FI19"/>
  <c r="FI134"/>
  <c r="FJ134" s="1"/>
  <c r="FI144"/>
  <c r="FI114"/>
  <c r="FJ114" s="1"/>
  <c r="FI108"/>
  <c r="FI300"/>
  <c r="FI340"/>
  <c r="T340" i="71" s="1"/>
  <c r="FG112" i="77"/>
  <c r="FH112"/>
  <c r="FC112"/>
  <c r="FI339"/>
  <c r="T339" i="71" s="1"/>
  <c r="FI113" i="77"/>
  <c r="FJ113" s="1"/>
  <c r="FI337"/>
  <c r="T337" i="71" s="1"/>
  <c r="FI327" i="77"/>
  <c r="FC154"/>
  <c r="FH154"/>
  <c r="FC187"/>
  <c r="FH187"/>
  <c r="FF71"/>
  <c r="FC71"/>
  <c r="FH71"/>
  <c r="FG71"/>
  <c r="FH125"/>
  <c r="FG125"/>
  <c r="FC125"/>
  <c r="FF131"/>
  <c r="FH131"/>
  <c r="FC131"/>
  <c r="FH177"/>
  <c r="FC177"/>
  <c r="GL415"/>
  <c r="GL219"/>
  <c r="GM219" s="1"/>
  <c r="GL291"/>
  <c r="GL182"/>
  <c r="GM182" s="1"/>
  <c r="GL145"/>
  <c r="GL231"/>
  <c r="GM231" s="1"/>
  <c r="GL185"/>
  <c r="GO149"/>
  <c r="GN149"/>
  <c r="GL381"/>
  <c r="GM381" s="1"/>
  <c r="GM189"/>
  <c r="GN189"/>
  <c r="GO189"/>
  <c r="GL162"/>
  <c r="GM162" s="1"/>
  <c r="GL179"/>
  <c r="GL142"/>
  <c r="GM142" s="1"/>
  <c r="GM167"/>
  <c r="GN167"/>
  <c r="GO167"/>
  <c r="GL184"/>
  <c r="GL192"/>
  <c r="GL121"/>
  <c r="GM121" s="1"/>
  <c r="GL164"/>
  <c r="GL188"/>
  <c r="GM188" s="1"/>
  <c r="GL112"/>
  <c r="GL195"/>
  <c r="GL147"/>
  <c r="GM147" s="1"/>
  <c r="GL161"/>
  <c r="GM161" s="1"/>
  <c r="GL129"/>
  <c r="GL214"/>
  <c r="GL181"/>
  <c r="GL123"/>
  <c r="GM123" s="1"/>
  <c r="GM150"/>
  <c r="GN150"/>
  <c r="GO150"/>
  <c r="GL113"/>
  <c r="GL137"/>
  <c r="GM137" s="1"/>
  <c r="GL308"/>
  <c r="T308" i="72" s="1"/>
  <c r="GK11" i="77"/>
  <c r="GF11"/>
  <c r="GI118"/>
  <c r="GK118"/>
  <c r="GF118"/>
  <c r="GF155"/>
  <c r="GK155"/>
  <c r="GF213"/>
  <c r="GK213"/>
  <c r="GK300"/>
  <c r="GF300"/>
  <c r="N300" i="72" s="1"/>
  <c r="GK327" i="77"/>
  <c r="S327" i="72" s="1"/>
  <c r="GF327" i="77"/>
  <c r="N327" i="72" s="1"/>
  <c r="GK324" i="77"/>
  <c r="S324" i="72" s="1"/>
  <c r="GF324" i="77"/>
  <c r="N324" i="72" s="1"/>
  <c r="GK334" i="77"/>
  <c r="S334" i="72" s="1"/>
  <c r="GF334" i="77"/>
  <c r="N334" i="72" s="1"/>
  <c r="GJ334" i="77"/>
  <c r="R334" i="72" s="1"/>
  <c r="GK348" i="77"/>
  <c r="S348" i="72" s="1"/>
  <c r="GF348" i="77"/>
  <c r="N348" i="72" s="1"/>
  <c r="BZ381" i="77"/>
  <c r="CA381" s="1"/>
  <c r="BZ141"/>
  <c r="BZ190"/>
  <c r="CA190" s="1"/>
  <c r="BZ143"/>
  <c r="BZ441"/>
  <c r="CA441" s="1"/>
  <c r="BZ140"/>
  <c r="CA140" s="1"/>
  <c r="BZ111"/>
  <c r="CA111" s="1"/>
  <c r="CA291"/>
  <c r="CB291"/>
  <c r="CC291"/>
  <c r="BZ110"/>
  <c r="CA110" s="1"/>
  <c r="BZ109"/>
  <c r="BZ17"/>
  <c r="CA17" s="1"/>
  <c r="BZ180"/>
  <c r="CA158"/>
  <c r="CB158"/>
  <c r="CC158"/>
  <c r="BZ181"/>
  <c r="CA181" s="1"/>
  <c r="BZ146"/>
  <c r="BT100"/>
  <c r="BY100"/>
  <c r="BX100"/>
  <c r="BZ299"/>
  <c r="T299" i="68" s="1"/>
  <c r="BX119" i="77"/>
  <c r="BY119"/>
  <c r="BT119"/>
  <c r="BY128"/>
  <c r="BX128"/>
  <c r="BT128"/>
  <c r="BW163"/>
  <c r="BY163"/>
  <c r="BT163"/>
  <c r="BX163"/>
  <c r="BX201"/>
  <c r="BY201"/>
  <c r="BT201"/>
  <c r="BX116"/>
  <c r="BY116"/>
  <c r="BT116"/>
  <c r="BX145"/>
  <c r="BY145"/>
  <c r="BT145"/>
  <c r="BW161"/>
  <c r="BX161"/>
  <c r="BY161"/>
  <c r="BT161"/>
  <c r="BY108"/>
  <c r="BX108"/>
  <c r="BT108"/>
  <c r="BY131"/>
  <c r="BX131"/>
  <c r="BT131"/>
  <c r="BT154"/>
  <c r="BY154"/>
  <c r="BX154"/>
  <c r="BX137"/>
  <c r="BY137"/>
  <c r="BT137"/>
  <c r="BW160"/>
  <c r="BY160"/>
  <c r="BX160"/>
  <c r="BT160"/>
  <c r="BY165"/>
  <c r="BX165"/>
  <c r="BT165"/>
  <c r="BX182"/>
  <c r="BT182"/>
  <c r="BY182"/>
  <c r="BX211"/>
  <c r="BY211"/>
  <c r="BT211"/>
  <c r="BW199"/>
  <c r="BY199"/>
  <c r="BT199"/>
  <c r="BX199"/>
  <c r="BY218"/>
  <c r="BT218"/>
  <c r="BX218"/>
  <c r="BY251"/>
  <c r="BX251"/>
  <c r="BT251"/>
  <c r="BX391"/>
  <c r="BY391"/>
  <c r="BT391"/>
  <c r="BY340"/>
  <c r="S340" i="68" s="1"/>
  <c r="BT340" i="77"/>
  <c r="N340" i="68" s="1"/>
  <c r="BX340" i="77"/>
  <c r="R340" i="68" s="1"/>
  <c r="BY421" i="77"/>
  <c r="BT421"/>
  <c r="BX421"/>
  <c r="BX414"/>
  <c r="BT414"/>
  <c r="BY414"/>
  <c r="IP159"/>
  <c r="IR291"/>
  <c r="IR214"/>
  <c r="IS214" s="1"/>
  <c r="IR241"/>
  <c r="IS185"/>
  <c r="IT185"/>
  <c r="IU185"/>
  <c r="IR142"/>
  <c r="IR361"/>
  <c r="IS361" s="1"/>
  <c r="IR441"/>
  <c r="IR331"/>
  <c r="IR195"/>
  <c r="IR161"/>
  <c r="IS161" s="1"/>
  <c r="IS158"/>
  <c r="IU158"/>
  <c r="IT158"/>
  <c r="IS100"/>
  <c r="IU100"/>
  <c r="IT100"/>
  <c r="IR141"/>
  <c r="IS141" s="1"/>
  <c r="IR111"/>
  <c r="IS111" s="1"/>
  <c r="IR177"/>
  <c r="IS177" s="1"/>
  <c r="IR61"/>
  <c r="IR102"/>
  <c r="IS102" s="1"/>
  <c r="IR197"/>
  <c r="IR173"/>
  <c r="IS173" s="1"/>
  <c r="IR124"/>
  <c r="IR180"/>
  <c r="IS180" s="1"/>
  <c r="IR166"/>
  <c r="IR184"/>
  <c r="IS184" s="1"/>
  <c r="IR169"/>
  <c r="IR126"/>
  <c r="IS126" s="1"/>
  <c r="IS153"/>
  <c r="IT153"/>
  <c r="IU153"/>
  <c r="IR188"/>
  <c r="IR114"/>
  <c r="IS114" s="1"/>
  <c r="IR309"/>
  <c r="T309" i="74" s="1"/>
  <c r="IP132" i="77"/>
  <c r="IQ132"/>
  <c r="IL132"/>
  <c r="IL148"/>
  <c r="IQ148"/>
  <c r="IR151"/>
  <c r="IS151" s="1"/>
  <c r="IL231"/>
  <c r="IQ231"/>
  <c r="IR231" s="1"/>
  <c r="IR419"/>
  <c r="EF416"/>
  <c r="EF128"/>
  <c r="EG128" s="1"/>
  <c r="EF13"/>
  <c r="EF141"/>
  <c r="EG141" s="1"/>
  <c r="EF157"/>
  <c r="EF137"/>
  <c r="EG137" s="1"/>
  <c r="EF310"/>
  <c r="T310" i="70" s="1"/>
  <c r="EG100" i="77"/>
  <c r="EI100"/>
  <c r="EH100"/>
  <c r="EC16"/>
  <c r="ED16"/>
  <c r="EE16"/>
  <c r="DZ16"/>
  <c r="EC113"/>
  <c r="DZ113"/>
  <c r="EE113"/>
  <c r="EF337"/>
  <c r="T337" i="70" s="1"/>
  <c r="ED21" i="77"/>
  <c r="DZ21"/>
  <c r="EE21"/>
  <c r="EC101"/>
  <c r="EE101"/>
  <c r="DZ101"/>
  <c r="ED101"/>
  <c r="EC119"/>
  <c r="DZ119"/>
  <c r="EE119"/>
  <c r="EE135"/>
  <c r="DZ135"/>
  <c r="ED135"/>
  <c r="EC147"/>
  <c r="EE147"/>
  <c r="DZ147"/>
  <c r="DZ171"/>
  <c r="EE171"/>
  <c r="DZ185"/>
  <c r="EE185"/>
  <c r="ED132"/>
  <c r="EE132"/>
  <c r="DZ132"/>
  <c r="DZ102"/>
  <c r="EE102"/>
  <c r="EF102" s="1"/>
  <c r="EC115"/>
  <c r="DZ115"/>
  <c r="EE115"/>
  <c r="DZ166"/>
  <c r="EE166"/>
  <c r="EF166" s="1"/>
  <c r="ED122"/>
  <c r="EE122"/>
  <c r="DZ122"/>
  <c r="DZ140"/>
  <c r="ED140"/>
  <c r="EE140"/>
  <c r="EE160"/>
  <c r="EF160" s="1"/>
  <c r="DZ160"/>
  <c r="DZ167"/>
  <c r="EE167"/>
  <c r="ED167"/>
  <c r="DZ178"/>
  <c r="EE178"/>
  <c r="DZ197"/>
  <c r="EE197"/>
  <c r="EF197" s="1"/>
  <c r="ED271"/>
  <c r="DZ271"/>
  <c r="EE271"/>
  <c r="ED211"/>
  <c r="DZ211"/>
  <c r="EE211"/>
  <c r="DZ321"/>
  <c r="N321" i="70" s="1"/>
  <c r="EE321" i="77"/>
  <c r="S321" i="70" s="1"/>
  <c r="EE333" i="77"/>
  <c r="S333" i="70" s="1"/>
  <c r="DZ333" i="77"/>
  <c r="N333" i="70" s="1"/>
  <c r="ED333" i="77"/>
  <c r="R333" i="70" s="1"/>
  <c r="DZ311" i="77"/>
  <c r="N311" i="70" s="1"/>
  <c r="EE311" i="77"/>
  <c r="ED412"/>
  <c r="EE412"/>
  <c r="DZ412"/>
  <c r="EE413"/>
  <c r="EF413" s="1"/>
  <c r="DZ413"/>
  <c r="EC361"/>
  <c r="EE361"/>
  <c r="DZ361"/>
  <c r="AW217"/>
  <c r="AW174"/>
  <c r="AX174" s="1"/>
  <c r="AW184"/>
  <c r="AZ186"/>
  <c r="AY186"/>
  <c r="AW361"/>
  <c r="AX271"/>
  <c r="AY271"/>
  <c r="AZ271"/>
  <c r="AW190"/>
  <c r="AW128"/>
  <c r="AX81"/>
  <c r="AZ81"/>
  <c r="AY81"/>
  <c r="AW199"/>
  <c r="AX199" s="1"/>
  <c r="AW162"/>
  <c r="AX162" s="1"/>
  <c r="AW194"/>
  <c r="AW114"/>
  <c r="AX114" s="1"/>
  <c r="AW21"/>
  <c r="AW251"/>
  <c r="AX251" s="1"/>
  <c r="AW140"/>
  <c r="AW134"/>
  <c r="AX134" s="1"/>
  <c r="AV11"/>
  <c r="AQ11"/>
  <c r="AU11"/>
  <c r="AT11"/>
  <c r="AT103"/>
  <c r="AQ103"/>
  <c r="AV103"/>
  <c r="AU103"/>
  <c r="AW334"/>
  <c r="T334" i="65" s="1"/>
  <c r="AV13" i="77"/>
  <c r="AQ13"/>
  <c r="AU13"/>
  <c r="AT13"/>
  <c r="AV91"/>
  <c r="AQ91"/>
  <c r="AU91"/>
  <c r="AT91"/>
  <c r="AW330"/>
  <c r="AU119"/>
  <c r="AT119"/>
  <c r="AV119"/>
  <c r="AQ119"/>
  <c r="AU144"/>
  <c r="AV144"/>
  <c r="AQ144"/>
  <c r="AT144"/>
  <c r="AU110"/>
  <c r="AT110"/>
  <c r="AV110"/>
  <c r="AQ110"/>
  <c r="AU155"/>
  <c r="AT155"/>
  <c r="AQ155"/>
  <c r="AV155"/>
  <c r="AU41"/>
  <c r="AT41"/>
  <c r="AV41"/>
  <c r="AQ41"/>
  <c r="AT111"/>
  <c r="AV111"/>
  <c r="AU111"/>
  <c r="AQ111"/>
  <c r="AU122"/>
  <c r="AT122"/>
  <c r="AV122"/>
  <c r="AQ122"/>
  <c r="AT164"/>
  <c r="AQ164"/>
  <c r="AU164"/>
  <c r="AV164"/>
  <c r="AW133"/>
  <c r="AT166"/>
  <c r="AU166"/>
  <c r="AQ166"/>
  <c r="AV166"/>
  <c r="AU183"/>
  <c r="AQ183"/>
  <c r="AV183"/>
  <c r="AT183"/>
  <c r="AV300"/>
  <c r="S300" i="65" s="1"/>
  <c r="AT300" i="77"/>
  <c r="Q300" i="65" s="1"/>
  <c r="AU300" i="77"/>
  <c r="R300" i="65" s="1"/>
  <c r="AQ300" i="77"/>
  <c r="N300" i="65" s="1"/>
  <c r="AQ188" i="77"/>
  <c r="AV188"/>
  <c r="AT188"/>
  <c r="AU188"/>
  <c r="AU213"/>
  <c r="AT213"/>
  <c r="AV213"/>
  <c r="AQ213"/>
  <c r="AT241"/>
  <c r="AU241"/>
  <c r="AV241"/>
  <c r="AQ241"/>
  <c r="AT306"/>
  <c r="Q306" i="65" s="1"/>
  <c r="AV306" i="77"/>
  <c r="S306" i="65" s="1"/>
  <c r="AU306" i="77"/>
  <c r="R306" i="65" s="1"/>
  <c r="AQ306" i="77"/>
  <c r="N306" i="65" s="1"/>
  <c r="AV348" i="77"/>
  <c r="S348" i="65" s="1"/>
  <c r="AT348" i="77"/>
  <c r="Q348" i="65" s="1"/>
  <c r="AU348" i="77"/>
  <c r="R348" i="65" s="1"/>
  <c r="AQ348" i="77"/>
  <c r="N348" i="65" s="1"/>
  <c r="AV327" i="77"/>
  <c r="S327" i="65" s="1"/>
  <c r="AT327" i="77"/>
  <c r="Q327" i="65" s="1"/>
  <c r="AU327" i="77"/>
  <c r="R327" i="65" s="1"/>
  <c r="AQ327" i="77"/>
  <c r="N327" i="65" s="1"/>
  <c r="FI416" i="77"/>
  <c r="FJ416" s="1"/>
  <c r="FI170"/>
  <c r="FI173"/>
  <c r="FJ173" s="1"/>
  <c r="FI143"/>
  <c r="FI186"/>
  <c r="FJ186" s="1"/>
  <c r="FI180"/>
  <c r="FI122"/>
  <c r="FJ122" s="1"/>
  <c r="FI119"/>
  <c r="FI110"/>
  <c r="FJ110" s="1"/>
  <c r="FJ198"/>
  <c r="FL198"/>
  <c r="FK198"/>
  <c r="FI175"/>
  <c r="FI151"/>
  <c r="FI361"/>
  <c r="FJ361" s="1"/>
  <c r="FI181"/>
  <c r="FI160"/>
  <c r="FI135"/>
  <c r="FJ135" s="1"/>
  <c r="FI102"/>
  <c r="FI167"/>
  <c r="FJ167" s="1"/>
  <c r="FI136"/>
  <c r="FI159"/>
  <c r="FI123"/>
  <c r="FJ153"/>
  <c r="FK153"/>
  <c r="FL153"/>
  <c r="FI17"/>
  <c r="FI107"/>
  <c r="FJ107" s="1"/>
  <c r="FI299"/>
  <c r="T299" i="71" s="1"/>
  <c r="FI308" i="77"/>
  <c r="FI344"/>
  <c r="T344" i="71" s="1"/>
  <c r="FI309" i="77"/>
  <c r="FI326"/>
  <c r="T326" i="71" s="1"/>
  <c r="FI328" i="77"/>
  <c r="FG145"/>
  <c r="FH145"/>
  <c r="FC145"/>
  <c r="FF128"/>
  <c r="FH128"/>
  <c r="FC128"/>
  <c r="FC100"/>
  <c r="FH100"/>
  <c r="FF129"/>
  <c r="FH129"/>
  <c r="FC129"/>
  <c r="FH217"/>
  <c r="FI217" s="1"/>
  <c r="FC217"/>
  <c r="FH391"/>
  <c r="FI391" s="1"/>
  <c r="FC391"/>
  <c r="GL216"/>
  <c r="GL416"/>
  <c r="GM154"/>
  <c r="GN154"/>
  <c r="GL361"/>
  <c r="GL148"/>
  <c r="GL461"/>
  <c r="GL170"/>
  <c r="GM168"/>
  <c r="GN168"/>
  <c r="GO168"/>
  <c r="GL120"/>
  <c r="GL108"/>
  <c r="GM108" s="1"/>
  <c r="GL441"/>
  <c r="GL136"/>
  <c r="GM136" s="1"/>
  <c r="GL130"/>
  <c r="GL191"/>
  <c r="GM81"/>
  <c r="GO81"/>
  <c r="GN81"/>
  <c r="GL133"/>
  <c r="GM198"/>
  <c r="GN198"/>
  <c r="GO198"/>
  <c r="GL175"/>
  <c r="GL125"/>
  <c r="GM125" s="1"/>
  <c r="GL178"/>
  <c r="GM158"/>
  <c r="GN158"/>
  <c r="GO158"/>
  <c r="GL176"/>
  <c r="GL128"/>
  <c r="GL160"/>
  <c r="GL116"/>
  <c r="GL12"/>
  <c r="GF21"/>
  <c r="GK21"/>
  <c r="GL21" s="1"/>
  <c r="GJ16"/>
  <c r="GK16"/>
  <c r="GF16"/>
  <c r="GK134"/>
  <c r="GL134" s="1"/>
  <c r="GF134"/>
  <c r="GF271"/>
  <c r="GK271"/>
  <c r="GL271" s="1"/>
  <c r="GK193"/>
  <c r="GL193" s="1"/>
  <c r="GF193"/>
  <c r="GK309"/>
  <c r="GF309"/>
  <c r="N309" i="72" s="1"/>
  <c r="GK325" i="77"/>
  <c r="GF325"/>
  <c r="N325" i="72" s="1"/>
  <c r="GK342" i="77"/>
  <c r="S342" i="72" s="1"/>
  <c r="GF342" i="77"/>
  <c r="N342" i="72" s="1"/>
  <c r="GK333" i="77"/>
  <c r="S333" i="72" s="1"/>
  <c r="GF333" i="77"/>
  <c r="N333" i="72" s="1"/>
  <c r="GK343" i="77"/>
  <c r="S343" i="72" s="1"/>
  <c r="GF343" i="77"/>
  <c r="N343" i="72" s="1"/>
  <c r="GK335" i="77"/>
  <c r="S335" i="72" s="1"/>
  <c r="GJ335" i="77"/>
  <c r="R335" i="72" s="1"/>
  <c r="GF335" i="77"/>
  <c r="N335" i="72" s="1"/>
  <c r="GJ431" i="77"/>
  <c r="GK431"/>
  <c r="GF431"/>
  <c r="BZ316"/>
  <c r="BZ187"/>
  <c r="BZ144"/>
  <c r="CA144" s="1"/>
  <c r="BZ164"/>
  <c r="BZ191"/>
  <c r="CA191" s="1"/>
  <c r="BZ179"/>
  <c r="CA179" s="1"/>
  <c r="BZ193"/>
  <c r="BZ16"/>
  <c r="BZ130"/>
  <c r="CA130" s="1"/>
  <c r="BZ122"/>
  <c r="BZ338"/>
  <c r="BX107"/>
  <c r="BY107"/>
  <c r="BT107"/>
  <c r="BX19"/>
  <c r="BT19"/>
  <c r="BY19"/>
  <c r="BZ343"/>
  <c r="BX114"/>
  <c r="BY114"/>
  <c r="BT114"/>
  <c r="BZ342"/>
  <c r="T342" i="68" s="1"/>
  <c r="BZ334" i="77"/>
  <c r="T334" i="68" s="1"/>
  <c r="BW102" i="77"/>
  <c r="BY102"/>
  <c r="BX102"/>
  <c r="BT102"/>
  <c r="BX105"/>
  <c r="BY105"/>
  <c r="BW105"/>
  <c r="BT105"/>
  <c r="BX121"/>
  <c r="BY121"/>
  <c r="BT121"/>
  <c r="BW162"/>
  <c r="BT162"/>
  <c r="BY162"/>
  <c r="BX162"/>
  <c r="BW196"/>
  <c r="BY196"/>
  <c r="BT196"/>
  <c r="BX196"/>
  <c r="BZ112"/>
  <c r="CA112" s="1"/>
  <c r="BW156"/>
  <c r="BT156"/>
  <c r="BX156"/>
  <c r="BY156"/>
  <c r="BX185"/>
  <c r="BT185"/>
  <c r="BY185"/>
  <c r="BT104"/>
  <c r="BY104"/>
  <c r="BX104"/>
  <c r="BY129"/>
  <c r="BX129"/>
  <c r="BT129"/>
  <c r="BT153"/>
  <c r="BX153"/>
  <c r="BY153"/>
  <c r="BT195"/>
  <c r="BY195"/>
  <c r="BX195"/>
  <c r="BW157"/>
  <c r="BY157"/>
  <c r="BX157"/>
  <c r="BT157"/>
  <c r="BY171"/>
  <c r="BZ171" s="1"/>
  <c r="CA171" s="1"/>
  <c r="BT171"/>
  <c r="BX171"/>
  <c r="BY177"/>
  <c r="BT177"/>
  <c r="BX177"/>
  <c r="BW197"/>
  <c r="BT197"/>
  <c r="BY197"/>
  <c r="BX197"/>
  <c r="BY324"/>
  <c r="S324" i="68" s="1"/>
  <c r="BT324" i="77"/>
  <c r="N324" i="68" s="1"/>
  <c r="BX324" i="77"/>
  <c r="R324" i="68" s="1"/>
  <c r="BY216" i="77"/>
  <c r="BT216"/>
  <c r="BX216"/>
  <c r="BY198"/>
  <c r="BT198"/>
  <c r="BX198"/>
  <c r="BY310"/>
  <c r="S310" i="68" s="1"/>
  <c r="BT310" i="77"/>
  <c r="N310" i="68" s="1"/>
  <c r="BX310" i="77"/>
  <c r="R310" i="68" s="1"/>
  <c r="BY331" i="77"/>
  <c r="S331" i="68" s="1"/>
  <c r="BT331" i="77"/>
  <c r="N331" i="68" s="1"/>
  <c r="BX331" i="77"/>
  <c r="R331" i="68" s="1"/>
  <c r="BY337" i="77"/>
  <c r="S337" i="68" s="1"/>
  <c r="BT337" i="77"/>
  <c r="N337" i="68" s="1"/>
  <c r="BX337" i="77"/>
  <c r="R337" i="68" s="1"/>
  <c r="BX314" i="77"/>
  <c r="R314" i="68" s="1"/>
  <c r="BT314" i="77"/>
  <c r="N314" i="68" s="1"/>
  <c r="BY314" i="77"/>
  <c r="S314" i="68" s="1"/>
  <c r="BY411" i="77"/>
  <c r="BW411"/>
  <c r="BX411"/>
  <c r="BT411"/>
  <c r="IR148"/>
  <c r="EF281"/>
  <c r="EG281" s="1"/>
  <c r="EF219"/>
  <c r="EG219" s="1"/>
  <c r="EF186"/>
  <c r="EF461"/>
  <c r="EF169"/>
  <c r="FM216"/>
  <c r="GL155"/>
  <c r="GM155" s="1"/>
  <c r="BZ145"/>
  <c r="BZ165"/>
  <c r="BW137"/>
  <c r="BZ137" s="1"/>
  <c r="IR461"/>
  <c r="IR183"/>
  <c r="IS183" s="1"/>
  <c r="IR421"/>
  <c r="IR140"/>
  <c r="IS140" s="1"/>
  <c r="IS271"/>
  <c r="IT271"/>
  <c r="IU271"/>
  <c r="IR165"/>
  <c r="IS168"/>
  <c r="IT168"/>
  <c r="IU168"/>
  <c r="IR117"/>
  <c r="IR21"/>
  <c r="IS21" s="1"/>
  <c r="IR170"/>
  <c r="IR116"/>
  <c r="IS116" s="1"/>
  <c r="IR113"/>
  <c r="IS113" s="1"/>
  <c r="IR107"/>
  <c r="IS107" s="1"/>
  <c r="IR110"/>
  <c r="IS110" s="1"/>
  <c r="IR251"/>
  <c r="IS251" s="1"/>
  <c r="IR175"/>
  <c r="IS175" s="1"/>
  <c r="IR134"/>
  <c r="IS134" s="1"/>
  <c r="IR136"/>
  <c r="IS136" s="1"/>
  <c r="IR31"/>
  <c r="IS31" s="1"/>
  <c r="IR261"/>
  <c r="IR172"/>
  <c r="IS172" s="1"/>
  <c r="IR131"/>
  <c r="IR164"/>
  <c r="IS164" s="1"/>
  <c r="IR171"/>
  <c r="IS171" s="1"/>
  <c r="IR115"/>
  <c r="IS115" s="1"/>
  <c r="IR11"/>
  <c r="IS11" s="1"/>
  <c r="IL106"/>
  <c r="IQ106"/>
  <c r="IR106" s="1"/>
  <c r="IQ16"/>
  <c r="IR16" s="1"/>
  <c r="IL16"/>
  <c r="IL145"/>
  <c r="IQ145"/>
  <c r="IQ179"/>
  <c r="IR179" s="1"/>
  <c r="IL179"/>
  <c r="EF415"/>
  <c r="EG415" s="1"/>
  <c r="EF217"/>
  <c r="EF183"/>
  <c r="EG183" s="1"/>
  <c r="EF317"/>
  <c r="T317" i="70" s="1"/>
  <c r="EG150" i="77"/>
  <c r="EI150"/>
  <c r="EH150"/>
  <c r="EF131"/>
  <c r="EG131" s="1"/>
  <c r="EF191"/>
  <c r="EF162"/>
  <c r="EG162" s="1"/>
  <c r="EF120"/>
  <c r="EG120" s="1"/>
  <c r="EF174"/>
  <c r="EG174" s="1"/>
  <c r="EF151"/>
  <c r="EF324"/>
  <c r="EF342"/>
  <c r="T342" i="70" s="1"/>
  <c r="EF334" i="77"/>
  <c r="EF338"/>
  <c r="T338" i="70" s="1"/>
  <c r="ED19" i="77"/>
  <c r="DZ19"/>
  <c r="EE19"/>
  <c r="EC12"/>
  <c r="DZ12"/>
  <c r="ED12"/>
  <c r="EE12"/>
  <c r="ED41"/>
  <c r="EE41"/>
  <c r="DZ41"/>
  <c r="EC117"/>
  <c r="DZ117"/>
  <c r="EE117"/>
  <c r="EC130"/>
  <c r="EE130"/>
  <c r="DZ130"/>
  <c r="DZ144"/>
  <c r="EE144"/>
  <c r="EF144" s="1"/>
  <c r="DZ168"/>
  <c r="EE168"/>
  <c r="EF168" s="1"/>
  <c r="DZ184"/>
  <c r="EE184"/>
  <c r="EF184" s="1"/>
  <c r="DZ114"/>
  <c r="EE114"/>
  <c r="EF114" s="1"/>
  <c r="EE189"/>
  <c r="DZ189"/>
  <c r="ED109"/>
  <c r="DZ109"/>
  <c r="EE109"/>
  <c r="EE158"/>
  <c r="EF158" s="1"/>
  <c r="DZ158"/>
  <c r="DZ190"/>
  <c r="EE190"/>
  <c r="ED190"/>
  <c r="DZ139"/>
  <c r="EE139"/>
  <c r="ED139"/>
  <c r="ED155"/>
  <c r="DZ155"/>
  <c r="EE155"/>
  <c r="EE182"/>
  <c r="EF182" s="1"/>
  <c r="DZ182"/>
  <c r="DZ198"/>
  <c r="EE198"/>
  <c r="EF198" s="1"/>
  <c r="DZ173"/>
  <c r="EE173"/>
  <c r="EF173" s="1"/>
  <c r="EE195"/>
  <c r="EF195" s="1"/>
  <c r="DZ195"/>
  <c r="EE216"/>
  <c r="DZ216"/>
  <c r="ED216"/>
  <c r="EE308"/>
  <c r="DZ308"/>
  <c r="N308" i="70" s="1"/>
  <c r="EC221" i="77"/>
  <c r="EE221"/>
  <c r="DZ221"/>
  <c r="ED221"/>
  <c r="ED231"/>
  <c r="EE231"/>
  <c r="DZ231"/>
  <c r="EC303"/>
  <c r="Q303" i="70" s="1"/>
  <c r="EE303" i="77"/>
  <c r="S303" i="70" s="1"/>
  <c r="DZ303" i="77"/>
  <c r="N303" i="70" s="1"/>
  <c r="ED303" i="77"/>
  <c r="R303" i="70" s="1"/>
  <c r="EE309" i="77"/>
  <c r="S309" i="70" s="1"/>
  <c r="DZ309" i="77"/>
  <c r="N309" i="70" s="1"/>
  <c r="ED309" i="77"/>
  <c r="R309" i="70" s="1"/>
  <c r="EC331" i="77"/>
  <c r="Q331" i="70" s="1"/>
  <c r="DZ331" i="77"/>
  <c r="N331" i="70" s="1"/>
  <c r="EE331" i="77"/>
  <c r="S331" i="70" s="1"/>
  <c r="ED331" i="77"/>
  <c r="R331" i="70" s="1"/>
  <c r="EE305" i="77"/>
  <c r="S305" i="70" s="1"/>
  <c r="DZ305" i="77"/>
  <c r="N305" i="70" s="1"/>
  <c r="EE441" i="77"/>
  <c r="EF441" s="1"/>
  <c r="DZ441"/>
  <c r="EE419"/>
  <c r="DZ419"/>
  <c r="AW218"/>
  <c r="AX218" s="1"/>
  <c r="AW145"/>
  <c r="AW211"/>
  <c r="AX211" s="1"/>
  <c r="AW143"/>
  <c r="AW391"/>
  <c r="AX391" s="1"/>
  <c r="AW197"/>
  <c r="AW132"/>
  <c r="AX132" s="1"/>
  <c r="AW107"/>
  <c r="AW109"/>
  <c r="AX109" s="1"/>
  <c r="AX168"/>
  <c r="AY168"/>
  <c r="AZ168"/>
  <c r="AW104"/>
  <c r="AX104" s="1"/>
  <c r="AW192"/>
  <c r="AX192" s="1"/>
  <c r="AW108"/>
  <c r="AX108" s="1"/>
  <c r="AW317"/>
  <c r="T317" i="65" s="1"/>
  <c r="AW167" i="77"/>
  <c r="AX167" s="1"/>
  <c r="AW139"/>
  <c r="AW328"/>
  <c r="AQ101"/>
  <c r="AT101"/>
  <c r="AU101"/>
  <c r="AV101"/>
  <c r="AW325"/>
  <c r="AW339"/>
  <c r="AW337"/>
  <c r="AU117"/>
  <c r="AT117"/>
  <c r="AV117"/>
  <c r="AQ117"/>
  <c r="AT141"/>
  <c r="AQ141"/>
  <c r="AV141"/>
  <c r="AU141"/>
  <c r="AV153"/>
  <c r="AQ153"/>
  <c r="AT153"/>
  <c r="AU153"/>
  <c r="AQ182"/>
  <c r="AV182"/>
  <c r="AU182"/>
  <c r="AT182"/>
  <c r="AU120"/>
  <c r="AT120"/>
  <c r="AV120"/>
  <c r="AQ120"/>
  <c r="AV149"/>
  <c r="AQ149"/>
  <c r="AU149"/>
  <c r="AT149"/>
  <c r="AT189"/>
  <c r="AV189"/>
  <c r="AQ189"/>
  <c r="AU189"/>
  <c r="AT165"/>
  <c r="AV165"/>
  <c r="AQ165"/>
  <c r="AU165"/>
  <c r="AT181"/>
  <c r="AQ181"/>
  <c r="AV181"/>
  <c r="AU181"/>
  <c r="AT195"/>
  <c r="AQ195"/>
  <c r="AU195"/>
  <c r="AV195"/>
  <c r="AQ231"/>
  <c r="AU231"/>
  <c r="AV231"/>
  <c r="AT231"/>
  <c r="AU187"/>
  <c r="AQ187"/>
  <c r="AV187"/>
  <c r="AT187"/>
  <c r="AT261"/>
  <c r="AU261"/>
  <c r="AV261"/>
  <c r="AQ261"/>
  <c r="AU214"/>
  <c r="AT214"/>
  <c r="AV214"/>
  <c r="AQ214"/>
  <c r="AT291"/>
  <c r="AQ291"/>
  <c r="AU291"/>
  <c r="AV291"/>
  <c r="AT299"/>
  <c r="Q299" i="65" s="1"/>
  <c r="AV299" i="77"/>
  <c r="S299" i="65" s="1"/>
  <c r="AU299" i="77"/>
  <c r="R299" i="65" s="1"/>
  <c r="AQ299" i="77"/>
  <c r="N299" i="65" s="1"/>
  <c r="AV343" i="77"/>
  <c r="S343" i="65" s="1"/>
  <c r="AT343" i="77"/>
  <c r="Q343" i="65" s="1"/>
  <c r="AU343" i="77"/>
  <c r="R343" i="65" s="1"/>
  <c r="AQ343" i="77"/>
  <c r="N343" i="65" s="1"/>
  <c r="AV326" i="77"/>
  <c r="S326" i="65" s="1"/>
  <c r="AT326" i="77"/>
  <c r="Q326" i="65" s="1"/>
  <c r="AU326" i="77"/>
  <c r="R326" i="65" s="1"/>
  <c r="AQ326" i="77"/>
  <c r="N326" i="65" s="1"/>
  <c r="AV342" i="77"/>
  <c r="S342" i="65" s="1"/>
  <c r="AT342" i="77"/>
  <c r="Q342" i="65" s="1"/>
  <c r="AU342" i="77"/>
  <c r="R342" i="65" s="1"/>
  <c r="AQ342" i="77"/>
  <c r="N342" i="65" s="1"/>
  <c r="AV419" i="77"/>
  <c r="AT419"/>
  <c r="AQ419"/>
  <c r="AU419"/>
  <c r="AV416"/>
  <c r="AU416"/>
  <c r="AQ416"/>
  <c r="AT416"/>
  <c r="AV461"/>
  <c r="AQ461"/>
  <c r="AT461"/>
  <c r="AU461"/>
  <c r="FK241"/>
  <c r="FL241"/>
  <c r="FI412"/>
  <c r="FJ412" s="1"/>
  <c r="FI316"/>
  <c r="FI172"/>
  <c r="FJ172" s="1"/>
  <c r="FI381"/>
  <c r="FJ381" s="1"/>
  <c r="FI210"/>
  <c r="FI91"/>
  <c r="FJ91" s="1"/>
  <c r="FI126"/>
  <c r="FJ126" s="1"/>
  <c r="FI164"/>
  <c r="FJ164" s="1"/>
  <c r="FI116"/>
  <c r="FJ116" s="1"/>
  <c r="FI317"/>
  <c r="FJ168"/>
  <c r="FL168"/>
  <c r="FK168"/>
  <c r="FI166"/>
  <c r="FI178"/>
  <c r="FI157"/>
  <c r="FI118"/>
  <c r="FJ118" s="1"/>
  <c r="FI176"/>
  <c r="FI146"/>
  <c r="FJ146" s="1"/>
  <c r="FI137"/>
  <c r="FI111"/>
  <c r="FJ111" s="1"/>
  <c r="FJ271"/>
  <c r="FL271"/>
  <c r="FK271"/>
  <c r="FI165"/>
  <c r="FJ165" s="1"/>
  <c r="FI179"/>
  <c r="FJ179" s="1"/>
  <c r="FI162"/>
  <c r="FJ162" s="1"/>
  <c r="FI109"/>
  <c r="FJ109" s="1"/>
  <c r="FI21"/>
  <c r="FJ21" s="1"/>
  <c r="FI342"/>
  <c r="FI334"/>
  <c r="FI338"/>
  <c r="FI332"/>
  <c r="FI335"/>
  <c r="FI324"/>
  <c r="FH124"/>
  <c r="FG124"/>
  <c r="FC124"/>
  <c r="FC174"/>
  <c r="FH174"/>
  <c r="FC148"/>
  <c r="FH148"/>
  <c r="FG148"/>
  <c r="FC196"/>
  <c r="FH196"/>
  <c r="FI196" s="1"/>
  <c r="FH211"/>
  <c r="FC211"/>
  <c r="GL218"/>
  <c r="GM218" s="1"/>
  <c r="GL371"/>
  <c r="GM371" s="1"/>
  <c r="GL187"/>
  <c r="GM187" s="1"/>
  <c r="GL141"/>
  <c r="GM141" s="1"/>
  <c r="GL186"/>
  <c r="GM186" s="1"/>
  <c r="GL391"/>
  <c r="GM391" s="1"/>
  <c r="GL143"/>
  <c r="GM143" s="1"/>
  <c r="GL91"/>
  <c r="GM91" s="1"/>
  <c r="GL138"/>
  <c r="GM138" s="1"/>
  <c r="GL109"/>
  <c r="GM109" s="1"/>
  <c r="GL111"/>
  <c r="GM111" s="1"/>
  <c r="GL126"/>
  <c r="GM126" s="1"/>
  <c r="GL115"/>
  <c r="GM115" s="1"/>
  <c r="GL106"/>
  <c r="GM106" s="1"/>
  <c r="GM194"/>
  <c r="GO194"/>
  <c r="GN194"/>
  <c r="GL157"/>
  <c r="GL159"/>
  <c r="GM100"/>
  <c r="GO100"/>
  <c r="GN100"/>
  <c r="GL124"/>
  <c r="GM124" s="1"/>
  <c r="GL151"/>
  <c r="GM151" s="1"/>
  <c r="GM221"/>
  <c r="GO221"/>
  <c r="GN221"/>
  <c r="GL251"/>
  <c r="GM251" s="1"/>
  <c r="GL174"/>
  <c r="GL166"/>
  <c r="GM166" s="1"/>
  <c r="GL103"/>
  <c r="GM103" s="1"/>
  <c r="GL114"/>
  <c r="GM114" s="1"/>
  <c r="GL196"/>
  <c r="GL169"/>
  <c r="GM169" s="1"/>
  <c r="GL177"/>
  <c r="GL131"/>
  <c r="GM131" s="1"/>
  <c r="GL19"/>
  <c r="GM19" s="1"/>
  <c r="GI17"/>
  <c r="GJ17"/>
  <c r="GK17"/>
  <c r="GF17"/>
  <c r="GJ14"/>
  <c r="GI14"/>
  <c r="GK14"/>
  <c r="GF14"/>
  <c r="GF101"/>
  <c r="GK101"/>
  <c r="GL101" s="1"/>
  <c r="GM101" s="1"/>
  <c r="GK172"/>
  <c r="GL172" s="1"/>
  <c r="GF172"/>
  <c r="GI261"/>
  <c r="GK261"/>
  <c r="GF261"/>
  <c r="GF314"/>
  <c r="N314" i="72" s="1"/>
  <c r="GK314" i="77"/>
  <c r="GI317"/>
  <c r="Q317" i="72" s="1"/>
  <c r="GF317" i="77"/>
  <c r="N317" i="72" s="1"/>
  <c r="GK317" i="77"/>
  <c r="S317" i="72" s="1"/>
  <c r="GK344" i="77"/>
  <c r="GF344"/>
  <c r="N344" i="72" s="1"/>
  <c r="GK338" i="77"/>
  <c r="GF338"/>
  <c r="N338" i="72" s="1"/>
  <c r="GK328" i="77"/>
  <c r="GF328"/>
  <c r="N328" i="72" s="1"/>
  <c r="GK339" i="77"/>
  <c r="GF339"/>
  <c r="N339" i="72" s="1"/>
  <c r="GK331" i="77"/>
  <c r="S331" i="72" s="1"/>
  <c r="GF331" i="77"/>
  <c r="N331" i="72" s="1"/>
  <c r="BZ371" i="77"/>
  <c r="BZ231"/>
  <c r="BZ189"/>
  <c r="BZ461"/>
  <c r="CA461" s="1"/>
  <c r="BZ135"/>
  <c r="CA271"/>
  <c r="CC271"/>
  <c r="CB271"/>
  <c r="BZ215"/>
  <c r="CA215" s="1"/>
  <c r="BZ123"/>
  <c r="CA123" s="1"/>
  <c r="BZ261"/>
  <c r="CA261" s="1"/>
  <c r="BZ175"/>
  <c r="CA175" s="1"/>
  <c r="BZ139"/>
  <c r="CA139" s="1"/>
  <c r="BZ124"/>
  <c r="CA124" s="1"/>
  <c r="BZ348"/>
  <c r="BY31"/>
  <c r="BT31"/>
  <c r="BX31"/>
  <c r="BZ332"/>
  <c r="BZ335"/>
  <c r="T335" i="68" s="1"/>
  <c r="BZ327" i="77"/>
  <c r="BW21"/>
  <c r="BX21"/>
  <c r="BT21"/>
  <c r="BY21"/>
  <c r="BX106"/>
  <c r="BY106"/>
  <c r="BT106"/>
  <c r="BZ306"/>
  <c r="BZ325"/>
  <c r="BT61"/>
  <c r="BY61"/>
  <c r="BX61"/>
  <c r="BX142"/>
  <c r="BY142"/>
  <c r="BT142"/>
  <c r="BX186"/>
  <c r="BY186"/>
  <c r="BT186"/>
  <c r="BW103"/>
  <c r="BY103"/>
  <c r="BT103"/>
  <c r="BX103"/>
  <c r="BX133"/>
  <c r="BY133"/>
  <c r="BT133"/>
  <c r="BY151"/>
  <c r="BX151"/>
  <c r="BT151"/>
  <c r="BT178"/>
  <c r="BY178"/>
  <c r="BX178"/>
  <c r="BY91"/>
  <c r="BT91"/>
  <c r="BX91"/>
  <c r="BY126"/>
  <c r="BX126"/>
  <c r="BT126"/>
  <c r="BW184"/>
  <c r="BY184"/>
  <c r="BX184"/>
  <c r="BT184"/>
  <c r="BY150"/>
  <c r="BX150"/>
  <c r="BT150"/>
  <c r="BW168"/>
  <c r="BT168"/>
  <c r="BX168"/>
  <c r="BY168"/>
  <c r="BW176"/>
  <c r="BT176"/>
  <c r="BY176"/>
  <c r="BX176"/>
  <c r="BW192"/>
  <c r="BY192"/>
  <c r="BX192"/>
  <c r="BT192"/>
  <c r="BY219"/>
  <c r="BX219"/>
  <c r="BT219"/>
  <c r="BX241"/>
  <c r="BY241"/>
  <c r="BT241"/>
  <c r="BW194"/>
  <c r="BT194"/>
  <c r="BY194"/>
  <c r="BX194"/>
  <c r="BY309"/>
  <c r="S309" i="68" s="1"/>
  <c r="BT309" i="77"/>
  <c r="N309" i="68" s="1"/>
  <c r="BX309" i="77"/>
  <c r="R309" i="68" s="1"/>
  <c r="BY416" i="77"/>
  <c r="BT416"/>
  <c r="BX416"/>
  <c r="BX417"/>
  <c r="BW417"/>
  <c r="BY417"/>
  <c r="BT417"/>
  <c r="EF412"/>
  <c r="EG412" s="1"/>
  <c r="EF185"/>
  <c r="EG185" s="1"/>
  <c r="EF241"/>
  <c r="EF178"/>
  <c r="EF170"/>
  <c r="EF140"/>
  <c r="EF41"/>
  <c r="ED31"/>
  <c r="EF193"/>
  <c r="FI131"/>
  <c r="FI187"/>
  <c r="FI154"/>
  <c r="GL348"/>
  <c r="T348" i="72" s="1"/>
  <c r="GL327" i="77"/>
  <c r="T327" i="72" s="1"/>
  <c r="GL343" i="77"/>
  <c r="T343" i="72" s="1"/>
  <c r="BZ201" i="77"/>
  <c r="CA201" s="1"/>
  <c r="BZ154"/>
  <c r="BZ153"/>
  <c r="BW114"/>
  <c r="BW151"/>
  <c r="IR128"/>
  <c r="IR109"/>
  <c r="IS109" s="1"/>
  <c r="IR191"/>
  <c r="IR176"/>
  <c r="IS176" s="1"/>
  <c r="IR174"/>
  <c r="IR118"/>
  <c r="IS118" s="1"/>
  <c r="IR135"/>
  <c r="IR130"/>
  <c r="IS130" s="1"/>
  <c r="IO15"/>
  <c r="IP15"/>
  <c r="IQ15"/>
  <c r="IL15"/>
  <c r="IL13"/>
  <c r="IQ13"/>
  <c r="IR13" s="1"/>
  <c r="IL159"/>
  <c r="IQ159"/>
  <c r="IQ216"/>
  <c r="IL216"/>
  <c r="IQ335"/>
  <c r="IL335"/>
  <c r="N335" i="74" s="1"/>
  <c r="EF187" i="77"/>
  <c r="EF391"/>
  <c r="EG391" s="1"/>
  <c r="EF251"/>
  <c r="EF175"/>
  <c r="EG175" s="1"/>
  <c r="EF146"/>
  <c r="EF61"/>
  <c r="EG61" s="1"/>
  <c r="EF196"/>
  <c r="EF125"/>
  <c r="EG125" s="1"/>
  <c r="EF103"/>
  <c r="EG103" s="1"/>
  <c r="EF129"/>
  <c r="EG129" s="1"/>
  <c r="EF138"/>
  <c r="EF11"/>
  <c r="EG11" s="1"/>
  <c r="EF343"/>
  <c r="T343" i="70" s="1"/>
  <c r="EE31" i="77"/>
  <c r="DZ31"/>
  <c r="EF306"/>
  <c r="T306" i="70" s="1"/>
  <c r="EF332" i="77"/>
  <c r="EF335"/>
  <c r="T335" i="70" s="1"/>
  <c r="DZ110" i="77"/>
  <c r="EE110"/>
  <c r="EF110" s="1"/>
  <c r="EC111"/>
  <c r="DZ111"/>
  <c r="EE111"/>
  <c r="EC123"/>
  <c r="DZ123"/>
  <c r="EE123"/>
  <c r="ED143"/>
  <c r="DZ143"/>
  <c r="EE143"/>
  <c r="EE165"/>
  <c r="EF165" s="1"/>
  <c r="DZ165"/>
  <c r="DZ181"/>
  <c r="EE181"/>
  <c r="EF181" s="1"/>
  <c r="EF112"/>
  <c r="EG112" s="1"/>
  <c r="DZ163"/>
  <c r="ED163"/>
  <c r="EE163"/>
  <c r="EE91"/>
  <c r="EF91" s="1"/>
  <c r="DZ91"/>
  <c r="EC107"/>
  <c r="DZ107"/>
  <c r="EE107"/>
  <c r="EC126"/>
  <c r="EE126"/>
  <c r="DZ126"/>
  <c r="DZ176"/>
  <c r="EE176"/>
  <c r="EF176" s="1"/>
  <c r="ED136"/>
  <c r="EE136"/>
  <c r="DZ136"/>
  <c r="ED153"/>
  <c r="EE153"/>
  <c r="DZ153"/>
  <c r="DZ180"/>
  <c r="EE180"/>
  <c r="EF180" s="1"/>
  <c r="ED194"/>
  <c r="DZ194"/>
  <c r="EE194"/>
  <c r="DZ172"/>
  <c r="ED172"/>
  <c r="EE172"/>
  <c r="EE192"/>
  <c r="EF192" s="1"/>
  <c r="DZ192"/>
  <c r="ED210"/>
  <c r="DZ210"/>
  <c r="EE210"/>
  <c r="EE218"/>
  <c r="EF218" s="1"/>
  <c r="DZ218"/>
  <c r="EE261"/>
  <c r="DZ261"/>
  <c r="ED261"/>
  <c r="DZ188"/>
  <c r="ED188"/>
  <c r="EE188"/>
  <c r="DZ214"/>
  <c r="EE214"/>
  <c r="EF214" s="1"/>
  <c r="EE299"/>
  <c r="S299" i="70" s="1"/>
  <c r="ED299" i="77"/>
  <c r="DZ299"/>
  <c r="N299" i="70" s="1"/>
  <c r="DZ381" i="77"/>
  <c r="ED381"/>
  <c r="EE381"/>
  <c r="EE328"/>
  <c r="S328" i="70" s="1"/>
  <c r="ED328" i="77"/>
  <c r="R328" i="70" s="1"/>
  <c r="DZ328" i="77"/>
  <c r="N328" i="70" s="1"/>
  <c r="EE348" i="77"/>
  <c r="S348" i="70" s="1"/>
  <c r="DZ348" i="77"/>
  <c r="N348" i="70" s="1"/>
  <c r="ED348" i="77"/>
  <c r="R348" i="70" s="1"/>
  <c r="EE340" i="77"/>
  <c r="S340" i="70" s="1"/>
  <c r="DZ340" i="77"/>
  <c r="N340" i="70" s="1"/>
  <c r="ED340" i="77"/>
  <c r="EE401"/>
  <c r="EF401" s="1"/>
  <c r="DZ401"/>
  <c r="AW219"/>
  <c r="AX219" s="1"/>
  <c r="AY154"/>
  <c r="AZ154"/>
  <c r="AW421"/>
  <c r="AX421" s="1"/>
  <c r="AW169"/>
  <c r="AW157"/>
  <c r="AX157" s="1"/>
  <c r="AW160"/>
  <c r="AW161"/>
  <c r="AX161" s="1"/>
  <c r="AW131"/>
  <c r="AW16"/>
  <c r="AX16" s="1"/>
  <c r="AW178"/>
  <c r="AX178" s="1"/>
  <c r="AW126"/>
  <c r="AX126" s="1"/>
  <c r="AW112"/>
  <c r="AW124"/>
  <c r="AX124" s="1"/>
  <c r="AW17"/>
  <c r="AW138"/>
  <c r="AX138" s="1"/>
  <c r="AW135"/>
  <c r="AX135" s="1"/>
  <c r="AW324"/>
  <c r="AW340"/>
  <c r="T340" i="65" s="1"/>
  <c r="AU61" i="77"/>
  <c r="AV61"/>
  <c r="AQ61"/>
  <c r="AT61"/>
  <c r="AW344"/>
  <c r="AW309"/>
  <c r="T309" i="65" s="1"/>
  <c r="AV18" i="77"/>
  <c r="AQ18"/>
  <c r="AU18"/>
  <c r="AT18"/>
  <c r="AT115"/>
  <c r="AV115"/>
  <c r="AU115"/>
  <c r="AQ115"/>
  <c r="AV130"/>
  <c r="AT130"/>
  <c r="AU130"/>
  <c r="AQ130"/>
  <c r="AT175"/>
  <c r="AQ175"/>
  <c r="AV175"/>
  <c r="AU175"/>
  <c r="AV147"/>
  <c r="AU147"/>
  <c r="AT147"/>
  <c r="AQ147"/>
  <c r="AT176"/>
  <c r="AQ176"/>
  <c r="AV176"/>
  <c r="AU176"/>
  <c r="AU118"/>
  <c r="AT118"/>
  <c r="AV118"/>
  <c r="AQ118"/>
  <c r="AT146"/>
  <c r="AU146"/>
  <c r="AV146"/>
  <c r="AQ146"/>
  <c r="AT179"/>
  <c r="AQ179"/>
  <c r="AV179"/>
  <c r="AU179"/>
  <c r="AW151"/>
  <c r="AT180"/>
  <c r="AQ180"/>
  <c r="AV180"/>
  <c r="AU180"/>
  <c r="AT191"/>
  <c r="AV191"/>
  <c r="AQ191"/>
  <c r="AU191"/>
  <c r="AU210"/>
  <c r="AT210"/>
  <c r="AV210"/>
  <c r="AQ210"/>
  <c r="AU201"/>
  <c r="AT201"/>
  <c r="AV201"/>
  <c r="AQ201"/>
  <c r="AT221"/>
  <c r="AQ221"/>
  <c r="AV221"/>
  <c r="AU221"/>
  <c r="AT198"/>
  <c r="AV198"/>
  <c r="AU198"/>
  <c r="AQ198"/>
  <c r="AT333"/>
  <c r="Q333" i="65" s="1"/>
  <c r="AV333" i="77"/>
  <c r="S333" i="65" s="1"/>
  <c r="AU333" i="77"/>
  <c r="R333" i="65" s="1"/>
  <c r="AQ333" i="77"/>
  <c r="N333" i="65" s="1"/>
  <c r="AV338" i="77"/>
  <c r="S338" i="65" s="1"/>
  <c r="AT338" i="77"/>
  <c r="Q338" i="65" s="1"/>
  <c r="AU338" i="77"/>
  <c r="R338" i="65" s="1"/>
  <c r="AQ338" i="77"/>
  <c r="N338" i="65" s="1"/>
  <c r="AU371" i="77"/>
  <c r="AV371"/>
  <c r="AT371"/>
  <c r="AQ371"/>
  <c r="AU412"/>
  <c r="AT412"/>
  <c r="AV412"/>
  <c r="AQ412"/>
  <c r="AU413"/>
  <c r="AV413"/>
  <c r="AQ413"/>
  <c r="AT413"/>
  <c r="FI219"/>
  <c r="FI415"/>
  <c r="FI218"/>
  <c r="FI142"/>
  <c r="FI441"/>
  <c r="FL185"/>
  <c r="FK185"/>
  <c r="FI169"/>
  <c r="FI461"/>
  <c r="FJ197"/>
  <c r="FK197"/>
  <c r="FL197"/>
  <c r="FI132"/>
  <c r="FJ132" s="1"/>
  <c r="FI138"/>
  <c r="FJ138" s="1"/>
  <c r="FI13"/>
  <c r="FJ13" s="1"/>
  <c r="FI310"/>
  <c r="FJ190"/>
  <c r="FK190"/>
  <c r="FL190"/>
  <c r="FI139"/>
  <c r="FI61"/>
  <c r="FI106"/>
  <c r="FI16"/>
  <c r="FI214"/>
  <c r="FI192"/>
  <c r="FI117"/>
  <c r="FJ188"/>
  <c r="FK188"/>
  <c r="FL188"/>
  <c r="FI11"/>
  <c r="FJ11" s="1"/>
  <c r="FI191"/>
  <c r="FJ191" s="1"/>
  <c r="FI184"/>
  <c r="FJ184" s="1"/>
  <c r="FI141"/>
  <c r="FJ141" s="1"/>
  <c r="FI261"/>
  <c r="FJ261" s="1"/>
  <c r="FJ101"/>
  <c r="FL101"/>
  <c r="FK101"/>
  <c r="FI133"/>
  <c r="FI31"/>
  <c r="FJ31" s="1"/>
  <c r="FI306"/>
  <c r="T306" i="71" s="1"/>
  <c r="FI325" i="77"/>
  <c r="T325" i="71" s="1"/>
  <c r="FI348" i="77"/>
  <c r="T348" i="71" s="1"/>
  <c r="FC12" i="77"/>
  <c r="FH12"/>
  <c r="FI12" s="1"/>
  <c r="FI333"/>
  <c r="T333" i="71" s="1"/>
  <c r="FI330" i="77"/>
  <c r="T330" i="71" s="1"/>
  <c r="FI343" i="77"/>
  <c r="T343" i="71" s="1"/>
  <c r="FH104" i="77"/>
  <c r="FI104" s="1"/>
  <c r="FC104"/>
  <c r="FC81"/>
  <c r="FH81"/>
  <c r="FI81" s="1"/>
  <c r="FH161"/>
  <c r="FI161" s="1"/>
  <c r="FC161"/>
  <c r="FC140"/>
  <c r="FH140"/>
  <c r="FI140" s="1"/>
  <c r="FI147"/>
  <c r="FC194"/>
  <c r="FH194"/>
  <c r="FI194" s="1"/>
  <c r="GL316"/>
  <c r="T316" i="72" s="1"/>
  <c r="GL215" i="77"/>
  <c r="GL144"/>
  <c r="GM421"/>
  <c r="GO421"/>
  <c r="GN421"/>
  <c r="GL199"/>
  <c r="GM199" s="1"/>
  <c r="GL104"/>
  <c r="GM104" s="1"/>
  <c r="GL310"/>
  <c r="GL153"/>
  <c r="GM153" s="1"/>
  <c r="GL139"/>
  <c r="GM139" s="1"/>
  <c r="GL165"/>
  <c r="GM165" s="1"/>
  <c r="GL132"/>
  <c r="GM132" s="1"/>
  <c r="GL171"/>
  <c r="GM171" s="1"/>
  <c r="GL180"/>
  <c r="GM180" s="1"/>
  <c r="GL173"/>
  <c r="GM173" s="1"/>
  <c r="GL117"/>
  <c r="GM117" s="1"/>
  <c r="GL107"/>
  <c r="GM107" s="1"/>
  <c r="GM190"/>
  <c r="GN190"/>
  <c r="GO190"/>
  <c r="GL135"/>
  <c r="GL146"/>
  <c r="GL31"/>
  <c r="GM197"/>
  <c r="GN197"/>
  <c r="GO197"/>
  <c r="GL140"/>
  <c r="GM140" s="1"/>
  <c r="GL119"/>
  <c r="GM119" s="1"/>
  <c r="GL163"/>
  <c r="GM163" s="1"/>
  <c r="GL61"/>
  <c r="GM61" s="1"/>
  <c r="GL102"/>
  <c r="GM102" s="1"/>
  <c r="GL110"/>
  <c r="GM110" s="1"/>
  <c r="GI13"/>
  <c r="GF13"/>
  <c r="GJ13"/>
  <c r="GK13"/>
  <c r="GI122"/>
  <c r="GK122"/>
  <c r="GF122"/>
  <c r="GK306"/>
  <c r="S306" i="72" s="1"/>
  <c r="GF306" i="77"/>
  <c r="N306" i="72" s="1"/>
  <c r="GK299" i="77"/>
  <c r="GF299"/>
  <c r="N299" i="72" s="1"/>
  <c r="GK340" i="77"/>
  <c r="GF340"/>
  <c r="N340" i="72" s="1"/>
  <c r="GK332" i="77"/>
  <c r="GF332"/>
  <c r="N332" i="72" s="1"/>
  <c r="GK326" i="77"/>
  <c r="GF326"/>
  <c r="N326" i="72" s="1"/>
  <c r="GK337" i="77"/>
  <c r="GF337"/>
  <c r="N337" i="72" s="1"/>
  <c r="GK330" i="77"/>
  <c r="GF330"/>
  <c r="N330" i="72" s="1"/>
  <c r="BZ412" i="77"/>
  <c r="CA412" s="1"/>
  <c r="CA188"/>
  <c r="CC188"/>
  <c r="BZ136"/>
  <c r="BZ125"/>
  <c r="CA125" s="1"/>
  <c r="BZ134"/>
  <c r="BZ13"/>
  <c r="CA13" s="1"/>
  <c r="BZ101"/>
  <c r="BZ11"/>
  <c r="CA11" s="1"/>
  <c r="BZ147"/>
  <c r="BZ118"/>
  <c r="CA118" s="1"/>
  <c r="BZ117"/>
  <c r="BZ12"/>
  <c r="CA12" s="1"/>
  <c r="BZ339"/>
  <c r="T339" i="68" s="1"/>
  <c r="BZ333" i="77"/>
  <c r="BZ330"/>
  <c r="T330" i="68" s="1"/>
  <c r="BZ326" i="77"/>
  <c r="BZ328"/>
  <c r="T328" i="68" s="1"/>
  <c r="BT81" i="77"/>
  <c r="BX81"/>
  <c r="BY81"/>
  <c r="BZ300"/>
  <c r="BY113"/>
  <c r="BT113"/>
  <c r="BX113"/>
  <c r="BY132"/>
  <c r="BX132"/>
  <c r="BT132"/>
  <c r="BT166"/>
  <c r="BY166"/>
  <c r="BX166"/>
  <c r="BX120"/>
  <c r="BY120"/>
  <c r="BT120"/>
  <c r="BY148"/>
  <c r="BX148"/>
  <c r="BT148"/>
  <c r="BY172"/>
  <c r="BT172"/>
  <c r="BX172"/>
  <c r="BY51"/>
  <c r="BX51"/>
  <c r="BW51"/>
  <c r="BT51"/>
  <c r="BX115"/>
  <c r="BY115"/>
  <c r="BT115"/>
  <c r="BY174"/>
  <c r="BT174"/>
  <c r="BX174"/>
  <c r="BW138"/>
  <c r="BY138"/>
  <c r="BX138"/>
  <c r="BT138"/>
  <c r="BW167"/>
  <c r="BT167"/>
  <c r="BY167"/>
  <c r="BX167"/>
  <c r="BY169"/>
  <c r="BT169"/>
  <c r="BX169"/>
  <c r="BT183"/>
  <c r="BX183"/>
  <c r="BY183"/>
  <c r="BT217"/>
  <c r="BY217"/>
  <c r="BX217"/>
  <c r="BX281"/>
  <c r="BT281"/>
  <c r="BY281"/>
  <c r="BX317"/>
  <c r="R317" i="68" s="1"/>
  <c r="BT317" i="77"/>
  <c r="N317" i="68" s="1"/>
  <c r="BY317" i="77"/>
  <c r="S317" i="68" s="1"/>
  <c r="BY361" i="77"/>
  <c r="BX361"/>
  <c r="BT361"/>
  <c r="BY344"/>
  <c r="S344" i="68" s="1"/>
  <c r="BT344" i="77"/>
  <c r="N344" i="68" s="1"/>
  <c r="BX344" i="77"/>
  <c r="R344" i="68" s="1"/>
  <c r="BY308" i="77"/>
  <c r="S308" i="68" s="1"/>
  <c r="BT308" i="77"/>
  <c r="N308" i="68" s="1"/>
  <c r="BX308" i="77"/>
  <c r="R308" i="68" s="1"/>
  <c r="BY415" i="77"/>
  <c r="BT415"/>
  <c r="BX415"/>
  <c r="EF419"/>
  <c r="EF231"/>
  <c r="EF189"/>
  <c r="EF321"/>
  <c r="T321" i="70" s="1"/>
  <c r="EF213" i="77"/>
  <c r="EF115"/>
  <c r="EF421"/>
  <c r="EF149"/>
  <c r="EF171"/>
  <c r="EF142"/>
  <c r="EF155"/>
  <c r="EF133"/>
  <c r="FI174"/>
  <c r="FI211"/>
  <c r="FI100"/>
  <c r="FJ100" s="1"/>
  <c r="FI177"/>
  <c r="GL333"/>
  <c r="T333" i="72" s="1"/>
  <c r="GL324" i="77"/>
  <c r="T324" i="72" s="1"/>
  <c r="GL213" i="77"/>
  <c r="GM213" s="1"/>
  <c r="GL342"/>
  <c r="T342" i="72" s="1"/>
  <c r="GL11" i="77"/>
  <c r="GL331"/>
  <c r="T331" i="72" s="1"/>
  <c r="BZ219" i="77"/>
  <c r="BZ216"/>
  <c r="BZ211"/>
  <c r="CA211" s="1"/>
  <c r="BW133"/>
  <c r="BW421"/>
  <c r="BZ421" s="1"/>
  <c r="CA421" s="1"/>
  <c r="HS319"/>
  <c r="FM281"/>
  <c r="FO281" s="1"/>
  <c r="Z254"/>
  <c r="Z254" i="39" s="1"/>
  <c r="AA254" i="77"/>
  <c r="Z336"/>
  <c r="HV281"/>
  <c r="CF213"/>
  <c r="CG213"/>
  <c r="Z199"/>
  <c r="AA199"/>
  <c r="CF431"/>
  <c r="CG431"/>
  <c r="Z105"/>
  <c r="AA105"/>
  <c r="DJ15"/>
  <c r="DI15"/>
  <c r="FO15"/>
  <c r="FP15"/>
  <c r="CI319"/>
  <c r="AC319" i="68" s="1"/>
  <c r="CJ319" i="77"/>
  <c r="AD319" i="68" s="1"/>
  <c r="IZ189" i="77"/>
  <c r="GQ198"/>
  <c r="FQ198"/>
  <c r="GQ191"/>
  <c r="FQ191"/>
  <c r="GQ165"/>
  <c r="FQ165"/>
  <c r="GQ164"/>
  <c r="FQ164"/>
  <c r="EL417"/>
  <c r="EM417"/>
  <c r="CG221"/>
  <c r="CF221"/>
  <c r="Z419"/>
  <c r="AA419"/>
  <c r="CF311"/>
  <c r="Z311" i="68" s="1"/>
  <c r="GR301" i="77"/>
  <c r="Z301" i="72" s="1"/>
  <c r="Z319" i="77"/>
  <c r="AA146"/>
  <c r="Z146"/>
  <c r="BD148"/>
  <c r="BC148"/>
  <c r="Z13"/>
  <c r="AA13"/>
  <c r="EN134"/>
  <c r="FN134"/>
  <c r="FQ108"/>
  <c r="GQ108"/>
  <c r="EN111"/>
  <c r="FN111"/>
  <c r="FQ16"/>
  <c r="GQ16"/>
  <c r="FO182"/>
  <c r="FP182"/>
  <c r="EL104"/>
  <c r="EM104"/>
  <c r="GS210"/>
  <c r="DI319"/>
  <c r="Z319" i="69" s="1"/>
  <c r="IY219" i="77"/>
  <c r="GS413"/>
  <c r="GR413"/>
  <c r="BC171"/>
  <c r="BD171"/>
  <c r="IV307"/>
  <c r="IV346"/>
  <c r="FO320"/>
  <c r="Z320" i="71" s="1"/>
  <c r="X300" i="77"/>
  <c r="Z300" s="1"/>
  <c r="GP201"/>
  <c r="HS154"/>
  <c r="DG213"/>
  <c r="Z320"/>
  <c r="BC315"/>
  <c r="Z315" i="65" s="1"/>
  <c r="Z241" i="77"/>
  <c r="AA241"/>
  <c r="Z175"/>
  <c r="AA175"/>
  <c r="Z261"/>
  <c r="AA261"/>
  <c r="Z180"/>
  <c r="AA180"/>
  <c r="BC281"/>
  <c r="BD281"/>
  <c r="Z176"/>
  <c r="AA176"/>
  <c r="IY182"/>
  <c r="Z179"/>
  <c r="AA179"/>
  <c r="Z113"/>
  <c r="AA113"/>
  <c r="AC391"/>
  <c r="AD391"/>
  <c r="GT310"/>
  <c r="AB310" i="72" s="1"/>
  <c r="DL315" i="77"/>
  <c r="AC315" i="69" s="1"/>
  <c r="DM315" i="77"/>
  <c r="AD315" i="69" s="1"/>
  <c r="FQ211" i="77"/>
  <c r="GQ211"/>
  <c r="HT105"/>
  <c r="GT105"/>
  <c r="GV105" s="1"/>
  <c r="GR105"/>
  <c r="GQ124"/>
  <c r="FQ124"/>
  <c r="AC138"/>
  <c r="AD138"/>
  <c r="GQ119"/>
  <c r="FQ119"/>
  <c r="GQ122"/>
  <c r="FQ122"/>
  <c r="GS419"/>
  <c r="CF301"/>
  <c r="Z301" i="68" s="1"/>
  <c r="GR217" i="77"/>
  <c r="GS217"/>
  <c r="AA421"/>
  <c r="Z421"/>
  <c r="CF159"/>
  <c r="CG159"/>
  <c r="Z124"/>
  <c r="AA124"/>
  <c r="Z148"/>
  <c r="AA148"/>
  <c r="EN261"/>
  <c r="FN261"/>
  <c r="FQ317"/>
  <c r="AB317" i="71" s="1"/>
  <c r="FQ215" i="77"/>
  <c r="GQ215"/>
  <c r="AD415"/>
  <c r="AC415"/>
  <c r="FQ421"/>
  <c r="GQ421"/>
  <c r="BF301"/>
  <c r="AC301" i="65" s="1"/>
  <c r="BG301" i="77"/>
  <c r="AD301" i="65" s="1"/>
  <c r="CF214" i="77"/>
  <c r="CG214"/>
  <c r="IY199"/>
  <c r="Z108"/>
  <c r="AA108"/>
  <c r="HV201"/>
  <c r="FP251"/>
  <c r="FO251"/>
  <c r="FO199"/>
  <c r="FP199"/>
  <c r="HU105"/>
  <c r="HV105"/>
  <c r="EJ371"/>
  <c r="FM201"/>
  <c r="GP321"/>
  <c r="CD170"/>
  <c r="CF210"/>
  <c r="CG210"/>
  <c r="BC216"/>
  <c r="BD216"/>
  <c r="GS412"/>
  <c r="CF315"/>
  <c r="Z315" i="68" s="1"/>
  <c r="CF312" i="77"/>
  <c r="Z312" i="68" s="1"/>
  <c r="CG413" i="77"/>
  <c r="CF413"/>
  <c r="CG155"/>
  <c r="CF155"/>
  <c r="FP183"/>
  <c r="FO183"/>
  <c r="CF173"/>
  <c r="CG173"/>
  <c r="GQ391"/>
  <c r="FQ391"/>
  <c r="GQ199"/>
  <c r="FQ199"/>
  <c r="HT14"/>
  <c r="GT14"/>
  <c r="GQ157"/>
  <c r="FQ157"/>
  <c r="FO431"/>
  <c r="FP431"/>
  <c r="FP413"/>
  <c r="FO413"/>
  <c r="GS281"/>
  <c r="HV51"/>
  <c r="Z109"/>
  <c r="AA109"/>
  <c r="DI18"/>
  <c r="DJ18"/>
  <c r="FP155"/>
  <c r="Z132"/>
  <c r="AA132"/>
  <c r="FQ210"/>
  <c r="GQ210"/>
  <c r="FQ145"/>
  <c r="GQ145"/>
  <c r="EN109"/>
  <c r="FN109"/>
  <c r="EN141"/>
  <c r="FN141"/>
  <c r="Z186"/>
  <c r="AA186"/>
  <c r="Z182"/>
  <c r="AA182"/>
  <c r="GR51"/>
  <c r="GS51"/>
  <c r="X307"/>
  <c r="GP211"/>
  <c r="FM315"/>
  <c r="HS213"/>
  <c r="DG210"/>
  <c r="CD419"/>
  <c r="EJ51"/>
  <c r="GP312"/>
  <c r="IV215"/>
  <c r="Z298"/>
  <c r="FP414"/>
  <c r="FO414"/>
  <c r="Z401"/>
  <c r="AA401"/>
  <c r="Z414"/>
  <c r="AA414"/>
  <c r="Z312"/>
  <c r="Z214"/>
  <c r="AA214"/>
  <c r="Z317"/>
  <c r="Z217"/>
  <c r="AA217"/>
  <c r="FP231"/>
  <c r="IY14"/>
  <c r="Z147"/>
  <c r="AA147"/>
  <c r="Z106"/>
  <c r="AA106"/>
  <c r="Z159"/>
  <c r="AA159"/>
  <c r="AA102"/>
  <c r="Z102"/>
  <c r="AC103"/>
  <c r="AD103"/>
  <c r="GQ116"/>
  <c r="FQ116"/>
  <c r="GQ19"/>
  <c r="FQ19"/>
  <c r="AC134"/>
  <c r="AD134"/>
  <c r="GQ128"/>
  <c r="FQ128"/>
  <c r="GQ131"/>
  <c r="FQ131"/>
  <c r="Z211"/>
  <c r="AA211"/>
  <c r="EL341"/>
  <c r="Z341" i="70" s="1"/>
  <c r="GS183" i="77"/>
  <c r="DI321"/>
  <c r="Z321" i="69" s="1"/>
  <c r="DL321" i="77"/>
  <c r="AC321" i="69" s="1"/>
  <c r="FO215" i="77"/>
  <c r="FP215"/>
  <c r="FR215" s="1"/>
  <c r="Z137"/>
  <c r="AA137"/>
  <c r="GS156"/>
  <c r="BC14"/>
  <c r="BD14"/>
  <c r="EM14"/>
  <c r="EL14"/>
  <c r="EN416"/>
  <c r="FN416"/>
  <c r="EN219"/>
  <c r="FN219"/>
  <c r="BF319"/>
  <c r="AC319" i="65" s="1"/>
  <c r="BG319" i="77"/>
  <c r="AD319" i="65" s="1"/>
  <c r="FQ150" i="77"/>
  <c r="GQ150"/>
  <c r="FQ132"/>
  <c r="GQ132"/>
  <c r="Z216"/>
  <c r="AA216"/>
  <c r="FO171"/>
  <c r="FP171"/>
  <c r="AA155"/>
  <c r="Z155"/>
  <c r="HV155"/>
  <c r="Z160"/>
  <c r="AA160"/>
  <c r="X111"/>
  <c r="IV281"/>
  <c r="X321"/>
  <c r="IV155"/>
  <c r="DG155"/>
  <c r="Z416"/>
  <c r="AA416"/>
  <c r="DI301"/>
  <c r="Z301" i="69" s="1"/>
  <c r="Z156" i="77"/>
  <c r="AA156"/>
  <c r="EL18"/>
  <c r="EM18"/>
  <c r="Z198"/>
  <c r="AA198"/>
  <c r="BC15"/>
  <c r="BD15"/>
  <c r="AA41"/>
  <c r="Z41"/>
  <c r="Z17"/>
  <c r="AA17"/>
  <c r="BF417"/>
  <c r="BG417"/>
  <c r="CI341"/>
  <c r="AC341" i="68" s="1"/>
  <c r="CJ341" i="77"/>
  <c r="AD341" i="68" s="1"/>
  <c r="FQ281" i="77"/>
  <c r="GQ281"/>
  <c r="AC412"/>
  <c r="AD412"/>
  <c r="DM312"/>
  <c r="AD312" i="69" s="1"/>
  <c r="DL312" i="77"/>
  <c r="AC312" i="69" s="1"/>
  <c r="GT217" i="77"/>
  <c r="HT217"/>
  <c r="AC411"/>
  <c r="AD411"/>
  <c r="EN361"/>
  <c r="FN361"/>
  <c r="FQ213"/>
  <c r="GQ213"/>
  <c r="AC188"/>
  <c r="AD188"/>
  <c r="EN147"/>
  <c r="FN147"/>
  <c r="FQ31"/>
  <c r="GQ31"/>
  <c r="AC118"/>
  <c r="AD118"/>
  <c r="FQ106"/>
  <c r="GQ106"/>
  <c r="EN135"/>
  <c r="FN135"/>
  <c r="EN142"/>
  <c r="FN142"/>
  <c r="DL14"/>
  <c r="DM14"/>
  <c r="GT181"/>
  <c r="HT181"/>
  <c r="AC117"/>
  <c r="AD117"/>
  <c r="AC163"/>
  <c r="AD163"/>
  <c r="EL411"/>
  <c r="EM411"/>
  <c r="EO411" s="1"/>
  <c r="DI313"/>
  <c r="Z313" i="69" s="1"/>
  <c r="AA221" i="77"/>
  <c r="Z221"/>
  <c r="Z196"/>
  <c r="AA196"/>
  <c r="BC431"/>
  <c r="BD431"/>
  <c r="IY414"/>
  <c r="FO319"/>
  <c r="Z319" i="71" s="1"/>
  <c r="Z133" i="77"/>
  <c r="AA133"/>
  <c r="FO51"/>
  <c r="FP51"/>
  <c r="FR51" s="1"/>
  <c r="Z12"/>
  <c r="AA12"/>
  <c r="Z15"/>
  <c r="AA15"/>
  <c r="CG149"/>
  <c r="CF149"/>
  <c r="GQ197"/>
  <c r="FQ197"/>
  <c r="IW431"/>
  <c r="HW431"/>
  <c r="HU431"/>
  <c r="GQ414"/>
  <c r="GR414" s="1"/>
  <c r="FQ414"/>
  <c r="GQ156"/>
  <c r="FQ156"/>
  <c r="GQ125"/>
  <c r="FQ125"/>
  <c r="GQ188"/>
  <c r="FQ188"/>
  <c r="GQ167"/>
  <c r="FQ167"/>
  <c r="GQ158"/>
  <c r="FQ158"/>
  <c r="GQ183"/>
  <c r="GR183" s="1"/>
  <c r="FQ183"/>
  <c r="HW170"/>
  <c r="IW170"/>
  <c r="IZ170" s="1"/>
  <c r="HT18"/>
  <c r="GT18"/>
  <c r="GV18" s="1"/>
  <c r="GQ412"/>
  <c r="FQ412"/>
  <c r="GQ411"/>
  <c r="GR411" s="1"/>
  <c r="FQ411"/>
  <c r="FS411" s="1"/>
  <c r="GT331"/>
  <c r="AB331" i="72" s="1"/>
  <c r="GQ241" i="77"/>
  <c r="FQ241"/>
  <c r="AC311"/>
  <c r="AC311" i="39" s="1"/>
  <c r="AD311" i="77"/>
  <c r="AD311" i="39" s="1"/>
  <c r="GQ195" i="77"/>
  <c r="FQ195"/>
  <c r="FQ71"/>
  <c r="GQ71"/>
  <c r="HW173"/>
  <c r="IW173"/>
  <c r="AC153"/>
  <c r="AD153"/>
  <c r="GQ120"/>
  <c r="FQ120"/>
  <c r="AC104"/>
  <c r="AD104"/>
  <c r="GQ166"/>
  <c r="FQ166"/>
  <c r="AC81"/>
  <c r="AD81"/>
  <c r="GQ126"/>
  <c r="FQ126"/>
  <c r="GS414"/>
  <c r="HV401"/>
  <c r="Z251"/>
  <c r="AA251"/>
  <c r="EL312"/>
  <c r="Z312" i="70" s="1"/>
  <c r="CF401" i="77"/>
  <c r="CG401"/>
  <c r="IY401"/>
  <c r="DI311"/>
  <c r="Z311" i="69" s="1"/>
  <c r="Z210" i="77"/>
  <c r="AA210"/>
  <c r="CG18"/>
  <c r="CF18"/>
  <c r="GS71"/>
  <c r="Z16"/>
  <c r="AA16"/>
  <c r="Z128"/>
  <c r="AA128"/>
  <c r="GQ271"/>
  <c r="FQ271"/>
  <c r="HT401"/>
  <c r="GT401"/>
  <c r="GV401" s="1"/>
  <c r="HW311"/>
  <c r="AB311" i="73" s="1"/>
  <c r="BF401" i="77"/>
  <c r="BG401"/>
  <c r="GQ192"/>
  <c r="FQ192"/>
  <c r="GQ168"/>
  <c r="FQ168"/>
  <c r="GQ160"/>
  <c r="FQ160"/>
  <c r="GQ121"/>
  <c r="FQ121"/>
  <c r="FN41"/>
  <c r="EN41"/>
  <c r="GQ15"/>
  <c r="FQ15"/>
  <c r="AC371"/>
  <c r="AD371"/>
  <c r="AC172"/>
  <c r="AD172"/>
  <c r="AD141"/>
  <c r="AC141"/>
  <c r="AC174"/>
  <c r="AD174"/>
  <c r="AD135"/>
  <c r="AC135"/>
  <c r="AC169"/>
  <c r="AD169"/>
  <c r="FR18"/>
  <c r="FS14"/>
  <c r="X167"/>
  <c r="FO411"/>
  <c r="Z219"/>
  <c r="AA219"/>
  <c r="EO318"/>
  <c r="AC318" i="70" s="1"/>
  <c r="EP318" i="77"/>
  <c r="AD318" i="70" s="1"/>
  <c r="DL318" i="77"/>
  <c r="AC318" i="69" s="1"/>
  <c r="DM318" i="77"/>
  <c r="AD318" i="69" s="1"/>
  <c r="EO301" i="77"/>
  <c r="AC301" i="70" s="1"/>
  <c r="EP301" i="77"/>
  <c r="AD301" i="70" s="1"/>
  <c r="AC213" i="77"/>
  <c r="AD213"/>
  <c r="AC313"/>
  <c r="AC313" i="39" s="1"/>
  <c r="AD313" i="77"/>
  <c r="AD313" i="39" s="1"/>
  <c r="EN143" i="77"/>
  <c r="FN143"/>
  <c r="AC136"/>
  <c r="AD136"/>
  <c r="AD115"/>
  <c r="AC115"/>
  <c r="AC187"/>
  <c r="AD187"/>
  <c r="EN155"/>
  <c r="FN155"/>
  <c r="AC131"/>
  <c r="AD131"/>
  <c r="FQ110"/>
  <c r="GQ110"/>
  <c r="AD11"/>
  <c r="AC11"/>
  <c r="AD107"/>
  <c r="AC107"/>
  <c r="AC121"/>
  <c r="AD121"/>
  <c r="FQ13"/>
  <c r="GQ13"/>
  <c r="HV414"/>
  <c r="GS411"/>
  <c r="CF321"/>
  <c r="Z321" i="68" s="1"/>
  <c r="BD414" i="77"/>
  <c r="BC414"/>
  <c r="CF71"/>
  <c r="CG71"/>
  <c r="Z140"/>
  <c r="AA140"/>
  <c r="Z120"/>
  <c r="AA120"/>
  <c r="DI41"/>
  <c r="DJ41"/>
  <c r="DL41" s="1"/>
  <c r="Z91"/>
  <c r="AA91"/>
  <c r="AA100"/>
  <c r="Z100"/>
  <c r="Z51"/>
  <c r="AA51"/>
  <c r="FQ371"/>
  <c r="GQ371"/>
  <c r="FQ201"/>
  <c r="GQ201"/>
  <c r="EN381"/>
  <c r="FN381"/>
  <c r="FQ441"/>
  <c r="GQ441"/>
  <c r="FQ112"/>
  <c r="GQ112"/>
  <c r="FQ149"/>
  <c r="GQ149"/>
  <c r="EN107"/>
  <c r="FN107"/>
  <c r="EN153"/>
  <c r="FN153"/>
  <c r="AC191"/>
  <c r="AD191"/>
  <c r="AC177"/>
  <c r="AD177"/>
  <c r="AC166"/>
  <c r="AD166"/>
  <c r="AC194"/>
  <c r="AD194"/>
  <c r="AD139"/>
  <c r="AC139"/>
  <c r="AC170"/>
  <c r="AD170"/>
  <c r="GU105"/>
  <c r="HS71"/>
  <c r="GP241"/>
  <c r="DM321"/>
  <c r="AD321" i="69" s="1"/>
  <c r="FR411" i="77"/>
  <c r="FS401"/>
  <c r="FS311"/>
  <c r="AD311" i="71" s="1"/>
  <c r="EP15" i="77"/>
  <c r="EO156"/>
  <c r="EN154"/>
  <c r="FN154"/>
  <c r="EN136"/>
  <c r="FN136"/>
  <c r="EN146"/>
  <c r="FN146"/>
  <c r="AC126"/>
  <c r="AD126"/>
  <c r="FQ114"/>
  <c r="GQ114"/>
  <c r="EN151"/>
  <c r="FN151"/>
  <c r="AC61"/>
  <c r="AD61"/>
  <c r="AC165"/>
  <c r="AD165"/>
  <c r="EN139"/>
  <c r="FN139"/>
  <c r="AC125"/>
  <c r="AD125"/>
  <c r="AA417"/>
  <c r="Z417"/>
  <c r="Z291"/>
  <c r="AA291"/>
  <c r="FO313"/>
  <c r="Z313" i="71" s="1"/>
  <c r="GR315" i="77"/>
  <c r="Z315" i="72" s="1"/>
  <c r="GU311" i="77"/>
  <c r="AC311" i="72" s="1"/>
  <c r="GR311" i="77"/>
  <c r="Z311" i="72" s="1"/>
  <c r="CF14" i="77"/>
  <c r="CG14"/>
  <c r="FO156"/>
  <c r="FP156"/>
  <c r="FR156" s="1"/>
  <c r="BC156"/>
  <c r="BD156"/>
  <c r="Z116"/>
  <c r="AA116"/>
  <c r="Z189"/>
  <c r="AA189"/>
  <c r="IY105"/>
  <c r="Z123"/>
  <c r="AA123"/>
  <c r="Z31"/>
  <c r="AA31"/>
  <c r="GQ196"/>
  <c r="FQ196"/>
  <c r="FN417"/>
  <c r="EN417"/>
  <c r="EP417" s="1"/>
  <c r="GQ251"/>
  <c r="FQ251"/>
  <c r="GQ159"/>
  <c r="FQ159"/>
  <c r="GQ117"/>
  <c r="FQ117"/>
  <c r="GQ194"/>
  <c r="FQ194"/>
  <c r="BF105"/>
  <c r="BG105"/>
  <c r="HT51"/>
  <c r="HU51" s="1"/>
  <c r="GT51"/>
  <c r="AA142"/>
  <c r="Z142"/>
  <c r="BF318"/>
  <c r="AC318" i="65" s="1"/>
  <c r="BG318" i="77"/>
  <c r="AD318" i="65" s="1"/>
  <c r="FQ291" i="77"/>
  <c r="GQ291"/>
  <c r="EN419"/>
  <c r="FN419"/>
  <c r="FR318"/>
  <c r="AC318" i="71" s="1"/>
  <c r="FS318" i="77"/>
  <c r="AD318" i="71" s="1"/>
  <c r="GQ190" i="77"/>
  <c r="FQ190"/>
  <c r="GQ214"/>
  <c r="FQ214"/>
  <c r="AC101"/>
  <c r="AD101"/>
  <c r="GQ129"/>
  <c r="FQ129"/>
  <c r="GQ161"/>
  <c r="FQ161"/>
  <c r="AC154"/>
  <c r="AD154"/>
  <c r="AC168"/>
  <c r="AD168"/>
  <c r="GQ123"/>
  <c r="FQ123"/>
  <c r="GQ118"/>
  <c r="FQ118"/>
  <c r="Z413"/>
  <c r="AA413"/>
  <c r="Z381"/>
  <c r="AA381"/>
  <c r="IY411"/>
  <c r="EL319"/>
  <c r="Z319" i="70" s="1"/>
  <c r="Z331" i="77"/>
  <c r="Z19"/>
  <c r="AA19"/>
  <c r="Z151"/>
  <c r="AA151"/>
  <c r="Z129"/>
  <c r="AA129"/>
  <c r="Z18"/>
  <c r="AA18"/>
  <c r="EL105"/>
  <c r="EM105"/>
  <c r="Z71"/>
  <c r="AA71"/>
  <c r="GQ193"/>
  <c r="FQ193"/>
  <c r="AC144"/>
  <c r="AD144"/>
  <c r="GQ162"/>
  <c r="FQ162"/>
  <c r="GQ130"/>
  <c r="FQ130"/>
  <c r="GQ163"/>
  <c r="FQ163"/>
  <c r="AC14"/>
  <c r="AD14"/>
  <c r="AC197"/>
  <c r="AD197"/>
  <c r="AC195"/>
  <c r="AD195"/>
  <c r="AC315"/>
  <c r="AC315" i="39" s="1"/>
  <c r="AD315" i="77"/>
  <c r="AD315" i="39" s="1"/>
  <c r="BF312" i="77"/>
  <c r="AC312" i="65" s="1"/>
  <c r="BG312" i="77"/>
  <c r="AD312" i="65" s="1"/>
  <c r="AC281" i="77"/>
  <c r="AD281"/>
  <c r="EO315"/>
  <c r="AC315" i="70" s="1"/>
  <c r="EP315" i="77"/>
  <c r="AD315" i="70" s="1"/>
  <c r="AC181" i="77"/>
  <c r="AD181"/>
  <c r="AC316"/>
  <c r="AC316" i="39" s="1"/>
  <c r="AD316" i="77"/>
  <c r="AD316" i="39" s="1"/>
  <c r="AC192" i="77"/>
  <c r="AD192"/>
  <c r="AC178"/>
  <c r="AD178"/>
  <c r="BF51"/>
  <c r="BG51"/>
  <c r="AC185"/>
  <c r="AD185"/>
  <c r="AC193"/>
  <c r="AD193"/>
  <c r="IV149"/>
  <c r="FQ11"/>
  <c r="GQ11"/>
  <c r="FQ12"/>
  <c r="GQ12"/>
  <c r="CI15"/>
  <c r="CJ15"/>
  <c r="EN144"/>
  <c r="FN144"/>
  <c r="EN133"/>
  <c r="FN133"/>
  <c r="FQ17"/>
  <c r="GQ17"/>
  <c r="EN61"/>
  <c r="FN61"/>
  <c r="BD71"/>
  <c r="BC71"/>
  <c r="Z218"/>
  <c r="AA218"/>
  <c r="FP105"/>
  <c r="FR105" s="1"/>
  <c r="FO105"/>
  <c r="AC341"/>
  <c r="AC341" i="39" s="1"/>
  <c r="AD341" i="77"/>
  <c r="AD341" i="39" s="1"/>
  <c r="AC271" i="77"/>
  <c r="AD271"/>
  <c r="BF411"/>
  <c r="BG411"/>
  <c r="AC201"/>
  <c r="AD201"/>
  <c r="FR301"/>
  <c r="AC301" i="71" s="1"/>
  <c r="FS301" i="77"/>
  <c r="AD301" i="71" s="1"/>
  <c r="EN218" i="77"/>
  <c r="FN218"/>
  <c r="EN138"/>
  <c r="FN138"/>
  <c r="AD112"/>
  <c r="AC112"/>
  <c r="AC122"/>
  <c r="AD122"/>
  <c r="AD110"/>
  <c r="AC110"/>
  <c r="EN140"/>
  <c r="FN140"/>
  <c r="EN137"/>
  <c r="FN137"/>
  <c r="AC21"/>
  <c r="AD21"/>
  <c r="AC190"/>
  <c r="AD190"/>
  <c r="AC130"/>
  <c r="AD130"/>
  <c r="Z361"/>
  <c r="AA361"/>
  <c r="Z318"/>
  <c r="EL414"/>
  <c r="EM414"/>
  <c r="EO414" s="1"/>
  <c r="GR319"/>
  <c r="Z319" i="72" s="1"/>
  <c r="BC313" i="77"/>
  <c r="Z313" i="65" s="1"/>
  <c r="Z114" i="77"/>
  <c r="AA114"/>
  <c r="IY18"/>
  <c r="Z183"/>
  <c r="AA183"/>
  <c r="Z119"/>
  <c r="AA119"/>
  <c r="EL71"/>
  <c r="EM71"/>
  <c r="EO71" s="1"/>
  <c r="FQ461"/>
  <c r="GQ461"/>
  <c r="FQ314"/>
  <c r="AB314" i="71" s="1"/>
  <c r="FQ316" i="77"/>
  <c r="AB316" i="71" s="1"/>
  <c r="EN231" i="77"/>
  <c r="FN231"/>
  <c r="FO231" s="1"/>
  <c r="FQ216"/>
  <c r="GQ216"/>
  <c r="EN148"/>
  <c r="FN148"/>
  <c r="EN113"/>
  <c r="FN113"/>
  <c r="EN115"/>
  <c r="FN115"/>
  <c r="FQ21"/>
  <c r="GQ21"/>
  <c r="AC164"/>
  <c r="AD164"/>
  <c r="EN91"/>
  <c r="FN91"/>
  <c r="AC171"/>
  <c r="AD171"/>
  <c r="AC161"/>
  <c r="AD161"/>
  <c r="AC173"/>
  <c r="AD173"/>
  <c r="AC184"/>
  <c r="AD184"/>
  <c r="AC150"/>
  <c r="AD150"/>
  <c r="AC162"/>
  <c r="AD162"/>
  <c r="AC314"/>
  <c r="AC314" i="39" s="1"/>
  <c r="AD314" i="77"/>
  <c r="AD314" i="39" s="1"/>
  <c r="AD143" i="77"/>
  <c r="AC143"/>
  <c r="IV321"/>
  <c r="EJ307"/>
  <c r="IV302"/>
  <c r="Z335"/>
  <c r="FQ335"/>
  <c r="AB335" i="71" s="1"/>
  <c r="Z334" i="77"/>
  <c r="FQ334"/>
  <c r="AB334" i="71" s="1"/>
  <c r="FQ339" i="77"/>
  <c r="AB339" i="71" s="1"/>
  <c r="Z339" i="77"/>
  <c r="FQ330"/>
  <c r="AB330" i="71" s="1"/>
  <c r="Z330" i="77"/>
  <c r="AC328"/>
  <c r="AC328" i="39" s="1"/>
  <c r="AD328" i="77"/>
  <c r="AD328" i="39" s="1"/>
  <c r="FQ328" i="77"/>
  <c r="AB328" i="71" s="1"/>
  <c r="FQ325" i="77"/>
  <c r="AB325" i="71" s="1"/>
  <c r="Z325" i="77"/>
  <c r="FQ344"/>
  <c r="AB344" i="71" s="1"/>
  <c r="Z344" i="77"/>
  <c r="Z337"/>
  <c r="Z337" i="39" s="1"/>
  <c r="FQ337" i="77"/>
  <c r="AB337" i="71" s="1"/>
  <c r="FQ324" i="77"/>
  <c r="AB324" i="71" s="1"/>
  <c r="Z324" i="77"/>
  <c r="Z340"/>
  <c r="FQ340"/>
  <c r="AB340" i="71" s="1"/>
  <c r="Z309" i="77"/>
  <c r="FQ309"/>
  <c r="AB309" i="71" s="1"/>
  <c r="FQ308" i="77"/>
  <c r="AB308" i="71" s="1"/>
  <c r="Z308" i="77"/>
  <c r="GT305"/>
  <c r="AB305" i="72" s="1"/>
  <c r="FO305" i="77"/>
  <c r="Z305" i="71" s="1"/>
  <c r="CF305" i="77"/>
  <c r="Z305" i="68" s="1"/>
  <c r="Z305" i="77"/>
  <c r="CI303"/>
  <c r="AC303" i="68" s="1"/>
  <c r="CJ303" i="77"/>
  <c r="AD303" i="68" s="1"/>
  <c r="GT303" i="77"/>
  <c r="AB303" i="72" s="1"/>
  <c r="FO303" i="77"/>
  <c r="Z303" i="71" s="1"/>
  <c r="Z303" i="77"/>
  <c r="Z343"/>
  <c r="FQ343"/>
  <c r="AB343" i="71" s="1"/>
  <c r="Z342" i="77"/>
  <c r="FQ342"/>
  <c r="AB342" i="71" s="1"/>
  <c r="Z338" i="77"/>
  <c r="FQ338"/>
  <c r="AB338" i="71" s="1"/>
  <c r="FQ332" i="77"/>
  <c r="AB332" i="71" s="1"/>
  <c r="Z332" i="77"/>
  <c r="FQ327"/>
  <c r="AB327" i="71" s="1"/>
  <c r="Z327" i="77"/>
  <c r="Z306"/>
  <c r="FQ306"/>
  <c r="AB306" i="71" s="1"/>
  <c r="FQ300" i="77"/>
  <c r="AB300" i="71" s="1"/>
  <c r="Z348" i="77"/>
  <c r="FQ348"/>
  <c r="AB348" i="71" s="1"/>
  <c r="Z333" i="77"/>
  <c r="Z326"/>
  <c r="FQ326"/>
  <c r="AB326" i="71" s="1"/>
  <c r="Z299" i="77"/>
  <c r="GT299"/>
  <c r="AB299" i="72" s="1"/>
  <c r="GR336" i="77"/>
  <c r="Z336" i="72" s="1"/>
  <c r="FO336" i="77"/>
  <c r="Z336" i="71" s="1"/>
  <c r="EO336" i="77"/>
  <c r="AC336" i="70" s="1"/>
  <c r="EP336" i="77"/>
  <c r="AD336" i="70" s="1"/>
  <c r="DI336" i="77"/>
  <c r="Z336" i="69" s="1"/>
  <c r="CF336" i="77"/>
  <c r="Z336" i="68" s="1"/>
  <c r="BF336" i="77"/>
  <c r="AC336" i="65" s="1"/>
  <c r="BG336" i="77"/>
  <c r="AD336" i="65" s="1"/>
  <c r="AD336" i="77"/>
  <c r="AD336" i="39" s="1"/>
  <c r="GR320" i="77"/>
  <c r="Z320" i="72" s="1"/>
  <c r="FR320" i="77"/>
  <c r="AC320" i="71" s="1"/>
  <c r="FS320" i="77"/>
  <c r="AD320" i="71" s="1"/>
  <c r="EL320" i="77"/>
  <c r="Z320" i="70" s="1"/>
  <c r="DI320" i="77"/>
  <c r="Z320" i="69" s="1"/>
  <c r="CF320" i="77"/>
  <c r="Z320" i="68" s="1"/>
  <c r="BF320" i="77"/>
  <c r="AC320" i="65" s="1"/>
  <c r="BG320" i="77"/>
  <c r="AD320" i="65" s="1"/>
  <c r="AD320" i="77"/>
  <c r="AD320" i="39" s="1"/>
  <c r="GR329" i="77"/>
  <c r="Z329" i="72" s="1"/>
  <c r="FO329" i="77"/>
  <c r="Z329" i="71" s="1"/>
  <c r="EL329" i="77"/>
  <c r="Z329" i="70" s="1"/>
  <c r="DI329" i="77"/>
  <c r="Z329" i="69" s="1"/>
  <c r="CF329" i="77"/>
  <c r="Z329" i="68" s="1"/>
  <c r="BC329" i="77"/>
  <c r="Z329" i="65" s="1"/>
  <c r="GR347" i="77"/>
  <c r="Z347" i="72" s="1"/>
  <c r="FO347" i="77"/>
  <c r="Z347" i="71" s="1"/>
  <c r="EL347" i="77"/>
  <c r="Z347" i="70" s="1"/>
  <c r="DL347" i="77"/>
  <c r="AC347" i="69" s="1"/>
  <c r="DM347" i="77"/>
  <c r="AD347" i="69" s="1"/>
  <c r="CF347" i="77"/>
  <c r="Z347" i="68" s="1"/>
  <c r="BC347" i="77"/>
  <c r="Z347" i="65" s="1"/>
  <c r="Z346" i="77"/>
  <c r="EL346"/>
  <c r="Z346" i="70" s="1"/>
  <c r="FR346" i="77"/>
  <c r="AC346" i="71" s="1"/>
  <c r="FS346" i="77"/>
  <c r="AD346" i="71" s="1"/>
  <c r="BF346" i="77"/>
  <c r="AC346" i="65" s="1"/>
  <c r="BG346" i="77"/>
  <c r="AD346" i="65" s="1"/>
  <c r="CI346" i="77"/>
  <c r="AC346" i="68" s="1"/>
  <c r="CJ346" i="77"/>
  <c r="AD346" i="68" s="1"/>
  <c r="DL346" i="77"/>
  <c r="AC346" i="69" s="1"/>
  <c r="DM346" i="77"/>
  <c r="AD346" i="69" s="1"/>
  <c r="EL345" i="77"/>
  <c r="Z345" i="70" s="1"/>
  <c r="CF345" i="77"/>
  <c r="Z345" i="68" s="1"/>
  <c r="BF345" i="77"/>
  <c r="AC345" i="65" s="1"/>
  <c r="BG345" i="77"/>
  <c r="AD345" i="65" s="1"/>
  <c r="Z345" i="77"/>
  <c r="DI345"/>
  <c r="Z345" i="69" s="1"/>
  <c r="BC323" i="77"/>
  <c r="Z323" i="65" s="1"/>
  <c r="Z323" i="77"/>
  <c r="EL323"/>
  <c r="Z323" i="70" s="1"/>
  <c r="DL323" i="77"/>
  <c r="AC323" i="69" s="1"/>
  <c r="DM323" i="77"/>
  <c r="AD323" i="69" s="1"/>
  <c r="CF323" i="77"/>
  <c r="Z323" i="68" s="1"/>
  <c r="FR323" i="77"/>
  <c r="AC323" i="71" s="1"/>
  <c r="FS323" i="77"/>
  <c r="AD323" i="71" s="1"/>
  <c r="DI307" i="77"/>
  <c r="Z307" i="69" s="1"/>
  <c r="FO307" i="77"/>
  <c r="Z307" i="71" s="1"/>
  <c r="GR307" i="77"/>
  <c r="Z307" i="72" s="1"/>
  <c r="BF307" i="77"/>
  <c r="AC307" i="65" s="1"/>
  <c r="BG307" i="77"/>
  <c r="AD307" i="65" s="1"/>
  <c r="BC304" i="77"/>
  <c r="Z304" i="65" s="1"/>
  <c r="FR304" i="77"/>
  <c r="AC304" i="71" s="1"/>
  <c r="FS304" i="77"/>
  <c r="AD304" i="71" s="1"/>
  <c r="CF304" i="77"/>
  <c r="Z304" i="68" s="1"/>
  <c r="AC304" i="77"/>
  <c r="AC304" i="39" s="1"/>
  <c r="AD304" i="77"/>
  <c r="AD304" i="39" s="1"/>
  <c r="EL304" i="77"/>
  <c r="Z304" i="70" s="1"/>
  <c r="DL304" i="77"/>
  <c r="AC304" i="69" s="1"/>
  <c r="DM304" i="77"/>
  <c r="AD304" i="69" s="1"/>
  <c r="FO302" i="77"/>
  <c r="Z302" i="71" s="1"/>
  <c r="BF302" i="77"/>
  <c r="AC302" i="65" s="1"/>
  <c r="BG302" i="77"/>
  <c r="AD302" i="65" s="1"/>
  <c r="DL302" i="77"/>
  <c r="AC302" i="69" s="1"/>
  <c r="DM302" i="77"/>
  <c r="AD302" i="69" s="1"/>
  <c r="EO302" i="77"/>
  <c r="AC302" i="70" s="1"/>
  <c r="EP302" i="77"/>
  <c r="AD302" i="70" s="1"/>
  <c r="CI302" i="77"/>
  <c r="AC302" i="68" s="1"/>
  <c r="CJ302" i="77"/>
  <c r="AD302" i="68" s="1"/>
  <c r="AC302" i="77"/>
  <c r="AC302" i="39" s="1"/>
  <c r="AD302" i="77"/>
  <c r="AD302" i="39" s="1"/>
  <c r="FR298" i="77"/>
  <c r="AC298" i="71" s="1"/>
  <c r="FS298" i="77"/>
  <c r="AD298" i="71" s="1"/>
  <c r="EL298" i="77"/>
  <c r="Z298" i="70" s="1"/>
  <c r="DL298" i="77"/>
  <c r="AC298" i="69" s="1"/>
  <c r="DM298" i="77"/>
  <c r="AD298" i="69" s="1"/>
  <c r="CI298" i="77"/>
  <c r="AC298" i="68" s="1"/>
  <c r="CJ298" i="77"/>
  <c r="AD298" i="68" s="1"/>
  <c r="BC298" i="77"/>
  <c r="Z298" i="65" s="1"/>
  <c r="X329" i="77"/>
  <c r="FG82"/>
  <c r="FM286"/>
  <c r="FP286" s="1"/>
  <c r="AC298"/>
  <c r="AC298" i="39" s="1"/>
  <c r="AD298" i="77"/>
  <c r="AD298" i="39" s="1"/>
  <c r="Z105" i="65"/>
  <c r="HM237" i="77"/>
  <c r="EJ373"/>
  <c r="EM373" s="1"/>
  <c r="FG57"/>
  <c r="R129" i="71"/>
  <c r="ED430" i="77"/>
  <c r="R115" i="70"/>
  <c r="ED32" i="77"/>
  <c r="EC97"/>
  <c r="EC437"/>
  <c r="FG293"/>
  <c r="R293" i="71" s="1"/>
  <c r="IO69" i="77"/>
  <c r="X412" i="39"/>
  <c r="IU252" i="77"/>
  <c r="DC377"/>
  <c r="FI235"/>
  <c r="T235" i="71" s="1"/>
  <c r="IR378" i="77"/>
  <c r="IR236"/>
  <c r="T236" i="74" s="1"/>
  <c r="IT203" i="77"/>
  <c r="IR358"/>
  <c r="IU203"/>
  <c r="IP72"/>
  <c r="V79" i="39"/>
  <c r="W209"/>
  <c r="W80"/>
  <c r="W432"/>
  <c r="V124"/>
  <c r="X419"/>
  <c r="FF93" i="77"/>
  <c r="ED248"/>
  <c r="R187" i="71"/>
  <c r="U405" i="39"/>
  <c r="V148"/>
  <c r="W128"/>
  <c r="V128"/>
  <c r="FG50" i="77"/>
  <c r="U210" i="39"/>
  <c r="BA286" i="77"/>
  <c r="BD286" s="1"/>
  <c r="IU287"/>
  <c r="FG96"/>
  <c r="CB376"/>
  <c r="CC376"/>
  <c r="GQ393"/>
  <c r="GT393" s="1"/>
  <c r="AB393" i="71"/>
  <c r="Y393"/>
  <c r="GQ250" i="77"/>
  <c r="GT250" s="1"/>
  <c r="GQ82"/>
  <c r="GT82" s="1"/>
  <c r="GQ27"/>
  <c r="GT27" s="1"/>
  <c r="GQ265"/>
  <c r="GT265" s="1"/>
  <c r="AB265" i="71"/>
  <c r="Y154"/>
  <c r="GQ278" i="77"/>
  <c r="GT278" s="1"/>
  <c r="Y195" i="71"/>
  <c r="HT88" i="77"/>
  <c r="HW88" s="1"/>
  <c r="AB88" i="72"/>
  <c r="Y88"/>
  <c r="GQ437" i="77"/>
  <c r="GT437" s="1"/>
  <c r="GQ354"/>
  <c r="GT354" s="1"/>
  <c r="AB354" i="71"/>
  <c r="Y354"/>
  <c r="GQ69" i="77"/>
  <c r="GT69" s="1"/>
  <c r="GQ34"/>
  <c r="GT34" s="1"/>
  <c r="Y185" i="71"/>
  <c r="GQ293" i="77"/>
  <c r="GT293" s="1"/>
  <c r="AB293" i="71"/>
  <c r="Y231"/>
  <c r="AB83" i="74"/>
  <c r="Y83"/>
  <c r="GQ46" i="77"/>
  <c r="GT46" s="1"/>
  <c r="GQ422"/>
  <c r="GT422" s="1"/>
  <c r="GQ282"/>
  <c r="GT282" s="1"/>
  <c r="AB282" i="71"/>
  <c r="Y199"/>
  <c r="GQ295" i="77"/>
  <c r="GT295" s="1"/>
  <c r="GQ237"/>
  <c r="GT237" s="1"/>
  <c r="Y237" i="71"/>
  <c r="GQ93" i="77"/>
  <c r="GT93" s="1"/>
  <c r="GQ57"/>
  <c r="GT57" s="1"/>
  <c r="GQ62"/>
  <c r="GT62" s="1"/>
  <c r="GQ42"/>
  <c r="GT42" s="1"/>
  <c r="GQ259"/>
  <c r="GT259" s="1"/>
  <c r="Y259" i="71"/>
  <c r="Y177"/>
  <c r="GQ270" i="77"/>
  <c r="GT270" s="1"/>
  <c r="AB187" i="71"/>
  <c r="Y187"/>
  <c r="GQ208" i="77"/>
  <c r="GT208" s="1"/>
  <c r="Y208" i="71"/>
  <c r="GQ44" i="77"/>
  <c r="GT44" s="1"/>
  <c r="AB395" i="74"/>
  <c r="Y386"/>
  <c r="GQ246" i="77"/>
  <c r="GT246" s="1"/>
  <c r="GQ269"/>
  <c r="GT269" s="1"/>
  <c r="Y178" i="71"/>
  <c r="GQ274" i="77"/>
  <c r="GT274" s="1"/>
  <c r="Y191" i="71"/>
  <c r="HT84" i="77"/>
  <c r="HW84" s="1"/>
  <c r="AB84" i="72"/>
  <c r="Y84"/>
  <c r="GQ47" i="77"/>
  <c r="GT47" s="1"/>
  <c r="GQ283"/>
  <c r="GT283" s="1"/>
  <c r="GQ225"/>
  <c r="GT225" s="1"/>
  <c r="Y225" i="71"/>
  <c r="HT85" i="77"/>
  <c r="HW85" s="1"/>
  <c r="AB85" i="72"/>
  <c r="Y85"/>
  <c r="GQ48" i="77"/>
  <c r="GT48" s="1"/>
  <c r="GQ36"/>
  <c r="GT36" s="1"/>
  <c r="GQ24"/>
  <c r="GT24" s="1"/>
  <c r="V199" i="39"/>
  <c r="GQ22" i="77"/>
  <c r="GT22" s="1"/>
  <c r="GQ29"/>
  <c r="GT29" s="1"/>
  <c r="GQ292"/>
  <c r="GT292" s="1"/>
  <c r="AB292" i="71"/>
  <c r="GQ222" i="77"/>
  <c r="GT222" s="1"/>
  <c r="Y222" i="71"/>
  <c r="IW87" i="77"/>
  <c r="IZ87" s="1"/>
  <c r="AB87" i="73"/>
  <c r="Y87"/>
  <c r="GQ50" i="77"/>
  <c r="GT50" s="1"/>
  <c r="GQ436"/>
  <c r="GT436" s="1"/>
  <c r="Y171" i="71"/>
  <c r="GQ279" i="77"/>
  <c r="GT279" s="1"/>
  <c r="Y221" i="71"/>
  <c r="GQ254" i="77"/>
  <c r="GT254" s="1"/>
  <c r="AB140" i="71"/>
  <c r="Y140"/>
  <c r="GQ78" i="77"/>
  <c r="GT78" s="1"/>
  <c r="GQ444"/>
  <c r="GT444" s="1"/>
  <c r="GQ277"/>
  <c r="GT277" s="1"/>
  <c r="Y198" i="71"/>
  <c r="GQ395" i="77"/>
  <c r="GT395" s="1"/>
  <c r="Y395" i="71"/>
  <c r="GQ262" i="77"/>
  <c r="GT262" s="1"/>
  <c r="AB262" i="71"/>
  <c r="Y179"/>
  <c r="GQ92" i="77"/>
  <c r="GT92" s="1"/>
  <c r="GQ55"/>
  <c r="GT55" s="1"/>
  <c r="GQ442"/>
  <c r="GT442" s="1"/>
  <c r="GQ275"/>
  <c r="GT275" s="1"/>
  <c r="AB275" i="71"/>
  <c r="Y217"/>
  <c r="AB229" i="70"/>
  <c r="AB177"/>
  <c r="Y132" i="71"/>
  <c r="GQ70" i="77"/>
  <c r="GT70" s="1"/>
  <c r="GQ402"/>
  <c r="GT402" s="1"/>
  <c r="GQ247"/>
  <c r="GT247" s="1"/>
  <c r="GQ95"/>
  <c r="GT95" s="1"/>
  <c r="GQ59"/>
  <c r="GT59" s="1"/>
  <c r="GQ448"/>
  <c r="GT448" s="1"/>
  <c r="Y159" i="71"/>
  <c r="GQ80" i="77"/>
  <c r="GT80" s="1"/>
  <c r="GQ33"/>
  <c r="GT33" s="1"/>
  <c r="GQ409"/>
  <c r="GT409" s="1"/>
  <c r="Y156" i="71"/>
  <c r="GQ288" i="77"/>
  <c r="GT288" s="1"/>
  <c r="AB288" i="71"/>
  <c r="Y218"/>
  <c r="GQ58" i="77"/>
  <c r="GT58" s="1"/>
  <c r="GQ426"/>
  <c r="GT426" s="1"/>
  <c r="AB167" i="71"/>
  <c r="Y167"/>
  <c r="GQ267" i="77"/>
  <c r="GT267" s="1"/>
  <c r="AB267" i="71"/>
  <c r="AB278" i="70"/>
  <c r="AB225"/>
  <c r="GQ204" i="77"/>
  <c r="GT204" s="1"/>
  <c r="Y204" i="71"/>
  <c r="U92" i="39"/>
  <c r="GQ268" i="77"/>
  <c r="GT268" s="1"/>
  <c r="Y201" i="71"/>
  <c r="GQ53" i="77"/>
  <c r="GT53" s="1"/>
  <c r="GQ457"/>
  <c r="GT457" s="1"/>
  <c r="GQ365"/>
  <c r="GT365" s="1"/>
  <c r="GQ239"/>
  <c r="GT239" s="1"/>
  <c r="GQ384"/>
  <c r="GT384" s="1"/>
  <c r="Y384" i="71"/>
  <c r="GQ256" i="77"/>
  <c r="GT256" s="1"/>
  <c r="GQ68"/>
  <c r="GT68" s="1"/>
  <c r="GQ263"/>
  <c r="GT263" s="1"/>
  <c r="AB263" i="71"/>
  <c r="GQ200" i="77"/>
  <c r="GT200" s="1"/>
  <c r="Y200" i="71"/>
  <c r="GQ89" i="77"/>
  <c r="GT89" s="1"/>
  <c r="GQ52"/>
  <c r="GT52" s="1"/>
  <c r="GQ296"/>
  <c r="GT296" s="1"/>
  <c r="AB296" i="71"/>
  <c r="GQ230" i="77"/>
  <c r="GT230" s="1"/>
  <c r="Y230" i="71"/>
  <c r="GQ63" i="77"/>
  <c r="GT63" s="1"/>
  <c r="AB231" i="70"/>
  <c r="AB179"/>
  <c r="Y196" i="71"/>
  <c r="GQ73" i="77"/>
  <c r="GT73" s="1"/>
  <c r="GQ39"/>
  <c r="GT39" s="1"/>
  <c r="GQ32"/>
  <c r="GT32" s="1"/>
  <c r="GQ66"/>
  <c r="GT66" s="1"/>
  <c r="GQ37"/>
  <c r="GT37" s="1"/>
  <c r="GQ242"/>
  <c r="GT242" s="1"/>
  <c r="GQ289"/>
  <c r="GT289" s="1"/>
  <c r="AB289" i="71"/>
  <c r="GQ223" i="77"/>
  <c r="GT223" s="1"/>
  <c r="Y223" i="71"/>
  <c r="Y371"/>
  <c r="GQ244" i="77"/>
  <c r="GT244" s="1"/>
  <c r="AB159" i="70"/>
  <c r="AB259"/>
  <c r="GQ372" i="77"/>
  <c r="GT372" s="1"/>
  <c r="Y372" i="71"/>
  <c r="GQ253" i="77"/>
  <c r="GT253" s="1"/>
  <c r="Y106" i="71"/>
  <c r="GQ26" i="77"/>
  <c r="GT26" s="1"/>
  <c r="GQ264"/>
  <c r="GT264" s="1"/>
  <c r="AB264" i="71"/>
  <c r="Y197"/>
  <c r="GQ394" i="77"/>
  <c r="GT394" s="1"/>
  <c r="Y394" i="71"/>
  <c r="GQ243" i="77"/>
  <c r="GT243" s="1"/>
  <c r="GQ54"/>
  <c r="GT54" s="1"/>
  <c r="GQ376"/>
  <c r="GT376" s="1"/>
  <c r="GQ248"/>
  <c r="GT248" s="1"/>
  <c r="GQ64"/>
  <c r="GT64" s="1"/>
  <c r="GQ20"/>
  <c r="GT20" s="1"/>
  <c r="GQ65"/>
  <c r="GT65" s="1"/>
  <c r="GQ30"/>
  <c r="GT30" s="1"/>
  <c r="GQ23"/>
  <c r="GT23" s="1"/>
  <c r="V246" i="39"/>
  <c r="U199"/>
  <c r="GQ40" i="77"/>
  <c r="GT40" s="1"/>
  <c r="GQ28"/>
  <c r="GT28" s="1"/>
  <c r="GQ420"/>
  <c r="GT420" s="1"/>
  <c r="GQ202"/>
  <c r="GT202" s="1"/>
  <c r="Y202" i="71"/>
  <c r="GQ67" i="77"/>
  <c r="GT67" s="1"/>
  <c r="GQ362"/>
  <c r="GT362" s="1"/>
  <c r="Y362" i="71"/>
  <c r="Y216"/>
  <c r="AB391"/>
  <c r="Y391"/>
  <c r="GQ429" i="77"/>
  <c r="GT429" s="1"/>
  <c r="GQ272"/>
  <c r="GT272" s="1"/>
  <c r="GQ205"/>
  <c r="GT205" s="1"/>
  <c r="Y205" i="71"/>
  <c r="GQ98" i="77"/>
  <c r="GT98" s="1"/>
  <c r="GQ49"/>
  <c r="GT49" s="1"/>
  <c r="GQ240"/>
  <c r="GT240" s="1"/>
  <c r="GQ72"/>
  <c r="GT72" s="1"/>
  <c r="GQ38"/>
  <c r="GT38" s="1"/>
  <c r="GQ423"/>
  <c r="GT423" s="1"/>
  <c r="GQ257"/>
  <c r="GT257" s="1"/>
  <c r="GQ276"/>
  <c r="GT276" s="1"/>
  <c r="GQ209"/>
  <c r="GT209" s="1"/>
  <c r="AB295" i="71"/>
  <c r="Y209"/>
  <c r="GQ94" i="77"/>
  <c r="GT94" s="1"/>
  <c r="GQ45"/>
  <c r="GT45" s="1"/>
  <c r="GQ430"/>
  <c r="GT430" s="1"/>
  <c r="GQ273"/>
  <c r="GT273" s="1"/>
  <c r="AB287" i="71"/>
  <c r="Y194"/>
  <c r="GQ79" i="77"/>
  <c r="GT79" s="1"/>
  <c r="GQ286"/>
  <c r="GT286" s="1"/>
  <c r="GQ207"/>
  <c r="GT207" s="1"/>
  <c r="Y207" i="71"/>
  <c r="HT96" i="77"/>
  <c r="HW96" s="1"/>
  <c r="GQ60"/>
  <c r="GT60" s="1"/>
  <c r="GQ449"/>
  <c r="GT449" s="1"/>
  <c r="GQ287"/>
  <c r="GT287" s="1"/>
  <c r="GQ229"/>
  <c r="GT229" s="1"/>
  <c r="Y229" i="71"/>
  <c r="AB106" i="70"/>
  <c r="AB132"/>
  <c r="GQ443" i="77"/>
  <c r="GT443" s="1"/>
  <c r="HT86"/>
  <c r="HW86" s="1"/>
  <c r="AB86" i="72"/>
  <c r="Y86"/>
  <c r="GQ285" i="77"/>
  <c r="GT285" s="1"/>
  <c r="Y210" i="71"/>
  <c r="GQ294" i="77"/>
  <c r="GT294" s="1"/>
  <c r="AB294" i="71"/>
  <c r="Y211"/>
  <c r="HT385" i="77"/>
  <c r="HW385" s="1"/>
  <c r="AB394" i="72"/>
  <c r="Y385"/>
  <c r="GQ245" i="77"/>
  <c r="GT245" s="1"/>
  <c r="V96" i="39"/>
  <c r="Y17" i="65"/>
  <c r="Y30"/>
  <c r="Y44"/>
  <c r="Y57"/>
  <c r="Y96"/>
  <c r="Y352"/>
  <c r="Y400"/>
  <c r="Y414"/>
  <c r="Y437"/>
  <c r="Y49" i="68"/>
  <c r="Y400" i="69"/>
  <c r="V203" i="39"/>
  <c r="V183"/>
  <c r="Y12" i="65"/>
  <c r="Y24"/>
  <c r="Y42"/>
  <c r="Y60"/>
  <c r="Y72"/>
  <c r="Y79"/>
  <c r="Y389"/>
  <c r="Y422"/>
  <c r="Y436"/>
  <c r="Y17" i="68"/>
  <c r="Y34"/>
  <c r="Y57"/>
  <c r="Y73"/>
  <c r="Y95"/>
  <c r="Y143"/>
  <c r="Y249"/>
  <c r="Y373"/>
  <c r="Y417"/>
  <c r="Y436"/>
  <c r="Y21" i="69"/>
  <c r="Y34"/>
  <c r="Y48"/>
  <c r="Y65"/>
  <c r="Y95"/>
  <c r="Y151"/>
  <c r="Y389"/>
  <c r="Y65" i="70"/>
  <c r="V242" i="39"/>
  <c r="V236"/>
  <c r="W207"/>
  <c r="W199"/>
  <c r="W203"/>
  <c r="W183"/>
  <c r="Y13" i="65"/>
  <c r="Y26"/>
  <c r="Y39"/>
  <c r="Y52"/>
  <c r="Y65"/>
  <c r="Y73"/>
  <c r="Y92"/>
  <c r="Y364"/>
  <c r="Y405"/>
  <c r="Y423"/>
  <c r="Y432"/>
  <c r="Y449"/>
  <c r="Y14" i="68"/>
  <c r="Y22"/>
  <c r="Y31"/>
  <c r="Y40"/>
  <c r="Y53"/>
  <c r="Y62"/>
  <c r="Y70"/>
  <c r="Y82"/>
  <c r="Y96"/>
  <c r="Y122"/>
  <c r="Y148"/>
  <c r="Y242"/>
  <c r="Y250"/>
  <c r="Y352"/>
  <c r="Y374"/>
  <c r="Y405"/>
  <c r="Y414"/>
  <c r="Y428"/>
  <c r="Y437"/>
  <c r="Y449"/>
  <c r="Y14" i="69"/>
  <c r="Y22"/>
  <c r="Y31"/>
  <c r="Y45"/>
  <c r="Y53"/>
  <c r="Y62"/>
  <c r="Y70"/>
  <c r="Y82"/>
  <c r="Y96"/>
  <c r="Y126"/>
  <c r="Y148"/>
  <c r="Y242"/>
  <c r="Y250"/>
  <c r="Y364"/>
  <c r="Y405"/>
  <c r="Y423"/>
  <c r="Y31" i="70"/>
  <c r="V244" i="39"/>
  <c r="V238"/>
  <c r="Y20" i="65"/>
  <c r="Y33"/>
  <c r="Y51"/>
  <c r="Y64"/>
  <c r="Y97"/>
  <c r="Y357"/>
  <c r="Y408"/>
  <c r="Y417"/>
  <c r="Y431"/>
  <c r="Y448"/>
  <c r="Y461"/>
  <c r="Y21" i="68"/>
  <c r="Y30"/>
  <c r="Y44"/>
  <c r="Y52"/>
  <c r="Y61"/>
  <c r="Y65"/>
  <c r="Y81"/>
  <c r="Y121"/>
  <c r="Y147"/>
  <c r="Y245"/>
  <c r="Y257"/>
  <c r="Y389"/>
  <c r="Y413"/>
  <c r="Y427"/>
  <c r="Y441"/>
  <c r="Y17" i="69"/>
  <c r="Y26"/>
  <c r="Y39"/>
  <c r="Y52"/>
  <c r="Y61"/>
  <c r="Y73"/>
  <c r="Y91"/>
  <c r="Y121"/>
  <c r="Y143"/>
  <c r="Y241"/>
  <c r="Y253"/>
  <c r="Y357"/>
  <c r="Y413"/>
  <c r="Y427"/>
  <c r="Y448"/>
  <c r="Y48" i="70"/>
  <c r="U251" i="39"/>
  <c r="U248"/>
  <c r="W276"/>
  <c r="W224"/>
  <c r="W174"/>
  <c r="W121"/>
  <c r="W114"/>
  <c r="Y11" i="65"/>
  <c r="Y15"/>
  <c r="Y19"/>
  <c r="Y23"/>
  <c r="Y28"/>
  <c r="Y32"/>
  <c r="Y37"/>
  <c r="Y41"/>
  <c r="Y46"/>
  <c r="Y50"/>
  <c r="Y54"/>
  <c r="Y59"/>
  <c r="Y63"/>
  <c r="Y67"/>
  <c r="Y71"/>
  <c r="Y98"/>
  <c r="Y94"/>
  <c r="Y90"/>
  <c r="Y80"/>
  <c r="Y355"/>
  <c r="Y367"/>
  <c r="Y388"/>
  <c r="Y401"/>
  <c r="Y407"/>
  <c r="Y412"/>
  <c r="Y416"/>
  <c r="Y421"/>
  <c r="Y426"/>
  <c r="Y430"/>
  <c r="Y435"/>
  <c r="Y439"/>
  <c r="Y444"/>
  <c r="Y457"/>
  <c r="Y12" i="68"/>
  <c r="Y16"/>
  <c r="Y20"/>
  <c r="Y24"/>
  <c r="Y29"/>
  <c r="Y33"/>
  <c r="Y38"/>
  <c r="Y42"/>
  <c r="Y47"/>
  <c r="Y51"/>
  <c r="Y55"/>
  <c r="Y60"/>
  <c r="Y64"/>
  <c r="Y68"/>
  <c r="Y72"/>
  <c r="Y80"/>
  <c r="Y90"/>
  <c r="Y94"/>
  <c r="Y98"/>
  <c r="Y120"/>
  <c r="Y124"/>
  <c r="Y142"/>
  <c r="Y146"/>
  <c r="Y150"/>
  <c r="Y240"/>
  <c r="Y244"/>
  <c r="Y248"/>
  <c r="Y252"/>
  <c r="Y256"/>
  <c r="Y355"/>
  <c r="Y367"/>
  <c r="Y388"/>
  <c r="Y402"/>
  <c r="Y407"/>
  <c r="Y412"/>
  <c r="Y416"/>
  <c r="Y421"/>
  <c r="Y426"/>
  <c r="Y430"/>
  <c r="Y435"/>
  <c r="Y439"/>
  <c r="Y444"/>
  <c r="Y457"/>
  <c r="Y12" i="69"/>
  <c r="Y16"/>
  <c r="Y20"/>
  <c r="Y24"/>
  <c r="Y21" i="65"/>
  <c r="Y34"/>
  <c r="Y48"/>
  <c r="Y61"/>
  <c r="Y69"/>
  <c r="Y82"/>
  <c r="Y374"/>
  <c r="Y409"/>
  <c r="Y419"/>
  <c r="Y428"/>
  <c r="Y442"/>
  <c r="Y462"/>
  <c r="Y18" i="68"/>
  <c r="Y27"/>
  <c r="Y36"/>
  <c r="Y45"/>
  <c r="Y58"/>
  <c r="Y66"/>
  <c r="Y78"/>
  <c r="Y92"/>
  <c r="Y118"/>
  <c r="Y126"/>
  <c r="Y144"/>
  <c r="Y153"/>
  <c r="Y246"/>
  <c r="Y254"/>
  <c r="Y364"/>
  <c r="Y400"/>
  <c r="Y409"/>
  <c r="Y419"/>
  <c r="Y423"/>
  <c r="Y432"/>
  <c r="Y442"/>
  <c r="Y462"/>
  <c r="Y18" i="69"/>
  <c r="Y27"/>
  <c r="Y36"/>
  <c r="Y40"/>
  <c r="Y49"/>
  <c r="Y58"/>
  <c r="Y66"/>
  <c r="Y78"/>
  <c r="Y92"/>
  <c r="Y118"/>
  <c r="Y122"/>
  <c r="Y144"/>
  <c r="Y153"/>
  <c r="Y246"/>
  <c r="Y254"/>
  <c r="Y352"/>
  <c r="Y374"/>
  <c r="Y409"/>
  <c r="Y414"/>
  <c r="Y419"/>
  <c r="Y428"/>
  <c r="Y432"/>
  <c r="Y437"/>
  <c r="Y442"/>
  <c r="Y449"/>
  <c r="Y462"/>
  <c r="Y14" i="70"/>
  <c r="Y18"/>
  <c r="Y22"/>
  <c r="Y27"/>
  <c r="Y36"/>
  <c r="Y40"/>
  <c r="Y45"/>
  <c r="Y49"/>
  <c r="W200" i="39"/>
  <c r="W180"/>
  <c r="V90"/>
  <c r="V86"/>
  <c r="Y16" i="65"/>
  <c r="Y29"/>
  <c r="Y38"/>
  <c r="Y47"/>
  <c r="Y55"/>
  <c r="Y68"/>
  <c r="Y93"/>
  <c r="Y89"/>
  <c r="Y373"/>
  <c r="Y404"/>
  <c r="Y413"/>
  <c r="Y427"/>
  <c r="Y441"/>
  <c r="Y13" i="68"/>
  <c r="Y26"/>
  <c r="Y39"/>
  <c r="Y48"/>
  <c r="Y69"/>
  <c r="Y91"/>
  <c r="Y100"/>
  <c r="Y125"/>
  <c r="Y151"/>
  <c r="Y241"/>
  <c r="Y253"/>
  <c r="Y357"/>
  <c r="Y404"/>
  <c r="Y408"/>
  <c r="Y422"/>
  <c r="Y431"/>
  <c r="Y448"/>
  <c r="Y461"/>
  <c r="Y13" i="69"/>
  <c r="Y30"/>
  <c r="Y44"/>
  <c r="Y57"/>
  <c r="Y69"/>
  <c r="Y81"/>
  <c r="Y100"/>
  <c r="Y125"/>
  <c r="Y147"/>
  <c r="Y245"/>
  <c r="Y249"/>
  <c r="Y257"/>
  <c r="Y373"/>
  <c r="Y404"/>
  <c r="Y408"/>
  <c r="Y417"/>
  <c r="Y422"/>
  <c r="Y431"/>
  <c r="Y436"/>
  <c r="Y441"/>
  <c r="Y461"/>
  <c r="Y13" i="70"/>
  <c r="Y17"/>
  <c r="Y21"/>
  <c r="Y26"/>
  <c r="Y30"/>
  <c r="Y34"/>
  <c r="Y39"/>
  <c r="Y44"/>
  <c r="Y52"/>
  <c r="Y57"/>
  <c r="Y61"/>
  <c r="Y69"/>
  <c r="Y73"/>
  <c r="Y81"/>
  <c r="W286" i="39"/>
  <c r="W193"/>
  <c r="V82"/>
  <c r="V84"/>
  <c r="W218"/>
  <c r="W226"/>
  <c r="Y14" i="65"/>
  <c r="Y18"/>
  <c r="Y22"/>
  <c r="Y27"/>
  <c r="Y31"/>
  <c r="Y36"/>
  <c r="Y40"/>
  <c r="Y45"/>
  <c r="Y49"/>
  <c r="Y53"/>
  <c r="Y58"/>
  <c r="Y62"/>
  <c r="Y66"/>
  <c r="Y70"/>
  <c r="Y78"/>
  <c r="Y95"/>
  <c r="Y91"/>
  <c r="Y81"/>
  <c r="Y353"/>
  <c r="Y365"/>
  <c r="Y376"/>
  <c r="Y402"/>
  <c r="Y406"/>
  <c r="Y411"/>
  <c r="Y415"/>
  <c r="Y420"/>
  <c r="Y425"/>
  <c r="Y429"/>
  <c r="Y434"/>
  <c r="Y438"/>
  <c r="Y443"/>
  <c r="Y455"/>
  <c r="Y11" i="68"/>
  <c r="Y15"/>
  <c r="Y19"/>
  <c r="Y23"/>
  <c r="Y28"/>
  <c r="Y32"/>
  <c r="Y37"/>
  <c r="Y41"/>
  <c r="Y46"/>
  <c r="Y50"/>
  <c r="Y54"/>
  <c r="Y59"/>
  <c r="Y63"/>
  <c r="Y67"/>
  <c r="Y71"/>
  <c r="Y79"/>
  <c r="Y89"/>
  <c r="Y93"/>
  <c r="Y97"/>
  <c r="Y119"/>
  <c r="Y123"/>
  <c r="Y128"/>
  <c r="Y145"/>
  <c r="Y149"/>
  <c r="Y239"/>
  <c r="Y243"/>
  <c r="Y247"/>
  <c r="Y251"/>
  <c r="Y255"/>
  <c r="Y353"/>
  <c r="Y365"/>
  <c r="Y376"/>
  <c r="Y401"/>
  <c r="Y406"/>
  <c r="Y411"/>
  <c r="Y415"/>
  <c r="Y420"/>
  <c r="Y425"/>
  <c r="Y429"/>
  <c r="Y434"/>
  <c r="Y438"/>
  <c r="Y443"/>
  <c r="Y455"/>
  <c r="Y11" i="69"/>
  <c r="Y15"/>
  <c r="Y19"/>
  <c r="Y23"/>
  <c r="Y28"/>
  <c r="Y32"/>
  <c r="Y37"/>
  <c r="Y41"/>
  <c r="Y46"/>
  <c r="Y50"/>
  <c r="Y54"/>
  <c r="Y59"/>
  <c r="Y63"/>
  <c r="Y67"/>
  <c r="Y71"/>
  <c r="Y79"/>
  <c r="Y89"/>
  <c r="Y93"/>
  <c r="Y97"/>
  <c r="Y119"/>
  <c r="Y123"/>
  <c r="Y128"/>
  <c r="Y145"/>
  <c r="Y149"/>
  <c r="Y239"/>
  <c r="Y243"/>
  <c r="Y247"/>
  <c r="Y251"/>
  <c r="Y255"/>
  <c r="Y353"/>
  <c r="Y365"/>
  <c r="Y376"/>
  <c r="Y401"/>
  <c r="Y406"/>
  <c r="Y411"/>
  <c r="Y415"/>
  <c r="Y420"/>
  <c r="Y425"/>
  <c r="Y429"/>
  <c r="Y434"/>
  <c r="Y438"/>
  <c r="Y443"/>
  <c r="Y455"/>
  <c r="Y11" i="70"/>
  <c r="Y15"/>
  <c r="Y19"/>
  <c r="Y23"/>
  <c r="Y28"/>
  <c r="Y32"/>
  <c r="Y37"/>
  <c r="Y41"/>
  <c r="Y46"/>
  <c r="Y50"/>
  <c r="Y54"/>
  <c r="Y59"/>
  <c r="Y63"/>
  <c r="Y67"/>
  <c r="Y71"/>
  <c r="Y79"/>
  <c r="Y89"/>
  <c r="Y93"/>
  <c r="Y97"/>
  <c r="Y119"/>
  <c r="Y123"/>
  <c r="Y128"/>
  <c r="Y145"/>
  <c r="Y149"/>
  <c r="Y239"/>
  <c r="Y243"/>
  <c r="Y247"/>
  <c r="Y251"/>
  <c r="Y255"/>
  <c r="Y353"/>
  <c r="Y365"/>
  <c r="Y376"/>
  <c r="Y401"/>
  <c r="Y406"/>
  <c r="Y411"/>
  <c r="Y415"/>
  <c r="Y420"/>
  <c r="Y425"/>
  <c r="Y429"/>
  <c r="Y434"/>
  <c r="Y438"/>
  <c r="Y443"/>
  <c r="Y455"/>
  <c r="Y11" i="71"/>
  <c r="Y15"/>
  <c r="Y19"/>
  <c r="Y23"/>
  <c r="Y28"/>
  <c r="Y32"/>
  <c r="Y37"/>
  <c r="Y41"/>
  <c r="Y46"/>
  <c r="Y50"/>
  <c r="Y54"/>
  <c r="Y59"/>
  <c r="Y63"/>
  <c r="Y67"/>
  <c r="Y71"/>
  <c r="Y79"/>
  <c r="Y89"/>
  <c r="Y93"/>
  <c r="Y97"/>
  <c r="Y119"/>
  <c r="Y123"/>
  <c r="Y128"/>
  <c r="Y145"/>
  <c r="Y149"/>
  <c r="Y239"/>
  <c r="Y243"/>
  <c r="Y247"/>
  <c r="Y251"/>
  <c r="Y255"/>
  <c r="Y353"/>
  <c r="Y365"/>
  <c r="Y376"/>
  <c r="Y401"/>
  <c r="Y406"/>
  <c r="Y411"/>
  <c r="Y415"/>
  <c r="Y420"/>
  <c r="Y425"/>
  <c r="Y429"/>
  <c r="Y434"/>
  <c r="Y438"/>
  <c r="Y443"/>
  <c r="Y455"/>
  <c r="Y15" i="72"/>
  <c r="Y19"/>
  <c r="Y23"/>
  <c r="Y28"/>
  <c r="Y32"/>
  <c r="Y37"/>
  <c r="Y41"/>
  <c r="Y46"/>
  <c r="Y50"/>
  <c r="Y54"/>
  <c r="Y59"/>
  <c r="Y63"/>
  <c r="Y67"/>
  <c r="Y71"/>
  <c r="Y79"/>
  <c r="Y89"/>
  <c r="Y93"/>
  <c r="Y97"/>
  <c r="Y119"/>
  <c r="Y123"/>
  <c r="Y128"/>
  <c r="Y145"/>
  <c r="Y149"/>
  <c r="Y239"/>
  <c r="Y243"/>
  <c r="Y247"/>
  <c r="Y251"/>
  <c r="Y255"/>
  <c r="Y353"/>
  <c r="Y365"/>
  <c r="Y376"/>
  <c r="Y401"/>
  <c r="Y406"/>
  <c r="Y411"/>
  <c r="Y415"/>
  <c r="Y420"/>
  <c r="Y425"/>
  <c r="Y429"/>
  <c r="Y434"/>
  <c r="Y438"/>
  <c r="Y443"/>
  <c r="Y455"/>
  <c r="Y97" i="73"/>
  <c r="Y123"/>
  <c r="Y149"/>
  <c r="Y255"/>
  <c r="Y353"/>
  <c r="Y401"/>
  <c r="Y406"/>
  <c r="Y411"/>
  <c r="Y415"/>
  <c r="Y425"/>
  <c r="Y434"/>
  <c r="Y438"/>
  <c r="Y455"/>
  <c r="Y97" i="74"/>
  <c r="Y123"/>
  <c r="Y149"/>
  <c r="Y255"/>
  <c r="Y353"/>
  <c r="Y411"/>
  <c r="Y415"/>
  <c r="Y425"/>
  <c r="Y434"/>
  <c r="Y438"/>
  <c r="Y455"/>
  <c r="Y91" i="70"/>
  <c r="Y95"/>
  <c r="Y100"/>
  <c r="Y121"/>
  <c r="Y125"/>
  <c r="Y143"/>
  <c r="Y147"/>
  <c r="Y151"/>
  <c r="Y241"/>
  <c r="Y245"/>
  <c r="Y249"/>
  <c r="Y253"/>
  <c r="Y257"/>
  <c r="Y357"/>
  <c r="Y373"/>
  <c r="Y389"/>
  <c r="Y404"/>
  <c r="Y408"/>
  <c r="Y413"/>
  <c r="Y417"/>
  <c r="Y422"/>
  <c r="Y427"/>
  <c r="Y431"/>
  <c r="Y436"/>
  <c r="Y441"/>
  <c r="Y448"/>
  <c r="Y461"/>
  <c r="Y13" i="71"/>
  <c r="Y17"/>
  <c r="Y21"/>
  <c r="Y26"/>
  <c r="Y30"/>
  <c r="Y34"/>
  <c r="Y39"/>
  <c r="Y44"/>
  <c r="Y48"/>
  <c r="Y52"/>
  <c r="Y57"/>
  <c r="Y61"/>
  <c r="Y65"/>
  <c r="Y69"/>
  <c r="Y73"/>
  <c r="Y81"/>
  <c r="Y91"/>
  <c r="Y95"/>
  <c r="Y100"/>
  <c r="Y121"/>
  <c r="Y125"/>
  <c r="Y143"/>
  <c r="Y147"/>
  <c r="Y151"/>
  <c r="Y241"/>
  <c r="Y245"/>
  <c r="Y249"/>
  <c r="Y253"/>
  <c r="Y257"/>
  <c r="Y357"/>
  <c r="Y373"/>
  <c r="Y389"/>
  <c r="Y404"/>
  <c r="Y408"/>
  <c r="Y413"/>
  <c r="Y417"/>
  <c r="Y422"/>
  <c r="Y427"/>
  <c r="Y431"/>
  <c r="Y436"/>
  <c r="Y441"/>
  <c r="Y448"/>
  <c r="Y461"/>
  <c r="Y13" i="72"/>
  <c r="Y17"/>
  <c r="Y21"/>
  <c r="Y26"/>
  <c r="Y30"/>
  <c r="Y34"/>
  <c r="Y39"/>
  <c r="Y44"/>
  <c r="Y48"/>
  <c r="Y52"/>
  <c r="Y57"/>
  <c r="Y61"/>
  <c r="Y65"/>
  <c r="Y69"/>
  <c r="Y73"/>
  <c r="Y81"/>
  <c r="Y91"/>
  <c r="Y95"/>
  <c r="Y100"/>
  <c r="Y121"/>
  <c r="Y125"/>
  <c r="Y143"/>
  <c r="Y147"/>
  <c r="Y151"/>
  <c r="Y241"/>
  <c r="Y245"/>
  <c r="Y249"/>
  <c r="Y253"/>
  <c r="Y257"/>
  <c r="Y357"/>
  <c r="Y373"/>
  <c r="Y389"/>
  <c r="Y404"/>
  <c r="Y408"/>
  <c r="Y413"/>
  <c r="Y417"/>
  <c r="Y422"/>
  <c r="Y427"/>
  <c r="Y431"/>
  <c r="Y436"/>
  <c r="Y441"/>
  <c r="Y448"/>
  <c r="Y461"/>
  <c r="Y81" i="73"/>
  <c r="Y100"/>
  <c r="Y121"/>
  <c r="Y125"/>
  <c r="Y151"/>
  <c r="Y249"/>
  <c r="Y357"/>
  <c r="Y373"/>
  <c r="Y389"/>
  <c r="Y404"/>
  <c r="Y408"/>
  <c r="Y417"/>
  <c r="Y427"/>
  <c r="Y431"/>
  <c r="Y81" i="74"/>
  <c r="Y100"/>
  <c r="Y121"/>
  <c r="Y125"/>
  <c r="Y151"/>
  <c r="Y249"/>
  <c r="Y357"/>
  <c r="Y373"/>
  <c r="Y389"/>
  <c r="Y408"/>
  <c r="Y417"/>
  <c r="V89" i="39"/>
  <c r="V85"/>
  <c r="V81"/>
  <c r="V83"/>
  <c r="Y29" i="69"/>
  <c r="Y33"/>
  <c r="Y38"/>
  <c r="Y42"/>
  <c r="Y47"/>
  <c r="Y51"/>
  <c r="Y55"/>
  <c r="Y60"/>
  <c r="Y64"/>
  <c r="Y68"/>
  <c r="Y72"/>
  <c r="Y80"/>
  <c r="Y90"/>
  <c r="Y94"/>
  <c r="Y98"/>
  <c r="Y120"/>
  <c r="Y124"/>
  <c r="Y142"/>
  <c r="Y146"/>
  <c r="Y150"/>
  <c r="Y240"/>
  <c r="Y244"/>
  <c r="Y248"/>
  <c r="Y252"/>
  <c r="Y256"/>
  <c r="Y355"/>
  <c r="Y367"/>
  <c r="Y388"/>
  <c r="Y402"/>
  <c r="Y407"/>
  <c r="Y412"/>
  <c r="Y416"/>
  <c r="Y421"/>
  <c r="Y426"/>
  <c r="Y430"/>
  <c r="Y435"/>
  <c r="Y439"/>
  <c r="Y444"/>
  <c r="Y457"/>
  <c r="Y12" i="70"/>
  <c r="Y16"/>
  <c r="Y20"/>
  <c r="Y24"/>
  <c r="Y29"/>
  <c r="Y33"/>
  <c r="Y38"/>
  <c r="Y42"/>
  <c r="Y47"/>
  <c r="Y51"/>
  <c r="Y55"/>
  <c r="Y60"/>
  <c r="Y64"/>
  <c r="Y68"/>
  <c r="Y72"/>
  <c r="Y80"/>
  <c r="Y90"/>
  <c r="Y94"/>
  <c r="Y98"/>
  <c r="Y120"/>
  <c r="Y124"/>
  <c r="Y142"/>
  <c r="Y146"/>
  <c r="Y150"/>
  <c r="Y240"/>
  <c r="Y244"/>
  <c r="Y248"/>
  <c r="Y252"/>
  <c r="Y256"/>
  <c r="Y355"/>
  <c r="Y367"/>
  <c r="Y388"/>
  <c r="Y402"/>
  <c r="Y407"/>
  <c r="Y412"/>
  <c r="Y416"/>
  <c r="Y421"/>
  <c r="Y426"/>
  <c r="Y430"/>
  <c r="Y435"/>
  <c r="Y439"/>
  <c r="Y444"/>
  <c r="Y457"/>
  <c r="Y12" i="71"/>
  <c r="Y16"/>
  <c r="Y20"/>
  <c r="Y24"/>
  <c r="Y29"/>
  <c r="Y33"/>
  <c r="Y38"/>
  <c r="Y42"/>
  <c r="Y47"/>
  <c r="Y51"/>
  <c r="Y55"/>
  <c r="Y60"/>
  <c r="Y64"/>
  <c r="Y68"/>
  <c r="Y72"/>
  <c r="Y80"/>
  <c r="Y90"/>
  <c r="Y94"/>
  <c r="Y98"/>
  <c r="Y120"/>
  <c r="Y124"/>
  <c r="Y142"/>
  <c r="Y146"/>
  <c r="Y150"/>
  <c r="Y240"/>
  <c r="Y244"/>
  <c r="Y248"/>
  <c r="Y252"/>
  <c r="Y256"/>
  <c r="Y355"/>
  <c r="Y367"/>
  <c r="Y388"/>
  <c r="Y402"/>
  <c r="Y407"/>
  <c r="Y412"/>
  <c r="Y416"/>
  <c r="Y421"/>
  <c r="Y426"/>
  <c r="Y430"/>
  <c r="Y435"/>
  <c r="Y439"/>
  <c r="Y444"/>
  <c r="Y457"/>
  <c r="Y12" i="72"/>
  <c r="Y16"/>
  <c r="Y20"/>
  <c r="Y24"/>
  <c r="Y29"/>
  <c r="Y33"/>
  <c r="Y38"/>
  <c r="Y42"/>
  <c r="Y47"/>
  <c r="Y51"/>
  <c r="Y55"/>
  <c r="Y60"/>
  <c r="Y64"/>
  <c r="Y68"/>
  <c r="Y72"/>
  <c r="Y80"/>
  <c r="Y90"/>
  <c r="Y94"/>
  <c r="Y98"/>
  <c r="Y120"/>
  <c r="Y124"/>
  <c r="Y142"/>
  <c r="Y146"/>
  <c r="Y150"/>
  <c r="Y240"/>
  <c r="Y244"/>
  <c r="Y248"/>
  <c r="Y252"/>
  <c r="Y256"/>
  <c r="Y355"/>
  <c r="Y367"/>
  <c r="Y388"/>
  <c r="Y402"/>
  <c r="Y407"/>
  <c r="Y412"/>
  <c r="Y416"/>
  <c r="Y421"/>
  <c r="Y426"/>
  <c r="Y430"/>
  <c r="Y435"/>
  <c r="Y439"/>
  <c r="Y444"/>
  <c r="Y457"/>
  <c r="Y90" i="73"/>
  <c r="Y120"/>
  <c r="Y124"/>
  <c r="Y150"/>
  <c r="Y252"/>
  <c r="Y355"/>
  <c r="Y367"/>
  <c r="Y388"/>
  <c r="Y407"/>
  <c r="Y416"/>
  <c r="Y435"/>
  <c r="Y439"/>
  <c r="Y90" i="74"/>
  <c r="Y120"/>
  <c r="Y124"/>
  <c r="Y252"/>
  <c r="Y355"/>
  <c r="Y388"/>
  <c r="Y407"/>
  <c r="Y416"/>
  <c r="Y435"/>
  <c r="Y439"/>
  <c r="W90" i="39"/>
  <c r="W86"/>
  <c r="V200"/>
  <c r="V180"/>
  <c r="V224"/>
  <c r="V174"/>
  <c r="V276"/>
  <c r="V121"/>
  <c r="V114"/>
  <c r="U90"/>
  <c r="U86"/>
  <c r="U89"/>
  <c r="U85"/>
  <c r="V384"/>
  <c r="V378"/>
  <c r="Y53" i="70"/>
  <c r="Y58"/>
  <c r="Y62"/>
  <c r="Y66"/>
  <c r="Y70"/>
  <c r="Y78"/>
  <c r="Y82"/>
  <c r="Y92"/>
  <c r="Y96"/>
  <c r="Y118"/>
  <c r="Y122"/>
  <c r="Y126"/>
  <c r="Y144"/>
  <c r="Y148"/>
  <c r="Y153"/>
  <c r="Y242"/>
  <c r="Y246"/>
  <c r="Y250"/>
  <c r="Y254"/>
  <c r="Y352"/>
  <c r="Y364"/>
  <c r="Y374"/>
  <c r="Y400"/>
  <c r="Y405"/>
  <c r="Y409"/>
  <c r="Y414"/>
  <c r="Y419"/>
  <c r="Y423"/>
  <c r="Y428"/>
  <c r="Y432"/>
  <c r="Y437"/>
  <c r="Y442"/>
  <c r="Y449"/>
  <c r="Y462"/>
  <c r="Y14" i="71"/>
  <c r="Y18"/>
  <c r="Y22"/>
  <c r="Y27"/>
  <c r="Y31"/>
  <c r="Y36"/>
  <c r="Y40"/>
  <c r="Y45"/>
  <c r="Y49"/>
  <c r="Y53"/>
  <c r="Y58"/>
  <c r="Y62"/>
  <c r="Y66"/>
  <c r="Y70"/>
  <c r="Y78"/>
  <c r="Y82"/>
  <c r="Y92"/>
  <c r="Y96"/>
  <c r="Y118"/>
  <c r="Y122"/>
  <c r="Y126"/>
  <c r="Y144"/>
  <c r="Y148"/>
  <c r="Y153"/>
  <c r="Y242"/>
  <c r="Y246"/>
  <c r="Y250"/>
  <c r="Y254"/>
  <c r="Y352"/>
  <c r="Y364"/>
  <c r="Y374"/>
  <c r="Y400"/>
  <c r="Y405"/>
  <c r="Y409"/>
  <c r="Y414"/>
  <c r="Y419"/>
  <c r="Y423"/>
  <c r="Y428"/>
  <c r="Y432"/>
  <c r="Y437"/>
  <c r="Y442"/>
  <c r="Y449"/>
  <c r="Y462"/>
  <c r="Y14" i="72"/>
  <c r="Y18"/>
  <c r="Y22"/>
  <c r="Y27"/>
  <c r="Y31"/>
  <c r="Y36"/>
  <c r="Y40"/>
  <c r="Y45"/>
  <c r="Y49"/>
  <c r="Y53"/>
  <c r="Y58"/>
  <c r="Y62"/>
  <c r="Y66"/>
  <c r="Y70"/>
  <c r="Y78"/>
  <c r="Y82"/>
  <c r="Y92"/>
  <c r="Y96"/>
  <c r="Y118"/>
  <c r="Y122"/>
  <c r="Y126"/>
  <c r="Y144"/>
  <c r="Y148"/>
  <c r="Y153"/>
  <c r="Y242"/>
  <c r="Y246"/>
  <c r="Y250"/>
  <c r="Y254"/>
  <c r="Y352"/>
  <c r="Y364"/>
  <c r="Y374"/>
  <c r="Y400"/>
  <c r="Y405"/>
  <c r="Y409"/>
  <c r="Y414"/>
  <c r="Y419"/>
  <c r="Y423"/>
  <c r="Y428"/>
  <c r="Y432"/>
  <c r="Y437"/>
  <c r="Y442"/>
  <c r="Y449"/>
  <c r="Y462"/>
  <c r="Y96" i="73"/>
  <c r="Y118"/>
  <c r="Y122"/>
  <c r="Y126"/>
  <c r="Y144"/>
  <c r="Y352"/>
  <c r="Y364"/>
  <c r="Y374"/>
  <c r="Y400"/>
  <c r="Y405"/>
  <c r="Y414"/>
  <c r="Y428"/>
  <c r="Y432"/>
  <c r="Y462"/>
  <c r="Y118" i="74"/>
  <c r="Y122"/>
  <c r="Y126"/>
  <c r="Y144"/>
  <c r="Y352"/>
  <c r="Y364"/>
  <c r="Y374"/>
  <c r="Y400"/>
  <c r="Y405"/>
  <c r="Y414"/>
  <c r="Y428"/>
  <c r="Y432"/>
  <c r="Y462"/>
  <c r="W81" i="39"/>
  <c r="W83"/>
  <c r="W89"/>
  <c r="W85"/>
  <c r="V371"/>
  <c r="V369"/>
  <c r="V362"/>
  <c r="V359"/>
  <c r="W241"/>
  <c r="W235"/>
  <c r="V202"/>
  <c r="V182"/>
  <c r="V219"/>
  <c r="V227"/>
  <c r="W198"/>
  <c r="W175"/>
  <c r="W277"/>
  <c r="W244"/>
  <c r="W238"/>
  <c r="V221"/>
  <c r="V232"/>
  <c r="W363"/>
  <c r="W360"/>
  <c r="V363"/>
  <c r="V360"/>
  <c r="W145"/>
  <c r="W138"/>
  <c r="U142"/>
  <c r="U131"/>
  <c r="W142"/>
  <c r="W131"/>
  <c r="U198"/>
  <c r="U277"/>
  <c r="U175"/>
  <c r="U241"/>
  <c r="U235"/>
  <c r="W136"/>
  <c r="W111"/>
  <c r="U218"/>
  <c r="U226"/>
  <c r="U244"/>
  <c r="U238"/>
  <c r="W266"/>
  <c r="W157"/>
  <c r="U82"/>
  <c r="U84"/>
  <c r="U202"/>
  <c r="U182"/>
  <c r="V220"/>
  <c r="V228"/>
  <c r="AA115"/>
  <c r="X115"/>
  <c r="W268"/>
  <c r="W160"/>
  <c r="X156" i="70"/>
  <c r="X105"/>
  <c r="X271" i="39"/>
  <c r="X134"/>
  <c r="AA395"/>
  <c r="X395"/>
  <c r="X259"/>
  <c r="X159"/>
  <c r="W391"/>
  <c r="V281"/>
  <c r="V184"/>
  <c r="V172"/>
  <c r="V223"/>
  <c r="AA275"/>
  <c r="X275"/>
  <c r="W130"/>
  <c r="W158"/>
  <c r="V283"/>
  <c r="V186"/>
  <c r="W184"/>
  <c r="W281"/>
  <c r="W220"/>
  <c r="W228"/>
  <c r="U259"/>
  <c r="U159"/>
  <c r="U362"/>
  <c r="U359"/>
  <c r="W225"/>
  <c r="W278"/>
  <c r="V134"/>
  <c r="V271"/>
  <c r="W116"/>
  <c r="W185"/>
  <c r="U278"/>
  <c r="U225"/>
  <c r="U281"/>
  <c r="U184"/>
  <c r="W134"/>
  <c r="W271"/>
  <c r="U156" i="65"/>
  <c r="U105"/>
  <c r="U171" i="39"/>
  <c r="U274"/>
  <c r="U222"/>
  <c r="U108"/>
  <c r="U220"/>
  <c r="U228"/>
  <c r="U229"/>
  <c r="U177"/>
  <c r="V92"/>
  <c r="V93"/>
  <c r="V208"/>
  <c r="V417"/>
  <c r="FM46" i="77"/>
  <c r="FP46" s="1"/>
  <c r="V247" i="39"/>
  <c r="W247"/>
  <c r="HM250" i="77"/>
  <c r="EC386"/>
  <c r="Q395" i="70" s="1"/>
  <c r="ED60" i="77"/>
  <c r="R287" i="71"/>
  <c r="FG267" i="77"/>
  <c r="R267" i="71" s="1"/>
  <c r="U247" i="39"/>
  <c r="W239"/>
  <c r="W233"/>
  <c r="W201"/>
  <c r="W181"/>
  <c r="W221"/>
  <c r="W232"/>
  <c r="W202"/>
  <c r="W182"/>
  <c r="V91"/>
  <c r="V88"/>
  <c r="V196"/>
  <c r="V170"/>
  <c r="V218"/>
  <c r="V226"/>
  <c r="V198"/>
  <c r="V175"/>
  <c r="V277"/>
  <c r="V372"/>
  <c r="V370"/>
  <c r="W364"/>
  <c r="W361"/>
  <c r="U91"/>
  <c r="U88"/>
  <c r="U221"/>
  <c r="U232"/>
  <c r="W192"/>
  <c r="W162"/>
  <c r="U192"/>
  <c r="U162"/>
  <c r="V192"/>
  <c r="V162"/>
  <c r="U272"/>
  <c r="U161"/>
  <c r="W219"/>
  <c r="W227"/>
  <c r="V111"/>
  <c r="V136"/>
  <c r="V364"/>
  <c r="V361"/>
  <c r="V144"/>
  <c r="V137"/>
  <c r="V120"/>
  <c r="V112"/>
  <c r="U120"/>
  <c r="U112"/>
  <c r="U136"/>
  <c r="U111"/>
  <c r="U239"/>
  <c r="U233"/>
  <c r="AA87"/>
  <c r="X87"/>
  <c r="AA102"/>
  <c r="X102"/>
  <c r="AA176"/>
  <c r="X176"/>
  <c r="W269"/>
  <c r="W133"/>
  <c r="AA155"/>
  <c r="X155"/>
  <c r="AA139"/>
  <c r="X139"/>
  <c r="X173"/>
  <c r="X110"/>
  <c r="AA291"/>
  <c r="X291"/>
  <c r="AA394"/>
  <c r="X394"/>
  <c r="AA164"/>
  <c r="X164"/>
  <c r="AA262"/>
  <c r="X262"/>
  <c r="X284"/>
  <c r="X117"/>
  <c r="V279"/>
  <c r="V113"/>
  <c r="V230"/>
  <c r="V178"/>
  <c r="AA288"/>
  <c r="X288"/>
  <c r="AC225" i="77"/>
  <c r="X278" i="39"/>
  <c r="X225"/>
  <c r="AA167"/>
  <c r="X167"/>
  <c r="V222"/>
  <c r="V171"/>
  <c r="V274"/>
  <c r="V108"/>
  <c r="W223"/>
  <c r="W172"/>
  <c r="AA285"/>
  <c r="X285"/>
  <c r="W186"/>
  <c r="W283"/>
  <c r="AA289"/>
  <c r="X289"/>
  <c r="X156" i="65"/>
  <c r="X105"/>
  <c r="U121" i="39"/>
  <c r="U114"/>
  <c r="V231"/>
  <c r="V179"/>
  <c r="V110"/>
  <c r="V173"/>
  <c r="V156" i="71"/>
  <c r="V105"/>
  <c r="V117" i="39"/>
  <c r="V284"/>
  <c r="V156"/>
  <c r="V105"/>
  <c r="W231"/>
  <c r="W179"/>
  <c r="U269"/>
  <c r="U133"/>
  <c r="U196"/>
  <c r="U170"/>
  <c r="W156" i="72"/>
  <c r="W105"/>
  <c r="V156"/>
  <c r="V105"/>
  <c r="U273" i="39"/>
  <c r="U168"/>
  <c r="U107"/>
  <c r="W259"/>
  <c r="W159"/>
  <c r="U279"/>
  <c r="U113"/>
  <c r="U230"/>
  <c r="U178"/>
  <c r="V249"/>
  <c r="V193"/>
  <c r="W147"/>
  <c r="ED242" i="77"/>
  <c r="FF393"/>
  <c r="Q393" i="71" s="1"/>
  <c r="R391"/>
  <c r="W237" i="39"/>
  <c r="W188"/>
  <c r="W371"/>
  <c r="W369"/>
  <c r="W372"/>
  <c r="W370"/>
  <c r="V239"/>
  <c r="V233"/>
  <c r="V201"/>
  <c r="V181"/>
  <c r="U224"/>
  <c r="U174"/>
  <c r="U276"/>
  <c r="U201"/>
  <c r="U181"/>
  <c r="U363"/>
  <c r="U360"/>
  <c r="U145"/>
  <c r="U138"/>
  <c r="V142"/>
  <c r="V131"/>
  <c r="U144"/>
  <c r="U137"/>
  <c r="V145"/>
  <c r="V138"/>
  <c r="U384"/>
  <c r="U378"/>
  <c r="AA166"/>
  <c r="X166"/>
  <c r="V269"/>
  <c r="V133"/>
  <c r="AA290"/>
  <c r="X290"/>
  <c r="X156" i="73"/>
  <c r="X105"/>
  <c r="AA135" i="39"/>
  <c r="X135"/>
  <c r="AA280"/>
  <c r="X280"/>
  <c r="AA382"/>
  <c r="X382"/>
  <c r="AA267"/>
  <c r="X267"/>
  <c r="X140"/>
  <c r="V158"/>
  <c r="V130"/>
  <c r="X156" i="74"/>
  <c r="X105"/>
  <c r="AA282" i="39"/>
  <c r="X282"/>
  <c r="AA287"/>
  <c r="X287"/>
  <c r="V268"/>
  <c r="V160"/>
  <c r="X229"/>
  <c r="X177"/>
  <c r="AA293"/>
  <c r="X293"/>
  <c r="X156" i="72"/>
  <c r="X105"/>
  <c r="U372" i="39"/>
  <c r="U370"/>
  <c r="V259"/>
  <c r="V159"/>
  <c r="W261"/>
  <c r="W101"/>
  <c r="W284"/>
  <c r="W117"/>
  <c r="W156" i="70"/>
  <c r="W105"/>
  <c r="V229" i="39"/>
  <c r="V177"/>
  <c r="V156" i="70"/>
  <c r="V105"/>
  <c r="V116" i="39"/>
  <c r="V185"/>
  <c r="W156" i="71"/>
  <c r="W105"/>
  <c r="U261" i="39"/>
  <c r="U101"/>
  <c r="V156" i="73"/>
  <c r="V105"/>
  <c r="U186" i="39"/>
  <c r="U283"/>
  <c r="V156" i="74"/>
  <c r="V105"/>
  <c r="U173" i="39"/>
  <c r="U110"/>
  <c r="W156" i="73"/>
  <c r="W105"/>
  <c r="U237" i="39"/>
  <c r="U188"/>
  <c r="U96"/>
  <c r="U246"/>
  <c r="V253"/>
  <c r="V248"/>
  <c r="U253"/>
  <c r="W195"/>
  <c r="W169"/>
  <c r="W82"/>
  <c r="W84"/>
  <c r="V107"/>
  <c r="V168"/>
  <c r="V273"/>
  <c r="U81"/>
  <c r="U83"/>
  <c r="W384"/>
  <c r="W378"/>
  <c r="U195"/>
  <c r="U169"/>
  <c r="W240"/>
  <c r="W234"/>
  <c r="W91"/>
  <c r="W88"/>
  <c r="V188"/>
  <c r="V237"/>
  <c r="U200"/>
  <c r="U180"/>
  <c r="V240"/>
  <c r="V234"/>
  <c r="V241"/>
  <c r="V235"/>
  <c r="W273"/>
  <c r="W168"/>
  <c r="W107"/>
  <c r="W242"/>
  <c r="W236"/>
  <c r="W362"/>
  <c r="W359"/>
  <c r="V272"/>
  <c r="V161"/>
  <c r="U203"/>
  <c r="U183"/>
  <c r="V195"/>
  <c r="V169"/>
  <c r="U364"/>
  <c r="U361"/>
  <c r="W144"/>
  <c r="W137"/>
  <c r="U242"/>
  <c r="U236"/>
  <c r="V266"/>
  <c r="V157"/>
  <c r="U240"/>
  <c r="U234"/>
  <c r="AA296"/>
  <c r="X296"/>
  <c r="X185"/>
  <c r="X116"/>
  <c r="AA165"/>
  <c r="X165"/>
  <c r="W274"/>
  <c r="W171"/>
  <c r="W108"/>
  <c r="W222"/>
  <c r="X261"/>
  <c r="X101"/>
  <c r="X156"/>
  <c r="X105"/>
  <c r="AA109"/>
  <c r="X109"/>
  <c r="AA190"/>
  <c r="X190"/>
  <c r="AA141"/>
  <c r="X141"/>
  <c r="AA379"/>
  <c r="X379"/>
  <c r="AA292"/>
  <c r="X292"/>
  <c r="AA187"/>
  <c r="X187"/>
  <c r="W230"/>
  <c r="W178"/>
  <c r="W279"/>
  <c r="W113"/>
  <c r="AC156" i="65"/>
  <c r="AA156"/>
  <c r="AA105"/>
  <c r="V106" i="39"/>
  <c r="V132"/>
  <c r="U371"/>
  <c r="U369"/>
  <c r="V156" i="65"/>
  <c r="V105"/>
  <c r="U179" i="39"/>
  <c r="U231"/>
  <c r="W173"/>
  <c r="W110"/>
  <c r="W156" i="65"/>
  <c r="W105"/>
  <c r="U106" i="39"/>
  <c r="U132"/>
  <c r="V261"/>
  <c r="V101"/>
  <c r="W105"/>
  <c r="W156"/>
  <c r="U156" i="71"/>
  <c r="U105"/>
  <c r="U105" i="39"/>
  <c r="U156"/>
  <c r="U158"/>
  <c r="U130"/>
  <c r="W156" i="74"/>
  <c r="W105"/>
  <c r="U266" i="39"/>
  <c r="U157"/>
  <c r="W191"/>
  <c r="W272"/>
  <c r="W161"/>
  <c r="W385"/>
  <c r="W380"/>
  <c r="W388"/>
  <c r="W106"/>
  <c r="W132"/>
  <c r="W216"/>
  <c r="U268"/>
  <c r="U160"/>
  <c r="W120"/>
  <c r="W112"/>
  <c r="U223"/>
  <c r="U172"/>
  <c r="W92"/>
  <c r="W246"/>
  <c r="U93"/>
  <c r="U204"/>
  <c r="W96"/>
  <c r="V147"/>
  <c r="W248"/>
  <c r="T381" i="72"/>
  <c r="GJ23" i="77"/>
  <c r="FG282"/>
  <c r="R282" i="71" s="1"/>
  <c r="IT378" i="77"/>
  <c r="V378" i="74" s="1"/>
  <c r="T378"/>
  <c r="IS227" i="77"/>
  <c r="U227" i="74" s="1"/>
  <c r="T227"/>
  <c r="U129"/>
  <c r="T129"/>
  <c r="Q103"/>
  <c r="IR393" i="77"/>
  <c r="Q393" i="74"/>
  <c r="Q278"/>
  <c r="Q225"/>
  <c r="IR386" i="77"/>
  <c r="Q395" i="74"/>
  <c r="Q277"/>
  <c r="Q175"/>
  <c r="Q237"/>
  <c r="Q188"/>
  <c r="IP233" i="77"/>
  <c r="R233" i="74" s="1"/>
  <c r="M233"/>
  <c r="M157"/>
  <c r="M266"/>
  <c r="U104"/>
  <c r="T104"/>
  <c r="U381"/>
  <c r="T381"/>
  <c r="T135"/>
  <c r="Q135"/>
  <c r="Q102"/>
  <c r="IR282" i="77"/>
  <c r="IT282" s="1"/>
  <c r="V282" i="74" s="1"/>
  <c r="Q282"/>
  <c r="Q132"/>
  <c r="Q106"/>
  <c r="Q173"/>
  <c r="Q110"/>
  <c r="Q133"/>
  <c r="Q269"/>
  <c r="Q165"/>
  <c r="Q168"/>
  <c r="Q273"/>
  <c r="Q107"/>
  <c r="Q229"/>
  <c r="Q177"/>
  <c r="Q113"/>
  <c r="Q279"/>
  <c r="Q230"/>
  <c r="Q178"/>
  <c r="Q115"/>
  <c r="M159"/>
  <c r="M259"/>
  <c r="R167"/>
  <c r="M167"/>
  <c r="IP289" i="77"/>
  <c r="R289" i="74" s="1"/>
  <c r="M289"/>
  <c r="IS358" i="77"/>
  <c r="U358" i="74" s="1"/>
  <c r="T358"/>
  <c r="U361"/>
  <c r="T361"/>
  <c r="Q172"/>
  <c r="Q223"/>
  <c r="Q185"/>
  <c r="Q116"/>
  <c r="Q283"/>
  <c r="Q186"/>
  <c r="Q174"/>
  <c r="Q224"/>
  <c r="Q276"/>
  <c r="Q272"/>
  <c r="Q161"/>
  <c r="Q160"/>
  <c r="Q268"/>
  <c r="IR267" i="77"/>
  <c r="Q267" i="74"/>
  <c r="Q290"/>
  <c r="IR364" i="77"/>
  <c r="Q383" i="74"/>
  <c r="Q222"/>
  <c r="Q171"/>
  <c r="Q274"/>
  <c r="Q108"/>
  <c r="M132"/>
  <c r="M106"/>
  <c r="M231"/>
  <c r="M179"/>
  <c r="U181"/>
  <c r="T181"/>
  <c r="Q130"/>
  <c r="Q158"/>
  <c r="IR379" i="77"/>
  <c r="IU379" s="1"/>
  <c r="W379" i="74" s="1"/>
  <c r="Q379"/>
  <c r="W176"/>
  <c r="Q176"/>
  <c r="IR296" i="77"/>
  <c r="IU296" s="1"/>
  <c r="W296" i="74" s="1"/>
  <c r="Q296"/>
  <c r="IR382" i="77"/>
  <c r="IU382" s="1"/>
  <c r="W382" i="74" s="1"/>
  <c r="Q382"/>
  <c r="Q166"/>
  <c r="Q111"/>
  <c r="Q136"/>
  <c r="Q284"/>
  <c r="Q117"/>
  <c r="Q271"/>
  <c r="Q134"/>
  <c r="Q101"/>
  <c r="Q261"/>
  <c r="Q184"/>
  <c r="Q281"/>
  <c r="U361" i="73"/>
  <c r="T361"/>
  <c r="Q179"/>
  <c r="Q231"/>
  <c r="Q279"/>
  <c r="Q178"/>
  <c r="Q230"/>
  <c r="Q113"/>
  <c r="Q272"/>
  <c r="Q161"/>
  <c r="Q274"/>
  <c r="Q222"/>
  <c r="Q171"/>
  <c r="Q108"/>
  <c r="Q223"/>
  <c r="Q172"/>
  <c r="Q159"/>
  <c r="Q259"/>
  <c r="Q185"/>
  <c r="Q116"/>
  <c r="HO385" i="77"/>
  <c r="T394" i="73" s="1"/>
  <c r="Q394"/>
  <c r="Q273"/>
  <c r="Q168"/>
  <c r="Q107"/>
  <c r="Q109"/>
  <c r="L109"/>
  <c r="L175"/>
  <c r="L277"/>
  <c r="HL379" i="77"/>
  <c r="Q379" i="73" s="1"/>
  <c r="L379"/>
  <c r="L283"/>
  <c r="L186"/>
  <c r="HM262" i="77"/>
  <c r="R262" i="73" s="1"/>
  <c r="L262"/>
  <c r="HM236" i="77"/>
  <c r="R236" i="73" s="1"/>
  <c r="L236"/>
  <c r="U169"/>
  <c r="T169"/>
  <c r="Q160"/>
  <c r="Q268"/>
  <c r="R186"/>
  <c r="R283"/>
  <c r="Q281"/>
  <c r="Q184"/>
  <c r="T291"/>
  <c r="Q291"/>
  <c r="Q158"/>
  <c r="Q130"/>
  <c r="R381"/>
  <c r="L381"/>
  <c r="R163"/>
  <c r="L163"/>
  <c r="HL380" i="77"/>
  <c r="Q380" i="73" s="1"/>
  <c r="L380"/>
  <c r="Q162"/>
  <c r="L162"/>
  <c r="HM358" i="77"/>
  <c r="R358" i="73" s="1"/>
  <c r="L358"/>
  <c r="R138"/>
  <c r="L138"/>
  <c r="HM364" i="77"/>
  <c r="R383" i="73" s="1"/>
  <c r="L383"/>
  <c r="Q112"/>
  <c r="L112"/>
  <c r="Q135"/>
  <c r="L135"/>
  <c r="L237"/>
  <c r="L188"/>
  <c r="U104"/>
  <c r="T104"/>
  <c r="T157"/>
  <c r="T266"/>
  <c r="Q134"/>
  <c r="Q271"/>
  <c r="Q173"/>
  <c r="Q110"/>
  <c r="Q276"/>
  <c r="Q224"/>
  <c r="Q174"/>
  <c r="HO225" i="77"/>
  <c r="HP225" s="1"/>
  <c r="Q278" i="73"/>
  <c r="Q225"/>
  <c r="Q106"/>
  <c r="Q132"/>
  <c r="Q136"/>
  <c r="Q111"/>
  <c r="Q157"/>
  <c r="Q266"/>
  <c r="HM377" i="77"/>
  <c r="R377" i="73" s="1"/>
  <c r="L377"/>
  <c r="Q139"/>
  <c r="L139"/>
  <c r="HL232" i="77"/>
  <c r="Q232" i="73" s="1"/>
  <c r="L232"/>
  <c r="HL386" i="77"/>
  <c r="Q395" i="73" s="1"/>
  <c r="L395"/>
  <c r="HL238" i="77"/>
  <c r="Q238" i="73" s="1"/>
  <c r="L238"/>
  <c r="HL382" i="77"/>
  <c r="Q382" i="73" s="1"/>
  <c r="L382"/>
  <c r="R190"/>
  <c r="L190"/>
  <c r="Q183"/>
  <c r="L183"/>
  <c r="T272"/>
  <c r="T161"/>
  <c r="U129"/>
  <c r="T129"/>
  <c r="Q177"/>
  <c r="Q229"/>
  <c r="HO227" i="77"/>
  <c r="Q227" i="73"/>
  <c r="Q284"/>
  <c r="Q117"/>
  <c r="Q101"/>
  <c r="Q261"/>
  <c r="Q133"/>
  <c r="Q269"/>
  <c r="R141"/>
  <c r="L141"/>
  <c r="HM235" i="77"/>
  <c r="R235" i="73" s="1"/>
  <c r="L235"/>
  <c r="HL288" i="77"/>
  <c r="Q288" i="73" s="1"/>
  <c r="L288"/>
  <c r="HM378" i="77"/>
  <c r="R378" i="73" s="1"/>
  <c r="L378"/>
  <c r="R164"/>
  <c r="L164"/>
  <c r="R103"/>
  <c r="L103"/>
  <c r="GL380" i="77"/>
  <c r="GO380" s="1"/>
  <c r="W380" i="72" s="1"/>
  <c r="Q380"/>
  <c r="W104"/>
  <c r="Q104"/>
  <c r="Q157"/>
  <c r="Q266"/>
  <c r="V131"/>
  <c r="Q131"/>
  <c r="Q179"/>
  <c r="Q231"/>
  <c r="Q230"/>
  <c r="Q279"/>
  <c r="Q178"/>
  <c r="Q113"/>
  <c r="W183"/>
  <c r="Q183"/>
  <c r="Q158"/>
  <c r="Q130"/>
  <c r="GJ87" i="77"/>
  <c r="R87" i="72" s="1"/>
  <c r="K87"/>
  <c r="GJ280" i="77"/>
  <c r="R280" i="72" s="1"/>
  <c r="K280"/>
  <c r="Q110"/>
  <c r="Q173"/>
  <c r="GL232" i="77"/>
  <c r="Q232" i="72"/>
  <c r="Q136"/>
  <c r="Q111"/>
  <c r="Q160"/>
  <c r="Q268"/>
  <c r="Q188"/>
  <c r="Q237"/>
  <c r="GI296" i="77"/>
  <c r="Q296" i="72" s="1"/>
  <c r="K296"/>
  <c r="GJ385" i="77"/>
  <c r="R394" i="72" s="1"/>
  <c r="K394"/>
  <c r="K172"/>
  <c r="K223"/>
  <c r="U137"/>
  <c r="T137"/>
  <c r="GL293" i="77"/>
  <c r="T293" i="72" s="1"/>
  <c r="Q293"/>
  <c r="Q185"/>
  <c r="Q116"/>
  <c r="GL227" i="77"/>
  <c r="GO227" s="1"/>
  <c r="W227" i="72" s="1"/>
  <c r="Q227"/>
  <c r="GL233" i="77"/>
  <c r="T233" i="72" s="1"/>
  <c r="Q233"/>
  <c r="Q272"/>
  <c r="Q161"/>
  <c r="Q277"/>
  <c r="Q175"/>
  <c r="Q108"/>
  <c r="Q171"/>
  <c r="Q274"/>
  <c r="Q222"/>
  <c r="GL228" i="77"/>
  <c r="T228" i="72" s="1"/>
  <c r="Q228"/>
  <c r="W162"/>
  <c r="Q162"/>
  <c r="R155"/>
  <c r="K155"/>
  <c r="K271"/>
  <c r="K134"/>
  <c r="GJ225" i="77"/>
  <c r="K278" i="72"/>
  <c r="K225"/>
  <c r="Q159"/>
  <c r="Q259"/>
  <c r="W129"/>
  <c r="Q129"/>
  <c r="Q168"/>
  <c r="Q273"/>
  <c r="Q107"/>
  <c r="Q229"/>
  <c r="Q177"/>
  <c r="Q284"/>
  <c r="Q117"/>
  <c r="Q133"/>
  <c r="Q269"/>
  <c r="GL234" i="77"/>
  <c r="T234" i="72" s="1"/>
  <c r="Q234"/>
  <c r="Q283"/>
  <c r="Q186"/>
  <c r="Q174"/>
  <c r="Q276"/>
  <c r="Q224"/>
  <c r="Q132"/>
  <c r="Q106"/>
  <c r="Q184"/>
  <c r="Q281"/>
  <c r="K101"/>
  <c r="K261"/>
  <c r="R290"/>
  <c r="K290"/>
  <c r="Q286"/>
  <c r="K286"/>
  <c r="FJ380" i="77"/>
  <c r="U380" i="71" s="1"/>
  <c r="T380"/>
  <c r="T237"/>
  <c r="T188"/>
  <c r="U286"/>
  <c r="T286"/>
  <c r="T291"/>
  <c r="Q291"/>
  <c r="Q186"/>
  <c r="Q283"/>
  <c r="Q281"/>
  <c r="Q184"/>
  <c r="Q132"/>
  <c r="Q106"/>
  <c r="Q223"/>
  <c r="Q172"/>
  <c r="Q158"/>
  <c r="Q130"/>
  <c r="Q134"/>
  <c r="Q271"/>
  <c r="Q133"/>
  <c r="Q269"/>
  <c r="FG292" i="77"/>
  <c r="R292" i="71" s="1"/>
  <c r="J292"/>
  <c r="FG233" i="77"/>
  <c r="R233" i="71" s="1"/>
  <c r="J233"/>
  <c r="T157"/>
  <c r="T266"/>
  <c r="Q101"/>
  <c r="Q261"/>
  <c r="Q173"/>
  <c r="Q110"/>
  <c r="Q273"/>
  <c r="Q168"/>
  <c r="Q107"/>
  <c r="Q159"/>
  <c r="Q259"/>
  <c r="Q225"/>
  <c r="Q278"/>
  <c r="Q175"/>
  <c r="Q277"/>
  <c r="Q231"/>
  <c r="Q179"/>
  <c r="J229"/>
  <c r="J177"/>
  <c r="FF265" i="77"/>
  <c r="Q265" i="71" s="1"/>
  <c r="J265"/>
  <c r="U137"/>
  <c r="T137"/>
  <c r="FJ377" i="77"/>
  <c r="U377" i="71" s="1"/>
  <c r="T377"/>
  <c r="V167"/>
  <c r="Q167"/>
  <c r="Q279"/>
  <c r="Q178"/>
  <c r="Q230"/>
  <c r="Q113"/>
  <c r="Q116"/>
  <c r="Q185"/>
  <c r="Q136"/>
  <c r="Q111"/>
  <c r="R104"/>
  <c r="J104"/>
  <c r="J161"/>
  <c r="J272"/>
  <c r="Q131"/>
  <c r="J131"/>
  <c r="R154"/>
  <c r="J154"/>
  <c r="FF354" i="77"/>
  <c r="Q354" i="71" s="1"/>
  <c r="J354"/>
  <c r="J174"/>
  <c r="J276"/>
  <c r="J224"/>
  <c r="U361"/>
  <c r="T361"/>
  <c r="U170"/>
  <c r="T170"/>
  <c r="FI289" i="77"/>
  <c r="Q289" i="71"/>
  <c r="Q160"/>
  <c r="Q268"/>
  <c r="R174"/>
  <c r="R276"/>
  <c r="R224"/>
  <c r="R229"/>
  <c r="R177"/>
  <c r="Q274"/>
  <c r="Q222"/>
  <c r="Q171"/>
  <c r="Q108"/>
  <c r="Q157"/>
  <c r="Q266"/>
  <c r="Q284"/>
  <c r="Q117"/>
  <c r="Q237"/>
  <c r="Q188"/>
  <c r="FG275" i="77"/>
  <c r="R275" i="71" s="1"/>
  <c r="J275"/>
  <c r="U104" i="70"/>
  <c r="T104"/>
  <c r="EC293" i="77"/>
  <c r="Q293" i="70" s="1"/>
  <c r="I293"/>
  <c r="EC393" i="77"/>
  <c r="Q393" i="70" s="1"/>
  <c r="I393"/>
  <c r="EC294" i="77"/>
  <c r="Q294" i="70" s="1"/>
  <c r="I294"/>
  <c r="ED369" i="77"/>
  <c r="R369" i="70" s="1"/>
  <c r="I369"/>
  <c r="EC267" i="77"/>
  <c r="Q267" i="70" s="1"/>
  <c r="I267"/>
  <c r="Q361"/>
  <c r="I361"/>
  <c r="EC86" i="77"/>
  <c r="Q86" i="70" s="1"/>
  <c r="I86"/>
  <c r="R114"/>
  <c r="I114"/>
  <c r="R270"/>
  <c r="I270"/>
  <c r="EC85" i="77"/>
  <c r="Q85" i="70" s="1"/>
  <c r="I85"/>
  <c r="I273"/>
  <c r="I168"/>
  <c r="I107"/>
  <c r="Q290"/>
  <c r="I290"/>
  <c r="I160"/>
  <c r="I268"/>
  <c r="Q182"/>
  <c r="I182"/>
  <c r="I231"/>
  <c r="I179"/>
  <c r="EC370" i="77"/>
  <c r="Q370" i="70" s="1"/>
  <c r="I370"/>
  <c r="I173"/>
  <c r="I110"/>
  <c r="I271"/>
  <c r="I134"/>
  <c r="Q170"/>
  <c r="I170"/>
  <c r="R285"/>
  <c r="I285"/>
  <c r="I133"/>
  <c r="I269"/>
  <c r="Q157"/>
  <c r="Q266"/>
  <c r="ED263" i="77"/>
  <c r="R263" i="70" s="1"/>
  <c r="I263"/>
  <c r="I171"/>
  <c r="I274"/>
  <c r="I222"/>
  <c r="I108"/>
  <c r="I184"/>
  <c r="I281"/>
  <c r="I101"/>
  <c r="I261"/>
  <c r="I284"/>
  <c r="I117"/>
  <c r="Q176"/>
  <c r="I176"/>
  <c r="ED264" i="77"/>
  <c r="R264" i="70" s="1"/>
  <c r="I264"/>
  <c r="EC359" i="77"/>
  <c r="Q359" i="70" s="1"/>
  <c r="I359"/>
  <c r="R165"/>
  <c r="I165"/>
  <c r="R189"/>
  <c r="I189"/>
  <c r="R180"/>
  <c r="I180"/>
  <c r="Q159"/>
  <c r="Q259"/>
  <c r="Q161"/>
  <c r="Q272"/>
  <c r="EC360" i="77"/>
  <c r="Q360" i="70" s="1"/>
  <c r="I360"/>
  <c r="ED378" i="77"/>
  <c r="R378" i="70" s="1"/>
  <c r="I378"/>
  <c r="EC275" i="77"/>
  <c r="Q275" i="70" s="1"/>
  <c r="I275"/>
  <c r="ED377" i="77"/>
  <c r="R377" i="70" s="1"/>
  <c r="I377"/>
  <c r="Q102"/>
  <c r="I102"/>
  <c r="Q155"/>
  <c r="I155"/>
  <c r="EC227" i="77"/>
  <c r="Q227" i="70" s="1"/>
  <c r="I227"/>
  <c r="I230"/>
  <c r="I178"/>
  <c r="I279"/>
  <c r="I113"/>
  <c r="EC234" i="77"/>
  <c r="Q234" i="70" s="1"/>
  <c r="I234"/>
  <c r="R291"/>
  <c r="I291"/>
  <c r="EC88" i="77"/>
  <c r="Q88" i="70" s="1"/>
  <c r="I88"/>
  <c r="I186"/>
  <c r="I283"/>
  <c r="T157"/>
  <c r="T266"/>
  <c r="Q225"/>
  <c r="Q278"/>
  <c r="Q276"/>
  <c r="Q174"/>
  <c r="Q224"/>
  <c r="Q277"/>
  <c r="Q175"/>
  <c r="I106"/>
  <c r="I132"/>
  <c r="I229"/>
  <c r="I177"/>
  <c r="EC280" i="77"/>
  <c r="Q280" i="70" s="1"/>
  <c r="I280"/>
  <c r="R286"/>
  <c r="I286"/>
  <c r="I223"/>
  <c r="I172"/>
  <c r="I136"/>
  <c r="I111"/>
  <c r="I158"/>
  <c r="I130"/>
  <c r="R166"/>
  <c r="I166"/>
  <c r="EC226" i="77"/>
  <c r="Q226" i="70" s="1"/>
  <c r="I226"/>
  <c r="ED83" i="77"/>
  <c r="R83" i="70" s="1"/>
  <c r="I83"/>
  <c r="I185"/>
  <c r="I116"/>
  <c r="R181"/>
  <c r="I181"/>
  <c r="Q169"/>
  <c r="I169"/>
  <c r="I237"/>
  <c r="I188"/>
  <c r="EC228" i="77"/>
  <c r="Q228" i="70" s="1"/>
  <c r="I228"/>
  <c r="DD380" i="77"/>
  <c r="U380" i="69" s="1"/>
  <c r="T380"/>
  <c r="U381"/>
  <c r="T381"/>
  <c r="H111"/>
  <c r="H136"/>
  <c r="H277"/>
  <c r="H175"/>
  <c r="H159"/>
  <c r="H259"/>
  <c r="CZ385" i="77"/>
  <c r="Q394" i="69" s="1"/>
  <c r="H394"/>
  <c r="Q137"/>
  <c r="H137"/>
  <c r="DA226" i="77"/>
  <c r="R226" i="69" s="1"/>
  <c r="H226"/>
  <c r="CZ282" i="77"/>
  <c r="Q282" i="69" s="1"/>
  <c r="H282"/>
  <c r="H157"/>
  <c r="H266"/>
  <c r="H173"/>
  <c r="H110"/>
  <c r="H271"/>
  <c r="H134"/>
  <c r="DD377" i="77"/>
  <c r="U377" i="69" s="1"/>
  <c r="T377"/>
  <c r="Q283"/>
  <c r="Q186"/>
  <c r="Q229"/>
  <c r="Q177"/>
  <c r="Q223"/>
  <c r="Q172"/>
  <c r="DC289" i="77"/>
  <c r="T289" i="69" s="1"/>
  <c r="Q289"/>
  <c r="R104"/>
  <c r="H104"/>
  <c r="Q139"/>
  <c r="H139"/>
  <c r="R169"/>
  <c r="H169"/>
  <c r="CZ275" i="77"/>
  <c r="Q275" i="69" s="1"/>
  <c r="H275"/>
  <c r="H158"/>
  <c r="H130"/>
  <c r="H276"/>
  <c r="H174"/>
  <c r="H224"/>
  <c r="CZ225" i="77"/>
  <c r="H225" i="69"/>
  <c r="H278"/>
  <c r="H230"/>
  <c r="H178"/>
  <c r="H279"/>
  <c r="H113"/>
  <c r="DA358" i="77"/>
  <c r="R358" i="69" s="1"/>
  <c r="H358"/>
  <c r="H273"/>
  <c r="H168"/>
  <c r="H107"/>
  <c r="Q189"/>
  <c r="H189"/>
  <c r="H156"/>
  <c r="H105"/>
  <c r="R131"/>
  <c r="H131"/>
  <c r="DA227" i="77"/>
  <c r="R227" i="69" s="1"/>
  <c r="H227"/>
  <c r="Q101"/>
  <c r="Q261"/>
  <c r="Q159"/>
  <c r="Q259"/>
  <c r="Q237"/>
  <c r="Q188"/>
  <c r="H133"/>
  <c r="H269"/>
  <c r="R162"/>
  <c r="H162"/>
  <c r="DA369" i="77"/>
  <c r="R369" i="69" s="1"/>
  <c r="H369"/>
  <c r="H161"/>
  <c r="H272"/>
  <c r="DA238" i="77"/>
  <c r="R238" i="69" s="1"/>
  <c r="H238"/>
  <c r="CZ267" i="77"/>
  <c r="Q267" i="69" s="1"/>
  <c r="H267"/>
  <c r="CZ296" i="77"/>
  <c r="Q296" i="69" s="1"/>
  <c r="H296"/>
  <c r="CZ382" i="77"/>
  <c r="Q382" i="69" s="1"/>
  <c r="H382"/>
  <c r="CZ84" i="77"/>
  <c r="Q84" i="69" s="1"/>
  <c r="H84"/>
  <c r="H171"/>
  <c r="H274"/>
  <c r="H222"/>
  <c r="H108"/>
  <c r="H281"/>
  <c r="H184"/>
  <c r="DD360" i="77"/>
  <c r="U360" i="69" s="1"/>
  <c r="T360"/>
  <c r="Q231"/>
  <c r="Q179"/>
  <c r="Q185"/>
  <c r="Q116"/>
  <c r="Q132"/>
  <c r="Q106"/>
  <c r="CZ294" i="77"/>
  <c r="Q294" i="69" s="1"/>
  <c r="H294"/>
  <c r="DA228" i="77"/>
  <c r="R228" i="69" s="1"/>
  <c r="H228"/>
  <c r="Q391"/>
  <c r="H391"/>
  <c r="H284"/>
  <c r="H117"/>
  <c r="Q285"/>
  <c r="H285"/>
  <c r="Q291"/>
  <c r="H291"/>
  <c r="Q154"/>
  <c r="H154"/>
  <c r="Q187"/>
  <c r="H187"/>
  <c r="DA83" i="77"/>
  <c r="R83" i="69" s="1"/>
  <c r="H83"/>
  <c r="Q141"/>
  <c r="H141"/>
  <c r="R170"/>
  <c r="H170"/>
  <c r="DA236" i="77"/>
  <c r="R236" i="69" s="1"/>
  <c r="H236"/>
  <c r="R138"/>
  <c r="H138"/>
  <c r="H160"/>
  <c r="H268"/>
  <c r="Q101" i="68"/>
  <c r="Q261"/>
  <c r="Q154"/>
  <c r="G154"/>
  <c r="BW293" i="77"/>
  <c r="Q293" i="68" s="1"/>
  <c r="G293"/>
  <c r="G160"/>
  <c r="G268"/>
  <c r="G177"/>
  <c r="G229"/>
  <c r="G273"/>
  <c r="G168"/>
  <c r="G107"/>
  <c r="Q173"/>
  <c r="Q110"/>
  <c r="G133"/>
  <c r="G269"/>
  <c r="Q166"/>
  <c r="G166"/>
  <c r="BW393" i="77"/>
  <c r="Q393" i="68" s="1"/>
  <c r="G393"/>
  <c r="R361"/>
  <c r="G361"/>
  <c r="G186"/>
  <c r="G283"/>
  <c r="BW294" i="77"/>
  <c r="Q294" i="68" s="1"/>
  <c r="G294"/>
  <c r="Q102"/>
  <c r="G102"/>
  <c r="G157"/>
  <c r="G266"/>
  <c r="Q136"/>
  <c r="Q111"/>
  <c r="Q277"/>
  <c r="Q175"/>
  <c r="Q284"/>
  <c r="Q117"/>
  <c r="G185"/>
  <c r="G116"/>
  <c r="G272"/>
  <c r="G161"/>
  <c r="G281"/>
  <c r="G184"/>
  <c r="G224"/>
  <c r="G276"/>
  <c r="G174"/>
  <c r="BW225" i="77"/>
  <c r="G225" i="68"/>
  <c r="G278"/>
  <c r="G274"/>
  <c r="G171"/>
  <c r="G222"/>
  <c r="G108"/>
  <c r="R182"/>
  <c r="G182"/>
  <c r="BZ358" i="77"/>
  <c r="T358" i="68" s="1"/>
  <c r="Q358"/>
  <c r="G223"/>
  <c r="G172"/>
  <c r="BW209" i="77"/>
  <c r="Q295" i="68" s="1"/>
  <c r="G295"/>
  <c r="U381"/>
  <c r="T381"/>
  <c r="Q231"/>
  <c r="Q179"/>
  <c r="Q158"/>
  <c r="Q130"/>
  <c r="Q159"/>
  <c r="Q259"/>
  <c r="Q188"/>
  <c r="Q237"/>
  <c r="BW289" i="77"/>
  <c r="Q289" i="68" s="1"/>
  <c r="G289"/>
  <c r="Q287"/>
  <c r="G287"/>
  <c r="BX86" i="77"/>
  <c r="R86" i="68" s="1"/>
  <c r="G86"/>
  <c r="G156"/>
  <c r="G105"/>
  <c r="BX235" i="77"/>
  <c r="R235" i="68" s="1"/>
  <c r="G235"/>
  <c r="G132"/>
  <c r="G106"/>
  <c r="Q165"/>
  <c r="G165"/>
  <c r="BW292" i="77"/>
  <c r="Q292" i="68" s="1"/>
  <c r="G292"/>
  <c r="Q103"/>
  <c r="G103"/>
  <c r="Q271"/>
  <c r="Q134"/>
  <c r="Q391"/>
  <c r="G391"/>
  <c r="G279"/>
  <c r="G230"/>
  <c r="G178"/>
  <c r="G113"/>
  <c r="BX232" i="77"/>
  <c r="R232" i="68" s="1"/>
  <c r="G232"/>
  <c r="U361" i="65"/>
  <c r="T361"/>
  <c r="T157"/>
  <c r="T266"/>
  <c r="Q177"/>
  <c r="Q229"/>
  <c r="Q279"/>
  <c r="Q178"/>
  <c r="Q230"/>
  <c r="Q113"/>
  <c r="Q273"/>
  <c r="Q168"/>
  <c r="Q107"/>
  <c r="Q281"/>
  <c r="Q184"/>
  <c r="Q225"/>
  <c r="Q278"/>
  <c r="F185"/>
  <c r="F116"/>
  <c r="U104"/>
  <c r="T104"/>
  <c r="Q133"/>
  <c r="Q269"/>
  <c r="F284"/>
  <c r="F117"/>
  <c r="F173"/>
  <c r="F110"/>
  <c r="F130"/>
  <c r="F158"/>
  <c r="F277"/>
  <c r="F175"/>
  <c r="AX358" i="77"/>
  <c r="U358" i="65" s="1"/>
  <c r="T358"/>
  <c r="AX232" i="77"/>
  <c r="T232" i="65"/>
  <c r="T162"/>
  <c r="U129"/>
  <c r="T129"/>
  <c r="Q186"/>
  <c r="Q283"/>
  <c r="Q272"/>
  <c r="Q161"/>
  <c r="Q132"/>
  <c r="Q106"/>
  <c r="Q160"/>
  <c r="Q268"/>
  <c r="Q157"/>
  <c r="Q266"/>
  <c r="F136"/>
  <c r="F111"/>
  <c r="F179"/>
  <c r="F231"/>
  <c r="F159"/>
  <c r="F259"/>
  <c r="AX227" i="77"/>
  <c r="T227" i="65"/>
  <c r="T235"/>
  <c r="T233"/>
  <c r="Q134"/>
  <c r="Q271"/>
  <c r="Q274"/>
  <c r="Q222"/>
  <c r="Q171"/>
  <c r="Q108"/>
  <c r="Q224"/>
  <c r="Q174"/>
  <c r="Q276"/>
  <c r="Q223"/>
  <c r="Q172"/>
  <c r="F101"/>
  <c r="F261"/>
  <c r="F237"/>
  <c r="F188"/>
  <c r="AB104" i="70"/>
  <c r="AB377"/>
  <c r="AB155"/>
  <c r="AB276" i="69"/>
  <c r="AB224"/>
  <c r="AB174"/>
  <c r="AB136"/>
  <c r="AB111"/>
  <c r="AB173"/>
  <c r="AB110"/>
  <c r="AB284"/>
  <c r="AB117"/>
  <c r="AB359" i="70"/>
  <c r="AB360"/>
  <c r="AB114"/>
  <c r="AB112"/>
  <c r="AB383"/>
  <c r="AB291"/>
  <c r="AB158" i="69"/>
  <c r="AB130"/>
  <c r="AB273"/>
  <c r="AB168"/>
  <c r="AB107"/>
  <c r="AB276" i="70"/>
  <c r="AB224"/>
  <c r="AB174"/>
  <c r="AB272" i="69"/>
  <c r="AB161"/>
  <c r="AB234" i="70"/>
  <c r="AB358"/>
  <c r="AB183" i="71"/>
  <c r="AB290" i="70"/>
  <c r="AB103"/>
  <c r="AC105" i="65"/>
  <c r="AB277" i="69"/>
  <c r="AB175"/>
  <c r="AB380" i="70"/>
  <c r="AB180"/>
  <c r="AB170" i="71"/>
  <c r="AB286" i="70"/>
  <c r="AB233"/>
  <c r="AB381"/>
  <c r="AB189"/>
  <c r="AB170"/>
  <c r="AB101" i="69"/>
  <c r="AB261"/>
  <c r="AB157"/>
  <c r="AB266"/>
  <c r="FF292" i="77"/>
  <c r="Q292" i="71" s="1"/>
  <c r="FF59" i="77"/>
  <c r="Q104" i="71"/>
  <c r="FF65" i="77"/>
  <c r="CZ48"/>
  <c r="IP24"/>
  <c r="ED246"/>
  <c r="R169" i="70"/>
  <c r="EC28" i="77"/>
  <c r="EC425"/>
  <c r="IU395"/>
  <c r="IT395"/>
  <c r="EC436"/>
  <c r="CZ437"/>
  <c r="ED360"/>
  <c r="R360" i="70" s="1"/>
  <c r="W129" i="65"/>
  <c r="CZ238" i="77"/>
  <c r="Q238" i="69" s="1"/>
  <c r="HR97" i="77"/>
  <c r="W129" i="73"/>
  <c r="AB361" i="70"/>
  <c r="BG286" i="77"/>
  <c r="BF286"/>
  <c r="BC286"/>
  <c r="IU284"/>
  <c r="IT287"/>
  <c r="IV287" s="1"/>
  <c r="IY287" s="1"/>
  <c r="W102" i="74"/>
  <c r="V129" i="65"/>
  <c r="IU97" i="77"/>
  <c r="W165" i="74"/>
  <c r="IT284" i="77"/>
  <c r="IT97"/>
  <c r="V102" i="74"/>
  <c r="V165"/>
  <c r="W129"/>
  <c r="HM42" i="77"/>
  <c r="HM232"/>
  <c r="R232" i="73" s="1"/>
  <c r="CZ29" i="77"/>
  <c r="CZ242"/>
  <c r="ED357"/>
  <c r="ED90"/>
  <c r="ED228"/>
  <c r="R228" i="70" s="1"/>
  <c r="IV368" i="77"/>
  <c r="IY368" s="1"/>
  <c r="AB378" i="71"/>
  <c r="IV46" i="77"/>
  <c r="IY46" s="1"/>
  <c r="IT363"/>
  <c r="DE377"/>
  <c r="V377" i="69" s="1"/>
  <c r="V104" i="65"/>
  <c r="GP255" i="77"/>
  <c r="GS255" s="1"/>
  <c r="W104" i="74"/>
  <c r="W104" i="65"/>
  <c r="GP373" i="77"/>
  <c r="GS373" s="1"/>
  <c r="IU363"/>
  <c r="V381" i="74"/>
  <c r="DF377" i="77"/>
  <c r="W377" i="69" s="1"/>
  <c r="HL383" i="77"/>
  <c r="EC83"/>
  <c r="Q83" i="70" s="1"/>
  <c r="Q147"/>
  <c r="Q286"/>
  <c r="EC429" i="77"/>
  <c r="X439"/>
  <c r="AA439" s="1"/>
  <c r="ED204"/>
  <c r="EC388"/>
  <c r="EC389"/>
  <c r="ED422"/>
  <c r="EJ20"/>
  <c r="EM20" s="1"/>
  <c r="HQ97"/>
  <c r="HS97" s="1"/>
  <c r="HV97" s="1"/>
  <c r="V104" i="70"/>
  <c r="W104"/>
  <c r="V104" i="74"/>
  <c r="V129" i="73"/>
  <c r="V381" i="69"/>
  <c r="HM253" i="77"/>
  <c r="ED374"/>
  <c r="Q181" i="70"/>
  <c r="EC448" i="77"/>
  <c r="ED449"/>
  <c r="W104" i="73"/>
  <c r="CB97" i="77"/>
  <c r="CC97"/>
  <c r="V104" i="73"/>
  <c r="FM53" i="77"/>
  <c r="FP53" s="1"/>
  <c r="Q218" i="70"/>
  <c r="GO268" i="77"/>
  <c r="GI33"/>
  <c r="R162" i="73"/>
  <c r="IO58" i="77"/>
  <c r="ED255"/>
  <c r="ED26"/>
  <c r="EC63"/>
  <c r="ED226"/>
  <c r="R226" i="70" s="1"/>
  <c r="GJ244" i="77"/>
  <c r="GJ36"/>
  <c r="ED409"/>
  <c r="EC34"/>
  <c r="ED29"/>
  <c r="V381" i="72"/>
  <c r="HL377" i="77"/>
  <c r="Q377" i="73" s="1"/>
  <c r="DA52" i="77"/>
  <c r="CZ97"/>
  <c r="Q97" i="69" s="1"/>
  <c r="EC377" i="77"/>
  <c r="Q377" i="70" s="1"/>
  <c r="R102"/>
  <c r="EC30" i="77"/>
  <c r="ED227"/>
  <c r="R227" i="70" s="1"/>
  <c r="ED257" i="77"/>
  <c r="HS73"/>
  <c r="HV73" s="1"/>
  <c r="DA455"/>
  <c r="CZ224"/>
  <c r="CZ96"/>
  <c r="ED457"/>
  <c r="GI42"/>
  <c r="HL358"/>
  <c r="Q358" i="73" s="1"/>
  <c r="Q381"/>
  <c r="R112"/>
  <c r="ED85" i="77"/>
  <c r="R85" i="70" s="1"/>
  <c r="DA49" i="77"/>
  <c r="EJ68"/>
  <c r="EM68" s="1"/>
  <c r="HL247"/>
  <c r="HM380"/>
  <c r="R380" i="73" s="1"/>
  <c r="HM40" i="77"/>
  <c r="HM256"/>
  <c r="CZ62"/>
  <c r="DA47"/>
  <c r="CZ68"/>
  <c r="CZ220"/>
  <c r="DA200"/>
  <c r="Q104" i="69"/>
  <c r="DA55" i="77"/>
  <c r="R55" i="69" s="1"/>
  <c r="DA46" i="77"/>
  <c r="GN268"/>
  <c r="Q138" i="73"/>
  <c r="HL59" i="77"/>
  <c r="HL69"/>
  <c r="DA363"/>
  <c r="CZ409"/>
  <c r="X162" i="39"/>
  <c r="GP406" i="77"/>
  <c r="GS406" s="1"/>
  <c r="GP370"/>
  <c r="IP92"/>
  <c r="GJ78"/>
  <c r="GL78" s="1"/>
  <c r="CZ28"/>
  <c r="CZ448"/>
  <c r="IV44"/>
  <c r="IY44" s="1"/>
  <c r="DA45"/>
  <c r="CD404"/>
  <c r="CG404" s="1"/>
  <c r="FM438"/>
  <c r="FP438" s="1"/>
  <c r="GI427"/>
  <c r="GI98"/>
  <c r="DA435"/>
  <c r="X223"/>
  <c r="AA223" s="1"/>
  <c r="X202"/>
  <c r="X230"/>
  <c r="AA230" s="1"/>
  <c r="IV427"/>
  <c r="IY427" s="1"/>
  <c r="X376"/>
  <c r="AA376" s="1"/>
  <c r="DA407"/>
  <c r="Q170" i="69"/>
  <c r="CZ423" i="77"/>
  <c r="X237"/>
  <c r="AA237" s="1"/>
  <c r="BW363"/>
  <c r="Q363" i="68" s="1"/>
  <c r="BW39" i="77"/>
  <c r="DA54"/>
  <c r="BA52"/>
  <c r="BD52" s="1"/>
  <c r="BA50"/>
  <c r="BD50" s="1"/>
  <c r="HS49"/>
  <c r="HV49" s="1"/>
  <c r="X389"/>
  <c r="AA389" s="1"/>
  <c r="BA72"/>
  <c r="BD72" s="1"/>
  <c r="IV255"/>
  <c r="IY255" s="1"/>
  <c r="BA400"/>
  <c r="BD400" s="1"/>
  <c r="HS368"/>
  <c r="HV368" s="1"/>
  <c r="EJ50"/>
  <c r="EM50" s="1"/>
  <c r="CD68"/>
  <c r="CG68" s="1"/>
  <c r="CZ248"/>
  <c r="CZ457"/>
  <c r="CZ374"/>
  <c r="IP65"/>
  <c r="EJ52"/>
  <c r="EM52" s="1"/>
  <c r="IV362"/>
  <c r="IY362" s="1"/>
  <c r="X364"/>
  <c r="AA364" s="1"/>
  <c r="HM379"/>
  <c r="R379" i="73" s="1"/>
  <c r="X95" i="77"/>
  <c r="AA95" s="1"/>
  <c r="CB374"/>
  <c r="V374" i="68" s="1"/>
  <c r="X137" i="39"/>
  <c r="Z156"/>
  <c r="Z117"/>
  <c r="X209" i="77"/>
  <c r="AA209" s="1"/>
  <c r="IV243"/>
  <c r="IY243" s="1"/>
  <c r="X270"/>
  <c r="AA270" s="1"/>
  <c r="Z186" i="39"/>
  <c r="Q155" i="72"/>
  <c r="BW434" i="77"/>
  <c r="Q434" i="68" s="1"/>
  <c r="BW352" i="77"/>
  <c r="HM38"/>
  <c r="CZ436"/>
  <c r="CZ226"/>
  <c r="Q226" i="69" s="1"/>
  <c r="DE58" i="77"/>
  <c r="Z177" i="39"/>
  <c r="X208" i="77"/>
  <c r="AA208" s="1"/>
  <c r="X273"/>
  <c r="BW425"/>
  <c r="BW73"/>
  <c r="BW422"/>
  <c r="HL62"/>
  <c r="HL389"/>
  <c r="Q169" i="69"/>
  <c r="CZ408" i="77"/>
  <c r="CZ227"/>
  <c r="Q227" i="69" s="1"/>
  <c r="DA462" i="77"/>
  <c r="CZ426"/>
  <c r="DA439"/>
  <c r="Q131" i="69"/>
  <c r="HQ437" i="77"/>
  <c r="AA126" i="39"/>
  <c r="X256" i="77"/>
  <c r="CD373"/>
  <c r="CG373" s="1"/>
  <c r="GI67"/>
  <c r="BW405"/>
  <c r="BW430"/>
  <c r="HL236"/>
  <c r="Q236" i="73" s="1"/>
  <c r="CZ246" i="77"/>
  <c r="CZ95"/>
  <c r="CZ30"/>
  <c r="HM205"/>
  <c r="DG406"/>
  <c r="DF57"/>
  <c r="DG50"/>
  <c r="DJ50" s="1"/>
  <c r="BA46"/>
  <c r="BD46" s="1"/>
  <c r="X58"/>
  <c r="FM27"/>
  <c r="FP27" s="1"/>
  <c r="IV49"/>
  <c r="IY49" s="1"/>
  <c r="EJ72"/>
  <c r="EM72" s="1"/>
  <c r="GP68"/>
  <c r="GS68" s="1"/>
  <c r="BA44"/>
  <c r="BD44" s="1"/>
  <c r="Z192" i="39"/>
  <c r="Z187"/>
  <c r="GI22" i="77"/>
  <c r="HM67"/>
  <c r="HL388"/>
  <c r="CZ444"/>
  <c r="Q444" i="69" s="1"/>
  <c r="CZ432" i="77"/>
  <c r="CZ404"/>
  <c r="R361" i="70"/>
  <c r="ED402" i="77"/>
  <c r="ED86"/>
  <c r="R86" i="70" s="1"/>
  <c r="FG220" i="77"/>
  <c r="AA121" i="39"/>
  <c r="X70" i="77"/>
  <c r="FM406"/>
  <c r="FP406" s="1"/>
  <c r="X88"/>
  <c r="AA88" s="1"/>
  <c r="FM54"/>
  <c r="FP54" s="1"/>
  <c r="GP27"/>
  <c r="GS27" s="1"/>
  <c r="EJ47"/>
  <c r="EM47" s="1"/>
  <c r="BA370"/>
  <c r="BD370" s="1"/>
  <c r="IV47"/>
  <c r="IY47" s="1"/>
  <c r="GP20"/>
  <c r="GS20" s="1"/>
  <c r="FM255"/>
  <c r="FP255" s="1"/>
  <c r="HS20"/>
  <c r="HV20" s="1"/>
  <c r="GP367"/>
  <c r="GS367" s="1"/>
  <c r="FM373"/>
  <c r="FP373" s="1"/>
  <c r="X388"/>
  <c r="AA388" s="1"/>
  <c r="Z276"/>
  <c r="Z159" i="39"/>
  <c r="Z231"/>
  <c r="X269" i="77"/>
  <c r="GI58"/>
  <c r="R286" i="72"/>
  <c r="GI426" i="77"/>
  <c r="BW367"/>
  <c r="HL235"/>
  <c r="Q235" i="73" s="1"/>
  <c r="HM63" i="77"/>
  <c r="HL362"/>
  <c r="CZ428"/>
  <c r="CZ82"/>
  <c r="CZ34"/>
  <c r="CZ60"/>
  <c r="Q60" i="69" s="1"/>
  <c r="CZ443" i="77"/>
  <c r="CZ228"/>
  <c r="Q228" i="69" s="1"/>
  <c r="CZ352" i="77"/>
  <c r="R182" i="70"/>
  <c r="ED444" i="77"/>
  <c r="Q285" i="70"/>
  <c r="ED423" i="77"/>
  <c r="ED370"/>
  <c r="R370" i="70" s="1"/>
  <c r="EC369" i="77"/>
  <c r="Q369" i="70" s="1"/>
  <c r="AT373" i="77"/>
  <c r="FG272"/>
  <c r="R131" i="71"/>
  <c r="FF245" i="77"/>
  <c r="X367"/>
  <c r="X359"/>
  <c r="AA359" s="1"/>
  <c r="X214" i="39"/>
  <c r="X63" i="77"/>
  <c r="GN448"/>
  <c r="FM39"/>
  <c r="FP39" s="1"/>
  <c r="GP39"/>
  <c r="GS39" s="1"/>
  <c r="Q61" i="68"/>
  <c r="BW20" i="77"/>
  <c r="R137" i="69"/>
  <c r="CZ430" i="77"/>
  <c r="Q430" i="69" s="1"/>
  <c r="CZ83" i="77"/>
  <c r="Q83" i="69" s="1"/>
  <c r="CZ236" i="77"/>
  <c r="Q236" i="69" s="1"/>
  <c r="Q71"/>
  <c r="CZ44" i="77"/>
  <c r="Q138" i="69"/>
  <c r="CZ442" i="77"/>
  <c r="IO37"/>
  <c r="IO93"/>
  <c r="ED420"/>
  <c r="Q180" i="70"/>
  <c r="R170"/>
  <c r="EC405" i="77"/>
  <c r="ED359"/>
  <c r="R359" i="70" s="1"/>
  <c r="AT27" i="77"/>
  <c r="FG224"/>
  <c r="FF22"/>
  <c r="X234"/>
  <c r="AA234" s="1"/>
  <c r="X235"/>
  <c r="X46"/>
  <c r="HS406"/>
  <c r="HV406" s="1"/>
  <c r="BA368"/>
  <c r="BD368" s="1"/>
  <c r="X294"/>
  <c r="AA294" s="1"/>
  <c r="X384"/>
  <c r="BW235"/>
  <c r="Q235" i="68" s="1"/>
  <c r="Z292" i="77"/>
  <c r="IV278"/>
  <c r="IY278" s="1"/>
  <c r="Q126" i="68"/>
  <c r="DG249" i="77"/>
  <c r="DJ249" s="1"/>
  <c r="X444"/>
  <c r="AA444" s="1"/>
  <c r="HS66"/>
  <c r="HV66" s="1"/>
  <c r="X409"/>
  <c r="AA409" s="1"/>
  <c r="BA55"/>
  <c r="BD55" s="1"/>
  <c r="IV45"/>
  <c r="IY45" s="1"/>
  <c r="IV20"/>
  <c r="IY20" s="1"/>
  <c r="HS367"/>
  <c r="HV367" s="1"/>
  <c r="V104" i="72"/>
  <c r="FL97" i="77"/>
  <c r="CD249"/>
  <c r="GP404"/>
  <c r="GS404" s="1"/>
  <c r="Z185" i="39"/>
  <c r="Z105" i="74"/>
  <c r="Z282" i="77"/>
  <c r="X285"/>
  <c r="BW26"/>
  <c r="BW455"/>
  <c r="BW457"/>
  <c r="BW420"/>
  <c r="HL239"/>
  <c r="R214" i="70"/>
  <c r="EJ44" i="77"/>
  <c r="EJ427"/>
  <c r="EM427" s="1"/>
  <c r="IV207"/>
  <c r="IY207" s="1"/>
  <c r="CZ402"/>
  <c r="Q402" i="69" s="1"/>
  <c r="CZ369" i="77"/>
  <c r="Q369" i="69" s="1"/>
  <c r="IV73" i="77"/>
  <c r="IY73" s="1"/>
  <c r="CD255"/>
  <c r="CG255" s="1"/>
  <c r="X402"/>
  <c r="AA402" s="1"/>
  <c r="X369"/>
  <c r="X22"/>
  <c r="X20"/>
  <c r="X53"/>
  <c r="X29"/>
  <c r="X34"/>
  <c r="BA68"/>
  <c r="BD68" s="1"/>
  <c r="HQ449"/>
  <c r="HS52"/>
  <c r="HV52" s="1"/>
  <c r="GP54"/>
  <c r="EJ53"/>
  <c r="EM53" s="1"/>
  <c r="IV68"/>
  <c r="IY68" s="1"/>
  <c r="GP46"/>
  <c r="GS46" s="1"/>
  <c r="CD27"/>
  <c r="CG27" s="1"/>
  <c r="HS39"/>
  <c r="HV39" s="1"/>
  <c r="CD370"/>
  <c r="CG370" s="1"/>
  <c r="IV66"/>
  <c r="IY66" s="1"/>
  <c r="CD368"/>
  <c r="CG368" s="1"/>
  <c r="HS400"/>
  <c r="HV400" s="1"/>
  <c r="GP368"/>
  <c r="GS368" s="1"/>
  <c r="BA49"/>
  <c r="BD49" s="1"/>
  <c r="DG73"/>
  <c r="DJ73" s="1"/>
  <c r="GP52"/>
  <c r="FM428"/>
  <c r="FP428" s="1"/>
  <c r="GN208"/>
  <c r="Z213" i="39"/>
  <c r="Z371"/>
  <c r="X266" i="77"/>
  <c r="AA266" s="1"/>
  <c r="Z167" i="39"/>
  <c r="Z293" i="77"/>
  <c r="X272"/>
  <c r="AA272" s="1"/>
  <c r="AD272" s="1"/>
  <c r="X283"/>
  <c r="IV98"/>
  <c r="IY98" s="1"/>
  <c r="BW64"/>
  <c r="BW82"/>
  <c r="CZ357"/>
  <c r="Q162" i="69"/>
  <c r="CZ33" i="77"/>
  <c r="Q33" i="69" s="1"/>
  <c r="EC434" i="77"/>
  <c r="Z412" i="39"/>
  <c r="X84" i="77"/>
  <c r="AA84" s="1"/>
  <c r="X28"/>
  <c r="X244"/>
  <c r="AA244" s="1"/>
  <c r="CD72"/>
  <c r="CG72" s="1"/>
  <c r="EJ64"/>
  <c r="BA66"/>
  <c r="BD66" s="1"/>
  <c r="FM370"/>
  <c r="FP370" s="1"/>
  <c r="FM400"/>
  <c r="FP400" s="1"/>
  <c r="EJ73"/>
  <c r="EM73" s="1"/>
  <c r="GP50"/>
  <c r="GS50" s="1"/>
  <c r="HS45"/>
  <c r="HV45" s="1"/>
  <c r="HS432"/>
  <c r="HV432" s="1"/>
  <c r="FM427"/>
  <c r="FP427" s="1"/>
  <c r="FM55"/>
  <c r="FP55" s="1"/>
  <c r="GO208"/>
  <c r="X263"/>
  <c r="AA263" s="1"/>
  <c r="Z156" i="70"/>
  <c r="GR286" i="77"/>
  <c r="Z288"/>
  <c r="Z194" i="39"/>
  <c r="X372" i="77"/>
  <c r="AA372" s="1"/>
  <c r="X94"/>
  <c r="AA94" s="1"/>
  <c r="BW439"/>
  <c r="BW60"/>
  <c r="BW449"/>
  <c r="CZ32"/>
  <c r="EC70"/>
  <c r="HS53"/>
  <c r="HV53" s="1"/>
  <c r="BA427"/>
  <c r="BD427" s="1"/>
  <c r="HS68"/>
  <c r="HV68" s="1"/>
  <c r="HS64"/>
  <c r="HV64" s="1"/>
  <c r="X224"/>
  <c r="AA224" s="1"/>
  <c r="Z105" i="72"/>
  <c r="AC140" i="39"/>
  <c r="Z275" i="77"/>
  <c r="Z41" i="72"/>
  <c r="X124" i="39"/>
  <c r="AA124"/>
  <c r="Z124"/>
  <c r="X149"/>
  <c r="X241"/>
  <c r="EL39" i="77"/>
  <c r="Z39" i="70" s="1"/>
  <c r="GL282" i="77"/>
  <c r="GL94"/>
  <c r="GM94" s="1"/>
  <c r="GL267"/>
  <c r="GL250"/>
  <c r="T166" i="72"/>
  <c r="GL288" i="77"/>
  <c r="T288" i="72" s="1"/>
  <c r="GL376" i="77"/>
  <c r="GL276"/>
  <c r="T163" i="72"/>
  <c r="GL243" i="77"/>
  <c r="GL393"/>
  <c r="T393" i="72" s="1"/>
  <c r="T167"/>
  <c r="GL265" i="77"/>
  <c r="T265" i="72" s="1"/>
  <c r="GL252" i="77"/>
  <c r="GM252" s="1"/>
  <c r="GL209"/>
  <c r="GL365"/>
  <c r="GM365" s="1"/>
  <c r="GJ296"/>
  <c r="R296" i="72" s="1"/>
  <c r="S296"/>
  <c r="GF296" i="77"/>
  <c r="N296" i="72" s="1"/>
  <c r="GI385" i="77"/>
  <c r="Q394" i="72" s="1"/>
  <c r="GF385" i="77"/>
  <c r="N394" i="72" s="1"/>
  <c r="S394"/>
  <c r="GI394" i="77"/>
  <c r="GF394"/>
  <c r="GI225"/>
  <c r="GF225"/>
  <c r="GJ203"/>
  <c r="GF203"/>
  <c r="BZ206"/>
  <c r="BZ250"/>
  <c r="BZ362"/>
  <c r="BZ78"/>
  <c r="BZ203"/>
  <c r="CA203" s="1"/>
  <c r="BT289"/>
  <c r="N289" i="68" s="1"/>
  <c r="BX289" i="77"/>
  <c r="R289" i="68" s="1"/>
  <c r="S289"/>
  <c r="Q167"/>
  <c r="R167"/>
  <c r="S167"/>
  <c r="N167"/>
  <c r="S288"/>
  <c r="BX288" i="77"/>
  <c r="R288" i="68" s="1"/>
  <c r="BT288" i="77"/>
  <c r="N288" i="68" s="1"/>
  <c r="BW95" i="77"/>
  <c r="BX95"/>
  <c r="R201" i="68"/>
  <c r="BW220" i="77"/>
  <c r="BX220"/>
  <c r="BW263"/>
  <c r="Q263" i="68" s="1"/>
  <c r="S263"/>
  <c r="BX263" i="77"/>
  <c r="R263" i="68" s="1"/>
  <c r="BT263" i="77"/>
  <c r="N263" i="68" s="1"/>
  <c r="BW354" i="77"/>
  <c r="Q354" i="68" s="1"/>
  <c r="S354"/>
  <c r="BT354" i="77"/>
  <c r="N354" i="68" s="1"/>
  <c r="BX354" i="77"/>
  <c r="R354" i="68" s="1"/>
  <c r="BZ394" i="77"/>
  <c r="BW435"/>
  <c r="BX435"/>
  <c r="BW80"/>
  <c r="BX80"/>
  <c r="Q115" i="68"/>
  <c r="R115"/>
  <c r="S115"/>
  <c r="N115"/>
  <c r="Q129"/>
  <c r="R129"/>
  <c r="R165"/>
  <c r="S165"/>
  <c r="N165"/>
  <c r="Q183"/>
  <c r="R183"/>
  <c r="BW200" i="77"/>
  <c r="BX200"/>
  <c r="BX292"/>
  <c r="R292" i="68" s="1"/>
  <c r="BT292" i="77"/>
  <c r="N292" i="68" s="1"/>
  <c r="S292"/>
  <c r="BW24" i="77"/>
  <c r="BX24"/>
  <c r="BW49"/>
  <c r="BX49"/>
  <c r="BW93"/>
  <c r="Q93" i="68" s="1"/>
  <c r="BX93" i="77"/>
  <c r="Q169" i="68"/>
  <c r="R169"/>
  <c r="Q241"/>
  <c r="BW223" i="77"/>
  <c r="BX223"/>
  <c r="BT223"/>
  <c r="BW245"/>
  <c r="Q245" i="68" s="1"/>
  <c r="BX245" i="77"/>
  <c r="BX274"/>
  <c r="BT274"/>
  <c r="BX294"/>
  <c r="R294" i="68" s="1"/>
  <c r="BT294" i="77"/>
  <c r="N294" i="68" s="1"/>
  <c r="BX365" i="77"/>
  <c r="BT365"/>
  <c r="BW44"/>
  <c r="BX44"/>
  <c r="BW92"/>
  <c r="BX92"/>
  <c r="R148" i="68"/>
  <c r="V291" i="73"/>
  <c r="T391"/>
  <c r="X114" i="39"/>
  <c r="GN457" i="77"/>
  <c r="X455"/>
  <c r="AA455" s="1"/>
  <c r="HR437"/>
  <c r="X353"/>
  <c r="AA353" s="1"/>
  <c r="X138" i="39"/>
  <c r="X52" i="77"/>
  <c r="X15" i="65"/>
  <c r="GO97" i="77"/>
  <c r="X393"/>
  <c r="AA393" s="1"/>
  <c r="Z289"/>
  <c r="X354"/>
  <c r="AA354" s="1"/>
  <c r="X222"/>
  <c r="GI38"/>
  <c r="BW462"/>
  <c r="BW438"/>
  <c r="BW232"/>
  <c r="Q232" i="68" s="1"/>
  <c r="X144" i="39"/>
  <c r="Z425" i="77"/>
  <c r="Z425" i="39" s="1"/>
  <c r="X371"/>
  <c r="X123"/>
  <c r="X192"/>
  <c r="AA162"/>
  <c r="GR44" i="77"/>
  <c r="Z44" i="72" s="1"/>
  <c r="Z414" i="73"/>
  <c r="GL362" i="77"/>
  <c r="GL289"/>
  <c r="T289" i="72" s="1"/>
  <c r="GO293" i="77"/>
  <c r="W293" i="72" s="1"/>
  <c r="GL384" i="77"/>
  <c r="GM384" s="1"/>
  <c r="GL383"/>
  <c r="GM383" s="1"/>
  <c r="GL354"/>
  <c r="GL295"/>
  <c r="GM295" s="1"/>
  <c r="GL270"/>
  <c r="GL285"/>
  <c r="GM285" s="1"/>
  <c r="GM254"/>
  <c r="GN254"/>
  <c r="GO254"/>
  <c r="GL283"/>
  <c r="GM283" s="1"/>
  <c r="GL79"/>
  <c r="GM79" s="1"/>
  <c r="GL229"/>
  <c r="GL207"/>
  <c r="T154" i="72"/>
  <c r="S155"/>
  <c r="N155"/>
  <c r="GJ290" i="77"/>
  <c r="GF290"/>
  <c r="Q290" i="72"/>
  <c r="S290"/>
  <c r="N290"/>
  <c r="GI278" i="77"/>
  <c r="GF278"/>
  <c r="BZ379"/>
  <c r="BZ98"/>
  <c r="CA98" s="1"/>
  <c r="BZ207"/>
  <c r="CA207" s="1"/>
  <c r="BW269"/>
  <c r="BX269"/>
  <c r="BT269"/>
  <c r="BW364"/>
  <c r="Q383" i="68" s="1"/>
  <c r="BX364" i="77"/>
  <c r="R383" i="68" s="1"/>
  <c r="S383"/>
  <c r="BT364" i="77"/>
  <c r="N383" i="68" s="1"/>
  <c r="BW407" i="77"/>
  <c r="BX407"/>
  <c r="BW47"/>
  <c r="BX47"/>
  <c r="BX293"/>
  <c r="R293" i="68" s="1"/>
  <c r="BT293" i="77"/>
  <c r="N293" i="68" s="1"/>
  <c r="S293"/>
  <c r="BW229" i="77"/>
  <c r="BT229"/>
  <c r="BX229"/>
  <c r="BX272"/>
  <c r="BT272"/>
  <c r="BW383"/>
  <c r="BT383"/>
  <c r="BX383"/>
  <c r="BX432"/>
  <c r="BW432"/>
  <c r="BW54"/>
  <c r="BX54"/>
  <c r="Q104" i="68"/>
  <c r="R104"/>
  <c r="Q176"/>
  <c r="S176"/>
  <c r="R176"/>
  <c r="N176"/>
  <c r="BW278" i="77"/>
  <c r="BX278"/>
  <c r="BT278"/>
  <c r="BX266"/>
  <c r="BT266"/>
  <c r="BX279"/>
  <c r="BT279"/>
  <c r="BW423"/>
  <c r="BX423"/>
  <c r="BW45"/>
  <c r="BX45"/>
  <c r="BW89"/>
  <c r="BX89"/>
  <c r="BT89"/>
  <c r="N89" i="68" s="1"/>
  <c r="R103"/>
  <c r="N103"/>
  <c r="S103"/>
  <c r="Q137"/>
  <c r="R137"/>
  <c r="Q163"/>
  <c r="S163"/>
  <c r="R163"/>
  <c r="N163"/>
  <c r="R218"/>
  <c r="BW242" i="77"/>
  <c r="BX242"/>
  <c r="BW270"/>
  <c r="BX270"/>
  <c r="BT270"/>
  <c r="BW408"/>
  <c r="BX408"/>
  <c r="BW429"/>
  <c r="Q429" i="68" s="1"/>
  <c r="BX429" i="77"/>
  <c r="BW57"/>
  <c r="BX57"/>
  <c r="BW88"/>
  <c r="Q88" i="68" s="1"/>
  <c r="BX88" i="77"/>
  <c r="R88" i="68" s="1"/>
  <c r="Q162"/>
  <c r="R162"/>
  <c r="S295"/>
  <c r="BX209" i="77"/>
  <c r="R295" i="68" s="1"/>
  <c r="BT209" i="77"/>
  <c r="N295" i="68" s="1"/>
  <c r="X36" i="77"/>
  <c r="FK97"/>
  <c r="X233"/>
  <c r="AA233" s="1"/>
  <c r="X236"/>
  <c r="AA236" s="1"/>
  <c r="GN227"/>
  <c r="V227" i="72" s="1"/>
  <c r="X30" i="77"/>
  <c r="X48"/>
  <c r="X228"/>
  <c r="X457"/>
  <c r="AA457" s="1"/>
  <c r="X239"/>
  <c r="AA239" s="1"/>
  <c r="X404"/>
  <c r="AA404" s="1"/>
  <c r="HQ430"/>
  <c r="X374"/>
  <c r="X360"/>
  <c r="AA360" s="1"/>
  <c r="CC374"/>
  <c r="W374" i="68" s="1"/>
  <c r="FL380" i="77"/>
  <c r="W380" i="71" s="1"/>
  <c r="X253" i="77"/>
  <c r="X205"/>
  <c r="AA205" s="1"/>
  <c r="X151" i="39"/>
  <c r="X150"/>
  <c r="X17"/>
  <c r="X71"/>
  <c r="EJ49" i="77"/>
  <c r="EM49" s="1"/>
  <c r="X26"/>
  <c r="FO49"/>
  <c r="Z49" i="71" s="1"/>
  <c r="X226" i="77"/>
  <c r="GP55"/>
  <c r="GS55" s="1"/>
  <c r="W361" i="73"/>
  <c r="GN97" i="77"/>
  <c r="GP97" s="1"/>
  <c r="GS97" s="1"/>
  <c r="GP64"/>
  <c r="GS64" s="1"/>
  <c r="BA39"/>
  <c r="BD39" s="1"/>
  <c r="IV50"/>
  <c r="IY50" s="1"/>
  <c r="DG64"/>
  <c r="DJ64" s="1"/>
  <c r="IV27"/>
  <c r="IY27" s="1"/>
  <c r="BA53"/>
  <c r="BD53" s="1"/>
  <c r="W381" i="68"/>
  <c r="X274" i="77"/>
  <c r="AA274" s="1"/>
  <c r="IV203"/>
  <c r="IY203" s="1"/>
  <c r="Z225"/>
  <c r="Z225" i="39" s="1"/>
  <c r="X264" i="77"/>
  <c r="AA264" s="1"/>
  <c r="X79"/>
  <c r="AA79" s="1"/>
  <c r="Q361" i="68"/>
  <c r="BW48" i="77"/>
  <c r="BW400"/>
  <c r="Q182" i="68"/>
  <c r="BW86" i="77"/>
  <c r="Q86" i="68" s="1"/>
  <c r="BW90" i="77"/>
  <c r="BW355"/>
  <c r="Q421" i="68"/>
  <c r="BW224" i="77"/>
  <c r="BW353"/>
  <c r="BW409"/>
  <c r="Q19" i="68"/>
  <c r="BW247" i="77"/>
  <c r="BW288"/>
  <c r="Q288" i="68" s="1"/>
  <c r="BW40" i="77"/>
  <c r="AA449" i="39"/>
  <c r="GL395" i="77"/>
  <c r="GM395" s="1"/>
  <c r="GL262"/>
  <c r="GL89"/>
  <c r="GM89" s="1"/>
  <c r="GL274"/>
  <c r="GM274" s="1"/>
  <c r="GL202"/>
  <c r="GM202" s="1"/>
  <c r="GL292"/>
  <c r="GL240"/>
  <c r="GM240" s="1"/>
  <c r="GL230"/>
  <c r="GM230" s="1"/>
  <c r="GL284"/>
  <c r="GM284" s="1"/>
  <c r="GL259"/>
  <c r="GM259" s="1"/>
  <c r="GL386"/>
  <c r="GL206"/>
  <c r="GM206" s="1"/>
  <c r="GL277"/>
  <c r="GM277" s="1"/>
  <c r="GL269"/>
  <c r="GM269" s="1"/>
  <c r="GL279"/>
  <c r="GM279" s="1"/>
  <c r="GI87"/>
  <c r="Q87" i="72" s="1"/>
  <c r="S87"/>
  <c r="GF87" i="77"/>
  <c r="N87" i="72" s="1"/>
  <c r="GI280" i="77"/>
  <c r="Q280" i="72" s="1"/>
  <c r="GF280" i="77"/>
  <c r="N280" i="72" s="1"/>
  <c r="S280"/>
  <c r="GF98" i="77"/>
  <c r="BZ259"/>
  <c r="CA259" s="1"/>
  <c r="BZ290"/>
  <c r="CA290" s="1"/>
  <c r="BZ262"/>
  <c r="BZ284"/>
  <c r="CA284" s="1"/>
  <c r="BZ296"/>
  <c r="BZ252"/>
  <c r="CA252" s="1"/>
  <c r="BZ277"/>
  <c r="CA277" s="1"/>
  <c r="BW264"/>
  <c r="Q264" i="68" s="1"/>
  <c r="S264"/>
  <c r="BX264" i="77"/>
  <c r="R264" i="68" s="1"/>
  <c r="BT264" i="77"/>
  <c r="N264" i="68" s="1"/>
  <c r="BX395" i="77"/>
  <c r="BT395"/>
  <c r="BX428"/>
  <c r="BW428"/>
  <c r="S166" i="68"/>
  <c r="R166"/>
  <c r="N166"/>
  <c r="BX230" i="77"/>
  <c r="BT230"/>
  <c r="BW287"/>
  <c r="BX287"/>
  <c r="BT287"/>
  <c r="BX286"/>
  <c r="BW286"/>
  <c r="BY286"/>
  <c r="BT286"/>
  <c r="BX372"/>
  <c r="BT372"/>
  <c r="BW50"/>
  <c r="BX50"/>
  <c r="BX94"/>
  <c r="BT94"/>
  <c r="Q138" i="68"/>
  <c r="R138"/>
  <c r="Q270"/>
  <c r="S270"/>
  <c r="R270"/>
  <c r="N270"/>
  <c r="BX243" i="77"/>
  <c r="BT243"/>
  <c r="BW257"/>
  <c r="BX257"/>
  <c r="BX393"/>
  <c r="R393" i="68" s="1"/>
  <c r="S393"/>
  <c r="BT393" i="77"/>
  <c r="N393" i="68" s="1"/>
  <c r="BX225" i="77"/>
  <c r="BT225"/>
  <c r="BX276"/>
  <c r="BT276"/>
  <c r="BX295"/>
  <c r="BT295"/>
  <c r="BW84"/>
  <c r="Q84" i="68" s="1"/>
  <c r="BX84" i="77"/>
  <c r="R84" i="68" s="1"/>
  <c r="BW205" i="77"/>
  <c r="BX205"/>
  <c r="BW238"/>
  <c r="Q238" i="68" s="1"/>
  <c r="BX238" i="77"/>
  <c r="R238" i="68" s="1"/>
  <c r="BZ240" i="77"/>
  <c r="BW265"/>
  <c r="Q265" i="68" s="1"/>
  <c r="S265"/>
  <c r="BX265" i="77"/>
  <c r="R265" i="68" s="1"/>
  <c r="BT265" i="77"/>
  <c r="N265" i="68" s="1"/>
  <c r="BX283" i="77"/>
  <c r="BT283"/>
  <c r="BX202"/>
  <c r="BT202"/>
  <c r="HO278"/>
  <c r="HP278" s="1"/>
  <c r="HO230"/>
  <c r="HP230" s="1"/>
  <c r="HO243"/>
  <c r="HP243" s="1"/>
  <c r="HO269"/>
  <c r="HO395"/>
  <c r="HP395" s="1"/>
  <c r="HO393"/>
  <c r="Z78"/>
  <c r="Z78" i="39" s="1"/>
  <c r="Z140"/>
  <c r="Z278" i="77"/>
  <c r="X126" i="39"/>
  <c r="X439"/>
  <c r="AA439"/>
  <c r="X461"/>
  <c r="AA370" i="72"/>
  <c r="GL266" i="77"/>
  <c r="GM266" s="1"/>
  <c r="GL372"/>
  <c r="GM372" s="1"/>
  <c r="GL382"/>
  <c r="GL364"/>
  <c r="GL263"/>
  <c r="GL272"/>
  <c r="GM272" s="1"/>
  <c r="GL275"/>
  <c r="GL264"/>
  <c r="GL287"/>
  <c r="GM287" s="1"/>
  <c r="GL379"/>
  <c r="GL273"/>
  <c r="GM273" s="1"/>
  <c r="GL294"/>
  <c r="GL222"/>
  <c r="GM222" s="1"/>
  <c r="GI65"/>
  <c r="GJ65"/>
  <c r="GI223"/>
  <c r="GF223"/>
  <c r="GF78"/>
  <c r="BZ386"/>
  <c r="BZ382"/>
  <c r="BZ87"/>
  <c r="T87" i="68" s="1"/>
  <c r="BZ267" i="77"/>
  <c r="R287" i="68"/>
  <c r="N287"/>
  <c r="S287"/>
  <c r="BW273" i="77"/>
  <c r="BX273"/>
  <c r="BT273"/>
  <c r="BX384"/>
  <c r="BT384"/>
  <c r="BW37"/>
  <c r="BX37"/>
  <c r="BW55"/>
  <c r="BX55"/>
  <c r="R154" i="68"/>
  <c r="S154"/>
  <c r="N154"/>
  <c r="R220"/>
  <c r="BW208" i="77"/>
  <c r="BX208"/>
  <c r="BT208"/>
  <c r="BW227"/>
  <c r="Q227" i="68" s="1"/>
  <c r="BX227" i="77"/>
  <c r="R227" i="68" s="1"/>
  <c r="BW248" i="77"/>
  <c r="BX248"/>
  <c r="T140" i="68"/>
  <c r="BX268" i="77"/>
  <c r="BT268"/>
  <c r="BX46"/>
  <c r="BW46"/>
  <c r="Q131" i="68"/>
  <c r="R131"/>
  <c r="Q285"/>
  <c r="R285"/>
  <c r="S285"/>
  <c r="N285"/>
  <c r="BX239" i="77"/>
  <c r="BW239"/>
  <c r="Q239" i="68" s="1"/>
  <c r="BZ282" i="77"/>
  <c r="N211" i="68"/>
  <c r="BX285" i="77"/>
  <c r="BT285"/>
  <c r="BW30"/>
  <c r="BX30"/>
  <c r="BW53"/>
  <c r="BX53"/>
  <c r="BW79"/>
  <c r="BX79"/>
  <c r="BT79"/>
  <c r="Q114" i="68"/>
  <c r="R114"/>
  <c r="BW233" i="77"/>
  <c r="Q233" i="68" s="1"/>
  <c r="BX233" i="77"/>
  <c r="R233" i="68" s="1"/>
  <c r="BZ275" i="77"/>
  <c r="BW254"/>
  <c r="BT254"/>
  <c r="BX254"/>
  <c r="BZ280"/>
  <c r="BZ385"/>
  <c r="BW96"/>
  <c r="BX96"/>
  <c r="R198" i="68"/>
  <c r="HO293" i="77"/>
  <c r="HO282"/>
  <c r="HO264"/>
  <c r="HO265"/>
  <c r="HO273"/>
  <c r="HP273" s="1"/>
  <c r="HO294"/>
  <c r="T294" i="73" s="1"/>
  <c r="HO98" i="77"/>
  <c r="HP98" s="1"/>
  <c r="HO87"/>
  <c r="HO254"/>
  <c r="HQ225"/>
  <c r="HR225"/>
  <c r="HO94"/>
  <c r="HP94" s="1"/>
  <c r="HO208"/>
  <c r="HP208" s="1"/>
  <c r="HO354"/>
  <c r="HO284"/>
  <c r="HO290"/>
  <c r="HO270"/>
  <c r="HP270" s="1"/>
  <c r="T165" i="73"/>
  <c r="Q141"/>
  <c r="N141"/>
  <c r="S141"/>
  <c r="HI362" i="77"/>
  <c r="HL207"/>
  <c r="HI207"/>
  <c r="HI383"/>
  <c r="HL79"/>
  <c r="HI79"/>
  <c r="HI288"/>
  <c r="N288" i="73" s="1"/>
  <c r="S288"/>
  <c r="N164"/>
  <c r="Q103"/>
  <c r="S103"/>
  <c r="N103"/>
  <c r="DC250" i="77"/>
  <c r="DD250" s="1"/>
  <c r="DC203"/>
  <c r="DD203" s="1"/>
  <c r="DC288"/>
  <c r="DC372"/>
  <c r="DD372" s="1"/>
  <c r="DC383"/>
  <c r="DD383" s="1"/>
  <c r="DC287"/>
  <c r="DD287" s="1"/>
  <c r="DC384"/>
  <c r="DD384" s="1"/>
  <c r="DC223"/>
  <c r="DC393"/>
  <c r="DC386"/>
  <c r="T395" i="69" s="1"/>
  <c r="T167"/>
  <c r="DA263" i="77"/>
  <c r="R263" i="69" s="1"/>
  <c r="S263"/>
  <c r="CW263" i="77"/>
  <c r="N263" i="69" s="1"/>
  <c r="DA294" i="77"/>
  <c r="R294" i="69" s="1"/>
  <c r="S294"/>
  <c r="CW294" i="77"/>
  <c r="N294" i="69" s="1"/>
  <c r="DA370" i="77"/>
  <c r="R370" i="69" s="1"/>
  <c r="CZ370" i="77"/>
  <c r="Q370" i="69" s="1"/>
  <c r="R270"/>
  <c r="S270"/>
  <c r="N270"/>
  <c r="DA270" i="77"/>
  <c r="CW270"/>
  <c r="S280" i="69"/>
  <c r="DA280" i="77"/>
  <c r="R280" i="69" s="1"/>
  <c r="CW280" i="77"/>
  <c r="N280" i="69" s="1"/>
  <c r="R391"/>
  <c r="S391"/>
  <c r="N391"/>
  <c r="CZ36" i="77"/>
  <c r="DA36"/>
  <c r="CZ85"/>
  <c r="Q85" i="69" s="1"/>
  <c r="DA85" i="77"/>
  <c r="R85" i="69" s="1"/>
  <c r="R285"/>
  <c r="S285"/>
  <c r="N285"/>
  <c r="CZ234" i="77"/>
  <c r="Q234" i="69" s="1"/>
  <c r="DA234" i="77"/>
  <c r="R234" i="69" s="1"/>
  <c r="CZ257" i="77"/>
  <c r="Q257" i="69" s="1"/>
  <c r="DA257" i="77"/>
  <c r="DA265"/>
  <c r="R265" i="69" s="1"/>
  <c r="S265"/>
  <c r="CW265" i="77"/>
  <c r="N265" i="69" s="1"/>
  <c r="DA285" i="77"/>
  <c r="CW285"/>
  <c r="DA400"/>
  <c r="CZ400"/>
  <c r="DA94"/>
  <c r="CW94"/>
  <c r="Q129" i="69"/>
  <c r="R129"/>
  <c r="CZ264" i="77"/>
  <c r="Q264" i="69" s="1"/>
  <c r="DA264" i="77"/>
  <c r="R264" i="69" s="1"/>
  <c r="S264"/>
  <c r="CW264" i="77"/>
  <c r="N264" i="69" s="1"/>
  <c r="CW295" i="77"/>
  <c r="DA295"/>
  <c r="CZ427"/>
  <c r="DA427"/>
  <c r="CZ63"/>
  <c r="DA63"/>
  <c r="R135" i="69"/>
  <c r="N135"/>
  <c r="S135"/>
  <c r="DA230" i="77"/>
  <c r="CW230"/>
  <c r="Q180" i="69"/>
  <c r="R180"/>
  <c r="CZ209" i="77"/>
  <c r="Q295" i="69" s="1"/>
  <c r="DA209" i="77"/>
  <c r="R295" i="69" s="1"/>
  <c r="S295"/>
  <c r="CW209" i="77"/>
  <c r="N295" i="69" s="1"/>
  <c r="DA240" i="77"/>
  <c r="CW240"/>
  <c r="V135" i="74"/>
  <c r="IR394" i="77"/>
  <c r="IS394" s="1"/>
  <c r="IR288"/>
  <c r="IR94"/>
  <c r="IR293"/>
  <c r="T293" i="74" s="1"/>
  <c r="IR274" i="77"/>
  <c r="IS274" s="1"/>
  <c r="IR285"/>
  <c r="IS285" s="1"/>
  <c r="IR276"/>
  <c r="IR269"/>
  <c r="IR294"/>
  <c r="IR279"/>
  <c r="IS279" s="1"/>
  <c r="IO354"/>
  <c r="Q354" i="74" s="1"/>
  <c r="IL354" i="77"/>
  <c r="N354" i="74" s="1"/>
  <c r="S354"/>
  <c r="EF276" i="77"/>
  <c r="EG276" s="1"/>
  <c r="EF209"/>
  <c r="EF278"/>
  <c r="EG278" s="1"/>
  <c r="ED254"/>
  <c r="DZ254"/>
  <c r="EC365"/>
  <c r="DZ365"/>
  <c r="N365" i="70" s="1"/>
  <c r="EC292" i="77"/>
  <c r="Q292" i="70" s="1"/>
  <c r="ED292" i="77"/>
  <c r="R292" i="70" s="1"/>
  <c r="DZ292" i="77"/>
  <c r="N292" i="70" s="1"/>
  <c r="S292"/>
  <c r="EC263" i="77"/>
  <c r="Q263" i="70" s="1"/>
  <c r="S263"/>
  <c r="DZ263" i="77"/>
  <c r="N263" i="70" s="1"/>
  <c r="S395"/>
  <c r="DZ386" i="77"/>
  <c r="N395" i="70" s="1"/>
  <c r="ED386" i="77"/>
  <c r="R395" i="70" s="1"/>
  <c r="EC282" i="77"/>
  <c r="Q282" i="70" s="1"/>
  <c r="S282"/>
  <c r="DZ282" i="77"/>
  <c r="N282" i="70" s="1"/>
  <c r="ED282" i="77"/>
  <c r="R282" i="70" s="1"/>
  <c r="ED279" i="77"/>
  <c r="DZ279"/>
  <c r="DZ394"/>
  <c r="ED394"/>
  <c r="EC362"/>
  <c r="ED362"/>
  <c r="DZ362"/>
  <c r="Q287" i="70"/>
  <c r="N287"/>
  <c r="S287"/>
  <c r="R287"/>
  <c r="ED269" i="77"/>
  <c r="DZ269"/>
  <c r="Q381" i="70"/>
  <c r="R381"/>
  <c r="ED79" i="77"/>
  <c r="S79" i="70"/>
  <c r="DZ79" i="77"/>
  <c r="Q163" i="70"/>
  <c r="R163"/>
  <c r="S163"/>
  <c r="N163"/>
  <c r="Q213"/>
  <c r="R213"/>
  <c r="R176"/>
  <c r="S176"/>
  <c r="N176"/>
  <c r="EC240" i="77"/>
  <c r="ED240"/>
  <c r="DZ240"/>
  <c r="Q140" i="70"/>
  <c r="R140"/>
  <c r="N140"/>
  <c r="S140"/>
  <c r="EC264" i="77"/>
  <c r="Q264" i="70" s="1"/>
  <c r="S264"/>
  <c r="DZ264" i="77"/>
  <c r="N264" i="70" s="1"/>
  <c r="ED243" i="77"/>
  <c r="DZ243"/>
  <c r="Q109" i="70"/>
  <c r="S109"/>
  <c r="N109"/>
  <c r="R109"/>
  <c r="Q139"/>
  <c r="N139"/>
  <c r="R139"/>
  <c r="S139"/>
  <c r="T167" i="65"/>
  <c r="AW263" i="77"/>
  <c r="AW285"/>
  <c r="AW288"/>
  <c r="AW270"/>
  <c r="AW267"/>
  <c r="AW282"/>
  <c r="AW275"/>
  <c r="T275" i="65" s="1"/>
  <c r="AW222" i="77"/>
  <c r="AX222" s="1"/>
  <c r="AW287"/>
  <c r="AX287" s="1"/>
  <c r="AW79"/>
  <c r="AX79" s="1"/>
  <c r="AW254"/>
  <c r="AX254" s="1"/>
  <c r="AW293"/>
  <c r="T293" i="65" s="1"/>
  <c r="AW269" i="77"/>
  <c r="AX269" s="1"/>
  <c r="AW209"/>
  <c r="T295" i="65" s="1"/>
  <c r="AT32" i="77"/>
  <c r="AU32"/>
  <c r="AU83"/>
  <c r="R83" i="65" s="1"/>
  <c r="AT83" i="77"/>
  <c r="Q83" i="65" s="1"/>
  <c r="Q147"/>
  <c r="R147"/>
  <c r="AT379" i="77"/>
  <c r="Q379" i="65" s="1"/>
  <c r="S379"/>
  <c r="AQ379" i="77"/>
  <c r="N379" i="65" s="1"/>
  <c r="AU379" i="77"/>
  <c r="R379" i="65" s="1"/>
  <c r="AT443" i="77"/>
  <c r="AU443"/>
  <c r="AU62"/>
  <c r="AT62"/>
  <c r="R155" i="65"/>
  <c r="Q155"/>
  <c r="S155"/>
  <c r="N155"/>
  <c r="Q195"/>
  <c r="AT237" i="77"/>
  <c r="AU237"/>
  <c r="AT284"/>
  <c r="AU284"/>
  <c r="AQ284"/>
  <c r="AT364"/>
  <c r="Q383" i="65" s="1"/>
  <c r="S383"/>
  <c r="AU364" i="77"/>
  <c r="R383" i="65" s="1"/>
  <c r="AQ364" i="77"/>
  <c r="N383" i="65" s="1"/>
  <c r="AT382" i="77"/>
  <c r="Q382" i="65" s="1"/>
  <c r="S382"/>
  <c r="AU382" i="77"/>
  <c r="R382" i="65" s="1"/>
  <c r="AQ382" i="77"/>
  <c r="N382" i="65" s="1"/>
  <c r="AT439" i="77"/>
  <c r="AU439"/>
  <c r="AU97"/>
  <c r="AT97"/>
  <c r="Q176" i="65"/>
  <c r="R176"/>
  <c r="S176"/>
  <c r="N176"/>
  <c r="AT377" i="77"/>
  <c r="Q377" i="65" s="1"/>
  <c r="AU377" i="77"/>
  <c r="R377" i="65" s="1"/>
  <c r="AT408" i="77"/>
  <c r="AU408"/>
  <c r="Q187" i="65"/>
  <c r="R187"/>
  <c r="S187"/>
  <c r="N187"/>
  <c r="AT42" i="77"/>
  <c r="AU42"/>
  <c r="Q102" i="65"/>
  <c r="R102"/>
  <c r="S102"/>
  <c r="N102"/>
  <c r="AT200" i="77"/>
  <c r="AU200"/>
  <c r="AT228"/>
  <c r="Q228" i="65" s="1"/>
  <c r="AU228" i="77"/>
  <c r="R228" i="65" s="1"/>
  <c r="AU262" i="77"/>
  <c r="R262" i="65" s="1"/>
  <c r="S262"/>
  <c r="AT262" i="77"/>
  <c r="Q262" i="65" s="1"/>
  <c r="AQ262" i="77"/>
  <c r="N262" i="65" s="1"/>
  <c r="AT376" i="77"/>
  <c r="AU376"/>
  <c r="AQ376"/>
  <c r="AU436"/>
  <c r="AT436"/>
  <c r="FI283"/>
  <c r="FI243"/>
  <c r="FI79"/>
  <c r="FJ79" s="1"/>
  <c r="FI365"/>
  <c r="FI207"/>
  <c r="FJ207" s="1"/>
  <c r="FI379"/>
  <c r="T379" i="71" s="1"/>
  <c r="FI273" i="77"/>
  <c r="FJ273" s="1"/>
  <c r="FI294"/>
  <c r="T294" i="71" s="1"/>
  <c r="FI364" i="77"/>
  <c r="T383" i="71" s="1"/>
  <c r="FI362" i="77"/>
  <c r="FJ362" s="1"/>
  <c r="FI395"/>
  <c r="FI94"/>
  <c r="FI89"/>
  <c r="T139" i="71"/>
  <c r="FI250" i="77"/>
  <c r="FJ250" s="1"/>
  <c r="FI383"/>
  <c r="FI268"/>
  <c r="FJ268" s="1"/>
  <c r="FI98"/>
  <c r="FJ98" s="1"/>
  <c r="Q187" i="71"/>
  <c r="N187"/>
  <c r="S187"/>
  <c r="FF236" i="77"/>
  <c r="Q236" i="71" s="1"/>
  <c r="FG236" i="77"/>
  <c r="R236" i="71" s="1"/>
  <c r="FG393" i="77"/>
  <c r="R393" i="71" s="1"/>
  <c r="S393"/>
  <c r="FC393" i="77"/>
  <c r="N393" i="71" s="1"/>
  <c r="FG265" i="77"/>
  <c r="R265" i="71" s="1"/>
  <c r="FC265" i="77"/>
  <c r="N265" i="71" s="1"/>
  <c r="S265"/>
  <c r="FF73" i="77"/>
  <c r="FG73"/>
  <c r="Q112" i="71"/>
  <c r="R112"/>
  <c r="FF229" i="77"/>
  <c r="FC229"/>
  <c r="Q391" i="71"/>
  <c r="S391"/>
  <c r="N391"/>
  <c r="FG72" i="77"/>
  <c r="FF72"/>
  <c r="FF69"/>
  <c r="BW222"/>
  <c r="BX222"/>
  <c r="BT222"/>
  <c r="HO266"/>
  <c r="HP266" s="1"/>
  <c r="HO229"/>
  <c r="HO276"/>
  <c r="HP276" s="1"/>
  <c r="HO209"/>
  <c r="HO289"/>
  <c r="T289" i="73" s="1"/>
  <c r="HO394" i="77"/>
  <c r="HP394" s="1"/>
  <c r="HO267"/>
  <c r="T267" i="73" s="1"/>
  <c r="HO274" i="77"/>
  <c r="HP274" s="1"/>
  <c r="HO285"/>
  <c r="HP285" s="1"/>
  <c r="HL283"/>
  <c r="HI283"/>
  <c r="R109" i="73"/>
  <c r="S109"/>
  <c r="N109"/>
  <c r="HM277" i="77"/>
  <c r="HI277"/>
  <c r="HL384"/>
  <c r="HI384"/>
  <c r="HO250"/>
  <c r="HI250"/>
  <c r="HI379"/>
  <c r="N379" i="73" s="1"/>
  <c r="HL262" i="77"/>
  <c r="Q262" i="73" s="1"/>
  <c r="HI262" i="77"/>
  <c r="N262" i="73" s="1"/>
  <c r="S262"/>
  <c r="HL372" i="77"/>
  <c r="HI372"/>
  <c r="DC229"/>
  <c r="DC290"/>
  <c r="DC293"/>
  <c r="T293" i="69" s="1"/>
  <c r="DC254" i="77"/>
  <c r="DC376"/>
  <c r="DC208"/>
  <c r="DC262"/>
  <c r="T262" i="69" s="1"/>
  <c r="DC207" i="77"/>
  <c r="DD207" s="1"/>
  <c r="Q140" i="69"/>
  <c r="R140"/>
  <c r="S140"/>
  <c r="N140"/>
  <c r="DA365" i="77"/>
  <c r="CW365"/>
  <c r="CZ422"/>
  <c r="DA422"/>
  <c r="R139" i="69"/>
  <c r="S139"/>
  <c r="N139"/>
  <c r="CZ204" i="77"/>
  <c r="DA204"/>
  <c r="CZ239"/>
  <c r="DA239"/>
  <c r="DA275"/>
  <c r="R275" i="69" s="1"/>
  <c r="CW275" i="77"/>
  <c r="N275" i="69" s="1"/>
  <c r="S275"/>
  <c r="CZ266" i="77"/>
  <c r="CW266"/>
  <c r="DA266"/>
  <c r="CZ355"/>
  <c r="DA355"/>
  <c r="Q109" i="69"/>
  <c r="S109"/>
  <c r="R109"/>
  <c r="N109"/>
  <c r="CW252" i="77"/>
  <c r="DA252"/>
  <c r="DA225"/>
  <c r="CW225"/>
  <c r="DA279"/>
  <c r="CW279"/>
  <c r="CZ359"/>
  <c r="Q359" i="69" s="1"/>
  <c r="DA359" i="77"/>
  <c r="R359" i="69" s="1"/>
  <c r="DA395" i="77"/>
  <c r="CW395"/>
  <c r="CZ420"/>
  <c r="DA420"/>
  <c r="CZ87"/>
  <c r="Q87" i="69" s="1"/>
  <c r="S87"/>
  <c r="DA87" i="77"/>
  <c r="R87" i="69" s="1"/>
  <c r="CW87" i="77"/>
  <c r="N87" i="69" s="1"/>
  <c r="S187"/>
  <c r="R187"/>
  <c r="N187"/>
  <c r="DA284" i="77"/>
  <c r="CW284"/>
  <c r="DA367"/>
  <c r="CZ367"/>
  <c r="CZ23"/>
  <c r="DA23"/>
  <c r="CZ39"/>
  <c r="DA39"/>
  <c r="DA78"/>
  <c r="CW78"/>
  <c r="Q112" i="69"/>
  <c r="R112"/>
  <c r="R189"/>
  <c r="S189"/>
  <c r="N189"/>
  <c r="Q114"/>
  <c r="R114"/>
  <c r="CW206" i="77"/>
  <c r="DA206"/>
  <c r="T190" i="74"/>
  <c r="IR275" i="77"/>
  <c r="IR89"/>
  <c r="IS89" s="1"/>
  <c r="T287" i="74"/>
  <c r="IR290" i="77"/>
  <c r="IS290" s="1"/>
  <c r="IR263"/>
  <c r="IR202"/>
  <c r="IS202" s="1"/>
  <c r="IR376"/>
  <c r="IS376" s="1"/>
  <c r="IR254"/>
  <c r="IS254" s="1"/>
  <c r="IR225"/>
  <c r="IR206"/>
  <c r="IS206" s="1"/>
  <c r="IR273"/>
  <c r="IS273" s="1"/>
  <c r="T154" i="74"/>
  <c r="IR222" i="77"/>
  <c r="IS222" s="1"/>
  <c r="IP266"/>
  <c r="IL266"/>
  <c r="Q167" i="74"/>
  <c r="S167"/>
  <c r="N167"/>
  <c r="IO289" i="77"/>
  <c r="Q289" i="74" s="1"/>
  <c r="S289"/>
  <c r="IL289" i="77"/>
  <c r="N289" i="74" s="1"/>
  <c r="EF354" i="77"/>
  <c r="EF87"/>
  <c r="T87" i="70" s="1"/>
  <c r="EF289" i="77"/>
  <c r="EF259"/>
  <c r="EG259" s="1"/>
  <c r="EF98"/>
  <c r="EG98" s="1"/>
  <c r="EF296"/>
  <c r="EF364"/>
  <c r="EF202"/>
  <c r="EG202" s="1"/>
  <c r="EF383"/>
  <c r="EG383" s="1"/>
  <c r="EC229"/>
  <c r="ED229"/>
  <c r="DZ229"/>
  <c r="S254" i="70"/>
  <c r="DZ275" i="77"/>
  <c r="N275" i="70" s="1"/>
  <c r="ED275" i="77"/>
  <c r="R275" i="70" s="1"/>
  <c r="S275"/>
  <c r="ED273" i="77"/>
  <c r="DZ273"/>
  <c r="EC384"/>
  <c r="ED384"/>
  <c r="DZ384"/>
  <c r="EC290"/>
  <c r="ED290"/>
  <c r="DZ290"/>
  <c r="EC262"/>
  <c r="Q262" i="70" s="1"/>
  <c r="S262"/>
  <c r="ED262" i="77"/>
  <c r="R262" i="70" s="1"/>
  <c r="DZ262" i="77"/>
  <c r="N262" i="70" s="1"/>
  <c r="ED285" i="77"/>
  <c r="DZ285"/>
  <c r="EC404"/>
  <c r="ED404"/>
  <c r="N102" i="70"/>
  <c r="R155"/>
  <c r="N155"/>
  <c r="S155"/>
  <c r="ED207" i="77"/>
  <c r="S207" i="70"/>
  <c r="DZ207" i="77"/>
  <c r="N207" i="70" s="1"/>
  <c r="Q135"/>
  <c r="N135"/>
  <c r="S135"/>
  <c r="R135"/>
  <c r="EC250" i="77"/>
  <c r="DZ250"/>
  <c r="ED250"/>
  <c r="Q291" i="70"/>
  <c r="N291"/>
  <c r="S291"/>
  <c r="N285"/>
  <c r="EC230" i="77"/>
  <c r="DZ230"/>
  <c r="EC27"/>
  <c r="ED27"/>
  <c r="Q164" i="70"/>
  <c r="R164"/>
  <c r="S164"/>
  <c r="N164"/>
  <c r="AW223" i="77"/>
  <c r="AX223" s="1"/>
  <c r="AW268"/>
  <c r="AX268" s="1"/>
  <c r="AW94"/>
  <c r="AX94" s="1"/>
  <c r="AW274"/>
  <c r="AX274" s="1"/>
  <c r="AW393"/>
  <c r="AW240"/>
  <c r="AX240" s="1"/>
  <c r="T109" i="65"/>
  <c r="AW202" i="77"/>
  <c r="AX202" s="1"/>
  <c r="AW266"/>
  <c r="AX266" s="1"/>
  <c r="AW273"/>
  <c r="AX273" s="1"/>
  <c r="AU57"/>
  <c r="AT57"/>
  <c r="Q141" i="65"/>
  <c r="AT374" i="77"/>
  <c r="AU374"/>
  <c r="AT406"/>
  <c r="AU406"/>
  <c r="AU435"/>
  <c r="AT435"/>
  <c r="AT26"/>
  <c r="AU26"/>
  <c r="AU98"/>
  <c r="AT98"/>
  <c r="AQ98"/>
  <c r="R290" i="65"/>
  <c r="Q290"/>
  <c r="S290"/>
  <c r="N290"/>
  <c r="R153"/>
  <c r="S153"/>
  <c r="N153"/>
  <c r="R183"/>
  <c r="Q183"/>
  <c r="Q214"/>
  <c r="R214"/>
  <c r="AT255" i="77"/>
  <c r="AU255"/>
  <c r="AT360"/>
  <c r="Q360" i="65" s="1"/>
  <c r="AU360" i="77"/>
  <c r="R360" i="65" s="1"/>
  <c r="AT378" i="77"/>
  <c r="Q378" i="65" s="1"/>
  <c r="AU378" i="77"/>
  <c r="R378" i="65" s="1"/>
  <c r="AT405" i="77"/>
  <c r="AU405"/>
  <c r="AU434"/>
  <c r="AT434"/>
  <c r="AT48"/>
  <c r="AU48"/>
  <c r="AU243"/>
  <c r="AT243"/>
  <c r="AQ243"/>
  <c r="AT363"/>
  <c r="AU363"/>
  <c r="AU395"/>
  <c r="AT395"/>
  <c r="AQ395"/>
  <c r="AT448"/>
  <c r="AU448"/>
  <c r="AT28"/>
  <c r="AU28"/>
  <c r="AT88"/>
  <c r="Q88" i="65" s="1"/>
  <c r="AU88" i="77"/>
  <c r="R88" i="65" s="1"/>
  <c r="Q164"/>
  <c r="AU226" i="77"/>
  <c r="R226" i="65" s="1"/>
  <c r="AT226" i="77"/>
  <c r="Q226" i="65" s="1"/>
  <c r="AT252" i="77"/>
  <c r="AU252"/>
  <c r="AQ252"/>
  <c r="AT369"/>
  <c r="Q369" i="65" s="1"/>
  <c r="AU369" i="77"/>
  <c r="R369" i="65" s="1"/>
  <c r="FI259" i="77"/>
  <c r="FJ259" s="1"/>
  <c r="FI240"/>
  <c r="FI230"/>
  <c r="U291" i="71"/>
  <c r="W291"/>
  <c r="V291"/>
  <c r="FI278" i="77"/>
  <c r="FJ278" s="1"/>
  <c r="FI386"/>
  <c r="T395" i="71" s="1"/>
  <c r="FI284" i="77"/>
  <c r="FJ284" s="1"/>
  <c r="T290" i="71"/>
  <c r="FI252" i="77"/>
  <c r="FI87"/>
  <c r="T87" i="71" s="1"/>
  <c r="FI372" i="77"/>
  <c r="FJ372" s="1"/>
  <c r="T102" i="71"/>
  <c r="FI223" i="77"/>
  <c r="FJ223" s="1"/>
  <c r="FI266"/>
  <c r="FJ266" s="1"/>
  <c r="T166" i="71"/>
  <c r="FI270" i="77"/>
  <c r="FJ270" s="1"/>
  <c r="FC292"/>
  <c r="N292" i="71" s="1"/>
  <c r="FF38" i="77"/>
  <c r="FG38"/>
  <c r="FF67"/>
  <c r="FG67"/>
  <c r="FI272"/>
  <c r="FC272"/>
  <c r="FI287"/>
  <c r="FC287"/>
  <c r="FI254"/>
  <c r="FC254"/>
  <c r="N154" i="71"/>
  <c r="R140"/>
  <c r="S140"/>
  <c r="N140"/>
  <c r="FG354" i="77"/>
  <c r="R354" i="71" s="1"/>
  <c r="FC354" i="77"/>
  <c r="N354" i="71" s="1"/>
  <c r="S354"/>
  <c r="FG68" i="77"/>
  <c r="FF68"/>
  <c r="HM288"/>
  <c r="HM70"/>
  <c r="HM238"/>
  <c r="R238" i="73" s="1"/>
  <c r="HM353" i="77"/>
  <c r="CZ263"/>
  <c r="CZ270"/>
  <c r="CZ94"/>
  <c r="CZ90"/>
  <c r="Q90" i="69" s="1"/>
  <c r="CZ280" i="77"/>
  <c r="CZ256"/>
  <c r="IO245"/>
  <c r="BW360"/>
  <c r="Q360" i="68" s="1"/>
  <c r="BX360" i="77"/>
  <c r="R360" i="68" s="1"/>
  <c r="R391"/>
  <c r="S391"/>
  <c r="N391"/>
  <c r="BW29" i="77"/>
  <c r="BX29"/>
  <c r="BX52"/>
  <c r="BW52"/>
  <c r="R102" i="68"/>
  <c r="S102"/>
  <c r="N102"/>
  <c r="HO292" i="77"/>
  <c r="T292" i="73" s="1"/>
  <c r="HP259" i="77"/>
  <c r="HQ259"/>
  <c r="HR259"/>
  <c r="HO206"/>
  <c r="HP206" s="1"/>
  <c r="HO280"/>
  <c r="T280" i="73" s="1"/>
  <c r="HO203" i="77"/>
  <c r="HP203" s="1"/>
  <c r="HO222"/>
  <c r="HP222" s="1"/>
  <c r="HO279"/>
  <c r="HO287"/>
  <c r="HP287" s="1"/>
  <c r="HO89"/>
  <c r="HP89" s="1"/>
  <c r="HO365"/>
  <c r="HP365" s="1"/>
  <c r="HO296"/>
  <c r="T296" i="73" s="1"/>
  <c r="HO295" i="77"/>
  <c r="HQ385"/>
  <c r="V394" i="73" s="1"/>
  <c r="HO252" i="77"/>
  <c r="HP252" s="1"/>
  <c r="HO263"/>
  <c r="T263" i="73" s="1"/>
  <c r="HO202" i="77"/>
  <c r="HP202" s="1"/>
  <c r="Q163" i="73"/>
  <c r="S163"/>
  <c r="N163"/>
  <c r="HL364" i="77"/>
  <c r="Q383" i="73" s="1"/>
  <c r="S383"/>
  <c r="HI364" i="77"/>
  <c r="N383" i="73" s="1"/>
  <c r="R135"/>
  <c r="N135"/>
  <c r="S135"/>
  <c r="DC364" i="77"/>
  <c r="T383" i="69" s="1"/>
  <c r="DC292" i="77"/>
  <c r="T292" i="69" s="1"/>
  <c r="DC89" i="77"/>
  <c r="DC79"/>
  <c r="DD79" s="1"/>
  <c r="T163" i="69"/>
  <c r="DC362" i="77"/>
  <c r="DD362" s="1"/>
  <c r="DC243"/>
  <c r="DD243" s="1"/>
  <c r="T103" i="69"/>
  <c r="DA278" i="77"/>
  <c r="CW278"/>
  <c r="CW277"/>
  <c r="DA277"/>
  <c r="CZ235"/>
  <c r="Q235" i="69" s="1"/>
  <c r="DA235" i="77"/>
  <c r="R235" i="69" s="1"/>
  <c r="DA259" i="77"/>
  <c r="CW259"/>
  <c r="DA276"/>
  <c r="CW276"/>
  <c r="DA385"/>
  <c r="R394" i="69" s="1"/>
  <c r="S394"/>
  <c r="CW385" i="77"/>
  <c r="N394" i="69" s="1"/>
  <c r="CZ429" i="77"/>
  <c r="DA429"/>
  <c r="CZ20"/>
  <c r="DA20"/>
  <c r="CZ273"/>
  <c r="DA273"/>
  <c r="CW273"/>
  <c r="DA296"/>
  <c r="R296" i="69" s="1"/>
  <c r="S296"/>
  <c r="CW296" i="77"/>
  <c r="N296" i="69" s="1"/>
  <c r="DA382" i="77"/>
  <c r="R382" i="69" s="1"/>
  <c r="S382"/>
  <c r="CW382" i="77"/>
  <c r="N382" i="69" s="1"/>
  <c r="CZ66" i="77"/>
  <c r="DA66"/>
  <c r="CZ232"/>
  <c r="Q232" i="69" s="1"/>
  <c r="DA232" i="77"/>
  <c r="R232" i="69" s="1"/>
  <c r="DA272" i="77"/>
  <c r="CW272"/>
  <c r="Q361" i="69"/>
  <c r="R361"/>
  <c r="DA394" i="77"/>
  <c r="CW394"/>
  <c r="CZ438"/>
  <c r="DA438"/>
  <c r="Q146" i="69"/>
  <c r="S146"/>
  <c r="DA202" i="77"/>
  <c r="CW202"/>
  <c r="N202" i="69" s="1"/>
  <c r="T270" i="74"/>
  <c r="IR208" i="77"/>
  <c r="IR295"/>
  <c r="IS295" s="1"/>
  <c r="IR229"/>
  <c r="IS229" s="1"/>
  <c r="IR383"/>
  <c r="IS383" s="1"/>
  <c r="IR365"/>
  <c r="IR78"/>
  <c r="IS78" s="1"/>
  <c r="IR268"/>
  <c r="IR272"/>
  <c r="IS272" s="1"/>
  <c r="IR283"/>
  <c r="IS283" s="1"/>
  <c r="IR230"/>
  <c r="IR384"/>
  <c r="IS384" s="1"/>
  <c r="IR265"/>
  <c r="T265" i="74" s="1"/>
  <c r="IR209" i="77"/>
  <c r="T295" i="74" s="1"/>
  <c r="IR87" i="77"/>
  <c r="T87" i="74" s="1"/>
  <c r="EF395" i="77"/>
  <c r="EG395" s="1"/>
  <c r="EF225"/>
  <c r="T141" i="70"/>
  <c r="T154"/>
  <c r="EF295" i="77"/>
  <c r="T391" i="70"/>
  <c r="EF277" i="77"/>
  <c r="EG277" s="1"/>
  <c r="EF382"/>
  <c r="ED284"/>
  <c r="DZ284"/>
  <c r="EC380"/>
  <c r="Q380" i="70" s="1"/>
  <c r="ED380" i="77"/>
  <c r="R380" i="70" s="1"/>
  <c r="EC358" i="77"/>
  <c r="Q358" i="70" s="1"/>
  <c r="ED358" i="77"/>
  <c r="R358" i="70" s="1"/>
  <c r="EC376" i="77"/>
  <c r="ED376"/>
  <c r="DZ376"/>
  <c r="ED270"/>
  <c r="DZ270"/>
  <c r="EC287"/>
  <c r="DZ287"/>
  <c r="ED287"/>
  <c r="ED280"/>
  <c r="R280" i="70" s="1"/>
  <c r="DZ280" i="77"/>
  <c r="N280" i="70" s="1"/>
  <c r="S280"/>
  <c r="EC368" i="77"/>
  <c r="ED368"/>
  <c r="EC223"/>
  <c r="ED223"/>
  <c r="DZ223"/>
  <c r="ED89"/>
  <c r="R89" i="70" s="1"/>
  <c r="DZ89" i="77"/>
  <c r="Q166" i="70"/>
  <c r="S166"/>
  <c r="N166"/>
  <c r="Q190"/>
  <c r="R190"/>
  <c r="N190"/>
  <c r="S190"/>
  <c r="EC206" i="77"/>
  <c r="DZ206"/>
  <c r="ED283"/>
  <c r="DZ283"/>
  <c r="EC94"/>
  <c r="DZ94"/>
  <c r="N94" i="70" s="1"/>
  <c r="Q165"/>
  <c r="S165"/>
  <c r="N165"/>
  <c r="Q189"/>
  <c r="S189"/>
  <c r="N189"/>
  <c r="EC252" i="77"/>
  <c r="DZ252"/>
  <c r="EC208"/>
  <c r="Q208" i="70" s="1"/>
  <c r="S208"/>
  <c r="DZ208" i="77"/>
  <c r="T287" i="65"/>
  <c r="AW295" i="77"/>
  <c r="AX295" s="1"/>
  <c r="AW280"/>
  <c r="AW265"/>
  <c r="T265" i="65" s="1"/>
  <c r="AW365" i="77"/>
  <c r="AX365" s="1"/>
  <c r="AW230"/>
  <c r="AW394"/>
  <c r="AW354"/>
  <c r="AW292"/>
  <c r="T292" i="65" s="1"/>
  <c r="AW276" i="77"/>
  <c r="AX276" s="1"/>
  <c r="AW283"/>
  <c r="AW279"/>
  <c r="AX279" s="1"/>
  <c r="AW372"/>
  <c r="AX372" s="1"/>
  <c r="Q137" i="65"/>
  <c r="R137"/>
  <c r="Q180"/>
  <c r="R180"/>
  <c r="R210"/>
  <c r="Q210"/>
  <c r="Q291"/>
  <c r="R291"/>
  <c r="S291"/>
  <c r="N291"/>
  <c r="AT402" i="77"/>
  <c r="AU402"/>
  <c r="AT426"/>
  <c r="AU426"/>
  <c r="AT23"/>
  <c r="AU23"/>
  <c r="AT95"/>
  <c r="Q95" i="65" s="1"/>
  <c r="AU95" i="77"/>
  <c r="Q120" i="65"/>
  <c r="S120"/>
  <c r="R120"/>
  <c r="N120"/>
  <c r="R149"/>
  <c r="S149"/>
  <c r="N149"/>
  <c r="R166"/>
  <c r="Q166"/>
  <c r="S166"/>
  <c r="N166"/>
  <c r="AT208" i="77"/>
  <c r="AU208"/>
  <c r="AQ208"/>
  <c r="AT250"/>
  <c r="AQ250"/>
  <c r="AU250"/>
  <c r="AT296"/>
  <c r="Q296" i="65" s="1"/>
  <c r="AU296" i="77"/>
  <c r="R296" i="65" s="1"/>
  <c r="S296"/>
  <c r="AQ296" i="77"/>
  <c r="N296" i="65" s="1"/>
  <c r="AU389" i="77"/>
  <c r="AT389"/>
  <c r="AU425"/>
  <c r="AT425"/>
  <c r="AU289"/>
  <c r="R289" i="65" s="1"/>
  <c r="S289"/>
  <c r="AT289" i="77"/>
  <c r="Q289" i="65" s="1"/>
  <c r="AQ289" i="77"/>
  <c r="N289" i="65" s="1"/>
  <c r="AU34" i="77"/>
  <c r="AT34"/>
  <c r="AU89"/>
  <c r="AT89"/>
  <c r="AQ89"/>
  <c r="Q115" i="65"/>
  <c r="R115"/>
  <c r="S115"/>
  <c r="N115"/>
  <c r="Q165"/>
  <c r="R165"/>
  <c r="S165"/>
  <c r="N165"/>
  <c r="Q189"/>
  <c r="S189"/>
  <c r="R189"/>
  <c r="N189"/>
  <c r="AT359" i="77"/>
  <c r="Q359" i="65" s="1"/>
  <c r="AU359" i="77"/>
  <c r="R359" i="65" s="1"/>
  <c r="AU388" i="77"/>
  <c r="AT388"/>
  <c r="AT84"/>
  <c r="Q84" i="65" s="1"/>
  <c r="AU84" i="77"/>
  <c r="R84" i="65" s="1"/>
  <c r="R142"/>
  <c r="S142"/>
  <c r="Q142"/>
  <c r="N142"/>
  <c r="AT246" i="77"/>
  <c r="Q246" i="65" s="1"/>
  <c r="AU246" i="77"/>
  <c r="R246" i="65" s="1"/>
  <c r="AT362" i="77"/>
  <c r="AU362"/>
  <c r="AQ362"/>
  <c r="AT407"/>
  <c r="AU407"/>
  <c r="AT462"/>
  <c r="AU462"/>
  <c r="T109" i="71"/>
  <c r="T164"/>
  <c r="FI264" i="77"/>
  <c r="T264" i="71" s="1"/>
  <c r="FI296" i="77"/>
  <c r="FI394"/>
  <c r="FJ394" s="1"/>
  <c r="FI203"/>
  <c r="T155" i="71"/>
  <c r="T285"/>
  <c r="FI225" i="77"/>
  <c r="FI385"/>
  <c r="T270" i="71"/>
  <c r="FI384" i="77"/>
  <c r="FJ384" s="1"/>
  <c r="FI208"/>
  <c r="T103" i="71"/>
  <c r="T190"/>
  <c r="FI274" i="77"/>
  <c r="FI285"/>
  <c r="FJ285" s="1"/>
  <c r="FF282"/>
  <c r="Q282" i="71" s="1"/>
  <c r="S282"/>
  <c r="FC282" i="77"/>
  <c r="N282" i="71" s="1"/>
  <c r="FF202" i="77"/>
  <c r="FC202"/>
  <c r="FF70"/>
  <c r="FG70"/>
  <c r="FF275"/>
  <c r="Q275" i="71" s="1"/>
  <c r="FC275" i="77"/>
  <c r="N275" i="71" s="1"/>
  <c r="S275"/>
  <c r="FF209" i="77"/>
  <c r="Q295" i="71" s="1"/>
  <c r="FC209" i="77"/>
  <c r="N295" i="71" s="1"/>
  <c r="S295"/>
  <c r="FF293" i="77"/>
  <c r="Q293" i="71" s="1"/>
  <c r="S293"/>
  <c r="FC293" i="77"/>
  <c r="N293" i="71" s="1"/>
  <c r="FF288" i="77"/>
  <c r="Q288" i="71" s="1"/>
  <c r="FG288" i="77"/>
  <c r="R288" i="71" s="1"/>
  <c r="FC288" i="77"/>
  <c r="N288" i="71" s="1"/>
  <c r="S288"/>
  <c r="FG64" i="77"/>
  <c r="FF64"/>
  <c r="FF92"/>
  <c r="FG92"/>
  <c r="HO383"/>
  <c r="CZ247"/>
  <c r="CZ358"/>
  <c r="Q358" i="69" s="1"/>
  <c r="CZ265" i="77"/>
  <c r="Q265" i="69" s="1"/>
  <c r="Q461"/>
  <c r="CZ449" i="77"/>
  <c r="DA80"/>
  <c r="CZ295"/>
  <c r="CZ253"/>
  <c r="Q253" i="69" s="1"/>
  <c r="ED442" i="77"/>
  <c r="HO275"/>
  <c r="HO223"/>
  <c r="HP223" s="1"/>
  <c r="HO78"/>
  <c r="HP78" s="1"/>
  <c r="HO268"/>
  <c r="HP268" s="1"/>
  <c r="HO272"/>
  <c r="HP272" s="1"/>
  <c r="HM240"/>
  <c r="HI240"/>
  <c r="HL376"/>
  <c r="HI376"/>
  <c r="R139" i="73"/>
  <c r="S139"/>
  <c r="N139"/>
  <c r="HM386" i="77"/>
  <c r="R395" i="73" s="1"/>
  <c r="HI386" i="77"/>
  <c r="N395" i="73" s="1"/>
  <c r="S395"/>
  <c r="HM382" i="77"/>
  <c r="R382" i="73" s="1"/>
  <c r="S382"/>
  <c r="HI382" i="77"/>
  <c r="N382" i="73" s="1"/>
  <c r="Q190"/>
  <c r="N190"/>
  <c r="S190"/>
  <c r="HL24" i="77"/>
  <c r="HM24"/>
  <c r="DC354"/>
  <c r="T176" i="69"/>
  <c r="DC283" i="77"/>
  <c r="DD289"/>
  <c r="U289" i="69" s="1"/>
  <c r="T287"/>
  <c r="CZ353" i="77"/>
  <c r="DA353"/>
  <c r="Q181" i="69"/>
  <c r="R181"/>
  <c r="DA274" i="77"/>
  <c r="CW274"/>
  <c r="DA286"/>
  <c r="CW286"/>
  <c r="DB286"/>
  <c r="DA373"/>
  <c r="CZ373"/>
  <c r="DA267"/>
  <c r="R267" i="69" s="1"/>
  <c r="S267"/>
  <c r="CW267" i="77"/>
  <c r="N267" i="69" s="1"/>
  <c r="CZ269" i="77"/>
  <c r="DA269"/>
  <c r="CW269"/>
  <c r="R291" i="69"/>
  <c r="S291"/>
  <c r="N291"/>
  <c r="CZ368" i="77"/>
  <c r="DA368"/>
  <c r="R154" i="69"/>
  <c r="S154"/>
  <c r="N154"/>
  <c r="CZ222" i="77"/>
  <c r="DA222"/>
  <c r="CW222"/>
  <c r="DA282"/>
  <c r="R282" i="69" s="1"/>
  <c r="S282"/>
  <c r="CW282" i="77"/>
  <c r="N282" i="69" s="1"/>
  <c r="DA268" i="77"/>
  <c r="CW268"/>
  <c r="CZ379"/>
  <c r="Q379" i="69" s="1"/>
  <c r="CW379" i="77"/>
  <c r="N379" i="69" s="1"/>
  <c r="S379"/>
  <c r="DA379" i="77"/>
  <c r="R379" i="69" s="1"/>
  <c r="DA98" i="77"/>
  <c r="CW98"/>
  <c r="R141" i="69"/>
  <c r="S141"/>
  <c r="N141"/>
  <c r="CZ205" i="77"/>
  <c r="DA205"/>
  <c r="Q190" i="69"/>
  <c r="S190"/>
  <c r="N190"/>
  <c r="R190"/>
  <c r="IR262" i="77"/>
  <c r="T262" i="74" s="1"/>
  <c r="IR385" i="77"/>
  <c r="T391" i="74"/>
  <c r="IR223" i="77"/>
  <c r="IS223" s="1"/>
  <c r="IR79"/>
  <c r="IS79" s="1"/>
  <c r="IR270"/>
  <c r="IS270" s="1"/>
  <c r="IR277"/>
  <c r="IS277" s="1"/>
  <c r="IR264"/>
  <c r="IR372"/>
  <c r="IS372" s="1"/>
  <c r="IR280"/>
  <c r="IR292"/>
  <c r="IR240"/>
  <c r="IS240" s="1"/>
  <c r="IR250"/>
  <c r="IS250" s="1"/>
  <c r="IO259"/>
  <c r="IL259"/>
  <c r="EF266"/>
  <c r="EG266" s="1"/>
  <c r="EF288"/>
  <c r="EF272"/>
  <c r="EG272" s="1"/>
  <c r="EF78"/>
  <c r="EG78" s="1"/>
  <c r="EF379"/>
  <c r="EF265"/>
  <c r="ED293"/>
  <c r="R293" i="70" s="1"/>
  <c r="S293"/>
  <c r="DZ293" i="77"/>
  <c r="N293" i="70" s="1"/>
  <c r="ED268" i="77"/>
  <c r="DZ268"/>
  <c r="ED372"/>
  <c r="DZ372"/>
  <c r="ED393"/>
  <c r="R393" i="70" s="1"/>
  <c r="S393"/>
  <c r="DZ393" i="77"/>
  <c r="N393" i="70" s="1"/>
  <c r="Q167"/>
  <c r="N167"/>
  <c r="R167"/>
  <c r="S167"/>
  <c r="ED294" i="77"/>
  <c r="R294" i="70" s="1"/>
  <c r="S294"/>
  <c r="DZ294" i="77"/>
  <c r="N294" i="70" s="1"/>
  <c r="ED267" i="77"/>
  <c r="R267" i="70" s="1"/>
  <c r="S267"/>
  <c r="DZ267" i="77"/>
  <c r="N267" i="70" s="1"/>
  <c r="EC274" i="77"/>
  <c r="DZ274"/>
  <c r="EC385"/>
  <c r="Q394" i="70" s="1"/>
  <c r="DZ385" i="77"/>
  <c r="N394" i="70" s="1"/>
  <c r="S394"/>
  <c r="ED385" i="77"/>
  <c r="R394" i="70" s="1"/>
  <c r="Q270"/>
  <c r="S270"/>
  <c r="N270"/>
  <c r="EC33" i="77"/>
  <c r="ED33"/>
  <c r="R290" i="70"/>
  <c r="S290"/>
  <c r="N290"/>
  <c r="ED222" i="77"/>
  <c r="DZ222"/>
  <c r="EC244"/>
  <c r="ED244"/>
  <c r="EC59"/>
  <c r="ED59"/>
  <c r="EC249"/>
  <c r="ED249"/>
  <c r="Q115" i="70"/>
  <c r="S115"/>
  <c r="N115"/>
  <c r="N144"/>
  <c r="ED203" i="77"/>
  <c r="DZ203"/>
  <c r="EC237"/>
  <c r="ED237"/>
  <c r="AW384"/>
  <c r="AX384" s="1"/>
  <c r="AW272"/>
  <c r="AX272" s="1"/>
  <c r="AW278"/>
  <c r="AW385"/>
  <c r="AW225"/>
  <c r="AW229"/>
  <c r="AX229" s="1"/>
  <c r="AW264"/>
  <c r="T264" i="65" s="1"/>
  <c r="AW294" i="77"/>
  <c r="AU36"/>
  <c r="AT36"/>
  <c r="AU87"/>
  <c r="R87" i="65" s="1"/>
  <c r="S87"/>
  <c r="AT87" i="77"/>
  <c r="Q87" i="65" s="1"/>
  <c r="AQ87" i="77"/>
  <c r="N87" i="65" s="1"/>
  <c r="Q123"/>
  <c r="S123"/>
  <c r="R123"/>
  <c r="N123"/>
  <c r="Q170"/>
  <c r="R170"/>
  <c r="AT204" i="77"/>
  <c r="AU204"/>
  <c r="AT383"/>
  <c r="AQ383"/>
  <c r="AU383"/>
  <c r="AU455"/>
  <c r="AT455"/>
  <c r="AT86"/>
  <c r="Q86" i="65" s="1"/>
  <c r="AU86" i="77"/>
  <c r="R86" i="65" s="1"/>
  <c r="AT203" i="77"/>
  <c r="AU203"/>
  <c r="AQ203"/>
  <c r="AT244"/>
  <c r="Q244" i="65" s="1"/>
  <c r="AU244" i="77"/>
  <c r="R244" i="65" s="1"/>
  <c r="AU290" i="77"/>
  <c r="AT290"/>
  <c r="AQ290"/>
  <c r="AU386"/>
  <c r="R395" i="65" s="1"/>
  <c r="S395"/>
  <c r="AT386" i="77"/>
  <c r="Q395" i="65" s="1"/>
  <c r="AQ386" i="77"/>
  <c r="N395" i="65" s="1"/>
  <c r="AT442" i="77"/>
  <c r="AU442"/>
  <c r="AU22"/>
  <c r="AT22"/>
  <c r="AU85"/>
  <c r="R85" i="65" s="1"/>
  <c r="AT85" i="77"/>
  <c r="Q85" i="65" s="1"/>
  <c r="Q103"/>
  <c r="S103"/>
  <c r="R103"/>
  <c r="N103"/>
  <c r="Q206"/>
  <c r="S206"/>
  <c r="N206"/>
  <c r="R206"/>
  <c r="R182"/>
  <c r="Q182"/>
  <c r="AT207" i="77"/>
  <c r="AU207"/>
  <c r="AQ207"/>
  <c r="AT277"/>
  <c r="AU277"/>
  <c r="AQ277"/>
  <c r="Q381" i="65"/>
  <c r="R381"/>
  <c r="AT437" i="77"/>
  <c r="AU437"/>
  <c r="AT259"/>
  <c r="AQ259"/>
  <c r="AU259"/>
  <c r="AU78"/>
  <c r="R78" i="65" s="1"/>
  <c r="AT78" i="77"/>
  <c r="Q78" i="65" s="1"/>
  <c r="S78"/>
  <c r="AQ78" i="77"/>
  <c r="N78" i="65" s="1"/>
  <c r="R181"/>
  <c r="Q181"/>
  <c r="AU206" i="77"/>
  <c r="AQ206"/>
  <c r="AT206"/>
  <c r="AT234"/>
  <c r="Q234" i="65" s="1"/>
  <c r="AU234" i="77"/>
  <c r="R234" i="65" s="1"/>
  <c r="AT357" i="77"/>
  <c r="AU357"/>
  <c r="AT380"/>
  <c r="Q380" i="65" s="1"/>
  <c r="AU380" i="77"/>
  <c r="R380" i="65" s="1"/>
  <c r="AT444" i="77"/>
  <c r="AU444"/>
  <c r="T135" i="71"/>
  <c r="FI280" i="77"/>
  <c r="T280" i="71" s="1"/>
  <c r="FI376" i="77"/>
  <c r="FJ376" s="1"/>
  <c r="T163" i="71"/>
  <c r="FI78" i="77"/>
  <c r="FJ78" s="1"/>
  <c r="FI277"/>
  <c r="FI269"/>
  <c r="FI222"/>
  <c r="FI279"/>
  <c r="FJ279" s="1"/>
  <c r="FI262"/>
  <c r="T262" i="71" s="1"/>
  <c r="FI290" i="77"/>
  <c r="T176" i="71"/>
  <c r="FI382" i="77"/>
  <c r="T382" i="71" s="1"/>
  <c r="FI263" i="77"/>
  <c r="T263" i="71" s="1"/>
  <c r="FI206" i="77"/>
  <c r="FF253"/>
  <c r="FG253"/>
  <c r="FF66"/>
  <c r="FG66"/>
  <c r="Q287" i="71"/>
  <c r="N287"/>
  <c r="S287"/>
  <c r="FG295" i="77"/>
  <c r="FC295"/>
  <c r="FF267"/>
  <c r="Q267" i="71" s="1"/>
  <c r="S267"/>
  <c r="FC267" i="77"/>
  <c r="N267" i="71" s="1"/>
  <c r="FG276" i="77"/>
  <c r="FC276"/>
  <c r="FF40"/>
  <c r="FG40"/>
  <c r="T391" i="69"/>
  <c r="X249" i="77"/>
  <c r="AA249" s="1"/>
  <c r="GN449"/>
  <c r="GO205"/>
  <c r="X15" i="39"/>
  <c r="X378" i="77"/>
  <c r="Z415" i="39"/>
  <c r="X40" i="77"/>
  <c r="AA40" s="1"/>
  <c r="GP53"/>
  <c r="GS53" s="1"/>
  <c r="GP72"/>
  <c r="GS72" s="1"/>
  <c r="BA47"/>
  <c r="BD47" s="1"/>
  <c r="FM44"/>
  <c r="FP44" s="1"/>
  <c r="V169" i="73"/>
  <c r="X62" i="77"/>
  <c r="X38"/>
  <c r="X44"/>
  <c r="X24"/>
  <c r="X27"/>
  <c r="X60"/>
  <c r="X64"/>
  <c r="X73"/>
  <c r="Z58"/>
  <c r="Z58" i="39" s="1"/>
  <c r="HS50" i="77"/>
  <c r="HV50" s="1"/>
  <c r="X59"/>
  <c r="X23"/>
  <c r="X259"/>
  <c r="AA259" s="1"/>
  <c r="X377"/>
  <c r="AA377" s="1"/>
  <c r="X363"/>
  <c r="HQ242"/>
  <c r="FK380"/>
  <c r="V380" i="71" s="1"/>
  <c r="Z391" i="39"/>
  <c r="Z100"/>
  <c r="Z184"/>
  <c r="Z202" i="77"/>
  <c r="Z202" i="39" s="1"/>
  <c r="Z171"/>
  <c r="Z113"/>
  <c r="Z354" i="77"/>
  <c r="Z354" i="39" s="1"/>
  <c r="Z223" i="77"/>
  <c r="Z223" i="39" s="1"/>
  <c r="Z154"/>
  <c r="Z222" i="77"/>
  <c r="Z222" i="39" s="1"/>
  <c r="Z178"/>
  <c r="Z372" i="77"/>
  <c r="Z372" i="39" s="1"/>
  <c r="Z364" i="77"/>
  <c r="Z364" i="39" s="1"/>
  <c r="Z295" i="77"/>
  <c r="Z264"/>
  <c r="Z79"/>
  <c r="Z79" i="39" s="1"/>
  <c r="Z210"/>
  <c r="X265" i="77"/>
  <c r="AA265" s="1"/>
  <c r="HS370"/>
  <c r="HV370" s="1"/>
  <c r="IV252"/>
  <c r="IY252" s="1"/>
  <c r="CD376"/>
  <c r="CG376" s="1"/>
  <c r="AC289"/>
  <c r="AC289" i="39" s="1"/>
  <c r="AD289" i="77"/>
  <c r="AD289" i="39" s="1"/>
  <c r="AC278" i="77"/>
  <c r="AD278"/>
  <c r="AD225"/>
  <c r="AC187" i="39"/>
  <c r="AD187"/>
  <c r="Z393" i="77"/>
  <c r="Z393" i="39" s="1"/>
  <c r="AC293" i="77"/>
  <c r="AC293" i="39" s="1"/>
  <c r="AD293" i="77"/>
  <c r="AD293" i="39" s="1"/>
  <c r="Z287" i="77"/>
  <c r="AC254"/>
  <c r="AD254"/>
  <c r="Z229"/>
  <c r="Z229" i="39" s="1"/>
  <c r="Z211"/>
  <c r="AC287"/>
  <c r="AD287"/>
  <c r="AD282" i="77"/>
  <c r="AD282" i="39" s="1"/>
  <c r="AC275" i="77"/>
  <c r="AC275" i="39" s="1"/>
  <c r="AD275" i="77"/>
  <c r="AD275" i="39" s="1"/>
  <c r="Z267" i="77"/>
  <c r="Z216" i="39"/>
  <c r="AC167"/>
  <c r="AD167"/>
  <c r="Z395" i="77"/>
  <c r="Z395" i="39" s="1"/>
  <c r="AC288" i="77"/>
  <c r="AC288" i="39" s="1"/>
  <c r="AD288" i="77"/>
  <c r="AD288" i="39" s="1"/>
  <c r="Z266" i="77"/>
  <c r="AC223"/>
  <c r="AD223"/>
  <c r="Z386"/>
  <c r="Z386" i="39" s="1"/>
  <c r="Z362" i="77"/>
  <c r="Z362" i="39" s="1"/>
  <c r="Z262" i="77"/>
  <c r="Z250"/>
  <c r="Z250" i="39" s="1"/>
  <c r="Z221"/>
  <c r="Z207" i="77"/>
  <c r="Z207" i="39" s="1"/>
  <c r="Z164"/>
  <c r="Z382" i="77"/>
  <c r="Z382" i="39" s="1"/>
  <c r="Z379" i="77"/>
  <c r="Z379" i="39" s="1"/>
  <c r="Z277" i="77"/>
  <c r="Z191" i="39"/>
  <c r="Z146"/>
  <c r="Z141"/>
  <c r="Z394" i="77"/>
  <c r="Z394" i="39" s="1"/>
  <c r="Z385" i="77"/>
  <c r="Z385" i="39" s="1"/>
  <c r="Z280" i="77"/>
  <c r="Z134" i="39"/>
  <c r="Z284" i="77"/>
  <c r="Z252"/>
  <c r="Z252" i="39" s="1"/>
  <c r="Z215"/>
  <c r="Z206" i="77"/>
  <c r="Z206" i="39" s="1"/>
  <c r="AA189"/>
  <c r="Z189"/>
  <c r="Z173"/>
  <c r="Z158"/>
  <c r="Z149"/>
  <c r="Z144"/>
  <c r="Z130"/>
  <c r="Z123"/>
  <c r="Z110"/>
  <c r="Z240" i="77"/>
  <c r="Z240" i="39" s="1"/>
  <c r="Z190"/>
  <c r="Z143"/>
  <c r="Z139"/>
  <c r="Z135"/>
  <c r="Z109"/>
  <c r="Z286" i="77"/>
  <c r="EL286"/>
  <c r="Z156" i="72"/>
  <c r="Z105" i="73"/>
  <c r="Z105" i="39"/>
  <c r="Z105" i="70"/>
  <c r="Z383" i="77"/>
  <c r="Z383" i="39" s="1"/>
  <c r="Z120"/>
  <c r="AA103"/>
  <c r="Z103"/>
  <c r="Z290" i="77"/>
  <c r="Z203"/>
  <c r="Z203" i="39" s="1"/>
  <c r="Z155"/>
  <c r="Z122"/>
  <c r="Z101"/>
  <c r="AC295" i="77"/>
  <c r="AD295"/>
  <c r="AC276"/>
  <c r="AD276"/>
  <c r="AC272"/>
  <c r="Z128" i="39"/>
  <c r="Z365" i="77"/>
  <c r="Z365" i="39" s="1"/>
  <c r="Z294" i="77"/>
  <c r="Z279"/>
  <c r="AC270"/>
  <c r="AD270"/>
  <c r="Z268"/>
  <c r="AC230"/>
  <c r="AD230"/>
  <c r="AC285" i="39"/>
  <c r="AD285"/>
  <c r="Z160"/>
  <c r="Z108"/>
  <c r="Z243" i="77"/>
  <c r="Z243" i="39" s="1"/>
  <c r="Z241"/>
  <c r="AC208" i="77"/>
  <c r="AD208"/>
  <c r="Z201" i="39"/>
  <c r="Z198"/>
  <c r="Z195"/>
  <c r="Z176"/>
  <c r="Z166"/>
  <c r="Z165"/>
  <c r="Z153"/>
  <c r="Z142"/>
  <c r="Z119"/>
  <c r="Z116"/>
  <c r="Z115"/>
  <c r="Z102"/>
  <c r="Z89" i="77"/>
  <c r="Z89" i="39" s="1"/>
  <c r="AC372" i="77"/>
  <c r="AD372"/>
  <c r="AC79"/>
  <c r="AD79"/>
  <c r="Z296"/>
  <c r="Z98"/>
  <c r="Z98" i="39" s="1"/>
  <c r="Z87" i="77"/>
  <c r="Z87" i="39" s="1"/>
  <c r="AC78" i="77"/>
  <c r="AD78"/>
  <c r="X401" i="68"/>
  <c r="GL377" i="77"/>
  <c r="BZ377"/>
  <c r="T377" i="68" s="1"/>
  <c r="N104"/>
  <c r="S104"/>
  <c r="HI377" i="77"/>
  <c r="N377" i="73" s="1"/>
  <c r="S377"/>
  <c r="N129" i="68"/>
  <c r="S129"/>
  <c r="BY80" i="77"/>
  <c r="BT80"/>
  <c r="EJ438"/>
  <c r="EM438" s="1"/>
  <c r="HS428"/>
  <c r="HV428" s="1"/>
  <c r="HS404"/>
  <c r="HV404" s="1"/>
  <c r="EJ428"/>
  <c r="EM428" s="1"/>
  <c r="CD406"/>
  <c r="CG406" s="1"/>
  <c r="EJ432"/>
  <c r="EM432" s="1"/>
  <c r="GP400"/>
  <c r="GS400" s="1"/>
  <c r="FL377"/>
  <c r="W377" i="71" s="1"/>
  <c r="FI363" i="77"/>
  <c r="T381" i="71"/>
  <c r="S129"/>
  <c r="N129"/>
  <c r="HP363" i="77"/>
  <c r="HQ363"/>
  <c r="FK377"/>
  <c r="V377" i="71" s="1"/>
  <c r="S104"/>
  <c r="N104"/>
  <c r="GM363" i="77"/>
  <c r="GN363"/>
  <c r="BT363"/>
  <c r="S381" i="73"/>
  <c r="N381"/>
  <c r="S381" i="70"/>
  <c r="N381"/>
  <c r="S377"/>
  <c r="DZ377" i="77"/>
  <c r="N377" i="70" s="1"/>
  <c r="N210" i="65"/>
  <c r="S210"/>
  <c r="AQ97" i="77"/>
  <c r="S104" i="69"/>
  <c r="N104"/>
  <c r="CW363" i="77"/>
  <c r="CW80"/>
  <c r="DB80"/>
  <c r="CW97"/>
  <c r="EF363"/>
  <c r="DZ97"/>
  <c r="S377" i="65"/>
  <c r="AQ377" i="77"/>
  <c r="N377" i="65" s="1"/>
  <c r="N129" i="69"/>
  <c r="IR377" i="77"/>
  <c r="T377" i="74" s="1"/>
  <c r="S214" i="65"/>
  <c r="N214"/>
  <c r="AQ363" i="77"/>
  <c r="S381" i="65"/>
  <c r="N381"/>
  <c r="X426" i="77"/>
  <c r="AA426" s="1"/>
  <c r="X420"/>
  <c r="AA420" s="1"/>
  <c r="X429"/>
  <c r="AA429" s="1"/>
  <c r="FL436"/>
  <c r="HR420"/>
  <c r="X443"/>
  <c r="AA443" s="1"/>
  <c r="BA73"/>
  <c r="BD73" s="1"/>
  <c r="IV55"/>
  <c r="IY55" s="1"/>
  <c r="X423"/>
  <c r="AA423" s="1"/>
  <c r="X355"/>
  <c r="X358"/>
  <c r="X238"/>
  <c r="X232"/>
  <c r="AA232" s="1"/>
  <c r="X39"/>
  <c r="FK48"/>
  <c r="X51" i="39"/>
  <c r="X33" i="77"/>
  <c r="X200"/>
  <c r="X370"/>
  <c r="X246"/>
  <c r="GO449"/>
  <c r="FK449"/>
  <c r="FL449"/>
  <c r="GO434"/>
  <c r="X435"/>
  <c r="AA435" s="1"/>
  <c r="X204"/>
  <c r="AA204" s="1"/>
  <c r="HR242"/>
  <c r="X207" i="39"/>
  <c r="X19"/>
  <c r="X21"/>
  <c r="AA58"/>
  <c r="X434" i="77"/>
  <c r="X357"/>
  <c r="FO404"/>
  <c r="Z404" i="71" s="1"/>
  <c r="IV370" i="77"/>
  <c r="EJ66"/>
  <c r="EM66" s="1"/>
  <c r="IV80"/>
  <c r="IY80" s="1"/>
  <c r="X432"/>
  <c r="AA432" s="1"/>
  <c r="HS427"/>
  <c r="HV427" s="1"/>
  <c r="GP73"/>
  <c r="GS73" s="1"/>
  <c r="X220"/>
  <c r="AA220" s="1"/>
  <c r="Z214" i="39"/>
  <c r="BA80" i="77"/>
  <c r="BD80" s="1"/>
  <c r="X50"/>
  <c r="X380"/>
  <c r="AA380" s="1"/>
  <c r="BA404"/>
  <c r="BD404" s="1"/>
  <c r="CC237"/>
  <c r="FL457"/>
  <c r="V286" i="71"/>
  <c r="FL30" i="77"/>
  <c r="GN232"/>
  <c r="V232" i="72" s="1"/>
  <c r="CB237" i="77"/>
  <c r="W361" i="71"/>
  <c r="V361"/>
  <c r="W286"/>
  <c r="V148" i="72"/>
  <c r="X57" i="77"/>
  <c r="EJ54"/>
  <c r="EM54" s="1"/>
  <c r="CD66"/>
  <c r="CG66" s="1"/>
  <c r="FM97"/>
  <c r="FP97" s="1"/>
  <c r="HS47"/>
  <c r="HV47" s="1"/>
  <c r="X104" i="65"/>
  <c r="DG72" i="77"/>
  <c r="DJ72" s="1"/>
  <c r="FL388"/>
  <c r="V361" i="65"/>
  <c r="AY358" i="77"/>
  <c r="V358" i="65" s="1"/>
  <c r="V137" i="71"/>
  <c r="GO245" i="77"/>
  <c r="HQ422"/>
  <c r="GN245"/>
  <c r="AZ227"/>
  <c r="DE57"/>
  <c r="HR57"/>
  <c r="AY227"/>
  <c r="HR227"/>
  <c r="W227" i="73" s="1"/>
  <c r="EJ80" i="77"/>
  <c r="EM80" s="1"/>
  <c r="FK457"/>
  <c r="GM430"/>
  <c r="AY429"/>
  <c r="HR204"/>
  <c r="DF58"/>
  <c r="FK30"/>
  <c r="W170" i="71"/>
  <c r="HQ204" i="77"/>
  <c r="GO457"/>
  <c r="AZ429"/>
  <c r="W429" i="65" s="1"/>
  <c r="FK423" i="77"/>
  <c r="FL423"/>
  <c r="HR58"/>
  <c r="X245"/>
  <c r="AA245" s="1"/>
  <c r="IV438"/>
  <c r="IY438" s="1"/>
  <c r="HS80"/>
  <c r="HV80" s="1"/>
  <c r="FM45"/>
  <c r="FP45" s="1"/>
  <c r="FM80"/>
  <c r="FP80" s="1"/>
  <c r="X417" i="70"/>
  <c r="GR47" i="77"/>
  <c r="Z47" i="72" s="1"/>
  <c r="EH48" i="77"/>
  <c r="V48" i="70" s="1"/>
  <c r="GP428" i="77"/>
  <c r="GS428" s="1"/>
  <c r="IV400"/>
  <c r="IY400" s="1"/>
  <c r="X14" i="68"/>
  <c r="HS249" i="77"/>
  <c r="HV249" s="1"/>
  <c r="X47"/>
  <c r="AA47" s="1"/>
  <c r="GP66"/>
  <c r="GS66" s="1"/>
  <c r="X97"/>
  <c r="GP80"/>
  <c r="GS80" s="1"/>
  <c r="EI455"/>
  <c r="DG255"/>
  <c r="DJ255" s="1"/>
  <c r="X104" i="39"/>
  <c r="EH455" i="77"/>
  <c r="HS373"/>
  <c r="HV373" s="1"/>
  <c r="GO448"/>
  <c r="IV39"/>
  <c r="IY39" s="1"/>
  <c r="EH245"/>
  <c r="GP49"/>
  <c r="GS49" s="1"/>
  <c r="U400" i="39"/>
  <c r="X400" i="77"/>
  <c r="AA400" s="1"/>
  <c r="U255" i="39"/>
  <c r="X255" i="77"/>
  <c r="AA255" s="1"/>
  <c r="X80"/>
  <c r="EJ45"/>
  <c r="EM45" s="1"/>
  <c r="X68"/>
  <c r="AA68" s="1"/>
  <c r="X45"/>
  <c r="AA45" s="1"/>
  <c r="X405"/>
  <c r="AA405" s="1"/>
  <c r="DE360"/>
  <c r="V360" i="69" s="1"/>
  <c r="HQ420" i="77"/>
  <c r="HQ227"/>
  <c r="V227" i="73" s="1"/>
  <c r="HQ57" i="77"/>
  <c r="DF360"/>
  <c r="W360" i="69" s="1"/>
  <c r="EH57" i="77"/>
  <c r="IV53"/>
  <c r="IY53" s="1"/>
  <c r="HS255"/>
  <c r="HV255" s="1"/>
  <c r="AA431" i="70"/>
  <c r="IS436" i="77"/>
  <c r="HS72"/>
  <c r="HV72" s="1"/>
  <c r="EI200"/>
  <c r="X227"/>
  <c r="FM432"/>
  <c r="FP432" s="1"/>
  <c r="IT457"/>
  <c r="HP430"/>
  <c r="FK436"/>
  <c r="GO430"/>
  <c r="W361" i="65"/>
  <c r="AZ358" i="77"/>
  <c r="W358" i="65" s="1"/>
  <c r="FL48" i="77"/>
  <c r="W48" i="71" s="1"/>
  <c r="GN205" i="77"/>
  <c r="HR449"/>
  <c r="X49"/>
  <c r="AA49" s="1"/>
  <c r="W169" i="73"/>
  <c r="IU457" i="77"/>
  <c r="AY232"/>
  <c r="V232" i="65" s="1"/>
  <c r="EI245" i="77"/>
  <c r="V170" i="71"/>
  <c r="IT389" i="77"/>
  <c r="AZ430"/>
  <c r="V137" i="72"/>
  <c r="HQ58" i="77"/>
  <c r="IU436"/>
  <c r="X82"/>
  <c r="AA82" s="1"/>
  <c r="X368"/>
  <c r="AA368" s="1"/>
  <c r="FK455"/>
  <c r="W137" i="71"/>
  <c r="AY449" i="77"/>
  <c r="V449" i="65" s="1"/>
  <c r="Q252"/>
  <c r="GN380" i="77"/>
  <c r="V380" i="72" s="1"/>
  <c r="W137"/>
  <c r="GO63" i="77"/>
  <c r="GN63"/>
  <c r="AZ449"/>
  <c r="W449" i="65" s="1"/>
  <c r="X242" i="77"/>
  <c r="AA242" s="1"/>
  <c r="FJ430"/>
  <c r="EH200"/>
  <c r="IV367"/>
  <c r="IY367" s="1"/>
  <c r="EI48"/>
  <c r="BA20"/>
  <c r="BD20" s="1"/>
  <c r="EI57"/>
  <c r="W57" i="70" s="1"/>
  <c r="X406" i="77"/>
  <c r="AA406" s="1"/>
  <c r="IU455"/>
  <c r="AZ232"/>
  <c r="FL455"/>
  <c r="DF380"/>
  <c r="W380" i="69" s="1"/>
  <c r="DE380" i="77"/>
  <c r="V380" i="69" s="1"/>
  <c r="AY457" i="77"/>
  <c r="AY430"/>
  <c r="Z174" i="39"/>
  <c r="Z125"/>
  <c r="IT224" i="77"/>
  <c r="Z439"/>
  <c r="Z439" i="39" s="1"/>
  <c r="IT227" i="77"/>
  <c r="V227" i="74" s="1"/>
  <c r="FO249" i="77"/>
  <c r="Z249" i="71" s="1"/>
  <c r="IU449" i="77"/>
  <c r="U411" i="39"/>
  <c r="U427"/>
  <c r="X427" i="77"/>
  <c r="AA427" s="1"/>
  <c r="V14" i="65"/>
  <c r="R14"/>
  <c r="N14"/>
  <c r="J14"/>
  <c r="F14"/>
  <c r="W14"/>
  <c r="S14"/>
  <c r="O14"/>
  <c r="K14"/>
  <c r="G14"/>
  <c r="AB14"/>
  <c r="X14"/>
  <c r="T14"/>
  <c r="P14"/>
  <c r="L14"/>
  <c r="H14"/>
  <c r="D14"/>
  <c r="U14"/>
  <c r="Q14"/>
  <c r="M14"/>
  <c r="I14"/>
  <c r="E14"/>
  <c r="R31"/>
  <c r="N31"/>
  <c r="J31"/>
  <c r="F31"/>
  <c r="S31"/>
  <c r="O31"/>
  <c r="K31"/>
  <c r="G31"/>
  <c r="AB31"/>
  <c r="T31"/>
  <c r="P31"/>
  <c r="L31"/>
  <c r="H31"/>
  <c r="D31"/>
  <c r="Q31"/>
  <c r="M31"/>
  <c r="I31"/>
  <c r="E31"/>
  <c r="V45"/>
  <c r="R45"/>
  <c r="N45"/>
  <c r="J45"/>
  <c r="F45"/>
  <c r="W45"/>
  <c r="S45"/>
  <c r="O45"/>
  <c r="K45"/>
  <c r="G45"/>
  <c r="AB45"/>
  <c r="T45"/>
  <c r="P45"/>
  <c r="L45"/>
  <c r="H45"/>
  <c r="D45"/>
  <c r="U45"/>
  <c r="Q45"/>
  <c r="M45"/>
  <c r="I45"/>
  <c r="E45"/>
  <c r="R58"/>
  <c r="N58"/>
  <c r="J58"/>
  <c r="F58"/>
  <c r="S58"/>
  <c r="O58"/>
  <c r="K58"/>
  <c r="G58"/>
  <c r="AB58"/>
  <c r="P58"/>
  <c r="L58"/>
  <c r="H58"/>
  <c r="D58"/>
  <c r="Q58"/>
  <c r="M58"/>
  <c r="I58"/>
  <c r="E58"/>
  <c r="J78"/>
  <c r="F78"/>
  <c r="K78"/>
  <c r="G78"/>
  <c r="AB78"/>
  <c r="L78"/>
  <c r="H78"/>
  <c r="D78"/>
  <c r="M78"/>
  <c r="I78"/>
  <c r="E78"/>
  <c r="M81"/>
  <c r="I81"/>
  <c r="E81"/>
  <c r="J81"/>
  <c r="F81"/>
  <c r="K81"/>
  <c r="G81"/>
  <c r="AB81"/>
  <c r="L81"/>
  <c r="H81"/>
  <c r="D81"/>
  <c r="M373"/>
  <c r="I373"/>
  <c r="E373"/>
  <c r="J373"/>
  <c r="F373"/>
  <c r="K373"/>
  <c r="G373"/>
  <c r="AB373"/>
  <c r="L373"/>
  <c r="H373"/>
  <c r="D373"/>
  <c r="AB405"/>
  <c r="L405"/>
  <c r="H405"/>
  <c r="D405"/>
  <c r="M405"/>
  <c r="G405"/>
  <c r="I405"/>
  <c r="J405"/>
  <c r="E405"/>
  <c r="K405"/>
  <c r="F405"/>
  <c r="AB423"/>
  <c r="P423"/>
  <c r="L423"/>
  <c r="H423"/>
  <c r="D423"/>
  <c r="R423"/>
  <c r="M423"/>
  <c r="G423"/>
  <c r="S423"/>
  <c r="N423"/>
  <c r="I423"/>
  <c r="O423"/>
  <c r="J423"/>
  <c r="E423"/>
  <c r="Q423"/>
  <c r="K423"/>
  <c r="F423"/>
  <c r="AB449"/>
  <c r="T449"/>
  <c r="P449"/>
  <c r="L449"/>
  <c r="H449"/>
  <c r="D449"/>
  <c r="Q449"/>
  <c r="K449"/>
  <c r="F449"/>
  <c r="R449"/>
  <c r="M449"/>
  <c r="G449"/>
  <c r="S449"/>
  <c r="N449"/>
  <c r="I449"/>
  <c r="U449"/>
  <c r="O449"/>
  <c r="J449"/>
  <c r="E449"/>
  <c r="Q31" i="68"/>
  <c r="M31"/>
  <c r="I31"/>
  <c r="E31"/>
  <c r="AB31"/>
  <c r="L31"/>
  <c r="H31"/>
  <c r="D31"/>
  <c r="J31"/>
  <c r="K31"/>
  <c r="F31"/>
  <c r="G31"/>
  <c r="M49"/>
  <c r="I49"/>
  <c r="E49"/>
  <c r="AB49"/>
  <c r="L49"/>
  <c r="H49"/>
  <c r="D49"/>
  <c r="J49"/>
  <c r="K49"/>
  <c r="F49"/>
  <c r="G49"/>
  <c r="M53"/>
  <c r="I53"/>
  <c r="E53"/>
  <c r="AB53"/>
  <c r="L53"/>
  <c r="H53"/>
  <c r="D53"/>
  <c r="F53"/>
  <c r="G53"/>
  <c r="J53"/>
  <c r="K53"/>
  <c r="M78"/>
  <c r="I78"/>
  <c r="E78"/>
  <c r="AB78"/>
  <c r="L78"/>
  <c r="H78"/>
  <c r="D78"/>
  <c r="J78"/>
  <c r="K78"/>
  <c r="F78"/>
  <c r="G78"/>
  <c r="M118"/>
  <c r="I118"/>
  <c r="E118"/>
  <c r="AB118"/>
  <c r="L118"/>
  <c r="H118"/>
  <c r="D118"/>
  <c r="J118"/>
  <c r="K118"/>
  <c r="F118"/>
  <c r="G118"/>
  <c r="M126"/>
  <c r="I126"/>
  <c r="E126"/>
  <c r="AB126"/>
  <c r="L126"/>
  <c r="H126"/>
  <c r="D126"/>
  <c r="J126"/>
  <c r="K126"/>
  <c r="F126"/>
  <c r="G126"/>
  <c r="Q153"/>
  <c r="M153"/>
  <c r="I153"/>
  <c r="E153"/>
  <c r="AB153"/>
  <c r="L153"/>
  <c r="H153"/>
  <c r="D153"/>
  <c r="F153"/>
  <c r="G153"/>
  <c r="J153"/>
  <c r="K153"/>
  <c r="M202"/>
  <c r="I202"/>
  <c r="E202"/>
  <c r="AB202"/>
  <c r="L202"/>
  <c r="H202"/>
  <c r="D202"/>
  <c r="J202"/>
  <c r="K202"/>
  <c r="F202"/>
  <c r="G202"/>
  <c r="Q240"/>
  <c r="M240"/>
  <c r="I240"/>
  <c r="E240"/>
  <c r="AB240"/>
  <c r="P240"/>
  <c r="L240"/>
  <c r="H240"/>
  <c r="D240"/>
  <c r="N240"/>
  <c r="F240"/>
  <c r="O240"/>
  <c r="G240"/>
  <c r="R240"/>
  <c r="J240"/>
  <c r="S240"/>
  <c r="K240"/>
  <c r="Q256"/>
  <c r="M256"/>
  <c r="I256"/>
  <c r="E256"/>
  <c r="AB256"/>
  <c r="P256"/>
  <c r="L256"/>
  <c r="H256"/>
  <c r="D256"/>
  <c r="N256"/>
  <c r="F256"/>
  <c r="O256"/>
  <c r="G256"/>
  <c r="R256"/>
  <c r="J256"/>
  <c r="S256"/>
  <c r="K256"/>
  <c r="U374"/>
  <c r="Q374"/>
  <c r="M374"/>
  <c r="I374"/>
  <c r="E374"/>
  <c r="AB374"/>
  <c r="T374"/>
  <c r="P374"/>
  <c r="L374"/>
  <c r="H374"/>
  <c r="D374"/>
  <c r="N374"/>
  <c r="F374"/>
  <c r="O374"/>
  <c r="G374"/>
  <c r="R374"/>
  <c r="J374"/>
  <c r="S374"/>
  <c r="K374"/>
  <c r="U406"/>
  <c r="Q406"/>
  <c r="M406"/>
  <c r="I406"/>
  <c r="E406"/>
  <c r="AB406"/>
  <c r="X406"/>
  <c r="T406"/>
  <c r="P406"/>
  <c r="L406"/>
  <c r="H406"/>
  <c r="D406"/>
  <c r="R406"/>
  <c r="J406"/>
  <c r="S406"/>
  <c r="K406"/>
  <c r="V406"/>
  <c r="N406"/>
  <c r="F406"/>
  <c r="W406"/>
  <c r="O406"/>
  <c r="G406"/>
  <c r="Q425"/>
  <c r="M425"/>
  <c r="I425"/>
  <c r="E425"/>
  <c r="J425"/>
  <c r="F425"/>
  <c r="K425"/>
  <c r="G425"/>
  <c r="AB425"/>
  <c r="L425"/>
  <c r="H425"/>
  <c r="D425"/>
  <c r="Q443"/>
  <c r="M443"/>
  <c r="I443"/>
  <c r="E443"/>
  <c r="R443"/>
  <c r="N443"/>
  <c r="J443"/>
  <c r="F443"/>
  <c r="S443"/>
  <c r="O443"/>
  <c r="K443"/>
  <c r="G443"/>
  <c r="AB443"/>
  <c r="P443"/>
  <c r="L443"/>
  <c r="H443"/>
  <c r="D443"/>
  <c r="M11" i="69"/>
  <c r="I11"/>
  <c r="E11"/>
  <c r="J11"/>
  <c r="F11"/>
  <c r="K11"/>
  <c r="G11"/>
  <c r="AB11"/>
  <c r="L11"/>
  <c r="H11"/>
  <c r="D11"/>
  <c r="Q19"/>
  <c r="M19"/>
  <c r="I19"/>
  <c r="E19"/>
  <c r="R19"/>
  <c r="N19"/>
  <c r="J19"/>
  <c r="F19"/>
  <c r="S19"/>
  <c r="O19"/>
  <c r="K19"/>
  <c r="G19"/>
  <c r="AB19"/>
  <c r="P19"/>
  <c r="L19"/>
  <c r="H19"/>
  <c r="D19"/>
  <c r="Q37"/>
  <c r="M37"/>
  <c r="I37"/>
  <c r="E37"/>
  <c r="R37"/>
  <c r="N37"/>
  <c r="J37"/>
  <c r="F37"/>
  <c r="S37"/>
  <c r="O37"/>
  <c r="K37"/>
  <c r="G37"/>
  <c r="AB37"/>
  <c r="P37"/>
  <c r="L37"/>
  <c r="H37"/>
  <c r="D37"/>
  <c r="Q54"/>
  <c r="M54"/>
  <c r="I54"/>
  <c r="E54"/>
  <c r="R54"/>
  <c r="J54"/>
  <c r="F54"/>
  <c r="K54"/>
  <c r="G54"/>
  <c r="AB54"/>
  <c r="L54"/>
  <c r="H54"/>
  <c r="D54"/>
  <c r="M71"/>
  <c r="I71"/>
  <c r="E71"/>
  <c r="J71"/>
  <c r="F71"/>
  <c r="K71"/>
  <c r="G71"/>
  <c r="AB71"/>
  <c r="L71"/>
  <c r="H71"/>
  <c r="D71"/>
  <c r="M128"/>
  <c r="I128"/>
  <c r="E128"/>
  <c r="J128"/>
  <c r="F128"/>
  <c r="K128"/>
  <c r="G128"/>
  <c r="AB128"/>
  <c r="L128"/>
  <c r="H128"/>
  <c r="D128"/>
  <c r="AB207"/>
  <c r="L207"/>
  <c r="H207"/>
  <c r="D207"/>
  <c r="Q207"/>
  <c r="M207"/>
  <c r="I207"/>
  <c r="E207"/>
  <c r="J207"/>
  <c r="F207"/>
  <c r="K207"/>
  <c r="G207"/>
  <c r="AB245"/>
  <c r="L245"/>
  <c r="H245"/>
  <c r="D245"/>
  <c r="Q245"/>
  <c r="M245"/>
  <c r="I245"/>
  <c r="E245"/>
  <c r="J245"/>
  <c r="F245"/>
  <c r="K245"/>
  <c r="G245"/>
  <c r="AB357"/>
  <c r="L357"/>
  <c r="H357"/>
  <c r="D357"/>
  <c r="Q357"/>
  <c r="M357"/>
  <c r="I357"/>
  <c r="E357"/>
  <c r="J357"/>
  <c r="F357"/>
  <c r="K357"/>
  <c r="G357"/>
  <c r="AB412"/>
  <c r="L412"/>
  <c r="H412"/>
  <c r="D412"/>
  <c r="Q412"/>
  <c r="M412"/>
  <c r="I412"/>
  <c r="E412"/>
  <c r="J412"/>
  <c r="F412"/>
  <c r="K412"/>
  <c r="G412"/>
  <c r="AB430"/>
  <c r="L430"/>
  <c r="H430"/>
  <c r="D430"/>
  <c r="M430"/>
  <c r="I430"/>
  <c r="E430"/>
  <c r="J430"/>
  <c r="F430"/>
  <c r="K430"/>
  <c r="G430"/>
  <c r="AB457"/>
  <c r="L457"/>
  <c r="H457"/>
  <c r="D457"/>
  <c r="Q457"/>
  <c r="M457"/>
  <c r="I457"/>
  <c r="E457"/>
  <c r="J457"/>
  <c r="F457"/>
  <c r="K457"/>
  <c r="G457"/>
  <c r="AB24" i="70"/>
  <c r="P24"/>
  <c r="L24"/>
  <c r="H24"/>
  <c r="D24"/>
  <c r="Q24"/>
  <c r="M24"/>
  <c r="I24"/>
  <c r="E24"/>
  <c r="R24"/>
  <c r="N24"/>
  <c r="J24"/>
  <c r="F24"/>
  <c r="S24"/>
  <c r="O24"/>
  <c r="K24"/>
  <c r="G24"/>
  <c r="AB42"/>
  <c r="P42"/>
  <c r="L42"/>
  <c r="H42"/>
  <c r="D42"/>
  <c r="Q42"/>
  <c r="M42"/>
  <c r="I42"/>
  <c r="E42"/>
  <c r="R42"/>
  <c r="N42"/>
  <c r="J42"/>
  <c r="F42"/>
  <c r="S42"/>
  <c r="O42"/>
  <c r="K42"/>
  <c r="G42"/>
  <c r="AB60"/>
  <c r="L60"/>
  <c r="H60"/>
  <c r="D60"/>
  <c r="Q60"/>
  <c r="M60"/>
  <c r="I60"/>
  <c r="E60"/>
  <c r="R60"/>
  <c r="J60"/>
  <c r="F60"/>
  <c r="K60"/>
  <c r="G60"/>
  <c r="AB90"/>
  <c r="L90"/>
  <c r="H90"/>
  <c r="D90"/>
  <c r="Q90"/>
  <c r="M90"/>
  <c r="I90"/>
  <c r="E90"/>
  <c r="R90"/>
  <c r="J90"/>
  <c r="F90"/>
  <c r="K90"/>
  <c r="G90"/>
  <c r="AB204"/>
  <c r="L204"/>
  <c r="H204"/>
  <c r="D204"/>
  <c r="Q204"/>
  <c r="M204"/>
  <c r="I204"/>
  <c r="E204"/>
  <c r="J204"/>
  <c r="F204"/>
  <c r="K204"/>
  <c r="G204"/>
  <c r="J22" i="65"/>
  <c r="F22"/>
  <c r="K22"/>
  <c r="G22"/>
  <c r="AB22"/>
  <c r="L22"/>
  <c r="H22"/>
  <c r="D22"/>
  <c r="M22"/>
  <c r="I22"/>
  <c r="E22"/>
  <c r="R40"/>
  <c r="N40"/>
  <c r="J40"/>
  <c r="F40"/>
  <c r="S40"/>
  <c r="O40"/>
  <c r="K40"/>
  <c r="G40"/>
  <c r="AB40"/>
  <c r="T40"/>
  <c r="P40"/>
  <c r="L40"/>
  <c r="H40"/>
  <c r="D40"/>
  <c r="Q40"/>
  <c r="M40"/>
  <c r="I40"/>
  <c r="E40"/>
  <c r="J62"/>
  <c r="F62"/>
  <c r="K62"/>
  <c r="G62"/>
  <c r="AB62"/>
  <c r="L62"/>
  <c r="H62"/>
  <c r="D62"/>
  <c r="M62"/>
  <c r="I62"/>
  <c r="E62"/>
  <c r="M95"/>
  <c r="I95"/>
  <c r="E95"/>
  <c r="R95"/>
  <c r="J95"/>
  <c r="F95"/>
  <c r="K95"/>
  <c r="G95"/>
  <c r="AB95"/>
  <c r="L95"/>
  <c r="H95"/>
  <c r="D95"/>
  <c r="Q353"/>
  <c r="M353"/>
  <c r="I353"/>
  <c r="E353"/>
  <c r="R353"/>
  <c r="N353"/>
  <c r="J353"/>
  <c r="F353"/>
  <c r="S353"/>
  <c r="O353"/>
  <c r="K353"/>
  <c r="G353"/>
  <c r="AB353"/>
  <c r="P353"/>
  <c r="L353"/>
  <c r="H353"/>
  <c r="D353"/>
  <c r="M385"/>
  <c r="I385"/>
  <c r="E385"/>
  <c r="J385"/>
  <c r="F385"/>
  <c r="K385"/>
  <c r="G385"/>
  <c r="AB385"/>
  <c r="L385"/>
  <c r="H385"/>
  <c r="D385"/>
  <c r="AB414"/>
  <c r="X414"/>
  <c r="T414"/>
  <c r="P414"/>
  <c r="L414"/>
  <c r="H414"/>
  <c r="D414"/>
  <c r="U414"/>
  <c r="O414"/>
  <c r="J414"/>
  <c r="E414"/>
  <c r="V414"/>
  <c r="Q414"/>
  <c r="K414"/>
  <c r="F414"/>
  <c r="W414"/>
  <c r="R414"/>
  <c r="M414"/>
  <c r="G414"/>
  <c r="S414"/>
  <c r="N414"/>
  <c r="I414"/>
  <c r="AB428"/>
  <c r="T428"/>
  <c r="P428"/>
  <c r="L428"/>
  <c r="H428"/>
  <c r="D428"/>
  <c r="V428"/>
  <c r="Q428"/>
  <c r="K428"/>
  <c r="F428"/>
  <c r="W428"/>
  <c r="R428"/>
  <c r="M428"/>
  <c r="G428"/>
  <c r="S428"/>
  <c r="N428"/>
  <c r="I428"/>
  <c r="U428"/>
  <c r="O428"/>
  <c r="J428"/>
  <c r="E428"/>
  <c r="AB432"/>
  <c r="X432"/>
  <c r="T432"/>
  <c r="P432"/>
  <c r="L432"/>
  <c r="H432"/>
  <c r="D432"/>
  <c r="U432"/>
  <c r="O432"/>
  <c r="J432"/>
  <c r="E432"/>
  <c r="V432"/>
  <c r="Q432"/>
  <c r="K432"/>
  <c r="F432"/>
  <c r="W432"/>
  <c r="R432"/>
  <c r="M432"/>
  <c r="G432"/>
  <c r="S432"/>
  <c r="N432"/>
  <c r="I432"/>
  <c r="AB18" i="68"/>
  <c r="X18"/>
  <c r="T18"/>
  <c r="P18"/>
  <c r="L18"/>
  <c r="H18"/>
  <c r="D18"/>
  <c r="W18"/>
  <c r="R18"/>
  <c r="M18"/>
  <c r="G18"/>
  <c r="S18"/>
  <c r="N18"/>
  <c r="I18"/>
  <c r="U18"/>
  <c r="O18"/>
  <c r="J18"/>
  <c r="E18"/>
  <c r="V18"/>
  <c r="Q18"/>
  <c r="K18"/>
  <c r="F18"/>
  <c r="U27"/>
  <c r="Q27"/>
  <c r="M27"/>
  <c r="I27"/>
  <c r="E27"/>
  <c r="AB27"/>
  <c r="T27"/>
  <c r="P27"/>
  <c r="L27"/>
  <c r="H27"/>
  <c r="D27"/>
  <c r="V27"/>
  <c r="N27"/>
  <c r="F27"/>
  <c r="W27"/>
  <c r="O27"/>
  <c r="G27"/>
  <c r="R27"/>
  <c r="J27"/>
  <c r="S27"/>
  <c r="K27"/>
  <c r="M45"/>
  <c r="I45"/>
  <c r="E45"/>
  <c r="AB45"/>
  <c r="L45"/>
  <c r="H45"/>
  <c r="D45"/>
  <c r="F45"/>
  <c r="G45"/>
  <c r="J45"/>
  <c r="K45"/>
  <c r="Q58"/>
  <c r="M58"/>
  <c r="I58"/>
  <c r="E58"/>
  <c r="AB58"/>
  <c r="P58"/>
  <c r="L58"/>
  <c r="H58"/>
  <c r="D58"/>
  <c r="R58"/>
  <c r="J58"/>
  <c r="S58"/>
  <c r="K58"/>
  <c r="N58"/>
  <c r="F58"/>
  <c r="O58"/>
  <c r="G58"/>
  <c r="Q82"/>
  <c r="M82"/>
  <c r="I82"/>
  <c r="E82"/>
  <c r="AB82"/>
  <c r="L82"/>
  <c r="H82"/>
  <c r="D82"/>
  <c r="F82"/>
  <c r="G82"/>
  <c r="J82"/>
  <c r="K82"/>
  <c r="Q144"/>
  <c r="M144"/>
  <c r="I144"/>
  <c r="E144"/>
  <c r="AB144"/>
  <c r="L144"/>
  <c r="H144"/>
  <c r="D144"/>
  <c r="F144"/>
  <c r="G144"/>
  <c r="J144"/>
  <c r="K144"/>
  <c r="Q198"/>
  <c r="M198"/>
  <c r="I198"/>
  <c r="E198"/>
  <c r="AB198"/>
  <c r="L198"/>
  <c r="H198"/>
  <c r="D198"/>
  <c r="N198"/>
  <c r="F198"/>
  <c r="G198"/>
  <c r="J198"/>
  <c r="S198"/>
  <c r="K198"/>
  <c r="Q215"/>
  <c r="M215"/>
  <c r="I215"/>
  <c r="E215"/>
  <c r="AB215"/>
  <c r="L215"/>
  <c r="H215"/>
  <c r="D215"/>
  <c r="F215"/>
  <c r="G215"/>
  <c r="J215"/>
  <c r="K215"/>
  <c r="M248"/>
  <c r="I248"/>
  <c r="E248"/>
  <c r="AB248"/>
  <c r="L248"/>
  <c r="H248"/>
  <c r="D248"/>
  <c r="F248"/>
  <c r="G248"/>
  <c r="J248"/>
  <c r="K248"/>
  <c r="U368"/>
  <c r="Q368"/>
  <c r="M368"/>
  <c r="I368"/>
  <c r="E368"/>
  <c r="AB368"/>
  <c r="X368"/>
  <c r="T368"/>
  <c r="P368"/>
  <c r="L368"/>
  <c r="H368"/>
  <c r="D368"/>
  <c r="R368"/>
  <c r="J368"/>
  <c r="S368"/>
  <c r="K368"/>
  <c r="V368"/>
  <c r="N368"/>
  <c r="F368"/>
  <c r="W368"/>
  <c r="O368"/>
  <c r="G368"/>
  <c r="M411"/>
  <c r="I411"/>
  <c r="E411"/>
  <c r="AB411"/>
  <c r="L411"/>
  <c r="H411"/>
  <c r="D411"/>
  <c r="F411"/>
  <c r="G411"/>
  <c r="J411"/>
  <c r="K411"/>
  <c r="M429"/>
  <c r="I429"/>
  <c r="E429"/>
  <c r="J429"/>
  <c r="F429"/>
  <c r="K429"/>
  <c r="G429"/>
  <c r="AB429"/>
  <c r="L429"/>
  <c r="H429"/>
  <c r="D429"/>
  <c r="M455"/>
  <c r="I455"/>
  <c r="E455"/>
  <c r="J455"/>
  <c r="F455"/>
  <c r="K455"/>
  <c r="G455"/>
  <c r="AB455"/>
  <c r="L455"/>
  <c r="H455"/>
  <c r="D455"/>
  <c r="Q28" i="69"/>
  <c r="M28"/>
  <c r="I28"/>
  <c r="E28"/>
  <c r="J28"/>
  <c r="F28"/>
  <c r="K28"/>
  <c r="G28"/>
  <c r="AB28"/>
  <c r="L28"/>
  <c r="H28"/>
  <c r="D28"/>
  <c r="M46"/>
  <c r="I46"/>
  <c r="E46"/>
  <c r="R46"/>
  <c r="J46"/>
  <c r="F46"/>
  <c r="K46"/>
  <c r="G46"/>
  <c r="AB46"/>
  <c r="L46"/>
  <c r="H46"/>
  <c r="D46"/>
  <c r="Q59"/>
  <c r="M59"/>
  <c r="I59"/>
  <c r="E59"/>
  <c r="R59"/>
  <c r="N59"/>
  <c r="J59"/>
  <c r="F59"/>
  <c r="S59"/>
  <c r="O59"/>
  <c r="K59"/>
  <c r="G59"/>
  <c r="AB59"/>
  <c r="P59"/>
  <c r="L59"/>
  <c r="H59"/>
  <c r="D59"/>
  <c r="Q79"/>
  <c r="M79"/>
  <c r="I79"/>
  <c r="E79"/>
  <c r="J79"/>
  <c r="F79"/>
  <c r="K79"/>
  <c r="G79"/>
  <c r="AB79"/>
  <c r="L79"/>
  <c r="H79"/>
  <c r="D79"/>
  <c r="Q119"/>
  <c r="M119"/>
  <c r="I119"/>
  <c r="E119"/>
  <c r="J119"/>
  <c r="F119"/>
  <c r="K119"/>
  <c r="G119"/>
  <c r="AB119"/>
  <c r="L119"/>
  <c r="H119"/>
  <c r="D119"/>
  <c r="Q149"/>
  <c r="M149"/>
  <c r="I149"/>
  <c r="E149"/>
  <c r="R149"/>
  <c r="N149"/>
  <c r="J149"/>
  <c r="F149"/>
  <c r="K149"/>
  <c r="G149"/>
  <c r="AB149"/>
  <c r="L149"/>
  <c r="H149"/>
  <c r="D149"/>
  <c r="K195"/>
  <c r="G195"/>
  <c r="M195"/>
  <c r="H195"/>
  <c r="I195"/>
  <c r="D195"/>
  <c r="J195"/>
  <c r="E195"/>
  <c r="AB195"/>
  <c r="Q195"/>
  <c r="L195"/>
  <c r="F195"/>
  <c r="AB211"/>
  <c r="P211"/>
  <c r="L211"/>
  <c r="H211"/>
  <c r="D211"/>
  <c r="Q211"/>
  <c r="M211"/>
  <c r="I211"/>
  <c r="E211"/>
  <c r="R211"/>
  <c r="N211"/>
  <c r="J211"/>
  <c r="F211"/>
  <c r="S211"/>
  <c r="O211"/>
  <c r="K211"/>
  <c r="G211"/>
  <c r="AB220"/>
  <c r="L220"/>
  <c r="H220"/>
  <c r="D220"/>
  <c r="Q220"/>
  <c r="M220"/>
  <c r="I220"/>
  <c r="E220"/>
  <c r="J220"/>
  <c r="F220"/>
  <c r="K220"/>
  <c r="G220"/>
  <c r="AB253"/>
  <c r="L253"/>
  <c r="H253"/>
  <c r="D253"/>
  <c r="M253"/>
  <c r="I253"/>
  <c r="E253"/>
  <c r="J253"/>
  <c r="F253"/>
  <c r="K253"/>
  <c r="G253"/>
  <c r="AB364"/>
  <c r="L364"/>
  <c r="H364"/>
  <c r="D364"/>
  <c r="Q364"/>
  <c r="M364"/>
  <c r="I364"/>
  <c r="E364"/>
  <c r="J364"/>
  <c r="F364"/>
  <c r="K364"/>
  <c r="G364"/>
  <c r="AB376"/>
  <c r="L376"/>
  <c r="H376"/>
  <c r="D376"/>
  <c r="Q376"/>
  <c r="M376"/>
  <c r="I376"/>
  <c r="E376"/>
  <c r="R376"/>
  <c r="J376"/>
  <c r="F376"/>
  <c r="K376"/>
  <c r="G376"/>
  <c r="AB407"/>
  <c r="L407"/>
  <c r="H407"/>
  <c r="D407"/>
  <c r="Q407"/>
  <c r="M407"/>
  <c r="I407"/>
  <c r="E407"/>
  <c r="R407"/>
  <c r="J407"/>
  <c r="F407"/>
  <c r="K407"/>
  <c r="G407"/>
  <c r="AB426"/>
  <c r="L426"/>
  <c r="H426"/>
  <c r="D426"/>
  <c r="Q426"/>
  <c r="M426"/>
  <c r="I426"/>
  <c r="E426"/>
  <c r="J426"/>
  <c r="F426"/>
  <c r="K426"/>
  <c r="G426"/>
  <c r="AB435"/>
  <c r="L435"/>
  <c r="H435"/>
  <c r="D435"/>
  <c r="Q435"/>
  <c r="M435"/>
  <c r="I435"/>
  <c r="E435"/>
  <c r="J435"/>
  <c r="F435"/>
  <c r="K435"/>
  <c r="G435"/>
  <c r="AB12" i="70"/>
  <c r="L12"/>
  <c r="H12"/>
  <c r="D12"/>
  <c r="Q12"/>
  <c r="M12"/>
  <c r="I12"/>
  <c r="E12"/>
  <c r="J12"/>
  <c r="F12"/>
  <c r="K12"/>
  <c r="G12"/>
  <c r="AB29"/>
  <c r="L29"/>
  <c r="H29"/>
  <c r="D29"/>
  <c r="Q29"/>
  <c r="M29"/>
  <c r="I29"/>
  <c r="E29"/>
  <c r="R29"/>
  <c r="J29"/>
  <c r="F29"/>
  <c r="K29"/>
  <c r="G29"/>
  <c r="AB51"/>
  <c r="X51"/>
  <c r="T51"/>
  <c r="P51"/>
  <c r="L51"/>
  <c r="H51"/>
  <c r="D51"/>
  <c r="U51"/>
  <c r="Q51"/>
  <c r="M51"/>
  <c r="I51"/>
  <c r="E51"/>
  <c r="V51"/>
  <c r="R51"/>
  <c r="N51"/>
  <c r="J51"/>
  <c r="F51"/>
  <c r="W51"/>
  <c r="S51"/>
  <c r="O51"/>
  <c r="K51"/>
  <c r="G51"/>
  <c r="AB72"/>
  <c r="X72"/>
  <c r="T72"/>
  <c r="P72"/>
  <c r="L72"/>
  <c r="H72"/>
  <c r="D72"/>
  <c r="U72"/>
  <c r="Q72"/>
  <c r="M72"/>
  <c r="I72"/>
  <c r="E72"/>
  <c r="V72"/>
  <c r="R72"/>
  <c r="N72"/>
  <c r="J72"/>
  <c r="F72"/>
  <c r="W72"/>
  <c r="S72"/>
  <c r="O72"/>
  <c r="K72"/>
  <c r="G72"/>
  <c r="AB208"/>
  <c r="L208"/>
  <c r="H208"/>
  <c r="D208"/>
  <c r="M208"/>
  <c r="I208"/>
  <c r="E208"/>
  <c r="R208"/>
  <c r="N208"/>
  <c r="J208"/>
  <c r="F208"/>
  <c r="K208"/>
  <c r="G208"/>
  <c r="J27" i="65"/>
  <c r="F27"/>
  <c r="K27"/>
  <c r="G27"/>
  <c r="AB27"/>
  <c r="L27"/>
  <c r="H27"/>
  <c r="D27"/>
  <c r="Q27"/>
  <c r="M27"/>
  <c r="I27"/>
  <c r="E27"/>
  <c r="V49"/>
  <c r="R49"/>
  <c r="N49"/>
  <c r="J49"/>
  <c r="F49"/>
  <c r="W49"/>
  <c r="S49"/>
  <c r="O49"/>
  <c r="K49"/>
  <c r="G49"/>
  <c r="AB49"/>
  <c r="X49"/>
  <c r="T49"/>
  <c r="P49"/>
  <c r="L49"/>
  <c r="H49"/>
  <c r="D49"/>
  <c r="U49"/>
  <c r="Q49"/>
  <c r="M49"/>
  <c r="I49"/>
  <c r="E49"/>
  <c r="R70"/>
  <c r="N70"/>
  <c r="J70"/>
  <c r="F70"/>
  <c r="S70"/>
  <c r="O70"/>
  <c r="K70"/>
  <c r="G70"/>
  <c r="AB70"/>
  <c r="P70"/>
  <c r="L70"/>
  <c r="H70"/>
  <c r="D70"/>
  <c r="Q70"/>
  <c r="M70"/>
  <c r="I70"/>
  <c r="E70"/>
  <c r="U367"/>
  <c r="Q367"/>
  <c r="M367"/>
  <c r="I367"/>
  <c r="E367"/>
  <c r="V367"/>
  <c r="R367"/>
  <c r="N367"/>
  <c r="J367"/>
  <c r="F367"/>
  <c r="W367"/>
  <c r="S367"/>
  <c r="O367"/>
  <c r="K367"/>
  <c r="G367"/>
  <c r="AB367"/>
  <c r="T367"/>
  <c r="P367"/>
  <c r="L367"/>
  <c r="H367"/>
  <c r="D367"/>
  <c r="AB409"/>
  <c r="P409"/>
  <c r="L409"/>
  <c r="H409"/>
  <c r="D409"/>
  <c r="Q409"/>
  <c r="K409"/>
  <c r="F409"/>
  <c r="R409"/>
  <c r="M409"/>
  <c r="G409"/>
  <c r="S409"/>
  <c r="N409"/>
  <c r="I409"/>
  <c r="O409"/>
  <c r="J409"/>
  <c r="E409"/>
  <c r="AB437"/>
  <c r="L437"/>
  <c r="H437"/>
  <c r="D437"/>
  <c r="I437"/>
  <c r="J437"/>
  <c r="E437"/>
  <c r="K437"/>
  <c r="F437"/>
  <c r="M437"/>
  <c r="G437"/>
  <c r="AB14" i="68"/>
  <c r="T14"/>
  <c r="P14"/>
  <c r="L14"/>
  <c r="H14"/>
  <c r="D14"/>
  <c r="S14"/>
  <c r="N14"/>
  <c r="I14"/>
  <c r="U14"/>
  <c r="O14"/>
  <c r="J14"/>
  <c r="E14"/>
  <c r="V14"/>
  <c r="Q14"/>
  <c r="K14"/>
  <c r="F14"/>
  <c r="W14"/>
  <c r="R14"/>
  <c r="M14"/>
  <c r="G14"/>
  <c r="Q36"/>
  <c r="M36"/>
  <c r="I36"/>
  <c r="E36"/>
  <c r="AB36"/>
  <c r="P36"/>
  <c r="L36"/>
  <c r="H36"/>
  <c r="D36"/>
  <c r="N36"/>
  <c r="F36"/>
  <c r="O36"/>
  <c r="G36"/>
  <c r="R36"/>
  <c r="J36"/>
  <c r="S36"/>
  <c r="K36"/>
  <c r="U66"/>
  <c r="Q66"/>
  <c r="M66"/>
  <c r="I66"/>
  <c r="E66"/>
  <c r="AB66"/>
  <c r="X66"/>
  <c r="T66"/>
  <c r="P66"/>
  <c r="L66"/>
  <c r="H66"/>
  <c r="D66"/>
  <c r="R66"/>
  <c r="J66"/>
  <c r="S66"/>
  <c r="K66"/>
  <c r="V66"/>
  <c r="N66"/>
  <c r="F66"/>
  <c r="W66"/>
  <c r="O66"/>
  <c r="G66"/>
  <c r="M92"/>
  <c r="I92"/>
  <c r="E92"/>
  <c r="AB92"/>
  <c r="L92"/>
  <c r="H92"/>
  <c r="D92"/>
  <c r="J92"/>
  <c r="K92"/>
  <c r="F92"/>
  <c r="G92"/>
  <c r="Q148"/>
  <c r="M148"/>
  <c r="I148"/>
  <c r="E148"/>
  <c r="AB148"/>
  <c r="L148"/>
  <c r="H148"/>
  <c r="D148"/>
  <c r="J148"/>
  <c r="K148"/>
  <c r="F148"/>
  <c r="G148"/>
  <c r="Q210"/>
  <c r="M210"/>
  <c r="I210"/>
  <c r="E210"/>
  <c r="AB210"/>
  <c r="L210"/>
  <c r="H210"/>
  <c r="D210"/>
  <c r="J210"/>
  <c r="K210"/>
  <c r="F210"/>
  <c r="G210"/>
  <c r="Q244"/>
  <c r="M244"/>
  <c r="I244"/>
  <c r="E244"/>
  <c r="AB244"/>
  <c r="L244"/>
  <c r="H244"/>
  <c r="D244"/>
  <c r="J244"/>
  <c r="K244"/>
  <c r="F244"/>
  <c r="G244"/>
  <c r="Q355"/>
  <c r="M355"/>
  <c r="I355"/>
  <c r="E355"/>
  <c r="AB355"/>
  <c r="L355"/>
  <c r="H355"/>
  <c r="D355"/>
  <c r="J355"/>
  <c r="K355"/>
  <c r="F355"/>
  <c r="G355"/>
  <c r="Q386"/>
  <c r="M386"/>
  <c r="I386"/>
  <c r="E386"/>
  <c r="AB386"/>
  <c r="P386"/>
  <c r="L386"/>
  <c r="H386"/>
  <c r="D386"/>
  <c r="R386"/>
  <c r="J386"/>
  <c r="S386"/>
  <c r="K386"/>
  <c r="N386"/>
  <c r="F386"/>
  <c r="O386"/>
  <c r="G386"/>
  <c r="M415"/>
  <c r="I415"/>
  <c r="E415"/>
  <c r="AB415"/>
  <c r="L415"/>
  <c r="H415"/>
  <c r="D415"/>
  <c r="J415"/>
  <c r="K415"/>
  <c r="F415"/>
  <c r="G415"/>
  <c r="Q438"/>
  <c r="M438"/>
  <c r="I438"/>
  <c r="E438"/>
  <c r="J438"/>
  <c r="F438"/>
  <c r="K438"/>
  <c r="G438"/>
  <c r="AB438"/>
  <c r="L438"/>
  <c r="H438"/>
  <c r="D438"/>
  <c r="Q23" i="69"/>
  <c r="M23"/>
  <c r="I23"/>
  <c r="E23"/>
  <c r="J23"/>
  <c r="F23"/>
  <c r="K23"/>
  <c r="G23"/>
  <c r="AB23"/>
  <c r="L23"/>
  <c r="H23"/>
  <c r="D23"/>
  <c r="U41"/>
  <c r="Q41"/>
  <c r="M41"/>
  <c r="I41"/>
  <c r="E41"/>
  <c r="V41"/>
  <c r="R41"/>
  <c r="N41"/>
  <c r="J41"/>
  <c r="F41"/>
  <c r="W41"/>
  <c r="S41"/>
  <c r="O41"/>
  <c r="K41"/>
  <c r="G41"/>
  <c r="AB41"/>
  <c r="X41"/>
  <c r="T41"/>
  <c r="P41"/>
  <c r="L41"/>
  <c r="H41"/>
  <c r="D41"/>
  <c r="Q67"/>
  <c r="M67"/>
  <c r="I67"/>
  <c r="E67"/>
  <c r="R67"/>
  <c r="N67"/>
  <c r="J67"/>
  <c r="F67"/>
  <c r="S67"/>
  <c r="O67"/>
  <c r="K67"/>
  <c r="G67"/>
  <c r="AB67"/>
  <c r="P67"/>
  <c r="L67"/>
  <c r="H67"/>
  <c r="D67"/>
  <c r="Q93"/>
  <c r="M93"/>
  <c r="I93"/>
  <c r="E93"/>
  <c r="R93"/>
  <c r="N93"/>
  <c r="J93"/>
  <c r="F93"/>
  <c r="S93"/>
  <c r="O93"/>
  <c r="K93"/>
  <c r="G93"/>
  <c r="AB93"/>
  <c r="P93"/>
  <c r="L93"/>
  <c r="H93"/>
  <c r="D93"/>
  <c r="Q123"/>
  <c r="M123"/>
  <c r="I123"/>
  <c r="E123"/>
  <c r="J123"/>
  <c r="F123"/>
  <c r="K123"/>
  <c r="G123"/>
  <c r="AB123"/>
  <c r="L123"/>
  <c r="H123"/>
  <c r="D123"/>
  <c r="M191"/>
  <c r="I191"/>
  <c r="E191"/>
  <c r="J191"/>
  <c r="F191"/>
  <c r="K191"/>
  <c r="G191"/>
  <c r="AB191"/>
  <c r="L191"/>
  <c r="H191"/>
  <c r="D191"/>
  <c r="AB203"/>
  <c r="P203"/>
  <c r="L203"/>
  <c r="H203"/>
  <c r="D203"/>
  <c r="Q203"/>
  <c r="M203"/>
  <c r="I203"/>
  <c r="E203"/>
  <c r="R203"/>
  <c r="N203"/>
  <c r="J203"/>
  <c r="F203"/>
  <c r="S203"/>
  <c r="O203"/>
  <c r="K203"/>
  <c r="G203"/>
  <c r="AB216"/>
  <c r="L216"/>
  <c r="H216"/>
  <c r="D216"/>
  <c r="Q216"/>
  <c r="M216"/>
  <c r="I216"/>
  <c r="E216"/>
  <c r="J216"/>
  <c r="F216"/>
  <c r="K216"/>
  <c r="G216"/>
  <c r="AB249"/>
  <c r="L249"/>
  <c r="H249"/>
  <c r="D249"/>
  <c r="Q249"/>
  <c r="M249"/>
  <c r="I249"/>
  <c r="E249"/>
  <c r="J249"/>
  <c r="F249"/>
  <c r="K249"/>
  <c r="G249"/>
  <c r="AB371"/>
  <c r="L371"/>
  <c r="H371"/>
  <c r="D371"/>
  <c r="Q371"/>
  <c r="M371"/>
  <c r="I371"/>
  <c r="E371"/>
  <c r="J371"/>
  <c r="F371"/>
  <c r="K371"/>
  <c r="G371"/>
  <c r="AB416"/>
  <c r="L416"/>
  <c r="H416"/>
  <c r="D416"/>
  <c r="Q416"/>
  <c r="M416"/>
  <c r="I416"/>
  <c r="E416"/>
  <c r="R416"/>
  <c r="J416"/>
  <c r="F416"/>
  <c r="K416"/>
  <c r="G416"/>
  <c r="AB439"/>
  <c r="L439"/>
  <c r="H439"/>
  <c r="D439"/>
  <c r="Q439"/>
  <c r="M439"/>
  <c r="I439"/>
  <c r="E439"/>
  <c r="R439"/>
  <c r="J439"/>
  <c r="F439"/>
  <c r="K439"/>
  <c r="G439"/>
  <c r="AB16" i="70"/>
  <c r="L16"/>
  <c r="H16"/>
  <c r="D16"/>
  <c r="Q16"/>
  <c r="M16"/>
  <c r="I16"/>
  <c r="E16"/>
  <c r="J16"/>
  <c r="F16"/>
  <c r="K16"/>
  <c r="G16"/>
  <c r="AB38"/>
  <c r="P38"/>
  <c r="L38"/>
  <c r="H38"/>
  <c r="D38"/>
  <c r="Q38"/>
  <c r="M38"/>
  <c r="I38"/>
  <c r="E38"/>
  <c r="R38"/>
  <c r="N38"/>
  <c r="J38"/>
  <c r="F38"/>
  <c r="S38"/>
  <c r="O38"/>
  <c r="K38"/>
  <c r="G38"/>
  <c r="AB55"/>
  <c r="T55"/>
  <c r="P55"/>
  <c r="L55"/>
  <c r="H55"/>
  <c r="D55"/>
  <c r="U55"/>
  <c r="Q55"/>
  <c r="M55"/>
  <c r="I55"/>
  <c r="E55"/>
  <c r="V55"/>
  <c r="R55"/>
  <c r="N55"/>
  <c r="J55"/>
  <c r="F55"/>
  <c r="W55"/>
  <c r="S55"/>
  <c r="O55"/>
  <c r="K55"/>
  <c r="G55"/>
  <c r="AB68"/>
  <c r="X68"/>
  <c r="T68"/>
  <c r="P68"/>
  <c r="L68"/>
  <c r="H68"/>
  <c r="D68"/>
  <c r="U68"/>
  <c r="Q68"/>
  <c r="M68"/>
  <c r="I68"/>
  <c r="E68"/>
  <c r="V68"/>
  <c r="R68"/>
  <c r="N68"/>
  <c r="J68"/>
  <c r="F68"/>
  <c r="AA68"/>
  <c r="W68"/>
  <c r="S68"/>
  <c r="O68"/>
  <c r="K68"/>
  <c r="G68"/>
  <c r="AB94"/>
  <c r="L94"/>
  <c r="H94"/>
  <c r="D94"/>
  <c r="Q94"/>
  <c r="M94"/>
  <c r="I94"/>
  <c r="E94"/>
  <c r="R94"/>
  <c r="J94"/>
  <c r="F94"/>
  <c r="S94"/>
  <c r="K94"/>
  <c r="G94"/>
  <c r="P120"/>
  <c r="L120"/>
  <c r="H120"/>
  <c r="D120"/>
  <c r="Q120"/>
  <c r="M120"/>
  <c r="I120"/>
  <c r="E120"/>
  <c r="R120"/>
  <c r="N120"/>
  <c r="J120"/>
  <c r="F120"/>
  <c r="S120"/>
  <c r="O120"/>
  <c r="K120"/>
  <c r="G120"/>
  <c r="AB142"/>
  <c r="L142"/>
  <c r="H142"/>
  <c r="D142"/>
  <c r="Q142"/>
  <c r="M142"/>
  <c r="I142"/>
  <c r="E142"/>
  <c r="R142"/>
  <c r="N142"/>
  <c r="J142"/>
  <c r="F142"/>
  <c r="S142"/>
  <c r="K142"/>
  <c r="G142"/>
  <c r="AB146"/>
  <c r="L146"/>
  <c r="H146"/>
  <c r="D146"/>
  <c r="M146"/>
  <c r="I146"/>
  <c r="E146"/>
  <c r="J146"/>
  <c r="F146"/>
  <c r="K146"/>
  <c r="G146"/>
  <c r="AB150"/>
  <c r="P150"/>
  <c r="L150"/>
  <c r="H150"/>
  <c r="D150"/>
  <c r="Q150"/>
  <c r="M150"/>
  <c r="I150"/>
  <c r="E150"/>
  <c r="R150"/>
  <c r="N150"/>
  <c r="J150"/>
  <c r="F150"/>
  <c r="S150"/>
  <c r="O150"/>
  <c r="K150"/>
  <c r="G150"/>
  <c r="AB196"/>
  <c r="L196"/>
  <c r="H196"/>
  <c r="D196"/>
  <c r="M196"/>
  <c r="I196"/>
  <c r="E196"/>
  <c r="R196"/>
  <c r="J196"/>
  <c r="F196"/>
  <c r="K196"/>
  <c r="G196"/>
  <c r="L200"/>
  <c r="H200"/>
  <c r="D200"/>
  <c r="M200"/>
  <c r="I200"/>
  <c r="E200"/>
  <c r="R200"/>
  <c r="J200"/>
  <c r="F200"/>
  <c r="K200"/>
  <c r="G200"/>
  <c r="AB213"/>
  <c r="L213"/>
  <c r="H213"/>
  <c r="D213"/>
  <c r="M213"/>
  <c r="I213"/>
  <c r="E213"/>
  <c r="J213"/>
  <c r="F213"/>
  <c r="K213"/>
  <c r="G213"/>
  <c r="AB217"/>
  <c r="P217"/>
  <c r="L217"/>
  <c r="H217"/>
  <c r="D217"/>
  <c r="Q217"/>
  <c r="M217"/>
  <c r="I217"/>
  <c r="E217"/>
  <c r="R217"/>
  <c r="N217"/>
  <c r="J217"/>
  <c r="F217"/>
  <c r="S217"/>
  <c r="O217"/>
  <c r="K217"/>
  <c r="G217"/>
  <c r="AB221"/>
  <c r="L221"/>
  <c r="H221"/>
  <c r="D221"/>
  <c r="Q221"/>
  <c r="M221"/>
  <c r="I221"/>
  <c r="E221"/>
  <c r="N221"/>
  <c r="J221"/>
  <c r="F221"/>
  <c r="S221"/>
  <c r="K221"/>
  <c r="G221"/>
  <c r="AB242"/>
  <c r="L242"/>
  <c r="H242"/>
  <c r="D242"/>
  <c r="Q242"/>
  <c r="M242"/>
  <c r="I242"/>
  <c r="E242"/>
  <c r="R242"/>
  <c r="J242"/>
  <c r="F242"/>
  <c r="K242"/>
  <c r="G242"/>
  <c r="AB246"/>
  <c r="L246"/>
  <c r="H246"/>
  <c r="D246"/>
  <c r="M246"/>
  <c r="I246"/>
  <c r="E246"/>
  <c r="J246"/>
  <c r="F246"/>
  <c r="K246"/>
  <c r="G246"/>
  <c r="AB250"/>
  <c r="L250"/>
  <c r="H250"/>
  <c r="D250"/>
  <c r="Q250"/>
  <c r="M250"/>
  <c r="I250"/>
  <c r="E250"/>
  <c r="R250"/>
  <c r="J250"/>
  <c r="F250"/>
  <c r="S250"/>
  <c r="K250"/>
  <c r="G250"/>
  <c r="AB254"/>
  <c r="L254"/>
  <c r="H254"/>
  <c r="D254"/>
  <c r="Q254"/>
  <c r="M254"/>
  <c r="I254"/>
  <c r="E254"/>
  <c r="R254"/>
  <c r="N254"/>
  <c r="J254"/>
  <c r="F254"/>
  <c r="K254"/>
  <c r="G254"/>
  <c r="AB352"/>
  <c r="P352"/>
  <c r="L352"/>
  <c r="H352"/>
  <c r="D352"/>
  <c r="Q352"/>
  <c r="M352"/>
  <c r="I352"/>
  <c r="E352"/>
  <c r="R352"/>
  <c r="N352"/>
  <c r="J352"/>
  <c r="F352"/>
  <c r="S352"/>
  <c r="O352"/>
  <c r="K352"/>
  <c r="G352"/>
  <c r="AB372"/>
  <c r="L372"/>
  <c r="H372"/>
  <c r="D372"/>
  <c r="Q372"/>
  <c r="M372"/>
  <c r="I372"/>
  <c r="E372"/>
  <c r="J372"/>
  <c r="F372"/>
  <c r="K372"/>
  <c r="G372"/>
  <c r="AB384"/>
  <c r="L384"/>
  <c r="H384"/>
  <c r="D384"/>
  <c r="Q384"/>
  <c r="M384"/>
  <c r="I384"/>
  <c r="E384"/>
  <c r="J384"/>
  <c r="F384"/>
  <c r="K384"/>
  <c r="G384"/>
  <c r="AB389"/>
  <c r="L389"/>
  <c r="H389"/>
  <c r="D389"/>
  <c r="M389"/>
  <c r="I389"/>
  <c r="E389"/>
  <c r="J389"/>
  <c r="F389"/>
  <c r="K389"/>
  <c r="G389"/>
  <c r="AB404"/>
  <c r="L404"/>
  <c r="H404"/>
  <c r="D404"/>
  <c r="M404"/>
  <c r="I404"/>
  <c r="E404"/>
  <c r="J404"/>
  <c r="F404"/>
  <c r="K404"/>
  <c r="G404"/>
  <c r="AB408"/>
  <c r="P408"/>
  <c r="L408"/>
  <c r="H408"/>
  <c r="D408"/>
  <c r="Q408"/>
  <c r="M408"/>
  <c r="I408"/>
  <c r="E408"/>
  <c r="R408"/>
  <c r="N408"/>
  <c r="J408"/>
  <c r="F408"/>
  <c r="S408"/>
  <c r="O408"/>
  <c r="K408"/>
  <c r="G408"/>
  <c r="AB413"/>
  <c r="L413"/>
  <c r="H413"/>
  <c r="D413"/>
  <c r="Q413"/>
  <c r="M413"/>
  <c r="I413"/>
  <c r="E413"/>
  <c r="R413"/>
  <c r="J413"/>
  <c r="F413"/>
  <c r="K413"/>
  <c r="G413"/>
  <c r="AB417"/>
  <c r="T417"/>
  <c r="P417"/>
  <c r="L417"/>
  <c r="H417"/>
  <c r="D417"/>
  <c r="U417"/>
  <c r="Q417"/>
  <c r="M417"/>
  <c r="I417"/>
  <c r="E417"/>
  <c r="V417"/>
  <c r="R417"/>
  <c r="N417"/>
  <c r="J417"/>
  <c r="F417"/>
  <c r="W417"/>
  <c r="S417"/>
  <c r="O417"/>
  <c r="K417"/>
  <c r="G417"/>
  <c r="AB422"/>
  <c r="L422"/>
  <c r="H422"/>
  <c r="D422"/>
  <c r="Q422"/>
  <c r="M422"/>
  <c r="I422"/>
  <c r="E422"/>
  <c r="R422"/>
  <c r="J422"/>
  <c r="F422"/>
  <c r="K422"/>
  <c r="G422"/>
  <c r="U427"/>
  <c r="Q427"/>
  <c r="M427"/>
  <c r="I427"/>
  <c r="E427"/>
  <c r="AB427"/>
  <c r="W427"/>
  <c r="R427"/>
  <c r="L427"/>
  <c r="G427"/>
  <c r="X427"/>
  <c r="S427"/>
  <c r="N427"/>
  <c r="H427"/>
  <c r="T427"/>
  <c r="O427"/>
  <c r="J427"/>
  <c r="D427"/>
  <c r="V427"/>
  <c r="P427"/>
  <c r="K427"/>
  <c r="F427"/>
  <c r="V431"/>
  <c r="R431"/>
  <c r="N431"/>
  <c r="J431"/>
  <c r="F431"/>
  <c r="W431"/>
  <c r="S431"/>
  <c r="O431"/>
  <c r="K431"/>
  <c r="G431"/>
  <c r="AB431"/>
  <c r="T431"/>
  <c r="P431"/>
  <c r="L431"/>
  <c r="H431"/>
  <c r="D431"/>
  <c r="U431"/>
  <c r="Q431"/>
  <c r="M431"/>
  <c r="I431"/>
  <c r="E431"/>
  <c r="R436"/>
  <c r="J436"/>
  <c r="F436"/>
  <c r="K436"/>
  <c r="G436"/>
  <c r="AB436"/>
  <c r="L436"/>
  <c r="H436"/>
  <c r="D436"/>
  <c r="M436"/>
  <c r="I436"/>
  <c r="E436"/>
  <c r="R441"/>
  <c r="J441"/>
  <c r="F441"/>
  <c r="K441"/>
  <c r="G441"/>
  <c r="AB441"/>
  <c r="L441"/>
  <c r="H441"/>
  <c r="D441"/>
  <c r="Q441"/>
  <c r="M441"/>
  <c r="I441"/>
  <c r="E441"/>
  <c r="R448"/>
  <c r="J448"/>
  <c r="F448"/>
  <c r="K448"/>
  <c r="G448"/>
  <c r="AB448"/>
  <c r="L448"/>
  <c r="H448"/>
  <c r="D448"/>
  <c r="Q448"/>
  <c r="M448"/>
  <c r="I448"/>
  <c r="E448"/>
  <c r="J18" i="65"/>
  <c r="F18"/>
  <c r="K18"/>
  <c r="G18"/>
  <c r="AB18"/>
  <c r="L18"/>
  <c r="H18"/>
  <c r="D18"/>
  <c r="M18"/>
  <c r="I18"/>
  <c r="E18"/>
  <c r="J36"/>
  <c r="F36"/>
  <c r="K36"/>
  <c r="G36"/>
  <c r="AB36"/>
  <c r="L36"/>
  <c r="H36"/>
  <c r="D36"/>
  <c r="M36"/>
  <c r="I36"/>
  <c r="E36"/>
  <c r="V53"/>
  <c r="R53"/>
  <c r="N53"/>
  <c r="J53"/>
  <c r="F53"/>
  <c r="AA53"/>
  <c r="W53"/>
  <c r="S53"/>
  <c r="O53"/>
  <c r="K53"/>
  <c r="G53"/>
  <c r="AB53"/>
  <c r="X53"/>
  <c r="T53"/>
  <c r="P53"/>
  <c r="L53"/>
  <c r="H53"/>
  <c r="D53"/>
  <c r="U53"/>
  <c r="Q53"/>
  <c r="M53"/>
  <c r="I53"/>
  <c r="E53"/>
  <c r="V66"/>
  <c r="R66"/>
  <c r="N66"/>
  <c r="J66"/>
  <c r="F66"/>
  <c r="W66"/>
  <c r="S66"/>
  <c r="O66"/>
  <c r="K66"/>
  <c r="G66"/>
  <c r="AB66"/>
  <c r="X66"/>
  <c r="T66"/>
  <c r="P66"/>
  <c r="L66"/>
  <c r="H66"/>
  <c r="D66"/>
  <c r="U66"/>
  <c r="Q66"/>
  <c r="M66"/>
  <c r="I66"/>
  <c r="E66"/>
  <c r="M91"/>
  <c r="I91"/>
  <c r="E91"/>
  <c r="J91"/>
  <c r="F91"/>
  <c r="K91"/>
  <c r="G91"/>
  <c r="AB91"/>
  <c r="L91"/>
  <c r="H91"/>
  <c r="D91"/>
  <c r="M362"/>
  <c r="I362"/>
  <c r="E362"/>
  <c r="J362"/>
  <c r="F362"/>
  <c r="K362"/>
  <c r="G362"/>
  <c r="AB362"/>
  <c r="L362"/>
  <c r="H362"/>
  <c r="D362"/>
  <c r="U400"/>
  <c r="Q400"/>
  <c r="M400"/>
  <c r="I400"/>
  <c r="E400"/>
  <c r="V400"/>
  <c r="R400"/>
  <c r="N400"/>
  <c r="J400"/>
  <c r="F400"/>
  <c r="W400"/>
  <c r="S400"/>
  <c r="O400"/>
  <c r="K400"/>
  <c r="G400"/>
  <c r="AB400"/>
  <c r="X400"/>
  <c r="T400"/>
  <c r="P400"/>
  <c r="L400"/>
  <c r="H400"/>
  <c r="D400"/>
  <c r="AB419"/>
  <c r="L419"/>
  <c r="H419"/>
  <c r="D419"/>
  <c r="I419"/>
  <c r="J419"/>
  <c r="E419"/>
  <c r="K419"/>
  <c r="F419"/>
  <c r="M419"/>
  <c r="G419"/>
  <c r="AB442"/>
  <c r="L442"/>
  <c r="H442"/>
  <c r="D442"/>
  <c r="M442"/>
  <c r="G442"/>
  <c r="I442"/>
  <c r="J442"/>
  <c r="E442"/>
  <c r="K442"/>
  <c r="F442"/>
  <c r="AB462"/>
  <c r="L462"/>
  <c r="H462"/>
  <c r="D462"/>
  <c r="J462"/>
  <c r="E462"/>
  <c r="K462"/>
  <c r="F462"/>
  <c r="M462"/>
  <c r="G462"/>
  <c r="I462"/>
  <c r="AB22" i="68"/>
  <c r="P22"/>
  <c r="L22"/>
  <c r="H22"/>
  <c r="D22"/>
  <c r="Q22"/>
  <c r="K22"/>
  <c r="F22"/>
  <c r="R22"/>
  <c r="M22"/>
  <c r="G22"/>
  <c r="S22"/>
  <c r="N22"/>
  <c r="I22"/>
  <c r="O22"/>
  <c r="J22"/>
  <c r="E22"/>
  <c r="M40"/>
  <c r="I40"/>
  <c r="E40"/>
  <c r="AB40"/>
  <c r="L40"/>
  <c r="H40"/>
  <c r="D40"/>
  <c r="J40"/>
  <c r="K40"/>
  <c r="F40"/>
  <c r="G40"/>
  <c r="Q62"/>
  <c r="M62"/>
  <c r="I62"/>
  <c r="E62"/>
  <c r="AB62"/>
  <c r="P62"/>
  <c r="L62"/>
  <c r="H62"/>
  <c r="D62"/>
  <c r="N62"/>
  <c r="F62"/>
  <c r="O62"/>
  <c r="G62"/>
  <c r="R62"/>
  <c r="J62"/>
  <c r="S62"/>
  <c r="K62"/>
  <c r="Q70"/>
  <c r="M70"/>
  <c r="I70"/>
  <c r="E70"/>
  <c r="AB70"/>
  <c r="P70"/>
  <c r="L70"/>
  <c r="H70"/>
  <c r="D70"/>
  <c r="N70"/>
  <c r="F70"/>
  <c r="O70"/>
  <c r="G70"/>
  <c r="R70"/>
  <c r="J70"/>
  <c r="S70"/>
  <c r="K70"/>
  <c r="M96"/>
  <c r="I96"/>
  <c r="E96"/>
  <c r="AB96"/>
  <c r="L96"/>
  <c r="H96"/>
  <c r="D96"/>
  <c r="F96"/>
  <c r="G96"/>
  <c r="J96"/>
  <c r="K96"/>
  <c r="Q122"/>
  <c r="M122"/>
  <c r="I122"/>
  <c r="E122"/>
  <c r="AB122"/>
  <c r="P122"/>
  <c r="L122"/>
  <c r="H122"/>
  <c r="D122"/>
  <c r="N122"/>
  <c r="F122"/>
  <c r="O122"/>
  <c r="G122"/>
  <c r="R122"/>
  <c r="J122"/>
  <c r="S122"/>
  <c r="K122"/>
  <c r="M194"/>
  <c r="I194"/>
  <c r="E194"/>
  <c r="AB194"/>
  <c r="L194"/>
  <c r="H194"/>
  <c r="D194"/>
  <c r="J194"/>
  <c r="K194"/>
  <c r="F194"/>
  <c r="G194"/>
  <c r="M206"/>
  <c r="I206"/>
  <c r="E206"/>
  <c r="AB206"/>
  <c r="L206"/>
  <c r="H206"/>
  <c r="D206"/>
  <c r="F206"/>
  <c r="G206"/>
  <c r="J206"/>
  <c r="K206"/>
  <c r="M219"/>
  <c r="I219"/>
  <c r="E219"/>
  <c r="AB219"/>
  <c r="L219"/>
  <c r="H219"/>
  <c r="D219"/>
  <c r="J219"/>
  <c r="K219"/>
  <c r="F219"/>
  <c r="G219"/>
  <c r="U252"/>
  <c r="Q252"/>
  <c r="M252"/>
  <c r="I252"/>
  <c r="E252"/>
  <c r="AB252"/>
  <c r="P252"/>
  <c r="L252"/>
  <c r="H252"/>
  <c r="D252"/>
  <c r="R252"/>
  <c r="J252"/>
  <c r="S252"/>
  <c r="K252"/>
  <c r="N252"/>
  <c r="F252"/>
  <c r="O252"/>
  <c r="G252"/>
  <c r="M363"/>
  <c r="I363"/>
  <c r="E363"/>
  <c r="AB363"/>
  <c r="L363"/>
  <c r="H363"/>
  <c r="D363"/>
  <c r="F363"/>
  <c r="G363"/>
  <c r="J363"/>
  <c r="K363"/>
  <c r="U401"/>
  <c r="Q401"/>
  <c r="M401"/>
  <c r="I401"/>
  <c r="E401"/>
  <c r="AB401"/>
  <c r="T401"/>
  <c r="P401"/>
  <c r="L401"/>
  <c r="H401"/>
  <c r="D401"/>
  <c r="V401"/>
  <c r="N401"/>
  <c r="F401"/>
  <c r="W401"/>
  <c r="O401"/>
  <c r="G401"/>
  <c r="R401"/>
  <c r="J401"/>
  <c r="S401"/>
  <c r="K401"/>
  <c r="Q420"/>
  <c r="M420"/>
  <c r="I420"/>
  <c r="E420"/>
  <c r="AB420"/>
  <c r="L420"/>
  <c r="H420"/>
  <c r="D420"/>
  <c r="F420"/>
  <c r="G420"/>
  <c r="J420"/>
  <c r="K420"/>
  <c r="M434"/>
  <c r="I434"/>
  <c r="E434"/>
  <c r="J434"/>
  <c r="F434"/>
  <c r="K434"/>
  <c r="G434"/>
  <c r="AB434"/>
  <c r="L434"/>
  <c r="H434"/>
  <c r="D434"/>
  <c r="U15" i="69"/>
  <c r="Q15"/>
  <c r="M15"/>
  <c r="I15"/>
  <c r="E15"/>
  <c r="V15"/>
  <c r="R15"/>
  <c r="N15"/>
  <c r="J15"/>
  <c r="F15"/>
  <c r="W15"/>
  <c r="S15"/>
  <c r="O15"/>
  <c r="K15"/>
  <c r="G15"/>
  <c r="AB15"/>
  <c r="T15"/>
  <c r="P15"/>
  <c r="L15"/>
  <c r="H15"/>
  <c r="D15"/>
  <c r="Q32"/>
  <c r="M32"/>
  <c r="I32"/>
  <c r="E32"/>
  <c r="J32"/>
  <c r="F32"/>
  <c r="K32"/>
  <c r="G32"/>
  <c r="AB32"/>
  <c r="L32"/>
  <c r="H32"/>
  <c r="D32"/>
  <c r="U50"/>
  <c r="Q50"/>
  <c r="M50"/>
  <c r="I50"/>
  <c r="E50"/>
  <c r="V50"/>
  <c r="R50"/>
  <c r="N50"/>
  <c r="J50"/>
  <c r="F50"/>
  <c r="W50"/>
  <c r="S50"/>
  <c r="O50"/>
  <c r="K50"/>
  <c r="G50"/>
  <c r="AB50"/>
  <c r="X50"/>
  <c r="T50"/>
  <c r="P50"/>
  <c r="L50"/>
  <c r="H50"/>
  <c r="D50"/>
  <c r="M63"/>
  <c r="I63"/>
  <c r="E63"/>
  <c r="J63"/>
  <c r="F63"/>
  <c r="K63"/>
  <c r="G63"/>
  <c r="AB63"/>
  <c r="L63"/>
  <c r="H63"/>
  <c r="D63"/>
  <c r="Q89"/>
  <c r="M89"/>
  <c r="I89"/>
  <c r="E89"/>
  <c r="J89"/>
  <c r="F89"/>
  <c r="K89"/>
  <c r="G89"/>
  <c r="AB89"/>
  <c r="L89"/>
  <c r="H89"/>
  <c r="D89"/>
  <c r="M97"/>
  <c r="I97"/>
  <c r="E97"/>
  <c r="J97"/>
  <c r="F97"/>
  <c r="K97"/>
  <c r="G97"/>
  <c r="AB97"/>
  <c r="L97"/>
  <c r="H97"/>
  <c r="D97"/>
  <c r="M145"/>
  <c r="I145"/>
  <c r="E145"/>
  <c r="J145"/>
  <c r="F145"/>
  <c r="K145"/>
  <c r="G145"/>
  <c r="AB145"/>
  <c r="L145"/>
  <c r="H145"/>
  <c r="D145"/>
  <c r="K199"/>
  <c r="G199"/>
  <c r="AB199"/>
  <c r="Q199"/>
  <c r="L199"/>
  <c r="F199"/>
  <c r="R199"/>
  <c r="M199"/>
  <c r="H199"/>
  <c r="I199"/>
  <c r="D199"/>
  <c r="J199"/>
  <c r="E199"/>
  <c r="AB241"/>
  <c r="L241"/>
  <c r="H241"/>
  <c r="D241"/>
  <c r="Q241"/>
  <c r="M241"/>
  <c r="I241"/>
  <c r="E241"/>
  <c r="J241"/>
  <c r="F241"/>
  <c r="K241"/>
  <c r="G241"/>
  <c r="AB257"/>
  <c r="L257"/>
  <c r="H257"/>
  <c r="D257"/>
  <c r="M257"/>
  <c r="I257"/>
  <c r="E257"/>
  <c r="J257"/>
  <c r="F257"/>
  <c r="K257"/>
  <c r="G257"/>
  <c r="AB388"/>
  <c r="T388"/>
  <c r="P388"/>
  <c r="L388"/>
  <c r="H388"/>
  <c r="D388"/>
  <c r="Q388"/>
  <c r="M388"/>
  <c r="I388"/>
  <c r="E388"/>
  <c r="R388"/>
  <c r="N388"/>
  <c r="J388"/>
  <c r="F388"/>
  <c r="S388"/>
  <c r="O388"/>
  <c r="K388"/>
  <c r="G388"/>
  <c r="AB402"/>
  <c r="L402"/>
  <c r="H402"/>
  <c r="D402"/>
  <c r="M402"/>
  <c r="I402"/>
  <c r="E402"/>
  <c r="J402"/>
  <c r="F402"/>
  <c r="K402"/>
  <c r="G402"/>
  <c r="AB421"/>
  <c r="L421"/>
  <c r="H421"/>
  <c r="D421"/>
  <c r="Q421"/>
  <c r="M421"/>
  <c r="I421"/>
  <c r="E421"/>
  <c r="J421"/>
  <c r="F421"/>
  <c r="K421"/>
  <c r="G421"/>
  <c r="AB444"/>
  <c r="L444"/>
  <c r="H444"/>
  <c r="D444"/>
  <c r="M444"/>
  <c r="I444"/>
  <c r="E444"/>
  <c r="J444"/>
  <c r="F444"/>
  <c r="K444"/>
  <c r="G444"/>
  <c r="AB20" i="70"/>
  <c r="T20"/>
  <c r="P20"/>
  <c r="L20"/>
  <c r="H20"/>
  <c r="D20"/>
  <c r="U20"/>
  <c r="Q20"/>
  <c r="M20"/>
  <c r="I20"/>
  <c r="E20"/>
  <c r="V20"/>
  <c r="R20"/>
  <c r="N20"/>
  <c r="J20"/>
  <c r="F20"/>
  <c r="W20"/>
  <c r="S20"/>
  <c r="O20"/>
  <c r="K20"/>
  <c r="G20"/>
  <c r="AB33"/>
  <c r="L33"/>
  <c r="H33"/>
  <c r="D33"/>
  <c r="Q33"/>
  <c r="M33"/>
  <c r="I33"/>
  <c r="E33"/>
  <c r="J33"/>
  <c r="F33"/>
  <c r="K33"/>
  <c r="G33"/>
  <c r="AB47"/>
  <c r="T47"/>
  <c r="P47"/>
  <c r="L47"/>
  <c r="H47"/>
  <c r="D47"/>
  <c r="U47"/>
  <c r="Q47"/>
  <c r="M47"/>
  <c r="I47"/>
  <c r="E47"/>
  <c r="V47"/>
  <c r="R47"/>
  <c r="N47"/>
  <c r="J47"/>
  <c r="F47"/>
  <c r="W47"/>
  <c r="S47"/>
  <c r="O47"/>
  <c r="K47"/>
  <c r="G47"/>
  <c r="AB64"/>
  <c r="X64"/>
  <c r="T64"/>
  <c r="P64"/>
  <c r="L64"/>
  <c r="H64"/>
  <c r="D64"/>
  <c r="U64"/>
  <c r="Q64"/>
  <c r="M64"/>
  <c r="I64"/>
  <c r="E64"/>
  <c r="V64"/>
  <c r="R64"/>
  <c r="N64"/>
  <c r="J64"/>
  <c r="F64"/>
  <c r="W64"/>
  <c r="S64"/>
  <c r="O64"/>
  <c r="K64"/>
  <c r="G64"/>
  <c r="AB80"/>
  <c r="P80"/>
  <c r="L80"/>
  <c r="H80"/>
  <c r="D80"/>
  <c r="Q80"/>
  <c r="M80"/>
  <c r="I80"/>
  <c r="E80"/>
  <c r="R80"/>
  <c r="N80"/>
  <c r="J80"/>
  <c r="F80"/>
  <c r="S80"/>
  <c r="O80"/>
  <c r="K80"/>
  <c r="G80"/>
  <c r="AB98"/>
  <c r="L98"/>
  <c r="H98"/>
  <c r="D98"/>
  <c r="Q98"/>
  <c r="M98"/>
  <c r="I98"/>
  <c r="E98"/>
  <c r="R98"/>
  <c r="J98"/>
  <c r="F98"/>
  <c r="K98"/>
  <c r="G98"/>
  <c r="P124"/>
  <c r="L124"/>
  <c r="H124"/>
  <c r="D124"/>
  <c r="Q124"/>
  <c r="M124"/>
  <c r="I124"/>
  <c r="E124"/>
  <c r="R124"/>
  <c r="N124"/>
  <c r="J124"/>
  <c r="F124"/>
  <c r="S124"/>
  <c r="O124"/>
  <c r="K124"/>
  <c r="G124"/>
  <c r="AB192"/>
  <c r="L192"/>
  <c r="H192"/>
  <c r="D192"/>
  <c r="M192"/>
  <c r="I192"/>
  <c r="E192"/>
  <c r="R192"/>
  <c r="J192"/>
  <c r="F192"/>
  <c r="S192"/>
  <c r="K192"/>
  <c r="G192"/>
  <c r="AB365"/>
  <c r="L365"/>
  <c r="H365"/>
  <c r="D365"/>
  <c r="Q365"/>
  <c r="M365"/>
  <c r="I365"/>
  <c r="E365"/>
  <c r="R365"/>
  <c r="J365"/>
  <c r="F365"/>
  <c r="S365"/>
  <c r="K365"/>
  <c r="G365"/>
  <c r="AB439" i="73"/>
  <c r="P439"/>
  <c r="L439"/>
  <c r="H439"/>
  <c r="D439"/>
  <c r="Q439"/>
  <c r="M439"/>
  <c r="I439"/>
  <c r="E439"/>
  <c r="R439"/>
  <c r="N439"/>
  <c r="J439"/>
  <c r="F439"/>
  <c r="S439"/>
  <c r="O439"/>
  <c r="K439"/>
  <c r="G439"/>
  <c r="X20" i="74"/>
  <c r="T20"/>
  <c r="P20"/>
  <c r="L20"/>
  <c r="H20"/>
  <c r="D20"/>
  <c r="U20"/>
  <c r="Q20"/>
  <c r="M20"/>
  <c r="I20"/>
  <c r="E20"/>
  <c r="V20"/>
  <c r="R20"/>
  <c r="N20"/>
  <c r="J20"/>
  <c r="F20"/>
  <c r="W20"/>
  <c r="S20"/>
  <c r="O20"/>
  <c r="K20"/>
  <c r="G20"/>
  <c r="Q38"/>
  <c r="M38"/>
  <c r="I38"/>
  <c r="E38"/>
  <c r="R38"/>
  <c r="L38"/>
  <c r="G38"/>
  <c r="S38"/>
  <c r="N38"/>
  <c r="H38"/>
  <c r="O38"/>
  <c r="J38"/>
  <c r="D38"/>
  <c r="P38"/>
  <c r="K38"/>
  <c r="F38"/>
  <c r="U47"/>
  <c r="Q47"/>
  <c r="M47"/>
  <c r="I47"/>
  <c r="E47"/>
  <c r="V47"/>
  <c r="R47"/>
  <c r="N47"/>
  <c r="J47"/>
  <c r="F47"/>
  <c r="W47"/>
  <c r="S47"/>
  <c r="O47"/>
  <c r="K47"/>
  <c r="G47"/>
  <c r="X47"/>
  <c r="T47"/>
  <c r="P47"/>
  <c r="L47"/>
  <c r="H47"/>
  <c r="D47"/>
  <c r="U64"/>
  <c r="Q64"/>
  <c r="M64"/>
  <c r="I64"/>
  <c r="E64"/>
  <c r="V64"/>
  <c r="R64"/>
  <c r="N64"/>
  <c r="J64"/>
  <c r="F64"/>
  <c r="W64"/>
  <c r="S64"/>
  <c r="O64"/>
  <c r="K64"/>
  <c r="G64"/>
  <c r="X64"/>
  <c r="T64"/>
  <c r="P64"/>
  <c r="L64"/>
  <c r="H64"/>
  <c r="D64"/>
  <c r="Q80"/>
  <c r="M80"/>
  <c r="I80"/>
  <c r="E80"/>
  <c r="R80"/>
  <c r="N80"/>
  <c r="J80"/>
  <c r="F80"/>
  <c r="S80"/>
  <c r="O80"/>
  <c r="K80"/>
  <c r="G80"/>
  <c r="P80"/>
  <c r="L80"/>
  <c r="H80"/>
  <c r="D80"/>
  <c r="Q124"/>
  <c r="M124"/>
  <c r="I124"/>
  <c r="E124"/>
  <c r="R124"/>
  <c r="N124"/>
  <c r="J124"/>
  <c r="F124"/>
  <c r="S124"/>
  <c r="O124"/>
  <c r="K124"/>
  <c r="G124"/>
  <c r="P124"/>
  <c r="L124"/>
  <c r="H124"/>
  <c r="D124"/>
  <c r="Q192"/>
  <c r="M192"/>
  <c r="I192"/>
  <c r="E192"/>
  <c r="AB192"/>
  <c r="R192"/>
  <c r="L192"/>
  <c r="G192"/>
  <c r="S192"/>
  <c r="N192"/>
  <c r="H192"/>
  <c r="O192"/>
  <c r="J192"/>
  <c r="D192"/>
  <c r="P192"/>
  <c r="K192"/>
  <c r="F192"/>
  <c r="S384"/>
  <c r="O384"/>
  <c r="K384"/>
  <c r="G384"/>
  <c r="T384"/>
  <c r="P384"/>
  <c r="L384"/>
  <c r="H384"/>
  <c r="D384"/>
  <c r="Q384"/>
  <c r="M384"/>
  <c r="I384"/>
  <c r="E384"/>
  <c r="R384"/>
  <c r="N384"/>
  <c r="J384"/>
  <c r="F384"/>
  <c r="K11" i="65"/>
  <c r="G11"/>
  <c r="AB11"/>
  <c r="L11"/>
  <c r="H11"/>
  <c r="D11"/>
  <c r="M11"/>
  <c r="I11"/>
  <c r="E11"/>
  <c r="J11"/>
  <c r="F11"/>
  <c r="W15"/>
  <c r="S15"/>
  <c r="O15"/>
  <c r="K15"/>
  <c r="G15"/>
  <c r="AB15"/>
  <c r="T15"/>
  <c r="P15"/>
  <c r="L15"/>
  <c r="H15"/>
  <c r="D15"/>
  <c r="U15"/>
  <c r="Q15"/>
  <c r="M15"/>
  <c r="I15"/>
  <c r="E15"/>
  <c r="V15"/>
  <c r="R15"/>
  <c r="N15"/>
  <c r="J15"/>
  <c r="F15"/>
  <c r="S19"/>
  <c r="O19"/>
  <c r="K19"/>
  <c r="G19"/>
  <c r="AB19"/>
  <c r="P19"/>
  <c r="L19"/>
  <c r="H19"/>
  <c r="D19"/>
  <c r="Q19"/>
  <c r="M19"/>
  <c r="I19"/>
  <c r="E19"/>
  <c r="R19"/>
  <c r="N19"/>
  <c r="J19"/>
  <c r="F19"/>
  <c r="K23"/>
  <c r="G23"/>
  <c r="AB23"/>
  <c r="L23"/>
  <c r="H23"/>
  <c r="D23"/>
  <c r="M23"/>
  <c r="I23"/>
  <c r="E23"/>
  <c r="J23"/>
  <c r="F23"/>
  <c r="K28"/>
  <c r="G28"/>
  <c r="AB28"/>
  <c r="L28"/>
  <c r="H28"/>
  <c r="D28"/>
  <c r="M28"/>
  <c r="I28"/>
  <c r="E28"/>
  <c r="J28"/>
  <c r="F28"/>
  <c r="K32"/>
  <c r="G32"/>
  <c r="AB32"/>
  <c r="L32"/>
  <c r="H32"/>
  <c r="D32"/>
  <c r="M32"/>
  <c r="I32"/>
  <c r="E32"/>
  <c r="J32"/>
  <c r="F32"/>
  <c r="S37"/>
  <c r="O37"/>
  <c r="K37"/>
  <c r="G37"/>
  <c r="AB37"/>
  <c r="P37"/>
  <c r="L37"/>
  <c r="H37"/>
  <c r="D37"/>
  <c r="Q37"/>
  <c r="M37"/>
  <c r="I37"/>
  <c r="E37"/>
  <c r="R37"/>
  <c r="N37"/>
  <c r="J37"/>
  <c r="F37"/>
  <c r="K41"/>
  <c r="G41"/>
  <c r="AB41"/>
  <c r="L41"/>
  <c r="H41"/>
  <c r="D41"/>
  <c r="M41"/>
  <c r="I41"/>
  <c r="E41"/>
  <c r="J41"/>
  <c r="F41"/>
  <c r="W46"/>
  <c r="S46"/>
  <c r="O46"/>
  <c r="K46"/>
  <c r="G46"/>
  <c r="AB46"/>
  <c r="X46"/>
  <c r="T46"/>
  <c r="P46"/>
  <c r="L46"/>
  <c r="H46"/>
  <c r="D46"/>
  <c r="U46"/>
  <c r="Q46"/>
  <c r="M46"/>
  <c r="I46"/>
  <c r="E46"/>
  <c r="V46"/>
  <c r="R46"/>
  <c r="N46"/>
  <c r="J46"/>
  <c r="F46"/>
  <c r="W50"/>
  <c r="S50"/>
  <c r="O50"/>
  <c r="K50"/>
  <c r="G50"/>
  <c r="AB50"/>
  <c r="X50"/>
  <c r="T50"/>
  <c r="P50"/>
  <c r="L50"/>
  <c r="H50"/>
  <c r="D50"/>
  <c r="U50"/>
  <c r="Q50"/>
  <c r="M50"/>
  <c r="I50"/>
  <c r="E50"/>
  <c r="V50"/>
  <c r="R50"/>
  <c r="N50"/>
  <c r="J50"/>
  <c r="F50"/>
  <c r="W54"/>
  <c r="S54"/>
  <c r="O54"/>
  <c r="K54"/>
  <c r="G54"/>
  <c r="AB54"/>
  <c r="T54"/>
  <c r="P54"/>
  <c r="L54"/>
  <c r="H54"/>
  <c r="D54"/>
  <c r="U54"/>
  <c r="Q54"/>
  <c r="M54"/>
  <c r="I54"/>
  <c r="E54"/>
  <c r="V54"/>
  <c r="R54"/>
  <c r="N54"/>
  <c r="J54"/>
  <c r="F54"/>
  <c r="S59"/>
  <c r="O59"/>
  <c r="K59"/>
  <c r="G59"/>
  <c r="AB59"/>
  <c r="P59"/>
  <c r="L59"/>
  <c r="H59"/>
  <c r="D59"/>
  <c r="Q59"/>
  <c r="M59"/>
  <c r="I59"/>
  <c r="E59"/>
  <c r="R59"/>
  <c r="N59"/>
  <c r="J59"/>
  <c r="F59"/>
  <c r="S63"/>
  <c r="O63"/>
  <c r="K63"/>
  <c r="G63"/>
  <c r="AB63"/>
  <c r="P63"/>
  <c r="L63"/>
  <c r="H63"/>
  <c r="D63"/>
  <c r="Q63"/>
  <c r="M63"/>
  <c r="I63"/>
  <c r="E63"/>
  <c r="R63"/>
  <c r="N63"/>
  <c r="J63"/>
  <c r="F63"/>
  <c r="S67"/>
  <c r="O67"/>
  <c r="K67"/>
  <c r="G67"/>
  <c r="AB67"/>
  <c r="P67"/>
  <c r="L67"/>
  <c r="H67"/>
  <c r="D67"/>
  <c r="Q67"/>
  <c r="M67"/>
  <c r="I67"/>
  <c r="E67"/>
  <c r="R67"/>
  <c r="N67"/>
  <c r="J67"/>
  <c r="F67"/>
  <c r="W71"/>
  <c r="S71"/>
  <c r="O71"/>
  <c r="K71"/>
  <c r="G71"/>
  <c r="AB71"/>
  <c r="X71"/>
  <c r="T71"/>
  <c r="P71"/>
  <c r="L71"/>
  <c r="H71"/>
  <c r="D71"/>
  <c r="U71"/>
  <c r="Q71"/>
  <c r="M71"/>
  <c r="I71"/>
  <c r="E71"/>
  <c r="V71"/>
  <c r="R71"/>
  <c r="N71"/>
  <c r="J71"/>
  <c r="F71"/>
  <c r="AB98"/>
  <c r="L98"/>
  <c r="H98"/>
  <c r="D98"/>
  <c r="M98"/>
  <c r="I98"/>
  <c r="E98"/>
  <c r="J98"/>
  <c r="F98"/>
  <c r="K98"/>
  <c r="G98"/>
  <c r="AB94"/>
  <c r="P94"/>
  <c r="L94"/>
  <c r="H94"/>
  <c r="D94"/>
  <c r="Q94"/>
  <c r="M94"/>
  <c r="I94"/>
  <c r="E94"/>
  <c r="R94"/>
  <c r="N94"/>
  <c r="J94"/>
  <c r="F94"/>
  <c r="S94"/>
  <c r="O94"/>
  <c r="K94"/>
  <c r="G94"/>
  <c r="AB90"/>
  <c r="L90"/>
  <c r="H90"/>
  <c r="D90"/>
  <c r="M90"/>
  <c r="I90"/>
  <c r="E90"/>
  <c r="J90"/>
  <c r="F90"/>
  <c r="K90"/>
  <c r="G90"/>
  <c r="AB80"/>
  <c r="P80"/>
  <c r="L80"/>
  <c r="H80"/>
  <c r="D80"/>
  <c r="Q80"/>
  <c r="M80"/>
  <c r="I80"/>
  <c r="E80"/>
  <c r="R80"/>
  <c r="N80"/>
  <c r="J80"/>
  <c r="F80"/>
  <c r="S80"/>
  <c r="O80"/>
  <c r="K80"/>
  <c r="G80"/>
  <c r="R355"/>
  <c r="N355"/>
  <c r="J355"/>
  <c r="F355"/>
  <c r="S355"/>
  <c r="O355"/>
  <c r="K355"/>
  <c r="G355"/>
  <c r="AB355"/>
  <c r="P355"/>
  <c r="L355"/>
  <c r="H355"/>
  <c r="D355"/>
  <c r="Q355"/>
  <c r="M355"/>
  <c r="I355"/>
  <c r="E355"/>
  <c r="J363"/>
  <c r="F363"/>
  <c r="K363"/>
  <c r="G363"/>
  <c r="AB363"/>
  <c r="L363"/>
  <c r="H363"/>
  <c r="D363"/>
  <c r="M363"/>
  <c r="I363"/>
  <c r="E363"/>
  <c r="V368"/>
  <c r="R368"/>
  <c r="N368"/>
  <c r="J368"/>
  <c r="F368"/>
  <c r="W368"/>
  <c r="S368"/>
  <c r="O368"/>
  <c r="K368"/>
  <c r="G368"/>
  <c r="AB368"/>
  <c r="X368"/>
  <c r="T368"/>
  <c r="P368"/>
  <c r="L368"/>
  <c r="H368"/>
  <c r="D368"/>
  <c r="U368"/>
  <c r="Q368"/>
  <c r="M368"/>
  <c r="I368"/>
  <c r="E368"/>
  <c r="J374"/>
  <c r="F374"/>
  <c r="K374"/>
  <c r="G374"/>
  <c r="AB374"/>
  <c r="L374"/>
  <c r="H374"/>
  <c r="D374"/>
  <c r="M374"/>
  <c r="I374"/>
  <c r="E374"/>
  <c r="J386"/>
  <c r="F386"/>
  <c r="K386"/>
  <c r="G386"/>
  <c r="AB386"/>
  <c r="L386"/>
  <c r="H386"/>
  <c r="D386"/>
  <c r="M386"/>
  <c r="I386"/>
  <c r="E386"/>
  <c r="K402"/>
  <c r="G402"/>
  <c r="AB402"/>
  <c r="L402"/>
  <c r="H402"/>
  <c r="D402"/>
  <c r="M402"/>
  <c r="I402"/>
  <c r="E402"/>
  <c r="J402"/>
  <c r="F402"/>
  <c r="M406"/>
  <c r="I406"/>
  <c r="E406"/>
  <c r="AB406"/>
  <c r="L406"/>
  <c r="G406"/>
  <c r="H406"/>
  <c r="J406"/>
  <c r="D406"/>
  <c r="K406"/>
  <c r="F406"/>
  <c r="U411"/>
  <c r="Q411"/>
  <c r="M411"/>
  <c r="I411"/>
  <c r="E411"/>
  <c r="V411"/>
  <c r="P411"/>
  <c r="K411"/>
  <c r="F411"/>
  <c r="AB411"/>
  <c r="W411"/>
  <c r="R411"/>
  <c r="L411"/>
  <c r="G411"/>
  <c r="S411"/>
  <c r="N411"/>
  <c r="H411"/>
  <c r="T411"/>
  <c r="O411"/>
  <c r="J411"/>
  <c r="D411"/>
  <c r="M415"/>
  <c r="I415"/>
  <c r="E415"/>
  <c r="J415"/>
  <c r="D415"/>
  <c r="K415"/>
  <c r="F415"/>
  <c r="AB415"/>
  <c r="L415"/>
  <c r="G415"/>
  <c r="H415"/>
  <c r="Q420"/>
  <c r="M420"/>
  <c r="I420"/>
  <c r="E420"/>
  <c r="S420"/>
  <c r="N420"/>
  <c r="H420"/>
  <c r="O420"/>
  <c r="J420"/>
  <c r="D420"/>
  <c r="P420"/>
  <c r="K420"/>
  <c r="F420"/>
  <c r="AB420"/>
  <c r="R420"/>
  <c r="L420"/>
  <c r="G420"/>
  <c r="M425"/>
  <c r="I425"/>
  <c r="E425"/>
  <c r="AB425"/>
  <c r="L425"/>
  <c r="G425"/>
  <c r="H425"/>
  <c r="J425"/>
  <c r="D425"/>
  <c r="K425"/>
  <c r="F425"/>
  <c r="U429"/>
  <c r="Q429"/>
  <c r="M429"/>
  <c r="I429"/>
  <c r="E429"/>
  <c r="V429"/>
  <c r="P429"/>
  <c r="K429"/>
  <c r="F429"/>
  <c r="AB429"/>
  <c r="R429"/>
  <c r="L429"/>
  <c r="G429"/>
  <c r="S429"/>
  <c r="N429"/>
  <c r="H429"/>
  <c r="T429"/>
  <c r="O429"/>
  <c r="J429"/>
  <c r="D429"/>
  <c r="M434"/>
  <c r="I434"/>
  <c r="E434"/>
  <c r="J434"/>
  <c r="D434"/>
  <c r="K434"/>
  <c r="F434"/>
  <c r="AB434"/>
  <c r="L434"/>
  <c r="G434"/>
  <c r="H434"/>
  <c r="U438"/>
  <c r="Q438"/>
  <c r="M438"/>
  <c r="I438"/>
  <c r="E438"/>
  <c r="X438"/>
  <c r="S438"/>
  <c r="N438"/>
  <c r="H438"/>
  <c r="T438"/>
  <c r="O438"/>
  <c r="J438"/>
  <c r="D438"/>
  <c r="V438"/>
  <c r="P438"/>
  <c r="K438"/>
  <c r="F438"/>
  <c r="AB438"/>
  <c r="W438"/>
  <c r="R438"/>
  <c r="L438"/>
  <c r="G438"/>
  <c r="M443"/>
  <c r="I443"/>
  <c r="E443"/>
  <c r="AB443"/>
  <c r="L443"/>
  <c r="G443"/>
  <c r="H443"/>
  <c r="J443"/>
  <c r="D443"/>
  <c r="K443"/>
  <c r="F443"/>
  <c r="M455"/>
  <c r="I455"/>
  <c r="E455"/>
  <c r="K455"/>
  <c r="F455"/>
  <c r="AB455"/>
  <c r="L455"/>
  <c r="G455"/>
  <c r="H455"/>
  <c r="J455"/>
  <c r="D455"/>
  <c r="Q11" i="68"/>
  <c r="M11"/>
  <c r="I11"/>
  <c r="E11"/>
  <c r="O11"/>
  <c r="J11"/>
  <c r="D11"/>
  <c r="P11"/>
  <c r="K11"/>
  <c r="F11"/>
  <c r="AB11"/>
  <c r="R11"/>
  <c r="L11"/>
  <c r="G11"/>
  <c r="S11"/>
  <c r="N11"/>
  <c r="H11"/>
  <c r="U15"/>
  <c r="Q15"/>
  <c r="M15"/>
  <c r="I15"/>
  <c r="E15"/>
  <c r="X15"/>
  <c r="S15"/>
  <c r="N15"/>
  <c r="H15"/>
  <c r="T15"/>
  <c r="O15"/>
  <c r="J15"/>
  <c r="D15"/>
  <c r="AA15"/>
  <c r="V15"/>
  <c r="P15"/>
  <c r="K15"/>
  <c r="F15"/>
  <c r="AB15"/>
  <c r="W15"/>
  <c r="R15"/>
  <c r="L15"/>
  <c r="G15"/>
  <c r="M19"/>
  <c r="I19"/>
  <c r="E19"/>
  <c r="AB19"/>
  <c r="L19"/>
  <c r="G19"/>
  <c r="H19"/>
  <c r="J19"/>
  <c r="D19"/>
  <c r="K19"/>
  <c r="F19"/>
  <c r="R23"/>
  <c r="N23"/>
  <c r="J23"/>
  <c r="F23"/>
  <c r="Q23"/>
  <c r="M23"/>
  <c r="I23"/>
  <c r="E23"/>
  <c r="O23"/>
  <c r="G23"/>
  <c r="P23"/>
  <c r="H23"/>
  <c r="S23"/>
  <c r="K23"/>
  <c r="AB23"/>
  <c r="L23"/>
  <c r="D23"/>
  <c r="R28"/>
  <c r="N28"/>
  <c r="J28"/>
  <c r="F28"/>
  <c r="Q28"/>
  <c r="M28"/>
  <c r="I28"/>
  <c r="E28"/>
  <c r="S28"/>
  <c r="K28"/>
  <c r="AB28"/>
  <c r="L28"/>
  <c r="D28"/>
  <c r="O28"/>
  <c r="G28"/>
  <c r="P28"/>
  <c r="H28"/>
  <c r="R32"/>
  <c r="N32"/>
  <c r="J32"/>
  <c r="F32"/>
  <c r="Q32"/>
  <c r="M32"/>
  <c r="I32"/>
  <c r="E32"/>
  <c r="O32"/>
  <c r="G32"/>
  <c r="P32"/>
  <c r="H32"/>
  <c r="S32"/>
  <c r="K32"/>
  <c r="AB32"/>
  <c r="L32"/>
  <c r="D32"/>
  <c r="J37"/>
  <c r="F37"/>
  <c r="Q37"/>
  <c r="M37"/>
  <c r="I37"/>
  <c r="E37"/>
  <c r="K37"/>
  <c r="AB37"/>
  <c r="L37"/>
  <c r="D37"/>
  <c r="G37"/>
  <c r="H37"/>
  <c r="V41"/>
  <c r="R41"/>
  <c r="N41"/>
  <c r="J41"/>
  <c r="F41"/>
  <c r="U41"/>
  <c r="Q41"/>
  <c r="M41"/>
  <c r="I41"/>
  <c r="E41"/>
  <c r="W41"/>
  <c r="O41"/>
  <c r="G41"/>
  <c r="X41"/>
  <c r="P41"/>
  <c r="H41"/>
  <c r="S41"/>
  <c r="K41"/>
  <c r="AB41"/>
  <c r="T41"/>
  <c r="L41"/>
  <c r="D41"/>
  <c r="J46"/>
  <c r="F46"/>
  <c r="M46"/>
  <c r="I46"/>
  <c r="E46"/>
  <c r="K46"/>
  <c r="AB46"/>
  <c r="L46"/>
  <c r="D46"/>
  <c r="G46"/>
  <c r="H46"/>
  <c r="J50"/>
  <c r="F50"/>
  <c r="M50"/>
  <c r="I50"/>
  <c r="E50"/>
  <c r="G50"/>
  <c r="H50"/>
  <c r="K50"/>
  <c r="AB50"/>
  <c r="L50"/>
  <c r="D50"/>
  <c r="J54"/>
  <c r="F54"/>
  <c r="M54"/>
  <c r="I54"/>
  <c r="E54"/>
  <c r="K54"/>
  <c r="AB54"/>
  <c r="L54"/>
  <c r="D54"/>
  <c r="G54"/>
  <c r="H54"/>
  <c r="R59"/>
  <c r="N59"/>
  <c r="J59"/>
  <c r="F59"/>
  <c r="Q59"/>
  <c r="M59"/>
  <c r="I59"/>
  <c r="E59"/>
  <c r="O59"/>
  <c r="G59"/>
  <c r="P59"/>
  <c r="H59"/>
  <c r="S59"/>
  <c r="K59"/>
  <c r="AB59"/>
  <c r="L59"/>
  <c r="D59"/>
  <c r="R63"/>
  <c r="N63"/>
  <c r="J63"/>
  <c r="F63"/>
  <c r="Q63"/>
  <c r="M63"/>
  <c r="I63"/>
  <c r="E63"/>
  <c r="S63"/>
  <c r="K63"/>
  <c r="AB63"/>
  <c r="L63"/>
  <c r="D63"/>
  <c r="O63"/>
  <c r="G63"/>
  <c r="P63"/>
  <c r="H63"/>
  <c r="R67"/>
  <c r="N67"/>
  <c r="J67"/>
  <c r="F67"/>
  <c r="Q67"/>
  <c r="M67"/>
  <c r="I67"/>
  <c r="E67"/>
  <c r="O67"/>
  <c r="G67"/>
  <c r="P67"/>
  <c r="H67"/>
  <c r="S67"/>
  <c r="K67"/>
  <c r="AB67"/>
  <c r="L67"/>
  <c r="D67"/>
  <c r="V71"/>
  <c r="R71"/>
  <c r="N71"/>
  <c r="J71"/>
  <c r="F71"/>
  <c r="U71"/>
  <c r="Q71"/>
  <c r="M71"/>
  <c r="I71"/>
  <c r="E71"/>
  <c r="S71"/>
  <c r="K71"/>
  <c r="AB71"/>
  <c r="T71"/>
  <c r="L71"/>
  <c r="D71"/>
  <c r="W71"/>
  <c r="O71"/>
  <c r="G71"/>
  <c r="X71"/>
  <c r="P71"/>
  <c r="H71"/>
  <c r="J79"/>
  <c r="F79"/>
  <c r="Q79"/>
  <c r="M79"/>
  <c r="I79"/>
  <c r="E79"/>
  <c r="G79"/>
  <c r="H79"/>
  <c r="K79"/>
  <c r="AB79"/>
  <c r="L79"/>
  <c r="D79"/>
  <c r="R89"/>
  <c r="J89"/>
  <c r="F89"/>
  <c r="Q89"/>
  <c r="M89"/>
  <c r="I89"/>
  <c r="E89"/>
  <c r="S89"/>
  <c r="K89"/>
  <c r="AB89"/>
  <c r="L89"/>
  <c r="D89"/>
  <c r="G89"/>
  <c r="H89"/>
  <c r="J93"/>
  <c r="F93"/>
  <c r="M93"/>
  <c r="I93"/>
  <c r="E93"/>
  <c r="G93"/>
  <c r="H93"/>
  <c r="K93"/>
  <c r="AB93"/>
  <c r="L93"/>
  <c r="D93"/>
  <c r="J97"/>
  <c r="F97"/>
  <c r="M97"/>
  <c r="I97"/>
  <c r="E97"/>
  <c r="K97"/>
  <c r="AB97"/>
  <c r="L97"/>
  <c r="D97"/>
  <c r="G97"/>
  <c r="H97"/>
  <c r="N119"/>
  <c r="J119"/>
  <c r="F119"/>
  <c r="Q119"/>
  <c r="M119"/>
  <c r="I119"/>
  <c r="E119"/>
  <c r="G119"/>
  <c r="H119"/>
  <c r="S119"/>
  <c r="K119"/>
  <c r="AB119"/>
  <c r="L119"/>
  <c r="D119"/>
  <c r="J123"/>
  <c r="F123"/>
  <c r="M123"/>
  <c r="I123"/>
  <c r="E123"/>
  <c r="K123"/>
  <c r="AB123"/>
  <c r="L123"/>
  <c r="D123"/>
  <c r="G123"/>
  <c r="H123"/>
  <c r="J128"/>
  <c r="F128"/>
  <c r="Q128"/>
  <c r="M128"/>
  <c r="I128"/>
  <c r="E128"/>
  <c r="G128"/>
  <c r="H128"/>
  <c r="K128"/>
  <c r="AB128"/>
  <c r="L128"/>
  <c r="D128"/>
  <c r="J145"/>
  <c r="F145"/>
  <c r="M145"/>
  <c r="I145"/>
  <c r="E145"/>
  <c r="K145"/>
  <c r="AB145"/>
  <c r="L145"/>
  <c r="D145"/>
  <c r="G145"/>
  <c r="H145"/>
  <c r="J149"/>
  <c r="F149"/>
  <c r="Q149"/>
  <c r="M149"/>
  <c r="I149"/>
  <c r="E149"/>
  <c r="G149"/>
  <c r="H149"/>
  <c r="K149"/>
  <c r="AB149"/>
  <c r="L149"/>
  <c r="D149"/>
  <c r="J191"/>
  <c r="F191"/>
  <c r="M191"/>
  <c r="I191"/>
  <c r="E191"/>
  <c r="K191"/>
  <c r="AB191"/>
  <c r="L191"/>
  <c r="D191"/>
  <c r="G191"/>
  <c r="H191"/>
  <c r="J195"/>
  <c r="F195"/>
  <c r="Q195"/>
  <c r="M195"/>
  <c r="I195"/>
  <c r="E195"/>
  <c r="G195"/>
  <c r="H195"/>
  <c r="K195"/>
  <c r="AB195"/>
  <c r="L195"/>
  <c r="D195"/>
  <c r="J199"/>
  <c r="F199"/>
  <c r="Q199"/>
  <c r="M199"/>
  <c r="I199"/>
  <c r="E199"/>
  <c r="K199"/>
  <c r="AB199"/>
  <c r="L199"/>
  <c r="D199"/>
  <c r="G199"/>
  <c r="H199"/>
  <c r="J203"/>
  <c r="F203"/>
  <c r="Q203"/>
  <c r="M203"/>
  <c r="I203"/>
  <c r="E203"/>
  <c r="G203"/>
  <c r="H203"/>
  <c r="K203"/>
  <c r="AB203"/>
  <c r="L203"/>
  <c r="D203"/>
  <c r="J207"/>
  <c r="F207"/>
  <c r="Q207"/>
  <c r="M207"/>
  <c r="I207"/>
  <c r="E207"/>
  <c r="K207"/>
  <c r="AB207"/>
  <c r="L207"/>
  <c r="D207"/>
  <c r="G207"/>
  <c r="H207"/>
  <c r="R211"/>
  <c r="J211"/>
  <c r="F211"/>
  <c r="Q211"/>
  <c r="M211"/>
  <c r="I211"/>
  <c r="E211"/>
  <c r="G211"/>
  <c r="H211"/>
  <c r="S211"/>
  <c r="K211"/>
  <c r="AB211"/>
  <c r="L211"/>
  <c r="D211"/>
  <c r="J216"/>
  <c r="F216"/>
  <c r="M216"/>
  <c r="I216"/>
  <c r="E216"/>
  <c r="K216"/>
  <c r="AB216"/>
  <c r="L216"/>
  <c r="D216"/>
  <c r="G216"/>
  <c r="H216"/>
  <c r="J220"/>
  <c r="F220"/>
  <c r="Q220"/>
  <c r="M220"/>
  <c r="I220"/>
  <c r="E220"/>
  <c r="G220"/>
  <c r="H220"/>
  <c r="K220"/>
  <c r="AB220"/>
  <c r="L220"/>
  <c r="D220"/>
  <c r="J241"/>
  <c r="F241"/>
  <c r="M241"/>
  <c r="I241"/>
  <c r="E241"/>
  <c r="K241"/>
  <c r="AB241"/>
  <c r="L241"/>
  <c r="D241"/>
  <c r="G241"/>
  <c r="H241"/>
  <c r="J245"/>
  <c r="F245"/>
  <c r="M245"/>
  <c r="I245"/>
  <c r="E245"/>
  <c r="G245"/>
  <c r="H245"/>
  <c r="K245"/>
  <c r="AB245"/>
  <c r="L245"/>
  <c r="D245"/>
  <c r="R249"/>
  <c r="N249"/>
  <c r="J249"/>
  <c r="F249"/>
  <c r="Q249"/>
  <c r="M249"/>
  <c r="I249"/>
  <c r="E249"/>
  <c r="S249"/>
  <c r="K249"/>
  <c r="AB249"/>
  <c r="L249"/>
  <c r="D249"/>
  <c r="O249"/>
  <c r="G249"/>
  <c r="P249"/>
  <c r="H249"/>
  <c r="J253"/>
  <c r="F253"/>
  <c r="M253"/>
  <c r="I253"/>
  <c r="E253"/>
  <c r="G253"/>
  <c r="H253"/>
  <c r="K253"/>
  <c r="AB253"/>
  <c r="L253"/>
  <c r="D253"/>
  <c r="J257"/>
  <c r="F257"/>
  <c r="Q257"/>
  <c r="M257"/>
  <c r="I257"/>
  <c r="E257"/>
  <c r="K257"/>
  <c r="AB257"/>
  <c r="L257"/>
  <c r="D257"/>
  <c r="G257"/>
  <c r="H257"/>
  <c r="R357"/>
  <c r="N357"/>
  <c r="J357"/>
  <c r="F357"/>
  <c r="Q357"/>
  <c r="M357"/>
  <c r="I357"/>
  <c r="E357"/>
  <c r="O357"/>
  <c r="G357"/>
  <c r="P357"/>
  <c r="H357"/>
  <c r="S357"/>
  <c r="K357"/>
  <c r="AB357"/>
  <c r="L357"/>
  <c r="D357"/>
  <c r="J364"/>
  <c r="F364"/>
  <c r="M364"/>
  <c r="I364"/>
  <c r="E364"/>
  <c r="K364"/>
  <c r="AB364"/>
  <c r="L364"/>
  <c r="D364"/>
  <c r="G364"/>
  <c r="H364"/>
  <c r="R371"/>
  <c r="N371"/>
  <c r="J371"/>
  <c r="F371"/>
  <c r="Q371"/>
  <c r="M371"/>
  <c r="I371"/>
  <c r="E371"/>
  <c r="O371"/>
  <c r="G371"/>
  <c r="P371"/>
  <c r="H371"/>
  <c r="S371"/>
  <c r="K371"/>
  <c r="AB371"/>
  <c r="L371"/>
  <c r="D371"/>
  <c r="R376"/>
  <c r="N376"/>
  <c r="J376"/>
  <c r="F376"/>
  <c r="Q376"/>
  <c r="M376"/>
  <c r="I376"/>
  <c r="E376"/>
  <c r="S376"/>
  <c r="K376"/>
  <c r="AB376"/>
  <c r="L376"/>
  <c r="D376"/>
  <c r="O376"/>
  <c r="G376"/>
  <c r="P376"/>
  <c r="H376"/>
  <c r="R388"/>
  <c r="N388"/>
  <c r="J388"/>
  <c r="F388"/>
  <c r="Q388"/>
  <c r="M388"/>
  <c r="I388"/>
  <c r="E388"/>
  <c r="O388"/>
  <c r="G388"/>
  <c r="P388"/>
  <c r="H388"/>
  <c r="S388"/>
  <c r="K388"/>
  <c r="AB388"/>
  <c r="L388"/>
  <c r="D388"/>
  <c r="R402"/>
  <c r="N402"/>
  <c r="J402"/>
  <c r="F402"/>
  <c r="Q402"/>
  <c r="M402"/>
  <c r="I402"/>
  <c r="E402"/>
  <c r="S402"/>
  <c r="K402"/>
  <c r="AB402"/>
  <c r="L402"/>
  <c r="D402"/>
  <c r="O402"/>
  <c r="G402"/>
  <c r="P402"/>
  <c r="H402"/>
  <c r="J407"/>
  <c r="F407"/>
  <c r="M407"/>
  <c r="I407"/>
  <c r="E407"/>
  <c r="G407"/>
  <c r="H407"/>
  <c r="K407"/>
  <c r="AB407"/>
  <c r="L407"/>
  <c r="D407"/>
  <c r="R412"/>
  <c r="N412"/>
  <c r="J412"/>
  <c r="F412"/>
  <c r="Q412"/>
  <c r="M412"/>
  <c r="I412"/>
  <c r="E412"/>
  <c r="S412"/>
  <c r="K412"/>
  <c r="AB412"/>
  <c r="L412"/>
  <c r="D412"/>
  <c r="O412"/>
  <c r="G412"/>
  <c r="P412"/>
  <c r="H412"/>
  <c r="J416"/>
  <c r="F416"/>
  <c r="M416"/>
  <c r="I416"/>
  <c r="E416"/>
  <c r="G416"/>
  <c r="H416"/>
  <c r="K416"/>
  <c r="AB416"/>
  <c r="L416"/>
  <c r="D416"/>
  <c r="J421"/>
  <c r="F421"/>
  <c r="AB421"/>
  <c r="M421"/>
  <c r="I421"/>
  <c r="E421"/>
  <c r="K421"/>
  <c r="L421"/>
  <c r="D421"/>
  <c r="G421"/>
  <c r="H421"/>
  <c r="R426"/>
  <c r="N426"/>
  <c r="J426"/>
  <c r="F426"/>
  <c r="S426"/>
  <c r="O426"/>
  <c r="K426"/>
  <c r="G426"/>
  <c r="AB426"/>
  <c r="P426"/>
  <c r="L426"/>
  <c r="H426"/>
  <c r="D426"/>
  <c r="Q426"/>
  <c r="M426"/>
  <c r="I426"/>
  <c r="E426"/>
  <c r="J430"/>
  <c r="F430"/>
  <c r="K430"/>
  <c r="G430"/>
  <c r="AB430"/>
  <c r="L430"/>
  <c r="H430"/>
  <c r="D430"/>
  <c r="Q430"/>
  <c r="M430"/>
  <c r="I430"/>
  <c r="E430"/>
  <c r="J435"/>
  <c r="F435"/>
  <c r="K435"/>
  <c r="G435"/>
  <c r="AB435"/>
  <c r="L435"/>
  <c r="H435"/>
  <c r="D435"/>
  <c r="M435"/>
  <c r="I435"/>
  <c r="E435"/>
  <c r="J439"/>
  <c r="F439"/>
  <c r="K439"/>
  <c r="G439"/>
  <c r="AB439"/>
  <c r="L439"/>
  <c r="H439"/>
  <c r="D439"/>
  <c r="Q439"/>
  <c r="M439"/>
  <c r="I439"/>
  <c r="E439"/>
  <c r="R444"/>
  <c r="N444"/>
  <c r="J444"/>
  <c r="F444"/>
  <c r="S444"/>
  <c r="O444"/>
  <c r="K444"/>
  <c r="G444"/>
  <c r="AB444"/>
  <c r="T444"/>
  <c r="P444"/>
  <c r="L444"/>
  <c r="H444"/>
  <c r="D444"/>
  <c r="Q444"/>
  <c r="M444"/>
  <c r="I444"/>
  <c r="E444"/>
  <c r="J457"/>
  <c r="F457"/>
  <c r="K457"/>
  <c r="G457"/>
  <c r="AB457"/>
  <c r="L457"/>
  <c r="H457"/>
  <c r="D457"/>
  <c r="Q457"/>
  <c r="M457"/>
  <c r="I457"/>
  <c r="E457"/>
  <c r="R12" i="69"/>
  <c r="N12"/>
  <c r="J12"/>
  <c r="F12"/>
  <c r="S12"/>
  <c r="O12"/>
  <c r="K12"/>
  <c r="G12"/>
  <c r="AB12"/>
  <c r="P12"/>
  <c r="L12"/>
  <c r="H12"/>
  <c r="D12"/>
  <c r="Q12"/>
  <c r="M12"/>
  <c r="I12"/>
  <c r="E12"/>
  <c r="R16"/>
  <c r="N16"/>
  <c r="J16"/>
  <c r="F16"/>
  <c r="S16"/>
  <c r="O16"/>
  <c r="K16"/>
  <c r="G16"/>
  <c r="AB16"/>
  <c r="P16"/>
  <c r="L16"/>
  <c r="H16"/>
  <c r="D16"/>
  <c r="Q16"/>
  <c r="M16"/>
  <c r="I16"/>
  <c r="E16"/>
  <c r="J20"/>
  <c r="F20"/>
  <c r="K20"/>
  <c r="G20"/>
  <c r="AB20"/>
  <c r="L20"/>
  <c r="H20"/>
  <c r="D20"/>
  <c r="M20"/>
  <c r="I20"/>
  <c r="E20"/>
  <c r="R24"/>
  <c r="N24"/>
  <c r="J24"/>
  <c r="F24"/>
  <c r="S24"/>
  <c r="O24"/>
  <c r="K24"/>
  <c r="G24"/>
  <c r="AB24"/>
  <c r="P24"/>
  <c r="L24"/>
  <c r="H24"/>
  <c r="D24"/>
  <c r="Q24"/>
  <c r="M24"/>
  <c r="I24"/>
  <c r="E24"/>
  <c r="J29"/>
  <c r="F29"/>
  <c r="K29"/>
  <c r="G29"/>
  <c r="AB29"/>
  <c r="L29"/>
  <c r="H29"/>
  <c r="D29"/>
  <c r="Q29"/>
  <c r="M29"/>
  <c r="I29"/>
  <c r="E29"/>
  <c r="J33"/>
  <c r="F33"/>
  <c r="K33"/>
  <c r="G33"/>
  <c r="AB33"/>
  <c r="L33"/>
  <c r="H33"/>
  <c r="D33"/>
  <c r="M33"/>
  <c r="I33"/>
  <c r="E33"/>
  <c r="R38"/>
  <c r="N38"/>
  <c r="J38"/>
  <c r="F38"/>
  <c r="S38"/>
  <c r="O38"/>
  <c r="K38"/>
  <c r="G38"/>
  <c r="AB38"/>
  <c r="P38"/>
  <c r="L38"/>
  <c r="H38"/>
  <c r="D38"/>
  <c r="Q38"/>
  <c r="M38"/>
  <c r="I38"/>
  <c r="E38"/>
  <c r="R42"/>
  <c r="N42"/>
  <c r="J42"/>
  <c r="F42"/>
  <c r="S42"/>
  <c r="O42"/>
  <c r="K42"/>
  <c r="G42"/>
  <c r="AB42"/>
  <c r="P42"/>
  <c r="L42"/>
  <c r="H42"/>
  <c r="D42"/>
  <c r="Q42"/>
  <c r="M42"/>
  <c r="I42"/>
  <c r="E42"/>
  <c r="J47"/>
  <c r="F47"/>
  <c r="K47"/>
  <c r="G47"/>
  <c r="AB47"/>
  <c r="L47"/>
  <c r="H47"/>
  <c r="D47"/>
  <c r="Q47"/>
  <c r="M47"/>
  <c r="I47"/>
  <c r="E47"/>
  <c r="R51"/>
  <c r="J51"/>
  <c r="F51"/>
  <c r="K51"/>
  <c r="G51"/>
  <c r="AB51"/>
  <c r="L51"/>
  <c r="H51"/>
  <c r="D51"/>
  <c r="Q51"/>
  <c r="M51"/>
  <c r="I51"/>
  <c r="E51"/>
  <c r="J55"/>
  <c r="F55"/>
  <c r="K55"/>
  <c r="G55"/>
  <c r="AB55"/>
  <c r="L55"/>
  <c r="H55"/>
  <c r="D55"/>
  <c r="M55"/>
  <c r="I55"/>
  <c r="E55"/>
  <c r="J60"/>
  <c r="F60"/>
  <c r="K60"/>
  <c r="G60"/>
  <c r="AB60"/>
  <c r="L60"/>
  <c r="H60"/>
  <c r="D60"/>
  <c r="M60"/>
  <c r="I60"/>
  <c r="E60"/>
  <c r="V64"/>
  <c r="R64"/>
  <c r="N64"/>
  <c r="J64"/>
  <c r="F64"/>
  <c r="AA64"/>
  <c r="W64"/>
  <c r="S64"/>
  <c r="O64"/>
  <c r="K64"/>
  <c r="G64"/>
  <c r="AB64"/>
  <c r="X64"/>
  <c r="T64"/>
  <c r="P64"/>
  <c r="L64"/>
  <c r="H64"/>
  <c r="D64"/>
  <c r="U64"/>
  <c r="Q64"/>
  <c r="M64"/>
  <c r="I64"/>
  <c r="E64"/>
  <c r="J68"/>
  <c r="F68"/>
  <c r="K68"/>
  <c r="G68"/>
  <c r="AB68"/>
  <c r="L68"/>
  <c r="H68"/>
  <c r="D68"/>
  <c r="Q68"/>
  <c r="M68"/>
  <c r="I68"/>
  <c r="E68"/>
  <c r="V72"/>
  <c r="R72"/>
  <c r="N72"/>
  <c r="J72"/>
  <c r="F72"/>
  <c r="W72"/>
  <c r="S72"/>
  <c r="O72"/>
  <c r="K72"/>
  <c r="G72"/>
  <c r="AB72"/>
  <c r="X72"/>
  <c r="T72"/>
  <c r="P72"/>
  <c r="L72"/>
  <c r="H72"/>
  <c r="D72"/>
  <c r="U72"/>
  <c r="Q72"/>
  <c r="M72"/>
  <c r="I72"/>
  <c r="E72"/>
  <c r="J80"/>
  <c r="F80"/>
  <c r="K80"/>
  <c r="G80"/>
  <c r="AB80"/>
  <c r="L80"/>
  <c r="H80"/>
  <c r="D80"/>
  <c r="Q80"/>
  <c r="M80"/>
  <c r="I80"/>
  <c r="E80"/>
  <c r="R90"/>
  <c r="J90"/>
  <c r="F90"/>
  <c r="K90"/>
  <c r="G90"/>
  <c r="AB90"/>
  <c r="L90"/>
  <c r="H90"/>
  <c r="D90"/>
  <c r="M90"/>
  <c r="I90"/>
  <c r="E90"/>
  <c r="R94"/>
  <c r="N94"/>
  <c r="J94"/>
  <c r="F94"/>
  <c r="S94"/>
  <c r="K94"/>
  <c r="G94"/>
  <c r="AB94"/>
  <c r="L94"/>
  <c r="H94"/>
  <c r="D94"/>
  <c r="Q94"/>
  <c r="M94"/>
  <c r="I94"/>
  <c r="E94"/>
  <c r="J98"/>
  <c r="F98"/>
  <c r="K98"/>
  <c r="G98"/>
  <c r="AB98"/>
  <c r="L98"/>
  <c r="H98"/>
  <c r="D98"/>
  <c r="Q98"/>
  <c r="M98"/>
  <c r="I98"/>
  <c r="E98"/>
  <c r="J120"/>
  <c r="F120"/>
  <c r="K120"/>
  <c r="G120"/>
  <c r="AB120"/>
  <c r="L120"/>
  <c r="H120"/>
  <c r="D120"/>
  <c r="Q120"/>
  <c r="M120"/>
  <c r="I120"/>
  <c r="E120"/>
  <c r="J124"/>
  <c r="F124"/>
  <c r="K124"/>
  <c r="G124"/>
  <c r="AB124"/>
  <c r="L124"/>
  <c r="H124"/>
  <c r="D124"/>
  <c r="Q124"/>
  <c r="M124"/>
  <c r="I124"/>
  <c r="E124"/>
  <c r="J142"/>
  <c r="F142"/>
  <c r="K142"/>
  <c r="G142"/>
  <c r="AB142"/>
  <c r="L142"/>
  <c r="H142"/>
  <c r="D142"/>
  <c r="Q142"/>
  <c r="M142"/>
  <c r="I142"/>
  <c r="E142"/>
  <c r="R146"/>
  <c r="N146"/>
  <c r="J146"/>
  <c r="F146"/>
  <c r="K146"/>
  <c r="G146"/>
  <c r="AB146"/>
  <c r="L146"/>
  <c r="H146"/>
  <c r="D146"/>
  <c r="M146"/>
  <c r="I146"/>
  <c r="E146"/>
  <c r="J150"/>
  <c r="F150"/>
  <c r="K150"/>
  <c r="G150"/>
  <c r="AB150"/>
  <c r="L150"/>
  <c r="H150"/>
  <c r="D150"/>
  <c r="Q150"/>
  <c r="M150"/>
  <c r="I150"/>
  <c r="E150"/>
  <c r="J192"/>
  <c r="F192"/>
  <c r="K192"/>
  <c r="G192"/>
  <c r="AB192"/>
  <c r="L192"/>
  <c r="H192"/>
  <c r="D192"/>
  <c r="Q192"/>
  <c r="M192"/>
  <c r="I192"/>
  <c r="E192"/>
  <c r="AB196"/>
  <c r="L196"/>
  <c r="H196"/>
  <c r="D196"/>
  <c r="M196"/>
  <c r="G196"/>
  <c r="I196"/>
  <c r="J196"/>
  <c r="E196"/>
  <c r="Q196"/>
  <c r="K196"/>
  <c r="F196"/>
  <c r="AB200"/>
  <c r="L200"/>
  <c r="H200"/>
  <c r="D200"/>
  <c r="Q200"/>
  <c r="K200"/>
  <c r="F200"/>
  <c r="M200"/>
  <c r="G200"/>
  <c r="I200"/>
  <c r="J200"/>
  <c r="E200"/>
  <c r="Q204"/>
  <c r="M204"/>
  <c r="I204"/>
  <c r="E204"/>
  <c r="R204"/>
  <c r="J204"/>
  <c r="F204"/>
  <c r="K204"/>
  <c r="G204"/>
  <c r="AB204"/>
  <c r="L204"/>
  <c r="H204"/>
  <c r="D204"/>
  <c r="Q208"/>
  <c r="M208"/>
  <c r="I208"/>
  <c r="E208"/>
  <c r="R208"/>
  <c r="J208"/>
  <c r="F208"/>
  <c r="K208"/>
  <c r="G208"/>
  <c r="AB208"/>
  <c r="L208"/>
  <c r="H208"/>
  <c r="D208"/>
  <c r="Q213"/>
  <c r="M213"/>
  <c r="I213"/>
  <c r="E213"/>
  <c r="J213"/>
  <c r="F213"/>
  <c r="K213"/>
  <c r="G213"/>
  <c r="AB213"/>
  <c r="L213"/>
  <c r="H213"/>
  <c r="D213"/>
  <c r="Q217"/>
  <c r="M217"/>
  <c r="I217"/>
  <c r="E217"/>
  <c r="J217"/>
  <c r="F217"/>
  <c r="K217"/>
  <c r="G217"/>
  <c r="AB217"/>
  <c r="L217"/>
  <c r="H217"/>
  <c r="D217"/>
  <c r="Q221"/>
  <c r="M221"/>
  <c r="I221"/>
  <c r="E221"/>
  <c r="J221"/>
  <c r="F221"/>
  <c r="K221"/>
  <c r="G221"/>
  <c r="AB221"/>
  <c r="L221"/>
  <c r="H221"/>
  <c r="D221"/>
  <c r="Q242"/>
  <c r="M242"/>
  <c r="I242"/>
  <c r="E242"/>
  <c r="J242"/>
  <c r="F242"/>
  <c r="K242"/>
  <c r="G242"/>
  <c r="AB242"/>
  <c r="L242"/>
  <c r="H242"/>
  <c r="D242"/>
  <c r="Q246"/>
  <c r="M246"/>
  <c r="I246"/>
  <c r="E246"/>
  <c r="J246"/>
  <c r="F246"/>
  <c r="K246"/>
  <c r="G246"/>
  <c r="AB246"/>
  <c r="L246"/>
  <c r="H246"/>
  <c r="D246"/>
  <c r="Q250"/>
  <c r="M250"/>
  <c r="I250"/>
  <c r="E250"/>
  <c r="J250"/>
  <c r="F250"/>
  <c r="K250"/>
  <c r="G250"/>
  <c r="AB250"/>
  <c r="L250"/>
  <c r="H250"/>
  <c r="D250"/>
  <c r="M254"/>
  <c r="I254"/>
  <c r="E254"/>
  <c r="J254"/>
  <c r="F254"/>
  <c r="K254"/>
  <c r="G254"/>
  <c r="AB254"/>
  <c r="L254"/>
  <c r="H254"/>
  <c r="D254"/>
  <c r="Q352"/>
  <c r="M352"/>
  <c r="I352"/>
  <c r="E352"/>
  <c r="J352"/>
  <c r="F352"/>
  <c r="K352"/>
  <c r="G352"/>
  <c r="AB352"/>
  <c r="L352"/>
  <c r="H352"/>
  <c r="D352"/>
  <c r="Q365"/>
  <c r="M365"/>
  <c r="I365"/>
  <c r="E365"/>
  <c r="R365"/>
  <c r="J365"/>
  <c r="F365"/>
  <c r="K365"/>
  <c r="G365"/>
  <c r="AB365"/>
  <c r="L365"/>
  <c r="H365"/>
  <c r="D365"/>
  <c r="M372"/>
  <c r="I372"/>
  <c r="E372"/>
  <c r="J372"/>
  <c r="F372"/>
  <c r="K372"/>
  <c r="G372"/>
  <c r="AB372"/>
  <c r="L372"/>
  <c r="H372"/>
  <c r="D372"/>
  <c r="Q384"/>
  <c r="M384"/>
  <c r="I384"/>
  <c r="E384"/>
  <c r="R384"/>
  <c r="N384"/>
  <c r="J384"/>
  <c r="F384"/>
  <c r="S384"/>
  <c r="O384"/>
  <c r="K384"/>
  <c r="G384"/>
  <c r="AB384"/>
  <c r="P384"/>
  <c r="L384"/>
  <c r="H384"/>
  <c r="D384"/>
  <c r="Q389"/>
  <c r="M389"/>
  <c r="I389"/>
  <c r="E389"/>
  <c r="R389"/>
  <c r="N389"/>
  <c r="J389"/>
  <c r="F389"/>
  <c r="S389"/>
  <c r="O389"/>
  <c r="K389"/>
  <c r="G389"/>
  <c r="AB389"/>
  <c r="P389"/>
  <c r="L389"/>
  <c r="H389"/>
  <c r="D389"/>
  <c r="Q404"/>
  <c r="M404"/>
  <c r="I404"/>
  <c r="E404"/>
  <c r="J404"/>
  <c r="F404"/>
  <c r="K404"/>
  <c r="G404"/>
  <c r="AB404"/>
  <c r="L404"/>
  <c r="H404"/>
  <c r="D404"/>
  <c r="Q408"/>
  <c r="M408"/>
  <c r="I408"/>
  <c r="E408"/>
  <c r="R408"/>
  <c r="J408"/>
  <c r="F408"/>
  <c r="K408"/>
  <c r="G408"/>
  <c r="AB408"/>
  <c r="L408"/>
  <c r="H408"/>
  <c r="D408"/>
  <c r="Q413"/>
  <c r="M413"/>
  <c r="I413"/>
  <c r="E413"/>
  <c r="J413"/>
  <c r="F413"/>
  <c r="K413"/>
  <c r="G413"/>
  <c r="AB413"/>
  <c r="L413"/>
  <c r="H413"/>
  <c r="D413"/>
  <c r="Q417"/>
  <c r="M417"/>
  <c r="I417"/>
  <c r="E417"/>
  <c r="J417"/>
  <c r="F417"/>
  <c r="K417"/>
  <c r="G417"/>
  <c r="AB417"/>
  <c r="L417"/>
  <c r="H417"/>
  <c r="D417"/>
  <c r="Q422"/>
  <c r="M422"/>
  <c r="I422"/>
  <c r="E422"/>
  <c r="J422"/>
  <c r="F422"/>
  <c r="K422"/>
  <c r="G422"/>
  <c r="AB422"/>
  <c r="L422"/>
  <c r="H422"/>
  <c r="D422"/>
  <c r="M427"/>
  <c r="I427"/>
  <c r="E427"/>
  <c r="J427"/>
  <c r="F427"/>
  <c r="K427"/>
  <c r="G427"/>
  <c r="AB427"/>
  <c r="L427"/>
  <c r="H427"/>
  <c r="D427"/>
  <c r="M431"/>
  <c r="I431"/>
  <c r="E431"/>
  <c r="J431"/>
  <c r="F431"/>
  <c r="K431"/>
  <c r="G431"/>
  <c r="AB431"/>
  <c r="L431"/>
  <c r="H431"/>
  <c r="D431"/>
  <c r="Q436"/>
  <c r="M436"/>
  <c r="I436"/>
  <c r="E436"/>
  <c r="J436"/>
  <c r="F436"/>
  <c r="K436"/>
  <c r="G436"/>
  <c r="AB436"/>
  <c r="L436"/>
  <c r="H436"/>
  <c r="D436"/>
  <c r="Q441"/>
  <c r="M441"/>
  <c r="I441"/>
  <c r="E441"/>
  <c r="J441"/>
  <c r="F441"/>
  <c r="K441"/>
  <c r="G441"/>
  <c r="AB441"/>
  <c r="L441"/>
  <c r="H441"/>
  <c r="D441"/>
  <c r="Q448"/>
  <c r="M448"/>
  <c r="I448"/>
  <c r="E448"/>
  <c r="J448"/>
  <c r="F448"/>
  <c r="K448"/>
  <c r="G448"/>
  <c r="AB448"/>
  <c r="L448"/>
  <c r="H448"/>
  <c r="D448"/>
  <c r="M461"/>
  <c r="I461"/>
  <c r="E461"/>
  <c r="J461"/>
  <c r="F461"/>
  <c r="K461"/>
  <c r="G461"/>
  <c r="AB461"/>
  <c r="L461"/>
  <c r="H461"/>
  <c r="D461"/>
  <c r="Q13" i="70"/>
  <c r="M13"/>
  <c r="I13"/>
  <c r="E13"/>
  <c r="R13"/>
  <c r="N13"/>
  <c r="J13"/>
  <c r="F13"/>
  <c r="S13"/>
  <c r="O13"/>
  <c r="K13"/>
  <c r="G13"/>
  <c r="AB13"/>
  <c r="P13"/>
  <c r="L13"/>
  <c r="H13"/>
  <c r="D13"/>
  <c r="Q17"/>
  <c r="M17"/>
  <c r="I17"/>
  <c r="E17"/>
  <c r="R17"/>
  <c r="N17"/>
  <c r="J17"/>
  <c r="F17"/>
  <c r="S17"/>
  <c r="O17"/>
  <c r="K17"/>
  <c r="G17"/>
  <c r="AB17"/>
  <c r="P17"/>
  <c r="L17"/>
  <c r="H17"/>
  <c r="D17"/>
  <c r="Q21"/>
  <c r="M21"/>
  <c r="I21"/>
  <c r="E21"/>
  <c r="J21"/>
  <c r="F21"/>
  <c r="K21"/>
  <c r="G21"/>
  <c r="AB21"/>
  <c r="L21"/>
  <c r="H21"/>
  <c r="D21"/>
  <c r="Q26"/>
  <c r="M26"/>
  <c r="I26"/>
  <c r="E26"/>
  <c r="R26"/>
  <c r="J26"/>
  <c r="F26"/>
  <c r="K26"/>
  <c r="G26"/>
  <c r="AB26"/>
  <c r="L26"/>
  <c r="H26"/>
  <c r="D26"/>
  <c r="Q30"/>
  <c r="M30"/>
  <c r="I30"/>
  <c r="E30"/>
  <c r="R30"/>
  <c r="J30"/>
  <c r="F30"/>
  <c r="K30"/>
  <c r="G30"/>
  <c r="AB30"/>
  <c r="L30"/>
  <c r="H30"/>
  <c r="D30"/>
  <c r="Q34"/>
  <c r="M34"/>
  <c r="I34"/>
  <c r="E34"/>
  <c r="R34"/>
  <c r="J34"/>
  <c r="F34"/>
  <c r="K34"/>
  <c r="G34"/>
  <c r="AB34"/>
  <c r="L34"/>
  <c r="H34"/>
  <c r="D34"/>
  <c r="U39"/>
  <c r="Q39"/>
  <c r="M39"/>
  <c r="I39"/>
  <c r="E39"/>
  <c r="V39"/>
  <c r="R39"/>
  <c r="N39"/>
  <c r="J39"/>
  <c r="F39"/>
  <c r="AA39"/>
  <c r="W39"/>
  <c r="S39"/>
  <c r="O39"/>
  <c r="K39"/>
  <c r="G39"/>
  <c r="AB39"/>
  <c r="X39"/>
  <c r="T39"/>
  <c r="P39"/>
  <c r="L39"/>
  <c r="H39"/>
  <c r="D39"/>
  <c r="U44"/>
  <c r="Q44"/>
  <c r="M44"/>
  <c r="I44"/>
  <c r="E44"/>
  <c r="V44"/>
  <c r="R44"/>
  <c r="N44"/>
  <c r="J44"/>
  <c r="F44"/>
  <c r="AA44"/>
  <c r="W44"/>
  <c r="S44"/>
  <c r="O44"/>
  <c r="K44"/>
  <c r="G44"/>
  <c r="AB44"/>
  <c r="X44"/>
  <c r="T44"/>
  <c r="P44"/>
  <c r="L44"/>
  <c r="H44"/>
  <c r="D44"/>
  <c r="U48"/>
  <c r="Q48"/>
  <c r="M48"/>
  <c r="I48"/>
  <c r="E48"/>
  <c r="R48"/>
  <c r="N48"/>
  <c r="J48"/>
  <c r="F48"/>
  <c r="W48"/>
  <c r="S48"/>
  <c r="O48"/>
  <c r="K48"/>
  <c r="G48"/>
  <c r="AB48"/>
  <c r="T48"/>
  <c r="P48"/>
  <c r="L48"/>
  <c r="H48"/>
  <c r="D48"/>
  <c r="U52"/>
  <c r="Q52"/>
  <c r="M52"/>
  <c r="I52"/>
  <c r="E52"/>
  <c r="V52"/>
  <c r="R52"/>
  <c r="N52"/>
  <c r="J52"/>
  <c r="F52"/>
  <c r="W52"/>
  <c r="S52"/>
  <c r="O52"/>
  <c r="K52"/>
  <c r="G52"/>
  <c r="AB52"/>
  <c r="X52"/>
  <c r="T52"/>
  <c r="P52"/>
  <c r="L52"/>
  <c r="H52"/>
  <c r="D52"/>
  <c r="U57"/>
  <c r="Q57"/>
  <c r="M57"/>
  <c r="I57"/>
  <c r="E57"/>
  <c r="V57"/>
  <c r="R57"/>
  <c r="N57"/>
  <c r="J57"/>
  <c r="F57"/>
  <c r="S57"/>
  <c r="O57"/>
  <c r="K57"/>
  <c r="G57"/>
  <c r="AB57"/>
  <c r="T57"/>
  <c r="P57"/>
  <c r="L57"/>
  <c r="H57"/>
  <c r="D57"/>
  <c r="Q61"/>
  <c r="M61"/>
  <c r="I61"/>
  <c r="E61"/>
  <c r="R61"/>
  <c r="N61"/>
  <c r="J61"/>
  <c r="F61"/>
  <c r="S61"/>
  <c r="O61"/>
  <c r="K61"/>
  <c r="G61"/>
  <c r="AB61"/>
  <c r="T61"/>
  <c r="P61"/>
  <c r="L61"/>
  <c r="H61"/>
  <c r="D61"/>
  <c r="Q65"/>
  <c r="M65"/>
  <c r="I65"/>
  <c r="E65"/>
  <c r="R65"/>
  <c r="N65"/>
  <c r="J65"/>
  <c r="F65"/>
  <c r="S65"/>
  <c r="O65"/>
  <c r="K65"/>
  <c r="G65"/>
  <c r="AB65"/>
  <c r="P65"/>
  <c r="L65"/>
  <c r="H65"/>
  <c r="D65"/>
  <c r="Q69"/>
  <c r="M69"/>
  <c r="I69"/>
  <c r="E69"/>
  <c r="R69"/>
  <c r="N69"/>
  <c r="J69"/>
  <c r="F69"/>
  <c r="S69"/>
  <c r="O69"/>
  <c r="K69"/>
  <c r="G69"/>
  <c r="AB69"/>
  <c r="P69"/>
  <c r="L69"/>
  <c r="H69"/>
  <c r="D69"/>
  <c r="AA386" i="39"/>
  <c r="R13" i="71"/>
  <c r="N13"/>
  <c r="J13"/>
  <c r="F13"/>
  <c r="S13"/>
  <c r="O13"/>
  <c r="K13"/>
  <c r="G13"/>
  <c r="AB13"/>
  <c r="P13"/>
  <c r="L13"/>
  <c r="H13"/>
  <c r="D13"/>
  <c r="Q13"/>
  <c r="M13"/>
  <c r="I13"/>
  <c r="E13"/>
  <c r="R34"/>
  <c r="N34"/>
  <c r="J34"/>
  <c r="F34"/>
  <c r="S34"/>
  <c r="O34"/>
  <c r="K34"/>
  <c r="G34"/>
  <c r="AB34"/>
  <c r="P34"/>
  <c r="L34"/>
  <c r="H34"/>
  <c r="D34"/>
  <c r="Q34"/>
  <c r="M34"/>
  <c r="I34"/>
  <c r="E34"/>
  <c r="V48"/>
  <c r="R48"/>
  <c r="N48"/>
  <c r="J48"/>
  <c r="F48"/>
  <c r="S48"/>
  <c r="O48"/>
  <c r="K48"/>
  <c r="G48"/>
  <c r="AB48"/>
  <c r="T48"/>
  <c r="P48"/>
  <c r="L48"/>
  <c r="H48"/>
  <c r="D48"/>
  <c r="U48"/>
  <c r="Q48"/>
  <c r="M48"/>
  <c r="I48"/>
  <c r="E48"/>
  <c r="R61"/>
  <c r="N61"/>
  <c r="J61"/>
  <c r="F61"/>
  <c r="S61"/>
  <c r="O61"/>
  <c r="K61"/>
  <c r="G61"/>
  <c r="AB61"/>
  <c r="P61"/>
  <c r="L61"/>
  <c r="H61"/>
  <c r="D61"/>
  <c r="Q61"/>
  <c r="M61"/>
  <c r="I61"/>
  <c r="E61"/>
  <c r="J73"/>
  <c r="F73"/>
  <c r="K73"/>
  <c r="G73"/>
  <c r="AB73"/>
  <c r="L73"/>
  <c r="H73"/>
  <c r="D73"/>
  <c r="M73"/>
  <c r="I73"/>
  <c r="E73"/>
  <c r="J95"/>
  <c r="F95"/>
  <c r="K95"/>
  <c r="G95"/>
  <c r="AB95"/>
  <c r="L95"/>
  <c r="H95"/>
  <c r="D95"/>
  <c r="Q95"/>
  <c r="M95"/>
  <c r="I95"/>
  <c r="E95"/>
  <c r="J125"/>
  <c r="F125"/>
  <c r="K125"/>
  <c r="G125"/>
  <c r="L125"/>
  <c r="H125"/>
  <c r="D125"/>
  <c r="M125"/>
  <c r="I125"/>
  <c r="E125"/>
  <c r="R193"/>
  <c r="N193"/>
  <c r="J193"/>
  <c r="F193"/>
  <c r="S193"/>
  <c r="O193"/>
  <c r="K193"/>
  <c r="G193"/>
  <c r="P193"/>
  <c r="L193"/>
  <c r="H193"/>
  <c r="D193"/>
  <c r="Q193"/>
  <c r="M193"/>
  <c r="I193"/>
  <c r="E193"/>
  <c r="R218"/>
  <c r="N218"/>
  <c r="J218"/>
  <c r="F218"/>
  <c r="S218"/>
  <c r="O218"/>
  <c r="K218"/>
  <c r="G218"/>
  <c r="AB218"/>
  <c r="P218"/>
  <c r="L218"/>
  <c r="H218"/>
  <c r="D218"/>
  <c r="Q218"/>
  <c r="M218"/>
  <c r="I218"/>
  <c r="E218"/>
  <c r="AB247"/>
  <c r="P247"/>
  <c r="L247"/>
  <c r="H247"/>
  <c r="D247"/>
  <c r="R247"/>
  <c r="M247"/>
  <c r="G247"/>
  <c r="S247"/>
  <c r="N247"/>
  <c r="I247"/>
  <c r="O247"/>
  <c r="J247"/>
  <c r="E247"/>
  <c r="Q247"/>
  <c r="K247"/>
  <c r="F247"/>
  <c r="Q251"/>
  <c r="M251"/>
  <c r="I251"/>
  <c r="E251"/>
  <c r="R251"/>
  <c r="N251"/>
  <c r="J251"/>
  <c r="F251"/>
  <c r="S251"/>
  <c r="O251"/>
  <c r="K251"/>
  <c r="G251"/>
  <c r="AB251"/>
  <c r="P251"/>
  <c r="L251"/>
  <c r="H251"/>
  <c r="D251"/>
  <c r="U373"/>
  <c r="Q373"/>
  <c r="M373"/>
  <c r="I373"/>
  <c r="E373"/>
  <c r="V373"/>
  <c r="R373"/>
  <c r="N373"/>
  <c r="J373"/>
  <c r="F373"/>
  <c r="W373"/>
  <c r="S373"/>
  <c r="O373"/>
  <c r="K373"/>
  <c r="G373"/>
  <c r="AB373"/>
  <c r="X373"/>
  <c r="T373"/>
  <c r="P373"/>
  <c r="L373"/>
  <c r="H373"/>
  <c r="D373"/>
  <c r="Q409"/>
  <c r="M409"/>
  <c r="I409"/>
  <c r="E409"/>
  <c r="R409"/>
  <c r="N409"/>
  <c r="J409"/>
  <c r="F409"/>
  <c r="S409"/>
  <c r="O409"/>
  <c r="K409"/>
  <c r="G409"/>
  <c r="AB409"/>
  <c r="P409"/>
  <c r="L409"/>
  <c r="H409"/>
  <c r="D409"/>
  <c r="U423"/>
  <c r="Q423"/>
  <c r="M423"/>
  <c r="I423"/>
  <c r="E423"/>
  <c r="V423"/>
  <c r="R423"/>
  <c r="N423"/>
  <c r="J423"/>
  <c r="F423"/>
  <c r="W423"/>
  <c r="S423"/>
  <c r="O423"/>
  <c r="K423"/>
  <c r="G423"/>
  <c r="AB423"/>
  <c r="T423"/>
  <c r="P423"/>
  <c r="L423"/>
  <c r="H423"/>
  <c r="D423"/>
  <c r="Q437"/>
  <c r="M437"/>
  <c r="I437"/>
  <c r="E437"/>
  <c r="R437"/>
  <c r="N437"/>
  <c r="J437"/>
  <c r="F437"/>
  <c r="S437"/>
  <c r="O437"/>
  <c r="K437"/>
  <c r="G437"/>
  <c r="AB437"/>
  <c r="P437"/>
  <c r="L437"/>
  <c r="H437"/>
  <c r="D437"/>
  <c r="M14" i="72"/>
  <c r="I14"/>
  <c r="E14"/>
  <c r="J14"/>
  <c r="F14"/>
  <c r="K14"/>
  <c r="G14"/>
  <c r="L14"/>
  <c r="H14"/>
  <c r="D14"/>
  <c r="U27"/>
  <c r="Q27"/>
  <c r="M27"/>
  <c r="I27"/>
  <c r="E27"/>
  <c r="V27"/>
  <c r="R27"/>
  <c r="N27"/>
  <c r="J27"/>
  <c r="F27"/>
  <c r="W27"/>
  <c r="S27"/>
  <c r="O27"/>
  <c r="K27"/>
  <c r="G27"/>
  <c r="X27"/>
  <c r="T27"/>
  <c r="P27"/>
  <c r="L27"/>
  <c r="H27"/>
  <c r="D27"/>
  <c r="U45"/>
  <c r="Q45"/>
  <c r="M45"/>
  <c r="I45"/>
  <c r="E45"/>
  <c r="V45"/>
  <c r="R45"/>
  <c r="N45"/>
  <c r="J45"/>
  <c r="F45"/>
  <c r="W45"/>
  <c r="S45"/>
  <c r="O45"/>
  <c r="K45"/>
  <c r="G45"/>
  <c r="T45"/>
  <c r="P45"/>
  <c r="L45"/>
  <c r="H45"/>
  <c r="D45"/>
  <c r="Q62"/>
  <c r="M62"/>
  <c r="I62"/>
  <c r="E62"/>
  <c r="R62"/>
  <c r="N62"/>
  <c r="J62"/>
  <c r="F62"/>
  <c r="S62"/>
  <c r="O62"/>
  <c r="K62"/>
  <c r="G62"/>
  <c r="P62"/>
  <c r="L62"/>
  <c r="H62"/>
  <c r="D62"/>
  <c r="Q78"/>
  <c r="M78"/>
  <c r="I78"/>
  <c r="E78"/>
  <c r="R78"/>
  <c r="N78"/>
  <c r="J78"/>
  <c r="F78"/>
  <c r="S78"/>
  <c r="K78"/>
  <c r="G78"/>
  <c r="T78"/>
  <c r="L78"/>
  <c r="H78"/>
  <c r="D78"/>
  <c r="R96"/>
  <c r="N96"/>
  <c r="J96"/>
  <c r="F96"/>
  <c r="P96"/>
  <c r="K96"/>
  <c r="E96"/>
  <c r="AB96"/>
  <c r="Q96"/>
  <c r="L96"/>
  <c r="G96"/>
  <c r="S96"/>
  <c r="M96"/>
  <c r="H96"/>
  <c r="O96"/>
  <c r="I96"/>
  <c r="D96"/>
  <c r="S148"/>
  <c r="O148"/>
  <c r="K148"/>
  <c r="G148"/>
  <c r="T148"/>
  <c r="P148"/>
  <c r="L148"/>
  <c r="H148"/>
  <c r="D148"/>
  <c r="U148"/>
  <c r="Q148"/>
  <c r="M148"/>
  <c r="I148"/>
  <c r="E148"/>
  <c r="R148"/>
  <c r="N148"/>
  <c r="J148"/>
  <c r="F148"/>
  <c r="S206"/>
  <c r="O206"/>
  <c r="K206"/>
  <c r="G206"/>
  <c r="P206"/>
  <c r="L206"/>
  <c r="H206"/>
  <c r="D206"/>
  <c r="Q206"/>
  <c r="M206"/>
  <c r="I206"/>
  <c r="E206"/>
  <c r="R206"/>
  <c r="N206"/>
  <c r="J206"/>
  <c r="F206"/>
  <c r="K244"/>
  <c r="G244"/>
  <c r="L244"/>
  <c r="H244"/>
  <c r="D244"/>
  <c r="Q244"/>
  <c r="M244"/>
  <c r="I244"/>
  <c r="E244"/>
  <c r="R244"/>
  <c r="J244"/>
  <c r="F244"/>
  <c r="S363"/>
  <c r="O363"/>
  <c r="K363"/>
  <c r="G363"/>
  <c r="P363"/>
  <c r="L363"/>
  <c r="H363"/>
  <c r="D363"/>
  <c r="Q363"/>
  <c r="M363"/>
  <c r="I363"/>
  <c r="E363"/>
  <c r="R363"/>
  <c r="N363"/>
  <c r="J363"/>
  <c r="F363"/>
  <c r="AA401"/>
  <c r="W401"/>
  <c r="S401"/>
  <c r="O401"/>
  <c r="K401"/>
  <c r="G401"/>
  <c r="AB401"/>
  <c r="T401"/>
  <c r="P401"/>
  <c r="L401"/>
  <c r="H401"/>
  <c r="D401"/>
  <c r="U401"/>
  <c r="Q401"/>
  <c r="M401"/>
  <c r="I401"/>
  <c r="E401"/>
  <c r="V401"/>
  <c r="R401"/>
  <c r="N401"/>
  <c r="J401"/>
  <c r="F401"/>
  <c r="S415"/>
  <c r="O415"/>
  <c r="K415"/>
  <c r="G415"/>
  <c r="AB415"/>
  <c r="P415"/>
  <c r="L415"/>
  <c r="H415"/>
  <c r="D415"/>
  <c r="Q415"/>
  <c r="M415"/>
  <c r="I415"/>
  <c r="E415"/>
  <c r="R415"/>
  <c r="N415"/>
  <c r="J415"/>
  <c r="F415"/>
  <c r="W434"/>
  <c r="S434"/>
  <c r="O434"/>
  <c r="K434"/>
  <c r="G434"/>
  <c r="AB434"/>
  <c r="T434"/>
  <c r="P434"/>
  <c r="L434"/>
  <c r="H434"/>
  <c r="D434"/>
  <c r="U434"/>
  <c r="Q434"/>
  <c r="M434"/>
  <c r="I434"/>
  <c r="E434"/>
  <c r="R434"/>
  <c r="N434"/>
  <c r="J434"/>
  <c r="F434"/>
  <c r="K15" i="73"/>
  <c r="G15"/>
  <c r="L15"/>
  <c r="H15"/>
  <c r="D15"/>
  <c r="Q15"/>
  <c r="M15"/>
  <c r="I15"/>
  <c r="E15"/>
  <c r="J15"/>
  <c r="F15"/>
  <c r="Q28"/>
  <c r="M28"/>
  <c r="I28"/>
  <c r="E28"/>
  <c r="R28"/>
  <c r="N28"/>
  <c r="J28"/>
  <c r="F28"/>
  <c r="S28"/>
  <c r="O28"/>
  <c r="K28"/>
  <c r="G28"/>
  <c r="P28"/>
  <c r="L28"/>
  <c r="H28"/>
  <c r="D28"/>
  <c r="U46"/>
  <c r="Q46"/>
  <c r="M46"/>
  <c r="I46"/>
  <c r="E46"/>
  <c r="V46"/>
  <c r="R46"/>
  <c r="N46"/>
  <c r="J46"/>
  <c r="F46"/>
  <c r="W46"/>
  <c r="S46"/>
  <c r="O46"/>
  <c r="K46"/>
  <c r="G46"/>
  <c r="T46"/>
  <c r="P46"/>
  <c r="L46"/>
  <c r="H46"/>
  <c r="D46"/>
  <c r="Q63"/>
  <c r="M63"/>
  <c r="I63"/>
  <c r="E63"/>
  <c r="R63"/>
  <c r="J63"/>
  <c r="F63"/>
  <c r="K63"/>
  <c r="G63"/>
  <c r="L63"/>
  <c r="H63"/>
  <c r="D63"/>
  <c r="Q89"/>
  <c r="M89"/>
  <c r="I89"/>
  <c r="E89"/>
  <c r="R89"/>
  <c r="N89"/>
  <c r="J89"/>
  <c r="F89"/>
  <c r="S89"/>
  <c r="O89"/>
  <c r="K89"/>
  <c r="G89"/>
  <c r="P89"/>
  <c r="L89"/>
  <c r="H89"/>
  <c r="D89"/>
  <c r="Q123"/>
  <c r="M123"/>
  <c r="I123"/>
  <c r="E123"/>
  <c r="R123"/>
  <c r="N123"/>
  <c r="J123"/>
  <c r="F123"/>
  <c r="S123"/>
  <c r="O123"/>
  <c r="K123"/>
  <c r="G123"/>
  <c r="P123"/>
  <c r="L123"/>
  <c r="H123"/>
  <c r="D123"/>
  <c r="R191"/>
  <c r="N191"/>
  <c r="J191"/>
  <c r="F191"/>
  <c r="S191"/>
  <c r="K191"/>
  <c r="G191"/>
  <c r="L191"/>
  <c r="H191"/>
  <c r="D191"/>
  <c r="Q191"/>
  <c r="M191"/>
  <c r="I191"/>
  <c r="E191"/>
  <c r="R207"/>
  <c r="J207"/>
  <c r="F207"/>
  <c r="K207"/>
  <c r="G207"/>
  <c r="L207"/>
  <c r="H207"/>
  <c r="D207"/>
  <c r="Q207"/>
  <c r="M207"/>
  <c r="I207"/>
  <c r="E207"/>
  <c r="R241"/>
  <c r="J241"/>
  <c r="F241"/>
  <c r="K241"/>
  <c r="G241"/>
  <c r="L241"/>
  <c r="H241"/>
  <c r="D241"/>
  <c r="M241"/>
  <c r="I241"/>
  <c r="E241"/>
  <c r="R257"/>
  <c r="N257"/>
  <c r="J257"/>
  <c r="F257"/>
  <c r="S257"/>
  <c r="O257"/>
  <c r="K257"/>
  <c r="G257"/>
  <c r="P257"/>
  <c r="L257"/>
  <c r="H257"/>
  <c r="D257"/>
  <c r="Q257"/>
  <c r="M257"/>
  <c r="I257"/>
  <c r="E257"/>
  <c r="R371"/>
  <c r="N371"/>
  <c r="J371"/>
  <c r="F371"/>
  <c r="S371"/>
  <c r="K371"/>
  <c r="G371"/>
  <c r="L371"/>
  <c r="H371"/>
  <c r="D371"/>
  <c r="Q371"/>
  <c r="M371"/>
  <c r="I371"/>
  <c r="E371"/>
  <c r="AB407"/>
  <c r="T407"/>
  <c r="P407"/>
  <c r="L407"/>
  <c r="H407"/>
  <c r="D407"/>
  <c r="Q407"/>
  <c r="M407"/>
  <c r="I407"/>
  <c r="E407"/>
  <c r="R407"/>
  <c r="N407"/>
  <c r="J407"/>
  <c r="F407"/>
  <c r="S407"/>
  <c r="O407"/>
  <c r="K407"/>
  <c r="G407"/>
  <c r="T430"/>
  <c r="P430"/>
  <c r="L430"/>
  <c r="H430"/>
  <c r="D430"/>
  <c r="U430"/>
  <c r="Q430"/>
  <c r="M430"/>
  <c r="I430"/>
  <c r="E430"/>
  <c r="V430"/>
  <c r="R430"/>
  <c r="N430"/>
  <c r="J430"/>
  <c r="F430"/>
  <c r="W430"/>
  <c r="S430"/>
  <c r="O430"/>
  <c r="K430"/>
  <c r="G430"/>
  <c r="P12" i="74"/>
  <c r="L12"/>
  <c r="H12"/>
  <c r="D12"/>
  <c r="Q12"/>
  <c r="M12"/>
  <c r="I12"/>
  <c r="E12"/>
  <c r="R12"/>
  <c r="N12"/>
  <c r="J12"/>
  <c r="F12"/>
  <c r="S12"/>
  <c r="O12"/>
  <c r="K12"/>
  <c r="G12"/>
  <c r="P33"/>
  <c r="L33"/>
  <c r="H33"/>
  <c r="D33"/>
  <c r="Q33"/>
  <c r="M33"/>
  <c r="I33"/>
  <c r="E33"/>
  <c r="R33"/>
  <c r="N33"/>
  <c r="J33"/>
  <c r="F33"/>
  <c r="S33"/>
  <c r="O33"/>
  <c r="K33"/>
  <c r="G33"/>
  <c r="U55"/>
  <c r="Q55"/>
  <c r="M55"/>
  <c r="I55"/>
  <c r="E55"/>
  <c r="V55"/>
  <c r="R55"/>
  <c r="N55"/>
  <c r="J55"/>
  <c r="F55"/>
  <c r="W55"/>
  <c r="S55"/>
  <c r="O55"/>
  <c r="K55"/>
  <c r="G55"/>
  <c r="X55"/>
  <c r="T55"/>
  <c r="P55"/>
  <c r="L55"/>
  <c r="H55"/>
  <c r="D55"/>
  <c r="U68"/>
  <c r="Q68"/>
  <c r="M68"/>
  <c r="I68"/>
  <c r="E68"/>
  <c r="V68"/>
  <c r="R68"/>
  <c r="N68"/>
  <c r="J68"/>
  <c r="F68"/>
  <c r="W68"/>
  <c r="S68"/>
  <c r="O68"/>
  <c r="K68"/>
  <c r="G68"/>
  <c r="X68"/>
  <c r="T68"/>
  <c r="P68"/>
  <c r="L68"/>
  <c r="H68"/>
  <c r="D68"/>
  <c r="Q90"/>
  <c r="M90"/>
  <c r="I90"/>
  <c r="E90"/>
  <c r="R90"/>
  <c r="N90"/>
  <c r="J90"/>
  <c r="F90"/>
  <c r="S90"/>
  <c r="O90"/>
  <c r="K90"/>
  <c r="G90"/>
  <c r="P90"/>
  <c r="L90"/>
  <c r="H90"/>
  <c r="D90"/>
  <c r="Q142"/>
  <c r="M142"/>
  <c r="I142"/>
  <c r="E142"/>
  <c r="R142"/>
  <c r="N142"/>
  <c r="J142"/>
  <c r="F142"/>
  <c r="S142"/>
  <c r="O142"/>
  <c r="K142"/>
  <c r="G142"/>
  <c r="P142"/>
  <c r="L142"/>
  <c r="H142"/>
  <c r="D142"/>
  <c r="Q150"/>
  <c r="M150"/>
  <c r="I150"/>
  <c r="E150"/>
  <c r="R150"/>
  <c r="N150"/>
  <c r="J150"/>
  <c r="F150"/>
  <c r="S150"/>
  <c r="O150"/>
  <c r="K150"/>
  <c r="G150"/>
  <c r="P150"/>
  <c r="L150"/>
  <c r="H150"/>
  <c r="D150"/>
  <c r="Q200"/>
  <c r="M200"/>
  <c r="I200"/>
  <c r="E200"/>
  <c r="R200"/>
  <c r="N200"/>
  <c r="J200"/>
  <c r="F200"/>
  <c r="S200"/>
  <c r="O200"/>
  <c r="K200"/>
  <c r="G200"/>
  <c r="P200"/>
  <c r="L200"/>
  <c r="H200"/>
  <c r="D200"/>
  <c r="Q208"/>
  <c r="M208"/>
  <c r="I208"/>
  <c r="E208"/>
  <c r="R208"/>
  <c r="N208"/>
  <c r="J208"/>
  <c r="F208"/>
  <c r="S208"/>
  <c r="O208"/>
  <c r="K208"/>
  <c r="G208"/>
  <c r="P208"/>
  <c r="L208"/>
  <c r="H208"/>
  <c r="D208"/>
  <c r="Q217"/>
  <c r="M217"/>
  <c r="I217"/>
  <c r="E217"/>
  <c r="R217"/>
  <c r="N217"/>
  <c r="J217"/>
  <c r="F217"/>
  <c r="S217"/>
  <c r="O217"/>
  <c r="K217"/>
  <c r="G217"/>
  <c r="P217"/>
  <c r="L217"/>
  <c r="H217"/>
  <c r="D217"/>
  <c r="Q242"/>
  <c r="M242"/>
  <c r="I242"/>
  <c r="E242"/>
  <c r="R242"/>
  <c r="N242"/>
  <c r="J242"/>
  <c r="F242"/>
  <c r="S242"/>
  <c r="O242"/>
  <c r="K242"/>
  <c r="G242"/>
  <c r="P242"/>
  <c r="L242"/>
  <c r="H242"/>
  <c r="D242"/>
  <c r="S254"/>
  <c r="O254"/>
  <c r="K254"/>
  <c r="G254"/>
  <c r="P254"/>
  <c r="L254"/>
  <c r="H254"/>
  <c r="D254"/>
  <c r="Q254"/>
  <c r="M254"/>
  <c r="I254"/>
  <c r="E254"/>
  <c r="R254"/>
  <c r="N254"/>
  <c r="J254"/>
  <c r="F254"/>
  <c r="S372"/>
  <c r="O372"/>
  <c r="K372"/>
  <c r="G372"/>
  <c r="T372"/>
  <c r="P372"/>
  <c r="L372"/>
  <c r="H372"/>
  <c r="D372"/>
  <c r="U372"/>
  <c r="Q372"/>
  <c r="M372"/>
  <c r="I372"/>
  <c r="E372"/>
  <c r="R372"/>
  <c r="N372"/>
  <c r="J372"/>
  <c r="F372"/>
  <c r="AB408"/>
  <c r="Q408"/>
  <c r="M408"/>
  <c r="I408"/>
  <c r="R408"/>
  <c r="L408"/>
  <c r="G408"/>
  <c r="S408"/>
  <c r="N408"/>
  <c r="H408"/>
  <c r="D408"/>
  <c r="O408"/>
  <c r="J408"/>
  <c r="E408"/>
  <c r="P408"/>
  <c r="K408"/>
  <c r="F408"/>
  <c r="R448"/>
  <c r="N448"/>
  <c r="J448"/>
  <c r="F448"/>
  <c r="S448"/>
  <c r="O448"/>
  <c r="K448"/>
  <c r="G448"/>
  <c r="P448"/>
  <c r="L448"/>
  <c r="H448"/>
  <c r="D448"/>
  <c r="Q448"/>
  <c r="M448"/>
  <c r="I448"/>
  <c r="E448"/>
  <c r="X414" i="39"/>
  <c r="X438"/>
  <c r="X93" i="77"/>
  <c r="AA93" s="1"/>
  <c r="V95" i="39"/>
  <c r="R461" i="70"/>
  <c r="J461"/>
  <c r="F461"/>
  <c r="K461"/>
  <c r="G461"/>
  <c r="AB461"/>
  <c r="L461"/>
  <c r="H461"/>
  <c r="D461"/>
  <c r="Q461"/>
  <c r="M461"/>
  <c r="I461"/>
  <c r="E461"/>
  <c r="R21" i="71"/>
  <c r="N21"/>
  <c r="J21"/>
  <c r="F21"/>
  <c r="S21"/>
  <c r="O21"/>
  <c r="K21"/>
  <c r="G21"/>
  <c r="AB21"/>
  <c r="P21"/>
  <c r="L21"/>
  <c r="H21"/>
  <c r="D21"/>
  <c r="Q21"/>
  <c r="M21"/>
  <c r="I21"/>
  <c r="E21"/>
  <c r="R26"/>
  <c r="N26"/>
  <c r="J26"/>
  <c r="F26"/>
  <c r="S26"/>
  <c r="O26"/>
  <c r="K26"/>
  <c r="G26"/>
  <c r="AB26"/>
  <c r="P26"/>
  <c r="L26"/>
  <c r="H26"/>
  <c r="D26"/>
  <c r="Q26"/>
  <c r="M26"/>
  <c r="I26"/>
  <c r="E26"/>
  <c r="V39"/>
  <c r="R39"/>
  <c r="N39"/>
  <c r="J39"/>
  <c r="F39"/>
  <c r="W39"/>
  <c r="S39"/>
  <c r="O39"/>
  <c r="K39"/>
  <c r="G39"/>
  <c r="AB39"/>
  <c r="X39"/>
  <c r="T39"/>
  <c r="P39"/>
  <c r="L39"/>
  <c r="H39"/>
  <c r="D39"/>
  <c r="U39"/>
  <c r="Q39"/>
  <c r="M39"/>
  <c r="I39"/>
  <c r="E39"/>
  <c r="J57"/>
  <c r="F57"/>
  <c r="K57"/>
  <c r="G57"/>
  <c r="AB57"/>
  <c r="L57"/>
  <c r="H57"/>
  <c r="D57"/>
  <c r="M57"/>
  <c r="I57"/>
  <c r="E57"/>
  <c r="J69"/>
  <c r="F69"/>
  <c r="K69"/>
  <c r="G69"/>
  <c r="AB69"/>
  <c r="L69"/>
  <c r="H69"/>
  <c r="D69"/>
  <c r="Q69"/>
  <c r="M69"/>
  <c r="I69"/>
  <c r="E69"/>
  <c r="R91"/>
  <c r="N91"/>
  <c r="J91"/>
  <c r="F91"/>
  <c r="S91"/>
  <c r="O91"/>
  <c r="K91"/>
  <c r="G91"/>
  <c r="AB91"/>
  <c r="P91"/>
  <c r="L91"/>
  <c r="H91"/>
  <c r="D91"/>
  <c r="Q91"/>
  <c r="M91"/>
  <c r="I91"/>
  <c r="E91"/>
  <c r="R121"/>
  <c r="N121"/>
  <c r="J121"/>
  <c r="F121"/>
  <c r="S121"/>
  <c r="O121"/>
  <c r="K121"/>
  <c r="G121"/>
  <c r="P121"/>
  <c r="L121"/>
  <c r="H121"/>
  <c r="D121"/>
  <c r="Q121"/>
  <c r="M121"/>
  <c r="I121"/>
  <c r="E121"/>
  <c r="R143"/>
  <c r="N143"/>
  <c r="J143"/>
  <c r="F143"/>
  <c r="S143"/>
  <c r="O143"/>
  <c r="K143"/>
  <c r="G143"/>
  <c r="P143"/>
  <c r="L143"/>
  <c r="H143"/>
  <c r="D143"/>
  <c r="Q143"/>
  <c r="M143"/>
  <c r="I143"/>
  <c r="E143"/>
  <c r="V151"/>
  <c r="R151"/>
  <c r="N151"/>
  <c r="J151"/>
  <c r="F151"/>
  <c r="W151"/>
  <c r="S151"/>
  <c r="O151"/>
  <c r="K151"/>
  <c r="G151"/>
  <c r="AB151"/>
  <c r="T151"/>
  <c r="P151"/>
  <c r="L151"/>
  <c r="H151"/>
  <c r="D151"/>
  <c r="U151"/>
  <c r="Q151"/>
  <c r="M151"/>
  <c r="I151"/>
  <c r="E151"/>
  <c r="J197"/>
  <c r="F197"/>
  <c r="K197"/>
  <c r="G197"/>
  <c r="L197"/>
  <c r="H197"/>
  <c r="D197"/>
  <c r="M197"/>
  <c r="I197"/>
  <c r="E197"/>
  <c r="R209"/>
  <c r="N209"/>
  <c r="J209"/>
  <c r="F209"/>
  <c r="S209"/>
  <c r="K209"/>
  <c r="G209"/>
  <c r="AB209"/>
  <c r="L209"/>
  <c r="H209"/>
  <c r="D209"/>
  <c r="Q209"/>
  <c r="M209"/>
  <c r="I209"/>
  <c r="E209"/>
  <c r="L239"/>
  <c r="H239"/>
  <c r="D239"/>
  <c r="J239"/>
  <c r="E239"/>
  <c r="Q239"/>
  <c r="K239"/>
  <c r="F239"/>
  <c r="M239"/>
  <c r="G239"/>
  <c r="I239"/>
  <c r="U255"/>
  <c r="Q255"/>
  <c r="M255"/>
  <c r="I255"/>
  <c r="E255"/>
  <c r="V255"/>
  <c r="R255"/>
  <c r="N255"/>
  <c r="J255"/>
  <c r="F255"/>
  <c r="AA255"/>
  <c r="W255"/>
  <c r="S255"/>
  <c r="O255"/>
  <c r="K255"/>
  <c r="G255"/>
  <c r="X255"/>
  <c r="T255"/>
  <c r="P255"/>
  <c r="L255"/>
  <c r="H255"/>
  <c r="D255"/>
  <c r="Q362"/>
  <c r="M362"/>
  <c r="I362"/>
  <c r="E362"/>
  <c r="R362"/>
  <c r="N362"/>
  <c r="J362"/>
  <c r="F362"/>
  <c r="S362"/>
  <c r="O362"/>
  <c r="K362"/>
  <c r="G362"/>
  <c r="P362"/>
  <c r="L362"/>
  <c r="H362"/>
  <c r="D362"/>
  <c r="U400"/>
  <c r="Q400"/>
  <c r="M400"/>
  <c r="I400"/>
  <c r="E400"/>
  <c r="V400"/>
  <c r="R400"/>
  <c r="N400"/>
  <c r="J400"/>
  <c r="F400"/>
  <c r="W400"/>
  <c r="S400"/>
  <c r="O400"/>
  <c r="K400"/>
  <c r="G400"/>
  <c r="AB400"/>
  <c r="X400"/>
  <c r="T400"/>
  <c r="P400"/>
  <c r="L400"/>
  <c r="H400"/>
  <c r="D400"/>
  <c r="U414"/>
  <c r="Q414"/>
  <c r="M414"/>
  <c r="I414"/>
  <c r="E414"/>
  <c r="V414"/>
  <c r="R414"/>
  <c r="N414"/>
  <c r="J414"/>
  <c r="F414"/>
  <c r="W414"/>
  <c r="S414"/>
  <c r="O414"/>
  <c r="K414"/>
  <c r="G414"/>
  <c r="AB414"/>
  <c r="X414"/>
  <c r="T414"/>
  <c r="P414"/>
  <c r="L414"/>
  <c r="H414"/>
  <c r="D414"/>
  <c r="U428"/>
  <c r="Q428"/>
  <c r="M428"/>
  <c r="I428"/>
  <c r="E428"/>
  <c r="V428"/>
  <c r="R428"/>
  <c r="N428"/>
  <c r="J428"/>
  <c r="F428"/>
  <c r="W428"/>
  <c r="S428"/>
  <c r="O428"/>
  <c r="K428"/>
  <c r="G428"/>
  <c r="AB428"/>
  <c r="X428"/>
  <c r="T428"/>
  <c r="P428"/>
  <c r="L428"/>
  <c r="H428"/>
  <c r="D428"/>
  <c r="Q442"/>
  <c r="M442"/>
  <c r="I442"/>
  <c r="E442"/>
  <c r="R442"/>
  <c r="N442"/>
  <c r="J442"/>
  <c r="F442"/>
  <c r="S442"/>
  <c r="O442"/>
  <c r="K442"/>
  <c r="G442"/>
  <c r="AB442"/>
  <c r="T442"/>
  <c r="P442"/>
  <c r="L442"/>
  <c r="H442"/>
  <c r="D442"/>
  <c r="U18" i="72"/>
  <c r="Q18"/>
  <c r="M18"/>
  <c r="I18"/>
  <c r="E18"/>
  <c r="V18"/>
  <c r="R18"/>
  <c r="N18"/>
  <c r="J18"/>
  <c r="F18"/>
  <c r="W18"/>
  <c r="S18"/>
  <c r="O18"/>
  <c r="K18"/>
  <c r="G18"/>
  <c r="X18"/>
  <c r="T18"/>
  <c r="P18"/>
  <c r="L18"/>
  <c r="H18"/>
  <c r="D18"/>
  <c r="Q31"/>
  <c r="M31"/>
  <c r="I31"/>
  <c r="E31"/>
  <c r="R31"/>
  <c r="N31"/>
  <c r="J31"/>
  <c r="F31"/>
  <c r="S31"/>
  <c r="O31"/>
  <c r="K31"/>
  <c r="G31"/>
  <c r="T31"/>
  <c r="P31"/>
  <c r="L31"/>
  <c r="H31"/>
  <c r="D31"/>
  <c r="Q40"/>
  <c r="M40"/>
  <c r="I40"/>
  <c r="E40"/>
  <c r="R40"/>
  <c r="N40"/>
  <c r="J40"/>
  <c r="F40"/>
  <c r="S40"/>
  <c r="O40"/>
  <c r="K40"/>
  <c r="G40"/>
  <c r="P40"/>
  <c r="L40"/>
  <c r="H40"/>
  <c r="D40"/>
  <c r="U53"/>
  <c r="Q53"/>
  <c r="M53"/>
  <c r="I53"/>
  <c r="E53"/>
  <c r="V53"/>
  <c r="R53"/>
  <c r="N53"/>
  <c r="J53"/>
  <c r="F53"/>
  <c r="W53"/>
  <c r="S53"/>
  <c r="O53"/>
  <c r="K53"/>
  <c r="G53"/>
  <c r="X53"/>
  <c r="T53"/>
  <c r="P53"/>
  <c r="L53"/>
  <c r="H53"/>
  <c r="D53"/>
  <c r="U66"/>
  <c r="Q66"/>
  <c r="M66"/>
  <c r="I66"/>
  <c r="E66"/>
  <c r="V66"/>
  <c r="R66"/>
  <c r="N66"/>
  <c r="J66"/>
  <c r="F66"/>
  <c r="W66"/>
  <c r="S66"/>
  <c r="O66"/>
  <c r="K66"/>
  <c r="G66"/>
  <c r="X66"/>
  <c r="T66"/>
  <c r="P66"/>
  <c r="L66"/>
  <c r="H66"/>
  <c r="D66"/>
  <c r="Q82"/>
  <c r="M82"/>
  <c r="I82"/>
  <c r="E82"/>
  <c r="R82"/>
  <c r="N82"/>
  <c r="J82"/>
  <c r="F82"/>
  <c r="S82"/>
  <c r="O82"/>
  <c r="K82"/>
  <c r="G82"/>
  <c r="P82"/>
  <c r="L82"/>
  <c r="H82"/>
  <c r="D82"/>
  <c r="R118"/>
  <c r="J118"/>
  <c r="F118"/>
  <c r="I118"/>
  <c r="D118"/>
  <c r="K118"/>
  <c r="E118"/>
  <c r="Q118"/>
  <c r="L118"/>
  <c r="G118"/>
  <c r="M118"/>
  <c r="H118"/>
  <c r="W126"/>
  <c r="S126"/>
  <c r="O126"/>
  <c r="K126"/>
  <c r="G126"/>
  <c r="T126"/>
  <c r="P126"/>
  <c r="L126"/>
  <c r="H126"/>
  <c r="D126"/>
  <c r="U126"/>
  <c r="Q126"/>
  <c r="M126"/>
  <c r="I126"/>
  <c r="E126"/>
  <c r="V126"/>
  <c r="R126"/>
  <c r="N126"/>
  <c r="J126"/>
  <c r="F126"/>
  <c r="S153"/>
  <c r="O153"/>
  <c r="K153"/>
  <c r="G153"/>
  <c r="T153"/>
  <c r="P153"/>
  <c r="L153"/>
  <c r="H153"/>
  <c r="D153"/>
  <c r="U153"/>
  <c r="Q153"/>
  <c r="M153"/>
  <c r="I153"/>
  <c r="E153"/>
  <c r="R153"/>
  <c r="N153"/>
  <c r="J153"/>
  <c r="F153"/>
  <c r="S198"/>
  <c r="O198"/>
  <c r="K198"/>
  <c r="G198"/>
  <c r="P198"/>
  <c r="L198"/>
  <c r="H198"/>
  <c r="D198"/>
  <c r="Q198"/>
  <c r="M198"/>
  <c r="I198"/>
  <c r="E198"/>
  <c r="R198"/>
  <c r="N198"/>
  <c r="J198"/>
  <c r="F198"/>
  <c r="W210"/>
  <c r="S210"/>
  <c r="O210"/>
  <c r="K210"/>
  <c r="G210"/>
  <c r="T210"/>
  <c r="P210"/>
  <c r="L210"/>
  <c r="H210"/>
  <c r="D210"/>
  <c r="U210"/>
  <c r="Q210"/>
  <c r="M210"/>
  <c r="I210"/>
  <c r="E210"/>
  <c r="V210"/>
  <c r="R210"/>
  <c r="N210"/>
  <c r="J210"/>
  <c r="F210"/>
  <c r="S240"/>
  <c r="O240"/>
  <c r="K240"/>
  <c r="G240"/>
  <c r="T240"/>
  <c r="P240"/>
  <c r="L240"/>
  <c r="H240"/>
  <c r="D240"/>
  <c r="Q240"/>
  <c r="M240"/>
  <c r="I240"/>
  <c r="E240"/>
  <c r="R240"/>
  <c r="N240"/>
  <c r="J240"/>
  <c r="F240"/>
  <c r="S252"/>
  <c r="O252"/>
  <c r="K252"/>
  <c r="G252"/>
  <c r="T252"/>
  <c r="P252"/>
  <c r="L252"/>
  <c r="H252"/>
  <c r="D252"/>
  <c r="U252"/>
  <c r="Q252"/>
  <c r="M252"/>
  <c r="I252"/>
  <c r="E252"/>
  <c r="R252"/>
  <c r="N252"/>
  <c r="J252"/>
  <c r="F252"/>
  <c r="S355"/>
  <c r="O355"/>
  <c r="K355"/>
  <c r="G355"/>
  <c r="P355"/>
  <c r="L355"/>
  <c r="H355"/>
  <c r="D355"/>
  <c r="Q355"/>
  <c r="M355"/>
  <c r="I355"/>
  <c r="E355"/>
  <c r="R355"/>
  <c r="N355"/>
  <c r="J355"/>
  <c r="F355"/>
  <c r="S374"/>
  <c r="O374"/>
  <c r="K374"/>
  <c r="G374"/>
  <c r="AB374"/>
  <c r="P374"/>
  <c r="L374"/>
  <c r="H374"/>
  <c r="D374"/>
  <c r="Q374"/>
  <c r="M374"/>
  <c r="I374"/>
  <c r="E374"/>
  <c r="R374"/>
  <c r="N374"/>
  <c r="J374"/>
  <c r="F374"/>
  <c r="W406"/>
  <c r="S406"/>
  <c r="O406"/>
  <c r="K406"/>
  <c r="G406"/>
  <c r="AB406"/>
  <c r="X406"/>
  <c r="T406"/>
  <c r="P406"/>
  <c r="L406"/>
  <c r="H406"/>
  <c r="D406"/>
  <c r="U406"/>
  <c r="Q406"/>
  <c r="M406"/>
  <c r="I406"/>
  <c r="E406"/>
  <c r="V406"/>
  <c r="R406"/>
  <c r="N406"/>
  <c r="J406"/>
  <c r="F406"/>
  <c r="S420"/>
  <c r="O420"/>
  <c r="K420"/>
  <c r="G420"/>
  <c r="P420"/>
  <c r="L420"/>
  <c r="H420"/>
  <c r="D420"/>
  <c r="Q420"/>
  <c r="M420"/>
  <c r="I420"/>
  <c r="E420"/>
  <c r="R420"/>
  <c r="N420"/>
  <c r="J420"/>
  <c r="F420"/>
  <c r="S429"/>
  <c r="O429"/>
  <c r="K429"/>
  <c r="G429"/>
  <c r="P429"/>
  <c r="L429"/>
  <c r="H429"/>
  <c r="D429"/>
  <c r="Q429"/>
  <c r="M429"/>
  <c r="I429"/>
  <c r="E429"/>
  <c r="R429"/>
  <c r="N429"/>
  <c r="J429"/>
  <c r="F429"/>
  <c r="AA438"/>
  <c r="W438"/>
  <c r="S438"/>
  <c r="O438"/>
  <c r="K438"/>
  <c r="G438"/>
  <c r="AB438"/>
  <c r="X438"/>
  <c r="T438"/>
  <c r="P438"/>
  <c r="L438"/>
  <c r="H438"/>
  <c r="D438"/>
  <c r="U438"/>
  <c r="Q438"/>
  <c r="M438"/>
  <c r="I438"/>
  <c r="E438"/>
  <c r="V438"/>
  <c r="R438"/>
  <c r="N438"/>
  <c r="J438"/>
  <c r="F438"/>
  <c r="S455"/>
  <c r="O455"/>
  <c r="K455"/>
  <c r="G455"/>
  <c r="AB455"/>
  <c r="P455"/>
  <c r="L455"/>
  <c r="H455"/>
  <c r="D455"/>
  <c r="Q455"/>
  <c r="M455"/>
  <c r="I455"/>
  <c r="E455"/>
  <c r="R455"/>
  <c r="N455"/>
  <c r="J455"/>
  <c r="F455"/>
  <c r="L19" i="73"/>
  <c r="H19"/>
  <c r="D19"/>
  <c r="I19"/>
  <c r="J19"/>
  <c r="E19"/>
  <c r="Q19"/>
  <c r="K19"/>
  <c r="F19"/>
  <c r="R19"/>
  <c r="M19"/>
  <c r="G19"/>
  <c r="Q32"/>
  <c r="M32"/>
  <c r="I32"/>
  <c r="E32"/>
  <c r="R32"/>
  <c r="N32"/>
  <c r="J32"/>
  <c r="F32"/>
  <c r="S32"/>
  <c r="O32"/>
  <c r="K32"/>
  <c r="G32"/>
  <c r="P32"/>
  <c r="L32"/>
  <c r="H32"/>
  <c r="D32"/>
  <c r="U41"/>
  <c r="Q41"/>
  <c r="M41"/>
  <c r="I41"/>
  <c r="E41"/>
  <c r="V41"/>
  <c r="R41"/>
  <c r="N41"/>
  <c r="J41"/>
  <c r="F41"/>
  <c r="AA41"/>
  <c r="W41"/>
  <c r="S41"/>
  <c r="O41"/>
  <c r="K41"/>
  <c r="G41"/>
  <c r="X41"/>
  <c r="T41"/>
  <c r="P41"/>
  <c r="L41"/>
  <c r="H41"/>
  <c r="D41"/>
  <c r="U50"/>
  <c r="Q50"/>
  <c r="M50"/>
  <c r="I50"/>
  <c r="E50"/>
  <c r="V50"/>
  <c r="R50"/>
  <c r="N50"/>
  <c r="J50"/>
  <c r="F50"/>
  <c r="W50"/>
  <c r="S50"/>
  <c r="O50"/>
  <c r="K50"/>
  <c r="G50"/>
  <c r="X50"/>
  <c r="T50"/>
  <c r="P50"/>
  <c r="L50"/>
  <c r="H50"/>
  <c r="D50"/>
  <c r="Q59"/>
  <c r="M59"/>
  <c r="I59"/>
  <c r="E59"/>
  <c r="R59"/>
  <c r="J59"/>
  <c r="F59"/>
  <c r="K59"/>
  <c r="G59"/>
  <c r="L59"/>
  <c r="H59"/>
  <c r="D59"/>
  <c r="U71"/>
  <c r="Q71"/>
  <c r="M71"/>
  <c r="I71"/>
  <c r="E71"/>
  <c r="V71"/>
  <c r="R71"/>
  <c r="N71"/>
  <c r="J71"/>
  <c r="F71"/>
  <c r="W71"/>
  <c r="S71"/>
  <c r="O71"/>
  <c r="K71"/>
  <c r="G71"/>
  <c r="X71"/>
  <c r="T71"/>
  <c r="P71"/>
  <c r="L71"/>
  <c r="H71"/>
  <c r="D71"/>
  <c r="Q93"/>
  <c r="M93"/>
  <c r="I93"/>
  <c r="E93"/>
  <c r="R93"/>
  <c r="N93"/>
  <c r="J93"/>
  <c r="F93"/>
  <c r="S93"/>
  <c r="O93"/>
  <c r="K93"/>
  <c r="G93"/>
  <c r="P93"/>
  <c r="L93"/>
  <c r="H93"/>
  <c r="D93"/>
  <c r="Q119"/>
  <c r="M119"/>
  <c r="I119"/>
  <c r="E119"/>
  <c r="R119"/>
  <c r="N119"/>
  <c r="J119"/>
  <c r="F119"/>
  <c r="S119"/>
  <c r="O119"/>
  <c r="K119"/>
  <c r="G119"/>
  <c r="P119"/>
  <c r="L119"/>
  <c r="H119"/>
  <c r="D119"/>
  <c r="Q128"/>
  <c r="M128"/>
  <c r="I128"/>
  <c r="E128"/>
  <c r="O128"/>
  <c r="J128"/>
  <c r="D128"/>
  <c r="P128"/>
  <c r="K128"/>
  <c r="F128"/>
  <c r="AB128"/>
  <c r="R128"/>
  <c r="L128"/>
  <c r="G128"/>
  <c r="S128"/>
  <c r="N128"/>
  <c r="H128"/>
  <c r="R149"/>
  <c r="N149"/>
  <c r="J149"/>
  <c r="F149"/>
  <c r="S149"/>
  <c r="O149"/>
  <c r="K149"/>
  <c r="G149"/>
  <c r="T149"/>
  <c r="P149"/>
  <c r="L149"/>
  <c r="H149"/>
  <c r="D149"/>
  <c r="Q149"/>
  <c r="M149"/>
  <c r="I149"/>
  <c r="E149"/>
  <c r="R199"/>
  <c r="J199"/>
  <c r="F199"/>
  <c r="K199"/>
  <c r="G199"/>
  <c r="L199"/>
  <c r="H199"/>
  <c r="D199"/>
  <c r="Q199"/>
  <c r="M199"/>
  <c r="I199"/>
  <c r="E199"/>
  <c r="R211"/>
  <c r="J211"/>
  <c r="F211"/>
  <c r="K211"/>
  <c r="G211"/>
  <c r="L211"/>
  <c r="H211"/>
  <c r="D211"/>
  <c r="Q211"/>
  <c r="M211"/>
  <c r="I211"/>
  <c r="E211"/>
  <c r="R220"/>
  <c r="N220"/>
  <c r="J220"/>
  <c r="F220"/>
  <c r="S220"/>
  <c r="O220"/>
  <c r="K220"/>
  <c r="G220"/>
  <c r="T220"/>
  <c r="P220"/>
  <c r="L220"/>
  <c r="H220"/>
  <c r="D220"/>
  <c r="Q220"/>
  <c r="M220"/>
  <c r="I220"/>
  <c r="E220"/>
  <c r="R249"/>
  <c r="N249"/>
  <c r="J249"/>
  <c r="F249"/>
  <c r="S249"/>
  <c r="O249"/>
  <c r="K249"/>
  <c r="G249"/>
  <c r="P249"/>
  <c r="L249"/>
  <c r="H249"/>
  <c r="D249"/>
  <c r="Q249"/>
  <c r="M249"/>
  <c r="I249"/>
  <c r="E249"/>
  <c r="R357"/>
  <c r="N357"/>
  <c r="J357"/>
  <c r="F357"/>
  <c r="S357"/>
  <c r="O357"/>
  <c r="K357"/>
  <c r="G357"/>
  <c r="P357"/>
  <c r="L357"/>
  <c r="H357"/>
  <c r="D357"/>
  <c r="Q357"/>
  <c r="M357"/>
  <c r="I357"/>
  <c r="E357"/>
  <c r="K388"/>
  <c r="G388"/>
  <c r="Q388"/>
  <c r="L388"/>
  <c r="F388"/>
  <c r="R388"/>
  <c r="M388"/>
  <c r="H388"/>
  <c r="I388"/>
  <c r="D388"/>
  <c r="J388"/>
  <c r="E388"/>
  <c r="P412"/>
  <c r="L412"/>
  <c r="H412"/>
  <c r="D412"/>
  <c r="Q412"/>
  <c r="M412"/>
  <c r="I412"/>
  <c r="E412"/>
  <c r="R412"/>
  <c r="N412"/>
  <c r="J412"/>
  <c r="F412"/>
  <c r="S412"/>
  <c r="O412"/>
  <c r="K412"/>
  <c r="G412"/>
  <c r="T421"/>
  <c r="P421"/>
  <c r="L421"/>
  <c r="H421"/>
  <c r="D421"/>
  <c r="U421"/>
  <c r="Q421"/>
  <c r="M421"/>
  <c r="I421"/>
  <c r="E421"/>
  <c r="V421"/>
  <c r="R421"/>
  <c r="N421"/>
  <c r="J421"/>
  <c r="F421"/>
  <c r="W421"/>
  <c r="S421"/>
  <c r="O421"/>
  <c r="K421"/>
  <c r="G421"/>
  <c r="AB435"/>
  <c r="P435"/>
  <c r="L435"/>
  <c r="H435"/>
  <c r="D435"/>
  <c r="Q435"/>
  <c r="M435"/>
  <c r="I435"/>
  <c r="E435"/>
  <c r="R435"/>
  <c r="N435"/>
  <c r="J435"/>
  <c r="F435"/>
  <c r="S435"/>
  <c r="O435"/>
  <c r="K435"/>
  <c r="G435"/>
  <c r="P457"/>
  <c r="L457"/>
  <c r="H457"/>
  <c r="D457"/>
  <c r="Q457"/>
  <c r="M457"/>
  <c r="I457"/>
  <c r="E457"/>
  <c r="R457"/>
  <c r="N457"/>
  <c r="J457"/>
  <c r="F457"/>
  <c r="S457"/>
  <c r="O457"/>
  <c r="K457"/>
  <c r="G457"/>
  <c r="L24" i="74"/>
  <c r="H24"/>
  <c r="D24"/>
  <c r="M24"/>
  <c r="I24"/>
  <c r="E24"/>
  <c r="R24"/>
  <c r="J24"/>
  <c r="F24"/>
  <c r="K24"/>
  <c r="G24"/>
  <c r="U51"/>
  <c r="Q51"/>
  <c r="M51"/>
  <c r="I51"/>
  <c r="E51"/>
  <c r="V51"/>
  <c r="R51"/>
  <c r="N51"/>
  <c r="J51"/>
  <c r="F51"/>
  <c r="W51"/>
  <c r="S51"/>
  <c r="O51"/>
  <c r="K51"/>
  <c r="G51"/>
  <c r="X51"/>
  <c r="T51"/>
  <c r="P51"/>
  <c r="L51"/>
  <c r="H51"/>
  <c r="D51"/>
  <c r="Q98"/>
  <c r="M98"/>
  <c r="I98"/>
  <c r="E98"/>
  <c r="R98"/>
  <c r="N98"/>
  <c r="J98"/>
  <c r="F98"/>
  <c r="S98"/>
  <c r="O98"/>
  <c r="K98"/>
  <c r="G98"/>
  <c r="P98"/>
  <c r="L98"/>
  <c r="H98"/>
  <c r="D98"/>
  <c r="AA419" i="39"/>
  <c r="AA412"/>
  <c r="M13" i="65"/>
  <c r="I13"/>
  <c r="E13"/>
  <c r="J13"/>
  <c r="F13"/>
  <c r="K13"/>
  <c r="G13"/>
  <c r="AB13"/>
  <c r="L13"/>
  <c r="H13"/>
  <c r="D13"/>
  <c r="Q17"/>
  <c r="M17"/>
  <c r="I17"/>
  <c r="E17"/>
  <c r="R17"/>
  <c r="N17"/>
  <c r="J17"/>
  <c r="F17"/>
  <c r="S17"/>
  <c r="O17"/>
  <c r="K17"/>
  <c r="G17"/>
  <c r="AB17"/>
  <c r="P17"/>
  <c r="L17"/>
  <c r="H17"/>
  <c r="D17"/>
  <c r="Q21"/>
  <c r="M21"/>
  <c r="I21"/>
  <c r="E21"/>
  <c r="R21"/>
  <c r="N21"/>
  <c r="J21"/>
  <c r="F21"/>
  <c r="S21"/>
  <c r="O21"/>
  <c r="K21"/>
  <c r="G21"/>
  <c r="AB21"/>
  <c r="P21"/>
  <c r="L21"/>
  <c r="H21"/>
  <c r="D21"/>
  <c r="M26"/>
  <c r="I26"/>
  <c r="E26"/>
  <c r="J26"/>
  <c r="F26"/>
  <c r="K26"/>
  <c r="G26"/>
  <c r="AB26"/>
  <c r="L26"/>
  <c r="H26"/>
  <c r="D26"/>
  <c r="Q30"/>
  <c r="M30"/>
  <c r="I30"/>
  <c r="E30"/>
  <c r="R30"/>
  <c r="N30"/>
  <c r="J30"/>
  <c r="F30"/>
  <c r="S30"/>
  <c r="O30"/>
  <c r="K30"/>
  <c r="G30"/>
  <c r="AB30"/>
  <c r="P30"/>
  <c r="L30"/>
  <c r="H30"/>
  <c r="D30"/>
  <c r="M34"/>
  <c r="I34"/>
  <c r="E34"/>
  <c r="J34"/>
  <c r="F34"/>
  <c r="K34"/>
  <c r="G34"/>
  <c r="AB34"/>
  <c r="L34"/>
  <c r="H34"/>
  <c r="D34"/>
  <c r="U39"/>
  <c r="Q39"/>
  <c r="M39"/>
  <c r="I39"/>
  <c r="E39"/>
  <c r="V39"/>
  <c r="R39"/>
  <c r="N39"/>
  <c r="J39"/>
  <c r="F39"/>
  <c r="W39"/>
  <c r="S39"/>
  <c r="O39"/>
  <c r="K39"/>
  <c r="G39"/>
  <c r="AB39"/>
  <c r="X39"/>
  <c r="T39"/>
  <c r="P39"/>
  <c r="L39"/>
  <c r="H39"/>
  <c r="D39"/>
  <c r="U44"/>
  <c r="Q44"/>
  <c r="M44"/>
  <c r="I44"/>
  <c r="E44"/>
  <c r="V44"/>
  <c r="R44"/>
  <c r="N44"/>
  <c r="J44"/>
  <c r="F44"/>
  <c r="W44"/>
  <c r="S44"/>
  <c r="O44"/>
  <c r="K44"/>
  <c r="G44"/>
  <c r="AB44"/>
  <c r="X44"/>
  <c r="T44"/>
  <c r="P44"/>
  <c r="L44"/>
  <c r="H44"/>
  <c r="D44"/>
  <c r="M48"/>
  <c r="I48"/>
  <c r="E48"/>
  <c r="J48"/>
  <c r="F48"/>
  <c r="K48"/>
  <c r="G48"/>
  <c r="AB48"/>
  <c r="L48"/>
  <c r="H48"/>
  <c r="D48"/>
  <c r="U52"/>
  <c r="Q52"/>
  <c r="M52"/>
  <c r="I52"/>
  <c r="E52"/>
  <c r="V52"/>
  <c r="R52"/>
  <c r="N52"/>
  <c r="J52"/>
  <c r="F52"/>
  <c r="W52"/>
  <c r="S52"/>
  <c r="O52"/>
  <c r="K52"/>
  <c r="G52"/>
  <c r="AB52"/>
  <c r="X52"/>
  <c r="T52"/>
  <c r="P52"/>
  <c r="L52"/>
  <c r="H52"/>
  <c r="D52"/>
  <c r="M57"/>
  <c r="I57"/>
  <c r="E57"/>
  <c r="J57"/>
  <c r="F57"/>
  <c r="K57"/>
  <c r="G57"/>
  <c r="AB57"/>
  <c r="L57"/>
  <c r="H57"/>
  <c r="D57"/>
  <c r="M61"/>
  <c r="I61"/>
  <c r="E61"/>
  <c r="J61"/>
  <c r="F61"/>
  <c r="K61"/>
  <c r="G61"/>
  <c r="AB61"/>
  <c r="L61"/>
  <c r="H61"/>
  <c r="D61"/>
  <c r="Q65"/>
  <c r="M65"/>
  <c r="I65"/>
  <c r="E65"/>
  <c r="R65"/>
  <c r="N65"/>
  <c r="J65"/>
  <c r="F65"/>
  <c r="S65"/>
  <c r="O65"/>
  <c r="K65"/>
  <c r="G65"/>
  <c r="AB65"/>
  <c r="P65"/>
  <c r="L65"/>
  <c r="H65"/>
  <c r="D65"/>
  <c r="Q69"/>
  <c r="M69"/>
  <c r="I69"/>
  <c r="E69"/>
  <c r="R69"/>
  <c r="N69"/>
  <c r="J69"/>
  <c r="F69"/>
  <c r="S69"/>
  <c r="O69"/>
  <c r="K69"/>
  <c r="G69"/>
  <c r="AB69"/>
  <c r="P69"/>
  <c r="L69"/>
  <c r="H69"/>
  <c r="D69"/>
  <c r="U73"/>
  <c r="Q73"/>
  <c r="M73"/>
  <c r="I73"/>
  <c r="E73"/>
  <c r="V73"/>
  <c r="R73"/>
  <c r="N73"/>
  <c r="J73"/>
  <c r="F73"/>
  <c r="W73"/>
  <c r="S73"/>
  <c r="O73"/>
  <c r="K73"/>
  <c r="G73"/>
  <c r="AB73"/>
  <c r="X73"/>
  <c r="T73"/>
  <c r="P73"/>
  <c r="L73"/>
  <c r="H73"/>
  <c r="D73"/>
  <c r="J96"/>
  <c r="F96"/>
  <c r="K96"/>
  <c r="G96"/>
  <c r="AB96"/>
  <c r="L96"/>
  <c r="H96"/>
  <c r="D96"/>
  <c r="M96"/>
  <c r="I96"/>
  <c r="E96"/>
  <c r="R92"/>
  <c r="N92"/>
  <c r="J92"/>
  <c r="F92"/>
  <c r="S92"/>
  <c r="O92"/>
  <c r="K92"/>
  <c r="G92"/>
  <c r="AB92"/>
  <c r="P92"/>
  <c r="L92"/>
  <c r="H92"/>
  <c r="D92"/>
  <c r="Q92"/>
  <c r="M92"/>
  <c r="I92"/>
  <c r="E92"/>
  <c r="J82"/>
  <c r="F82"/>
  <c r="K82"/>
  <c r="G82"/>
  <c r="AB82"/>
  <c r="L82"/>
  <c r="H82"/>
  <c r="D82"/>
  <c r="M82"/>
  <c r="I82"/>
  <c r="E82"/>
  <c r="AB352"/>
  <c r="P352"/>
  <c r="L352"/>
  <c r="H352"/>
  <c r="D352"/>
  <c r="Q352"/>
  <c r="M352"/>
  <c r="I352"/>
  <c r="E352"/>
  <c r="R352"/>
  <c r="N352"/>
  <c r="J352"/>
  <c r="F352"/>
  <c r="S352"/>
  <c r="O352"/>
  <c r="K352"/>
  <c r="G352"/>
  <c r="AB365"/>
  <c r="L365"/>
  <c r="H365"/>
  <c r="D365"/>
  <c r="M365"/>
  <c r="I365"/>
  <c r="E365"/>
  <c r="J365"/>
  <c r="F365"/>
  <c r="K365"/>
  <c r="G365"/>
  <c r="AB372"/>
  <c r="T372"/>
  <c r="P372"/>
  <c r="L372"/>
  <c r="H372"/>
  <c r="D372"/>
  <c r="U372"/>
  <c r="Q372"/>
  <c r="M372"/>
  <c r="I372"/>
  <c r="E372"/>
  <c r="R372"/>
  <c r="N372"/>
  <c r="J372"/>
  <c r="F372"/>
  <c r="S372"/>
  <c r="O372"/>
  <c r="K372"/>
  <c r="G372"/>
  <c r="AB384"/>
  <c r="L384"/>
  <c r="H384"/>
  <c r="D384"/>
  <c r="M384"/>
  <c r="I384"/>
  <c r="E384"/>
  <c r="J384"/>
  <c r="F384"/>
  <c r="K384"/>
  <c r="G384"/>
  <c r="AB389"/>
  <c r="L389"/>
  <c r="H389"/>
  <c r="D389"/>
  <c r="M389"/>
  <c r="I389"/>
  <c r="E389"/>
  <c r="J389"/>
  <c r="F389"/>
  <c r="K389"/>
  <c r="G389"/>
  <c r="X404"/>
  <c r="T404"/>
  <c r="P404"/>
  <c r="L404"/>
  <c r="H404"/>
  <c r="D404"/>
  <c r="U404"/>
  <c r="Q404"/>
  <c r="M404"/>
  <c r="I404"/>
  <c r="E404"/>
  <c r="V404"/>
  <c r="R404"/>
  <c r="N404"/>
  <c r="J404"/>
  <c r="F404"/>
  <c r="AB404"/>
  <c r="W404"/>
  <c r="S404"/>
  <c r="O404"/>
  <c r="K404"/>
  <c r="G404"/>
  <c r="K408"/>
  <c r="G408"/>
  <c r="AB408"/>
  <c r="L408"/>
  <c r="F408"/>
  <c r="M408"/>
  <c r="H408"/>
  <c r="I408"/>
  <c r="D408"/>
  <c r="J408"/>
  <c r="E408"/>
  <c r="K413"/>
  <c r="G413"/>
  <c r="J413"/>
  <c r="E413"/>
  <c r="AB413"/>
  <c r="L413"/>
  <c r="F413"/>
  <c r="M413"/>
  <c r="H413"/>
  <c r="I413"/>
  <c r="D413"/>
  <c r="W417"/>
  <c r="S417"/>
  <c r="O417"/>
  <c r="K417"/>
  <c r="G417"/>
  <c r="T417"/>
  <c r="N417"/>
  <c r="I417"/>
  <c r="D417"/>
  <c r="U417"/>
  <c r="P417"/>
  <c r="J417"/>
  <c r="E417"/>
  <c r="AB417"/>
  <c r="V417"/>
  <c r="Q417"/>
  <c r="L417"/>
  <c r="F417"/>
  <c r="X417"/>
  <c r="R417"/>
  <c r="M417"/>
  <c r="H417"/>
  <c r="S422"/>
  <c r="O422"/>
  <c r="K422"/>
  <c r="G422"/>
  <c r="R422"/>
  <c r="M422"/>
  <c r="H422"/>
  <c r="N422"/>
  <c r="I422"/>
  <c r="D422"/>
  <c r="P422"/>
  <c r="J422"/>
  <c r="E422"/>
  <c r="AB422"/>
  <c r="Q422"/>
  <c r="L422"/>
  <c r="F422"/>
  <c r="W427"/>
  <c r="S427"/>
  <c r="O427"/>
  <c r="K427"/>
  <c r="G427"/>
  <c r="AB427"/>
  <c r="V427"/>
  <c r="Q427"/>
  <c r="L427"/>
  <c r="F427"/>
  <c r="X427"/>
  <c r="R427"/>
  <c r="M427"/>
  <c r="H427"/>
  <c r="T427"/>
  <c r="N427"/>
  <c r="I427"/>
  <c r="D427"/>
  <c r="U427"/>
  <c r="P427"/>
  <c r="J427"/>
  <c r="E427"/>
  <c r="AA431"/>
  <c r="W431"/>
  <c r="S431"/>
  <c r="O431"/>
  <c r="K431"/>
  <c r="G431"/>
  <c r="U431"/>
  <c r="P431"/>
  <c r="J431"/>
  <c r="E431"/>
  <c r="AB431"/>
  <c r="V431"/>
  <c r="Q431"/>
  <c r="L431"/>
  <c r="F431"/>
  <c r="X431"/>
  <c r="R431"/>
  <c r="M431"/>
  <c r="H431"/>
  <c r="T431"/>
  <c r="N431"/>
  <c r="I431"/>
  <c r="D431"/>
  <c r="K436"/>
  <c r="G436"/>
  <c r="I436"/>
  <c r="D436"/>
  <c r="J436"/>
  <c r="E436"/>
  <c r="AB436"/>
  <c r="L436"/>
  <c r="F436"/>
  <c r="M436"/>
  <c r="H436"/>
  <c r="K441"/>
  <c r="G441"/>
  <c r="M441"/>
  <c r="H441"/>
  <c r="I441"/>
  <c r="D441"/>
  <c r="J441"/>
  <c r="E441"/>
  <c r="AB441"/>
  <c r="L441"/>
  <c r="F441"/>
  <c r="K448"/>
  <c r="G448"/>
  <c r="AB448"/>
  <c r="L448"/>
  <c r="F448"/>
  <c r="M448"/>
  <c r="H448"/>
  <c r="I448"/>
  <c r="D448"/>
  <c r="J448"/>
  <c r="E448"/>
  <c r="K461"/>
  <c r="G461"/>
  <c r="J461"/>
  <c r="E461"/>
  <c r="AB461"/>
  <c r="L461"/>
  <c r="F461"/>
  <c r="M461"/>
  <c r="H461"/>
  <c r="I461"/>
  <c r="D461"/>
  <c r="S13" i="68"/>
  <c r="O13"/>
  <c r="K13"/>
  <c r="G13"/>
  <c r="T13"/>
  <c r="N13"/>
  <c r="I13"/>
  <c r="D13"/>
  <c r="P13"/>
  <c r="J13"/>
  <c r="E13"/>
  <c r="AB13"/>
  <c r="Q13"/>
  <c r="L13"/>
  <c r="F13"/>
  <c r="R13"/>
  <c r="M13"/>
  <c r="H13"/>
  <c r="S17"/>
  <c r="O17"/>
  <c r="K17"/>
  <c r="G17"/>
  <c r="R17"/>
  <c r="M17"/>
  <c r="H17"/>
  <c r="N17"/>
  <c r="I17"/>
  <c r="D17"/>
  <c r="P17"/>
  <c r="J17"/>
  <c r="E17"/>
  <c r="AB17"/>
  <c r="Q17"/>
  <c r="L17"/>
  <c r="F17"/>
  <c r="K21"/>
  <c r="G21"/>
  <c r="AB21"/>
  <c r="L21"/>
  <c r="F21"/>
  <c r="M21"/>
  <c r="H21"/>
  <c r="I21"/>
  <c r="D21"/>
  <c r="J21"/>
  <c r="E21"/>
  <c r="AB26"/>
  <c r="L26"/>
  <c r="H26"/>
  <c r="D26"/>
  <c r="K26"/>
  <c r="G26"/>
  <c r="Q26"/>
  <c r="I26"/>
  <c r="J26"/>
  <c r="M26"/>
  <c r="E26"/>
  <c r="F26"/>
  <c r="AB30"/>
  <c r="L30"/>
  <c r="H30"/>
  <c r="D30"/>
  <c r="K30"/>
  <c r="G30"/>
  <c r="M30"/>
  <c r="E30"/>
  <c r="F30"/>
  <c r="Q30"/>
  <c r="I30"/>
  <c r="J30"/>
  <c r="AB34"/>
  <c r="P34"/>
  <c r="L34"/>
  <c r="H34"/>
  <c r="D34"/>
  <c r="S34"/>
  <c r="O34"/>
  <c r="K34"/>
  <c r="G34"/>
  <c r="Q34"/>
  <c r="I34"/>
  <c r="R34"/>
  <c r="J34"/>
  <c r="M34"/>
  <c r="E34"/>
  <c r="N34"/>
  <c r="F34"/>
  <c r="AB39"/>
  <c r="L39"/>
  <c r="H39"/>
  <c r="D39"/>
  <c r="K39"/>
  <c r="G39"/>
  <c r="M39"/>
  <c r="E39"/>
  <c r="F39"/>
  <c r="Q39"/>
  <c r="I39"/>
  <c r="J39"/>
  <c r="AB44"/>
  <c r="L44"/>
  <c r="H44"/>
  <c r="D44"/>
  <c r="K44"/>
  <c r="G44"/>
  <c r="I44"/>
  <c r="J44"/>
  <c r="M44"/>
  <c r="E44"/>
  <c r="F44"/>
  <c r="AB48"/>
  <c r="L48"/>
  <c r="H48"/>
  <c r="D48"/>
  <c r="K48"/>
  <c r="G48"/>
  <c r="M48"/>
  <c r="E48"/>
  <c r="F48"/>
  <c r="Q48"/>
  <c r="I48"/>
  <c r="J48"/>
  <c r="AB52"/>
  <c r="L52"/>
  <c r="H52"/>
  <c r="D52"/>
  <c r="K52"/>
  <c r="G52"/>
  <c r="I52"/>
  <c r="J52"/>
  <c r="M52"/>
  <c r="E52"/>
  <c r="F52"/>
  <c r="AB57"/>
  <c r="L57"/>
  <c r="H57"/>
  <c r="D57"/>
  <c r="K57"/>
  <c r="G57"/>
  <c r="M57"/>
  <c r="E57"/>
  <c r="F57"/>
  <c r="Q57"/>
  <c r="I57"/>
  <c r="J57"/>
  <c r="AB61"/>
  <c r="L61"/>
  <c r="H61"/>
  <c r="D61"/>
  <c r="K61"/>
  <c r="G61"/>
  <c r="I61"/>
  <c r="J61"/>
  <c r="M61"/>
  <c r="E61"/>
  <c r="F61"/>
  <c r="AB65"/>
  <c r="P65"/>
  <c r="L65"/>
  <c r="H65"/>
  <c r="D65"/>
  <c r="S65"/>
  <c r="O65"/>
  <c r="K65"/>
  <c r="G65"/>
  <c r="M65"/>
  <c r="E65"/>
  <c r="N65"/>
  <c r="F65"/>
  <c r="Q65"/>
  <c r="I65"/>
  <c r="R65"/>
  <c r="J65"/>
  <c r="AB69"/>
  <c r="P69"/>
  <c r="L69"/>
  <c r="H69"/>
  <c r="D69"/>
  <c r="S69"/>
  <c r="O69"/>
  <c r="K69"/>
  <c r="G69"/>
  <c r="Q69"/>
  <c r="I69"/>
  <c r="R69"/>
  <c r="J69"/>
  <c r="M69"/>
  <c r="E69"/>
  <c r="N69"/>
  <c r="F69"/>
  <c r="AB73"/>
  <c r="L73"/>
  <c r="H73"/>
  <c r="D73"/>
  <c r="K73"/>
  <c r="G73"/>
  <c r="M73"/>
  <c r="E73"/>
  <c r="F73"/>
  <c r="Q73"/>
  <c r="I73"/>
  <c r="J73"/>
  <c r="AB81"/>
  <c r="L81"/>
  <c r="H81"/>
  <c r="D81"/>
  <c r="K81"/>
  <c r="G81"/>
  <c r="Q81"/>
  <c r="I81"/>
  <c r="R81"/>
  <c r="J81"/>
  <c r="M81"/>
  <c r="E81"/>
  <c r="F81"/>
  <c r="AB91"/>
  <c r="L91"/>
  <c r="H91"/>
  <c r="D91"/>
  <c r="K91"/>
  <c r="G91"/>
  <c r="M91"/>
  <c r="E91"/>
  <c r="F91"/>
  <c r="I91"/>
  <c r="J91"/>
  <c r="AB95"/>
  <c r="L95"/>
  <c r="H95"/>
  <c r="D95"/>
  <c r="K95"/>
  <c r="G95"/>
  <c r="I95"/>
  <c r="J95"/>
  <c r="M95"/>
  <c r="E95"/>
  <c r="F95"/>
  <c r="AB100"/>
  <c r="L100"/>
  <c r="H100"/>
  <c r="D100"/>
  <c r="K100"/>
  <c r="G100"/>
  <c r="M100"/>
  <c r="E100"/>
  <c r="F100"/>
  <c r="I100"/>
  <c r="J100"/>
  <c r="AB121"/>
  <c r="L121"/>
  <c r="H121"/>
  <c r="D121"/>
  <c r="K121"/>
  <c r="G121"/>
  <c r="I121"/>
  <c r="J121"/>
  <c r="M121"/>
  <c r="E121"/>
  <c r="F121"/>
  <c r="AB125"/>
  <c r="P125"/>
  <c r="L125"/>
  <c r="H125"/>
  <c r="D125"/>
  <c r="S125"/>
  <c r="O125"/>
  <c r="K125"/>
  <c r="G125"/>
  <c r="M125"/>
  <c r="E125"/>
  <c r="N125"/>
  <c r="F125"/>
  <c r="Q125"/>
  <c r="I125"/>
  <c r="R125"/>
  <c r="J125"/>
  <c r="AB143"/>
  <c r="P143"/>
  <c r="L143"/>
  <c r="H143"/>
  <c r="D143"/>
  <c r="S143"/>
  <c r="O143"/>
  <c r="K143"/>
  <c r="G143"/>
  <c r="Q143"/>
  <c r="I143"/>
  <c r="R143"/>
  <c r="J143"/>
  <c r="M143"/>
  <c r="E143"/>
  <c r="N143"/>
  <c r="F143"/>
  <c r="AB147"/>
  <c r="L147"/>
  <c r="H147"/>
  <c r="D147"/>
  <c r="K147"/>
  <c r="G147"/>
  <c r="M147"/>
  <c r="E147"/>
  <c r="F147"/>
  <c r="Q147"/>
  <c r="I147"/>
  <c r="J147"/>
  <c r="AB151"/>
  <c r="L151"/>
  <c r="H151"/>
  <c r="D151"/>
  <c r="K151"/>
  <c r="G151"/>
  <c r="Q151"/>
  <c r="I151"/>
  <c r="J151"/>
  <c r="M151"/>
  <c r="E151"/>
  <c r="F151"/>
  <c r="AB193"/>
  <c r="L193"/>
  <c r="H193"/>
  <c r="D193"/>
  <c r="K193"/>
  <c r="G193"/>
  <c r="M193"/>
  <c r="E193"/>
  <c r="F193"/>
  <c r="Q193"/>
  <c r="I193"/>
  <c r="J193"/>
  <c r="AB197"/>
  <c r="L197"/>
  <c r="H197"/>
  <c r="D197"/>
  <c r="K197"/>
  <c r="G197"/>
  <c r="I197"/>
  <c r="J197"/>
  <c r="M197"/>
  <c r="E197"/>
  <c r="F197"/>
  <c r="AB201"/>
  <c r="L201"/>
  <c r="H201"/>
  <c r="D201"/>
  <c r="S201"/>
  <c r="K201"/>
  <c r="G201"/>
  <c r="M201"/>
  <c r="E201"/>
  <c r="N201"/>
  <c r="F201"/>
  <c r="Q201"/>
  <c r="I201"/>
  <c r="J201"/>
  <c r="AB205"/>
  <c r="L205"/>
  <c r="H205"/>
  <c r="D205"/>
  <c r="K205"/>
  <c r="G205"/>
  <c r="Q205"/>
  <c r="I205"/>
  <c r="R205"/>
  <c r="J205"/>
  <c r="M205"/>
  <c r="E205"/>
  <c r="F205"/>
  <c r="AB209"/>
  <c r="L209"/>
  <c r="H209"/>
  <c r="D209"/>
  <c r="K209"/>
  <c r="G209"/>
  <c r="M209"/>
  <c r="E209"/>
  <c r="N209"/>
  <c r="F209"/>
  <c r="Q209"/>
  <c r="I209"/>
  <c r="R209"/>
  <c r="J209"/>
  <c r="AB214"/>
  <c r="L214"/>
  <c r="H214"/>
  <c r="D214"/>
  <c r="K214"/>
  <c r="G214"/>
  <c r="Q214"/>
  <c r="I214"/>
  <c r="J214"/>
  <c r="M214"/>
  <c r="E214"/>
  <c r="F214"/>
  <c r="AB218"/>
  <c r="L218"/>
  <c r="H218"/>
  <c r="D218"/>
  <c r="K218"/>
  <c r="G218"/>
  <c r="M218"/>
  <c r="E218"/>
  <c r="F218"/>
  <c r="Q218"/>
  <c r="I218"/>
  <c r="J218"/>
  <c r="AB239"/>
  <c r="L239"/>
  <c r="H239"/>
  <c r="D239"/>
  <c r="K239"/>
  <c r="G239"/>
  <c r="I239"/>
  <c r="J239"/>
  <c r="M239"/>
  <c r="E239"/>
  <c r="F239"/>
  <c r="AB243"/>
  <c r="L243"/>
  <c r="H243"/>
  <c r="D243"/>
  <c r="S243"/>
  <c r="K243"/>
  <c r="G243"/>
  <c r="M243"/>
  <c r="E243"/>
  <c r="N243"/>
  <c r="F243"/>
  <c r="Q243"/>
  <c r="I243"/>
  <c r="R243"/>
  <c r="J243"/>
  <c r="AB247"/>
  <c r="L247"/>
  <c r="H247"/>
  <c r="D247"/>
  <c r="K247"/>
  <c r="G247"/>
  <c r="Q247"/>
  <c r="I247"/>
  <c r="R247"/>
  <c r="J247"/>
  <c r="M247"/>
  <c r="E247"/>
  <c r="F247"/>
  <c r="AB251"/>
  <c r="L251"/>
  <c r="H251"/>
  <c r="D251"/>
  <c r="K251"/>
  <c r="G251"/>
  <c r="M251"/>
  <c r="E251"/>
  <c r="F251"/>
  <c r="Q251"/>
  <c r="I251"/>
  <c r="J251"/>
  <c r="AB255"/>
  <c r="X255"/>
  <c r="T255"/>
  <c r="P255"/>
  <c r="L255"/>
  <c r="H255"/>
  <c r="D255"/>
  <c r="W255"/>
  <c r="S255"/>
  <c r="O255"/>
  <c r="K255"/>
  <c r="G255"/>
  <c r="Q255"/>
  <c r="I255"/>
  <c r="R255"/>
  <c r="J255"/>
  <c r="U255"/>
  <c r="M255"/>
  <c r="E255"/>
  <c r="V255"/>
  <c r="N255"/>
  <c r="F255"/>
  <c r="AB353"/>
  <c r="L353"/>
  <c r="H353"/>
  <c r="D353"/>
  <c r="K353"/>
  <c r="G353"/>
  <c r="M353"/>
  <c r="E353"/>
  <c r="F353"/>
  <c r="Q353"/>
  <c r="I353"/>
  <c r="J353"/>
  <c r="AB362"/>
  <c r="P362"/>
  <c r="L362"/>
  <c r="H362"/>
  <c r="D362"/>
  <c r="S362"/>
  <c r="O362"/>
  <c r="K362"/>
  <c r="G362"/>
  <c r="Q362"/>
  <c r="I362"/>
  <c r="R362"/>
  <c r="J362"/>
  <c r="M362"/>
  <c r="E362"/>
  <c r="N362"/>
  <c r="F362"/>
  <c r="AB367"/>
  <c r="L367"/>
  <c r="H367"/>
  <c r="D367"/>
  <c r="K367"/>
  <c r="G367"/>
  <c r="M367"/>
  <c r="E367"/>
  <c r="F367"/>
  <c r="Q367"/>
  <c r="I367"/>
  <c r="J367"/>
  <c r="AB373"/>
  <c r="X373"/>
  <c r="T373"/>
  <c r="P373"/>
  <c r="L373"/>
  <c r="H373"/>
  <c r="D373"/>
  <c r="W373"/>
  <c r="S373"/>
  <c r="O373"/>
  <c r="K373"/>
  <c r="G373"/>
  <c r="Q373"/>
  <c r="I373"/>
  <c r="R373"/>
  <c r="J373"/>
  <c r="U373"/>
  <c r="M373"/>
  <c r="E373"/>
  <c r="V373"/>
  <c r="N373"/>
  <c r="F373"/>
  <c r="AB385"/>
  <c r="P385"/>
  <c r="L385"/>
  <c r="H385"/>
  <c r="D385"/>
  <c r="S385"/>
  <c r="O385"/>
  <c r="K385"/>
  <c r="G385"/>
  <c r="M385"/>
  <c r="E385"/>
  <c r="N385"/>
  <c r="F385"/>
  <c r="Q385"/>
  <c r="I385"/>
  <c r="R385"/>
  <c r="J385"/>
  <c r="AB400"/>
  <c r="L400"/>
  <c r="H400"/>
  <c r="D400"/>
  <c r="K400"/>
  <c r="G400"/>
  <c r="I400"/>
  <c r="J400"/>
  <c r="M400"/>
  <c r="E400"/>
  <c r="F400"/>
  <c r="AB405"/>
  <c r="L405"/>
  <c r="H405"/>
  <c r="D405"/>
  <c r="K405"/>
  <c r="G405"/>
  <c r="M405"/>
  <c r="E405"/>
  <c r="F405"/>
  <c r="Q405"/>
  <c r="I405"/>
  <c r="J405"/>
  <c r="AB409"/>
  <c r="L409"/>
  <c r="H409"/>
  <c r="D409"/>
  <c r="K409"/>
  <c r="G409"/>
  <c r="Q409"/>
  <c r="I409"/>
  <c r="J409"/>
  <c r="M409"/>
  <c r="E409"/>
  <c r="F409"/>
  <c r="AB414"/>
  <c r="L414"/>
  <c r="H414"/>
  <c r="D414"/>
  <c r="K414"/>
  <c r="G414"/>
  <c r="M414"/>
  <c r="E414"/>
  <c r="F414"/>
  <c r="Q414"/>
  <c r="I414"/>
  <c r="J414"/>
  <c r="AB419"/>
  <c r="P419"/>
  <c r="L419"/>
  <c r="H419"/>
  <c r="D419"/>
  <c r="S419"/>
  <c r="O419"/>
  <c r="K419"/>
  <c r="G419"/>
  <c r="Q419"/>
  <c r="I419"/>
  <c r="R419"/>
  <c r="J419"/>
  <c r="M419"/>
  <c r="E419"/>
  <c r="N419"/>
  <c r="F419"/>
  <c r="AB423"/>
  <c r="L423"/>
  <c r="H423"/>
  <c r="D423"/>
  <c r="Q423"/>
  <c r="M423"/>
  <c r="I423"/>
  <c r="E423"/>
  <c r="J423"/>
  <c r="F423"/>
  <c r="K423"/>
  <c r="G423"/>
  <c r="AB428"/>
  <c r="L428"/>
  <c r="H428"/>
  <c r="D428"/>
  <c r="M428"/>
  <c r="I428"/>
  <c r="E428"/>
  <c r="J428"/>
  <c r="F428"/>
  <c r="K428"/>
  <c r="G428"/>
  <c r="AB432"/>
  <c r="L432"/>
  <c r="H432"/>
  <c r="D432"/>
  <c r="M432"/>
  <c r="I432"/>
  <c r="E432"/>
  <c r="J432"/>
  <c r="F432"/>
  <c r="K432"/>
  <c r="G432"/>
  <c r="AB437"/>
  <c r="P437"/>
  <c r="L437"/>
  <c r="H437"/>
  <c r="D437"/>
  <c r="Q437"/>
  <c r="M437"/>
  <c r="I437"/>
  <c r="E437"/>
  <c r="R437"/>
  <c r="N437"/>
  <c r="J437"/>
  <c r="F437"/>
  <c r="S437"/>
  <c r="O437"/>
  <c r="K437"/>
  <c r="G437"/>
  <c r="AB442"/>
  <c r="P442"/>
  <c r="L442"/>
  <c r="H442"/>
  <c r="D442"/>
  <c r="Q442"/>
  <c r="M442"/>
  <c r="I442"/>
  <c r="E442"/>
  <c r="R442"/>
  <c r="N442"/>
  <c r="J442"/>
  <c r="F442"/>
  <c r="S442"/>
  <c r="O442"/>
  <c r="K442"/>
  <c r="G442"/>
  <c r="AB449"/>
  <c r="L449"/>
  <c r="H449"/>
  <c r="D449"/>
  <c r="Q449"/>
  <c r="M449"/>
  <c r="I449"/>
  <c r="E449"/>
  <c r="J449"/>
  <c r="F449"/>
  <c r="K449"/>
  <c r="G449"/>
  <c r="AB462"/>
  <c r="L462"/>
  <c r="H462"/>
  <c r="D462"/>
  <c r="Q462"/>
  <c r="M462"/>
  <c r="I462"/>
  <c r="E462"/>
  <c r="J462"/>
  <c r="F462"/>
  <c r="K462"/>
  <c r="G462"/>
  <c r="AB14" i="69"/>
  <c r="X14"/>
  <c r="T14"/>
  <c r="P14"/>
  <c r="L14"/>
  <c r="H14"/>
  <c r="D14"/>
  <c r="U14"/>
  <c r="Q14"/>
  <c r="M14"/>
  <c r="I14"/>
  <c r="E14"/>
  <c r="V14"/>
  <c r="R14"/>
  <c r="N14"/>
  <c r="J14"/>
  <c r="F14"/>
  <c r="W14"/>
  <c r="S14"/>
  <c r="O14"/>
  <c r="K14"/>
  <c r="G14"/>
  <c r="AB18"/>
  <c r="X18"/>
  <c r="T18"/>
  <c r="P18"/>
  <c r="L18"/>
  <c r="H18"/>
  <c r="D18"/>
  <c r="U18"/>
  <c r="Q18"/>
  <c r="M18"/>
  <c r="I18"/>
  <c r="E18"/>
  <c r="V18"/>
  <c r="R18"/>
  <c r="N18"/>
  <c r="J18"/>
  <c r="F18"/>
  <c r="AA18"/>
  <c r="W18"/>
  <c r="S18"/>
  <c r="O18"/>
  <c r="K18"/>
  <c r="G18"/>
  <c r="AB22"/>
  <c r="P22"/>
  <c r="L22"/>
  <c r="H22"/>
  <c r="D22"/>
  <c r="Q22"/>
  <c r="M22"/>
  <c r="I22"/>
  <c r="E22"/>
  <c r="R22"/>
  <c r="N22"/>
  <c r="J22"/>
  <c r="F22"/>
  <c r="S22"/>
  <c r="O22"/>
  <c r="K22"/>
  <c r="G22"/>
  <c r="AB27"/>
  <c r="T27"/>
  <c r="P27"/>
  <c r="L27"/>
  <c r="H27"/>
  <c r="D27"/>
  <c r="U27"/>
  <c r="Q27"/>
  <c r="M27"/>
  <c r="I27"/>
  <c r="E27"/>
  <c r="V27"/>
  <c r="R27"/>
  <c r="N27"/>
  <c r="J27"/>
  <c r="F27"/>
  <c r="W27"/>
  <c r="S27"/>
  <c r="O27"/>
  <c r="K27"/>
  <c r="G27"/>
  <c r="AB31"/>
  <c r="L31"/>
  <c r="H31"/>
  <c r="D31"/>
  <c r="Q31"/>
  <c r="M31"/>
  <c r="I31"/>
  <c r="E31"/>
  <c r="J31"/>
  <c r="F31"/>
  <c r="K31"/>
  <c r="G31"/>
  <c r="AB36"/>
  <c r="L36"/>
  <c r="H36"/>
  <c r="D36"/>
  <c r="Q36"/>
  <c r="M36"/>
  <c r="I36"/>
  <c r="E36"/>
  <c r="J36"/>
  <c r="F36"/>
  <c r="K36"/>
  <c r="G36"/>
  <c r="AB40"/>
  <c r="P40"/>
  <c r="L40"/>
  <c r="H40"/>
  <c r="D40"/>
  <c r="Q40"/>
  <c r="M40"/>
  <c r="I40"/>
  <c r="E40"/>
  <c r="R40"/>
  <c r="N40"/>
  <c r="J40"/>
  <c r="F40"/>
  <c r="S40"/>
  <c r="O40"/>
  <c r="K40"/>
  <c r="G40"/>
  <c r="AB45"/>
  <c r="L45"/>
  <c r="H45"/>
  <c r="D45"/>
  <c r="Q45"/>
  <c r="M45"/>
  <c r="I45"/>
  <c r="E45"/>
  <c r="R45"/>
  <c r="J45"/>
  <c r="F45"/>
  <c r="K45"/>
  <c r="G45"/>
  <c r="AB49"/>
  <c r="L49"/>
  <c r="H49"/>
  <c r="D49"/>
  <c r="Q49"/>
  <c r="M49"/>
  <c r="I49"/>
  <c r="E49"/>
  <c r="R49"/>
  <c r="J49"/>
  <c r="F49"/>
  <c r="K49"/>
  <c r="G49"/>
  <c r="AB53"/>
  <c r="L53"/>
  <c r="H53"/>
  <c r="D53"/>
  <c r="Q53"/>
  <c r="M53"/>
  <c r="I53"/>
  <c r="E53"/>
  <c r="R53"/>
  <c r="J53"/>
  <c r="F53"/>
  <c r="K53"/>
  <c r="G53"/>
  <c r="AB58"/>
  <c r="T58"/>
  <c r="P58"/>
  <c r="L58"/>
  <c r="H58"/>
  <c r="D58"/>
  <c r="U58"/>
  <c r="Q58"/>
  <c r="M58"/>
  <c r="I58"/>
  <c r="E58"/>
  <c r="V58"/>
  <c r="R58"/>
  <c r="N58"/>
  <c r="J58"/>
  <c r="F58"/>
  <c r="W58"/>
  <c r="S58"/>
  <c r="O58"/>
  <c r="K58"/>
  <c r="G58"/>
  <c r="AB62"/>
  <c r="L62"/>
  <c r="H62"/>
  <c r="D62"/>
  <c r="Q62"/>
  <c r="M62"/>
  <c r="I62"/>
  <c r="E62"/>
  <c r="J62"/>
  <c r="F62"/>
  <c r="K62"/>
  <c r="G62"/>
  <c r="AB66"/>
  <c r="L66"/>
  <c r="H66"/>
  <c r="D66"/>
  <c r="Q66"/>
  <c r="M66"/>
  <c r="I66"/>
  <c r="E66"/>
  <c r="J66"/>
  <c r="F66"/>
  <c r="K66"/>
  <c r="G66"/>
  <c r="AB70"/>
  <c r="P70"/>
  <c r="L70"/>
  <c r="H70"/>
  <c r="D70"/>
  <c r="Q70"/>
  <c r="M70"/>
  <c r="I70"/>
  <c r="E70"/>
  <c r="R70"/>
  <c r="N70"/>
  <c r="J70"/>
  <c r="F70"/>
  <c r="S70"/>
  <c r="O70"/>
  <c r="K70"/>
  <c r="G70"/>
  <c r="AB78"/>
  <c r="L78"/>
  <c r="H78"/>
  <c r="D78"/>
  <c r="Q78"/>
  <c r="M78"/>
  <c r="I78"/>
  <c r="E78"/>
  <c r="R78"/>
  <c r="J78"/>
  <c r="F78"/>
  <c r="K78"/>
  <c r="G78"/>
  <c r="AB82"/>
  <c r="L82"/>
  <c r="H82"/>
  <c r="D82"/>
  <c r="M82"/>
  <c r="I82"/>
  <c r="E82"/>
  <c r="R82"/>
  <c r="J82"/>
  <c r="F82"/>
  <c r="K82"/>
  <c r="G82"/>
  <c r="AB92"/>
  <c r="L92"/>
  <c r="H92"/>
  <c r="D92"/>
  <c r="Q92"/>
  <c r="M92"/>
  <c r="I92"/>
  <c r="E92"/>
  <c r="J92"/>
  <c r="F92"/>
  <c r="K92"/>
  <c r="G92"/>
  <c r="AB96"/>
  <c r="L96"/>
  <c r="H96"/>
  <c r="D96"/>
  <c r="M96"/>
  <c r="I96"/>
  <c r="E96"/>
  <c r="R96"/>
  <c r="J96"/>
  <c r="F96"/>
  <c r="K96"/>
  <c r="G96"/>
  <c r="AB118"/>
  <c r="L118"/>
  <c r="H118"/>
  <c r="D118"/>
  <c r="Q118"/>
  <c r="M118"/>
  <c r="I118"/>
  <c r="E118"/>
  <c r="J118"/>
  <c r="F118"/>
  <c r="K118"/>
  <c r="G118"/>
  <c r="AB122"/>
  <c r="P122"/>
  <c r="L122"/>
  <c r="H122"/>
  <c r="D122"/>
  <c r="Q122"/>
  <c r="M122"/>
  <c r="I122"/>
  <c r="E122"/>
  <c r="R122"/>
  <c r="N122"/>
  <c r="J122"/>
  <c r="F122"/>
  <c r="S122"/>
  <c r="O122"/>
  <c r="K122"/>
  <c r="G122"/>
  <c r="AB126"/>
  <c r="L126"/>
  <c r="H126"/>
  <c r="D126"/>
  <c r="Q126"/>
  <c r="M126"/>
  <c r="I126"/>
  <c r="E126"/>
  <c r="J126"/>
  <c r="F126"/>
  <c r="K126"/>
  <c r="G126"/>
  <c r="AB144"/>
  <c r="L144"/>
  <c r="H144"/>
  <c r="D144"/>
  <c r="Q144"/>
  <c r="M144"/>
  <c r="I144"/>
  <c r="E144"/>
  <c r="R144"/>
  <c r="J144"/>
  <c r="F144"/>
  <c r="K144"/>
  <c r="G144"/>
  <c r="AB148"/>
  <c r="L148"/>
  <c r="H148"/>
  <c r="D148"/>
  <c r="Q148"/>
  <c r="M148"/>
  <c r="I148"/>
  <c r="E148"/>
  <c r="J148"/>
  <c r="F148"/>
  <c r="K148"/>
  <c r="G148"/>
  <c r="AB153"/>
  <c r="L153"/>
  <c r="H153"/>
  <c r="D153"/>
  <c r="Q153"/>
  <c r="M153"/>
  <c r="I153"/>
  <c r="E153"/>
  <c r="J153"/>
  <c r="F153"/>
  <c r="K153"/>
  <c r="G153"/>
  <c r="J194"/>
  <c r="F194"/>
  <c r="M194"/>
  <c r="H194"/>
  <c r="I194"/>
  <c r="D194"/>
  <c r="K194"/>
  <c r="E194"/>
  <c r="AB194"/>
  <c r="Q194"/>
  <c r="L194"/>
  <c r="G194"/>
  <c r="J198"/>
  <c r="F198"/>
  <c r="AB198"/>
  <c r="Q198"/>
  <c r="L198"/>
  <c r="G198"/>
  <c r="M198"/>
  <c r="H198"/>
  <c r="I198"/>
  <c r="D198"/>
  <c r="K198"/>
  <c r="E198"/>
  <c r="S202"/>
  <c r="K202"/>
  <c r="G202"/>
  <c r="AB202"/>
  <c r="L202"/>
  <c r="H202"/>
  <c r="D202"/>
  <c r="Q202"/>
  <c r="M202"/>
  <c r="I202"/>
  <c r="E202"/>
  <c r="R202"/>
  <c r="J202"/>
  <c r="F202"/>
  <c r="K206"/>
  <c r="G206"/>
  <c r="AB206"/>
  <c r="L206"/>
  <c r="H206"/>
  <c r="D206"/>
  <c r="M206"/>
  <c r="I206"/>
  <c r="E206"/>
  <c r="J206"/>
  <c r="F206"/>
  <c r="K210"/>
  <c r="G210"/>
  <c r="AB210"/>
  <c r="L210"/>
  <c r="H210"/>
  <c r="D210"/>
  <c r="Q210"/>
  <c r="M210"/>
  <c r="I210"/>
  <c r="E210"/>
  <c r="J210"/>
  <c r="F210"/>
  <c r="K215"/>
  <c r="G215"/>
  <c r="AB215"/>
  <c r="L215"/>
  <c r="H215"/>
  <c r="D215"/>
  <c r="Q215"/>
  <c r="M215"/>
  <c r="I215"/>
  <c r="E215"/>
  <c r="J215"/>
  <c r="F215"/>
  <c r="K219"/>
  <c r="G219"/>
  <c r="AB219"/>
  <c r="L219"/>
  <c r="H219"/>
  <c r="D219"/>
  <c r="Q219"/>
  <c r="M219"/>
  <c r="I219"/>
  <c r="E219"/>
  <c r="J219"/>
  <c r="F219"/>
  <c r="K240"/>
  <c r="G240"/>
  <c r="AB240"/>
  <c r="L240"/>
  <c r="H240"/>
  <c r="D240"/>
  <c r="Q240"/>
  <c r="M240"/>
  <c r="I240"/>
  <c r="E240"/>
  <c r="J240"/>
  <c r="F240"/>
  <c r="K244"/>
  <c r="G244"/>
  <c r="AB244"/>
  <c r="L244"/>
  <c r="H244"/>
  <c r="D244"/>
  <c r="Q244"/>
  <c r="M244"/>
  <c r="I244"/>
  <c r="E244"/>
  <c r="J244"/>
  <c r="F244"/>
  <c r="K248"/>
  <c r="G248"/>
  <c r="AB248"/>
  <c r="L248"/>
  <c r="H248"/>
  <c r="D248"/>
  <c r="Q248"/>
  <c r="M248"/>
  <c r="I248"/>
  <c r="E248"/>
  <c r="R248"/>
  <c r="J248"/>
  <c r="F248"/>
  <c r="S252"/>
  <c r="K252"/>
  <c r="G252"/>
  <c r="AB252"/>
  <c r="L252"/>
  <c r="H252"/>
  <c r="D252"/>
  <c r="Q252"/>
  <c r="M252"/>
  <c r="I252"/>
  <c r="E252"/>
  <c r="R252"/>
  <c r="N252"/>
  <c r="J252"/>
  <c r="F252"/>
  <c r="K256"/>
  <c r="G256"/>
  <c r="AB256"/>
  <c r="L256"/>
  <c r="H256"/>
  <c r="D256"/>
  <c r="Q256"/>
  <c r="M256"/>
  <c r="I256"/>
  <c r="E256"/>
  <c r="J256"/>
  <c r="F256"/>
  <c r="K355"/>
  <c r="G355"/>
  <c r="AB355"/>
  <c r="L355"/>
  <c r="H355"/>
  <c r="D355"/>
  <c r="Q355"/>
  <c r="M355"/>
  <c r="I355"/>
  <c r="E355"/>
  <c r="J355"/>
  <c r="F355"/>
  <c r="S363"/>
  <c r="K363"/>
  <c r="G363"/>
  <c r="AB363"/>
  <c r="L363"/>
  <c r="H363"/>
  <c r="D363"/>
  <c r="Q363"/>
  <c r="M363"/>
  <c r="I363"/>
  <c r="E363"/>
  <c r="R363"/>
  <c r="N363"/>
  <c r="J363"/>
  <c r="F363"/>
  <c r="K368"/>
  <c r="G368"/>
  <c r="AB368"/>
  <c r="L368"/>
  <c r="H368"/>
  <c r="D368"/>
  <c r="Q368"/>
  <c r="M368"/>
  <c r="I368"/>
  <c r="E368"/>
  <c r="J368"/>
  <c r="F368"/>
  <c r="K374"/>
  <c r="G374"/>
  <c r="AB374"/>
  <c r="L374"/>
  <c r="H374"/>
  <c r="D374"/>
  <c r="Q374"/>
  <c r="M374"/>
  <c r="I374"/>
  <c r="E374"/>
  <c r="J374"/>
  <c r="F374"/>
  <c r="S386"/>
  <c r="O386"/>
  <c r="K386"/>
  <c r="G386"/>
  <c r="AB386"/>
  <c r="P386"/>
  <c r="L386"/>
  <c r="H386"/>
  <c r="D386"/>
  <c r="Q386"/>
  <c r="M386"/>
  <c r="I386"/>
  <c r="E386"/>
  <c r="R386"/>
  <c r="N386"/>
  <c r="J386"/>
  <c r="F386"/>
  <c r="K401"/>
  <c r="G401"/>
  <c r="AB401"/>
  <c r="L401"/>
  <c r="H401"/>
  <c r="D401"/>
  <c r="M401"/>
  <c r="I401"/>
  <c r="E401"/>
  <c r="J401"/>
  <c r="F401"/>
  <c r="AA406"/>
  <c r="W406"/>
  <c r="S406"/>
  <c r="O406"/>
  <c r="K406"/>
  <c r="G406"/>
  <c r="AB406"/>
  <c r="X406"/>
  <c r="T406"/>
  <c r="P406"/>
  <c r="L406"/>
  <c r="H406"/>
  <c r="D406"/>
  <c r="U406"/>
  <c r="Q406"/>
  <c r="M406"/>
  <c r="I406"/>
  <c r="E406"/>
  <c r="V406"/>
  <c r="R406"/>
  <c r="N406"/>
  <c r="J406"/>
  <c r="F406"/>
  <c r="K411"/>
  <c r="G411"/>
  <c r="AB411"/>
  <c r="L411"/>
  <c r="H411"/>
  <c r="D411"/>
  <c r="M411"/>
  <c r="I411"/>
  <c r="E411"/>
  <c r="R411"/>
  <c r="J411"/>
  <c r="F411"/>
  <c r="K415"/>
  <c r="G415"/>
  <c r="AB415"/>
  <c r="L415"/>
  <c r="H415"/>
  <c r="D415"/>
  <c r="Q415"/>
  <c r="M415"/>
  <c r="I415"/>
  <c r="E415"/>
  <c r="J415"/>
  <c r="F415"/>
  <c r="K420"/>
  <c r="G420"/>
  <c r="AB420"/>
  <c r="L420"/>
  <c r="H420"/>
  <c r="D420"/>
  <c r="Q420"/>
  <c r="M420"/>
  <c r="I420"/>
  <c r="E420"/>
  <c r="J420"/>
  <c r="F420"/>
  <c r="S425"/>
  <c r="O425"/>
  <c r="K425"/>
  <c r="G425"/>
  <c r="AB425"/>
  <c r="T425"/>
  <c r="P425"/>
  <c r="L425"/>
  <c r="H425"/>
  <c r="D425"/>
  <c r="Q425"/>
  <c r="M425"/>
  <c r="I425"/>
  <c r="E425"/>
  <c r="R425"/>
  <c r="N425"/>
  <c r="J425"/>
  <c r="F425"/>
  <c r="K429"/>
  <c r="G429"/>
  <c r="AB429"/>
  <c r="L429"/>
  <c r="H429"/>
  <c r="D429"/>
  <c r="Q429"/>
  <c r="M429"/>
  <c r="I429"/>
  <c r="E429"/>
  <c r="J429"/>
  <c r="F429"/>
  <c r="S434"/>
  <c r="O434"/>
  <c r="K434"/>
  <c r="G434"/>
  <c r="AB434"/>
  <c r="P434"/>
  <c r="L434"/>
  <c r="H434"/>
  <c r="D434"/>
  <c r="Q434"/>
  <c r="M434"/>
  <c r="I434"/>
  <c r="E434"/>
  <c r="R434"/>
  <c r="N434"/>
  <c r="J434"/>
  <c r="F434"/>
  <c r="K438"/>
  <c r="G438"/>
  <c r="AB438"/>
  <c r="L438"/>
  <c r="H438"/>
  <c r="D438"/>
  <c r="M438"/>
  <c r="I438"/>
  <c r="E438"/>
  <c r="J438"/>
  <c r="F438"/>
  <c r="K443"/>
  <c r="G443"/>
  <c r="AB443"/>
  <c r="L443"/>
  <c r="H443"/>
  <c r="D443"/>
  <c r="Q443"/>
  <c r="M443"/>
  <c r="I443"/>
  <c r="E443"/>
  <c r="J443"/>
  <c r="F443"/>
  <c r="K455"/>
  <c r="G455"/>
  <c r="AB455"/>
  <c r="L455"/>
  <c r="H455"/>
  <c r="D455"/>
  <c r="Q455"/>
  <c r="M455"/>
  <c r="I455"/>
  <c r="E455"/>
  <c r="R455"/>
  <c r="J455"/>
  <c r="F455"/>
  <c r="S11" i="70"/>
  <c r="O11"/>
  <c r="K11"/>
  <c r="G11"/>
  <c r="AB11"/>
  <c r="P11"/>
  <c r="L11"/>
  <c r="H11"/>
  <c r="D11"/>
  <c r="Q11"/>
  <c r="M11"/>
  <c r="I11"/>
  <c r="E11"/>
  <c r="R11"/>
  <c r="N11"/>
  <c r="J11"/>
  <c r="F11"/>
  <c r="AA15"/>
  <c r="W15"/>
  <c r="S15"/>
  <c r="O15"/>
  <c r="K15"/>
  <c r="G15"/>
  <c r="AB15"/>
  <c r="X15"/>
  <c r="T15"/>
  <c r="P15"/>
  <c r="L15"/>
  <c r="H15"/>
  <c r="D15"/>
  <c r="U15"/>
  <c r="Q15"/>
  <c r="M15"/>
  <c r="I15"/>
  <c r="E15"/>
  <c r="V15"/>
  <c r="R15"/>
  <c r="N15"/>
  <c r="J15"/>
  <c r="F15"/>
  <c r="K19"/>
  <c r="G19"/>
  <c r="AB19"/>
  <c r="L19"/>
  <c r="H19"/>
  <c r="D19"/>
  <c r="Q19"/>
  <c r="M19"/>
  <c r="I19"/>
  <c r="E19"/>
  <c r="J19"/>
  <c r="F19"/>
  <c r="S23"/>
  <c r="O23"/>
  <c r="K23"/>
  <c r="G23"/>
  <c r="AB23"/>
  <c r="P23"/>
  <c r="L23"/>
  <c r="H23"/>
  <c r="D23"/>
  <c r="Q23"/>
  <c r="M23"/>
  <c r="I23"/>
  <c r="E23"/>
  <c r="R23"/>
  <c r="N23"/>
  <c r="J23"/>
  <c r="F23"/>
  <c r="K28"/>
  <c r="G28"/>
  <c r="AB28"/>
  <c r="L28"/>
  <c r="H28"/>
  <c r="D28"/>
  <c r="Q28"/>
  <c r="M28"/>
  <c r="I28"/>
  <c r="E28"/>
  <c r="J28"/>
  <c r="F28"/>
  <c r="K32"/>
  <c r="G32"/>
  <c r="AB32"/>
  <c r="L32"/>
  <c r="H32"/>
  <c r="D32"/>
  <c r="Q32"/>
  <c r="M32"/>
  <c r="I32"/>
  <c r="E32"/>
  <c r="R32"/>
  <c r="J32"/>
  <c r="F32"/>
  <c r="S37"/>
  <c r="O37"/>
  <c r="K37"/>
  <c r="G37"/>
  <c r="AB37"/>
  <c r="P37"/>
  <c r="L37"/>
  <c r="H37"/>
  <c r="D37"/>
  <c r="Q37"/>
  <c r="M37"/>
  <c r="I37"/>
  <c r="E37"/>
  <c r="R37"/>
  <c r="N37"/>
  <c r="J37"/>
  <c r="F37"/>
  <c r="K41"/>
  <c r="G41"/>
  <c r="AB41"/>
  <c r="L41"/>
  <c r="H41"/>
  <c r="D41"/>
  <c r="Q41"/>
  <c r="M41"/>
  <c r="I41"/>
  <c r="E41"/>
  <c r="R41"/>
  <c r="J41"/>
  <c r="F41"/>
  <c r="W46"/>
  <c r="S46"/>
  <c r="O46"/>
  <c r="K46"/>
  <c r="G46"/>
  <c r="AB46"/>
  <c r="T46"/>
  <c r="P46"/>
  <c r="L46"/>
  <c r="H46"/>
  <c r="D46"/>
  <c r="U46"/>
  <c r="Q46"/>
  <c r="M46"/>
  <c r="I46"/>
  <c r="E46"/>
  <c r="V46"/>
  <c r="R46"/>
  <c r="N46"/>
  <c r="J46"/>
  <c r="F46"/>
  <c r="W50"/>
  <c r="S50"/>
  <c r="O50"/>
  <c r="K50"/>
  <c r="G50"/>
  <c r="AB50"/>
  <c r="X50"/>
  <c r="T50"/>
  <c r="P50"/>
  <c r="L50"/>
  <c r="H50"/>
  <c r="D50"/>
  <c r="U50"/>
  <c r="Q50"/>
  <c r="M50"/>
  <c r="I50"/>
  <c r="E50"/>
  <c r="V50"/>
  <c r="R50"/>
  <c r="N50"/>
  <c r="J50"/>
  <c r="F50"/>
  <c r="W54"/>
  <c r="S54"/>
  <c r="O54"/>
  <c r="K54"/>
  <c r="G54"/>
  <c r="AB54"/>
  <c r="X54"/>
  <c r="T54"/>
  <c r="P54"/>
  <c r="L54"/>
  <c r="H54"/>
  <c r="D54"/>
  <c r="U54"/>
  <c r="Q54"/>
  <c r="M54"/>
  <c r="I54"/>
  <c r="E54"/>
  <c r="V54"/>
  <c r="R54"/>
  <c r="N54"/>
  <c r="J54"/>
  <c r="F54"/>
  <c r="K59"/>
  <c r="G59"/>
  <c r="AB59"/>
  <c r="L59"/>
  <c r="H59"/>
  <c r="D59"/>
  <c r="Q59"/>
  <c r="M59"/>
  <c r="I59"/>
  <c r="E59"/>
  <c r="J59"/>
  <c r="F59"/>
  <c r="K63"/>
  <c r="G63"/>
  <c r="AB63"/>
  <c r="L63"/>
  <c r="H63"/>
  <c r="D63"/>
  <c r="Q63"/>
  <c r="M63"/>
  <c r="I63"/>
  <c r="E63"/>
  <c r="J63"/>
  <c r="F63"/>
  <c r="S67"/>
  <c r="O67"/>
  <c r="K67"/>
  <c r="G67"/>
  <c r="AB67"/>
  <c r="P67"/>
  <c r="L67"/>
  <c r="H67"/>
  <c r="D67"/>
  <c r="Q67"/>
  <c r="M67"/>
  <c r="I67"/>
  <c r="E67"/>
  <c r="R67"/>
  <c r="N67"/>
  <c r="J67"/>
  <c r="F67"/>
  <c r="W71"/>
  <c r="S71"/>
  <c r="O71"/>
  <c r="K71"/>
  <c r="G71"/>
  <c r="AB71"/>
  <c r="X71"/>
  <c r="T71"/>
  <c r="P71"/>
  <c r="L71"/>
  <c r="H71"/>
  <c r="D71"/>
  <c r="U71"/>
  <c r="Q71"/>
  <c r="M71"/>
  <c r="I71"/>
  <c r="E71"/>
  <c r="V71"/>
  <c r="R71"/>
  <c r="N71"/>
  <c r="J71"/>
  <c r="F71"/>
  <c r="K79"/>
  <c r="G79"/>
  <c r="AB79"/>
  <c r="L79"/>
  <c r="H79"/>
  <c r="D79"/>
  <c r="Q79"/>
  <c r="M79"/>
  <c r="I79"/>
  <c r="E79"/>
  <c r="R79"/>
  <c r="N79"/>
  <c r="J79"/>
  <c r="F79"/>
  <c r="K89"/>
  <c r="G89"/>
  <c r="AB89"/>
  <c r="L89"/>
  <c r="H89"/>
  <c r="D89"/>
  <c r="M89"/>
  <c r="I89"/>
  <c r="E89"/>
  <c r="J89"/>
  <c r="F89"/>
  <c r="K93"/>
  <c r="G93"/>
  <c r="AB93"/>
  <c r="L93"/>
  <c r="H93"/>
  <c r="D93"/>
  <c r="M93"/>
  <c r="I93"/>
  <c r="E93"/>
  <c r="R93"/>
  <c r="J93"/>
  <c r="F93"/>
  <c r="S97"/>
  <c r="K97"/>
  <c r="G97"/>
  <c r="AB97"/>
  <c r="L97"/>
  <c r="H97"/>
  <c r="D97"/>
  <c r="Q97"/>
  <c r="M97"/>
  <c r="I97"/>
  <c r="E97"/>
  <c r="R97"/>
  <c r="N97"/>
  <c r="J97"/>
  <c r="F97"/>
  <c r="K119"/>
  <c r="G119"/>
  <c r="L119"/>
  <c r="H119"/>
  <c r="D119"/>
  <c r="Q119"/>
  <c r="M119"/>
  <c r="I119"/>
  <c r="E119"/>
  <c r="J119"/>
  <c r="F119"/>
  <c r="K123"/>
  <c r="G123"/>
  <c r="L123"/>
  <c r="H123"/>
  <c r="D123"/>
  <c r="Q123"/>
  <c r="M123"/>
  <c r="I123"/>
  <c r="E123"/>
  <c r="R123"/>
  <c r="J123"/>
  <c r="F123"/>
  <c r="S128"/>
  <c r="O128"/>
  <c r="K128"/>
  <c r="G128"/>
  <c r="AB128"/>
  <c r="P128"/>
  <c r="L128"/>
  <c r="H128"/>
  <c r="D128"/>
  <c r="Q128"/>
  <c r="M128"/>
  <c r="I128"/>
  <c r="E128"/>
  <c r="R128"/>
  <c r="N128"/>
  <c r="J128"/>
  <c r="F128"/>
  <c r="S145"/>
  <c r="O145"/>
  <c r="K145"/>
  <c r="G145"/>
  <c r="AB145"/>
  <c r="P145"/>
  <c r="L145"/>
  <c r="H145"/>
  <c r="D145"/>
  <c r="Q145"/>
  <c r="M145"/>
  <c r="I145"/>
  <c r="E145"/>
  <c r="R145"/>
  <c r="N145"/>
  <c r="J145"/>
  <c r="F145"/>
  <c r="S149"/>
  <c r="K149"/>
  <c r="G149"/>
  <c r="AB149"/>
  <c r="L149"/>
  <c r="H149"/>
  <c r="D149"/>
  <c r="Q149"/>
  <c r="M149"/>
  <c r="I149"/>
  <c r="E149"/>
  <c r="R149"/>
  <c r="N149"/>
  <c r="J149"/>
  <c r="F149"/>
  <c r="S191"/>
  <c r="O191"/>
  <c r="K191"/>
  <c r="G191"/>
  <c r="AB191"/>
  <c r="P191"/>
  <c r="L191"/>
  <c r="H191"/>
  <c r="D191"/>
  <c r="Q191"/>
  <c r="M191"/>
  <c r="I191"/>
  <c r="E191"/>
  <c r="R191"/>
  <c r="N191"/>
  <c r="J191"/>
  <c r="F191"/>
  <c r="K195"/>
  <c r="G195"/>
  <c r="AB195"/>
  <c r="L195"/>
  <c r="H195"/>
  <c r="D195"/>
  <c r="Q195"/>
  <c r="M195"/>
  <c r="I195"/>
  <c r="E195"/>
  <c r="R195"/>
  <c r="J195"/>
  <c r="F195"/>
  <c r="K199"/>
  <c r="G199"/>
  <c r="AB199"/>
  <c r="L199"/>
  <c r="H199"/>
  <c r="D199"/>
  <c r="Q199"/>
  <c r="M199"/>
  <c r="I199"/>
  <c r="E199"/>
  <c r="R199"/>
  <c r="J199"/>
  <c r="F199"/>
  <c r="S203"/>
  <c r="K203"/>
  <c r="G203"/>
  <c r="AB203"/>
  <c r="L203"/>
  <c r="H203"/>
  <c r="D203"/>
  <c r="Q203"/>
  <c r="M203"/>
  <c r="I203"/>
  <c r="E203"/>
  <c r="N203"/>
  <c r="J203"/>
  <c r="F203"/>
  <c r="K207"/>
  <c r="G207"/>
  <c r="AB207"/>
  <c r="L207"/>
  <c r="H207"/>
  <c r="D207"/>
  <c r="Q207"/>
  <c r="M207"/>
  <c r="I207"/>
  <c r="E207"/>
  <c r="R207"/>
  <c r="J207"/>
  <c r="F207"/>
  <c r="K211"/>
  <c r="G211"/>
  <c r="AB211"/>
  <c r="L211"/>
  <c r="H211"/>
  <c r="D211"/>
  <c r="Q211"/>
  <c r="M211"/>
  <c r="I211"/>
  <c r="E211"/>
  <c r="J211"/>
  <c r="F211"/>
  <c r="S216"/>
  <c r="K216"/>
  <c r="G216"/>
  <c r="AB216"/>
  <c r="L216"/>
  <c r="H216"/>
  <c r="D216"/>
  <c r="Q216"/>
  <c r="M216"/>
  <c r="I216"/>
  <c r="E216"/>
  <c r="R216"/>
  <c r="N216"/>
  <c r="J216"/>
  <c r="F216"/>
  <c r="K220"/>
  <c r="G220"/>
  <c r="AB220"/>
  <c r="L220"/>
  <c r="H220"/>
  <c r="D220"/>
  <c r="Q220"/>
  <c r="M220"/>
  <c r="I220"/>
  <c r="E220"/>
  <c r="R220"/>
  <c r="J220"/>
  <c r="F220"/>
  <c r="S241"/>
  <c r="K241"/>
  <c r="G241"/>
  <c r="AB241"/>
  <c r="T241"/>
  <c r="L241"/>
  <c r="H241"/>
  <c r="D241"/>
  <c r="Q241"/>
  <c r="M241"/>
  <c r="I241"/>
  <c r="E241"/>
  <c r="R241"/>
  <c r="N241"/>
  <c r="J241"/>
  <c r="F241"/>
  <c r="S245"/>
  <c r="O245"/>
  <c r="K245"/>
  <c r="G245"/>
  <c r="AB245"/>
  <c r="P245"/>
  <c r="L245"/>
  <c r="H245"/>
  <c r="D245"/>
  <c r="Q245"/>
  <c r="M245"/>
  <c r="I245"/>
  <c r="E245"/>
  <c r="R245"/>
  <c r="N245"/>
  <c r="J245"/>
  <c r="F245"/>
  <c r="K249"/>
  <c r="G249"/>
  <c r="AB249"/>
  <c r="L249"/>
  <c r="H249"/>
  <c r="D249"/>
  <c r="M249"/>
  <c r="I249"/>
  <c r="E249"/>
  <c r="R249"/>
  <c r="J249"/>
  <c r="F249"/>
  <c r="S253"/>
  <c r="O253"/>
  <c r="K253"/>
  <c r="G253"/>
  <c r="AB253"/>
  <c r="P253"/>
  <c r="L253"/>
  <c r="H253"/>
  <c r="D253"/>
  <c r="Q253"/>
  <c r="M253"/>
  <c r="I253"/>
  <c r="E253"/>
  <c r="R253"/>
  <c r="N253"/>
  <c r="J253"/>
  <c r="F253"/>
  <c r="K257"/>
  <c r="G257"/>
  <c r="AB257"/>
  <c r="L257"/>
  <c r="H257"/>
  <c r="D257"/>
  <c r="Q257"/>
  <c r="M257"/>
  <c r="I257"/>
  <c r="E257"/>
  <c r="R257"/>
  <c r="J257"/>
  <c r="F257"/>
  <c r="K357"/>
  <c r="G357"/>
  <c r="AB357"/>
  <c r="L357"/>
  <c r="H357"/>
  <c r="D357"/>
  <c r="Q357"/>
  <c r="M357"/>
  <c r="I357"/>
  <c r="E357"/>
  <c r="R357"/>
  <c r="J357"/>
  <c r="F357"/>
  <c r="K364"/>
  <c r="G364"/>
  <c r="AB364"/>
  <c r="L364"/>
  <c r="H364"/>
  <c r="D364"/>
  <c r="Q364"/>
  <c r="M364"/>
  <c r="I364"/>
  <c r="E364"/>
  <c r="R364"/>
  <c r="J364"/>
  <c r="F364"/>
  <c r="K371"/>
  <c r="G371"/>
  <c r="AB371"/>
  <c r="L371"/>
  <c r="H371"/>
  <c r="D371"/>
  <c r="M371"/>
  <c r="I371"/>
  <c r="E371"/>
  <c r="J371"/>
  <c r="F371"/>
  <c r="K376"/>
  <c r="G376"/>
  <c r="AB376"/>
  <c r="L376"/>
  <c r="H376"/>
  <c r="D376"/>
  <c r="Q376"/>
  <c r="M376"/>
  <c r="I376"/>
  <c r="E376"/>
  <c r="J376"/>
  <c r="F376"/>
  <c r="K388"/>
  <c r="G388"/>
  <c r="L388"/>
  <c r="H388"/>
  <c r="D388"/>
  <c r="M388"/>
  <c r="I388"/>
  <c r="E388"/>
  <c r="J388"/>
  <c r="F388"/>
  <c r="K402"/>
  <c r="G402"/>
  <c r="AB402"/>
  <c r="L402"/>
  <c r="H402"/>
  <c r="D402"/>
  <c r="Q402"/>
  <c r="M402"/>
  <c r="I402"/>
  <c r="E402"/>
  <c r="J402"/>
  <c r="F402"/>
  <c r="S407"/>
  <c r="O407"/>
  <c r="K407"/>
  <c r="G407"/>
  <c r="AB407"/>
  <c r="P407"/>
  <c r="L407"/>
  <c r="H407"/>
  <c r="D407"/>
  <c r="Q407"/>
  <c r="M407"/>
  <c r="I407"/>
  <c r="E407"/>
  <c r="R407"/>
  <c r="N407"/>
  <c r="J407"/>
  <c r="F407"/>
  <c r="K412"/>
  <c r="G412"/>
  <c r="AB412"/>
  <c r="L412"/>
  <c r="H412"/>
  <c r="D412"/>
  <c r="Q412"/>
  <c r="M412"/>
  <c r="I412"/>
  <c r="E412"/>
  <c r="R412"/>
  <c r="J412"/>
  <c r="F412"/>
  <c r="S416"/>
  <c r="O416"/>
  <c r="K416"/>
  <c r="G416"/>
  <c r="AB416"/>
  <c r="P416"/>
  <c r="L416"/>
  <c r="H416"/>
  <c r="D416"/>
  <c r="Q416"/>
  <c r="M416"/>
  <c r="I416"/>
  <c r="E416"/>
  <c r="R416"/>
  <c r="N416"/>
  <c r="J416"/>
  <c r="F416"/>
  <c r="K421"/>
  <c r="G421"/>
  <c r="AB421"/>
  <c r="L421"/>
  <c r="H421"/>
  <c r="D421"/>
  <c r="Q421"/>
  <c r="M421"/>
  <c r="I421"/>
  <c r="E421"/>
  <c r="R421"/>
  <c r="J421"/>
  <c r="F421"/>
  <c r="AB426"/>
  <c r="P426"/>
  <c r="L426"/>
  <c r="H426"/>
  <c r="D426"/>
  <c r="R426"/>
  <c r="M426"/>
  <c r="G426"/>
  <c r="S426"/>
  <c r="N426"/>
  <c r="I426"/>
  <c r="O426"/>
  <c r="J426"/>
  <c r="E426"/>
  <c r="Q426"/>
  <c r="K426"/>
  <c r="F426"/>
  <c r="Q430"/>
  <c r="M430"/>
  <c r="I430"/>
  <c r="R430"/>
  <c r="J430"/>
  <c r="F430"/>
  <c r="K430"/>
  <c r="G430"/>
  <c r="AB430"/>
  <c r="L430"/>
  <c r="H430"/>
  <c r="D430"/>
  <c r="E430"/>
  <c r="Q435"/>
  <c r="M435"/>
  <c r="I435"/>
  <c r="E435"/>
  <c r="R435"/>
  <c r="N435"/>
  <c r="J435"/>
  <c r="F435"/>
  <c r="S435"/>
  <c r="O435"/>
  <c r="K435"/>
  <c r="G435"/>
  <c r="AB435"/>
  <c r="P435"/>
  <c r="L435"/>
  <c r="H435"/>
  <c r="D435"/>
  <c r="Q439"/>
  <c r="M439"/>
  <c r="I439"/>
  <c r="E439"/>
  <c r="R439"/>
  <c r="N439"/>
  <c r="J439"/>
  <c r="F439"/>
  <c r="S439"/>
  <c r="O439"/>
  <c r="K439"/>
  <c r="G439"/>
  <c r="AB439"/>
  <c r="P439"/>
  <c r="L439"/>
  <c r="H439"/>
  <c r="D439"/>
  <c r="M444"/>
  <c r="I444"/>
  <c r="E444"/>
  <c r="R444"/>
  <c r="J444"/>
  <c r="F444"/>
  <c r="K444"/>
  <c r="G444"/>
  <c r="AB444"/>
  <c r="L444"/>
  <c r="H444"/>
  <c r="D444"/>
  <c r="Q457"/>
  <c r="M457"/>
  <c r="I457"/>
  <c r="E457"/>
  <c r="R457"/>
  <c r="J457"/>
  <c r="F457"/>
  <c r="K457"/>
  <c r="G457"/>
  <c r="AB457"/>
  <c r="L457"/>
  <c r="H457"/>
  <c r="D457"/>
  <c r="Q12" i="71"/>
  <c r="M12"/>
  <c r="I12"/>
  <c r="E12"/>
  <c r="R12"/>
  <c r="J12"/>
  <c r="F12"/>
  <c r="K12"/>
  <c r="G12"/>
  <c r="AB12"/>
  <c r="L12"/>
  <c r="H12"/>
  <c r="D12"/>
  <c r="Q16"/>
  <c r="M16"/>
  <c r="I16"/>
  <c r="E16"/>
  <c r="R16"/>
  <c r="N16"/>
  <c r="J16"/>
  <c r="F16"/>
  <c r="S16"/>
  <c r="O16"/>
  <c r="K16"/>
  <c r="G16"/>
  <c r="AB16"/>
  <c r="P16"/>
  <c r="L16"/>
  <c r="H16"/>
  <c r="D16"/>
  <c r="U20"/>
  <c r="Q20"/>
  <c r="M20"/>
  <c r="I20"/>
  <c r="E20"/>
  <c r="V20"/>
  <c r="R20"/>
  <c r="N20"/>
  <c r="J20"/>
  <c r="F20"/>
  <c r="W20"/>
  <c r="S20"/>
  <c r="O20"/>
  <c r="K20"/>
  <c r="G20"/>
  <c r="AB20"/>
  <c r="T20"/>
  <c r="P20"/>
  <c r="L20"/>
  <c r="H20"/>
  <c r="D20"/>
  <c r="Q24"/>
  <c r="M24"/>
  <c r="I24"/>
  <c r="E24"/>
  <c r="R24"/>
  <c r="N24"/>
  <c r="J24"/>
  <c r="F24"/>
  <c r="S24"/>
  <c r="O24"/>
  <c r="K24"/>
  <c r="G24"/>
  <c r="AB24"/>
  <c r="P24"/>
  <c r="L24"/>
  <c r="H24"/>
  <c r="D24"/>
  <c r="Q29"/>
  <c r="M29"/>
  <c r="I29"/>
  <c r="E29"/>
  <c r="R29"/>
  <c r="N29"/>
  <c r="J29"/>
  <c r="F29"/>
  <c r="S29"/>
  <c r="O29"/>
  <c r="K29"/>
  <c r="G29"/>
  <c r="AB29"/>
  <c r="P29"/>
  <c r="L29"/>
  <c r="H29"/>
  <c r="D29"/>
  <c r="Q33"/>
  <c r="M33"/>
  <c r="I33"/>
  <c r="E33"/>
  <c r="R33"/>
  <c r="N33"/>
  <c r="J33"/>
  <c r="F33"/>
  <c r="S33"/>
  <c r="O33"/>
  <c r="K33"/>
  <c r="G33"/>
  <c r="AB33"/>
  <c r="P33"/>
  <c r="L33"/>
  <c r="H33"/>
  <c r="D33"/>
  <c r="M38"/>
  <c r="I38"/>
  <c r="E38"/>
  <c r="J38"/>
  <c r="F38"/>
  <c r="K38"/>
  <c r="G38"/>
  <c r="AB38"/>
  <c r="L38"/>
  <c r="H38"/>
  <c r="D38"/>
  <c r="Q42"/>
  <c r="M42"/>
  <c r="I42"/>
  <c r="E42"/>
  <c r="R42"/>
  <c r="N42"/>
  <c r="J42"/>
  <c r="F42"/>
  <c r="S42"/>
  <c r="O42"/>
  <c r="K42"/>
  <c r="G42"/>
  <c r="AB42"/>
  <c r="P42"/>
  <c r="L42"/>
  <c r="H42"/>
  <c r="D42"/>
  <c r="U47"/>
  <c r="Q47"/>
  <c r="M47"/>
  <c r="I47"/>
  <c r="E47"/>
  <c r="V47"/>
  <c r="R47"/>
  <c r="N47"/>
  <c r="J47"/>
  <c r="F47"/>
  <c r="W47"/>
  <c r="S47"/>
  <c r="O47"/>
  <c r="K47"/>
  <c r="G47"/>
  <c r="AB47"/>
  <c r="T47"/>
  <c r="P47"/>
  <c r="L47"/>
  <c r="H47"/>
  <c r="D47"/>
  <c r="U51"/>
  <c r="Q51"/>
  <c r="M51"/>
  <c r="I51"/>
  <c r="E51"/>
  <c r="V51"/>
  <c r="R51"/>
  <c r="N51"/>
  <c r="J51"/>
  <c r="F51"/>
  <c r="W51"/>
  <c r="S51"/>
  <c r="O51"/>
  <c r="K51"/>
  <c r="G51"/>
  <c r="AB51"/>
  <c r="X51"/>
  <c r="T51"/>
  <c r="P51"/>
  <c r="L51"/>
  <c r="H51"/>
  <c r="D51"/>
  <c r="U55"/>
  <c r="Q55"/>
  <c r="M55"/>
  <c r="I55"/>
  <c r="E55"/>
  <c r="V55"/>
  <c r="R55"/>
  <c r="N55"/>
  <c r="J55"/>
  <c r="F55"/>
  <c r="W55"/>
  <c r="S55"/>
  <c r="O55"/>
  <c r="K55"/>
  <c r="G55"/>
  <c r="AB55"/>
  <c r="X55"/>
  <c r="T55"/>
  <c r="P55"/>
  <c r="L55"/>
  <c r="H55"/>
  <c r="D55"/>
  <c r="Q60"/>
  <c r="M60"/>
  <c r="I60"/>
  <c r="E60"/>
  <c r="R60"/>
  <c r="N60"/>
  <c r="J60"/>
  <c r="F60"/>
  <c r="S60"/>
  <c r="O60"/>
  <c r="K60"/>
  <c r="G60"/>
  <c r="AB60"/>
  <c r="P60"/>
  <c r="L60"/>
  <c r="H60"/>
  <c r="D60"/>
  <c r="M64"/>
  <c r="I64"/>
  <c r="E64"/>
  <c r="J64"/>
  <c r="F64"/>
  <c r="K64"/>
  <c r="G64"/>
  <c r="AB64"/>
  <c r="L64"/>
  <c r="H64"/>
  <c r="D64"/>
  <c r="M68"/>
  <c r="I68"/>
  <c r="E68"/>
  <c r="J68"/>
  <c r="F68"/>
  <c r="K68"/>
  <c r="G68"/>
  <c r="AB68"/>
  <c r="L68"/>
  <c r="H68"/>
  <c r="D68"/>
  <c r="M72"/>
  <c r="I72"/>
  <c r="E72"/>
  <c r="J72"/>
  <c r="F72"/>
  <c r="K72"/>
  <c r="G72"/>
  <c r="AB72"/>
  <c r="L72"/>
  <c r="H72"/>
  <c r="D72"/>
  <c r="Q80"/>
  <c r="M80"/>
  <c r="I80"/>
  <c r="E80"/>
  <c r="R80"/>
  <c r="J80"/>
  <c r="F80"/>
  <c r="K80"/>
  <c r="G80"/>
  <c r="AB80"/>
  <c r="L80"/>
  <c r="H80"/>
  <c r="D80"/>
  <c r="Q90"/>
  <c r="M90"/>
  <c r="I90"/>
  <c r="E90"/>
  <c r="R90"/>
  <c r="N90"/>
  <c r="J90"/>
  <c r="F90"/>
  <c r="S90"/>
  <c r="O90"/>
  <c r="K90"/>
  <c r="G90"/>
  <c r="AB90"/>
  <c r="P90"/>
  <c r="L90"/>
  <c r="H90"/>
  <c r="D90"/>
  <c r="M94"/>
  <c r="I94"/>
  <c r="E94"/>
  <c r="J94"/>
  <c r="F94"/>
  <c r="K94"/>
  <c r="G94"/>
  <c r="AB94"/>
  <c r="L94"/>
  <c r="H94"/>
  <c r="D94"/>
  <c r="Q98"/>
  <c r="M98"/>
  <c r="I98"/>
  <c r="E98"/>
  <c r="R98"/>
  <c r="N98"/>
  <c r="J98"/>
  <c r="F98"/>
  <c r="S98"/>
  <c r="O98"/>
  <c r="K98"/>
  <c r="G98"/>
  <c r="P98"/>
  <c r="L98"/>
  <c r="H98"/>
  <c r="D98"/>
  <c r="Q120"/>
  <c r="M120"/>
  <c r="I120"/>
  <c r="E120"/>
  <c r="J120"/>
  <c r="F120"/>
  <c r="K120"/>
  <c r="G120"/>
  <c r="L120"/>
  <c r="H120"/>
  <c r="D120"/>
  <c r="Q124"/>
  <c r="M124"/>
  <c r="I124"/>
  <c r="E124"/>
  <c r="J124"/>
  <c r="F124"/>
  <c r="K124"/>
  <c r="G124"/>
  <c r="L124"/>
  <c r="H124"/>
  <c r="D124"/>
  <c r="Q142"/>
  <c r="M142"/>
  <c r="I142"/>
  <c r="E142"/>
  <c r="R142"/>
  <c r="J142"/>
  <c r="F142"/>
  <c r="K142"/>
  <c r="G142"/>
  <c r="AB142"/>
  <c r="L142"/>
  <c r="H142"/>
  <c r="D142"/>
  <c r="Q146"/>
  <c r="M146"/>
  <c r="I146"/>
  <c r="E146"/>
  <c r="R146"/>
  <c r="N146"/>
  <c r="J146"/>
  <c r="F146"/>
  <c r="S146"/>
  <c r="O146"/>
  <c r="K146"/>
  <c r="G146"/>
  <c r="AB146"/>
  <c r="P146"/>
  <c r="L146"/>
  <c r="H146"/>
  <c r="D146"/>
  <c r="U150"/>
  <c r="Q150"/>
  <c r="M150"/>
  <c r="I150"/>
  <c r="E150"/>
  <c r="V150"/>
  <c r="R150"/>
  <c r="N150"/>
  <c r="J150"/>
  <c r="F150"/>
  <c r="W150"/>
  <c r="S150"/>
  <c r="O150"/>
  <c r="K150"/>
  <c r="G150"/>
  <c r="AB150"/>
  <c r="T150"/>
  <c r="P150"/>
  <c r="L150"/>
  <c r="H150"/>
  <c r="D150"/>
  <c r="Q192"/>
  <c r="M192"/>
  <c r="I192"/>
  <c r="E192"/>
  <c r="R192"/>
  <c r="N192"/>
  <c r="J192"/>
  <c r="F192"/>
  <c r="S192"/>
  <c r="O192"/>
  <c r="K192"/>
  <c r="G192"/>
  <c r="AB192"/>
  <c r="P192"/>
  <c r="L192"/>
  <c r="H192"/>
  <c r="D192"/>
  <c r="Q196"/>
  <c r="M196"/>
  <c r="I196"/>
  <c r="E196"/>
  <c r="R196"/>
  <c r="N196"/>
  <c r="J196"/>
  <c r="F196"/>
  <c r="S196"/>
  <c r="K196"/>
  <c r="G196"/>
  <c r="L196"/>
  <c r="H196"/>
  <c r="D196"/>
  <c r="Q200"/>
  <c r="M200"/>
  <c r="I200"/>
  <c r="E200"/>
  <c r="R200"/>
  <c r="N200"/>
  <c r="J200"/>
  <c r="F200"/>
  <c r="S200"/>
  <c r="O200"/>
  <c r="K200"/>
  <c r="G200"/>
  <c r="P200"/>
  <c r="L200"/>
  <c r="H200"/>
  <c r="D200"/>
  <c r="Q204"/>
  <c r="M204"/>
  <c r="I204"/>
  <c r="E204"/>
  <c r="R204"/>
  <c r="N204"/>
  <c r="J204"/>
  <c r="F204"/>
  <c r="S204"/>
  <c r="O204"/>
  <c r="K204"/>
  <c r="G204"/>
  <c r="AB204"/>
  <c r="P204"/>
  <c r="L204"/>
  <c r="H204"/>
  <c r="D204"/>
  <c r="Q208"/>
  <c r="M208"/>
  <c r="I208"/>
  <c r="E208"/>
  <c r="R208"/>
  <c r="N208"/>
  <c r="J208"/>
  <c r="F208"/>
  <c r="S208"/>
  <c r="O208"/>
  <c r="K208"/>
  <c r="G208"/>
  <c r="AB208"/>
  <c r="P208"/>
  <c r="L208"/>
  <c r="H208"/>
  <c r="D208"/>
  <c r="Q213"/>
  <c r="M213"/>
  <c r="I213"/>
  <c r="E213"/>
  <c r="R213"/>
  <c r="N213"/>
  <c r="J213"/>
  <c r="F213"/>
  <c r="S213"/>
  <c r="O213"/>
  <c r="K213"/>
  <c r="G213"/>
  <c r="P213"/>
  <c r="L213"/>
  <c r="H213"/>
  <c r="D213"/>
  <c r="M217"/>
  <c r="I217"/>
  <c r="E217"/>
  <c r="J217"/>
  <c r="F217"/>
  <c r="K217"/>
  <c r="G217"/>
  <c r="L217"/>
  <c r="H217"/>
  <c r="D217"/>
  <c r="S221"/>
  <c r="O221"/>
  <c r="K221"/>
  <c r="G221"/>
  <c r="P221"/>
  <c r="J221"/>
  <c r="E221"/>
  <c r="AB221"/>
  <c r="Q221"/>
  <c r="L221"/>
  <c r="F221"/>
  <c r="R221"/>
  <c r="M221"/>
  <c r="H221"/>
  <c r="N221"/>
  <c r="I221"/>
  <c r="D221"/>
  <c r="K242"/>
  <c r="G242"/>
  <c r="I242"/>
  <c r="D242"/>
  <c r="J242"/>
  <c r="E242"/>
  <c r="AB242"/>
  <c r="Q242"/>
  <c r="L242"/>
  <c r="F242"/>
  <c r="M242"/>
  <c r="H242"/>
  <c r="S246"/>
  <c r="O246"/>
  <c r="K246"/>
  <c r="G246"/>
  <c r="R246"/>
  <c r="M246"/>
  <c r="H246"/>
  <c r="N246"/>
  <c r="I246"/>
  <c r="D246"/>
  <c r="P246"/>
  <c r="J246"/>
  <c r="E246"/>
  <c r="AB246"/>
  <c r="Q246"/>
  <c r="L246"/>
  <c r="F246"/>
  <c r="AB250"/>
  <c r="P250"/>
  <c r="L250"/>
  <c r="H250"/>
  <c r="D250"/>
  <c r="Q250"/>
  <c r="M250"/>
  <c r="I250"/>
  <c r="E250"/>
  <c r="R250"/>
  <c r="N250"/>
  <c r="J250"/>
  <c r="F250"/>
  <c r="S250"/>
  <c r="O250"/>
  <c r="K250"/>
  <c r="G250"/>
  <c r="AB254"/>
  <c r="L254"/>
  <c r="H254"/>
  <c r="D254"/>
  <c r="M254"/>
  <c r="I254"/>
  <c r="E254"/>
  <c r="J254"/>
  <c r="F254"/>
  <c r="K254"/>
  <c r="G254"/>
  <c r="L352"/>
  <c r="H352"/>
  <c r="D352"/>
  <c r="Q352"/>
  <c r="M352"/>
  <c r="I352"/>
  <c r="E352"/>
  <c r="R352"/>
  <c r="J352"/>
  <c r="F352"/>
  <c r="K352"/>
  <c r="G352"/>
  <c r="AB365"/>
  <c r="T365"/>
  <c r="P365"/>
  <c r="L365"/>
  <c r="H365"/>
  <c r="D365"/>
  <c r="Q365"/>
  <c r="M365"/>
  <c r="I365"/>
  <c r="E365"/>
  <c r="R365"/>
  <c r="N365"/>
  <c r="J365"/>
  <c r="F365"/>
  <c r="S365"/>
  <c r="O365"/>
  <c r="K365"/>
  <c r="G365"/>
  <c r="AB372"/>
  <c r="T372"/>
  <c r="P372"/>
  <c r="L372"/>
  <c r="H372"/>
  <c r="D372"/>
  <c r="U372"/>
  <c r="Q372"/>
  <c r="M372"/>
  <c r="I372"/>
  <c r="E372"/>
  <c r="R372"/>
  <c r="N372"/>
  <c r="J372"/>
  <c r="F372"/>
  <c r="S372"/>
  <c r="O372"/>
  <c r="K372"/>
  <c r="G372"/>
  <c r="AB384"/>
  <c r="P384"/>
  <c r="L384"/>
  <c r="H384"/>
  <c r="D384"/>
  <c r="Q384"/>
  <c r="M384"/>
  <c r="I384"/>
  <c r="E384"/>
  <c r="R384"/>
  <c r="N384"/>
  <c r="J384"/>
  <c r="F384"/>
  <c r="S384"/>
  <c r="O384"/>
  <c r="K384"/>
  <c r="G384"/>
  <c r="T389"/>
  <c r="P389"/>
  <c r="L389"/>
  <c r="H389"/>
  <c r="D389"/>
  <c r="Q389"/>
  <c r="M389"/>
  <c r="I389"/>
  <c r="E389"/>
  <c r="R389"/>
  <c r="N389"/>
  <c r="J389"/>
  <c r="F389"/>
  <c r="S389"/>
  <c r="O389"/>
  <c r="K389"/>
  <c r="G389"/>
  <c r="AB404"/>
  <c r="X404"/>
  <c r="T404"/>
  <c r="P404"/>
  <c r="L404"/>
  <c r="H404"/>
  <c r="D404"/>
  <c r="U404"/>
  <c r="Q404"/>
  <c r="M404"/>
  <c r="I404"/>
  <c r="E404"/>
  <c r="V404"/>
  <c r="R404"/>
  <c r="N404"/>
  <c r="J404"/>
  <c r="F404"/>
  <c r="AA404"/>
  <c r="W404"/>
  <c r="S404"/>
  <c r="O404"/>
  <c r="K404"/>
  <c r="G404"/>
  <c r="AB408"/>
  <c r="P408"/>
  <c r="L408"/>
  <c r="H408"/>
  <c r="D408"/>
  <c r="Q408"/>
  <c r="M408"/>
  <c r="I408"/>
  <c r="E408"/>
  <c r="R408"/>
  <c r="N408"/>
  <c r="J408"/>
  <c r="F408"/>
  <c r="S408"/>
  <c r="O408"/>
  <c r="K408"/>
  <c r="G408"/>
  <c r="AB413"/>
  <c r="P413"/>
  <c r="L413"/>
  <c r="H413"/>
  <c r="D413"/>
  <c r="Q413"/>
  <c r="M413"/>
  <c r="I413"/>
  <c r="E413"/>
  <c r="R413"/>
  <c r="N413"/>
  <c r="J413"/>
  <c r="F413"/>
  <c r="S413"/>
  <c r="O413"/>
  <c r="K413"/>
  <c r="G413"/>
  <c r="AB417"/>
  <c r="X417"/>
  <c r="T417"/>
  <c r="P417"/>
  <c r="L417"/>
  <c r="H417"/>
  <c r="D417"/>
  <c r="U417"/>
  <c r="Q417"/>
  <c r="M417"/>
  <c r="I417"/>
  <c r="E417"/>
  <c r="V417"/>
  <c r="R417"/>
  <c r="N417"/>
  <c r="J417"/>
  <c r="F417"/>
  <c r="W417"/>
  <c r="S417"/>
  <c r="O417"/>
  <c r="K417"/>
  <c r="G417"/>
  <c r="AB422"/>
  <c r="P422"/>
  <c r="L422"/>
  <c r="H422"/>
  <c r="D422"/>
  <c r="Q422"/>
  <c r="M422"/>
  <c r="I422"/>
  <c r="E422"/>
  <c r="R422"/>
  <c r="N422"/>
  <c r="J422"/>
  <c r="F422"/>
  <c r="S422"/>
  <c r="O422"/>
  <c r="K422"/>
  <c r="G422"/>
  <c r="AB427"/>
  <c r="X427"/>
  <c r="T427"/>
  <c r="P427"/>
  <c r="L427"/>
  <c r="H427"/>
  <c r="D427"/>
  <c r="U427"/>
  <c r="Q427"/>
  <c r="M427"/>
  <c r="I427"/>
  <c r="E427"/>
  <c r="V427"/>
  <c r="R427"/>
  <c r="N427"/>
  <c r="J427"/>
  <c r="F427"/>
  <c r="W427"/>
  <c r="S427"/>
  <c r="O427"/>
  <c r="K427"/>
  <c r="G427"/>
  <c r="AB431"/>
  <c r="X431"/>
  <c r="T431"/>
  <c r="P431"/>
  <c r="L431"/>
  <c r="H431"/>
  <c r="D431"/>
  <c r="U431"/>
  <c r="Q431"/>
  <c r="M431"/>
  <c r="I431"/>
  <c r="E431"/>
  <c r="V431"/>
  <c r="R431"/>
  <c r="N431"/>
  <c r="J431"/>
  <c r="F431"/>
  <c r="W431"/>
  <c r="S431"/>
  <c r="O431"/>
  <c r="K431"/>
  <c r="G431"/>
  <c r="AB436"/>
  <c r="T436"/>
  <c r="P436"/>
  <c r="L436"/>
  <c r="H436"/>
  <c r="D436"/>
  <c r="U436"/>
  <c r="Q436"/>
  <c r="M436"/>
  <c r="I436"/>
  <c r="E436"/>
  <c r="V436"/>
  <c r="R436"/>
  <c r="N436"/>
  <c r="J436"/>
  <c r="F436"/>
  <c r="W436"/>
  <c r="S436"/>
  <c r="O436"/>
  <c r="K436"/>
  <c r="G436"/>
  <c r="AB441"/>
  <c r="T441"/>
  <c r="P441"/>
  <c r="L441"/>
  <c r="H441"/>
  <c r="D441"/>
  <c r="U441"/>
  <c r="Q441"/>
  <c r="M441"/>
  <c r="I441"/>
  <c r="E441"/>
  <c r="V441"/>
  <c r="R441"/>
  <c r="N441"/>
  <c r="J441"/>
  <c r="F441"/>
  <c r="W441"/>
  <c r="S441"/>
  <c r="O441"/>
  <c r="K441"/>
  <c r="G441"/>
  <c r="AB448"/>
  <c r="P448"/>
  <c r="L448"/>
  <c r="H448"/>
  <c r="D448"/>
  <c r="Q448"/>
  <c r="M448"/>
  <c r="I448"/>
  <c r="E448"/>
  <c r="R448"/>
  <c r="N448"/>
  <c r="J448"/>
  <c r="F448"/>
  <c r="S448"/>
  <c r="O448"/>
  <c r="K448"/>
  <c r="G448"/>
  <c r="AB461"/>
  <c r="P461"/>
  <c r="L461"/>
  <c r="H461"/>
  <c r="D461"/>
  <c r="Q461"/>
  <c r="M461"/>
  <c r="I461"/>
  <c r="E461"/>
  <c r="R461"/>
  <c r="N461"/>
  <c r="J461"/>
  <c r="F461"/>
  <c r="S461"/>
  <c r="O461"/>
  <c r="K461"/>
  <c r="G461"/>
  <c r="L13" i="72"/>
  <c r="H13"/>
  <c r="D13"/>
  <c r="M13"/>
  <c r="I13"/>
  <c r="E13"/>
  <c r="J13"/>
  <c r="F13"/>
  <c r="K13"/>
  <c r="G13"/>
  <c r="L17"/>
  <c r="H17"/>
  <c r="D17"/>
  <c r="Q17"/>
  <c r="M17"/>
  <c r="I17"/>
  <c r="E17"/>
  <c r="J17"/>
  <c r="F17"/>
  <c r="K17"/>
  <c r="G17"/>
  <c r="L21"/>
  <c r="H21"/>
  <c r="D21"/>
  <c r="Q21"/>
  <c r="M21"/>
  <c r="I21"/>
  <c r="E21"/>
  <c r="R21"/>
  <c r="J21"/>
  <c r="F21"/>
  <c r="K21"/>
  <c r="G21"/>
  <c r="P26"/>
  <c r="L26"/>
  <c r="H26"/>
  <c r="D26"/>
  <c r="Q26"/>
  <c r="M26"/>
  <c r="I26"/>
  <c r="E26"/>
  <c r="R26"/>
  <c r="N26"/>
  <c r="J26"/>
  <c r="F26"/>
  <c r="S26"/>
  <c r="O26"/>
  <c r="K26"/>
  <c r="G26"/>
  <c r="P30"/>
  <c r="L30"/>
  <c r="H30"/>
  <c r="D30"/>
  <c r="Q30"/>
  <c r="M30"/>
  <c r="I30"/>
  <c r="E30"/>
  <c r="R30"/>
  <c r="N30"/>
  <c r="J30"/>
  <c r="F30"/>
  <c r="S30"/>
  <c r="O30"/>
  <c r="K30"/>
  <c r="G30"/>
  <c r="P34"/>
  <c r="L34"/>
  <c r="H34"/>
  <c r="D34"/>
  <c r="Q34"/>
  <c r="M34"/>
  <c r="I34"/>
  <c r="E34"/>
  <c r="R34"/>
  <c r="N34"/>
  <c r="J34"/>
  <c r="F34"/>
  <c r="S34"/>
  <c r="O34"/>
  <c r="K34"/>
  <c r="G34"/>
  <c r="X39"/>
  <c r="T39"/>
  <c r="P39"/>
  <c r="L39"/>
  <c r="H39"/>
  <c r="D39"/>
  <c r="U39"/>
  <c r="Q39"/>
  <c r="M39"/>
  <c r="I39"/>
  <c r="E39"/>
  <c r="V39"/>
  <c r="R39"/>
  <c r="N39"/>
  <c r="J39"/>
  <c r="F39"/>
  <c r="W39"/>
  <c r="S39"/>
  <c r="O39"/>
  <c r="K39"/>
  <c r="G39"/>
  <c r="X44"/>
  <c r="T44"/>
  <c r="P44"/>
  <c r="L44"/>
  <c r="H44"/>
  <c r="D44"/>
  <c r="U44"/>
  <c r="Q44"/>
  <c r="M44"/>
  <c r="I44"/>
  <c r="E44"/>
  <c r="V44"/>
  <c r="R44"/>
  <c r="N44"/>
  <c r="J44"/>
  <c r="F44"/>
  <c r="W44"/>
  <c r="S44"/>
  <c r="O44"/>
  <c r="K44"/>
  <c r="G44"/>
  <c r="P48"/>
  <c r="L48"/>
  <c r="H48"/>
  <c r="D48"/>
  <c r="Q48"/>
  <c r="M48"/>
  <c r="I48"/>
  <c r="E48"/>
  <c r="R48"/>
  <c r="N48"/>
  <c r="J48"/>
  <c r="F48"/>
  <c r="S48"/>
  <c r="O48"/>
  <c r="K48"/>
  <c r="G48"/>
  <c r="X52"/>
  <c r="T52"/>
  <c r="P52"/>
  <c r="L52"/>
  <c r="H52"/>
  <c r="D52"/>
  <c r="U52"/>
  <c r="Q52"/>
  <c r="M52"/>
  <c r="I52"/>
  <c r="E52"/>
  <c r="V52"/>
  <c r="R52"/>
  <c r="N52"/>
  <c r="J52"/>
  <c r="F52"/>
  <c r="W52"/>
  <c r="S52"/>
  <c r="O52"/>
  <c r="K52"/>
  <c r="G52"/>
  <c r="P57"/>
  <c r="L57"/>
  <c r="H57"/>
  <c r="D57"/>
  <c r="Q57"/>
  <c r="M57"/>
  <c r="I57"/>
  <c r="E57"/>
  <c r="R57"/>
  <c r="N57"/>
  <c r="J57"/>
  <c r="F57"/>
  <c r="S57"/>
  <c r="O57"/>
  <c r="K57"/>
  <c r="G57"/>
  <c r="P61"/>
  <c r="L61"/>
  <c r="H61"/>
  <c r="D61"/>
  <c r="Q61"/>
  <c r="M61"/>
  <c r="I61"/>
  <c r="E61"/>
  <c r="R61"/>
  <c r="N61"/>
  <c r="J61"/>
  <c r="F61"/>
  <c r="S61"/>
  <c r="O61"/>
  <c r="K61"/>
  <c r="G61"/>
  <c r="L65"/>
  <c r="H65"/>
  <c r="D65"/>
  <c r="Q65"/>
  <c r="M65"/>
  <c r="I65"/>
  <c r="E65"/>
  <c r="J65"/>
  <c r="F65"/>
  <c r="K65"/>
  <c r="G65"/>
  <c r="P69"/>
  <c r="L69"/>
  <c r="H69"/>
  <c r="D69"/>
  <c r="Q69"/>
  <c r="M69"/>
  <c r="I69"/>
  <c r="E69"/>
  <c r="R69"/>
  <c r="N69"/>
  <c r="J69"/>
  <c r="F69"/>
  <c r="S69"/>
  <c r="O69"/>
  <c r="K69"/>
  <c r="G69"/>
  <c r="X73"/>
  <c r="T73"/>
  <c r="P73"/>
  <c r="L73"/>
  <c r="H73"/>
  <c r="D73"/>
  <c r="U73"/>
  <c r="Q73"/>
  <c r="M73"/>
  <c r="I73"/>
  <c r="E73"/>
  <c r="V73"/>
  <c r="R73"/>
  <c r="N73"/>
  <c r="J73"/>
  <c r="F73"/>
  <c r="AA73"/>
  <c r="W73"/>
  <c r="S73"/>
  <c r="O73"/>
  <c r="K73"/>
  <c r="G73"/>
  <c r="AB81"/>
  <c r="P81"/>
  <c r="L81"/>
  <c r="H81"/>
  <c r="D81"/>
  <c r="Q81"/>
  <c r="M81"/>
  <c r="I81"/>
  <c r="E81"/>
  <c r="R81"/>
  <c r="N81"/>
  <c r="J81"/>
  <c r="F81"/>
  <c r="S81"/>
  <c r="O81"/>
  <c r="K81"/>
  <c r="G81"/>
  <c r="P91"/>
  <c r="L91"/>
  <c r="H91"/>
  <c r="D91"/>
  <c r="Q91"/>
  <c r="M91"/>
  <c r="I91"/>
  <c r="E91"/>
  <c r="R91"/>
  <c r="N91"/>
  <c r="J91"/>
  <c r="F91"/>
  <c r="S91"/>
  <c r="O91"/>
  <c r="K91"/>
  <c r="G91"/>
  <c r="Q95"/>
  <c r="M95"/>
  <c r="I95"/>
  <c r="E95"/>
  <c r="P95"/>
  <c r="K95"/>
  <c r="F95"/>
  <c r="R95"/>
  <c r="L95"/>
  <c r="G95"/>
  <c r="S95"/>
  <c r="N95"/>
  <c r="H95"/>
  <c r="O95"/>
  <c r="J95"/>
  <c r="D95"/>
  <c r="Q100"/>
  <c r="M100"/>
  <c r="I100"/>
  <c r="E100"/>
  <c r="O100"/>
  <c r="J100"/>
  <c r="D100"/>
  <c r="P100"/>
  <c r="K100"/>
  <c r="F100"/>
  <c r="R100"/>
  <c r="L100"/>
  <c r="G100"/>
  <c r="S100"/>
  <c r="N100"/>
  <c r="H100"/>
  <c r="R121"/>
  <c r="S121"/>
  <c r="Q121"/>
  <c r="M121"/>
  <c r="I121"/>
  <c r="E121"/>
  <c r="N121"/>
  <c r="H121"/>
  <c r="O121"/>
  <c r="J121"/>
  <c r="D121"/>
  <c r="P121"/>
  <c r="K121"/>
  <c r="F121"/>
  <c r="L121"/>
  <c r="G121"/>
  <c r="R125"/>
  <c r="N125"/>
  <c r="J125"/>
  <c r="F125"/>
  <c r="S125"/>
  <c r="O125"/>
  <c r="K125"/>
  <c r="G125"/>
  <c r="P125"/>
  <c r="L125"/>
  <c r="H125"/>
  <c r="D125"/>
  <c r="Q125"/>
  <c r="M125"/>
  <c r="I125"/>
  <c r="E125"/>
  <c r="R143"/>
  <c r="N143"/>
  <c r="J143"/>
  <c r="F143"/>
  <c r="S143"/>
  <c r="O143"/>
  <c r="K143"/>
  <c r="G143"/>
  <c r="P143"/>
  <c r="L143"/>
  <c r="H143"/>
  <c r="D143"/>
  <c r="Q143"/>
  <c r="M143"/>
  <c r="I143"/>
  <c r="E143"/>
  <c r="R147"/>
  <c r="N147"/>
  <c r="J147"/>
  <c r="F147"/>
  <c r="S147"/>
  <c r="O147"/>
  <c r="K147"/>
  <c r="G147"/>
  <c r="P147"/>
  <c r="L147"/>
  <c r="H147"/>
  <c r="D147"/>
  <c r="Q147"/>
  <c r="M147"/>
  <c r="I147"/>
  <c r="E147"/>
  <c r="V151"/>
  <c r="R151"/>
  <c r="N151"/>
  <c r="J151"/>
  <c r="F151"/>
  <c r="W151"/>
  <c r="S151"/>
  <c r="O151"/>
  <c r="K151"/>
  <c r="G151"/>
  <c r="AB151"/>
  <c r="T151"/>
  <c r="P151"/>
  <c r="L151"/>
  <c r="H151"/>
  <c r="D151"/>
  <c r="U151"/>
  <c r="Q151"/>
  <c r="M151"/>
  <c r="I151"/>
  <c r="E151"/>
  <c r="R193"/>
  <c r="J193"/>
  <c r="F193"/>
  <c r="K193"/>
  <c r="G193"/>
  <c r="L193"/>
  <c r="H193"/>
  <c r="D193"/>
  <c r="Q193"/>
  <c r="M193"/>
  <c r="I193"/>
  <c r="E193"/>
  <c r="R197"/>
  <c r="N197"/>
  <c r="J197"/>
  <c r="F197"/>
  <c r="S197"/>
  <c r="O197"/>
  <c r="K197"/>
  <c r="G197"/>
  <c r="P197"/>
  <c r="L197"/>
  <c r="H197"/>
  <c r="D197"/>
  <c r="Q197"/>
  <c r="M197"/>
  <c r="I197"/>
  <c r="E197"/>
  <c r="R201"/>
  <c r="N201"/>
  <c r="J201"/>
  <c r="F201"/>
  <c r="S201"/>
  <c r="O201"/>
  <c r="K201"/>
  <c r="G201"/>
  <c r="P201"/>
  <c r="L201"/>
  <c r="H201"/>
  <c r="D201"/>
  <c r="Q201"/>
  <c r="M201"/>
  <c r="I201"/>
  <c r="E201"/>
  <c r="R205"/>
  <c r="J205"/>
  <c r="F205"/>
  <c r="K205"/>
  <c r="G205"/>
  <c r="L205"/>
  <c r="H205"/>
  <c r="D205"/>
  <c r="Q205"/>
  <c r="M205"/>
  <c r="I205"/>
  <c r="E205"/>
  <c r="R209"/>
  <c r="N209"/>
  <c r="J209"/>
  <c r="F209"/>
  <c r="S209"/>
  <c r="O209"/>
  <c r="K209"/>
  <c r="G209"/>
  <c r="P209"/>
  <c r="L209"/>
  <c r="H209"/>
  <c r="D209"/>
  <c r="Q209"/>
  <c r="M209"/>
  <c r="I209"/>
  <c r="E209"/>
  <c r="R214"/>
  <c r="N214"/>
  <c r="J214"/>
  <c r="F214"/>
  <c r="S214"/>
  <c r="O214"/>
  <c r="K214"/>
  <c r="G214"/>
  <c r="P214"/>
  <c r="L214"/>
  <c r="H214"/>
  <c r="D214"/>
  <c r="Q214"/>
  <c r="M214"/>
  <c r="I214"/>
  <c r="E214"/>
  <c r="R218"/>
  <c r="N218"/>
  <c r="J218"/>
  <c r="F218"/>
  <c r="S218"/>
  <c r="O218"/>
  <c r="K218"/>
  <c r="G218"/>
  <c r="P218"/>
  <c r="L218"/>
  <c r="H218"/>
  <c r="D218"/>
  <c r="Q218"/>
  <c r="M218"/>
  <c r="I218"/>
  <c r="E218"/>
  <c r="R239"/>
  <c r="N239"/>
  <c r="J239"/>
  <c r="F239"/>
  <c r="S239"/>
  <c r="O239"/>
  <c r="K239"/>
  <c r="G239"/>
  <c r="P239"/>
  <c r="L239"/>
  <c r="H239"/>
  <c r="D239"/>
  <c r="Q239"/>
  <c r="M239"/>
  <c r="I239"/>
  <c r="E239"/>
  <c r="R243"/>
  <c r="N243"/>
  <c r="J243"/>
  <c r="F243"/>
  <c r="S243"/>
  <c r="O243"/>
  <c r="K243"/>
  <c r="G243"/>
  <c r="P243"/>
  <c r="L243"/>
  <c r="H243"/>
  <c r="D243"/>
  <c r="Q243"/>
  <c r="M243"/>
  <c r="I243"/>
  <c r="E243"/>
  <c r="R247"/>
  <c r="J247"/>
  <c r="F247"/>
  <c r="K247"/>
  <c r="G247"/>
  <c r="L247"/>
  <c r="H247"/>
  <c r="D247"/>
  <c r="Q247"/>
  <c r="M247"/>
  <c r="I247"/>
  <c r="E247"/>
  <c r="R251"/>
  <c r="N251"/>
  <c r="J251"/>
  <c r="F251"/>
  <c r="S251"/>
  <c r="O251"/>
  <c r="K251"/>
  <c r="G251"/>
  <c r="P251"/>
  <c r="L251"/>
  <c r="H251"/>
  <c r="D251"/>
  <c r="Q251"/>
  <c r="M251"/>
  <c r="I251"/>
  <c r="E251"/>
  <c r="V255"/>
  <c r="R255"/>
  <c r="N255"/>
  <c r="J255"/>
  <c r="F255"/>
  <c r="W255"/>
  <c r="S255"/>
  <c r="O255"/>
  <c r="K255"/>
  <c r="G255"/>
  <c r="X255"/>
  <c r="T255"/>
  <c r="P255"/>
  <c r="L255"/>
  <c r="H255"/>
  <c r="D255"/>
  <c r="U255"/>
  <c r="Q255"/>
  <c r="M255"/>
  <c r="I255"/>
  <c r="E255"/>
  <c r="R353"/>
  <c r="N353"/>
  <c r="J353"/>
  <c r="F353"/>
  <c r="S353"/>
  <c r="O353"/>
  <c r="K353"/>
  <c r="G353"/>
  <c r="P353"/>
  <c r="L353"/>
  <c r="H353"/>
  <c r="D353"/>
  <c r="Q353"/>
  <c r="M353"/>
  <c r="I353"/>
  <c r="E353"/>
  <c r="R362"/>
  <c r="N362"/>
  <c r="J362"/>
  <c r="F362"/>
  <c r="S362"/>
  <c r="O362"/>
  <c r="K362"/>
  <c r="G362"/>
  <c r="P362"/>
  <c r="L362"/>
  <c r="H362"/>
  <c r="D362"/>
  <c r="Q362"/>
  <c r="M362"/>
  <c r="I362"/>
  <c r="E362"/>
  <c r="V367"/>
  <c r="R367"/>
  <c r="N367"/>
  <c r="J367"/>
  <c r="F367"/>
  <c r="W367"/>
  <c r="S367"/>
  <c r="O367"/>
  <c r="K367"/>
  <c r="G367"/>
  <c r="AB367"/>
  <c r="X367"/>
  <c r="T367"/>
  <c r="P367"/>
  <c r="L367"/>
  <c r="H367"/>
  <c r="D367"/>
  <c r="U367"/>
  <c r="Q367"/>
  <c r="M367"/>
  <c r="I367"/>
  <c r="E367"/>
  <c r="V373"/>
  <c r="R373"/>
  <c r="N373"/>
  <c r="J373"/>
  <c r="F373"/>
  <c r="AA373"/>
  <c r="W373"/>
  <c r="S373"/>
  <c r="O373"/>
  <c r="K373"/>
  <c r="G373"/>
  <c r="AB373"/>
  <c r="X373"/>
  <c r="T373"/>
  <c r="P373"/>
  <c r="L373"/>
  <c r="H373"/>
  <c r="D373"/>
  <c r="U373"/>
  <c r="Q373"/>
  <c r="M373"/>
  <c r="I373"/>
  <c r="E373"/>
  <c r="R385"/>
  <c r="N385"/>
  <c r="J385"/>
  <c r="F385"/>
  <c r="S385"/>
  <c r="K385"/>
  <c r="G385"/>
  <c r="L385"/>
  <c r="H385"/>
  <c r="D385"/>
  <c r="Q385"/>
  <c r="M385"/>
  <c r="I385"/>
  <c r="E385"/>
  <c r="V400"/>
  <c r="R400"/>
  <c r="N400"/>
  <c r="J400"/>
  <c r="F400"/>
  <c r="W400"/>
  <c r="S400"/>
  <c r="O400"/>
  <c r="K400"/>
  <c r="G400"/>
  <c r="AB400"/>
  <c r="X400"/>
  <c r="T400"/>
  <c r="P400"/>
  <c r="L400"/>
  <c r="H400"/>
  <c r="D400"/>
  <c r="U400"/>
  <c r="Q400"/>
  <c r="M400"/>
  <c r="I400"/>
  <c r="E400"/>
  <c r="R405"/>
  <c r="N405"/>
  <c r="J405"/>
  <c r="F405"/>
  <c r="S405"/>
  <c r="O405"/>
  <c r="K405"/>
  <c r="G405"/>
  <c r="AB405"/>
  <c r="T405"/>
  <c r="P405"/>
  <c r="L405"/>
  <c r="H405"/>
  <c r="D405"/>
  <c r="Q405"/>
  <c r="M405"/>
  <c r="I405"/>
  <c r="E405"/>
  <c r="R409"/>
  <c r="N409"/>
  <c r="J409"/>
  <c r="F409"/>
  <c r="S409"/>
  <c r="O409"/>
  <c r="K409"/>
  <c r="G409"/>
  <c r="P409"/>
  <c r="L409"/>
  <c r="H409"/>
  <c r="D409"/>
  <c r="Q409"/>
  <c r="M409"/>
  <c r="I409"/>
  <c r="E409"/>
  <c r="V414"/>
  <c r="R414"/>
  <c r="N414"/>
  <c r="J414"/>
  <c r="F414"/>
  <c r="AA414"/>
  <c r="W414"/>
  <c r="S414"/>
  <c r="O414"/>
  <c r="K414"/>
  <c r="G414"/>
  <c r="AB414"/>
  <c r="X414"/>
  <c r="T414"/>
  <c r="P414"/>
  <c r="L414"/>
  <c r="H414"/>
  <c r="D414"/>
  <c r="U414"/>
  <c r="Q414"/>
  <c r="M414"/>
  <c r="I414"/>
  <c r="E414"/>
  <c r="R419"/>
  <c r="N419"/>
  <c r="J419"/>
  <c r="F419"/>
  <c r="S419"/>
  <c r="O419"/>
  <c r="K419"/>
  <c r="G419"/>
  <c r="P419"/>
  <c r="L419"/>
  <c r="H419"/>
  <c r="D419"/>
  <c r="Q419"/>
  <c r="M419"/>
  <c r="I419"/>
  <c r="E419"/>
  <c r="R423"/>
  <c r="N423"/>
  <c r="J423"/>
  <c r="F423"/>
  <c r="S423"/>
  <c r="O423"/>
  <c r="K423"/>
  <c r="G423"/>
  <c r="P423"/>
  <c r="L423"/>
  <c r="H423"/>
  <c r="D423"/>
  <c r="Q423"/>
  <c r="M423"/>
  <c r="I423"/>
  <c r="E423"/>
  <c r="V428"/>
  <c r="R428"/>
  <c r="N428"/>
  <c r="J428"/>
  <c r="F428"/>
  <c r="AA428"/>
  <c r="W428"/>
  <c r="S428"/>
  <c r="O428"/>
  <c r="K428"/>
  <c r="G428"/>
  <c r="AB428"/>
  <c r="X428"/>
  <c r="T428"/>
  <c r="P428"/>
  <c r="L428"/>
  <c r="H428"/>
  <c r="D428"/>
  <c r="U428"/>
  <c r="Q428"/>
  <c r="M428"/>
  <c r="I428"/>
  <c r="E428"/>
  <c r="V432"/>
  <c r="R432"/>
  <c r="N432"/>
  <c r="J432"/>
  <c r="F432"/>
  <c r="W432"/>
  <c r="S432"/>
  <c r="O432"/>
  <c r="K432"/>
  <c r="G432"/>
  <c r="AB432"/>
  <c r="X432"/>
  <c r="T432"/>
  <c r="P432"/>
  <c r="L432"/>
  <c r="H432"/>
  <c r="D432"/>
  <c r="U432"/>
  <c r="Q432"/>
  <c r="M432"/>
  <c r="I432"/>
  <c r="E432"/>
  <c r="R437"/>
  <c r="N437"/>
  <c r="J437"/>
  <c r="F437"/>
  <c r="S437"/>
  <c r="O437"/>
  <c r="K437"/>
  <c r="G437"/>
  <c r="P437"/>
  <c r="L437"/>
  <c r="H437"/>
  <c r="D437"/>
  <c r="Q437"/>
  <c r="M437"/>
  <c r="I437"/>
  <c r="E437"/>
  <c r="R442"/>
  <c r="N442"/>
  <c r="J442"/>
  <c r="F442"/>
  <c r="S442"/>
  <c r="O442"/>
  <c r="K442"/>
  <c r="G442"/>
  <c r="T442"/>
  <c r="P442"/>
  <c r="L442"/>
  <c r="H442"/>
  <c r="D442"/>
  <c r="Q442"/>
  <c r="M442"/>
  <c r="I442"/>
  <c r="E442"/>
  <c r="V449"/>
  <c r="R449"/>
  <c r="N449"/>
  <c r="J449"/>
  <c r="F449"/>
  <c r="W449"/>
  <c r="S449"/>
  <c r="O449"/>
  <c r="K449"/>
  <c r="G449"/>
  <c r="T449"/>
  <c r="P449"/>
  <c r="L449"/>
  <c r="H449"/>
  <c r="D449"/>
  <c r="U449"/>
  <c r="Q449"/>
  <c r="M449"/>
  <c r="I449"/>
  <c r="E449"/>
  <c r="R462"/>
  <c r="N462"/>
  <c r="J462"/>
  <c r="F462"/>
  <c r="S462"/>
  <c r="O462"/>
  <c r="K462"/>
  <c r="G462"/>
  <c r="AB462"/>
  <c r="P462"/>
  <c r="L462"/>
  <c r="H462"/>
  <c r="D462"/>
  <c r="Q462"/>
  <c r="M462"/>
  <c r="I462"/>
  <c r="E462"/>
  <c r="R14" i="73"/>
  <c r="J14"/>
  <c r="F14"/>
  <c r="K14"/>
  <c r="G14"/>
  <c r="L14"/>
  <c r="H14"/>
  <c r="D14"/>
  <c r="Q14"/>
  <c r="M14"/>
  <c r="I14"/>
  <c r="E14"/>
  <c r="R18"/>
  <c r="J18"/>
  <c r="F18"/>
  <c r="K18"/>
  <c r="G18"/>
  <c r="L18"/>
  <c r="H18"/>
  <c r="D18"/>
  <c r="Q18"/>
  <c r="M18"/>
  <c r="I18"/>
  <c r="E18"/>
  <c r="P22"/>
  <c r="L22"/>
  <c r="H22"/>
  <c r="D22"/>
  <c r="Q22"/>
  <c r="M22"/>
  <c r="I22"/>
  <c r="E22"/>
  <c r="R22"/>
  <c r="N22"/>
  <c r="J22"/>
  <c r="F22"/>
  <c r="S22"/>
  <c r="O22"/>
  <c r="K22"/>
  <c r="G22"/>
  <c r="T27"/>
  <c r="P27"/>
  <c r="L27"/>
  <c r="H27"/>
  <c r="D27"/>
  <c r="U27"/>
  <c r="Q27"/>
  <c r="M27"/>
  <c r="I27"/>
  <c r="E27"/>
  <c r="V27"/>
  <c r="R27"/>
  <c r="N27"/>
  <c r="J27"/>
  <c r="F27"/>
  <c r="W27"/>
  <c r="S27"/>
  <c r="O27"/>
  <c r="K27"/>
  <c r="G27"/>
  <c r="T31"/>
  <c r="P31"/>
  <c r="L31"/>
  <c r="H31"/>
  <c r="D31"/>
  <c r="Q31"/>
  <c r="M31"/>
  <c r="I31"/>
  <c r="E31"/>
  <c r="R31"/>
  <c r="N31"/>
  <c r="J31"/>
  <c r="F31"/>
  <c r="S31"/>
  <c r="O31"/>
  <c r="K31"/>
  <c r="G31"/>
  <c r="P36"/>
  <c r="L36"/>
  <c r="H36"/>
  <c r="D36"/>
  <c r="Q36"/>
  <c r="M36"/>
  <c r="I36"/>
  <c r="E36"/>
  <c r="R36"/>
  <c r="N36"/>
  <c r="J36"/>
  <c r="F36"/>
  <c r="S36"/>
  <c r="O36"/>
  <c r="K36"/>
  <c r="G36"/>
  <c r="L40"/>
  <c r="H40"/>
  <c r="D40"/>
  <c r="Q40"/>
  <c r="M40"/>
  <c r="I40"/>
  <c r="E40"/>
  <c r="R40"/>
  <c r="J40"/>
  <c r="F40"/>
  <c r="K40"/>
  <c r="G40"/>
  <c r="X45"/>
  <c r="T45"/>
  <c r="P45"/>
  <c r="L45"/>
  <c r="H45"/>
  <c r="D45"/>
  <c r="U45"/>
  <c r="Q45"/>
  <c r="M45"/>
  <c r="I45"/>
  <c r="E45"/>
  <c r="V45"/>
  <c r="R45"/>
  <c r="N45"/>
  <c r="J45"/>
  <c r="F45"/>
  <c r="W45"/>
  <c r="S45"/>
  <c r="O45"/>
  <c r="K45"/>
  <c r="G45"/>
  <c r="X49"/>
  <c r="T49"/>
  <c r="P49"/>
  <c r="L49"/>
  <c r="H49"/>
  <c r="D49"/>
  <c r="U49"/>
  <c r="Q49"/>
  <c r="M49"/>
  <c r="I49"/>
  <c r="E49"/>
  <c r="V49"/>
  <c r="R49"/>
  <c r="N49"/>
  <c r="J49"/>
  <c r="F49"/>
  <c r="AA49"/>
  <c r="W49"/>
  <c r="S49"/>
  <c r="O49"/>
  <c r="K49"/>
  <c r="G49"/>
  <c r="X53"/>
  <c r="T53"/>
  <c r="P53"/>
  <c r="L53"/>
  <c r="H53"/>
  <c r="D53"/>
  <c r="U53"/>
  <c r="Q53"/>
  <c r="M53"/>
  <c r="I53"/>
  <c r="E53"/>
  <c r="V53"/>
  <c r="R53"/>
  <c r="N53"/>
  <c r="J53"/>
  <c r="F53"/>
  <c r="AA53"/>
  <c r="W53"/>
  <c r="S53"/>
  <c r="O53"/>
  <c r="K53"/>
  <c r="G53"/>
  <c r="T58"/>
  <c r="P58"/>
  <c r="L58"/>
  <c r="H58"/>
  <c r="D58"/>
  <c r="U58"/>
  <c r="Q58"/>
  <c r="M58"/>
  <c r="I58"/>
  <c r="E58"/>
  <c r="V58"/>
  <c r="R58"/>
  <c r="N58"/>
  <c r="J58"/>
  <c r="F58"/>
  <c r="W58"/>
  <c r="S58"/>
  <c r="O58"/>
  <c r="K58"/>
  <c r="G58"/>
  <c r="L62"/>
  <c r="H62"/>
  <c r="D62"/>
  <c r="Q62"/>
  <c r="M62"/>
  <c r="I62"/>
  <c r="E62"/>
  <c r="R62"/>
  <c r="J62"/>
  <c r="F62"/>
  <c r="K62"/>
  <c r="G62"/>
  <c r="X66"/>
  <c r="T66"/>
  <c r="P66"/>
  <c r="L66"/>
  <c r="H66"/>
  <c r="D66"/>
  <c r="U66"/>
  <c r="Q66"/>
  <c r="M66"/>
  <c r="I66"/>
  <c r="E66"/>
  <c r="V66"/>
  <c r="R66"/>
  <c r="N66"/>
  <c r="J66"/>
  <c r="F66"/>
  <c r="W66"/>
  <c r="S66"/>
  <c r="O66"/>
  <c r="K66"/>
  <c r="G66"/>
  <c r="L70"/>
  <c r="H70"/>
  <c r="D70"/>
  <c r="M70"/>
  <c r="I70"/>
  <c r="E70"/>
  <c r="R70"/>
  <c r="J70"/>
  <c r="F70"/>
  <c r="K70"/>
  <c r="G70"/>
  <c r="T78"/>
  <c r="P78"/>
  <c r="L78"/>
  <c r="H78"/>
  <c r="D78"/>
  <c r="U78"/>
  <c r="Q78"/>
  <c r="M78"/>
  <c r="I78"/>
  <c r="E78"/>
  <c r="R78"/>
  <c r="N78"/>
  <c r="J78"/>
  <c r="F78"/>
  <c r="S78"/>
  <c r="O78"/>
  <c r="K78"/>
  <c r="G78"/>
  <c r="P82"/>
  <c r="L82"/>
  <c r="H82"/>
  <c r="D82"/>
  <c r="Q82"/>
  <c r="M82"/>
  <c r="I82"/>
  <c r="E82"/>
  <c r="R82"/>
  <c r="N82"/>
  <c r="J82"/>
  <c r="F82"/>
  <c r="S82"/>
  <c r="O82"/>
  <c r="K82"/>
  <c r="G82"/>
  <c r="P92"/>
  <c r="L92"/>
  <c r="H92"/>
  <c r="D92"/>
  <c r="Q92"/>
  <c r="M92"/>
  <c r="I92"/>
  <c r="E92"/>
  <c r="R92"/>
  <c r="N92"/>
  <c r="J92"/>
  <c r="F92"/>
  <c r="S92"/>
  <c r="O92"/>
  <c r="K92"/>
  <c r="G92"/>
  <c r="P96"/>
  <c r="L96"/>
  <c r="H96"/>
  <c r="D96"/>
  <c r="Q96"/>
  <c r="M96"/>
  <c r="I96"/>
  <c r="E96"/>
  <c r="R96"/>
  <c r="N96"/>
  <c r="J96"/>
  <c r="F96"/>
  <c r="S96"/>
  <c r="O96"/>
  <c r="K96"/>
  <c r="G96"/>
  <c r="P118"/>
  <c r="L118"/>
  <c r="H118"/>
  <c r="D118"/>
  <c r="Q118"/>
  <c r="M118"/>
  <c r="I118"/>
  <c r="E118"/>
  <c r="R118"/>
  <c r="N118"/>
  <c r="J118"/>
  <c r="F118"/>
  <c r="S118"/>
  <c r="O118"/>
  <c r="K118"/>
  <c r="G118"/>
  <c r="P122"/>
  <c r="L122"/>
  <c r="H122"/>
  <c r="D122"/>
  <c r="Q122"/>
  <c r="M122"/>
  <c r="I122"/>
  <c r="E122"/>
  <c r="R122"/>
  <c r="N122"/>
  <c r="J122"/>
  <c r="F122"/>
  <c r="S122"/>
  <c r="O122"/>
  <c r="K122"/>
  <c r="G122"/>
  <c r="P126"/>
  <c r="L126"/>
  <c r="H126"/>
  <c r="D126"/>
  <c r="O126"/>
  <c r="J126"/>
  <c r="E126"/>
  <c r="Q126"/>
  <c r="K126"/>
  <c r="F126"/>
  <c r="R126"/>
  <c r="M126"/>
  <c r="G126"/>
  <c r="S126"/>
  <c r="N126"/>
  <c r="I126"/>
  <c r="P144"/>
  <c r="L144"/>
  <c r="H144"/>
  <c r="D144"/>
  <c r="S144"/>
  <c r="N144"/>
  <c r="I144"/>
  <c r="O144"/>
  <c r="J144"/>
  <c r="E144"/>
  <c r="Q144"/>
  <c r="K144"/>
  <c r="F144"/>
  <c r="R144"/>
  <c r="M144"/>
  <c r="G144"/>
  <c r="U148"/>
  <c r="Q148"/>
  <c r="M148"/>
  <c r="I148"/>
  <c r="E148"/>
  <c r="V148"/>
  <c r="R148"/>
  <c r="N148"/>
  <c r="J148"/>
  <c r="F148"/>
  <c r="W148"/>
  <c r="S148"/>
  <c r="O148"/>
  <c r="K148"/>
  <c r="G148"/>
  <c r="T148"/>
  <c r="P148"/>
  <c r="L148"/>
  <c r="H148"/>
  <c r="D148"/>
  <c r="U153"/>
  <c r="Q153"/>
  <c r="M153"/>
  <c r="I153"/>
  <c r="E153"/>
  <c r="R153"/>
  <c r="N153"/>
  <c r="J153"/>
  <c r="F153"/>
  <c r="S153"/>
  <c r="O153"/>
  <c r="K153"/>
  <c r="G153"/>
  <c r="T153"/>
  <c r="P153"/>
  <c r="L153"/>
  <c r="H153"/>
  <c r="D153"/>
  <c r="Q194"/>
  <c r="M194"/>
  <c r="I194"/>
  <c r="E194"/>
  <c r="R194"/>
  <c r="N194"/>
  <c r="J194"/>
  <c r="F194"/>
  <c r="S194"/>
  <c r="O194"/>
  <c r="K194"/>
  <c r="G194"/>
  <c r="P194"/>
  <c r="L194"/>
  <c r="H194"/>
  <c r="D194"/>
  <c r="Q198"/>
  <c r="M198"/>
  <c r="I198"/>
  <c r="E198"/>
  <c r="J198"/>
  <c r="F198"/>
  <c r="K198"/>
  <c r="G198"/>
  <c r="L198"/>
  <c r="H198"/>
  <c r="D198"/>
  <c r="Q202"/>
  <c r="M202"/>
  <c r="I202"/>
  <c r="E202"/>
  <c r="R202"/>
  <c r="N202"/>
  <c r="J202"/>
  <c r="F202"/>
  <c r="S202"/>
  <c r="O202"/>
  <c r="K202"/>
  <c r="G202"/>
  <c r="P202"/>
  <c r="L202"/>
  <c r="H202"/>
  <c r="D202"/>
  <c r="Q206"/>
  <c r="M206"/>
  <c r="I206"/>
  <c r="E206"/>
  <c r="R206"/>
  <c r="N206"/>
  <c r="J206"/>
  <c r="F206"/>
  <c r="S206"/>
  <c r="O206"/>
  <c r="K206"/>
  <c r="G206"/>
  <c r="P206"/>
  <c r="L206"/>
  <c r="H206"/>
  <c r="D206"/>
  <c r="Q210"/>
  <c r="M210"/>
  <c r="I210"/>
  <c r="E210"/>
  <c r="R210"/>
  <c r="J210"/>
  <c r="F210"/>
  <c r="K210"/>
  <c r="G210"/>
  <c r="L210"/>
  <c r="H210"/>
  <c r="D210"/>
  <c r="Q215"/>
  <c r="M215"/>
  <c r="I215"/>
  <c r="E215"/>
  <c r="R215"/>
  <c r="N215"/>
  <c r="J215"/>
  <c r="F215"/>
  <c r="S215"/>
  <c r="O215"/>
  <c r="K215"/>
  <c r="G215"/>
  <c r="T215"/>
  <c r="P215"/>
  <c r="L215"/>
  <c r="H215"/>
  <c r="D215"/>
  <c r="Q219"/>
  <c r="M219"/>
  <c r="I219"/>
  <c r="E219"/>
  <c r="R219"/>
  <c r="N219"/>
  <c r="J219"/>
  <c r="F219"/>
  <c r="S219"/>
  <c r="O219"/>
  <c r="K219"/>
  <c r="G219"/>
  <c r="AB219"/>
  <c r="T219"/>
  <c r="P219"/>
  <c r="L219"/>
  <c r="H219"/>
  <c r="D219"/>
  <c r="Q240"/>
  <c r="M240"/>
  <c r="I240"/>
  <c r="E240"/>
  <c r="R240"/>
  <c r="N240"/>
  <c r="J240"/>
  <c r="F240"/>
  <c r="S240"/>
  <c r="K240"/>
  <c r="G240"/>
  <c r="L240"/>
  <c r="H240"/>
  <c r="D240"/>
  <c r="Q244"/>
  <c r="M244"/>
  <c r="I244"/>
  <c r="E244"/>
  <c r="R244"/>
  <c r="J244"/>
  <c r="F244"/>
  <c r="K244"/>
  <c r="G244"/>
  <c r="L244"/>
  <c r="H244"/>
  <c r="D244"/>
  <c r="Q248"/>
  <c r="M248"/>
  <c r="I248"/>
  <c r="E248"/>
  <c r="R248"/>
  <c r="N248"/>
  <c r="J248"/>
  <c r="F248"/>
  <c r="S248"/>
  <c r="O248"/>
  <c r="K248"/>
  <c r="G248"/>
  <c r="P248"/>
  <c r="L248"/>
  <c r="H248"/>
  <c r="D248"/>
  <c r="Q252"/>
  <c r="M252"/>
  <c r="I252"/>
  <c r="E252"/>
  <c r="R252"/>
  <c r="N252"/>
  <c r="J252"/>
  <c r="F252"/>
  <c r="S252"/>
  <c r="O252"/>
  <c r="K252"/>
  <c r="G252"/>
  <c r="T252"/>
  <c r="P252"/>
  <c r="L252"/>
  <c r="H252"/>
  <c r="D252"/>
  <c r="Q256"/>
  <c r="M256"/>
  <c r="I256"/>
  <c r="E256"/>
  <c r="R256"/>
  <c r="J256"/>
  <c r="F256"/>
  <c r="K256"/>
  <c r="G256"/>
  <c r="L256"/>
  <c r="H256"/>
  <c r="D256"/>
  <c r="Q355"/>
  <c r="M355"/>
  <c r="I355"/>
  <c r="E355"/>
  <c r="R355"/>
  <c r="N355"/>
  <c r="J355"/>
  <c r="F355"/>
  <c r="S355"/>
  <c r="O355"/>
  <c r="K355"/>
  <c r="G355"/>
  <c r="P355"/>
  <c r="L355"/>
  <c r="H355"/>
  <c r="D355"/>
  <c r="Q363"/>
  <c r="M363"/>
  <c r="I363"/>
  <c r="E363"/>
  <c r="R363"/>
  <c r="N363"/>
  <c r="J363"/>
  <c r="F363"/>
  <c r="S363"/>
  <c r="O363"/>
  <c r="K363"/>
  <c r="G363"/>
  <c r="P363"/>
  <c r="L363"/>
  <c r="H363"/>
  <c r="D363"/>
  <c r="U368"/>
  <c r="Q368"/>
  <c r="M368"/>
  <c r="I368"/>
  <c r="E368"/>
  <c r="V368"/>
  <c r="R368"/>
  <c r="N368"/>
  <c r="J368"/>
  <c r="F368"/>
  <c r="W368"/>
  <c r="S368"/>
  <c r="O368"/>
  <c r="K368"/>
  <c r="G368"/>
  <c r="AB368"/>
  <c r="X368"/>
  <c r="T368"/>
  <c r="P368"/>
  <c r="L368"/>
  <c r="H368"/>
  <c r="D368"/>
  <c r="Q374"/>
  <c r="M374"/>
  <c r="I374"/>
  <c r="E374"/>
  <c r="R374"/>
  <c r="N374"/>
  <c r="J374"/>
  <c r="F374"/>
  <c r="S374"/>
  <c r="O374"/>
  <c r="K374"/>
  <c r="G374"/>
  <c r="AB374"/>
  <c r="P374"/>
  <c r="L374"/>
  <c r="H374"/>
  <c r="D374"/>
  <c r="R386"/>
  <c r="J386"/>
  <c r="F386"/>
  <c r="Q386"/>
  <c r="L386"/>
  <c r="G386"/>
  <c r="M386"/>
  <c r="H386"/>
  <c r="I386"/>
  <c r="D386"/>
  <c r="K386"/>
  <c r="E386"/>
  <c r="W401"/>
  <c r="S401"/>
  <c r="O401"/>
  <c r="K401"/>
  <c r="G401"/>
  <c r="T401"/>
  <c r="P401"/>
  <c r="L401"/>
  <c r="H401"/>
  <c r="D401"/>
  <c r="U401"/>
  <c r="Q401"/>
  <c r="M401"/>
  <c r="I401"/>
  <c r="E401"/>
  <c r="V401"/>
  <c r="R401"/>
  <c r="N401"/>
  <c r="J401"/>
  <c r="F401"/>
  <c r="W406"/>
  <c r="S406"/>
  <c r="O406"/>
  <c r="K406"/>
  <c r="G406"/>
  <c r="X406"/>
  <c r="T406"/>
  <c r="P406"/>
  <c r="L406"/>
  <c r="H406"/>
  <c r="D406"/>
  <c r="U406"/>
  <c r="Q406"/>
  <c r="M406"/>
  <c r="I406"/>
  <c r="E406"/>
  <c r="V406"/>
  <c r="R406"/>
  <c r="N406"/>
  <c r="J406"/>
  <c r="F406"/>
  <c r="AA411"/>
  <c r="W411"/>
  <c r="S411"/>
  <c r="O411"/>
  <c r="K411"/>
  <c r="G411"/>
  <c r="AB411"/>
  <c r="X411"/>
  <c r="T411"/>
  <c r="P411"/>
  <c r="L411"/>
  <c r="H411"/>
  <c r="D411"/>
  <c r="U411"/>
  <c r="Q411"/>
  <c r="M411"/>
  <c r="I411"/>
  <c r="E411"/>
  <c r="V411"/>
  <c r="R411"/>
  <c r="N411"/>
  <c r="J411"/>
  <c r="F411"/>
  <c r="S415"/>
  <c r="O415"/>
  <c r="K415"/>
  <c r="G415"/>
  <c r="AB415"/>
  <c r="P415"/>
  <c r="L415"/>
  <c r="H415"/>
  <c r="D415"/>
  <c r="Q415"/>
  <c r="M415"/>
  <c r="I415"/>
  <c r="E415"/>
  <c r="R415"/>
  <c r="N415"/>
  <c r="J415"/>
  <c r="F415"/>
  <c r="W420"/>
  <c r="S420"/>
  <c r="O420"/>
  <c r="K420"/>
  <c r="G420"/>
  <c r="T420"/>
  <c r="P420"/>
  <c r="L420"/>
  <c r="H420"/>
  <c r="D420"/>
  <c r="U420"/>
  <c r="Q420"/>
  <c r="M420"/>
  <c r="I420"/>
  <c r="E420"/>
  <c r="V420"/>
  <c r="R420"/>
  <c r="N420"/>
  <c r="J420"/>
  <c r="F420"/>
  <c r="S425"/>
  <c r="O425"/>
  <c r="K425"/>
  <c r="G425"/>
  <c r="AB425"/>
  <c r="T425"/>
  <c r="P425"/>
  <c r="L425"/>
  <c r="H425"/>
  <c r="D425"/>
  <c r="Q425"/>
  <c r="M425"/>
  <c r="I425"/>
  <c r="E425"/>
  <c r="R425"/>
  <c r="N425"/>
  <c r="J425"/>
  <c r="F425"/>
  <c r="S429"/>
  <c r="O429"/>
  <c r="K429"/>
  <c r="G429"/>
  <c r="T429"/>
  <c r="P429"/>
  <c r="L429"/>
  <c r="H429"/>
  <c r="D429"/>
  <c r="Q429"/>
  <c r="M429"/>
  <c r="I429"/>
  <c r="E429"/>
  <c r="V429"/>
  <c r="R429"/>
  <c r="N429"/>
  <c r="J429"/>
  <c r="F429"/>
  <c r="S434"/>
  <c r="O434"/>
  <c r="K434"/>
  <c r="G434"/>
  <c r="AB434"/>
  <c r="P434"/>
  <c r="L434"/>
  <c r="H434"/>
  <c r="D434"/>
  <c r="Q434"/>
  <c r="M434"/>
  <c r="I434"/>
  <c r="E434"/>
  <c r="R434"/>
  <c r="N434"/>
  <c r="J434"/>
  <c r="F434"/>
  <c r="W438"/>
  <c r="S438"/>
  <c r="O438"/>
  <c r="K438"/>
  <c r="G438"/>
  <c r="AB438"/>
  <c r="X438"/>
  <c r="T438"/>
  <c r="P438"/>
  <c r="L438"/>
  <c r="H438"/>
  <c r="D438"/>
  <c r="U438"/>
  <c r="Q438"/>
  <c r="M438"/>
  <c r="I438"/>
  <c r="E438"/>
  <c r="V438"/>
  <c r="R438"/>
  <c r="N438"/>
  <c r="J438"/>
  <c r="F438"/>
  <c r="K443"/>
  <c r="G443"/>
  <c r="L443"/>
  <c r="H443"/>
  <c r="D443"/>
  <c r="M443"/>
  <c r="I443"/>
  <c r="E443"/>
  <c r="R443"/>
  <c r="J443"/>
  <c r="F443"/>
  <c r="S455"/>
  <c r="O455"/>
  <c r="K455"/>
  <c r="G455"/>
  <c r="AB455"/>
  <c r="P455"/>
  <c r="L455"/>
  <c r="H455"/>
  <c r="D455"/>
  <c r="Q455"/>
  <c r="M455"/>
  <c r="I455"/>
  <c r="E455"/>
  <c r="R455"/>
  <c r="N455"/>
  <c r="J455"/>
  <c r="F455"/>
  <c r="S11" i="74"/>
  <c r="O11"/>
  <c r="K11"/>
  <c r="G11"/>
  <c r="P11"/>
  <c r="L11"/>
  <c r="H11"/>
  <c r="D11"/>
  <c r="Q11"/>
  <c r="M11"/>
  <c r="I11"/>
  <c r="E11"/>
  <c r="R11"/>
  <c r="N11"/>
  <c r="J11"/>
  <c r="F11"/>
  <c r="K15"/>
  <c r="G15"/>
  <c r="L15"/>
  <c r="H15"/>
  <c r="D15"/>
  <c r="M15"/>
  <c r="I15"/>
  <c r="E15"/>
  <c r="J15"/>
  <c r="F15"/>
  <c r="S19"/>
  <c r="O19"/>
  <c r="K19"/>
  <c r="G19"/>
  <c r="P19"/>
  <c r="L19"/>
  <c r="H19"/>
  <c r="D19"/>
  <c r="Q19"/>
  <c r="M19"/>
  <c r="I19"/>
  <c r="E19"/>
  <c r="R19"/>
  <c r="N19"/>
  <c r="J19"/>
  <c r="F19"/>
  <c r="S23"/>
  <c r="O23"/>
  <c r="K23"/>
  <c r="G23"/>
  <c r="P23"/>
  <c r="L23"/>
  <c r="H23"/>
  <c r="D23"/>
  <c r="Q23"/>
  <c r="M23"/>
  <c r="I23"/>
  <c r="E23"/>
  <c r="R23"/>
  <c r="N23"/>
  <c r="J23"/>
  <c r="F23"/>
  <c r="S28"/>
  <c r="O28"/>
  <c r="K28"/>
  <c r="G28"/>
  <c r="P28"/>
  <c r="L28"/>
  <c r="H28"/>
  <c r="D28"/>
  <c r="Q28"/>
  <c r="M28"/>
  <c r="I28"/>
  <c r="E28"/>
  <c r="R28"/>
  <c r="N28"/>
  <c r="J28"/>
  <c r="F28"/>
  <c r="S32"/>
  <c r="O32"/>
  <c r="K32"/>
  <c r="G32"/>
  <c r="P32"/>
  <c r="L32"/>
  <c r="H32"/>
  <c r="D32"/>
  <c r="Q32"/>
  <c r="M32"/>
  <c r="I32"/>
  <c r="E32"/>
  <c r="R32"/>
  <c r="N32"/>
  <c r="J32"/>
  <c r="F32"/>
  <c r="L37"/>
  <c r="H37"/>
  <c r="D37"/>
  <c r="R37"/>
  <c r="M37"/>
  <c r="G37"/>
  <c r="I37"/>
  <c r="J37"/>
  <c r="E37"/>
  <c r="K37"/>
  <c r="F37"/>
  <c r="X41"/>
  <c r="T41"/>
  <c r="P41"/>
  <c r="L41"/>
  <c r="H41"/>
  <c r="D41"/>
  <c r="U41"/>
  <c r="Q41"/>
  <c r="M41"/>
  <c r="I41"/>
  <c r="E41"/>
  <c r="V41"/>
  <c r="R41"/>
  <c r="N41"/>
  <c r="J41"/>
  <c r="F41"/>
  <c r="W41"/>
  <c r="S41"/>
  <c r="O41"/>
  <c r="K41"/>
  <c r="G41"/>
  <c r="X46"/>
  <c r="T46"/>
  <c r="P46"/>
  <c r="L46"/>
  <c r="H46"/>
  <c r="D46"/>
  <c r="U46"/>
  <c r="Q46"/>
  <c r="M46"/>
  <c r="I46"/>
  <c r="E46"/>
  <c r="V46"/>
  <c r="R46"/>
  <c r="N46"/>
  <c r="J46"/>
  <c r="F46"/>
  <c r="AA46"/>
  <c r="W46"/>
  <c r="S46"/>
  <c r="O46"/>
  <c r="K46"/>
  <c r="G46"/>
  <c r="X50"/>
  <c r="T50"/>
  <c r="P50"/>
  <c r="L50"/>
  <c r="H50"/>
  <c r="D50"/>
  <c r="U50"/>
  <c r="Q50"/>
  <c r="M50"/>
  <c r="I50"/>
  <c r="E50"/>
  <c r="V50"/>
  <c r="R50"/>
  <c r="N50"/>
  <c r="J50"/>
  <c r="F50"/>
  <c r="AA50"/>
  <c r="W50"/>
  <c r="S50"/>
  <c r="O50"/>
  <c r="K50"/>
  <c r="G50"/>
  <c r="X54"/>
  <c r="T54"/>
  <c r="P54"/>
  <c r="L54"/>
  <c r="H54"/>
  <c r="D54"/>
  <c r="U54"/>
  <c r="Q54"/>
  <c r="M54"/>
  <c r="I54"/>
  <c r="E54"/>
  <c r="V54"/>
  <c r="R54"/>
  <c r="N54"/>
  <c r="J54"/>
  <c r="F54"/>
  <c r="AA54"/>
  <c r="W54"/>
  <c r="S54"/>
  <c r="O54"/>
  <c r="K54"/>
  <c r="G54"/>
  <c r="T59"/>
  <c r="P59"/>
  <c r="L59"/>
  <c r="H59"/>
  <c r="D59"/>
  <c r="Q59"/>
  <c r="M59"/>
  <c r="I59"/>
  <c r="E59"/>
  <c r="R59"/>
  <c r="N59"/>
  <c r="J59"/>
  <c r="F59"/>
  <c r="S59"/>
  <c r="O59"/>
  <c r="K59"/>
  <c r="G59"/>
  <c r="P63"/>
  <c r="L63"/>
  <c r="H63"/>
  <c r="D63"/>
  <c r="Q63"/>
  <c r="M63"/>
  <c r="I63"/>
  <c r="E63"/>
  <c r="R63"/>
  <c r="N63"/>
  <c r="J63"/>
  <c r="F63"/>
  <c r="S63"/>
  <c r="O63"/>
  <c r="K63"/>
  <c r="G63"/>
  <c r="P67"/>
  <c r="L67"/>
  <c r="H67"/>
  <c r="D67"/>
  <c r="Q67"/>
  <c r="M67"/>
  <c r="I67"/>
  <c r="E67"/>
  <c r="R67"/>
  <c r="N67"/>
  <c r="J67"/>
  <c r="F67"/>
  <c r="S67"/>
  <c r="O67"/>
  <c r="K67"/>
  <c r="G67"/>
  <c r="X71"/>
  <c r="T71"/>
  <c r="P71"/>
  <c r="L71"/>
  <c r="H71"/>
  <c r="D71"/>
  <c r="U71"/>
  <c r="Q71"/>
  <c r="M71"/>
  <c r="I71"/>
  <c r="E71"/>
  <c r="V71"/>
  <c r="R71"/>
  <c r="N71"/>
  <c r="J71"/>
  <c r="F71"/>
  <c r="W71"/>
  <c r="S71"/>
  <c r="O71"/>
  <c r="K71"/>
  <c r="G71"/>
  <c r="P79"/>
  <c r="L79"/>
  <c r="H79"/>
  <c r="D79"/>
  <c r="Q79"/>
  <c r="M79"/>
  <c r="I79"/>
  <c r="E79"/>
  <c r="R79"/>
  <c r="N79"/>
  <c r="J79"/>
  <c r="F79"/>
  <c r="S79"/>
  <c r="O79"/>
  <c r="K79"/>
  <c r="G79"/>
  <c r="P89"/>
  <c r="L89"/>
  <c r="H89"/>
  <c r="D89"/>
  <c r="Q89"/>
  <c r="M89"/>
  <c r="I89"/>
  <c r="E89"/>
  <c r="R89"/>
  <c r="N89"/>
  <c r="J89"/>
  <c r="F89"/>
  <c r="S89"/>
  <c r="O89"/>
  <c r="K89"/>
  <c r="G89"/>
  <c r="L93"/>
  <c r="H93"/>
  <c r="D93"/>
  <c r="Q93"/>
  <c r="M93"/>
  <c r="I93"/>
  <c r="E93"/>
  <c r="R93"/>
  <c r="J93"/>
  <c r="F93"/>
  <c r="K93"/>
  <c r="G93"/>
  <c r="P97"/>
  <c r="L97"/>
  <c r="H97"/>
  <c r="D97"/>
  <c r="Q97"/>
  <c r="M97"/>
  <c r="I97"/>
  <c r="E97"/>
  <c r="R97"/>
  <c r="N97"/>
  <c r="J97"/>
  <c r="F97"/>
  <c r="S97"/>
  <c r="O97"/>
  <c r="K97"/>
  <c r="G97"/>
  <c r="P119"/>
  <c r="L119"/>
  <c r="H119"/>
  <c r="D119"/>
  <c r="Q119"/>
  <c r="M119"/>
  <c r="I119"/>
  <c r="E119"/>
  <c r="R119"/>
  <c r="N119"/>
  <c r="J119"/>
  <c r="F119"/>
  <c r="S119"/>
  <c r="O119"/>
  <c r="K119"/>
  <c r="G119"/>
  <c r="P123"/>
  <c r="L123"/>
  <c r="H123"/>
  <c r="D123"/>
  <c r="Q123"/>
  <c r="M123"/>
  <c r="I123"/>
  <c r="E123"/>
  <c r="R123"/>
  <c r="N123"/>
  <c r="J123"/>
  <c r="F123"/>
  <c r="S123"/>
  <c r="O123"/>
  <c r="K123"/>
  <c r="G123"/>
  <c r="AB128"/>
  <c r="P128"/>
  <c r="L128"/>
  <c r="H128"/>
  <c r="D128"/>
  <c r="Q128"/>
  <c r="M128"/>
  <c r="I128"/>
  <c r="E128"/>
  <c r="R128"/>
  <c r="N128"/>
  <c r="J128"/>
  <c r="F128"/>
  <c r="S128"/>
  <c r="O128"/>
  <c r="K128"/>
  <c r="G128"/>
  <c r="L145"/>
  <c r="H145"/>
  <c r="D145"/>
  <c r="Q145"/>
  <c r="M145"/>
  <c r="I145"/>
  <c r="E145"/>
  <c r="R145"/>
  <c r="J145"/>
  <c r="F145"/>
  <c r="K145"/>
  <c r="G145"/>
  <c r="L149"/>
  <c r="H149"/>
  <c r="D149"/>
  <c r="M149"/>
  <c r="I149"/>
  <c r="E149"/>
  <c r="R149"/>
  <c r="J149"/>
  <c r="F149"/>
  <c r="K149"/>
  <c r="G149"/>
  <c r="P191"/>
  <c r="L191"/>
  <c r="H191"/>
  <c r="D191"/>
  <c r="R191"/>
  <c r="M191"/>
  <c r="G191"/>
  <c r="S191"/>
  <c r="N191"/>
  <c r="I191"/>
  <c r="O191"/>
  <c r="J191"/>
  <c r="E191"/>
  <c r="Q191"/>
  <c r="K191"/>
  <c r="F191"/>
  <c r="P195"/>
  <c r="L195"/>
  <c r="H195"/>
  <c r="D195"/>
  <c r="Q195"/>
  <c r="M195"/>
  <c r="I195"/>
  <c r="E195"/>
  <c r="R195"/>
  <c r="N195"/>
  <c r="J195"/>
  <c r="F195"/>
  <c r="S195"/>
  <c r="O195"/>
  <c r="K195"/>
  <c r="G195"/>
  <c r="P199"/>
  <c r="L199"/>
  <c r="H199"/>
  <c r="D199"/>
  <c r="Q199"/>
  <c r="M199"/>
  <c r="I199"/>
  <c r="E199"/>
  <c r="R199"/>
  <c r="N199"/>
  <c r="J199"/>
  <c r="F199"/>
  <c r="S199"/>
  <c r="O199"/>
  <c r="K199"/>
  <c r="G199"/>
  <c r="P203"/>
  <c r="L203"/>
  <c r="H203"/>
  <c r="D203"/>
  <c r="Q203"/>
  <c r="M203"/>
  <c r="I203"/>
  <c r="E203"/>
  <c r="R203"/>
  <c r="N203"/>
  <c r="J203"/>
  <c r="F203"/>
  <c r="S203"/>
  <c r="O203"/>
  <c r="K203"/>
  <c r="G203"/>
  <c r="T207"/>
  <c r="P207"/>
  <c r="L207"/>
  <c r="H207"/>
  <c r="D207"/>
  <c r="U207"/>
  <c r="Q207"/>
  <c r="M207"/>
  <c r="I207"/>
  <c r="E207"/>
  <c r="R207"/>
  <c r="N207"/>
  <c r="J207"/>
  <c r="F207"/>
  <c r="S207"/>
  <c r="O207"/>
  <c r="K207"/>
  <c r="G207"/>
  <c r="T211"/>
  <c r="P211"/>
  <c r="L211"/>
  <c r="H211"/>
  <c r="D211"/>
  <c r="Q211"/>
  <c r="M211"/>
  <c r="I211"/>
  <c r="E211"/>
  <c r="R211"/>
  <c r="N211"/>
  <c r="J211"/>
  <c r="F211"/>
  <c r="S211"/>
  <c r="O211"/>
  <c r="K211"/>
  <c r="G211"/>
  <c r="L216"/>
  <c r="H216"/>
  <c r="D216"/>
  <c r="Q216"/>
  <c r="M216"/>
  <c r="I216"/>
  <c r="E216"/>
  <c r="R216"/>
  <c r="N216"/>
  <c r="J216"/>
  <c r="F216"/>
  <c r="S216"/>
  <c r="K216"/>
  <c r="G216"/>
  <c r="P220"/>
  <c r="L220"/>
  <c r="H220"/>
  <c r="D220"/>
  <c r="Q220"/>
  <c r="M220"/>
  <c r="I220"/>
  <c r="E220"/>
  <c r="R220"/>
  <c r="N220"/>
  <c r="J220"/>
  <c r="F220"/>
  <c r="S220"/>
  <c r="O220"/>
  <c r="K220"/>
  <c r="G220"/>
  <c r="T241"/>
  <c r="P241"/>
  <c r="L241"/>
  <c r="H241"/>
  <c r="D241"/>
  <c r="Q241"/>
  <c r="M241"/>
  <c r="I241"/>
  <c r="E241"/>
  <c r="R241"/>
  <c r="N241"/>
  <c r="J241"/>
  <c r="F241"/>
  <c r="S241"/>
  <c r="O241"/>
  <c r="K241"/>
  <c r="G241"/>
  <c r="L245"/>
  <c r="H245"/>
  <c r="D245"/>
  <c r="Q245"/>
  <c r="M245"/>
  <c r="I245"/>
  <c r="E245"/>
  <c r="R245"/>
  <c r="J245"/>
  <c r="F245"/>
  <c r="K245"/>
  <c r="G245"/>
  <c r="Q249"/>
  <c r="M249"/>
  <c r="I249"/>
  <c r="E249"/>
  <c r="P249"/>
  <c r="K249"/>
  <c r="F249"/>
  <c r="R249"/>
  <c r="L249"/>
  <c r="G249"/>
  <c r="S249"/>
  <c r="N249"/>
  <c r="H249"/>
  <c r="O249"/>
  <c r="J249"/>
  <c r="D249"/>
  <c r="R253"/>
  <c r="N253"/>
  <c r="J253"/>
  <c r="F253"/>
  <c r="S253"/>
  <c r="O253"/>
  <c r="K253"/>
  <c r="G253"/>
  <c r="P253"/>
  <c r="L253"/>
  <c r="H253"/>
  <c r="D253"/>
  <c r="Q253"/>
  <c r="M253"/>
  <c r="I253"/>
  <c r="E253"/>
  <c r="R257"/>
  <c r="N257"/>
  <c r="J257"/>
  <c r="F257"/>
  <c r="S257"/>
  <c r="O257"/>
  <c r="K257"/>
  <c r="G257"/>
  <c r="P257"/>
  <c r="L257"/>
  <c r="H257"/>
  <c r="D257"/>
  <c r="Q257"/>
  <c r="M257"/>
  <c r="I257"/>
  <c r="E257"/>
  <c r="R357"/>
  <c r="N357"/>
  <c r="J357"/>
  <c r="F357"/>
  <c r="S357"/>
  <c r="O357"/>
  <c r="K357"/>
  <c r="G357"/>
  <c r="P357"/>
  <c r="L357"/>
  <c r="H357"/>
  <c r="D357"/>
  <c r="Q357"/>
  <c r="M357"/>
  <c r="I357"/>
  <c r="E357"/>
  <c r="R364"/>
  <c r="N364"/>
  <c r="J364"/>
  <c r="F364"/>
  <c r="S364"/>
  <c r="O364"/>
  <c r="K364"/>
  <c r="G364"/>
  <c r="T364"/>
  <c r="P364"/>
  <c r="L364"/>
  <c r="H364"/>
  <c r="D364"/>
  <c r="Q364"/>
  <c r="M364"/>
  <c r="I364"/>
  <c r="E364"/>
  <c r="R371"/>
  <c r="N371"/>
  <c r="J371"/>
  <c r="F371"/>
  <c r="S371"/>
  <c r="O371"/>
  <c r="K371"/>
  <c r="G371"/>
  <c r="P371"/>
  <c r="L371"/>
  <c r="H371"/>
  <c r="D371"/>
  <c r="Q371"/>
  <c r="M371"/>
  <c r="I371"/>
  <c r="E371"/>
  <c r="R376"/>
  <c r="N376"/>
  <c r="J376"/>
  <c r="F376"/>
  <c r="S376"/>
  <c r="O376"/>
  <c r="K376"/>
  <c r="G376"/>
  <c r="P376"/>
  <c r="L376"/>
  <c r="H376"/>
  <c r="D376"/>
  <c r="Q376"/>
  <c r="M376"/>
  <c r="I376"/>
  <c r="E376"/>
  <c r="R388"/>
  <c r="N388"/>
  <c r="J388"/>
  <c r="F388"/>
  <c r="S388"/>
  <c r="O388"/>
  <c r="K388"/>
  <c r="G388"/>
  <c r="P388"/>
  <c r="L388"/>
  <c r="H388"/>
  <c r="D388"/>
  <c r="Q388"/>
  <c r="M388"/>
  <c r="I388"/>
  <c r="E388"/>
  <c r="R402"/>
  <c r="N402"/>
  <c r="J402"/>
  <c r="F402"/>
  <c r="S402"/>
  <c r="O402"/>
  <c r="K402"/>
  <c r="G402"/>
  <c r="P402"/>
  <c r="L402"/>
  <c r="H402"/>
  <c r="D402"/>
  <c r="Q402"/>
  <c r="M402"/>
  <c r="I402"/>
  <c r="E402"/>
  <c r="R407"/>
  <c r="N407"/>
  <c r="J407"/>
  <c r="F407"/>
  <c r="S407"/>
  <c r="O407"/>
  <c r="K407"/>
  <c r="G407"/>
  <c r="AB407"/>
  <c r="P407"/>
  <c r="L407"/>
  <c r="H407"/>
  <c r="D407"/>
  <c r="Q407"/>
  <c r="M407"/>
  <c r="I407"/>
  <c r="E407"/>
  <c r="R412"/>
  <c r="N412"/>
  <c r="J412"/>
  <c r="F412"/>
  <c r="S412"/>
  <c r="O412"/>
  <c r="K412"/>
  <c r="G412"/>
  <c r="P412"/>
  <c r="L412"/>
  <c r="H412"/>
  <c r="D412"/>
  <c r="Q412"/>
  <c r="E412"/>
  <c r="I412"/>
  <c r="M412"/>
  <c r="Q416"/>
  <c r="M416"/>
  <c r="I416"/>
  <c r="E416"/>
  <c r="R416"/>
  <c r="N416"/>
  <c r="J416"/>
  <c r="F416"/>
  <c r="S416"/>
  <c r="O416"/>
  <c r="K416"/>
  <c r="G416"/>
  <c r="AB416"/>
  <c r="P416"/>
  <c r="L416"/>
  <c r="H416"/>
  <c r="D416"/>
  <c r="Q421"/>
  <c r="M421"/>
  <c r="I421"/>
  <c r="E421"/>
  <c r="V421"/>
  <c r="R421"/>
  <c r="N421"/>
  <c r="J421"/>
  <c r="F421"/>
  <c r="S421"/>
  <c r="O421"/>
  <c r="K421"/>
  <c r="G421"/>
  <c r="T421"/>
  <c r="P421"/>
  <c r="L421"/>
  <c r="H421"/>
  <c r="D421"/>
  <c r="Q426"/>
  <c r="M426"/>
  <c r="I426"/>
  <c r="E426"/>
  <c r="R426"/>
  <c r="N426"/>
  <c r="J426"/>
  <c r="F426"/>
  <c r="S426"/>
  <c r="O426"/>
  <c r="K426"/>
  <c r="G426"/>
  <c r="P426"/>
  <c r="L426"/>
  <c r="H426"/>
  <c r="D426"/>
  <c r="Q430"/>
  <c r="M430"/>
  <c r="I430"/>
  <c r="E430"/>
  <c r="R430"/>
  <c r="N430"/>
  <c r="J430"/>
  <c r="F430"/>
  <c r="W430"/>
  <c r="S430"/>
  <c r="O430"/>
  <c r="K430"/>
  <c r="G430"/>
  <c r="T430"/>
  <c r="P430"/>
  <c r="L430"/>
  <c r="H430"/>
  <c r="D430"/>
  <c r="Q435"/>
  <c r="M435"/>
  <c r="I435"/>
  <c r="E435"/>
  <c r="R435"/>
  <c r="N435"/>
  <c r="J435"/>
  <c r="F435"/>
  <c r="S435"/>
  <c r="O435"/>
  <c r="K435"/>
  <c r="G435"/>
  <c r="AB435"/>
  <c r="P435"/>
  <c r="L435"/>
  <c r="H435"/>
  <c r="D435"/>
  <c r="Q439"/>
  <c r="M439"/>
  <c r="I439"/>
  <c r="E439"/>
  <c r="R439"/>
  <c r="N439"/>
  <c r="J439"/>
  <c r="F439"/>
  <c r="S439"/>
  <c r="O439"/>
  <c r="K439"/>
  <c r="G439"/>
  <c r="AB439"/>
  <c r="P439"/>
  <c r="L439"/>
  <c r="H439"/>
  <c r="D439"/>
  <c r="Q444"/>
  <c r="M444"/>
  <c r="I444"/>
  <c r="E444"/>
  <c r="R444"/>
  <c r="N444"/>
  <c r="J444"/>
  <c r="F444"/>
  <c r="S444"/>
  <c r="O444"/>
  <c r="K444"/>
  <c r="G444"/>
  <c r="T444"/>
  <c r="P444"/>
  <c r="L444"/>
  <c r="H444"/>
  <c r="D444"/>
  <c r="U457"/>
  <c r="Q457"/>
  <c r="M457"/>
  <c r="I457"/>
  <c r="E457"/>
  <c r="V457"/>
  <c r="R457"/>
  <c r="N457"/>
  <c r="J457"/>
  <c r="F457"/>
  <c r="W457"/>
  <c r="S457"/>
  <c r="O457"/>
  <c r="K457"/>
  <c r="G457"/>
  <c r="T457"/>
  <c r="P457"/>
  <c r="L457"/>
  <c r="H457"/>
  <c r="D457"/>
  <c r="AA455" i="39"/>
  <c r="X455"/>
  <c r="R17" i="71"/>
  <c r="N17"/>
  <c r="J17"/>
  <c r="F17"/>
  <c r="S17"/>
  <c r="O17"/>
  <c r="K17"/>
  <c r="G17"/>
  <c r="AB17"/>
  <c r="P17"/>
  <c r="L17"/>
  <c r="H17"/>
  <c r="D17"/>
  <c r="Q17"/>
  <c r="M17"/>
  <c r="I17"/>
  <c r="E17"/>
  <c r="V30"/>
  <c r="R30"/>
  <c r="N30"/>
  <c r="J30"/>
  <c r="F30"/>
  <c r="W30"/>
  <c r="S30"/>
  <c r="O30"/>
  <c r="K30"/>
  <c r="G30"/>
  <c r="AB30"/>
  <c r="T30"/>
  <c r="P30"/>
  <c r="L30"/>
  <c r="H30"/>
  <c r="D30"/>
  <c r="U30"/>
  <c r="Q30"/>
  <c r="M30"/>
  <c r="I30"/>
  <c r="E30"/>
  <c r="V44"/>
  <c r="R44"/>
  <c r="N44"/>
  <c r="J44"/>
  <c r="F44"/>
  <c r="W44"/>
  <c r="S44"/>
  <c r="O44"/>
  <c r="K44"/>
  <c r="G44"/>
  <c r="AB44"/>
  <c r="X44"/>
  <c r="T44"/>
  <c r="P44"/>
  <c r="L44"/>
  <c r="H44"/>
  <c r="D44"/>
  <c r="U44"/>
  <c r="Q44"/>
  <c r="M44"/>
  <c r="I44"/>
  <c r="E44"/>
  <c r="V52"/>
  <c r="R52"/>
  <c r="N52"/>
  <c r="J52"/>
  <c r="F52"/>
  <c r="W52"/>
  <c r="S52"/>
  <c r="O52"/>
  <c r="K52"/>
  <c r="G52"/>
  <c r="AB52"/>
  <c r="T52"/>
  <c r="P52"/>
  <c r="L52"/>
  <c r="H52"/>
  <c r="D52"/>
  <c r="U52"/>
  <c r="Q52"/>
  <c r="M52"/>
  <c r="I52"/>
  <c r="E52"/>
  <c r="J65"/>
  <c r="F65"/>
  <c r="K65"/>
  <c r="G65"/>
  <c r="AB65"/>
  <c r="L65"/>
  <c r="H65"/>
  <c r="D65"/>
  <c r="Q65"/>
  <c r="M65"/>
  <c r="I65"/>
  <c r="E65"/>
  <c r="R81"/>
  <c r="J81"/>
  <c r="F81"/>
  <c r="K81"/>
  <c r="G81"/>
  <c r="AB81"/>
  <c r="L81"/>
  <c r="H81"/>
  <c r="D81"/>
  <c r="Q81"/>
  <c r="M81"/>
  <c r="I81"/>
  <c r="E81"/>
  <c r="R100"/>
  <c r="J100"/>
  <c r="F100"/>
  <c r="K100"/>
  <c r="G100"/>
  <c r="L100"/>
  <c r="H100"/>
  <c r="D100"/>
  <c r="M100"/>
  <c r="I100"/>
  <c r="E100"/>
  <c r="J147"/>
  <c r="F147"/>
  <c r="K147"/>
  <c r="G147"/>
  <c r="AB147"/>
  <c r="L147"/>
  <c r="H147"/>
  <c r="D147"/>
  <c r="M147"/>
  <c r="I147"/>
  <c r="E147"/>
  <c r="R201"/>
  <c r="N201"/>
  <c r="J201"/>
  <c r="F201"/>
  <c r="S201"/>
  <c r="O201"/>
  <c r="K201"/>
  <c r="G201"/>
  <c r="AB201"/>
  <c r="P201"/>
  <c r="L201"/>
  <c r="H201"/>
  <c r="D201"/>
  <c r="Q201"/>
  <c r="M201"/>
  <c r="I201"/>
  <c r="E201"/>
  <c r="R205"/>
  <c r="N205"/>
  <c r="J205"/>
  <c r="F205"/>
  <c r="S205"/>
  <c r="O205"/>
  <c r="K205"/>
  <c r="G205"/>
  <c r="P205"/>
  <c r="L205"/>
  <c r="H205"/>
  <c r="D205"/>
  <c r="Q205"/>
  <c r="M205"/>
  <c r="I205"/>
  <c r="E205"/>
  <c r="R214"/>
  <c r="J214"/>
  <c r="F214"/>
  <c r="K214"/>
  <c r="G214"/>
  <c r="AB214"/>
  <c r="L214"/>
  <c r="H214"/>
  <c r="D214"/>
  <c r="M214"/>
  <c r="I214"/>
  <c r="E214"/>
  <c r="AB243"/>
  <c r="T243"/>
  <c r="P243"/>
  <c r="L243"/>
  <c r="H243"/>
  <c r="D243"/>
  <c r="S243"/>
  <c r="N243"/>
  <c r="I243"/>
  <c r="U243"/>
  <c r="O243"/>
  <c r="J243"/>
  <c r="E243"/>
  <c r="Q243"/>
  <c r="K243"/>
  <c r="F243"/>
  <c r="R243"/>
  <c r="M243"/>
  <c r="G243"/>
  <c r="Q353"/>
  <c r="M353"/>
  <c r="I353"/>
  <c r="E353"/>
  <c r="R353"/>
  <c r="N353"/>
  <c r="J353"/>
  <c r="F353"/>
  <c r="S353"/>
  <c r="O353"/>
  <c r="K353"/>
  <c r="G353"/>
  <c r="P353"/>
  <c r="L353"/>
  <c r="H353"/>
  <c r="D353"/>
  <c r="U367"/>
  <c r="Q367"/>
  <c r="M367"/>
  <c r="I367"/>
  <c r="E367"/>
  <c r="V367"/>
  <c r="R367"/>
  <c r="N367"/>
  <c r="J367"/>
  <c r="F367"/>
  <c r="W367"/>
  <c r="S367"/>
  <c r="O367"/>
  <c r="K367"/>
  <c r="G367"/>
  <c r="AB367"/>
  <c r="T367"/>
  <c r="P367"/>
  <c r="L367"/>
  <c r="H367"/>
  <c r="D367"/>
  <c r="Q385"/>
  <c r="M385"/>
  <c r="I385"/>
  <c r="E385"/>
  <c r="R385"/>
  <c r="N385"/>
  <c r="J385"/>
  <c r="F385"/>
  <c r="S385"/>
  <c r="O385"/>
  <c r="K385"/>
  <c r="G385"/>
  <c r="T385"/>
  <c r="P385"/>
  <c r="L385"/>
  <c r="H385"/>
  <c r="D385"/>
  <c r="Q405"/>
  <c r="M405"/>
  <c r="I405"/>
  <c r="E405"/>
  <c r="R405"/>
  <c r="N405"/>
  <c r="J405"/>
  <c r="F405"/>
  <c r="S405"/>
  <c r="O405"/>
  <c r="K405"/>
  <c r="G405"/>
  <c r="AB405"/>
  <c r="P405"/>
  <c r="L405"/>
  <c r="H405"/>
  <c r="D405"/>
  <c r="Q419"/>
  <c r="M419"/>
  <c r="I419"/>
  <c r="E419"/>
  <c r="R419"/>
  <c r="N419"/>
  <c r="J419"/>
  <c r="F419"/>
  <c r="S419"/>
  <c r="O419"/>
  <c r="K419"/>
  <c r="G419"/>
  <c r="AB419"/>
  <c r="P419"/>
  <c r="L419"/>
  <c r="H419"/>
  <c r="D419"/>
  <c r="U432"/>
  <c r="Q432"/>
  <c r="M432"/>
  <c r="I432"/>
  <c r="E432"/>
  <c r="V432"/>
  <c r="R432"/>
  <c r="N432"/>
  <c r="J432"/>
  <c r="F432"/>
  <c r="W432"/>
  <c r="S432"/>
  <c r="O432"/>
  <c r="K432"/>
  <c r="G432"/>
  <c r="AB432"/>
  <c r="X432"/>
  <c r="T432"/>
  <c r="P432"/>
  <c r="L432"/>
  <c r="H432"/>
  <c r="D432"/>
  <c r="U449"/>
  <c r="Q449"/>
  <c r="M449"/>
  <c r="I449"/>
  <c r="E449"/>
  <c r="V449"/>
  <c r="R449"/>
  <c r="N449"/>
  <c r="J449"/>
  <c r="F449"/>
  <c r="W449"/>
  <c r="S449"/>
  <c r="O449"/>
  <c r="K449"/>
  <c r="G449"/>
  <c r="AB449"/>
  <c r="T449"/>
  <c r="P449"/>
  <c r="L449"/>
  <c r="H449"/>
  <c r="D449"/>
  <c r="Q462"/>
  <c r="M462"/>
  <c r="I462"/>
  <c r="E462"/>
  <c r="R462"/>
  <c r="N462"/>
  <c r="J462"/>
  <c r="F462"/>
  <c r="S462"/>
  <c r="O462"/>
  <c r="K462"/>
  <c r="G462"/>
  <c r="AB462"/>
  <c r="P462"/>
  <c r="L462"/>
  <c r="H462"/>
  <c r="D462"/>
  <c r="Q22" i="72"/>
  <c r="M22"/>
  <c r="I22"/>
  <c r="E22"/>
  <c r="R22"/>
  <c r="J22"/>
  <c r="F22"/>
  <c r="K22"/>
  <c r="G22"/>
  <c r="L22"/>
  <c r="H22"/>
  <c r="D22"/>
  <c r="Q36"/>
  <c r="M36"/>
  <c r="I36"/>
  <c r="E36"/>
  <c r="R36"/>
  <c r="J36"/>
  <c r="F36"/>
  <c r="K36"/>
  <c r="G36"/>
  <c r="L36"/>
  <c r="H36"/>
  <c r="D36"/>
  <c r="U49"/>
  <c r="Q49"/>
  <c r="M49"/>
  <c r="I49"/>
  <c r="E49"/>
  <c r="V49"/>
  <c r="R49"/>
  <c r="N49"/>
  <c r="J49"/>
  <c r="F49"/>
  <c r="AA49"/>
  <c r="W49"/>
  <c r="S49"/>
  <c r="O49"/>
  <c r="K49"/>
  <c r="G49"/>
  <c r="X49"/>
  <c r="T49"/>
  <c r="P49"/>
  <c r="L49"/>
  <c r="H49"/>
  <c r="D49"/>
  <c r="Q58"/>
  <c r="M58"/>
  <c r="I58"/>
  <c r="E58"/>
  <c r="J58"/>
  <c r="F58"/>
  <c r="K58"/>
  <c r="G58"/>
  <c r="L58"/>
  <c r="H58"/>
  <c r="D58"/>
  <c r="Q70"/>
  <c r="M70"/>
  <c r="I70"/>
  <c r="E70"/>
  <c r="R70"/>
  <c r="N70"/>
  <c r="J70"/>
  <c r="F70"/>
  <c r="S70"/>
  <c r="O70"/>
  <c r="K70"/>
  <c r="G70"/>
  <c r="P70"/>
  <c r="L70"/>
  <c r="H70"/>
  <c r="D70"/>
  <c r="Q92"/>
  <c r="M92"/>
  <c r="I92"/>
  <c r="E92"/>
  <c r="R92"/>
  <c r="N92"/>
  <c r="J92"/>
  <c r="F92"/>
  <c r="S92"/>
  <c r="O92"/>
  <c r="K92"/>
  <c r="G92"/>
  <c r="P92"/>
  <c r="L92"/>
  <c r="H92"/>
  <c r="D92"/>
  <c r="K122"/>
  <c r="G122"/>
  <c r="L122"/>
  <c r="H122"/>
  <c r="D122"/>
  <c r="Q122"/>
  <c r="M122"/>
  <c r="I122"/>
  <c r="E122"/>
  <c r="R122"/>
  <c r="J122"/>
  <c r="F122"/>
  <c r="S144"/>
  <c r="O144"/>
  <c r="K144"/>
  <c r="G144"/>
  <c r="T144"/>
  <c r="P144"/>
  <c r="L144"/>
  <c r="H144"/>
  <c r="D144"/>
  <c r="Q144"/>
  <c r="M144"/>
  <c r="I144"/>
  <c r="E144"/>
  <c r="R144"/>
  <c r="N144"/>
  <c r="J144"/>
  <c r="F144"/>
  <c r="S194"/>
  <c r="O194"/>
  <c r="K194"/>
  <c r="G194"/>
  <c r="P194"/>
  <c r="L194"/>
  <c r="H194"/>
  <c r="D194"/>
  <c r="Q194"/>
  <c r="M194"/>
  <c r="I194"/>
  <c r="E194"/>
  <c r="R194"/>
  <c r="N194"/>
  <c r="J194"/>
  <c r="F194"/>
  <c r="S202"/>
  <c r="O202"/>
  <c r="K202"/>
  <c r="G202"/>
  <c r="P202"/>
  <c r="L202"/>
  <c r="H202"/>
  <c r="D202"/>
  <c r="Q202"/>
  <c r="M202"/>
  <c r="I202"/>
  <c r="E202"/>
  <c r="R202"/>
  <c r="N202"/>
  <c r="J202"/>
  <c r="F202"/>
  <c r="S215"/>
  <c r="O215"/>
  <c r="K215"/>
  <c r="G215"/>
  <c r="T215"/>
  <c r="P215"/>
  <c r="L215"/>
  <c r="H215"/>
  <c r="D215"/>
  <c r="Q215"/>
  <c r="M215"/>
  <c r="I215"/>
  <c r="E215"/>
  <c r="R215"/>
  <c r="N215"/>
  <c r="J215"/>
  <c r="F215"/>
  <c r="S219"/>
  <c r="O219"/>
  <c r="K219"/>
  <c r="G219"/>
  <c r="AB219"/>
  <c r="T219"/>
  <c r="P219"/>
  <c r="L219"/>
  <c r="H219"/>
  <c r="D219"/>
  <c r="Q219"/>
  <c r="M219"/>
  <c r="I219"/>
  <c r="E219"/>
  <c r="R219"/>
  <c r="N219"/>
  <c r="J219"/>
  <c r="F219"/>
  <c r="S248"/>
  <c r="O248"/>
  <c r="K248"/>
  <c r="G248"/>
  <c r="P248"/>
  <c r="L248"/>
  <c r="H248"/>
  <c r="D248"/>
  <c r="Q248"/>
  <c r="M248"/>
  <c r="I248"/>
  <c r="E248"/>
  <c r="R248"/>
  <c r="N248"/>
  <c r="J248"/>
  <c r="F248"/>
  <c r="S256"/>
  <c r="O256"/>
  <c r="K256"/>
  <c r="G256"/>
  <c r="P256"/>
  <c r="L256"/>
  <c r="H256"/>
  <c r="D256"/>
  <c r="Q256"/>
  <c r="M256"/>
  <c r="I256"/>
  <c r="E256"/>
  <c r="R256"/>
  <c r="N256"/>
  <c r="J256"/>
  <c r="F256"/>
  <c r="AA368"/>
  <c r="W368"/>
  <c r="S368"/>
  <c r="O368"/>
  <c r="K368"/>
  <c r="G368"/>
  <c r="AB368"/>
  <c r="X368"/>
  <c r="T368"/>
  <c r="P368"/>
  <c r="L368"/>
  <c r="H368"/>
  <c r="D368"/>
  <c r="U368"/>
  <c r="Q368"/>
  <c r="M368"/>
  <c r="I368"/>
  <c r="E368"/>
  <c r="V368"/>
  <c r="R368"/>
  <c r="N368"/>
  <c r="J368"/>
  <c r="F368"/>
  <c r="S386"/>
  <c r="O386"/>
  <c r="K386"/>
  <c r="G386"/>
  <c r="T386"/>
  <c r="P386"/>
  <c r="L386"/>
  <c r="H386"/>
  <c r="D386"/>
  <c r="Q386"/>
  <c r="M386"/>
  <c r="I386"/>
  <c r="E386"/>
  <c r="R386"/>
  <c r="N386"/>
  <c r="J386"/>
  <c r="F386"/>
  <c r="AA411"/>
  <c r="W411"/>
  <c r="S411"/>
  <c r="O411"/>
  <c r="K411"/>
  <c r="G411"/>
  <c r="AB411"/>
  <c r="X411"/>
  <c r="T411"/>
  <c r="P411"/>
  <c r="L411"/>
  <c r="H411"/>
  <c r="D411"/>
  <c r="U411"/>
  <c r="Q411"/>
  <c r="M411"/>
  <c r="I411"/>
  <c r="E411"/>
  <c r="V411"/>
  <c r="R411"/>
  <c r="N411"/>
  <c r="J411"/>
  <c r="F411"/>
  <c r="S425"/>
  <c r="O425"/>
  <c r="K425"/>
  <c r="G425"/>
  <c r="AB425"/>
  <c r="T425"/>
  <c r="P425"/>
  <c r="L425"/>
  <c r="H425"/>
  <c r="D425"/>
  <c r="Q425"/>
  <c r="M425"/>
  <c r="I425"/>
  <c r="E425"/>
  <c r="R425"/>
  <c r="N425"/>
  <c r="J425"/>
  <c r="F425"/>
  <c r="S443"/>
  <c r="O443"/>
  <c r="K443"/>
  <c r="G443"/>
  <c r="P443"/>
  <c r="L443"/>
  <c r="H443"/>
  <c r="D443"/>
  <c r="Q443"/>
  <c r="M443"/>
  <c r="I443"/>
  <c r="E443"/>
  <c r="R443"/>
  <c r="N443"/>
  <c r="J443"/>
  <c r="F443"/>
  <c r="S11" i="73"/>
  <c r="O11"/>
  <c r="K11"/>
  <c r="G11"/>
  <c r="P11"/>
  <c r="L11"/>
  <c r="H11"/>
  <c r="D11"/>
  <c r="Q11"/>
  <c r="M11"/>
  <c r="I11"/>
  <c r="E11"/>
  <c r="R11"/>
  <c r="N11"/>
  <c r="J11"/>
  <c r="F11"/>
  <c r="Q23"/>
  <c r="M23"/>
  <c r="I23"/>
  <c r="E23"/>
  <c r="R23"/>
  <c r="N23"/>
  <c r="J23"/>
  <c r="F23"/>
  <c r="S23"/>
  <c r="O23"/>
  <c r="K23"/>
  <c r="G23"/>
  <c r="P23"/>
  <c r="L23"/>
  <c r="H23"/>
  <c r="D23"/>
  <c r="Q37"/>
  <c r="M37"/>
  <c r="I37"/>
  <c r="E37"/>
  <c r="R37"/>
  <c r="N37"/>
  <c r="J37"/>
  <c r="F37"/>
  <c r="S37"/>
  <c r="O37"/>
  <c r="K37"/>
  <c r="G37"/>
  <c r="P37"/>
  <c r="L37"/>
  <c r="H37"/>
  <c r="D37"/>
  <c r="U54"/>
  <c r="Q54"/>
  <c r="M54"/>
  <c r="I54"/>
  <c r="E54"/>
  <c r="V54"/>
  <c r="R54"/>
  <c r="N54"/>
  <c r="J54"/>
  <c r="F54"/>
  <c r="W54"/>
  <c r="S54"/>
  <c r="O54"/>
  <c r="K54"/>
  <c r="G54"/>
  <c r="T54"/>
  <c r="P54"/>
  <c r="L54"/>
  <c r="H54"/>
  <c r="D54"/>
  <c r="Q67"/>
  <c r="M67"/>
  <c r="I67"/>
  <c r="E67"/>
  <c r="R67"/>
  <c r="J67"/>
  <c r="F67"/>
  <c r="K67"/>
  <c r="G67"/>
  <c r="L67"/>
  <c r="H67"/>
  <c r="D67"/>
  <c r="Q79"/>
  <c r="M79"/>
  <c r="I79"/>
  <c r="E79"/>
  <c r="R79"/>
  <c r="N79"/>
  <c r="J79"/>
  <c r="F79"/>
  <c r="S79"/>
  <c r="K79"/>
  <c r="G79"/>
  <c r="L79"/>
  <c r="H79"/>
  <c r="D79"/>
  <c r="Q97"/>
  <c r="M97"/>
  <c r="I97"/>
  <c r="E97"/>
  <c r="R97"/>
  <c r="N97"/>
  <c r="J97"/>
  <c r="F97"/>
  <c r="S97"/>
  <c r="O97"/>
  <c r="K97"/>
  <c r="G97"/>
  <c r="P97"/>
  <c r="L97"/>
  <c r="H97"/>
  <c r="D97"/>
  <c r="R145"/>
  <c r="J145"/>
  <c r="F145"/>
  <c r="K145"/>
  <c r="G145"/>
  <c r="M145"/>
  <c r="I145"/>
  <c r="E145"/>
  <c r="D145"/>
  <c r="H145"/>
  <c r="L145"/>
  <c r="R195"/>
  <c r="N195"/>
  <c r="J195"/>
  <c r="F195"/>
  <c r="S195"/>
  <c r="O195"/>
  <c r="K195"/>
  <c r="G195"/>
  <c r="T195"/>
  <c r="P195"/>
  <c r="L195"/>
  <c r="H195"/>
  <c r="D195"/>
  <c r="U195"/>
  <c r="Q195"/>
  <c r="M195"/>
  <c r="I195"/>
  <c r="E195"/>
  <c r="R203"/>
  <c r="J203"/>
  <c r="F203"/>
  <c r="K203"/>
  <c r="G203"/>
  <c r="L203"/>
  <c r="H203"/>
  <c r="D203"/>
  <c r="Q203"/>
  <c r="M203"/>
  <c r="I203"/>
  <c r="E203"/>
  <c r="R216"/>
  <c r="N216"/>
  <c r="J216"/>
  <c r="F216"/>
  <c r="S216"/>
  <c r="O216"/>
  <c r="K216"/>
  <c r="G216"/>
  <c r="T216"/>
  <c r="P216"/>
  <c r="L216"/>
  <c r="H216"/>
  <c r="D216"/>
  <c r="Q216"/>
  <c r="M216"/>
  <c r="I216"/>
  <c r="E216"/>
  <c r="R245"/>
  <c r="J245"/>
  <c r="F245"/>
  <c r="K245"/>
  <c r="G245"/>
  <c r="L245"/>
  <c r="H245"/>
  <c r="D245"/>
  <c r="Q245"/>
  <c r="M245"/>
  <c r="I245"/>
  <c r="E245"/>
  <c r="R253"/>
  <c r="J253"/>
  <c r="F253"/>
  <c r="K253"/>
  <c r="G253"/>
  <c r="L253"/>
  <c r="H253"/>
  <c r="D253"/>
  <c r="Q253"/>
  <c r="M253"/>
  <c r="I253"/>
  <c r="E253"/>
  <c r="R364"/>
  <c r="N364"/>
  <c r="J364"/>
  <c r="F364"/>
  <c r="S364"/>
  <c r="K364"/>
  <c r="G364"/>
  <c r="L364"/>
  <c r="H364"/>
  <c r="D364"/>
  <c r="Q364"/>
  <c r="M364"/>
  <c r="I364"/>
  <c r="E364"/>
  <c r="K376"/>
  <c r="G376"/>
  <c r="R376"/>
  <c r="M376"/>
  <c r="H376"/>
  <c r="I376"/>
  <c r="D376"/>
  <c r="J376"/>
  <c r="E376"/>
  <c r="Q376"/>
  <c r="L376"/>
  <c r="F376"/>
  <c r="P402"/>
  <c r="L402"/>
  <c r="H402"/>
  <c r="D402"/>
  <c r="Q402"/>
  <c r="M402"/>
  <c r="I402"/>
  <c r="E402"/>
  <c r="R402"/>
  <c r="N402"/>
  <c r="J402"/>
  <c r="F402"/>
  <c r="S402"/>
  <c r="O402"/>
  <c r="K402"/>
  <c r="G402"/>
  <c r="AB416"/>
  <c r="P416"/>
  <c r="L416"/>
  <c r="H416"/>
  <c r="D416"/>
  <c r="Q416"/>
  <c r="M416"/>
  <c r="I416"/>
  <c r="E416"/>
  <c r="R416"/>
  <c r="N416"/>
  <c r="J416"/>
  <c r="F416"/>
  <c r="S416"/>
  <c r="O416"/>
  <c r="K416"/>
  <c r="G416"/>
  <c r="P426"/>
  <c r="L426"/>
  <c r="H426"/>
  <c r="D426"/>
  <c r="Q426"/>
  <c r="M426"/>
  <c r="I426"/>
  <c r="E426"/>
  <c r="R426"/>
  <c r="N426"/>
  <c r="J426"/>
  <c r="F426"/>
  <c r="S426"/>
  <c r="O426"/>
  <c r="K426"/>
  <c r="G426"/>
  <c r="T444"/>
  <c r="P444"/>
  <c r="L444"/>
  <c r="H444"/>
  <c r="D444"/>
  <c r="Q444"/>
  <c r="M444"/>
  <c r="I444"/>
  <c r="E444"/>
  <c r="R444"/>
  <c r="N444"/>
  <c r="J444"/>
  <c r="F444"/>
  <c r="S444"/>
  <c r="O444"/>
  <c r="K444"/>
  <c r="G444"/>
  <c r="L16" i="74"/>
  <c r="H16"/>
  <c r="D16"/>
  <c r="Q16"/>
  <c r="M16"/>
  <c r="I16"/>
  <c r="E16"/>
  <c r="J16"/>
  <c r="F16"/>
  <c r="K16"/>
  <c r="G16"/>
  <c r="P29"/>
  <c r="L29"/>
  <c r="H29"/>
  <c r="D29"/>
  <c r="Q29"/>
  <c r="M29"/>
  <c r="I29"/>
  <c r="E29"/>
  <c r="R29"/>
  <c r="N29"/>
  <c r="J29"/>
  <c r="F29"/>
  <c r="S29"/>
  <c r="O29"/>
  <c r="K29"/>
  <c r="G29"/>
  <c r="Q42"/>
  <c r="M42"/>
  <c r="I42"/>
  <c r="E42"/>
  <c r="R42"/>
  <c r="N42"/>
  <c r="J42"/>
  <c r="F42"/>
  <c r="S42"/>
  <c r="O42"/>
  <c r="K42"/>
  <c r="G42"/>
  <c r="P42"/>
  <c r="L42"/>
  <c r="H42"/>
  <c r="D42"/>
  <c r="Q60"/>
  <c r="M60"/>
  <c r="I60"/>
  <c r="E60"/>
  <c r="R60"/>
  <c r="N60"/>
  <c r="J60"/>
  <c r="F60"/>
  <c r="S60"/>
  <c r="O60"/>
  <c r="K60"/>
  <c r="G60"/>
  <c r="P60"/>
  <c r="L60"/>
  <c r="H60"/>
  <c r="D60"/>
  <c r="Q72"/>
  <c r="M72"/>
  <c r="I72"/>
  <c r="E72"/>
  <c r="R72"/>
  <c r="J72"/>
  <c r="F72"/>
  <c r="K72"/>
  <c r="G72"/>
  <c r="L72"/>
  <c r="H72"/>
  <c r="D72"/>
  <c r="Q94"/>
  <c r="M94"/>
  <c r="I94"/>
  <c r="E94"/>
  <c r="R94"/>
  <c r="J94"/>
  <c r="F94"/>
  <c r="K94"/>
  <c r="G94"/>
  <c r="L94"/>
  <c r="H94"/>
  <c r="D94"/>
  <c r="Q120"/>
  <c r="M120"/>
  <c r="I120"/>
  <c r="E120"/>
  <c r="R120"/>
  <c r="N120"/>
  <c r="J120"/>
  <c r="F120"/>
  <c r="S120"/>
  <c r="O120"/>
  <c r="K120"/>
  <c r="G120"/>
  <c r="P120"/>
  <c r="L120"/>
  <c r="H120"/>
  <c r="D120"/>
  <c r="Q146"/>
  <c r="M146"/>
  <c r="I146"/>
  <c r="E146"/>
  <c r="R146"/>
  <c r="N146"/>
  <c r="J146"/>
  <c r="F146"/>
  <c r="S146"/>
  <c r="O146"/>
  <c r="K146"/>
  <c r="G146"/>
  <c r="P146"/>
  <c r="L146"/>
  <c r="H146"/>
  <c r="D146"/>
  <c r="Q196"/>
  <c r="M196"/>
  <c r="I196"/>
  <c r="E196"/>
  <c r="R196"/>
  <c r="N196"/>
  <c r="J196"/>
  <c r="F196"/>
  <c r="S196"/>
  <c r="O196"/>
  <c r="K196"/>
  <c r="G196"/>
  <c r="P196"/>
  <c r="L196"/>
  <c r="H196"/>
  <c r="D196"/>
  <c r="Q204"/>
  <c r="M204"/>
  <c r="I204"/>
  <c r="E204"/>
  <c r="R204"/>
  <c r="N204"/>
  <c r="J204"/>
  <c r="F204"/>
  <c r="S204"/>
  <c r="O204"/>
  <c r="K204"/>
  <c r="G204"/>
  <c r="P204"/>
  <c r="L204"/>
  <c r="H204"/>
  <c r="D204"/>
  <c r="Q213"/>
  <c r="M213"/>
  <c r="I213"/>
  <c r="E213"/>
  <c r="R213"/>
  <c r="N213"/>
  <c r="J213"/>
  <c r="F213"/>
  <c r="S213"/>
  <c r="O213"/>
  <c r="K213"/>
  <c r="G213"/>
  <c r="T213"/>
  <c r="P213"/>
  <c r="L213"/>
  <c r="H213"/>
  <c r="D213"/>
  <c r="Q221"/>
  <c r="M221"/>
  <c r="I221"/>
  <c r="E221"/>
  <c r="R221"/>
  <c r="N221"/>
  <c r="J221"/>
  <c r="F221"/>
  <c r="S221"/>
  <c r="O221"/>
  <c r="K221"/>
  <c r="G221"/>
  <c r="AB221"/>
  <c r="P221"/>
  <c r="L221"/>
  <c r="H221"/>
  <c r="D221"/>
  <c r="Q246"/>
  <c r="M246"/>
  <c r="I246"/>
  <c r="E246"/>
  <c r="R246"/>
  <c r="N246"/>
  <c r="J246"/>
  <c r="F246"/>
  <c r="S246"/>
  <c r="O246"/>
  <c r="K246"/>
  <c r="G246"/>
  <c r="P246"/>
  <c r="L246"/>
  <c r="H246"/>
  <c r="D246"/>
  <c r="S250"/>
  <c r="O250"/>
  <c r="K250"/>
  <c r="G250"/>
  <c r="P250"/>
  <c r="L250"/>
  <c r="H250"/>
  <c r="R250"/>
  <c r="N250"/>
  <c r="J250"/>
  <c r="F250"/>
  <c r="E250"/>
  <c r="I250"/>
  <c r="M250"/>
  <c r="Q250"/>
  <c r="D250"/>
  <c r="S352"/>
  <c r="O352"/>
  <c r="K352"/>
  <c r="G352"/>
  <c r="P352"/>
  <c r="L352"/>
  <c r="H352"/>
  <c r="D352"/>
  <c r="Q352"/>
  <c r="M352"/>
  <c r="I352"/>
  <c r="E352"/>
  <c r="R352"/>
  <c r="N352"/>
  <c r="J352"/>
  <c r="F352"/>
  <c r="S365"/>
  <c r="O365"/>
  <c r="K365"/>
  <c r="G365"/>
  <c r="P365"/>
  <c r="L365"/>
  <c r="H365"/>
  <c r="D365"/>
  <c r="Q365"/>
  <c r="M365"/>
  <c r="I365"/>
  <c r="E365"/>
  <c r="R365"/>
  <c r="N365"/>
  <c r="J365"/>
  <c r="F365"/>
  <c r="W389"/>
  <c r="S389"/>
  <c r="O389"/>
  <c r="K389"/>
  <c r="G389"/>
  <c r="T389"/>
  <c r="P389"/>
  <c r="L389"/>
  <c r="H389"/>
  <c r="D389"/>
  <c r="U389"/>
  <c r="Q389"/>
  <c r="M389"/>
  <c r="I389"/>
  <c r="E389"/>
  <c r="V389"/>
  <c r="R389"/>
  <c r="N389"/>
  <c r="J389"/>
  <c r="F389"/>
  <c r="W404"/>
  <c r="S404"/>
  <c r="O404"/>
  <c r="K404"/>
  <c r="G404"/>
  <c r="X404"/>
  <c r="T404"/>
  <c r="P404"/>
  <c r="L404"/>
  <c r="H404"/>
  <c r="D404"/>
  <c r="U404"/>
  <c r="Q404"/>
  <c r="M404"/>
  <c r="I404"/>
  <c r="E404"/>
  <c r="V404"/>
  <c r="R404"/>
  <c r="N404"/>
  <c r="J404"/>
  <c r="F404"/>
  <c r="S413"/>
  <c r="O413"/>
  <c r="K413"/>
  <c r="G413"/>
  <c r="P413"/>
  <c r="L413"/>
  <c r="H413"/>
  <c r="D413"/>
  <c r="Q413"/>
  <c r="M413"/>
  <c r="I413"/>
  <c r="E413"/>
  <c r="F413"/>
  <c r="J413"/>
  <c r="N413"/>
  <c r="R413"/>
  <c r="V417"/>
  <c r="R417"/>
  <c r="N417"/>
  <c r="J417"/>
  <c r="F417"/>
  <c r="W417"/>
  <c r="S417"/>
  <c r="O417"/>
  <c r="K417"/>
  <c r="G417"/>
  <c r="AB417"/>
  <c r="X417"/>
  <c r="T417"/>
  <c r="P417"/>
  <c r="L417"/>
  <c r="H417"/>
  <c r="D417"/>
  <c r="U417"/>
  <c r="Q417"/>
  <c r="M417"/>
  <c r="I417"/>
  <c r="E417"/>
  <c r="R422"/>
  <c r="N422"/>
  <c r="J422"/>
  <c r="F422"/>
  <c r="S422"/>
  <c r="O422"/>
  <c r="K422"/>
  <c r="G422"/>
  <c r="T422"/>
  <c r="P422"/>
  <c r="L422"/>
  <c r="H422"/>
  <c r="D422"/>
  <c r="Q422"/>
  <c r="M422"/>
  <c r="I422"/>
  <c r="E422"/>
  <c r="V427"/>
  <c r="R427"/>
  <c r="N427"/>
  <c r="J427"/>
  <c r="F427"/>
  <c r="W427"/>
  <c r="S427"/>
  <c r="O427"/>
  <c r="K427"/>
  <c r="G427"/>
  <c r="X427"/>
  <c r="T427"/>
  <c r="P427"/>
  <c r="L427"/>
  <c r="H427"/>
  <c r="D427"/>
  <c r="U427"/>
  <c r="Q427"/>
  <c r="M427"/>
  <c r="I427"/>
  <c r="E427"/>
  <c r="V431"/>
  <c r="R431"/>
  <c r="N431"/>
  <c r="J431"/>
  <c r="F431"/>
  <c r="W431"/>
  <c r="S431"/>
  <c r="O431"/>
  <c r="K431"/>
  <c r="G431"/>
  <c r="X431"/>
  <c r="T431"/>
  <c r="P431"/>
  <c r="L431"/>
  <c r="H431"/>
  <c r="D431"/>
  <c r="U431"/>
  <c r="Q431"/>
  <c r="M431"/>
  <c r="I431"/>
  <c r="E431"/>
  <c r="V436"/>
  <c r="R436"/>
  <c r="N436"/>
  <c r="J436"/>
  <c r="F436"/>
  <c r="W436"/>
  <c r="S436"/>
  <c r="O436"/>
  <c r="K436"/>
  <c r="G436"/>
  <c r="T436"/>
  <c r="P436"/>
  <c r="L436"/>
  <c r="H436"/>
  <c r="D436"/>
  <c r="U436"/>
  <c r="Q436"/>
  <c r="M436"/>
  <c r="I436"/>
  <c r="E436"/>
  <c r="V441"/>
  <c r="R441"/>
  <c r="N441"/>
  <c r="J441"/>
  <c r="F441"/>
  <c r="S441"/>
  <c r="O441"/>
  <c r="K441"/>
  <c r="G441"/>
  <c r="T441"/>
  <c r="P441"/>
  <c r="L441"/>
  <c r="H441"/>
  <c r="D441"/>
  <c r="U441"/>
  <c r="Q441"/>
  <c r="M441"/>
  <c r="I441"/>
  <c r="E441"/>
  <c r="R461"/>
  <c r="N461"/>
  <c r="J461"/>
  <c r="F461"/>
  <c r="S461"/>
  <c r="O461"/>
  <c r="K461"/>
  <c r="G461"/>
  <c r="P461"/>
  <c r="L461"/>
  <c r="H461"/>
  <c r="D461"/>
  <c r="Q461"/>
  <c r="M461"/>
  <c r="I461"/>
  <c r="E461"/>
  <c r="AB12" i="65"/>
  <c r="L12"/>
  <c r="H12"/>
  <c r="D12"/>
  <c r="M12"/>
  <c r="I12"/>
  <c r="E12"/>
  <c r="J12"/>
  <c r="F12"/>
  <c r="K12"/>
  <c r="G12"/>
  <c r="AB16"/>
  <c r="P16"/>
  <c r="L16"/>
  <c r="H16"/>
  <c r="D16"/>
  <c r="Q16"/>
  <c r="M16"/>
  <c r="I16"/>
  <c r="E16"/>
  <c r="R16"/>
  <c r="N16"/>
  <c r="J16"/>
  <c r="F16"/>
  <c r="S16"/>
  <c r="O16"/>
  <c r="K16"/>
  <c r="G16"/>
  <c r="AB20"/>
  <c r="X20"/>
  <c r="T20"/>
  <c r="P20"/>
  <c r="L20"/>
  <c r="H20"/>
  <c r="D20"/>
  <c r="U20"/>
  <c r="Q20"/>
  <c r="M20"/>
  <c r="I20"/>
  <c r="E20"/>
  <c r="V20"/>
  <c r="R20"/>
  <c r="N20"/>
  <c r="J20"/>
  <c r="F20"/>
  <c r="W20"/>
  <c r="S20"/>
  <c r="O20"/>
  <c r="K20"/>
  <c r="G20"/>
  <c r="AB24"/>
  <c r="P24"/>
  <c r="L24"/>
  <c r="H24"/>
  <c r="D24"/>
  <c r="Q24"/>
  <c r="M24"/>
  <c r="I24"/>
  <c r="E24"/>
  <c r="R24"/>
  <c r="N24"/>
  <c r="J24"/>
  <c r="F24"/>
  <c r="S24"/>
  <c r="O24"/>
  <c r="K24"/>
  <c r="G24"/>
  <c r="AB29"/>
  <c r="P29"/>
  <c r="L29"/>
  <c r="H29"/>
  <c r="D29"/>
  <c r="Q29"/>
  <c r="M29"/>
  <c r="I29"/>
  <c r="E29"/>
  <c r="R29"/>
  <c r="N29"/>
  <c r="J29"/>
  <c r="F29"/>
  <c r="S29"/>
  <c r="O29"/>
  <c r="K29"/>
  <c r="G29"/>
  <c r="AB33"/>
  <c r="P33"/>
  <c r="L33"/>
  <c r="H33"/>
  <c r="D33"/>
  <c r="Q33"/>
  <c r="M33"/>
  <c r="I33"/>
  <c r="E33"/>
  <c r="R33"/>
  <c r="N33"/>
  <c r="J33"/>
  <c r="F33"/>
  <c r="S33"/>
  <c r="O33"/>
  <c r="K33"/>
  <c r="G33"/>
  <c r="AB38"/>
  <c r="P38"/>
  <c r="L38"/>
  <c r="H38"/>
  <c r="D38"/>
  <c r="Q38"/>
  <c r="M38"/>
  <c r="I38"/>
  <c r="E38"/>
  <c r="R38"/>
  <c r="N38"/>
  <c r="J38"/>
  <c r="F38"/>
  <c r="S38"/>
  <c r="O38"/>
  <c r="K38"/>
  <c r="G38"/>
  <c r="AB42"/>
  <c r="L42"/>
  <c r="H42"/>
  <c r="D42"/>
  <c r="M42"/>
  <c r="I42"/>
  <c r="E42"/>
  <c r="J42"/>
  <c r="F42"/>
  <c r="K42"/>
  <c r="G42"/>
  <c r="AB47"/>
  <c r="X47"/>
  <c r="T47"/>
  <c r="P47"/>
  <c r="L47"/>
  <c r="H47"/>
  <c r="D47"/>
  <c r="U47"/>
  <c r="Q47"/>
  <c r="M47"/>
  <c r="I47"/>
  <c r="E47"/>
  <c r="V47"/>
  <c r="R47"/>
  <c r="N47"/>
  <c r="J47"/>
  <c r="F47"/>
  <c r="W47"/>
  <c r="S47"/>
  <c r="O47"/>
  <c r="K47"/>
  <c r="G47"/>
  <c r="AB51"/>
  <c r="X51"/>
  <c r="T51"/>
  <c r="P51"/>
  <c r="L51"/>
  <c r="H51"/>
  <c r="D51"/>
  <c r="U51"/>
  <c r="Q51"/>
  <c r="M51"/>
  <c r="I51"/>
  <c r="E51"/>
  <c r="V51"/>
  <c r="R51"/>
  <c r="N51"/>
  <c r="J51"/>
  <c r="F51"/>
  <c r="W51"/>
  <c r="S51"/>
  <c r="O51"/>
  <c r="K51"/>
  <c r="G51"/>
  <c r="AB55"/>
  <c r="X55"/>
  <c r="T55"/>
  <c r="P55"/>
  <c r="L55"/>
  <c r="H55"/>
  <c r="D55"/>
  <c r="U55"/>
  <c r="Q55"/>
  <c r="M55"/>
  <c r="I55"/>
  <c r="E55"/>
  <c r="V55"/>
  <c r="R55"/>
  <c r="N55"/>
  <c r="J55"/>
  <c r="F55"/>
  <c r="AA55"/>
  <c r="W55"/>
  <c r="S55"/>
  <c r="O55"/>
  <c r="K55"/>
  <c r="G55"/>
  <c r="AB60"/>
  <c r="P60"/>
  <c r="L60"/>
  <c r="H60"/>
  <c r="D60"/>
  <c r="Q60"/>
  <c r="M60"/>
  <c r="I60"/>
  <c r="E60"/>
  <c r="R60"/>
  <c r="N60"/>
  <c r="J60"/>
  <c r="F60"/>
  <c r="S60"/>
  <c r="O60"/>
  <c r="K60"/>
  <c r="G60"/>
  <c r="AB64"/>
  <c r="T64"/>
  <c r="P64"/>
  <c r="L64"/>
  <c r="H64"/>
  <c r="D64"/>
  <c r="U64"/>
  <c r="Q64"/>
  <c r="M64"/>
  <c r="I64"/>
  <c r="E64"/>
  <c r="V64"/>
  <c r="R64"/>
  <c r="N64"/>
  <c r="J64"/>
  <c r="F64"/>
  <c r="W64"/>
  <c r="S64"/>
  <c r="O64"/>
  <c r="K64"/>
  <c r="G64"/>
  <c r="AB68"/>
  <c r="X68"/>
  <c r="T68"/>
  <c r="P68"/>
  <c r="L68"/>
  <c r="H68"/>
  <c r="D68"/>
  <c r="U68"/>
  <c r="Q68"/>
  <c r="M68"/>
  <c r="I68"/>
  <c r="E68"/>
  <c r="V68"/>
  <c r="R68"/>
  <c r="N68"/>
  <c r="J68"/>
  <c r="F68"/>
  <c r="W68"/>
  <c r="S68"/>
  <c r="O68"/>
  <c r="K68"/>
  <c r="G68"/>
  <c r="AB72"/>
  <c r="X72"/>
  <c r="T72"/>
  <c r="P72"/>
  <c r="L72"/>
  <c r="H72"/>
  <c r="D72"/>
  <c r="U72"/>
  <c r="Q72"/>
  <c r="M72"/>
  <c r="I72"/>
  <c r="E72"/>
  <c r="V72"/>
  <c r="R72"/>
  <c r="N72"/>
  <c r="J72"/>
  <c r="F72"/>
  <c r="W72"/>
  <c r="S72"/>
  <c r="O72"/>
  <c r="K72"/>
  <c r="G72"/>
  <c r="S97"/>
  <c r="K97"/>
  <c r="G97"/>
  <c r="AB97"/>
  <c r="L97"/>
  <c r="H97"/>
  <c r="D97"/>
  <c r="Q97"/>
  <c r="M97"/>
  <c r="I97"/>
  <c r="E97"/>
  <c r="R97"/>
  <c r="N97"/>
  <c r="J97"/>
  <c r="F97"/>
  <c r="K93"/>
  <c r="G93"/>
  <c r="AB93"/>
  <c r="L93"/>
  <c r="H93"/>
  <c r="D93"/>
  <c r="M93"/>
  <c r="I93"/>
  <c r="E93"/>
  <c r="J93"/>
  <c r="F93"/>
  <c r="K89"/>
  <c r="G89"/>
  <c r="AB89"/>
  <c r="L89"/>
  <c r="H89"/>
  <c r="D89"/>
  <c r="M89"/>
  <c r="I89"/>
  <c r="E89"/>
  <c r="J89"/>
  <c r="F89"/>
  <c r="S79"/>
  <c r="O79"/>
  <c r="K79"/>
  <c r="G79"/>
  <c r="AB79"/>
  <c r="P79"/>
  <c r="L79"/>
  <c r="H79"/>
  <c r="D79"/>
  <c r="Q79"/>
  <c r="M79"/>
  <c r="I79"/>
  <c r="E79"/>
  <c r="R79"/>
  <c r="N79"/>
  <c r="J79"/>
  <c r="F79"/>
  <c r="K357"/>
  <c r="G357"/>
  <c r="AB357"/>
  <c r="L357"/>
  <c r="H357"/>
  <c r="D357"/>
  <c r="M357"/>
  <c r="I357"/>
  <c r="E357"/>
  <c r="J357"/>
  <c r="F357"/>
  <c r="S364"/>
  <c r="K364"/>
  <c r="G364"/>
  <c r="AB364"/>
  <c r="L364"/>
  <c r="H364"/>
  <c r="D364"/>
  <c r="Q364"/>
  <c r="M364"/>
  <c r="I364"/>
  <c r="E364"/>
  <c r="R364"/>
  <c r="N364"/>
  <c r="J364"/>
  <c r="F364"/>
  <c r="K371"/>
  <c r="G371"/>
  <c r="AB371"/>
  <c r="L371"/>
  <c r="H371"/>
  <c r="D371"/>
  <c r="M371"/>
  <c r="I371"/>
  <c r="E371"/>
  <c r="J371"/>
  <c r="F371"/>
  <c r="K376"/>
  <c r="G376"/>
  <c r="AB376"/>
  <c r="L376"/>
  <c r="H376"/>
  <c r="D376"/>
  <c r="M376"/>
  <c r="I376"/>
  <c r="E376"/>
  <c r="J376"/>
  <c r="F376"/>
  <c r="K388"/>
  <c r="G388"/>
  <c r="AB388"/>
  <c r="L388"/>
  <c r="H388"/>
  <c r="D388"/>
  <c r="M388"/>
  <c r="I388"/>
  <c r="E388"/>
  <c r="J388"/>
  <c r="F388"/>
  <c r="V401"/>
  <c r="R401"/>
  <c r="N401"/>
  <c r="J401"/>
  <c r="F401"/>
  <c r="W401"/>
  <c r="S401"/>
  <c r="O401"/>
  <c r="K401"/>
  <c r="G401"/>
  <c r="AB401"/>
  <c r="X401"/>
  <c r="T401"/>
  <c r="P401"/>
  <c r="L401"/>
  <c r="H401"/>
  <c r="D401"/>
  <c r="U401"/>
  <c r="Q401"/>
  <c r="M401"/>
  <c r="I401"/>
  <c r="E401"/>
  <c r="J407"/>
  <c r="F407"/>
  <c r="AB407"/>
  <c r="L407"/>
  <c r="G407"/>
  <c r="M407"/>
  <c r="H407"/>
  <c r="I407"/>
  <c r="D407"/>
  <c r="K407"/>
  <c r="E407"/>
  <c r="J412"/>
  <c r="F412"/>
  <c r="K412"/>
  <c r="E412"/>
  <c r="AB412"/>
  <c r="L412"/>
  <c r="G412"/>
  <c r="M412"/>
  <c r="H412"/>
  <c r="I412"/>
  <c r="D412"/>
  <c r="J416"/>
  <c r="F416"/>
  <c r="I416"/>
  <c r="D416"/>
  <c r="K416"/>
  <c r="E416"/>
  <c r="AB416"/>
  <c r="L416"/>
  <c r="G416"/>
  <c r="M416"/>
  <c r="H416"/>
  <c r="R421"/>
  <c r="N421"/>
  <c r="J421"/>
  <c r="F421"/>
  <c r="S421"/>
  <c r="M421"/>
  <c r="H421"/>
  <c r="O421"/>
  <c r="I421"/>
  <c r="D421"/>
  <c r="P421"/>
  <c r="K421"/>
  <c r="E421"/>
  <c r="AB421"/>
  <c r="Q421"/>
  <c r="L421"/>
  <c r="G421"/>
  <c r="J426"/>
  <c r="F426"/>
  <c r="AB426"/>
  <c r="L426"/>
  <c r="G426"/>
  <c r="M426"/>
  <c r="H426"/>
  <c r="I426"/>
  <c r="D426"/>
  <c r="K426"/>
  <c r="E426"/>
  <c r="V430"/>
  <c r="R430"/>
  <c r="N430"/>
  <c r="J430"/>
  <c r="F430"/>
  <c r="U430"/>
  <c r="P430"/>
  <c r="K430"/>
  <c r="E430"/>
  <c r="AB430"/>
  <c r="W430"/>
  <c r="Q430"/>
  <c r="L430"/>
  <c r="G430"/>
  <c r="S430"/>
  <c r="M430"/>
  <c r="H430"/>
  <c r="T430"/>
  <c r="O430"/>
  <c r="I430"/>
  <c r="D430"/>
  <c r="J435"/>
  <c r="F435"/>
  <c r="I435"/>
  <c r="D435"/>
  <c r="K435"/>
  <c r="E435"/>
  <c r="AB435"/>
  <c r="L435"/>
  <c r="G435"/>
  <c r="M435"/>
  <c r="H435"/>
  <c r="J439"/>
  <c r="F439"/>
  <c r="M439"/>
  <c r="H439"/>
  <c r="I439"/>
  <c r="D439"/>
  <c r="K439"/>
  <c r="E439"/>
  <c r="AB439"/>
  <c r="L439"/>
  <c r="G439"/>
  <c r="J444"/>
  <c r="F444"/>
  <c r="AB444"/>
  <c r="L444"/>
  <c r="G444"/>
  <c r="M444"/>
  <c r="H444"/>
  <c r="I444"/>
  <c r="D444"/>
  <c r="K444"/>
  <c r="E444"/>
  <c r="V457"/>
  <c r="R457"/>
  <c r="N457"/>
  <c r="J457"/>
  <c r="F457"/>
  <c r="U457"/>
  <c r="P457"/>
  <c r="K457"/>
  <c r="E457"/>
  <c r="AB457"/>
  <c r="Q457"/>
  <c r="L457"/>
  <c r="G457"/>
  <c r="S457"/>
  <c r="M457"/>
  <c r="H457"/>
  <c r="T457"/>
  <c r="O457"/>
  <c r="I457"/>
  <c r="D457"/>
  <c r="R12" i="68"/>
  <c r="N12"/>
  <c r="J12"/>
  <c r="F12"/>
  <c r="O12"/>
  <c r="I12"/>
  <c r="D12"/>
  <c r="P12"/>
  <c r="K12"/>
  <c r="E12"/>
  <c r="AB12"/>
  <c r="Q12"/>
  <c r="L12"/>
  <c r="G12"/>
  <c r="S12"/>
  <c r="M12"/>
  <c r="H12"/>
  <c r="R16"/>
  <c r="N16"/>
  <c r="J16"/>
  <c r="F16"/>
  <c r="S16"/>
  <c r="M16"/>
  <c r="H16"/>
  <c r="O16"/>
  <c r="I16"/>
  <c r="D16"/>
  <c r="P16"/>
  <c r="K16"/>
  <c r="E16"/>
  <c r="AB16"/>
  <c r="Q16"/>
  <c r="L16"/>
  <c r="G16"/>
  <c r="J20"/>
  <c r="F20"/>
  <c r="AB20"/>
  <c r="Q20"/>
  <c r="L20"/>
  <c r="G20"/>
  <c r="M20"/>
  <c r="H20"/>
  <c r="I20"/>
  <c r="D20"/>
  <c r="K20"/>
  <c r="E20"/>
  <c r="K24"/>
  <c r="G24"/>
  <c r="J24"/>
  <c r="F24"/>
  <c r="AB24"/>
  <c r="L24"/>
  <c r="D24"/>
  <c r="M24"/>
  <c r="E24"/>
  <c r="H24"/>
  <c r="Q24"/>
  <c r="I24"/>
  <c r="K29"/>
  <c r="G29"/>
  <c r="J29"/>
  <c r="F29"/>
  <c r="H29"/>
  <c r="I29"/>
  <c r="AB29"/>
  <c r="L29"/>
  <c r="D29"/>
  <c r="M29"/>
  <c r="E29"/>
  <c r="S33"/>
  <c r="O33"/>
  <c r="K33"/>
  <c r="G33"/>
  <c r="R33"/>
  <c r="N33"/>
  <c r="J33"/>
  <c r="F33"/>
  <c r="AB33"/>
  <c r="L33"/>
  <c r="D33"/>
  <c r="M33"/>
  <c r="E33"/>
  <c r="P33"/>
  <c r="H33"/>
  <c r="Q33"/>
  <c r="I33"/>
  <c r="S38"/>
  <c r="O38"/>
  <c r="K38"/>
  <c r="G38"/>
  <c r="R38"/>
  <c r="N38"/>
  <c r="J38"/>
  <c r="F38"/>
  <c r="P38"/>
  <c r="H38"/>
  <c r="Q38"/>
  <c r="I38"/>
  <c r="AB38"/>
  <c r="L38"/>
  <c r="D38"/>
  <c r="M38"/>
  <c r="E38"/>
  <c r="S42"/>
  <c r="O42"/>
  <c r="K42"/>
  <c r="G42"/>
  <c r="R42"/>
  <c r="N42"/>
  <c r="J42"/>
  <c r="F42"/>
  <c r="AB42"/>
  <c r="L42"/>
  <c r="D42"/>
  <c r="M42"/>
  <c r="E42"/>
  <c r="P42"/>
  <c r="H42"/>
  <c r="Q42"/>
  <c r="I42"/>
  <c r="K47"/>
  <c r="G47"/>
  <c r="J47"/>
  <c r="F47"/>
  <c r="H47"/>
  <c r="I47"/>
  <c r="AB47"/>
  <c r="L47"/>
  <c r="D47"/>
  <c r="M47"/>
  <c r="E47"/>
  <c r="K51"/>
  <c r="G51"/>
  <c r="J51"/>
  <c r="F51"/>
  <c r="AB51"/>
  <c r="L51"/>
  <c r="D51"/>
  <c r="M51"/>
  <c r="E51"/>
  <c r="H51"/>
  <c r="I51"/>
  <c r="K55"/>
  <c r="G55"/>
  <c r="J55"/>
  <c r="F55"/>
  <c r="H55"/>
  <c r="I55"/>
  <c r="AB55"/>
  <c r="L55"/>
  <c r="D55"/>
  <c r="M55"/>
  <c r="E55"/>
  <c r="K60"/>
  <c r="G60"/>
  <c r="J60"/>
  <c r="F60"/>
  <c r="AB60"/>
  <c r="L60"/>
  <c r="D60"/>
  <c r="M60"/>
  <c r="E60"/>
  <c r="H60"/>
  <c r="Q60"/>
  <c r="I60"/>
  <c r="K64"/>
  <c r="G64"/>
  <c r="J64"/>
  <c r="F64"/>
  <c r="H64"/>
  <c r="I64"/>
  <c r="AB64"/>
  <c r="L64"/>
  <c r="D64"/>
  <c r="M64"/>
  <c r="E64"/>
  <c r="AA68"/>
  <c r="W68"/>
  <c r="S68"/>
  <c r="O68"/>
  <c r="K68"/>
  <c r="G68"/>
  <c r="V68"/>
  <c r="R68"/>
  <c r="N68"/>
  <c r="J68"/>
  <c r="F68"/>
  <c r="AB68"/>
  <c r="T68"/>
  <c r="L68"/>
  <c r="D68"/>
  <c r="U68"/>
  <c r="M68"/>
  <c r="E68"/>
  <c r="X68"/>
  <c r="P68"/>
  <c r="H68"/>
  <c r="Q68"/>
  <c r="I68"/>
  <c r="W72"/>
  <c r="S72"/>
  <c r="O72"/>
  <c r="K72"/>
  <c r="G72"/>
  <c r="V72"/>
  <c r="R72"/>
  <c r="N72"/>
  <c r="J72"/>
  <c r="F72"/>
  <c r="X72"/>
  <c r="P72"/>
  <c r="H72"/>
  <c r="Q72"/>
  <c r="I72"/>
  <c r="AB72"/>
  <c r="T72"/>
  <c r="L72"/>
  <c r="D72"/>
  <c r="U72"/>
  <c r="M72"/>
  <c r="E72"/>
  <c r="K80"/>
  <c r="G80"/>
  <c r="J80"/>
  <c r="F80"/>
  <c r="AB80"/>
  <c r="L80"/>
  <c r="D80"/>
  <c r="M80"/>
  <c r="E80"/>
  <c r="H80"/>
  <c r="Q80"/>
  <c r="I80"/>
  <c r="K90"/>
  <c r="G90"/>
  <c r="J90"/>
  <c r="F90"/>
  <c r="H90"/>
  <c r="Q90"/>
  <c r="I90"/>
  <c r="AB90"/>
  <c r="L90"/>
  <c r="D90"/>
  <c r="M90"/>
  <c r="E90"/>
  <c r="K94"/>
  <c r="G94"/>
  <c r="J94"/>
  <c r="F94"/>
  <c r="AB94"/>
  <c r="L94"/>
  <c r="D94"/>
  <c r="M94"/>
  <c r="E94"/>
  <c r="H94"/>
  <c r="Q94"/>
  <c r="I94"/>
  <c r="S98"/>
  <c r="O98"/>
  <c r="K98"/>
  <c r="G98"/>
  <c r="R98"/>
  <c r="N98"/>
  <c r="J98"/>
  <c r="F98"/>
  <c r="P98"/>
  <c r="H98"/>
  <c r="Q98"/>
  <c r="I98"/>
  <c r="AB98"/>
  <c r="L98"/>
  <c r="D98"/>
  <c r="M98"/>
  <c r="E98"/>
  <c r="S120"/>
  <c r="K120"/>
  <c r="G120"/>
  <c r="R120"/>
  <c r="N120"/>
  <c r="J120"/>
  <c r="F120"/>
  <c r="AB120"/>
  <c r="L120"/>
  <c r="D120"/>
  <c r="M120"/>
  <c r="E120"/>
  <c r="H120"/>
  <c r="Q120"/>
  <c r="I120"/>
  <c r="S124"/>
  <c r="O124"/>
  <c r="K124"/>
  <c r="G124"/>
  <c r="R124"/>
  <c r="N124"/>
  <c r="J124"/>
  <c r="F124"/>
  <c r="P124"/>
  <c r="H124"/>
  <c r="Q124"/>
  <c r="I124"/>
  <c r="AB124"/>
  <c r="L124"/>
  <c r="D124"/>
  <c r="M124"/>
  <c r="E124"/>
  <c r="K142"/>
  <c r="G142"/>
  <c r="J142"/>
  <c r="F142"/>
  <c r="AB142"/>
  <c r="L142"/>
  <c r="D142"/>
  <c r="M142"/>
  <c r="E142"/>
  <c r="H142"/>
  <c r="I142"/>
  <c r="K146"/>
  <c r="G146"/>
  <c r="J146"/>
  <c r="F146"/>
  <c r="H146"/>
  <c r="Q146"/>
  <c r="I146"/>
  <c r="AB146"/>
  <c r="L146"/>
  <c r="D146"/>
  <c r="M146"/>
  <c r="E146"/>
  <c r="K150"/>
  <c r="G150"/>
  <c r="J150"/>
  <c r="F150"/>
  <c r="AB150"/>
  <c r="L150"/>
  <c r="D150"/>
  <c r="M150"/>
  <c r="E150"/>
  <c r="H150"/>
  <c r="Q150"/>
  <c r="I150"/>
  <c r="K192"/>
  <c r="G192"/>
  <c r="J192"/>
  <c r="F192"/>
  <c r="H192"/>
  <c r="Q192"/>
  <c r="I192"/>
  <c r="AB192"/>
  <c r="L192"/>
  <c r="D192"/>
  <c r="M192"/>
  <c r="E192"/>
  <c r="S196"/>
  <c r="K196"/>
  <c r="G196"/>
  <c r="R196"/>
  <c r="N196"/>
  <c r="J196"/>
  <c r="F196"/>
  <c r="AB196"/>
  <c r="L196"/>
  <c r="D196"/>
  <c r="M196"/>
  <c r="E196"/>
  <c r="H196"/>
  <c r="Q196"/>
  <c r="I196"/>
  <c r="K200"/>
  <c r="G200"/>
  <c r="R200"/>
  <c r="J200"/>
  <c r="F200"/>
  <c r="H200"/>
  <c r="Q200"/>
  <c r="I200"/>
  <c r="AB200"/>
  <c r="L200"/>
  <c r="D200"/>
  <c r="M200"/>
  <c r="E200"/>
  <c r="S204"/>
  <c r="O204"/>
  <c r="K204"/>
  <c r="G204"/>
  <c r="R204"/>
  <c r="N204"/>
  <c r="J204"/>
  <c r="F204"/>
  <c r="AB204"/>
  <c r="L204"/>
  <c r="D204"/>
  <c r="M204"/>
  <c r="E204"/>
  <c r="P204"/>
  <c r="H204"/>
  <c r="Q204"/>
  <c r="I204"/>
  <c r="K208"/>
  <c r="G208"/>
  <c r="J208"/>
  <c r="F208"/>
  <c r="H208"/>
  <c r="Q208"/>
  <c r="I208"/>
  <c r="AB208"/>
  <c r="L208"/>
  <c r="D208"/>
  <c r="M208"/>
  <c r="E208"/>
  <c r="S213"/>
  <c r="O213"/>
  <c r="K213"/>
  <c r="G213"/>
  <c r="R213"/>
  <c r="N213"/>
  <c r="J213"/>
  <c r="F213"/>
  <c r="AB213"/>
  <c r="L213"/>
  <c r="D213"/>
  <c r="M213"/>
  <c r="E213"/>
  <c r="P213"/>
  <c r="H213"/>
  <c r="Q213"/>
  <c r="I213"/>
  <c r="K217"/>
  <c r="G217"/>
  <c r="J217"/>
  <c r="F217"/>
  <c r="H217"/>
  <c r="I217"/>
  <c r="AB217"/>
  <c r="L217"/>
  <c r="D217"/>
  <c r="M217"/>
  <c r="E217"/>
  <c r="K221"/>
  <c r="G221"/>
  <c r="J221"/>
  <c r="F221"/>
  <c r="AB221"/>
  <c r="L221"/>
  <c r="D221"/>
  <c r="M221"/>
  <c r="E221"/>
  <c r="H221"/>
  <c r="I221"/>
  <c r="K242"/>
  <c r="G242"/>
  <c r="R242"/>
  <c r="J242"/>
  <c r="F242"/>
  <c r="H242"/>
  <c r="Q242"/>
  <c r="I242"/>
  <c r="AB242"/>
  <c r="L242"/>
  <c r="D242"/>
  <c r="M242"/>
  <c r="E242"/>
  <c r="K246"/>
  <c r="G246"/>
  <c r="J246"/>
  <c r="F246"/>
  <c r="AB246"/>
  <c r="L246"/>
  <c r="D246"/>
  <c r="M246"/>
  <c r="E246"/>
  <c r="H246"/>
  <c r="Q246"/>
  <c r="I246"/>
  <c r="K250"/>
  <c r="G250"/>
  <c r="J250"/>
  <c r="F250"/>
  <c r="H250"/>
  <c r="I250"/>
  <c r="AB250"/>
  <c r="L250"/>
  <c r="D250"/>
  <c r="M250"/>
  <c r="E250"/>
  <c r="S254"/>
  <c r="K254"/>
  <c r="G254"/>
  <c r="R254"/>
  <c r="N254"/>
  <c r="J254"/>
  <c r="F254"/>
  <c r="AB254"/>
  <c r="L254"/>
  <c r="D254"/>
  <c r="M254"/>
  <c r="E254"/>
  <c r="H254"/>
  <c r="Q254"/>
  <c r="I254"/>
  <c r="K352"/>
  <c r="G352"/>
  <c r="J352"/>
  <c r="F352"/>
  <c r="H352"/>
  <c r="I352"/>
  <c r="AB352"/>
  <c r="L352"/>
  <c r="D352"/>
  <c r="M352"/>
  <c r="E352"/>
  <c r="K365"/>
  <c r="G365"/>
  <c r="J365"/>
  <c r="F365"/>
  <c r="H365"/>
  <c r="Q365"/>
  <c r="I365"/>
  <c r="AB365"/>
  <c r="L365"/>
  <c r="D365"/>
  <c r="M365"/>
  <c r="E365"/>
  <c r="S372"/>
  <c r="K372"/>
  <c r="G372"/>
  <c r="R372"/>
  <c r="N372"/>
  <c r="J372"/>
  <c r="F372"/>
  <c r="AB372"/>
  <c r="L372"/>
  <c r="D372"/>
  <c r="M372"/>
  <c r="E372"/>
  <c r="H372"/>
  <c r="Q372"/>
  <c r="I372"/>
  <c r="S384"/>
  <c r="K384"/>
  <c r="G384"/>
  <c r="R384"/>
  <c r="N384"/>
  <c r="J384"/>
  <c r="F384"/>
  <c r="H384"/>
  <c r="Q384"/>
  <c r="I384"/>
  <c r="AB384"/>
  <c r="L384"/>
  <c r="D384"/>
  <c r="M384"/>
  <c r="E384"/>
  <c r="S389"/>
  <c r="O389"/>
  <c r="K389"/>
  <c r="G389"/>
  <c r="R389"/>
  <c r="N389"/>
  <c r="J389"/>
  <c r="F389"/>
  <c r="AB389"/>
  <c r="L389"/>
  <c r="D389"/>
  <c r="M389"/>
  <c r="E389"/>
  <c r="P389"/>
  <c r="H389"/>
  <c r="Q389"/>
  <c r="I389"/>
  <c r="W404"/>
  <c r="S404"/>
  <c r="O404"/>
  <c r="K404"/>
  <c r="G404"/>
  <c r="V404"/>
  <c r="R404"/>
  <c r="N404"/>
  <c r="J404"/>
  <c r="F404"/>
  <c r="X404"/>
  <c r="P404"/>
  <c r="H404"/>
  <c r="Q404"/>
  <c r="I404"/>
  <c r="AB404"/>
  <c r="T404"/>
  <c r="L404"/>
  <c r="D404"/>
  <c r="U404"/>
  <c r="M404"/>
  <c r="E404"/>
  <c r="K408"/>
  <c r="G408"/>
  <c r="J408"/>
  <c r="F408"/>
  <c r="AB408"/>
  <c r="L408"/>
  <c r="D408"/>
  <c r="M408"/>
  <c r="E408"/>
  <c r="H408"/>
  <c r="Q408"/>
  <c r="I408"/>
  <c r="S413"/>
  <c r="O413"/>
  <c r="K413"/>
  <c r="G413"/>
  <c r="R413"/>
  <c r="N413"/>
  <c r="J413"/>
  <c r="F413"/>
  <c r="P413"/>
  <c r="H413"/>
  <c r="Q413"/>
  <c r="I413"/>
  <c r="AB413"/>
  <c r="L413"/>
  <c r="D413"/>
  <c r="M413"/>
  <c r="E413"/>
  <c r="K417"/>
  <c r="G417"/>
  <c r="J417"/>
  <c r="F417"/>
  <c r="AB417"/>
  <c r="L417"/>
  <c r="D417"/>
  <c r="M417"/>
  <c r="E417"/>
  <c r="H417"/>
  <c r="I417"/>
  <c r="K422"/>
  <c r="G422"/>
  <c r="AB422"/>
  <c r="L422"/>
  <c r="H422"/>
  <c r="D422"/>
  <c r="Q422"/>
  <c r="M422"/>
  <c r="I422"/>
  <c r="E422"/>
  <c r="J422"/>
  <c r="F422"/>
  <c r="W427"/>
  <c r="S427"/>
  <c r="O427"/>
  <c r="K427"/>
  <c r="G427"/>
  <c r="AB427"/>
  <c r="T427"/>
  <c r="P427"/>
  <c r="L427"/>
  <c r="H427"/>
  <c r="D427"/>
  <c r="U427"/>
  <c r="Q427"/>
  <c r="M427"/>
  <c r="I427"/>
  <c r="E427"/>
  <c r="V427"/>
  <c r="R427"/>
  <c r="N427"/>
  <c r="J427"/>
  <c r="F427"/>
  <c r="W431"/>
  <c r="S431"/>
  <c r="O431"/>
  <c r="K431"/>
  <c r="G431"/>
  <c r="AB431"/>
  <c r="X431"/>
  <c r="T431"/>
  <c r="P431"/>
  <c r="L431"/>
  <c r="H431"/>
  <c r="D431"/>
  <c r="U431"/>
  <c r="Q431"/>
  <c r="M431"/>
  <c r="I431"/>
  <c r="E431"/>
  <c r="V431"/>
  <c r="R431"/>
  <c r="N431"/>
  <c r="J431"/>
  <c r="F431"/>
  <c r="S436"/>
  <c r="O436"/>
  <c r="K436"/>
  <c r="G436"/>
  <c r="AB436"/>
  <c r="P436"/>
  <c r="L436"/>
  <c r="H436"/>
  <c r="D436"/>
  <c r="Q436"/>
  <c r="M436"/>
  <c r="I436"/>
  <c r="E436"/>
  <c r="R436"/>
  <c r="N436"/>
  <c r="J436"/>
  <c r="F436"/>
  <c r="W441"/>
  <c r="S441"/>
  <c r="O441"/>
  <c r="K441"/>
  <c r="G441"/>
  <c r="AB441"/>
  <c r="T441"/>
  <c r="P441"/>
  <c r="L441"/>
  <c r="H441"/>
  <c r="D441"/>
  <c r="U441"/>
  <c r="Q441"/>
  <c r="M441"/>
  <c r="I441"/>
  <c r="E441"/>
  <c r="V441"/>
  <c r="R441"/>
  <c r="N441"/>
  <c r="J441"/>
  <c r="F441"/>
  <c r="S448"/>
  <c r="O448"/>
  <c r="K448"/>
  <c r="G448"/>
  <c r="AB448"/>
  <c r="P448"/>
  <c r="L448"/>
  <c r="H448"/>
  <c r="D448"/>
  <c r="Q448"/>
  <c r="M448"/>
  <c r="I448"/>
  <c r="E448"/>
  <c r="R448"/>
  <c r="N448"/>
  <c r="J448"/>
  <c r="F448"/>
  <c r="W461"/>
  <c r="S461"/>
  <c r="O461"/>
  <c r="K461"/>
  <c r="G461"/>
  <c r="AB461"/>
  <c r="T461"/>
  <c r="P461"/>
  <c r="L461"/>
  <c r="H461"/>
  <c r="D461"/>
  <c r="U461"/>
  <c r="Q461"/>
  <c r="M461"/>
  <c r="I461"/>
  <c r="E461"/>
  <c r="V461"/>
  <c r="R461"/>
  <c r="N461"/>
  <c r="J461"/>
  <c r="F461"/>
  <c r="S13" i="69"/>
  <c r="O13"/>
  <c r="K13"/>
  <c r="G13"/>
  <c r="AB13"/>
  <c r="P13"/>
  <c r="L13"/>
  <c r="H13"/>
  <c r="D13"/>
  <c r="Q13"/>
  <c r="M13"/>
  <c r="I13"/>
  <c r="E13"/>
  <c r="R13"/>
  <c r="N13"/>
  <c r="J13"/>
  <c r="F13"/>
  <c r="S17"/>
  <c r="O17"/>
  <c r="K17"/>
  <c r="G17"/>
  <c r="AB17"/>
  <c r="P17"/>
  <c r="L17"/>
  <c r="H17"/>
  <c r="D17"/>
  <c r="Q17"/>
  <c r="M17"/>
  <c r="I17"/>
  <c r="E17"/>
  <c r="R17"/>
  <c r="N17"/>
  <c r="J17"/>
  <c r="F17"/>
  <c r="S21"/>
  <c r="O21"/>
  <c r="K21"/>
  <c r="G21"/>
  <c r="AB21"/>
  <c r="P21"/>
  <c r="L21"/>
  <c r="H21"/>
  <c r="D21"/>
  <c r="Q21"/>
  <c r="M21"/>
  <c r="I21"/>
  <c r="E21"/>
  <c r="R21"/>
  <c r="N21"/>
  <c r="J21"/>
  <c r="F21"/>
  <c r="S26"/>
  <c r="O26"/>
  <c r="K26"/>
  <c r="G26"/>
  <c r="AB26"/>
  <c r="P26"/>
  <c r="L26"/>
  <c r="H26"/>
  <c r="D26"/>
  <c r="Q26"/>
  <c r="M26"/>
  <c r="I26"/>
  <c r="E26"/>
  <c r="R26"/>
  <c r="N26"/>
  <c r="J26"/>
  <c r="F26"/>
  <c r="K30"/>
  <c r="G30"/>
  <c r="AB30"/>
  <c r="L30"/>
  <c r="H30"/>
  <c r="D30"/>
  <c r="Q30"/>
  <c r="M30"/>
  <c r="I30"/>
  <c r="E30"/>
  <c r="J30"/>
  <c r="F30"/>
  <c r="K34"/>
  <c r="G34"/>
  <c r="AB34"/>
  <c r="L34"/>
  <c r="H34"/>
  <c r="D34"/>
  <c r="Q34"/>
  <c r="M34"/>
  <c r="I34"/>
  <c r="E34"/>
  <c r="J34"/>
  <c r="F34"/>
  <c r="K39"/>
  <c r="G39"/>
  <c r="AB39"/>
  <c r="L39"/>
  <c r="H39"/>
  <c r="D39"/>
  <c r="M39"/>
  <c r="I39"/>
  <c r="E39"/>
  <c r="J39"/>
  <c r="F39"/>
  <c r="K44"/>
  <c r="G44"/>
  <c r="AB44"/>
  <c r="L44"/>
  <c r="H44"/>
  <c r="D44"/>
  <c r="Q44"/>
  <c r="M44"/>
  <c r="I44"/>
  <c r="E44"/>
  <c r="R44"/>
  <c r="J44"/>
  <c r="F44"/>
  <c r="K48"/>
  <c r="G48"/>
  <c r="AB48"/>
  <c r="L48"/>
  <c r="H48"/>
  <c r="D48"/>
  <c r="Q48"/>
  <c r="M48"/>
  <c r="I48"/>
  <c r="E48"/>
  <c r="R48"/>
  <c r="J48"/>
  <c r="F48"/>
  <c r="K52"/>
  <c r="G52"/>
  <c r="AB52"/>
  <c r="L52"/>
  <c r="H52"/>
  <c r="D52"/>
  <c r="Q52"/>
  <c r="M52"/>
  <c r="I52"/>
  <c r="E52"/>
  <c r="R52"/>
  <c r="J52"/>
  <c r="F52"/>
  <c r="W57"/>
  <c r="S57"/>
  <c r="O57"/>
  <c r="K57"/>
  <c r="G57"/>
  <c r="AB57"/>
  <c r="T57"/>
  <c r="P57"/>
  <c r="L57"/>
  <c r="H57"/>
  <c r="D57"/>
  <c r="U57"/>
  <c r="Q57"/>
  <c r="M57"/>
  <c r="I57"/>
  <c r="E57"/>
  <c r="V57"/>
  <c r="R57"/>
  <c r="N57"/>
  <c r="J57"/>
  <c r="F57"/>
  <c r="K61"/>
  <c r="G61"/>
  <c r="AB61"/>
  <c r="L61"/>
  <c r="H61"/>
  <c r="D61"/>
  <c r="Q61"/>
  <c r="M61"/>
  <c r="I61"/>
  <c r="E61"/>
  <c r="R61"/>
  <c r="J61"/>
  <c r="F61"/>
  <c r="S65"/>
  <c r="O65"/>
  <c r="K65"/>
  <c r="G65"/>
  <c r="AB65"/>
  <c r="P65"/>
  <c r="L65"/>
  <c r="H65"/>
  <c r="D65"/>
  <c r="Q65"/>
  <c r="M65"/>
  <c r="I65"/>
  <c r="E65"/>
  <c r="R65"/>
  <c r="N65"/>
  <c r="J65"/>
  <c r="F65"/>
  <c r="S69"/>
  <c r="O69"/>
  <c r="K69"/>
  <c r="G69"/>
  <c r="AB69"/>
  <c r="P69"/>
  <c r="L69"/>
  <c r="H69"/>
  <c r="D69"/>
  <c r="Q69"/>
  <c r="M69"/>
  <c r="I69"/>
  <c r="E69"/>
  <c r="R69"/>
  <c r="N69"/>
  <c r="J69"/>
  <c r="F69"/>
  <c r="W73"/>
  <c r="S73"/>
  <c r="O73"/>
  <c r="K73"/>
  <c r="G73"/>
  <c r="AB73"/>
  <c r="X73"/>
  <c r="T73"/>
  <c r="P73"/>
  <c r="L73"/>
  <c r="H73"/>
  <c r="D73"/>
  <c r="U73"/>
  <c r="Q73"/>
  <c r="M73"/>
  <c r="I73"/>
  <c r="E73"/>
  <c r="V73"/>
  <c r="R73"/>
  <c r="N73"/>
  <c r="J73"/>
  <c r="F73"/>
  <c r="K81"/>
  <c r="G81"/>
  <c r="AB81"/>
  <c r="L81"/>
  <c r="H81"/>
  <c r="D81"/>
  <c r="Q81"/>
  <c r="M81"/>
  <c r="I81"/>
  <c r="E81"/>
  <c r="J81"/>
  <c r="F81"/>
  <c r="S91"/>
  <c r="O91"/>
  <c r="K91"/>
  <c r="G91"/>
  <c r="AB91"/>
  <c r="P91"/>
  <c r="L91"/>
  <c r="H91"/>
  <c r="D91"/>
  <c r="Q91"/>
  <c r="M91"/>
  <c r="I91"/>
  <c r="E91"/>
  <c r="R91"/>
  <c r="N91"/>
  <c r="J91"/>
  <c r="F91"/>
  <c r="K95"/>
  <c r="G95"/>
  <c r="AB95"/>
  <c r="L95"/>
  <c r="H95"/>
  <c r="D95"/>
  <c r="Q95"/>
  <c r="M95"/>
  <c r="I95"/>
  <c r="E95"/>
  <c r="R95"/>
  <c r="J95"/>
  <c r="F95"/>
  <c r="K100"/>
  <c r="G100"/>
  <c r="AB100"/>
  <c r="L100"/>
  <c r="H100"/>
  <c r="D100"/>
  <c r="Q100"/>
  <c r="M100"/>
  <c r="I100"/>
  <c r="E100"/>
  <c r="J100"/>
  <c r="F100"/>
  <c r="K121"/>
  <c r="G121"/>
  <c r="AB121"/>
  <c r="L121"/>
  <c r="H121"/>
  <c r="D121"/>
  <c r="Q121"/>
  <c r="M121"/>
  <c r="I121"/>
  <c r="E121"/>
  <c r="J121"/>
  <c r="F121"/>
  <c r="K125"/>
  <c r="G125"/>
  <c r="AB125"/>
  <c r="L125"/>
  <c r="H125"/>
  <c r="D125"/>
  <c r="Q125"/>
  <c r="M125"/>
  <c r="I125"/>
  <c r="E125"/>
  <c r="J125"/>
  <c r="F125"/>
  <c r="K143"/>
  <c r="G143"/>
  <c r="AB143"/>
  <c r="L143"/>
  <c r="H143"/>
  <c r="D143"/>
  <c r="Q143"/>
  <c r="M143"/>
  <c r="I143"/>
  <c r="E143"/>
  <c r="J143"/>
  <c r="F143"/>
  <c r="K147"/>
  <c r="G147"/>
  <c r="AB147"/>
  <c r="L147"/>
  <c r="H147"/>
  <c r="D147"/>
  <c r="Q147"/>
  <c r="M147"/>
  <c r="I147"/>
  <c r="E147"/>
  <c r="R147"/>
  <c r="J147"/>
  <c r="F147"/>
  <c r="K151"/>
  <c r="G151"/>
  <c r="AB151"/>
  <c r="L151"/>
  <c r="H151"/>
  <c r="D151"/>
  <c r="Q151"/>
  <c r="M151"/>
  <c r="I151"/>
  <c r="E151"/>
  <c r="J151"/>
  <c r="F151"/>
  <c r="S193"/>
  <c r="O193"/>
  <c r="K193"/>
  <c r="G193"/>
  <c r="P193"/>
  <c r="L193"/>
  <c r="H193"/>
  <c r="D193"/>
  <c r="Q193"/>
  <c r="M193"/>
  <c r="I193"/>
  <c r="E193"/>
  <c r="AB193"/>
  <c r="R193"/>
  <c r="N193"/>
  <c r="J193"/>
  <c r="F193"/>
  <c r="Q197"/>
  <c r="M197"/>
  <c r="I197"/>
  <c r="E197"/>
  <c r="AB197"/>
  <c r="L197"/>
  <c r="G197"/>
  <c r="H197"/>
  <c r="J197"/>
  <c r="D197"/>
  <c r="K197"/>
  <c r="F197"/>
  <c r="J201"/>
  <c r="AB201"/>
  <c r="Q201"/>
  <c r="M201"/>
  <c r="I201"/>
  <c r="E201"/>
  <c r="L201"/>
  <c r="F201"/>
  <c r="G201"/>
  <c r="H201"/>
  <c r="K201"/>
  <c r="D201"/>
  <c r="R205"/>
  <c r="J205"/>
  <c r="F205"/>
  <c r="K205"/>
  <c r="G205"/>
  <c r="AB205"/>
  <c r="L205"/>
  <c r="H205"/>
  <c r="D205"/>
  <c r="Q205"/>
  <c r="M205"/>
  <c r="I205"/>
  <c r="E205"/>
  <c r="J209"/>
  <c r="F209"/>
  <c r="K209"/>
  <c r="G209"/>
  <c r="AB209"/>
  <c r="L209"/>
  <c r="H209"/>
  <c r="D209"/>
  <c r="Q209"/>
  <c r="M209"/>
  <c r="I209"/>
  <c r="E209"/>
  <c r="J214"/>
  <c r="F214"/>
  <c r="K214"/>
  <c r="G214"/>
  <c r="AB214"/>
  <c r="L214"/>
  <c r="H214"/>
  <c r="D214"/>
  <c r="Q214"/>
  <c r="M214"/>
  <c r="I214"/>
  <c r="E214"/>
  <c r="J218"/>
  <c r="F218"/>
  <c r="K218"/>
  <c r="G218"/>
  <c r="AB218"/>
  <c r="L218"/>
  <c r="H218"/>
  <c r="D218"/>
  <c r="Q218"/>
  <c r="M218"/>
  <c r="I218"/>
  <c r="E218"/>
  <c r="R239"/>
  <c r="J239"/>
  <c r="F239"/>
  <c r="K239"/>
  <c r="G239"/>
  <c r="AB239"/>
  <c r="L239"/>
  <c r="H239"/>
  <c r="D239"/>
  <c r="Q239"/>
  <c r="M239"/>
  <c r="I239"/>
  <c r="E239"/>
  <c r="R243"/>
  <c r="N243"/>
  <c r="J243"/>
  <c r="F243"/>
  <c r="S243"/>
  <c r="O243"/>
  <c r="K243"/>
  <c r="G243"/>
  <c r="AB243"/>
  <c r="P243"/>
  <c r="L243"/>
  <c r="H243"/>
  <c r="D243"/>
  <c r="Q243"/>
  <c r="M243"/>
  <c r="I243"/>
  <c r="E243"/>
  <c r="R247"/>
  <c r="J247"/>
  <c r="F247"/>
  <c r="K247"/>
  <c r="G247"/>
  <c r="AB247"/>
  <c r="L247"/>
  <c r="H247"/>
  <c r="D247"/>
  <c r="Q247"/>
  <c r="M247"/>
  <c r="I247"/>
  <c r="E247"/>
  <c r="J251"/>
  <c r="F251"/>
  <c r="K251"/>
  <c r="G251"/>
  <c r="AB251"/>
  <c r="L251"/>
  <c r="H251"/>
  <c r="D251"/>
  <c r="Q251"/>
  <c r="M251"/>
  <c r="I251"/>
  <c r="E251"/>
  <c r="V255"/>
  <c r="R255"/>
  <c r="N255"/>
  <c r="J255"/>
  <c r="F255"/>
  <c r="AA255"/>
  <c r="W255"/>
  <c r="S255"/>
  <c r="O255"/>
  <c r="K255"/>
  <c r="G255"/>
  <c r="AB255"/>
  <c r="X255"/>
  <c r="T255"/>
  <c r="P255"/>
  <c r="L255"/>
  <c r="H255"/>
  <c r="D255"/>
  <c r="U255"/>
  <c r="Q255"/>
  <c r="M255"/>
  <c r="I255"/>
  <c r="E255"/>
  <c r="J353"/>
  <c r="F353"/>
  <c r="K353"/>
  <c r="G353"/>
  <c r="AB353"/>
  <c r="L353"/>
  <c r="H353"/>
  <c r="D353"/>
  <c r="Q353"/>
  <c r="M353"/>
  <c r="I353"/>
  <c r="E353"/>
  <c r="J362"/>
  <c r="F362"/>
  <c r="K362"/>
  <c r="G362"/>
  <c r="AB362"/>
  <c r="L362"/>
  <c r="H362"/>
  <c r="D362"/>
  <c r="Q362"/>
  <c r="M362"/>
  <c r="I362"/>
  <c r="E362"/>
  <c r="J367"/>
  <c r="F367"/>
  <c r="K367"/>
  <c r="G367"/>
  <c r="AB367"/>
  <c r="L367"/>
  <c r="H367"/>
  <c r="D367"/>
  <c r="M367"/>
  <c r="I367"/>
  <c r="E367"/>
  <c r="J373"/>
  <c r="F373"/>
  <c r="K373"/>
  <c r="G373"/>
  <c r="AB373"/>
  <c r="L373"/>
  <c r="H373"/>
  <c r="D373"/>
  <c r="M373"/>
  <c r="I373"/>
  <c r="E373"/>
  <c r="R385"/>
  <c r="N385"/>
  <c r="J385"/>
  <c r="F385"/>
  <c r="S385"/>
  <c r="K385"/>
  <c r="G385"/>
  <c r="AB385"/>
  <c r="L385"/>
  <c r="H385"/>
  <c r="D385"/>
  <c r="Q385"/>
  <c r="M385"/>
  <c r="I385"/>
  <c r="E385"/>
  <c r="J400"/>
  <c r="F400"/>
  <c r="K400"/>
  <c r="G400"/>
  <c r="AB400"/>
  <c r="L400"/>
  <c r="H400"/>
  <c r="D400"/>
  <c r="M400"/>
  <c r="I400"/>
  <c r="E400"/>
  <c r="R405"/>
  <c r="N405"/>
  <c r="J405"/>
  <c r="F405"/>
  <c r="S405"/>
  <c r="O405"/>
  <c r="K405"/>
  <c r="G405"/>
  <c r="AB405"/>
  <c r="T405"/>
  <c r="P405"/>
  <c r="L405"/>
  <c r="H405"/>
  <c r="D405"/>
  <c r="Q405"/>
  <c r="M405"/>
  <c r="I405"/>
  <c r="E405"/>
  <c r="J409"/>
  <c r="F409"/>
  <c r="K409"/>
  <c r="G409"/>
  <c r="AB409"/>
  <c r="L409"/>
  <c r="H409"/>
  <c r="D409"/>
  <c r="Q409"/>
  <c r="M409"/>
  <c r="I409"/>
  <c r="E409"/>
  <c r="J414"/>
  <c r="F414"/>
  <c r="K414"/>
  <c r="G414"/>
  <c r="AB414"/>
  <c r="L414"/>
  <c r="H414"/>
  <c r="D414"/>
  <c r="M414"/>
  <c r="I414"/>
  <c r="E414"/>
  <c r="J419"/>
  <c r="F419"/>
  <c r="K419"/>
  <c r="G419"/>
  <c r="AB419"/>
  <c r="L419"/>
  <c r="H419"/>
  <c r="D419"/>
  <c r="Q419"/>
  <c r="M419"/>
  <c r="I419"/>
  <c r="E419"/>
  <c r="J423"/>
  <c r="F423"/>
  <c r="K423"/>
  <c r="G423"/>
  <c r="AB423"/>
  <c r="L423"/>
  <c r="H423"/>
  <c r="D423"/>
  <c r="Q423"/>
  <c r="M423"/>
  <c r="I423"/>
  <c r="E423"/>
  <c r="R428"/>
  <c r="J428"/>
  <c r="F428"/>
  <c r="K428"/>
  <c r="G428"/>
  <c r="AB428"/>
  <c r="L428"/>
  <c r="H428"/>
  <c r="D428"/>
  <c r="Q428"/>
  <c r="M428"/>
  <c r="I428"/>
  <c r="E428"/>
  <c r="J432"/>
  <c r="F432"/>
  <c r="K432"/>
  <c r="G432"/>
  <c r="AB432"/>
  <c r="L432"/>
  <c r="H432"/>
  <c r="D432"/>
  <c r="Q432"/>
  <c r="M432"/>
  <c r="I432"/>
  <c r="E432"/>
  <c r="J437"/>
  <c r="F437"/>
  <c r="K437"/>
  <c r="G437"/>
  <c r="AB437"/>
  <c r="L437"/>
  <c r="H437"/>
  <c r="D437"/>
  <c r="Q437"/>
  <c r="M437"/>
  <c r="I437"/>
  <c r="E437"/>
  <c r="J442"/>
  <c r="F442"/>
  <c r="K442"/>
  <c r="G442"/>
  <c r="AB442"/>
  <c r="L442"/>
  <c r="H442"/>
  <c r="D442"/>
  <c r="Q442"/>
  <c r="M442"/>
  <c r="I442"/>
  <c r="E442"/>
  <c r="J449"/>
  <c r="F449"/>
  <c r="K449"/>
  <c r="G449"/>
  <c r="AB449"/>
  <c r="L449"/>
  <c r="H449"/>
  <c r="D449"/>
  <c r="Q449"/>
  <c r="M449"/>
  <c r="I449"/>
  <c r="E449"/>
  <c r="R462"/>
  <c r="J462"/>
  <c r="F462"/>
  <c r="K462"/>
  <c r="G462"/>
  <c r="AB462"/>
  <c r="L462"/>
  <c r="H462"/>
  <c r="D462"/>
  <c r="Q462"/>
  <c r="M462"/>
  <c r="I462"/>
  <c r="E462"/>
  <c r="V14" i="70"/>
  <c r="R14"/>
  <c r="N14"/>
  <c r="J14"/>
  <c r="F14"/>
  <c r="W14"/>
  <c r="S14"/>
  <c r="O14"/>
  <c r="K14"/>
  <c r="G14"/>
  <c r="AB14"/>
  <c r="X14"/>
  <c r="T14"/>
  <c r="P14"/>
  <c r="L14"/>
  <c r="H14"/>
  <c r="D14"/>
  <c r="U14"/>
  <c r="Q14"/>
  <c r="M14"/>
  <c r="I14"/>
  <c r="E14"/>
  <c r="V18"/>
  <c r="R18"/>
  <c r="N18"/>
  <c r="J18"/>
  <c r="F18"/>
  <c r="W18"/>
  <c r="S18"/>
  <c r="O18"/>
  <c r="K18"/>
  <c r="G18"/>
  <c r="AB18"/>
  <c r="X18"/>
  <c r="T18"/>
  <c r="P18"/>
  <c r="L18"/>
  <c r="H18"/>
  <c r="D18"/>
  <c r="U18"/>
  <c r="Q18"/>
  <c r="M18"/>
  <c r="I18"/>
  <c r="E18"/>
  <c r="R22"/>
  <c r="N22"/>
  <c r="J22"/>
  <c r="F22"/>
  <c r="S22"/>
  <c r="O22"/>
  <c r="K22"/>
  <c r="G22"/>
  <c r="AB22"/>
  <c r="P22"/>
  <c r="L22"/>
  <c r="H22"/>
  <c r="D22"/>
  <c r="Q22"/>
  <c r="M22"/>
  <c r="I22"/>
  <c r="E22"/>
  <c r="J27"/>
  <c r="F27"/>
  <c r="K27"/>
  <c r="G27"/>
  <c r="AB27"/>
  <c r="L27"/>
  <c r="H27"/>
  <c r="D27"/>
  <c r="M27"/>
  <c r="I27"/>
  <c r="E27"/>
  <c r="J31"/>
  <c r="F31"/>
  <c r="K31"/>
  <c r="G31"/>
  <c r="AB31"/>
  <c r="L31"/>
  <c r="H31"/>
  <c r="D31"/>
  <c r="Q31"/>
  <c r="M31"/>
  <c r="I31"/>
  <c r="E31"/>
  <c r="R36"/>
  <c r="N36"/>
  <c r="J36"/>
  <c r="F36"/>
  <c r="S36"/>
  <c r="O36"/>
  <c r="K36"/>
  <c r="G36"/>
  <c r="AB36"/>
  <c r="P36"/>
  <c r="L36"/>
  <c r="H36"/>
  <c r="D36"/>
  <c r="Q36"/>
  <c r="M36"/>
  <c r="I36"/>
  <c r="E36"/>
  <c r="R40"/>
  <c r="N40"/>
  <c r="J40"/>
  <c r="F40"/>
  <c r="S40"/>
  <c r="O40"/>
  <c r="K40"/>
  <c r="G40"/>
  <c r="AB40"/>
  <c r="P40"/>
  <c r="L40"/>
  <c r="H40"/>
  <c r="D40"/>
  <c r="Q40"/>
  <c r="M40"/>
  <c r="I40"/>
  <c r="E40"/>
  <c r="V45"/>
  <c r="R45"/>
  <c r="N45"/>
  <c r="J45"/>
  <c r="F45"/>
  <c r="W45"/>
  <c r="S45"/>
  <c r="O45"/>
  <c r="K45"/>
  <c r="G45"/>
  <c r="AB45"/>
  <c r="X45"/>
  <c r="T45"/>
  <c r="P45"/>
  <c r="L45"/>
  <c r="H45"/>
  <c r="D45"/>
  <c r="U45"/>
  <c r="Q45"/>
  <c r="M45"/>
  <c r="I45"/>
  <c r="E45"/>
  <c r="V49"/>
  <c r="R49"/>
  <c r="N49"/>
  <c r="J49"/>
  <c r="F49"/>
  <c r="W49"/>
  <c r="S49"/>
  <c r="O49"/>
  <c r="K49"/>
  <c r="G49"/>
  <c r="AB49"/>
  <c r="X49"/>
  <c r="T49"/>
  <c r="P49"/>
  <c r="L49"/>
  <c r="H49"/>
  <c r="D49"/>
  <c r="U49"/>
  <c r="Q49"/>
  <c r="M49"/>
  <c r="I49"/>
  <c r="E49"/>
  <c r="V53"/>
  <c r="R53"/>
  <c r="N53"/>
  <c r="J53"/>
  <c r="F53"/>
  <c r="W53"/>
  <c r="S53"/>
  <c r="O53"/>
  <c r="K53"/>
  <c r="G53"/>
  <c r="AB53"/>
  <c r="X53"/>
  <c r="T53"/>
  <c r="P53"/>
  <c r="L53"/>
  <c r="H53"/>
  <c r="D53"/>
  <c r="U53"/>
  <c r="Q53"/>
  <c r="M53"/>
  <c r="I53"/>
  <c r="E53"/>
  <c r="R58"/>
  <c r="N58"/>
  <c r="J58"/>
  <c r="F58"/>
  <c r="S58"/>
  <c r="O58"/>
  <c r="K58"/>
  <c r="G58"/>
  <c r="AB58"/>
  <c r="P58"/>
  <c r="L58"/>
  <c r="H58"/>
  <c r="D58"/>
  <c r="Q58"/>
  <c r="M58"/>
  <c r="I58"/>
  <c r="E58"/>
  <c r="R62"/>
  <c r="N62"/>
  <c r="J62"/>
  <c r="F62"/>
  <c r="S62"/>
  <c r="O62"/>
  <c r="K62"/>
  <c r="G62"/>
  <c r="AB62"/>
  <c r="T62"/>
  <c r="P62"/>
  <c r="L62"/>
  <c r="H62"/>
  <c r="D62"/>
  <c r="Q62"/>
  <c r="M62"/>
  <c r="I62"/>
  <c r="E62"/>
  <c r="V66"/>
  <c r="R66"/>
  <c r="N66"/>
  <c r="J66"/>
  <c r="F66"/>
  <c r="W66"/>
  <c r="S66"/>
  <c r="O66"/>
  <c r="K66"/>
  <c r="G66"/>
  <c r="AB66"/>
  <c r="X66"/>
  <c r="T66"/>
  <c r="P66"/>
  <c r="L66"/>
  <c r="H66"/>
  <c r="D66"/>
  <c r="U66"/>
  <c r="Q66"/>
  <c r="M66"/>
  <c r="I66"/>
  <c r="E66"/>
  <c r="J70"/>
  <c r="F70"/>
  <c r="K70"/>
  <c r="G70"/>
  <c r="AB70"/>
  <c r="L70"/>
  <c r="H70"/>
  <c r="D70"/>
  <c r="Q70"/>
  <c r="M70"/>
  <c r="I70"/>
  <c r="E70"/>
  <c r="R78"/>
  <c r="N78"/>
  <c r="J78"/>
  <c r="F78"/>
  <c r="S78"/>
  <c r="O78"/>
  <c r="K78"/>
  <c r="G78"/>
  <c r="AB78"/>
  <c r="P78"/>
  <c r="L78"/>
  <c r="H78"/>
  <c r="D78"/>
  <c r="U78"/>
  <c r="Q78"/>
  <c r="M78"/>
  <c r="I78"/>
  <c r="E78"/>
  <c r="R82"/>
  <c r="N82"/>
  <c r="J82"/>
  <c r="F82"/>
  <c r="S82"/>
  <c r="O82"/>
  <c r="K82"/>
  <c r="G82"/>
  <c r="AB82"/>
  <c r="P82"/>
  <c r="L82"/>
  <c r="H82"/>
  <c r="D82"/>
  <c r="Q82"/>
  <c r="M82"/>
  <c r="I82"/>
  <c r="E82"/>
  <c r="R92"/>
  <c r="J92"/>
  <c r="F92"/>
  <c r="K92"/>
  <c r="G92"/>
  <c r="AB92"/>
  <c r="L92"/>
  <c r="H92"/>
  <c r="D92"/>
  <c r="M92"/>
  <c r="I92"/>
  <c r="E92"/>
  <c r="R96"/>
  <c r="N96"/>
  <c r="J96"/>
  <c r="F96"/>
  <c r="S96"/>
  <c r="O96"/>
  <c r="K96"/>
  <c r="G96"/>
  <c r="AB96"/>
  <c r="P96"/>
  <c r="L96"/>
  <c r="H96"/>
  <c r="D96"/>
  <c r="Q96"/>
  <c r="M96"/>
  <c r="I96"/>
  <c r="E96"/>
  <c r="J118"/>
  <c r="F118"/>
  <c r="K118"/>
  <c r="G118"/>
  <c r="L118"/>
  <c r="H118"/>
  <c r="D118"/>
  <c r="M118"/>
  <c r="I118"/>
  <c r="E118"/>
  <c r="J122"/>
  <c r="F122"/>
  <c r="K122"/>
  <c r="G122"/>
  <c r="L122"/>
  <c r="H122"/>
  <c r="D122"/>
  <c r="Q122"/>
  <c r="M122"/>
  <c r="I122"/>
  <c r="E122"/>
  <c r="R126"/>
  <c r="J126"/>
  <c r="F126"/>
  <c r="K126"/>
  <c r="G126"/>
  <c r="L126"/>
  <c r="H126"/>
  <c r="D126"/>
  <c r="Q126"/>
  <c r="M126"/>
  <c r="I126"/>
  <c r="E126"/>
  <c r="R144"/>
  <c r="J144"/>
  <c r="F144"/>
  <c r="S144"/>
  <c r="K144"/>
  <c r="G144"/>
  <c r="AB144"/>
  <c r="L144"/>
  <c r="H144"/>
  <c r="D144"/>
  <c r="Q144"/>
  <c r="M144"/>
  <c r="I144"/>
  <c r="E144"/>
  <c r="J148"/>
  <c r="F148"/>
  <c r="K148"/>
  <c r="G148"/>
  <c r="AB148"/>
  <c r="L148"/>
  <c r="H148"/>
  <c r="D148"/>
  <c r="Q148"/>
  <c r="M148"/>
  <c r="I148"/>
  <c r="E148"/>
  <c r="R153"/>
  <c r="N153"/>
  <c r="J153"/>
  <c r="F153"/>
  <c r="S153"/>
  <c r="K153"/>
  <c r="G153"/>
  <c r="AB153"/>
  <c r="L153"/>
  <c r="H153"/>
  <c r="D153"/>
  <c r="Q153"/>
  <c r="M153"/>
  <c r="I153"/>
  <c r="E153"/>
  <c r="R194"/>
  <c r="J194"/>
  <c r="F194"/>
  <c r="K194"/>
  <c r="G194"/>
  <c r="L194"/>
  <c r="H194"/>
  <c r="D194"/>
  <c r="Q194"/>
  <c r="M194"/>
  <c r="I194"/>
  <c r="E194"/>
  <c r="R198"/>
  <c r="N198"/>
  <c r="J198"/>
  <c r="F198"/>
  <c r="S198"/>
  <c r="K198"/>
  <c r="G198"/>
  <c r="L198"/>
  <c r="H198"/>
  <c r="D198"/>
  <c r="Q198"/>
  <c r="M198"/>
  <c r="I198"/>
  <c r="E198"/>
  <c r="R202"/>
  <c r="J202"/>
  <c r="F202"/>
  <c r="K202"/>
  <c r="G202"/>
  <c r="AB202"/>
  <c r="L202"/>
  <c r="H202"/>
  <c r="D202"/>
  <c r="Q202"/>
  <c r="M202"/>
  <c r="I202"/>
  <c r="E202"/>
  <c r="X425" i="39"/>
  <c r="X405"/>
  <c r="AA437"/>
  <c r="AA413"/>
  <c r="AA385"/>
  <c r="BA367" i="77"/>
  <c r="BD367" s="1"/>
  <c r="X243" i="39"/>
  <c r="X204"/>
  <c r="X122"/>
  <c r="X205"/>
  <c r="X119"/>
  <c r="X143"/>
  <c r="AA64" i="74"/>
  <c r="W207"/>
  <c r="CF68" i="77"/>
  <c r="Z68" i="68" s="1"/>
  <c r="X376" i="39"/>
  <c r="V376"/>
  <c r="Z370" i="77"/>
  <c r="Z370" i="39" s="1"/>
  <c r="X372"/>
  <c r="AA406" i="73"/>
  <c r="Z429" i="77"/>
  <c r="Z429" i="39" s="1"/>
  <c r="X429"/>
  <c r="X49"/>
  <c r="Z443" i="77"/>
  <c r="Z443" i="39" s="1"/>
  <c r="X443"/>
  <c r="Z244" i="77"/>
  <c r="Z244" i="39" s="1"/>
  <c r="Z242" i="77"/>
  <c r="Z242" i="39" s="1"/>
  <c r="X246"/>
  <c r="X352" i="77"/>
  <c r="V352" i="39"/>
  <c r="IS59" i="77"/>
  <c r="U59" i="74" s="1"/>
  <c r="IT59" i="77"/>
  <c r="V59" i="74" s="1"/>
  <c r="U73" i="70"/>
  <c r="Q73"/>
  <c r="M73"/>
  <c r="I73"/>
  <c r="E73"/>
  <c r="V73"/>
  <c r="R73"/>
  <c r="N73"/>
  <c r="J73"/>
  <c r="F73"/>
  <c r="W73"/>
  <c r="S73"/>
  <c r="O73"/>
  <c r="K73"/>
  <c r="G73"/>
  <c r="AB73"/>
  <c r="X73"/>
  <c r="T73"/>
  <c r="P73"/>
  <c r="L73"/>
  <c r="H73"/>
  <c r="D73"/>
  <c r="M81"/>
  <c r="I81"/>
  <c r="E81"/>
  <c r="R81"/>
  <c r="J81"/>
  <c r="F81"/>
  <c r="K81"/>
  <c r="G81"/>
  <c r="AB81"/>
  <c r="L81"/>
  <c r="H81"/>
  <c r="D81"/>
  <c r="M91"/>
  <c r="I91"/>
  <c r="E91"/>
  <c r="R91"/>
  <c r="J91"/>
  <c r="F91"/>
  <c r="K91"/>
  <c r="G91"/>
  <c r="AB91"/>
  <c r="L91"/>
  <c r="H91"/>
  <c r="D91"/>
  <c r="Q95"/>
  <c r="M95"/>
  <c r="I95"/>
  <c r="E95"/>
  <c r="R95"/>
  <c r="N95"/>
  <c r="J95"/>
  <c r="F95"/>
  <c r="S95"/>
  <c r="O95"/>
  <c r="K95"/>
  <c r="G95"/>
  <c r="AB95"/>
  <c r="P95"/>
  <c r="L95"/>
  <c r="H95"/>
  <c r="D95"/>
  <c r="Q100"/>
  <c r="M100"/>
  <c r="I100"/>
  <c r="E100"/>
  <c r="R100"/>
  <c r="N100"/>
  <c r="J100"/>
  <c r="F100"/>
  <c r="S100"/>
  <c r="O100"/>
  <c r="K100"/>
  <c r="G100"/>
  <c r="P100"/>
  <c r="L100"/>
  <c r="H100"/>
  <c r="D100"/>
  <c r="Q121"/>
  <c r="M121"/>
  <c r="I121"/>
  <c r="E121"/>
  <c r="R121"/>
  <c r="J121"/>
  <c r="F121"/>
  <c r="K121"/>
  <c r="G121"/>
  <c r="L121"/>
  <c r="H121"/>
  <c r="D121"/>
  <c r="Q125"/>
  <c r="M125"/>
  <c r="I125"/>
  <c r="E125"/>
  <c r="R125"/>
  <c r="N125"/>
  <c r="J125"/>
  <c r="F125"/>
  <c r="S125"/>
  <c r="O125"/>
  <c r="K125"/>
  <c r="G125"/>
  <c r="P125"/>
  <c r="L125"/>
  <c r="H125"/>
  <c r="D125"/>
  <c r="Q143"/>
  <c r="M143"/>
  <c r="I143"/>
  <c r="E143"/>
  <c r="J143"/>
  <c r="F143"/>
  <c r="K143"/>
  <c r="G143"/>
  <c r="L143"/>
  <c r="H143"/>
  <c r="D143"/>
  <c r="M147"/>
  <c r="I147"/>
  <c r="E147"/>
  <c r="R147"/>
  <c r="J147"/>
  <c r="F147"/>
  <c r="K147"/>
  <c r="G147"/>
  <c r="AB147"/>
  <c r="L147"/>
  <c r="H147"/>
  <c r="D147"/>
  <c r="Q151"/>
  <c r="M151"/>
  <c r="I151"/>
  <c r="E151"/>
  <c r="R151"/>
  <c r="N151"/>
  <c r="J151"/>
  <c r="F151"/>
  <c r="S151"/>
  <c r="O151"/>
  <c r="K151"/>
  <c r="G151"/>
  <c r="AB151"/>
  <c r="P151"/>
  <c r="L151"/>
  <c r="H151"/>
  <c r="D151"/>
  <c r="Q193"/>
  <c r="M193"/>
  <c r="I193"/>
  <c r="E193"/>
  <c r="J193"/>
  <c r="F193"/>
  <c r="K193"/>
  <c r="G193"/>
  <c r="AB193"/>
  <c r="L193"/>
  <c r="H193"/>
  <c r="D193"/>
  <c r="Q197"/>
  <c r="M197"/>
  <c r="I197"/>
  <c r="E197"/>
  <c r="R197"/>
  <c r="J197"/>
  <c r="F197"/>
  <c r="K197"/>
  <c r="G197"/>
  <c r="AB197"/>
  <c r="L197"/>
  <c r="H197"/>
  <c r="D197"/>
  <c r="Q201"/>
  <c r="M201"/>
  <c r="I201"/>
  <c r="E201"/>
  <c r="R201"/>
  <c r="J201"/>
  <c r="F201"/>
  <c r="K201"/>
  <c r="G201"/>
  <c r="AB201"/>
  <c r="L201"/>
  <c r="H201"/>
  <c r="D201"/>
  <c r="Q205"/>
  <c r="M205"/>
  <c r="I205"/>
  <c r="E205"/>
  <c r="J205"/>
  <c r="F205"/>
  <c r="K205"/>
  <c r="G205"/>
  <c r="L205"/>
  <c r="H205"/>
  <c r="D205"/>
  <c r="Q209"/>
  <c r="M209"/>
  <c r="I209"/>
  <c r="E209"/>
  <c r="R209"/>
  <c r="J209"/>
  <c r="F209"/>
  <c r="K209"/>
  <c r="G209"/>
  <c r="AB209"/>
  <c r="L209"/>
  <c r="H209"/>
  <c r="D209"/>
  <c r="Q214"/>
  <c r="M214"/>
  <c r="I214"/>
  <c r="E214"/>
  <c r="N214"/>
  <c r="J214"/>
  <c r="F214"/>
  <c r="K214"/>
  <c r="G214"/>
  <c r="AB214"/>
  <c r="L214"/>
  <c r="H214"/>
  <c r="D214"/>
  <c r="M218"/>
  <c r="I218"/>
  <c r="E218"/>
  <c r="J218"/>
  <c r="F218"/>
  <c r="K218"/>
  <c r="G218"/>
  <c r="AB218"/>
  <c r="L218"/>
  <c r="H218"/>
  <c r="D218"/>
  <c r="Q239"/>
  <c r="M239"/>
  <c r="I239"/>
  <c r="E239"/>
  <c r="R239"/>
  <c r="N239"/>
  <c r="J239"/>
  <c r="F239"/>
  <c r="S239"/>
  <c r="O239"/>
  <c r="K239"/>
  <c r="G239"/>
  <c r="P239"/>
  <c r="L239"/>
  <c r="H239"/>
  <c r="D239"/>
  <c r="Q243"/>
  <c r="M243"/>
  <c r="I243"/>
  <c r="E243"/>
  <c r="J243"/>
  <c r="F243"/>
  <c r="K243"/>
  <c r="G243"/>
  <c r="AB243"/>
  <c r="L243"/>
  <c r="H243"/>
  <c r="D243"/>
  <c r="Q247"/>
  <c r="M247"/>
  <c r="I247"/>
  <c r="E247"/>
  <c r="J247"/>
  <c r="F247"/>
  <c r="K247"/>
  <c r="G247"/>
  <c r="AB247"/>
  <c r="L247"/>
  <c r="H247"/>
  <c r="D247"/>
  <c r="Q251"/>
  <c r="M251"/>
  <c r="I251"/>
  <c r="E251"/>
  <c r="R251"/>
  <c r="J251"/>
  <c r="F251"/>
  <c r="K251"/>
  <c r="G251"/>
  <c r="AB251"/>
  <c r="L251"/>
  <c r="H251"/>
  <c r="D251"/>
  <c r="Q255"/>
  <c r="M255"/>
  <c r="I255"/>
  <c r="E255"/>
  <c r="R255"/>
  <c r="J255"/>
  <c r="F255"/>
  <c r="K255"/>
  <c r="G255"/>
  <c r="AB255"/>
  <c r="L255"/>
  <c r="H255"/>
  <c r="D255"/>
  <c r="Q353"/>
  <c r="M353"/>
  <c r="I353"/>
  <c r="E353"/>
  <c r="R353"/>
  <c r="N353"/>
  <c r="J353"/>
  <c r="F353"/>
  <c r="S353"/>
  <c r="O353"/>
  <c r="K353"/>
  <c r="G353"/>
  <c r="P353"/>
  <c r="L353"/>
  <c r="H353"/>
  <c r="D353"/>
  <c r="Q362"/>
  <c r="M362"/>
  <c r="I362"/>
  <c r="E362"/>
  <c r="R362"/>
  <c r="J362"/>
  <c r="F362"/>
  <c r="K362"/>
  <c r="G362"/>
  <c r="L362"/>
  <c r="H362"/>
  <c r="D362"/>
  <c r="U367"/>
  <c r="Q367"/>
  <c r="M367"/>
  <c r="I367"/>
  <c r="E367"/>
  <c r="V367"/>
  <c r="R367"/>
  <c r="N367"/>
  <c r="J367"/>
  <c r="F367"/>
  <c r="W367"/>
  <c r="S367"/>
  <c r="O367"/>
  <c r="K367"/>
  <c r="G367"/>
  <c r="AB367"/>
  <c r="T367"/>
  <c r="P367"/>
  <c r="L367"/>
  <c r="H367"/>
  <c r="D367"/>
  <c r="U373"/>
  <c r="Q373"/>
  <c r="M373"/>
  <c r="I373"/>
  <c r="E373"/>
  <c r="V373"/>
  <c r="R373"/>
  <c r="N373"/>
  <c r="J373"/>
  <c r="F373"/>
  <c r="W373"/>
  <c r="S373"/>
  <c r="O373"/>
  <c r="K373"/>
  <c r="G373"/>
  <c r="AB373"/>
  <c r="X373"/>
  <c r="T373"/>
  <c r="P373"/>
  <c r="L373"/>
  <c r="H373"/>
  <c r="D373"/>
  <c r="Q385"/>
  <c r="M385"/>
  <c r="I385"/>
  <c r="E385"/>
  <c r="J385"/>
  <c r="F385"/>
  <c r="K385"/>
  <c r="G385"/>
  <c r="L385"/>
  <c r="H385"/>
  <c r="D385"/>
  <c r="U400"/>
  <c r="Q400"/>
  <c r="M400"/>
  <c r="I400"/>
  <c r="E400"/>
  <c r="V400"/>
  <c r="R400"/>
  <c r="N400"/>
  <c r="J400"/>
  <c r="F400"/>
  <c r="W400"/>
  <c r="S400"/>
  <c r="O400"/>
  <c r="K400"/>
  <c r="G400"/>
  <c r="AB400"/>
  <c r="T400"/>
  <c r="P400"/>
  <c r="L400"/>
  <c r="H400"/>
  <c r="D400"/>
  <c r="Q405"/>
  <c r="M405"/>
  <c r="I405"/>
  <c r="E405"/>
  <c r="J405"/>
  <c r="F405"/>
  <c r="K405"/>
  <c r="G405"/>
  <c r="AB405"/>
  <c r="L405"/>
  <c r="H405"/>
  <c r="D405"/>
  <c r="Q409"/>
  <c r="M409"/>
  <c r="I409"/>
  <c r="E409"/>
  <c r="R409"/>
  <c r="J409"/>
  <c r="F409"/>
  <c r="K409"/>
  <c r="G409"/>
  <c r="AB409"/>
  <c r="L409"/>
  <c r="H409"/>
  <c r="D409"/>
  <c r="U414"/>
  <c r="Q414"/>
  <c r="M414"/>
  <c r="I414"/>
  <c r="E414"/>
  <c r="V414"/>
  <c r="R414"/>
  <c r="N414"/>
  <c r="J414"/>
  <c r="F414"/>
  <c r="W414"/>
  <c r="S414"/>
  <c r="O414"/>
  <c r="K414"/>
  <c r="G414"/>
  <c r="AB414"/>
  <c r="X414"/>
  <c r="T414"/>
  <c r="P414"/>
  <c r="L414"/>
  <c r="H414"/>
  <c r="D414"/>
  <c r="Q419"/>
  <c r="M419"/>
  <c r="I419"/>
  <c r="E419"/>
  <c r="R419"/>
  <c r="J419"/>
  <c r="F419"/>
  <c r="K419"/>
  <c r="G419"/>
  <c r="AB419"/>
  <c r="L419"/>
  <c r="H419"/>
  <c r="D419"/>
  <c r="Q423"/>
  <c r="M423"/>
  <c r="I423"/>
  <c r="E423"/>
  <c r="R423"/>
  <c r="J423"/>
  <c r="F423"/>
  <c r="K423"/>
  <c r="G423"/>
  <c r="AB423"/>
  <c r="L423"/>
  <c r="H423"/>
  <c r="D423"/>
  <c r="V428"/>
  <c r="R428"/>
  <c r="N428"/>
  <c r="J428"/>
  <c r="F428"/>
  <c r="AB428"/>
  <c r="W428"/>
  <c r="Q428"/>
  <c r="L428"/>
  <c r="G428"/>
  <c r="X428"/>
  <c r="S428"/>
  <c r="M428"/>
  <c r="H428"/>
  <c r="T428"/>
  <c r="O428"/>
  <c r="I428"/>
  <c r="D428"/>
  <c r="AA428"/>
  <c r="U428"/>
  <c r="P428"/>
  <c r="K428"/>
  <c r="E428"/>
  <c r="W432"/>
  <c r="S432"/>
  <c r="O432"/>
  <c r="K432"/>
  <c r="G432"/>
  <c r="AB432"/>
  <c r="X432"/>
  <c r="T432"/>
  <c r="P432"/>
  <c r="L432"/>
  <c r="H432"/>
  <c r="D432"/>
  <c r="U432"/>
  <c r="Q432"/>
  <c r="M432"/>
  <c r="I432"/>
  <c r="E432"/>
  <c r="V432"/>
  <c r="R432"/>
  <c r="N432"/>
  <c r="J432"/>
  <c r="F432"/>
  <c r="K437"/>
  <c r="G437"/>
  <c r="AB437"/>
  <c r="L437"/>
  <c r="H437"/>
  <c r="D437"/>
  <c r="Q437"/>
  <c r="M437"/>
  <c r="I437"/>
  <c r="E437"/>
  <c r="R437"/>
  <c r="J437"/>
  <c r="F437"/>
  <c r="K442"/>
  <c r="G442"/>
  <c r="AB442"/>
  <c r="L442"/>
  <c r="H442"/>
  <c r="D442"/>
  <c r="Q442"/>
  <c r="M442"/>
  <c r="I442"/>
  <c r="E442"/>
  <c r="J442"/>
  <c r="F442"/>
  <c r="K449"/>
  <c r="G449"/>
  <c r="AB449"/>
  <c r="L449"/>
  <c r="H449"/>
  <c r="D449"/>
  <c r="Q449"/>
  <c r="M449"/>
  <c r="I449"/>
  <c r="E449"/>
  <c r="R449"/>
  <c r="J449"/>
  <c r="F449"/>
  <c r="S462"/>
  <c r="O462"/>
  <c r="K462"/>
  <c r="G462"/>
  <c r="AB462"/>
  <c r="P462"/>
  <c r="L462"/>
  <c r="H462"/>
  <c r="D462"/>
  <c r="Q462"/>
  <c r="M462"/>
  <c r="I462"/>
  <c r="E462"/>
  <c r="R462"/>
  <c r="N462"/>
  <c r="J462"/>
  <c r="F462"/>
  <c r="W14" i="71"/>
  <c r="S14"/>
  <c r="O14"/>
  <c r="K14"/>
  <c r="G14"/>
  <c r="AB14"/>
  <c r="X14"/>
  <c r="T14"/>
  <c r="P14"/>
  <c r="L14"/>
  <c r="H14"/>
  <c r="D14"/>
  <c r="U14"/>
  <c r="Q14"/>
  <c r="M14"/>
  <c r="I14"/>
  <c r="E14"/>
  <c r="V14"/>
  <c r="R14"/>
  <c r="N14"/>
  <c r="J14"/>
  <c r="F14"/>
  <c r="AA18"/>
  <c r="W18"/>
  <c r="S18"/>
  <c r="O18"/>
  <c r="K18"/>
  <c r="G18"/>
  <c r="AB18"/>
  <c r="X18"/>
  <c r="T18"/>
  <c r="P18"/>
  <c r="L18"/>
  <c r="H18"/>
  <c r="D18"/>
  <c r="U18"/>
  <c r="Q18"/>
  <c r="M18"/>
  <c r="I18"/>
  <c r="E18"/>
  <c r="V18"/>
  <c r="R18"/>
  <c r="N18"/>
  <c r="J18"/>
  <c r="F18"/>
  <c r="K22"/>
  <c r="G22"/>
  <c r="AB22"/>
  <c r="L22"/>
  <c r="H22"/>
  <c r="D22"/>
  <c r="Q22"/>
  <c r="M22"/>
  <c r="I22"/>
  <c r="E22"/>
  <c r="J22"/>
  <c r="F22"/>
  <c r="W27"/>
  <c r="S27"/>
  <c r="O27"/>
  <c r="K27"/>
  <c r="G27"/>
  <c r="AB27"/>
  <c r="X27"/>
  <c r="T27"/>
  <c r="P27"/>
  <c r="L27"/>
  <c r="H27"/>
  <c r="D27"/>
  <c r="U27"/>
  <c r="Q27"/>
  <c r="M27"/>
  <c r="I27"/>
  <c r="E27"/>
  <c r="V27"/>
  <c r="R27"/>
  <c r="N27"/>
  <c r="J27"/>
  <c r="F27"/>
  <c r="S31"/>
  <c r="O31"/>
  <c r="K31"/>
  <c r="G31"/>
  <c r="AB31"/>
  <c r="T31"/>
  <c r="P31"/>
  <c r="L31"/>
  <c r="H31"/>
  <c r="D31"/>
  <c r="Q31"/>
  <c r="M31"/>
  <c r="I31"/>
  <c r="E31"/>
  <c r="R31"/>
  <c r="N31"/>
  <c r="J31"/>
  <c r="F31"/>
  <c r="S36"/>
  <c r="O36"/>
  <c r="K36"/>
  <c r="G36"/>
  <c r="AB36"/>
  <c r="P36"/>
  <c r="L36"/>
  <c r="H36"/>
  <c r="D36"/>
  <c r="Q36"/>
  <c r="M36"/>
  <c r="I36"/>
  <c r="E36"/>
  <c r="R36"/>
  <c r="N36"/>
  <c r="J36"/>
  <c r="F36"/>
  <c r="K40"/>
  <c r="G40"/>
  <c r="AB40"/>
  <c r="L40"/>
  <c r="H40"/>
  <c r="D40"/>
  <c r="Q40"/>
  <c r="M40"/>
  <c r="I40"/>
  <c r="E40"/>
  <c r="J40"/>
  <c r="F40"/>
  <c r="AA45"/>
  <c r="W45"/>
  <c r="S45"/>
  <c r="O45"/>
  <c r="K45"/>
  <c r="G45"/>
  <c r="AB45"/>
  <c r="X45"/>
  <c r="T45"/>
  <c r="P45"/>
  <c r="L45"/>
  <c r="H45"/>
  <c r="D45"/>
  <c r="U45"/>
  <c r="Q45"/>
  <c r="M45"/>
  <c r="I45"/>
  <c r="E45"/>
  <c r="V45"/>
  <c r="R45"/>
  <c r="N45"/>
  <c r="J45"/>
  <c r="F45"/>
  <c r="AA49"/>
  <c r="W49"/>
  <c r="S49"/>
  <c r="O49"/>
  <c r="K49"/>
  <c r="G49"/>
  <c r="AB49"/>
  <c r="X49"/>
  <c r="T49"/>
  <c r="P49"/>
  <c r="L49"/>
  <c r="H49"/>
  <c r="D49"/>
  <c r="U49"/>
  <c r="Q49"/>
  <c r="M49"/>
  <c r="I49"/>
  <c r="E49"/>
  <c r="V49"/>
  <c r="R49"/>
  <c r="N49"/>
  <c r="J49"/>
  <c r="F49"/>
  <c r="W53"/>
  <c r="S53"/>
  <c r="O53"/>
  <c r="K53"/>
  <c r="G53"/>
  <c r="AB53"/>
  <c r="X53"/>
  <c r="T53"/>
  <c r="P53"/>
  <c r="L53"/>
  <c r="H53"/>
  <c r="D53"/>
  <c r="U53"/>
  <c r="Q53"/>
  <c r="M53"/>
  <c r="I53"/>
  <c r="E53"/>
  <c r="V53"/>
  <c r="R53"/>
  <c r="N53"/>
  <c r="J53"/>
  <c r="F53"/>
  <c r="K58"/>
  <c r="G58"/>
  <c r="AB58"/>
  <c r="L58"/>
  <c r="H58"/>
  <c r="D58"/>
  <c r="Q58"/>
  <c r="M58"/>
  <c r="I58"/>
  <c r="E58"/>
  <c r="J58"/>
  <c r="F58"/>
  <c r="S62"/>
  <c r="O62"/>
  <c r="K62"/>
  <c r="G62"/>
  <c r="AB62"/>
  <c r="P62"/>
  <c r="L62"/>
  <c r="H62"/>
  <c r="D62"/>
  <c r="Q62"/>
  <c r="M62"/>
  <c r="I62"/>
  <c r="E62"/>
  <c r="R62"/>
  <c r="N62"/>
  <c r="J62"/>
  <c r="F62"/>
  <c r="K66"/>
  <c r="G66"/>
  <c r="AB66"/>
  <c r="L66"/>
  <c r="H66"/>
  <c r="D66"/>
  <c r="M66"/>
  <c r="I66"/>
  <c r="E66"/>
  <c r="J66"/>
  <c r="F66"/>
  <c r="K70"/>
  <c r="G70"/>
  <c r="AB70"/>
  <c r="L70"/>
  <c r="H70"/>
  <c r="D70"/>
  <c r="Q70"/>
  <c r="M70"/>
  <c r="I70"/>
  <c r="E70"/>
  <c r="J70"/>
  <c r="F70"/>
  <c r="S78"/>
  <c r="O78"/>
  <c r="K78"/>
  <c r="G78"/>
  <c r="AB78"/>
  <c r="T78"/>
  <c r="P78"/>
  <c r="L78"/>
  <c r="H78"/>
  <c r="D78"/>
  <c r="U78"/>
  <c r="Q78"/>
  <c r="M78"/>
  <c r="I78"/>
  <c r="E78"/>
  <c r="R78"/>
  <c r="N78"/>
  <c r="J78"/>
  <c r="F78"/>
  <c r="K82"/>
  <c r="G82"/>
  <c r="AB82"/>
  <c r="L82"/>
  <c r="H82"/>
  <c r="D82"/>
  <c r="Q82"/>
  <c r="M82"/>
  <c r="I82"/>
  <c r="E82"/>
  <c r="R82"/>
  <c r="J82"/>
  <c r="F82"/>
  <c r="K92"/>
  <c r="G92"/>
  <c r="L92"/>
  <c r="H92"/>
  <c r="D92"/>
  <c r="Q92"/>
  <c r="M92"/>
  <c r="I92"/>
  <c r="E92"/>
  <c r="R92"/>
  <c r="J92"/>
  <c r="F92"/>
  <c r="K96"/>
  <c r="G96"/>
  <c r="AB96"/>
  <c r="L96"/>
  <c r="H96"/>
  <c r="D96"/>
  <c r="Q96"/>
  <c r="M96"/>
  <c r="I96"/>
  <c r="E96"/>
  <c r="R96"/>
  <c r="J96"/>
  <c r="F96"/>
  <c r="S118"/>
  <c r="O118"/>
  <c r="K118"/>
  <c r="G118"/>
  <c r="P118"/>
  <c r="L118"/>
  <c r="H118"/>
  <c r="D118"/>
  <c r="Q118"/>
  <c r="M118"/>
  <c r="I118"/>
  <c r="E118"/>
  <c r="R118"/>
  <c r="N118"/>
  <c r="J118"/>
  <c r="F118"/>
  <c r="S122"/>
  <c r="O122"/>
  <c r="K122"/>
  <c r="G122"/>
  <c r="T122"/>
  <c r="P122"/>
  <c r="L122"/>
  <c r="H122"/>
  <c r="D122"/>
  <c r="Q122"/>
  <c r="M122"/>
  <c r="I122"/>
  <c r="E122"/>
  <c r="R122"/>
  <c r="N122"/>
  <c r="J122"/>
  <c r="F122"/>
  <c r="W126"/>
  <c r="S126"/>
  <c r="O126"/>
  <c r="K126"/>
  <c r="G126"/>
  <c r="T126"/>
  <c r="P126"/>
  <c r="L126"/>
  <c r="H126"/>
  <c r="D126"/>
  <c r="U126"/>
  <c r="Q126"/>
  <c r="M126"/>
  <c r="I126"/>
  <c r="E126"/>
  <c r="V126"/>
  <c r="R126"/>
  <c r="N126"/>
  <c r="J126"/>
  <c r="F126"/>
  <c r="S144"/>
  <c r="O144"/>
  <c r="K144"/>
  <c r="G144"/>
  <c r="AB144"/>
  <c r="T144"/>
  <c r="P144"/>
  <c r="L144"/>
  <c r="H144"/>
  <c r="D144"/>
  <c r="U144"/>
  <c r="Q144"/>
  <c r="M144"/>
  <c r="I144"/>
  <c r="E144"/>
  <c r="R144"/>
  <c r="N144"/>
  <c r="J144"/>
  <c r="F144"/>
  <c r="K148"/>
  <c r="G148"/>
  <c r="AB148"/>
  <c r="L148"/>
  <c r="H148"/>
  <c r="D148"/>
  <c r="Q148"/>
  <c r="M148"/>
  <c r="I148"/>
  <c r="E148"/>
  <c r="R148"/>
  <c r="J148"/>
  <c r="F148"/>
  <c r="S153"/>
  <c r="O153"/>
  <c r="K153"/>
  <c r="G153"/>
  <c r="AB153"/>
  <c r="T153"/>
  <c r="P153"/>
  <c r="L153"/>
  <c r="H153"/>
  <c r="D153"/>
  <c r="Q153"/>
  <c r="M153"/>
  <c r="I153"/>
  <c r="E153"/>
  <c r="R153"/>
  <c r="N153"/>
  <c r="J153"/>
  <c r="F153"/>
  <c r="S194"/>
  <c r="K194"/>
  <c r="G194"/>
  <c r="L194"/>
  <c r="H194"/>
  <c r="D194"/>
  <c r="Q194"/>
  <c r="M194"/>
  <c r="I194"/>
  <c r="E194"/>
  <c r="R194"/>
  <c r="N194"/>
  <c r="J194"/>
  <c r="F194"/>
  <c r="S198"/>
  <c r="O198"/>
  <c r="K198"/>
  <c r="G198"/>
  <c r="P198"/>
  <c r="L198"/>
  <c r="H198"/>
  <c r="D198"/>
  <c r="Q198"/>
  <c r="M198"/>
  <c r="I198"/>
  <c r="E198"/>
  <c r="R198"/>
  <c r="N198"/>
  <c r="J198"/>
  <c r="F198"/>
  <c r="S202"/>
  <c r="K202"/>
  <c r="G202"/>
  <c r="AB202"/>
  <c r="L202"/>
  <c r="H202"/>
  <c r="D202"/>
  <c r="Q202"/>
  <c r="M202"/>
  <c r="I202"/>
  <c r="E202"/>
  <c r="R202"/>
  <c r="N202"/>
  <c r="J202"/>
  <c r="F202"/>
  <c r="S206"/>
  <c r="O206"/>
  <c r="K206"/>
  <c r="G206"/>
  <c r="AB206"/>
  <c r="P206"/>
  <c r="L206"/>
  <c r="H206"/>
  <c r="D206"/>
  <c r="Q206"/>
  <c r="M206"/>
  <c r="I206"/>
  <c r="E206"/>
  <c r="R206"/>
  <c r="N206"/>
  <c r="J206"/>
  <c r="F206"/>
  <c r="S210"/>
  <c r="O210"/>
  <c r="K210"/>
  <c r="G210"/>
  <c r="AB210"/>
  <c r="P210"/>
  <c r="L210"/>
  <c r="H210"/>
  <c r="D210"/>
  <c r="Q210"/>
  <c r="M210"/>
  <c r="I210"/>
  <c r="E210"/>
  <c r="R210"/>
  <c r="N210"/>
  <c r="J210"/>
  <c r="F210"/>
  <c r="S215"/>
  <c r="O215"/>
  <c r="K215"/>
  <c r="G215"/>
  <c r="P215"/>
  <c r="L215"/>
  <c r="H215"/>
  <c r="D215"/>
  <c r="Q215"/>
  <c r="M215"/>
  <c r="I215"/>
  <c r="E215"/>
  <c r="R215"/>
  <c r="N215"/>
  <c r="J215"/>
  <c r="F215"/>
  <c r="S219"/>
  <c r="O219"/>
  <c r="K219"/>
  <c r="G219"/>
  <c r="AB219"/>
  <c r="P219"/>
  <c r="L219"/>
  <c r="H219"/>
  <c r="D219"/>
  <c r="Q219"/>
  <c r="M219"/>
  <c r="I219"/>
  <c r="E219"/>
  <c r="R219"/>
  <c r="N219"/>
  <c r="J219"/>
  <c r="F219"/>
  <c r="Q240"/>
  <c r="M240"/>
  <c r="I240"/>
  <c r="E240"/>
  <c r="O240"/>
  <c r="J240"/>
  <c r="D240"/>
  <c r="P240"/>
  <c r="K240"/>
  <c r="F240"/>
  <c r="R240"/>
  <c r="L240"/>
  <c r="G240"/>
  <c r="S240"/>
  <c r="N240"/>
  <c r="H240"/>
  <c r="Q244"/>
  <c r="M244"/>
  <c r="I244"/>
  <c r="E244"/>
  <c r="S244"/>
  <c r="N244"/>
  <c r="H244"/>
  <c r="O244"/>
  <c r="J244"/>
  <c r="D244"/>
  <c r="P244"/>
  <c r="K244"/>
  <c r="F244"/>
  <c r="AB244"/>
  <c r="R244"/>
  <c r="L244"/>
  <c r="G244"/>
  <c r="AB248"/>
  <c r="Q248"/>
  <c r="M248"/>
  <c r="I248"/>
  <c r="E248"/>
  <c r="L248"/>
  <c r="G248"/>
  <c r="H248"/>
  <c r="J248"/>
  <c r="D248"/>
  <c r="K248"/>
  <c r="F248"/>
  <c r="R252"/>
  <c r="N252"/>
  <c r="J252"/>
  <c r="F252"/>
  <c r="S252"/>
  <c r="O252"/>
  <c r="K252"/>
  <c r="G252"/>
  <c r="T252"/>
  <c r="P252"/>
  <c r="L252"/>
  <c r="H252"/>
  <c r="D252"/>
  <c r="Q252"/>
  <c r="M252"/>
  <c r="I252"/>
  <c r="E252"/>
  <c r="J256"/>
  <c r="F256"/>
  <c r="K256"/>
  <c r="G256"/>
  <c r="AB256"/>
  <c r="L256"/>
  <c r="H256"/>
  <c r="D256"/>
  <c r="M256"/>
  <c r="I256"/>
  <c r="E256"/>
  <c r="R355"/>
  <c r="J355"/>
  <c r="F355"/>
  <c r="K355"/>
  <c r="G355"/>
  <c r="L355"/>
  <c r="H355"/>
  <c r="D355"/>
  <c r="M355"/>
  <c r="I355"/>
  <c r="E355"/>
  <c r="R363"/>
  <c r="N363"/>
  <c r="J363"/>
  <c r="F363"/>
  <c r="S363"/>
  <c r="O363"/>
  <c r="K363"/>
  <c r="G363"/>
  <c r="P363"/>
  <c r="L363"/>
  <c r="H363"/>
  <c r="D363"/>
  <c r="Q363"/>
  <c r="M363"/>
  <c r="I363"/>
  <c r="E363"/>
  <c r="V368"/>
  <c r="R368"/>
  <c r="N368"/>
  <c r="J368"/>
  <c r="F368"/>
  <c r="W368"/>
  <c r="S368"/>
  <c r="O368"/>
  <c r="K368"/>
  <c r="G368"/>
  <c r="AB368"/>
  <c r="X368"/>
  <c r="T368"/>
  <c r="P368"/>
  <c r="L368"/>
  <c r="H368"/>
  <c r="D368"/>
  <c r="U368"/>
  <c r="Q368"/>
  <c r="M368"/>
  <c r="I368"/>
  <c r="E368"/>
  <c r="R374"/>
  <c r="N374"/>
  <c r="J374"/>
  <c r="F374"/>
  <c r="S374"/>
  <c r="O374"/>
  <c r="K374"/>
  <c r="G374"/>
  <c r="AB374"/>
  <c r="P374"/>
  <c r="L374"/>
  <c r="H374"/>
  <c r="D374"/>
  <c r="Q374"/>
  <c r="M374"/>
  <c r="I374"/>
  <c r="E374"/>
  <c r="R386"/>
  <c r="N386"/>
  <c r="J386"/>
  <c r="F386"/>
  <c r="S386"/>
  <c r="O386"/>
  <c r="K386"/>
  <c r="G386"/>
  <c r="T386"/>
  <c r="P386"/>
  <c r="L386"/>
  <c r="H386"/>
  <c r="D386"/>
  <c r="Q386"/>
  <c r="M386"/>
  <c r="I386"/>
  <c r="E386"/>
  <c r="V401"/>
  <c r="R401"/>
  <c r="N401"/>
  <c r="J401"/>
  <c r="F401"/>
  <c r="W401"/>
  <c r="S401"/>
  <c r="O401"/>
  <c r="K401"/>
  <c r="G401"/>
  <c r="AB401"/>
  <c r="T401"/>
  <c r="P401"/>
  <c r="L401"/>
  <c r="H401"/>
  <c r="D401"/>
  <c r="U401"/>
  <c r="Q401"/>
  <c r="M401"/>
  <c r="I401"/>
  <c r="E401"/>
  <c r="V406"/>
  <c r="R406"/>
  <c r="N406"/>
  <c r="J406"/>
  <c r="F406"/>
  <c r="W406"/>
  <c r="S406"/>
  <c r="O406"/>
  <c r="K406"/>
  <c r="G406"/>
  <c r="AB406"/>
  <c r="X406"/>
  <c r="T406"/>
  <c r="P406"/>
  <c r="L406"/>
  <c r="H406"/>
  <c r="D406"/>
  <c r="U406"/>
  <c r="Q406"/>
  <c r="M406"/>
  <c r="I406"/>
  <c r="E406"/>
  <c r="V411"/>
  <c r="R411"/>
  <c r="N411"/>
  <c r="J411"/>
  <c r="F411"/>
  <c r="W411"/>
  <c r="S411"/>
  <c r="O411"/>
  <c r="K411"/>
  <c r="G411"/>
  <c r="AB411"/>
  <c r="X411"/>
  <c r="T411"/>
  <c r="P411"/>
  <c r="L411"/>
  <c r="H411"/>
  <c r="D411"/>
  <c r="U411"/>
  <c r="Q411"/>
  <c r="M411"/>
  <c r="I411"/>
  <c r="E411"/>
  <c r="R415"/>
  <c r="N415"/>
  <c r="J415"/>
  <c r="F415"/>
  <c r="S415"/>
  <c r="O415"/>
  <c r="K415"/>
  <c r="G415"/>
  <c r="AB415"/>
  <c r="P415"/>
  <c r="L415"/>
  <c r="H415"/>
  <c r="D415"/>
  <c r="Q415"/>
  <c r="M415"/>
  <c r="I415"/>
  <c r="E415"/>
  <c r="R420"/>
  <c r="N420"/>
  <c r="J420"/>
  <c r="F420"/>
  <c r="S420"/>
  <c r="O420"/>
  <c r="K420"/>
  <c r="G420"/>
  <c r="AB420"/>
  <c r="P420"/>
  <c r="L420"/>
  <c r="H420"/>
  <c r="D420"/>
  <c r="Q420"/>
  <c r="M420"/>
  <c r="I420"/>
  <c r="E420"/>
  <c r="R425"/>
  <c r="N425"/>
  <c r="J425"/>
  <c r="F425"/>
  <c r="S425"/>
  <c r="O425"/>
  <c r="K425"/>
  <c r="G425"/>
  <c r="AB425"/>
  <c r="P425"/>
  <c r="L425"/>
  <c r="H425"/>
  <c r="D425"/>
  <c r="Q425"/>
  <c r="M425"/>
  <c r="I425"/>
  <c r="E425"/>
  <c r="R429"/>
  <c r="N429"/>
  <c r="J429"/>
  <c r="F429"/>
  <c r="W429"/>
  <c r="S429"/>
  <c r="O429"/>
  <c r="K429"/>
  <c r="G429"/>
  <c r="AB429"/>
  <c r="T429"/>
  <c r="P429"/>
  <c r="L429"/>
  <c r="H429"/>
  <c r="D429"/>
  <c r="Q429"/>
  <c r="M429"/>
  <c r="I429"/>
  <c r="E429"/>
  <c r="R434"/>
  <c r="N434"/>
  <c r="J434"/>
  <c r="F434"/>
  <c r="S434"/>
  <c r="O434"/>
  <c r="K434"/>
  <c r="G434"/>
  <c r="AB434"/>
  <c r="P434"/>
  <c r="L434"/>
  <c r="H434"/>
  <c r="D434"/>
  <c r="Q434"/>
  <c r="M434"/>
  <c r="I434"/>
  <c r="E434"/>
  <c r="V438"/>
  <c r="R438"/>
  <c r="N438"/>
  <c r="J438"/>
  <c r="F438"/>
  <c r="W438"/>
  <c r="S438"/>
  <c r="O438"/>
  <c r="K438"/>
  <c r="G438"/>
  <c r="AB438"/>
  <c r="X438"/>
  <c r="T438"/>
  <c r="P438"/>
  <c r="L438"/>
  <c r="H438"/>
  <c r="D438"/>
  <c r="U438"/>
  <c r="Q438"/>
  <c r="M438"/>
  <c r="I438"/>
  <c r="E438"/>
  <c r="R443"/>
  <c r="N443"/>
  <c r="J443"/>
  <c r="F443"/>
  <c r="S443"/>
  <c r="O443"/>
  <c r="K443"/>
  <c r="G443"/>
  <c r="AB443"/>
  <c r="T443"/>
  <c r="P443"/>
  <c r="L443"/>
  <c r="H443"/>
  <c r="D443"/>
  <c r="Q443"/>
  <c r="M443"/>
  <c r="I443"/>
  <c r="E443"/>
  <c r="V455"/>
  <c r="R455"/>
  <c r="N455"/>
  <c r="J455"/>
  <c r="F455"/>
  <c r="W455"/>
  <c r="S455"/>
  <c r="O455"/>
  <c r="K455"/>
  <c r="G455"/>
  <c r="AB455"/>
  <c r="T455"/>
  <c r="P455"/>
  <c r="L455"/>
  <c r="H455"/>
  <c r="D455"/>
  <c r="U455"/>
  <c r="Q455"/>
  <c r="M455"/>
  <c r="I455"/>
  <c r="E455"/>
  <c r="R11" i="72"/>
  <c r="J11"/>
  <c r="F11"/>
  <c r="K11"/>
  <c r="G11"/>
  <c r="L11"/>
  <c r="H11"/>
  <c r="D11"/>
  <c r="M11"/>
  <c r="I11"/>
  <c r="E11"/>
  <c r="V15"/>
  <c r="R15"/>
  <c r="N15"/>
  <c r="J15"/>
  <c r="F15"/>
  <c r="W15"/>
  <c r="S15"/>
  <c r="O15"/>
  <c r="K15"/>
  <c r="G15"/>
  <c r="X15"/>
  <c r="T15"/>
  <c r="P15"/>
  <c r="L15"/>
  <c r="H15"/>
  <c r="D15"/>
  <c r="U15"/>
  <c r="Q15"/>
  <c r="M15"/>
  <c r="I15"/>
  <c r="E15"/>
  <c r="R19"/>
  <c r="N19"/>
  <c r="J19"/>
  <c r="F19"/>
  <c r="S19"/>
  <c r="O19"/>
  <c r="K19"/>
  <c r="G19"/>
  <c r="P19"/>
  <c r="L19"/>
  <c r="H19"/>
  <c r="D19"/>
  <c r="Q19"/>
  <c r="M19"/>
  <c r="I19"/>
  <c r="E19"/>
  <c r="R23"/>
  <c r="J23"/>
  <c r="F23"/>
  <c r="K23"/>
  <c r="G23"/>
  <c r="L23"/>
  <c r="H23"/>
  <c r="D23"/>
  <c r="Q23"/>
  <c r="M23"/>
  <c r="I23"/>
  <c r="E23"/>
  <c r="R28"/>
  <c r="N28"/>
  <c r="J28"/>
  <c r="F28"/>
  <c r="S28"/>
  <c r="O28"/>
  <c r="K28"/>
  <c r="G28"/>
  <c r="P28"/>
  <c r="L28"/>
  <c r="H28"/>
  <c r="D28"/>
  <c r="Q28"/>
  <c r="M28"/>
  <c r="I28"/>
  <c r="E28"/>
  <c r="R32"/>
  <c r="N32"/>
  <c r="J32"/>
  <c r="F32"/>
  <c r="S32"/>
  <c r="O32"/>
  <c r="K32"/>
  <c r="G32"/>
  <c r="P32"/>
  <c r="L32"/>
  <c r="H32"/>
  <c r="D32"/>
  <c r="Q32"/>
  <c r="M32"/>
  <c r="I32"/>
  <c r="E32"/>
  <c r="R37"/>
  <c r="N37"/>
  <c r="J37"/>
  <c r="F37"/>
  <c r="S37"/>
  <c r="O37"/>
  <c r="K37"/>
  <c r="G37"/>
  <c r="P37"/>
  <c r="L37"/>
  <c r="H37"/>
  <c r="D37"/>
  <c r="Q37"/>
  <c r="M37"/>
  <c r="I37"/>
  <c r="E37"/>
  <c r="V41"/>
  <c r="R41"/>
  <c r="N41"/>
  <c r="J41"/>
  <c r="F41"/>
  <c r="W41"/>
  <c r="S41"/>
  <c r="O41"/>
  <c r="K41"/>
  <c r="G41"/>
  <c r="X41"/>
  <c r="T41"/>
  <c r="P41"/>
  <c r="L41"/>
  <c r="H41"/>
  <c r="D41"/>
  <c r="U41"/>
  <c r="Q41"/>
  <c r="M41"/>
  <c r="I41"/>
  <c r="E41"/>
  <c r="V46"/>
  <c r="R46"/>
  <c r="N46"/>
  <c r="J46"/>
  <c r="F46"/>
  <c r="W46"/>
  <c r="S46"/>
  <c r="O46"/>
  <c r="K46"/>
  <c r="G46"/>
  <c r="X46"/>
  <c r="T46"/>
  <c r="P46"/>
  <c r="L46"/>
  <c r="H46"/>
  <c r="D46"/>
  <c r="U46"/>
  <c r="Q46"/>
  <c r="M46"/>
  <c r="I46"/>
  <c r="E46"/>
  <c r="V50"/>
  <c r="R50"/>
  <c r="N50"/>
  <c r="J50"/>
  <c r="F50"/>
  <c r="W50"/>
  <c r="S50"/>
  <c r="O50"/>
  <c r="K50"/>
  <c r="G50"/>
  <c r="X50"/>
  <c r="T50"/>
  <c r="P50"/>
  <c r="L50"/>
  <c r="H50"/>
  <c r="D50"/>
  <c r="U50"/>
  <c r="Q50"/>
  <c r="M50"/>
  <c r="I50"/>
  <c r="E50"/>
  <c r="V54"/>
  <c r="R54"/>
  <c r="N54"/>
  <c r="J54"/>
  <c r="F54"/>
  <c r="W54"/>
  <c r="S54"/>
  <c r="O54"/>
  <c r="K54"/>
  <c r="G54"/>
  <c r="X54"/>
  <c r="T54"/>
  <c r="P54"/>
  <c r="L54"/>
  <c r="H54"/>
  <c r="D54"/>
  <c r="U54"/>
  <c r="Q54"/>
  <c r="M54"/>
  <c r="I54"/>
  <c r="E54"/>
  <c r="R59"/>
  <c r="N59"/>
  <c r="J59"/>
  <c r="F59"/>
  <c r="S59"/>
  <c r="O59"/>
  <c r="K59"/>
  <c r="G59"/>
  <c r="P59"/>
  <c r="L59"/>
  <c r="H59"/>
  <c r="D59"/>
  <c r="Q59"/>
  <c r="M59"/>
  <c r="I59"/>
  <c r="E59"/>
  <c r="V63"/>
  <c r="R63"/>
  <c r="N63"/>
  <c r="J63"/>
  <c r="F63"/>
  <c r="W63"/>
  <c r="S63"/>
  <c r="O63"/>
  <c r="K63"/>
  <c r="G63"/>
  <c r="T63"/>
  <c r="P63"/>
  <c r="L63"/>
  <c r="H63"/>
  <c r="D63"/>
  <c r="U63"/>
  <c r="Q63"/>
  <c r="M63"/>
  <c r="I63"/>
  <c r="E63"/>
  <c r="J67"/>
  <c r="F67"/>
  <c r="K67"/>
  <c r="G67"/>
  <c r="L67"/>
  <c r="H67"/>
  <c r="D67"/>
  <c r="Q67"/>
  <c r="M67"/>
  <c r="I67"/>
  <c r="E67"/>
  <c r="V71"/>
  <c r="R71"/>
  <c r="N71"/>
  <c r="J71"/>
  <c r="F71"/>
  <c r="W71"/>
  <c r="S71"/>
  <c r="O71"/>
  <c r="K71"/>
  <c r="G71"/>
  <c r="X71"/>
  <c r="T71"/>
  <c r="P71"/>
  <c r="L71"/>
  <c r="H71"/>
  <c r="D71"/>
  <c r="U71"/>
  <c r="Q71"/>
  <c r="M71"/>
  <c r="I71"/>
  <c r="E71"/>
  <c r="R79"/>
  <c r="N79"/>
  <c r="J79"/>
  <c r="F79"/>
  <c r="S79"/>
  <c r="O79"/>
  <c r="K79"/>
  <c r="G79"/>
  <c r="P79"/>
  <c r="L79"/>
  <c r="H79"/>
  <c r="D79"/>
  <c r="Q79"/>
  <c r="M79"/>
  <c r="I79"/>
  <c r="E79"/>
  <c r="R89"/>
  <c r="N89"/>
  <c r="J89"/>
  <c r="F89"/>
  <c r="S89"/>
  <c r="O89"/>
  <c r="K89"/>
  <c r="G89"/>
  <c r="P89"/>
  <c r="L89"/>
  <c r="H89"/>
  <c r="D89"/>
  <c r="Q89"/>
  <c r="M89"/>
  <c r="I89"/>
  <c r="E89"/>
  <c r="R93"/>
  <c r="N93"/>
  <c r="J93"/>
  <c r="F93"/>
  <c r="S93"/>
  <c r="O93"/>
  <c r="K93"/>
  <c r="G93"/>
  <c r="P93"/>
  <c r="L93"/>
  <c r="H93"/>
  <c r="D93"/>
  <c r="Q93"/>
  <c r="M93"/>
  <c r="I93"/>
  <c r="E93"/>
  <c r="S97"/>
  <c r="O97"/>
  <c r="K97"/>
  <c r="G97"/>
  <c r="P97"/>
  <c r="J97"/>
  <c r="E97"/>
  <c r="Q97"/>
  <c r="L97"/>
  <c r="F97"/>
  <c r="R97"/>
  <c r="M97"/>
  <c r="H97"/>
  <c r="N97"/>
  <c r="I97"/>
  <c r="D97"/>
  <c r="S119"/>
  <c r="O119"/>
  <c r="K119"/>
  <c r="G119"/>
  <c r="N119"/>
  <c r="I119"/>
  <c r="D119"/>
  <c r="P119"/>
  <c r="J119"/>
  <c r="E119"/>
  <c r="Q119"/>
  <c r="L119"/>
  <c r="F119"/>
  <c r="R119"/>
  <c r="M119"/>
  <c r="H119"/>
  <c r="P123"/>
  <c r="L123"/>
  <c r="H123"/>
  <c r="D123"/>
  <c r="Q123"/>
  <c r="M123"/>
  <c r="I123"/>
  <c r="E123"/>
  <c r="R123"/>
  <c r="N123"/>
  <c r="J123"/>
  <c r="F123"/>
  <c r="S123"/>
  <c r="O123"/>
  <c r="K123"/>
  <c r="G123"/>
  <c r="AB128"/>
  <c r="P128"/>
  <c r="L128"/>
  <c r="H128"/>
  <c r="D128"/>
  <c r="Q128"/>
  <c r="M128"/>
  <c r="I128"/>
  <c r="E128"/>
  <c r="R128"/>
  <c r="N128"/>
  <c r="J128"/>
  <c r="F128"/>
  <c r="S128"/>
  <c r="O128"/>
  <c r="K128"/>
  <c r="G128"/>
  <c r="P145"/>
  <c r="L145"/>
  <c r="H145"/>
  <c r="D145"/>
  <c r="Q145"/>
  <c r="M145"/>
  <c r="I145"/>
  <c r="E145"/>
  <c r="R145"/>
  <c r="N145"/>
  <c r="J145"/>
  <c r="F145"/>
  <c r="S145"/>
  <c r="O145"/>
  <c r="K145"/>
  <c r="G145"/>
  <c r="T149"/>
  <c r="P149"/>
  <c r="L149"/>
  <c r="H149"/>
  <c r="D149"/>
  <c r="U149"/>
  <c r="Q149"/>
  <c r="M149"/>
  <c r="I149"/>
  <c r="E149"/>
  <c r="R149"/>
  <c r="N149"/>
  <c r="J149"/>
  <c r="F149"/>
  <c r="S149"/>
  <c r="O149"/>
  <c r="K149"/>
  <c r="G149"/>
  <c r="T191"/>
  <c r="P191"/>
  <c r="L191"/>
  <c r="H191"/>
  <c r="D191"/>
  <c r="Q191"/>
  <c r="M191"/>
  <c r="I191"/>
  <c r="E191"/>
  <c r="R191"/>
  <c r="N191"/>
  <c r="J191"/>
  <c r="F191"/>
  <c r="S191"/>
  <c r="O191"/>
  <c r="K191"/>
  <c r="G191"/>
  <c r="P195"/>
  <c r="L195"/>
  <c r="H195"/>
  <c r="D195"/>
  <c r="Q195"/>
  <c r="M195"/>
  <c r="I195"/>
  <c r="E195"/>
  <c r="R195"/>
  <c r="N195"/>
  <c r="J195"/>
  <c r="F195"/>
  <c r="S195"/>
  <c r="O195"/>
  <c r="K195"/>
  <c r="G195"/>
  <c r="P199"/>
  <c r="L199"/>
  <c r="H199"/>
  <c r="D199"/>
  <c r="Q199"/>
  <c r="M199"/>
  <c r="I199"/>
  <c r="E199"/>
  <c r="R199"/>
  <c r="N199"/>
  <c r="J199"/>
  <c r="F199"/>
  <c r="S199"/>
  <c r="O199"/>
  <c r="K199"/>
  <c r="G199"/>
  <c r="L203"/>
  <c r="H203"/>
  <c r="D203"/>
  <c r="Q203"/>
  <c r="M203"/>
  <c r="I203"/>
  <c r="E203"/>
  <c r="R203"/>
  <c r="N203"/>
  <c r="J203"/>
  <c r="F203"/>
  <c r="S203"/>
  <c r="K203"/>
  <c r="G203"/>
  <c r="T207"/>
  <c r="P207"/>
  <c r="L207"/>
  <c r="H207"/>
  <c r="D207"/>
  <c r="Q207"/>
  <c r="M207"/>
  <c r="I207"/>
  <c r="E207"/>
  <c r="R207"/>
  <c r="N207"/>
  <c r="J207"/>
  <c r="F207"/>
  <c r="S207"/>
  <c r="O207"/>
  <c r="K207"/>
  <c r="G207"/>
  <c r="P211"/>
  <c r="L211"/>
  <c r="H211"/>
  <c r="D211"/>
  <c r="Q211"/>
  <c r="M211"/>
  <c r="I211"/>
  <c r="E211"/>
  <c r="R211"/>
  <c r="N211"/>
  <c r="J211"/>
  <c r="F211"/>
  <c r="S211"/>
  <c r="O211"/>
  <c r="K211"/>
  <c r="G211"/>
  <c r="T216"/>
  <c r="P216"/>
  <c r="L216"/>
  <c r="H216"/>
  <c r="D216"/>
  <c r="Q216"/>
  <c r="M216"/>
  <c r="I216"/>
  <c r="E216"/>
  <c r="R216"/>
  <c r="N216"/>
  <c r="J216"/>
  <c r="F216"/>
  <c r="S216"/>
  <c r="O216"/>
  <c r="K216"/>
  <c r="G216"/>
  <c r="T220"/>
  <c r="P220"/>
  <c r="L220"/>
  <c r="H220"/>
  <c r="D220"/>
  <c r="Q220"/>
  <c r="M220"/>
  <c r="I220"/>
  <c r="E220"/>
  <c r="R220"/>
  <c r="N220"/>
  <c r="J220"/>
  <c r="F220"/>
  <c r="S220"/>
  <c r="O220"/>
  <c r="K220"/>
  <c r="G220"/>
  <c r="P241"/>
  <c r="L241"/>
  <c r="H241"/>
  <c r="D241"/>
  <c r="Q241"/>
  <c r="M241"/>
  <c r="I241"/>
  <c r="E241"/>
  <c r="R241"/>
  <c r="N241"/>
  <c r="J241"/>
  <c r="F241"/>
  <c r="S241"/>
  <c r="O241"/>
  <c r="K241"/>
  <c r="G241"/>
  <c r="P245"/>
  <c r="L245"/>
  <c r="H245"/>
  <c r="D245"/>
  <c r="Q245"/>
  <c r="M245"/>
  <c r="I245"/>
  <c r="E245"/>
  <c r="R245"/>
  <c r="N245"/>
  <c r="J245"/>
  <c r="F245"/>
  <c r="S245"/>
  <c r="O245"/>
  <c r="K245"/>
  <c r="G245"/>
  <c r="P249"/>
  <c r="L249"/>
  <c r="H249"/>
  <c r="D249"/>
  <c r="Q249"/>
  <c r="M249"/>
  <c r="I249"/>
  <c r="E249"/>
  <c r="R249"/>
  <c r="N249"/>
  <c r="J249"/>
  <c r="F249"/>
  <c r="S249"/>
  <c r="O249"/>
  <c r="K249"/>
  <c r="G249"/>
  <c r="P253"/>
  <c r="L253"/>
  <c r="H253"/>
  <c r="D253"/>
  <c r="Q253"/>
  <c r="M253"/>
  <c r="I253"/>
  <c r="E253"/>
  <c r="R253"/>
  <c r="N253"/>
  <c r="J253"/>
  <c r="F253"/>
  <c r="S253"/>
  <c r="O253"/>
  <c r="K253"/>
  <c r="G253"/>
  <c r="P257"/>
  <c r="L257"/>
  <c r="H257"/>
  <c r="D257"/>
  <c r="Q257"/>
  <c r="M257"/>
  <c r="I257"/>
  <c r="E257"/>
  <c r="R257"/>
  <c r="N257"/>
  <c r="J257"/>
  <c r="F257"/>
  <c r="S257"/>
  <c r="O257"/>
  <c r="K257"/>
  <c r="G257"/>
  <c r="P357"/>
  <c r="L357"/>
  <c r="H357"/>
  <c r="D357"/>
  <c r="Q357"/>
  <c r="M357"/>
  <c r="I357"/>
  <c r="E357"/>
  <c r="R357"/>
  <c r="N357"/>
  <c r="J357"/>
  <c r="F357"/>
  <c r="S357"/>
  <c r="O357"/>
  <c r="K357"/>
  <c r="G357"/>
  <c r="P364"/>
  <c r="L364"/>
  <c r="H364"/>
  <c r="D364"/>
  <c r="Q364"/>
  <c r="M364"/>
  <c r="I364"/>
  <c r="E364"/>
  <c r="R364"/>
  <c r="N364"/>
  <c r="J364"/>
  <c r="F364"/>
  <c r="S364"/>
  <c r="O364"/>
  <c r="K364"/>
  <c r="G364"/>
  <c r="P371"/>
  <c r="L371"/>
  <c r="H371"/>
  <c r="D371"/>
  <c r="Q371"/>
  <c r="M371"/>
  <c r="I371"/>
  <c r="E371"/>
  <c r="R371"/>
  <c r="N371"/>
  <c r="J371"/>
  <c r="F371"/>
  <c r="S371"/>
  <c r="O371"/>
  <c r="K371"/>
  <c r="G371"/>
  <c r="P376"/>
  <c r="L376"/>
  <c r="H376"/>
  <c r="D376"/>
  <c r="Q376"/>
  <c r="M376"/>
  <c r="I376"/>
  <c r="E376"/>
  <c r="R376"/>
  <c r="N376"/>
  <c r="J376"/>
  <c r="F376"/>
  <c r="S376"/>
  <c r="O376"/>
  <c r="K376"/>
  <c r="G376"/>
  <c r="T388"/>
  <c r="P388"/>
  <c r="L388"/>
  <c r="H388"/>
  <c r="D388"/>
  <c r="Q388"/>
  <c r="M388"/>
  <c r="I388"/>
  <c r="E388"/>
  <c r="V388"/>
  <c r="R388"/>
  <c r="N388"/>
  <c r="J388"/>
  <c r="F388"/>
  <c r="W388"/>
  <c r="S388"/>
  <c r="O388"/>
  <c r="K388"/>
  <c r="G388"/>
  <c r="P402"/>
  <c r="L402"/>
  <c r="H402"/>
  <c r="D402"/>
  <c r="Q402"/>
  <c r="M402"/>
  <c r="I402"/>
  <c r="E402"/>
  <c r="R402"/>
  <c r="N402"/>
  <c r="J402"/>
  <c r="F402"/>
  <c r="S402"/>
  <c r="O402"/>
  <c r="K402"/>
  <c r="G402"/>
  <c r="AB407"/>
  <c r="P407"/>
  <c r="L407"/>
  <c r="H407"/>
  <c r="D407"/>
  <c r="Q407"/>
  <c r="M407"/>
  <c r="I407"/>
  <c r="E407"/>
  <c r="R407"/>
  <c r="N407"/>
  <c r="J407"/>
  <c r="F407"/>
  <c r="S407"/>
  <c r="O407"/>
  <c r="K407"/>
  <c r="G407"/>
  <c r="P412"/>
  <c r="L412"/>
  <c r="H412"/>
  <c r="D412"/>
  <c r="Q412"/>
  <c r="M412"/>
  <c r="I412"/>
  <c r="E412"/>
  <c r="R412"/>
  <c r="N412"/>
  <c r="J412"/>
  <c r="F412"/>
  <c r="S412"/>
  <c r="O412"/>
  <c r="K412"/>
  <c r="G412"/>
  <c r="AB416"/>
  <c r="P416"/>
  <c r="L416"/>
  <c r="H416"/>
  <c r="D416"/>
  <c r="Q416"/>
  <c r="M416"/>
  <c r="I416"/>
  <c r="E416"/>
  <c r="R416"/>
  <c r="N416"/>
  <c r="J416"/>
  <c r="F416"/>
  <c r="S416"/>
  <c r="O416"/>
  <c r="K416"/>
  <c r="G416"/>
  <c r="P421"/>
  <c r="L421"/>
  <c r="H421"/>
  <c r="D421"/>
  <c r="Q421"/>
  <c r="M421"/>
  <c r="I421"/>
  <c r="E421"/>
  <c r="R421"/>
  <c r="N421"/>
  <c r="J421"/>
  <c r="F421"/>
  <c r="S421"/>
  <c r="O421"/>
  <c r="K421"/>
  <c r="G421"/>
  <c r="L426"/>
  <c r="H426"/>
  <c r="D426"/>
  <c r="Q426"/>
  <c r="M426"/>
  <c r="I426"/>
  <c r="E426"/>
  <c r="R426"/>
  <c r="J426"/>
  <c r="F426"/>
  <c r="K426"/>
  <c r="G426"/>
  <c r="T430"/>
  <c r="P430"/>
  <c r="L430"/>
  <c r="H430"/>
  <c r="D430"/>
  <c r="U430"/>
  <c r="Q430"/>
  <c r="M430"/>
  <c r="I430"/>
  <c r="E430"/>
  <c r="V430"/>
  <c r="R430"/>
  <c r="N430"/>
  <c r="J430"/>
  <c r="F430"/>
  <c r="W430"/>
  <c r="S430"/>
  <c r="O430"/>
  <c r="K430"/>
  <c r="G430"/>
  <c r="AB435"/>
  <c r="P435"/>
  <c r="L435"/>
  <c r="H435"/>
  <c r="D435"/>
  <c r="Q435"/>
  <c r="M435"/>
  <c r="I435"/>
  <c r="E435"/>
  <c r="R435"/>
  <c r="N435"/>
  <c r="J435"/>
  <c r="F435"/>
  <c r="S435"/>
  <c r="O435"/>
  <c r="K435"/>
  <c r="G435"/>
  <c r="AB439"/>
  <c r="P439"/>
  <c r="L439"/>
  <c r="H439"/>
  <c r="D439"/>
  <c r="Q439"/>
  <c r="M439"/>
  <c r="I439"/>
  <c r="E439"/>
  <c r="R439"/>
  <c r="N439"/>
  <c r="J439"/>
  <c r="F439"/>
  <c r="S439"/>
  <c r="O439"/>
  <c r="K439"/>
  <c r="G439"/>
  <c r="T444"/>
  <c r="P444"/>
  <c r="L444"/>
  <c r="H444"/>
  <c r="D444"/>
  <c r="Q444"/>
  <c r="M444"/>
  <c r="I444"/>
  <c r="E444"/>
  <c r="R444"/>
  <c r="N444"/>
  <c r="J444"/>
  <c r="F444"/>
  <c r="S444"/>
  <c r="O444"/>
  <c r="K444"/>
  <c r="G444"/>
  <c r="T457"/>
  <c r="P457"/>
  <c r="L457"/>
  <c r="H457"/>
  <c r="D457"/>
  <c r="U457"/>
  <c r="Q457"/>
  <c r="M457"/>
  <c r="I457"/>
  <c r="E457"/>
  <c r="V457"/>
  <c r="R457"/>
  <c r="N457"/>
  <c r="J457"/>
  <c r="F457"/>
  <c r="W457"/>
  <c r="S457"/>
  <c r="O457"/>
  <c r="K457"/>
  <c r="G457"/>
  <c r="P12" i="73"/>
  <c r="L12"/>
  <c r="H12"/>
  <c r="D12"/>
  <c r="Q12"/>
  <c r="M12"/>
  <c r="I12"/>
  <c r="E12"/>
  <c r="R12"/>
  <c r="N12"/>
  <c r="J12"/>
  <c r="F12"/>
  <c r="S12"/>
  <c r="O12"/>
  <c r="K12"/>
  <c r="G12"/>
  <c r="P16"/>
  <c r="L16"/>
  <c r="H16"/>
  <c r="D16"/>
  <c r="Q16"/>
  <c r="M16"/>
  <c r="I16"/>
  <c r="E16"/>
  <c r="R16"/>
  <c r="N16"/>
  <c r="J16"/>
  <c r="F16"/>
  <c r="S16"/>
  <c r="O16"/>
  <c r="K16"/>
  <c r="G16"/>
  <c r="U20"/>
  <c r="Q20"/>
  <c r="M20"/>
  <c r="I20"/>
  <c r="E20"/>
  <c r="X20"/>
  <c r="S20"/>
  <c r="N20"/>
  <c r="H20"/>
  <c r="T20"/>
  <c r="O20"/>
  <c r="J20"/>
  <c r="D20"/>
  <c r="V20"/>
  <c r="P20"/>
  <c r="K20"/>
  <c r="F20"/>
  <c r="W20"/>
  <c r="R20"/>
  <c r="L20"/>
  <c r="G20"/>
  <c r="J24"/>
  <c r="F24"/>
  <c r="K24"/>
  <c r="G24"/>
  <c r="L24"/>
  <c r="H24"/>
  <c r="D24"/>
  <c r="Q24"/>
  <c r="M24"/>
  <c r="I24"/>
  <c r="E24"/>
  <c r="R29"/>
  <c r="N29"/>
  <c r="J29"/>
  <c r="F29"/>
  <c r="S29"/>
  <c r="O29"/>
  <c r="K29"/>
  <c r="G29"/>
  <c r="P29"/>
  <c r="L29"/>
  <c r="H29"/>
  <c r="D29"/>
  <c r="Q29"/>
  <c r="M29"/>
  <c r="I29"/>
  <c r="E29"/>
  <c r="R33"/>
  <c r="N33"/>
  <c r="J33"/>
  <c r="F33"/>
  <c r="S33"/>
  <c r="O33"/>
  <c r="K33"/>
  <c r="G33"/>
  <c r="P33"/>
  <c r="L33"/>
  <c r="H33"/>
  <c r="D33"/>
  <c r="Q33"/>
  <c r="M33"/>
  <c r="I33"/>
  <c r="E33"/>
  <c r="R38"/>
  <c r="J38"/>
  <c r="F38"/>
  <c r="K38"/>
  <c r="G38"/>
  <c r="L38"/>
  <c r="H38"/>
  <c r="D38"/>
  <c r="M38"/>
  <c r="I38"/>
  <c r="E38"/>
  <c r="R42"/>
  <c r="J42"/>
  <c r="F42"/>
  <c r="K42"/>
  <c r="G42"/>
  <c r="L42"/>
  <c r="H42"/>
  <c r="D42"/>
  <c r="M42"/>
  <c r="I42"/>
  <c r="E42"/>
  <c r="V47"/>
  <c r="R47"/>
  <c r="N47"/>
  <c r="J47"/>
  <c r="F47"/>
  <c r="W47"/>
  <c r="S47"/>
  <c r="O47"/>
  <c r="K47"/>
  <c r="G47"/>
  <c r="X47"/>
  <c r="T47"/>
  <c r="P47"/>
  <c r="L47"/>
  <c r="H47"/>
  <c r="D47"/>
  <c r="U47"/>
  <c r="Q47"/>
  <c r="M47"/>
  <c r="I47"/>
  <c r="E47"/>
  <c r="V51"/>
  <c r="R51"/>
  <c r="N51"/>
  <c r="J51"/>
  <c r="F51"/>
  <c r="W51"/>
  <c r="S51"/>
  <c r="O51"/>
  <c r="K51"/>
  <c r="G51"/>
  <c r="X51"/>
  <c r="T51"/>
  <c r="P51"/>
  <c r="L51"/>
  <c r="H51"/>
  <c r="D51"/>
  <c r="U51"/>
  <c r="Q51"/>
  <c r="M51"/>
  <c r="I51"/>
  <c r="E51"/>
  <c r="V55"/>
  <c r="R55"/>
  <c r="N55"/>
  <c r="J55"/>
  <c r="F55"/>
  <c r="W55"/>
  <c r="S55"/>
  <c r="O55"/>
  <c r="K55"/>
  <c r="G55"/>
  <c r="X55"/>
  <c r="T55"/>
  <c r="P55"/>
  <c r="L55"/>
  <c r="H55"/>
  <c r="D55"/>
  <c r="U55"/>
  <c r="Q55"/>
  <c r="M55"/>
  <c r="I55"/>
  <c r="E55"/>
  <c r="R60"/>
  <c r="N60"/>
  <c r="J60"/>
  <c r="F60"/>
  <c r="S60"/>
  <c r="O60"/>
  <c r="K60"/>
  <c r="G60"/>
  <c r="P60"/>
  <c r="L60"/>
  <c r="H60"/>
  <c r="D60"/>
  <c r="Q60"/>
  <c r="M60"/>
  <c r="I60"/>
  <c r="E60"/>
  <c r="V64"/>
  <c r="R64"/>
  <c r="N64"/>
  <c r="J64"/>
  <c r="F64"/>
  <c r="W64"/>
  <c r="S64"/>
  <c r="O64"/>
  <c r="K64"/>
  <c r="G64"/>
  <c r="X64"/>
  <c r="T64"/>
  <c r="P64"/>
  <c r="L64"/>
  <c r="H64"/>
  <c r="D64"/>
  <c r="U64"/>
  <c r="Q64"/>
  <c r="M64"/>
  <c r="I64"/>
  <c r="E64"/>
  <c r="V68"/>
  <c r="R68"/>
  <c r="N68"/>
  <c r="J68"/>
  <c r="F68"/>
  <c r="W68"/>
  <c r="S68"/>
  <c r="O68"/>
  <c r="K68"/>
  <c r="G68"/>
  <c r="X68"/>
  <c r="T68"/>
  <c r="P68"/>
  <c r="L68"/>
  <c r="H68"/>
  <c r="D68"/>
  <c r="U68"/>
  <c r="Q68"/>
  <c r="M68"/>
  <c r="I68"/>
  <c r="E68"/>
  <c r="V72"/>
  <c r="R72"/>
  <c r="N72"/>
  <c r="J72"/>
  <c r="F72"/>
  <c r="AA72"/>
  <c r="W72"/>
  <c r="S72"/>
  <c r="O72"/>
  <c r="K72"/>
  <c r="G72"/>
  <c r="X72"/>
  <c r="T72"/>
  <c r="P72"/>
  <c r="L72"/>
  <c r="H72"/>
  <c r="D72"/>
  <c r="U72"/>
  <c r="Q72"/>
  <c r="M72"/>
  <c r="I72"/>
  <c r="E72"/>
  <c r="R80"/>
  <c r="N80"/>
  <c r="J80"/>
  <c r="F80"/>
  <c r="S80"/>
  <c r="O80"/>
  <c r="K80"/>
  <c r="G80"/>
  <c r="P80"/>
  <c r="L80"/>
  <c r="H80"/>
  <c r="D80"/>
  <c r="Q80"/>
  <c r="M80"/>
  <c r="I80"/>
  <c r="E80"/>
  <c r="R90"/>
  <c r="N90"/>
  <c r="J90"/>
  <c r="F90"/>
  <c r="S90"/>
  <c r="O90"/>
  <c r="K90"/>
  <c r="G90"/>
  <c r="P90"/>
  <c r="L90"/>
  <c r="H90"/>
  <c r="D90"/>
  <c r="Q90"/>
  <c r="M90"/>
  <c r="I90"/>
  <c r="E90"/>
  <c r="R94"/>
  <c r="N94"/>
  <c r="J94"/>
  <c r="F94"/>
  <c r="S94"/>
  <c r="O94"/>
  <c r="K94"/>
  <c r="G94"/>
  <c r="P94"/>
  <c r="L94"/>
  <c r="H94"/>
  <c r="D94"/>
  <c r="Q94"/>
  <c r="M94"/>
  <c r="I94"/>
  <c r="E94"/>
  <c r="R98"/>
  <c r="N98"/>
  <c r="J98"/>
  <c r="F98"/>
  <c r="S98"/>
  <c r="O98"/>
  <c r="K98"/>
  <c r="G98"/>
  <c r="P98"/>
  <c r="L98"/>
  <c r="H98"/>
  <c r="D98"/>
  <c r="Q98"/>
  <c r="M98"/>
  <c r="I98"/>
  <c r="E98"/>
  <c r="R120"/>
  <c r="J120"/>
  <c r="F120"/>
  <c r="K120"/>
  <c r="G120"/>
  <c r="L120"/>
  <c r="H120"/>
  <c r="D120"/>
  <c r="Q120"/>
  <c r="M120"/>
  <c r="I120"/>
  <c r="E120"/>
  <c r="R124"/>
  <c r="J124"/>
  <c r="F124"/>
  <c r="K124"/>
  <c r="G124"/>
  <c r="L124"/>
  <c r="H124"/>
  <c r="D124"/>
  <c r="Q124"/>
  <c r="M124"/>
  <c r="I124"/>
  <c r="E124"/>
  <c r="R142"/>
  <c r="N142"/>
  <c r="J142"/>
  <c r="F142"/>
  <c r="O142"/>
  <c r="I142"/>
  <c r="D142"/>
  <c r="P142"/>
  <c r="K142"/>
  <c r="E142"/>
  <c r="Q142"/>
  <c r="L142"/>
  <c r="G142"/>
  <c r="S142"/>
  <c r="M142"/>
  <c r="H142"/>
  <c r="S146"/>
  <c r="K146"/>
  <c r="G146"/>
  <c r="L146"/>
  <c r="H146"/>
  <c r="D146"/>
  <c r="Q146"/>
  <c r="M146"/>
  <c r="I146"/>
  <c r="E146"/>
  <c r="R146"/>
  <c r="N146"/>
  <c r="J146"/>
  <c r="F146"/>
  <c r="K150"/>
  <c r="G150"/>
  <c r="L150"/>
  <c r="H150"/>
  <c r="D150"/>
  <c r="Q150"/>
  <c r="M150"/>
  <c r="I150"/>
  <c r="E150"/>
  <c r="R150"/>
  <c r="J150"/>
  <c r="F150"/>
  <c r="K192"/>
  <c r="G192"/>
  <c r="AB192"/>
  <c r="L192"/>
  <c r="H192"/>
  <c r="D192"/>
  <c r="Q192"/>
  <c r="M192"/>
  <c r="I192"/>
  <c r="E192"/>
  <c r="R192"/>
  <c r="J192"/>
  <c r="F192"/>
  <c r="S196"/>
  <c r="O196"/>
  <c r="K196"/>
  <c r="G196"/>
  <c r="P196"/>
  <c r="L196"/>
  <c r="H196"/>
  <c r="D196"/>
  <c r="Q196"/>
  <c r="M196"/>
  <c r="I196"/>
  <c r="E196"/>
  <c r="R196"/>
  <c r="N196"/>
  <c r="J196"/>
  <c r="F196"/>
  <c r="S200"/>
  <c r="O200"/>
  <c r="K200"/>
  <c r="G200"/>
  <c r="P200"/>
  <c r="L200"/>
  <c r="H200"/>
  <c r="D200"/>
  <c r="Q200"/>
  <c r="M200"/>
  <c r="I200"/>
  <c r="E200"/>
  <c r="R200"/>
  <c r="N200"/>
  <c r="J200"/>
  <c r="F200"/>
  <c r="K204"/>
  <c r="G204"/>
  <c r="L204"/>
  <c r="H204"/>
  <c r="D204"/>
  <c r="Q204"/>
  <c r="M204"/>
  <c r="I204"/>
  <c r="E204"/>
  <c r="R204"/>
  <c r="J204"/>
  <c r="F204"/>
  <c r="S208"/>
  <c r="O208"/>
  <c r="K208"/>
  <c r="G208"/>
  <c r="P208"/>
  <c r="L208"/>
  <c r="H208"/>
  <c r="D208"/>
  <c r="Q208"/>
  <c r="M208"/>
  <c r="I208"/>
  <c r="E208"/>
  <c r="R208"/>
  <c r="N208"/>
  <c r="J208"/>
  <c r="F208"/>
  <c r="S213"/>
  <c r="O213"/>
  <c r="K213"/>
  <c r="G213"/>
  <c r="T213"/>
  <c r="P213"/>
  <c r="L213"/>
  <c r="H213"/>
  <c r="D213"/>
  <c r="Q213"/>
  <c r="M213"/>
  <c r="I213"/>
  <c r="E213"/>
  <c r="R213"/>
  <c r="N213"/>
  <c r="J213"/>
  <c r="F213"/>
  <c r="S217"/>
  <c r="O217"/>
  <c r="K217"/>
  <c r="G217"/>
  <c r="P217"/>
  <c r="L217"/>
  <c r="H217"/>
  <c r="D217"/>
  <c r="Q217"/>
  <c r="M217"/>
  <c r="I217"/>
  <c r="E217"/>
  <c r="R217"/>
  <c r="N217"/>
  <c r="J217"/>
  <c r="F217"/>
  <c r="K221"/>
  <c r="G221"/>
  <c r="AB221"/>
  <c r="L221"/>
  <c r="H221"/>
  <c r="D221"/>
  <c r="M221"/>
  <c r="I221"/>
  <c r="E221"/>
  <c r="R221"/>
  <c r="J221"/>
  <c r="F221"/>
  <c r="K242"/>
  <c r="G242"/>
  <c r="L242"/>
  <c r="H242"/>
  <c r="D242"/>
  <c r="M242"/>
  <c r="I242"/>
  <c r="E242"/>
  <c r="R242"/>
  <c r="J242"/>
  <c r="F242"/>
  <c r="S246"/>
  <c r="O246"/>
  <c r="K246"/>
  <c r="G246"/>
  <c r="P246"/>
  <c r="L246"/>
  <c r="H246"/>
  <c r="D246"/>
  <c r="Q246"/>
  <c r="M246"/>
  <c r="I246"/>
  <c r="E246"/>
  <c r="R246"/>
  <c r="N246"/>
  <c r="J246"/>
  <c r="F246"/>
  <c r="K250"/>
  <c r="G250"/>
  <c r="L250"/>
  <c r="H250"/>
  <c r="D250"/>
  <c r="M250"/>
  <c r="I250"/>
  <c r="E250"/>
  <c r="R250"/>
  <c r="J250"/>
  <c r="F250"/>
  <c r="K254"/>
  <c r="G254"/>
  <c r="L254"/>
  <c r="H254"/>
  <c r="D254"/>
  <c r="Q254"/>
  <c r="M254"/>
  <c r="I254"/>
  <c r="E254"/>
  <c r="R254"/>
  <c r="J254"/>
  <c r="F254"/>
  <c r="S352"/>
  <c r="O352"/>
  <c r="K352"/>
  <c r="G352"/>
  <c r="P352"/>
  <c r="L352"/>
  <c r="H352"/>
  <c r="D352"/>
  <c r="Q352"/>
  <c r="M352"/>
  <c r="I352"/>
  <c r="E352"/>
  <c r="R352"/>
  <c r="N352"/>
  <c r="J352"/>
  <c r="F352"/>
  <c r="S365"/>
  <c r="O365"/>
  <c r="K365"/>
  <c r="G365"/>
  <c r="P365"/>
  <c r="L365"/>
  <c r="H365"/>
  <c r="D365"/>
  <c r="Q365"/>
  <c r="M365"/>
  <c r="I365"/>
  <c r="E365"/>
  <c r="R365"/>
  <c r="N365"/>
  <c r="J365"/>
  <c r="F365"/>
  <c r="S372"/>
  <c r="K372"/>
  <c r="G372"/>
  <c r="L372"/>
  <c r="H372"/>
  <c r="D372"/>
  <c r="Q372"/>
  <c r="M372"/>
  <c r="I372"/>
  <c r="E372"/>
  <c r="R372"/>
  <c r="N372"/>
  <c r="J372"/>
  <c r="F372"/>
  <c r="L384"/>
  <c r="H384"/>
  <c r="D384"/>
  <c r="R384"/>
  <c r="M384"/>
  <c r="G384"/>
  <c r="I384"/>
  <c r="J384"/>
  <c r="E384"/>
  <c r="Q384"/>
  <c r="K384"/>
  <c r="F384"/>
  <c r="Q389"/>
  <c r="M389"/>
  <c r="I389"/>
  <c r="E389"/>
  <c r="R389"/>
  <c r="L389"/>
  <c r="H389"/>
  <c r="D389"/>
  <c r="G389"/>
  <c r="J389"/>
  <c r="K389"/>
  <c r="F389"/>
  <c r="U404"/>
  <c r="Q404"/>
  <c r="M404"/>
  <c r="I404"/>
  <c r="E404"/>
  <c r="V404"/>
  <c r="R404"/>
  <c r="N404"/>
  <c r="J404"/>
  <c r="F404"/>
  <c r="W404"/>
  <c r="S404"/>
  <c r="O404"/>
  <c r="K404"/>
  <c r="G404"/>
  <c r="X404"/>
  <c r="T404"/>
  <c r="P404"/>
  <c r="L404"/>
  <c r="H404"/>
  <c r="D404"/>
  <c r="Q408"/>
  <c r="M408"/>
  <c r="I408"/>
  <c r="E408"/>
  <c r="R408"/>
  <c r="N408"/>
  <c r="J408"/>
  <c r="F408"/>
  <c r="S408"/>
  <c r="O408"/>
  <c r="K408"/>
  <c r="G408"/>
  <c r="AB408"/>
  <c r="P408"/>
  <c r="L408"/>
  <c r="H408"/>
  <c r="D408"/>
  <c r="Q413"/>
  <c r="M413"/>
  <c r="I413"/>
  <c r="E413"/>
  <c r="R413"/>
  <c r="N413"/>
  <c r="J413"/>
  <c r="F413"/>
  <c r="S413"/>
  <c r="O413"/>
  <c r="K413"/>
  <c r="G413"/>
  <c r="P413"/>
  <c r="L413"/>
  <c r="H413"/>
  <c r="D413"/>
  <c r="U417"/>
  <c r="Q417"/>
  <c r="M417"/>
  <c r="I417"/>
  <c r="E417"/>
  <c r="V417"/>
  <c r="R417"/>
  <c r="N417"/>
  <c r="J417"/>
  <c r="F417"/>
  <c r="W417"/>
  <c r="S417"/>
  <c r="O417"/>
  <c r="K417"/>
  <c r="G417"/>
  <c r="AB417"/>
  <c r="X417"/>
  <c r="T417"/>
  <c r="P417"/>
  <c r="L417"/>
  <c r="H417"/>
  <c r="D417"/>
  <c r="U422"/>
  <c r="Q422"/>
  <c r="M422"/>
  <c r="I422"/>
  <c r="E422"/>
  <c r="V422"/>
  <c r="R422"/>
  <c r="N422"/>
  <c r="J422"/>
  <c r="F422"/>
  <c r="S422"/>
  <c r="O422"/>
  <c r="K422"/>
  <c r="G422"/>
  <c r="T422"/>
  <c r="P422"/>
  <c r="L422"/>
  <c r="H422"/>
  <c r="D422"/>
  <c r="U427"/>
  <c r="Q427"/>
  <c r="M427"/>
  <c r="I427"/>
  <c r="E427"/>
  <c r="V427"/>
  <c r="R427"/>
  <c r="N427"/>
  <c r="J427"/>
  <c r="F427"/>
  <c r="W427"/>
  <c r="S427"/>
  <c r="O427"/>
  <c r="K427"/>
  <c r="G427"/>
  <c r="X427"/>
  <c r="T427"/>
  <c r="P427"/>
  <c r="L427"/>
  <c r="H427"/>
  <c r="D427"/>
  <c r="U431"/>
  <c r="Q431"/>
  <c r="M431"/>
  <c r="I431"/>
  <c r="E431"/>
  <c r="V431"/>
  <c r="R431"/>
  <c r="N431"/>
  <c r="J431"/>
  <c r="F431"/>
  <c r="W431"/>
  <c r="S431"/>
  <c r="O431"/>
  <c r="K431"/>
  <c r="G431"/>
  <c r="X431"/>
  <c r="T431"/>
  <c r="P431"/>
  <c r="L431"/>
  <c r="H431"/>
  <c r="D431"/>
  <c r="Q436"/>
  <c r="M436"/>
  <c r="I436"/>
  <c r="E436"/>
  <c r="R436"/>
  <c r="N436"/>
  <c r="J436"/>
  <c r="F436"/>
  <c r="S436"/>
  <c r="O436"/>
  <c r="K436"/>
  <c r="G436"/>
  <c r="P436"/>
  <c r="L436"/>
  <c r="H436"/>
  <c r="D436"/>
  <c r="U441"/>
  <c r="Q441"/>
  <c r="M441"/>
  <c r="I441"/>
  <c r="E441"/>
  <c r="V441"/>
  <c r="R441"/>
  <c r="N441"/>
  <c r="J441"/>
  <c r="F441"/>
  <c r="W441"/>
  <c r="S441"/>
  <c r="O441"/>
  <c r="K441"/>
  <c r="G441"/>
  <c r="T441"/>
  <c r="P441"/>
  <c r="L441"/>
  <c r="H441"/>
  <c r="D441"/>
  <c r="Q448"/>
  <c r="M448"/>
  <c r="I448"/>
  <c r="E448"/>
  <c r="R448"/>
  <c r="N448"/>
  <c r="J448"/>
  <c r="F448"/>
  <c r="S448"/>
  <c r="O448"/>
  <c r="K448"/>
  <c r="G448"/>
  <c r="P448"/>
  <c r="L448"/>
  <c r="H448"/>
  <c r="D448"/>
  <c r="U461"/>
  <c r="Q461"/>
  <c r="M461"/>
  <c r="I461"/>
  <c r="E461"/>
  <c r="V461"/>
  <c r="R461"/>
  <c r="N461"/>
  <c r="J461"/>
  <c r="F461"/>
  <c r="W461"/>
  <c r="S461"/>
  <c r="O461"/>
  <c r="K461"/>
  <c r="G461"/>
  <c r="T461"/>
  <c r="P461"/>
  <c r="L461"/>
  <c r="H461"/>
  <c r="D461"/>
  <c r="M13" i="74"/>
  <c r="I13"/>
  <c r="E13"/>
  <c r="R13"/>
  <c r="J13"/>
  <c r="F13"/>
  <c r="K13"/>
  <c r="G13"/>
  <c r="L13"/>
  <c r="H13"/>
  <c r="D13"/>
  <c r="Q17"/>
  <c r="M17"/>
  <c r="I17"/>
  <c r="E17"/>
  <c r="J17"/>
  <c r="F17"/>
  <c r="K17"/>
  <c r="G17"/>
  <c r="L17"/>
  <c r="H17"/>
  <c r="D17"/>
  <c r="Q21"/>
  <c r="M21"/>
  <c r="I21"/>
  <c r="E21"/>
  <c r="R21"/>
  <c r="N21"/>
  <c r="J21"/>
  <c r="F21"/>
  <c r="S21"/>
  <c r="O21"/>
  <c r="K21"/>
  <c r="G21"/>
  <c r="P21"/>
  <c r="L21"/>
  <c r="H21"/>
  <c r="D21"/>
  <c r="Q26"/>
  <c r="M26"/>
  <c r="I26"/>
  <c r="E26"/>
  <c r="R26"/>
  <c r="N26"/>
  <c r="J26"/>
  <c r="F26"/>
  <c r="S26"/>
  <c r="O26"/>
  <c r="K26"/>
  <c r="G26"/>
  <c r="P26"/>
  <c r="L26"/>
  <c r="H26"/>
  <c r="D26"/>
  <c r="Q30"/>
  <c r="M30"/>
  <c r="I30"/>
  <c r="E30"/>
  <c r="R30"/>
  <c r="N30"/>
  <c r="J30"/>
  <c r="F30"/>
  <c r="S30"/>
  <c r="O30"/>
  <c r="K30"/>
  <c r="G30"/>
  <c r="P30"/>
  <c r="L30"/>
  <c r="H30"/>
  <c r="D30"/>
  <c r="R34"/>
  <c r="N34"/>
  <c r="J34"/>
  <c r="F34"/>
  <c r="S34"/>
  <c r="M34"/>
  <c r="H34"/>
  <c r="O34"/>
  <c r="I34"/>
  <c r="D34"/>
  <c r="P34"/>
  <c r="K34"/>
  <c r="E34"/>
  <c r="Q34"/>
  <c r="L34"/>
  <c r="G34"/>
  <c r="V39"/>
  <c r="R39"/>
  <c r="N39"/>
  <c r="J39"/>
  <c r="F39"/>
  <c r="AA39"/>
  <c r="W39"/>
  <c r="S39"/>
  <c r="O39"/>
  <c r="K39"/>
  <c r="G39"/>
  <c r="X39"/>
  <c r="T39"/>
  <c r="P39"/>
  <c r="L39"/>
  <c r="H39"/>
  <c r="D39"/>
  <c r="U39"/>
  <c r="Q39"/>
  <c r="M39"/>
  <c r="I39"/>
  <c r="E39"/>
  <c r="V44"/>
  <c r="R44"/>
  <c r="N44"/>
  <c r="J44"/>
  <c r="F44"/>
  <c r="W44"/>
  <c r="S44"/>
  <c r="O44"/>
  <c r="K44"/>
  <c r="G44"/>
  <c r="X44"/>
  <c r="T44"/>
  <c r="P44"/>
  <c r="L44"/>
  <c r="H44"/>
  <c r="D44"/>
  <c r="U44"/>
  <c r="Q44"/>
  <c r="M44"/>
  <c r="I44"/>
  <c r="E44"/>
  <c r="R48"/>
  <c r="N48"/>
  <c r="J48"/>
  <c r="F48"/>
  <c r="S48"/>
  <c r="O48"/>
  <c r="K48"/>
  <c r="G48"/>
  <c r="P48"/>
  <c r="L48"/>
  <c r="H48"/>
  <c r="D48"/>
  <c r="Q48"/>
  <c r="M48"/>
  <c r="I48"/>
  <c r="E48"/>
  <c r="V52"/>
  <c r="R52"/>
  <c r="N52"/>
  <c r="J52"/>
  <c r="F52"/>
  <c r="W52"/>
  <c r="S52"/>
  <c r="O52"/>
  <c r="K52"/>
  <c r="G52"/>
  <c r="T52"/>
  <c r="P52"/>
  <c r="L52"/>
  <c r="H52"/>
  <c r="D52"/>
  <c r="U52"/>
  <c r="Q52"/>
  <c r="M52"/>
  <c r="I52"/>
  <c r="E52"/>
  <c r="R57"/>
  <c r="N57"/>
  <c r="J57"/>
  <c r="F57"/>
  <c r="S57"/>
  <c r="O57"/>
  <c r="K57"/>
  <c r="G57"/>
  <c r="P57"/>
  <c r="L57"/>
  <c r="H57"/>
  <c r="D57"/>
  <c r="Q57"/>
  <c r="M57"/>
  <c r="I57"/>
  <c r="E57"/>
  <c r="R61"/>
  <c r="N61"/>
  <c r="J61"/>
  <c r="F61"/>
  <c r="S61"/>
  <c r="O61"/>
  <c r="K61"/>
  <c r="G61"/>
  <c r="T61"/>
  <c r="P61"/>
  <c r="L61"/>
  <c r="H61"/>
  <c r="D61"/>
  <c r="Q61"/>
  <c r="M61"/>
  <c r="I61"/>
  <c r="E61"/>
  <c r="R65"/>
  <c r="J65"/>
  <c r="F65"/>
  <c r="K65"/>
  <c r="G65"/>
  <c r="L65"/>
  <c r="H65"/>
  <c r="D65"/>
  <c r="Q65"/>
  <c r="M65"/>
  <c r="I65"/>
  <c r="E65"/>
  <c r="R69"/>
  <c r="J69"/>
  <c r="F69"/>
  <c r="K69"/>
  <c r="G69"/>
  <c r="L69"/>
  <c r="H69"/>
  <c r="D69"/>
  <c r="M69"/>
  <c r="I69"/>
  <c r="E69"/>
  <c r="V73"/>
  <c r="R73"/>
  <c r="N73"/>
  <c r="J73"/>
  <c r="F73"/>
  <c r="W73"/>
  <c r="S73"/>
  <c r="O73"/>
  <c r="K73"/>
  <c r="G73"/>
  <c r="X73"/>
  <c r="T73"/>
  <c r="P73"/>
  <c r="L73"/>
  <c r="H73"/>
  <c r="D73"/>
  <c r="U73"/>
  <c r="Q73"/>
  <c r="M73"/>
  <c r="I73"/>
  <c r="E73"/>
  <c r="R81"/>
  <c r="N81"/>
  <c r="J81"/>
  <c r="F81"/>
  <c r="S81"/>
  <c r="O81"/>
  <c r="K81"/>
  <c r="G81"/>
  <c r="AB81"/>
  <c r="P81"/>
  <c r="L81"/>
  <c r="H81"/>
  <c r="D81"/>
  <c r="Q81"/>
  <c r="M81"/>
  <c r="I81"/>
  <c r="E81"/>
  <c r="R91"/>
  <c r="N91"/>
  <c r="J91"/>
  <c r="F91"/>
  <c r="S91"/>
  <c r="O91"/>
  <c r="K91"/>
  <c r="G91"/>
  <c r="P91"/>
  <c r="L91"/>
  <c r="H91"/>
  <c r="D91"/>
  <c r="Q91"/>
  <c r="M91"/>
  <c r="I91"/>
  <c r="E91"/>
  <c r="R95"/>
  <c r="J95"/>
  <c r="F95"/>
  <c r="K95"/>
  <c r="G95"/>
  <c r="L95"/>
  <c r="H95"/>
  <c r="D95"/>
  <c r="Q95"/>
  <c r="M95"/>
  <c r="I95"/>
  <c r="E95"/>
  <c r="R100"/>
  <c r="N100"/>
  <c r="J100"/>
  <c r="F100"/>
  <c r="S100"/>
  <c r="O100"/>
  <c r="K100"/>
  <c r="G100"/>
  <c r="P100"/>
  <c r="L100"/>
  <c r="H100"/>
  <c r="D100"/>
  <c r="Q100"/>
  <c r="M100"/>
  <c r="I100"/>
  <c r="E100"/>
  <c r="R121"/>
  <c r="N121"/>
  <c r="J121"/>
  <c r="F121"/>
  <c r="S121"/>
  <c r="O121"/>
  <c r="K121"/>
  <c r="G121"/>
  <c r="P121"/>
  <c r="L121"/>
  <c r="H121"/>
  <c r="D121"/>
  <c r="Q121"/>
  <c r="M121"/>
  <c r="I121"/>
  <c r="E121"/>
  <c r="R125"/>
  <c r="N125"/>
  <c r="J125"/>
  <c r="F125"/>
  <c r="S125"/>
  <c r="O125"/>
  <c r="K125"/>
  <c r="G125"/>
  <c r="P125"/>
  <c r="L125"/>
  <c r="H125"/>
  <c r="D125"/>
  <c r="Q125"/>
  <c r="M125"/>
  <c r="I125"/>
  <c r="E125"/>
  <c r="R143"/>
  <c r="N143"/>
  <c r="J143"/>
  <c r="F143"/>
  <c r="S143"/>
  <c r="O143"/>
  <c r="K143"/>
  <c r="G143"/>
  <c r="P143"/>
  <c r="L143"/>
  <c r="H143"/>
  <c r="D143"/>
  <c r="Q143"/>
  <c r="M143"/>
  <c r="I143"/>
  <c r="E143"/>
  <c r="R147"/>
  <c r="J147"/>
  <c r="F147"/>
  <c r="K147"/>
  <c r="G147"/>
  <c r="L147"/>
  <c r="H147"/>
  <c r="D147"/>
  <c r="M147"/>
  <c r="I147"/>
  <c r="E147"/>
  <c r="R151"/>
  <c r="S151"/>
  <c r="N151"/>
  <c r="J151"/>
  <c r="F151"/>
  <c r="O151"/>
  <c r="K151"/>
  <c r="G151"/>
  <c r="P151"/>
  <c r="L151"/>
  <c r="H151"/>
  <c r="D151"/>
  <c r="AB151"/>
  <c r="Q151"/>
  <c r="M151"/>
  <c r="I151"/>
  <c r="E151"/>
  <c r="R193"/>
  <c r="N193"/>
  <c r="J193"/>
  <c r="F193"/>
  <c r="S193"/>
  <c r="Q193"/>
  <c r="L193"/>
  <c r="G193"/>
  <c r="M193"/>
  <c r="H193"/>
  <c r="O193"/>
  <c r="I193"/>
  <c r="D193"/>
  <c r="P193"/>
  <c r="K193"/>
  <c r="E193"/>
  <c r="R197"/>
  <c r="N197"/>
  <c r="J197"/>
  <c r="F197"/>
  <c r="S197"/>
  <c r="O197"/>
  <c r="K197"/>
  <c r="G197"/>
  <c r="P197"/>
  <c r="L197"/>
  <c r="H197"/>
  <c r="D197"/>
  <c r="Q197"/>
  <c r="M197"/>
  <c r="I197"/>
  <c r="E197"/>
  <c r="R201"/>
  <c r="N201"/>
  <c r="J201"/>
  <c r="F201"/>
  <c r="S201"/>
  <c r="O201"/>
  <c r="K201"/>
  <c r="G201"/>
  <c r="T201"/>
  <c r="P201"/>
  <c r="L201"/>
  <c r="H201"/>
  <c r="D201"/>
  <c r="U201"/>
  <c r="Q201"/>
  <c r="M201"/>
  <c r="I201"/>
  <c r="E201"/>
  <c r="R205"/>
  <c r="N205"/>
  <c r="J205"/>
  <c r="F205"/>
  <c r="S205"/>
  <c r="O205"/>
  <c r="K205"/>
  <c r="G205"/>
  <c r="P205"/>
  <c r="L205"/>
  <c r="H205"/>
  <c r="D205"/>
  <c r="Q205"/>
  <c r="M205"/>
  <c r="I205"/>
  <c r="E205"/>
  <c r="R209"/>
  <c r="N209"/>
  <c r="J209"/>
  <c r="F209"/>
  <c r="S209"/>
  <c r="O209"/>
  <c r="K209"/>
  <c r="G209"/>
  <c r="P209"/>
  <c r="L209"/>
  <c r="H209"/>
  <c r="D209"/>
  <c r="Q209"/>
  <c r="M209"/>
  <c r="I209"/>
  <c r="E209"/>
  <c r="R214"/>
  <c r="N214"/>
  <c r="J214"/>
  <c r="F214"/>
  <c r="S214"/>
  <c r="O214"/>
  <c r="K214"/>
  <c r="G214"/>
  <c r="T214"/>
  <c r="P214"/>
  <c r="L214"/>
  <c r="H214"/>
  <c r="D214"/>
  <c r="Q214"/>
  <c r="M214"/>
  <c r="I214"/>
  <c r="E214"/>
  <c r="R218"/>
  <c r="N218"/>
  <c r="J218"/>
  <c r="F218"/>
  <c r="S218"/>
  <c r="O218"/>
  <c r="K218"/>
  <c r="G218"/>
  <c r="P218"/>
  <c r="L218"/>
  <c r="H218"/>
  <c r="D218"/>
  <c r="Q218"/>
  <c r="M218"/>
  <c r="I218"/>
  <c r="E218"/>
  <c r="R239"/>
  <c r="J239"/>
  <c r="F239"/>
  <c r="K239"/>
  <c r="G239"/>
  <c r="L239"/>
  <c r="H239"/>
  <c r="D239"/>
  <c r="M239"/>
  <c r="I239"/>
  <c r="E239"/>
  <c r="R243"/>
  <c r="N243"/>
  <c r="J243"/>
  <c r="F243"/>
  <c r="S243"/>
  <c r="O243"/>
  <c r="K243"/>
  <c r="G243"/>
  <c r="P243"/>
  <c r="L243"/>
  <c r="H243"/>
  <c r="D243"/>
  <c r="Q243"/>
  <c r="M243"/>
  <c r="I243"/>
  <c r="E243"/>
  <c r="R247"/>
  <c r="N247"/>
  <c r="J247"/>
  <c r="F247"/>
  <c r="S247"/>
  <c r="O247"/>
  <c r="K247"/>
  <c r="G247"/>
  <c r="P247"/>
  <c r="L247"/>
  <c r="H247"/>
  <c r="D247"/>
  <c r="Q247"/>
  <c r="M247"/>
  <c r="I247"/>
  <c r="E247"/>
  <c r="P251"/>
  <c r="L251"/>
  <c r="H251"/>
  <c r="D251"/>
  <c r="Q251"/>
  <c r="M251"/>
  <c r="I251"/>
  <c r="E251"/>
  <c r="R251"/>
  <c r="N251"/>
  <c r="J251"/>
  <c r="F251"/>
  <c r="S251"/>
  <c r="O251"/>
  <c r="K251"/>
  <c r="G251"/>
  <c r="X255"/>
  <c r="T255"/>
  <c r="P255"/>
  <c r="L255"/>
  <c r="H255"/>
  <c r="D255"/>
  <c r="U255"/>
  <c r="Q255"/>
  <c r="M255"/>
  <c r="I255"/>
  <c r="E255"/>
  <c r="V255"/>
  <c r="R255"/>
  <c r="N255"/>
  <c r="J255"/>
  <c r="F255"/>
  <c r="W255"/>
  <c r="S255"/>
  <c r="O255"/>
  <c r="K255"/>
  <c r="G255"/>
  <c r="P353"/>
  <c r="L353"/>
  <c r="H353"/>
  <c r="D353"/>
  <c r="Q353"/>
  <c r="M353"/>
  <c r="I353"/>
  <c r="E353"/>
  <c r="R353"/>
  <c r="N353"/>
  <c r="J353"/>
  <c r="F353"/>
  <c r="S353"/>
  <c r="O353"/>
  <c r="K353"/>
  <c r="G353"/>
  <c r="P362"/>
  <c r="L362"/>
  <c r="H362"/>
  <c r="D362"/>
  <c r="Q362"/>
  <c r="M362"/>
  <c r="I362"/>
  <c r="E362"/>
  <c r="R362"/>
  <c r="N362"/>
  <c r="J362"/>
  <c r="F362"/>
  <c r="S362"/>
  <c r="O362"/>
  <c r="K362"/>
  <c r="G362"/>
  <c r="X367"/>
  <c r="T367"/>
  <c r="P367"/>
  <c r="L367"/>
  <c r="H367"/>
  <c r="D367"/>
  <c r="U367"/>
  <c r="Q367"/>
  <c r="M367"/>
  <c r="I367"/>
  <c r="E367"/>
  <c r="V367"/>
  <c r="R367"/>
  <c r="N367"/>
  <c r="J367"/>
  <c r="F367"/>
  <c r="W367"/>
  <c r="S367"/>
  <c r="O367"/>
  <c r="K367"/>
  <c r="G367"/>
  <c r="AB373"/>
  <c r="T373"/>
  <c r="P373"/>
  <c r="L373"/>
  <c r="H373"/>
  <c r="D373"/>
  <c r="U373"/>
  <c r="Q373"/>
  <c r="M373"/>
  <c r="I373"/>
  <c r="E373"/>
  <c r="V373"/>
  <c r="R373"/>
  <c r="N373"/>
  <c r="J373"/>
  <c r="F373"/>
  <c r="W373"/>
  <c r="S373"/>
  <c r="O373"/>
  <c r="K373"/>
  <c r="G373"/>
  <c r="P385"/>
  <c r="L385"/>
  <c r="H385"/>
  <c r="D385"/>
  <c r="Q385"/>
  <c r="M385"/>
  <c r="I385"/>
  <c r="E385"/>
  <c r="R385"/>
  <c r="N385"/>
  <c r="J385"/>
  <c r="F385"/>
  <c r="S385"/>
  <c r="O385"/>
  <c r="K385"/>
  <c r="G385"/>
  <c r="AB400"/>
  <c r="X400"/>
  <c r="T400"/>
  <c r="P400"/>
  <c r="L400"/>
  <c r="H400"/>
  <c r="D400"/>
  <c r="U400"/>
  <c r="Q400"/>
  <c r="M400"/>
  <c r="I400"/>
  <c r="E400"/>
  <c r="V400"/>
  <c r="R400"/>
  <c r="N400"/>
  <c r="J400"/>
  <c r="F400"/>
  <c r="W400"/>
  <c r="S400"/>
  <c r="O400"/>
  <c r="K400"/>
  <c r="G400"/>
  <c r="AB405"/>
  <c r="T405"/>
  <c r="P405"/>
  <c r="L405"/>
  <c r="H405"/>
  <c r="D405"/>
  <c r="Q405"/>
  <c r="M405"/>
  <c r="I405"/>
  <c r="E405"/>
  <c r="R405"/>
  <c r="N405"/>
  <c r="J405"/>
  <c r="F405"/>
  <c r="S405"/>
  <c r="O405"/>
  <c r="K405"/>
  <c r="G405"/>
  <c r="Q409"/>
  <c r="M409"/>
  <c r="I409"/>
  <c r="E409"/>
  <c r="R409"/>
  <c r="N409"/>
  <c r="J409"/>
  <c r="F409"/>
  <c r="S409"/>
  <c r="K409"/>
  <c r="L409"/>
  <c r="D409"/>
  <c r="O409"/>
  <c r="G409"/>
  <c r="P409"/>
  <c r="H409"/>
  <c r="W414"/>
  <c r="S414"/>
  <c r="O414"/>
  <c r="K414"/>
  <c r="G414"/>
  <c r="AB414"/>
  <c r="X414"/>
  <c r="T414"/>
  <c r="P414"/>
  <c r="L414"/>
  <c r="H414"/>
  <c r="D414"/>
  <c r="U414"/>
  <c r="Q414"/>
  <c r="M414"/>
  <c r="I414"/>
  <c r="E414"/>
  <c r="V414"/>
  <c r="R414"/>
  <c r="N414"/>
  <c r="J414"/>
  <c r="F414"/>
  <c r="S419"/>
  <c r="O419"/>
  <c r="K419"/>
  <c r="G419"/>
  <c r="P419"/>
  <c r="L419"/>
  <c r="H419"/>
  <c r="D419"/>
  <c r="Q419"/>
  <c r="M419"/>
  <c r="I419"/>
  <c r="E419"/>
  <c r="R419"/>
  <c r="N419"/>
  <c r="J419"/>
  <c r="F419"/>
  <c r="S423"/>
  <c r="O423"/>
  <c r="K423"/>
  <c r="G423"/>
  <c r="T423"/>
  <c r="P423"/>
  <c r="L423"/>
  <c r="H423"/>
  <c r="D423"/>
  <c r="Q423"/>
  <c r="M423"/>
  <c r="I423"/>
  <c r="E423"/>
  <c r="R423"/>
  <c r="N423"/>
  <c r="J423"/>
  <c r="F423"/>
  <c r="W428"/>
  <c r="S428"/>
  <c r="O428"/>
  <c r="K428"/>
  <c r="G428"/>
  <c r="AB428"/>
  <c r="T428"/>
  <c r="P428"/>
  <c r="L428"/>
  <c r="H428"/>
  <c r="D428"/>
  <c r="U428"/>
  <c r="Q428"/>
  <c r="M428"/>
  <c r="I428"/>
  <c r="E428"/>
  <c r="V428"/>
  <c r="R428"/>
  <c r="N428"/>
  <c r="J428"/>
  <c r="F428"/>
  <c r="W432"/>
  <c r="S432"/>
  <c r="O432"/>
  <c r="K432"/>
  <c r="G432"/>
  <c r="AB432"/>
  <c r="X432"/>
  <c r="T432"/>
  <c r="P432"/>
  <c r="L432"/>
  <c r="H432"/>
  <c r="D432"/>
  <c r="U432"/>
  <c r="Q432"/>
  <c r="M432"/>
  <c r="I432"/>
  <c r="E432"/>
  <c r="V432"/>
  <c r="R432"/>
  <c r="N432"/>
  <c r="J432"/>
  <c r="F432"/>
  <c r="S437"/>
  <c r="O437"/>
  <c r="K437"/>
  <c r="G437"/>
  <c r="P437"/>
  <c r="L437"/>
  <c r="H437"/>
  <c r="D437"/>
  <c r="Q437"/>
  <c r="M437"/>
  <c r="I437"/>
  <c r="E437"/>
  <c r="R437"/>
  <c r="N437"/>
  <c r="J437"/>
  <c r="F437"/>
  <c r="S442"/>
  <c r="O442"/>
  <c r="K442"/>
  <c r="G442"/>
  <c r="T442"/>
  <c r="P442"/>
  <c r="L442"/>
  <c r="H442"/>
  <c r="D442"/>
  <c r="Q442"/>
  <c r="M442"/>
  <c r="I442"/>
  <c r="E442"/>
  <c r="R442"/>
  <c r="N442"/>
  <c r="J442"/>
  <c r="F442"/>
  <c r="W449"/>
  <c r="S449"/>
  <c r="O449"/>
  <c r="K449"/>
  <c r="G449"/>
  <c r="T449"/>
  <c r="P449"/>
  <c r="L449"/>
  <c r="H449"/>
  <c r="D449"/>
  <c r="U449"/>
  <c r="Q449"/>
  <c r="M449"/>
  <c r="I449"/>
  <c r="E449"/>
  <c r="R449"/>
  <c r="N449"/>
  <c r="J449"/>
  <c r="F449"/>
  <c r="S462"/>
  <c r="O462"/>
  <c r="K462"/>
  <c r="G462"/>
  <c r="AB462"/>
  <c r="P462"/>
  <c r="L462"/>
  <c r="H462"/>
  <c r="D462"/>
  <c r="Q462"/>
  <c r="M462"/>
  <c r="I462"/>
  <c r="E462"/>
  <c r="R462"/>
  <c r="N462"/>
  <c r="J462"/>
  <c r="F462"/>
  <c r="X248" i="77"/>
  <c r="W251" i="39"/>
  <c r="X37" i="77"/>
  <c r="V37" i="39"/>
  <c r="X31"/>
  <c r="V31"/>
  <c r="AA40"/>
  <c r="X40"/>
  <c r="AA404" i="74"/>
  <c r="Z150" i="72"/>
  <c r="Z18" i="69"/>
  <c r="AA44" i="72"/>
  <c r="X65" i="77"/>
  <c r="V65" i="39"/>
  <c r="X195"/>
  <c r="AA420"/>
  <c r="X420"/>
  <c r="AA198"/>
  <c r="X198"/>
  <c r="Z421"/>
  <c r="X421"/>
  <c r="AA421"/>
  <c r="Z52" i="77"/>
  <c r="Z52" i="39" s="1"/>
  <c r="X52"/>
  <c r="AA407"/>
  <c r="X407"/>
  <c r="X118"/>
  <c r="X194"/>
  <c r="X368"/>
  <c r="Z409" i="77"/>
  <c r="Z409" i="39" s="1"/>
  <c r="X409"/>
  <c r="Z61"/>
  <c r="X61"/>
  <c r="AA357"/>
  <c r="X357"/>
  <c r="X437"/>
  <c r="X413"/>
  <c r="Z413"/>
  <c r="Z182"/>
  <c r="R206" i="70"/>
  <c r="J206"/>
  <c r="F206"/>
  <c r="K206"/>
  <c r="G206"/>
  <c r="AB206"/>
  <c r="L206"/>
  <c r="H206"/>
  <c r="D206"/>
  <c r="Q206"/>
  <c r="M206"/>
  <c r="I206"/>
  <c r="E206"/>
  <c r="R210"/>
  <c r="N210"/>
  <c r="J210"/>
  <c r="F210"/>
  <c r="S210"/>
  <c r="K210"/>
  <c r="G210"/>
  <c r="AB210"/>
  <c r="L210"/>
  <c r="H210"/>
  <c r="D210"/>
  <c r="Q210"/>
  <c r="M210"/>
  <c r="I210"/>
  <c r="E210"/>
  <c r="R215"/>
  <c r="J215"/>
  <c r="F215"/>
  <c r="K215"/>
  <c r="G215"/>
  <c r="AB215"/>
  <c r="L215"/>
  <c r="H215"/>
  <c r="D215"/>
  <c r="Q215"/>
  <c r="M215"/>
  <c r="I215"/>
  <c r="E215"/>
  <c r="R219"/>
  <c r="J219"/>
  <c r="F219"/>
  <c r="K219"/>
  <c r="G219"/>
  <c r="AB219"/>
  <c r="L219"/>
  <c r="H219"/>
  <c r="D219"/>
  <c r="Q219"/>
  <c r="M219"/>
  <c r="I219"/>
  <c r="E219"/>
  <c r="R240"/>
  <c r="J240"/>
  <c r="F240"/>
  <c r="K240"/>
  <c r="G240"/>
  <c r="L240"/>
  <c r="H240"/>
  <c r="D240"/>
  <c r="M240"/>
  <c r="I240"/>
  <c r="E240"/>
  <c r="R244"/>
  <c r="J244"/>
  <c r="F244"/>
  <c r="K244"/>
  <c r="G244"/>
  <c r="AB244"/>
  <c r="L244"/>
  <c r="H244"/>
  <c r="D244"/>
  <c r="Q244"/>
  <c r="M244"/>
  <c r="I244"/>
  <c r="E244"/>
  <c r="R248"/>
  <c r="J248"/>
  <c r="F248"/>
  <c r="K248"/>
  <c r="G248"/>
  <c r="AB248"/>
  <c r="L248"/>
  <c r="H248"/>
  <c r="D248"/>
  <c r="Q248"/>
  <c r="M248"/>
  <c r="I248"/>
  <c r="E248"/>
  <c r="J252"/>
  <c r="F252"/>
  <c r="K252"/>
  <c r="G252"/>
  <c r="AB252"/>
  <c r="L252"/>
  <c r="H252"/>
  <c r="D252"/>
  <c r="M252"/>
  <c r="I252"/>
  <c r="E252"/>
  <c r="R256"/>
  <c r="N256"/>
  <c r="J256"/>
  <c r="F256"/>
  <c r="S256"/>
  <c r="O256"/>
  <c r="K256"/>
  <c r="G256"/>
  <c r="AB256"/>
  <c r="P256"/>
  <c r="L256"/>
  <c r="H256"/>
  <c r="D256"/>
  <c r="Q256"/>
  <c r="M256"/>
  <c r="I256"/>
  <c r="E256"/>
  <c r="R355"/>
  <c r="N355"/>
  <c r="J355"/>
  <c r="F355"/>
  <c r="S355"/>
  <c r="O355"/>
  <c r="K355"/>
  <c r="G355"/>
  <c r="P355"/>
  <c r="L355"/>
  <c r="H355"/>
  <c r="D355"/>
  <c r="Q355"/>
  <c r="M355"/>
  <c r="I355"/>
  <c r="E355"/>
  <c r="R363"/>
  <c r="J363"/>
  <c r="F363"/>
  <c r="K363"/>
  <c r="G363"/>
  <c r="L363"/>
  <c r="H363"/>
  <c r="D363"/>
  <c r="Q363"/>
  <c r="M363"/>
  <c r="I363"/>
  <c r="E363"/>
  <c r="J368"/>
  <c r="F368"/>
  <c r="K368"/>
  <c r="G368"/>
  <c r="AB368"/>
  <c r="L368"/>
  <c r="H368"/>
  <c r="D368"/>
  <c r="M368"/>
  <c r="I368"/>
  <c r="E368"/>
  <c r="J374"/>
  <c r="F374"/>
  <c r="K374"/>
  <c r="G374"/>
  <c r="AB374"/>
  <c r="L374"/>
  <c r="H374"/>
  <c r="D374"/>
  <c r="Q374"/>
  <c r="M374"/>
  <c r="I374"/>
  <c r="E374"/>
  <c r="J386"/>
  <c r="F386"/>
  <c r="K386"/>
  <c r="G386"/>
  <c r="AB386"/>
  <c r="L386"/>
  <c r="H386"/>
  <c r="D386"/>
  <c r="Q386"/>
  <c r="M386"/>
  <c r="I386"/>
  <c r="E386"/>
  <c r="R401"/>
  <c r="J401"/>
  <c r="F401"/>
  <c r="K401"/>
  <c r="G401"/>
  <c r="AB401"/>
  <c r="L401"/>
  <c r="H401"/>
  <c r="D401"/>
  <c r="Q401"/>
  <c r="M401"/>
  <c r="I401"/>
  <c r="E401"/>
  <c r="R406"/>
  <c r="J406"/>
  <c r="F406"/>
  <c r="K406"/>
  <c r="G406"/>
  <c r="AB406"/>
  <c r="L406"/>
  <c r="H406"/>
  <c r="D406"/>
  <c r="M406"/>
  <c r="I406"/>
  <c r="E406"/>
  <c r="V411"/>
  <c r="R411"/>
  <c r="N411"/>
  <c r="J411"/>
  <c r="F411"/>
  <c r="W411"/>
  <c r="S411"/>
  <c r="O411"/>
  <c r="K411"/>
  <c r="G411"/>
  <c r="AB411"/>
  <c r="X411"/>
  <c r="T411"/>
  <c r="P411"/>
  <c r="L411"/>
  <c r="H411"/>
  <c r="D411"/>
  <c r="U411"/>
  <c r="Q411"/>
  <c r="M411"/>
  <c r="I411"/>
  <c r="E411"/>
  <c r="R415"/>
  <c r="N415"/>
  <c r="J415"/>
  <c r="F415"/>
  <c r="S415"/>
  <c r="O415"/>
  <c r="K415"/>
  <c r="G415"/>
  <c r="AB415"/>
  <c r="P415"/>
  <c r="L415"/>
  <c r="H415"/>
  <c r="D415"/>
  <c r="Q415"/>
  <c r="M415"/>
  <c r="I415"/>
  <c r="E415"/>
  <c r="R420"/>
  <c r="J420"/>
  <c r="F420"/>
  <c r="K420"/>
  <c r="G420"/>
  <c r="AB420"/>
  <c r="L420"/>
  <c r="H420"/>
  <c r="D420"/>
  <c r="Q420"/>
  <c r="M420"/>
  <c r="I420"/>
  <c r="E420"/>
  <c r="J425"/>
  <c r="F425"/>
  <c r="K425"/>
  <c r="G425"/>
  <c r="L425"/>
  <c r="H425"/>
  <c r="D425"/>
  <c r="AB425"/>
  <c r="Q425"/>
  <c r="M425"/>
  <c r="I425"/>
  <c r="E425"/>
  <c r="K429"/>
  <c r="G429"/>
  <c r="AB429"/>
  <c r="Q429"/>
  <c r="L429"/>
  <c r="F429"/>
  <c r="M429"/>
  <c r="H429"/>
  <c r="I429"/>
  <c r="D429"/>
  <c r="J429"/>
  <c r="E429"/>
  <c r="AB434"/>
  <c r="L434"/>
  <c r="H434"/>
  <c r="D434"/>
  <c r="Q434"/>
  <c r="M434"/>
  <c r="I434"/>
  <c r="E434"/>
  <c r="R434"/>
  <c r="J434"/>
  <c r="F434"/>
  <c r="K434"/>
  <c r="G434"/>
  <c r="AB438"/>
  <c r="X438"/>
  <c r="T438"/>
  <c r="P438"/>
  <c r="L438"/>
  <c r="H438"/>
  <c r="D438"/>
  <c r="U438"/>
  <c r="Q438"/>
  <c r="M438"/>
  <c r="I438"/>
  <c r="E438"/>
  <c r="V438"/>
  <c r="R438"/>
  <c r="N438"/>
  <c r="J438"/>
  <c r="F438"/>
  <c r="W438"/>
  <c r="S438"/>
  <c r="O438"/>
  <c r="K438"/>
  <c r="G438"/>
  <c r="AB443"/>
  <c r="T443"/>
  <c r="P443"/>
  <c r="L443"/>
  <c r="H443"/>
  <c r="D443"/>
  <c r="Q443"/>
  <c r="M443"/>
  <c r="I443"/>
  <c r="E443"/>
  <c r="R443"/>
  <c r="N443"/>
  <c r="J443"/>
  <c r="F443"/>
  <c r="S443"/>
  <c r="O443"/>
  <c r="K443"/>
  <c r="G443"/>
  <c r="AB455"/>
  <c r="T455"/>
  <c r="P455"/>
  <c r="L455"/>
  <c r="H455"/>
  <c r="D455"/>
  <c r="U455"/>
  <c r="Q455"/>
  <c r="M455"/>
  <c r="I455"/>
  <c r="E455"/>
  <c r="V455"/>
  <c r="R455"/>
  <c r="N455"/>
  <c r="J455"/>
  <c r="F455"/>
  <c r="W455"/>
  <c r="S455"/>
  <c r="O455"/>
  <c r="K455"/>
  <c r="G455"/>
  <c r="P11" i="71"/>
  <c r="L11"/>
  <c r="H11"/>
  <c r="D11"/>
  <c r="Q11"/>
  <c r="M11"/>
  <c r="I11"/>
  <c r="E11"/>
  <c r="R11"/>
  <c r="N11"/>
  <c r="J11"/>
  <c r="F11"/>
  <c r="S11"/>
  <c r="O11"/>
  <c r="K11"/>
  <c r="G11"/>
  <c r="AB15"/>
  <c r="X15"/>
  <c r="T15"/>
  <c r="P15"/>
  <c r="L15"/>
  <c r="H15"/>
  <c r="D15"/>
  <c r="U15"/>
  <c r="Q15"/>
  <c r="M15"/>
  <c r="I15"/>
  <c r="E15"/>
  <c r="V15"/>
  <c r="R15"/>
  <c r="N15"/>
  <c r="J15"/>
  <c r="F15"/>
  <c r="W15"/>
  <c r="S15"/>
  <c r="O15"/>
  <c r="K15"/>
  <c r="G15"/>
  <c r="AB19"/>
  <c r="T19"/>
  <c r="P19"/>
  <c r="L19"/>
  <c r="H19"/>
  <c r="D19"/>
  <c r="Q19"/>
  <c r="M19"/>
  <c r="I19"/>
  <c r="E19"/>
  <c r="R19"/>
  <c r="N19"/>
  <c r="J19"/>
  <c r="F19"/>
  <c r="S19"/>
  <c r="O19"/>
  <c r="K19"/>
  <c r="G19"/>
  <c r="AB23"/>
  <c r="P23"/>
  <c r="L23"/>
  <c r="H23"/>
  <c r="D23"/>
  <c r="Q23"/>
  <c r="M23"/>
  <c r="I23"/>
  <c r="E23"/>
  <c r="R23"/>
  <c r="N23"/>
  <c r="J23"/>
  <c r="F23"/>
  <c r="S23"/>
  <c r="O23"/>
  <c r="K23"/>
  <c r="G23"/>
  <c r="AB28"/>
  <c r="P28"/>
  <c r="L28"/>
  <c r="H28"/>
  <c r="D28"/>
  <c r="Q28"/>
  <c r="M28"/>
  <c r="I28"/>
  <c r="E28"/>
  <c r="R28"/>
  <c r="N28"/>
  <c r="J28"/>
  <c r="F28"/>
  <c r="S28"/>
  <c r="O28"/>
  <c r="K28"/>
  <c r="G28"/>
  <c r="AB32"/>
  <c r="P32"/>
  <c r="L32"/>
  <c r="H32"/>
  <c r="D32"/>
  <c r="Q32"/>
  <c r="M32"/>
  <c r="I32"/>
  <c r="E32"/>
  <c r="R32"/>
  <c r="N32"/>
  <c r="J32"/>
  <c r="F32"/>
  <c r="S32"/>
  <c r="O32"/>
  <c r="K32"/>
  <c r="G32"/>
  <c r="AB37"/>
  <c r="L37"/>
  <c r="H37"/>
  <c r="D37"/>
  <c r="Q37"/>
  <c r="M37"/>
  <c r="I37"/>
  <c r="E37"/>
  <c r="J37"/>
  <c r="F37"/>
  <c r="K37"/>
  <c r="G37"/>
  <c r="AB41"/>
  <c r="X41"/>
  <c r="T41"/>
  <c r="P41"/>
  <c r="L41"/>
  <c r="H41"/>
  <c r="D41"/>
  <c r="U41"/>
  <c r="Q41"/>
  <c r="M41"/>
  <c r="I41"/>
  <c r="E41"/>
  <c r="V41"/>
  <c r="R41"/>
  <c r="N41"/>
  <c r="J41"/>
  <c r="F41"/>
  <c r="W41"/>
  <c r="S41"/>
  <c r="O41"/>
  <c r="K41"/>
  <c r="G41"/>
  <c r="AB46"/>
  <c r="X46"/>
  <c r="T46"/>
  <c r="P46"/>
  <c r="L46"/>
  <c r="H46"/>
  <c r="D46"/>
  <c r="U46"/>
  <c r="Q46"/>
  <c r="M46"/>
  <c r="I46"/>
  <c r="E46"/>
  <c r="V46"/>
  <c r="R46"/>
  <c r="N46"/>
  <c r="J46"/>
  <c r="F46"/>
  <c r="W46"/>
  <c r="S46"/>
  <c r="O46"/>
  <c r="K46"/>
  <c r="G46"/>
  <c r="AB50"/>
  <c r="L50"/>
  <c r="H50"/>
  <c r="D50"/>
  <c r="M50"/>
  <c r="I50"/>
  <c r="E50"/>
  <c r="J50"/>
  <c r="F50"/>
  <c r="K50"/>
  <c r="G50"/>
  <c r="AB54"/>
  <c r="X54"/>
  <c r="T54"/>
  <c r="P54"/>
  <c r="L54"/>
  <c r="H54"/>
  <c r="D54"/>
  <c r="U54"/>
  <c r="Q54"/>
  <c r="M54"/>
  <c r="I54"/>
  <c r="E54"/>
  <c r="V54"/>
  <c r="R54"/>
  <c r="N54"/>
  <c r="J54"/>
  <c r="F54"/>
  <c r="W54"/>
  <c r="S54"/>
  <c r="O54"/>
  <c r="K54"/>
  <c r="G54"/>
  <c r="AB59"/>
  <c r="L59"/>
  <c r="H59"/>
  <c r="D59"/>
  <c r="Q59"/>
  <c r="M59"/>
  <c r="I59"/>
  <c r="E59"/>
  <c r="J59"/>
  <c r="F59"/>
  <c r="K59"/>
  <c r="G59"/>
  <c r="AB63"/>
  <c r="P63"/>
  <c r="L63"/>
  <c r="H63"/>
  <c r="D63"/>
  <c r="Q63"/>
  <c r="M63"/>
  <c r="I63"/>
  <c r="E63"/>
  <c r="R63"/>
  <c r="N63"/>
  <c r="J63"/>
  <c r="F63"/>
  <c r="S63"/>
  <c r="O63"/>
  <c r="K63"/>
  <c r="G63"/>
  <c r="AB67"/>
  <c r="L67"/>
  <c r="H67"/>
  <c r="D67"/>
  <c r="Q67"/>
  <c r="M67"/>
  <c r="I67"/>
  <c r="E67"/>
  <c r="J67"/>
  <c r="F67"/>
  <c r="K67"/>
  <c r="G67"/>
  <c r="AB71"/>
  <c r="L71"/>
  <c r="H71"/>
  <c r="D71"/>
  <c r="M71"/>
  <c r="I71"/>
  <c r="E71"/>
  <c r="J71"/>
  <c r="F71"/>
  <c r="K71"/>
  <c r="G71"/>
  <c r="AB79"/>
  <c r="L79"/>
  <c r="H79"/>
  <c r="D79"/>
  <c r="Q79"/>
  <c r="M79"/>
  <c r="I79"/>
  <c r="E79"/>
  <c r="R79"/>
  <c r="J79"/>
  <c r="F79"/>
  <c r="K79"/>
  <c r="G79"/>
  <c r="AB89"/>
  <c r="P89"/>
  <c r="L89"/>
  <c r="H89"/>
  <c r="D89"/>
  <c r="Q89"/>
  <c r="M89"/>
  <c r="I89"/>
  <c r="E89"/>
  <c r="R89"/>
  <c r="N89"/>
  <c r="J89"/>
  <c r="F89"/>
  <c r="S89"/>
  <c r="O89"/>
  <c r="K89"/>
  <c r="G89"/>
  <c r="AB93"/>
  <c r="L93"/>
  <c r="H93"/>
  <c r="D93"/>
  <c r="Q93"/>
  <c r="M93"/>
  <c r="I93"/>
  <c r="E93"/>
  <c r="R93"/>
  <c r="J93"/>
  <c r="F93"/>
  <c r="K93"/>
  <c r="G93"/>
  <c r="AB97"/>
  <c r="L97"/>
  <c r="H97"/>
  <c r="D97"/>
  <c r="Q97"/>
  <c r="M97"/>
  <c r="I97"/>
  <c r="E97"/>
  <c r="J97"/>
  <c r="F97"/>
  <c r="K97"/>
  <c r="G97"/>
  <c r="P119"/>
  <c r="L119"/>
  <c r="H119"/>
  <c r="D119"/>
  <c r="Q119"/>
  <c r="M119"/>
  <c r="I119"/>
  <c r="E119"/>
  <c r="R119"/>
  <c r="N119"/>
  <c r="J119"/>
  <c r="F119"/>
  <c r="S119"/>
  <c r="O119"/>
  <c r="K119"/>
  <c r="G119"/>
  <c r="P123"/>
  <c r="L123"/>
  <c r="H123"/>
  <c r="D123"/>
  <c r="Q123"/>
  <c r="M123"/>
  <c r="I123"/>
  <c r="E123"/>
  <c r="R123"/>
  <c r="N123"/>
  <c r="J123"/>
  <c r="F123"/>
  <c r="S123"/>
  <c r="O123"/>
  <c r="K123"/>
  <c r="G123"/>
  <c r="AB128"/>
  <c r="L128"/>
  <c r="H128"/>
  <c r="D128"/>
  <c r="Q128"/>
  <c r="M128"/>
  <c r="I128"/>
  <c r="E128"/>
  <c r="R128"/>
  <c r="J128"/>
  <c r="F128"/>
  <c r="K128"/>
  <c r="G128"/>
  <c r="AB145"/>
  <c r="L145"/>
  <c r="H145"/>
  <c r="D145"/>
  <c r="Q145"/>
  <c r="M145"/>
  <c r="I145"/>
  <c r="E145"/>
  <c r="R145"/>
  <c r="J145"/>
  <c r="F145"/>
  <c r="K145"/>
  <c r="G145"/>
  <c r="AB149"/>
  <c r="L149"/>
  <c r="H149"/>
  <c r="D149"/>
  <c r="Q149"/>
  <c r="M149"/>
  <c r="I149"/>
  <c r="E149"/>
  <c r="J149"/>
  <c r="F149"/>
  <c r="K149"/>
  <c r="G149"/>
  <c r="AB191"/>
  <c r="L191"/>
  <c r="H191"/>
  <c r="D191"/>
  <c r="Q191"/>
  <c r="M191"/>
  <c r="I191"/>
  <c r="E191"/>
  <c r="R191"/>
  <c r="J191"/>
  <c r="F191"/>
  <c r="K191"/>
  <c r="G191"/>
  <c r="AB195"/>
  <c r="P195"/>
  <c r="L195"/>
  <c r="H195"/>
  <c r="D195"/>
  <c r="Q195"/>
  <c r="M195"/>
  <c r="I195"/>
  <c r="E195"/>
  <c r="R195"/>
  <c r="N195"/>
  <c r="J195"/>
  <c r="F195"/>
  <c r="S195"/>
  <c r="O195"/>
  <c r="K195"/>
  <c r="G195"/>
  <c r="AB199"/>
  <c r="P199"/>
  <c r="L199"/>
  <c r="H199"/>
  <c r="D199"/>
  <c r="Q199"/>
  <c r="M199"/>
  <c r="I199"/>
  <c r="E199"/>
  <c r="R199"/>
  <c r="N199"/>
  <c r="J199"/>
  <c r="F199"/>
  <c r="S199"/>
  <c r="O199"/>
  <c r="K199"/>
  <c r="G199"/>
  <c r="P203"/>
  <c r="L203"/>
  <c r="H203"/>
  <c r="D203"/>
  <c r="Q203"/>
  <c r="M203"/>
  <c r="I203"/>
  <c r="E203"/>
  <c r="R203"/>
  <c r="N203"/>
  <c r="J203"/>
  <c r="F203"/>
  <c r="S203"/>
  <c r="O203"/>
  <c r="K203"/>
  <c r="G203"/>
  <c r="AB207"/>
  <c r="P207"/>
  <c r="L207"/>
  <c r="H207"/>
  <c r="D207"/>
  <c r="Q207"/>
  <c r="M207"/>
  <c r="I207"/>
  <c r="E207"/>
  <c r="R207"/>
  <c r="N207"/>
  <c r="J207"/>
  <c r="F207"/>
  <c r="S207"/>
  <c r="O207"/>
  <c r="K207"/>
  <c r="G207"/>
  <c r="AB211"/>
  <c r="L211"/>
  <c r="H211"/>
  <c r="D211"/>
  <c r="Q211"/>
  <c r="M211"/>
  <c r="I211"/>
  <c r="E211"/>
  <c r="R211"/>
  <c r="N211"/>
  <c r="J211"/>
  <c r="F211"/>
  <c r="S211"/>
  <c r="K211"/>
  <c r="G211"/>
  <c r="AB216"/>
  <c r="L216"/>
  <c r="H216"/>
  <c r="D216"/>
  <c r="Q216"/>
  <c r="M216"/>
  <c r="I216"/>
  <c r="E216"/>
  <c r="R216"/>
  <c r="J216"/>
  <c r="F216"/>
  <c r="K216"/>
  <c r="G216"/>
  <c r="R220"/>
  <c r="L220"/>
  <c r="H220"/>
  <c r="D220"/>
  <c r="AB220"/>
  <c r="Q220"/>
  <c r="M220"/>
  <c r="I220"/>
  <c r="E220"/>
  <c r="J220"/>
  <c r="F220"/>
  <c r="K220"/>
  <c r="G220"/>
  <c r="R241"/>
  <c r="N241"/>
  <c r="J241"/>
  <c r="F241"/>
  <c r="T241"/>
  <c r="O241"/>
  <c r="I241"/>
  <c r="D241"/>
  <c r="P241"/>
  <c r="K241"/>
  <c r="E241"/>
  <c r="AB241"/>
  <c r="Q241"/>
  <c r="L241"/>
  <c r="G241"/>
  <c r="S241"/>
  <c r="M241"/>
  <c r="H241"/>
  <c r="R245"/>
  <c r="J245"/>
  <c r="F245"/>
  <c r="M245"/>
  <c r="H245"/>
  <c r="I245"/>
  <c r="D245"/>
  <c r="K245"/>
  <c r="E245"/>
  <c r="AB245"/>
  <c r="Q245"/>
  <c r="L245"/>
  <c r="G245"/>
  <c r="S249"/>
  <c r="O249"/>
  <c r="K249"/>
  <c r="G249"/>
  <c r="AB249"/>
  <c r="P249"/>
  <c r="L249"/>
  <c r="H249"/>
  <c r="D249"/>
  <c r="Q249"/>
  <c r="M249"/>
  <c r="I249"/>
  <c r="E249"/>
  <c r="R249"/>
  <c r="N249"/>
  <c r="J249"/>
  <c r="F249"/>
  <c r="K253"/>
  <c r="G253"/>
  <c r="AB253"/>
  <c r="L253"/>
  <c r="H253"/>
  <c r="D253"/>
  <c r="Q253"/>
  <c r="M253"/>
  <c r="I253"/>
  <c r="E253"/>
  <c r="R253"/>
  <c r="J253"/>
  <c r="F253"/>
  <c r="S257"/>
  <c r="O257"/>
  <c r="K257"/>
  <c r="G257"/>
  <c r="AB257"/>
  <c r="P257"/>
  <c r="L257"/>
  <c r="H257"/>
  <c r="D257"/>
  <c r="Q257"/>
  <c r="M257"/>
  <c r="I257"/>
  <c r="E257"/>
  <c r="R257"/>
  <c r="N257"/>
  <c r="J257"/>
  <c r="F257"/>
  <c r="S357"/>
  <c r="O357"/>
  <c r="K357"/>
  <c r="G357"/>
  <c r="P357"/>
  <c r="L357"/>
  <c r="H357"/>
  <c r="D357"/>
  <c r="Q357"/>
  <c r="M357"/>
  <c r="I357"/>
  <c r="E357"/>
  <c r="R357"/>
  <c r="N357"/>
  <c r="J357"/>
  <c r="F357"/>
  <c r="S364"/>
  <c r="O364"/>
  <c r="K364"/>
  <c r="G364"/>
  <c r="T364"/>
  <c r="P364"/>
  <c r="L364"/>
  <c r="H364"/>
  <c r="D364"/>
  <c r="Q364"/>
  <c r="M364"/>
  <c r="I364"/>
  <c r="E364"/>
  <c r="R364"/>
  <c r="N364"/>
  <c r="J364"/>
  <c r="F364"/>
  <c r="S371"/>
  <c r="O371"/>
  <c r="K371"/>
  <c r="G371"/>
  <c r="AB371"/>
  <c r="P371"/>
  <c r="L371"/>
  <c r="H371"/>
  <c r="D371"/>
  <c r="Q371"/>
  <c r="M371"/>
  <c r="I371"/>
  <c r="E371"/>
  <c r="R371"/>
  <c r="N371"/>
  <c r="J371"/>
  <c r="F371"/>
  <c r="S376"/>
  <c r="O376"/>
  <c r="K376"/>
  <c r="G376"/>
  <c r="P376"/>
  <c r="L376"/>
  <c r="H376"/>
  <c r="D376"/>
  <c r="Q376"/>
  <c r="M376"/>
  <c r="I376"/>
  <c r="E376"/>
  <c r="R376"/>
  <c r="N376"/>
  <c r="J376"/>
  <c r="F376"/>
  <c r="W388"/>
  <c r="S388"/>
  <c r="O388"/>
  <c r="K388"/>
  <c r="G388"/>
  <c r="T388"/>
  <c r="P388"/>
  <c r="L388"/>
  <c r="H388"/>
  <c r="D388"/>
  <c r="U388"/>
  <c r="Q388"/>
  <c r="M388"/>
  <c r="I388"/>
  <c r="E388"/>
  <c r="V388"/>
  <c r="R388"/>
  <c r="N388"/>
  <c r="J388"/>
  <c r="F388"/>
  <c r="S402"/>
  <c r="O402"/>
  <c r="K402"/>
  <c r="G402"/>
  <c r="AB402"/>
  <c r="P402"/>
  <c r="L402"/>
  <c r="H402"/>
  <c r="D402"/>
  <c r="Q402"/>
  <c r="M402"/>
  <c r="I402"/>
  <c r="E402"/>
  <c r="R402"/>
  <c r="N402"/>
  <c r="J402"/>
  <c r="F402"/>
  <c r="S407"/>
  <c r="O407"/>
  <c r="K407"/>
  <c r="G407"/>
  <c r="AB407"/>
  <c r="P407"/>
  <c r="L407"/>
  <c r="H407"/>
  <c r="D407"/>
  <c r="Q407"/>
  <c r="M407"/>
  <c r="I407"/>
  <c r="E407"/>
  <c r="R407"/>
  <c r="N407"/>
  <c r="J407"/>
  <c r="F407"/>
  <c r="S412"/>
  <c r="O412"/>
  <c r="K412"/>
  <c r="G412"/>
  <c r="AB412"/>
  <c r="P412"/>
  <c r="L412"/>
  <c r="H412"/>
  <c r="D412"/>
  <c r="Q412"/>
  <c r="M412"/>
  <c r="I412"/>
  <c r="E412"/>
  <c r="R412"/>
  <c r="N412"/>
  <c r="J412"/>
  <c r="F412"/>
  <c r="S416"/>
  <c r="O416"/>
  <c r="K416"/>
  <c r="G416"/>
  <c r="AB416"/>
  <c r="P416"/>
  <c r="L416"/>
  <c r="H416"/>
  <c r="D416"/>
  <c r="Q416"/>
  <c r="M416"/>
  <c r="I416"/>
  <c r="E416"/>
  <c r="R416"/>
  <c r="N416"/>
  <c r="J416"/>
  <c r="F416"/>
  <c r="S421"/>
  <c r="O421"/>
  <c r="K421"/>
  <c r="G421"/>
  <c r="AB421"/>
  <c r="P421"/>
  <c r="L421"/>
  <c r="H421"/>
  <c r="D421"/>
  <c r="Q421"/>
  <c r="M421"/>
  <c r="I421"/>
  <c r="E421"/>
  <c r="R421"/>
  <c r="N421"/>
  <c r="J421"/>
  <c r="F421"/>
  <c r="S426"/>
  <c r="O426"/>
  <c r="K426"/>
  <c r="G426"/>
  <c r="AB426"/>
  <c r="T426"/>
  <c r="P426"/>
  <c r="L426"/>
  <c r="H426"/>
  <c r="D426"/>
  <c r="Q426"/>
  <c r="M426"/>
  <c r="I426"/>
  <c r="E426"/>
  <c r="R426"/>
  <c r="N426"/>
  <c r="J426"/>
  <c r="F426"/>
  <c r="S430"/>
  <c r="O430"/>
  <c r="K430"/>
  <c r="G430"/>
  <c r="AB430"/>
  <c r="T430"/>
  <c r="P430"/>
  <c r="L430"/>
  <c r="H430"/>
  <c r="D430"/>
  <c r="U430"/>
  <c r="Q430"/>
  <c r="M430"/>
  <c r="I430"/>
  <c r="E430"/>
  <c r="R430"/>
  <c r="N430"/>
  <c r="J430"/>
  <c r="F430"/>
  <c r="S435"/>
  <c r="O435"/>
  <c r="K435"/>
  <c r="G435"/>
  <c r="AB435"/>
  <c r="P435"/>
  <c r="L435"/>
  <c r="H435"/>
  <c r="D435"/>
  <c r="Q435"/>
  <c r="M435"/>
  <c r="I435"/>
  <c r="E435"/>
  <c r="R435"/>
  <c r="N435"/>
  <c r="J435"/>
  <c r="F435"/>
  <c r="S439"/>
  <c r="O439"/>
  <c r="K439"/>
  <c r="G439"/>
  <c r="AB439"/>
  <c r="P439"/>
  <c r="L439"/>
  <c r="H439"/>
  <c r="D439"/>
  <c r="Q439"/>
  <c r="M439"/>
  <c r="I439"/>
  <c r="E439"/>
  <c r="R439"/>
  <c r="N439"/>
  <c r="J439"/>
  <c r="F439"/>
  <c r="S444"/>
  <c r="O444"/>
  <c r="K444"/>
  <c r="G444"/>
  <c r="AB444"/>
  <c r="T444"/>
  <c r="P444"/>
  <c r="L444"/>
  <c r="H444"/>
  <c r="D444"/>
  <c r="Q444"/>
  <c r="M444"/>
  <c r="I444"/>
  <c r="E444"/>
  <c r="R444"/>
  <c r="N444"/>
  <c r="J444"/>
  <c r="F444"/>
  <c r="W457"/>
  <c r="S457"/>
  <c r="O457"/>
  <c r="K457"/>
  <c r="G457"/>
  <c r="AB457"/>
  <c r="T457"/>
  <c r="P457"/>
  <c r="L457"/>
  <c r="H457"/>
  <c r="D457"/>
  <c r="U457"/>
  <c r="Q457"/>
  <c r="M457"/>
  <c r="I457"/>
  <c r="E457"/>
  <c r="V457"/>
  <c r="R457"/>
  <c r="N457"/>
  <c r="J457"/>
  <c r="F457"/>
  <c r="S12" i="72"/>
  <c r="O12"/>
  <c r="K12"/>
  <c r="G12"/>
  <c r="T12"/>
  <c r="P12"/>
  <c r="L12"/>
  <c r="H12"/>
  <c r="D12"/>
  <c r="Q12"/>
  <c r="M12"/>
  <c r="I12"/>
  <c r="E12"/>
  <c r="R12"/>
  <c r="N12"/>
  <c r="J12"/>
  <c r="F12"/>
  <c r="K16"/>
  <c r="G16"/>
  <c r="L16"/>
  <c r="H16"/>
  <c r="D16"/>
  <c r="M16"/>
  <c r="I16"/>
  <c r="E16"/>
  <c r="J16"/>
  <c r="F16"/>
  <c r="W20"/>
  <c r="S20"/>
  <c r="O20"/>
  <c r="K20"/>
  <c r="G20"/>
  <c r="X20"/>
  <c r="T20"/>
  <c r="P20"/>
  <c r="L20"/>
  <c r="H20"/>
  <c r="D20"/>
  <c r="U20"/>
  <c r="Q20"/>
  <c r="M20"/>
  <c r="I20"/>
  <c r="E20"/>
  <c r="V20"/>
  <c r="R20"/>
  <c r="N20"/>
  <c r="J20"/>
  <c r="F20"/>
  <c r="S24"/>
  <c r="O24"/>
  <c r="K24"/>
  <c r="G24"/>
  <c r="P24"/>
  <c r="L24"/>
  <c r="H24"/>
  <c r="D24"/>
  <c r="Q24"/>
  <c r="M24"/>
  <c r="I24"/>
  <c r="E24"/>
  <c r="R24"/>
  <c r="N24"/>
  <c r="J24"/>
  <c r="F24"/>
  <c r="S29"/>
  <c r="O29"/>
  <c r="K29"/>
  <c r="G29"/>
  <c r="P29"/>
  <c r="L29"/>
  <c r="H29"/>
  <c r="D29"/>
  <c r="Q29"/>
  <c r="M29"/>
  <c r="I29"/>
  <c r="E29"/>
  <c r="R29"/>
  <c r="N29"/>
  <c r="J29"/>
  <c r="F29"/>
  <c r="K33"/>
  <c r="G33"/>
  <c r="L33"/>
  <c r="H33"/>
  <c r="D33"/>
  <c r="Q33"/>
  <c r="M33"/>
  <c r="I33"/>
  <c r="E33"/>
  <c r="J33"/>
  <c r="F33"/>
  <c r="K38"/>
  <c r="G38"/>
  <c r="L38"/>
  <c r="H38"/>
  <c r="D38"/>
  <c r="Q38"/>
  <c r="M38"/>
  <c r="I38"/>
  <c r="E38"/>
  <c r="J38"/>
  <c r="F38"/>
  <c r="K42"/>
  <c r="G42"/>
  <c r="L42"/>
  <c r="H42"/>
  <c r="D42"/>
  <c r="Q42"/>
  <c r="M42"/>
  <c r="I42"/>
  <c r="E42"/>
  <c r="J42"/>
  <c r="F42"/>
  <c r="AA47"/>
  <c r="W47"/>
  <c r="S47"/>
  <c r="O47"/>
  <c r="K47"/>
  <c r="G47"/>
  <c r="X47"/>
  <c r="T47"/>
  <c r="P47"/>
  <c r="L47"/>
  <c r="H47"/>
  <c r="D47"/>
  <c r="U47"/>
  <c r="Q47"/>
  <c r="M47"/>
  <c r="I47"/>
  <c r="E47"/>
  <c r="V47"/>
  <c r="R47"/>
  <c r="N47"/>
  <c r="J47"/>
  <c r="F47"/>
  <c r="W51"/>
  <c r="S51"/>
  <c r="O51"/>
  <c r="K51"/>
  <c r="G51"/>
  <c r="X51"/>
  <c r="T51"/>
  <c r="P51"/>
  <c r="L51"/>
  <c r="H51"/>
  <c r="D51"/>
  <c r="U51"/>
  <c r="Q51"/>
  <c r="M51"/>
  <c r="I51"/>
  <c r="E51"/>
  <c r="V51"/>
  <c r="R51"/>
  <c r="N51"/>
  <c r="J51"/>
  <c r="F51"/>
  <c r="W55"/>
  <c r="S55"/>
  <c r="O55"/>
  <c r="K55"/>
  <c r="G55"/>
  <c r="X55"/>
  <c r="T55"/>
  <c r="P55"/>
  <c r="L55"/>
  <c r="H55"/>
  <c r="D55"/>
  <c r="U55"/>
  <c r="Q55"/>
  <c r="M55"/>
  <c r="I55"/>
  <c r="E55"/>
  <c r="V55"/>
  <c r="R55"/>
  <c r="N55"/>
  <c r="J55"/>
  <c r="F55"/>
  <c r="S60"/>
  <c r="O60"/>
  <c r="K60"/>
  <c r="G60"/>
  <c r="P60"/>
  <c r="L60"/>
  <c r="H60"/>
  <c r="D60"/>
  <c r="Q60"/>
  <c r="M60"/>
  <c r="I60"/>
  <c r="E60"/>
  <c r="R60"/>
  <c r="N60"/>
  <c r="J60"/>
  <c r="F60"/>
  <c r="AA64"/>
  <c r="W64"/>
  <c r="S64"/>
  <c r="O64"/>
  <c r="K64"/>
  <c r="G64"/>
  <c r="X64"/>
  <c r="T64"/>
  <c r="P64"/>
  <c r="L64"/>
  <c r="H64"/>
  <c r="D64"/>
  <c r="U64"/>
  <c r="Q64"/>
  <c r="M64"/>
  <c r="I64"/>
  <c r="E64"/>
  <c r="V64"/>
  <c r="R64"/>
  <c r="N64"/>
  <c r="J64"/>
  <c r="F64"/>
  <c r="W68"/>
  <c r="S68"/>
  <c r="O68"/>
  <c r="K68"/>
  <c r="G68"/>
  <c r="X68"/>
  <c r="T68"/>
  <c r="P68"/>
  <c r="L68"/>
  <c r="H68"/>
  <c r="D68"/>
  <c r="U68"/>
  <c r="Q68"/>
  <c r="M68"/>
  <c r="I68"/>
  <c r="E68"/>
  <c r="V68"/>
  <c r="R68"/>
  <c r="N68"/>
  <c r="J68"/>
  <c r="F68"/>
  <c r="W72"/>
  <c r="S72"/>
  <c r="O72"/>
  <c r="K72"/>
  <c r="G72"/>
  <c r="X72"/>
  <c r="T72"/>
  <c r="P72"/>
  <c r="L72"/>
  <c r="H72"/>
  <c r="D72"/>
  <c r="U72"/>
  <c r="Q72"/>
  <c r="M72"/>
  <c r="I72"/>
  <c r="E72"/>
  <c r="V72"/>
  <c r="R72"/>
  <c r="N72"/>
  <c r="J72"/>
  <c r="F72"/>
  <c r="S80"/>
  <c r="O80"/>
  <c r="K80"/>
  <c r="G80"/>
  <c r="P80"/>
  <c r="L80"/>
  <c r="H80"/>
  <c r="D80"/>
  <c r="Q80"/>
  <c r="M80"/>
  <c r="I80"/>
  <c r="E80"/>
  <c r="R80"/>
  <c r="N80"/>
  <c r="J80"/>
  <c r="F80"/>
  <c r="S90"/>
  <c r="O90"/>
  <c r="K90"/>
  <c r="G90"/>
  <c r="P90"/>
  <c r="L90"/>
  <c r="H90"/>
  <c r="D90"/>
  <c r="Q90"/>
  <c r="M90"/>
  <c r="I90"/>
  <c r="E90"/>
  <c r="R90"/>
  <c r="N90"/>
  <c r="J90"/>
  <c r="F90"/>
  <c r="P94"/>
  <c r="L94"/>
  <c r="Q94"/>
  <c r="K94"/>
  <c r="G94"/>
  <c r="R94"/>
  <c r="M94"/>
  <c r="H94"/>
  <c r="D94"/>
  <c r="S94"/>
  <c r="N94"/>
  <c r="I94"/>
  <c r="E94"/>
  <c r="O94"/>
  <c r="J94"/>
  <c r="F94"/>
  <c r="L98"/>
  <c r="H98"/>
  <c r="D98"/>
  <c r="J98"/>
  <c r="E98"/>
  <c r="Q98"/>
  <c r="K98"/>
  <c r="F98"/>
  <c r="R98"/>
  <c r="M98"/>
  <c r="G98"/>
  <c r="S98"/>
  <c r="N98"/>
  <c r="I98"/>
  <c r="P120"/>
  <c r="L120"/>
  <c r="H120"/>
  <c r="D120"/>
  <c r="S120"/>
  <c r="N120"/>
  <c r="I120"/>
  <c r="O120"/>
  <c r="J120"/>
  <c r="E120"/>
  <c r="Q120"/>
  <c r="K120"/>
  <c r="F120"/>
  <c r="R120"/>
  <c r="M120"/>
  <c r="G120"/>
  <c r="Q124"/>
  <c r="M124"/>
  <c r="I124"/>
  <c r="E124"/>
  <c r="R124"/>
  <c r="N124"/>
  <c r="J124"/>
  <c r="F124"/>
  <c r="S124"/>
  <c r="O124"/>
  <c r="K124"/>
  <c r="G124"/>
  <c r="P124"/>
  <c r="L124"/>
  <c r="H124"/>
  <c r="D124"/>
  <c r="U142"/>
  <c r="Q142"/>
  <c r="M142"/>
  <c r="I142"/>
  <c r="E142"/>
  <c r="R142"/>
  <c r="N142"/>
  <c r="J142"/>
  <c r="F142"/>
  <c r="S142"/>
  <c r="O142"/>
  <c r="K142"/>
  <c r="G142"/>
  <c r="T142"/>
  <c r="P142"/>
  <c r="L142"/>
  <c r="H142"/>
  <c r="D142"/>
  <c r="Q146"/>
  <c r="M146"/>
  <c r="I146"/>
  <c r="E146"/>
  <c r="R146"/>
  <c r="N146"/>
  <c r="J146"/>
  <c r="F146"/>
  <c r="S146"/>
  <c r="O146"/>
  <c r="K146"/>
  <c r="G146"/>
  <c r="P146"/>
  <c r="L146"/>
  <c r="H146"/>
  <c r="D146"/>
  <c r="U150"/>
  <c r="Q150"/>
  <c r="M150"/>
  <c r="I150"/>
  <c r="E150"/>
  <c r="V150"/>
  <c r="R150"/>
  <c r="N150"/>
  <c r="J150"/>
  <c r="F150"/>
  <c r="W150"/>
  <c r="S150"/>
  <c r="O150"/>
  <c r="K150"/>
  <c r="G150"/>
  <c r="AB150"/>
  <c r="T150"/>
  <c r="P150"/>
  <c r="L150"/>
  <c r="H150"/>
  <c r="D150"/>
  <c r="Q192"/>
  <c r="M192"/>
  <c r="I192"/>
  <c r="E192"/>
  <c r="R192"/>
  <c r="N192"/>
  <c r="J192"/>
  <c r="F192"/>
  <c r="S192"/>
  <c r="O192"/>
  <c r="K192"/>
  <c r="G192"/>
  <c r="AB192"/>
  <c r="T192"/>
  <c r="P192"/>
  <c r="L192"/>
  <c r="H192"/>
  <c r="D192"/>
  <c r="Q196"/>
  <c r="M196"/>
  <c r="I196"/>
  <c r="E196"/>
  <c r="R196"/>
  <c r="N196"/>
  <c r="J196"/>
  <c r="F196"/>
  <c r="S196"/>
  <c r="O196"/>
  <c r="K196"/>
  <c r="G196"/>
  <c r="P196"/>
  <c r="L196"/>
  <c r="H196"/>
  <c r="D196"/>
  <c r="Q200"/>
  <c r="M200"/>
  <c r="I200"/>
  <c r="E200"/>
  <c r="R200"/>
  <c r="N200"/>
  <c r="J200"/>
  <c r="F200"/>
  <c r="S200"/>
  <c r="O200"/>
  <c r="K200"/>
  <c r="G200"/>
  <c r="P200"/>
  <c r="L200"/>
  <c r="H200"/>
  <c r="D200"/>
  <c r="Q204"/>
  <c r="M204"/>
  <c r="I204"/>
  <c r="E204"/>
  <c r="R204"/>
  <c r="N204"/>
  <c r="J204"/>
  <c r="F204"/>
  <c r="S204"/>
  <c r="O204"/>
  <c r="K204"/>
  <c r="G204"/>
  <c r="P204"/>
  <c r="L204"/>
  <c r="H204"/>
  <c r="D204"/>
  <c r="Q208"/>
  <c r="M208"/>
  <c r="I208"/>
  <c r="E208"/>
  <c r="R208"/>
  <c r="N208"/>
  <c r="J208"/>
  <c r="F208"/>
  <c r="S208"/>
  <c r="O208"/>
  <c r="K208"/>
  <c r="G208"/>
  <c r="P208"/>
  <c r="L208"/>
  <c r="H208"/>
  <c r="D208"/>
  <c r="Q213"/>
  <c r="M213"/>
  <c r="I213"/>
  <c r="E213"/>
  <c r="R213"/>
  <c r="N213"/>
  <c r="J213"/>
  <c r="F213"/>
  <c r="S213"/>
  <c r="K213"/>
  <c r="G213"/>
  <c r="L213"/>
  <c r="H213"/>
  <c r="D213"/>
  <c r="Q217"/>
  <c r="M217"/>
  <c r="I217"/>
  <c r="E217"/>
  <c r="R217"/>
  <c r="N217"/>
  <c r="J217"/>
  <c r="F217"/>
  <c r="S217"/>
  <c r="O217"/>
  <c r="K217"/>
  <c r="G217"/>
  <c r="P217"/>
  <c r="L217"/>
  <c r="H217"/>
  <c r="D217"/>
  <c r="Q221"/>
  <c r="M221"/>
  <c r="I221"/>
  <c r="E221"/>
  <c r="R221"/>
  <c r="N221"/>
  <c r="J221"/>
  <c r="F221"/>
  <c r="S221"/>
  <c r="O221"/>
  <c r="K221"/>
  <c r="G221"/>
  <c r="AB221"/>
  <c r="T221"/>
  <c r="P221"/>
  <c r="L221"/>
  <c r="H221"/>
  <c r="D221"/>
  <c r="Q242"/>
  <c r="M242"/>
  <c r="I242"/>
  <c r="E242"/>
  <c r="R242"/>
  <c r="N242"/>
  <c r="J242"/>
  <c r="F242"/>
  <c r="S242"/>
  <c r="O242"/>
  <c r="K242"/>
  <c r="G242"/>
  <c r="P242"/>
  <c r="L242"/>
  <c r="H242"/>
  <c r="D242"/>
  <c r="Q246"/>
  <c r="M246"/>
  <c r="I246"/>
  <c r="E246"/>
  <c r="R246"/>
  <c r="N246"/>
  <c r="J246"/>
  <c r="F246"/>
  <c r="S246"/>
  <c r="O246"/>
  <c r="K246"/>
  <c r="G246"/>
  <c r="P246"/>
  <c r="L246"/>
  <c r="H246"/>
  <c r="D246"/>
  <c r="Q250"/>
  <c r="M250"/>
  <c r="I250"/>
  <c r="E250"/>
  <c r="R250"/>
  <c r="N250"/>
  <c r="J250"/>
  <c r="F250"/>
  <c r="S250"/>
  <c r="O250"/>
  <c r="K250"/>
  <c r="G250"/>
  <c r="P250"/>
  <c r="L250"/>
  <c r="H250"/>
  <c r="D250"/>
  <c r="Q254"/>
  <c r="M254"/>
  <c r="I254"/>
  <c r="E254"/>
  <c r="R254"/>
  <c r="N254"/>
  <c r="J254"/>
  <c r="F254"/>
  <c r="S254"/>
  <c r="O254"/>
  <c r="K254"/>
  <c r="G254"/>
  <c r="P254"/>
  <c r="L254"/>
  <c r="H254"/>
  <c r="D254"/>
  <c r="Q352"/>
  <c r="M352"/>
  <c r="I352"/>
  <c r="E352"/>
  <c r="R352"/>
  <c r="N352"/>
  <c r="J352"/>
  <c r="F352"/>
  <c r="S352"/>
  <c r="O352"/>
  <c r="K352"/>
  <c r="G352"/>
  <c r="P352"/>
  <c r="L352"/>
  <c r="H352"/>
  <c r="D352"/>
  <c r="Q365"/>
  <c r="M365"/>
  <c r="I365"/>
  <c r="E365"/>
  <c r="R365"/>
  <c r="N365"/>
  <c r="J365"/>
  <c r="F365"/>
  <c r="S365"/>
  <c r="O365"/>
  <c r="K365"/>
  <c r="G365"/>
  <c r="P365"/>
  <c r="L365"/>
  <c r="H365"/>
  <c r="D365"/>
  <c r="U372"/>
  <c r="Q372"/>
  <c r="M372"/>
  <c r="I372"/>
  <c r="E372"/>
  <c r="R372"/>
  <c r="N372"/>
  <c r="J372"/>
  <c r="F372"/>
  <c r="S372"/>
  <c r="O372"/>
  <c r="K372"/>
  <c r="G372"/>
  <c r="T372"/>
  <c r="P372"/>
  <c r="L372"/>
  <c r="H372"/>
  <c r="D372"/>
  <c r="Q384"/>
  <c r="M384"/>
  <c r="I384"/>
  <c r="E384"/>
  <c r="R384"/>
  <c r="N384"/>
  <c r="J384"/>
  <c r="F384"/>
  <c r="S384"/>
  <c r="O384"/>
  <c r="K384"/>
  <c r="G384"/>
  <c r="P384"/>
  <c r="L384"/>
  <c r="H384"/>
  <c r="D384"/>
  <c r="Q389"/>
  <c r="M389"/>
  <c r="I389"/>
  <c r="E389"/>
  <c r="V389"/>
  <c r="R389"/>
  <c r="N389"/>
  <c r="J389"/>
  <c r="F389"/>
  <c r="W389"/>
  <c r="S389"/>
  <c r="O389"/>
  <c r="K389"/>
  <c r="G389"/>
  <c r="T389"/>
  <c r="P389"/>
  <c r="L389"/>
  <c r="H389"/>
  <c r="D389"/>
  <c r="U404"/>
  <c r="Q404"/>
  <c r="M404"/>
  <c r="I404"/>
  <c r="E404"/>
  <c r="V404"/>
  <c r="R404"/>
  <c r="N404"/>
  <c r="J404"/>
  <c r="F404"/>
  <c r="W404"/>
  <c r="S404"/>
  <c r="O404"/>
  <c r="K404"/>
  <c r="G404"/>
  <c r="AB404"/>
  <c r="X404"/>
  <c r="T404"/>
  <c r="P404"/>
  <c r="L404"/>
  <c r="H404"/>
  <c r="D404"/>
  <c r="Q408"/>
  <c r="M408"/>
  <c r="I408"/>
  <c r="E408"/>
  <c r="R408"/>
  <c r="N408"/>
  <c r="J408"/>
  <c r="F408"/>
  <c r="S408"/>
  <c r="O408"/>
  <c r="K408"/>
  <c r="G408"/>
  <c r="AB408"/>
  <c r="P408"/>
  <c r="L408"/>
  <c r="H408"/>
  <c r="D408"/>
  <c r="Q413"/>
  <c r="M413"/>
  <c r="I413"/>
  <c r="E413"/>
  <c r="R413"/>
  <c r="N413"/>
  <c r="J413"/>
  <c r="F413"/>
  <c r="S413"/>
  <c r="O413"/>
  <c r="K413"/>
  <c r="G413"/>
  <c r="P413"/>
  <c r="L413"/>
  <c r="H413"/>
  <c r="D413"/>
  <c r="U417"/>
  <c r="Q417"/>
  <c r="M417"/>
  <c r="I417"/>
  <c r="E417"/>
  <c r="V417"/>
  <c r="R417"/>
  <c r="N417"/>
  <c r="J417"/>
  <c r="F417"/>
  <c r="W417"/>
  <c r="S417"/>
  <c r="O417"/>
  <c r="K417"/>
  <c r="G417"/>
  <c r="AB417"/>
  <c r="X417"/>
  <c r="T417"/>
  <c r="P417"/>
  <c r="L417"/>
  <c r="H417"/>
  <c r="D417"/>
  <c r="Q422"/>
  <c r="M422"/>
  <c r="I422"/>
  <c r="E422"/>
  <c r="R422"/>
  <c r="N422"/>
  <c r="J422"/>
  <c r="F422"/>
  <c r="S422"/>
  <c r="O422"/>
  <c r="K422"/>
  <c r="G422"/>
  <c r="P422"/>
  <c r="L422"/>
  <c r="H422"/>
  <c r="D422"/>
  <c r="M427"/>
  <c r="I427"/>
  <c r="E427"/>
  <c r="R427"/>
  <c r="J427"/>
  <c r="F427"/>
  <c r="K427"/>
  <c r="G427"/>
  <c r="AB427"/>
  <c r="L427"/>
  <c r="H427"/>
  <c r="D427"/>
  <c r="Q431"/>
  <c r="M431"/>
  <c r="I431"/>
  <c r="E431"/>
  <c r="R431"/>
  <c r="J431"/>
  <c r="F431"/>
  <c r="K431"/>
  <c r="G431"/>
  <c r="AB431"/>
  <c r="L431"/>
  <c r="H431"/>
  <c r="D431"/>
  <c r="Q436"/>
  <c r="M436"/>
  <c r="I436"/>
  <c r="E436"/>
  <c r="R436"/>
  <c r="N436"/>
  <c r="J436"/>
  <c r="F436"/>
  <c r="S436"/>
  <c r="O436"/>
  <c r="K436"/>
  <c r="G436"/>
  <c r="P436"/>
  <c r="L436"/>
  <c r="H436"/>
  <c r="D436"/>
  <c r="U441"/>
  <c r="Q441"/>
  <c r="M441"/>
  <c r="I441"/>
  <c r="E441"/>
  <c r="V441"/>
  <c r="R441"/>
  <c r="N441"/>
  <c r="J441"/>
  <c r="F441"/>
  <c r="W441"/>
  <c r="S441"/>
  <c r="O441"/>
  <c r="K441"/>
  <c r="G441"/>
  <c r="T441"/>
  <c r="P441"/>
  <c r="L441"/>
  <c r="H441"/>
  <c r="D441"/>
  <c r="U448"/>
  <c r="Q448"/>
  <c r="M448"/>
  <c r="I448"/>
  <c r="E448"/>
  <c r="V448"/>
  <c r="R448"/>
  <c r="N448"/>
  <c r="J448"/>
  <c r="F448"/>
  <c r="W448"/>
  <c r="S448"/>
  <c r="O448"/>
  <c r="K448"/>
  <c r="G448"/>
  <c r="T448"/>
  <c r="P448"/>
  <c r="L448"/>
  <c r="H448"/>
  <c r="D448"/>
  <c r="U461"/>
  <c r="Q461"/>
  <c r="M461"/>
  <c r="I461"/>
  <c r="E461"/>
  <c r="V461"/>
  <c r="R461"/>
  <c r="N461"/>
  <c r="J461"/>
  <c r="F461"/>
  <c r="W461"/>
  <c r="S461"/>
  <c r="O461"/>
  <c r="K461"/>
  <c r="G461"/>
  <c r="T461"/>
  <c r="P461"/>
  <c r="L461"/>
  <c r="H461"/>
  <c r="D461"/>
  <c r="Q13" i="73"/>
  <c r="M13"/>
  <c r="I13"/>
  <c r="E13"/>
  <c r="R13"/>
  <c r="N13"/>
  <c r="J13"/>
  <c r="F13"/>
  <c r="S13"/>
  <c r="O13"/>
  <c r="K13"/>
  <c r="G13"/>
  <c r="P13"/>
  <c r="L13"/>
  <c r="H13"/>
  <c r="D13"/>
  <c r="M17"/>
  <c r="I17"/>
  <c r="E17"/>
  <c r="J17"/>
  <c r="F17"/>
  <c r="K17"/>
  <c r="G17"/>
  <c r="L17"/>
  <c r="H17"/>
  <c r="D17"/>
  <c r="P21"/>
  <c r="L21"/>
  <c r="H21"/>
  <c r="R21"/>
  <c r="N21"/>
  <c r="J21"/>
  <c r="F21"/>
  <c r="Q21"/>
  <c r="I21"/>
  <c r="S21"/>
  <c r="K21"/>
  <c r="D21"/>
  <c r="M21"/>
  <c r="E21"/>
  <c r="O21"/>
  <c r="G21"/>
  <c r="S26"/>
  <c r="O26"/>
  <c r="K26"/>
  <c r="G26"/>
  <c r="P26"/>
  <c r="L26"/>
  <c r="H26"/>
  <c r="D26"/>
  <c r="Q26"/>
  <c r="M26"/>
  <c r="I26"/>
  <c r="E26"/>
  <c r="R26"/>
  <c r="N26"/>
  <c r="J26"/>
  <c r="F26"/>
  <c r="S30"/>
  <c r="O30"/>
  <c r="K30"/>
  <c r="G30"/>
  <c r="P30"/>
  <c r="L30"/>
  <c r="H30"/>
  <c r="D30"/>
  <c r="Q30"/>
  <c r="M30"/>
  <c r="I30"/>
  <c r="E30"/>
  <c r="R30"/>
  <c r="N30"/>
  <c r="J30"/>
  <c r="F30"/>
  <c r="S34"/>
  <c r="O34"/>
  <c r="K34"/>
  <c r="G34"/>
  <c r="P34"/>
  <c r="L34"/>
  <c r="H34"/>
  <c r="D34"/>
  <c r="Q34"/>
  <c r="M34"/>
  <c r="I34"/>
  <c r="E34"/>
  <c r="R34"/>
  <c r="N34"/>
  <c r="J34"/>
  <c r="F34"/>
  <c r="W39"/>
  <c r="S39"/>
  <c r="O39"/>
  <c r="K39"/>
  <c r="G39"/>
  <c r="X39"/>
  <c r="T39"/>
  <c r="P39"/>
  <c r="L39"/>
  <c r="H39"/>
  <c r="D39"/>
  <c r="U39"/>
  <c r="Q39"/>
  <c r="M39"/>
  <c r="I39"/>
  <c r="E39"/>
  <c r="V39"/>
  <c r="R39"/>
  <c r="N39"/>
  <c r="J39"/>
  <c r="F39"/>
  <c r="W44"/>
  <c r="S44"/>
  <c r="O44"/>
  <c r="K44"/>
  <c r="G44"/>
  <c r="T44"/>
  <c r="P44"/>
  <c r="L44"/>
  <c r="H44"/>
  <c r="D44"/>
  <c r="U44"/>
  <c r="Q44"/>
  <c r="M44"/>
  <c r="I44"/>
  <c r="E44"/>
  <c r="V44"/>
  <c r="R44"/>
  <c r="N44"/>
  <c r="J44"/>
  <c r="F44"/>
  <c r="S48"/>
  <c r="O48"/>
  <c r="K48"/>
  <c r="G48"/>
  <c r="P48"/>
  <c r="L48"/>
  <c r="H48"/>
  <c r="D48"/>
  <c r="Q48"/>
  <c r="M48"/>
  <c r="I48"/>
  <c r="E48"/>
  <c r="R48"/>
  <c r="N48"/>
  <c r="J48"/>
  <c r="F48"/>
  <c r="AA52"/>
  <c r="W52"/>
  <c r="S52"/>
  <c r="O52"/>
  <c r="K52"/>
  <c r="G52"/>
  <c r="X52"/>
  <c r="T52"/>
  <c r="P52"/>
  <c r="L52"/>
  <c r="H52"/>
  <c r="D52"/>
  <c r="U52"/>
  <c r="Q52"/>
  <c r="M52"/>
  <c r="I52"/>
  <c r="E52"/>
  <c r="V52"/>
  <c r="R52"/>
  <c r="N52"/>
  <c r="J52"/>
  <c r="F52"/>
  <c r="W57"/>
  <c r="S57"/>
  <c r="O57"/>
  <c r="K57"/>
  <c r="G57"/>
  <c r="T57"/>
  <c r="P57"/>
  <c r="L57"/>
  <c r="H57"/>
  <c r="D57"/>
  <c r="U57"/>
  <c r="Q57"/>
  <c r="M57"/>
  <c r="I57"/>
  <c r="E57"/>
  <c r="V57"/>
  <c r="R57"/>
  <c r="N57"/>
  <c r="J57"/>
  <c r="F57"/>
  <c r="S61"/>
  <c r="O61"/>
  <c r="K61"/>
  <c r="G61"/>
  <c r="P61"/>
  <c r="L61"/>
  <c r="H61"/>
  <c r="D61"/>
  <c r="Q61"/>
  <c r="M61"/>
  <c r="I61"/>
  <c r="E61"/>
  <c r="R61"/>
  <c r="N61"/>
  <c r="J61"/>
  <c r="F61"/>
  <c r="S65"/>
  <c r="O65"/>
  <c r="K65"/>
  <c r="G65"/>
  <c r="P65"/>
  <c r="L65"/>
  <c r="H65"/>
  <c r="D65"/>
  <c r="Q65"/>
  <c r="M65"/>
  <c r="I65"/>
  <c r="E65"/>
  <c r="R65"/>
  <c r="N65"/>
  <c r="J65"/>
  <c r="F65"/>
  <c r="K69"/>
  <c r="G69"/>
  <c r="L69"/>
  <c r="H69"/>
  <c r="D69"/>
  <c r="M69"/>
  <c r="I69"/>
  <c r="E69"/>
  <c r="J69"/>
  <c r="F69"/>
  <c r="W73"/>
  <c r="S73"/>
  <c r="O73"/>
  <c r="K73"/>
  <c r="G73"/>
  <c r="X73"/>
  <c r="T73"/>
  <c r="P73"/>
  <c r="L73"/>
  <c r="H73"/>
  <c r="D73"/>
  <c r="U73"/>
  <c r="Q73"/>
  <c r="M73"/>
  <c r="I73"/>
  <c r="E73"/>
  <c r="V73"/>
  <c r="R73"/>
  <c r="N73"/>
  <c r="J73"/>
  <c r="F73"/>
  <c r="S81"/>
  <c r="O81"/>
  <c r="K81"/>
  <c r="G81"/>
  <c r="AB81"/>
  <c r="P81"/>
  <c r="L81"/>
  <c r="H81"/>
  <c r="D81"/>
  <c r="Q81"/>
  <c r="M81"/>
  <c r="I81"/>
  <c r="E81"/>
  <c r="R81"/>
  <c r="N81"/>
  <c r="J81"/>
  <c r="F81"/>
  <c r="S91"/>
  <c r="O91"/>
  <c r="K91"/>
  <c r="G91"/>
  <c r="P91"/>
  <c r="L91"/>
  <c r="H91"/>
  <c r="D91"/>
  <c r="Q91"/>
  <c r="M91"/>
  <c r="I91"/>
  <c r="E91"/>
  <c r="R91"/>
  <c r="N91"/>
  <c r="J91"/>
  <c r="F91"/>
  <c r="S95"/>
  <c r="O95"/>
  <c r="K95"/>
  <c r="G95"/>
  <c r="P95"/>
  <c r="L95"/>
  <c r="H95"/>
  <c r="D95"/>
  <c r="Q95"/>
  <c r="M95"/>
  <c r="I95"/>
  <c r="E95"/>
  <c r="R95"/>
  <c r="N95"/>
  <c r="J95"/>
  <c r="F95"/>
  <c r="S100"/>
  <c r="O100"/>
  <c r="K100"/>
  <c r="G100"/>
  <c r="P100"/>
  <c r="L100"/>
  <c r="H100"/>
  <c r="D100"/>
  <c r="Q100"/>
  <c r="M100"/>
  <c r="I100"/>
  <c r="E100"/>
  <c r="R100"/>
  <c r="N100"/>
  <c r="J100"/>
  <c r="F100"/>
  <c r="S121"/>
  <c r="O121"/>
  <c r="K121"/>
  <c r="G121"/>
  <c r="P121"/>
  <c r="L121"/>
  <c r="H121"/>
  <c r="D121"/>
  <c r="Q121"/>
  <c r="M121"/>
  <c r="I121"/>
  <c r="E121"/>
  <c r="R121"/>
  <c r="N121"/>
  <c r="J121"/>
  <c r="F121"/>
  <c r="K125"/>
  <c r="G125"/>
  <c r="Q125"/>
  <c r="L125"/>
  <c r="H125"/>
  <c r="D125"/>
  <c r="R125"/>
  <c r="M125"/>
  <c r="I125"/>
  <c r="E125"/>
  <c r="J125"/>
  <c r="F125"/>
  <c r="S143"/>
  <c r="K143"/>
  <c r="G143"/>
  <c r="N143"/>
  <c r="I143"/>
  <c r="D143"/>
  <c r="J143"/>
  <c r="E143"/>
  <c r="Q143"/>
  <c r="L143"/>
  <c r="F143"/>
  <c r="R143"/>
  <c r="M143"/>
  <c r="H143"/>
  <c r="P147"/>
  <c r="L147"/>
  <c r="H147"/>
  <c r="D147"/>
  <c r="Q147"/>
  <c r="M147"/>
  <c r="I147"/>
  <c r="E147"/>
  <c r="R147"/>
  <c r="N147"/>
  <c r="J147"/>
  <c r="F147"/>
  <c r="S147"/>
  <c r="O147"/>
  <c r="K147"/>
  <c r="G147"/>
  <c r="AB151"/>
  <c r="L151"/>
  <c r="H151"/>
  <c r="D151"/>
  <c r="Q151"/>
  <c r="M151"/>
  <c r="I151"/>
  <c r="E151"/>
  <c r="J151"/>
  <c r="F151"/>
  <c r="K151"/>
  <c r="G151"/>
  <c r="L193"/>
  <c r="H193"/>
  <c r="D193"/>
  <c r="Q193"/>
  <c r="M193"/>
  <c r="I193"/>
  <c r="E193"/>
  <c r="R193"/>
  <c r="J193"/>
  <c r="F193"/>
  <c r="K193"/>
  <c r="G193"/>
  <c r="P197"/>
  <c r="L197"/>
  <c r="H197"/>
  <c r="D197"/>
  <c r="Q197"/>
  <c r="M197"/>
  <c r="I197"/>
  <c r="E197"/>
  <c r="R197"/>
  <c r="N197"/>
  <c r="J197"/>
  <c r="F197"/>
  <c r="S197"/>
  <c r="O197"/>
  <c r="K197"/>
  <c r="G197"/>
  <c r="P201"/>
  <c r="L201"/>
  <c r="H201"/>
  <c r="D201"/>
  <c r="Q201"/>
  <c r="M201"/>
  <c r="I201"/>
  <c r="E201"/>
  <c r="R201"/>
  <c r="N201"/>
  <c r="J201"/>
  <c r="F201"/>
  <c r="S201"/>
  <c r="O201"/>
  <c r="K201"/>
  <c r="G201"/>
  <c r="L205"/>
  <c r="H205"/>
  <c r="D205"/>
  <c r="Q205"/>
  <c r="M205"/>
  <c r="I205"/>
  <c r="E205"/>
  <c r="R205"/>
  <c r="J205"/>
  <c r="F205"/>
  <c r="K205"/>
  <c r="G205"/>
  <c r="T209"/>
  <c r="P209"/>
  <c r="L209"/>
  <c r="H209"/>
  <c r="D209"/>
  <c r="Q209"/>
  <c r="M209"/>
  <c r="I209"/>
  <c r="E209"/>
  <c r="R209"/>
  <c r="N209"/>
  <c r="J209"/>
  <c r="F209"/>
  <c r="S209"/>
  <c r="O209"/>
  <c r="K209"/>
  <c r="G209"/>
  <c r="T214"/>
  <c r="P214"/>
  <c r="L214"/>
  <c r="H214"/>
  <c r="D214"/>
  <c r="Q214"/>
  <c r="M214"/>
  <c r="I214"/>
  <c r="E214"/>
  <c r="R214"/>
  <c r="N214"/>
  <c r="J214"/>
  <c r="F214"/>
  <c r="S214"/>
  <c r="O214"/>
  <c r="K214"/>
  <c r="G214"/>
  <c r="T218"/>
  <c r="P218"/>
  <c r="L218"/>
  <c r="H218"/>
  <c r="D218"/>
  <c r="Q218"/>
  <c r="M218"/>
  <c r="I218"/>
  <c r="E218"/>
  <c r="R218"/>
  <c r="N218"/>
  <c r="J218"/>
  <c r="F218"/>
  <c r="S218"/>
  <c r="O218"/>
  <c r="K218"/>
  <c r="G218"/>
  <c r="L239"/>
  <c r="H239"/>
  <c r="D239"/>
  <c r="Q239"/>
  <c r="M239"/>
  <c r="I239"/>
  <c r="E239"/>
  <c r="R239"/>
  <c r="J239"/>
  <c r="F239"/>
  <c r="K239"/>
  <c r="G239"/>
  <c r="L243"/>
  <c r="H243"/>
  <c r="D243"/>
  <c r="Q243"/>
  <c r="M243"/>
  <c r="I243"/>
  <c r="E243"/>
  <c r="R243"/>
  <c r="J243"/>
  <c r="F243"/>
  <c r="K243"/>
  <c r="G243"/>
  <c r="L247"/>
  <c r="H247"/>
  <c r="D247"/>
  <c r="Q247"/>
  <c r="M247"/>
  <c r="I247"/>
  <c r="E247"/>
  <c r="R247"/>
  <c r="J247"/>
  <c r="F247"/>
  <c r="K247"/>
  <c r="G247"/>
  <c r="L251"/>
  <c r="H251"/>
  <c r="D251"/>
  <c r="Q251"/>
  <c r="M251"/>
  <c r="I251"/>
  <c r="E251"/>
  <c r="R251"/>
  <c r="J251"/>
  <c r="F251"/>
  <c r="K251"/>
  <c r="G251"/>
  <c r="X255"/>
  <c r="T255"/>
  <c r="P255"/>
  <c r="L255"/>
  <c r="H255"/>
  <c r="D255"/>
  <c r="U255"/>
  <c r="Q255"/>
  <c r="M255"/>
  <c r="I255"/>
  <c r="E255"/>
  <c r="V255"/>
  <c r="R255"/>
  <c r="N255"/>
  <c r="J255"/>
  <c r="F255"/>
  <c r="AA255"/>
  <c r="W255"/>
  <c r="S255"/>
  <c r="O255"/>
  <c r="K255"/>
  <c r="G255"/>
  <c r="L353"/>
  <c r="H353"/>
  <c r="D353"/>
  <c r="Q353"/>
  <c r="M353"/>
  <c r="I353"/>
  <c r="E353"/>
  <c r="R353"/>
  <c r="J353"/>
  <c r="F353"/>
  <c r="K353"/>
  <c r="G353"/>
  <c r="L362"/>
  <c r="H362"/>
  <c r="D362"/>
  <c r="Q362"/>
  <c r="M362"/>
  <c r="I362"/>
  <c r="E362"/>
  <c r="R362"/>
  <c r="N362"/>
  <c r="J362"/>
  <c r="F362"/>
  <c r="S362"/>
  <c r="K362"/>
  <c r="G362"/>
  <c r="X367"/>
  <c r="T367"/>
  <c r="P367"/>
  <c r="L367"/>
  <c r="H367"/>
  <c r="D367"/>
  <c r="U367"/>
  <c r="Q367"/>
  <c r="M367"/>
  <c r="I367"/>
  <c r="E367"/>
  <c r="V367"/>
  <c r="R367"/>
  <c r="N367"/>
  <c r="J367"/>
  <c r="F367"/>
  <c r="W367"/>
  <c r="S367"/>
  <c r="O367"/>
  <c r="K367"/>
  <c r="G367"/>
  <c r="AB373"/>
  <c r="X373"/>
  <c r="T373"/>
  <c r="P373"/>
  <c r="L373"/>
  <c r="H373"/>
  <c r="D373"/>
  <c r="U373"/>
  <c r="Q373"/>
  <c r="M373"/>
  <c r="I373"/>
  <c r="E373"/>
  <c r="V373"/>
  <c r="R373"/>
  <c r="N373"/>
  <c r="J373"/>
  <c r="F373"/>
  <c r="AA373"/>
  <c r="W373"/>
  <c r="S373"/>
  <c r="O373"/>
  <c r="K373"/>
  <c r="G373"/>
  <c r="Q385"/>
  <c r="M385"/>
  <c r="I385"/>
  <c r="E385"/>
  <c r="R385"/>
  <c r="L385"/>
  <c r="G385"/>
  <c r="H385"/>
  <c r="J385"/>
  <c r="D385"/>
  <c r="K385"/>
  <c r="F385"/>
  <c r="V400"/>
  <c r="R400"/>
  <c r="N400"/>
  <c r="J400"/>
  <c r="F400"/>
  <c r="W400"/>
  <c r="S400"/>
  <c r="O400"/>
  <c r="K400"/>
  <c r="G400"/>
  <c r="AB400"/>
  <c r="X400"/>
  <c r="T400"/>
  <c r="P400"/>
  <c r="L400"/>
  <c r="H400"/>
  <c r="D400"/>
  <c r="U400"/>
  <c r="Q400"/>
  <c r="M400"/>
  <c r="I400"/>
  <c r="E400"/>
  <c r="R405"/>
  <c r="N405"/>
  <c r="J405"/>
  <c r="F405"/>
  <c r="S405"/>
  <c r="O405"/>
  <c r="K405"/>
  <c r="G405"/>
  <c r="AB405"/>
  <c r="T405"/>
  <c r="P405"/>
  <c r="L405"/>
  <c r="H405"/>
  <c r="D405"/>
  <c r="Q405"/>
  <c r="M405"/>
  <c r="I405"/>
  <c r="E405"/>
  <c r="R409"/>
  <c r="N409"/>
  <c r="J409"/>
  <c r="F409"/>
  <c r="S409"/>
  <c r="O409"/>
  <c r="K409"/>
  <c r="G409"/>
  <c r="P409"/>
  <c r="L409"/>
  <c r="H409"/>
  <c r="D409"/>
  <c r="Q409"/>
  <c r="M409"/>
  <c r="I409"/>
  <c r="E409"/>
  <c r="V414"/>
  <c r="R414"/>
  <c r="N414"/>
  <c r="J414"/>
  <c r="F414"/>
  <c r="W414"/>
  <c r="S414"/>
  <c r="O414"/>
  <c r="K414"/>
  <c r="G414"/>
  <c r="AB414"/>
  <c r="X414"/>
  <c r="T414"/>
  <c r="P414"/>
  <c r="L414"/>
  <c r="H414"/>
  <c r="D414"/>
  <c r="U414"/>
  <c r="Q414"/>
  <c r="M414"/>
  <c r="I414"/>
  <c r="E414"/>
  <c r="R419"/>
  <c r="N419"/>
  <c r="J419"/>
  <c r="F419"/>
  <c r="S419"/>
  <c r="O419"/>
  <c r="K419"/>
  <c r="G419"/>
  <c r="P419"/>
  <c r="L419"/>
  <c r="H419"/>
  <c r="D419"/>
  <c r="Q419"/>
  <c r="M419"/>
  <c r="I419"/>
  <c r="E419"/>
  <c r="R423"/>
  <c r="N423"/>
  <c r="J423"/>
  <c r="F423"/>
  <c r="S423"/>
  <c r="O423"/>
  <c r="K423"/>
  <c r="G423"/>
  <c r="P423"/>
  <c r="L423"/>
  <c r="H423"/>
  <c r="D423"/>
  <c r="Q423"/>
  <c r="M423"/>
  <c r="I423"/>
  <c r="E423"/>
  <c r="V428"/>
  <c r="R428"/>
  <c r="N428"/>
  <c r="J428"/>
  <c r="F428"/>
  <c r="W428"/>
  <c r="S428"/>
  <c r="O428"/>
  <c r="K428"/>
  <c r="G428"/>
  <c r="AB428"/>
  <c r="X428"/>
  <c r="T428"/>
  <c r="P428"/>
  <c r="L428"/>
  <c r="H428"/>
  <c r="D428"/>
  <c r="U428"/>
  <c r="Q428"/>
  <c r="M428"/>
  <c r="I428"/>
  <c r="E428"/>
  <c r="V432"/>
  <c r="R432"/>
  <c r="N432"/>
  <c r="J432"/>
  <c r="F432"/>
  <c r="W432"/>
  <c r="S432"/>
  <c r="O432"/>
  <c r="K432"/>
  <c r="G432"/>
  <c r="AB432"/>
  <c r="X432"/>
  <c r="T432"/>
  <c r="P432"/>
  <c r="L432"/>
  <c r="H432"/>
  <c r="D432"/>
  <c r="U432"/>
  <c r="Q432"/>
  <c r="M432"/>
  <c r="I432"/>
  <c r="E432"/>
  <c r="R437"/>
  <c r="N437"/>
  <c r="J437"/>
  <c r="F437"/>
  <c r="S437"/>
  <c r="O437"/>
  <c r="K437"/>
  <c r="G437"/>
  <c r="P437"/>
  <c r="L437"/>
  <c r="H437"/>
  <c r="D437"/>
  <c r="Q437"/>
  <c r="M437"/>
  <c r="I437"/>
  <c r="E437"/>
  <c r="R442"/>
  <c r="N442"/>
  <c r="J442"/>
  <c r="F442"/>
  <c r="S442"/>
  <c r="O442"/>
  <c r="K442"/>
  <c r="G442"/>
  <c r="T442"/>
  <c r="P442"/>
  <c r="L442"/>
  <c r="H442"/>
  <c r="D442"/>
  <c r="Q442"/>
  <c r="M442"/>
  <c r="I442"/>
  <c r="E442"/>
  <c r="V449"/>
  <c r="R449"/>
  <c r="N449"/>
  <c r="J449"/>
  <c r="F449"/>
  <c r="W449"/>
  <c r="S449"/>
  <c r="O449"/>
  <c r="K449"/>
  <c r="G449"/>
  <c r="T449"/>
  <c r="P449"/>
  <c r="L449"/>
  <c r="H449"/>
  <c r="D449"/>
  <c r="U449"/>
  <c r="Q449"/>
  <c r="M449"/>
  <c r="I449"/>
  <c r="E449"/>
  <c r="R462"/>
  <c r="N462"/>
  <c r="J462"/>
  <c r="F462"/>
  <c r="S462"/>
  <c r="O462"/>
  <c r="K462"/>
  <c r="G462"/>
  <c r="AB462"/>
  <c r="P462"/>
  <c r="L462"/>
  <c r="H462"/>
  <c r="D462"/>
  <c r="Q462"/>
  <c r="M462"/>
  <c r="I462"/>
  <c r="E462"/>
  <c r="V14" i="74"/>
  <c r="R14"/>
  <c r="N14"/>
  <c r="J14"/>
  <c r="F14"/>
  <c r="W14"/>
  <c r="S14"/>
  <c r="O14"/>
  <c r="K14"/>
  <c r="G14"/>
  <c r="X14"/>
  <c r="T14"/>
  <c r="P14"/>
  <c r="L14"/>
  <c r="H14"/>
  <c r="D14"/>
  <c r="U14"/>
  <c r="Q14"/>
  <c r="M14"/>
  <c r="I14"/>
  <c r="E14"/>
  <c r="V18"/>
  <c r="R18"/>
  <c r="N18"/>
  <c r="J18"/>
  <c r="F18"/>
  <c r="W18"/>
  <c r="S18"/>
  <c r="O18"/>
  <c r="K18"/>
  <c r="G18"/>
  <c r="X18"/>
  <c r="T18"/>
  <c r="P18"/>
  <c r="L18"/>
  <c r="H18"/>
  <c r="D18"/>
  <c r="U18"/>
  <c r="Q18"/>
  <c r="M18"/>
  <c r="I18"/>
  <c r="E18"/>
  <c r="R22"/>
  <c r="N22"/>
  <c r="J22"/>
  <c r="F22"/>
  <c r="S22"/>
  <c r="O22"/>
  <c r="K22"/>
  <c r="G22"/>
  <c r="P22"/>
  <c r="L22"/>
  <c r="H22"/>
  <c r="D22"/>
  <c r="Q22"/>
  <c r="M22"/>
  <c r="I22"/>
  <c r="E22"/>
  <c r="V27"/>
  <c r="R27"/>
  <c r="N27"/>
  <c r="J27"/>
  <c r="F27"/>
  <c r="W27"/>
  <c r="S27"/>
  <c r="O27"/>
  <c r="K27"/>
  <c r="G27"/>
  <c r="X27"/>
  <c r="T27"/>
  <c r="P27"/>
  <c r="L27"/>
  <c r="H27"/>
  <c r="D27"/>
  <c r="U27"/>
  <c r="Q27"/>
  <c r="M27"/>
  <c r="I27"/>
  <c r="E27"/>
  <c r="R31"/>
  <c r="N31"/>
  <c r="J31"/>
  <c r="F31"/>
  <c r="S31"/>
  <c r="O31"/>
  <c r="K31"/>
  <c r="G31"/>
  <c r="T31"/>
  <c r="P31"/>
  <c r="L31"/>
  <c r="H31"/>
  <c r="D31"/>
  <c r="Q31"/>
  <c r="M31"/>
  <c r="I31"/>
  <c r="E31"/>
  <c r="S36"/>
  <c r="O36"/>
  <c r="K36"/>
  <c r="G36"/>
  <c r="R36"/>
  <c r="M36"/>
  <c r="H36"/>
  <c r="N36"/>
  <c r="I36"/>
  <c r="D36"/>
  <c r="P36"/>
  <c r="J36"/>
  <c r="E36"/>
  <c r="Q36"/>
  <c r="L36"/>
  <c r="F36"/>
  <c r="S40"/>
  <c r="O40"/>
  <c r="K40"/>
  <c r="G40"/>
  <c r="P40"/>
  <c r="L40"/>
  <c r="H40"/>
  <c r="D40"/>
  <c r="Q40"/>
  <c r="M40"/>
  <c r="I40"/>
  <c r="E40"/>
  <c r="R40"/>
  <c r="N40"/>
  <c r="J40"/>
  <c r="F40"/>
  <c r="AA45"/>
  <c r="W45"/>
  <c r="S45"/>
  <c r="O45"/>
  <c r="K45"/>
  <c r="G45"/>
  <c r="X45"/>
  <c r="T45"/>
  <c r="P45"/>
  <c r="L45"/>
  <c r="H45"/>
  <c r="D45"/>
  <c r="U45"/>
  <c r="Q45"/>
  <c r="M45"/>
  <c r="I45"/>
  <c r="E45"/>
  <c r="V45"/>
  <c r="R45"/>
  <c r="N45"/>
  <c r="J45"/>
  <c r="F45"/>
  <c r="W49"/>
  <c r="S49"/>
  <c r="O49"/>
  <c r="K49"/>
  <c r="G49"/>
  <c r="X49"/>
  <c r="T49"/>
  <c r="P49"/>
  <c r="L49"/>
  <c r="H49"/>
  <c r="D49"/>
  <c r="U49"/>
  <c r="Q49"/>
  <c r="M49"/>
  <c r="I49"/>
  <c r="E49"/>
  <c r="V49"/>
  <c r="R49"/>
  <c r="N49"/>
  <c r="J49"/>
  <c r="F49"/>
  <c r="AA53"/>
  <c r="W53"/>
  <c r="S53"/>
  <c r="O53"/>
  <c r="K53"/>
  <c r="G53"/>
  <c r="X53"/>
  <c r="T53"/>
  <c r="P53"/>
  <c r="L53"/>
  <c r="H53"/>
  <c r="D53"/>
  <c r="U53"/>
  <c r="Q53"/>
  <c r="M53"/>
  <c r="I53"/>
  <c r="E53"/>
  <c r="V53"/>
  <c r="R53"/>
  <c r="N53"/>
  <c r="J53"/>
  <c r="F53"/>
  <c r="K58"/>
  <c r="G58"/>
  <c r="L58"/>
  <c r="H58"/>
  <c r="D58"/>
  <c r="Q58"/>
  <c r="M58"/>
  <c r="I58"/>
  <c r="E58"/>
  <c r="R58"/>
  <c r="J58"/>
  <c r="F58"/>
  <c r="S62"/>
  <c r="O62"/>
  <c r="K62"/>
  <c r="G62"/>
  <c r="T62"/>
  <c r="P62"/>
  <c r="L62"/>
  <c r="H62"/>
  <c r="D62"/>
  <c r="Q62"/>
  <c r="M62"/>
  <c r="I62"/>
  <c r="E62"/>
  <c r="R62"/>
  <c r="N62"/>
  <c r="J62"/>
  <c r="F62"/>
  <c r="W66"/>
  <c r="S66"/>
  <c r="O66"/>
  <c r="K66"/>
  <c r="G66"/>
  <c r="X66"/>
  <c r="T66"/>
  <c r="P66"/>
  <c r="L66"/>
  <c r="H66"/>
  <c r="D66"/>
  <c r="U66"/>
  <c r="Q66"/>
  <c r="M66"/>
  <c r="I66"/>
  <c r="E66"/>
  <c r="V66"/>
  <c r="R66"/>
  <c r="N66"/>
  <c r="J66"/>
  <c r="F66"/>
  <c r="S70"/>
  <c r="O70"/>
  <c r="K70"/>
  <c r="G70"/>
  <c r="P70"/>
  <c r="L70"/>
  <c r="H70"/>
  <c r="D70"/>
  <c r="Q70"/>
  <c r="M70"/>
  <c r="I70"/>
  <c r="E70"/>
  <c r="R70"/>
  <c r="N70"/>
  <c r="J70"/>
  <c r="F70"/>
  <c r="S78"/>
  <c r="O78"/>
  <c r="K78"/>
  <c r="G78"/>
  <c r="T78"/>
  <c r="P78"/>
  <c r="L78"/>
  <c r="H78"/>
  <c r="D78"/>
  <c r="U78"/>
  <c r="Q78"/>
  <c r="M78"/>
  <c r="I78"/>
  <c r="E78"/>
  <c r="R78"/>
  <c r="N78"/>
  <c r="J78"/>
  <c r="F78"/>
  <c r="S82"/>
  <c r="O82"/>
  <c r="K82"/>
  <c r="G82"/>
  <c r="P82"/>
  <c r="L82"/>
  <c r="H82"/>
  <c r="D82"/>
  <c r="Q82"/>
  <c r="M82"/>
  <c r="I82"/>
  <c r="E82"/>
  <c r="R82"/>
  <c r="N82"/>
  <c r="J82"/>
  <c r="F82"/>
  <c r="K92"/>
  <c r="G92"/>
  <c r="L92"/>
  <c r="H92"/>
  <c r="D92"/>
  <c r="Q92"/>
  <c r="M92"/>
  <c r="I92"/>
  <c r="E92"/>
  <c r="R92"/>
  <c r="J92"/>
  <c r="F92"/>
  <c r="S96"/>
  <c r="O96"/>
  <c r="K96"/>
  <c r="G96"/>
  <c r="P96"/>
  <c r="L96"/>
  <c r="H96"/>
  <c r="D96"/>
  <c r="Q96"/>
  <c r="M96"/>
  <c r="I96"/>
  <c r="E96"/>
  <c r="R96"/>
  <c r="N96"/>
  <c r="J96"/>
  <c r="F96"/>
  <c r="S118"/>
  <c r="O118"/>
  <c r="K118"/>
  <c r="G118"/>
  <c r="P118"/>
  <c r="L118"/>
  <c r="H118"/>
  <c r="D118"/>
  <c r="Q118"/>
  <c r="M118"/>
  <c r="I118"/>
  <c r="E118"/>
  <c r="R118"/>
  <c r="N118"/>
  <c r="J118"/>
  <c r="F118"/>
  <c r="S122"/>
  <c r="O122"/>
  <c r="K122"/>
  <c r="G122"/>
  <c r="P122"/>
  <c r="L122"/>
  <c r="H122"/>
  <c r="D122"/>
  <c r="Q122"/>
  <c r="M122"/>
  <c r="I122"/>
  <c r="E122"/>
  <c r="R122"/>
  <c r="N122"/>
  <c r="J122"/>
  <c r="F122"/>
  <c r="S126"/>
  <c r="O126"/>
  <c r="K126"/>
  <c r="G126"/>
  <c r="P126"/>
  <c r="L126"/>
  <c r="H126"/>
  <c r="D126"/>
  <c r="Q126"/>
  <c r="M126"/>
  <c r="I126"/>
  <c r="E126"/>
  <c r="R126"/>
  <c r="N126"/>
  <c r="J126"/>
  <c r="F126"/>
  <c r="S144"/>
  <c r="O144"/>
  <c r="K144"/>
  <c r="G144"/>
  <c r="P144"/>
  <c r="L144"/>
  <c r="H144"/>
  <c r="D144"/>
  <c r="Q144"/>
  <c r="M144"/>
  <c r="I144"/>
  <c r="E144"/>
  <c r="R144"/>
  <c r="N144"/>
  <c r="J144"/>
  <c r="F144"/>
  <c r="K148"/>
  <c r="G148"/>
  <c r="L148"/>
  <c r="H148"/>
  <c r="D148"/>
  <c r="Q148"/>
  <c r="M148"/>
  <c r="I148"/>
  <c r="E148"/>
  <c r="R148"/>
  <c r="J148"/>
  <c r="F148"/>
  <c r="K153"/>
  <c r="G153"/>
  <c r="R153"/>
  <c r="M153"/>
  <c r="H153"/>
  <c r="I153"/>
  <c r="D153"/>
  <c r="J153"/>
  <c r="E153"/>
  <c r="Q153"/>
  <c r="L153"/>
  <c r="F153"/>
  <c r="S194"/>
  <c r="O194"/>
  <c r="K194"/>
  <c r="G194"/>
  <c r="P194"/>
  <c r="L194"/>
  <c r="H194"/>
  <c r="D194"/>
  <c r="Q194"/>
  <c r="M194"/>
  <c r="I194"/>
  <c r="E194"/>
  <c r="R194"/>
  <c r="N194"/>
  <c r="J194"/>
  <c r="F194"/>
  <c r="S198"/>
  <c r="O198"/>
  <c r="K198"/>
  <c r="G198"/>
  <c r="P198"/>
  <c r="L198"/>
  <c r="H198"/>
  <c r="D198"/>
  <c r="Q198"/>
  <c r="M198"/>
  <c r="I198"/>
  <c r="E198"/>
  <c r="R198"/>
  <c r="N198"/>
  <c r="J198"/>
  <c r="F198"/>
  <c r="S202"/>
  <c r="O202"/>
  <c r="K202"/>
  <c r="G202"/>
  <c r="T202"/>
  <c r="P202"/>
  <c r="L202"/>
  <c r="H202"/>
  <c r="D202"/>
  <c r="Q202"/>
  <c r="M202"/>
  <c r="I202"/>
  <c r="E202"/>
  <c r="R202"/>
  <c r="N202"/>
  <c r="J202"/>
  <c r="F202"/>
  <c r="S206"/>
  <c r="O206"/>
  <c r="K206"/>
  <c r="G206"/>
  <c r="P206"/>
  <c r="L206"/>
  <c r="H206"/>
  <c r="D206"/>
  <c r="Q206"/>
  <c r="M206"/>
  <c r="I206"/>
  <c r="E206"/>
  <c r="R206"/>
  <c r="N206"/>
  <c r="J206"/>
  <c r="F206"/>
  <c r="S210"/>
  <c r="O210"/>
  <c r="K210"/>
  <c r="G210"/>
  <c r="T210"/>
  <c r="P210"/>
  <c r="L210"/>
  <c r="H210"/>
  <c r="D210"/>
  <c r="Q210"/>
  <c r="M210"/>
  <c r="I210"/>
  <c r="E210"/>
  <c r="R210"/>
  <c r="N210"/>
  <c r="J210"/>
  <c r="F210"/>
  <c r="S215"/>
  <c r="O215"/>
  <c r="K215"/>
  <c r="G215"/>
  <c r="P215"/>
  <c r="L215"/>
  <c r="H215"/>
  <c r="D215"/>
  <c r="Q215"/>
  <c r="M215"/>
  <c r="I215"/>
  <c r="E215"/>
  <c r="R215"/>
  <c r="N215"/>
  <c r="J215"/>
  <c r="F215"/>
  <c r="S219"/>
  <c r="O219"/>
  <c r="K219"/>
  <c r="G219"/>
  <c r="AB219"/>
  <c r="T219"/>
  <c r="P219"/>
  <c r="L219"/>
  <c r="H219"/>
  <c r="D219"/>
  <c r="Q219"/>
  <c r="M219"/>
  <c r="I219"/>
  <c r="E219"/>
  <c r="R219"/>
  <c r="N219"/>
  <c r="J219"/>
  <c r="F219"/>
  <c r="S240"/>
  <c r="O240"/>
  <c r="K240"/>
  <c r="G240"/>
  <c r="T240"/>
  <c r="P240"/>
  <c r="L240"/>
  <c r="H240"/>
  <c r="D240"/>
  <c r="Q240"/>
  <c r="M240"/>
  <c r="I240"/>
  <c r="E240"/>
  <c r="R240"/>
  <c r="N240"/>
  <c r="J240"/>
  <c r="F240"/>
  <c r="S244"/>
  <c r="O244"/>
  <c r="K244"/>
  <c r="G244"/>
  <c r="P244"/>
  <c r="L244"/>
  <c r="H244"/>
  <c r="D244"/>
  <c r="Q244"/>
  <c r="M244"/>
  <c r="I244"/>
  <c r="E244"/>
  <c r="R244"/>
  <c r="N244"/>
  <c r="J244"/>
  <c r="F244"/>
  <c r="L248"/>
  <c r="Q248"/>
  <c r="K248"/>
  <c r="G248"/>
  <c r="M248"/>
  <c r="H248"/>
  <c r="D248"/>
  <c r="I248"/>
  <c r="E248"/>
  <c r="J248"/>
  <c r="F248"/>
  <c r="U252"/>
  <c r="Q252"/>
  <c r="M252"/>
  <c r="I252"/>
  <c r="E252"/>
  <c r="V252"/>
  <c r="R252"/>
  <c r="N252"/>
  <c r="J252"/>
  <c r="F252"/>
  <c r="AA252"/>
  <c r="W252"/>
  <c r="S252"/>
  <c r="O252"/>
  <c r="K252"/>
  <c r="G252"/>
  <c r="X252"/>
  <c r="T252"/>
  <c r="P252"/>
  <c r="L252"/>
  <c r="H252"/>
  <c r="D252"/>
  <c r="Q256"/>
  <c r="M256"/>
  <c r="I256"/>
  <c r="E256"/>
  <c r="R256"/>
  <c r="N256"/>
  <c r="J256"/>
  <c r="F256"/>
  <c r="S256"/>
  <c r="O256"/>
  <c r="K256"/>
  <c r="G256"/>
  <c r="P256"/>
  <c r="L256"/>
  <c r="H256"/>
  <c r="D256"/>
  <c r="Q355"/>
  <c r="M355"/>
  <c r="I355"/>
  <c r="E355"/>
  <c r="R355"/>
  <c r="N355"/>
  <c r="J355"/>
  <c r="F355"/>
  <c r="S355"/>
  <c r="O355"/>
  <c r="K355"/>
  <c r="G355"/>
  <c r="P355"/>
  <c r="L355"/>
  <c r="H355"/>
  <c r="D355"/>
  <c r="Q363"/>
  <c r="M363"/>
  <c r="I363"/>
  <c r="E363"/>
  <c r="R363"/>
  <c r="N363"/>
  <c r="J363"/>
  <c r="F363"/>
  <c r="S363"/>
  <c r="O363"/>
  <c r="K363"/>
  <c r="G363"/>
  <c r="P363"/>
  <c r="L363"/>
  <c r="H363"/>
  <c r="D363"/>
  <c r="U368"/>
  <c r="Q368"/>
  <c r="M368"/>
  <c r="I368"/>
  <c r="E368"/>
  <c r="V368"/>
  <c r="R368"/>
  <c r="N368"/>
  <c r="J368"/>
  <c r="F368"/>
  <c r="AA368"/>
  <c r="W368"/>
  <c r="S368"/>
  <c r="O368"/>
  <c r="K368"/>
  <c r="G368"/>
  <c r="AB368"/>
  <c r="X368"/>
  <c r="T368"/>
  <c r="P368"/>
  <c r="L368"/>
  <c r="H368"/>
  <c r="D368"/>
  <c r="Q374"/>
  <c r="M374"/>
  <c r="I374"/>
  <c r="E374"/>
  <c r="R374"/>
  <c r="N374"/>
  <c r="J374"/>
  <c r="F374"/>
  <c r="S374"/>
  <c r="O374"/>
  <c r="K374"/>
  <c r="G374"/>
  <c r="AB374"/>
  <c r="P374"/>
  <c r="L374"/>
  <c r="H374"/>
  <c r="D374"/>
  <c r="Q386"/>
  <c r="M386"/>
  <c r="I386"/>
  <c r="E386"/>
  <c r="R386"/>
  <c r="N386"/>
  <c r="J386"/>
  <c r="F386"/>
  <c r="S386"/>
  <c r="O386"/>
  <c r="K386"/>
  <c r="G386"/>
  <c r="T386"/>
  <c r="P386"/>
  <c r="L386"/>
  <c r="H386"/>
  <c r="D386"/>
  <c r="U401"/>
  <c r="Q401"/>
  <c r="M401"/>
  <c r="I401"/>
  <c r="E401"/>
  <c r="V401"/>
  <c r="R401"/>
  <c r="N401"/>
  <c r="J401"/>
  <c r="F401"/>
  <c r="W401"/>
  <c r="S401"/>
  <c r="O401"/>
  <c r="K401"/>
  <c r="G401"/>
  <c r="X401"/>
  <c r="T401"/>
  <c r="P401"/>
  <c r="L401"/>
  <c r="H401"/>
  <c r="D401"/>
  <c r="U406"/>
  <c r="Q406"/>
  <c r="M406"/>
  <c r="I406"/>
  <c r="E406"/>
  <c r="V406"/>
  <c r="R406"/>
  <c r="N406"/>
  <c r="J406"/>
  <c r="F406"/>
  <c r="AA406"/>
  <c r="W406"/>
  <c r="S406"/>
  <c r="O406"/>
  <c r="K406"/>
  <c r="G406"/>
  <c r="X406"/>
  <c r="T406"/>
  <c r="P406"/>
  <c r="L406"/>
  <c r="H406"/>
  <c r="D406"/>
  <c r="U411"/>
  <c r="V411"/>
  <c r="R411"/>
  <c r="N411"/>
  <c r="J411"/>
  <c r="F411"/>
  <c r="W411"/>
  <c r="S411"/>
  <c r="O411"/>
  <c r="K411"/>
  <c r="G411"/>
  <c r="AB411"/>
  <c r="P411"/>
  <c r="H411"/>
  <c r="Q411"/>
  <c r="I411"/>
  <c r="T411"/>
  <c r="L411"/>
  <c r="D411"/>
  <c r="X411"/>
  <c r="M411"/>
  <c r="E411"/>
  <c r="AB415"/>
  <c r="P415"/>
  <c r="L415"/>
  <c r="H415"/>
  <c r="D415"/>
  <c r="Q415"/>
  <c r="M415"/>
  <c r="I415"/>
  <c r="E415"/>
  <c r="R415"/>
  <c r="N415"/>
  <c r="J415"/>
  <c r="F415"/>
  <c r="S415"/>
  <c r="O415"/>
  <c r="K415"/>
  <c r="G415"/>
  <c r="P420"/>
  <c r="L420"/>
  <c r="H420"/>
  <c r="D420"/>
  <c r="Q420"/>
  <c r="M420"/>
  <c r="I420"/>
  <c r="E420"/>
  <c r="R420"/>
  <c r="N420"/>
  <c r="J420"/>
  <c r="F420"/>
  <c r="S420"/>
  <c r="O420"/>
  <c r="K420"/>
  <c r="G420"/>
  <c r="AB425"/>
  <c r="T425"/>
  <c r="P425"/>
  <c r="L425"/>
  <c r="H425"/>
  <c r="D425"/>
  <c r="Q425"/>
  <c r="M425"/>
  <c r="I425"/>
  <c r="E425"/>
  <c r="R425"/>
  <c r="N425"/>
  <c r="J425"/>
  <c r="F425"/>
  <c r="S425"/>
  <c r="O425"/>
  <c r="K425"/>
  <c r="G425"/>
  <c r="P429"/>
  <c r="L429"/>
  <c r="H429"/>
  <c r="D429"/>
  <c r="Q429"/>
  <c r="M429"/>
  <c r="I429"/>
  <c r="E429"/>
  <c r="R429"/>
  <c r="N429"/>
  <c r="J429"/>
  <c r="F429"/>
  <c r="S429"/>
  <c r="O429"/>
  <c r="K429"/>
  <c r="G429"/>
  <c r="AB434"/>
  <c r="P434"/>
  <c r="L434"/>
  <c r="H434"/>
  <c r="D434"/>
  <c r="Q434"/>
  <c r="M434"/>
  <c r="I434"/>
  <c r="E434"/>
  <c r="R434"/>
  <c r="N434"/>
  <c r="J434"/>
  <c r="F434"/>
  <c r="S434"/>
  <c r="O434"/>
  <c r="K434"/>
  <c r="G434"/>
  <c r="AB438"/>
  <c r="X438"/>
  <c r="T438"/>
  <c r="P438"/>
  <c r="L438"/>
  <c r="H438"/>
  <c r="D438"/>
  <c r="U438"/>
  <c r="Q438"/>
  <c r="M438"/>
  <c r="I438"/>
  <c r="E438"/>
  <c r="V438"/>
  <c r="R438"/>
  <c r="N438"/>
  <c r="J438"/>
  <c r="F438"/>
  <c r="W438"/>
  <c r="S438"/>
  <c r="O438"/>
  <c r="K438"/>
  <c r="G438"/>
  <c r="T443"/>
  <c r="P443"/>
  <c r="L443"/>
  <c r="H443"/>
  <c r="D443"/>
  <c r="Q443"/>
  <c r="M443"/>
  <c r="I443"/>
  <c r="E443"/>
  <c r="R443"/>
  <c r="N443"/>
  <c r="J443"/>
  <c r="F443"/>
  <c r="S443"/>
  <c r="O443"/>
  <c r="K443"/>
  <c r="G443"/>
  <c r="AB455"/>
  <c r="T455"/>
  <c r="P455"/>
  <c r="L455"/>
  <c r="H455"/>
  <c r="D455"/>
  <c r="U455"/>
  <c r="Q455"/>
  <c r="M455"/>
  <c r="I455"/>
  <c r="E455"/>
  <c r="R455"/>
  <c r="N455"/>
  <c r="J455"/>
  <c r="F455"/>
  <c r="W455"/>
  <c r="S455"/>
  <c r="O455"/>
  <c r="K455"/>
  <c r="G455"/>
  <c r="X430" i="77"/>
  <c r="AA430" s="1"/>
  <c r="V430" i="39"/>
  <c r="X100"/>
  <c r="V100"/>
  <c r="X191"/>
  <c r="X216"/>
  <c r="X42" i="77"/>
  <c r="V42" i="39"/>
  <c r="Z34" i="77"/>
  <c r="Z34" i="39" s="1"/>
  <c r="X34"/>
  <c r="Z226" i="77"/>
  <c r="Z226" i="39" s="1"/>
  <c r="Z378" i="77"/>
  <c r="Z378" i="39" s="1"/>
  <c r="X384"/>
  <c r="AA416"/>
  <c r="X416"/>
  <c r="Z417"/>
  <c r="X432"/>
  <c r="X417"/>
  <c r="X441"/>
  <c r="Z48" i="77"/>
  <c r="Z48" i="39" s="1"/>
  <c r="X48"/>
  <c r="AA98"/>
  <c r="X98"/>
  <c r="AA50"/>
  <c r="X50"/>
  <c r="Z239" i="77"/>
  <c r="Z239" i="39" s="1"/>
  <c r="X245"/>
  <c r="W373"/>
  <c r="X373" i="77"/>
  <c r="AA373" s="1"/>
  <c r="V118" i="39"/>
  <c r="V194"/>
  <c r="W205"/>
  <c r="W122"/>
  <c r="V243"/>
  <c r="V204"/>
  <c r="W425"/>
  <c r="W405"/>
  <c r="U408"/>
  <c r="X408" i="77"/>
  <c r="AA408" s="1"/>
  <c r="IV428"/>
  <c r="IY428" s="1"/>
  <c r="AA438" i="73"/>
  <c r="IU227" i="77"/>
  <c r="IT358"/>
  <c r="V358" i="74" s="1"/>
  <c r="R248"/>
  <c r="Q24"/>
  <c r="Q13"/>
  <c r="R374" i="70"/>
  <c r="R28"/>
  <c r="R148"/>
  <c r="R429"/>
  <c r="Q427" i="72"/>
  <c r="Q42" i="73"/>
  <c r="R198"/>
  <c r="R435" i="69"/>
  <c r="Q192" i="65"/>
  <c r="T192"/>
  <c r="Q194"/>
  <c r="F122"/>
  <c r="Q241"/>
  <c r="Q191"/>
  <c r="F143"/>
  <c r="X72" i="77"/>
  <c r="AA72" s="1"/>
  <c r="V72" i="39"/>
  <c r="V405"/>
  <c r="V425"/>
  <c r="X388"/>
  <c r="X385"/>
  <c r="W13"/>
  <c r="W243"/>
  <c r="W204"/>
  <c r="W414"/>
  <c r="W438"/>
  <c r="W194"/>
  <c r="W118"/>
  <c r="V438"/>
  <c r="V414"/>
  <c r="Q221" i="65"/>
  <c r="Q153"/>
  <c r="Q149"/>
  <c r="W196" i="39"/>
  <c r="X54" i="77"/>
  <c r="U54" i="39"/>
  <c r="Z200" i="77"/>
  <c r="Z200" i="39" s="1"/>
  <c r="X208"/>
  <c r="X389"/>
  <c r="X386"/>
  <c r="X197"/>
  <c r="X217"/>
  <c r="Z16"/>
  <c r="X16"/>
  <c r="Z228" i="77"/>
  <c r="Z228" i="39" s="1"/>
  <c r="X220"/>
  <c r="X80"/>
  <c r="W401"/>
  <c r="AA78"/>
  <c r="X78"/>
  <c r="X457"/>
  <c r="Z449" i="77"/>
  <c r="Z449" i="39" s="1"/>
  <c r="X449"/>
  <c r="W413"/>
  <c r="W437"/>
  <c r="W55"/>
  <c r="X55" i="77"/>
  <c r="AA55" s="1"/>
  <c r="W389" i="39"/>
  <c r="W386"/>
  <c r="V122"/>
  <c r="V205"/>
  <c r="V389"/>
  <c r="V386"/>
  <c r="HS44" i="77"/>
  <c r="HV44" s="1"/>
  <c r="GP45"/>
  <c r="GS45" s="1"/>
  <c r="BA64"/>
  <c r="BD64" s="1"/>
  <c r="R372" i="70"/>
  <c r="R151" i="73"/>
  <c r="Q217" i="65"/>
  <c r="Q193"/>
  <c r="Q219"/>
  <c r="T219"/>
  <c r="U422" i="39"/>
  <c r="X422" i="77"/>
  <c r="AA422" s="1"/>
  <c r="W217" i="39"/>
  <c r="W197"/>
  <c r="V413"/>
  <c r="V437"/>
  <c r="V197"/>
  <c r="V217"/>
  <c r="GP448" i="77"/>
  <c r="GS448" s="1"/>
  <c r="F204" i="65"/>
  <c r="Q215"/>
  <c r="Q239"/>
  <c r="IS430" i="77"/>
  <c r="U430" i="74" s="1"/>
  <c r="W441"/>
  <c r="HR422" i="77"/>
  <c r="W422" i="73" s="1"/>
  <c r="GP430" i="77"/>
  <c r="GS430" s="1"/>
  <c r="GN434"/>
  <c r="V434" i="72" s="1"/>
  <c r="GO232" i="77"/>
  <c r="FK388"/>
  <c r="FM388" s="1"/>
  <c r="FP388" s="1"/>
  <c r="FM455"/>
  <c r="FP455" s="1"/>
  <c r="BA227"/>
  <c r="BA449"/>
  <c r="BD449" s="1"/>
  <c r="AZ457"/>
  <c r="W457" i="65" s="1"/>
  <c r="CC204" i="77"/>
  <c r="CB204"/>
  <c r="CD427"/>
  <c r="CG427" s="1"/>
  <c r="Z416" i="39"/>
  <c r="Z407" i="77"/>
  <c r="Z407" i="39" s="1"/>
  <c r="Z193"/>
  <c r="Z107"/>
  <c r="R31" i="70"/>
  <c r="HS420" i="77"/>
  <c r="HV420" s="1"/>
  <c r="Z420"/>
  <c r="Z420" i="39" s="1"/>
  <c r="AD425" i="77"/>
  <c r="IU389"/>
  <c r="Z388"/>
  <c r="Z388" i="39" s="1"/>
  <c r="FO255" i="77"/>
  <c r="Z255" i="71" s="1"/>
  <c r="Z88" i="77"/>
  <c r="Z88" i="39" s="1"/>
  <c r="Z175"/>
  <c r="EJ245" i="77"/>
  <c r="EM245" s="1"/>
  <c r="W181" i="74"/>
  <c r="IU224" i="77"/>
  <c r="HS54"/>
  <c r="HV54" s="1"/>
  <c r="HS27"/>
  <c r="HV27" s="1"/>
  <c r="X32"/>
  <c r="DI64"/>
  <c r="Z64" i="69" s="1"/>
  <c r="BC55" i="77"/>
  <c r="Z55" i="65" s="1"/>
  <c r="HS449" i="77"/>
  <c r="HV449" s="1"/>
  <c r="X11" i="39"/>
  <c r="GP449" i="77"/>
  <c r="GS449" s="1"/>
  <c r="R97" i="71"/>
  <c r="R47" i="69"/>
  <c r="R415"/>
  <c r="BA45" i="77"/>
  <c r="BD45" s="1"/>
  <c r="IT455"/>
  <c r="V455" i="74" s="1"/>
  <c r="HS438" i="77"/>
  <c r="HV438" s="1"/>
  <c r="AA27" i="39"/>
  <c r="Z27" i="77"/>
  <c r="Z27" i="39" s="1"/>
  <c r="IR462" i="77"/>
  <c r="T462" i="74" s="1"/>
  <c r="IR408" i="77"/>
  <c r="T408" i="74" s="1"/>
  <c r="IS422" i="77"/>
  <c r="U422" i="74" s="1"/>
  <c r="IT422" i="77"/>
  <c r="V422" i="74" s="1"/>
  <c r="IR257" i="77"/>
  <c r="T257" i="74" s="1"/>
  <c r="T413"/>
  <c r="IR83" i="77"/>
  <c r="IR242"/>
  <c r="IR34"/>
  <c r="T34" i="74" s="1"/>
  <c r="IR200" i="77"/>
  <c r="T208" i="74" s="1"/>
  <c r="AA55" i="71"/>
  <c r="FO55" i="77"/>
  <c r="Z55" i="71" s="1"/>
  <c r="IR448" i="77"/>
  <c r="IS378"/>
  <c r="IU378"/>
  <c r="X438"/>
  <c r="AA438" s="1"/>
  <c r="EL428"/>
  <c r="Z428" i="70" s="1"/>
  <c r="Z49" i="77"/>
  <c r="Z49" i="39" s="1"/>
  <c r="EJ455" i="77"/>
  <c r="EM455" s="1"/>
  <c r="IT430"/>
  <c r="V430" i="74" s="1"/>
  <c r="AA429" i="39"/>
  <c r="AA409"/>
  <c r="BC53" i="77"/>
  <c r="Z53" i="65" s="1"/>
  <c r="BC46" i="77"/>
  <c r="Z46" i="65" s="1"/>
  <c r="AA46"/>
  <c r="BC73" i="77"/>
  <c r="Z73" i="65" s="1"/>
  <c r="AA73"/>
  <c r="Z455" i="77"/>
  <c r="Z455" i="39" s="1"/>
  <c r="IU422" i="77"/>
  <c r="W422" i="74" s="1"/>
  <c r="IR420" i="77"/>
  <c r="IS420" s="1"/>
  <c r="U420" i="74" s="1"/>
  <c r="IR352" i="77"/>
  <c r="IS352" s="1"/>
  <c r="U352" i="74" s="1"/>
  <c r="IR426" i="77"/>
  <c r="T426" i="74" s="1"/>
  <c r="IR374" i="77"/>
  <c r="IS374" s="1"/>
  <c r="U374" i="74" s="1"/>
  <c r="IS423" i="77"/>
  <c r="U423" i="74" s="1"/>
  <c r="IU423" i="77"/>
  <c r="W423" i="74" s="1"/>
  <c r="IT423" i="77"/>
  <c r="V423" i="74" s="1"/>
  <c r="IR26" i="77"/>
  <c r="T26" i="74" s="1"/>
  <c r="T21"/>
  <c r="IR28" i="77"/>
  <c r="IR70"/>
  <c r="T70" i="74" s="1"/>
  <c r="IR88" i="77"/>
  <c r="U19" i="74"/>
  <c r="IR48" i="77"/>
  <c r="T48" i="74" s="1"/>
  <c r="IR239" i="77"/>
  <c r="IS239" s="1"/>
  <c r="IS205"/>
  <c r="U210" i="74" s="1"/>
  <c r="IT205" i="77"/>
  <c r="V210" i="74" s="1"/>
  <c r="IU205" i="77"/>
  <c r="W210" i="74" s="1"/>
  <c r="T131"/>
  <c r="IS444" i="77"/>
  <c r="U444" i="74" s="1"/>
  <c r="IU444" i="77"/>
  <c r="W444" i="74" s="1"/>
  <c r="IT444" i="77"/>
  <c r="V444" i="74" s="1"/>
  <c r="IR402" i="77"/>
  <c r="T402" i="74" s="1"/>
  <c r="IR36" i="77"/>
  <c r="IS36" s="1"/>
  <c r="U36" i="74" s="1"/>
  <c r="IR253" i="77"/>
  <c r="T254" i="74" s="1"/>
  <c r="IR42" i="77"/>
  <c r="IS42" s="1"/>
  <c r="U42" i="74" s="1"/>
  <c r="IR226" i="77"/>
  <c r="IS405"/>
  <c r="U405" i="74" s="1"/>
  <c r="IT405" i="77"/>
  <c r="V405" i="74" s="1"/>
  <c r="IU405" i="77"/>
  <c r="W405" i="74" s="1"/>
  <c r="U61"/>
  <c r="V61"/>
  <c r="W61"/>
  <c r="IR247" i="77"/>
  <c r="T250" i="74" s="1"/>
  <c r="T151"/>
  <c r="IS437" i="77"/>
  <c r="IU437"/>
  <c r="IT437"/>
  <c r="IR67"/>
  <c r="IS67" s="1"/>
  <c r="U67" i="74" s="1"/>
  <c r="T162"/>
  <c r="U376"/>
  <c r="IR90" i="77"/>
  <c r="IR369"/>
  <c r="S94" i="74"/>
  <c r="IL92" i="77"/>
  <c r="N94" i="74" s="1"/>
  <c r="N147"/>
  <c r="S147"/>
  <c r="S245"/>
  <c r="IL245" i="77"/>
  <c r="N248" i="74" s="1"/>
  <c r="IL24" i="77"/>
  <c r="N24" i="74" s="1"/>
  <c r="S65"/>
  <c r="IL65" i="77"/>
  <c r="N65" i="74" s="1"/>
  <c r="EF426" i="77"/>
  <c r="EF23"/>
  <c r="T183" i="70"/>
  <c r="EF36" i="77"/>
  <c r="EG36" s="1"/>
  <c r="U36" i="70" s="1"/>
  <c r="EG235" i="77"/>
  <c r="EH235"/>
  <c r="EI235"/>
  <c r="T162" i="70"/>
  <c r="EF355" i="77"/>
  <c r="EG355" s="1"/>
  <c r="U355" i="70" s="1"/>
  <c r="T17"/>
  <c r="EG205" i="77"/>
  <c r="EI205"/>
  <c r="EH205"/>
  <c r="EF435"/>
  <c r="EF407"/>
  <c r="DZ448"/>
  <c r="N448" i="70" s="1"/>
  <c r="DZ423" i="77"/>
  <c r="N423" i="70" s="1"/>
  <c r="S423"/>
  <c r="DZ425" i="77"/>
  <c r="DZ86"/>
  <c r="R405" i="70"/>
  <c r="S425"/>
  <c r="DZ405" i="77"/>
  <c r="N405" i="70" s="1"/>
  <c r="Q404"/>
  <c r="DZ404" i="77"/>
  <c r="N404" i="70" s="1"/>
  <c r="R404"/>
  <c r="EE404" i="77"/>
  <c r="S404" i="70" s="1"/>
  <c r="DZ434" i="77"/>
  <c r="N434" i="70" s="1"/>
  <c r="EF434" i="77"/>
  <c r="T434" i="70" s="1"/>
  <c r="R371"/>
  <c r="DZ369" i="77"/>
  <c r="S146" i="70"/>
  <c r="N146"/>
  <c r="EF437" i="77"/>
  <c r="DZ437"/>
  <c r="Q91" i="70"/>
  <c r="DZ88" i="77"/>
  <c r="Q81" i="70"/>
  <c r="S83"/>
  <c r="DZ83" i="77"/>
  <c r="N213" i="70"/>
  <c r="EE255" i="77"/>
  <c r="S255" i="70" s="1"/>
  <c r="DZ255" i="77"/>
  <c r="N255" i="70" s="1"/>
  <c r="S215"/>
  <c r="N215"/>
  <c r="DZ242" i="77"/>
  <c r="N242" i="70" s="1"/>
  <c r="S247"/>
  <c r="DZ244" i="77"/>
  <c r="N247" i="70" s="1"/>
  <c r="R247"/>
  <c r="R21"/>
  <c r="N21"/>
  <c r="S21"/>
  <c r="S33"/>
  <c r="R33"/>
  <c r="DZ33" i="77"/>
  <c r="N33" i="70" s="1"/>
  <c r="Q27"/>
  <c r="EE27" i="77"/>
  <c r="S27" i="70" s="1"/>
  <c r="R27"/>
  <c r="DZ27" i="77"/>
  <c r="N27" i="70" s="1"/>
  <c r="EF38" i="77"/>
  <c r="T38" i="70" s="1"/>
  <c r="S60"/>
  <c r="DZ60" i="77"/>
  <c r="N60" i="70" s="1"/>
  <c r="AW224" i="77"/>
  <c r="AX224" s="1"/>
  <c r="AW69"/>
  <c r="AW65"/>
  <c r="AW37"/>
  <c r="AW247"/>
  <c r="AX220"/>
  <c r="AY220"/>
  <c r="AZ220"/>
  <c r="T100" i="65"/>
  <c r="AW238" i="77"/>
  <c r="AW355"/>
  <c r="T355" i="65" s="1"/>
  <c r="AQ455" i="77"/>
  <c r="N455" i="65" s="1"/>
  <c r="R455"/>
  <c r="S455"/>
  <c r="AQ405" i="77"/>
  <c r="R406" i="65"/>
  <c r="AQ406" i="77"/>
  <c r="N406" i="65" s="1"/>
  <c r="AV406" i="77"/>
  <c r="S406" i="65" s="1"/>
  <c r="AQ426" i="77"/>
  <c r="N426" i="65" s="1"/>
  <c r="S426"/>
  <c r="R426"/>
  <c r="Q426"/>
  <c r="Q81"/>
  <c r="R81"/>
  <c r="AQ83" i="77"/>
  <c r="S442" i="65"/>
  <c r="AQ442" i="77"/>
  <c r="N442" i="65" s="1"/>
  <c r="R442"/>
  <c r="Q442"/>
  <c r="S374"/>
  <c r="Q374"/>
  <c r="AQ374" i="77"/>
  <c r="N374" i="65" s="1"/>
  <c r="R374"/>
  <c r="R201"/>
  <c r="Q201"/>
  <c r="S357"/>
  <c r="Q357"/>
  <c r="AQ357" i="77"/>
  <c r="N357" i="65" s="1"/>
  <c r="R357"/>
  <c r="AQ388" i="77"/>
  <c r="S376" i="65"/>
  <c r="R376"/>
  <c r="Q376"/>
  <c r="N376"/>
  <c r="S209"/>
  <c r="R209"/>
  <c r="Q209"/>
  <c r="AQ204" i="77"/>
  <c r="N209" i="65" s="1"/>
  <c r="S146"/>
  <c r="R146"/>
  <c r="N146"/>
  <c r="Q146"/>
  <c r="S11"/>
  <c r="Q11"/>
  <c r="R11"/>
  <c r="N11"/>
  <c r="AQ226" i="77"/>
  <c r="Q218" i="65"/>
  <c r="R218"/>
  <c r="R247"/>
  <c r="Q247"/>
  <c r="AQ244" i="77"/>
  <c r="Q36" i="65"/>
  <c r="R36"/>
  <c r="S36"/>
  <c r="AQ36" i="77"/>
  <c r="N36" i="65" s="1"/>
  <c r="S26"/>
  <c r="R26"/>
  <c r="Q26"/>
  <c r="AQ26" i="77"/>
  <c r="N26" i="65" s="1"/>
  <c r="S48"/>
  <c r="AQ48" i="77"/>
  <c r="N48" i="65" s="1"/>
  <c r="R48"/>
  <c r="Q48"/>
  <c r="R61"/>
  <c r="S61"/>
  <c r="N61"/>
  <c r="Q61"/>
  <c r="FI257" i="77"/>
  <c r="T257" i="71" s="1"/>
  <c r="FI36" i="77"/>
  <c r="FJ36" s="1"/>
  <c r="U36" i="71" s="1"/>
  <c r="T215"/>
  <c r="U31"/>
  <c r="W31"/>
  <c r="V31"/>
  <c r="FI85" i="77"/>
  <c r="R119" i="70"/>
  <c r="Q92"/>
  <c r="IR388" i="77"/>
  <c r="IS388" s="1"/>
  <c r="IR425"/>
  <c r="IS425" s="1"/>
  <c r="IR380"/>
  <c r="IR204"/>
  <c r="IS204" s="1"/>
  <c r="IR22"/>
  <c r="T22" i="74" s="1"/>
  <c r="IR30" i="77"/>
  <c r="IS30" s="1"/>
  <c r="U30" i="74" s="1"/>
  <c r="T128"/>
  <c r="U146"/>
  <c r="T150"/>
  <c r="IR95" i="77"/>
  <c r="IR29"/>
  <c r="T29" i="74" s="1"/>
  <c r="U214"/>
  <c r="W214"/>
  <c r="V214"/>
  <c r="IR82" i="77"/>
  <c r="IR85"/>
  <c r="U412" i="74"/>
  <c r="IR238" i="77"/>
  <c r="IS235"/>
  <c r="IU235"/>
  <c r="IT235"/>
  <c r="IR439"/>
  <c r="T439" i="74" s="1"/>
  <c r="IR435" i="77"/>
  <c r="IS435" s="1"/>
  <c r="U435" i="74" s="1"/>
  <c r="IR96" i="77"/>
  <c r="T97" i="74" s="1"/>
  <c r="IS62" i="77"/>
  <c r="U62" i="74" s="1"/>
  <c r="IT62" i="77"/>
  <c r="V62" i="74" s="1"/>
  <c r="IU62" i="77"/>
  <c r="W62" i="74" s="1"/>
  <c r="IS236" i="77"/>
  <c r="IU236"/>
  <c r="IT236"/>
  <c r="U125" i="74"/>
  <c r="T98"/>
  <c r="IR407" i="77"/>
  <c r="T407" i="74" s="1"/>
  <c r="IR360" i="77"/>
  <c r="S149" i="74"/>
  <c r="N149"/>
  <c r="Q239"/>
  <c r="IL233" i="77"/>
  <c r="R17" i="74"/>
  <c r="N17"/>
  <c r="IL58" i="77"/>
  <c r="N58" i="74" s="1"/>
  <c r="Q37"/>
  <c r="S37"/>
  <c r="IL37" i="77"/>
  <c r="N37" i="74" s="1"/>
  <c r="EF224" i="77"/>
  <c r="EG224" s="1"/>
  <c r="EF24"/>
  <c r="EG62"/>
  <c r="U62" i="70" s="1"/>
  <c r="EH62" i="77"/>
  <c r="V62" i="70" s="1"/>
  <c r="EI62" i="77"/>
  <c r="W62" i="70" s="1"/>
  <c r="EF238" i="77"/>
  <c r="EF353"/>
  <c r="EG353" s="1"/>
  <c r="U353" i="70" s="1"/>
  <c r="EF82" i="77"/>
  <c r="T80" i="70" s="1"/>
  <c r="EF40" i="77"/>
  <c r="T40" i="70" s="1"/>
  <c r="EG220" i="77"/>
  <c r="EH220"/>
  <c r="EI220"/>
  <c r="U151" i="70"/>
  <c r="EF439" i="77"/>
  <c r="EF352"/>
  <c r="S409" i="70"/>
  <c r="DZ409" i="77"/>
  <c r="N409" i="70" s="1"/>
  <c r="S420"/>
  <c r="DZ420" i="77"/>
  <c r="N420" i="70" s="1"/>
  <c r="DZ422" i="77"/>
  <c r="N422" i="70" s="1"/>
  <c r="Q89"/>
  <c r="DZ85" i="77"/>
  <c r="DZ449"/>
  <c r="N449" i="70" s="1"/>
  <c r="S421"/>
  <c r="N421"/>
  <c r="DZ388" i="77"/>
  <c r="DZ457"/>
  <c r="N457" i="70" s="1"/>
  <c r="DZ430" i="77"/>
  <c r="N430" i="70" s="1"/>
  <c r="DZ360" i="77"/>
  <c r="Q200" i="70"/>
  <c r="DZ249" i="77"/>
  <c r="N252" i="70" s="1"/>
  <c r="R252"/>
  <c r="EE249" i="77"/>
  <c r="S252" i="70" s="1"/>
  <c r="Q252"/>
  <c r="N211"/>
  <c r="S211"/>
  <c r="R211"/>
  <c r="Q240"/>
  <c r="DZ234" i="77"/>
  <c r="R193" i="70"/>
  <c r="DZ228" i="77"/>
  <c r="DZ237"/>
  <c r="N31" i="70"/>
  <c r="S31"/>
  <c r="DZ26" i="77"/>
  <c r="N26" i="70" s="1"/>
  <c r="DZ34" i="77"/>
  <c r="N34" i="70" s="1"/>
  <c r="DZ32" i="77"/>
  <c r="N32" i="70" s="1"/>
  <c r="AW423" i="77"/>
  <c r="AW353"/>
  <c r="T353" i="65" s="1"/>
  <c r="AX40" i="77"/>
  <c r="U40" i="65" s="1"/>
  <c r="AY40" i="77"/>
  <c r="V40" i="65" s="1"/>
  <c r="AZ40" i="77"/>
  <c r="W40" i="65" s="1"/>
  <c r="T138"/>
  <c r="AW29" i="77"/>
  <c r="T29" i="65" s="1"/>
  <c r="AW205" i="77"/>
  <c r="AW90"/>
  <c r="AW30"/>
  <c r="AX235"/>
  <c r="AY235"/>
  <c r="AZ235"/>
  <c r="AW420"/>
  <c r="T420" i="65" s="1"/>
  <c r="AW239" i="77"/>
  <c r="AW242"/>
  <c r="AW352"/>
  <c r="AW38"/>
  <c r="AX38" s="1"/>
  <c r="U38" i="65" s="1"/>
  <c r="AW93" i="77"/>
  <c r="Q448" i="65"/>
  <c r="R448"/>
  <c r="AQ448" i="77"/>
  <c r="N448" i="65" s="1"/>
  <c r="S448"/>
  <c r="AQ402" i="77"/>
  <c r="N402" i="65" s="1"/>
  <c r="R402"/>
  <c r="S402"/>
  <c r="R416"/>
  <c r="Q416"/>
  <c r="S416"/>
  <c r="N416"/>
  <c r="AQ435" i="77"/>
  <c r="N435" i="65" s="1"/>
  <c r="R435"/>
  <c r="S435"/>
  <c r="AQ425" i="77"/>
  <c r="AQ444"/>
  <c r="N444" i="65" s="1"/>
  <c r="R444"/>
  <c r="S444"/>
  <c r="S434"/>
  <c r="R434"/>
  <c r="AQ434" i="77"/>
  <c r="N434" i="65" s="1"/>
  <c r="Q434"/>
  <c r="R371"/>
  <c r="Q371"/>
  <c r="AQ369" i="77"/>
  <c r="Q144" i="65"/>
  <c r="R144"/>
  <c r="S441"/>
  <c r="R441"/>
  <c r="Q441"/>
  <c r="N441"/>
  <c r="S96"/>
  <c r="Q96"/>
  <c r="R96"/>
  <c r="AQ95" i="77"/>
  <c r="N96" i="65" s="1"/>
  <c r="AQ373" i="77"/>
  <c r="N373" i="65" s="1"/>
  <c r="R373"/>
  <c r="AV373" i="77"/>
  <c r="S373" i="65" s="1"/>
  <c r="R198"/>
  <c r="Q198"/>
  <c r="R220"/>
  <c r="AQ228" i="77"/>
  <c r="Q220" i="65"/>
  <c r="AQ237" i="77"/>
  <c r="AQ200"/>
  <c r="N208" i="65" s="1"/>
  <c r="R208"/>
  <c r="S208"/>
  <c r="Q208"/>
  <c r="R23"/>
  <c r="S23"/>
  <c r="Q23"/>
  <c r="AQ23" i="77"/>
  <c r="N23" i="65" s="1"/>
  <c r="S22"/>
  <c r="Q22"/>
  <c r="R22"/>
  <c r="AQ22" i="77"/>
  <c r="N22" i="65" s="1"/>
  <c r="Q42"/>
  <c r="AQ42" i="77"/>
  <c r="N42" i="65" s="1"/>
  <c r="R42"/>
  <c r="S42"/>
  <c r="S41"/>
  <c r="Q41"/>
  <c r="N41"/>
  <c r="R41"/>
  <c r="AW67" i="77"/>
  <c r="FI439"/>
  <c r="FJ439" s="1"/>
  <c r="U439" i="71" s="1"/>
  <c r="FI359" i="77"/>
  <c r="FJ429"/>
  <c r="FK429"/>
  <c r="V429" i="71" s="1"/>
  <c r="FI408" i="77"/>
  <c r="T408" i="71" s="1"/>
  <c r="FI360" i="77"/>
  <c r="FI434"/>
  <c r="FJ434" s="1"/>
  <c r="U434" i="71" s="1"/>
  <c r="FI358" i="77"/>
  <c r="T358" i="71" s="1"/>
  <c r="T207"/>
  <c r="FI63" i="77"/>
  <c r="FJ63" s="1"/>
  <c r="U63" i="71" s="1"/>
  <c r="R442" i="70"/>
  <c r="Q436"/>
  <c r="IR409" i="77"/>
  <c r="IS409" s="1"/>
  <c r="U409" i="74" s="1"/>
  <c r="T365"/>
  <c r="T461"/>
  <c r="IR256" i="77"/>
  <c r="T256" i="74" s="1"/>
  <c r="U421"/>
  <c r="W421"/>
  <c r="IR57" i="77"/>
  <c r="T57" i="74" s="1"/>
  <c r="IR23" i="77"/>
  <c r="T23" i="74" s="1"/>
  <c r="T12"/>
  <c r="IR32" i="77"/>
  <c r="IS32" s="1"/>
  <c r="U32" i="74" s="1"/>
  <c r="IR60" i="77"/>
  <c r="IS60" s="1"/>
  <c r="U60" i="74" s="1"/>
  <c r="T199"/>
  <c r="IR434" i="77"/>
  <c r="IS434" s="1"/>
  <c r="U434" i="74" s="1"/>
  <c r="IR232" i="77"/>
  <c r="IS234"/>
  <c r="IU234"/>
  <c r="IT234"/>
  <c r="U79" i="74"/>
  <c r="IR248" i="77"/>
  <c r="IS248" s="1"/>
  <c r="IR359"/>
  <c r="IR353"/>
  <c r="IS353" s="1"/>
  <c r="U353" i="74" s="1"/>
  <c r="IR355" i="77"/>
  <c r="T355" i="74" s="1"/>
  <c r="IR63" i="77"/>
  <c r="IS63" s="1"/>
  <c r="U63" i="74" s="1"/>
  <c r="IR244" i="77"/>
  <c r="IR237"/>
  <c r="IS237" s="1"/>
  <c r="IR84"/>
  <c r="U415" i="74"/>
  <c r="IR357" i="77"/>
  <c r="IS357" s="1"/>
  <c r="U357" i="74" s="1"/>
  <c r="S93"/>
  <c r="IL93" i="77"/>
  <c r="N95" i="74" s="1"/>
  <c r="S153"/>
  <c r="N153"/>
  <c r="U31"/>
  <c r="W31"/>
  <c r="V31"/>
  <c r="R16"/>
  <c r="N16"/>
  <c r="IQ72" i="77"/>
  <c r="IR72" s="1"/>
  <c r="T72" i="74" s="1"/>
  <c r="IL72" i="77"/>
  <c r="N72" i="74" s="1"/>
  <c r="EF256" i="77"/>
  <c r="EG256" s="1"/>
  <c r="U256" i="70" s="1"/>
  <c r="EF462" i="77"/>
  <c r="EG462" s="1"/>
  <c r="U462" i="70" s="1"/>
  <c r="EF408" i="77"/>
  <c r="T408" i="70" s="1"/>
  <c r="EF58" i="77"/>
  <c r="EG58" s="1"/>
  <c r="U58" i="70" s="1"/>
  <c r="EF232" i="77"/>
  <c r="T232" i="70" s="1"/>
  <c r="EF65" i="77"/>
  <c r="EF253"/>
  <c r="T253" i="70" s="1"/>
  <c r="EF96" i="77"/>
  <c r="U415" i="70"/>
  <c r="EF236" i="77"/>
  <c r="T236" i="70" s="1"/>
  <c r="EF92" i="77"/>
  <c r="U125" i="70"/>
  <c r="EF37" i="77"/>
  <c r="EF233"/>
  <c r="EF239"/>
  <c r="EG443"/>
  <c r="U443" i="70" s="1"/>
  <c r="EH443" i="77"/>
  <c r="V443" i="70" s="1"/>
  <c r="EI443" i="77"/>
  <c r="W443" i="70" s="1"/>
  <c r="Q406"/>
  <c r="DZ406" i="77"/>
  <c r="N406" i="70" s="1"/>
  <c r="EE406" i="77"/>
  <c r="S406" i="70" s="1"/>
  <c r="N412"/>
  <c r="S412"/>
  <c r="EF84" i="77"/>
  <c r="N413" i="70"/>
  <c r="N389"/>
  <c r="R389"/>
  <c r="S389"/>
  <c r="N461"/>
  <c r="DZ378" i="77"/>
  <c r="R384" i="70"/>
  <c r="DZ359" i="77"/>
  <c r="N199" i="70"/>
  <c r="DZ357" i="77"/>
  <c r="N357" i="70" s="1"/>
  <c r="N441"/>
  <c r="N98"/>
  <c r="FL430" i="77"/>
  <c r="W430" i="71" s="1"/>
  <c r="FK430" i="77"/>
  <c r="V430" i="71" s="1"/>
  <c r="FI409" i="77"/>
  <c r="T409" i="71" s="1"/>
  <c r="FI448" i="77"/>
  <c r="T448" i="71" s="1"/>
  <c r="FI462" i="77"/>
  <c r="FJ462" s="1"/>
  <c r="U462" i="71" s="1"/>
  <c r="FI374" i="77"/>
  <c r="T374" i="71" s="1"/>
  <c r="FI24" i="77"/>
  <c r="FI32"/>
  <c r="T32" i="71" s="1"/>
  <c r="FI200" i="77"/>
  <c r="T208" i="71" s="1"/>
  <c r="FI60" i="77"/>
  <c r="IT449"/>
  <c r="V449" i="74" s="1"/>
  <c r="GP438" i="77"/>
  <c r="GS438" s="1"/>
  <c r="HS437"/>
  <c r="HV437" s="1"/>
  <c r="X442"/>
  <c r="AA442" s="1"/>
  <c r="EJ367"/>
  <c r="EM367" s="1"/>
  <c r="V207" i="74"/>
  <c r="IU59" i="77"/>
  <c r="IU358"/>
  <c r="W358" i="74" s="1"/>
  <c r="Q149"/>
  <c r="R402" i="70"/>
  <c r="Q246"/>
  <c r="Q146"/>
  <c r="R246"/>
  <c r="R146"/>
  <c r="T180" i="74"/>
  <c r="IS442" i="77"/>
  <c r="U442" i="74" s="1"/>
  <c r="IT442" i="77"/>
  <c r="V442" i="74" s="1"/>
  <c r="IU442" i="77"/>
  <c r="W442" i="74" s="1"/>
  <c r="IR246" i="77"/>
  <c r="T249" i="74" s="1"/>
  <c r="IS228" i="77"/>
  <c r="IT228"/>
  <c r="IU228"/>
  <c r="IR429"/>
  <c r="IS429" s="1"/>
  <c r="U429" i="74" s="1"/>
  <c r="IR38" i="77"/>
  <c r="IS220"/>
  <c r="IU220"/>
  <c r="IT220"/>
  <c r="T123" i="74"/>
  <c r="IR86" i="77"/>
  <c r="T86" i="74" s="1"/>
  <c r="T126"/>
  <c r="IR40" i="77"/>
  <c r="T40" i="74" s="1"/>
  <c r="U416"/>
  <c r="IS443" i="77"/>
  <c r="U443" i="74" s="1"/>
  <c r="IT443" i="77"/>
  <c r="V443" i="74" s="1"/>
  <c r="IU443" i="77"/>
  <c r="W443" i="74" s="1"/>
  <c r="IR33" i="77"/>
  <c r="Q15" i="74"/>
  <c r="N15"/>
  <c r="S15"/>
  <c r="R15"/>
  <c r="N13"/>
  <c r="Q69"/>
  <c r="IL69" i="77"/>
  <c r="N69" i="74" s="1"/>
  <c r="S69"/>
  <c r="EF93" i="77"/>
  <c r="EG93" s="1"/>
  <c r="EF22"/>
  <c r="T22" i="70" s="1"/>
  <c r="T138"/>
  <c r="EF67" i="77"/>
  <c r="EF69"/>
  <c r="EF42"/>
  <c r="T42" i="70" s="1"/>
  <c r="U61"/>
  <c r="V61"/>
  <c r="W61"/>
  <c r="EF247" i="77"/>
  <c r="T131" i="70"/>
  <c r="T401"/>
  <c r="N401"/>
  <c r="S402"/>
  <c r="DZ402" i="77"/>
  <c r="N402" i="70" s="1"/>
  <c r="DZ374" i="77"/>
  <c r="N374" i="70" s="1"/>
  <c r="EF95" i="77"/>
  <c r="EG95" s="1"/>
  <c r="DZ380"/>
  <c r="R388" i="70"/>
  <c r="Q93"/>
  <c r="S93"/>
  <c r="N93"/>
  <c r="DZ442" i="77"/>
  <c r="N442" i="70" s="1"/>
  <c r="S442"/>
  <c r="DZ436" i="77"/>
  <c r="N436" i="70" s="1"/>
  <c r="S436"/>
  <c r="DZ370" i="77"/>
  <c r="EE370"/>
  <c r="S370" i="70" s="1"/>
  <c r="Q444"/>
  <c r="DZ444" i="77"/>
  <c r="N444" i="70" s="1"/>
  <c r="S444"/>
  <c r="DZ90" i="77"/>
  <c r="N92" i="70" s="1"/>
  <c r="S92"/>
  <c r="R122"/>
  <c r="Q249"/>
  <c r="DZ246" i="77"/>
  <c r="S12" i="70"/>
  <c r="N12"/>
  <c r="S169"/>
  <c r="R218"/>
  <c r="DZ226" i="77"/>
  <c r="R204" i="70"/>
  <c r="DZ30" i="77"/>
  <c r="N30" i="70" s="1"/>
  <c r="N41"/>
  <c r="DZ28" i="77"/>
  <c r="N28" i="70" s="1"/>
  <c r="DZ59" i="77"/>
  <c r="N59" i="70" s="1"/>
  <c r="R59"/>
  <c r="S59"/>
  <c r="R70"/>
  <c r="S70"/>
  <c r="DZ70" i="77"/>
  <c r="N70" i="70" s="1"/>
  <c r="AW257" i="77"/>
  <c r="AW248"/>
  <c r="T114" i="65"/>
  <c r="T124"/>
  <c r="AW24" i="77"/>
  <c r="T24" i="65" s="1"/>
  <c r="U31"/>
  <c r="V31"/>
  <c r="W31"/>
  <c r="AW63" i="77"/>
  <c r="AW60"/>
  <c r="AX60" s="1"/>
  <c r="U60" i="65" s="1"/>
  <c r="AW82" i="77"/>
  <c r="AW422"/>
  <c r="AX233"/>
  <c r="AZ233"/>
  <c r="AY233"/>
  <c r="AW236"/>
  <c r="T236" i="65" s="1"/>
  <c r="T79"/>
  <c r="R462"/>
  <c r="Q462"/>
  <c r="AQ462" i="77"/>
  <c r="N462" i="65" s="1"/>
  <c r="S462"/>
  <c r="Q419"/>
  <c r="N419"/>
  <c r="S419"/>
  <c r="R419"/>
  <c r="Q365"/>
  <c r="N365"/>
  <c r="S365"/>
  <c r="R365"/>
  <c r="Q408"/>
  <c r="S408"/>
  <c r="R408"/>
  <c r="AQ408" i="77"/>
  <c r="N408" i="65" s="1"/>
  <c r="R436"/>
  <c r="S436"/>
  <c r="Q436"/>
  <c r="AQ436" i="77"/>
  <c r="N436" i="65" s="1"/>
  <c r="AQ84" i="77"/>
  <c r="Q82" i="65"/>
  <c r="R82"/>
  <c r="S443"/>
  <c r="Q443"/>
  <c r="R443"/>
  <c r="AQ443" i="77"/>
  <c r="N443" i="65" s="1"/>
  <c r="Q91"/>
  <c r="AQ88" i="77"/>
  <c r="R91" i="65"/>
  <c r="R202"/>
  <c r="Q384"/>
  <c r="AQ378" i="77"/>
  <c r="R384" i="65"/>
  <c r="Q89"/>
  <c r="AQ85" i="77"/>
  <c r="R89" i="65"/>
  <c r="AQ389" i="77"/>
  <c r="R148" i="65"/>
  <c r="Q148"/>
  <c r="R211"/>
  <c r="N211"/>
  <c r="S211"/>
  <c r="Q211"/>
  <c r="Q200"/>
  <c r="R200"/>
  <c r="R196"/>
  <c r="Q196"/>
  <c r="AV249" i="77"/>
  <c r="S252" i="65" s="1"/>
  <c r="R252"/>
  <c r="AQ249" i="77"/>
  <c r="N252" i="65" s="1"/>
  <c r="Q249"/>
  <c r="AQ246" i="77"/>
  <c r="R249" i="65"/>
  <c r="S12"/>
  <c r="R12"/>
  <c r="N12"/>
  <c r="AV27" i="77"/>
  <c r="S27" i="65" s="1"/>
  <c r="AQ27" i="77"/>
  <c r="N27" i="65" s="1"/>
  <c r="R62"/>
  <c r="AQ62" i="77"/>
  <c r="N62" i="65" s="1"/>
  <c r="S62"/>
  <c r="Q62"/>
  <c r="Q34"/>
  <c r="S34"/>
  <c r="AQ34" i="77"/>
  <c r="N34" i="65" s="1"/>
  <c r="R34"/>
  <c r="T461" i="71"/>
  <c r="FI42" i="77"/>
  <c r="Q373" i="65"/>
  <c r="U19" i="71"/>
  <c r="V19"/>
  <c r="W19"/>
  <c r="FI33" i="77"/>
  <c r="FI239"/>
  <c r="FJ239" s="1"/>
  <c r="FI90"/>
  <c r="FJ444"/>
  <c r="U444" i="71" s="1"/>
  <c r="FL444" i="77"/>
  <c r="W444" i="71" s="1"/>
  <c r="FK444" i="77"/>
  <c r="V444" i="71" s="1"/>
  <c r="FI83" i="77"/>
  <c r="R120" i="71"/>
  <c r="S125"/>
  <c r="N125"/>
  <c r="R125"/>
  <c r="S147"/>
  <c r="N147"/>
  <c r="R147"/>
  <c r="S100"/>
  <c r="N100"/>
  <c r="N214"/>
  <c r="S214"/>
  <c r="S149"/>
  <c r="N149"/>
  <c r="R149"/>
  <c r="FC50" i="77"/>
  <c r="N50" i="71" s="1"/>
  <c r="FH50" i="77"/>
  <c r="S50" i="71" s="1"/>
  <c r="S256"/>
  <c r="FC256" i="77"/>
  <c r="N256" i="71" s="1"/>
  <c r="R256"/>
  <c r="R69"/>
  <c r="FC69" i="77"/>
  <c r="N69" i="71" s="1"/>
  <c r="S69"/>
  <c r="S59"/>
  <c r="FC59" i="77"/>
  <c r="N59" i="71" s="1"/>
  <c r="R59"/>
  <c r="Q73"/>
  <c r="FH73" i="77"/>
  <c r="S73" i="71" s="1"/>
  <c r="FC73" i="77"/>
  <c r="N73" i="71" s="1"/>
  <c r="R73"/>
  <c r="S38"/>
  <c r="FC38" i="77"/>
  <c r="N38" i="71" s="1"/>
  <c r="R38"/>
  <c r="GL462" i="77"/>
  <c r="GL425"/>
  <c r="GL422"/>
  <c r="GM422" s="1"/>
  <c r="U422" i="72" s="1"/>
  <c r="GL242" i="77"/>
  <c r="T19" i="72"/>
  <c r="U146"/>
  <c r="GL34" i="77"/>
  <c r="GL40"/>
  <c r="T40" i="72" s="1"/>
  <c r="T125"/>
  <c r="GL355" i="77"/>
  <c r="GL84"/>
  <c r="U31" i="72"/>
  <c r="W31"/>
  <c r="V31"/>
  <c r="GL439" i="77"/>
  <c r="GM439" s="1"/>
  <c r="U439" i="72" s="1"/>
  <c r="GL83" i="77"/>
  <c r="GL429"/>
  <c r="GL86"/>
  <c r="GL235"/>
  <c r="GL369"/>
  <c r="GL29"/>
  <c r="GM29" s="1"/>
  <c r="U29" i="72" s="1"/>
  <c r="U365"/>
  <c r="R17"/>
  <c r="N17"/>
  <c r="S17"/>
  <c r="S13"/>
  <c r="R13"/>
  <c r="N13"/>
  <c r="Q16"/>
  <c r="R16"/>
  <c r="N16"/>
  <c r="S16"/>
  <c r="R33"/>
  <c r="S33"/>
  <c r="GF33" i="77"/>
  <c r="N33" i="72" s="1"/>
  <c r="R67"/>
  <c r="S67"/>
  <c r="GF67" i="77"/>
  <c r="N67" i="72" s="1"/>
  <c r="T437" i="68"/>
  <c r="BZ244" i="77"/>
  <c r="BZ59"/>
  <c r="BZ23"/>
  <c r="BZ63"/>
  <c r="BZ28"/>
  <c r="U13" i="68"/>
  <c r="V13"/>
  <c r="W13"/>
  <c r="BZ246" i="77"/>
  <c r="BZ36"/>
  <c r="T36" i="68" s="1"/>
  <c r="BZ378" i="77"/>
  <c r="U124" i="68"/>
  <c r="BT400" i="77"/>
  <c r="N400" i="68" s="1"/>
  <c r="R400"/>
  <c r="BY400" i="77"/>
  <c r="S400" i="68" s="1"/>
  <c r="BT407" i="77"/>
  <c r="N407" i="68" s="1"/>
  <c r="S407"/>
  <c r="R407"/>
  <c r="BT420" i="77"/>
  <c r="N420" i="68" s="1"/>
  <c r="S420"/>
  <c r="R420"/>
  <c r="S432"/>
  <c r="Q432"/>
  <c r="R432"/>
  <c r="N432"/>
  <c r="BT455" i="77"/>
  <c r="N455" i="68" s="1"/>
  <c r="S455"/>
  <c r="R455"/>
  <c r="Q428"/>
  <c r="R428"/>
  <c r="BY428" i="77"/>
  <c r="S428" i="68" s="1"/>
  <c r="BT428" i="77"/>
  <c r="N428" i="68" s="1"/>
  <c r="S422"/>
  <c r="R422"/>
  <c r="BT422" i="77"/>
  <c r="N422" i="68" s="1"/>
  <c r="S435"/>
  <c r="BT435" i="77"/>
  <c r="N435" i="68" s="1"/>
  <c r="R435"/>
  <c r="N365"/>
  <c r="R365"/>
  <c r="S365"/>
  <c r="S97"/>
  <c r="BT96" i="77"/>
  <c r="N97" i="68" s="1"/>
  <c r="R97"/>
  <c r="R364"/>
  <c r="BT93" i="77"/>
  <c r="R95" i="68"/>
  <c r="S100"/>
  <c r="N100"/>
  <c r="R100"/>
  <c r="BT232" i="77"/>
  <c r="R221" i="68"/>
  <c r="R145"/>
  <c r="R197"/>
  <c r="BT224" i="77"/>
  <c r="R210" i="68"/>
  <c r="BT205" i="77"/>
  <c r="N210" i="68" s="1"/>
  <c r="S210"/>
  <c r="BT245" i="77"/>
  <c r="R248" i="68"/>
  <c r="N215"/>
  <c r="S215"/>
  <c r="R215"/>
  <c r="R250"/>
  <c r="BT247" i="77"/>
  <c r="N250" i="68" s="1"/>
  <c r="S250"/>
  <c r="S29"/>
  <c r="BT29" i="77"/>
  <c r="N29" i="68" s="1"/>
  <c r="R29"/>
  <c r="R46"/>
  <c r="BT46" i="77"/>
  <c r="N46" i="68" s="1"/>
  <c r="Q46"/>
  <c r="BY46" i="77"/>
  <c r="S46" i="68" s="1"/>
  <c r="S21"/>
  <c r="N21"/>
  <c r="R21"/>
  <c r="Q51"/>
  <c r="R51"/>
  <c r="S51"/>
  <c r="N51"/>
  <c r="R64"/>
  <c r="BY64" i="77"/>
  <c r="S64" i="68" s="1"/>
  <c r="BT64" i="77"/>
  <c r="N64" i="68" s="1"/>
  <c r="Q49"/>
  <c r="BY49" i="77"/>
  <c r="S49" i="68" s="1"/>
  <c r="BT49" i="77"/>
  <c r="N49" i="68" s="1"/>
  <c r="R49"/>
  <c r="BY73" i="77"/>
  <c r="S73" i="68" s="1"/>
  <c r="BT73" i="77"/>
  <c r="N73" i="68" s="1"/>
  <c r="R73"/>
  <c r="HO360" i="77"/>
  <c r="HO439"/>
  <c r="HP429"/>
  <c r="U429" i="73" s="1"/>
  <c r="HR429" i="77"/>
  <c r="W429" i="73" s="1"/>
  <c r="HO32" i="77"/>
  <c r="T32" i="73" s="1"/>
  <c r="U13"/>
  <c r="HO48" i="77"/>
  <c r="HP48" s="1"/>
  <c r="U48" i="73" s="1"/>
  <c r="HO60" i="77"/>
  <c r="T60" i="73" s="1"/>
  <c r="HO26" i="77"/>
  <c r="HP26" s="1"/>
  <c r="U26" i="73" s="1"/>
  <c r="T21"/>
  <c r="HP233" i="77"/>
  <c r="HQ233"/>
  <c r="HR233"/>
  <c r="T100" i="73"/>
  <c r="HO86" i="77"/>
  <c r="T412" i="73"/>
  <c r="HO355" i="77"/>
  <c r="T355" i="73" s="1"/>
  <c r="HP405" i="77"/>
  <c r="U405" i="73" s="1"/>
  <c r="HR405" i="77"/>
  <c r="W425" i="73" s="1"/>
  <c r="HQ405" i="77"/>
  <c r="V425" i="73" s="1"/>
  <c r="T415"/>
  <c r="U31"/>
  <c r="W31"/>
  <c r="V31"/>
  <c r="HO234" i="77"/>
  <c r="T234" i="73" s="1"/>
  <c r="HO95" i="77"/>
  <c r="HP407"/>
  <c r="U407" i="73" s="1"/>
  <c r="HR407" i="77"/>
  <c r="W407" i="73" s="1"/>
  <c r="HQ407" i="77"/>
  <c r="V407" i="73" s="1"/>
  <c r="HO96" i="77"/>
  <c r="HP96" s="1"/>
  <c r="U97" i="73" s="1"/>
  <c r="S358"/>
  <c r="HI358" i="77"/>
  <c r="N358" i="73" s="1"/>
  <c r="HI443" i="77"/>
  <c r="N443" i="73" s="1"/>
  <c r="S443"/>
  <c r="S151"/>
  <c r="N151"/>
  <c r="S238"/>
  <c r="HI238" i="77"/>
  <c r="Q145" i="73"/>
  <c r="Q250"/>
  <c r="S250"/>
  <c r="HI247" i="77"/>
  <c r="N250" i="73" s="1"/>
  <c r="HI205" i="77"/>
  <c r="N210" i="73" s="1"/>
  <c r="S210"/>
  <c r="R24"/>
  <c r="HI24" i="77"/>
  <c r="N24" i="73" s="1"/>
  <c r="S24"/>
  <c r="HO245" i="77"/>
  <c r="S42" i="73"/>
  <c r="HI42" i="77"/>
  <c r="N42" i="73" s="1"/>
  <c r="S38"/>
  <c r="HI38" i="77"/>
  <c r="N38" i="73" s="1"/>
  <c r="R69"/>
  <c r="S69"/>
  <c r="HI69" i="77"/>
  <c r="N69" i="73" s="1"/>
  <c r="DC388" i="77"/>
  <c r="DC59"/>
  <c r="T59" i="69" s="1"/>
  <c r="DC24" i="77"/>
  <c r="T24" i="69" s="1"/>
  <c r="T12"/>
  <c r="DC378" i="77"/>
  <c r="T378" i="69" s="1"/>
  <c r="DC389" i="77"/>
  <c r="DC92"/>
  <c r="T94" i="69" s="1"/>
  <c r="T182"/>
  <c r="T19"/>
  <c r="CW449" i="77"/>
  <c r="N449" i="69" s="1"/>
  <c r="R449"/>
  <c r="S449"/>
  <c r="S455"/>
  <c r="CW455" i="77"/>
  <c r="N455" i="69" s="1"/>
  <c r="S407"/>
  <c r="CW407" i="77"/>
  <c r="N407" i="69" s="1"/>
  <c r="Q411"/>
  <c r="N411"/>
  <c r="S411"/>
  <c r="R423"/>
  <c r="S423"/>
  <c r="CW423" i="77"/>
  <c r="N423" i="69" s="1"/>
  <c r="R417"/>
  <c r="N417"/>
  <c r="S417"/>
  <c r="CW435" i="77"/>
  <c r="N435" i="69" s="1"/>
  <c r="S435"/>
  <c r="DB432" i="77"/>
  <c r="DC432" s="1"/>
  <c r="CW432"/>
  <c r="N365" i="69"/>
  <c r="S125"/>
  <c r="N125"/>
  <c r="R125"/>
  <c r="R436"/>
  <c r="S436"/>
  <c r="CW436" i="77"/>
  <c r="N436" i="69" s="1"/>
  <c r="CW359" i="77"/>
  <c r="R362" i="69"/>
  <c r="S80"/>
  <c r="CW82" i="77"/>
  <c r="N80" i="69" s="1"/>
  <c r="R80"/>
  <c r="N150"/>
  <c r="R150"/>
  <c r="S150"/>
  <c r="CW355" i="77"/>
  <c r="N355" i="69" s="1"/>
  <c r="S355"/>
  <c r="R355"/>
  <c r="N78"/>
  <c r="S98"/>
  <c r="R98"/>
  <c r="N98"/>
  <c r="R126"/>
  <c r="S126"/>
  <c r="N126"/>
  <c r="R217"/>
  <c r="CW205" i="77"/>
  <c r="N210" i="69" s="1"/>
  <c r="S210"/>
  <c r="R210"/>
  <c r="S257"/>
  <c r="R257"/>
  <c r="CW257" i="77"/>
  <c r="N257" i="69" s="1"/>
  <c r="R192"/>
  <c r="R201"/>
  <c r="R249"/>
  <c r="CW246" i="77"/>
  <c r="N249" i="69" s="1"/>
  <c r="N215"/>
  <c r="R215"/>
  <c r="S215"/>
  <c r="CW236" i="77"/>
  <c r="R242" i="69"/>
  <c r="R23"/>
  <c r="CW23" i="77"/>
  <c r="N23" i="69" s="1"/>
  <c r="S23"/>
  <c r="Q206"/>
  <c r="S206"/>
  <c r="N206"/>
  <c r="R206"/>
  <c r="R253"/>
  <c r="S30"/>
  <c r="CW30" i="77"/>
  <c r="N30" i="69" s="1"/>
  <c r="R30"/>
  <c r="DB44" i="77"/>
  <c r="S44" i="69" s="1"/>
  <c r="CW44" i="77"/>
  <c r="N44" i="69" s="1"/>
  <c r="S256"/>
  <c r="CW256" i="77"/>
  <c r="N256" i="69" s="1"/>
  <c r="R256"/>
  <c r="DB47" i="77"/>
  <c r="S47" i="69" s="1"/>
  <c r="CW47" i="77"/>
  <c r="N47" i="69" s="1"/>
  <c r="R68"/>
  <c r="CW68" i="77"/>
  <c r="N68" i="69" s="1"/>
  <c r="DB68" i="77"/>
  <c r="S68" i="69" s="1"/>
  <c r="DB53" i="77"/>
  <c r="S53" i="69" s="1"/>
  <c r="CW53" i="77"/>
  <c r="N53" i="69" s="1"/>
  <c r="CW66" i="77"/>
  <c r="N66" i="69" s="1"/>
  <c r="R66"/>
  <c r="DB66" i="77"/>
  <c r="S66" i="69" s="1"/>
  <c r="Q197" i="68"/>
  <c r="FJ426" i="77"/>
  <c r="U426" i="71" s="1"/>
  <c r="FK426" i="77"/>
  <c r="V426" i="71" s="1"/>
  <c r="FL426" i="77"/>
  <c r="W426" i="71" s="1"/>
  <c r="T114"/>
  <c r="FI34" i="77"/>
  <c r="FI242"/>
  <c r="FI26"/>
  <c r="FI204"/>
  <c r="T204" i="71" s="1"/>
  <c r="FI95" i="77"/>
  <c r="FI62"/>
  <c r="FJ62" s="1"/>
  <c r="U62" i="71" s="1"/>
  <c r="FJ228" i="77"/>
  <c r="FL228"/>
  <c r="FK228"/>
  <c r="FI389"/>
  <c r="FJ389" s="1"/>
  <c r="FI407"/>
  <c r="T407" i="71" s="1"/>
  <c r="FI238" i="77"/>
  <c r="FI353"/>
  <c r="FJ353" s="1"/>
  <c r="U353" i="71" s="1"/>
  <c r="FJ442" i="77"/>
  <c r="FK442"/>
  <c r="V442" i="71" s="1"/>
  <c r="FL442" i="77"/>
  <c r="W442" i="71" s="1"/>
  <c r="FI422" i="77"/>
  <c r="U419" i="71"/>
  <c r="FI248" i="77"/>
  <c r="FJ437"/>
  <c r="FK437"/>
  <c r="FL437"/>
  <c r="S352" i="71"/>
  <c r="FC352" i="77"/>
  <c r="N352" i="71" s="1"/>
  <c r="S94"/>
  <c r="FC92" i="77"/>
  <c r="N94" i="71" s="1"/>
  <c r="R94"/>
  <c r="R124"/>
  <c r="S124"/>
  <c r="N124"/>
  <c r="FC96" i="77"/>
  <c r="N97" i="71" s="1"/>
  <c r="S96"/>
  <c r="FC245" i="77"/>
  <c r="N248" i="71" s="1"/>
  <c r="R248"/>
  <c r="S248"/>
  <c r="FC233" i="77"/>
  <c r="R239" i="71"/>
  <c r="S233"/>
  <c r="S254"/>
  <c r="FC253" i="77"/>
  <c r="N254" i="71" s="1"/>
  <c r="R254"/>
  <c r="FH66" i="77"/>
  <c r="S66" i="71" s="1"/>
  <c r="Q66"/>
  <c r="R66"/>
  <c r="FC66" i="77"/>
  <c r="N66" i="71" s="1"/>
  <c r="S57"/>
  <c r="FC57" i="77"/>
  <c r="N57" i="71" s="1"/>
  <c r="Q71"/>
  <c r="R71"/>
  <c r="S71"/>
  <c r="N71"/>
  <c r="S70"/>
  <c r="FC70" i="77"/>
  <c r="N70" i="71" s="1"/>
  <c r="R70"/>
  <c r="GL374" i="77"/>
  <c r="T437" i="72"/>
  <c r="GL388" i="77"/>
  <c r="GM388" s="1"/>
  <c r="GL378"/>
  <c r="GL62"/>
  <c r="GL28"/>
  <c r="GM28" s="1"/>
  <c r="U28" i="72" s="1"/>
  <c r="GL70" i="77"/>
  <c r="GM70" s="1"/>
  <c r="U70" i="72" s="1"/>
  <c r="GL200" i="77"/>
  <c r="GM200" s="1"/>
  <c r="U208" i="72" s="1"/>
  <c r="GL69" i="77"/>
  <c r="GL59"/>
  <c r="GM59" s="1"/>
  <c r="U59" i="72" s="1"/>
  <c r="GL204" i="77"/>
  <c r="T209" i="72" s="1"/>
  <c r="GM220" i="77"/>
  <c r="GO220"/>
  <c r="GN220"/>
  <c r="T181" i="72"/>
  <c r="GL360" i="77"/>
  <c r="GL85"/>
  <c r="GL37"/>
  <c r="GM37" s="1"/>
  <c r="U37" i="72" s="1"/>
  <c r="GL238" i="77"/>
  <c r="GL88"/>
  <c r="T88" i="72" s="1"/>
  <c r="T114"/>
  <c r="GM233" i="77"/>
  <c r="GO233"/>
  <c r="GN233"/>
  <c r="GM444"/>
  <c r="U444" i="72" s="1"/>
  <c r="GO444" i="77"/>
  <c r="W444" i="72" s="1"/>
  <c r="GN444" i="77"/>
  <c r="V444" i="72" s="1"/>
  <c r="GM437" i="77"/>
  <c r="GN437"/>
  <c r="GO437"/>
  <c r="GL402"/>
  <c r="GM402" s="1"/>
  <c r="U402" i="72" s="1"/>
  <c r="GL246" i="77"/>
  <c r="GM246" s="1"/>
  <c r="U249" i="72" s="1"/>
  <c r="GM442" i="77"/>
  <c r="U442" i="72" s="1"/>
  <c r="GN442" i="77"/>
  <c r="V442" i="72" s="1"/>
  <c r="GO442" i="77"/>
  <c r="W442" i="72" s="1"/>
  <c r="GL435" i="77"/>
  <c r="GM435" s="1"/>
  <c r="U435" i="72" s="1"/>
  <c r="S431"/>
  <c r="N431"/>
  <c r="GF38" i="77"/>
  <c r="N38" i="72" s="1"/>
  <c r="S38"/>
  <c r="S11"/>
  <c r="N11"/>
  <c r="N21"/>
  <c r="S21"/>
  <c r="GF65" i="77"/>
  <c r="N65" i="72" s="1"/>
  <c r="R65"/>
  <c r="BZ388" i="77"/>
  <c r="CA388" s="1"/>
  <c r="BZ58"/>
  <c r="T58" i="68" s="1"/>
  <c r="BZ65" i="77"/>
  <c r="BZ69"/>
  <c r="BZ85"/>
  <c r="BZ32"/>
  <c r="BZ236"/>
  <c r="U98" i="68"/>
  <c r="BZ234" i="77"/>
  <c r="BZ442"/>
  <c r="T442" i="68" s="1"/>
  <c r="BZ443" i="77"/>
  <c r="BZ359"/>
  <c r="BT449"/>
  <c r="N449" i="68" s="1"/>
  <c r="R449"/>
  <c r="S449"/>
  <c r="Q415"/>
  <c r="R415"/>
  <c r="S415"/>
  <c r="N415"/>
  <c r="BT405" i="77"/>
  <c r="BT438"/>
  <c r="BY438"/>
  <c r="Q78" i="68"/>
  <c r="S78"/>
  <c r="R78"/>
  <c r="N78"/>
  <c r="R203"/>
  <c r="BY432" i="77"/>
  <c r="BT432"/>
  <c r="S353" i="68"/>
  <c r="BT353" i="77"/>
  <c r="N353" i="68" s="1"/>
  <c r="R353"/>
  <c r="S94"/>
  <c r="BT92" i="77"/>
  <c r="N94" i="68" s="1"/>
  <c r="R94"/>
  <c r="S149"/>
  <c r="N149"/>
  <c r="R149"/>
  <c r="R363"/>
  <c r="BT360" i="77"/>
  <c r="BT88"/>
  <c r="R91" i="68"/>
  <c r="BT95" i="77"/>
  <c r="R96" i="68"/>
  <c r="R146"/>
  <c r="S146"/>
  <c r="N146"/>
  <c r="Q206"/>
  <c r="S206"/>
  <c r="R206"/>
  <c r="N206"/>
  <c r="R54"/>
  <c r="BY54" i="77"/>
  <c r="S54" i="68" s="1"/>
  <c r="Q54"/>
  <c r="BT54" i="77"/>
  <c r="N54" i="68" s="1"/>
  <c r="S193"/>
  <c r="N193"/>
  <c r="R193"/>
  <c r="R208"/>
  <c r="S208"/>
  <c r="BT200" i="77"/>
  <c r="N208" i="68" s="1"/>
  <c r="BT235" i="77"/>
  <c r="BY45"/>
  <c r="S45" i="68" s="1"/>
  <c r="BT45" i="77"/>
  <c r="N45" i="68" s="1"/>
  <c r="R45"/>
  <c r="S246"/>
  <c r="R246"/>
  <c r="BT242" i="77"/>
  <c r="N246" i="68" s="1"/>
  <c r="BY44" i="77"/>
  <c r="S44" i="68" s="1"/>
  <c r="R44"/>
  <c r="BT44" i="77"/>
  <c r="N44" i="68" s="1"/>
  <c r="Q44"/>
  <c r="BY20" i="77"/>
  <c r="S20" i="68" s="1"/>
  <c r="R20"/>
  <c r="BT20" i="77"/>
  <c r="N20" i="68" s="1"/>
  <c r="BZ33" i="77"/>
  <c r="CA33" s="1"/>
  <c r="U33" i="68" s="1"/>
  <c r="BT60" i="77"/>
  <c r="N60" i="68" s="1"/>
  <c r="R60"/>
  <c r="S48"/>
  <c r="BT48" i="77"/>
  <c r="N48" i="68" s="1"/>
  <c r="R48"/>
  <c r="BT55" i="77"/>
  <c r="N55" i="68" s="1"/>
  <c r="BY55" i="77"/>
  <c r="S55" i="68" s="1"/>
  <c r="R55"/>
  <c r="Q55"/>
  <c r="HO457" i="77"/>
  <c r="HO423"/>
  <c r="HP423" s="1"/>
  <c r="U423" i="73" s="1"/>
  <c r="HO435" i="77"/>
  <c r="T435" i="73" s="1"/>
  <c r="T137"/>
  <c r="U98"/>
  <c r="HO34" i="77"/>
  <c r="HP34" s="1"/>
  <c r="U34" i="73" s="1"/>
  <c r="HO28" i="77"/>
  <c r="HO257"/>
  <c r="T61" i="73"/>
  <c r="HO22" i="77"/>
  <c r="U12" i="73"/>
  <c r="HO246" i="77"/>
  <c r="T249" i="73" s="1"/>
  <c r="HO90" i="77"/>
  <c r="HO82"/>
  <c r="HP82" s="1"/>
  <c r="U80" i="73" s="1"/>
  <c r="HO220" i="77"/>
  <c r="HP220" s="1"/>
  <c r="HO248"/>
  <c r="HP248" s="1"/>
  <c r="HO84"/>
  <c r="T84" i="73" s="1"/>
  <c r="HO402" i="77"/>
  <c r="HP402" s="1"/>
  <c r="U402" i="73" s="1"/>
  <c r="HO462" i="77"/>
  <c r="HP462" s="1"/>
  <c r="U462" i="73" s="1"/>
  <c r="HO33" i="77"/>
  <c r="HP33" s="1"/>
  <c r="U33" i="73" s="1"/>
  <c r="HO83" i="77"/>
  <c r="T416" i="73"/>
  <c r="HO29" i="77"/>
  <c r="HP29" s="1"/>
  <c r="U29" i="73" s="1"/>
  <c r="HP444" i="77"/>
  <c r="U444" i="73" s="1"/>
  <c r="HR444" i="77"/>
  <c r="W444" i="73" s="1"/>
  <c r="HQ444" i="77"/>
  <c r="V444" i="73" s="1"/>
  <c r="S353"/>
  <c r="HI353" i="77"/>
  <c r="N353" i="73" s="1"/>
  <c r="Q242"/>
  <c r="HI236" i="77"/>
  <c r="T125" i="73"/>
  <c r="N125"/>
  <c r="S40"/>
  <c r="HI40" i="77"/>
  <c r="N40" i="73" s="1"/>
  <c r="HO237" i="77"/>
  <c r="HI237"/>
  <c r="HI239"/>
  <c r="N245" i="73" s="1"/>
  <c r="HO239" i="77"/>
  <c r="S19" i="73"/>
  <c r="N19"/>
  <c r="Q17"/>
  <c r="R17"/>
  <c r="S17"/>
  <c r="N17"/>
  <c r="HI59" i="77"/>
  <c r="N59" i="73" s="1"/>
  <c r="DC434" i="77"/>
  <c r="DC425"/>
  <c r="DD425" s="1"/>
  <c r="DC42"/>
  <c r="T42" i="69" s="1"/>
  <c r="DC40" i="77"/>
  <c r="T286" i="69"/>
  <c r="DC26" i="77"/>
  <c r="DD26" s="1"/>
  <c r="U26" i="69" s="1"/>
  <c r="T21"/>
  <c r="U17"/>
  <c r="DD405" i="77"/>
  <c r="U425" i="69" s="1"/>
  <c r="DF405" i="77"/>
  <c r="W425" i="69" s="1"/>
  <c r="DE405" i="77"/>
  <c r="V425" i="69" s="1"/>
  <c r="DC37" i="77"/>
  <c r="S408" i="69"/>
  <c r="CW408" i="77"/>
  <c r="N408" i="69" s="1"/>
  <c r="CW404" i="77"/>
  <c r="N404" i="69" s="1"/>
  <c r="R404"/>
  <c r="DB404" i="77"/>
  <c r="S404" i="69" s="1"/>
  <c r="R430"/>
  <c r="CW430" i="77"/>
  <c r="N430" i="69" s="1"/>
  <c r="S430"/>
  <c r="R420"/>
  <c r="CW420" i="77"/>
  <c r="N420" i="69" s="1"/>
  <c r="S420"/>
  <c r="CW448" i="77"/>
  <c r="N448" i="69" s="1"/>
  <c r="R448"/>
  <c r="S448"/>
  <c r="N416"/>
  <c r="R364"/>
  <c r="S413"/>
  <c r="R413"/>
  <c r="N413"/>
  <c r="N431"/>
  <c r="R431"/>
  <c r="S431"/>
  <c r="Q431"/>
  <c r="R371"/>
  <c r="CW369" i="77"/>
  <c r="S353" i="69"/>
  <c r="CW353" i="77"/>
  <c r="N353" i="69" s="1"/>
  <c r="R353"/>
  <c r="S124"/>
  <c r="N124"/>
  <c r="R124"/>
  <c r="DB428" i="77"/>
  <c r="DC428" s="1"/>
  <c r="T428" i="69" s="1"/>
  <c r="CW428" i="77"/>
  <c r="N428" i="69" s="1"/>
  <c r="R357"/>
  <c r="S357"/>
  <c r="CW357" i="77"/>
  <c r="N357" i="69" s="1"/>
  <c r="Q372"/>
  <c r="DB370" i="77"/>
  <c r="CW370"/>
  <c r="R372" i="69"/>
  <c r="R145"/>
  <c r="CW444" i="77"/>
  <c r="N444" i="69" s="1"/>
  <c r="R444"/>
  <c r="S444"/>
  <c r="S374"/>
  <c r="CW374" i="77"/>
  <c r="N374" i="69" s="1"/>
  <c r="R374"/>
  <c r="Q96"/>
  <c r="CW95" i="77"/>
  <c r="R120" i="69"/>
  <c r="S151"/>
  <c r="N151"/>
  <c r="R151"/>
  <c r="CW200" i="77"/>
  <c r="N208" i="69" s="1"/>
  <c r="Q254"/>
  <c r="S254"/>
  <c r="R254"/>
  <c r="CW253" i="77"/>
  <c r="N254" i="69" s="1"/>
  <c r="CW226" i="77"/>
  <c r="R218" i="69"/>
  <c r="S226"/>
  <c r="S153"/>
  <c r="N153"/>
  <c r="R153"/>
  <c r="R209"/>
  <c r="CW204" i="77"/>
  <c r="N209" i="69" s="1"/>
  <c r="S209"/>
  <c r="R220"/>
  <c r="CW228" i="77"/>
  <c r="R250" i="69"/>
  <c r="S250"/>
  <c r="CW247" i="77"/>
  <c r="N250" i="69" s="1"/>
  <c r="R34"/>
  <c r="S34"/>
  <c r="CW34" i="77"/>
  <c r="N34" i="69" s="1"/>
  <c r="CW235" i="77"/>
  <c r="R241" i="69"/>
  <c r="CW52" i="77"/>
  <c r="N52" i="69" s="1"/>
  <c r="DB52" i="77"/>
  <c r="S52" i="69" s="1"/>
  <c r="S36"/>
  <c r="CW36" i="77"/>
  <c r="N36" i="69" s="1"/>
  <c r="R36"/>
  <c r="S71"/>
  <c r="R71"/>
  <c r="N71"/>
  <c r="CW45" i="77"/>
  <c r="N45" i="69" s="1"/>
  <c r="DB45" i="77"/>
  <c r="CW62"/>
  <c r="N62" i="69" s="1"/>
  <c r="S62"/>
  <c r="R62"/>
  <c r="Q46"/>
  <c r="DB46" i="77"/>
  <c r="S46" i="69" s="1"/>
  <c r="CW46" i="77"/>
  <c r="N46" i="69" s="1"/>
  <c r="Q63"/>
  <c r="S63"/>
  <c r="R63"/>
  <c r="CW63" i="77"/>
  <c r="N63" i="69" s="1"/>
  <c r="R50" i="71"/>
  <c r="Q50"/>
  <c r="Q400" i="68"/>
  <c r="Q69" i="73"/>
  <c r="Q145" i="69"/>
  <c r="DZ389" i="77"/>
  <c r="N123" i="70"/>
  <c r="DZ429" i="77"/>
  <c r="N429" i="70" s="1"/>
  <c r="R368"/>
  <c r="Q368"/>
  <c r="EE368" i="77"/>
  <c r="S368" i="70" s="1"/>
  <c r="DZ368" i="77"/>
  <c r="N368" i="70" s="1"/>
  <c r="S358"/>
  <c r="DZ358" i="77"/>
  <c r="N358" i="70" s="1"/>
  <c r="N126"/>
  <c r="S181"/>
  <c r="EF248" i="77"/>
  <c r="T251" i="70" s="1"/>
  <c r="DZ248" i="77"/>
  <c r="N251" i="70" s="1"/>
  <c r="R16"/>
  <c r="S16"/>
  <c r="N16"/>
  <c r="EF204" i="77"/>
  <c r="T209" i="70" s="1"/>
  <c r="DZ204" i="77"/>
  <c r="N209" i="70" s="1"/>
  <c r="DZ227" i="77"/>
  <c r="S147" i="70"/>
  <c r="N148"/>
  <c r="N206"/>
  <c r="R19"/>
  <c r="N19"/>
  <c r="S19"/>
  <c r="DZ257" i="77"/>
  <c r="N257" i="70" s="1"/>
  <c r="DZ29" i="77"/>
  <c r="N29" i="70" s="1"/>
  <c r="R63"/>
  <c r="S63"/>
  <c r="DZ63" i="77"/>
  <c r="N63" i="70" s="1"/>
  <c r="AW409" i="77"/>
  <c r="AW256"/>
  <c r="T256" i="65" s="1"/>
  <c r="AW70" i="77"/>
  <c r="T70" i="65" s="1"/>
  <c r="T112"/>
  <c r="T21"/>
  <c r="AW245" i="77"/>
  <c r="AW58"/>
  <c r="AW59"/>
  <c r="T16" i="65"/>
  <c r="U421"/>
  <c r="AW33" i="77"/>
  <c r="T33" i="65" s="1"/>
  <c r="AW253" i="77"/>
  <c r="T254" i="65" s="1"/>
  <c r="AW92" i="77"/>
  <c r="T94" i="65" s="1"/>
  <c r="AW96" i="77"/>
  <c r="AX96" s="1"/>
  <c r="Q461" i="65"/>
  <c r="N461"/>
  <c r="R461"/>
  <c r="S461"/>
  <c r="Q93"/>
  <c r="N93"/>
  <c r="R93"/>
  <c r="S93"/>
  <c r="R415"/>
  <c r="Q415"/>
  <c r="S415"/>
  <c r="N415"/>
  <c r="AQ439" i="77"/>
  <c r="N439" i="65" s="1"/>
  <c r="Q439"/>
  <c r="S439"/>
  <c r="R439"/>
  <c r="Q407"/>
  <c r="S407"/>
  <c r="R407"/>
  <c r="AQ407" i="77"/>
  <c r="N407" i="65" s="1"/>
  <c r="Q363"/>
  <c r="AQ360" i="77"/>
  <c r="R363" i="65"/>
  <c r="AQ437" i="77"/>
  <c r="AQ380"/>
  <c r="Q385" i="65"/>
  <c r="R385"/>
  <c r="Q90"/>
  <c r="AQ86" i="77"/>
  <c r="R90" i="65"/>
  <c r="AQ359" i="77"/>
  <c r="R362" i="65"/>
  <c r="Q362"/>
  <c r="Q98"/>
  <c r="N98"/>
  <c r="S98"/>
  <c r="R98"/>
  <c r="Q203"/>
  <c r="R203"/>
  <c r="R213"/>
  <c r="S213"/>
  <c r="N213"/>
  <c r="Q213"/>
  <c r="AQ234" i="77"/>
  <c r="R240" i="65"/>
  <c r="Q240"/>
  <c r="Q199"/>
  <c r="N199"/>
  <c r="S199"/>
  <c r="R199"/>
  <c r="Q18"/>
  <c r="N18"/>
  <c r="R18"/>
  <c r="S18"/>
  <c r="Q255"/>
  <c r="AV255" i="77"/>
  <c r="S255" i="65" s="1"/>
  <c r="AQ255" i="77"/>
  <c r="N255" i="65" s="1"/>
  <c r="R255"/>
  <c r="Q13"/>
  <c r="R13"/>
  <c r="S13"/>
  <c r="N13"/>
  <c r="S28"/>
  <c r="AQ28" i="77"/>
  <c r="N28" i="65" s="1"/>
  <c r="R28"/>
  <c r="Q28"/>
  <c r="S32"/>
  <c r="Q32"/>
  <c r="AQ32" i="77"/>
  <c r="N32" i="65" s="1"/>
  <c r="R32"/>
  <c r="R57"/>
  <c r="S57"/>
  <c r="Q57"/>
  <c r="AQ57" i="77"/>
  <c r="N57" i="65" s="1"/>
  <c r="FI425" i="77"/>
  <c r="FJ425" s="1"/>
  <c r="FI435"/>
  <c r="T435" i="71" s="1"/>
  <c r="FI227" i="77"/>
  <c r="FI244"/>
  <c r="FI29"/>
  <c r="T29" i="71" s="1"/>
  <c r="U123"/>
  <c r="FI247" i="77"/>
  <c r="FJ443"/>
  <c r="U443" i="71" s="1"/>
  <c r="FK443" i="77"/>
  <c r="V443" i="71" s="1"/>
  <c r="FL443" i="77"/>
  <c r="W443" i="71" s="1"/>
  <c r="FI357" i="77"/>
  <c r="FJ357" s="1"/>
  <c r="U357" i="71" s="1"/>
  <c r="T415"/>
  <c r="FI420" i="77"/>
  <c r="FJ420" s="1"/>
  <c r="U420" i="71" s="1"/>
  <c r="FI84" i="77"/>
  <c r="U17" i="71"/>
  <c r="FI86" i="77"/>
  <c r="T86" i="71" s="1"/>
  <c r="FI88" i="77"/>
  <c r="FI369"/>
  <c r="S95" i="71"/>
  <c r="R95"/>
  <c r="FC93" i="77"/>
  <c r="N95" i="71" s="1"/>
  <c r="FC82" i="77"/>
  <c r="N80" i="71" s="1"/>
  <c r="S82"/>
  <c r="T180"/>
  <c r="S131"/>
  <c r="FC236" i="77"/>
  <c r="R242" i="71"/>
  <c r="FC224" i="77"/>
  <c r="N12" i="71"/>
  <c r="S58"/>
  <c r="FC58" i="77"/>
  <c r="N58" i="71" s="1"/>
  <c r="R58"/>
  <c r="R37"/>
  <c r="S37"/>
  <c r="FC37" i="77"/>
  <c r="N37" i="71" s="1"/>
  <c r="S67"/>
  <c r="FC67" i="77"/>
  <c r="N67" i="71" s="1"/>
  <c r="R67"/>
  <c r="Q68"/>
  <c r="R68"/>
  <c r="FH68" i="77"/>
  <c r="S68" i="71" s="1"/>
  <c r="FC68" i="77"/>
  <c r="N68" i="71" s="1"/>
  <c r="T421" i="72"/>
  <c r="GL409" i="77"/>
  <c r="T409" i="72" s="1"/>
  <c r="GL408" i="77"/>
  <c r="T408" i="72" s="1"/>
  <c r="GL256" i="77"/>
  <c r="T256" i="72" s="1"/>
  <c r="GL48" i="77"/>
  <c r="T48" i="72" s="1"/>
  <c r="T211"/>
  <c r="GL30" i="77"/>
  <c r="T30" i="72" s="1"/>
  <c r="GL224" i="77"/>
  <c r="GM224" s="1"/>
  <c r="GL60"/>
  <c r="T60" i="72" s="1"/>
  <c r="GL24" i="77"/>
  <c r="T24" i="72" s="1"/>
  <c r="GL32" i="77"/>
  <c r="T32" i="72" s="1"/>
  <c r="GL236" i="77"/>
  <c r="GL239"/>
  <c r="T245" i="72" s="1"/>
  <c r="T79"/>
  <c r="T199"/>
  <c r="GL443" i="77"/>
  <c r="T443" i="72" s="1"/>
  <c r="GL247" i="77"/>
  <c r="T250" i="72" s="1"/>
  <c r="GL436" i="77"/>
  <c r="T436" i="72" s="1"/>
  <c r="GL90" i="77"/>
  <c r="T416" i="72"/>
  <c r="GM228" i="77"/>
  <c r="GO228"/>
  <c r="GN228"/>
  <c r="GL96"/>
  <c r="GM96" s="1"/>
  <c r="U97" i="72" s="1"/>
  <c r="GL407" i="77"/>
  <c r="GM407" s="1"/>
  <c r="U407" i="72" s="1"/>
  <c r="U123"/>
  <c r="GL357" i="77"/>
  <c r="GM357" s="1"/>
  <c r="U357" i="72" s="1"/>
  <c r="GL92" i="77"/>
  <c r="GM92" s="1"/>
  <c r="U94" i="72" s="1"/>
  <c r="GF427" i="77"/>
  <c r="N427" i="72" s="1"/>
  <c r="GK427" i="77"/>
  <c r="S193" i="72"/>
  <c r="N193"/>
  <c r="S244"/>
  <c r="GF244" i="77"/>
  <c r="N247" i="72" s="1"/>
  <c r="S42"/>
  <c r="GF42" i="77"/>
  <c r="N42" i="72" s="1"/>
  <c r="R42"/>
  <c r="N14"/>
  <c r="S14"/>
  <c r="R14"/>
  <c r="Q14"/>
  <c r="GF58" i="77"/>
  <c r="N58" i="72" s="1"/>
  <c r="S58"/>
  <c r="BZ426" i="77"/>
  <c r="T426" i="68" s="1"/>
  <c r="BZ380" i="77"/>
  <c r="T380" i="68" s="1"/>
  <c r="BZ62" i="77"/>
  <c r="T62" i="68" s="1"/>
  <c r="BZ42" i="77"/>
  <c r="CA42" s="1"/>
  <c r="U42" i="68" s="1"/>
  <c r="BZ226" i="77"/>
  <c r="BZ369"/>
  <c r="CA437"/>
  <c r="CB437"/>
  <c r="CC437"/>
  <c r="T16" i="68"/>
  <c r="CA444" i="77"/>
  <c r="U444" i="68" s="1"/>
  <c r="CC444" i="77"/>
  <c r="W444" i="68" s="1"/>
  <c r="CB444" i="77"/>
  <c r="V444" i="68" s="1"/>
  <c r="BZ253" i="77"/>
  <c r="CA253" s="1"/>
  <c r="BZ83"/>
  <c r="U12" i="68"/>
  <c r="BT408" i="77"/>
  <c r="N408" i="68" s="1"/>
  <c r="R408"/>
  <c r="S408"/>
  <c r="BT423" i="77"/>
  <c r="N423" i="68" s="1"/>
  <c r="R423"/>
  <c r="S423"/>
  <c r="S411"/>
  <c r="R411"/>
  <c r="Q411"/>
  <c r="N411"/>
  <c r="R367"/>
  <c r="BT367" i="77"/>
  <c r="N367" i="68" s="1"/>
  <c r="BY367" i="77"/>
  <c r="S367" i="68" s="1"/>
  <c r="BT462" i="77"/>
  <c r="N462" i="68" s="1"/>
  <c r="S462"/>
  <c r="R462"/>
  <c r="R434"/>
  <c r="BT434" i="77"/>
  <c r="N434" i="68" s="1"/>
  <c r="S434"/>
  <c r="BT90" i="77"/>
  <c r="R92" i="68"/>
  <c r="Q123"/>
  <c r="S123"/>
  <c r="N123"/>
  <c r="R123"/>
  <c r="R429"/>
  <c r="S429"/>
  <c r="BT429" i="77"/>
  <c r="N429" i="68" s="1"/>
  <c r="Q352"/>
  <c r="S352"/>
  <c r="R352"/>
  <c r="BT352" i="77"/>
  <c r="N352" i="68" s="1"/>
  <c r="S128"/>
  <c r="N128"/>
  <c r="R355"/>
  <c r="S355"/>
  <c r="BT355" i="77"/>
  <c r="N355" i="68" s="1"/>
  <c r="S80"/>
  <c r="BT82" i="77"/>
  <c r="N80" i="68" s="1"/>
  <c r="Q142"/>
  <c r="R142"/>
  <c r="R126"/>
  <c r="S126"/>
  <c r="N126"/>
  <c r="R195"/>
  <c r="BY47" i="77"/>
  <c r="S47" i="68" s="1"/>
  <c r="Q47"/>
  <c r="R47"/>
  <c r="BT47" i="77"/>
  <c r="N47" i="68" s="1"/>
  <c r="BT220" i="77"/>
  <c r="S257" i="68"/>
  <c r="R257"/>
  <c r="BT257" i="77"/>
  <c r="N257" i="68" s="1"/>
  <c r="S153"/>
  <c r="N153"/>
  <c r="R153"/>
  <c r="R207"/>
  <c r="S207"/>
  <c r="N207"/>
  <c r="BT233" i="77"/>
  <c r="R239" i="68"/>
  <c r="BT26" i="77"/>
  <c r="N26" i="68" s="1"/>
  <c r="S26"/>
  <c r="R26"/>
  <c r="R244"/>
  <c r="BT238" i="77"/>
  <c r="S19" i="68"/>
  <c r="R19"/>
  <c r="N19"/>
  <c r="R30"/>
  <c r="BT30" i="77"/>
  <c r="N30" i="68" s="1"/>
  <c r="S30"/>
  <c r="BT57" i="77"/>
  <c r="N57" i="68" s="1"/>
  <c r="R57"/>
  <c r="S57"/>
  <c r="Q40"/>
  <c r="R40"/>
  <c r="BT40" i="77"/>
  <c r="N40" i="68" s="1"/>
  <c r="S40"/>
  <c r="Q53"/>
  <c r="BT53" i="77"/>
  <c r="N53" i="68" s="1"/>
  <c r="R53"/>
  <c r="BY53" i="77"/>
  <c r="S53" i="68" s="1"/>
  <c r="HO426" i="77"/>
  <c r="HP426" s="1"/>
  <c r="U426" i="73" s="1"/>
  <c r="HO374" i="77"/>
  <c r="HO455"/>
  <c r="T455" i="73" s="1"/>
  <c r="U413"/>
  <c r="U365"/>
  <c r="HO409" i="77"/>
  <c r="HP409" s="1"/>
  <c r="U409" i="73" s="1"/>
  <c r="U147"/>
  <c r="T193"/>
  <c r="HO65" i="77"/>
  <c r="HP65" s="1"/>
  <c r="U65" i="73" s="1"/>
  <c r="HO30" i="77"/>
  <c r="T30" i="73" s="1"/>
  <c r="HO92" i="77"/>
  <c r="HP92" s="1"/>
  <c r="U94" i="73" s="1"/>
  <c r="HO200" i="77"/>
  <c r="HP200" s="1"/>
  <c r="U208" i="73" s="1"/>
  <c r="HO23" i="77"/>
  <c r="HP23" s="1"/>
  <c r="U23" i="73" s="1"/>
  <c r="HO36" i="77"/>
  <c r="T36" i="73" s="1"/>
  <c r="HO88" i="77"/>
  <c r="U16" i="73"/>
  <c r="HO93" i="77"/>
  <c r="HP93" s="1"/>
  <c r="HO357"/>
  <c r="HO37"/>
  <c r="T37" i="73" s="1"/>
  <c r="HO436" i="77"/>
  <c r="HP436" s="1"/>
  <c r="U436" i="73" s="1"/>
  <c r="HO369" i="77"/>
  <c r="HO434"/>
  <c r="HI389"/>
  <c r="HO388"/>
  <c r="HI388"/>
  <c r="HI380"/>
  <c r="HI256"/>
  <c r="N256" i="73" s="1"/>
  <c r="S18"/>
  <c r="N18"/>
  <c r="Q241"/>
  <c r="HI235" i="77"/>
  <c r="N211" i="73"/>
  <c r="S15"/>
  <c r="N15"/>
  <c r="R15"/>
  <c r="HI63" i="77"/>
  <c r="N63" i="73" s="1"/>
  <c r="S70"/>
  <c r="HI70" i="77"/>
  <c r="N70" i="73" s="1"/>
  <c r="DC86" i="77"/>
  <c r="T86" i="69" s="1"/>
  <c r="DC237" i="77"/>
  <c r="DC70"/>
  <c r="DC67"/>
  <c r="T67" i="69" s="1"/>
  <c r="DC22" i="77"/>
  <c r="DC233"/>
  <c r="T183" i="69"/>
  <c r="DC88" i="77"/>
  <c r="R402" i="69"/>
  <c r="S402"/>
  <c r="CW402" i="77"/>
  <c r="N402" i="69" s="1"/>
  <c r="CW462" i="77"/>
  <c r="N462" i="69" s="1"/>
  <c r="DC462" i="77"/>
  <c r="T462" i="69" s="1"/>
  <c r="Q427"/>
  <c r="CW427" i="77"/>
  <c r="N427" i="69" s="1"/>
  <c r="R427"/>
  <c r="DB427" i="77"/>
  <c r="S427" i="69" s="1"/>
  <c r="N412"/>
  <c r="S412"/>
  <c r="R412"/>
  <c r="CW429" i="77"/>
  <c r="N429" i="69" s="1"/>
  <c r="S429"/>
  <c r="N401"/>
  <c r="R401"/>
  <c r="Q401"/>
  <c r="S401"/>
  <c r="R426"/>
  <c r="CW426" i="77"/>
  <c r="N426" i="69" s="1"/>
  <c r="R443"/>
  <c r="CW443" i="77"/>
  <c r="N443" i="69" s="1"/>
  <c r="S97"/>
  <c r="CW96" i="77"/>
  <c r="N97" i="69" s="1"/>
  <c r="R97"/>
  <c r="S123"/>
  <c r="R123"/>
  <c r="N123"/>
  <c r="N148"/>
  <c r="S148"/>
  <c r="R148"/>
  <c r="CW352" i="77"/>
  <c r="N352" i="69" s="1"/>
  <c r="S352"/>
  <c r="R352"/>
  <c r="CW368" i="77"/>
  <c r="N368" i="69" s="1"/>
  <c r="R368"/>
  <c r="DB368" i="77"/>
  <c r="S368" i="69" s="1"/>
  <c r="CW439" i="77"/>
  <c r="N439" i="69" s="1"/>
  <c r="Q373"/>
  <c r="CW373" i="77"/>
  <c r="N373" i="69" s="1"/>
  <c r="R373"/>
  <c r="DB373" i="77"/>
  <c r="S373" i="69" s="1"/>
  <c r="S92"/>
  <c r="CW90" i="77"/>
  <c r="N92" i="69" s="1"/>
  <c r="S100"/>
  <c r="N100"/>
  <c r="S137"/>
  <c r="R207"/>
  <c r="N207"/>
  <c r="S199"/>
  <c r="CW239" i="77"/>
  <c r="N245" i="69" s="1"/>
  <c r="S245"/>
  <c r="S131"/>
  <c r="R142"/>
  <c r="R196"/>
  <c r="CW224" i="77"/>
  <c r="CW54"/>
  <c r="N54" i="69" s="1"/>
  <c r="DB54" i="77"/>
  <c r="S54" i="69" s="1"/>
  <c r="R219"/>
  <c r="CW227" i="77"/>
  <c r="CW242"/>
  <c r="R246" i="69"/>
  <c r="S29"/>
  <c r="R29"/>
  <c r="CW29" i="77"/>
  <c r="N29" i="69" s="1"/>
  <c r="CW234" i="77"/>
  <c r="CW48"/>
  <c r="N48" i="69" s="1"/>
  <c r="CW32" i="77"/>
  <c r="N32" i="69" s="1"/>
  <c r="S32"/>
  <c r="N51"/>
  <c r="Q20"/>
  <c r="DB20" i="77"/>
  <c r="S20" i="69" s="1"/>
  <c r="CW20" i="77"/>
  <c r="N20" i="69" s="1"/>
  <c r="R20"/>
  <c r="S60"/>
  <c r="R60"/>
  <c r="CW60" i="77"/>
  <c r="N60" i="69" s="1"/>
  <c r="N61"/>
  <c r="T61"/>
  <c r="Q57" i="71"/>
  <c r="R57"/>
  <c r="Q254"/>
  <c r="Q11" i="72"/>
  <c r="FI205" i="77"/>
  <c r="FJ205" s="1"/>
  <c r="T146" i="71"/>
  <c r="T162"/>
  <c r="FI23" i="77"/>
  <c r="FJ23" s="1"/>
  <c r="U23" i="71" s="1"/>
  <c r="FI28" i="77"/>
  <c r="T28" i="71" s="1"/>
  <c r="FI232" i="77"/>
  <c r="T232" i="71" s="1"/>
  <c r="T206"/>
  <c r="U416"/>
  <c r="U11"/>
  <c r="T421"/>
  <c r="FI237" i="77"/>
  <c r="FJ237" s="1"/>
  <c r="FI378"/>
  <c r="FI405"/>
  <c r="FJ405" s="1"/>
  <c r="U405" i="71" s="1"/>
  <c r="FJ235" i="77"/>
  <c r="FK235"/>
  <c r="FL235"/>
  <c r="FI234"/>
  <c r="FJ226"/>
  <c r="FL226"/>
  <c r="FK226"/>
  <c r="FI402"/>
  <c r="FJ402" s="1"/>
  <c r="U402" i="71" s="1"/>
  <c r="Q355"/>
  <c r="S355"/>
  <c r="FC355" i="77"/>
  <c r="N355" i="71" s="1"/>
  <c r="T79"/>
  <c r="N79"/>
  <c r="N220"/>
  <c r="N128"/>
  <c r="FC220" i="77"/>
  <c r="FI220"/>
  <c r="FI246"/>
  <c r="FJ246" s="1"/>
  <c r="U249" i="71" s="1"/>
  <c r="FC40" i="77"/>
  <c r="N40" i="71" s="1"/>
  <c r="S40"/>
  <c r="R40"/>
  <c r="R22"/>
  <c r="FC22" i="77"/>
  <c r="N22" i="71" s="1"/>
  <c r="S22"/>
  <c r="S65"/>
  <c r="R65"/>
  <c r="FC65" i="77"/>
  <c r="N65" i="71" s="1"/>
  <c r="FC64" i="77"/>
  <c r="N64" i="71" s="1"/>
  <c r="FH64" i="77"/>
  <c r="S64" i="71" s="1"/>
  <c r="R64"/>
  <c r="Q64"/>
  <c r="FH72" i="77"/>
  <c r="S72" i="71" s="1"/>
  <c r="R72"/>
  <c r="FC72" i="77"/>
  <c r="N72" i="71" s="1"/>
  <c r="Q72"/>
  <c r="GL423" i="77"/>
  <c r="GL455"/>
  <c r="T455" i="72" s="1"/>
  <c r="GL420" i="77"/>
  <c r="GL257"/>
  <c r="T257" i="72" s="1"/>
  <c r="GL57" i="77"/>
  <c r="T61" i="72"/>
  <c r="GL26" i="77"/>
  <c r="T214" i="72"/>
  <c r="GM234" i="77"/>
  <c r="GO234"/>
  <c r="GN234"/>
  <c r="GL248"/>
  <c r="T248" i="72" s="1"/>
  <c r="GL93" i="77"/>
  <c r="GL226"/>
  <c r="T226" i="72" s="1"/>
  <c r="GL389" i="77"/>
  <c r="GM389" s="1"/>
  <c r="GL353"/>
  <c r="T124" i="72"/>
  <c r="GM405" i="77"/>
  <c r="U405" i="72" s="1"/>
  <c r="GO405" i="77"/>
  <c r="W405" i="72" s="1"/>
  <c r="GN405" i="77"/>
  <c r="V405" i="72" s="1"/>
  <c r="GL352" i="77"/>
  <c r="GM352" s="1"/>
  <c r="U352" i="72" s="1"/>
  <c r="U12"/>
  <c r="V12"/>
  <c r="W12"/>
  <c r="GL253" i="77"/>
  <c r="GM253" s="1"/>
  <c r="U254" i="72" s="1"/>
  <c r="T100"/>
  <c r="GL359" i="77"/>
  <c r="T359" i="72" s="1"/>
  <c r="GL237" i="77"/>
  <c r="GM237" s="1"/>
  <c r="GL358"/>
  <c r="GL95"/>
  <c r="GL82"/>
  <c r="T80" i="72" s="1"/>
  <c r="GF426" i="77"/>
  <c r="N426" i="72" s="1"/>
  <c r="GF23" i="77"/>
  <c r="N23" i="72" s="1"/>
  <c r="GL23" i="77"/>
  <c r="T23" i="72" s="1"/>
  <c r="GL22" i="77"/>
  <c r="T22" i="72" s="1"/>
  <c r="GF22" i="77"/>
  <c r="N22" i="72" s="1"/>
  <c r="S36"/>
  <c r="GF36" i="77"/>
  <c r="N36" i="72" s="1"/>
  <c r="BZ256" i="77"/>
  <c r="BZ70"/>
  <c r="T286" i="68"/>
  <c r="BZ34" i="77"/>
  <c r="BZ22"/>
  <c r="BZ38"/>
  <c r="CA38" s="1"/>
  <c r="U38" i="68" s="1"/>
  <c r="BZ402" i="77"/>
  <c r="CA228"/>
  <c r="CC228"/>
  <c r="CB228"/>
  <c r="BZ357"/>
  <c r="BZ436"/>
  <c r="T436" i="68" s="1"/>
  <c r="BZ67" i="77"/>
  <c r="BZ389"/>
  <c r="CA389" s="1"/>
  <c r="CA358"/>
  <c r="U358" i="68" s="1"/>
  <c r="CC358" i="77"/>
  <c r="W358" i="68" s="1"/>
  <c r="CB358" i="77"/>
  <c r="V358" i="68" s="1"/>
  <c r="BZ448" i="77"/>
  <c r="CA448" s="1"/>
  <c r="U448" i="68" s="1"/>
  <c r="S409"/>
  <c r="BT409" i="77"/>
  <c r="N409" i="68" s="1"/>
  <c r="BT457" i="77"/>
  <c r="N457" i="68" s="1"/>
  <c r="R457"/>
  <c r="S457"/>
  <c r="N421"/>
  <c r="S421"/>
  <c r="R421"/>
  <c r="Q416"/>
  <c r="R416"/>
  <c r="N416"/>
  <c r="S416"/>
  <c r="BT430" i="77"/>
  <c r="N430" i="68" s="1"/>
  <c r="R430"/>
  <c r="S430"/>
  <c r="BT86" i="77"/>
  <c r="R90" i="68"/>
  <c r="R121"/>
  <c r="S147"/>
  <c r="R147"/>
  <c r="N147"/>
  <c r="BT425" i="77"/>
  <c r="R439" i="68"/>
  <c r="S439"/>
  <c r="BT439" i="77"/>
  <c r="N439" i="68" s="1"/>
  <c r="BT84" i="77"/>
  <c r="R82" i="68"/>
  <c r="S79"/>
  <c r="R79"/>
  <c r="N79"/>
  <c r="R192"/>
  <c r="R39"/>
  <c r="BY39" i="77"/>
  <c r="S39" i="68" s="1"/>
  <c r="BT39" i="77"/>
  <c r="N39" i="68" s="1"/>
  <c r="S150"/>
  <c r="N150"/>
  <c r="R150"/>
  <c r="R199"/>
  <c r="S245"/>
  <c r="R245"/>
  <c r="BT239" i="77"/>
  <c r="S151" i="68"/>
  <c r="N151"/>
  <c r="R151"/>
  <c r="Q202"/>
  <c r="R202"/>
  <c r="R214"/>
  <c r="N214"/>
  <c r="S214"/>
  <c r="R251"/>
  <c r="BT248" i="77"/>
  <c r="BT227"/>
  <c r="R219" i="68"/>
  <c r="Q253"/>
  <c r="R253"/>
  <c r="S253"/>
  <c r="N253"/>
  <c r="R31"/>
  <c r="S31"/>
  <c r="N31"/>
  <c r="Q50"/>
  <c r="BY50" i="77"/>
  <c r="S50" i="68" s="1"/>
  <c r="BT50" i="77"/>
  <c r="N50" i="68" s="1"/>
  <c r="R50"/>
  <c r="S24"/>
  <c r="BT24" i="77"/>
  <c r="N24" i="68" s="1"/>
  <c r="R24"/>
  <c r="R61"/>
  <c r="S61"/>
  <c r="N61"/>
  <c r="BT37" i="77"/>
  <c r="N37" i="68" s="1"/>
  <c r="R37"/>
  <c r="S37"/>
  <c r="Q52"/>
  <c r="R52"/>
  <c r="BY52" i="77"/>
  <c r="S52" i="68" s="1"/>
  <c r="BT52" i="77"/>
  <c r="N52" i="68" s="1"/>
  <c r="HO408" i="77"/>
  <c r="HP408" s="1"/>
  <c r="U408" i="73" s="1"/>
  <c r="HO359" i="77"/>
  <c r="HO425"/>
  <c r="HP425" s="1"/>
  <c r="HO224"/>
  <c r="HP224" s="1"/>
  <c r="HO244"/>
  <c r="HP244" s="1"/>
  <c r="HP228"/>
  <c r="HR228"/>
  <c r="HQ228"/>
  <c r="HP442"/>
  <c r="HR442"/>
  <c r="W442" i="73" s="1"/>
  <c r="HQ442" i="77"/>
  <c r="V442" i="73" s="1"/>
  <c r="HP226" i="77"/>
  <c r="HR226"/>
  <c r="HQ226"/>
  <c r="HO85"/>
  <c r="T85" i="73" s="1"/>
  <c r="HO448" i="77"/>
  <c r="HP448" s="1"/>
  <c r="U448" i="73" s="1"/>
  <c r="U11"/>
  <c r="HO352" i="77"/>
  <c r="HP352" s="1"/>
  <c r="U352" i="73" s="1"/>
  <c r="N386"/>
  <c r="S389"/>
  <c r="T124"/>
  <c r="N124"/>
  <c r="HI378" i="77"/>
  <c r="T150" i="73"/>
  <c r="N150"/>
  <c r="HO253" i="77"/>
  <c r="T254" i="73" s="1"/>
  <c r="HI253" i="77"/>
  <c r="N254" i="73" s="1"/>
  <c r="N193"/>
  <c r="N14"/>
  <c r="Q221"/>
  <c r="HI232" i="77"/>
  <c r="N207" i="73"/>
  <c r="S199"/>
  <c r="HI62" i="77"/>
  <c r="N62" i="73" s="1"/>
  <c r="HO67" i="77"/>
  <c r="T67" i="73" s="1"/>
  <c r="HI67" i="77"/>
  <c r="N67" i="73" s="1"/>
  <c r="DC244" i="77"/>
  <c r="DD244" s="1"/>
  <c r="DC65"/>
  <c r="DD65" s="1"/>
  <c r="U65" i="69" s="1"/>
  <c r="U13"/>
  <c r="DC245" i="77"/>
  <c r="DC38"/>
  <c r="DC93"/>
  <c r="DD93" s="1"/>
  <c r="Q400" i="69"/>
  <c r="CW400" i="77"/>
  <c r="N400" i="69" s="1"/>
  <c r="R400"/>
  <c r="DB400" i="77"/>
  <c r="S400" i="69" s="1"/>
  <c r="CW457" i="77"/>
  <c r="N457" i="69" s="1"/>
  <c r="R457"/>
  <c r="S457"/>
  <c r="N415"/>
  <c r="Q414"/>
  <c r="R438"/>
  <c r="S438"/>
  <c r="N438"/>
  <c r="S79"/>
  <c r="R79"/>
  <c r="N79"/>
  <c r="R409"/>
  <c r="S409"/>
  <c r="CW409" i="77"/>
  <c r="N409" i="69" s="1"/>
  <c r="R422"/>
  <c r="CW422" i="77"/>
  <c r="N422" i="69" s="1"/>
  <c r="S461"/>
  <c r="N461"/>
  <c r="N421"/>
  <c r="S421"/>
  <c r="CW438" i="77"/>
  <c r="DB438"/>
  <c r="R441" i="69"/>
  <c r="N441"/>
  <c r="S441"/>
  <c r="CW85" i="77"/>
  <c r="R121" i="69"/>
  <c r="N128"/>
  <c r="S128"/>
  <c r="R442"/>
  <c r="S442"/>
  <c r="CW442" i="77"/>
  <c r="N442" i="69" s="1"/>
  <c r="Q367"/>
  <c r="DB367" i="77"/>
  <c r="S367" i="69" s="1"/>
  <c r="CW367" i="77"/>
  <c r="N367" i="69" s="1"/>
  <c r="R367"/>
  <c r="CW83" i="77"/>
  <c r="CW437"/>
  <c r="CW358"/>
  <c r="N358" i="69" s="1"/>
  <c r="S358"/>
  <c r="CW84" i="77"/>
  <c r="R200" i="69"/>
  <c r="S213"/>
  <c r="N213"/>
  <c r="R213"/>
  <c r="Q39"/>
  <c r="DB39" i="77"/>
  <c r="S39" i="69" s="1"/>
  <c r="R39"/>
  <c r="CW39" i="77"/>
  <c r="N39" i="69" s="1"/>
  <c r="N214"/>
  <c r="S214"/>
  <c r="R214"/>
  <c r="CW248" i="77"/>
  <c r="N248" i="69" s="1"/>
  <c r="R195"/>
  <c r="CW220" i="77"/>
  <c r="R244" i="69"/>
  <c r="CW238" i="77"/>
  <c r="S28" i="69"/>
  <c r="CW28" i="77"/>
  <c r="N28" i="69" s="1"/>
  <c r="R28"/>
  <c r="CW232" i="77"/>
  <c r="R33" i="69"/>
  <c r="CW33" i="77"/>
  <c r="N33" i="69" s="1"/>
  <c r="S33"/>
  <c r="N31"/>
  <c r="S31"/>
  <c r="DB49" i="77"/>
  <c r="CW49"/>
  <c r="N49" i="69" s="1"/>
  <c r="Q11"/>
  <c r="S11"/>
  <c r="R11"/>
  <c r="N11"/>
  <c r="DC69" i="77"/>
  <c r="DD69" s="1"/>
  <c r="U69" i="69" s="1"/>
  <c r="Q55"/>
  <c r="CW55" i="77"/>
  <c r="N55" i="69" s="1"/>
  <c r="DB55" i="77"/>
  <c r="S55" i="69" s="1"/>
  <c r="Q38" i="71"/>
  <c r="Q96" i="68"/>
  <c r="Q121"/>
  <c r="EJ55" i="77"/>
  <c r="EM55" s="1"/>
  <c r="GR64"/>
  <c r="Z64" i="72" s="1"/>
  <c r="AD61" i="39"/>
  <c r="AA16"/>
  <c r="FO370" i="77"/>
  <c r="Z370" i="71" s="1"/>
  <c r="X92" i="77"/>
  <c r="AA92" s="1"/>
  <c r="X137" i="71"/>
  <c r="X85" i="77"/>
  <c r="GP249"/>
  <c r="GS249" s="1"/>
  <c r="DG57"/>
  <c r="DJ57" s="1"/>
  <c r="FM20"/>
  <c r="FP20" s="1"/>
  <c r="Z40"/>
  <c r="Z40" i="39" s="1"/>
  <c r="IV52" i="77"/>
  <c r="IY52" s="1"/>
  <c r="X247"/>
  <c r="X67"/>
  <c r="BA428"/>
  <c r="BD428" s="1"/>
  <c r="CD374"/>
  <c r="CG374" s="1"/>
  <c r="X12" i="39"/>
  <c r="EJ48" i="77"/>
  <c r="EM48" s="1"/>
  <c r="BA54"/>
  <c r="BD54" s="1"/>
  <c r="X448"/>
  <c r="AA448" s="1"/>
  <c r="BA438"/>
  <c r="BD438" s="1"/>
  <c r="IV432"/>
  <c r="IY432" s="1"/>
  <c r="IV373"/>
  <c r="IY373" s="1"/>
  <c r="GP457"/>
  <c r="GS457" s="1"/>
  <c r="FM457"/>
  <c r="FP457" s="1"/>
  <c r="X66"/>
  <c r="FM48"/>
  <c r="FP48" s="1"/>
  <c r="DG27"/>
  <c r="DJ27" s="1"/>
  <c r="BC68"/>
  <c r="Z68" i="65" s="1"/>
  <c r="AA68"/>
  <c r="FM423" i="77"/>
  <c r="FP423" s="1"/>
  <c r="EJ400"/>
  <c r="EM400" s="1"/>
  <c r="FM436"/>
  <c r="FP436" s="1"/>
  <c r="FM380"/>
  <c r="FM367"/>
  <c r="FP367" s="1"/>
  <c r="GP245"/>
  <c r="GS245" s="1"/>
  <c r="X286" i="71"/>
  <c r="HS204" i="77"/>
  <c r="HV204" s="1"/>
  <c r="HS242"/>
  <c r="HV242" s="1"/>
  <c r="EJ46"/>
  <c r="EM46" s="1"/>
  <c r="X69"/>
  <c r="IV436"/>
  <c r="IY436" s="1"/>
  <c r="X83"/>
  <c r="X436"/>
  <c r="AA436" s="1"/>
  <c r="GP432"/>
  <c r="GS432" s="1"/>
  <c r="X428"/>
  <c r="AA428" s="1"/>
  <c r="X361" i="65"/>
  <c r="X96" i="77"/>
  <c r="X257"/>
  <c r="X218" i="39"/>
  <c r="X91"/>
  <c r="FM47" i="77"/>
  <c r="FP47" s="1"/>
  <c r="BA429"/>
  <c r="BD429" s="1"/>
  <c r="X361" i="71"/>
  <c r="X90" i="77"/>
  <c r="AA90" s="1"/>
  <c r="X86"/>
  <c r="AA86" s="1"/>
  <c r="HS58"/>
  <c r="HV58" s="1"/>
  <c r="DG58"/>
  <c r="DJ58" s="1"/>
  <c r="HS57"/>
  <c r="HV57" s="1"/>
  <c r="AA51" i="73"/>
  <c r="AA66"/>
  <c r="Z70" i="77"/>
  <c r="Z70" i="39" s="1"/>
  <c r="AA70"/>
  <c r="AA21"/>
  <c r="Z21"/>
  <c r="EL49" i="77"/>
  <c r="Z49" i="70" s="1"/>
  <c r="AA49"/>
  <c r="AA73"/>
  <c r="EL73" i="77"/>
  <c r="Z73" i="70" s="1"/>
  <c r="Z14"/>
  <c r="AA14"/>
  <c r="AA20" i="72"/>
  <c r="GR20" i="77"/>
  <c r="Z20" i="72" s="1"/>
  <c r="Z29" i="77"/>
  <c r="Z29" i="39" s="1"/>
  <c r="AA29"/>
  <c r="AA72" i="65"/>
  <c r="BC72" i="77"/>
  <c r="Z72" i="65" s="1"/>
  <c r="AA27" i="71"/>
  <c r="FO27" i="77"/>
  <c r="Z27" i="71" s="1"/>
  <c r="AA18" i="70"/>
  <c r="Z18"/>
  <c r="Z28" i="77"/>
  <c r="Z28" i="39" s="1"/>
  <c r="AA28"/>
  <c r="AA53"/>
  <c r="Z53" i="77"/>
  <c r="Z53" i="39" s="1"/>
  <c r="AA71" i="73"/>
  <c r="AA68" i="74"/>
  <c r="AA50" i="69"/>
  <c r="DI50" i="77"/>
  <c r="Z50" i="69" s="1"/>
  <c r="AA50" i="73"/>
  <c r="AA64"/>
  <c r="BC50" i="77"/>
  <c r="Z50" i="65" s="1"/>
  <c r="AA50"/>
  <c r="AA17" i="39"/>
  <c r="Z17"/>
  <c r="AA45" i="73"/>
  <c r="AA62" i="39"/>
  <c r="Z62" i="77"/>
  <c r="Z62" i="39" s="1"/>
  <c r="AA39"/>
  <c r="Z39" i="77"/>
  <c r="Z39" i="39" s="1"/>
  <c r="FO46" i="77"/>
  <c r="Z46" i="71" s="1"/>
  <c r="AA46"/>
  <c r="FO53" i="77"/>
  <c r="Z53" i="71" s="1"/>
  <c r="AA53"/>
  <c r="AA14" i="65"/>
  <c r="Z14"/>
  <c r="AA55" i="73"/>
  <c r="EO68" i="77"/>
  <c r="AC68" i="70" s="1"/>
  <c r="EP68" i="77"/>
  <c r="AD68" i="70" s="1"/>
  <c r="DL64" i="77"/>
  <c r="AC64" i="69" s="1"/>
  <c r="DM64" i="77"/>
  <c r="AD64" i="69" s="1"/>
  <c r="AA44" i="65"/>
  <c r="BC44" i="77"/>
  <c r="Z44" i="65" s="1"/>
  <c r="FO39" i="77"/>
  <c r="Z39" i="71" s="1"/>
  <c r="AA39"/>
  <c r="AA47" i="65"/>
  <c r="BC47" i="77"/>
  <c r="Z47" i="65" s="1"/>
  <c r="EL66" i="77"/>
  <c r="Z66" i="70" s="1"/>
  <c r="AA66"/>
  <c r="Z18" i="68"/>
  <c r="AA18"/>
  <c r="AA14" i="74"/>
  <c r="AA73" i="39"/>
  <c r="Z73" i="77"/>
  <c r="Z73" i="39" s="1"/>
  <c r="AA49" i="74"/>
  <c r="BC39" i="77"/>
  <c r="Z39" i="65" s="1"/>
  <c r="AA39"/>
  <c r="AA41" i="74"/>
  <c r="AA15" i="39"/>
  <c r="Z15"/>
  <c r="Z18" i="72"/>
  <c r="AA18"/>
  <c r="BF53" i="77"/>
  <c r="AC53" i="65" s="1"/>
  <c r="BG53" i="77"/>
  <c r="AD53" i="65" s="1"/>
  <c r="AA66" i="74"/>
  <c r="AA23" i="39"/>
  <c r="Z23" i="77"/>
  <c r="Z23" i="39" s="1"/>
  <c r="AA53" i="70"/>
  <c r="EL53" i="77"/>
  <c r="Z53" i="70" s="1"/>
  <c r="AA20"/>
  <c r="EL20" i="77"/>
  <c r="Z20" i="70" s="1"/>
  <c r="AA19" i="39"/>
  <c r="Z19"/>
  <c r="Z36" i="77"/>
  <c r="Z36" i="39" s="1"/>
  <c r="AA36"/>
  <c r="Z71"/>
  <c r="AA71"/>
  <c r="AA66" i="65"/>
  <c r="BC66" i="77"/>
  <c r="Z66" i="65" s="1"/>
  <c r="Z30" i="77"/>
  <c r="Z30" i="39" s="1"/>
  <c r="AA30"/>
  <c r="AA20" i="74"/>
  <c r="GR27" i="77"/>
  <c r="Z27" i="72" s="1"/>
  <c r="AA27"/>
  <c r="GR50" i="77"/>
  <c r="Z50" i="72" s="1"/>
  <c r="AA50"/>
  <c r="AA18" i="74"/>
  <c r="CF72" i="77"/>
  <c r="Z72" i="68" s="1"/>
  <c r="AA72"/>
  <c r="EL72" i="77"/>
  <c r="Z72" i="70" s="1"/>
  <c r="AA72"/>
  <c r="AA47" i="74"/>
  <c r="Z71" i="65"/>
  <c r="AA71"/>
  <c r="AA22" i="39"/>
  <c r="Z22" i="77"/>
  <c r="Z22" i="39" s="1"/>
  <c r="Z60" i="77"/>
  <c r="Z60" i="39" s="1"/>
  <c r="AA60"/>
  <c r="AA51" i="72"/>
  <c r="Z51"/>
  <c r="AA44" i="74"/>
  <c r="Z51" i="71"/>
  <c r="AA51"/>
  <c r="EL50" i="77"/>
  <c r="Z50" i="70" s="1"/>
  <c r="AA50"/>
  <c r="Z38" i="77"/>
  <c r="Z38" i="39" s="1"/>
  <c r="AA38"/>
  <c r="AA55" i="74"/>
  <c r="AA55" i="72"/>
  <c r="GR55" i="77"/>
  <c r="Z55" i="72" s="1"/>
  <c r="AC18" i="69"/>
  <c r="AD18"/>
  <c r="BF55" i="77"/>
  <c r="AC55" i="65" s="1"/>
  <c r="BG55" i="77"/>
  <c r="AD55" i="65" s="1"/>
  <c r="GR72" i="77"/>
  <c r="Z72" i="72" s="1"/>
  <c r="AA72"/>
  <c r="AA46"/>
  <c r="GR46" i="77"/>
  <c r="Z46" i="72" s="1"/>
  <c r="FO54" i="77"/>
  <c r="Z54" i="71" s="1"/>
  <c r="AA54"/>
  <c r="GR68" i="77"/>
  <c r="Z68" i="72" s="1"/>
  <c r="AA68"/>
  <c r="AA39"/>
  <c r="GR39" i="77"/>
  <c r="Z39" i="72" s="1"/>
  <c r="AA14" i="71"/>
  <c r="Z14"/>
  <c r="AA63" i="39"/>
  <c r="Z63" i="77"/>
  <c r="Z63" i="39" s="1"/>
  <c r="AA24"/>
  <c r="Z24" i="77"/>
  <c r="Z24" i="39" s="1"/>
  <c r="Z33" i="77"/>
  <c r="Z33" i="39" s="1"/>
  <c r="AA33"/>
  <c r="FR49" i="77"/>
  <c r="AC49" i="71" s="1"/>
  <c r="FS49" i="77"/>
  <c r="AD49" i="71" s="1"/>
  <c r="FM52" i="77"/>
  <c r="FP52" s="1"/>
  <c r="HS46"/>
  <c r="HV46" s="1"/>
  <c r="DI73"/>
  <c r="Z73" i="69" s="1"/>
  <c r="AA73"/>
  <c r="AA49" i="65"/>
  <c r="BC49" i="77"/>
  <c r="Z49" i="65" s="1"/>
  <c r="EL47" i="77"/>
  <c r="Z47" i="70" s="1"/>
  <c r="AA47"/>
  <c r="AA20" i="73"/>
  <c r="AA27" i="74"/>
  <c r="AA41" i="68"/>
  <c r="Z41"/>
  <c r="Z64" i="77"/>
  <c r="Z64" i="39" s="1"/>
  <c r="AA64"/>
  <c r="AA20"/>
  <c r="Z20" i="77"/>
  <c r="Z20" i="39" s="1"/>
  <c r="CI68" i="77"/>
  <c r="AC68" i="68" s="1"/>
  <c r="CJ68" i="77"/>
  <c r="AD68" i="68" s="1"/>
  <c r="AA44" i="71"/>
  <c r="FO44" i="77"/>
  <c r="Z44" i="71" s="1"/>
  <c r="AA39" i="73"/>
  <c r="AA41" i="71"/>
  <c r="Z41"/>
  <c r="AA73" i="73"/>
  <c r="AA46" i="39"/>
  <c r="Z46" i="77"/>
  <c r="Z46" i="39" s="1"/>
  <c r="AA26"/>
  <c r="Z26" i="77"/>
  <c r="Z26" i="39" s="1"/>
  <c r="AA68" i="73"/>
  <c r="AA52" i="65"/>
  <c r="BC52" i="77"/>
  <c r="Z52" i="65" s="1"/>
  <c r="AA71" i="68"/>
  <c r="Z71"/>
  <c r="Z51" i="39"/>
  <c r="AA51"/>
  <c r="AA44"/>
  <c r="Z44" i="77"/>
  <c r="Z44" i="39" s="1"/>
  <c r="CF27" i="77"/>
  <c r="Z27" i="68" s="1"/>
  <c r="AA27"/>
  <c r="Z93" i="77"/>
  <c r="Z93" i="39" s="1"/>
  <c r="AA95"/>
  <c r="Z197"/>
  <c r="AA206"/>
  <c r="AA148"/>
  <c r="Z114"/>
  <c r="Z137"/>
  <c r="AA144"/>
  <c r="CF255" i="77"/>
  <c r="Z255" i="68" s="1"/>
  <c r="AA255"/>
  <c r="Z188" i="39"/>
  <c r="AB194" i="70"/>
  <c r="Z234" i="77"/>
  <c r="Z234" i="39" s="1"/>
  <c r="Z205" i="77"/>
  <c r="Z205" i="39" s="1"/>
  <c r="AB100" i="70"/>
  <c r="AB98" i="71"/>
  <c r="DI249" i="77"/>
  <c r="Z249" i="69" s="1"/>
  <c r="Z168" i="39"/>
  <c r="AB122" i="70"/>
  <c r="AB126"/>
  <c r="Z238" i="77"/>
  <c r="Z238" i="39" s="1"/>
  <c r="Z126"/>
  <c r="AA153"/>
  <c r="AA255" i="72"/>
  <c r="Z138" i="39"/>
  <c r="Z95" i="77"/>
  <c r="Z95" i="39" s="1"/>
  <c r="AB198" i="70"/>
  <c r="AC124" i="39"/>
  <c r="AD124"/>
  <c r="AA211"/>
  <c r="Z183"/>
  <c r="AB200" i="70"/>
  <c r="Z224" i="77"/>
  <c r="Z224" i="39" s="1"/>
  <c r="AB123" i="70"/>
  <c r="AB124"/>
  <c r="Z161" i="39"/>
  <c r="Z237" i="77"/>
  <c r="Z237" i="39" s="1"/>
  <c r="AA213"/>
  <c r="Z151"/>
  <c r="AA151"/>
  <c r="Z249" i="77"/>
  <c r="Z249" i="39" s="1"/>
  <c r="AA252"/>
  <c r="Z118"/>
  <c r="Z232" i="77"/>
  <c r="Z232" i="39" s="1"/>
  <c r="Z150"/>
  <c r="AA150"/>
  <c r="AA255" i="74"/>
  <c r="Z253" i="77"/>
  <c r="Z253" i="39" s="1"/>
  <c r="AA254"/>
  <c r="Z236" i="77"/>
  <c r="Z236" i="39" s="1"/>
  <c r="Z217"/>
  <c r="AA214"/>
  <c r="AB120" i="70"/>
  <c r="AB119"/>
  <c r="AB125"/>
  <c r="AB196" i="71"/>
  <c r="Z81" i="39"/>
  <c r="AA79"/>
  <c r="Z199"/>
  <c r="AA207"/>
  <c r="AB239" i="70"/>
  <c r="AB92" i="71"/>
  <c r="Z233" i="77"/>
  <c r="Z233" i="39" s="1"/>
  <c r="Z181"/>
  <c r="Z131"/>
  <c r="AB121" i="70"/>
  <c r="AB240"/>
  <c r="Z148" i="39"/>
  <c r="AA149"/>
  <c r="Z204" i="77"/>
  <c r="Z204" i="39" s="1"/>
  <c r="Z121"/>
  <c r="AA123"/>
  <c r="AB217" i="71"/>
  <c r="AA256" i="39"/>
  <c r="Z256" i="77"/>
  <c r="Z256" i="39" s="1"/>
  <c r="Z162"/>
  <c r="AA192"/>
  <c r="Z84" i="77"/>
  <c r="Z84" i="39" s="1"/>
  <c r="AA241"/>
  <c r="Z235" i="77"/>
  <c r="Z235" i="39" s="1"/>
  <c r="Z111"/>
  <c r="FO368" i="77"/>
  <c r="Z368" i="71" s="1"/>
  <c r="AA368"/>
  <c r="AB386"/>
  <c r="AB353" i="70"/>
  <c r="AB355"/>
  <c r="CF368" i="77"/>
  <c r="Z368" i="68" s="1"/>
  <c r="AA368"/>
  <c r="AA367" i="72"/>
  <c r="BC370" i="77"/>
  <c r="Z370" i="65" s="1"/>
  <c r="AB352" i="71"/>
  <c r="AB388" i="70"/>
  <c r="CF370" i="77"/>
  <c r="Z370" i="68" s="1"/>
  <c r="AA367" i="39"/>
  <c r="Z367" i="77"/>
  <c r="Z367" i="39" s="1"/>
  <c r="EL373" i="77"/>
  <c r="Z373" i="70" s="1"/>
  <c r="AA373"/>
  <c r="Z358" i="77"/>
  <c r="Z358" i="39" s="1"/>
  <c r="AA358"/>
  <c r="AA367" i="73"/>
  <c r="AB363" i="70"/>
  <c r="Z355" i="77"/>
  <c r="Z355" i="39" s="1"/>
  <c r="AA355"/>
  <c r="Z360" i="77"/>
  <c r="Z360" i="39" s="1"/>
  <c r="BC368" i="77"/>
  <c r="Z368" i="65" s="1"/>
  <c r="AA368"/>
  <c r="Z361" i="39"/>
  <c r="Z389" i="77"/>
  <c r="Z389" i="39" s="1"/>
  <c r="FO373" i="77"/>
  <c r="Z373" i="71" s="1"/>
  <c r="AA373"/>
  <c r="Z359" i="77"/>
  <c r="Z359" i="39" s="1"/>
  <c r="Z374" i="77"/>
  <c r="Z374" i="39" s="1"/>
  <c r="AA374"/>
  <c r="AA368" i="73"/>
  <c r="AA373" i="68"/>
  <c r="CF373" i="77"/>
  <c r="Z373" i="68" s="1"/>
  <c r="AA371" i="39"/>
  <c r="Z369" i="77"/>
  <c r="Z369" i="39" s="1"/>
  <c r="AB357" i="71"/>
  <c r="AB362" i="70"/>
  <c r="Z353" i="77"/>
  <c r="Z353" i="39" s="1"/>
  <c r="AC388" i="77"/>
  <c r="AD388"/>
  <c r="FO432"/>
  <c r="Z432" i="71" s="1"/>
  <c r="AA411" i="74"/>
  <c r="Z411"/>
  <c r="AA428" i="71"/>
  <c r="FO428" i="77"/>
  <c r="Z428" i="71" s="1"/>
  <c r="Z414" i="65"/>
  <c r="Z417"/>
  <c r="Z414" i="71"/>
  <c r="AA414"/>
  <c r="AA427"/>
  <c r="FO427" i="77"/>
  <c r="Z427" i="71" s="1"/>
  <c r="FO400" i="77"/>
  <c r="Z400" i="71" s="1"/>
  <c r="AA400"/>
  <c r="AC411" i="72"/>
  <c r="AD411"/>
  <c r="AA404" i="73"/>
  <c r="Z437" i="77"/>
  <c r="Z437" i="39" s="1"/>
  <c r="Z417" i="71"/>
  <c r="AA417"/>
  <c r="BC400" i="77"/>
  <c r="Z400" i="65" s="1"/>
  <c r="AA400"/>
  <c r="CF406" i="77"/>
  <c r="Z406" i="68" s="1"/>
  <c r="AA406"/>
  <c r="AA411" i="70"/>
  <c r="Z411"/>
  <c r="Z423" i="77"/>
  <c r="Z423" i="39" s="1"/>
  <c r="EO428" i="77"/>
  <c r="AC428" i="70" s="1"/>
  <c r="EP428" i="77"/>
  <c r="AD428" i="70" s="1"/>
  <c r="AA427" i="65"/>
  <c r="BC427" i="77"/>
  <c r="Z427" i="65" s="1"/>
  <c r="AA431" i="73"/>
  <c r="Z431"/>
  <c r="Z431" i="68"/>
  <c r="AA431"/>
  <c r="Z411" i="65"/>
  <c r="AA411"/>
  <c r="AA406" i="72"/>
  <c r="AA427" i="74"/>
  <c r="Z414" i="70"/>
  <c r="AA438"/>
  <c r="CF404" i="77"/>
  <c r="Z404" i="68" s="1"/>
  <c r="AA404"/>
  <c r="AA401" i="74"/>
  <c r="AA401" i="65"/>
  <c r="Z401"/>
  <c r="Z405" i="77"/>
  <c r="Z405" i="39" s="1"/>
  <c r="Z402" i="77"/>
  <c r="Z402" i="39" s="1"/>
  <c r="AA402"/>
  <c r="FO438" i="77"/>
  <c r="Z438" i="71" s="1"/>
  <c r="EL427" i="77"/>
  <c r="Z427" i="70" s="1"/>
  <c r="AA427"/>
  <c r="AA404" i="72"/>
  <c r="AA432"/>
  <c r="Z417"/>
  <c r="AD439" i="77"/>
  <c r="AD439" i="39" s="1"/>
  <c r="AC439" i="77"/>
  <c r="AC439" i="39" s="1"/>
  <c r="Z435" i="77"/>
  <c r="Z435" i="39" s="1"/>
  <c r="AA400" i="73"/>
  <c r="Z419" i="39"/>
  <c r="FO406" i="77"/>
  <c r="Z406" i="71" s="1"/>
  <c r="AA406"/>
  <c r="BC432" i="77"/>
  <c r="Z432" i="65" s="1"/>
  <c r="AA432" i="73"/>
  <c r="Z417"/>
  <c r="Z404" i="77"/>
  <c r="Z404" i="39" s="1"/>
  <c r="Z411" i="71"/>
  <c r="AA411"/>
  <c r="AA444" i="39"/>
  <c r="Z444" i="77"/>
  <c r="Z444" i="39" s="1"/>
  <c r="Z414"/>
  <c r="AA428" i="73"/>
  <c r="Z414" i="74"/>
  <c r="AA414"/>
  <c r="AA400"/>
  <c r="EO438" i="77"/>
  <c r="EP438"/>
  <c r="FM449"/>
  <c r="FP449" s="1"/>
  <c r="IV457"/>
  <c r="IY457" s="1"/>
  <c r="X462"/>
  <c r="AA462" s="1"/>
  <c r="Z461" i="39"/>
  <c r="AA461"/>
  <c r="AC449" i="77"/>
  <c r="AC449" i="39" s="1"/>
  <c r="AD449" i="77"/>
  <c r="AD449" i="39" s="1"/>
  <c r="AC455" i="77"/>
  <c r="AC455" i="39" s="1"/>
  <c r="AD455" i="77"/>
  <c r="AD455" i="39" s="1"/>
  <c r="DD158" i="77" l="1"/>
  <c r="BZ133"/>
  <c r="DD416"/>
  <c r="HO141"/>
  <c r="AD157"/>
  <c r="AC157"/>
  <c r="DC143"/>
  <c r="HO175"/>
  <c r="DC316"/>
  <c r="T316" i="69" s="1"/>
  <c r="DC61" i="77"/>
  <c r="EM431"/>
  <c r="EL431"/>
  <c r="AA231"/>
  <c r="BZ150"/>
  <c r="DG201"/>
  <c r="FO345"/>
  <c r="Z345" i="71" s="1"/>
  <c r="X345"/>
  <c r="FP345" i="77"/>
  <c r="FI145"/>
  <c r="X301" i="39"/>
  <c r="Z301" i="77"/>
  <c r="Z301" i="39" s="1"/>
  <c r="AA301" i="77"/>
  <c r="AA149"/>
  <c r="Z149"/>
  <c r="DC124"/>
  <c r="IV363"/>
  <c r="IY363" s="1"/>
  <c r="GV51"/>
  <c r="X313" i="74"/>
  <c r="IY313" i="77"/>
  <c r="AA313" i="74" s="1"/>
  <c r="IR132" i="77"/>
  <c r="Z208"/>
  <c r="Z208" i="39" s="1"/>
  <c r="GU401" i="77"/>
  <c r="FS414"/>
  <c r="EF305"/>
  <c r="T305" i="70" s="1"/>
  <c r="X313" i="72"/>
  <c r="GS313" i="77"/>
  <c r="AA313" i="72" s="1"/>
  <c r="DC133" i="77"/>
  <c r="DC181"/>
  <c r="DJ201"/>
  <c r="DI201"/>
  <c r="AA300"/>
  <c r="AA300" i="39" s="1"/>
  <c r="X300"/>
  <c r="EM346" i="77"/>
  <c r="AA346" i="70" s="1"/>
  <c r="X346"/>
  <c r="BD323" i="77"/>
  <c r="AA323" i="65" s="1"/>
  <c r="X323"/>
  <c r="IY319" i="77"/>
  <c r="AA319" i="74" s="1"/>
  <c r="X319"/>
  <c r="BD315" i="77"/>
  <c r="AA315" i="65" s="1"/>
  <c r="X315"/>
  <c r="HT174" i="77"/>
  <c r="GT174"/>
  <c r="HT178"/>
  <c r="GT178"/>
  <c r="FQ367"/>
  <c r="GQ367"/>
  <c r="GQ425"/>
  <c r="FQ425"/>
  <c r="GQ232"/>
  <c r="FQ232"/>
  <c r="GQ400"/>
  <c r="FQ400"/>
  <c r="GQ438"/>
  <c r="FQ438"/>
  <c r="GQ439"/>
  <c r="FQ439"/>
  <c r="GQ357"/>
  <c r="FQ357"/>
  <c r="GQ249"/>
  <c r="FQ249"/>
  <c r="IW182"/>
  <c r="HW182"/>
  <c r="GQ206"/>
  <c r="FQ206"/>
  <c r="GQ227"/>
  <c r="FQ227"/>
  <c r="GQ359"/>
  <c r="FQ359"/>
  <c r="CG321"/>
  <c r="AA321" i="68" s="1"/>
  <c r="X321"/>
  <c r="AA346" i="77"/>
  <c r="AA346" i="39" s="1"/>
  <c r="X346"/>
  <c r="HT172" i="77"/>
  <c r="GT172"/>
  <c r="GQ220"/>
  <c r="FQ220"/>
  <c r="GQ435"/>
  <c r="FQ435"/>
  <c r="GT180"/>
  <c r="HT180"/>
  <c r="DJ319"/>
  <c r="AA319" i="69" s="1"/>
  <c r="X319"/>
  <c r="GQ238" i="77"/>
  <c r="FQ238"/>
  <c r="GQ364"/>
  <c r="FQ364"/>
  <c r="GQ408"/>
  <c r="FQ408"/>
  <c r="GQ407"/>
  <c r="FQ407"/>
  <c r="GQ228"/>
  <c r="FQ228"/>
  <c r="GQ415"/>
  <c r="FQ415"/>
  <c r="GQ374"/>
  <c r="FQ374"/>
  <c r="GQ428"/>
  <c r="FQ428"/>
  <c r="GQ383"/>
  <c r="FQ383"/>
  <c r="GQ379"/>
  <c r="FQ379"/>
  <c r="CG312"/>
  <c r="AA312" i="68" s="1"/>
  <c r="X312"/>
  <c r="IS167" i="77"/>
  <c r="AA441"/>
  <c r="AA329"/>
  <c r="AA329" i="39" s="1"/>
  <c r="X329"/>
  <c r="IY321" i="77"/>
  <c r="AA321" i="74" s="1"/>
  <c r="X321"/>
  <c r="AA321" i="77"/>
  <c r="AA321" i="39" s="1"/>
  <c r="X321"/>
  <c r="FP315" i="77"/>
  <c r="AA315" i="71" s="1"/>
  <c r="X315"/>
  <c r="IY307" i="77"/>
  <c r="AA307" i="74" s="1"/>
  <c r="X307"/>
  <c r="GS301" i="77"/>
  <c r="AA301" i="72" s="1"/>
  <c r="X301"/>
  <c r="GQ358" i="77"/>
  <c r="FQ358"/>
  <c r="FP312"/>
  <c r="X312" i="71"/>
  <c r="FO312" i="77"/>
  <c r="Z312" i="71" s="1"/>
  <c r="DJ341" i="77"/>
  <c r="X341" i="69"/>
  <c r="DI341" i="77"/>
  <c r="Z341" i="69" s="1"/>
  <c r="CG313" i="77"/>
  <c r="X313" i="68"/>
  <c r="CF313" i="77"/>
  <c r="Z313" i="68" s="1"/>
  <c r="GT171" i="77"/>
  <c r="HT171"/>
  <c r="FQ373"/>
  <c r="GQ373"/>
  <c r="GS318"/>
  <c r="X318" i="72"/>
  <c r="GR318" i="77"/>
  <c r="Z318" i="72" s="1"/>
  <c r="GQ386" i="77"/>
  <c r="FQ386"/>
  <c r="Z209"/>
  <c r="Z209" i="39" s="1"/>
  <c r="IV284" i="77"/>
  <c r="IY284" s="1"/>
  <c r="GU18"/>
  <c r="BZ182"/>
  <c r="AW215"/>
  <c r="HO164"/>
  <c r="HO124"/>
  <c r="DG211"/>
  <c r="EM307"/>
  <c r="AA307" i="70" s="1"/>
  <c r="X307"/>
  <c r="GS312" i="77"/>
  <c r="AA312" i="72" s="1"/>
  <c r="X312"/>
  <c r="IY346" i="77"/>
  <c r="AA346" i="74" s="1"/>
  <c r="X346"/>
  <c r="HV319" i="77"/>
  <c r="AA319" i="73" s="1"/>
  <c r="X319"/>
  <c r="AA310" i="77"/>
  <c r="X310" i="39"/>
  <c r="Z310" i="77"/>
  <c r="Z310" i="39" s="1"/>
  <c r="HT177" i="77"/>
  <c r="GT177"/>
  <c r="FQ406"/>
  <c r="GQ406"/>
  <c r="GQ368"/>
  <c r="FQ368"/>
  <c r="HT176"/>
  <c r="GT176"/>
  <c r="GQ226"/>
  <c r="FQ226"/>
  <c r="GQ352"/>
  <c r="FQ352"/>
  <c r="GQ353"/>
  <c r="FQ353"/>
  <c r="GQ370"/>
  <c r="FQ370"/>
  <c r="GQ389"/>
  <c r="FQ389"/>
  <c r="GQ235"/>
  <c r="FQ235"/>
  <c r="GQ382"/>
  <c r="FQ382"/>
  <c r="GQ363"/>
  <c r="FQ363"/>
  <c r="GQ380"/>
  <c r="FQ380"/>
  <c r="GQ434"/>
  <c r="FQ434"/>
  <c r="HT298"/>
  <c r="GT298"/>
  <c r="Y298" i="72"/>
  <c r="GQ378" i="77"/>
  <c r="FQ378"/>
  <c r="HT179"/>
  <c r="GT179"/>
  <c r="GQ388"/>
  <c r="FQ388"/>
  <c r="GT169"/>
  <c r="HT169"/>
  <c r="GQ355"/>
  <c r="FQ355"/>
  <c r="GQ224"/>
  <c r="FQ224"/>
  <c r="GQ234"/>
  <c r="FQ234"/>
  <c r="GQ236"/>
  <c r="FQ236"/>
  <c r="GQ369"/>
  <c r="FQ369"/>
  <c r="GQ377"/>
  <c r="FQ377"/>
  <c r="GQ432"/>
  <c r="FQ432"/>
  <c r="GQ233"/>
  <c r="FQ233"/>
  <c r="GQ252"/>
  <c r="FQ252"/>
  <c r="GQ360"/>
  <c r="FQ360"/>
  <c r="GQ255"/>
  <c r="FQ255"/>
  <c r="FS255" s="1"/>
  <c r="AD255" i="71" s="1"/>
  <c r="AA311"/>
  <c r="FR311" i="77"/>
  <c r="AC311" i="71" s="1"/>
  <c r="IY302" i="77"/>
  <c r="AA302" i="74" s="1"/>
  <c r="X302"/>
  <c r="AA307" i="77"/>
  <c r="AA307" i="39" s="1"/>
  <c r="X307"/>
  <c r="GS321" i="77"/>
  <c r="AA321" i="72" s="1"/>
  <c r="X321"/>
  <c r="CG311" i="77"/>
  <c r="AA311" i="68" s="1"/>
  <c r="X311"/>
  <c r="FQ404" i="77"/>
  <c r="GQ404"/>
  <c r="GQ405"/>
  <c r="FQ405"/>
  <c r="CG318"/>
  <c r="X318" i="68"/>
  <c r="CF318" i="77"/>
  <c r="Z318" i="68" s="1"/>
  <c r="BD341" i="77"/>
  <c r="X341" i="65"/>
  <c r="BC341" i="77"/>
  <c r="Z341" i="65" s="1"/>
  <c r="FQ427" i="77"/>
  <c r="GQ427"/>
  <c r="FP341"/>
  <c r="AA341" i="71" s="1"/>
  <c r="X341"/>
  <c r="EP411" i="77"/>
  <c r="HT347"/>
  <c r="GT347"/>
  <c r="AB347" i="72" s="1"/>
  <c r="Y347"/>
  <c r="HT346" i="77"/>
  <c r="GT346"/>
  <c r="Y346" i="72"/>
  <c r="HT329" i="77"/>
  <c r="GT329"/>
  <c r="AB329" i="72" s="1"/>
  <c r="Y329"/>
  <c r="HT345" i="77"/>
  <c r="GT345"/>
  <c r="Y345" i="72"/>
  <c r="GT323" i="77"/>
  <c r="HT323"/>
  <c r="Y323" i="72"/>
  <c r="AB341" i="71"/>
  <c r="HT336" i="77"/>
  <c r="GT336"/>
  <c r="AB336" i="72" s="1"/>
  <c r="Y336"/>
  <c r="GT341" i="77"/>
  <c r="HT341"/>
  <c r="Y341" i="72"/>
  <c r="HT315" i="77"/>
  <c r="GT315"/>
  <c r="AB315" i="72" s="1"/>
  <c r="Y315"/>
  <c r="IW318" i="77"/>
  <c r="HW318"/>
  <c r="Y318" i="73"/>
  <c r="GT313" i="77"/>
  <c r="HT313"/>
  <c r="Y313" i="72"/>
  <c r="GR313" i="77"/>
  <c r="Z313" i="72" s="1"/>
  <c r="HT319" i="77"/>
  <c r="GT319"/>
  <c r="AB319" i="72" s="1"/>
  <c r="Y319"/>
  <c r="HT320" i="77"/>
  <c r="GT320"/>
  <c r="AB320" i="72" s="1"/>
  <c r="Y320"/>
  <c r="GT301" i="77"/>
  <c r="AB301" i="72" s="1"/>
  <c r="HT301" i="77"/>
  <c r="Y301" i="72"/>
  <c r="GT307" i="77"/>
  <c r="AB307" i="72" s="1"/>
  <c r="HT307" i="77"/>
  <c r="Y307" i="72"/>
  <c r="HT304" i="77"/>
  <c r="GT304"/>
  <c r="Y304" i="72"/>
  <c r="HT302" i="77"/>
  <c r="GT302"/>
  <c r="Y302" i="72"/>
  <c r="GR302" i="77"/>
  <c r="Z302" i="72" s="1"/>
  <c r="GT312" i="77"/>
  <c r="AB312" i="72" s="1"/>
  <c r="HT312" i="77"/>
  <c r="Y312" i="72"/>
  <c r="IR335" i="77"/>
  <c r="T335" i="74" s="1"/>
  <c r="S335"/>
  <c r="IS340" i="77"/>
  <c r="T340" i="74"/>
  <c r="IU340" i="77"/>
  <c r="W340" i="74" s="1"/>
  <c r="IT340" i="77"/>
  <c r="V340" i="74" s="1"/>
  <c r="IS342" i="77"/>
  <c r="T342" i="74"/>
  <c r="IU342" i="77"/>
  <c r="W342" i="74" s="1"/>
  <c r="IT342" i="77"/>
  <c r="V342" i="74" s="1"/>
  <c r="IS324" i="77"/>
  <c r="T324" i="74"/>
  <c r="IT324" i="77"/>
  <c r="V324" i="74" s="1"/>
  <c r="IU324" i="77"/>
  <c r="W324" i="74" s="1"/>
  <c r="IS339" i="77"/>
  <c r="T339" i="74"/>
  <c r="IU339" i="77"/>
  <c r="W339" i="74" s="1"/>
  <c r="IT339" i="77"/>
  <c r="V339" i="74" s="1"/>
  <c r="IS327" i="77"/>
  <c r="T327" i="74"/>
  <c r="IT327" i="77"/>
  <c r="V327" i="74" s="1"/>
  <c r="IS300" i="77"/>
  <c r="T300" i="74"/>
  <c r="IU300" i="77"/>
  <c r="W300" i="74" s="1"/>
  <c r="IT300" i="77"/>
  <c r="V300" i="74" s="1"/>
  <c r="IS325" i="77"/>
  <c r="U325" i="74" s="1"/>
  <c r="T325"/>
  <c r="IT325" i="77"/>
  <c r="V325" i="74" s="1"/>
  <c r="IS344" i="77"/>
  <c r="T344" i="74"/>
  <c r="IU344" i="77"/>
  <c r="W344" i="74" s="1"/>
  <c r="IT344" i="77"/>
  <c r="V344" i="74" s="1"/>
  <c r="IS326" i="77"/>
  <c r="T326" i="74"/>
  <c r="IU326" i="77"/>
  <c r="W326" i="74" s="1"/>
  <c r="IT326" i="77"/>
  <c r="V326" i="74" s="1"/>
  <c r="IS338" i="77"/>
  <c r="T338" i="74"/>
  <c r="IU338" i="77"/>
  <c r="W338" i="74" s="1"/>
  <c r="IS333" i="77"/>
  <c r="U333" i="74" s="1"/>
  <c r="T333"/>
  <c r="IR334" i="77"/>
  <c r="T334" i="74" s="1"/>
  <c r="S334"/>
  <c r="IS299" i="77"/>
  <c r="U299" i="74" s="1"/>
  <c r="T299"/>
  <c r="IS330" i="77"/>
  <c r="T330" i="74"/>
  <c r="IU330" i="77"/>
  <c r="W330" i="74" s="1"/>
  <c r="IT330" i="77"/>
  <c r="V330" i="74" s="1"/>
  <c r="IS306" i="77"/>
  <c r="T306" i="74"/>
  <c r="IT306" i="77"/>
  <c r="V306" i="74" s="1"/>
  <c r="IU306" i="77"/>
  <c r="W306" i="74" s="1"/>
  <c r="IS348" i="77"/>
  <c r="T348" i="74"/>
  <c r="IU348" i="77"/>
  <c r="W348" i="74" s="1"/>
  <c r="IT348" i="77"/>
  <c r="V348" i="74" s="1"/>
  <c r="IS343" i="77"/>
  <c r="T343" i="74"/>
  <c r="IT343" i="77"/>
  <c r="V343" i="74" s="1"/>
  <c r="IS337" i="77"/>
  <c r="T337" i="74"/>
  <c r="IT337" i="77"/>
  <c r="V337" i="74" s="1"/>
  <c r="IS314" i="77"/>
  <c r="T314" i="74"/>
  <c r="IU314" i="77"/>
  <c r="W314" i="74" s="1"/>
  <c r="IT314" i="77"/>
  <c r="V314" i="74" s="1"/>
  <c r="IS332" i="77"/>
  <c r="T332" i="74"/>
  <c r="IU332" i="77"/>
  <c r="W332" i="74" s="1"/>
  <c r="IT332" i="77"/>
  <c r="V332" i="74" s="1"/>
  <c r="IS308" i="77"/>
  <c r="T308" i="74"/>
  <c r="IT308" i="77"/>
  <c r="V308" i="74" s="1"/>
  <c r="IU308" i="77"/>
  <c r="W308" i="74" s="1"/>
  <c r="IS328" i="77"/>
  <c r="T328" i="74"/>
  <c r="IU328" i="77"/>
  <c r="W328" i="74" s="1"/>
  <c r="IT328" i="77"/>
  <c r="V328" i="74" s="1"/>
  <c r="IR216" i="77"/>
  <c r="IS331"/>
  <c r="U331" i="74" s="1"/>
  <c r="T331"/>
  <c r="IS310" i="77"/>
  <c r="U310" i="74" s="1"/>
  <c r="T310"/>
  <c r="IS317" i="77"/>
  <c r="U317" i="74" s="1"/>
  <c r="T317"/>
  <c r="W325"/>
  <c r="HR385" i="77"/>
  <c r="W394" i="73" s="1"/>
  <c r="HP385" i="77"/>
  <c r="U394" i="73" s="1"/>
  <c r="HP337" i="77"/>
  <c r="U337" i="73" s="1"/>
  <c r="T337"/>
  <c r="HP339" i="77"/>
  <c r="U339" i="73" s="1"/>
  <c r="T339"/>
  <c r="HP331" i="77"/>
  <c r="U331" i="73" s="1"/>
  <c r="T331"/>
  <c r="HP316" i="77"/>
  <c r="T316" i="73"/>
  <c r="HP314" i="77"/>
  <c r="T314" i="73"/>
  <c r="HO150" i="77"/>
  <c r="HP324"/>
  <c r="U324" i="73" s="1"/>
  <c r="T324"/>
  <c r="HP328" i="77"/>
  <c r="U328" i="73" s="1"/>
  <c r="T328"/>
  <c r="HP348" i="77"/>
  <c r="U348" i="73" s="1"/>
  <c r="T348"/>
  <c r="HP332" i="77"/>
  <c r="U332" i="73" s="1"/>
  <c r="T332"/>
  <c r="HO146" i="77"/>
  <c r="HP325"/>
  <c r="U325" i="73" s="1"/>
  <c r="T325"/>
  <c r="HP309" i="77"/>
  <c r="U309" i="73" s="1"/>
  <c r="T309"/>
  <c r="HP310" i="77"/>
  <c r="U310" i="73" s="1"/>
  <c r="T310"/>
  <c r="HP330" i="77"/>
  <c r="U330" i="73" s="1"/>
  <c r="T330"/>
  <c r="HP317" i="77"/>
  <c r="U317" i="73" s="1"/>
  <c r="T317"/>
  <c r="HP300" i="77"/>
  <c r="U300" i="73" s="1"/>
  <c r="T300"/>
  <c r="HP299" i="77"/>
  <c r="U299" i="73" s="1"/>
  <c r="T299"/>
  <c r="HO381" i="77"/>
  <c r="HP308"/>
  <c r="U308" i="73" s="1"/>
  <c r="GP208" i="77"/>
  <c r="GS208" s="1"/>
  <c r="GL330"/>
  <c r="T330" i="72" s="1"/>
  <c r="S330"/>
  <c r="GL326" i="77"/>
  <c r="T326" i="72" s="1"/>
  <c r="S326"/>
  <c r="GL340" i="77"/>
  <c r="T340" i="72" s="1"/>
  <c r="S340"/>
  <c r="GM310" i="77"/>
  <c r="U310" i="72" s="1"/>
  <c r="T310"/>
  <c r="GL328" i="77"/>
  <c r="T328" i="72" s="1"/>
  <c r="S328"/>
  <c r="GL344" i="77"/>
  <c r="T344" i="72" s="1"/>
  <c r="S344"/>
  <c r="GL314" i="77"/>
  <c r="T314" i="72" s="1"/>
  <c r="S314"/>
  <c r="GL309" i="77"/>
  <c r="T309" i="72" s="1"/>
  <c r="S309"/>
  <c r="GM293" i="77"/>
  <c r="U293" i="72" s="1"/>
  <c r="GL337" i="77"/>
  <c r="T337" i="72" s="1"/>
  <c r="S337"/>
  <c r="GL332" i="77"/>
  <c r="T332" i="72" s="1"/>
  <c r="S332"/>
  <c r="GL299" i="77"/>
  <c r="T299" i="72" s="1"/>
  <c r="S299"/>
  <c r="GL339" i="77"/>
  <c r="T339" i="72" s="1"/>
  <c r="S339"/>
  <c r="GL338" i="77"/>
  <c r="T338" i="72" s="1"/>
  <c r="S338"/>
  <c r="GL325" i="77"/>
  <c r="T325" i="72" s="1"/>
  <c r="S325"/>
  <c r="GL300" i="77"/>
  <c r="T300" i="72" s="1"/>
  <c r="S300"/>
  <c r="GN293" i="77"/>
  <c r="V293" i="72" s="1"/>
  <c r="GL306" i="77"/>
  <c r="T306" i="72" s="1"/>
  <c r="FI148" i="77"/>
  <c r="FJ338"/>
  <c r="U338" i="71" s="1"/>
  <c r="T338"/>
  <c r="FJ314" i="77"/>
  <c r="T314" i="71"/>
  <c r="FK314" i="77"/>
  <c r="V314" i="71" s="1"/>
  <c r="FL314" i="77"/>
  <c r="W314" i="71" s="1"/>
  <c r="FJ332" i="77"/>
  <c r="U332" i="71" s="1"/>
  <c r="T332"/>
  <c r="FJ328" i="77"/>
  <c r="U328" i="71" s="1"/>
  <c r="T328"/>
  <c r="FJ308" i="77"/>
  <c r="U308" i="71" s="1"/>
  <c r="T308"/>
  <c r="FJ327" i="77"/>
  <c r="U327" i="71" s="1"/>
  <c r="T327"/>
  <c r="FJ300" i="77"/>
  <c r="U300" i="71" s="1"/>
  <c r="T300"/>
  <c r="FJ310" i="77"/>
  <c r="U310" i="71" s="1"/>
  <c r="T310"/>
  <c r="FJ335" i="77"/>
  <c r="U335" i="71" s="1"/>
  <c r="T335"/>
  <c r="FJ342" i="77"/>
  <c r="U342" i="71" s="1"/>
  <c r="T342"/>
  <c r="FJ317" i="77"/>
  <c r="U317" i="71" s="1"/>
  <c r="T317"/>
  <c r="FJ316" i="77"/>
  <c r="U316" i="71" s="1"/>
  <c r="T316"/>
  <c r="FJ324" i="77"/>
  <c r="U324" i="71" s="1"/>
  <c r="T324"/>
  <c r="FJ334" i="77"/>
  <c r="U334" i="71" s="1"/>
  <c r="T334"/>
  <c r="FJ309" i="77"/>
  <c r="U309" i="71" s="1"/>
  <c r="T309"/>
  <c r="EF361" i="77"/>
  <c r="EF316"/>
  <c r="T316" i="70" s="1"/>
  <c r="EF261" i="77"/>
  <c r="EG334"/>
  <c r="U334" i="70" s="1"/>
  <c r="T334"/>
  <c r="EF311" i="77"/>
  <c r="S311" i="70"/>
  <c r="EF299" i="77"/>
  <c r="T299" i="70" s="1"/>
  <c r="R299"/>
  <c r="EF308" i="77"/>
  <c r="T308" i="70" s="1"/>
  <c r="S308"/>
  <c r="EG314" i="77"/>
  <c r="T314" i="70"/>
  <c r="EF340" i="77"/>
  <c r="T340" i="70" s="1"/>
  <c r="R340"/>
  <c r="EG324" i="77"/>
  <c r="U324" i="70" s="1"/>
  <c r="T324"/>
  <c r="EG332" i="77"/>
  <c r="U332" i="70" s="1"/>
  <c r="T332"/>
  <c r="EG344" i="77"/>
  <c r="U344" i="70" s="1"/>
  <c r="T344"/>
  <c r="EG300" i="77"/>
  <c r="U300" i="70" s="1"/>
  <c r="T300"/>
  <c r="DC157" i="77"/>
  <c r="DC149"/>
  <c r="DC314"/>
  <c r="T314" i="69" s="1"/>
  <c r="R314"/>
  <c r="DD333" i="77"/>
  <c r="U333" i="69" s="1"/>
  <c r="T333"/>
  <c r="DD331" i="77"/>
  <c r="U331" i="69" s="1"/>
  <c r="T331"/>
  <c r="DD309" i="77"/>
  <c r="U309" i="69" s="1"/>
  <c r="T309"/>
  <c r="DD334" i="77"/>
  <c r="U334" i="69" s="1"/>
  <c r="T334"/>
  <c r="DD326" i="77"/>
  <c r="U326" i="69" s="1"/>
  <c r="T326"/>
  <c r="DD299" i="77"/>
  <c r="U299" i="69" s="1"/>
  <c r="T299"/>
  <c r="DC218" i="77"/>
  <c r="DC150"/>
  <c r="DD150" s="1"/>
  <c r="DC144"/>
  <c r="DD348"/>
  <c r="U348" i="69" s="1"/>
  <c r="T348"/>
  <c r="DC310" i="77"/>
  <c r="T310" i="69" s="1"/>
  <c r="S310"/>
  <c r="DC330" i="77"/>
  <c r="T330" i="69" s="1"/>
  <c r="R330"/>
  <c r="DC197" i="77"/>
  <c r="DD335"/>
  <c r="U335" i="69" s="1"/>
  <c r="T335"/>
  <c r="DC137" i="77"/>
  <c r="BZ31"/>
  <c r="CA300"/>
  <c r="U300" i="68" s="1"/>
  <c r="T300"/>
  <c r="CA316" i="77"/>
  <c r="U316" i="68" s="1"/>
  <c r="T316"/>
  <c r="CA333" i="77"/>
  <c r="U333" i="68" s="1"/>
  <c r="T333"/>
  <c r="CA306" i="77"/>
  <c r="U306" i="68" s="1"/>
  <c r="T306"/>
  <c r="CA327" i="77"/>
  <c r="U327" i="68" s="1"/>
  <c r="T327"/>
  <c r="CA343" i="77"/>
  <c r="U343" i="68" s="1"/>
  <c r="T343"/>
  <c r="CA325" i="77"/>
  <c r="U325" i="68" s="1"/>
  <c r="T325"/>
  <c r="CA338" i="77"/>
  <c r="U338" i="68" s="1"/>
  <c r="T338"/>
  <c r="CA326" i="77"/>
  <c r="U326" i="68" s="1"/>
  <c r="T326"/>
  <c r="CA332" i="77"/>
  <c r="U332" i="68" s="1"/>
  <c r="T332"/>
  <c r="CA348" i="77"/>
  <c r="U348" i="68" s="1"/>
  <c r="T348"/>
  <c r="AX344" i="77"/>
  <c r="U344" i="65" s="1"/>
  <c r="T344"/>
  <c r="AX325" i="77"/>
  <c r="U325" i="65" s="1"/>
  <c r="T325"/>
  <c r="AX331" i="77"/>
  <c r="U331" i="65" s="1"/>
  <c r="T331"/>
  <c r="AX339" i="77"/>
  <c r="U339" i="65" s="1"/>
  <c r="T339"/>
  <c r="AX308" i="77"/>
  <c r="U308" i="65" s="1"/>
  <c r="T308"/>
  <c r="AX314" i="77"/>
  <c r="T314" i="65"/>
  <c r="AZ314" i="77"/>
  <c r="W314" i="65" s="1"/>
  <c r="AY314" i="77"/>
  <c r="V314" i="65" s="1"/>
  <c r="AX324" i="77"/>
  <c r="U324" i="65" s="1"/>
  <c r="T324"/>
  <c r="AX337" i="77"/>
  <c r="U337" i="65" s="1"/>
  <c r="T337"/>
  <c r="AX335" i="77"/>
  <c r="U335" i="65" s="1"/>
  <c r="T335"/>
  <c r="AX328" i="77"/>
  <c r="U328" i="65" s="1"/>
  <c r="T328"/>
  <c r="AX330" i="77"/>
  <c r="U330" i="65" s="1"/>
  <c r="T330"/>
  <c r="DC281" i="77"/>
  <c r="Z348" i="39"/>
  <c r="Z346"/>
  <c r="Z345"/>
  <c r="Z344"/>
  <c r="Z343"/>
  <c r="Z342"/>
  <c r="Z340"/>
  <c r="Z339"/>
  <c r="Z338"/>
  <c r="Z336"/>
  <c r="Z335"/>
  <c r="Z334"/>
  <c r="Z333"/>
  <c r="Z332"/>
  <c r="Z331"/>
  <c r="Z330"/>
  <c r="Z328"/>
  <c r="Z327"/>
  <c r="Z326"/>
  <c r="Z325"/>
  <c r="Z324"/>
  <c r="Z323"/>
  <c r="Z320"/>
  <c r="Z319"/>
  <c r="Z318"/>
  <c r="Z317"/>
  <c r="Z316"/>
  <c r="Z312"/>
  <c r="Z311"/>
  <c r="Z309"/>
  <c r="Z308"/>
  <c r="Z306"/>
  <c r="Z305"/>
  <c r="Z303"/>
  <c r="Z300"/>
  <c r="Z299"/>
  <c r="Z298"/>
  <c r="DJ211" i="77"/>
  <c r="DI211"/>
  <c r="BZ361"/>
  <c r="BZ217"/>
  <c r="CA217" s="1"/>
  <c r="EF172"/>
  <c r="EF163"/>
  <c r="GL261"/>
  <c r="EF190"/>
  <c r="EG190" s="1"/>
  <c r="GP158"/>
  <c r="GS158" s="1"/>
  <c r="FI128"/>
  <c r="GP149"/>
  <c r="HO162"/>
  <c r="BZ314"/>
  <c r="T314" i="68" s="1"/>
  <c r="BZ331" i="77"/>
  <c r="T331" i="68" s="1"/>
  <c r="BZ324" i="77"/>
  <c r="T324" i="68" s="1"/>
  <c r="BZ157" i="77"/>
  <c r="IS231"/>
  <c r="EG215"/>
  <c r="DD314"/>
  <c r="U314" i="69" s="1"/>
  <c r="DC219" i="77"/>
  <c r="DC178"/>
  <c r="HO335"/>
  <c r="T335" i="73" s="1"/>
  <c r="FJ81" i="77"/>
  <c r="FM193"/>
  <c r="AW441"/>
  <c r="AW321"/>
  <c r="T321" i="65" s="1"/>
  <c r="AW193" i="77"/>
  <c r="AX193" s="1"/>
  <c r="AW159"/>
  <c r="DC461"/>
  <c r="DC173"/>
  <c r="DC184"/>
  <c r="DC174"/>
  <c r="IV154"/>
  <c r="IY154" s="1"/>
  <c r="BZ178"/>
  <c r="CA178" s="1"/>
  <c r="IV101"/>
  <c r="IY101" s="1"/>
  <c r="IV163"/>
  <c r="IY163" s="1"/>
  <c r="HO163"/>
  <c r="HP163" s="1"/>
  <c r="HO14"/>
  <c r="HP190"/>
  <c r="GP189"/>
  <c r="GV217"/>
  <c r="GL122"/>
  <c r="GP100"/>
  <c r="GM271"/>
  <c r="FI71"/>
  <c r="FP281"/>
  <c r="FJ194"/>
  <c r="FI124"/>
  <c r="EF381"/>
  <c r="EG41"/>
  <c r="EF326"/>
  <c r="T326" i="70" s="1"/>
  <c r="EF348" i="77"/>
  <c r="T348" i="70" s="1"/>
  <c r="EF210" i="77"/>
  <c r="EF107"/>
  <c r="EF132"/>
  <c r="EF153"/>
  <c r="EG153" s="1"/>
  <c r="EF309"/>
  <c r="T309" i="70" s="1"/>
  <c r="EF216" i="77"/>
  <c r="EF130"/>
  <c r="EF19"/>
  <c r="EF211"/>
  <c r="EF101"/>
  <c r="EF21"/>
  <c r="EF113"/>
  <c r="EF16"/>
  <c r="EF325"/>
  <c r="T325" i="70" s="1"/>
  <c r="EF179" i="77"/>
  <c r="EF116"/>
  <c r="EF177"/>
  <c r="EF111"/>
  <c r="EJ81"/>
  <c r="EJ154"/>
  <c r="DC128"/>
  <c r="DC332"/>
  <c r="T332" i="69" s="1"/>
  <c r="DC343" i="77"/>
  <c r="T343" i="69" s="1"/>
  <c r="DC170" i="77"/>
  <c r="DD415"/>
  <c r="DC180"/>
  <c r="DC414"/>
  <c r="DC413"/>
  <c r="DC291"/>
  <c r="DD291" s="1"/>
  <c r="DC154"/>
  <c r="DD154" s="1"/>
  <c r="DC109"/>
  <c r="DD316"/>
  <c r="U316" i="69" s="1"/>
  <c r="DC303" i="77"/>
  <c r="T303" i="69" s="1"/>
  <c r="DC171" i="77"/>
  <c r="DC151"/>
  <c r="DC111"/>
  <c r="DC147"/>
  <c r="DC113"/>
  <c r="DC217"/>
  <c r="DC192"/>
  <c r="DC175"/>
  <c r="DC129"/>
  <c r="DC117"/>
  <c r="DC190"/>
  <c r="DC191"/>
  <c r="DC100"/>
  <c r="DD100" s="1"/>
  <c r="DD149"/>
  <c r="BZ194"/>
  <c r="BZ172"/>
  <c r="CA172" s="1"/>
  <c r="BZ148"/>
  <c r="BZ186"/>
  <c r="BZ132"/>
  <c r="BZ100"/>
  <c r="CA100" s="1"/>
  <c r="BZ281"/>
  <c r="CA281" s="1"/>
  <c r="BZ129"/>
  <c r="CD158"/>
  <c r="BZ169"/>
  <c r="CA169" s="1"/>
  <c r="BZ416"/>
  <c r="BZ310"/>
  <c r="T310" i="68" s="1"/>
  <c r="BZ177" i="77"/>
  <c r="BZ185"/>
  <c r="AW198"/>
  <c r="AW221"/>
  <c r="AX221" s="1"/>
  <c r="AW191"/>
  <c r="AX191" s="1"/>
  <c r="AW195"/>
  <c r="AW141"/>
  <c r="BA271"/>
  <c r="BC271" s="1"/>
  <c r="BA154"/>
  <c r="EL52"/>
  <c r="Z52" i="70" s="1"/>
  <c r="EL307" i="77"/>
  <c r="Z307" i="70" s="1"/>
  <c r="FS15" i="77"/>
  <c r="FS183"/>
  <c r="HU319"/>
  <c r="Z319" i="73" s="1"/>
  <c r="EG155" i="77"/>
  <c r="BZ174"/>
  <c r="CA174" s="1"/>
  <c r="BZ115"/>
  <c r="FM188"/>
  <c r="BZ241"/>
  <c r="FM271"/>
  <c r="FM168"/>
  <c r="GP198"/>
  <c r="GS198" s="1"/>
  <c r="FI129"/>
  <c r="AW144"/>
  <c r="AX144" s="1"/>
  <c r="BA81"/>
  <c r="BD81" s="1"/>
  <c r="EG197"/>
  <c r="BZ160"/>
  <c r="BZ119"/>
  <c r="CD291"/>
  <c r="EF339"/>
  <c r="T339" i="70" s="1"/>
  <c r="EG291" i="77"/>
  <c r="DC308"/>
  <c r="T308" i="69" s="1"/>
  <c r="DC160" i="77"/>
  <c r="DC125"/>
  <c r="DD218"/>
  <c r="DC169"/>
  <c r="HO17"/>
  <c r="DC421"/>
  <c r="DC71"/>
  <c r="DD71" s="1"/>
  <c r="HS91"/>
  <c r="HV91" s="1"/>
  <c r="Z307"/>
  <c r="FS51"/>
  <c r="BZ344"/>
  <c r="T344" i="68" s="1"/>
  <c r="BZ183" i="77"/>
  <c r="CA183" s="1"/>
  <c r="BZ167"/>
  <c r="BZ51"/>
  <c r="EF143"/>
  <c r="EG158"/>
  <c r="BZ91"/>
  <c r="CA91" s="1"/>
  <c r="GL14"/>
  <c r="GL17"/>
  <c r="GP194"/>
  <c r="GS194" s="1"/>
  <c r="AW149"/>
  <c r="GL431"/>
  <c r="GM431" s="1"/>
  <c r="GP154"/>
  <c r="GS154" s="1"/>
  <c r="AW103"/>
  <c r="AW11"/>
  <c r="EF147"/>
  <c r="EF119"/>
  <c r="BZ218"/>
  <c r="FM331"/>
  <c r="X331" i="71" s="1"/>
  <c r="EF134" i="77"/>
  <c r="IV190"/>
  <c r="IY190" s="1"/>
  <c r="DC361"/>
  <c r="DC325"/>
  <c r="T325" i="69" s="1"/>
  <c r="DC187" i="77"/>
  <c r="DC159"/>
  <c r="DC131"/>
  <c r="DC371"/>
  <c r="DD371" s="1"/>
  <c r="DC214"/>
  <c r="DD214" s="1"/>
  <c r="DC136"/>
  <c r="DC138"/>
  <c r="DC104"/>
  <c r="DD104" s="1"/>
  <c r="HO125"/>
  <c r="HS168"/>
  <c r="HV168" s="1"/>
  <c r="DC342"/>
  <c r="T342" i="69" s="1"/>
  <c r="HO15" i="77"/>
  <c r="DC327"/>
  <c r="T327" i="69" s="1"/>
  <c r="DC300" i="77"/>
  <c r="T300" i="69" s="1"/>
  <c r="DC162" i="77"/>
  <c r="DD162" s="1"/>
  <c r="AA215"/>
  <c r="Z215"/>
  <c r="FS251"/>
  <c r="FM190"/>
  <c r="FO190" s="1"/>
  <c r="AW118"/>
  <c r="AW147"/>
  <c r="AW130"/>
  <c r="EF328"/>
  <c r="T328" i="70" s="1"/>
  <c r="GM314" i="77"/>
  <c r="U314" i="72" s="1"/>
  <c r="AW214" i="77"/>
  <c r="BZ411"/>
  <c r="AW213"/>
  <c r="AX213" s="1"/>
  <c r="BA186"/>
  <c r="BZ251"/>
  <c r="BZ128"/>
  <c r="AW316"/>
  <c r="T316" i="65" s="1"/>
  <c r="AW173" i="77"/>
  <c r="AW102"/>
  <c r="AX102" s="1"/>
  <c r="AW12"/>
  <c r="DC146"/>
  <c r="DD156"/>
  <c r="DC328"/>
  <c r="T328" i="69" s="1"/>
  <c r="DC251" i="77"/>
  <c r="DC168"/>
  <c r="DD168" s="1"/>
  <c r="DC139"/>
  <c r="IV81"/>
  <c r="DC344"/>
  <c r="T344" i="69" s="1"/>
  <c r="DC306" i="77"/>
  <c r="T306" i="69" s="1"/>
  <c r="DC130" i="77"/>
  <c r="DC108"/>
  <c r="BU344"/>
  <c r="BV344"/>
  <c r="BU183"/>
  <c r="BV183"/>
  <c r="BV138"/>
  <c r="BU138"/>
  <c r="BU120"/>
  <c r="BV120"/>
  <c r="BV81"/>
  <c r="BU81"/>
  <c r="CC326"/>
  <c r="W326" i="68" s="1"/>
  <c r="CB326" i="77"/>
  <c r="V326" i="68" s="1"/>
  <c r="CB333" i="77"/>
  <c r="V333" i="68" s="1"/>
  <c r="CC333" i="77"/>
  <c r="W333" i="68" s="1"/>
  <c r="CB12" i="77"/>
  <c r="CC12"/>
  <c r="CC118"/>
  <c r="CB118"/>
  <c r="CB11"/>
  <c r="CC11"/>
  <c r="CB13"/>
  <c r="CC13"/>
  <c r="CB125"/>
  <c r="CC125"/>
  <c r="GN31"/>
  <c r="GO31"/>
  <c r="GO135"/>
  <c r="GN135"/>
  <c r="GN144"/>
  <c r="GO144"/>
  <c r="GO316"/>
  <c r="W316" i="72" s="1"/>
  <c r="GN316" i="77"/>
  <c r="V316" i="72" s="1"/>
  <c r="FL147" i="77"/>
  <c r="FK147"/>
  <c r="FL330"/>
  <c r="W330" i="71" s="1"/>
  <c r="FK330" i="77"/>
  <c r="V330" i="71" s="1"/>
  <c r="FD12" i="77"/>
  <c r="FK12" s="1"/>
  <c r="FJ12"/>
  <c r="FE12"/>
  <c r="FL12" s="1"/>
  <c r="FL325"/>
  <c r="W325" i="71" s="1"/>
  <c r="FK325" i="77"/>
  <c r="V325" i="71" s="1"/>
  <c r="FL117" i="77"/>
  <c r="FK117"/>
  <c r="FK214"/>
  <c r="FL214"/>
  <c r="FK106"/>
  <c r="FL106"/>
  <c r="FL139"/>
  <c r="FK139"/>
  <c r="FL461"/>
  <c r="FK461"/>
  <c r="FK142"/>
  <c r="FL142"/>
  <c r="FK415"/>
  <c r="FL415"/>
  <c r="AR413"/>
  <c r="AS413"/>
  <c r="AR191"/>
  <c r="AY191" s="1"/>
  <c r="AS191"/>
  <c r="AY151"/>
  <c r="AZ151"/>
  <c r="AY344"/>
  <c r="V344" i="65" s="1"/>
  <c r="AZ344" i="77"/>
  <c r="W344" i="65" s="1"/>
  <c r="AY324" i="77"/>
  <c r="V324" i="65" s="1"/>
  <c r="AZ324" i="77"/>
  <c r="W324" i="65" s="1"/>
  <c r="AZ138" i="77"/>
  <c r="AY138"/>
  <c r="AY124"/>
  <c r="AZ124"/>
  <c r="AY126"/>
  <c r="AZ126"/>
  <c r="AZ16"/>
  <c r="AY16"/>
  <c r="AZ161"/>
  <c r="AY161"/>
  <c r="AZ157"/>
  <c r="AY157"/>
  <c r="AY219"/>
  <c r="AZ219"/>
  <c r="EG340"/>
  <c r="U340" i="70" s="1"/>
  <c r="EB340" i="77"/>
  <c r="EA340"/>
  <c r="EG261"/>
  <c r="EA261"/>
  <c r="EH261" s="1"/>
  <c r="EB261"/>
  <c r="EI261" s="1"/>
  <c r="EB180"/>
  <c r="EI180" s="1"/>
  <c r="EG180"/>
  <c r="EA180"/>
  <c r="EH180" s="1"/>
  <c r="EB136"/>
  <c r="EA136"/>
  <c r="EB176"/>
  <c r="EI176" s="1"/>
  <c r="EG176"/>
  <c r="EA176"/>
  <c r="EH176" s="1"/>
  <c r="EA165"/>
  <c r="EH165" s="1"/>
  <c r="EB165"/>
  <c r="EI165" s="1"/>
  <c r="EG165"/>
  <c r="EB110"/>
  <c r="EI110" s="1"/>
  <c r="EA110"/>
  <c r="EH110" s="1"/>
  <c r="EG110"/>
  <c r="EI332"/>
  <c r="W332" i="70" s="1"/>
  <c r="EH332" i="77"/>
  <c r="V332" i="70" s="1"/>
  <c r="EH11" i="77"/>
  <c r="EI11"/>
  <c r="EI129"/>
  <c r="EH129"/>
  <c r="EH125"/>
  <c r="EI125"/>
  <c r="EI61"/>
  <c r="EH61"/>
  <c r="EH175"/>
  <c r="EI175"/>
  <c r="IM159"/>
  <c r="IN159"/>
  <c r="IT130"/>
  <c r="IU130"/>
  <c r="IT118"/>
  <c r="IU118"/>
  <c r="IT176"/>
  <c r="IU176"/>
  <c r="BU184"/>
  <c r="BV184"/>
  <c r="BV126"/>
  <c r="BU126"/>
  <c r="BV91"/>
  <c r="CC91" s="1"/>
  <c r="BU91"/>
  <c r="CB91" s="1"/>
  <c r="BV178"/>
  <c r="CC178" s="1"/>
  <c r="BU178"/>
  <c r="BV133"/>
  <c r="CC133" s="1"/>
  <c r="BU133"/>
  <c r="CB133" s="1"/>
  <c r="CA133"/>
  <c r="BV103"/>
  <c r="BU103"/>
  <c r="BV106"/>
  <c r="BU106"/>
  <c r="BU21"/>
  <c r="BV21"/>
  <c r="CC327"/>
  <c r="W327" i="68" s="1"/>
  <c r="CB327" i="77"/>
  <c r="V327" i="68" s="1"/>
  <c r="CB332" i="77"/>
  <c r="V332" i="68" s="1"/>
  <c r="CC332" i="77"/>
  <c r="W332" i="68" s="1"/>
  <c r="CC189" i="77"/>
  <c r="CB189"/>
  <c r="CA189"/>
  <c r="GH331"/>
  <c r="GG331"/>
  <c r="GM331"/>
  <c r="U331" i="72" s="1"/>
  <c r="GM328" i="77"/>
  <c r="U328" i="72" s="1"/>
  <c r="GH328" i="77"/>
  <c r="GG328"/>
  <c r="GM344"/>
  <c r="U344" i="72" s="1"/>
  <c r="GH344" i="77"/>
  <c r="GG344"/>
  <c r="GO169"/>
  <c r="GN169"/>
  <c r="GN174"/>
  <c r="GO174"/>
  <c r="GM174"/>
  <c r="GO106"/>
  <c r="GN106"/>
  <c r="GN126"/>
  <c r="GO126"/>
  <c r="GN109"/>
  <c r="GO109"/>
  <c r="GO91"/>
  <c r="GN91"/>
  <c r="GN141"/>
  <c r="GO141"/>
  <c r="FD124"/>
  <c r="FK124" s="1"/>
  <c r="FJ124"/>
  <c r="FE124"/>
  <c r="FL124" s="1"/>
  <c r="FK324"/>
  <c r="V324" i="71" s="1"/>
  <c r="FL324" i="77"/>
  <c r="W324" i="71" s="1"/>
  <c r="FK332" i="77"/>
  <c r="V332" i="71" s="1"/>
  <c r="FL332" i="77"/>
  <c r="W332" i="71" s="1"/>
  <c r="FK334" i="77"/>
  <c r="V334" i="71" s="1"/>
  <c r="FL334" i="77"/>
  <c r="W334" i="71" s="1"/>
  <c r="FK21" i="77"/>
  <c r="FL21"/>
  <c r="FK162"/>
  <c r="FL162"/>
  <c r="FL165"/>
  <c r="FK165"/>
  <c r="FK146"/>
  <c r="FL146"/>
  <c r="FK157"/>
  <c r="FL157"/>
  <c r="FJ157"/>
  <c r="FL164"/>
  <c r="FK164"/>
  <c r="FK91"/>
  <c r="FL91"/>
  <c r="AR342"/>
  <c r="O342" i="65" s="1"/>
  <c r="AS342" i="77"/>
  <c r="P342" i="65" s="1"/>
  <c r="AR326" i="77"/>
  <c r="O326" i="65" s="1"/>
  <c r="AS326" i="77"/>
  <c r="P326" i="65" s="1"/>
  <c r="AR343" i="77"/>
  <c r="O343" i="65" s="1"/>
  <c r="AS343" i="77"/>
  <c r="P343" i="65" s="1"/>
  <c r="AS299" i="77"/>
  <c r="P299" i="65" s="1"/>
  <c r="AR299" i="77"/>
  <c r="O299" i="65" s="1"/>
  <c r="AS214" i="77"/>
  <c r="AZ214" s="1"/>
  <c r="AR214"/>
  <c r="AY214" s="1"/>
  <c r="AX214"/>
  <c r="AR261"/>
  <c r="AS261"/>
  <c r="AS120"/>
  <c r="AR120"/>
  <c r="AR117"/>
  <c r="AS117"/>
  <c r="AZ139"/>
  <c r="AY139"/>
  <c r="AX139"/>
  <c r="AZ104"/>
  <c r="AY104"/>
  <c r="AY391"/>
  <c r="AZ391"/>
  <c r="AZ145"/>
  <c r="AY145"/>
  <c r="AX145"/>
  <c r="EA231"/>
  <c r="EH231" s="1"/>
  <c r="EG231"/>
  <c r="EB231"/>
  <c r="EI231" s="1"/>
  <c r="EB221"/>
  <c r="EA221"/>
  <c r="EA195"/>
  <c r="EH195" s="1"/>
  <c r="EB195"/>
  <c r="EI195" s="1"/>
  <c r="EG195"/>
  <c r="EA190"/>
  <c r="EH190" s="1"/>
  <c r="EB190"/>
  <c r="EI190" s="1"/>
  <c r="EB109"/>
  <c r="EA109"/>
  <c r="EB130"/>
  <c r="EI130" s="1"/>
  <c r="EA130"/>
  <c r="EH130" s="1"/>
  <c r="EG130"/>
  <c r="EB117"/>
  <c r="EA117"/>
  <c r="EI338"/>
  <c r="W338" i="70" s="1"/>
  <c r="EH338" i="77"/>
  <c r="V338" i="70" s="1"/>
  <c r="EG338" i="77"/>
  <c r="U338" i="70" s="1"/>
  <c r="EI415" i="77"/>
  <c r="EH415"/>
  <c r="IN145"/>
  <c r="IM145"/>
  <c r="IM106"/>
  <c r="IT106" s="1"/>
  <c r="IS106"/>
  <c r="IN106"/>
  <c r="IU106" s="1"/>
  <c r="IT115"/>
  <c r="IU115"/>
  <c r="IU164"/>
  <c r="IT164"/>
  <c r="CB342"/>
  <c r="V342" i="68" s="1"/>
  <c r="CC342" i="77"/>
  <c r="W342" i="68" s="1"/>
  <c r="CA342" i="77"/>
  <c r="U342" i="68" s="1"/>
  <c r="GO148" i="77"/>
  <c r="GN148"/>
  <c r="GM148"/>
  <c r="FK123"/>
  <c r="FL123"/>
  <c r="FJ123"/>
  <c r="FK160"/>
  <c r="FL160"/>
  <c r="FJ160"/>
  <c r="FS281"/>
  <c r="BZ308"/>
  <c r="T308" i="68" s="1"/>
  <c r="CD188" i="77"/>
  <c r="GP197"/>
  <c r="GS197" s="1"/>
  <c r="GP421"/>
  <c r="GS421" s="1"/>
  <c r="AW412"/>
  <c r="AX412" s="1"/>
  <c r="AW371"/>
  <c r="AX371" s="1"/>
  <c r="AW338"/>
  <c r="T338" i="65" s="1"/>
  <c r="AW333" i="77"/>
  <c r="T333" i="65" s="1"/>
  <c r="AW146" i="77"/>
  <c r="EF194"/>
  <c r="IR15"/>
  <c r="IS15" s="1"/>
  <c r="BZ309"/>
  <c r="T309" i="68" s="1"/>
  <c r="BZ192" i="77"/>
  <c r="BZ142"/>
  <c r="CD271"/>
  <c r="AW416"/>
  <c r="AW419"/>
  <c r="AW291"/>
  <c r="AX291" s="1"/>
  <c r="AW187"/>
  <c r="AX187" s="1"/>
  <c r="AW231"/>
  <c r="AX231" s="1"/>
  <c r="AW181"/>
  <c r="AW182"/>
  <c r="AX182" s="1"/>
  <c r="EF331"/>
  <c r="T331" i="70" s="1"/>
  <c r="EF303" i="77"/>
  <c r="T303" i="70" s="1"/>
  <c r="EG168" i="77"/>
  <c r="EF12"/>
  <c r="IV168"/>
  <c r="IY168" s="1"/>
  <c r="CA115"/>
  <c r="BV115"/>
  <c r="CC115" s="1"/>
  <c r="BU115"/>
  <c r="CB115" s="1"/>
  <c r="BU172"/>
  <c r="CB172" s="1"/>
  <c r="BV172"/>
  <c r="CC172" s="1"/>
  <c r="GM330"/>
  <c r="U330" i="72" s="1"/>
  <c r="GH330" i="77"/>
  <c r="GG330"/>
  <c r="GM326"/>
  <c r="U326" i="72" s="1"/>
  <c r="GH326" i="77"/>
  <c r="GG326"/>
  <c r="GM340"/>
  <c r="U340" i="72" s="1"/>
  <c r="GH340" i="77"/>
  <c r="GG340"/>
  <c r="GM306"/>
  <c r="U306" i="72" s="1"/>
  <c r="GH306" i="77"/>
  <c r="GG306"/>
  <c r="GN102"/>
  <c r="GO102"/>
  <c r="GO163"/>
  <c r="GN163"/>
  <c r="GO140"/>
  <c r="GN140"/>
  <c r="GN117"/>
  <c r="GO117"/>
  <c r="GN180"/>
  <c r="GO180"/>
  <c r="GO132"/>
  <c r="GN132"/>
  <c r="GO139"/>
  <c r="GN139"/>
  <c r="GO310"/>
  <c r="W310" i="72" s="1"/>
  <c r="GN310" i="77"/>
  <c r="V310" i="72" s="1"/>
  <c r="GN199" i="77"/>
  <c r="GO199"/>
  <c r="FJ161"/>
  <c r="FD161"/>
  <c r="FK161" s="1"/>
  <c r="FE161"/>
  <c r="FL161" s="1"/>
  <c r="FJ104"/>
  <c r="FE104"/>
  <c r="FL104" s="1"/>
  <c r="FD104"/>
  <c r="FK104" s="1"/>
  <c r="FK31"/>
  <c r="FL31"/>
  <c r="FL261"/>
  <c r="FK261"/>
  <c r="FK184"/>
  <c r="FL184"/>
  <c r="FK11"/>
  <c r="FL11"/>
  <c r="FK13"/>
  <c r="FL13"/>
  <c r="FK132"/>
  <c r="FL132"/>
  <c r="AS412"/>
  <c r="AZ412" s="1"/>
  <c r="AR412"/>
  <c r="AS371"/>
  <c r="AR371"/>
  <c r="AR338"/>
  <c r="AS338"/>
  <c r="AS333"/>
  <c r="AR333"/>
  <c r="AR198"/>
  <c r="AY198" s="1"/>
  <c r="AS198"/>
  <c r="AZ198" s="1"/>
  <c r="AX198"/>
  <c r="AS201"/>
  <c r="AR201"/>
  <c r="AS210"/>
  <c r="AR210"/>
  <c r="AS179"/>
  <c r="AR179"/>
  <c r="AR176"/>
  <c r="AS176"/>
  <c r="AS175"/>
  <c r="AR175"/>
  <c r="AR18"/>
  <c r="AS18"/>
  <c r="AZ421"/>
  <c r="AY421"/>
  <c r="EG348"/>
  <c r="U348" i="70" s="1"/>
  <c r="EB348" i="77"/>
  <c r="EA348"/>
  <c r="EG299"/>
  <c r="U299" i="70" s="1"/>
  <c r="EB299" i="77"/>
  <c r="EA299"/>
  <c r="EG214"/>
  <c r="EB214"/>
  <c r="EI214" s="1"/>
  <c r="EA214"/>
  <c r="EH214" s="1"/>
  <c r="EA192"/>
  <c r="EH192" s="1"/>
  <c r="EB192"/>
  <c r="EI192" s="1"/>
  <c r="EG192"/>
  <c r="EA172"/>
  <c r="EH172" s="1"/>
  <c r="EB172"/>
  <c r="EI172" s="1"/>
  <c r="EG172"/>
  <c r="EA91"/>
  <c r="EH91" s="1"/>
  <c r="EB91"/>
  <c r="EI91" s="1"/>
  <c r="EG91"/>
  <c r="EG163"/>
  <c r="EA163"/>
  <c r="EH163" s="1"/>
  <c r="EB163"/>
  <c r="EI163" s="1"/>
  <c r="EG181"/>
  <c r="EA181"/>
  <c r="EH181" s="1"/>
  <c r="EB181"/>
  <c r="EI181" s="1"/>
  <c r="EG143"/>
  <c r="EA143"/>
  <c r="EH143" s="1"/>
  <c r="EB143"/>
  <c r="EI143" s="1"/>
  <c r="EA31"/>
  <c r="EB31"/>
  <c r="EI391"/>
  <c r="EH391"/>
  <c r="IN335"/>
  <c r="IM335"/>
  <c r="IS335"/>
  <c r="U335" i="74" s="1"/>
  <c r="IM15" i="77"/>
  <c r="IN15"/>
  <c r="IT109"/>
  <c r="IU109"/>
  <c r="BU241"/>
  <c r="CB241" s="1"/>
  <c r="CA241"/>
  <c r="BV241"/>
  <c r="CC241" s="1"/>
  <c r="BU176"/>
  <c r="BV176"/>
  <c r="BV168"/>
  <c r="BU168"/>
  <c r="BV186"/>
  <c r="CC186" s="1"/>
  <c r="BU186"/>
  <c r="CB186" s="1"/>
  <c r="CA186"/>
  <c r="BV61"/>
  <c r="BU61"/>
  <c r="CB306"/>
  <c r="V306" i="68" s="1"/>
  <c r="CC306" i="77"/>
  <c r="W306" i="68" s="1"/>
  <c r="CC124" i="77"/>
  <c r="CB124"/>
  <c r="CB175"/>
  <c r="CD175" s="1"/>
  <c r="CC175"/>
  <c r="CC123"/>
  <c r="CB123"/>
  <c r="CC461"/>
  <c r="CB461"/>
  <c r="CB371"/>
  <c r="CC371"/>
  <c r="CA371"/>
  <c r="GH317"/>
  <c r="P317" i="72" s="1"/>
  <c r="GG317" i="77"/>
  <c r="O317" i="72" s="1"/>
  <c r="GG261" i="77"/>
  <c r="GN261" s="1"/>
  <c r="GH261"/>
  <c r="GO261" s="1"/>
  <c r="GM261"/>
  <c r="GO114"/>
  <c r="GN114"/>
  <c r="GN166"/>
  <c r="GO166"/>
  <c r="GO157"/>
  <c r="GN157"/>
  <c r="GM157"/>
  <c r="GN391"/>
  <c r="GO391"/>
  <c r="GN371"/>
  <c r="GO371"/>
  <c r="FD211"/>
  <c r="FK211" s="1"/>
  <c r="FJ211"/>
  <c r="FE211"/>
  <c r="FL211" s="1"/>
  <c r="FJ174"/>
  <c r="FE174"/>
  <c r="FL174" s="1"/>
  <c r="FD174"/>
  <c r="FK174" s="1"/>
  <c r="FK118"/>
  <c r="FL118"/>
  <c r="FK166"/>
  <c r="FL166"/>
  <c r="FJ166"/>
  <c r="FK317"/>
  <c r="V317" i="71" s="1"/>
  <c r="FL317" i="77"/>
  <c r="W317" i="71" s="1"/>
  <c r="FL381" i="77"/>
  <c r="FK381"/>
  <c r="FL316"/>
  <c r="W316" i="71" s="1"/>
  <c r="FK316" i="77"/>
  <c r="V316" i="71" s="1"/>
  <c r="AR231" i="77"/>
  <c r="AS231"/>
  <c r="AS182"/>
  <c r="AR182"/>
  <c r="AY339"/>
  <c r="V339" i="65" s="1"/>
  <c r="AZ339" i="77"/>
  <c r="W339" i="65" s="1"/>
  <c r="AY328" i="77"/>
  <c r="V328" i="65" s="1"/>
  <c r="AZ328" i="77"/>
  <c r="W328" i="65" s="1"/>
  <c r="AY317" i="77"/>
  <c r="V317" i="65" s="1"/>
  <c r="AZ317" i="77"/>
  <c r="W317" i="65" s="1"/>
  <c r="AX317" i="77"/>
  <c r="U317" i="65" s="1"/>
  <c r="AZ107" i="77"/>
  <c r="AY107"/>
  <c r="AX107"/>
  <c r="AY211"/>
  <c r="AZ211"/>
  <c r="EI342"/>
  <c r="W342" i="70" s="1"/>
  <c r="EH342" i="77"/>
  <c r="V342" i="70" s="1"/>
  <c r="EG342" i="77"/>
  <c r="U342" i="70" s="1"/>
  <c r="IR145" i="77"/>
  <c r="IS145" s="1"/>
  <c r="IU172"/>
  <c r="IT172"/>
  <c r="IU140"/>
  <c r="IT140"/>
  <c r="FP216"/>
  <c r="FS216" s="1"/>
  <c r="FO216"/>
  <c r="GM343"/>
  <c r="U343" i="72" s="1"/>
  <c r="GH343" i="77"/>
  <c r="GG343"/>
  <c r="GM342"/>
  <c r="U342" i="72" s="1"/>
  <c r="GH342" i="77"/>
  <c r="GG342"/>
  <c r="GM309"/>
  <c r="U309" i="72" s="1"/>
  <c r="GH309" i="77"/>
  <c r="GG309"/>
  <c r="GH16"/>
  <c r="GG16"/>
  <c r="GM21"/>
  <c r="GH21"/>
  <c r="GO21" s="1"/>
  <c r="GG21"/>
  <c r="GN21" s="1"/>
  <c r="GO128"/>
  <c r="GN128"/>
  <c r="GM128"/>
  <c r="GN133"/>
  <c r="GO133"/>
  <c r="GM133"/>
  <c r="GO191"/>
  <c r="GN191"/>
  <c r="GM191"/>
  <c r="DM41"/>
  <c r="FS199"/>
  <c r="BZ81"/>
  <c r="CA81" s="1"/>
  <c r="CD326"/>
  <c r="X326" i="68" s="1"/>
  <c r="CD333" i="77"/>
  <c r="X333" i="68" s="1"/>
  <c r="CD12" i="77"/>
  <c r="CD118"/>
  <c r="CD11"/>
  <c r="CD13"/>
  <c r="CD125"/>
  <c r="GL13"/>
  <c r="GM31"/>
  <c r="GP31" s="1"/>
  <c r="GS31" s="1"/>
  <c r="GM135"/>
  <c r="GP135" s="1"/>
  <c r="GS135" s="1"/>
  <c r="GM144"/>
  <c r="GP144" s="1"/>
  <c r="GS144" s="1"/>
  <c r="GM316"/>
  <c r="FJ147"/>
  <c r="FJ330"/>
  <c r="FJ325"/>
  <c r="FM101"/>
  <c r="FJ117"/>
  <c r="FM117" s="1"/>
  <c r="FJ214"/>
  <c r="FJ106"/>
  <c r="FM106" s="1"/>
  <c r="FJ139"/>
  <c r="FJ461"/>
  <c r="FM461" s="1"/>
  <c r="FM185"/>
  <c r="FJ142"/>
  <c r="FM142" s="1"/>
  <c r="FJ415"/>
  <c r="FM415" s="1"/>
  <c r="AW413"/>
  <c r="AX413" s="1"/>
  <c r="AW180"/>
  <c r="AX180" s="1"/>
  <c r="AX151"/>
  <c r="AW115"/>
  <c r="BA324"/>
  <c r="X324" i="65" s="1"/>
  <c r="BA138" i="77"/>
  <c r="BA126"/>
  <c r="BA16"/>
  <c r="BA161"/>
  <c r="BA219"/>
  <c r="EF126"/>
  <c r="EG126" s="1"/>
  <c r="EJ332"/>
  <c r="X332" i="70" s="1"/>
  <c r="EJ11" i="77"/>
  <c r="EJ129"/>
  <c r="EJ125"/>
  <c r="EJ61"/>
  <c r="EJ175"/>
  <c r="IV130"/>
  <c r="IY130" s="1"/>
  <c r="IV176"/>
  <c r="BZ151"/>
  <c r="BZ166"/>
  <c r="CA166" s="1"/>
  <c r="EF31"/>
  <c r="EG31" s="1"/>
  <c r="BZ417"/>
  <c r="CA417" s="1"/>
  <c r="BZ103"/>
  <c r="CA103" s="1"/>
  <c r="BZ21"/>
  <c r="CA21" s="1"/>
  <c r="CD327"/>
  <c r="X327" i="68" s="1"/>
  <c r="CD332" i="77"/>
  <c r="X332" i="68" s="1"/>
  <c r="GP126" i="77"/>
  <c r="GP109"/>
  <c r="GS109" s="1"/>
  <c r="GP91"/>
  <c r="GS91" s="1"/>
  <c r="FM332"/>
  <c r="FO332" s="1"/>
  <c r="Z332" i="71" s="1"/>
  <c r="FM165" i="77"/>
  <c r="FM241"/>
  <c r="AW261"/>
  <c r="AX261" s="1"/>
  <c r="AW165"/>
  <c r="AW189"/>
  <c r="AX141"/>
  <c r="AW101"/>
  <c r="AX101" s="1"/>
  <c r="EG182"/>
  <c r="EJ415"/>
  <c r="IR159"/>
  <c r="IS159" s="1"/>
  <c r="BU415"/>
  <c r="BV415"/>
  <c r="CA361"/>
  <c r="BV361"/>
  <c r="CC361" s="1"/>
  <c r="BU361"/>
  <c r="CB361" s="1"/>
  <c r="BV317"/>
  <c r="P317" i="68" s="1"/>
  <c r="BU317" i="77"/>
  <c r="O317" i="68" s="1"/>
  <c r="BU169" i="77"/>
  <c r="CB169" s="1"/>
  <c r="BV169"/>
  <c r="CC169" s="1"/>
  <c r="BU167"/>
  <c r="CB167" s="1"/>
  <c r="BV167"/>
  <c r="CC167" s="1"/>
  <c r="CA167"/>
  <c r="BV51"/>
  <c r="CC51" s="1"/>
  <c r="CA51"/>
  <c r="BU51"/>
  <c r="CB51" s="1"/>
  <c r="BV132"/>
  <c r="CC132" s="1"/>
  <c r="BU132"/>
  <c r="CB132" s="1"/>
  <c r="CA132"/>
  <c r="BV113"/>
  <c r="BU113"/>
  <c r="CC328"/>
  <c r="W328" i="68" s="1"/>
  <c r="CB328" i="77"/>
  <c r="V328" i="68" s="1"/>
  <c r="CC330" i="77"/>
  <c r="W330" i="68" s="1"/>
  <c r="CB330" i="77"/>
  <c r="V330" i="68" s="1"/>
  <c r="CB339" i="77"/>
  <c r="V339" i="68" s="1"/>
  <c r="CC339" i="77"/>
  <c r="W339" i="68" s="1"/>
  <c r="CB117" i="77"/>
  <c r="CC117"/>
  <c r="CB147"/>
  <c r="CC147"/>
  <c r="CC101"/>
  <c r="CB101"/>
  <c r="CC134"/>
  <c r="CB134"/>
  <c r="CC136"/>
  <c r="CB136"/>
  <c r="GG13"/>
  <c r="GM13"/>
  <c r="GH13"/>
  <c r="GO13" s="1"/>
  <c r="GN146"/>
  <c r="GO146"/>
  <c r="GO215"/>
  <c r="GN215"/>
  <c r="FE194"/>
  <c r="FL194" s="1"/>
  <c r="FD194"/>
  <c r="FK194" s="1"/>
  <c r="FE140"/>
  <c r="FL140" s="1"/>
  <c r="FD140"/>
  <c r="FK140" s="1"/>
  <c r="FJ140"/>
  <c r="FE81"/>
  <c r="FL81" s="1"/>
  <c r="FD81"/>
  <c r="FK81" s="1"/>
  <c r="FL343"/>
  <c r="W343" i="71" s="1"/>
  <c r="FK343" i="77"/>
  <c r="V343" i="71" s="1"/>
  <c r="FK333" i="77"/>
  <c r="V333" i="71" s="1"/>
  <c r="FL333" i="77"/>
  <c r="W333" i="71" s="1"/>
  <c r="FL348" i="77"/>
  <c r="W348" i="71" s="1"/>
  <c r="FK348" i="77"/>
  <c r="V348" i="71" s="1"/>
  <c r="FK306" i="77"/>
  <c r="V306" i="71" s="1"/>
  <c r="FL306" i="77"/>
  <c r="W306" i="71" s="1"/>
  <c r="FL133" i="77"/>
  <c r="FK133"/>
  <c r="FK192"/>
  <c r="FL192"/>
  <c r="FL16"/>
  <c r="FK16"/>
  <c r="FL61"/>
  <c r="FK61"/>
  <c r="FK169"/>
  <c r="FL169"/>
  <c r="FK441"/>
  <c r="FL441"/>
  <c r="FK218"/>
  <c r="FL218"/>
  <c r="FL219"/>
  <c r="FK219"/>
  <c r="AZ309"/>
  <c r="W309" i="65" s="1"/>
  <c r="AY309" i="77"/>
  <c r="V309" i="65" s="1"/>
  <c r="AS61" i="77"/>
  <c r="AR61"/>
  <c r="AZ340"/>
  <c r="W340" i="65" s="1"/>
  <c r="AY340" i="77"/>
  <c r="V340" i="65" s="1"/>
  <c r="AY17" i="77"/>
  <c r="AZ17"/>
  <c r="AZ112"/>
  <c r="AY112"/>
  <c r="AY131"/>
  <c r="AZ131"/>
  <c r="AY160"/>
  <c r="AZ160"/>
  <c r="AZ169"/>
  <c r="AY169"/>
  <c r="EB381"/>
  <c r="EI381" s="1"/>
  <c r="EG381"/>
  <c r="EA381"/>
  <c r="EH381" s="1"/>
  <c r="EA188"/>
  <c r="EB188"/>
  <c r="EG218"/>
  <c r="EB218"/>
  <c r="EI218" s="1"/>
  <c r="EA218"/>
  <c r="EH218" s="1"/>
  <c r="EB123"/>
  <c r="EA123"/>
  <c r="EH335"/>
  <c r="V335" i="70" s="1"/>
  <c r="EI335" i="77"/>
  <c r="W335" i="70" s="1"/>
  <c r="EI306" i="77"/>
  <c r="W306" i="70" s="1"/>
  <c r="EH306" i="77"/>
  <c r="V306" i="70" s="1"/>
  <c r="EI343" i="77"/>
  <c r="W343" i="70" s="1"/>
  <c r="EH343" i="77"/>
  <c r="V343" i="70" s="1"/>
  <c r="EI138" i="77"/>
  <c r="EH138"/>
  <c r="EH196"/>
  <c r="EI196"/>
  <c r="EH146"/>
  <c r="EI146"/>
  <c r="EH251"/>
  <c r="EI251"/>
  <c r="EI187"/>
  <c r="EH187"/>
  <c r="IM13"/>
  <c r="IT13" s="1"/>
  <c r="IS13"/>
  <c r="IN13"/>
  <c r="IU13" s="1"/>
  <c r="IU135"/>
  <c r="IT135"/>
  <c r="IT174"/>
  <c r="IU174"/>
  <c r="IU191"/>
  <c r="IT191"/>
  <c r="IT128"/>
  <c r="IU128"/>
  <c r="BU416"/>
  <c r="CB416" s="1"/>
  <c r="BV416"/>
  <c r="CC416" s="1"/>
  <c r="CA416"/>
  <c r="BU219"/>
  <c r="CB219" s="1"/>
  <c r="BV219"/>
  <c r="CC219" s="1"/>
  <c r="CA219"/>
  <c r="CA142"/>
  <c r="BV142"/>
  <c r="CC142" s="1"/>
  <c r="BU142"/>
  <c r="CB335"/>
  <c r="V335" i="68" s="1"/>
  <c r="CC335" i="77"/>
  <c r="W335" i="68" s="1"/>
  <c r="BU31" i="77"/>
  <c r="CB31" s="1"/>
  <c r="BV31"/>
  <c r="CC31" s="1"/>
  <c r="CA31"/>
  <c r="CB231"/>
  <c r="CC231"/>
  <c r="GN177"/>
  <c r="GO177"/>
  <c r="GM177"/>
  <c r="GS100"/>
  <c r="GR100"/>
  <c r="GO159"/>
  <c r="GN159"/>
  <c r="FK137"/>
  <c r="FL137"/>
  <c r="FJ137"/>
  <c r="FL178"/>
  <c r="FK178"/>
  <c r="AS461"/>
  <c r="AR461"/>
  <c r="AS291"/>
  <c r="AZ291" s="1"/>
  <c r="AR291"/>
  <c r="AY291" s="1"/>
  <c r="AR187"/>
  <c r="AS187"/>
  <c r="AR195"/>
  <c r="AY195" s="1"/>
  <c r="AS195"/>
  <c r="AZ195" s="1"/>
  <c r="AX195"/>
  <c r="AR181"/>
  <c r="AY181" s="1"/>
  <c r="AS181"/>
  <c r="AX181"/>
  <c r="AR149"/>
  <c r="AY149" s="1"/>
  <c r="AS149"/>
  <c r="AZ149" s="1"/>
  <c r="AX149"/>
  <c r="AR153"/>
  <c r="AS153"/>
  <c r="AS141"/>
  <c r="AR141"/>
  <c r="AY141" s="1"/>
  <c r="AY167"/>
  <c r="AZ167"/>
  <c r="AY109"/>
  <c r="AZ109"/>
  <c r="BA109" s="1"/>
  <c r="AY197"/>
  <c r="AZ197"/>
  <c r="AX197"/>
  <c r="AZ218"/>
  <c r="AY218"/>
  <c r="EA309"/>
  <c r="EG309"/>
  <c r="U309" i="70" s="1"/>
  <c r="EB309" i="77"/>
  <c r="EA216"/>
  <c r="EH216" s="1"/>
  <c r="EG216"/>
  <c r="EB216"/>
  <c r="EI216" s="1"/>
  <c r="EA182"/>
  <c r="EH182" s="1"/>
  <c r="EB182"/>
  <c r="EI182" s="1"/>
  <c r="EA189"/>
  <c r="EH189" s="1"/>
  <c r="EG189"/>
  <c r="EB189"/>
  <c r="EI189" s="1"/>
  <c r="EA41"/>
  <c r="EH41" s="1"/>
  <c r="EB41"/>
  <c r="EI41" s="1"/>
  <c r="EG19"/>
  <c r="EB19"/>
  <c r="EI19" s="1"/>
  <c r="EA19"/>
  <c r="EH19" s="1"/>
  <c r="EH151"/>
  <c r="EI151"/>
  <c r="EG151"/>
  <c r="IU31"/>
  <c r="IT31"/>
  <c r="IT134"/>
  <c r="IU134"/>
  <c r="IT251"/>
  <c r="IU251"/>
  <c r="IU107"/>
  <c r="IT107"/>
  <c r="IT165"/>
  <c r="IU165"/>
  <c r="IS165"/>
  <c r="IT183"/>
  <c r="IU183"/>
  <c r="BV310"/>
  <c r="CA310"/>
  <c r="U310" i="68" s="1"/>
  <c r="BU310" i="77"/>
  <c r="BU177"/>
  <c r="CB177" s="1"/>
  <c r="BV177"/>
  <c r="CC177" s="1"/>
  <c r="CA177"/>
  <c r="BV104"/>
  <c r="BU104"/>
  <c r="BU162"/>
  <c r="BV162"/>
  <c r="CB193"/>
  <c r="CC193"/>
  <c r="CA193"/>
  <c r="GO170"/>
  <c r="GN170"/>
  <c r="GM170"/>
  <c r="FL136"/>
  <c r="FK136"/>
  <c r="FJ136"/>
  <c r="CC81"/>
  <c r="GP140"/>
  <c r="GS140" s="1"/>
  <c r="GP180"/>
  <c r="GP139"/>
  <c r="GS139" s="1"/>
  <c r="GP310"/>
  <c r="GP199"/>
  <c r="GS199" s="1"/>
  <c r="FM11"/>
  <c r="FM13"/>
  <c r="CD306"/>
  <c r="X306" i="68" s="1"/>
  <c r="CD124" i="77"/>
  <c r="CD461"/>
  <c r="FM381"/>
  <c r="FP381" s="1"/>
  <c r="BA339"/>
  <c r="X339" i="65" s="1"/>
  <c r="BV308" i="77"/>
  <c r="BU308"/>
  <c r="CA308"/>
  <c r="U308" i="68" s="1"/>
  <c r="BV281" i="77"/>
  <c r="CC281" s="1"/>
  <c r="BU281"/>
  <c r="CB281" s="1"/>
  <c r="BU217"/>
  <c r="CB217" s="1"/>
  <c r="BV217"/>
  <c r="CC217" s="1"/>
  <c r="BU174"/>
  <c r="CB174" s="1"/>
  <c r="BV174"/>
  <c r="CC174" s="1"/>
  <c r="BU148"/>
  <c r="CB148" s="1"/>
  <c r="BV148"/>
  <c r="CC148" s="1"/>
  <c r="CA148"/>
  <c r="BU166"/>
  <c r="BV166"/>
  <c r="CC300"/>
  <c r="W300" i="68" s="1"/>
  <c r="CB300" i="77"/>
  <c r="V300" i="68" s="1"/>
  <c r="CB412" i="77"/>
  <c r="CC412"/>
  <c r="GM337"/>
  <c r="U337" i="72" s="1"/>
  <c r="GH337" i="77"/>
  <c r="GG337"/>
  <c r="GM332"/>
  <c r="U332" i="72" s="1"/>
  <c r="GH332" i="77"/>
  <c r="GG332"/>
  <c r="GH299"/>
  <c r="GG299"/>
  <c r="GM299"/>
  <c r="U299" i="72" s="1"/>
  <c r="GM122" i="77"/>
  <c r="GH122"/>
  <c r="GO122" s="1"/>
  <c r="GG122"/>
  <c r="GN122" s="1"/>
  <c r="GO110"/>
  <c r="GN110"/>
  <c r="GO61"/>
  <c r="GN61"/>
  <c r="GO119"/>
  <c r="GN119"/>
  <c r="GO107"/>
  <c r="GN107"/>
  <c r="GN173"/>
  <c r="GO173"/>
  <c r="GO171"/>
  <c r="GN171"/>
  <c r="GN165"/>
  <c r="GO165"/>
  <c r="GO153"/>
  <c r="GN153"/>
  <c r="GN104"/>
  <c r="GO104"/>
  <c r="FL141"/>
  <c r="FK141"/>
  <c r="FL191"/>
  <c r="FK191"/>
  <c r="FL310"/>
  <c r="W310" i="71" s="1"/>
  <c r="FK310" i="77"/>
  <c r="V310" i="71" s="1"/>
  <c r="FL138" i="77"/>
  <c r="FK138"/>
  <c r="AS221"/>
  <c r="AR221"/>
  <c r="AY221" s="1"/>
  <c r="AR180"/>
  <c r="AS180"/>
  <c r="AR146"/>
  <c r="AY146" s="1"/>
  <c r="AX146"/>
  <c r="AS146"/>
  <c r="AZ146" s="1"/>
  <c r="AS118"/>
  <c r="AR118"/>
  <c r="AY118" s="1"/>
  <c r="AX118"/>
  <c r="AS147"/>
  <c r="AZ147" s="1"/>
  <c r="AR147"/>
  <c r="AY147" s="1"/>
  <c r="AX147"/>
  <c r="AS130"/>
  <c r="AZ130" s="1"/>
  <c r="AR130"/>
  <c r="AY130" s="1"/>
  <c r="AX130"/>
  <c r="AS115"/>
  <c r="AZ115" s="1"/>
  <c r="AR115"/>
  <c r="AX115"/>
  <c r="AZ135"/>
  <c r="AY135"/>
  <c r="AY178"/>
  <c r="AZ178"/>
  <c r="EA401"/>
  <c r="EH401" s="1"/>
  <c r="EG401"/>
  <c r="EB401"/>
  <c r="EI401" s="1"/>
  <c r="EG328"/>
  <c r="U328" i="70" s="1"/>
  <c r="EB328" i="77"/>
  <c r="EA328"/>
  <c r="EB210"/>
  <c r="EI210" s="1"/>
  <c r="EA210"/>
  <c r="EH210" s="1"/>
  <c r="EG210"/>
  <c r="EA194"/>
  <c r="EH194" s="1"/>
  <c r="EB194"/>
  <c r="EI194" s="1"/>
  <c r="EG194"/>
  <c r="EA153"/>
  <c r="EH153" s="1"/>
  <c r="EB153"/>
  <c r="EI153" s="1"/>
  <c r="EB126"/>
  <c r="EI126" s="1"/>
  <c r="EA126"/>
  <c r="EG107"/>
  <c r="EB107"/>
  <c r="EI107" s="1"/>
  <c r="EA107"/>
  <c r="EH107" s="1"/>
  <c r="EH112"/>
  <c r="EI112"/>
  <c r="EG111"/>
  <c r="EB111"/>
  <c r="EI111" s="1"/>
  <c r="EA111"/>
  <c r="EH111" s="1"/>
  <c r="EH103"/>
  <c r="EI103"/>
  <c r="IN216"/>
  <c r="IU216" s="1"/>
  <c r="IM216"/>
  <c r="IT216" s="1"/>
  <c r="IS216"/>
  <c r="BV417"/>
  <c r="BU417"/>
  <c r="CB417" s="1"/>
  <c r="BV309"/>
  <c r="BU309"/>
  <c r="CA309"/>
  <c r="U309" i="68" s="1"/>
  <c r="BV194" i="77"/>
  <c r="CC194" s="1"/>
  <c r="CA194"/>
  <c r="BU194"/>
  <c r="CB194" s="1"/>
  <c r="BU192"/>
  <c r="CB192" s="1"/>
  <c r="BV192"/>
  <c r="CC192" s="1"/>
  <c r="CA192"/>
  <c r="BV150"/>
  <c r="CC150" s="1"/>
  <c r="BU150"/>
  <c r="CB150" s="1"/>
  <c r="CA150"/>
  <c r="BV151"/>
  <c r="CC151" s="1"/>
  <c r="BU151"/>
  <c r="CB151" s="1"/>
  <c r="CA151"/>
  <c r="CC325"/>
  <c r="W325" i="68" s="1"/>
  <c r="CB325" i="77"/>
  <c r="V325" i="68" s="1"/>
  <c r="CC348" i="77"/>
  <c r="W348" i="68" s="1"/>
  <c r="CB348" i="77"/>
  <c r="V348" i="68" s="1"/>
  <c r="CC135" i="77"/>
  <c r="CB135"/>
  <c r="CA135"/>
  <c r="GH101"/>
  <c r="GO101" s="1"/>
  <c r="GG101"/>
  <c r="GN101" s="1"/>
  <c r="GN131"/>
  <c r="GO131"/>
  <c r="GN196"/>
  <c r="GO196"/>
  <c r="GM196"/>
  <c r="GO251"/>
  <c r="GN251"/>
  <c r="GO124"/>
  <c r="GN124"/>
  <c r="FE148"/>
  <c r="FL148" s="1"/>
  <c r="FD148"/>
  <c r="FK148" s="1"/>
  <c r="FJ148"/>
  <c r="FK111"/>
  <c r="FL111"/>
  <c r="FK176"/>
  <c r="FL176"/>
  <c r="FJ176"/>
  <c r="FK210"/>
  <c r="FL210"/>
  <c r="FJ210"/>
  <c r="AY108"/>
  <c r="AZ108"/>
  <c r="AY132"/>
  <c r="AZ132"/>
  <c r="AZ143"/>
  <c r="AY143"/>
  <c r="AX143"/>
  <c r="EA441"/>
  <c r="EH441" s="1"/>
  <c r="EB441"/>
  <c r="EI441" s="1"/>
  <c r="EG441"/>
  <c r="EG303"/>
  <c r="U303" i="70" s="1"/>
  <c r="EB303" i="77"/>
  <c r="EA303"/>
  <c r="EB198"/>
  <c r="EI198" s="1"/>
  <c r="EG198"/>
  <c r="EA198"/>
  <c r="EH198" s="1"/>
  <c r="EA155"/>
  <c r="EH155" s="1"/>
  <c r="EB155"/>
  <c r="EI155" s="1"/>
  <c r="EB139"/>
  <c r="EA139"/>
  <c r="EA158"/>
  <c r="EH158" s="1"/>
  <c r="EB158"/>
  <c r="EI158" s="1"/>
  <c r="EB114"/>
  <c r="EI114" s="1"/>
  <c r="EA114"/>
  <c r="EH114" s="1"/>
  <c r="EG114"/>
  <c r="EB168"/>
  <c r="EI168" s="1"/>
  <c r="EA168"/>
  <c r="EH168" s="1"/>
  <c r="EH191"/>
  <c r="EI191"/>
  <c r="EG191"/>
  <c r="EH183"/>
  <c r="EI183"/>
  <c r="IT116"/>
  <c r="IU116"/>
  <c r="IT21"/>
  <c r="IU21"/>
  <c r="CA314"/>
  <c r="U314" i="68" s="1"/>
  <c r="BV314" i="77"/>
  <c r="BU314"/>
  <c r="BU198"/>
  <c r="BV198"/>
  <c r="GN116"/>
  <c r="GO116"/>
  <c r="GM116"/>
  <c r="GN216"/>
  <c r="GO216"/>
  <c r="GM216"/>
  <c r="FK102"/>
  <c r="FL102"/>
  <c r="FJ102"/>
  <c r="FL175"/>
  <c r="FK175"/>
  <c r="FJ175"/>
  <c r="BZ415"/>
  <c r="CA415" s="1"/>
  <c r="BZ317"/>
  <c r="BZ138"/>
  <c r="CA138" s="1"/>
  <c r="BZ120"/>
  <c r="CA120" s="1"/>
  <c r="BZ113"/>
  <c r="CA113" s="1"/>
  <c r="CA328"/>
  <c r="CA330"/>
  <c r="CA339"/>
  <c r="CA117"/>
  <c r="CA147"/>
  <c r="CA101"/>
  <c r="CD101" s="1"/>
  <c r="CA134"/>
  <c r="CA136"/>
  <c r="GM146"/>
  <c r="GP190"/>
  <c r="GS190" s="1"/>
  <c r="GM215"/>
  <c r="FJ343"/>
  <c r="FJ333"/>
  <c r="FJ348"/>
  <c r="FJ306"/>
  <c r="FJ133"/>
  <c r="FJ192"/>
  <c r="FJ16"/>
  <c r="FJ61"/>
  <c r="FM197"/>
  <c r="FJ169"/>
  <c r="FJ441"/>
  <c r="FJ218"/>
  <c r="FJ219"/>
  <c r="AW201"/>
  <c r="AX201" s="1"/>
  <c r="AW210"/>
  <c r="AX210" s="1"/>
  <c r="AW179"/>
  <c r="AX179" s="1"/>
  <c r="AW176"/>
  <c r="AX176" s="1"/>
  <c r="AW175"/>
  <c r="AX175" s="1"/>
  <c r="AW18"/>
  <c r="AY18" s="1"/>
  <c r="AX309"/>
  <c r="AW61"/>
  <c r="AX61" s="1"/>
  <c r="AX340"/>
  <c r="AX17"/>
  <c r="AX112"/>
  <c r="AX131"/>
  <c r="AX160"/>
  <c r="AX169"/>
  <c r="EF188"/>
  <c r="EG188" s="1"/>
  <c r="EF136"/>
  <c r="EG136" s="1"/>
  <c r="EF123"/>
  <c r="EG123" s="1"/>
  <c r="EG335"/>
  <c r="EG306"/>
  <c r="EG343"/>
  <c r="EG138"/>
  <c r="EG196"/>
  <c r="EG146"/>
  <c r="EG251"/>
  <c r="EG187"/>
  <c r="IS135"/>
  <c r="IV135" s="1"/>
  <c r="IY135" s="1"/>
  <c r="IS174"/>
  <c r="IS191"/>
  <c r="IS128"/>
  <c r="BZ176"/>
  <c r="CA176" s="1"/>
  <c r="BZ168"/>
  <c r="CA168" s="1"/>
  <c r="BZ184"/>
  <c r="CA184" s="1"/>
  <c r="BZ126"/>
  <c r="CA126" s="1"/>
  <c r="BZ61"/>
  <c r="CC61" s="1"/>
  <c r="BZ106"/>
  <c r="CA106" s="1"/>
  <c r="CA335"/>
  <c r="CA231"/>
  <c r="GP221"/>
  <c r="GM159"/>
  <c r="FJ178"/>
  <c r="BA104"/>
  <c r="AR183"/>
  <c r="AS183"/>
  <c r="AS122"/>
  <c r="AR122"/>
  <c r="AS111"/>
  <c r="AR111"/>
  <c r="AS41"/>
  <c r="AR41"/>
  <c r="AS110"/>
  <c r="AR110"/>
  <c r="AR119"/>
  <c r="AS119"/>
  <c r="AR91"/>
  <c r="AS91"/>
  <c r="AR13"/>
  <c r="AS13"/>
  <c r="BC81"/>
  <c r="AY128"/>
  <c r="AZ128"/>
  <c r="EB361"/>
  <c r="EI361" s="1"/>
  <c r="EA361"/>
  <c r="EH361" s="1"/>
  <c r="EG361"/>
  <c r="EG211"/>
  <c r="EB211"/>
  <c r="EI211" s="1"/>
  <c r="EA211"/>
  <c r="EH211" s="1"/>
  <c r="EA178"/>
  <c r="EH178" s="1"/>
  <c r="EB178"/>
  <c r="EI178" s="1"/>
  <c r="EG178"/>
  <c r="EG160"/>
  <c r="EA160"/>
  <c r="EH160" s="1"/>
  <c r="EB160"/>
  <c r="EI160" s="1"/>
  <c r="EB140"/>
  <c r="EI140" s="1"/>
  <c r="EG140"/>
  <c r="EA140"/>
  <c r="EH140" s="1"/>
  <c r="EA101"/>
  <c r="EH101" s="1"/>
  <c r="EG101"/>
  <c r="EB101"/>
  <c r="EI101" s="1"/>
  <c r="EA21"/>
  <c r="EH21" s="1"/>
  <c r="EG21"/>
  <c r="EB21"/>
  <c r="EI21" s="1"/>
  <c r="IT419"/>
  <c r="IU419"/>
  <c r="IN132"/>
  <c r="IU132" s="1"/>
  <c r="IM132"/>
  <c r="IT132" s="1"/>
  <c r="IS132"/>
  <c r="IT309"/>
  <c r="V309" i="74" s="1"/>
  <c r="IU309" i="77"/>
  <c r="W309" i="74" s="1"/>
  <c r="IT188" i="77"/>
  <c r="IU188"/>
  <c r="IT241"/>
  <c r="IU241"/>
  <c r="IU291"/>
  <c r="IT291"/>
  <c r="BV421"/>
  <c r="CC421" s="1"/>
  <c r="BU421"/>
  <c r="CB421" s="1"/>
  <c r="BV251"/>
  <c r="CC251" s="1"/>
  <c r="CA251"/>
  <c r="BU251"/>
  <c r="CB251" s="1"/>
  <c r="CA218"/>
  <c r="BV218"/>
  <c r="CC218" s="1"/>
  <c r="BU218"/>
  <c r="CB218" s="1"/>
  <c r="BU165"/>
  <c r="CB165" s="1"/>
  <c r="BV165"/>
  <c r="CC165" s="1"/>
  <c r="CA165"/>
  <c r="BU154"/>
  <c r="CB154" s="1"/>
  <c r="BV154"/>
  <c r="CC154" s="1"/>
  <c r="CA154"/>
  <c r="BV108"/>
  <c r="BU108"/>
  <c r="BV128"/>
  <c r="CC128" s="1"/>
  <c r="BU128"/>
  <c r="CB128" s="1"/>
  <c r="CA128"/>
  <c r="CC146"/>
  <c r="CB146"/>
  <c r="CG158"/>
  <c r="CF158"/>
  <c r="CF291"/>
  <c r="CG291"/>
  <c r="CC143"/>
  <c r="CB143"/>
  <c r="CC141"/>
  <c r="CB141"/>
  <c r="GM324"/>
  <c r="U324" i="72" s="1"/>
  <c r="GH324" i="77"/>
  <c r="GG324"/>
  <c r="GM300"/>
  <c r="U300" i="72" s="1"/>
  <c r="GH300" i="77"/>
  <c r="GG300"/>
  <c r="GN308"/>
  <c r="V308" i="72" s="1"/>
  <c r="GO308" i="77"/>
  <c r="W308" i="72" s="1"/>
  <c r="GN113" i="77"/>
  <c r="GO113"/>
  <c r="GN214"/>
  <c r="GO214"/>
  <c r="GN195"/>
  <c r="GO195"/>
  <c r="GN184"/>
  <c r="GO184"/>
  <c r="GN179"/>
  <c r="GO179"/>
  <c r="GS189"/>
  <c r="GR189"/>
  <c r="FE177"/>
  <c r="FL177" s="1"/>
  <c r="FJ177"/>
  <c r="FD177"/>
  <c r="FK177" s="1"/>
  <c r="FE112"/>
  <c r="FD112"/>
  <c r="FL340"/>
  <c r="W340" i="71" s="1"/>
  <c r="FK340" i="77"/>
  <c r="V340" i="71" s="1"/>
  <c r="FK108" i="77"/>
  <c r="FL108"/>
  <c r="FL144"/>
  <c r="FK144"/>
  <c r="FK19"/>
  <c r="FL19"/>
  <c r="FL130"/>
  <c r="FK130"/>
  <c r="FK121"/>
  <c r="FL121"/>
  <c r="FL189"/>
  <c r="FK189"/>
  <c r="FK371"/>
  <c r="FL371"/>
  <c r="AS170"/>
  <c r="AR170"/>
  <c r="AY308"/>
  <c r="V308" i="65" s="1"/>
  <c r="AZ308" i="77"/>
  <c r="W308" i="65" s="1"/>
  <c r="AY125" i="77"/>
  <c r="AZ125"/>
  <c r="AZ121"/>
  <c r="AY121"/>
  <c r="AZ106"/>
  <c r="AY106"/>
  <c r="AZ163"/>
  <c r="AY163"/>
  <c r="AZ172"/>
  <c r="AY172"/>
  <c r="EG339"/>
  <c r="U339" i="70" s="1"/>
  <c r="EB339" i="77"/>
  <c r="EA339"/>
  <c r="EG326"/>
  <c r="U326" i="70" s="1"/>
  <c r="EB326" i="77"/>
  <c r="EA326"/>
  <c r="EA219"/>
  <c r="EH219" s="1"/>
  <c r="EB219"/>
  <c r="EI219" s="1"/>
  <c r="EA186"/>
  <c r="EH186" s="1"/>
  <c r="EB186"/>
  <c r="EI186" s="1"/>
  <c r="EG186"/>
  <c r="EB179"/>
  <c r="EI179" s="1"/>
  <c r="EG179"/>
  <c r="EA179"/>
  <c r="EH179" s="1"/>
  <c r="EA164"/>
  <c r="EB164"/>
  <c r="EA142"/>
  <c r="EH142" s="1"/>
  <c r="EG142"/>
  <c r="EB142"/>
  <c r="EI142" s="1"/>
  <c r="EI344"/>
  <c r="W344" i="70" s="1"/>
  <c r="EH344" i="77"/>
  <c r="V344" i="70" s="1"/>
  <c r="EM81" i="77"/>
  <c r="EL81"/>
  <c r="EH17"/>
  <c r="EI17"/>
  <c r="EI145"/>
  <c r="EH145"/>
  <c r="EI148"/>
  <c r="EH148"/>
  <c r="IN167"/>
  <c r="IU167" s="1"/>
  <c r="IM167"/>
  <c r="IT167" s="1"/>
  <c r="IM17"/>
  <c r="IT17" s="1"/>
  <c r="IS17"/>
  <c r="IN17"/>
  <c r="IU17" s="1"/>
  <c r="IU310"/>
  <c r="W310" i="74" s="1"/>
  <c r="IT310" i="77"/>
  <c r="V310" i="74" s="1"/>
  <c r="IX101" i="77"/>
  <c r="IU103"/>
  <c r="IT103"/>
  <c r="IU123"/>
  <c r="IT123"/>
  <c r="IU218"/>
  <c r="IT218"/>
  <c r="IT187"/>
  <c r="IU187"/>
  <c r="IU333"/>
  <c r="W333" i="74" s="1"/>
  <c r="IT333" i="77"/>
  <c r="V333" i="74" s="1"/>
  <c r="IU217" i="77"/>
  <c r="IT217"/>
  <c r="CX314"/>
  <c r="CY314"/>
  <c r="CX308"/>
  <c r="DD308"/>
  <c r="U308" i="69" s="1"/>
  <c r="CY308" i="77"/>
  <c r="CX140"/>
  <c r="CY140"/>
  <c r="DD191"/>
  <c r="CX191"/>
  <c r="DE191" s="1"/>
  <c r="CY191"/>
  <c r="DF191" s="1"/>
  <c r="CY125"/>
  <c r="DF125" s="1"/>
  <c r="CX125"/>
  <c r="DE125" s="1"/>
  <c r="DD125"/>
  <c r="DD180"/>
  <c r="CX180"/>
  <c r="DE180" s="1"/>
  <c r="CY180"/>
  <c r="DF180" s="1"/>
  <c r="IT210"/>
  <c r="IU210"/>
  <c r="CY371"/>
  <c r="DF371" s="1"/>
  <c r="CX371"/>
  <c r="DE371" s="1"/>
  <c r="CX391"/>
  <c r="CY391"/>
  <c r="CY214"/>
  <c r="DF214" s="1"/>
  <c r="CX214"/>
  <c r="DE214" s="1"/>
  <c r="CY303"/>
  <c r="CX303"/>
  <c r="DD303"/>
  <c r="U303" i="69" s="1"/>
  <c r="CX218" i="77"/>
  <c r="DE218" s="1"/>
  <c r="CY218"/>
  <c r="DF218" s="1"/>
  <c r="CY251"/>
  <c r="DD251"/>
  <c r="CX251"/>
  <c r="DE251" s="1"/>
  <c r="CY171"/>
  <c r="DF171" s="1"/>
  <c r="DD171"/>
  <c r="CX171"/>
  <c r="DE171" s="1"/>
  <c r="DD136"/>
  <c r="CY136"/>
  <c r="DF136" s="1"/>
  <c r="CX136"/>
  <c r="DE136" s="1"/>
  <c r="CY111"/>
  <c r="DF111" s="1"/>
  <c r="CX111"/>
  <c r="DE111" s="1"/>
  <c r="DD111"/>
  <c r="CY128"/>
  <c r="DF128" s="1"/>
  <c r="CX128"/>
  <c r="DE128" s="1"/>
  <c r="DD128"/>
  <c r="CY113"/>
  <c r="DF113" s="1"/>
  <c r="CX113"/>
  <c r="DE113" s="1"/>
  <c r="DD113"/>
  <c r="DF334"/>
  <c r="W334" i="69" s="1"/>
  <c r="DE334" i="77"/>
  <c r="V334" i="69" s="1"/>
  <c r="DE115" i="77"/>
  <c r="DF115"/>
  <c r="DF177"/>
  <c r="DE177"/>
  <c r="HJ335"/>
  <c r="HP335"/>
  <c r="U335" i="73" s="1"/>
  <c r="HK335" i="77"/>
  <c r="HP371"/>
  <c r="HK371"/>
  <c r="HR371" s="1"/>
  <c r="HJ371"/>
  <c r="HQ371" s="1"/>
  <c r="HJ183"/>
  <c r="HQ183" s="1"/>
  <c r="HK183"/>
  <c r="HR183" s="1"/>
  <c r="HP183"/>
  <c r="HR309"/>
  <c r="W309" i="73" s="1"/>
  <c r="HQ309" i="77"/>
  <c r="V309" i="73" s="1"/>
  <c r="HQ121" i="77"/>
  <c r="HR121"/>
  <c r="HQ12"/>
  <c r="HR12"/>
  <c r="HQ147"/>
  <c r="HR147"/>
  <c r="HQ193"/>
  <c r="HR193"/>
  <c r="HQ197"/>
  <c r="HR197"/>
  <c r="HR180"/>
  <c r="HQ180"/>
  <c r="HQ173"/>
  <c r="HR173"/>
  <c r="HQ310"/>
  <c r="V310" i="73" s="1"/>
  <c r="HR310" i="77"/>
  <c r="W310" i="73" s="1"/>
  <c r="HR416" i="77"/>
  <c r="HQ416"/>
  <c r="IU120"/>
  <c r="IT120"/>
  <c r="IT119"/>
  <c r="IU119"/>
  <c r="IX81"/>
  <c r="IY81"/>
  <c r="IT181"/>
  <c r="IU181"/>
  <c r="IU201"/>
  <c r="IT201"/>
  <c r="DD344"/>
  <c r="U344" i="69" s="1"/>
  <c r="CY344" i="77"/>
  <c r="CX344"/>
  <c r="CX217"/>
  <c r="DE217" s="1"/>
  <c r="DD217"/>
  <c r="CY217"/>
  <c r="DF217" s="1"/>
  <c r="DD306"/>
  <c r="U306" i="69" s="1"/>
  <c r="CY306" i="77"/>
  <c r="CX306"/>
  <c r="CY175"/>
  <c r="DF175" s="1"/>
  <c r="DD175"/>
  <c r="CX175"/>
  <c r="DE175" s="1"/>
  <c r="CY150"/>
  <c r="DF150" s="1"/>
  <c r="CX150"/>
  <c r="DE150" s="1"/>
  <c r="CY114"/>
  <c r="CX114"/>
  <c r="CY130"/>
  <c r="DF130" s="1"/>
  <c r="CX130"/>
  <c r="DE130" s="1"/>
  <c r="DD130"/>
  <c r="CX117"/>
  <c r="DE117" s="1"/>
  <c r="DD117"/>
  <c r="CY117"/>
  <c r="DF117" s="1"/>
  <c r="CY104"/>
  <c r="DF104" s="1"/>
  <c r="CX104"/>
  <c r="DE104" s="1"/>
  <c r="DE333"/>
  <c r="V333" i="69" s="1"/>
  <c r="DF333" i="77"/>
  <c r="W333" i="69" s="1"/>
  <c r="DF165" i="77"/>
  <c r="DE165"/>
  <c r="DE221"/>
  <c r="DF221"/>
  <c r="DF167"/>
  <c r="DE167"/>
  <c r="DE331"/>
  <c r="V331" i="69" s="1"/>
  <c r="DF331" i="77"/>
  <c r="W331" i="69" s="1"/>
  <c r="DE185" i="77"/>
  <c r="DF185"/>
  <c r="DE241"/>
  <c r="DF241"/>
  <c r="HJ164"/>
  <c r="HQ164" s="1"/>
  <c r="HK164"/>
  <c r="HR164" s="1"/>
  <c r="HP164"/>
  <c r="HK103"/>
  <c r="HR103" s="1"/>
  <c r="HP103"/>
  <c r="HJ103"/>
  <c r="HQ103" s="1"/>
  <c r="HR337"/>
  <c r="W337" i="73" s="1"/>
  <c r="HQ337" i="77"/>
  <c r="V337" i="73" s="1"/>
  <c r="HR113" i="77"/>
  <c r="HQ113"/>
  <c r="HQ361"/>
  <c r="HR361"/>
  <c r="HR106"/>
  <c r="HQ106"/>
  <c r="HR140"/>
  <c r="HQ140"/>
  <c r="HR144"/>
  <c r="HQ144"/>
  <c r="HQ169"/>
  <c r="HR169"/>
  <c r="HR178"/>
  <c r="HQ178"/>
  <c r="HR412"/>
  <c r="HQ412"/>
  <c r="CY110"/>
  <c r="CX110"/>
  <c r="CX31"/>
  <c r="CY31"/>
  <c r="HJ175"/>
  <c r="HQ175" s="1"/>
  <c r="HK175"/>
  <c r="HR175" s="1"/>
  <c r="HP175"/>
  <c r="HQ308"/>
  <c r="V308" i="73" s="1"/>
  <c r="HR308" i="77"/>
  <c r="W308" i="73" s="1"/>
  <c r="HQ159" i="77"/>
  <c r="HR159"/>
  <c r="HR133"/>
  <c r="HQ133"/>
  <c r="HQ165"/>
  <c r="HR165"/>
  <c r="HR137"/>
  <c r="HQ137"/>
  <c r="HR261"/>
  <c r="HQ261"/>
  <c r="HQ148"/>
  <c r="HR148"/>
  <c r="HQ331"/>
  <c r="V331" i="73" s="1"/>
  <c r="HR331" i="77"/>
  <c r="W331" i="73" s="1"/>
  <c r="HQ215" i="77"/>
  <c r="HR215"/>
  <c r="HR217"/>
  <c r="HQ217"/>
  <c r="HQ413"/>
  <c r="HR413"/>
  <c r="CX415"/>
  <c r="DE415" s="1"/>
  <c r="CY415"/>
  <c r="DF415" s="1"/>
  <c r="DD330"/>
  <c r="U330" i="69" s="1"/>
  <c r="CY330" i="77"/>
  <c r="CX330"/>
  <c r="CX197"/>
  <c r="DE197" s="1"/>
  <c r="CY197"/>
  <c r="DF197" s="1"/>
  <c r="DD197"/>
  <c r="CY124"/>
  <c r="DF124" s="1"/>
  <c r="CX124"/>
  <c r="DE124" s="1"/>
  <c r="DD124"/>
  <c r="CX162"/>
  <c r="DE162" s="1"/>
  <c r="CY162"/>
  <c r="DF162" s="1"/>
  <c r="CY135"/>
  <c r="CX135"/>
  <c r="CY134"/>
  <c r="CX134"/>
  <c r="CX158"/>
  <c r="DE158" s="1"/>
  <c r="CY158"/>
  <c r="DF158" s="1"/>
  <c r="DF309"/>
  <c r="W309" i="69" s="1"/>
  <c r="DE309" i="77"/>
  <c r="V309" i="69" s="1"/>
  <c r="DF132" i="77"/>
  <c r="DE132"/>
  <c r="DF101"/>
  <c r="DE101"/>
  <c r="DE188"/>
  <c r="DF188"/>
  <c r="DF142"/>
  <c r="DE142"/>
  <c r="DF186"/>
  <c r="DE186"/>
  <c r="HP186"/>
  <c r="HK186"/>
  <c r="HR186" s="1"/>
  <c r="HJ186"/>
  <c r="HQ186" s="1"/>
  <c r="HQ348"/>
  <c r="V348" i="73" s="1"/>
  <c r="HR348" i="77"/>
  <c r="W348" i="73" s="1"/>
  <c r="HR299" i="77"/>
  <c r="W299" i="73" s="1"/>
  <c r="HQ299" i="77"/>
  <c r="V299" i="73" s="1"/>
  <c r="HQ332" i="77"/>
  <c r="V332" i="73" s="1"/>
  <c r="HR332" i="77"/>
  <c r="W332" i="73" s="1"/>
  <c r="HR128" i="77"/>
  <c r="HQ128"/>
  <c r="HQ118"/>
  <c r="HR118"/>
  <c r="HR214"/>
  <c r="HQ214"/>
  <c r="HQ166"/>
  <c r="HR166"/>
  <c r="HR149"/>
  <c r="HQ149"/>
  <c r="AW137"/>
  <c r="AX137" s="1"/>
  <c r="IV150"/>
  <c r="IY150" s="1"/>
  <c r="DC431"/>
  <c r="DC401"/>
  <c r="DD401" s="1"/>
  <c r="DC11"/>
  <c r="IV189"/>
  <c r="DC81"/>
  <c r="DD81" s="1"/>
  <c r="HO19"/>
  <c r="HP19" s="1"/>
  <c r="HS167"/>
  <c r="HV167" s="1"/>
  <c r="HS189"/>
  <c r="HP150"/>
  <c r="DC107"/>
  <c r="BU171"/>
  <c r="CB171" s="1"/>
  <c r="BV171"/>
  <c r="CC171" s="1"/>
  <c r="BU195"/>
  <c r="BV195"/>
  <c r="BV129"/>
  <c r="CC129" s="1"/>
  <c r="BU129"/>
  <c r="CB129" s="1"/>
  <c r="CA129"/>
  <c r="BV196"/>
  <c r="BU196"/>
  <c r="BV19"/>
  <c r="BU19"/>
  <c r="CC122"/>
  <c r="CB122"/>
  <c r="CC16"/>
  <c r="CB16"/>
  <c r="CC164"/>
  <c r="CB164"/>
  <c r="CB187"/>
  <c r="CC187"/>
  <c r="GO178"/>
  <c r="GN178"/>
  <c r="GO175"/>
  <c r="GN175"/>
  <c r="GO130"/>
  <c r="GN130"/>
  <c r="GN441"/>
  <c r="GO441"/>
  <c r="GO120"/>
  <c r="GN120"/>
  <c r="FD217"/>
  <c r="FK217" s="1"/>
  <c r="FJ217"/>
  <c r="FE217"/>
  <c r="FL217" s="1"/>
  <c r="FL326"/>
  <c r="W326" i="71" s="1"/>
  <c r="FK326" i="77"/>
  <c r="V326" i="71" s="1"/>
  <c r="FK344" i="77"/>
  <c r="V344" i="71" s="1"/>
  <c r="FL344" i="77"/>
  <c r="W344" i="71" s="1"/>
  <c r="FL299" i="77"/>
  <c r="W299" i="71" s="1"/>
  <c r="FK299" i="77"/>
  <c r="V299" i="71" s="1"/>
  <c r="FK17" i="77"/>
  <c r="FL17"/>
  <c r="FK361"/>
  <c r="FL361"/>
  <c r="FL119"/>
  <c r="FK119"/>
  <c r="FK180"/>
  <c r="FL180"/>
  <c r="FL143"/>
  <c r="FK143"/>
  <c r="FK170"/>
  <c r="FL170"/>
  <c r="AR166"/>
  <c r="AS166"/>
  <c r="AZ133"/>
  <c r="AY133"/>
  <c r="AY334"/>
  <c r="V334" i="65" s="1"/>
  <c r="AZ334" i="77"/>
  <c r="W334" i="65" s="1"/>
  <c r="AZ140" i="77"/>
  <c r="AY140"/>
  <c r="AY21"/>
  <c r="AZ21"/>
  <c r="AY194"/>
  <c r="AZ194"/>
  <c r="AY361"/>
  <c r="AZ361"/>
  <c r="AZ184"/>
  <c r="AY184"/>
  <c r="AZ217"/>
  <c r="AY217"/>
  <c r="EA413"/>
  <c r="EH413" s="1"/>
  <c r="EB413"/>
  <c r="EI413" s="1"/>
  <c r="EG413"/>
  <c r="EB333"/>
  <c r="P333" i="70" s="1"/>
  <c r="EA333" i="77"/>
  <c r="O333" i="70" s="1"/>
  <c r="EA271" i="77"/>
  <c r="EB271"/>
  <c r="EA167"/>
  <c r="EB167"/>
  <c r="EG115"/>
  <c r="EB115"/>
  <c r="EI115" s="1"/>
  <c r="EA115"/>
  <c r="EH115" s="1"/>
  <c r="EA132"/>
  <c r="EH132" s="1"/>
  <c r="EG132"/>
  <c r="EB132"/>
  <c r="EI132" s="1"/>
  <c r="EB185"/>
  <c r="EI185" s="1"/>
  <c r="EA185"/>
  <c r="EH185" s="1"/>
  <c r="EH337"/>
  <c r="V337" i="70" s="1"/>
  <c r="EI337" i="77"/>
  <c r="W337" i="70" s="1"/>
  <c r="EB16" i="77"/>
  <c r="EI16" s="1"/>
  <c r="EA16"/>
  <c r="EH16" s="1"/>
  <c r="EG16"/>
  <c r="EH310"/>
  <c r="V310" i="70" s="1"/>
  <c r="EI310" i="77"/>
  <c r="W310" i="70" s="1"/>
  <c r="EI157" i="77"/>
  <c r="EH157"/>
  <c r="EH13"/>
  <c r="EI13"/>
  <c r="EH416"/>
  <c r="EI416"/>
  <c r="IM231"/>
  <c r="IT231" s="1"/>
  <c r="IN231"/>
  <c r="IU231" s="1"/>
  <c r="IS148"/>
  <c r="IN148"/>
  <c r="IU148" s="1"/>
  <c r="IM148"/>
  <c r="IT148" s="1"/>
  <c r="IT169"/>
  <c r="IU169"/>
  <c r="IT166"/>
  <c r="IU166"/>
  <c r="IU124"/>
  <c r="IT124"/>
  <c r="IT197"/>
  <c r="IU197"/>
  <c r="IU61"/>
  <c r="IT61"/>
  <c r="IT195"/>
  <c r="IU195"/>
  <c r="IT441"/>
  <c r="IU441"/>
  <c r="IT142"/>
  <c r="IU142"/>
  <c r="BU340"/>
  <c r="O340" i="68" s="1"/>
  <c r="BV340" i="77"/>
  <c r="P340" i="68" s="1"/>
  <c r="BU199" i="77"/>
  <c r="BV199"/>
  <c r="BU160"/>
  <c r="CB160" s="1"/>
  <c r="BV160"/>
  <c r="CC160" s="1"/>
  <c r="CA160"/>
  <c r="BU137"/>
  <c r="CB137" s="1"/>
  <c r="CA137"/>
  <c r="BV137"/>
  <c r="CC137" s="1"/>
  <c r="BU161"/>
  <c r="BV161"/>
  <c r="BV145"/>
  <c r="CC145" s="1"/>
  <c r="BU145"/>
  <c r="CB145" s="1"/>
  <c r="CA145"/>
  <c r="BV119"/>
  <c r="CC119" s="1"/>
  <c r="BU119"/>
  <c r="CB119" s="1"/>
  <c r="CA119"/>
  <c r="CC299"/>
  <c r="W299" i="68" s="1"/>
  <c r="CB299" i="77"/>
  <c r="V299" i="68" s="1"/>
  <c r="CC180" i="77"/>
  <c r="CB180"/>
  <c r="CC109"/>
  <c r="CB109"/>
  <c r="CB140"/>
  <c r="CC140"/>
  <c r="GM348"/>
  <c r="U348" i="72" s="1"/>
  <c r="GH348" i="77"/>
  <c r="GG348"/>
  <c r="GG213"/>
  <c r="GN213" s="1"/>
  <c r="GH213"/>
  <c r="GO213" s="1"/>
  <c r="GN181"/>
  <c r="GO181"/>
  <c r="GN129"/>
  <c r="GO129"/>
  <c r="GN112"/>
  <c r="GO112"/>
  <c r="GN164"/>
  <c r="GO164"/>
  <c r="GN192"/>
  <c r="GO192"/>
  <c r="GO185"/>
  <c r="GN185"/>
  <c r="GO145"/>
  <c r="GN145"/>
  <c r="GO291"/>
  <c r="GN291"/>
  <c r="GN415"/>
  <c r="GO415"/>
  <c r="FE154"/>
  <c r="FL154" s="1"/>
  <c r="FD154"/>
  <c r="FK154" s="1"/>
  <c r="FJ154"/>
  <c r="FL337"/>
  <c r="W337" i="71" s="1"/>
  <c r="FK337" i="77"/>
  <c r="V337" i="71" s="1"/>
  <c r="FK339" i="77"/>
  <c r="V339" i="71" s="1"/>
  <c r="FL339" i="77"/>
  <c r="W339" i="71" s="1"/>
  <c r="FL221" i="77"/>
  <c r="FK221"/>
  <c r="FK419"/>
  <c r="FL419"/>
  <c r="FL195"/>
  <c r="FK195"/>
  <c r="AR415"/>
  <c r="AS415"/>
  <c r="AR310"/>
  <c r="O310" i="65" s="1"/>
  <c r="AS310" i="77"/>
  <c r="P310" i="65" s="1"/>
  <c r="AS215" i="77"/>
  <c r="AZ215" s="1"/>
  <c r="AX215"/>
  <c r="AR215"/>
  <c r="AY215" s="1"/>
  <c r="AY31"/>
  <c r="AZ31"/>
  <c r="AZ196"/>
  <c r="AY196"/>
  <c r="EG421"/>
  <c r="EB421"/>
  <c r="EI421" s="1"/>
  <c r="EA421"/>
  <c r="EH421" s="1"/>
  <c r="EA215"/>
  <c r="EH215" s="1"/>
  <c r="EB215"/>
  <c r="EI215" s="1"/>
  <c r="EB281"/>
  <c r="EI281" s="1"/>
  <c r="EA281"/>
  <c r="EH281" s="1"/>
  <c r="EB149"/>
  <c r="EI149" s="1"/>
  <c r="EA149"/>
  <c r="EH149" s="1"/>
  <c r="EG149"/>
  <c r="EB121"/>
  <c r="EA121"/>
  <c r="EI327"/>
  <c r="W327" i="70" s="1"/>
  <c r="EH327" i="77"/>
  <c r="V327" i="70" s="1"/>
  <c r="EI199" i="77"/>
  <c r="EH199"/>
  <c r="IN334"/>
  <c r="IM334"/>
  <c r="IS334"/>
  <c r="U334" i="74" s="1"/>
  <c r="IU139" i="77"/>
  <c r="IT139"/>
  <c r="IT122"/>
  <c r="IU122"/>
  <c r="IT193"/>
  <c r="IU193"/>
  <c r="IT19"/>
  <c r="IU19"/>
  <c r="IT160"/>
  <c r="IU160"/>
  <c r="IT125"/>
  <c r="IU125"/>
  <c r="CY419"/>
  <c r="CX419"/>
  <c r="CY461"/>
  <c r="DF461" s="1"/>
  <c r="CX461"/>
  <c r="DE461" s="1"/>
  <c r="DD461"/>
  <c r="CY412"/>
  <c r="CX412"/>
  <c r="DD325"/>
  <c r="U325" i="69" s="1"/>
  <c r="CY325" i="77"/>
  <c r="CX325"/>
  <c r="CY219"/>
  <c r="DF219" s="1"/>
  <c r="CX219"/>
  <c r="DE219" s="1"/>
  <c r="DD219"/>
  <c r="CY305"/>
  <c r="P305" i="69" s="1"/>
  <c r="CX305" i="77"/>
  <c r="O305" i="69" s="1"/>
  <c r="CY271" i="77"/>
  <c r="CX271"/>
  <c r="CX187"/>
  <c r="DE187" s="1"/>
  <c r="CY187"/>
  <c r="DF187" s="1"/>
  <c r="DD187"/>
  <c r="CY178"/>
  <c r="DF178" s="1"/>
  <c r="DD178"/>
  <c r="CX178"/>
  <c r="DE178" s="1"/>
  <c r="CY160"/>
  <c r="DF160" s="1"/>
  <c r="DD160"/>
  <c r="CX160"/>
  <c r="DE160" s="1"/>
  <c r="CY131"/>
  <c r="DF131" s="1"/>
  <c r="CX131"/>
  <c r="DE131" s="1"/>
  <c r="DD131"/>
  <c r="CX156"/>
  <c r="DE156" s="1"/>
  <c r="CY156"/>
  <c r="DF156" s="1"/>
  <c r="IT316"/>
  <c r="V316" i="74" s="1"/>
  <c r="IU316" i="77"/>
  <c r="W316" i="74" s="1"/>
  <c r="CY414" i="77"/>
  <c r="DF414" s="1"/>
  <c r="CX414"/>
  <c r="DE414" s="1"/>
  <c r="DD414"/>
  <c r="CX169"/>
  <c r="DE169" s="1"/>
  <c r="CY169"/>
  <c r="DF169" s="1"/>
  <c r="DD169"/>
  <c r="CY170"/>
  <c r="DF170" s="1"/>
  <c r="DD170"/>
  <c r="CX170"/>
  <c r="DE170" s="1"/>
  <c r="CY112"/>
  <c r="CX112"/>
  <c r="CY109"/>
  <c r="DF109" s="1"/>
  <c r="CX109"/>
  <c r="DE109" s="1"/>
  <c r="DD109"/>
  <c r="DE153"/>
  <c r="DF153"/>
  <c r="DF166"/>
  <c r="DE166"/>
  <c r="DF195"/>
  <c r="DE195"/>
  <c r="DF231"/>
  <c r="DE231"/>
  <c r="HP188"/>
  <c r="HJ188"/>
  <c r="HQ188" s="1"/>
  <c r="HK188"/>
  <c r="HR188" s="1"/>
  <c r="HR338"/>
  <c r="W338" i="73" s="1"/>
  <c r="HQ338" i="77"/>
  <c r="V338" i="73" s="1"/>
  <c r="HQ306" i="77"/>
  <c r="V306" i="73" s="1"/>
  <c r="HR306" i="77"/>
  <c r="W306" i="73" s="1"/>
  <c r="HJ109" i="77"/>
  <c r="HQ109" s="1"/>
  <c r="HP109"/>
  <c r="HK109"/>
  <c r="HR109" s="1"/>
  <c r="HQ196"/>
  <c r="HR196"/>
  <c r="HQ11"/>
  <c r="HR11"/>
  <c r="HR114"/>
  <c r="HQ114"/>
  <c r="IT121"/>
  <c r="IU121"/>
  <c r="IT196"/>
  <c r="IU196"/>
  <c r="IT138"/>
  <c r="IU138"/>
  <c r="DD417"/>
  <c r="CY417"/>
  <c r="DF417" s="1"/>
  <c r="CX417"/>
  <c r="DE417" s="1"/>
  <c r="DD332"/>
  <c r="U332" i="69" s="1"/>
  <c r="CY332" i="77"/>
  <c r="CX332"/>
  <c r="DD343"/>
  <c r="U343" i="69" s="1"/>
  <c r="CY343" i="77"/>
  <c r="CX343"/>
  <c r="CY317"/>
  <c r="P317" i="69" s="1"/>
  <c r="CX317" i="77"/>
  <c r="O317" i="69" s="1"/>
  <c r="CY199" i="77"/>
  <c r="CX199"/>
  <c r="CX173"/>
  <c r="DE173" s="1"/>
  <c r="CY173"/>
  <c r="DF173" s="1"/>
  <c r="DD173"/>
  <c r="CY174"/>
  <c r="DF174" s="1"/>
  <c r="DD174"/>
  <c r="CX174"/>
  <c r="DE174" s="1"/>
  <c r="CX71"/>
  <c r="DE71" s="1"/>
  <c r="CY71"/>
  <c r="DF71" s="1"/>
  <c r="HP199"/>
  <c r="HJ199"/>
  <c r="HQ199" s="1"/>
  <c r="HK199"/>
  <c r="HR199" s="1"/>
  <c r="HP124"/>
  <c r="HK124"/>
  <c r="HR124" s="1"/>
  <c r="HJ124"/>
  <c r="HQ124" s="1"/>
  <c r="HR344"/>
  <c r="W344" i="73" s="1"/>
  <c r="HQ344" i="77"/>
  <c r="V344" i="73" s="1"/>
  <c r="HQ342" i="77"/>
  <c r="V342" i="73" s="1"/>
  <c r="HR342" i="77"/>
  <c r="W342" i="73" s="1"/>
  <c r="HQ326" i="77"/>
  <c r="V326" i="73" s="1"/>
  <c r="HR326" i="77"/>
  <c r="W326" i="73" s="1"/>
  <c r="HQ153" i="77"/>
  <c r="HR153"/>
  <c r="HQ134"/>
  <c r="HR134"/>
  <c r="HQ441"/>
  <c r="HR441"/>
  <c r="HQ241"/>
  <c r="HR241"/>
  <c r="IU104"/>
  <c r="IT104"/>
  <c r="IU143"/>
  <c r="IT143"/>
  <c r="DE340"/>
  <c r="V340" i="69" s="1"/>
  <c r="DF340" i="77"/>
  <c r="W340" i="69" s="1"/>
  <c r="DE21" i="77"/>
  <c r="DF21"/>
  <c r="DE194"/>
  <c r="DF194"/>
  <c r="DE103"/>
  <c r="DF103"/>
  <c r="DE91"/>
  <c r="DF91"/>
  <c r="DF172"/>
  <c r="DE172"/>
  <c r="HJ191"/>
  <c r="HQ191" s="1"/>
  <c r="HK191"/>
  <c r="HR191" s="1"/>
  <c r="HP191"/>
  <c r="HK150"/>
  <c r="HR150" s="1"/>
  <c r="HJ150"/>
  <c r="HQ150" s="1"/>
  <c r="HR115"/>
  <c r="HQ115"/>
  <c r="HR327"/>
  <c r="W327" i="73" s="1"/>
  <c r="HQ327" i="77"/>
  <c r="V327" i="73" s="1"/>
  <c r="HQ333" i="77"/>
  <c r="V333" i="73" s="1"/>
  <c r="HR333" i="77"/>
  <c r="W333" i="73" s="1"/>
  <c r="DD342" i="77"/>
  <c r="U342" i="69" s="1"/>
  <c r="CY342" i="77"/>
  <c r="CX342"/>
  <c r="CY189"/>
  <c r="DF189" s="1"/>
  <c r="CX189"/>
  <c r="DE189" s="1"/>
  <c r="DD189"/>
  <c r="CY143"/>
  <c r="DF143" s="1"/>
  <c r="DD143"/>
  <c r="CX143"/>
  <c r="DE143" s="1"/>
  <c r="HJ151"/>
  <c r="HQ151" s="1"/>
  <c r="HP151"/>
  <c r="HK151"/>
  <c r="HR151" s="1"/>
  <c r="HQ108"/>
  <c r="HR108"/>
  <c r="HR102"/>
  <c r="HQ102"/>
  <c r="HR145"/>
  <c r="HQ145"/>
  <c r="HR179"/>
  <c r="HQ179"/>
  <c r="HR461"/>
  <c r="HQ461"/>
  <c r="HR419"/>
  <c r="HQ419"/>
  <c r="AD441"/>
  <c r="AC441"/>
  <c r="BZ121"/>
  <c r="CA121" s="1"/>
  <c r="AW327"/>
  <c r="T327" i="65" s="1"/>
  <c r="AW348" i="77"/>
  <c r="T348" i="65" s="1"/>
  <c r="AW306" i="77"/>
  <c r="T306" i="65" s="1"/>
  <c r="AW241" i="77"/>
  <c r="AX241" s="1"/>
  <c r="AW188"/>
  <c r="AW300"/>
  <c r="AW164"/>
  <c r="AX164" s="1"/>
  <c r="AX128"/>
  <c r="EJ100"/>
  <c r="IS309"/>
  <c r="U309" i="74" s="1"/>
  <c r="IS188" i="77"/>
  <c r="IV188" s="1"/>
  <c r="IY188" s="1"/>
  <c r="IS241"/>
  <c r="IS291"/>
  <c r="IV291" s="1"/>
  <c r="IY291" s="1"/>
  <c r="BZ116"/>
  <c r="CA116" s="1"/>
  <c r="CA146"/>
  <c r="CA143"/>
  <c r="CA141"/>
  <c r="GL118"/>
  <c r="GM118" s="1"/>
  <c r="GM308"/>
  <c r="GM113"/>
  <c r="GP113" s="1"/>
  <c r="GS113" s="1"/>
  <c r="GP167"/>
  <c r="GS167" s="1"/>
  <c r="GM179"/>
  <c r="GP179" s="1"/>
  <c r="FJ340"/>
  <c r="FJ108"/>
  <c r="FJ144"/>
  <c r="FJ19"/>
  <c r="FJ130"/>
  <c r="FJ121"/>
  <c r="FJ189"/>
  <c r="FM421"/>
  <c r="FJ371"/>
  <c r="AW185"/>
  <c r="BA163"/>
  <c r="BA172"/>
  <c r="EJ17"/>
  <c r="EJ145"/>
  <c r="IV310"/>
  <c r="IV218"/>
  <c r="IY218" s="1"/>
  <c r="DG334"/>
  <c r="X334" i="69" s="1"/>
  <c r="DG115" i="77"/>
  <c r="DG177"/>
  <c r="HS309"/>
  <c r="HS12"/>
  <c r="HV12" s="1"/>
  <c r="HS193"/>
  <c r="HV193" s="1"/>
  <c r="HS180"/>
  <c r="HS310"/>
  <c r="IV181"/>
  <c r="IY181" s="1"/>
  <c r="DG333"/>
  <c r="X333" i="69" s="1"/>
  <c r="DG221" i="77"/>
  <c r="DG331"/>
  <c r="X331" i="69" s="1"/>
  <c r="HS106" i="77"/>
  <c r="HV106" s="1"/>
  <c r="HS133"/>
  <c r="HV133" s="1"/>
  <c r="DG188"/>
  <c r="HS348"/>
  <c r="HS118"/>
  <c r="HV118" s="1"/>
  <c r="EI120"/>
  <c r="EH120"/>
  <c r="EH317"/>
  <c r="V317" i="70" s="1"/>
  <c r="EI317" i="77"/>
  <c r="W317" i="70" s="1"/>
  <c r="EH217" i="77"/>
  <c r="EI217"/>
  <c r="IU131"/>
  <c r="IT131"/>
  <c r="IU261"/>
  <c r="IT261"/>
  <c r="IU170"/>
  <c r="IT170"/>
  <c r="IT117"/>
  <c r="IU117"/>
  <c r="IU421"/>
  <c r="IT421"/>
  <c r="IT461"/>
  <c r="IU461"/>
  <c r="CA411"/>
  <c r="BV411"/>
  <c r="CC411" s="1"/>
  <c r="BU411"/>
  <c r="CB411" s="1"/>
  <c r="BU337"/>
  <c r="O337" i="68" s="1"/>
  <c r="BV337" i="77"/>
  <c r="P337" i="68" s="1"/>
  <c r="BU216" i="77"/>
  <c r="CB216" s="1"/>
  <c r="CA216"/>
  <c r="BV216"/>
  <c r="CC216" s="1"/>
  <c r="CA153"/>
  <c r="BU153"/>
  <c r="CB153" s="1"/>
  <c r="BV153"/>
  <c r="CC153" s="1"/>
  <c r="BV185"/>
  <c r="CC185" s="1"/>
  <c r="BU185"/>
  <c r="CB185" s="1"/>
  <c r="CA185"/>
  <c r="BV156"/>
  <c r="BU156"/>
  <c r="BV121"/>
  <c r="BU121"/>
  <c r="CC334"/>
  <c r="W334" i="68" s="1"/>
  <c r="CB334" i="77"/>
  <c r="V334" i="68" s="1"/>
  <c r="CB179" i="77"/>
  <c r="CC179"/>
  <c r="GH431"/>
  <c r="GO431" s="1"/>
  <c r="GG431"/>
  <c r="GN431" s="1"/>
  <c r="GH333"/>
  <c r="GG333"/>
  <c r="GM333"/>
  <c r="U333" i="72" s="1"/>
  <c r="GM325" i="77"/>
  <c r="U325" i="72" s="1"/>
  <c r="GH325" i="77"/>
  <c r="GG325"/>
  <c r="GG193"/>
  <c r="GN193" s="1"/>
  <c r="GM193"/>
  <c r="GH193"/>
  <c r="GO193" s="1"/>
  <c r="GG134"/>
  <c r="GN134" s="1"/>
  <c r="GM134"/>
  <c r="GH134"/>
  <c r="GO134" s="1"/>
  <c r="GN12"/>
  <c r="GO12"/>
  <c r="GO160"/>
  <c r="GN160"/>
  <c r="GN176"/>
  <c r="GO176"/>
  <c r="GO461"/>
  <c r="GN461"/>
  <c r="GO361"/>
  <c r="GN361"/>
  <c r="GN416"/>
  <c r="GO416"/>
  <c r="FD128"/>
  <c r="FK128" s="1"/>
  <c r="FJ128"/>
  <c r="FE128"/>
  <c r="FL128" s="1"/>
  <c r="FL159"/>
  <c r="FK159"/>
  <c r="FL181"/>
  <c r="FK181"/>
  <c r="FL151"/>
  <c r="FK151"/>
  <c r="AR327"/>
  <c r="AS327"/>
  <c r="AR348"/>
  <c r="O348" i="65" s="1"/>
  <c r="AS348" i="77"/>
  <c r="P348" i="65" s="1"/>
  <c r="AR306" i="77"/>
  <c r="AS306"/>
  <c r="AR241"/>
  <c r="AS241"/>
  <c r="AS213"/>
  <c r="AR213"/>
  <c r="AY213" s="1"/>
  <c r="AS300"/>
  <c r="AR300"/>
  <c r="O300" i="65" s="1"/>
  <c r="AR164" i="77"/>
  <c r="AS164"/>
  <c r="AS103"/>
  <c r="AZ103" s="1"/>
  <c r="AR103"/>
  <c r="AY103" s="1"/>
  <c r="AX103"/>
  <c r="AR11"/>
  <c r="AY11" s="1"/>
  <c r="AX11"/>
  <c r="AS11"/>
  <c r="AZ11" s="1"/>
  <c r="AY199"/>
  <c r="AZ199"/>
  <c r="AZ190"/>
  <c r="AY190"/>
  <c r="EB321"/>
  <c r="EA321"/>
  <c r="EG321"/>
  <c r="U321" i="70" s="1"/>
  <c r="EA197" i="77"/>
  <c r="EH197" s="1"/>
  <c r="EB197"/>
  <c r="EI197" s="1"/>
  <c r="EB102"/>
  <c r="EI102" s="1"/>
  <c r="EA102"/>
  <c r="EH102" s="1"/>
  <c r="EG102"/>
  <c r="EA147"/>
  <c r="EH147" s="1"/>
  <c r="EG147"/>
  <c r="EB147"/>
  <c r="EI147" s="1"/>
  <c r="EB135"/>
  <c r="EA135"/>
  <c r="IT111"/>
  <c r="IU111"/>
  <c r="IT214"/>
  <c r="IU214"/>
  <c r="BV211"/>
  <c r="CC211" s="1"/>
  <c r="BU211"/>
  <c r="CB211" s="1"/>
  <c r="CA182"/>
  <c r="BV182"/>
  <c r="CC182" s="1"/>
  <c r="BU182"/>
  <c r="CB182" s="1"/>
  <c r="BU116"/>
  <c r="BV116"/>
  <c r="BV100"/>
  <c r="CC100" s="1"/>
  <c r="BU100"/>
  <c r="CB100" s="1"/>
  <c r="CC181"/>
  <c r="CB181"/>
  <c r="CB111"/>
  <c r="CC111"/>
  <c r="CB441"/>
  <c r="CC441"/>
  <c r="CB190"/>
  <c r="CC190"/>
  <c r="CC381"/>
  <c r="CB381"/>
  <c r="GH334"/>
  <c r="P334" i="72" s="1"/>
  <c r="GG334" i="77"/>
  <c r="O334" i="72" s="1"/>
  <c r="GM327" i="77"/>
  <c r="U327" i="72" s="1"/>
  <c r="GH327" i="77"/>
  <c r="GG327"/>
  <c r="GH118"/>
  <c r="GG118"/>
  <c r="GN137"/>
  <c r="GO137"/>
  <c r="GN147"/>
  <c r="GO147"/>
  <c r="GN142"/>
  <c r="GO142"/>
  <c r="GO381"/>
  <c r="GN381"/>
  <c r="FD131"/>
  <c r="FK131" s="1"/>
  <c r="FJ131"/>
  <c r="FE131"/>
  <c r="FL131" s="1"/>
  <c r="FE71"/>
  <c r="FL71" s="1"/>
  <c r="FD71"/>
  <c r="FK71" s="1"/>
  <c r="FJ71"/>
  <c r="FL300"/>
  <c r="W300" i="71" s="1"/>
  <c r="FK300" i="77"/>
  <c r="V300" i="71" s="1"/>
  <c r="FK114" i="77"/>
  <c r="FL114"/>
  <c r="FL134"/>
  <c r="FK134"/>
  <c r="FK103"/>
  <c r="FL103"/>
  <c r="FK163"/>
  <c r="FL163"/>
  <c r="FK115"/>
  <c r="FL115"/>
  <c r="FL149"/>
  <c r="FK149"/>
  <c r="AS441"/>
  <c r="AZ441" s="1"/>
  <c r="AR441"/>
  <c r="AY441" s="1"/>
  <c r="AX441"/>
  <c r="AS381"/>
  <c r="AR381"/>
  <c r="AR321"/>
  <c r="AS321"/>
  <c r="AX321"/>
  <c r="U321" i="65" s="1"/>
  <c r="AR193" i="77"/>
  <c r="AY193" s="1"/>
  <c r="AS193"/>
  <c r="AR136"/>
  <c r="AS136"/>
  <c r="AX173"/>
  <c r="AS173"/>
  <c r="AZ173" s="1"/>
  <c r="AR173"/>
  <c r="AY173" s="1"/>
  <c r="AS137"/>
  <c r="AZ137" s="1"/>
  <c r="AR137"/>
  <c r="AR158"/>
  <c r="AS158"/>
  <c r="AZ335"/>
  <c r="W335" i="65" s="1"/>
  <c r="AY335" i="77"/>
  <c r="V335" i="65" s="1"/>
  <c r="AZ129" i="77"/>
  <c r="AY129"/>
  <c r="AY150"/>
  <c r="AZ150"/>
  <c r="AZ113"/>
  <c r="AY113"/>
  <c r="AY19"/>
  <c r="AZ19"/>
  <c r="AZ177"/>
  <c r="AY177"/>
  <c r="AY331"/>
  <c r="V331" i="65" s="1"/>
  <c r="AZ331" i="77"/>
  <c r="W331" i="65" s="1"/>
  <c r="EB461" i="77"/>
  <c r="EI461" s="1"/>
  <c r="EA461"/>
  <c r="EH461" s="1"/>
  <c r="EG461"/>
  <c r="EG325"/>
  <c r="U325" i="70" s="1"/>
  <c r="EB325" i="77"/>
  <c r="EA325"/>
  <c r="EA291"/>
  <c r="EH291" s="1"/>
  <c r="EB291"/>
  <c r="EI291" s="1"/>
  <c r="EA241"/>
  <c r="EH241" s="1"/>
  <c r="EB241"/>
  <c r="EI241" s="1"/>
  <c r="EG241"/>
  <c r="EB169"/>
  <c r="EI169" s="1"/>
  <c r="EG169"/>
  <c r="EA169"/>
  <c r="EH169" s="1"/>
  <c r="EA116"/>
  <c r="EH116" s="1"/>
  <c r="EG116"/>
  <c r="EB116"/>
  <c r="EI116" s="1"/>
  <c r="EB106"/>
  <c r="EA106"/>
  <c r="EB108"/>
  <c r="EI108" s="1"/>
  <c r="EA108"/>
  <c r="EH108" s="1"/>
  <c r="EG108"/>
  <c r="EH159"/>
  <c r="EI159"/>
  <c r="EI161"/>
  <c r="EH161"/>
  <c r="EI124"/>
  <c r="EH124"/>
  <c r="IM157"/>
  <c r="IT157" s="1"/>
  <c r="IN157"/>
  <c r="IU157" s="1"/>
  <c r="IS157"/>
  <c r="IU112"/>
  <c r="IT112"/>
  <c r="IU137"/>
  <c r="IT137"/>
  <c r="IT146"/>
  <c r="IU146"/>
  <c r="IT178"/>
  <c r="IU178"/>
  <c r="IU221"/>
  <c r="IT221"/>
  <c r="IU144"/>
  <c r="IT144"/>
  <c r="IT415"/>
  <c r="IU415"/>
  <c r="IT413"/>
  <c r="IU413"/>
  <c r="DD159"/>
  <c r="CX159"/>
  <c r="DE159" s="1"/>
  <c r="CY159"/>
  <c r="DF159" s="1"/>
  <c r="IT211"/>
  <c r="IU211"/>
  <c r="CX401"/>
  <c r="CY401"/>
  <c r="DD413"/>
  <c r="CX413"/>
  <c r="DE413" s="1"/>
  <c r="CY413"/>
  <c r="DF413" s="1"/>
  <c r="DD328"/>
  <c r="U328" i="69" s="1"/>
  <c r="CY328" i="77"/>
  <c r="CX328"/>
  <c r="CX291"/>
  <c r="DE291" s="1"/>
  <c r="CY291"/>
  <c r="DF291" s="1"/>
  <c r="CY137"/>
  <c r="DF137" s="1"/>
  <c r="CX137"/>
  <c r="DE137" s="1"/>
  <c r="DD137"/>
  <c r="CY154"/>
  <c r="DF154" s="1"/>
  <c r="CX154"/>
  <c r="DE154" s="1"/>
  <c r="DF348"/>
  <c r="W348" i="69" s="1"/>
  <c r="DE348" i="77"/>
  <c r="V348" i="69" s="1"/>
  <c r="DE12" i="77"/>
  <c r="DF12"/>
  <c r="DE116"/>
  <c r="DF116"/>
  <c r="DF16"/>
  <c r="DE16"/>
  <c r="DE118"/>
  <c r="DF118"/>
  <c r="DF148"/>
  <c r="DE148"/>
  <c r="DF216"/>
  <c r="DE216"/>
  <c r="HK381"/>
  <c r="HR381" s="1"/>
  <c r="HP381"/>
  <c r="HJ381"/>
  <c r="HQ381" s="1"/>
  <c r="HK221"/>
  <c r="HR221" s="1"/>
  <c r="HP221"/>
  <c r="HJ221"/>
  <c r="HQ221" s="1"/>
  <c r="HJ163"/>
  <c r="HQ163" s="1"/>
  <c r="HK163"/>
  <c r="HR195"/>
  <c r="HQ195"/>
  <c r="HQ123"/>
  <c r="HR123"/>
  <c r="HQ157"/>
  <c r="HR157"/>
  <c r="HQ182"/>
  <c r="HR182"/>
  <c r="HR187"/>
  <c r="HQ187"/>
  <c r="HQ415"/>
  <c r="HR415"/>
  <c r="HQ231"/>
  <c r="HR231"/>
  <c r="IT317"/>
  <c r="V317" i="74" s="1"/>
  <c r="IU317" i="77"/>
  <c r="W317" i="74" s="1"/>
  <c r="CY310" i="77"/>
  <c r="DD310"/>
  <c r="U310" i="69" s="1"/>
  <c r="CX310" i="77"/>
  <c r="DF261"/>
  <c r="DE261"/>
  <c r="DD192"/>
  <c r="CX192"/>
  <c r="DE192" s="1"/>
  <c r="CY192"/>
  <c r="DF192" s="1"/>
  <c r="CY129"/>
  <c r="DF129" s="1"/>
  <c r="CX129"/>
  <c r="DE129" s="1"/>
  <c r="DD129"/>
  <c r="CY144"/>
  <c r="DF144" s="1"/>
  <c r="CX144"/>
  <c r="DE144" s="1"/>
  <c r="DD144"/>
  <c r="DE299"/>
  <c r="V299" i="69" s="1"/>
  <c r="DF299" i="77"/>
  <c r="W299" i="69" s="1"/>
  <c r="DE119" i="77"/>
  <c r="DF119"/>
  <c r="DE145"/>
  <c r="DF145"/>
  <c r="DE102"/>
  <c r="DF102"/>
  <c r="DF182"/>
  <c r="DE182"/>
  <c r="DE176"/>
  <c r="DF176"/>
  <c r="HP125"/>
  <c r="HK125"/>
  <c r="HR125" s="1"/>
  <c r="HJ125"/>
  <c r="HQ125" s="1"/>
  <c r="HP141"/>
  <c r="HK141"/>
  <c r="HR141" s="1"/>
  <c r="HJ141"/>
  <c r="HQ141" s="1"/>
  <c r="HQ16"/>
  <c r="HR16"/>
  <c r="HQ119"/>
  <c r="HR119"/>
  <c r="HR136"/>
  <c r="HQ136"/>
  <c r="HQ132"/>
  <c r="HR132"/>
  <c r="HQ129"/>
  <c r="HR129"/>
  <c r="HQ192"/>
  <c r="HR192"/>
  <c r="HR176"/>
  <c r="HQ176"/>
  <c r="HQ171"/>
  <c r="HR171"/>
  <c r="HQ185"/>
  <c r="HR185"/>
  <c r="HQ216"/>
  <c r="HR216"/>
  <c r="HQ291"/>
  <c r="HR291"/>
  <c r="CX133"/>
  <c r="DE133" s="1"/>
  <c r="DD133"/>
  <c r="CY133"/>
  <c r="DF133" s="1"/>
  <c r="CX121"/>
  <c r="CY121"/>
  <c r="HK139"/>
  <c r="HR139" s="1"/>
  <c r="HJ139"/>
  <c r="HQ139" s="1"/>
  <c r="HP139"/>
  <c r="HK112"/>
  <c r="HJ112"/>
  <c r="HR184"/>
  <c r="HQ184"/>
  <c r="HQ122"/>
  <c r="HR122"/>
  <c r="HQ117"/>
  <c r="HR117"/>
  <c r="HR116"/>
  <c r="HQ116"/>
  <c r="HR317"/>
  <c r="W317" i="73" s="1"/>
  <c r="HQ317" i="77"/>
  <c r="V317" i="73" s="1"/>
  <c r="HR172" i="77"/>
  <c r="HQ172"/>
  <c r="HR181"/>
  <c r="HQ181"/>
  <c r="HQ174"/>
  <c r="HR174"/>
  <c r="HR300"/>
  <c r="W300" i="73" s="1"/>
  <c r="HQ300" i="77"/>
  <c r="V300" i="73" s="1"/>
  <c r="IU213" i="77"/>
  <c r="IT213"/>
  <c r="CX411"/>
  <c r="DE411" s="1"/>
  <c r="DD411"/>
  <c r="CY411"/>
  <c r="DF411" s="1"/>
  <c r="DD327"/>
  <c r="U327" i="69" s="1"/>
  <c r="CY327" i="77"/>
  <c r="CX327"/>
  <c r="DD300"/>
  <c r="U300" i="69" s="1"/>
  <c r="CY300" i="77"/>
  <c r="CX300"/>
  <c r="CX215"/>
  <c r="CY215"/>
  <c r="DD161"/>
  <c r="CX161"/>
  <c r="DE161" s="1"/>
  <c r="CY161"/>
  <c r="DF161" s="1"/>
  <c r="DD51"/>
  <c r="CX51"/>
  <c r="DE51" s="1"/>
  <c r="CY51"/>
  <c r="DF51" s="1"/>
  <c r="CX123"/>
  <c r="CY123"/>
  <c r="CX105"/>
  <c r="DE105" s="1"/>
  <c r="DD105"/>
  <c r="CY105"/>
  <c r="DF105" s="1"/>
  <c r="DF17"/>
  <c r="DE17"/>
  <c r="DE120"/>
  <c r="DF120"/>
  <c r="DF198"/>
  <c r="DE198"/>
  <c r="DE183"/>
  <c r="DF183"/>
  <c r="HK210"/>
  <c r="HR210" s="1"/>
  <c r="HJ210"/>
  <c r="HQ210" s="1"/>
  <c r="HR340"/>
  <c r="W340" i="73" s="1"/>
  <c r="HQ340" i="77"/>
  <c r="V340" i="73" s="1"/>
  <c r="HR343" i="77"/>
  <c r="W343" i="73" s="1"/>
  <c r="HQ343" i="77"/>
  <c r="V343" i="73" s="1"/>
  <c r="HQ126" i="77"/>
  <c r="HR126"/>
  <c r="HQ161"/>
  <c r="HR161"/>
  <c r="HQ130"/>
  <c r="HR130"/>
  <c r="HR21"/>
  <c r="HQ21"/>
  <c r="HQ218"/>
  <c r="HR218"/>
  <c r="EJ150"/>
  <c r="IV271"/>
  <c r="IY271" s="1"/>
  <c r="BZ198"/>
  <c r="CA198" s="1"/>
  <c r="BZ197"/>
  <c r="CA197" s="1"/>
  <c r="BZ104"/>
  <c r="CA104" s="1"/>
  <c r="BZ105"/>
  <c r="CA105" s="1"/>
  <c r="BZ102"/>
  <c r="BZ114"/>
  <c r="BZ19"/>
  <c r="CA19" s="1"/>
  <c r="BZ107"/>
  <c r="CA122"/>
  <c r="CA16"/>
  <c r="CD16" s="1"/>
  <c r="CA164"/>
  <c r="CD164" s="1"/>
  <c r="CA187"/>
  <c r="CD187" s="1"/>
  <c r="GL335"/>
  <c r="T335" i="72" s="1"/>
  <c r="GM178" i="77"/>
  <c r="GP178" s="1"/>
  <c r="GM175"/>
  <c r="GM130"/>
  <c r="GP130" s="1"/>
  <c r="GS130" s="1"/>
  <c r="GM441"/>
  <c r="GP441" s="1"/>
  <c r="GS441" s="1"/>
  <c r="GM120"/>
  <c r="GP120" s="1"/>
  <c r="FJ326"/>
  <c r="FJ344"/>
  <c r="FJ299"/>
  <c r="FJ17"/>
  <c r="FM17" s="1"/>
  <c r="FM153"/>
  <c r="FP153" s="1"/>
  <c r="FJ119"/>
  <c r="FJ180"/>
  <c r="FJ143"/>
  <c r="FM143" s="1"/>
  <c r="FP143" s="1"/>
  <c r="FJ170"/>
  <c r="AW183"/>
  <c r="AX183" s="1"/>
  <c r="AW166"/>
  <c r="AX166" s="1"/>
  <c r="AX133"/>
  <c r="AW111"/>
  <c r="AX111" s="1"/>
  <c r="AW41"/>
  <c r="AX41" s="1"/>
  <c r="AW155"/>
  <c r="AX155" s="1"/>
  <c r="AW91"/>
  <c r="AX91" s="1"/>
  <c r="AW13"/>
  <c r="AX13" s="1"/>
  <c r="AX334"/>
  <c r="AX140"/>
  <c r="AX21"/>
  <c r="BA21" s="1"/>
  <c r="AX194"/>
  <c r="AX361"/>
  <c r="BA361" s="1"/>
  <c r="AX184"/>
  <c r="AX217"/>
  <c r="BA217" s="1"/>
  <c r="EF333"/>
  <c r="EF271"/>
  <c r="EG271" s="1"/>
  <c r="EF122"/>
  <c r="EG337"/>
  <c r="EG310"/>
  <c r="EG157"/>
  <c r="EJ157" s="1"/>
  <c r="EG13"/>
  <c r="EG416"/>
  <c r="EJ416" s="1"/>
  <c r="IV153"/>
  <c r="IY153" s="1"/>
  <c r="IS169"/>
  <c r="IV169" s="1"/>
  <c r="IY169" s="1"/>
  <c r="IS166"/>
  <c r="IS124"/>
  <c r="IV124" s="1"/>
  <c r="IY124" s="1"/>
  <c r="IS197"/>
  <c r="IV197" s="1"/>
  <c r="IY197" s="1"/>
  <c r="IS61"/>
  <c r="IV61" s="1"/>
  <c r="IY61" s="1"/>
  <c r="IV100"/>
  <c r="IS195"/>
  <c r="IS441"/>
  <c r="IV441" s="1"/>
  <c r="IY441" s="1"/>
  <c r="IS142"/>
  <c r="IV185"/>
  <c r="BZ414"/>
  <c r="CA414" s="1"/>
  <c r="BZ340"/>
  <c r="BZ391"/>
  <c r="CA391" s="1"/>
  <c r="BZ199"/>
  <c r="CA199" s="1"/>
  <c r="BZ131"/>
  <c r="CA131" s="1"/>
  <c r="BZ108"/>
  <c r="CA108" s="1"/>
  <c r="BZ161"/>
  <c r="CA161" s="1"/>
  <c r="BZ163"/>
  <c r="CA163" s="1"/>
  <c r="CA299"/>
  <c r="CA180"/>
  <c r="CD180" s="1"/>
  <c r="CA109"/>
  <c r="CD109" s="1"/>
  <c r="GP150"/>
  <c r="GS150" s="1"/>
  <c r="GM181"/>
  <c r="GP181" s="1"/>
  <c r="GM129"/>
  <c r="GM112"/>
  <c r="GP112" s="1"/>
  <c r="GS112" s="1"/>
  <c r="GM164"/>
  <c r="GP164" s="1"/>
  <c r="GM192"/>
  <c r="GP192" s="1"/>
  <c r="GS192" s="1"/>
  <c r="GM185"/>
  <c r="GM145"/>
  <c r="GP145" s="1"/>
  <c r="GS145" s="1"/>
  <c r="GM291"/>
  <c r="GP291" s="1"/>
  <c r="GS291" s="1"/>
  <c r="GM415"/>
  <c r="GP415" s="1"/>
  <c r="FI125"/>
  <c r="FJ125" s="1"/>
  <c r="FJ337"/>
  <c r="FJ339"/>
  <c r="FI112"/>
  <c r="FJ112" s="1"/>
  <c r="FJ195"/>
  <c r="FM195" s="1"/>
  <c r="AW332"/>
  <c r="AW310"/>
  <c r="AW311"/>
  <c r="T311" i="65" s="1"/>
  <c r="AW142" i="77"/>
  <c r="AX142" s="1"/>
  <c r="AW116"/>
  <c r="AX116" s="1"/>
  <c r="AW123"/>
  <c r="AX123" s="1"/>
  <c r="EF330"/>
  <c r="T330" i="70" s="1"/>
  <c r="EF164" i="77"/>
  <c r="EG164" s="1"/>
  <c r="EF121"/>
  <c r="EG121" s="1"/>
  <c r="EF118"/>
  <c r="EG327"/>
  <c r="IS193"/>
  <c r="IV193" s="1"/>
  <c r="IY193" s="1"/>
  <c r="IS19"/>
  <c r="IS160"/>
  <c r="IV160" s="1"/>
  <c r="IY160" s="1"/>
  <c r="IS125"/>
  <c r="DC419"/>
  <c r="DD419" s="1"/>
  <c r="DC412"/>
  <c r="DD412" s="1"/>
  <c r="DC338"/>
  <c r="T338" i="69" s="1"/>
  <c r="DC196" i="77"/>
  <c r="DD196" s="1"/>
  <c r="IS316"/>
  <c r="DC339"/>
  <c r="DC324"/>
  <c r="T324" i="69" s="1"/>
  <c r="DC126" i="77"/>
  <c r="DD126" s="1"/>
  <c r="DC112"/>
  <c r="DD112" s="1"/>
  <c r="DD153"/>
  <c r="DG153" s="1"/>
  <c r="DG193"/>
  <c r="HO120"/>
  <c r="HP120" s="1"/>
  <c r="HP338"/>
  <c r="HP306"/>
  <c r="U306" i="73" s="1"/>
  <c r="HP11" i="77"/>
  <c r="HP114"/>
  <c r="HS114" s="1"/>
  <c r="HV114" s="1"/>
  <c r="HS421"/>
  <c r="HV421" s="1"/>
  <c r="IS121"/>
  <c r="IS196"/>
  <c r="IS138"/>
  <c r="DC317"/>
  <c r="DC199"/>
  <c r="DD199" s="1"/>
  <c r="HO334"/>
  <c r="T334" i="73" s="1"/>
  <c r="HP344" i="77"/>
  <c r="U344" i="73" s="1"/>
  <c r="HP342" i="77"/>
  <c r="HP326"/>
  <c r="U326" i="73" s="1"/>
  <c r="HP134" i="77"/>
  <c r="HP441"/>
  <c r="HS441" s="1"/>
  <c r="HV441" s="1"/>
  <c r="HS101"/>
  <c r="IS104"/>
  <c r="IS143"/>
  <c r="IV143" s="1"/>
  <c r="IY143" s="1"/>
  <c r="DD340"/>
  <c r="DD21"/>
  <c r="DD194"/>
  <c r="DD103"/>
  <c r="DG103" s="1"/>
  <c r="DD91"/>
  <c r="DG91" s="1"/>
  <c r="DD172"/>
  <c r="HP115"/>
  <c r="HP327"/>
  <c r="HP333"/>
  <c r="U333" i="73" s="1"/>
  <c r="HS61" i="77"/>
  <c r="HV61" s="1"/>
  <c r="DD281"/>
  <c r="DC337"/>
  <c r="T337" i="69" s="1"/>
  <c r="DC135" i="77"/>
  <c r="DD135" s="1"/>
  <c r="DC134"/>
  <c r="DD134" s="1"/>
  <c r="HP108"/>
  <c r="HP102"/>
  <c r="HP145"/>
  <c r="HS145" s="1"/>
  <c r="HV145" s="1"/>
  <c r="HP179"/>
  <c r="HP461"/>
  <c r="HP419"/>
  <c r="CC139"/>
  <c r="CB139"/>
  <c r="CC261"/>
  <c r="CB261"/>
  <c r="CB215"/>
  <c r="CC215"/>
  <c r="GM339"/>
  <c r="U339" i="72" s="1"/>
  <c r="GH339" i="77"/>
  <c r="GG339"/>
  <c r="GM338"/>
  <c r="U338" i="72" s="1"/>
  <c r="GH338" i="77"/>
  <c r="GG338"/>
  <c r="GG314"/>
  <c r="GH314"/>
  <c r="GH172"/>
  <c r="GO172" s="1"/>
  <c r="GM172"/>
  <c r="GG172"/>
  <c r="GN172" s="1"/>
  <c r="GG14"/>
  <c r="GN14" s="1"/>
  <c r="GM14"/>
  <c r="GH14"/>
  <c r="GO14" s="1"/>
  <c r="GG17"/>
  <c r="GN17" s="1"/>
  <c r="GM17"/>
  <c r="GH17"/>
  <c r="GO17" s="1"/>
  <c r="GO19"/>
  <c r="GN19"/>
  <c r="GO103"/>
  <c r="GN103"/>
  <c r="GN151"/>
  <c r="GO151"/>
  <c r="GO115"/>
  <c r="GN115"/>
  <c r="GN111"/>
  <c r="GO111"/>
  <c r="GO138"/>
  <c r="GN138"/>
  <c r="GO143"/>
  <c r="GN143"/>
  <c r="GN186"/>
  <c r="GO186"/>
  <c r="GN187"/>
  <c r="GO187"/>
  <c r="GO218"/>
  <c r="GN218"/>
  <c r="FD196"/>
  <c r="FK196" s="1"/>
  <c r="FE196"/>
  <c r="FL196" s="1"/>
  <c r="FJ196"/>
  <c r="FK335"/>
  <c r="FL335"/>
  <c r="W335" i="71" s="1"/>
  <c r="FL338" i="77"/>
  <c r="W338" i="71" s="1"/>
  <c r="FK338" i="77"/>
  <c r="V338" i="71" s="1"/>
  <c r="FK342" i="77"/>
  <c r="FL342"/>
  <c r="W342" i="71" s="1"/>
  <c r="FL109" i="77"/>
  <c r="FK109"/>
  <c r="FK179"/>
  <c r="FL179"/>
  <c r="FK116"/>
  <c r="FL116"/>
  <c r="FK126"/>
  <c r="FL126"/>
  <c r="FL172"/>
  <c r="FK172"/>
  <c r="FK412"/>
  <c r="FL412"/>
  <c r="AR416"/>
  <c r="AY416" s="1"/>
  <c r="AX416"/>
  <c r="AS416"/>
  <c r="AZ416" s="1"/>
  <c r="AS419"/>
  <c r="AZ419" s="1"/>
  <c r="AX419"/>
  <c r="AR419"/>
  <c r="AY419" s="1"/>
  <c r="AR165"/>
  <c r="AY165" s="1"/>
  <c r="AS165"/>
  <c r="AZ165" s="1"/>
  <c r="AX165"/>
  <c r="AS189"/>
  <c r="AZ189" s="1"/>
  <c r="AX189"/>
  <c r="AR189"/>
  <c r="AY189" s="1"/>
  <c r="AZ337"/>
  <c r="W337" i="65" s="1"/>
  <c r="AY337" i="77"/>
  <c r="V337" i="65" s="1"/>
  <c r="AZ325" i="77"/>
  <c r="W325" i="65" s="1"/>
  <c r="AY325" i="77"/>
  <c r="V325" i="65" s="1"/>
  <c r="AS101" i="77"/>
  <c r="AZ101" s="1"/>
  <c r="AR101"/>
  <c r="AY101" s="1"/>
  <c r="AZ192"/>
  <c r="AY192"/>
  <c r="EA419"/>
  <c r="EH419" s="1"/>
  <c r="EB419"/>
  <c r="EI419" s="1"/>
  <c r="EG419"/>
  <c r="EB305"/>
  <c r="EA305"/>
  <c r="EG305"/>
  <c r="U305" i="70" s="1"/>
  <c r="EG331" i="77"/>
  <c r="U331" i="70" s="1"/>
  <c r="EB331" i="77"/>
  <c r="EA331"/>
  <c r="EA308"/>
  <c r="EG308"/>
  <c r="U308" i="70" s="1"/>
  <c r="EB308" i="77"/>
  <c r="EB173"/>
  <c r="EI173" s="1"/>
  <c r="EG173"/>
  <c r="EA173"/>
  <c r="EH173" s="1"/>
  <c r="EA184"/>
  <c r="EH184" s="1"/>
  <c r="EB184"/>
  <c r="EI184" s="1"/>
  <c r="EG184"/>
  <c r="EB144"/>
  <c r="EI144" s="1"/>
  <c r="EG144"/>
  <c r="EA144"/>
  <c r="EH144" s="1"/>
  <c r="EA12"/>
  <c r="EH12" s="1"/>
  <c r="EG12"/>
  <c r="EB12"/>
  <c r="EI12" s="1"/>
  <c r="EI334"/>
  <c r="W334" i="70" s="1"/>
  <c r="EH334" i="77"/>
  <c r="V334" i="70" s="1"/>
  <c r="EI324" i="77"/>
  <c r="W324" i="70" s="1"/>
  <c r="EH324" i="77"/>
  <c r="V324" i="70" s="1"/>
  <c r="EH174" i="77"/>
  <c r="EI174"/>
  <c r="EH162"/>
  <c r="EI162"/>
  <c r="EH131"/>
  <c r="EI131"/>
  <c r="IS179"/>
  <c r="IM179"/>
  <c r="IT179" s="1"/>
  <c r="IN179"/>
  <c r="IU179" s="1"/>
  <c r="IM16"/>
  <c r="IT16" s="1"/>
  <c r="IS16"/>
  <c r="IN16"/>
  <c r="IU16" s="1"/>
  <c r="IT11"/>
  <c r="IU11"/>
  <c r="IT171"/>
  <c r="IU171"/>
  <c r="IT136"/>
  <c r="IU136"/>
  <c r="IU175"/>
  <c r="IT175"/>
  <c r="IU110"/>
  <c r="IT110"/>
  <c r="IU113"/>
  <c r="IT113"/>
  <c r="BV331"/>
  <c r="BU331"/>
  <c r="CA331"/>
  <c r="U331" i="68" s="1"/>
  <c r="BU324" i="77"/>
  <c r="CA324"/>
  <c r="U324" i="68" s="1"/>
  <c r="BV324" i="77"/>
  <c r="BU197"/>
  <c r="BV197"/>
  <c r="BU157"/>
  <c r="CB157" s="1"/>
  <c r="BV157"/>
  <c r="CC157" s="1"/>
  <c r="CA157"/>
  <c r="CB112"/>
  <c r="CC112"/>
  <c r="BV105"/>
  <c r="BU105"/>
  <c r="CA102"/>
  <c r="BV102"/>
  <c r="BU102"/>
  <c r="BV114"/>
  <c r="BU114"/>
  <c r="CA114"/>
  <c r="CC343"/>
  <c r="W343" i="68" s="1"/>
  <c r="CB343" i="77"/>
  <c r="V343" i="68" s="1"/>
  <c r="CA107" i="77"/>
  <c r="BV107"/>
  <c r="BU107"/>
  <c r="CC338"/>
  <c r="W338" i="68" s="1"/>
  <c r="CB338" i="77"/>
  <c r="V338" i="68" s="1"/>
  <c r="CC130" i="77"/>
  <c r="CB130"/>
  <c r="CC191"/>
  <c r="CB191"/>
  <c r="CB144"/>
  <c r="CC144"/>
  <c r="CC316"/>
  <c r="W316" i="68" s="1"/>
  <c r="CB316" i="77"/>
  <c r="V316" i="68" s="1"/>
  <c r="GH335" i="77"/>
  <c r="GG335"/>
  <c r="GG271"/>
  <c r="GN271" s="1"/>
  <c r="GH271"/>
  <c r="GO271" s="1"/>
  <c r="GO125"/>
  <c r="GN125"/>
  <c r="GO136"/>
  <c r="GN136"/>
  <c r="GN108"/>
  <c r="GO108"/>
  <c r="FD391"/>
  <c r="FK391" s="1"/>
  <c r="FE391"/>
  <c r="FL391" s="1"/>
  <c r="FJ391"/>
  <c r="FD129"/>
  <c r="FK129" s="1"/>
  <c r="FJ129"/>
  <c r="FE129"/>
  <c r="FL129" s="1"/>
  <c r="FE100"/>
  <c r="FL100" s="1"/>
  <c r="FD100"/>
  <c r="FK100" s="1"/>
  <c r="FJ145"/>
  <c r="FE145"/>
  <c r="FL145" s="1"/>
  <c r="FD145"/>
  <c r="FK145" s="1"/>
  <c r="FK328"/>
  <c r="V328" i="71" s="1"/>
  <c r="FL328" i="77"/>
  <c r="W328" i="71" s="1"/>
  <c r="FK309" i="77"/>
  <c r="V309" i="71" s="1"/>
  <c r="FL309" i="77"/>
  <c r="W309" i="71" s="1"/>
  <c r="FL308" i="77"/>
  <c r="W308" i="71" s="1"/>
  <c r="FK308" i="77"/>
  <c r="V308" i="71" s="1"/>
  <c r="FK107" i="77"/>
  <c r="FL107"/>
  <c r="FK167"/>
  <c r="FL167"/>
  <c r="FK135"/>
  <c r="FL135"/>
  <c r="FL110"/>
  <c r="FK110"/>
  <c r="FL122"/>
  <c r="FK122"/>
  <c r="FL186"/>
  <c r="FK186"/>
  <c r="FL173"/>
  <c r="FK173"/>
  <c r="FL416"/>
  <c r="FK416"/>
  <c r="AX188"/>
  <c r="AR188"/>
  <c r="AS188"/>
  <c r="AZ188" s="1"/>
  <c r="AR155"/>
  <c r="AS155"/>
  <c r="AS144"/>
  <c r="AZ144" s="1"/>
  <c r="AR144"/>
  <c r="AZ330"/>
  <c r="W330" i="65" s="1"/>
  <c r="AY330" i="77"/>
  <c r="V330" i="65" s="1"/>
  <c r="AZ134" i="77"/>
  <c r="AY134"/>
  <c r="AZ251"/>
  <c r="AY251"/>
  <c r="AY114"/>
  <c r="AZ114"/>
  <c r="AY162"/>
  <c r="AZ162"/>
  <c r="AY174"/>
  <c r="AZ174"/>
  <c r="EB412"/>
  <c r="EI412" s="1"/>
  <c r="EA412"/>
  <c r="EH412" s="1"/>
  <c r="EA311"/>
  <c r="EB311"/>
  <c r="EA122"/>
  <c r="EG122"/>
  <c r="EB122"/>
  <c r="EA166"/>
  <c r="EH166" s="1"/>
  <c r="EB166"/>
  <c r="EI166" s="1"/>
  <c r="EG166"/>
  <c r="EA171"/>
  <c r="EH171" s="1"/>
  <c r="EB171"/>
  <c r="EI171" s="1"/>
  <c r="EG171"/>
  <c r="EB119"/>
  <c r="EI119" s="1"/>
  <c r="EA119"/>
  <c r="EH119" s="1"/>
  <c r="EG119"/>
  <c r="EG113"/>
  <c r="EB113"/>
  <c r="EI113" s="1"/>
  <c r="EA113"/>
  <c r="EH113" s="1"/>
  <c r="EH137"/>
  <c r="EI137"/>
  <c r="EI141"/>
  <c r="EH141"/>
  <c r="EH128"/>
  <c r="EI128"/>
  <c r="IU151"/>
  <c r="IT151"/>
  <c r="IT114"/>
  <c r="IU114"/>
  <c r="IT126"/>
  <c r="IU126"/>
  <c r="IU184"/>
  <c r="IT184"/>
  <c r="IU180"/>
  <c r="IT180"/>
  <c r="IU173"/>
  <c r="IT173"/>
  <c r="IT102"/>
  <c r="IU102"/>
  <c r="IU177"/>
  <c r="IT177"/>
  <c r="IT141"/>
  <c r="IU141"/>
  <c r="IT161"/>
  <c r="IU161"/>
  <c r="IT331"/>
  <c r="IU331"/>
  <c r="W331" i="74" s="1"/>
  <c r="IU361" i="77"/>
  <c r="IT361"/>
  <c r="BV414"/>
  <c r="CC414" s="1"/>
  <c r="BU414"/>
  <c r="BU391"/>
  <c r="BV391"/>
  <c r="CC391" s="1"/>
  <c r="BV131"/>
  <c r="CC131" s="1"/>
  <c r="BU131"/>
  <c r="BV201"/>
  <c r="CC201" s="1"/>
  <c r="BU201"/>
  <c r="CB201" s="1"/>
  <c r="BV163"/>
  <c r="BU163"/>
  <c r="CB163" s="1"/>
  <c r="CC17"/>
  <c r="CB17"/>
  <c r="CB110"/>
  <c r="CC110"/>
  <c r="GH155"/>
  <c r="GO155" s="1"/>
  <c r="GG155"/>
  <c r="GN155" s="1"/>
  <c r="GG11"/>
  <c r="GN11" s="1"/>
  <c r="GH11"/>
  <c r="GO11" s="1"/>
  <c r="GM11"/>
  <c r="GN123"/>
  <c r="GO123"/>
  <c r="GN161"/>
  <c r="GO161"/>
  <c r="GO188"/>
  <c r="GN188"/>
  <c r="GN121"/>
  <c r="GO121"/>
  <c r="GN162"/>
  <c r="GO162"/>
  <c r="GN231"/>
  <c r="GO231"/>
  <c r="GO182"/>
  <c r="GN182"/>
  <c r="GO219"/>
  <c r="GN219"/>
  <c r="FD125"/>
  <c r="FK125" s="1"/>
  <c r="FE125"/>
  <c r="FD187"/>
  <c r="FK187" s="1"/>
  <c r="FE187"/>
  <c r="FL187" s="1"/>
  <c r="FJ187"/>
  <c r="FL327"/>
  <c r="W327" i="71" s="1"/>
  <c r="FK327" i="77"/>
  <c r="V327" i="71" s="1"/>
  <c r="FL113" i="77"/>
  <c r="FK113"/>
  <c r="FK120"/>
  <c r="FL120"/>
  <c r="FK213"/>
  <c r="FL213"/>
  <c r="AR332"/>
  <c r="AS332"/>
  <c r="AR311"/>
  <c r="AS311"/>
  <c r="AS316"/>
  <c r="AR316"/>
  <c r="AX316"/>
  <c r="U316" i="65" s="1"/>
  <c r="AS185" i="77"/>
  <c r="AZ185" s="1"/>
  <c r="AX185"/>
  <c r="AR185"/>
  <c r="AY185" s="1"/>
  <c r="AR142"/>
  <c r="AY142" s="1"/>
  <c r="AS142"/>
  <c r="AS116"/>
  <c r="AR116"/>
  <c r="AS159"/>
  <c r="AZ159" s="1"/>
  <c r="AX159"/>
  <c r="AR159"/>
  <c r="AY159" s="1"/>
  <c r="AR123"/>
  <c r="AS123"/>
  <c r="AS102"/>
  <c r="AZ102" s="1"/>
  <c r="AR102"/>
  <c r="AY102" s="1"/>
  <c r="AR12"/>
  <c r="AY12" s="1"/>
  <c r="AX12"/>
  <c r="AS12"/>
  <c r="AZ12" s="1"/>
  <c r="AZ100"/>
  <c r="AY100"/>
  <c r="EB330"/>
  <c r="EA330"/>
  <c r="EB213"/>
  <c r="EI213" s="1"/>
  <c r="EA213"/>
  <c r="EH213" s="1"/>
  <c r="EG213"/>
  <c r="EB316"/>
  <c r="EA316"/>
  <c r="EG316"/>
  <c r="U316" i="70" s="1"/>
  <c r="EG201" i="77"/>
  <c r="EB201"/>
  <c r="EI201" s="1"/>
  <c r="EA201"/>
  <c r="EH201" s="1"/>
  <c r="EA193"/>
  <c r="EH193" s="1"/>
  <c r="EB193"/>
  <c r="EI193" s="1"/>
  <c r="EG193"/>
  <c r="EG133"/>
  <c r="EB133"/>
  <c r="EI133" s="1"/>
  <c r="EA133"/>
  <c r="EH133" s="1"/>
  <c r="EG170"/>
  <c r="EA170"/>
  <c r="EH170" s="1"/>
  <c r="EB170"/>
  <c r="EI170" s="1"/>
  <c r="EA134"/>
  <c r="EH134" s="1"/>
  <c r="EG134"/>
  <c r="EB134"/>
  <c r="EI134" s="1"/>
  <c r="EG177"/>
  <c r="EA177"/>
  <c r="EH177" s="1"/>
  <c r="EB177"/>
  <c r="EI177" s="1"/>
  <c r="EA118"/>
  <c r="EG118"/>
  <c r="EB118"/>
  <c r="EI118" s="1"/>
  <c r="EH300"/>
  <c r="V300" i="70" s="1"/>
  <c r="EI300" i="77"/>
  <c r="W300" i="70" s="1"/>
  <c r="IT192" i="77"/>
  <c r="IU192"/>
  <c r="IT108"/>
  <c r="IU108"/>
  <c r="IU129"/>
  <c r="IT129"/>
  <c r="IU12"/>
  <c r="IT12"/>
  <c r="IT147"/>
  <c r="IU147"/>
  <c r="IU391"/>
  <c r="IT391"/>
  <c r="CX361"/>
  <c r="DE361" s="1"/>
  <c r="DD361"/>
  <c r="CY361"/>
  <c r="DF361" s="1"/>
  <c r="CY338"/>
  <c r="CX338"/>
  <c r="CY196"/>
  <c r="CX196"/>
  <c r="CX190"/>
  <c r="DE190" s="1"/>
  <c r="CY190"/>
  <c r="DF190" s="1"/>
  <c r="DD190"/>
  <c r="CX146"/>
  <c r="DE146" s="1"/>
  <c r="DD146"/>
  <c r="CY146"/>
  <c r="DF146" s="1"/>
  <c r="CY100"/>
  <c r="DF100" s="1"/>
  <c r="CX100"/>
  <c r="DE100" s="1"/>
  <c r="IU299"/>
  <c r="W299" i="74" s="1"/>
  <c r="IT299" i="77"/>
  <c r="V299" i="74" s="1"/>
  <c r="CX431" i="77"/>
  <c r="DE431" s="1"/>
  <c r="DD431"/>
  <c r="CY431"/>
  <c r="DF431" s="1"/>
  <c r="CY339"/>
  <c r="CX339"/>
  <c r="CY324"/>
  <c r="CX324"/>
  <c r="CY151"/>
  <c r="DF151" s="1"/>
  <c r="CX151"/>
  <c r="DE151" s="1"/>
  <c r="DD151"/>
  <c r="CY168"/>
  <c r="DF168" s="1"/>
  <c r="CX168"/>
  <c r="DE168" s="1"/>
  <c r="CY126"/>
  <c r="CX126"/>
  <c r="CY139"/>
  <c r="DF139" s="1"/>
  <c r="CX139"/>
  <c r="DE139" s="1"/>
  <c r="DD139"/>
  <c r="CX147"/>
  <c r="DE147" s="1"/>
  <c r="DD147"/>
  <c r="CY147"/>
  <c r="DF147" s="1"/>
  <c r="CX11"/>
  <c r="DE11" s="1"/>
  <c r="CY11"/>
  <c r="DF11" s="1"/>
  <c r="DD11"/>
  <c r="DE326"/>
  <c r="V326" i="69" s="1"/>
  <c r="DF326" i="77"/>
  <c r="W326" i="69" s="1"/>
  <c r="DE122" i="77"/>
  <c r="DF122"/>
  <c r="DE19"/>
  <c r="DF19"/>
  <c r="HK120"/>
  <c r="HJ120"/>
  <c r="HK135"/>
  <c r="HR135" s="1"/>
  <c r="HJ135"/>
  <c r="HQ135" s="1"/>
  <c r="HP135"/>
  <c r="HR325"/>
  <c r="W325" i="73" s="1"/>
  <c r="HQ325" i="77"/>
  <c r="HR324"/>
  <c r="W324" i="73" s="1"/>
  <c r="HQ324" i="77"/>
  <c r="V324" i="73" s="1"/>
  <c r="HP17" i="77"/>
  <c r="HK17"/>
  <c r="HR17" s="1"/>
  <c r="HJ17"/>
  <c r="HQ17" s="1"/>
  <c r="HQ31"/>
  <c r="HR31"/>
  <c r="HQ13"/>
  <c r="HR13"/>
  <c r="HR160"/>
  <c r="HQ160"/>
  <c r="IT162"/>
  <c r="IU162"/>
  <c r="IT133"/>
  <c r="IU133"/>
  <c r="CY421"/>
  <c r="DF421" s="1"/>
  <c r="CX421"/>
  <c r="DE421" s="1"/>
  <c r="DD421"/>
  <c r="DD138"/>
  <c r="CY138"/>
  <c r="DF138" s="1"/>
  <c r="CX138"/>
  <c r="DE138" s="1"/>
  <c r="CX184"/>
  <c r="DE184" s="1"/>
  <c r="CY184"/>
  <c r="DF184" s="1"/>
  <c r="DD184"/>
  <c r="CX157"/>
  <c r="DE157" s="1"/>
  <c r="CY157"/>
  <c r="DF157" s="1"/>
  <c r="DD157"/>
  <c r="CX149"/>
  <c r="DE149" s="1"/>
  <c r="CY149"/>
  <c r="DF149" s="1"/>
  <c r="CY81"/>
  <c r="DF81" s="1"/>
  <c r="CX81"/>
  <c r="DE81" s="1"/>
  <c r="DF381"/>
  <c r="DE381"/>
  <c r="HJ334"/>
  <c r="HK334"/>
  <c r="HJ190"/>
  <c r="HQ190" s="1"/>
  <c r="HK190"/>
  <c r="HR190" s="1"/>
  <c r="HJ138"/>
  <c r="HQ138" s="1"/>
  <c r="HP138"/>
  <c r="HK138"/>
  <c r="HR138" s="1"/>
  <c r="HR107"/>
  <c r="HQ107"/>
  <c r="HQ328"/>
  <c r="V328" i="73" s="1"/>
  <c r="HR328" i="77"/>
  <c r="W328" i="73" s="1"/>
  <c r="HK19" i="77"/>
  <c r="HJ19"/>
  <c r="HR142"/>
  <c r="HQ142"/>
  <c r="EM313"/>
  <c r="AA313" i="70" s="1"/>
  <c r="EL313" i="77"/>
  <c r="Z313" i="70" s="1"/>
  <c r="IU91" i="77"/>
  <c r="IT91"/>
  <c r="IT186"/>
  <c r="IU186"/>
  <c r="DD108"/>
  <c r="CY108"/>
  <c r="DF108" s="1"/>
  <c r="CX108"/>
  <c r="DE108" s="1"/>
  <c r="DF335"/>
  <c r="W335" i="69" s="1"/>
  <c r="DE335" i="77"/>
  <c r="V335" i="69" s="1"/>
  <c r="DF163" i="77"/>
  <c r="DE163"/>
  <c r="DE106"/>
  <c r="DF106"/>
  <c r="DE13"/>
  <c r="DF13"/>
  <c r="DE179"/>
  <c r="DF179"/>
  <c r="HK251"/>
  <c r="HR251" s="1"/>
  <c r="HP251"/>
  <c r="HJ251"/>
  <c r="HQ251" s="1"/>
  <c r="HP143"/>
  <c r="HJ143"/>
  <c r="HQ143" s="1"/>
  <c r="HK143"/>
  <c r="HR143" s="1"/>
  <c r="HP146"/>
  <c r="HK146"/>
  <c r="HR146" s="1"/>
  <c r="HJ146"/>
  <c r="HQ146" s="1"/>
  <c r="HQ339"/>
  <c r="V339" i="73" s="1"/>
  <c r="HR339" i="77"/>
  <c r="W339" i="73" s="1"/>
  <c r="HP15" i="77"/>
  <c r="HK15"/>
  <c r="HR15" s="1"/>
  <c r="HJ15"/>
  <c r="HQ15" s="1"/>
  <c r="HK18"/>
  <c r="HR18" s="1"/>
  <c r="HJ18"/>
  <c r="HQ18" s="1"/>
  <c r="HP18"/>
  <c r="HR330"/>
  <c r="W330" i="73" s="1"/>
  <c r="HQ330" i="77"/>
  <c r="V330" i="73" s="1"/>
  <c r="HQ110" i="77"/>
  <c r="HR110"/>
  <c r="HQ131"/>
  <c r="HR131"/>
  <c r="HQ391"/>
  <c r="HR391"/>
  <c r="IU381"/>
  <c r="IT381"/>
  <c r="IT416"/>
  <c r="IU416"/>
  <c r="CX441"/>
  <c r="DE441" s="1"/>
  <c r="CY441"/>
  <c r="DF441" s="1"/>
  <c r="DD441"/>
  <c r="CX416"/>
  <c r="DE416" s="1"/>
  <c r="CY416"/>
  <c r="DF416" s="1"/>
  <c r="CY337"/>
  <c r="CX337"/>
  <c r="CX316"/>
  <c r="CY316"/>
  <c r="CY281"/>
  <c r="DF281" s="1"/>
  <c r="CX281"/>
  <c r="DE281" s="1"/>
  <c r="CX141"/>
  <c r="DE141" s="1"/>
  <c r="DD141"/>
  <c r="CY141"/>
  <c r="DF141" s="1"/>
  <c r="CX181"/>
  <c r="DE181" s="1"/>
  <c r="CY181"/>
  <c r="DF181" s="1"/>
  <c r="DD181"/>
  <c r="CY61"/>
  <c r="DF61" s="1"/>
  <c r="CX61"/>
  <c r="DE61" s="1"/>
  <c r="DD61"/>
  <c r="CY107"/>
  <c r="DF107" s="1"/>
  <c r="CX107"/>
  <c r="DE107" s="1"/>
  <c r="DD107"/>
  <c r="DF164"/>
  <c r="DE164"/>
  <c r="HJ162"/>
  <c r="HQ162" s="1"/>
  <c r="HK162"/>
  <c r="HR162" s="1"/>
  <c r="HP162"/>
  <c r="HJ14"/>
  <c r="HQ14" s="1"/>
  <c r="HK14"/>
  <c r="HR14" s="1"/>
  <c r="HP14"/>
  <c r="HQ111"/>
  <c r="HR111"/>
  <c r="HR104"/>
  <c r="HQ104"/>
  <c r="HQ177"/>
  <c r="HR177"/>
  <c r="HR170"/>
  <c r="HQ170"/>
  <c r="HQ219"/>
  <c r="HR219"/>
  <c r="GL317"/>
  <c r="AW461"/>
  <c r="AZ461" s="1"/>
  <c r="AW342"/>
  <c r="AW326"/>
  <c r="AW343"/>
  <c r="AW299"/>
  <c r="AW120"/>
  <c r="AX120" s="1"/>
  <c r="AW153"/>
  <c r="AX153" s="1"/>
  <c r="AZ141"/>
  <c r="AW117"/>
  <c r="AX117" s="1"/>
  <c r="BA168"/>
  <c r="EF221"/>
  <c r="EG221" s="1"/>
  <c r="EF139"/>
  <c r="EG139" s="1"/>
  <c r="EF109"/>
  <c r="EG109" s="1"/>
  <c r="EF117"/>
  <c r="EG117" s="1"/>
  <c r="EG317"/>
  <c r="EG217"/>
  <c r="EJ217" s="1"/>
  <c r="IS131"/>
  <c r="IS261"/>
  <c r="IV261" s="1"/>
  <c r="IY261" s="1"/>
  <c r="IS170"/>
  <c r="IV170" s="1"/>
  <c r="IY170" s="1"/>
  <c r="JB170" s="1"/>
  <c r="IS117"/>
  <c r="IV117" s="1"/>
  <c r="IY117" s="1"/>
  <c r="IS421"/>
  <c r="IS461"/>
  <c r="IV461" s="1"/>
  <c r="IY461" s="1"/>
  <c r="BZ337"/>
  <c r="BZ195"/>
  <c r="CA195" s="1"/>
  <c r="BZ156"/>
  <c r="CA156" s="1"/>
  <c r="BZ196"/>
  <c r="CA196" s="1"/>
  <c r="BZ162"/>
  <c r="CA162" s="1"/>
  <c r="CA334"/>
  <c r="GL16"/>
  <c r="GM16" s="1"/>
  <c r="GM12"/>
  <c r="GP12" s="1"/>
  <c r="GS12" s="1"/>
  <c r="GM160"/>
  <c r="GM176"/>
  <c r="GP176" s="1"/>
  <c r="GP81"/>
  <c r="GP168"/>
  <c r="GS168" s="1"/>
  <c r="GM461"/>
  <c r="GM361"/>
  <c r="GP361" s="1"/>
  <c r="GS361" s="1"/>
  <c r="GM416"/>
  <c r="GP416" s="1"/>
  <c r="GS416" s="1"/>
  <c r="FJ159"/>
  <c r="FM159" s="1"/>
  <c r="FJ181"/>
  <c r="FM181" s="1"/>
  <c r="FJ151"/>
  <c r="FM198"/>
  <c r="AW122"/>
  <c r="AX122" s="1"/>
  <c r="AW110"/>
  <c r="AX110" s="1"/>
  <c r="AW119"/>
  <c r="AX119" s="1"/>
  <c r="AX190"/>
  <c r="BA190" s="1"/>
  <c r="EF167"/>
  <c r="EG167" s="1"/>
  <c r="EF135"/>
  <c r="EG135" s="1"/>
  <c r="IS419"/>
  <c r="IV419" s="1"/>
  <c r="IY419" s="1"/>
  <c r="IV158"/>
  <c r="IY158" s="1"/>
  <c r="CD181"/>
  <c r="CD441"/>
  <c r="CD381"/>
  <c r="GL334"/>
  <c r="GM214"/>
  <c r="GP214" s="1"/>
  <c r="GS214" s="1"/>
  <c r="GM195"/>
  <c r="GP195" s="1"/>
  <c r="GS195" s="1"/>
  <c r="GM184"/>
  <c r="GP184" s="1"/>
  <c r="FM114"/>
  <c r="FM103"/>
  <c r="FM115"/>
  <c r="FP115" s="1"/>
  <c r="FM158"/>
  <c r="FM150"/>
  <c r="FM291"/>
  <c r="AW415"/>
  <c r="AX415" s="1"/>
  <c r="AW381"/>
  <c r="AX381" s="1"/>
  <c r="AW170"/>
  <c r="AX170" s="1"/>
  <c r="AW136"/>
  <c r="AX136" s="1"/>
  <c r="AW158"/>
  <c r="AX158" s="1"/>
  <c r="BA335"/>
  <c r="X335" i="65" s="1"/>
  <c r="EF106" i="77"/>
  <c r="EG106" s="1"/>
  <c r="EJ159"/>
  <c r="EJ124"/>
  <c r="IV146"/>
  <c r="IY146" s="1"/>
  <c r="IV194"/>
  <c r="IY194" s="1"/>
  <c r="IS103"/>
  <c r="IV103" s="1"/>
  <c r="IS123"/>
  <c r="DC305"/>
  <c r="DC271"/>
  <c r="DD271" s="1"/>
  <c r="DC140"/>
  <c r="DD140" s="1"/>
  <c r="IS210"/>
  <c r="IV210" s="1"/>
  <c r="IY210" s="1"/>
  <c r="DC391"/>
  <c r="DD391" s="1"/>
  <c r="DG116"/>
  <c r="DG118"/>
  <c r="HS100"/>
  <c r="HS158"/>
  <c r="HV158" s="1"/>
  <c r="HS81"/>
  <c r="HP197"/>
  <c r="HS197" s="1"/>
  <c r="HV197" s="1"/>
  <c r="HS231"/>
  <c r="HV231" s="1"/>
  <c r="IS120"/>
  <c r="IS119"/>
  <c r="IV119" s="1"/>
  <c r="IY119" s="1"/>
  <c r="IV198"/>
  <c r="IY198" s="1"/>
  <c r="IS201"/>
  <c r="IV201" s="1"/>
  <c r="IY201" s="1"/>
  <c r="DC114"/>
  <c r="DD114" s="1"/>
  <c r="DG299"/>
  <c r="X299" i="69" s="1"/>
  <c r="DG182" i="77"/>
  <c r="DG176"/>
  <c r="HS194"/>
  <c r="HV194" s="1"/>
  <c r="HS129"/>
  <c r="HV129" s="1"/>
  <c r="HS176"/>
  <c r="DC121"/>
  <c r="DD121" s="1"/>
  <c r="DC110"/>
  <c r="DD110" s="1"/>
  <c r="DC31"/>
  <c r="DE31" s="1"/>
  <c r="HO112"/>
  <c r="HP112" s="1"/>
  <c r="HS198"/>
  <c r="HV198" s="1"/>
  <c r="HS317"/>
  <c r="DC215"/>
  <c r="DD215" s="1"/>
  <c r="DC123"/>
  <c r="DD123" s="1"/>
  <c r="DD17"/>
  <c r="DG17" s="1"/>
  <c r="DD120"/>
  <c r="DD198"/>
  <c r="DD183"/>
  <c r="DG183" s="1"/>
  <c r="HP340"/>
  <c r="HP343"/>
  <c r="U343" i="73" s="1"/>
  <c r="HP126" i="77"/>
  <c r="HP161"/>
  <c r="HP130"/>
  <c r="HS271"/>
  <c r="HV271" s="1"/>
  <c r="HP214"/>
  <c r="HP166"/>
  <c r="HS166" s="1"/>
  <c r="HV166" s="1"/>
  <c r="HP149"/>
  <c r="Z272"/>
  <c r="DC295"/>
  <c r="Z263"/>
  <c r="Z274"/>
  <c r="FO321"/>
  <c r="Z321" i="71" s="1"/>
  <c r="FQ321" i="77"/>
  <c r="AB321" i="71" s="1"/>
  <c r="FQ333" i="77"/>
  <c r="AB333" i="71" s="1"/>
  <c r="Z270" i="77"/>
  <c r="AA96" i="39"/>
  <c r="AA96" i="77"/>
  <c r="X54" i="39"/>
  <c r="AA54" i="77"/>
  <c r="X37" i="39"/>
  <c r="AA37" i="77"/>
  <c r="Z80"/>
  <c r="Z80" i="39" s="1"/>
  <c r="AA80" i="77"/>
  <c r="Z57"/>
  <c r="Z57" i="39" s="1"/>
  <c r="AA57" i="77"/>
  <c r="X370" i="39"/>
  <c r="AA370" i="77"/>
  <c r="X358" i="39"/>
  <c r="AA358" i="77"/>
  <c r="X60" i="39"/>
  <c r="AA60" i="77"/>
  <c r="X38" i="39"/>
  <c r="AA38" i="77"/>
  <c r="X26" i="39"/>
  <c r="AA26" i="77"/>
  <c r="X374" i="39"/>
  <c r="AA374" i="77"/>
  <c r="X36" i="39"/>
  <c r="AA36" i="77"/>
  <c r="AA283"/>
  <c r="AD283" s="1"/>
  <c r="X53" i="39"/>
  <c r="AA53" i="77"/>
  <c r="X63" i="39"/>
  <c r="AA63" i="77"/>
  <c r="Z269"/>
  <c r="AA269"/>
  <c r="X58" i="39"/>
  <c r="AA58" i="77"/>
  <c r="DI406"/>
  <c r="Z406" i="69" s="1"/>
  <c r="DJ406" i="77"/>
  <c r="GT21"/>
  <c r="HT21"/>
  <c r="FQ113"/>
  <c r="GQ113"/>
  <c r="GT216"/>
  <c r="HT216"/>
  <c r="GT316"/>
  <c r="AB316" i="72" s="1"/>
  <c r="GT314" i="77"/>
  <c r="AB314" i="72" s="1"/>
  <c r="FQ140" i="77"/>
  <c r="GQ140"/>
  <c r="FQ138"/>
  <c r="GQ138"/>
  <c r="FQ218"/>
  <c r="GQ218"/>
  <c r="AC218"/>
  <c r="AD218"/>
  <c r="FQ133"/>
  <c r="GQ133"/>
  <c r="HT130"/>
  <c r="GT130"/>
  <c r="EO105"/>
  <c r="EP105"/>
  <c r="AC129"/>
  <c r="AD129"/>
  <c r="AC331"/>
  <c r="AC331" i="39" s="1"/>
  <c r="AD331" i="77"/>
  <c r="AD331" i="39" s="1"/>
  <c r="AC381" i="77"/>
  <c r="AD381"/>
  <c r="GT291"/>
  <c r="HT291"/>
  <c r="AD31"/>
  <c r="AC31"/>
  <c r="AC123"/>
  <c r="AD123"/>
  <c r="AC116"/>
  <c r="AD116"/>
  <c r="BF156"/>
  <c r="BG156"/>
  <c r="FQ139"/>
  <c r="GQ139"/>
  <c r="FQ151"/>
  <c r="GQ151"/>
  <c r="FQ136"/>
  <c r="GQ136"/>
  <c r="FQ107"/>
  <c r="GQ107"/>
  <c r="GT112"/>
  <c r="GV112" s="1"/>
  <c r="HT112"/>
  <c r="FQ381"/>
  <c r="GQ381"/>
  <c r="FO381"/>
  <c r="GT371"/>
  <c r="HT371"/>
  <c r="AC51"/>
  <c r="AD51"/>
  <c r="AD91"/>
  <c r="AC91"/>
  <c r="AC120"/>
  <c r="AD120"/>
  <c r="AC140"/>
  <c r="AD140"/>
  <c r="GT13"/>
  <c r="HT13"/>
  <c r="FQ155"/>
  <c r="FS155" s="1"/>
  <c r="GQ155"/>
  <c r="Z167"/>
  <c r="AA167"/>
  <c r="HT192"/>
  <c r="GT192"/>
  <c r="IZ311"/>
  <c r="AB311" i="74" s="1"/>
  <c r="HY311" i="77"/>
  <c r="AD311" i="73" s="1"/>
  <c r="HT271" i="77"/>
  <c r="GT271"/>
  <c r="CI18"/>
  <c r="CJ18"/>
  <c r="EO312"/>
  <c r="AC312" i="70" s="1"/>
  <c r="EP312" i="77"/>
  <c r="AD312" i="70" s="1"/>
  <c r="HT125" i="77"/>
  <c r="GT125"/>
  <c r="HY431"/>
  <c r="HX431"/>
  <c r="AC15"/>
  <c r="AD15"/>
  <c r="FR319"/>
  <c r="AC319" i="71" s="1"/>
  <c r="FS319" i="77"/>
  <c r="AD319" i="71" s="1"/>
  <c r="AC196" i="77"/>
  <c r="AD196"/>
  <c r="DL313"/>
  <c r="AC313" i="69" s="1"/>
  <c r="DM313" i="77"/>
  <c r="AD313" i="69" s="1"/>
  <c r="HW181" i="77"/>
  <c r="IW181"/>
  <c r="FQ142"/>
  <c r="GQ142"/>
  <c r="GT106"/>
  <c r="HT106"/>
  <c r="GT31"/>
  <c r="HT31"/>
  <c r="GR31"/>
  <c r="GT213"/>
  <c r="HT213"/>
  <c r="HW217"/>
  <c r="IW217"/>
  <c r="GT281"/>
  <c r="GV281" s="1"/>
  <c r="HT281"/>
  <c r="BF15"/>
  <c r="BG15"/>
  <c r="AC156"/>
  <c r="AD156"/>
  <c r="DJ155"/>
  <c r="DI155"/>
  <c r="IY281"/>
  <c r="Z111"/>
  <c r="AA111"/>
  <c r="AC216"/>
  <c r="AD216"/>
  <c r="GT132"/>
  <c r="HT132"/>
  <c r="EO14"/>
  <c r="EP14"/>
  <c r="HT131"/>
  <c r="GT131"/>
  <c r="AC312"/>
  <c r="AC312" i="39" s="1"/>
  <c r="AD312" i="77"/>
  <c r="AD312" i="39" s="1"/>
  <c r="GR312" i="77"/>
  <c r="Z312" i="72" s="1"/>
  <c r="DI210" i="77"/>
  <c r="DJ210"/>
  <c r="GT210"/>
  <c r="GV210" s="1"/>
  <c r="HT210"/>
  <c r="DL18"/>
  <c r="DM18"/>
  <c r="AD109"/>
  <c r="AC109"/>
  <c r="FR431"/>
  <c r="FS431"/>
  <c r="CI315"/>
  <c r="AC315" i="68" s="1"/>
  <c r="CJ315" i="77"/>
  <c r="AD315" i="68" s="1"/>
  <c r="DL211" i="77"/>
  <c r="DM211"/>
  <c r="BF216"/>
  <c r="BG216"/>
  <c r="CF170"/>
  <c r="CG170"/>
  <c r="AD108"/>
  <c r="AC108"/>
  <c r="AC421"/>
  <c r="AD421"/>
  <c r="HW105"/>
  <c r="HY105" s="1"/>
  <c r="IW105"/>
  <c r="BF315"/>
  <c r="AC315" i="65" s="1"/>
  <c r="BG315" i="77"/>
  <c r="AD315" i="65" s="1"/>
  <c r="BF171" i="77"/>
  <c r="BG171"/>
  <c r="EO104"/>
  <c r="EP104"/>
  <c r="GT16"/>
  <c r="HT16"/>
  <c r="GT108"/>
  <c r="HT108"/>
  <c r="AD13"/>
  <c r="AC13"/>
  <c r="HT198"/>
  <c r="GT198"/>
  <c r="GR198"/>
  <c r="DL15"/>
  <c r="DM15"/>
  <c r="FS105"/>
  <c r="HU311"/>
  <c r="Z311" i="73" s="1"/>
  <c r="FR414" i="77"/>
  <c r="GR112"/>
  <c r="GU210"/>
  <c r="EO417"/>
  <c r="X257" i="39"/>
  <c r="AA257" i="77"/>
  <c r="X247" i="39"/>
  <c r="AA247" i="77"/>
  <c r="X227" i="39"/>
  <c r="AA227" i="77"/>
  <c r="Z97"/>
  <c r="Z97" i="39" s="1"/>
  <c r="AA97" i="77"/>
  <c r="X370" i="74"/>
  <c r="IY370" i="77"/>
  <c r="Z434"/>
  <c r="Z434" i="39" s="1"/>
  <c r="AA434" i="77"/>
  <c r="Z246"/>
  <c r="Z246" i="39" s="1"/>
  <c r="AA246" i="77"/>
  <c r="X238" i="39"/>
  <c r="AA238" i="77"/>
  <c r="X59" i="39"/>
  <c r="AA59" i="77"/>
  <c r="X64" i="39"/>
  <c r="AA64" i="77"/>
  <c r="X44" i="39"/>
  <c r="AA44" i="77"/>
  <c r="X254" i="39"/>
  <c r="AA253" i="77"/>
  <c r="X30" i="39"/>
  <c r="AA30" i="77"/>
  <c r="EL64"/>
  <c r="Z64" i="70" s="1"/>
  <c r="EM64" i="77"/>
  <c r="X29" i="39"/>
  <c r="AA29" i="77"/>
  <c r="X369" i="39"/>
  <c r="AA369" i="77"/>
  <c r="EM44"/>
  <c r="EP44" s="1"/>
  <c r="AD44" i="70" s="1"/>
  <c r="CF249" i="77"/>
  <c r="Z249" i="68" s="1"/>
  <c r="CG249" i="77"/>
  <c r="X235" i="39"/>
  <c r="AA235" i="77"/>
  <c r="X367" i="39"/>
  <c r="AA367" i="77"/>
  <c r="AC119"/>
  <c r="AD119"/>
  <c r="AC183"/>
  <c r="AD183"/>
  <c r="BF313"/>
  <c r="AC313" i="65" s="1"/>
  <c r="BG313" i="77"/>
  <c r="AD313" i="65" s="1"/>
  <c r="AC318" i="77"/>
  <c r="AC318" i="39" s="1"/>
  <c r="AD318" i="77"/>
  <c r="AD318" i="39" s="1"/>
  <c r="FQ137" i="77"/>
  <c r="GQ137"/>
  <c r="FQ144"/>
  <c r="GQ144"/>
  <c r="GT12"/>
  <c r="HT12"/>
  <c r="GR12"/>
  <c r="HT118"/>
  <c r="GT118"/>
  <c r="HT190"/>
  <c r="GT190"/>
  <c r="GR190"/>
  <c r="AC142"/>
  <c r="AD142"/>
  <c r="HT194"/>
  <c r="GT194"/>
  <c r="GR194"/>
  <c r="HT117"/>
  <c r="GT117"/>
  <c r="GT251"/>
  <c r="HT251"/>
  <c r="AC100"/>
  <c r="AD100"/>
  <c r="CI321"/>
  <c r="AC321" i="68" s="1"/>
  <c r="CJ321" i="77"/>
  <c r="AD321" i="68" s="1"/>
  <c r="GQ41" i="77"/>
  <c r="FQ41"/>
  <c r="FO41"/>
  <c r="HT160"/>
  <c r="GT160"/>
  <c r="AC128"/>
  <c r="AD128"/>
  <c r="HT71"/>
  <c r="GT71"/>
  <c r="GV71" s="1"/>
  <c r="HT412"/>
  <c r="GT412"/>
  <c r="GV412" s="1"/>
  <c r="IW18"/>
  <c r="HW18"/>
  <c r="HT183"/>
  <c r="GT183"/>
  <c r="GV183" s="1"/>
  <c r="HT167"/>
  <c r="GT167"/>
  <c r="GR167"/>
  <c r="HT197"/>
  <c r="GT197"/>
  <c r="GR197"/>
  <c r="CI149"/>
  <c r="CJ149"/>
  <c r="BF14"/>
  <c r="BG14"/>
  <c r="AC137"/>
  <c r="AD137"/>
  <c r="EO341"/>
  <c r="AC341" i="70" s="1"/>
  <c r="EP341" i="77"/>
  <c r="AD341" i="70" s="1"/>
  <c r="AC211" i="77"/>
  <c r="AD211"/>
  <c r="HT19"/>
  <c r="GT19"/>
  <c r="AC159"/>
  <c r="AD159"/>
  <c r="AD106"/>
  <c r="AC106"/>
  <c r="AD414"/>
  <c r="AC414"/>
  <c r="AD401"/>
  <c r="AC401"/>
  <c r="IY215"/>
  <c r="CF419"/>
  <c r="CG419"/>
  <c r="GR211"/>
  <c r="GS211"/>
  <c r="AC182"/>
  <c r="AD182"/>
  <c r="FQ141"/>
  <c r="GQ141"/>
  <c r="FQ109"/>
  <c r="GQ109"/>
  <c r="FR413"/>
  <c r="FS413"/>
  <c r="HT157"/>
  <c r="GT157"/>
  <c r="CI155"/>
  <c r="CJ155"/>
  <c r="CI413"/>
  <c r="CJ413"/>
  <c r="CI312"/>
  <c r="AC312" i="68" s="1"/>
  <c r="CJ312" i="77"/>
  <c r="AD312" i="68" s="1"/>
  <c r="GT317" i="77"/>
  <c r="AB317" i="72" s="1"/>
  <c r="CI301" i="77"/>
  <c r="AC301" i="68" s="1"/>
  <c r="CJ301" i="77"/>
  <c r="AD301" i="68" s="1"/>
  <c r="HT119" i="77"/>
  <c r="GT119"/>
  <c r="HW310"/>
  <c r="AB310" i="73" s="1"/>
  <c r="GR310" i="77"/>
  <c r="Z310" i="72" s="1"/>
  <c r="AD113" i="77"/>
  <c r="AC113"/>
  <c r="AC179"/>
  <c r="AD179"/>
  <c r="AD261"/>
  <c r="AC261"/>
  <c r="AC175"/>
  <c r="AD175"/>
  <c r="AC241"/>
  <c r="AD241"/>
  <c r="HV154"/>
  <c r="GU413"/>
  <c r="GV413"/>
  <c r="BF148"/>
  <c r="BG148"/>
  <c r="AC146"/>
  <c r="AD146"/>
  <c r="CI221"/>
  <c r="CJ221"/>
  <c r="HT164"/>
  <c r="GT164"/>
  <c r="DL201"/>
  <c r="DM201"/>
  <c r="CI213"/>
  <c r="CJ213"/>
  <c r="GR130"/>
  <c r="GU192"/>
  <c r="GV311"/>
  <c r="AD311" i="72" s="1"/>
  <c r="HX311" i="77"/>
  <c r="AC311" i="73" s="1"/>
  <c r="GU51" i="77"/>
  <c r="GU112"/>
  <c r="GU217"/>
  <c r="FR15"/>
  <c r="X85" i="39"/>
  <c r="AA85" i="77"/>
  <c r="AA69" i="39"/>
  <c r="AA69" i="77"/>
  <c r="X380" i="71"/>
  <c r="FP380" i="77"/>
  <c r="X66" i="39"/>
  <c r="AA66" i="77"/>
  <c r="Z67"/>
  <c r="Z67" i="39" s="1"/>
  <c r="AA67" i="77"/>
  <c r="X32" i="39"/>
  <c r="AA32" i="77"/>
  <c r="X227" i="65"/>
  <c r="BD227" i="77"/>
  <c r="X42" i="39"/>
  <c r="AA42" i="77"/>
  <c r="X65" i="39"/>
  <c r="AA65" i="77"/>
  <c r="X251" i="39"/>
  <c r="AA248" i="77"/>
  <c r="Z352"/>
  <c r="Z352" i="39" s="1"/>
  <c r="AA352" i="77"/>
  <c r="Z357"/>
  <c r="Z357" i="39" s="1"/>
  <c r="AA357" i="77"/>
  <c r="X33" i="39"/>
  <c r="AA33" i="77"/>
  <c r="Z363"/>
  <c r="Z363" i="39" s="1"/>
  <c r="AA363" i="77"/>
  <c r="X23" i="39"/>
  <c r="AA23" i="77"/>
  <c r="X73" i="39"/>
  <c r="AA73" i="77"/>
  <c r="X24" i="39"/>
  <c r="AA24" i="77"/>
  <c r="X226" i="39"/>
  <c r="AA226" i="77"/>
  <c r="AA48" i="39"/>
  <c r="AA48" i="77"/>
  <c r="AA222"/>
  <c r="AC222" s="1"/>
  <c r="AA52" i="39"/>
  <c r="AA52" i="77"/>
  <c r="X28" i="39"/>
  <c r="AA28" i="77"/>
  <c r="AA54" i="72"/>
  <c r="GS54" i="77"/>
  <c r="AA34" i="39"/>
  <c r="AA34" i="77"/>
  <c r="X22" i="39"/>
  <c r="AA22" i="77"/>
  <c r="Z285"/>
  <c r="AA285"/>
  <c r="AA384"/>
  <c r="AD384" s="1"/>
  <c r="X46" i="39"/>
  <c r="AA46" i="77"/>
  <c r="X256" i="39"/>
  <c r="AA256" i="77"/>
  <c r="Z273"/>
  <c r="AA273"/>
  <c r="X370" i="72"/>
  <c r="GS370" i="77"/>
  <c r="FQ91"/>
  <c r="GQ91"/>
  <c r="FQ115"/>
  <c r="GQ115"/>
  <c r="FQ148"/>
  <c r="GQ148"/>
  <c r="FQ231"/>
  <c r="FS231" s="1"/>
  <c r="GQ231"/>
  <c r="GU319"/>
  <c r="AC319" i="72" s="1"/>
  <c r="GV319" i="77"/>
  <c r="AD319" i="72" s="1"/>
  <c r="FQ61" i="77"/>
  <c r="GQ61"/>
  <c r="GT17"/>
  <c r="HT17"/>
  <c r="IY149"/>
  <c r="HT163"/>
  <c r="GT163"/>
  <c r="HT162"/>
  <c r="GT162"/>
  <c r="AD71"/>
  <c r="AC71"/>
  <c r="AC18"/>
  <c r="AD18"/>
  <c r="AD151"/>
  <c r="AC151"/>
  <c r="AC19"/>
  <c r="AD19"/>
  <c r="EO319"/>
  <c r="AC319" i="70" s="1"/>
  <c r="EP319" i="77"/>
  <c r="AD319" i="70" s="1"/>
  <c r="AC413" i="77"/>
  <c r="AD413"/>
  <c r="FQ419"/>
  <c r="GQ419"/>
  <c r="AC189"/>
  <c r="AD189"/>
  <c r="CI14"/>
  <c r="CJ14"/>
  <c r="GU315"/>
  <c r="AC315" i="72" s="1"/>
  <c r="GV315" i="77"/>
  <c r="AD315" i="72" s="1"/>
  <c r="FR313" i="77"/>
  <c r="AC313" i="71" s="1"/>
  <c r="FS313" i="77"/>
  <c r="AD313" i="71" s="1"/>
  <c r="AC291" i="77"/>
  <c r="AD291"/>
  <c r="GT114"/>
  <c r="HT114"/>
  <c r="FQ146"/>
  <c r="GQ146"/>
  <c r="FQ154"/>
  <c r="GQ154"/>
  <c r="FQ153"/>
  <c r="GQ153"/>
  <c r="FO153"/>
  <c r="GT149"/>
  <c r="HT149"/>
  <c r="GT201"/>
  <c r="HT201"/>
  <c r="CI71"/>
  <c r="CJ71"/>
  <c r="GT110"/>
  <c r="HT110"/>
  <c r="FQ143"/>
  <c r="GQ143"/>
  <c r="AD219"/>
  <c r="AC219"/>
  <c r="IW401"/>
  <c r="HW401"/>
  <c r="HY401" s="1"/>
  <c r="HT126"/>
  <c r="GT126"/>
  <c r="HT166"/>
  <c r="GT166"/>
  <c r="HT120"/>
  <c r="GT120"/>
  <c r="HT195"/>
  <c r="GT195"/>
  <c r="HT241"/>
  <c r="GT241"/>
  <c r="HT188"/>
  <c r="GT188"/>
  <c r="HT156"/>
  <c r="GT156"/>
  <c r="GV156" s="1"/>
  <c r="HT414"/>
  <c r="GT414"/>
  <c r="GV414" s="1"/>
  <c r="AD12"/>
  <c r="AC12"/>
  <c r="AC133"/>
  <c r="AD133"/>
  <c r="BF431"/>
  <c r="BG431"/>
  <c r="FQ135"/>
  <c r="GQ135"/>
  <c r="FQ147"/>
  <c r="GQ147"/>
  <c r="FQ361"/>
  <c r="GQ361"/>
  <c r="AC17"/>
  <c r="AD17"/>
  <c r="AC198"/>
  <c r="AD198"/>
  <c r="EO18"/>
  <c r="EP18"/>
  <c r="AD416"/>
  <c r="AC416"/>
  <c r="Z321"/>
  <c r="AC160"/>
  <c r="AD160"/>
  <c r="FR171"/>
  <c r="FS171"/>
  <c r="HT128"/>
  <c r="GT128"/>
  <c r="HT116"/>
  <c r="GT116"/>
  <c r="AC102"/>
  <c r="AD102"/>
  <c r="EL51"/>
  <c r="EM51"/>
  <c r="FO315"/>
  <c r="Z315" i="71" s="1"/>
  <c r="GT145" i="77"/>
  <c r="HT145"/>
  <c r="GR145"/>
  <c r="AC132"/>
  <c r="AD132"/>
  <c r="CI173"/>
  <c r="CJ173"/>
  <c r="CI210"/>
  <c r="CJ210"/>
  <c r="EL371"/>
  <c r="EM371"/>
  <c r="CI214"/>
  <c r="CJ214"/>
  <c r="DI213"/>
  <c r="DJ213"/>
  <c r="DM319"/>
  <c r="AD319" i="69" s="1"/>
  <c r="DL319" i="77"/>
  <c r="AC319" i="69" s="1"/>
  <c r="FR182" i="77"/>
  <c r="FS182"/>
  <c r="FQ111"/>
  <c r="GQ111"/>
  <c r="FQ134"/>
  <c r="GQ134"/>
  <c r="GU301"/>
  <c r="AC301" i="72" s="1"/>
  <c r="GV301" i="77"/>
  <c r="AD301" i="72" s="1"/>
  <c r="AC419" i="77"/>
  <c r="AD419"/>
  <c r="FR216"/>
  <c r="EP71"/>
  <c r="GU130"/>
  <c r="GR192"/>
  <c r="GR71"/>
  <c r="HU401"/>
  <c r="GU291"/>
  <c r="FO155"/>
  <c r="EP414"/>
  <c r="FR199"/>
  <c r="FS215"/>
  <c r="X83" i="39"/>
  <c r="AA83" i="77"/>
  <c r="Z50"/>
  <c r="Z50" i="39" s="1"/>
  <c r="AA50" i="77"/>
  <c r="AA208" i="39"/>
  <c r="AA200" i="77"/>
  <c r="X39" i="39"/>
  <c r="AA39" i="77"/>
  <c r="X355" i="39"/>
  <c r="AA355" i="77"/>
  <c r="X27" i="39"/>
  <c r="AA27" i="77"/>
  <c r="X62" i="39"/>
  <c r="AA62" i="77"/>
  <c r="X378" i="39"/>
  <c r="AA378" i="77"/>
  <c r="X228" i="39"/>
  <c r="AA228" i="77"/>
  <c r="GR52"/>
  <c r="Z52" i="72" s="1"/>
  <c r="GS52" i="77"/>
  <c r="X20" i="39"/>
  <c r="AA20" i="77"/>
  <c r="X70" i="39"/>
  <c r="AA70" i="77"/>
  <c r="AA202"/>
  <c r="AD202" s="1"/>
  <c r="GT461"/>
  <c r="HT461"/>
  <c r="AD114"/>
  <c r="AC114"/>
  <c r="AC361"/>
  <c r="AD361"/>
  <c r="BF71"/>
  <c r="BG71"/>
  <c r="GT11"/>
  <c r="HT11"/>
  <c r="HT193"/>
  <c r="GT193"/>
  <c r="HT123"/>
  <c r="GT123"/>
  <c r="HT161"/>
  <c r="GT161"/>
  <c r="HT129"/>
  <c r="GT129"/>
  <c r="GT214"/>
  <c r="HT214"/>
  <c r="GR214"/>
  <c r="IW51"/>
  <c r="HW51"/>
  <c r="HY51" s="1"/>
  <c r="HT159"/>
  <c r="GT159"/>
  <c r="FQ417"/>
  <c r="GQ417"/>
  <c r="FO417"/>
  <c r="HT196"/>
  <c r="GT196"/>
  <c r="AC417"/>
  <c r="AD417"/>
  <c r="GS241"/>
  <c r="GR241"/>
  <c r="HV71"/>
  <c r="HU71"/>
  <c r="GT441"/>
  <c r="HT441"/>
  <c r="GR441"/>
  <c r="BF414"/>
  <c r="BG414"/>
  <c r="HT15"/>
  <c r="GT15"/>
  <c r="GR15"/>
  <c r="HT121"/>
  <c r="GT121"/>
  <c r="HT168"/>
  <c r="GT168"/>
  <c r="GR168"/>
  <c r="AC16"/>
  <c r="AD16"/>
  <c r="AC210"/>
  <c r="AD210"/>
  <c r="DL311"/>
  <c r="AC311" i="69" s="1"/>
  <c r="DM311" i="77"/>
  <c r="AD311" i="69" s="1"/>
  <c r="CI401" i="77"/>
  <c r="CJ401"/>
  <c r="AC251"/>
  <c r="AD251"/>
  <c r="IZ173"/>
  <c r="HW331"/>
  <c r="AB331" i="73" s="1"/>
  <c r="HT411" i="77"/>
  <c r="GT411"/>
  <c r="GV411" s="1"/>
  <c r="HT158"/>
  <c r="GT158"/>
  <c r="GR158"/>
  <c r="IZ431"/>
  <c r="IX431"/>
  <c r="AC221"/>
  <c r="AD221"/>
  <c r="AC41"/>
  <c r="AD41"/>
  <c r="DL301"/>
  <c r="AC301" i="69" s="1"/>
  <c r="DM301" i="77"/>
  <c r="AD301" i="69" s="1"/>
  <c r="IY155" i="77"/>
  <c r="AD155"/>
  <c r="AC155"/>
  <c r="GT150"/>
  <c r="HT150"/>
  <c r="GR150"/>
  <c r="FQ219"/>
  <c r="GQ219"/>
  <c r="FQ416"/>
  <c r="GQ416"/>
  <c r="AD147"/>
  <c r="AC147"/>
  <c r="AC217"/>
  <c r="AD217"/>
  <c r="AC317"/>
  <c r="AC317" i="39" s="1"/>
  <c r="AD317" i="77"/>
  <c r="AD317" i="39" s="1"/>
  <c r="AC214" i="77"/>
  <c r="AD214"/>
  <c r="HU213"/>
  <c r="HV213"/>
  <c r="AC186"/>
  <c r="AD186"/>
  <c r="IW14"/>
  <c r="HW14"/>
  <c r="HT199"/>
  <c r="GT199"/>
  <c r="GV199" s="1"/>
  <c r="HT391"/>
  <c r="GT391"/>
  <c r="FO201"/>
  <c r="FP201"/>
  <c r="FR201" s="1"/>
  <c r="GT421"/>
  <c r="HT421"/>
  <c r="GR421"/>
  <c r="GT215"/>
  <c r="HT215"/>
  <c r="FQ261"/>
  <c r="GQ261"/>
  <c r="AC148"/>
  <c r="AD148"/>
  <c r="AC124"/>
  <c r="AD124"/>
  <c r="CI159"/>
  <c r="CJ159"/>
  <c r="HT122"/>
  <c r="GT122"/>
  <c r="HT124"/>
  <c r="GT124"/>
  <c r="GT211"/>
  <c r="GV211" s="1"/>
  <c r="HT211"/>
  <c r="AC176"/>
  <c r="AD176"/>
  <c r="BF281"/>
  <c r="BG281"/>
  <c r="AC180"/>
  <c r="AD180"/>
  <c r="GR201"/>
  <c r="GS201"/>
  <c r="GU201" s="1"/>
  <c r="AC319"/>
  <c r="AC319" i="39" s="1"/>
  <c r="AD319" i="77"/>
  <c r="AD319" i="39" s="1"/>
  <c r="CI311" i="77"/>
  <c r="AC311" i="68" s="1"/>
  <c r="CJ311" i="77"/>
  <c r="AD311" i="68" s="1"/>
  <c r="HT165" i="77"/>
  <c r="GT165"/>
  <c r="HT191"/>
  <c r="GT191"/>
  <c r="AD105"/>
  <c r="AC105"/>
  <c r="CI431"/>
  <c r="CJ431"/>
  <c r="AC199"/>
  <c r="AD199"/>
  <c r="GU71"/>
  <c r="FR321"/>
  <c r="AC321" i="71" s="1"/>
  <c r="FS156" i="77"/>
  <c r="GR156"/>
  <c r="FR281"/>
  <c r="GR281"/>
  <c r="FR183"/>
  <c r="GR412"/>
  <c r="FR251"/>
  <c r="GR210"/>
  <c r="V129" i="72"/>
  <c r="GT335" i="77"/>
  <c r="AB335" i="72" s="1"/>
  <c r="AC335" i="77"/>
  <c r="AC335" i="39" s="1"/>
  <c r="AD335" i="77"/>
  <c r="AD335" i="39" s="1"/>
  <c r="GT334" i="77"/>
  <c r="AB334" i="72" s="1"/>
  <c r="AC334" i="77"/>
  <c r="AC334" i="39" s="1"/>
  <c r="AD334" i="77"/>
  <c r="AD334" i="39" s="1"/>
  <c r="AC339" i="77"/>
  <c r="AC339" i="39" s="1"/>
  <c r="AD339" i="77"/>
  <c r="AD339" i="39" s="1"/>
  <c r="GT339" i="77"/>
  <c r="AB339" i="72" s="1"/>
  <c r="AC330" i="77"/>
  <c r="AC330" i="39" s="1"/>
  <c r="AD330" i="77"/>
  <c r="AD330" i="39" s="1"/>
  <c r="GT330" i="77"/>
  <c r="AB330" i="72" s="1"/>
  <c r="GT328" i="77"/>
  <c r="AB328" i="72" s="1"/>
  <c r="AC325" i="77"/>
  <c r="AC325" i="39" s="1"/>
  <c r="AD325" i="77"/>
  <c r="AD325" i="39" s="1"/>
  <c r="GT325" i="77"/>
  <c r="AB325" i="72" s="1"/>
  <c r="AC344" i="77"/>
  <c r="AC344" i="39" s="1"/>
  <c r="AD344" i="77"/>
  <c r="AD344" i="39" s="1"/>
  <c r="GT344" i="77"/>
  <c r="AB344" i="72" s="1"/>
  <c r="AC337" i="77"/>
  <c r="AC337" i="39" s="1"/>
  <c r="AD337" i="77"/>
  <c r="AD337" i="39" s="1"/>
  <c r="GT337" i="77"/>
  <c r="AB337" i="72" s="1"/>
  <c r="AC324" i="77"/>
  <c r="AC324" i="39" s="1"/>
  <c r="AD324" i="77"/>
  <c r="AD324" i="39" s="1"/>
  <c r="GT324" i="77"/>
  <c r="AB324" i="72" s="1"/>
  <c r="GT340" i="77"/>
  <c r="AB340" i="72" s="1"/>
  <c r="AC340" i="77"/>
  <c r="AC340" i="39" s="1"/>
  <c r="AD340" i="77"/>
  <c r="AD340" i="39" s="1"/>
  <c r="GT309" i="77"/>
  <c r="AB309" i="72" s="1"/>
  <c r="AC309" i="77"/>
  <c r="AC309" i="39" s="1"/>
  <c r="AD309" i="77"/>
  <c r="AD309" i="39" s="1"/>
  <c r="AC308" i="77"/>
  <c r="AC308" i="39" s="1"/>
  <c r="AD308" i="77"/>
  <c r="AD308" i="39" s="1"/>
  <c r="GT308" i="77"/>
  <c r="AB308" i="72" s="1"/>
  <c r="HW305" i="77"/>
  <c r="AB305" i="73" s="1"/>
  <c r="GR305" i="77"/>
  <c r="Z305" i="72" s="1"/>
  <c r="FS305" i="77"/>
  <c r="AD305" i="71" s="1"/>
  <c r="FR305" i="77"/>
  <c r="AC305" i="71" s="1"/>
  <c r="CI305" i="77"/>
  <c r="AC305" i="68" s="1"/>
  <c r="CJ305" i="77"/>
  <c r="AD305" i="68" s="1"/>
  <c r="AC305" i="77"/>
  <c r="AC305" i="39" s="1"/>
  <c r="AD305" i="77"/>
  <c r="AD305" i="39" s="1"/>
  <c r="AC303" i="77"/>
  <c r="AC303" i="39" s="1"/>
  <c r="AD303" i="77"/>
  <c r="AD303" i="39" s="1"/>
  <c r="HW303" i="77"/>
  <c r="AB303" i="73" s="1"/>
  <c r="GV303" i="77"/>
  <c r="AD303" i="72" s="1"/>
  <c r="FS303" i="77"/>
  <c r="AD303" i="71" s="1"/>
  <c r="FR303" i="77"/>
  <c r="AC303" i="71" s="1"/>
  <c r="GR303" i="77"/>
  <c r="Z303" i="72" s="1"/>
  <c r="AC343" i="77"/>
  <c r="AC343" i="39" s="1"/>
  <c r="AD343" i="77"/>
  <c r="AD343" i="39" s="1"/>
  <c r="GT343" i="77"/>
  <c r="AB343" i="72" s="1"/>
  <c r="AC342" i="77"/>
  <c r="AC342" i="39" s="1"/>
  <c r="AD342" i="77"/>
  <c r="AD342" i="39" s="1"/>
  <c r="GT342" i="77"/>
  <c r="AB342" i="72" s="1"/>
  <c r="AC338" i="77"/>
  <c r="AC338" i="39" s="1"/>
  <c r="AD338" i="77"/>
  <c r="AD338" i="39" s="1"/>
  <c r="GT338" i="77"/>
  <c r="AB338" i="72" s="1"/>
  <c r="AC332" i="77"/>
  <c r="AC332" i="39" s="1"/>
  <c r="AD332" i="77"/>
  <c r="AD332" i="39" s="1"/>
  <c r="GT332" i="77"/>
  <c r="AB332" i="72" s="1"/>
  <c r="AC327" i="77"/>
  <c r="AC327" i="39" s="1"/>
  <c r="AD327" i="77"/>
  <c r="AD327" i="39" s="1"/>
  <c r="GT327" i="77"/>
  <c r="AB327" i="72" s="1"/>
  <c r="AC306" i="77"/>
  <c r="AC306" i="39" s="1"/>
  <c r="AD306" i="77"/>
  <c r="AD306" i="39" s="1"/>
  <c r="GT306" i="77"/>
  <c r="AB306" i="72" s="1"/>
  <c r="GT300" i="77"/>
  <c r="AB300" i="72" s="1"/>
  <c r="AC300" i="77"/>
  <c r="AC300" i="39" s="1"/>
  <c r="AD300" i="77"/>
  <c r="AD300" i="39" s="1"/>
  <c r="GT348" i="77"/>
  <c r="AB348" i="72" s="1"/>
  <c r="AC348" i="77"/>
  <c r="AC348" i="39" s="1"/>
  <c r="AD348" i="77"/>
  <c r="AD348" i="39" s="1"/>
  <c r="GT333" i="77"/>
  <c r="AB333" i="72" s="1"/>
  <c r="AC333" i="77"/>
  <c r="AC333" i="39" s="1"/>
  <c r="AD333" i="77"/>
  <c r="AD333" i="39" s="1"/>
  <c r="GT326" i="77"/>
  <c r="AB326" i="72" s="1"/>
  <c r="AC326" i="77"/>
  <c r="AC326" i="39" s="1"/>
  <c r="AD326" i="77"/>
  <c r="AD326" i="39" s="1"/>
  <c r="HW299" i="77"/>
  <c r="AB299" i="73" s="1"/>
  <c r="AC299" i="77"/>
  <c r="AC299" i="39" s="1"/>
  <c r="AD299" i="77"/>
  <c r="AD299" i="39" s="1"/>
  <c r="GU336" i="77"/>
  <c r="AC336" i="72" s="1"/>
  <c r="GV336" i="77"/>
  <c r="AD336" i="72" s="1"/>
  <c r="FR336" i="77"/>
  <c r="AC336" i="71" s="1"/>
  <c r="FS336" i="77"/>
  <c r="AD336" i="71" s="1"/>
  <c r="DL336" i="77"/>
  <c r="AC336" i="69" s="1"/>
  <c r="DM336" i="77"/>
  <c r="AD336" i="69" s="1"/>
  <c r="CI336" i="77"/>
  <c r="AC336" i="68" s="1"/>
  <c r="CJ336" i="77"/>
  <c r="AD336" i="68" s="1"/>
  <c r="AC336" i="77"/>
  <c r="AC336" i="39" s="1"/>
  <c r="GU320" i="77"/>
  <c r="AC320" i="72" s="1"/>
  <c r="GV320" i="77"/>
  <c r="AD320" i="72" s="1"/>
  <c r="EO320" i="77"/>
  <c r="AC320" i="70" s="1"/>
  <c r="EP320" i="77"/>
  <c r="AD320" i="70" s="1"/>
  <c r="DL320" i="77"/>
  <c r="AC320" i="69" s="1"/>
  <c r="DM320" i="77"/>
  <c r="AD320" i="69" s="1"/>
  <c r="CI320" i="77"/>
  <c r="AC320" i="68" s="1"/>
  <c r="CJ320" i="77"/>
  <c r="AD320" i="68" s="1"/>
  <c r="AC320" i="77"/>
  <c r="AC320" i="39" s="1"/>
  <c r="GU329" i="77"/>
  <c r="AC329" i="72" s="1"/>
  <c r="GV329" i="77"/>
  <c r="AD329" i="72" s="1"/>
  <c r="FR329" i="77"/>
  <c r="AC329" i="71" s="1"/>
  <c r="FS329" i="77"/>
  <c r="AD329" i="71" s="1"/>
  <c r="EO329" i="77"/>
  <c r="AC329" i="70" s="1"/>
  <c r="EP329" i="77"/>
  <c r="AD329" i="70" s="1"/>
  <c r="DL329" i="77"/>
  <c r="AC329" i="69" s="1"/>
  <c r="DM329" i="77"/>
  <c r="AD329" i="69" s="1"/>
  <c r="CI329" i="77"/>
  <c r="AC329" i="68" s="1"/>
  <c r="CJ329" i="77"/>
  <c r="AD329" i="68" s="1"/>
  <c r="BF329" i="77"/>
  <c r="AC329" i="65" s="1"/>
  <c r="BG329" i="77"/>
  <c r="AD329" i="65" s="1"/>
  <c r="GU347" i="77"/>
  <c r="AC347" i="72" s="1"/>
  <c r="GV347" i="77"/>
  <c r="AD347" i="72" s="1"/>
  <c r="FR347" i="77"/>
  <c r="AC347" i="71" s="1"/>
  <c r="FS347" i="77"/>
  <c r="AD347" i="71" s="1"/>
  <c r="EO347" i="77"/>
  <c r="AC347" i="70" s="1"/>
  <c r="EP347" i="77"/>
  <c r="AD347" i="70" s="1"/>
  <c r="CI347" i="77"/>
  <c r="AC347" i="68" s="1"/>
  <c r="CJ347" i="77"/>
  <c r="AD347" i="68" s="1"/>
  <c r="BF347" i="77"/>
  <c r="AC347" i="65" s="1"/>
  <c r="BG347" i="77"/>
  <c r="AD347" i="65" s="1"/>
  <c r="EO346" i="77"/>
  <c r="AC346" i="70" s="1"/>
  <c r="EP346" i="77"/>
  <c r="AD346" i="70" s="1"/>
  <c r="AC346" i="77"/>
  <c r="AC346" i="39" s="1"/>
  <c r="AD346" i="77"/>
  <c r="AD346" i="39" s="1"/>
  <c r="EO345" i="77"/>
  <c r="AC345" i="70" s="1"/>
  <c r="EP345" i="77"/>
  <c r="AD345" i="70" s="1"/>
  <c r="DL345" i="77"/>
  <c r="AC345" i="69" s="1"/>
  <c r="DM345" i="77"/>
  <c r="AD345" i="69" s="1"/>
  <c r="CI345" i="77"/>
  <c r="AC345" i="68" s="1"/>
  <c r="CJ345" i="77"/>
  <c r="AD345" i="68" s="1"/>
  <c r="AC345" i="77"/>
  <c r="AC345" i="39" s="1"/>
  <c r="AD345" i="77"/>
  <c r="AD345" i="39" s="1"/>
  <c r="EO323" i="77"/>
  <c r="AC323" i="70" s="1"/>
  <c r="EP323" i="77"/>
  <c r="AD323" i="70" s="1"/>
  <c r="CI323" i="77"/>
  <c r="AC323" i="68" s="1"/>
  <c r="CJ323" i="77"/>
  <c r="AD323" i="68" s="1"/>
  <c r="BF323" i="77"/>
  <c r="AC323" i="65" s="1"/>
  <c r="BG323" i="77"/>
  <c r="AD323" i="65" s="1"/>
  <c r="AC323" i="77"/>
  <c r="AC323" i="39" s="1"/>
  <c r="AD323" i="77"/>
  <c r="AD323" i="39" s="1"/>
  <c r="EO307" i="77"/>
  <c r="AC307" i="70" s="1"/>
  <c r="EP307" i="77"/>
  <c r="AD307" i="70" s="1"/>
  <c r="GU307" i="77"/>
  <c r="AC307" i="72" s="1"/>
  <c r="GV307" i="77"/>
  <c r="AD307" i="72" s="1"/>
  <c r="FR307" i="77"/>
  <c r="AC307" i="71" s="1"/>
  <c r="FS307" i="77"/>
  <c r="AD307" i="71" s="1"/>
  <c r="AC307" i="77"/>
  <c r="AC307" i="39" s="1"/>
  <c r="AD307" i="77"/>
  <c r="AD307" i="39" s="1"/>
  <c r="DL307" i="77"/>
  <c r="AC307" i="69" s="1"/>
  <c r="DM307" i="77"/>
  <c r="AD307" i="69" s="1"/>
  <c r="BF304" i="77"/>
  <c r="AC304" i="65" s="1"/>
  <c r="BG304" i="77"/>
  <c r="AD304" i="65" s="1"/>
  <c r="EO304" i="77"/>
  <c r="AC304" i="70" s="1"/>
  <c r="EP304" i="77"/>
  <c r="AD304" i="70" s="1"/>
  <c r="CI304" i="77"/>
  <c r="AC304" i="68" s="1"/>
  <c r="CJ304" i="77"/>
  <c r="AD304" i="68" s="1"/>
  <c r="FR302" i="77"/>
  <c r="AC302" i="71" s="1"/>
  <c r="FS302" i="77"/>
  <c r="AD302" i="71" s="1"/>
  <c r="EO298" i="77"/>
  <c r="AC298" i="70" s="1"/>
  <c r="EP298" i="77"/>
  <c r="AD298" i="70" s="1"/>
  <c r="BF298" i="77"/>
  <c r="AC298" i="65" s="1"/>
  <c r="BG298" i="77"/>
  <c r="AD298" i="65" s="1"/>
  <c r="EF279" i="77"/>
  <c r="Z329"/>
  <c r="FO286"/>
  <c r="CD97"/>
  <c r="CG97" s="1"/>
  <c r="GL296"/>
  <c r="T296" i="72" s="1"/>
  <c r="DC285" i="77"/>
  <c r="DC94"/>
  <c r="U167" i="71"/>
  <c r="S209" i="68"/>
  <c r="Q219"/>
  <c r="EP52" i="77"/>
  <c r="AD52" i="70" s="1"/>
  <c r="AA52"/>
  <c r="EO52" i="77"/>
  <c r="AC52" i="70" s="1"/>
  <c r="DC365" i="77"/>
  <c r="DD365" s="1"/>
  <c r="HO362"/>
  <c r="HP362" s="1"/>
  <c r="V162" i="72"/>
  <c r="W388" i="69"/>
  <c r="Q128"/>
  <c r="U388"/>
  <c r="FI393" i="77"/>
  <c r="T393" i="71" s="1"/>
  <c r="T252" i="68"/>
  <c r="IV97" i="77"/>
  <c r="IY97" s="1"/>
  <c r="X45" i="39"/>
  <c r="S246" i="69"/>
  <c r="DC296" i="77"/>
  <c r="T296" i="69" s="1"/>
  <c r="AA137" i="39"/>
  <c r="V388" i="69"/>
  <c r="X125" i="39"/>
  <c r="N246" i="69"/>
  <c r="EF269" i="77"/>
  <c r="T252" i="69"/>
  <c r="DC230" i="77"/>
  <c r="GP268"/>
  <c r="GS268" s="1"/>
  <c r="IV395"/>
  <c r="IY395" s="1"/>
  <c r="DC225"/>
  <c r="GL290"/>
  <c r="AA235" i="39"/>
  <c r="X402"/>
  <c r="X47" i="70"/>
  <c r="X431"/>
  <c r="V183" i="72"/>
  <c r="HS430" i="77"/>
  <c r="HV430" s="1"/>
  <c r="X57" i="39"/>
  <c r="AA104" i="73"/>
  <c r="AC283" i="77"/>
  <c r="AC384"/>
  <c r="AC202"/>
  <c r="Z196" i="39"/>
  <c r="DG377" i="77"/>
  <c r="DJ377" s="1"/>
  <c r="T139" i="69"/>
  <c r="DE289" i="77"/>
  <c r="V289" i="69" s="1"/>
  <c r="T176" i="70"/>
  <c r="T285" i="69"/>
  <c r="GR54" i="77"/>
  <c r="Z54" i="72" s="1"/>
  <c r="W291" i="73"/>
  <c r="IU282" i="77"/>
  <c r="W282" i="74" s="1"/>
  <c r="IT296" i="77"/>
  <c r="V296" i="74" s="1"/>
  <c r="R119" i="68"/>
  <c r="X411" i="65"/>
  <c r="Q192" i="70"/>
  <c r="N250"/>
  <c r="R221"/>
  <c r="Q191" i="69"/>
  <c r="S149"/>
  <c r="W131" i="72"/>
  <c r="T214" i="70"/>
  <c r="Z376" i="77"/>
  <c r="Z376" i="39" s="1"/>
  <c r="AC292" i="77"/>
  <c r="AC292" i="39" s="1"/>
  <c r="DF289" i="77"/>
  <c r="W289" i="69" s="1"/>
  <c r="EF79" i="77"/>
  <c r="U135" i="74"/>
  <c r="Z384" i="77"/>
  <c r="Z384" i="39" s="1"/>
  <c r="IT379" i="77"/>
  <c r="V379" i="74" s="1"/>
  <c r="S251" i="69"/>
  <c r="X401" i="72"/>
  <c r="X20" i="70"/>
  <c r="Q389"/>
  <c r="X27" i="68"/>
  <c r="EL68" i="77"/>
  <c r="Z68" i="70" s="1"/>
  <c r="AC282" i="77"/>
  <c r="AC282" i="39" s="1"/>
  <c r="AD292" i="77"/>
  <c r="AD292" i="39" s="1"/>
  <c r="X129" i="65"/>
  <c r="Z283" i="77"/>
  <c r="FI354"/>
  <c r="T354" i="71" s="1"/>
  <c r="DC270" i="77"/>
  <c r="DC294"/>
  <c r="T294" i="69" s="1"/>
  <c r="W135" i="74"/>
  <c r="GL98" i="77"/>
  <c r="U291" i="73"/>
  <c r="IT382" i="77"/>
  <c r="V382" i="74" s="1"/>
  <c r="N253" i="73"/>
  <c r="T92" i="72"/>
  <c r="T155"/>
  <c r="S214" i="70"/>
  <c r="Q118"/>
  <c r="R118"/>
  <c r="T78"/>
  <c r="Q388"/>
  <c r="R203"/>
  <c r="N192"/>
  <c r="EF386" i="77"/>
  <c r="T395" i="70" s="1"/>
  <c r="T79"/>
  <c r="DC276" i="77"/>
  <c r="AA125" i="39"/>
  <c r="AD125"/>
  <c r="AC125"/>
  <c r="AB142" i="72"/>
  <c r="HT285" i="77"/>
  <c r="HW285" s="1"/>
  <c r="HT229"/>
  <c r="HW229" s="1"/>
  <c r="Y229" i="72"/>
  <c r="HT207" i="77"/>
  <c r="HW207" s="1"/>
  <c r="Y207" i="72"/>
  <c r="AB287"/>
  <c r="Y194"/>
  <c r="HT209" i="77"/>
  <c r="HW209" s="1"/>
  <c r="Y209" i="72"/>
  <c r="AB146"/>
  <c r="AB15"/>
  <c r="HT28" i="77"/>
  <c r="HW28" s="1"/>
  <c r="AB28" i="72"/>
  <c r="AB11" i="71"/>
  <c r="HT65" i="77"/>
  <c r="HW65" s="1"/>
  <c r="AB65" i="72"/>
  <c r="HT64" i="77"/>
  <c r="HW64" s="1"/>
  <c r="HT376"/>
  <c r="HW376" s="1"/>
  <c r="HT54"/>
  <c r="HW54" s="1"/>
  <c r="AB54" i="72"/>
  <c r="HT243" i="77"/>
  <c r="HW243" s="1"/>
  <c r="Y197" i="72"/>
  <c r="HT253" i="77"/>
  <c r="HW253" s="1"/>
  <c r="AB253" i="72"/>
  <c r="HT289" i="77"/>
  <c r="HW289" s="1"/>
  <c r="AB289" i="72"/>
  <c r="HT37" i="77"/>
  <c r="HW37" s="1"/>
  <c r="AB37" i="72"/>
  <c r="HT32" i="77"/>
  <c r="HW32" s="1"/>
  <c r="AB32" i="72"/>
  <c r="HT73" i="77"/>
  <c r="HW73" s="1"/>
  <c r="AB73" i="72"/>
  <c r="HT230" i="77"/>
  <c r="HW230" s="1"/>
  <c r="Y230" i="72"/>
  <c r="HT200" i="77"/>
  <c r="HW200" s="1"/>
  <c r="Y200" i="72"/>
  <c r="HT239" i="77"/>
  <c r="HW239" s="1"/>
  <c r="HT457"/>
  <c r="HW457" s="1"/>
  <c r="AB457" i="72"/>
  <c r="HT426" i="77"/>
  <c r="HW426" s="1"/>
  <c r="AB426" i="72"/>
  <c r="HT288" i="77"/>
  <c r="HW288" s="1"/>
  <c r="AB288" i="72"/>
  <c r="Y159"/>
  <c r="HT448" i="77"/>
  <c r="HW448" s="1"/>
  <c r="AB448" i="72"/>
  <c r="HT95" i="77"/>
  <c r="HW95" s="1"/>
  <c r="AB95" i="72"/>
  <c r="HT402" i="77"/>
  <c r="HW402" s="1"/>
  <c r="AB402" i="72"/>
  <c r="HT70" i="77"/>
  <c r="HW70" s="1"/>
  <c r="AB70" i="72"/>
  <c r="Y217"/>
  <c r="Y179"/>
  <c r="HT277" i="77"/>
  <c r="HW277" s="1"/>
  <c r="HT78"/>
  <c r="HW78" s="1"/>
  <c r="AB78" i="72"/>
  <c r="Y171"/>
  <c r="HT50" i="77"/>
  <c r="HW50" s="1"/>
  <c r="AB50" i="72"/>
  <c r="HT24" i="77"/>
  <c r="HW24" s="1"/>
  <c r="AB24" i="72"/>
  <c r="AB13"/>
  <c r="HT225" i="77"/>
  <c r="HW225" s="1"/>
  <c r="Y225" i="72"/>
  <c r="IW84" i="77"/>
  <c r="IZ84" s="1"/>
  <c r="AB84" i="73"/>
  <c r="Y84"/>
  <c r="AB71" i="72"/>
  <c r="AB153"/>
  <c r="AB229" i="71"/>
  <c r="AB177"/>
  <c r="HT259" i="77"/>
  <c r="HW259" s="1"/>
  <c r="Y259" i="72"/>
  <c r="AB19"/>
  <c r="HT42" i="77"/>
  <c r="HW42" s="1"/>
  <c r="AB42" i="72"/>
  <c r="AB21"/>
  <c r="HT93" i="77"/>
  <c r="HW93" s="1"/>
  <c r="AB93" i="72"/>
  <c r="HT282" i="77"/>
  <c r="HW282" s="1"/>
  <c r="AB282" i="72"/>
  <c r="HT46" i="77"/>
  <c r="HW46" s="1"/>
  <c r="AB46" i="72"/>
  <c r="HT293" i="77"/>
  <c r="HW293" s="1"/>
  <c r="AB293" i="72"/>
  <c r="HT437" i="77"/>
  <c r="HW437" s="1"/>
  <c r="Y195" i="72"/>
  <c r="X199" i="39"/>
  <c r="HT245" i="77"/>
  <c r="HW245" s="1"/>
  <c r="AB245" i="72"/>
  <c r="Y211"/>
  <c r="HT443" i="77"/>
  <c r="HW443" s="1"/>
  <c r="AB443" i="72"/>
  <c r="HT287" i="77"/>
  <c r="HW287" s="1"/>
  <c r="HT60"/>
  <c r="HW60" s="1"/>
  <c r="AB60" i="72"/>
  <c r="HT286" i="77"/>
  <c r="HW286" s="1"/>
  <c r="HT273"/>
  <c r="HW273" s="1"/>
  <c r="HT45"/>
  <c r="HW45" s="1"/>
  <c r="AB45" i="72"/>
  <c r="HT276" i="77"/>
  <c r="HW276" s="1"/>
  <c r="HT423"/>
  <c r="HW423" s="1"/>
  <c r="AB423" i="72"/>
  <c r="HT72" i="77"/>
  <c r="HW72" s="1"/>
  <c r="AB72" i="72"/>
  <c r="HT240" i="77"/>
  <c r="HW240" s="1"/>
  <c r="AB145" i="72"/>
  <c r="HT98" i="77"/>
  <c r="HW98" s="1"/>
  <c r="HT429"/>
  <c r="HW429" s="1"/>
  <c r="AB429" i="72"/>
  <c r="Y216"/>
  <c r="HT394" i="77"/>
  <c r="HW394" s="1"/>
  <c r="Y394" i="72"/>
  <c r="HT264" i="77"/>
  <c r="HW264" s="1"/>
  <c r="AB264" i="72"/>
  <c r="AB61"/>
  <c r="HT372" i="77"/>
  <c r="HW372" s="1"/>
  <c r="Y372" i="72"/>
  <c r="HT244" i="77"/>
  <c r="HW244" s="1"/>
  <c r="AB244" i="72"/>
  <c r="Y196"/>
  <c r="AB441"/>
  <c r="HT296" i="77"/>
  <c r="HW296" s="1"/>
  <c r="AB296" i="72"/>
  <c r="HT52" i="77"/>
  <c r="HW52" s="1"/>
  <c r="AB52" i="72"/>
  <c r="HT263" i="77"/>
  <c r="HW263" s="1"/>
  <c r="AB263" i="72"/>
  <c r="AB16"/>
  <c r="HT256" i="77"/>
  <c r="HW256" s="1"/>
  <c r="AB256" i="72"/>
  <c r="Y201"/>
  <c r="HT267" i="77"/>
  <c r="HW267" s="1"/>
  <c r="AB267" i="72"/>
  <c r="Y156"/>
  <c r="HT33" i="77"/>
  <c r="HW33" s="1"/>
  <c r="AB33" i="72"/>
  <c r="AB159" i="71"/>
  <c r="AB259"/>
  <c r="Y132" i="72"/>
  <c r="HT275" i="77"/>
  <c r="HW275" s="1"/>
  <c r="AB275" i="72"/>
  <c r="HT55" i="77"/>
  <c r="HW55" s="1"/>
  <c r="AB55" i="72"/>
  <c r="AB231" i="71"/>
  <c r="AB179"/>
  <c r="HT262" i="77"/>
  <c r="HW262" s="1"/>
  <c r="AB262" i="72"/>
  <c r="AB140"/>
  <c r="Y140"/>
  <c r="AB401" i="73"/>
  <c r="AB87" i="74"/>
  <c r="Y87"/>
  <c r="HT29" i="77"/>
  <c r="HW29" s="1"/>
  <c r="AB29" i="72"/>
  <c r="AB278" i="71"/>
  <c r="AB225"/>
  <c r="HT283" i="77"/>
  <c r="HW283" s="1"/>
  <c r="Y191" i="72"/>
  <c r="Y178"/>
  <c r="AB187"/>
  <c r="Y187"/>
  <c r="HT237" i="77"/>
  <c r="HW237" s="1"/>
  <c r="Y237" i="72"/>
  <c r="Y185"/>
  <c r="HT69" i="77"/>
  <c r="HW69" s="1"/>
  <c r="AB69" i="72"/>
  <c r="HT278" i="77"/>
  <c r="HW278" s="1"/>
  <c r="AB421" i="72"/>
  <c r="HT82" i="77"/>
  <c r="HW82" s="1"/>
  <c r="AB82" i="72"/>
  <c r="HT250" i="77"/>
  <c r="HW250" s="1"/>
  <c r="N245" i="68"/>
  <c r="T251" i="65"/>
  <c r="N249" i="70"/>
  <c r="X444" i="39"/>
  <c r="IW385" i="77"/>
  <c r="IZ385" s="1"/>
  <c r="AB394" i="73"/>
  <c r="Y385"/>
  <c r="HT294" i="77"/>
  <c r="HW294" s="1"/>
  <c r="AB294" i="72"/>
  <c r="AB14"/>
  <c r="HT205" i="77"/>
  <c r="HW205" s="1"/>
  <c r="Y205" i="72"/>
  <c r="AB391"/>
  <c r="Y391"/>
  <c r="HT362" i="77"/>
  <c r="HW362" s="1"/>
  <c r="Y362" i="72"/>
  <c r="HT67" i="77"/>
  <c r="HW67" s="1"/>
  <c r="AB67" i="72"/>
  <c r="HT420" i="77"/>
  <c r="HW420" s="1"/>
  <c r="AB420" i="72"/>
  <c r="HT40" i="77"/>
  <c r="HW40" s="1"/>
  <c r="AB40" i="72"/>
  <c r="HT23" i="77"/>
  <c r="HW23" s="1"/>
  <c r="AB23" i="72"/>
  <c r="HT30" i="77"/>
  <c r="HW30" s="1"/>
  <c r="AB30" i="72"/>
  <c r="HT20" i="77"/>
  <c r="HW20" s="1"/>
  <c r="AB20" i="72"/>
  <c r="HT248" i="77"/>
  <c r="HW248" s="1"/>
  <c r="AB248" i="72"/>
  <c r="AB431" i="73"/>
  <c r="AB91" i="72"/>
  <c r="Y106"/>
  <c r="AB371"/>
  <c r="Y371"/>
  <c r="HT242" i="77"/>
  <c r="HW242" s="1"/>
  <c r="AB242" i="72"/>
  <c r="AB12"/>
  <c r="HT66" i="77"/>
  <c r="HW66" s="1"/>
  <c r="AB66" i="72"/>
  <c r="HT39" i="77"/>
  <c r="HW39" s="1"/>
  <c r="AB39" i="72"/>
  <c r="HT384" i="77"/>
  <c r="HW384" s="1"/>
  <c r="Y384" i="72"/>
  <c r="HT365" i="77"/>
  <c r="HW365" s="1"/>
  <c r="AB365" i="72"/>
  <c r="HT53" i="77"/>
  <c r="HW53" s="1"/>
  <c r="AB53" i="72"/>
  <c r="HT268" i="77"/>
  <c r="HW268" s="1"/>
  <c r="HT204"/>
  <c r="HW204" s="1"/>
  <c r="AB204" i="72"/>
  <c r="Y204"/>
  <c r="AB167"/>
  <c r="Y167"/>
  <c r="HT58" i="77"/>
  <c r="HW58" s="1"/>
  <c r="AB58" i="72"/>
  <c r="AB404" i="73"/>
  <c r="HT59" i="77"/>
  <c r="HW59" s="1"/>
  <c r="AB59" i="72"/>
  <c r="HT247" i="77"/>
  <c r="HW247" s="1"/>
  <c r="AB247" i="72"/>
  <c r="AB18"/>
  <c r="HT395" i="77"/>
  <c r="HW395" s="1"/>
  <c r="Y395" i="72"/>
  <c r="HT444" i="77"/>
  <c r="HW444" s="1"/>
  <c r="AB444" i="72"/>
  <c r="Y221"/>
  <c r="HT436" i="77"/>
  <c r="HW436" s="1"/>
  <c r="AB436" i="72"/>
  <c r="HT222" i="77"/>
  <c r="HW222" s="1"/>
  <c r="Y222" i="72"/>
  <c r="HT36" i="77"/>
  <c r="HW36" s="1"/>
  <c r="AB36" i="72"/>
  <c r="HT48" i="77"/>
  <c r="HW48" s="1"/>
  <c r="AB48" i="72"/>
  <c r="HT274" i="77"/>
  <c r="HW274" s="1"/>
  <c r="AB461" i="72"/>
  <c r="HT269" i="77"/>
  <c r="HW269" s="1"/>
  <c r="HT246"/>
  <c r="HW246" s="1"/>
  <c r="AB246" i="72"/>
  <c r="HT44" i="77"/>
  <c r="HW44" s="1"/>
  <c r="HT270"/>
  <c r="HW270" s="1"/>
  <c r="AB31" i="72"/>
  <c r="HT62" i="77"/>
  <c r="HW62" s="1"/>
  <c r="AB62" i="72"/>
  <c r="HT57" i="77"/>
  <c r="HW57" s="1"/>
  <c r="AB57" i="72"/>
  <c r="HT295" i="77"/>
  <c r="HW295" s="1"/>
  <c r="HT422"/>
  <c r="HW422" s="1"/>
  <c r="AB422" i="72"/>
  <c r="HT354" i="77"/>
  <c r="HW354" s="1"/>
  <c r="AB354" i="72"/>
  <c r="Y354"/>
  <c r="AB51"/>
  <c r="Y154"/>
  <c r="HT393" i="77"/>
  <c r="HW393" s="1"/>
  <c r="AB393" i="72"/>
  <c r="Y393"/>
  <c r="AA369" i="39"/>
  <c r="Z230" i="77"/>
  <c r="Z230" i="39" s="1"/>
  <c r="AB210" i="72"/>
  <c r="Y210"/>
  <c r="IW86" i="77"/>
  <c r="IZ86" s="1"/>
  <c r="AB86" i="73"/>
  <c r="Y86"/>
  <c r="HT449" i="77"/>
  <c r="HW449" s="1"/>
  <c r="AB449" i="72"/>
  <c r="IW96" i="77"/>
  <c r="IZ96" s="1"/>
  <c r="AB96" i="73"/>
  <c r="AB427"/>
  <c r="HT79" i="77"/>
  <c r="HW79" s="1"/>
  <c r="AB79" i="72"/>
  <c r="HT430" i="77"/>
  <c r="HW430" s="1"/>
  <c r="AB430" i="72"/>
  <c r="HT94" i="77"/>
  <c r="HW94" s="1"/>
  <c r="AB94" i="72"/>
  <c r="HT257" i="77"/>
  <c r="HW257" s="1"/>
  <c r="AB257" i="72"/>
  <c r="HT38" i="77"/>
  <c r="HW38" s="1"/>
  <c r="AB38" i="72"/>
  <c r="AB150" i="73"/>
  <c r="AB367"/>
  <c r="AB251" i="72"/>
  <c r="HT49" i="77"/>
  <c r="HW49" s="1"/>
  <c r="AB49" i="72"/>
  <c r="HT272" i="77"/>
  <c r="HW272" s="1"/>
  <c r="HT202"/>
  <c r="HW202" s="1"/>
  <c r="AB202" i="72"/>
  <c r="Y202"/>
  <c r="HT26" i="77"/>
  <c r="HW26" s="1"/>
  <c r="AB26" i="72"/>
  <c r="AB106" i="71"/>
  <c r="AB132"/>
  <c r="HT223" i="77"/>
  <c r="HW223" s="1"/>
  <c r="Y223" i="72"/>
  <c r="HT63" i="77"/>
  <c r="HW63" s="1"/>
  <c r="AB63" i="72"/>
  <c r="AB17"/>
  <c r="HT89" i="77"/>
  <c r="HW89" s="1"/>
  <c r="AB89" i="72"/>
  <c r="HT68" i="77"/>
  <c r="HW68" s="1"/>
  <c r="AB68" i="72"/>
  <c r="AB218"/>
  <c r="Y218"/>
  <c r="HT409" i="77"/>
  <c r="HW409" s="1"/>
  <c r="AB409" i="72"/>
  <c r="HT80" i="77"/>
  <c r="HW80" s="1"/>
  <c r="AB80" i="72"/>
  <c r="HT442" i="77"/>
  <c r="HW442" s="1"/>
  <c r="AB442" i="72"/>
  <c r="HT92" i="77"/>
  <c r="HW92" s="1"/>
  <c r="Y198" i="72"/>
  <c r="HT254" i="77"/>
  <c r="HW254" s="1"/>
  <c r="HT279"/>
  <c r="HW279" s="1"/>
  <c r="HT292"/>
  <c r="HW292" s="1"/>
  <c r="AB292" i="72"/>
  <c r="HT22" i="77"/>
  <c r="HW22" s="1"/>
  <c r="AB22" i="72"/>
  <c r="IW85" i="77"/>
  <c r="IZ85" s="1"/>
  <c r="AB85" i="73"/>
  <c r="Y85"/>
  <c r="HT47" i="77"/>
  <c r="HW47" s="1"/>
  <c r="HT208"/>
  <c r="HW208" s="1"/>
  <c r="AB208" i="72"/>
  <c r="Y208"/>
  <c r="Y177"/>
  <c r="AB199"/>
  <c r="Y199"/>
  <c r="Y231"/>
  <c r="HT34" i="77"/>
  <c r="HW34" s="1"/>
  <c r="AB34" i="72"/>
  <c r="AB147"/>
  <c r="IW88" i="77"/>
  <c r="IZ88" s="1"/>
  <c r="AB88" i="73"/>
  <c r="Y88"/>
  <c r="HT265" i="77"/>
  <c r="HW265" s="1"/>
  <c r="AB265" i="72"/>
  <c r="HT27" i="77"/>
  <c r="HW27" s="1"/>
  <c r="AB27" i="72"/>
  <c r="AB148"/>
  <c r="T253" i="73"/>
  <c r="N96" i="68"/>
  <c r="T247" i="74"/>
  <c r="AA82" i="39"/>
  <c r="AA84"/>
  <c r="AA228"/>
  <c r="AA202"/>
  <c r="AA182"/>
  <c r="X266"/>
  <c r="X157"/>
  <c r="X203"/>
  <c r="X183"/>
  <c r="X269"/>
  <c r="X133"/>
  <c r="X277"/>
  <c r="X175"/>
  <c r="AA393"/>
  <c r="X393"/>
  <c r="X130"/>
  <c r="X158"/>
  <c r="X224"/>
  <c r="X174"/>
  <c r="X276"/>
  <c r="AA370" i="68"/>
  <c r="X370"/>
  <c r="X364" i="39"/>
  <c r="X361"/>
  <c r="X188"/>
  <c r="X237"/>
  <c r="X240"/>
  <c r="X234"/>
  <c r="AA88"/>
  <c r="X88"/>
  <c r="X172"/>
  <c r="X223"/>
  <c r="X295"/>
  <c r="X383"/>
  <c r="AA261"/>
  <c r="AA101"/>
  <c r="AA177"/>
  <c r="AA229"/>
  <c r="AA156" i="73"/>
  <c r="AA105"/>
  <c r="T245"/>
  <c r="N95" i="68"/>
  <c r="X210" i="39"/>
  <c r="X79"/>
  <c r="Y468" i="65"/>
  <c r="Y466" s="1"/>
  <c r="AA201" i="39"/>
  <c r="AA181"/>
  <c r="X90"/>
  <c r="X86"/>
  <c r="X200"/>
  <c r="X180"/>
  <c r="AA362"/>
  <c r="AA359"/>
  <c r="AA360"/>
  <c r="AA233"/>
  <c r="AA372"/>
  <c r="AA370"/>
  <c r="AA226"/>
  <c r="X196"/>
  <c r="X170"/>
  <c r="AA112"/>
  <c r="X112"/>
  <c r="Z129"/>
  <c r="X129"/>
  <c r="X221"/>
  <c r="X232"/>
  <c r="AA370" i="73"/>
  <c r="X370"/>
  <c r="AA265" i="39"/>
  <c r="X265"/>
  <c r="X281"/>
  <c r="X184"/>
  <c r="X239"/>
  <c r="X233"/>
  <c r="X268"/>
  <c r="X160"/>
  <c r="X154"/>
  <c r="X128"/>
  <c r="X106"/>
  <c r="X132"/>
  <c r="Z106"/>
  <c r="AA156" i="72"/>
  <c r="AA105"/>
  <c r="AA284" i="39"/>
  <c r="AA117"/>
  <c r="X391"/>
  <c r="AA134"/>
  <c r="AA271"/>
  <c r="AA376"/>
  <c r="N199" i="68"/>
  <c r="S93"/>
  <c r="S249" i="70"/>
  <c r="AA217" i="39"/>
  <c r="BZ365" i="77"/>
  <c r="Z172" i="39"/>
  <c r="AA142"/>
  <c r="AA131"/>
  <c r="AA221"/>
  <c r="AA232"/>
  <c r="X380"/>
  <c r="X377"/>
  <c r="X264"/>
  <c r="X202"/>
  <c r="X182"/>
  <c r="X168"/>
  <c r="X273"/>
  <c r="X107"/>
  <c r="X142"/>
  <c r="X131"/>
  <c r="X354"/>
  <c r="X370" i="71"/>
  <c r="X201" i="39"/>
  <c r="X181"/>
  <c r="Z163"/>
  <c r="X163"/>
  <c r="X136"/>
  <c r="X111"/>
  <c r="AA294"/>
  <c r="X294"/>
  <c r="AA370" i="65"/>
  <c r="X370"/>
  <c r="X108" i="39"/>
  <c r="X274"/>
  <c r="X222"/>
  <c r="X171"/>
  <c r="X178"/>
  <c r="X113"/>
  <c r="X230"/>
  <c r="X279"/>
  <c r="AA278"/>
  <c r="AA225"/>
  <c r="AA110"/>
  <c r="AA173"/>
  <c r="AA259"/>
  <c r="AA159"/>
  <c r="AA156" i="70"/>
  <c r="AA105"/>
  <c r="U95"/>
  <c r="Y468"/>
  <c r="Y466" s="1"/>
  <c r="Y468" i="68"/>
  <c r="Y466" s="1"/>
  <c r="AA364" i="39"/>
  <c r="AA361"/>
  <c r="AA236"/>
  <c r="AA203"/>
  <c r="AA183"/>
  <c r="AA240"/>
  <c r="AA234"/>
  <c r="Z169"/>
  <c r="X169"/>
  <c r="X381"/>
  <c r="X270"/>
  <c r="X363"/>
  <c r="X360"/>
  <c r="X242"/>
  <c r="X236"/>
  <c r="AA263"/>
  <c r="X263"/>
  <c r="AA220"/>
  <c r="X272"/>
  <c r="X161"/>
  <c r="X82"/>
  <c r="X84"/>
  <c r="X286"/>
  <c r="X193"/>
  <c r="X362"/>
  <c r="X359"/>
  <c r="X283"/>
  <c r="X186"/>
  <c r="Z179"/>
  <c r="X231"/>
  <c r="X179"/>
  <c r="AA156"/>
  <c r="AA105"/>
  <c r="AA185"/>
  <c r="AA116"/>
  <c r="AA156" i="74"/>
  <c r="AA105"/>
  <c r="AD140" i="39"/>
  <c r="AA140"/>
  <c r="X156" i="71"/>
  <c r="X105"/>
  <c r="Z105"/>
  <c r="AA199" i="39"/>
  <c r="AA244"/>
  <c r="S251" i="68"/>
  <c r="T247" i="71"/>
  <c r="N376" i="73"/>
  <c r="S96" i="68"/>
  <c r="N253" i="69"/>
  <c r="Z59" i="77"/>
  <c r="Z59" i="39" s="1"/>
  <c r="X68"/>
  <c r="EF283" i="77"/>
  <c r="X96" i="39"/>
  <c r="Y468" i="71"/>
  <c r="Y466" s="1"/>
  <c r="Y468" i="69"/>
  <c r="Y466" s="1"/>
  <c r="T89" i="74"/>
  <c r="T85"/>
  <c r="T112"/>
  <c r="T191"/>
  <c r="T272"/>
  <c r="T161"/>
  <c r="V228"/>
  <c r="U234"/>
  <c r="T138"/>
  <c r="W361"/>
  <c r="W236"/>
  <c r="V241"/>
  <c r="V235"/>
  <c r="T114"/>
  <c r="V182"/>
  <c r="V201"/>
  <c r="V181"/>
  <c r="N157"/>
  <c r="N266"/>
  <c r="N231"/>
  <c r="N179"/>
  <c r="N132"/>
  <c r="N106"/>
  <c r="T134"/>
  <c r="T271"/>
  <c r="T160"/>
  <c r="T268"/>
  <c r="U189"/>
  <c r="T189"/>
  <c r="IS275" i="77"/>
  <c r="U275" i="74" s="1"/>
  <c r="T275"/>
  <c r="U285"/>
  <c r="T285"/>
  <c r="T284"/>
  <c r="T117"/>
  <c r="T283"/>
  <c r="T186"/>
  <c r="V158"/>
  <c r="V130"/>
  <c r="U215"/>
  <c r="T130"/>
  <c r="T158"/>
  <c r="R132"/>
  <c r="R106"/>
  <c r="T290"/>
  <c r="V290"/>
  <c r="W290"/>
  <c r="T165"/>
  <c r="Q157"/>
  <c r="Q266"/>
  <c r="IS386" i="77"/>
  <c r="T395" i="74"/>
  <c r="IU386" i="77"/>
  <c r="IT386"/>
  <c r="IS393"/>
  <c r="T393" i="74"/>
  <c r="IU393" i="77"/>
  <c r="W393" i="74" s="1"/>
  <c r="IT393" i="77"/>
  <c r="V393" i="74" s="1"/>
  <c r="T246"/>
  <c r="S148"/>
  <c r="T242"/>
  <c r="T205"/>
  <c r="T286"/>
  <c r="W228"/>
  <c r="W234"/>
  <c r="V361"/>
  <c r="V236"/>
  <c r="T244"/>
  <c r="T238"/>
  <c r="T218"/>
  <c r="T226"/>
  <c r="IS88" i="77"/>
  <c r="T88" i="74"/>
  <c r="W182"/>
  <c r="U155"/>
  <c r="T155"/>
  <c r="IS280" i="77"/>
  <c r="U280" i="74" s="1"/>
  <c r="T280"/>
  <c r="U140"/>
  <c r="T140"/>
  <c r="U291"/>
  <c r="T291"/>
  <c r="U187"/>
  <c r="T187"/>
  <c r="S132"/>
  <c r="S106"/>
  <c r="Q159"/>
  <c r="Q259"/>
  <c r="U141"/>
  <c r="T141"/>
  <c r="U164"/>
  <c r="T164"/>
  <c r="T223"/>
  <c r="T172"/>
  <c r="R157"/>
  <c r="R266"/>
  <c r="IS382" i="77"/>
  <c r="T382" i="74"/>
  <c r="T176"/>
  <c r="V176"/>
  <c r="R159"/>
  <c r="R259"/>
  <c r="T102"/>
  <c r="T96"/>
  <c r="S145"/>
  <c r="T170"/>
  <c r="IS84" i="77"/>
  <c r="T84" i="74"/>
  <c r="V234"/>
  <c r="T237"/>
  <c r="T188"/>
  <c r="T195"/>
  <c r="T169"/>
  <c r="T203"/>
  <c r="T183"/>
  <c r="T144"/>
  <c r="T137"/>
  <c r="S239"/>
  <c r="S233"/>
  <c r="T363"/>
  <c r="T360"/>
  <c r="T198"/>
  <c r="T277"/>
  <c r="T175"/>
  <c r="U241"/>
  <c r="U235"/>
  <c r="T136"/>
  <c r="T111"/>
  <c r="IS369" i="77"/>
  <c r="T369" i="74"/>
  <c r="U384"/>
  <c r="U378"/>
  <c r="W227"/>
  <c r="T281"/>
  <c r="T184"/>
  <c r="IS292" i="77"/>
  <c r="U292" i="74" s="1"/>
  <c r="T292"/>
  <c r="IS264" i="77"/>
  <c r="U264" i="74" s="1"/>
  <c r="T264"/>
  <c r="T133"/>
  <c r="T269"/>
  <c r="Q231"/>
  <c r="Q179"/>
  <c r="T274"/>
  <c r="T108"/>
  <c r="T222"/>
  <c r="T171"/>
  <c r="U163"/>
  <c r="T163"/>
  <c r="N159"/>
  <c r="N259"/>
  <c r="U109"/>
  <c r="T109"/>
  <c r="X129"/>
  <c r="V129"/>
  <c r="W158"/>
  <c r="W130"/>
  <c r="IS364" i="77"/>
  <c r="T383" i="74"/>
  <c r="IU364" i="77"/>
  <c r="W383" i="74" s="1"/>
  <c r="IT364" i="77"/>
  <c r="V383" i="74" s="1"/>
  <c r="IS267" i="77"/>
  <c r="T267" i="74"/>
  <c r="IT267" i="77"/>
  <c r="V267" i="74" s="1"/>
  <c r="IU267" i="77"/>
  <c r="W267" i="74" s="1"/>
  <c r="T116"/>
  <c r="T185"/>
  <c r="T103"/>
  <c r="V103"/>
  <c r="W103"/>
  <c r="U251"/>
  <c r="T193"/>
  <c r="S92"/>
  <c r="T253"/>
  <c r="N245"/>
  <c r="N145"/>
  <c r="N93"/>
  <c r="T197"/>
  <c r="T174"/>
  <c r="T224"/>
  <c r="T276"/>
  <c r="U228"/>
  <c r="IS359" i="77"/>
  <c r="T359" i="74"/>
  <c r="T168"/>
  <c r="T273"/>
  <c r="T107"/>
  <c r="T221"/>
  <c r="T232"/>
  <c r="N239"/>
  <c r="N233"/>
  <c r="U236"/>
  <c r="W241"/>
  <c r="W235"/>
  <c r="T388"/>
  <c r="T380"/>
  <c r="W378"/>
  <c r="T81"/>
  <c r="T83"/>
  <c r="U202"/>
  <c r="U182"/>
  <c r="AA104"/>
  <c r="X104"/>
  <c r="S157"/>
  <c r="S266"/>
  <c r="W381"/>
  <c r="U139"/>
  <c r="T139"/>
  <c r="IS385" i="77"/>
  <c r="U394" i="74" s="1"/>
  <c r="T394"/>
  <c r="S231"/>
  <c r="S179"/>
  <c r="S159"/>
  <c r="S259"/>
  <c r="IS225" i="77"/>
  <c r="T225" i="74"/>
  <c r="T278"/>
  <c r="T229"/>
  <c r="T177"/>
  <c r="IS263" i="77"/>
  <c r="U263" i="74" s="1"/>
  <c r="T263"/>
  <c r="IS294" i="77"/>
  <c r="U294" i="74" s="1"/>
  <c r="T294"/>
  <c r="T279"/>
  <c r="T230"/>
  <c r="T178"/>
  <c r="T113"/>
  <c r="IS288" i="77"/>
  <c r="U288" i="74" s="1"/>
  <c r="T288"/>
  <c r="W173"/>
  <c r="W110"/>
  <c r="V173"/>
  <c r="V110"/>
  <c r="T101"/>
  <c r="T261"/>
  <c r="T166"/>
  <c r="V166"/>
  <c r="W166"/>
  <c r="IS296" i="77"/>
  <c r="T296" i="74"/>
  <c r="IS379" i="77"/>
  <c r="T379" i="74"/>
  <c r="R231"/>
  <c r="R179"/>
  <c r="T115"/>
  <c r="V115"/>
  <c r="W115"/>
  <c r="T110"/>
  <c r="T173"/>
  <c r="IS282" i="77"/>
  <c r="U282" i="74" s="1"/>
  <c r="T282"/>
  <c r="N148"/>
  <c r="N92"/>
  <c r="T220"/>
  <c r="T121" i="73"/>
  <c r="T114"/>
  <c r="X272"/>
  <c r="X161"/>
  <c r="N384"/>
  <c r="N378"/>
  <c r="V218"/>
  <c r="V226"/>
  <c r="W220"/>
  <c r="W228"/>
  <c r="N241"/>
  <c r="N235"/>
  <c r="S203"/>
  <c r="S183"/>
  <c r="N198"/>
  <c r="N175"/>
  <c r="N277"/>
  <c r="N192"/>
  <c r="N162"/>
  <c r="S204"/>
  <c r="S237"/>
  <c r="S188"/>
  <c r="N242"/>
  <c r="N236"/>
  <c r="N244"/>
  <c r="N238"/>
  <c r="T181"/>
  <c r="V233"/>
  <c r="X361"/>
  <c r="V361"/>
  <c r="V272"/>
  <c r="V161"/>
  <c r="HP275" i="77"/>
  <c r="U275" i="73" s="1"/>
  <c r="T275"/>
  <c r="T284"/>
  <c r="T117"/>
  <c r="V159"/>
  <c r="V259"/>
  <c r="HO288" i="77"/>
  <c r="T288" i="73" s="1"/>
  <c r="R288"/>
  <c r="S283"/>
  <c r="S186"/>
  <c r="U176"/>
  <c r="T176"/>
  <c r="U115"/>
  <c r="T115"/>
  <c r="T230"/>
  <c r="T279"/>
  <c r="T178"/>
  <c r="T113"/>
  <c r="U166"/>
  <c r="T166"/>
  <c r="HP354" i="77"/>
  <c r="U354" i="73" s="1"/>
  <c r="T354"/>
  <c r="T101"/>
  <c r="T261"/>
  <c r="U278"/>
  <c r="U225"/>
  <c r="HP265" i="77"/>
  <c r="U265" i="73" s="1"/>
  <c r="T265"/>
  <c r="HP264" i="77"/>
  <c r="U264" i="73" s="1"/>
  <c r="T264"/>
  <c r="U177"/>
  <c r="U229"/>
  <c r="HP393" i="77"/>
  <c r="U393" i="73" s="1"/>
  <c r="T393"/>
  <c r="T225"/>
  <c r="T278"/>
  <c r="Q175"/>
  <c r="Q277"/>
  <c r="T159"/>
  <c r="T259"/>
  <c r="T96"/>
  <c r="N247"/>
  <c r="N239"/>
  <c r="S205"/>
  <c r="V220"/>
  <c r="V228"/>
  <c r="HP359" i="77"/>
  <c r="T359" i="73"/>
  <c r="S388"/>
  <c r="S380"/>
  <c r="T174"/>
  <c r="T276"/>
  <c r="T224"/>
  <c r="T122"/>
  <c r="T286"/>
  <c r="N204"/>
  <c r="N237"/>
  <c r="N188"/>
  <c r="S242"/>
  <c r="S236"/>
  <c r="S120"/>
  <c r="S112"/>
  <c r="W159"/>
  <c r="W259"/>
  <c r="N186"/>
  <c r="N283"/>
  <c r="U140"/>
  <c r="T140"/>
  <c r="U285"/>
  <c r="T285"/>
  <c r="T164"/>
  <c r="S164"/>
  <c r="U102"/>
  <c r="T102"/>
  <c r="V225"/>
  <c r="V278"/>
  <c r="T281"/>
  <c r="T184"/>
  <c r="V177"/>
  <c r="V229"/>
  <c r="U167"/>
  <c r="T167"/>
  <c r="T108"/>
  <c r="T274"/>
  <c r="T222"/>
  <c r="T171"/>
  <c r="R175"/>
  <c r="R277"/>
  <c r="HP227" i="77"/>
  <c r="U227" i="73" s="1"/>
  <c r="T227"/>
  <c r="U272"/>
  <c r="U161"/>
  <c r="Q237"/>
  <c r="Q188"/>
  <c r="S251"/>
  <c r="N205"/>
  <c r="N199"/>
  <c r="S241"/>
  <c r="S235"/>
  <c r="T369"/>
  <c r="S221"/>
  <c r="S232"/>
  <c r="U218"/>
  <c r="U226"/>
  <c r="N388"/>
  <c r="N380"/>
  <c r="T180"/>
  <c r="T131"/>
  <c r="N120"/>
  <c r="N112"/>
  <c r="N145"/>
  <c r="N138"/>
  <c r="HP86" i="77"/>
  <c r="T86" i="73"/>
  <c r="T196"/>
  <c r="T170"/>
  <c r="W161"/>
  <c r="W272"/>
  <c r="X104"/>
  <c r="T223"/>
  <c r="T172"/>
  <c r="T179"/>
  <c r="T231"/>
  <c r="HO379" i="77"/>
  <c r="T379" i="73" s="1"/>
  <c r="S379"/>
  <c r="T270"/>
  <c r="HP209" i="77"/>
  <c r="T295" i="73"/>
  <c r="U189"/>
  <c r="T189"/>
  <c r="T133"/>
  <c r="T269"/>
  <c r="W225"/>
  <c r="W278"/>
  <c r="HP87" i="77"/>
  <c r="U87" i="73" s="1"/>
  <c r="T87"/>
  <c r="U290"/>
  <c r="T290"/>
  <c r="W229"/>
  <c r="W177"/>
  <c r="HP293" i="77"/>
  <c r="U293" i="73" s="1"/>
  <c r="T293"/>
  <c r="T271"/>
  <c r="T134"/>
  <c r="T185"/>
  <c r="T116"/>
  <c r="T177"/>
  <c r="T229"/>
  <c r="U157"/>
  <c r="U266"/>
  <c r="N251"/>
  <c r="T239"/>
  <c r="T136"/>
  <c r="T111"/>
  <c r="W233"/>
  <c r="N221"/>
  <c r="N232"/>
  <c r="HO378" i="77"/>
  <c r="HP378" s="1"/>
  <c r="S378" i="73"/>
  <c r="W218"/>
  <c r="W226"/>
  <c r="U220"/>
  <c r="U228"/>
  <c r="N203"/>
  <c r="N183"/>
  <c r="S277"/>
  <c r="S175"/>
  <c r="S162"/>
  <c r="HP88" i="77"/>
  <c r="T88" i="73"/>
  <c r="HP83" i="77"/>
  <c r="T83" i="73"/>
  <c r="S145"/>
  <c r="S138"/>
  <c r="T202"/>
  <c r="T182"/>
  <c r="U233"/>
  <c r="T273"/>
  <c r="T168"/>
  <c r="T107"/>
  <c r="T363"/>
  <c r="T360"/>
  <c r="X129"/>
  <c r="W157"/>
  <c r="W266"/>
  <c r="V157"/>
  <c r="V266"/>
  <c r="T130"/>
  <c r="T158"/>
  <c r="T132"/>
  <c r="T106"/>
  <c r="U159"/>
  <c r="U259"/>
  <c r="T160"/>
  <c r="T268"/>
  <c r="Q283"/>
  <c r="Q186"/>
  <c r="U155"/>
  <c r="T155"/>
  <c r="U154"/>
  <c r="T154"/>
  <c r="U287"/>
  <c r="T287"/>
  <c r="HP282" i="77"/>
  <c r="U282" i="73" s="1"/>
  <c r="T282"/>
  <c r="U187"/>
  <c r="T187"/>
  <c r="T110"/>
  <c r="T173"/>
  <c r="R237"/>
  <c r="R188"/>
  <c r="S247"/>
  <c r="S239"/>
  <c r="T246"/>
  <c r="W220" i="72"/>
  <c r="W228"/>
  <c r="U233"/>
  <c r="GM85" i="77"/>
  <c r="T85" i="72"/>
  <c r="GM378" i="77"/>
  <c r="T378" i="72"/>
  <c r="GM86" i="77"/>
  <c r="T86" i="72"/>
  <c r="T81"/>
  <c r="T83"/>
  <c r="N223"/>
  <c r="N172"/>
  <c r="T158"/>
  <c r="T130"/>
  <c r="GM263" i="77"/>
  <c r="U263" i="72" s="1"/>
  <c r="T263"/>
  <c r="R101"/>
  <c r="R261"/>
  <c r="GM386" i="77"/>
  <c r="T395" i="72"/>
  <c r="T141"/>
  <c r="GM262" i="77"/>
  <c r="U262" i="72" s="1"/>
  <c r="T262"/>
  <c r="U103"/>
  <c r="T103"/>
  <c r="T160"/>
  <c r="T268"/>
  <c r="T133"/>
  <c r="T269"/>
  <c r="S278"/>
  <c r="S225"/>
  <c r="Q271"/>
  <c r="Q134"/>
  <c r="U115"/>
  <c r="T115"/>
  <c r="U165"/>
  <c r="T165"/>
  <c r="U189"/>
  <c r="T189"/>
  <c r="Q101"/>
  <c r="Q261"/>
  <c r="GM380" i="77"/>
  <c r="T380" i="72"/>
  <c r="T239"/>
  <c r="V220"/>
  <c r="V228"/>
  <c r="W272"/>
  <c r="W161"/>
  <c r="V272"/>
  <c r="V161"/>
  <c r="W381"/>
  <c r="S172"/>
  <c r="S223"/>
  <c r="T132"/>
  <c r="T106"/>
  <c r="GM264" i="77"/>
  <c r="U264" i="72" s="1"/>
  <c r="T264"/>
  <c r="T185"/>
  <c r="T116"/>
  <c r="U187"/>
  <c r="T187"/>
  <c r="S101"/>
  <c r="S261"/>
  <c r="T283"/>
  <c r="T186"/>
  <c r="U291"/>
  <c r="T291"/>
  <c r="U139"/>
  <c r="T139"/>
  <c r="T159"/>
  <c r="T259"/>
  <c r="U391"/>
  <c r="T391"/>
  <c r="N271"/>
  <c r="N134"/>
  <c r="T274"/>
  <c r="T222"/>
  <c r="T108"/>
  <c r="T171"/>
  <c r="T279"/>
  <c r="T178"/>
  <c r="T113"/>
  <c r="T230"/>
  <c r="U109"/>
  <c r="T109"/>
  <c r="U176"/>
  <c r="T176"/>
  <c r="T110"/>
  <c r="T173"/>
  <c r="R225"/>
  <c r="R278"/>
  <c r="W148"/>
  <c r="T107"/>
  <c r="T168"/>
  <c r="T273"/>
  <c r="W233"/>
  <c r="T364"/>
  <c r="T361"/>
  <c r="T82"/>
  <c r="T84"/>
  <c r="GM358" i="77"/>
  <c r="U358" i="72" s="1"/>
  <c r="T358"/>
  <c r="T217"/>
  <c r="T224"/>
  <c r="T174"/>
  <c r="T276"/>
  <c r="V234"/>
  <c r="S205"/>
  <c r="S286"/>
  <c r="GM236" i="77"/>
  <c r="T236" i="72"/>
  <c r="T145"/>
  <c r="T138"/>
  <c r="V233"/>
  <c r="GM369" i="77"/>
  <c r="T369" i="72"/>
  <c r="T180"/>
  <c r="T182"/>
  <c r="W232"/>
  <c r="T157"/>
  <c r="T266"/>
  <c r="GM294" i="77"/>
  <c r="U294" i="72" s="1"/>
  <c r="T294"/>
  <c r="GM275" i="77"/>
  <c r="U275" i="72" s="1"/>
  <c r="T275"/>
  <c r="GM364" i="77"/>
  <c r="U383" i="72" s="1"/>
  <c r="T383"/>
  <c r="U287"/>
  <c r="T287"/>
  <c r="N101"/>
  <c r="N261"/>
  <c r="T285"/>
  <c r="U190"/>
  <c r="T190"/>
  <c r="U102"/>
  <c r="T102"/>
  <c r="T270"/>
  <c r="T281"/>
  <c r="T184"/>
  <c r="T231"/>
  <c r="T179"/>
  <c r="U140"/>
  <c r="T140"/>
  <c r="Q225"/>
  <c r="Q278"/>
  <c r="S271"/>
  <c r="S134"/>
  <c r="GM209" i="77"/>
  <c r="U295" i="72" s="1"/>
  <c r="T295"/>
  <c r="T117"/>
  <c r="T284"/>
  <c r="GM267" i="77"/>
  <c r="U267" i="72" s="1"/>
  <c r="T267"/>
  <c r="T129"/>
  <c r="R271"/>
  <c r="R134"/>
  <c r="T162"/>
  <c r="Q172"/>
  <c r="Q223"/>
  <c r="GM232" i="77"/>
  <c r="U232" i="72" s="1"/>
  <c r="T232"/>
  <c r="T183"/>
  <c r="U131"/>
  <c r="T131"/>
  <c r="T104"/>
  <c r="N244"/>
  <c r="U234"/>
  <c r="T111"/>
  <c r="T136"/>
  <c r="W234"/>
  <c r="GM235" i="77"/>
  <c r="T235" i="72"/>
  <c r="T170"/>
  <c r="N205"/>
  <c r="N286"/>
  <c r="T112"/>
  <c r="U228"/>
  <c r="T198"/>
  <c r="T277"/>
  <c r="T175"/>
  <c r="T238"/>
  <c r="T363"/>
  <c r="T360"/>
  <c r="T169"/>
  <c r="T188"/>
  <c r="T237"/>
  <c r="GM377" i="77"/>
  <c r="U377" i="72" s="1"/>
  <c r="T377"/>
  <c r="R223"/>
  <c r="R172"/>
  <c r="GM379" i="77"/>
  <c r="U379" i="72" s="1"/>
  <c r="T379"/>
  <c r="T164"/>
  <c r="GM382" i="77"/>
  <c r="U382" i="72" s="1"/>
  <c r="T382"/>
  <c r="U135"/>
  <c r="T135"/>
  <c r="GM292" i="77"/>
  <c r="U292" i="72" s="1"/>
  <c r="T292"/>
  <c r="T229"/>
  <c r="T177"/>
  <c r="GM354" i="77"/>
  <c r="U354" i="72" s="1"/>
  <c r="T354"/>
  <c r="N225"/>
  <c r="N278"/>
  <c r="GM282" i="77"/>
  <c r="U282" i="72" s="1"/>
  <c r="T282"/>
  <c r="T272"/>
  <c r="T161"/>
  <c r="GM227" i="77"/>
  <c r="T227" i="72"/>
  <c r="T96"/>
  <c r="T376"/>
  <c r="T253"/>
  <c r="T246"/>
  <c r="S118"/>
  <c r="N118"/>
  <c r="T175" i="71"/>
  <c r="T277"/>
  <c r="U226"/>
  <c r="U235"/>
  <c r="AA170"/>
  <c r="X170"/>
  <c r="T183"/>
  <c r="W226"/>
  <c r="V235"/>
  <c r="N142"/>
  <c r="N131"/>
  <c r="FJ369" i="77"/>
  <c r="T369" i="71"/>
  <c r="FJ227" i="77"/>
  <c r="T227" i="71"/>
  <c r="N239"/>
  <c r="N233"/>
  <c r="S174"/>
  <c r="S276"/>
  <c r="S224"/>
  <c r="U228"/>
  <c r="S120"/>
  <c r="S112"/>
  <c r="T89"/>
  <c r="T85"/>
  <c r="V157"/>
  <c r="V266"/>
  <c r="S177"/>
  <c r="S229"/>
  <c r="FJ385" i="77"/>
  <c r="T394" i="71"/>
  <c r="FJ296" i="77"/>
  <c r="U296" i="71" s="1"/>
  <c r="T296"/>
  <c r="FI292" i="77"/>
  <c r="T292" i="71" s="1"/>
  <c r="S292"/>
  <c r="T134"/>
  <c r="T271"/>
  <c r="T281"/>
  <c r="T184"/>
  <c r="T158"/>
  <c r="T130"/>
  <c r="T274"/>
  <c r="T222"/>
  <c r="T171"/>
  <c r="T108"/>
  <c r="U189"/>
  <c r="T189"/>
  <c r="T160"/>
  <c r="T268"/>
  <c r="R161"/>
  <c r="R272"/>
  <c r="N245"/>
  <c r="N145"/>
  <c r="N82"/>
  <c r="T218"/>
  <c r="N191"/>
  <c r="N161"/>
  <c r="N272"/>
  <c r="V226"/>
  <c r="W235"/>
  <c r="T384"/>
  <c r="T378"/>
  <c r="N242"/>
  <c r="N236"/>
  <c r="T118"/>
  <c r="T107"/>
  <c r="T273"/>
  <c r="T168"/>
  <c r="FJ238" i="77"/>
  <c r="T238" i="71"/>
  <c r="W228"/>
  <c r="T119"/>
  <c r="T111"/>
  <c r="T136"/>
  <c r="FJ360" i="77"/>
  <c r="T360" i="71"/>
  <c r="T362"/>
  <c r="T359"/>
  <c r="W237"/>
  <c r="W188"/>
  <c r="T116"/>
  <c r="T185"/>
  <c r="T101"/>
  <c r="T261"/>
  <c r="T132"/>
  <c r="T106"/>
  <c r="T159"/>
  <c r="T259"/>
  <c r="S148"/>
  <c r="N92"/>
  <c r="S81"/>
  <c r="S272"/>
  <c r="S161"/>
  <c r="FJ234" i="77"/>
  <c r="T234" i="71"/>
  <c r="T138"/>
  <c r="T195"/>
  <c r="T169"/>
  <c r="V228"/>
  <c r="N120"/>
  <c r="N112"/>
  <c r="T181"/>
  <c r="V237"/>
  <c r="V188"/>
  <c r="T117"/>
  <c r="T284"/>
  <c r="Q177"/>
  <c r="Q229"/>
  <c r="T179"/>
  <c r="T231"/>
  <c r="T133"/>
  <c r="T269"/>
  <c r="T283"/>
  <c r="T186"/>
  <c r="W157"/>
  <c r="W266"/>
  <c r="Q272"/>
  <c r="Q161"/>
  <c r="T167"/>
  <c r="U237"/>
  <c r="U188"/>
  <c r="N253"/>
  <c r="S93"/>
  <c r="T205"/>
  <c r="N81"/>
  <c r="X237"/>
  <c r="X188"/>
  <c r="S242"/>
  <c r="S236"/>
  <c r="T91"/>
  <c r="T88"/>
  <c r="FJ84" i="77"/>
  <c r="T84" i="71"/>
  <c r="N174"/>
  <c r="N276"/>
  <c r="N224"/>
  <c r="FJ83" i="77"/>
  <c r="T83" i="71"/>
  <c r="T182"/>
  <c r="T113"/>
  <c r="T279"/>
  <c r="T178"/>
  <c r="T230"/>
  <c r="N229"/>
  <c r="N177"/>
  <c r="U141"/>
  <c r="T141"/>
  <c r="T278"/>
  <c r="T225"/>
  <c r="T173"/>
  <c r="T110"/>
  <c r="S154"/>
  <c r="U165"/>
  <c r="T165"/>
  <c r="U115"/>
  <c r="T115"/>
  <c r="T223"/>
  <c r="T172"/>
  <c r="FK289" i="77"/>
  <c r="V289" i="71" s="1"/>
  <c r="T289"/>
  <c r="FL289" i="77"/>
  <c r="W289" i="71" s="1"/>
  <c r="FJ289" i="77"/>
  <c r="Q224" i="71"/>
  <c r="Q174"/>
  <c r="Q276"/>
  <c r="U157"/>
  <c r="U266"/>
  <c r="S253"/>
  <c r="S245"/>
  <c r="S220"/>
  <c r="S145"/>
  <c r="N93"/>
  <c r="N148"/>
  <c r="N96"/>
  <c r="S92"/>
  <c r="U205"/>
  <c r="EF227" i="77"/>
  <c r="S227" i="70"/>
  <c r="S218"/>
  <c r="S226"/>
  <c r="N122"/>
  <c r="N286"/>
  <c r="T224"/>
  <c r="T276"/>
  <c r="T174"/>
  <c r="N372"/>
  <c r="N370"/>
  <c r="N219"/>
  <c r="N227"/>
  <c r="N204"/>
  <c r="N237"/>
  <c r="N188"/>
  <c r="N195"/>
  <c r="N169"/>
  <c r="S196"/>
  <c r="S170"/>
  <c r="S384"/>
  <c r="S378"/>
  <c r="T272"/>
  <c r="T161"/>
  <c r="N240"/>
  <c r="N234"/>
  <c r="N363"/>
  <c r="N360"/>
  <c r="S89"/>
  <c r="S85"/>
  <c r="N194"/>
  <c r="N273"/>
  <c r="N168"/>
  <c r="N107"/>
  <c r="S364"/>
  <c r="S361"/>
  <c r="N90"/>
  <c r="N86"/>
  <c r="N283"/>
  <c r="N186"/>
  <c r="N231"/>
  <c r="N179"/>
  <c r="Q160"/>
  <c r="Q268"/>
  <c r="EG379" i="77"/>
  <c r="U379" i="70" s="1"/>
  <c r="T379"/>
  <c r="T274"/>
  <c r="T222"/>
  <c r="T171"/>
  <c r="T108"/>
  <c r="N158"/>
  <c r="N130"/>
  <c r="N223"/>
  <c r="N172"/>
  <c r="S229"/>
  <c r="S177"/>
  <c r="N106"/>
  <c r="N132"/>
  <c r="U103"/>
  <c r="T103"/>
  <c r="N271"/>
  <c r="N134"/>
  <c r="N173"/>
  <c r="N110"/>
  <c r="N230"/>
  <c r="N178"/>
  <c r="N279"/>
  <c r="N113"/>
  <c r="T102"/>
  <c r="S102"/>
  <c r="EG354" i="77"/>
  <c r="U354" i="70" s="1"/>
  <c r="T354"/>
  <c r="S185"/>
  <c r="S116"/>
  <c r="S284"/>
  <c r="S117"/>
  <c r="R101"/>
  <c r="R261"/>
  <c r="N274"/>
  <c r="N222"/>
  <c r="N171"/>
  <c r="N108"/>
  <c r="W159"/>
  <c r="W259"/>
  <c r="Q237"/>
  <c r="Q188"/>
  <c r="V157"/>
  <c r="V266"/>
  <c r="R136"/>
  <c r="R111"/>
  <c r="Q186"/>
  <c r="Q283"/>
  <c r="R160"/>
  <c r="R268"/>
  <c r="S376"/>
  <c r="N196"/>
  <c r="N170"/>
  <c r="S205"/>
  <c r="S286"/>
  <c r="S114"/>
  <c r="S362"/>
  <c r="S359"/>
  <c r="EG233" i="77"/>
  <c r="T233" i="70"/>
  <c r="S220"/>
  <c r="S228"/>
  <c r="S240"/>
  <c r="S234"/>
  <c r="S371"/>
  <c r="S369"/>
  <c r="N364"/>
  <c r="N361"/>
  <c r="U235"/>
  <c r="AA104"/>
  <c r="X104"/>
  <c r="R231"/>
  <c r="R179"/>
  <c r="S160"/>
  <c r="S268"/>
  <c r="EG265" i="77"/>
  <c r="U265" i="70" s="1"/>
  <c r="T265"/>
  <c r="U187"/>
  <c r="T187"/>
  <c r="S130"/>
  <c r="S158"/>
  <c r="Q223"/>
  <c r="Q172"/>
  <c r="R229"/>
  <c r="R177"/>
  <c r="S132"/>
  <c r="S106"/>
  <c r="EG382" i="77"/>
  <c r="U382" i="70" s="1"/>
  <c r="T382"/>
  <c r="Q133"/>
  <c r="Q269"/>
  <c r="R271"/>
  <c r="R134"/>
  <c r="S173"/>
  <c r="S110"/>
  <c r="EG296" i="77"/>
  <c r="U296" i="70" s="1"/>
  <c r="T296"/>
  <c r="N185"/>
  <c r="N116"/>
  <c r="N284"/>
  <c r="N117"/>
  <c r="S101"/>
  <c r="S261"/>
  <c r="Q184"/>
  <c r="Q281"/>
  <c r="R273"/>
  <c r="R168"/>
  <c r="R107"/>
  <c r="W157"/>
  <c r="W266"/>
  <c r="R230"/>
  <c r="R178"/>
  <c r="R279"/>
  <c r="R113"/>
  <c r="Q171"/>
  <c r="Q274"/>
  <c r="Q222"/>
  <c r="Q108"/>
  <c r="Q173"/>
  <c r="Q110"/>
  <c r="S197"/>
  <c r="N147"/>
  <c r="S119"/>
  <c r="S136"/>
  <c r="S111"/>
  <c r="S388"/>
  <c r="S380"/>
  <c r="N201"/>
  <c r="N181"/>
  <c r="S204"/>
  <c r="S237"/>
  <c r="S188"/>
  <c r="N218"/>
  <c r="N226"/>
  <c r="N119"/>
  <c r="N136"/>
  <c r="N111"/>
  <c r="N388"/>
  <c r="N380"/>
  <c r="N121"/>
  <c r="N114"/>
  <c r="N362"/>
  <c r="N359"/>
  <c r="N384"/>
  <c r="N378"/>
  <c r="EG84" i="77"/>
  <c r="T84" i="70"/>
  <c r="T120"/>
  <c r="T112"/>
  <c r="T137"/>
  <c r="N220"/>
  <c r="N228"/>
  <c r="N202"/>
  <c r="N182"/>
  <c r="S200"/>
  <c r="S180"/>
  <c r="T238"/>
  <c r="N81"/>
  <c r="N83"/>
  <c r="S91"/>
  <c r="S88"/>
  <c r="N371"/>
  <c r="N369"/>
  <c r="V235"/>
  <c r="X157"/>
  <c r="X266"/>
  <c r="R283"/>
  <c r="R186"/>
  <c r="Q231"/>
  <c r="Q179"/>
  <c r="N160"/>
  <c r="N268"/>
  <c r="R223"/>
  <c r="R172"/>
  <c r="N229"/>
  <c r="N177"/>
  <c r="Q106"/>
  <c r="Q132"/>
  <c r="S133"/>
  <c r="S269"/>
  <c r="T285"/>
  <c r="S285"/>
  <c r="Q271"/>
  <c r="Q134"/>
  <c r="Q230"/>
  <c r="Q178"/>
  <c r="Q279"/>
  <c r="Q113"/>
  <c r="EG289" i="77"/>
  <c r="U289" i="70" s="1"/>
  <c r="T289"/>
  <c r="N101"/>
  <c r="N261"/>
  <c r="S281"/>
  <c r="S184"/>
  <c r="R274"/>
  <c r="R222"/>
  <c r="R171"/>
  <c r="R108"/>
  <c r="EG209" i="77"/>
  <c r="U295" i="70" s="1"/>
  <c r="T295"/>
  <c r="U159"/>
  <c r="U259"/>
  <c r="R237"/>
  <c r="R188"/>
  <c r="R158"/>
  <c r="R130"/>
  <c r="T159"/>
  <c r="T259"/>
  <c r="R281"/>
  <c r="R184"/>
  <c r="R133"/>
  <c r="R269"/>
  <c r="Q273"/>
  <c r="Q168"/>
  <c r="Q107"/>
  <c r="S193"/>
  <c r="N246"/>
  <c r="S248"/>
  <c r="N248"/>
  <c r="S244"/>
  <c r="N197"/>
  <c r="S202"/>
  <c r="S182"/>
  <c r="N200"/>
  <c r="N180"/>
  <c r="EF360" i="77"/>
  <c r="S360" i="70"/>
  <c r="N89"/>
  <c r="N85"/>
  <c r="T277"/>
  <c r="T175"/>
  <c r="N91"/>
  <c r="N88"/>
  <c r="S194"/>
  <c r="S168"/>
  <c r="S273"/>
  <c r="S107"/>
  <c r="S90"/>
  <c r="S86"/>
  <c r="W235"/>
  <c r="U129"/>
  <c r="T129"/>
  <c r="S283"/>
  <c r="S186"/>
  <c r="S231"/>
  <c r="S179"/>
  <c r="EG288" i="77"/>
  <c r="U288" i="70" s="1"/>
  <c r="T288"/>
  <c r="Q158"/>
  <c r="Q130"/>
  <c r="S172"/>
  <c r="S223"/>
  <c r="Q229"/>
  <c r="Q177"/>
  <c r="R106"/>
  <c r="R132"/>
  <c r="EG225" i="77"/>
  <c r="T225" i="70"/>
  <c r="T278"/>
  <c r="N133"/>
  <c r="N269"/>
  <c r="S271"/>
  <c r="S134"/>
  <c r="R173"/>
  <c r="R110"/>
  <c r="S279"/>
  <c r="S230"/>
  <c r="S113"/>
  <c r="S178"/>
  <c r="EG364" i="77"/>
  <c r="U383" i="70" s="1"/>
  <c r="T383"/>
  <c r="R185"/>
  <c r="R116"/>
  <c r="Q284"/>
  <c r="Q117"/>
  <c r="Q101"/>
  <c r="Q261"/>
  <c r="N281"/>
  <c r="N184"/>
  <c r="S274"/>
  <c r="S222"/>
  <c r="S171"/>
  <c r="S108"/>
  <c r="V159"/>
  <c r="V259"/>
  <c r="Q185"/>
  <c r="Q116"/>
  <c r="Q136"/>
  <c r="Q111"/>
  <c r="U157"/>
  <c r="U266"/>
  <c r="R284"/>
  <c r="R117"/>
  <c r="N376"/>
  <c r="N193"/>
  <c r="S246"/>
  <c r="T248"/>
  <c r="N244"/>
  <c r="S242"/>
  <c r="S219" i="69"/>
  <c r="S227"/>
  <c r="N218"/>
  <c r="N226"/>
  <c r="S221"/>
  <c r="S232"/>
  <c r="S195"/>
  <c r="S169"/>
  <c r="S81"/>
  <c r="S83"/>
  <c r="N121"/>
  <c r="N114"/>
  <c r="S240"/>
  <c r="S234"/>
  <c r="N219"/>
  <c r="N227"/>
  <c r="N196"/>
  <c r="N170"/>
  <c r="N241"/>
  <c r="N235"/>
  <c r="S145"/>
  <c r="S138"/>
  <c r="N372"/>
  <c r="N370"/>
  <c r="N168"/>
  <c r="N273"/>
  <c r="N107"/>
  <c r="N371"/>
  <c r="N369"/>
  <c r="N242"/>
  <c r="N236"/>
  <c r="S201"/>
  <c r="S181"/>
  <c r="S217"/>
  <c r="S224"/>
  <c r="S276"/>
  <c r="S174"/>
  <c r="X377"/>
  <c r="Z381"/>
  <c r="W381"/>
  <c r="T284"/>
  <c r="T117"/>
  <c r="S160"/>
  <c r="S268"/>
  <c r="Q156"/>
  <c r="Q105"/>
  <c r="S159"/>
  <c r="S259"/>
  <c r="U155"/>
  <c r="T155"/>
  <c r="DD354" i="77"/>
  <c r="U354" i="69" s="1"/>
  <c r="T354"/>
  <c r="U290"/>
  <c r="T290"/>
  <c r="N173"/>
  <c r="N110"/>
  <c r="N281"/>
  <c r="N184"/>
  <c r="Q274"/>
  <c r="Q222"/>
  <c r="Q171"/>
  <c r="Q108"/>
  <c r="R158"/>
  <c r="R130"/>
  <c r="R133"/>
  <c r="R269"/>
  <c r="T223"/>
  <c r="T172"/>
  <c r="T185"/>
  <c r="T116"/>
  <c r="DC280" i="77"/>
  <c r="T280" i="69" s="1"/>
  <c r="Q280"/>
  <c r="R271"/>
  <c r="R134"/>
  <c r="N279"/>
  <c r="N230"/>
  <c r="N178"/>
  <c r="N113"/>
  <c r="R278"/>
  <c r="R225"/>
  <c r="R284"/>
  <c r="R117"/>
  <c r="Q277"/>
  <c r="Q175"/>
  <c r="Q161"/>
  <c r="Q272"/>
  <c r="Q281"/>
  <c r="Q184"/>
  <c r="R156"/>
  <c r="R105"/>
  <c r="S96"/>
  <c r="S205"/>
  <c r="N147"/>
  <c r="S204"/>
  <c r="S376"/>
  <c r="N82"/>
  <c r="N84"/>
  <c r="S241"/>
  <c r="S235"/>
  <c r="S200"/>
  <c r="S180"/>
  <c r="N198"/>
  <c r="N277"/>
  <c r="N175"/>
  <c r="S244"/>
  <c r="S238"/>
  <c r="N195"/>
  <c r="N169"/>
  <c r="N200"/>
  <c r="N180"/>
  <c r="S82"/>
  <c r="S84"/>
  <c r="S89"/>
  <c r="S85"/>
  <c r="N142"/>
  <c r="N131"/>
  <c r="T233"/>
  <c r="N220"/>
  <c r="N228"/>
  <c r="S273"/>
  <c r="S168"/>
  <c r="S107"/>
  <c r="S364"/>
  <c r="S361"/>
  <c r="S362"/>
  <c r="S359"/>
  <c r="S119"/>
  <c r="S111"/>
  <c r="S136"/>
  <c r="T237"/>
  <c r="T188"/>
  <c r="DD225" i="77"/>
  <c r="T225" i="69"/>
  <c r="T278"/>
  <c r="N160"/>
  <c r="N268"/>
  <c r="S156"/>
  <c r="S105"/>
  <c r="R159"/>
  <c r="R259"/>
  <c r="Q173"/>
  <c r="Q110"/>
  <c r="Q273"/>
  <c r="Q168"/>
  <c r="Q107"/>
  <c r="S274"/>
  <c r="S222"/>
  <c r="S171"/>
  <c r="S108"/>
  <c r="N158"/>
  <c r="N130"/>
  <c r="S133"/>
  <c r="S269"/>
  <c r="T101"/>
  <c r="T261"/>
  <c r="S271"/>
  <c r="S134"/>
  <c r="Q230"/>
  <c r="Q178"/>
  <c r="Q279"/>
  <c r="Q113"/>
  <c r="S225"/>
  <c r="S278"/>
  <c r="R277"/>
  <c r="R175"/>
  <c r="DD288" i="77"/>
  <c r="U288" i="69" s="1"/>
  <c r="T288"/>
  <c r="U102"/>
  <c r="T102"/>
  <c r="Q157"/>
  <c r="Q266"/>
  <c r="Q284"/>
  <c r="Q117"/>
  <c r="N96"/>
  <c r="T93"/>
  <c r="S247"/>
  <c r="S239"/>
  <c r="N205"/>
  <c r="S147"/>
  <c r="N204"/>
  <c r="S90"/>
  <c r="N376"/>
  <c r="N144"/>
  <c r="N137"/>
  <c r="N145"/>
  <c r="N138"/>
  <c r="N364"/>
  <c r="N361"/>
  <c r="S272"/>
  <c r="S161"/>
  <c r="N201"/>
  <c r="N181"/>
  <c r="S192"/>
  <c r="S162"/>
  <c r="N217"/>
  <c r="N276"/>
  <c r="N174"/>
  <c r="N224"/>
  <c r="N362"/>
  <c r="N359"/>
  <c r="N119"/>
  <c r="N111"/>
  <c r="N136"/>
  <c r="S157"/>
  <c r="S266"/>
  <c r="Q160"/>
  <c r="Q268"/>
  <c r="N156"/>
  <c r="N105"/>
  <c r="N159"/>
  <c r="N259"/>
  <c r="U165"/>
  <c r="T165"/>
  <c r="U115"/>
  <c r="T115"/>
  <c r="T135"/>
  <c r="Q135"/>
  <c r="R173"/>
  <c r="R110"/>
  <c r="R281"/>
  <c r="R184"/>
  <c r="R168"/>
  <c r="R273"/>
  <c r="R107"/>
  <c r="R274"/>
  <c r="R222"/>
  <c r="R171"/>
  <c r="R108"/>
  <c r="Q158"/>
  <c r="Q130"/>
  <c r="N133"/>
  <c r="N269"/>
  <c r="U164"/>
  <c r="T164"/>
  <c r="DC263" i="77"/>
  <c r="T263" i="69" s="1"/>
  <c r="Q263"/>
  <c r="N271"/>
  <c r="N134"/>
  <c r="S279"/>
  <c r="S230"/>
  <c r="S178"/>
  <c r="S113"/>
  <c r="N278"/>
  <c r="N225"/>
  <c r="N284"/>
  <c r="N117"/>
  <c r="Q136"/>
  <c r="Q111"/>
  <c r="DD393" i="77"/>
  <c r="U393" i="69" s="1"/>
  <c r="T393"/>
  <c r="Q276"/>
  <c r="Q174"/>
  <c r="Q224"/>
  <c r="Q225"/>
  <c r="Q278"/>
  <c r="R276"/>
  <c r="R174"/>
  <c r="R224"/>
  <c r="R157"/>
  <c r="R266"/>
  <c r="N247"/>
  <c r="N239"/>
  <c r="N95"/>
  <c r="S248"/>
  <c r="N90"/>
  <c r="DC277" i="77"/>
  <c r="DD277" s="1"/>
  <c r="N89" i="69"/>
  <c r="N85"/>
  <c r="N120"/>
  <c r="N112"/>
  <c r="N221"/>
  <c r="N232"/>
  <c r="N244"/>
  <c r="N238"/>
  <c r="S198"/>
  <c r="S277"/>
  <c r="S175"/>
  <c r="N81"/>
  <c r="N83"/>
  <c r="S121"/>
  <c r="S114"/>
  <c r="N240"/>
  <c r="N234"/>
  <c r="S196"/>
  <c r="S170"/>
  <c r="DD88" i="77"/>
  <c r="T88" i="69"/>
  <c r="S220"/>
  <c r="S228"/>
  <c r="S120"/>
  <c r="S112"/>
  <c r="S372"/>
  <c r="S370"/>
  <c r="S371"/>
  <c r="S369"/>
  <c r="S242"/>
  <c r="S236"/>
  <c r="N272"/>
  <c r="N161"/>
  <c r="N192"/>
  <c r="N162"/>
  <c r="T129"/>
  <c r="S129"/>
  <c r="N157"/>
  <c r="N266"/>
  <c r="R160"/>
  <c r="R268"/>
  <c r="T132"/>
  <c r="T106"/>
  <c r="T229"/>
  <c r="T177"/>
  <c r="T283"/>
  <c r="T186"/>
  <c r="T270"/>
  <c r="Q270"/>
  <c r="S173"/>
  <c r="S110"/>
  <c r="S281"/>
  <c r="S184"/>
  <c r="N274"/>
  <c r="N222"/>
  <c r="N171"/>
  <c r="N108"/>
  <c r="S158"/>
  <c r="S130"/>
  <c r="Q133"/>
  <c r="Q269"/>
  <c r="T231"/>
  <c r="T179"/>
  <c r="U166"/>
  <c r="T166"/>
  <c r="R279"/>
  <c r="R230"/>
  <c r="R178"/>
  <c r="R113"/>
  <c r="S284"/>
  <c r="S117"/>
  <c r="R111"/>
  <c r="R136"/>
  <c r="R272"/>
  <c r="R161"/>
  <c r="Q271"/>
  <c r="Q134"/>
  <c r="N251"/>
  <c r="S253"/>
  <c r="S95"/>
  <c r="N199"/>
  <c r="S82" i="68"/>
  <c r="S84"/>
  <c r="W228"/>
  <c r="N82"/>
  <c r="N84"/>
  <c r="S121"/>
  <c r="S114"/>
  <c r="T180"/>
  <c r="V228"/>
  <c r="T136"/>
  <c r="T111"/>
  <c r="S244"/>
  <c r="S238"/>
  <c r="S195"/>
  <c r="S169"/>
  <c r="N241"/>
  <c r="N235"/>
  <c r="N91"/>
  <c r="N88"/>
  <c r="N145"/>
  <c r="N138"/>
  <c r="N364"/>
  <c r="N361"/>
  <c r="S273"/>
  <c r="S168"/>
  <c r="S107"/>
  <c r="N157"/>
  <c r="N266"/>
  <c r="N172"/>
  <c r="N223"/>
  <c r="CA275" i="77"/>
  <c r="U275" i="68" s="1"/>
  <c r="T275"/>
  <c r="Q161"/>
  <c r="Q272"/>
  <c r="Q133"/>
  <c r="Q269"/>
  <c r="CA267" i="77"/>
  <c r="U267" i="68" s="1"/>
  <c r="T267"/>
  <c r="U284"/>
  <c r="U117"/>
  <c r="CA382" i="77"/>
  <c r="U382" i="68" s="1"/>
  <c r="T382"/>
  <c r="U190"/>
  <c r="T190"/>
  <c r="N281"/>
  <c r="N184"/>
  <c r="R156"/>
  <c r="R105"/>
  <c r="CA296" i="77"/>
  <c r="U296" i="68" s="1"/>
  <c r="T296"/>
  <c r="Q273"/>
  <c r="Q168"/>
  <c r="Q107"/>
  <c r="R283"/>
  <c r="R186"/>
  <c r="N160"/>
  <c r="N268"/>
  <c r="U135"/>
  <c r="T135"/>
  <c r="N185"/>
  <c r="N116"/>
  <c r="T173"/>
  <c r="T110"/>
  <c r="S279"/>
  <c r="S230"/>
  <c r="S178"/>
  <c r="S113"/>
  <c r="N274"/>
  <c r="N171"/>
  <c r="N222"/>
  <c r="N108"/>
  <c r="N229"/>
  <c r="N177"/>
  <c r="N106"/>
  <c r="N132"/>
  <c r="T231"/>
  <c r="T179"/>
  <c r="Q278"/>
  <c r="Q225"/>
  <c r="S92"/>
  <c r="N248"/>
  <c r="S242"/>
  <c r="N218"/>
  <c r="S81"/>
  <c r="N148"/>
  <c r="N202"/>
  <c r="N182"/>
  <c r="N192"/>
  <c r="N162"/>
  <c r="N239"/>
  <c r="N233"/>
  <c r="S202"/>
  <c r="S182"/>
  <c r="N121"/>
  <c r="N114"/>
  <c r="N90"/>
  <c r="N86"/>
  <c r="T112"/>
  <c r="N195"/>
  <c r="N169"/>
  <c r="T226"/>
  <c r="S144"/>
  <c r="S137"/>
  <c r="N203"/>
  <c r="N183"/>
  <c r="T362"/>
  <c r="T359"/>
  <c r="T240"/>
  <c r="T234"/>
  <c r="T85"/>
  <c r="S197"/>
  <c r="S224"/>
  <c r="S276"/>
  <c r="S174"/>
  <c r="S221"/>
  <c r="S232"/>
  <c r="S364"/>
  <c r="S361"/>
  <c r="N168"/>
  <c r="N273"/>
  <c r="N107"/>
  <c r="CA378" i="77"/>
  <c r="T378" i="68"/>
  <c r="T170"/>
  <c r="S157"/>
  <c r="S266"/>
  <c r="Q157"/>
  <c r="Q266"/>
  <c r="CA280" i="77"/>
  <c r="U280" i="68" s="1"/>
  <c r="T280"/>
  <c r="R272"/>
  <c r="R161"/>
  <c r="R133"/>
  <c r="R269"/>
  <c r="V284"/>
  <c r="V117"/>
  <c r="T158"/>
  <c r="T130"/>
  <c r="U141"/>
  <c r="T141"/>
  <c r="R278"/>
  <c r="R225"/>
  <c r="S156"/>
  <c r="S105"/>
  <c r="U155"/>
  <c r="T155"/>
  <c r="CA262" i="77"/>
  <c r="U262" i="68" s="1"/>
  <c r="T262"/>
  <c r="Q283"/>
  <c r="Q186"/>
  <c r="Q222"/>
  <c r="Q274"/>
  <c r="Q171"/>
  <c r="Q108"/>
  <c r="U139"/>
  <c r="T139"/>
  <c r="S186"/>
  <c r="S283"/>
  <c r="Q160"/>
  <c r="Q268"/>
  <c r="Q185"/>
  <c r="Q116"/>
  <c r="U189"/>
  <c r="T189"/>
  <c r="R279"/>
  <c r="R230"/>
  <c r="R178"/>
  <c r="R113"/>
  <c r="T271"/>
  <c r="T134"/>
  <c r="Q229"/>
  <c r="Q177"/>
  <c r="S132"/>
  <c r="S106"/>
  <c r="T101"/>
  <c r="T261"/>
  <c r="N251"/>
  <c r="S199"/>
  <c r="N92"/>
  <c r="S95"/>
  <c r="N242"/>
  <c r="S200"/>
  <c r="N219"/>
  <c r="N227"/>
  <c r="S192"/>
  <c r="S162"/>
  <c r="S90"/>
  <c r="S86"/>
  <c r="U228"/>
  <c r="N244"/>
  <c r="N238"/>
  <c r="S239"/>
  <c r="S233"/>
  <c r="S142"/>
  <c r="S131"/>
  <c r="T371"/>
  <c r="T369"/>
  <c r="N144"/>
  <c r="N137"/>
  <c r="S91"/>
  <c r="S88"/>
  <c r="S363"/>
  <c r="S360"/>
  <c r="T277"/>
  <c r="T175"/>
  <c r="S145"/>
  <c r="S138"/>
  <c r="N221"/>
  <c r="N232"/>
  <c r="S272"/>
  <c r="S161"/>
  <c r="T201"/>
  <c r="T181"/>
  <c r="X381"/>
  <c r="V381"/>
  <c r="R172"/>
  <c r="R223"/>
  <c r="R157"/>
  <c r="R266"/>
  <c r="CA385" i="77"/>
  <c r="U394" i="68" s="1"/>
  <c r="T394"/>
  <c r="CA282" i="77"/>
  <c r="U282" i="68" s="1"/>
  <c r="T282"/>
  <c r="Q224"/>
  <c r="Q276"/>
  <c r="Q174"/>
  <c r="S133"/>
  <c r="S269"/>
  <c r="W284"/>
  <c r="W117"/>
  <c r="T159"/>
  <c r="T259"/>
  <c r="N278"/>
  <c r="N225"/>
  <c r="R281"/>
  <c r="R184"/>
  <c r="N156"/>
  <c r="N105"/>
  <c r="N283"/>
  <c r="N186"/>
  <c r="S160"/>
  <c r="S268"/>
  <c r="R185"/>
  <c r="R116"/>
  <c r="U291"/>
  <c r="T291"/>
  <c r="CA379" i="77"/>
  <c r="U379" i="68" s="1"/>
  <c r="T379"/>
  <c r="N279"/>
  <c r="N230"/>
  <c r="N178"/>
  <c r="N113"/>
  <c r="BZ294" i="77"/>
  <c r="T294" i="68" s="1"/>
  <c r="S294"/>
  <c r="R274"/>
  <c r="R171"/>
  <c r="R222"/>
  <c r="R108"/>
  <c r="R229"/>
  <c r="R177"/>
  <c r="Q132"/>
  <c r="Q106"/>
  <c r="Q281"/>
  <c r="Q184"/>
  <c r="N93"/>
  <c r="N200"/>
  <c r="N247"/>
  <c r="S218"/>
  <c r="N205"/>
  <c r="S148"/>
  <c r="S219"/>
  <c r="S227"/>
  <c r="T237"/>
  <c r="T188"/>
  <c r="N142"/>
  <c r="N131"/>
  <c r="T83"/>
  <c r="S241"/>
  <c r="S235"/>
  <c r="N363"/>
  <c r="N360"/>
  <c r="S203"/>
  <c r="S183"/>
  <c r="T236"/>
  <c r="N197"/>
  <c r="N276"/>
  <c r="N174"/>
  <c r="N224"/>
  <c r="N272"/>
  <c r="N161"/>
  <c r="S223"/>
  <c r="S172"/>
  <c r="R276"/>
  <c r="R174"/>
  <c r="R224"/>
  <c r="N133"/>
  <c r="N269"/>
  <c r="CA386" i="77"/>
  <c r="U395" i="68" s="1"/>
  <c r="T395"/>
  <c r="S225"/>
  <c r="S278"/>
  <c r="U109"/>
  <c r="T109"/>
  <c r="S281"/>
  <c r="S184"/>
  <c r="Q156"/>
  <c r="Q105"/>
  <c r="U187"/>
  <c r="T187"/>
  <c r="R168"/>
  <c r="R273"/>
  <c r="R107"/>
  <c r="R160"/>
  <c r="R268"/>
  <c r="S185"/>
  <c r="S116"/>
  <c r="U290"/>
  <c r="T290"/>
  <c r="U164"/>
  <c r="T164"/>
  <c r="Q178"/>
  <c r="Q279"/>
  <c r="Q230"/>
  <c r="Q113"/>
  <c r="S274"/>
  <c r="S171"/>
  <c r="S222"/>
  <c r="S108"/>
  <c r="S177"/>
  <c r="S229"/>
  <c r="R132"/>
  <c r="R106"/>
  <c r="Q172"/>
  <c r="Q223"/>
  <c r="T284"/>
  <c r="T117"/>
  <c r="S248"/>
  <c r="S247"/>
  <c r="S205"/>
  <c r="N81"/>
  <c r="S220"/>
  <c r="N220"/>
  <c r="N90" i="65"/>
  <c r="N86"/>
  <c r="N363"/>
  <c r="N360"/>
  <c r="S240"/>
  <c r="S234"/>
  <c r="N203"/>
  <c r="N183"/>
  <c r="S362"/>
  <c r="S359"/>
  <c r="S385"/>
  <c r="S380"/>
  <c r="S136"/>
  <c r="S111"/>
  <c r="S363"/>
  <c r="S360"/>
  <c r="T131"/>
  <c r="N200"/>
  <c r="N180"/>
  <c r="S148"/>
  <c r="S147"/>
  <c r="N91"/>
  <c r="N88"/>
  <c r="N237"/>
  <c r="N188"/>
  <c r="N198"/>
  <c r="N277"/>
  <c r="N175"/>
  <c r="S144"/>
  <c r="S137"/>
  <c r="S371"/>
  <c r="S369"/>
  <c r="U235"/>
  <c r="T169"/>
  <c r="N247"/>
  <c r="N244"/>
  <c r="S81"/>
  <c r="S83"/>
  <c r="T238"/>
  <c r="R250"/>
  <c r="R207"/>
  <c r="R185"/>
  <c r="R116"/>
  <c r="U391"/>
  <c r="T391"/>
  <c r="U285"/>
  <c r="T285"/>
  <c r="N101"/>
  <c r="N261"/>
  <c r="R164"/>
  <c r="R221"/>
  <c r="R159"/>
  <c r="R259"/>
  <c r="N179"/>
  <c r="N231"/>
  <c r="T132"/>
  <c r="T106"/>
  <c r="AX393" i="77"/>
  <c r="U393" i="65" s="1"/>
  <c r="T393"/>
  <c r="S130"/>
  <c r="S158"/>
  <c r="S215"/>
  <c r="S195"/>
  <c r="S241"/>
  <c r="N173"/>
  <c r="N110"/>
  <c r="Q284"/>
  <c r="Q117"/>
  <c r="U140"/>
  <c r="T140"/>
  <c r="U227"/>
  <c r="U162"/>
  <c r="T245"/>
  <c r="S95"/>
  <c r="T239"/>
  <c r="N240"/>
  <c r="N234"/>
  <c r="N362"/>
  <c r="N359"/>
  <c r="S90"/>
  <c r="S86"/>
  <c r="N385"/>
  <c r="N380"/>
  <c r="N136"/>
  <c r="N111"/>
  <c r="T107"/>
  <c r="T273"/>
  <c r="T168"/>
  <c r="S249"/>
  <c r="S246"/>
  <c r="S196"/>
  <c r="S170"/>
  <c r="N148"/>
  <c r="N147"/>
  <c r="S286"/>
  <c r="S118"/>
  <c r="S193"/>
  <c r="S384"/>
  <c r="S378"/>
  <c r="U233"/>
  <c r="S198"/>
  <c r="S175"/>
  <c r="S277"/>
  <c r="N144"/>
  <c r="N137"/>
  <c r="V235"/>
  <c r="N218"/>
  <c r="N226"/>
  <c r="W162"/>
  <c r="X157"/>
  <c r="X266"/>
  <c r="N207"/>
  <c r="N250"/>
  <c r="N185"/>
  <c r="N116"/>
  <c r="T281"/>
  <c r="T184"/>
  <c r="R101"/>
  <c r="R261"/>
  <c r="T223"/>
  <c r="T172"/>
  <c r="AX354" i="77"/>
  <c r="U354" i="65" s="1"/>
  <c r="T354"/>
  <c r="S164"/>
  <c r="S221"/>
  <c r="N159"/>
  <c r="N259"/>
  <c r="S179"/>
  <c r="S231"/>
  <c r="S141"/>
  <c r="S191"/>
  <c r="U163"/>
  <c r="T163"/>
  <c r="U270"/>
  <c r="T270"/>
  <c r="R277"/>
  <c r="R175"/>
  <c r="R130"/>
  <c r="R158"/>
  <c r="R215"/>
  <c r="Q173"/>
  <c r="Q110"/>
  <c r="R284"/>
  <c r="R117"/>
  <c r="AX267" i="77"/>
  <c r="U267" i="65" s="1"/>
  <c r="T267"/>
  <c r="T177"/>
  <c r="T229"/>
  <c r="V157"/>
  <c r="V266"/>
  <c r="T253"/>
  <c r="N95"/>
  <c r="T272"/>
  <c r="T161"/>
  <c r="N249"/>
  <c r="N246"/>
  <c r="N196"/>
  <c r="N170"/>
  <c r="S200"/>
  <c r="S180"/>
  <c r="N286"/>
  <c r="N118"/>
  <c r="N193"/>
  <c r="S89"/>
  <c r="S85"/>
  <c r="S202"/>
  <c r="S182"/>
  <c r="S91"/>
  <c r="S88"/>
  <c r="S82"/>
  <c r="S84"/>
  <c r="W233"/>
  <c r="N220"/>
  <c r="N228"/>
  <c r="W235"/>
  <c r="S247"/>
  <c r="S244"/>
  <c r="S218"/>
  <c r="S226"/>
  <c r="T276"/>
  <c r="T224"/>
  <c r="T174"/>
  <c r="N201"/>
  <c r="N181"/>
  <c r="Q286"/>
  <c r="Q118"/>
  <c r="Q250"/>
  <c r="Q207"/>
  <c r="Q185"/>
  <c r="Q116"/>
  <c r="AX385" i="77"/>
  <c r="U394" i="65" s="1"/>
  <c r="T394"/>
  <c r="Q237"/>
  <c r="Q188"/>
  <c r="Q101"/>
  <c r="Q261"/>
  <c r="U190"/>
  <c r="T190"/>
  <c r="N164"/>
  <c r="N221"/>
  <c r="Q159"/>
  <c r="Q259"/>
  <c r="Q231"/>
  <c r="Q179"/>
  <c r="N141"/>
  <c r="N191"/>
  <c r="Q136"/>
  <c r="Q111"/>
  <c r="T283"/>
  <c r="T186"/>
  <c r="Q175"/>
  <c r="Q277"/>
  <c r="N130"/>
  <c r="N158"/>
  <c r="N215"/>
  <c r="N195"/>
  <c r="N241"/>
  <c r="R173"/>
  <c r="R110"/>
  <c r="N284"/>
  <c r="N117"/>
  <c r="T279"/>
  <c r="T178"/>
  <c r="T230"/>
  <c r="T113"/>
  <c r="U154"/>
  <c r="T154"/>
  <c r="U232"/>
  <c r="U157"/>
  <c r="U266"/>
  <c r="T92"/>
  <c r="AA162"/>
  <c r="X162"/>
  <c r="S203"/>
  <c r="S183"/>
  <c r="N89"/>
  <c r="N85"/>
  <c r="N384"/>
  <c r="N378"/>
  <c r="N202"/>
  <c r="N182"/>
  <c r="N82"/>
  <c r="N84"/>
  <c r="V233"/>
  <c r="S220"/>
  <c r="S228"/>
  <c r="S237"/>
  <c r="S188"/>
  <c r="N371"/>
  <c r="N369"/>
  <c r="S201"/>
  <c r="S181"/>
  <c r="N81"/>
  <c r="N83"/>
  <c r="W232"/>
  <c r="V162"/>
  <c r="V227"/>
  <c r="W227"/>
  <c r="R286"/>
  <c r="R118"/>
  <c r="R193"/>
  <c r="S250"/>
  <c r="S207"/>
  <c r="S185"/>
  <c r="S116"/>
  <c r="AX294" i="77"/>
  <c r="U294" i="65" s="1"/>
  <c r="T294"/>
  <c r="AX225" i="77"/>
  <c r="T278" i="65"/>
  <c r="T225"/>
  <c r="T134"/>
  <c r="T271"/>
  <c r="U135"/>
  <c r="T135"/>
  <c r="R237"/>
  <c r="R188"/>
  <c r="S101"/>
  <c r="S261"/>
  <c r="T274"/>
  <c r="T222"/>
  <c r="T171"/>
  <c r="T108"/>
  <c r="AX280" i="77"/>
  <c r="U280" i="65" s="1"/>
  <c r="T280"/>
  <c r="S159"/>
  <c r="S259"/>
  <c r="R179"/>
  <c r="R231"/>
  <c r="R141"/>
  <c r="R191"/>
  <c r="R136"/>
  <c r="R111"/>
  <c r="T160"/>
  <c r="T268"/>
  <c r="U139"/>
  <c r="T139"/>
  <c r="T133"/>
  <c r="T269"/>
  <c r="Q158"/>
  <c r="Q130"/>
  <c r="R195"/>
  <c r="R241"/>
  <c r="S173"/>
  <c r="S110"/>
  <c r="S284"/>
  <c r="S117"/>
  <c r="AX282" i="77"/>
  <c r="U282" i="65" s="1"/>
  <c r="T282"/>
  <c r="AX288" i="77"/>
  <c r="U288" i="65" s="1"/>
  <c r="T288"/>
  <c r="AX263" i="77"/>
  <c r="U263" i="65" s="1"/>
  <c r="T263"/>
  <c r="W157"/>
  <c r="W266"/>
  <c r="AC370" i="72"/>
  <c r="AB377" i="71"/>
  <c r="AB155"/>
  <c r="AD156" i="74"/>
  <c r="AD105"/>
  <c r="AD284" i="39"/>
  <c r="AD117"/>
  <c r="AB189" i="71"/>
  <c r="AD229" i="39"/>
  <c r="AD177"/>
  <c r="AC259"/>
  <c r="AC159"/>
  <c r="AB277" i="70"/>
  <c r="AB175"/>
  <c r="AD202" i="39"/>
  <c r="AD182"/>
  <c r="AC225"/>
  <c r="AC278"/>
  <c r="AB276" i="71"/>
  <c r="AB224"/>
  <c r="AB174"/>
  <c r="AB272" i="70"/>
  <c r="AB161"/>
  <c r="AD370" i="72"/>
  <c r="AC156"/>
  <c r="AC105"/>
  <c r="AD225" i="39"/>
  <c r="AD278"/>
  <c r="AB157" i="70"/>
  <c r="AB266"/>
  <c r="AB111"/>
  <c r="AB136"/>
  <c r="AB273"/>
  <c r="AB168"/>
  <c r="AB107"/>
  <c r="AB284"/>
  <c r="AB117"/>
  <c r="AB104" i="71"/>
  <c r="AB381"/>
  <c r="AB103"/>
  <c r="AD156" i="72"/>
  <c r="AD105"/>
  <c r="AC156" i="74"/>
  <c r="AC105"/>
  <c r="AC117" i="39"/>
  <c r="AC284"/>
  <c r="AB291" i="71"/>
  <c r="AC229" i="39"/>
  <c r="AC177"/>
  <c r="AD259"/>
  <c r="AD159"/>
  <c r="AD156" i="65"/>
  <c r="AD105"/>
  <c r="AB158" i="70"/>
  <c r="AB130"/>
  <c r="AB272" i="71"/>
  <c r="AB161"/>
  <c r="AB101" i="70"/>
  <c r="AB261"/>
  <c r="AB173"/>
  <c r="AB110"/>
  <c r="EL44" i="77"/>
  <c r="Z44" i="70" s="1"/>
  <c r="EF207" i="77"/>
  <c r="T250" i="70" s="1"/>
  <c r="EF273" i="77"/>
  <c r="EG273" s="1"/>
  <c r="EF243"/>
  <c r="EG243" s="1"/>
  <c r="EF394"/>
  <c r="EG394" s="1"/>
  <c r="EF365"/>
  <c r="T365" i="70" s="1"/>
  <c r="GL203" i="77"/>
  <c r="GM203" s="1"/>
  <c r="AA210" i="39"/>
  <c r="BZ266" i="77"/>
  <c r="CA266" s="1"/>
  <c r="T165" i="68"/>
  <c r="AA363" i="39"/>
  <c r="T146" i="73"/>
  <c r="GU52" i="77"/>
  <c r="AC52" i="72" s="1"/>
  <c r="GP205" i="77"/>
  <c r="AB361" i="71"/>
  <c r="GR268" i="77"/>
  <c r="DC78"/>
  <c r="DD78" s="1"/>
  <c r="DC284"/>
  <c r="DD284" s="1"/>
  <c r="BZ288"/>
  <c r="T210" i="70"/>
  <c r="DC279" i="77"/>
  <c r="DD279" s="1"/>
  <c r="X169" i="73"/>
  <c r="Z129"/>
  <c r="BZ274" i="77"/>
  <c r="CA274" s="1"/>
  <c r="AB359" i="71"/>
  <c r="AB360"/>
  <c r="AB352" i="72"/>
  <c r="AB353" i="71"/>
  <c r="Z411" i="72"/>
  <c r="AC377" i="77"/>
  <c r="AC377" i="39" s="1"/>
  <c r="AA163"/>
  <c r="AB234" i="71"/>
  <c r="AB183" i="72"/>
  <c r="AB380" i="71"/>
  <c r="AB355"/>
  <c r="AB249" i="72"/>
  <c r="AB170"/>
  <c r="AB121" i="71"/>
  <c r="AB378" i="72"/>
  <c r="EL438" i="77"/>
  <c r="Z438" i="70" s="1"/>
  <c r="Z377" i="77"/>
  <c r="Z377" i="39" s="1"/>
  <c r="AB233" i="71"/>
  <c r="AB112"/>
  <c r="AB114"/>
  <c r="AB90" i="72"/>
  <c r="AB180" i="71"/>
  <c r="Z419"/>
  <c r="DI377" i="77"/>
  <c r="Z377" i="69" s="1"/>
  <c r="EF268" i="77"/>
  <c r="EG268" s="1"/>
  <c r="DC394"/>
  <c r="DD394" s="1"/>
  <c r="EF294"/>
  <c r="T294" i="70" s="1"/>
  <c r="DC240" i="77"/>
  <c r="DD240" s="1"/>
  <c r="BZ263"/>
  <c r="BZ202"/>
  <c r="CA202" s="1"/>
  <c r="BZ209"/>
  <c r="BZ279"/>
  <c r="CA279" s="1"/>
  <c r="AA129" i="74"/>
  <c r="Z129"/>
  <c r="HO277" i="77"/>
  <c r="HP277" s="1"/>
  <c r="AA64" i="70"/>
  <c r="DC385" i="77"/>
  <c r="DD385" s="1"/>
  <c r="BZ354"/>
  <c r="Z94"/>
  <c r="Z94" i="39" s="1"/>
  <c r="EF270" i="77"/>
  <c r="EG270" s="1"/>
  <c r="BZ285"/>
  <c r="CA285" s="1"/>
  <c r="EF285"/>
  <c r="EG285" s="1"/>
  <c r="BZ384"/>
  <c r="CA384" s="1"/>
  <c r="GL394"/>
  <c r="GM394" s="1"/>
  <c r="AD94"/>
  <c r="AC94"/>
  <c r="EF264"/>
  <c r="BZ230"/>
  <c r="EF222"/>
  <c r="EG222" s="1"/>
  <c r="T391" i="68"/>
  <c r="T163" i="73"/>
  <c r="FI229" i="77"/>
  <c r="FJ229" s="1"/>
  <c r="T187" i="71"/>
  <c r="AC270" i="39"/>
  <c r="FI265" i="77"/>
  <c r="T265" i="71" s="1"/>
  <c r="BZ94" i="77"/>
  <c r="CA94" s="1"/>
  <c r="BZ395"/>
  <c r="CA395" s="1"/>
  <c r="HO240"/>
  <c r="HP240" s="1"/>
  <c r="U391" i="68"/>
  <c r="U254"/>
  <c r="BZ225" i="77"/>
  <c r="BZ272"/>
  <c r="CA272" s="1"/>
  <c r="BZ364"/>
  <c r="T383" i="68" s="1"/>
  <c r="BZ269" i="77"/>
  <c r="CA269" s="1"/>
  <c r="AW87"/>
  <c r="T87" i="65" s="1"/>
  <c r="EF252" i="77"/>
  <c r="EG252" s="1"/>
  <c r="U187" i="71"/>
  <c r="CA230" i="77"/>
  <c r="FI295"/>
  <c r="FJ295" s="1"/>
  <c r="FI288"/>
  <c r="DC382"/>
  <c r="T382" i="69" s="1"/>
  <c r="T290" i="65"/>
  <c r="DC395" i="77"/>
  <c r="DD395" s="1"/>
  <c r="EF254"/>
  <c r="EG254" s="1"/>
  <c r="DC209"/>
  <c r="T295" i="69" s="1"/>
  <c r="HO79" i="77"/>
  <c r="HP79" s="1"/>
  <c r="T287" i="68"/>
  <c r="BZ295" i="77"/>
  <c r="CA295" s="1"/>
  <c r="GR208"/>
  <c r="Z208" i="72" s="1"/>
  <c r="EF393" i="77"/>
  <c r="EF293"/>
  <c r="AW89"/>
  <c r="AX89" s="1"/>
  <c r="T140" i="70"/>
  <c r="BZ276" i="77"/>
  <c r="CA276" s="1"/>
  <c r="BZ243"/>
  <c r="CA243" s="1"/>
  <c r="Z265"/>
  <c r="AW383"/>
  <c r="AX383" s="1"/>
  <c r="DC286"/>
  <c r="DD286" s="1"/>
  <c r="T135" i="73"/>
  <c r="EF275" i="77"/>
  <c r="DC252"/>
  <c r="DD252" s="1"/>
  <c r="GL223"/>
  <c r="GM223" s="1"/>
  <c r="Z214" i="71"/>
  <c r="AW277" i="77"/>
  <c r="AX277" s="1"/>
  <c r="AW207"/>
  <c r="AX207" s="1"/>
  <c r="AW386"/>
  <c r="T395" i="65" s="1"/>
  <c r="AW203" i="77"/>
  <c r="AX203" s="1"/>
  <c r="IR259"/>
  <c r="IS259" s="1"/>
  <c r="HO382"/>
  <c r="T382" i="73" s="1"/>
  <c r="HO376" i="77"/>
  <c r="HP376" s="1"/>
  <c r="FI209"/>
  <c r="T209" i="71" s="1"/>
  <c r="DC272" i="77"/>
  <c r="DD272" s="1"/>
  <c r="DC275"/>
  <c r="T109" i="73"/>
  <c r="IR354" i="77"/>
  <c r="HS225"/>
  <c r="HV225" s="1"/>
  <c r="BZ393"/>
  <c r="BZ270"/>
  <c r="CA270" s="1"/>
  <c r="DC274"/>
  <c r="DD274" s="1"/>
  <c r="AW296"/>
  <c r="T296" i="65" s="1"/>
  <c r="AW250" i="77"/>
  <c r="AX250" s="1"/>
  <c r="AW208"/>
  <c r="AX208" s="1"/>
  <c r="T213" i="65"/>
  <c r="EF284" i="77"/>
  <c r="EG284" s="1"/>
  <c r="HS259"/>
  <c r="AW98"/>
  <c r="AX98" s="1"/>
  <c r="EF229"/>
  <c r="EG229" s="1"/>
  <c r="IR266"/>
  <c r="IS266" s="1"/>
  <c r="DC266"/>
  <c r="DD266" s="1"/>
  <c r="AW262"/>
  <c r="T102" i="65"/>
  <c r="AW382" i="77"/>
  <c r="AW364"/>
  <c r="AX364" s="1"/>
  <c r="AW284"/>
  <c r="AX284" s="1"/>
  <c r="T142" i="70"/>
  <c r="EF362" i="77"/>
  <c r="EG362" s="1"/>
  <c r="EF263"/>
  <c r="T263" i="70" s="1"/>
  <c r="EF292" i="77"/>
  <c r="HO207"/>
  <c r="HP207" s="1"/>
  <c r="T371" i="73"/>
  <c r="BZ268" i="77"/>
  <c r="CA268" s="1"/>
  <c r="BZ283"/>
  <c r="CA283" s="1"/>
  <c r="BZ265"/>
  <c r="BZ372"/>
  <c r="GL280"/>
  <c r="T280" i="72" s="1"/>
  <c r="BZ223" i="77"/>
  <c r="CA223" s="1"/>
  <c r="GL385"/>
  <c r="GM385" s="1"/>
  <c r="T189" i="69"/>
  <c r="HO384" i="77"/>
  <c r="HP384" s="1"/>
  <c r="GL225"/>
  <c r="Z133" i="39"/>
  <c r="EF267" i="77"/>
  <c r="DC98"/>
  <c r="DD98" s="1"/>
  <c r="DC282"/>
  <c r="EF89"/>
  <c r="EG89" s="1"/>
  <c r="EF280"/>
  <c r="T280" i="70" s="1"/>
  <c r="DC202" i="77"/>
  <c r="DD202" s="1"/>
  <c r="DC273"/>
  <c r="DD273" s="1"/>
  <c r="DC278"/>
  <c r="DD278" s="1"/>
  <c r="T155" i="70"/>
  <c r="T167" i="74"/>
  <c r="DC206" i="77"/>
  <c r="DD206" s="1"/>
  <c r="AW379"/>
  <c r="T379" i="65" s="1"/>
  <c r="X436" i="74"/>
  <c r="AA436"/>
  <c r="X373"/>
  <c r="BC438" i="77"/>
  <c r="Z438" i="65" s="1"/>
  <c r="BG438" i="77"/>
  <c r="Z168" i="65"/>
  <c r="X442" i="39"/>
  <c r="AC442" i="77"/>
  <c r="AC442" i="39" s="1"/>
  <c r="Z438" i="77"/>
  <c r="Z438" i="39" s="1"/>
  <c r="X45" i="65"/>
  <c r="X449" i="72"/>
  <c r="AA449"/>
  <c r="X54" i="73"/>
  <c r="AA54"/>
  <c r="X455" i="71"/>
  <c r="X367" i="65"/>
  <c r="BG367" i="77"/>
  <c r="AD367" i="65" s="1"/>
  <c r="X95" i="39"/>
  <c r="AA361" i="73"/>
  <c r="EL45" i="77"/>
  <c r="Z45" i="70" s="1"/>
  <c r="AA45"/>
  <c r="Z14" i="69"/>
  <c r="AA14"/>
  <c r="Z15" i="72"/>
  <c r="AA15"/>
  <c r="HU47" i="77"/>
  <c r="Z47" i="73" s="1"/>
  <c r="AA47"/>
  <c r="X434" i="39"/>
  <c r="AA434"/>
  <c r="X244"/>
  <c r="Z51" i="65"/>
  <c r="AA51"/>
  <c r="Z441" i="39"/>
  <c r="EL432" i="77"/>
  <c r="Z432" i="70" s="1"/>
  <c r="EO432" i="77"/>
  <c r="AA384" i="39"/>
  <c r="AA378"/>
  <c r="FL263" i="77"/>
  <c r="W263" i="71" s="1"/>
  <c r="FK263" i="77"/>
  <c r="V263" i="71" s="1"/>
  <c r="W176"/>
  <c r="V176"/>
  <c r="FK262" i="77"/>
  <c r="V262" i="71" s="1"/>
  <c r="FL262" i="77"/>
  <c r="W262" i="71" s="1"/>
  <c r="V153"/>
  <c r="W153"/>
  <c r="V135"/>
  <c r="W135"/>
  <c r="AR290" i="77"/>
  <c r="AS290"/>
  <c r="AY294"/>
  <c r="V294" i="65" s="1"/>
  <c r="AZ294" i="77"/>
  <c r="W294" i="65" s="1"/>
  <c r="AY225" i="77"/>
  <c r="AZ225"/>
  <c r="AY272"/>
  <c r="AZ272"/>
  <c r="AY384"/>
  <c r="AZ384"/>
  <c r="V135" i="65"/>
  <c r="W135"/>
  <c r="EB393" i="77"/>
  <c r="P393" i="70" s="1"/>
  <c r="EA393" i="77"/>
  <c r="O393" i="70" s="1"/>
  <c r="V187"/>
  <c r="W187"/>
  <c r="IN259" i="77"/>
  <c r="IM259"/>
  <c r="IT240"/>
  <c r="IU240"/>
  <c r="IT385"/>
  <c r="V394" i="74" s="1"/>
  <c r="IU385" i="77"/>
  <c r="W394" i="74" s="1"/>
  <c r="CY379" i="77"/>
  <c r="P379" i="69" s="1"/>
  <c r="CX379" i="77"/>
  <c r="O379" i="69" s="1"/>
  <c r="CY222" i="77"/>
  <c r="CX222"/>
  <c r="P154" i="69"/>
  <c r="O154"/>
  <c r="CY269" i="77"/>
  <c r="CX269"/>
  <c r="CY267"/>
  <c r="P267" i="69" s="1"/>
  <c r="CX267" i="77"/>
  <c r="O267" i="69" s="1"/>
  <c r="CY286" i="77"/>
  <c r="CX286"/>
  <c r="V287" i="69"/>
  <c r="W287"/>
  <c r="U287"/>
  <c r="DE283" i="77"/>
  <c r="DF283"/>
  <c r="DD283"/>
  <c r="V285" i="71"/>
  <c r="W285"/>
  <c r="U285"/>
  <c r="EF385" i="77"/>
  <c r="T385" i="70" s="1"/>
  <c r="EF372" i="77"/>
  <c r="EG372" s="1"/>
  <c r="DC268"/>
  <c r="DD268" s="1"/>
  <c r="T120" i="73"/>
  <c r="X52" i="71"/>
  <c r="X441" i="72"/>
  <c r="Z150" i="71"/>
  <c r="X436"/>
  <c r="X421" i="73"/>
  <c r="AA126" i="71"/>
  <c r="Z441" i="73"/>
  <c r="DI57" i="77"/>
  <c r="Z57" i="69" s="1"/>
  <c r="X94" i="39"/>
  <c r="AA462"/>
  <c r="AA57" i="73"/>
  <c r="X429" i="65"/>
  <c r="X436" i="39"/>
  <c r="GU245" i="77"/>
  <c r="AA380" i="71"/>
  <c r="X423"/>
  <c r="X431" i="39"/>
  <c r="AA431"/>
  <c r="X428" i="65"/>
  <c r="X52" i="74"/>
  <c r="AA20" i="71"/>
  <c r="AA137"/>
  <c r="X367" i="70"/>
  <c r="X455"/>
  <c r="AA455"/>
  <c r="X27" i="73"/>
  <c r="AA227" i="65"/>
  <c r="X44" i="73"/>
  <c r="X401" i="39"/>
  <c r="X430"/>
  <c r="AA430"/>
  <c r="X150" i="72"/>
  <c r="X352" i="39"/>
  <c r="AA352"/>
  <c r="AA242"/>
  <c r="AC41" i="69"/>
  <c r="GR80" i="77"/>
  <c r="Z80" i="72" s="1"/>
  <c r="EP80" i="77"/>
  <c r="Z51" i="70"/>
  <c r="AA51"/>
  <c r="Z71"/>
  <c r="AA71"/>
  <c r="Z104" i="65"/>
  <c r="AA104"/>
  <c r="EL54" i="77"/>
  <c r="Z54" i="70" s="1"/>
  <c r="AA54"/>
  <c r="AA370" i="74"/>
  <c r="X209" i="39"/>
  <c r="AC204" i="77"/>
  <c r="X206" i="39"/>
  <c r="AA197"/>
  <c r="AA443"/>
  <c r="GR400" i="77"/>
  <c r="Z400" i="72" s="1"/>
  <c r="AA400"/>
  <c r="Z431" i="71"/>
  <c r="Z129" i="65"/>
  <c r="GR53" i="77"/>
  <c r="Z53" i="72" s="1"/>
  <c r="X252" i="39"/>
  <c r="AA249"/>
  <c r="FE276" i="77"/>
  <c r="FD276"/>
  <c r="FD295"/>
  <c r="FE295"/>
  <c r="V243" i="71"/>
  <c r="W243"/>
  <c r="FK279" i="77"/>
  <c r="FL279"/>
  <c r="FL78"/>
  <c r="W78" i="71" s="1"/>
  <c r="FK78" i="77"/>
  <c r="V78" i="71" s="1"/>
  <c r="FL376" i="77"/>
  <c r="FK376"/>
  <c r="O103" i="65"/>
  <c r="P103"/>
  <c r="AS386" i="77"/>
  <c r="P395" i="65" s="1"/>
  <c r="AR386" i="77"/>
  <c r="O395" i="65" s="1"/>
  <c r="AZ229" i="77"/>
  <c r="AY229"/>
  <c r="O144" i="70"/>
  <c r="P144"/>
  <c r="P270"/>
  <c r="O270"/>
  <c r="EA385" i="77"/>
  <c r="O394" i="70" s="1"/>
  <c r="EB385" i="77"/>
  <c r="P394" i="70" s="1"/>
  <c r="EB267" i="77"/>
  <c r="P267" i="70" s="1"/>
  <c r="EA267" i="77"/>
  <c r="P167" i="70"/>
  <c r="O167"/>
  <c r="EB372" i="77"/>
  <c r="EA372"/>
  <c r="EH78"/>
  <c r="V78" i="70" s="1"/>
  <c r="EI78" i="77"/>
  <c r="W78" i="70" s="1"/>
  <c r="EH272" i="77"/>
  <c r="EI272"/>
  <c r="EI266"/>
  <c r="EH266"/>
  <c r="IT292"/>
  <c r="V292" i="74" s="1"/>
  <c r="IU292" i="77"/>
  <c r="W292" i="74" s="1"/>
  <c r="V187"/>
  <c r="W187"/>
  <c r="P190" i="69"/>
  <c r="O190"/>
  <c r="HK382" i="77"/>
  <c r="P382" i="73" s="1"/>
  <c r="HJ382" i="77"/>
  <c r="O382" i="73" s="1"/>
  <c r="HK376" i="77"/>
  <c r="HJ376"/>
  <c r="FD288"/>
  <c r="FE288"/>
  <c r="P288" i="71" s="1"/>
  <c r="FD275" i="77"/>
  <c r="O275" i="71" s="1"/>
  <c r="FE275" i="77"/>
  <c r="P275" i="71" s="1"/>
  <c r="FE282" i="77"/>
  <c r="P282" i="71" s="1"/>
  <c r="FD282" i="77"/>
  <c r="O282" i="71" s="1"/>
  <c r="V146"/>
  <c r="U146"/>
  <c r="CF376" i="77"/>
  <c r="Z376" i="68" s="1"/>
  <c r="Z259" i="77"/>
  <c r="Z259" i="39" s="1"/>
  <c r="Z219"/>
  <c r="FI267" i="77"/>
  <c r="FJ263"/>
  <c r="U263" i="71" s="1"/>
  <c r="U176"/>
  <c r="FJ262" i="77"/>
  <c r="U262" i="71" s="1"/>
  <c r="U153"/>
  <c r="U135"/>
  <c r="AW78" i="77"/>
  <c r="AW259"/>
  <c r="AX259" s="1"/>
  <c r="EF203"/>
  <c r="EG203" s="1"/>
  <c r="EF274"/>
  <c r="EG274" s="1"/>
  <c r="DC222"/>
  <c r="DD222" s="1"/>
  <c r="DC269"/>
  <c r="DD269" s="1"/>
  <c r="HO386"/>
  <c r="AA361" i="71"/>
  <c r="Z91" i="39"/>
  <c r="AA91"/>
  <c r="X126" i="72"/>
  <c r="GR432" i="77"/>
  <c r="Z432" i="72" s="1"/>
  <c r="AA286" i="71"/>
  <c r="X367"/>
  <c r="AA367"/>
  <c r="EL400" i="77"/>
  <c r="Z400" i="70" s="1"/>
  <c r="EO400" i="77"/>
  <c r="AC400" i="70" s="1"/>
  <c r="GV457" i="77"/>
  <c r="AD457" i="72" s="1"/>
  <c r="X374" i="68"/>
  <c r="CJ374" i="77"/>
  <c r="AD374" i="68" s="1"/>
  <c r="AC401" i="71"/>
  <c r="X449" i="73"/>
  <c r="X427" i="68"/>
  <c r="CJ427" i="77"/>
  <c r="AD427" i="68" s="1"/>
  <c r="BC449" i="77"/>
  <c r="Z449" i="65" s="1"/>
  <c r="X430" i="72"/>
  <c r="GU430" i="77"/>
  <c r="AC430" i="72" s="1"/>
  <c r="X448"/>
  <c r="GV448" i="77"/>
  <c r="AD448" i="72" s="1"/>
  <c r="X45"/>
  <c r="X428" i="74"/>
  <c r="AA20" i="65"/>
  <c r="X430" i="73"/>
  <c r="AA430"/>
  <c r="AA71" i="74"/>
  <c r="Z104" i="39"/>
  <c r="Z14" i="68"/>
  <c r="AA14"/>
  <c r="FO80" i="77"/>
  <c r="Z80" i="71" s="1"/>
  <c r="X461" i="73"/>
  <c r="CF66" i="77"/>
  <c r="Z66" i="68" s="1"/>
  <c r="AA66"/>
  <c r="Z157" i="65"/>
  <c r="Z157" i="70"/>
  <c r="Z210" i="72"/>
  <c r="Z431" i="74"/>
  <c r="AA431"/>
  <c r="X249" i="39"/>
  <c r="AD246" i="77"/>
  <c r="X423" i="39"/>
  <c r="AA423"/>
  <c r="Z401" i="68"/>
  <c r="X415" i="39"/>
  <c r="AA415"/>
  <c r="FE267" i="77"/>
  <c r="P267" i="71" s="1"/>
  <c r="FD267" i="77"/>
  <c r="FL206"/>
  <c r="FK206"/>
  <c r="FL382"/>
  <c r="W382" i="71" s="1"/>
  <c r="FK382" i="77"/>
  <c r="V382" i="71" s="1"/>
  <c r="FK290" i="77"/>
  <c r="FL290"/>
  <c r="FK222"/>
  <c r="FL222"/>
  <c r="FL269"/>
  <c r="FK269"/>
  <c r="FK277"/>
  <c r="FL277"/>
  <c r="V163" i="71"/>
  <c r="W163"/>
  <c r="FK280" i="77"/>
  <c r="V280" i="71" s="1"/>
  <c r="FL280" i="77"/>
  <c r="W280" i="71" s="1"/>
  <c r="AS206" i="77"/>
  <c r="AR206"/>
  <c r="AS259"/>
  <c r="AR259"/>
  <c r="AS383"/>
  <c r="AR383"/>
  <c r="AZ264"/>
  <c r="W264" i="65" s="1"/>
  <c r="AY264" i="77"/>
  <c r="V264" i="65" s="1"/>
  <c r="AZ278" i="77"/>
  <c r="AY278"/>
  <c r="O115" i="70"/>
  <c r="EB222" i="77"/>
  <c r="EA222"/>
  <c r="U241" i="70"/>
  <c r="EB294" i="77"/>
  <c r="P294" i="70" s="1"/>
  <c r="EA294" i="77"/>
  <c r="O294" i="70" s="1"/>
  <c r="EB268" i="77"/>
  <c r="EA268"/>
  <c r="EH379"/>
  <c r="V379" i="70" s="1"/>
  <c r="EI379" i="77"/>
  <c r="W379" i="70" s="1"/>
  <c r="IU250" i="77"/>
  <c r="IT250"/>
  <c r="W391" i="74"/>
  <c r="V391"/>
  <c r="U391"/>
  <c r="P141" i="69"/>
  <c r="CY268" i="77"/>
  <c r="CX268"/>
  <c r="CY274"/>
  <c r="CX274"/>
  <c r="FL225"/>
  <c r="FK225"/>
  <c r="FJ225"/>
  <c r="V155" i="71"/>
  <c r="W155"/>
  <c r="U155"/>
  <c r="W109"/>
  <c r="V109"/>
  <c r="U109"/>
  <c r="FO449" i="77"/>
  <c r="Z449" i="71" s="1"/>
  <c r="FS449" i="77"/>
  <c r="AD449" i="71" s="1"/>
  <c r="X46" i="73"/>
  <c r="X92" i="39"/>
  <c r="AD90" i="77"/>
  <c r="Z199" i="72"/>
  <c r="X428" i="39"/>
  <c r="AD428" i="77"/>
  <c r="AD428" i="39" s="1"/>
  <c r="X441" i="71"/>
  <c r="AC441"/>
  <c r="X27" i="69"/>
  <c r="X457" i="71"/>
  <c r="FS457" i="77"/>
  <c r="AD457" i="71" s="1"/>
  <c r="X401" i="73"/>
  <c r="X448" i="39"/>
  <c r="AA448"/>
  <c r="HU437" i="77"/>
  <c r="Z437" i="73" s="1"/>
  <c r="EP245" i="77"/>
  <c r="X420" i="73"/>
  <c r="X64" i="65"/>
  <c r="AA64"/>
  <c r="X148" i="39"/>
  <c r="Z368" i="77"/>
  <c r="Z368" i="39" s="1"/>
  <c r="AC368" i="77"/>
  <c r="AC368" i="39" s="1"/>
  <c r="AA169" i="73"/>
  <c r="X210" i="72"/>
  <c r="AA51" i="74"/>
  <c r="Z157" i="39"/>
  <c r="DI72" i="77"/>
  <c r="Z72" i="69" s="1"/>
  <c r="AA72"/>
  <c r="AA427" i="73"/>
  <c r="X435" i="39"/>
  <c r="AA435"/>
  <c r="X426"/>
  <c r="Z381" i="68"/>
  <c r="AA381"/>
  <c r="AR78" i="77"/>
  <c r="O78" i="65" s="1"/>
  <c r="AS78" i="77"/>
  <c r="P78" i="65" s="1"/>
  <c r="AS277" i="77"/>
  <c r="AR277"/>
  <c r="AR207"/>
  <c r="AS207"/>
  <c r="AS203"/>
  <c r="AR203"/>
  <c r="P123" i="65"/>
  <c r="O123"/>
  <c r="AS87" i="77"/>
  <c r="P87" i="65" s="1"/>
  <c r="AR87" i="77"/>
  <c r="AY385"/>
  <c r="V394" i="65" s="1"/>
  <c r="AZ385" i="77"/>
  <c r="W394" i="65" s="1"/>
  <c r="W391"/>
  <c r="V391"/>
  <c r="V285"/>
  <c r="W285"/>
  <c r="EB203" i="77"/>
  <c r="EA203"/>
  <c r="EB274"/>
  <c r="EA274"/>
  <c r="EB293"/>
  <c r="P293" i="70" s="1"/>
  <c r="EA293" i="77"/>
  <c r="O293" i="70" s="1"/>
  <c r="EI265" i="77"/>
  <c r="W265" i="70" s="1"/>
  <c r="EH265" i="77"/>
  <c r="V265" i="70" s="1"/>
  <c r="EH288" i="77"/>
  <c r="V288" i="70" s="1"/>
  <c r="EI288" i="77"/>
  <c r="W288" i="70" s="1"/>
  <c r="V155" i="74"/>
  <c r="W155"/>
  <c r="IT280" i="77"/>
  <c r="V280" i="74" s="1"/>
  <c r="IU280" i="77"/>
  <c r="W280" i="74" s="1"/>
  <c r="IU372" i="77"/>
  <c r="W372" i="74" s="1"/>
  <c r="IT372" i="77"/>
  <c r="W140" i="74"/>
  <c r="V140"/>
  <c r="V139"/>
  <c r="W139"/>
  <c r="IT270" i="77"/>
  <c r="IU270"/>
  <c r="V291" i="74"/>
  <c r="W291"/>
  <c r="IU262" i="77"/>
  <c r="W262" i="74" s="1"/>
  <c r="IT262" i="77"/>
  <c r="V262" i="74" s="1"/>
  <c r="IS262" i="77"/>
  <c r="U262" i="74" s="1"/>
  <c r="W176" i="69"/>
  <c r="V176"/>
  <c r="U176"/>
  <c r="FL274" i="77"/>
  <c r="FK274"/>
  <c r="FJ274"/>
  <c r="FI276"/>
  <c r="FJ276" s="1"/>
  <c r="FJ206"/>
  <c r="FJ382"/>
  <c r="U382" i="71" s="1"/>
  <c r="FJ290" i="77"/>
  <c r="FJ222"/>
  <c r="FJ269"/>
  <c r="FJ277"/>
  <c r="U163" i="71"/>
  <c r="FJ280" i="77"/>
  <c r="U280" i="71" s="1"/>
  <c r="AW206" i="77"/>
  <c r="AX206" s="1"/>
  <c r="AW290"/>
  <c r="AX264"/>
  <c r="U264" i="65" s="1"/>
  <c r="AX278" i="77"/>
  <c r="AZ283"/>
  <c r="AY283"/>
  <c r="AY292"/>
  <c r="V292" i="65" s="1"/>
  <c r="AZ292" i="77"/>
  <c r="W292" i="65" s="1"/>
  <c r="AY394" i="77"/>
  <c r="AZ394"/>
  <c r="AY230"/>
  <c r="AZ230"/>
  <c r="AZ265"/>
  <c r="W265" i="65" s="1"/>
  <c r="AY265" i="77"/>
  <c r="V265" i="65" s="1"/>
  <c r="V287"/>
  <c r="W287"/>
  <c r="O153" i="70"/>
  <c r="P153"/>
  <c r="P165"/>
  <c r="O165"/>
  <c r="EA206" i="77"/>
  <c r="EB206"/>
  <c r="P190" i="70"/>
  <c r="O190"/>
  <c r="EA223" i="77"/>
  <c r="EB223"/>
  <c r="EB270"/>
  <c r="EA270"/>
  <c r="EH295"/>
  <c r="EI295"/>
  <c r="IT87"/>
  <c r="V87" i="74" s="1"/>
  <c r="IU87" i="77"/>
  <c r="W87" i="74" s="1"/>
  <c r="IU209" i="77"/>
  <c r="W295" i="74" s="1"/>
  <c r="IT209" i="77"/>
  <c r="V295" i="74" s="1"/>
  <c r="IU265" i="77"/>
  <c r="W265" i="74" s="1"/>
  <c r="IT265" i="77"/>
  <c r="V265" i="74" s="1"/>
  <c r="IU230" i="77"/>
  <c r="IT230"/>
  <c r="IU268"/>
  <c r="IT268"/>
  <c r="IT365"/>
  <c r="IU365"/>
  <c r="IT208"/>
  <c r="IU208"/>
  <c r="W270" i="74"/>
  <c r="CX394" i="77"/>
  <c r="CY394"/>
  <c r="DD276"/>
  <c r="CY276"/>
  <c r="DF276" s="1"/>
  <c r="CX276"/>
  <c r="DE276" s="1"/>
  <c r="CX259"/>
  <c r="CY259"/>
  <c r="V103" i="69"/>
  <c r="W103"/>
  <c r="DE364" i="77"/>
  <c r="V383" i="69" s="1"/>
  <c r="DF364" i="77"/>
  <c r="W383" i="69" s="1"/>
  <c r="HR263" i="77"/>
  <c r="W263" i="73" s="1"/>
  <c r="HQ263" i="77"/>
  <c r="V263" i="73" s="1"/>
  <c r="HQ279" i="77"/>
  <c r="HR279"/>
  <c r="HR280"/>
  <c r="W280" i="73" s="1"/>
  <c r="HQ280" i="77"/>
  <c r="V280" i="73" s="1"/>
  <c r="O102" i="68"/>
  <c r="U154" i="71"/>
  <c r="FE287" i="77"/>
  <c r="FL287" s="1"/>
  <c r="FD287"/>
  <c r="FK287" s="1"/>
  <c r="FJ287"/>
  <c r="V166" i="71"/>
  <c r="W166"/>
  <c r="W252"/>
  <c r="V252"/>
  <c r="V102"/>
  <c r="W102"/>
  <c r="FK87" i="77"/>
  <c r="V87" i="71" s="1"/>
  <c r="FL87" i="77"/>
  <c r="W87" i="71" s="1"/>
  <c r="FL252" i="77"/>
  <c r="FK252"/>
  <c r="FK386"/>
  <c r="FL386"/>
  <c r="W241" i="71"/>
  <c r="V241"/>
  <c r="FL240" i="77"/>
  <c r="FK240"/>
  <c r="AS252"/>
  <c r="AR252"/>
  <c r="AS395"/>
  <c r="AR395"/>
  <c r="V109" i="65"/>
  <c r="W109"/>
  <c r="O291" i="70"/>
  <c r="P291"/>
  <c r="EB250" i="77"/>
  <c r="EA250"/>
  <c r="EA207"/>
  <c r="EB207"/>
  <c r="U102" i="70"/>
  <c r="EA285" i="77"/>
  <c r="EB285"/>
  <c r="EA275"/>
  <c r="O275" i="70" s="1"/>
  <c r="EB275" i="77"/>
  <c r="P275" i="70" s="1"/>
  <c r="EA229" i="77"/>
  <c r="EB229"/>
  <c r="EI87"/>
  <c r="W87" i="70" s="1"/>
  <c r="EH87" i="77"/>
  <c r="V87" i="70" s="1"/>
  <c r="IM289" i="77"/>
  <c r="O289" i="74" s="1"/>
  <c r="IN289" i="77"/>
  <c r="P289" i="74" s="1"/>
  <c r="IN266" i="77"/>
  <c r="IM266"/>
  <c r="V154" i="74"/>
  <c r="W154"/>
  <c r="V211"/>
  <c r="W211"/>
  <c r="W287"/>
  <c r="V287"/>
  <c r="W190"/>
  <c r="V190"/>
  <c r="CY395" i="77"/>
  <c r="CX395"/>
  <c r="CY225"/>
  <c r="CX225"/>
  <c r="CY252"/>
  <c r="CX252"/>
  <c r="U139" i="69"/>
  <c r="DE262" i="77"/>
  <c r="V262" i="69" s="1"/>
  <c r="DF262" i="77"/>
  <c r="W262" i="69" s="1"/>
  <c r="DF376" i="77"/>
  <c r="DE376"/>
  <c r="DE229"/>
  <c r="DF229"/>
  <c r="HP250"/>
  <c r="HK250"/>
  <c r="HR250" s="1"/>
  <c r="HJ250"/>
  <c r="HQ250" s="1"/>
  <c r="U109" i="73"/>
  <c r="HQ267" i="77"/>
  <c r="V267" i="73" s="1"/>
  <c r="HR267" i="77"/>
  <c r="W267" i="73" s="1"/>
  <c r="HQ289" i="77"/>
  <c r="V289" i="73" s="1"/>
  <c r="HR289" i="77"/>
  <c r="W289" i="73" s="1"/>
  <c r="HQ229" i="77"/>
  <c r="HR229"/>
  <c r="BV222"/>
  <c r="BU222"/>
  <c r="FE393"/>
  <c r="FD393"/>
  <c r="W139" i="71"/>
  <c r="V139"/>
  <c r="FK94" i="77"/>
  <c r="FL94"/>
  <c r="FL364"/>
  <c r="FK364"/>
  <c r="FK379"/>
  <c r="V379" i="71" s="1"/>
  <c r="FL379" i="77"/>
  <c r="W379" i="71" s="1"/>
  <c r="FK365" i="77"/>
  <c r="V365" i="71" s="1"/>
  <c r="FL365" i="77"/>
  <c r="W365" i="71" s="1"/>
  <c r="FK243" i="77"/>
  <c r="FL243"/>
  <c r="FL283"/>
  <c r="FK283"/>
  <c r="AY209"/>
  <c r="V295" i="65" s="1"/>
  <c r="AZ209" i="77"/>
  <c r="W295" i="65" s="1"/>
  <c r="AY293" i="77"/>
  <c r="V293" i="65" s="1"/>
  <c r="AZ293" i="77"/>
  <c r="W293" i="65" s="1"/>
  <c r="AY275" i="77"/>
  <c r="V275" i="65" s="1"/>
  <c r="AZ275" i="77"/>
  <c r="W275" i="65" s="1"/>
  <c r="AZ270" i="77"/>
  <c r="AY270"/>
  <c r="AZ285"/>
  <c r="AY285"/>
  <c r="V167" i="65"/>
  <c r="W167"/>
  <c r="U176" i="70"/>
  <c r="P287"/>
  <c r="O287"/>
  <c r="EA394" i="77"/>
  <c r="EB394"/>
  <c r="IM354"/>
  <c r="O354" i="74" s="1"/>
  <c r="IN354" i="77"/>
  <c r="P354" i="74" s="1"/>
  <c r="IT269" i="77"/>
  <c r="IU269"/>
  <c r="IU276"/>
  <c r="IT276"/>
  <c r="IT293"/>
  <c r="V293" i="74" s="1"/>
  <c r="IU293" i="77"/>
  <c r="W293" i="74" s="1"/>
  <c r="IT94" i="77"/>
  <c r="IU94"/>
  <c r="U252" i="69"/>
  <c r="DD285" i="77"/>
  <c r="CY285"/>
  <c r="DF285" s="1"/>
  <c r="CX285"/>
  <c r="DE285" s="1"/>
  <c r="U391" i="69"/>
  <c r="V167"/>
  <c r="W167"/>
  <c r="DE386" i="77"/>
  <c r="V395" i="69" s="1"/>
  <c r="DF386" i="77"/>
  <c r="W395" i="69" s="1"/>
  <c r="DF223" i="77"/>
  <c r="DE223"/>
  <c r="P103" i="73"/>
  <c r="O103"/>
  <c r="HK207" i="77"/>
  <c r="HJ207"/>
  <c r="HQ273"/>
  <c r="HR273"/>
  <c r="HQ264"/>
  <c r="V264" i="73" s="1"/>
  <c r="HR264" i="77"/>
  <c r="W264" i="73" s="1"/>
  <c r="CB275" i="77"/>
  <c r="V275" i="68" s="1"/>
  <c r="CC275" i="77"/>
  <c r="W275" i="68" s="1"/>
  <c r="CC282" i="77"/>
  <c r="W282" i="68" s="1"/>
  <c r="CB282" i="77"/>
  <c r="V282" i="68" s="1"/>
  <c r="BV208" i="77"/>
  <c r="BU208"/>
  <c r="V141" i="68"/>
  <c r="W141"/>
  <c r="CC386" i="77"/>
  <c r="W395" i="68" s="1"/>
  <c r="CB386" i="77"/>
  <c r="V395" i="68" s="1"/>
  <c r="GO287" i="77"/>
  <c r="GN287"/>
  <c r="V287" i="72"/>
  <c r="W287"/>
  <c r="GN372" i="77"/>
  <c r="V372" i="72" s="1"/>
  <c r="GO372" i="77"/>
  <c r="W372" i="72" s="1"/>
  <c r="GO266" i="77"/>
  <c r="GN266"/>
  <c r="BV202"/>
  <c r="BU202"/>
  <c r="BV276"/>
  <c r="BU276"/>
  <c r="BV225"/>
  <c r="BU225"/>
  <c r="BU286"/>
  <c r="BV286"/>
  <c r="P166" i="68"/>
  <c r="O166"/>
  <c r="BV264" i="77"/>
  <c r="P264" i="68" s="1"/>
  <c r="BU264" i="77"/>
  <c r="O264" i="68" s="1"/>
  <c r="CB252" i="77"/>
  <c r="CC252"/>
  <c r="CB262"/>
  <c r="V262" i="68" s="1"/>
  <c r="CC262" i="77"/>
  <c r="W262" i="68" s="1"/>
  <c r="GO269" i="77"/>
  <c r="GN269"/>
  <c r="GN277"/>
  <c r="GO277"/>
  <c r="GN386"/>
  <c r="GO386"/>
  <c r="GN230"/>
  <c r="GO230"/>
  <c r="W102" i="72"/>
  <c r="V102"/>
  <c r="GN262" i="77"/>
  <c r="V262" i="72" s="1"/>
  <c r="GO262" i="77"/>
  <c r="W262" i="72" s="1"/>
  <c r="O103" i="68"/>
  <c r="P196"/>
  <c r="O196"/>
  <c r="P176"/>
  <c r="O176"/>
  <c r="BV272" i="77"/>
  <c r="BU272"/>
  <c r="BV229"/>
  <c r="BU229"/>
  <c r="BV293"/>
  <c r="P293" i="68" s="1"/>
  <c r="BU293" i="77"/>
  <c r="O293" i="68" s="1"/>
  <c r="GG278" i="77"/>
  <c r="GH278"/>
  <c r="GO229"/>
  <c r="GN229"/>
  <c r="GO270"/>
  <c r="GN270"/>
  <c r="W144" i="72"/>
  <c r="V144"/>
  <c r="GN289" i="77"/>
  <c r="V289" i="72" s="1"/>
  <c r="GO289" i="77"/>
  <c r="W289" i="72" s="1"/>
  <c r="BV292" i="77"/>
  <c r="P292" i="68" s="1"/>
  <c r="BU292" i="77"/>
  <c r="O292" i="68" s="1"/>
  <c r="BV354" i="77"/>
  <c r="BU354"/>
  <c r="BU288"/>
  <c r="BV288"/>
  <c r="P288" i="68" s="1"/>
  <c r="CC78" i="77"/>
  <c r="CB78"/>
  <c r="CB362"/>
  <c r="CC362"/>
  <c r="GG385"/>
  <c r="GH385"/>
  <c r="GO265"/>
  <c r="W265" i="72" s="1"/>
  <c r="GN265" i="77"/>
  <c r="V265" i="72" s="1"/>
  <c r="V167"/>
  <c r="W167"/>
  <c r="V163"/>
  <c r="W163"/>
  <c r="GN276" i="77"/>
  <c r="GO276"/>
  <c r="GN288"/>
  <c r="V288" i="72" s="1"/>
  <c r="GO288" i="77"/>
  <c r="W288" i="72" s="1"/>
  <c r="AW376" i="77"/>
  <c r="AX376" s="1"/>
  <c r="T176" i="65"/>
  <c r="DC265" i="77"/>
  <c r="BZ273"/>
  <c r="CA273" s="1"/>
  <c r="GL87"/>
  <c r="GP293"/>
  <c r="T115" i="68"/>
  <c r="IU264" i="77"/>
  <c r="W264" i="74" s="1"/>
  <c r="IT264" i="77"/>
  <c r="V264" i="74" s="1"/>
  <c r="IT277" i="77"/>
  <c r="IU277"/>
  <c r="IT79"/>
  <c r="IU79"/>
  <c r="IU223"/>
  <c r="IT223"/>
  <c r="CY98"/>
  <c r="CX98"/>
  <c r="CX282"/>
  <c r="CY282"/>
  <c r="P282" i="69" s="1"/>
  <c r="O291"/>
  <c r="HJ386" i="77"/>
  <c r="O395" i="73" s="1"/>
  <c r="HK386" i="77"/>
  <c r="P395" i="73" s="1"/>
  <c r="HK240" i="77"/>
  <c r="HJ240"/>
  <c r="HQ272"/>
  <c r="HR272"/>
  <c r="HQ78"/>
  <c r="V78" i="73" s="1"/>
  <c r="HR78" i="77"/>
  <c r="W78" i="73" s="1"/>
  <c r="HQ223" i="77"/>
  <c r="HR223"/>
  <c r="HQ275"/>
  <c r="V275" i="73" s="1"/>
  <c r="HR275" i="77"/>
  <c r="W275" i="73" s="1"/>
  <c r="FD293" i="77"/>
  <c r="O293" i="71" s="1"/>
  <c r="FE293" i="77"/>
  <c r="P293" i="71" s="1"/>
  <c r="FE209" i="77"/>
  <c r="FD209"/>
  <c r="FE202"/>
  <c r="P202" i="71" s="1"/>
  <c r="FD202" i="77"/>
  <c r="O202" i="71" s="1"/>
  <c r="FK285" i="77"/>
  <c r="FL285"/>
  <c r="W141" i="71"/>
  <c r="V141"/>
  <c r="FL384" i="77"/>
  <c r="FK384"/>
  <c r="FL394"/>
  <c r="FK394"/>
  <c r="V144" i="71"/>
  <c r="W144"/>
  <c r="P189" i="65"/>
  <c r="O189"/>
  <c r="P165"/>
  <c r="O165"/>
  <c r="O115"/>
  <c r="P115"/>
  <c r="AS89" i="77"/>
  <c r="AR89"/>
  <c r="O291" i="65"/>
  <c r="P291"/>
  <c r="AZ276" i="77"/>
  <c r="AY276"/>
  <c r="V190" i="65"/>
  <c r="W190"/>
  <c r="P198" i="70"/>
  <c r="O198"/>
  <c r="EA94" i="77"/>
  <c r="O94" i="70" s="1"/>
  <c r="EB94" i="77"/>
  <c r="P94" i="70" s="1"/>
  <c r="P166"/>
  <c r="O166"/>
  <c r="EB376" i="77"/>
  <c r="EA376"/>
  <c r="EB284"/>
  <c r="EA284"/>
  <c r="V391" i="70"/>
  <c r="W391"/>
  <c r="W154"/>
  <c r="V154"/>
  <c r="V141"/>
  <c r="W141"/>
  <c r="IT283" i="77"/>
  <c r="IU283"/>
  <c r="IU295"/>
  <c r="IT295"/>
  <c r="CX202"/>
  <c r="O202" i="69" s="1"/>
  <c r="CY202" i="77"/>
  <c r="P202" i="69" s="1"/>
  <c r="CY382" i="77"/>
  <c r="P382" i="69" s="1"/>
  <c r="CX382" i="77"/>
  <c r="CX278"/>
  <c r="CY278"/>
  <c r="W211" i="69"/>
  <c r="W163"/>
  <c r="V163"/>
  <c r="DE89" i="77"/>
  <c r="DF89"/>
  <c r="DE292"/>
  <c r="V292" i="69" s="1"/>
  <c r="DF292" i="77"/>
  <c r="W292" i="69" s="1"/>
  <c r="O135" i="73"/>
  <c r="P135"/>
  <c r="HK364" i="77"/>
  <c r="HJ364"/>
  <c r="HR295"/>
  <c r="HQ295"/>
  <c r="HQ296"/>
  <c r="V296" i="73" s="1"/>
  <c r="HR296" i="77"/>
  <c r="W296" i="73" s="1"/>
  <c r="HR292" i="77"/>
  <c r="W292" i="73" s="1"/>
  <c r="HQ292" i="77"/>
  <c r="V292" i="73" s="1"/>
  <c r="FE354" i="77"/>
  <c r="FD354"/>
  <c r="FJ354"/>
  <c r="U354" i="71" s="1"/>
  <c r="FD292" i="77"/>
  <c r="FE292"/>
  <c r="FL230"/>
  <c r="FK230"/>
  <c r="V163" i="65"/>
  <c r="W163"/>
  <c r="AZ266" i="77"/>
  <c r="AY266"/>
  <c r="AZ202"/>
  <c r="AY202"/>
  <c r="W270" i="65"/>
  <c r="V270"/>
  <c r="AY274" i="77"/>
  <c r="AZ274"/>
  <c r="AZ223"/>
  <c r="AY223"/>
  <c r="EA230"/>
  <c r="EB230"/>
  <c r="O135" i="70"/>
  <c r="P135"/>
  <c r="EB262" i="77"/>
  <c r="P262" i="70" s="1"/>
  <c r="EA262" i="77"/>
  <c r="O262" i="70" s="1"/>
  <c r="EA290" i="77"/>
  <c r="EB290"/>
  <c r="EB384"/>
  <c r="EA384"/>
  <c r="EA273"/>
  <c r="EB273"/>
  <c r="EI202"/>
  <c r="EH202"/>
  <c r="EI289"/>
  <c r="W289" i="70" s="1"/>
  <c r="EH289" i="77"/>
  <c r="V289" i="70" s="1"/>
  <c r="U167" i="74"/>
  <c r="IT222" i="77"/>
  <c r="IU222"/>
  <c r="IU206"/>
  <c r="IT206"/>
  <c r="IT376"/>
  <c r="IU376"/>
  <c r="W109" i="74"/>
  <c r="V109"/>
  <c r="V189"/>
  <c r="W189"/>
  <c r="IT275" i="77"/>
  <c r="V275" i="74" s="1"/>
  <c r="IU275" i="77"/>
  <c r="W275" i="74" s="1"/>
  <c r="CX206" i="77"/>
  <c r="CY206"/>
  <c r="CX266"/>
  <c r="CY266"/>
  <c r="P140" i="69"/>
  <c r="O140"/>
  <c r="O143" i="73"/>
  <c r="P143"/>
  <c r="HJ379" i="77"/>
  <c r="HK379"/>
  <c r="HK283"/>
  <c r="HJ283"/>
  <c r="HR285"/>
  <c r="HQ285"/>
  <c r="HR274"/>
  <c r="HQ274"/>
  <c r="HQ394"/>
  <c r="HR394"/>
  <c r="V115" i="73"/>
  <c r="W115"/>
  <c r="HQ209" i="77"/>
  <c r="HR209"/>
  <c r="V189" i="73"/>
  <c r="W189"/>
  <c r="O391" i="71"/>
  <c r="P391"/>
  <c r="FD229" i="77"/>
  <c r="FE229"/>
  <c r="O196" i="71"/>
  <c r="P196"/>
  <c r="FK98" i="77"/>
  <c r="V98" i="71" s="1"/>
  <c r="FL98" i="77"/>
  <c r="FL362"/>
  <c r="FK362"/>
  <c r="FL273"/>
  <c r="FK273"/>
  <c r="AS382"/>
  <c r="P382" i="65" s="1"/>
  <c r="AR382" i="77"/>
  <c r="AR364"/>
  <c r="AS364"/>
  <c r="AS284"/>
  <c r="AR284"/>
  <c r="W140" i="65"/>
  <c r="V140"/>
  <c r="AY287" i="77"/>
  <c r="AZ287"/>
  <c r="W154" i="65"/>
  <c r="V154"/>
  <c r="P139" i="70"/>
  <c r="O139"/>
  <c r="P163"/>
  <c r="O163"/>
  <c r="EB269" i="77"/>
  <c r="EI269" s="1"/>
  <c r="EA269"/>
  <c r="EH269" s="1"/>
  <c r="EG269"/>
  <c r="EB263"/>
  <c r="P263" i="70" s="1"/>
  <c r="EA263" i="77"/>
  <c r="O263" i="70" s="1"/>
  <c r="EB292" i="77"/>
  <c r="P292" i="70" s="1"/>
  <c r="EA292" i="77"/>
  <c r="O292" i="70" s="1"/>
  <c r="EI209" i="77"/>
  <c r="W295" i="70" s="1"/>
  <c r="EH209" i="77"/>
  <c r="V295" i="70" s="1"/>
  <c r="W285" i="74"/>
  <c r="V285"/>
  <c r="IU394" i="77"/>
  <c r="IT394"/>
  <c r="CY264"/>
  <c r="P264" i="69" s="1"/>
  <c r="CX264" i="77"/>
  <c r="O264" i="69" s="1"/>
  <c r="CX94" i="77"/>
  <c r="DD94"/>
  <c r="CY94"/>
  <c r="CY265"/>
  <c r="P265" i="69" s="1"/>
  <c r="CX265" i="77"/>
  <c r="O265" i="69" s="1"/>
  <c r="CY280" i="77"/>
  <c r="CX280"/>
  <c r="DE203"/>
  <c r="DF203"/>
  <c r="DF250"/>
  <c r="DE250"/>
  <c r="U164" i="73"/>
  <c r="HK362" i="77"/>
  <c r="HJ362"/>
  <c r="W165" i="73"/>
  <c r="V165"/>
  <c r="HQ290" i="77"/>
  <c r="HR290"/>
  <c r="HQ284"/>
  <c r="HR284"/>
  <c r="HR254"/>
  <c r="HQ254"/>
  <c r="HR294"/>
  <c r="W294" i="73" s="1"/>
  <c r="HQ294" i="77"/>
  <c r="V294" i="73" s="1"/>
  <c r="HQ282" i="77"/>
  <c r="V282" i="73" s="1"/>
  <c r="HR282" i="77"/>
  <c r="W282" i="73" s="1"/>
  <c r="CB280" i="77"/>
  <c r="V280" i="68" s="1"/>
  <c r="CC280" i="77"/>
  <c r="W280" i="68" s="1"/>
  <c r="BU79" i="77"/>
  <c r="BV79"/>
  <c r="P285" i="68"/>
  <c r="O285"/>
  <c r="BV268" i="77"/>
  <c r="BU268"/>
  <c r="V140" i="68"/>
  <c r="W140"/>
  <c r="CC87" i="77"/>
  <c r="W87" i="68" s="1"/>
  <c r="CB87" i="77"/>
  <c r="V87" i="68" s="1"/>
  <c r="GN294" i="77"/>
  <c r="V294" i="72" s="1"/>
  <c r="GO294" i="77"/>
  <c r="W294" i="72" s="1"/>
  <c r="GO275" i="77"/>
  <c r="W275" i="72" s="1"/>
  <c r="GN275" i="77"/>
  <c r="V275" i="72" s="1"/>
  <c r="GN263" i="77"/>
  <c r="V263" i="72" s="1"/>
  <c r="GO263" i="77"/>
  <c r="W263" i="72" s="1"/>
  <c r="GN364" i="77"/>
  <c r="V383" i="72" s="1"/>
  <c r="GO364" i="77"/>
  <c r="W383" i="72" s="1"/>
  <c r="HR269" i="77"/>
  <c r="HQ269"/>
  <c r="BV283"/>
  <c r="BU283"/>
  <c r="CB240"/>
  <c r="CC240"/>
  <c r="BV243"/>
  <c r="BU243"/>
  <c r="V190" i="68"/>
  <c r="W190"/>
  <c r="CB284" i="77"/>
  <c r="CC284"/>
  <c r="CB290"/>
  <c r="CC290"/>
  <c r="GO279"/>
  <c r="GN279"/>
  <c r="GN259"/>
  <c r="GO259"/>
  <c r="GN240"/>
  <c r="GO240"/>
  <c r="V139" i="72"/>
  <c r="W139"/>
  <c r="GN395" i="77"/>
  <c r="GO395"/>
  <c r="BU364"/>
  <c r="BV364"/>
  <c r="BV269"/>
  <c r="BU269"/>
  <c r="V189" i="68"/>
  <c r="W189"/>
  <c r="CB207" i="77"/>
  <c r="CC207"/>
  <c r="V164" i="68"/>
  <c r="W164"/>
  <c r="W142" i="72"/>
  <c r="V142"/>
  <c r="GN79" i="77"/>
  <c r="GO79"/>
  <c r="GO283"/>
  <c r="GN283"/>
  <c r="GN295"/>
  <c r="GO295"/>
  <c r="GO383"/>
  <c r="GN383"/>
  <c r="GO384"/>
  <c r="GN384"/>
  <c r="AA15" i="65"/>
  <c r="Z15"/>
  <c r="BU294" i="77"/>
  <c r="CA294"/>
  <c r="U294" i="68" s="1"/>
  <c r="BV294" i="77"/>
  <c r="BV223"/>
  <c r="BU223"/>
  <c r="BU263"/>
  <c r="BV263"/>
  <c r="P167" i="68"/>
  <c r="O167"/>
  <c r="GG203" i="77"/>
  <c r="GH203"/>
  <c r="GH225"/>
  <c r="GG225"/>
  <c r="V115" i="72"/>
  <c r="W115"/>
  <c r="GN209" i="77"/>
  <c r="V295" i="72" s="1"/>
  <c r="GO209" i="77"/>
  <c r="W295" i="72" s="1"/>
  <c r="V165"/>
  <c r="W165"/>
  <c r="V189"/>
  <c r="W189"/>
  <c r="GN267" i="77"/>
  <c r="V267" i="72" s="1"/>
  <c r="GO267" i="77"/>
  <c r="W267" i="72" s="1"/>
  <c r="GO94" i="77"/>
  <c r="GN94"/>
  <c r="DC379"/>
  <c r="DC267"/>
  <c r="T240" i="73"/>
  <c r="FI275" i="77"/>
  <c r="AW362"/>
  <c r="AX362" s="1"/>
  <c r="T166" i="65"/>
  <c r="AX283" i="77"/>
  <c r="AX292"/>
  <c r="U292" i="65" s="1"/>
  <c r="AX394" i="77"/>
  <c r="AX230"/>
  <c r="AX265"/>
  <c r="U265" i="65" s="1"/>
  <c r="U287"/>
  <c r="EF208" i="77"/>
  <c r="EF223"/>
  <c r="EG223" s="1"/>
  <c r="IS87"/>
  <c r="U87" i="74" s="1"/>
  <c r="IS209" i="77"/>
  <c r="U295" i="74" s="1"/>
  <c r="IS265" i="77"/>
  <c r="U265" i="74" s="1"/>
  <c r="IS230" i="77"/>
  <c r="IS268"/>
  <c r="IS365"/>
  <c r="IS208"/>
  <c r="DC259"/>
  <c r="DD259" s="1"/>
  <c r="HP263"/>
  <c r="U263" i="73" s="1"/>
  <c r="HP279" i="77"/>
  <c r="HP280"/>
  <c r="U166" i="71"/>
  <c r="U252"/>
  <c r="FJ87" i="77"/>
  <c r="U87" i="71" s="1"/>
  <c r="FJ252" i="77"/>
  <c r="FJ386"/>
  <c r="AW252"/>
  <c r="AX252" s="1"/>
  <c r="AW243"/>
  <c r="AX243" s="1"/>
  <c r="DD262"/>
  <c r="U262" i="69" s="1"/>
  <c r="DD376" i="77"/>
  <c r="DD229"/>
  <c r="HO372"/>
  <c r="T372" i="73" s="1"/>
  <c r="BZ222" i="77"/>
  <c r="CA222" s="1"/>
  <c r="U139" i="71"/>
  <c r="FJ94" i="77"/>
  <c r="FJ364"/>
  <c r="FJ379"/>
  <c r="U379" i="71" s="1"/>
  <c r="FJ365" i="77"/>
  <c r="U365" i="71" s="1"/>
  <c r="FJ243" i="77"/>
  <c r="FJ283"/>
  <c r="AX209"/>
  <c r="U295" i="65" s="1"/>
  <c r="AX293" i="77"/>
  <c r="U293" i="65" s="1"/>
  <c r="AX275" i="77"/>
  <c r="AX270"/>
  <c r="AX285"/>
  <c r="EF240"/>
  <c r="EG240" s="1"/>
  <c r="IS269"/>
  <c r="IS276"/>
  <c r="IS293"/>
  <c r="U293" i="74" s="1"/>
  <c r="IS94" i="77"/>
  <c r="BZ254"/>
  <c r="CA254" s="1"/>
  <c r="BZ208"/>
  <c r="CA208" s="1"/>
  <c r="BZ264"/>
  <c r="BZ278"/>
  <c r="CA278" s="1"/>
  <c r="BZ383"/>
  <c r="CA383" s="1"/>
  <c r="BZ293"/>
  <c r="GM229"/>
  <c r="GM289"/>
  <c r="U289" i="72" s="1"/>
  <c r="BZ292" i="77"/>
  <c r="BZ289"/>
  <c r="CA78"/>
  <c r="CA362"/>
  <c r="GM265"/>
  <c r="U265" i="72" s="1"/>
  <c r="U167"/>
  <c r="U163"/>
  <c r="GM276" i="77"/>
  <c r="GM288"/>
  <c r="U288" i="72" s="1"/>
  <c r="W190" i="71"/>
  <c r="V190"/>
  <c r="W103"/>
  <c r="V103"/>
  <c r="FL208" i="77"/>
  <c r="FK208"/>
  <c r="V270" i="71"/>
  <c r="W270"/>
  <c r="FL203" i="77"/>
  <c r="FK203"/>
  <c r="FL264"/>
  <c r="W264" i="71" s="1"/>
  <c r="FK264" i="77"/>
  <c r="V264" i="71" s="1"/>
  <c r="V164"/>
  <c r="W164"/>
  <c r="AS250" i="77"/>
  <c r="AR250"/>
  <c r="AY372"/>
  <c r="V372" i="65" s="1"/>
  <c r="AZ372" i="77"/>
  <c r="W372" i="65" s="1"/>
  <c r="AZ295" i="77"/>
  <c r="AY295"/>
  <c r="EB252"/>
  <c r="EA252"/>
  <c r="EA283"/>
  <c r="EH283" s="1"/>
  <c r="EG283"/>
  <c r="EB283"/>
  <c r="EI283" s="1"/>
  <c r="EB280"/>
  <c r="EA280"/>
  <c r="EB287"/>
  <c r="EA287"/>
  <c r="EH382"/>
  <c r="V382" i="70" s="1"/>
  <c r="EI382" i="77"/>
  <c r="W382" i="70" s="1"/>
  <c r="EI225" i="77"/>
  <c r="EH225"/>
  <c r="IT384"/>
  <c r="IU384"/>
  <c r="IT272"/>
  <c r="IU272"/>
  <c r="IU78"/>
  <c r="W78" i="74" s="1"/>
  <c r="IT78" i="77"/>
  <c r="V78" i="74" s="1"/>
  <c r="IU383" i="77"/>
  <c r="IT383"/>
  <c r="IT229"/>
  <c r="IU229"/>
  <c r="W163" i="74"/>
  <c r="V163"/>
  <c r="CX296" i="77"/>
  <c r="CY296"/>
  <c r="CX273"/>
  <c r="CY273"/>
  <c r="W164" i="69"/>
  <c r="V164"/>
  <c r="U163" i="73"/>
  <c r="HQ202" i="77"/>
  <c r="HR202"/>
  <c r="HQ222"/>
  <c r="HR222"/>
  <c r="HR203"/>
  <c r="HQ203"/>
  <c r="FE254"/>
  <c r="FL254" s="1"/>
  <c r="FD254"/>
  <c r="FK254" s="1"/>
  <c r="FJ254"/>
  <c r="FJ272"/>
  <c r="FE272"/>
  <c r="FL272" s="1"/>
  <c r="FD272"/>
  <c r="FK272" s="1"/>
  <c r="V165" i="71"/>
  <c r="W165"/>
  <c r="FL266" i="77"/>
  <c r="FK266"/>
  <c r="V115" i="71"/>
  <c r="W115"/>
  <c r="FL278" i="77"/>
  <c r="FK278"/>
  <c r="FK259"/>
  <c r="FL259"/>
  <c r="AS243"/>
  <c r="AR243"/>
  <c r="O153" i="65"/>
  <c r="P153"/>
  <c r="AS98" i="77"/>
  <c r="AR98"/>
  <c r="V139" i="65"/>
  <c r="W139"/>
  <c r="EH98" i="77"/>
  <c r="EI98"/>
  <c r="EH354"/>
  <c r="V354" i="70" s="1"/>
  <c r="EI354" i="77"/>
  <c r="W354" i="70" s="1"/>
  <c r="IT273" i="77"/>
  <c r="IU273"/>
  <c r="IT254"/>
  <c r="IU254"/>
  <c r="IU202"/>
  <c r="W202" i="74" s="1"/>
  <c r="IT202" i="77"/>
  <c r="V202" i="74" s="1"/>
  <c r="IU89" i="77"/>
  <c r="IT89"/>
  <c r="CY284"/>
  <c r="CX284"/>
  <c r="CY87"/>
  <c r="P87" i="69" s="1"/>
  <c r="CX87" i="77"/>
  <c r="O87" i="69" s="1"/>
  <c r="CY275" i="77"/>
  <c r="P275" i="69" s="1"/>
  <c r="CX275" i="77"/>
  <c r="O275" i="69" s="1"/>
  <c r="DE208" i="77"/>
  <c r="DF208"/>
  <c r="DE254"/>
  <c r="DF254"/>
  <c r="DE293"/>
  <c r="V293" i="69" s="1"/>
  <c r="DF293" i="77"/>
  <c r="W293" i="69" s="1"/>
  <c r="DE290" i="77"/>
  <c r="DF290"/>
  <c r="HK384"/>
  <c r="HJ384"/>
  <c r="HK277"/>
  <c r="HJ277"/>
  <c r="W176" i="73"/>
  <c r="V176"/>
  <c r="HQ266" i="77"/>
  <c r="HR266"/>
  <c r="FD265"/>
  <c r="FE265"/>
  <c r="FK383"/>
  <c r="FL383"/>
  <c r="FK89"/>
  <c r="FL89"/>
  <c r="FL395"/>
  <c r="FK395"/>
  <c r="FK294"/>
  <c r="V294" i="71" s="1"/>
  <c r="FL294" i="77"/>
  <c r="W294" i="71" s="1"/>
  <c r="AS379" i="77"/>
  <c r="P379" i="65" s="1"/>
  <c r="AR379" i="77"/>
  <c r="O379" i="65" s="1"/>
  <c r="AZ269" i="77"/>
  <c r="AY269"/>
  <c r="AZ254"/>
  <c r="AY254"/>
  <c r="AZ79"/>
  <c r="AY79"/>
  <c r="AY267"/>
  <c r="V267" i="65" s="1"/>
  <c r="AZ267" i="77"/>
  <c r="W267" i="65" s="1"/>
  <c r="AY288" i="77"/>
  <c r="V288" i="65" s="1"/>
  <c r="AZ288" i="77"/>
  <c r="W288" i="65" s="1"/>
  <c r="P109" i="70"/>
  <c r="O109"/>
  <c r="EG79" i="77"/>
  <c r="EB79"/>
  <c r="EA79"/>
  <c r="EB362"/>
  <c r="EA362"/>
  <c r="EG279"/>
  <c r="EB279"/>
  <c r="EI279" s="1"/>
  <c r="EA279"/>
  <c r="EH279" s="1"/>
  <c r="EA365"/>
  <c r="EB365"/>
  <c r="IT279"/>
  <c r="IU279"/>
  <c r="IT294"/>
  <c r="V294" i="74" s="1"/>
  <c r="IU294" i="77"/>
  <c r="W294" i="74" s="1"/>
  <c r="V141"/>
  <c r="W141"/>
  <c r="IT274" i="77"/>
  <c r="IU274"/>
  <c r="IT288"/>
  <c r="V288" i="74" s="1"/>
  <c r="IU288" i="77"/>
  <c r="W288" i="74" s="1"/>
  <c r="CX240" i="77"/>
  <c r="CY240"/>
  <c r="U285" i="69"/>
  <c r="CX270" i="77"/>
  <c r="DE270" s="1"/>
  <c r="DD270"/>
  <c r="CY270"/>
  <c r="DD294"/>
  <c r="U294" i="69" s="1"/>
  <c r="CY294" i="77"/>
  <c r="CX294"/>
  <c r="DE393"/>
  <c r="V393" i="69" s="1"/>
  <c r="DF393" i="77"/>
  <c r="W393" i="69" s="1"/>
  <c r="DE383" i="77"/>
  <c r="DF383"/>
  <c r="HJ288"/>
  <c r="HK288"/>
  <c r="HP288"/>
  <c r="U288" i="73" s="1"/>
  <c r="HK79" i="77"/>
  <c r="HJ79"/>
  <c r="O79" i="73" s="1"/>
  <c r="HJ383" i="77"/>
  <c r="HQ383" s="1"/>
  <c r="HP383"/>
  <c r="HK383"/>
  <c r="HR383" s="1"/>
  <c r="HR270"/>
  <c r="HQ270"/>
  <c r="HR208"/>
  <c r="HQ208"/>
  <c r="HQ293"/>
  <c r="V293" i="73" s="1"/>
  <c r="HR293" i="77"/>
  <c r="W293" i="73" s="1"/>
  <c r="BV254" i="77"/>
  <c r="BU254"/>
  <c r="BV384"/>
  <c r="BU384"/>
  <c r="U287" i="68"/>
  <c r="CB382" i="77"/>
  <c r="V382" i="68" s="1"/>
  <c r="CC382" i="77"/>
  <c r="W382" i="68" s="1"/>
  <c r="GG78" i="77"/>
  <c r="GM78"/>
  <c r="U78" i="72" s="1"/>
  <c r="GH78" i="77"/>
  <c r="GN273"/>
  <c r="GO273"/>
  <c r="GN379"/>
  <c r="V379" i="72" s="1"/>
  <c r="GO379" i="77"/>
  <c r="W379" i="72" s="1"/>
  <c r="GO264" i="77"/>
  <c r="W264" i="72" s="1"/>
  <c r="GN264" i="77"/>
  <c r="V264" i="72" s="1"/>
  <c r="GN272" i="77"/>
  <c r="GO272"/>
  <c r="GN382"/>
  <c r="V382" i="72" s="1"/>
  <c r="GO382" i="77"/>
  <c r="W382" i="72" s="1"/>
  <c r="W187"/>
  <c r="V187"/>
  <c r="HQ393" i="77"/>
  <c r="V393" i="73" s="1"/>
  <c r="HR393" i="77"/>
  <c r="W393" i="73" s="1"/>
  <c r="HQ395" i="77"/>
  <c r="HR395"/>
  <c r="HR243"/>
  <c r="HQ243"/>
  <c r="HQ230"/>
  <c r="HR230"/>
  <c r="HQ278"/>
  <c r="HR278"/>
  <c r="BV265"/>
  <c r="P265" i="68" s="1"/>
  <c r="BU265" i="77"/>
  <c r="O265" i="68" s="1"/>
  <c r="BV393" i="77"/>
  <c r="BU393"/>
  <c r="O393" i="68" s="1"/>
  <c r="P270"/>
  <c r="BV94" i="77"/>
  <c r="BU94"/>
  <c r="BV287"/>
  <c r="BU287"/>
  <c r="BV230"/>
  <c r="BU230"/>
  <c r="BV395"/>
  <c r="BU395"/>
  <c r="CC277"/>
  <c r="CB277"/>
  <c r="CC296"/>
  <c r="W296" i="68" s="1"/>
  <c r="CB296" i="77"/>
  <c r="V296" i="68" s="1"/>
  <c r="GH98" i="77"/>
  <c r="GG98"/>
  <c r="GM98"/>
  <c r="U98" i="72" s="1"/>
  <c r="GH87" i="77"/>
  <c r="P87" i="72" s="1"/>
  <c r="GG87" i="77"/>
  <c r="O87" i="72" s="1"/>
  <c r="V153"/>
  <c r="W153"/>
  <c r="V135"/>
  <c r="W135"/>
  <c r="GN206" i="77"/>
  <c r="GO206"/>
  <c r="GN292"/>
  <c r="V292" i="72" s="1"/>
  <c r="GO292" i="77"/>
  <c r="W292" i="72" s="1"/>
  <c r="GO202" i="77"/>
  <c r="GN202"/>
  <c r="GN274"/>
  <c r="GO274"/>
  <c r="V291" i="72"/>
  <c r="W291"/>
  <c r="X404" i="39"/>
  <c r="AA404"/>
  <c r="Z457" i="77"/>
  <c r="Z457" i="39" s="1"/>
  <c r="AC457" i="77"/>
  <c r="AC457" i="39" s="1"/>
  <c r="W139" i="68"/>
  <c r="V139"/>
  <c r="BV270" i="77"/>
  <c r="BU270"/>
  <c r="BV89"/>
  <c r="P89" i="68" s="1"/>
  <c r="BU89" i="77"/>
  <c r="O89" i="68" s="1"/>
  <c r="BV279" i="77"/>
  <c r="BU279"/>
  <c r="W290" i="68"/>
  <c r="V290"/>
  <c r="W252"/>
  <c r="V252"/>
  <c r="GG290" i="77"/>
  <c r="GN290" s="1"/>
  <c r="GM290"/>
  <c r="GH290"/>
  <c r="GO290" s="1"/>
  <c r="W154" i="72"/>
  <c r="V154"/>
  <c r="GN207" i="77"/>
  <c r="V207" i="72" s="1"/>
  <c r="GO207" i="77"/>
  <c r="W207" i="72" s="1"/>
  <c r="V140"/>
  <c r="W140"/>
  <c r="GO362" i="77"/>
  <c r="GN362"/>
  <c r="X353" i="39"/>
  <c r="AA353"/>
  <c r="X121"/>
  <c r="AA114"/>
  <c r="V391" i="73"/>
  <c r="W391"/>
  <c r="BU274" i="77"/>
  <c r="BV274"/>
  <c r="U165" i="68"/>
  <c r="CB394" i="77"/>
  <c r="CC394"/>
  <c r="CB203"/>
  <c r="CC203"/>
  <c r="CC250"/>
  <c r="CB250"/>
  <c r="CC206"/>
  <c r="CB206"/>
  <c r="GH394"/>
  <c r="GG394"/>
  <c r="GG296"/>
  <c r="GM296"/>
  <c r="U296" i="72" s="1"/>
  <c r="GH296" i="77"/>
  <c r="GN393"/>
  <c r="V393" i="72" s="1"/>
  <c r="GO393" i="77"/>
  <c r="W393" i="72" s="1"/>
  <c r="GN243" i="77"/>
  <c r="GO243"/>
  <c r="GO376"/>
  <c r="GN376"/>
  <c r="V166" i="72"/>
  <c r="W166"/>
  <c r="GO250" i="77"/>
  <c r="GN250"/>
  <c r="AW289"/>
  <c r="U153" i="70"/>
  <c r="EF206" i="77"/>
  <c r="EG206" s="1"/>
  <c r="EF376"/>
  <c r="EG376" s="1"/>
  <c r="U141" i="70"/>
  <c r="U163" i="69"/>
  <c r="DD89" i="77"/>
  <c r="DD292"/>
  <c r="U292" i="69" s="1"/>
  <c r="HP295" i="77"/>
  <c r="HP296"/>
  <c r="U296" i="73" s="1"/>
  <c r="HP292" i="77"/>
  <c r="U292" i="73" s="1"/>
  <c r="FJ230" i="77"/>
  <c r="AW395"/>
  <c r="AX395" s="1"/>
  <c r="EF262"/>
  <c r="EF290"/>
  <c r="EF384"/>
  <c r="EG384" s="1"/>
  <c r="IR289"/>
  <c r="HO262"/>
  <c r="EF282"/>
  <c r="DC264"/>
  <c r="U165" i="73"/>
  <c r="HP290" i="77"/>
  <c r="HP284"/>
  <c r="HP254"/>
  <c r="HP294"/>
  <c r="U294" i="73" s="1"/>
  <c r="BZ79" i="77"/>
  <c r="CA79" s="1"/>
  <c r="U140" i="68"/>
  <c r="CA87" i="77"/>
  <c r="U87" i="68" s="1"/>
  <c r="HP269" i="77"/>
  <c r="CA240"/>
  <c r="W165" i="69"/>
  <c r="V165"/>
  <c r="V155"/>
  <c r="W155"/>
  <c r="DF354" i="77"/>
  <c r="W354" i="69" s="1"/>
  <c r="DE354" i="77"/>
  <c r="V354" i="69" s="1"/>
  <c r="V115"/>
  <c r="W115"/>
  <c r="V290"/>
  <c r="W290"/>
  <c r="P139" i="73"/>
  <c r="HQ268" i="77"/>
  <c r="HR268"/>
  <c r="U211" i="71"/>
  <c r="FK385" i="77"/>
  <c r="FL385"/>
  <c r="FL296"/>
  <c r="W296" i="71" s="1"/>
  <c r="FK296" i="77"/>
  <c r="V296" i="71" s="1"/>
  <c r="AS362" i="77"/>
  <c r="AR362"/>
  <c r="P142" i="65"/>
  <c r="O142"/>
  <c r="AR289" i="77"/>
  <c r="O289" i="65" s="1"/>
  <c r="AS289" i="77"/>
  <c r="P289" i="65" s="1"/>
  <c r="AS296" i="77"/>
  <c r="AR296"/>
  <c r="AS208"/>
  <c r="AR208"/>
  <c r="P166" i="65"/>
  <c r="O166"/>
  <c r="P149"/>
  <c r="O149"/>
  <c r="O120"/>
  <c r="P120"/>
  <c r="AY279" i="77"/>
  <c r="AZ279"/>
  <c r="AY354"/>
  <c r="V354" i="65" s="1"/>
  <c r="AZ354" i="77"/>
  <c r="W354" i="65" s="1"/>
  <c r="AY365" i="77"/>
  <c r="AZ365"/>
  <c r="AY280"/>
  <c r="V280" i="65" s="1"/>
  <c r="AZ280" i="77"/>
  <c r="W280" i="65" s="1"/>
  <c r="EB208" i="77"/>
  <c r="P208" i="70" s="1"/>
  <c r="EA208" i="77"/>
  <c r="O208" i="70" s="1"/>
  <c r="O189"/>
  <c r="P189"/>
  <c r="EB89" i="77"/>
  <c r="EA89"/>
  <c r="EH277"/>
  <c r="EI277"/>
  <c r="W103" i="70"/>
  <c r="V103"/>
  <c r="EH395" i="77"/>
  <c r="EI395"/>
  <c r="P146" i="69"/>
  <c r="CX272" i="77"/>
  <c r="CY272"/>
  <c r="CX385"/>
  <c r="CY385"/>
  <c r="CX277"/>
  <c r="CY277"/>
  <c r="DE243"/>
  <c r="DF243"/>
  <c r="DE362"/>
  <c r="DF362"/>
  <c r="DF79"/>
  <c r="DE79"/>
  <c r="V166" i="69"/>
  <c r="W166"/>
  <c r="HQ252" i="77"/>
  <c r="HR252"/>
  <c r="HQ365"/>
  <c r="HR365"/>
  <c r="W365" i="73" s="1"/>
  <c r="HQ89" i="77"/>
  <c r="HR89"/>
  <c r="HQ287"/>
  <c r="HR287"/>
  <c r="HQ206"/>
  <c r="HR206"/>
  <c r="P140" i="71"/>
  <c r="O140"/>
  <c r="FL270" i="77"/>
  <c r="FK270"/>
  <c r="FL223"/>
  <c r="FK223"/>
  <c r="FL372"/>
  <c r="W372" i="71" s="1"/>
  <c r="FK372" i="77"/>
  <c r="V372" i="71" s="1"/>
  <c r="FL284" i="77"/>
  <c r="FK284"/>
  <c r="AY273"/>
  <c r="AZ273"/>
  <c r="AZ240"/>
  <c r="AY240"/>
  <c r="AZ393"/>
  <c r="W393" i="65" s="1"/>
  <c r="AY393" i="77"/>
  <c r="V393" i="65" s="1"/>
  <c r="AY94" i="77"/>
  <c r="AZ94"/>
  <c r="AZ268"/>
  <c r="AY268"/>
  <c r="P211" i="70"/>
  <c r="O211"/>
  <c r="EI383" i="77"/>
  <c r="EH383"/>
  <c r="EI364"/>
  <c r="W383" i="70" s="1"/>
  <c r="EH364" i="77"/>
  <c r="V383" i="70" s="1"/>
  <c r="EH296" i="77"/>
  <c r="V296" i="70" s="1"/>
  <c r="EI296" i="77"/>
  <c r="W296" i="70" s="1"/>
  <c r="EH259" i="77"/>
  <c r="EI259"/>
  <c r="IT225"/>
  <c r="IU225"/>
  <c r="IU263"/>
  <c r="W263" i="74" s="1"/>
  <c r="IT263" i="77"/>
  <c r="V263" i="74" s="1"/>
  <c r="IT290" i="77"/>
  <c r="IU290"/>
  <c r="O189" i="69"/>
  <c r="U189"/>
  <c r="CY78" i="77"/>
  <c r="CX78"/>
  <c r="P187" i="69"/>
  <c r="CY279" i="77"/>
  <c r="CX279"/>
  <c r="P109" i="69"/>
  <c r="O109"/>
  <c r="CX365" i="77"/>
  <c r="DE365" s="1"/>
  <c r="CY365"/>
  <c r="DF365" s="1"/>
  <c r="DE207"/>
  <c r="DF207"/>
  <c r="HK372"/>
  <c r="HJ372"/>
  <c r="HK262"/>
  <c r="P262" i="73" s="1"/>
  <c r="HJ262" i="77"/>
  <c r="O262" i="73" s="1"/>
  <c r="V140"/>
  <c r="W140"/>
  <c r="W155"/>
  <c r="V155"/>
  <c r="W285"/>
  <c r="V285"/>
  <c r="W154"/>
  <c r="V154"/>
  <c r="HR276" i="77"/>
  <c r="HQ276"/>
  <c r="P187" i="71"/>
  <c r="FK268" i="77"/>
  <c r="FL268"/>
  <c r="FL250"/>
  <c r="FK250"/>
  <c r="V189" i="71"/>
  <c r="W189"/>
  <c r="FK207" i="77"/>
  <c r="FL207"/>
  <c r="FK79"/>
  <c r="FL79"/>
  <c r="AR376"/>
  <c r="AS376"/>
  <c r="AS262"/>
  <c r="P262" i="65" s="1"/>
  <c r="AR262" i="77"/>
  <c r="O262" i="65" s="1"/>
  <c r="P187"/>
  <c r="O187"/>
  <c r="U176"/>
  <c r="P155"/>
  <c r="O155"/>
  <c r="AY222" i="77"/>
  <c r="AZ222"/>
  <c r="AY282"/>
  <c r="V282" i="65" s="1"/>
  <c r="AZ282" i="77"/>
  <c r="W282" i="65" s="1"/>
  <c r="AY263" i="77"/>
  <c r="V263" i="65" s="1"/>
  <c r="AZ263" i="77"/>
  <c r="W263" i="65" s="1"/>
  <c r="EB243" i="77"/>
  <c r="EA243"/>
  <c r="EB264"/>
  <c r="P264" i="70" s="1"/>
  <c r="EA264" i="77"/>
  <c r="O264" i="70" s="1"/>
  <c r="U140"/>
  <c r="EA240" i="77"/>
  <c r="EB240"/>
  <c r="EB282"/>
  <c r="P282" i="70" s="1"/>
  <c r="EA282" i="77"/>
  <c r="O282" i="70" s="1"/>
  <c r="EG386" i="77"/>
  <c r="U395" i="70" s="1"/>
  <c r="EB386" i="77"/>
  <c r="EA386"/>
  <c r="EB254"/>
  <c r="EA254"/>
  <c r="EI278"/>
  <c r="EH278"/>
  <c r="EH276"/>
  <c r="EI276"/>
  <c r="V164" i="74"/>
  <c r="W164"/>
  <c r="IT285" i="77"/>
  <c r="IU285"/>
  <c r="CY209"/>
  <c r="P295" i="69" s="1"/>
  <c r="CX209" i="77"/>
  <c r="O295" i="69" s="1"/>
  <c r="CX230" i="77"/>
  <c r="DE230" s="1"/>
  <c r="DD230"/>
  <c r="CY230"/>
  <c r="U135" i="69"/>
  <c r="CY295" i="77"/>
  <c r="DF295" s="1"/>
  <c r="CX295"/>
  <c r="DE295" s="1"/>
  <c r="DD295"/>
  <c r="U270" i="69"/>
  <c r="DD263" i="77"/>
  <c r="U263" i="69" s="1"/>
  <c r="CY263" i="77"/>
  <c r="CX263"/>
  <c r="DE384"/>
  <c r="DF384"/>
  <c r="DF287"/>
  <c r="DE287"/>
  <c r="DF372"/>
  <c r="DE372"/>
  <c r="DE288"/>
  <c r="V288" i="69" s="1"/>
  <c r="DF288" i="77"/>
  <c r="W288" i="69" s="1"/>
  <c r="W102"/>
  <c r="V102"/>
  <c r="V166" i="73"/>
  <c r="W166"/>
  <c r="HQ354" i="77"/>
  <c r="V354" i="73" s="1"/>
  <c r="HR354" i="77"/>
  <c r="W354" i="73" s="1"/>
  <c r="W102"/>
  <c r="V102"/>
  <c r="HQ94" i="77"/>
  <c r="HR94"/>
  <c r="V287" i="73"/>
  <c r="W287"/>
  <c r="HR87" i="77"/>
  <c r="W87" i="73" s="1"/>
  <c r="HQ87" i="77"/>
  <c r="V87" i="73" s="1"/>
  <c r="HQ98" i="77"/>
  <c r="HR98"/>
  <c r="HQ265"/>
  <c r="V265" i="73" s="1"/>
  <c r="HR265" i="77"/>
  <c r="W265" i="73" s="1"/>
  <c r="W290"/>
  <c r="V290"/>
  <c r="CB385" i="77"/>
  <c r="V394" i="68" s="1"/>
  <c r="CC385" i="77"/>
  <c r="W394" i="68" s="1"/>
  <c r="BV285" i="77"/>
  <c r="BU285"/>
  <c r="P154" i="68"/>
  <c r="O154"/>
  <c r="BV273" i="77"/>
  <c r="BU273"/>
  <c r="CC267"/>
  <c r="W267" i="68" s="1"/>
  <c r="CB267" i="77"/>
  <c r="V267" i="68" s="1"/>
  <c r="GH223" i="77"/>
  <c r="GG223"/>
  <c r="GN222"/>
  <c r="GO222"/>
  <c r="W164" i="72"/>
  <c r="V167" i="73"/>
  <c r="W167"/>
  <c r="W187"/>
  <c r="V187"/>
  <c r="V153"/>
  <c r="W153"/>
  <c r="V195"/>
  <c r="W195"/>
  <c r="BV295" i="77"/>
  <c r="BU295"/>
  <c r="V109" i="68"/>
  <c r="W109"/>
  <c r="BU372" i="77"/>
  <c r="BV372"/>
  <c r="V155" i="68"/>
  <c r="W155"/>
  <c r="W187"/>
  <c r="V187"/>
  <c r="CB259" i="77"/>
  <c r="CC259"/>
  <c r="GH280"/>
  <c r="GG280"/>
  <c r="W252" i="72"/>
  <c r="GO284" i="77"/>
  <c r="GN284"/>
  <c r="W190" i="72"/>
  <c r="V190"/>
  <c r="GN89" i="77"/>
  <c r="GO89"/>
  <c r="Z71" i="72"/>
  <c r="AA71"/>
  <c r="AA239" i="39"/>
  <c r="BU209" i="77"/>
  <c r="BV209"/>
  <c r="P163" i="68"/>
  <c r="BV266" i="77"/>
  <c r="BU266"/>
  <c r="BV278"/>
  <c r="BU278"/>
  <c r="V135" i="68"/>
  <c r="W135"/>
  <c r="BV383" i="77"/>
  <c r="BU383"/>
  <c r="V291" i="68"/>
  <c r="W291"/>
  <c r="CB98" i="77"/>
  <c r="CC98"/>
  <c r="CC379"/>
  <c r="W379" i="68" s="1"/>
  <c r="CB379" i="77"/>
  <c r="V379" i="68" s="1"/>
  <c r="U155" i="72"/>
  <c r="V103"/>
  <c r="W103"/>
  <c r="GN285" i="77"/>
  <c r="GO285"/>
  <c r="GO354"/>
  <c r="W354" i="72" s="1"/>
  <c r="GN354" i="77"/>
  <c r="V354" i="72" s="1"/>
  <c r="W391"/>
  <c r="V391"/>
  <c r="X145" i="39"/>
  <c r="AA138"/>
  <c r="BU365" i="77"/>
  <c r="CB365" s="1"/>
  <c r="BV365"/>
  <c r="CC365" s="1"/>
  <c r="CA365"/>
  <c r="P115" i="68"/>
  <c r="O115"/>
  <c r="BV289" i="77"/>
  <c r="BU289"/>
  <c r="V213" i="68"/>
  <c r="GN365" i="77"/>
  <c r="V365" i="72" s="1"/>
  <c r="GO365" i="77"/>
  <c r="GN252"/>
  <c r="GO252"/>
  <c r="W109" i="72"/>
  <c r="V109"/>
  <c r="W176"/>
  <c r="V176"/>
  <c r="GO282" i="77"/>
  <c r="W282" i="72" s="1"/>
  <c r="GN282" i="77"/>
  <c r="V282" i="72" s="1"/>
  <c r="FI293" i="77"/>
  <c r="FI202"/>
  <c r="FJ202" s="1"/>
  <c r="FI282"/>
  <c r="U190" i="71"/>
  <c r="U103"/>
  <c r="FJ208" i="77"/>
  <c r="U270" i="71"/>
  <c r="FJ203" i="77"/>
  <c r="FJ264"/>
  <c r="U264" i="71" s="1"/>
  <c r="U164"/>
  <c r="EF94" i="77"/>
  <c r="EG94" s="1"/>
  <c r="EF287"/>
  <c r="EG287" s="1"/>
  <c r="EG295"/>
  <c r="U103" i="69"/>
  <c r="DD364" i="77"/>
  <c r="HO364"/>
  <c r="HS385"/>
  <c r="U241" i="71"/>
  <c r="FJ240" i="77"/>
  <c r="U109" i="65"/>
  <c r="T221" i="70"/>
  <c r="EF230" i="77"/>
  <c r="EG230" s="1"/>
  <c r="EF250"/>
  <c r="EG250" s="1"/>
  <c r="EG87"/>
  <c r="U211" i="74"/>
  <c r="U206"/>
  <c r="U194"/>
  <c r="DC87" i="77"/>
  <c r="DD208"/>
  <c r="DD254"/>
  <c r="DD293"/>
  <c r="U293" i="69" s="1"/>
  <c r="DD290" i="77"/>
  <c r="HO283"/>
  <c r="HP283" s="1"/>
  <c r="HP267"/>
  <c r="HP289"/>
  <c r="U289" i="73" s="1"/>
  <c r="HP229" i="77"/>
  <c r="FJ383"/>
  <c r="FJ89"/>
  <c r="FJ395"/>
  <c r="FJ294"/>
  <c r="U294" i="71" s="1"/>
  <c r="X135" i="74"/>
  <c r="U167" i="69"/>
  <c r="DD386" i="77"/>
  <c r="U395" i="69" s="1"/>
  <c r="DD223" i="77"/>
  <c r="BZ286"/>
  <c r="CA286" s="1"/>
  <c r="BZ287"/>
  <c r="CA287" s="1"/>
  <c r="X102" i="72"/>
  <c r="BZ89" i="77"/>
  <c r="CA89" s="1"/>
  <c r="BZ229"/>
  <c r="CA229" s="1"/>
  <c r="GL278"/>
  <c r="GM278" s="1"/>
  <c r="GM207"/>
  <c r="U207" i="72" s="1"/>
  <c r="GP254" i="77"/>
  <c r="GS254" s="1"/>
  <c r="GM270"/>
  <c r="GM362"/>
  <c r="U391" i="73"/>
  <c r="CA394" i="77"/>
  <c r="CA250"/>
  <c r="CA206"/>
  <c r="GM393"/>
  <c r="U393" i="72" s="1"/>
  <c r="GM243" i="77"/>
  <c r="GM376"/>
  <c r="U166" i="72"/>
  <c r="GM250" i="77"/>
  <c r="Z426"/>
  <c r="Z426" i="39" s="1"/>
  <c r="T431" i="72"/>
  <c r="X441" i="68"/>
  <c r="AC129" i="39"/>
  <c r="AW377" i="77"/>
  <c r="CF97"/>
  <c r="Z97" i="68" s="1"/>
  <c r="AD151" i="71"/>
  <c r="EF97" i="77"/>
  <c r="EG97" s="1"/>
  <c r="DC97"/>
  <c r="DD97" s="1"/>
  <c r="GP363"/>
  <c r="GS363" s="1"/>
  <c r="FO97"/>
  <c r="Z97" i="71" s="1"/>
  <c r="GP63" i="77"/>
  <c r="AC259"/>
  <c r="AD259"/>
  <c r="AC393"/>
  <c r="AC393" i="39" s="1"/>
  <c r="AD393" i="77"/>
  <c r="AD393" i="39" s="1"/>
  <c r="AC287" i="77"/>
  <c r="AD287"/>
  <c r="AC229"/>
  <c r="AD229"/>
  <c r="AD211" i="39"/>
  <c r="AC267" i="77"/>
  <c r="AC267" i="39" s="1"/>
  <c r="AD267" i="77"/>
  <c r="AD267" i="39" s="1"/>
  <c r="AC395" i="77"/>
  <c r="AD395"/>
  <c r="AC266"/>
  <c r="AD266"/>
  <c r="AC386"/>
  <c r="AC395" i="39" s="1"/>
  <c r="AD386" i="77"/>
  <c r="AD395" i="39" s="1"/>
  <c r="CI376" i="77"/>
  <c r="CJ376"/>
  <c r="AC376"/>
  <c r="AD376"/>
  <c r="AC362"/>
  <c r="AD362"/>
  <c r="AC262"/>
  <c r="AC262" i="39" s="1"/>
  <c r="AD262" i="77"/>
  <c r="AD262" i="39" s="1"/>
  <c r="AC250" i="77"/>
  <c r="AD250"/>
  <c r="AC207"/>
  <c r="AD207"/>
  <c r="AC164" i="39"/>
  <c r="AD164"/>
  <c r="AC382" i="77"/>
  <c r="AC382" i="39" s="1"/>
  <c r="AD382" i="77"/>
  <c r="AD382" i="39" s="1"/>
  <c r="AC379" i="77"/>
  <c r="AC379" i="39" s="1"/>
  <c r="AD379" i="77"/>
  <c r="AD379" i="39" s="1"/>
  <c r="AC277" i="77"/>
  <c r="AD277"/>
  <c r="AC141" i="39"/>
  <c r="AD141"/>
  <c r="AC394" i="77"/>
  <c r="AD394"/>
  <c r="AC385"/>
  <c r="AC394" i="39" s="1"/>
  <c r="AD385" i="77"/>
  <c r="AD394" i="39" s="1"/>
  <c r="AC280" i="77"/>
  <c r="AC280" i="39" s="1"/>
  <c r="AD280" i="77"/>
  <c r="AD280" i="39" s="1"/>
  <c r="AC291"/>
  <c r="AD291"/>
  <c r="AC284" i="77"/>
  <c r="AD284"/>
  <c r="AC252"/>
  <c r="AD252"/>
  <c r="AC206"/>
  <c r="AD206"/>
  <c r="AC189" i="39"/>
  <c r="AD189"/>
  <c r="AC240" i="77"/>
  <c r="AD240"/>
  <c r="AC190" i="39"/>
  <c r="AD190"/>
  <c r="AC139"/>
  <c r="AD139"/>
  <c r="AC135"/>
  <c r="AD135"/>
  <c r="AC109"/>
  <c r="AD109"/>
  <c r="AC286" i="77"/>
  <c r="AD286"/>
  <c r="EO286"/>
  <c r="EP286"/>
  <c r="AC383"/>
  <c r="AD383"/>
  <c r="AC103" i="39"/>
  <c r="AD103"/>
  <c r="AC290" i="77"/>
  <c r="AD290"/>
  <c r="AC203"/>
  <c r="AD203"/>
  <c r="AC155" i="39"/>
  <c r="AD155"/>
  <c r="AC290"/>
  <c r="AD290"/>
  <c r="AC265" i="77"/>
  <c r="AC265" i="39" s="1"/>
  <c r="AD265" i="77"/>
  <c r="AD265" i="39" s="1"/>
  <c r="AC365" i="77"/>
  <c r="AD365"/>
  <c r="AC294"/>
  <c r="AC294" i="39" s="1"/>
  <c r="AD294" i="77"/>
  <c r="AD294" i="39" s="1"/>
  <c r="AC279" i="77"/>
  <c r="AD279"/>
  <c r="AC274"/>
  <c r="AD274"/>
  <c r="GU268"/>
  <c r="GV268"/>
  <c r="AC268"/>
  <c r="AD268"/>
  <c r="AC263"/>
  <c r="AC263" i="39" s="1"/>
  <c r="AD263" i="77"/>
  <c r="AD263" i="39" s="1"/>
  <c r="AC243" i="77"/>
  <c r="AD243"/>
  <c r="GU208"/>
  <c r="GV208"/>
  <c r="AC176" i="39"/>
  <c r="AD176"/>
  <c r="AC166"/>
  <c r="AD166"/>
  <c r="AC165"/>
  <c r="AD165"/>
  <c r="AD153"/>
  <c r="AC115"/>
  <c r="AD115"/>
  <c r="AC102"/>
  <c r="AD102"/>
  <c r="AC89" i="77"/>
  <c r="AD89"/>
  <c r="AC296"/>
  <c r="AC296" i="39" s="1"/>
  <c r="AD296" i="77"/>
  <c r="AD296" i="39" s="1"/>
  <c r="AC98" i="77"/>
  <c r="AC98" i="39" s="1"/>
  <c r="AD98" i="77"/>
  <c r="AD98" i="39" s="1"/>
  <c r="AC87" i="77"/>
  <c r="AC87" i="39" s="1"/>
  <c r="AD87" i="77"/>
  <c r="AD87" i="39" s="1"/>
  <c r="GU73" i="77"/>
  <c r="AC73" i="72" s="1"/>
  <c r="GV73" i="77"/>
  <c r="AD73" i="72" s="1"/>
  <c r="AS377" i="77"/>
  <c r="P377" i="65" s="1"/>
  <c r="AR377" i="77"/>
  <c r="O377" i="65" s="1"/>
  <c r="EB97" i="77"/>
  <c r="P97" i="70" s="1"/>
  <c r="EA97" i="77"/>
  <c r="O97" i="70" s="1"/>
  <c r="CY363" i="77"/>
  <c r="P363" i="69" s="1"/>
  <c r="CX363" i="77"/>
  <c r="O363" i="69" s="1"/>
  <c r="U214" i="70"/>
  <c r="O104" i="69"/>
  <c r="P104"/>
  <c r="P104" i="71"/>
  <c r="O104"/>
  <c r="V214" i="73"/>
  <c r="W214"/>
  <c r="U214"/>
  <c r="AS363" i="77"/>
  <c r="AR363"/>
  <c r="EF377"/>
  <c r="IU377"/>
  <c r="W377" i="74" s="1"/>
  <c r="IT377" i="77"/>
  <c r="V377" i="74" s="1"/>
  <c r="EI363" i="77"/>
  <c r="EH363"/>
  <c r="CY80"/>
  <c r="CX80"/>
  <c r="P210" i="65"/>
  <c r="O210"/>
  <c r="EA377" i="77"/>
  <c r="O377" i="70" s="1"/>
  <c r="EB377" i="77"/>
  <c r="P377" i="70" s="1"/>
  <c r="P381"/>
  <c r="O381"/>
  <c r="BV363" i="77"/>
  <c r="BU363"/>
  <c r="GR73"/>
  <c r="Z73" i="72" s="1"/>
  <c r="AW363" i="77"/>
  <c r="AX363" s="1"/>
  <c r="DC363"/>
  <c r="AW97"/>
  <c r="AX97" s="1"/>
  <c r="U97" i="65" s="1"/>
  <c r="P381"/>
  <c r="O381"/>
  <c r="P214"/>
  <c r="O214"/>
  <c r="V129" i="70"/>
  <c r="W129"/>
  <c r="CY97" i="77"/>
  <c r="CX97"/>
  <c r="AS97"/>
  <c r="P97" i="65" s="1"/>
  <c r="AR97" i="77"/>
  <c r="O97" i="65" s="1"/>
  <c r="P381" i="73"/>
  <c r="O381"/>
  <c r="IS377" i="77"/>
  <c r="U377" i="74" s="1"/>
  <c r="EG363" i="77"/>
  <c r="DC80"/>
  <c r="DD80" s="1"/>
  <c r="O129" i="71"/>
  <c r="O129" i="68"/>
  <c r="P129"/>
  <c r="HK377" i="77"/>
  <c r="P377" i="73" s="1"/>
  <c r="HJ377" i="77"/>
  <c r="O377" i="73" s="1"/>
  <c r="FL363" i="77"/>
  <c r="FK363"/>
  <c r="BV80"/>
  <c r="BU80"/>
  <c r="GN377"/>
  <c r="V377" i="72" s="1"/>
  <c r="GO377" i="77"/>
  <c r="W377" i="72" s="1"/>
  <c r="T210" i="73"/>
  <c r="CB377" i="77"/>
  <c r="V377" i="68" s="1"/>
  <c r="CC377" i="77"/>
  <c r="W377" i="68" s="1"/>
  <c r="BZ363" i="77"/>
  <c r="CA363" s="1"/>
  <c r="FJ363"/>
  <c r="HO377"/>
  <c r="U210" i="71"/>
  <c r="P104" i="68"/>
  <c r="O104"/>
  <c r="HS363" i="77"/>
  <c r="HV363" s="1"/>
  <c r="FM377"/>
  <c r="FP377" s="1"/>
  <c r="BZ80"/>
  <c r="CA80" s="1"/>
  <c r="CA377"/>
  <c r="U377" i="68" s="1"/>
  <c r="DM377" i="77"/>
  <c r="AD377" i="69" s="1"/>
  <c r="Z381" i="39"/>
  <c r="AC381"/>
  <c r="AD381"/>
  <c r="X253"/>
  <c r="Z251"/>
  <c r="Z432" i="77"/>
  <c r="Z432" i="39" s="1"/>
  <c r="AD381" i="68"/>
  <c r="AC220" i="77"/>
  <c r="AD220"/>
  <c r="Z220"/>
  <c r="Z220" i="39" s="1"/>
  <c r="AC363" i="77"/>
  <c r="HU44"/>
  <c r="Z44" i="73" s="1"/>
  <c r="FM30" i="77"/>
  <c r="BC80"/>
  <c r="Z80" i="65" s="1"/>
  <c r="BC404" i="77"/>
  <c r="Z404" i="65" s="1"/>
  <c r="CD237" i="77"/>
  <c r="CG237" s="1"/>
  <c r="BA358"/>
  <c r="BD358" s="1"/>
  <c r="AC15" i="70"/>
  <c r="AD15"/>
  <c r="X151" i="72"/>
  <c r="Z41" i="73"/>
  <c r="Z15" i="70"/>
  <c r="BC367" i="77"/>
  <c r="Z367" i="65" s="1"/>
  <c r="Z31" i="39"/>
  <c r="Z54" i="77"/>
  <c r="Z54" i="39" s="1"/>
  <c r="AD429" i="77"/>
  <c r="AD429" i="39" s="1"/>
  <c r="Z248" i="77"/>
  <c r="Z248" i="39" s="1"/>
  <c r="HU80" i="77"/>
  <c r="Z80" i="73" s="1"/>
  <c r="Z411"/>
  <c r="AD411"/>
  <c r="AC411"/>
  <c r="AD51" i="70"/>
  <c r="AC129" i="65"/>
  <c r="Z380" i="77"/>
  <c r="Z380" i="39" s="1"/>
  <c r="AD380" i="77"/>
  <c r="AD380" i="39" s="1"/>
  <c r="AC380" i="77"/>
  <c r="AC380" i="39" s="1"/>
  <c r="AD401" i="68"/>
  <c r="GR428" i="77"/>
  <c r="Z428" i="72" s="1"/>
  <c r="X120" i="39"/>
  <c r="Z112"/>
  <c r="GR430" i="77"/>
  <c r="Z430" i="72" s="1"/>
  <c r="AC429" i="77"/>
  <c r="AC429" i="39" s="1"/>
  <c r="AD78"/>
  <c r="Z11"/>
  <c r="X461" i="72"/>
  <c r="Z157" i="71"/>
  <c r="AA49" i="39"/>
  <c r="AD49" i="77"/>
  <c r="AD49" i="39" s="1"/>
  <c r="AC49" i="77"/>
  <c r="AC49" i="39" s="1"/>
  <c r="AC421"/>
  <c r="AA430" i="72"/>
  <c r="DG380" i="77"/>
  <c r="DJ380" s="1"/>
  <c r="GV80"/>
  <c r="Z136" i="39"/>
  <c r="Z104" i="70"/>
  <c r="AA251" i="39"/>
  <c r="GU44" i="77"/>
  <c r="AC44" i="72" s="1"/>
  <c r="AA31" i="39"/>
  <c r="Z417" i="70"/>
  <c r="AD104"/>
  <c r="Z431" i="65"/>
  <c r="X461" i="68"/>
  <c r="BA430" i="77"/>
  <c r="GR49"/>
  <c r="Z49" i="72" s="1"/>
  <c r="DG360" i="77"/>
  <c r="DJ360" s="1"/>
  <c r="BA232"/>
  <c r="EJ200"/>
  <c r="EJ57"/>
  <c r="GR66"/>
  <c r="Z66" i="72" s="1"/>
  <c r="FS80" i="77"/>
  <c r="FI224"/>
  <c r="FJ224" s="1"/>
  <c r="AC407"/>
  <c r="AC407" i="39" s="1"/>
  <c r="EO44" i="77"/>
  <c r="AC44" i="70" s="1"/>
  <c r="AC40" i="77"/>
  <c r="AC40" i="39" s="1"/>
  <c r="AD407" i="77"/>
  <c r="AD407" i="39" s="1"/>
  <c r="AA420" i="73"/>
  <c r="AD40" i="77"/>
  <c r="AD40" i="39" s="1"/>
  <c r="BC20" i="77"/>
  <c r="Z20" i="65" s="1"/>
  <c r="Z37" i="77"/>
  <c r="Z37" i="39" s="1"/>
  <c r="IR93" i="77"/>
  <c r="T95" i="74" s="1"/>
  <c r="EF449" i="77"/>
  <c r="T449" i="70" s="1"/>
  <c r="IR58" i="77"/>
  <c r="T58" i="74" s="1"/>
  <c r="Z18" i="71"/>
  <c r="AC438" i="73"/>
  <c r="Z147" i="39"/>
  <c r="AA37"/>
  <c r="GL426" i="77"/>
  <c r="T426" i="72" s="1"/>
  <c r="DC48" i="77"/>
  <c r="T48" i="69" s="1"/>
  <c r="IV389" i="77"/>
  <c r="IY389" s="1"/>
  <c r="EL80"/>
  <c r="Z80" i="70" s="1"/>
  <c r="AD104" i="65"/>
  <c r="X248" i="39"/>
  <c r="Z245" i="77"/>
  <c r="Z245" i="39" s="1"/>
  <c r="AA245"/>
  <c r="FO45" i="77"/>
  <c r="Z45" i="71" s="1"/>
  <c r="AA428" i="74"/>
  <c r="IV455" i="77"/>
  <c r="GV49"/>
  <c r="AD49" i="72" s="1"/>
  <c r="GU49" i="77"/>
  <c r="AC49" i="72" s="1"/>
  <c r="X137"/>
  <c r="AD97" i="77"/>
  <c r="X146" i="39"/>
  <c r="X47"/>
  <c r="Z47" i="77"/>
  <c r="Z47" i="39" s="1"/>
  <c r="GV66" i="77"/>
  <c r="AD66" i="72" s="1"/>
  <c r="BC64" i="77"/>
  <c r="Z64" i="65" s="1"/>
  <c r="FR55" i="77"/>
  <c r="AC55" i="71" s="1"/>
  <c r="Z401" i="72"/>
  <c r="Z414"/>
  <c r="AC80" i="77"/>
  <c r="Z45"/>
  <c r="Z45" i="39" s="1"/>
  <c r="GR449" i="77"/>
  <c r="Z449" i="72" s="1"/>
  <c r="AD421" i="39"/>
  <c r="AA27" i="73"/>
  <c r="EF425" i="77"/>
  <c r="Z41" i="69"/>
  <c r="Z419" i="73"/>
  <c r="IV224" i="77"/>
  <c r="IY224" s="1"/>
  <c r="Z82"/>
  <c r="Z82" i="39" s="1"/>
  <c r="FO455" i="77"/>
  <c r="Z455" i="71" s="1"/>
  <c r="AA427" i="68"/>
  <c r="AD88" i="77"/>
  <c r="AC226"/>
  <c r="AC51" i="65"/>
  <c r="X148" i="72"/>
  <c r="IV59" i="77"/>
  <c r="IY59" s="1"/>
  <c r="AA455" i="71"/>
  <c r="EL455" i="77"/>
  <c r="Z455" i="70" s="1"/>
  <c r="CF427" i="77"/>
  <c r="Z427" i="68" s="1"/>
  <c r="Z442" i="77"/>
  <c r="Z442" i="39" s="1"/>
  <c r="AC88" i="77"/>
  <c r="AD226"/>
  <c r="AD51" i="65"/>
  <c r="BF73" i="77"/>
  <c r="AC73" i="65" s="1"/>
  <c r="T126" i="70"/>
  <c r="X41" i="39"/>
  <c r="Z41"/>
  <c r="AD431" i="65"/>
  <c r="AC431"/>
  <c r="DI255" i="77"/>
  <c r="Z255" i="69" s="1"/>
  <c r="AC104" i="70"/>
  <c r="CI97" i="77"/>
  <c r="CJ97"/>
  <c r="FS97"/>
  <c r="Z15" i="68"/>
  <c r="X147" i="39"/>
  <c r="AA145"/>
  <c r="Z145"/>
  <c r="Z68" i="77"/>
  <c r="Z68" i="39" s="1"/>
  <c r="AA68"/>
  <c r="AD68" i="77"/>
  <c r="AD68" i="39" s="1"/>
  <c r="AC68" i="77"/>
  <c r="AC68" i="39" s="1"/>
  <c r="BG80" i="77"/>
  <c r="BF80"/>
  <c r="X255" i="39"/>
  <c r="Z255" i="77"/>
  <c r="Z255" i="39" s="1"/>
  <c r="X400"/>
  <c r="Z400" i="77"/>
  <c r="Z400" i="39" s="1"/>
  <c r="AC401" i="72"/>
  <c r="AD401"/>
  <c r="AA45" i="39"/>
  <c r="AD45" i="77"/>
  <c r="AD45" i="39" s="1"/>
  <c r="AC45" i="77"/>
  <c r="AC45" i="39" s="1"/>
  <c r="X14"/>
  <c r="Z14"/>
  <c r="X365"/>
  <c r="EP39" i="77"/>
  <c r="AD39" i="70" s="1"/>
  <c r="EO39" i="77"/>
  <c r="AC39" i="70" s="1"/>
  <c r="Z417" i="74"/>
  <c r="Z431" i="70"/>
  <c r="AA210" i="72"/>
  <c r="DC44" i="77"/>
  <c r="T44" i="69" s="1"/>
  <c r="HU72" i="77"/>
  <c r="Z72" i="73" s="1"/>
  <c r="AA428" i="65"/>
  <c r="X219" i="39"/>
  <c r="AA227"/>
  <c r="Z227" i="77"/>
  <c r="Z227" i="39" s="1"/>
  <c r="AD370" i="77"/>
  <c r="AD432" i="39"/>
  <c r="AC416"/>
  <c r="AA100"/>
  <c r="IV227" i="77"/>
  <c r="AA428" i="39"/>
  <c r="Z147" i="72"/>
  <c r="BG73" i="77"/>
  <c r="AD73" i="65" s="1"/>
  <c r="AA44" i="73"/>
  <c r="HU27" i="77"/>
  <c r="Z27" i="73" s="1"/>
  <c r="AA401" i="39"/>
  <c r="EF429" i="77"/>
  <c r="T429" i="70" s="1"/>
  <c r="Z15" i="71"/>
  <c r="HS422" i="77"/>
  <c r="HV422" s="1"/>
  <c r="Z401" i="39"/>
  <c r="AD416"/>
  <c r="AA150" i="72"/>
  <c r="BC227" i="77"/>
  <c r="Z227" i="65" s="1"/>
  <c r="Z65" i="77"/>
  <c r="Z65" i="39" s="1"/>
  <c r="DC435" i="77"/>
  <c r="T435" i="69" s="1"/>
  <c r="IV449" i="77"/>
  <c r="IY449" s="1"/>
  <c r="AD414" i="73"/>
  <c r="AC425" i="77"/>
  <c r="AC409"/>
  <c r="AC409" i="39" s="1"/>
  <c r="AC420" i="77"/>
  <c r="AC420" i="39" s="1"/>
  <c r="AD357" i="77"/>
  <c r="AD357" i="39" s="1"/>
  <c r="EL367" i="77"/>
  <c r="Z367" i="70" s="1"/>
  <c r="FS249" i="77"/>
  <c r="AD82"/>
  <c r="AA65" i="39"/>
  <c r="AD420" i="77"/>
  <c r="AD420" i="39" s="1"/>
  <c r="AC357" i="77"/>
  <c r="AC357" i="39" s="1"/>
  <c r="AA11"/>
  <c r="AA42"/>
  <c r="EP432" i="77"/>
  <c r="GR45"/>
  <c r="Z45" i="72" s="1"/>
  <c r="FR255" i="77"/>
  <c r="AC255" i="71" s="1"/>
  <c r="BC428" i="77"/>
  <c r="Z428" i="65" s="1"/>
  <c r="Z431" i="39"/>
  <c r="AD16"/>
  <c r="T13" i="74"/>
  <c r="AC16" i="39"/>
  <c r="AA94"/>
  <c r="AA126" i="72"/>
  <c r="DC455" i="77"/>
  <c r="DD455" s="1"/>
  <c r="U455" i="69" s="1"/>
  <c r="T21" i="72"/>
  <c r="Z428" i="77"/>
  <c r="Z428" i="39" s="1"/>
  <c r="Z401" i="73"/>
  <c r="T412" i="69"/>
  <c r="AA27"/>
  <c r="DC359" i="77"/>
  <c r="X406" i="39"/>
  <c r="Z406" i="77"/>
  <c r="Z406" i="39" s="1"/>
  <c r="AD409" i="77"/>
  <c r="AD409" i="39" s="1"/>
  <c r="AA373" i="74"/>
  <c r="AC370" i="77"/>
  <c r="Z170" i="39"/>
  <c r="AC82" i="77"/>
  <c r="Z42"/>
  <c r="Z42" i="39" s="1"/>
  <c r="HU54" i="77"/>
  <c r="Z54" i="73" s="1"/>
  <c r="BZ420" i="77"/>
  <c r="T420" i="68" s="1"/>
  <c r="DC247" i="77"/>
  <c r="T250" i="69" s="1"/>
  <c r="HO353" i="77"/>
  <c r="T353" i="73" s="1"/>
  <c r="IV358" i="77"/>
  <c r="BZ200"/>
  <c r="CA200" s="1"/>
  <c r="U208" i="68" s="1"/>
  <c r="T148" i="70"/>
  <c r="Z441" i="71"/>
  <c r="AA367" i="70"/>
  <c r="DI27" i="77"/>
  <c r="Z27" i="69" s="1"/>
  <c r="IV422" i="77"/>
  <c r="IY422" s="1"/>
  <c r="GP434"/>
  <c r="DC30"/>
  <c r="DD30" s="1"/>
  <c r="U30" i="69" s="1"/>
  <c r="HO380" i="77"/>
  <c r="T388" i="73" s="1"/>
  <c r="GL67" i="77"/>
  <c r="GM67" s="1"/>
  <c r="U67" i="72" s="1"/>
  <c r="AA457" i="74"/>
  <c r="FO457" i="77"/>
  <c r="Z457" i="71" s="1"/>
  <c r="AA423"/>
  <c r="EF359" i="77"/>
  <c r="Z461" i="73"/>
  <c r="GR438" i="77"/>
  <c r="Z438" i="72" s="1"/>
  <c r="AC228" i="77"/>
  <c r="GU54"/>
  <c r="AC54" i="72" s="1"/>
  <c r="AA54" i="39"/>
  <c r="AA45" i="72"/>
  <c r="GL427" i="77"/>
  <c r="T427" i="72" s="1"/>
  <c r="T412" i="70"/>
  <c r="T21"/>
  <c r="AA448" i="72"/>
  <c r="AA461" i="73"/>
  <c r="AD228" i="77"/>
  <c r="GV54"/>
  <c r="AD54" i="72" s="1"/>
  <c r="T151" i="69"/>
  <c r="HO205" i="77"/>
  <c r="HP205" s="1"/>
  <c r="HO443"/>
  <c r="HP443" s="1"/>
  <c r="U443" i="73" s="1"/>
  <c r="T147" i="74"/>
  <c r="GR448" i="77"/>
  <c r="Z448" i="72" s="1"/>
  <c r="Z32" i="77"/>
  <c r="Z32" i="39" s="1"/>
  <c r="BZ449" i="77"/>
  <c r="T449" i="68" s="1"/>
  <c r="IV430" i="77"/>
  <c r="IY430" s="1"/>
  <c r="Z430"/>
  <c r="Z430" i="39" s="1"/>
  <c r="Z441" i="72"/>
  <c r="HU420" i="77"/>
  <c r="Z420" i="73" s="1"/>
  <c r="FO367" i="77"/>
  <c r="Z367" i="71" s="1"/>
  <c r="AA32" i="39"/>
  <c r="DC408" i="77"/>
  <c r="T408" i="69" s="1"/>
  <c r="EF423" i="77"/>
  <c r="EG423" s="1"/>
  <c r="U423" i="70" s="1"/>
  <c r="T16" i="74"/>
  <c r="AC78" i="39"/>
  <c r="FS55" i="77"/>
  <c r="AD55" i="71" s="1"/>
  <c r="IV378" i="77"/>
  <c r="DC23"/>
  <c r="T23" i="69" s="1"/>
  <c r="T124"/>
  <c r="GL36" i="77"/>
  <c r="T36" i="72" s="1"/>
  <c r="FI59" i="77"/>
  <c r="T59" i="71" s="1"/>
  <c r="FI96" i="77"/>
  <c r="T97" i="71" s="1"/>
  <c r="FO436" i="77"/>
  <c r="Z436" i="71" s="1"/>
  <c r="AA374" i="68"/>
  <c r="AC242" i="77"/>
  <c r="AC50"/>
  <c r="AC50" i="39" s="1"/>
  <c r="AC27" i="77"/>
  <c r="AC27" i="39" s="1"/>
  <c r="BF46" i="77"/>
  <c r="AC46" i="65" s="1"/>
  <c r="CD204" i="77"/>
  <c r="CG204" s="1"/>
  <c r="HU449"/>
  <c r="Z449" i="73" s="1"/>
  <c r="DC204" i="77"/>
  <c r="DD204" s="1"/>
  <c r="T413" i="69"/>
  <c r="HO42" i="77"/>
  <c r="T42" i="73" s="1"/>
  <c r="T207" i="68"/>
  <c r="EL245" i="77"/>
  <c r="Z245" i="70" s="1"/>
  <c r="AD50" i="77"/>
  <c r="AD50" i="39" s="1"/>
  <c r="AC41" i="72"/>
  <c r="AD27" i="77"/>
  <c r="AD27" i="39" s="1"/>
  <c r="BG46" i="77"/>
  <c r="AD46" i="65" s="1"/>
  <c r="T150" i="69"/>
  <c r="HO24" i="77"/>
  <c r="T24" i="73" s="1"/>
  <c r="HO358" i="77"/>
  <c r="BZ64"/>
  <c r="T64" i="68" s="1"/>
  <c r="T151" i="73"/>
  <c r="AA429" i="65"/>
  <c r="U31" i="70"/>
  <c r="EF83" i="77"/>
  <c r="IS90"/>
  <c r="X181" i="74"/>
  <c r="Z66" i="77"/>
  <c r="Z66" i="39" s="1"/>
  <c r="DC52" i="77"/>
  <c r="T52" i="69" s="1"/>
  <c r="AA421" i="73"/>
  <c r="DC423" i="77"/>
  <c r="T423" i="69" s="1"/>
  <c r="DD42" i="77"/>
  <c r="U42" i="69" s="1"/>
  <c r="U416" i="73"/>
  <c r="U215" i="70"/>
  <c r="AX238" i="77"/>
  <c r="DC54"/>
  <c r="T54" i="69" s="1"/>
  <c r="U193" i="73"/>
  <c r="DC220" i="77"/>
  <c r="DD220" s="1"/>
  <c r="CA436"/>
  <c r="U436" i="68" s="1"/>
  <c r="GM82" i="77"/>
  <c r="U80" i="72" s="1"/>
  <c r="U421" i="71"/>
  <c r="HP37" i="77"/>
  <c r="U37" i="73" s="1"/>
  <c r="IS238" i="77"/>
  <c r="FO423"/>
  <c r="Z423" i="71" s="1"/>
  <c r="BC429" i="77"/>
  <c r="Z429" i="65" s="1"/>
  <c r="Z436" i="77"/>
  <c r="Z436" i="39" s="1"/>
  <c r="AA401" i="73"/>
  <c r="Z361" i="65"/>
  <c r="BF68" i="77"/>
  <c r="AC68" i="65" s="1"/>
  <c r="AA66" i="39"/>
  <c r="DC352" i="77"/>
  <c r="T352" i="69" s="1"/>
  <c r="U61" i="72"/>
  <c r="T193" i="68"/>
  <c r="T100" i="69"/>
  <c r="DD233" i="77"/>
  <c r="U61" i="73"/>
  <c r="HP435" i="77"/>
  <c r="U435" i="73" s="1"/>
  <c r="BZ438" i="77"/>
  <c r="CA438" s="1"/>
  <c r="IS232"/>
  <c r="FM429"/>
  <c r="EG38"/>
  <c r="U38" i="70" s="1"/>
  <c r="EG437" i="77"/>
  <c r="IR245"/>
  <c r="T248" i="74" s="1"/>
  <c r="AB252" i="71"/>
  <c r="AB385" i="70"/>
  <c r="AB205"/>
  <c r="AB118"/>
  <c r="AA441" i="72"/>
  <c r="AA436" i="39"/>
  <c r="Z257" i="77"/>
  <c r="Z257" i="39" s="1"/>
  <c r="Z148" i="65"/>
  <c r="Z90" i="77"/>
  <c r="Z90" i="39" s="1"/>
  <c r="BG68" i="77"/>
  <c r="AD68" i="65" s="1"/>
  <c r="AA12" i="39"/>
  <c r="AA52" i="74"/>
  <c r="DC242" i="77"/>
  <c r="DD242" s="1"/>
  <c r="Z180" i="39"/>
  <c r="Z218" i="73"/>
  <c r="AA92" i="39"/>
  <c r="Z12"/>
  <c r="AB143" i="70"/>
  <c r="AB255" i="71"/>
  <c r="AB197"/>
  <c r="DC369" i="77"/>
  <c r="U100" i="72"/>
  <c r="T153" i="69"/>
  <c r="BZ232" i="77"/>
  <c r="BZ82"/>
  <c r="CA426"/>
  <c r="U426" i="68" s="1"/>
  <c r="U415" i="71"/>
  <c r="DC236" i="77"/>
  <c r="DC448"/>
  <c r="T448" i="69" s="1"/>
  <c r="DC226" i="77"/>
  <c r="GM204"/>
  <c r="U209" i="72" s="1"/>
  <c r="FJ95" i="77"/>
  <c r="DC82"/>
  <c r="GM40"/>
  <c r="U40" i="72" s="1"/>
  <c r="FJ90" i="77"/>
  <c r="EF244"/>
  <c r="T247" i="70" s="1"/>
  <c r="FJ409" i="77"/>
  <c r="U409" i="71" s="1"/>
  <c r="U12" i="74"/>
  <c r="T421" i="70"/>
  <c r="T17" i="74"/>
  <c r="IS407" i="77"/>
  <c r="U407" i="74" s="1"/>
  <c r="EF60" i="77"/>
  <c r="EG60" s="1"/>
  <c r="U60" i="70" s="1"/>
  <c r="IS426" i="77"/>
  <c r="U426" i="74" s="1"/>
  <c r="X411" i="39"/>
  <c r="Z411"/>
  <c r="DC66" i="77"/>
  <c r="T66" i="69" s="1"/>
  <c r="T15" i="73"/>
  <c r="U124" i="72"/>
  <c r="GM455" i="77"/>
  <c r="U455" i="72" s="1"/>
  <c r="U206" i="71"/>
  <c r="DC53" i="77"/>
  <c r="T53" i="69" s="1"/>
  <c r="DC420" i="77"/>
  <c r="T420" i="69" s="1"/>
  <c r="FI236" i="77"/>
  <c r="T214" i="71"/>
  <c r="HP36" i="77"/>
  <c r="U36" i="73" s="1"/>
  <c r="BZ353" i="77"/>
  <c r="T353" i="68" s="1"/>
  <c r="DD59" i="77"/>
  <c r="U59" i="69" s="1"/>
  <c r="HO38" i="77"/>
  <c r="T38" i="73" s="1"/>
  <c r="U415"/>
  <c r="EF380" i="77"/>
  <c r="T388" i="70" s="1"/>
  <c r="EG22" i="77"/>
  <c r="U22" i="70" s="1"/>
  <c r="IS355" i="77"/>
  <c r="U355" i="74" s="1"/>
  <c r="AW444" i="77"/>
  <c r="T444" i="65" s="1"/>
  <c r="EG238" i="77"/>
  <c r="IS95"/>
  <c r="IS380"/>
  <c r="IR92"/>
  <c r="T94" i="74" s="1"/>
  <c r="IS26" i="77"/>
  <c r="U26" i="74" s="1"/>
  <c r="BA457" i="77"/>
  <c r="BD457" s="1"/>
  <c r="X427" i="39"/>
  <c r="Z427" i="77"/>
  <c r="Z427" i="39" s="1"/>
  <c r="AD18" i="71"/>
  <c r="AC18"/>
  <c r="BZ48" i="77"/>
  <c r="T48" i="68" s="1"/>
  <c r="DC248" i="77"/>
  <c r="DD248" s="1"/>
  <c r="DC449"/>
  <c r="DD449" s="1"/>
  <c r="U449" i="69" s="1"/>
  <c r="BZ29" i="77"/>
  <c r="T29" i="68" s="1"/>
  <c r="T147" i="71"/>
  <c r="FI256" i="77"/>
  <c r="T256" i="71" s="1"/>
  <c r="T125" i="69"/>
  <c r="DC407" i="77"/>
  <c r="DD407" s="1"/>
  <c r="U407" i="69" s="1"/>
  <c r="T124" i="71"/>
  <c r="EF86" i="77"/>
  <c r="EG86" s="1"/>
  <c r="IR65"/>
  <c r="T65" i="74" s="1"/>
  <c r="V425"/>
  <c r="AA143" i="39"/>
  <c r="AA119"/>
  <c r="AC85" i="77"/>
  <c r="X89" i="39"/>
  <c r="BZ93" i="77"/>
  <c r="Q95" i="68"/>
  <c r="T128" i="69"/>
  <c r="R128"/>
  <c r="R461"/>
  <c r="DD38" i="77"/>
  <c r="U38" i="69" s="1"/>
  <c r="T38"/>
  <c r="HO62" i="77"/>
  <c r="T62" i="73" s="1"/>
  <c r="S62"/>
  <c r="T199"/>
  <c r="S207"/>
  <c r="S414" i="68"/>
  <c r="S438"/>
  <c r="T243"/>
  <c r="U286"/>
  <c r="T122"/>
  <c r="GM359" i="77"/>
  <c r="T362" i="72"/>
  <c r="GM226" i="77"/>
  <c r="T218" i="72"/>
  <c r="GM423" i="77"/>
  <c r="U423" i="72" s="1"/>
  <c r="T423"/>
  <c r="BZ90" i="77"/>
  <c r="Q92" i="68"/>
  <c r="BZ88" i="77"/>
  <c r="CA88" s="1"/>
  <c r="Q91" i="68"/>
  <c r="T21"/>
  <c r="Q21"/>
  <c r="BZ245" i="77"/>
  <c r="Q248" i="68"/>
  <c r="DD22" i="77"/>
  <c r="U22" i="69" s="1"/>
  <c r="T22"/>
  <c r="DD70" i="77"/>
  <c r="U70" i="69" s="1"/>
  <c r="T70"/>
  <c r="S198" i="73"/>
  <c r="HP357" i="77"/>
  <c r="U357" i="73" s="1"/>
  <c r="T357"/>
  <c r="T12" i="71"/>
  <c r="S12"/>
  <c r="T200"/>
  <c r="FJ247" i="77"/>
  <c r="U250" i="71" s="1"/>
  <c r="T250"/>
  <c r="Q143" i="65"/>
  <c r="Q119"/>
  <c r="R437"/>
  <c r="R413"/>
  <c r="U17"/>
  <c r="T17"/>
  <c r="AX58" i="77"/>
  <c r="U58" i="65" s="1"/>
  <c r="T58"/>
  <c r="T120"/>
  <c r="AX409" i="77"/>
  <c r="U409" i="65" s="1"/>
  <c r="T409"/>
  <c r="BZ407" i="77"/>
  <c r="T407" i="68" s="1"/>
  <c r="Q407"/>
  <c r="DD434" i="77"/>
  <c r="U434" i="69" s="1"/>
  <c r="T434"/>
  <c r="HP84" i="77"/>
  <c r="T82" i="73"/>
  <c r="HP28" i="77"/>
  <c r="U28" i="73" s="1"/>
  <c r="T28"/>
  <c r="S425" i="68"/>
  <c r="S405"/>
  <c r="CA65" i="77"/>
  <c r="U65" i="68" s="1"/>
  <c r="T65"/>
  <c r="GM62" i="77"/>
  <c r="U62" i="72" s="1"/>
  <c r="T62"/>
  <c r="S197" i="71"/>
  <c r="S217"/>
  <c r="FJ248" i="77"/>
  <c r="U251" i="71" s="1"/>
  <c r="T251"/>
  <c r="FJ26" i="77"/>
  <c r="U26" i="71" s="1"/>
  <c r="T26"/>
  <c r="T121"/>
  <c r="R119" i="69"/>
  <c r="T365"/>
  <c r="S365"/>
  <c r="U93" i="73"/>
  <c r="T93"/>
  <c r="R194" i="68"/>
  <c r="R118"/>
  <c r="CA23" i="77"/>
  <c r="U23" i="68" s="1"/>
  <c r="T23"/>
  <c r="CA244" i="77"/>
  <c r="GM429"/>
  <c r="U429" i="72" s="1"/>
  <c r="T429"/>
  <c r="U206"/>
  <c r="T206"/>
  <c r="GM34" i="77"/>
  <c r="U34" i="72" s="1"/>
  <c r="T34"/>
  <c r="FJ42" i="77"/>
  <c r="U42" i="71" s="1"/>
  <c r="T42"/>
  <c r="N122" i="65"/>
  <c r="N205"/>
  <c r="AX63" i="77"/>
  <c r="U63" i="65" s="1"/>
  <c r="T63"/>
  <c r="T121"/>
  <c r="T41" i="70"/>
  <c r="S41"/>
  <c r="T217"/>
  <c r="EG67" i="77"/>
  <c r="U67" i="70" s="1"/>
  <c r="T67"/>
  <c r="EF369" i="77"/>
  <c r="Q371" i="70"/>
  <c r="S413"/>
  <c r="EG37" i="77"/>
  <c r="U37" i="70" s="1"/>
  <c r="T37"/>
  <c r="EG92" i="77"/>
  <c r="FJ358"/>
  <c r="N243" i="65"/>
  <c r="N204"/>
  <c r="N389"/>
  <c r="N386"/>
  <c r="AX352" i="77"/>
  <c r="U352" i="65" s="1"/>
  <c r="T352"/>
  <c r="EF26" i="77"/>
  <c r="T26" i="70" s="1"/>
  <c r="S26"/>
  <c r="EG352" i="77"/>
  <c r="U352" i="70" s="1"/>
  <c r="T352"/>
  <c r="T149"/>
  <c r="AW406" i="77"/>
  <c r="T406" i="65" s="1"/>
  <c r="Q406"/>
  <c r="AW405" i="77"/>
  <c r="Q405" i="65"/>
  <c r="Q425"/>
  <c r="AW455" i="77"/>
  <c r="Q455" i="65"/>
  <c r="AX65" i="77"/>
  <c r="U65" i="65" s="1"/>
  <c r="T65"/>
  <c r="EG23" i="77"/>
  <c r="U23" i="70" s="1"/>
  <c r="T23"/>
  <c r="X13" i="39"/>
  <c r="Z13"/>
  <c r="X373"/>
  <c r="Z373" i="77"/>
  <c r="Z373" i="39" s="1"/>
  <c r="T434" i="74"/>
  <c r="T415"/>
  <c r="T118"/>
  <c r="U437" i="73"/>
  <c r="T423"/>
  <c r="T362"/>
  <c r="T197"/>
  <c r="T81"/>
  <c r="X57"/>
  <c r="T26"/>
  <c r="T422" i="72"/>
  <c r="X389"/>
  <c r="T365"/>
  <c r="T200"/>
  <c r="T146"/>
  <c r="T98"/>
  <c r="T90"/>
  <c r="T29"/>
  <c r="T416" i="71"/>
  <c r="U412"/>
  <c r="AA388"/>
  <c r="T357"/>
  <c r="T203"/>
  <c r="S191"/>
  <c r="T23"/>
  <c r="S434" i="70"/>
  <c r="S429"/>
  <c r="R425"/>
  <c r="T415"/>
  <c r="R386"/>
  <c r="T355"/>
  <c r="S219"/>
  <c r="U385" i="74"/>
  <c r="T362"/>
  <c r="Q147"/>
  <c r="U143"/>
  <c r="T100"/>
  <c r="AA73"/>
  <c r="N389" i="73"/>
  <c r="T352"/>
  <c r="T208"/>
  <c r="T80"/>
  <c r="T407" i="72"/>
  <c r="T371"/>
  <c r="T89"/>
  <c r="T28"/>
  <c r="T434" i="71"/>
  <c r="U429"/>
  <c r="T198"/>
  <c r="X126"/>
  <c r="T36"/>
  <c r="N419" i="70"/>
  <c r="AA414"/>
  <c r="S405"/>
  <c r="R385"/>
  <c r="T353"/>
  <c r="S251"/>
  <c r="R243"/>
  <c r="S201"/>
  <c r="N143"/>
  <c r="T125"/>
  <c r="S122"/>
  <c r="N118"/>
  <c r="T96"/>
  <c r="T36"/>
  <c r="S462" i="69"/>
  <c r="S432"/>
  <c r="S414"/>
  <c r="R251"/>
  <c r="S197"/>
  <c r="S143"/>
  <c r="R100"/>
  <c r="X57"/>
  <c r="T26"/>
  <c r="Q417" i="68"/>
  <c r="R417"/>
  <c r="T413"/>
  <c r="T384"/>
  <c r="N217"/>
  <c r="S217"/>
  <c r="T124"/>
  <c r="T12"/>
  <c r="T421" i="65"/>
  <c r="S412"/>
  <c r="R412"/>
  <c r="N388"/>
  <c r="Q388"/>
  <c r="X389" i="74"/>
  <c r="T352"/>
  <c r="T196"/>
  <c r="T402" i="73"/>
  <c r="W425" i="72"/>
  <c r="T194"/>
  <c r="S122"/>
  <c r="S22"/>
  <c r="Q147" i="71"/>
  <c r="T412" i="74"/>
  <c r="T376"/>
  <c r="T79"/>
  <c r="T63"/>
  <c r="T32"/>
  <c r="Q443" i="73"/>
  <c r="AA414" i="39"/>
  <c r="AA438"/>
  <c r="AA414" i="65"/>
  <c r="AA438"/>
  <c r="AC194" i="39"/>
  <c r="Z18"/>
  <c r="X18"/>
  <c r="AA215"/>
  <c r="X215"/>
  <c r="Z83" i="77"/>
  <c r="Z83" i="39" s="1"/>
  <c r="X81"/>
  <c r="AA148" i="73"/>
  <c r="X148"/>
  <c r="AA48" i="71"/>
  <c r="X48"/>
  <c r="AA48" i="70"/>
  <c r="X48"/>
  <c r="AA250" i="39"/>
  <c r="X250"/>
  <c r="DC49" i="77"/>
  <c r="S49" i="69"/>
  <c r="DC232" i="77"/>
  <c r="R221" i="69"/>
  <c r="HP85" i="77"/>
  <c r="T89" i="73"/>
  <c r="U206"/>
  <c r="T206"/>
  <c r="AC437" i="39"/>
  <c r="AC413"/>
  <c r="AC432"/>
  <c r="AC417"/>
  <c r="AC412"/>
  <c r="AC419"/>
  <c r="AA205"/>
  <c r="AA122"/>
  <c r="AA191"/>
  <c r="AA216"/>
  <c r="AA204"/>
  <c r="AA243"/>
  <c r="AA58" i="73"/>
  <c r="X58"/>
  <c r="FO47" i="77"/>
  <c r="Z47" i="71" s="1"/>
  <c r="X47"/>
  <c r="Z188"/>
  <c r="EL46" i="77"/>
  <c r="Z46" i="70" s="1"/>
  <c r="X46"/>
  <c r="AA54" i="65"/>
  <c r="X54"/>
  <c r="FO20" i="77"/>
  <c r="Z20" i="71" s="1"/>
  <c r="X20"/>
  <c r="Z148" i="73"/>
  <c r="AC61" i="39"/>
  <c r="AA61"/>
  <c r="T203" i="68"/>
  <c r="T415" i="69"/>
  <c r="S415"/>
  <c r="T412" i="68"/>
  <c r="T419"/>
  <c r="CA67" i="77"/>
  <c r="U67" i="68" s="1"/>
  <c r="T67"/>
  <c r="T143"/>
  <c r="T119"/>
  <c r="CA34" i="77"/>
  <c r="U34" i="68" s="1"/>
  <c r="T34"/>
  <c r="CA256" i="77"/>
  <c r="U256" i="68" s="1"/>
  <c r="T256"/>
  <c r="U193" i="71"/>
  <c r="T193"/>
  <c r="T192"/>
  <c r="T100" i="68"/>
  <c r="Q100"/>
  <c r="BZ96" i="77"/>
  <c r="T97" i="68" s="1"/>
  <c r="Q97"/>
  <c r="FI92" i="77"/>
  <c r="T94" i="71" s="1"/>
  <c r="Q94"/>
  <c r="S142" i="69"/>
  <c r="T199"/>
  <c r="S207"/>
  <c r="S144"/>
  <c r="DC90" i="77"/>
  <c r="T92" i="69" s="1"/>
  <c r="R92"/>
  <c r="DC443" i="77"/>
  <c r="S443" i="69"/>
  <c r="DC426" i="77"/>
  <c r="T426" i="69" s="1"/>
  <c r="S426"/>
  <c r="DC429" i="77"/>
  <c r="T429" i="69" s="1"/>
  <c r="R429"/>
  <c r="T149"/>
  <c r="T389"/>
  <c r="T386"/>
  <c r="HO63" i="77"/>
  <c r="T63" i="73" s="1"/>
  <c r="S63"/>
  <c r="U128"/>
  <c r="T128"/>
  <c r="U17" i="68"/>
  <c r="T17"/>
  <c r="GL244" i="77"/>
  <c r="T247" i="72" s="1"/>
  <c r="S247"/>
  <c r="S142" i="71"/>
  <c r="N143" i="65"/>
  <c r="N119"/>
  <c r="N437"/>
  <c r="N413"/>
  <c r="EF257" i="77"/>
  <c r="T257" i="70" s="1"/>
  <c r="S257"/>
  <c r="N118" i="69"/>
  <c r="N194"/>
  <c r="DD40" i="77"/>
  <c r="U40" i="69" s="1"/>
  <c r="T40"/>
  <c r="T119" i="73"/>
  <c r="HP257" i="77"/>
  <c r="U257" i="73" s="1"/>
  <c r="T257"/>
  <c r="T144"/>
  <c r="HP457" i="77"/>
  <c r="U457" i="73" s="1"/>
  <c r="T457"/>
  <c r="N405" i="68"/>
  <c r="N425"/>
  <c r="T198"/>
  <c r="CA32" i="77"/>
  <c r="U32" i="68" s="1"/>
  <c r="T32"/>
  <c r="U11"/>
  <c r="T11"/>
  <c r="GM88" i="77"/>
  <c r="T91" i="72"/>
  <c r="GM69" i="77"/>
  <c r="U69" i="72" s="1"/>
  <c r="T69"/>
  <c r="U21" i="71"/>
  <c r="T21"/>
  <c r="FJ34" i="77"/>
  <c r="U34" i="71" s="1"/>
  <c r="T34"/>
  <c r="S191" i="69"/>
  <c r="S216"/>
  <c r="DD378" i="77"/>
  <c r="T384" i="69"/>
  <c r="U146"/>
  <c r="T146"/>
  <c r="T194" i="73"/>
  <c r="T118"/>
  <c r="S191" i="68"/>
  <c r="S216"/>
  <c r="Q194"/>
  <c r="Q118"/>
  <c r="CA63" i="77"/>
  <c r="U63" i="68" s="1"/>
  <c r="T63"/>
  <c r="T386"/>
  <c r="GM462" i="77"/>
  <c r="U462" i="72" s="1"/>
  <c r="T462"/>
  <c r="U13" i="71"/>
  <c r="T13"/>
  <c r="R122" i="65"/>
  <c r="R205"/>
  <c r="Q202"/>
  <c r="AX82" i="77"/>
  <c r="U80" i="65" s="1"/>
  <c r="T80"/>
  <c r="U151"/>
  <c r="T151"/>
  <c r="EF370" i="77"/>
  <c r="S372" i="70"/>
  <c r="EG69" i="77"/>
  <c r="U69" i="70" s="1"/>
  <c r="T69"/>
  <c r="IS86" i="77"/>
  <c r="T90" i="74"/>
  <c r="T200"/>
  <c r="T441" i="70"/>
  <c r="S441"/>
  <c r="R376"/>
  <c r="S461"/>
  <c r="EG65" i="77"/>
  <c r="U65" i="70" s="1"/>
  <c r="T65"/>
  <c r="EG232" i="77"/>
  <c r="R243" i="65"/>
  <c r="R204"/>
  <c r="R386"/>
  <c r="R389"/>
  <c r="AX30" i="77"/>
  <c r="U30" i="65" s="1"/>
  <c r="T30"/>
  <c r="AX205" i="77"/>
  <c r="U210" i="65" s="1"/>
  <c r="T210"/>
  <c r="AX423" i="77"/>
  <c r="U423" i="65" s="1"/>
  <c r="T423"/>
  <c r="EF430" i="77"/>
  <c r="T430" i="70" s="1"/>
  <c r="S430"/>
  <c r="U416"/>
  <c r="T416"/>
  <c r="U11" i="74"/>
  <c r="T11"/>
  <c r="R425" i="65"/>
  <c r="R405"/>
  <c r="T206"/>
  <c r="U123"/>
  <c r="T123"/>
  <c r="EG407" i="77"/>
  <c r="U407" i="70" s="1"/>
  <c r="T407"/>
  <c r="T203"/>
  <c r="U124" i="74"/>
  <c r="T124"/>
  <c r="T142"/>
  <c r="AA432" i="39"/>
  <c r="AA417"/>
  <c r="X72"/>
  <c r="Z72" i="77"/>
  <c r="Z72" i="39" s="1"/>
  <c r="GR457" i="77"/>
  <c r="Z457" i="72" s="1"/>
  <c r="AA436" i="71"/>
  <c r="AA400" i="70"/>
  <c r="FO380" i="77"/>
  <c r="Z380" i="71" s="1"/>
  <c r="CF374" i="77"/>
  <c r="Z374" i="68" s="1"/>
  <c r="Z361" i="71"/>
  <c r="Z147"/>
  <c r="HU204" i="77"/>
  <c r="Z204" i="73" s="1"/>
  <c r="Z92" i="77"/>
  <c r="Z92" i="39" s="1"/>
  <c r="DC374" i="77"/>
  <c r="T374" i="69" s="1"/>
  <c r="T18" i="73"/>
  <c r="BZ434" i="77"/>
  <c r="T434" i="68" s="1"/>
  <c r="HS442" i="77"/>
  <c r="HV442" s="1"/>
  <c r="GM95"/>
  <c r="U96" i="72" s="1"/>
  <c r="U214"/>
  <c r="GM257" i="77"/>
  <c r="U257" i="72" s="1"/>
  <c r="FJ28" i="77"/>
  <c r="U28" i="71" s="1"/>
  <c r="DC47" i="77"/>
  <c r="T47" i="69" s="1"/>
  <c r="DC46" i="77"/>
  <c r="T46" i="69" s="1"/>
  <c r="HO40" i="77"/>
  <c r="T40" i="73" s="1"/>
  <c r="T11" i="72"/>
  <c r="FI352" i="77"/>
  <c r="T352" i="71" s="1"/>
  <c r="HP369" i="77"/>
  <c r="HP30"/>
  <c r="U30" i="73" s="1"/>
  <c r="CA83" i="77"/>
  <c r="U211" i="72"/>
  <c r="FJ88" i="77"/>
  <c r="DC430"/>
  <c r="T430" i="69" s="1"/>
  <c r="T100" i="71"/>
  <c r="T148"/>
  <c r="U21" i="69"/>
  <c r="HP246" i="77"/>
  <c r="GL38"/>
  <c r="T38" i="72" s="1"/>
  <c r="T365" i="68"/>
  <c r="BZ422" i="77"/>
  <c r="T422" i="68" s="1"/>
  <c r="EF405" i="77"/>
  <c r="EF378"/>
  <c r="T153" i="74"/>
  <c r="T12" i="65"/>
  <c r="EG247" i="77"/>
  <c r="EG42"/>
  <c r="U42" i="70" s="1"/>
  <c r="T149" i="74"/>
  <c r="FJ200" i="77"/>
  <c r="U208" i="71" s="1"/>
  <c r="IS244" i="77"/>
  <c r="EF88"/>
  <c r="EF420"/>
  <c r="EF409"/>
  <c r="T409" i="70" s="1"/>
  <c r="FJ408" i="77"/>
  <c r="U408" i="71" s="1"/>
  <c r="FJ359" i="77"/>
  <c r="IS85"/>
  <c r="AX247"/>
  <c r="T429" i="74"/>
  <c r="U425"/>
  <c r="T374"/>
  <c r="T215"/>
  <c r="T437" i="73"/>
  <c r="T419"/>
  <c r="W405"/>
  <c r="T385"/>
  <c r="S385"/>
  <c r="N243"/>
  <c r="S125"/>
  <c r="T13"/>
  <c r="S427" i="72"/>
  <c r="AA417"/>
  <c r="T213"/>
  <c r="T196"/>
  <c r="T94"/>
  <c r="R38"/>
  <c r="T412" i="71"/>
  <c r="T376"/>
  <c r="N216"/>
  <c r="T216"/>
  <c r="T199"/>
  <c r="S79"/>
  <c r="N425" i="70"/>
  <c r="S401"/>
  <c r="N386"/>
  <c r="S363"/>
  <c r="T256"/>
  <c r="U419" i="74"/>
  <c r="T385"/>
  <c r="T353"/>
  <c r="U243"/>
  <c r="W201"/>
  <c r="T143"/>
  <c r="T30"/>
  <c r="T436" i="73"/>
  <c r="AA417"/>
  <c r="U217"/>
  <c r="S124"/>
  <c r="T98"/>
  <c r="Q38"/>
  <c r="T16"/>
  <c r="T439" i="72"/>
  <c r="S426"/>
  <c r="T402"/>
  <c r="T249"/>
  <c r="T59"/>
  <c r="AA41"/>
  <c r="U425" i="71"/>
  <c r="Q256"/>
  <c r="T210"/>
  <c r="T194"/>
  <c r="S449" i="70"/>
  <c r="N437"/>
  <c r="S419"/>
  <c r="N385"/>
  <c r="N243"/>
  <c r="T239"/>
  <c r="R205"/>
  <c r="T151"/>
  <c r="S143"/>
  <c r="S148"/>
  <c r="S118"/>
  <c r="R437" i="69"/>
  <c r="S428"/>
  <c r="R419"/>
  <c r="W405"/>
  <c r="U243"/>
  <c r="N197"/>
  <c r="T193"/>
  <c r="R143"/>
  <c r="S48"/>
  <c r="T448" i="68"/>
  <c r="N417"/>
  <c r="S417"/>
  <c r="T389"/>
  <c r="T213"/>
  <c r="Q64"/>
  <c r="T33"/>
  <c r="Q29"/>
  <c r="N412" i="65"/>
  <c r="Q12"/>
  <c r="T146" i="74"/>
  <c r="T60"/>
  <c r="S16"/>
  <c r="S376" i="73"/>
  <c r="T97"/>
  <c r="S67"/>
  <c r="T11"/>
  <c r="V425" i="72"/>
  <c r="AA432" i="71"/>
  <c r="Q214"/>
  <c r="Q100"/>
  <c r="T371" i="74"/>
  <c r="T216"/>
  <c r="T67"/>
  <c r="W59"/>
  <c r="U425" i="73"/>
  <c r="Z462" i="77"/>
  <c r="Z462" i="39" s="1"/>
  <c r="X462"/>
  <c r="AA425"/>
  <c r="AA405"/>
  <c r="AD417"/>
  <c r="AA432" i="65"/>
  <c r="AA417"/>
  <c r="AD419" i="39"/>
  <c r="AD412"/>
  <c r="Z69" i="77"/>
  <c r="Z69" i="39" s="1"/>
  <c r="X69"/>
  <c r="EL55" i="77"/>
  <c r="Z55" i="70" s="1"/>
  <c r="X55"/>
  <c r="T196" i="69"/>
  <c r="T455"/>
  <c r="T14" i="73"/>
  <c r="S14"/>
  <c r="N438" i="68"/>
  <c r="N414"/>
  <c r="CA357" i="77"/>
  <c r="U357" i="68" s="1"/>
  <c r="T357"/>
  <c r="CA402" i="77"/>
  <c r="U402" i="68" s="1"/>
  <c r="T402"/>
  <c r="CA22" i="77"/>
  <c r="U22" i="68" s="1"/>
  <c r="T22"/>
  <c r="T419" i="72"/>
  <c r="T143"/>
  <c r="GM353" i="77"/>
  <c r="U353" i="72" s="1"/>
  <c r="T353"/>
  <c r="GM248" i="77"/>
  <c r="T251" i="72"/>
  <c r="GM57" i="77"/>
  <c r="U57" i="72" s="1"/>
  <c r="T57"/>
  <c r="U98" i="71"/>
  <c r="T98"/>
  <c r="FJ232" i="77"/>
  <c r="T221" i="71"/>
  <c r="BZ435" i="77"/>
  <c r="T435" i="68" s="1"/>
  <c r="Q435"/>
  <c r="T13" i="72"/>
  <c r="Q13"/>
  <c r="R217" i="71"/>
  <c r="R197"/>
  <c r="T125"/>
  <c r="Q125"/>
  <c r="T51" i="69"/>
  <c r="S51"/>
  <c r="DC32" i="77"/>
  <c r="T32" i="69" s="1"/>
  <c r="R32"/>
  <c r="DC234" i="77"/>
  <c r="R240" i="69"/>
  <c r="DC239" i="77"/>
  <c r="T245" i="69" s="1"/>
  <c r="R245"/>
  <c r="DC439" i="77"/>
  <c r="T439" i="69" s="1"/>
  <c r="S439"/>
  <c r="DD86" i="77"/>
  <c r="HO70"/>
  <c r="T70" i="73" s="1"/>
  <c r="Q70"/>
  <c r="HO256" i="77"/>
  <c r="T256" i="73" s="1"/>
  <c r="S256"/>
  <c r="HP434" i="77"/>
  <c r="U434" i="73" s="1"/>
  <c r="T434"/>
  <c r="T128" i="68"/>
  <c r="R128"/>
  <c r="U376"/>
  <c r="T376"/>
  <c r="R143" i="65"/>
  <c r="R119"/>
  <c r="Q437"/>
  <c r="Q413"/>
  <c r="T194"/>
  <c r="AX59" i="77"/>
  <c r="U59" i="65" s="1"/>
  <c r="T59"/>
  <c r="AX245" i="77"/>
  <c r="T248" i="65"/>
  <c r="U128"/>
  <c r="T128"/>
  <c r="DC45" i="77"/>
  <c r="T45" i="69" s="1"/>
  <c r="S45"/>
  <c r="S118"/>
  <c r="S194"/>
  <c r="T122"/>
  <c r="U211"/>
  <c r="T211"/>
  <c r="HO59" i="77"/>
  <c r="T59" i="73" s="1"/>
  <c r="S59"/>
  <c r="U126"/>
  <c r="T126"/>
  <c r="HP22" i="77"/>
  <c r="U22" i="73" s="1"/>
  <c r="T22"/>
  <c r="U123"/>
  <c r="T123"/>
  <c r="R425" i="68"/>
  <c r="R405"/>
  <c r="U211"/>
  <c r="GL65" i="77"/>
  <c r="T65" i="72" s="1"/>
  <c r="S65"/>
  <c r="T121"/>
  <c r="FI233" i="77"/>
  <c r="S239" i="71"/>
  <c r="Q197"/>
  <c r="Q217"/>
  <c r="FJ422" i="77"/>
  <c r="U422" i="71" s="1"/>
  <c r="T422"/>
  <c r="U16"/>
  <c r="T16"/>
  <c r="FJ204" i="77"/>
  <c r="FJ242"/>
  <c r="U246" i="71" s="1"/>
  <c r="T246"/>
  <c r="Q191" i="68"/>
  <c r="Q216"/>
  <c r="N216" i="69"/>
  <c r="N191"/>
  <c r="HO238" i="77"/>
  <c r="S244" i="73"/>
  <c r="HP234" i="77"/>
  <c r="HP439"/>
  <c r="U439" i="73" s="1"/>
  <c r="T439"/>
  <c r="N216" i="68"/>
  <c r="N191"/>
  <c r="S194"/>
  <c r="S118"/>
  <c r="CA246" i="77"/>
  <c r="U249" i="68" s="1"/>
  <c r="T249"/>
  <c r="CA28" i="77"/>
  <c r="U28" i="68" s="1"/>
  <c r="T28"/>
  <c r="T243" i="72"/>
  <c r="GM355" i="77"/>
  <c r="U355" i="72" s="1"/>
  <c r="T355"/>
  <c r="AW27" i="77"/>
  <c r="T27" i="65" s="1"/>
  <c r="R27"/>
  <c r="S122"/>
  <c r="S205"/>
  <c r="U19"/>
  <c r="T19"/>
  <c r="AX257" i="77"/>
  <c r="U257" i="65" s="1"/>
  <c r="T257"/>
  <c r="EF28" i="77"/>
  <c r="T28" i="70" s="1"/>
  <c r="S28"/>
  <c r="EF30" i="77"/>
  <c r="T30" i="70" s="1"/>
  <c r="S30"/>
  <c r="S195"/>
  <c r="U124"/>
  <c r="T124"/>
  <c r="IS33" i="77"/>
  <c r="U33" i="74" s="1"/>
  <c r="T33"/>
  <c r="IS38" i="77"/>
  <c r="U38" i="74" s="1"/>
  <c r="T38"/>
  <c r="FJ60" i="77"/>
  <c r="U60" i="71" s="1"/>
  <c r="T60"/>
  <c r="FJ24" i="77"/>
  <c r="U24" i="71" s="1"/>
  <c r="T24"/>
  <c r="T199" i="70"/>
  <c r="S199"/>
  <c r="EG239" i="77"/>
  <c r="U245" i="70" s="1"/>
  <c r="T245"/>
  <c r="EG236" i="77"/>
  <c r="EG253"/>
  <c r="U13" i="70"/>
  <c r="T13"/>
  <c r="AX67" i="77"/>
  <c r="U67" i="65" s="1"/>
  <c r="T67"/>
  <c r="Q243"/>
  <c r="Q204"/>
  <c r="Q386"/>
  <c r="Q389"/>
  <c r="AX93" i="77"/>
  <c r="EF34"/>
  <c r="T34" i="70" s="1"/>
  <c r="S34"/>
  <c r="EF422" i="77"/>
  <c r="T422" i="70" s="1"/>
  <c r="S422"/>
  <c r="U150"/>
  <c r="T150"/>
  <c r="T197" i="65"/>
  <c r="T217"/>
  <c r="S405"/>
  <c r="S425"/>
  <c r="U126"/>
  <c r="T126"/>
  <c r="S213" i="70"/>
  <c r="EF448" i="77"/>
  <c r="T448" i="70" s="1"/>
  <c r="S448"/>
  <c r="EG426" i="77"/>
  <c r="U426" i="70" s="1"/>
  <c r="T426"/>
  <c r="IS28" i="77"/>
  <c r="U28" i="74" s="1"/>
  <c r="T28"/>
  <c r="IS448" i="77"/>
  <c r="U448" i="74" s="1"/>
  <c r="T448"/>
  <c r="X449" i="65"/>
  <c r="X55" i="39"/>
  <c r="Z55" i="77"/>
  <c r="Z55" i="39" s="1"/>
  <c r="X408"/>
  <c r="Z408" i="77"/>
  <c r="Z408" i="39" s="1"/>
  <c r="AA194"/>
  <c r="AA118"/>
  <c r="AC83" i="77"/>
  <c r="AA438" i="74"/>
  <c r="W425"/>
  <c r="T194"/>
  <c r="S58"/>
  <c r="T36"/>
  <c r="T462" i="73"/>
  <c r="AA414"/>
  <c r="N385"/>
  <c r="S243"/>
  <c r="S193"/>
  <c r="T143"/>
  <c r="T95"/>
  <c r="T34"/>
  <c r="T413" i="72"/>
  <c r="T384"/>
  <c r="T352"/>
  <c r="T242"/>
  <c r="T208"/>
  <c r="T371" i="71"/>
  <c r="S216"/>
  <c r="T211"/>
  <c r="S97"/>
  <c r="S386" i="70"/>
  <c r="T437" i="74"/>
  <c r="T419"/>
  <c r="T409"/>
  <c r="T243"/>
  <c r="T209"/>
  <c r="T125"/>
  <c r="T91"/>
  <c r="S17"/>
  <c r="T413" i="73"/>
  <c r="S384"/>
  <c r="T365"/>
  <c r="T217"/>
  <c r="T200"/>
  <c r="S192"/>
  <c r="T94"/>
  <c r="T33"/>
  <c r="T12"/>
  <c r="X457" i="72"/>
  <c r="T435"/>
  <c r="T357"/>
  <c r="T195"/>
  <c r="T128"/>
  <c r="T119"/>
  <c r="T97"/>
  <c r="T37"/>
  <c r="T425" i="71"/>
  <c r="X401"/>
  <c r="T244"/>
  <c r="T240"/>
  <c r="T62"/>
  <c r="T462" i="70"/>
  <c r="X400"/>
  <c r="S385"/>
  <c r="S243"/>
  <c r="S209"/>
  <c r="N205"/>
  <c r="T100"/>
  <c r="T82"/>
  <c r="N437" i="69"/>
  <c r="R432"/>
  <c r="N419"/>
  <c r="R414"/>
  <c r="T243"/>
  <c r="S218"/>
  <c r="T209"/>
  <c r="N143"/>
  <c r="T69"/>
  <c r="S61"/>
  <c r="T17"/>
  <c r="Q221" i="68"/>
  <c r="T200"/>
  <c r="T98"/>
  <c r="R80"/>
  <c r="T38"/>
  <c r="S388" i="65"/>
  <c r="T60"/>
  <c r="T120" i="74"/>
  <c r="S72"/>
  <c r="T42"/>
  <c r="T426" i="73"/>
  <c r="S253"/>
  <c r="T23"/>
  <c r="U425" i="72"/>
  <c r="N122"/>
  <c r="T122"/>
  <c r="T70"/>
  <c r="T419" i="71"/>
  <c r="T353"/>
  <c r="T81"/>
  <c r="X457" i="74"/>
  <c r="T435"/>
  <c r="T416"/>
  <c r="T245"/>
  <c r="X207"/>
  <c r="T93"/>
  <c r="T19"/>
  <c r="AD438" i="73"/>
  <c r="AD437" i="39"/>
  <c r="AD413"/>
  <c r="AC386"/>
  <c r="AC388"/>
  <c r="DI58" i="77"/>
  <c r="Z58" i="69" s="1"/>
  <c r="X58"/>
  <c r="AA93" i="39"/>
  <c r="X93"/>
  <c r="AD386"/>
  <c r="AD389"/>
  <c r="AD385"/>
  <c r="AD194"/>
  <c r="Z218" i="65"/>
  <c r="Z96" i="77"/>
  <c r="Z96" i="39" s="1"/>
  <c r="X97"/>
  <c r="AA150" i="71"/>
  <c r="X150"/>
  <c r="AA15" i="69"/>
  <c r="X15"/>
  <c r="AA67" i="39"/>
  <c r="X67"/>
  <c r="R31" i="69"/>
  <c r="R198"/>
  <c r="DC84" i="77"/>
  <c r="Q82" i="69"/>
  <c r="DC85" i="77"/>
  <c r="R89" i="69"/>
  <c r="T421"/>
  <c r="R421"/>
  <c r="DC422" i="77"/>
  <c r="S422" i="69"/>
  <c r="Q438"/>
  <c r="DD245" i="77"/>
  <c r="T248" i="69"/>
  <c r="S386" i="73"/>
  <c r="U125" i="68"/>
  <c r="T125"/>
  <c r="BZ409" i="77"/>
  <c r="T409" i="68" s="1"/>
  <c r="R409"/>
  <c r="R438"/>
  <c r="R414"/>
  <c r="CA70" i="77"/>
  <c r="U70" i="68" s="1"/>
  <c r="T70"/>
  <c r="T197" i="72"/>
  <c r="GM93" i="77"/>
  <c r="T95" i="72"/>
  <c r="GM26" i="77"/>
  <c r="U26" i="72" s="1"/>
  <c r="T26"/>
  <c r="GM420" i="77"/>
  <c r="U420" i="72" s="1"/>
  <c r="T420"/>
  <c r="U61" i="71"/>
  <c r="T61"/>
  <c r="Q364" i="68"/>
  <c r="BZ455" i="77"/>
  <c r="Q455" i="68"/>
  <c r="T203" i="69"/>
  <c r="T211" i="73"/>
  <c r="S211"/>
  <c r="HP374" i="77"/>
  <c r="U374" i="73" s="1"/>
  <c r="T374"/>
  <c r="CA380" i="77"/>
  <c r="U380" i="68" s="1"/>
  <c r="T388"/>
  <c r="T385"/>
  <c r="FI82" i="77"/>
  <c r="T80" i="71" s="1"/>
  <c r="S80"/>
  <c r="FJ86" i="77"/>
  <c r="T90" i="71"/>
  <c r="T437"/>
  <c r="T413"/>
  <c r="S143" i="65"/>
  <c r="S119"/>
  <c r="S437"/>
  <c r="S413"/>
  <c r="T216"/>
  <c r="T191"/>
  <c r="EF29" i="77"/>
  <c r="T29" i="70" s="1"/>
  <c r="S29"/>
  <c r="T123"/>
  <c r="S123"/>
  <c r="Q145" i="68"/>
  <c r="DC200" i="77"/>
  <c r="T208" i="69" s="1"/>
  <c r="S208"/>
  <c r="R118"/>
  <c r="R194"/>
  <c r="T416"/>
  <c r="S416"/>
  <c r="DD37" i="77"/>
  <c r="U37" i="69" s="1"/>
  <c r="T37"/>
  <c r="HP90" i="77"/>
  <c r="U92" i="73" s="1"/>
  <c r="T92"/>
  <c r="BZ45" i="77"/>
  <c r="T45" i="68" s="1"/>
  <c r="Q45"/>
  <c r="BZ235" i="77"/>
  <c r="R241" i="68"/>
  <c r="R144"/>
  <c r="R93"/>
  <c r="CA443" i="77"/>
  <c r="U443" i="68" s="1"/>
  <c r="T443"/>
  <c r="CA69" i="77"/>
  <c r="U69" i="68" s="1"/>
  <c r="T69"/>
  <c r="U415" i="72"/>
  <c r="T415"/>
  <c r="T201"/>
  <c r="U147"/>
  <c r="T147"/>
  <c r="GM374" i="77"/>
  <c r="U374" i="72" s="1"/>
  <c r="T374"/>
  <c r="N197" i="71"/>
  <c r="N217"/>
  <c r="FM442" i="77"/>
  <c r="FP442" s="1"/>
  <c r="U442" i="71"/>
  <c r="U213"/>
  <c r="T213"/>
  <c r="R216" i="69"/>
  <c r="R191"/>
  <c r="DC246" i="77"/>
  <c r="T249" i="69" s="1"/>
  <c r="S249"/>
  <c r="S78"/>
  <c r="U16"/>
  <c r="T16"/>
  <c r="HP245" i="77"/>
  <c r="U248" i="73" s="1"/>
  <c r="T248"/>
  <c r="R191" i="68"/>
  <c r="R216"/>
  <c r="N194"/>
  <c r="N118"/>
  <c r="CA59" i="77"/>
  <c r="U59" i="68" s="1"/>
  <c r="T59"/>
  <c r="FJ33" i="77"/>
  <c r="U33" i="71" s="1"/>
  <c r="T33"/>
  <c r="Q122" i="65"/>
  <c r="Q205"/>
  <c r="AX236" i="77"/>
  <c r="T242" i="65"/>
  <c r="AX422" i="77"/>
  <c r="U422" i="65" s="1"/>
  <c r="T422"/>
  <c r="T12" i="70"/>
  <c r="R12"/>
  <c r="Q196"/>
  <c r="U11"/>
  <c r="T11"/>
  <c r="T145"/>
  <c r="T217" i="74"/>
  <c r="T98" i="70"/>
  <c r="S98"/>
  <c r="EF357" i="77"/>
  <c r="T357" i="70" s="1"/>
  <c r="S357"/>
  <c r="T216"/>
  <c r="T191"/>
  <c r="EG96" i="77"/>
  <c r="T97" i="70"/>
  <c r="T143" i="71"/>
  <c r="S243" i="65"/>
  <c r="S204"/>
  <c r="S386"/>
  <c r="S389"/>
  <c r="AW402" i="77"/>
  <c r="T402" i="65" s="1"/>
  <c r="Q402"/>
  <c r="U150"/>
  <c r="T150"/>
  <c r="T145"/>
  <c r="EF32" i="77"/>
  <c r="T32" i="70" s="1"/>
  <c r="S32"/>
  <c r="EF457" i="77"/>
  <c r="T457" i="70" s="1"/>
  <c r="S457"/>
  <c r="EG439" i="77"/>
  <c r="U439" i="70" s="1"/>
  <c r="T439"/>
  <c r="EG24" i="77"/>
  <c r="U24" i="70" s="1"/>
  <c r="T24"/>
  <c r="IS82" i="77"/>
  <c r="U80" i="74" s="1"/>
  <c r="T80"/>
  <c r="N425" i="65"/>
  <c r="N405"/>
  <c r="AX37" i="77"/>
  <c r="U37" i="65" s="1"/>
  <c r="T37"/>
  <c r="AX69" i="77"/>
  <c r="U69" i="65" s="1"/>
  <c r="T69"/>
  <c r="U125"/>
  <c r="T125"/>
  <c r="EG435" i="77"/>
  <c r="U435" i="70" s="1"/>
  <c r="T435"/>
  <c r="U128"/>
  <c r="T128"/>
  <c r="IR24" i="77"/>
  <c r="T24" i="74" s="1"/>
  <c r="S24"/>
  <c r="T192"/>
  <c r="X422" i="39"/>
  <c r="Z422" i="77"/>
  <c r="Z422" i="39" s="1"/>
  <c r="AC401"/>
  <c r="Z421" i="73"/>
  <c r="Z401" i="71"/>
  <c r="AA257" i="39"/>
  <c r="GR245" i="77"/>
  <c r="Z245" i="72" s="1"/>
  <c r="Z86" i="77"/>
  <c r="Z86" i="39" s="1"/>
  <c r="Z85" i="77"/>
  <c r="Z85" i="39" s="1"/>
  <c r="AA55" i="70"/>
  <c r="T148" i="69"/>
  <c r="DC238" i="77"/>
  <c r="T19" i="73"/>
  <c r="BZ30" i="77"/>
  <c r="BZ367"/>
  <c r="T367" i="68" s="1"/>
  <c r="T214" i="69"/>
  <c r="DC83" i="77"/>
  <c r="DC409"/>
  <c r="T409" i="69" s="1"/>
  <c r="FJ378" i="77"/>
  <c r="DC62"/>
  <c r="BZ247"/>
  <c r="T250" i="68" s="1"/>
  <c r="T126"/>
  <c r="U431" i="72"/>
  <c r="DD67" i="77"/>
  <c r="U67" i="69" s="1"/>
  <c r="CA369" i="77"/>
  <c r="GL58"/>
  <c r="T58" i="72" s="1"/>
  <c r="EG204" i="77"/>
  <c r="DC257"/>
  <c r="T257" i="69" s="1"/>
  <c r="BZ73" i="77"/>
  <c r="T73" i="68" s="1"/>
  <c r="HO236" i="77"/>
  <c r="T236" i="73" s="1"/>
  <c r="BZ60" i="77"/>
  <c r="T60" i="68" s="1"/>
  <c r="BZ20" i="77"/>
  <c r="BZ224"/>
  <c r="CA224" s="1"/>
  <c r="GM83"/>
  <c r="EF228"/>
  <c r="T228" i="70" s="1"/>
  <c r="U124" i="65"/>
  <c r="EF374" i="77"/>
  <c r="T374" i="70" s="1"/>
  <c r="U220" i="74"/>
  <c r="EG408" i="77"/>
  <c r="U408" i="70" s="1"/>
  <c r="EF255" i="77"/>
  <c r="T255" i="70" s="1"/>
  <c r="AW435" i="77"/>
  <c r="T435" i="65" s="1"/>
  <c r="U150" i="74"/>
  <c r="IS22" i="77"/>
  <c r="U22" i="74" s="1"/>
  <c r="T420"/>
  <c r="S248"/>
  <c r="T206"/>
  <c r="T122"/>
  <c r="T82"/>
  <c r="AA449" i="73"/>
  <c r="U442"/>
  <c r="T409"/>
  <c r="V405"/>
  <c r="T251"/>
  <c r="T201"/>
  <c r="T147"/>
  <c r="T91"/>
  <c r="T65"/>
  <c r="T48"/>
  <c r="T254" i="72"/>
  <c r="T204"/>
  <c r="T120"/>
  <c r="T439" i="71"/>
  <c r="T402"/>
  <c r="X388"/>
  <c r="T249"/>
  <c r="S128"/>
  <c r="T123"/>
  <c r="T63"/>
  <c r="T11"/>
  <c r="S374" i="70"/>
  <c r="T215"/>
  <c r="S206"/>
  <c r="T251" i="74"/>
  <c r="T121"/>
  <c r="S95"/>
  <c r="S13"/>
  <c r="T448" i="73"/>
  <c r="X441"/>
  <c r="X422"/>
  <c r="T408"/>
  <c r="S254"/>
  <c r="S150"/>
  <c r="T142"/>
  <c r="T90"/>
  <c r="T29"/>
  <c r="T412" i="72"/>
  <c r="T241"/>
  <c r="T123"/>
  <c r="T93"/>
  <c r="S23"/>
  <c r="AA438" i="71"/>
  <c r="T420"/>
  <c r="T363"/>
  <c r="T219"/>
  <c r="S437" i="70"/>
  <c r="T419"/>
  <c r="T197"/>
  <c r="R143"/>
  <c r="S121"/>
  <c r="T95"/>
  <c r="S81"/>
  <c r="T202"/>
  <c r="S126"/>
  <c r="T58"/>
  <c r="S437" i="69"/>
  <c r="N432"/>
  <c r="S419"/>
  <c r="N414"/>
  <c r="U405"/>
  <c r="V405"/>
  <c r="R197"/>
  <c r="T91"/>
  <c r="R81"/>
  <c r="T65"/>
  <c r="T30"/>
  <c r="T13"/>
  <c r="Q250" i="68"/>
  <c r="Q217"/>
  <c r="R217"/>
  <c r="T204"/>
  <c r="T120"/>
  <c r="S60"/>
  <c r="T42"/>
  <c r="Q444" i="65"/>
  <c r="Q435"/>
  <c r="Q412"/>
  <c r="R388"/>
  <c r="T38"/>
  <c r="X441" i="74"/>
  <c r="T204"/>
  <c r="S245" i="73"/>
  <c r="T202" i="72"/>
  <c r="R58"/>
  <c r="T462" i="71"/>
  <c r="X449"/>
  <c r="T405"/>
  <c r="T201"/>
  <c r="T17"/>
  <c r="T357" i="74"/>
  <c r="T119"/>
  <c r="AA201"/>
  <c r="IV235" i="77"/>
  <c r="IR37"/>
  <c r="T37" i="74" s="1"/>
  <c r="IV205" i="77"/>
  <c r="IY205" s="1"/>
  <c r="IR69"/>
  <c r="T69" i="74" s="1"/>
  <c r="IV443" i="77"/>
  <c r="IY443" s="1"/>
  <c r="IV234"/>
  <c r="IY234" s="1"/>
  <c r="HO247"/>
  <c r="T250" i="73" s="1"/>
  <c r="HS429" i="77"/>
  <c r="HV429" s="1"/>
  <c r="HU242"/>
  <c r="Z242" i="73" s="1"/>
  <c r="GL33" i="77"/>
  <c r="T33" i="72" s="1"/>
  <c r="FM226" i="77"/>
  <c r="FI58"/>
  <c r="T58" i="71" s="1"/>
  <c r="FI93" i="77"/>
  <c r="T95" i="71" s="1"/>
  <c r="FI245" i="77"/>
  <c r="T248" i="71" s="1"/>
  <c r="Z170"/>
  <c r="FI37" i="77"/>
  <c r="T37" i="71" s="1"/>
  <c r="EF234" i="77"/>
  <c r="EF90"/>
  <c r="T92" i="70" s="1"/>
  <c r="EF59" i="77"/>
  <c r="EF237"/>
  <c r="EG237" s="1"/>
  <c r="EF388"/>
  <c r="EG388" s="1"/>
  <c r="EJ220"/>
  <c r="EM220" s="1"/>
  <c r="T19" i="70"/>
  <c r="EF442" i="77"/>
  <c r="T442" i="70" s="1"/>
  <c r="DC60" i="77"/>
  <c r="T60" i="69" s="1"/>
  <c r="DC224" i="77"/>
  <c r="DD224" s="1"/>
  <c r="T71" i="69"/>
  <c r="DC235" i="77"/>
  <c r="DC34"/>
  <c r="T34" i="69" s="1"/>
  <c r="T162"/>
  <c r="DC205" i="77"/>
  <c r="T210" i="69" s="1"/>
  <c r="T126"/>
  <c r="DC437" i="77"/>
  <c r="DD437" s="1"/>
  <c r="DC457"/>
  <c r="T79" i="69"/>
  <c r="DC256" i="77"/>
  <c r="T199" i="65"/>
  <c r="AW380" i="77"/>
  <c r="AW36"/>
  <c r="T36" i="65" s="1"/>
  <c r="AW249" i="77"/>
  <c r="T252" i="65" s="1"/>
  <c r="BZ425" i="77"/>
  <c r="CA425" s="1"/>
  <c r="BZ26"/>
  <c r="T26" i="68" s="1"/>
  <c r="T153"/>
  <c r="BZ220" i="77"/>
  <c r="CA220" s="1"/>
  <c r="BZ430"/>
  <c r="BZ40"/>
  <c r="T40" i="68" s="1"/>
  <c r="BZ408" i="77"/>
  <c r="T408" i="68" s="1"/>
  <c r="T61"/>
  <c r="BZ227" i="77"/>
  <c r="BZ248"/>
  <c r="BZ238"/>
  <c r="BZ429"/>
  <c r="T429" i="68" s="1"/>
  <c r="BZ462" i="77"/>
  <c r="T462" i="68" s="1"/>
  <c r="AA441" i="73"/>
  <c r="Z218" i="39"/>
  <c r="Z161" i="73"/>
  <c r="Z147"/>
  <c r="Z247" i="77"/>
  <c r="Z247" i="39" s="1"/>
  <c r="AA57" i="69"/>
  <c r="GP234" i="77"/>
  <c r="GS234" s="1"/>
  <c r="T123" i="69"/>
  <c r="DC427" i="77"/>
  <c r="T427" i="69" s="1"/>
  <c r="DC402" i="77"/>
  <c r="T402" i="69" s="1"/>
  <c r="AW57" i="77"/>
  <c r="T57" i="65" s="1"/>
  <c r="T415"/>
  <c r="BZ55" i="77"/>
  <c r="T55" i="68" s="1"/>
  <c r="GP442" i="77"/>
  <c r="GS442" s="1"/>
  <c r="DC436"/>
  <c r="HS405"/>
  <c r="HV405" s="1"/>
  <c r="AW88"/>
  <c r="AW462"/>
  <c r="T462" i="65" s="1"/>
  <c r="T193" i="70"/>
  <c r="AW228" i="77"/>
  <c r="IV236"/>
  <c r="EL48"/>
  <c r="Z48" i="70" s="1"/>
  <c r="FO48" i="77"/>
  <c r="Z48" i="71" s="1"/>
  <c r="AA46" i="70"/>
  <c r="HU57" i="77"/>
  <c r="Z57" i="73" s="1"/>
  <c r="DC358" i="77"/>
  <c r="T358" i="69" s="1"/>
  <c r="DC367" i="77"/>
  <c r="T367" i="69" s="1"/>
  <c r="BZ24" i="77"/>
  <c r="T24" i="68" s="1"/>
  <c r="T150"/>
  <c r="T147"/>
  <c r="T421"/>
  <c r="FI40" i="77"/>
  <c r="DC368"/>
  <c r="T368" i="69" s="1"/>
  <c r="BZ233" i="77"/>
  <c r="EF368"/>
  <c r="T368" i="70" s="1"/>
  <c r="DC63" i="77"/>
  <c r="T63" i="69" s="1"/>
  <c r="DC36" i="77"/>
  <c r="T36" i="69" s="1"/>
  <c r="DC228" i="77"/>
  <c r="DC95"/>
  <c r="T95" i="69" s="1"/>
  <c r="DC444" i="77"/>
  <c r="DC357"/>
  <c r="T357" i="69" s="1"/>
  <c r="DC404" i="77"/>
  <c r="T404" i="69" s="1"/>
  <c r="BZ242" i="77"/>
  <c r="T246" i="68" s="1"/>
  <c r="BZ54" i="77"/>
  <c r="T54" i="68" s="1"/>
  <c r="BZ360" i="77"/>
  <c r="BZ92"/>
  <c r="FM426"/>
  <c r="FP426" s="1"/>
  <c r="T218" i="68"/>
  <c r="BZ205" i="77"/>
  <c r="T210" i="68" s="1"/>
  <c r="BZ428" i="77"/>
  <c r="T428" i="68" s="1"/>
  <c r="T16" i="72"/>
  <c r="AW34" i="77"/>
  <c r="T34" i="65" s="1"/>
  <c r="T147"/>
  <c r="AW389" i="77"/>
  <c r="AX389" s="1"/>
  <c r="AW84"/>
  <c r="AW436"/>
  <c r="EF70"/>
  <c r="T70" i="70" s="1"/>
  <c r="EF226" i="77"/>
  <c r="T93" i="70"/>
  <c r="AW42" i="77"/>
  <c r="T42" i="65" s="1"/>
  <c r="AW26" i="77"/>
  <c r="T26" i="65" s="1"/>
  <c r="AW244" i="77"/>
  <c r="T247" i="65" s="1"/>
  <c r="IV437" i="77"/>
  <c r="IY437" s="1"/>
  <c r="AA45" i="65"/>
  <c r="BC45" i="77"/>
  <c r="Z45" i="65" s="1"/>
  <c r="AA47" i="71"/>
  <c r="AA18" i="39"/>
  <c r="DC28" i="77"/>
  <c r="T28" i="69" s="1"/>
  <c r="T441"/>
  <c r="BZ37" i="77"/>
  <c r="T37" i="68" s="1"/>
  <c r="HO389" i="77"/>
  <c r="HP389" s="1"/>
  <c r="FI68"/>
  <c r="FM443"/>
  <c r="FP443" s="1"/>
  <c r="AW255"/>
  <c r="T255" i="65" s="1"/>
  <c r="AW86" i="77"/>
  <c r="EF63"/>
  <c r="T63" i="70" s="1"/>
  <c r="EF358" i="77"/>
  <c r="T358" i="70" s="1"/>
  <c r="T146" i="68"/>
  <c r="T148"/>
  <c r="BZ405" i="77"/>
  <c r="FI70"/>
  <c r="T70" i="71" s="1"/>
  <c r="T411" i="69"/>
  <c r="FI69" i="77"/>
  <c r="T69" i="71" s="1"/>
  <c r="AW373" i="77"/>
  <c r="T373" i="65" s="1"/>
  <c r="EF242" i="77"/>
  <c r="EF402"/>
  <c r="T402" i="70" s="1"/>
  <c r="EF436" i="77"/>
  <c r="T436" i="70" s="1"/>
  <c r="T41" i="65"/>
  <c r="AW22" i="77"/>
  <c r="T22" i="65" s="1"/>
  <c r="AW448" i="77"/>
  <c r="T448" i="65" s="1"/>
  <c r="EJ62" i="77"/>
  <c r="EM62" s="1"/>
  <c r="IR233"/>
  <c r="T233" i="74" s="1"/>
  <c r="T61" i="65"/>
  <c r="AW48" i="77"/>
  <c r="T146" i="65"/>
  <c r="AW374" i="77"/>
  <c r="T374" i="65" s="1"/>
  <c r="CX358" i="77"/>
  <c r="CY358"/>
  <c r="CY442"/>
  <c r="P442" i="69" s="1"/>
  <c r="CX442" i="77"/>
  <c r="O442" i="69" s="1"/>
  <c r="CX438" i="77"/>
  <c r="CY438"/>
  <c r="CY409"/>
  <c r="CX409"/>
  <c r="DE93"/>
  <c r="DF93"/>
  <c r="DE245"/>
  <c r="DF245"/>
  <c r="V13" i="69"/>
  <c r="W13"/>
  <c r="DE244" i="77"/>
  <c r="DF244"/>
  <c r="HK62"/>
  <c r="HJ62"/>
  <c r="P199" i="73"/>
  <c r="O199"/>
  <c r="HJ253" i="77"/>
  <c r="HP253"/>
  <c r="U254" i="73" s="1"/>
  <c r="HK253" i="77"/>
  <c r="HK378"/>
  <c r="P378" i="73" s="1"/>
  <c r="HJ378" i="77"/>
  <c r="O378" i="73" s="1"/>
  <c r="HQ359" i="77"/>
  <c r="HR359"/>
  <c r="O31" i="68"/>
  <c r="P31"/>
  <c r="P182"/>
  <c r="O182"/>
  <c r="BV39" i="77"/>
  <c r="P39" i="68" s="1"/>
  <c r="BU39" i="77"/>
  <c r="O39" i="68" s="1"/>
  <c r="BV84" i="77"/>
  <c r="BU84"/>
  <c r="BV86"/>
  <c r="BU86"/>
  <c r="CB389"/>
  <c r="CC389"/>
  <c r="CB436"/>
  <c r="V436" i="68" s="1"/>
  <c r="CC436" i="77"/>
  <c r="W436" i="68" s="1"/>
  <c r="CB38" i="77"/>
  <c r="V38" i="68" s="1"/>
  <c r="CC38" i="77"/>
  <c r="W38" i="68" s="1"/>
  <c r="CB70" i="77"/>
  <c r="V70" i="68" s="1"/>
  <c r="CC70" i="77"/>
  <c r="W70" i="68" s="1"/>
  <c r="GH22" i="77"/>
  <c r="GG22"/>
  <c r="GM22"/>
  <c r="U22" i="72" s="1"/>
  <c r="GN226" i="77"/>
  <c r="GO226"/>
  <c r="GN248"/>
  <c r="GO248"/>
  <c r="V214" i="72"/>
  <c r="W61"/>
  <c r="V61"/>
  <c r="GO257" i="77"/>
  <c r="W257" i="72" s="1"/>
  <c r="GN257" i="77"/>
  <c r="V257" i="72" s="1"/>
  <c r="GN455" i="77"/>
  <c r="V455" i="72" s="1"/>
  <c r="GO455" i="77"/>
  <c r="W455" i="72" s="1"/>
  <c r="FE72" i="77"/>
  <c r="P72" i="71" s="1"/>
  <c r="FD72" i="77"/>
  <c r="O72" i="71" s="1"/>
  <c r="U79"/>
  <c r="P81"/>
  <c r="O81"/>
  <c r="FK237" i="77"/>
  <c r="FL237"/>
  <c r="W98" i="71"/>
  <c r="V11"/>
  <c r="W11"/>
  <c r="W193"/>
  <c r="V193"/>
  <c r="FK232" i="77"/>
  <c r="FL232"/>
  <c r="V61" i="71"/>
  <c r="W61"/>
  <c r="FK205" i="77"/>
  <c r="FL205"/>
  <c r="CX60"/>
  <c r="CY60"/>
  <c r="CY20"/>
  <c r="P20" i="69" s="1"/>
  <c r="CX20" i="77"/>
  <c r="O20" i="69" s="1"/>
  <c r="CY48" i="77"/>
  <c r="CX48"/>
  <c r="CY234"/>
  <c r="P234" i="69" s="1"/>
  <c r="CX234" i="77"/>
  <c r="O234" i="69" s="1"/>
  <c r="CX224" i="77"/>
  <c r="CY224"/>
  <c r="O170" i="69"/>
  <c r="P170"/>
  <c r="CX439" i="77"/>
  <c r="CY439"/>
  <c r="HJ70"/>
  <c r="HK70"/>
  <c r="HK63"/>
  <c r="HJ63"/>
  <c r="P183" i="73"/>
  <c r="O183"/>
  <c r="W16" i="68"/>
  <c r="V16"/>
  <c r="U16"/>
  <c r="GH58" i="77"/>
  <c r="GG58"/>
  <c r="P14" i="72"/>
  <c r="O14"/>
  <c r="GG244" i="77"/>
  <c r="O244" i="72" s="1"/>
  <c r="GH244" i="77"/>
  <c r="P244" i="72" s="1"/>
  <c r="GN247" i="77"/>
  <c r="V250" i="72" s="1"/>
  <c r="GO247" i="77"/>
  <c r="W250" i="72" s="1"/>
  <c r="GM247" i="77"/>
  <c r="U250" i="72" s="1"/>
  <c r="GO239" i="77"/>
  <c r="W245" i="72" s="1"/>
  <c r="GN239" i="77"/>
  <c r="V245" i="72" s="1"/>
  <c r="GM239" i="77"/>
  <c r="U245" i="72" s="1"/>
  <c r="Z137" i="71"/>
  <c r="BC54" i="77"/>
  <c r="Z54" i="65" s="1"/>
  <c r="Z15" i="69"/>
  <c r="HU58" i="77"/>
  <c r="Z58" i="73" s="1"/>
  <c r="DC55" i="77"/>
  <c r="T55" i="69" s="1"/>
  <c r="T11"/>
  <c r="DC33" i="77"/>
  <c r="T33" i="69" s="1"/>
  <c r="DC39" i="77"/>
  <c r="T39" i="69" s="1"/>
  <c r="BZ52" i="77"/>
  <c r="BZ50"/>
  <c r="T50" i="68" s="1"/>
  <c r="T151"/>
  <c r="BZ239" i="77"/>
  <c r="BZ439"/>
  <c r="T439" i="68" s="1"/>
  <c r="T416"/>
  <c r="BZ457" i="77"/>
  <c r="CD358"/>
  <c r="FI65"/>
  <c r="T65" i="71" s="1"/>
  <c r="FI22" i="77"/>
  <c r="T22" i="71" s="1"/>
  <c r="FJ220" i="77"/>
  <c r="FI355"/>
  <c r="T355" i="71" s="1"/>
  <c r="DC227" i="77"/>
  <c r="T227" i="69" s="1"/>
  <c r="HO235" i="77"/>
  <c r="BZ57"/>
  <c r="T57" i="68" s="1"/>
  <c r="BZ257" i="77"/>
  <c r="T257" i="68" s="1"/>
  <c r="BZ355" i="77"/>
  <c r="T355" i="68" s="1"/>
  <c r="BZ423" i="77"/>
  <c r="T423" i="68" s="1"/>
  <c r="CX55" i="77"/>
  <c r="O55" i="69" s="1"/>
  <c r="CY55" i="77"/>
  <c r="CY49"/>
  <c r="CX49"/>
  <c r="CX28"/>
  <c r="CY28"/>
  <c r="CX248"/>
  <c r="O248" i="69" s="1"/>
  <c r="CY248" i="77"/>
  <c r="P248" i="69" s="1"/>
  <c r="CY39" i="77"/>
  <c r="P39" i="69" s="1"/>
  <c r="CX39" i="77"/>
  <c r="O39" i="69" s="1"/>
  <c r="CY84" i="77"/>
  <c r="P84" i="69" s="1"/>
  <c r="CX84" i="77"/>
  <c r="O84" i="69" s="1"/>
  <c r="CX437" i="77"/>
  <c r="CY437"/>
  <c r="CY83"/>
  <c r="P83" i="69" s="1"/>
  <c r="CX83" i="77"/>
  <c r="O83" i="69" s="1"/>
  <c r="O114"/>
  <c r="P114"/>
  <c r="HR224" i="77"/>
  <c r="HQ224"/>
  <c r="BV52"/>
  <c r="P52" i="68" s="1"/>
  <c r="BU52" i="77"/>
  <c r="O253" i="68"/>
  <c r="P253"/>
  <c r="BU239" i="77"/>
  <c r="BV239"/>
  <c r="BV430"/>
  <c r="BU430"/>
  <c r="BU409"/>
  <c r="BV409"/>
  <c r="CB448"/>
  <c r="CC448"/>
  <c r="W448" i="68" s="1"/>
  <c r="CC402" i="77"/>
  <c r="W402" i="68" s="1"/>
  <c r="CB402" i="77"/>
  <c r="V402" i="68" s="1"/>
  <c r="CB22" i="77"/>
  <c r="CC22"/>
  <c r="W22" i="68" s="1"/>
  <c r="W286"/>
  <c r="V286"/>
  <c r="GH23" i="77"/>
  <c r="GG23"/>
  <c r="GM23"/>
  <c r="U23" i="72" s="1"/>
  <c r="GO82" i="77"/>
  <c r="W80" i="72" s="1"/>
  <c r="GN82" i="77"/>
  <c r="V80" i="72" s="1"/>
  <c r="GN95" i="77"/>
  <c r="GO95"/>
  <c r="GN359"/>
  <c r="GO359"/>
  <c r="V100" i="72"/>
  <c r="W124"/>
  <c r="V124"/>
  <c r="GN389" i="77"/>
  <c r="GO389"/>
  <c r="GO93"/>
  <c r="GN93"/>
  <c r="FD65"/>
  <c r="FE65"/>
  <c r="FD22"/>
  <c r="FE22"/>
  <c r="FD40"/>
  <c r="FE40"/>
  <c r="FK405"/>
  <c r="FL405"/>
  <c r="U61" i="69"/>
  <c r="CX227" i="77"/>
  <c r="O227" i="69" s="1"/>
  <c r="CY227" i="77"/>
  <c r="P227" i="69" s="1"/>
  <c r="CX54" i="77"/>
  <c r="O54" i="69" s="1"/>
  <c r="CY54" i="77"/>
  <c r="P131" i="69"/>
  <c r="O131"/>
  <c r="P137"/>
  <c r="O137"/>
  <c r="CY368" i="77"/>
  <c r="CX368"/>
  <c r="CY426"/>
  <c r="CX426"/>
  <c r="CY429"/>
  <c r="CX429"/>
  <c r="DE237"/>
  <c r="DF237"/>
  <c r="DD237"/>
  <c r="BU30"/>
  <c r="BV30"/>
  <c r="BU233"/>
  <c r="O233" i="68" s="1"/>
  <c r="BV233" i="77"/>
  <c r="P233" i="68" s="1"/>
  <c r="BU257" i="77"/>
  <c r="BV257"/>
  <c r="BV220"/>
  <c r="BU220"/>
  <c r="BV434"/>
  <c r="BU434"/>
  <c r="BV462"/>
  <c r="BU462"/>
  <c r="P411" i="68"/>
  <c r="O411"/>
  <c r="GO32" i="77"/>
  <c r="W32" i="72" s="1"/>
  <c r="GN32" i="77"/>
  <c r="V32" i="72" s="1"/>
  <c r="GM32" i="77"/>
  <c r="U32" i="72" s="1"/>
  <c r="GO408" i="77"/>
  <c r="W408" i="72" s="1"/>
  <c r="GN408" i="77"/>
  <c r="V408" i="72" s="1"/>
  <c r="GM408" i="77"/>
  <c r="U408" i="72" s="1"/>
  <c r="Z162" i="65"/>
  <c r="T114" i="68"/>
  <c r="T169" i="69"/>
  <c r="DC438" i="77"/>
  <c r="DD438" s="1"/>
  <c r="T162" i="68"/>
  <c r="BZ84" i="77"/>
  <c r="T84" i="68" s="1"/>
  <c r="CD228" i="77"/>
  <c r="GP405"/>
  <c r="GS405" s="1"/>
  <c r="FI72"/>
  <c r="FI64"/>
  <c r="CD444"/>
  <c r="CG444" s="1"/>
  <c r="DE69"/>
  <c r="V69" i="69" s="1"/>
  <c r="DF69" i="77"/>
  <c r="W69" i="69" s="1"/>
  <c r="O180"/>
  <c r="P180"/>
  <c r="CY85" i="77"/>
  <c r="P85" i="69" s="1"/>
  <c r="CX85" i="77"/>
  <c r="O85" i="69" s="1"/>
  <c r="CX422" i="77"/>
  <c r="CY422"/>
  <c r="CX457"/>
  <c r="CY457"/>
  <c r="DE38"/>
  <c r="V38" i="69" s="1"/>
  <c r="DF38" i="77"/>
  <c r="W38" i="69" s="1"/>
  <c r="DF65" i="77"/>
  <c r="W65" i="69" s="1"/>
  <c r="DE65" i="77"/>
  <c r="V65" i="69" s="1"/>
  <c r="O251" i="73"/>
  <c r="P251"/>
  <c r="U150"/>
  <c r="U124"/>
  <c r="W11"/>
  <c r="V11"/>
  <c r="V206"/>
  <c r="W206"/>
  <c r="HQ244" i="77"/>
  <c r="HR244"/>
  <c r="HR425"/>
  <c r="HQ425"/>
  <c r="HQ408"/>
  <c r="V408" i="73" s="1"/>
  <c r="HR408" i="77"/>
  <c r="W408" i="73" s="1"/>
  <c r="BU24" i="77"/>
  <c r="BV24"/>
  <c r="BU248"/>
  <c r="BV248"/>
  <c r="O214" i="68"/>
  <c r="P214"/>
  <c r="O81"/>
  <c r="P81"/>
  <c r="V125"/>
  <c r="W125"/>
  <c r="BU439" i="77"/>
  <c r="O439" i="68" s="1"/>
  <c r="BV439" i="77"/>
  <c r="P439" i="68" s="1"/>
  <c r="CC357" i="77"/>
  <c r="W357" i="68" s="1"/>
  <c r="CB357" i="77"/>
  <c r="V357" i="68" s="1"/>
  <c r="GH36" i="77"/>
  <c r="GG36"/>
  <c r="GO352"/>
  <c r="W352" i="72" s="1"/>
  <c r="GN352" i="77"/>
  <c r="V352" i="72" s="1"/>
  <c r="GO26" i="77"/>
  <c r="W26" i="72" s="1"/>
  <c r="GN26" i="77"/>
  <c r="V26" i="72" s="1"/>
  <c r="GN57" i="77"/>
  <c r="V57" i="72" s="1"/>
  <c r="GO57" i="77"/>
  <c r="W57" i="72" s="1"/>
  <c r="GO420" i="77"/>
  <c r="W420" i="72" s="1"/>
  <c r="GN420" i="77"/>
  <c r="V420" i="72" s="1"/>
  <c r="GO423" i="77"/>
  <c r="W423" i="72" s="1"/>
  <c r="GN423" i="77"/>
  <c r="V423" i="72" s="1"/>
  <c r="FD64" i="77"/>
  <c r="FE64"/>
  <c r="U128" i="71"/>
  <c r="FE355" i="77"/>
  <c r="FD355"/>
  <c r="FK402"/>
  <c r="V402" i="71" s="1"/>
  <c r="FL402" i="77"/>
  <c r="W402" i="71" s="1"/>
  <c r="FL234" i="77"/>
  <c r="FK234"/>
  <c r="FK378"/>
  <c r="FL378"/>
  <c r="V421" i="71"/>
  <c r="W421"/>
  <c r="V416"/>
  <c r="W416"/>
  <c r="W206"/>
  <c r="V206"/>
  <c r="FK28" i="77"/>
  <c r="V28" i="71" s="1"/>
  <c r="FL28" i="77"/>
  <c r="W28" i="71" s="1"/>
  <c r="FK23" i="77"/>
  <c r="V23" i="71" s="1"/>
  <c r="FL23" i="77"/>
  <c r="W23" i="71" s="1"/>
  <c r="W146"/>
  <c r="HQ455" i="77"/>
  <c r="V455" i="73" s="1"/>
  <c r="HR455" i="77"/>
  <c r="W455" i="73" s="1"/>
  <c r="HP455" i="77"/>
  <c r="U455" i="73" s="1"/>
  <c r="CC226" i="77"/>
  <c r="CB226"/>
  <c r="CA226"/>
  <c r="GO90"/>
  <c r="GN90"/>
  <c r="GM90"/>
  <c r="U92" i="72" s="1"/>
  <c r="V199"/>
  <c r="W199"/>
  <c r="U199"/>
  <c r="DC442" i="77"/>
  <c r="DC400"/>
  <c r="T400" i="69" s="1"/>
  <c r="HO232" i="77"/>
  <c r="T232" i="73" s="1"/>
  <c r="HS226" i="77"/>
  <c r="HS228"/>
  <c r="BZ39"/>
  <c r="BZ86"/>
  <c r="T86" i="68" s="1"/>
  <c r="FM235" i="77"/>
  <c r="FI57"/>
  <c r="T57" i="71" s="1"/>
  <c r="DC29" i="77"/>
  <c r="CX33"/>
  <c r="CY33"/>
  <c r="CX232"/>
  <c r="O232" i="69" s="1"/>
  <c r="CY232" i="77"/>
  <c r="P232" i="69" s="1"/>
  <c r="CX238" i="77"/>
  <c r="O238" i="69" s="1"/>
  <c r="CY238" i="77"/>
  <c r="P238" i="69" s="1"/>
  <c r="CX220" i="77"/>
  <c r="CY220"/>
  <c r="CX367"/>
  <c r="CY367"/>
  <c r="CX400"/>
  <c r="O400" i="69" s="1"/>
  <c r="CY400" i="77"/>
  <c r="HK67"/>
  <c r="HP67"/>
  <c r="U67" i="73" s="1"/>
  <c r="HJ67" i="77"/>
  <c r="HK232"/>
  <c r="HJ232"/>
  <c r="O232" i="73" s="1"/>
  <c r="HR352" i="77"/>
  <c r="W352" i="73" s="1"/>
  <c r="HQ352" i="77"/>
  <c r="V352" i="73" s="1"/>
  <c r="HQ448" i="77"/>
  <c r="HR448"/>
  <c r="W448" i="73" s="1"/>
  <c r="HR85" i="77"/>
  <c r="HQ85"/>
  <c r="BV37"/>
  <c r="BU37"/>
  <c r="BU50"/>
  <c r="BV50"/>
  <c r="BU227"/>
  <c r="O227" i="68" s="1"/>
  <c r="BV227" i="77"/>
  <c r="P227" i="68" s="1"/>
  <c r="BV425" i="77"/>
  <c r="BU425"/>
  <c r="BU457"/>
  <c r="BV457"/>
  <c r="CB67"/>
  <c r="V67" i="68" s="1"/>
  <c r="CC67" i="77"/>
  <c r="W67" i="68" s="1"/>
  <c r="CC34" i="77"/>
  <c r="W34" i="68" s="1"/>
  <c r="CB34" i="77"/>
  <c r="V34" i="68" s="1"/>
  <c r="CC256" i="77"/>
  <c r="W256" i="68" s="1"/>
  <c r="CB256" i="77"/>
  <c r="V256" i="68" s="1"/>
  <c r="GH426" i="77"/>
  <c r="GG426"/>
  <c r="GO358"/>
  <c r="W358" i="72" s="1"/>
  <c r="GN358" i="77"/>
  <c r="V358" i="72" s="1"/>
  <c r="GN237" i="77"/>
  <c r="GO237"/>
  <c r="GN253"/>
  <c r="GO253"/>
  <c r="W254" i="72" s="1"/>
  <c r="GO353" i="77"/>
  <c r="W353" i="72" s="1"/>
  <c r="GN353" i="77"/>
  <c r="V353" i="72" s="1"/>
  <c r="FK246" i="77"/>
  <c r="V249" i="71" s="1"/>
  <c r="FL246" i="77"/>
  <c r="W249" i="71" s="1"/>
  <c r="FD220" i="77"/>
  <c r="FK220" s="1"/>
  <c r="FE220"/>
  <c r="FL220" s="1"/>
  <c r="CX29"/>
  <c r="CY29"/>
  <c r="CY242"/>
  <c r="CX242"/>
  <c r="O199" i="69"/>
  <c r="P199"/>
  <c r="CY90" i="77"/>
  <c r="P90" i="69" s="1"/>
  <c r="CX90" i="77"/>
  <c r="O90" i="69" s="1"/>
  <c r="CX373" i="77"/>
  <c r="O373" i="69" s="1"/>
  <c r="CY373" i="77"/>
  <c r="P373" i="69" s="1"/>
  <c r="O147"/>
  <c r="P147"/>
  <c r="CY443" i="77"/>
  <c r="CX443"/>
  <c r="DD462"/>
  <c r="U462" i="69" s="1"/>
  <c r="CY462" i="77"/>
  <c r="CX462"/>
  <c r="BV53"/>
  <c r="P53" i="68" s="1"/>
  <c r="BU53" i="77"/>
  <c r="O53" i="68" s="1"/>
  <c r="BU57" i="77"/>
  <c r="BV57"/>
  <c r="P19" i="68"/>
  <c r="BV26" i="77"/>
  <c r="BU26"/>
  <c r="BU47"/>
  <c r="O47" i="68" s="1"/>
  <c r="BV47" i="77"/>
  <c r="P47" i="68" s="1"/>
  <c r="BV367" i="77"/>
  <c r="BU367"/>
  <c r="BU423"/>
  <c r="BV423"/>
  <c r="CB62"/>
  <c r="V62" i="68" s="1"/>
  <c r="CC62" i="77"/>
  <c r="W62" i="68" s="1"/>
  <c r="CA62" i="77"/>
  <c r="U62" i="68" s="1"/>
  <c r="GO60" i="77"/>
  <c r="W60" i="72" s="1"/>
  <c r="GN60" i="77"/>
  <c r="V60" i="72" s="1"/>
  <c r="GM60" i="77"/>
  <c r="U60" i="72" s="1"/>
  <c r="W421"/>
  <c r="V421"/>
  <c r="U421"/>
  <c r="FD37" i="77"/>
  <c r="FE37"/>
  <c r="FD58"/>
  <c r="FE58"/>
  <c r="DC96"/>
  <c r="BZ352"/>
  <c r="T352" i="68" s="1"/>
  <c r="DF22" i="77"/>
  <c r="W22" i="69" s="1"/>
  <c r="DE22" i="77"/>
  <c r="V22" i="69" s="1"/>
  <c r="HK235" i="77"/>
  <c r="P235" i="73" s="1"/>
  <c r="HJ235" i="77"/>
  <c r="O235" i="73" s="1"/>
  <c r="P162"/>
  <c r="O162"/>
  <c r="HK389" i="77"/>
  <c r="HJ389"/>
  <c r="HR434"/>
  <c r="W434" i="73" s="1"/>
  <c r="HQ434" i="77"/>
  <c r="V434" i="73" s="1"/>
  <c r="HR436" i="77"/>
  <c r="W436" i="73" s="1"/>
  <c r="HQ436" i="77"/>
  <c r="V436" i="73" s="1"/>
  <c r="HR357" i="77"/>
  <c r="W357" i="73" s="1"/>
  <c r="HQ357" i="77"/>
  <c r="V357" i="73" s="1"/>
  <c r="HR88" i="77"/>
  <c r="HQ88"/>
  <c r="HR23"/>
  <c r="W23" i="73" s="1"/>
  <c r="HQ23" i="77"/>
  <c r="V23" i="73" s="1"/>
  <c r="V131"/>
  <c r="HQ92" i="77"/>
  <c r="HR92"/>
  <c r="W94" i="73" s="1"/>
  <c r="HQ65" i="77"/>
  <c r="HR65"/>
  <c r="W65" i="73" s="1"/>
  <c r="V147"/>
  <c r="W147"/>
  <c r="HQ426" i="77"/>
  <c r="V426" i="73" s="1"/>
  <c r="HR426" i="77"/>
  <c r="W426" i="73" s="1"/>
  <c r="P169" i="68"/>
  <c r="O169"/>
  <c r="BV355" i="77"/>
  <c r="BU355"/>
  <c r="V12" i="68"/>
  <c r="W12"/>
  <c r="CB83" i="77"/>
  <c r="CC83"/>
  <c r="CC369"/>
  <c r="CB369"/>
  <c r="CB42"/>
  <c r="V42" i="68" s="1"/>
  <c r="CC42" i="77"/>
  <c r="W42" i="68" s="1"/>
  <c r="W17"/>
  <c r="V17"/>
  <c r="CC380" i="77"/>
  <c r="W380" i="68" s="1"/>
  <c r="CB380" i="77"/>
  <c r="V380" i="68" s="1"/>
  <c r="GO92" i="77"/>
  <c r="W94" i="72" s="1"/>
  <c r="GN92" i="77"/>
  <c r="V94" i="72" s="1"/>
  <c r="V123"/>
  <c r="W123"/>
  <c r="GO224" i="77"/>
  <c r="GN224"/>
  <c r="V211" i="72"/>
  <c r="W211"/>
  <c r="FE93" i="77"/>
  <c r="P93" i="71" s="1"/>
  <c r="FD93" i="77"/>
  <c r="O93" i="71" s="1"/>
  <c r="FL369" i="77"/>
  <c r="FK369"/>
  <c r="FL86"/>
  <c r="FK86"/>
  <c r="W17" i="71"/>
  <c r="V17"/>
  <c r="FK357" i="77"/>
  <c r="V357" i="71" s="1"/>
  <c r="FL357" i="77"/>
  <c r="W357" i="71" s="1"/>
  <c r="AR57" i="77"/>
  <c r="AS57"/>
  <c r="P13" i="65"/>
  <c r="O13"/>
  <c r="AR407" i="77"/>
  <c r="O407" i="65" s="1"/>
  <c r="AS407" i="77"/>
  <c r="P407" i="65" s="1"/>
  <c r="W17"/>
  <c r="V17"/>
  <c r="CY235" i="77"/>
  <c r="P235" i="69" s="1"/>
  <c r="CX235" i="77"/>
  <c r="O235" i="69" s="1"/>
  <c r="CY247" i="77"/>
  <c r="P247" i="69" s="1"/>
  <c r="CX247" i="77"/>
  <c r="O247" i="69" s="1"/>
  <c r="CY200" i="77"/>
  <c r="CX200"/>
  <c r="CY370"/>
  <c r="CX370"/>
  <c r="CY420"/>
  <c r="CX420"/>
  <c r="CX408"/>
  <c r="CY408"/>
  <c r="DF26"/>
  <c r="W26" i="69" s="1"/>
  <c r="DE26" i="77"/>
  <c r="V26" i="69" s="1"/>
  <c r="DE40" i="77"/>
  <c r="V40" i="69" s="1"/>
  <c r="DF40" i="77"/>
  <c r="W40" i="69" s="1"/>
  <c r="V211"/>
  <c r="DE434" i="77"/>
  <c r="V434" i="69" s="1"/>
  <c r="DF434" i="77"/>
  <c r="W434" i="69" s="1"/>
  <c r="HJ236" i="77"/>
  <c r="O236" i="73" s="1"/>
  <c r="HK236" i="77"/>
  <c r="P236" i="73" s="1"/>
  <c r="HK353" i="77"/>
  <c r="HJ353"/>
  <c r="HR29"/>
  <c r="W29" i="73" s="1"/>
  <c r="HQ29" i="77"/>
  <c r="V29" i="73" s="1"/>
  <c r="HR83" i="77"/>
  <c r="HQ83"/>
  <c r="HR402"/>
  <c r="W402" i="73" s="1"/>
  <c r="HQ402" i="77"/>
  <c r="V402" i="73" s="1"/>
  <c r="HR248" i="77"/>
  <c r="HQ248"/>
  <c r="HQ82"/>
  <c r="V80" i="73" s="1"/>
  <c r="HR82" i="77"/>
  <c r="W80" i="73" s="1"/>
  <c r="W126"/>
  <c r="V126"/>
  <c r="V12"/>
  <c r="W12"/>
  <c r="W123"/>
  <c r="V123"/>
  <c r="HQ28" i="77"/>
  <c r="V28" i="73" s="1"/>
  <c r="HR28" i="77"/>
  <c r="W28" i="73" s="1"/>
  <c r="V98"/>
  <c r="W98"/>
  <c r="HR435" i="77"/>
  <c r="W435" i="73" s="1"/>
  <c r="HQ435" i="77"/>
  <c r="V435" i="73" s="1"/>
  <c r="HQ457" i="77"/>
  <c r="V457" i="73" s="1"/>
  <c r="HR457" i="77"/>
  <c r="W457" i="73" s="1"/>
  <c r="BU55" i="77"/>
  <c r="O55" i="68" s="1"/>
  <c r="BV55" i="77"/>
  <c r="BU242"/>
  <c r="O242" i="68" s="1"/>
  <c r="BV242" i="77"/>
  <c r="P242" i="68" s="1"/>
  <c r="BV235" i="77"/>
  <c r="P235" i="68" s="1"/>
  <c r="BU235" i="77"/>
  <c r="O235" i="68" s="1"/>
  <c r="BV54" i="77"/>
  <c r="BU54"/>
  <c r="O137" i="68"/>
  <c r="P137"/>
  <c r="CC69" i="77"/>
  <c r="W69" i="68" s="1"/>
  <c r="CB69" i="77"/>
  <c r="V69" i="68" s="1"/>
  <c r="GO402" i="77"/>
  <c r="W402" i="72" s="1"/>
  <c r="GN402" i="77"/>
  <c r="V402" i="72" s="1"/>
  <c r="GN204" i="77"/>
  <c r="GO204"/>
  <c r="W209" i="72" s="1"/>
  <c r="GN62" i="77"/>
  <c r="V62" i="72" s="1"/>
  <c r="GO62" i="77"/>
  <c r="W62" i="72" s="1"/>
  <c r="GO388" i="77"/>
  <c r="GN388"/>
  <c r="GN374"/>
  <c r="V374" i="72" s="1"/>
  <c r="GO374" i="77"/>
  <c r="W374" i="72" s="1"/>
  <c r="O71" i="71"/>
  <c r="P71"/>
  <c r="FE57" i="77"/>
  <c r="FD57"/>
  <c r="FE92"/>
  <c r="P92" i="71" s="1"/>
  <c r="FD92" i="77"/>
  <c r="O92" i="71" s="1"/>
  <c r="FK248" i="77"/>
  <c r="FL248"/>
  <c r="FL422"/>
  <c r="W422" i="71" s="1"/>
  <c r="FK422" i="77"/>
  <c r="V422" i="71" s="1"/>
  <c r="FK62" i="77"/>
  <c r="V62" i="71" s="1"/>
  <c r="FL62" i="77"/>
  <c r="W62" i="71" s="1"/>
  <c r="FK204" i="77"/>
  <c r="FL204"/>
  <c r="FK26"/>
  <c r="V26" i="71" s="1"/>
  <c r="FL26" i="77"/>
  <c r="W26" i="71" s="1"/>
  <c r="FK242" i="77"/>
  <c r="FL242"/>
  <c r="CX53"/>
  <c r="CY53"/>
  <c r="CY256"/>
  <c r="CX256"/>
  <c r="P162" i="69"/>
  <c r="O162"/>
  <c r="CX205" i="77"/>
  <c r="O205" i="69" s="1"/>
  <c r="CY205" i="77"/>
  <c r="P205" i="69" s="1"/>
  <c r="CY436" i="77"/>
  <c r="CX436"/>
  <c r="U125" i="69"/>
  <c r="V16"/>
  <c r="W16"/>
  <c r="HJ69" i="77"/>
  <c r="O69" i="73" s="1"/>
  <c r="HK69" i="77"/>
  <c r="P69" i="73" s="1"/>
  <c r="BU49" i="77"/>
  <c r="O49" i="68" s="1"/>
  <c r="BV49" i="77"/>
  <c r="P49" i="68" s="1"/>
  <c r="P138"/>
  <c r="O138"/>
  <c r="O361"/>
  <c r="P361"/>
  <c r="BV428" i="77"/>
  <c r="BU428"/>
  <c r="BV407"/>
  <c r="BU407"/>
  <c r="CB63"/>
  <c r="V63" i="68" s="1"/>
  <c r="CC63" i="77"/>
  <c r="W63" i="68" s="1"/>
  <c r="CC59" i="77"/>
  <c r="W59" i="68" s="1"/>
  <c r="CB59" i="77"/>
  <c r="V59" i="68" s="1"/>
  <c r="GH33" i="77"/>
  <c r="GG33"/>
  <c r="GN369"/>
  <c r="GO369"/>
  <c r="GO86"/>
  <c r="GN86"/>
  <c r="GN83"/>
  <c r="GO83"/>
  <c r="FE256"/>
  <c r="FD256"/>
  <c r="O145" i="71"/>
  <c r="P145"/>
  <c r="FK239" i="77"/>
  <c r="FL239"/>
  <c r="AS246"/>
  <c r="AR246"/>
  <c r="O211" i="65"/>
  <c r="P211"/>
  <c r="AS84" i="77"/>
  <c r="P84" i="65" s="1"/>
  <c r="AR84" i="77"/>
  <c r="O84" i="65" s="1"/>
  <c r="P365"/>
  <c r="O365"/>
  <c r="W19"/>
  <c r="V19"/>
  <c r="V151"/>
  <c r="W151"/>
  <c r="EA28" i="77"/>
  <c r="EB28"/>
  <c r="EA30"/>
  <c r="EB30"/>
  <c r="O169" i="70"/>
  <c r="P169"/>
  <c r="EA370" i="77"/>
  <c r="O370" i="70" s="1"/>
  <c r="EB370" i="77"/>
  <c r="P370" i="70" s="1"/>
  <c r="EB442" i="77"/>
  <c r="EA442"/>
  <c r="EI95"/>
  <c r="EH95"/>
  <c r="EH67"/>
  <c r="V67" i="70" s="1"/>
  <c r="EI67" i="77"/>
  <c r="W67" i="70" s="1"/>
  <c r="EH22" i="77"/>
  <c r="V22" i="70" s="1"/>
  <c r="EI22" i="77"/>
  <c r="W22" i="70" s="1"/>
  <c r="IN69" i="77"/>
  <c r="IM69"/>
  <c r="W416" i="74"/>
  <c r="V416"/>
  <c r="IU40" i="77"/>
  <c r="W40" i="74" s="1"/>
  <c r="IT40" i="77"/>
  <c r="V40" i="74" s="1"/>
  <c r="IT429" i="77"/>
  <c r="V429" i="74" s="1"/>
  <c r="IU429" i="77"/>
  <c r="W429" i="74" s="1"/>
  <c r="EA357" i="77"/>
  <c r="EB357"/>
  <c r="P114" i="70"/>
  <c r="O114"/>
  <c r="EA406" i="77"/>
  <c r="O406" i="70" s="1"/>
  <c r="EB406" i="77"/>
  <c r="P406" i="70" s="1"/>
  <c r="EH37" i="77"/>
  <c r="V37" i="70" s="1"/>
  <c r="EI37" i="77"/>
  <c r="W37" i="70" s="1"/>
  <c r="W415"/>
  <c r="V415"/>
  <c r="EI253" i="77"/>
  <c r="W253" i="70" s="1"/>
  <c r="EH253" i="77"/>
  <c r="EH232"/>
  <c r="EI232"/>
  <c r="EH408"/>
  <c r="V408" i="70" s="1"/>
  <c r="EI408" i="77"/>
  <c r="W408" i="70" s="1"/>
  <c r="EH256" i="77"/>
  <c r="V256" i="70" s="1"/>
  <c r="EI256" i="77"/>
  <c r="W256" i="70" s="1"/>
  <c r="V415" i="74"/>
  <c r="W415"/>
  <c r="IU244" i="77"/>
  <c r="IT244"/>
  <c r="IU355"/>
  <c r="W355" i="74" s="1"/>
  <c r="IT355" i="77"/>
  <c r="V355" i="74" s="1"/>
  <c r="IT359" i="77"/>
  <c r="IU359"/>
  <c r="V79" i="74"/>
  <c r="IT57" i="77"/>
  <c r="V57" i="74" s="1"/>
  <c r="IU57" i="77"/>
  <c r="W57" i="74" s="1"/>
  <c r="V461"/>
  <c r="W461"/>
  <c r="FL63" i="77"/>
  <c r="W63" i="71" s="1"/>
  <c r="FK63" i="77"/>
  <c r="V63" i="71" s="1"/>
  <c r="W207"/>
  <c r="FL434" i="77"/>
  <c r="W434" i="71" s="1"/>
  <c r="FK434" i="77"/>
  <c r="V434" i="71" s="1"/>
  <c r="FK408" i="77"/>
  <c r="V408" i="71" s="1"/>
  <c r="FL408" i="77"/>
  <c r="W408" i="71" s="1"/>
  <c r="FL359" i="77"/>
  <c r="FK359"/>
  <c r="AZ67"/>
  <c r="W67" i="65" s="1"/>
  <c r="AY67" i="77"/>
  <c r="V67" i="65" s="1"/>
  <c r="AS200" i="77"/>
  <c r="AR200"/>
  <c r="O208" i="65" s="1"/>
  <c r="AR95" i="77"/>
  <c r="AS95"/>
  <c r="P441" i="65"/>
  <c r="O441"/>
  <c r="AR369" i="77"/>
  <c r="AS369"/>
  <c r="AR425"/>
  <c r="AS425"/>
  <c r="P416" i="65"/>
  <c r="O416"/>
  <c r="AZ239" i="77"/>
  <c r="AY239"/>
  <c r="AY30"/>
  <c r="V30" i="65" s="1"/>
  <c r="AZ30" i="77"/>
  <c r="W30" i="65" s="1"/>
  <c r="AY205" i="77"/>
  <c r="AZ205"/>
  <c r="EA457"/>
  <c r="EB457"/>
  <c r="EH352"/>
  <c r="V352" i="70" s="1"/>
  <c r="EI352" i="77"/>
  <c r="W352" i="70" s="1"/>
  <c r="W150"/>
  <c r="V150"/>
  <c r="EH224" i="77"/>
  <c r="EI224"/>
  <c r="O148" i="74"/>
  <c r="P148"/>
  <c r="IU238" i="77"/>
  <c r="IT238"/>
  <c r="IT85"/>
  <c r="IU85"/>
  <c r="V11" i="74"/>
  <c r="W11"/>
  <c r="W215"/>
  <c r="V215"/>
  <c r="IT30" i="77"/>
  <c r="V30" i="74" s="1"/>
  <c r="IU30" i="77"/>
  <c r="W30" i="74" s="1"/>
  <c r="IU388" i="77"/>
  <c r="IT388"/>
  <c r="AS388"/>
  <c r="AR388"/>
  <c r="AR426"/>
  <c r="O426" i="65" s="1"/>
  <c r="AS426" i="77"/>
  <c r="P426" i="65" s="1"/>
  <c r="AS455" i="77"/>
  <c r="AR455"/>
  <c r="AZ238"/>
  <c r="AY238"/>
  <c r="EB242"/>
  <c r="P242" i="70" s="1"/>
  <c r="EA242" i="77"/>
  <c r="O242" i="70" s="1"/>
  <c r="EB88" i="77"/>
  <c r="P88" i="70" s="1"/>
  <c r="EA88" i="77"/>
  <c r="O88" i="70" s="1"/>
  <c r="EA404" i="77"/>
  <c r="O404" i="70" s="1"/>
  <c r="EB404" i="77"/>
  <c r="P404" i="70" s="1"/>
  <c r="EB405" i="77"/>
  <c r="EA405"/>
  <c r="EB423"/>
  <c r="EA423"/>
  <c r="EH407"/>
  <c r="V407" i="70" s="1"/>
  <c r="EI407" i="77"/>
  <c r="W407" i="70" s="1"/>
  <c r="EH435" i="77"/>
  <c r="V435" i="70" s="1"/>
  <c r="EI435" i="77"/>
  <c r="W435" i="70" s="1"/>
  <c r="V17"/>
  <c r="W17"/>
  <c r="V124" i="74"/>
  <c r="W124"/>
  <c r="IU42" i="77"/>
  <c r="W42" i="74" s="1"/>
  <c r="IT42" i="77"/>
  <c r="V42" i="74" s="1"/>
  <c r="IU239" i="77"/>
  <c r="IT239"/>
  <c r="IU88"/>
  <c r="IT88"/>
  <c r="IU28"/>
  <c r="W28" i="74" s="1"/>
  <c r="IT28" i="77"/>
  <c r="V28" i="74" s="1"/>
  <c r="IU26" i="77"/>
  <c r="W26" i="74" s="1"/>
  <c r="IT26" i="77"/>
  <c r="V26" i="74" s="1"/>
  <c r="IT200" i="77"/>
  <c r="V208" i="74" s="1"/>
  <c r="IU200" i="77"/>
  <c r="W208" i="74" s="1"/>
  <c r="IU242" i="77"/>
  <c r="IT242"/>
  <c r="IT257"/>
  <c r="V257" i="74" s="1"/>
  <c r="IU257" i="77"/>
  <c r="W257" i="74" s="1"/>
  <c r="IT408" i="77"/>
  <c r="V408" i="74" s="1"/>
  <c r="IU408" i="77"/>
  <c r="W408" i="74" s="1"/>
  <c r="BZ53" i="77"/>
  <c r="BZ47"/>
  <c r="T123" i="68"/>
  <c r="AW28" i="77"/>
  <c r="T28" i="65" s="1"/>
  <c r="AW234" i="77"/>
  <c r="AW359"/>
  <c r="AW437"/>
  <c r="AX437" s="1"/>
  <c r="T16" i="70"/>
  <c r="EF389" i="77"/>
  <c r="EG389" s="1"/>
  <c r="DG405"/>
  <c r="DJ405" s="1"/>
  <c r="BZ44"/>
  <c r="BZ432"/>
  <c r="CA432" s="1"/>
  <c r="T415" i="68"/>
  <c r="GP220" i="77"/>
  <c r="GS220" s="1"/>
  <c r="FI66"/>
  <c r="T66" i="71" s="1"/>
  <c r="FM228" i="77"/>
  <c r="T98" i="69"/>
  <c r="DC355" i="77"/>
  <c r="T355" i="69" s="1"/>
  <c r="HS233" i="77"/>
  <c r="HV233" s="1"/>
  <c r="T51" i="68"/>
  <c r="FI73" i="77"/>
  <c r="T73" i="71" s="1"/>
  <c r="FM444" i="77"/>
  <c r="FP444" s="1"/>
  <c r="AW62"/>
  <c r="T62" i="65" s="1"/>
  <c r="AW443" i="77"/>
  <c r="T443" i="65" s="1"/>
  <c r="BA233" i="77"/>
  <c r="IV442"/>
  <c r="IY442" s="1"/>
  <c r="AW237"/>
  <c r="AX237" s="1"/>
  <c r="AW434"/>
  <c r="T434" i="65" s="1"/>
  <c r="EF249" i="77"/>
  <c r="T252" i="70" s="1"/>
  <c r="AW226" i="77"/>
  <c r="T226" i="65" s="1"/>
  <c r="T11"/>
  <c r="AW204" i="77"/>
  <c r="T209" i="65" s="1"/>
  <c r="T376"/>
  <c r="EF33" i="77"/>
  <c r="T33" i="70" s="1"/>
  <c r="IV405" i="77"/>
  <c r="IY405" s="1"/>
  <c r="GG42"/>
  <c r="O42" i="72" s="1"/>
  <c r="GH42" i="77"/>
  <c r="P42" i="72" s="1"/>
  <c r="W416"/>
  <c r="V416"/>
  <c r="GO436" i="77"/>
  <c r="W436" i="72" s="1"/>
  <c r="GN436" i="77"/>
  <c r="V436" i="72" s="1"/>
  <c r="GO443" i="77"/>
  <c r="W443" i="72" s="1"/>
  <c r="GN443" i="77"/>
  <c r="V443" i="72" s="1"/>
  <c r="V79"/>
  <c r="GO24" i="77"/>
  <c r="W24" i="72" s="1"/>
  <c r="GN24" i="77"/>
  <c r="V24" i="72" s="1"/>
  <c r="GN30" i="77"/>
  <c r="V30" i="72" s="1"/>
  <c r="GO30" i="77"/>
  <c r="W30" i="72" s="1"/>
  <c r="GN48" i="77"/>
  <c r="V48" i="72" s="1"/>
  <c r="GO48" i="77"/>
  <c r="W48" i="72" s="1"/>
  <c r="GN256" i="77"/>
  <c r="V256" i="72" s="1"/>
  <c r="GO256" i="77"/>
  <c r="W256" i="72" s="1"/>
  <c r="GN409" i="77"/>
  <c r="V409" i="72" s="1"/>
  <c r="GO409" i="77"/>
  <c r="W409" i="72" s="1"/>
  <c r="FD67" i="77"/>
  <c r="O67" i="71" s="1"/>
  <c r="FE67" i="77"/>
  <c r="P67" i="71" s="1"/>
  <c r="U12"/>
  <c r="FD82" i="77"/>
  <c r="O82" i="71" s="1"/>
  <c r="FE82" i="77"/>
  <c r="P82" i="71" s="1"/>
  <c r="FK29" i="77"/>
  <c r="V29" i="71" s="1"/>
  <c r="FL29" i="77"/>
  <c r="W29" i="71" s="1"/>
  <c r="FK244" i="77"/>
  <c r="FL244"/>
  <c r="FL435"/>
  <c r="W435" i="71" s="1"/>
  <c r="FK435" i="77"/>
  <c r="V435" i="71" s="1"/>
  <c r="AS439" i="77"/>
  <c r="P439" i="65" s="1"/>
  <c r="AR439" i="77"/>
  <c r="O439" i="65" s="1"/>
  <c r="AZ92" i="77"/>
  <c r="W94" i="65" s="1"/>
  <c r="AY92" i="77"/>
  <c r="V94" i="65" s="1"/>
  <c r="AZ253" i="77"/>
  <c r="AY253"/>
  <c r="V254" i="65" s="1"/>
  <c r="AZ33" i="77"/>
  <c r="W33" i="65" s="1"/>
  <c r="AY33" i="77"/>
  <c r="V33" i="65" s="1"/>
  <c r="V16"/>
  <c r="W16"/>
  <c r="V21"/>
  <c r="W21"/>
  <c r="AZ70" i="77"/>
  <c r="W70" i="65" s="1"/>
  <c r="AY70" i="77"/>
  <c r="V70" i="65" s="1"/>
  <c r="AZ256" i="77"/>
  <c r="W256" i="65" s="1"/>
  <c r="AY256" i="77"/>
  <c r="V256" i="65" s="1"/>
  <c r="EB257" i="77"/>
  <c r="EA257"/>
  <c r="O197" i="70"/>
  <c r="P197"/>
  <c r="U206"/>
  <c r="EB227" i="77"/>
  <c r="P227" i="70" s="1"/>
  <c r="EG227" i="77"/>
  <c r="EA227"/>
  <c r="O227" i="70" s="1"/>
  <c r="P16"/>
  <c r="EB368" i="77"/>
  <c r="EA368"/>
  <c r="EB429"/>
  <c r="EA429"/>
  <c r="EB389"/>
  <c r="EA389"/>
  <c r="CY62"/>
  <c r="CX62"/>
  <c r="CY228"/>
  <c r="P228" i="69" s="1"/>
  <c r="CX228" i="77"/>
  <c r="O228" i="69" s="1"/>
  <c r="CX204" i="77"/>
  <c r="O204" i="69" s="1"/>
  <c r="CY204" i="77"/>
  <c r="P204" i="69" s="1"/>
  <c r="CX253" i="77"/>
  <c r="O254" i="69" s="1"/>
  <c r="CY253" i="77"/>
  <c r="P254" i="69" s="1"/>
  <c r="CY95" i="77"/>
  <c r="P95" i="69" s="1"/>
  <c r="CX95" i="77"/>
  <c r="O95" i="69" s="1"/>
  <c r="CY374" i="77"/>
  <c r="CX374"/>
  <c r="CY444"/>
  <c r="CX444"/>
  <c r="CX357"/>
  <c r="CY357"/>
  <c r="CX353"/>
  <c r="O353" i="69" s="1"/>
  <c r="CY353" i="77"/>
  <c r="P353" i="69" s="1"/>
  <c r="O431"/>
  <c r="P361"/>
  <c r="O361"/>
  <c r="CY430" i="77"/>
  <c r="CX430"/>
  <c r="CY404"/>
  <c r="CX404"/>
  <c r="HK237"/>
  <c r="HR237" s="1"/>
  <c r="HP237"/>
  <c r="HJ237"/>
  <c r="HQ237" s="1"/>
  <c r="CC33"/>
  <c r="W33" i="68" s="1"/>
  <c r="CB33" i="77"/>
  <c r="V33" i="68" s="1"/>
  <c r="BV360" i="77"/>
  <c r="P360" i="68" s="1"/>
  <c r="BU360" i="77"/>
  <c r="O360" i="68" s="1"/>
  <c r="O148"/>
  <c r="P148"/>
  <c r="P183"/>
  <c r="O183"/>
  <c r="BV438" i="77"/>
  <c r="BU438"/>
  <c r="CB438" s="1"/>
  <c r="CC359"/>
  <c r="CB359"/>
  <c r="CB442"/>
  <c r="V442" i="68" s="1"/>
  <c r="CC442" i="77"/>
  <c r="W442" i="68" s="1"/>
  <c r="CB234" i="77"/>
  <c r="CC234"/>
  <c r="CC236"/>
  <c r="CB236"/>
  <c r="CB85"/>
  <c r="CC85"/>
  <c r="CC58"/>
  <c r="W58" i="68" s="1"/>
  <c r="CB58" i="77"/>
  <c r="V58" i="68" s="1"/>
  <c r="GG65" i="77"/>
  <c r="GH65"/>
  <c r="GG38"/>
  <c r="GH38"/>
  <c r="GO238"/>
  <c r="GN238"/>
  <c r="GN360"/>
  <c r="GO360"/>
  <c r="GN70"/>
  <c r="V70" i="72" s="1"/>
  <c r="GO70" i="77"/>
  <c r="W70" i="72" s="1"/>
  <c r="FE253" i="77"/>
  <c r="FD253"/>
  <c r="FD233"/>
  <c r="O233" i="71" s="1"/>
  <c r="FE233" i="77"/>
  <c r="P233" i="71" s="1"/>
  <c r="FE96" i="77"/>
  <c r="P96" i="71" s="1"/>
  <c r="FD96" i="77"/>
  <c r="O96" i="71" s="1"/>
  <c r="FL407" i="77"/>
  <c r="W407" i="71" s="1"/>
  <c r="FK407" i="77"/>
  <c r="V407" i="71" s="1"/>
  <c r="CX66" i="77"/>
  <c r="CY66"/>
  <c r="CX68"/>
  <c r="O68" i="69" s="1"/>
  <c r="CY68" i="77"/>
  <c r="P68" i="69" s="1"/>
  <c r="P206"/>
  <c r="O206"/>
  <c r="CY23" i="77"/>
  <c r="CX23"/>
  <c r="CY257"/>
  <c r="CX257"/>
  <c r="CY82"/>
  <c r="CX82"/>
  <c r="DD432"/>
  <c r="CY432"/>
  <c r="DF432" s="1"/>
  <c r="CX432"/>
  <c r="DE432" s="1"/>
  <c r="CY423"/>
  <c r="CX423"/>
  <c r="CX455"/>
  <c r="CY455"/>
  <c r="CY449"/>
  <c r="CX449"/>
  <c r="W19" i="69"/>
  <c r="V19"/>
  <c r="DF92" i="77"/>
  <c r="DE92"/>
  <c r="DF389"/>
  <c r="DE389"/>
  <c r="V12" i="69"/>
  <c r="W12"/>
  <c r="DF24" i="77"/>
  <c r="W24" i="69" s="1"/>
  <c r="DE24" i="77"/>
  <c r="V24" i="69" s="1"/>
  <c r="DE388" i="77"/>
  <c r="DF388"/>
  <c r="HK38"/>
  <c r="HJ38"/>
  <c r="HK24"/>
  <c r="HJ24"/>
  <c r="HK247"/>
  <c r="P247" i="73" s="1"/>
  <c r="HJ247" i="77"/>
  <c r="O247" i="73" s="1"/>
  <c r="O138"/>
  <c r="P138"/>
  <c r="U151"/>
  <c r="HK358" i="77"/>
  <c r="P358" i="73" s="1"/>
  <c r="HJ358" i="77"/>
  <c r="O358" i="73" s="1"/>
  <c r="HR95" i="77"/>
  <c r="HQ95"/>
  <c r="HR355"/>
  <c r="W355" i="73" s="1"/>
  <c r="HQ355" i="77"/>
  <c r="V355" i="73" s="1"/>
  <c r="V100"/>
  <c r="W100"/>
  <c r="W21"/>
  <c r="V21"/>
  <c r="HR60" i="77"/>
  <c r="W60" i="73" s="1"/>
  <c r="HQ60" i="77"/>
  <c r="V60" i="73" s="1"/>
  <c r="HQ32" i="77"/>
  <c r="V32" i="73" s="1"/>
  <c r="HR32" i="77"/>
  <c r="W32" i="73" s="1"/>
  <c r="HR360" i="77"/>
  <c r="HQ360"/>
  <c r="BU64"/>
  <c r="BV64"/>
  <c r="BV46"/>
  <c r="P46" i="68" s="1"/>
  <c r="BU46" i="77"/>
  <c r="O46" i="68" s="1"/>
  <c r="BU245" i="77"/>
  <c r="BV245"/>
  <c r="BU435"/>
  <c r="BV435"/>
  <c r="BV400"/>
  <c r="P400" i="68" s="1"/>
  <c r="BU400" i="77"/>
  <c r="O400" i="68" s="1"/>
  <c r="CC36" i="77"/>
  <c r="W36" i="68" s="1"/>
  <c r="CB36" i="77"/>
  <c r="V36" i="68" s="1"/>
  <c r="CB244" i="77"/>
  <c r="CC244"/>
  <c r="P17" i="72"/>
  <c r="O17"/>
  <c r="GN84" i="77"/>
  <c r="GO84"/>
  <c r="V125" i="72"/>
  <c r="W125"/>
  <c r="W19"/>
  <c r="V19"/>
  <c r="GN242" i="77"/>
  <c r="GO242"/>
  <c r="GO425"/>
  <c r="GN425"/>
  <c r="FD38"/>
  <c r="O38" i="71" s="1"/>
  <c r="FE38" i="77"/>
  <c r="P38" i="71" s="1"/>
  <c r="FE50" i="77"/>
  <c r="P50" i="71" s="1"/>
  <c r="FD50" i="77"/>
  <c r="O50" i="71" s="1"/>
  <c r="W461"/>
  <c r="V461"/>
  <c r="AS249" i="77"/>
  <c r="AR249"/>
  <c r="AS85"/>
  <c r="AR85"/>
  <c r="AR378"/>
  <c r="AS378"/>
  <c r="O182" i="65"/>
  <c r="P182"/>
  <c r="AR88" i="77"/>
  <c r="O88" i="65" s="1"/>
  <c r="AS88" i="77"/>
  <c r="P88" i="65" s="1"/>
  <c r="AS462" i="77"/>
  <c r="AR462"/>
  <c r="W79" i="65"/>
  <c r="AZ24" i="77"/>
  <c r="W24" i="65" s="1"/>
  <c r="AY24" i="77"/>
  <c r="V24" i="65" s="1"/>
  <c r="AY248" i="77"/>
  <c r="AZ248"/>
  <c r="EA59"/>
  <c r="EB59"/>
  <c r="O286" i="70"/>
  <c r="P286"/>
  <c r="EA90" i="77"/>
  <c r="EB90"/>
  <c r="EA402"/>
  <c r="EB402"/>
  <c r="W11" i="70"/>
  <c r="V11"/>
  <c r="EI69" i="77"/>
  <c r="W69" i="70" s="1"/>
  <c r="EH69" i="77"/>
  <c r="V69" i="70" s="1"/>
  <c r="V286" i="74"/>
  <c r="W286"/>
  <c r="W126"/>
  <c r="V126"/>
  <c r="W123"/>
  <c r="V123"/>
  <c r="IT246" i="77"/>
  <c r="V249" i="74" s="1"/>
  <c r="IU246" i="77"/>
  <c r="W249" i="74" s="1"/>
  <c r="FK32" i="77"/>
  <c r="V32" i="71" s="1"/>
  <c r="FL32" i="77"/>
  <c r="W32" i="71" s="1"/>
  <c r="FK374" i="77"/>
  <c r="V374" i="71" s="1"/>
  <c r="FL374" i="77"/>
  <c r="W374" i="71" s="1"/>
  <c r="FL448" i="77"/>
  <c r="W448" i="71" s="1"/>
  <c r="FK448" i="77"/>
  <c r="V448" i="71" s="1"/>
  <c r="EH239" i="77"/>
  <c r="EI239"/>
  <c r="W245" i="70" s="1"/>
  <c r="IN93" i="77"/>
  <c r="P93" i="74" s="1"/>
  <c r="IM93" i="77"/>
  <c r="O93" i="74" s="1"/>
  <c r="V199"/>
  <c r="W199"/>
  <c r="IT23" i="77"/>
  <c r="V23" i="74" s="1"/>
  <c r="IU23" i="77"/>
  <c r="W23" i="74" s="1"/>
  <c r="IU256" i="77"/>
  <c r="W256" i="74" s="1"/>
  <c r="IT256" i="77"/>
  <c r="V256" i="74" s="1"/>
  <c r="V365"/>
  <c r="W365"/>
  <c r="AR42" i="77"/>
  <c r="AS42"/>
  <c r="AR228"/>
  <c r="O228" i="65" s="1"/>
  <c r="AS228" i="77"/>
  <c r="P228" i="65" s="1"/>
  <c r="AR373" i="77"/>
  <c r="AS373"/>
  <c r="AR444"/>
  <c r="AS444"/>
  <c r="AY242"/>
  <c r="AZ242"/>
  <c r="AZ420"/>
  <c r="W420" i="65" s="1"/>
  <c r="AY420" i="77"/>
  <c r="V420" i="65" s="1"/>
  <c r="W150"/>
  <c r="V150"/>
  <c r="AZ353" i="77"/>
  <c r="W353" i="65" s="1"/>
  <c r="AY353" i="77"/>
  <c r="V353" i="65" s="1"/>
  <c r="EB26" i="77"/>
  <c r="EA26"/>
  <c r="EB234"/>
  <c r="P234" i="70" s="1"/>
  <c r="EA234" i="77"/>
  <c r="O234" i="70" s="1"/>
  <c r="EA249" i="77"/>
  <c r="O252" i="70" s="1"/>
  <c r="EB249" i="77"/>
  <c r="EA360"/>
  <c r="O360" i="70" s="1"/>
  <c r="EB360" i="77"/>
  <c r="P360" i="70" s="1"/>
  <c r="EG360" i="77"/>
  <c r="EA422"/>
  <c r="EB422"/>
  <c r="EB409"/>
  <c r="EA409"/>
  <c r="EI40"/>
  <c r="W40" i="70" s="1"/>
  <c r="EH40" i="77"/>
  <c r="V40" i="70" s="1"/>
  <c r="EI82" i="77"/>
  <c r="W80" i="70" s="1"/>
  <c r="EH82" i="77"/>
  <c r="V80" i="70" s="1"/>
  <c r="IU360" i="77"/>
  <c r="IT360"/>
  <c r="V98" i="74"/>
  <c r="W98"/>
  <c r="IT96" i="77"/>
  <c r="V97" i="74" s="1"/>
  <c r="IU96" i="77"/>
  <c r="W97" i="74" s="1"/>
  <c r="IT439" i="77"/>
  <c r="V439" i="74" s="1"/>
  <c r="IU439" i="77"/>
  <c r="W439" i="74" s="1"/>
  <c r="IU29" i="77"/>
  <c r="W29" i="74" s="1"/>
  <c r="IT29" i="77"/>
  <c r="V29" i="74" s="1"/>
  <c r="IU204" i="77"/>
  <c r="W209" i="74" s="1"/>
  <c r="IT204" i="77"/>
  <c r="V209" i="74" s="1"/>
  <c r="FK85" i="77"/>
  <c r="FL85"/>
  <c r="FL36"/>
  <c r="W36" i="71" s="1"/>
  <c r="FK36" i="77"/>
  <c r="V36" i="71" s="1"/>
  <c r="AR26" i="77"/>
  <c r="AS26"/>
  <c r="AR36"/>
  <c r="AS36"/>
  <c r="AS244"/>
  <c r="P244" i="65" s="1"/>
  <c r="AR244" i="77"/>
  <c r="O244" i="65" s="1"/>
  <c r="AS204" i="77"/>
  <c r="AR204"/>
  <c r="AR442"/>
  <c r="O442" i="65" s="1"/>
  <c r="AS442" i="77"/>
  <c r="P442" i="65" s="1"/>
  <c r="AS406" i="77"/>
  <c r="AR406"/>
  <c r="AS405"/>
  <c r="AR405"/>
  <c r="AZ224"/>
  <c r="AY224"/>
  <c r="EA255"/>
  <c r="EB255"/>
  <c r="EB437"/>
  <c r="EI437" s="1"/>
  <c r="EA437"/>
  <c r="EH437" s="1"/>
  <c r="EB86"/>
  <c r="P86" i="70" s="1"/>
  <c r="EA86" i="77"/>
  <c r="O86" i="70" s="1"/>
  <c r="EI355" i="77"/>
  <c r="W355" i="70" s="1"/>
  <c r="EH355" i="77"/>
  <c r="V355" i="70" s="1"/>
  <c r="IT90" i="77"/>
  <c r="IU90"/>
  <c r="IU36"/>
  <c r="W36" i="74" s="1"/>
  <c r="IT36" i="77"/>
  <c r="V36" i="74" s="1"/>
  <c r="IU426" i="77"/>
  <c r="W426" i="74" s="1"/>
  <c r="IT426" i="77"/>
  <c r="V426" i="74" s="1"/>
  <c r="GP228" i="77"/>
  <c r="T18" i="65"/>
  <c r="AW407" i="77"/>
  <c r="T93" i="65"/>
  <c r="FI50" i="77"/>
  <c r="DC370"/>
  <c r="T370" i="69" s="1"/>
  <c r="T206" i="68"/>
  <c r="GP437" i="77"/>
  <c r="GS437" s="1"/>
  <c r="GP233"/>
  <c r="GS233" s="1"/>
  <c r="AW83"/>
  <c r="BA220"/>
  <c r="BD220" s="1"/>
  <c r="EJ205"/>
  <c r="EM205" s="1"/>
  <c r="EJ235"/>
  <c r="IV423"/>
  <c r="IY423" s="1"/>
  <c r="IS200"/>
  <c r="IS242"/>
  <c r="U242" i="74" s="1"/>
  <c r="IS257" i="77"/>
  <c r="IS408"/>
  <c r="CX32"/>
  <c r="CY32"/>
  <c r="CY239"/>
  <c r="P239" i="69" s="1"/>
  <c r="CX239" i="77"/>
  <c r="O239" i="69" s="1"/>
  <c r="CX352" i="77"/>
  <c r="CY352"/>
  <c r="CY96"/>
  <c r="CX96"/>
  <c r="CY427"/>
  <c r="CX427"/>
  <c r="CY402"/>
  <c r="CX402"/>
  <c r="DE88"/>
  <c r="DF88"/>
  <c r="DF233"/>
  <c r="DE233"/>
  <c r="DF67"/>
  <c r="W67" i="69" s="1"/>
  <c r="DE67" i="77"/>
  <c r="V67" i="69" s="1"/>
  <c r="DF70" i="77"/>
  <c r="W70" i="69" s="1"/>
  <c r="DE70" i="77"/>
  <c r="V70" i="69" s="1"/>
  <c r="DE86" i="77"/>
  <c r="DF86"/>
  <c r="HK256"/>
  <c r="HJ256"/>
  <c r="HK380"/>
  <c r="P380" i="73" s="1"/>
  <c r="HJ380" i="77"/>
  <c r="O380" i="73" s="1"/>
  <c r="HP388" i="77"/>
  <c r="HK388"/>
  <c r="HR388" s="1"/>
  <c r="HJ388"/>
  <c r="HQ388" s="1"/>
  <c r="HQ369"/>
  <c r="HR369"/>
  <c r="HQ37"/>
  <c r="V37" i="73" s="1"/>
  <c r="HR37" i="77"/>
  <c r="W37" i="73" s="1"/>
  <c r="HR93" i="77"/>
  <c r="HQ93"/>
  <c r="W16" i="73"/>
  <c r="V16"/>
  <c r="HQ36" i="77"/>
  <c r="V36" i="73" s="1"/>
  <c r="HR36" i="77"/>
  <c r="W36" i="73" s="1"/>
  <c r="W128"/>
  <c r="HR200" i="77"/>
  <c r="HQ200"/>
  <c r="V208" i="73" s="1"/>
  <c r="HQ30" i="77"/>
  <c r="V30" i="73" s="1"/>
  <c r="HR30" i="77"/>
  <c r="W30" i="73" s="1"/>
  <c r="V286"/>
  <c r="W286"/>
  <c r="HQ409" i="77"/>
  <c r="V409" i="73" s="1"/>
  <c r="HR409" i="77"/>
  <c r="W409" i="73" s="1"/>
  <c r="HR374" i="77"/>
  <c r="W374" i="73" s="1"/>
  <c r="HQ374" i="77"/>
  <c r="V374" i="73" s="1"/>
  <c r="BU40" i="77"/>
  <c r="BV40"/>
  <c r="BU238"/>
  <c r="O238" i="68" s="1"/>
  <c r="BV238" i="77"/>
  <c r="P238" i="68" s="1"/>
  <c r="O131"/>
  <c r="P131"/>
  <c r="BU82" i="77"/>
  <c r="BV82"/>
  <c r="BV352"/>
  <c r="BU352"/>
  <c r="BV429"/>
  <c r="BU429"/>
  <c r="BV90"/>
  <c r="BU90"/>
  <c r="BV408"/>
  <c r="BU408"/>
  <c r="W376" i="68"/>
  <c r="CB253" i="77"/>
  <c r="CC253"/>
  <c r="W213" i="68"/>
  <c r="CB426" i="77"/>
  <c r="V426" i="68" s="1"/>
  <c r="CC426" i="77"/>
  <c r="W426" i="68" s="1"/>
  <c r="GM427" i="77"/>
  <c r="U427" i="72" s="1"/>
  <c r="GH427" i="77"/>
  <c r="GG427"/>
  <c r="GN357"/>
  <c r="V357" i="72" s="1"/>
  <c r="GO357" i="77"/>
  <c r="W357" i="72" s="1"/>
  <c r="GN407" i="77"/>
  <c r="V407" i="72" s="1"/>
  <c r="GO407" i="77"/>
  <c r="W407" i="72" s="1"/>
  <c r="GN96" i="77"/>
  <c r="V97" i="72" s="1"/>
  <c r="GO96" i="77"/>
  <c r="W97" i="72" s="1"/>
  <c r="GO236" i="77"/>
  <c r="GN236"/>
  <c r="FE68"/>
  <c r="FD68"/>
  <c r="FD224"/>
  <c r="FE224"/>
  <c r="O131" i="71"/>
  <c r="P131"/>
  <c r="FL88" i="77"/>
  <c r="FK88"/>
  <c r="FK84"/>
  <c r="FL84"/>
  <c r="FK420"/>
  <c r="V420" i="71" s="1"/>
  <c r="FL420" i="77"/>
  <c r="W420" i="71" s="1"/>
  <c r="V415"/>
  <c r="W415"/>
  <c r="AR28" i="77"/>
  <c r="AS28"/>
  <c r="P18" i="65"/>
  <c r="AR234" i="77"/>
  <c r="O234" i="65" s="1"/>
  <c r="AS234" i="77"/>
  <c r="P234" i="65" s="1"/>
  <c r="AR359" i="77"/>
  <c r="O359" i="65" s="1"/>
  <c r="AS359" i="77"/>
  <c r="P359" i="65" s="1"/>
  <c r="AR380" i="77"/>
  <c r="O380" i="65" s="1"/>
  <c r="AS380" i="77"/>
  <c r="P380" i="65" s="1"/>
  <c r="AS437" i="77"/>
  <c r="AR437"/>
  <c r="EA63"/>
  <c r="EB63"/>
  <c r="EA248"/>
  <c r="O248" i="70" s="1"/>
  <c r="EG248" i="77"/>
  <c r="EB248"/>
  <c r="P248" i="70" s="1"/>
  <c r="U126"/>
  <c r="CY63" i="77"/>
  <c r="CX63"/>
  <c r="CY46"/>
  <c r="CX46"/>
  <c r="CY36"/>
  <c r="CX36"/>
  <c r="U153" i="69"/>
  <c r="CX226" i="77"/>
  <c r="O226" i="69" s="1"/>
  <c r="CY226" i="77"/>
  <c r="P226" i="69" s="1"/>
  <c r="O112"/>
  <c r="P112"/>
  <c r="CX428" i="77"/>
  <c r="CY428"/>
  <c r="DD428"/>
  <c r="U428" i="69" s="1"/>
  <c r="CY448" i="77"/>
  <c r="CX448"/>
  <c r="W17" i="69"/>
  <c r="V17"/>
  <c r="W21"/>
  <c r="V21"/>
  <c r="W286"/>
  <c r="V286"/>
  <c r="DE42" i="77"/>
  <c r="V42" i="69" s="1"/>
  <c r="DF42" i="77"/>
  <c r="W42" i="69" s="1"/>
  <c r="DF425" i="77"/>
  <c r="DE425"/>
  <c r="HJ239"/>
  <c r="O239" i="73" s="1"/>
  <c r="HK239" i="77"/>
  <c r="P239" i="73" s="1"/>
  <c r="HP239" i="77"/>
  <c r="P112" i="73"/>
  <c r="O112"/>
  <c r="W416"/>
  <c r="V416"/>
  <c r="HQ33" i="77"/>
  <c r="V33" i="73" s="1"/>
  <c r="HR33" i="77"/>
  <c r="W33" i="73" s="1"/>
  <c r="HR462" i="77"/>
  <c r="W462" i="73" s="1"/>
  <c r="HQ462" i="77"/>
  <c r="V462" i="73" s="1"/>
  <c r="HQ84" i="77"/>
  <c r="HR84"/>
  <c r="HQ220"/>
  <c r="HR220"/>
  <c r="HQ90"/>
  <c r="HR90"/>
  <c r="HQ246"/>
  <c r="HR246"/>
  <c r="HR22"/>
  <c r="W22" i="73" s="1"/>
  <c r="HQ22" i="77"/>
  <c r="V22" i="73" s="1"/>
  <c r="W61"/>
  <c r="V61"/>
  <c r="HR257" i="77"/>
  <c r="W257" i="73" s="1"/>
  <c r="HQ257" i="77"/>
  <c r="V257" i="73" s="1"/>
  <c r="HQ423" i="77"/>
  <c r="V423" i="73" s="1"/>
  <c r="HR423" i="77"/>
  <c r="W423" i="73" s="1"/>
  <c r="BU48" i="77"/>
  <c r="BV48"/>
  <c r="CA48"/>
  <c r="U48" i="68" s="1"/>
  <c r="BV200" i="77"/>
  <c r="P200" i="68" s="1"/>
  <c r="BU200" i="77"/>
  <c r="O200" i="68" s="1"/>
  <c r="BU95" i="77"/>
  <c r="BV95"/>
  <c r="BV88"/>
  <c r="P88" i="68" s="1"/>
  <c r="BU88" i="77"/>
  <c r="O88" i="68" s="1"/>
  <c r="BV92" i="77"/>
  <c r="BU92"/>
  <c r="CC65"/>
  <c r="W65" i="68" s="1"/>
  <c r="CB65" i="77"/>
  <c r="V65" i="68" s="1"/>
  <c r="U21" i="72"/>
  <c r="GN246" i="77"/>
  <c r="V249" i="72" s="1"/>
  <c r="GO246" i="77"/>
  <c r="W249" i="72" s="1"/>
  <c r="W147"/>
  <c r="V147"/>
  <c r="GN59" i="77"/>
  <c r="V59" i="72" s="1"/>
  <c r="GO59" i="77"/>
  <c r="W59" i="72" s="1"/>
  <c r="GN69" i="77"/>
  <c r="V69" i="72" s="1"/>
  <c r="GO69" i="77"/>
  <c r="W69" i="72" s="1"/>
  <c r="GN200" i="77"/>
  <c r="V208" i="72" s="1"/>
  <c r="GO200" i="77"/>
  <c r="W208" i="72" s="1"/>
  <c r="GN28" i="77"/>
  <c r="V28" i="72" s="1"/>
  <c r="GO28" i="77"/>
  <c r="W28" i="72" s="1"/>
  <c r="GO378" i="77"/>
  <c r="GN378"/>
  <c r="FD70"/>
  <c r="FE70"/>
  <c r="FE66"/>
  <c r="FD66"/>
  <c r="FD245"/>
  <c r="O245" i="71" s="1"/>
  <c r="FE245" i="77"/>
  <c r="P245" i="71" s="1"/>
  <c r="FE352" i="77"/>
  <c r="FD352"/>
  <c r="W16" i="71"/>
  <c r="V16"/>
  <c r="FK95" i="77"/>
  <c r="FL95"/>
  <c r="W21" i="71"/>
  <c r="V21"/>
  <c r="W213"/>
  <c r="V213"/>
  <c r="FL34" i="77"/>
  <c r="W34" i="71" s="1"/>
  <c r="FK34" i="77"/>
  <c r="V34" i="71" s="1"/>
  <c r="CY44" i="77"/>
  <c r="CX44"/>
  <c r="CY236"/>
  <c r="P236" i="69" s="1"/>
  <c r="CX236" i="77"/>
  <c r="O236" i="69" s="1"/>
  <c r="CX246" i="77"/>
  <c r="CY246"/>
  <c r="CX355"/>
  <c r="CY355"/>
  <c r="CY359"/>
  <c r="P359" i="69" s="1"/>
  <c r="CX359" i="77"/>
  <c r="O359" i="69" s="1"/>
  <c r="CX435" i="77"/>
  <c r="CY435"/>
  <c r="DE59"/>
  <c r="V59" i="69" s="1"/>
  <c r="DF59" i="77"/>
  <c r="W59" i="69" s="1"/>
  <c r="HJ42" i="77"/>
  <c r="HK42"/>
  <c r="HJ205"/>
  <c r="O205" i="73" s="1"/>
  <c r="HK205" i="77"/>
  <c r="P205" i="73" s="1"/>
  <c r="HK443" i="77"/>
  <c r="HJ443"/>
  <c r="HR96"/>
  <c r="W97" i="73" s="1"/>
  <c r="HQ96" i="77"/>
  <c r="V97" i="73" s="1"/>
  <c r="V415"/>
  <c r="W415"/>
  <c r="BU29" i="77"/>
  <c r="BV29"/>
  <c r="BU205"/>
  <c r="O205" i="68" s="1"/>
  <c r="BV205" i="77"/>
  <c r="P205" i="68" s="1"/>
  <c r="BU224" i="77"/>
  <c r="BV224"/>
  <c r="BU232"/>
  <c r="O232" i="68" s="1"/>
  <c r="BV232" i="77"/>
  <c r="P232" i="68" s="1"/>
  <c r="BU455" i="77"/>
  <c r="BV455"/>
  <c r="CC28"/>
  <c r="W28" i="68" s="1"/>
  <c r="CB28" i="77"/>
  <c r="V28" i="68" s="1"/>
  <c r="CC23" i="77"/>
  <c r="W23" i="68" s="1"/>
  <c r="CB23" i="77"/>
  <c r="V23" i="68" s="1"/>
  <c r="W365" i="72"/>
  <c r="GN29" i="77"/>
  <c r="V29" i="72" s="1"/>
  <c r="GO29" i="77"/>
  <c r="W29" i="72" s="1"/>
  <c r="GN235" i="77"/>
  <c r="GO235"/>
  <c r="GN429"/>
  <c r="V429" i="72" s="1"/>
  <c r="GO429" i="77"/>
  <c r="W429" i="72" s="1"/>
  <c r="GO439" i="77"/>
  <c r="W439" i="72" s="1"/>
  <c r="GN439" i="77"/>
  <c r="V439" i="72" s="1"/>
  <c r="GN40" i="77"/>
  <c r="V40" i="72" s="1"/>
  <c r="GO40" i="77"/>
  <c r="W40" i="72" s="1"/>
  <c r="GO34" i="77"/>
  <c r="W34" i="72" s="1"/>
  <c r="GN34" i="77"/>
  <c r="V34" i="72" s="1"/>
  <c r="FE73" i="77"/>
  <c r="FD73"/>
  <c r="FD59"/>
  <c r="FE59"/>
  <c r="FK90"/>
  <c r="FL90"/>
  <c r="FL33"/>
  <c r="W33" i="71" s="1"/>
  <c r="FK33" i="77"/>
  <c r="V33" i="71" s="1"/>
  <c r="V13"/>
  <c r="W13"/>
  <c r="AR62" i="77"/>
  <c r="O62" i="65" s="1"/>
  <c r="AS62" i="77"/>
  <c r="AR389"/>
  <c r="AS389"/>
  <c r="AS443"/>
  <c r="AR443"/>
  <c r="AS436"/>
  <c r="AR436"/>
  <c r="AR408"/>
  <c r="O408" i="65" s="1"/>
  <c r="AS408" i="77"/>
  <c r="P408" i="65" s="1"/>
  <c r="AZ422" i="77"/>
  <c r="W422" i="65" s="1"/>
  <c r="AY422" i="77"/>
  <c r="V422" i="65" s="1"/>
  <c r="AY82" i="77"/>
  <c r="V80" i="65" s="1"/>
  <c r="AZ82" i="77"/>
  <c r="W80" i="65" s="1"/>
  <c r="AZ60" i="77"/>
  <c r="W60" i="65" s="1"/>
  <c r="AY60" i="77"/>
  <c r="V60" i="65" s="1"/>
  <c r="AY63" i="77"/>
  <c r="V63" i="65" s="1"/>
  <c r="AZ63" i="77"/>
  <c r="W63" i="65" s="1"/>
  <c r="EB70" i="77"/>
  <c r="EA70"/>
  <c r="EB226"/>
  <c r="P226" i="70" s="1"/>
  <c r="EA226" i="77"/>
  <c r="O226" i="70" s="1"/>
  <c r="EA436" i="77"/>
  <c r="EB436"/>
  <c r="EI247"/>
  <c r="EH247"/>
  <c r="EI42"/>
  <c r="W42" i="70" s="1"/>
  <c r="EH42" i="77"/>
  <c r="V124" i="70"/>
  <c r="W124"/>
  <c r="V100"/>
  <c r="V138"/>
  <c r="EI93" i="77"/>
  <c r="EH93"/>
  <c r="IT38"/>
  <c r="V38" i="74" s="1"/>
  <c r="IU38" i="77"/>
  <c r="W38" i="74" s="1"/>
  <c r="W206"/>
  <c r="FK60" i="77"/>
  <c r="V60" i="71" s="1"/>
  <c r="FL60" i="77"/>
  <c r="W60" i="71" s="1"/>
  <c r="EI84" i="77"/>
  <c r="EH84"/>
  <c r="EI233"/>
  <c r="EH233"/>
  <c r="W125" i="70"/>
  <c r="V125"/>
  <c r="EI92" i="77"/>
  <c r="EH92"/>
  <c r="EH96"/>
  <c r="EI96"/>
  <c r="EH65"/>
  <c r="V65" i="70" s="1"/>
  <c r="EI65" i="77"/>
  <c r="W65" i="70" s="1"/>
  <c r="W13"/>
  <c r="V13"/>
  <c r="EI58" i="77"/>
  <c r="W58" i="70" s="1"/>
  <c r="EH58" i="77"/>
  <c r="V58" i="70" s="1"/>
  <c r="EH462" i="77"/>
  <c r="V462" i="70" s="1"/>
  <c r="EI462" i="77"/>
  <c r="W462" i="70" s="1"/>
  <c r="IU357" i="77"/>
  <c r="W357" i="74" s="1"/>
  <c r="IT357" i="77"/>
  <c r="V357" i="74" s="1"/>
  <c r="IU84" i="77"/>
  <c r="IT84"/>
  <c r="IT237"/>
  <c r="IU237"/>
  <c r="IT63"/>
  <c r="V63" i="74" s="1"/>
  <c r="IU63" i="77"/>
  <c r="W63" i="74" s="1"/>
  <c r="IU353" i="77"/>
  <c r="W353" i="74" s="1"/>
  <c r="IT353" i="77"/>
  <c r="V353" i="74" s="1"/>
  <c r="IT248" i="77"/>
  <c r="V251" i="74" s="1"/>
  <c r="IU248" i="77"/>
  <c r="W251" i="74" s="1"/>
  <c r="FK358" i="77"/>
  <c r="V358" i="71" s="1"/>
  <c r="FL358" i="77"/>
  <c r="W358" i="71" s="1"/>
  <c r="FL360" i="77"/>
  <c r="FK360"/>
  <c r="FL439"/>
  <c r="W439" i="71" s="1"/>
  <c r="FK439" i="77"/>
  <c r="V439" i="71" s="1"/>
  <c r="AS237" i="77"/>
  <c r="AR237"/>
  <c r="AS435"/>
  <c r="AR435"/>
  <c r="AR402"/>
  <c r="AS402"/>
  <c r="AY38"/>
  <c r="AZ38"/>
  <c r="W38" i="65" s="1"/>
  <c r="AZ90" i="77"/>
  <c r="AY90"/>
  <c r="AZ29"/>
  <c r="W29" i="65" s="1"/>
  <c r="AY29" i="77"/>
  <c r="V29" i="65" s="1"/>
  <c r="EB32" i="77"/>
  <c r="EA32"/>
  <c r="EB237"/>
  <c r="EA237"/>
  <c r="EB430"/>
  <c r="EA430"/>
  <c r="EA449"/>
  <c r="EB449"/>
  <c r="V416" i="70"/>
  <c r="W416"/>
  <c r="EH439" i="77"/>
  <c r="V439" i="70" s="1"/>
  <c r="EI439" i="77"/>
  <c r="W439" i="70" s="1"/>
  <c r="V151"/>
  <c r="W151"/>
  <c r="EH24" i="77"/>
  <c r="V24" i="70" s="1"/>
  <c r="EI24" i="77"/>
  <c r="W24" i="70" s="1"/>
  <c r="IT82" i="77"/>
  <c r="V80" i="74" s="1"/>
  <c r="IU82" i="77"/>
  <c r="IU95"/>
  <c r="IT95"/>
  <c r="V150" i="74"/>
  <c r="W150"/>
  <c r="W146"/>
  <c r="V146"/>
  <c r="W128"/>
  <c r="IU22" i="77"/>
  <c r="W22" i="74" s="1"/>
  <c r="IT22" i="77"/>
  <c r="V22" i="74" s="1"/>
  <c r="IU380" i="77"/>
  <c r="W380" i="74" s="1"/>
  <c r="IT380" i="77"/>
  <c r="V380" i="74" s="1"/>
  <c r="IT425" i="77"/>
  <c r="IU425"/>
  <c r="V215" i="71"/>
  <c r="FL257" i="77"/>
  <c r="W257" i="71" s="1"/>
  <c r="FK257" i="77"/>
  <c r="V257" i="71" s="1"/>
  <c r="AR226" i="77"/>
  <c r="O226" i="65" s="1"/>
  <c r="AS226" i="77"/>
  <c r="P226" i="65" s="1"/>
  <c r="AS357" i="77"/>
  <c r="P357" i="65" s="1"/>
  <c r="AR357" i="77"/>
  <c r="O357" i="65" s="1"/>
  <c r="AS374" i="77"/>
  <c r="AR374"/>
  <c r="AY355"/>
  <c r="V355" i="65" s="1"/>
  <c r="AZ355" i="77"/>
  <c r="W355" i="65" s="1"/>
  <c r="W100"/>
  <c r="AZ37" i="77"/>
  <c r="W37" i="65" s="1"/>
  <c r="AY37" i="77"/>
  <c r="V37" i="65" s="1"/>
  <c r="AY69" i="77"/>
  <c r="V69" i="65" s="1"/>
  <c r="AZ69" i="77"/>
  <c r="W69" i="65" s="1"/>
  <c r="EA60" i="77"/>
  <c r="EB60"/>
  <c r="EB27"/>
  <c r="P27" i="70" s="1"/>
  <c r="EA27" i="77"/>
  <c r="O27" i="70" s="1"/>
  <c r="EA33" i="77"/>
  <c r="EB33"/>
  <c r="O361" i="70"/>
  <c r="P361"/>
  <c r="EG425" i="77"/>
  <c r="EA425"/>
  <c r="EB425"/>
  <c r="W128" i="70"/>
  <c r="V128"/>
  <c r="IM65" i="77"/>
  <c r="IN65"/>
  <c r="IS245"/>
  <c r="U248" i="74" s="1"/>
  <c r="IM245" i="77"/>
  <c r="O245" i="74" s="1"/>
  <c r="IN245" i="77"/>
  <c r="P245" i="74" s="1"/>
  <c r="IN92" i="77"/>
  <c r="P92" i="74" s="1"/>
  <c r="IM92" i="77"/>
  <c r="O92" i="74" s="1"/>
  <c r="W151"/>
  <c r="V151"/>
  <c r="IT247" i="77"/>
  <c r="V250" i="74" s="1"/>
  <c r="IU247" i="77"/>
  <c r="W250" i="74" s="1"/>
  <c r="IT226" i="77"/>
  <c r="IU226"/>
  <c r="IU253"/>
  <c r="W254" i="74" s="1"/>
  <c r="IT253" i="77"/>
  <c r="V254" i="74" s="1"/>
  <c r="IT402" i="77"/>
  <c r="V402" i="74" s="1"/>
  <c r="IU402" i="77"/>
  <c r="W402" i="74" s="1"/>
  <c r="IU48" i="77"/>
  <c r="W48" i="74" s="1"/>
  <c r="IT48" i="77"/>
  <c r="V48" i="74" s="1"/>
  <c r="IT70" i="77"/>
  <c r="V70" i="74" s="1"/>
  <c r="IU70" i="77"/>
  <c r="W70" i="74" s="1"/>
  <c r="W21"/>
  <c r="V21"/>
  <c r="IT420" i="77"/>
  <c r="V420" i="74" s="1"/>
  <c r="IU420" i="77"/>
  <c r="W420" i="74" s="1"/>
  <c r="IT34" i="77"/>
  <c r="V34" i="74" s="1"/>
  <c r="IU34" i="77"/>
  <c r="W34" i="74" s="1"/>
  <c r="IT83" i="77"/>
  <c r="IU83"/>
  <c r="IU462"/>
  <c r="W462" i="74" s="1"/>
  <c r="IT462" i="77"/>
  <c r="V462" i="74" s="1"/>
  <c r="DC20" i="77"/>
  <c r="DC373"/>
  <c r="CD437"/>
  <c r="CG437" s="1"/>
  <c r="GL42"/>
  <c r="GM436"/>
  <c r="GM443"/>
  <c r="GM24"/>
  <c r="U138" i="72"/>
  <c r="GM30" i="77"/>
  <c r="GM48"/>
  <c r="GM256"/>
  <c r="GM409"/>
  <c r="FI67"/>
  <c r="FJ29"/>
  <c r="FJ244"/>
  <c r="FJ435"/>
  <c r="AW32"/>
  <c r="T183" i="65"/>
  <c r="AW360" i="77"/>
  <c r="AW439"/>
  <c r="AX92"/>
  <c r="AX253"/>
  <c r="AX33"/>
  <c r="U131" i="65"/>
  <c r="AX70" i="77"/>
  <c r="AX256"/>
  <c r="T138" i="69"/>
  <c r="DC253" i="77"/>
  <c r="DC353"/>
  <c r="HS444"/>
  <c r="HV444" s="1"/>
  <c r="CA359"/>
  <c r="U359" i="68" s="1"/>
  <c r="CA442" i="77"/>
  <c r="CA234"/>
  <c r="U234" i="68" s="1"/>
  <c r="CA236" i="77"/>
  <c r="U236" i="68" s="1"/>
  <c r="CA85" i="77"/>
  <c r="U85" i="68" s="1"/>
  <c r="CA58" i="77"/>
  <c r="GP444"/>
  <c r="GS444" s="1"/>
  <c r="GM238"/>
  <c r="U238" i="72" s="1"/>
  <c r="U361"/>
  <c r="GM360" i="77"/>
  <c r="U360" i="72" s="1"/>
  <c r="FI253" i="77"/>
  <c r="T253" i="71" s="1"/>
  <c r="FM437" i="77"/>
  <c r="FP437" s="1"/>
  <c r="U169" i="71"/>
  <c r="FJ407" i="77"/>
  <c r="DC68"/>
  <c r="DD92"/>
  <c r="DD389"/>
  <c r="DD24"/>
  <c r="DD388"/>
  <c r="HP95"/>
  <c r="U95" i="73" s="1"/>
  <c r="U182"/>
  <c r="HP355" i="77"/>
  <c r="HP60"/>
  <c r="U170" i="73"/>
  <c r="HP32" i="77"/>
  <c r="HP360"/>
  <c r="U360" i="73" s="1"/>
  <c r="BZ49" i="77"/>
  <c r="BZ46"/>
  <c r="CA36"/>
  <c r="U181" i="68"/>
  <c r="GM84" i="77"/>
  <c r="U84" i="72" s="1"/>
  <c r="GM242" i="77"/>
  <c r="GM425"/>
  <c r="FI38"/>
  <c r="AW246"/>
  <c r="T246" i="65" s="1"/>
  <c r="T170"/>
  <c r="AW85" i="77"/>
  <c r="T85" i="65" s="1"/>
  <c r="AW378" i="77"/>
  <c r="T378" i="65" s="1"/>
  <c r="AX24" i="77"/>
  <c r="AX248"/>
  <c r="EF246"/>
  <c r="EF444"/>
  <c r="U286" i="74"/>
  <c r="IV220" i="77"/>
  <c r="IY220" s="1"/>
  <c r="IS246"/>
  <c r="FJ32"/>
  <c r="FJ374"/>
  <c r="FJ448"/>
  <c r="FM430"/>
  <c r="FP430" s="1"/>
  <c r="EJ443"/>
  <c r="EM443" s="1"/>
  <c r="U169" i="74"/>
  <c r="U138"/>
  <c r="U183"/>
  <c r="IS23" i="77"/>
  <c r="U137" i="74"/>
  <c r="IS256" i="77"/>
  <c r="AW23"/>
  <c r="T23" i="65" s="1"/>
  <c r="AX242" i="77"/>
  <c r="AX420"/>
  <c r="BA235"/>
  <c r="AX353"/>
  <c r="EF85"/>
  <c r="EG40"/>
  <c r="EG82"/>
  <c r="IS360"/>
  <c r="U360" i="74" s="1"/>
  <c r="IS96" i="77"/>
  <c r="IS439"/>
  <c r="IS29"/>
  <c r="FJ85"/>
  <c r="U85" i="71" s="1"/>
  <c r="FE236" i="77"/>
  <c r="P236" i="71" s="1"/>
  <c r="FD236" i="77"/>
  <c r="O236" i="71" s="1"/>
  <c r="FJ236" i="77"/>
  <c r="FK247"/>
  <c r="FL247"/>
  <c r="W250" i="71" s="1"/>
  <c r="W123"/>
  <c r="V138"/>
  <c r="FL227" i="77"/>
  <c r="FK227"/>
  <c r="V227" i="71" s="1"/>
  <c r="FK425" i="77"/>
  <c r="FL425"/>
  <c r="AS32"/>
  <c r="AR32"/>
  <c r="O32" i="65" s="1"/>
  <c r="AR255" i="77"/>
  <c r="AS255"/>
  <c r="AS86"/>
  <c r="P86" i="65" s="1"/>
  <c r="AR86" i="77"/>
  <c r="O86" i="65" s="1"/>
  <c r="AR360" i="77"/>
  <c r="O360" i="65" s="1"/>
  <c r="AS360" i="77"/>
  <c r="P360" i="65" s="1"/>
  <c r="AZ96" i="77"/>
  <c r="AY96"/>
  <c r="W421" i="65"/>
  <c r="V421"/>
  <c r="AZ59" i="77"/>
  <c r="W59" i="65" s="1"/>
  <c r="AY59" i="77"/>
  <c r="V59" i="65" s="1"/>
  <c r="AY58" i="77"/>
  <c r="V58" i="65" s="1"/>
  <c r="AZ58" i="77"/>
  <c r="W58" i="65" s="1"/>
  <c r="AZ245" i="77"/>
  <c r="AY245"/>
  <c r="W128" i="65"/>
  <c r="V128"/>
  <c r="AY409" i="77"/>
  <c r="AZ409"/>
  <c r="W409" i="65" s="1"/>
  <c r="EA29" i="77"/>
  <c r="EB29"/>
  <c r="O147" i="70"/>
  <c r="P147"/>
  <c r="EA204" i="77"/>
  <c r="EB204"/>
  <c r="P181" i="70"/>
  <c r="O181"/>
  <c r="EA358" i="77"/>
  <c r="O358" i="70" s="1"/>
  <c r="EB358" i="77"/>
  <c r="P358" i="70" s="1"/>
  <c r="CY45" i="77"/>
  <c r="CX45"/>
  <c r="CY52"/>
  <c r="CX52"/>
  <c r="DD52"/>
  <c r="U52" i="69" s="1"/>
  <c r="CX34" i="77"/>
  <c r="CY34"/>
  <c r="CY369"/>
  <c r="P369" i="69" s="1"/>
  <c r="CX369" i="77"/>
  <c r="O369" i="69" s="1"/>
  <c r="DF37" i="77"/>
  <c r="W37" i="69" s="1"/>
  <c r="DE37" i="77"/>
  <c r="V37" i="69" s="1"/>
  <c r="HJ59" i="77"/>
  <c r="HK59"/>
  <c r="HP40"/>
  <c r="U40" i="73" s="1"/>
  <c r="HK40" i="77"/>
  <c r="HJ40"/>
  <c r="HR34"/>
  <c r="W34" i="73" s="1"/>
  <c r="HQ34" i="77"/>
  <c r="V34" i="73" s="1"/>
  <c r="BU60" i="77"/>
  <c r="BV60"/>
  <c r="BV20"/>
  <c r="BU20"/>
  <c r="BV44"/>
  <c r="BU44"/>
  <c r="BU45"/>
  <c r="BV45"/>
  <c r="BV353"/>
  <c r="CA353"/>
  <c r="U353" i="68" s="1"/>
  <c r="BU353" i="77"/>
  <c r="BU432"/>
  <c r="BV432"/>
  <c r="BV405"/>
  <c r="BU405"/>
  <c r="BU449"/>
  <c r="BV449"/>
  <c r="CB443"/>
  <c r="V443" i="68" s="1"/>
  <c r="CC443" i="77"/>
  <c r="W443" i="68" s="1"/>
  <c r="V98"/>
  <c r="W98"/>
  <c r="CB32" i="77"/>
  <c r="CC32"/>
  <c r="W32" i="68" s="1"/>
  <c r="W11"/>
  <c r="V11"/>
  <c r="CB388" i="77"/>
  <c r="CC388"/>
  <c r="GO435"/>
  <c r="W435" i="72" s="1"/>
  <c r="GN435" i="77"/>
  <c r="V435" i="72" s="1"/>
  <c r="V415"/>
  <c r="W415"/>
  <c r="GO88" i="77"/>
  <c r="GN88"/>
  <c r="GO37"/>
  <c r="W37" i="72" s="1"/>
  <c r="GN37" i="77"/>
  <c r="V37" i="72" s="1"/>
  <c r="GN85" i="77"/>
  <c r="GO85"/>
  <c r="FK353"/>
  <c r="V353" i="71" s="1"/>
  <c r="FL353" i="77"/>
  <c r="W353" i="71" s="1"/>
  <c r="FL238" i="77"/>
  <c r="FK238"/>
  <c r="FK389"/>
  <c r="FL389"/>
  <c r="CX47"/>
  <c r="CY47"/>
  <c r="CX30"/>
  <c r="CY30"/>
  <c r="P181" i="69"/>
  <c r="O181"/>
  <c r="CX407" i="77"/>
  <c r="CY407"/>
  <c r="DF378"/>
  <c r="DE378"/>
  <c r="HQ245"/>
  <c r="HR245"/>
  <c r="HJ238"/>
  <c r="O238" i="73" s="1"/>
  <c r="HK238" i="77"/>
  <c r="P238" i="73" s="1"/>
  <c r="HQ234" i="77"/>
  <c r="HR234"/>
  <c r="HR86"/>
  <c r="HQ86"/>
  <c r="HR26"/>
  <c r="W26" i="73" s="1"/>
  <c r="HQ26" i="77"/>
  <c r="V26" i="73" s="1"/>
  <c r="HQ48" i="77"/>
  <c r="V48" i="73" s="1"/>
  <c r="HR48" i="77"/>
  <c r="W48" i="73" s="1"/>
  <c r="V13"/>
  <c r="W13"/>
  <c r="HR439" i="77"/>
  <c r="W439" i="73" s="1"/>
  <c r="HQ439" i="77"/>
  <c r="V439" i="73" s="1"/>
  <c r="BU73" i="77"/>
  <c r="BV73"/>
  <c r="BV247"/>
  <c r="P247" i="68" s="1"/>
  <c r="BU247" i="77"/>
  <c r="O247" i="68" s="1"/>
  <c r="O218"/>
  <c r="P218"/>
  <c r="BV93" i="77"/>
  <c r="BU93"/>
  <c r="BV96"/>
  <c r="BU96"/>
  <c r="BV422"/>
  <c r="BU422"/>
  <c r="BV420"/>
  <c r="BU420"/>
  <c r="W124" i="68"/>
  <c r="V124"/>
  <c r="CC378" i="77"/>
  <c r="CB378"/>
  <c r="CC246"/>
  <c r="W249" i="68" s="1"/>
  <c r="CB246" i="77"/>
  <c r="V249" i="68" s="1"/>
  <c r="GH67" i="77"/>
  <c r="GG67"/>
  <c r="GN355"/>
  <c r="V355" i="72" s="1"/>
  <c r="GO355" i="77"/>
  <c r="W355" i="72" s="1"/>
  <c r="V206"/>
  <c r="W206"/>
  <c r="V128"/>
  <c r="V146"/>
  <c r="W146"/>
  <c r="GN422" i="77"/>
  <c r="V422" i="72" s="1"/>
  <c r="GO422" i="77"/>
  <c r="W422" i="72" s="1"/>
  <c r="GN462" i="77"/>
  <c r="V462" i="72" s="1"/>
  <c r="GO462" i="77"/>
  <c r="W462" i="72" s="1"/>
  <c r="FE69" i="77"/>
  <c r="FD69"/>
  <c r="P148" i="71"/>
  <c r="O148"/>
  <c r="U100"/>
  <c r="P112"/>
  <c r="O112"/>
  <c r="FK83" i="77"/>
  <c r="FL83"/>
  <c r="FL42"/>
  <c r="W42" i="71" s="1"/>
  <c r="FK42" i="77"/>
  <c r="V42" i="71" s="1"/>
  <c r="AS34" i="77"/>
  <c r="AR34"/>
  <c r="AS27"/>
  <c r="AR27"/>
  <c r="P147" i="65"/>
  <c r="O147"/>
  <c r="AY236" i="77"/>
  <c r="V236" i="65" s="1"/>
  <c r="AZ236" i="77"/>
  <c r="V124" i="65"/>
  <c r="W124"/>
  <c r="V114"/>
  <c r="AY257" i="77"/>
  <c r="V257" i="65" s="1"/>
  <c r="AZ257" i="77"/>
  <c r="W257" i="65" s="1"/>
  <c r="EB246" i="77"/>
  <c r="EA246"/>
  <c r="O170" i="70"/>
  <c r="P170"/>
  <c r="EB444" i="77"/>
  <c r="EA444"/>
  <c r="EA380"/>
  <c r="O380" i="70" s="1"/>
  <c r="EB380" i="77"/>
  <c r="P380" i="70" s="1"/>
  <c r="EA374" i="77"/>
  <c r="EB374"/>
  <c r="U401" i="70"/>
  <c r="IU33" i="77"/>
  <c r="W33" i="74" s="1"/>
  <c r="IT33" i="77"/>
  <c r="V33" i="74" s="1"/>
  <c r="IU86" i="77"/>
  <c r="IT86"/>
  <c r="W220" i="74"/>
  <c r="W100"/>
  <c r="FL200" i="77"/>
  <c r="W208" i="71" s="1"/>
  <c r="FK200" i="77"/>
  <c r="FL24"/>
  <c r="W24" i="71" s="1"/>
  <c r="FK24" i="77"/>
  <c r="FK462"/>
  <c r="V462" i="71" s="1"/>
  <c r="FL462" i="77"/>
  <c r="W462" i="71" s="1"/>
  <c r="FK409" i="77"/>
  <c r="FL409"/>
  <c r="W409" i="71" s="1"/>
  <c r="EA359" i="77"/>
  <c r="O359" i="70" s="1"/>
  <c r="EB359" i="77"/>
  <c r="P359" i="70" s="1"/>
  <c r="EA378" i="77"/>
  <c r="O378" i="70" s="1"/>
  <c r="EB378" i="77"/>
  <c r="P378" i="70" s="1"/>
  <c r="EH236" i="77"/>
  <c r="EI236"/>
  <c r="IS72"/>
  <c r="U72" i="74" s="1"/>
  <c r="IN72" i="77"/>
  <c r="IM72"/>
  <c r="U153" i="74"/>
  <c r="IT232" i="77"/>
  <c r="IU232"/>
  <c r="IU434"/>
  <c r="W434" i="74" s="1"/>
  <c r="IT434" i="77"/>
  <c r="V434" i="74" s="1"/>
  <c r="IT60" i="77"/>
  <c r="V60" i="74" s="1"/>
  <c r="IU60" i="77"/>
  <c r="W60" i="74" s="1"/>
  <c r="IU32" i="77"/>
  <c r="W32" i="74" s="1"/>
  <c r="IT32" i="77"/>
  <c r="V12" i="74"/>
  <c r="W12"/>
  <c r="IT409" i="77"/>
  <c r="V409" i="74" s="1"/>
  <c r="IU409" i="77"/>
  <c r="W409" i="74" s="1"/>
  <c r="AS22" i="77"/>
  <c r="AR22"/>
  <c r="AS23"/>
  <c r="AR23"/>
  <c r="AS434"/>
  <c r="P434" i="65" s="1"/>
  <c r="AR434" i="77"/>
  <c r="AS448"/>
  <c r="AR448"/>
  <c r="AZ93"/>
  <c r="AY93"/>
  <c r="AZ352"/>
  <c r="W352" i="65" s="1"/>
  <c r="AY352" i="77"/>
  <c r="AZ423"/>
  <c r="W423" i="65" s="1"/>
  <c r="AY423" i="77"/>
  <c r="V423" i="65" s="1"/>
  <c r="EA34" i="77"/>
  <c r="EB34"/>
  <c r="EA228"/>
  <c r="O228" i="70" s="1"/>
  <c r="EB228" i="77"/>
  <c r="P228" i="70" s="1"/>
  <c r="P182"/>
  <c r="O182"/>
  <c r="EA388" i="77"/>
  <c r="EB388"/>
  <c r="EA85"/>
  <c r="O85" i="70" s="1"/>
  <c r="EB85" i="77"/>
  <c r="P85" i="70" s="1"/>
  <c r="EA420" i="77"/>
  <c r="EB420"/>
  <c r="EH353"/>
  <c r="V353" i="70" s="1"/>
  <c r="EI353" i="77"/>
  <c r="W353" i="70" s="1"/>
  <c r="EH238" i="77"/>
  <c r="EI238"/>
  <c r="IN37"/>
  <c r="IM37"/>
  <c r="IN58"/>
  <c r="IM58"/>
  <c r="IM233"/>
  <c r="O233" i="74" s="1"/>
  <c r="IN233" i="77"/>
  <c r="P233" i="74" s="1"/>
  <c r="IT407" i="77"/>
  <c r="IU407"/>
  <c r="W407" i="74" s="1"/>
  <c r="W125"/>
  <c r="V125"/>
  <c r="IU435" i="77"/>
  <c r="W435" i="74" s="1"/>
  <c r="IT435" i="77"/>
  <c r="V435" i="74" s="1"/>
  <c r="AS48" i="77"/>
  <c r="AR48"/>
  <c r="AR83"/>
  <c r="O83" i="65" s="1"/>
  <c r="AS83" i="77"/>
  <c r="P83" i="65" s="1"/>
  <c r="AY247" i="77"/>
  <c r="AZ247"/>
  <c r="W126" i="65"/>
  <c r="AZ65" i="77"/>
  <c r="W65" i="65" s="1"/>
  <c r="AY65" i="77"/>
  <c r="V65" i="65" s="1"/>
  <c r="W125"/>
  <c r="V125"/>
  <c r="EI38" i="77"/>
  <c r="W38" i="70" s="1"/>
  <c r="EH38" i="77"/>
  <c r="V38" i="70" s="1"/>
  <c r="EB244" i="77"/>
  <c r="P244" i="70" s="1"/>
  <c r="EA244" i="77"/>
  <c r="O244" i="70" s="1"/>
  <c r="EB83" i="77"/>
  <c r="P83" i="70" s="1"/>
  <c r="EA83" i="77"/>
  <c r="O83" i="70" s="1"/>
  <c r="EB369" i="77"/>
  <c r="P369" i="70" s="1"/>
  <c r="EA369" i="77"/>
  <c r="O369" i="70" s="1"/>
  <c r="EG434" i="77"/>
  <c r="U434" i="70" s="1"/>
  <c r="EB434" i="77"/>
  <c r="EA434"/>
  <c r="EA448"/>
  <c r="EB448"/>
  <c r="EI36"/>
  <c r="W36" i="70" s="1"/>
  <c r="EH36" i="77"/>
  <c r="V36" i="70" s="1"/>
  <c r="EH23" i="77"/>
  <c r="V23" i="70" s="1"/>
  <c r="EI23" i="77"/>
  <c r="W23" i="70" s="1"/>
  <c r="EI426" i="77"/>
  <c r="W426" i="70" s="1"/>
  <c r="EH426" i="77"/>
  <c r="V426" i="70" s="1"/>
  <c r="IN24" i="77"/>
  <c r="IM24"/>
  <c r="P145" i="74"/>
  <c r="O145"/>
  <c r="IU369" i="77"/>
  <c r="IT369"/>
  <c r="W376" i="74"/>
  <c r="IU67" i="77"/>
  <c r="W67" i="74" s="1"/>
  <c r="IT67" i="77"/>
  <c r="V67" i="74" s="1"/>
  <c r="W19"/>
  <c r="V19"/>
  <c r="IU374" i="77"/>
  <c r="W374" i="74" s="1"/>
  <c r="IT374" i="77"/>
  <c r="V374" i="74" s="1"/>
  <c r="IU352" i="77"/>
  <c r="W352" i="74" s="1"/>
  <c r="IT352" i="77"/>
  <c r="V352" i="74" s="1"/>
  <c r="IU448" i="77"/>
  <c r="W448" i="74" s="1"/>
  <c r="IT448" i="77"/>
  <c r="V448" i="74" s="1"/>
  <c r="BZ95" i="77"/>
  <c r="U125" i="73"/>
  <c r="HO69" i="77"/>
  <c r="HS407"/>
  <c r="HV407" s="1"/>
  <c r="BZ400"/>
  <c r="T180" i="65"/>
  <c r="AW408" i="77"/>
  <c r="IS40"/>
  <c r="IV228"/>
  <c r="EF406"/>
  <c r="IS57"/>
  <c r="AW200"/>
  <c r="AW95"/>
  <c r="T95" i="65" s="1"/>
  <c r="T137"/>
  <c r="AW369" i="77"/>
  <c r="T369" i="65" s="1"/>
  <c r="AW425" i="77"/>
  <c r="AX425" s="1"/>
  <c r="AX239"/>
  <c r="U239" i="65" s="1"/>
  <c r="AX90" i="77"/>
  <c r="U169" i="65"/>
  <c r="AX29" i="77"/>
  <c r="U214" i="65"/>
  <c r="BA40" i="77"/>
  <c r="BD40" s="1"/>
  <c r="T180" i="70"/>
  <c r="IV62" i="77"/>
  <c r="IY62" s="1"/>
  <c r="U182" i="71"/>
  <c r="U218"/>
  <c r="FJ257" i="77"/>
  <c r="AW388"/>
  <c r="AX388" s="1"/>
  <c r="AW357"/>
  <c r="T181" i="65"/>
  <c r="AW442" i="77"/>
  <c r="AW426"/>
  <c r="AX355"/>
  <c r="EF27"/>
  <c r="EF404"/>
  <c r="IS247"/>
  <c r="IS226"/>
  <c r="U226" i="74" s="1"/>
  <c r="IS253" i="77"/>
  <c r="U253" i="74" s="1"/>
  <c r="IS402" i="77"/>
  <c r="IV444"/>
  <c r="IY444" s="1"/>
  <c r="IS48"/>
  <c r="IS70"/>
  <c r="IS34"/>
  <c r="IS83"/>
  <c r="U83" i="74" s="1"/>
  <c r="IS462" i="77"/>
  <c r="AD244"/>
  <c r="AC244"/>
  <c r="Z448"/>
  <c r="Z448" i="39" s="1"/>
  <c r="AC51"/>
  <c r="AD51"/>
  <c r="DL73" i="77"/>
  <c r="AC73" i="69" s="1"/>
  <c r="DM73" i="77"/>
  <c r="AD73" i="69" s="1"/>
  <c r="AA46" i="73"/>
  <c r="HU46" i="77"/>
  <c r="Z46" i="73" s="1"/>
  <c r="AC63" i="77"/>
  <c r="AC63" i="39" s="1"/>
  <c r="AD63" i="77"/>
  <c r="AD63" i="39" s="1"/>
  <c r="GU39" i="77"/>
  <c r="AC39" i="72" s="1"/>
  <c r="GV39" i="77"/>
  <c r="AD39" i="72" s="1"/>
  <c r="GU55" i="77"/>
  <c r="AC55" i="72" s="1"/>
  <c r="GV55" i="77"/>
  <c r="AD55" i="72" s="1"/>
  <c r="AC51"/>
  <c r="AD51"/>
  <c r="AC19" i="39"/>
  <c r="AD19"/>
  <c r="EO53" i="77"/>
  <c r="AC53" i="70" s="1"/>
  <c r="EP53" i="77"/>
  <c r="AD53" i="70" s="1"/>
  <c r="AC23" i="77"/>
  <c r="AC23" i="39" s="1"/>
  <c r="AD23" i="77"/>
  <c r="AD23" i="39" s="1"/>
  <c r="AC15"/>
  <c r="AD15"/>
  <c r="AC73" i="77"/>
  <c r="AC73" i="39" s="1"/>
  <c r="AD73" i="77"/>
  <c r="AD73" i="39" s="1"/>
  <c r="BF44" i="77"/>
  <c r="AC44" i="65" s="1"/>
  <c r="BG44" i="77"/>
  <c r="AD44" i="65" s="1"/>
  <c r="AD53" i="77"/>
  <c r="AD53" i="39" s="1"/>
  <c r="AC53" i="77"/>
  <c r="AC53" i="39" s="1"/>
  <c r="EO73" i="77"/>
  <c r="AC73" i="70" s="1"/>
  <c r="EP73" i="77"/>
  <c r="AD73" i="70" s="1"/>
  <c r="AC21" i="39"/>
  <c r="AD21"/>
  <c r="AD44" i="77"/>
  <c r="AD44" i="39" s="1"/>
  <c r="AC44" i="77"/>
  <c r="AC44" i="39" s="1"/>
  <c r="AC71" i="68"/>
  <c r="AD71"/>
  <c r="BF52" i="77"/>
  <c r="AC52" i="65" s="1"/>
  <c r="BG52" i="77"/>
  <c r="AD52" i="65" s="1"/>
  <c r="AC26" i="77"/>
  <c r="AC26" i="39" s="1"/>
  <c r="AD26" i="77"/>
  <c r="AD26" i="39" s="1"/>
  <c r="AC46" i="77"/>
  <c r="AC46" i="39" s="1"/>
  <c r="AD46" i="77"/>
  <c r="AD46" i="39" s="1"/>
  <c r="AC41" i="71"/>
  <c r="AD41"/>
  <c r="AC41" i="68"/>
  <c r="AD41"/>
  <c r="DL27" i="77"/>
  <c r="AC27" i="69" s="1"/>
  <c r="DM27" i="77"/>
  <c r="AD27" i="69" s="1"/>
  <c r="EO50" i="77"/>
  <c r="AC50" i="70" s="1"/>
  <c r="EP50" i="77"/>
  <c r="AD50" i="70" s="1"/>
  <c r="AC60" i="77"/>
  <c r="AC60" i="39" s="1"/>
  <c r="AD60" i="77"/>
  <c r="AD60" i="39" s="1"/>
  <c r="EO72" i="77"/>
  <c r="AC72" i="70" s="1"/>
  <c r="EP72" i="77"/>
  <c r="AD72" i="70" s="1"/>
  <c r="CI72" i="77"/>
  <c r="AC72" i="68" s="1"/>
  <c r="CJ72" i="77"/>
  <c r="AD72" i="68" s="1"/>
  <c r="GU50" i="77"/>
  <c r="AC50" i="72" s="1"/>
  <c r="GV50" i="77"/>
  <c r="AD50" i="72" s="1"/>
  <c r="AC71" i="39"/>
  <c r="AD71"/>
  <c r="AC18" i="72"/>
  <c r="AD18"/>
  <c r="EO66" i="77"/>
  <c r="AC66" i="70" s="1"/>
  <c r="EP66" i="77"/>
  <c r="AD66" i="70" s="1"/>
  <c r="FR39" i="77"/>
  <c r="AC39" i="71" s="1"/>
  <c r="FS39" i="77"/>
  <c r="AD39" i="71" s="1"/>
  <c r="FR53" i="77"/>
  <c r="AC53" i="71" s="1"/>
  <c r="FS53" i="77"/>
  <c r="AD53" i="71" s="1"/>
  <c r="FR46" i="77"/>
  <c r="AC46" i="71" s="1"/>
  <c r="FS46" i="77"/>
  <c r="AD46" i="71" s="1"/>
  <c r="BF50" i="77"/>
  <c r="AC50" i="65" s="1"/>
  <c r="BG50" i="77"/>
  <c r="AD50" i="65" s="1"/>
  <c r="EO48" i="77"/>
  <c r="AC48" i="70" s="1"/>
  <c r="EP48" i="77"/>
  <c r="AD48" i="70" s="1"/>
  <c r="FR48" i="77"/>
  <c r="AC48" i="71" s="1"/>
  <c r="FS48" i="77"/>
  <c r="AD48" i="71" s="1"/>
  <c r="AC66" i="77"/>
  <c r="AC66" i="39" s="1"/>
  <c r="EO49" i="77"/>
  <c r="AC49" i="70" s="1"/>
  <c r="EP49" i="77"/>
  <c r="AD49" i="70" s="1"/>
  <c r="FR47" i="77"/>
  <c r="AC47" i="71" s="1"/>
  <c r="FS47" i="77"/>
  <c r="AD47" i="71" s="1"/>
  <c r="AC65" i="77"/>
  <c r="AC65" i="39" s="1"/>
  <c r="DL57" i="77"/>
  <c r="AC57" i="69" s="1"/>
  <c r="AD69" i="77"/>
  <c r="AD69" i="39" s="1"/>
  <c r="AC69" i="77"/>
  <c r="AC69" i="39" s="1"/>
  <c r="GU45" i="77"/>
  <c r="AC45" i="72" s="1"/>
  <c r="GV45" i="77"/>
  <c r="AD45" i="72" s="1"/>
  <c r="CI27" i="77"/>
  <c r="AC27" i="68" s="1"/>
  <c r="CJ27" i="77"/>
  <c r="AD27" i="68" s="1"/>
  <c r="AC64" i="77"/>
  <c r="AC64" i="39" s="1"/>
  <c r="AD64" i="77"/>
  <c r="AD64" i="39" s="1"/>
  <c r="EO47" i="77"/>
  <c r="AC47" i="70" s="1"/>
  <c r="EP47" i="77"/>
  <c r="AD47" i="70" s="1"/>
  <c r="AA52" i="71"/>
  <c r="FO52" i="77"/>
  <c r="Z52" i="71" s="1"/>
  <c r="AC24" i="77"/>
  <c r="AC24" i="39" s="1"/>
  <c r="AD24" i="77"/>
  <c r="AD24" i="39" s="1"/>
  <c r="AC14" i="71"/>
  <c r="AD14"/>
  <c r="GU46" i="77"/>
  <c r="AC46" i="72" s="1"/>
  <c r="GV46" i="77"/>
  <c r="AD46" i="72" s="1"/>
  <c r="AC22" i="77"/>
  <c r="AC22" i="39" s="1"/>
  <c r="AD22" i="77"/>
  <c r="AD22" i="39" s="1"/>
  <c r="BF66" i="77"/>
  <c r="AC66" i="65" s="1"/>
  <c r="BG66" i="77"/>
  <c r="AD66" i="65" s="1"/>
  <c r="EO20" i="77"/>
  <c r="AC20" i="70" s="1"/>
  <c r="EP20" i="77"/>
  <c r="AD20" i="70" s="1"/>
  <c r="BF47" i="77"/>
  <c r="AC47" i="65" s="1"/>
  <c r="BG47" i="77"/>
  <c r="AD47" i="65" s="1"/>
  <c r="AC14"/>
  <c r="AD14"/>
  <c r="AC39" i="77"/>
  <c r="AC39" i="39" s="1"/>
  <c r="AD39" i="77"/>
  <c r="AD39" i="39" s="1"/>
  <c r="AC62" i="77"/>
  <c r="AC62" i="39" s="1"/>
  <c r="AD62" i="77"/>
  <c r="AD62" i="39" s="1"/>
  <c r="AC17"/>
  <c r="AD17"/>
  <c r="DL50" i="77"/>
  <c r="AC50" i="69" s="1"/>
  <c r="DM50" i="77"/>
  <c r="AD50" i="69" s="1"/>
  <c r="AC18" i="70"/>
  <c r="AD18"/>
  <c r="FR27" i="77"/>
  <c r="AC27" i="71" s="1"/>
  <c r="FS27" i="77"/>
  <c r="AD27" i="71" s="1"/>
  <c r="BF72" i="77"/>
  <c r="AC72" i="65" s="1"/>
  <c r="BG72" i="77"/>
  <c r="AD72" i="65" s="1"/>
  <c r="AC12" i="39"/>
  <c r="GU20" i="77"/>
  <c r="AC20" i="72" s="1"/>
  <c r="GV20" i="77"/>
  <c r="AD20" i="72" s="1"/>
  <c r="AC31" i="39"/>
  <c r="AD31"/>
  <c r="FR44" i="77"/>
  <c r="AC44" i="71" s="1"/>
  <c r="FS44" i="77"/>
  <c r="AD44" i="71" s="1"/>
  <c r="AC20" i="77"/>
  <c r="AC20" i="39" s="1"/>
  <c r="AD20" i="77"/>
  <c r="AD20" i="39" s="1"/>
  <c r="AC11"/>
  <c r="AD11"/>
  <c r="BF49" i="77"/>
  <c r="AC49" i="65" s="1"/>
  <c r="BG49" i="77"/>
  <c r="AD49" i="65" s="1"/>
  <c r="BF64" i="77"/>
  <c r="AC64" i="65" s="1"/>
  <c r="AC33" i="77"/>
  <c r="AC33" i="39" s="1"/>
  <c r="AD33" i="77"/>
  <c r="AD33" i="39" s="1"/>
  <c r="AC54" i="77"/>
  <c r="AC54" i="39" s="1"/>
  <c r="AD54" i="77"/>
  <c r="AD54" i="39" s="1"/>
  <c r="GU68" i="77"/>
  <c r="AC68" i="72" s="1"/>
  <c r="GV68" i="77"/>
  <c r="AD68" i="72" s="1"/>
  <c r="FR54" i="77"/>
  <c r="AC54" i="71" s="1"/>
  <c r="FS54" i="77"/>
  <c r="AD54" i="71" s="1"/>
  <c r="GU72" i="77"/>
  <c r="AC72" i="72" s="1"/>
  <c r="GV72" i="77"/>
  <c r="AD72" i="72" s="1"/>
  <c r="AD38" i="77"/>
  <c r="AD38" i="39" s="1"/>
  <c r="AC38" i="77"/>
  <c r="AC38" i="39" s="1"/>
  <c r="AC51" i="71"/>
  <c r="AD51"/>
  <c r="AC71" i="65"/>
  <c r="AD71"/>
  <c r="GU27" i="77"/>
  <c r="AC27" i="72" s="1"/>
  <c r="GV27" i="77"/>
  <c r="AD27" i="72" s="1"/>
  <c r="AD30" i="77"/>
  <c r="AD30" i="39" s="1"/>
  <c r="AC30" i="77"/>
  <c r="AC30" i="39" s="1"/>
  <c r="AD36" i="77"/>
  <c r="AD36" i="39" s="1"/>
  <c r="AC36" i="77"/>
  <c r="AC36" i="39" s="1"/>
  <c r="BF39" i="77"/>
  <c r="AC39" i="65" s="1"/>
  <c r="BG39" i="77"/>
  <c r="AD39" i="65" s="1"/>
  <c r="AC18" i="68"/>
  <c r="AD18"/>
  <c r="AC28" i="77"/>
  <c r="AC28" i="39" s="1"/>
  <c r="AD28" i="77"/>
  <c r="AD28" i="39" s="1"/>
  <c r="BF54" i="77"/>
  <c r="AC54" i="65" s="1"/>
  <c r="BG54" i="77"/>
  <c r="AD54" i="65" s="1"/>
  <c r="AC15" i="69"/>
  <c r="AD15"/>
  <c r="AC29" i="77"/>
  <c r="AC29" i="39" s="1"/>
  <c r="AD29" i="77"/>
  <c r="AD29" i="39" s="1"/>
  <c r="AC14" i="70"/>
  <c r="AD14"/>
  <c r="AC70" i="77"/>
  <c r="AC70" i="39" s="1"/>
  <c r="AD70" i="77"/>
  <c r="AD70" i="39" s="1"/>
  <c r="FR20" i="77"/>
  <c r="AC20" i="71" s="1"/>
  <c r="FS20" i="77"/>
  <c r="AD20" i="71" s="1"/>
  <c r="EO55" i="77"/>
  <c r="AC55" i="70" s="1"/>
  <c r="EP55" i="77"/>
  <c r="AD55" i="70" s="1"/>
  <c r="BF20" i="77"/>
  <c r="AC20" i="65" s="1"/>
  <c r="AD123" i="39"/>
  <c r="AD149"/>
  <c r="AB240" i="71"/>
  <c r="AC236" i="77"/>
  <c r="AD236"/>
  <c r="AB124" i="71"/>
  <c r="FR249" i="77"/>
  <c r="Z118" i="71"/>
  <c r="Z126"/>
  <c r="AC233" i="77"/>
  <c r="AD233"/>
  <c r="AB239" i="71"/>
  <c r="AD207" i="39"/>
  <c r="AD214"/>
  <c r="AC150"/>
  <c r="AD150"/>
  <c r="AC249" i="77"/>
  <c r="AD249"/>
  <c r="AD252" i="39" s="1"/>
  <c r="AC213"/>
  <c r="AD213"/>
  <c r="AD95" i="77"/>
  <c r="AC95"/>
  <c r="AC153" i="39"/>
  <c r="AB98" i="72"/>
  <c r="CI255" i="77"/>
  <c r="AC255" i="68" s="1"/>
  <c r="CJ255" i="77"/>
  <c r="AD255" i="68" s="1"/>
  <c r="AD215" i="39"/>
  <c r="AC150" i="72"/>
  <c r="AD150"/>
  <c r="AD83" i="77"/>
  <c r="AC247"/>
  <c r="AC250" i="39" s="1"/>
  <c r="AD247" i="77"/>
  <c r="AD250" i="39" s="1"/>
  <c r="EO245" i="77"/>
  <c r="AD85"/>
  <c r="AD84"/>
  <c r="AC84"/>
  <c r="AD204"/>
  <c r="AB120" i="71"/>
  <c r="AD232" i="77"/>
  <c r="AC232"/>
  <c r="AB123" i="71"/>
  <c r="AC234" i="77"/>
  <c r="AD234"/>
  <c r="BF227"/>
  <c r="BG227"/>
  <c r="GR255"/>
  <c r="Z255" i="72" s="1"/>
  <c r="AC235" i="77"/>
  <c r="AD235"/>
  <c r="AC256"/>
  <c r="AC256" i="39" s="1"/>
  <c r="AD256" i="77"/>
  <c r="AD256" i="39" s="1"/>
  <c r="AB92" i="72"/>
  <c r="AD79" i="39"/>
  <c r="AC79"/>
  <c r="AB196" i="72"/>
  <c r="AB125" i="71"/>
  <c r="AC253" i="77"/>
  <c r="AC254" i="39" s="1"/>
  <c r="AD253" i="77"/>
  <c r="AD254" i="39" s="1"/>
  <c r="AC286"/>
  <c r="AD286"/>
  <c r="AC151"/>
  <c r="AD151"/>
  <c r="AC237" i="77"/>
  <c r="AD237"/>
  <c r="AD224"/>
  <c r="AC224"/>
  <c r="AB200" i="71"/>
  <c r="AC211" i="39"/>
  <c r="AB198" i="71"/>
  <c r="AC126" i="39"/>
  <c r="AD126"/>
  <c r="DL249" i="77"/>
  <c r="DM249"/>
  <c r="AB100" i="71"/>
  <c r="AC205" i="77"/>
  <c r="AC210" i="39" s="1"/>
  <c r="AD205" i="77"/>
  <c r="AC206" i="39"/>
  <c r="AD206"/>
  <c r="AD96" i="77"/>
  <c r="AD97" i="39" s="1"/>
  <c r="AC96" i="77"/>
  <c r="AD150" i="71"/>
  <c r="GV245" i="77"/>
  <c r="AD93"/>
  <c r="AC93"/>
  <c r="AD86"/>
  <c r="AC86"/>
  <c r="AC90"/>
  <c r="AD92"/>
  <c r="AD94" i="39" s="1"/>
  <c r="AC92" i="77"/>
  <c r="GR249"/>
  <c r="Z249" i="72" s="1"/>
  <c r="AD353" i="77"/>
  <c r="AD353" i="39" s="1"/>
  <c r="AC353" i="77"/>
  <c r="AC353" i="39" s="1"/>
  <c r="AB357" i="72"/>
  <c r="AC374" i="77"/>
  <c r="AC374" i="39" s="1"/>
  <c r="AD374" i="77"/>
  <c r="AD374" i="39" s="1"/>
  <c r="AC359" i="77"/>
  <c r="AD359"/>
  <c r="BF368"/>
  <c r="AC368" i="65" s="1"/>
  <c r="BG368" i="77"/>
  <c r="AD368" i="65" s="1"/>
  <c r="AD355" i="77"/>
  <c r="AD355" i="39" s="1"/>
  <c r="AC355" i="77"/>
  <c r="AC355" i="39" s="1"/>
  <c r="AC352" i="77"/>
  <c r="AC352" i="39" s="1"/>
  <c r="AD352" i="77"/>
  <c r="AD352" i="39" s="1"/>
  <c r="FR367" i="77"/>
  <c r="AC367" i="71" s="1"/>
  <c r="FS367" i="77"/>
  <c r="AD367" i="71" s="1"/>
  <c r="AC369" i="77"/>
  <c r="AD369"/>
  <c r="AC389"/>
  <c r="AD389"/>
  <c r="EO373"/>
  <c r="AC373" i="70" s="1"/>
  <c r="EP373" i="77"/>
  <c r="AD373" i="70" s="1"/>
  <c r="CI370" i="77"/>
  <c r="CJ370"/>
  <c r="FS388"/>
  <c r="CI374"/>
  <c r="AC374" i="68" s="1"/>
  <c r="FO388" i="77"/>
  <c r="Z388" i="71" s="1"/>
  <c r="AB362"/>
  <c r="FR373" i="77"/>
  <c r="AC373" i="71" s="1"/>
  <c r="FS373" i="77"/>
  <c r="AD373" i="71" s="1"/>
  <c r="AC360" i="77"/>
  <c r="AD360"/>
  <c r="AB363" i="71"/>
  <c r="AC367" i="77"/>
  <c r="AC367" i="39" s="1"/>
  <c r="AD367" i="77"/>
  <c r="AD367" i="39" s="1"/>
  <c r="EO367" i="77"/>
  <c r="AC367" i="70" s="1"/>
  <c r="EP367" i="77"/>
  <c r="AD367" i="70" s="1"/>
  <c r="CI373" i="77"/>
  <c r="AC373" i="68" s="1"/>
  <c r="CJ373" i="77"/>
  <c r="AD373" i="68" s="1"/>
  <c r="AD358" i="77"/>
  <c r="AD358" i="39" s="1"/>
  <c r="AC358" i="77"/>
  <c r="AC358" i="39" s="1"/>
  <c r="BF370" i="77"/>
  <c r="BG370"/>
  <c r="CI368"/>
  <c r="AC368" i="68" s="1"/>
  <c r="CJ368" i="77"/>
  <c r="AD368" i="68" s="1"/>
  <c r="FR368" i="77"/>
  <c r="AC368" i="71" s="1"/>
  <c r="FS368" i="77"/>
  <c r="AD368" i="71" s="1"/>
  <c r="AC444" i="77"/>
  <c r="AC444" i="39" s="1"/>
  <c r="AD444" i="77"/>
  <c r="AD444" i="39" s="1"/>
  <c r="EO427" i="77"/>
  <c r="AC427" i="70" s="1"/>
  <c r="EP427" i="77"/>
  <c r="AD427" i="70" s="1"/>
  <c r="AC402" i="77"/>
  <c r="AC402" i="39" s="1"/>
  <c r="AD402" i="77"/>
  <c r="AD402" i="39" s="1"/>
  <c r="AC411" i="65"/>
  <c r="AD411"/>
  <c r="AC431" i="68"/>
  <c r="AD431"/>
  <c r="BF400" i="77"/>
  <c r="AC400" i="65" s="1"/>
  <c r="BG400" i="77"/>
  <c r="AD400" i="65" s="1"/>
  <c r="AC437" i="77"/>
  <c r="AD437"/>
  <c r="FR427"/>
  <c r="AC427" i="71" s="1"/>
  <c r="FS427" i="77"/>
  <c r="AD427" i="71" s="1"/>
  <c r="AC411" i="74"/>
  <c r="AD411"/>
  <c r="AD441" i="71"/>
  <c r="AC430" i="77"/>
  <c r="AC430" i="39" s="1"/>
  <c r="AD430" i="77"/>
  <c r="AD430" i="39" s="1"/>
  <c r="BF428" i="77"/>
  <c r="AC428" i="65" s="1"/>
  <c r="BG428" i="77"/>
  <c r="AD428" i="65" s="1"/>
  <c r="BF438" i="77"/>
  <c r="AC411" i="71"/>
  <c r="AD411"/>
  <c r="BF432" i="77"/>
  <c r="BG432"/>
  <c r="FR406"/>
  <c r="AC406" i="71" s="1"/>
  <c r="FS406" i="77"/>
  <c r="AD406" i="71" s="1"/>
  <c r="AC435" i="77"/>
  <c r="AC435" i="39" s="1"/>
  <c r="AD435" i="77"/>
  <c r="AD435" i="39" s="1"/>
  <c r="FR438" i="77"/>
  <c r="FS438"/>
  <c r="AC405"/>
  <c r="AD405"/>
  <c r="AC401" i="65"/>
  <c r="AD401"/>
  <c r="BF427" i="77"/>
  <c r="AC427" i="65" s="1"/>
  <c r="BG427" i="77"/>
  <c r="AD427" i="65" s="1"/>
  <c r="AC423" i="77"/>
  <c r="AC423" i="39" s="1"/>
  <c r="AD423" i="77"/>
  <c r="AD423" i="39" s="1"/>
  <c r="AC411" i="70"/>
  <c r="AD411"/>
  <c r="FR432" i="77"/>
  <c r="FS432"/>
  <c r="GV430"/>
  <c r="AD430" i="72" s="1"/>
  <c r="AD404" i="77"/>
  <c r="AD404" i="39" s="1"/>
  <c r="CI404" i="77"/>
  <c r="AC404" i="68" s="1"/>
  <c r="CJ404" i="77"/>
  <c r="AD404" i="68" s="1"/>
  <c r="CI406" i="77"/>
  <c r="AC406" i="68" s="1"/>
  <c r="CJ406" i="77"/>
  <c r="AD406" i="68" s="1"/>
  <c r="FR428" i="77"/>
  <c r="AC428" i="71" s="1"/>
  <c r="FS428" i="77"/>
  <c r="AD428" i="71" s="1"/>
  <c r="FR423" i="77"/>
  <c r="AC423" i="71" s="1"/>
  <c r="FS423" i="77"/>
  <c r="AD423" i="71" s="1"/>
  <c r="BF429" i="77"/>
  <c r="AC429" i="65" s="1"/>
  <c r="BG429" i="77"/>
  <c r="AD429" i="65" s="1"/>
  <c r="AD401" i="71"/>
  <c r="AD441" i="72"/>
  <c r="AC441"/>
  <c r="AC428" i="77"/>
  <c r="AC428" i="39" s="1"/>
  <c r="AC431" i="73"/>
  <c r="AD431"/>
  <c r="FR400" i="77"/>
  <c r="AC400" i="71" s="1"/>
  <c r="FS400" i="77"/>
  <c r="AD400" i="71" s="1"/>
  <c r="FR436" i="77"/>
  <c r="AC436" i="71" s="1"/>
  <c r="FS436" i="77"/>
  <c r="AD436" i="71" s="1"/>
  <c r="EP400" i="77"/>
  <c r="AD400" i="70" s="1"/>
  <c r="AC438" i="77"/>
  <c r="AD438"/>
  <c r="AC436"/>
  <c r="AC436" i="39" s="1"/>
  <c r="AD436" i="77"/>
  <c r="AD436" i="39" s="1"/>
  <c r="AC401" i="73"/>
  <c r="AD401"/>
  <c r="AC431" i="39"/>
  <c r="AD431"/>
  <c r="AC462" i="77"/>
  <c r="AC462" i="39" s="1"/>
  <c r="AD462" i="77"/>
  <c r="AD462" i="39" s="1"/>
  <c r="EO455" i="77"/>
  <c r="AC455" i="70" s="1"/>
  <c r="AC461" i="39"/>
  <c r="AD461"/>
  <c r="FR455" i="77"/>
  <c r="AC455" i="71" s="1"/>
  <c r="FS455" i="77"/>
  <c r="AD455" i="71" s="1"/>
  <c r="GU449" i="77"/>
  <c r="AC449" i="72" s="1"/>
  <c r="GV449" i="77"/>
  <c r="AD449" i="72" s="1"/>
  <c r="FJ256" i="77" l="1"/>
  <c r="U256" i="71" s="1"/>
  <c r="EP431" i="77"/>
  <c r="EO431"/>
  <c r="HS413"/>
  <c r="HS215"/>
  <c r="HV215" s="1"/>
  <c r="HS148"/>
  <c r="HV148" s="1"/>
  <c r="HS178"/>
  <c r="HS144"/>
  <c r="HV144" s="1"/>
  <c r="HS113"/>
  <c r="HV113" s="1"/>
  <c r="DG167"/>
  <c r="DG165"/>
  <c r="GP153"/>
  <c r="GS153" s="1"/>
  <c r="GP171"/>
  <c r="GP107"/>
  <c r="GS107" s="1"/>
  <c r="AD231"/>
  <c r="AC231"/>
  <c r="EI122"/>
  <c r="CC102"/>
  <c r="HS181"/>
  <c r="HS184"/>
  <c r="HS291"/>
  <c r="HV291" s="1"/>
  <c r="HS136"/>
  <c r="HV136" s="1"/>
  <c r="HS16"/>
  <c r="HV16" s="1"/>
  <c r="HS157"/>
  <c r="HV157" s="1"/>
  <c r="DG148"/>
  <c r="IV413"/>
  <c r="IV137"/>
  <c r="IY137" s="1"/>
  <c r="CB183"/>
  <c r="EI254"/>
  <c r="AA301" i="39"/>
  <c r="AC301" i="77"/>
  <c r="AC301" i="39" s="1"/>
  <c r="AD301" i="77"/>
  <c r="AD301" i="39" s="1"/>
  <c r="AA345" i="71"/>
  <c r="FS345" i="77"/>
  <c r="AD345" i="71" s="1"/>
  <c r="FR345" i="77"/>
  <c r="AC345" i="71" s="1"/>
  <c r="EJ291" i="77"/>
  <c r="IV325"/>
  <c r="CB274"/>
  <c r="EH126"/>
  <c r="FJ393"/>
  <c r="U393" i="71" s="1"/>
  <c r="GR195" i="77"/>
  <c r="GV192"/>
  <c r="HS130"/>
  <c r="HV130" s="1"/>
  <c r="EG34"/>
  <c r="U34" i="70" s="1"/>
  <c r="CB266" i="77"/>
  <c r="CB279"/>
  <c r="IV282"/>
  <c r="IY282" s="1"/>
  <c r="JA170"/>
  <c r="FO115"/>
  <c r="HS300"/>
  <c r="EG330"/>
  <c r="U330" i="70" s="1"/>
  <c r="HS117" i="77"/>
  <c r="HV117" s="1"/>
  <c r="HS185"/>
  <c r="DG119"/>
  <c r="HS187"/>
  <c r="HS195"/>
  <c r="HV195" s="1"/>
  <c r="CD123"/>
  <c r="AD149"/>
  <c r="AC149"/>
  <c r="DG101"/>
  <c r="IV217"/>
  <c r="IY217" s="1"/>
  <c r="EJ148"/>
  <c r="FJ292"/>
  <c r="U292" i="71" s="1"/>
  <c r="HQ207" i="77"/>
  <c r="HS126"/>
  <c r="HV126" s="1"/>
  <c r="DF196"/>
  <c r="CB131"/>
  <c r="CB414"/>
  <c r="AX306"/>
  <c r="U306" i="65" s="1"/>
  <c r="HS308" i="77"/>
  <c r="HS128"/>
  <c r="HV128" s="1"/>
  <c r="DG186"/>
  <c r="GV195"/>
  <c r="DD338"/>
  <c r="U338" i="69" s="1"/>
  <c r="EH118" i="77"/>
  <c r="AX311"/>
  <c r="U311" i="65" s="1"/>
  <c r="EH122" i="77"/>
  <c r="HS461"/>
  <c r="HV461" s="1"/>
  <c r="HS108"/>
  <c r="HV108" s="1"/>
  <c r="HS137"/>
  <c r="HV137" s="1"/>
  <c r="EJ219"/>
  <c r="CC417"/>
  <c r="HP42"/>
  <c r="U42" i="73" s="1"/>
  <c r="EH243" i="77"/>
  <c r="CC279"/>
  <c r="HP379"/>
  <c r="U379" i="73" s="1"/>
  <c r="DD337" i="77"/>
  <c r="U337" i="69" s="1"/>
  <c r="HP334" i="77"/>
  <c r="U334" i="73" s="1"/>
  <c r="AY123" i="77"/>
  <c r="CC163"/>
  <c r="CB107"/>
  <c r="CB102"/>
  <c r="CC105"/>
  <c r="HS179"/>
  <c r="DG172"/>
  <c r="DG21"/>
  <c r="CD134"/>
  <c r="GP102"/>
  <c r="IV172"/>
  <c r="FM21"/>
  <c r="BA169"/>
  <c r="BA17"/>
  <c r="HX105"/>
  <c r="DG132"/>
  <c r="FM118"/>
  <c r="IT15"/>
  <c r="FM132"/>
  <c r="GP169"/>
  <c r="GU241"/>
  <c r="GU183"/>
  <c r="CB197"/>
  <c r="EJ161"/>
  <c r="CD190"/>
  <c r="AX327"/>
  <c r="U327" i="65" s="1"/>
  <c r="IV140" i="77"/>
  <c r="IY140" s="1"/>
  <c r="IV115"/>
  <c r="IY115" s="1"/>
  <c r="CB178"/>
  <c r="CC183"/>
  <c r="FR341"/>
  <c r="AC341" i="71" s="1"/>
  <c r="GU411" i="77"/>
  <c r="IV164"/>
  <c r="IY164" s="1"/>
  <c r="FM164"/>
  <c r="AA318" i="68"/>
  <c r="CJ318" i="77"/>
  <c r="AD318" i="68" s="1"/>
  <c r="CI318" i="77"/>
  <c r="AC318" i="68" s="1"/>
  <c r="FS404" i="77"/>
  <c r="AD404" i="71" s="1"/>
  <c r="FR404" i="77"/>
  <c r="AC404" i="71" s="1"/>
  <c r="HT255" i="77"/>
  <c r="GT255"/>
  <c r="HT252"/>
  <c r="GT252"/>
  <c r="GT432"/>
  <c r="HT432"/>
  <c r="HT369"/>
  <c r="GT369"/>
  <c r="HT234"/>
  <c r="GT234"/>
  <c r="HT355"/>
  <c r="GT355"/>
  <c r="HT388"/>
  <c r="GT388"/>
  <c r="HT378"/>
  <c r="GT378"/>
  <c r="GT406"/>
  <c r="HT406"/>
  <c r="GR406"/>
  <c r="Z406" i="72" s="1"/>
  <c r="GT386" i="77"/>
  <c r="HT386"/>
  <c r="GT373"/>
  <c r="HT373"/>
  <c r="GR373"/>
  <c r="Z373" i="72" s="1"/>
  <c r="AA312" i="71"/>
  <c r="FS312" i="77"/>
  <c r="AD312" i="71" s="1"/>
  <c r="FR312" i="77"/>
  <c r="AC312" i="71" s="1"/>
  <c r="HT379" i="77"/>
  <c r="GT379"/>
  <c r="GT428"/>
  <c r="HT428"/>
  <c r="HT415"/>
  <c r="GT415"/>
  <c r="HT407"/>
  <c r="GT407"/>
  <c r="HT364"/>
  <c r="GT364"/>
  <c r="HT435"/>
  <c r="GT435"/>
  <c r="HW172"/>
  <c r="IW172"/>
  <c r="IZ172" s="1"/>
  <c r="HT227"/>
  <c r="GT227"/>
  <c r="IZ182"/>
  <c r="IX182"/>
  <c r="HT357"/>
  <c r="GT357"/>
  <c r="GT438"/>
  <c r="HT438"/>
  <c r="HT232"/>
  <c r="GT232"/>
  <c r="IW174"/>
  <c r="IZ174" s="1"/>
  <c r="HW174"/>
  <c r="AZ250"/>
  <c r="GU156"/>
  <c r="AY116"/>
  <c r="CB391"/>
  <c r="DG102"/>
  <c r="IV144"/>
  <c r="IY144" s="1"/>
  <c r="FM163"/>
  <c r="GO118"/>
  <c r="CB116"/>
  <c r="HS332"/>
  <c r="BA106"/>
  <c r="BA125"/>
  <c r="EJ146"/>
  <c r="FM61"/>
  <c r="CB166"/>
  <c r="IV251"/>
  <c r="IY251" s="1"/>
  <c r="IV31"/>
  <c r="IY31" s="1"/>
  <c r="CB142"/>
  <c r="GP114"/>
  <c r="GS114" s="1"/>
  <c r="GU114" s="1"/>
  <c r="GP117"/>
  <c r="GS117" s="1"/>
  <c r="GU117" s="1"/>
  <c r="GT404"/>
  <c r="HT404"/>
  <c r="GR404"/>
  <c r="Z404" i="72" s="1"/>
  <c r="IW298" i="77"/>
  <c r="HW298"/>
  <c r="Y298" i="73"/>
  <c r="HU298" i="77"/>
  <c r="Z298" i="73" s="1"/>
  <c r="HT380" i="77"/>
  <c r="GT380"/>
  <c r="HT382"/>
  <c r="GT382"/>
  <c r="HT389"/>
  <c r="GT389"/>
  <c r="HT353"/>
  <c r="GT353"/>
  <c r="HT226"/>
  <c r="GT226"/>
  <c r="HT368"/>
  <c r="GT368"/>
  <c r="GR368"/>
  <c r="Z368" i="72" s="1"/>
  <c r="IW177" i="77"/>
  <c r="IZ177" s="1"/>
  <c r="HW177"/>
  <c r="AA318" i="72"/>
  <c r="GV318" i="77"/>
  <c r="AD318" i="72" s="1"/>
  <c r="GU318" i="77"/>
  <c r="AC318" i="72" s="1"/>
  <c r="GT367" i="77"/>
  <c r="HT367"/>
  <c r="GR367"/>
  <c r="Z367" i="72" s="1"/>
  <c r="GU195" i="77"/>
  <c r="GN118"/>
  <c r="BA121"/>
  <c r="CD136"/>
  <c r="CD117"/>
  <c r="CC166"/>
  <c r="AZ182"/>
  <c r="GP166"/>
  <c r="FM91"/>
  <c r="GP141"/>
  <c r="GS141" s="1"/>
  <c r="GP106"/>
  <c r="HT405"/>
  <c r="GT405"/>
  <c r="HT360"/>
  <c r="GT360"/>
  <c r="HT233"/>
  <c r="GT233"/>
  <c r="HT377"/>
  <c r="GT377"/>
  <c r="HT236"/>
  <c r="GT236"/>
  <c r="HT224"/>
  <c r="GT224"/>
  <c r="IW179"/>
  <c r="IZ179" s="1"/>
  <c r="HW179"/>
  <c r="AB298" i="72"/>
  <c r="GU298" i="77"/>
  <c r="AC298" i="72" s="1"/>
  <c r="GV298" i="77"/>
  <c r="AD298" i="72" s="1"/>
  <c r="AA310" i="39"/>
  <c r="AC310" i="77"/>
  <c r="AC310" i="39" s="1"/>
  <c r="AD310" i="77"/>
  <c r="AD310" i="39" s="1"/>
  <c r="IW171" i="77"/>
  <c r="IZ171" s="1"/>
  <c r="HW171"/>
  <c r="AA313" i="68"/>
  <c r="CI313" i="77"/>
  <c r="AC313" i="68" s="1"/>
  <c r="CJ313" i="77"/>
  <c r="AD313" i="68" s="1"/>
  <c r="HT358" i="77"/>
  <c r="GT358"/>
  <c r="HT383"/>
  <c r="GT383"/>
  <c r="HT374"/>
  <c r="GT374"/>
  <c r="HT228"/>
  <c r="GT228"/>
  <c r="HT408"/>
  <c r="GT408"/>
  <c r="HT238"/>
  <c r="GT238"/>
  <c r="HT220"/>
  <c r="GT220"/>
  <c r="HT359"/>
  <c r="GT359"/>
  <c r="HT206"/>
  <c r="GT206"/>
  <c r="HT249"/>
  <c r="GT249"/>
  <c r="HT439"/>
  <c r="GT439"/>
  <c r="GT400"/>
  <c r="HT400"/>
  <c r="HT425"/>
  <c r="GT425"/>
  <c r="IW178"/>
  <c r="IZ178" s="1"/>
  <c r="HW178"/>
  <c r="GO394"/>
  <c r="CC230"/>
  <c r="HX401"/>
  <c r="FR155"/>
  <c r="CC107"/>
  <c r="HS174"/>
  <c r="HS172"/>
  <c r="HS116"/>
  <c r="HV116" s="1"/>
  <c r="HS122"/>
  <c r="HV122" s="1"/>
  <c r="HS216"/>
  <c r="HV216" s="1"/>
  <c r="HS171"/>
  <c r="HS192"/>
  <c r="HV192" s="1"/>
  <c r="HS132"/>
  <c r="HV132" s="1"/>
  <c r="HS119"/>
  <c r="HV119" s="1"/>
  <c r="HS415"/>
  <c r="HV415" s="1"/>
  <c r="HS182"/>
  <c r="HS123"/>
  <c r="HV123" s="1"/>
  <c r="DG216"/>
  <c r="BA19"/>
  <c r="DG241"/>
  <c r="EJ187"/>
  <c r="EJ138"/>
  <c r="IV183"/>
  <c r="IY183" s="1"/>
  <c r="IV107"/>
  <c r="IY107" s="1"/>
  <c r="IV134"/>
  <c r="IY134" s="1"/>
  <c r="AY182"/>
  <c r="FM184"/>
  <c r="GT427"/>
  <c r="HT427"/>
  <c r="AA341" i="65"/>
  <c r="BF341" i="77"/>
  <c r="AC341" i="65" s="1"/>
  <c r="BG341" i="77"/>
  <c r="AD341" i="65" s="1"/>
  <c r="IW169" i="77"/>
  <c r="HW169"/>
  <c r="HT434"/>
  <c r="GT434"/>
  <c r="HT363"/>
  <c r="GT363"/>
  <c r="HT235"/>
  <c r="GT235"/>
  <c r="HT370"/>
  <c r="GT370"/>
  <c r="GR370"/>
  <c r="Z370" i="72" s="1"/>
  <c r="HT352" i="77"/>
  <c r="GT352"/>
  <c r="HW176"/>
  <c r="IW176"/>
  <c r="IZ176" s="1"/>
  <c r="AA341" i="69"/>
  <c r="DM341" i="77"/>
  <c r="AD341" i="69" s="1"/>
  <c r="DL341" i="77"/>
  <c r="AC341" i="69" s="1"/>
  <c r="HW180" i="77"/>
  <c r="IW180"/>
  <c r="IZ180" s="1"/>
  <c r="BA157"/>
  <c r="CA344"/>
  <c r="U344" i="68" s="1"/>
  <c r="FS341" i="77"/>
  <c r="AD341" i="71" s="1"/>
  <c r="AB323" i="72"/>
  <c r="GV323" i="77"/>
  <c r="AD323" i="72" s="1"/>
  <c r="GU323" i="77"/>
  <c r="AC323" i="72" s="1"/>
  <c r="AB346"/>
  <c r="GV346" i="77"/>
  <c r="AD346" i="72" s="1"/>
  <c r="GU346" i="77"/>
  <c r="AC346" i="72" s="1"/>
  <c r="IW347" i="77"/>
  <c r="HW347"/>
  <c r="Y347" i="73"/>
  <c r="HU347" i="77"/>
  <c r="Z347" i="73" s="1"/>
  <c r="AB341" i="72"/>
  <c r="GV341" i="77"/>
  <c r="AD341" i="72" s="1"/>
  <c r="GU341" i="77"/>
  <c r="AC341" i="72" s="1"/>
  <c r="HW323" i="77"/>
  <c r="IW323"/>
  <c r="Y323" i="73"/>
  <c r="HU323" i="77"/>
  <c r="Z323" i="73" s="1"/>
  <c r="IW345" i="77"/>
  <c r="HW345"/>
  <c r="Y345" i="73"/>
  <c r="HU345" i="77"/>
  <c r="Z345" i="73" s="1"/>
  <c r="IW341" i="77"/>
  <c r="HW341"/>
  <c r="Y341" i="73"/>
  <c r="HU341" i="77"/>
  <c r="Z341" i="73" s="1"/>
  <c r="IW336" i="77"/>
  <c r="HW336"/>
  <c r="Y336" i="73"/>
  <c r="HU336" i="77"/>
  <c r="Z336" i="73" s="1"/>
  <c r="AB345" i="72"/>
  <c r="GV345" i="77"/>
  <c r="AD345" i="72" s="1"/>
  <c r="GU345" i="77"/>
  <c r="AC345" i="72" s="1"/>
  <c r="IW329" i="77"/>
  <c r="HW329"/>
  <c r="Y329" i="73"/>
  <c r="HU329" i="77"/>
  <c r="Z329" i="73" s="1"/>
  <c r="IW346" i="77"/>
  <c r="HW346"/>
  <c r="Y346" i="73"/>
  <c r="HU346" i="77"/>
  <c r="Z346" i="73" s="1"/>
  <c r="HW307" i="77"/>
  <c r="IW307"/>
  <c r="Y307" i="73"/>
  <c r="HU307" i="77"/>
  <c r="Z307" i="73" s="1"/>
  <c r="AB318"/>
  <c r="HY318" i="77"/>
  <c r="AD318" i="73" s="1"/>
  <c r="HX318" i="77"/>
  <c r="AC318" i="73" s="1"/>
  <c r="HW315" i="77"/>
  <c r="IW315"/>
  <c r="Y315" i="73"/>
  <c r="HU315" i="77"/>
  <c r="Z315" i="73" s="1"/>
  <c r="HW302" i="77"/>
  <c r="IW302"/>
  <c r="Y302" i="73"/>
  <c r="HU302" i="77"/>
  <c r="Z302" i="73" s="1"/>
  <c r="IW301" i="77"/>
  <c r="HW301"/>
  <c r="Y301" i="73"/>
  <c r="HU301" i="77"/>
  <c r="Z301" i="73" s="1"/>
  <c r="IW320" i="77"/>
  <c r="HW320"/>
  <c r="Y320" i="73"/>
  <c r="HU320" i="77"/>
  <c r="Z320" i="73" s="1"/>
  <c r="IW312" i="77"/>
  <c r="HW312"/>
  <c r="Y312" i="73"/>
  <c r="HU312" i="77"/>
  <c r="Z312" i="73" s="1"/>
  <c r="AB302" i="72"/>
  <c r="GV302" i="77"/>
  <c r="AD302" i="72" s="1"/>
  <c r="GU302" i="77"/>
  <c r="AC302" i="72" s="1"/>
  <c r="IW304" i="77"/>
  <c r="HW304"/>
  <c r="Y304" i="73"/>
  <c r="HU304" i="77"/>
  <c r="Z304" i="73" s="1"/>
  <c r="IW319" i="77"/>
  <c r="HW319"/>
  <c r="Y319" i="73"/>
  <c r="AB313" i="72"/>
  <c r="GV313" i="77"/>
  <c r="AD313" i="72" s="1"/>
  <c r="GU313" i="77"/>
  <c r="AC313" i="72" s="1"/>
  <c r="AB304"/>
  <c r="GV304" i="77"/>
  <c r="AD304" i="72" s="1"/>
  <c r="GU304" i="77"/>
  <c r="AC304" i="72" s="1"/>
  <c r="HW313" i="77"/>
  <c r="IW313"/>
  <c r="Y313" i="73"/>
  <c r="HU313" i="77"/>
  <c r="Z313" i="73" s="1"/>
  <c r="IZ318" i="77"/>
  <c r="Y318" i="74"/>
  <c r="IX318" i="77"/>
  <c r="Z318" i="74" s="1"/>
  <c r="IV121" i="77"/>
  <c r="IY121" s="1"/>
  <c r="IV187"/>
  <c r="IV138"/>
  <c r="IY138" s="1"/>
  <c r="IV128"/>
  <c r="IY128" s="1"/>
  <c r="IV110"/>
  <c r="IY110" s="1"/>
  <c r="IV11"/>
  <c r="IY11" s="1"/>
  <c r="IV333"/>
  <c r="X333" i="74" s="1"/>
  <c r="IV171" i="77"/>
  <c r="IV316"/>
  <c r="U316" i="74"/>
  <c r="IY333" i="77"/>
  <c r="AA333" i="74" s="1"/>
  <c r="IT334" i="77"/>
  <c r="V334" i="74" s="1"/>
  <c r="O334"/>
  <c r="IU335" i="77"/>
  <c r="W335" i="74" s="1"/>
  <c r="P335"/>
  <c r="U337"/>
  <c r="IV337" i="77"/>
  <c r="U338" i="74"/>
  <c r="IV338" i="77"/>
  <c r="U326" i="74"/>
  <c r="IV326" i="77"/>
  <c r="U344" i="74"/>
  <c r="IV344" i="77"/>
  <c r="IV214"/>
  <c r="IY214" s="1"/>
  <c r="IT335"/>
  <c r="V335" i="74" s="1"/>
  <c r="O335"/>
  <c r="U343"/>
  <c r="IV343" i="77"/>
  <c r="U348" i="74"/>
  <c r="IV348" i="77"/>
  <c r="U306" i="74"/>
  <c r="IV306" i="77"/>
  <c r="U330" i="74"/>
  <c r="IV330" i="77"/>
  <c r="U300" i="74"/>
  <c r="IV300" i="77"/>
  <c r="IV129"/>
  <c r="IY129" s="1"/>
  <c r="IV415"/>
  <c r="IY415" s="1"/>
  <c r="IV112"/>
  <c r="IY112" s="1"/>
  <c r="IV174"/>
  <c r="IY310"/>
  <c r="AA310" i="74" s="1"/>
  <c r="X310"/>
  <c r="IY325" i="77"/>
  <c r="AA325" i="74" s="1"/>
  <c r="X325"/>
  <c r="U327"/>
  <c r="IV327" i="77"/>
  <c r="U339" i="74"/>
  <c r="IV339" i="77"/>
  <c r="U324" i="74"/>
  <c r="IV324" i="77"/>
  <c r="U342" i="74"/>
  <c r="IV342" i="77"/>
  <c r="U340" i="74"/>
  <c r="IV340" i="77"/>
  <c r="IV381"/>
  <c r="IY381" s="1"/>
  <c r="IV108"/>
  <c r="IY108" s="1"/>
  <c r="IV361"/>
  <c r="IY361" s="1"/>
  <c r="IV177"/>
  <c r="IV173"/>
  <c r="IX173" s="1"/>
  <c r="IV184"/>
  <c r="IV331"/>
  <c r="V331" i="74"/>
  <c r="IU334" i="77"/>
  <c r="W334" i="74" s="1"/>
  <c r="P334"/>
  <c r="U328"/>
  <c r="IV328" i="77"/>
  <c r="U308" i="74"/>
  <c r="IV308" i="77"/>
  <c r="U332" i="74"/>
  <c r="IV332" i="77"/>
  <c r="U314" i="74"/>
  <c r="IV314" i="77"/>
  <c r="IV416"/>
  <c r="IY416" s="1"/>
  <c r="IV141"/>
  <c r="IY141" s="1"/>
  <c r="IV102"/>
  <c r="IY102" s="1"/>
  <c r="IV126"/>
  <c r="IY126" s="1"/>
  <c r="IV118"/>
  <c r="IY118" s="1"/>
  <c r="HR120"/>
  <c r="HQ120"/>
  <c r="HS173"/>
  <c r="HR240"/>
  <c r="HS161"/>
  <c r="HV161" s="1"/>
  <c r="HU430"/>
  <c r="Z430" i="73" s="1"/>
  <c r="HS340" i="77"/>
  <c r="U340" i="73"/>
  <c r="HS342" i="77"/>
  <c r="U342" i="73"/>
  <c r="HS338" i="77"/>
  <c r="U338" i="73"/>
  <c r="HV348" i="77"/>
  <c r="AA348" i="73" s="1"/>
  <c r="X348"/>
  <c r="HV310" i="77"/>
  <c r="AA310" i="73" s="1"/>
  <c r="X310"/>
  <c r="U314"/>
  <c r="HS314" i="77"/>
  <c r="HV300"/>
  <c r="AA300" i="73" s="1"/>
  <c r="X300"/>
  <c r="HQ334" i="77"/>
  <c r="V334" i="73" s="1"/>
  <c r="O334"/>
  <c r="HV332" i="77"/>
  <c r="AA332" i="73" s="1"/>
  <c r="X332"/>
  <c r="HQ335" i="77"/>
  <c r="V335" i="73" s="1"/>
  <c r="O335"/>
  <c r="HS327" i="77"/>
  <c r="U327" i="73"/>
  <c r="U316"/>
  <c r="HS316" i="77"/>
  <c r="HV317"/>
  <c r="AA317" i="73" s="1"/>
  <c r="X317"/>
  <c r="HR334" i="77"/>
  <c r="W334" i="73" s="1"/>
  <c r="P334"/>
  <c r="HS325" i="77"/>
  <c r="V325" i="73"/>
  <c r="HV308" i="77"/>
  <c r="AA308" i="73" s="1"/>
  <c r="X308"/>
  <c r="HV309" i="77"/>
  <c r="AA309" i="73" s="1"/>
  <c r="X309"/>
  <c r="HR335" i="77"/>
  <c r="W335" i="73" s="1"/>
  <c r="P335"/>
  <c r="GN203" i="77"/>
  <c r="GV291"/>
  <c r="GV130"/>
  <c r="GP461"/>
  <c r="GP160"/>
  <c r="GS160" s="1"/>
  <c r="GU160" s="1"/>
  <c r="GM335"/>
  <c r="U335" i="72" s="1"/>
  <c r="GP185" i="77"/>
  <c r="GP129"/>
  <c r="GS129" s="1"/>
  <c r="GV129" s="1"/>
  <c r="GP175"/>
  <c r="GO203"/>
  <c r="GR291"/>
  <c r="GP108"/>
  <c r="GP146"/>
  <c r="GS146" s="1"/>
  <c r="GP232"/>
  <c r="GS232" s="1"/>
  <c r="GV114"/>
  <c r="GP142"/>
  <c r="GS142" s="1"/>
  <c r="GP137"/>
  <c r="GS137" s="1"/>
  <c r="GP132"/>
  <c r="GR132" s="1"/>
  <c r="GP163"/>
  <c r="GS163" s="1"/>
  <c r="GV117"/>
  <c r="GP159"/>
  <c r="GS166"/>
  <c r="GR166"/>
  <c r="GM317"/>
  <c r="U317" i="72" s="1"/>
  <c r="T317"/>
  <c r="GO335" i="77"/>
  <c r="W335" i="72" s="1"/>
  <c r="P335"/>
  <c r="GO338" i="77"/>
  <c r="W338" i="72" s="1"/>
  <c r="P338"/>
  <c r="GN300" i="77"/>
  <c r="V300" i="72" s="1"/>
  <c r="O300"/>
  <c r="GO324" i="77"/>
  <c r="W324" i="72" s="1"/>
  <c r="P324"/>
  <c r="GN299" i="77"/>
  <c r="V299" i="72" s="1"/>
  <c r="O299"/>
  <c r="GN309" i="77"/>
  <c r="V309" i="72" s="1"/>
  <c r="O309"/>
  <c r="GO342" i="77"/>
  <c r="W342" i="72" s="1"/>
  <c r="P342"/>
  <c r="GN306" i="77"/>
  <c r="V306" i="72" s="1"/>
  <c r="O306"/>
  <c r="GO340" i="77"/>
  <c r="W340" i="72" s="1"/>
  <c r="P340"/>
  <c r="GO344" i="77"/>
  <c r="W344" i="72" s="1"/>
  <c r="P344"/>
  <c r="GM334" i="77"/>
  <c r="U334" i="72" s="1"/>
  <c r="T334"/>
  <c r="GN335" i="77"/>
  <c r="V335" i="72" s="1"/>
  <c r="O335"/>
  <c r="GN338" i="77"/>
  <c r="V338" i="72" s="1"/>
  <c r="O338"/>
  <c r="GO339" i="77"/>
  <c r="W339" i="72" s="1"/>
  <c r="P339"/>
  <c r="GP308" i="77"/>
  <c r="U308" i="72"/>
  <c r="GN324" i="77"/>
  <c r="V324" i="72" s="1"/>
  <c r="O324"/>
  <c r="GO332" i="77"/>
  <c r="W332" i="72" s="1"/>
  <c r="P332"/>
  <c r="GP316" i="77"/>
  <c r="U316" i="72"/>
  <c r="GN342" i="77"/>
  <c r="V342" i="72" s="1"/>
  <c r="O342"/>
  <c r="GO343" i="77"/>
  <c r="W343" i="72" s="1"/>
  <c r="P343"/>
  <c r="GN340" i="77"/>
  <c r="V340" i="72" s="1"/>
  <c r="O340"/>
  <c r="GO326" i="77"/>
  <c r="W326" i="72" s="1"/>
  <c r="P326"/>
  <c r="GN344" i="77"/>
  <c r="V344" i="72" s="1"/>
  <c r="O344"/>
  <c r="GO328" i="77"/>
  <c r="W328" i="72" s="1"/>
  <c r="P328"/>
  <c r="GO331" i="77"/>
  <c r="W331" i="72" s="1"/>
  <c r="P331"/>
  <c r="GV163" i="77"/>
  <c r="GP104"/>
  <c r="GP165"/>
  <c r="GP173"/>
  <c r="GN314"/>
  <c r="V314" i="72" s="1"/>
  <c r="O314"/>
  <c r="GN339" i="77"/>
  <c r="V339" i="72" s="1"/>
  <c r="O339"/>
  <c r="GO327" i="77"/>
  <c r="W327" i="72" s="1"/>
  <c r="P327"/>
  <c r="GO325" i="77"/>
  <c r="W325" i="72" s="1"/>
  <c r="P325"/>
  <c r="GO333" i="77"/>
  <c r="W333" i="72" s="1"/>
  <c r="P333"/>
  <c r="GO348" i="77"/>
  <c r="W348" i="72" s="1"/>
  <c r="P348"/>
  <c r="GN332" i="77"/>
  <c r="V332" i="72" s="1"/>
  <c r="O332"/>
  <c r="GO337" i="77"/>
  <c r="W337" i="72" s="1"/>
  <c r="P337"/>
  <c r="GN343" i="77"/>
  <c r="V343" i="72" s="1"/>
  <c r="O343"/>
  <c r="GN326" i="77"/>
  <c r="V326" i="72" s="1"/>
  <c r="O326"/>
  <c r="GO330" i="77"/>
  <c r="W330" i="72" s="1"/>
  <c r="P330"/>
  <c r="GN328" i="77"/>
  <c r="V328" i="72" s="1"/>
  <c r="O328"/>
  <c r="GN331" i="77"/>
  <c r="V331" i="72" s="1"/>
  <c r="O331"/>
  <c r="GP215" i="77"/>
  <c r="GO314"/>
  <c r="W314" i="72" s="1"/>
  <c r="P314"/>
  <c r="GN327" i="77"/>
  <c r="V327" i="72" s="1"/>
  <c r="O327"/>
  <c r="GN325" i="77"/>
  <c r="V325" i="72" s="1"/>
  <c r="O325"/>
  <c r="GN333" i="77"/>
  <c r="V333" i="72" s="1"/>
  <c r="O333"/>
  <c r="GN348" i="77"/>
  <c r="V348" i="72" s="1"/>
  <c r="O348"/>
  <c r="GO300" i="77"/>
  <c r="W300" i="72" s="1"/>
  <c r="P300"/>
  <c r="GO299" i="77"/>
  <c r="W299" i="72" s="1"/>
  <c r="P299"/>
  <c r="GN337" i="77"/>
  <c r="V337" i="72" s="1"/>
  <c r="O337"/>
  <c r="GS310" i="77"/>
  <c r="AA310" i="72" s="1"/>
  <c r="X310"/>
  <c r="GO309" i="77"/>
  <c r="W309" i="72" s="1"/>
  <c r="P309"/>
  <c r="GO306" i="77"/>
  <c r="W306" i="72" s="1"/>
  <c r="P306"/>
  <c r="GN330" i="77"/>
  <c r="V330" i="72" s="1"/>
  <c r="O330"/>
  <c r="FP91" i="77"/>
  <c r="FO91"/>
  <c r="FM180"/>
  <c r="FM130"/>
  <c r="FM441"/>
  <c r="FM16"/>
  <c r="FM149"/>
  <c r="FM134"/>
  <c r="FP134" s="1"/>
  <c r="FM121"/>
  <c r="FM108"/>
  <c r="FM218"/>
  <c r="FM162"/>
  <c r="FO143"/>
  <c r="FM300"/>
  <c r="FO300" s="1"/>
  <c r="Z300" i="71" s="1"/>
  <c r="FM170" i="77"/>
  <c r="FM189"/>
  <c r="FM144"/>
  <c r="FM178"/>
  <c r="FM219"/>
  <c r="FM133"/>
  <c r="FM139"/>
  <c r="FM147"/>
  <c r="FJ59"/>
  <c r="U59" i="71" s="1"/>
  <c r="FK224" i="77"/>
  <c r="FM151"/>
  <c r="FP151" s="1"/>
  <c r="FM19"/>
  <c r="FP190"/>
  <c r="FM371"/>
  <c r="FM316"/>
  <c r="FO316" s="1"/>
  <c r="Z316" i="71" s="1"/>
  <c r="FM324" i="77"/>
  <c r="FO324" s="1"/>
  <c r="Z324" i="71" s="1"/>
  <c r="FM146" i="77"/>
  <c r="FO146" s="1"/>
  <c r="FM342"/>
  <c r="X342" i="71" s="1"/>
  <c r="V342"/>
  <c r="FM335" i="77"/>
  <c r="X335" i="71" s="1"/>
  <c r="V335"/>
  <c r="FM337" i="77"/>
  <c r="U337" i="71"/>
  <c r="FM344" i="77"/>
  <c r="U344" i="71"/>
  <c r="FM333" i="77"/>
  <c r="U333" i="71"/>
  <c r="FL125" i="77"/>
  <c r="FM412"/>
  <c r="FM126"/>
  <c r="FM179"/>
  <c r="FM119"/>
  <c r="FM169"/>
  <c r="FM192"/>
  <c r="FM334"/>
  <c r="FM339"/>
  <c r="U339" i="71"/>
  <c r="FM299" i="77"/>
  <c r="X299" i="71" s="1"/>
  <c r="U299"/>
  <c r="FM340" i="77"/>
  <c r="U340" i="71"/>
  <c r="FM348" i="77"/>
  <c r="U348" i="71"/>
  <c r="FM330" i="77"/>
  <c r="U330" i="71"/>
  <c r="FM261" i="77"/>
  <c r="FM306"/>
  <c r="U306" i="71"/>
  <c r="U314"/>
  <c r="FM314" i="77"/>
  <c r="FM326"/>
  <c r="U326" i="71"/>
  <c r="FM343" i="77"/>
  <c r="X343" i="71" s="1"/>
  <c r="U343"/>
  <c r="FP332" i="77"/>
  <c r="X332" i="71"/>
  <c r="FM325" i="77"/>
  <c r="U325" i="71"/>
  <c r="EI394" i="77"/>
  <c r="EJ344"/>
  <c r="X344" i="70" s="1"/>
  <c r="EH394" i="77"/>
  <c r="EJ13"/>
  <c r="EI330"/>
  <c r="W330" i="70" s="1"/>
  <c r="P330"/>
  <c r="EI311" i="77"/>
  <c r="W311" i="70" s="1"/>
  <c r="P311"/>
  <c r="EI308" i="77"/>
  <c r="W308" i="70" s="1"/>
  <c r="P308"/>
  <c r="EI331" i="77"/>
  <c r="W331" i="70" s="1"/>
  <c r="P331"/>
  <c r="EI305" i="77"/>
  <c r="W305" i="70" s="1"/>
  <c r="P305"/>
  <c r="EH325" i="77"/>
  <c r="V325" i="70" s="1"/>
  <c r="O325"/>
  <c r="EH326" i="77"/>
  <c r="V326" i="70" s="1"/>
  <c r="O326"/>
  <c r="EI339" i="77"/>
  <c r="W339" i="70" s="1"/>
  <c r="P339"/>
  <c r="EJ343" i="77"/>
  <c r="X343" i="70" s="1"/>
  <c r="U343"/>
  <c r="EH309" i="77"/>
  <c r="V309" i="70" s="1"/>
  <c r="O309"/>
  <c r="EI340" i="77"/>
  <c r="W340" i="70" s="1"/>
  <c r="P340"/>
  <c r="U314"/>
  <c r="EJ314" i="77"/>
  <c r="EG294"/>
  <c r="U294" i="70" s="1"/>
  <c r="EJ251" i="77"/>
  <c r="EJ183"/>
  <c r="EI316"/>
  <c r="W316" i="70" s="1"/>
  <c r="P316"/>
  <c r="EH330" i="77"/>
  <c r="V330" i="70" s="1"/>
  <c r="O330"/>
  <c r="EH331" i="77"/>
  <c r="V331" i="70" s="1"/>
  <c r="O331"/>
  <c r="EH305" i="77"/>
  <c r="V305" i="70" s="1"/>
  <c r="O305"/>
  <c r="EJ327" i="77"/>
  <c r="X327" i="70" s="1"/>
  <c r="U327"/>
  <c r="EJ337" i="77"/>
  <c r="X337" i="70" s="1"/>
  <c r="U337"/>
  <c r="EH339" i="77"/>
  <c r="V339" i="70" s="1"/>
  <c r="O339"/>
  <c r="EI303" i="77"/>
  <c r="W303" i="70" s="1"/>
  <c r="P303"/>
  <c r="EI299" i="77"/>
  <c r="W299" i="70" s="1"/>
  <c r="P299"/>
  <c r="EH340" i="77"/>
  <c r="V340" i="70" s="1"/>
  <c r="O340"/>
  <c r="EJ317" i="77"/>
  <c r="X317" i="70" s="1"/>
  <c r="U317"/>
  <c r="EH316" i="77"/>
  <c r="V316" i="70" s="1"/>
  <c r="O316"/>
  <c r="EH308" i="77"/>
  <c r="V308" i="70" s="1"/>
  <c r="O308"/>
  <c r="EJ310" i="77"/>
  <c r="X310" i="70" s="1"/>
  <c r="U310"/>
  <c r="EG333" i="77"/>
  <c r="U333" i="70" s="1"/>
  <c r="T333"/>
  <c r="EI321" i="77"/>
  <c r="W321" i="70" s="1"/>
  <c r="P321"/>
  <c r="EJ335" i="77"/>
  <c r="X335" i="70" s="1"/>
  <c r="U335"/>
  <c r="EH303" i="77"/>
  <c r="V303" i="70" s="1"/>
  <c r="O303"/>
  <c r="EI328" i="77"/>
  <c r="W328" i="70" s="1"/>
  <c r="P328"/>
  <c r="EI309" i="77"/>
  <c r="W309" i="70" s="1"/>
  <c r="P309"/>
  <c r="EH299" i="77"/>
  <c r="V299" i="70" s="1"/>
  <c r="O299"/>
  <c r="EI348" i="77"/>
  <c r="W348" i="70" s="1"/>
  <c r="P348"/>
  <c r="EG311" i="77"/>
  <c r="U311" i="70" s="1"/>
  <c r="T311"/>
  <c r="EJ196" i="77"/>
  <c r="EH311"/>
  <c r="V311" i="70" s="1"/>
  <c r="O311"/>
  <c r="EI325" i="77"/>
  <c r="W325" i="70" s="1"/>
  <c r="P325"/>
  <c r="EH321" i="77"/>
  <c r="V321" i="70" s="1"/>
  <c r="O321"/>
  <c r="EI326" i="77"/>
  <c r="W326" i="70" s="1"/>
  <c r="P326"/>
  <c r="EJ306" i="77"/>
  <c r="X306" i="70" s="1"/>
  <c r="U306"/>
  <c r="EH328" i="77"/>
  <c r="V328" i="70" s="1"/>
  <c r="O328"/>
  <c r="EH348" i="77"/>
  <c r="V348" i="70" s="1"/>
  <c r="O348"/>
  <c r="DF270" i="77"/>
  <c r="DD296"/>
  <c r="U296" i="69" s="1"/>
  <c r="DG348" i="77"/>
  <c r="X348" i="69" s="1"/>
  <c r="DE126" i="77"/>
  <c r="DE401"/>
  <c r="DG142"/>
  <c r="DG185"/>
  <c r="DF230"/>
  <c r="DG289"/>
  <c r="DJ289" s="1"/>
  <c r="DG198"/>
  <c r="DG261"/>
  <c r="DG16"/>
  <c r="DF401"/>
  <c r="DG309"/>
  <c r="X309" i="69" s="1"/>
  <c r="DG145" i="77"/>
  <c r="DD305"/>
  <c r="U305" i="69" s="1"/>
  <c r="T305"/>
  <c r="DF316" i="77"/>
  <c r="W316" i="69" s="1"/>
  <c r="P316"/>
  <c r="DF324" i="77"/>
  <c r="W324" i="69" s="1"/>
  <c r="P324"/>
  <c r="DE338" i="77"/>
  <c r="V338" i="69" s="1"/>
  <c r="O338"/>
  <c r="DE300" i="77"/>
  <c r="V300" i="69" s="1"/>
  <c r="O300"/>
  <c r="DF327" i="77"/>
  <c r="W327" i="69" s="1"/>
  <c r="P327"/>
  <c r="DF310" i="77"/>
  <c r="W310" i="69" s="1"/>
  <c r="P310"/>
  <c r="DF342" i="77"/>
  <c r="W342" i="69" s="1"/>
  <c r="P342"/>
  <c r="DE332" i="77"/>
  <c r="V332" i="69" s="1"/>
  <c r="O332"/>
  <c r="DF330" i="77"/>
  <c r="W330" i="69" s="1"/>
  <c r="P330"/>
  <c r="DE344" i="77"/>
  <c r="V344" i="69" s="1"/>
  <c r="O344"/>
  <c r="DE308" i="77"/>
  <c r="V308" i="69" s="1"/>
  <c r="O308"/>
  <c r="DE273" i="77"/>
  <c r="DF337"/>
  <c r="W337" i="69" s="1"/>
  <c r="P337"/>
  <c r="DE324" i="77"/>
  <c r="V324" i="69" s="1"/>
  <c r="O324"/>
  <c r="DF339" i="77"/>
  <c r="W339" i="69" s="1"/>
  <c r="P339"/>
  <c r="DG340" i="77"/>
  <c r="X340" i="69" s="1"/>
  <c r="U340"/>
  <c r="DE327" i="77"/>
  <c r="V327" i="69" s="1"/>
  <c r="O327"/>
  <c r="DF328" i="77"/>
  <c r="W328" i="69" s="1"/>
  <c r="P328"/>
  <c r="DE342" i="77"/>
  <c r="V342" i="69" s="1"/>
  <c r="O342"/>
  <c r="DE330" i="77"/>
  <c r="V330" i="69" s="1"/>
  <c r="O330"/>
  <c r="DF306" i="77"/>
  <c r="W306" i="69" s="1"/>
  <c r="P306"/>
  <c r="DD435" i="77"/>
  <c r="U435" i="69" s="1"/>
  <c r="DG122" i="77"/>
  <c r="DE337"/>
  <c r="V337" i="69" s="1"/>
  <c r="O337"/>
  <c r="DE339" i="77"/>
  <c r="V339" i="69" s="1"/>
  <c r="O339"/>
  <c r="DD317" i="77"/>
  <c r="U317" i="69" s="1"/>
  <c r="T317"/>
  <c r="DE310" i="77"/>
  <c r="V310" i="69" s="1"/>
  <c r="O310"/>
  <c r="DE328" i="77"/>
  <c r="V328" i="69" s="1"/>
  <c r="O328"/>
  <c r="DF343" i="77"/>
  <c r="W343" i="69" s="1"/>
  <c r="P343"/>
  <c r="DF325" i="77"/>
  <c r="W325" i="69" s="1"/>
  <c r="P325"/>
  <c r="DE306" i="77"/>
  <c r="V306" i="69" s="1"/>
  <c r="O306"/>
  <c r="DF303" i="77"/>
  <c r="W303" i="69" s="1"/>
  <c r="P303"/>
  <c r="DF308" i="77"/>
  <c r="W308" i="69" s="1"/>
  <c r="P308"/>
  <c r="DE314" i="77"/>
  <c r="V314" i="69" s="1"/>
  <c r="O314"/>
  <c r="DE316" i="77"/>
  <c r="V316" i="69" s="1"/>
  <c r="O316"/>
  <c r="DF338" i="77"/>
  <c r="W338" i="69" s="1"/>
  <c r="P338"/>
  <c r="DD339" i="77"/>
  <c r="U339" i="69" s="1"/>
  <c r="T339"/>
  <c r="DF300" i="77"/>
  <c r="W300" i="69" s="1"/>
  <c r="P300"/>
  <c r="DE343" i="77"/>
  <c r="V343" i="69" s="1"/>
  <c r="O343"/>
  <c r="DF332" i="77"/>
  <c r="W332" i="69" s="1"/>
  <c r="P332"/>
  <c r="DE325" i="77"/>
  <c r="V325" i="69" s="1"/>
  <c r="O325"/>
  <c r="DF344" i="77"/>
  <c r="W344" i="69" s="1"/>
  <c r="P344"/>
  <c r="DE303" i="77"/>
  <c r="V303" i="69" s="1"/>
  <c r="O303"/>
  <c r="DF314" i="77"/>
  <c r="W314" i="69" s="1"/>
  <c r="P314"/>
  <c r="DD382" i="77"/>
  <c r="U382" i="69" s="1"/>
  <c r="DG120" i="77"/>
  <c r="DF126"/>
  <c r="DG126" s="1"/>
  <c r="DD324"/>
  <c r="U324" i="69" s="1"/>
  <c r="DE196" i="77"/>
  <c r="DG194"/>
  <c r="DG291"/>
  <c r="DJ291" s="1"/>
  <c r="DG156"/>
  <c r="DJ156" s="1"/>
  <c r="DF251"/>
  <c r="CD231"/>
  <c r="CD147"/>
  <c r="CD174"/>
  <c r="CD122"/>
  <c r="CD143"/>
  <c r="CD111"/>
  <c r="CD141"/>
  <c r="CC114"/>
  <c r="CC197"/>
  <c r="CC116"/>
  <c r="CD146"/>
  <c r="CD328"/>
  <c r="X328" i="68" s="1"/>
  <c r="U328"/>
  <c r="CA317" i="77"/>
  <c r="U317" i="68" s="1"/>
  <c r="T317"/>
  <c r="CC243" i="77"/>
  <c r="CA337"/>
  <c r="U337" i="68" s="1"/>
  <c r="T337"/>
  <c r="CB324" i="77"/>
  <c r="V324" i="68" s="1"/>
  <c r="O324"/>
  <c r="CD330" i="77"/>
  <c r="X330" i="68" s="1"/>
  <c r="U330"/>
  <c r="CC309" i="77"/>
  <c r="W309" i="68" s="1"/>
  <c r="P309"/>
  <c r="CC308" i="77"/>
  <c r="W308" i="68" s="1"/>
  <c r="P308"/>
  <c r="CB310" i="77"/>
  <c r="V310" i="68" s="1"/>
  <c r="O310"/>
  <c r="CB344" i="77"/>
  <c r="V344" i="68" s="1"/>
  <c r="O344"/>
  <c r="CB243" i="77"/>
  <c r="CB105"/>
  <c r="CD334"/>
  <c r="X334" i="68" s="1"/>
  <c r="U334"/>
  <c r="CC331" i="77"/>
  <c r="W331" i="68" s="1"/>
  <c r="P331"/>
  <c r="CD299" i="77"/>
  <c r="X299" i="68" s="1"/>
  <c r="U299"/>
  <c r="CD339" i="77"/>
  <c r="X339" i="68" s="1"/>
  <c r="U339"/>
  <c r="CC314" i="77"/>
  <c r="W314" i="68" s="1"/>
  <c r="P314"/>
  <c r="CB309" i="77"/>
  <c r="V309" i="68" s="1"/>
  <c r="O309"/>
  <c r="CB308" i="77"/>
  <c r="V308" i="68" s="1"/>
  <c r="O308"/>
  <c r="CC324" i="77"/>
  <c r="W324" i="68" s="1"/>
  <c r="P324"/>
  <c r="CB331" i="77"/>
  <c r="V331" i="68" s="1"/>
  <c r="O331"/>
  <c r="CA340" i="77"/>
  <c r="U340" i="68" s="1"/>
  <c r="T340"/>
  <c r="CD335" i="77"/>
  <c r="X335" i="68" s="1"/>
  <c r="U335"/>
  <c r="CB314" i="77"/>
  <c r="V314" i="68" s="1"/>
  <c r="O314"/>
  <c r="CC310" i="77"/>
  <c r="W310" i="68" s="1"/>
  <c r="P310"/>
  <c r="CC344" i="77"/>
  <c r="W344" i="68" s="1"/>
  <c r="P344"/>
  <c r="BA167" i="77"/>
  <c r="BA211"/>
  <c r="AY188"/>
  <c r="BA188" s="1"/>
  <c r="BA177"/>
  <c r="BA113"/>
  <c r="BA129"/>
  <c r="AZ241"/>
  <c r="AZ142"/>
  <c r="BA150"/>
  <c r="BA218"/>
  <c r="BA131"/>
  <c r="BA132"/>
  <c r="AY115"/>
  <c r="AZ164"/>
  <c r="AY241"/>
  <c r="BA241" s="1"/>
  <c r="BA31"/>
  <c r="AY231"/>
  <c r="AX333"/>
  <c r="U333" i="65" s="1"/>
  <c r="BA391" i="77"/>
  <c r="BA124"/>
  <c r="AX343"/>
  <c r="U343" i="65" s="1"/>
  <c r="T343"/>
  <c r="AX332" i="77"/>
  <c r="U332" i="65" s="1"/>
  <c r="T332"/>
  <c r="BA334" i="77"/>
  <c r="X334" i="65" s="1"/>
  <c r="U334"/>
  <c r="AY306" i="77"/>
  <c r="V306" i="65" s="1"/>
  <c r="O306"/>
  <c r="AZ327" i="77"/>
  <c r="W327" i="65" s="1"/>
  <c r="P327"/>
  <c r="AX300" i="77"/>
  <c r="U300" i="65" s="1"/>
  <c r="T300"/>
  <c r="AZ338" i="77"/>
  <c r="W338" i="65" s="1"/>
  <c r="P338"/>
  <c r="AX299" i="77"/>
  <c r="U299" i="65" s="1"/>
  <c r="T299"/>
  <c r="AZ311" i="77"/>
  <c r="W311" i="65" s="1"/>
  <c r="P311"/>
  <c r="AY332" i="77"/>
  <c r="V332" i="65" s="1"/>
  <c r="O332"/>
  <c r="AX310" i="77"/>
  <c r="U310" i="65" s="1"/>
  <c r="T310"/>
  <c r="AY321" i="77"/>
  <c r="V321" i="65" s="1"/>
  <c r="O321"/>
  <c r="AZ300" i="77"/>
  <c r="W300" i="65" s="1"/>
  <c r="P300"/>
  <c r="BA309" i="77"/>
  <c r="X309" i="65" s="1"/>
  <c r="U309"/>
  <c r="BA184" i="77"/>
  <c r="BA140"/>
  <c r="AY137"/>
  <c r="AZ193"/>
  <c r="BA112"/>
  <c r="AY187"/>
  <c r="BA151"/>
  <c r="AX342"/>
  <c r="U342" i="65" s="1"/>
  <c r="T342"/>
  <c r="AZ316" i="77"/>
  <c r="W316" i="65" s="1"/>
  <c r="P316"/>
  <c r="AZ332" i="77"/>
  <c r="W332" i="65" s="1"/>
  <c r="P332"/>
  <c r="AZ321" i="77"/>
  <c r="W321" i="65" s="1"/>
  <c r="P321"/>
  <c r="AZ306" i="77"/>
  <c r="W306" i="65" s="1"/>
  <c r="P306"/>
  <c r="AY327" i="77"/>
  <c r="V327" i="65" s="1"/>
  <c r="O327"/>
  <c r="AZ333" i="77"/>
  <c r="W333" i="65" s="1"/>
  <c r="P333"/>
  <c r="AY338" i="77"/>
  <c r="V338" i="65" s="1"/>
  <c r="O338"/>
  <c r="U314"/>
  <c r="BA314" i="77"/>
  <c r="BA331"/>
  <c r="X331" i="65" s="1"/>
  <c r="AZ123" i="77"/>
  <c r="BA123" s="1"/>
  <c r="BD123" s="1"/>
  <c r="AY144"/>
  <c r="AY155"/>
  <c r="BA133"/>
  <c r="AX348"/>
  <c r="U348" i="65" s="1"/>
  <c r="BA128" i="77"/>
  <c r="BD271"/>
  <c r="AY180"/>
  <c r="BA328"/>
  <c r="X328" i="65" s="1"/>
  <c r="AZ187" i="77"/>
  <c r="AX326"/>
  <c r="U326" i="65" s="1"/>
  <c r="T326"/>
  <c r="AY316" i="77"/>
  <c r="V316" i="65" s="1"/>
  <c r="O316"/>
  <c r="AY311" i="77"/>
  <c r="V311" i="65" s="1"/>
  <c r="O311"/>
  <c r="BA340" i="77"/>
  <c r="X340" i="65" s="1"/>
  <c r="U340"/>
  <c r="AY333" i="77"/>
  <c r="V333" i="65" s="1"/>
  <c r="O333"/>
  <c r="AZ116" i="77"/>
  <c r="BA116" s="1"/>
  <c r="BC116" s="1"/>
  <c r="AZ155"/>
  <c r="BA194"/>
  <c r="AZ213"/>
  <c r="BA308"/>
  <c r="X308" i="65" s="1"/>
  <c r="BA160" i="77"/>
  <c r="AZ118"/>
  <c r="AZ180"/>
  <c r="AZ221"/>
  <c r="BA221" s="1"/>
  <c r="AZ181"/>
  <c r="BA344"/>
  <c r="X344" i="65" s="1"/>
  <c r="AZ231" i="77"/>
  <c r="AX338"/>
  <c r="U338" i="65" s="1"/>
  <c r="AZ191" i="77"/>
  <c r="FS321"/>
  <c r="AD321" i="71" s="1"/>
  <c r="CC272" i="77"/>
  <c r="Z329" i="39"/>
  <c r="Z321"/>
  <c r="Z307"/>
  <c r="DG335" i="77"/>
  <c r="DG381"/>
  <c r="DI381" s="1"/>
  <c r="GP182"/>
  <c r="GP188"/>
  <c r="GR188" s="1"/>
  <c r="BA251"/>
  <c r="BC251" s="1"/>
  <c r="BA330"/>
  <c r="X330" i="65" s="1"/>
  <c r="GP218" i="77"/>
  <c r="GS218" s="1"/>
  <c r="GP138"/>
  <c r="GS138" s="1"/>
  <c r="GP115"/>
  <c r="GS115" s="1"/>
  <c r="GP103"/>
  <c r="GS103" s="1"/>
  <c r="AY412"/>
  <c r="BA412" s="1"/>
  <c r="GR149"/>
  <c r="GS149"/>
  <c r="GU149" s="1"/>
  <c r="EJ281"/>
  <c r="FM419"/>
  <c r="FO419" s="1"/>
  <c r="DG214"/>
  <c r="DJ214" s="1"/>
  <c r="DG371"/>
  <c r="DJ371" s="1"/>
  <c r="FP193"/>
  <c r="FO193"/>
  <c r="DG163"/>
  <c r="DJ163" s="1"/>
  <c r="HS107"/>
  <c r="HV107" s="1"/>
  <c r="FM327"/>
  <c r="X327" i="71" s="1"/>
  <c r="GP219" i="77"/>
  <c r="GS219" s="1"/>
  <c r="BA134"/>
  <c r="BC134" s="1"/>
  <c r="FM416"/>
  <c r="FO416" s="1"/>
  <c r="FM186"/>
  <c r="FP186" s="1"/>
  <c r="FM110"/>
  <c r="FP110" s="1"/>
  <c r="FM308"/>
  <c r="X308" i="71" s="1"/>
  <c r="CD316" i="77"/>
  <c r="X316" i="68" s="1"/>
  <c r="CD191" i="77"/>
  <c r="CF191" s="1"/>
  <c r="CD338"/>
  <c r="GP143"/>
  <c r="GS143" s="1"/>
  <c r="GP19"/>
  <c r="GR19" s="1"/>
  <c r="DG154"/>
  <c r="EJ120"/>
  <c r="EL120" s="1"/>
  <c r="CD140"/>
  <c r="CF140" s="1"/>
  <c r="HS299"/>
  <c r="HS217"/>
  <c r="HS331"/>
  <c r="HS261"/>
  <c r="HV261" s="1"/>
  <c r="HS165"/>
  <c r="HV165" s="1"/>
  <c r="HS159"/>
  <c r="HV159" s="1"/>
  <c r="HS412"/>
  <c r="HV412" s="1"/>
  <c r="HS169"/>
  <c r="HU169" s="1"/>
  <c r="HS140"/>
  <c r="HV140" s="1"/>
  <c r="HS361"/>
  <c r="HV361" s="1"/>
  <c r="HS337"/>
  <c r="HS164"/>
  <c r="HV164" s="1"/>
  <c r="HS416"/>
  <c r="HV416" s="1"/>
  <c r="HS147"/>
  <c r="HV147" s="1"/>
  <c r="HS121"/>
  <c r="HV121" s="1"/>
  <c r="IX170"/>
  <c r="IV299"/>
  <c r="IV104"/>
  <c r="IY104" s="1"/>
  <c r="IV19"/>
  <c r="IY19" s="1"/>
  <c r="IV142"/>
  <c r="IY142" s="1"/>
  <c r="IV213"/>
  <c r="IY213" s="1"/>
  <c r="IV178"/>
  <c r="IY178" s="1"/>
  <c r="IV111"/>
  <c r="IY111" s="1"/>
  <c r="IV241"/>
  <c r="IY241" s="1"/>
  <c r="IV21"/>
  <c r="IY21" s="1"/>
  <c r="IV120"/>
  <c r="IY120" s="1"/>
  <c r="IV421"/>
  <c r="IY421" s="1"/>
  <c r="IV131"/>
  <c r="IY131" s="1"/>
  <c r="IV196"/>
  <c r="IY196" s="1"/>
  <c r="IV166"/>
  <c r="IY166" s="1"/>
  <c r="IV191"/>
  <c r="IY191" s="1"/>
  <c r="IU15"/>
  <c r="IV15" s="1"/>
  <c r="IY15" s="1"/>
  <c r="IV123"/>
  <c r="IY123" s="1"/>
  <c r="IV125"/>
  <c r="IY125" s="1"/>
  <c r="IV195"/>
  <c r="IY195" s="1"/>
  <c r="IV309"/>
  <c r="HS149"/>
  <c r="HV149" s="1"/>
  <c r="HS115"/>
  <c r="HV115" s="1"/>
  <c r="HS326"/>
  <c r="HS306"/>
  <c r="HR163"/>
  <c r="HS163" s="1"/>
  <c r="HS227"/>
  <c r="HS343"/>
  <c r="HR19"/>
  <c r="HS419"/>
  <c r="HV419" s="1"/>
  <c r="HS102"/>
  <c r="HV102" s="1"/>
  <c r="HS134"/>
  <c r="HV134" s="1"/>
  <c r="HS11"/>
  <c r="HV11" s="1"/>
  <c r="HS214"/>
  <c r="HV214" s="1"/>
  <c r="HQ19"/>
  <c r="HS333"/>
  <c r="HS344"/>
  <c r="HS160"/>
  <c r="HV160" s="1"/>
  <c r="HS330"/>
  <c r="HS391"/>
  <c r="HV391" s="1"/>
  <c r="HS110"/>
  <c r="HV110" s="1"/>
  <c r="HS15"/>
  <c r="HV15" s="1"/>
  <c r="HS143"/>
  <c r="HV143" s="1"/>
  <c r="HS190"/>
  <c r="HV190" s="1"/>
  <c r="HS21"/>
  <c r="HV21" s="1"/>
  <c r="HS210"/>
  <c r="HS196"/>
  <c r="HV196" s="1"/>
  <c r="GP61"/>
  <c r="GS61" s="1"/>
  <c r="GP155"/>
  <c r="GS155" s="1"/>
  <c r="GP136"/>
  <c r="GS136" s="1"/>
  <c r="GP325"/>
  <c r="GP431"/>
  <c r="GR431" s="1"/>
  <c r="GR117"/>
  <c r="GP213"/>
  <c r="GP371"/>
  <c r="GR371" s="1"/>
  <c r="GP340"/>
  <c r="FM172"/>
  <c r="FP172" s="1"/>
  <c r="FM109"/>
  <c r="FO109" s="1"/>
  <c r="FM338"/>
  <c r="FM196"/>
  <c r="FO196" s="1"/>
  <c r="FM177"/>
  <c r="FM194"/>
  <c r="FP194" s="1"/>
  <c r="FM113"/>
  <c r="FO113" s="1"/>
  <c r="FM173"/>
  <c r="FP173" s="1"/>
  <c r="FM122"/>
  <c r="FO122" s="1"/>
  <c r="FM361"/>
  <c r="FO361" s="1"/>
  <c r="FM161"/>
  <c r="FP161" s="1"/>
  <c r="FM102"/>
  <c r="FP102" s="1"/>
  <c r="FM310"/>
  <c r="X310" i="71" s="1"/>
  <c r="FM141" i="77"/>
  <c r="FM317"/>
  <c r="EM154"/>
  <c r="EL154"/>
  <c r="EJ103"/>
  <c r="EM103" s="1"/>
  <c r="EJ401"/>
  <c r="EM401" s="1"/>
  <c r="EJ171"/>
  <c r="EM171" s="1"/>
  <c r="EJ334"/>
  <c r="X334" i="70" s="1"/>
  <c r="EJ184" i="77"/>
  <c r="EL184" s="1"/>
  <c r="EJ305"/>
  <c r="EM305" s="1"/>
  <c r="AA305" i="70" s="1"/>
  <c r="EJ169" i="77"/>
  <c r="EJ199"/>
  <c r="EM199" s="1"/>
  <c r="EJ186"/>
  <c r="EM186" s="1"/>
  <c r="EJ300"/>
  <c r="EJ162"/>
  <c r="EJ421"/>
  <c r="EL421" s="1"/>
  <c r="EJ391"/>
  <c r="EM391" s="1"/>
  <c r="EJ338"/>
  <c r="EJ340"/>
  <c r="X340" i="70" s="1"/>
  <c r="DG108" i="77"/>
  <c r="DJ108" s="1"/>
  <c r="DG164"/>
  <c r="DJ164" s="1"/>
  <c r="DG195"/>
  <c r="DI195" s="1"/>
  <c r="DG158"/>
  <c r="DJ158" s="1"/>
  <c r="DG117"/>
  <c r="DJ117" s="1"/>
  <c r="CA73"/>
  <c r="U73" i="68" s="1"/>
  <c r="CC121" i="77"/>
  <c r="CB121"/>
  <c r="CD17"/>
  <c r="CG17" s="1"/>
  <c r="CD139"/>
  <c r="CF139" s="1"/>
  <c r="CD137"/>
  <c r="CF137" s="1"/>
  <c r="CD110"/>
  <c r="CG110" s="1"/>
  <c r="CD130"/>
  <c r="CG130" s="1"/>
  <c r="CD179"/>
  <c r="CF179" s="1"/>
  <c r="CD172"/>
  <c r="CF172" s="1"/>
  <c r="BD154"/>
  <c r="BC154"/>
  <c r="BA135"/>
  <c r="BC135" s="1"/>
  <c r="BA101"/>
  <c r="BC101" s="1"/>
  <c r="BA337"/>
  <c r="BA199"/>
  <c r="BC199" s="1"/>
  <c r="BA196"/>
  <c r="BC196" s="1"/>
  <c r="FP168"/>
  <c r="FO168"/>
  <c r="DG179"/>
  <c r="DI179" s="1"/>
  <c r="DG106"/>
  <c r="DI106" s="1"/>
  <c r="HS328"/>
  <c r="IV162"/>
  <c r="IY162" s="1"/>
  <c r="HS13"/>
  <c r="HV13" s="1"/>
  <c r="DG146"/>
  <c r="DI146" s="1"/>
  <c r="DG361"/>
  <c r="FM213"/>
  <c r="FP213" s="1"/>
  <c r="GP162"/>
  <c r="GR162" s="1"/>
  <c r="GP123"/>
  <c r="GR123" s="1"/>
  <c r="EJ113"/>
  <c r="EL113" s="1"/>
  <c r="BA162"/>
  <c r="BC162" s="1"/>
  <c r="FM135"/>
  <c r="FO135" s="1"/>
  <c r="FM107"/>
  <c r="FP107" s="1"/>
  <c r="FM309"/>
  <c r="X309" i="71" s="1"/>
  <c r="GP335" i="77"/>
  <c r="CD144"/>
  <c r="CF144" s="1"/>
  <c r="CD105"/>
  <c r="CF105" s="1"/>
  <c r="EJ173"/>
  <c r="EL173" s="1"/>
  <c r="BA416"/>
  <c r="GP186"/>
  <c r="GR186" s="1"/>
  <c r="GP17"/>
  <c r="GP338"/>
  <c r="DG143"/>
  <c r="HS241"/>
  <c r="HV241" s="1"/>
  <c r="DG71"/>
  <c r="GR163"/>
  <c r="BC186"/>
  <c r="BD186"/>
  <c r="FP188"/>
  <c r="FO188"/>
  <c r="DG339"/>
  <c r="DJ339" s="1"/>
  <c r="AA339" i="69" s="1"/>
  <c r="BA332" i="77"/>
  <c r="X332" i="65" s="1"/>
  <c r="DG133" i="77"/>
  <c r="DJ133" s="1"/>
  <c r="IV317"/>
  <c r="DG137"/>
  <c r="DJ137" s="1"/>
  <c r="DG401"/>
  <c r="DJ401" s="1"/>
  <c r="EJ108"/>
  <c r="EL108" s="1"/>
  <c r="EJ147"/>
  <c r="DG178"/>
  <c r="DJ178" s="1"/>
  <c r="IV139"/>
  <c r="IY139" s="1"/>
  <c r="FM221"/>
  <c r="FP221" s="1"/>
  <c r="EJ185"/>
  <c r="EL185" s="1"/>
  <c r="DG150"/>
  <c r="DI150" s="1"/>
  <c r="HS183"/>
  <c r="HV183" s="1"/>
  <c r="DG171"/>
  <c r="DI171" s="1"/>
  <c r="CD251"/>
  <c r="EJ140"/>
  <c r="EJ168"/>
  <c r="EL168" s="1"/>
  <c r="GP251"/>
  <c r="GR251" s="1"/>
  <c r="CD348"/>
  <c r="X348" i="68" s="1"/>
  <c r="CD193" i="77"/>
  <c r="CG193" s="1"/>
  <c r="EJ216"/>
  <c r="EM216" s="1"/>
  <c r="BA195"/>
  <c r="BD195" s="1"/>
  <c r="CD132"/>
  <c r="CG132" s="1"/>
  <c r="CD51"/>
  <c r="CF51" s="1"/>
  <c r="GP191"/>
  <c r="BA421"/>
  <c r="BD421" s="1"/>
  <c r="HS170"/>
  <c r="HU170" s="1"/>
  <c r="HS104"/>
  <c r="HV104" s="1"/>
  <c r="DG13"/>
  <c r="DJ13" s="1"/>
  <c r="IV91"/>
  <c r="IY91" s="1"/>
  <c r="HS142"/>
  <c r="HV142" s="1"/>
  <c r="IV133"/>
  <c r="IY133" s="1"/>
  <c r="HS31"/>
  <c r="HV31" s="1"/>
  <c r="HS324"/>
  <c r="DG190"/>
  <c r="DI190" s="1"/>
  <c r="DG196"/>
  <c r="DJ196" s="1"/>
  <c r="DG338"/>
  <c r="DJ338" s="1"/>
  <c r="AA338" i="69" s="1"/>
  <c r="IV391" i="77"/>
  <c r="IY391" s="1"/>
  <c r="IV12"/>
  <c r="IY12" s="1"/>
  <c r="EJ133"/>
  <c r="EM133" s="1"/>
  <c r="BA100"/>
  <c r="BC100" s="1"/>
  <c r="FM120"/>
  <c r="FP120" s="1"/>
  <c r="GP231"/>
  <c r="GS231" s="1"/>
  <c r="GP121"/>
  <c r="GR121" s="1"/>
  <c r="GP161"/>
  <c r="GS161" s="1"/>
  <c r="IV180"/>
  <c r="IY180" s="1"/>
  <c r="IV151"/>
  <c r="IY151" s="1"/>
  <c r="EJ141"/>
  <c r="EL141" s="1"/>
  <c r="EJ311"/>
  <c r="X311" i="70" s="1"/>
  <c r="BA174" i="77"/>
  <c r="BC174" s="1"/>
  <c r="BA114"/>
  <c r="BC114" s="1"/>
  <c r="BA144"/>
  <c r="BD144" s="1"/>
  <c r="FM167"/>
  <c r="FO167" s="1"/>
  <c r="FM328"/>
  <c r="X328" i="71" s="1"/>
  <c r="FM100" i="77"/>
  <c r="GP125"/>
  <c r="GS125" s="1"/>
  <c r="CD343"/>
  <c r="X343" i="68" s="1"/>
  <c r="CD112" i="77"/>
  <c r="CF112" s="1"/>
  <c r="CD197"/>
  <c r="CG197" s="1"/>
  <c r="IV113"/>
  <c r="IY113" s="1"/>
  <c r="IV175"/>
  <c r="IX175" s="1"/>
  <c r="EJ324"/>
  <c r="X324" i="70" s="1"/>
  <c r="EJ144" i="77"/>
  <c r="BA192"/>
  <c r="BD192" s="1"/>
  <c r="BA325"/>
  <c r="X325" i="65" s="1"/>
  <c r="GP187" i="77"/>
  <c r="GS187" s="1"/>
  <c r="GP111"/>
  <c r="GS111" s="1"/>
  <c r="GP151"/>
  <c r="GS151" s="1"/>
  <c r="GP172"/>
  <c r="GS172" s="1"/>
  <c r="CD261"/>
  <c r="CF261" s="1"/>
  <c r="HS218"/>
  <c r="HV218" s="1"/>
  <c r="DG12"/>
  <c r="DJ12" s="1"/>
  <c r="IV211"/>
  <c r="IY211" s="1"/>
  <c r="EJ241"/>
  <c r="EM241" s="1"/>
  <c r="EJ461"/>
  <c r="EL461" s="1"/>
  <c r="CD100"/>
  <c r="CG100" s="1"/>
  <c r="CD211"/>
  <c r="CF211" s="1"/>
  <c r="FM128"/>
  <c r="DG189"/>
  <c r="DI189" s="1"/>
  <c r="HS150"/>
  <c r="HV150" s="1"/>
  <c r="HS153"/>
  <c r="HV153" s="1"/>
  <c r="HS199"/>
  <c r="HV199" s="1"/>
  <c r="DG174"/>
  <c r="DI174" s="1"/>
  <c r="DG231"/>
  <c r="DI231" s="1"/>
  <c r="DG166"/>
  <c r="DJ166" s="1"/>
  <c r="IV122"/>
  <c r="IY122" s="1"/>
  <c r="EJ16"/>
  <c r="EL16" s="1"/>
  <c r="EJ132"/>
  <c r="EL132" s="1"/>
  <c r="EJ115"/>
  <c r="EM115" s="1"/>
  <c r="DG162"/>
  <c r="DJ162" s="1"/>
  <c r="DG197"/>
  <c r="DJ197" s="1"/>
  <c r="HS103"/>
  <c r="HV103" s="1"/>
  <c r="EJ179"/>
  <c r="GP300"/>
  <c r="FM210"/>
  <c r="FO210" s="1"/>
  <c r="FM148"/>
  <c r="FP148" s="1"/>
  <c r="GP101"/>
  <c r="GR101" s="1"/>
  <c r="CD150"/>
  <c r="CF150" s="1"/>
  <c r="CD417"/>
  <c r="CG417" s="1"/>
  <c r="EJ194"/>
  <c r="EM194" s="1"/>
  <c r="BA178"/>
  <c r="BD178" s="1"/>
  <c r="BA115"/>
  <c r="BC115" s="1"/>
  <c r="FM138"/>
  <c r="FO138" s="1"/>
  <c r="FM191"/>
  <c r="FO191" s="1"/>
  <c r="GP119"/>
  <c r="GS119" s="1"/>
  <c r="GP110"/>
  <c r="GS110" s="1"/>
  <c r="GP122"/>
  <c r="GR122" s="1"/>
  <c r="CD300"/>
  <c r="X300" i="68" s="1"/>
  <c r="CD281" i="77"/>
  <c r="CG281" s="1"/>
  <c r="FM137"/>
  <c r="CD31"/>
  <c r="CF31" s="1"/>
  <c r="CD219"/>
  <c r="CG219" s="1"/>
  <c r="CD361"/>
  <c r="CF361" s="1"/>
  <c r="GP21"/>
  <c r="GP342"/>
  <c r="EJ342"/>
  <c r="X342" i="70" s="1"/>
  <c r="BA317" i="77"/>
  <c r="X317" i="65" s="1"/>
  <c r="GP391" i="77"/>
  <c r="GS391" s="1"/>
  <c r="GP261"/>
  <c r="GS261" s="1"/>
  <c r="EJ143"/>
  <c r="EL143" s="1"/>
  <c r="EJ348"/>
  <c r="X348" i="70" s="1"/>
  <c r="FM31" i="77"/>
  <c r="FO31" s="1"/>
  <c r="CD183"/>
  <c r="CF183" s="1"/>
  <c r="AD215"/>
  <c r="AC215"/>
  <c r="FP331"/>
  <c r="AA331" i="71" s="1"/>
  <c r="FO331" i="77"/>
  <c r="Z331" i="71" s="1"/>
  <c r="FP271" i="77"/>
  <c r="FO271"/>
  <c r="HS219"/>
  <c r="HV219" s="1"/>
  <c r="HS177"/>
  <c r="HU177" s="1"/>
  <c r="HS111"/>
  <c r="HV111" s="1"/>
  <c r="DG316"/>
  <c r="X316" i="69" s="1"/>
  <c r="HS131" i="77"/>
  <c r="HV131" s="1"/>
  <c r="HS339"/>
  <c r="HS251"/>
  <c r="HV251" s="1"/>
  <c r="IV186"/>
  <c r="IX186" s="1"/>
  <c r="HS334"/>
  <c r="DG19"/>
  <c r="DI19" s="1"/>
  <c r="DG326"/>
  <c r="IV147"/>
  <c r="IY147" s="1"/>
  <c r="IV192"/>
  <c r="IY192" s="1"/>
  <c r="BA185"/>
  <c r="BC185" s="1"/>
  <c r="IV161"/>
  <c r="IY161" s="1"/>
  <c r="IV114"/>
  <c r="IY114" s="1"/>
  <c r="EJ128"/>
  <c r="EM128" s="1"/>
  <c r="EJ137"/>
  <c r="EM137" s="1"/>
  <c r="GP271"/>
  <c r="GS271" s="1"/>
  <c r="GU271" s="1"/>
  <c r="IV136"/>
  <c r="IY136" s="1"/>
  <c r="EJ131"/>
  <c r="EL131" s="1"/>
  <c r="EJ174"/>
  <c r="EM174" s="1"/>
  <c r="FM116"/>
  <c r="FO116" s="1"/>
  <c r="CD215"/>
  <c r="CF215" s="1"/>
  <c r="DG411"/>
  <c r="DJ411" s="1"/>
  <c r="DG310"/>
  <c r="IV221"/>
  <c r="IY221" s="1"/>
  <c r="BA137"/>
  <c r="BC137" s="1"/>
  <c r="GP381"/>
  <c r="GS381" s="1"/>
  <c r="GP147"/>
  <c r="GS147" s="1"/>
  <c r="EJ102"/>
  <c r="EM102" s="1"/>
  <c r="EJ197"/>
  <c r="EM197" s="1"/>
  <c r="BA215"/>
  <c r="BD215" s="1"/>
  <c r="FM217"/>
  <c r="FP217" s="1"/>
  <c r="CD129"/>
  <c r="CG129" s="1"/>
  <c r="DG218"/>
  <c r="DG308"/>
  <c r="X308" i="69" s="1"/>
  <c r="EJ142" i="77"/>
  <c r="EM142" s="1"/>
  <c r="CD218"/>
  <c r="CG218" s="1"/>
  <c r="CD421"/>
  <c r="CF421" s="1"/>
  <c r="EJ21"/>
  <c r="EM21" s="1"/>
  <c r="EJ211"/>
  <c r="EL211" s="1"/>
  <c r="IV116"/>
  <c r="IY116" s="1"/>
  <c r="EJ158"/>
  <c r="EL158" s="1"/>
  <c r="BA108"/>
  <c r="BD108" s="1"/>
  <c r="FM111"/>
  <c r="FO111" s="1"/>
  <c r="GP124"/>
  <c r="GR124" s="1"/>
  <c r="GP131"/>
  <c r="GR131" s="1"/>
  <c r="CD325"/>
  <c r="X325" i="68" s="1"/>
  <c r="EJ112" i="77"/>
  <c r="EM112" s="1"/>
  <c r="CD412"/>
  <c r="CF412" s="1"/>
  <c r="EJ182"/>
  <c r="EL182" s="1"/>
  <c r="CD169"/>
  <c r="CF169" s="1"/>
  <c r="GP343"/>
  <c r="IU145"/>
  <c r="IV109"/>
  <c r="IY109" s="1"/>
  <c r="EJ181"/>
  <c r="EM181" s="1"/>
  <c r="BA198"/>
  <c r="BD198" s="1"/>
  <c r="FM160"/>
  <c r="FO160" s="1"/>
  <c r="EJ110"/>
  <c r="EM110" s="1"/>
  <c r="DI326"/>
  <c r="Z326" i="69" s="1"/>
  <c r="FO110" i="77"/>
  <c r="CG191"/>
  <c r="FP116"/>
  <c r="IX221"/>
  <c r="FP419"/>
  <c r="FR419" s="1"/>
  <c r="FO213"/>
  <c r="IY177"/>
  <c r="IX177"/>
  <c r="IY173"/>
  <c r="JA173" s="1"/>
  <c r="IY184"/>
  <c r="IX184"/>
  <c r="BD162"/>
  <c r="BD337"/>
  <c r="AA337" i="65" s="1"/>
  <c r="FO172" i="77"/>
  <c r="BD199"/>
  <c r="GS171"/>
  <c r="GR171"/>
  <c r="DI122"/>
  <c r="DJ122"/>
  <c r="EM300"/>
  <c r="AA300" i="70" s="1"/>
  <c r="GS182" i="77"/>
  <c r="GR182"/>
  <c r="CF110"/>
  <c r="BD330"/>
  <c r="AA330" i="65" s="1"/>
  <c r="GS108" i="77"/>
  <c r="GU108" s="1"/>
  <c r="GR108"/>
  <c r="CF130"/>
  <c r="IX171"/>
  <c r="IY171"/>
  <c r="EM162"/>
  <c r="EL162"/>
  <c r="FP412"/>
  <c r="FO412"/>
  <c r="FO126"/>
  <c r="FP126"/>
  <c r="FP179"/>
  <c r="FO179"/>
  <c r="FP342"/>
  <c r="FO342"/>
  <c r="Z342" i="71" s="1"/>
  <c r="FP335" i="77"/>
  <c r="AA335" i="71" s="1"/>
  <c r="FO335" i="77"/>
  <c r="Z335" i="71" s="1"/>
  <c r="BD31" i="77"/>
  <c r="BC31"/>
  <c r="EL183"/>
  <c r="EM183"/>
  <c r="BC132"/>
  <c r="BD132"/>
  <c r="CF348"/>
  <c r="Z348" i="68" s="1"/>
  <c r="GS104" i="77"/>
  <c r="GR104"/>
  <c r="GS165"/>
  <c r="GU165" s="1"/>
  <c r="GR165"/>
  <c r="GS173"/>
  <c r="GR173"/>
  <c r="CG174"/>
  <c r="CJ174" s="1"/>
  <c r="CF174"/>
  <c r="FO120"/>
  <c r="GS121"/>
  <c r="GU121" s="1"/>
  <c r="CG112"/>
  <c r="CG261"/>
  <c r="FP191"/>
  <c r="DJ183"/>
  <c r="DI183"/>
  <c r="HU181"/>
  <c r="HV181"/>
  <c r="HX181" s="1"/>
  <c r="HV176"/>
  <c r="HU176"/>
  <c r="DI176"/>
  <c r="DJ176"/>
  <c r="DJ119"/>
  <c r="DI119"/>
  <c r="DJ148"/>
  <c r="DI148"/>
  <c r="DJ348"/>
  <c r="AA348" i="69" s="1"/>
  <c r="DI348" i="77"/>
  <c r="Z348" i="69" s="1"/>
  <c r="EL124" i="77"/>
  <c r="EM124"/>
  <c r="EM291"/>
  <c r="EL291"/>
  <c r="BC113"/>
  <c r="BD113"/>
  <c r="FP158"/>
  <c r="FO158"/>
  <c r="GR184"/>
  <c r="GS184"/>
  <c r="CF111"/>
  <c r="CG111"/>
  <c r="GR176"/>
  <c r="GS176"/>
  <c r="CG334"/>
  <c r="AA334" i="68" s="1"/>
  <c r="CF334" i="77"/>
  <c r="Z334" i="68" s="1"/>
  <c r="EM217" i="77"/>
  <c r="EL217"/>
  <c r="DI108"/>
  <c r="EL133"/>
  <c r="EL171"/>
  <c r="BD416"/>
  <c r="BC416"/>
  <c r="FP196"/>
  <c r="HV179"/>
  <c r="HU179"/>
  <c r="DJ194"/>
  <c r="DI194"/>
  <c r="DI153"/>
  <c r="DJ153"/>
  <c r="CG109"/>
  <c r="CF109"/>
  <c r="EL157"/>
  <c r="EM157"/>
  <c r="BD361"/>
  <c r="BC361"/>
  <c r="BD334"/>
  <c r="AA334" i="65" s="1"/>
  <c r="BC334" i="77"/>
  <c r="Z334" i="65" s="1"/>
  <c r="FP119" i="77"/>
  <c r="FO119"/>
  <c r="FP17"/>
  <c r="FO17"/>
  <c r="GS120"/>
  <c r="GU120" s="1"/>
  <c r="GR120"/>
  <c r="GR178"/>
  <c r="GS178"/>
  <c r="CG16"/>
  <c r="CF16"/>
  <c r="DJ186"/>
  <c r="DI186"/>
  <c r="DJ132"/>
  <c r="DI132"/>
  <c r="HV217"/>
  <c r="HX217" s="1"/>
  <c r="HU217"/>
  <c r="DJ185"/>
  <c r="DI185"/>
  <c r="DJ165"/>
  <c r="DI165"/>
  <c r="HV180"/>
  <c r="HU180"/>
  <c r="DJ115"/>
  <c r="DI115"/>
  <c r="EL145"/>
  <c r="EM145"/>
  <c r="BD172"/>
  <c r="BC172"/>
  <c r="BD125"/>
  <c r="BC125"/>
  <c r="FP421"/>
  <c r="FO421"/>
  <c r="FP19"/>
  <c r="FO19"/>
  <c r="CG143"/>
  <c r="CF143"/>
  <c r="EL100"/>
  <c r="EM100"/>
  <c r="DI156"/>
  <c r="DI178"/>
  <c r="EM421"/>
  <c r="DI117"/>
  <c r="JB101"/>
  <c r="JA101"/>
  <c r="EO81"/>
  <c r="EP81"/>
  <c r="EM219"/>
  <c r="EL219"/>
  <c r="CJ291"/>
  <c r="CI291"/>
  <c r="BF81"/>
  <c r="BG81"/>
  <c r="BD218"/>
  <c r="BC218"/>
  <c r="GR221"/>
  <c r="GS221"/>
  <c r="EL251"/>
  <c r="EM251"/>
  <c r="EM343"/>
  <c r="AA343" i="70" s="1"/>
  <c r="EL343" i="77"/>
  <c r="Z343" i="70" s="1"/>
  <c r="BD131" i="77"/>
  <c r="BC131"/>
  <c r="FP219"/>
  <c r="FS219" s="1"/>
  <c r="FO219"/>
  <c r="FP197"/>
  <c r="FO197"/>
  <c r="FP343"/>
  <c r="FO343"/>
  <c r="Z343" i="71" s="1"/>
  <c r="CF136" i="77"/>
  <c r="CG136"/>
  <c r="CG117"/>
  <c r="CF117"/>
  <c r="FO102"/>
  <c r="EM168"/>
  <c r="BD115"/>
  <c r="BD339"/>
  <c r="AA339" i="65" s="1"/>
  <c r="BC339" i="77"/>
  <c r="Z339" i="65" s="1"/>
  <c r="CG461" i="77"/>
  <c r="CF461"/>
  <c r="CG306"/>
  <c r="AA306" i="68" s="1"/>
  <c r="CF306" i="77"/>
  <c r="Z306" i="68" s="1"/>
  <c r="FO184" i="77"/>
  <c r="FP184"/>
  <c r="CF193"/>
  <c r="CF219"/>
  <c r="CF132"/>
  <c r="CG51"/>
  <c r="FO241"/>
  <c r="FP241"/>
  <c r="FO165"/>
  <c r="FP165"/>
  <c r="EM129"/>
  <c r="EL129"/>
  <c r="BD219"/>
  <c r="BC219"/>
  <c r="BC126"/>
  <c r="BD126"/>
  <c r="BD344"/>
  <c r="AA344" i="65" s="1"/>
  <c r="BC344" i="77"/>
  <c r="Z344" i="65" s="1"/>
  <c r="FP461" i="77"/>
  <c r="FO461"/>
  <c r="FP117"/>
  <c r="FO117"/>
  <c r="CF13"/>
  <c r="CG13"/>
  <c r="CG333"/>
  <c r="AA333" i="68" s="1"/>
  <c r="CF333" i="77"/>
  <c r="Z333" i="68" s="1"/>
  <c r="EM342" i="77"/>
  <c r="AA342" i="70" s="1"/>
  <c r="BD317" i="77"/>
  <c r="AA317" i="65" s="1"/>
  <c r="FP160" i="77"/>
  <c r="EM338"/>
  <c r="AA338" i="70" s="1"/>
  <c r="EL340" i="77"/>
  <c r="Z340" i="70" s="1"/>
  <c r="DG441" i="77"/>
  <c r="DG281"/>
  <c r="DF121"/>
  <c r="EH106"/>
  <c r="AY136"/>
  <c r="AY381"/>
  <c r="GO334"/>
  <c r="W334" i="72" s="1"/>
  <c r="EI135" i="77"/>
  <c r="GP193"/>
  <c r="CD185"/>
  <c r="DF305"/>
  <c r="W305" i="69" s="1"/>
  <c r="DF419" i="77"/>
  <c r="AZ310"/>
  <c r="W310" i="65" s="1"/>
  <c r="AY415" i="77"/>
  <c r="FM154"/>
  <c r="CC161"/>
  <c r="CC340"/>
  <c r="W340" i="68" s="1"/>
  <c r="EI271" i="77"/>
  <c r="AZ166"/>
  <c r="CC19"/>
  <c r="CC195"/>
  <c r="DE110"/>
  <c r="DF391"/>
  <c r="DF140"/>
  <c r="EH164"/>
  <c r="AZ170"/>
  <c r="CD154"/>
  <c r="AY13"/>
  <c r="AZ119"/>
  <c r="AZ110"/>
  <c r="AZ183"/>
  <c r="HU415"/>
  <c r="EH139"/>
  <c r="CB162"/>
  <c r="AZ153"/>
  <c r="AY461"/>
  <c r="EH188"/>
  <c r="CC317"/>
  <c r="W317" i="68" s="1"/>
  <c r="GN16" i="77"/>
  <c r="GO317"/>
  <c r="W317" i="72" s="1"/>
  <c r="CB61" i="77"/>
  <c r="CC176"/>
  <c r="AZ18"/>
  <c r="AZ175"/>
  <c r="AY179"/>
  <c r="AZ210"/>
  <c r="GR199"/>
  <c r="GR129"/>
  <c r="EH117"/>
  <c r="AY261"/>
  <c r="AZ343"/>
  <c r="W343" i="65" s="1"/>
  <c r="AY342" i="77"/>
  <c r="V342" i="65" s="1"/>
  <c r="CC21" i="77"/>
  <c r="CB106"/>
  <c r="CC103"/>
  <c r="CC126"/>
  <c r="AZ413"/>
  <c r="FM12"/>
  <c r="CB81"/>
  <c r="CD81" s="1"/>
  <c r="CB120"/>
  <c r="DJ17"/>
  <c r="DI17"/>
  <c r="HV174"/>
  <c r="HU174"/>
  <c r="HU184"/>
  <c r="HV184"/>
  <c r="HV171"/>
  <c r="HU171"/>
  <c r="DI145"/>
  <c r="DJ145"/>
  <c r="DJ261"/>
  <c r="DI261"/>
  <c r="HV182"/>
  <c r="HU182"/>
  <c r="DJ216"/>
  <c r="DI216"/>
  <c r="DJ116"/>
  <c r="DI116"/>
  <c r="IX413"/>
  <c r="IY413"/>
  <c r="IX103"/>
  <c r="IY103"/>
  <c r="BD19"/>
  <c r="BC19"/>
  <c r="BD335"/>
  <c r="AA335" i="65" s="1"/>
  <c r="BC335" i="77"/>
  <c r="Z335" i="65" s="1"/>
  <c r="FP150" i="77"/>
  <c r="FO150"/>
  <c r="FP103"/>
  <c r="FO103"/>
  <c r="CG441"/>
  <c r="CF441"/>
  <c r="BD190"/>
  <c r="BC190"/>
  <c r="FP198"/>
  <c r="FO198"/>
  <c r="GR81"/>
  <c r="GS81"/>
  <c r="DI103"/>
  <c r="DJ103"/>
  <c r="DI193"/>
  <c r="DJ193"/>
  <c r="GS164"/>
  <c r="GU164" s="1"/>
  <c r="GR164"/>
  <c r="IX185"/>
  <c r="IY185"/>
  <c r="IX100"/>
  <c r="IY100"/>
  <c r="EM13"/>
  <c r="EL13"/>
  <c r="BC184"/>
  <c r="BD184"/>
  <c r="BC140"/>
  <c r="BD140"/>
  <c r="FO180"/>
  <c r="FP180"/>
  <c r="GS175"/>
  <c r="GR175"/>
  <c r="CG164"/>
  <c r="CF164"/>
  <c r="DI101"/>
  <c r="DJ101"/>
  <c r="HU413"/>
  <c r="HV413"/>
  <c r="HV178"/>
  <c r="HU178"/>
  <c r="DI241"/>
  <c r="DJ241"/>
  <c r="DI221"/>
  <c r="DJ221"/>
  <c r="HV173"/>
  <c r="HU173"/>
  <c r="DJ177"/>
  <c r="DI177"/>
  <c r="EM148"/>
  <c r="EL148"/>
  <c r="BD121"/>
  <c r="BC121"/>
  <c r="FP371"/>
  <c r="FO371"/>
  <c r="FP130"/>
  <c r="FO130"/>
  <c r="CF141"/>
  <c r="CG141"/>
  <c r="CJ158"/>
  <c r="CI158"/>
  <c r="BC167"/>
  <c r="BD167"/>
  <c r="CG335"/>
  <c r="AA335" i="68" s="1"/>
  <c r="CF335" i="77"/>
  <c r="Z335" i="68" s="1"/>
  <c r="EM187" i="77"/>
  <c r="EL187"/>
  <c r="EM138"/>
  <c r="EL138"/>
  <c r="BC160"/>
  <c r="BD160"/>
  <c r="BD340"/>
  <c r="AA340" i="65" s="1"/>
  <c r="FO169" i="77"/>
  <c r="FP169"/>
  <c r="FP192"/>
  <c r="FO192"/>
  <c r="CF147"/>
  <c r="CG147"/>
  <c r="CG328"/>
  <c r="AA328" i="68" s="1"/>
  <c r="CF328" i="77"/>
  <c r="Z328" i="68" s="1"/>
  <c r="BD328" i="77"/>
  <c r="AA328" i="65" s="1"/>
  <c r="BC328" i="77"/>
  <c r="Z328" i="65" s="1"/>
  <c r="FP118" i="77"/>
  <c r="FO118"/>
  <c r="CG124"/>
  <c r="CF124"/>
  <c r="FP11"/>
  <c r="FO11"/>
  <c r="GS169"/>
  <c r="GR169"/>
  <c r="EM125"/>
  <c r="EL125"/>
  <c r="BC16"/>
  <c r="BD16"/>
  <c r="BD324"/>
  <c r="AA324" i="65" s="1"/>
  <c r="BC324" i="77"/>
  <c r="Z324" i="65" s="1"/>
  <c r="FP185" i="77"/>
  <c r="FO185"/>
  <c r="CG125"/>
  <c r="CF125"/>
  <c r="CG12"/>
  <c r="CF12"/>
  <c r="AD222"/>
  <c r="HS14"/>
  <c r="DG107"/>
  <c r="DG416"/>
  <c r="HS18"/>
  <c r="DG421"/>
  <c r="HS135"/>
  <c r="HV135" s="1"/>
  <c r="DG11"/>
  <c r="DG147"/>
  <c r="DG168"/>
  <c r="DG431"/>
  <c r="DG100"/>
  <c r="EJ118"/>
  <c r="EJ177"/>
  <c r="EJ330"/>
  <c r="X330" i="70" s="1"/>
  <c r="BA12" i="77"/>
  <c r="BA159"/>
  <c r="FM187"/>
  <c r="FM125"/>
  <c r="CD163"/>
  <c r="CD131"/>
  <c r="CD414"/>
  <c r="EJ166"/>
  <c r="EJ122"/>
  <c r="EJ412"/>
  <c r="FM391"/>
  <c r="CD157"/>
  <c r="CD331"/>
  <c r="X331" i="68" s="1"/>
  <c r="IV16" i="77"/>
  <c r="IY16" s="1"/>
  <c r="IV179"/>
  <c r="EJ12"/>
  <c r="EJ308"/>
  <c r="X308" i="70" s="1"/>
  <c r="EJ331" i="77"/>
  <c r="X331" i="70" s="1"/>
  <c r="EJ419" i="77"/>
  <c r="BA189"/>
  <c r="GP14"/>
  <c r="GP339"/>
  <c r="DG105"/>
  <c r="DE123"/>
  <c r="DE215"/>
  <c r="DG300"/>
  <c r="X300" i="69" s="1"/>
  <c r="HR112" i="77"/>
  <c r="HS221"/>
  <c r="DG328"/>
  <c r="X328" i="69" s="1"/>
  <c r="IV157" i="77"/>
  <c r="IY157" s="1"/>
  <c r="EJ116"/>
  <c r="EJ325"/>
  <c r="X325" i="70" s="1"/>
  <c r="AY158" i="77"/>
  <c r="FM71"/>
  <c r="FM131"/>
  <c r="GP118"/>
  <c r="GN334"/>
  <c r="V334" i="72" s="1"/>
  <c r="CD116" i="77"/>
  <c r="CD182"/>
  <c r="EH135"/>
  <c r="BA103"/>
  <c r="BA306"/>
  <c r="X306" i="65" s="1"/>
  <c r="AY348" i="77"/>
  <c r="V348" i="65" s="1"/>
  <c r="CC156" i="77"/>
  <c r="CD216"/>
  <c r="CB337"/>
  <c r="V337" i="68" s="1"/>
  <c r="AY164" i="77"/>
  <c r="BA164" s="1"/>
  <c r="HS151"/>
  <c r="HV151" s="1"/>
  <c r="DF199"/>
  <c r="DG417"/>
  <c r="DG169"/>
  <c r="DE305"/>
  <c r="V305" i="69" s="1"/>
  <c r="DG325" i="77"/>
  <c r="X325" i="69" s="1"/>
  <c r="DG461" i="77"/>
  <c r="DE419"/>
  <c r="EJ149"/>
  <c r="AZ415"/>
  <c r="CB199"/>
  <c r="IV231"/>
  <c r="IY231" s="1"/>
  <c r="EH167"/>
  <c r="EI333"/>
  <c r="W333" i="70" s="1"/>
  <c r="CB19" i="77"/>
  <c r="CD19" s="1"/>
  <c r="CC196"/>
  <c r="CD171"/>
  <c r="DF134"/>
  <c r="DG415"/>
  <c r="DG175"/>
  <c r="DG306"/>
  <c r="X306" i="69" s="1"/>
  <c r="HS335" i="77"/>
  <c r="DG113"/>
  <c r="DG251"/>
  <c r="DG303"/>
  <c r="X303" i="69" s="1"/>
  <c r="DG191" i="77"/>
  <c r="DG314"/>
  <c r="X314" i="69" s="1"/>
  <c r="IV167" i="77"/>
  <c r="IY167" s="1"/>
  <c r="EI164"/>
  <c r="EJ326"/>
  <c r="X326" i="70" s="1"/>
  <c r="AY170" i="77"/>
  <c r="FL112"/>
  <c r="GP324"/>
  <c r="CC108"/>
  <c r="CD165"/>
  <c r="EJ101"/>
  <c r="EJ178"/>
  <c r="AY91"/>
  <c r="AY110"/>
  <c r="AZ41"/>
  <c r="AZ111"/>
  <c r="GR160"/>
  <c r="GP216"/>
  <c r="EJ155"/>
  <c r="FM176"/>
  <c r="GP196"/>
  <c r="CD192"/>
  <c r="CD194"/>
  <c r="EJ126"/>
  <c r="EJ153"/>
  <c r="EJ210"/>
  <c r="BA130"/>
  <c r="CD217"/>
  <c r="CC162"/>
  <c r="CD177"/>
  <c r="CD310"/>
  <c r="X310" i="68" s="1"/>
  <c r="IV165" i="77"/>
  <c r="IY165" s="1"/>
  <c r="EJ19"/>
  <c r="EJ189"/>
  <c r="EJ309"/>
  <c r="X309" i="70" s="1"/>
  <c r="BA197" i="77"/>
  <c r="AX461"/>
  <c r="GP177"/>
  <c r="CD142"/>
  <c r="CD416"/>
  <c r="IV13"/>
  <c r="IY13" s="1"/>
  <c r="EI123"/>
  <c r="EI188"/>
  <c r="EJ381"/>
  <c r="FM81"/>
  <c r="CB317"/>
  <c r="GP133"/>
  <c r="GS133" s="1"/>
  <c r="FM211"/>
  <c r="GN317"/>
  <c r="CA61"/>
  <c r="CD241"/>
  <c r="EI31"/>
  <c r="EJ91"/>
  <c r="AX18"/>
  <c r="AY210"/>
  <c r="BA210" s="1"/>
  <c r="AZ201"/>
  <c r="BA338"/>
  <c r="X338" i="65" s="1"/>
  <c r="GP326" i="77"/>
  <c r="CD115"/>
  <c r="FM123"/>
  <c r="IT145"/>
  <c r="IV145" s="1"/>
  <c r="IY145" s="1"/>
  <c r="EI221"/>
  <c r="BA145"/>
  <c r="AY117"/>
  <c r="AZ261"/>
  <c r="AZ326"/>
  <c r="W326" i="65" s="1"/>
  <c r="FM124" i="77"/>
  <c r="GP174"/>
  <c r="CB103"/>
  <c r="CD91"/>
  <c r="CB126"/>
  <c r="CB184"/>
  <c r="IT159"/>
  <c r="EJ165"/>
  <c r="EJ176"/>
  <c r="EI136"/>
  <c r="CD344"/>
  <c r="X344" i="68" s="1"/>
  <c r="DJ120" i="77"/>
  <c r="DI120"/>
  <c r="HV185"/>
  <c r="HU185"/>
  <c r="DJ102"/>
  <c r="DI102"/>
  <c r="HU187"/>
  <c r="HV187"/>
  <c r="HV100"/>
  <c r="HU100"/>
  <c r="DI16"/>
  <c r="DJ16"/>
  <c r="EL159"/>
  <c r="EM159"/>
  <c r="BD177"/>
  <c r="BC177"/>
  <c r="BD129"/>
  <c r="BC129"/>
  <c r="FP291"/>
  <c r="FO291"/>
  <c r="FP163"/>
  <c r="FO163"/>
  <c r="CF190"/>
  <c r="CG190"/>
  <c r="FP159"/>
  <c r="FO159"/>
  <c r="BC168"/>
  <c r="BD168"/>
  <c r="EP313"/>
  <c r="AD313" i="70" s="1"/>
  <c r="EO313" i="77"/>
  <c r="AC313" i="70" s="1"/>
  <c r="DJ146" i="77"/>
  <c r="DJ361"/>
  <c r="DI361"/>
  <c r="EM311"/>
  <c r="AA311" i="70" s="1"/>
  <c r="BC144" i="77"/>
  <c r="FP100"/>
  <c r="FO100"/>
  <c r="EM144"/>
  <c r="EL144"/>
  <c r="DJ91"/>
  <c r="DI91"/>
  <c r="DJ340"/>
  <c r="AA340" i="69" s="1"/>
  <c r="DI340" i="77"/>
  <c r="Z340" i="69" s="1"/>
  <c r="EM327" i="77"/>
  <c r="AA327" i="70" s="1"/>
  <c r="EL327" i="77"/>
  <c r="Z327" i="70" s="1"/>
  <c r="GS415" i="77"/>
  <c r="GR415"/>
  <c r="GS181"/>
  <c r="GR181"/>
  <c r="CG299"/>
  <c r="AA299" i="68" s="1"/>
  <c r="CF299" i="77"/>
  <c r="Z299" i="68" s="1"/>
  <c r="EM416" i="77"/>
  <c r="EL416"/>
  <c r="EM337"/>
  <c r="AA337" i="70" s="1"/>
  <c r="EL337" i="77"/>
  <c r="Z337" i="70" s="1"/>
  <c r="BD217" i="77"/>
  <c r="BC217"/>
  <c r="BD21"/>
  <c r="BC21"/>
  <c r="BC133"/>
  <c r="BD133"/>
  <c r="CG187"/>
  <c r="CF187"/>
  <c r="DI310"/>
  <c r="Z310" i="69" s="1"/>
  <c r="DI154" i="77"/>
  <c r="DJ154"/>
  <c r="EM169"/>
  <c r="EL169"/>
  <c r="EM147"/>
  <c r="EL147"/>
  <c r="FO128"/>
  <c r="FP128"/>
  <c r="DJ188"/>
  <c r="DI188"/>
  <c r="DJ167"/>
  <c r="DI167"/>
  <c r="DJ334"/>
  <c r="AA334" i="69" s="1"/>
  <c r="DI334" i="77"/>
  <c r="Z334" i="69" s="1"/>
  <c r="IX187" i="77"/>
  <c r="IY187"/>
  <c r="EM344"/>
  <c r="AA344" i="70" s="1"/>
  <c r="EL344" i="77"/>
  <c r="Z344" i="70" s="1"/>
  <c r="BD106" i="77"/>
  <c r="BC106"/>
  <c r="FP121"/>
  <c r="FO121"/>
  <c r="FP108"/>
  <c r="FO108"/>
  <c r="DJ143"/>
  <c r="DI143"/>
  <c r="DI71"/>
  <c r="DJ71"/>
  <c r="EM281"/>
  <c r="EL281"/>
  <c r="BC215"/>
  <c r="HU189"/>
  <c r="HV189"/>
  <c r="JB81"/>
  <c r="JA81"/>
  <c r="EM179"/>
  <c r="EL179"/>
  <c r="FP177"/>
  <c r="FO177"/>
  <c r="CG251"/>
  <c r="CF251"/>
  <c r="EM140"/>
  <c r="EL140"/>
  <c r="BC104"/>
  <c r="BD104"/>
  <c r="FP178"/>
  <c r="FO178"/>
  <c r="CG231"/>
  <c r="CF231"/>
  <c r="EL196"/>
  <c r="EM196"/>
  <c r="EM335"/>
  <c r="AA335" i="70" s="1"/>
  <c r="EL335" i="77"/>
  <c r="Z335" i="70" s="1"/>
  <c r="BC169" i="77"/>
  <c r="BD169"/>
  <c r="BD17"/>
  <c r="BC17"/>
  <c r="FP441"/>
  <c r="FO441"/>
  <c r="FP16"/>
  <c r="FO16"/>
  <c r="CF101"/>
  <c r="CG101"/>
  <c r="CG330"/>
  <c r="AA330" i="68" s="1"/>
  <c r="CF330" i="77"/>
  <c r="Z330" i="68" s="1"/>
  <c r="EL401" i="77"/>
  <c r="CG175"/>
  <c r="CF175"/>
  <c r="FO13"/>
  <c r="FP13"/>
  <c r="GS180"/>
  <c r="GR180"/>
  <c r="GS102"/>
  <c r="GR102"/>
  <c r="EM182"/>
  <c r="GU100"/>
  <c r="GV100"/>
  <c r="CG169"/>
  <c r="EM415"/>
  <c r="EL415"/>
  <c r="BC391"/>
  <c r="BD391"/>
  <c r="FP164"/>
  <c r="FO164"/>
  <c r="FO21"/>
  <c r="FP21"/>
  <c r="GR106"/>
  <c r="GS106"/>
  <c r="GU106" s="1"/>
  <c r="CG327"/>
  <c r="AA327" i="68" s="1"/>
  <c r="CF327" i="77"/>
  <c r="Z327" i="68" s="1"/>
  <c r="IY176" i="77"/>
  <c r="IX176"/>
  <c r="EL61"/>
  <c r="EM61"/>
  <c r="EM332"/>
  <c r="AA332" i="70" s="1"/>
  <c r="EL332" i="77"/>
  <c r="Z332" i="70" s="1"/>
  <c r="BD161" i="77"/>
  <c r="BC161"/>
  <c r="BD138"/>
  <c r="BC138"/>
  <c r="BC151"/>
  <c r="BD151"/>
  <c r="FO142"/>
  <c r="FP142"/>
  <c r="FR142" s="1"/>
  <c r="FP106"/>
  <c r="FO106"/>
  <c r="CG118"/>
  <c r="CF118"/>
  <c r="HS162"/>
  <c r="HV162" s="1"/>
  <c r="DG61"/>
  <c r="DG81"/>
  <c r="DG157"/>
  <c r="DG138"/>
  <c r="HS17"/>
  <c r="HV17" s="1"/>
  <c r="HS120"/>
  <c r="HV120" s="1"/>
  <c r="DG324"/>
  <c r="X324" i="69" s="1"/>
  <c r="EJ201" i="77"/>
  <c r="EJ213"/>
  <c r="BA316"/>
  <c r="X316" i="65" s="1"/>
  <c r="CD391" i="77"/>
  <c r="DG51"/>
  <c r="DF215"/>
  <c r="DG327"/>
  <c r="X327" i="69" s="1"/>
  <c r="HQ112" i="77"/>
  <c r="DE121"/>
  <c r="HS141"/>
  <c r="HV141" s="1"/>
  <c r="DG144"/>
  <c r="DG192"/>
  <c r="HS381"/>
  <c r="HV381" s="1"/>
  <c r="DG413"/>
  <c r="DG159"/>
  <c r="AZ158"/>
  <c r="AZ136"/>
  <c r="BA441"/>
  <c r="GP327"/>
  <c r="BA213"/>
  <c r="CD411"/>
  <c r="HS191"/>
  <c r="HV191" s="1"/>
  <c r="DG173"/>
  <c r="DF317"/>
  <c r="W317" i="69" s="1"/>
  <c r="DG109" i="77"/>
  <c r="DF112"/>
  <c r="DG414"/>
  <c r="DG187"/>
  <c r="DF271"/>
  <c r="DG219"/>
  <c r="DF412"/>
  <c r="EI121"/>
  <c r="CD119"/>
  <c r="CD160"/>
  <c r="CC199"/>
  <c r="CB340"/>
  <c r="EI167"/>
  <c r="EH333"/>
  <c r="V333" i="70" s="1"/>
  <c r="HS186" i="77"/>
  <c r="DE134"/>
  <c r="DF135"/>
  <c r="HS175"/>
  <c r="DF31"/>
  <c r="DG130"/>
  <c r="DF114"/>
  <c r="DG128"/>
  <c r="DG136"/>
  <c r="DG125"/>
  <c r="DE140"/>
  <c r="EJ339"/>
  <c r="X339" i="70" s="1"/>
  <c r="FK112" i="77"/>
  <c r="CD128"/>
  <c r="CB108"/>
  <c r="IV132"/>
  <c r="IY132" s="1"/>
  <c r="EJ160"/>
  <c r="AZ13"/>
  <c r="AY119"/>
  <c r="AY41"/>
  <c r="AY111"/>
  <c r="BA111" s="1"/>
  <c r="AZ122"/>
  <c r="GP116"/>
  <c r="CB198"/>
  <c r="CD314"/>
  <c r="X314" i="68" s="1"/>
  <c r="EJ114" i="77"/>
  <c r="EJ441"/>
  <c r="CD135"/>
  <c r="IV216"/>
  <c r="IY216" s="1"/>
  <c r="EJ107"/>
  <c r="BA147"/>
  <c r="GP332"/>
  <c r="CD166"/>
  <c r="CD308"/>
  <c r="X308" i="68" s="1"/>
  <c r="FM136" i="77"/>
  <c r="CC104"/>
  <c r="EJ151"/>
  <c r="BA141"/>
  <c r="BA149"/>
  <c r="EH123"/>
  <c r="EJ218"/>
  <c r="AZ61"/>
  <c r="CC113"/>
  <c r="CD167"/>
  <c r="CB415"/>
  <c r="GN13"/>
  <c r="GP13" s="1"/>
  <c r="GP128"/>
  <c r="BA231"/>
  <c r="FM166"/>
  <c r="CD371"/>
  <c r="CD186"/>
  <c r="CC168"/>
  <c r="IV335"/>
  <c r="EJ163"/>
  <c r="EJ172"/>
  <c r="EJ214"/>
  <c r="AY175"/>
  <c r="AY176"/>
  <c r="AZ179"/>
  <c r="AY201"/>
  <c r="AZ371"/>
  <c r="GP330"/>
  <c r="GR114"/>
  <c r="GP148"/>
  <c r="GS148" s="1"/>
  <c r="EJ130"/>
  <c r="EI109"/>
  <c r="EJ195"/>
  <c r="BA139"/>
  <c r="AZ120"/>
  <c r="BA214"/>
  <c r="AZ299"/>
  <c r="W299" i="65" s="1"/>
  <c r="AY343" i="77"/>
  <c r="V343" i="65" s="1"/>
  <c r="AZ342" i="77"/>
  <c r="W342" i="65" s="1"/>
  <c r="GP344" i="77"/>
  <c r="GP331"/>
  <c r="X331" i="72" s="1"/>
  <c r="CB21" i="77"/>
  <c r="CC184"/>
  <c r="IU159"/>
  <c r="EH136"/>
  <c r="BA191"/>
  <c r="AY413"/>
  <c r="FM214"/>
  <c r="CC120"/>
  <c r="CC138"/>
  <c r="DJ198"/>
  <c r="DI198"/>
  <c r="HV172"/>
  <c r="HU172"/>
  <c r="DJ182"/>
  <c r="DI182"/>
  <c r="DJ299"/>
  <c r="AA299" i="69" s="1"/>
  <c r="DI299" i="77"/>
  <c r="Z299" i="69" s="1"/>
  <c r="HV81" i="77"/>
  <c r="HU81"/>
  <c r="DI118"/>
  <c r="DJ118"/>
  <c r="EL161"/>
  <c r="EM161"/>
  <c r="BD331"/>
  <c r="AA331" i="65" s="1"/>
  <c r="BC331" i="77"/>
  <c r="Z331" i="65" s="1"/>
  <c r="BD150" i="77"/>
  <c r="BC150"/>
  <c r="FO149"/>
  <c r="FP149"/>
  <c r="FP114"/>
  <c r="FO114"/>
  <c r="CG381"/>
  <c r="CF381"/>
  <c r="CF181"/>
  <c r="CG181"/>
  <c r="FP181"/>
  <c r="FO181"/>
  <c r="EM317"/>
  <c r="AA317" i="70" s="1"/>
  <c r="EL317" i="77"/>
  <c r="Z317" i="70" s="1"/>
  <c r="DJ172" i="77"/>
  <c r="DI172"/>
  <c r="DJ21"/>
  <c r="DI21"/>
  <c r="HU101"/>
  <c r="HV101"/>
  <c r="FO195"/>
  <c r="FP195"/>
  <c r="GR185"/>
  <c r="GS185"/>
  <c r="CG180"/>
  <c r="CF180"/>
  <c r="EM310"/>
  <c r="AA310" i="70" s="1"/>
  <c r="EL310" i="77"/>
  <c r="Z310" i="70" s="1"/>
  <c r="BD194" i="77"/>
  <c r="BC194"/>
  <c r="FP170"/>
  <c r="FO170"/>
  <c r="FP299"/>
  <c r="AA299" i="71" s="1"/>
  <c r="FO299" i="77"/>
  <c r="Z299" i="71" s="1"/>
  <c r="CF122" i="77"/>
  <c r="CG122"/>
  <c r="EL150"/>
  <c r="EM150"/>
  <c r="DJ142"/>
  <c r="DI142"/>
  <c r="DJ309"/>
  <c r="AA309" i="69" s="1"/>
  <c r="DI309" i="77"/>
  <c r="Z309" i="69" s="1"/>
  <c r="DJ331" i="77"/>
  <c r="AA331" i="69" s="1"/>
  <c r="DI331" i="77"/>
  <c r="Z331" i="69" s="1"/>
  <c r="DJ333" i="77"/>
  <c r="AA333" i="69" s="1"/>
  <c r="DI333" i="77"/>
  <c r="Z333" i="69" s="1"/>
  <c r="EM17" i="77"/>
  <c r="EL17"/>
  <c r="BD163"/>
  <c r="BC163"/>
  <c r="BD308"/>
  <c r="AA308" i="65" s="1"/>
  <c r="BC308" i="77"/>
  <c r="Z308" i="65" s="1"/>
  <c r="FP189" i="77"/>
  <c r="FO189"/>
  <c r="GR179"/>
  <c r="GS179"/>
  <c r="CG146"/>
  <c r="CF146"/>
  <c r="BD128"/>
  <c r="BC128"/>
  <c r="IY189"/>
  <c r="IX189"/>
  <c r="GU189"/>
  <c r="GV189"/>
  <c r="BG271"/>
  <c r="BF271"/>
  <c r="BC109"/>
  <c r="BD109"/>
  <c r="EM146"/>
  <c r="EL146"/>
  <c r="EM306"/>
  <c r="AA306" i="70" s="1"/>
  <c r="EL306" i="77"/>
  <c r="Z306" i="70" s="1"/>
  <c r="BC112" i="77"/>
  <c r="BD112"/>
  <c r="BD309"/>
  <c r="AA309" i="65" s="1"/>
  <c r="BC309" i="77"/>
  <c r="Z309" i="65" s="1"/>
  <c r="CG134" i="77"/>
  <c r="CF134"/>
  <c r="CG339"/>
  <c r="AA339" i="68" s="1"/>
  <c r="CF339" i="77"/>
  <c r="Z339" i="68" s="1"/>
  <c r="IY172" i="77"/>
  <c r="IX172"/>
  <c r="BD211"/>
  <c r="BC211"/>
  <c r="CG123"/>
  <c r="CF123"/>
  <c r="FO132"/>
  <c r="FP132"/>
  <c r="FO261"/>
  <c r="FP261"/>
  <c r="FS261" s="1"/>
  <c r="FP162"/>
  <c r="FO162"/>
  <c r="GS126"/>
  <c r="GU126" s="1"/>
  <c r="GR126"/>
  <c r="CG332"/>
  <c r="AA332" i="68" s="1"/>
  <c r="CF332" i="77"/>
  <c r="Z332" i="68" s="1"/>
  <c r="EM175" i="77"/>
  <c r="EL175"/>
  <c r="EM11"/>
  <c r="EL11"/>
  <c r="BC157"/>
  <c r="BD157"/>
  <c r="BC124"/>
  <c r="BD124"/>
  <c r="FP415"/>
  <c r="FO415"/>
  <c r="FP139"/>
  <c r="FR139" s="1"/>
  <c r="FO139"/>
  <c r="FO101"/>
  <c r="FP101"/>
  <c r="FP147"/>
  <c r="FR147" s="1"/>
  <c r="FO147"/>
  <c r="CG11"/>
  <c r="CF11"/>
  <c r="CG326"/>
  <c r="AA326" i="68" s="1"/>
  <c r="CF326" i="77"/>
  <c r="Z326" i="68" s="1"/>
  <c r="CG271" i="77"/>
  <c r="CF271"/>
  <c r="CF188"/>
  <c r="CG188"/>
  <c r="HY181"/>
  <c r="FO151"/>
  <c r="DG181"/>
  <c r="DG141"/>
  <c r="DG337"/>
  <c r="X337" i="69" s="1"/>
  <c r="HS146" i="77"/>
  <c r="HV146" s="1"/>
  <c r="HS19"/>
  <c r="HV19" s="1"/>
  <c r="HS138"/>
  <c r="HV138" s="1"/>
  <c r="DG149"/>
  <c r="DG184"/>
  <c r="DG139"/>
  <c r="DG151"/>
  <c r="EJ134"/>
  <c r="EJ170"/>
  <c r="EJ193"/>
  <c r="EJ316"/>
  <c r="X316" i="70" s="1"/>
  <c r="BA102" i="77"/>
  <c r="BA142"/>
  <c r="GP11"/>
  <c r="CD201"/>
  <c r="EJ119"/>
  <c r="BA155"/>
  <c r="FM145"/>
  <c r="FM129"/>
  <c r="CD107"/>
  <c r="CB114"/>
  <c r="CD114" s="1"/>
  <c r="CD102"/>
  <c r="CD324"/>
  <c r="X324" i="68" s="1"/>
  <c r="BA165" i="77"/>
  <c r="BA419"/>
  <c r="GP314"/>
  <c r="X314" i="72" s="1"/>
  <c r="DF123" i="77"/>
  <c r="DG161"/>
  <c r="HS139"/>
  <c r="HV139" s="1"/>
  <c r="HS125"/>
  <c r="HV125" s="1"/>
  <c r="DG129"/>
  <c r="EI106"/>
  <c r="BA173"/>
  <c r="BA193"/>
  <c r="AZ381"/>
  <c r="EJ321"/>
  <c r="X321" i="70" s="1"/>
  <c r="BA11" i="77"/>
  <c r="AY300"/>
  <c r="AZ348"/>
  <c r="W348" i="65" s="1"/>
  <c r="BA327" i="77"/>
  <c r="X327" i="65" s="1"/>
  <c r="GP134" i="77"/>
  <c r="GS134" s="1"/>
  <c r="GP333"/>
  <c r="CB156"/>
  <c r="CD153"/>
  <c r="CC337"/>
  <c r="W337" i="68" s="1"/>
  <c r="DG342" i="77"/>
  <c r="X342" i="69" s="1"/>
  <c r="HS124" i="77"/>
  <c r="HV124" s="1"/>
  <c r="DE199"/>
  <c r="DE317"/>
  <c r="V317" i="69" s="1"/>
  <c r="DG343" i="77"/>
  <c r="X343" i="69" s="1"/>
  <c r="HS109" i="77"/>
  <c r="HV109" s="1"/>
  <c r="HS188"/>
  <c r="HV188" s="1"/>
  <c r="DE112"/>
  <c r="DG170"/>
  <c r="DG131"/>
  <c r="DG160"/>
  <c r="DE271"/>
  <c r="DE412"/>
  <c r="IV334"/>
  <c r="EH121"/>
  <c r="EJ215"/>
  <c r="AY310"/>
  <c r="GP348"/>
  <c r="CD145"/>
  <c r="CB161"/>
  <c r="CD161" s="1"/>
  <c r="IV148"/>
  <c r="IY148" s="1"/>
  <c r="EH271"/>
  <c r="EJ271" s="1"/>
  <c r="EJ413"/>
  <c r="AY166"/>
  <c r="CB196"/>
  <c r="CB195"/>
  <c r="CD195" s="1"/>
  <c r="DE135"/>
  <c r="DG124"/>
  <c r="DG330"/>
  <c r="X330" i="69" s="1"/>
  <c r="DD31" i="77"/>
  <c r="DF110"/>
  <c r="DG104"/>
  <c r="DE114"/>
  <c r="DG217"/>
  <c r="DG344"/>
  <c r="X344" i="69" s="1"/>
  <c r="HS371" i="77"/>
  <c r="HV371" s="1"/>
  <c r="DG111"/>
  <c r="DE391"/>
  <c r="DG180"/>
  <c r="IV17"/>
  <c r="IY17" s="1"/>
  <c r="EJ361"/>
  <c r="AZ91"/>
  <c r="AY122"/>
  <c r="AY183"/>
  <c r="FM175"/>
  <c r="CC198"/>
  <c r="EJ191"/>
  <c r="EI139"/>
  <c r="EJ198"/>
  <c r="EJ303"/>
  <c r="X303" i="70" s="1"/>
  <c r="BA143" i="77"/>
  <c r="CD151"/>
  <c r="CD309"/>
  <c r="X309" i="68" s="1"/>
  <c r="EJ111" i="77"/>
  <c r="BA118"/>
  <c r="BA146"/>
  <c r="BA180"/>
  <c r="GP299"/>
  <c r="X299" i="72" s="1"/>
  <c r="GP337" i="77"/>
  <c r="GR337" s="1"/>
  <c r="Z337" i="72" s="1"/>
  <c r="CD148" i="77"/>
  <c r="GP170"/>
  <c r="CB104"/>
  <c r="CD104" s="1"/>
  <c r="EJ41"/>
  <c r="AY153"/>
  <c r="BA181"/>
  <c r="AY61"/>
  <c r="FM140"/>
  <c r="CB113"/>
  <c r="CC415"/>
  <c r="GO16"/>
  <c r="GP309"/>
  <c r="GR309" s="1"/>
  <c r="Z309" i="72" s="1"/>
  <c r="BA107" i="77"/>
  <c r="FM174"/>
  <c r="GP157"/>
  <c r="CB168"/>
  <c r="CB176"/>
  <c r="EH31"/>
  <c r="EJ192"/>
  <c r="EJ299"/>
  <c r="X299" i="70" s="1"/>
  <c r="AZ176" i="77"/>
  <c r="BA333"/>
  <c r="X333" i="65" s="1"/>
  <c r="AY371" i="77"/>
  <c r="FM104"/>
  <c r="GP306"/>
  <c r="BA182"/>
  <c r="BA291"/>
  <c r="CD342"/>
  <c r="X342" i="68" s="1"/>
  <c r="IV106" i="77"/>
  <c r="IY106" s="1"/>
  <c r="EI117"/>
  <c r="EH109"/>
  <c r="EJ190"/>
  <c r="EH221"/>
  <c r="EJ231"/>
  <c r="AZ117"/>
  <c r="AY120"/>
  <c r="AY299"/>
  <c r="AY326"/>
  <c r="FM157"/>
  <c r="GP328"/>
  <c r="GR328" s="1"/>
  <c r="Z328" i="72" s="1"/>
  <c r="CD189" i="77"/>
  <c r="CC106"/>
  <c r="CD133"/>
  <c r="CD178"/>
  <c r="EJ180"/>
  <c r="EJ261"/>
  <c r="CB138"/>
  <c r="CD138" s="1"/>
  <c r="GR321"/>
  <c r="Z321" i="72" s="1"/>
  <c r="GT321" i="77"/>
  <c r="AB321" i="72" s="1"/>
  <c r="GU281" i="77"/>
  <c r="DF284"/>
  <c r="AZ284"/>
  <c r="CB276"/>
  <c r="X235" i="71"/>
  <c r="FP235" i="77"/>
  <c r="X226" i="73"/>
  <c r="HV226" i="77"/>
  <c r="X228" i="68"/>
  <c r="CG228" i="77"/>
  <c r="X226" i="71"/>
  <c r="FP226" i="77"/>
  <c r="X378" i="74"/>
  <c r="IY378" i="77"/>
  <c r="GR434"/>
  <c r="Z434" i="72" s="1"/>
  <c r="GS434" i="77"/>
  <c r="X57" i="70"/>
  <c r="EM57" i="77"/>
  <c r="X227" i="73"/>
  <c r="HV227" i="77"/>
  <c r="X394" i="73"/>
  <c r="HV385" i="77"/>
  <c r="X293" i="72"/>
  <c r="GS293" i="77"/>
  <c r="IW191"/>
  <c r="HW191"/>
  <c r="HW211"/>
  <c r="IW211"/>
  <c r="HU211"/>
  <c r="GT261"/>
  <c r="HT261"/>
  <c r="GR261"/>
  <c r="IW411"/>
  <c r="HW411"/>
  <c r="HU411"/>
  <c r="IW168"/>
  <c r="HW168"/>
  <c r="HU168"/>
  <c r="GV15"/>
  <c r="GU15"/>
  <c r="FS417"/>
  <c r="FR417"/>
  <c r="IW129"/>
  <c r="HW129"/>
  <c r="HU129"/>
  <c r="IW193"/>
  <c r="HW193"/>
  <c r="HU193"/>
  <c r="GT111"/>
  <c r="HT111"/>
  <c r="GR111"/>
  <c r="DL213"/>
  <c r="DM213"/>
  <c r="EO371"/>
  <c r="EP371"/>
  <c r="IW116"/>
  <c r="HW116"/>
  <c r="HU116"/>
  <c r="IW156"/>
  <c r="HW156"/>
  <c r="HU156"/>
  <c r="IW126"/>
  <c r="HW126"/>
  <c r="HU126"/>
  <c r="IZ401"/>
  <c r="IX401"/>
  <c r="GT143"/>
  <c r="HT143"/>
  <c r="GR143"/>
  <c r="HW201"/>
  <c r="IW201"/>
  <c r="HU201"/>
  <c r="HW149"/>
  <c r="IW149"/>
  <c r="HU149"/>
  <c r="FS153"/>
  <c r="FR153"/>
  <c r="GT146"/>
  <c r="HT146"/>
  <c r="GR146"/>
  <c r="HT419"/>
  <c r="GT419"/>
  <c r="GR419"/>
  <c r="IW162"/>
  <c r="HW162"/>
  <c r="IZ310"/>
  <c r="AB310" i="74" s="1"/>
  <c r="HU310" i="77"/>
  <c r="Z310" i="73" s="1"/>
  <c r="HW317" i="77"/>
  <c r="AB317" i="73" s="1"/>
  <c r="GV197" i="77"/>
  <c r="GU197"/>
  <c r="IW167"/>
  <c r="HW167"/>
  <c r="HU167"/>
  <c r="GV194"/>
  <c r="GU194"/>
  <c r="IW190"/>
  <c r="HW190"/>
  <c r="HU190"/>
  <c r="HW12"/>
  <c r="IW12"/>
  <c r="HU12"/>
  <c r="GT137"/>
  <c r="HT137"/>
  <c r="GR137"/>
  <c r="HW132"/>
  <c r="IW132"/>
  <c r="HU132"/>
  <c r="AD111"/>
  <c r="AC111"/>
  <c r="HW281"/>
  <c r="IW281"/>
  <c r="HU281"/>
  <c r="HW213"/>
  <c r="HY213" s="1"/>
  <c r="IW213"/>
  <c r="GV31"/>
  <c r="GU31"/>
  <c r="GT155"/>
  <c r="HT155"/>
  <c r="GR155"/>
  <c r="GT381"/>
  <c r="HT381"/>
  <c r="GR381"/>
  <c r="GT136"/>
  <c r="HT136"/>
  <c r="GR136"/>
  <c r="FS151"/>
  <c r="FR151"/>
  <c r="IW130"/>
  <c r="HW130"/>
  <c r="HU130"/>
  <c r="HW314"/>
  <c r="AB314" i="73" s="1"/>
  <c r="GT113" i="77"/>
  <c r="HT113"/>
  <c r="GR113"/>
  <c r="EH254"/>
  <c r="HR277"/>
  <c r="DE284"/>
  <c r="CB283"/>
  <c r="FR231"/>
  <c r="GU414"/>
  <c r="GU412"/>
  <c r="X228" i="73"/>
  <c r="HV228" i="77"/>
  <c r="X358" i="74"/>
  <c r="IY358" i="77"/>
  <c r="X227" i="74"/>
  <c r="IY227" i="77"/>
  <c r="IW165"/>
  <c r="HW165"/>
  <c r="HU165"/>
  <c r="IW124"/>
  <c r="HW124"/>
  <c r="HW215"/>
  <c r="IW215"/>
  <c r="HU215"/>
  <c r="GV421"/>
  <c r="GU421"/>
  <c r="IW199"/>
  <c r="HW199"/>
  <c r="HU199"/>
  <c r="GT219"/>
  <c r="HT219"/>
  <c r="GV150"/>
  <c r="GU150"/>
  <c r="IZ331"/>
  <c r="AB331" i="74" s="1"/>
  <c r="GV168" i="77"/>
  <c r="GU168"/>
  <c r="HT417"/>
  <c r="GT417"/>
  <c r="GR417"/>
  <c r="IW159"/>
  <c r="HW159"/>
  <c r="HU159"/>
  <c r="IW161"/>
  <c r="HW161"/>
  <c r="HU161"/>
  <c r="GT147"/>
  <c r="HT147"/>
  <c r="IW188"/>
  <c r="HW188"/>
  <c r="IW241"/>
  <c r="HW241"/>
  <c r="IW120"/>
  <c r="HW120"/>
  <c r="GT153"/>
  <c r="HT153"/>
  <c r="GR153"/>
  <c r="GT148"/>
  <c r="HT148"/>
  <c r="FS115"/>
  <c r="FR115"/>
  <c r="GV370"/>
  <c r="GU370"/>
  <c r="AC52"/>
  <c r="AC52" i="39" s="1"/>
  <c r="AD52" i="77"/>
  <c r="AD52" i="39" s="1"/>
  <c r="AC48" i="77"/>
  <c r="AC48" i="39" s="1"/>
  <c r="AD48" i="77"/>
  <c r="AD48" i="39" s="1"/>
  <c r="IW119" i="77"/>
  <c r="HW119"/>
  <c r="HU119"/>
  <c r="GV167"/>
  <c r="GU167"/>
  <c r="IW412"/>
  <c r="HW412"/>
  <c r="IW160"/>
  <c r="HW160"/>
  <c r="HU160"/>
  <c r="HW251"/>
  <c r="IW251"/>
  <c r="HU251"/>
  <c r="GV190"/>
  <c r="GU190"/>
  <c r="GT144"/>
  <c r="HT144"/>
  <c r="GR144"/>
  <c r="IW198"/>
  <c r="HW198"/>
  <c r="HU198"/>
  <c r="IZ105"/>
  <c r="IX105"/>
  <c r="CI170"/>
  <c r="CJ170"/>
  <c r="DL210"/>
  <c r="DM210"/>
  <c r="HW31"/>
  <c r="IW31"/>
  <c r="GT142"/>
  <c r="HT142"/>
  <c r="GR142"/>
  <c r="IX311"/>
  <c r="Z311" i="74" s="1"/>
  <c r="HW13" i="77"/>
  <c r="IW13"/>
  <c r="HU13"/>
  <c r="GT151"/>
  <c r="HT151"/>
  <c r="HW291"/>
  <c r="IW291"/>
  <c r="HU291"/>
  <c r="GT133"/>
  <c r="HT133"/>
  <c r="GT138"/>
  <c r="HT138"/>
  <c r="GR138"/>
  <c r="HW21"/>
  <c r="IW21"/>
  <c r="HU21"/>
  <c r="AD58"/>
  <c r="AD58" i="39" s="1"/>
  <c r="AC58" i="77"/>
  <c r="AC58" i="39" s="1"/>
  <c r="GU163" i="77"/>
  <c r="GU321"/>
  <c r="AC321" i="72" s="1"/>
  <c r="GU211" i="77"/>
  <c r="X235" i="65"/>
  <c r="BD235" i="77"/>
  <c r="X228" i="71"/>
  <c r="FP228" i="77"/>
  <c r="X235" i="74"/>
  <c r="IY235" i="77"/>
  <c r="X429" i="71"/>
  <c r="FP429" i="77"/>
  <c r="X232" i="65"/>
  <c r="BD232" i="77"/>
  <c r="X30" i="71"/>
  <c r="FP30" i="77"/>
  <c r="HU259"/>
  <c r="Z259" i="73" s="1"/>
  <c r="HV259" i="77"/>
  <c r="HW421"/>
  <c r="IW421"/>
  <c r="HU421"/>
  <c r="IZ14"/>
  <c r="IX14"/>
  <c r="HW150"/>
  <c r="IW150"/>
  <c r="IW158"/>
  <c r="HW158"/>
  <c r="HU158"/>
  <c r="IW121"/>
  <c r="HW121"/>
  <c r="GV441"/>
  <c r="GU441"/>
  <c r="GV214"/>
  <c r="GU214"/>
  <c r="HW11"/>
  <c r="IW11"/>
  <c r="HU11"/>
  <c r="FS134"/>
  <c r="FR134"/>
  <c r="GV145"/>
  <c r="GU145"/>
  <c r="FR315"/>
  <c r="AC315" i="71" s="1"/>
  <c r="FS315" i="77"/>
  <c r="AD315" i="71" s="1"/>
  <c r="IW128" i="77"/>
  <c r="HW128"/>
  <c r="HU128"/>
  <c r="AC321"/>
  <c r="AC321" i="39" s="1"/>
  <c r="AD321" i="77"/>
  <c r="AD321" i="39" s="1"/>
  <c r="HW414" i="77"/>
  <c r="IW414"/>
  <c r="HU414"/>
  <c r="IW166"/>
  <c r="HW166"/>
  <c r="HU166"/>
  <c r="HW110"/>
  <c r="IW110"/>
  <c r="HU110"/>
  <c r="HW114"/>
  <c r="IW114"/>
  <c r="HU114"/>
  <c r="IW163"/>
  <c r="HW163"/>
  <c r="HW17"/>
  <c r="IW17"/>
  <c r="GT115"/>
  <c r="HT115"/>
  <c r="GR115"/>
  <c r="FS91"/>
  <c r="FR91"/>
  <c r="IW164"/>
  <c r="HW164"/>
  <c r="IW157"/>
  <c r="HW157"/>
  <c r="HU157"/>
  <c r="GT109"/>
  <c r="HT109"/>
  <c r="GR109"/>
  <c r="IW19"/>
  <c r="HW19"/>
  <c r="IW183"/>
  <c r="HW183"/>
  <c r="HU183"/>
  <c r="HT41"/>
  <c r="GT41"/>
  <c r="GR41"/>
  <c r="IW117"/>
  <c r="HW117"/>
  <c r="HU117"/>
  <c r="IW118"/>
  <c r="HW118"/>
  <c r="HU118"/>
  <c r="CJ249"/>
  <c r="CI249"/>
  <c r="GV198"/>
  <c r="GU198"/>
  <c r="HW108"/>
  <c r="IW108"/>
  <c r="HU108"/>
  <c r="GU312"/>
  <c r="AC312" i="72" s="1"/>
  <c r="GV312" i="77"/>
  <c r="AD312" i="72" s="1"/>
  <c r="IW131" i="77"/>
  <c r="HW131"/>
  <c r="HU131"/>
  <c r="IZ217"/>
  <c r="IX217"/>
  <c r="IW125"/>
  <c r="HW125"/>
  <c r="AC167"/>
  <c r="AD167"/>
  <c r="HW112"/>
  <c r="IW112"/>
  <c r="GT140"/>
  <c r="HT140"/>
  <c r="GR140"/>
  <c r="HW316"/>
  <c r="AB316" i="73" s="1"/>
  <c r="GR316" i="77"/>
  <c r="Z316" i="72" s="1"/>
  <c r="HU225" i="77"/>
  <c r="Z225" i="73" s="1"/>
  <c r="EI243" i="77"/>
  <c r="EI362"/>
  <c r="AX87"/>
  <c r="U87" i="65" s="1"/>
  <c r="GV241" i="77"/>
  <c r="GU199"/>
  <c r="X228" i="74"/>
  <c r="IY228" i="77"/>
  <c r="X235" i="70"/>
  <c r="EM235" i="77"/>
  <c r="X228" i="72"/>
  <c r="GS228" i="77"/>
  <c r="X233" i="65"/>
  <c r="BD233" i="77"/>
  <c r="X358" i="68"/>
  <c r="CG358" i="77"/>
  <c r="X236" i="74"/>
  <c r="IY236" i="77"/>
  <c r="X455" i="74"/>
  <c r="IY455" i="77"/>
  <c r="EL200"/>
  <c r="Z200" i="70" s="1"/>
  <c r="EM200" i="77"/>
  <c r="X430" i="65"/>
  <c r="BD430" i="77"/>
  <c r="GR63"/>
  <c r="Z63" i="72" s="1"/>
  <c r="GS63" i="77"/>
  <c r="GR205"/>
  <c r="Z205" i="72" s="1"/>
  <c r="GS205" i="77"/>
  <c r="IW122"/>
  <c r="HW122"/>
  <c r="HU122"/>
  <c r="IW391"/>
  <c r="HW391"/>
  <c r="GT416"/>
  <c r="HT416"/>
  <c r="GR416"/>
  <c r="JB431"/>
  <c r="JA431"/>
  <c r="GV158"/>
  <c r="GU158"/>
  <c r="JB173"/>
  <c r="HW321"/>
  <c r="AB321" i="73" s="1"/>
  <c r="GV321" i="77"/>
  <c r="AD321" i="72" s="1"/>
  <c r="IW15" i="77"/>
  <c r="HW15"/>
  <c r="HU15"/>
  <c r="HW441"/>
  <c r="IW441"/>
  <c r="HU441"/>
  <c r="IW196"/>
  <c r="HW196"/>
  <c r="HU196"/>
  <c r="IZ51"/>
  <c r="IX51"/>
  <c r="HW214"/>
  <c r="IW214"/>
  <c r="HU214"/>
  <c r="IW123"/>
  <c r="HW123"/>
  <c r="HU123"/>
  <c r="HW461"/>
  <c r="IW461"/>
  <c r="HU461"/>
  <c r="AC200"/>
  <c r="AC208" i="39" s="1"/>
  <c r="AD200" i="77"/>
  <c r="AD208" i="39" s="1"/>
  <c r="GT134" i="77"/>
  <c r="HT134"/>
  <c r="HW145"/>
  <c r="IW145"/>
  <c r="HU145"/>
  <c r="EO51"/>
  <c r="EP51"/>
  <c r="GT361"/>
  <c r="HT361"/>
  <c r="GR361"/>
  <c r="GT135"/>
  <c r="HT135"/>
  <c r="GR135"/>
  <c r="IW195"/>
  <c r="HW195"/>
  <c r="HU195"/>
  <c r="GV166"/>
  <c r="GU166"/>
  <c r="FS143"/>
  <c r="FR143"/>
  <c r="GT154"/>
  <c r="HT154"/>
  <c r="GR154"/>
  <c r="GT61"/>
  <c r="HT61"/>
  <c r="GR61"/>
  <c r="GT231"/>
  <c r="HT231"/>
  <c r="GR231"/>
  <c r="GT91"/>
  <c r="HT91"/>
  <c r="GR91"/>
  <c r="AC34"/>
  <c r="AC34" i="39" s="1"/>
  <c r="AD34" i="77"/>
  <c r="AD34" i="39" s="1"/>
  <c r="GV310" i="77"/>
  <c r="AD310" i="72" s="1"/>
  <c r="GU310" i="77"/>
  <c r="AC310" i="72" s="1"/>
  <c r="GT141" i="77"/>
  <c r="HT141"/>
  <c r="GR141"/>
  <c r="CI419"/>
  <c r="CJ419"/>
  <c r="IW197"/>
  <c r="HW197"/>
  <c r="HU197"/>
  <c r="IZ18"/>
  <c r="IX18"/>
  <c r="IW71"/>
  <c r="HW71"/>
  <c r="HY71" s="1"/>
  <c r="FS41"/>
  <c r="FR41"/>
  <c r="IW194"/>
  <c r="HW194"/>
  <c r="HU194"/>
  <c r="GV12"/>
  <c r="GU12"/>
  <c r="HW16"/>
  <c r="IW16"/>
  <c r="HU16"/>
  <c r="HW210"/>
  <c r="IW210"/>
  <c r="DL155"/>
  <c r="DM155"/>
  <c r="HW106"/>
  <c r="IW106"/>
  <c r="HU106"/>
  <c r="IZ181"/>
  <c r="IX181"/>
  <c r="IW271"/>
  <c r="HW271"/>
  <c r="HU271"/>
  <c r="IW192"/>
  <c r="HW192"/>
  <c r="HU192"/>
  <c r="HW371"/>
  <c r="IW371"/>
  <c r="FS381"/>
  <c r="FR381"/>
  <c r="GT107"/>
  <c r="HT107"/>
  <c r="GR107"/>
  <c r="GT139"/>
  <c r="HT139"/>
  <c r="GR139"/>
  <c r="GT218"/>
  <c r="HT218"/>
  <c r="GR218"/>
  <c r="HW216"/>
  <c r="IW216"/>
  <c r="HU216"/>
  <c r="DM406"/>
  <c r="AD406" i="69" s="1"/>
  <c r="DL406" i="77"/>
  <c r="AC406" i="69" s="1"/>
  <c r="EH362" i="77"/>
  <c r="FJ265"/>
  <c r="U265" i="71" s="1"/>
  <c r="EG280" i="77"/>
  <c r="U280" i="70" s="1"/>
  <c r="CA364" i="77"/>
  <c r="U383" i="68" s="1"/>
  <c r="IU266" i="77"/>
  <c r="FR219"/>
  <c r="GV201"/>
  <c r="HX51"/>
  <c r="GU129"/>
  <c r="FS201"/>
  <c r="Z151" i="72"/>
  <c r="HW335" i="77"/>
  <c r="AB335" i="73" s="1"/>
  <c r="GR335" i="77"/>
  <c r="Z335" i="72" s="1"/>
  <c r="HW334" i="77"/>
  <c r="AB334" i="73" s="1"/>
  <c r="HW339" i="77"/>
  <c r="AB339" i="73" s="1"/>
  <c r="GR339" i="77"/>
  <c r="Z339" i="72" s="1"/>
  <c r="HW330" i="77"/>
  <c r="AB330" i="73" s="1"/>
  <c r="HW328" i="77"/>
  <c r="AB328" i="73" s="1"/>
  <c r="HW325" i="77"/>
  <c r="AB325" i="73" s="1"/>
  <c r="HW344" i="77"/>
  <c r="AB344" i="73" s="1"/>
  <c r="HW337" i="77"/>
  <c r="AB337" i="73" s="1"/>
  <c r="HW324" i="77"/>
  <c r="AB324" i="73" s="1"/>
  <c r="GR324" i="77"/>
  <c r="Z324" i="72" s="1"/>
  <c r="HW340" i="77"/>
  <c r="AB340" i="73" s="1"/>
  <c r="GR340" i="77"/>
  <c r="Z340" i="72" s="1"/>
  <c r="HW309" i="77"/>
  <c r="AB309" i="73" s="1"/>
  <c r="HW308" i="77"/>
  <c r="AB308" i="73" s="1"/>
  <c r="GR308" i="77"/>
  <c r="Z308" i="72" s="1"/>
  <c r="IZ305" i="77"/>
  <c r="AB305" i="74" s="1"/>
  <c r="HU305" i="77"/>
  <c r="Z305" i="73" s="1"/>
  <c r="GV305" i="77"/>
  <c r="AD305" i="72" s="1"/>
  <c r="GU305" i="77"/>
  <c r="AC305" i="72" s="1"/>
  <c r="IZ303" i="77"/>
  <c r="AB303" i="74" s="1"/>
  <c r="HU303" i="77"/>
  <c r="Z303" i="73" s="1"/>
  <c r="GU303" i="77"/>
  <c r="AC303" i="72" s="1"/>
  <c r="HW343" i="77"/>
  <c r="AB343" i="73" s="1"/>
  <c r="FR343" i="77"/>
  <c r="AC343" i="71" s="1"/>
  <c r="HW342" i="77"/>
  <c r="AB342" i="73" s="1"/>
  <c r="GR342" i="77"/>
  <c r="Z342" i="72" s="1"/>
  <c r="FR342" i="77"/>
  <c r="AC342" i="71" s="1"/>
  <c r="HW338" i="77"/>
  <c r="AB338" i="73" s="1"/>
  <c r="GR338" i="77"/>
  <c r="Z338" i="72" s="1"/>
  <c r="HW332" i="77"/>
  <c r="AB332" i="73" s="1"/>
  <c r="GR332" i="77"/>
  <c r="Z332" i="72" s="1"/>
  <c r="FR332" i="77"/>
  <c r="AC332" i="71" s="1"/>
  <c r="HW327" i="77"/>
  <c r="AB327" i="73" s="1"/>
  <c r="GR327" i="77"/>
  <c r="Z327" i="72" s="1"/>
  <c r="HW306" i="77"/>
  <c r="AB306" i="73" s="1"/>
  <c r="HW300" i="77"/>
  <c r="AB300" i="73" s="1"/>
  <c r="GR300" i="77"/>
  <c r="Z300" i="72" s="1"/>
  <c r="HW348" i="77"/>
  <c r="AB348" i="73" s="1"/>
  <c r="GR348" i="77"/>
  <c r="Z348" i="72" s="1"/>
  <c r="HW333" i="77"/>
  <c r="AB333" i="73" s="1"/>
  <c r="HW326" i="77"/>
  <c r="AB326" i="73" s="1"/>
  <c r="GR326" i="77"/>
  <c r="Z326" i="72" s="1"/>
  <c r="IZ299" i="77"/>
  <c r="AB299" i="74" s="1"/>
  <c r="HU299" i="77"/>
  <c r="Z299" i="73" s="1"/>
  <c r="AA129"/>
  <c r="AD129"/>
  <c r="AC129"/>
  <c r="AC329" i="77"/>
  <c r="AC329" i="39" s="1"/>
  <c r="AD329" i="77"/>
  <c r="AD329" i="39" s="1"/>
  <c r="FS286" i="77"/>
  <c r="FR286"/>
  <c r="AC18" i="39"/>
  <c r="IT266" i="77"/>
  <c r="FL295"/>
  <c r="T67" i="72"/>
  <c r="AX22" i="77"/>
  <c r="U22" i="65" s="1"/>
  <c r="AZ208" i="77"/>
  <c r="U102" i="65"/>
  <c r="AY89" i="77"/>
  <c r="AZ203"/>
  <c r="U245" i="73"/>
  <c r="V95" i="70"/>
  <c r="U115" i="68"/>
  <c r="V93" i="73"/>
  <c r="EI229" i="77"/>
  <c r="T423" i="70"/>
  <c r="T254"/>
  <c r="T192"/>
  <c r="EI89" i="77"/>
  <c r="U285" i="70"/>
  <c r="U155"/>
  <c r="T437" i="69"/>
  <c r="V253" i="72"/>
  <c r="AD66" i="77"/>
  <c r="AD66" i="39" s="1"/>
  <c r="AX34" i="77"/>
  <c r="U34" i="65" s="1"/>
  <c r="U150" i="69"/>
  <c r="U17" i="74"/>
  <c r="W95" i="70"/>
  <c r="DD23" i="77"/>
  <c r="U23" i="69" s="1"/>
  <c r="DD66" i="77"/>
  <c r="U66" i="69" s="1"/>
  <c r="W253" i="72"/>
  <c r="GM38" i="77"/>
  <c r="U38" i="72" s="1"/>
  <c r="CC438" i="77"/>
  <c r="CD438" s="1"/>
  <c r="CG438" s="1"/>
  <c r="V207" i="71"/>
  <c r="T245" i="68"/>
  <c r="AC389" i="39"/>
  <c r="T208" i="68"/>
  <c r="AB389" i="71"/>
  <c r="AD242" i="77"/>
  <c r="AD246" i="39" s="1"/>
  <c r="Z169" i="73"/>
  <c r="AA442" i="39"/>
  <c r="AC104" i="65"/>
  <c r="AD363" i="77"/>
  <c r="AC381" i="68"/>
  <c r="GM280" i="77"/>
  <c r="U280" i="72" s="1"/>
  <c r="GO223" i="77"/>
  <c r="DD209"/>
  <c r="U295" i="69" s="1"/>
  <c r="EH89" i="77"/>
  <c r="AY208"/>
  <c r="GN394"/>
  <c r="CB230"/>
  <c r="AX379"/>
  <c r="U379" i="65" s="1"/>
  <c r="HQ277" i="77"/>
  <c r="U290" i="65"/>
  <c r="DD280" i="77"/>
  <c r="U280" i="69" s="1"/>
  <c r="AZ89" i="77"/>
  <c r="HQ240"/>
  <c r="CC276"/>
  <c r="HR207"/>
  <c r="AY203"/>
  <c r="AX386"/>
  <c r="U395" i="65" s="1"/>
  <c r="CC224" i="77"/>
  <c r="T449" i="69"/>
  <c r="AC414" i="73"/>
  <c r="CD275" i="77"/>
  <c r="CB272"/>
  <c r="CD272" s="1"/>
  <c r="CG272" s="1"/>
  <c r="DF395"/>
  <c r="EH229"/>
  <c r="W251" i="65"/>
  <c r="U149" i="69"/>
  <c r="X151" i="71"/>
  <c r="T215" i="69"/>
  <c r="AC129" i="74"/>
  <c r="EP455" i="77"/>
  <c r="AD455" i="70" s="1"/>
  <c r="AC404" i="77"/>
  <c r="AC404" i="39" s="1"/>
  <c r="AD148"/>
  <c r="AC215"/>
  <c r="AC252"/>
  <c r="AC214"/>
  <c r="AC123"/>
  <c r="BG20" i="77"/>
  <c r="AD20" i="65" s="1"/>
  <c r="BG64" i="77"/>
  <c r="AD64" i="65" s="1"/>
  <c r="AD65" i="77"/>
  <c r="AD65" i="39" s="1"/>
  <c r="IS24" i="77"/>
  <c r="U24" i="74" s="1"/>
  <c r="IS58" i="77"/>
  <c r="U58" i="74" s="1"/>
  <c r="V100"/>
  <c r="W248" i="73"/>
  <c r="AX444" i="77"/>
  <c r="U444" i="65" s="1"/>
  <c r="U21" i="70"/>
  <c r="W215" i="71"/>
  <c r="V128" i="74"/>
  <c r="W100" i="70"/>
  <c r="V128" i="73"/>
  <c r="DD352" i="77"/>
  <c r="U352" i="69" s="1"/>
  <c r="T98" i="65"/>
  <c r="EG26" i="77"/>
  <c r="U26" i="70" s="1"/>
  <c r="V79" i="65"/>
  <c r="HP38" i="77"/>
  <c r="U38" i="73" s="1"/>
  <c r="U149" i="74"/>
  <c r="V251" i="71"/>
  <c r="T97" i="69"/>
  <c r="U207" i="68"/>
  <c r="T79"/>
  <c r="T199"/>
  <c r="U248" i="69"/>
  <c r="AC385" i="39"/>
  <c r="U254" i="70"/>
  <c r="AA441" i="71"/>
  <c r="AD129" i="74"/>
  <c r="U129" i="69"/>
  <c r="CC266" i="77"/>
  <c r="DF277"/>
  <c r="DF240"/>
  <c r="EG365"/>
  <c r="U365" i="70" s="1"/>
  <c r="AZ98" i="77"/>
  <c r="AC94" i="39"/>
  <c r="AD210"/>
  <c r="AC207"/>
  <c r="AC149"/>
  <c r="AD12"/>
  <c r="V208" i="71"/>
  <c r="W128" i="72"/>
  <c r="V100" i="65"/>
  <c r="V92"/>
  <c r="U441" i="70"/>
  <c r="V206" i="74"/>
  <c r="W208" i="73"/>
  <c r="CA64" i="77"/>
  <c r="U64" i="68" s="1"/>
  <c r="W254" i="65"/>
  <c r="W79" i="72"/>
  <c r="P208" i="65"/>
  <c r="W79" i="74"/>
  <c r="V209" i="72"/>
  <c r="V94" i="73"/>
  <c r="W100" i="72"/>
  <c r="T94" i="68"/>
  <c r="T254"/>
  <c r="U209" i="70"/>
  <c r="T78" i="69"/>
  <c r="AD388" i="39"/>
  <c r="T211" i="68"/>
  <c r="T242" i="69"/>
  <c r="T247"/>
  <c r="U250" i="65"/>
  <c r="T207" i="70"/>
  <c r="T202" i="69"/>
  <c r="AA151" i="71"/>
  <c r="T443" i="73"/>
  <c r="T80" i="68"/>
  <c r="AA367" i="65"/>
  <c r="EO80" i="77"/>
  <c r="DE277"/>
  <c r="DG277" s="1"/>
  <c r="EI273"/>
  <c r="EH285"/>
  <c r="U215" i="69"/>
  <c r="W214" i="72"/>
  <c r="T407" i="69"/>
  <c r="U149" i="70"/>
  <c r="U94"/>
  <c r="AA457" i="71"/>
  <c r="CC273" i="77"/>
  <c r="T80" i="69"/>
  <c r="U206" i="65"/>
  <c r="V253"/>
  <c r="AD269" i="77"/>
  <c r="AC269"/>
  <c r="T147" i="70"/>
  <c r="T94"/>
  <c r="U209" i="69"/>
  <c r="AC246" i="77"/>
  <c r="AC246" i="39" s="1"/>
  <c r="EI240" i="77"/>
  <c r="U166" i="65"/>
  <c r="CB270" i="77"/>
  <c r="AY277"/>
  <c r="EI268"/>
  <c r="V248" i="73"/>
  <c r="V92"/>
  <c r="U97" i="70"/>
  <c r="U192" i="65"/>
  <c r="AD273" i="77"/>
  <c r="AC273"/>
  <c r="AC95" i="39"/>
  <c r="AC148"/>
  <c r="AC199"/>
  <c r="W251" i="71"/>
  <c r="DG290" i="77"/>
  <c r="DJ290" s="1"/>
  <c r="EH203"/>
  <c r="W96" i="74"/>
  <c r="IV222" i="77"/>
  <c r="IY222" s="1"/>
  <c r="U253" i="73"/>
  <c r="V246" i="72"/>
  <c r="U381"/>
  <c r="U389"/>
  <c r="T145" i="71"/>
  <c r="FM89" i="77"/>
  <c r="FP89" s="1"/>
  <c r="T60" i="70"/>
  <c r="U210"/>
  <c r="EG263" i="77"/>
  <c r="U263" i="70" s="1"/>
  <c r="EI274" i="77"/>
  <c r="T249" i="70"/>
  <c r="EG449" i="77"/>
  <c r="U449" i="70" s="1"/>
  <c r="T153"/>
  <c r="EJ295" i="77"/>
  <c r="EM295" s="1"/>
  <c r="EH273"/>
  <c r="EI270"/>
  <c r="EI222"/>
  <c r="U123" i="70"/>
  <c r="EH237" i="77"/>
  <c r="EI252"/>
  <c r="EG207"/>
  <c r="U250" i="70" s="1"/>
  <c r="W93" i="69"/>
  <c r="DE395" i="77"/>
  <c r="T90" i="69"/>
  <c r="DG223" i="77"/>
  <c r="DJ223" s="1"/>
  <c r="U21" i="68"/>
  <c r="T93"/>
  <c r="IW265" i="77"/>
  <c r="IZ265" s="1"/>
  <c r="AB265" i="73"/>
  <c r="Y177"/>
  <c r="AB47" i="72"/>
  <c r="GV47" i="77"/>
  <c r="AD47" i="72" s="1"/>
  <c r="GU47" i="77"/>
  <c r="AC47" i="72" s="1"/>
  <c r="AB85" i="74"/>
  <c r="Y85"/>
  <c r="IW279" i="77"/>
  <c r="IZ279" s="1"/>
  <c r="Y218" i="73"/>
  <c r="Y419"/>
  <c r="AB17"/>
  <c r="Y17"/>
  <c r="AB86" i="74"/>
  <c r="Y86"/>
  <c r="Y51" i="73"/>
  <c r="Z51"/>
  <c r="IW295" i="77"/>
  <c r="IZ295" s="1"/>
  <c r="IW62"/>
  <c r="IZ62" s="1"/>
  <c r="AB62" i="73"/>
  <c r="Y62"/>
  <c r="Y406" i="74"/>
  <c r="GV44" i="77"/>
  <c r="AD44" i="72" s="1"/>
  <c r="AB44"/>
  <c r="AB461" i="73"/>
  <c r="Y461"/>
  <c r="IW436" i="77"/>
  <c r="IZ436" s="1"/>
  <c r="AB436" i="73"/>
  <c r="Y436"/>
  <c r="IW395" i="77"/>
  <c r="IZ395" s="1"/>
  <c r="Y395" i="73"/>
  <c r="IW247" i="77"/>
  <c r="IZ247" s="1"/>
  <c r="AB247" i="73"/>
  <c r="Y247"/>
  <c r="Y404" i="74"/>
  <c r="IW204" i="77"/>
  <c r="IZ204" s="1"/>
  <c r="Y204" i="73"/>
  <c r="IW39" i="77"/>
  <c r="IZ39" s="1"/>
  <c r="HU39"/>
  <c r="Z39" i="73" s="1"/>
  <c r="Y39"/>
  <c r="AB12"/>
  <c r="Y12"/>
  <c r="Y106"/>
  <c r="AB431" i="74"/>
  <c r="Y431"/>
  <c r="IW20" i="77"/>
  <c r="IZ20" s="1"/>
  <c r="Y20" i="73"/>
  <c r="HU20" i="77"/>
  <c r="Z20" i="73" s="1"/>
  <c r="IW23" i="77"/>
  <c r="IZ23" s="1"/>
  <c r="AB23" i="73"/>
  <c r="Y23"/>
  <c r="IW420" i="77"/>
  <c r="IZ420" s="1"/>
  <c r="AB420" i="73"/>
  <c r="Y420"/>
  <c r="AB391"/>
  <c r="Y391"/>
  <c r="IW294" i="77"/>
  <c r="IZ294" s="1"/>
  <c r="AB294" i="73"/>
  <c r="IW82" i="77"/>
  <c r="IZ82" s="1"/>
  <c r="AB82" i="73"/>
  <c r="Y82"/>
  <c r="Y185"/>
  <c r="Y191"/>
  <c r="IW275" i="77"/>
  <c r="IZ275" s="1"/>
  <c r="AB275" i="73"/>
  <c r="Y201"/>
  <c r="AB16"/>
  <c r="Y16"/>
  <c r="IW296" i="77"/>
  <c r="IZ296" s="1"/>
  <c r="AB296" i="73"/>
  <c r="AB61"/>
  <c r="Y61"/>
  <c r="IW45" i="77"/>
  <c r="IZ45" s="1"/>
  <c r="HU45"/>
  <c r="Z45" i="73" s="1"/>
  <c r="Y45"/>
  <c r="AB41" i="72"/>
  <c r="AD41"/>
  <c r="IW286" i="77"/>
  <c r="IZ286" s="1"/>
  <c r="HU286"/>
  <c r="IW245"/>
  <c r="IZ245" s="1"/>
  <c r="AB245" i="73"/>
  <c r="Y245"/>
  <c r="IW437" i="77"/>
  <c r="IZ437" s="1"/>
  <c r="HY437"/>
  <c r="Y437" i="73"/>
  <c r="IW282" i="77"/>
  <c r="IZ282" s="1"/>
  <c r="AB282" i="73"/>
  <c r="AB21"/>
  <c r="Y21"/>
  <c r="AB19"/>
  <c r="Y19"/>
  <c r="Z71"/>
  <c r="Y71"/>
  <c r="IW225" i="77"/>
  <c r="IZ225" s="1"/>
  <c r="Y225" i="73"/>
  <c r="IW24" i="77"/>
  <c r="IZ24" s="1"/>
  <c r="AB24" i="73"/>
  <c r="Y24"/>
  <c r="AB231" i="72"/>
  <c r="AB179"/>
  <c r="Y217" i="73"/>
  <c r="IW402" i="77"/>
  <c r="IZ402" s="1"/>
  <c r="AB402" i="73"/>
  <c r="Y402"/>
  <c r="IW448" i="77"/>
  <c r="IZ448" s="1"/>
  <c r="AB448" i="73"/>
  <c r="Y448"/>
  <c r="IW426" i="77"/>
  <c r="IZ426" s="1"/>
  <c r="AB426" i="73"/>
  <c r="Y426"/>
  <c r="IW457" i="77"/>
  <c r="IZ457" s="1"/>
  <c r="AB457" i="73"/>
  <c r="Y457"/>
  <c r="IW230" i="77"/>
  <c r="IZ230" s="1"/>
  <c r="Y230" i="73"/>
  <c r="IW32" i="77"/>
  <c r="IZ32" s="1"/>
  <c r="AB32" i="73"/>
  <c r="Y32"/>
  <c r="IW243" i="77"/>
  <c r="IZ243" s="1"/>
  <c r="Y243" i="73"/>
  <c r="IW376" i="77"/>
  <c r="IZ376" s="1"/>
  <c r="Y376" i="73"/>
  <c r="IW65" i="77"/>
  <c r="IZ65" s="1"/>
  <c r="AB65" i="73"/>
  <c r="Y65"/>
  <c r="IW28" i="77"/>
  <c r="IZ28" s="1"/>
  <c r="AB28" i="73"/>
  <c r="Y28"/>
  <c r="IW207" i="77"/>
  <c r="IZ207" s="1"/>
  <c r="Y207" i="73"/>
  <c r="AB142"/>
  <c r="Y142"/>
  <c r="AC193" i="39"/>
  <c r="W92" i="65"/>
  <c r="V93" i="72"/>
  <c r="AD461" i="73"/>
  <c r="Y148"/>
  <c r="AB88" i="74"/>
  <c r="Y88"/>
  <c r="IW34" i="77"/>
  <c r="IZ34" s="1"/>
  <c r="AB34" i="73"/>
  <c r="Y34"/>
  <c r="AB229" i="72"/>
  <c r="AB177"/>
  <c r="IW208" i="77"/>
  <c r="IZ208" s="1"/>
  <c r="AB208" i="73"/>
  <c r="Y208"/>
  <c r="IW92" i="77"/>
  <c r="IZ92" s="1"/>
  <c r="Y92" i="73"/>
  <c r="IW80" i="77"/>
  <c r="IZ80" s="1"/>
  <c r="Y80" i="73"/>
  <c r="Y128"/>
  <c r="IW49" i="77"/>
  <c r="IZ49" s="1"/>
  <c r="Y49" i="73"/>
  <c r="HU49" i="77"/>
  <c r="Z49" i="73" s="1"/>
  <c r="Y367" i="74"/>
  <c r="IW38" i="77"/>
  <c r="IZ38" s="1"/>
  <c r="AB38" i="73"/>
  <c r="Y38"/>
  <c r="IW94" i="77"/>
  <c r="IZ94" s="1"/>
  <c r="AB94" i="73"/>
  <c r="Y94"/>
  <c r="IW79" i="77"/>
  <c r="IZ79" s="1"/>
  <c r="AB79" i="73"/>
  <c r="Y79"/>
  <c r="AB96" i="74"/>
  <c r="Y96"/>
  <c r="AB210" i="73"/>
  <c r="Y210"/>
  <c r="IW393" i="77"/>
  <c r="IZ393" s="1"/>
  <c r="AB393" i="73"/>
  <c r="Y393"/>
  <c r="IW354" i="77"/>
  <c r="IZ354" s="1"/>
  <c r="AB354" i="73"/>
  <c r="Y354"/>
  <c r="AB406"/>
  <c r="IW270" i="77"/>
  <c r="IZ270" s="1"/>
  <c r="IW246"/>
  <c r="IZ246" s="1"/>
  <c r="AB246" i="73"/>
  <c r="Y246"/>
  <c r="IW274" i="77"/>
  <c r="IZ274" s="1"/>
  <c r="IW36"/>
  <c r="IZ36" s="1"/>
  <c r="AB36" i="73"/>
  <c r="Y36"/>
  <c r="Y221"/>
  <c r="IW268" i="77"/>
  <c r="IZ268" s="1"/>
  <c r="IW365"/>
  <c r="IZ365" s="1"/>
  <c r="AB365" i="73"/>
  <c r="Y365"/>
  <c r="AB132" i="72"/>
  <c r="AB106"/>
  <c r="IW205" i="77"/>
  <c r="IZ205" s="1"/>
  <c r="Y205" i="73"/>
  <c r="AB394" i="74"/>
  <c r="Y385"/>
  <c r="Y241" i="73"/>
  <c r="IW237" i="77"/>
  <c r="IZ237" s="1"/>
  <c r="Y237" i="73"/>
  <c r="IW283" i="77"/>
  <c r="IZ283" s="1"/>
  <c r="IW29"/>
  <c r="IZ29" s="1"/>
  <c r="AB29" i="73"/>
  <c r="Y29"/>
  <c r="Z401" i="74"/>
  <c r="Y401"/>
  <c r="Y132" i="73"/>
  <c r="IW33" i="77"/>
  <c r="IZ33" s="1"/>
  <c r="AB33" i="73"/>
  <c r="Y33"/>
  <c r="AB201" i="72"/>
  <c r="AB243"/>
  <c r="IW263" i="77"/>
  <c r="IZ263" s="1"/>
  <c r="AB263" i="73"/>
  <c r="IW244" i="77"/>
  <c r="IZ244" s="1"/>
  <c r="AB244" i="73"/>
  <c r="Y244"/>
  <c r="IW264" i="77"/>
  <c r="IZ264" s="1"/>
  <c r="AB264" i="73"/>
  <c r="IW429" i="77"/>
  <c r="IZ429" s="1"/>
  <c r="AB429" i="73"/>
  <c r="Y429"/>
  <c r="Y412"/>
  <c r="IW240" i="77"/>
  <c r="IZ240" s="1"/>
  <c r="Y240" i="73"/>
  <c r="IW423" i="77"/>
  <c r="IZ423" s="1"/>
  <c r="AB423" i="73"/>
  <c r="Y423"/>
  <c r="IW273" i="77"/>
  <c r="IZ273" s="1"/>
  <c r="GU286"/>
  <c r="GV286"/>
  <c r="IW443"/>
  <c r="IZ443" s="1"/>
  <c r="AB443" i="73"/>
  <c r="Y443"/>
  <c r="IW293" i="77"/>
  <c r="IZ293" s="1"/>
  <c r="AB293" i="73"/>
  <c r="IW259" i="77"/>
  <c r="IZ259" s="1"/>
  <c r="Y259" i="73"/>
  <c r="AB278" i="72"/>
  <c r="AB225"/>
  <c r="IW78" i="77"/>
  <c r="IZ78" s="1"/>
  <c r="AB78" i="73"/>
  <c r="Y78"/>
  <c r="Y159"/>
  <c r="IW253" i="77"/>
  <c r="IZ253" s="1"/>
  <c r="AB253" i="73"/>
  <c r="Y253"/>
  <c r="AB146"/>
  <c r="Y146"/>
  <c r="AB250" i="72"/>
  <c r="AB207"/>
  <c r="IW229" i="77"/>
  <c r="IZ229" s="1"/>
  <c r="Y229" i="73"/>
  <c r="Y231"/>
  <c r="IW22" i="77"/>
  <c r="IZ22" s="1"/>
  <c r="AB22" i="73"/>
  <c r="Y22"/>
  <c r="IW254" i="77"/>
  <c r="IZ254" s="1"/>
  <c r="Y254" i="73"/>
  <c r="IW68" i="77"/>
  <c r="IZ68" s="1"/>
  <c r="Y68" i="73"/>
  <c r="HU68" i="77"/>
  <c r="Z68" i="73" s="1"/>
  <c r="IW89" i="77"/>
  <c r="IZ89" s="1"/>
  <c r="AB89" i="73"/>
  <c r="Y89"/>
  <c r="IW63" i="77"/>
  <c r="IZ63" s="1"/>
  <c r="AB63" i="73"/>
  <c r="Y63"/>
  <c r="IW202" i="77"/>
  <c r="IZ202" s="1"/>
  <c r="AB202" i="73"/>
  <c r="Y202"/>
  <c r="Y154"/>
  <c r="IW57" i="77"/>
  <c r="IZ57" s="1"/>
  <c r="Y57" i="73"/>
  <c r="AB31"/>
  <c r="Y31"/>
  <c r="IW269" i="77"/>
  <c r="IZ269" s="1"/>
  <c r="IW222"/>
  <c r="IZ222" s="1"/>
  <c r="Y222" i="73"/>
  <c r="AB18"/>
  <c r="Y18"/>
  <c r="IW59" i="77"/>
  <c r="IZ59" s="1"/>
  <c r="AB59" i="73"/>
  <c r="Y59"/>
  <c r="IW58" i="77"/>
  <c r="IZ58" s="1"/>
  <c r="Y58" i="73"/>
  <c r="IW384" i="77"/>
  <c r="IZ384" s="1"/>
  <c r="Y384" i="73"/>
  <c r="IW66" i="77"/>
  <c r="IZ66" s="1"/>
  <c r="HU66"/>
  <c r="Z66" i="73" s="1"/>
  <c r="Y66"/>
  <c r="IW242" i="77"/>
  <c r="IZ242" s="1"/>
  <c r="HX242"/>
  <c r="Y242" i="73"/>
  <c r="AB91"/>
  <c r="Y91"/>
  <c r="IW248" i="77"/>
  <c r="IZ248" s="1"/>
  <c r="AB248" i="73"/>
  <c r="Y248"/>
  <c r="IW30" i="77"/>
  <c r="IZ30" s="1"/>
  <c r="AB30" i="73"/>
  <c r="Y30"/>
  <c r="IW40" i="77"/>
  <c r="IZ40" s="1"/>
  <c r="AB40" i="73"/>
  <c r="Y40"/>
  <c r="IW67" i="77"/>
  <c r="IZ67" s="1"/>
  <c r="AB67" i="73"/>
  <c r="Y67"/>
  <c r="IW250" i="77"/>
  <c r="IZ250" s="1"/>
  <c r="Y250" i="73"/>
  <c r="Y421"/>
  <c r="AB187"/>
  <c r="Y187"/>
  <c r="AB140"/>
  <c r="Y140"/>
  <c r="Y156"/>
  <c r="Z156"/>
  <c r="IW256" i="77"/>
  <c r="IZ256" s="1"/>
  <c r="AB256" i="73"/>
  <c r="Y256"/>
  <c r="AB441"/>
  <c r="Y441"/>
  <c r="IW372" i="77"/>
  <c r="IZ372" s="1"/>
  <c r="Y372" i="73"/>
  <c r="IW394" i="77"/>
  <c r="IZ394" s="1"/>
  <c r="Y394" i="73"/>
  <c r="AB419" i="72"/>
  <c r="AB412"/>
  <c r="IW276" i="77"/>
  <c r="IZ276" s="1"/>
  <c r="IW60"/>
  <c r="IZ60" s="1"/>
  <c r="AB60" i="73"/>
  <c r="Y60"/>
  <c r="Y211"/>
  <c r="Y195"/>
  <c r="IW93" i="77"/>
  <c r="IZ93" s="1"/>
  <c r="AB93" i="73"/>
  <c r="Y93"/>
  <c r="IW42" i="77"/>
  <c r="IZ42" s="1"/>
  <c r="AB42" i="73"/>
  <c r="Y42"/>
  <c r="AB153"/>
  <c r="Y153"/>
  <c r="Y413"/>
  <c r="AB13"/>
  <c r="Y13"/>
  <c r="IW50" i="77"/>
  <c r="IZ50" s="1"/>
  <c r="HU50"/>
  <c r="Z50" i="73" s="1"/>
  <c r="Y50"/>
  <c r="IW277" i="77"/>
  <c r="IZ277" s="1"/>
  <c r="IW70"/>
  <c r="IZ70" s="1"/>
  <c r="AB70" i="73"/>
  <c r="Y70"/>
  <c r="IW95" i="77"/>
  <c r="IZ95" s="1"/>
  <c r="AB95" i="73"/>
  <c r="Y95"/>
  <c r="AB159" i="72"/>
  <c r="AB259"/>
  <c r="IW288" i="77"/>
  <c r="IZ288" s="1"/>
  <c r="AB288" i="73"/>
  <c r="Y119"/>
  <c r="IW239" i="77"/>
  <c r="IZ239" s="1"/>
  <c r="Y239" i="73"/>
  <c r="IW73" i="77"/>
  <c r="IZ73" s="1"/>
  <c r="HU73"/>
  <c r="Z73" i="73" s="1"/>
  <c r="Y73"/>
  <c r="IW37" i="77"/>
  <c r="IZ37" s="1"/>
  <c r="AB37" i="73"/>
  <c r="Y37"/>
  <c r="Y197"/>
  <c r="IW54" i="77"/>
  <c r="IZ54" s="1"/>
  <c r="AB54" i="73"/>
  <c r="Y54"/>
  <c r="IW64" i="77"/>
  <c r="IZ64" s="1"/>
  <c r="HU64"/>
  <c r="Z64" i="73" s="1"/>
  <c r="Y64"/>
  <c r="AB11" i="72"/>
  <c r="Y11"/>
  <c r="Y468" s="1"/>
  <c r="Y466" s="1"/>
  <c r="IW209" i="77"/>
  <c r="IZ209" s="1"/>
  <c r="Y209" i="73"/>
  <c r="IW285" i="77"/>
  <c r="IZ285" s="1"/>
  <c r="EJ202"/>
  <c r="EM202" s="1"/>
  <c r="HY420"/>
  <c r="AD420" i="73" s="1"/>
  <c r="IW27" i="77"/>
  <c r="IZ27" s="1"/>
  <c r="Y27" i="73"/>
  <c r="Y147"/>
  <c r="AB199"/>
  <c r="Y199"/>
  <c r="IW47" i="77"/>
  <c r="IZ47" s="1"/>
  <c r="Y47" i="73"/>
  <c r="IW292" i="77"/>
  <c r="IZ292" s="1"/>
  <c r="AB292" i="73"/>
  <c r="Y198"/>
  <c r="IW442" i="77"/>
  <c r="IZ442" s="1"/>
  <c r="AB442" i="73"/>
  <c r="Y442"/>
  <c r="IW409" i="77"/>
  <c r="IZ409" s="1"/>
  <c r="AB409" i="73"/>
  <c r="Y409"/>
  <c r="IW223" i="77"/>
  <c r="IZ223" s="1"/>
  <c r="Y223" i="73"/>
  <c r="IW26" i="77"/>
  <c r="IZ26" s="1"/>
  <c r="AB26" i="73"/>
  <c r="Y26"/>
  <c r="IW272" i="77"/>
  <c r="IZ272" s="1"/>
  <c r="AB251" i="73"/>
  <c r="Y251"/>
  <c r="AB150" i="74"/>
  <c r="Y150"/>
  <c r="IW257" i="77"/>
  <c r="IZ257" s="1"/>
  <c r="AB257" i="73"/>
  <c r="Y257"/>
  <c r="IW430" i="77"/>
  <c r="IZ430" s="1"/>
  <c r="AB430" i="73"/>
  <c r="Y430"/>
  <c r="Y427" i="74"/>
  <c r="IW449" i="77"/>
  <c r="IZ449" s="1"/>
  <c r="AB449" i="73"/>
  <c r="Y449"/>
  <c r="Y143"/>
  <c r="IW422" i="77"/>
  <c r="IZ422" s="1"/>
  <c r="AB422" i="73"/>
  <c r="Y422"/>
  <c r="IW44" i="77"/>
  <c r="IZ44" s="1"/>
  <c r="Y44" i="73"/>
  <c r="IW48" i="77"/>
  <c r="IZ48" s="1"/>
  <c r="AB48" i="73"/>
  <c r="Y48"/>
  <c r="IW444" i="77"/>
  <c r="IZ444" s="1"/>
  <c r="AB444" i="73"/>
  <c r="Y444"/>
  <c r="AB167"/>
  <c r="Y167"/>
  <c r="IW53" i="77"/>
  <c r="IZ53" s="1"/>
  <c r="Y53" i="73"/>
  <c r="HU53" i="77"/>
  <c r="Z53" i="73" s="1"/>
  <c r="AB371"/>
  <c r="Y371"/>
  <c r="IW362" i="77"/>
  <c r="IZ362" s="1"/>
  <c r="Y362" i="73"/>
  <c r="AB14"/>
  <c r="Y14"/>
  <c r="IW278" i="77"/>
  <c r="IZ278" s="1"/>
  <c r="IW69"/>
  <c r="IZ69" s="1"/>
  <c r="AB69" i="73"/>
  <c r="Y69"/>
  <c r="Y178"/>
  <c r="IW262" i="77"/>
  <c r="IZ262" s="1"/>
  <c r="AB262" i="73"/>
  <c r="IW55" i="77"/>
  <c r="IZ55" s="1"/>
  <c r="Y55" i="73"/>
  <c r="HU55" i="77"/>
  <c r="Z55" i="73" s="1"/>
  <c r="IW267" i="77"/>
  <c r="IZ267" s="1"/>
  <c r="AB267" i="73"/>
  <c r="IW52" i="77"/>
  <c r="IZ52" s="1"/>
  <c r="Y52" i="73"/>
  <c r="HU52" i="77"/>
  <c r="Z52" i="73" s="1"/>
  <c r="Y196"/>
  <c r="AB372" i="72"/>
  <c r="AB384"/>
  <c r="Y216" i="73"/>
  <c r="IW98" i="77"/>
  <c r="IZ98" s="1"/>
  <c r="Y98" i="73"/>
  <c r="AB145"/>
  <c r="Y145"/>
  <c r="IW72" i="77"/>
  <c r="IZ72" s="1"/>
  <c r="AB72" i="73"/>
  <c r="Y72"/>
  <c r="Y41"/>
  <c r="IW287" i="77"/>
  <c r="IZ287" s="1"/>
  <c r="AB211" i="72"/>
  <c r="AB254"/>
  <c r="AB241"/>
  <c r="AB195"/>
  <c r="IW46" i="77"/>
  <c r="IZ46" s="1"/>
  <c r="AB46" i="73"/>
  <c r="Y46"/>
  <c r="AB437" i="72"/>
  <c r="AB413"/>
  <c r="AB84" i="74"/>
  <c r="Y84"/>
  <c r="Y171" i="73"/>
  <c r="Y179"/>
  <c r="IW200" i="77"/>
  <c r="IZ200" s="1"/>
  <c r="Y200" i="73"/>
  <c r="IW289" i="77"/>
  <c r="IZ289" s="1"/>
  <c r="AB289" i="73"/>
  <c r="AB64" i="72"/>
  <c r="GV64" i="77"/>
  <c r="AD64" i="72" s="1"/>
  <c r="GU64" i="77"/>
  <c r="AC64" i="72" s="1"/>
  <c r="AB15" i="73"/>
  <c r="Y15"/>
  <c r="AB295" i="72"/>
  <c r="AB209"/>
  <c r="AB287" i="73"/>
  <c r="Y194"/>
  <c r="V248" i="65"/>
  <c r="V376" i="72"/>
  <c r="W246" i="74"/>
  <c r="V246" i="71"/>
  <c r="W199"/>
  <c r="T218" i="69"/>
  <c r="HX437" i="77"/>
  <c r="HY54"/>
  <c r="AD54" i="73" s="1"/>
  <c r="AA90" i="39"/>
  <c r="AA86"/>
  <c r="AC266"/>
  <c r="AA266"/>
  <c r="AA157"/>
  <c r="AC401" i="68"/>
  <c r="AA401"/>
  <c r="AA367" i="74"/>
  <c r="GU66" i="77"/>
  <c r="AC66" i="72" s="1"/>
  <c r="AA66"/>
  <c r="AA417" i="74"/>
  <c r="AA432"/>
  <c r="AA370" i="71"/>
  <c r="FR370" i="77"/>
  <c r="AC370" i="71" s="1"/>
  <c r="FS370" i="77"/>
  <c r="AD370" i="71" s="1"/>
  <c r="AA273" i="39"/>
  <c r="AA168"/>
  <c r="AA107"/>
  <c r="AA264"/>
  <c r="AC264" i="77"/>
  <c r="AC264" i="39" s="1"/>
  <c r="AD264" i="77"/>
  <c r="AD264" i="39" s="1"/>
  <c r="AA380"/>
  <c r="AA388"/>
  <c r="AA391"/>
  <c r="AC391"/>
  <c r="AD391"/>
  <c r="AA106"/>
  <c r="AA132"/>
  <c r="AA158"/>
  <c r="AA130"/>
  <c r="AA269"/>
  <c r="AA133"/>
  <c r="V96" i="74"/>
  <c r="O96" i="68"/>
  <c r="W96" i="73"/>
  <c r="W245" i="65"/>
  <c r="AA80" i="39"/>
  <c r="AA89"/>
  <c r="AA85"/>
  <c r="AA195"/>
  <c r="AA169"/>
  <c r="AD41" i="69"/>
  <c r="AA41"/>
  <c r="AA156" i="71"/>
  <c r="AA105"/>
  <c r="AA272" i="39"/>
  <c r="AA161"/>
  <c r="AD270"/>
  <c r="AA270"/>
  <c r="AA222"/>
  <c r="AA274"/>
  <c r="AA171"/>
  <c r="AA108"/>
  <c r="AA154"/>
  <c r="AA128"/>
  <c r="AA281"/>
  <c r="AA184"/>
  <c r="AA295"/>
  <c r="AC209" i="77"/>
  <c r="AC295" i="39" s="1"/>
  <c r="AA209"/>
  <c r="AD209" i="77"/>
  <c r="AD295" i="39" s="1"/>
  <c r="V96" i="73"/>
  <c r="V246" i="74"/>
  <c r="V245" i="65"/>
  <c r="W95" i="72"/>
  <c r="AC80" i="39"/>
  <c r="U240" i="72"/>
  <c r="AA97" i="39"/>
  <c r="AA200"/>
  <c r="AA180"/>
  <c r="AD457" i="77"/>
  <c r="AD457" i="39" s="1"/>
  <c r="AA457"/>
  <c r="AC104"/>
  <c r="AA104"/>
  <c r="GV53" i="77"/>
  <c r="AD53" i="72" s="1"/>
  <c r="AA53"/>
  <c r="AD431" i="71"/>
  <c r="AA431"/>
  <c r="BG404" i="77"/>
  <c r="AD404" i="65" s="1"/>
  <c r="AA404"/>
  <c r="GV52" i="77"/>
  <c r="AD52" i="72" s="1"/>
  <c r="AA52"/>
  <c r="AA286" i="39"/>
  <c r="AA193"/>
  <c r="AA279"/>
  <c r="AA113"/>
  <c r="AA230"/>
  <c r="AA178"/>
  <c r="AA136"/>
  <c r="AA111"/>
  <c r="AA354"/>
  <c r="AD354" i="77"/>
  <c r="AD354" i="39" s="1"/>
  <c r="AC354" i="77"/>
  <c r="AC354" i="39" s="1"/>
  <c r="AD377" i="77"/>
  <c r="AD377" i="39" s="1"/>
  <c r="AA377"/>
  <c r="AA268"/>
  <c r="AA160"/>
  <c r="AA172"/>
  <c r="AA223"/>
  <c r="T246" i="70"/>
  <c r="AC209" i="39"/>
  <c r="AA246"/>
  <c r="AA81"/>
  <c r="AA83"/>
  <c r="AA196"/>
  <c r="AA170"/>
  <c r="AD129"/>
  <c r="AA129"/>
  <c r="AC441"/>
  <c r="AA441"/>
  <c r="AC238" i="77"/>
  <c r="AA238" i="39"/>
  <c r="AD432" i="70"/>
  <c r="AA432"/>
  <c r="AA417"/>
  <c r="AA231" i="39"/>
  <c r="AA179"/>
  <c r="AA186"/>
  <c r="AA283"/>
  <c r="AA381"/>
  <c r="AA389"/>
  <c r="AA383"/>
  <c r="AD364" i="77"/>
  <c r="AD383" i="39" s="1"/>
  <c r="AC364" i="77"/>
  <c r="AC383" i="39" s="1"/>
  <c r="AA188"/>
  <c r="AA237"/>
  <c r="AA276"/>
  <c r="AA224"/>
  <c r="AA174"/>
  <c r="AA277"/>
  <c r="AA175"/>
  <c r="AD199"/>
  <c r="AC96"/>
  <c r="W246" i="72"/>
  <c r="HU227" i="77"/>
  <c r="Z227" i="73" s="1"/>
  <c r="AA401" i="71"/>
  <c r="HQ376" i="77"/>
  <c r="AA218" i="39"/>
  <c r="AA247"/>
  <c r="W221" i="74"/>
  <c r="W232"/>
  <c r="V198"/>
  <c r="V175"/>
  <c r="V277"/>
  <c r="V363"/>
  <c r="V360"/>
  <c r="V91"/>
  <c r="V88"/>
  <c r="V121"/>
  <c r="V114"/>
  <c r="V89"/>
  <c r="V85"/>
  <c r="V200"/>
  <c r="V180"/>
  <c r="U174"/>
  <c r="U224"/>
  <c r="U276"/>
  <c r="U142"/>
  <c r="U131"/>
  <c r="U244"/>
  <c r="U238"/>
  <c r="Z182"/>
  <c r="X182"/>
  <c r="O157"/>
  <c r="O266"/>
  <c r="U157"/>
  <c r="U266"/>
  <c r="U154"/>
  <c r="U100"/>
  <c r="W229"/>
  <c r="W177"/>
  <c r="V278"/>
  <c r="V225"/>
  <c r="IS289" i="77"/>
  <c r="U289" i="74" s="1"/>
  <c r="T289"/>
  <c r="V223"/>
  <c r="V172"/>
  <c r="W134"/>
  <c r="W271"/>
  <c r="P132"/>
  <c r="P106"/>
  <c r="P216"/>
  <c r="U284"/>
  <c r="U117"/>
  <c r="V160"/>
  <c r="V268"/>
  <c r="W133"/>
  <c r="W269"/>
  <c r="O159"/>
  <c r="O259"/>
  <c r="V270"/>
  <c r="V219"/>
  <c r="T231"/>
  <c r="T179"/>
  <c r="W101"/>
  <c r="W261"/>
  <c r="W213"/>
  <c r="U101"/>
  <c r="U261"/>
  <c r="U213"/>
  <c r="U118"/>
  <c r="U168"/>
  <c r="U273"/>
  <c r="U107"/>
  <c r="V116"/>
  <c r="V185"/>
  <c r="U185"/>
  <c r="U116"/>
  <c r="U267"/>
  <c r="IV267" i="77"/>
  <c r="IY267" s="1"/>
  <c r="U383" i="74"/>
  <c r="IV364" i="77"/>
  <c r="IY364" s="1"/>
  <c r="U364" i="74"/>
  <c r="U133"/>
  <c r="U269"/>
  <c r="U119"/>
  <c r="U111"/>
  <c r="U136"/>
  <c r="U196"/>
  <c r="U170"/>
  <c r="U382"/>
  <c r="IV382" i="77"/>
  <c r="IY382" s="1"/>
  <c r="U91" i="74"/>
  <c r="U88"/>
  <c r="V240"/>
  <c r="V364"/>
  <c r="W253"/>
  <c r="W90"/>
  <c r="W86"/>
  <c r="V371"/>
  <c r="V369"/>
  <c r="V90"/>
  <c r="V86"/>
  <c r="V142"/>
  <c r="V131"/>
  <c r="V192"/>
  <c r="V162"/>
  <c r="W144"/>
  <c r="W137"/>
  <c r="V203"/>
  <c r="V183"/>
  <c r="V195"/>
  <c r="V169"/>
  <c r="W121"/>
  <c r="W114"/>
  <c r="W89"/>
  <c r="W85"/>
  <c r="W168"/>
  <c r="W273"/>
  <c r="W107"/>
  <c r="V362"/>
  <c r="V359"/>
  <c r="W276"/>
  <c r="W174"/>
  <c r="W224"/>
  <c r="U272"/>
  <c r="U161"/>
  <c r="U90"/>
  <c r="U86"/>
  <c r="X190"/>
  <c r="U190"/>
  <c r="V113"/>
  <c r="V279"/>
  <c r="V230"/>
  <c r="V178"/>
  <c r="V229"/>
  <c r="V177"/>
  <c r="W278"/>
  <c r="W225"/>
  <c r="W223"/>
  <c r="W172"/>
  <c r="V271"/>
  <c r="V134"/>
  <c r="O132"/>
  <c r="O106"/>
  <c r="O216"/>
  <c r="O231"/>
  <c r="O179"/>
  <c r="W160"/>
  <c r="W268"/>
  <c r="W167"/>
  <c r="P167"/>
  <c r="P159"/>
  <c r="P259"/>
  <c r="V384"/>
  <c r="V372"/>
  <c r="X282"/>
  <c r="U296"/>
  <c r="IV296" i="77"/>
  <c r="IY296" s="1"/>
  <c r="U166" i="74"/>
  <c r="U113"/>
  <c r="U279"/>
  <c r="U230"/>
  <c r="U178"/>
  <c r="X381"/>
  <c r="U103"/>
  <c r="U222"/>
  <c r="U171"/>
  <c r="U274"/>
  <c r="U108"/>
  <c r="U184"/>
  <c r="U281"/>
  <c r="W395"/>
  <c r="W386"/>
  <c r="U283"/>
  <c r="U186"/>
  <c r="V193"/>
  <c r="W247"/>
  <c r="X449"/>
  <c r="U247"/>
  <c r="U96"/>
  <c r="U148"/>
  <c r="X211"/>
  <c r="T92"/>
  <c r="W364"/>
  <c r="U240"/>
  <c r="V196"/>
  <c r="V170"/>
  <c r="V120"/>
  <c r="V112"/>
  <c r="W142"/>
  <c r="W131"/>
  <c r="W192"/>
  <c r="W162"/>
  <c r="W138"/>
  <c r="W272"/>
  <c r="W161"/>
  <c r="U277"/>
  <c r="U175"/>
  <c r="V81"/>
  <c r="V83"/>
  <c r="V218"/>
  <c r="V226"/>
  <c r="W237"/>
  <c r="W188"/>
  <c r="W82"/>
  <c r="W84"/>
  <c r="V144"/>
  <c r="V137"/>
  <c r="W203"/>
  <c r="W183"/>
  <c r="W195"/>
  <c r="W169"/>
  <c r="V111"/>
  <c r="V136"/>
  <c r="W244"/>
  <c r="W238"/>
  <c r="V273"/>
  <c r="V107"/>
  <c r="V168"/>
  <c r="W362"/>
  <c r="W359"/>
  <c r="V224"/>
  <c r="V276"/>
  <c r="V174"/>
  <c r="AA234"/>
  <c r="X234"/>
  <c r="U388"/>
  <c r="U380"/>
  <c r="W279"/>
  <c r="W230"/>
  <c r="W178"/>
  <c r="W113"/>
  <c r="W171"/>
  <c r="W274"/>
  <c r="W108"/>
  <c r="W222"/>
  <c r="P231"/>
  <c r="P179"/>
  <c r="W283"/>
  <c r="W186"/>
  <c r="V167"/>
  <c r="O167"/>
  <c r="V117"/>
  <c r="V284"/>
  <c r="W184"/>
  <c r="W281"/>
  <c r="IS354" i="77"/>
  <c r="U354" i="74" s="1"/>
  <c r="T354"/>
  <c r="U229"/>
  <c r="U177"/>
  <c r="T157"/>
  <c r="T266"/>
  <c r="U362"/>
  <c r="U359"/>
  <c r="U204"/>
  <c r="U237"/>
  <c r="U188"/>
  <c r="U82"/>
  <c r="U84"/>
  <c r="U176"/>
  <c r="T132"/>
  <c r="T106"/>
  <c r="V395"/>
  <c r="V386"/>
  <c r="U130"/>
  <c r="U158"/>
  <c r="U160"/>
  <c r="U268"/>
  <c r="U120"/>
  <c r="U112"/>
  <c r="W193"/>
  <c r="V247"/>
  <c r="U128"/>
  <c r="IV78" i="77"/>
  <c r="W384" i="74"/>
  <c r="U245"/>
  <c r="T148"/>
  <c r="V242"/>
  <c r="W240"/>
  <c r="U209"/>
  <c r="W371"/>
  <c r="W369"/>
  <c r="V221"/>
  <c r="V232"/>
  <c r="V272"/>
  <c r="V161"/>
  <c r="W81"/>
  <c r="W83"/>
  <c r="W218"/>
  <c r="W226"/>
  <c r="V188"/>
  <c r="V237"/>
  <c r="V82"/>
  <c r="V84"/>
  <c r="W196"/>
  <c r="W170"/>
  <c r="W120"/>
  <c r="W112"/>
  <c r="W198"/>
  <c r="W175"/>
  <c r="W277"/>
  <c r="W363"/>
  <c r="W360"/>
  <c r="V138"/>
  <c r="W91"/>
  <c r="W88"/>
  <c r="W136"/>
  <c r="W111"/>
  <c r="V244"/>
  <c r="V238"/>
  <c r="W200"/>
  <c r="W180"/>
  <c r="AA361"/>
  <c r="X361"/>
  <c r="U192"/>
  <c r="U162"/>
  <c r="U89"/>
  <c r="U85"/>
  <c r="U200"/>
  <c r="U180"/>
  <c r="U221"/>
  <c r="U232"/>
  <c r="P157"/>
  <c r="P266"/>
  <c r="X287"/>
  <c r="U287"/>
  <c r="V222"/>
  <c r="V171"/>
  <c r="V274"/>
  <c r="V108"/>
  <c r="U132"/>
  <c r="U106"/>
  <c r="U270"/>
  <c r="U219"/>
  <c r="V283"/>
  <c r="V186"/>
  <c r="V133"/>
  <c r="V269"/>
  <c r="W284"/>
  <c r="W117"/>
  <c r="U159"/>
  <c r="U259"/>
  <c r="V184"/>
  <c r="V281"/>
  <c r="T159"/>
  <c r="T259"/>
  <c r="U173"/>
  <c r="U110"/>
  <c r="U115"/>
  <c r="U379"/>
  <c r="IV379" i="77"/>
  <c r="IY379" s="1"/>
  <c r="V101" i="74"/>
  <c r="V261"/>
  <c r="V213"/>
  <c r="U278"/>
  <c r="U225"/>
  <c r="W116"/>
  <c r="W185"/>
  <c r="U371"/>
  <c r="U369"/>
  <c r="U102"/>
  <c r="U172"/>
  <c r="U223"/>
  <c r="U393"/>
  <c r="IV393" i="77"/>
  <c r="IY393" s="1"/>
  <c r="U395" i="74"/>
  <c r="IV386" i="77"/>
  <c r="IY386" s="1"/>
  <c r="U386" i="74"/>
  <c r="U165"/>
  <c r="U290"/>
  <c r="U271"/>
  <c r="U134"/>
  <c r="U121"/>
  <c r="U114"/>
  <c r="W219"/>
  <c r="V253"/>
  <c r="W242"/>
  <c r="T145"/>
  <c r="V220"/>
  <c r="W144" i="73"/>
  <c r="W137"/>
  <c r="P237"/>
  <c r="P188"/>
  <c r="V81"/>
  <c r="V83"/>
  <c r="W142"/>
  <c r="W131"/>
  <c r="W174"/>
  <c r="W276"/>
  <c r="W224"/>
  <c r="U192"/>
  <c r="U162"/>
  <c r="W201"/>
  <c r="W181"/>
  <c r="W234"/>
  <c r="V144"/>
  <c r="V137"/>
  <c r="W249"/>
  <c r="W246"/>
  <c r="W136"/>
  <c r="W111"/>
  <c r="W91"/>
  <c r="W88"/>
  <c r="U198"/>
  <c r="U175"/>
  <c r="U277"/>
  <c r="W89"/>
  <c r="W85"/>
  <c r="T241"/>
  <c r="T235"/>
  <c r="W359"/>
  <c r="U378"/>
  <c r="T244"/>
  <c r="T238"/>
  <c r="U371"/>
  <c r="U369"/>
  <c r="T198"/>
  <c r="T175"/>
  <c r="T277"/>
  <c r="U381"/>
  <c r="T381"/>
  <c r="HS267" i="77"/>
  <c r="HU267" s="1"/>
  <c r="U267" i="73"/>
  <c r="V173"/>
  <c r="V110"/>
  <c r="HR372" i="77"/>
  <c r="W372" i="73" s="1"/>
  <c r="P372"/>
  <c r="W223"/>
  <c r="W172"/>
  <c r="W284"/>
  <c r="W117"/>
  <c r="X177"/>
  <c r="X229"/>
  <c r="U106"/>
  <c r="U132"/>
  <c r="U216"/>
  <c r="HQ288" i="77"/>
  <c r="V288" i="73" s="1"/>
  <c r="O288"/>
  <c r="V279"/>
  <c r="V178"/>
  <c r="V230"/>
  <c r="V113"/>
  <c r="V163"/>
  <c r="O163"/>
  <c r="HS280" i="77"/>
  <c r="U280" i="73"/>
  <c r="W134"/>
  <c r="W271"/>
  <c r="W281"/>
  <c r="W184"/>
  <c r="HR362" i="77"/>
  <c r="W362" i="73" s="1"/>
  <c r="P362"/>
  <c r="V164"/>
  <c r="O164"/>
  <c r="V270"/>
  <c r="V219"/>
  <c r="O283"/>
  <c r="O186"/>
  <c r="W179"/>
  <c r="W231"/>
  <c r="P383"/>
  <c r="P364"/>
  <c r="W185"/>
  <c r="W116"/>
  <c r="V101"/>
  <c r="V261"/>
  <c r="V213"/>
  <c r="W133"/>
  <c r="W269"/>
  <c r="W371"/>
  <c r="P371"/>
  <c r="O190"/>
  <c r="O240"/>
  <c r="W130"/>
  <c r="W158"/>
  <c r="W215"/>
  <c r="U81"/>
  <c r="U83"/>
  <c r="T192"/>
  <c r="T162"/>
  <c r="U270"/>
  <c r="U219"/>
  <c r="HQ384" i="77"/>
  <c r="U251" i="73"/>
  <c r="V201"/>
  <c r="V181"/>
  <c r="V249"/>
  <c r="V246"/>
  <c r="V107"/>
  <c r="V273"/>
  <c r="V168"/>
  <c r="W200"/>
  <c r="W180"/>
  <c r="V369"/>
  <c r="W363"/>
  <c r="W360"/>
  <c r="W202"/>
  <c r="W182"/>
  <c r="W121"/>
  <c r="W114"/>
  <c r="T145"/>
  <c r="T138"/>
  <c r="T237"/>
  <c r="T188"/>
  <c r="U249"/>
  <c r="U246"/>
  <c r="U89"/>
  <c r="U85"/>
  <c r="V274"/>
  <c r="V222"/>
  <c r="V171"/>
  <c r="V108"/>
  <c r="P141"/>
  <c r="P191"/>
  <c r="HQ372" i="77"/>
  <c r="V372" i="73" s="1"/>
  <c r="O372"/>
  <c r="U134"/>
  <c r="U271"/>
  <c r="U179"/>
  <c r="U231"/>
  <c r="HR288" i="77"/>
  <c r="W288" i="73" s="1"/>
  <c r="P288"/>
  <c r="W178"/>
  <c r="W230"/>
  <c r="W279"/>
  <c r="W113"/>
  <c r="W146"/>
  <c r="P146"/>
  <c r="AA291"/>
  <c r="X291"/>
  <c r="U160"/>
  <c r="U268"/>
  <c r="V281"/>
  <c r="V184"/>
  <c r="HQ362" i="77"/>
  <c r="V362" i="73" s="1"/>
  <c r="O362"/>
  <c r="W270"/>
  <c r="W219"/>
  <c r="HQ379" i="77"/>
  <c r="V379" i="73" s="1"/>
  <c r="O379"/>
  <c r="V231"/>
  <c r="V179"/>
  <c r="O383"/>
  <c r="O364"/>
  <c r="V185"/>
  <c r="V116"/>
  <c r="V371"/>
  <c r="O371"/>
  <c r="W109"/>
  <c r="P109"/>
  <c r="V160"/>
  <c r="V268"/>
  <c r="V252"/>
  <c r="V149"/>
  <c r="U158"/>
  <c r="U130"/>
  <c r="U215"/>
  <c r="X159"/>
  <c r="X259"/>
  <c r="U223"/>
  <c r="U172"/>
  <c r="U90"/>
  <c r="U86"/>
  <c r="U200"/>
  <c r="U180"/>
  <c r="U197"/>
  <c r="U276"/>
  <c r="U224"/>
  <c r="U174"/>
  <c r="U362"/>
  <c r="U359"/>
  <c r="U284"/>
  <c r="U117"/>
  <c r="W95"/>
  <c r="V234"/>
  <c r="W90"/>
  <c r="W86"/>
  <c r="V82"/>
  <c r="V84"/>
  <c r="V196"/>
  <c r="V170"/>
  <c r="AA233"/>
  <c r="X233"/>
  <c r="V136"/>
  <c r="V111"/>
  <c r="V91"/>
  <c r="V88"/>
  <c r="P175"/>
  <c r="P277"/>
  <c r="V89"/>
  <c r="V85"/>
  <c r="W273"/>
  <c r="W168"/>
  <c r="W107"/>
  <c r="V90"/>
  <c r="V86"/>
  <c r="W82"/>
  <c r="W84"/>
  <c r="V200"/>
  <c r="V180"/>
  <c r="W369"/>
  <c r="V363"/>
  <c r="V360"/>
  <c r="W196"/>
  <c r="W170"/>
  <c r="V202"/>
  <c r="V182"/>
  <c r="O237"/>
  <c r="O188"/>
  <c r="W81"/>
  <c r="W83"/>
  <c r="V224"/>
  <c r="V174"/>
  <c r="V276"/>
  <c r="O277"/>
  <c r="O175"/>
  <c r="P221"/>
  <c r="P232"/>
  <c r="V121"/>
  <c r="V114"/>
  <c r="U234"/>
  <c r="U82"/>
  <c r="U84"/>
  <c r="U121"/>
  <c r="U114"/>
  <c r="T358"/>
  <c r="T376"/>
  <c r="T112"/>
  <c r="HP380" i="77"/>
  <c r="U380" i="73" s="1"/>
  <c r="T380"/>
  <c r="HP377" i="77"/>
  <c r="U377" i="73" s="1"/>
  <c r="T377"/>
  <c r="T283"/>
  <c r="T186"/>
  <c r="HP364" i="77"/>
  <c r="T383" i="73"/>
  <c r="T364"/>
  <c r="W274"/>
  <c r="W222"/>
  <c r="W171"/>
  <c r="W108"/>
  <c r="AA225"/>
  <c r="AA278"/>
  <c r="O141"/>
  <c r="O191"/>
  <c r="V139"/>
  <c r="O139"/>
  <c r="U103"/>
  <c r="T103"/>
  <c r="U190"/>
  <c r="T190"/>
  <c r="V295"/>
  <c r="V209"/>
  <c r="V132"/>
  <c r="V106"/>
  <c r="V216"/>
  <c r="V109"/>
  <c r="O109"/>
  <c r="W160"/>
  <c r="W268"/>
  <c r="W149"/>
  <c r="W252"/>
  <c r="HP386" i="77"/>
  <c r="U395" i="73" s="1"/>
  <c r="T395"/>
  <c r="T141"/>
  <c r="T191"/>
  <c r="U139"/>
  <c r="T139"/>
  <c r="X157"/>
  <c r="X266"/>
  <c r="U91"/>
  <c r="U88"/>
  <c r="T384"/>
  <c r="T378"/>
  <c r="U133"/>
  <c r="U269"/>
  <c r="U295"/>
  <c r="U209"/>
  <c r="U274"/>
  <c r="U222"/>
  <c r="U171"/>
  <c r="U108"/>
  <c r="U279"/>
  <c r="U178"/>
  <c r="U230"/>
  <c r="U113"/>
  <c r="AA272"/>
  <c r="AA161"/>
  <c r="W93"/>
  <c r="W92"/>
  <c r="V95"/>
  <c r="T205"/>
  <c r="U205"/>
  <c r="HP372" i="77"/>
  <c r="U372" i="73" s="1"/>
  <c r="Z159"/>
  <c r="HP382" i="77"/>
  <c r="U382" i="73" s="1"/>
  <c r="U239"/>
  <c r="V359"/>
  <c r="U273"/>
  <c r="U168"/>
  <c r="U107"/>
  <c r="U144"/>
  <c r="U137"/>
  <c r="U136"/>
  <c r="U111"/>
  <c r="U122"/>
  <c r="U286"/>
  <c r="T203"/>
  <c r="T183"/>
  <c r="X133"/>
  <c r="X269"/>
  <c r="W173"/>
  <c r="W110"/>
  <c r="U141"/>
  <c r="U191"/>
  <c r="V223"/>
  <c r="V172"/>
  <c r="V284"/>
  <c r="V117"/>
  <c r="U281"/>
  <c r="U184"/>
  <c r="HP262" i="77"/>
  <c r="U262" i="73" s="1"/>
  <c r="T262"/>
  <c r="HR79" i="77"/>
  <c r="W79" i="73" s="1"/>
  <c r="P79"/>
  <c r="V146"/>
  <c r="O146"/>
  <c r="W163"/>
  <c r="P163"/>
  <c r="U185"/>
  <c r="U116"/>
  <c r="V134"/>
  <c r="V271"/>
  <c r="W164"/>
  <c r="P164"/>
  <c r="W295"/>
  <c r="W209"/>
  <c r="HR379" i="77"/>
  <c r="W379" i="73" s="1"/>
  <c r="P379"/>
  <c r="P283"/>
  <c r="P186"/>
  <c r="W132"/>
  <c r="W106"/>
  <c r="W216"/>
  <c r="W101"/>
  <c r="W261"/>
  <c r="W213"/>
  <c r="V133"/>
  <c r="V269"/>
  <c r="P190"/>
  <c r="P240"/>
  <c r="U149"/>
  <c r="U252"/>
  <c r="V158"/>
  <c r="V130"/>
  <c r="V215"/>
  <c r="X225"/>
  <c r="X278"/>
  <c r="U173"/>
  <c r="U110"/>
  <c r="U142"/>
  <c r="U131"/>
  <c r="U101"/>
  <c r="U261"/>
  <c r="U213"/>
  <c r="U201"/>
  <c r="U181"/>
  <c r="T247"/>
  <c r="U135"/>
  <c r="T79"/>
  <c r="W201" i="72"/>
  <c r="W181"/>
  <c r="V384"/>
  <c r="V378"/>
  <c r="V121"/>
  <c r="V114"/>
  <c r="AA233"/>
  <c r="X233"/>
  <c r="W364"/>
  <c r="W361"/>
  <c r="W145"/>
  <c r="W138"/>
  <c r="O286"/>
  <c r="O118"/>
  <c r="O193"/>
  <c r="V202"/>
  <c r="V182"/>
  <c r="V200"/>
  <c r="V180"/>
  <c r="V371"/>
  <c r="V369"/>
  <c r="V195"/>
  <c r="V169"/>
  <c r="U168"/>
  <c r="U273"/>
  <c r="U107"/>
  <c r="V276"/>
  <c r="V224"/>
  <c r="V174"/>
  <c r="W196"/>
  <c r="W170"/>
  <c r="V362"/>
  <c r="V359"/>
  <c r="V251"/>
  <c r="V248"/>
  <c r="U198"/>
  <c r="U277"/>
  <c r="U175"/>
  <c r="U91"/>
  <c r="U88"/>
  <c r="U362"/>
  <c r="U359"/>
  <c r="T205"/>
  <c r="T286"/>
  <c r="T193"/>
  <c r="AA131"/>
  <c r="X131"/>
  <c r="V157"/>
  <c r="V266"/>
  <c r="U108"/>
  <c r="U171"/>
  <c r="U274"/>
  <c r="U222"/>
  <c r="U144"/>
  <c r="U160"/>
  <c r="U268"/>
  <c r="W173"/>
  <c r="W110"/>
  <c r="O271"/>
  <c r="O134"/>
  <c r="V116"/>
  <c r="V185"/>
  <c r="W171"/>
  <c r="W274"/>
  <c r="W222"/>
  <c r="W108"/>
  <c r="GN296" i="77"/>
  <c r="V296" i="72" s="1"/>
  <c r="O296"/>
  <c r="V160"/>
  <c r="V268"/>
  <c r="W177"/>
  <c r="W229"/>
  <c r="U284"/>
  <c r="U117"/>
  <c r="GO225" i="77"/>
  <c r="P225" i="72"/>
  <c r="P278"/>
  <c r="W159"/>
  <c r="W259"/>
  <c r="O101"/>
  <c r="O261"/>
  <c r="O213"/>
  <c r="V158"/>
  <c r="V130"/>
  <c r="V215"/>
  <c r="GO385" i="77"/>
  <c r="P394" i="72"/>
  <c r="P385"/>
  <c r="U120"/>
  <c r="U112"/>
  <c r="U196"/>
  <c r="U170"/>
  <c r="U104"/>
  <c r="U183"/>
  <c r="U270"/>
  <c r="U219"/>
  <c r="U200"/>
  <c r="U180"/>
  <c r="U242"/>
  <c r="U236"/>
  <c r="U185"/>
  <c r="U116"/>
  <c r="U90"/>
  <c r="U86"/>
  <c r="U89"/>
  <c r="U85"/>
  <c r="V96"/>
  <c r="W240"/>
  <c r="W221"/>
  <c r="V239"/>
  <c r="V240"/>
  <c r="W239"/>
  <c r="T118"/>
  <c r="V188"/>
  <c r="V237"/>
  <c r="V201"/>
  <c r="V181"/>
  <c r="V363"/>
  <c r="V360"/>
  <c r="W238"/>
  <c r="V145"/>
  <c r="V138"/>
  <c r="U286"/>
  <c r="U193"/>
  <c r="W202"/>
  <c r="W182"/>
  <c r="W200"/>
  <c r="W180"/>
  <c r="W371"/>
  <c r="W369"/>
  <c r="W198"/>
  <c r="W175"/>
  <c r="W277"/>
  <c r="V120"/>
  <c r="V112"/>
  <c r="W276"/>
  <c r="W224"/>
  <c r="W174"/>
  <c r="V196"/>
  <c r="V170"/>
  <c r="W362"/>
  <c r="W359"/>
  <c r="W251"/>
  <c r="W248"/>
  <c r="AA234"/>
  <c r="X234"/>
  <c r="U188"/>
  <c r="U237"/>
  <c r="U121"/>
  <c r="U114"/>
  <c r="W157"/>
  <c r="W266"/>
  <c r="U179"/>
  <c r="U231"/>
  <c r="U184"/>
  <c r="U281"/>
  <c r="V155"/>
  <c r="O155"/>
  <c r="V270"/>
  <c r="V219"/>
  <c r="V285"/>
  <c r="V192"/>
  <c r="V230"/>
  <c r="V279"/>
  <c r="V178"/>
  <c r="V113"/>
  <c r="W160"/>
  <c r="W268"/>
  <c r="GO78" i="77"/>
  <c r="W78" i="72" s="1"/>
  <c r="P78"/>
  <c r="GN225" i="77"/>
  <c r="O278" i="72"/>
  <c r="O225"/>
  <c r="V133"/>
  <c r="V269"/>
  <c r="P290"/>
  <c r="P203"/>
  <c r="V159"/>
  <c r="V259"/>
  <c r="U101"/>
  <c r="U261"/>
  <c r="U213"/>
  <c r="V117"/>
  <c r="V284"/>
  <c r="V141"/>
  <c r="V191"/>
  <c r="V395"/>
  <c r="V386"/>
  <c r="O172"/>
  <c r="O223"/>
  <c r="U122"/>
  <c r="T290"/>
  <c r="T203"/>
  <c r="U227"/>
  <c r="GP227" i="77"/>
  <c r="GS227" s="1"/>
  <c r="U229" i="72"/>
  <c r="U177"/>
  <c r="U164"/>
  <c r="U221"/>
  <c r="U110"/>
  <c r="U173"/>
  <c r="U395"/>
  <c r="U386"/>
  <c r="W376"/>
  <c r="W93"/>
  <c r="W92"/>
  <c r="V95"/>
  <c r="W96"/>
  <c r="U95"/>
  <c r="W237"/>
  <c r="W188"/>
  <c r="V89"/>
  <c r="V85"/>
  <c r="W91"/>
  <c r="W88"/>
  <c r="V241"/>
  <c r="V235"/>
  <c r="W242"/>
  <c r="W236"/>
  <c r="V82"/>
  <c r="V84"/>
  <c r="W363"/>
  <c r="W360"/>
  <c r="V238"/>
  <c r="V81"/>
  <c r="V83"/>
  <c r="W90"/>
  <c r="W86"/>
  <c r="V198"/>
  <c r="V175"/>
  <c r="V277"/>
  <c r="W120"/>
  <c r="W112"/>
  <c r="V273"/>
  <c r="V107"/>
  <c r="V168"/>
  <c r="W111"/>
  <c r="W136"/>
  <c r="V218"/>
  <c r="V226"/>
  <c r="U81"/>
  <c r="U83"/>
  <c r="U201"/>
  <c r="U181"/>
  <c r="U251"/>
  <c r="U248"/>
  <c r="U136"/>
  <c r="U111"/>
  <c r="U218"/>
  <c r="U226"/>
  <c r="AA232"/>
  <c r="X232"/>
  <c r="U154"/>
  <c r="U128"/>
  <c r="W270"/>
  <c r="W219"/>
  <c r="W285"/>
  <c r="W192"/>
  <c r="GO280" i="77"/>
  <c r="W280" i="72" s="1"/>
  <c r="P280"/>
  <c r="W279"/>
  <c r="W178"/>
  <c r="W113"/>
  <c r="W230"/>
  <c r="GO296" i="77"/>
  <c r="W296" i="72" s="1"/>
  <c r="P296"/>
  <c r="W231"/>
  <c r="W179"/>
  <c r="V184"/>
  <c r="V281"/>
  <c r="GO98" i="77"/>
  <c r="W98" i="72" s="1"/>
  <c r="P98"/>
  <c r="V132"/>
  <c r="V106"/>
  <c r="V216"/>
  <c r="W133"/>
  <c r="W269"/>
  <c r="O290"/>
  <c r="O203"/>
  <c r="W283"/>
  <c r="W186"/>
  <c r="GM87" i="77"/>
  <c r="U87" i="72" s="1"/>
  <c r="T87"/>
  <c r="W117"/>
  <c r="W284"/>
  <c r="GN385" i="77"/>
  <c r="GP385" s="1"/>
  <c r="GS385" s="1"/>
  <c r="O394" i="72"/>
  <c r="O385"/>
  <c r="W141"/>
  <c r="W191"/>
  <c r="W395"/>
  <c r="W386"/>
  <c r="P172"/>
  <c r="P223"/>
  <c r="T101"/>
  <c r="T261"/>
  <c r="T394"/>
  <c r="T385"/>
  <c r="T271"/>
  <c r="T134"/>
  <c r="U272"/>
  <c r="U161"/>
  <c r="X220"/>
  <c r="U241"/>
  <c r="U235"/>
  <c r="U162"/>
  <c r="U129"/>
  <c r="U285"/>
  <c r="U192"/>
  <c r="U202"/>
  <c r="U182"/>
  <c r="U371"/>
  <c r="U369"/>
  <c r="U159"/>
  <c r="U259"/>
  <c r="U380"/>
  <c r="U388"/>
  <c r="GP380" i="77"/>
  <c r="GS380" s="1"/>
  <c r="U158" i="72"/>
  <c r="U130"/>
  <c r="U215"/>
  <c r="U384"/>
  <c r="U378"/>
  <c r="V92"/>
  <c r="AA457"/>
  <c r="U220"/>
  <c r="U93"/>
  <c r="W149"/>
  <c r="U239"/>
  <c r="W89"/>
  <c r="W85"/>
  <c r="V91"/>
  <c r="V88"/>
  <c r="W241"/>
  <c r="W235"/>
  <c r="W384"/>
  <c r="W378"/>
  <c r="W121"/>
  <c r="W114"/>
  <c r="V242"/>
  <c r="V236"/>
  <c r="W82"/>
  <c r="W84"/>
  <c r="V364"/>
  <c r="V361"/>
  <c r="P286"/>
  <c r="P118"/>
  <c r="P193"/>
  <c r="W81"/>
  <c r="W83"/>
  <c r="V90"/>
  <c r="V86"/>
  <c r="W195"/>
  <c r="W169"/>
  <c r="W107"/>
  <c r="W168"/>
  <c r="W273"/>
  <c r="V136"/>
  <c r="V111"/>
  <c r="W218"/>
  <c r="W226"/>
  <c r="U174"/>
  <c r="U276"/>
  <c r="U224"/>
  <c r="U157"/>
  <c r="U266"/>
  <c r="U230"/>
  <c r="U279"/>
  <c r="U178"/>
  <c r="U113"/>
  <c r="V110"/>
  <c r="V173"/>
  <c r="P271"/>
  <c r="P134"/>
  <c r="W155"/>
  <c r="P155"/>
  <c r="V252"/>
  <c r="V149"/>
  <c r="GN280" i="77"/>
  <c r="V280" i="72" s="1"/>
  <c r="O280"/>
  <c r="W185"/>
  <c r="W116"/>
  <c r="V164"/>
  <c r="V221"/>
  <c r="V108"/>
  <c r="V171"/>
  <c r="V274"/>
  <c r="V222"/>
  <c r="V179"/>
  <c r="V231"/>
  <c r="W184"/>
  <c r="W281"/>
  <c r="V177"/>
  <c r="V229"/>
  <c r="GN98" i="77"/>
  <c r="V98" i="72" s="1"/>
  <c r="O98"/>
  <c r="W132"/>
  <c r="W106"/>
  <c r="W216"/>
  <c r="GN78" i="77"/>
  <c r="V78" i="72" s="1"/>
  <c r="O78"/>
  <c r="V283"/>
  <c r="V186"/>
  <c r="P101"/>
  <c r="P261"/>
  <c r="P213"/>
  <c r="W158"/>
  <c r="W130"/>
  <c r="W215"/>
  <c r="U394"/>
  <c r="U385"/>
  <c r="GM225" i="77"/>
  <c r="T225" i="72"/>
  <c r="T278"/>
  <c r="T172"/>
  <c r="T223"/>
  <c r="U195"/>
  <c r="U169"/>
  <c r="U283"/>
  <c r="U186"/>
  <c r="U132"/>
  <c r="U106"/>
  <c r="U216"/>
  <c r="X381"/>
  <c r="U133"/>
  <c r="U269"/>
  <c r="U141"/>
  <c r="U191"/>
  <c r="T244"/>
  <c r="V244" i="71"/>
  <c r="V238"/>
  <c r="W138"/>
  <c r="U273"/>
  <c r="U168"/>
  <c r="U107"/>
  <c r="P254"/>
  <c r="P253"/>
  <c r="V273"/>
  <c r="V168"/>
  <c r="V107"/>
  <c r="W182"/>
  <c r="V201"/>
  <c r="V181"/>
  <c r="V204"/>
  <c r="W210"/>
  <c r="W205"/>
  <c r="V83"/>
  <c r="W219"/>
  <c r="W227"/>
  <c r="W363"/>
  <c r="W360"/>
  <c r="V136"/>
  <c r="V111"/>
  <c r="T276"/>
  <c r="T224"/>
  <c r="T174"/>
  <c r="V89"/>
  <c r="V85"/>
  <c r="O254"/>
  <c r="O253"/>
  <c r="W273"/>
  <c r="W168"/>
  <c r="W107"/>
  <c r="W201"/>
  <c r="W181"/>
  <c r="W204"/>
  <c r="O174"/>
  <c r="O276"/>
  <c r="O224"/>
  <c r="W90"/>
  <c r="W86"/>
  <c r="V384"/>
  <c r="V378"/>
  <c r="V203"/>
  <c r="V183"/>
  <c r="U272"/>
  <c r="U161"/>
  <c r="V192"/>
  <c r="V162"/>
  <c r="V221"/>
  <c r="V232"/>
  <c r="T120"/>
  <c r="T112"/>
  <c r="U136"/>
  <c r="U111"/>
  <c r="U221"/>
  <c r="U232"/>
  <c r="U192"/>
  <c r="U162"/>
  <c r="U121"/>
  <c r="U114"/>
  <c r="U200"/>
  <c r="U180"/>
  <c r="T242"/>
  <c r="T236"/>
  <c r="U381"/>
  <c r="U389"/>
  <c r="W129"/>
  <c r="P129"/>
  <c r="U196"/>
  <c r="T196"/>
  <c r="V160"/>
  <c r="V268"/>
  <c r="W274"/>
  <c r="W222"/>
  <c r="W171"/>
  <c r="W108"/>
  <c r="V132"/>
  <c r="V106"/>
  <c r="W394"/>
  <c r="W385"/>
  <c r="P177"/>
  <c r="P229"/>
  <c r="O211"/>
  <c r="U281"/>
  <c r="U184"/>
  <c r="U134"/>
  <c r="U271"/>
  <c r="W133"/>
  <c r="W269"/>
  <c r="FK292" i="77"/>
  <c r="V292" i="71" s="1"/>
  <c r="O292"/>
  <c r="V110"/>
  <c r="V173"/>
  <c r="FK393" i="77"/>
  <c r="V393" i="71" s="1"/>
  <c r="O393"/>
  <c r="W290"/>
  <c r="W122"/>
  <c r="W185"/>
  <c r="W116"/>
  <c r="V101"/>
  <c r="V261"/>
  <c r="U225"/>
  <c r="U278"/>
  <c r="FK267" i="77"/>
  <c r="V267" i="71" s="1"/>
  <c r="O267"/>
  <c r="AA237"/>
  <c r="AA188"/>
  <c r="FJ267" i="77"/>
  <c r="U267" i="71" s="1"/>
  <c r="T267"/>
  <c r="FJ288" i="77"/>
  <c r="U288" i="71" s="1"/>
  <c r="T288"/>
  <c r="U173"/>
  <c r="U110"/>
  <c r="W167"/>
  <c r="W159"/>
  <c r="W259"/>
  <c r="U363"/>
  <c r="U360"/>
  <c r="U160"/>
  <c r="U268"/>
  <c r="X157"/>
  <c r="X266"/>
  <c r="U198"/>
  <c r="U175"/>
  <c r="U277"/>
  <c r="V247"/>
  <c r="V376"/>
  <c r="W247"/>
  <c r="W246"/>
  <c r="V199"/>
  <c r="T82"/>
  <c r="T93"/>
  <c r="FM395" i="77"/>
  <c r="FP395" s="1"/>
  <c r="T202" i="71"/>
  <c r="W83"/>
  <c r="U242"/>
  <c r="U236"/>
  <c r="V363"/>
  <c r="V360"/>
  <c r="W111"/>
  <c r="W136"/>
  <c r="W89"/>
  <c r="W85"/>
  <c r="W195"/>
  <c r="W169"/>
  <c r="W362"/>
  <c r="W359"/>
  <c r="V121"/>
  <c r="V114"/>
  <c r="V90"/>
  <c r="V86"/>
  <c r="P272"/>
  <c r="P161"/>
  <c r="P220"/>
  <c r="W384"/>
  <c r="W378"/>
  <c r="W203"/>
  <c r="W183"/>
  <c r="W198"/>
  <c r="W175"/>
  <c r="W277"/>
  <c r="W192"/>
  <c r="W162"/>
  <c r="W221"/>
  <c r="W232"/>
  <c r="AA377"/>
  <c r="X377"/>
  <c r="U129"/>
  <c r="T129"/>
  <c r="FJ282" i="77"/>
  <c r="U282" i="71" s="1"/>
  <c r="T282"/>
  <c r="W160"/>
  <c r="W268"/>
  <c r="V108"/>
  <c r="V274"/>
  <c r="V222"/>
  <c r="V171"/>
  <c r="W132"/>
  <c r="W106"/>
  <c r="W179"/>
  <c r="W231"/>
  <c r="W211"/>
  <c r="P211"/>
  <c r="FL265" i="77"/>
  <c r="W265" i="71" s="1"/>
  <c r="P265"/>
  <c r="U290"/>
  <c r="U122"/>
  <c r="X102"/>
  <c r="U102"/>
  <c r="W283"/>
  <c r="W186"/>
  <c r="FL292" i="77"/>
  <c r="W292" i="71" s="1"/>
  <c r="P292"/>
  <c r="FL354" i="77"/>
  <c r="W354" i="71" s="1"/>
  <c r="P354"/>
  <c r="P295"/>
  <c r="P209"/>
  <c r="W383"/>
  <c r="W364"/>
  <c r="V395"/>
  <c r="V386"/>
  <c r="W281"/>
  <c r="W184"/>
  <c r="V134"/>
  <c r="V271"/>
  <c r="V154"/>
  <c r="O154"/>
  <c r="U116"/>
  <c r="U185"/>
  <c r="W101"/>
  <c r="W261"/>
  <c r="V284"/>
  <c r="V117"/>
  <c r="O287"/>
  <c r="O194"/>
  <c r="V178"/>
  <c r="V230"/>
  <c r="V113"/>
  <c r="V279"/>
  <c r="T177"/>
  <c r="T229"/>
  <c r="U223"/>
  <c r="U172"/>
  <c r="U84"/>
  <c r="U186"/>
  <c r="U283"/>
  <c r="U240"/>
  <c r="U234"/>
  <c r="V159"/>
  <c r="V259"/>
  <c r="U159"/>
  <c r="U259"/>
  <c r="U244"/>
  <c r="U238"/>
  <c r="U274"/>
  <c r="U222"/>
  <c r="U171"/>
  <c r="U108"/>
  <c r="U394"/>
  <c r="U385"/>
  <c r="U371"/>
  <c r="U369"/>
  <c r="U203"/>
  <c r="U183"/>
  <c r="T245"/>
  <c r="T92"/>
  <c r="V218"/>
  <c r="W244"/>
  <c r="W238"/>
  <c r="V84"/>
  <c r="W91"/>
  <c r="W88"/>
  <c r="V195"/>
  <c r="V169"/>
  <c r="V182"/>
  <c r="V362"/>
  <c r="V359"/>
  <c r="W121"/>
  <c r="W114"/>
  <c r="W371"/>
  <c r="W369"/>
  <c r="W200"/>
  <c r="W180"/>
  <c r="O272"/>
  <c r="O161"/>
  <c r="O220"/>
  <c r="W240"/>
  <c r="W234"/>
  <c r="V198"/>
  <c r="V277"/>
  <c r="V175"/>
  <c r="V210"/>
  <c r="V205"/>
  <c r="U384"/>
  <c r="U378"/>
  <c r="T142"/>
  <c r="T131"/>
  <c r="U358"/>
  <c r="U376"/>
  <c r="U207"/>
  <c r="U199"/>
  <c r="U104"/>
  <c r="T104"/>
  <c r="W381"/>
  <c r="W389"/>
  <c r="V179"/>
  <c r="V231"/>
  <c r="U140"/>
  <c r="T140"/>
  <c r="W130"/>
  <c r="W158"/>
  <c r="U383"/>
  <c r="U364"/>
  <c r="U395"/>
  <c r="U386"/>
  <c r="FJ275" i="77"/>
  <c r="U275" i="71" s="1"/>
  <c r="T275"/>
  <c r="V223"/>
  <c r="V172"/>
  <c r="V283"/>
  <c r="V186"/>
  <c r="FK354" i="77"/>
  <c r="V354" i="71" s="1"/>
  <c r="O354"/>
  <c r="O295"/>
  <c r="O209"/>
  <c r="V383"/>
  <c r="V364"/>
  <c r="W395"/>
  <c r="W386"/>
  <c r="V281"/>
  <c r="V184"/>
  <c r="W271"/>
  <c r="W134"/>
  <c r="U101"/>
  <c r="U261"/>
  <c r="W225"/>
  <c r="W278"/>
  <c r="W117"/>
  <c r="W284"/>
  <c r="P287"/>
  <c r="P194"/>
  <c r="W230"/>
  <c r="W113"/>
  <c r="W279"/>
  <c r="W178"/>
  <c r="U81"/>
  <c r="U83"/>
  <c r="U133"/>
  <c r="U269"/>
  <c r="T191"/>
  <c r="T272"/>
  <c r="T161"/>
  <c r="T220"/>
  <c r="U132"/>
  <c r="U106"/>
  <c r="W376"/>
  <c r="T96"/>
  <c r="U220"/>
  <c r="W84"/>
  <c r="V91"/>
  <c r="V88"/>
  <c r="U142"/>
  <c r="U131"/>
  <c r="P276"/>
  <c r="P224"/>
  <c r="P174"/>
  <c r="V371"/>
  <c r="V369"/>
  <c r="V200"/>
  <c r="V180"/>
  <c r="V240"/>
  <c r="V234"/>
  <c r="U90"/>
  <c r="U86"/>
  <c r="U204"/>
  <c r="T239"/>
  <c r="T233"/>
  <c r="U362"/>
  <c r="U359"/>
  <c r="U91"/>
  <c r="U88"/>
  <c r="V381"/>
  <c r="V389"/>
  <c r="U158"/>
  <c r="U130"/>
  <c r="U391"/>
  <c r="T391"/>
  <c r="FJ293" i="77"/>
  <c r="U293" i="71" s="1"/>
  <c r="T293"/>
  <c r="V187"/>
  <c r="O187"/>
  <c r="V394"/>
  <c r="V385"/>
  <c r="O177"/>
  <c r="O229"/>
  <c r="V130"/>
  <c r="V158"/>
  <c r="FK265" i="77"/>
  <c r="V265" i="71" s="1"/>
  <c r="O265"/>
  <c r="AA291"/>
  <c r="X291"/>
  <c r="W223"/>
  <c r="W172"/>
  <c r="V133"/>
  <c r="V269"/>
  <c r="W173"/>
  <c r="W110"/>
  <c r="FL393" i="77"/>
  <c r="W393" i="71" s="1"/>
  <c r="P393"/>
  <c r="V290"/>
  <c r="V122"/>
  <c r="W154"/>
  <c r="P154"/>
  <c r="U284"/>
  <c r="U117"/>
  <c r="V116"/>
  <c r="V185"/>
  <c r="U287"/>
  <c r="T287"/>
  <c r="V225"/>
  <c r="V278"/>
  <c r="U279"/>
  <c r="U178"/>
  <c r="U230"/>
  <c r="U113"/>
  <c r="FK288" i="77"/>
  <c r="V288" i="71" s="1"/>
  <c r="O288"/>
  <c r="FJ209" i="77"/>
  <c r="U295" i="71" s="1"/>
  <c r="T295"/>
  <c r="U289"/>
  <c r="FM289" i="77"/>
  <c r="FP289" s="1"/>
  <c r="T154" i="71"/>
  <c r="T128"/>
  <c r="U231"/>
  <c r="U179"/>
  <c r="U201"/>
  <c r="U181"/>
  <c r="U138"/>
  <c r="U219"/>
  <c r="U227"/>
  <c r="W218"/>
  <c r="V162" i="70"/>
  <c r="O136"/>
  <c r="O111"/>
  <c r="U364"/>
  <c r="U361"/>
  <c r="V82"/>
  <c r="V84"/>
  <c r="W145"/>
  <c r="W138"/>
  <c r="V183"/>
  <c r="U86"/>
  <c r="O168"/>
  <c r="O273"/>
  <c r="O107"/>
  <c r="V277"/>
  <c r="V175"/>
  <c r="V137"/>
  <c r="V120"/>
  <c r="V112"/>
  <c r="V131"/>
  <c r="W276"/>
  <c r="W174"/>
  <c r="W224"/>
  <c r="O237"/>
  <c r="O188"/>
  <c r="T91"/>
  <c r="T88"/>
  <c r="U238"/>
  <c r="U144"/>
  <c r="U137"/>
  <c r="U381"/>
  <c r="T381"/>
  <c r="U135"/>
  <c r="T135"/>
  <c r="U164"/>
  <c r="T164"/>
  <c r="U166"/>
  <c r="T166"/>
  <c r="U101"/>
  <c r="U261"/>
  <c r="W254"/>
  <c r="P254"/>
  <c r="P279"/>
  <c r="P230"/>
  <c r="P178"/>
  <c r="P113"/>
  <c r="P271"/>
  <c r="P134"/>
  <c r="P229"/>
  <c r="P177"/>
  <c r="U163"/>
  <c r="T163"/>
  <c r="T132"/>
  <c r="T106"/>
  <c r="P284"/>
  <c r="P117"/>
  <c r="P185"/>
  <c r="P116"/>
  <c r="V285"/>
  <c r="O285"/>
  <c r="O192"/>
  <c r="O133"/>
  <c r="O269"/>
  <c r="V225"/>
  <c r="V278"/>
  <c r="EH280" i="77"/>
  <c r="V280" i="70" s="1"/>
  <c r="O280"/>
  <c r="U189"/>
  <c r="T189"/>
  <c r="P274"/>
  <c r="P222"/>
  <c r="P171"/>
  <c r="P108"/>
  <c r="P132"/>
  <c r="P106"/>
  <c r="P216"/>
  <c r="O130"/>
  <c r="O158"/>
  <c r="T101"/>
  <c r="T261"/>
  <c r="V176"/>
  <c r="O176"/>
  <c r="W149"/>
  <c r="P149"/>
  <c r="EI207" i="77"/>
  <c r="P207" i="70"/>
  <c r="P250"/>
  <c r="U167"/>
  <c r="T167"/>
  <c r="AA157"/>
  <c r="AA266"/>
  <c r="T186"/>
  <c r="T283"/>
  <c r="EG385" i="77"/>
  <c r="U394" i="70" s="1"/>
  <c r="T394"/>
  <c r="EG292" i="77"/>
  <c r="U292" i="70" s="1"/>
  <c r="T292"/>
  <c r="EG275" i="77"/>
  <c r="U275" i="70" s="1"/>
  <c r="T275"/>
  <c r="U290"/>
  <c r="T290"/>
  <c r="EG264" i="77"/>
  <c r="U264" i="70" s="1"/>
  <c r="T264"/>
  <c r="T173"/>
  <c r="T110"/>
  <c r="T363"/>
  <c r="T360"/>
  <c r="T219"/>
  <c r="T227"/>
  <c r="T198"/>
  <c r="W238"/>
  <c r="V236"/>
  <c r="P136"/>
  <c r="P111"/>
  <c r="U201"/>
  <c r="U181"/>
  <c r="U277"/>
  <c r="U175"/>
  <c r="W239"/>
  <c r="W233"/>
  <c r="P273"/>
  <c r="P168"/>
  <c r="P107"/>
  <c r="W277"/>
  <c r="W175"/>
  <c r="P200"/>
  <c r="P180"/>
  <c r="V232"/>
  <c r="W272"/>
  <c r="W161"/>
  <c r="U236"/>
  <c r="U142"/>
  <c r="U131"/>
  <c r="U183"/>
  <c r="U221"/>
  <c r="U232"/>
  <c r="T182"/>
  <c r="U120"/>
  <c r="U112"/>
  <c r="T364"/>
  <c r="T361"/>
  <c r="W214"/>
  <c r="P214"/>
  <c r="W210"/>
  <c r="P210"/>
  <c r="EI386" i="77"/>
  <c r="W395" i="70" s="1"/>
  <c r="P395"/>
  <c r="P101"/>
  <c r="P261"/>
  <c r="W140"/>
  <c r="P140"/>
  <c r="V254"/>
  <c r="O254"/>
  <c r="O279"/>
  <c r="O230"/>
  <c r="O178"/>
  <c r="O113"/>
  <c r="O271"/>
  <c r="O134"/>
  <c r="O229"/>
  <c r="O177"/>
  <c r="EG282" i="77"/>
  <c r="U282" i="70" s="1"/>
  <c r="T282"/>
  <c r="X391"/>
  <c r="U391"/>
  <c r="T223"/>
  <c r="T172"/>
  <c r="U165"/>
  <c r="T165"/>
  <c r="O185"/>
  <c r="O116"/>
  <c r="U133"/>
  <c r="U269"/>
  <c r="O164"/>
  <c r="O221"/>
  <c r="O274"/>
  <c r="O222"/>
  <c r="O171"/>
  <c r="O108"/>
  <c r="W155"/>
  <c r="P155"/>
  <c r="O132"/>
  <c r="O106"/>
  <c r="O216"/>
  <c r="U158"/>
  <c r="U130"/>
  <c r="O149"/>
  <c r="W102"/>
  <c r="P102"/>
  <c r="P231"/>
  <c r="P179"/>
  <c r="P186"/>
  <c r="P283"/>
  <c r="W241"/>
  <c r="P241"/>
  <c r="EH267" i="77"/>
  <c r="V267" i="70" s="1"/>
  <c r="O267"/>
  <c r="O160"/>
  <c r="O268"/>
  <c r="T160"/>
  <c r="T268"/>
  <c r="U225"/>
  <c r="U278"/>
  <c r="U239"/>
  <c r="U233"/>
  <c r="T121"/>
  <c r="T114"/>
  <c r="U12"/>
  <c r="W96"/>
  <c r="T31"/>
  <c r="T136"/>
  <c r="T111"/>
  <c r="W236"/>
  <c r="T89"/>
  <c r="T85"/>
  <c r="V239"/>
  <c r="V233"/>
  <c r="O200"/>
  <c r="O180"/>
  <c r="W232"/>
  <c r="V161"/>
  <c r="V272"/>
  <c r="U114"/>
  <c r="T188"/>
  <c r="T237"/>
  <c r="T273"/>
  <c r="T168"/>
  <c r="T107"/>
  <c r="U161"/>
  <c r="U272"/>
  <c r="U145"/>
  <c r="U138"/>
  <c r="T196"/>
  <c r="T170"/>
  <c r="EG380" i="77"/>
  <c r="U380" i="70" s="1"/>
  <c r="T380"/>
  <c r="T81"/>
  <c r="T83"/>
  <c r="V210"/>
  <c r="O210"/>
  <c r="EJ87" i="77"/>
  <c r="U87" i="70"/>
  <c r="EH386" i="77"/>
  <c r="V395" i="70" s="1"/>
  <c r="O395"/>
  <c r="O101"/>
  <c r="O261"/>
  <c r="P173"/>
  <c r="P110"/>
  <c r="EG262" i="77"/>
  <c r="U262" i="70" s="1"/>
  <c r="T262"/>
  <c r="U154"/>
  <c r="U100"/>
  <c r="EH365" i="77"/>
  <c r="V365" i="70" s="1"/>
  <c r="O365"/>
  <c r="EI79" i="77"/>
  <c r="W79" i="70" s="1"/>
  <c r="P79"/>
  <c r="O284"/>
  <c r="O117"/>
  <c r="P164"/>
  <c r="P221"/>
  <c r="T271"/>
  <c r="T134"/>
  <c r="T229"/>
  <c r="T177"/>
  <c r="W142"/>
  <c r="P142"/>
  <c r="V155"/>
  <c r="O155"/>
  <c r="P223"/>
  <c r="P172"/>
  <c r="U139"/>
  <c r="T139"/>
  <c r="P281"/>
  <c r="P184"/>
  <c r="V102"/>
  <c r="O102"/>
  <c r="EH207" i="77"/>
  <c r="V207" i="70" s="1"/>
  <c r="O250"/>
  <c r="O207"/>
  <c r="O231"/>
  <c r="O179"/>
  <c r="O283"/>
  <c r="O186"/>
  <c r="V241"/>
  <c r="O241"/>
  <c r="P290"/>
  <c r="P203"/>
  <c r="T231"/>
  <c r="T179"/>
  <c r="U160"/>
  <c r="U268"/>
  <c r="U270"/>
  <c r="T270"/>
  <c r="X159"/>
  <c r="X259"/>
  <c r="T158"/>
  <c r="T130"/>
  <c r="EG393" i="77"/>
  <c r="U393" i="70" s="1"/>
  <c r="T393"/>
  <c r="U82"/>
  <c r="U84"/>
  <c r="W250"/>
  <c r="V96"/>
  <c r="T242"/>
  <c r="T206"/>
  <c r="T244"/>
  <c r="T144"/>
  <c r="V253"/>
  <c r="W162"/>
  <c r="V238"/>
  <c r="W82"/>
  <c r="W84"/>
  <c r="U251"/>
  <c r="U248"/>
  <c r="W183"/>
  <c r="U363"/>
  <c r="U360"/>
  <c r="U227"/>
  <c r="W137"/>
  <c r="W120"/>
  <c r="W112"/>
  <c r="W131"/>
  <c r="V276"/>
  <c r="V174"/>
  <c r="V224"/>
  <c r="P188"/>
  <c r="P237"/>
  <c r="T218"/>
  <c r="T226"/>
  <c r="T286"/>
  <c r="T240"/>
  <c r="T234"/>
  <c r="T195"/>
  <c r="T169"/>
  <c r="T384"/>
  <c r="T378"/>
  <c r="U192"/>
  <c r="U162"/>
  <c r="T372"/>
  <c r="T370"/>
  <c r="T371"/>
  <c r="T369"/>
  <c r="U276"/>
  <c r="U174"/>
  <c r="U224"/>
  <c r="T90"/>
  <c r="T86"/>
  <c r="T362"/>
  <c r="T359"/>
  <c r="T201"/>
  <c r="T181"/>
  <c r="EG377" i="77"/>
  <c r="U377" i="70" s="1"/>
  <c r="T377"/>
  <c r="V214"/>
  <c r="O214"/>
  <c r="V140"/>
  <c r="O140"/>
  <c r="O173"/>
  <c r="O110"/>
  <c r="T281"/>
  <c r="T184"/>
  <c r="U190"/>
  <c r="T190"/>
  <c r="EI365" i="77"/>
  <c r="W365" i="70" s="1"/>
  <c r="P365"/>
  <c r="EH79" i="77"/>
  <c r="V79" i="70" s="1"/>
  <c r="O79"/>
  <c r="U284"/>
  <c r="U117"/>
  <c r="U185"/>
  <c r="U116"/>
  <c r="W285"/>
  <c r="P285"/>
  <c r="P192"/>
  <c r="P133"/>
  <c r="P269"/>
  <c r="W278"/>
  <c r="W225"/>
  <c r="EI280" i="77"/>
  <c r="W280" i="70" s="1"/>
  <c r="P280"/>
  <c r="U287"/>
  <c r="T287"/>
  <c r="T279"/>
  <c r="T230"/>
  <c r="T178"/>
  <c r="T113"/>
  <c r="EG208" i="77"/>
  <c r="U208" i="70" s="1"/>
  <c r="T208"/>
  <c r="U171"/>
  <c r="U274"/>
  <c r="U222"/>
  <c r="U108"/>
  <c r="V142"/>
  <c r="O142"/>
  <c r="O172"/>
  <c r="O223"/>
  <c r="P158"/>
  <c r="P130"/>
  <c r="U109"/>
  <c r="T109"/>
  <c r="O281"/>
  <c r="O184"/>
  <c r="W176"/>
  <c r="P176"/>
  <c r="O290"/>
  <c r="O203"/>
  <c r="W115"/>
  <c r="P115"/>
  <c r="P160"/>
  <c r="P268"/>
  <c r="U115"/>
  <c r="T115"/>
  <c r="EG267" i="77"/>
  <c r="U267" i="70" s="1"/>
  <c r="T267"/>
  <c r="T284"/>
  <c r="T117"/>
  <c r="EG293" i="77"/>
  <c r="U293" i="70" s="1"/>
  <c r="T293"/>
  <c r="U291"/>
  <c r="T291"/>
  <c r="T133"/>
  <c r="T269"/>
  <c r="T116"/>
  <c r="T185"/>
  <c r="V149"/>
  <c r="V250"/>
  <c r="T376"/>
  <c r="U253"/>
  <c r="U96"/>
  <c r="U394" i="69"/>
  <c r="U385"/>
  <c r="T89"/>
  <c r="T85"/>
  <c r="T198"/>
  <c r="T277"/>
  <c r="T175"/>
  <c r="U286"/>
  <c r="U193"/>
  <c r="DD226" i="77"/>
  <c r="T226" i="69"/>
  <c r="T201"/>
  <c r="T181"/>
  <c r="W129"/>
  <c r="P129"/>
  <c r="DG364" i="77"/>
  <c r="U383" i="69"/>
  <c r="P158"/>
  <c r="P130"/>
  <c r="U109"/>
  <c r="T109"/>
  <c r="T171"/>
  <c r="T274"/>
  <c r="T222"/>
  <c r="T108"/>
  <c r="DE294" i="77"/>
  <c r="V294" i="69" s="1"/>
  <c r="O294"/>
  <c r="O279"/>
  <c r="O230"/>
  <c r="O178"/>
  <c r="O113"/>
  <c r="U281"/>
  <c r="U184"/>
  <c r="P173"/>
  <c r="P110"/>
  <c r="T160"/>
  <c r="T268"/>
  <c r="DE280" i="77"/>
  <c r="V280" i="69" s="1"/>
  <c r="O280"/>
  <c r="U284"/>
  <c r="U117"/>
  <c r="DF94" i="77"/>
  <c r="P94" i="69"/>
  <c r="P159"/>
  <c r="P259"/>
  <c r="DE282" i="77"/>
  <c r="V282" i="69" s="1"/>
  <c r="O282"/>
  <c r="O156"/>
  <c r="O105"/>
  <c r="DD265" i="77"/>
  <c r="U265" i="69" s="1"/>
  <c r="T265"/>
  <c r="W252"/>
  <c r="P149"/>
  <c r="P252"/>
  <c r="DE225" i="77"/>
  <c r="O225" i="69"/>
  <c r="O278"/>
  <c r="O271"/>
  <c r="O134"/>
  <c r="P160"/>
  <c r="P268"/>
  <c r="U283"/>
  <c r="U186"/>
  <c r="T271"/>
  <c r="T134"/>
  <c r="U132"/>
  <c r="U106"/>
  <c r="T246"/>
  <c r="V384"/>
  <c r="V378"/>
  <c r="P276"/>
  <c r="P174"/>
  <c r="P224"/>
  <c r="V233"/>
  <c r="V237"/>
  <c r="V188"/>
  <c r="P277"/>
  <c r="P175"/>
  <c r="T241"/>
  <c r="T235"/>
  <c r="W182"/>
  <c r="O224"/>
  <c r="O276"/>
  <c r="O174"/>
  <c r="U201"/>
  <c r="U181"/>
  <c r="U273"/>
  <c r="U168"/>
  <c r="U107"/>
  <c r="O145"/>
  <c r="O138"/>
  <c r="V86"/>
  <c r="V91"/>
  <c r="V88"/>
  <c r="O111"/>
  <c r="O136"/>
  <c r="W237"/>
  <c r="W188"/>
  <c r="O272"/>
  <c r="O161"/>
  <c r="O372"/>
  <c r="O370"/>
  <c r="V203"/>
  <c r="V183"/>
  <c r="O358"/>
  <c r="O376"/>
  <c r="O195"/>
  <c r="O169"/>
  <c r="T121"/>
  <c r="T114"/>
  <c r="T220"/>
  <c r="T228"/>
  <c r="T276"/>
  <c r="T174"/>
  <c r="T224"/>
  <c r="T244"/>
  <c r="T238"/>
  <c r="U203"/>
  <c r="U183"/>
  <c r="U86"/>
  <c r="U384"/>
  <c r="U378"/>
  <c r="T111"/>
  <c r="T136"/>
  <c r="U233"/>
  <c r="T120"/>
  <c r="T112"/>
  <c r="P157"/>
  <c r="P266"/>
  <c r="V129"/>
  <c r="O129"/>
  <c r="T173"/>
  <c r="T110"/>
  <c r="V135"/>
  <c r="O135"/>
  <c r="V231"/>
  <c r="V179"/>
  <c r="P394"/>
  <c r="P385"/>
  <c r="O158"/>
  <c r="O130"/>
  <c r="V146"/>
  <c r="O146"/>
  <c r="U185"/>
  <c r="U116"/>
  <c r="W285"/>
  <c r="P285"/>
  <c r="DF296" i="77"/>
  <c r="W296" i="69" s="1"/>
  <c r="P296"/>
  <c r="O173"/>
  <c r="O110"/>
  <c r="T133"/>
  <c r="T269"/>
  <c r="DD379" i="77"/>
  <c r="U379" i="69" s="1"/>
  <c r="T379"/>
  <c r="P284"/>
  <c r="P117"/>
  <c r="DE382" i="77"/>
  <c r="V382" i="69" s="1"/>
  <c r="O382"/>
  <c r="O159"/>
  <c r="O259"/>
  <c r="U140"/>
  <c r="T140"/>
  <c r="V252"/>
  <c r="O252"/>
  <c r="O149"/>
  <c r="W139"/>
  <c r="P139"/>
  <c r="V101"/>
  <c r="V261"/>
  <c r="O133"/>
  <c r="O269"/>
  <c r="O160"/>
  <c r="O268"/>
  <c r="U291"/>
  <c r="T291"/>
  <c r="V229"/>
  <c r="V177"/>
  <c r="U141"/>
  <c r="T141"/>
  <c r="DD282" i="77"/>
  <c r="U282" i="69" s="1"/>
  <c r="T282"/>
  <c r="U231"/>
  <c r="U179"/>
  <c r="DL377" i="77"/>
  <c r="AC377" i="69" s="1"/>
  <c r="AA377"/>
  <c r="V193"/>
  <c r="W193"/>
  <c r="T376"/>
  <c r="T147"/>
  <c r="T419"/>
  <c r="T239"/>
  <c r="W233"/>
  <c r="P273"/>
  <c r="P168"/>
  <c r="P107"/>
  <c r="P372"/>
  <c r="P370"/>
  <c r="V182"/>
  <c r="O273"/>
  <c r="O168"/>
  <c r="O107"/>
  <c r="P145"/>
  <c r="P138"/>
  <c r="W86"/>
  <c r="W91"/>
  <c r="W88"/>
  <c r="P111"/>
  <c r="P136"/>
  <c r="P161"/>
  <c r="P272"/>
  <c r="W203"/>
  <c r="W183"/>
  <c r="P358"/>
  <c r="P376"/>
  <c r="P195"/>
  <c r="P169"/>
  <c r="T273"/>
  <c r="T168"/>
  <c r="T107"/>
  <c r="T82"/>
  <c r="T84"/>
  <c r="DD236" i="77"/>
  <c r="T236" i="69"/>
  <c r="T371"/>
  <c r="T369"/>
  <c r="T362"/>
  <c r="T359"/>
  <c r="DI360" i="77"/>
  <c r="Z360" i="69" s="1"/>
  <c r="X360"/>
  <c r="DI380" i="77"/>
  <c r="Z380" i="69" s="1"/>
  <c r="X380"/>
  <c r="O157"/>
  <c r="O266"/>
  <c r="T230"/>
  <c r="T178"/>
  <c r="T279"/>
  <c r="T113"/>
  <c r="DF263" i="77"/>
  <c r="W263" i="69" s="1"/>
  <c r="P263"/>
  <c r="W270"/>
  <c r="P270"/>
  <c r="W231"/>
  <c r="W179"/>
  <c r="U158"/>
  <c r="U130"/>
  <c r="DD264" i="77"/>
  <c r="U264" i="69" s="1"/>
  <c r="T264"/>
  <c r="V285"/>
  <c r="O285"/>
  <c r="P281"/>
  <c r="P184"/>
  <c r="U187"/>
  <c r="T187"/>
  <c r="DD267" i="77"/>
  <c r="U267" i="69" s="1"/>
  <c r="T267"/>
  <c r="DE94" i="77"/>
  <c r="V94" i="69" s="1"/>
  <c r="O94"/>
  <c r="V116"/>
  <c r="V185"/>
  <c r="W223"/>
  <c r="W172"/>
  <c r="P171"/>
  <c r="P274"/>
  <c r="P222"/>
  <c r="P108"/>
  <c r="V106"/>
  <c r="V132"/>
  <c r="W391"/>
  <c r="P391"/>
  <c r="V139"/>
  <c r="O139"/>
  <c r="W101"/>
  <c r="W261"/>
  <c r="P133"/>
  <c r="P269"/>
  <c r="W229"/>
  <c r="W177"/>
  <c r="W186"/>
  <c r="W283"/>
  <c r="T158"/>
  <c r="T130"/>
  <c r="T159"/>
  <c r="T259"/>
  <c r="AA289"/>
  <c r="X289"/>
  <c r="T281"/>
  <c r="T184"/>
  <c r="U91"/>
  <c r="U88"/>
  <c r="U225"/>
  <c r="U278"/>
  <c r="O253"/>
  <c r="P253"/>
  <c r="W94"/>
  <c r="V93"/>
  <c r="T96"/>
  <c r="T205"/>
  <c r="W384"/>
  <c r="W378"/>
  <c r="O277"/>
  <c r="O175"/>
  <c r="T161"/>
  <c r="T272"/>
  <c r="T200"/>
  <c r="T180"/>
  <c r="T364"/>
  <c r="T361"/>
  <c r="T81"/>
  <c r="T83"/>
  <c r="T240"/>
  <c r="T234"/>
  <c r="U202"/>
  <c r="U182"/>
  <c r="T144"/>
  <c r="T137"/>
  <c r="T142"/>
  <c r="T131"/>
  <c r="T221"/>
  <c r="T232"/>
  <c r="U204"/>
  <c r="U237"/>
  <c r="U188"/>
  <c r="T170"/>
  <c r="DD363" i="77"/>
  <c r="U363" i="69" s="1"/>
  <c r="T363"/>
  <c r="U104"/>
  <c r="T104"/>
  <c r="U157"/>
  <c r="U266"/>
  <c r="DD87" i="77"/>
  <c r="U87" i="69" s="1"/>
  <c r="T87"/>
  <c r="U101"/>
  <c r="U261"/>
  <c r="DE263" i="77"/>
  <c r="V263" i="69" s="1"/>
  <c r="O263"/>
  <c r="V270"/>
  <c r="O270"/>
  <c r="W135"/>
  <c r="P135"/>
  <c r="V187"/>
  <c r="O187"/>
  <c r="W189"/>
  <c r="P189"/>
  <c r="O394"/>
  <c r="O385"/>
  <c r="U223"/>
  <c r="U172"/>
  <c r="DF294" i="77"/>
  <c r="W294" i="69" s="1"/>
  <c r="P294"/>
  <c r="P230"/>
  <c r="P178"/>
  <c r="P279"/>
  <c r="P113"/>
  <c r="DE296" i="77"/>
  <c r="V296" i="69" s="1"/>
  <c r="O296"/>
  <c r="O281"/>
  <c r="O184"/>
  <c r="U190"/>
  <c r="T190"/>
  <c r="DF280" i="77"/>
  <c r="W280" i="69" s="1"/>
  <c r="P280"/>
  <c r="O284"/>
  <c r="O117"/>
  <c r="W185"/>
  <c r="W116"/>
  <c r="V172"/>
  <c r="V223"/>
  <c r="O274"/>
  <c r="O222"/>
  <c r="O171"/>
  <c r="O108"/>
  <c r="W132"/>
  <c r="W106"/>
  <c r="W291"/>
  <c r="P291"/>
  <c r="P156"/>
  <c r="P105"/>
  <c r="V391"/>
  <c r="O391"/>
  <c r="DF225" i="77"/>
  <c r="P225" i="69"/>
  <c r="P278"/>
  <c r="P271"/>
  <c r="P134"/>
  <c r="V141"/>
  <c r="O141"/>
  <c r="U229"/>
  <c r="U177"/>
  <c r="V283"/>
  <c r="V186"/>
  <c r="T156"/>
  <c r="T105"/>
  <c r="DD275" i="77"/>
  <c r="U275" i="69" s="1"/>
  <c r="T275"/>
  <c r="T154"/>
  <c r="T394"/>
  <c r="T385"/>
  <c r="T157"/>
  <c r="T266"/>
  <c r="X381"/>
  <c r="T204"/>
  <c r="V277" i="68"/>
  <c r="V175"/>
  <c r="O273"/>
  <c r="O168"/>
  <c r="O107"/>
  <c r="O224"/>
  <c r="O276"/>
  <c r="O174"/>
  <c r="W181"/>
  <c r="W85"/>
  <c r="W240"/>
  <c r="W234"/>
  <c r="V362"/>
  <c r="V359"/>
  <c r="T273"/>
  <c r="T168"/>
  <c r="T107"/>
  <c r="T142"/>
  <c r="T131"/>
  <c r="W83"/>
  <c r="V136"/>
  <c r="V111"/>
  <c r="V112"/>
  <c r="W226"/>
  <c r="V188"/>
  <c r="V237"/>
  <c r="W180"/>
  <c r="P121"/>
  <c r="P114"/>
  <c r="O82"/>
  <c r="O84"/>
  <c r="T363"/>
  <c r="T360"/>
  <c r="T219"/>
  <c r="T227"/>
  <c r="U371"/>
  <c r="U369"/>
  <c r="T364"/>
  <c r="T361"/>
  <c r="U83"/>
  <c r="T91"/>
  <c r="T88"/>
  <c r="T195"/>
  <c r="T169"/>
  <c r="O157"/>
  <c r="O266"/>
  <c r="W101"/>
  <c r="W261"/>
  <c r="W201"/>
  <c r="P201"/>
  <c r="P243"/>
  <c r="V163"/>
  <c r="O163"/>
  <c r="P184"/>
  <c r="P281"/>
  <c r="O384"/>
  <c r="O372"/>
  <c r="V159"/>
  <c r="V259"/>
  <c r="P133"/>
  <c r="P269"/>
  <c r="W165"/>
  <c r="P165"/>
  <c r="V271"/>
  <c r="V134"/>
  <c r="O186"/>
  <c r="O283"/>
  <c r="CC393" i="77"/>
  <c r="W393" i="68" s="1"/>
  <c r="P393"/>
  <c r="W287"/>
  <c r="P287"/>
  <c r="T132"/>
  <c r="T106"/>
  <c r="CA293" i="77"/>
  <c r="U293" i="68" s="1"/>
  <c r="T293"/>
  <c r="O177"/>
  <c r="O229"/>
  <c r="CC364" i="77"/>
  <c r="W383" i="68" s="1"/>
  <c r="P383"/>
  <c r="O156"/>
  <c r="O105"/>
  <c r="W391"/>
  <c r="P391"/>
  <c r="T133"/>
  <c r="T269"/>
  <c r="O132"/>
  <c r="O106"/>
  <c r="O279"/>
  <c r="O230"/>
  <c r="O178"/>
  <c r="O113"/>
  <c r="V120"/>
  <c r="O120"/>
  <c r="O211"/>
  <c r="O254"/>
  <c r="U102"/>
  <c r="T102"/>
  <c r="CA393" i="77"/>
  <c r="U393" i="68" s="1"/>
  <c r="T393"/>
  <c r="CA354" i="77"/>
  <c r="U354" i="68" s="1"/>
  <c r="T354"/>
  <c r="T171"/>
  <c r="T222"/>
  <c r="T274"/>
  <c r="T108"/>
  <c r="U101"/>
  <c r="U261"/>
  <c r="U213"/>
  <c r="U173"/>
  <c r="U110"/>
  <c r="U200"/>
  <c r="U180"/>
  <c r="T242"/>
  <c r="T81"/>
  <c r="T89"/>
  <c r="W378"/>
  <c r="W170"/>
  <c r="O272"/>
  <c r="O161"/>
  <c r="O220"/>
  <c r="W236"/>
  <c r="W371"/>
  <c r="W369"/>
  <c r="W136"/>
  <c r="W111"/>
  <c r="W112"/>
  <c r="V226"/>
  <c r="P90"/>
  <c r="P86"/>
  <c r="O192"/>
  <c r="O162"/>
  <c r="T239"/>
  <c r="T233"/>
  <c r="T241"/>
  <c r="T235"/>
  <c r="U136"/>
  <c r="U111"/>
  <c r="T157"/>
  <c r="T266"/>
  <c r="U129"/>
  <c r="T129"/>
  <c r="CC289" i="77"/>
  <c r="W289" i="68" s="1"/>
  <c r="P289"/>
  <c r="V201"/>
  <c r="O201"/>
  <c r="O243"/>
  <c r="O185"/>
  <c r="O116"/>
  <c r="CB209" i="77"/>
  <c r="O295" i="68"/>
  <c r="O209"/>
  <c r="O281"/>
  <c r="O184"/>
  <c r="P384"/>
  <c r="P372"/>
  <c r="W159"/>
  <c r="W259"/>
  <c r="O133"/>
  <c r="O269"/>
  <c r="P172"/>
  <c r="P223"/>
  <c r="W271"/>
  <c r="W134"/>
  <c r="CA289" i="77"/>
  <c r="U289" i="68" s="1"/>
  <c r="T289"/>
  <c r="U176"/>
  <c r="T176"/>
  <c r="W179"/>
  <c r="W231"/>
  <c r="CB263" i="77"/>
  <c r="V263" i="68" s="1"/>
  <c r="O263"/>
  <c r="O274"/>
  <c r="O171"/>
  <c r="O222"/>
  <c r="O108"/>
  <c r="CC294" i="77"/>
  <c r="W294" i="68" s="1"/>
  <c r="P294"/>
  <c r="V158"/>
  <c r="V130"/>
  <c r="P119"/>
  <c r="P198"/>
  <c r="V391"/>
  <c r="O391"/>
  <c r="U167"/>
  <c r="T167"/>
  <c r="U163"/>
  <c r="T163"/>
  <c r="CB288" i="77"/>
  <c r="V288" i="68" s="1"/>
  <c r="O288"/>
  <c r="CC354" i="77"/>
  <c r="W354" i="68" s="1"/>
  <c r="P354"/>
  <c r="V173"/>
  <c r="V110"/>
  <c r="W103"/>
  <c r="P103"/>
  <c r="P211"/>
  <c r="P254"/>
  <c r="CA265" i="77"/>
  <c r="U265" i="68" s="1"/>
  <c r="T265"/>
  <c r="U270"/>
  <c r="T270"/>
  <c r="CA263" i="77"/>
  <c r="U263" i="68" s="1"/>
  <c r="T263"/>
  <c r="CA288" i="77"/>
  <c r="U288" i="68" s="1"/>
  <c r="T288"/>
  <c r="U158"/>
  <c r="U130"/>
  <c r="U378"/>
  <c r="T247"/>
  <c r="T95"/>
  <c r="T161"/>
  <c r="T272"/>
  <c r="T220"/>
  <c r="V378"/>
  <c r="W198"/>
  <c r="W277"/>
  <c r="W175"/>
  <c r="T224"/>
  <c r="T276"/>
  <c r="T174"/>
  <c r="V170"/>
  <c r="P161"/>
  <c r="P272"/>
  <c r="P220"/>
  <c r="U88"/>
  <c r="V236"/>
  <c r="V371"/>
  <c r="V369"/>
  <c r="U226"/>
  <c r="O90"/>
  <c r="O86"/>
  <c r="P192"/>
  <c r="P162"/>
  <c r="U198"/>
  <c r="U277"/>
  <c r="U175"/>
  <c r="T221"/>
  <c r="T232"/>
  <c r="U104"/>
  <c r="T104"/>
  <c r="CB289" i="77"/>
  <c r="V289" i="68" s="1"/>
  <c r="O289"/>
  <c r="P185"/>
  <c r="P116"/>
  <c r="P295"/>
  <c r="P209"/>
  <c r="O223"/>
  <c r="O172"/>
  <c r="X284"/>
  <c r="X117"/>
  <c r="V165"/>
  <c r="O165"/>
  <c r="V287"/>
  <c r="O287"/>
  <c r="T178"/>
  <c r="T279"/>
  <c r="T230"/>
  <c r="T113"/>
  <c r="T160"/>
  <c r="T268"/>
  <c r="CA264" i="77"/>
  <c r="U264" i="68" s="1"/>
  <c r="T264"/>
  <c r="V179"/>
  <c r="V231"/>
  <c r="CC263" i="77"/>
  <c r="W263" i="68" s="1"/>
  <c r="P263"/>
  <c r="P171"/>
  <c r="P222"/>
  <c r="P274"/>
  <c r="P108"/>
  <c r="CB364" i="77"/>
  <c r="V383" i="68" s="1"/>
  <c r="O383"/>
  <c r="U156"/>
  <c r="U105"/>
  <c r="W158"/>
  <c r="W130"/>
  <c r="V198"/>
  <c r="O198"/>
  <c r="O119"/>
  <c r="T177"/>
  <c r="T229"/>
  <c r="T156"/>
  <c r="T105"/>
  <c r="CB354" i="77"/>
  <c r="V354" i="68" s="1"/>
  <c r="O354"/>
  <c r="W173"/>
  <c r="W110"/>
  <c r="P160"/>
  <c r="P268"/>
  <c r="P278"/>
  <c r="P225"/>
  <c r="W120"/>
  <c r="P120"/>
  <c r="W102"/>
  <c r="P102"/>
  <c r="CA372" i="77"/>
  <c r="U372" i="68" s="1"/>
  <c r="T372"/>
  <c r="U103"/>
  <c r="T103"/>
  <c r="U100"/>
  <c r="T154"/>
  <c r="U166"/>
  <c r="T166"/>
  <c r="CA225" i="77"/>
  <c r="T278" i="68"/>
  <c r="T225"/>
  <c r="T184"/>
  <c r="T281"/>
  <c r="U120"/>
  <c r="U112"/>
  <c r="T92"/>
  <c r="P273"/>
  <c r="P168"/>
  <c r="P107"/>
  <c r="P224"/>
  <c r="P276"/>
  <c r="P174"/>
  <c r="V181"/>
  <c r="V85"/>
  <c r="V240"/>
  <c r="V234"/>
  <c r="W362"/>
  <c r="W359"/>
  <c r="V83"/>
  <c r="W237"/>
  <c r="W188"/>
  <c r="V180"/>
  <c r="O121"/>
  <c r="O114"/>
  <c r="P82"/>
  <c r="P84"/>
  <c r="T202"/>
  <c r="T182"/>
  <c r="T244"/>
  <c r="T238"/>
  <c r="T144"/>
  <c r="T137"/>
  <c r="T145"/>
  <c r="T138"/>
  <c r="U188"/>
  <c r="U237"/>
  <c r="U196"/>
  <c r="U170"/>
  <c r="T183"/>
  <c r="P157"/>
  <c r="P266"/>
  <c r="U271"/>
  <c r="U134"/>
  <c r="V101"/>
  <c r="V261"/>
  <c r="U285"/>
  <c r="T285"/>
  <c r="P186"/>
  <c r="P283"/>
  <c r="V270"/>
  <c r="O270"/>
  <c r="CA292" i="77"/>
  <c r="U292" i="68" s="1"/>
  <c r="T292"/>
  <c r="P177"/>
  <c r="P229"/>
  <c r="CB294" i="77"/>
  <c r="V294" i="68" s="1"/>
  <c r="O294"/>
  <c r="P156"/>
  <c r="P105"/>
  <c r="T185"/>
  <c r="T116"/>
  <c r="P132"/>
  <c r="P106"/>
  <c r="P178"/>
  <c r="P279"/>
  <c r="P230"/>
  <c r="P113"/>
  <c r="O160"/>
  <c r="O268"/>
  <c r="O225"/>
  <c r="O278"/>
  <c r="T172"/>
  <c r="T223"/>
  <c r="CA209" i="77"/>
  <c r="T295" i="68"/>
  <c r="T209"/>
  <c r="T186"/>
  <c r="T283"/>
  <c r="U159"/>
  <c r="U259"/>
  <c r="U231"/>
  <c r="U179"/>
  <c r="P96"/>
  <c r="T205"/>
  <c r="T196"/>
  <c r="P144" i="65"/>
  <c r="P137"/>
  <c r="P198"/>
  <c r="P175"/>
  <c r="P277"/>
  <c r="T237"/>
  <c r="T188"/>
  <c r="V273"/>
  <c r="V168"/>
  <c r="V107"/>
  <c r="P136"/>
  <c r="P111"/>
  <c r="T136"/>
  <c r="T111"/>
  <c r="P201"/>
  <c r="P181"/>
  <c r="W169"/>
  <c r="P237"/>
  <c r="P188"/>
  <c r="O286"/>
  <c r="O118"/>
  <c r="O193"/>
  <c r="O200"/>
  <c r="O180"/>
  <c r="W272"/>
  <c r="W161"/>
  <c r="P384"/>
  <c r="P378"/>
  <c r="V238"/>
  <c r="W174"/>
  <c r="W276"/>
  <c r="W224"/>
  <c r="W145"/>
  <c r="W138"/>
  <c r="O371"/>
  <c r="O369"/>
  <c r="O96"/>
  <c r="O95"/>
  <c r="O196"/>
  <c r="O170"/>
  <c r="T90"/>
  <c r="T86"/>
  <c r="T82"/>
  <c r="T84"/>
  <c r="U145"/>
  <c r="U138"/>
  <c r="O284"/>
  <c r="O117"/>
  <c r="O195"/>
  <c r="O241"/>
  <c r="U158"/>
  <c r="U130"/>
  <c r="U215"/>
  <c r="P179"/>
  <c r="P231"/>
  <c r="W223"/>
  <c r="W172"/>
  <c r="T164"/>
  <c r="T221"/>
  <c r="V291"/>
  <c r="T291"/>
  <c r="U189"/>
  <c r="T189"/>
  <c r="W290"/>
  <c r="P290"/>
  <c r="V274"/>
  <c r="V222"/>
  <c r="V171"/>
  <c r="V108"/>
  <c r="O101"/>
  <c r="O261"/>
  <c r="U149"/>
  <c r="T149"/>
  <c r="AY364" i="77"/>
  <c r="O383" i="65"/>
  <c r="O364"/>
  <c r="V102"/>
  <c r="O102"/>
  <c r="W133"/>
  <c r="W269"/>
  <c r="W160"/>
  <c r="W268"/>
  <c r="P164"/>
  <c r="P221"/>
  <c r="V178"/>
  <c r="V230"/>
  <c r="V279"/>
  <c r="V113"/>
  <c r="V132"/>
  <c r="V106"/>
  <c r="O159"/>
  <c r="O259"/>
  <c r="AY87" i="77"/>
  <c r="V87" i="65" s="1"/>
  <c r="O87"/>
  <c r="AD157"/>
  <c r="AA157"/>
  <c r="AA266"/>
  <c r="V281"/>
  <c r="V184"/>
  <c r="W271"/>
  <c r="W134"/>
  <c r="W206"/>
  <c r="P206"/>
  <c r="T383"/>
  <c r="T364"/>
  <c r="W248"/>
  <c r="T97"/>
  <c r="W219"/>
  <c r="V192"/>
  <c r="T250"/>
  <c r="T214"/>
  <c r="T142"/>
  <c r="O89"/>
  <c r="O85"/>
  <c r="W131"/>
  <c r="P203"/>
  <c r="P183"/>
  <c r="W121"/>
  <c r="W114"/>
  <c r="W242"/>
  <c r="W236"/>
  <c r="W273"/>
  <c r="W168"/>
  <c r="W107"/>
  <c r="O136"/>
  <c r="O111"/>
  <c r="T175"/>
  <c r="T277"/>
  <c r="T363"/>
  <c r="T360"/>
  <c r="O201"/>
  <c r="O181"/>
  <c r="V169"/>
  <c r="O237"/>
  <c r="O188"/>
  <c r="P286"/>
  <c r="P118"/>
  <c r="P193"/>
  <c r="P200"/>
  <c r="P180"/>
  <c r="T81"/>
  <c r="T83"/>
  <c r="O198"/>
  <c r="O175"/>
  <c r="O277"/>
  <c r="P89"/>
  <c r="P85"/>
  <c r="T362"/>
  <c r="T359"/>
  <c r="V145"/>
  <c r="V138"/>
  <c r="P371"/>
  <c r="P369"/>
  <c r="P96"/>
  <c r="P95"/>
  <c r="P196"/>
  <c r="P170"/>
  <c r="T220"/>
  <c r="T228"/>
  <c r="AA358"/>
  <c r="X358"/>
  <c r="U381"/>
  <c r="T381"/>
  <c r="U141"/>
  <c r="T141"/>
  <c r="P284"/>
  <c r="P117"/>
  <c r="P158"/>
  <c r="P130"/>
  <c r="P215"/>
  <c r="W176"/>
  <c r="P176"/>
  <c r="V223"/>
  <c r="V172"/>
  <c r="AZ296" i="77"/>
  <c r="W296" i="65" s="1"/>
  <c r="P296"/>
  <c r="U165"/>
  <c r="T165"/>
  <c r="V290"/>
  <c r="O290"/>
  <c r="P173"/>
  <c r="P110"/>
  <c r="U383"/>
  <c r="U364"/>
  <c r="V133"/>
  <c r="V269"/>
  <c r="V160"/>
  <c r="V268"/>
  <c r="O164"/>
  <c r="O221"/>
  <c r="T158"/>
  <c r="T130"/>
  <c r="T215"/>
  <c r="W230"/>
  <c r="W279"/>
  <c r="W178"/>
  <c r="W113"/>
  <c r="W132"/>
  <c r="W106"/>
  <c r="P159"/>
  <c r="P259"/>
  <c r="O207"/>
  <c r="O250"/>
  <c r="AA361"/>
  <c r="V225"/>
  <c r="V278"/>
  <c r="V206"/>
  <c r="O206"/>
  <c r="U187"/>
  <c r="T187"/>
  <c r="T179"/>
  <c r="T231"/>
  <c r="AX27" i="77"/>
  <c r="U27" i="65" s="1"/>
  <c r="V251"/>
  <c r="W253"/>
  <c r="BA372" i="77"/>
  <c r="BC372" s="1"/>
  <c r="Z372" i="65" s="1"/>
  <c r="W239"/>
  <c r="T244"/>
  <c r="P249"/>
  <c r="P246"/>
  <c r="T91"/>
  <c r="T88"/>
  <c r="U224"/>
  <c r="U174"/>
  <c r="U276"/>
  <c r="U273"/>
  <c r="U168"/>
  <c r="U107"/>
  <c r="T202"/>
  <c r="T182"/>
  <c r="U121"/>
  <c r="U114"/>
  <c r="U238"/>
  <c r="U132"/>
  <c r="U106"/>
  <c r="V229"/>
  <c r="V177"/>
  <c r="O130"/>
  <c r="O158"/>
  <c r="O215"/>
  <c r="V176"/>
  <c r="O176"/>
  <c r="O179"/>
  <c r="O231"/>
  <c r="AY296" i="77"/>
  <c r="V296" i="65" s="1"/>
  <c r="O296"/>
  <c r="U115"/>
  <c r="T115"/>
  <c r="X167"/>
  <c r="U167"/>
  <c r="BA275" i="77"/>
  <c r="BC275" s="1"/>
  <c r="U275" i="65"/>
  <c r="T159"/>
  <c r="T259"/>
  <c r="O173"/>
  <c r="O110"/>
  <c r="AZ364" i="77"/>
  <c r="P383" i="65"/>
  <c r="P364"/>
  <c r="O141"/>
  <c r="O191"/>
  <c r="W283"/>
  <c r="W186"/>
  <c r="P185"/>
  <c r="P116"/>
  <c r="AZ207" i="77"/>
  <c r="W207" i="65" s="1"/>
  <c r="P250"/>
  <c r="P207"/>
  <c r="U103"/>
  <c r="T103"/>
  <c r="AD129"/>
  <c r="AA129"/>
  <c r="W225"/>
  <c r="W278"/>
  <c r="T173"/>
  <c r="T110"/>
  <c r="U213"/>
  <c r="T101"/>
  <c r="T261"/>
  <c r="T185"/>
  <c r="T116"/>
  <c r="U160"/>
  <c r="U268"/>
  <c r="U134"/>
  <c r="U271"/>
  <c r="U281"/>
  <c r="U184"/>
  <c r="U253"/>
  <c r="V219"/>
  <c r="V239"/>
  <c r="W192"/>
  <c r="T207"/>
  <c r="U219"/>
  <c r="V112"/>
  <c r="W112"/>
  <c r="O144"/>
  <c r="O137"/>
  <c r="V161"/>
  <c r="V272"/>
  <c r="O384"/>
  <c r="O378"/>
  <c r="V131"/>
  <c r="O203"/>
  <c r="O183"/>
  <c r="T240"/>
  <c r="T234"/>
  <c r="W238"/>
  <c r="V174"/>
  <c r="V276"/>
  <c r="V224"/>
  <c r="O249"/>
  <c r="O246"/>
  <c r="T286"/>
  <c r="T193"/>
  <c r="AX380" i="77"/>
  <c r="U380" i="65" s="1"/>
  <c r="T380"/>
  <c r="U242"/>
  <c r="U236"/>
  <c r="U272"/>
  <c r="U161"/>
  <c r="U120"/>
  <c r="U112"/>
  <c r="AX377" i="77"/>
  <c r="U377" i="65" s="1"/>
  <c r="T377"/>
  <c r="U186"/>
  <c r="U283"/>
  <c r="U153"/>
  <c r="T153"/>
  <c r="W177"/>
  <c r="W229"/>
  <c r="P195"/>
  <c r="P241"/>
  <c r="U231"/>
  <c r="U179"/>
  <c r="U241"/>
  <c r="T241"/>
  <c r="AX289" i="77"/>
  <c r="U289" i="65" s="1"/>
  <c r="T289"/>
  <c r="W274"/>
  <c r="W222"/>
  <c r="W171"/>
  <c r="W108"/>
  <c r="W213"/>
  <c r="P101"/>
  <c r="P261"/>
  <c r="U279"/>
  <c r="U178"/>
  <c r="U230"/>
  <c r="U113"/>
  <c r="T284"/>
  <c r="T117"/>
  <c r="AY382" i="77"/>
  <c r="V382" i="65" s="1"/>
  <c r="O382"/>
  <c r="W102"/>
  <c r="P102"/>
  <c r="P141"/>
  <c r="P191"/>
  <c r="V283"/>
  <c r="V186"/>
  <c r="O185"/>
  <c r="O116"/>
  <c r="AX78" i="77"/>
  <c r="U78" i="65" s="1"/>
  <c r="T78"/>
  <c r="W281"/>
  <c r="W184"/>
  <c r="V134"/>
  <c r="V271"/>
  <c r="AX382" i="77"/>
  <c r="U382" i="65" s="1"/>
  <c r="T382"/>
  <c r="AX262" i="77"/>
  <c r="U262" i="65" s="1"/>
  <c r="T262"/>
  <c r="U155"/>
  <c r="T155"/>
  <c r="U133"/>
  <c r="U269"/>
  <c r="U274"/>
  <c r="U222"/>
  <c r="U171"/>
  <c r="U108"/>
  <c r="U225"/>
  <c r="U278"/>
  <c r="U177"/>
  <c r="U229"/>
  <c r="U223"/>
  <c r="U172"/>
  <c r="U248"/>
  <c r="T118"/>
  <c r="AX296" i="77"/>
  <c r="U296" i="65" s="1"/>
  <c r="AY98" i="77"/>
  <c r="BA98" s="1"/>
  <c r="T195" i="65"/>
  <c r="AC370" i="68"/>
  <c r="AD90" i="39"/>
  <c r="AD86"/>
  <c r="AB380" i="72"/>
  <c r="AD363" i="39"/>
  <c r="AD360"/>
  <c r="AD370" i="68"/>
  <c r="AC371" i="39"/>
  <c r="AC369"/>
  <c r="AD362"/>
  <c r="AD359"/>
  <c r="AC137" i="71"/>
  <c r="AC90" i="39"/>
  <c r="AC86"/>
  <c r="AD144"/>
  <c r="AD137"/>
  <c r="AD203"/>
  <c r="AD183"/>
  <c r="AC272"/>
  <c r="AC161"/>
  <c r="AC227" i="65"/>
  <c r="AC142" i="39"/>
  <c r="AC131"/>
  <c r="AC192"/>
  <c r="AC162"/>
  <c r="AC89"/>
  <c r="AC85"/>
  <c r="AD81"/>
  <c r="AD83"/>
  <c r="AC121"/>
  <c r="AC114"/>
  <c r="AC188"/>
  <c r="AC237"/>
  <c r="AC138"/>
  <c r="AC242"/>
  <c r="AC236"/>
  <c r="AD361" i="71"/>
  <c r="AC372" i="39"/>
  <c r="AC370"/>
  <c r="AC88"/>
  <c r="AD198"/>
  <c r="AD277"/>
  <c r="AD175"/>
  <c r="AC202"/>
  <c r="AC182"/>
  <c r="AB214" i="72"/>
  <c r="AD157" i="70"/>
  <c r="AD266"/>
  <c r="AC116" i="39"/>
  <c r="AC185"/>
  <c r="AC269"/>
  <c r="AC133"/>
  <c r="AB290" i="72"/>
  <c r="AB103"/>
  <c r="AD156" i="73"/>
  <c r="AD105"/>
  <c r="AC130" i="39"/>
  <c r="AC158"/>
  <c r="AB189" i="72"/>
  <c r="AD417" i="74"/>
  <c r="AD432"/>
  <c r="AD417" i="70"/>
  <c r="AB276" i="72"/>
  <c r="AB224"/>
  <c r="AB174"/>
  <c r="AD193" i="39"/>
  <c r="AD197"/>
  <c r="AC370" i="65"/>
  <c r="AC364" i="39"/>
  <c r="AC361"/>
  <c r="AD371"/>
  <c r="AD369"/>
  <c r="AD137" i="71"/>
  <c r="AC200" i="39"/>
  <c r="AC180"/>
  <c r="AC169" i="73"/>
  <c r="AD272" i="39"/>
  <c r="AD161"/>
  <c r="AD227" i="65"/>
  <c r="AD142" i="39"/>
  <c r="AD131"/>
  <c r="AD192"/>
  <c r="AD162"/>
  <c r="AC81"/>
  <c r="AC83"/>
  <c r="AD121"/>
  <c r="AD114"/>
  <c r="AD237"/>
  <c r="AD188"/>
  <c r="AD138"/>
  <c r="AC233"/>
  <c r="AB286" i="72"/>
  <c r="AD242" i="39"/>
  <c r="AD236"/>
  <c r="AD372"/>
  <c r="AD370"/>
  <c r="AD218"/>
  <c r="AD226"/>
  <c r="AC417" i="70"/>
  <c r="AC432"/>
  <c r="AB377" i="72"/>
  <c r="AB381"/>
  <c r="AD185" i="39"/>
  <c r="AD116"/>
  <c r="AD269"/>
  <c r="AD133"/>
  <c r="AC261"/>
  <c r="AC101"/>
  <c r="AB155" i="72"/>
  <c r="AC156" i="70"/>
  <c r="AC105"/>
  <c r="AC156" i="39"/>
  <c r="AC105"/>
  <c r="AD130"/>
  <c r="AD158"/>
  <c r="AC244"/>
  <c r="AC238"/>
  <c r="AB273" i="71"/>
  <c r="AB168"/>
  <c r="AB107"/>
  <c r="AB158"/>
  <c r="AB130"/>
  <c r="AB215"/>
  <c r="AB284"/>
  <c r="AB117"/>
  <c r="AC92" i="39"/>
  <c r="AD95"/>
  <c r="AD247"/>
  <c r="AD118"/>
  <c r="AC249"/>
  <c r="AD370" i="65"/>
  <c r="AD361" i="39"/>
  <c r="AD200"/>
  <c r="AD180"/>
  <c r="AD169" i="73"/>
  <c r="AC241" i="39"/>
  <c r="AC235"/>
  <c r="AC240"/>
  <c r="AC234"/>
  <c r="AD221"/>
  <c r="AD232"/>
  <c r="AC201"/>
  <c r="AC181"/>
  <c r="AD82"/>
  <c r="AD84"/>
  <c r="AC237" i="71"/>
  <c r="AC188"/>
  <c r="AD233" i="39"/>
  <c r="AC136"/>
  <c r="AC111"/>
  <c r="AD220"/>
  <c r="AD228"/>
  <c r="AB97" i="72"/>
  <c r="AB104"/>
  <c r="AD88" i="39"/>
  <c r="AC198"/>
  <c r="AC277"/>
  <c r="AC175"/>
  <c r="AC171"/>
  <c r="AC108"/>
  <c r="AC222"/>
  <c r="AC274"/>
  <c r="AC268"/>
  <c r="AC160"/>
  <c r="AD261"/>
  <c r="AD101"/>
  <c r="AD156" i="70"/>
  <c r="AD105"/>
  <c r="AD105" i="39"/>
  <c r="AD156"/>
  <c r="AC173"/>
  <c r="AC110"/>
  <c r="AB291" i="72"/>
  <c r="AC134" i="39"/>
  <c r="AC271"/>
  <c r="AC157"/>
  <c r="AB136" i="71"/>
  <c r="AB111"/>
  <c r="AC223" i="39"/>
  <c r="AC172"/>
  <c r="AB101" i="71"/>
  <c r="AB261"/>
  <c r="AB213"/>
  <c r="AB272" i="72"/>
  <c r="AB161"/>
  <c r="AB220"/>
  <c r="AB173" i="71"/>
  <c r="AB110"/>
  <c r="AB358"/>
  <c r="AB376"/>
  <c r="AD96" i="39"/>
  <c r="AC247"/>
  <c r="AC197"/>
  <c r="AC118"/>
  <c r="AD376"/>
  <c r="AD249"/>
  <c r="AC363"/>
  <c r="AC360"/>
  <c r="AC362"/>
  <c r="AC359"/>
  <c r="AC144"/>
  <c r="AC137"/>
  <c r="AC203"/>
  <c r="AC183"/>
  <c r="AD241"/>
  <c r="AD235"/>
  <c r="AD240"/>
  <c r="AD234"/>
  <c r="AC221"/>
  <c r="AC232"/>
  <c r="AD201"/>
  <c r="AD181"/>
  <c r="AC82"/>
  <c r="AC84"/>
  <c r="AD89"/>
  <c r="AD85"/>
  <c r="AD237" i="71"/>
  <c r="AD188"/>
  <c r="AD136" i="39"/>
  <c r="AD111"/>
  <c r="AC361" i="71"/>
  <c r="AC220" i="39"/>
  <c r="AC228"/>
  <c r="AC218"/>
  <c r="AC226"/>
  <c r="AC432" i="74"/>
  <c r="AC417"/>
  <c r="AD171" i="39"/>
  <c r="AD274"/>
  <c r="AD222"/>
  <c r="AD108"/>
  <c r="AD268"/>
  <c r="AD160"/>
  <c r="AC156" i="73"/>
  <c r="AC105"/>
  <c r="AD173" i="39"/>
  <c r="AD110"/>
  <c r="AB149" i="72"/>
  <c r="AD271" i="39"/>
  <c r="AD134"/>
  <c r="AD361" i="65"/>
  <c r="AB277" i="71"/>
  <c r="AB175"/>
  <c r="AB286"/>
  <c r="AB193"/>
  <c r="AD223" i="39"/>
  <c r="AD172"/>
  <c r="AB383" i="71"/>
  <c r="AB364"/>
  <c r="AB157"/>
  <c r="AB266"/>
  <c r="AB290"/>
  <c r="AB203"/>
  <c r="AD217" i="39"/>
  <c r="AC217"/>
  <c r="AC376"/>
  <c r="AD92"/>
  <c r="IV229" i="77"/>
  <c r="IY229" s="1"/>
  <c r="BA267"/>
  <c r="EJ78"/>
  <c r="Z184" i="72"/>
  <c r="EH274" i="77"/>
  <c r="EJ274" s="1"/>
  <c r="EM274" s="1"/>
  <c r="DF274"/>
  <c r="AZ383"/>
  <c r="DE274"/>
  <c r="EH294"/>
  <c r="V294" i="70" s="1"/>
  <c r="AY383" i="77"/>
  <c r="FK295"/>
  <c r="FM295" s="1"/>
  <c r="FP295" s="1"/>
  <c r="EI393"/>
  <c r="W393" i="70" s="1"/>
  <c r="FM264" i="77"/>
  <c r="Z119" i="71"/>
  <c r="X103"/>
  <c r="EI203" i="77"/>
  <c r="AZ87"/>
  <c r="W87" i="65" s="1"/>
  <c r="HR376" i="77"/>
  <c r="CD382"/>
  <c r="HS222"/>
  <c r="HV222" s="1"/>
  <c r="HS264"/>
  <c r="EH393"/>
  <c r="V393" i="70" s="1"/>
  <c r="IV383" i="77"/>
  <c r="IY383" s="1"/>
  <c r="IV384"/>
  <c r="BA295"/>
  <c r="BD295" s="1"/>
  <c r="IS92"/>
  <c r="U94" i="74" s="1"/>
  <c r="IS93" i="77"/>
  <c r="IV265"/>
  <c r="IY265" s="1"/>
  <c r="Z201" i="73"/>
  <c r="GP273" i="77"/>
  <c r="GP395"/>
  <c r="GP279"/>
  <c r="GS279" s="1"/>
  <c r="GP230"/>
  <c r="GP277"/>
  <c r="GS277" s="1"/>
  <c r="CD250"/>
  <c r="CB273"/>
  <c r="AZ376"/>
  <c r="X165" i="71"/>
  <c r="HS203" i="77"/>
  <c r="HV203" s="1"/>
  <c r="HS202"/>
  <c r="HV202" s="1"/>
  <c r="AA163" i="74"/>
  <c r="IV272" i="77"/>
  <c r="IY272" s="1"/>
  <c r="V213" i="65"/>
  <c r="EI263" i="77"/>
  <c r="W263" i="70" s="1"/>
  <c r="FL209" i="77"/>
  <c r="W295" i="71" s="1"/>
  <c r="HQ386" i="77"/>
  <c r="V395" i="73" s="1"/>
  <c r="IT354" i="77"/>
  <c r="V354" i="74" s="1"/>
  <c r="EI285" i="77"/>
  <c r="V291" i="70"/>
  <c r="EH222" i="77"/>
  <c r="W149" i="65"/>
  <c r="DG376" i="77"/>
  <c r="EH263"/>
  <c r="V263" i="70" s="1"/>
  <c r="FK229" i="77"/>
  <c r="V135" i="73"/>
  <c r="FK209" i="77"/>
  <c r="V209" i="71" s="1"/>
  <c r="W291" i="70"/>
  <c r="HR384" i="77"/>
  <c r="HS384" s="1"/>
  <c r="HV384" s="1"/>
  <c r="EH252"/>
  <c r="EJ252" s="1"/>
  <c r="EM252" s="1"/>
  <c r="FL229"/>
  <c r="W135" i="73"/>
  <c r="HR386" i="77"/>
  <c r="W395" i="73" s="1"/>
  <c r="CD262" i="77"/>
  <c r="V211" i="68"/>
  <c r="IU354" i="77"/>
  <c r="W354" i="74" s="1"/>
  <c r="EI293" i="77"/>
  <c r="W293" i="70" s="1"/>
  <c r="HS394" i="77"/>
  <c r="HV394" s="1"/>
  <c r="HS285"/>
  <c r="HV285" s="1"/>
  <c r="IV376"/>
  <c r="Z110" i="68"/>
  <c r="GP269" i="77"/>
  <c r="CD252"/>
  <c r="CG252" s="1"/>
  <c r="HS273"/>
  <c r="HV273" s="1"/>
  <c r="IV288"/>
  <c r="IX288" s="1"/>
  <c r="IV279"/>
  <c r="AD442"/>
  <c r="AD442" i="39" s="1"/>
  <c r="AD238" i="77"/>
  <c r="EH388"/>
  <c r="DD448"/>
  <c r="U448" i="69" s="1"/>
  <c r="U12" i="65"/>
  <c r="AC431" i="71"/>
  <c r="HS289" i="77"/>
  <c r="HU289" s="1"/>
  <c r="Z178" i="74"/>
  <c r="X154"/>
  <c r="V155" i="65"/>
  <c r="AY262" i="77"/>
  <c r="V262" i="65" s="1"/>
  <c r="DE279" i="77"/>
  <c r="DF272"/>
  <c r="W146" i="69"/>
  <c r="AZ362" i="77"/>
  <c r="W139" i="73"/>
  <c r="HS295" i="77"/>
  <c r="HV295" s="1"/>
  <c r="CB384"/>
  <c r="CB268"/>
  <c r="AZ382"/>
  <c r="W382" i="65" s="1"/>
  <c r="DE278" i="77"/>
  <c r="V291" i="69"/>
  <c r="Z231" i="68"/>
  <c r="IU259" i="77"/>
  <c r="FR457"/>
  <c r="AC457" i="71" s="1"/>
  <c r="GU448" i="77"/>
  <c r="AC448" i="72" s="1"/>
  <c r="AC461" i="73"/>
  <c r="HX420" i="77"/>
  <c r="AC420" i="73" s="1"/>
  <c r="BF367" i="77"/>
  <c r="AC367" i="65" s="1"/>
  <c r="AC151" i="71"/>
  <c r="AD32" i="77"/>
  <c r="AD32" i="39" s="1"/>
  <c r="HX54" i="77"/>
  <c r="AC54" i="73" s="1"/>
  <c r="EH425" i="77"/>
  <c r="DD82"/>
  <c r="U80" i="69" s="1"/>
  <c r="HY449" i="77"/>
  <c r="AD449" i="73" s="1"/>
  <c r="GU53" i="77"/>
  <c r="AC53" i="72" s="1"/>
  <c r="V381" i="65"/>
  <c r="HS229" i="77"/>
  <c r="HV229" s="1"/>
  <c r="CB372"/>
  <c r="V372" i="68" s="1"/>
  <c r="GN223" i="77"/>
  <c r="DF385"/>
  <c r="DE272"/>
  <c r="HS292"/>
  <c r="GO87"/>
  <c r="W87" i="72" s="1"/>
  <c r="CB395" i="77"/>
  <c r="HQ79"/>
  <c r="V79" i="73" s="1"/>
  <c r="AZ379" i="77"/>
  <c r="W379" i="65" s="1"/>
  <c r="DF275" i="77"/>
  <c r="W275" i="69" s="1"/>
  <c r="AY250" i="77"/>
  <c r="BA250" s="1"/>
  <c r="BD250" s="1"/>
  <c r="DF278"/>
  <c r="CC288"/>
  <c r="EH275"/>
  <c r="V275" i="70" s="1"/>
  <c r="FL288" i="77"/>
  <c r="W288" i="71" s="1"/>
  <c r="EH372" i="77"/>
  <c r="AZ386"/>
  <c r="W395" i="65" s="1"/>
  <c r="W154" i="69"/>
  <c r="U124"/>
  <c r="EI425" i="77"/>
  <c r="U16" i="74"/>
  <c r="HP353" i="77"/>
  <c r="U353" i="73" s="1"/>
  <c r="Z151" i="71"/>
  <c r="AD441" i="39"/>
  <c r="BF404" i="77"/>
  <c r="AC404" i="65" s="1"/>
  <c r="Z216"/>
  <c r="FM240" i="77"/>
  <c r="X103" i="69"/>
  <c r="CC372" i="77"/>
  <c r="W155" i="65"/>
  <c r="AZ262" i="77"/>
  <c r="DF279"/>
  <c r="HS269"/>
  <c r="CC274"/>
  <c r="CD274" s="1"/>
  <c r="CG274" s="1"/>
  <c r="GN87"/>
  <c r="AY379"/>
  <c r="V379" i="65" s="1"/>
  <c r="DE275" i="77"/>
  <c r="V275" i="69" s="1"/>
  <c r="IV94" i="77"/>
  <c r="IV276"/>
  <c r="FM243"/>
  <c r="FP243" s="1"/>
  <c r="FM94"/>
  <c r="FP94" s="1"/>
  <c r="HS279"/>
  <c r="HV279" s="1"/>
  <c r="X270" i="74"/>
  <c r="IV268" i="77"/>
  <c r="IV87"/>
  <c r="BA394"/>
  <c r="CC268"/>
  <c r="V290" i="70"/>
  <c r="AY386" i="77"/>
  <c r="V395" i="65" s="1"/>
  <c r="AD80" i="77"/>
  <c r="AD80" i="39" s="1"/>
  <c r="X287" i="72"/>
  <c r="IV206" i="77"/>
  <c r="IY206" s="1"/>
  <c r="HS293"/>
  <c r="HV293" s="1"/>
  <c r="EI264"/>
  <c r="W264" i="70" s="1"/>
  <c r="EI292" i="77"/>
  <c r="W292" i="70" s="1"/>
  <c r="EI284" i="77"/>
  <c r="W144" i="70"/>
  <c r="EH240" i="77"/>
  <c r="EJ240" s="1"/>
  <c r="EM240" s="1"/>
  <c r="EH264"/>
  <c r="V264" i="70" s="1"/>
  <c r="EI208" i="77"/>
  <c r="W208" i="70" s="1"/>
  <c r="EH290" i="77"/>
  <c r="EH292"/>
  <c r="V292" i="70" s="1"/>
  <c r="EH284" i="77"/>
  <c r="EI275"/>
  <c r="W275" i="70" s="1"/>
  <c r="EH208" i="77"/>
  <c r="V208" i="70" s="1"/>
  <c r="W290"/>
  <c r="EH385" i="77"/>
  <c r="V394" i="70" s="1"/>
  <c r="V144"/>
  <c r="DG203" i="77"/>
  <c r="DJ203" s="1"/>
  <c r="V154" i="68"/>
  <c r="CI427" i="77"/>
  <c r="AC427" i="68" s="1"/>
  <c r="W115"/>
  <c r="CC209" i="77"/>
  <c r="Z210" i="68"/>
  <c r="V115"/>
  <c r="CC270" i="77"/>
  <c r="CD270" s="1"/>
  <c r="CG270" s="1"/>
  <c r="CC395"/>
  <c r="CC225"/>
  <c r="Z108" i="65"/>
  <c r="Z133"/>
  <c r="Z219"/>
  <c r="BA266" i="77"/>
  <c r="AB361" i="72"/>
  <c r="BA223" i="77"/>
  <c r="BA202"/>
  <c r="BD202" s="1"/>
  <c r="AD285"/>
  <c r="AC285"/>
  <c r="X391" i="73"/>
  <c r="HS294" i="77"/>
  <c r="HU294" s="1"/>
  <c r="Z196" i="73"/>
  <c r="GP262" i="77"/>
  <c r="GP386"/>
  <c r="GS386" s="1"/>
  <c r="GP382"/>
  <c r="GP272"/>
  <c r="GP379"/>
  <c r="DF78"/>
  <c r="DE266"/>
  <c r="DF206"/>
  <c r="DF202"/>
  <c r="W202" i="69" s="1"/>
  <c r="DF394" i="77"/>
  <c r="DE78"/>
  <c r="V78" i="69" s="1"/>
  <c r="DF286" i="77"/>
  <c r="DG386"/>
  <c r="DI386" s="1"/>
  <c r="Z386" i="69" s="1"/>
  <c r="Z221"/>
  <c r="AA163"/>
  <c r="DF266" i="77"/>
  <c r="DE206"/>
  <c r="DE202"/>
  <c r="V202" i="69" s="1"/>
  <c r="DE394" i="77"/>
  <c r="DE286"/>
  <c r="CD386"/>
  <c r="X190" i="68"/>
  <c r="W214" i="65"/>
  <c r="V214"/>
  <c r="GU457" i="77"/>
  <c r="AC457" i="72" s="1"/>
  <c r="GP270" i="77"/>
  <c r="GM426"/>
  <c r="U426" i="72" s="1"/>
  <c r="FJ69" i="77"/>
  <c r="U69" i="71" s="1"/>
  <c r="AA241"/>
  <c r="FM252" i="77"/>
  <c r="Z149" i="71"/>
  <c r="Z371"/>
  <c r="X176"/>
  <c r="DG208" i="77"/>
  <c r="DF209"/>
  <c r="W295" i="69" s="1"/>
  <c r="DE240" i="77"/>
  <c r="DG240" s="1"/>
  <c r="DJ240" s="1"/>
  <c r="DF273"/>
  <c r="DG273" s="1"/>
  <c r="DJ273" s="1"/>
  <c r="DF252"/>
  <c r="DE268"/>
  <c r="V154" i="69"/>
  <c r="DD359" i="77"/>
  <c r="U151" i="69"/>
  <c r="DG254" i="77"/>
  <c r="DJ254" s="1"/>
  <c r="DE209"/>
  <c r="W187" i="69"/>
  <c r="V189"/>
  <c r="DE385" i="77"/>
  <c r="DF265"/>
  <c r="W265" i="69" s="1"/>
  <c r="DF382" i="77"/>
  <c r="W382" i="69" s="1"/>
  <c r="DF282" i="77"/>
  <c r="W282" i="69" s="1"/>
  <c r="DE98" i="77"/>
  <c r="DE252"/>
  <c r="CD290"/>
  <c r="GP287"/>
  <c r="CA422"/>
  <c r="U422" i="68" s="1"/>
  <c r="CA449" i="77"/>
  <c r="U449" i="68" s="1"/>
  <c r="CA90" i="77"/>
  <c r="CC383"/>
  <c r="BA265"/>
  <c r="BA283"/>
  <c r="V146" i="65"/>
  <c r="W381"/>
  <c r="CC295" i="77"/>
  <c r="CC94"/>
  <c r="CB393"/>
  <c r="V393" i="68" s="1"/>
  <c r="CB295" i="77"/>
  <c r="W154" i="68"/>
  <c r="CC285" i="77"/>
  <c r="X140" i="68"/>
  <c r="CB94" i="77"/>
  <c r="CC265"/>
  <c r="CC223"/>
  <c r="CC269"/>
  <c r="CB225"/>
  <c r="CC202"/>
  <c r="W211" i="68"/>
  <c r="CA420" i="77"/>
  <c r="U420" i="68" s="1"/>
  <c r="CA96" i="77"/>
  <c r="U97" i="68" s="1"/>
  <c r="W163"/>
  <c r="CB285" i="77"/>
  <c r="CD87"/>
  <c r="CB265"/>
  <c r="V265" i="68" s="1"/>
  <c r="CC384" i="77"/>
  <c r="W167" i="68"/>
  <c r="CB223" i="77"/>
  <c r="CB269"/>
  <c r="CC283"/>
  <c r="CD283" s="1"/>
  <c r="V166" i="68"/>
  <c r="CB202" i="77"/>
  <c r="X109" i="65"/>
  <c r="W187"/>
  <c r="AY362" i="77"/>
  <c r="X287" i="65"/>
  <c r="BA292" i="77"/>
  <c r="BD292" s="1"/>
  <c r="AY284"/>
  <c r="BA284" s="1"/>
  <c r="BD284" s="1"/>
  <c r="AY78"/>
  <c r="V78" i="65" s="1"/>
  <c r="V187"/>
  <c r="AY376" i="77"/>
  <c r="Z106" i="65"/>
  <c r="V120"/>
  <c r="AZ277" i="77"/>
  <c r="BA277" s="1"/>
  <c r="BD277" s="1"/>
  <c r="BA272"/>
  <c r="BD272" s="1"/>
  <c r="AA196" i="72"/>
  <c r="GP264" i="77"/>
  <c r="GP384"/>
  <c r="HS209"/>
  <c r="HV209" s="1"/>
  <c r="AB249" i="73"/>
  <c r="AB183"/>
  <c r="AB234" i="72"/>
  <c r="EJ209" i="77"/>
  <c r="EM209" s="1"/>
  <c r="AB112" i="72"/>
  <c r="AB360"/>
  <c r="AB114"/>
  <c r="AB378" i="73"/>
  <c r="AC163" i="39"/>
  <c r="AD163"/>
  <c r="V129" i="68"/>
  <c r="DF97" i="77"/>
  <c r="V139" i="70"/>
  <c r="W140" i="69"/>
  <c r="AB170" i="73"/>
  <c r="AB359" i="72"/>
  <c r="AB180"/>
  <c r="AB90" i="73"/>
  <c r="AB233" i="72"/>
  <c r="W104" i="68"/>
  <c r="W129"/>
  <c r="DE97" i="77"/>
  <c r="DG293"/>
  <c r="CB383"/>
  <c r="CB278"/>
  <c r="DG292"/>
  <c r="Z172" i="69"/>
  <c r="CD207" i="77"/>
  <c r="CD284"/>
  <c r="IV292"/>
  <c r="AA59" i="39"/>
  <c r="AC59" i="77"/>
  <c r="AC59" i="39" s="1"/>
  <c r="AD59" i="77"/>
  <c r="AD59" i="39" s="1"/>
  <c r="Z191" i="70"/>
  <c r="V104" i="68"/>
  <c r="EJ363" i="77"/>
  <c r="EM363" s="1"/>
  <c r="BA254"/>
  <c r="X115" i="71"/>
  <c r="BA285" i="77"/>
  <c r="BA293"/>
  <c r="DG262"/>
  <c r="HR382"/>
  <c r="W382" i="73" s="1"/>
  <c r="DI289" i="77"/>
  <c r="GP376"/>
  <c r="CD394"/>
  <c r="Z185" i="71"/>
  <c r="Z142"/>
  <c r="Z134" i="73"/>
  <c r="X100" i="70"/>
  <c r="V109"/>
  <c r="Z171" i="74"/>
  <c r="IV269" i="77"/>
  <c r="Z143" i="71"/>
  <c r="FM379" i="77"/>
  <c r="HS263"/>
  <c r="IV208"/>
  <c r="IV230"/>
  <c r="AY290"/>
  <c r="EH268"/>
  <c r="EI294"/>
  <c r="X135" i="71"/>
  <c r="Z153"/>
  <c r="HQ382" i="77"/>
  <c r="V382" i="73" s="1"/>
  <c r="CD240" i="77"/>
  <c r="Z241" i="73"/>
  <c r="HS254" i="77"/>
  <c r="HV254" s="1"/>
  <c r="GP288"/>
  <c r="GS288" s="1"/>
  <c r="X167" i="72"/>
  <c r="Z113" i="65"/>
  <c r="Z216" i="69"/>
  <c r="V123" i="65"/>
  <c r="EI267" i="77"/>
  <c r="IV240"/>
  <c r="EJ266"/>
  <c r="AD248"/>
  <c r="AC32"/>
  <c r="AC32" i="39" s="1"/>
  <c r="U147" i="74"/>
  <c r="EG359" i="77"/>
  <c r="CA45"/>
  <c r="U45" i="68" s="1"/>
  <c r="IS65" i="77"/>
  <c r="U65" i="74" s="1"/>
  <c r="AX406" i="77"/>
  <c r="U406" i="65" s="1"/>
  <c r="HP358" i="77"/>
  <c r="FJ96"/>
  <c r="U97" i="71" s="1"/>
  <c r="U421" i="70"/>
  <c r="DD54" i="77"/>
  <c r="U54" i="69" s="1"/>
  <c r="AD37" i="77"/>
  <c r="AD37" i="39" s="1"/>
  <c r="AC42" i="77"/>
  <c r="AC42" i="39" s="1"/>
  <c r="HP59" i="77"/>
  <c r="U59" i="73" s="1"/>
  <c r="CA82" i="77"/>
  <c r="U80" i="68" s="1"/>
  <c r="EG409" i="77"/>
  <c r="U409" i="70" s="1"/>
  <c r="EG257" i="77"/>
  <c r="U257" i="70" s="1"/>
  <c r="U214" i="71"/>
  <c r="IV377" i="77"/>
  <c r="IY377" s="1"/>
  <c r="AC248"/>
  <c r="AC37"/>
  <c r="AC37" i="39" s="1"/>
  <c r="AD42" i="77"/>
  <c r="AD42" i="39" s="1"/>
  <c r="CA93" i="77"/>
  <c r="DD47"/>
  <c r="U47" i="69" s="1"/>
  <c r="U13" i="74"/>
  <c r="U41" i="70"/>
  <c r="FJ352" i="77"/>
  <c r="U352" i="71" s="1"/>
  <c r="DD239" i="77"/>
  <c r="U245" i="69" s="1"/>
  <c r="DD53" i="77"/>
  <c r="U53" i="69" s="1"/>
  <c r="HP62" i="77"/>
  <c r="U62" i="73" s="1"/>
  <c r="AY377" i="77"/>
  <c r="V377" i="65" s="1"/>
  <c r="EI282" i="77"/>
  <c r="W282" i="70" s="1"/>
  <c r="Z198" i="72"/>
  <c r="Z191" i="74"/>
  <c r="EJ272" i="77"/>
  <c r="EM272" s="1"/>
  <c r="GP295"/>
  <c r="GS295" s="1"/>
  <c r="X189" i="68"/>
  <c r="GP240" i="77"/>
  <c r="Z186" i="72"/>
  <c r="Z371" i="68"/>
  <c r="DG250" i="77"/>
  <c r="DJ250" s="1"/>
  <c r="Z195" i="69"/>
  <c r="X115" i="73"/>
  <c r="HS274" i="77"/>
  <c r="HV274" s="1"/>
  <c r="IV275"/>
  <c r="EJ289"/>
  <c r="BA274"/>
  <c r="BD274" s="1"/>
  <c r="X163" i="65"/>
  <c r="CD282" i="77"/>
  <c r="CG282" s="1"/>
  <c r="FM365"/>
  <c r="BA385"/>
  <c r="BD385" s="1"/>
  <c r="AZ377"/>
  <c r="W377" i="65" s="1"/>
  <c r="GP250" i="77"/>
  <c r="GP243"/>
  <c r="Z191" i="71"/>
  <c r="X270"/>
  <c r="Z171"/>
  <c r="CC278" i="77"/>
  <c r="W166" i="65"/>
  <c r="HS290" i="77"/>
  <c r="HV290" s="1"/>
  <c r="FM230"/>
  <c r="HS296"/>
  <c r="DG89"/>
  <c r="Z211" i="69"/>
  <c r="BA270" i="77"/>
  <c r="BD270" s="1"/>
  <c r="BA209"/>
  <c r="DG229"/>
  <c r="Z119" i="73"/>
  <c r="IV365" i="77"/>
  <c r="IY365" s="1"/>
  <c r="IV209"/>
  <c r="IY209" s="1"/>
  <c r="BA230"/>
  <c r="Z178" i="65"/>
  <c r="DF98" i="77"/>
  <c r="EH270"/>
  <c r="EJ270" s="1"/>
  <c r="EH293"/>
  <c r="V293" i="70" s="1"/>
  <c r="V115"/>
  <c r="CD206" i="77"/>
  <c r="GP207"/>
  <c r="CD78"/>
  <c r="CG78" s="1"/>
  <c r="GP289"/>
  <c r="AA198" i="72"/>
  <c r="AY207" i="77"/>
  <c r="DF268"/>
  <c r="FM263"/>
  <c r="BA229"/>
  <c r="Z134" i="65"/>
  <c r="Z211"/>
  <c r="IT259" i="77"/>
  <c r="V241" i="65"/>
  <c r="W381" i="73"/>
  <c r="W109" i="69"/>
  <c r="BA294" i="77"/>
  <c r="BD294" s="1"/>
  <c r="GP383"/>
  <c r="GS383" s="1"/>
  <c r="X139" i="72"/>
  <c r="Z195"/>
  <c r="GP259" i="77"/>
  <c r="AY97"/>
  <c r="V97" i="65" s="1"/>
  <c r="W142"/>
  <c r="AA163" i="72"/>
  <c r="CD362" i="77"/>
  <c r="Z128" i="72"/>
  <c r="AA252" i="68"/>
  <c r="GP206" i="77"/>
  <c r="GS206" s="1"/>
  <c r="Z231" i="72"/>
  <c r="GP364" i="77"/>
  <c r="GS364" s="1"/>
  <c r="GP294"/>
  <c r="CD280"/>
  <c r="V381" i="70"/>
  <c r="X154" i="73"/>
  <c r="Z128"/>
  <c r="HQ262" i="77"/>
  <c r="V262" i="73" s="1"/>
  <c r="V109" i="69"/>
  <c r="IV263" i="77"/>
  <c r="EJ364"/>
  <c r="BA240"/>
  <c r="BD240" s="1"/>
  <c r="AY259"/>
  <c r="EH97"/>
  <c r="V97" i="70" s="1"/>
  <c r="EO64" i="77"/>
  <c r="AC64" i="70" s="1"/>
  <c r="EP64" i="77"/>
  <c r="AD64" i="70" s="1"/>
  <c r="EH377" i="77"/>
  <c r="V377" i="70" s="1"/>
  <c r="HS395" i="77"/>
  <c r="X287" i="68"/>
  <c r="CB254" i="77"/>
  <c r="HS270"/>
  <c r="DG383"/>
  <c r="X176" i="73"/>
  <c r="IV202" i="77"/>
  <c r="IY202" s="1"/>
  <c r="Z105" i="68"/>
  <c r="BA276" i="77"/>
  <c r="IV223"/>
  <c r="IY223" s="1"/>
  <c r="IV264"/>
  <c r="Z154" i="65"/>
  <c r="FM280" i="77"/>
  <c r="FM269"/>
  <c r="FM382"/>
  <c r="FO382" s="1"/>
  <c r="Z382" i="71" s="1"/>
  <c r="Z198"/>
  <c r="Z191" i="68"/>
  <c r="HS208" i="77"/>
  <c r="HV208" s="1"/>
  <c r="IV274"/>
  <c r="IV294"/>
  <c r="IY294" s="1"/>
  <c r="BA288"/>
  <c r="BA79"/>
  <c r="BA269"/>
  <c r="BD269" s="1"/>
  <c r="FM278"/>
  <c r="Z178" i="71"/>
  <c r="FM266" i="77"/>
  <c r="Z154" i="70"/>
  <c r="FM98" i="77"/>
  <c r="X144" i="71"/>
  <c r="FM285" i="77"/>
  <c r="FP285" s="1"/>
  <c r="GP266"/>
  <c r="GS266" s="1"/>
  <c r="GP372"/>
  <c r="GS372" s="1"/>
  <c r="Z241" i="72"/>
  <c r="Z191"/>
  <c r="AA141" i="68"/>
  <c r="Z128" i="65"/>
  <c r="FM206" i="77"/>
  <c r="FP206" s="1"/>
  <c r="Z128" i="74"/>
  <c r="AA139"/>
  <c r="EJ379" i="77"/>
  <c r="EM379" s="1"/>
  <c r="CD377"/>
  <c r="CG377" s="1"/>
  <c r="X166" i="72"/>
  <c r="GP393" i="77"/>
  <c r="GP362"/>
  <c r="Z132" i="71"/>
  <c r="Z130"/>
  <c r="Z160"/>
  <c r="FM207" i="77"/>
  <c r="FP207" s="1"/>
  <c r="FM268"/>
  <c r="X140" i="73"/>
  <c r="IV290" i="77"/>
  <c r="IY290" s="1"/>
  <c r="IV225"/>
  <c r="IY225" s="1"/>
  <c r="EJ296"/>
  <c r="EM296" s="1"/>
  <c r="BA273"/>
  <c r="Z231" i="69"/>
  <c r="DG362" i="77"/>
  <c r="DJ362" s="1"/>
  <c r="BA280"/>
  <c r="AZ289"/>
  <c r="W289" i="65" s="1"/>
  <c r="IV293" i="77"/>
  <c r="IY293" s="1"/>
  <c r="BA278"/>
  <c r="FM277"/>
  <c r="FM290"/>
  <c r="FP290" s="1"/>
  <c r="EI377"/>
  <c r="W377" i="70" s="1"/>
  <c r="Z113" i="72"/>
  <c r="FM294" i="77"/>
  <c r="FM383"/>
  <c r="X164" i="71"/>
  <c r="FM203" i="77"/>
  <c r="FM208"/>
  <c r="FP208" s="1"/>
  <c r="EH282"/>
  <c r="V282" i="70" s="1"/>
  <c r="V189"/>
  <c r="Z132" i="73"/>
  <c r="HS284" i="77"/>
  <c r="HV284" s="1"/>
  <c r="X141" i="70"/>
  <c r="AZ243" i="77"/>
  <c r="FM283"/>
  <c r="FP283" s="1"/>
  <c r="FM364"/>
  <c r="FP364" s="1"/>
  <c r="FM386"/>
  <c r="FP386" s="1"/>
  <c r="FM87"/>
  <c r="FP87" s="1"/>
  <c r="X166" i="71"/>
  <c r="BA384" i="77"/>
  <c r="BD384" s="1"/>
  <c r="Z160" i="72"/>
  <c r="AY289" i="77"/>
  <c r="V289" i="65" s="1"/>
  <c r="AY243" i="77"/>
  <c r="GP276"/>
  <c r="GP265"/>
  <c r="GS265" s="1"/>
  <c r="Z178" i="73"/>
  <c r="GP229" i="77"/>
  <c r="GS229" s="1"/>
  <c r="FM262"/>
  <c r="EI385"/>
  <c r="W394" i="70" s="1"/>
  <c r="W270"/>
  <c r="AA187" i="68"/>
  <c r="X102" i="69"/>
  <c r="DG287" i="77"/>
  <c r="Z176" i="72"/>
  <c r="X391"/>
  <c r="CD259" i="77"/>
  <c r="Z215" i="68"/>
  <c r="HS87" i="77"/>
  <c r="Z102" i="73"/>
  <c r="Z119" i="69"/>
  <c r="DG384" i="77"/>
  <c r="EJ278"/>
  <c r="EM278" s="1"/>
  <c r="FM223"/>
  <c r="FP223" s="1"/>
  <c r="CD296"/>
  <c r="Z184" i="74"/>
  <c r="Z201" i="71"/>
  <c r="IV385" i="77"/>
  <c r="BA225"/>
  <c r="GP365"/>
  <c r="Z219" i="72"/>
  <c r="X153" i="73"/>
  <c r="GP222" i="77"/>
  <c r="Z158" i="68"/>
  <c r="HS98" i="77"/>
  <c r="HS94"/>
  <c r="HS354"/>
  <c r="IV285"/>
  <c r="Z177" i="65"/>
  <c r="BA222" i="77"/>
  <c r="DG207"/>
  <c r="HS206"/>
  <c r="HV206" s="1"/>
  <c r="HS365"/>
  <c r="HV365" s="1"/>
  <c r="Z196" i="70"/>
  <c r="FM296" i="77"/>
  <c r="FP296" s="1"/>
  <c r="Z122" i="69"/>
  <c r="BA354" i="77"/>
  <c r="BA279"/>
  <c r="HS268"/>
  <c r="HV268" s="1"/>
  <c r="HS278"/>
  <c r="HV278" s="1"/>
  <c r="HS393"/>
  <c r="HV393" s="1"/>
  <c r="HS266"/>
  <c r="HV266" s="1"/>
  <c r="Z142" i="73"/>
  <c r="IV254" i="77"/>
  <c r="IY254" s="1"/>
  <c r="EJ98"/>
  <c r="EM98" s="1"/>
  <c r="EJ225"/>
  <c r="EM225" s="1"/>
  <c r="EJ283"/>
  <c r="Z189" i="72"/>
  <c r="GP209" i="77"/>
  <c r="X215" i="72"/>
  <c r="HS282" i="77"/>
  <c r="FM273"/>
  <c r="Z186" i="71"/>
  <c r="X141"/>
  <c r="HS275" i="77"/>
  <c r="HS78"/>
  <c r="HV78" s="1"/>
  <c r="IV79"/>
  <c r="IV277"/>
  <c r="DG285"/>
  <c r="DG276"/>
  <c r="DJ276" s="1"/>
  <c r="AA140" i="74"/>
  <c r="Z146" i="68"/>
  <c r="CD365" i="77"/>
  <c r="CG365" s="1"/>
  <c r="CD379"/>
  <c r="DG372"/>
  <c r="Z215" i="69"/>
  <c r="FM284" i="77"/>
  <c r="FP284" s="1"/>
  <c r="FM372"/>
  <c r="FP372" s="1"/>
  <c r="FM270"/>
  <c r="FP270" s="1"/>
  <c r="AA103" i="70"/>
  <c r="Z179" i="71"/>
  <c r="DG354" i="77"/>
  <c r="X165" i="69"/>
  <c r="GP202" i="77"/>
  <c r="CD277"/>
  <c r="Z173" i="69"/>
  <c r="GP94" i="77"/>
  <c r="IV394"/>
  <c r="X190" i="65"/>
  <c r="IV372" i="77"/>
  <c r="EJ265"/>
  <c r="Z177" i="69"/>
  <c r="FM376" i="77"/>
  <c r="FM78"/>
  <c r="EI97"/>
  <c r="GP282"/>
  <c r="GS282" s="1"/>
  <c r="GP354"/>
  <c r="GS354" s="1"/>
  <c r="Z221" i="68"/>
  <c r="CD98" i="77"/>
  <c r="X291" i="68"/>
  <c r="Z211" i="72"/>
  <c r="GP284" i="77"/>
  <c r="GS284" s="1"/>
  <c r="X155" i="68"/>
  <c r="Z109"/>
  <c r="Z132" i="72"/>
  <c r="CD267" i="77"/>
  <c r="CG267" s="1"/>
  <c r="DG288"/>
  <c r="DJ288" s="1"/>
  <c r="BA263"/>
  <c r="BD263" s="1"/>
  <c r="BA282"/>
  <c r="BD282" s="1"/>
  <c r="Z108" i="71"/>
  <c r="HS276" i="77"/>
  <c r="HV276" s="1"/>
  <c r="AA285" i="73"/>
  <c r="DG365" i="77"/>
  <c r="DJ365" s="1"/>
  <c r="EJ383"/>
  <c r="Z123" i="70"/>
  <c r="BA268" i="77"/>
  <c r="BA393"/>
  <c r="BD393" s="1"/>
  <c r="W140" i="71"/>
  <c r="Z198" i="73"/>
  <c r="HS287" i="77"/>
  <c r="HS89"/>
  <c r="HV89" s="1"/>
  <c r="HS252"/>
  <c r="HV252" s="1"/>
  <c r="DG79"/>
  <c r="EJ395"/>
  <c r="EJ277"/>
  <c r="V142" i="65"/>
  <c r="FM385" i="77"/>
  <c r="FP385" s="1"/>
  <c r="AA115" i="69"/>
  <c r="Z155"/>
  <c r="CD203" i="77"/>
  <c r="CG203" s="1"/>
  <c r="AA290" i="68"/>
  <c r="GP274" i="77"/>
  <c r="GS274" s="1"/>
  <c r="GP292"/>
  <c r="GS292" s="1"/>
  <c r="HS243"/>
  <c r="DG393"/>
  <c r="DJ393" s="1"/>
  <c r="EJ279"/>
  <c r="EM279" s="1"/>
  <c r="Z116" i="70"/>
  <c r="IV89" i="77"/>
  <c r="Z196" i="65"/>
  <c r="FM259" i="77"/>
  <c r="AA164" i="69"/>
  <c r="GP267" i="77"/>
  <c r="GS267" s="1"/>
  <c r="GP283"/>
  <c r="GP275"/>
  <c r="GS275" s="1"/>
  <c r="DE265"/>
  <c r="EJ269"/>
  <c r="EM269" s="1"/>
  <c r="BA287"/>
  <c r="FM362"/>
  <c r="Z215" i="71"/>
  <c r="IV295" i="77"/>
  <c r="Z171" i="65"/>
  <c r="FM394" i="77"/>
  <c r="FP394" s="1"/>
  <c r="FM384"/>
  <c r="FP384" s="1"/>
  <c r="HS223"/>
  <c r="HV223" s="1"/>
  <c r="HS272"/>
  <c r="Z178" i="68"/>
  <c r="EJ394" i="77"/>
  <c r="EM394" s="1"/>
  <c r="Z196" i="69"/>
  <c r="FM287" i="77"/>
  <c r="X154" i="71"/>
  <c r="Z132" i="65"/>
  <c r="BA264" i="77"/>
  <c r="X163" i="71"/>
  <c r="FM222" i="77"/>
  <c r="FP222" s="1"/>
  <c r="Z221" i="71"/>
  <c r="IV270" i="77"/>
  <c r="IV280"/>
  <c r="IY280" s="1"/>
  <c r="EJ288"/>
  <c r="EM288" s="1"/>
  <c r="AZ78"/>
  <c r="Z123" i="71"/>
  <c r="IV250" i="77"/>
  <c r="IY250" s="1"/>
  <c r="AZ259"/>
  <c r="FL267"/>
  <c r="W267" i="71" s="1"/>
  <c r="FM279" i="77"/>
  <c r="FP279" s="1"/>
  <c r="Z192" i="71"/>
  <c r="X287" i="69"/>
  <c r="GP252" i="77"/>
  <c r="GS252" s="1"/>
  <c r="GP285"/>
  <c r="GS285" s="1"/>
  <c r="Z103" i="72"/>
  <c r="GP89" i="77"/>
  <c r="Z171" i="72"/>
  <c r="X149"/>
  <c r="CD385" i="77"/>
  <c r="CG385" s="1"/>
  <c r="HS265"/>
  <c r="HV265" s="1"/>
  <c r="DG230"/>
  <c r="EJ276"/>
  <c r="EM276" s="1"/>
  <c r="FM79"/>
  <c r="FM250"/>
  <c r="HR262"/>
  <c r="Z185" i="74"/>
  <c r="EJ259" i="77"/>
  <c r="EM259" s="1"/>
  <c r="BA94"/>
  <c r="DG243"/>
  <c r="BA365"/>
  <c r="Z171" i="68"/>
  <c r="CD279" i="77"/>
  <c r="HS230"/>
  <c r="Z146" i="73"/>
  <c r="IV273" i="77"/>
  <c r="EJ354"/>
  <c r="EM354" s="1"/>
  <c r="EJ382"/>
  <c r="EM382" s="1"/>
  <c r="GP79"/>
  <c r="GP263"/>
  <c r="GS263" s="1"/>
  <c r="AA142" i="70"/>
  <c r="Z158" i="71"/>
  <c r="Z153" i="69"/>
  <c r="IV283" i="77"/>
  <c r="Z231" i="71"/>
  <c r="EI372" i="77"/>
  <c r="Z144" i="70"/>
  <c r="Z159"/>
  <c r="AA154" i="73"/>
  <c r="AA294" i="72"/>
  <c r="X444" i="74"/>
  <c r="X61"/>
  <c r="X421"/>
  <c r="AA235" i="65"/>
  <c r="X31" i="74"/>
  <c r="X31" i="73"/>
  <c r="X444" i="72"/>
  <c r="X31" i="71"/>
  <c r="X218" i="73"/>
  <c r="AA226"/>
  <c r="X62" i="70"/>
  <c r="AA62"/>
  <c r="X442" i="72"/>
  <c r="AA442"/>
  <c r="X442" i="71"/>
  <c r="X201" i="74"/>
  <c r="AA181"/>
  <c r="AA182"/>
  <c r="X430"/>
  <c r="AA430"/>
  <c r="X434" i="72"/>
  <c r="AA227" i="74"/>
  <c r="AA148" i="72"/>
  <c r="BC232" i="77"/>
  <c r="Z232" i="65" s="1"/>
  <c r="AA232"/>
  <c r="BC430" i="77"/>
  <c r="Z430" i="65" s="1"/>
  <c r="Z441" i="68"/>
  <c r="AA441"/>
  <c r="AA275"/>
  <c r="CF275" i="77"/>
  <c r="AA190" i="74"/>
  <c r="Z190"/>
  <c r="AA211"/>
  <c r="Z211"/>
  <c r="Z186" i="65"/>
  <c r="Z211" i="73"/>
  <c r="DI364" i="77"/>
  <c r="Z364" i="69" s="1"/>
  <c r="Z221" i="74"/>
  <c r="AC239" i="77"/>
  <c r="AC239" i="39" s="1"/>
  <c r="AD239" i="77"/>
  <c r="Z177" i="73"/>
  <c r="Z185"/>
  <c r="AA280"/>
  <c r="AA293" i="72"/>
  <c r="GR293" i="77"/>
  <c r="Z120" i="70"/>
  <c r="AC378" i="77"/>
  <c r="AD378"/>
  <c r="EJ254"/>
  <c r="EM254" s="1"/>
  <c r="EJ243"/>
  <c r="EM243" s="1"/>
  <c r="GP296"/>
  <c r="GP394"/>
  <c r="GS394" s="1"/>
  <c r="X165" i="68"/>
  <c r="GP290" i="77"/>
  <c r="GS290" s="1"/>
  <c r="CB89"/>
  <c r="V89" i="68" s="1"/>
  <c r="CD230" i="77"/>
  <c r="CG230" s="1"/>
  <c r="CC287"/>
  <c r="HS383"/>
  <c r="HV383" s="1"/>
  <c r="DG270"/>
  <c r="DJ270" s="1"/>
  <c r="X285" i="69"/>
  <c r="EJ362" i="77"/>
  <c r="EM362" s="1"/>
  <c r="DF87"/>
  <c r="W87" i="69" s="1"/>
  <c r="FM272" i="77"/>
  <c r="FP272" s="1"/>
  <c r="X163" i="73"/>
  <c r="EI287" i="77"/>
  <c r="GP203"/>
  <c r="GS203" s="1"/>
  <c r="CD243"/>
  <c r="CG243" s="1"/>
  <c r="V285" i="68"/>
  <c r="CB79" i="77"/>
  <c r="X164" i="73"/>
  <c r="DF264" i="77"/>
  <c r="W264" i="69" s="1"/>
  <c r="V163" i="70"/>
  <c r="V196" i="71"/>
  <c r="W391"/>
  <c r="HQ283" i="77"/>
  <c r="EG290"/>
  <c r="EH262"/>
  <c r="V262" i="70" s="1"/>
  <c r="EH230" i="77"/>
  <c r="W141" i="65"/>
  <c r="HR364" i="77"/>
  <c r="EH376"/>
  <c r="EI94"/>
  <c r="W94" i="70" s="1"/>
  <c r="W291" i="65"/>
  <c r="V165"/>
  <c r="V189"/>
  <c r="FL293" i="77"/>
  <c r="W293" i="71" s="1"/>
  <c r="CB292" i="77"/>
  <c r="V292" i="68" s="1"/>
  <c r="GN278" i="77"/>
  <c r="V196" i="68"/>
  <c r="CC264" i="77"/>
  <c r="W264" i="68" s="1"/>
  <c r="X252" i="69"/>
  <c r="W287" i="70"/>
  <c r="CC222" i="77"/>
  <c r="IT289"/>
  <c r="V289" i="74" s="1"/>
  <c r="EI250" i="77"/>
  <c r="AY395"/>
  <c r="AZ252"/>
  <c r="DE259"/>
  <c r="FM274"/>
  <c r="FP274" s="1"/>
  <c r="W190" i="73"/>
  <c r="X109" i="71"/>
  <c r="AY206" i="77"/>
  <c r="Z173" i="71"/>
  <c r="FK282" i="77"/>
  <c r="V282" i="71" s="1"/>
  <c r="FK275" i="77"/>
  <c r="V275" i="71" s="1"/>
  <c r="X243" i="69"/>
  <c r="V167" i="70"/>
  <c r="V287" i="71"/>
  <c r="FK276" i="77"/>
  <c r="DF222"/>
  <c r="AZ290"/>
  <c r="X62" i="74"/>
  <c r="AA228"/>
  <c r="X407" i="73"/>
  <c r="X19" i="71"/>
  <c r="X444" i="73"/>
  <c r="X423" i="74"/>
  <c r="AA228" i="72"/>
  <c r="AA233" i="65"/>
  <c r="X220" i="73"/>
  <c r="AA228"/>
  <c r="AA236" i="74"/>
  <c r="X241"/>
  <c r="AA235"/>
  <c r="X442" i="73"/>
  <c r="AA378" i="74"/>
  <c r="Z461" i="72"/>
  <c r="AA135" i="74"/>
  <c r="Z135"/>
  <c r="FO89" i="77"/>
  <c r="Z89" i="71" s="1"/>
  <c r="Z195"/>
  <c r="Z134" i="74"/>
  <c r="EL295" i="77"/>
  <c r="AA372" i="65"/>
  <c r="HY225" i="77"/>
  <c r="HX225"/>
  <c r="AA87" i="68"/>
  <c r="IX222" i="77"/>
  <c r="Z222" i="74" s="1"/>
  <c r="AA87"/>
  <c r="AD15" i="65"/>
  <c r="AC15"/>
  <c r="HY259" i="77"/>
  <c r="HX259"/>
  <c r="AC415" i="39"/>
  <c r="AD415"/>
  <c r="GU400" i="77"/>
  <c r="AC400" i="72" s="1"/>
  <c r="GV400" i="77"/>
  <c r="AD400" i="72" s="1"/>
  <c r="CB287" i="77"/>
  <c r="DE87"/>
  <c r="W164" i="70"/>
  <c r="W153" i="65"/>
  <c r="EH287" i="77"/>
  <c r="CC79"/>
  <c r="DE264"/>
  <c r="HQ364"/>
  <c r="W198" i="70"/>
  <c r="U291" i="65"/>
  <c r="V115"/>
  <c r="FL202" i="77"/>
  <c r="W202" i="71" s="1"/>
  <c r="CC293" i="77"/>
  <c r="W293" i="68" s="1"/>
  <c r="CB264" i="77"/>
  <c r="V264" i="68" s="1"/>
  <c r="CB286" i="77"/>
  <c r="CC208"/>
  <c r="W103" i="73"/>
  <c r="V287" i="70"/>
  <c r="CB222" i="77"/>
  <c r="IU289"/>
  <c r="W289" i="74" s="1"/>
  <c r="EH250" i="77"/>
  <c r="AY252"/>
  <c r="DF259"/>
  <c r="EH223"/>
  <c r="EI206"/>
  <c r="W165" i="70"/>
  <c r="V153"/>
  <c r="V190" i="73"/>
  <c r="Z122" i="71"/>
  <c r="FL275" i="77"/>
  <c r="W275" i="71" s="1"/>
  <c r="W103" i="65"/>
  <c r="W287" i="71"/>
  <c r="DF267" i="77"/>
  <c r="W267" i="69" s="1"/>
  <c r="DF269" i="77"/>
  <c r="DE222"/>
  <c r="AX290"/>
  <c r="X214" i="74"/>
  <c r="X430" i="71"/>
  <c r="X61" i="70"/>
  <c r="X444" i="71"/>
  <c r="AA228"/>
  <c r="X444" i="68"/>
  <c r="AA444"/>
  <c r="AA228"/>
  <c r="AA358"/>
  <c r="HU405" i="77"/>
  <c r="Z405" i="73" s="1"/>
  <c r="EL220" i="77"/>
  <c r="Z220" i="70" s="1"/>
  <c r="EP220" i="77"/>
  <c r="X429" i="73"/>
  <c r="AA429"/>
  <c r="X443" i="74"/>
  <c r="AA443"/>
  <c r="FR429" i="77"/>
  <c r="AC429" i="71" s="1"/>
  <c r="Z441" i="74"/>
  <c r="AA449"/>
  <c r="HU422" i="77"/>
  <c r="Z422" i="73" s="1"/>
  <c r="IX455" i="77"/>
  <c r="Z455" i="74" s="1"/>
  <c r="AA455"/>
  <c r="EL57" i="77"/>
  <c r="Z57" i="70" s="1"/>
  <c r="EP57" i="77"/>
  <c r="AD57" i="70" s="1"/>
  <c r="X388" i="69"/>
  <c r="X219" i="73"/>
  <c r="AA227"/>
  <c r="FO30" i="77"/>
  <c r="Z30" i="71" s="1"/>
  <c r="Z179" i="72"/>
  <c r="AA382"/>
  <c r="Z133" i="73"/>
  <c r="AA167" i="69"/>
  <c r="AA267" i="73"/>
  <c r="DI290" i="77"/>
  <c r="AA287" i="74"/>
  <c r="Z194"/>
  <c r="AA87" i="70"/>
  <c r="EL87" i="77"/>
  <c r="Z87" i="70" s="1"/>
  <c r="AD71" i="72"/>
  <c r="AC71"/>
  <c r="Z117" i="68"/>
  <c r="Z198" i="69"/>
  <c r="EL202" i="77"/>
  <c r="Z202" i="70" s="1"/>
  <c r="Z391"/>
  <c r="Z201" i="72"/>
  <c r="AA167" i="65"/>
  <c r="Z167"/>
  <c r="AA275"/>
  <c r="Z184" i="71"/>
  <c r="AA187" i="74"/>
  <c r="DM289" i="77"/>
  <c r="AD289" i="69" s="1"/>
  <c r="AD434" i="77"/>
  <c r="AD434" i="39" s="1"/>
  <c r="AC434" i="77"/>
  <c r="AC434" i="39" s="1"/>
  <c r="CD266" i="77"/>
  <c r="CG266" s="1"/>
  <c r="DG295"/>
  <c r="DJ295" s="1"/>
  <c r="W241" i="65"/>
  <c r="V140" i="71"/>
  <c r="CC254" i="77"/>
  <c r="HS277"/>
  <c r="HV277" s="1"/>
  <c r="X290" i="65"/>
  <c r="HS362" i="77"/>
  <c r="W196" i="71"/>
  <c r="V391"/>
  <c r="EI384" i="77"/>
  <c r="X155" i="70"/>
  <c r="V135"/>
  <c r="EI230" i="77"/>
  <c r="V191" i="65"/>
  <c r="X391" i="68"/>
  <c r="V216" i="70"/>
  <c r="W166"/>
  <c r="EH94" i="77"/>
  <c r="V94" i="70" s="1"/>
  <c r="V198"/>
  <c r="FK202" i="77"/>
  <c r="V202" i="71" s="1"/>
  <c r="FK293" i="77"/>
  <c r="GO278"/>
  <c r="CB293"/>
  <c r="V293" i="68" s="1"/>
  <c r="CC229" i="77"/>
  <c r="W176" i="68"/>
  <c r="CB208" i="77"/>
  <c r="HS207"/>
  <c r="HV207" s="1"/>
  <c r="V103" i="73"/>
  <c r="X391" i="69"/>
  <c r="HS250" i="77"/>
  <c r="HV250" s="1"/>
  <c r="X139" i="69"/>
  <c r="IV266" i="77"/>
  <c r="IY266" s="1"/>
  <c r="W190" i="70"/>
  <c r="V165"/>
  <c r="X176" i="69"/>
  <c r="X155" i="71"/>
  <c r="X391" i="74"/>
  <c r="W190" i="69"/>
  <c r="DG283" i="77"/>
  <c r="DJ283" s="1"/>
  <c r="DE267"/>
  <c r="V267" i="69" s="1"/>
  <c r="DE269" i="77"/>
  <c r="DF379"/>
  <c r="W379" i="69" s="1"/>
  <c r="X40" i="65"/>
  <c r="AA40"/>
  <c r="X31"/>
  <c r="AA31"/>
  <c r="X443" i="70"/>
  <c r="X241"/>
  <c r="AA235"/>
  <c r="X442" i="74"/>
  <c r="X241" i="71"/>
  <c r="AA235"/>
  <c r="X12" i="72"/>
  <c r="AA12"/>
  <c r="X31"/>
  <c r="AC31"/>
  <c r="X443" i="71"/>
  <c r="X426"/>
  <c r="AA426"/>
  <c r="X13" i="68"/>
  <c r="AC13"/>
  <c r="AA226" i="71"/>
  <c r="X210" i="74"/>
  <c r="Z199"/>
  <c r="X422"/>
  <c r="AA422"/>
  <c r="AA358"/>
  <c r="AA137" i="72"/>
  <c r="Z461" i="68"/>
  <c r="AA151" i="72"/>
  <c r="X63"/>
  <c r="AA63"/>
  <c r="GR254" i="77"/>
  <c r="Z254" i="72" s="1"/>
  <c r="AA154"/>
  <c r="AA102"/>
  <c r="Z102"/>
  <c r="AA293" i="73"/>
  <c r="AA141" i="74"/>
  <c r="FO395" i="77"/>
  <c r="Z395" i="71" s="1"/>
  <c r="AA154" i="74"/>
  <c r="Z100"/>
  <c r="AA115" i="71"/>
  <c r="AA394" i="73"/>
  <c r="HU385" i="77"/>
  <c r="Z385" i="73" s="1"/>
  <c r="Z196" i="74"/>
  <c r="AA78"/>
  <c r="IX78" i="77"/>
  <c r="Z78" i="74" s="1"/>
  <c r="Z143"/>
  <c r="AA264" i="71"/>
  <c r="Z184" i="73"/>
  <c r="Z219"/>
  <c r="AA296"/>
  <c r="AA154" i="70"/>
  <c r="AA288" i="72"/>
  <c r="AA293" i="74"/>
  <c r="AA365" i="71"/>
  <c r="Z139"/>
  <c r="AA102"/>
  <c r="Z102"/>
  <c r="AA280"/>
  <c r="AC431" i="74"/>
  <c r="AD431"/>
  <c r="AA263" i="71"/>
  <c r="AD443" i="77"/>
  <c r="AD443" i="39" s="1"/>
  <c r="AC443" i="77"/>
  <c r="AC443" i="39" s="1"/>
  <c r="BA208" i="77"/>
  <c r="BD208" s="1"/>
  <c r="CC89"/>
  <c r="W89" i="68" s="1"/>
  <c r="DG284" i="77"/>
  <c r="DJ284" s="1"/>
  <c r="V153" i="65"/>
  <c r="FM254" i="77"/>
  <c r="FP254" s="1"/>
  <c r="W163" i="70"/>
  <c r="HR283" i="77"/>
  <c r="EH384"/>
  <c r="EI290"/>
  <c r="EI262"/>
  <c r="W262" i="70" s="1"/>
  <c r="W135"/>
  <c r="EI376" i="77"/>
  <c r="V166" i="70"/>
  <c r="W115" i="65"/>
  <c r="W165"/>
  <c r="W189"/>
  <c r="HS240" i="77"/>
  <c r="HV240" s="1"/>
  <c r="X291" i="69"/>
  <c r="CC292" i="77"/>
  <c r="W292" i="68" s="1"/>
  <c r="CB229" i="77"/>
  <c r="CC286"/>
  <c r="CD276"/>
  <c r="CG276" s="1"/>
  <c r="X102" i="70"/>
  <c r="AZ395" i="77"/>
  <c r="EI223"/>
  <c r="EH206"/>
  <c r="W153" i="70"/>
  <c r="IV262" i="77"/>
  <c r="FM225"/>
  <c r="FP225" s="1"/>
  <c r="AZ206"/>
  <c r="FL282"/>
  <c r="W282" i="71" s="1"/>
  <c r="V190" i="69"/>
  <c r="W167" i="70"/>
  <c r="V103" i="65"/>
  <c r="FL276" i="77"/>
  <c r="DE379"/>
  <c r="V379" i="69" s="1"/>
  <c r="EO46" i="77"/>
  <c r="AC46" i="70" s="1"/>
  <c r="AA442" i="73"/>
  <c r="W210" i="65"/>
  <c r="V210"/>
  <c r="AX359" i="77"/>
  <c r="CA407"/>
  <c r="U407" i="68" s="1"/>
  <c r="AC15" i="72"/>
  <c r="AD15"/>
  <c r="GP377" i="77"/>
  <c r="GS377" s="1"/>
  <c r="AD291" i="71"/>
  <c r="AC291"/>
  <c r="Z144" i="72"/>
  <c r="CB80" i="77"/>
  <c r="HQ377"/>
  <c r="V377" i="73" s="1"/>
  <c r="FO377" i="77"/>
  <c r="Z377" i="71" s="1"/>
  <c r="DE80" i="77"/>
  <c r="W104" i="71"/>
  <c r="DF363" i="77"/>
  <c r="W363" i="69" s="1"/>
  <c r="U210" i="73"/>
  <c r="FM363" i="77"/>
  <c r="FP363" s="1"/>
  <c r="AZ97"/>
  <c r="W97" i="65" s="1"/>
  <c r="W381" i="70"/>
  <c r="AA214" i="73"/>
  <c r="V104" i="71"/>
  <c r="V104" i="69"/>
  <c r="DE363" i="77"/>
  <c r="V363" i="69" s="1"/>
  <c r="AA426" i="39"/>
  <c r="AD426" i="77"/>
  <c r="AD426" i="39" s="1"/>
  <c r="AC426" i="77"/>
  <c r="AC426" i="39" s="1"/>
  <c r="CC363" i="77"/>
  <c r="AZ363"/>
  <c r="W104" i="69"/>
  <c r="Z210" i="71"/>
  <c r="CC80" i="77"/>
  <c r="HR377"/>
  <c r="W377" i="73" s="1"/>
  <c r="CB363" i="77"/>
  <c r="DF80"/>
  <c r="AY363"/>
  <c r="AA253" i="39"/>
  <c r="AD253"/>
  <c r="AC253"/>
  <c r="AC432" i="77"/>
  <c r="AD432"/>
  <c r="Z381" i="72"/>
  <c r="AC257" i="77"/>
  <c r="AC257" i="39" s="1"/>
  <c r="EG378" i="77"/>
  <c r="CA29"/>
  <c r="U29" i="68" s="1"/>
  <c r="DD46" i="77"/>
  <c r="U46" i="69" s="1"/>
  <c r="EG90" i="77"/>
  <c r="U92" i="70" s="1"/>
  <c r="DD247" i="77"/>
  <c r="U419" i="69"/>
  <c r="GV205" i="77"/>
  <c r="GU205"/>
  <c r="AC210" i="72" s="1"/>
  <c r="CF237" i="77"/>
  <c r="Z237" i="68" s="1"/>
  <c r="AD441" i="73"/>
  <c r="AD257" i="77"/>
  <c r="AD257" i="39" s="1"/>
  <c r="IS37" i="77"/>
  <c r="U37" i="74" s="1"/>
  <c r="EG430" i="77"/>
  <c r="U430" i="70" s="1"/>
  <c r="CA232" i="77"/>
  <c r="FJ245"/>
  <c r="U193" i="68"/>
  <c r="FL224" i="77"/>
  <c r="FM224" s="1"/>
  <c r="FP224" s="1"/>
  <c r="U18" i="73"/>
  <c r="DD205" i="77"/>
  <c r="U210" i="69" s="1"/>
  <c r="DD48" i="77"/>
  <c r="U48" i="69" s="1"/>
  <c r="EG429" i="77"/>
  <c r="U429" i="70" s="1"/>
  <c r="CI237" i="77"/>
  <c r="CJ237"/>
  <c r="GR363"/>
  <c r="Z363" i="72" s="1"/>
  <c r="AA57" i="39"/>
  <c r="AD57" i="77"/>
  <c r="AD57" i="39" s="1"/>
  <c r="AC57" i="77"/>
  <c r="AC57" i="39" s="1"/>
  <c r="EO54" i="77"/>
  <c r="AC54" i="70" s="1"/>
  <c r="EP54" i="77"/>
  <c r="AD54" i="70" s="1"/>
  <c r="AC71"/>
  <c r="AD71"/>
  <c r="EG402" i="77"/>
  <c r="U402" i="70" s="1"/>
  <c r="DD95" i="77"/>
  <c r="Z148" i="72"/>
  <c r="GU80" i="77"/>
  <c r="CF204"/>
  <c r="Z204" i="68" s="1"/>
  <c r="BC358" i="77"/>
  <c r="Z358" i="65" s="1"/>
  <c r="BG358" i="77"/>
  <c r="AD358" i="65" s="1"/>
  <c r="DL72" i="77"/>
  <c r="AC72" i="69" s="1"/>
  <c r="DM72" i="77"/>
  <c r="AD72" i="69" s="1"/>
  <c r="CI204" i="77"/>
  <c r="CJ204"/>
  <c r="AC441" i="73"/>
  <c r="AD93" i="39"/>
  <c r="GR442" i="77"/>
  <c r="Z442" i="72" s="1"/>
  <c r="DD45" i="77"/>
  <c r="U45" i="69" s="1"/>
  <c r="DD32" i="77"/>
  <c r="U32" i="69" s="1"/>
  <c r="AC93" i="39"/>
  <c r="AC67" i="77"/>
  <c r="AC67" i="39" s="1"/>
  <c r="EG448" i="77"/>
  <c r="U448" i="70" s="1"/>
  <c r="EG369" i="77"/>
  <c r="EG244"/>
  <c r="U247" i="70" s="1"/>
  <c r="HP238" i="77"/>
  <c r="DD430"/>
  <c r="U430" i="69" s="1"/>
  <c r="DD408" i="77"/>
  <c r="U408" i="69" s="1"/>
  <c r="Z137" i="72"/>
  <c r="AC51" i="70"/>
  <c r="U93"/>
  <c r="AC150" i="71"/>
  <c r="AD67" i="77"/>
  <c r="AD67" i="39" s="1"/>
  <c r="AX228" i="77"/>
  <c r="EG83"/>
  <c r="U365" i="68"/>
  <c r="DD369" i="77"/>
  <c r="AX443"/>
  <c r="U443" i="65" s="1"/>
  <c r="DD44" i="77"/>
  <c r="U44" i="69" s="1"/>
  <c r="HP24" i="77"/>
  <c r="U24" i="73" s="1"/>
  <c r="DD423" i="77"/>
  <c r="U423" i="69" s="1"/>
  <c r="FO426" i="77"/>
  <c r="Z426" i="71" s="1"/>
  <c r="AX244" i="77"/>
  <c r="U247" i="65" s="1"/>
  <c r="DD420" i="77"/>
  <c r="U420" i="69" s="1"/>
  <c r="U413"/>
  <c r="U128"/>
  <c r="DF220" i="77"/>
  <c r="U153" i="68"/>
  <c r="Z218" i="72"/>
  <c r="AX26" i="77"/>
  <c r="U26" i="65" s="1"/>
  <c r="EG374" i="77"/>
  <c r="U374" i="70" s="1"/>
  <c r="CA60" i="77"/>
  <c r="U60" i="68" s="1"/>
  <c r="EG29" i="77"/>
  <c r="U29" i="70" s="1"/>
  <c r="EG32" i="77"/>
  <c r="U32" i="70" s="1"/>
  <c r="DD85" i="77"/>
  <c r="CB432"/>
  <c r="AD14" i="68"/>
  <c r="AC14"/>
  <c r="IX422" i="77"/>
  <c r="Z422" i="74" s="1"/>
  <c r="AA120" i="39"/>
  <c r="CJ66" i="77"/>
  <c r="AD66" i="68" s="1"/>
  <c r="CI66" i="77"/>
  <c r="AC66" i="68" s="1"/>
  <c r="CA26" i="77"/>
  <c r="U26" i="68" s="1"/>
  <c r="EP46" i="77"/>
  <c r="AD46" i="70" s="1"/>
  <c r="EI388" i="77"/>
  <c r="AX434"/>
  <c r="U434" i="65" s="1"/>
  <c r="AX86" i="77"/>
  <c r="AX402"/>
  <c r="U402" i="65" s="1"/>
  <c r="U71" i="69"/>
  <c r="Z13" i="68"/>
  <c r="AD18" i="39"/>
  <c r="DM57" i="77"/>
  <c r="AD57" i="69" s="1"/>
  <c r="CA247" i="77"/>
  <c r="U250" i="68" s="1"/>
  <c r="CA429" i="77"/>
  <c r="U429" i="68" s="1"/>
  <c r="U123" i="69"/>
  <c r="EG370" i="77"/>
  <c r="EG28"/>
  <c r="U28" i="70" s="1"/>
  <c r="U147" i="71"/>
  <c r="U124"/>
  <c r="DD426" i="77"/>
  <c r="U426" i="69" s="1"/>
  <c r="DD429" i="77"/>
  <c r="U429" i="69" s="1"/>
  <c r="CB55" i="77"/>
  <c r="V55" i="68" s="1"/>
  <c r="AX448" i="77"/>
  <c r="U448" i="65" s="1"/>
  <c r="AA210" i="74"/>
  <c r="IX437" i="77"/>
  <c r="Z437" i="74" s="1"/>
  <c r="U78" i="69"/>
  <c r="DD246" i="77"/>
  <c r="U249" i="69" s="1"/>
  <c r="U93" i="68"/>
  <c r="CA92" i="77"/>
  <c r="U94" i="68" s="1"/>
  <c r="DD427" i="77"/>
  <c r="U427" i="69" s="1"/>
  <c r="AX374" i="77"/>
  <c r="U374" i="65" s="1"/>
  <c r="AX36" i="77"/>
  <c r="U36" i="65" s="1"/>
  <c r="U125" i="71"/>
  <c r="U13" i="72"/>
  <c r="AA442" i="71"/>
  <c r="DD228" i="77"/>
  <c r="DD238"/>
  <c r="GM36"/>
  <c r="U36" i="72" s="1"/>
  <c r="DD234" i="77"/>
  <c r="EG30"/>
  <c r="U30" i="70" s="1"/>
  <c r="Z181" i="74"/>
  <c r="HP256" i="77"/>
  <c r="U256" i="73" s="1"/>
  <c r="DD402" i="77"/>
  <c r="U402" i="69" s="1"/>
  <c r="Z31" i="72"/>
  <c r="FJ82" i="77"/>
  <c r="U80" i="71" s="1"/>
  <c r="CA409" i="77"/>
  <c r="U409" i="68" s="1"/>
  <c r="GM244" i="77"/>
  <c r="U247" i="72" s="1"/>
  <c r="AD401" i="39"/>
  <c r="FR80" i="77"/>
  <c r="AX62"/>
  <c r="U62" i="65" s="1"/>
  <c r="EG70" i="77"/>
  <c r="U70" i="70" s="1"/>
  <c r="AZ389" i="77"/>
  <c r="U441" i="69"/>
  <c r="AX435" i="77"/>
  <c r="U435" i="65" s="1"/>
  <c r="AA368" i="39"/>
  <c r="AD368" i="77"/>
  <c r="AD368" i="39" s="1"/>
  <c r="AC97" i="77"/>
  <c r="AC97" i="39" s="1"/>
  <c r="AA248"/>
  <c r="AD245" i="77"/>
  <c r="AC245"/>
  <c r="FR45"/>
  <c r="AC45" i="71" s="1"/>
  <c r="FS45" i="77"/>
  <c r="AD45" i="71" s="1"/>
  <c r="AA146" i="39"/>
  <c r="AC146"/>
  <c r="AD146"/>
  <c r="AA47"/>
  <c r="AD47" i="77"/>
  <c r="AD47" i="39" s="1"/>
  <c r="AC47" i="77"/>
  <c r="AC47" i="39" s="1"/>
  <c r="CA205" i="77"/>
  <c r="U210" i="68" s="1"/>
  <c r="DD355" i="77"/>
  <c r="U355" i="69" s="1"/>
  <c r="AX373" i="77"/>
  <c r="U373" i="65" s="1"/>
  <c r="AX462" i="77"/>
  <c r="U462" i="65" s="1"/>
  <c r="EG357" i="77"/>
  <c r="U357" i="70" s="1"/>
  <c r="DD367" i="77"/>
  <c r="U214" i="69"/>
  <c r="DD232" i="77"/>
  <c r="GR220"/>
  <c r="Z220" i="72" s="1"/>
  <c r="EJ93" i="77"/>
  <c r="CD69"/>
  <c r="DD34"/>
  <c r="U34" i="69" s="1"/>
  <c r="EG436" i="77"/>
  <c r="U436" i="70" s="1"/>
  <c r="CA40" i="77"/>
  <c r="U40" i="68" s="1"/>
  <c r="EG422" i="77"/>
  <c r="U422" i="70" s="1"/>
  <c r="AX249" i="77"/>
  <c r="U252" i="65" s="1"/>
  <c r="DD257" i="77"/>
  <c r="U257" i="69" s="1"/>
  <c r="DD404" i="77"/>
  <c r="U404" i="69" s="1"/>
  <c r="EG88" i="77"/>
  <c r="Z251" i="74"/>
  <c r="FJ92" i="77"/>
  <c r="U94" i="71" s="1"/>
  <c r="U15" i="73"/>
  <c r="HP63" i="77"/>
  <c r="U63" i="73" s="1"/>
  <c r="U365" i="69"/>
  <c r="EI237" i="77"/>
  <c r="AY389"/>
  <c r="U146" i="68"/>
  <c r="U416" i="69"/>
  <c r="EG63" i="77"/>
  <c r="U63" i="70" s="1"/>
  <c r="AX255" i="77"/>
  <c r="U255" i="65" s="1"/>
  <c r="Z251" i="70"/>
  <c r="CA435" i="77"/>
  <c r="U435" i="68" s="1"/>
  <c r="DD357" i="77"/>
  <c r="U357" i="69" s="1"/>
  <c r="DD374" i="77"/>
  <c r="U374" i="69" s="1"/>
  <c r="EG368" i="77"/>
  <c r="U368" i="70" s="1"/>
  <c r="CA242" i="77"/>
  <c r="U246" i="68" s="1"/>
  <c r="DD235" i="77"/>
  <c r="DD90"/>
  <c r="U92" i="69" s="1"/>
  <c r="FO226" i="77"/>
  <c r="Z226" i="71" s="1"/>
  <c r="DE220" i="77"/>
  <c r="CA434"/>
  <c r="U434" i="68" s="1"/>
  <c r="DD84" i="77"/>
  <c r="HP70"/>
  <c r="U70" i="73" s="1"/>
  <c r="DD439" i="77"/>
  <c r="U439" i="69" s="1"/>
  <c r="U14" i="73"/>
  <c r="U51" i="69"/>
  <c r="U19" i="70"/>
  <c r="U123" i="68"/>
  <c r="CA238" i="77"/>
  <c r="FM357"/>
  <c r="FP357" s="1"/>
  <c r="EG255"/>
  <c r="U255" i="70" s="1"/>
  <c r="EG442" i="77"/>
  <c r="U442" i="70" s="1"/>
  <c r="CA428" i="77"/>
  <c r="U428" i="68" s="1"/>
  <c r="AX57" i="77"/>
  <c r="U57" i="65" s="1"/>
  <c r="FJ93" i="77"/>
  <c r="U415" i="69"/>
  <c r="U421"/>
  <c r="EP45" i="77"/>
  <c r="AD45" i="70" s="1"/>
  <c r="EO45" i="77"/>
  <c r="AC45" i="70" s="1"/>
  <c r="FR97" i="77"/>
  <c r="AD104" i="39"/>
  <c r="X59" i="74"/>
  <c r="IX59" i="77"/>
  <c r="Z59" i="74" s="1"/>
  <c r="AA41" i="39"/>
  <c r="AD41"/>
  <c r="AC41"/>
  <c r="Z131" i="72"/>
  <c r="DM255" i="77"/>
  <c r="AD255" i="69" s="1"/>
  <c r="DL255" i="77"/>
  <c r="AC255" i="69" s="1"/>
  <c r="AD14"/>
  <c r="AC14"/>
  <c r="Z104" i="72"/>
  <c r="GR97" i="77"/>
  <c r="Z97" i="72" s="1"/>
  <c r="AC15" i="68"/>
  <c r="AD15"/>
  <c r="AA147" i="39"/>
  <c r="AD147"/>
  <c r="AC147"/>
  <c r="AA400"/>
  <c r="AD400" i="77"/>
  <c r="AD400" i="39" s="1"/>
  <c r="AC400" i="77"/>
  <c r="AC400" i="39" s="1"/>
  <c r="AA255"/>
  <c r="AD255" i="77"/>
  <c r="AD255" i="39" s="1"/>
  <c r="AC255" i="77"/>
  <c r="AC255" i="39" s="1"/>
  <c r="AA365"/>
  <c r="AC365"/>
  <c r="AD365"/>
  <c r="AA14"/>
  <c r="AD14"/>
  <c r="AC14"/>
  <c r="EG33" i="77"/>
  <c r="U33" i="70" s="1"/>
  <c r="AD431"/>
  <c r="AC431"/>
  <c r="CA408" i="77"/>
  <c r="U408" i="68" s="1"/>
  <c r="U199" i="70"/>
  <c r="U11" i="72"/>
  <c r="U19" i="73"/>
  <c r="U16" i="72"/>
  <c r="HU442" i="77"/>
  <c r="Z442" i="73" s="1"/>
  <c r="GM58" i="77"/>
  <c r="U58" i="72" s="1"/>
  <c r="AX83" i="77"/>
  <c r="CB224"/>
  <c r="CD224" s="1"/>
  <c r="CG224" s="1"/>
  <c r="EJ95"/>
  <c r="EM95" s="1"/>
  <c r="GM65"/>
  <c r="U65" i="72" s="1"/>
  <c r="FJ58" i="77"/>
  <c r="U58" i="71" s="1"/>
  <c r="FJ37" i="77"/>
  <c r="U37" i="71" s="1"/>
  <c r="FJ233" i="77"/>
  <c r="EJ22"/>
  <c r="EM22" s="1"/>
  <c r="IS69"/>
  <c r="U69" i="74" s="1"/>
  <c r="FO429" i="77"/>
  <c r="Z429" i="71" s="1"/>
  <c r="EJ232" i="77"/>
  <c r="CC425"/>
  <c r="CA37"/>
  <c r="U37" i="68" s="1"/>
  <c r="FM358" i="77"/>
  <c r="IV248"/>
  <c r="IY248" s="1"/>
  <c r="IV38"/>
  <c r="Z218" i="74"/>
  <c r="FM242" i="77"/>
  <c r="FP242" s="1"/>
  <c r="U146" i="65"/>
  <c r="U126" i="68"/>
  <c r="EJ84" i="77"/>
  <c r="GP200"/>
  <c r="IV30"/>
  <c r="IY30" s="1"/>
  <c r="Z19" i="65"/>
  <c r="EG457" i="77"/>
  <c r="U457" i="70" s="1"/>
  <c r="X131" i="74"/>
  <c r="U11" i="65"/>
  <c r="DF437" i="77"/>
  <c r="HY72"/>
  <c r="AD72" i="73" s="1"/>
  <c r="HX72" i="77"/>
  <c r="AC72" i="73" s="1"/>
  <c r="AA219" i="39"/>
  <c r="AC227" i="77"/>
  <c r="AD227"/>
  <c r="IV84"/>
  <c r="HP235"/>
  <c r="AB216" i="72"/>
  <c r="AB191"/>
  <c r="BA60" i="77"/>
  <c r="BD60" s="1"/>
  <c r="HQ389"/>
  <c r="EJ408"/>
  <c r="CD38"/>
  <c r="CG38" s="1"/>
  <c r="AD15" i="71"/>
  <c r="AA15"/>
  <c r="AC15"/>
  <c r="DD368" i="77"/>
  <c r="U368" i="69" s="1"/>
  <c r="DE437" i="77"/>
  <c r="X412" i="74"/>
  <c r="BA224" i="77"/>
  <c r="BD224" s="1"/>
  <c r="CA227"/>
  <c r="CA257"/>
  <c r="U257" i="68" s="1"/>
  <c r="CD23" i="77"/>
  <c r="CG23" s="1"/>
  <c r="HS96"/>
  <c r="HV96" s="1"/>
  <c r="X213" i="71"/>
  <c r="GP425" i="77"/>
  <c r="GS425" s="1"/>
  <c r="AZ437"/>
  <c r="GP86"/>
  <c r="GR86" s="1"/>
  <c r="Z86" i="72" s="1"/>
  <c r="X169"/>
  <c r="FM86" i="77"/>
  <c r="GM33"/>
  <c r="U33" i="72" s="1"/>
  <c r="CB425" i="77"/>
  <c r="DG244"/>
  <c r="DJ244" s="1"/>
  <c r="DD409"/>
  <c r="U409" i="69" s="1"/>
  <c r="GP29" i="77"/>
  <c r="GS29" s="1"/>
  <c r="AY237"/>
  <c r="U98" i="65"/>
  <c r="X138"/>
  <c r="X180" i="74"/>
  <c r="GP83" i="77"/>
  <c r="GR83" s="1"/>
  <c r="Z83" i="72" s="1"/>
  <c r="CD63" i="77"/>
  <c r="FM422"/>
  <c r="FP422" s="1"/>
  <c r="GP62"/>
  <c r="GS62" s="1"/>
  <c r="GP402"/>
  <c r="GS402" s="1"/>
  <c r="U126" i="69"/>
  <c r="U421" i="68"/>
  <c r="DE224" i="77"/>
  <c r="BA422"/>
  <c r="BD422" s="1"/>
  <c r="X183" i="70"/>
  <c r="X181" i="71"/>
  <c r="FM204" i="77"/>
  <c r="GP374"/>
  <c r="GS374" s="1"/>
  <c r="X211" i="69"/>
  <c r="X112" i="72"/>
  <c r="IX443" i="77"/>
  <c r="Z443" i="74" s="1"/>
  <c r="CA55" i="77"/>
  <c r="U55" i="68" s="1"/>
  <c r="CA367" i="77"/>
  <c r="U367" i="68" s="1"/>
  <c r="CA24" i="77"/>
  <c r="U24" i="68" s="1"/>
  <c r="CA233" i="77"/>
  <c r="DF224"/>
  <c r="U114" i="69"/>
  <c r="Z136" i="71"/>
  <c r="CD380" i="77"/>
  <c r="CF380" s="1"/>
  <c r="Z380" i="68" s="1"/>
  <c r="EG246" i="77"/>
  <c r="HS220"/>
  <c r="HV220" s="1"/>
  <c r="FM90"/>
  <c r="FP90" s="1"/>
  <c r="FJ66"/>
  <c r="U66" i="71" s="1"/>
  <c r="DD36" i="77"/>
  <c r="U36" i="69" s="1"/>
  <c r="AY437" i="77"/>
  <c r="BA238"/>
  <c r="FM408"/>
  <c r="FP408" s="1"/>
  <c r="X112" i="70"/>
  <c r="DG40" i="77"/>
  <c r="DJ40" s="1"/>
  <c r="EL62"/>
  <c r="Z62" i="70" s="1"/>
  <c r="EG242" i="77"/>
  <c r="HS408"/>
  <c r="HV408" s="1"/>
  <c r="X180" i="68"/>
  <c r="IV95" i="77"/>
  <c r="IY95" s="1"/>
  <c r="Z416" i="73"/>
  <c r="FO443" i="77"/>
  <c r="Z443" i="71" s="1"/>
  <c r="DG389" i="77"/>
  <c r="DJ389" s="1"/>
  <c r="AZ237"/>
  <c r="U41" i="65"/>
  <c r="EG226" i="77"/>
  <c r="IV239"/>
  <c r="IV238"/>
  <c r="BA67"/>
  <c r="BD67" s="1"/>
  <c r="IV244"/>
  <c r="IY244" s="1"/>
  <c r="X137" i="70"/>
  <c r="AX204" i="77"/>
  <c r="U209" i="65" s="1"/>
  <c r="U411" i="69"/>
  <c r="CA360" i="77"/>
  <c r="AX84"/>
  <c r="AA406" i="39"/>
  <c r="AC406" i="77"/>
  <c r="AC406" i="39" s="1"/>
  <c r="AD406" i="77"/>
  <c r="AD406" i="39" s="1"/>
  <c r="IV22" i="77"/>
  <c r="IY22" s="1"/>
  <c r="X180" i="71"/>
  <c r="AA443"/>
  <c r="FJ73" i="77"/>
  <c r="U73" i="71" s="1"/>
  <c r="FJ70" i="77"/>
  <c r="U70" i="71" s="1"/>
  <c r="AX28" i="77"/>
  <c r="U28" i="65" s="1"/>
  <c r="CA352" i="77"/>
  <c r="U352" i="68" s="1"/>
  <c r="IV26" i="77"/>
  <c r="IY26" s="1"/>
  <c r="BA30"/>
  <c r="IV359"/>
  <c r="IY359" s="1"/>
  <c r="DG434"/>
  <c r="DJ434" s="1"/>
  <c r="AX42"/>
  <c r="U42" i="65" s="1"/>
  <c r="DD33" i="77"/>
  <c r="U33" i="69" s="1"/>
  <c r="CD389" i="77"/>
  <c r="CG389" s="1"/>
  <c r="HS29"/>
  <c r="HV29" s="1"/>
  <c r="HS28"/>
  <c r="HV28" s="1"/>
  <c r="HS435"/>
  <c r="HV435" s="1"/>
  <c r="HS248"/>
  <c r="HV248" s="1"/>
  <c r="HR389"/>
  <c r="GP420"/>
  <c r="GS420" s="1"/>
  <c r="X199" i="71"/>
  <c r="EG85" i="77"/>
  <c r="EG249"/>
  <c r="U252" i="70" s="1"/>
  <c r="EJ247" i="77"/>
  <c r="CD357"/>
  <c r="CG357" s="1"/>
  <c r="EH389"/>
  <c r="X221" i="72"/>
  <c r="GR232" i="77"/>
  <c r="Z232" i="72" s="1"/>
  <c r="T251" i="69"/>
  <c r="IV388" i="77"/>
  <c r="IY388" s="1"/>
  <c r="EJ224"/>
  <c r="EM224" s="1"/>
  <c r="IV425"/>
  <c r="IY425" s="1"/>
  <c r="IV237"/>
  <c r="IY237" s="1"/>
  <c r="GP388"/>
  <c r="GS388" s="1"/>
  <c r="GP237"/>
  <c r="GS237" s="1"/>
  <c r="DE54"/>
  <c r="V54" i="69" s="1"/>
  <c r="EJ407" i="77"/>
  <c r="Z81" i="74"/>
  <c r="IV429" i="77"/>
  <c r="IY429" s="1"/>
  <c r="GP95"/>
  <c r="GS95" s="1"/>
  <c r="HS425"/>
  <c r="HV425" s="1"/>
  <c r="X146" i="74"/>
  <c r="FM439" i="77"/>
  <c r="FP439" s="1"/>
  <c r="EJ462"/>
  <c r="EM462" s="1"/>
  <c r="X170" i="74"/>
  <c r="Z124" i="70"/>
  <c r="BA82" i="77"/>
  <c r="GP429"/>
  <c r="GS429" s="1"/>
  <c r="HS246"/>
  <c r="DG42"/>
  <c r="FM84"/>
  <c r="FO84" s="1"/>
  <c r="Z84" i="71" s="1"/>
  <c r="EJ355" i="77"/>
  <c r="EM355" s="1"/>
  <c r="U51" i="68"/>
  <c r="DG425" i="77"/>
  <c r="DJ425" s="1"/>
  <c r="X193" i="69"/>
  <c r="EJ67" i="77"/>
  <c r="U415" i="68"/>
  <c r="GP226" i="77"/>
  <c r="DG65"/>
  <c r="DJ65" s="1"/>
  <c r="DG245"/>
  <c r="FM237"/>
  <c r="FP237" s="1"/>
  <c r="IV63"/>
  <c r="IY63" s="1"/>
  <c r="EJ96"/>
  <c r="EM96" s="1"/>
  <c r="FM33"/>
  <c r="FP33" s="1"/>
  <c r="X365" i="72"/>
  <c r="GP69" i="77"/>
  <c r="X137" i="73"/>
  <c r="HS462" i="77"/>
  <c r="HV462" s="1"/>
  <c r="FM88"/>
  <c r="AX360"/>
  <c r="IV380"/>
  <c r="FM434"/>
  <c r="FJ57"/>
  <c r="U57" i="71" s="1"/>
  <c r="FM232" i="77"/>
  <c r="FP232" s="1"/>
  <c r="Z174" i="65"/>
  <c r="GV255" i="77"/>
  <c r="AD255" i="72" s="1"/>
  <c r="AB255"/>
  <c r="AD126" i="71"/>
  <c r="AB126"/>
  <c r="IV353" i="77"/>
  <c r="IV357"/>
  <c r="IY357" s="1"/>
  <c r="EJ65"/>
  <c r="EJ233"/>
  <c r="X112" i="74"/>
  <c r="CD28" i="77"/>
  <c r="GP246"/>
  <c r="HS423"/>
  <c r="HV423" s="1"/>
  <c r="HS22"/>
  <c r="HV22" s="1"/>
  <c r="HS84"/>
  <c r="HV84" s="1"/>
  <c r="CC432"/>
  <c r="IV426"/>
  <c r="IY426" s="1"/>
  <c r="AX234"/>
  <c r="BA205"/>
  <c r="BD205" s="1"/>
  <c r="GP369"/>
  <c r="FM26"/>
  <c r="FP26" s="1"/>
  <c r="FM248"/>
  <c r="FP248" s="1"/>
  <c r="GP204"/>
  <c r="Z175" i="72"/>
  <c r="HS402" i="77"/>
  <c r="AA241" i="74"/>
  <c r="CA355" i="77"/>
  <c r="U355" i="68" s="1"/>
  <c r="FM402" i="77"/>
  <c r="FP402" s="1"/>
  <c r="GP248"/>
  <c r="GS248" s="1"/>
  <c r="Z197" i="73"/>
  <c r="DG69" i="77"/>
  <c r="DJ69" s="1"/>
  <c r="GP359"/>
  <c r="U150" i="68"/>
  <c r="X162" i="71"/>
  <c r="DD83" i="77"/>
  <c r="AB386" i="72"/>
  <c r="AB197"/>
  <c r="AB217"/>
  <c r="BA63" i="77"/>
  <c r="BD63" s="1"/>
  <c r="Z13" i="71"/>
  <c r="FM34" i="77"/>
  <c r="FP34" s="1"/>
  <c r="Z16" i="71"/>
  <c r="GP28" i="77"/>
  <c r="GS28" s="1"/>
  <c r="FM420"/>
  <c r="FP420" s="1"/>
  <c r="IV90"/>
  <c r="IY90" s="1"/>
  <c r="Z121" i="65"/>
  <c r="U206" i="68"/>
  <c r="U93" i="65"/>
  <c r="IV88" i="77"/>
  <c r="EJ435"/>
  <c r="FM359"/>
  <c r="FM63"/>
  <c r="FP63" s="1"/>
  <c r="IV355"/>
  <c r="IY355" s="1"/>
  <c r="EJ256"/>
  <c r="EM256" s="1"/>
  <c r="EJ253"/>
  <c r="EJ37"/>
  <c r="EM37" s="1"/>
  <c r="X131" i="70"/>
  <c r="Z251" i="65"/>
  <c r="FM239" i="77"/>
  <c r="FP239" s="1"/>
  <c r="CD59"/>
  <c r="CG59" s="1"/>
  <c r="DG26"/>
  <c r="FM369"/>
  <c r="GP92"/>
  <c r="GS92" s="1"/>
  <c r="U376" i="65"/>
  <c r="AX88" i="77"/>
  <c r="HP247"/>
  <c r="U61" i="65"/>
  <c r="DD200" i="77"/>
  <c r="U208" i="69" s="1"/>
  <c r="X170" i="72"/>
  <c r="CA423" i="77"/>
  <c r="U423" i="68" s="1"/>
  <c r="CA57" i="77"/>
  <c r="U57" i="68" s="1"/>
  <c r="U416"/>
  <c r="CA50" i="77"/>
  <c r="U50" i="68" s="1"/>
  <c r="FJ355" i="77"/>
  <c r="U355" i="71" s="1"/>
  <c r="Z61" i="72"/>
  <c r="HS359" i="77"/>
  <c r="CC220"/>
  <c r="FJ65"/>
  <c r="U65" i="71" s="1"/>
  <c r="U199" i="68"/>
  <c r="DD60" i="77"/>
  <c r="U60" i="69" s="1"/>
  <c r="U211" i="73"/>
  <c r="FS380" i="77"/>
  <c r="AD380" i="71" s="1"/>
  <c r="AB385"/>
  <c r="AB388"/>
  <c r="GV249" i="77"/>
  <c r="AB252" i="72"/>
  <c r="AB118" i="71"/>
  <c r="AB194"/>
  <c r="AD286"/>
  <c r="AB205"/>
  <c r="AB122"/>
  <c r="AB143"/>
  <c r="AB119"/>
  <c r="AC126"/>
  <c r="X128" i="74"/>
  <c r="EJ439" i="77"/>
  <c r="EM439" s="1"/>
  <c r="FM360"/>
  <c r="EJ58"/>
  <c r="EM58" s="1"/>
  <c r="EJ92"/>
  <c r="EM92" s="1"/>
  <c r="GP439"/>
  <c r="GS439" s="1"/>
  <c r="FM95"/>
  <c r="FP95" s="1"/>
  <c r="GP378"/>
  <c r="GR378" s="1"/>
  <c r="Z378" i="72" s="1"/>
  <c r="GP59" i="77"/>
  <c r="HS257"/>
  <c r="HV257" s="1"/>
  <c r="HS90"/>
  <c r="HV90" s="1"/>
  <c r="HS33"/>
  <c r="HV33" s="1"/>
  <c r="DG388"/>
  <c r="DJ388" s="1"/>
  <c r="DD63"/>
  <c r="U63" i="69" s="1"/>
  <c r="DD96" i="77"/>
  <c r="U97" i="69" s="1"/>
  <c r="IV28" i="77"/>
  <c r="IY28" s="1"/>
  <c r="IV42"/>
  <c r="IY42" s="1"/>
  <c r="IV85"/>
  <c r="IY85" s="1"/>
  <c r="EJ352"/>
  <c r="EM352" s="1"/>
  <c r="X180" i="72"/>
  <c r="FM62" i="77"/>
  <c r="HS457"/>
  <c r="HV457" s="1"/>
  <c r="HS82"/>
  <c r="HS83"/>
  <c r="EG234"/>
  <c r="FO442"/>
  <c r="Z442" i="71" s="1"/>
  <c r="U98" i="70"/>
  <c r="CA54" i="77"/>
  <c r="U54" i="68" s="1"/>
  <c r="CA235" i="77"/>
  <c r="U415" i="65"/>
  <c r="CD70" i="77"/>
  <c r="DD400"/>
  <c r="U400" i="69" s="1"/>
  <c r="GP93" i="77"/>
  <c r="GS93" s="1"/>
  <c r="Z147" i="68"/>
  <c r="CA439" i="77"/>
  <c r="U439" i="68" s="1"/>
  <c r="U79"/>
  <c r="U61"/>
  <c r="Z11" i="71"/>
  <c r="GP257" i="77"/>
  <c r="GS257" s="1"/>
  <c r="CD436"/>
  <c r="CG436" s="1"/>
  <c r="CA462"/>
  <c r="U462" i="68" s="1"/>
  <c r="CB220" i="77"/>
  <c r="U79" i="69"/>
  <c r="DD28" i="77"/>
  <c r="U28" i="69" s="1"/>
  <c r="AA411" i="39"/>
  <c r="AC411"/>
  <c r="AD411"/>
  <c r="AA427"/>
  <c r="AD427" i="77"/>
  <c r="AD427" i="39" s="1"/>
  <c r="AC427" i="77"/>
  <c r="AC427" i="39" s="1"/>
  <c r="AX23" i="77"/>
  <c r="U23" i="65" s="1"/>
  <c r="FM28" i="77"/>
  <c r="FP28" s="1"/>
  <c r="U147" i="68"/>
  <c r="X457" i="65"/>
  <c r="BC457" i="77"/>
  <c r="Z457" i="65" s="1"/>
  <c r="FM425" i="77"/>
  <c r="FP425" s="1"/>
  <c r="X146" i="71"/>
  <c r="GP389" i="77"/>
  <c r="GS389" s="1"/>
  <c r="CA239"/>
  <c r="AD414" i="65"/>
  <c r="AD438"/>
  <c r="AD414" i="71"/>
  <c r="AD438"/>
  <c r="AC417" i="65"/>
  <c r="AC432"/>
  <c r="AC417" i="71"/>
  <c r="AC432"/>
  <c r="AC414" i="39"/>
  <c r="AC438"/>
  <c r="AC438" i="70"/>
  <c r="AC414"/>
  <c r="AD216" i="39"/>
  <c r="AD191"/>
  <c r="AD205"/>
  <c r="AD122"/>
  <c r="BA90" i="77"/>
  <c r="BD90" s="1"/>
  <c r="U92" i="65"/>
  <c r="AX369" i="77"/>
  <c r="T371" i="65"/>
  <c r="T204"/>
  <c r="T243"/>
  <c r="X363" i="71"/>
  <c r="X120" i="74"/>
  <c r="W147"/>
  <c r="P147"/>
  <c r="EI448" i="77"/>
  <c r="W448" i="70" s="1"/>
  <c r="P448"/>
  <c r="EI434" i="77"/>
  <c r="W434" i="70" s="1"/>
  <c r="P434"/>
  <c r="EI369" i="77"/>
  <c r="P371" i="70"/>
  <c r="EI83" i="77"/>
  <c r="P81" i="70"/>
  <c r="W215"/>
  <c r="P215"/>
  <c r="EI244" i="77"/>
  <c r="W247" i="70" s="1"/>
  <c r="P247"/>
  <c r="IV439" i="77"/>
  <c r="IY439" s="1"/>
  <c r="U439" i="74"/>
  <c r="IV360" i="77"/>
  <c r="IY360" s="1"/>
  <c r="U363" i="74"/>
  <c r="BA242" i="77"/>
  <c r="BD242" s="1"/>
  <c r="U365" i="74"/>
  <c r="U203"/>
  <c r="FM374" i="77"/>
  <c r="FP374" s="1"/>
  <c r="U374" i="71"/>
  <c r="EG444" i="77"/>
  <c r="U444" i="70" s="1"/>
  <c r="T444"/>
  <c r="BA24" i="77"/>
  <c r="U24" i="65"/>
  <c r="V211"/>
  <c r="T211"/>
  <c r="U19" i="72"/>
  <c r="X181" i="68"/>
  <c r="U201"/>
  <c r="CB49" i="77"/>
  <c r="V49" i="68" s="1"/>
  <c r="T49"/>
  <c r="HS60" i="77"/>
  <c r="HV60" s="1"/>
  <c r="U60" i="73"/>
  <c r="HS355" i="77"/>
  <c r="HV355" s="1"/>
  <c r="U355" i="73"/>
  <c r="DG92" i="77"/>
  <c r="DJ92" s="1"/>
  <c r="U94" i="69"/>
  <c r="DD68" i="77"/>
  <c r="U68" i="69" s="1"/>
  <c r="T68"/>
  <c r="GP238" i="77"/>
  <c r="CD58"/>
  <c r="U58" i="68"/>
  <c r="CD442" i="77"/>
  <c r="CG442" s="1"/>
  <c r="U442" i="68"/>
  <c r="AD417" i="71"/>
  <c r="AD432"/>
  <c r="AD438" i="70"/>
  <c r="AD414"/>
  <c r="AC204" i="39"/>
  <c r="AC243"/>
  <c r="IV70" i="77"/>
  <c r="IY70" s="1"/>
  <c r="U70" i="74"/>
  <c r="IV253" i="77"/>
  <c r="U254" i="74"/>
  <c r="U151"/>
  <c r="EG27" i="77"/>
  <c r="U27" i="70" s="1"/>
  <c r="T27"/>
  <c r="AX426" i="77"/>
  <c r="U426" i="65" s="1"/>
  <c r="T426"/>
  <c r="T119" i="70"/>
  <c r="T143"/>
  <c r="IV40" i="77"/>
  <c r="IY40" s="1"/>
  <c r="U40" i="74"/>
  <c r="T419" i="65"/>
  <c r="T412"/>
  <c r="V376" i="74"/>
  <c r="IU24" i="77"/>
  <c r="W24" i="74" s="1"/>
  <c r="P24"/>
  <c r="EH434" i="77"/>
  <c r="V434" i="70" s="1"/>
  <c r="O434"/>
  <c r="EH369" i="77"/>
  <c r="O371" i="70"/>
  <c r="EH83" i="77"/>
  <c r="O81" i="70"/>
  <c r="W213"/>
  <c r="P213"/>
  <c r="EH244" i="77"/>
  <c r="V247" i="70" s="1"/>
  <c r="O247"/>
  <c r="AY83" i="77"/>
  <c r="O81" i="65"/>
  <c r="IV407" i="77"/>
  <c r="IY407" s="1"/>
  <c r="V407" i="74"/>
  <c r="IT58" i="77"/>
  <c r="V58" i="74" s="1"/>
  <c r="O58"/>
  <c r="IU37" i="77"/>
  <c r="W37" i="74" s="1"/>
  <c r="P37"/>
  <c r="EH420" i="77"/>
  <c r="V420" i="70" s="1"/>
  <c r="O420"/>
  <c r="P202"/>
  <c r="V31"/>
  <c r="O31"/>
  <c r="AZ448" i="77"/>
  <c r="W448" i="65" s="1"/>
  <c r="P448"/>
  <c r="AY23" i="77"/>
  <c r="V23" i="65" s="1"/>
  <c r="O23"/>
  <c r="IU72" i="77"/>
  <c r="W72" i="74" s="1"/>
  <c r="P72"/>
  <c r="EI359" i="77"/>
  <c r="P362" i="70"/>
  <c r="FM409" i="77"/>
  <c r="FP409" s="1"/>
  <c r="V409" i="71"/>
  <c r="V211"/>
  <c r="W191" i="74"/>
  <c r="W216"/>
  <c r="EI374" i="77"/>
  <c r="W374" i="70" s="1"/>
  <c r="P374"/>
  <c r="EH380" i="77"/>
  <c r="V380" i="70" s="1"/>
  <c r="O388"/>
  <c r="O385"/>
  <c r="P119"/>
  <c r="P143"/>
  <c r="P196"/>
  <c r="EI246" i="77"/>
  <c r="P249" i="70"/>
  <c r="AZ34" i="77"/>
  <c r="W34" i="65" s="1"/>
  <c r="P34"/>
  <c r="W100" i="71"/>
  <c r="P100"/>
  <c r="FK69" i="77"/>
  <c r="V69" i="71" s="1"/>
  <c r="O69"/>
  <c r="V243" i="72"/>
  <c r="V204"/>
  <c r="CB420" i="77"/>
  <c r="V420" i="68" s="1"/>
  <c r="O420"/>
  <c r="U194"/>
  <c r="U118"/>
  <c r="CB96" i="77"/>
  <c r="V97" i="68" s="1"/>
  <c r="O97"/>
  <c r="V218"/>
  <c r="O215"/>
  <c r="CC73" i="77"/>
  <c r="W73" i="68" s="1"/>
  <c r="P73"/>
  <c r="U417" i="69"/>
  <c r="U432"/>
  <c r="W150"/>
  <c r="P150"/>
  <c r="DF30" i="77"/>
  <c r="W30" i="69" s="1"/>
  <c r="P30"/>
  <c r="DE47" i="77"/>
  <c r="V47" i="69" s="1"/>
  <c r="O47"/>
  <c r="CD32" i="77"/>
  <c r="V32" i="68"/>
  <c r="CC449" i="77"/>
  <c r="W449" i="68" s="1"/>
  <c r="P449"/>
  <c r="W78"/>
  <c r="P78"/>
  <c r="CB353" i="77"/>
  <c r="V353" i="68" s="1"/>
  <c r="O353"/>
  <c r="CB20" i="77"/>
  <c r="V20" i="68" s="1"/>
  <c r="O20"/>
  <c r="W125" i="73"/>
  <c r="P125"/>
  <c r="O118" i="69"/>
  <c r="O194"/>
  <c r="V124"/>
  <c r="O124"/>
  <c r="DE34" i="77"/>
  <c r="V34" i="69" s="1"/>
  <c r="O34"/>
  <c r="W123" i="70"/>
  <c r="P123"/>
  <c r="O201"/>
  <c r="EH204" i="77"/>
  <c r="V209" i="70" s="1"/>
  <c r="O209"/>
  <c r="EI29" i="77"/>
  <c r="W29" i="70" s="1"/>
  <c r="P29"/>
  <c r="BA409" i="77"/>
  <c r="BD409" s="1"/>
  <c r="V409" i="65"/>
  <c r="AZ360" i="77"/>
  <c r="P363" i="65"/>
  <c r="P143"/>
  <c r="P119"/>
  <c r="O213"/>
  <c r="AY255" i="77"/>
  <c r="V255" i="65" s="1"/>
  <c r="O255"/>
  <c r="FM247" i="77"/>
  <c r="V250" i="71"/>
  <c r="FK236" i="77"/>
  <c r="O242" i="71"/>
  <c r="T145" i="69"/>
  <c r="X131" i="65"/>
  <c r="U142"/>
  <c r="BA92" i="77"/>
  <c r="U94" i="65"/>
  <c r="T203"/>
  <c r="FM244" i="77"/>
  <c r="U247" i="71"/>
  <c r="GP409" i="77"/>
  <c r="GS409" s="1"/>
  <c r="U409" i="72"/>
  <c r="X138"/>
  <c r="U145"/>
  <c r="GP436" i="77"/>
  <c r="GS436" s="1"/>
  <c r="U436" i="72"/>
  <c r="IT92" i="77"/>
  <c r="V94" i="74" s="1"/>
  <c r="O94"/>
  <c r="IT245" i="77"/>
  <c r="V248" i="74" s="1"/>
  <c r="O248"/>
  <c r="IT65" i="77"/>
  <c r="V65" i="74" s="1"/>
  <c r="O65"/>
  <c r="V21" i="70"/>
  <c r="O21"/>
  <c r="EH33" i="77"/>
  <c r="V33" i="70" s="1"/>
  <c r="O33"/>
  <c r="EH60" i="77"/>
  <c r="V60" i="70" s="1"/>
  <c r="O60"/>
  <c r="AZ374" i="77"/>
  <c r="W374" i="65" s="1"/>
  <c r="P374"/>
  <c r="AZ226" i="77"/>
  <c r="P218" i="65"/>
  <c r="V385" i="74"/>
  <c r="V388"/>
  <c r="W80"/>
  <c r="IV82" i="77"/>
  <c r="IY82" s="1"/>
  <c r="W17" i="74"/>
  <c r="P17"/>
  <c r="EI449" i="77"/>
  <c r="W449" i="70" s="1"/>
  <c r="P449"/>
  <c r="EI430" i="77"/>
  <c r="W430" i="70" s="1"/>
  <c r="P430"/>
  <c r="EI32" i="77"/>
  <c r="W32" i="70" s="1"/>
  <c r="P32"/>
  <c r="AZ435" i="77"/>
  <c r="W435" i="65" s="1"/>
  <c r="P435"/>
  <c r="O386"/>
  <c r="O389"/>
  <c r="V41"/>
  <c r="O41"/>
  <c r="V143" i="71"/>
  <c r="V119"/>
  <c r="O389" i="70"/>
  <c r="O386"/>
  <c r="V441"/>
  <c r="O441"/>
  <c r="W13" i="74"/>
  <c r="P13"/>
  <c r="V145" i="70"/>
  <c r="X138"/>
  <c r="V42"/>
  <c r="EJ42" i="77"/>
  <c r="EM42" s="1"/>
  <c r="EI436"/>
  <c r="W436" i="70" s="1"/>
  <c r="P436"/>
  <c r="W12"/>
  <c r="P12"/>
  <c r="EI226" i="77"/>
  <c r="P218" i="70"/>
  <c r="AZ443" i="77"/>
  <c r="W443" i="65" s="1"/>
  <c r="P443"/>
  <c r="AD438" i="39"/>
  <c r="AD414"/>
  <c r="AC438" i="65"/>
  <c r="AC414"/>
  <c r="AC414" i="71"/>
  <c r="AC438"/>
  <c r="AC432" i="72"/>
  <c r="AC417"/>
  <c r="AC414" i="74"/>
  <c r="AC438"/>
  <c r="AC417" i="73"/>
  <c r="AC432"/>
  <c r="AC425" i="39"/>
  <c r="AC405"/>
  <c r="AD204"/>
  <c r="AD243"/>
  <c r="AC119"/>
  <c r="AC143"/>
  <c r="FR449" i="77"/>
  <c r="AC449" i="71" s="1"/>
  <c r="AA449"/>
  <c r="U413" i="74"/>
  <c r="U437"/>
  <c r="U21"/>
  <c r="IV402" i="77"/>
  <c r="IY402" s="1"/>
  <c r="U402" i="74"/>
  <c r="IV247" i="77"/>
  <c r="IY247" s="1"/>
  <c r="U250" i="74"/>
  <c r="EG404" i="77"/>
  <c r="U404" i="70" s="1"/>
  <c r="T404"/>
  <c r="AX357" i="77"/>
  <c r="U357" i="65" s="1"/>
  <c r="T357"/>
  <c r="X182" i="71"/>
  <c r="U202"/>
  <c r="T200" i="70"/>
  <c r="BA29" i="77"/>
  <c r="BD29" s="1"/>
  <c r="U29" i="65"/>
  <c r="U416"/>
  <c r="T416"/>
  <c r="U441"/>
  <c r="T441"/>
  <c r="AX200" i="77"/>
  <c r="U208" i="65" s="1"/>
  <c r="T208"/>
  <c r="T200"/>
  <c r="X437" i="68"/>
  <c r="X413"/>
  <c r="FM85" i="77"/>
  <c r="U89" i="71"/>
  <c r="U198" i="74"/>
  <c r="EJ82" i="77"/>
  <c r="EM82" s="1"/>
  <c r="U80" i="70"/>
  <c r="T198" i="65"/>
  <c r="X137" i="74"/>
  <c r="U144"/>
  <c r="X169"/>
  <c r="U195"/>
  <c r="FM32" i="77"/>
  <c r="FP32" s="1"/>
  <c r="U32" i="71"/>
  <c r="U126" i="74"/>
  <c r="BA248" i="77"/>
  <c r="BD248" s="1"/>
  <c r="U251" i="65"/>
  <c r="AX378" i="77"/>
  <c r="T384" i="65"/>
  <c r="AX246" i="77"/>
  <c r="T249" i="65"/>
  <c r="GP84" i="77"/>
  <c r="U82" i="72"/>
  <c r="HS32" i="77"/>
  <c r="HV32" s="1"/>
  <c r="U32" i="73"/>
  <c r="U100"/>
  <c r="U12" i="69"/>
  <c r="U93"/>
  <c r="FM407" i="77"/>
  <c r="FP407" s="1"/>
  <c r="U407" i="71"/>
  <c r="GP360" i="77"/>
  <c r="U363" i="72"/>
  <c r="EJ24" i="77"/>
  <c r="EM24" s="1"/>
  <c r="AD417" i="65"/>
  <c r="AD432"/>
  <c r="AD432" i="72"/>
  <c r="AD417"/>
  <c r="AD414" i="74"/>
  <c r="AD438"/>
  <c r="AD432" i="73"/>
  <c r="AD417"/>
  <c r="AD425" i="39"/>
  <c r="AD405"/>
  <c r="AC191"/>
  <c r="AC216"/>
  <c r="AC122"/>
  <c r="AC205"/>
  <c r="AD143"/>
  <c r="AD119"/>
  <c r="DL58" i="77"/>
  <c r="AC58" i="69" s="1"/>
  <c r="AA58"/>
  <c r="IV462" i="77"/>
  <c r="U462" i="74"/>
  <c r="IV34" i="77"/>
  <c r="IY34" s="1"/>
  <c r="U34" i="74"/>
  <c r="Z81" i="70"/>
  <c r="U79"/>
  <c r="BA355" i="77"/>
  <c r="BD355" s="1"/>
  <c r="U355" i="65"/>
  <c r="T201"/>
  <c r="X218" i="71"/>
  <c r="U215"/>
  <c r="BA239" i="77"/>
  <c r="U245" i="65"/>
  <c r="T144"/>
  <c r="IV57" i="77"/>
  <c r="IY57" s="1"/>
  <c r="U57" i="74"/>
  <c r="EH406" i="77"/>
  <c r="V406" i="70" s="1"/>
  <c r="T406"/>
  <c r="X196" i="74"/>
  <c r="AX408" i="77"/>
  <c r="U408" i="65" s="1"/>
  <c r="T408"/>
  <c r="CA400" i="77"/>
  <c r="U400" i="68" s="1"/>
  <c r="T400"/>
  <c r="EH448" i="77"/>
  <c r="V448" i="70" s="1"/>
  <c r="O448"/>
  <c r="W146"/>
  <c r="P146"/>
  <c r="V215"/>
  <c r="O215"/>
  <c r="V126" i="65"/>
  <c r="AZ83" i="77"/>
  <c r="P81" i="65"/>
  <c r="AZ48" i="77"/>
  <c r="W48" i="65" s="1"/>
  <c r="P48"/>
  <c r="IT233" i="77"/>
  <c r="O239" i="74"/>
  <c r="IT37" i="77"/>
  <c r="V37" i="74" s="1"/>
  <c r="O37"/>
  <c r="EH228" i="77"/>
  <c r="O220" i="70"/>
  <c r="EI34" i="77"/>
  <c r="W34" i="70" s="1"/>
  <c r="P34"/>
  <c r="BA352" i="77"/>
  <c r="BD352" s="1"/>
  <c r="V352" i="65"/>
  <c r="AY434" i="77"/>
  <c r="V434" i="65" s="1"/>
  <c r="O434"/>
  <c r="AZ23" i="77"/>
  <c r="W23" i="65" s="1"/>
  <c r="P23"/>
  <c r="IV32" i="77"/>
  <c r="IY32" s="1"/>
  <c r="V32" i="74"/>
  <c r="V153"/>
  <c r="O153"/>
  <c r="EI378" i="77"/>
  <c r="P384" i="70"/>
  <c r="EH374" i="77"/>
  <c r="V374" i="70" s="1"/>
  <c r="O374"/>
  <c r="W93"/>
  <c r="P93"/>
  <c r="EH444" i="77"/>
  <c r="V444" i="70" s="1"/>
  <c r="O444"/>
  <c r="V147" i="65"/>
  <c r="O148"/>
  <c r="AZ27" i="77"/>
  <c r="W27" i="65" s="1"/>
  <c r="P27"/>
  <c r="P120" i="71"/>
  <c r="O149"/>
  <c r="GO67" i="77"/>
  <c r="W67" i="72" s="1"/>
  <c r="P67"/>
  <c r="O118" i="68"/>
  <c r="O194"/>
  <c r="CB422" i="77"/>
  <c r="V422" i="68" s="1"/>
  <c r="O422"/>
  <c r="V365"/>
  <c r="O365"/>
  <c r="CB93" i="77"/>
  <c r="O95" i="68"/>
  <c r="V100"/>
  <c r="O100"/>
  <c r="P197"/>
  <c r="P217"/>
  <c r="CB247" i="77"/>
  <c r="V250" i="68" s="1"/>
  <c r="O250"/>
  <c r="V118" i="73"/>
  <c r="V194"/>
  <c r="HQ238" i="77"/>
  <c r="O244" i="73"/>
  <c r="DF407" i="77"/>
  <c r="W407" i="69" s="1"/>
  <c r="P407"/>
  <c r="P417"/>
  <c r="P432"/>
  <c r="W365"/>
  <c r="P365"/>
  <c r="O217"/>
  <c r="O197"/>
  <c r="P201"/>
  <c r="CB405" i="77"/>
  <c r="O425" i="68"/>
  <c r="O405"/>
  <c r="CC353" i="77"/>
  <c r="W353" i="68" s="1"/>
  <c r="P353"/>
  <c r="CB44" i="77"/>
  <c r="V44" i="68" s="1"/>
  <c r="O44"/>
  <c r="CC60" i="77"/>
  <c r="W60" i="68" s="1"/>
  <c r="P60"/>
  <c r="HR40" i="77"/>
  <c r="W40" i="73" s="1"/>
  <c r="P40"/>
  <c r="HQ59" i="77"/>
  <c r="V59" i="73" s="1"/>
  <c r="O59"/>
  <c r="DE369" i="77"/>
  <c r="O371" i="69"/>
  <c r="P194"/>
  <c r="P118"/>
  <c r="DE52" i="77"/>
  <c r="V52" i="69" s="1"/>
  <c r="O52"/>
  <c r="DF45" i="77"/>
  <c r="W45" i="69" s="1"/>
  <c r="P45"/>
  <c r="EI358" i="77"/>
  <c r="W358" i="70" s="1"/>
  <c r="V148"/>
  <c r="O148"/>
  <c r="EH29" i="77"/>
  <c r="V29" i="70" s="1"/>
  <c r="O29"/>
  <c r="V194" i="65"/>
  <c r="O437"/>
  <c r="O413"/>
  <c r="AZ86" i="77"/>
  <c r="P90" i="65"/>
  <c r="AZ32" i="77"/>
  <c r="W32" i="65" s="1"/>
  <c r="P32"/>
  <c r="IV83" i="77"/>
  <c r="U81" i="74"/>
  <c r="IV48" i="77"/>
  <c r="IY48" s="1"/>
  <c r="U48" i="74"/>
  <c r="IV226" i="77"/>
  <c r="U218" i="74"/>
  <c r="U17" i="70"/>
  <c r="X100" i="65"/>
  <c r="U100"/>
  <c r="AX442" i="77"/>
  <c r="U442" i="65" s="1"/>
  <c r="T442"/>
  <c r="FM257" i="77"/>
  <c r="FP257" s="1"/>
  <c r="U257" i="71"/>
  <c r="U211" i="70"/>
  <c r="T211"/>
  <c r="X169" i="65"/>
  <c r="AX95" i="77"/>
  <c r="U96" i="65" s="1"/>
  <c r="T96"/>
  <c r="U461" i="74"/>
  <c r="U365" i="65"/>
  <c r="T365"/>
  <c r="T191" i="68"/>
  <c r="T216"/>
  <c r="HP69" i="77"/>
  <c r="U69" i="73" s="1"/>
  <c r="T69"/>
  <c r="CA95" i="77"/>
  <c r="T96" i="68"/>
  <c r="X122" i="69"/>
  <c r="V147" i="74"/>
  <c r="O147"/>
  <c r="IT24" i="77"/>
  <c r="V24" i="74" s="1"/>
  <c r="O24"/>
  <c r="V146" i="70"/>
  <c r="O146"/>
  <c r="V213"/>
  <c r="O213"/>
  <c r="EI420" i="77"/>
  <c r="W420" i="70" s="1"/>
  <c r="P420"/>
  <c r="EH85" i="77"/>
  <c r="O89" i="70"/>
  <c r="O202"/>
  <c r="W31"/>
  <c r="P31"/>
  <c r="EH34" i="77"/>
  <c r="V34" i="70" s="1"/>
  <c r="O34"/>
  <c r="AY448" i="77"/>
  <c r="V448" i="65" s="1"/>
  <c r="O448"/>
  <c r="AY22" i="77"/>
  <c r="V22" i="65" s="1"/>
  <c r="O22"/>
  <c r="IT72" i="77"/>
  <c r="V72" i="74" s="1"/>
  <c r="O72"/>
  <c r="EH378" i="77"/>
  <c r="O384" i="70"/>
  <c r="V216" i="74"/>
  <c r="V191"/>
  <c r="W401" i="70"/>
  <c r="P401"/>
  <c r="EI380" i="77"/>
  <c r="W380" i="70" s="1"/>
  <c r="P388"/>
  <c r="P385"/>
  <c r="EI444" i="77"/>
  <c r="W444" i="70" s="1"/>
  <c r="P444"/>
  <c r="EH246" i="77"/>
  <c r="O249" i="70"/>
  <c r="W148" i="65"/>
  <c r="P148"/>
  <c r="AY34" i="77"/>
  <c r="V34" i="65" s="1"/>
  <c r="O34"/>
  <c r="V100" i="71"/>
  <c r="O100"/>
  <c r="P149"/>
  <c r="W243" i="72"/>
  <c r="W204"/>
  <c r="P194" i="68"/>
  <c r="P118"/>
  <c r="CC422" i="77"/>
  <c r="W422" i="68" s="1"/>
  <c r="P422"/>
  <c r="CC93" i="77"/>
  <c r="P95" i="68"/>
  <c r="W100"/>
  <c r="P100"/>
  <c r="W215"/>
  <c r="P215"/>
  <c r="CC247" i="77"/>
  <c r="W250" i="68" s="1"/>
  <c r="P250"/>
  <c r="DE407" i="77"/>
  <c r="V407" i="69" s="1"/>
  <c r="O407"/>
  <c r="P217"/>
  <c r="P197"/>
  <c r="DF47" i="77"/>
  <c r="W47" i="69" s="1"/>
  <c r="P47"/>
  <c r="CC405" i="77"/>
  <c r="P405" i="68"/>
  <c r="P425"/>
  <c r="CC45" i="77"/>
  <c r="W45" i="68" s="1"/>
  <c r="P45"/>
  <c r="CC44" i="77"/>
  <c r="W44" i="68" s="1"/>
  <c r="P44"/>
  <c r="CB60" i="77"/>
  <c r="V60" i="68" s="1"/>
  <c r="O60"/>
  <c r="V125" i="73"/>
  <c r="O125"/>
  <c r="DF369" i="77"/>
  <c r="P371" i="69"/>
  <c r="DF34" i="77"/>
  <c r="W34" i="69" s="1"/>
  <c r="P34"/>
  <c r="DF52" i="77"/>
  <c r="W52" i="69" s="1"/>
  <c r="P52"/>
  <c r="EH358" i="77"/>
  <c r="V358" i="70" s="1"/>
  <c r="EI204" i="77"/>
  <c r="W209" i="70" s="1"/>
  <c r="P209"/>
  <c r="P437" i="65"/>
  <c r="P413"/>
  <c r="O143"/>
  <c r="O119"/>
  <c r="AZ255" i="77"/>
  <c r="W255" i="65" s="1"/>
  <c r="P255"/>
  <c r="IV96" i="77"/>
  <c r="IY96" s="1"/>
  <c r="U97" i="74"/>
  <c r="U198" i="70"/>
  <c r="BA353" i="77"/>
  <c r="U353" i="65"/>
  <c r="IV256" i="77"/>
  <c r="U256" i="74"/>
  <c r="X138"/>
  <c r="U145"/>
  <c r="AA121"/>
  <c r="U123"/>
  <c r="Z81" i="65"/>
  <c r="U79"/>
  <c r="T196"/>
  <c r="FJ38" i="77"/>
  <c r="U38" i="71" s="1"/>
  <c r="T38"/>
  <c r="U125" i="72"/>
  <c r="CD36" i="77"/>
  <c r="CG36" s="1"/>
  <c r="U36" i="68"/>
  <c r="HS360" i="77"/>
  <c r="HV360" s="1"/>
  <c r="U363" i="73"/>
  <c r="U21"/>
  <c r="X182"/>
  <c r="U202"/>
  <c r="DG24" i="77"/>
  <c r="DJ24" s="1"/>
  <c r="U24" i="69"/>
  <c r="U19"/>
  <c r="T197" i="68"/>
  <c r="T217"/>
  <c r="FJ253" i="77"/>
  <c r="T254" i="71"/>
  <c r="U253" i="72"/>
  <c r="CD85" i="77"/>
  <c r="U89" i="68"/>
  <c r="CD359" i="77"/>
  <c r="U362" i="68"/>
  <c r="DD353" i="77"/>
  <c r="U353" i="69" s="1"/>
  <c r="T353"/>
  <c r="BA256" i="77"/>
  <c r="BD256" s="1"/>
  <c r="U256" i="65"/>
  <c r="U16"/>
  <c r="AX439" i="77"/>
  <c r="U439" i="65" s="1"/>
  <c r="T439"/>
  <c r="AX32" i="77"/>
  <c r="U32" i="65" s="1"/>
  <c r="T32"/>
  <c r="FM29" i="77"/>
  <c r="FP29" s="1"/>
  <c r="U29" i="71"/>
  <c r="GP256" i="77"/>
  <c r="GS256" s="1"/>
  <c r="U256" i="72"/>
  <c r="GP24" i="77"/>
  <c r="GS24" s="1"/>
  <c r="U24" i="72"/>
  <c r="U416"/>
  <c r="U411" i="68"/>
  <c r="T411"/>
  <c r="IU92" i="77"/>
  <c r="W94" i="74" s="1"/>
  <c r="P94"/>
  <c r="P364" i="70"/>
  <c r="W21"/>
  <c r="P21"/>
  <c r="AY226" i="77"/>
  <c r="O218" i="65"/>
  <c r="W385" i="74"/>
  <c r="W388"/>
  <c r="V17"/>
  <c r="O17"/>
  <c r="EH449" i="77"/>
  <c r="V449" i="70" s="1"/>
  <c r="O449"/>
  <c r="AZ402" i="77"/>
  <c r="W402" i="65" s="1"/>
  <c r="P402"/>
  <c r="P386"/>
  <c r="P389"/>
  <c r="V204" i="74"/>
  <c r="V243"/>
  <c r="P389" i="70"/>
  <c r="P386"/>
  <c r="W441"/>
  <c r="P441"/>
  <c r="V15" i="74"/>
  <c r="O15"/>
  <c r="W41" i="70"/>
  <c r="P41"/>
  <c r="EH70" i="77"/>
  <c r="V70" i="70" s="1"/>
  <c r="O70"/>
  <c r="AY436" i="77"/>
  <c r="V436" i="65" s="1"/>
  <c r="O436"/>
  <c r="O191" i="68"/>
  <c r="O216"/>
  <c r="CB205" i="77"/>
  <c r="V210" i="68" s="1"/>
  <c r="O210"/>
  <c r="W51"/>
  <c r="P51"/>
  <c r="HR443" i="77"/>
  <c r="W443" i="73" s="1"/>
  <c r="P443"/>
  <c r="DF246" i="77"/>
  <c r="W249" i="69" s="1"/>
  <c r="P249"/>
  <c r="FL352" i="77"/>
  <c r="W352" i="71" s="1"/>
  <c r="P352"/>
  <c r="FK245" i="77"/>
  <c r="V248" i="71" s="1"/>
  <c r="O248"/>
  <c r="FL70" i="77"/>
  <c r="W70" i="71" s="1"/>
  <c r="P70"/>
  <c r="W437" i="72"/>
  <c r="W413"/>
  <c r="W21"/>
  <c r="P21"/>
  <c r="O93" i="68"/>
  <c r="V206"/>
  <c r="O206"/>
  <c r="W193"/>
  <c r="P193"/>
  <c r="W122" i="69"/>
  <c r="W416"/>
  <c r="P416"/>
  <c r="DF428" i="77"/>
  <c r="W428" i="69" s="1"/>
  <c r="P428"/>
  <c r="W151"/>
  <c r="P151"/>
  <c r="V153"/>
  <c r="O153"/>
  <c r="V71"/>
  <c r="O71"/>
  <c r="V126" i="70"/>
  <c r="O126"/>
  <c r="EH248" i="77"/>
  <c r="O251" i="70"/>
  <c r="V216" i="65"/>
  <c r="W93"/>
  <c r="P93"/>
  <c r="AZ380" i="77"/>
  <c r="W380" i="65" s="1"/>
  <c r="P385"/>
  <c r="P388"/>
  <c r="W98"/>
  <c r="P98"/>
  <c r="V199"/>
  <c r="O199"/>
  <c r="AY28" i="77"/>
  <c r="V28" i="65" s="1"/>
  <c r="O28"/>
  <c r="O142" i="71"/>
  <c r="GO427" i="77"/>
  <c r="W427" i="72" s="1"/>
  <c r="P427"/>
  <c r="CC408" i="77"/>
  <c r="W408" i="68" s="1"/>
  <c r="P408"/>
  <c r="V123"/>
  <c r="O123"/>
  <c r="CC429" i="77"/>
  <c r="W429" i="68" s="1"/>
  <c r="P429"/>
  <c r="CC352" i="77"/>
  <c r="W352" i="68" s="1"/>
  <c r="P352"/>
  <c r="P142"/>
  <c r="W126"/>
  <c r="P126"/>
  <c r="HQ380" i="77"/>
  <c r="V380" i="73" s="1"/>
  <c r="O388"/>
  <c r="O385"/>
  <c r="V18"/>
  <c r="O18"/>
  <c r="DF96" i="77"/>
  <c r="P97" i="69"/>
  <c r="W123"/>
  <c r="P123"/>
  <c r="DE239" i="77"/>
  <c r="V245" i="69" s="1"/>
  <c r="O245"/>
  <c r="U193" i="74"/>
  <c r="X119"/>
  <c r="X143"/>
  <c r="X191" i="70"/>
  <c r="X217"/>
  <c r="T253" i="69"/>
  <c r="T217" i="71"/>
  <c r="T197"/>
  <c r="X126" i="73"/>
  <c r="DD370" i="77"/>
  <c r="T372" i="69"/>
  <c r="AX407" i="77"/>
  <c r="U407" i="65" s="1"/>
  <c r="T407"/>
  <c r="U13"/>
  <c r="T13"/>
  <c r="EI86" i="77"/>
  <c r="P90" i="70"/>
  <c r="EH255" i="77"/>
  <c r="V255" i="70" s="1"/>
  <c r="O255"/>
  <c r="AY406" i="77"/>
  <c r="V406" i="65" s="1"/>
  <c r="O406"/>
  <c r="V376"/>
  <c r="O376"/>
  <c r="AY204" i="77"/>
  <c r="V209" i="65" s="1"/>
  <c r="O209"/>
  <c r="W11"/>
  <c r="P11"/>
  <c r="AY36" i="77"/>
  <c r="V36" i="65" s="1"/>
  <c r="O36"/>
  <c r="AY26" i="77"/>
  <c r="V26" i="65" s="1"/>
  <c r="O26"/>
  <c r="EI422" i="77"/>
  <c r="W422" i="70" s="1"/>
  <c r="P422"/>
  <c r="EI360" i="77"/>
  <c r="P363" i="70"/>
  <c r="EI234" i="77"/>
  <c r="P240" i="70"/>
  <c r="EI26" i="77"/>
  <c r="W26" i="70" s="1"/>
  <c r="P26"/>
  <c r="AY373" i="77"/>
  <c r="V373" i="65" s="1"/>
  <c r="O373"/>
  <c r="AZ228" i="77"/>
  <c r="P220" i="65"/>
  <c r="EJ239" i="77"/>
  <c r="EM239" s="1"/>
  <c r="V245" i="70"/>
  <c r="V199"/>
  <c r="O199"/>
  <c r="V205" i="74"/>
  <c r="V122"/>
  <c r="EI402" i="77"/>
  <c r="W402" i="70" s="1"/>
  <c r="P402"/>
  <c r="EH90" i="77"/>
  <c r="V92" i="70" s="1"/>
  <c r="O92"/>
  <c r="EI59" i="77"/>
  <c r="W59" i="70" s="1"/>
  <c r="P59"/>
  <c r="V125" i="71"/>
  <c r="O125"/>
  <c r="U432" i="68"/>
  <c r="U417"/>
  <c r="CB435" i="77"/>
  <c r="V435" i="68" s="1"/>
  <c r="O435"/>
  <c r="CC64" i="77"/>
  <c r="W64" i="68" s="1"/>
  <c r="P64"/>
  <c r="W412" i="73"/>
  <c r="W419"/>
  <c r="W151"/>
  <c r="P151"/>
  <c r="O145"/>
  <c r="HR247" i="77"/>
  <c r="W250" i="73" s="1"/>
  <c r="P250"/>
  <c r="HQ38" i="77"/>
  <c r="V38" i="73" s="1"/>
  <c r="O38"/>
  <c r="DF449" i="77"/>
  <c r="W449" i="69" s="1"/>
  <c r="P449"/>
  <c r="DF423" i="77"/>
  <c r="W423" i="69" s="1"/>
  <c r="P423"/>
  <c r="O119"/>
  <c r="O143"/>
  <c r="V98"/>
  <c r="O98"/>
  <c r="DF257" i="77"/>
  <c r="W257" i="69" s="1"/>
  <c r="P257"/>
  <c r="DF23" i="77"/>
  <c r="W23" i="69" s="1"/>
  <c r="P23"/>
  <c r="FK96" i="77"/>
  <c r="V97" i="71" s="1"/>
  <c r="O97"/>
  <c r="FK233" i="77"/>
  <c r="V233" i="71" s="1"/>
  <c r="O239"/>
  <c r="GN38" i="77"/>
  <c r="V38" i="72" s="1"/>
  <c r="O38"/>
  <c r="W415" i="68"/>
  <c r="P415"/>
  <c r="V149"/>
  <c r="O149"/>
  <c r="O243" i="73"/>
  <c r="O204"/>
  <c r="V19"/>
  <c r="O19"/>
  <c r="W17"/>
  <c r="P17"/>
  <c r="DE404" i="77"/>
  <c r="V404" i="69" s="1"/>
  <c r="O404"/>
  <c r="O364"/>
  <c r="W431"/>
  <c r="P431"/>
  <c r="DE357" i="77"/>
  <c r="V357" i="69" s="1"/>
  <c r="O357"/>
  <c r="DE374" i="77"/>
  <c r="V374" i="69" s="1"/>
  <c r="O374"/>
  <c r="DE95" i="77"/>
  <c r="O96" i="69"/>
  <c r="DF204" i="77"/>
  <c r="W209" i="69" s="1"/>
  <c r="P209"/>
  <c r="V206" i="70"/>
  <c r="O206"/>
  <c r="V413" i="71"/>
  <c r="V437"/>
  <c r="W194"/>
  <c r="W118"/>
  <c r="FK82" i="77"/>
  <c r="V80" i="71" s="1"/>
  <c r="O80"/>
  <c r="P205" i="72"/>
  <c r="P122"/>
  <c r="T118" i="68"/>
  <c r="T194"/>
  <c r="U17" i="73"/>
  <c r="T17"/>
  <c r="EH405" i="77"/>
  <c r="O425" i="70"/>
  <c r="O405"/>
  <c r="EH88" i="77"/>
  <c r="O91" i="70"/>
  <c r="EI242" i="77"/>
  <c r="W246" i="70" s="1"/>
  <c r="P246"/>
  <c r="V197" i="65"/>
  <c r="V217"/>
  <c r="V421" i="70"/>
  <c r="O421"/>
  <c r="W194" i="74"/>
  <c r="W118"/>
  <c r="P376" i="70"/>
  <c r="IT69" i="77"/>
  <c r="V69" i="74" s="1"/>
  <c r="O69"/>
  <c r="EI370" i="77"/>
  <c r="P372" i="70"/>
  <c r="V217"/>
  <c r="O204"/>
  <c r="O243"/>
  <c r="EI28" i="77"/>
  <c r="W28" i="70" s="1"/>
  <c r="P28"/>
  <c r="W147" i="71"/>
  <c r="P147"/>
  <c r="W214"/>
  <c r="P214"/>
  <c r="FL256" i="77"/>
  <c r="W256" i="71" s="1"/>
  <c r="P256"/>
  <c r="GN33" i="77"/>
  <c r="V33" i="72" s="1"/>
  <c r="O33"/>
  <c r="V386" i="68"/>
  <c r="V389"/>
  <c r="CB428" i="77"/>
  <c r="V428" i="68" s="1"/>
  <c r="O428"/>
  <c r="P364"/>
  <c r="P145"/>
  <c r="V243" i="69"/>
  <c r="V126"/>
  <c r="O126"/>
  <c r="P191"/>
  <c r="P216"/>
  <c r="DE256" i="77"/>
  <c r="V256" i="69" s="1"/>
  <c r="O256"/>
  <c r="FL92" i="77"/>
  <c r="W94" i="71" s="1"/>
  <c r="P94"/>
  <c r="FL57" i="77"/>
  <c r="W57" i="71" s="1"/>
  <c r="P57"/>
  <c r="CC54" i="77"/>
  <c r="W54" i="68" s="1"/>
  <c r="P54"/>
  <c r="CC55" i="77"/>
  <c r="W55" i="68" s="1"/>
  <c r="P55"/>
  <c r="V119" i="73"/>
  <c r="V143"/>
  <c r="HR353" i="77"/>
  <c r="W353" i="73" s="1"/>
  <c r="P353"/>
  <c r="U437" i="69"/>
  <c r="DF247" i="77"/>
  <c r="W250" i="69" s="1"/>
  <c r="P250"/>
  <c r="DF235" i="77"/>
  <c r="P241" i="69"/>
  <c r="V415" i="65"/>
  <c r="O415"/>
  <c r="FK93" i="77"/>
  <c r="V95" i="71" s="1"/>
  <c r="O95"/>
  <c r="W388" i="68"/>
  <c r="W385"/>
  <c r="CC355" i="77"/>
  <c r="W355" i="68" s="1"/>
  <c r="P355"/>
  <c r="V365" i="73"/>
  <c r="HS65" i="77"/>
  <c r="HV65" s="1"/>
  <c r="V65" i="73"/>
  <c r="V142"/>
  <c r="V197"/>
  <c r="V217"/>
  <c r="HQ235" i="77"/>
  <c r="O241" i="73"/>
  <c r="V389" i="69"/>
  <c r="V386"/>
  <c r="U118" i="72"/>
  <c r="U194"/>
  <c r="W153" i="68"/>
  <c r="P153"/>
  <c r="CC26" i="77"/>
  <c r="W26" i="68" s="1"/>
  <c r="P26"/>
  <c r="CB57" i="77"/>
  <c r="V57" i="68" s="1"/>
  <c r="O57"/>
  <c r="DE462" i="77"/>
  <c r="V462" i="69" s="1"/>
  <c r="O462"/>
  <c r="W401"/>
  <c r="P401"/>
  <c r="W148"/>
  <c r="P148"/>
  <c r="DE242" i="77"/>
  <c r="O246" i="69"/>
  <c r="W197" i="72"/>
  <c r="W217"/>
  <c r="V119" i="68"/>
  <c r="V143"/>
  <c r="CB457" i="77"/>
  <c r="V457" i="68" s="1"/>
  <c r="O457"/>
  <c r="CC50" i="77"/>
  <c r="W50" i="68" s="1"/>
  <c r="P50"/>
  <c r="HQ232" i="77"/>
  <c r="O221" i="73"/>
  <c r="HR67" i="77"/>
  <c r="W67" i="73" s="1"/>
  <c r="P67"/>
  <c r="W441" i="69"/>
  <c r="P441"/>
  <c r="V128"/>
  <c r="O128"/>
  <c r="DF232" i="77"/>
  <c r="P221" i="69"/>
  <c r="DE33" i="77"/>
  <c r="V33" i="69" s="1"/>
  <c r="O33"/>
  <c r="CA39" i="77"/>
  <c r="U39" i="68" s="1"/>
  <c r="T39"/>
  <c r="W421"/>
  <c r="P421"/>
  <c r="O79"/>
  <c r="V61"/>
  <c r="O61"/>
  <c r="V124" i="73"/>
  <c r="O124"/>
  <c r="P253"/>
  <c r="DF457" i="77"/>
  <c r="W457" i="69" s="1"/>
  <c r="P457"/>
  <c r="V415"/>
  <c r="O415"/>
  <c r="DF422" i="77"/>
  <c r="W422" i="69" s="1"/>
  <c r="P422"/>
  <c r="DE85" i="77"/>
  <c r="O89" i="69"/>
  <c r="O200"/>
  <c r="X405" i="72"/>
  <c r="X425"/>
  <c r="CA84" i="77"/>
  <c r="T82" i="68"/>
  <c r="CB462" i="77"/>
  <c r="V462" i="68" s="1"/>
  <c r="O462"/>
  <c r="CB434" i="77"/>
  <c r="V434" i="68" s="1"/>
  <c r="O434"/>
  <c r="CC257" i="77"/>
  <c r="W257" i="68" s="1"/>
  <c r="P257"/>
  <c r="O412" i="69"/>
  <c r="O419"/>
  <c r="DE426" i="77"/>
  <c r="V426" i="69" s="1"/>
  <c r="O426"/>
  <c r="DF368" i="77"/>
  <c r="W368" i="69" s="1"/>
  <c r="P368"/>
  <c r="P144"/>
  <c r="DE227" i="77"/>
  <c r="O219" i="69"/>
  <c r="W425" i="71"/>
  <c r="W405"/>
  <c r="V143" i="72"/>
  <c r="V119"/>
  <c r="GO23" i="77"/>
  <c r="W23" i="72" s="1"/>
  <c r="P23"/>
  <c r="W122" i="68"/>
  <c r="W243"/>
  <c r="W204"/>
  <c r="O414"/>
  <c r="O438"/>
  <c r="CB430" i="77"/>
  <c r="V430" i="68" s="1"/>
  <c r="O430"/>
  <c r="DE83" i="77"/>
  <c r="O81" i="69"/>
  <c r="V214"/>
  <c r="O214"/>
  <c r="DF28" i="77"/>
  <c r="W28" i="69" s="1"/>
  <c r="P28"/>
  <c r="W31"/>
  <c r="P31"/>
  <c r="GN244" i="77"/>
  <c r="V247" i="72" s="1"/>
  <c r="O247"/>
  <c r="W211" i="73"/>
  <c r="P211"/>
  <c r="HR63" i="77"/>
  <c r="W63" i="73" s="1"/>
  <c r="P63"/>
  <c r="DE439" i="77"/>
  <c r="V439" i="69" s="1"/>
  <c r="O439"/>
  <c r="V51"/>
  <c r="O51"/>
  <c r="DF60" i="77"/>
  <c r="W60" i="69" s="1"/>
  <c r="P60"/>
  <c r="HR378" i="77"/>
  <c r="P384" i="73"/>
  <c r="V14"/>
  <c r="O14"/>
  <c r="P207"/>
  <c r="DE358" i="77"/>
  <c r="V213" i="69"/>
  <c r="O213"/>
  <c r="IS233" i="77"/>
  <c r="T239" i="74"/>
  <c r="FJ40" i="77"/>
  <c r="U40" i="71" s="1"/>
  <c r="T40"/>
  <c r="CA430" i="77"/>
  <c r="U430" i="68" s="1"/>
  <c r="T430"/>
  <c r="DD256" i="77"/>
  <c r="U256" i="69" s="1"/>
  <c r="T256"/>
  <c r="AA240" i="74"/>
  <c r="X240"/>
  <c r="T118" i="70"/>
  <c r="T194"/>
  <c r="DD62" i="77"/>
  <c r="U62" i="69" s="1"/>
  <c r="T62"/>
  <c r="AA422" i="39"/>
  <c r="AD422" i="77"/>
  <c r="AD422" i="39" s="1"/>
  <c r="AC422" i="77"/>
  <c r="AC422" i="39" s="1"/>
  <c r="AA55"/>
  <c r="AD55" i="77"/>
  <c r="AD55" i="39" s="1"/>
  <c r="AC55" i="77"/>
  <c r="AC55" i="39" s="1"/>
  <c r="AA449" i="65"/>
  <c r="BG449" i="77"/>
  <c r="AD449" i="65" s="1"/>
  <c r="BF449" i="77"/>
  <c r="AC449" i="65" s="1"/>
  <c r="U122" i="69"/>
  <c r="EG420" i="77"/>
  <c r="U420" i="70" s="1"/>
  <c r="T420"/>
  <c r="U194" i="73"/>
  <c r="U118"/>
  <c r="U119"/>
  <c r="U143"/>
  <c r="U119" i="68"/>
  <c r="U143"/>
  <c r="AX405" i="77"/>
  <c r="T405" i="65"/>
  <c r="T425"/>
  <c r="U217" i="70"/>
  <c r="U197"/>
  <c r="U388"/>
  <c r="U385"/>
  <c r="CA245" i="77"/>
  <c r="T248" i="68"/>
  <c r="GP235" i="77"/>
  <c r="U18" i="65"/>
  <c r="EJ437" i="77"/>
  <c r="EM437" s="1"/>
  <c r="FM23"/>
  <c r="FP23" s="1"/>
  <c r="GP423"/>
  <c r="GS423" s="1"/>
  <c r="GP26"/>
  <c r="GS26" s="1"/>
  <c r="GP352"/>
  <c r="GS352" s="1"/>
  <c r="HS244"/>
  <c r="HV244" s="1"/>
  <c r="DG38"/>
  <c r="DJ38" s="1"/>
  <c r="U151" i="68"/>
  <c r="GP82" i="77"/>
  <c r="CD402"/>
  <c r="CG402" s="1"/>
  <c r="X183" i="69"/>
  <c r="X98" i="71"/>
  <c r="GP455" i="77"/>
  <c r="GS455" s="1"/>
  <c r="DG93"/>
  <c r="DJ93" s="1"/>
  <c r="FJ22"/>
  <c r="U22" i="71" s="1"/>
  <c r="HS224" i="77"/>
  <c r="HV224" s="1"/>
  <c r="DD39"/>
  <c r="U39" i="69" s="1"/>
  <c r="U11"/>
  <c r="FK59" i="77"/>
  <c r="V59" i="71" s="1"/>
  <c r="O59"/>
  <c r="P216" i="68"/>
  <c r="P191"/>
  <c r="CB232" i="77"/>
  <c r="O221" i="68"/>
  <c r="HQ443" i="77"/>
  <c r="V443" i="73" s="1"/>
  <c r="O443"/>
  <c r="HR42" i="77"/>
  <c r="W42" i="73" s="1"/>
  <c r="P42"/>
  <c r="DE359" i="77"/>
  <c r="O362" i="69"/>
  <c r="DE355" i="77"/>
  <c r="V355" i="69" s="1"/>
  <c r="O355"/>
  <c r="W78"/>
  <c r="P78"/>
  <c r="V215"/>
  <c r="O215"/>
  <c r="DF236" i="77"/>
  <c r="P242" i="69"/>
  <c r="FK352" i="77"/>
  <c r="V352" i="71" s="1"/>
  <c r="O352"/>
  <c r="V437" i="72"/>
  <c r="V413"/>
  <c r="W146" i="68"/>
  <c r="P146"/>
  <c r="V193"/>
  <c r="O193"/>
  <c r="CC200" i="77"/>
  <c r="W208" i="68" s="1"/>
  <c r="P208"/>
  <c r="O376" i="73"/>
  <c r="P120"/>
  <c r="V122" i="69"/>
  <c r="DF448" i="77"/>
  <c r="W448" i="69" s="1"/>
  <c r="P448"/>
  <c r="DE226" i="77"/>
  <c r="O218" i="69"/>
  <c r="DE36" i="77"/>
  <c r="V36" i="69" s="1"/>
  <c r="O36"/>
  <c r="DF46" i="77"/>
  <c r="W46" i="69" s="1"/>
  <c r="P46"/>
  <c r="W126" i="70"/>
  <c r="P126"/>
  <c r="V19"/>
  <c r="O19"/>
  <c r="W216" i="65"/>
  <c r="V93"/>
  <c r="O93"/>
  <c r="AZ359" i="77"/>
  <c r="P362" i="65"/>
  <c r="V98"/>
  <c r="O98"/>
  <c r="AY234" i="77"/>
  <c r="O240" i="65"/>
  <c r="AZ28" i="77"/>
  <c r="W28" i="65" s="1"/>
  <c r="P28"/>
  <c r="P142" i="71"/>
  <c r="GN427" i="77"/>
  <c r="V427" i="72" s="1"/>
  <c r="O427"/>
  <c r="CB408" i="77"/>
  <c r="V408" i="68" s="1"/>
  <c r="O408"/>
  <c r="CB429" i="77"/>
  <c r="V429" i="68" s="1"/>
  <c r="O429"/>
  <c r="CB352" i="77"/>
  <c r="V352" i="68" s="1"/>
  <c r="O352"/>
  <c r="CB82" i="77"/>
  <c r="O80" i="68"/>
  <c r="V126"/>
  <c r="O126"/>
  <c r="HR256" i="77"/>
  <c r="W256" i="73" s="1"/>
  <c r="P256"/>
  <c r="DE96" i="77"/>
  <c r="V97" i="69" s="1"/>
  <c r="O97"/>
  <c r="DE352" i="77"/>
  <c r="V352" i="69" s="1"/>
  <c r="O352"/>
  <c r="DF32" i="77"/>
  <c r="W32" i="69" s="1"/>
  <c r="P32"/>
  <c r="IV257" i="77"/>
  <c r="IY257" s="1"/>
  <c r="U257" i="74"/>
  <c r="X194"/>
  <c r="X385" i="68"/>
  <c r="EH86" i="77"/>
  <c r="O90" i="70"/>
  <c r="U118"/>
  <c r="U194"/>
  <c r="V11" i="65"/>
  <c r="O11"/>
  <c r="AZ36" i="77"/>
  <c r="W36" i="65" s="1"/>
  <c r="P36"/>
  <c r="AZ26" i="77"/>
  <c r="W26" i="65" s="1"/>
  <c r="P26"/>
  <c r="EI409" i="77"/>
  <c r="W409" i="70" s="1"/>
  <c r="P409"/>
  <c r="EI249" i="77"/>
  <c r="W252" i="70" s="1"/>
  <c r="P252"/>
  <c r="EH234" i="77"/>
  <c r="O240" i="70"/>
  <c r="EH26" i="77"/>
  <c r="V26" i="70" s="1"/>
  <c r="O26"/>
  <c r="AZ373" i="77"/>
  <c r="W373" i="65" s="1"/>
  <c r="P373"/>
  <c r="AY42" i="77"/>
  <c r="V42" i="65" s="1"/>
  <c r="O42"/>
  <c r="O413" i="70"/>
  <c r="O437"/>
  <c r="W205" i="74"/>
  <c r="W122"/>
  <c r="U122" i="70"/>
  <c r="U205"/>
  <c r="AZ462" i="77"/>
  <c r="W462" i="65" s="1"/>
  <c r="P462"/>
  <c r="AY88" i="77"/>
  <c r="O91" i="65"/>
  <c r="AY249" i="77"/>
  <c r="V252" i="65" s="1"/>
  <c r="O252"/>
  <c r="W12"/>
  <c r="P12"/>
  <c r="O432" i="68"/>
  <c r="O417"/>
  <c r="W21"/>
  <c r="P21"/>
  <c r="V412" i="73"/>
  <c r="V419"/>
  <c r="HR358" i="77"/>
  <c r="W358" i="73" s="1"/>
  <c r="P145"/>
  <c r="HQ247" i="77"/>
  <c r="V250" i="73" s="1"/>
  <c r="O250"/>
  <c r="HR24" i="77"/>
  <c r="W24" i="73" s="1"/>
  <c r="P24"/>
  <c r="DE449" i="77"/>
  <c r="V449" i="69" s="1"/>
  <c r="O449"/>
  <c r="W411"/>
  <c r="P411"/>
  <c r="DE423" i="77"/>
  <c r="V423" i="69" s="1"/>
  <c r="O423"/>
  <c r="P119"/>
  <c r="P143"/>
  <c r="DE257" i="77"/>
  <c r="V257" i="69" s="1"/>
  <c r="O257"/>
  <c r="DE23" i="77"/>
  <c r="V23" i="69" s="1"/>
  <c r="O23"/>
  <c r="DE66" i="77"/>
  <c r="V66" i="69" s="1"/>
  <c r="O66"/>
  <c r="FL233" i="77"/>
  <c r="P239" i="71"/>
  <c r="GO38" i="77"/>
  <c r="W38" i="72" s="1"/>
  <c r="P38"/>
  <c r="W11"/>
  <c r="P11"/>
  <c r="GN65" i="77"/>
  <c r="V65" i="72" s="1"/>
  <c r="O65"/>
  <c r="W149" i="68"/>
  <c r="P149"/>
  <c r="P204" i="73"/>
  <c r="P243"/>
  <c r="V17"/>
  <c r="O17"/>
  <c r="DF430" i="77"/>
  <c r="W430" i="69" s="1"/>
  <c r="P430"/>
  <c r="DF357" i="77"/>
  <c r="W357" i="69" s="1"/>
  <c r="P357"/>
  <c r="DF444" i="77"/>
  <c r="W444" i="69" s="1"/>
  <c r="P444"/>
  <c r="DF228" i="77"/>
  <c r="P220" i="69"/>
  <c r="EI429" i="77"/>
  <c r="W429" i="70" s="1"/>
  <c r="P429"/>
  <c r="EI368" i="77"/>
  <c r="W368" i="70" s="1"/>
  <c r="P368"/>
  <c r="EH227" i="77"/>
  <c r="O219" i="70"/>
  <c r="P206"/>
  <c r="EI257" i="77"/>
  <c r="W257" i="70" s="1"/>
  <c r="P257"/>
  <c r="V118" i="72"/>
  <c r="O205"/>
  <c r="O122"/>
  <c r="X405" i="74"/>
  <c r="X425"/>
  <c r="CA44" i="77"/>
  <c r="U44" i="68" s="1"/>
  <c r="T44"/>
  <c r="CA53" i="77"/>
  <c r="U53" i="68" s="1"/>
  <c r="T53"/>
  <c r="EI423" i="77"/>
  <c r="W423" i="70" s="1"/>
  <c r="P423"/>
  <c r="EH242" i="77"/>
  <c r="V246" i="70" s="1"/>
  <c r="O246"/>
  <c r="W197" i="65"/>
  <c r="W217"/>
  <c r="V149" i="74"/>
  <c r="O149"/>
  <c r="W421" i="70"/>
  <c r="P421"/>
  <c r="V118" i="74"/>
  <c r="V194"/>
  <c r="P412" i="70"/>
  <c r="P419"/>
  <c r="O121"/>
  <c r="EH357" i="77"/>
  <c r="V357" i="70" s="1"/>
  <c r="O357"/>
  <c r="W217" i="74"/>
  <c r="W197"/>
  <c r="W217" i="70"/>
  <c r="O195"/>
  <c r="EH30" i="77"/>
  <c r="V30" i="70" s="1"/>
  <c r="O30"/>
  <c r="FK256" i="77"/>
  <c r="V256" i="71" s="1"/>
  <c r="O256"/>
  <c r="W16" i="72"/>
  <c r="P16"/>
  <c r="W386" i="68"/>
  <c r="W389"/>
  <c r="CC407" i="77"/>
  <c r="W407" i="68" s="1"/>
  <c r="P407"/>
  <c r="O145"/>
  <c r="W204" i="69"/>
  <c r="W243"/>
  <c r="V125"/>
  <c r="O125"/>
  <c r="DF436" i="77"/>
  <c r="W436" i="69" s="1"/>
  <c r="P436"/>
  <c r="DF205" i="77"/>
  <c r="W210" i="69" s="1"/>
  <c r="P210"/>
  <c r="P192"/>
  <c r="DE53" i="77"/>
  <c r="V53" i="69" s="1"/>
  <c r="O53"/>
  <c r="FK92" i="77"/>
  <c r="V94" i="71" s="1"/>
  <c r="O94"/>
  <c r="W124"/>
  <c r="P124"/>
  <c r="FK57" i="77"/>
  <c r="V57" i="71" s="1"/>
  <c r="O57"/>
  <c r="DE408" i="77"/>
  <c r="V408" i="69" s="1"/>
  <c r="O408"/>
  <c r="P413"/>
  <c r="P437"/>
  <c r="DE247" i="77"/>
  <c r="V250" i="69" s="1"/>
  <c r="O250"/>
  <c r="DE235" i="77"/>
  <c r="O241" i="69"/>
  <c r="AY57" i="77"/>
  <c r="V57" i="65" s="1"/>
  <c r="O57"/>
  <c r="V385" i="68"/>
  <c r="V388"/>
  <c r="CB355" i="77"/>
  <c r="V355" i="68" s="1"/>
  <c r="O355"/>
  <c r="P195"/>
  <c r="W217" i="73"/>
  <c r="W197"/>
  <c r="P192"/>
  <c r="W389" i="69"/>
  <c r="W386"/>
  <c r="FL58" i="77"/>
  <c r="W58" i="71" s="1"/>
  <c r="P58"/>
  <c r="FK37" i="77"/>
  <c r="V37" i="71" s="1"/>
  <c r="O37"/>
  <c r="CB423" i="77"/>
  <c r="V423" i="68" s="1"/>
  <c r="O423"/>
  <c r="P128"/>
  <c r="W207"/>
  <c r="P207"/>
  <c r="CB26" i="77"/>
  <c r="V26" i="68" s="1"/>
  <c r="O26"/>
  <c r="CC57" i="77"/>
  <c r="W57" i="68" s="1"/>
  <c r="P57"/>
  <c r="V401" i="69"/>
  <c r="O401"/>
  <c r="P100"/>
  <c r="O207"/>
  <c r="DE29" i="77"/>
  <c r="V29" i="69" s="1"/>
  <c r="O29"/>
  <c r="P216" i="71"/>
  <c r="P191"/>
  <c r="GP253" i="77"/>
  <c r="GS253" s="1"/>
  <c r="V254" i="72"/>
  <c r="W419"/>
  <c r="W412"/>
  <c r="W119" i="68"/>
  <c r="W143"/>
  <c r="CC457" i="77"/>
  <c r="W457" i="68" s="1"/>
  <c r="P457"/>
  <c r="W416"/>
  <c r="P416"/>
  <c r="V151"/>
  <c r="O151"/>
  <c r="CB227" i="77"/>
  <c r="O219" i="68"/>
  <c r="CB37" i="77"/>
  <c r="V37" i="68" s="1"/>
  <c r="O37"/>
  <c r="HS448" i="77"/>
  <c r="HV448" s="1"/>
  <c r="V448" i="73"/>
  <c r="O386"/>
  <c r="O389"/>
  <c r="W128" i="69"/>
  <c r="P128"/>
  <c r="U367"/>
  <c r="DE238" i="77"/>
  <c r="O244" i="69"/>
  <c r="X124" i="72"/>
  <c r="X243" i="68"/>
  <c r="X204"/>
  <c r="CA86" i="77"/>
  <c r="T90" i="68"/>
  <c r="HP232" i="77"/>
  <c r="T221" i="73"/>
  <c r="FK355" i="77"/>
  <c r="V355" i="71" s="1"/>
  <c r="O355"/>
  <c r="GO36" i="77"/>
  <c r="W36" i="72" s="1"/>
  <c r="P36"/>
  <c r="V421" i="68"/>
  <c r="O421"/>
  <c r="V150"/>
  <c r="O150"/>
  <c r="CB248" i="77"/>
  <c r="O251" i="68"/>
  <c r="P438" i="69"/>
  <c r="P414"/>
  <c r="O461"/>
  <c r="FJ72" i="77"/>
  <c r="U72" i="71" s="1"/>
  <c r="T72"/>
  <c r="T195" i="69"/>
  <c r="CC233" i="77"/>
  <c r="P239" i="68"/>
  <c r="CB30" i="77"/>
  <c r="V30" i="68" s="1"/>
  <c r="O30"/>
  <c r="U412" i="69"/>
  <c r="DF429" i="77"/>
  <c r="W429" i="69" s="1"/>
  <c r="P429"/>
  <c r="DE368" i="77"/>
  <c r="V368" i="69" s="1"/>
  <c r="O368"/>
  <c r="O144"/>
  <c r="P142"/>
  <c r="DF227" i="77"/>
  <c r="P219" i="69"/>
  <c r="W61"/>
  <c r="P61"/>
  <c r="FK40" i="77"/>
  <c r="V40" i="71" s="1"/>
  <c r="O40"/>
  <c r="FL65" i="77"/>
  <c r="W65" i="71" s="1"/>
  <c r="P65"/>
  <c r="GN23" i="77"/>
  <c r="V23" i="72" s="1"/>
  <c r="O23"/>
  <c r="V122" i="68"/>
  <c r="V243"/>
  <c r="V204"/>
  <c r="P438"/>
  <c r="P414"/>
  <c r="CB409" i="77"/>
  <c r="V409" i="68" s="1"/>
  <c r="O409"/>
  <c r="P199"/>
  <c r="CB239" i="77"/>
  <c r="O245" i="68"/>
  <c r="W79" i="69"/>
  <c r="P79"/>
  <c r="U121"/>
  <c r="DF84" i="77"/>
  <c r="P82" i="69"/>
  <c r="DE248" i="77"/>
  <c r="V248" i="69" s="1"/>
  <c r="O251"/>
  <c r="V31"/>
  <c r="O31"/>
  <c r="W11"/>
  <c r="P11"/>
  <c r="DD227" i="77"/>
  <c r="T219" i="69"/>
  <c r="CA457" i="77"/>
  <c r="U457" i="68" s="1"/>
  <c r="T457"/>
  <c r="GO244" i="77"/>
  <c r="W247" i="72" s="1"/>
  <c r="P247"/>
  <c r="GN58" i="77"/>
  <c r="V58" i="72" s="1"/>
  <c r="O58"/>
  <c r="P203" i="73"/>
  <c r="HQ63" i="77"/>
  <c r="V63" i="73" s="1"/>
  <c r="O63"/>
  <c r="HQ70" i="77"/>
  <c r="V70" i="73" s="1"/>
  <c r="O70"/>
  <c r="DF439" i="77"/>
  <c r="W439" i="69" s="1"/>
  <c r="P439"/>
  <c r="DF234" i="77"/>
  <c r="P240" i="69"/>
  <c r="W51"/>
  <c r="P51"/>
  <c r="W79" i="71"/>
  <c r="P79"/>
  <c r="GO22" i="77"/>
  <c r="W22" i="72" s="1"/>
  <c r="P22"/>
  <c r="P202" i="68"/>
  <c r="HQ378" i="77"/>
  <c r="O384" i="73"/>
  <c r="HQ253" i="77"/>
  <c r="V254" i="73" s="1"/>
  <c r="O254"/>
  <c r="O207"/>
  <c r="HR62" i="77"/>
  <c r="W62" i="73" s="1"/>
  <c r="P62"/>
  <c r="V421" i="69"/>
  <c r="O421"/>
  <c r="O198"/>
  <c r="T389" i="70"/>
  <c r="T386"/>
  <c r="T216" i="69"/>
  <c r="T191"/>
  <c r="U149" i="68"/>
  <c r="T149"/>
  <c r="X364" i="74"/>
  <c r="T204" i="70"/>
  <c r="T243"/>
  <c r="T122" i="65"/>
  <c r="T205"/>
  <c r="DD444" i="77"/>
  <c r="U444" i="69" s="1"/>
  <c r="T444"/>
  <c r="DD436" i="77"/>
  <c r="U436" i="69" s="1"/>
  <c r="T436"/>
  <c r="CA248" i="77"/>
  <c r="T251" i="68"/>
  <c r="DD457" i="77"/>
  <c r="U457" i="69" s="1"/>
  <c r="T457"/>
  <c r="T217"/>
  <c r="T197"/>
  <c r="U15" i="74"/>
  <c r="T15"/>
  <c r="U197" i="65"/>
  <c r="U217"/>
  <c r="U437" i="68"/>
  <c r="U413"/>
  <c r="HP236" i="77"/>
  <c r="T242" i="73"/>
  <c r="CA30" i="77"/>
  <c r="U30" i="68" s="1"/>
  <c r="T30"/>
  <c r="U191" i="70"/>
  <c r="U216"/>
  <c r="U385" i="68"/>
  <c r="U388"/>
  <c r="CA455" i="77"/>
  <c r="U455" i="68" s="1"/>
  <c r="T455"/>
  <c r="U197" i="72"/>
  <c r="U217"/>
  <c r="DD422" i="77"/>
  <c r="U422" i="69" s="1"/>
  <c r="T422"/>
  <c r="AA408" i="39"/>
  <c r="AD408" i="77"/>
  <c r="AD408" i="39" s="1"/>
  <c r="AC408" i="77"/>
  <c r="AC408" i="39" s="1"/>
  <c r="U194" i="65"/>
  <c r="U143" i="72"/>
  <c r="U119"/>
  <c r="EG405" i="77"/>
  <c r="T405" i="70"/>
  <c r="T425"/>
  <c r="T149" i="71"/>
  <c r="U461" i="70"/>
  <c r="T461"/>
  <c r="U386" i="68"/>
  <c r="U389"/>
  <c r="U386" i="69"/>
  <c r="U389"/>
  <c r="DD443" i="77"/>
  <c r="U443" i="69" s="1"/>
  <c r="T443"/>
  <c r="U388" i="73"/>
  <c r="U385"/>
  <c r="U122" i="68"/>
  <c r="U205"/>
  <c r="U461" i="69"/>
  <c r="T461"/>
  <c r="BA247" i="77"/>
  <c r="BD247" s="1"/>
  <c r="AY48"/>
  <c r="V48" i="65" s="1"/>
  <c r="O48"/>
  <c r="IU233" i="77"/>
  <c r="P239" i="74"/>
  <c r="IU58" i="77"/>
  <c r="W58" i="74" s="1"/>
  <c r="P58"/>
  <c r="EI85" i="77"/>
  <c r="P89" i="70"/>
  <c r="EI228" i="77"/>
  <c r="P220" i="70"/>
  <c r="AZ22" i="77"/>
  <c r="W22" i="65" s="1"/>
  <c r="P22"/>
  <c r="W153" i="74"/>
  <c r="P153"/>
  <c r="EH359" i="77"/>
  <c r="O362" i="70"/>
  <c r="FM24" i="77"/>
  <c r="FP24" s="1"/>
  <c r="V24" i="71"/>
  <c r="V401" i="70"/>
  <c r="O401"/>
  <c r="V93"/>
  <c r="O93"/>
  <c r="O119"/>
  <c r="O143"/>
  <c r="O196"/>
  <c r="X114" i="65"/>
  <c r="V121"/>
  <c r="BA236" i="77"/>
  <c r="V242" i="65"/>
  <c r="AY27" i="77"/>
  <c r="V27" i="65" s="1"/>
  <c r="O27"/>
  <c r="O120" i="71"/>
  <c r="FL69" i="77"/>
  <c r="W69" i="71" s="1"/>
  <c r="P69"/>
  <c r="GN67" i="77"/>
  <c r="V67" i="72" s="1"/>
  <c r="O67"/>
  <c r="CC420" i="77"/>
  <c r="W420" i="68" s="1"/>
  <c r="P420"/>
  <c r="W365"/>
  <c r="P365"/>
  <c r="CC96" i="77"/>
  <c r="W97" i="68" s="1"/>
  <c r="P97"/>
  <c r="O197"/>
  <c r="O217"/>
  <c r="CB73" i="77"/>
  <c r="V73" i="68" s="1"/>
  <c r="O73"/>
  <c r="W118" i="73"/>
  <c r="W194"/>
  <c r="HR238" i="77"/>
  <c r="P244" i="73"/>
  <c r="O417" i="69"/>
  <c r="O432"/>
  <c r="V365"/>
  <c r="O365"/>
  <c r="V150"/>
  <c r="O150"/>
  <c r="O201"/>
  <c r="DE30" i="77"/>
  <c r="V30" i="69" s="1"/>
  <c r="O30"/>
  <c r="CB449" i="77"/>
  <c r="V449" i="68" s="1"/>
  <c r="O449"/>
  <c r="V78"/>
  <c r="O78"/>
  <c r="CB45" i="77"/>
  <c r="V45" i="68" s="1"/>
  <c r="O45"/>
  <c r="CC20" i="77"/>
  <c r="W20" i="68" s="1"/>
  <c r="P20"/>
  <c r="HQ40" i="77"/>
  <c r="V40" i="73" s="1"/>
  <c r="O40"/>
  <c r="HR59" i="77"/>
  <c r="W59" i="73" s="1"/>
  <c r="P59"/>
  <c r="U118" i="69"/>
  <c r="U194"/>
  <c r="W124"/>
  <c r="P124"/>
  <c r="DE45" i="77"/>
  <c r="V45" i="69" s="1"/>
  <c r="O45"/>
  <c r="V123" i="70"/>
  <c r="O123"/>
  <c r="P201"/>
  <c r="W148"/>
  <c r="P148"/>
  <c r="W194" i="65"/>
  <c r="U437"/>
  <c r="U413"/>
  <c r="AY360" i="77"/>
  <c r="O363" i="65"/>
  <c r="AY86" i="77"/>
  <c r="O90" i="65"/>
  <c r="P213"/>
  <c r="FM227" i="77"/>
  <c r="V219" i="71"/>
  <c r="X121"/>
  <c r="V123"/>
  <c r="FL236" i="77"/>
  <c r="P242" i="71"/>
  <c r="IV29" i="77"/>
  <c r="IY29" s="1"/>
  <c r="U29" i="74"/>
  <c r="U98"/>
  <c r="EJ40" i="77"/>
  <c r="EM40" s="1"/>
  <c r="U40" i="70"/>
  <c r="BA420" i="77"/>
  <c r="BD420" s="1"/>
  <c r="U420" i="65"/>
  <c r="IV23" i="77"/>
  <c r="IY23" s="1"/>
  <c r="U23" i="74"/>
  <c r="X199"/>
  <c r="U199"/>
  <c r="FM448" i="77"/>
  <c r="FP448" s="1"/>
  <c r="U448" i="71"/>
  <c r="IV246" i="77"/>
  <c r="IY246" s="1"/>
  <c r="U249" i="74"/>
  <c r="U205"/>
  <c r="U122"/>
  <c r="U207" i="65"/>
  <c r="AX85" i="77"/>
  <c r="T89" i="65"/>
  <c r="U461" i="71"/>
  <c r="GP242" i="77"/>
  <c r="GS242" s="1"/>
  <c r="U246" i="72"/>
  <c r="U17"/>
  <c r="T17"/>
  <c r="CA46" i="77"/>
  <c r="U46" i="68" s="1"/>
  <c r="T46"/>
  <c r="X170" i="73"/>
  <c r="U196"/>
  <c r="U412"/>
  <c r="U419"/>
  <c r="HS95" i="77"/>
  <c r="HV95" s="1"/>
  <c r="U96" i="73"/>
  <c r="U206" i="69"/>
  <c r="T206"/>
  <c r="X169" i="71"/>
  <c r="U195"/>
  <c r="X361" i="72"/>
  <c r="U364"/>
  <c r="U376"/>
  <c r="CD234" i="77"/>
  <c r="U240" i="68"/>
  <c r="U21" i="65"/>
  <c r="BA253" i="77"/>
  <c r="BD253" s="1"/>
  <c r="U254" i="65"/>
  <c r="T143"/>
  <c r="T119"/>
  <c r="FM435" i="77"/>
  <c r="FP435" s="1"/>
  <c r="U435" i="71"/>
  <c r="FJ67" i="77"/>
  <c r="U67" i="71" s="1"/>
  <c r="T67"/>
  <c r="GP30" i="77"/>
  <c r="GS30" s="1"/>
  <c r="U30" i="72"/>
  <c r="GP443" i="77"/>
  <c r="GS443" s="1"/>
  <c r="U443" i="72"/>
  <c r="W14"/>
  <c r="T14"/>
  <c r="DD20" i="77"/>
  <c r="U20" i="69" s="1"/>
  <c r="T20"/>
  <c r="V413" i="74"/>
  <c r="V437"/>
  <c r="IU245" i="77"/>
  <c r="W248" i="74" s="1"/>
  <c r="P248"/>
  <c r="EI60" i="77"/>
  <c r="W60" i="70" s="1"/>
  <c r="P60"/>
  <c r="AY374" i="77"/>
  <c r="V374" i="65" s="1"/>
  <c r="O374"/>
  <c r="W419" i="74"/>
  <c r="W412"/>
  <c r="EH430" i="77"/>
  <c r="V430" i="70" s="1"/>
  <c r="O430"/>
  <c r="EH32" i="77"/>
  <c r="V32" i="70" s="1"/>
  <c r="O32"/>
  <c r="BA38" i="77"/>
  <c r="BD38" s="1"/>
  <c r="V38" i="65"/>
  <c r="AY435" i="77"/>
  <c r="V435" i="65" s="1"/>
  <c r="O435"/>
  <c r="U386"/>
  <c r="U389"/>
  <c r="P204"/>
  <c r="P243"/>
  <c r="W41"/>
  <c r="P41"/>
  <c r="W143" i="71"/>
  <c r="W119"/>
  <c r="U389" i="70"/>
  <c r="U386"/>
  <c r="O461"/>
  <c r="V13" i="74"/>
  <c r="O13"/>
  <c r="V12" i="70"/>
  <c r="O12"/>
  <c r="EH226" i="77"/>
  <c r="O218" i="70"/>
  <c r="AY443" i="77"/>
  <c r="V443" i="65" s="1"/>
  <c r="O443"/>
  <c r="O205"/>
  <c r="O122"/>
  <c r="FL59" i="77"/>
  <c r="W59" i="71" s="1"/>
  <c r="P59"/>
  <c r="FL73" i="77"/>
  <c r="W73" i="71" s="1"/>
  <c r="P73"/>
  <c r="V437" i="68"/>
  <c r="V413"/>
  <c r="CB455" i="77"/>
  <c r="V455" i="68" s="1"/>
  <c r="O455"/>
  <c r="CC232" i="77"/>
  <c r="P221" i="68"/>
  <c r="CC205" i="77"/>
  <c r="W210" i="68" s="1"/>
  <c r="P210"/>
  <c r="CB29" i="77"/>
  <c r="V29" i="68" s="1"/>
  <c r="O29"/>
  <c r="HQ205" i="77"/>
  <c r="V210" i="73" s="1"/>
  <c r="O210"/>
  <c r="DE435" i="77"/>
  <c r="V435" i="69" s="1"/>
  <c r="O435"/>
  <c r="DF355" i="77"/>
  <c r="W355" i="69" s="1"/>
  <c r="P355"/>
  <c r="O78"/>
  <c r="DE246" i="77"/>
  <c r="V249" i="69" s="1"/>
  <c r="O249"/>
  <c r="DE236" i="77"/>
  <c r="V236" i="69" s="1"/>
  <c r="O242"/>
  <c r="DF44" i="77"/>
  <c r="W44" i="69" s="1"/>
  <c r="P44"/>
  <c r="V412" i="71"/>
  <c r="V419"/>
  <c r="FL245" i="77"/>
  <c r="W248" i="71" s="1"/>
  <c r="P248"/>
  <c r="FL66" i="77"/>
  <c r="W66" i="71" s="1"/>
  <c r="P66"/>
  <c r="FK70" i="77"/>
  <c r="V70" i="71" s="1"/>
  <c r="O70"/>
  <c r="W431" i="72"/>
  <c r="P431"/>
  <c r="P93" i="68"/>
  <c r="CC92" i="77"/>
  <c r="W94" i="68" s="1"/>
  <c r="P94"/>
  <c r="CC88" i="77"/>
  <c r="P91" i="68"/>
  <c r="V146"/>
  <c r="O146"/>
  <c r="W206"/>
  <c r="P206"/>
  <c r="CB200" i="77"/>
  <c r="O208" i="68"/>
  <c r="CB48" i="77"/>
  <c r="V48" i="68" s="1"/>
  <c r="O48"/>
  <c r="O120" i="73"/>
  <c r="HQ239" i="77"/>
  <c r="O245" i="73"/>
  <c r="O120" i="69"/>
  <c r="DF226" i="77"/>
  <c r="P218" i="69"/>
  <c r="W153"/>
  <c r="P153"/>
  <c r="W71"/>
  <c r="P71"/>
  <c r="DE46" i="77"/>
  <c r="V46" i="69" s="1"/>
  <c r="O46"/>
  <c r="DF63" i="77"/>
  <c r="W63" i="69" s="1"/>
  <c r="P63"/>
  <c r="EI248" i="77"/>
  <c r="P251" i="70"/>
  <c r="EH63" i="77"/>
  <c r="V63" i="70" s="1"/>
  <c r="O63"/>
  <c r="W461" i="65"/>
  <c r="P461"/>
  <c r="AY380" i="77"/>
  <c r="V380" i="65" s="1"/>
  <c r="O385"/>
  <c r="O388"/>
  <c r="U199"/>
  <c r="FL68" i="77"/>
  <c r="W68" i="71" s="1"/>
  <c r="P68"/>
  <c r="CC90" i="77"/>
  <c r="W92" i="68" s="1"/>
  <c r="P92"/>
  <c r="W123"/>
  <c r="P123"/>
  <c r="O142"/>
  <c r="CB238" i="77"/>
  <c r="O244" i="68"/>
  <c r="CB40" i="77"/>
  <c r="V40" i="68" s="1"/>
  <c r="O40"/>
  <c r="W413" i="73"/>
  <c r="W437"/>
  <c r="V122"/>
  <c r="HQ256" i="77"/>
  <c r="V256" i="73" s="1"/>
  <c r="O256"/>
  <c r="W18"/>
  <c r="P18"/>
  <c r="DF402" i="77"/>
  <c r="W402" i="69" s="1"/>
  <c r="P402"/>
  <c r="DF427" i="77"/>
  <c r="W427" i="69" s="1"/>
  <c r="P427"/>
  <c r="V123"/>
  <c r="O123"/>
  <c r="DF352" i="77"/>
  <c r="W352" i="69" s="1"/>
  <c r="P352"/>
  <c r="DF239" i="77"/>
  <c r="W245" i="69" s="1"/>
  <c r="P245"/>
  <c r="IV408" i="77"/>
  <c r="IY408" s="1"/>
  <c r="U408" i="74"/>
  <c r="IV200" i="77"/>
  <c r="U208" i="74"/>
  <c r="X124"/>
  <c r="X362" i="71"/>
  <c r="AA355" i="74"/>
  <c r="X119" i="73"/>
  <c r="U461" i="65"/>
  <c r="T461"/>
  <c r="O118" i="70"/>
  <c r="O194"/>
  <c r="EI255" i="77"/>
  <c r="W255" i="70" s="1"/>
  <c r="P255"/>
  <c r="AZ405" i="77"/>
  <c r="P425" i="65"/>
  <c r="P405"/>
  <c r="AZ244" i="77"/>
  <c r="W247" i="65" s="1"/>
  <c r="P247"/>
  <c r="EH409" i="77"/>
  <c r="V409" i="70" s="1"/>
  <c r="O409"/>
  <c r="AY444" i="77"/>
  <c r="V444" i="65" s="1"/>
  <c r="O444"/>
  <c r="AZ42" i="77"/>
  <c r="W42" i="65" s="1"/>
  <c r="P42"/>
  <c r="IU93" i="77"/>
  <c r="W95" i="74" s="1"/>
  <c r="P95"/>
  <c r="V16"/>
  <c r="O16"/>
  <c r="U413" i="70"/>
  <c r="U437"/>
  <c r="EI90" i="77"/>
  <c r="W92" i="70" s="1"/>
  <c r="P92"/>
  <c r="V286"/>
  <c r="O122"/>
  <c r="O205"/>
  <c r="AY462" i="77"/>
  <c r="V462" i="65" s="1"/>
  <c r="O462"/>
  <c r="O202"/>
  <c r="V12"/>
  <c r="O12"/>
  <c r="V13" i="72"/>
  <c r="O13"/>
  <c r="CC435" i="77"/>
  <c r="W435" i="68" s="1"/>
  <c r="P435"/>
  <c r="CB245" i="77"/>
  <c r="O248" i="68"/>
  <c r="V21"/>
  <c r="O21"/>
  <c r="CB64" i="77"/>
  <c r="V64" i="68" s="1"/>
  <c r="O64"/>
  <c r="AA405" i="73"/>
  <c r="HQ358" i="77"/>
  <c r="V358" i="73" s="1"/>
  <c r="V151"/>
  <c r="O151"/>
  <c r="HQ24" i="77"/>
  <c r="V24" i="73" s="1"/>
  <c r="O24"/>
  <c r="HR38" i="77"/>
  <c r="W38" i="73" s="1"/>
  <c r="P38"/>
  <c r="DE455" i="77"/>
  <c r="V455" i="69" s="1"/>
  <c r="O455"/>
  <c r="U119"/>
  <c r="U143"/>
  <c r="DF82" i="77"/>
  <c r="W80" i="69" s="1"/>
  <c r="P80"/>
  <c r="V11" i="72"/>
  <c r="O11"/>
  <c r="V415" i="68"/>
  <c r="O415"/>
  <c r="P203"/>
  <c r="CC360" i="77"/>
  <c r="P363" i="68"/>
  <c r="U204" i="73"/>
  <c r="U243"/>
  <c r="DE430" i="77"/>
  <c r="V430" i="69" s="1"/>
  <c r="O430"/>
  <c r="P364"/>
  <c r="DE444" i="77"/>
  <c r="V444" i="69" s="1"/>
  <c r="O444"/>
  <c r="DF374" i="77"/>
  <c r="W374" i="69" s="1"/>
  <c r="P374"/>
  <c r="DE228" i="77"/>
  <c r="O220" i="69"/>
  <c r="DF62" i="77"/>
  <c r="W62" i="69" s="1"/>
  <c r="P62"/>
  <c r="EH429" i="77"/>
  <c r="V429" i="70" s="1"/>
  <c r="O429"/>
  <c r="EH257" i="77"/>
  <c r="V257" i="70" s="1"/>
  <c r="O257"/>
  <c r="FL82" i="77"/>
  <c r="W80" i="71" s="1"/>
  <c r="P80"/>
  <c r="W12"/>
  <c r="P12"/>
  <c r="U205" i="72"/>
  <c r="T386" i="65"/>
  <c r="T389"/>
  <c r="U431" i="69"/>
  <c r="T431"/>
  <c r="T437" i="65"/>
  <c r="T413"/>
  <c r="CA47" i="77"/>
  <c r="U47" i="68" s="1"/>
  <c r="T47"/>
  <c r="EH423" i="77"/>
  <c r="O423" i="70"/>
  <c r="EI88" i="77"/>
  <c r="P91" i="70"/>
  <c r="AZ455" i="77"/>
  <c r="W455" i="65" s="1"/>
  <c r="P455"/>
  <c r="O146"/>
  <c r="V61"/>
  <c r="O61"/>
  <c r="V119" i="74"/>
  <c r="V143"/>
  <c r="W149"/>
  <c r="P149"/>
  <c r="EH457" i="77"/>
  <c r="V457" i="70" s="1"/>
  <c r="O457"/>
  <c r="P193"/>
  <c r="W216"/>
  <c r="W191"/>
  <c r="O412"/>
  <c r="O419"/>
  <c r="EI357" i="77"/>
  <c r="W357" i="70" s="1"/>
  <c r="P357"/>
  <c r="W98"/>
  <c r="P98"/>
  <c r="V217" i="74"/>
  <c r="V197"/>
  <c r="EI442" i="77"/>
  <c r="W442" i="70" s="1"/>
  <c r="P442"/>
  <c r="EH370" i="77"/>
  <c r="O372" i="70"/>
  <c r="EI30" i="77"/>
  <c r="W30" i="70" s="1"/>
  <c r="P30"/>
  <c r="EH28" i="77"/>
  <c r="V28" i="70" s="1"/>
  <c r="O28"/>
  <c r="P419" i="65"/>
  <c r="P412"/>
  <c r="AZ84" i="77"/>
  <c r="P82" i="65"/>
  <c r="CB407" i="77"/>
  <c r="V407" i="68" s="1"/>
  <c r="O407"/>
  <c r="DE436" i="77"/>
  <c r="V436" i="69" s="1"/>
  <c r="O436"/>
  <c r="W126"/>
  <c r="P126"/>
  <c r="O192"/>
  <c r="DF53" i="77"/>
  <c r="W53" i="69" s="1"/>
  <c r="P53"/>
  <c r="V124" i="71"/>
  <c r="O124"/>
  <c r="P197"/>
  <c r="P217"/>
  <c r="O144" i="68"/>
  <c r="CB54" i="77"/>
  <c r="V54" i="68" s="1"/>
  <c r="O54"/>
  <c r="CC235" i="77"/>
  <c r="P241" i="68"/>
  <c r="CB242" i="77"/>
  <c r="V246" i="68" s="1"/>
  <c r="O246"/>
  <c r="HQ353" i="77"/>
  <c r="V353" i="73" s="1"/>
  <c r="O353"/>
  <c r="HQ236" i="77"/>
  <c r="O242" i="73"/>
  <c r="DF408" i="77"/>
  <c r="W408" i="69" s="1"/>
  <c r="P408"/>
  <c r="DF420" i="77"/>
  <c r="W420" i="69" s="1"/>
  <c r="P420"/>
  <c r="DF200" i="77"/>
  <c r="W208" i="69" s="1"/>
  <c r="P208"/>
  <c r="W415" i="65"/>
  <c r="P415"/>
  <c r="O195" i="68"/>
  <c r="O192" i="73"/>
  <c r="P198"/>
  <c r="FL37" i="77"/>
  <c r="W37" i="71" s="1"/>
  <c r="P37"/>
  <c r="V194" i="72"/>
  <c r="CC423" i="77"/>
  <c r="W423" i="68" s="1"/>
  <c r="P423"/>
  <c r="CC367" i="77"/>
  <c r="W367" i="68" s="1"/>
  <c r="P367"/>
  <c r="V19"/>
  <c r="O19"/>
  <c r="DF443" i="77"/>
  <c r="W443" i="69" s="1"/>
  <c r="P443"/>
  <c r="DF90" i="77"/>
  <c r="W92" i="69" s="1"/>
  <c r="P92"/>
  <c r="P207"/>
  <c r="DF29" i="77"/>
  <c r="W29" i="69" s="1"/>
  <c r="P29"/>
  <c r="O216" i="71"/>
  <c r="O191"/>
  <c r="V419" i="72"/>
  <c r="V412"/>
  <c r="GO426" i="77"/>
  <c r="W426" i="72" s="1"/>
  <c r="P426"/>
  <c r="V412" i="68"/>
  <c r="V419"/>
  <c r="V416"/>
  <c r="O416"/>
  <c r="CC227" i="77"/>
  <c r="P219" i="68"/>
  <c r="P386" i="73"/>
  <c r="P389"/>
  <c r="HQ67" i="77"/>
  <c r="V67" i="73" s="1"/>
  <c r="O67"/>
  <c r="DF400" i="77"/>
  <c r="W400" i="69" s="1"/>
  <c r="P400"/>
  <c r="DE367" i="77"/>
  <c r="V367" i="69" s="1"/>
  <c r="O367"/>
  <c r="DF238" i="77"/>
  <c r="P244" i="69"/>
  <c r="DF33" i="77"/>
  <c r="W33" i="69" s="1"/>
  <c r="P33"/>
  <c r="DD29" i="77"/>
  <c r="U29" i="69" s="1"/>
  <c r="T29"/>
  <c r="T438" i="68"/>
  <c r="T414"/>
  <c r="U31"/>
  <c r="T31"/>
  <c r="U79" i="73"/>
  <c r="DD442" i="77"/>
  <c r="U442" i="69" s="1"/>
  <c r="T442"/>
  <c r="V15" i="73"/>
  <c r="O15"/>
  <c r="V128" i="71"/>
  <c r="O128"/>
  <c r="FK64" i="77"/>
  <c r="V64" i="71" s="1"/>
  <c r="O64"/>
  <c r="W79" i="68"/>
  <c r="P79"/>
  <c r="W150"/>
  <c r="P150"/>
  <c r="CC248" i="77"/>
  <c r="P251" i="68"/>
  <c r="CB24" i="77"/>
  <c r="V24" i="68" s="1"/>
  <c r="O24"/>
  <c r="W124" i="73"/>
  <c r="P124"/>
  <c r="W150"/>
  <c r="P150"/>
  <c r="V193"/>
  <c r="O193"/>
  <c r="W415" i="69"/>
  <c r="P415"/>
  <c r="O438"/>
  <c r="O414"/>
  <c r="W461"/>
  <c r="P461"/>
  <c r="P200"/>
  <c r="FJ64" i="77"/>
  <c r="U64" i="71" s="1"/>
  <c r="T64"/>
  <c r="U214" i="68"/>
  <c r="T214"/>
  <c r="CB257" i="77"/>
  <c r="V257" i="68" s="1"/>
  <c r="O257"/>
  <c r="CC30" i="77"/>
  <c r="W30" i="68" s="1"/>
  <c r="P30"/>
  <c r="DE429" i="77"/>
  <c r="V429" i="69" s="1"/>
  <c r="O429"/>
  <c r="O142"/>
  <c r="V61"/>
  <c r="O61"/>
  <c r="FL40" i="77"/>
  <c r="W40" i="71" s="1"/>
  <c r="P40"/>
  <c r="FK22" i="77"/>
  <c r="V22" i="71" s="1"/>
  <c r="O22"/>
  <c r="CD22" i="77"/>
  <c r="CG22" s="1"/>
  <c r="V22" i="68"/>
  <c r="CD448" i="77"/>
  <c r="CG448" s="1"/>
  <c r="V448" i="68"/>
  <c r="CC409" i="77"/>
  <c r="W409" i="68" s="1"/>
  <c r="P409"/>
  <c r="O199"/>
  <c r="CC239" i="77"/>
  <c r="P245" i="68"/>
  <c r="CB52" i="77"/>
  <c r="V52" i="68" s="1"/>
  <c r="O52"/>
  <c r="V79" i="69"/>
  <c r="O79"/>
  <c r="O121"/>
  <c r="DE84" i="77"/>
  <c r="O82" i="69"/>
  <c r="DF248" i="77"/>
  <c r="W248" i="69" s="1"/>
  <c r="P251"/>
  <c r="DE28" i="77"/>
  <c r="V28" i="69" s="1"/>
  <c r="O28"/>
  <c r="DF49" i="77"/>
  <c r="W49" i="69" s="1"/>
  <c r="P49"/>
  <c r="DF55" i="77"/>
  <c r="W55" i="69" s="1"/>
  <c r="P55"/>
  <c r="U386" i="73"/>
  <c r="U389"/>
  <c r="O196" i="69"/>
  <c r="DE234" i="77"/>
  <c r="O240" i="69"/>
  <c r="DF48" i="77"/>
  <c r="W48" i="69" s="1"/>
  <c r="P48"/>
  <c r="V79" i="71"/>
  <c r="O79"/>
  <c r="GN22" i="77"/>
  <c r="V22" i="72" s="1"/>
  <c r="O22"/>
  <c r="V147" i="68"/>
  <c r="O147"/>
  <c r="W14" i="73"/>
  <c r="P14"/>
  <c r="DF409" i="77"/>
  <c r="W409" i="69" s="1"/>
  <c r="P409"/>
  <c r="AX48" i="77"/>
  <c r="U48" i="65" s="1"/>
  <c r="T48"/>
  <c r="T417" i="69"/>
  <c r="T432"/>
  <c r="CA405" i="77"/>
  <c r="T405" i="68"/>
  <c r="T425"/>
  <c r="FJ68" i="77"/>
  <c r="U68" i="71" s="1"/>
  <c r="T68"/>
  <c r="U215" i="68"/>
  <c r="T215"/>
  <c r="X405" i="73"/>
  <c r="X425"/>
  <c r="U401" i="69"/>
  <c r="T401"/>
  <c r="X240" i="72"/>
  <c r="T385" i="65"/>
  <c r="T388"/>
  <c r="T194" i="69"/>
  <c r="T118"/>
  <c r="T204" i="73"/>
  <c r="T243"/>
  <c r="U143" i="71"/>
  <c r="U119"/>
  <c r="U191" i="65"/>
  <c r="U216"/>
  <c r="U213" i="70"/>
  <c r="T213"/>
  <c r="U243" i="72"/>
  <c r="U204"/>
  <c r="U437"/>
  <c r="U413"/>
  <c r="AA373" i="39"/>
  <c r="AD373" i="77"/>
  <c r="AD373" i="39" s="1"/>
  <c r="AC373" i="77"/>
  <c r="AC373" i="39" s="1"/>
  <c r="AA13"/>
  <c r="AD13"/>
  <c r="AC13"/>
  <c r="T413" i="70"/>
  <c r="T437"/>
  <c r="T119" i="69"/>
  <c r="T143"/>
  <c r="U98"/>
  <c r="U16" i="70"/>
  <c r="FM378" i="77"/>
  <c r="GP57"/>
  <c r="GS57" s="1"/>
  <c r="FM205"/>
  <c r="X193" i="71"/>
  <c r="DF358" i="77"/>
  <c r="DD358"/>
  <c r="CD236"/>
  <c r="U242" i="68"/>
  <c r="U78"/>
  <c r="T78"/>
  <c r="DD253" i="77"/>
  <c r="U254" i="69" s="1"/>
  <c r="T254"/>
  <c r="BA70" i="77"/>
  <c r="BD70" s="1"/>
  <c r="U70" i="65"/>
  <c r="BA33" i="77"/>
  <c r="BD33" s="1"/>
  <c r="U33" i="65"/>
  <c r="U437" i="71"/>
  <c r="U413"/>
  <c r="U118"/>
  <c r="U194"/>
  <c r="GP48" i="77"/>
  <c r="GS48" s="1"/>
  <c r="U48" i="72"/>
  <c r="U79"/>
  <c r="GM42" i="77"/>
  <c r="U42" i="72" s="1"/>
  <c r="T42"/>
  <c r="DE373" i="77"/>
  <c r="V373" i="69" s="1"/>
  <c r="T373"/>
  <c r="W413" i="74"/>
  <c r="W437"/>
  <c r="IU65" i="77"/>
  <c r="W65" i="74" s="1"/>
  <c r="P65"/>
  <c r="O364" i="70"/>
  <c r="EI33" i="77"/>
  <c r="W33" i="70" s="1"/>
  <c r="P33"/>
  <c r="V412" i="74"/>
  <c r="V419"/>
  <c r="AY402" i="77"/>
  <c r="V402" i="65" s="1"/>
  <c r="O402"/>
  <c r="O243"/>
  <c r="O204"/>
  <c r="W243" i="74"/>
  <c r="W204"/>
  <c r="W461" i="70"/>
  <c r="P461"/>
  <c r="W15" i="74"/>
  <c r="P15"/>
  <c r="EH436" i="77"/>
  <c r="V436" i="70" s="1"/>
  <c r="O436"/>
  <c r="V41"/>
  <c r="O41"/>
  <c r="EI70" i="77"/>
  <c r="W70" i="70" s="1"/>
  <c r="P70"/>
  <c r="AZ436" i="77"/>
  <c r="W436" i="65" s="1"/>
  <c r="P436"/>
  <c r="P122"/>
  <c r="P205"/>
  <c r="AZ62" i="77"/>
  <c r="W62" i="65" s="1"/>
  <c r="P62"/>
  <c r="FK73" i="77"/>
  <c r="V73" i="71" s="1"/>
  <c r="O73"/>
  <c r="W437" i="68"/>
  <c r="W413"/>
  <c r="CC455" i="77"/>
  <c r="W455" i="68" s="1"/>
  <c r="P455"/>
  <c r="CC29" i="77"/>
  <c r="W29" i="68" s="1"/>
  <c r="P29"/>
  <c r="V51"/>
  <c r="O51"/>
  <c r="HR205" i="77"/>
  <c r="W210" i="73" s="1"/>
  <c r="P210"/>
  <c r="HQ42" i="77"/>
  <c r="V42" i="73" s="1"/>
  <c r="O42"/>
  <c r="DF435" i="77"/>
  <c r="W435" i="69" s="1"/>
  <c r="P435"/>
  <c r="DF359" i="77"/>
  <c r="P362" i="69"/>
  <c r="W215"/>
  <c r="P215"/>
  <c r="DE44" i="77"/>
  <c r="V44" i="69" s="1"/>
  <c r="O44"/>
  <c r="W419" i="71"/>
  <c r="W412"/>
  <c r="FK66" i="77"/>
  <c r="V66" i="71" s="1"/>
  <c r="O66"/>
  <c r="V431" i="72"/>
  <c r="O431"/>
  <c r="V21"/>
  <c r="O21"/>
  <c r="CB92" i="77"/>
  <c r="V94" i="68" s="1"/>
  <c r="O94"/>
  <c r="CB88" i="77"/>
  <c r="O91" i="68"/>
  <c r="CC48" i="77"/>
  <c r="W48" i="68" s="1"/>
  <c r="P48"/>
  <c r="W376" i="73"/>
  <c r="P376"/>
  <c r="HR239" i="77"/>
  <c r="P245" i="73"/>
  <c r="DE448" i="77"/>
  <c r="V448" i="69" s="1"/>
  <c r="O448"/>
  <c r="V416"/>
  <c r="O416"/>
  <c r="DE428" i="77"/>
  <c r="V428" i="69" s="1"/>
  <c r="O428"/>
  <c r="P120"/>
  <c r="V151"/>
  <c r="O151"/>
  <c r="DF36" i="77"/>
  <c r="W36" i="69" s="1"/>
  <c r="P36"/>
  <c r="DE63" i="77"/>
  <c r="V63" i="69" s="1"/>
  <c r="O63"/>
  <c r="W19" i="70"/>
  <c r="P19"/>
  <c r="EI63" i="77"/>
  <c r="W63" i="70" s="1"/>
  <c r="P63"/>
  <c r="V461" i="65"/>
  <c r="O461"/>
  <c r="U385"/>
  <c r="U388"/>
  <c r="AY359" i="77"/>
  <c r="O362" i="65"/>
  <c r="AZ234" i="77"/>
  <c r="P240" i="65"/>
  <c r="W199"/>
  <c r="P199"/>
  <c r="V18"/>
  <c r="O18"/>
  <c r="FK68" i="77"/>
  <c r="V68" i="71" s="1"/>
  <c r="O68"/>
  <c r="X376" i="68"/>
  <c r="V376"/>
  <c r="CB90" i="77"/>
  <c r="V92" i="68" s="1"/>
  <c r="O92"/>
  <c r="CC82" i="77"/>
  <c r="W80" i="68" s="1"/>
  <c r="P80"/>
  <c r="CC238" i="77"/>
  <c r="P244" i="68"/>
  <c r="CC40" i="77"/>
  <c r="W40" i="68" s="1"/>
  <c r="P40"/>
  <c r="V413" i="73"/>
  <c r="V437"/>
  <c r="W122"/>
  <c r="HR380" i="77"/>
  <c r="W380" i="73" s="1"/>
  <c r="P388"/>
  <c r="P385"/>
  <c r="DE402" i="77"/>
  <c r="V402" i="69" s="1"/>
  <c r="O402"/>
  <c r="DE427" i="77"/>
  <c r="V427" i="69" s="1"/>
  <c r="O427"/>
  <c r="DE32" i="77"/>
  <c r="V32" i="69" s="1"/>
  <c r="O32"/>
  <c r="IV242" i="77"/>
  <c r="U246" i="74"/>
  <c r="X197" i="65"/>
  <c r="AA362" i="74"/>
  <c r="X362"/>
  <c r="X217"/>
  <c r="X197"/>
  <c r="X386" i="68"/>
  <c r="X389"/>
  <c r="U71" i="71"/>
  <c r="T71"/>
  <c r="AA123" i="73"/>
  <c r="X123"/>
  <c r="FJ50" i="77"/>
  <c r="U50" i="71" s="1"/>
  <c r="T50"/>
  <c r="AA123" i="72"/>
  <c r="P194" i="70"/>
  <c r="P118"/>
  <c r="AY405" i="77"/>
  <c r="O425" i="65"/>
  <c r="O405"/>
  <c r="AZ406" i="77"/>
  <c r="W406" i="65" s="1"/>
  <c r="P406"/>
  <c r="W376"/>
  <c r="P376"/>
  <c r="AZ204" i="77"/>
  <c r="W209" i="65" s="1"/>
  <c r="P209"/>
  <c r="AY244" i="77"/>
  <c r="V247" i="65" s="1"/>
  <c r="O247"/>
  <c r="EH422" i="77"/>
  <c r="V422" i="70" s="1"/>
  <c r="O422"/>
  <c r="EH360" i="77"/>
  <c r="O363" i="70"/>
  <c r="AZ444" i="77"/>
  <c r="W444" i="65" s="1"/>
  <c r="P444"/>
  <c r="AY228" i="77"/>
  <c r="O220" i="65"/>
  <c r="IT93" i="77"/>
  <c r="V95" i="74" s="1"/>
  <c r="O95"/>
  <c r="W16"/>
  <c r="P16"/>
  <c r="P413" i="70"/>
  <c r="P437"/>
  <c r="W199"/>
  <c r="P199"/>
  <c r="EH402" i="77"/>
  <c r="V402" i="70" s="1"/>
  <c r="O402"/>
  <c r="W286"/>
  <c r="P122"/>
  <c r="P205"/>
  <c r="EH59" i="77"/>
  <c r="V59" i="70" s="1"/>
  <c r="O59"/>
  <c r="AZ88" i="77"/>
  <c r="P91" i="65"/>
  <c r="P202"/>
  <c r="AZ249" i="77"/>
  <c r="W252" i="65" s="1"/>
  <c r="P252"/>
  <c r="W125" i="71"/>
  <c r="P125"/>
  <c r="W13" i="72"/>
  <c r="P13"/>
  <c r="P432" i="68"/>
  <c r="P417"/>
  <c r="CC245" i="77"/>
  <c r="P248" i="68"/>
  <c r="DF455" i="77"/>
  <c r="W455" i="69" s="1"/>
  <c r="P455"/>
  <c r="V411"/>
  <c r="O411"/>
  <c r="DE82" i="77"/>
  <c r="V80" i="69" s="1"/>
  <c r="O80"/>
  <c r="W98"/>
  <c r="P98"/>
  <c r="DF66" i="77"/>
  <c r="W66" i="69" s="1"/>
  <c r="P66"/>
  <c r="FL96" i="77"/>
  <c r="W97" i="71" s="1"/>
  <c r="P97"/>
  <c r="GO65" i="77"/>
  <c r="W65" i="72" s="1"/>
  <c r="P65"/>
  <c r="O203" i="68"/>
  <c r="CB360" i="77"/>
  <c r="O363" i="68"/>
  <c r="W19" i="73"/>
  <c r="P19"/>
  <c r="DF404" i="77"/>
  <c r="W404" i="69" s="1"/>
  <c r="P404"/>
  <c r="DF95" i="77"/>
  <c r="W96" i="69" s="1"/>
  <c r="P96"/>
  <c r="DE204" i="77"/>
  <c r="V204" i="69" s="1"/>
  <c r="O209"/>
  <c r="DE62" i="77"/>
  <c r="V62" i="69" s="1"/>
  <c r="O62"/>
  <c r="EH368" i="77"/>
  <c r="V368" i="70" s="1"/>
  <c r="O368"/>
  <c r="V16"/>
  <c r="O16"/>
  <c r="EI227" i="77"/>
  <c r="P219" i="70"/>
  <c r="W437" i="71"/>
  <c r="W413"/>
  <c r="V194"/>
  <c r="V118"/>
  <c r="V12"/>
  <c r="O12"/>
  <c r="AX226" i="77"/>
  <c r="T218" i="65"/>
  <c r="X425" i="69"/>
  <c r="X405"/>
  <c r="EI405" i="77"/>
  <c r="P405" i="70"/>
  <c r="P425"/>
  <c r="AY455" i="77"/>
  <c r="V455" i="65" s="1"/>
  <c r="O455"/>
  <c r="W146"/>
  <c r="P146"/>
  <c r="W61"/>
  <c r="P61"/>
  <c r="W143" i="74"/>
  <c r="W119"/>
  <c r="EI457" i="77"/>
  <c r="W457" i="70" s="1"/>
  <c r="P457"/>
  <c r="O193"/>
  <c r="V191"/>
  <c r="U412"/>
  <c r="U419"/>
  <c r="O376"/>
  <c r="P121"/>
  <c r="V98"/>
  <c r="O98"/>
  <c r="IU69" i="77"/>
  <c r="W69" i="74" s="1"/>
  <c r="P69"/>
  <c r="EH442" i="77"/>
  <c r="V442" i="70" s="1"/>
  <c r="O442"/>
  <c r="P195"/>
  <c r="P204"/>
  <c r="P243"/>
  <c r="O419" i="65"/>
  <c r="O412"/>
  <c r="AY84" i="77"/>
  <c r="O82" i="65"/>
  <c r="V147" i="71"/>
  <c r="O147"/>
  <c r="V214"/>
  <c r="O214"/>
  <c r="V16" i="72"/>
  <c r="O16"/>
  <c r="GO33" i="77"/>
  <c r="W33" i="72" s="1"/>
  <c r="P33"/>
  <c r="CC428" i="77"/>
  <c r="W428" i="68" s="1"/>
  <c r="P428"/>
  <c r="O364"/>
  <c r="W125" i="69"/>
  <c r="P125"/>
  <c r="DE205" i="77"/>
  <c r="V210" i="69" s="1"/>
  <c r="O210"/>
  <c r="O216"/>
  <c r="O191"/>
  <c r="DF256" i="77"/>
  <c r="W256" i="69" s="1"/>
  <c r="P256"/>
  <c r="O217" i="71"/>
  <c r="O197"/>
  <c r="P144" i="68"/>
  <c r="CB235" i="77"/>
  <c r="O241" i="68"/>
  <c r="CC242" i="77"/>
  <c r="W246" i="68" s="1"/>
  <c r="P246"/>
  <c r="W119" i="73"/>
  <c r="W143"/>
  <c r="HR236" i="77"/>
  <c r="P242" i="73"/>
  <c r="DE420" i="77"/>
  <c r="V420" i="69" s="1"/>
  <c r="O420"/>
  <c r="O413"/>
  <c r="O437"/>
  <c r="DE200" i="77"/>
  <c r="V208" i="69" s="1"/>
  <c r="O208"/>
  <c r="AZ57" i="77"/>
  <c r="W57" i="65" s="1"/>
  <c r="P57"/>
  <c r="FL93" i="77"/>
  <c r="W95" i="71" s="1"/>
  <c r="P95"/>
  <c r="O198" i="73"/>
  <c r="HR235" i="77"/>
  <c r="P241" i="73"/>
  <c r="X196" i="72"/>
  <c r="FK58" i="77"/>
  <c r="V58" i="71" s="1"/>
  <c r="O58"/>
  <c r="W118" i="72"/>
  <c r="W194"/>
  <c r="CB367" i="77"/>
  <c r="V367" i="68" s="1"/>
  <c r="O367"/>
  <c r="V128"/>
  <c r="O128"/>
  <c r="V153"/>
  <c r="O153"/>
  <c r="V207"/>
  <c r="O207"/>
  <c r="DF462" i="77"/>
  <c r="W462" i="69" s="1"/>
  <c r="P462"/>
  <c r="DE443" i="77"/>
  <c r="V443" i="69" s="1"/>
  <c r="O443"/>
  <c r="V148"/>
  <c r="O148"/>
  <c r="DE90" i="77"/>
  <c r="V92" i="69" s="1"/>
  <c r="O92"/>
  <c r="V100"/>
  <c r="O100"/>
  <c r="DF242" i="77"/>
  <c r="W246" i="69" s="1"/>
  <c r="P246"/>
  <c r="V197" i="72"/>
  <c r="V217"/>
  <c r="GN426" i="77"/>
  <c r="V426" i="72" s="1"/>
  <c r="O426"/>
  <c r="W412" i="68"/>
  <c r="W419"/>
  <c r="W151"/>
  <c r="P151"/>
  <c r="CB50" i="77"/>
  <c r="V50" i="68" s="1"/>
  <c r="O50"/>
  <c r="CC37" i="77"/>
  <c r="W37" i="68" s="1"/>
  <c r="P37"/>
  <c r="V441" i="69"/>
  <c r="O441"/>
  <c r="DF367" i="77"/>
  <c r="W367" i="69" s="1"/>
  <c r="P367"/>
  <c r="DE232" i="77"/>
  <c r="O221" i="69"/>
  <c r="U19" i="68"/>
  <c r="T19"/>
  <c r="X362" i="72"/>
  <c r="U253" i="68"/>
  <c r="T253"/>
  <c r="X146" i="73"/>
  <c r="U146"/>
  <c r="W15"/>
  <c r="P15"/>
  <c r="FL355" i="77"/>
  <c r="W355" i="71" s="1"/>
  <c r="P355"/>
  <c r="W128"/>
  <c r="P128"/>
  <c r="FL64" i="77"/>
  <c r="W64" i="71" s="1"/>
  <c r="P64"/>
  <c r="GN36" i="77"/>
  <c r="V36" i="72" s="1"/>
  <c r="O36"/>
  <c r="CC24" i="77"/>
  <c r="W24" i="68" s="1"/>
  <c r="P24"/>
  <c r="W61"/>
  <c r="P61"/>
  <c r="V150" i="73"/>
  <c r="O150"/>
  <c r="W193"/>
  <c r="P193"/>
  <c r="O253"/>
  <c r="DE457" i="77"/>
  <c r="V457" i="69" s="1"/>
  <c r="O457"/>
  <c r="U438"/>
  <c r="U414"/>
  <c r="DE422" i="77"/>
  <c r="V422" i="69" s="1"/>
  <c r="O422"/>
  <c r="DF85" i="77"/>
  <c r="P89" i="69"/>
  <c r="T192" i="68"/>
  <c r="T121"/>
  <c r="CC462" i="77"/>
  <c r="W462" i="68" s="1"/>
  <c r="P462"/>
  <c r="CC434" i="77"/>
  <c r="W434" i="68" s="1"/>
  <c r="P434"/>
  <c r="CB233" i="77"/>
  <c r="O239" i="68"/>
  <c r="P412" i="69"/>
  <c r="P419"/>
  <c r="DF426" i="77"/>
  <c r="W426" i="69" s="1"/>
  <c r="P426"/>
  <c r="DF54" i="77"/>
  <c r="W54" i="69" s="1"/>
  <c r="P54"/>
  <c r="V405" i="71"/>
  <c r="V425"/>
  <c r="FL22" i="77"/>
  <c r="W22" i="71" s="1"/>
  <c r="P22"/>
  <c r="FK65" i="77"/>
  <c r="V65" i="71" s="1"/>
  <c r="O65"/>
  <c r="W143" i="72"/>
  <c r="W119"/>
  <c r="CC430" i="77"/>
  <c r="W430" i="68" s="1"/>
  <c r="P430"/>
  <c r="P121" i="69"/>
  <c r="DF83" i="77"/>
  <c r="P81" i="69"/>
  <c r="W214"/>
  <c r="P214"/>
  <c r="DE49" i="77"/>
  <c r="V49" i="69" s="1"/>
  <c r="O49"/>
  <c r="V11"/>
  <c r="O11"/>
  <c r="U191" i="71"/>
  <c r="U216"/>
  <c r="CA52" i="77"/>
  <c r="U52" i="68" s="1"/>
  <c r="T52"/>
  <c r="GO58" i="77"/>
  <c r="W58" i="72" s="1"/>
  <c r="P58"/>
  <c r="O203" i="73"/>
  <c r="V211"/>
  <c r="O211"/>
  <c r="HR70" i="77"/>
  <c r="W70" i="73" s="1"/>
  <c r="P70"/>
  <c r="P196" i="69"/>
  <c r="DE48" i="77"/>
  <c r="V48" i="69" s="1"/>
  <c r="O48"/>
  <c r="DE60" i="77"/>
  <c r="V60" i="69" s="1"/>
  <c r="O60"/>
  <c r="W147" i="68"/>
  <c r="P147"/>
  <c r="O202"/>
  <c r="HR253" i="77"/>
  <c r="W254" i="73" s="1"/>
  <c r="P254"/>
  <c r="HQ62" i="77"/>
  <c r="V62" i="73" s="1"/>
  <c r="O62"/>
  <c r="DE409" i="77"/>
  <c r="V409" i="69" s="1"/>
  <c r="O409"/>
  <c r="W421"/>
  <c r="P421"/>
  <c r="P198"/>
  <c r="W213"/>
  <c r="P213"/>
  <c r="EG358" i="77"/>
  <c r="U358" i="70" s="1"/>
  <c r="AX436" i="77"/>
  <c r="U436" i="65" s="1"/>
  <c r="T436"/>
  <c r="U148"/>
  <c r="T148"/>
  <c r="U213" i="69"/>
  <c r="T213"/>
  <c r="T122" i="70"/>
  <c r="T205"/>
  <c r="T432" i="68"/>
  <c r="T417"/>
  <c r="T192" i="69"/>
  <c r="U146" i="70"/>
  <c r="T146"/>
  <c r="EG59" i="77"/>
  <c r="U59" i="70" s="1"/>
  <c r="T59"/>
  <c r="U191" i="74"/>
  <c r="U216"/>
  <c r="EG228" i="77"/>
  <c r="T220" i="70"/>
  <c r="CA20" i="77"/>
  <c r="U20" i="68" s="1"/>
  <c r="T20"/>
  <c r="U217" i="74"/>
  <c r="U197"/>
  <c r="T386" i="73"/>
  <c r="T389"/>
  <c r="T438" i="69"/>
  <c r="T414"/>
  <c r="U31"/>
  <c r="T31"/>
  <c r="U419" i="72"/>
  <c r="U412"/>
  <c r="AA72" i="39"/>
  <c r="AC72" i="77"/>
  <c r="AC72" i="39" s="1"/>
  <c r="AD72" i="77"/>
  <c r="AD72" i="39" s="1"/>
  <c r="U207" i="69"/>
  <c r="T207"/>
  <c r="U412" i="68"/>
  <c r="U419"/>
  <c r="DD49" i="77"/>
  <c r="U49" i="69" s="1"/>
  <c r="T49"/>
  <c r="AX455" i="77"/>
  <c r="T455" i="65"/>
  <c r="U243" i="68"/>
  <c r="U204"/>
  <c r="T207" i="73"/>
  <c r="FS429" i="77"/>
  <c r="AD429" i="71" s="1"/>
  <c r="AA429"/>
  <c r="IV448" i="77"/>
  <c r="IY448" s="1"/>
  <c r="IV374"/>
  <c r="IY374" s="1"/>
  <c r="IV67"/>
  <c r="IY67" s="1"/>
  <c r="IV369"/>
  <c r="IV60"/>
  <c r="IY60" s="1"/>
  <c r="IV86"/>
  <c r="HU429"/>
  <c r="Z429" i="73" s="1"/>
  <c r="HS374" i="77"/>
  <c r="HV374" s="1"/>
  <c r="HS93"/>
  <c r="HV93" s="1"/>
  <c r="HS86"/>
  <c r="HS245"/>
  <c r="HV245" s="1"/>
  <c r="HS34"/>
  <c r="HV34" s="1"/>
  <c r="HS36"/>
  <c r="HV36" s="1"/>
  <c r="HS37"/>
  <c r="HV37" s="1"/>
  <c r="HS426"/>
  <c r="HV426" s="1"/>
  <c r="HS92"/>
  <c r="X181" i="73"/>
  <c r="HS234" i="77"/>
  <c r="HV234" s="1"/>
  <c r="GP34"/>
  <c r="GS34" s="1"/>
  <c r="GP236"/>
  <c r="GP88"/>
  <c r="GP40"/>
  <c r="GS40" s="1"/>
  <c r="GP96"/>
  <c r="GS96" s="1"/>
  <c r="GP357"/>
  <c r="GS357" s="1"/>
  <c r="GP462"/>
  <c r="GS462" s="1"/>
  <c r="GP355"/>
  <c r="GS355" s="1"/>
  <c r="GP70"/>
  <c r="GS70" s="1"/>
  <c r="FM405"/>
  <c r="FP405" s="1"/>
  <c r="FM42"/>
  <c r="FP42" s="1"/>
  <c r="FM246"/>
  <c r="FP246" s="1"/>
  <c r="EJ38"/>
  <c r="EM38" s="1"/>
  <c r="EJ426"/>
  <c r="EM426" s="1"/>
  <c r="EJ36"/>
  <c r="EM36" s="1"/>
  <c r="EJ23"/>
  <c r="EM23" s="1"/>
  <c r="EJ353"/>
  <c r="EM353" s="1"/>
  <c r="X182" i="69"/>
  <c r="DG67" i="77"/>
  <c r="DJ67" s="1"/>
  <c r="DM58"/>
  <c r="AD58" i="69" s="1"/>
  <c r="X128" i="65"/>
  <c r="BA245" i="77"/>
  <c r="BD245" s="1"/>
  <c r="BA59"/>
  <c r="BD59" s="1"/>
  <c r="BA37"/>
  <c r="BD37" s="1"/>
  <c r="X112" i="65"/>
  <c r="BA58" i="77"/>
  <c r="BD58" s="1"/>
  <c r="BA69"/>
  <c r="BD69" s="1"/>
  <c r="CD65"/>
  <c r="CG65" s="1"/>
  <c r="CD34"/>
  <c r="CG34" s="1"/>
  <c r="CB439"/>
  <c r="V439" i="68" s="1"/>
  <c r="X112"/>
  <c r="CC439" i="77"/>
  <c r="W439" i="68" s="1"/>
  <c r="V214"/>
  <c r="CC52" i="77"/>
  <c r="W52" i="68" s="1"/>
  <c r="CD244" i="77"/>
  <c r="CG244" s="1"/>
  <c r="CD42"/>
  <c r="CG42" s="1"/>
  <c r="CD83"/>
  <c r="W214" i="68"/>
  <c r="EJ238" i="77"/>
  <c r="FM462"/>
  <c r="FP462" s="1"/>
  <c r="GP422"/>
  <c r="GS422" s="1"/>
  <c r="HS48"/>
  <c r="HV48" s="1"/>
  <c r="FM389"/>
  <c r="FP389" s="1"/>
  <c r="FM353"/>
  <c r="FP353" s="1"/>
  <c r="GP85"/>
  <c r="CD388"/>
  <c r="CG388" s="1"/>
  <c r="X98" i="68"/>
  <c r="CD443" i="77"/>
  <c r="CG443" s="1"/>
  <c r="FM60"/>
  <c r="FP60" s="1"/>
  <c r="DG59"/>
  <c r="DJ59" s="1"/>
  <c r="CD426"/>
  <c r="CG426" s="1"/>
  <c r="CD253"/>
  <c r="CG253" s="1"/>
  <c r="BF45"/>
  <c r="AC45" i="65" s="1"/>
  <c r="BG45" i="77"/>
  <c r="AD45" i="65" s="1"/>
  <c r="FM36" i="77"/>
  <c r="FP36" s="1"/>
  <c r="IV204"/>
  <c r="IY204" s="1"/>
  <c r="EJ69"/>
  <c r="EM69" s="1"/>
  <c r="CD369"/>
  <c r="HS23"/>
  <c r="HV23" s="1"/>
  <c r="HS88"/>
  <c r="HS357"/>
  <c r="HV357" s="1"/>
  <c r="HS434"/>
  <c r="HV434" s="1"/>
  <c r="GP353"/>
  <c r="GS353" s="1"/>
  <c r="GP358"/>
  <c r="HS85"/>
  <c r="HS352"/>
  <c r="HV352" s="1"/>
  <c r="HS455"/>
  <c r="HV455" s="1"/>
  <c r="DE55"/>
  <c r="V55" i="69" s="1"/>
  <c r="BA65" i="77"/>
  <c r="BD65" s="1"/>
  <c r="BA423"/>
  <c r="BD423" s="1"/>
  <c r="BA93"/>
  <c r="BD93" s="1"/>
  <c r="IV434"/>
  <c r="IY434" s="1"/>
  <c r="DG378"/>
  <c r="X114" i="72"/>
  <c r="HS200" i="77"/>
  <c r="HV200" s="1"/>
  <c r="DG70"/>
  <c r="DJ70" s="1"/>
  <c r="DG233"/>
  <c r="IV36"/>
  <c r="IY36" s="1"/>
  <c r="CD33"/>
  <c r="CG33" s="1"/>
  <c r="CD256"/>
  <c r="CG256" s="1"/>
  <c r="DF39"/>
  <c r="W39" i="69" s="1"/>
  <c r="DD55" i="77"/>
  <c r="U55" i="69" s="1"/>
  <c r="GP239" i="77"/>
  <c r="IV352"/>
  <c r="IY352" s="1"/>
  <c r="X162" i="70"/>
  <c r="IV435" i="77"/>
  <c r="IY435" s="1"/>
  <c r="IV409"/>
  <c r="IY409" s="1"/>
  <c r="IV232"/>
  <c r="EJ236"/>
  <c r="FM200"/>
  <c r="IV33"/>
  <c r="IY33" s="1"/>
  <c r="BA257"/>
  <c r="BD257" s="1"/>
  <c r="FM83"/>
  <c r="X128" i="72"/>
  <c r="CD246" i="77"/>
  <c r="CG246" s="1"/>
  <c r="CD378"/>
  <c r="HS439"/>
  <c r="HV439" s="1"/>
  <c r="HS26"/>
  <c r="HV26" s="1"/>
  <c r="FM238"/>
  <c r="X181" i="72"/>
  <c r="GP37" i="77"/>
  <c r="GS37" s="1"/>
  <c r="GP435"/>
  <c r="GS435" s="1"/>
  <c r="DG37"/>
  <c r="DJ37" s="1"/>
  <c r="BA96"/>
  <c r="BD96" s="1"/>
  <c r="X128" i="70"/>
  <c r="GP407" i="77"/>
  <c r="GS407" s="1"/>
  <c r="X213" i="68"/>
  <c r="HS409" i="77"/>
  <c r="HV409" s="1"/>
  <c r="HS30"/>
  <c r="HV30" s="1"/>
  <c r="X128" i="73"/>
  <c r="HS369" i="77"/>
  <c r="DG86"/>
  <c r="DG88"/>
  <c r="GP224"/>
  <c r="GS224" s="1"/>
  <c r="HS436"/>
  <c r="HV436" s="1"/>
  <c r="DG22"/>
  <c r="DJ22" s="1"/>
  <c r="GP60"/>
  <c r="GS60" s="1"/>
  <c r="CD67"/>
  <c r="CG67" s="1"/>
  <c r="FM234"/>
  <c r="X183" i="71"/>
  <c r="DE39" i="77"/>
  <c r="V39" i="69" s="1"/>
  <c r="AA250" i="71"/>
  <c r="IX444" i="77"/>
  <c r="Z444" i="74" s="1"/>
  <c r="AA444"/>
  <c r="Z61"/>
  <c r="AA61"/>
  <c r="BC40" i="77"/>
  <c r="Z40" i="65" s="1"/>
  <c r="Z421" i="74"/>
  <c r="AA421"/>
  <c r="AA80" i="65"/>
  <c r="Z21" i="71"/>
  <c r="AA144" i="73"/>
  <c r="Z137"/>
  <c r="Z193" i="71"/>
  <c r="GV442" i="77"/>
  <c r="AD442" i="72" s="1"/>
  <c r="GU442" i="77"/>
  <c r="AC442" i="72" s="1"/>
  <c r="HU444" i="77"/>
  <c r="Z444" i="73" s="1"/>
  <c r="AA444"/>
  <c r="IX423" i="77"/>
  <c r="Z423" i="74" s="1"/>
  <c r="AA423"/>
  <c r="Z217" i="70"/>
  <c r="BC67" i="77"/>
  <c r="Z67" i="65" s="1"/>
  <c r="Z199" i="71"/>
  <c r="AA207"/>
  <c r="EL22" i="77"/>
  <c r="Z22" i="70" s="1"/>
  <c r="AA211" i="69"/>
  <c r="Z217" i="73"/>
  <c r="AA206"/>
  <c r="AA218"/>
  <c r="HU226" i="77"/>
  <c r="Z226" i="73" s="1"/>
  <c r="IV420" i="77"/>
  <c r="IY420" s="1"/>
  <c r="CB95"/>
  <c r="V96" i="68" s="1"/>
  <c r="W18" i="65"/>
  <c r="HS388" i="77"/>
  <c r="HV388" s="1"/>
  <c r="AZ442"/>
  <c r="W442" i="65" s="1"/>
  <c r="W211" i="70"/>
  <c r="AY378" i="77"/>
  <c r="FL50"/>
  <c r="W50" i="71" s="1"/>
  <c r="CB46" i="77"/>
  <c r="V46" i="68" s="1"/>
  <c r="W206" i="69"/>
  <c r="DE353" i="77"/>
  <c r="V353" i="69" s="1"/>
  <c r="EI389" i="77"/>
  <c r="W16" i="70"/>
  <c r="GO42" i="77"/>
  <c r="W42" i="72" s="1"/>
  <c r="EH249" i="77"/>
  <c r="AZ434"/>
  <c r="W434" i="65" s="1"/>
  <c r="AZ388" i="77"/>
  <c r="W416" i="65"/>
  <c r="W441"/>
  <c r="EI406" i="77"/>
  <c r="W406" i="70" s="1"/>
  <c r="AY246" i="77"/>
  <c r="V249" i="65" s="1"/>
  <c r="DE370" i="77"/>
  <c r="AZ407"/>
  <c r="W407" i="65" s="1"/>
  <c r="W13"/>
  <c r="Z114" i="71"/>
  <c r="CB47" i="77"/>
  <c r="V47" i="68" s="1"/>
  <c r="CB53" i="77"/>
  <c r="V53" i="68" s="1"/>
  <c r="DD373" i="77"/>
  <c r="U373" i="69" s="1"/>
  <c r="FM220" i="77"/>
  <c r="FP220" s="1"/>
  <c r="HR232"/>
  <c r="DE400"/>
  <c r="V400" i="69" s="1"/>
  <c r="CD226" i="77"/>
  <c r="GP32"/>
  <c r="GS32" s="1"/>
  <c r="W411" i="68"/>
  <c r="V253"/>
  <c r="U14" i="72"/>
  <c r="DE20" i="77"/>
  <c r="V20" i="69" s="1"/>
  <c r="CB86" i="77"/>
  <c r="AA146" i="74"/>
  <c r="AA80"/>
  <c r="FO439" i="77"/>
  <c r="Z439" i="71" s="1"/>
  <c r="AA251" i="74"/>
  <c r="Z125" i="70"/>
  <c r="AA97" i="73"/>
  <c r="AA208" i="72"/>
  <c r="AA249"/>
  <c r="HU22" i="77"/>
  <c r="Z22" i="73" s="1"/>
  <c r="Z17" i="69"/>
  <c r="FS443" i="77"/>
  <c r="AD443" i="71" s="1"/>
  <c r="BC235" i="77"/>
  <c r="Z235" i="65" s="1"/>
  <c r="AA195" i="74"/>
  <c r="FO430" i="77"/>
  <c r="Z430" i="71" s="1"/>
  <c r="AA430"/>
  <c r="Z31" i="73"/>
  <c r="AA31"/>
  <c r="GR444" i="77"/>
  <c r="Z444" i="72" s="1"/>
  <c r="AA444"/>
  <c r="Z415" i="70"/>
  <c r="AA371" i="72"/>
  <c r="Z169"/>
  <c r="GR437" i="77"/>
  <c r="Z437" i="72" s="1"/>
  <c r="DI434" i="77"/>
  <c r="Z434" i="69" s="1"/>
  <c r="FS426" i="77"/>
  <c r="AD426" i="71" s="1"/>
  <c r="AA444"/>
  <c r="FO444" i="77"/>
  <c r="Z444" i="71" s="1"/>
  <c r="FO228" i="77"/>
  <c r="Z228" i="71" s="1"/>
  <c r="AA220" i="73"/>
  <c r="HU228" i="77"/>
  <c r="Z228" i="73" s="1"/>
  <c r="CF444" i="77"/>
  <c r="Z444" i="68" s="1"/>
  <c r="CF228" i="77"/>
  <c r="Z228" i="68" s="1"/>
  <c r="CF358" i="77"/>
  <c r="Z358" i="68" s="1"/>
  <c r="EH27" i="77"/>
  <c r="V27" i="70" s="1"/>
  <c r="AY357" i="77"/>
  <c r="V357" i="65" s="1"/>
  <c r="X217"/>
  <c r="V137"/>
  <c r="AY408" i="77"/>
  <c r="V408" i="65" s="1"/>
  <c r="AZ378" i="77"/>
  <c r="AZ85"/>
  <c r="FK50"/>
  <c r="FK38"/>
  <c r="V38" i="71" s="1"/>
  <c r="W17" i="72"/>
  <c r="DE68" i="77"/>
  <c r="V68" i="69" s="1"/>
  <c r="DF353" i="77"/>
  <c r="W353" i="69" s="1"/>
  <c r="DE253" i="77"/>
  <c r="V254" i="69" s="1"/>
  <c r="FK67" i="77"/>
  <c r="V67" i="71" s="1"/>
  <c r="EI404" i="77"/>
  <c r="W404" i="70" s="1"/>
  <c r="AY388" i="77"/>
  <c r="AY425"/>
  <c r="AY95"/>
  <c r="V96" i="65" s="1"/>
  <c r="EG406" i="77"/>
  <c r="W211" i="65"/>
  <c r="CA49" i="77"/>
  <c r="U49" i="68" s="1"/>
  <c r="HQ69" i="77"/>
  <c r="V69" i="73" s="1"/>
  <c r="W71" i="71"/>
  <c r="W253" i="68"/>
  <c r="V14" i="72"/>
  <c r="CB39" i="77"/>
  <c r="V39" i="68" s="1"/>
  <c r="DF438" i="77"/>
  <c r="DF442"/>
  <c r="W442" i="69" s="1"/>
  <c r="AA254" i="74"/>
  <c r="AA128"/>
  <c r="AA214"/>
  <c r="Z217"/>
  <c r="EL84" i="77"/>
  <c r="Z84" i="70" s="1"/>
  <c r="AA407" i="73"/>
  <c r="HU407" i="77"/>
  <c r="Z407" i="73" s="1"/>
  <c r="AA147" i="72"/>
  <c r="Z61" i="73"/>
  <c r="AA97" i="74"/>
  <c r="EL443" i="77"/>
  <c r="Z443" i="70" s="1"/>
  <c r="AA443"/>
  <c r="CF437" i="77"/>
  <c r="Z437" i="68" s="1"/>
  <c r="EL205" i="77"/>
  <c r="Z205" i="70" s="1"/>
  <c r="Z197" i="65"/>
  <c r="Z150" i="70"/>
  <c r="EL256" i="77"/>
  <c r="Z256" i="70" s="1"/>
  <c r="Z181" i="71"/>
  <c r="FO357" i="77"/>
  <c r="Z357" i="71" s="1"/>
  <c r="FS442" i="77"/>
  <c r="AD442" i="71" s="1"/>
  <c r="AA61" i="70"/>
  <c r="Z61"/>
  <c r="BC233" i="77"/>
  <c r="Z233" i="65" s="1"/>
  <c r="DI405" i="77"/>
  <c r="Z405" i="69" s="1"/>
  <c r="Z416" i="71"/>
  <c r="FO235" i="77"/>
  <c r="Z235" i="71" s="1"/>
  <c r="GR405" i="77"/>
  <c r="Z405" i="72" s="1"/>
  <c r="Z12"/>
  <c r="AY32" i="77"/>
  <c r="AZ408"/>
  <c r="W408" i="65" s="1"/>
  <c r="CC95" i="77"/>
  <c r="W96" i="68" s="1"/>
  <c r="AY85" i="77"/>
  <c r="V85" i="65" s="1"/>
  <c r="FL38" i="77"/>
  <c r="W38" i="71" s="1"/>
  <c r="CC400" i="77"/>
  <c r="W400" i="68" s="1"/>
  <c r="DG432" i="77"/>
  <c r="DJ432" s="1"/>
  <c r="DF68"/>
  <c r="W68" i="69" s="1"/>
  <c r="FL253" i="77"/>
  <c r="W254" i="71" s="1"/>
  <c r="HS237" i="77"/>
  <c r="HV237" s="1"/>
  <c r="AZ439"/>
  <c r="W439" i="65" s="1"/>
  <c r="FL67" i="77"/>
  <c r="W67" i="71" s="1"/>
  <c r="AY426" i="77"/>
  <c r="V426" i="65" s="1"/>
  <c r="V180" i="70"/>
  <c r="AZ425" i="77"/>
  <c r="AY369"/>
  <c r="AZ200"/>
  <c r="W208" i="65" s="1"/>
  <c r="W365"/>
  <c r="U211"/>
  <c r="CC49" i="77"/>
  <c r="W49" i="68" s="1"/>
  <c r="AY407" i="77"/>
  <c r="CD62"/>
  <c r="CG62" s="1"/>
  <c r="CC47"/>
  <c r="W47" i="68" s="1"/>
  <c r="X199" i="72"/>
  <c r="DG237" i="77"/>
  <c r="DJ237" s="1"/>
  <c r="GP247"/>
  <c r="GS247" s="1"/>
  <c r="DF20"/>
  <c r="W20" i="69" s="1"/>
  <c r="FL72" i="77"/>
  <c r="W72" i="71" s="1"/>
  <c r="CC84" i="77"/>
  <c r="V31" i="68"/>
  <c r="DE442" i="77"/>
  <c r="IX62"/>
  <c r="Z62" i="74" s="1"/>
  <c r="AA62"/>
  <c r="Z416" i="70"/>
  <c r="Z31" i="65"/>
  <c r="BC422" i="77"/>
  <c r="Z422" i="65" s="1"/>
  <c r="Z183" i="70"/>
  <c r="AA31" i="74"/>
  <c r="Z31"/>
  <c r="AA19" i="71"/>
  <c r="Z19"/>
  <c r="FO437" i="77"/>
  <c r="Z437" i="71" s="1"/>
  <c r="EL235" i="77"/>
  <c r="Z235" i="70" s="1"/>
  <c r="BC220" i="77"/>
  <c r="Z220" i="65" s="1"/>
  <c r="IX429" i="77"/>
  <c r="Z429" i="74" s="1"/>
  <c r="Z174" i="70"/>
  <c r="AA80" i="73"/>
  <c r="GR228" i="77"/>
  <c r="Z228" i="72" s="1"/>
  <c r="AA31" i="71"/>
  <c r="Z31"/>
  <c r="IX442" i="77"/>
  <c r="Z442" i="74" s="1"/>
  <c r="AA442"/>
  <c r="HX442" i="77"/>
  <c r="AC442" i="73" s="1"/>
  <c r="HY442" i="77"/>
  <c r="AD442" i="73" s="1"/>
  <c r="Z162" i="71"/>
  <c r="EI27" i="77"/>
  <c r="W27" i="70" s="1"/>
  <c r="AZ357" i="77"/>
  <c r="W357" i="65" s="1"/>
  <c r="V180"/>
  <c r="AY442" i="77"/>
  <c r="CB400"/>
  <c r="V400" i="68" s="1"/>
  <c r="CC46" i="77"/>
  <c r="W46" i="68" s="1"/>
  <c r="FK253" i="77"/>
  <c r="V253" i="71" s="1"/>
  <c r="DF253" i="77"/>
  <c r="W254" i="69" s="1"/>
  <c r="AY439" i="77"/>
  <c r="GN42"/>
  <c r="AY62"/>
  <c r="EH404"/>
  <c r="AZ426"/>
  <c r="W426" i="65" s="1"/>
  <c r="AZ369" i="77"/>
  <c r="AZ95"/>
  <c r="W96" i="65" s="1"/>
  <c r="AY200" i="77"/>
  <c r="V365" i="65"/>
  <c r="AZ246" i="77"/>
  <c r="W246" i="65" s="1"/>
  <c r="HR69" i="77"/>
  <c r="W69" i="73" s="1"/>
  <c r="DF370" i="77"/>
  <c r="CC53"/>
  <c r="W53" i="68" s="1"/>
  <c r="DF373" i="77"/>
  <c r="W373" i="69" s="1"/>
  <c r="GP90" i="77"/>
  <c r="GS90" s="1"/>
  <c r="GP408"/>
  <c r="GS408" s="1"/>
  <c r="FK72"/>
  <c r="CC86"/>
  <c r="V114" i="68"/>
  <c r="CB84" i="77"/>
  <c r="CC39"/>
  <c r="W39" i="68" s="1"/>
  <c r="DE438" i="77"/>
  <c r="AD448"/>
  <c r="AD448" i="39" s="1"/>
  <c r="AC448" i="77"/>
  <c r="AC448" i="39" s="1"/>
  <c r="GU255" i="77"/>
  <c r="AC255" i="72" s="1"/>
  <c r="FR380" i="77"/>
  <c r="AC380" i="71" s="1"/>
  <c r="AC286"/>
  <c r="FR52" i="77"/>
  <c r="AC52" i="71" s="1"/>
  <c r="FS52" i="77"/>
  <c r="AD52" i="71" s="1"/>
  <c r="HX46" i="77"/>
  <c r="AC46" i="73" s="1"/>
  <c r="HY46" i="77"/>
  <c r="AD46" i="73" s="1"/>
  <c r="AB123" i="72"/>
  <c r="Z121"/>
  <c r="AB239"/>
  <c r="GR233" i="77"/>
  <c r="Z233" i="72" s="1"/>
  <c r="GV220" i="77"/>
  <c r="GU220"/>
  <c r="AB100" i="72"/>
  <c r="AB92" i="73"/>
  <c r="AB120" i="72"/>
  <c r="AB126"/>
  <c r="Z126"/>
  <c r="GU249" i="77"/>
  <c r="AB198" i="72"/>
  <c r="AB125"/>
  <c r="AB255" i="73"/>
  <c r="HU255" i="77"/>
  <c r="Z255" i="73" s="1"/>
  <c r="AB240" i="72"/>
  <c r="GR234" i="77"/>
  <c r="Z234" i="72" s="1"/>
  <c r="AB200"/>
  <c r="AB196" i="73"/>
  <c r="HU249" i="77"/>
  <c r="Z249" i="73" s="1"/>
  <c r="AB121" i="72"/>
  <c r="AB98" i="73"/>
  <c r="Z168"/>
  <c r="AB124" i="72"/>
  <c r="AB355"/>
  <c r="AB352" i="73"/>
  <c r="AB353" i="72"/>
  <c r="AB362"/>
  <c r="AB357" i="73"/>
  <c r="FR388" i="77"/>
  <c r="GR380"/>
  <c r="Z380" i="72" s="1"/>
  <c r="AB363"/>
  <c r="HX430" i="77"/>
  <c r="AC430" i="73" s="1"/>
  <c r="HY430" i="77"/>
  <c r="AD430" i="73" s="1"/>
  <c r="R473" i="39"/>
  <c r="T467"/>
  <c r="S467"/>
  <c r="R467"/>
  <c r="Q467"/>
  <c r="BA119" i="77" l="1"/>
  <c r="BA110"/>
  <c r="BA170"/>
  <c r="EL216"/>
  <c r="EM461"/>
  <c r="EM173"/>
  <c r="GR391"/>
  <c r="CG343"/>
  <c r="AA343" i="68" s="1"/>
  <c r="EM185" i="77"/>
  <c r="BC330"/>
  <c r="Z330" i="65" s="1"/>
  <c r="FO308" i="77"/>
  <c r="Z308" i="71" s="1"/>
  <c r="DG94" i="77"/>
  <c r="DJ94" s="1"/>
  <c r="EJ123"/>
  <c r="GR28"/>
  <c r="Z28" i="72" s="1"/>
  <c r="FM354" i="77"/>
  <c r="EJ285"/>
  <c r="DG271"/>
  <c r="GV121"/>
  <c r="GV108"/>
  <c r="CG172"/>
  <c r="EM16"/>
  <c r="DJ190"/>
  <c r="FP328"/>
  <c r="CG348"/>
  <c r="AA348" i="68" s="1"/>
  <c r="BD332" i="77"/>
  <c r="AA332" i="65" s="1"/>
  <c r="FO310" i="77"/>
  <c r="Z310" i="71" s="1"/>
  <c r="FP308" i="77"/>
  <c r="FR308" s="1"/>
  <c r="AC308" i="71" s="1"/>
  <c r="GR92" i="77"/>
  <c r="Z92" i="72" s="1"/>
  <c r="IX237" i="77"/>
  <c r="Z237" i="74" s="1"/>
  <c r="DI244" i="77"/>
  <c r="Z244" i="69" s="1"/>
  <c r="DI389" i="77"/>
  <c r="Z389" i="69" s="1"/>
  <c r="DI223" i="77"/>
  <c r="Z223" i="69" s="1"/>
  <c r="DG296" i="77"/>
  <c r="GP223"/>
  <c r="GS223" s="1"/>
  <c r="BA371"/>
  <c r="BA201"/>
  <c r="GR172"/>
  <c r="DI316"/>
  <c r="Z316" i="69" s="1"/>
  <c r="EL110" i="77"/>
  <c r="EL348"/>
  <c r="Z348" i="70" s="1"/>
  <c r="CG421" i="77"/>
  <c r="EL115"/>
  <c r="BD100"/>
  <c r="DI164"/>
  <c r="CG316"/>
  <c r="AA316" i="68" s="1"/>
  <c r="BA321" i="77"/>
  <c r="X321" i="65" s="1"/>
  <c r="HU202" i="77"/>
  <c r="Z202" i="73" s="1"/>
  <c r="BC317" i="77"/>
  <c r="Z317" i="65" s="1"/>
  <c r="CG361" i="77"/>
  <c r="CG211"/>
  <c r="EM184"/>
  <c r="CG179"/>
  <c r="EL103"/>
  <c r="CG144"/>
  <c r="GS162"/>
  <c r="GS124"/>
  <c r="GU124" s="1"/>
  <c r="BC63"/>
  <c r="Z63" i="65" s="1"/>
  <c r="GR279" i="77"/>
  <c r="EJ222"/>
  <c r="EM222" s="1"/>
  <c r="EJ31"/>
  <c r="EJ136"/>
  <c r="EM158"/>
  <c r="DJ316"/>
  <c r="AA316" i="69" s="1"/>
  <c r="EM143" i="77"/>
  <c r="DJ150"/>
  <c r="DI401"/>
  <c r="IY175"/>
  <c r="FP167"/>
  <c r="EL391"/>
  <c r="CF17"/>
  <c r="CG412"/>
  <c r="GR271"/>
  <c r="FP416"/>
  <c r="FS416" s="1"/>
  <c r="CG150"/>
  <c r="BD101"/>
  <c r="CG105"/>
  <c r="CF281"/>
  <c r="BC178"/>
  <c r="GR187"/>
  <c r="BD174"/>
  <c r="FO221"/>
  <c r="DJ106"/>
  <c r="FO186"/>
  <c r="FO327"/>
  <c r="Z327" i="71" s="1"/>
  <c r="FP300" i="77"/>
  <c r="FR300" s="1"/>
  <c r="AC300" i="71" s="1"/>
  <c r="EL128" i="77"/>
  <c r="CF252"/>
  <c r="Z252" i="68" s="1"/>
  <c r="CD263" i="77"/>
  <c r="DG225"/>
  <c r="DJ225" s="1"/>
  <c r="DG395"/>
  <c r="DJ395" s="1"/>
  <c r="EJ229"/>
  <c r="BA203"/>
  <c r="BD203" s="1"/>
  <c r="BA89"/>
  <c r="BD89" s="1"/>
  <c r="EJ89"/>
  <c r="EM89" s="1"/>
  <c r="EL181"/>
  <c r="EL342"/>
  <c r="Z342" i="70" s="1"/>
  <c r="FO194" i="77"/>
  <c r="GS101"/>
  <c r="EL186"/>
  <c r="CF129"/>
  <c r="BD137"/>
  <c r="DJ231"/>
  <c r="EM324"/>
  <c r="AA324" i="70" s="1"/>
  <c r="GR125" i="77"/>
  <c r="GR161"/>
  <c r="FP109"/>
  <c r="FO107"/>
  <c r="DJ179"/>
  <c r="FP327"/>
  <c r="BC241"/>
  <c r="BD241"/>
  <c r="BD188"/>
  <c r="BC188"/>
  <c r="EL197"/>
  <c r="FP324"/>
  <c r="FR324" s="1"/>
  <c r="AC324" i="71" s="1"/>
  <c r="GR402" i="77"/>
  <c r="Z402" i="72" s="1"/>
  <c r="CG215" i="77"/>
  <c r="FO134"/>
  <c r="HU96"/>
  <c r="Z96" i="73" s="1"/>
  <c r="HU90" i="77"/>
  <c r="Z90" i="73" s="1"/>
  <c r="DI40" i="77"/>
  <c r="Z40" i="69" s="1"/>
  <c r="HU33" i="77"/>
  <c r="Z33" i="73" s="1"/>
  <c r="HU435" i="77"/>
  <c r="Z435" i="73" s="1"/>
  <c r="FO408" i="77"/>
  <c r="Z408" i="71" s="1"/>
  <c r="GR374" i="77"/>
  <c r="Z374" i="72" s="1"/>
  <c r="IX426" i="77"/>
  <c r="Z426" i="74" s="1"/>
  <c r="HU462" i="77"/>
  <c r="Z462" i="73" s="1"/>
  <c r="FO33" i="77"/>
  <c r="Z33" i="71" s="1"/>
  <c r="IX205" i="77"/>
  <c r="Z205" i="74" s="1"/>
  <c r="HS372" i="77"/>
  <c r="CD364"/>
  <c r="EJ268"/>
  <c r="EM268" s="1"/>
  <c r="EJ203"/>
  <c r="EM203" s="1"/>
  <c r="GR148"/>
  <c r="DG199"/>
  <c r="BA175"/>
  <c r="CF197"/>
  <c r="EL311"/>
  <c r="Z311" i="70" s="1"/>
  <c r="BC340" i="77"/>
  <c r="Z340" i="65" s="1"/>
  <c r="EM340" i="77"/>
  <c r="AA340" i="70" s="1"/>
  <c r="EL21" i="77"/>
  <c r="DI162"/>
  <c r="DI133"/>
  <c r="FP31"/>
  <c r="GR110"/>
  <c r="DI166"/>
  <c r="FO328"/>
  <c r="Z328" i="71" s="1"/>
  <c r="IX180" i="77"/>
  <c r="FP122"/>
  <c r="EM131"/>
  <c r="BA311"/>
  <c r="X316" i="71"/>
  <c r="HV163" i="77"/>
  <c r="HU163"/>
  <c r="IW235"/>
  <c r="HW235"/>
  <c r="IW434"/>
  <c r="IZ434" s="1"/>
  <c r="HW434"/>
  <c r="IW249"/>
  <c r="IZ249" s="1"/>
  <c r="HW249"/>
  <c r="IW359"/>
  <c r="IZ359" s="1"/>
  <c r="HW359"/>
  <c r="IW238"/>
  <c r="IZ238" s="1"/>
  <c r="HW238"/>
  <c r="IW228"/>
  <c r="HW228"/>
  <c r="IW383"/>
  <c r="IZ383" s="1"/>
  <c r="HW383"/>
  <c r="HW367"/>
  <c r="HU367"/>
  <c r="Z367" i="73" s="1"/>
  <c r="IW367" i="77"/>
  <c r="GV368"/>
  <c r="AD368" i="72" s="1"/>
  <c r="GU368" i="77"/>
  <c r="AC368" i="72" s="1"/>
  <c r="GV438" i="77"/>
  <c r="GU438"/>
  <c r="JB182"/>
  <c r="JA182"/>
  <c r="IW364"/>
  <c r="IZ364" s="1"/>
  <c r="HW364"/>
  <c r="HW415"/>
  <c r="IW415"/>
  <c r="IW379"/>
  <c r="IZ379" s="1"/>
  <c r="HW379"/>
  <c r="HU295"/>
  <c r="BD114"/>
  <c r="HV177"/>
  <c r="IW352"/>
  <c r="IZ352" s="1"/>
  <c r="HW352"/>
  <c r="HW400"/>
  <c r="IW400"/>
  <c r="HU400"/>
  <c r="Z400" i="73" s="1"/>
  <c r="IW236" i="77"/>
  <c r="HW236"/>
  <c r="IW233"/>
  <c r="IZ233" s="1"/>
  <c r="HW233"/>
  <c r="IW405"/>
  <c r="HW405"/>
  <c r="IW226"/>
  <c r="IZ226" s="1"/>
  <c r="HW226"/>
  <c r="IW389"/>
  <c r="IZ389" s="1"/>
  <c r="HW389"/>
  <c r="IW380"/>
  <c r="IZ380" s="1"/>
  <c r="HW380"/>
  <c r="IZ298"/>
  <c r="Y298" i="74"/>
  <c r="IX298" i="77"/>
  <c r="Z298" i="74" s="1"/>
  <c r="HW438" i="77"/>
  <c r="IW438"/>
  <c r="HU438"/>
  <c r="Z438" i="73" s="1"/>
  <c r="HW386" i="77"/>
  <c r="IW386"/>
  <c r="IZ386" s="1"/>
  <c r="GV406"/>
  <c r="AD406" i="72" s="1"/>
  <c r="GU406" i="77"/>
  <c r="AC406" i="72" s="1"/>
  <c r="IW388" i="77"/>
  <c r="IZ388" s="1"/>
  <c r="HW388"/>
  <c r="IW234"/>
  <c r="IZ234" s="1"/>
  <c r="HW234"/>
  <c r="GV432"/>
  <c r="GU432"/>
  <c r="IW255"/>
  <c r="IZ255" s="1"/>
  <c r="HW255"/>
  <c r="IW370"/>
  <c r="HW370"/>
  <c r="HU370"/>
  <c r="Z370" i="73" s="1"/>
  <c r="IW363" i="77"/>
  <c r="IZ363" s="1"/>
  <c r="HW363"/>
  <c r="IZ169"/>
  <c r="IX169"/>
  <c r="HW427"/>
  <c r="HU427"/>
  <c r="Z427" i="73" s="1"/>
  <c r="IW427" i="77"/>
  <c r="IW425"/>
  <c r="IZ425" s="1"/>
  <c r="HW425"/>
  <c r="IW439"/>
  <c r="IZ439" s="1"/>
  <c r="HW439"/>
  <c r="IW206"/>
  <c r="IZ206" s="1"/>
  <c r="HW206"/>
  <c r="IW220"/>
  <c r="IZ220" s="1"/>
  <c r="HW220"/>
  <c r="IW408"/>
  <c r="IZ408" s="1"/>
  <c r="HW408"/>
  <c r="IW374"/>
  <c r="IZ374" s="1"/>
  <c r="HW374"/>
  <c r="IW358"/>
  <c r="IZ358" s="1"/>
  <c r="HW358"/>
  <c r="AB298" i="73"/>
  <c r="HX298" i="77"/>
  <c r="AC298" i="73" s="1"/>
  <c r="HY298" i="77"/>
  <c r="AD298" i="73" s="1"/>
  <c r="GU404" i="77"/>
  <c r="AC404" i="72" s="1"/>
  <c r="GV404" i="77"/>
  <c r="AD404" i="72" s="1"/>
  <c r="IW232" i="77"/>
  <c r="IZ232" s="1"/>
  <c r="HW232"/>
  <c r="IW357"/>
  <c r="IZ357" s="1"/>
  <c r="HW357"/>
  <c r="IW227"/>
  <c r="HW227"/>
  <c r="IW435"/>
  <c r="IZ435" s="1"/>
  <c r="HW435"/>
  <c r="IW407"/>
  <c r="IZ407" s="1"/>
  <c r="HW407"/>
  <c r="GU428"/>
  <c r="AC428" i="72" s="1"/>
  <c r="GV428" i="77"/>
  <c r="AD428" i="72" s="1"/>
  <c r="GV373" i="77"/>
  <c r="AD373" i="72" s="1"/>
  <c r="GU373" i="77"/>
  <c r="AC373" i="72" s="1"/>
  <c r="HW406" i="77"/>
  <c r="HU406"/>
  <c r="Z406" i="73" s="1"/>
  <c r="IW406" i="77"/>
  <c r="HW432"/>
  <c r="IW432"/>
  <c r="HU432"/>
  <c r="Z432" i="73" s="1"/>
  <c r="FP210" i="77"/>
  <c r="DI197"/>
  <c r="DJ189"/>
  <c r="DI137"/>
  <c r="EM113"/>
  <c r="BC332"/>
  <c r="Z332" i="65" s="1"/>
  <c r="EM334" i="77"/>
  <c r="AA334" i="70" s="1"/>
  <c r="CF316" i="77"/>
  <c r="Z316" i="68" s="1"/>
  <c r="IW224" i="77"/>
  <c r="IZ224" s="1"/>
  <c r="HW224"/>
  <c r="IW377"/>
  <c r="IZ377" s="1"/>
  <c r="HW377"/>
  <c r="IW360"/>
  <c r="IZ360" s="1"/>
  <c r="HW360"/>
  <c r="GV367"/>
  <c r="AD367" i="72" s="1"/>
  <c r="GU367" i="77"/>
  <c r="AC367" i="72" s="1"/>
  <c r="HW368" i="77"/>
  <c r="IW368"/>
  <c r="HU368"/>
  <c r="Z368" i="73" s="1"/>
  <c r="IW353" i="77"/>
  <c r="IZ353" s="1"/>
  <c r="HW353"/>
  <c r="IW382"/>
  <c r="IZ382" s="1"/>
  <c r="HW382"/>
  <c r="HW404"/>
  <c r="HU404"/>
  <c r="Z404" i="73" s="1"/>
  <c r="IW404" i="77"/>
  <c r="FP61"/>
  <c r="FO61"/>
  <c r="HW428"/>
  <c r="IW428"/>
  <c r="HU428"/>
  <c r="Z428" i="73" s="1"/>
  <c r="HW373" i="77"/>
  <c r="IW373"/>
  <c r="HU373"/>
  <c r="Z373" i="73" s="1"/>
  <c r="IW378" i="77"/>
  <c r="IZ378" s="1"/>
  <c r="HW378"/>
  <c r="IW355"/>
  <c r="IZ355" s="1"/>
  <c r="HW355"/>
  <c r="IW369"/>
  <c r="IZ369" s="1"/>
  <c r="HW369"/>
  <c r="IW252"/>
  <c r="IZ252" s="1"/>
  <c r="HW252"/>
  <c r="HU104"/>
  <c r="FP310"/>
  <c r="AA310" i="71" s="1"/>
  <c r="CG325" i="77"/>
  <c r="AA325" i="68" s="1"/>
  <c r="CD121" i="77"/>
  <c r="X300" i="71"/>
  <c r="X324"/>
  <c r="FP316" i="77"/>
  <c r="IZ346"/>
  <c r="Y346" i="74"/>
  <c r="IX346" i="77"/>
  <c r="Z346" i="74" s="1"/>
  <c r="IZ329" i="77"/>
  <c r="Y329" i="74"/>
  <c r="IX329" i="77"/>
  <c r="Z329" i="74" s="1"/>
  <c r="AB346" i="73"/>
  <c r="HY346" i="77"/>
  <c r="AD346" i="73" s="1"/>
  <c r="HX346" i="77"/>
  <c r="AC346" i="73" s="1"/>
  <c r="AB329"/>
  <c r="HY329" i="77"/>
  <c r="AD329" i="73" s="1"/>
  <c r="HX329" i="77"/>
  <c r="AC329" i="73" s="1"/>
  <c r="IZ336" i="77"/>
  <c r="Y336" i="74"/>
  <c r="IX336" i="77"/>
  <c r="Z336" i="74" s="1"/>
  <c r="IZ341" i="77"/>
  <c r="Y341" i="74"/>
  <c r="IX341" i="77"/>
  <c r="Z341" i="74" s="1"/>
  <c r="IZ345" i="77"/>
  <c r="Y345" i="74"/>
  <c r="IX345" i="77"/>
  <c r="Z345" i="74" s="1"/>
  <c r="AB323" i="73"/>
  <c r="HY323" i="77"/>
  <c r="AD323" i="73" s="1"/>
  <c r="HX323" i="77"/>
  <c r="AC323" i="73" s="1"/>
  <c r="AB336"/>
  <c r="HY336" i="77"/>
  <c r="AD336" i="73" s="1"/>
  <c r="HX336" i="77"/>
  <c r="AC336" i="73" s="1"/>
  <c r="AB341"/>
  <c r="HY341" i="77"/>
  <c r="AD341" i="73" s="1"/>
  <c r="HX341" i="77"/>
  <c r="AC341" i="73" s="1"/>
  <c r="AB345"/>
  <c r="HY345" i="77"/>
  <c r="AD345" i="73" s="1"/>
  <c r="HX345" i="77"/>
  <c r="AC345" i="73" s="1"/>
  <c r="IZ323" i="77"/>
  <c r="Y323" i="74"/>
  <c r="IX323" i="77"/>
  <c r="Z323" i="74" s="1"/>
  <c r="IZ347" i="77"/>
  <c r="Y347" i="74"/>
  <c r="IX347" i="77"/>
  <c r="Z347" i="74" s="1"/>
  <c r="AB347" i="73"/>
  <c r="HY347" i="77"/>
  <c r="AD347" i="73" s="1"/>
  <c r="HX347" i="77"/>
  <c r="AC347" i="73" s="1"/>
  <c r="IZ313" i="77"/>
  <c r="Y313" i="74"/>
  <c r="IX313" i="77"/>
  <c r="Z313" i="74" s="1"/>
  <c r="AB312" i="73"/>
  <c r="HX312" i="77"/>
  <c r="AC312" i="73" s="1"/>
  <c r="HY312" i="77"/>
  <c r="AD312" i="73" s="1"/>
  <c r="AB320"/>
  <c r="HY320" i="77"/>
  <c r="AD320" i="73" s="1"/>
  <c r="HX320" i="77"/>
  <c r="AC320" i="73" s="1"/>
  <c r="AB301"/>
  <c r="HX301" i="77"/>
  <c r="AC301" i="73" s="1"/>
  <c r="HY301" i="77"/>
  <c r="AD301" i="73" s="1"/>
  <c r="IZ302" i="77"/>
  <c r="Y302" i="74"/>
  <c r="IX302" i="77"/>
  <c r="Z302" i="74" s="1"/>
  <c r="IZ315" i="77"/>
  <c r="Y315" i="74"/>
  <c r="IX315" i="77"/>
  <c r="Z315" i="74" s="1"/>
  <c r="AB307" i="73"/>
  <c r="HY307" i="77"/>
  <c r="AD307" i="73" s="1"/>
  <c r="HX307" i="77"/>
  <c r="AC307" i="73" s="1"/>
  <c r="IZ307" i="77"/>
  <c r="Y307" i="74"/>
  <c r="IX307" i="77"/>
  <c r="Z307" i="74" s="1"/>
  <c r="IZ319" i="77"/>
  <c r="Y319" i="74"/>
  <c r="IX319" i="77"/>
  <c r="Z319" i="74" s="1"/>
  <c r="IZ304" i="77"/>
  <c r="Y304" i="74"/>
  <c r="IX304" i="77"/>
  <c r="Z304" i="74" s="1"/>
  <c r="AB318"/>
  <c r="JB318" i="77"/>
  <c r="AD318" i="74" s="1"/>
  <c r="JA318" i="77"/>
  <c r="AC318" i="74" s="1"/>
  <c r="AB313" i="73"/>
  <c r="HY313" i="77"/>
  <c r="AD313" i="73" s="1"/>
  <c r="HX313" i="77"/>
  <c r="AC313" i="73" s="1"/>
  <c r="AB319"/>
  <c r="HX319" i="77"/>
  <c r="AC319" i="73" s="1"/>
  <c r="HY319" i="77"/>
  <c r="AD319" i="73" s="1"/>
  <c r="AB304"/>
  <c r="HX304" i="77"/>
  <c r="AC304" i="73" s="1"/>
  <c r="HY304" i="77"/>
  <c r="AD304" i="73" s="1"/>
  <c r="IZ312" i="77"/>
  <c r="Y312" i="74"/>
  <c r="IX312" i="77"/>
  <c r="Z312" i="74" s="1"/>
  <c r="IZ320" i="77"/>
  <c r="Y320" i="74"/>
  <c r="IX320" i="77"/>
  <c r="Z320" i="74" s="1"/>
  <c r="IZ301" i="77"/>
  <c r="Y301" i="74"/>
  <c r="IX301" i="77"/>
  <c r="Z301" i="74" s="1"/>
  <c r="AB302" i="73"/>
  <c r="HY302" i="77"/>
  <c r="AD302" i="73" s="1"/>
  <c r="HX302" i="77"/>
  <c r="AC302" i="73" s="1"/>
  <c r="AB315"/>
  <c r="HY315" i="77"/>
  <c r="AD315" i="73" s="1"/>
  <c r="HX315" i="77"/>
  <c r="AC315" i="73" s="1"/>
  <c r="IX102" i="77"/>
  <c r="IX104"/>
  <c r="IX178"/>
  <c r="IY334"/>
  <c r="AA334" i="74" s="1"/>
  <c r="X334"/>
  <c r="IY317" i="77"/>
  <c r="AA317" i="74" s="1"/>
  <c r="X317"/>
  <c r="IY314" i="77"/>
  <c r="AA314" i="74" s="1"/>
  <c r="X314"/>
  <c r="IY308" i="77"/>
  <c r="AA308" i="74" s="1"/>
  <c r="X308"/>
  <c r="IY342" i="77"/>
  <c r="AA342" i="74" s="1"/>
  <c r="X342"/>
  <c r="IY339" i="77"/>
  <c r="AA339" i="74" s="1"/>
  <c r="X339"/>
  <c r="IY174" i="77"/>
  <c r="IX174"/>
  <c r="IY300"/>
  <c r="AA300" i="74" s="1"/>
  <c r="X300"/>
  <c r="IY306" i="77"/>
  <c r="AA306" i="74" s="1"/>
  <c r="X306"/>
  <c r="IY343" i="77"/>
  <c r="AA343" i="74" s="1"/>
  <c r="X343"/>
  <c r="IY316" i="77"/>
  <c r="AA316" i="74" s="1"/>
  <c r="X316"/>
  <c r="IY335" i="77"/>
  <c r="AA335" i="74" s="1"/>
  <c r="X335"/>
  <c r="IY309" i="77"/>
  <c r="AA309" i="74" s="1"/>
  <c r="X309"/>
  <c r="IY331" i="77"/>
  <c r="AA331" i="74" s="1"/>
  <c r="X331"/>
  <c r="IY326" i="77"/>
  <c r="AA326" i="74" s="1"/>
  <c r="X326"/>
  <c r="IY337" i="77"/>
  <c r="AA337" i="74" s="1"/>
  <c r="X337"/>
  <c r="IY299" i="77"/>
  <c r="AA299" i="74" s="1"/>
  <c r="X299"/>
  <c r="IY332" i="77"/>
  <c r="AA332" i="74" s="1"/>
  <c r="X332"/>
  <c r="IY328" i="77"/>
  <c r="AA328" i="74" s="1"/>
  <c r="X328"/>
  <c r="IY340" i="77"/>
  <c r="AA340" i="74" s="1"/>
  <c r="X340"/>
  <c r="IY324" i="77"/>
  <c r="AA324" i="74" s="1"/>
  <c r="X324"/>
  <c r="IY327" i="77"/>
  <c r="AA327" i="74" s="1"/>
  <c r="X327"/>
  <c r="IY330" i="77"/>
  <c r="AA330" i="74" s="1"/>
  <c r="X330"/>
  <c r="IY348" i="77"/>
  <c r="AA348" i="74" s="1"/>
  <c r="X348"/>
  <c r="IX229" i="77"/>
  <c r="Z229" i="74" s="1"/>
  <c r="IY344" i="77"/>
  <c r="AA344" i="74" s="1"/>
  <c r="X344"/>
  <c r="IY338" i="77"/>
  <c r="AA338" i="74" s="1"/>
  <c r="X338"/>
  <c r="IY186" i="77"/>
  <c r="HU120"/>
  <c r="HU391"/>
  <c r="HU164"/>
  <c r="HU29"/>
  <c r="Z29" i="73" s="1"/>
  <c r="HV169" i="77"/>
  <c r="HU17"/>
  <c r="HU162"/>
  <c r="HU191"/>
  <c r="HV170"/>
  <c r="HV330"/>
  <c r="AA330" i="73" s="1"/>
  <c r="X330"/>
  <c r="HV326" i="77"/>
  <c r="AA326" i="73" s="1"/>
  <c r="X326"/>
  <c r="HV337" i="77"/>
  <c r="AA337" i="73" s="1"/>
  <c r="X337"/>
  <c r="HV331" i="77"/>
  <c r="AA331" i="73" s="1"/>
  <c r="X331"/>
  <c r="HV325" i="77"/>
  <c r="AA325" i="73" s="1"/>
  <c r="X325"/>
  <c r="HV327" i="77"/>
  <c r="AA327" i="73" s="1"/>
  <c r="X327"/>
  <c r="HV338" i="77"/>
  <c r="AA338" i="73" s="1"/>
  <c r="X338"/>
  <c r="HV340" i="77"/>
  <c r="AA340" i="73" s="1"/>
  <c r="X340"/>
  <c r="HU285" i="77"/>
  <c r="HV324"/>
  <c r="AA324" i="73" s="1"/>
  <c r="X324"/>
  <c r="HV333" i="77"/>
  <c r="AA333" i="73" s="1"/>
  <c r="X333"/>
  <c r="HV343" i="77"/>
  <c r="AA343" i="73" s="1"/>
  <c r="X343"/>
  <c r="HV306" i="77"/>
  <c r="AA306" i="73" s="1"/>
  <c r="X306"/>
  <c r="HV334" i="77"/>
  <c r="AA334" i="73" s="1"/>
  <c r="X334"/>
  <c r="HV328" i="77"/>
  <c r="AA328" i="73" s="1"/>
  <c r="X328"/>
  <c r="HV344" i="77"/>
  <c r="AA344" i="73" s="1"/>
  <c r="X344"/>
  <c r="HV299" i="77"/>
  <c r="AA299" i="73" s="1"/>
  <c r="X299"/>
  <c r="HV342" i="77"/>
  <c r="AA342" i="73" s="1"/>
  <c r="X342"/>
  <c r="HU124" i="77"/>
  <c r="HV335"/>
  <c r="AA335" i="73" s="1"/>
  <c r="X335"/>
  <c r="HV339" i="77"/>
  <c r="AA339" i="73" s="1"/>
  <c r="X339"/>
  <c r="HV316" i="77"/>
  <c r="AA316" i="73" s="1"/>
  <c r="X316"/>
  <c r="HV314" i="77"/>
  <c r="AA314" i="73" s="1"/>
  <c r="X314"/>
  <c r="GV160" i="77"/>
  <c r="GS461"/>
  <c r="GR461"/>
  <c r="GS186"/>
  <c r="GS122"/>
  <c r="GU122" s="1"/>
  <c r="GS132"/>
  <c r="GS159"/>
  <c r="GR159"/>
  <c r="GR103"/>
  <c r="GU119"/>
  <c r="GV119"/>
  <c r="GU161"/>
  <c r="GV161"/>
  <c r="GV391"/>
  <c r="GU391"/>
  <c r="GU110"/>
  <c r="GV110"/>
  <c r="GS333"/>
  <c r="AA333" i="72" s="1"/>
  <c r="X333"/>
  <c r="GS324" i="77"/>
  <c r="AA324" i="72" s="1"/>
  <c r="X324"/>
  <c r="GS300" i="77"/>
  <c r="AA300" i="72" s="1"/>
  <c r="X300"/>
  <c r="GS316" i="77"/>
  <c r="AA316" i="72" s="1"/>
  <c r="X316"/>
  <c r="GR119" i="77"/>
  <c r="GS131"/>
  <c r="GU131" s="1"/>
  <c r="GS348"/>
  <c r="AA348" i="72" s="1"/>
  <c r="X348"/>
  <c r="GS332" i="77"/>
  <c r="AA332" i="72" s="1"/>
  <c r="X332"/>
  <c r="GP317" i="77"/>
  <c r="X317" i="72" s="1"/>
  <c r="V317"/>
  <c r="GS343" i="77"/>
  <c r="AA343" i="72" s="1"/>
  <c r="X343"/>
  <c r="GS342" i="77"/>
  <c r="AA342" i="72" s="1"/>
  <c r="X342"/>
  <c r="GS338" i="77"/>
  <c r="AA338" i="72" s="1"/>
  <c r="X338"/>
  <c r="GS431" i="77"/>
  <c r="GS19"/>
  <c r="GS328"/>
  <c r="AA328" i="72" s="1"/>
  <c r="X328"/>
  <c r="GS309" i="77"/>
  <c r="AA309" i="72" s="1"/>
  <c r="X309"/>
  <c r="GS337" i="77"/>
  <c r="AA337" i="72" s="1"/>
  <c r="X337"/>
  <c r="GS327" i="77"/>
  <c r="AA327" i="72" s="1"/>
  <c r="X327"/>
  <c r="GS326" i="77"/>
  <c r="AA326" i="72" s="1"/>
  <c r="X326"/>
  <c r="GS339" i="77"/>
  <c r="AA339" i="72" s="1"/>
  <c r="X339"/>
  <c r="GS335" i="77"/>
  <c r="AA335" i="72" s="1"/>
  <c r="X335"/>
  <c r="GS325" i="77"/>
  <c r="AA325" i="72" s="1"/>
  <c r="X325"/>
  <c r="GS215" i="77"/>
  <c r="GR215"/>
  <c r="GS308"/>
  <c r="AA308" i="72" s="1"/>
  <c r="X308"/>
  <c r="GV124" i="77"/>
  <c r="GV149"/>
  <c r="GS306"/>
  <c r="AA306" i="72" s="1"/>
  <c r="X306"/>
  <c r="GS344" i="77"/>
  <c r="AA344" i="72" s="1"/>
  <c r="X344"/>
  <c r="GS330" i="77"/>
  <c r="AA330" i="72" s="1"/>
  <c r="X330"/>
  <c r="GS340" i="77"/>
  <c r="AA340" i="72" s="1"/>
  <c r="X340"/>
  <c r="FO173" i="77"/>
  <c r="FO309"/>
  <c r="Z309" i="71" s="1"/>
  <c r="FP361" i="77"/>
  <c r="FR361" s="1"/>
  <c r="FP218"/>
  <c r="FO218"/>
  <c r="FR190"/>
  <c r="FS190"/>
  <c r="FP133"/>
  <c r="FO133"/>
  <c r="FP146"/>
  <c r="FP144"/>
  <c r="FO144"/>
  <c r="FP309"/>
  <c r="AA309" i="71" s="1"/>
  <c r="FR107" i="77"/>
  <c r="FS107"/>
  <c r="FS343"/>
  <c r="AD343" i="71" s="1"/>
  <c r="AA343"/>
  <c r="FS342" i="77"/>
  <c r="AD342" i="71" s="1"/>
  <c r="AA342"/>
  <c r="FP325" i="77"/>
  <c r="X325" i="71"/>
  <c r="FO325" i="77"/>
  <c r="Z325" i="71" s="1"/>
  <c r="AA300"/>
  <c r="FS300" i="77"/>
  <c r="AD300" i="71" s="1"/>
  <c r="AA324"/>
  <c r="FS324" i="77"/>
  <c r="AD324" i="71" s="1"/>
  <c r="FP334" i="77"/>
  <c r="X334" i="71"/>
  <c r="FO334" i="77"/>
  <c r="Z334" i="71" s="1"/>
  <c r="FP344" i="77"/>
  <c r="X344" i="71"/>
  <c r="FO344" i="77"/>
  <c r="Z344" i="71" s="1"/>
  <c r="AA316"/>
  <c r="FS316" i="77"/>
  <c r="AD316" i="71" s="1"/>
  <c r="FR316" i="77"/>
  <c r="AC316" i="71" s="1"/>
  <c r="FP340" i="77"/>
  <c r="X340" i="71"/>
  <c r="FO340" i="77"/>
  <c r="Z340" i="71" s="1"/>
  <c r="FP339" i="77"/>
  <c r="X339" i="71"/>
  <c r="FO339" i="77"/>
  <c r="Z339" i="71" s="1"/>
  <c r="FO317" i="77"/>
  <c r="Z317" i="71" s="1"/>
  <c r="X317"/>
  <c r="FO338" i="77"/>
  <c r="Z338" i="71" s="1"/>
  <c r="X338"/>
  <c r="AA332"/>
  <c r="FS332" i="77"/>
  <c r="AD332" i="71" s="1"/>
  <c r="FP326" i="77"/>
  <c r="X326" i="71"/>
  <c r="FO326" i="77"/>
  <c r="Z326" i="71" s="1"/>
  <c r="FP306" i="77"/>
  <c r="X306" i="71"/>
  <c r="FO306" i="77"/>
  <c r="Z306" i="71" s="1"/>
  <c r="FP333" i="77"/>
  <c r="X333" i="71"/>
  <c r="FO333" i="77"/>
  <c r="Z333" i="71" s="1"/>
  <c r="FP337" i="77"/>
  <c r="X337" i="71"/>
  <c r="FO337" i="77"/>
  <c r="Z337" i="71" s="1"/>
  <c r="FP111" i="77"/>
  <c r="FS308"/>
  <c r="AD308" i="71" s="1"/>
  <c r="AA308"/>
  <c r="FS327" i="77"/>
  <c r="AD327" i="71" s="1"/>
  <c r="AA327"/>
  <c r="FP314" i="77"/>
  <c r="X314" i="71"/>
  <c r="FO314" i="77"/>
  <c r="Z314" i="71" s="1"/>
  <c r="FP330" i="77"/>
  <c r="X330" i="71"/>
  <c r="FO330" i="77"/>
  <c r="Z330" i="71" s="1"/>
  <c r="FP348" i="77"/>
  <c r="X348" i="71"/>
  <c r="FO348" i="77"/>
  <c r="Z348" i="71" s="1"/>
  <c r="EL241" i="77"/>
  <c r="EL199"/>
  <c r="EL137"/>
  <c r="EM348"/>
  <c r="AA348" i="70" s="1"/>
  <c r="EM211" i="77"/>
  <c r="EL324"/>
  <c r="Z324" i="70" s="1"/>
  <c r="EJ328" i="77"/>
  <c r="EL102"/>
  <c r="EM108"/>
  <c r="EL334"/>
  <c r="Z334" i="70" s="1"/>
  <c r="EL338" i="77"/>
  <c r="Z338" i="70" s="1"/>
  <c r="X338"/>
  <c r="EL300" i="77"/>
  <c r="Z300" i="70" s="1"/>
  <c r="X300"/>
  <c r="EL305" i="77"/>
  <c r="Z305" i="70" s="1"/>
  <c r="X305"/>
  <c r="Z468" i="39"/>
  <c r="Z466" s="1"/>
  <c r="EJ280" i="77"/>
  <c r="EJ221"/>
  <c r="EM314"/>
  <c r="X314" i="70"/>
  <c r="EL314" i="77"/>
  <c r="Z314" i="70" s="1"/>
  <c r="EJ273" i="77"/>
  <c r="EJ135"/>
  <c r="EM135" s="1"/>
  <c r="EL112"/>
  <c r="DI158"/>
  <c r="DI291"/>
  <c r="DI411"/>
  <c r="DJ195"/>
  <c r="DG332"/>
  <c r="DG247"/>
  <c r="DJ247" s="1"/>
  <c r="DG31"/>
  <c r="DI308"/>
  <c r="Z308" i="69" s="1"/>
  <c r="DJ381" i="77"/>
  <c r="DJ19"/>
  <c r="DJ126"/>
  <c r="DI126"/>
  <c r="DJ326"/>
  <c r="AA326" i="69" s="1"/>
  <c r="X326"/>
  <c r="DG140" i="77"/>
  <c r="DG121"/>
  <c r="DJ308"/>
  <c r="AA308" i="69" s="1"/>
  <c r="DJ174" i="77"/>
  <c r="DI196"/>
  <c r="DI371"/>
  <c r="DI163"/>
  <c r="DI335"/>
  <c r="Z335" i="69" s="1"/>
  <c r="X335"/>
  <c r="DJ310" i="77"/>
  <c r="AA310" i="69" s="1"/>
  <c r="X310"/>
  <c r="DI338" i="77"/>
  <c r="Z338" i="69" s="1"/>
  <c r="X338"/>
  <c r="DI339" i="77"/>
  <c r="Z339" i="69" s="1"/>
  <c r="X339"/>
  <c r="DG419" i="77"/>
  <c r="CD126"/>
  <c r="CD176"/>
  <c r="CD113"/>
  <c r="CF417"/>
  <c r="CD273"/>
  <c r="CG273" s="1"/>
  <c r="CD156"/>
  <c r="CD162"/>
  <c r="CF218"/>
  <c r="CG137"/>
  <c r="CG300"/>
  <c r="AA300" i="68" s="1"/>
  <c r="CD340" i="77"/>
  <c r="X340" i="68" s="1"/>
  <c r="V340"/>
  <c r="CD317" i="77"/>
  <c r="X317" i="68" s="1"/>
  <c r="V317"/>
  <c r="CD168" i="77"/>
  <c r="CF343"/>
  <c r="Z343" i="68" s="1"/>
  <c r="CF325" i="77"/>
  <c r="Z325" i="68" s="1"/>
  <c r="CD108" i="77"/>
  <c r="CF108" s="1"/>
  <c r="CG140"/>
  <c r="CF338"/>
  <c r="Z338" i="68" s="1"/>
  <c r="X338"/>
  <c r="CD196" i="77"/>
  <c r="CD21"/>
  <c r="CF300"/>
  <c r="Z300" i="68" s="1"/>
  <c r="BA413" i="77"/>
  <c r="BC413" s="1"/>
  <c r="BA296"/>
  <c r="BD412"/>
  <c r="BC412"/>
  <c r="BA326"/>
  <c r="X326" i="65" s="1"/>
  <c r="V326"/>
  <c r="BA310" i="77"/>
  <c r="X310" i="65" s="1"/>
  <c r="V310"/>
  <c r="BA300" i="77"/>
  <c r="X300" i="65" s="1"/>
  <c r="V300"/>
  <c r="BD314" i="77"/>
  <c r="X314" i="65"/>
  <c r="BC314" i="77"/>
  <c r="Z314" i="65" s="1"/>
  <c r="BC321" i="77"/>
  <c r="Z321" i="65" s="1"/>
  <c r="BC123" i="77"/>
  <c r="BC325"/>
  <c r="Z325" i="65" s="1"/>
  <c r="BC421" i="77"/>
  <c r="BD116"/>
  <c r="BD251"/>
  <c r="BD135"/>
  <c r="BD134"/>
  <c r="BC337"/>
  <c r="Z337" i="65" s="1"/>
  <c r="X337"/>
  <c r="BA461" i="77"/>
  <c r="BA187"/>
  <c r="BA299"/>
  <c r="X299" i="65" s="1"/>
  <c r="V299"/>
  <c r="BD321" i="77"/>
  <c r="AA321" i="65" s="1"/>
  <c r="BD325" i="77"/>
  <c r="AA325" i="65" s="1"/>
  <c r="DJ277" i="77"/>
  <c r="DI277"/>
  <c r="FR148"/>
  <c r="FS148"/>
  <c r="GU125"/>
  <c r="GV125"/>
  <c r="FO63"/>
  <c r="Z63" i="71" s="1"/>
  <c r="FR327" i="77"/>
  <c r="AC327" i="71" s="1"/>
  <c r="GR343" i="77"/>
  <c r="Z343" i="72" s="1"/>
  <c r="GR330" i="77"/>
  <c r="Z330" i="72" s="1"/>
  <c r="HU150" i="77"/>
  <c r="GR133"/>
  <c r="HU31"/>
  <c r="EJ109"/>
  <c r="EM109" s="1"/>
  <c r="BA61"/>
  <c r="DG391"/>
  <c r="DI391" s="1"/>
  <c r="BA348"/>
  <c r="X348" i="65" s="1"/>
  <c r="GV120" i="77"/>
  <c r="DI214"/>
  <c r="HU103"/>
  <c r="FO217"/>
  <c r="HU102"/>
  <c r="FS419"/>
  <c r="FR193"/>
  <c r="FS193"/>
  <c r="EL92"/>
  <c r="Z92" i="70" s="1"/>
  <c r="FO242" i="77"/>
  <c r="Z242" i="71" s="1"/>
  <c r="EJ263" i="77"/>
  <c r="HS288"/>
  <c r="GR344"/>
  <c r="Z344" i="72" s="1"/>
  <c r="FR261" i="77"/>
  <c r="FR416"/>
  <c r="HU19"/>
  <c r="GV165"/>
  <c r="HU412"/>
  <c r="GR147"/>
  <c r="CI174"/>
  <c r="HU331"/>
  <c r="Z331" i="73" s="1"/>
  <c r="GR219" i="77"/>
  <c r="GV271"/>
  <c r="BA122"/>
  <c r="BD122" s="1"/>
  <c r="EJ121"/>
  <c r="EL121" s="1"/>
  <c r="GV131"/>
  <c r="BA343"/>
  <c r="X343" i="65" s="1"/>
  <c r="GV164" i="77"/>
  <c r="CD103"/>
  <c r="CG103" s="1"/>
  <c r="GP334"/>
  <c r="X334" i="72" s="1"/>
  <c r="GV122" i="77"/>
  <c r="FO161"/>
  <c r="BC198"/>
  <c r="CG31"/>
  <c r="CJ31" s="1"/>
  <c r="BC195"/>
  <c r="EL194"/>
  <c r="FO148"/>
  <c r="EL142"/>
  <c r="DJ171"/>
  <c r="EM132"/>
  <c r="CF100"/>
  <c r="BD185"/>
  <c r="CG183"/>
  <c r="FP138"/>
  <c r="DI12"/>
  <c r="BC192"/>
  <c r="EM141"/>
  <c r="DI13"/>
  <c r="FP317"/>
  <c r="AA317" i="71" s="1"/>
  <c r="GS251" i="77"/>
  <c r="GS188"/>
  <c r="FP113"/>
  <c r="DJ335"/>
  <c r="AA335" i="69" s="1"/>
  <c r="GS371" i="77"/>
  <c r="BD196"/>
  <c r="CG139"/>
  <c r="FP338"/>
  <c r="AA338" i="71" s="1"/>
  <c r="FP135" i="77"/>
  <c r="GS123"/>
  <c r="EM120"/>
  <c r="EL174"/>
  <c r="CG338"/>
  <c r="AA338" i="68" s="1"/>
  <c r="HU248" i="77"/>
  <c r="Z248" i="73" s="1"/>
  <c r="CD55" i="77"/>
  <c r="CG55" s="1"/>
  <c r="CF389"/>
  <c r="Z389" i="68" s="1"/>
  <c r="GR93" i="77"/>
  <c r="Z93" i="72" s="1"/>
  <c r="GR425" i="77"/>
  <c r="Z425" i="72" s="1"/>
  <c r="DI425" i="77"/>
  <c r="Z425" i="69" s="1"/>
  <c r="EJ237" i="77"/>
  <c r="EM237" s="1"/>
  <c r="EL363"/>
  <c r="Z363" i="70" s="1"/>
  <c r="BA382" i="77"/>
  <c r="DG294"/>
  <c r="HU229"/>
  <c r="Z229" i="73" s="1"/>
  <c r="DG206" i="77"/>
  <c r="DJ206" s="1"/>
  <c r="GR333"/>
  <c r="Z333" i="72" s="1"/>
  <c r="GR325" i="77"/>
  <c r="Z325" i="72" s="1"/>
  <c r="HU125" i="77"/>
  <c r="HU121"/>
  <c r="GR151"/>
  <c r="HU241"/>
  <c r="BA153"/>
  <c r="BC153" s="1"/>
  <c r="BA183"/>
  <c r="BA166"/>
  <c r="BC166" s="1"/>
  <c r="DG317"/>
  <c r="X317" i="69" s="1"/>
  <c r="GV106" i="77"/>
  <c r="FS361"/>
  <c r="HY217"/>
  <c r="IV354"/>
  <c r="IX63"/>
  <c r="Z63" i="74" s="1"/>
  <c r="IX95" i="77"/>
  <c r="Z95" i="74" s="1"/>
  <c r="HV210" i="77"/>
  <c r="HY210" s="1"/>
  <c r="HU210"/>
  <c r="GR383"/>
  <c r="Z383" i="72" s="1"/>
  <c r="GS213" i="77"/>
  <c r="GR213"/>
  <c r="GR389"/>
  <c r="Z389" i="72" s="1"/>
  <c r="FM265" i="77"/>
  <c r="FO237"/>
  <c r="Z237" i="71" s="1"/>
  <c r="FM292" i="77"/>
  <c r="FP141"/>
  <c r="FO141"/>
  <c r="FS139"/>
  <c r="FM112"/>
  <c r="FP112" s="1"/>
  <c r="EO154"/>
  <c r="EP154"/>
  <c r="EJ164"/>
  <c r="DG215"/>
  <c r="DJ215" s="1"/>
  <c r="DG112"/>
  <c r="DJ112" s="1"/>
  <c r="CD415"/>
  <c r="CF415" s="1"/>
  <c r="BC108"/>
  <c r="BC221"/>
  <c r="BD221"/>
  <c r="BF154"/>
  <c r="BG154"/>
  <c r="BA158"/>
  <c r="BD158" s="1"/>
  <c r="BG186"/>
  <c r="BF186"/>
  <c r="GS17"/>
  <c r="GR17"/>
  <c r="FR168"/>
  <c r="FS168"/>
  <c r="GR206"/>
  <c r="Z206" i="72" s="1"/>
  <c r="GR306" i="77"/>
  <c r="Z306" i="72" s="1"/>
  <c r="GR134" i="77"/>
  <c r="BA120"/>
  <c r="BC120" s="1"/>
  <c r="DG135"/>
  <c r="BA176"/>
  <c r="BC176" s="1"/>
  <c r="DG134"/>
  <c r="DI134" s="1"/>
  <c r="CD184"/>
  <c r="CG184" s="1"/>
  <c r="BA117"/>
  <c r="BC117" s="1"/>
  <c r="EJ167"/>
  <c r="EL167" s="1"/>
  <c r="DG305"/>
  <c r="X305" i="69" s="1"/>
  <c r="DG123" i="77"/>
  <c r="DJ123" s="1"/>
  <c r="CD120"/>
  <c r="CF120" s="1"/>
  <c r="BA342"/>
  <c r="X342" i="65" s="1"/>
  <c r="BA13" i="77"/>
  <c r="BC13" s="1"/>
  <c r="EJ106"/>
  <c r="EM106" s="1"/>
  <c r="FR271"/>
  <c r="FS271"/>
  <c r="FR188"/>
  <c r="FS188"/>
  <c r="BA91"/>
  <c r="BC91" s="1"/>
  <c r="EJ117"/>
  <c r="EL117" s="1"/>
  <c r="BA179"/>
  <c r="BC179" s="1"/>
  <c r="EJ139"/>
  <c r="EL139" s="1"/>
  <c r="BA136"/>
  <c r="BD136" s="1"/>
  <c r="DJ218"/>
  <c r="DI218"/>
  <c r="HU371"/>
  <c r="DG114"/>
  <c r="DG412"/>
  <c r="DI412" s="1"/>
  <c r="CD198"/>
  <c r="BA41"/>
  <c r="BC41" s="1"/>
  <c r="EJ333"/>
  <c r="X333" i="70" s="1"/>
  <c r="HS112" i="77"/>
  <c r="HU112" s="1"/>
  <c r="BA18"/>
  <c r="CD61"/>
  <c r="CD199"/>
  <c r="CG199" s="1"/>
  <c r="CD337"/>
  <c r="X337" i="68" s="1"/>
  <c r="CD106" i="77"/>
  <c r="CF106" s="1"/>
  <c r="BA261"/>
  <c r="BC261" s="1"/>
  <c r="DG110"/>
  <c r="BA415"/>
  <c r="BC415" s="1"/>
  <c r="BA381"/>
  <c r="BC381" s="1"/>
  <c r="FR331"/>
  <c r="AC331" i="71" s="1"/>
  <c r="FS331" i="77"/>
  <c r="AD331" i="71" s="1"/>
  <c r="GS21" i="77"/>
  <c r="GR21"/>
  <c r="FP137"/>
  <c r="FO137"/>
  <c r="GS191"/>
  <c r="GR191"/>
  <c r="GP16"/>
  <c r="GR16" s="1"/>
  <c r="CG138"/>
  <c r="CF138"/>
  <c r="EL109"/>
  <c r="BD371"/>
  <c r="BC371"/>
  <c r="CF195"/>
  <c r="CG195"/>
  <c r="EM271"/>
  <c r="EL271"/>
  <c r="CF156"/>
  <c r="CG156"/>
  <c r="BD348"/>
  <c r="AA348" i="65" s="1"/>
  <c r="BD175" i="77"/>
  <c r="BC175"/>
  <c r="BD111"/>
  <c r="BC111"/>
  <c r="DJ121"/>
  <c r="DI121"/>
  <c r="CG126"/>
  <c r="CF126"/>
  <c r="BD210"/>
  <c r="BC210"/>
  <c r="DJ419"/>
  <c r="DI419"/>
  <c r="DJ135"/>
  <c r="DI135"/>
  <c r="DJ199"/>
  <c r="DI199"/>
  <c r="GS13"/>
  <c r="GR13"/>
  <c r="DJ134"/>
  <c r="CG340"/>
  <c r="AA340" i="68" s="1"/>
  <c r="CF340" i="77"/>
  <c r="Z340" i="68" s="1"/>
  <c r="BD117" i="77"/>
  <c r="BD299"/>
  <c r="AA299" i="65" s="1"/>
  <c r="BC299" i="77"/>
  <c r="Z299" i="65" s="1"/>
  <c r="EM221" i="77"/>
  <c r="EL221"/>
  <c r="CG176"/>
  <c r="CF176"/>
  <c r="CG113"/>
  <c r="CF113"/>
  <c r="BC183"/>
  <c r="BD183"/>
  <c r="CF161"/>
  <c r="CG161"/>
  <c r="DI317"/>
  <c r="Z317" i="69" s="1"/>
  <c r="CG114" i="77"/>
  <c r="CF114"/>
  <c r="EM136"/>
  <c r="EL136"/>
  <c r="BD119"/>
  <c r="BC119"/>
  <c r="CG108"/>
  <c r="DJ140"/>
  <c r="DI140"/>
  <c r="CF103"/>
  <c r="GS317"/>
  <c r="AA317" i="72" s="1"/>
  <c r="GR317" i="77"/>
  <c r="Z317" i="72" s="1"/>
  <c r="BD91" i="77"/>
  <c r="GS334"/>
  <c r="AA334" i="72" s="1"/>
  <c r="GR334" i="77"/>
  <c r="Z334" i="72" s="1"/>
  <c r="EM164" i="77"/>
  <c r="EL164"/>
  <c r="BC136"/>
  <c r="BC326"/>
  <c r="Z326" i="65" s="1"/>
  <c r="EM31" i="77"/>
  <c r="EL31"/>
  <c r="DI114"/>
  <c r="DJ114"/>
  <c r="CF196"/>
  <c r="CG196"/>
  <c r="BD310"/>
  <c r="AA310" i="65" s="1"/>
  <c r="BC310" i="77"/>
  <c r="Z310" i="65" s="1"/>
  <c r="BD300" i="77"/>
  <c r="AA300" i="65" s="1"/>
  <c r="CG21" i="77"/>
  <c r="CF21"/>
  <c r="BD201"/>
  <c r="BC201"/>
  <c r="EM123"/>
  <c r="EL123"/>
  <c r="CG198"/>
  <c r="CF198"/>
  <c r="EM333"/>
  <c r="AA333" i="70" s="1"/>
  <c r="EL333" i="77"/>
  <c r="Z333" i="70" s="1"/>
  <c r="CG317" i="77"/>
  <c r="AA317" i="68" s="1"/>
  <c r="CF317" i="77"/>
  <c r="Z317" i="68" s="1"/>
  <c r="BD110" i="77"/>
  <c r="BC110"/>
  <c r="BD170"/>
  <c r="BC170"/>
  <c r="CG19"/>
  <c r="CF19"/>
  <c r="CG106"/>
  <c r="DI110"/>
  <c r="DJ110"/>
  <c r="EM180"/>
  <c r="EL180"/>
  <c r="CG189"/>
  <c r="CF189"/>
  <c r="BC107"/>
  <c r="BD107"/>
  <c r="CG148"/>
  <c r="CF148"/>
  <c r="BD146"/>
  <c r="BC146"/>
  <c r="CF151"/>
  <c r="CG151"/>
  <c r="DI104"/>
  <c r="DJ104"/>
  <c r="DJ124"/>
  <c r="DI124"/>
  <c r="EM215"/>
  <c r="EL215"/>
  <c r="BD11"/>
  <c r="BC11"/>
  <c r="BC173"/>
  <c r="BD173"/>
  <c r="BD419"/>
  <c r="BC419"/>
  <c r="BC155"/>
  <c r="BD155"/>
  <c r="BC142"/>
  <c r="BD142"/>
  <c r="EL170"/>
  <c r="EM170"/>
  <c r="DJ184"/>
  <c r="DI184"/>
  <c r="CJ326"/>
  <c r="AD326" i="68" s="1"/>
  <c r="CI326" i="77"/>
  <c r="AC326" i="68" s="1"/>
  <c r="EO11" i="77"/>
  <c r="EP11"/>
  <c r="CJ332"/>
  <c r="AD332" i="68" s="1"/>
  <c r="CI332" i="77"/>
  <c r="AC332" i="68" s="1"/>
  <c r="FS162" i="77"/>
  <c r="FR162"/>
  <c r="BG211"/>
  <c r="BF211"/>
  <c r="CJ339"/>
  <c r="AD339" i="68" s="1"/>
  <c r="CI339" i="77"/>
  <c r="AC339" i="68" s="1"/>
  <c r="BG309" i="77"/>
  <c r="AD309" i="65" s="1"/>
  <c r="BF309" i="77"/>
  <c r="AC309" i="65" s="1"/>
  <c r="EP306" i="77"/>
  <c r="AD306" i="70" s="1"/>
  <c r="EO306" i="77"/>
  <c r="AC306" i="70" s="1"/>
  <c r="BG128" i="77"/>
  <c r="BF128"/>
  <c r="BF308"/>
  <c r="AC308" i="65" s="1"/>
  <c r="BG308" i="77"/>
  <c r="AD308" i="65" s="1"/>
  <c r="EO17" i="77"/>
  <c r="EP17"/>
  <c r="DM331"/>
  <c r="AD331" i="69" s="1"/>
  <c r="DL331" i="77"/>
  <c r="AC331" i="69" s="1"/>
  <c r="DM142" i="77"/>
  <c r="DL142"/>
  <c r="FS170"/>
  <c r="FR170"/>
  <c r="EO310"/>
  <c r="AC310" i="70" s="1"/>
  <c r="EP310" i="77"/>
  <c r="AD310" i="70" s="1"/>
  <c r="DL172" i="77"/>
  <c r="DM172"/>
  <c r="FS181"/>
  <c r="FR181"/>
  <c r="CI381"/>
  <c r="CJ381"/>
  <c r="BG331"/>
  <c r="AD331" i="65" s="1"/>
  <c r="BF331" i="77"/>
  <c r="AC331" i="65" s="1"/>
  <c r="DL299" i="77"/>
  <c r="AC299" i="69" s="1"/>
  <c r="DM299" i="77"/>
  <c r="AD299" i="69" s="1"/>
  <c r="HY172" i="77"/>
  <c r="HX172"/>
  <c r="GS331"/>
  <c r="AA331" i="72" s="1"/>
  <c r="GR331" i="77"/>
  <c r="Z331" i="72" s="1"/>
  <c r="EL195" i="77"/>
  <c r="EM195"/>
  <c r="EM172"/>
  <c r="EL172"/>
  <c r="CF186"/>
  <c r="CG186"/>
  <c r="GR128"/>
  <c r="GS128"/>
  <c r="BC149"/>
  <c r="BD149"/>
  <c r="FP136"/>
  <c r="FO136"/>
  <c r="BD147"/>
  <c r="BC147"/>
  <c r="EM441"/>
  <c r="EL441"/>
  <c r="GS116"/>
  <c r="GR116"/>
  <c r="CG119"/>
  <c r="CF119"/>
  <c r="DJ109"/>
  <c r="DI109"/>
  <c r="CG411"/>
  <c r="CF411"/>
  <c r="BD164"/>
  <c r="BC164"/>
  <c r="DI192"/>
  <c r="DJ192"/>
  <c r="CF391"/>
  <c r="CG391"/>
  <c r="DJ324"/>
  <c r="AA324" i="69" s="1"/>
  <c r="DI324" i="77"/>
  <c r="Z324" i="69" s="1"/>
  <c r="DI157" i="77"/>
  <c r="DJ157"/>
  <c r="FR13"/>
  <c r="FS13"/>
  <c r="BG104"/>
  <c r="BF104"/>
  <c r="HY189"/>
  <c r="HX189"/>
  <c r="DM71"/>
  <c r="DL71"/>
  <c r="JB187"/>
  <c r="JA187"/>
  <c r="FR128"/>
  <c r="FS128"/>
  <c r="BG133"/>
  <c r="BF133"/>
  <c r="GU172"/>
  <c r="GV172"/>
  <c r="DM146"/>
  <c r="DL146"/>
  <c r="EO159"/>
  <c r="EP159"/>
  <c r="EM176"/>
  <c r="EL176"/>
  <c r="FP124"/>
  <c r="FO124"/>
  <c r="BD145"/>
  <c r="BC145"/>
  <c r="CG115"/>
  <c r="CF115"/>
  <c r="CF241"/>
  <c r="CG241"/>
  <c r="EM381"/>
  <c r="EL381"/>
  <c r="CG416"/>
  <c r="CF416"/>
  <c r="BD197"/>
  <c r="BC197"/>
  <c r="CG217"/>
  <c r="CF217"/>
  <c r="EL126"/>
  <c r="EM126"/>
  <c r="FP176"/>
  <c r="FO176"/>
  <c r="EM326"/>
  <c r="AA326" i="70" s="1"/>
  <c r="EL326" i="77"/>
  <c r="Z326" i="70" s="1"/>
  <c r="DJ191" i="77"/>
  <c r="DI191"/>
  <c r="DJ325"/>
  <c r="AA325" i="69" s="1"/>
  <c r="DI325" i="77"/>
  <c r="Z325" i="69" s="1"/>
  <c r="CG216" i="77"/>
  <c r="CF216"/>
  <c r="BD103"/>
  <c r="BC103"/>
  <c r="DJ328"/>
  <c r="AA328" i="69" s="1"/>
  <c r="DI328" i="77"/>
  <c r="Z328" i="69" s="1"/>
  <c r="GS14" i="77"/>
  <c r="GR14"/>
  <c r="EM308"/>
  <c r="AA308" i="70" s="1"/>
  <c r="EL308" i="77"/>
  <c r="Z308" i="70" s="1"/>
  <c r="CG331" i="77"/>
  <c r="AA331" i="68" s="1"/>
  <c r="CF331" i="77"/>
  <c r="Z331" i="68" s="1"/>
  <c r="EL122" i="77"/>
  <c r="EM122"/>
  <c r="CF163"/>
  <c r="CG163"/>
  <c r="BD12"/>
  <c r="BC12"/>
  <c r="DJ100"/>
  <c r="DI100"/>
  <c r="DJ11"/>
  <c r="DI11"/>
  <c r="DJ416"/>
  <c r="DI416"/>
  <c r="BF16"/>
  <c r="BG16"/>
  <c r="CI147"/>
  <c r="CJ147"/>
  <c r="FR169"/>
  <c r="FS169"/>
  <c r="BG160"/>
  <c r="BF160"/>
  <c r="BG167"/>
  <c r="BF167"/>
  <c r="CJ141"/>
  <c r="CI141"/>
  <c r="DM241"/>
  <c r="DL241"/>
  <c r="HY413"/>
  <c r="HX413"/>
  <c r="FR180"/>
  <c r="FS180"/>
  <c r="BG184"/>
  <c r="BF184"/>
  <c r="JA100"/>
  <c r="JB100"/>
  <c r="DM103"/>
  <c r="DL103"/>
  <c r="JB413"/>
  <c r="JA413"/>
  <c r="GS193"/>
  <c r="GR193"/>
  <c r="DJ281"/>
  <c r="DI281"/>
  <c r="FR165"/>
  <c r="FS165"/>
  <c r="CJ132"/>
  <c r="CI132"/>
  <c r="CI219"/>
  <c r="CJ219"/>
  <c r="FS184"/>
  <c r="FR184"/>
  <c r="CI417"/>
  <c r="CJ417"/>
  <c r="GV101"/>
  <c r="GU101"/>
  <c r="FR210"/>
  <c r="FS210"/>
  <c r="FS102"/>
  <c r="FR102"/>
  <c r="CI136"/>
  <c r="CJ136"/>
  <c r="EO251"/>
  <c r="EP251"/>
  <c r="CJ421"/>
  <c r="CI421"/>
  <c r="DL197"/>
  <c r="DM197"/>
  <c r="DL156"/>
  <c r="DM156"/>
  <c r="DM174"/>
  <c r="DL174"/>
  <c r="EP100"/>
  <c r="EO100"/>
  <c r="EP145"/>
  <c r="EO145"/>
  <c r="BG241"/>
  <c r="BF241"/>
  <c r="DL133"/>
  <c r="DM133"/>
  <c r="EP184"/>
  <c r="EO184"/>
  <c r="DM108"/>
  <c r="DL108"/>
  <c r="CJ111"/>
  <c r="CI111"/>
  <c r="DL12"/>
  <c r="DM12"/>
  <c r="GV187"/>
  <c r="GU187"/>
  <c r="BF192"/>
  <c r="BG192"/>
  <c r="JA175"/>
  <c r="JB175"/>
  <c r="BG114"/>
  <c r="BF114"/>
  <c r="DL13"/>
  <c r="DM13"/>
  <c r="HX170"/>
  <c r="HY170"/>
  <c r="FS317"/>
  <c r="AD317" i="71" s="1"/>
  <c r="FR317" i="77"/>
  <c r="AC317" i="71" s="1"/>
  <c r="GU173" i="77"/>
  <c r="GV173"/>
  <c r="GV104"/>
  <c r="GU104"/>
  <c r="EP185"/>
  <c r="EO185"/>
  <c r="BG31"/>
  <c r="BF31"/>
  <c r="JA178"/>
  <c r="JB178"/>
  <c r="BG116"/>
  <c r="BF116"/>
  <c r="EP162"/>
  <c r="EO162"/>
  <c r="FR122"/>
  <c r="FS122"/>
  <c r="BG330"/>
  <c r="AD330" i="65" s="1"/>
  <c r="BF330" i="77"/>
  <c r="AC330" i="65" s="1"/>
  <c r="JA102" i="77"/>
  <c r="JB102"/>
  <c r="DL335"/>
  <c r="AC335" i="69" s="1"/>
  <c r="DM335" i="77"/>
  <c r="AD335" i="69" s="1"/>
  <c r="FR310" i="77"/>
  <c r="AC310" i="71" s="1"/>
  <c r="FS310" i="77"/>
  <c r="AD310" i="71" s="1"/>
  <c r="BG196" i="77"/>
  <c r="BF196"/>
  <c r="DM195"/>
  <c r="DL195"/>
  <c r="CJ139"/>
  <c r="CI139"/>
  <c r="FR338"/>
  <c r="AC338" i="71" s="1"/>
  <c r="FS338" i="77"/>
  <c r="AD338" i="71" s="1"/>
  <c r="FS172" i="77"/>
  <c r="FR172"/>
  <c r="EP334"/>
  <c r="AD334" i="70" s="1"/>
  <c r="EO334" i="77"/>
  <c r="AC334" i="70" s="1"/>
  <c r="FR309" i="77"/>
  <c r="AC309" i="71" s="1"/>
  <c r="FS309" i="77"/>
  <c r="AD309" i="71" s="1"/>
  <c r="JA184" i="77"/>
  <c r="JB184"/>
  <c r="JA177"/>
  <c r="JB177"/>
  <c r="FR213"/>
  <c r="FS213"/>
  <c r="DM179"/>
  <c r="DL179"/>
  <c r="DL371"/>
  <c r="DM371"/>
  <c r="EO120"/>
  <c r="EP120"/>
  <c r="CI338"/>
  <c r="AC338" i="68" s="1"/>
  <c r="CI316" i="77"/>
  <c r="AC316" i="68" s="1"/>
  <c r="CJ316" i="77"/>
  <c r="AD316" i="68" s="1"/>
  <c r="FS186" i="77"/>
  <c r="FR186"/>
  <c r="EO128"/>
  <c r="EP128"/>
  <c r="DL326"/>
  <c r="AC326" i="69" s="1"/>
  <c r="DM326" i="77"/>
  <c r="AD326" i="69" s="1"/>
  <c r="FO94" i="77"/>
  <c r="Z94" i="71" s="1"/>
  <c r="HU188" i="77"/>
  <c r="GV126"/>
  <c r="FS142"/>
  <c r="EM261"/>
  <c r="EL261"/>
  <c r="EM231"/>
  <c r="EL231"/>
  <c r="BD182"/>
  <c r="BC182"/>
  <c r="BD333"/>
  <c r="AA333" i="65" s="1"/>
  <c r="BC333" i="77"/>
  <c r="Z333" i="65" s="1"/>
  <c r="FP174" i="77"/>
  <c r="FO174"/>
  <c r="BC181"/>
  <c r="BD181"/>
  <c r="GR170"/>
  <c r="GS170"/>
  <c r="BC180"/>
  <c r="BD180"/>
  <c r="CG309"/>
  <c r="AA309" i="68" s="1"/>
  <c r="CF309" i="77"/>
  <c r="Z309" i="68" s="1"/>
  <c r="EL198" i="77"/>
  <c r="EM198"/>
  <c r="FO175"/>
  <c r="FP175"/>
  <c r="EM361"/>
  <c r="EL361"/>
  <c r="DJ111"/>
  <c r="DI111"/>
  <c r="DJ330"/>
  <c r="AA330" i="69" s="1"/>
  <c r="DI330" i="77"/>
  <c r="Z330" i="69" s="1"/>
  <c r="DJ170" i="77"/>
  <c r="DI170"/>
  <c r="DJ343"/>
  <c r="AA343" i="69" s="1"/>
  <c r="DI343" i="77"/>
  <c r="Z343" i="69" s="1"/>
  <c r="DJ342" i="77"/>
  <c r="AA342" i="69" s="1"/>
  <c r="DI342" i="77"/>
  <c r="Z342" i="69" s="1"/>
  <c r="BD193" i="77"/>
  <c r="BC193"/>
  <c r="GS314"/>
  <c r="AA314" i="72" s="1"/>
  <c r="GR314" i="77"/>
  <c r="Z314" i="72" s="1"/>
  <c r="CG102" i="77"/>
  <c r="CF102"/>
  <c r="FP145"/>
  <c r="FO145"/>
  <c r="GS11"/>
  <c r="GR11"/>
  <c r="EM193"/>
  <c r="EL193"/>
  <c r="DI139"/>
  <c r="DJ139"/>
  <c r="DI181"/>
  <c r="DJ181"/>
  <c r="CI188"/>
  <c r="CJ188"/>
  <c r="BG124"/>
  <c r="BF124"/>
  <c r="FR132"/>
  <c r="FS132"/>
  <c r="BG109"/>
  <c r="BF109"/>
  <c r="GV179"/>
  <c r="GU179"/>
  <c r="CJ122"/>
  <c r="CI122"/>
  <c r="GV185"/>
  <c r="GU185"/>
  <c r="HX101"/>
  <c r="HY101"/>
  <c r="FS149"/>
  <c r="FR149"/>
  <c r="DM118"/>
  <c r="DL118"/>
  <c r="BD191"/>
  <c r="BC191"/>
  <c r="BD139"/>
  <c r="BC139"/>
  <c r="EM214"/>
  <c r="EL214"/>
  <c r="BD231"/>
  <c r="BC231"/>
  <c r="CG167"/>
  <c r="CF167"/>
  <c r="CG135"/>
  <c r="CF135"/>
  <c r="EM339"/>
  <c r="AA339" i="70" s="1"/>
  <c r="EL339" i="77"/>
  <c r="Z339" i="70" s="1"/>
  <c r="DI128" i="77"/>
  <c r="DJ128"/>
  <c r="HU175"/>
  <c r="HV175"/>
  <c r="CG160"/>
  <c r="CF160"/>
  <c r="DJ219"/>
  <c r="DI219"/>
  <c r="BD213"/>
  <c r="BC213"/>
  <c r="DI51"/>
  <c r="DJ51"/>
  <c r="EM201"/>
  <c r="EL201"/>
  <c r="DJ138"/>
  <c r="DI138"/>
  <c r="FR106"/>
  <c r="FS106"/>
  <c r="BG161"/>
  <c r="BF161"/>
  <c r="CJ327"/>
  <c r="AD327" i="68" s="1"/>
  <c r="CI327" i="77"/>
  <c r="AC327" i="68" s="1"/>
  <c r="EP182" i="77"/>
  <c r="EO182"/>
  <c r="GU180"/>
  <c r="GV180"/>
  <c r="CJ175"/>
  <c r="CI175"/>
  <c r="FR441"/>
  <c r="FS441"/>
  <c r="FR178"/>
  <c r="FS178"/>
  <c r="EP140"/>
  <c r="EO140"/>
  <c r="FS177"/>
  <c r="FR177"/>
  <c r="EO281"/>
  <c r="EP281"/>
  <c r="DL143"/>
  <c r="DM143"/>
  <c r="FS121"/>
  <c r="FR121"/>
  <c r="EP344"/>
  <c r="AD344" i="70" s="1"/>
  <c r="EO344" i="77"/>
  <c r="AC344" i="70" s="1"/>
  <c r="DL334" i="77"/>
  <c r="AC334" i="69" s="1"/>
  <c r="DM334" i="77"/>
  <c r="AD334" i="69" s="1"/>
  <c r="DL188" i="77"/>
  <c r="DM188"/>
  <c r="EO147"/>
  <c r="EP147"/>
  <c r="CJ187"/>
  <c r="CI187"/>
  <c r="BF21"/>
  <c r="BG21"/>
  <c r="EO337"/>
  <c r="AC337" i="70" s="1"/>
  <c r="EP337" i="77"/>
  <c r="AD337" i="70" s="1"/>
  <c r="CJ299" i="77"/>
  <c r="AD299" i="68" s="1"/>
  <c r="CI299" i="77"/>
  <c r="AC299" i="68" s="1"/>
  <c r="GU415" i="77"/>
  <c r="GV415"/>
  <c r="DL340"/>
  <c r="AC340" i="69" s="1"/>
  <c r="DM340" i="77"/>
  <c r="AD340" i="69" s="1"/>
  <c r="EP144" i="77"/>
  <c r="EO144"/>
  <c r="FS100"/>
  <c r="FR100"/>
  <c r="EP311"/>
  <c r="AD311" i="70" s="1"/>
  <c r="EO311" i="77"/>
  <c r="AC311" i="70" s="1"/>
  <c r="DM361" i="77"/>
  <c r="DL361"/>
  <c r="FS291"/>
  <c r="FR291"/>
  <c r="BG177"/>
  <c r="BF177"/>
  <c r="HY185"/>
  <c r="HX185"/>
  <c r="GS174"/>
  <c r="GR174"/>
  <c r="FP123"/>
  <c r="FO123"/>
  <c r="FP211"/>
  <c r="FO211"/>
  <c r="FO81"/>
  <c r="FP81"/>
  <c r="BD461"/>
  <c r="BC461"/>
  <c r="EM19"/>
  <c r="EL19"/>
  <c r="EM153"/>
  <c r="EL153"/>
  <c r="GS196"/>
  <c r="GR196"/>
  <c r="CF165"/>
  <c r="CG165"/>
  <c r="DJ314"/>
  <c r="AA314" i="69" s="1"/>
  <c r="DI314" i="77"/>
  <c r="Z314" i="69" s="1"/>
  <c r="DJ113" i="77"/>
  <c r="DI113"/>
  <c r="DJ415"/>
  <c r="DI415"/>
  <c r="DJ461"/>
  <c r="DI461"/>
  <c r="DI417"/>
  <c r="DJ417"/>
  <c r="BD306"/>
  <c r="AA306" i="65" s="1"/>
  <c r="BC306" i="77"/>
  <c r="Z306" i="65" s="1"/>
  <c r="CG116" i="77"/>
  <c r="CF116"/>
  <c r="FO71"/>
  <c r="FP71"/>
  <c r="DJ300"/>
  <c r="AA300" i="69" s="1"/>
  <c r="DI300" i="77"/>
  <c r="Z300" i="69" s="1"/>
  <c r="EM331" i="77"/>
  <c r="AA331" i="70" s="1"/>
  <c r="EL331" i="77"/>
  <c r="Z331" i="70" s="1"/>
  <c r="EM412" i="77"/>
  <c r="EL412"/>
  <c r="CG131"/>
  <c r="CF131"/>
  <c r="BC159"/>
  <c r="BD159"/>
  <c r="EM118"/>
  <c r="EL118"/>
  <c r="DI147"/>
  <c r="DJ147"/>
  <c r="HV18"/>
  <c r="HU18"/>
  <c r="CI125"/>
  <c r="CJ125"/>
  <c r="BG324"/>
  <c r="AD324" i="65" s="1"/>
  <c r="BF324" i="77"/>
  <c r="AC324" i="65" s="1"/>
  <c r="EO125" i="77"/>
  <c r="EP125"/>
  <c r="FS11"/>
  <c r="FR11"/>
  <c r="FR118"/>
  <c r="FS118"/>
  <c r="CJ328"/>
  <c r="AD328" i="68" s="1"/>
  <c r="CI328" i="77"/>
  <c r="AC328" i="68" s="1"/>
  <c r="FR192" i="77"/>
  <c r="FS192"/>
  <c r="BG340"/>
  <c r="AD340" i="65" s="1"/>
  <c r="BF340" i="77"/>
  <c r="AC340" i="65" s="1"/>
  <c r="EP138" i="77"/>
  <c r="EO138"/>
  <c r="CJ335"/>
  <c r="AD335" i="68" s="1"/>
  <c r="CI335" i="77"/>
  <c r="AC335" i="68" s="1"/>
  <c r="FS130" i="77"/>
  <c r="FR130"/>
  <c r="BG121"/>
  <c r="BF121"/>
  <c r="DM177"/>
  <c r="DL177"/>
  <c r="HX178"/>
  <c r="HY178"/>
  <c r="GV175"/>
  <c r="GU175"/>
  <c r="EO13"/>
  <c r="EP13"/>
  <c r="BF190"/>
  <c r="BG190"/>
  <c r="FR103"/>
  <c r="FS103"/>
  <c r="BG335"/>
  <c r="AD335" i="65" s="1"/>
  <c r="BF335" i="77"/>
  <c r="AC335" i="65" s="1"/>
  <c r="DM116" i="77"/>
  <c r="DL116"/>
  <c r="HY182"/>
  <c r="HX182"/>
  <c r="DM17"/>
  <c r="DL17"/>
  <c r="CG185"/>
  <c r="CF185"/>
  <c r="EO110"/>
  <c r="EP110"/>
  <c r="FR160"/>
  <c r="FS160"/>
  <c r="EO143"/>
  <c r="EP143"/>
  <c r="EP342"/>
  <c r="AD342" i="70" s="1"/>
  <c r="EO342" i="77"/>
  <c r="AC342" i="70" s="1"/>
  <c r="FR461" i="77"/>
  <c r="FS461"/>
  <c r="EO129"/>
  <c r="EP129"/>
  <c r="CJ51"/>
  <c r="CI51"/>
  <c r="FR194"/>
  <c r="FS194"/>
  <c r="CI31"/>
  <c r="CJ306"/>
  <c r="AD306" i="68" s="1"/>
  <c r="CI306" i="77"/>
  <c r="AC306" i="68" s="1"/>
  <c r="BF339" i="77"/>
  <c r="AC339" i="65" s="1"/>
  <c r="BG339" i="77"/>
  <c r="AD339" i="65" s="1"/>
  <c r="BF115" i="77"/>
  <c r="BG115"/>
  <c r="CJ117"/>
  <c r="CI117"/>
  <c r="EP343"/>
  <c r="AD343" i="70" s="1"/>
  <c r="EO343" i="77"/>
  <c r="AC343" i="70" s="1"/>
  <c r="EO21" i="77"/>
  <c r="EP21"/>
  <c r="CI218"/>
  <c r="CJ218"/>
  <c r="EO219"/>
  <c r="EP219"/>
  <c r="DM171"/>
  <c r="DL171"/>
  <c r="DM117"/>
  <c r="DL117"/>
  <c r="DL162"/>
  <c r="DM162"/>
  <c r="CJ129"/>
  <c r="CI129"/>
  <c r="EO132"/>
  <c r="EP132"/>
  <c r="DL189"/>
  <c r="DM189"/>
  <c r="CI143"/>
  <c r="CJ143"/>
  <c r="FR421"/>
  <c r="FS421"/>
  <c r="BG172"/>
  <c r="BF172"/>
  <c r="DL115"/>
  <c r="DM115"/>
  <c r="DM165"/>
  <c r="DL165"/>
  <c r="DL132"/>
  <c r="DM132"/>
  <c r="GU431"/>
  <c r="GV431"/>
  <c r="EP102"/>
  <c r="EO102"/>
  <c r="DM401"/>
  <c r="DL401"/>
  <c r="DL137"/>
  <c r="DM137"/>
  <c r="DM411"/>
  <c r="DL411"/>
  <c r="FR17"/>
  <c r="FS17"/>
  <c r="BG334"/>
  <c r="AD334" i="65" s="1"/>
  <c r="BF334" i="77"/>
  <c r="AC334" i="65" s="1"/>
  <c r="DM194" i="77"/>
  <c r="DL194"/>
  <c r="BG101"/>
  <c r="BF101"/>
  <c r="EP173"/>
  <c r="EO173"/>
  <c r="BF185"/>
  <c r="BG185"/>
  <c r="EP133"/>
  <c r="EO133"/>
  <c r="DL196"/>
  <c r="DM196"/>
  <c r="DL126"/>
  <c r="DM126"/>
  <c r="EP217"/>
  <c r="EO217"/>
  <c r="DL148"/>
  <c r="DM148"/>
  <c r="FR31"/>
  <c r="FS31"/>
  <c r="CJ281"/>
  <c r="CI281"/>
  <c r="FR191"/>
  <c r="FS191"/>
  <c r="DL231"/>
  <c r="DM231"/>
  <c r="CJ261"/>
  <c r="CI261"/>
  <c r="BG325"/>
  <c r="AD325" i="65" s="1"/>
  <c r="BF325" i="77"/>
  <c r="AC325" i="65" s="1"/>
  <c r="EP324" i="77"/>
  <c r="AD324" i="70" s="1"/>
  <c r="EO324" i="77"/>
  <c r="AC324" i="70" s="1"/>
  <c r="CJ112" i="77"/>
  <c r="CI112"/>
  <c r="FR167"/>
  <c r="FS167"/>
  <c r="BG174"/>
  <c r="BF174"/>
  <c r="BG100"/>
  <c r="BF100"/>
  <c r="HY104"/>
  <c r="HX104"/>
  <c r="EO183"/>
  <c r="EP183"/>
  <c r="GV103"/>
  <c r="GU103"/>
  <c r="FR126"/>
  <c r="FS126"/>
  <c r="CI130"/>
  <c r="CJ130"/>
  <c r="DM122"/>
  <c r="DL122"/>
  <c r="EP103"/>
  <c r="EO103"/>
  <c r="EO112"/>
  <c r="EP112"/>
  <c r="JB221"/>
  <c r="JA221"/>
  <c r="EO174"/>
  <c r="EP174"/>
  <c r="BG134"/>
  <c r="BF134"/>
  <c r="JB186"/>
  <c r="JA186"/>
  <c r="HX177"/>
  <c r="HY177"/>
  <c r="FS147"/>
  <c r="EJ188"/>
  <c r="CF133"/>
  <c r="CG133"/>
  <c r="FP157"/>
  <c r="FO157"/>
  <c r="BC291"/>
  <c r="BD291"/>
  <c r="EL192"/>
  <c r="EM192"/>
  <c r="GS157"/>
  <c r="GR157"/>
  <c r="BD61"/>
  <c r="BC61"/>
  <c r="CF104"/>
  <c r="CG104"/>
  <c r="GS299"/>
  <c r="AA299" i="72" s="1"/>
  <c r="GR299" i="77"/>
  <c r="Z299" i="72" s="1"/>
  <c r="EL111" i="77"/>
  <c r="EM111"/>
  <c r="EM303"/>
  <c r="AA303" i="70" s="1"/>
  <c r="EL303" i="77"/>
  <c r="Z303" i="70" s="1"/>
  <c r="DJ217" i="77"/>
  <c r="DI217"/>
  <c r="DJ31"/>
  <c r="DI31"/>
  <c r="DJ131"/>
  <c r="DI131"/>
  <c r="DJ129"/>
  <c r="DI129"/>
  <c r="CG324"/>
  <c r="AA324" i="68" s="1"/>
  <c r="CF324" i="77"/>
  <c r="Z324" i="68" s="1"/>
  <c r="FP129" i="77"/>
  <c r="FO129"/>
  <c r="CG201"/>
  <c r="CF201"/>
  <c r="EM316"/>
  <c r="AA316" i="70" s="1"/>
  <c r="EL316" i="77"/>
  <c r="Z316" i="70" s="1"/>
  <c r="DI151" i="77"/>
  <c r="DJ151"/>
  <c r="DI141"/>
  <c r="DJ141"/>
  <c r="DJ271"/>
  <c r="DI271"/>
  <c r="CJ271"/>
  <c r="CI271"/>
  <c r="CJ11"/>
  <c r="CI11"/>
  <c r="FR415"/>
  <c r="FS415"/>
  <c r="EP175"/>
  <c r="EO175"/>
  <c r="CI123"/>
  <c r="CJ123"/>
  <c r="JA172"/>
  <c r="JB172"/>
  <c r="CI134"/>
  <c r="CJ134"/>
  <c r="EO146"/>
  <c r="EP146"/>
  <c r="JA189"/>
  <c r="JB189"/>
  <c r="CI146"/>
  <c r="CJ146"/>
  <c r="FS189"/>
  <c r="FR189"/>
  <c r="BF163"/>
  <c r="BG163"/>
  <c r="DM333"/>
  <c r="AD333" i="69" s="1"/>
  <c r="DL333" i="77"/>
  <c r="AC333" i="69" s="1"/>
  <c r="DL309" i="77"/>
  <c r="AC309" i="69" s="1"/>
  <c r="DM309" i="77"/>
  <c r="AD309" i="69" s="1"/>
  <c r="FS299" i="77"/>
  <c r="AD299" i="71" s="1"/>
  <c r="FR299" i="77"/>
  <c r="AC299" i="71" s="1"/>
  <c r="BG194" i="77"/>
  <c r="BF194"/>
  <c r="CJ180"/>
  <c r="CI180"/>
  <c r="DL21"/>
  <c r="DM21"/>
  <c r="EO317"/>
  <c r="AC317" i="70" s="1"/>
  <c r="EP317" i="77"/>
  <c r="AD317" i="70" s="1"/>
  <c r="FS114" i="77"/>
  <c r="FR114"/>
  <c r="BG150"/>
  <c r="BF150"/>
  <c r="HY81"/>
  <c r="HX81"/>
  <c r="DL182"/>
  <c r="DM182"/>
  <c r="DL198"/>
  <c r="DM198"/>
  <c r="EM130"/>
  <c r="EL130"/>
  <c r="FP166"/>
  <c r="FO166"/>
  <c r="EM218"/>
  <c r="EL218"/>
  <c r="EM151"/>
  <c r="EL151"/>
  <c r="CG166"/>
  <c r="CF166"/>
  <c r="CG314"/>
  <c r="AA314" i="68" s="1"/>
  <c r="CF314" i="77"/>
  <c r="Z314" i="68" s="1"/>
  <c r="EM160" i="77"/>
  <c r="EL160"/>
  <c r="DJ136"/>
  <c r="DI136"/>
  <c r="HV186"/>
  <c r="HU186"/>
  <c r="DI414"/>
  <c r="DJ414"/>
  <c r="DI173"/>
  <c r="DJ173"/>
  <c r="BD441"/>
  <c r="BC441"/>
  <c r="DI413"/>
  <c r="DJ413"/>
  <c r="EL213"/>
  <c r="EM213"/>
  <c r="DI61"/>
  <c r="DJ61"/>
  <c r="BG151"/>
  <c r="BF151"/>
  <c r="EP61"/>
  <c r="EO61"/>
  <c r="FR21"/>
  <c r="FS21"/>
  <c r="BF391"/>
  <c r="BG391"/>
  <c r="CJ169"/>
  <c r="CI169"/>
  <c r="EP158"/>
  <c r="EO158"/>
  <c r="CJ101"/>
  <c r="CI101"/>
  <c r="BF169"/>
  <c r="BG169"/>
  <c r="EO196"/>
  <c r="EP196"/>
  <c r="DM214"/>
  <c r="DL214"/>
  <c r="HX103"/>
  <c r="HY103"/>
  <c r="FR217"/>
  <c r="FS217"/>
  <c r="DL154"/>
  <c r="DM154"/>
  <c r="HY102"/>
  <c r="HX102"/>
  <c r="BG168"/>
  <c r="BF168"/>
  <c r="CJ190"/>
  <c r="CI190"/>
  <c r="DL16"/>
  <c r="DM16"/>
  <c r="HY187"/>
  <c r="HX187"/>
  <c r="CG344"/>
  <c r="AA344" i="68" s="1"/>
  <c r="CF344" i="77"/>
  <c r="Z344" i="68" s="1"/>
  <c r="BD338" i="77"/>
  <c r="AA338" i="65" s="1"/>
  <c r="BC338" i="77"/>
  <c r="Z338" i="65" s="1"/>
  <c r="EM91" i="77"/>
  <c r="EL91"/>
  <c r="GS177"/>
  <c r="GR177"/>
  <c r="EM189"/>
  <c r="EL189"/>
  <c r="CG177"/>
  <c r="CF177"/>
  <c r="EM210"/>
  <c r="EL210"/>
  <c r="CF192"/>
  <c r="CG192"/>
  <c r="GS216"/>
  <c r="GR216"/>
  <c r="EL101"/>
  <c r="EM101"/>
  <c r="DI251"/>
  <c r="DJ251"/>
  <c r="DJ175"/>
  <c r="DI175"/>
  <c r="DJ169"/>
  <c r="DI169"/>
  <c r="CG182"/>
  <c r="CF182"/>
  <c r="FP131"/>
  <c r="FO131"/>
  <c r="EM116"/>
  <c r="EL116"/>
  <c r="DI105"/>
  <c r="DJ105"/>
  <c r="EM419"/>
  <c r="EL419"/>
  <c r="IY179"/>
  <c r="IX179"/>
  <c r="FO391"/>
  <c r="FP391"/>
  <c r="CG414"/>
  <c r="CF414"/>
  <c r="FP187"/>
  <c r="FO187"/>
  <c r="EM177"/>
  <c r="EL177"/>
  <c r="DI168"/>
  <c r="DJ168"/>
  <c r="DI421"/>
  <c r="DJ421"/>
  <c r="HV14"/>
  <c r="HU14"/>
  <c r="EP181"/>
  <c r="EO181"/>
  <c r="DM221"/>
  <c r="DL221"/>
  <c r="DM101"/>
  <c r="DL101"/>
  <c r="BF140"/>
  <c r="BG140"/>
  <c r="JA185"/>
  <c r="JB185"/>
  <c r="DL193"/>
  <c r="DM193"/>
  <c r="GV81"/>
  <c r="GU81"/>
  <c r="JA103"/>
  <c r="JB103"/>
  <c r="DM145"/>
  <c r="DL145"/>
  <c r="HY184"/>
  <c r="HX184"/>
  <c r="FP12"/>
  <c r="FO12"/>
  <c r="CF154"/>
  <c r="CG154"/>
  <c r="FO154"/>
  <c r="FP154"/>
  <c r="DI441"/>
  <c r="DJ441"/>
  <c r="FR161"/>
  <c r="FS161"/>
  <c r="BG198"/>
  <c r="BF198"/>
  <c r="CJ13"/>
  <c r="CI13"/>
  <c r="BF126"/>
  <c r="BG126"/>
  <c r="FR241"/>
  <c r="FS241"/>
  <c r="BF195"/>
  <c r="BG195"/>
  <c r="CJ193"/>
  <c r="CI193"/>
  <c r="EP194"/>
  <c r="EO194"/>
  <c r="CJ150"/>
  <c r="CI150"/>
  <c r="EP168"/>
  <c r="EO168"/>
  <c r="GU221"/>
  <c r="GV221"/>
  <c r="EO142"/>
  <c r="EP142"/>
  <c r="CI137"/>
  <c r="CJ137"/>
  <c r="DM178"/>
  <c r="DL178"/>
  <c r="HX169"/>
  <c r="HY169"/>
  <c r="CJ100"/>
  <c r="CI100"/>
  <c r="BG137"/>
  <c r="BF137"/>
  <c r="EO241"/>
  <c r="EP241"/>
  <c r="GU178"/>
  <c r="GV178"/>
  <c r="EO157"/>
  <c r="EP157"/>
  <c r="DL153"/>
  <c r="DM153"/>
  <c r="FR196"/>
  <c r="FS196"/>
  <c r="CI105"/>
  <c r="CJ105"/>
  <c r="EO171"/>
  <c r="EP171"/>
  <c r="GV176"/>
  <c r="GU176"/>
  <c r="GV184"/>
  <c r="GU184"/>
  <c r="BG113"/>
  <c r="BF113"/>
  <c r="EO124"/>
  <c r="EP124"/>
  <c r="DL176"/>
  <c r="DM176"/>
  <c r="BG178"/>
  <c r="BF178"/>
  <c r="JA180"/>
  <c r="JB180"/>
  <c r="CI348"/>
  <c r="AC348" i="68" s="1"/>
  <c r="CJ348" i="77"/>
  <c r="AD348" i="68" s="1"/>
  <c r="CI179" i="77"/>
  <c r="CJ179"/>
  <c r="BG332"/>
  <c r="AD332" i="65" s="1"/>
  <c r="BF332" i="77"/>
  <c r="AC332" i="65" s="1"/>
  <c r="DL339" i="77"/>
  <c r="AC339" i="69" s="1"/>
  <c r="DM339" i="77"/>
  <c r="AD339" i="69" s="1"/>
  <c r="FS335" i="77"/>
  <c r="AD335" i="71" s="1"/>
  <c r="FR335" i="77"/>
  <c r="AC335" i="71" s="1"/>
  <c r="FS179" i="77"/>
  <c r="FR179"/>
  <c r="FR412"/>
  <c r="FS412"/>
  <c r="FS173"/>
  <c r="FR173"/>
  <c r="CJ110"/>
  <c r="CI110"/>
  <c r="GV182"/>
  <c r="GU182"/>
  <c r="EP300"/>
  <c r="AD300" i="70" s="1"/>
  <c r="EO300" i="77"/>
  <c r="AC300" i="70" s="1"/>
  <c r="DL381" i="77"/>
  <c r="DM381"/>
  <c r="GU171"/>
  <c r="GV171"/>
  <c r="BF135"/>
  <c r="BG135"/>
  <c r="CI140"/>
  <c r="CJ140"/>
  <c r="BG199"/>
  <c r="BF199"/>
  <c r="GU186"/>
  <c r="GV186"/>
  <c r="BG337"/>
  <c r="AD337" i="65" s="1"/>
  <c r="BF337" i="77"/>
  <c r="AC337" i="65" s="1"/>
  <c r="CJ144" i="77"/>
  <c r="CI144"/>
  <c r="BF162"/>
  <c r="BG162"/>
  <c r="CJ17"/>
  <c r="CI17"/>
  <c r="DL106"/>
  <c r="DM106"/>
  <c r="CI325"/>
  <c r="AC325" i="68" s="1"/>
  <c r="CJ325" i="77"/>
  <c r="AD325" i="68" s="1"/>
  <c r="BG108" i="77"/>
  <c r="BF108"/>
  <c r="EO197"/>
  <c r="EP197"/>
  <c r="CJ215"/>
  <c r="CI215"/>
  <c r="FR116"/>
  <c r="FS116"/>
  <c r="EO131"/>
  <c r="EP131"/>
  <c r="CJ191"/>
  <c r="CI191"/>
  <c r="DM19"/>
  <c r="DL19"/>
  <c r="DL163"/>
  <c r="DM163"/>
  <c r="IV159"/>
  <c r="IY159" s="1"/>
  <c r="CG178"/>
  <c r="CF178"/>
  <c r="EM190"/>
  <c r="EL190"/>
  <c r="CG342"/>
  <c r="AA342" i="68" s="1"/>
  <c r="CF342" i="77"/>
  <c r="Z342" i="68" s="1"/>
  <c r="FP104" i="77"/>
  <c r="FO104"/>
  <c r="EM299"/>
  <c r="AA299" i="70" s="1"/>
  <c r="EL299" i="77"/>
  <c r="Z299" i="70" s="1"/>
  <c r="CF168" i="77"/>
  <c r="CG168"/>
  <c r="FP140"/>
  <c r="FO140"/>
  <c r="EL41"/>
  <c r="EM41"/>
  <c r="BD118"/>
  <c r="BC118"/>
  <c r="BD143"/>
  <c r="BC143"/>
  <c r="EM191"/>
  <c r="EL191"/>
  <c r="DJ180"/>
  <c r="DI180"/>
  <c r="DJ344"/>
  <c r="AA344" i="69" s="1"/>
  <c r="DI344" i="77"/>
  <c r="Z344" i="69" s="1"/>
  <c r="EM413" i="77"/>
  <c r="EL413"/>
  <c r="CF145"/>
  <c r="CG145"/>
  <c r="DJ160"/>
  <c r="DI160"/>
  <c r="CF153"/>
  <c r="CG153"/>
  <c r="BD327"/>
  <c r="AA327" i="65" s="1"/>
  <c r="BC327" i="77"/>
  <c r="Z327" i="65" s="1"/>
  <c r="EM321" i="77"/>
  <c r="AA321" i="70" s="1"/>
  <c r="EL321" i="77"/>
  <c r="Z321" i="70" s="1"/>
  <c r="DI161" i="77"/>
  <c r="DJ161"/>
  <c r="BD165"/>
  <c r="BC165"/>
  <c r="CF107"/>
  <c r="CG107"/>
  <c r="EL119"/>
  <c r="EM119"/>
  <c r="BC102"/>
  <c r="BD102"/>
  <c r="EM134"/>
  <c r="EL134"/>
  <c r="DI149"/>
  <c r="DJ149"/>
  <c r="DJ337"/>
  <c r="AA337" i="69" s="1"/>
  <c r="DI337" i="77"/>
  <c r="Z337" i="69" s="1"/>
  <c r="CG162" i="77"/>
  <c r="CF162"/>
  <c r="FS101"/>
  <c r="FR101"/>
  <c r="BG157"/>
  <c r="BF157"/>
  <c r="BG112"/>
  <c r="BF112"/>
  <c r="EP150"/>
  <c r="EO150"/>
  <c r="FR195"/>
  <c r="FS195"/>
  <c r="CJ181"/>
  <c r="CI181"/>
  <c r="EO161"/>
  <c r="EP161"/>
  <c r="FO214"/>
  <c r="FP214"/>
  <c r="BD214"/>
  <c r="BC214"/>
  <c r="EM163"/>
  <c r="EL163"/>
  <c r="CG371"/>
  <c r="CF371"/>
  <c r="BC141"/>
  <c r="BD141"/>
  <c r="CG308"/>
  <c r="AA308" i="68" s="1"/>
  <c r="CF308" i="77"/>
  <c r="Z308" i="68" s="1"/>
  <c r="EL107" i="77"/>
  <c r="EM107"/>
  <c r="EM114"/>
  <c r="EL114"/>
  <c r="CG128"/>
  <c r="CF128"/>
  <c r="DI125"/>
  <c r="DJ125"/>
  <c r="DI130"/>
  <c r="DJ130"/>
  <c r="DJ187"/>
  <c r="DI187"/>
  <c r="CG121"/>
  <c r="CF121"/>
  <c r="DJ159"/>
  <c r="DI159"/>
  <c r="DJ144"/>
  <c r="DI144"/>
  <c r="DJ327"/>
  <c r="AA327" i="69" s="1"/>
  <c r="DI327" i="77"/>
  <c r="Z327" i="69" s="1"/>
  <c r="BD316" i="77"/>
  <c r="AA316" i="65" s="1"/>
  <c r="BC316" i="77"/>
  <c r="Z316" i="65" s="1"/>
  <c r="DI81" i="77"/>
  <c r="DJ81"/>
  <c r="CJ118"/>
  <c r="CI118"/>
  <c r="BF138"/>
  <c r="BG138"/>
  <c r="EO332"/>
  <c r="AC332" i="70" s="1"/>
  <c r="EP332" i="77"/>
  <c r="AD332" i="70" s="1"/>
  <c r="JB176" i="77"/>
  <c r="JA176"/>
  <c r="FR164"/>
  <c r="FS164"/>
  <c r="EP415"/>
  <c r="EO415"/>
  <c r="GV102"/>
  <c r="GU102"/>
  <c r="EO401"/>
  <c r="EP401"/>
  <c r="CI330"/>
  <c r="AC330" i="68" s="1"/>
  <c r="CJ330" i="77"/>
  <c r="AD330" i="68" s="1"/>
  <c r="FR16" i="77"/>
  <c r="FS16"/>
  <c r="BG17"/>
  <c r="BF17"/>
  <c r="EP335"/>
  <c r="AD335" i="70" s="1"/>
  <c r="EO335" i="77"/>
  <c r="AC335" i="70" s="1"/>
  <c r="CI231" i="77"/>
  <c r="CJ231"/>
  <c r="CJ251"/>
  <c r="CI251"/>
  <c r="EP179"/>
  <c r="EO179"/>
  <c r="BG215"/>
  <c r="BF215"/>
  <c r="FS108"/>
  <c r="FR108"/>
  <c r="BF106"/>
  <c r="BG106"/>
  <c r="DL167"/>
  <c r="DM167"/>
  <c r="EP169"/>
  <c r="EO169"/>
  <c r="DM310"/>
  <c r="AD310" i="69" s="1"/>
  <c r="DL310" i="77"/>
  <c r="AC310" i="69" s="1"/>
  <c r="BG217" i="77"/>
  <c r="BF217"/>
  <c r="EO416"/>
  <c r="EP416"/>
  <c r="GU181"/>
  <c r="GV181"/>
  <c r="EO327"/>
  <c r="AC327" i="70" s="1"/>
  <c r="EP327" i="77"/>
  <c r="AD327" i="70" s="1"/>
  <c r="DL91" i="77"/>
  <c r="DM91"/>
  <c r="CJ197"/>
  <c r="CI197"/>
  <c r="BF144"/>
  <c r="BG144"/>
  <c r="DM316"/>
  <c r="AD316" i="69" s="1"/>
  <c r="DL316" i="77"/>
  <c r="AC316" i="69" s="1"/>
  <c r="FR159" i="77"/>
  <c r="FS159"/>
  <c r="FS163"/>
  <c r="FR163"/>
  <c r="BF129"/>
  <c r="BG129"/>
  <c r="HY100"/>
  <c r="HX100"/>
  <c r="DM102"/>
  <c r="DL102"/>
  <c r="DM120"/>
  <c r="DL120"/>
  <c r="EM165"/>
  <c r="EL165"/>
  <c r="CG91"/>
  <c r="CF91"/>
  <c r="BD18"/>
  <c r="BC18"/>
  <c r="CF61"/>
  <c r="CG61"/>
  <c r="CG142"/>
  <c r="CF142"/>
  <c r="EM309"/>
  <c r="AA309" i="70" s="1"/>
  <c r="EL309" i="77"/>
  <c r="Z309" i="70" s="1"/>
  <c r="CG310" i="77"/>
  <c r="AA310" i="68" s="1"/>
  <c r="CF310" i="77"/>
  <c r="Z310" i="68" s="1"/>
  <c r="BD130" i="77"/>
  <c r="BC130"/>
  <c r="CG194"/>
  <c r="CF194"/>
  <c r="EM155"/>
  <c r="EL155"/>
  <c r="EM178"/>
  <c r="EL178"/>
  <c r="DJ303"/>
  <c r="AA303" i="69" s="1"/>
  <c r="DI303" i="77"/>
  <c r="Z303" i="69" s="1"/>
  <c r="DJ306" i="77"/>
  <c r="AA306" i="69" s="1"/>
  <c r="DI306" i="77"/>
  <c r="Z306" i="69" s="1"/>
  <c r="CG171" i="77"/>
  <c r="CF171"/>
  <c r="EM149"/>
  <c r="EL149"/>
  <c r="GS118"/>
  <c r="GR118"/>
  <c r="EM325"/>
  <c r="AA325" i="70" s="1"/>
  <c r="EL325" i="77"/>
  <c r="Z325" i="70" s="1"/>
  <c r="HU221" i="77"/>
  <c r="HV221"/>
  <c r="BC189"/>
  <c r="BD189"/>
  <c r="EM12"/>
  <c r="EL12"/>
  <c r="CG157"/>
  <c r="CF157"/>
  <c r="EM166"/>
  <c r="EL166"/>
  <c r="FP125"/>
  <c r="FO125"/>
  <c r="EM330"/>
  <c r="AA330" i="70" s="1"/>
  <c r="EL330" i="77"/>
  <c r="Z330" i="70" s="1"/>
  <c r="DJ431" i="77"/>
  <c r="DI431"/>
  <c r="DI107"/>
  <c r="DJ107"/>
  <c r="CJ12"/>
  <c r="CI12"/>
  <c r="FS185"/>
  <c r="FR185"/>
  <c r="GU169"/>
  <c r="GV169"/>
  <c r="CI124"/>
  <c r="CJ124"/>
  <c r="BG328"/>
  <c r="AD328" i="65" s="1"/>
  <c r="BF328" i="77"/>
  <c r="AC328" i="65" s="1"/>
  <c r="EP187" i="77"/>
  <c r="EO187"/>
  <c r="FS371"/>
  <c r="FR371"/>
  <c r="EO148"/>
  <c r="EP148"/>
  <c r="HX173"/>
  <c r="HY173"/>
  <c r="CJ164"/>
  <c r="CI164"/>
  <c r="FR198"/>
  <c r="FS198"/>
  <c r="CJ441"/>
  <c r="CI441"/>
  <c r="FR150"/>
  <c r="FS150"/>
  <c r="BF19"/>
  <c r="BG19"/>
  <c r="DL216"/>
  <c r="DM216"/>
  <c r="DL261"/>
  <c r="DM261"/>
  <c r="HY171"/>
  <c r="HX171"/>
  <c r="HY174"/>
  <c r="HX174"/>
  <c r="CF81"/>
  <c r="CG81"/>
  <c r="EP340"/>
  <c r="AD340" i="70" s="1"/>
  <c r="EO340" i="77"/>
  <c r="AC340" i="70" s="1"/>
  <c r="EP338" i="77"/>
  <c r="AD338" i="70" s="1"/>
  <c r="EO338" i="77"/>
  <c r="AC338" i="70" s="1"/>
  <c r="CJ172" i="77"/>
  <c r="CI172"/>
  <c r="BG412"/>
  <c r="BF412"/>
  <c r="EO348"/>
  <c r="AC348" i="70" s="1"/>
  <c r="EP348" i="77"/>
  <c r="AD348" i="70" s="1"/>
  <c r="BG317" i="77"/>
  <c r="AD317" i="65" s="1"/>
  <c r="BF317" i="77"/>
  <c r="AC317" i="65" s="1"/>
  <c r="CJ333" i="77"/>
  <c r="AD333" i="68" s="1"/>
  <c r="CI333" i="77"/>
  <c r="AC333" i="68" s="1"/>
  <c r="FR117" i="77"/>
  <c r="FS117"/>
  <c r="BG344"/>
  <c r="AD344" i="65" s="1"/>
  <c r="BF344" i="77"/>
  <c r="AC344" i="65" s="1"/>
  <c r="BG219" i="77"/>
  <c r="BF219"/>
  <c r="CJ361"/>
  <c r="CI361"/>
  <c r="EO216"/>
  <c r="EP216"/>
  <c r="CJ461"/>
  <c r="CI461"/>
  <c r="FR197"/>
  <c r="FS197"/>
  <c r="BG131"/>
  <c r="BF131"/>
  <c r="BF218"/>
  <c r="BG218"/>
  <c r="EO211"/>
  <c r="EP211"/>
  <c r="EO186"/>
  <c r="EP186"/>
  <c r="DL308"/>
  <c r="AC308" i="69" s="1"/>
  <c r="DM308" i="77"/>
  <c r="AD308" i="69" s="1"/>
  <c r="DL150" i="77"/>
  <c r="DM150"/>
  <c r="DL158"/>
  <c r="DM158"/>
  <c r="EO115"/>
  <c r="EP115"/>
  <c r="EO16"/>
  <c r="EP16"/>
  <c r="EP421"/>
  <c r="EO421"/>
  <c r="FR19"/>
  <c r="FS19"/>
  <c r="BF125"/>
  <c r="BG125"/>
  <c r="HX180"/>
  <c r="HY180"/>
  <c r="DM185"/>
  <c r="DL185"/>
  <c r="DM186"/>
  <c r="DL186"/>
  <c r="CJ211"/>
  <c r="CI211"/>
  <c r="BF321"/>
  <c r="AC321" i="65" s="1"/>
  <c r="BG321" i="77"/>
  <c r="AD321" i="65" s="1"/>
  <c r="EO461" i="77"/>
  <c r="EP461"/>
  <c r="EO108"/>
  <c r="EP108"/>
  <c r="DL291"/>
  <c r="DM291"/>
  <c r="CJ16"/>
  <c r="CI16"/>
  <c r="FR119"/>
  <c r="FS119"/>
  <c r="BG361"/>
  <c r="BF361"/>
  <c r="CJ109"/>
  <c r="CI109"/>
  <c r="JB104"/>
  <c r="JA104"/>
  <c r="HX179"/>
  <c r="HY179"/>
  <c r="BG416"/>
  <c r="BF416"/>
  <c r="EO305"/>
  <c r="AC305" i="70" s="1"/>
  <c r="EP305" i="77"/>
  <c r="AD305" i="70" s="1"/>
  <c r="BG188" i="77"/>
  <c r="BF188"/>
  <c r="EP113"/>
  <c r="EO113"/>
  <c r="BG123"/>
  <c r="BF123"/>
  <c r="DL338"/>
  <c r="AC338" i="69" s="1"/>
  <c r="DM338" i="77"/>
  <c r="AD338" i="69" s="1"/>
  <c r="DL190" i="77"/>
  <c r="DM190"/>
  <c r="CJ334"/>
  <c r="AD334" i="68" s="1"/>
  <c r="CI334" i="77"/>
  <c r="AC334" i="68" s="1"/>
  <c r="FR158" i="77"/>
  <c r="FS158"/>
  <c r="EP291"/>
  <c r="EO291"/>
  <c r="DL348"/>
  <c r="AC348" i="69" s="1"/>
  <c r="DM348" i="77"/>
  <c r="AD348" i="69" s="1"/>
  <c r="DM119" i="77"/>
  <c r="DL119"/>
  <c r="HX176"/>
  <c r="HY176"/>
  <c r="DL183"/>
  <c r="DM183"/>
  <c r="CJ183"/>
  <c r="CI183"/>
  <c r="CI300"/>
  <c r="AC300" i="68" s="1"/>
  <c r="CJ300" i="77"/>
  <c r="AD300" i="68" s="1"/>
  <c r="DL166" i="77"/>
  <c r="DM166"/>
  <c r="CJ343"/>
  <c r="AD343" i="68" s="1"/>
  <c r="CI343" i="77"/>
  <c r="AC343" i="68" s="1"/>
  <c r="EO141" i="77"/>
  <c r="EP141"/>
  <c r="FR120"/>
  <c r="FS120"/>
  <c r="BG421"/>
  <c r="BF421"/>
  <c r="BG132"/>
  <c r="BF132"/>
  <c r="FS221"/>
  <c r="FR221"/>
  <c r="JA171"/>
  <c r="JB171"/>
  <c r="BG251"/>
  <c r="BF251"/>
  <c r="EO391"/>
  <c r="EP391"/>
  <c r="EO199"/>
  <c r="EP199"/>
  <c r="DL164"/>
  <c r="DM164"/>
  <c r="CI412"/>
  <c r="CJ412"/>
  <c r="FS110"/>
  <c r="FR110"/>
  <c r="EO137"/>
  <c r="EP137"/>
  <c r="IX272"/>
  <c r="GR277"/>
  <c r="EJ293"/>
  <c r="EM293" s="1"/>
  <c r="CD295"/>
  <c r="CG295" s="1"/>
  <c r="X236" i="72"/>
  <c r="GS236" i="77"/>
  <c r="X92" i="73"/>
  <c r="HV92" i="77"/>
  <c r="X369" i="74"/>
  <c r="IY369" i="77"/>
  <c r="X239" i="72"/>
  <c r="GS239" i="77"/>
  <c r="X238" i="70"/>
  <c r="EM238" i="77"/>
  <c r="X88" i="72"/>
  <c r="GS88" i="77"/>
  <c r="X236" i="68"/>
  <c r="CG236" i="77"/>
  <c r="X205" i="71"/>
  <c r="FP205" i="77"/>
  <c r="X236" i="65"/>
  <c r="BD236" i="77"/>
  <c r="GR82"/>
  <c r="Z82" i="72" s="1"/>
  <c r="GS82" i="77"/>
  <c r="X359" i="68"/>
  <c r="CG359" i="77"/>
  <c r="X239" i="65"/>
  <c r="BD239" i="77"/>
  <c r="X360" i="72"/>
  <c r="GS360" i="77"/>
  <c r="X85" i="71"/>
  <c r="FP85" i="77"/>
  <c r="X238" i="72"/>
  <c r="GS238" i="77"/>
  <c r="X359" i="73"/>
  <c r="HV359" i="77"/>
  <c r="DI26"/>
  <c r="Z26" i="69" s="1"/>
  <c r="DJ26" i="77"/>
  <c r="X88" i="74"/>
  <c r="IY88" i="77"/>
  <c r="HU402"/>
  <c r="Z402" i="73" s="1"/>
  <c r="HV402" i="77"/>
  <c r="X233" i="70"/>
  <c r="EM233" i="77"/>
  <c r="X388" i="74"/>
  <c r="IY380" i="77"/>
  <c r="X84" i="71"/>
  <c r="FP84" i="77"/>
  <c r="BC82"/>
  <c r="Z82" i="65" s="1"/>
  <c r="BD82" i="77"/>
  <c r="X388" i="68"/>
  <c r="CG380" i="77"/>
  <c r="X204" i="71"/>
  <c r="FP204" i="77"/>
  <c r="X232" i="70"/>
  <c r="EM232" i="77"/>
  <c r="CF69"/>
  <c r="Z69" i="68" s="1"/>
  <c r="CG69" i="77"/>
  <c r="X293" i="70"/>
  <c r="X292" i="71"/>
  <c r="FP292" i="77"/>
  <c r="HU230"/>
  <c r="Z230" i="73" s="1"/>
  <c r="HV230" i="77"/>
  <c r="DI243"/>
  <c r="Z243" i="69" s="1"/>
  <c r="DJ243" i="77"/>
  <c r="DI230"/>
  <c r="Z230" i="69" s="1"/>
  <c r="DJ230" i="77"/>
  <c r="IX270"/>
  <c r="IY270"/>
  <c r="X264" i="65"/>
  <c r="BD264" i="77"/>
  <c r="IX295"/>
  <c r="IY295"/>
  <c r="BC98"/>
  <c r="Z98" i="65" s="1"/>
  <c r="BD98" i="77"/>
  <c r="EL395"/>
  <c r="Z395" i="70" s="1"/>
  <c r="EM395" i="77"/>
  <c r="HU287"/>
  <c r="HV287"/>
  <c r="BC268"/>
  <c r="BD268"/>
  <c r="X372" i="73"/>
  <c r="HV372" i="77"/>
  <c r="X78" i="71"/>
  <c r="FP78" i="77"/>
  <c r="X384" i="74"/>
  <c r="IY372" i="77"/>
  <c r="IX394"/>
  <c r="Z394" i="74" s="1"/>
  <c r="IY394" i="77"/>
  <c r="CF277"/>
  <c r="CG277"/>
  <c r="X379" i="68"/>
  <c r="CG379" i="77"/>
  <c r="EL273"/>
  <c r="EM273"/>
  <c r="GR209"/>
  <c r="Z209" i="72" s="1"/>
  <c r="GS209" i="77"/>
  <c r="X296" i="69"/>
  <c r="DJ296" i="77"/>
  <c r="BC279"/>
  <c r="BD279"/>
  <c r="BC222"/>
  <c r="Z222" i="65" s="1"/>
  <c r="BD222" i="77"/>
  <c r="HU94"/>
  <c r="Z94" i="73" s="1"/>
  <c r="HV94" i="77"/>
  <c r="X394" i="74"/>
  <c r="IY385" i="77"/>
  <c r="FP203"/>
  <c r="FR203" s="1"/>
  <c r="BC278"/>
  <c r="BD278"/>
  <c r="GR362"/>
  <c r="Z362" i="72" s="1"/>
  <c r="GS362" i="77"/>
  <c r="FO98"/>
  <c r="Z98" i="71" s="1"/>
  <c r="FP98" i="77"/>
  <c r="FO278"/>
  <c r="FP278"/>
  <c r="X280" i="68"/>
  <c r="CG280" i="77"/>
  <c r="BC230"/>
  <c r="Z230" i="65" s="1"/>
  <c r="BD230" i="77"/>
  <c r="DI229"/>
  <c r="Z229" i="69" s="1"/>
  <c r="DJ229" i="77"/>
  <c r="DI89"/>
  <c r="Z89" i="69" s="1"/>
  <c r="DJ89" i="77"/>
  <c r="IX240"/>
  <c r="Z240" i="74" s="1"/>
  <c r="IY240" i="77"/>
  <c r="IX230"/>
  <c r="Z230" i="74" s="1"/>
  <c r="IY230" i="77"/>
  <c r="CF394"/>
  <c r="Z394" i="68" s="1"/>
  <c r="CG394" i="77"/>
  <c r="AA262" i="69"/>
  <c r="DJ262" i="77"/>
  <c r="BC254"/>
  <c r="Z254" i="65" s="1"/>
  <c r="BD254" i="77"/>
  <c r="CF284"/>
  <c r="CG284"/>
  <c r="CF283"/>
  <c r="CG283"/>
  <c r="X265" i="65"/>
  <c r="BD265" i="77"/>
  <c r="X382" i="72"/>
  <c r="GS382" i="77"/>
  <c r="X294" i="73"/>
  <c r="HV294" i="77"/>
  <c r="X87" i="74"/>
  <c r="IY87" i="77"/>
  <c r="HU269"/>
  <c r="HV269"/>
  <c r="X292" i="73"/>
  <c r="HV292" i="77"/>
  <c r="X289" i="73"/>
  <c r="HV289" i="77"/>
  <c r="X288" i="74"/>
  <c r="IY288" i="77"/>
  <c r="GR273"/>
  <c r="GS273"/>
  <c r="X382" i="68"/>
  <c r="CG382" i="77"/>
  <c r="X78" i="70"/>
  <c r="EM78" i="77"/>
  <c r="X275" i="65"/>
  <c r="BD275" i="77"/>
  <c r="X267" i="73"/>
  <c r="HV267" i="77"/>
  <c r="X78" i="74"/>
  <c r="IY78" i="77"/>
  <c r="X275" i="68"/>
  <c r="CG275" i="77"/>
  <c r="IZ216"/>
  <c r="IX216"/>
  <c r="GV218"/>
  <c r="GU218"/>
  <c r="GV107"/>
  <c r="GU107"/>
  <c r="IZ371"/>
  <c r="IX371"/>
  <c r="IZ192"/>
  <c r="IX192"/>
  <c r="HY106"/>
  <c r="HX106"/>
  <c r="IZ16"/>
  <c r="IX16"/>
  <c r="IZ194"/>
  <c r="IX194"/>
  <c r="IZ71"/>
  <c r="IX71"/>
  <c r="HY197"/>
  <c r="HX197"/>
  <c r="HW61"/>
  <c r="IW61"/>
  <c r="HU61"/>
  <c r="HY195"/>
  <c r="HX195"/>
  <c r="GV135"/>
  <c r="GU135"/>
  <c r="HY145"/>
  <c r="HX145"/>
  <c r="HW134"/>
  <c r="IW134"/>
  <c r="HU134"/>
  <c r="HY123"/>
  <c r="HX123"/>
  <c r="HY214"/>
  <c r="HX214"/>
  <c r="HY196"/>
  <c r="HX196"/>
  <c r="HY441"/>
  <c r="HX441"/>
  <c r="GV416"/>
  <c r="GU416"/>
  <c r="HW140"/>
  <c r="IW140"/>
  <c r="HU140"/>
  <c r="IZ131"/>
  <c r="IX131"/>
  <c r="HY117"/>
  <c r="HX117"/>
  <c r="IW41"/>
  <c r="HW41"/>
  <c r="HU41"/>
  <c r="HY164"/>
  <c r="HX164"/>
  <c r="IZ114"/>
  <c r="IX114"/>
  <c r="HY110"/>
  <c r="HX110"/>
  <c r="HY414"/>
  <c r="HX414"/>
  <c r="HY128"/>
  <c r="HX128"/>
  <c r="HY121"/>
  <c r="HX121"/>
  <c r="IZ21"/>
  <c r="IX21"/>
  <c r="HW133"/>
  <c r="IW133"/>
  <c r="HU133"/>
  <c r="HY291"/>
  <c r="HX291"/>
  <c r="JB311"/>
  <c r="AD311" i="74" s="1"/>
  <c r="JA311" i="77"/>
  <c r="AC311" i="74" s="1"/>
  <c r="JB105" i="77"/>
  <c r="JA105"/>
  <c r="HY412"/>
  <c r="HX412"/>
  <c r="IZ119"/>
  <c r="IX119"/>
  <c r="GV153"/>
  <c r="GU153"/>
  <c r="HY188"/>
  <c r="HX188"/>
  <c r="GV147"/>
  <c r="GU147"/>
  <c r="GV417"/>
  <c r="GU417"/>
  <c r="IZ199"/>
  <c r="IX199"/>
  <c r="IZ215"/>
  <c r="IX215"/>
  <c r="IZ124"/>
  <c r="IX124"/>
  <c r="HW113"/>
  <c r="IW113"/>
  <c r="HU113"/>
  <c r="IZ213"/>
  <c r="IX213"/>
  <c r="HY281"/>
  <c r="HX281"/>
  <c r="IZ132"/>
  <c r="IX132"/>
  <c r="GV137"/>
  <c r="GU137"/>
  <c r="IZ12"/>
  <c r="IX12"/>
  <c r="IZ190"/>
  <c r="IX190"/>
  <c r="IX310"/>
  <c r="Z310" i="74" s="1"/>
  <c r="IZ162" i="77"/>
  <c r="IX162"/>
  <c r="HW143"/>
  <c r="IW143"/>
  <c r="HU143"/>
  <c r="HY156"/>
  <c r="HX156"/>
  <c r="IZ116"/>
  <c r="IX116"/>
  <c r="HY129"/>
  <c r="HX129"/>
  <c r="HY411"/>
  <c r="HX411"/>
  <c r="IZ211"/>
  <c r="IX211"/>
  <c r="IZ191"/>
  <c r="IX191"/>
  <c r="HX213"/>
  <c r="HX71"/>
  <c r="X200" i="71"/>
  <c r="FP200" i="77"/>
  <c r="X369" i="68"/>
  <c r="CG369" i="77"/>
  <c r="X369" i="73"/>
  <c r="HV369" i="77"/>
  <c r="X238" i="71"/>
  <c r="FP238" i="77"/>
  <c r="X234" i="71"/>
  <c r="FP234" i="77"/>
  <c r="X86" i="69"/>
  <c r="DJ86" i="77"/>
  <c r="X378" i="68"/>
  <c r="CG378" i="77"/>
  <c r="X232" i="74"/>
  <c r="IY232" i="77"/>
  <c r="X358" i="72"/>
  <c r="GS358" i="77"/>
  <c r="X88" i="73"/>
  <c r="HV88" i="77"/>
  <c r="X86" i="73"/>
  <c r="HV86" i="77"/>
  <c r="X86" i="74"/>
  <c r="IY86" i="77"/>
  <c r="X242" i="74"/>
  <c r="IY242" i="77"/>
  <c r="X234" i="68"/>
  <c r="CG234" i="77"/>
  <c r="BC353"/>
  <c r="Z353" i="65" s="1"/>
  <c r="BD353" i="77"/>
  <c r="X226" i="74"/>
  <c r="IY226" i="77"/>
  <c r="X83" i="74"/>
  <c r="IY83" i="77"/>
  <c r="IX462"/>
  <c r="Z462" i="74" s="1"/>
  <c r="IY462" i="77"/>
  <c r="FO244"/>
  <c r="Z244" i="71" s="1"/>
  <c r="FP244" i="77"/>
  <c r="CF32"/>
  <c r="Z32" i="68" s="1"/>
  <c r="CG32" i="77"/>
  <c r="X253" i="74"/>
  <c r="IY253" i="77"/>
  <c r="CF58"/>
  <c r="Z58" i="68" s="1"/>
  <c r="CG58" i="77"/>
  <c r="CF70"/>
  <c r="Z70" i="68" s="1"/>
  <c r="CG70" i="77"/>
  <c r="HU82"/>
  <c r="Z82" i="73" s="1"/>
  <c r="HV82" i="77"/>
  <c r="X360" i="71"/>
  <c r="FP360" i="77"/>
  <c r="X369" i="71"/>
  <c r="FP369" i="77"/>
  <c r="EL435"/>
  <c r="Z435" i="70" s="1"/>
  <c r="EM435" i="77"/>
  <c r="X353" i="74"/>
  <c r="IY353" i="77"/>
  <c r="FO434"/>
  <c r="Z434" i="71" s="1"/>
  <c r="FP434" i="77"/>
  <c r="DI245"/>
  <c r="Z245" i="69" s="1"/>
  <c r="DJ245" i="77"/>
  <c r="EL67"/>
  <c r="Z67" i="70" s="1"/>
  <c r="EM67" i="77"/>
  <c r="EL247"/>
  <c r="Z247" i="70" s="1"/>
  <c r="EM247" i="77"/>
  <c r="X83" i="72"/>
  <c r="GS83" i="77"/>
  <c r="X86" i="72"/>
  <c r="GS86" i="77"/>
  <c r="EL408"/>
  <c r="Z408" i="70" s="1"/>
  <c r="EM408" i="77"/>
  <c r="IX38"/>
  <c r="Z38" i="74" s="1"/>
  <c r="IY38" i="77"/>
  <c r="X354" i="74"/>
  <c r="IY354" i="77"/>
  <c r="X362" i="73"/>
  <c r="HV362" i="77"/>
  <c r="X294" i="69"/>
  <c r="DJ294" i="77"/>
  <c r="EL285"/>
  <c r="EM285"/>
  <c r="GR79"/>
  <c r="Z79" i="72" s="1"/>
  <c r="GS79" i="77"/>
  <c r="BC365"/>
  <c r="Z365" i="65" s="1"/>
  <c r="BD365" i="77"/>
  <c r="FO287"/>
  <c r="FP287"/>
  <c r="HU272"/>
  <c r="HV272"/>
  <c r="BC287"/>
  <c r="BD287"/>
  <c r="GR283"/>
  <c r="GS283"/>
  <c r="FO259"/>
  <c r="Z259" i="71" s="1"/>
  <c r="FP259" i="77"/>
  <c r="EL277"/>
  <c r="EM277"/>
  <c r="CF98"/>
  <c r="Z98" i="68" s="1"/>
  <c r="CG98" i="77"/>
  <c r="X265" i="70"/>
  <c r="EM265" i="77"/>
  <c r="X354" i="71"/>
  <c r="FP354" i="77"/>
  <c r="X354" i="69"/>
  <c r="DJ354" i="77"/>
  <c r="DI372"/>
  <c r="Z372" i="69" s="1"/>
  <c r="DJ372" i="77"/>
  <c r="IX79"/>
  <c r="Z79" i="74" s="1"/>
  <c r="IY79" i="77"/>
  <c r="DI207"/>
  <c r="Z207" i="69" s="1"/>
  <c r="DJ207" i="77"/>
  <c r="X354" i="73"/>
  <c r="HV354" i="77"/>
  <c r="GR222"/>
  <c r="Z222" i="72" s="1"/>
  <c r="GS222" i="77"/>
  <c r="BC225"/>
  <c r="Z225" i="65" s="1"/>
  <c r="BD225" i="77"/>
  <c r="CF296"/>
  <c r="CG296"/>
  <c r="CF259"/>
  <c r="Z259" i="68" s="1"/>
  <c r="CG259" i="77"/>
  <c r="AA262" i="71"/>
  <c r="FP262" i="77"/>
  <c r="GR276"/>
  <c r="GS276"/>
  <c r="FO294"/>
  <c r="FP294"/>
  <c r="FO277"/>
  <c r="FP277"/>
  <c r="X280" i="65"/>
  <c r="BD280" i="77"/>
  <c r="FO268"/>
  <c r="FP268"/>
  <c r="X288" i="65"/>
  <c r="BD288" i="77"/>
  <c r="X280" i="71"/>
  <c r="FP280" i="77"/>
  <c r="X264" i="74"/>
  <c r="IY264" i="77"/>
  <c r="HU270"/>
  <c r="HV270"/>
  <c r="CF362"/>
  <c r="Z362" i="68" s="1"/>
  <c r="CG362" i="77"/>
  <c r="GR259"/>
  <c r="Z259" i="72" s="1"/>
  <c r="GS259" i="77"/>
  <c r="X263" i="71"/>
  <c r="FP263" i="77"/>
  <c r="X289" i="72"/>
  <c r="GS289" i="77"/>
  <c r="EL266"/>
  <c r="EM266"/>
  <c r="X379" i="71"/>
  <c r="FP379" i="77"/>
  <c r="X292" i="74"/>
  <c r="IY292" i="77"/>
  <c r="X292" i="69"/>
  <c r="DJ292" i="77"/>
  <c r="AA264" i="72"/>
  <c r="GS264" i="77"/>
  <c r="BC283"/>
  <c r="BD283"/>
  <c r="GR272"/>
  <c r="GS272"/>
  <c r="BC266"/>
  <c r="BD266"/>
  <c r="BC394"/>
  <c r="Z394" i="65" s="1"/>
  <c r="BD394" i="77"/>
  <c r="IX94"/>
  <c r="Z94" i="74" s="1"/>
  <c r="IY94" i="77"/>
  <c r="IX279"/>
  <c r="IY279"/>
  <c r="GR269"/>
  <c r="GS269"/>
  <c r="X262" i="68"/>
  <c r="CG262" i="77"/>
  <c r="CF250"/>
  <c r="Z250" i="68" s="1"/>
  <c r="CG250" i="77"/>
  <c r="GR395"/>
  <c r="Z395" i="72" s="1"/>
  <c r="GS395" i="77"/>
  <c r="X372" i="65"/>
  <c r="BD372" i="77"/>
  <c r="X383" i="69"/>
  <c r="DJ364" i="77"/>
  <c r="X87" i="70"/>
  <c r="EM87" i="77"/>
  <c r="HW218"/>
  <c r="IW218"/>
  <c r="HU218"/>
  <c r="GV139"/>
  <c r="GU139"/>
  <c r="HW107"/>
  <c r="IW107"/>
  <c r="HU107"/>
  <c r="HY192"/>
  <c r="HX192"/>
  <c r="IZ271"/>
  <c r="IX271"/>
  <c r="IZ106"/>
  <c r="IX106"/>
  <c r="HY194"/>
  <c r="HX194"/>
  <c r="GV91"/>
  <c r="GU91"/>
  <c r="HW135"/>
  <c r="IW135"/>
  <c r="HU135"/>
  <c r="GV361"/>
  <c r="GU361"/>
  <c r="IZ145"/>
  <c r="IX145"/>
  <c r="IZ214"/>
  <c r="IX214"/>
  <c r="IZ441"/>
  <c r="IX441"/>
  <c r="IZ15"/>
  <c r="IX15"/>
  <c r="HW416"/>
  <c r="IW416"/>
  <c r="HU416"/>
  <c r="IZ391"/>
  <c r="IX391"/>
  <c r="IZ125"/>
  <c r="IX125"/>
  <c r="HY131"/>
  <c r="HX131"/>
  <c r="HY108"/>
  <c r="HX108"/>
  <c r="GV41"/>
  <c r="GU41"/>
  <c r="IZ183"/>
  <c r="IX183"/>
  <c r="GV109"/>
  <c r="GU109"/>
  <c r="HY17"/>
  <c r="HX17"/>
  <c r="IZ110"/>
  <c r="IX110"/>
  <c r="IZ166"/>
  <c r="IX166"/>
  <c r="IZ414"/>
  <c r="IX414"/>
  <c r="HY150"/>
  <c r="HX150"/>
  <c r="IZ291"/>
  <c r="IX291"/>
  <c r="GV151"/>
  <c r="GU151"/>
  <c r="GV142"/>
  <c r="GU142"/>
  <c r="IZ198"/>
  <c r="IX198"/>
  <c r="HY251"/>
  <c r="HX251"/>
  <c r="HY119"/>
  <c r="HX119"/>
  <c r="GV148"/>
  <c r="GU148"/>
  <c r="HW153"/>
  <c r="IW153"/>
  <c r="HU153"/>
  <c r="IZ120"/>
  <c r="IX120"/>
  <c r="HW147"/>
  <c r="IW147"/>
  <c r="HU147"/>
  <c r="IZ161"/>
  <c r="IX161"/>
  <c r="GV219"/>
  <c r="GU219"/>
  <c r="HY199"/>
  <c r="HX199"/>
  <c r="HY124"/>
  <c r="HX124"/>
  <c r="IZ165"/>
  <c r="IX165"/>
  <c r="GV136"/>
  <c r="GU136"/>
  <c r="GV155"/>
  <c r="GU155"/>
  <c r="IZ281"/>
  <c r="IX281"/>
  <c r="HW137"/>
  <c r="IW137"/>
  <c r="HU137"/>
  <c r="HY190"/>
  <c r="HX190"/>
  <c r="IZ167"/>
  <c r="IX167"/>
  <c r="HY162"/>
  <c r="HX162"/>
  <c r="IW419"/>
  <c r="HW419"/>
  <c r="HU419"/>
  <c r="HY149"/>
  <c r="HX149"/>
  <c r="JB401"/>
  <c r="JA401"/>
  <c r="HY116"/>
  <c r="HX116"/>
  <c r="GV111"/>
  <c r="GU111"/>
  <c r="HY191"/>
  <c r="HX191"/>
  <c r="BC272"/>
  <c r="DG252"/>
  <c r="HX210"/>
  <c r="X226" i="68"/>
  <c r="CG226" i="77"/>
  <c r="X88" i="69"/>
  <c r="DJ88" i="77"/>
  <c r="X83" i="71"/>
  <c r="FP83" i="77"/>
  <c r="X236" i="70"/>
  <c r="EM236" i="77"/>
  <c r="X233" i="69"/>
  <c r="DJ233" i="77"/>
  <c r="X378" i="69"/>
  <c r="DJ378" i="77"/>
  <c r="X85" i="73"/>
  <c r="HV85" i="77"/>
  <c r="X85" i="72"/>
  <c r="GS85" i="77"/>
  <c r="X83" i="68"/>
  <c r="CG83" i="77"/>
  <c r="X378" i="71"/>
  <c r="FP378" i="77"/>
  <c r="X235" i="72"/>
  <c r="GS235" i="77"/>
  <c r="X85" i="68"/>
  <c r="CG85" i="77"/>
  <c r="BC92"/>
  <c r="Z92" i="65" s="1"/>
  <c r="BD92" i="77"/>
  <c r="X83" i="73"/>
  <c r="HV83" i="77"/>
  <c r="X378" i="72"/>
  <c r="GS378" i="77"/>
  <c r="X253" i="70"/>
  <c r="EM253" i="77"/>
  <c r="X359" i="71"/>
  <c r="FP359" i="77"/>
  <c r="GR204"/>
  <c r="Z204" i="72" s="1"/>
  <c r="GS204" i="77"/>
  <c r="CF28"/>
  <c r="Z28" i="68" s="1"/>
  <c r="CG28" i="77"/>
  <c r="X88" i="71"/>
  <c r="FP88" i="77"/>
  <c r="X246" i="73"/>
  <c r="HV246" i="77"/>
  <c r="EL407"/>
  <c r="Z407" i="70" s="1"/>
  <c r="EM407" i="77"/>
  <c r="BC30"/>
  <c r="Z30" i="65" s="1"/>
  <c r="BD30" i="77"/>
  <c r="IX239"/>
  <c r="Z239" i="74" s="1"/>
  <c r="IY239" i="77"/>
  <c r="CF63"/>
  <c r="Z63" i="68" s="1"/>
  <c r="CG63" i="77"/>
  <c r="X84" i="70"/>
  <c r="EM84" i="77"/>
  <c r="X262" i="74"/>
  <c r="IY262" i="77"/>
  <c r="X263" i="70"/>
  <c r="EM263" i="77"/>
  <c r="X288" i="73"/>
  <c r="HV288" i="77"/>
  <c r="X382" i="65"/>
  <c r="BD382" i="77"/>
  <c r="X265" i="71"/>
  <c r="FP265" i="77"/>
  <c r="X263" i="68"/>
  <c r="CG263" i="77"/>
  <c r="X296" i="72"/>
  <c r="GS296" i="77"/>
  <c r="IX273"/>
  <c r="IY273"/>
  <c r="FO79"/>
  <c r="Z79" i="71" s="1"/>
  <c r="FP79" i="77"/>
  <c r="FO362"/>
  <c r="Z362" i="71" s="1"/>
  <c r="FP362" i="77"/>
  <c r="IX89"/>
  <c r="Z89" i="74" s="1"/>
  <c r="IY89" i="77"/>
  <c r="HU243"/>
  <c r="Z243" i="73" s="1"/>
  <c r="HV243" i="77"/>
  <c r="EL383"/>
  <c r="Z383" i="70" s="1"/>
  <c r="EM383" i="77"/>
  <c r="GR94"/>
  <c r="Z94" i="72" s="1"/>
  <c r="GS94" i="77"/>
  <c r="IX277"/>
  <c r="IY277"/>
  <c r="X282" i="73"/>
  <c r="HV282" i="77"/>
  <c r="EL283"/>
  <c r="EM283"/>
  <c r="IX285"/>
  <c r="IY285"/>
  <c r="GR365"/>
  <c r="Z365" i="72" s="1"/>
  <c r="GS365" i="77"/>
  <c r="DI384"/>
  <c r="Z384" i="69" s="1"/>
  <c r="DJ384" i="77"/>
  <c r="DI287"/>
  <c r="DJ287"/>
  <c r="FP383"/>
  <c r="FS383" s="1"/>
  <c r="BC273"/>
  <c r="BD273"/>
  <c r="FP266"/>
  <c r="FS266" s="1"/>
  <c r="BC79"/>
  <c r="Z79" i="65" s="1"/>
  <c r="BD79" i="77"/>
  <c r="FO269"/>
  <c r="FP269"/>
  <c r="HU395"/>
  <c r="Z395" i="73" s="1"/>
  <c r="HV395" i="77"/>
  <c r="IX263"/>
  <c r="IY263"/>
  <c r="BC229"/>
  <c r="Z229" i="65" s="1"/>
  <c r="BD229" i="77"/>
  <c r="CF206"/>
  <c r="Z206" i="68" s="1"/>
  <c r="CG206" i="77"/>
  <c r="FO230"/>
  <c r="Z230" i="71" s="1"/>
  <c r="FP230" i="77"/>
  <c r="GR250"/>
  <c r="Z250" i="72" s="1"/>
  <c r="GS250" i="77"/>
  <c r="AA275" i="74"/>
  <c r="IY275" i="77"/>
  <c r="X263" i="73"/>
  <c r="HV263" i="77"/>
  <c r="BC285"/>
  <c r="BD285"/>
  <c r="X293" i="69"/>
  <c r="DJ293" i="77"/>
  <c r="GR384"/>
  <c r="Z384" i="72" s="1"/>
  <c r="GS384" i="77"/>
  <c r="X87" i="68"/>
  <c r="CG87" i="77"/>
  <c r="CF290"/>
  <c r="CG290"/>
  <c r="X395" i="68"/>
  <c r="CG386" i="77"/>
  <c r="X395" i="69"/>
  <c r="DJ386" i="77"/>
  <c r="X379" i="72"/>
  <c r="GS379" i="77"/>
  <c r="X262" i="72"/>
  <c r="GS262" i="77"/>
  <c r="IX276"/>
  <c r="IY276"/>
  <c r="FO240"/>
  <c r="Z240" i="71" s="1"/>
  <c r="FP240" i="77"/>
  <c r="DI376"/>
  <c r="Z376" i="69" s="1"/>
  <c r="DJ376" i="77"/>
  <c r="IX384"/>
  <c r="Z384" i="74" s="1"/>
  <c r="IY384" i="77"/>
  <c r="X264" i="73"/>
  <c r="HV264" i="77"/>
  <c r="X264" i="71"/>
  <c r="FP264" i="77"/>
  <c r="HW139"/>
  <c r="IW139"/>
  <c r="HU139"/>
  <c r="HY271"/>
  <c r="HX271"/>
  <c r="JB18"/>
  <c r="JA18"/>
  <c r="GV141"/>
  <c r="GU141"/>
  <c r="HW91"/>
  <c r="IW91"/>
  <c r="HU91"/>
  <c r="GV231"/>
  <c r="GU231"/>
  <c r="GV154"/>
  <c r="GU154"/>
  <c r="HW361"/>
  <c r="IW361"/>
  <c r="HU361"/>
  <c r="HY461"/>
  <c r="HX461"/>
  <c r="JB51"/>
  <c r="JA51"/>
  <c r="HY15"/>
  <c r="HX15"/>
  <c r="HY391"/>
  <c r="HX391"/>
  <c r="IZ122"/>
  <c r="IX122"/>
  <c r="GV316"/>
  <c r="AD316" i="72" s="1"/>
  <c r="GU316" i="77"/>
  <c r="AC316" i="72" s="1"/>
  <c r="HY125" i="77"/>
  <c r="HX125"/>
  <c r="IZ108"/>
  <c r="IX108"/>
  <c r="IZ118"/>
  <c r="IX118"/>
  <c r="HY183"/>
  <c r="HX183"/>
  <c r="IZ19"/>
  <c r="IX19"/>
  <c r="HW109"/>
  <c r="IW109"/>
  <c r="HU109"/>
  <c r="IZ157"/>
  <c r="IX157"/>
  <c r="GV115"/>
  <c r="GU115"/>
  <c r="IZ17"/>
  <c r="IX17"/>
  <c r="IZ163"/>
  <c r="IX163"/>
  <c r="HY166"/>
  <c r="HX166"/>
  <c r="HY11"/>
  <c r="HX11"/>
  <c r="IZ158"/>
  <c r="IX158"/>
  <c r="IZ150"/>
  <c r="IX150"/>
  <c r="HY421"/>
  <c r="HX421"/>
  <c r="GV138"/>
  <c r="GU138"/>
  <c r="HW151"/>
  <c r="IW151"/>
  <c r="HU151"/>
  <c r="HY13"/>
  <c r="HX13"/>
  <c r="HW142"/>
  <c r="IW142"/>
  <c r="HU142"/>
  <c r="HY31"/>
  <c r="HX31"/>
  <c r="HY198"/>
  <c r="HX198"/>
  <c r="GV144"/>
  <c r="GU144"/>
  <c r="IZ251"/>
  <c r="IX251"/>
  <c r="IZ160"/>
  <c r="IX160"/>
  <c r="HW148"/>
  <c r="IW148"/>
  <c r="HU148"/>
  <c r="HY120"/>
  <c r="HX120"/>
  <c r="IZ241"/>
  <c r="IX241"/>
  <c r="HY161"/>
  <c r="HX161"/>
  <c r="IZ159"/>
  <c r="IX159"/>
  <c r="IX331"/>
  <c r="Z331" i="74" s="1"/>
  <c r="HW219" i="77"/>
  <c r="IW219"/>
  <c r="HU219"/>
  <c r="HY165"/>
  <c r="HX165"/>
  <c r="IZ314"/>
  <c r="AB314" i="74" s="1"/>
  <c r="HU314" i="77"/>
  <c r="Z314" i="73" s="1"/>
  <c r="IZ130" i="77"/>
  <c r="IX130"/>
  <c r="HW136"/>
  <c r="IW136"/>
  <c r="HU136"/>
  <c r="GV381"/>
  <c r="GU381"/>
  <c r="HW155"/>
  <c r="IW155"/>
  <c r="HU155"/>
  <c r="HY167"/>
  <c r="HX167"/>
  <c r="GV317"/>
  <c r="AD317" i="72" s="1"/>
  <c r="GU317" i="77"/>
  <c r="AC317" i="72" s="1"/>
  <c r="GV419" i="77"/>
  <c r="GU419"/>
  <c r="GV146"/>
  <c r="GU146"/>
  <c r="IZ149"/>
  <c r="IX149"/>
  <c r="HY201"/>
  <c r="HX201"/>
  <c r="IZ126"/>
  <c r="IX126"/>
  <c r="HW111"/>
  <c r="IW111"/>
  <c r="HU111"/>
  <c r="IZ193"/>
  <c r="IX193"/>
  <c r="IZ168"/>
  <c r="IX168"/>
  <c r="GV261"/>
  <c r="GU261"/>
  <c r="CD202"/>
  <c r="CG202" s="1"/>
  <c r="X200" i="74"/>
  <c r="IY200" i="77"/>
  <c r="X227" i="71"/>
  <c r="FP227" i="77"/>
  <c r="IX256"/>
  <c r="Z256" i="74" s="1"/>
  <c r="IY256" i="77"/>
  <c r="X84" i="72"/>
  <c r="GS84" i="77"/>
  <c r="FO247"/>
  <c r="Z247" i="71" s="1"/>
  <c r="FP247" i="77"/>
  <c r="BC24"/>
  <c r="Z24" i="65" s="1"/>
  <c r="BD24" i="77"/>
  <c r="FO62"/>
  <c r="Z62" i="71" s="1"/>
  <c r="FP62" i="77"/>
  <c r="GR59"/>
  <c r="Z59" i="72" s="1"/>
  <c r="GS59" i="77"/>
  <c r="X359" i="72"/>
  <c r="GS359" i="77"/>
  <c r="X369" i="72"/>
  <c r="GS369" i="77"/>
  <c r="GR246"/>
  <c r="Z246" i="72" s="1"/>
  <c r="GS246" i="77"/>
  <c r="EL65"/>
  <c r="Z65" i="70" s="1"/>
  <c r="EM65" i="77"/>
  <c r="GR69"/>
  <c r="Z69" i="72" s="1"/>
  <c r="GS69" i="77"/>
  <c r="X226" i="72"/>
  <c r="GS226" i="77"/>
  <c r="DI42"/>
  <c r="Z42" i="69" s="1"/>
  <c r="DJ42" i="77"/>
  <c r="X238" i="74"/>
  <c r="IY238" i="77"/>
  <c r="X238" i="65"/>
  <c r="BD238" i="77"/>
  <c r="X86" i="71"/>
  <c r="FP86" i="77"/>
  <c r="X84" i="74"/>
  <c r="IY84" i="77"/>
  <c r="X200" i="72"/>
  <c r="GS200" i="77"/>
  <c r="X358" i="71"/>
  <c r="FP358" i="77"/>
  <c r="EL93"/>
  <c r="Z93" i="70" s="1"/>
  <c r="EM93" i="77"/>
  <c r="X296" i="65"/>
  <c r="BD296" i="77"/>
  <c r="IX283"/>
  <c r="IY283"/>
  <c r="CF279"/>
  <c r="CG279"/>
  <c r="BC94"/>
  <c r="Z94" i="65" s="1"/>
  <c r="BD94" i="77"/>
  <c r="FO250"/>
  <c r="Z250" i="71" s="1"/>
  <c r="FP250" i="77"/>
  <c r="GR89"/>
  <c r="Z89" i="72" s="1"/>
  <c r="GS89" i="77"/>
  <c r="X280" i="70"/>
  <c r="EM280" i="77"/>
  <c r="DI79"/>
  <c r="Z79" i="69" s="1"/>
  <c r="DJ79" i="77"/>
  <c r="FO376"/>
  <c r="Z376" i="71" s="1"/>
  <c r="FP376" i="77"/>
  <c r="EL229"/>
  <c r="Z229" i="70" s="1"/>
  <c r="EM229" i="77"/>
  <c r="X383" i="68"/>
  <c r="CG364" i="77"/>
  <c r="GR202"/>
  <c r="Z202" i="72" s="1"/>
  <c r="GS202" i="77"/>
  <c r="DI285"/>
  <c r="DJ285"/>
  <c r="X275" i="73"/>
  <c r="HV275" i="77"/>
  <c r="FO273"/>
  <c r="FP273"/>
  <c r="BC354"/>
  <c r="Z354" i="65" s="1"/>
  <c r="BD354" i="77"/>
  <c r="HU98"/>
  <c r="Z98" i="73" s="1"/>
  <c r="HV98" i="77"/>
  <c r="HX98" s="1"/>
  <c r="AC98" i="73" s="1"/>
  <c r="HU87" i="77"/>
  <c r="Z87" i="73" s="1"/>
  <c r="HV87" i="77"/>
  <c r="X393" i="72"/>
  <c r="GS393" i="77"/>
  <c r="IX274"/>
  <c r="IY274"/>
  <c r="X382" i="71"/>
  <c r="FP382" i="77"/>
  <c r="BC276"/>
  <c r="BD276"/>
  <c r="DI383"/>
  <c r="Z383" i="69" s="1"/>
  <c r="DJ383" i="77"/>
  <c r="X383" i="70"/>
  <c r="EM364" i="77"/>
  <c r="X294" i="72"/>
  <c r="GS294" i="77"/>
  <c r="X207" i="72"/>
  <c r="GS207" i="77"/>
  <c r="EL270"/>
  <c r="EM270"/>
  <c r="X295" i="65"/>
  <c r="BD209" i="77"/>
  <c r="X296" i="73"/>
  <c r="HV296" i="77"/>
  <c r="GR243"/>
  <c r="Z243" i="72" s="1"/>
  <c r="GS243" i="77"/>
  <c r="X365" i="71"/>
  <c r="FP365" i="77"/>
  <c r="X289" i="70"/>
  <c r="EM289" i="77"/>
  <c r="GR240"/>
  <c r="Z240" i="72" s="1"/>
  <c r="GS240" i="77"/>
  <c r="CF240"/>
  <c r="Z240" i="68" s="1"/>
  <c r="CG240" i="77"/>
  <c r="CI240" s="1"/>
  <c r="IX208"/>
  <c r="Z208" i="74" s="1"/>
  <c r="IY208" i="77"/>
  <c r="IX269"/>
  <c r="IY269"/>
  <c r="GR376"/>
  <c r="Z376" i="72" s="1"/>
  <c r="GS376" i="77"/>
  <c r="X293" i="65"/>
  <c r="BD293" i="77"/>
  <c r="CF207"/>
  <c r="Z207" i="68" s="1"/>
  <c r="CG207" i="77"/>
  <c r="GR287"/>
  <c r="GS287"/>
  <c r="DI208"/>
  <c r="Z208" i="69" s="1"/>
  <c r="DJ208" i="77"/>
  <c r="FO252"/>
  <c r="Z252" i="71" s="1"/>
  <c r="FP252" i="77"/>
  <c r="GR270"/>
  <c r="GS270"/>
  <c r="BC223"/>
  <c r="Z223" i="65" s="1"/>
  <c r="BD223" i="77"/>
  <c r="IX268"/>
  <c r="IY268"/>
  <c r="IX376"/>
  <c r="Z376" i="74" s="1"/>
  <c r="IY376" i="77"/>
  <c r="GR230"/>
  <c r="Z230" i="72" s="1"/>
  <c r="GS230" i="77"/>
  <c r="X267" i="65"/>
  <c r="BD267" i="77"/>
  <c r="X280" i="73"/>
  <c r="HV280" i="77"/>
  <c r="HY216"/>
  <c r="HX216"/>
  <c r="HY371"/>
  <c r="HX371"/>
  <c r="JB181"/>
  <c r="JA181"/>
  <c r="IZ210"/>
  <c r="IX210"/>
  <c r="HY16"/>
  <c r="HX16"/>
  <c r="IZ197"/>
  <c r="IX197"/>
  <c r="HW141"/>
  <c r="IW141"/>
  <c r="HU141"/>
  <c r="HW231"/>
  <c r="IW231"/>
  <c r="HU231"/>
  <c r="GV61"/>
  <c r="GU61"/>
  <c r="HW154"/>
  <c r="IW154"/>
  <c r="HU154"/>
  <c r="IZ195"/>
  <c r="IX195"/>
  <c r="GV134"/>
  <c r="GU134"/>
  <c r="IZ461"/>
  <c r="IX461"/>
  <c r="IZ123"/>
  <c r="IX123"/>
  <c r="IZ196"/>
  <c r="IX196"/>
  <c r="IZ321"/>
  <c r="AB321" i="74" s="1"/>
  <c r="HU321" i="77"/>
  <c r="Z321" i="73" s="1"/>
  <c r="HY122" i="77"/>
  <c r="HX122"/>
  <c r="IZ316"/>
  <c r="AB316" i="74" s="1"/>
  <c r="HU316" i="77"/>
  <c r="Z316" i="73" s="1"/>
  <c r="GV140" i="77"/>
  <c r="GU140"/>
  <c r="IZ112"/>
  <c r="IX112"/>
  <c r="JB217"/>
  <c r="JA217"/>
  <c r="HY118"/>
  <c r="HX118"/>
  <c r="IZ117"/>
  <c r="IX117"/>
  <c r="HY19"/>
  <c r="HX19"/>
  <c r="HY157"/>
  <c r="HX157"/>
  <c r="IZ164"/>
  <c r="IX164"/>
  <c r="IW115"/>
  <c r="HW115"/>
  <c r="HU115"/>
  <c r="HY163"/>
  <c r="HX163"/>
  <c r="HY114"/>
  <c r="HX114"/>
  <c r="IZ128"/>
  <c r="IX128"/>
  <c r="IZ11"/>
  <c r="IX11"/>
  <c r="IZ121"/>
  <c r="IX121"/>
  <c r="HY158"/>
  <c r="HX158"/>
  <c r="JB14"/>
  <c r="JA14"/>
  <c r="IZ421"/>
  <c r="IX421"/>
  <c r="HY21"/>
  <c r="HX21"/>
  <c r="HW138"/>
  <c r="IW138"/>
  <c r="HU138"/>
  <c r="GV133"/>
  <c r="GU133"/>
  <c r="IZ13"/>
  <c r="IX13"/>
  <c r="IZ31"/>
  <c r="IX31"/>
  <c r="HW144"/>
  <c r="IW144"/>
  <c r="HU144"/>
  <c r="HY160"/>
  <c r="HX160"/>
  <c r="IZ412"/>
  <c r="IX412"/>
  <c r="HY241"/>
  <c r="HX241"/>
  <c r="IZ188"/>
  <c r="IX188"/>
  <c r="HY159"/>
  <c r="HX159"/>
  <c r="IW417"/>
  <c r="HW417"/>
  <c r="HU417"/>
  <c r="HY331"/>
  <c r="AD331" i="73" s="1"/>
  <c r="HX331" i="77"/>
  <c r="AC331" i="73" s="1"/>
  <c r="HY215" i="77"/>
  <c r="HX215"/>
  <c r="GV113"/>
  <c r="GU113"/>
  <c r="HY130"/>
  <c r="HX130"/>
  <c r="HW381"/>
  <c r="IW381"/>
  <c r="HU381"/>
  <c r="HY132"/>
  <c r="HX132"/>
  <c r="HY12"/>
  <c r="HX12"/>
  <c r="IZ317"/>
  <c r="AB317" i="74" s="1"/>
  <c r="HU317" i="77"/>
  <c r="Z317" i="73" s="1"/>
  <c r="HY310" i="77"/>
  <c r="AD310" i="73" s="1"/>
  <c r="HX310" i="77"/>
  <c r="AC310" i="73" s="1"/>
  <c r="HW146" i="77"/>
  <c r="IW146"/>
  <c r="HU146"/>
  <c r="IZ201"/>
  <c r="IX201"/>
  <c r="GV143"/>
  <c r="GU143"/>
  <c r="HY126"/>
  <c r="HX126"/>
  <c r="IZ156"/>
  <c r="IX156"/>
  <c r="HY193"/>
  <c r="HX193"/>
  <c r="IZ129"/>
  <c r="IX129"/>
  <c r="HY168"/>
  <c r="HX168"/>
  <c r="IZ411"/>
  <c r="IX411"/>
  <c r="HW261"/>
  <c r="IW261"/>
  <c r="HU261"/>
  <c r="HY211"/>
  <c r="HX211"/>
  <c r="IV259"/>
  <c r="IY259" s="1"/>
  <c r="Z216" i="73"/>
  <c r="X270" i="69"/>
  <c r="FO243" i="77"/>
  <c r="Z243" i="71" s="1"/>
  <c r="Z135"/>
  <c r="GV335" i="77"/>
  <c r="AD335" i="72" s="1"/>
  <c r="GU335" i="77"/>
  <c r="AC335" i="72" s="1"/>
  <c r="IZ335" i="77"/>
  <c r="AB335" i="74" s="1"/>
  <c r="HU335" i="77"/>
  <c r="Z335" i="73" s="1"/>
  <c r="GV334" i="77"/>
  <c r="AD334" i="72" s="1"/>
  <c r="GU334" i="77"/>
  <c r="AC334" i="72" s="1"/>
  <c r="IZ334" i="77"/>
  <c r="AB334" i="74" s="1"/>
  <c r="HU334" i="77"/>
  <c r="Z334" i="73" s="1"/>
  <c r="GV339" i="77"/>
  <c r="AD339" i="72" s="1"/>
  <c r="GU339" i="77"/>
  <c r="AC339" i="72" s="1"/>
  <c r="IZ339" i="77"/>
  <c r="AB339" i="74" s="1"/>
  <c r="HU339" i="77"/>
  <c r="Z339" i="73" s="1"/>
  <c r="GV330" i="77"/>
  <c r="AD330" i="72" s="1"/>
  <c r="GU330" i="77"/>
  <c r="AC330" i="72" s="1"/>
  <c r="IZ330" i="77"/>
  <c r="AB330" i="74" s="1"/>
  <c r="HU330" i="77"/>
  <c r="Z330" i="73" s="1"/>
  <c r="GV328" i="77"/>
  <c r="AD328" i="72" s="1"/>
  <c r="GU328" i="77"/>
  <c r="AC328" i="72" s="1"/>
  <c r="IZ328" i="77"/>
  <c r="AB328" i="74" s="1"/>
  <c r="HU328" i="77"/>
  <c r="Z328" i="73" s="1"/>
  <c r="GV325" i="77"/>
  <c r="AD325" i="72" s="1"/>
  <c r="GU325" i="77"/>
  <c r="AC325" i="72" s="1"/>
  <c r="IZ325" i="77"/>
  <c r="AB325" i="74" s="1"/>
  <c r="HU325" i="77"/>
  <c r="Z325" i="73" s="1"/>
  <c r="GV344" i="77"/>
  <c r="AD344" i="72" s="1"/>
  <c r="GU344" i="77"/>
  <c r="AC344" i="72" s="1"/>
  <c r="IZ344" i="77"/>
  <c r="AB344" i="74" s="1"/>
  <c r="HU344" i="77"/>
  <c r="Z344" i="73" s="1"/>
  <c r="GV337" i="77"/>
  <c r="AD337" i="72" s="1"/>
  <c r="GU337" i="77"/>
  <c r="AC337" i="72" s="1"/>
  <c r="IZ337" i="77"/>
  <c r="AB337" i="74" s="1"/>
  <c r="HU337" i="77"/>
  <c r="Z337" i="73" s="1"/>
  <c r="GV324" i="77"/>
  <c r="AD324" i="72" s="1"/>
  <c r="GU324" i="77"/>
  <c r="AC324" i="72" s="1"/>
  <c r="IZ324" i="77"/>
  <c r="AB324" i="74" s="1"/>
  <c r="HU324" i="77"/>
  <c r="Z324" i="73" s="1"/>
  <c r="GV340" i="77"/>
  <c r="AD340" i="72" s="1"/>
  <c r="GU340" i="77"/>
  <c r="AC340" i="72" s="1"/>
  <c r="IZ340" i="77"/>
  <c r="AB340" i="74" s="1"/>
  <c r="HU340" i="77"/>
  <c r="Z340" i="73" s="1"/>
  <c r="GV309" i="77"/>
  <c r="AD309" i="72" s="1"/>
  <c r="GU309" i="77"/>
  <c r="AC309" i="72" s="1"/>
  <c r="IZ309" i="77"/>
  <c r="AB309" i="74" s="1"/>
  <c r="HU309" i="77"/>
  <c r="Z309" i="73" s="1"/>
  <c r="GV308" i="77"/>
  <c r="AD308" i="72" s="1"/>
  <c r="GU308" i="77"/>
  <c r="AC308" i="72" s="1"/>
  <c r="IZ308" i="77"/>
  <c r="AB308" i="74" s="1"/>
  <c r="HU308" i="77"/>
  <c r="Z308" i="73" s="1"/>
  <c r="IX305" i="77"/>
  <c r="Z305" i="74" s="1"/>
  <c r="HY305" i="77"/>
  <c r="AD305" i="73" s="1"/>
  <c r="HX305" i="77"/>
  <c r="AC305" i="73" s="1"/>
  <c r="IX303" i="77"/>
  <c r="Z303" i="74" s="1"/>
  <c r="HY303" i="77"/>
  <c r="AD303" i="73" s="1"/>
  <c r="HX303" i="77"/>
  <c r="AC303" i="73" s="1"/>
  <c r="GV343" i="77"/>
  <c r="AD343" i="72" s="1"/>
  <c r="GU343" i="77"/>
  <c r="AC343" i="72" s="1"/>
  <c r="IZ343" i="77"/>
  <c r="AB343" i="74" s="1"/>
  <c r="HU343" i="77"/>
  <c r="Z343" i="73" s="1"/>
  <c r="GV342" i="77"/>
  <c r="AD342" i="72" s="1"/>
  <c r="GU342" i="77"/>
  <c r="AC342" i="72" s="1"/>
  <c r="IZ342" i="77"/>
  <c r="AB342" i="74" s="1"/>
  <c r="HU342" i="77"/>
  <c r="Z342" i="73" s="1"/>
  <c r="GV338" i="77"/>
  <c r="AD338" i="72" s="1"/>
  <c r="GU338" i="77"/>
  <c r="AC338" i="72" s="1"/>
  <c r="IZ338" i="77"/>
  <c r="AB338" i="74" s="1"/>
  <c r="HU338" i="77"/>
  <c r="Z338" i="73" s="1"/>
  <c r="GV332" i="77"/>
  <c r="AD332" i="72" s="1"/>
  <c r="GU332" i="77"/>
  <c r="AC332" i="72" s="1"/>
  <c r="IZ332" i="77"/>
  <c r="AB332" i="74" s="1"/>
  <c r="HU332" i="77"/>
  <c r="Z332" i="73" s="1"/>
  <c r="GV327" i="77"/>
  <c r="AD327" i="72" s="1"/>
  <c r="GU327" i="77"/>
  <c r="AC327" i="72" s="1"/>
  <c r="IZ327" i="77"/>
  <c r="AB327" i="74" s="1"/>
  <c r="HU327" i="77"/>
  <c r="Z327" i="73" s="1"/>
  <c r="GV306" i="77"/>
  <c r="AD306" i="72" s="1"/>
  <c r="GU306" i="77"/>
  <c r="AC306" i="72" s="1"/>
  <c r="IZ306" i="77"/>
  <c r="AB306" i="74" s="1"/>
  <c r="HU306" i="77"/>
  <c r="Z306" i="73" s="1"/>
  <c r="GV300" i="77"/>
  <c r="AD300" i="72" s="1"/>
  <c r="GU300" i="77"/>
  <c r="AC300" i="72" s="1"/>
  <c r="IZ300" i="77"/>
  <c r="AB300" i="74" s="1"/>
  <c r="HU300" i="77"/>
  <c r="Z300" i="73" s="1"/>
  <c r="GV348" i="77"/>
  <c r="AD348" i="72" s="1"/>
  <c r="GU348" i="77"/>
  <c r="AC348" i="72" s="1"/>
  <c r="IZ348" i="77"/>
  <c r="AB348" i="74" s="1"/>
  <c r="HU348" i="77"/>
  <c r="Z348" i="73" s="1"/>
  <c r="GV333" i="77"/>
  <c r="AD333" i="72" s="1"/>
  <c r="GU333" i="77"/>
  <c r="AC333" i="72" s="1"/>
  <c r="IZ333" i="77"/>
  <c r="AB333" i="74" s="1"/>
  <c r="HU333" i="77"/>
  <c r="Z333" i="73" s="1"/>
  <c r="GV326" i="77"/>
  <c r="AD326" i="72" s="1"/>
  <c r="GU326" i="77"/>
  <c r="AC326" i="72" s="1"/>
  <c r="IZ326" i="77"/>
  <c r="AB326" i="74" s="1"/>
  <c r="HU326" i="77"/>
  <c r="Z326" i="73" s="1"/>
  <c r="HY299" i="77"/>
  <c r="AD299" i="73" s="1"/>
  <c r="HX299" i="77"/>
  <c r="AC299" i="73" s="1"/>
  <c r="IX299" i="77"/>
  <c r="Z299" i="74" s="1"/>
  <c r="Z154" i="71"/>
  <c r="DG282" i="77"/>
  <c r="DJ282" s="1"/>
  <c r="AA165" i="71"/>
  <c r="BC267" i="77"/>
  <c r="EL272"/>
  <c r="AA263" i="73"/>
  <c r="AA292"/>
  <c r="GR379" i="77"/>
  <c r="Z379" i="72" s="1"/>
  <c r="CD209" i="77"/>
  <c r="CG209" s="1"/>
  <c r="Z115" i="71"/>
  <c r="Z103" i="69"/>
  <c r="X115" i="68"/>
  <c r="Z130" i="72"/>
  <c r="Z219" i="71"/>
  <c r="AA379"/>
  <c r="AA362" i="72"/>
  <c r="Z139"/>
  <c r="DG385" i="77"/>
  <c r="DJ385" s="1"/>
  <c r="AA382" i="68"/>
  <c r="HU394" i="77"/>
  <c r="Z394" i="73" s="1"/>
  <c r="AA292" i="74"/>
  <c r="Z167" i="72"/>
  <c r="AA163" i="65"/>
  <c r="AA103" i="71"/>
  <c r="Z196" i="72"/>
  <c r="HU264" i="77"/>
  <c r="AA287" i="65"/>
  <c r="DI250" i="77"/>
  <c r="Z250" i="69" s="1"/>
  <c r="Z195" i="70"/>
  <c r="Z149" i="72"/>
  <c r="Z194" i="68"/>
  <c r="Z163" i="65"/>
  <c r="AA135" i="71"/>
  <c r="Z189" i="68"/>
  <c r="AA262"/>
  <c r="EJ292" i="77"/>
  <c r="BA207"/>
  <c r="BD207" s="1"/>
  <c r="GR294"/>
  <c r="EJ287"/>
  <c r="EM287" s="1"/>
  <c r="Z154" i="72"/>
  <c r="IX365" i="77"/>
  <c r="Z365" i="74" s="1"/>
  <c r="AA115" i="73"/>
  <c r="X213" i="72"/>
  <c r="BA364" i="77"/>
  <c r="BD364" s="1"/>
  <c r="Z108" i="70"/>
  <c r="AC248" i="39"/>
  <c r="Z172" i="74"/>
  <c r="AA176" i="73"/>
  <c r="X198" i="72"/>
  <c r="X120"/>
  <c r="Z155"/>
  <c r="X146"/>
  <c r="GP98" i="77"/>
  <c r="GP280"/>
  <c r="X211" i="72"/>
  <c r="Z215"/>
  <c r="AA163" i="71"/>
  <c r="DI293" i="77"/>
  <c r="DI94"/>
  <c r="Z94" i="69" s="1"/>
  <c r="Z142"/>
  <c r="DI292" i="77"/>
  <c r="AA383" i="68"/>
  <c r="X143" i="73"/>
  <c r="AA166" i="72"/>
  <c r="Z141" i="71"/>
  <c r="AA79" i="74"/>
  <c r="AA372" i="72"/>
  <c r="AA384"/>
  <c r="GR289" i="77"/>
  <c r="GR369"/>
  <c r="Z369" i="72" s="1"/>
  <c r="Z119"/>
  <c r="Z143"/>
  <c r="GR393" i="77"/>
  <c r="Z393" i="72" s="1"/>
  <c r="EJ388" i="77"/>
  <c r="EM388" s="1"/>
  <c r="DG98"/>
  <c r="V80" i="68"/>
  <c r="U197"/>
  <c r="AA280"/>
  <c r="CD268" i="77"/>
  <c r="CG268" s="1"/>
  <c r="V93" i="68"/>
  <c r="V79"/>
  <c r="BA237" i="77"/>
  <c r="BD237" s="1"/>
  <c r="HU254"/>
  <c r="Z254" i="73" s="1"/>
  <c r="HU296" i="77"/>
  <c r="Z115" i="73"/>
  <c r="Z138" i="72"/>
  <c r="AA31"/>
  <c r="Z120"/>
  <c r="AA167"/>
  <c r="AA287"/>
  <c r="EJ389" i="77"/>
  <c r="EM389" s="1"/>
  <c r="EO220"/>
  <c r="EJ393"/>
  <c r="EL394"/>
  <c r="Z394" i="70" s="1"/>
  <c r="EL289" i="77"/>
  <c r="EJ282"/>
  <c r="AA78" i="70"/>
  <c r="BC264" i="77"/>
  <c r="X419" i="74"/>
  <c r="Z201" i="65"/>
  <c r="BC295" i="77"/>
  <c r="AA293" i="65"/>
  <c r="AA140" i="73"/>
  <c r="AA282"/>
  <c r="Z120" i="71"/>
  <c r="EJ207" i="77"/>
  <c r="X211" i="71"/>
  <c r="GP225" i="77"/>
  <c r="AA395" i="71"/>
  <c r="AA386"/>
  <c r="Z184" i="69"/>
  <c r="HU220" i="77"/>
  <c r="Z220" i="73" s="1"/>
  <c r="Z183" i="69"/>
  <c r="Z181" i="68"/>
  <c r="FO358" i="77"/>
  <c r="Z358" i="71" s="1"/>
  <c r="FR426" i="77"/>
  <c r="AC426" i="71" s="1"/>
  <c r="Z131" i="70"/>
  <c r="Z193" i="68"/>
  <c r="GR200" i="77"/>
  <c r="Z200" i="72" s="1"/>
  <c r="GR237" i="77"/>
  <c r="Z237" i="72" s="1"/>
  <c r="V376" i="70"/>
  <c r="X123" i="72"/>
  <c r="AA425" i="73"/>
  <c r="X355" i="74"/>
  <c r="W93" i="68"/>
  <c r="V250" i="65"/>
  <c r="W100" i="69"/>
  <c r="X98" i="73"/>
  <c r="U205" i="69"/>
  <c r="U96" i="68"/>
  <c r="U195" i="65"/>
  <c r="X412" i="71"/>
  <c r="AB193" i="72"/>
  <c r="AB389"/>
  <c r="AB203"/>
  <c r="Z123"/>
  <c r="AA214" i="70"/>
  <c r="X135" i="73"/>
  <c r="X163" i="68"/>
  <c r="Z103" i="71"/>
  <c r="AA395" i="69"/>
  <c r="X290" i="70"/>
  <c r="FO383" i="77"/>
  <c r="Z383" i="71" s="1"/>
  <c r="EJ365" i="77"/>
  <c r="GP78"/>
  <c r="X135" i="69"/>
  <c r="DL289" i="77"/>
  <c r="AC289" i="69" s="1"/>
  <c r="CF386" i="77"/>
  <c r="Z386" i="68" s="1"/>
  <c r="AA103" i="69"/>
  <c r="AA264" i="73"/>
  <c r="GR382" i="77"/>
  <c r="Z382" i="72" s="1"/>
  <c r="CD294" i="77"/>
  <c r="HU280"/>
  <c r="AA294" i="73"/>
  <c r="AA190" i="68"/>
  <c r="AA379" i="72"/>
  <c r="FO285" i="77"/>
  <c r="AA275" i="73"/>
  <c r="FM393" i="77"/>
  <c r="FP393" s="1"/>
  <c r="CD354"/>
  <c r="CG354" s="1"/>
  <c r="HS379"/>
  <c r="HV379" s="1"/>
  <c r="CD384"/>
  <c r="CG384" s="1"/>
  <c r="FM229"/>
  <c r="FP229" s="1"/>
  <c r="W207" i="70"/>
  <c r="Z137"/>
  <c r="Z131" i="65"/>
  <c r="Z180" i="68"/>
  <c r="FO425" i="77"/>
  <c r="Z425" i="71" s="1"/>
  <c r="V253" i="73"/>
  <c r="V208" i="68"/>
  <c r="V205"/>
  <c r="W128"/>
  <c r="W206" i="70"/>
  <c r="W191" i="65"/>
  <c r="X365" i="73"/>
  <c r="W97" i="69"/>
  <c r="X385" i="74"/>
  <c r="X376" i="71"/>
  <c r="BF358" i="77"/>
  <c r="AC358" i="65" s="1"/>
  <c r="FR377" i="77"/>
  <c r="AC377" i="71" s="1"/>
  <c r="FS377" i="77"/>
  <c r="AD377" i="71" s="1"/>
  <c r="FM288" i="77"/>
  <c r="X176" i="70"/>
  <c r="DG280" i="77"/>
  <c r="EJ79"/>
  <c r="EM79" s="1"/>
  <c r="CD289"/>
  <c r="IX292"/>
  <c r="AA287" i="68"/>
  <c r="FO264" i="77"/>
  <c r="AA288" i="74"/>
  <c r="Z391" i="73"/>
  <c r="X144" i="72"/>
  <c r="BA386" i="77"/>
  <c r="DG202"/>
  <c r="DJ202" s="1"/>
  <c r="HS79"/>
  <c r="AA391" i="70"/>
  <c r="AA354" i="71"/>
  <c r="EL269" i="77"/>
  <c r="IX87"/>
  <c r="Z87" i="74" s="1"/>
  <c r="FO283" i="77"/>
  <c r="CF87"/>
  <c r="Z87" i="68" s="1"/>
  <c r="X109" i="69"/>
  <c r="AA265" i="65"/>
  <c r="Z194" i="72"/>
  <c r="AA292" i="69"/>
  <c r="AA383"/>
  <c r="Z140" i="70"/>
  <c r="X285"/>
  <c r="EJ386" i="77"/>
  <c r="EM386" s="1"/>
  <c r="DG263"/>
  <c r="DJ263" s="1"/>
  <c r="BA87"/>
  <c r="BA362"/>
  <c r="BD362" s="1"/>
  <c r="HS376"/>
  <c r="HV376" s="1"/>
  <c r="AD266" i="65"/>
  <c r="AD364" i="39"/>
  <c r="U121" i="70"/>
  <c r="U207"/>
  <c r="FO270" i="77"/>
  <c r="AA288" i="65"/>
  <c r="FO223" i="77"/>
  <c r="Z223" i="71" s="1"/>
  <c r="U249" i="65"/>
  <c r="JB455" i="77"/>
  <c r="AD455" i="74" s="1"/>
  <c r="JA455" i="77"/>
  <c r="AC455" i="74" s="1"/>
  <c r="AD248" i="39"/>
  <c r="BA377" i="77"/>
  <c r="BD377" s="1"/>
  <c r="Z173" i="72"/>
  <c r="GR284" i="77"/>
  <c r="GR266"/>
  <c r="FO263"/>
  <c r="FO280"/>
  <c r="CF364"/>
  <c r="Z364" i="68" s="1"/>
  <c r="FO365" i="77"/>
  <c r="Z365" i="71" s="1"/>
  <c r="AA289" i="72"/>
  <c r="AA289" i="70"/>
  <c r="Z165" i="71"/>
  <c r="AA289" i="73"/>
  <c r="AA267" i="65"/>
  <c r="AA391" i="73"/>
  <c r="CD393" i="77"/>
  <c r="X146" i="69"/>
  <c r="Z163" i="71"/>
  <c r="FO379" i="77"/>
  <c r="Z379" i="71" s="1"/>
  <c r="CF382" i="77"/>
  <c r="Z382" i="68" s="1"/>
  <c r="AA393" i="72"/>
  <c r="BC293" i="77"/>
  <c r="CF280"/>
  <c r="AA189" i="68"/>
  <c r="AA270" i="71"/>
  <c r="Z109" i="65"/>
  <c r="CF262" i="77"/>
  <c r="Z176" i="71"/>
  <c r="Z144" i="68"/>
  <c r="HU292" i="77"/>
  <c r="DI203"/>
  <c r="Z203" i="69" s="1"/>
  <c r="BC269" i="77"/>
  <c r="AA262" i="72"/>
  <c r="X219" i="74"/>
  <c r="IX254" i="77"/>
  <c r="Z254" i="74" s="1"/>
  <c r="Z241" i="69"/>
  <c r="BA379" i="77"/>
  <c r="BD379" s="1"/>
  <c r="DG266"/>
  <c r="DJ266" s="1"/>
  <c r="AA354" i="73"/>
  <c r="AD209" i="39"/>
  <c r="Z100" i="71"/>
  <c r="BC265" i="77"/>
  <c r="HU208"/>
  <c r="Z208" i="73" s="1"/>
  <c r="AA190" i="65"/>
  <c r="AA202" i="72"/>
  <c r="Z221"/>
  <c r="HU365" i="77"/>
  <c r="Z365" i="73" s="1"/>
  <c r="V248" i="68"/>
  <c r="U217" i="69"/>
  <c r="U244" i="72"/>
  <c r="GR203" i="77"/>
  <c r="Z203" i="72" s="1"/>
  <c r="FR383" i="77"/>
  <c r="Z158" i="72"/>
  <c r="AA382" i="71"/>
  <c r="Z185" i="69"/>
  <c r="AA264" i="65"/>
  <c r="AA395" i="68"/>
  <c r="Z166" i="72"/>
  <c r="Z194" i="65"/>
  <c r="GR229" i="77"/>
  <c r="Z229" i="72" s="1"/>
  <c r="AA296" i="69"/>
  <c r="AA139" i="72"/>
  <c r="HU372" i="77"/>
  <c r="Z372" i="73" s="1"/>
  <c r="CF365" i="77"/>
  <c r="Z365" i="68" s="1"/>
  <c r="AA109" i="65"/>
  <c r="AA287" i="69"/>
  <c r="CF78" i="77"/>
  <c r="Z78" i="68" s="1"/>
  <c r="Z154" i="74"/>
  <c r="HU278" i="77"/>
  <c r="BC280"/>
  <c r="Z231" i="73"/>
  <c r="Z155" i="68"/>
  <c r="X419" i="71"/>
  <c r="AA176"/>
  <c r="Z213" i="69"/>
  <c r="Z140" i="68"/>
  <c r="Z164" i="71"/>
  <c r="DI254" i="77"/>
  <c r="Z254" i="69" s="1"/>
  <c r="AA354"/>
  <c r="Z146" i="72"/>
  <c r="BC240" i="77"/>
  <c r="Z240" i="65" s="1"/>
  <c r="HU276" i="77"/>
  <c r="DG279"/>
  <c r="AA280" i="70"/>
  <c r="AA372" i="73"/>
  <c r="Z166" i="71"/>
  <c r="AA280" i="65"/>
  <c r="AA155" i="68"/>
  <c r="AA141" i="71"/>
  <c r="CD383" i="77"/>
  <c r="CG383" s="1"/>
  <c r="DG278"/>
  <c r="U203" i="70"/>
  <c r="IX385" i="77"/>
  <c r="Z385" i="74" s="1"/>
  <c r="AA270"/>
  <c r="X121"/>
  <c r="Z219"/>
  <c r="IX223" i="77"/>
  <c r="Z223" i="74" s="1"/>
  <c r="AA394"/>
  <c r="Z154" i="73"/>
  <c r="Z213" i="72"/>
  <c r="GR295" i="77"/>
  <c r="GR262"/>
  <c r="AA365" i="72"/>
  <c r="FO354" i="77"/>
  <c r="Z354" i="71" s="1"/>
  <c r="AA154"/>
  <c r="FO208" i="77"/>
  <c r="Z208" i="71" s="1"/>
  <c r="FO78" i="77"/>
  <c r="Z78" i="71" s="1"/>
  <c r="FO284" i="77"/>
  <c r="AA265" i="70"/>
  <c r="Z371"/>
  <c r="Z371" i="69"/>
  <c r="DI296" i="77"/>
  <c r="AA293" i="69"/>
  <c r="Z194"/>
  <c r="Z165"/>
  <c r="DG394" i="77"/>
  <c r="DJ394" s="1"/>
  <c r="DG78"/>
  <c r="DJ78" s="1"/>
  <c r="CF379"/>
  <c r="Z379" i="68" s="1"/>
  <c r="AA140"/>
  <c r="CD94" i="77"/>
  <c r="CG94" s="1"/>
  <c r="CI94" s="1"/>
  <c r="Y200" i="74"/>
  <c r="IX287" i="77"/>
  <c r="Y98" i="74"/>
  <c r="IX98" i="77"/>
  <c r="Z98" i="74" s="1"/>
  <c r="Y196"/>
  <c r="Y52"/>
  <c r="IX52" i="77"/>
  <c r="Z52" i="74" s="1"/>
  <c r="AB69"/>
  <c r="Y69"/>
  <c r="Y371"/>
  <c r="Z371"/>
  <c r="Y53"/>
  <c r="IX53" i="77"/>
  <c r="Z53" i="74" s="1"/>
  <c r="IX44" i="77"/>
  <c r="Z44" i="74" s="1"/>
  <c r="Y44"/>
  <c r="AB427"/>
  <c r="Y223"/>
  <c r="AB292"/>
  <c r="AB147" i="73"/>
  <c r="Y27" i="74"/>
  <c r="IX27" i="77"/>
  <c r="Z27" i="74" s="1"/>
  <c r="Y209"/>
  <c r="AB37"/>
  <c r="Y37"/>
  <c r="Y73"/>
  <c r="IX73" i="77"/>
  <c r="Z73" i="74" s="1"/>
  <c r="Y50"/>
  <c r="IX50" i="77"/>
  <c r="Z50" i="74" s="1"/>
  <c r="AB42"/>
  <c r="Y42"/>
  <c r="AB211" i="73"/>
  <c r="AB254"/>
  <c r="AB60" i="74"/>
  <c r="Y60"/>
  <c r="Y394"/>
  <c r="AB140"/>
  <c r="Y140"/>
  <c r="AB67"/>
  <c r="Y67"/>
  <c r="AB91"/>
  <c r="Y91"/>
  <c r="AB58" i="73"/>
  <c r="HY58" i="77"/>
  <c r="AD58" i="73" s="1"/>
  <c r="HX58" i="77"/>
  <c r="AC58" i="73" s="1"/>
  <c r="AB59" i="74"/>
  <c r="Y59"/>
  <c r="AB31"/>
  <c r="Y31"/>
  <c r="AB63"/>
  <c r="Y63"/>
  <c r="Y231"/>
  <c r="Y229"/>
  <c r="Y443"/>
  <c r="AB423"/>
  <c r="Y423"/>
  <c r="AB264"/>
  <c r="AB29"/>
  <c r="Y29"/>
  <c r="AB36"/>
  <c r="Y36"/>
  <c r="Y210"/>
  <c r="Z210"/>
  <c r="AB94"/>
  <c r="Y94"/>
  <c r="AB49" i="73"/>
  <c r="HY49" i="77"/>
  <c r="AD49" i="73" s="1"/>
  <c r="HX49" i="77"/>
  <c r="AC49" i="73" s="1"/>
  <c r="Y128" i="74"/>
  <c r="AB207" i="73"/>
  <c r="AB250"/>
  <c r="AB28" i="74"/>
  <c r="Y28"/>
  <c r="AB32"/>
  <c r="Y32"/>
  <c r="AB448"/>
  <c r="Y448"/>
  <c r="AB19"/>
  <c r="Y19"/>
  <c r="AB245"/>
  <c r="Y245"/>
  <c r="IX286" i="77"/>
  <c r="AB296" i="74"/>
  <c r="Y191"/>
  <c r="AB391"/>
  <c r="Y391"/>
  <c r="AB204" i="73"/>
  <c r="HY204" i="77"/>
  <c r="HX204"/>
  <c r="AB404" i="74"/>
  <c r="AB461"/>
  <c r="Y461"/>
  <c r="AB62"/>
  <c r="Y62"/>
  <c r="AB17"/>
  <c r="Y17"/>
  <c r="AB229" i="73"/>
  <c r="AB177"/>
  <c r="AB265" i="74"/>
  <c r="V205" i="73"/>
  <c r="Z190" i="65"/>
  <c r="DI354" i="77"/>
  <c r="Z354" i="69" s="1"/>
  <c r="IX264" i="77"/>
  <c r="Z102" i="69"/>
  <c r="Z146" i="70"/>
  <c r="CD278" i="77"/>
  <c r="AB15" i="74"/>
  <c r="Y15"/>
  <c r="Y179"/>
  <c r="Y41"/>
  <c r="Z41"/>
  <c r="Y216"/>
  <c r="AB52" i="73"/>
  <c r="HY52" i="77"/>
  <c r="AD52" i="73" s="1"/>
  <c r="HX52" i="77"/>
  <c r="AC52" i="73" s="1"/>
  <c r="AB267" i="74"/>
  <c r="IX55" i="77"/>
  <c r="Z55" i="74" s="1"/>
  <c r="Y55"/>
  <c r="IX278" i="77"/>
  <c r="HY53"/>
  <c r="AD53" i="73" s="1"/>
  <c r="HX53" i="77"/>
  <c r="AC53" i="73" s="1"/>
  <c r="AB53"/>
  <c r="AB167" i="74"/>
  <c r="Y167"/>
  <c r="AB44" i="73"/>
  <c r="HY44" i="77"/>
  <c r="AD44" i="73" s="1"/>
  <c r="HX44" i="77"/>
  <c r="AC44" i="73" s="1"/>
  <c r="AB422" i="74"/>
  <c r="Y422"/>
  <c r="Y430"/>
  <c r="IX430" i="77"/>
  <c r="Z430" i="74" s="1"/>
  <c r="Y251"/>
  <c r="AB409"/>
  <c r="Y409"/>
  <c r="Y47"/>
  <c r="IX47" i="77"/>
  <c r="Z47" i="74" s="1"/>
  <c r="AB27" i="73"/>
  <c r="HX27" i="77"/>
  <c r="AC27" i="73" s="1"/>
  <c r="HY27" i="77"/>
  <c r="AD27" i="73" s="1"/>
  <c r="AB295"/>
  <c r="AB209"/>
  <c r="AB11"/>
  <c r="Y11"/>
  <c r="Y468" s="1"/>
  <c r="Y466" s="1"/>
  <c r="Y64" i="74"/>
  <c r="IX64" i="77"/>
  <c r="Z64" i="74" s="1"/>
  <c r="AB73" i="73"/>
  <c r="HY73" i="77"/>
  <c r="AD73" i="73" s="1"/>
  <c r="HX73" i="77"/>
  <c r="AC73" i="73" s="1"/>
  <c r="Y239" i="74"/>
  <c r="AB50" i="73"/>
  <c r="HY50" i="77"/>
  <c r="AD50" i="73" s="1"/>
  <c r="HX50" i="77"/>
  <c r="AC50" i="73" s="1"/>
  <c r="AB13" i="74"/>
  <c r="Y13"/>
  <c r="AB93"/>
  <c r="Y93"/>
  <c r="AB372"/>
  <c r="Y372"/>
  <c r="AB187"/>
  <c r="Y187"/>
  <c r="AB40"/>
  <c r="Y40"/>
  <c r="AB242"/>
  <c r="Y242"/>
  <c r="IX66" i="77"/>
  <c r="Z66" i="74" s="1"/>
  <c r="Y66"/>
  <c r="Z18"/>
  <c r="Y18"/>
  <c r="AB57"/>
  <c r="Y57"/>
  <c r="AB89"/>
  <c r="Y89"/>
  <c r="Y68"/>
  <c r="IX68" i="77"/>
  <c r="Z68" i="74" s="1"/>
  <c r="AB253"/>
  <c r="Y253"/>
  <c r="Y240"/>
  <c r="AB244"/>
  <c r="Y244"/>
  <c r="AB33"/>
  <c r="Y33"/>
  <c r="AB365"/>
  <c r="Y365"/>
  <c r="AB38"/>
  <c r="Y38"/>
  <c r="Y80"/>
  <c r="IX80" i="77"/>
  <c r="Z80" i="74" s="1"/>
  <c r="AB148"/>
  <c r="Y148"/>
  <c r="AB65"/>
  <c r="Y65"/>
  <c r="Y230"/>
  <c r="AB402"/>
  <c r="Y402"/>
  <c r="AB24"/>
  <c r="Y24"/>
  <c r="AB21"/>
  <c r="Y21"/>
  <c r="HY286" i="77"/>
  <c r="HX286"/>
  <c r="AB16" i="74"/>
  <c r="Y16"/>
  <c r="Y185"/>
  <c r="AB420"/>
  <c r="Y420"/>
  <c r="Y106"/>
  <c r="AB247"/>
  <c r="Y247"/>
  <c r="Y51"/>
  <c r="Z51"/>
  <c r="Y419"/>
  <c r="V197" i="70"/>
  <c r="Z186" i="74"/>
  <c r="W149" i="69"/>
  <c r="HX449" i="77"/>
  <c r="AC449" i="73" s="1"/>
  <c r="AB287" i="74"/>
  <c r="Y194"/>
  <c r="AB231" i="73"/>
  <c r="AB179"/>
  <c r="Y171" i="74"/>
  <c r="AB41" i="73"/>
  <c r="AD41"/>
  <c r="AC41"/>
  <c r="AB72" i="74"/>
  <c r="Y72"/>
  <c r="AB55" i="73"/>
  <c r="HX55" i="77"/>
  <c r="AC55" i="73" s="1"/>
  <c r="HY55" i="77"/>
  <c r="AD55" i="73" s="1"/>
  <c r="AB262" i="74"/>
  <c r="Y14"/>
  <c r="Z14"/>
  <c r="AB444"/>
  <c r="Y444"/>
  <c r="Y143"/>
  <c r="AB257"/>
  <c r="Y257"/>
  <c r="AB442"/>
  <c r="Y442"/>
  <c r="AB47" i="73"/>
  <c r="HY47" i="77"/>
  <c r="AD47" i="73" s="1"/>
  <c r="HX47" i="77"/>
  <c r="AC47" i="73" s="1"/>
  <c r="AB199" i="74"/>
  <c r="Y199"/>
  <c r="AB64" i="73"/>
  <c r="HX64" i="77"/>
  <c r="AC64" i="73" s="1"/>
  <c r="HY64" i="77"/>
  <c r="AD64" i="73" s="1"/>
  <c r="IX54" i="77"/>
  <c r="Z54" i="74" s="1"/>
  <c r="Y54"/>
  <c r="Y119"/>
  <c r="Z119"/>
  <c r="AB95"/>
  <c r="Y95"/>
  <c r="Y413"/>
  <c r="Y195"/>
  <c r="Z195"/>
  <c r="AB384" i="73"/>
  <c r="AB372"/>
  <c r="AB441" i="74"/>
  <c r="Y441"/>
  <c r="AB421"/>
  <c r="Y421"/>
  <c r="AB30"/>
  <c r="Y30"/>
  <c r="AB242" i="73"/>
  <c r="HY242" i="77"/>
  <c r="AB66" i="73"/>
  <c r="HX66" i="77"/>
  <c r="AC66" i="73" s="1"/>
  <c r="HY66" i="77"/>
  <c r="AD66" i="73" s="1"/>
  <c r="Y384" i="74"/>
  <c r="Y222"/>
  <c r="AB57" i="73"/>
  <c r="HX57" i="77"/>
  <c r="AC57" i="73" s="1"/>
  <c r="HY57" i="77"/>
  <c r="AD57" i="73" s="1"/>
  <c r="Y154" i="74"/>
  <c r="AB68" i="73"/>
  <c r="HX68" i="77"/>
  <c r="AC68" i="73" s="1"/>
  <c r="HY68" i="77"/>
  <c r="AD68" i="73" s="1"/>
  <c r="Y254" i="74"/>
  <c r="Y159"/>
  <c r="Y259"/>
  <c r="Y412"/>
  <c r="AB263"/>
  <c r="Y132"/>
  <c r="Y237"/>
  <c r="Y205"/>
  <c r="AB246"/>
  <c r="Y246"/>
  <c r="AB354"/>
  <c r="Y354"/>
  <c r="AB80" i="73"/>
  <c r="HY80" i="77"/>
  <c r="HX80"/>
  <c r="Y92" i="74"/>
  <c r="AB34"/>
  <c r="Y34"/>
  <c r="AB148" i="73"/>
  <c r="AD148"/>
  <c r="Z142" i="74"/>
  <c r="Y142"/>
  <c r="Y376"/>
  <c r="Y457"/>
  <c r="IX457" i="77"/>
  <c r="Z457" i="74" s="1"/>
  <c r="Y217"/>
  <c r="Y225"/>
  <c r="Y71"/>
  <c r="Z71"/>
  <c r="AB282"/>
  <c r="IX282" i="77"/>
  <c r="Y45" i="74"/>
  <c r="IX45" i="77"/>
  <c r="Z45" i="74" s="1"/>
  <c r="Y201"/>
  <c r="Z201"/>
  <c r="AB82"/>
  <c r="Y82"/>
  <c r="AB23"/>
  <c r="Y23"/>
  <c r="Y20"/>
  <c r="IX20" i="77"/>
  <c r="Z20" i="74" s="1"/>
  <c r="AB106" i="73"/>
  <c r="AB132"/>
  <c r="AB12" i="74"/>
  <c r="Y12"/>
  <c r="Y39"/>
  <c r="IX39" i="77"/>
  <c r="Z39" i="74" s="1"/>
  <c r="Y395"/>
  <c r="IX395" i="77"/>
  <c r="Z395" i="74" s="1"/>
  <c r="AB51" i="73"/>
  <c r="AD51"/>
  <c r="AC51"/>
  <c r="AB218" i="74"/>
  <c r="Y218"/>
  <c r="W253" i="69"/>
  <c r="U246" i="70"/>
  <c r="GP278" i="77"/>
  <c r="GS278" s="1"/>
  <c r="AA102" i="65"/>
  <c r="Z192" i="70"/>
  <c r="Z211"/>
  <c r="BC209" i="77"/>
  <c r="Z209" i="65" s="1"/>
  <c r="AA78" i="71"/>
  <c r="HU268" i="77"/>
  <c r="Z371" i="72"/>
  <c r="HU275" i="77"/>
  <c r="HU282"/>
  <c r="EL364"/>
  <c r="Z364" i="70" s="1"/>
  <c r="Z116" i="72"/>
  <c r="Z391"/>
  <c r="AA291" i="68"/>
  <c r="EJ97" i="77"/>
  <c r="EM97" s="1"/>
  <c r="AB289" i="74"/>
  <c r="Y46"/>
  <c r="IX46" i="77"/>
  <c r="Z46" i="74" s="1"/>
  <c r="AB145"/>
  <c r="Y145"/>
  <c r="Y178"/>
  <c r="Y362"/>
  <c r="IX362" i="77"/>
  <c r="Z362" i="74" s="1"/>
  <c r="AB48"/>
  <c r="Y48"/>
  <c r="AB449"/>
  <c r="Y449"/>
  <c r="AB26"/>
  <c r="Y26"/>
  <c r="Y198"/>
  <c r="Z198"/>
  <c r="AB147"/>
  <c r="Y147"/>
  <c r="Y197"/>
  <c r="AB288"/>
  <c r="AB70"/>
  <c r="Y70"/>
  <c r="AB413" i="73"/>
  <c r="AB437"/>
  <c r="Y153" i="74"/>
  <c r="Z153"/>
  <c r="AB241" i="73"/>
  <c r="AB195"/>
  <c r="Y211" i="74"/>
  <c r="AB256"/>
  <c r="Y256"/>
  <c r="Y156"/>
  <c r="Z156"/>
  <c r="AB421" i="73"/>
  <c r="AC421"/>
  <c r="AD421"/>
  <c r="Y250" i="74"/>
  <c r="AB248"/>
  <c r="Y248"/>
  <c r="AB58"/>
  <c r="Y58"/>
  <c r="AB202"/>
  <c r="Y202"/>
  <c r="AB22"/>
  <c r="Y22"/>
  <c r="Z146"/>
  <c r="Y146"/>
  <c r="AB159" i="73"/>
  <c r="AB259"/>
  <c r="AB78" i="74"/>
  <c r="Y78"/>
  <c r="AB293"/>
  <c r="AB419" i="73"/>
  <c r="AB412"/>
  <c r="AB429" i="74"/>
  <c r="Y429"/>
  <c r="AB401"/>
  <c r="AC401"/>
  <c r="AD401"/>
  <c r="Z241"/>
  <c r="Y241"/>
  <c r="Y221"/>
  <c r="AB393"/>
  <c r="Y393"/>
  <c r="AB79"/>
  <c r="Y79"/>
  <c r="AB367"/>
  <c r="IX49" i="77"/>
  <c r="Z49" i="74" s="1"/>
  <c r="Y49"/>
  <c r="AB208"/>
  <c r="Y208"/>
  <c r="Y207"/>
  <c r="IX207" i="77"/>
  <c r="Z207" i="74" s="1"/>
  <c r="Y243"/>
  <c r="IX243" i="77"/>
  <c r="Z243" i="74" s="1"/>
  <c r="AB426"/>
  <c r="Y426"/>
  <c r="AB278" i="73"/>
  <c r="AB225"/>
  <c r="AB71"/>
  <c r="AC71"/>
  <c r="AD71"/>
  <c r="Y437" i="74"/>
  <c r="AB45" i="73"/>
  <c r="HY45" i="77"/>
  <c r="AD45" i="73" s="1"/>
  <c r="HX45" i="77"/>
  <c r="AC45" i="73" s="1"/>
  <c r="AB61" i="74"/>
  <c r="Y61"/>
  <c r="AB201" i="73"/>
  <c r="AB243"/>
  <c r="AB275" i="74"/>
  <c r="AB294"/>
  <c r="AB20" i="73"/>
  <c r="HY20" i="77"/>
  <c r="AD20" i="73" s="1"/>
  <c r="HX20" i="77"/>
  <c r="AC20" i="73" s="1"/>
  <c r="AB39"/>
  <c r="HY39" i="77"/>
  <c r="AD39" i="73" s="1"/>
  <c r="HX39" i="77"/>
  <c r="AC39" i="73" s="1"/>
  <c r="AB204" i="74"/>
  <c r="Y204"/>
  <c r="Y436"/>
  <c r="IX436" i="77"/>
  <c r="Z436" i="74" s="1"/>
  <c r="AB406"/>
  <c r="AB218" i="73"/>
  <c r="Y177" i="74"/>
  <c r="IX449" i="77"/>
  <c r="Z449" i="74" s="1"/>
  <c r="FS284" i="77"/>
  <c r="FR284"/>
  <c r="AC184" i="39"/>
  <c r="AC281"/>
  <c r="AC154"/>
  <c r="AC128"/>
  <c r="AC100"/>
  <c r="AC156" i="71"/>
  <c r="AC105"/>
  <c r="AD106" i="39"/>
  <c r="AD132"/>
  <c r="AC107"/>
  <c r="AC168"/>
  <c r="AC273"/>
  <c r="AC178"/>
  <c r="AC279"/>
  <c r="AC113"/>
  <c r="AC230"/>
  <c r="AC132"/>
  <c r="AC106"/>
  <c r="AD168"/>
  <c r="AD107"/>
  <c r="AD273"/>
  <c r="AD174"/>
  <c r="AD276"/>
  <c r="AD224"/>
  <c r="AD283"/>
  <c r="AD186"/>
  <c r="AD178"/>
  <c r="AD230"/>
  <c r="AD279"/>
  <c r="AD113"/>
  <c r="W193" i="70"/>
  <c r="W199" i="68"/>
  <c r="W376" i="70"/>
  <c r="AA165" i="69"/>
  <c r="Z140" i="73"/>
  <c r="HU354" i="77"/>
  <c r="Z354" i="73" s="1"/>
  <c r="Z143" i="68"/>
  <c r="Z153" i="73"/>
  <c r="Z176"/>
  <c r="AA383" i="70"/>
  <c r="AA264" i="74"/>
  <c r="AA102" i="69"/>
  <c r="U219" i="70"/>
  <c r="AC174" i="39"/>
  <c r="AC224"/>
  <c r="AC276"/>
  <c r="AC283"/>
  <c r="AC186"/>
  <c r="AD184"/>
  <c r="AD281"/>
  <c r="AD154"/>
  <c r="AD128"/>
  <c r="AD100"/>
  <c r="AD156" i="71"/>
  <c r="AD105"/>
  <c r="X272" i="74"/>
  <c r="X161"/>
  <c r="X277"/>
  <c r="X175"/>
  <c r="IX85" i="77"/>
  <c r="Z85" i="74" s="1"/>
  <c r="X85"/>
  <c r="Z162"/>
  <c r="X162"/>
  <c r="X157"/>
  <c r="X266"/>
  <c r="X132"/>
  <c r="X106"/>
  <c r="AA283"/>
  <c r="AA186"/>
  <c r="AA291"/>
  <c r="X291"/>
  <c r="X159"/>
  <c r="X259"/>
  <c r="IX293" i="77"/>
  <c r="X293" i="74"/>
  <c r="IX225" i="77"/>
  <c r="Z225" i="74" s="1"/>
  <c r="X225"/>
  <c r="X278"/>
  <c r="Z139"/>
  <c r="X139"/>
  <c r="X223"/>
  <c r="X172"/>
  <c r="X283"/>
  <c r="X186"/>
  <c r="W159"/>
  <c r="W259"/>
  <c r="Z163"/>
  <c r="X163"/>
  <c r="IX265" i="77"/>
  <c r="X265" i="74"/>
  <c r="Z109"/>
  <c r="X109"/>
  <c r="X395"/>
  <c r="IX386" i="77"/>
  <c r="Z386" i="74" s="1"/>
  <c r="X386"/>
  <c r="W157"/>
  <c r="W266"/>
  <c r="X130"/>
  <c r="X158"/>
  <c r="W231"/>
  <c r="W179"/>
  <c r="X134"/>
  <c r="X271"/>
  <c r="AA103"/>
  <c r="X103"/>
  <c r="X166"/>
  <c r="Z166"/>
  <c r="V157"/>
  <c r="V266"/>
  <c r="W148"/>
  <c r="V145"/>
  <c r="W145"/>
  <c r="V93"/>
  <c r="W239"/>
  <c r="W233"/>
  <c r="V239"/>
  <c r="V233"/>
  <c r="AA183"/>
  <c r="X183"/>
  <c r="AA360"/>
  <c r="X360"/>
  <c r="X174"/>
  <c r="X224"/>
  <c r="X276"/>
  <c r="AA114"/>
  <c r="X114"/>
  <c r="X168"/>
  <c r="X273"/>
  <c r="X107"/>
  <c r="AA271"/>
  <c r="AA134"/>
  <c r="AA172"/>
  <c r="AA223"/>
  <c r="AA164"/>
  <c r="X164"/>
  <c r="Z192"/>
  <c r="X285"/>
  <c r="Z167"/>
  <c r="X167"/>
  <c r="X284"/>
  <c r="X117"/>
  <c r="AA155"/>
  <c r="X155"/>
  <c r="IX202" i="77"/>
  <c r="Z202" i="74" s="1"/>
  <c r="X202"/>
  <c r="AA295"/>
  <c r="X295"/>
  <c r="V159"/>
  <c r="V259"/>
  <c r="AA189"/>
  <c r="X189"/>
  <c r="U95"/>
  <c r="U93"/>
  <c r="AA290"/>
  <c r="X290"/>
  <c r="X115"/>
  <c r="Z115"/>
  <c r="X176"/>
  <c r="Z176"/>
  <c r="AA381"/>
  <c r="AA389"/>
  <c r="V132"/>
  <c r="V106"/>
  <c r="X383"/>
  <c r="X116"/>
  <c r="X185"/>
  <c r="Z116"/>
  <c r="W132"/>
  <c r="W106"/>
  <c r="AA89"/>
  <c r="U92"/>
  <c r="V92"/>
  <c r="X136"/>
  <c r="X111"/>
  <c r="AA278"/>
  <c r="AA225"/>
  <c r="AA280"/>
  <c r="X280"/>
  <c r="Z140"/>
  <c r="X140"/>
  <c r="X281"/>
  <c r="X184"/>
  <c r="IX275" i="77"/>
  <c r="X275" i="74"/>
  <c r="AA377"/>
  <c r="X377"/>
  <c r="Z141"/>
  <c r="X141"/>
  <c r="X274"/>
  <c r="X108"/>
  <c r="X222"/>
  <c r="X171"/>
  <c r="V231"/>
  <c r="V179"/>
  <c r="X393"/>
  <c r="IX393" i="77"/>
  <c r="Z393" i="74" s="1"/>
  <c r="X102"/>
  <c r="Z102"/>
  <c r="IX296" i="77"/>
  <c r="X296" i="74"/>
  <c r="W92"/>
  <c r="V245"/>
  <c r="X237"/>
  <c r="X188"/>
  <c r="AA286"/>
  <c r="X286"/>
  <c r="U239"/>
  <c r="U233"/>
  <c r="AA380"/>
  <c r="X380"/>
  <c r="AA359"/>
  <c r="X359"/>
  <c r="AA184"/>
  <c r="AA281"/>
  <c r="X133"/>
  <c r="X269"/>
  <c r="Z177"/>
  <c r="X229"/>
  <c r="X177"/>
  <c r="IX372" i="77"/>
  <c r="Z372" i="74" s="1"/>
  <c r="X372"/>
  <c r="Z113"/>
  <c r="X279"/>
  <c r="X230"/>
  <c r="X178"/>
  <c r="X113"/>
  <c r="IX294" i="77"/>
  <c r="X294" i="74"/>
  <c r="AA263"/>
  <c r="X263"/>
  <c r="X160"/>
  <c r="X268"/>
  <c r="Z187"/>
  <c r="X187"/>
  <c r="X165"/>
  <c r="Z165"/>
  <c r="X379"/>
  <c r="IX379" i="77"/>
  <c r="Z379" i="74" s="1"/>
  <c r="X110"/>
  <c r="X173"/>
  <c r="AA282"/>
  <c r="JB282" i="77"/>
  <c r="AD282" i="74" s="1"/>
  <c r="JA282" i="77"/>
  <c r="AC282" i="74" s="1"/>
  <c r="X382"/>
  <c r="IX382" i="77"/>
  <c r="Z382" i="74" s="1"/>
  <c r="X267"/>
  <c r="IX267" i="77"/>
  <c r="X101" i="74"/>
  <c r="X261"/>
  <c r="X213"/>
  <c r="U231"/>
  <c r="U179"/>
  <c r="X118"/>
  <c r="X220"/>
  <c r="W245"/>
  <c r="W93"/>
  <c r="V148"/>
  <c r="V203" i="73"/>
  <c r="V183"/>
  <c r="V198"/>
  <c r="V175"/>
  <c r="V277"/>
  <c r="V245"/>
  <c r="V239"/>
  <c r="V207"/>
  <c r="V199"/>
  <c r="V384"/>
  <c r="V378"/>
  <c r="W120"/>
  <c r="W112"/>
  <c r="V145"/>
  <c r="V138"/>
  <c r="AA360"/>
  <c r="X360"/>
  <c r="HU84" i="77"/>
  <c r="Z84" i="73" s="1"/>
  <c r="X84"/>
  <c r="X136"/>
  <c r="X111"/>
  <c r="U203"/>
  <c r="U183"/>
  <c r="U244"/>
  <c r="U238"/>
  <c r="V186"/>
  <c r="V283"/>
  <c r="X141"/>
  <c r="X191"/>
  <c r="AA160"/>
  <c r="AA268"/>
  <c r="AD225"/>
  <c r="AD278"/>
  <c r="X108"/>
  <c r="X274"/>
  <c r="X222"/>
  <c r="X171"/>
  <c r="Z187"/>
  <c r="X187"/>
  <c r="AA78"/>
  <c r="X78"/>
  <c r="HU393" i="77"/>
  <c r="Z393" i="73" s="1"/>
  <c r="X393"/>
  <c r="X101"/>
  <c r="X261"/>
  <c r="X213"/>
  <c r="Z116"/>
  <c r="X185"/>
  <c r="X116"/>
  <c r="X271"/>
  <c r="X134"/>
  <c r="HU209" i="77"/>
  <c r="Z209" i="73" s="1"/>
  <c r="X295"/>
  <c r="X209"/>
  <c r="W141"/>
  <c r="W191"/>
  <c r="U120"/>
  <c r="U112"/>
  <c r="W253"/>
  <c r="U240"/>
  <c r="V240"/>
  <c r="U221"/>
  <c r="U232"/>
  <c r="W237"/>
  <c r="W188"/>
  <c r="Z131"/>
  <c r="X131"/>
  <c r="V237"/>
  <c r="V188"/>
  <c r="U250"/>
  <c r="U247"/>
  <c r="AA134"/>
  <c r="AA271"/>
  <c r="AA133"/>
  <c r="AA269"/>
  <c r="V383"/>
  <c r="V364"/>
  <c r="AC278"/>
  <c r="AC225"/>
  <c r="Z113"/>
  <c r="X230"/>
  <c r="X279"/>
  <c r="X178"/>
  <c r="X113"/>
  <c r="HU265" i="77"/>
  <c r="X265" i="73"/>
  <c r="Z167"/>
  <c r="X167"/>
  <c r="Z109"/>
  <c r="X109"/>
  <c r="Z192"/>
  <c r="X285"/>
  <c r="Z172"/>
  <c r="X223"/>
  <c r="X172"/>
  <c r="AA87"/>
  <c r="X87"/>
  <c r="AA155"/>
  <c r="X155"/>
  <c r="Z179"/>
  <c r="X179"/>
  <c r="X231"/>
  <c r="HU293" i="77"/>
  <c r="X293" i="73"/>
  <c r="AA189"/>
  <c r="X189"/>
  <c r="U383"/>
  <c r="U364"/>
  <c r="V251"/>
  <c r="W198"/>
  <c r="W277"/>
  <c r="W175"/>
  <c r="W221"/>
  <c r="W232"/>
  <c r="AA180"/>
  <c r="X180"/>
  <c r="W241"/>
  <c r="W235"/>
  <c r="V120"/>
  <c r="V112"/>
  <c r="W244"/>
  <c r="W238"/>
  <c r="W203"/>
  <c r="W183"/>
  <c r="W192"/>
  <c r="W162"/>
  <c r="W145"/>
  <c r="W138"/>
  <c r="AA114"/>
  <c r="X114"/>
  <c r="W207"/>
  <c r="W199"/>
  <c r="W384"/>
  <c r="W378"/>
  <c r="V221"/>
  <c r="V232"/>
  <c r="V241"/>
  <c r="V235"/>
  <c r="V244"/>
  <c r="V238"/>
  <c r="U145"/>
  <c r="U138"/>
  <c r="U241"/>
  <c r="U235"/>
  <c r="AC159"/>
  <c r="AC259"/>
  <c r="W283"/>
  <c r="W186"/>
  <c r="W383"/>
  <c r="W364"/>
  <c r="Z194"/>
  <c r="X287"/>
  <c r="AA195"/>
  <c r="X195"/>
  <c r="X110"/>
  <c r="X173"/>
  <c r="X130"/>
  <c r="X158"/>
  <c r="X215"/>
  <c r="X284"/>
  <c r="X117"/>
  <c r="AA102"/>
  <c r="X102"/>
  <c r="AA165"/>
  <c r="X165"/>
  <c r="Z106"/>
  <c r="X132"/>
  <c r="X106"/>
  <c r="X216"/>
  <c r="V141"/>
  <c r="V191"/>
  <c r="X281"/>
  <c r="X184"/>
  <c r="X270"/>
  <c r="U283"/>
  <c r="U186"/>
  <c r="W205"/>
  <c r="V376"/>
  <c r="HU263" i="77"/>
  <c r="X214" i="73"/>
  <c r="HU78" i="77"/>
  <c r="Z78" i="73" s="1"/>
  <c r="Z100"/>
  <c r="W247"/>
  <c r="W251"/>
  <c r="U384"/>
  <c r="X273"/>
  <c r="X168"/>
  <c r="X107"/>
  <c r="AA234"/>
  <c r="X234"/>
  <c r="AA286"/>
  <c r="X286"/>
  <c r="U207"/>
  <c r="U199"/>
  <c r="W242"/>
  <c r="W236"/>
  <c r="W245"/>
  <c r="W239"/>
  <c r="V192"/>
  <c r="V162"/>
  <c r="V242"/>
  <c r="V236"/>
  <c r="U242"/>
  <c r="U236"/>
  <c r="X174"/>
  <c r="X276"/>
  <c r="X224"/>
  <c r="V381"/>
  <c r="AD159"/>
  <c r="AD259"/>
  <c r="X252"/>
  <c r="X149"/>
  <c r="AA229"/>
  <c r="AA177"/>
  <c r="HS262" i="77"/>
  <c r="HU262" s="1"/>
  <c r="W262" i="73"/>
  <c r="Z166"/>
  <c r="X166"/>
  <c r="AA290"/>
  <c r="X290"/>
  <c r="U358"/>
  <c r="U376"/>
  <c r="Z160"/>
  <c r="X160"/>
  <c r="X268"/>
  <c r="AA157"/>
  <c r="AA266"/>
  <c r="AA159"/>
  <c r="AA259"/>
  <c r="U237"/>
  <c r="U188"/>
  <c r="AA153"/>
  <c r="HU89" i="77"/>
  <c r="Z89" i="73" s="1"/>
  <c r="HS382" i="77"/>
  <c r="HV382" s="1"/>
  <c r="V247" i="73"/>
  <c r="W240"/>
  <c r="X188" i="72"/>
  <c r="X237"/>
  <c r="X224"/>
  <c r="X174"/>
  <c r="X276"/>
  <c r="GR248" i="77"/>
  <c r="Z248" i="72" s="1"/>
  <c r="X248"/>
  <c r="Z182"/>
  <c r="X182"/>
  <c r="AA377"/>
  <c r="X377"/>
  <c r="AA159"/>
  <c r="AA259"/>
  <c r="X290"/>
  <c r="X203"/>
  <c r="AA283"/>
  <c r="AA186"/>
  <c r="AA185"/>
  <c r="AA116"/>
  <c r="AA275"/>
  <c r="X275"/>
  <c r="Z115"/>
  <c r="X115"/>
  <c r="AA135"/>
  <c r="X135"/>
  <c r="X295"/>
  <c r="X270"/>
  <c r="X219"/>
  <c r="GR265" i="77"/>
  <c r="X265" i="72"/>
  <c r="X160"/>
  <c r="X268"/>
  <c r="GR372" i="77"/>
  <c r="Z372" i="72" s="1"/>
  <c r="X372"/>
  <c r="X132"/>
  <c r="X106"/>
  <c r="X216"/>
  <c r="AA383"/>
  <c r="X383"/>
  <c r="AA291"/>
  <c r="X291"/>
  <c r="Z159"/>
  <c r="X159"/>
  <c r="X259"/>
  <c r="AA187"/>
  <c r="X187"/>
  <c r="GR288" i="77"/>
  <c r="X288" i="72"/>
  <c r="Z108"/>
  <c r="X274"/>
  <c r="X222"/>
  <c r="X108"/>
  <c r="X171"/>
  <c r="Z133"/>
  <c r="X133"/>
  <c r="X269"/>
  <c r="GP87" i="77"/>
  <c r="GS87" s="1"/>
  <c r="V87" i="72"/>
  <c r="V290"/>
  <c r="V203"/>
  <c r="X281"/>
  <c r="X184"/>
  <c r="U225"/>
  <c r="U278"/>
  <c r="X380"/>
  <c r="X388"/>
  <c r="W290"/>
  <c r="W203"/>
  <c r="V101"/>
  <c r="V261"/>
  <c r="V213"/>
  <c r="X437"/>
  <c r="AA207"/>
  <c r="X107"/>
  <c r="X168"/>
  <c r="X273"/>
  <c r="X277"/>
  <c r="X175"/>
  <c r="X157"/>
  <c r="X266"/>
  <c r="X101"/>
  <c r="X261"/>
  <c r="X394"/>
  <c r="X385"/>
  <c r="Z177"/>
  <c r="X229"/>
  <c r="X177"/>
  <c r="Z190"/>
  <c r="X190"/>
  <c r="AA354"/>
  <c r="X354"/>
  <c r="X225"/>
  <c r="X278"/>
  <c r="Z192"/>
  <c r="X285"/>
  <c r="X192"/>
  <c r="X185"/>
  <c r="X116"/>
  <c r="GR264" i="77"/>
  <c r="X264" i="72"/>
  <c r="W172"/>
  <c r="W223"/>
  <c r="X141"/>
  <c r="X191"/>
  <c r="AA381"/>
  <c r="AA389"/>
  <c r="X129"/>
  <c r="Z129"/>
  <c r="V394"/>
  <c r="V385"/>
  <c r="X227"/>
  <c r="GR227" i="77"/>
  <c r="Z227" i="72" s="1"/>
  <c r="U290"/>
  <c r="U203"/>
  <c r="X183"/>
  <c r="Z183"/>
  <c r="X413"/>
  <c r="GR207" i="77"/>
  <c r="Z207" i="72" s="1"/>
  <c r="Z216"/>
  <c r="AA391"/>
  <c r="AA115"/>
  <c r="W286"/>
  <c r="W193"/>
  <c r="AA184"/>
  <c r="AA281"/>
  <c r="AA108"/>
  <c r="AA171"/>
  <c r="AA274"/>
  <c r="AA222"/>
  <c r="AA263"/>
  <c r="X263"/>
  <c r="AA252"/>
  <c r="X252"/>
  <c r="AA103"/>
  <c r="X103"/>
  <c r="Z172"/>
  <c r="X172"/>
  <c r="X223"/>
  <c r="AA267"/>
  <c r="X267"/>
  <c r="GR282" i="77"/>
  <c r="X282" i="72"/>
  <c r="X158"/>
  <c r="X130"/>
  <c r="AA176"/>
  <c r="X176"/>
  <c r="AA153"/>
  <c r="X153"/>
  <c r="X117"/>
  <c r="X284"/>
  <c r="U271"/>
  <c r="U134"/>
  <c r="V223"/>
  <c r="V172"/>
  <c r="V244"/>
  <c r="V286"/>
  <c r="V193"/>
  <c r="X111"/>
  <c r="X136"/>
  <c r="AA133"/>
  <c r="AA269"/>
  <c r="AD461"/>
  <c r="AA461"/>
  <c r="AA278"/>
  <c r="AA225"/>
  <c r="AA285"/>
  <c r="AA192"/>
  <c r="Z164"/>
  <c r="X164"/>
  <c r="X110"/>
  <c r="X173"/>
  <c r="Z142"/>
  <c r="X142"/>
  <c r="Z165"/>
  <c r="X165"/>
  <c r="AA292"/>
  <c r="X292"/>
  <c r="AA140"/>
  <c r="X140"/>
  <c r="AA155"/>
  <c r="X155"/>
  <c r="AA189"/>
  <c r="X189"/>
  <c r="Z109"/>
  <c r="X109"/>
  <c r="X279"/>
  <c r="X178"/>
  <c r="X113"/>
  <c r="X230"/>
  <c r="Z163"/>
  <c r="X163"/>
  <c r="X283"/>
  <c r="X186"/>
  <c r="V271"/>
  <c r="V134"/>
  <c r="GR386" i="77"/>
  <c r="Z386" i="72" s="1"/>
  <c r="X395"/>
  <c r="X386"/>
  <c r="Z100"/>
  <c r="X154"/>
  <c r="X231"/>
  <c r="X179"/>
  <c r="U172"/>
  <c r="U223"/>
  <c r="W101"/>
  <c r="W261"/>
  <c r="W213"/>
  <c r="W271"/>
  <c r="W134"/>
  <c r="X162"/>
  <c r="Z162"/>
  <c r="X272"/>
  <c r="X161"/>
  <c r="Z161"/>
  <c r="V225"/>
  <c r="V278"/>
  <c r="AA104"/>
  <c r="X104"/>
  <c r="W394"/>
  <c r="W385"/>
  <c r="W278"/>
  <c r="W225"/>
  <c r="W244"/>
  <c r="W174" i="71"/>
  <c r="W276"/>
  <c r="W224"/>
  <c r="V120"/>
  <c r="V112"/>
  <c r="W272"/>
  <c r="W161"/>
  <c r="W220"/>
  <c r="V142"/>
  <c r="V131"/>
  <c r="W120"/>
  <c r="W112"/>
  <c r="FO232" i="77"/>
  <c r="Z232" i="71" s="1"/>
  <c r="X232"/>
  <c r="U95"/>
  <c r="U93"/>
  <c r="U248"/>
  <c r="U245"/>
  <c r="AA160"/>
  <c r="AA268"/>
  <c r="Z189"/>
  <c r="X189"/>
  <c r="X101"/>
  <c r="X261"/>
  <c r="FO385" i="77"/>
  <c r="Z385" i="71" s="1"/>
  <c r="X394"/>
  <c r="X385"/>
  <c r="Z106"/>
  <c r="X132"/>
  <c r="X106"/>
  <c r="X173"/>
  <c r="X110"/>
  <c r="FO296" i="77"/>
  <c r="X296" i="71"/>
  <c r="X383"/>
  <c r="X364"/>
  <c r="X160"/>
  <c r="X268"/>
  <c r="AA153"/>
  <c r="X153"/>
  <c r="X252"/>
  <c r="X281"/>
  <c r="X184"/>
  <c r="X289"/>
  <c r="FO289" i="77"/>
  <c r="V145" i="71"/>
  <c r="U92"/>
  <c r="U96"/>
  <c r="W92"/>
  <c r="W93"/>
  <c r="W209"/>
  <c r="V81"/>
  <c r="X175"/>
  <c r="X277"/>
  <c r="X107"/>
  <c r="X273"/>
  <c r="X168"/>
  <c r="W242"/>
  <c r="W236"/>
  <c r="W149"/>
  <c r="W148"/>
  <c r="X111"/>
  <c r="X136"/>
  <c r="U239"/>
  <c r="U233"/>
  <c r="X116"/>
  <c r="X185"/>
  <c r="AA279"/>
  <c r="AA178"/>
  <c r="AA230"/>
  <c r="AA113"/>
  <c r="AD173"/>
  <c r="AA173"/>
  <c r="AA110"/>
  <c r="AA274"/>
  <c r="AA222"/>
  <c r="AA171"/>
  <c r="AA108"/>
  <c r="Z172"/>
  <c r="X223"/>
  <c r="X172"/>
  <c r="Z177"/>
  <c r="X177"/>
  <c r="X229"/>
  <c r="Z113"/>
  <c r="X113"/>
  <c r="X279"/>
  <c r="X178"/>
  <c r="X230"/>
  <c r="FO386" i="77"/>
  <c r="Z386" i="71" s="1"/>
  <c r="X395"/>
  <c r="X386"/>
  <c r="Z134"/>
  <c r="X134"/>
  <c r="X271"/>
  <c r="W187"/>
  <c r="FM209" i="77"/>
  <c r="V295" i="71"/>
  <c r="V129"/>
  <c r="X159"/>
  <c r="X259"/>
  <c r="Z159"/>
  <c r="FO384" i="77"/>
  <c r="Z384" i="71" s="1"/>
  <c r="V93"/>
  <c r="V82"/>
  <c r="V92"/>
  <c r="V174"/>
  <c r="V276"/>
  <c r="V224"/>
  <c r="V161"/>
  <c r="V272"/>
  <c r="V220"/>
  <c r="U149"/>
  <c r="U148"/>
  <c r="U254"/>
  <c r="U253"/>
  <c r="V149"/>
  <c r="V148"/>
  <c r="AA114"/>
  <c r="X114"/>
  <c r="U120"/>
  <c r="U112"/>
  <c r="X285"/>
  <c r="X274"/>
  <c r="X222"/>
  <c r="X171"/>
  <c r="X108"/>
  <c r="FO372" i="77"/>
  <c r="Z372" i="71" s="1"/>
  <c r="X372"/>
  <c r="X283"/>
  <c r="X186"/>
  <c r="FO262" i="77"/>
  <c r="X262" i="71"/>
  <c r="FO87" i="77"/>
  <c r="Z87" i="71" s="1"/>
  <c r="X87"/>
  <c r="AA294"/>
  <c r="X294"/>
  <c r="X117"/>
  <c r="X284"/>
  <c r="Z133"/>
  <c r="X133"/>
  <c r="X269"/>
  <c r="AA139"/>
  <c r="X139"/>
  <c r="X381"/>
  <c r="X389"/>
  <c r="AA190"/>
  <c r="X190"/>
  <c r="U177"/>
  <c r="U229"/>
  <c r="AA157"/>
  <c r="AA266"/>
  <c r="FM267" i="77"/>
  <c r="AA166" i="71"/>
  <c r="Z144"/>
  <c r="Z110"/>
  <c r="W82"/>
  <c r="W96"/>
  <c r="V96"/>
  <c r="W245"/>
  <c r="W145"/>
  <c r="W239"/>
  <c r="W233"/>
  <c r="W142"/>
  <c r="W131"/>
  <c r="U224"/>
  <c r="U174"/>
  <c r="U276"/>
  <c r="V242"/>
  <c r="V236"/>
  <c r="Z138"/>
  <c r="X138"/>
  <c r="X278"/>
  <c r="X225"/>
  <c r="FM293" i="77"/>
  <c r="FO293" s="1"/>
  <c r="V293" i="71"/>
  <c r="AA281"/>
  <c r="AA184"/>
  <c r="AA186"/>
  <c r="AA283"/>
  <c r="AA393"/>
  <c r="X393"/>
  <c r="X179"/>
  <c r="X231"/>
  <c r="AA243"/>
  <c r="X243"/>
  <c r="X158"/>
  <c r="X130"/>
  <c r="V229"/>
  <c r="V177"/>
  <c r="X290"/>
  <c r="X122"/>
  <c r="X167"/>
  <c r="Z167"/>
  <c r="W177"/>
  <c r="W229"/>
  <c r="V245"/>
  <c r="U145"/>
  <c r="U209"/>
  <c r="W253"/>
  <c r="U82"/>
  <c r="W81"/>
  <c r="W237" i="70"/>
  <c r="W188"/>
  <c r="V273"/>
  <c r="V168"/>
  <c r="V107"/>
  <c r="W251"/>
  <c r="W248"/>
  <c r="V195"/>
  <c r="V169"/>
  <c r="V121"/>
  <c r="V114"/>
  <c r="V91"/>
  <c r="V88"/>
  <c r="W240"/>
  <c r="W234"/>
  <c r="W90"/>
  <c r="W86"/>
  <c r="X277"/>
  <c r="X175"/>
  <c r="V384"/>
  <c r="V378"/>
  <c r="V202"/>
  <c r="V182"/>
  <c r="V220"/>
  <c r="V228"/>
  <c r="V201"/>
  <c r="V181"/>
  <c r="W362"/>
  <c r="W359"/>
  <c r="V371"/>
  <c r="V369"/>
  <c r="U195"/>
  <c r="U169"/>
  <c r="V281"/>
  <c r="V184"/>
  <c r="AA284"/>
  <c r="AA117"/>
  <c r="AA229"/>
  <c r="AA177"/>
  <c r="X160"/>
  <c r="X268"/>
  <c r="X133"/>
  <c r="X269"/>
  <c r="X101"/>
  <c r="X261"/>
  <c r="EL354" i="77"/>
  <c r="Z354" i="70" s="1"/>
  <c r="X354"/>
  <c r="W231"/>
  <c r="W179"/>
  <c r="X284"/>
  <c r="X117"/>
  <c r="EO225" i="77"/>
  <c r="X225" i="70"/>
  <c r="X278"/>
  <c r="AA395"/>
  <c r="X395"/>
  <c r="V283"/>
  <c r="V186"/>
  <c r="V230"/>
  <c r="V178"/>
  <c r="V279"/>
  <c r="V113"/>
  <c r="Z100"/>
  <c r="X154"/>
  <c r="V271"/>
  <c r="V134"/>
  <c r="W173"/>
  <c r="W110"/>
  <c r="W130"/>
  <c r="W158"/>
  <c r="W133"/>
  <c r="W269"/>
  <c r="U184"/>
  <c r="U281"/>
  <c r="U286"/>
  <c r="U193"/>
  <c r="U271"/>
  <c r="U134"/>
  <c r="V133"/>
  <c r="V269"/>
  <c r="U106"/>
  <c r="U132"/>
  <c r="W147"/>
  <c r="U90"/>
  <c r="V192"/>
  <c r="W219"/>
  <c r="W227"/>
  <c r="V364"/>
  <c r="V361"/>
  <c r="V218"/>
  <c r="V226"/>
  <c r="W201"/>
  <c r="W181"/>
  <c r="V196"/>
  <c r="V170"/>
  <c r="W220"/>
  <c r="W228"/>
  <c r="V90"/>
  <c r="V86"/>
  <c r="U200"/>
  <c r="U180"/>
  <c r="W218"/>
  <c r="W226"/>
  <c r="W371"/>
  <c r="W369"/>
  <c r="X224"/>
  <c r="X276"/>
  <c r="X174"/>
  <c r="U372"/>
  <c r="U370"/>
  <c r="U196"/>
  <c r="U170"/>
  <c r="U384"/>
  <c r="U378"/>
  <c r="AA129"/>
  <c r="X129"/>
  <c r="V190"/>
  <c r="V164"/>
  <c r="V106"/>
  <c r="V132"/>
  <c r="AA171"/>
  <c r="AA274"/>
  <c r="AA222"/>
  <c r="AA108"/>
  <c r="V223"/>
  <c r="V172"/>
  <c r="X393"/>
  <c r="X116"/>
  <c r="X185"/>
  <c r="EL379" i="77"/>
  <c r="Z379" i="70" s="1"/>
  <c r="X379"/>
  <c r="W160"/>
  <c r="W268"/>
  <c r="EJ267" i="77"/>
  <c r="EM267" s="1"/>
  <c r="W267" i="70"/>
  <c r="W271"/>
  <c r="W134"/>
  <c r="U230"/>
  <c r="U178"/>
  <c r="U279"/>
  <c r="U113"/>
  <c r="V173"/>
  <c r="V110"/>
  <c r="V231"/>
  <c r="V179"/>
  <c r="V274"/>
  <c r="V222"/>
  <c r="V171"/>
  <c r="V108"/>
  <c r="U223"/>
  <c r="U172"/>
  <c r="W101"/>
  <c r="W261"/>
  <c r="U202"/>
  <c r="U182"/>
  <c r="U186"/>
  <c r="U283"/>
  <c r="V158"/>
  <c r="V130"/>
  <c r="W274"/>
  <c r="W222"/>
  <c r="W171"/>
  <c r="W108"/>
  <c r="W249"/>
  <c r="AA241"/>
  <c r="EL280" i="77"/>
  <c r="Z117" i="70"/>
  <c r="AA141"/>
  <c r="EL265" i="77"/>
  <c r="EL278"/>
  <c r="EJ425"/>
  <c r="EM425" s="1"/>
  <c r="W203" i="70"/>
  <c r="W192"/>
  <c r="V147"/>
  <c r="U242"/>
  <c r="V221"/>
  <c r="W244"/>
  <c r="U244"/>
  <c r="W200"/>
  <c r="W180"/>
  <c r="V136"/>
  <c r="V111"/>
  <c r="U220"/>
  <c r="U228"/>
  <c r="W195"/>
  <c r="W169"/>
  <c r="W121"/>
  <c r="W114"/>
  <c r="V363"/>
  <c r="V360"/>
  <c r="W168"/>
  <c r="W273"/>
  <c r="W107"/>
  <c r="W91"/>
  <c r="W88"/>
  <c r="U237"/>
  <c r="U188"/>
  <c r="V219"/>
  <c r="V227"/>
  <c r="V237"/>
  <c r="V188"/>
  <c r="W372"/>
  <c r="W370"/>
  <c r="W363"/>
  <c r="W360"/>
  <c r="W364"/>
  <c r="W361"/>
  <c r="V89"/>
  <c r="V85"/>
  <c r="W384"/>
  <c r="W378"/>
  <c r="W202"/>
  <c r="W182"/>
  <c r="V81"/>
  <c r="V83"/>
  <c r="U136"/>
  <c r="U111"/>
  <c r="U218"/>
  <c r="U226"/>
  <c r="U91"/>
  <c r="U88"/>
  <c r="U81"/>
  <c r="U83"/>
  <c r="U371"/>
  <c r="U369"/>
  <c r="W172"/>
  <c r="W223"/>
  <c r="X173"/>
  <c r="X110"/>
  <c r="X158"/>
  <c r="X130"/>
  <c r="W132"/>
  <c r="W106"/>
  <c r="W281"/>
  <c r="W184"/>
  <c r="AA159"/>
  <c r="AA259"/>
  <c r="EL382" i="77"/>
  <c r="Z382" i="70" s="1"/>
  <c r="X382"/>
  <c r="Z177"/>
  <c r="X229"/>
  <c r="X177"/>
  <c r="X270"/>
  <c r="V270"/>
  <c r="X189"/>
  <c r="W189"/>
  <c r="EL296" i="77"/>
  <c r="X296" i="70"/>
  <c r="X139"/>
  <c r="W139"/>
  <c r="V160"/>
  <c r="V268"/>
  <c r="U362"/>
  <c r="U359"/>
  <c r="EJ294" i="77"/>
  <c r="W294" i="70"/>
  <c r="X109"/>
  <c r="W109"/>
  <c r="Z187"/>
  <c r="X187"/>
  <c r="U231"/>
  <c r="U179"/>
  <c r="V101"/>
  <c r="V261"/>
  <c r="U273"/>
  <c r="U168"/>
  <c r="U107"/>
  <c r="V185"/>
  <c r="V116"/>
  <c r="V229"/>
  <c r="V177"/>
  <c r="U173"/>
  <c r="U110"/>
  <c r="W185"/>
  <c r="W116"/>
  <c r="V193"/>
  <c r="U249"/>
  <c r="U376"/>
  <c r="EL222" i="77"/>
  <c r="Z222" i="70" s="1"/>
  <c r="AA285"/>
  <c r="EL78" i="77"/>
  <c r="Z78" i="70" s="1"/>
  <c r="Z141"/>
  <c r="X214"/>
  <c r="Z143"/>
  <c r="W221"/>
  <c r="W242"/>
  <c r="V203"/>
  <c r="W136"/>
  <c r="W111"/>
  <c r="V372"/>
  <c r="V370"/>
  <c r="V362"/>
  <c r="V359"/>
  <c r="W89"/>
  <c r="W85"/>
  <c r="V240"/>
  <c r="V234"/>
  <c r="V251"/>
  <c r="V248"/>
  <c r="W196"/>
  <c r="W170"/>
  <c r="W81"/>
  <c r="W83"/>
  <c r="U240"/>
  <c r="U234"/>
  <c r="X272"/>
  <c r="X161"/>
  <c r="U89"/>
  <c r="U85"/>
  <c r="U148"/>
  <c r="U147"/>
  <c r="X271"/>
  <c r="X134"/>
  <c r="EO57" i="77"/>
  <c r="AC57" i="70" s="1"/>
  <c r="AA57"/>
  <c r="AA140"/>
  <c r="X140"/>
  <c r="EL288" i="77"/>
  <c r="X288" i="70"/>
  <c r="X274"/>
  <c r="X222"/>
  <c r="X171"/>
  <c r="X108"/>
  <c r="Z103"/>
  <c r="X103"/>
  <c r="W279"/>
  <c r="W230"/>
  <c r="W113"/>
  <c r="W178"/>
  <c r="AA295"/>
  <c r="X295"/>
  <c r="U229"/>
  <c r="U177"/>
  <c r="V284"/>
  <c r="V117"/>
  <c r="W283"/>
  <c r="W186"/>
  <c r="W284"/>
  <c r="W117"/>
  <c r="W229"/>
  <c r="W177"/>
  <c r="W197"/>
  <c r="V249"/>
  <c r="Z142"/>
  <c r="V244"/>
  <c r="V242"/>
  <c r="W97"/>
  <c r="U192" i="69"/>
  <c r="U162"/>
  <c r="V221"/>
  <c r="V232"/>
  <c r="W198"/>
  <c r="W277"/>
  <c r="W175"/>
  <c r="W120"/>
  <c r="W112"/>
  <c r="U358"/>
  <c r="U376"/>
  <c r="W244"/>
  <c r="W238"/>
  <c r="V220"/>
  <c r="V228"/>
  <c r="V120"/>
  <c r="V112"/>
  <c r="W142"/>
  <c r="W131"/>
  <c r="W220"/>
  <c r="W228"/>
  <c r="W144"/>
  <c r="W137"/>
  <c r="V364"/>
  <c r="V361"/>
  <c r="V111"/>
  <c r="V136"/>
  <c r="U198"/>
  <c r="U277"/>
  <c r="U175"/>
  <c r="U241"/>
  <c r="U235"/>
  <c r="X237"/>
  <c r="X188"/>
  <c r="U200"/>
  <c r="U180"/>
  <c r="U220"/>
  <c r="U228"/>
  <c r="U371"/>
  <c r="U369"/>
  <c r="U148"/>
  <c r="U147"/>
  <c r="U250"/>
  <c r="U247"/>
  <c r="V133"/>
  <c r="V269"/>
  <c r="V274"/>
  <c r="V222"/>
  <c r="V171"/>
  <c r="V108"/>
  <c r="X158"/>
  <c r="X130"/>
  <c r="V160"/>
  <c r="V268"/>
  <c r="W160"/>
  <c r="W268"/>
  <c r="W133"/>
  <c r="W269"/>
  <c r="AA155"/>
  <c r="X155"/>
  <c r="X288"/>
  <c r="DI225" i="77"/>
  <c r="Z225" i="69" s="1"/>
  <c r="X225"/>
  <c r="X278"/>
  <c r="DI262" i="77"/>
  <c r="X262" i="69"/>
  <c r="V394"/>
  <c r="V385"/>
  <c r="W394"/>
  <c r="W385"/>
  <c r="W159"/>
  <c r="W259"/>
  <c r="V281"/>
  <c r="V184"/>
  <c r="U242"/>
  <c r="U236"/>
  <c r="W284"/>
  <c r="W117"/>
  <c r="V278"/>
  <c r="V225"/>
  <c r="U160"/>
  <c r="U268"/>
  <c r="V96"/>
  <c r="W205"/>
  <c r="V95"/>
  <c r="W247"/>
  <c r="U246"/>
  <c r="V90"/>
  <c r="V239"/>
  <c r="V195"/>
  <c r="V169"/>
  <c r="V372"/>
  <c r="V370"/>
  <c r="W195"/>
  <c r="W169"/>
  <c r="W372"/>
  <c r="W370"/>
  <c r="W145"/>
  <c r="W138"/>
  <c r="W196"/>
  <c r="W170"/>
  <c r="W81"/>
  <c r="W83"/>
  <c r="V196"/>
  <c r="V170"/>
  <c r="V82"/>
  <c r="V84"/>
  <c r="V201"/>
  <c r="V181"/>
  <c r="V207"/>
  <c r="V199"/>
  <c r="V218"/>
  <c r="V226"/>
  <c r="W242"/>
  <c r="W236"/>
  <c r="V362"/>
  <c r="V359"/>
  <c r="V81"/>
  <c r="V83"/>
  <c r="V200"/>
  <c r="V180"/>
  <c r="W221"/>
  <c r="W232"/>
  <c r="W272"/>
  <c r="W161"/>
  <c r="V371"/>
  <c r="V369"/>
  <c r="U144"/>
  <c r="U137"/>
  <c r="U142"/>
  <c r="U131"/>
  <c r="AA129"/>
  <c r="X129"/>
  <c r="AA101"/>
  <c r="AA261"/>
  <c r="DL360" i="77"/>
  <c r="AA360" i="69"/>
  <c r="X283"/>
  <c r="X186"/>
  <c r="W274"/>
  <c r="W222"/>
  <c r="W171"/>
  <c r="W108"/>
  <c r="X156"/>
  <c r="X105"/>
  <c r="X394"/>
  <c r="X385"/>
  <c r="Z106"/>
  <c r="X132"/>
  <c r="X106"/>
  <c r="X166"/>
  <c r="DG265" i="77"/>
  <c r="DJ265" s="1"/>
  <c r="V265" i="69"/>
  <c r="DI393" i="77"/>
  <c r="Z393" i="69" s="1"/>
  <c r="X393"/>
  <c r="Z159"/>
  <c r="X159"/>
  <c r="X259"/>
  <c r="DG209" i="77"/>
  <c r="V295" i="69"/>
  <c r="U362"/>
  <c r="U359"/>
  <c r="Z116"/>
  <c r="X185"/>
  <c r="X116"/>
  <c r="V158"/>
  <c r="V130"/>
  <c r="W158"/>
  <c r="W130"/>
  <c r="AC381"/>
  <c r="AA381"/>
  <c r="AD381"/>
  <c r="U230"/>
  <c r="U178"/>
  <c r="U279"/>
  <c r="U113"/>
  <c r="W157"/>
  <c r="W266"/>
  <c r="U274"/>
  <c r="U222"/>
  <c r="U171"/>
  <c r="U108"/>
  <c r="U218"/>
  <c r="U226"/>
  <c r="DG382" i="77"/>
  <c r="DJ382" s="1"/>
  <c r="W90" i="69"/>
  <c r="U239"/>
  <c r="W95"/>
  <c r="W89"/>
  <c r="W85"/>
  <c r="W362"/>
  <c r="W359"/>
  <c r="V142"/>
  <c r="V131"/>
  <c r="W200"/>
  <c r="W180"/>
  <c r="W364"/>
  <c r="W361"/>
  <c r="W218"/>
  <c r="W226"/>
  <c r="W219"/>
  <c r="W227"/>
  <c r="V144"/>
  <c r="V137"/>
  <c r="U195"/>
  <c r="U169"/>
  <c r="W192"/>
  <c r="W162"/>
  <c r="W111"/>
  <c r="W136"/>
  <c r="V219"/>
  <c r="V227"/>
  <c r="W241"/>
  <c r="W235"/>
  <c r="W201"/>
  <c r="W181"/>
  <c r="U82"/>
  <c r="U84"/>
  <c r="U221"/>
  <c r="U232"/>
  <c r="U240"/>
  <c r="U234"/>
  <c r="U244"/>
  <c r="U238"/>
  <c r="U96"/>
  <c r="U95"/>
  <c r="X284"/>
  <c r="X117"/>
  <c r="V173"/>
  <c r="V110"/>
  <c r="DG87" i="77"/>
  <c r="V87" i="69"/>
  <c r="AA159"/>
  <c r="AA259"/>
  <c r="W173"/>
  <c r="W110"/>
  <c r="W279"/>
  <c r="W230"/>
  <c r="W178"/>
  <c r="W113"/>
  <c r="X282"/>
  <c r="X231"/>
  <c r="X179"/>
  <c r="Z187"/>
  <c r="X187"/>
  <c r="X281"/>
  <c r="X184"/>
  <c r="X290"/>
  <c r="AA263"/>
  <c r="X263"/>
  <c r="U120"/>
  <c r="U112"/>
  <c r="X141"/>
  <c r="W141"/>
  <c r="X223"/>
  <c r="X172"/>
  <c r="V159"/>
  <c r="V259"/>
  <c r="V156"/>
  <c r="V105"/>
  <c r="U156"/>
  <c r="U105"/>
  <c r="W156"/>
  <c r="W105"/>
  <c r="U196"/>
  <c r="U170"/>
  <c r="W281"/>
  <c r="W184"/>
  <c r="V157"/>
  <c r="V266"/>
  <c r="U173"/>
  <c r="U110"/>
  <c r="U136"/>
  <c r="U111"/>
  <c r="U276"/>
  <c r="U174"/>
  <c r="U224"/>
  <c r="U271"/>
  <c r="U134"/>
  <c r="V205"/>
  <c r="U197"/>
  <c r="DM79" i="77"/>
  <c r="V247" i="69"/>
  <c r="U90"/>
  <c r="V145"/>
  <c r="V138"/>
  <c r="W121"/>
  <c r="W114"/>
  <c r="V272"/>
  <c r="V161"/>
  <c r="W358"/>
  <c r="W376"/>
  <c r="V240"/>
  <c r="V234"/>
  <c r="V121"/>
  <c r="V114"/>
  <c r="W207"/>
  <c r="W199"/>
  <c r="V192"/>
  <c r="V162"/>
  <c r="U161"/>
  <c r="U272"/>
  <c r="V198"/>
  <c r="V277"/>
  <c r="V175"/>
  <c r="W240"/>
  <c r="W234"/>
  <c r="U219"/>
  <c r="U227"/>
  <c r="W82"/>
  <c r="W84"/>
  <c r="V244"/>
  <c r="V238"/>
  <c r="V241"/>
  <c r="V235"/>
  <c r="V358"/>
  <c r="V376"/>
  <c r="V89"/>
  <c r="V85"/>
  <c r="U372"/>
  <c r="U370"/>
  <c r="W371"/>
  <c r="W369"/>
  <c r="W224"/>
  <c r="W276"/>
  <c r="W174"/>
  <c r="W273"/>
  <c r="W168"/>
  <c r="W107"/>
  <c r="V276"/>
  <c r="V174"/>
  <c r="V224"/>
  <c r="U145"/>
  <c r="U138"/>
  <c r="V168"/>
  <c r="V273"/>
  <c r="V107"/>
  <c r="U81"/>
  <c r="U83"/>
  <c r="AA118"/>
  <c r="X286"/>
  <c r="U364"/>
  <c r="U361"/>
  <c r="U89"/>
  <c r="U85"/>
  <c r="X157"/>
  <c r="X266"/>
  <c r="DL380" i="77"/>
  <c r="AA380" i="69"/>
  <c r="AA388"/>
  <c r="DG264" i="77"/>
  <c r="DJ264" s="1"/>
  <c r="V264" i="69"/>
  <c r="V279"/>
  <c r="V230"/>
  <c r="V178"/>
  <c r="V113"/>
  <c r="AA281"/>
  <c r="AA184"/>
  <c r="Z164"/>
  <c r="X164"/>
  <c r="Z115"/>
  <c r="X115"/>
  <c r="X229"/>
  <c r="X177"/>
  <c r="X140"/>
  <c r="V140"/>
  <c r="Z167"/>
  <c r="X167"/>
  <c r="Z101"/>
  <c r="X101"/>
  <c r="X261"/>
  <c r="W271"/>
  <c r="W134"/>
  <c r="Z163"/>
  <c r="X163"/>
  <c r="U154"/>
  <c r="U100"/>
  <c r="W225"/>
  <c r="W278"/>
  <c r="V284"/>
  <c r="V117"/>
  <c r="U159"/>
  <c r="U259"/>
  <c r="U133"/>
  <c r="U269"/>
  <c r="V271"/>
  <c r="V134"/>
  <c r="V253"/>
  <c r="W251"/>
  <c r="V246"/>
  <c r="U253"/>
  <c r="U199"/>
  <c r="V147"/>
  <c r="W147"/>
  <c r="W239"/>
  <c r="U251"/>
  <c r="V149"/>
  <c r="V239" i="68"/>
  <c r="V233"/>
  <c r="V202"/>
  <c r="V182"/>
  <c r="V364"/>
  <c r="V361"/>
  <c r="V363"/>
  <c r="V360"/>
  <c r="W219"/>
  <c r="W227"/>
  <c r="W203"/>
  <c r="W183"/>
  <c r="V244"/>
  <c r="V238"/>
  <c r="W91"/>
  <c r="W88"/>
  <c r="Z170"/>
  <c r="X170"/>
  <c r="W145"/>
  <c r="W138"/>
  <c r="U161"/>
  <c r="U272"/>
  <c r="U220"/>
  <c r="W224"/>
  <c r="W276"/>
  <c r="W174"/>
  <c r="U241"/>
  <c r="U235"/>
  <c r="X380"/>
  <c r="U145"/>
  <c r="U138"/>
  <c r="U221"/>
  <c r="U232"/>
  <c r="W157"/>
  <c r="W266"/>
  <c r="W285"/>
  <c r="AA172"/>
  <c r="AA223"/>
  <c r="X177"/>
  <c r="X229"/>
  <c r="AA284"/>
  <c r="AA117"/>
  <c r="V160"/>
  <c r="V268"/>
  <c r="W132"/>
  <c r="W106"/>
  <c r="X156"/>
  <c r="X105"/>
  <c r="CF385" i="77"/>
  <c r="Z385" i="68" s="1"/>
  <c r="X394"/>
  <c r="CF267" i="77"/>
  <c r="X267" i="68"/>
  <c r="Z101"/>
  <c r="X101"/>
  <c r="X261"/>
  <c r="CF209" i="77"/>
  <c r="Z209" i="68" s="1"/>
  <c r="X295"/>
  <c r="X209"/>
  <c r="Z179"/>
  <c r="X231"/>
  <c r="X179"/>
  <c r="AA377"/>
  <c r="X377"/>
  <c r="Z141"/>
  <c r="X141"/>
  <c r="V278"/>
  <c r="V225"/>
  <c r="V281"/>
  <c r="V184"/>
  <c r="W281"/>
  <c r="W184"/>
  <c r="W185"/>
  <c r="W116"/>
  <c r="W295"/>
  <c r="W209"/>
  <c r="CD372" i="77"/>
  <c r="CG372" s="1"/>
  <c r="W372" i="68"/>
  <c r="X173"/>
  <c r="X110"/>
  <c r="U203"/>
  <c r="U183"/>
  <c r="U278"/>
  <c r="U225"/>
  <c r="U154"/>
  <c r="U128"/>
  <c r="U178"/>
  <c r="U279"/>
  <c r="U230"/>
  <c r="U113"/>
  <c r="V274"/>
  <c r="V171"/>
  <c r="V222"/>
  <c r="V108"/>
  <c r="V295"/>
  <c r="V209"/>
  <c r="U157"/>
  <c r="U266"/>
  <c r="U222"/>
  <c r="U274"/>
  <c r="U171"/>
  <c r="U108"/>
  <c r="V156"/>
  <c r="V105"/>
  <c r="W133"/>
  <c r="W269"/>
  <c r="W248"/>
  <c r="W245"/>
  <c r="V245"/>
  <c r="U248"/>
  <c r="W205"/>
  <c r="V95"/>
  <c r="W247"/>
  <c r="U218"/>
  <c r="V242"/>
  <c r="V384"/>
  <c r="W254"/>
  <c r="W242"/>
  <c r="V254"/>
  <c r="W192"/>
  <c r="W162"/>
  <c r="V90"/>
  <c r="V86"/>
  <c r="W90"/>
  <c r="W86"/>
  <c r="W121"/>
  <c r="W114"/>
  <c r="X111"/>
  <c r="X136"/>
  <c r="U121"/>
  <c r="U114"/>
  <c r="W144"/>
  <c r="W137"/>
  <c r="V91"/>
  <c r="V88"/>
  <c r="X286"/>
  <c r="V195"/>
  <c r="V169"/>
  <c r="W241"/>
  <c r="W235"/>
  <c r="V144"/>
  <c r="V137"/>
  <c r="W202"/>
  <c r="W182"/>
  <c r="W195"/>
  <c r="W169"/>
  <c r="V221"/>
  <c r="V232"/>
  <c r="W142"/>
  <c r="W131"/>
  <c r="W273"/>
  <c r="W168"/>
  <c r="W107"/>
  <c r="V168"/>
  <c r="V273"/>
  <c r="V107"/>
  <c r="U364"/>
  <c r="U361"/>
  <c r="W279"/>
  <c r="W230"/>
  <c r="W178"/>
  <c r="W113"/>
  <c r="X171"/>
  <c r="X222"/>
  <c r="X274"/>
  <c r="X108"/>
  <c r="V106"/>
  <c r="V132"/>
  <c r="Z122"/>
  <c r="X290"/>
  <c r="W186"/>
  <c r="W283"/>
  <c r="V102"/>
  <c r="U283"/>
  <c r="U186"/>
  <c r="U160"/>
  <c r="U268"/>
  <c r="U224"/>
  <c r="U276"/>
  <c r="U174"/>
  <c r="U133"/>
  <c r="U269"/>
  <c r="U273"/>
  <c r="U168"/>
  <c r="U107"/>
  <c r="U217"/>
  <c r="AA13"/>
  <c r="CD254" i="77"/>
  <c r="CG254" s="1"/>
  <c r="X129" i="68"/>
  <c r="Z190"/>
  <c r="U95"/>
  <c r="CD269" i="77"/>
  <c r="CD223"/>
  <c r="CG223" s="1"/>
  <c r="U92" i="68"/>
  <c r="W148"/>
  <c r="V247"/>
  <c r="W384"/>
  <c r="U247"/>
  <c r="W200"/>
  <c r="W218"/>
  <c r="V82"/>
  <c r="V84"/>
  <c r="V192"/>
  <c r="V162"/>
  <c r="V272"/>
  <c r="V161"/>
  <c r="V220"/>
  <c r="W82"/>
  <c r="W84"/>
  <c r="W272"/>
  <c r="W161"/>
  <c r="W220"/>
  <c r="X277"/>
  <c r="X175"/>
  <c r="V203"/>
  <c r="V183"/>
  <c r="W363"/>
  <c r="W360"/>
  <c r="V142"/>
  <c r="V131"/>
  <c r="W221"/>
  <c r="W232"/>
  <c r="W239"/>
  <c r="W233"/>
  <c r="U90"/>
  <c r="U86"/>
  <c r="V219"/>
  <c r="V227"/>
  <c r="V145"/>
  <c r="V138"/>
  <c r="U82"/>
  <c r="U84"/>
  <c r="W364"/>
  <c r="W361"/>
  <c r="U363"/>
  <c r="U360"/>
  <c r="U239"/>
  <c r="U233"/>
  <c r="X176"/>
  <c r="V176"/>
  <c r="Z113"/>
  <c r="V279"/>
  <c r="V230"/>
  <c r="V178"/>
  <c r="V113"/>
  <c r="X133"/>
  <c r="X269"/>
  <c r="AA156"/>
  <c r="AA105"/>
  <c r="AA173"/>
  <c r="AA110"/>
  <c r="Z135"/>
  <c r="X135"/>
  <c r="W177"/>
  <c r="W229"/>
  <c r="X172"/>
  <c r="X223"/>
  <c r="Z139"/>
  <c r="X139"/>
  <c r="W156"/>
  <c r="W105"/>
  <c r="X167"/>
  <c r="V167"/>
  <c r="Z134"/>
  <c r="X271"/>
  <c r="X134"/>
  <c r="CF282" i="77"/>
  <c r="X282" i="68"/>
  <c r="V133"/>
  <c r="V269"/>
  <c r="V185"/>
  <c r="V116"/>
  <c r="V103"/>
  <c r="W274"/>
  <c r="W171"/>
  <c r="W222"/>
  <c r="W108"/>
  <c r="U295"/>
  <c r="U209"/>
  <c r="U185"/>
  <c r="U116"/>
  <c r="U132"/>
  <c r="U106"/>
  <c r="V199"/>
  <c r="U251"/>
  <c r="V251"/>
  <c r="W95"/>
  <c r="U245"/>
  <c r="AA379"/>
  <c r="CF203" i="77"/>
  <c r="Z203" i="68" s="1"/>
  <c r="V200"/>
  <c r="V81"/>
  <c r="U148"/>
  <c r="U91"/>
  <c r="V148"/>
  <c r="U384"/>
  <c r="U192"/>
  <c r="U162"/>
  <c r="V241"/>
  <c r="V235"/>
  <c r="W244"/>
  <c r="W238"/>
  <c r="V276"/>
  <c r="V174"/>
  <c r="V224"/>
  <c r="U142"/>
  <c r="U131"/>
  <c r="U202"/>
  <c r="U182"/>
  <c r="X237"/>
  <c r="X188"/>
  <c r="U219"/>
  <c r="U227"/>
  <c r="U244"/>
  <c r="U238"/>
  <c r="U144"/>
  <c r="U137"/>
  <c r="U195"/>
  <c r="U169"/>
  <c r="V157"/>
  <c r="V266"/>
  <c r="W160"/>
  <c r="W268"/>
  <c r="Z130"/>
  <c r="X158"/>
  <c r="X130"/>
  <c r="Z159"/>
  <c r="X159"/>
  <c r="X259"/>
  <c r="CF354" i="77"/>
  <c r="Z354" i="68" s="1"/>
  <c r="X354"/>
  <c r="AA109"/>
  <c r="X109"/>
  <c r="AA296"/>
  <c r="X296"/>
  <c r="Z187"/>
  <c r="X187"/>
  <c r="Z149"/>
  <c r="X252"/>
  <c r="Z164"/>
  <c r="X164"/>
  <c r="X270"/>
  <c r="W270"/>
  <c r="X166"/>
  <c r="W166"/>
  <c r="CD265" i="77"/>
  <c r="W265" i="68"/>
  <c r="W225"/>
  <c r="W278"/>
  <c r="CD288" i="77"/>
  <c r="W288" i="68"/>
  <c r="U172"/>
  <c r="U223"/>
  <c r="U281"/>
  <c r="U184"/>
  <c r="U229"/>
  <c r="U177"/>
  <c r="V172"/>
  <c r="V223"/>
  <c r="W223"/>
  <c r="W172"/>
  <c r="V229"/>
  <c r="V177"/>
  <c r="V283"/>
  <c r="V186"/>
  <c r="W251"/>
  <c r="W196"/>
  <c r="U81"/>
  <c r="W81"/>
  <c r="Z120" i="65"/>
  <c r="W91"/>
  <c r="W88"/>
  <c r="V202"/>
  <c r="V182"/>
  <c r="V286"/>
  <c r="V193"/>
  <c r="V240"/>
  <c r="V234"/>
  <c r="W362"/>
  <c r="W359"/>
  <c r="W220"/>
  <c r="W228"/>
  <c r="U384"/>
  <c r="U378"/>
  <c r="U198"/>
  <c r="U175"/>
  <c r="U277"/>
  <c r="W218"/>
  <c r="W226"/>
  <c r="U203"/>
  <c r="U183"/>
  <c r="U240"/>
  <c r="U234"/>
  <c r="U82"/>
  <c r="U84"/>
  <c r="U81"/>
  <c r="U83"/>
  <c r="U220"/>
  <c r="U228"/>
  <c r="AA377"/>
  <c r="X377"/>
  <c r="U362"/>
  <c r="U359"/>
  <c r="W164"/>
  <c r="W221"/>
  <c r="V141"/>
  <c r="W159"/>
  <c r="W259"/>
  <c r="V164"/>
  <c r="V221"/>
  <c r="Z192"/>
  <c r="X285"/>
  <c r="X192"/>
  <c r="BC393" i="77"/>
  <c r="Z393" i="65" s="1"/>
  <c r="X393"/>
  <c r="X281"/>
  <c r="X184"/>
  <c r="Z172"/>
  <c r="X223"/>
  <c r="X172"/>
  <c r="Z130"/>
  <c r="W130"/>
  <c r="W158"/>
  <c r="W215"/>
  <c r="BC385" i="77"/>
  <c r="Z385" i="65" s="1"/>
  <c r="X394"/>
  <c r="X132"/>
  <c r="X106"/>
  <c r="X270"/>
  <c r="X219"/>
  <c r="V101"/>
  <c r="V261"/>
  <c r="W383"/>
  <c r="W364"/>
  <c r="V179"/>
  <c r="V231"/>
  <c r="U164"/>
  <c r="U221"/>
  <c r="U246"/>
  <c r="W244"/>
  <c r="W147"/>
  <c r="U95"/>
  <c r="W195"/>
  <c r="V362"/>
  <c r="V359"/>
  <c r="V371"/>
  <c r="V369"/>
  <c r="W237"/>
  <c r="W188"/>
  <c r="V203"/>
  <c r="V183"/>
  <c r="W384"/>
  <c r="W378"/>
  <c r="V201"/>
  <c r="V181"/>
  <c r="V82"/>
  <c r="V84"/>
  <c r="U218"/>
  <c r="U226"/>
  <c r="W286"/>
  <c r="W193"/>
  <c r="U89"/>
  <c r="U85"/>
  <c r="V90"/>
  <c r="V86"/>
  <c r="V91"/>
  <c r="V88"/>
  <c r="U196"/>
  <c r="U170"/>
  <c r="W136"/>
  <c r="W111"/>
  <c r="V81"/>
  <c r="V83"/>
  <c r="U371"/>
  <c r="U369"/>
  <c r="U363"/>
  <c r="U360"/>
  <c r="U90"/>
  <c r="U86"/>
  <c r="V159"/>
  <c r="V259"/>
  <c r="X383"/>
  <c r="X364"/>
  <c r="AA270"/>
  <c r="AA219"/>
  <c r="AA177"/>
  <c r="AA229"/>
  <c r="BA78" i="77"/>
  <c r="W78" i="65"/>
  <c r="BC263" i="77"/>
  <c r="X263" i="65"/>
  <c r="Z100"/>
  <c r="X154"/>
  <c r="X279"/>
  <c r="X178"/>
  <c r="X230"/>
  <c r="X113"/>
  <c r="V130"/>
  <c r="V158"/>
  <c r="V215"/>
  <c r="Z160"/>
  <c r="X160"/>
  <c r="X268"/>
  <c r="V173"/>
  <c r="V110"/>
  <c r="U284"/>
  <c r="U117"/>
  <c r="U185"/>
  <c r="U116"/>
  <c r="V383"/>
  <c r="V364"/>
  <c r="U147"/>
  <c r="W123"/>
  <c r="U244"/>
  <c r="W250"/>
  <c r="V195"/>
  <c r="V244"/>
  <c r="W203"/>
  <c r="W183"/>
  <c r="W196"/>
  <c r="W170"/>
  <c r="W371"/>
  <c r="W369"/>
  <c r="W201"/>
  <c r="W181"/>
  <c r="V277"/>
  <c r="V175"/>
  <c r="V196"/>
  <c r="V170"/>
  <c r="W89"/>
  <c r="W85"/>
  <c r="W200"/>
  <c r="W180"/>
  <c r="W144"/>
  <c r="W137"/>
  <c r="W202"/>
  <c r="W182"/>
  <c r="V220"/>
  <c r="V228"/>
  <c r="W240"/>
  <c r="W234"/>
  <c r="W82"/>
  <c r="W84"/>
  <c r="U286"/>
  <c r="U193"/>
  <c r="U144"/>
  <c r="U137"/>
  <c r="U201"/>
  <c r="U181"/>
  <c r="U200"/>
  <c r="U180"/>
  <c r="U91"/>
  <c r="U88"/>
  <c r="AA279"/>
  <c r="AA178"/>
  <c r="AA230"/>
  <c r="AA113"/>
  <c r="AA274"/>
  <c r="AA222"/>
  <c r="AA171"/>
  <c r="AA108"/>
  <c r="AA134"/>
  <c r="AA271"/>
  <c r="X101"/>
  <c r="X261"/>
  <c r="AA186"/>
  <c r="AA283"/>
  <c r="BC379" i="77"/>
  <c r="Z379" i="65" s="1"/>
  <c r="X379"/>
  <c r="BC282" i="77"/>
  <c r="X282" i="65"/>
  <c r="Z140"/>
  <c r="X140"/>
  <c r="AA354"/>
  <c r="X354"/>
  <c r="X177"/>
  <c r="X229"/>
  <c r="BG225" i="77"/>
  <c r="X278" i="65"/>
  <c r="X225"/>
  <c r="AA294"/>
  <c r="X294"/>
  <c r="Z135"/>
  <c r="X135"/>
  <c r="V166"/>
  <c r="V284"/>
  <c r="V117"/>
  <c r="X274"/>
  <c r="X222"/>
  <c r="X171"/>
  <c r="X108"/>
  <c r="BA262" i="77"/>
  <c r="BC262" s="1"/>
  <c r="W262" i="65"/>
  <c r="W173"/>
  <c r="W110"/>
  <c r="W101"/>
  <c r="W261"/>
  <c r="U101"/>
  <c r="U261"/>
  <c r="BA290" i="77"/>
  <c r="BC270"/>
  <c r="BC288"/>
  <c r="V246" i="65"/>
  <c r="W120"/>
  <c r="V95"/>
  <c r="W95"/>
  <c r="V384"/>
  <c r="V378"/>
  <c r="W198"/>
  <c r="W175"/>
  <c r="W277"/>
  <c r="V237"/>
  <c r="V188"/>
  <c r="X272"/>
  <c r="X161"/>
  <c r="V136"/>
  <c r="V111"/>
  <c r="X107"/>
  <c r="X273"/>
  <c r="X168"/>
  <c r="U136"/>
  <c r="U111"/>
  <c r="V363"/>
  <c r="V360"/>
  <c r="V218"/>
  <c r="V226"/>
  <c r="W90"/>
  <c r="W86"/>
  <c r="W81"/>
  <c r="W83"/>
  <c r="W363"/>
  <c r="W360"/>
  <c r="U237"/>
  <c r="U188"/>
  <c r="X276"/>
  <c r="X224"/>
  <c r="X174"/>
  <c r="U202"/>
  <c r="U182"/>
  <c r="AA132"/>
  <c r="AA106"/>
  <c r="X179"/>
  <c r="X231"/>
  <c r="AA160"/>
  <c r="AA268"/>
  <c r="AA391"/>
  <c r="X391"/>
  <c r="Z139"/>
  <c r="X139"/>
  <c r="X134"/>
  <c r="X271"/>
  <c r="BC292" i="77"/>
  <c r="X292" i="65"/>
  <c r="Z117"/>
  <c r="W284"/>
  <c r="W117"/>
  <c r="Z149"/>
  <c r="V149"/>
  <c r="X133"/>
  <c r="X269"/>
  <c r="Z116"/>
  <c r="V185"/>
  <c r="V116"/>
  <c r="X283"/>
  <c r="X186"/>
  <c r="U173"/>
  <c r="U110"/>
  <c r="W185"/>
  <c r="W116"/>
  <c r="U159"/>
  <c r="U259"/>
  <c r="W179"/>
  <c r="W231"/>
  <c r="W249"/>
  <c r="W118"/>
  <c r="U118"/>
  <c r="V118"/>
  <c r="X153"/>
  <c r="Z184"/>
  <c r="BA376" i="77"/>
  <c r="V207" i="65"/>
  <c r="AD131" i="72"/>
  <c r="AB214" i="73"/>
  <c r="AB155"/>
  <c r="AC370" i="74"/>
  <c r="AD384" i="39"/>
  <c r="AD378"/>
  <c r="AC179"/>
  <c r="AC231"/>
  <c r="AB157" i="72"/>
  <c r="AB266"/>
  <c r="AB276" i="73"/>
  <c r="AB224"/>
  <c r="AB174"/>
  <c r="AD245" i="39"/>
  <c r="AD251"/>
  <c r="AC219"/>
  <c r="AC227"/>
  <c r="AB104" i="73"/>
  <c r="AC120" i="39"/>
  <c r="AC112"/>
  <c r="AD170" i="71"/>
  <c r="AD195" i="39"/>
  <c r="AD169"/>
  <c r="AD162" i="65"/>
  <c r="AC162"/>
  <c r="AB381" i="73"/>
  <c r="AC370"/>
  <c r="AC157" i="70"/>
  <c r="AC266"/>
  <c r="AD196" i="39"/>
  <c r="AD170"/>
  <c r="AC196"/>
  <c r="AC170"/>
  <c r="AB277" i="72"/>
  <c r="AB175"/>
  <c r="AC361" i="65"/>
  <c r="AD179" i="39"/>
  <c r="AD231"/>
  <c r="AB158" i="72"/>
  <c r="AB130"/>
  <c r="AB215"/>
  <c r="AB101"/>
  <c r="AB261"/>
  <c r="AB213"/>
  <c r="AB272" i="73"/>
  <c r="AB161"/>
  <c r="AB220"/>
  <c r="AB358" i="72"/>
  <c r="AB376"/>
  <c r="AB284"/>
  <c r="AB117"/>
  <c r="AB173"/>
  <c r="AB110"/>
  <c r="AC235" i="74"/>
  <c r="AD219" i="39"/>
  <c r="AD227"/>
  <c r="AD414" i="72"/>
  <c r="AD438"/>
  <c r="AD266" i="39"/>
  <c r="AD157"/>
  <c r="AD120"/>
  <c r="AD112"/>
  <c r="AC195"/>
  <c r="AC169"/>
  <c r="AB377" i="73"/>
  <c r="AD370"/>
  <c r="AD244" i="39"/>
  <c r="AD238"/>
  <c r="AB111" i="72"/>
  <c r="AB136"/>
  <c r="AB273"/>
  <c r="AB168"/>
  <c r="AB107"/>
  <c r="AB206"/>
  <c r="AB144"/>
  <c r="AD388" i="71"/>
  <c r="AD210" i="72"/>
  <c r="AC251" i="39"/>
  <c r="AD91"/>
  <c r="AD239"/>
  <c r="AC145"/>
  <c r="AB380" i="73"/>
  <c r="AD235" i="74"/>
  <c r="AB97" i="73"/>
  <c r="AC131" i="72"/>
  <c r="AC438"/>
  <c r="AC414"/>
  <c r="AC157" i="71"/>
  <c r="AC266"/>
  <c r="AC170"/>
  <c r="AB103" i="73"/>
  <c r="AC173" i="71"/>
  <c r="AC110"/>
  <c r="AB189" i="73"/>
  <c r="AB291"/>
  <c r="AC157" i="65"/>
  <c r="AC266"/>
  <c r="AD370" i="74"/>
  <c r="AC360" i="69"/>
  <c r="AC384" i="39"/>
  <c r="AC378"/>
  <c r="AB383" i="72"/>
  <c r="AB364"/>
  <c r="AC245" i="39"/>
  <c r="AD145"/>
  <c r="AC91"/>
  <c r="EJ377" i="77"/>
  <c r="BA383"/>
  <c r="BD383" s="1"/>
  <c r="EO383"/>
  <c r="JA283"/>
  <c r="DI365"/>
  <c r="Z365" i="69" s="1"/>
  <c r="BA389" i="77"/>
  <c r="BC389" s="1"/>
  <c r="Z389" i="65" s="1"/>
  <c r="BA259" i="77"/>
  <c r="HS364"/>
  <c r="EJ208"/>
  <c r="EL208" s="1"/>
  <c r="Z208" i="70" s="1"/>
  <c r="AA79" i="72"/>
  <c r="AA123" i="71"/>
  <c r="X104" i="68"/>
  <c r="Z128" i="70"/>
  <c r="EP277" i="77"/>
  <c r="EJ385"/>
  <c r="EL385" s="1"/>
  <c r="Z385" i="70" s="1"/>
  <c r="EJ264" i="77"/>
  <c r="EM264" s="1"/>
  <c r="DG275"/>
  <c r="DJ275" s="1"/>
  <c r="CI383"/>
  <c r="CF383"/>
  <c r="Z383" i="68" s="1"/>
  <c r="Z104"/>
  <c r="Z186"/>
  <c r="AC102"/>
  <c r="CF270" i="77"/>
  <c r="CJ270"/>
  <c r="AD13" i="68"/>
  <c r="AC461" i="72"/>
  <c r="CF377" i="77"/>
  <c r="Z377" i="68" s="1"/>
  <c r="GR290" i="77"/>
  <c r="DG379"/>
  <c r="DI379" s="1"/>
  <c r="Z379" i="69" s="1"/>
  <c r="AA282"/>
  <c r="JB265" i="77"/>
  <c r="AD265" i="74" s="1"/>
  <c r="X391" i="71"/>
  <c r="CJ282" i="77"/>
  <c r="AD282" i="68" s="1"/>
  <c r="Z171" i="69"/>
  <c r="DG259" i="77"/>
  <c r="CJ283"/>
  <c r="FS252"/>
  <c r="AA109" i="74"/>
  <c r="AA187" i="69"/>
  <c r="AA87" i="71"/>
  <c r="AA296" i="70"/>
  <c r="HX270" i="77"/>
  <c r="AA109" i="72"/>
  <c r="Z132" i="69"/>
  <c r="HU223" i="77"/>
  <c r="Z223" i="73" s="1"/>
  <c r="Z171"/>
  <c r="CI98" i="77"/>
  <c r="EL224"/>
  <c r="Z224" i="70" s="1"/>
  <c r="AD31" i="72"/>
  <c r="BA26" i="77"/>
  <c r="Z214" i="68"/>
  <c r="GR364" i="77"/>
  <c r="Z364" i="72" s="1"/>
  <c r="GR252" i="77"/>
  <c r="Z252" i="72" s="1"/>
  <c r="FR266" i="77"/>
  <c r="CD229"/>
  <c r="CG229" s="1"/>
  <c r="Z160" i="74"/>
  <c r="X140" i="71"/>
  <c r="HY209" i="77"/>
  <c r="CI284"/>
  <c r="CD222"/>
  <c r="Z191" i="73"/>
  <c r="AA109"/>
  <c r="AA292" i="65"/>
  <c r="JB279" i="77"/>
  <c r="GV240"/>
  <c r="AA202" i="74"/>
  <c r="AA296" i="71"/>
  <c r="Z166" i="69"/>
  <c r="AA142" i="72"/>
  <c r="FR259" i="77"/>
  <c r="DG97"/>
  <c r="CD285"/>
  <c r="CG285" s="1"/>
  <c r="DG286"/>
  <c r="DJ286" s="1"/>
  <c r="EJ284"/>
  <c r="EM284" s="1"/>
  <c r="DG272"/>
  <c r="Z117" i="72"/>
  <c r="Z191" i="65"/>
  <c r="DG269" i="77"/>
  <c r="DJ269" s="1"/>
  <c r="CI209"/>
  <c r="AC295" i="68" s="1"/>
  <c r="AA393" i="73"/>
  <c r="FS372" i="77"/>
  <c r="AD372" i="71" s="1"/>
  <c r="EJ372" i="77"/>
  <c r="Z213" i="71"/>
  <c r="EJ275" i="77"/>
  <c r="CD395"/>
  <c r="X291" i="70"/>
  <c r="DG274" i="77"/>
  <c r="Z164" i="74"/>
  <c r="AA135" i="68"/>
  <c r="CD225" i="77"/>
  <c r="JA270"/>
  <c r="EL259"/>
  <c r="Z259" i="70" s="1"/>
  <c r="Z221" i="65"/>
  <c r="AA167" i="73"/>
  <c r="AA265"/>
  <c r="DL243" i="77"/>
  <c r="Z391" i="65"/>
  <c r="DI288" i="77"/>
  <c r="CD293"/>
  <c r="Z133" i="74"/>
  <c r="FO394" i="77"/>
  <c r="Z394" i="71" s="1"/>
  <c r="HY287" i="77"/>
  <c r="GR354"/>
  <c r="Z354" i="72" s="1"/>
  <c r="X154" i="69"/>
  <c r="HS386" i="77"/>
  <c r="HV386" s="1"/>
  <c r="Z231" i="74"/>
  <c r="BF362" i="77"/>
  <c r="BC362"/>
  <c r="Z362" i="65" s="1"/>
  <c r="DI240" i="77"/>
  <c r="Z240" i="69" s="1"/>
  <c r="DI78" i="77"/>
  <c r="Z78" i="69" s="1"/>
  <c r="BC250" i="77"/>
  <c r="Z250" i="65" s="1"/>
  <c r="EL252" i="77"/>
  <c r="Z252" i="70" s="1"/>
  <c r="EO252" i="77"/>
  <c r="Z179" i="74"/>
  <c r="BA97" i="77"/>
  <c r="BD97" s="1"/>
  <c r="CF274"/>
  <c r="BC274"/>
  <c r="EL209"/>
  <c r="Z209" i="70" s="1"/>
  <c r="Z165" i="73"/>
  <c r="Z213" i="68"/>
  <c r="FO203" i="77"/>
  <c r="Z203" i="71" s="1"/>
  <c r="BC384" i="77"/>
  <c r="Z384" i="65" s="1"/>
  <c r="FO222" i="77"/>
  <c r="Z222" i="71" s="1"/>
  <c r="IX209" i="77"/>
  <c r="Z209" i="74" s="1"/>
  <c r="HU279" i="77"/>
  <c r="Z185" i="72"/>
  <c r="Z190" i="71"/>
  <c r="Z108" i="74"/>
  <c r="Z141" i="72"/>
  <c r="Z123" i="68"/>
  <c r="BC294" i="77"/>
  <c r="Z216" i="71"/>
  <c r="DI276" i="77"/>
  <c r="Z159" i="74"/>
  <c r="FO393" i="77"/>
  <c r="Z393" i="71" s="1"/>
  <c r="DI206" i="77"/>
  <c r="Z206" i="69" s="1"/>
  <c r="Z158"/>
  <c r="EL279" i="77"/>
  <c r="BC202"/>
  <c r="Z202" i="65" s="1"/>
  <c r="HU274" i="77"/>
  <c r="EL386"/>
  <c r="Z386" i="70" s="1"/>
  <c r="DI263" i="77"/>
  <c r="HU222"/>
  <c r="Z222" i="73" s="1"/>
  <c r="HU273" i="77"/>
  <c r="Z106" i="72"/>
  <c r="Z173" i="68"/>
  <c r="EL98" i="77"/>
  <c r="Z98" i="70" s="1"/>
  <c r="DI362" i="77"/>
  <c r="Z362" i="69" s="1"/>
  <c r="FO207" i="77"/>
  <c r="Z207" i="71" s="1"/>
  <c r="EL225" i="77"/>
  <c r="Z225" i="70" s="1"/>
  <c r="Z153" i="72"/>
  <c r="AA354" i="70"/>
  <c r="EL276" i="77"/>
  <c r="Z195" i="73"/>
  <c r="FO279" i="77"/>
  <c r="IX250"/>
  <c r="Z250" i="74" s="1"/>
  <c r="IX280" i="77"/>
  <c r="GR267"/>
  <c r="Z135" i="72"/>
  <c r="Z161" i="70"/>
  <c r="Z110" i="72"/>
  <c r="Z381" i="71"/>
  <c r="AA135" i="65"/>
  <c r="FS269" i="77"/>
  <c r="EP229"/>
  <c r="AA354" i="68"/>
  <c r="GU250" i="77"/>
  <c r="X241" i="65"/>
  <c r="BF283" i="77"/>
  <c r="DL229"/>
  <c r="JB94"/>
  <c r="BG266"/>
  <c r="JB384"/>
  <c r="Z187" i="72"/>
  <c r="GV386" i="77"/>
  <c r="AA379" i="70"/>
  <c r="DM225" i="77"/>
  <c r="FS250"/>
  <c r="AA164" i="72"/>
  <c r="GV283" i="77"/>
  <c r="DG268"/>
  <c r="DJ268" s="1"/>
  <c r="FO266"/>
  <c r="AA394" i="68"/>
  <c r="GR275" i="77"/>
  <c r="Z108" i="73"/>
  <c r="FR385" i="77"/>
  <c r="AC394" i="71" s="1"/>
  <c r="AA267" i="68"/>
  <c r="Z179" i="69"/>
  <c r="GR274" i="77"/>
  <c r="AA288" i="70"/>
  <c r="AA165" i="72"/>
  <c r="HX243" i="77"/>
  <c r="EO395"/>
  <c r="AA393" i="65"/>
  <c r="GR285" i="77"/>
  <c r="Z140" i="72"/>
  <c r="EJ384" i="77"/>
  <c r="Z106" i="70"/>
  <c r="AA294" i="74"/>
  <c r="AA167"/>
  <c r="JB285" i="77"/>
  <c r="IX425"/>
  <c r="Z425" i="74" s="1"/>
  <c r="JB422" i="77"/>
  <c r="AD422" i="74" s="1"/>
  <c r="AA287" i="73"/>
  <c r="Z215" i="70"/>
  <c r="Z361" i="73"/>
  <c r="AB361"/>
  <c r="BA243" i="77"/>
  <c r="BD243" s="1"/>
  <c r="GR263"/>
  <c r="GR292"/>
  <c r="Z178" i="72"/>
  <c r="BA289" i="77"/>
  <c r="BD289" s="1"/>
  <c r="DI268"/>
  <c r="DM383"/>
  <c r="Z173" i="65"/>
  <c r="Z143"/>
  <c r="BG79" i="77"/>
  <c r="AA379" i="65"/>
  <c r="AA100"/>
  <c r="BF279" i="77"/>
  <c r="AA139" i="65"/>
  <c r="BF365" i="77"/>
  <c r="BF287"/>
  <c r="X135" i="70"/>
  <c r="Z210" i="65"/>
  <c r="BA252" i="77"/>
  <c r="BD252" s="1"/>
  <c r="AA282" i="65"/>
  <c r="AA291"/>
  <c r="AB183" i="74"/>
  <c r="AB114" i="73"/>
  <c r="AB170" i="74"/>
  <c r="AB112" i="73"/>
  <c r="GR377" i="77"/>
  <c r="Z377" i="72" s="1"/>
  <c r="AB126" i="73"/>
  <c r="AB233"/>
  <c r="AB249" i="74"/>
  <c r="AB125" i="73"/>
  <c r="AB360"/>
  <c r="AB180"/>
  <c r="AB90" i="74"/>
  <c r="AB384"/>
  <c r="AB378"/>
  <c r="IX378" i="77"/>
  <c r="Z378" i="74" s="1"/>
  <c r="AB359" i="73"/>
  <c r="AB234"/>
  <c r="Z413" i="74"/>
  <c r="DM360" i="77"/>
  <c r="Z214" i="72"/>
  <c r="DM380" i="77"/>
  <c r="CD79"/>
  <c r="CG79" s="1"/>
  <c r="BA255"/>
  <c r="Z101" i="72"/>
  <c r="DG363" i="77"/>
  <c r="DJ363" s="1"/>
  <c r="Z117" i="71"/>
  <c r="FO206" i="77"/>
  <c r="Z206" i="71" s="1"/>
  <c r="FO290" i="77"/>
  <c r="Z157" i="72"/>
  <c r="FO364" i="77"/>
  <c r="Z364" i="71" s="1"/>
  <c r="BA363" i="77"/>
  <c r="BD363" s="1"/>
  <c r="Z157" i="69"/>
  <c r="Z214" i="70"/>
  <c r="Z103" i="65"/>
  <c r="Z190" i="73"/>
  <c r="EJ223" i="77"/>
  <c r="CD264"/>
  <c r="CG264" s="1"/>
  <c r="CD80"/>
  <c r="CG80" s="1"/>
  <c r="EJ206"/>
  <c r="Z132" i="68"/>
  <c r="CD208" i="77"/>
  <c r="CG208" s="1"/>
  <c r="FM202"/>
  <c r="FO202" s="1"/>
  <c r="Z202" i="71" s="1"/>
  <c r="EJ94" i="77"/>
  <c r="EM94" s="1"/>
  <c r="EL97"/>
  <c r="Z97" i="70" s="1"/>
  <c r="Z101" i="71"/>
  <c r="IV289" i="77"/>
  <c r="IY289" s="1"/>
  <c r="HS283"/>
  <c r="CD363"/>
  <c r="CG363" s="1"/>
  <c r="Z122" i="72"/>
  <c r="DG267" i="77"/>
  <c r="DI267" s="1"/>
  <c r="Z165" i="70"/>
  <c r="Z119" i="65"/>
  <c r="DG222" i="77"/>
  <c r="Z198" i="70"/>
  <c r="Z115" i="65"/>
  <c r="CD292" i="77"/>
  <c r="CG292" s="1"/>
  <c r="EJ230"/>
  <c r="EM230" s="1"/>
  <c r="FM282"/>
  <c r="BA206"/>
  <c r="EJ376"/>
  <c r="EM376" s="1"/>
  <c r="AA196" i="71"/>
  <c r="DG80" i="77"/>
  <c r="DJ80" s="1"/>
  <c r="Z210" i="69"/>
  <c r="Z129" i="70"/>
  <c r="Z103" i="73"/>
  <c r="Z213" i="65"/>
  <c r="EJ250" i="77"/>
  <c r="EM250" s="1"/>
  <c r="CD287"/>
  <c r="Z194" i="71"/>
  <c r="FM275" i="77"/>
  <c r="FP275" s="1"/>
  <c r="EJ262"/>
  <c r="EM262" s="1"/>
  <c r="X198" i="71"/>
  <c r="X124" i="65"/>
  <c r="AA124"/>
  <c r="X420" i="74"/>
  <c r="Z412" i="68"/>
  <c r="AA419"/>
  <c r="X22" i="69"/>
  <c r="CF438" i="77"/>
  <c r="Z438" i="68" s="1"/>
  <c r="CI438" i="77"/>
  <c r="AA86" i="69"/>
  <c r="X198" i="68"/>
  <c r="AA201" i="72"/>
  <c r="AA181"/>
  <c r="X439" i="73"/>
  <c r="AA83" i="71"/>
  <c r="Z161" i="74"/>
  <c r="X192" i="70"/>
  <c r="AA162"/>
  <c r="X36" i="74"/>
  <c r="X208" i="73"/>
  <c r="AA200"/>
  <c r="X384" i="69"/>
  <c r="AA378"/>
  <c r="X423" i="65"/>
  <c r="AA423"/>
  <c r="X11" i="73"/>
  <c r="GR358" i="77"/>
  <c r="Z358" i="72" s="1"/>
  <c r="AA358"/>
  <c r="X91" i="73"/>
  <c r="AA88"/>
  <c r="X69" i="70"/>
  <c r="X60" i="71"/>
  <c r="X93" i="73"/>
  <c r="AA91"/>
  <c r="X206" i="72"/>
  <c r="X149" i="70"/>
  <c r="X42" i="68"/>
  <c r="X65"/>
  <c r="X69" i="65"/>
  <c r="X59"/>
  <c r="AA59"/>
  <c r="X353" i="70"/>
  <c r="X38"/>
  <c r="AA91" i="71"/>
  <c r="Z188" i="72"/>
  <c r="X91"/>
  <c r="AA88"/>
  <c r="X201" i="73"/>
  <c r="AA181"/>
  <c r="X426"/>
  <c r="X34"/>
  <c r="AA34"/>
  <c r="X90" i="74"/>
  <c r="AA86"/>
  <c r="X371"/>
  <c r="AA369"/>
  <c r="Z174" i="72"/>
  <c r="X246" i="74"/>
  <c r="AA242"/>
  <c r="X48" i="72"/>
  <c r="GV48" i="77"/>
  <c r="AD48" i="72" s="1"/>
  <c r="X33" i="65"/>
  <c r="AA236" i="68"/>
  <c r="X57" i="72"/>
  <c r="X79" i="73"/>
  <c r="AA81"/>
  <c r="X408" i="74"/>
  <c r="X21" i="65"/>
  <c r="Z170" i="73"/>
  <c r="AA170"/>
  <c r="X461" i="71"/>
  <c r="AA461"/>
  <c r="X207" i="65"/>
  <c r="X123" i="71"/>
  <c r="AA121"/>
  <c r="X242" i="65"/>
  <c r="AA236"/>
  <c r="X24" i="71"/>
  <c r="X80" i="72"/>
  <c r="X423"/>
  <c r="X142" i="73"/>
  <c r="X17" i="70"/>
  <c r="X48" i="74"/>
  <c r="X24" i="70"/>
  <c r="EP24" i="77"/>
  <c r="AD24" i="70" s="1"/>
  <c r="X407" i="71"/>
  <c r="X12" i="69"/>
  <c r="X436" i="72"/>
  <c r="X409"/>
  <c r="AA409"/>
  <c r="X142" i="65"/>
  <c r="AA131"/>
  <c r="AA138" i="71"/>
  <c r="X143" i="72"/>
  <c r="X257"/>
  <c r="GU257" i="77"/>
  <c r="AC257" i="72" s="1"/>
  <c r="X81" i="73"/>
  <c r="AA83"/>
  <c r="X93" i="72"/>
  <c r="AA91"/>
  <c r="X352" i="70"/>
  <c r="X28" i="74"/>
  <c r="DI388" i="77"/>
  <c r="Z388" i="69" s="1"/>
  <c r="X257" i="73"/>
  <c r="X439" i="72"/>
  <c r="FO360" i="77"/>
  <c r="Z360" i="71" s="1"/>
  <c r="AA360"/>
  <c r="AA359" i="73"/>
  <c r="Z170" i="72"/>
  <c r="AA170"/>
  <c r="X371" i="71"/>
  <c r="AA369"/>
  <c r="X254" i="70"/>
  <c r="AA253"/>
  <c r="FO359" i="77"/>
  <c r="Z359" i="71" s="1"/>
  <c r="AA359"/>
  <c r="X91" i="74"/>
  <c r="AA88"/>
  <c r="Z168" i="71"/>
  <c r="X147" i="72"/>
  <c r="AC147"/>
  <c r="X415" i="73"/>
  <c r="X192" i="71"/>
  <c r="X206" i="73"/>
  <c r="X371" i="72"/>
  <c r="X17" i="69"/>
  <c r="AA17"/>
  <c r="X249" i="72"/>
  <c r="GV246" i="77"/>
  <c r="AD249" i="72" s="1"/>
  <c r="X65" i="70"/>
  <c r="AA65"/>
  <c r="X434" i="71"/>
  <c r="AA434"/>
  <c r="X462" i="73"/>
  <c r="X63" i="74"/>
  <c r="AA84" i="71"/>
  <c r="X80" i="65"/>
  <c r="X439" i="71"/>
  <c r="AA439"/>
  <c r="X429" i="74"/>
  <c r="AA429"/>
  <c r="X250" i="70"/>
  <c r="X435" i="73"/>
  <c r="X434" i="69"/>
  <c r="AA434"/>
  <c r="X61" i="73"/>
  <c r="AD61"/>
  <c r="X144" i="70"/>
  <c r="AA180" i="68"/>
  <c r="X40" i="69"/>
  <c r="X150" i="70"/>
  <c r="AA150"/>
  <c r="X374" i="72"/>
  <c r="AA374"/>
  <c r="X422" i="65"/>
  <c r="AA422"/>
  <c r="X402" i="72"/>
  <c r="AA402"/>
  <c r="X81"/>
  <c r="AA83"/>
  <c r="X90"/>
  <c r="AA86"/>
  <c r="X97" i="73"/>
  <c r="X38" i="68"/>
  <c r="X208" i="72"/>
  <c r="AA200"/>
  <c r="X246" i="71"/>
  <c r="X125" i="70"/>
  <c r="X17" i="65"/>
  <c r="AD17"/>
  <c r="X151"/>
  <c r="AA151"/>
  <c r="Z193" i="69"/>
  <c r="X415" i="71"/>
  <c r="AA288"/>
  <c r="FO288" i="77"/>
  <c r="EL268"/>
  <c r="AA262" i="74"/>
  <c r="IX262" i="77"/>
  <c r="AA190" i="70"/>
  <c r="AA176" i="68"/>
  <c r="Z176"/>
  <c r="HU240" i="77"/>
  <c r="Z240" i="73" s="1"/>
  <c r="Z178" i="70"/>
  <c r="AA143" i="69"/>
  <c r="Z143"/>
  <c r="FO229" i="77"/>
  <c r="Z229" i="71" s="1"/>
  <c r="Z123" i="69"/>
  <c r="AA285" i="68"/>
  <c r="Z191" i="69"/>
  <c r="CF384" i="77"/>
  <c r="Z384" i="68" s="1"/>
  <c r="Z241" i="65"/>
  <c r="AA295" i="69"/>
  <c r="DI209" i="77"/>
  <c r="Z209" i="69" s="1"/>
  <c r="AA243" i="68"/>
  <c r="Z201"/>
  <c r="FS382" i="77"/>
  <c r="AD382" i="71" s="1"/>
  <c r="FR382" i="77"/>
  <c r="AC382" i="71" s="1"/>
  <c r="FR280" i="77"/>
  <c r="AC280" i="71" s="1"/>
  <c r="FS280" i="77"/>
  <c r="AD280" i="71" s="1"/>
  <c r="DM394" i="77"/>
  <c r="DL394"/>
  <c r="EP394"/>
  <c r="EO394"/>
  <c r="CJ364"/>
  <c r="AD383" i="68" s="1"/>
  <c r="CI364" i="77"/>
  <c r="AC383" i="68" s="1"/>
  <c r="FS365" i="77"/>
  <c r="AD365" i="71" s="1"/>
  <c r="FR365" i="77"/>
  <c r="AC365" i="71" s="1"/>
  <c r="AD167" i="72"/>
  <c r="AC167"/>
  <c r="EP283" i="77"/>
  <c r="EO283"/>
  <c r="AD287" i="68"/>
  <c r="AC287"/>
  <c r="AC154" i="70"/>
  <c r="AD154"/>
  <c r="DM89" i="77"/>
  <c r="DL89"/>
  <c r="AC163" i="65"/>
  <c r="AD163"/>
  <c r="EP289" i="77"/>
  <c r="AD289" i="70" s="1"/>
  <c r="EO289" i="77"/>
  <c r="AC289" i="70" s="1"/>
  <c r="JB275" i="77"/>
  <c r="AD275" i="74" s="1"/>
  <c r="JA275" i="77"/>
  <c r="AC275" i="74" s="1"/>
  <c r="EP209" i="77"/>
  <c r="AD295" i="70" s="1"/>
  <c r="EO209" i="77"/>
  <c r="AC295" i="70" s="1"/>
  <c r="AD165" i="73"/>
  <c r="AC165"/>
  <c r="CJ240" i="77"/>
  <c r="DM277"/>
  <c r="DL277"/>
  <c r="DL230"/>
  <c r="DM230"/>
  <c r="AD103" i="71"/>
  <c r="AC103"/>
  <c r="FS264" i="77"/>
  <c r="AD264" i="71" s="1"/>
  <c r="FR264" i="77"/>
  <c r="AC264" i="71" s="1"/>
  <c r="HY385" i="77"/>
  <c r="AD394" i="73" s="1"/>
  <c r="HX385" i="77"/>
  <c r="AC394" i="73" s="1"/>
  <c r="AD115" i="71"/>
  <c r="AC115"/>
  <c r="AD154" i="74"/>
  <c r="AC154"/>
  <c r="DL208" i="77"/>
  <c r="DM208"/>
  <c r="FR395"/>
  <c r="FS395"/>
  <c r="AC141" i="74"/>
  <c r="AD141"/>
  <c r="DM386" i="77"/>
  <c r="AD395" i="69" s="1"/>
  <c r="DL386" i="77"/>
  <c r="AC395" i="69" s="1"/>
  <c r="HY293" i="77"/>
  <c r="AD293" i="73" s="1"/>
  <c r="HX293" i="77"/>
  <c r="AC293" i="73" s="1"/>
  <c r="GU264" i="77"/>
  <c r="AC264" i="72" s="1"/>
  <c r="GV264" i="77"/>
  <c r="AD264" i="72" s="1"/>
  <c r="GU277" i="77"/>
  <c r="GV277"/>
  <c r="AD154" i="72"/>
  <c r="AC154"/>
  <c r="AD391" i="73"/>
  <c r="AC391"/>
  <c r="GV243" i="77"/>
  <c r="GU243"/>
  <c r="AA395" i="65"/>
  <c r="BC386" i="77"/>
  <c r="Z386" i="65" s="1"/>
  <c r="AA155" i="71"/>
  <c r="Z155"/>
  <c r="AA123" i="65"/>
  <c r="Z123"/>
  <c r="Z198" i="68"/>
  <c r="HU207" i="77"/>
  <c r="Z207" i="73" s="1"/>
  <c r="AA293" i="71"/>
  <c r="Z119" i="70"/>
  <c r="Z141" i="65"/>
  <c r="AA155" i="70"/>
  <c r="Z155"/>
  <c r="AA362" i="73"/>
  <c r="HU362" i="77"/>
  <c r="Z362" i="73" s="1"/>
  <c r="Z108" i="68"/>
  <c r="Z216" i="74"/>
  <c r="AA365" i="70"/>
  <c r="EL365" i="77"/>
  <c r="Z365" i="70" s="1"/>
  <c r="AA78" i="72"/>
  <c r="GR78" i="77"/>
  <c r="Z78" i="72" s="1"/>
  <c r="AA189" i="70"/>
  <c r="Z189"/>
  <c r="Z221" i="73"/>
  <c r="Z132" i="70"/>
  <c r="EL240" i="77"/>
  <c r="Z240" i="70" s="1"/>
  <c r="Z141" i="73"/>
  <c r="Z241" i="68"/>
  <c r="Z129"/>
  <c r="AA129"/>
  <c r="Z107" i="72"/>
  <c r="X250" i="69"/>
  <c r="AA247"/>
  <c r="X208" i="71"/>
  <c r="X16" i="68"/>
  <c r="X55"/>
  <c r="X32" i="72"/>
  <c r="X409" i="73"/>
  <c r="X92" i="72"/>
  <c r="AA90"/>
  <c r="X62" i="68"/>
  <c r="X214" i="65"/>
  <c r="X240" i="71"/>
  <c r="AA234"/>
  <c r="X60" i="72"/>
  <c r="AA60"/>
  <c r="X91" i="69"/>
  <c r="AA88"/>
  <c r="X30" i="73"/>
  <c r="AA30"/>
  <c r="X37" i="72"/>
  <c r="X26" i="73"/>
  <c r="X33" i="74"/>
  <c r="X221"/>
  <c r="AA232"/>
  <c r="AA145" i="65"/>
  <c r="X245" i="72"/>
  <c r="AA239"/>
  <c r="X33" i="68"/>
  <c r="X16" i="73"/>
  <c r="AD16"/>
  <c r="X89"/>
  <c r="AA85"/>
  <c r="HU357" i="77"/>
  <c r="Z357" i="73" s="1"/>
  <c r="X17" i="68"/>
  <c r="DI59" i="77"/>
  <c r="Z59" i="69" s="1"/>
  <c r="AA59"/>
  <c r="X462" i="71"/>
  <c r="AA83" i="68"/>
  <c r="X12"/>
  <c r="Z419"/>
  <c r="X37" i="65"/>
  <c r="AA37"/>
  <c r="X149" i="69"/>
  <c r="X202"/>
  <c r="AA182"/>
  <c r="X426" i="70"/>
  <c r="X415" i="72"/>
  <c r="AC415"/>
  <c r="X462"/>
  <c r="X40"/>
  <c r="X147" i="73"/>
  <c r="X95"/>
  <c r="X448" i="74"/>
  <c r="JA448" i="77"/>
  <c r="AC448" i="74" s="1"/>
  <c r="X13" i="69"/>
  <c r="X448" i="68"/>
  <c r="X38" i="65"/>
  <c r="X443" i="72"/>
  <c r="X195" i="71"/>
  <c r="AA169"/>
  <c r="X96" i="73"/>
  <c r="X448" i="71"/>
  <c r="X23" i="74"/>
  <c r="AA23"/>
  <c r="X40" i="70"/>
  <c r="X455" i="72"/>
  <c r="AA455"/>
  <c r="X402" i="68"/>
  <c r="X38" i="69"/>
  <c r="DL38" i="77"/>
  <c r="AC38" i="69" s="1"/>
  <c r="X26" i="72"/>
  <c r="EL437" i="77"/>
  <c r="Z437" i="70" s="1"/>
  <c r="X416" i="72"/>
  <c r="X256"/>
  <c r="X16" i="65"/>
  <c r="CJ85" i="77"/>
  <c r="X19" i="69"/>
  <c r="X202" i="73"/>
  <c r="AA182"/>
  <c r="Z125" i="72"/>
  <c r="X256" i="74"/>
  <c r="AA256"/>
  <c r="X198" i="70"/>
  <c r="X352" i="65"/>
  <c r="X245"/>
  <c r="AA239"/>
  <c r="X215" i="71"/>
  <c r="AA218"/>
  <c r="X355" i="65"/>
  <c r="AA355"/>
  <c r="X34" i="74"/>
  <c r="AA34"/>
  <c r="Z111" i="71"/>
  <c r="X32" i="73"/>
  <c r="AA32"/>
  <c r="X251" i="65"/>
  <c r="BF248" i="77"/>
  <c r="X32" i="71"/>
  <c r="AA32"/>
  <c r="X144" i="74"/>
  <c r="AA137"/>
  <c r="X80" i="70"/>
  <c r="AA82"/>
  <c r="X89" i="71"/>
  <c r="AA85"/>
  <c r="X29" i="65"/>
  <c r="AA29"/>
  <c r="X402" i="74"/>
  <c r="X145" i="70"/>
  <c r="AA138"/>
  <c r="X80" i="74"/>
  <c r="AA82"/>
  <c r="X409" i="65"/>
  <c r="X151" i="74"/>
  <c r="AA151"/>
  <c r="X70"/>
  <c r="AA70"/>
  <c r="X442" i="68"/>
  <c r="AA238" i="72"/>
  <c r="X94" i="69"/>
  <c r="X60" i="73"/>
  <c r="AA60"/>
  <c r="X201" i="68"/>
  <c r="AA181"/>
  <c r="X28" i="71"/>
  <c r="AA28"/>
  <c r="X436" i="68"/>
  <c r="X457" i="73"/>
  <c r="HX457" i="77"/>
  <c r="AC457" i="73" s="1"/>
  <c r="AA180" i="72"/>
  <c r="X42" i="74"/>
  <c r="HX90" i="77"/>
  <c r="X58" i="70"/>
  <c r="EO58" i="77"/>
  <c r="AC58" i="70" s="1"/>
  <c r="AA124" i="72"/>
  <c r="X94"/>
  <c r="X59" i="68"/>
  <c r="X37" i="70"/>
  <c r="AA37"/>
  <c r="X63" i="71"/>
  <c r="FS63" i="77"/>
  <c r="AD63" i="71" s="1"/>
  <c r="AA124" i="74"/>
  <c r="X420" i="71"/>
  <c r="AA420"/>
  <c r="X34"/>
  <c r="X69" i="69"/>
  <c r="AA69"/>
  <c r="X26" i="71"/>
  <c r="X423" i="73"/>
  <c r="AA423"/>
  <c r="X239" i="70"/>
  <c r="AA233"/>
  <c r="X150" i="74"/>
  <c r="AA150"/>
  <c r="X91" i="71"/>
  <c r="AA88"/>
  <c r="X21"/>
  <c r="AC21"/>
  <c r="X97" i="70"/>
  <c r="X218" i="72"/>
  <c r="X355" i="70"/>
  <c r="X429" i="72"/>
  <c r="GU429" i="77"/>
  <c r="AC429" i="72" s="1"/>
  <c r="X462" i="70"/>
  <c r="X96" i="72"/>
  <c r="AA95"/>
  <c r="Z188" i="68"/>
  <c r="X415" i="70"/>
  <c r="AA415"/>
  <c r="X207" i="71"/>
  <c r="HX248" i="77"/>
  <c r="X30" i="65"/>
  <c r="AA30"/>
  <c r="Z180" i="71"/>
  <c r="AA180"/>
  <c r="X244" i="74"/>
  <c r="AA238"/>
  <c r="X96"/>
  <c r="X408" i="71"/>
  <c r="FR408" i="77"/>
  <c r="AC408" i="71" s="1"/>
  <c r="X203" i="70"/>
  <c r="AA183"/>
  <c r="X63" i="68"/>
  <c r="AA63"/>
  <c r="X247" i="69"/>
  <c r="AA244"/>
  <c r="X195" i="72"/>
  <c r="X60" i="65"/>
  <c r="AA60"/>
  <c r="X142" i="74"/>
  <c r="AA131"/>
  <c r="X30"/>
  <c r="JB30" i="77"/>
  <c r="AD30" i="74" s="1"/>
  <c r="X251"/>
  <c r="JA248" i="77"/>
  <c r="AA232" i="70"/>
  <c r="X22"/>
  <c r="AA22"/>
  <c r="X17" i="71"/>
  <c r="AA126" i="73"/>
  <c r="AA196" i="68"/>
  <c r="Z196"/>
  <c r="AA264" i="69"/>
  <c r="DG220" i="77"/>
  <c r="DJ220" s="1"/>
  <c r="X190" i="69"/>
  <c r="X166" i="70"/>
  <c r="CD286" i="77"/>
  <c r="CG286" s="1"/>
  <c r="X165" i="65"/>
  <c r="X163" i="70"/>
  <c r="X408" i="72"/>
  <c r="X421"/>
  <c r="X250"/>
  <c r="X203" i="71"/>
  <c r="AA183"/>
  <c r="X150" i="65"/>
  <c r="AD150"/>
  <c r="X421"/>
  <c r="AA421"/>
  <c r="X435" i="72"/>
  <c r="X249" i="68"/>
  <c r="X257" i="65"/>
  <c r="AA236" i="70"/>
  <c r="X435" i="74"/>
  <c r="X256" i="68"/>
  <c r="Z114" i="72"/>
  <c r="AA114"/>
  <c r="X434" i="74"/>
  <c r="X125" i="65"/>
  <c r="HU352" i="77"/>
  <c r="Z352" i="73" s="1"/>
  <c r="HX352" i="77"/>
  <c r="AC352" i="73" s="1"/>
  <c r="X434"/>
  <c r="X371" i="68"/>
  <c r="AA369"/>
  <c r="X36" i="71"/>
  <c r="X426" i="68"/>
  <c r="X443"/>
  <c r="X353" i="71"/>
  <c r="X422" i="72"/>
  <c r="Z111" i="68"/>
  <c r="X34"/>
  <c r="AA34"/>
  <c r="X124"/>
  <c r="AA124"/>
  <c r="X120" i="65"/>
  <c r="AA112"/>
  <c r="X67" i="69"/>
  <c r="X36" i="70"/>
  <c r="X42" i="71"/>
  <c r="AA42"/>
  <c r="X70" i="72"/>
  <c r="Z168"/>
  <c r="X97"/>
  <c r="X34"/>
  <c r="X94" i="73"/>
  <c r="AA92"/>
  <c r="X36"/>
  <c r="HX36" i="77"/>
  <c r="AC36" i="73" s="1"/>
  <c r="X90"/>
  <c r="X12" i="74"/>
  <c r="AA12"/>
  <c r="X374"/>
  <c r="X79" i="72"/>
  <c r="AA81"/>
  <c r="Z413" i="71"/>
  <c r="AA413"/>
  <c r="X70" i="65"/>
  <c r="AA70"/>
  <c r="X210" i="71"/>
  <c r="AA205"/>
  <c r="X206"/>
  <c r="X208" i="74"/>
  <c r="AA200"/>
  <c r="X254" i="65"/>
  <c r="AA253"/>
  <c r="X240" i="68"/>
  <c r="AA234"/>
  <c r="Z412" i="73"/>
  <c r="X246" i="72"/>
  <c r="X29" i="74"/>
  <c r="JA29" i="77"/>
  <c r="AC29" i="74" s="1"/>
  <c r="X219" i="71"/>
  <c r="AA227"/>
  <c r="X121" i="65"/>
  <c r="AA114"/>
  <c r="X250"/>
  <c r="X448" i="73"/>
  <c r="AA448"/>
  <c r="X254" i="72"/>
  <c r="AA253"/>
  <c r="X257" i="74"/>
  <c r="X203" i="69"/>
  <c r="GR352" i="77"/>
  <c r="Z352" i="72" s="1"/>
  <c r="X23" i="71"/>
  <c r="FR23" i="77"/>
  <c r="AC23" i="71" s="1"/>
  <c r="X241" i="72"/>
  <c r="AA235"/>
  <c r="Z174" i="73"/>
  <c r="X65"/>
  <c r="X245" i="70"/>
  <c r="X461" i="74"/>
  <c r="AA169" i="65"/>
  <c r="X257" i="71"/>
  <c r="AA257"/>
  <c r="X218" i="74"/>
  <c r="AA226"/>
  <c r="X81"/>
  <c r="AA83"/>
  <c r="X57"/>
  <c r="GR360" i="77"/>
  <c r="Z360" i="72" s="1"/>
  <c r="AA360"/>
  <c r="X93" i="69"/>
  <c r="X145" i="72"/>
  <c r="X247" i="71"/>
  <c r="X94" i="65"/>
  <c r="AA92"/>
  <c r="X250" i="71"/>
  <c r="AA247"/>
  <c r="X32" i="68"/>
  <c r="AA32"/>
  <c r="X40" i="74"/>
  <c r="AA40"/>
  <c r="AA242" i="65"/>
  <c r="X439" i="74"/>
  <c r="JB439" i="77"/>
  <c r="AD439" i="74" s="1"/>
  <c r="X92" i="65"/>
  <c r="BG90" i="77"/>
  <c r="X95" i="72"/>
  <c r="X416" i="71"/>
  <c r="AA416"/>
  <c r="X206" i="65"/>
  <c r="X33" i="73"/>
  <c r="HY33" i="77"/>
  <c r="AD33" i="73" s="1"/>
  <c r="X384" i="72"/>
  <c r="EP92" i="77"/>
  <c r="X26" i="69"/>
  <c r="AA26"/>
  <c r="X142" i="70"/>
  <c r="AA131"/>
  <c r="X435"/>
  <c r="X16" i="71"/>
  <c r="AA16"/>
  <c r="X63" i="65"/>
  <c r="AA63"/>
  <c r="GR359" i="77"/>
  <c r="Z359" i="72" s="1"/>
  <c r="AA359"/>
  <c r="X402" i="71"/>
  <c r="AA402"/>
  <c r="X12" i="73"/>
  <c r="AC12"/>
  <c r="X251" i="71"/>
  <c r="BF205" i="77"/>
  <c r="X426" i="74"/>
  <c r="X22" i="73"/>
  <c r="HY22" i="77"/>
  <c r="AD22" i="73" s="1"/>
  <c r="AA120" i="74"/>
  <c r="AA112"/>
  <c r="AA353"/>
  <c r="X69" i="72"/>
  <c r="GU69" i="77"/>
  <c r="AC69" i="72" s="1"/>
  <c r="X206" i="74"/>
  <c r="X65" i="69"/>
  <c r="DM65" i="77"/>
  <c r="AD65" i="69" s="1"/>
  <c r="X249" i="73"/>
  <c r="AA246"/>
  <c r="AA196" i="74"/>
  <c r="AA170"/>
  <c r="HU425" i="77"/>
  <c r="Z425" i="73" s="1"/>
  <c r="X407" i="70"/>
  <c r="AA407"/>
  <c r="X21" i="69"/>
  <c r="X151" i="70"/>
  <c r="AD151"/>
  <c r="X421" i="71"/>
  <c r="X29" i="73"/>
  <c r="HX29" i="77"/>
  <c r="AC29" i="73" s="1"/>
  <c r="X22" i="74"/>
  <c r="AA22"/>
  <c r="X67" i="65"/>
  <c r="AA67"/>
  <c r="X416" i="73"/>
  <c r="X415" i="74"/>
  <c r="AC415"/>
  <c r="X201" i="71"/>
  <c r="AA181"/>
  <c r="X422"/>
  <c r="AA422"/>
  <c r="X145" i="65"/>
  <c r="X90" i="71"/>
  <c r="AA86"/>
  <c r="Z412" i="74"/>
  <c r="X82"/>
  <c r="AA84"/>
  <c r="X38"/>
  <c r="X357" i="71"/>
  <c r="AA357"/>
  <c r="X95" i="70"/>
  <c r="EO93" i="77"/>
  <c r="Z188" i="69"/>
  <c r="AA102" i="70"/>
  <c r="Z102"/>
  <c r="AA291" i="69"/>
  <c r="Z221" i="70"/>
  <c r="AA280" i="69"/>
  <c r="DI280" i="77"/>
  <c r="Z195" i="68"/>
  <c r="Z132" i="74"/>
  <c r="GR87" i="77"/>
  <c r="Z87" i="72" s="1"/>
  <c r="EL89" i="77"/>
  <c r="Z89" i="70" s="1"/>
  <c r="CF295" i="77"/>
  <c r="FS263"/>
  <c r="AD263" i="71" s="1"/>
  <c r="FR263" i="77"/>
  <c r="AC263" i="71" s="1"/>
  <c r="AD135" i="65"/>
  <c r="AC135"/>
  <c r="JB292" i="77"/>
  <c r="AD292" i="74" s="1"/>
  <c r="JA292" i="77"/>
  <c r="AC292" i="74" s="1"/>
  <c r="FR269" i="77"/>
  <c r="EO229"/>
  <c r="DM94"/>
  <c r="DL94"/>
  <c r="BG230"/>
  <c r="BF230"/>
  <c r="AD102" i="71"/>
  <c r="AC102"/>
  <c r="AD139"/>
  <c r="AC139"/>
  <c r="JB293" i="77"/>
  <c r="AD293" i="74" s="1"/>
  <c r="JA293" i="77"/>
  <c r="AC293" i="74" s="1"/>
  <c r="GV289" i="77"/>
  <c r="AD289" i="72" s="1"/>
  <c r="GU289" i="77"/>
  <c r="AC289" i="72" s="1"/>
  <c r="GU288" i="77"/>
  <c r="AC288" i="72" s="1"/>
  <c r="GV288" i="77"/>
  <c r="AD288" i="72" s="1"/>
  <c r="DM240" i="77"/>
  <c r="DL240"/>
  <c r="CJ274"/>
  <c r="CI274"/>
  <c r="HY296"/>
  <c r="AD296" i="73" s="1"/>
  <c r="HX296" i="77"/>
  <c r="AC296" i="73" s="1"/>
  <c r="FS230" i="77"/>
  <c r="FR230"/>
  <c r="BG274"/>
  <c r="BF274"/>
  <c r="AD270" i="73"/>
  <c r="AC270"/>
  <c r="CI290" i="77"/>
  <c r="CJ290"/>
  <c r="AD140" i="70"/>
  <c r="AC140"/>
  <c r="JB78" i="77"/>
  <c r="AD78" i="74" s="1"/>
  <c r="JA78" i="77"/>
  <c r="AC78" i="74" s="1"/>
  <c r="AD165" i="71"/>
  <c r="AC165"/>
  <c r="HY289" i="77"/>
  <c r="AD289" i="73" s="1"/>
  <c r="HX289" i="77"/>
  <c r="AC289" i="73" s="1"/>
  <c r="BG267" i="77"/>
  <c r="AD267" i="65" s="1"/>
  <c r="BF267" i="77"/>
  <c r="AC267" i="65" s="1"/>
  <c r="JB288" i="77"/>
  <c r="AD288" i="74" s="1"/>
  <c r="JA288" i="77"/>
  <c r="AC288" i="74" s="1"/>
  <c r="GV273" i="77"/>
  <c r="GU273"/>
  <c r="AD102" i="72"/>
  <c r="AC102"/>
  <c r="GV254" i="77"/>
  <c r="GU254"/>
  <c r="GV250"/>
  <c r="DI283"/>
  <c r="AA270" i="70"/>
  <c r="Z219"/>
  <c r="AA391" i="74"/>
  <c r="Z391"/>
  <c r="BC277" i="77"/>
  <c r="AA176" i="69"/>
  <c r="Z176"/>
  <c r="AA391"/>
  <c r="Z391"/>
  <c r="GR278" i="77"/>
  <c r="Z108" i="69"/>
  <c r="AA135" i="70"/>
  <c r="Z135"/>
  <c r="AA143" i="73"/>
  <c r="Z143"/>
  <c r="AA382" i="65"/>
  <c r="BC382" i="77"/>
  <c r="Z382" i="65" s="1"/>
  <c r="AA167" i="68"/>
  <c r="HU277" i="77"/>
  <c r="AA79" i="73"/>
  <c r="AA393" i="68"/>
  <c r="CF393" i="77"/>
  <c r="Z393" i="68" s="1"/>
  <c r="AA296" i="65"/>
  <c r="BC296" i="77"/>
  <c r="Z179" i="65"/>
  <c r="Z184" i="70"/>
  <c r="Z110" i="69"/>
  <c r="AA87"/>
  <c r="DI87" i="77"/>
  <c r="Z87" i="69" s="1"/>
  <c r="AA289" i="74"/>
  <c r="FM276" i="77"/>
  <c r="FP276" s="1"/>
  <c r="BA395"/>
  <c r="BD395" s="1"/>
  <c r="AA226" i="68"/>
  <c r="X67"/>
  <c r="AA67"/>
  <c r="X436" i="73"/>
  <c r="AA436"/>
  <c r="X11" i="70"/>
  <c r="AD11"/>
  <c r="X371" i="73"/>
  <c r="X97" i="65"/>
  <c r="X244" i="71"/>
  <c r="AA238"/>
  <c r="X384" i="68"/>
  <c r="Z19" i="74"/>
  <c r="AA19"/>
  <c r="AA233" i="69"/>
  <c r="X65" i="65"/>
  <c r="X455" i="73"/>
  <c r="GR353" i="77"/>
  <c r="Z353" i="72" s="1"/>
  <c r="X23" i="73"/>
  <c r="AA23"/>
  <c r="X209" i="74"/>
  <c r="X254" i="68"/>
  <c r="X89" i="72"/>
  <c r="AA85"/>
  <c r="X48" i="73"/>
  <c r="AA48"/>
  <c r="AA238" i="70"/>
  <c r="X120" i="68"/>
  <c r="AA112"/>
  <c r="X11"/>
  <c r="AC11"/>
  <c r="X58" i="65"/>
  <c r="X248"/>
  <c r="AA245"/>
  <c r="X23" i="70"/>
  <c r="AA23"/>
  <c r="X249" i="71"/>
  <c r="X214" i="72"/>
  <c r="GR355" i="77"/>
  <c r="Z355" i="72" s="1"/>
  <c r="X357"/>
  <c r="GU357" i="77"/>
  <c r="AC357" i="72" s="1"/>
  <c r="X242"/>
  <c r="AA236"/>
  <c r="X13" i="73"/>
  <c r="AA13"/>
  <c r="X37"/>
  <c r="AA37"/>
  <c r="X248"/>
  <c r="X374"/>
  <c r="X60" i="74"/>
  <c r="JA60" i="77"/>
  <c r="AC60" i="74" s="1"/>
  <c r="X67"/>
  <c r="JA67" i="77"/>
  <c r="AC67" i="74" s="1"/>
  <c r="X384" i="71"/>
  <c r="AA378"/>
  <c r="X22" i="68"/>
  <c r="CJ22" i="77"/>
  <c r="AD22" i="68" s="1"/>
  <c r="X30" i="72"/>
  <c r="AA30"/>
  <c r="X435" i="71"/>
  <c r="FS435" i="77"/>
  <c r="AD435" i="71" s="1"/>
  <c r="X364" i="72"/>
  <c r="AA361"/>
  <c r="X249" i="74"/>
  <c r="X420" i="65"/>
  <c r="AA420"/>
  <c r="X61" i="71"/>
  <c r="AC61"/>
  <c r="X125" i="68"/>
  <c r="AA251" i="71"/>
  <c r="X196" i="68"/>
  <c r="X24" i="72"/>
  <c r="AA24"/>
  <c r="X29" i="71"/>
  <c r="FS29" i="77"/>
  <c r="AD29" i="71" s="1"/>
  <c r="X256" i="65"/>
  <c r="AA256"/>
  <c r="X362" i="68"/>
  <c r="AA359"/>
  <c r="X253" i="72"/>
  <c r="AA251"/>
  <c r="X24" i="69"/>
  <c r="DL24" i="77"/>
  <c r="AC24" i="69" s="1"/>
  <c r="X21" i="73"/>
  <c r="AA21"/>
  <c r="X36" i="68"/>
  <c r="CJ36" i="77"/>
  <c r="AD36" i="68" s="1"/>
  <c r="X79" i="65"/>
  <c r="AA138" i="74"/>
  <c r="X353" i="65"/>
  <c r="AA353"/>
  <c r="X97" i="74"/>
  <c r="X32"/>
  <c r="AA32"/>
  <c r="X126" i="65"/>
  <c r="X79" i="70"/>
  <c r="X462" i="74"/>
  <c r="X82" i="72"/>
  <c r="AA84"/>
  <c r="X195" i="74"/>
  <c r="X250"/>
  <c r="X21"/>
  <c r="X42" i="70"/>
  <c r="EP42" i="77"/>
  <c r="AD42" i="70" s="1"/>
  <c r="X409" i="71"/>
  <c r="X407" i="74"/>
  <c r="X254"/>
  <c r="X58" i="68"/>
  <c r="X19" i="72"/>
  <c r="AD19"/>
  <c r="X24" i="65"/>
  <c r="BF24" i="77"/>
  <c r="AC24" i="65" s="1"/>
  <c r="X374" i="71"/>
  <c r="X11"/>
  <c r="X70" i="68"/>
  <c r="CJ70" i="77"/>
  <c r="AD70" i="68" s="1"/>
  <c r="X80" i="73"/>
  <c r="X62" i="71"/>
  <c r="AA62"/>
  <c r="X89" i="74"/>
  <c r="X192"/>
  <c r="X59" i="72"/>
  <c r="X207" i="70"/>
  <c r="X439"/>
  <c r="X61" i="72"/>
  <c r="AA61"/>
  <c r="X253" i="65"/>
  <c r="X256" i="70"/>
  <c r="AA256"/>
  <c r="X11" i="74"/>
  <c r="X123" i="65"/>
  <c r="AA121"/>
  <c r="X28" i="72"/>
  <c r="X13" i="71"/>
  <c r="AD13"/>
  <c r="X251" i="72"/>
  <c r="X402" i="73"/>
  <c r="HX402" i="77"/>
  <c r="AC402" i="73" s="1"/>
  <c r="X209" i="72"/>
  <c r="GU204" i="77"/>
  <c r="X202" i="72"/>
  <c r="X82" i="73"/>
  <c r="X28" i="68"/>
  <c r="AA28"/>
  <c r="X357" i="74"/>
  <c r="X221" i="71"/>
  <c r="AA232"/>
  <c r="X144" i="73"/>
  <c r="X33" i="71"/>
  <c r="AA33"/>
  <c r="X416" i="70"/>
  <c r="DM245" i="77"/>
  <c r="X67" i="70"/>
  <c r="X42" i="69"/>
  <c r="X124" i="70"/>
  <c r="X79" i="74"/>
  <c r="X357" i="68"/>
  <c r="AA357"/>
  <c r="X13" i="70"/>
  <c r="X420" i="72"/>
  <c r="GU420" i="77"/>
  <c r="AC420" i="72" s="1"/>
  <c r="X28" i="73"/>
  <c r="X416" i="74"/>
  <c r="X26"/>
  <c r="JA26" i="77"/>
  <c r="AC26" i="74" s="1"/>
  <c r="X16" i="69"/>
  <c r="AC16"/>
  <c r="X247" i="74"/>
  <c r="AA244"/>
  <c r="X408" i="73"/>
  <c r="HX408" i="77"/>
  <c r="AC408" i="73" s="1"/>
  <c r="X120" i="70"/>
  <c r="AA112"/>
  <c r="AA120" i="72"/>
  <c r="X209" i="71"/>
  <c r="X62" i="72"/>
  <c r="AA180" i="74"/>
  <c r="X29" i="72"/>
  <c r="X23" i="68"/>
  <c r="BC224" i="77"/>
  <c r="Z224" i="65" s="1"/>
  <c r="BG224" i="77"/>
  <c r="X408" i="70"/>
  <c r="EO408" i="77"/>
  <c r="AC408" i="70" s="1"/>
  <c r="X19" i="65"/>
  <c r="AD19"/>
  <c r="X82" i="70"/>
  <c r="EO84" i="77"/>
  <c r="X215" i="74"/>
  <c r="X96" i="70"/>
  <c r="AA95"/>
  <c r="X69" i="68"/>
  <c r="AA379" i="69"/>
  <c r="Z159" i="65"/>
  <c r="AA267" i="69"/>
  <c r="AA202" i="71"/>
  <c r="AA94" i="70"/>
  <c r="AA140" i="71"/>
  <c r="Z160" i="68"/>
  <c r="EL287" i="77"/>
  <c r="Z113" i="69"/>
  <c r="X153" i="70"/>
  <c r="X167"/>
  <c r="CD89" i="77"/>
  <c r="AA135" i="69"/>
  <c r="Z135"/>
  <c r="AA154" i="68"/>
  <c r="Z100"/>
  <c r="Z153"/>
  <c r="HY227" i="77"/>
  <c r="HX227"/>
  <c r="JB449"/>
  <c r="AD449" i="74" s="1"/>
  <c r="JA449" i="77"/>
  <c r="AC449" i="74" s="1"/>
  <c r="Z371" i="65"/>
  <c r="Z186" i="69"/>
  <c r="CF273" i="77"/>
  <c r="CF293"/>
  <c r="EP272"/>
  <c r="EO272"/>
  <c r="DM276"/>
  <c r="DL276"/>
  <c r="FS287"/>
  <c r="FR287"/>
  <c r="EP285"/>
  <c r="EO285"/>
  <c r="DM285"/>
  <c r="DL285"/>
  <c r="FS354"/>
  <c r="AD354" i="71" s="1"/>
  <c r="FR354" i="77"/>
  <c r="AC354" i="71" s="1"/>
  <c r="AD167" i="74"/>
  <c r="EP269" i="77"/>
  <c r="EO269"/>
  <c r="CI283"/>
  <c r="BG292"/>
  <c r="AD292" i="65" s="1"/>
  <c r="BF292" i="77"/>
  <c r="AC292" i="65" s="1"/>
  <c r="JB87" i="77"/>
  <c r="AD87" i="74" s="1"/>
  <c r="JA87" i="77"/>
  <c r="AC87" i="74" s="1"/>
  <c r="AD270"/>
  <c r="AC270"/>
  <c r="DM262" i="77"/>
  <c r="AD262" i="69" s="1"/>
  <c r="DL262" i="77"/>
  <c r="AC262" i="69" s="1"/>
  <c r="BG293" i="77"/>
  <c r="AD293" i="65" s="1"/>
  <c r="BF293" i="77"/>
  <c r="AC293" i="65" s="1"/>
  <c r="AD141" i="68"/>
  <c r="AC141"/>
  <c r="GV372" i="77"/>
  <c r="AD372" i="72" s="1"/>
  <c r="GU372" i="77"/>
  <c r="AC372" i="72" s="1"/>
  <c r="AD163"/>
  <c r="AC163"/>
  <c r="BG98" i="77"/>
  <c r="BF98"/>
  <c r="BG379"/>
  <c r="AD379" i="65" s="1"/>
  <c r="BF379" i="77"/>
  <c r="AC379" i="65" s="1"/>
  <c r="BG202" i="77"/>
  <c r="BF202"/>
  <c r="JB222"/>
  <c r="JA222"/>
  <c r="HY274"/>
  <c r="HX274"/>
  <c r="CJ280"/>
  <c r="AD280" i="68" s="1"/>
  <c r="CI280" i="77"/>
  <c r="AC280" i="68" s="1"/>
  <c r="GV259" i="77"/>
  <c r="GU259"/>
  <c r="AD189" i="68"/>
  <c r="AC189"/>
  <c r="BG362" i="77"/>
  <c r="AC187" i="69"/>
  <c r="HY372" i="77"/>
  <c r="AD372" i="73" s="1"/>
  <c r="HX372" i="77"/>
  <c r="AC372" i="73" s="1"/>
  <c r="EP386" i="77"/>
  <c r="AD395" i="70" s="1"/>
  <c r="EO386" i="77"/>
  <c r="AC395" i="70" s="1"/>
  <c r="DL263" i="77"/>
  <c r="AC263" i="69" s="1"/>
  <c r="DM263" i="77"/>
  <c r="AD263" i="69" s="1"/>
  <c r="CJ365" i="77"/>
  <c r="CI365"/>
  <c r="AD270" i="71"/>
  <c r="AC270"/>
  <c r="BG372" i="77"/>
  <c r="AD372" i="65" s="1"/>
  <c r="BF372" i="77"/>
  <c r="AC372" i="65" s="1"/>
  <c r="HY222" i="77"/>
  <c r="HX222"/>
  <c r="AD109" i="65"/>
  <c r="AC109"/>
  <c r="HY229" i="77"/>
  <c r="HX229"/>
  <c r="BG254"/>
  <c r="BF254"/>
  <c r="HY273"/>
  <c r="HX273"/>
  <c r="CJ262"/>
  <c r="AD262" i="68" s="1"/>
  <c r="CI262" i="77"/>
  <c r="AC262" i="68" s="1"/>
  <c r="CJ394" i="77"/>
  <c r="CI394"/>
  <c r="GV376"/>
  <c r="GU376"/>
  <c r="Z160" i="70"/>
  <c r="BC207" i="77"/>
  <c r="Z207" i="65" s="1"/>
  <c r="EL274" i="77"/>
  <c r="DI395"/>
  <c r="Z395" i="69" s="1"/>
  <c r="Z105"/>
  <c r="BC89" i="77"/>
  <c r="Z89" i="65" s="1"/>
  <c r="AA292" i="70"/>
  <c r="EL292" i="77"/>
  <c r="AA263" i="68"/>
  <c r="CF263" i="77"/>
  <c r="Z154" i="69"/>
  <c r="AA109" i="70"/>
  <c r="Z109"/>
  <c r="GR394" i="77"/>
  <c r="Z394" i="72" s="1"/>
  <c r="AA208" i="70"/>
  <c r="AA187" i="71"/>
  <c r="EL243" i="77"/>
  <c r="Z243" i="70" s="1"/>
  <c r="Z134" i="72"/>
  <c r="AD287" i="69"/>
  <c r="AC287"/>
  <c r="AD176" i="71"/>
  <c r="AC176"/>
  <c r="BG272" i="77"/>
  <c r="BF272"/>
  <c r="BG278"/>
  <c r="BF278"/>
  <c r="GU293"/>
  <c r="AC293" i="72" s="1"/>
  <c r="GV293" i="77"/>
  <c r="AD293" i="72" s="1"/>
  <c r="JB230" i="77"/>
  <c r="JA230"/>
  <c r="HY280"/>
  <c r="AD280" i="73" s="1"/>
  <c r="HX280" i="77"/>
  <c r="AC280" i="73" s="1"/>
  <c r="FS87" i="77"/>
  <c r="AD87" i="71" s="1"/>
  <c r="FR87" i="77"/>
  <c r="AC87" i="71" s="1"/>
  <c r="FS94" i="77"/>
  <c r="FR94"/>
  <c r="BG209"/>
  <c r="AD295" i="65" s="1"/>
  <c r="JB276" i="77"/>
  <c r="JA276"/>
  <c r="AD287" i="72"/>
  <c r="AC287"/>
  <c r="CJ78" i="77"/>
  <c r="CI78"/>
  <c r="AD141" i="70"/>
  <c r="AC141"/>
  <c r="DL292" i="77"/>
  <c r="AC292" i="69" s="1"/>
  <c r="DM292" i="77"/>
  <c r="AD292" i="69" s="1"/>
  <c r="HY292" i="77"/>
  <c r="AD292" i="73" s="1"/>
  <c r="HX292" i="77"/>
  <c r="AC292" i="73" s="1"/>
  <c r="HY285" i="77"/>
  <c r="HX285"/>
  <c r="DM203"/>
  <c r="DL203"/>
  <c r="HY269"/>
  <c r="HX269"/>
  <c r="GV279"/>
  <c r="GU279"/>
  <c r="GV395"/>
  <c r="GU395"/>
  <c r="GV295"/>
  <c r="GU295"/>
  <c r="FS208"/>
  <c r="FR208"/>
  <c r="BG295"/>
  <c r="BF295"/>
  <c r="AC190" i="74"/>
  <c r="AD190"/>
  <c r="BG269" i="77"/>
  <c r="BF269"/>
  <c r="JB274"/>
  <c r="JA274"/>
  <c r="DM223"/>
  <c r="DL223"/>
  <c r="CJ275"/>
  <c r="AD275" i="68" s="1"/>
  <c r="CI275" i="77"/>
  <c r="AC275" i="68" s="1"/>
  <c r="GV272" i="77"/>
  <c r="GU272"/>
  <c r="CI252"/>
  <c r="CJ252"/>
  <c r="GV262"/>
  <c r="AD262" i="72" s="1"/>
  <c r="GU262" i="77"/>
  <c r="AC262" i="72" s="1"/>
  <c r="GV207" i="77"/>
  <c r="AD207" i="72" s="1"/>
  <c r="GU207" i="77"/>
  <c r="AC207" i="72" s="1"/>
  <c r="FS78" i="77"/>
  <c r="AD78" i="71" s="1"/>
  <c r="FR78" i="77"/>
  <c r="AC78" i="71" s="1"/>
  <c r="EP265" i="77"/>
  <c r="AD265" i="70" s="1"/>
  <c r="EO265" i="77"/>
  <c r="AC265" i="70" s="1"/>
  <c r="AD140" i="65"/>
  <c r="AD285" i="74"/>
  <c r="AC285"/>
  <c r="EO98" i="77"/>
  <c r="EP98"/>
  <c r="HY278"/>
  <c r="HX278"/>
  <c r="GV202"/>
  <c r="GU202"/>
  <c r="DL354"/>
  <c r="AC354" i="69" s="1"/>
  <c r="DM354" i="77"/>
  <c r="AD354" i="69" s="1"/>
  <c r="AD103" i="70"/>
  <c r="AC103"/>
  <c r="BF273" i="77"/>
  <c r="BG273"/>
  <c r="JA225"/>
  <c r="JB225"/>
  <c r="FS268"/>
  <c r="FR268"/>
  <c r="DM372"/>
  <c r="DL372"/>
  <c r="HY94"/>
  <c r="HX94"/>
  <c r="GV222"/>
  <c r="GU222"/>
  <c r="AD153" i="73"/>
  <c r="AC153"/>
  <c r="GV365" i="77"/>
  <c r="GU365"/>
  <c r="AC365" i="72" s="1"/>
  <c r="BF385" i="77"/>
  <c r="AC394" i="65" s="1"/>
  <c r="JB79" i="77"/>
  <c r="JA79"/>
  <c r="HY275"/>
  <c r="AD275" i="73" s="1"/>
  <c r="HX275" i="77"/>
  <c r="AC275" i="73" s="1"/>
  <c r="FS273" i="77"/>
  <c r="FR273"/>
  <c r="EP225"/>
  <c r="JB202"/>
  <c r="JA202"/>
  <c r="HY270"/>
  <c r="AD153" i="72"/>
  <c r="AC153"/>
  <c r="AC290" i="69"/>
  <c r="HY365" i="77"/>
  <c r="AD365" i="73" s="1"/>
  <c r="HX365" i="77"/>
  <c r="BF240"/>
  <c r="BG240"/>
  <c r="JB263"/>
  <c r="AD263" i="74" s="1"/>
  <c r="JA263" i="77"/>
  <c r="AC263" i="74" s="1"/>
  <c r="BF222" i="77"/>
  <c r="BG222"/>
  <c r="EP278"/>
  <c r="EO278"/>
  <c r="HY87"/>
  <c r="AD87" i="73" s="1"/>
  <c r="HX87" i="77"/>
  <c r="AC87" i="73" s="1"/>
  <c r="AD391" i="72"/>
  <c r="AC391"/>
  <c r="AD176"/>
  <c r="AC176"/>
  <c r="FS279" i="77"/>
  <c r="FR279"/>
  <c r="JB250"/>
  <c r="JA250"/>
  <c r="JB280"/>
  <c r="AD280" i="74" s="1"/>
  <c r="JA280" i="77"/>
  <c r="AC280" i="74" s="1"/>
  <c r="HY223" i="77"/>
  <c r="HX223"/>
  <c r="FS394"/>
  <c r="FR394"/>
  <c r="JB295"/>
  <c r="JA295"/>
  <c r="FS362"/>
  <c r="FR362"/>
  <c r="GV275"/>
  <c r="AD275" i="72" s="1"/>
  <c r="GU275" i="77"/>
  <c r="AC275" i="72" s="1"/>
  <c r="GU283" i="77"/>
  <c r="AD165" i="72"/>
  <c r="AC164" i="69"/>
  <c r="AD164"/>
  <c r="DM393" i="77"/>
  <c r="AD393" i="69" s="1"/>
  <c r="AD135" i="72"/>
  <c r="AC135"/>
  <c r="GV274" i="77"/>
  <c r="GU274"/>
  <c r="AD290" i="68"/>
  <c r="AC290"/>
  <c r="CI203" i="77"/>
  <c r="CJ203"/>
  <c r="AC155" i="69"/>
  <c r="AD155"/>
  <c r="DL79" i="77"/>
  <c r="HX287"/>
  <c r="BG268"/>
  <c r="BF268"/>
  <c r="HY276"/>
  <c r="HX276"/>
  <c r="BG282"/>
  <c r="AD282" i="65" s="1"/>
  <c r="BF282" i="77"/>
  <c r="AC282" i="65" s="1"/>
  <c r="DM288" i="77"/>
  <c r="AD288" i="69" s="1"/>
  <c r="AC291" i="68"/>
  <c r="AD291"/>
  <c r="GV282" i="77"/>
  <c r="AD282" i="72" s="1"/>
  <c r="EJ290" i="77"/>
  <c r="EM290" s="1"/>
  <c r="AA206" i="65"/>
  <c r="Z144"/>
  <c r="FO225" i="77"/>
  <c r="Z225" i="71" s="1"/>
  <c r="Z116"/>
  <c r="CF276" i="77"/>
  <c r="CF272"/>
  <c r="FO209"/>
  <c r="Z209" i="71" s="1"/>
  <c r="Z185" i="70"/>
  <c r="AA140" i="69"/>
  <c r="Z140"/>
  <c r="Z110" i="65"/>
  <c r="DI265" i="77"/>
  <c r="FO254"/>
  <c r="Z254" i="71" s="1"/>
  <c r="DI284" i="77"/>
  <c r="AA79" i="70"/>
  <c r="EL79" i="77"/>
  <c r="Z79" i="70" s="1"/>
  <c r="AA270" i="68"/>
  <c r="BC208" i="77"/>
  <c r="Z208" i="65" s="1"/>
  <c r="AA289" i="68"/>
  <c r="CF289" i="77"/>
  <c r="AD151" i="72"/>
  <c r="AC151"/>
  <c r="Z173" i="70"/>
  <c r="HU376" i="77"/>
  <c r="Z376" i="73" s="1"/>
  <c r="Z122" i="70"/>
  <c r="AA78" i="65"/>
  <c r="Z201" i="70"/>
  <c r="AA139" i="69"/>
  <c r="Z139"/>
  <c r="AA354" i="74"/>
  <c r="IX354" i="77"/>
  <c r="Z354" i="74" s="1"/>
  <c r="DI202" i="77"/>
  <c r="Z202" i="69" s="1"/>
  <c r="CF268" i="77"/>
  <c r="Z177" i="68"/>
  <c r="Z128" i="69"/>
  <c r="Z178"/>
  <c r="AA294"/>
  <c r="DI294" i="77"/>
  <c r="AA265" i="68"/>
  <c r="AA211" i="71"/>
  <c r="Z211"/>
  <c r="Z146" i="69"/>
  <c r="AA262" i="65"/>
  <c r="AA282" i="70"/>
  <c r="EL282" i="77"/>
  <c r="Z133" i="68"/>
  <c r="CF266" i="77"/>
  <c r="AD153" i="71"/>
  <c r="AC153"/>
  <c r="EO266" i="77"/>
  <c r="EP266"/>
  <c r="AD163" i="71"/>
  <c r="AC163"/>
  <c r="BG394" i="77"/>
  <c r="BF394"/>
  <c r="JB365"/>
  <c r="JA365"/>
  <c r="DL376"/>
  <c r="DM376"/>
  <c r="AD167" i="65"/>
  <c r="AC167"/>
  <c r="CJ386" i="77"/>
  <c r="AD395" i="68" s="1"/>
  <c r="CI386" i="77"/>
  <c r="AC395" i="68" s="1"/>
  <c r="GV276" i="77"/>
  <c r="GU276"/>
  <c r="HY295"/>
  <c r="HX295"/>
  <c r="EP202"/>
  <c r="EO202"/>
  <c r="CJ207"/>
  <c r="CI207"/>
  <c r="JB272"/>
  <c r="JA272"/>
  <c r="AC103" i="69"/>
  <c r="AD103"/>
  <c r="AD287" i="74"/>
  <c r="AC287"/>
  <c r="HY267" i="77"/>
  <c r="AD267" i="73" s="1"/>
  <c r="HX267" i="77"/>
  <c r="AC267" i="73" s="1"/>
  <c r="AD167" i="69"/>
  <c r="AC167"/>
  <c r="HY264" i="77"/>
  <c r="AD264" i="73" s="1"/>
  <c r="GV269" i="77"/>
  <c r="GU269"/>
  <c r="GV362"/>
  <c r="GU362"/>
  <c r="GV393"/>
  <c r="AD393" i="72" s="1"/>
  <c r="GU393" i="77"/>
  <c r="AC393" i="72" s="1"/>
  <c r="Z117" i="69"/>
  <c r="AC187" i="70"/>
  <c r="EP200" i="77"/>
  <c r="EO200"/>
  <c r="AA267" i="71"/>
  <c r="FO267" i="77"/>
  <c r="Z179" i="70"/>
  <c r="FO274" i="77"/>
  <c r="Z185" i="68"/>
  <c r="Z185" i="65"/>
  <c r="Z134" i="69"/>
  <c r="AA166" i="68"/>
  <c r="Z166"/>
  <c r="GR385" i="77"/>
  <c r="Z385" i="72" s="1"/>
  <c r="AA294" i="68"/>
  <c r="CF294" i="77"/>
  <c r="FO272"/>
  <c r="Z171" i="70"/>
  <c r="DI270" i="77"/>
  <c r="CF230"/>
  <c r="Z230" i="68" s="1"/>
  <c r="AA165"/>
  <c r="Z165"/>
  <c r="AA142" i="65"/>
  <c r="Z142"/>
  <c r="AA109" i="69"/>
  <c r="Z109"/>
  <c r="Z198" i="65"/>
  <c r="AA270" i="69"/>
  <c r="Z219"/>
  <c r="AA115" i="68"/>
  <c r="Z115"/>
  <c r="AC140" i="74"/>
  <c r="AD140"/>
  <c r="JB264" i="77"/>
  <c r="AD264" i="74" s="1"/>
  <c r="JA264" i="77"/>
  <c r="AC264" i="74" s="1"/>
  <c r="BG276" i="77"/>
  <c r="BF276"/>
  <c r="GV79"/>
  <c r="GU79"/>
  <c r="EO382"/>
  <c r="AC382" i="70" s="1"/>
  <c r="EP354" i="77"/>
  <c r="AD354" i="70" s="1"/>
  <c r="EO354" i="77"/>
  <c r="AC354" i="70" s="1"/>
  <c r="HY230" i="77"/>
  <c r="HX230"/>
  <c r="AC139" i="68"/>
  <c r="BG94" i="77"/>
  <c r="FR250"/>
  <c r="FS79"/>
  <c r="FR79"/>
  <c r="AD164" i="74"/>
  <c r="AC164"/>
  <c r="AC102" i="69"/>
  <c r="AD102"/>
  <c r="AD287" i="73"/>
  <c r="CJ385" i="77"/>
  <c r="AD394" i="68" s="1"/>
  <c r="CI385" i="77"/>
  <c r="AC394" i="68" s="1"/>
  <c r="AD164" i="72"/>
  <c r="AD187" i="68"/>
  <c r="AC187"/>
  <c r="GV89" i="77"/>
  <c r="GU89"/>
  <c r="GU285"/>
  <c r="GV285"/>
  <c r="Z158" i="70"/>
  <c r="FS262" i="77"/>
  <c r="AD262" i="71" s="1"/>
  <c r="FR262" i="77"/>
  <c r="AC262" i="71" s="1"/>
  <c r="BF294" i="77"/>
  <c r="AC294" i="65" s="1"/>
  <c r="JB385" i="77"/>
  <c r="AD394" i="74" s="1"/>
  <c r="JA385" i="77"/>
  <c r="AC394" i="74" s="1"/>
  <c r="EO222" i="77"/>
  <c r="EP222"/>
  <c r="EO267"/>
  <c r="AC267" i="70" s="1"/>
  <c r="EP270" i="77"/>
  <c r="EO270"/>
  <c r="AD154" i="71"/>
  <c r="AC154"/>
  <c r="FS393" i="77"/>
  <c r="AD393" i="71" s="1"/>
  <c r="FR393" i="77"/>
  <c r="AC393" i="71" s="1"/>
  <c r="EO273" i="77"/>
  <c r="EP273"/>
  <c r="DL206"/>
  <c r="DM206"/>
  <c r="AD102" i="65"/>
  <c r="AC102"/>
  <c r="AC287"/>
  <c r="AD287"/>
  <c r="JA268" i="77"/>
  <c r="JB268"/>
  <c r="HY263"/>
  <c r="AD263" i="73" s="1"/>
  <c r="HX263" i="77"/>
  <c r="AC263" i="73" s="1"/>
  <c r="FS283" i="77"/>
  <c r="FR283"/>
  <c r="BG285"/>
  <c r="BF285"/>
  <c r="GV229"/>
  <c r="GU229"/>
  <c r="CJ362"/>
  <c r="CI362"/>
  <c r="BG250"/>
  <c r="BF250"/>
  <c r="EP280"/>
  <c r="AD280" i="70" s="1"/>
  <c r="EO280" i="77"/>
  <c r="AC280" i="70" s="1"/>
  <c r="DM296" i="77"/>
  <c r="AD296" i="69" s="1"/>
  <c r="DL296" i="77"/>
  <c r="AC296" i="69" s="1"/>
  <c r="AD285" i="70"/>
  <c r="AC285"/>
  <c r="EP279" i="77"/>
  <c r="EO279"/>
  <c r="CI270"/>
  <c r="CJ279"/>
  <c r="CI279"/>
  <c r="AD163" i="69"/>
  <c r="AC163"/>
  <c r="BG223" i="77"/>
  <c r="BF223"/>
  <c r="AD115" i="73"/>
  <c r="AC115"/>
  <c r="DM250" i="77"/>
  <c r="DL250"/>
  <c r="CJ87"/>
  <c r="AD87" i="68" s="1"/>
  <c r="CI87" i="77"/>
  <c r="AC87" i="68" s="1"/>
  <c r="AC139" i="72"/>
  <c r="AD139"/>
  <c r="DM78" i="77"/>
  <c r="DL78"/>
  <c r="CJ209"/>
  <c r="AD295" i="68" s="1"/>
  <c r="CJ383" i="77"/>
  <c r="EP295"/>
  <c r="EO295"/>
  <c r="JB229"/>
  <c r="JA229"/>
  <c r="DM293"/>
  <c r="AD293" i="69" s="1"/>
  <c r="DL293" i="77"/>
  <c r="AC293" i="69" s="1"/>
  <c r="FS89" i="77"/>
  <c r="FR89"/>
  <c r="JA279"/>
  <c r="AC135" i="74"/>
  <c r="AD135"/>
  <c r="GU230" i="77"/>
  <c r="GV230"/>
  <c r="Z201" i="69"/>
  <c r="AA109" i="71"/>
  <c r="Z109"/>
  <c r="EL203" i="77"/>
  <c r="Z203" i="70" s="1"/>
  <c r="Z149"/>
  <c r="CF202" i="77"/>
  <c r="Z202" i="68" s="1"/>
  <c r="AA292" i="71"/>
  <c r="FO292" i="77"/>
  <c r="AA139" i="70"/>
  <c r="Z139"/>
  <c r="AA164" i="73"/>
  <c r="Z164"/>
  <c r="CF243" i="77"/>
  <c r="Z243" i="68" s="1"/>
  <c r="Z101" i="65"/>
  <c r="AA163" i="73"/>
  <c r="Z163"/>
  <c r="Z133" i="70"/>
  <c r="AA285" i="69"/>
  <c r="Z192"/>
  <c r="Z156"/>
  <c r="Z113" i="70"/>
  <c r="Z155" i="65"/>
  <c r="EL254" i="77"/>
  <c r="Z254" i="70" s="1"/>
  <c r="Z116" i="68"/>
  <c r="AC285" i="71"/>
  <c r="AD285"/>
  <c r="EP78" i="77"/>
  <c r="AD78" i="70" s="1"/>
  <c r="EO78" i="77"/>
  <c r="AC78" i="70" s="1"/>
  <c r="FS277" i="77"/>
  <c r="FR277"/>
  <c r="BG265"/>
  <c r="AD265" i="65" s="1"/>
  <c r="BF265" i="77"/>
  <c r="AC265" i="65" s="1"/>
  <c r="JB208" i="77"/>
  <c r="JA208"/>
  <c r="AC166" i="71"/>
  <c r="FS386" i="77"/>
  <c r="FR386"/>
  <c r="DM229"/>
  <c r="FS243"/>
  <c r="FR243"/>
  <c r="BG270"/>
  <c r="BF270"/>
  <c r="GU287"/>
  <c r="GV287"/>
  <c r="BF266"/>
  <c r="JA376"/>
  <c r="JB376"/>
  <c r="HY394"/>
  <c r="HX394"/>
  <c r="HY294"/>
  <c r="AD294" i="73" s="1"/>
  <c r="AD140" i="68"/>
  <c r="AC140"/>
  <c r="AC190"/>
  <c r="AD190"/>
  <c r="GU240" i="77"/>
  <c r="AC164" i="68"/>
  <c r="AD164" i="71"/>
  <c r="AC164"/>
  <c r="JA384" i="77"/>
  <c r="DL364"/>
  <c r="AC383" i="69" s="1"/>
  <c r="DM364" i="77"/>
  <c r="AD383" i="69" s="1"/>
  <c r="FS278" i="77"/>
  <c r="FR278"/>
  <c r="AD211" i="74"/>
  <c r="AC211"/>
  <c r="DM254" i="77"/>
  <c r="DL254"/>
  <c r="FS294"/>
  <c r="AD294" i="71" s="1"/>
  <c r="FR294" i="77"/>
  <c r="AC294" i="71" s="1"/>
  <c r="BF288" i="77"/>
  <c r="AC288" i="65" s="1"/>
  <c r="BG288" i="77"/>
  <c r="AD288" i="65" s="1"/>
  <c r="HY208" i="77"/>
  <c r="HX208"/>
  <c r="GV379"/>
  <c r="AD379" i="72" s="1"/>
  <c r="GU379" i="77"/>
  <c r="AC379" i="72" s="1"/>
  <c r="GV270" i="77"/>
  <c r="GU270"/>
  <c r="CJ206"/>
  <c r="CI206"/>
  <c r="FS376"/>
  <c r="FR376"/>
  <c r="EP379"/>
  <c r="AD379" i="70" s="1"/>
  <c r="EO379" i="77"/>
  <c r="AC379" i="70" s="1"/>
  <c r="JA372" i="77"/>
  <c r="AC372" i="74" s="1"/>
  <c r="FS285" i="77"/>
  <c r="FR285"/>
  <c r="AC190" i="65"/>
  <c r="AD190"/>
  <c r="FS98" i="77"/>
  <c r="FR98"/>
  <c r="JB394"/>
  <c r="JA394"/>
  <c r="GU294"/>
  <c r="AC294" i="72" s="1"/>
  <c r="GV294" i="77"/>
  <c r="AD294" i="72" s="1"/>
  <c r="GV94" i="77"/>
  <c r="GU94"/>
  <c r="JB254"/>
  <c r="JA254"/>
  <c r="CJ277"/>
  <c r="CI277"/>
  <c r="AD165" i="69"/>
  <c r="AC165"/>
  <c r="HY268" i="77"/>
  <c r="HX268"/>
  <c r="BG280"/>
  <c r="AD280" i="65" s="1"/>
  <c r="BF280" i="77"/>
  <c r="AC280" i="65" s="1"/>
  <c r="DM362" i="77"/>
  <c r="DL362"/>
  <c r="FS270"/>
  <c r="FR270"/>
  <c r="EP296"/>
  <c r="AD296" i="70" s="1"/>
  <c r="AD140" i="73"/>
  <c r="AC140"/>
  <c r="FS207" i="77"/>
  <c r="FR207"/>
  <c r="HY354"/>
  <c r="AD354" i="73" s="1"/>
  <c r="HX354" i="77"/>
  <c r="AC354" i="73" s="1"/>
  <c r="HY98" i="77"/>
  <c r="AD98" i="73" s="1"/>
  <c r="CJ379" i="77"/>
  <c r="AD379" i="68" s="1"/>
  <c r="CI379" i="77"/>
  <c r="AC379" i="68" s="1"/>
  <c r="AD243" i="71"/>
  <c r="AC243"/>
  <c r="AC139" i="74"/>
  <c r="AD139"/>
  <c r="JB277" i="77"/>
  <c r="JA277"/>
  <c r="HY78"/>
  <c r="AD78" i="73" s="1"/>
  <c r="HX78" i="77"/>
  <c r="AC78" i="73" s="1"/>
  <c r="AD141" i="71"/>
  <c r="AC141"/>
  <c r="HX282" i="77"/>
  <c r="AC282" i="73" s="1"/>
  <c r="GU209" i="77"/>
  <c r="AC295" i="72" s="1"/>
  <c r="GV209" i="77"/>
  <c r="AD295" i="72" s="1"/>
  <c r="AD139" i="65"/>
  <c r="AC139"/>
  <c r="AD176" i="73"/>
  <c r="AC176"/>
  <c r="HY395" i="77"/>
  <c r="HX395"/>
  <c r="AC252" i="68"/>
  <c r="AD252"/>
  <c r="FR296" i="77"/>
  <c r="AC296" i="71" s="1"/>
  <c r="EP364" i="77"/>
  <c r="AD383" i="70" s="1"/>
  <c r="EO364" i="77"/>
  <c r="AC383" i="70" s="1"/>
  <c r="DM207" i="77"/>
  <c r="DL207"/>
  <c r="AD154" i="73"/>
  <c r="AC154"/>
  <c r="DM384" i="77"/>
  <c r="DL384"/>
  <c r="AD102" i="73"/>
  <c r="AC102"/>
  <c r="CJ259" i="77"/>
  <c r="CI259"/>
  <c r="AD109" i="72"/>
  <c r="EP288" i="77"/>
  <c r="AD288" i="70" s="1"/>
  <c r="EO288" i="77"/>
  <c r="AC288" i="70" s="1"/>
  <c r="HY272" i="77"/>
  <c r="HX272"/>
  <c r="FS384"/>
  <c r="FR384"/>
  <c r="BG287"/>
  <c r="AD142" i="72"/>
  <c r="AD115"/>
  <c r="AC115"/>
  <c r="GV267" i="77"/>
  <c r="AD267" i="72" s="1"/>
  <c r="GU267" i="77"/>
  <c r="AC267" i="72" s="1"/>
  <c r="FS259" i="77"/>
  <c r="JB89"/>
  <c r="JA89"/>
  <c r="HY243"/>
  <c r="GV292"/>
  <c r="AD292" i="72" s="1"/>
  <c r="GU292" i="77"/>
  <c r="AC292" i="72" s="1"/>
  <c r="AD140"/>
  <c r="AC140"/>
  <c r="AD115" i="69"/>
  <c r="AC115"/>
  <c r="EO277" i="77"/>
  <c r="HY89"/>
  <c r="HX89"/>
  <c r="BG393"/>
  <c r="AD393" i="65" s="1"/>
  <c r="BF393" i="77"/>
  <c r="AC393" i="65" s="1"/>
  <c r="EP383" i="77"/>
  <c r="DM365"/>
  <c r="DL365"/>
  <c r="AD285" i="73"/>
  <c r="AC285"/>
  <c r="BG263" i="77"/>
  <c r="AD263" i="65" s="1"/>
  <c r="CJ267" i="77"/>
  <c r="AD267" i="68" s="1"/>
  <c r="AD187" i="73"/>
  <c r="AD109" i="68"/>
  <c r="AC109"/>
  <c r="AD155"/>
  <c r="AC155"/>
  <c r="AD190" i="72"/>
  <c r="AC190"/>
  <c r="GU354" i="77"/>
  <c r="AC354" i="72" s="1"/>
  <c r="GV354" i="77"/>
  <c r="AD354" i="72" s="1"/>
  <c r="IX259" i="77"/>
  <c r="Z259" i="74" s="1"/>
  <c r="AA120" i="69"/>
  <c r="Z120"/>
  <c r="Z186" i="70"/>
  <c r="AA176"/>
  <c r="Z176"/>
  <c r="Z135" i="73"/>
  <c r="AA263" i="70"/>
  <c r="EL263" i="77"/>
  <c r="Z119" i="68"/>
  <c r="Z106" i="74"/>
  <c r="HU384" i="77"/>
  <c r="Z384" i="73" s="1"/>
  <c r="AA288"/>
  <c r="HU288" i="77"/>
  <c r="Z110" i="70"/>
  <c r="Z241"/>
  <c r="AA163" i="68"/>
  <c r="Z163"/>
  <c r="GV63" i="77"/>
  <c r="AD63" i="72" s="1"/>
  <c r="GU63" i="77"/>
  <c r="AC63" i="72" s="1"/>
  <c r="FO295" i="77"/>
  <c r="AA394" i="70"/>
  <c r="Z141" i="69"/>
  <c r="BC203" i="77"/>
  <c r="Z203" i="65" s="1"/>
  <c r="Z241" i="71"/>
  <c r="AA291" i="70"/>
  <c r="HU250" i="77"/>
  <c r="Z250" i="73" s="1"/>
  <c r="Z130" i="70"/>
  <c r="AA391" i="68"/>
  <c r="Z391"/>
  <c r="BC364" i="77"/>
  <c r="Z364" i="65" s="1"/>
  <c r="CF223" i="77"/>
  <c r="Z223" i="68" s="1"/>
  <c r="AA290" i="65"/>
  <c r="Z122"/>
  <c r="AA265" i="71"/>
  <c r="FO265" i="77"/>
  <c r="GR98"/>
  <c r="Z98" i="72" s="1"/>
  <c r="AA166" i="65"/>
  <c r="Z130" i="69"/>
  <c r="Z134" i="70"/>
  <c r="DI295" i="77"/>
  <c r="GR223"/>
  <c r="Z223" i="72" s="1"/>
  <c r="Z156" i="68"/>
  <c r="AD135" i="71"/>
  <c r="AC135"/>
  <c r="BG384" i="77"/>
  <c r="BF384"/>
  <c r="AD187" i="74"/>
  <c r="AC187"/>
  <c r="FS222" i="77"/>
  <c r="FR222"/>
  <c r="BG264"/>
  <c r="AD264" i="65" s="1"/>
  <c r="BF264" i="77"/>
  <c r="AC264" i="65" s="1"/>
  <c r="JB240" i="77"/>
  <c r="JA240"/>
  <c r="JB209"/>
  <c r="AD295" i="74" s="1"/>
  <c r="JA209" i="77"/>
  <c r="AC295" i="74" s="1"/>
  <c r="HY279" i="77"/>
  <c r="HX279"/>
  <c r="FS379"/>
  <c r="AD379" i="71" s="1"/>
  <c r="FR379" i="77"/>
  <c r="AC379" i="71" s="1"/>
  <c r="BG275" i="77"/>
  <c r="AD275" i="65" s="1"/>
  <c r="BF275" i="77"/>
  <c r="AC275" i="65" s="1"/>
  <c r="JB269" i="77"/>
  <c r="JA269"/>
  <c r="GV265"/>
  <c r="AD265" i="72" s="1"/>
  <c r="AC391" i="70"/>
  <c r="AD391"/>
  <c r="HY254" i="77"/>
  <c r="HX254"/>
  <c r="CJ284"/>
  <c r="GV384"/>
  <c r="GU384"/>
  <c r="AD190" i="71"/>
  <c r="AC190"/>
  <c r="AC163" i="74"/>
  <c r="AD163"/>
  <c r="HY202" i="77"/>
  <c r="HX202"/>
  <c r="FS240"/>
  <c r="FR240"/>
  <c r="EP87"/>
  <c r="AD87" i="70" s="1"/>
  <c r="EO87" i="77"/>
  <c r="AC87" i="70" s="1"/>
  <c r="DM290" i="77"/>
  <c r="DL290"/>
  <c r="CJ382"/>
  <c r="AD382" i="68" s="1"/>
  <c r="CI382" i="77"/>
  <c r="AC382" i="68" s="1"/>
  <c r="GV382" i="77"/>
  <c r="AD382" i="72" s="1"/>
  <c r="GU382" i="77"/>
  <c r="AC382" i="72" s="1"/>
  <c r="AD166"/>
  <c r="AC166"/>
  <c r="Z216" i="68"/>
  <c r="AA146" i="71"/>
  <c r="Z146"/>
  <c r="AA294" i="70"/>
  <c r="EL294" i="77"/>
  <c r="Z146" i="65"/>
  <c r="AA293" i="70"/>
  <c r="EL293" i="77"/>
  <c r="AA275" i="70"/>
  <c r="EL275" i="77"/>
  <c r="Z149" i="69"/>
  <c r="BC284" i="77"/>
  <c r="DI273"/>
  <c r="Z215" i="65"/>
  <c r="EL362" i="77"/>
  <c r="Z362" i="70" s="1"/>
  <c r="Z142" i="68"/>
  <c r="AA296" i="72"/>
  <c r="GR296" i="77"/>
  <c r="DI385"/>
  <c r="Z385" i="69" s="1"/>
  <c r="Z101" i="70"/>
  <c r="AA280" i="72"/>
  <c r="GR280" i="77"/>
  <c r="AD187" i="72"/>
  <c r="AC187"/>
  <c r="AD441" i="68"/>
  <c r="AC441"/>
  <c r="BF229" i="77"/>
  <c r="BG229"/>
  <c r="AD285" i="65"/>
  <c r="AC285"/>
  <c r="DL225" i="77"/>
  <c r="JB223"/>
  <c r="JA223"/>
  <c r="GV263"/>
  <c r="AD263" i="72" s="1"/>
  <c r="GU263" i="77"/>
  <c r="AC263" i="72" s="1"/>
  <c r="JB273" i="77"/>
  <c r="JA273"/>
  <c r="CJ296"/>
  <c r="AD296" i="68" s="1"/>
  <c r="DM243" i="77"/>
  <c r="AD166" i="69"/>
  <c r="FS223" i="77"/>
  <c r="FR223"/>
  <c r="EP259"/>
  <c r="EO259"/>
  <c r="EP276"/>
  <c r="EO276"/>
  <c r="DM287"/>
  <c r="DL287"/>
  <c r="AD166" i="73"/>
  <c r="HY265" i="77"/>
  <c r="AD265" i="73" s="1"/>
  <c r="HX265" i="77"/>
  <c r="AC265" i="73" s="1"/>
  <c r="AD167"/>
  <c r="AD195"/>
  <c r="AC135" i="68"/>
  <c r="AA408" i="70"/>
  <c r="EL232" i="77"/>
  <c r="Z232" i="70" s="1"/>
  <c r="AA30" i="71"/>
  <c r="FS30" i="77"/>
  <c r="AD30" i="71" s="1"/>
  <c r="FR30" i="77"/>
  <c r="AC30" i="71" s="1"/>
  <c r="HS377" i="77"/>
  <c r="HV377" s="1"/>
  <c r="GV266"/>
  <c r="GU266"/>
  <c r="HU266"/>
  <c r="AD291" i="72"/>
  <c r="AC291"/>
  <c r="GV284" i="77"/>
  <c r="GU284"/>
  <c r="HU284"/>
  <c r="GV252"/>
  <c r="GU252"/>
  <c r="HU252"/>
  <c r="Z252" i="73" s="1"/>
  <c r="Z215"/>
  <c r="GV206" i="77"/>
  <c r="GU206"/>
  <c r="HU206"/>
  <c r="Z206" i="73" s="1"/>
  <c r="AD189" i="72"/>
  <c r="AC189"/>
  <c r="Z189" i="73"/>
  <c r="Z173"/>
  <c r="Z158"/>
  <c r="AD252" i="72"/>
  <c r="AC252"/>
  <c r="Z149" i="73"/>
  <c r="Z144"/>
  <c r="Z130"/>
  <c r="Z123"/>
  <c r="Z117"/>
  <c r="Z110"/>
  <c r="GV383" i="77"/>
  <c r="GU383"/>
  <c r="HU383"/>
  <c r="Z383" i="73" s="1"/>
  <c r="GV364" i="77"/>
  <c r="AD383" i="72" s="1"/>
  <c r="GU364" i="77"/>
  <c r="AC383" i="72" s="1"/>
  <c r="Z120" i="73"/>
  <c r="AD103" i="72"/>
  <c r="AC103"/>
  <c r="GV290" i="77"/>
  <c r="GU290"/>
  <c r="HU290"/>
  <c r="Z213" i="73"/>
  <c r="GV203" i="77"/>
  <c r="GU203"/>
  <c r="HU203"/>
  <c r="Z203" i="73" s="1"/>
  <c r="AD155" i="72"/>
  <c r="AC155"/>
  <c r="Z155" i="73"/>
  <c r="AD290" i="72"/>
  <c r="AC290"/>
  <c r="Z122" i="73"/>
  <c r="AD213" i="72"/>
  <c r="Z101" i="73"/>
  <c r="BC363" i="77"/>
  <c r="Z363" i="65" s="1"/>
  <c r="Z157" i="68"/>
  <c r="Z381" i="65"/>
  <c r="Z129" i="69"/>
  <c r="AD129" i="70"/>
  <c r="AC129"/>
  <c r="Z214" i="65"/>
  <c r="Z129" i="71"/>
  <c r="CJ377" i="77"/>
  <c r="AD377" i="68" s="1"/>
  <c r="Z214" i="69"/>
  <c r="BC97" i="77"/>
  <c r="Z97" i="65" s="1"/>
  <c r="Z104" i="71"/>
  <c r="FO363" i="77"/>
  <c r="Z363" i="71" s="1"/>
  <c r="Z381" i="70"/>
  <c r="BC377" i="77"/>
  <c r="Z377" i="65" s="1"/>
  <c r="EO363" i="77"/>
  <c r="EP363"/>
  <c r="Z381" i="73"/>
  <c r="GV377" i="77"/>
  <c r="AD377" i="72" s="1"/>
  <c r="GU377" i="77"/>
  <c r="AC377" i="72" s="1"/>
  <c r="AA22" i="68"/>
  <c r="GV363" i="77"/>
  <c r="GU363"/>
  <c r="HU363"/>
  <c r="Z363" i="73" s="1"/>
  <c r="AA198" i="70"/>
  <c r="DG439" i="77"/>
  <c r="DJ439" s="1"/>
  <c r="Z441" i="70"/>
  <c r="AA144" i="72"/>
  <c r="AA149"/>
  <c r="CD432" i="77"/>
  <c r="CG432" s="1"/>
  <c r="AA384" i="71"/>
  <c r="AA200"/>
  <c r="AA193"/>
  <c r="AA441" i="74"/>
  <c r="AC441"/>
  <c r="AD441"/>
  <c r="Z197" i="71"/>
  <c r="Z251"/>
  <c r="AA219"/>
  <c r="Z13" i="69"/>
  <c r="FM352" i="77"/>
  <c r="FP352" s="1"/>
  <c r="Z214" i="73"/>
  <c r="GR253" i="77"/>
  <c r="Z253" i="72" s="1"/>
  <c r="BG232" i="77"/>
  <c r="BF232"/>
  <c r="AA219" i="74"/>
  <c r="AA215" i="72"/>
  <c r="BC236" i="77"/>
  <c r="Z236" i="65" s="1"/>
  <c r="CD220" i="77"/>
  <c r="CG220" s="1"/>
  <c r="GP67"/>
  <c r="X128" i="69"/>
  <c r="Z61" i="71"/>
  <c r="DI93" i="77"/>
  <c r="Z93" i="69" s="1"/>
  <c r="Z125" i="68"/>
  <c r="DG45" i="77"/>
  <c r="DJ45" s="1"/>
  <c r="AA142" i="73"/>
  <c r="EJ402" i="77"/>
  <c r="EM402" s="1"/>
  <c r="EJ32"/>
  <c r="EM32" s="1"/>
  <c r="AA61" i="71"/>
  <c r="Z17" i="70"/>
  <c r="AA365" i="73"/>
  <c r="HS353" i="77"/>
  <c r="AA457" i="73"/>
  <c r="AA58" i="68"/>
  <c r="FO374" i="77"/>
  <c r="Z374" i="71" s="1"/>
  <c r="GR29" i="77"/>
  <c r="Z29" i="72" s="1"/>
  <c r="Z91" i="65"/>
  <c r="Z31" i="70"/>
  <c r="FO402" i="77"/>
  <c r="Z402" i="71" s="1"/>
  <c r="FR442" i="77"/>
  <c r="AC442" i="71" s="1"/>
  <c r="AA59" i="68"/>
  <c r="EL37" i="77"/>
  <c r="Z37" i="70" s="1"/>
  <c r="IX42" i="77"/>
  <c r="Z42" i="74" s="1"/>
  <c r="FO420" i="77"/>
  <c r="Z420" i="71" s="1"/>
  <c r="GR84" i="77"/>
  <c r="Z84" i="72" s="1"/>
  <c r="Z169" i="74"/>
  <c r="Z13" i="70"/>
  <c r="HS59" i="77"/>
  <c r="HV59" s="1"/>
  <c r="AA94" i="72"/>
  <c r="IX257" i="77"/>
  <c r="Z257" i="74" s="1"/>
  <c r="JB205" i="77"/>
  <c r="AA249" i="73"/>
  <c r="AA206" i="74"/>
  <c r="AA250"/>
  <c r="BC409" i="77"/>
  <c r="Z409" i="65" s="1"/>
  <c r="HS443" i="77"/>
  <c r="HV443" s="1"/>
  <c r="IV245"/>
  <c r="Z121" i="70"/>
  <c r="FR358" i="77"/>
  <c r="AC358" i="71" s="1"/>
  <c r="Z111" i="72"/>
  <c r="Z180"/>
  <c r="DG28" i="77"/>
  <c r="AA65" i="69"/>
  <c r="HU457" i="77"/>
  <c r="Z457" i="73" s="1"/>
  <c r="BC205" i="77"/>
  <c r="Z205" i="65" s="1"/>
  <c r="AA415" i="71"/>
  <c r="BC239" i="77"/>
  <c r="Z239" i="65" s="1"/>
  <c r="CF59" i="77"/>
  <c r="Z59" i="68" s="1"/>
  <c r="FO34" i="77"/>
  <c r="Z34" i="71" s="1"/>
  <c r="AA58" i="70"/>
  <c r="FO23" i="77"/>
  <c r="Z23" i="71" s="1"/>
  <c r="Z12" i="73"/>
  <c r="Z416" i="74"/>
  <c r="AA82" i="72"/>
  <c r="Z413" i="68"/>
  <c r="EL42" i="77"/>
  <c r="Z42" i="70" s="1"/>
  <c r="IX48" i="77"/>
  <c r="Z48" i="74" s="1"/>
  <c r="DG227" i="77"/>
  <c r="DJ227" s="1"/>
  <c r="AA436" i="68"/>
  <c r="HU408" i="77"/>
  <c r="Z408" i="73" s="1"/>
  <c r="AA257" i="74"/>
  <c r="JA205" i="77"/>
  <c r="HU246"/>
  <c r="Z246" i="73" s="1"/>
  <c r="Z197" i="74"/>
  <c r="IX247" i="77"/>
  <c r="Z247" i="74" s="1"/>
  <c r="AA409" i="65"/>
  <c r="Z124" i="72"/>
  <c r="Z112"/>
  <c r="Z136"/>
  <c r="EJ226" i="77"/>
  <c r="EM226" s="1"/>
  <c r="EJ244"/>
  <c r="DI65"/>
  <c r="Z65" i="69" s="1"/>
  <c r="Z112" i="70"/>
  <c r="AA63" i="71"/>
  <c r="Z19" i="72"/>
  <c r="Z415" i="71"/>
  <c r="FO95" i="77"/>
  <c r="Z95" i="71" s="1"/>
  <c r="AA100" i="70"/>
  <c r="X145" i="74"/>
  <c r="AA34" i="71"/>
  <c r="EL58" i="77"/>
  <c r="Z58" i="70" s="1"/>
  <c r="Z91" i="74"/>
  <c r="IX253" i="77"/>
  <c r="Z253" i="74" s="1"/>
  <c r="AA23" i="71"/>
  <c r="Z91" i="69"/>
  <c r="BC60" i="77"/>
  <c r="Z60" i="65" s="1"/>
  <c r="IX82" i="77"/>
  <c r="Z82" i="74" s="1"/>
  <c r="AA48"/>
  <c r="BA228" i="77"/>
  <c r="BD228" s="1"/>
  <c r="CF436"/>
  <c r="Z436" i="68" s="1"/>
  <c r="FO28" i="77"/>
  <c r="Z28" i="71" s="1"/>
  <c r="FO248" i="77"/>
  <c r="Z248" i="71" s="1"/>
  <c r="Z147" i="74"/>
  <c r="AA426"/>
  <c r="AA69" i="72"/>
  <c r="Z21" i="74"/>
  <c r="AA38" i="65"/>
  <c r="EJ369" i="77"/>
  <c r="BA437"/>
  <c r="BD437" s="1"/>
  <c r="AA207" i="74"/>
  <c r="AA430" i="65"/>
  <c r="BG430" i="77"/>
  <c r="AD430" i="65" s="1"/>
  <c r="BF430" i="77"/>
  <c r="AC430" i="65" s="1"/>
  <c r="HS389" i="77"/>
  <c r="HV389" s="1"/>
  <c r="Z157" i="73"/>
  <c r="AA461" i="68"/>
  <c r="AD461"/>
  <c r="AC461"/>
  <c r="X437" i="65"/>
  <c r="CD425" i="77"/>
  <c r="EJ357"/>
  <c r="AA435" i="71"/>
  <c r="AA415" i="73"/>
  <c r="AA97" i="70"/>
  <c r="FM245" i="77"/>
  <c r="AA90" i="71"/>
  <c r="AA30" i="74"/>
  <c r="GR436" i="77"/>
  <c r="Z436" i="72" s="1"/>
  <c r="GR409" i="77"/>
  <c r="Z409" i="72" s="1"/>
  <c r="AA362" i="68"/>
  <c r="DI24" i="77"/>
  <c r="Z24" i="69" s="1"/>
  <c r="AA36" i="68"/>
  <c r="IX96" i="77"/>
  <c r="Z96" i="74" s="1"/>
  <c r="AA142"/>
  <c r="Z21" i="69"/>
  <c r="AA439" i="72"/>
  <c r="FO422" i="77"/>
  <c r="Z422" i="71" s="1"/>
  <c r="AA91" i="74"/>
  <c r="AA29" i="71"/>
  <c r="FR443" i="77"/>
  <c r="AC443" i="71" s="1"/>
  <c r="HU423" i="77"/>
  <c r="Z423" i="73" s="1"/>
  <c r="CD247" i="77"/>
  <c r="AA421" i="71"/>
  <c r="FO26" i="77"/>
  <c r="Z26" i="71" s="1"/>
  <c r="Z17" i="65"/>
  <c r="IX40" i="77"/>
  <c r="Z40" i="74" s="1"/>
  <c r="AA239" i="70"/>
  <c r="AA215" i="71"/>
  <c r="Z126" i="65"/>
  <c r="CD353" i="77"/>
  <c r="CG353" s="1"/>
  <c r="X437" i="70"/>
  <c r="GR388" i="77"/>
  <c r="Z388" i="72" s="1"/>
  <c r="Z193" i="73"/>
  <c r="X146" i="65"/>
  <c r="EP62" i="77"/>
  <c r="AD62" i="70" s="1"/>
  <c r="Z415" i="74"/>
  <c r="Z419"/>
  <c r="EJ257" i="77"/>
  <c r="X193" i="68"/>
  <c r="AA38"/>
  <c r="EO62" i="77"/>
  <c r="AC62" i="70" s="1"/>
  <c r="AA415" i="74"/>
  <c r="DM388" i="77"/>
  <c r="HS38"/>
  <c r="BA226"/>
  <c r="BD226" s="1"/>
  <c r="FO86"/>
  <c r="Z86" i="71" s="1"/>
  <c r="Z151" i="65"/>
  <c r="IX30" i="77"/>
  <c r="Z30" i="74" s="1"/>
  <c r="AA436" i="72"/>
  <c r="CF359" i="77"/>
  <c r="Z359" i="68" s="1"/>
  <c r="AA24" i="69"/>
  <c r="CF36" i="77"/>
  <c r="Z36" i="68" s="1"/>
  <c r="Z131" i="74"/>
  <c r="AA21" i="69"/>
  <c r="AA38"/>
  <c r="FO369" i="77"/>
  <c r="Z369" i="71" s="1"/>
  <c r="FO29" i="77"/>
  <c r="Z29" i="71" s="1"/>
  <c r="AA429" i="72"/>
  <c r="EJ86" i="77"/>
  <c r="EM86" s="1"/>
  <c r="Z421" i="71"/>
  <c r="AA96" i="70"/>
  <c r="Z138" i="65"/>
  <c r="AA17"/>
  <c r="DG84" i="77"/>
  <c r="DJ84" s="1"/>
  <c r="CF38"/>
  <c r="Z38" i="68" s="1"/>
  <c r="FO90" i="77"/>
  <c r="Z90" i="71" s="1"/>
  <c r="CD449" i="77"/>
  <c r="GR226"/>
  <c r="Z226" i="72" s="1"/>
  <c r="AA29" i="73"/>
  <c r="AA201" i="71"/>
  <c r="Z251" i="72"/>
  <c r="Z21" i="73"/>
  <c r="Z138" i="74"/>
  <c r="AA355" i="70"/>
  <c r="AA416" i="73"/>
  <c r="AA26" i="72"/>
  <c r="GR24" i="77"/>
  <c r="Z24" i="72" s="1"/>
  <c r="BC256" i="77"/>
  <c r="Z256" i="65" s="1"/>
  <c r="IX248" i="77"/>
  <c r="Z248" i="74" s="1"/>
  <c r="Z151" i="70"/>
  <c r="BA435" i="77"/>
  <c r="BD435" s="1"/>
  <c r="BA34"/>
  <c r="BD34" s="1"/>
  <c r="AA199" i="71"/>
  <c r="EL95" i="77"/>
  <c r="Z95" i="70" s="1"/>
  <c r="Z199" i="65"/>
  <c r="IX22" i="77"/>
  <c r="Z22" i="74" s="1"/>
  <c r="IX32" i="77"/>
  <c r="Z32" i="74" s="1"/>
  <c r="GP244" i="77"/>
  <c r="X419" i="69"/>
  <c r="X413"/>
  <c r="X137" i="68"/>
  <c r="EJ360" i="77"/>
  <c r="EM360" s="1"/>
  <c r="CF22"/>
  <c r="Z22" i="68" s="1"/>
  <c r="FO378" i="77"/>
  <c r="Z378" i="71" s="1"/>
  <c r="EJ28" i="77"/>
  <c r="Z416" i="69"/>
  <c r="X181" i="70"/>
  <c r="X153" i="74"/>
  <c r="CD239" i="77"/>
  <c r="Z124" i="71"/>
  <c r="EJ60" i="77"/>
  <c r="EM60" s="1"/>
  <c r="EJ370"/>
  <c r="EM370" s="1"/>
  <c r="AA208" i="74"/>
  <c r="CD409" i="77"/>
  <c r="CG409" s="1"/>
  <c r="DG256"/>
  <c r="AA24" i="71"/>
  <c r="X112" i="69"/>
  <c r="FO435" i="77"/>
  <c r="Z435" i="71" s="1"/>
  <c r="Z421" i="68"/>
  <c r="EJ227" i="77"/>
  <c r="EM227" s="1"/>
  <c r="GR235"/>
  <c r="Z235" i="72" s="1"/>
  <c r="FM40" i="77"/>
  <c r="FP40" s="1"/>
  <c r="BA36"/>
  <c r="BD36" s="1"/>
  <c r="BA28"/>
  <c r="BD28" s="1"/>
  <c r="DG437"/>
  <c r="DJ437" s="1"/>
  <c r="AA357" i="74"/>
  <c r="AA59"/>
  <c r="JA59" i="77"/>
  <c r="AC59" i="74" s="1"/>
  <c r="JB59" i="77"/>
  <c r="AD59" i="74" s="1"/>
  <c r="FM355" i="77"/>
  <c r="FP355" s="1"/>
  <c r="Z461" i="71"/>
  <c r="HS67" i="77"/>
  <c r="HV67" s="1"/>
  <c r="BA443"/>
  <c r="BD443" s="1"/>
  <c r="GR30"/>
  <c r="Z30" i="72" s="1"/>
  <c r="AA245"/>
  <c r="DG85" i="77"/>
  <c r="DJ85" s="1"/>
  <c r="AA146" i="73"/>
  <c r="AA246" i="74"/>
  <c r="CF234" i="77"/>
  <c r="Z234" i="68" s="1"/>
  <c r="AA207" i="65"/>
  <c r="FO24" i="77"/>
  <c r="Z24" i="71" s="1"/>
  <c r="BA48" i="77"/>
  <c r="BD48" s="1"/>
  <c r="X286" i="70"/>
  <c r="X419"/>
  <c r="X376" i="65"/>
  <c r="CD30" i="77"/>
  <c r="DG436"/>
  <c r="HS380"/>
  <c r="EJ380"/>
  <c r="DG224"/>
  <c r="DJ224" s="1"/>
  <c r="AD104" i="72"/>
  <c r="AC104"/>
  <c r="Z104" i="73"/>
  <c r="GP38" i="77"/>
  <c r="EJ444"/>
  <c r="EM444" s="1"/>
  <c r="AA57" i="72"/>
  <c r="Z17" i="71"/>
  <c r="FO204" i="77"/>
  <c r="Z204" i="71" s="1"/>
  <c r="AA201" i="68"/>
  <c r="BC242" i="77"/>
  <c r="Z242" i="65" s="1"/>
  <c r="Z118" i="69"/>
  <c r="AA257" i="73"/>
  <c r="CF23" i="77"/>
  <c r="Z23" i="68" s="1"/>
  <c r="EL462" i="77"/>
  <c r="Z462" i="70" s="1"/>
  <c r="IX57" i="77"/>
  <c r="Z57" i="74" s="1"/>
  <c r="AA402"/>
  <c r="CD429" i="77"/>
  <c r="CG429" s="1"/>
  <c r="BA360"/>
  <c r="BD360" s="1"/>
  <c r="Z91" i="72"/>
  <c r="AA254" i="70"/>
  <c r="IX28" i="77"/>
  <c r="Z28" i="74" s="1"/>
  <c r="EL355" i="77"/>
  <c r="Z355" i="70" s="1"/>
  <c r="Z145" i="72"/>
  <c r="GR439" i="77"/>
  <c r="Z439" i="72" s="1"/>
  <c r="EL24" i="77"/>
  <c r="Z24" i="70" s="1"/>
  <c r="AA416" i="74"/>
  <c r="BC238" i="77"/>
  <c r="Z238" i="65" s="1"/>
  <c r="IX88" i="77"/>
  <c r="Z88" i="74" s="1"/>
  <c r="AA89" i="71"/>
  <c r="Z412"/>
  <c r="Z16" i="69"/>
  <c r="IX84" i="77"/>
  <c r="Z84" i="74" s="1"/>
  <c r="DG30" i="77"/>
  <c r="Z401" i="70"/>
  <c r="IV24" i="77"/>
  <c r="IY24" s="1"/>
  <c r="FS226"/>
  <c r="GR420"/>
  <c r="Z420" i="72" s="1"/>
  <c r="HU28" i="77"/>
  <c r="Z28" i="73" s="1"/>
  <c r="AA26" i="71"/>
  <c r="FO239" i="77"/>
  <c r="Z239" i="71" s="1"/>
  <c r="AA21"/>
  <c r="Z114" i="65"/>
  <c r="EJ204" i="77"/>
  <c r="EM204" s="1"/>
  <c r="AA98" i="73"/>
  <c r="DG369" i="77"/>
  <c r="DJ369" s="1"/>
  <c r="GR95"/>
  <c r="Z95" i="72" s="1"/>
  <c r="DI69" i="77"/>
  <c r="Z69" i="69" s="1"/>
  <c r="AA17" i="71"/>
  <c r="HU83" i="77"/>
  <c r="Z83" i="73" s="1"/>
  <c r="Z21" i="65"/>
  <c r="CF442" i="77"/>
  <c r="Z442" i="68" s="1"/>
  <c r="AA94" i="69"/>
  <c r="HU60" i="77"/>
  <c r="Z60" i="73" s="1"/>
  <c r="AA439" i="74"/>
  <c r="FO88" i="77"/>
  <c r="Z88" i="71" s="1"/>
  <c r="HU257" i="77"/>
  <c r="Z257" i="73" s="1"/>
  <c r="Z145" i="69"/>
  <c r="AA23" i="68"/>
  <c r="AA462" i="70"/>
  <c r="AA57" i="74"/>
  <c r="IX402" i="77"/>
  <c r="Z402" i="74" s="1"/>
  <c r="FM57" i="77"/>
  <c r="DG96"/>
  <c r="FM73"/>
  <c r="FP73" s="1"/>
  <c r="AA98" i="71"/>
  <c r="CF357" i="77"/>
  <c r="Z357" i="68" s="1"/>
  <c r="AA93" i="72"/>
  <c r="Z145" i="70"/>
  <c r="EL253" i="77"/>
  <c r="Z253" i="70" s="1"/>
  <c r="AA28" i="74"/>
  <c r="GR257" i="77"/>
  <c r="Z257" i="72" s="1"/>
  <c r="IX244" i="77"/>
  <c r="Z244" i="74" s="1"/>
  <c r="EL352" i="77"/>
  <c r="Z352" i="70" s="1"/>
  <c r="IX408" i="77"/>
  <c r="Z408" i="74" s="1"/>
  <c r="FO32" i="77"/>
  <c r="Z32" i="71" s="1"/>
  <c r="FO85" i="77"/>
  <c r="Z85" i="71" s="1"/>
  <c r="AA16" i="69"/>
  <c r="CD45" i="77"/>
  <c r="CD422"/>
  <c r="CG422" s="1"/>
  <c r="EJ85"/>
  <c r="EM85" s="1"/>
  <c r="FR226"/>
  <c r="IX29"/>
  <c r="Z29" i="74" s="1"/>
  <c r="Z413" i="72"/>
  <c r="BC247" i="77"/>
  <c r="Z247" i="65" s="1"/>
  <c r="HS40" i="77"/>
  <c r="HV40" s="1"/>
  <c r="DG33"/>
  <c r="DJ33" s="1"/>
  <c r="AA362" i="71"/>
  <c r="CD50" i="77"/>
  <c r="DG52"/>
  <c r="DJ52" s="1"/>
  <c r="AA96" i="72"/>
  <c r="GR62" i="77"/>
  <c r="Z62" i="72" s="1"/>
  <c r="AA120" i="70"/>
  <c r="IX26" i="77"/>
  <c r="Z26" i="74" s="1"/>
  <c r="AA442" i="68"/>
  <c r="GR238" i="77"/>
  <c r="Z238" i="72" s="1"/>
  <c r="DI92" i="77"/>
  <c r="Z92" i="69" s="1"/>
  <c r="IX439" i="77"/>
  <c r="Z439" i="74" s="1"/>
  <c r="Z415" i="73"/>
  <c r="AA29" i="72"/>
  <c r="EL96" i="77"/>
  <c r="Z96" i="70" s="1"/>
  <c r="Z182" i="71"/>
  <c r="Z415" i="69"/>
  <c r="DG257" i="77"/>
  <c r="DJ257" s="1"/>
  <c r="DG34"/>
  <c r="DJ34" s="1"/>
  <c r="Z81" i="73"/>
  <c r="AA80" i="72"/>
  <c r="AA218"/>
  <c r="Z151" i="74"/>
  <c r="IX70" i="77"/>
  <c r="Z70" i="74" s="1"/>
  <c r="AA257" i="72"/>
  <c r="AA352" i="70"/>
  <c r="GR429" i="77"/>
  <c r="Z429" i="72" s="1"/>
  <c r="AA38" i="74"/>
  <c r="AA13" i="70"/>
  <c r="CD60" i="77"/>
  <c r="CG60" s="1"/>
  <c r="EJ246"/>
  <c r="EM246" s="1"/>
  <c r="BA448"/>
  <c r="BD448" s="1"/>
  <c r="AA408" i="73"/>
  <c r="GR48" i="77"/>
  <c r="Z48" i="72" s="1"/>
  <c r="AA195" i="71"/>
  <c r="EL233" i="77"/>
  <c r="Z233" i="70" s="1"/>
  <c r="Z150" i="74"/>
  <c r="IX407" i="77"/>
  <c r="Z407" i="74" s="1"/>
  <c r="IV37" i="77"/>
  <c r="IY37" s="1"/>
  <c r="HS247"/>
  <c r="GV97"/>
  <c r="GU97"/>
  <c r="HU97"/>
  <c r="Z97" i="73" s="1"/>
  <c r="FM64" i="77"/>
  <c r="FP64" s="1"/>
  <c r="Z121" i="68"/>
  <c r="CD57" i="77"/>
  <c r="CG57" s="1"/>
  <c r="X81" i="68"/>
  <c r="CD73" i="77"/>
  <c r="CG73" s="1"/>
  <c r="CD227"/>
  <c r="CD64"/>
  <c r="CG64" s="1"/>
  <c r="CD90"/>
  <c r="EJ33"/>
  <c r="EM33" s="1"/>
  <c r="IV65"/>
  <c r="IY65" s="1"/>
  <c r="Z182" i="69"/>
  <c r="HS24" i="77"/>
  <c r="HV24" s="1"/>
  <c r="Z150" i="69"/>
  <c r="HU244" i="77"/>
  <c r="Z244" i="73" s="1"/>
  <c r="GR423" i="77"/>
  <c r="Z423" i="72" s="1"/>
  <c r="AA408" i="74"/>
  <c r="DG443" i="77"/>
  <c r="DJ443" s="1"/>
  <c r="EJ242"/>
  <c r="EJ429"/>
  <c r="EM429" s="1"/>
  <c r="CD232"/>
  <c r="CG232" s="1"/>
  <c r="AA33" i="65"/>
  <c r="Z169" i="71"/>
  <c r="HU95" i="77"/>
  <c r="Z95" i="73" s="1"/>
  <c r="AA448" i="71"/>
  <c r="AA40" i="70"/>
  <c r="X148" i="68"/>
  <c r="X147" i="70"/>
  <c r="X182"/>
  <c r="EJ34" i="77"/>
  <c r="EM34" s="1"/>
  <c r="GR57"/>
  <c r="Z57" i="72" s="1"/>
  <c r="CD92" i="77"/>
  <c r="CG92" s="1"/>
  <c r="X199" i="70"/>
  <c r="DG427" i="77"/>
  <c r="X146" i="68"/>
  <c r="FM69" i="77"/>
  <c r="FP69" s="1"/>
  <c r="AA371" i="70"/>
  <c r="Z19" i="73"/>
  <c r="X131" i="68"/>
  <c r="CD420" i="77"/>
  <c r="CG420" s="1"/>
  <c r="AA407" i="71"/>
  <c r="Z12" i="69"/>
  <c r="AA251" i="65"/>
  <c r="AA144" i="74"/>
  <c r="AA80" i="70"/>
  <c r="Z138"/>
  <c r="X128" i="68"/>
  <c r="EJ248" i="77"/>
  <c r="EM248" s="1"/>
  <c r="BA86"/>
  <c r="BD86" s="1"/>
  <c r="CD20"/>
  <c r="CG20" s="1"/>
  <c r="EJ434"/>
  <c r="BC33"/>
  <c r="Z33" i="65" s="1"/>
  <c r="FO448" i="77"/>
  <c r="Z448" i="71" s="1"/>
  <c r="EL40" i="77"/>
  <c r="Z40" i="70" s="1"/>
  <c r="Z199"/>
  <c r="BC90" i="77"/>
  <c r="Z90" i="65" s="1"/>
  <c r="EL439" i="77"/>
  <c r="Z439" i="70" s="1"/>
  <c r="FO409" i="77"/>
  <c r="Z409" i="71" s="1"/>
  <c r="DG435" i="77"/>
  <c r="DJ435" s="1"/>
  <c r="DG407"/>
  <c r="BA83"/>
  <c r="BD83" s="1"/>
  <c r="CD200"/>
  <c r="EJ29"/>
  <c r="EM29" s="1"/>
  <c r="IV72"/>
  <c r="IY72" s="1"/>
  <c r="DG352"/>
  <c r="DG46"/>
  <c r="DJ46" s="1"/>
  <c r="IX242"/>
  <c r="Z242" i="74" s="1"/>
  <c r="X183" i="73"/>
  <c r="HS70" i="77"/>
  <c r="HV70" s="1"/>
  <c r="FM96"/>
  <c r="FM236"/>
  <c r="FP236" s="1"/>
  <c r="DG54"/>
  <c r="DJ54" s="1"/>
  <c r="DG95"/>
  <c r="GP427"/>
  <c r="GS427" s="1"/>
  <c r="CD29"/>
  <c r="CG29" s="1"/>
  <c r="CD96"/>
  <c r="CG96" s="1"/>
  <c r="BA22"/>
  <c r="BD22" s="1"/>
  <c r="BC29"/>
  <c r="Z29" i="65" s="1"/>
  <c r="HS253" i="77"/>
  <c r="HV253" s="1"/>
  <c r="CF236"/>
  <c r="Z236" i="68" s="1"/>
  <c r="FO407" i="77"/>
  <c r="Z407" i="71" s="1"/>
  <c r="AA12" i="69"/>
  <c r="HU32" i="77"/>
  <c r="Z32" i="73" s="1"/>
  <c r="BC248" i="77"/>
  <c r="Z248" i="65" s="1"/>
  <c r="Z137" i="74"/>
  <c r="EL82" i="77"/>
  <c r="Z82" i="70" s="1"/>
  <c r="AA145"/>
  <c r="DG430" i="77"/>
  <c r="DJ430" s="1"/>
  <c r="X78" i="69"/>
  <c r="EJ436" i="77"/>
  <c r="EM436" s="1"/>
  <c r="EJ359"/>
  <c r="EJ83"/>
  <c r="AA213" i="72"/>
  <c r="AA70" i="68"/>
  <c r="IX23" i="77"/>
  <c r="Z23" i="74" s="1"/>
  <c r="AA29"/>
  <c r="AA407"/>
  <c r="FO227" i="77"/>
  <c r="Z227" i="71" s="1"/>
  <c r="AA250" i="65"/>
  <c r="BC352" i="77"/>
  <c r="Z352" i="65" s="1"/>
  <c r="EJ448" i="77"/>
  <c r="EM448" s="1"/>
  <c r="FM59"/>
  <c r="FP59" s="1"/>
  <c r="CD434"/>
  <c r="CG434" s="1"/>
  <c r="DG235"/>
  <c r="EO437"/>
  <c r="X180" i="69"/>
  <c r="X197" i="70"/>
  <c r="X153" i="69"/>
  <c r="GR455" i="77"/>
  <c r="Z455" i="72" s="1"/>
  <c r="CF85" i="77"/>
  <c r="Z85" i="68" s="1"/>
  <c r="Z19" i="69"/>
  <c r="AA202" i="73"/>
  <c r="CF402" i="77"/>
  <c r="Z402" i="68" s="1"/>
  <c r="GR26" i="77"/>
  <c r="Z26" i="72" s="1"/>
  <c r="FO257" i="77"/>
  <c r="Z257" i="71" s="1"/>
  <c r="DG404" i="77"/>
  <c r="DJ404" s="1"/>
  <c r="BC355"/>
  <c r="Z355" i="65" s="1"/>
  <c r="IX34" i="77"/>
  <c r="Z34" i="74" s="1"/>
  <c r="HU448" i="77"/>
  <c r="Z448" i="73" s="1"/>
  <c r="HU65" i="77"/>
  <c r="Z65" i="73" s="1"/>
  <c r="AA245" i="70"/>
  <c r="DG232" i="77"/>
  <c r="X365" i="68"/>
  <c r="HS378" i="77"/>
  <c r="DG409"/>
  <c r="CD423"/>
  <c r="CG423" s="1"/>
  <c r="AA443" i="72"/>
  <c r="X124" i="73"/>
  <c r="CD355" i="77"/>
  <c r="CG355" s="1"/>
  <c r="HS358"/>
  <c r="Z126" i="70"/>
  <c r="EJ420" i="77"/>
  <c r="EM420" s="1"/>
  <c r="Z175" i="70"/>
  <c r="Z461" i="65"/>
  <c r="DI38" i="77"/>
  <c r="Z38" i="69" s="1"/>
  <c r="AA416" i="72"/>
  <c r="GR256" i="77"/>
  <c r="Z256" i="72" s="1"/>
  <c r="AA16" i="65"/>
  <c r="AA461" i="74"/>
  <c r="Z169" i="65"/>
  <c r="AA218" i="74"/>
  <c r="IX83" i="77"/>
  <c r="Z83" i="74" s="1"/>
  <c r="DG228" i="77"/>
  <c r="FM70"/>
  <c r="EJ449"/>
  <c r="EM449" s="1"/>
  <c r="X100" i="71"/>
  <c r="Z218"/>
  <c r="FM82" i="77"/>
  <c r="EJ88"/>
  <c r="CD26"/>
  <c r="CG26" s="1"/>
  <c r="BA373"/>
  <c r="BD373" s="1"/>
  <c r="BA380"/>
  <c r="GP22"/>
  <c r="HS63"/>
  <c r="HV63" s="1"/>
  <c r="FM92"/>
  <c r="DG47"/>
  <c r="DJ47" s="1"/>
  <c r="EJ368"/>
  <c r="EM368" s="1"/>
  <c r="FM66"/>
  <c r="FP66" s="1"/>
  <c r="AA19" i="69"/>
  <c r="Z182" i="73"/>
  <c r="AA402" i="68"/>
  <c r="Z416" i="72"/>
  <c r="AA256"/>
  <c r="Z16" i="65"/>
  <c r="Z461" i="74"/>
  <c r="IX226" i="77"/>
  <c r="Z226" i="74" s="1"/>
  <c r="AA81"/>
  <c r="X81" i="71"/>
  <c r="Z125"/>
  <c r="EJ26" i="77"/>
  <c r="EM26" s="1"/>
  <c r="IV92"/>
  <c r="IY92" s="1"/>
  <c r="AA65" i="73"/>
  <c r="EL239" i="77"/>
  <c r="Z239" i="70" s="1"/>
  <c r="DG48" i="77"/>
  <c r="DJ48" s="1"/>
  <c r="EJ409"/>
  <c r="EM409" s="1"/>
  <c r="EJ234"/>
  <c r="AA16" i="73"/>
  <c r="CD428" i="77"/>
  <c r="CG428" s="1"/>
  <c r="BA57"/>
  <c r="BD57" s="1"/>
  <c r="EJ70"/>
  <c r="EM70" s="1"/>
  <c r="FO42"/>
  <c r="Z42" i="71" s="1"/>
  <c r="AA217" i="69"/>
  <c r="AA120" i="65"/>
  <c r="AA434" i="72"/>
  <c r="GV434" i="77"/>
  <c r="AD434" i="72" s="1"/>
  <c r="GU434" i="77"/>
  <c r="AC434" i="72" s="1"/>
  <c r="AA384" i="74"/>
  <c r="JB378" i="77"/>
  <c r="EJ405"/>
  <c r="CD242"/>
  <c r="DG238"/>
  <c r="DJ238" s="1"/>
  <c r="CF448"/>
  <c r="Z448" i="68" s="1"/>
  <c r="HS238" i="77"/>
  <c r="EJ430"/>
  <c r="EM430" s="1"/>
  <c r="X199" i="73"/>
  <c r="DG234" i="77"/>
  <c r="X217" i="68"/>
  <c r="Z118"/>
  <c r="Z107" i="71"/>
  <c r="AA246" i="72"/>
  <c r="AA426" i="70"/>
  <c r="DG359" i="77"/>
  <c r="BA42"/>
  <c r="BD42" s="1"/>
  <c r="CD457"/>
  <c r="CG457" s="1"/>
  <c r="HS232"/>
  <c r="CD40"/>
  <c r="CG40" s="1"/>
  <c r="AA448" i="68"/>
  <c r="CD439" i="77"/>
  <c r="CG439" s="1"/>
  <c r="X162" i="73"/>
  <c r="BA374" i="77"/>
  <c r="BD374" s="1"/>
  <c r="AA13" i="69"/>
  <c r="GR443" i="77"/>
  <c r="Z443" i="72" s="1"/>
  <c r="CD52" i="77"/>
  <c r="CG52" s="1"/>
  <c r="CD407"/>
  <c r="CG407" s="1"/>
  <c r="Z16" i="70"/>
  <c r="EJ90" i="77"/>
  <c r="DG429"/>
  <c r="DJ429" s="1"/>
  <c r="BA388"/>
  <c r="BD388" s="1"/>
  <c r="DG426"/>
  <c r="DJ426" s="1"/>
  <c r="Z416" i="68"/>
  <c r="DG462" i="77"/>
  <c r="DJ462" s="1"/>
  <c r="CD367"/>
  <c r="CG367" s="1"/>
  <c r="DG53"/>
  <c r="DJ53" s="1"/>
  <c r="EJ30"/>
  <c r="EM30" s="1"/>
  <c r="BA244"/>
  <c r="DG357"/>
  <c r="DJ357" s="1"/>
  <c r="CD238"/>
  <c r="HS239"/>
  <c r="FO205"/>
  <c r="Z205" i="71" s="1"/>
  <c r="AA240" i="68"/>
  <c r="AA254" i="72"/>
  <c r="BC38" i="77"/>
  <c r="Z38" i="65" s="1"/>
  <c r="CD54" i="77"/>
  <c r="CG54" s="1"/>
  <c r="DG449"/>
  <c r="BA359"/>
  <c r="DG355"/>
  <c r="DJ355" s="1"/>
  <c r="DG62"/>
  <c r="DJ62" s="1"/>
  <c r="DG423"/>
  <c r="DJ423" s="1"/>
  <c r="FM256"/>
  <c r="FP256" s="1"/>
  <c r="FM37"/>
  <c r="FP37" s="1"/>
  <c r="Z126" i="69"/>
  <c r="GR242" i="77"/>
  <c r="Z242" i="72" s="1"/>
  <c r="CD88" i="77"/>
  <c r="DG408"/>
  <c r="DJ408" s="1"/>
  <c r="CD257"/>
  <c r="CG257" s="1"/>
  <c r="HU93"/>
  <c r="Z93" i="73" s="1"/>
  <c r="GR40" i="77"/>
  <c r="Z40" i="72" s="1"/>
  <c r="AA374" i="74"/>
  <c r="EJ358" i="77"/>
  <c r="X114" i="70"/>
  <c r="X182" i="65"/>
  <c r="DG90" i="77"/>
  <c r="DJ90" s="1"/>
  <c r="IV69"/>
  <c r="IY69" s="1"/>
  <c r="GR239"/>
  <c r="Z239" i="72" s="1"/>
  <c r="DG400" i="77"/>
  <c r="DJ400" s="1"/>
  <c r="Z147" i="69"/>
  <c r="BA84" i="77"/>
  <c r="EJ63"/>
  <c r="EM63" s="1"/>
  <c r="BA402"/>
  <c r="BD402" s="1"/>
  <c r="Z91" i="70"/>
  <c r="AA206" i="71"/>
  <c r="BC253" i="77"/>
  <c r="Z253" i="65" s="1"/>
  <c r="FM22" i="77"/>
  <c r="FP22" s="1"/>
  <c r="DG29"/>
  <c r="DJ29" s="1"/>
  <c r="Z61" i="65"/>
  <c r="DG239" i="77"/>
  <c r="X131" i="71"/>
  <c r="DG448" i="77"/>
  <c r="DJ448" s="1"/>
  <c r="AA423" i="72"/>
  <c r="Z168" i="68"/>
  <c r="AA248" i="74"/>
  <c r="GP23" i="77"/>
  <c r="GS23" s="1"/>
  <c r="DG374"/>
  <c r="CD48"/>
  <c r="CG48" s="1"/>
  <c r="DG246"/>
  <c r="DJ246" s="1"/>
  <c r="Z361" i="72"/>
  <c r="IX246" i="77"/>
  <c r="Z246" i="74" s="1"/>
  <c r="BC420" i="77"/>
  <c r="Z420" i="65" s="1"/>
  <c r="AA434" i="74"/>
  <c r="IX60" i="77"/>
  <c r="Z60" i="74" s="1"/>
  <c r="EJ255" i="77"/>
  <c r="EM255" s="1"/>
  <c r="DG44"/>
  <c r="DJ44" s="1"/>
  <c r="DG200"/>
  <c r="DJ200" s="1"/>
  <c r="BA462"/>
  <c r="BD462" s="1"/>
  <c r="AA197" i="68"/>
  <c r="X112" i="71"/>
  <c r="X183" i="68"/>
  <c r="CD352" i="77"/>
  <c r="CG352" s="1"/>
  <c r="CD455"/>
  <c r="CG455" s="1"/>
  <c r="X131" i="69"/>
  <c r="DG444" i="77"/>
  <c r="DJ444" s="1"/>
  <c r="EJ374"/>
  <c r="EM374" s="1"/>
  <c r="HS256"/>
  <c r="HV256" s="1"/>
  <c r="HS205"/>
  <c r="HV205" s="1"/>
  <c r="IV233"/>
  <c r="AB191" i="73"/>
  <c r="AB216"/>
  <c r="BA406" i="77"/>
  <c r="X169" i="68"/>
  <c r="CD235" i="77"/>
  <c r="DG63"/>
  <c r="DJ63" s="1"/>
  <c r="IV58"/>
  <c r="IY58" s="1"/>
  <c r="AA254" i="65"/>
  <c r="X361" i="69"/>
  <c r="Z151" i="73"/>
  <c r="CD205" i="77"/>
  <c r="CG205" s="1"/>
  <c r="DG23"/>
  <c r="DJ23" s="1"/>
  <c r="IX200"/>
  <c r="Z200" i="74" s="1"/>
  <c r="X137" i="69"/>
  <c r="CD44" i="77"/>
  <c r="Z121" i="69"/>
  <c r="DG226" i="77"/>
  <c r="X125" i="73"/>
  <c r="AA364" i="72"/>
  <c r="AA249" i="74"/>
  <c r="AA199"/>
  <c r="EL353" i="77"/>
  <c r="Z353" i="70" s="1"/>
  <c r="Z112" i="68"/>
  <c r="Z121" i="71"/>
  <c r="AA94" i="73"/>
  <c r="AA352" i="65"/>
  <c r="CD360" i="77"/>
  <c r="CD435"/>
  <c r="CG435" s="1"/>
  <c r="DG32"/>
  <c r="DJ32" s="1"/>
  <c r="DG36"/>
  <c r="DJ36" s="1"/>
  <c r="HS42"/>
  <c r="HV42" s="1"/>
  <c r="CD93"/>
  <c r="CG93" s="1"/>
  <c r="BA27"/>
  <c r="BD27" s="1"/>
  <c r="DG242"/>
  <c r="DJ242" s="1"/>
  <c r="X213" i="65"/>
  <c r="CD408" i="77"/>
  <c r="CG408" s="1"/>
  <c r="BA23"/>
  <c r="BD23" s="1"/>
  <c r="DG368"/>
  <c r="DJ368" s="1"/>
  <c r="EJ378"/>
  <c r="EM378" s="1"/>
  <c r="X119" i="72"/>
  <c r="AA150" i="65"/>
  <c r="GR462" i="77"/>
  <c r="Z462" i="72" s="1"/>
  <c r="BC69" i="77"/>
  <c r="Z69" i="65" s="1"/>
  <c r="AA65" i="68"/>
  <c r="AA422" i="73"/>
  <c r="HY422" i="77"/>
  <c r="AD422" i="73" s="1"/>
  <c r="HX422" i="77"/>
  <c r="AC422" i="73" s="1"/>
  <c r="GR224" i="77"/>
  <c r="Z224" i="72" s="1"/>
  <c r="FM65" i="77"/>
  <c r="FP65" s="1"/>
  <c r="HS62"/>
  <c r="HV62" s="1"/>
  <c r="FM58"/>
  <c r="FP58" s="1"/>
  <c r="DG82"/>
  <c r="DJ82" s="1"/>
  <c r="AA210" i="71"/>
  <c r="Z81" i="72"/>
  <c r="AA70"/>
  <c r="X213" i="70"/>
  <c r="X78" i="68"/>
  <c r="AC365" i="73"/>
  <c r="DG358" i="77"/>
  <c r="DJ358" s="1"/>
  <c r="CD245"/>
  <c r="CG245" s="1"/>
  <c r="Z175" i="68"/>
  <c r="GR70" i="77"/>
  <c r="Z70" i="72" s="1"/>
  <c r="HU36" i="77"/>
  <c r="Z36" i="73" s="1"/>
  <c r="AA374"/>
  <c r="CD248" i="77"/>
  <c r="CG248" s="1"/>
  <c r="DG55"/>
  <c r="DJ55" s="1"/>
  <c r="GP65"/>
  <c r="X182" i="68"/>
  <c r="HU455" i="77"/>
  <c r="Z455" i="73" s="1"/>
  <c r="GR60" i="77"/>
  <c r="Z60" i="72" s="1"/>
  <c r="X211" i="73"/>
  <c r="DG39" i="77"/>
  <c r="DJ39" s="1"/>
  <c r="X361" i="68"/>
  <c r="EJ59" i="77"/>
  <c r="EM59" s="1"/>
  <c r="DG402"/>
  <c r="BC70"/>
  <c r="Z70" i="65" s="1"/>
  <c r="CF83" i="77"/>
  <c r="Z83" i="68" s="1"/>
  <c r="Z17"/>
  <c r="DG205" i="77"/>
  <c r="DJ205" s="1"/>
  <c r="FM68"/>
  <c r="FP68" s="1"/>
  <c r="DG66"/>
  <c r="DJ66" s="1"/>
  <c r="DG455"/>
  <c r="DJ455" s="1"/>
  <c r="Z188" i="74"/>
  <c r="HU434" i="77"/>
  <c r="Z434" i="73" s="1"/>
  <c r="AA248" i="65"/>
  <c r="AA251" i="73"/>
  <c r="HS236" i="77"/>
  <c r="CD82"/>
  <c r="CG82" s="1"/>
  <c r="BA88"/>
  <c r="EL69"/>
  <c r="Z69" i="70" s="1"/>
  <c r="HU409" i="77"/>
  <c r="Z409" i="73" s="1"/>
  <c r="CF244" i="77"/>
  <c r="Z244" i="68" s="1"/>
  <c r="Z112" i="65"/>
  <c r="AA353" i="70"/>
  <c r="AA17" i="68"/>
  <c r="GR357" i="77"/>
  <c r="Z357" i="72" s="1"/>
  <c r="HU92" i="77"/>
  <c r="Z92" i="73" s="1"/>
  <c r="AA145" i="71"/>
  <c r="CF67" i="77"/>
  <c r="Z67" i="68" s="1"/>
  <c r="AA201" i="73"/>
  <c r="FO36" i="77"/>
  <c r="Z36" i="71" s="1"/>
  <c r="Z124" i="68"/>
  <c r="CD430" i="77"/>
  <c r="CG430" s="1"/>
  <c r="EJ228"/>
  <c r="Z161" i="65"/>
  <c r="AA435" i="72"/>
  <c r="AA415"/>
  <c r="EL23" i="77"/>
  <c r="Z23" i="70" s="1"/>
  <c r="AA371" i="68"/>
  <c r="AA40" i="72"/>
  <c r="BC245" i="77"/>
  <c r="Z245" i="65" s="1"/>
  <c r="EL426" i="77"/>
  <c r="Z426" i="70" s="1"/>
  <c r="AA146" i="72"/>
  <c r="AA38" i="70"/>
  <c r="BC96" i="77"/>
  <c r="Z96" i="65" s="1"/>
  <c r="GR96" i="77"/>
  <c r="Z96" i="72" s="1"/>
  <c r="HU245" i="77"/>
  <c r="Z245" i="73" s="1"/>
  <c r="AA426"/>
  <c r="Z13"/>
  <c r="AA209" i="74"/>
  <c r="AA97" i="72"/>
  <c r="FO405" i="77"/>
  <c r="Z405" i="71" s="1"/>
  <c r="GR236" i="77"/>
  <c r="Z236" i="72" s="1"/>
  <c r="GP58" i="77"/>
  <c r="GS58" s="1"/>
  <c r="DG83"/>
  <c r="Z91" i="71"/>
  <c r="HU374" i="77"/>
  <c r="Z374" i="73" s="1"/>
  <c r="X213" i="69"/>
  <c r="FM93" i="77"/>
  <c r="GP33"/>
  <c r="GS33" s="1"/>
  <c r="HS235"/>
  <c r="HU200"/>
  <c r="Z200" i="73" s="1"/>
  <c r="AA36"/>
  <c r="FO238" i="77"/>
  <c r="Z238" i="71" s="1"/>
  <c r="HU369" i="77"/>
  <c r="Z369" i="73" s="1"/>
  <c r="HU85" i="77"/>
  <c r="Z85" i="73" s="1"/>
  <c r="AA11" i="68"/>
  <c r="Z419" i="72"/>
  <c r="AA208" i="73"/>
  <c r="AA36" i="74"/>
  <c r="Z415" i="72"/>
  <c r="HU37" i="77"/>
  <c r="Z37" i="73" s="1"/>
  <c r="HU34" i="77"/>
  <c r="Z34" i="73" s="1"/>
  <c r="CD24" i="77"/>
  <c r="CG24" s="1"/>
  <c r="Z183" i="71"/>
  <c r="AA198" i="68"/>
  <c r="Z181" i="73"/>
  <c r="AA462" i="72"/>
  <c r="AA89" i="73"/>
  <c r="AA434"/>
  <c r="IX204" i="77"/>
  <c r="Z204" i="74" s="1"/>
  <c r="GR88" i="77"/>
  <c r="Z88" i="72" s="1"/>
  <c r="Z145" i="73"/>
  <c r="AA202" i="69"/>
  <c r="AA128" i="72"/>
  <c r="X169" i="70"/>
  <c r="BA204" i="77"/>
  <c r="BD204" s="1"/>
  <c r="X128" i="71"/>
  <c r="IV93" i="77"/>
  <c r="X98" i="70"/>
  <c r="EJ422" i="77"/>
  <c r="EM422" s="1"/>
  <c r="AA203" i="71"/>
  <c r="Z150" i="65"/>
  <c r="AA213" i="68"/>
  <c r="AA376"/>
  <c r="AA69" i="65"/>
  <c r="BC65" i="77"/>
  <c r="Z65" i="65" s="1"/>
  <c r="AA11" i="73"/>
  <c r="BC37" i="77"/>
  <c r="Z37" i="65" s="1"/>
  <c r="CF443" i="77"/>
  <c r="Z443" i="68" s="1"/>
  <c r="Z197" i="72"/>
  <c r="AA439" i="73"/>
  <c r="AA214" i="72"/>
  <c r="CD462" i="77"/>
  <c r="FO246"/>
  <c r="Z246" i="71" s="1"/>
  <c r="BC93" i="77"/>
  <c r="Z93" i="65" s="1"/>
  <c r="AA36" i="71"/>
  <c r="CF65" i="77"/>
  <c r="Z65" i="68" s="1"/>
  <c r="IX67" i="77"/>
  <c r="Z67" i="74" s="1"/>
  <c r="AA426" i="68"/>
  <c r="CF388" i="77"/>
  <c r="Z388" i="68" s="1"/>
  <c r="AA93" i="73"/>
  <c r="CD233" i="77"/>
  <c r="AA202" i="70"/>
  <c r="DG420" i="77"/>
  <c r="DJ420" s="1"/>
  <c r="BA434"/>
  <c r="BD434" s="1"/>
  <c r="Z217" i="72"/>
  <c r="AA365" i="68"/>
  <c r="GP36" i="77"/>
  <c r="GS36" s="1"/>
  <c r="BA444"/>
  <c r="HU436"/>
  <c r="Z436" i="73" s="1"/>
  <c r="HU30" i="77"/>
  <c r="Z30" i="73" s="1"/>
  <c r="AA249" i="68"/>
  <c r="CF256" i="77"/>
  <c r="Z256" i="68" s="1"/>
  <c r="AA65" i="65"/>
  <c r="CF426" i="77"/>
  <c r="Z426" i="68" s="1"/>
  <c r="Z91" i="73"/>
  <c r="AA206" i="72"/>
  <c r="BA234" i="77"/>
  <c r="BD234" s="1"/>
  <c r="DG428"/>
  <c r="DJ428" s="1"/>
  <c r="AA448" i="74"/>
  <c r="IX36" i="77"/>
  <c r="Z36" i="74" s="1"/>
  <c r="AA371"/>
  <c r="IX448" i="77"/>
  <c r="Z448" i="74" s="1"/>
  <c r="IX232" i="77"/>
  <c r="Z232" i="74" s="1"/>
  <c r="AA148"/>
  <c r="IX374" i="77"/>
  <c r="Z374" i="74" s="1"/>
  <c r="AA147" i="73"/>
  <c r="GR435" i="77"/>
  <c r="Z435" i="72" s="1"/>
  <c r="AA60" i="71"/>
  <c r="FO353" i="77"/>
  <c r="Z353" i="71" s="1"/>
  <c r="AA149" i="70"/>
  <c r="EJ457" i="77"/>
  <c r="EM457" s="1"/>
  <c r="AA123" i="70"/>
  <c r="EJ442" i="77"/>
  <c r="EM442" s="1"/>
  <c r="Z148" i="70"/>
  <c r="EL38" i="77"/>
  <c r="Z38" i="70" s="1"/>
  <c r="DG438" i="77"/>
  <c r="DJ438" s="1"/>
  <c r="X199" i="69"/>
  <c r="AA22"/>
  <c r="BA436" i="77"/>
  <c r="BD436" s="1"/>
  <c r="BA249"/>
  <c r="BD249" s="1"/>
  <c r="AA97" i="65"/>
  <c r="AA128" i="73"/>
  <c r="AA128" i="70"/>
  <c r="AA42" i="68"/>
  <c r="AA33"/>
  <c r="HU88" i="77"/>
  <c r="Z88" i="73" s="1"/>
  <c r="AA90"/>
  <c r="AA36" i="70"/>
  <c r="AA67" i="74"/>
  <c r="AA34" i="72"/>
  <c r="HU439" i="77"/>
  <c r="Z439" i="73" s="1"/>
  <c r="FO83" i="77"/>
  <c r="Z83" i="71" s="1"/>
  <c r="Z175"/>
  <c r="Z11" i="70"/>
  <c r="DI88" i="77"/>
  <c r="Z88" i="69" s="1"/>
  <c r="Z421" i="65"/>
  <c r="CF42" i="77"/>
  <c r="Z42" i="68" s="1"/>
  <c r="CF33" i="77"/>
  <c r="Z33" i="68" s="1"/>
  <c r="Z413" i="73"/>
  <c r="AA58" i="65"/>
  <c r="HU86" i="77"/>
  <c r="Z86" i="73" s="1"/>
  <c r="IX86" i="77"/>
  <c r="Z86" i="74" s="1"/>
  <c r="Z12"/>
  <c r="GR34" i="77"/>
  <c r="Z34" i="72" s="1"/>
  <c r="AA435" i="74"/>
  <c r="DG49" i="77"/>
  <c r="DJ49" s="1"/>
  <c r="CD37"/>
  <c r="CG37" s="1"/>
  <c r="DI22"/>
  <c r="Z22" i="69" s="1"/>
  <c r="AA11" i="70"/>
  <c r="AA91" i="69"/>
  <c r="AA244" i="71"/>
  <c r="AA249"/>
  <c r="DI233" i="77"/>
  <c r="Z233" i="69" s="1"/>
  <c r="BC58" i="77"/>
  <c r="Z58" i="65" s="1"/>
  <c r="BC423" i="77"/>
  <c r="Z423" i="65" s="1"/>
  <c r="AA69" i="70"/>
  <c r="AA90" i="74"/>
  <c r="Z148" i="69"/>
  <c r="AA67"/>
  <c r="Z107" i="65"/>
  <c r="AA89" i="72"/>
  <c r="EL238" i="77"/>
  <c r="Z238" i="70" s="1"/>
  <c r="IX435" i="77"/>
  <c r="Z435" i="74" s="1"/>
  <c r="GP426" i="77"/>
  <c r="GS426" s="1"/>
  <c r="AA221" i="72"/>
  <c r="GV232" i="77"/>
  <c r="GU232"/>
  <c r="Z12" i="68"/>
  <c r="AA422" i="72"/>
  <c r="Z136" i="68"/>
  <c r="CF378" i="77"/>
  <c r="Z378" i="68" s="1"/>
  <c r="FO60" i="77"/>
  <c r="Z60" i="71" s="1"/>
  <c r="AA443" i="68"/>
  <c r="GR85" i="77"/>
  <c r="Z85" i="72" s="1"/>
  <c r="HU48" i="77"/>
  <c r="Z48" i="73" s="1"/>
  <c r="GR422" i="77"/>
  <c r="Z422" i="72" s="1"/>
  <c r="AA257" i="65"/>
  <c r="FO462" i="77"/>
  <c r="Z462" i="71" s="1"/>
  <c r="AA146" i="69"/>
  <c r="AA221" i="74"/>
  <c r="Z145" i="65"/>
  <c r="DG457" i="77"/>
  <c r="DJ457" s="1"/>
  <c r="AA256" i="68"/>
  <c r="Z16" i="73"/>
  <c r="DI378" i="77"/>
  <c r="Z378" i="69" s="1"/>
  <c r="Z125" i="65"/>
  <c r="CF369" i="77"/>
  <c r="Z369" i="68" s="1"/>
  <c r="AA128" i="65"/>
  <c r="Z11" i="68"/>
  <c r="EL36" i="77"/>
  <c r="Z36" i="70" s="1"/>
  <c r="CF253" i="77"/>
  <c r="Z253" i="68" s="1"/>
  <c r="FO389" i="77"/>
  <c r="Z389" i="71" s="1"/>
  <c r="AA462"/>
  <c r="FO200" i="77"/>
  <c r="Z200" i="71" s="1"/>
  <c r="DG422" i="77"/>
  <c r="DJ422" s="1"/>
  <c r="AB389" i="73"/>
  <c r="AB386"/>
  <c r="AB197"/>
  <c r="AB217"/>
  <c r="AB122" i="72"/>
  <c r="AB205"/>
  <c r="AB143"/>
  <c r="AB119"/>
  <c r="AB118"/>
  <c r="AB194"/>
  <c r="AB388"/>
  <c r="AB385"/>
  <c r="GR37" i="77"/>
  <c r="Z37" i="72" s="1"/>
  <c r="FS389" i="77"/>
  <c r="FR389"/>
  <c r="Z412" i="72"/>
  <c r="CF246" i="77"/>
  <c r="Z246" i="68" s="1"/>
  <c r="IX434" i="77"/>
  <c r="Z434" i="74" s="1"/>
  <c r="AA125" i="65"/>
  <c r="Z11" i="73"/>
  <c r="HU23" i="77"/>
  <c r="Z23" i="73" s="1"/>
  <c r="BC59" i="77"/>
  <c r="Z59" i="65" s="1"/>
  <c r="AA60" i="74"/>
  <c r="IX369" i="77"/>
  <c r="Z369" i="74" s="1"/>
  <c r="HU426" i="77"/>
  <c r="Z426" i="73" s="1"/>
  <c r="AA242" i="72"/>
  <c r="AA98" i="68"/>
  <c r="HU26" i="77"/>
  <c r="Z26" i="73" s="1"/>
  <c r="IX33" i="77"/>
  <c r="Z33" i="74" s="1"/>
  <c r="Z162" i="70"/>
  <c r="DG60" i="77"/>
  <c r="DJ60" s="1"/>
  <c r="FO234"/>
  <c r="Z234" i="71" s="1"/>
  <c r="AA409" i="73"/>
  <c r="AA384" i="69"/>
  <c r="CF34" i="77"/>
  <c r="Z34" i="68" s="1"/>
  <c r="AA12"/>
  <c r="DI67" i="77"/>
  <c r="Z67" i="69" s="1"/>
  <c r="AA26" i="73"/>
  <c r="AA33" i="74"/>
  <c r="EL236" i="77"/>
  <c r="Z236" i="70" s="1"/>
  <c r="AA192"/>
  <c r="AA37" i="72"/>
  <c r="BC257" i="77"/>
  <c r="Z257" i="65" s="1"/>
  <c r="AA457"/>
  <c r="BG457" i="77"/>
  <c r="AD457" i="65" s="1"/>
  <c r="BF457" i="77"/>
  <c r="AC457" i="65" s="1"/>
  <c r="AC385" i="71"/>
  <c r="AC388"/>
  <c r="W31" i="68"/>
  <c r="X114"/>
  <c r="V121"/>
  <c r="BA62" i="77"/>
  <c r="BD62" s="1"/>
  <c r="V62" i="65"/>
  <c r="BA439" i="77"/>
  <c r="BD439" s="1"/>
  <c r="V439" i="65"/>
  <c r="X194" i="70"/>
  <c r="X180" i="65"/>
  <c r="V200"/>
  <c r="AA243" i="70"/>
  <c r="AA388" i="68"/>
  <c r="AA385"/>
  <c r="AA194" i="69"/>
  <c r="BA407" i="77"/>
  <c r="BD407" s="1"/>
  <c r="V407" i="65"/>
  <c r="X180" i="70"/>
  <c r="V200"/>
  <c r="AA204" i="68"/>
  <c r="AA243" i="69"/>
  <c r="V441" i="65"/>
  <c r="X137"/>
  <c r="V144"/>
  <c r="AC425" i="73"/>
  <c r="AC405"/>
  <c r="EJ249" i="77"/>
  <c r="EM249" s="1"/>
  <c r="V252" i="70"/>
  <c r="V119"/>
  <c r="V143"/>
  <c r="AA419" i="73"/>
  <c r="AA437" i="72"/>
  <c r="AA413"/>
  <c r="AA419" i="74"/>
  <c r="AA412"/>
  <c r="AA412" i="68"/>
  <c r="AA419" i="72"/>
  <c r="AA412"/>
  <c r="AA216" i="65"/>
  <c r="AA204" i="74"/>
  <c r="AA243"/>
  <c r="AA389" i="69"/>
  <c r="AA386"/>
  <c r="AA243" i="72"/>
  <c r="AA204"/>
  <c r="AA143" i="68"/>
  <c r="AA119"/>
  <c r="AA197" i="72"/>
  <c r="AA217"/>
  <c r="X419"/>
  <c r="X412"/>
  <c r="X385" i="73"/>
  <c r="X216" i="65"/>
  <c r="V119"/>
  <c r="V143"/>
  <c r="X425" i="70"/>
  <c r="X194" i="68"/>
  <c r="X118"/>
  <c r="X194" i="73"/>
  <c r="X118"/>
  <c r="W19" i="68"/>
  <c r="X119" i="69"/>
  <c r="X143"/>
  <c r="X405" i="71"/>
  <c r="X425"/>
  <c r="X243" i="72"/>
  <c r="X204"/>
  <c r="X197"/>
  <c r="X217"/>
  <c r="W405" i="70"/>
  <c r="W425"/>
  <c r="DG204" i="77"/>
  <c r="DJ204" s="1"/>
  <c r="V209" i="69"/>
  <c r="V425" i="65"/>
  <c r="V405"/>
  <c r="AA217" i="74"/>
  <c r="AA197"/>
  <c r="X437" i="71"/>
  <c r="X413"/>
  <c r="V438" i="69"/>
  <c r="V414"/>
  <c r="V118" i="70"/>
  <c r="V194"/>
  <c r="V242" i="69"/>
  <c r="DG236" i="77"/>
  <c r="DJ236" s="1"/>
  <c r="U143" i="65"/>
  <c r="U119"/>
  <c r="X376" i="72"/>
  <c r="X205" i="74"/>
  <c r="X122"/>
  <c r="U204" i="70"/>
  <c r="U243"/>
  <c r="W216" i="69"/>
  <c r="W191"/>
  <c r="W437" i="65"/>
  <c r="W413"/>
  <c r="CD405" i="77"/>
  <c r="CG405" s="1"/>
  <c r="V425" i="68"/>
  <c r="V405"/>
  <c r="V118"/>
  <c r="V194"/>
  <c r="AA363" i="72"/>
  <c r="X363"/>
  <c r="AA100" i="73"/>
  <c r="X100"/>
  <c r="AA126" i="74"/>
  <c r="X126"/>
  <c r="AA198"/>
  <c r="X198"/>
  <c r="V389" i="70"/>
  <c r="V386"/>
  <c r="V388"/>
  <c r="V385"/>
  <c r="AA376" i="74"/>
  <c r="X376"/>
  <c r="U243" i="65"/>
  <c r="U204"/>
  <c r="Z124"/>
  <c r="AA208" i="71"/>
  <c r="DG367" i="77"/>
  <c r="DJ367" s="1"/>
  <c r="BA200"/>
  <c r="BD200" s="1"/>
  <c r="V208" i="65"/>
  <c r="AC118" i="71"/>
  <c r="FM72" i="77"/>
  <c r="FP72" s="1"/>
  <c r="V72" i="71"/>
  <c r="X203" i="73"/>
  <c r="W414" i="68"/>
  <c r="W438"/>
  <c r="EJ404" i="77"/>
  <c r="EM404" s="1"/>
  <c r="V404" i="70"/>
  <c r="DG442" i="77"/>
  <c r="DJ442" s="1"/>
  <c r="V442" i="69"/>
  <c r="X191" i="71"/>
  <c r="X216"/>
  <c r="V217"/>
  <c r="V197"/>
  <c r="X122" i="70"/>
  <c r="X205"/>
  <c r="V198" i="65"/>
  <c r="W243"/>
  <c r="W204"/>
  <c r="AA197"/>
  <c r="AA217"/>
  <c r="X389" i="73"/>
  <c r="V411" i="68"/>
  <c r="W197" i="71"/>
  <c r="W217"/>
  <c r="FM50" i="77"/>
  <c r="FP50" s="1"/>
  <c r="V50" i="71"/>
  <c r="AA119" i="69"/>
  <c r="X118" i="72"/>
  <c r="X194"/>
  <c r="X198" i="73"/>
  <c r="X205" i="72"/>
  <c r="X122"/>
  <c r="AA122" i="68"/>
  <c r="AA216" i="70"/>
  <c r="AA191"/>
  <c r="AA437" i="71"/>
  <c r="AA405"/>
  <c r="AA425"/>
  <c r="AA194" i="65"/>
  <c r="DI86" i="77"/>
  <c r="Z86" i="69" s="1"/>
  <c r="X90"/>
  <c r="X362"/>
  <c r="DI37" i="77"/>
  <c r="Z37" i="69" s="1"/>
  <c r="X37"/>
  <c r="IX409" i="77"/>
  <c r="Z409" i="74" s="1"/>
  <c r="X409"/>
  <c r="AA352"/>
  <c r="X352"/>
  <c r="DI70" i="77"/>
  <c r="Z70" i="69" s="1"/>
  <c r="X70"/>
  <c r="Z417"/>
  <c r="X417"/>
  <c r="X432"/>
  <c r="X193" i="73"/>
  <c r="X59" i="69"/>
  <c r="X194" i="65"/>
  <c r="X119" i="68"/>
  <c r="X143"/>
  <c r="X118" i="69"/>
  <c r="X194"/>
  <c r="X200" i="73"/>
  <c r="AA125" i="74"/>
  <c r="X125"/>
  <c r="U455" i="65"/>
  <c r="BA455" i="77"/>
  <c r="BD455" s="1"/>
  <c r="W412" i="69"/>
  <c r="W419"/>
  <c r="V413"/>
  <c r="V437"/>
  <c r="W432" i="68"/>
  <c r="W417"/>
  <c r="W194" i="70"/>
  <c r="W118"/>
  <c r="W388" i="73"/>
  <c r="W385"/>
  <c r="U405" i="68"/>
  <c r="U425"/>
  <c r="U438"/>
  <c r="U414"/>
  <c r="V216" i="71"/>
  <c r="V191"/>
  <c r="V122" i="70"/>
  <c r="V205"/>
  <c r="W425" i="65"/>
  <c r="W405"/>
  <c r="X118"/>
  <c r="V205"/>
  <c r="V122"/>
  <c r="X412" i="73"/>
  <c r="X419"/>
  <c r="U425" i="70"/>
  <c r="U405"/>
  <c r="U216" i="69"/>
  <c r="U191"/>
  <c r="V461"/>
  <c r="V205" i="72"/>
  <c r="V122"/>
  <c r="V412" i="69"/>
  <c r="V419"/>
  <c r="X197" i="73"/>
  <c r="X217"/>
  <c r="AA193" i="74"/>
  <c r="X193"/>
  <c r="W385" i="65"/>
  <c r="W388"/>
  <c r="W389"/>
  <c r="W386"/>
  <c r="AA363" i="73"/>
  <c r="X363"/>
  <c r="AA125" i="72"/>
  <c r="X125"/>
  <c r="AA123" i="74"/>
  <c r="X123"/>
  <c r="U216" i="68"/>
  <c r="U191"/>
  <c r="X143" i="71"/>
  <c r="X119"/>
  <c r="X413" i="74"/>
  <c r="X437"/>
  <c r="V386" i="65"/>
  <c r="V389"/>
  <c r="AA218" i="68"/>
  <c r="V215"/>
  <c r="AA143" i="72"/>
  <c r="AA119"/>
  <c r="AA203" i="74"/>
  <c r="X203"/>
  <c r="AA386" i="68"/>
  <c r="AA389"/>
  <c r="AA217" i="70"/>
  <c r="BA85" i="77"/>
  <c r="V89" i="65"/>
  <c r="W216" i="68"/>
  <c r="W191"/>
  <c r="X389" i="70"/>
  <c r="X386"/>
  <c r="V414" i="68"/>
  <c r="V438"/>
  <c r="EJ406" i="77"/>
  <c r="EM406" s="1"/>
  <c r="U406" i="70"/>
  <c r="V416" i="65"/>
  <c r="V431" i="69"/>
  <c r="X211" i="70"/>
  <c r="V211"/>
  <c r="AA405" i="74"/>
  <c r="AA425"/>
  <c r="AA194" i="68"/>
  <c r="V243" i="65"/>
  <c r="V204"/>
  <c r="AA413" i="74"/>
  <c r="AA437"/>
  <c r="X58" i="72"/>
  <c r="X419" i="68"/>
  <c r="X412"/>
  <c r="AA407" i="72"/>
  <c r="X407"/>
  <c r="X191" i="74"/>
  <c r="X216"/>
  <c r="X19"/>
  <c r="X204" i="70"/>
  <c r="X243"/>
  <c r="X413" i="73"/>
  <c r="X437"/>
  <c r="X217" i="69"/>
  <c r="X352" i="73"/>
  <c r="AA357"/>
  <c r="X357"/>
  <c r="AA100" i="74"/>
  <c r="X100"/>
  <c r="X239"/>
  <c r="V216" i="69"/>
  <c r="V191"/>
  <c r="W122" i="70"/>
  <c r="W205"/>
  <c r="W122" i="65"/>
  <c r="W205"/>
  <c r="W386" i="73"/>
  <c r="W389"/>
  <c r="V412" i="70"/>
  <c r="V419"/>
  <c r="V423"/>
  <c r="EJ423" i="77"/>
  <c r="EM423" s="1"/>
  <c r="V385" i="65"/>
  <c r="V388"/>
  <c r="AA98" i="74"/>
  <c r="X98"/>
  <c r="V197" i="68"/>
  <c r="V217"/>
  <c r="W438" i="69"/>
  <c r="W414"/>
  <c r="W191" i="71"/>
  <c r="W216"/>
  <c r="W412" i="70"/>
  <c r="W419"/>
  <c r="W204" i="73"/>
  <c r="W243"/>
  <c r="V432" i="68"/>
  <c r="V417"/>
  <c r="AA194" i="74"/>
  <c r="AA118"/>
  <c r="AA121" i="73"/>
  <c r="X121"/>
  <c r="X352" i="72"/>
  <c r="X389" i="69"/>
  <c r="X386"/>
  <c r="V405" i="70"/>
  <c r="V425"/>
  <c r="V204" i="73"/>
  <c r="V243"/>
  <c r="FM233" i="77"/>
  <c r="FP233" s="1"/>
  <c r="V239" i="71"/>
  <c r="U217"/>
  <c r="U197"/>
  <c r="AA98" i="72"/>
  <c r="V388" i="73"/>
  <c r="V385"/>
  <c r="W389" i="70"/>
  <c r="W386"/>
  <c r="W217" i="69"/>
  <c r="W197"/>
  <c r="W388" i="70"/>
  <c r="W385"/>
  <c r="V437" i="65"/>
  <c r="V413"/>
  <c r="W417" i="69"/>
  <c r="W432"/>
  <c r="AA147" i="65"/>
  <c r="V148"/>
  <c r="W143"/>
  <c r="W119"/>
  <c r="U119" i="70"/>
  <c r="U143"/>
  <c r="V71" i="71"/>
  <c r="BA442" i="77"/>
  <c r="BD442" s="1"/>
  <c r="V442" i="65"/>
  <c r="GP42" i="77"/>
  <c r="GS42" s="1"/>
  <c r="V42" i="72"/>
  <c r="FM253" i="77"/>
  <c r="V254" i="71"/>
  <c r="V17" i="72"/>
  <c r="X386" i="65"/>
  <c r="X389"/>
  <c r="AA122" i="69"/>
  <c r="V419" i="65"/>
  <c r="V412"/>
  <c r="X204" i="73"/>
  <c r="X243"/>
  <c r="X197" i="69"/>
  <c r="V206"/>
  <c r="X385" i="65"/>
  <c r="X388"/>
  <c r="X120" i="73"/>
  <c r="BA32" i="77"/>
  <c r="BD32" s="1"/>
  <c r="V32" i="65"/>
  <c r="X388" i="70"/>
  <c r="X385"/>
  <c r="AA405" i="72"/>
  <c r="AA425"/>
  <c r="AA425" i="69"/>
  <c r="AA405"/>
  <c r="V13" i="65"/>
  <c r="W419"/>
  <c r="W412"/>
  <c r="V191" i="68"/>
  <c r="V216"/>
  <c r="W119" i="70"/>
  <c r="W143"/>
  <c r="AD425" i="73"/>
  <c r="AD405"/>
  <c r="AA419" i="71"/>
  <c r="AA412"/>
  <c r="AA437" i="68"/>
  <c r="AA413"/>
  <c r="X438" i="69"/>
  <c r="X216"/>
  <c r="X191"/>
  <c r="X432" i="68"/>
  <c r="X417"/>
  <c r="AA118" i="71"/>
  <c r="AA413" i="73"/>
  <c r="AA437"/>
  <c r="X204" i="74"/>
  <c r="X243"/>
  <c r="Z181" i="72"/>
  <c r="X201"/>
  <c r="AA121"/>
  <c r="X121"/>
  <c r="X197" i="68"/>
  <c r="AA353" i="72"/>
  <c r="X353"/>
  <c r="AA355"/>
  <c r="X355"/>
  <c r="X122" i="73"/>
  <c r="X205"/>
  <c r="W204" i="70"/>
  <c r="W243"/>
  <c r="W413"/>
  <c r="W437"/>
  <c r="X118" i="71"/>
  <c r="X205" i="68"/>
  <c r="X122"/>
  <c r="AA119" i="73"/>
  <c r="V461" i="70"/>
  <c r="AA196" i="73"/>
  <c r="X196"/>
  <c r="V417" i="69"/>
  <c r="V432"/>
  <c r="U122" i="65"/>
  <c r="U205"/>
  <c r="DG248" i="77"/>
  <c r="V251" i="69"/>
  <c r="V386" i="73"/>
  <c r="V389"/>
  <c r="W413" i="69"/>
  <c r="W437"/>
  <c r="W119"/>
  <c r="W143"/>
  <c r="V413" i="70"/>
  <c r="V437"/>
  <c r="AA100" i="72"/>
  <c r="X100"/>
  <c r="U405" i="65"/>
  <c r="U425"/>
  <c r="BA405" i="77"/>
  <c r="BD405" s="1"/>
  <c r="V204" i="70"/>
  <c r="V243"/>
  <c r="W205" i="72"/>
  <c r="W122"/>
  <c r="V119" i="69"/>
  <c r="V143"/>
  <c r="AA143" i="74"/>
  <c r="AA119"/>
  <c r="W405" i="68"/>
  <c r="W425"/>
  <c r="W194"/>
  <c r="W118"/>
  <c r="W194" i="69"/>
  <c r="W118"/>
  <c r="V217"/>
  <c r="V197"/>
  <c r="W197" i="68"/>
  <c r="W217"/>
  <c r="AA388" i="74"/>
  <c r="AA385"/>
  <c r="V118" i="69"/>
  <c r="V194"/>
  <c r="U419" i="65"/>
  <c r="U412"/>
  <c r="AA355" i="73"/>
  <c r="X355"/>
  <c r="AA365" i="74"/>
  <c r="X365"/>
  <c r="AA363"/>
  <c r="X363"/>
  <c r="AA409"/>
  <c r="HY429" i="77"/>
  <c r="AD429" i="73" s="1"/>
  <c r="HX429" i="77"/>
  <c r="AC429" i="73" s="1"/>
  <c r="GR407" i="77"/>
  <c r="Z407" i="72" s="1"/>
  <c r="FM38" i="77"/>
  <c r="FP38" s="1"/>
  <c r="AA37" i="69"/>
  <c r="AA70"/>
  <c r="CD84" i="77"/>
  <c r="HS69"/>
  <c r="HV69" s="1"/>
  <c r="BA425"/>
  <c r="BD425" s="1"/>
  <c r="CD86"/>
  <c r="BA378"/>
  <c r="CD95"/>
  <c r="CG95" s="1"/>
  <c r="BA369"/>
  <c r="CD39"/>
  <c r="CG39" s="1"/>
  <c r="X138" i="69"/>
  <c r="CD47" i="77"/>
  <c r="CG47" s="1"/>
  <c r="BA408"/>
  <c r="BD408" s="1"/>
  <c r="DG20"/>
  <c r="DJ20" s="1"/>
  <c r="CD53"/>
  <c r="CG53" s="1"/>
  <c r="DG353"/>
  <c r="DJ353" s="1"/>
  <c r="X181" i="65"/>
  <c r="AA408" i="72"/>
  <c r="GR408" i="77"/>
  <c r="Z408" i="72" s="1"/>
  <c r="AA146" i="65"/>
  <c r="AA196" i="70"/>
  <c r="X365" i="65"/>
  <c r="X183"/>
  <c r="EJ27" i="77"/>
  <c r="EM27" s="1"/>
  <c r="CD46"/>
  <c r="CG46" s="1"/>
  <c r="AA16" i="68"/>
  <c r="Z16"/>
  <c r="AA89" i="69"/>
  <c r="AA148"/>
  <c r="CF55" i="77"/>
  <c r="Z55" i="68" s="1"/>
  <c r="AA55"/>
  <c r="EP235" i="77"/>
  <c r="EO235"/>
  <c r="CJ442"/>
  <c r="AD442" i="68" s="1"/>
  <c r="BA426" i="77"/>
  <c r="BD426" s="1"/>
  <c r="X170" i="65"/>
  <c r="BA95" i="77"/>
  <c r="DG68"/>
  <c r="DJ68" s="1"/>
  <c r="BA357"/>
  <c r="BD357" s="1"/>
  <c r="AA92" i="72"/>
  <c r="GR90" i="77"/>
  <c r="Z90" i="72" s="1"/>
  <c r="Z421"/>
  <c r="AA421"/>
  <c r="EL389" i="77"/>
  <c r="Z389" i="70" s="1"/>
  <c r="AA242" i="71"/>
  <c r="AA93" i="70"/>
  <c r="HX425" i="77"/>
  <c r="HY425"/>
  <c r="GU248"/>
  <c r="FR63"/>
  <c r="AC63" i="71" s="1"/>
  <c r="EP224" i="77"/>
  <c r="EO224"/>
  <c r="BG220"/>
  <c r="BF220"/>
  <c r="JA239"/>
  <c r="JB239"/>
  <c r="FR435"/>
  <c r="AC435" i="71" s="1"/>
  <c r="AA371" i="69"/>
  <c r="DL69" i="77"/>
  <c r="AC69" i="69" s="1"/>
  <c r="JB442" i="77"/>
  <c r="AD442" i="74" s="1"/>
  <c r="JA442" i="77"/>
  <c r="AC442" i="74" s="1"/>
  <c r="GV228" i="77"/>
  <c r="GU228"/>
  <c r="DM40"/>
  <c r="AD40" i="69" s="1"/>
  <c r="GU62" i="77"/>
  <c r="AC62" i="72" s="1"/>
  <c r="JB429" i="77"/>
  <c r="AD429" i="74" s="1"/>
  <c r="JA429" i="77"/>
  <c r="AC429" i="74" s="1"/>
  <c r="AC21" i="65"/>
  <c r="CJ58" i="77"/>
  <c r="AD58" i="68" s="1"/>
  <c r="CI58" i="77"/>
  <c r="AC58" i="68" s="1"/>
  <c r="AC286" i="69"/>
  <c r="AD286"/>
  <c r="GU378" i="77"/>
  <c r="EP96"/>
  <c r="EO96"/>
  <c r="JA63"/>
  <c r="AC63" i="74" s="1"/>
  <c r="JB62" i="77"/>
  <c r="AD62" i="74" s="1"/>
  <c r="JA62" i="77"/>
  <c r="AC62" i="74" s="1"/>
  <c r="GR247" i="77"/>
  <c r="Z247" i="72" s="1"/>
  <c r="AA250"/>
  <c r="HU237" i="77"/>
  <c r="Z237" i="73" s="1"/>
  <c r="Z136" i="65"/>
  <c r="AA147" i="74"/>
  <c r="X169" i="69"/>
  <c r="X162" i="68"/>
  <c r="DG253" i="77"/>
  <c r="DJ253" s="1"/>
  <c r="DG370"/>
  <c r="BA246"/>
  <c r="DL245"/>
  <c r="FS235"/>
  <c r="FR235"/>
  <c r="FR402"/>
  <c r="AC402" i="71" s="1"/>
  <c r="FS402" i="77"/>
  <c r="AD402" i="71" s="1"/>
  <c r="FS86" i="77"/>
  <c r="FR86"/>
  <c r="DM26"/>
  <c r="AD26" i="69" s="1"/>
  <c r="DL26" i="77"/>
  <c r="AC26" i="69" s="1"/>
  <c r="HY248" i="77"/>
  <c r="EP253"/>
  <c r="AD254" i="70" s="1"/>
  <c r="AD150"/>
  <c r="AC150"/>
  <c r="EP205" i="77"/>
  <c r="EO205"/>
  <c r="CI437"/>
  <c r="CJ437"/>
  <c r="BG353"/>
  <c r="AD353" i="65" s="1"/>
  <c r="JB96" i="77"/>
  <c r="EO355"/>
  <c r="AC355" i="70" s="1"/>
  <c r="EP355" i="77"/>
  <c r="AD355" i="70" s="1"/>
  <c r="FS420" i="77"/>
  <c r="AD420" i="71" s="1"/>
  <c r="FR420" i="77"/>
  <c r="AC420" i="71" s="1"/>
  <c r="AD16"/>
  <c r="CJ28" i="77"/>
  <c r="AD28" i="68" s="1"/>
  <c r="GU439" i="77"/>
  <c r="AC439" i="72" s="1"/>
  <c r="GV439" i="77"/>
  <c r="AD439" i="72" s="1"/>
  <c r="AC124" i="70"/>
  <c r="EP58" i="77"/>
  <c r="AD58" i="70" s="1"/>
  <c r="AD128" i="74"/>
  <c r="AC128"/>
  <c r="FS237" i="77"/>
  <c r="FR237"/>
  <c r="GV93"/>
  <c r="GU93"/>
  <c r="HX244"/>
  <c r="GV26"/>
  <c r="AD26" i="72" s="1"/>
  <c r="GU26" i="77"/>
  <c r="AC26" i="72" s="1"/>
  <c r="FS228" i="77"/>
  <c r="FR228"/>
  <c r="GU374"/>
  <c r="AC374" i="72" s="1"/>
  <c r="GV374" i="77"/>
  <c r="AD374" i="72" s="1"/>
  <c r="GU369" i="77"/>
  <c r="AD416" i="74"/>
  <c r="AC12" i="69"/>
  <c r="GV84" i="77"/>
  <c r="GU84"/>
  <c r="FR430"/>
  <c r="AC430" i="71" s="1"/>
  <c r="FS430" i="77"/>
  <c r="AD430" i="71" s="1"/>
  <c r="AD17" i="69"/>
  <c r="AC17"/>
  <c r="JB248" i="77"/>
  <c r="AD251" i="74" s="1"/>
  <c r="FR257" i="77"/>
  <c r="AC257" i="71" s="1"/>
  <c r="AC17" i="70"/>
  <c r="AA219" i="69"/>
  <c r="AA32" i="72"/>
  <c r="GR32" i="77"/>
  <c r="Z32" i="72" s="1"/>
  <c r="FO220" i="77"/>
  <c r="Z220" i="71" s="1"/>
  <c r="BC237" i="77"/>
  <c r="Z237" i="65" s="1"/>
  <c r="IX420" i="77"/>
  <c r="Z420" i="74" s="1"/>
  <c r="AA420"/>
  <c r="AA250" i="68"/>
  <c r="CJ436" i="77"/>
  <c r="AD436" i="68" s="1"/>
  <c r="CI436" i="77"/>
  <c r="AC436" i="68" s="1"/>
  <c r="AD193" i="71"/>
  <c r="AC193"/>
  <c r="HY226" i="77"/>
  <c r="HX226"/>
  <c r="AC286" i="68"/>
  <c r="AD286"/>
  <c r="GV204" i="77"/>
  <c r="AD209" i="72" s="1"/>
  <c r="EO95" i="77"/>
  <c r="HX95"/>
  <c r="FS448"/>
  <c r="AD448" i="71" s="1"/>
  <c r="FR448" i="77"/>
  <c r="AC448" i="71" s="1"/>
  <c r="GV235" i="77"/>
  <c r="GU235"/>
  <c r="BF355"/>
  <c r="AC355" i="65" s="1"/>
  <c r="JA247" i="77"/>
  <c r="AD213" i="68"/>
  <c r="JB407" i="77"/>
  <c r="AD407" i="74" s="1"/>
  <c r="EO238" i="77"/>
  <c r="AA363" i="70"/>
  <c r="FO224" i="77"/>
  <c r="Z224" i="71" s="1"/>
  <c r="EL425" i="77"/>
  <c r="Z425" i="70" s="1"/>
  <c r="AA247"/>
  <c r="CI389" i="77"/>
  <c r="CJ389"/>
  <c r="AD11" i="71"/>
  <c r="CI448" i="77"/>
  <c r="AC448" i="68" s="1"/>
  <c r="DL65" i="77"/>
  <c r="AC65" i="69" s="1"/>
  <c r="CI38" i="77"/>
  <c r="AC38" i="68" s="1"/>
  <c r="GV57" i="77"/>
  <c r="AD57" i="72" s="1"/>
  <c r="GU57" i="77"/>
  <c r="AC57" i="72" s="1"/>
  <c r="AD31" i="71"/>
  <c r="AC31"/>
  <c r="CI380" i="77"/>
  <c r="AC380" i="68" s="1"/>
  <c r="HY83" i="77"/>
  <c r="DM92"/>
  <c r="AD94" i="69" s="1"/>
  <c r="BG24" i="77"/>
  <c r="AD24" i="65" s="1"/>
  <c r="AD31" i="74"/>
  <c r="AC31"/>
  <c r="JA439" i="77"/>
  <c r="AC439" i="74" s="1"/>
  <c r="FS95" i="77"/>
  <c r="FR95"/>
  <c r="FR90"/>
  <c r="AD31" i="65"/>
  <c r="AC31"/>
  <c r="JB95" i="77"/>
  <c r="JA95"/>
  <c r="DI220"/>
  <c r="Z220" i="69" s="1"/>
  <c r="AA199" i="72"/>
  <c r="Z168" i="70"/>
  <c r="DI432" i="77"/>
  <c r="Z432" i="69" s="1"/>
  <c r="AA248" i="71"/>
  <c r="AA218" i="65"/>
  <c r="AA363"/>
  <c r="AC12" i="72"/>
  <c r="AD12"/>
  <c r="AD61" i="71"/>
  <c r="BG233" i="77"/>
  <c r="BF233"/>
  <c r="JB28"/>
  <c r="AD28" i="74" s="1"/>
  <c r="FS244" i="77"/>
  <c r="FR244"/>
  <c r="EO24"/>
  <c r="AC24" i="70" s="1"/>
  <c r="HY228" i="77"/>
  <c r="HX228"/>
  <c r="DM38"/>
  <c r="AD38" i="69" s="1"/>
  <c r="GU423" i="77"/>
  <c r="AC423" i="72" s="1"/>
  <c r="FS444" i="77"/>
  <c r="AD444" i="71" s="1"/>
  <c r="FR444" i="77"/>
  <c r="AC444" i="71" s="1"/>
  <c r="DM434" i="77"/>
  <c r="AD434" i="69" s="1"/>
  <c r="DL434" i="77"/>
  <c r="AC434" i="69" s="1"/>
  <c r="FS422" i="77"/>
  <c r="AD422" i="71" s="1"/>
  <c r="FR422" i="77"/>
  <c r="AC422" i="71" s="1"/>
  <c r="AD415" i="70"/>
  <c r="AC415"/>
  <c r="EO435" i="77"/>
  <c r="AC435" i="70" s="1"/>
  <c r="JB200" i="77"/>
  <c r="AD208" i="74" s="1"/>
  <c r="GV425" i="77"/>
  <c r="GU425"/>
  <c r="FR85"/>
  <c r="FS84"/>
  <c r="FR84"/>
  <c r="DM425"/>
  <c r="DL425"/>
  <c r="GU246"/>
  <c r="AC249" i="72" s="1"/>
  <c r="EO42" i="77"/>
  <c r="AC42" i="70" s="1"/>
  <c r="AC125"/>
  <c r="JB425" i="77"/>
  <c r="JA425"/>
  <c r="AA79" i="71"/>
  <c r="CF226" i="77"/>
  <c r="Z226" i="68" s="1"/>
  <c r="AA94" i="74"/>
  <c r="AD207" i="71"/>
  <c r="AC207"/>
  <c r="AC214" i="70"/>
  <c r="JA23" i="77"/>
  <c r="AC23" i="74" s="1"/>
  <c r="AC17" i="65"/>
  <c r="HY462" i="77"/>
  <c r="AD462" i="73" s="1"/>
  <c r="AD21" i="71"/>
  <c r="BF82" i="77"/>
  <c r="AC80" i="65" s="1"/>
  <c r="BG82" i="77"/>
  <c r="AD80" i="65" s="1"/>
  <c r="EO65" i="77"/>
  <c r="AC65" i="70" s="1"/>
  <c r="EP65" i="77"/>
  <c r="AD65" i="70" s="1"/>
  <c r="AD61" i="74"/>
  <c r="AC61"/>
  <c r="HX369" i="77"/>
  <c r="FS247"/>
  <c r="AD250" i="71" s="1"/>
  <c r="FR247" i="77"/>
  <c r="AC250" i="71" s="1"/>
  <c r="FS425" i="77"/>
  <c r="FR425"/>
  <c r="CJ34"/>
  <c r="AD34" i="68" s="1"/>
  <c r="CJ388" i="77"/>
  <c r="CI388"/>
  <c r="FS462"/>
  <c r="AD462" i="71" s="1"/>
  <c r="CD400" i="77"/>
  <c r="CG400" s="1"/>
  <c r="X211" i="65"/>
  <c r="FM67" i="77"/>
  <c r="FP67" s="1"/>
  <c r="EP462"/>
  <c r="AD462" i="70" s="1"/>
  <c r="EO462" i="77"/>
  <c r="AC462" i="70" s="1"/>
  <c r="Z161" i="71"/>
  <c r="AA219" i="68"/>
  <c r="CF62" i="77"/>
  <c r="Z62" i="68" s="1"/>
  <c r="AA62"/>
  <c r="AA145" i="73"/>
  <c r="AA97" i="69"/>
  <c r="AA123" i="68"/>
  <c r="EL237" i="77"/>
  <c r="Z237" i="70" s="1"/>
  <c r="Z419" i="69"/>
  <c r="EL388" i="77"/>
  <c r="Z388" i="70" s="1"/>
  <c r="AD98" i="71"/>
  <c r="GU226" i="77"/>
  <c r="AD61" i="70"/>
  <c r="AC61"/>
  <c r="FS357" i="77"/>
  <c r="AD357" i="71" s="1"/>
  <c r="FR357" i="77"/>
  <c r="AC357" i="71" s="1"/>
  <c r="HX435" i="77"/>
  <c r="AC435" i="73" s="1"/>
  <c r="GU86" i="77"/>
  <c r="GV86"/>
  <c r="EO37"/>
  <c r="AC37" i="70" s="1"/>
  <c r="EP37" i="77"/>
  <c r="AD37" i="70" s="1"/>
  <c r="JA30" i="77"/>
  <c r="AC30" i="74" s="1"/>
  <c r="JB42" i="77"/>
  <c r="AD42" i="74" s="1"/>
  <c r="HX407" i="77"/>
  <c r="AC407" i="73" s="1"/>
  <c r="HY407" i="77"/>
  <c r="AD407" i="73" s="1"/>
  <c r="AD365" i="72"/>
  <c r="BG63" i="77"/>
  <c r="AD63" i="65" s="1"/>
  <c r="BF63" i="77"/>
  <c r="AC63" i="65" s="1"/>
  <c r="EO92" i="77"/>
  <c r="JB237"/>
  <c r="JA237"/>
  <c r="BF29"/>
  <c r="AC29" i="65" s="1"/>
  <c r="CI358" i="77"/>
  <c r="AC358" i="68" s="1"/>
  <c r="CJ358" i="77"/>
  <c r="AD358" i="68" s="1"/>
  <c r="GV257" i="77"/>
  <c r="AD257" i="72" s="1"/>
  <c r="FS23" i="77"/>
  <c r="AD23" i="71" s="1"/>
  <c r="CJ438" i="77"/>
  <c r="GV24"/>
  <c r="AD24" i="72" s="1"/>
  <c r="GU24" i="77"/>
  <c r="AC24" i="72" s="1"/>
  <c r="BG256" i="77"/>
  <c r="AD256" i="65" s="1"/>
  <c r="GU444" i="77"/>
  <c r="AC444" i="72" s="1"/>
  <c r="GV444" i="77"/>
  <c r="AD444" i="72" s="1"/>
  <c r="AC31" i="73"/>
  <c r="AD31"/>
  <c r="BG235" i="77"/>
  <c r="BF235"/>
  <c r="JB84"/>
  <c r="JB82"/>
  <c r="JA82"/>
  <c r="JA83"/>
  <c r="AA211" i="73"/>
  <c r="AA128" i="68"/>
  <c r="AA219" i="70"/>
  <c r="AA376" i="65"/>
  <c r="AA221" i="68"/>
  <c r="Z419" i="70"/>
  <c r="DM244" i="77"/>
  <c r="DL244"/>
  <c r="AC213" i="72"/>
  <c r="AC421" i="71"/>
  <c r="AC211" i="69"/>
  <c r="AD211"/>
  <c r="FS248" i="77"/>
  <c r="FR248"/>
  <c r="EO232"/>
  <c r="EP232"/>
  <c r="AC79" i="74"/>
  <c r="EO407" i="77"/>
  <c r="AC407" i="70" s="1"/>
  <c r="BG33" i="77"/>
  <c r="AD33" i="65" s="1"/>
  <c r="AD199" i="74"/>
  <c r="DM42" i="77"/>
  <c r="AD42" i="69" s="1"/>
  <c r="EP247" i="77"/>
  <c r="AD250" i="70" s="1"/>
  <c r="EO247" i="77"/>
  <c r="AC250" i="70" s="1"/>
  <c r="JA40" i="77"/>
  <c r="AC40" i="74" s="1"/>
  <c r="JB40" i="77"/>
  <c r="AD40" i="74" s="1"/>
  <c r="BG40" i="77"/>
  <c r="AD40" i="65" s="1"/>
  <c r="BF40" i="77"/>
  <c r="AC40" i="65" s="1"/>
  <c r="GV70" i="77"/>
  <c r="AD70" i="72" s="1"/>
  <c r="DM378" i="77"/>
  <c r="HY85"/>
  <c r="CI65"/>
  <c r="AC65" i="68" s="1"/>
  <c r="AD12" i="74"/>
  <c r="JB448" i="77"/>
  <c r="AD448" i="74" s="1"/>
  <c r="HY426" i="77"/>
  <c r="AD426" i="73" s="1"/>
  <c r="HX426" i="77"/>
  <c r="AC426" i="73" s="1"/>
  <c r="AD128" i="72"/>
  <c r="AC128"/>
  <c r="FS200" i="77"/>
  <c r="AD208" i="71" s="1"/>
  <c r="CD49" i="77"/>
  <c r="CG49" s="1"/>
  <c r="FS437"/>
  <c r="FR437"/>
  <c r="AD19" i="71"/>
  <c r="AC19"/>
  <c r="FS88" i="77"/>
  <c r="AC100" i="70"/>
  <c r="DI237" i="77"/>
  <c r="Z237" i="69" s="1"/>
  <c r="Z193" i="72"/>
  <c r="AA364" i="70"/>
  <c r="GV405" i="77"/>
  <c r="GU405"/>
  <c r="DL405"/>
  <c r="DM405"/>
  <c r="EP256"/>
  <c r="AD256" i="70" s="1"/>
  <c r="GU436" i="77"/>
  <c r="AC436" i="72" s="1"/>
  <c r="GU409" i="77"/>
  <c r="AC409" i="72" s="1"/>
  <c r="BG92" i="77"/>
  <c r="AD94" i="65" s="1"/>
  <c r="BF92" i="77"/>
  <c r="AC21" i="73"/>
  <c r="EP443" i="77"/>
  <c r="AD443" i="70" s="1"/>
  <c r="EO443" i="77"/>
  <c r="AC443" i="70" s="1"/>
  <c r="AC21" i="69"/>
  <c r="FS34" i="77"/>
  <c r="AD34" i="71" s="1"/>
  <c r="FR34" i="77"/>
  <c r="AC34" i="71" s="1"/>
  <c r="AD151" i="74"/>
  <c r="AC151"/>
  <c r="JB70" i="77"/>
  <c r="AD70" i="74" s="1"/>
  <c r="JA70" i="77"/>
  <c r="AC70" i="74" s="1"/>
  <c r="Z217" i="65"/>
  <c r="AA214"/>
  <c r="CJ228" i="77"/>
  <c r="CI228"/>
  <c r="CJ444"/>
  <c r="AD444" i="68" s="1"/>
  <c r="CI444" i="77"/>
  <c r="AC444" i="68" s="1"/>
  <c r="GU60" i="77"/>
  <c r="AC60" i="72" s="1"/>
  <c r="GU437" i="77"/>
  <c r="GV437"/>
  <c r="FS242"/>
  <c r="FR242"/>
  <c r="FR434"/>
  <c r="AC434" i="71" s="1"/>
  <c r="AD16" i="65"/>
  <c r="AC16"/>
  <c r="CI236" i="77"/>
  <c r="FR407"/>
  <c r="AC407" i="71" s="1"/>
  <c r="FS407" i="77"/>
  <c r="AD407" i="71" s="1"/>
  <c r="EP82" i="77"/>
  <c r="AD80" i="70" s="1"/>
  <c r="AC365" i="68"/>
  <c r="HX423" i="77"/>
  <c r="AC423" i="73" s="1"/>
  <c r="GU200" i="77"/>
  <c r="AC208" i="72" s="1"/>
  <c r="AD13" i="70"/>
  <c r="FR439" i="77"/>
  <c r="AC439" i="71" s="1"/>
  <c r="FS439" i="77"/>
  <c r="AD439" i="71" s="1"/>
  <c r="Z11" i="69"/>
  <c r="Z168"/>
  <c r="AA250"/>
  <c r="DI247" i="77"/>
  <c r="Z247" i="69" s="1"/>
  <c r="AA220" i="65"/>
  <c r="AA251" i="70"/>
  <c r="CF224" i="77"/>
  <c r="Z224" i="68" s="1"/>
  <c r="BC34" i="77"/>
  <c r="Z34" i="65" s="1"/>
  <c r="GV402" i="77"/>
  <c r="AD402" i="72" s="1"/>
  <c r="GU402" i="77"/>
  <c r="AC402" i="72" s="1"/>
  <c r="GU83" i="77"/>
  <c r="EO22"/>
  <c r="AC22" i="70" s="1"/>
  <c r="EP22" i="77"/>
  <c r="AD22" i="70" s="1"/>
  <c r="JA423" i="77"/>
  <c r="AC423" i="74" s="1"/>
  <c r="JB423" i="77"/>
  <c r="AD423" i="74" s="1"/>
  <c r="HY444" i="77"/>
  <c r="AD444" i="73" s="1"/>
  <c r="HX444" i="77"/>
  <c r="AC444" i="73" s="1"/>
  <c r="DL389" i="77"/>
  <c r="DM389"/>
  <c r="EO233"/>
  <c r="EP233"/>
  <c r="AD421" i="74"/>
  <c r="AC421"/>
  <c r="JB444" i="77"/>
  <c r="AD444" i="74" s="1"/>
  <c r="JA444" i="77"/>
  <c r="AC444" i="74" s="1"/>
  <c r="JA22" i="77"/>
  <c r="AC22" i="74" s="1"/>
  <c r="JB22" i="77"/>
  <c r="AD22" i="74" s="1"/>
  <c r="DM86" i="77"/>
  <c r="DL86"/>
  <c r="GU237"/>
  <c r="GV237"/>
  <c r="EP239"/>
  <c r="AD245" i="70" s="1"/>
  <c r="EO239" i="77"/>
  <c r="AC245" i="70" s="1"/>
  <c r="BF409" i="77"/>
  <c r="AC409" i="65" s="1"/>
  <c r="BG409" i="77"/>
  <c r="AD409" i="65" s="1"/>
  <c r="CJ32" i="77"/>
  <c r="AD32" i="68" s="1"/>
  <c r="CI32" i="77"/>
  <c r="AC32" i="68" s="1"/>
  <c r="EP23" i="77"/>
  <c r="AD23" i="70" s="1"/>
  <c r="FS227" i="77"/>
  <c r="FR227"/>
  <c r="FS24"/>
  <c r="AD24" i="71" s="1"/>
  <c r="FR24" i="77"/>
  <c r="AC24" i="71" s="1"/>
  <c r="FS405" i="77"/>
  <c r="FR405"/>
  <c r="DG373"/>
  <c r="DJ373" s="1"/>
  <c r="AB200" i="73"/>
  <c r="Z180"/>
  <c r="AB240"/>
  <c r="HU234" i="77"/>
  <c r="Z234" i="73" s="1"/>
  <c r="AB255" i="74"/>
  <c r="IX255" i="77"/>
  <c r="Z255" i="74" s="1"/>
  <c r="AD125" i="72"/>
  <c r="IX220" i="77"/>
  <c r="Z220" i="74" s="1"/>
  <c r="Z174"/>
  <c r="AB120" i="73"/>
  <c r="GV233" i="77"/>
  <c r="GU233"/>
  <c r="AB123" i="73"/>
  <c r="Z121"/>
  <c r="Z111"/>
  <c r="Z183" i="74"/>
  <c r="Z107" i="73"/>
  <c r="Z168" i="74"/>
  <c r="IX249" i="77"/>
  <c r="Z249" i="74" s="1"/>
  <c r="HY255" i="77"/>
  <c r="AD255" i="73" s="1"/>
  <c r="HX255" i="77"/>
  <c r="AC255" i="73" s="1"/>
  <c r="AB239"/>
  <c r="HU233" i="77"/>
  <c r="Z233" i="73" s="1"/>
  <c r="AD123" i="72"/>
  <c r="AB124" i="73"/>
  <c r="AB98" i="74"/>
  <c r="AB121" i="73"/>
  <c r="Z114"/>
  <c r="HY249" i="77"/>
  <c r="HX249"/>
  <c r="Z126" i="73"/>
  <c r="AB92" i="74"/>
  <c r="IX90" i="77"/>
  <c r="Z90" i="74" s="1"/>
  <c r="Z136" i="73"/>
  <c r="GV224" i="77"/>
  <c r="GU224"/>
  <c r="AB100" i="73"/>
  <c r="Z193" i="74"/>
  <c r="Z118" i="73"/>
  <c r="AB196" i="74"/>
  <c r="Z170"/>
  <c r="GV234" i="77"/>
  <c r="GU234"/>
  <c r="AB198" i="73"/>
  <c r="HY220" i="77"/>
  <c r="HX220"/>
  <c r="AD126" i="72"/>
  <c r="AC126"/>
  <c r="HU224" i="77"/>
  <c r="Z224" i="73" s="1"/>
  <c r="HU388" i="77"/>
  <c r="Z388" i="73" s="1"/>
  <c r="GV359" i="77"/>
  <c r="GU359"/>
  <c r="AB352" i="74"/>
  <c r="IX352" i="77"/>
  <c r="Z352" i="74" s="1"/>
  <c r="AB353" i="73"/>
  <c r="AB355"/>
  <c r="HU355" i="77"/>
  <c r="Z355" i="73" s="1"/>
  <c r="GV380" i="77"/>
  <c r="AD380" i="72" s="1"/>
  <c r="GU380" i="77"/>
  <c r="AC380" i="72" s="1"/>
  <c r="GV389" i="77"/>
  <c r="GU389"/>
  <c r="AB363" i="73"/>
  <c r="HU360" i="77"/>
  <c r="Z360" i="73" s="1"/>
  <c r="GV388" i="77"/>
  <c r="GU388"/>
  <c r="GV358"/>
  <c r="AD358" i="72" s="1"/>
  <c r="AB357" i="74"/>
  <c r="IX357" i="77"/>
  <c r="Z357" i="74" s="1"/>
  <c r="AB362" i="73"/>
  <c r="HU359" i="77"/>
  <c r="Z359" i="73" s="1"/>
  <c r="HY352" i="77"/>
  <c r="AD352" i="73" s="1"/>
  <c r="BC342" i="77" l="1"/>
  <c r="Z342" i="65" s="1"/>
  <c r="DI112" i="77"/>
  <c r="BC122"/>
  <c r="AA328" i="71"/>
  <c r="FR328" i="77"/>
  <c r="AC328" i="71" s="1"/>
  <c r="FS328" i="77"/>
  <c r="AD328" i="71" s="1"/>
  <c r="HV112" i="77"/>
  <c r="CG415"/>
  <c r="GU162"/>
  <c r="GV162"/>
  <c r="EM121"/>
  <c r="FR109"/>
  <c r="FS109"/>
  <c r="EL230"/>
  <c r="Z230" i="70" s="1"/>
  <c r="BD153" i="77"/>
  <c r="BD413"/>
  <c r="BD343"/>
  <c r="AA343" i="65" s="1"/>
  <c r="EM139" i="77"/>
  <c r="BD120"/>
  <c r="CF80"/>
  <c r="Z80" i="68" s="1"/>
  <c r="DI282" i="77"/>
  <c r="BD261"/>
  <c r="EL106"/>
  <c r="CF184"/>
  <c r="DJ391"/>
  <c r="IX238"/>
  <c r="Z238" i="74" s="1"/>
  <c r="X311" i="65"/>
  <c r="BD311" i="77"/>
  <c r="BC311"/>
  <c r="Z311" i="65" s="1"/>
  <c r="EL264" i="77"/>
  <c r="CG337"/>
  <c r="AA337" i="68" s="1"/>
  <c r="BD41" i="77"/>
  <c r="EM167"/>
  <c r="GS16"/>
  <c r="IZ428"/>
  <c r="IX428"/>
  <c r="Z428" i="74" s="1"/>
  <c r="IZ404" i="77"/>
  <c r="IX404"/>
  <c r="Z404" i="74" s="1"/>
  <c r="IZ368" i="77"/>
  <c r="IX368"/>
  <c r="Z368" i="74" s="1"/>
  <c r="HX432" i="77"/>
  <c r="HY432"/>
  <c r="HY405"/>
  <c r="HX405"/>
  <c r="HY400"/>
  <c r="AD400" i="73" s="1"/>
  <c r="HX400" i="77"/>
  <c r="AC400" i="73" s="1"/>
  <c r="IX415" i="77"/>
  <c r="IZ415"/>
  <c r="HY367"/>
  <c r="AD367" i="73" s="1"/>
  <c r="HX367" i="77"/>
  <c r="AC367" i="73" s="1"/>
  <c r="IZ228" i="77"/>
  <c r="IX228"/>
  <c r="Z228" i="74" s="1"/>
  <c r="FR61" i="77"/>
  <c r="FS61"/>
  <c r="IZ432"/>
  <c r="IX432"/>
  <c r="Z432" i="74" s="1"/>
  <c r="HX406" i="77"/>
  <c r="AC406" i="73" s="1"/>
  <c r="HY406" i="77"/>
  <c r="AD406" i="73" s="1"/>
  <c r="HY427" i="77"/>
  <c r="AD427" i="73" s="1"/>
  <c r="HX427" i="77"/>
  <c r="AC427" i="73" s="1"/>
  <c r="IZ400" i="77"/>
  <c r="IX400"/>
  <c r="Z400" i="74" s="1"/>
  <c r="CF254" i="77"/>
  <c r="Z254" i="68" s="1"/>
  <c r="CF337" i="77"/>
  <c r="Z337" i="68" s="1"/>
  <c r="DJ412" i="77"/>
  <c r="DI215"/>
  <c r="BD176"/>
  <c r="HX373"/>
  <c r="AC373" i="73" s="1"/>
  <c r="HY373" i="77"/>
  <c r="AD373" i="73" s="1"/>
  <c r="HX404" i="77"/>
  <c r="AC404" i="73" s="1"/>
  <c r="HY404" i="77"/>
  <c r="AD404" i="73" s="1"/>
  <c r="IZ370" i="77"/>
  <c r="IX370"/>
  <c r="Z370" i="74" s="1"/>
  <c r="HY438" i="77"/>
  <c r="HX438"/>
  <c r="IZ367"/>
  <c r="IX367"/>
  <c r="Z367" i="74" s="1"/>
  <c r="IZ235" i="77"/>
  <c r="IX235"/>
  <c r="Z235" i="74" s="1"/>
  <c r="IZ373" i="77"/>
  <c r="IX373"/>
  <c r="Z373" i="74" s="1"/>
  <c r="HY428" i="77"/>
  <c r="AD428" i="73" s="1"/>
  <c r="HX428" i="77"/>
  <c r="AC428" i="73" s="1"/>
  <c r="HY368" i="77"/>
  <c r="AD368" i="73" s="1"/>
  <c r="HX368" i="77"/>
  <c r="AC368" i="73" s="1"/>
  <c r="IZ406" i="77"/>
  <c r="IX406"/>
  <c r="Z406" i="74" s="1"/>
  <c r="IZ227" i="77"/>
  <c r="IX227"/>
  <c r="Z227" i="74" s="1"/>
  <c r="IZ427" i="77"/>
  <c r="IX427"/>
  <c r="Z427" i="74" s="1"/>
  <c r="JA169" i="77"/>
  <c r="JB169"/>
  <c r="HX370"/>
  <c r="HY370"/>
  <c r="IZ438"/>
  <c r="IX438"/>
  <c r="Z438" i="74" s="1"/>
  <c r="AB298"/>
  <c r="JB298" i="77"/>
  <c r="AD298" i="74" s="1"/>
  <c r="JA298" i="77"/>
  <c r="AC298" i="74" s="1"/>
  <c r="IZ405" i="77"/>
  <c r="IX405"/>
  <c r="Z405" i="74" s="1"/>
  <c r="IZ236" i="77"/>
  <c r="IX236"/>
  <c r="Z236" i="74" s="1"/>
  <c r="HY415" i="77"/>
  <c r="HX415"/>
  <c r="BD415"/>
  <c r="BC343"/>
  <c r="Z343" i="65" s="1"/>
  <c r="BC300" i="77"/>
  <c r="Z300" i="65" s="1"/>
  <c r="BD326" i="77"/>
  <c r="AA326" i="65" s="1"/>
  <c r="DJ317" i="77"/>
  <c r="AA317" i="69" s="1"/>
  <c r="BD166" i="77"/>
  <c r="DI305"/>
  <c r="Z305" i="69" s="1"/>
  <c r="AB347" i="74"/>
  <c r="JA347" i="77"/>
  <c r="AC347" i="74" s="1"/>
  <c r="JB347" i="77"/>
  <c r="AD347" i="74" s="1"/>
  <c r="AB336"/>
  <c r="JB336" i="77"/>
  <c r="AD336" i="74" s="1"/>
  <c r="JA336" i="77"/>
  <c r="AC336" i="74" s="1"/>
  <c r="AB346"/>
  <c r="JB346" i="77"/>
  <c r="AD346" i="74" s="1"/>
  <c r="JA346" i="77"/>
  <c r="AC346" i="74" s="1"/>
  <c r="AB323"/>
  <c r="JB323" i="77"/>
  <c r="AD323" i="74" s="1"/>
  <c r="JA323" i="77"/>
  <c r="AC323" i="74" s="1"/>
  <c r="AB345"/>
  <c r="JB345" i="77"/>
  <c r="AD345" i="74" s="1"/>
  <c r="JA345" i="77"/>
  <c r="AC345" i="74" s="1"/>
  <c r="AB341"/>
  <c r="JA341" i="77"/>
  <c r="AC341" i="74" s="1"/>
  <c r="JB341" i="77"/>
  <c r="AD341" i="74" s="1"/>
  <c r="AB329"/>
  <c r="JB329" i="77"/>
  <c r="AD329" i="74" s="1"/>
  <c r="JA329" i="77"/>
  <c r="AC329" i="74" s="1"/>
  <c r="AB301"/>
  <c r="JA301" i="77"/>
  <c r="AC301" i="74" s="1"/>
  <c r="JB301" i="77"/>
  <c r="AD301" i="74" s="1"/>
  <c r="AB319"/>
  <c r="JB319" i="77"/>
  <c r="AD319" i="74" s="1"/>
  <c r="JA319" i="77"/>
  <c r="AC319" i="74" s="1"/>
  <c r="AB302"/>
  <c r="JB302" i="77"/>
  <c r="AD302" i="74" s="1"/>
  <c r="JA302" i="77"/>
  <c r="AC302" i="74" s="1"/>
  <c r="AB313"/>
  <c r="JB313" i="77"/>
  <c r="AD313" i="74" s="1"/>
  <c r="JA313" i="77"/>
  <c r="AC313" i="74" s="1"/>
  <c r="AB320"/>
  <c r="JB320" i="77"/>
  <c r="AD320" i="74" s="1"/>
  <c r="JA320" i="77"/>
  <c r="AC320" i="74" s="1"/>
  <c r="AB307"/>
  <c r="JB307" i="77"/>
  <c r="AD307" i="74" s="1"/>
  <c r="JA307" i="77"/>
  <c r="AC307" i="74" s="1"/>
  <c r="AB312"/>
  <c r="JA312" i="77"/>
  <c r="AC312" i="74" s="1"/>
  <c r="JB312" i="77"/>
  <c r="AD312" i="74" s="1"/>
  <c r="AB304"/>
  <c r="JB304" i="77"/>
  <c r="AD304" i="74" s="1"/>
  <c r="JA304" i="77"/>
  <c r="AC304" i="74" s="1"/>
  <c r="AB315"/>
  <c r="JB315" i="77"/>
  <c r="AD315" i="74" s="1"/>
  <c r="JA315" i="77"/>
  <c r="AC315" i="74" s="1"/>
  <c r="JB174" i="77"/>
  <c r="JA174"/>
  <c r="GU461"/>
  <c r="GV461"/>
  <c r="GV132"/>
  <c r="GU132"/>
  <c r="GV159"/>
  <c r="GU159"/>
  <c r="GU215"/>
  <c r="GV215"/>
  <c r="GV19"/>
  <c r="GU19"/>
  <c r="FO112"/>
  <c r="FR218"/>
  <c r="FS218"/>
  <c r="FR146"/>
  <c r="FS146"/>
  <c r="FR144"/>
  <c r="FS144"/>
  <c r="FR133"/>
  <c r="FS133"/>
  <c r="AA333" i="71"/>
  <c r="FS333" i="77"/>
  <c r="AD333" i="71" s="1"/>
  <c r="FR333" i="77"/>
  <c r="AC333" i="71" s="1"/>
  <c r="AA344"/>
  <c r="FR344" i="77"/>
  <c r="AC344" i="71" s="1"/>
  <c r="FS344" i="77"/>
  <c r="AD344" i="71" s="1"/>
  <c r="AA348"/>
  <c r="FS348" i="77"/>
  <c r="AD348" i="71" s="1"/>
  <c r="FR348" i="77"/>
  <c r="AC348" i="71" s="1"/>
  <c r="AA306"/>
  <c r="FS306" i="77"/>
  <c r="AD306" i="71" s="1"/>
  <c r="FR306" i="77"/>
  <c r="AC306" i="71" s="1"/>
  <c r="AA339"/>
  <c r="FS339" i="77"/>
  <c r="AD339" i="71" s="1"/>
  <c r="FR339" i="77"/>
  <c r="AC339" i="71" s="1"/>
  <c r="AA334"/>
  <c r="FS334" i="77"/>
  <c r="AD334" i="71" s="1"/>
  <c r="FR334" i="77"/>
  <c r="AC334" i="71" s="1"/>
  <c r="AA330"/>
  <c r="FS330" i="77"/>
  <c r="AD330" i="71" s="1"/>
  <c r="FR330" i="77"/>
  <c r="AC330" i="71" s="1"/>
  <c r="FR111" i="77"/>
  <c r="FS111"/>
  <c r="AA326" i="71"/>
  <c r="FR326" i="77"/>
  <c r="AC326" i="71" s="1"/>
  <c r="FS326" i="77"/>
  <c r="AD326" i="71" s="1"/>
  <c r="AA340"/>
  <c r="FS340" i="77"/>
  <c r="AD340" i="71" s="1"/>
  <c r="FR340" i="77"/>
  <c r="AC340" i="71" s="1"/>
  <c r="AA325"/>
  <c r="FS325" i="77"/>
  <c r="AD325" i="71" s="1"/>
  <c r="FR325" i="77"/>
  <c r="AC325" i="71" s="1"/>
  <c r="AA314"/>
  <c r="FR314" i="77"/>
  <c r="AC314" i="71" s="1"/>
  <c r="FS314" i="77"/>
  <c r="AD314" i="71" s="1"/>
  <c r="AA337"/>
  <c r="FS337" i="77"/>
  <c r="AD337" i="71" s="1"/>
  <c r="FR337" i="77"/>
  <c r="AC337" i="71" s="1"/>
  <c r="EM117" i="77"/>
  <c r="EL135"/>
  <c r="X328" i="70"/>
  <c r="EL328" i="77"/>
  <c r="Z328" i="70" s="1"/>
  <c r="EM328" i="77"/>
  <c r="EL250"/>
  <c r="Z250" i="70" s="1"/>
  <c r="AA314"/>
  <c r="EO314" i="77"/>
  <c r="AC314" i="70" s="1"/>
  <c r="EP314" i="77"/>
  <c r="AD314" i="70" s="1"/>
  <c r="DI394" i="77"/>
  <c r="Z394" i="69" s="1"/>
  <c r="X332"/>
  <c r="DJ332" i="77"/>
  <c r="DI332"/>
  <c r="Z332" i="69" s="1"/>
  <c r="DJ305" i="77"/>
  <c r="AA305" i="69" s="1"/>
  <c r="DI363" i="77"/>
  <c r="Z363" i="69" s="1"/>
  <c r="DI123" i="77"/>
  <c r="DI275"/>
  <c r="DI286"/>
  <c r="CF208"/>
  <c r="Z208" i="68" s="1"/>
  <c r="CF285" i="77"/>
  <c r="CF199"/>
  <c r="CG120"/>
  <c r="CF94"/>
  <c r="Z94" i="68" s="1"/>
  <c r="CJ338" i="77"/>
  <c r="AD338" i="68" s="1"/>
  <c r="BC348" i="77"/>
  <c r="Z348" i="65" s="1"/>
  <c r="BC158" i="77"/>
  <c r="BD13"/>
  <c r="BD381"/>
  <c r="BD179"/>
  <c r="AA314" i="65"/>
  <c r="BF314" i="77"/>
  <c r="AC314" i="65" s="1"/>
  <c r="BG314" i="77"/>
  <c r="AD314" i="65" s="1"/>
  <c r="BD342" i="77"/>
  <c r="AA342" i="65" s="1"/>
  <c r="BC187" i="77"/>
  <c r="BD187"/>
  <c r="BC435"/>
  <c r="Z435" i="65" s="1"/>
  <c r="BC243" i="77"/>
  <c r="Z243" i="65" s="1"/>
  <c r="FR113" i="77"/>
  <c r="FS113"/>
  <c r="FR138"/>
  <c r="FS138"/>
  <c r="FR135"/>
  <c r="FS135"/>
  <c r="GU371"/>
  <c r="GV371"/>
  <c r="GU251"/>
  <c r="GV251"/>
  <c r="GV123"/>
  <c r="GU123"/>
  <c r="GV188"/>
  <c r="GU188"/>
  <c r="GU213"/>
  <c r="GV213"/>
  <c r="FR141"/>
  <c r="FS141"/>
  <c r="BG221"/>
  <c r="BF221"/>
  <c r="FR137"/>
  <c r="FS137"/>
  <c r="GU17"/>
  <c r="GV17"/>
  <c r="GV191"/>
  <c r="GU191"/>
  <c r="GU21"/>
  <c r="GV21"/>
  <c r="DM218"/>
  <c r="DL218"/>
  <c r="CJ81"/>
  <c r="CI81"/>
  <c r="BG189"/>
  <c r="BF189"/>
  <c r="DL130"/>
  <c r="DM130"/>
  <c r="EO107"/>
  <c r="EP107"/>
  <c r="BG141"/>
  <c r="BF141"/>
  <c r="FS214"/>
  <c r="FR214"/>
  <c r="DM149"/>
  <c r="DL149"/>
  <c r="BG102"/>
  <c r="BF102"/>
  <c r="CJ107"/>
  <c r="CI107"/>
  <c r="DM161"/>
  <c r="DL161"/>
  <c r="EO41"/>
  <c r="EP41"/>
  <c r="CJ168"/>
  <c r="CI168"/>
  <c r="FR12"/>
  <c r="FS12"/>
  <c r="EO177"/>
  <c r="EP177"/>
  <c r="CJ414"/>
  <c r="CI414"/>
  <c r="JA179"/>
  <c r="JB179"/>
  <c r="FS131"/>
  <c r="FR131"/>
  <c r="DM169"/>
  <c r="DL169"/>
  <c r="GV216"/>
  <c r="GU216"/>
  <c r="EO210"/>
  <c r="EP210"/>
  <c r="EP189"/>
  <c r="EO189"/>
  <c r="EP91"/>
  <c r="EO91"/>
  <c r="CJ344"/>
  <c r="AD344" i="68" s="1"/>
  <c r="CI344" i="77"/>
  <c r="AC344" i="68" s="1"/>
  <c r="BG441" i="77"/>
  <c r="BF441"/>
  <c r="DL136"/>
  <c r="DM136"/>
  <c r="CI314"/>
  <c r="AC314" i="68" s="1"/>
  <c r="CJ314" i="77"/>
  <c r="AD314" i="68" s="1"/>
  <c r="EO151" i="77"/>
  <c r="EP151"/>
  <c r="FR166"/>
  <c r="FS166"/>
  <c r="DL271"/>
  <c r="DM271"/>
  <c r="CI201"/>
  <c r="CJ201"/>
  <c r="CJ324"/>
  <c r="AD324" i="68" s="1"/>
  <c r="CI324" i="77"/>
  <c r="AC324" i="68" s="1"/>
  <c r="DL131" i="77"/>
  <c r="DM131"/>
  <c r="DM217"/>
  <c r="DL217"/>
  <c r="GU157"/>
  <c r="GV157"/>
  <c r="CI185"/>
  <c r="CJ185"/>
  <c r="EO412"/>
  <c r="EP412"/>
  <c r="DL300"/>
  <c r="AC300" i="69" s="1"/>
  <c r="DM300" i="77"/>
  <c r="AD300" i="69" s="1"/>
  <c r="CJ116" i="77"/>
  <c r="CI116"/>
  <c r="DM415"/>
  <c r="DL415"/>
  <c r="DL314"/>
  <c r="AC314" i="69" s="1"/>
  <c r="DM314" i="77"/>
  <c r="AD314" i="69" s="1"/>
  <c r="GU196" i="77"/>
  <c r="GV196"/>
  <c r="EP19"/>
  <c r="EO19"/>
  <c r="FS123"/>
  <c r="FR123"/>
  <c r="DL138"/>
  <c r="DM138"/>
  <c r="DL219"/>
  <c r="DM219"/>
  <c r="EP339"/>
  <c r="AD339" i="70" s="1"/>
  <c r="EO339" i="77"/>
  <c r="AC339" i="70" s="1"/>
  <c r="CJ167" i="77"/>
  <c r="CI167"/>
  <c r="EO214"/>
  <c r="EP214"/>
  <c r="BG191"/>
  <c r="BF191"/>
  <c r="GU11"/>
  <c r="GV11"/>
  <c r="CJ102"/>
  <c r="CI102"/>
  <c r="BG193"/>
  <c r="BF193"/>
  <c r="DL343"/>
  <c r="AC343" i="69" s="1"/>
  <c r="DM343" i="77"/>
  <c r="AD343" i="69" s="1"/>
  <c r="DL330" i="77"/>
  <c r="AC330" i="69" s="1"/>
  <c r="DM330" i="77"/>
  <c r="AD330" i="69" s="1"/>
  <c r="EP361" i="77"/>
  <c r="EO361"/>
  <c r="BG333"/>
  <c r="AD333" i="65" s="1"/>
  <c r="BF333" i="77"/>
  <c r="AC333" i="65" s="1"/>
  <c r="EP231" i="77"/>
  <c r="EO231"/>
  <c r="DM281"/>
  <c r="DL281"/>
  <c r="DL11"/>
  <c r="DM11"/>
  <c r="BF12"/>
  <c r="BG12"/>
  <c r="EO308"/>
  <c r="AC308" i="70" s="1"/>
  <c r="EP308" i="77"/>
  <c r="AD308" i="70" s="1"/>
  <c r="DL328" i="77"/>
  <c r="AC328" i="69" s="1"/>
  <c r="DM328" i="77"/>
  <c r="AD328" i="69" s="1"/>
  <c r="CJ216" i="77"/>
  <c r="CI216"/>
  <c r="DM191"/>
  <c r="DL191"/>
  <c r="FS176"/>
  <c r="FR176"/>
  <c r="CJ217"/>
  <c r="CI217"/>
  <c r="CJ416"/>
  <c r="CI416"/>
  <c r="BG145"/>
  <c r="BF145"/>
  <c r="EP176"/>
  <c r="EO176"/>
  <c r="DL324"/>
  <c r="AC324" i="69" s="1"/>
  <c r="DM324" i="77"/>
  <c r="AD324" i="69" s="1"/>
  <c r="CJ411" i="77"/>
  <c r="CI411"/>
  <c r="CJ119"/>
  <c r="CI119"/>
  <c r="EO441"/>
  <c r="EP441"/>
  <c r="FS136"/>
  <c r="FR136"/>
  <c r="EP172"/>
  <c r="EO172"/>
  <c r="GU331"/>
  <c r="AC331" i="72" s="1"/>
  <c r="GV331" i="77"/>
  <c r="AD331" i="72" s="1"/>
  <c r="DL184" i="77"/>
  <c r="DM184"/>
  <c r="BG419"/>
  <c r="BF419"/>
  <c r="BF11"/>
  <c r="BG11"/>
  <c r="DL124"/>
  <c r="DM124"/>
  <c r="CJ148"/>
  <c r="CI148"/>
  <c r="CI189"/>
  <c r="CJ189"/>
  <c r="CI106"/>
  <c r="CJ106"/>
  <c r="CJ199"/>
  <c r="CI199"/>
  <c r="BG170"/>
  <c r="BF170"/>
  <c r="CI317"/>
  <c r="AC317" i="68" s="1"/>
  <c r="CJ317" i="77"/>
  <c r="AD317" i="68" s="1"/>
  <c r="EP333" i="77"/>
  <c r="AD333" i="70" s="1"/>
  <c r="EO333" i="77"/>
  <c r="AC333" i="70" s="1"/>
  <c r="CJ198" i="77"/>
  <c r="CI198"/>
  <c r="BG201"/>
  <c r="BF201"/>
  <c r="CJ21"/>
  <c r="CI21"/>
  <c r="DM412"/>
  <c r="DL412"/>
  <c r="EP31"/>
  <c r="EO31"/>
  <c r="EP139"/>
  <c r="EO139"/>
  <c r="BF158"/>
  <c r="BG158"/>
  <c r="BG91"/>
  <c r="BF91"/>
  <c r="CJ108"/>
  <c r="CI108"/>
  <c r="EP136"/>
  <c r="EO136"/>
  <c r="DL317"/>
  <c r="AC317" i="69" s="1"/>
  <c r="DM317" i="77"/>
  <c r="AD317" i="69" s="1"/>
  <c r="CI113" i="77"/>
  <c r="CJ113"/>
  <c r="EO221"/>
  <c r="EP221"/>
  <c r="EO106"/>
  <c r="EP106"/>
  <c r="BG342"/>
  <c r="AD342" i="65" s="1"/>
  <c r="BF342" i="77"/>
  <c r="AC342" i="65" s="1"/>
  <c r="DM123" i="77"/>
  <c r="DL123"/>
  <c r="DL305"/>
  <c r="AC305" i="69" s="1"/>
  <c r="DM305" i="77"/>
  <c r="AD305" i="69" s="1"/>
  <c r="BF117" i="77"/>
  <c r="BG117"/>
  <c r="CJ340"/>
  <c r="AD340" i="68" s="1"/>
  <c r="CI340" i="77"/>
  <c r="AC340" i="68" s="1"/>
  <c r="GV13" i="77"/>
  <c r="GU13"/>
  <c r="DM199"/>
  <c r="DL199"/>
  <c r="DL135"/>
  <c r="DM135"/>
  <c r="BG120"/>
  <c r="BF120"/>
  <c r="DL419"/>
  <c r="DM419"/>
  <c r="CJ126"/>
  <c r="CI126"/>
  <c r="CJ415"/>
  <c r="CI415"/>
  <c r="BG413"/>
  <c r="BF413"/>
  <c r="BG371"/>
  <c r="BF371"/>
  <c r="CJ138"/>
  <c r="CI138"/>
  <c r="DI269"/>
  <c r="EO330"/>
  <c r="AC330" i="70" s="1"/>
  <c r="EP330" i="77"/>
  <c r="AD330" i="70" s="1"/>
  <c r="EO166" i="77"/>
  <c r="EP166"/>
  <c r="EO12"/>
  <c r="EP12"/>
  <c r="GU118"/>
  <c r="GV118"/>
  <c r="CJ171"/>
  <c r="CI171"/>
  <c r="DM303"/>
  <c r="AD303" i="69" s="1"/>
  <c r="DL303" i="77"/>
  <c r="AC303" i="69" s="1"/>
  <c r="EP155" i="77"/>
  <c r="EO155"/>
  <c r="BG130"/>
  <c r="BF130"/>
  <c r="EP309"/>
  <c r="AD309" i="70" s="1"/>
  <c r="EO309" i="77"/>
  <c r="AC309" i="70" s="1"/>
  <c r="CI91" i="77"/>
  <c r="CJ91"/>
  <c r="DL327"/>
  <c r="AC327" i="69" s="1"/>
  <c r="DM327" i="77"/>
  <c r="AD327" i="69" s="1"/>
  <c r="DL159" i="77"/>
  <c r="DM159"/>
  <c r="DL187"/>
  <c r="DM187"/>
  <c r="EO114"/>
  <c r="EP114"/>
  <c r="CJ308"/>
  <c r="AD308" i="68" s="1"/>
  <c r="CI308" i="77"/>
  <c r="AC308" i="68" s="1"/>
  <c r="CJ371" i="77"/>
  <c r="CI371"/>
  <c r="BG214"/>
  <c r="BF214"/>
  <c r="DL337"/>
  <c r="AC337" i="69" s="1"/>
  <c r="DM337" i="77"/>
  <c r="AD337" i="69" s="1"/>
  <c r="EO134" i="77"/>
  <c r="EP134"/>
  <c r="BG165"/>
  <c r="BF165"/>
  <c r="EO321"/>
  <c r="AC321" i="70" s="1"/>
  <c r="EP321" i="77"/>
  <c r="AD321" i="70" s="1"/>
  <c r="DL344" i="77"/>
  <c r="AC344" i="69" s="1"/>
  <c r="DM344" i="77"/>
  <c r="AD344" i="69" s="1"/>
  <c r="EO191" i="77"/>
  <c r="EP191"/>
  <c r="BG118"/>
  <c r="BF118"/>
  <c r="FS140"/>
  <c r="FR140"/>
  <c r="EO299"/>
  <c r="AC299" i="70" s="1"/>
  <c r="EP299" i="77"/>
  <c r="AD299" i="70" s="1"/>
  <c r="CJ342" i="77"/>
  <c r="AD342" i="68" s="1"/>
  <c r="CI342" i="77"/>
  <c r="AC342" i="68" s="1"/>
  <c r="CI178" i="77"/>
  <c r="CJ178"/>
  <c r="FS154"/>
  <c r="FR154"/>
  <c r="DL421"/>
  <c r="DM421"/>
  <c r="DL105"/>
  <c r="DM105"/>
  <c r="DM251"/>
  <c r="DL251"/>
  <c r="EO213"/>
  <c r="EP213"/>
  <c r="DM414"/>
  <c r="DL414"/>
  <c r="DM151"/>
  <c r="DL151"/>
  <c r="EO111"/>
  <c r="EP111"/>
  <c r="CJ104"/>
  <c r="CI104"/>
  <c r="BG291"/>
  <c r="BF291"/>
  <c r="CI133"/>
  <c r="CJ133"/>
  <c r="DL147"/>
  <c r="DM147"/>
  <c r="BG159"/>
  <c r="BF159"/>
  <c r="DL417"/>
  <c r="DM417"/>
  <c r="FS81"/>
  <c r="FR81"/>
  <c r="DM51"/>
  <c r="DL51"/>
  <c r="HX175"/>
  <c r="HY175"/>
  <c r="DL139"/>
  <c r="DM139"/>
  <c r="EO198"/>
  <c r="EP198"/>
  <c r="BF180"/>
  <c r="BG180"/>
  <c r="BG181"/>
  <c r="BF181"/>
  <c r="EO122"/>
  <c r="EP122"/>
  <c r="CJ241"/>
  <c r="CI241"/>
  <c r="DL192"/>
  <c r="DM192"/>
  <c r="GV128"/>
  <c r="GU128"/>
  <c r="BF142"/>
  <c r="BG142"/>
  <c r="CJ151"/>
  <c r="CI151"/>
  <c r="BG381"/>
  <c r="BF381"/>
  <c r="DL110"/>
  <c r="DM110"/>
  <c r="CI196"/>
  <c r="CJ196"/>
  <c r="BG136"/>
  <c r="BF136"/>
  <c r="EO117"/>
  <c r="EP117"/>
  <c r="CJ103"/>
  <c r="CI103"/>
  <c r="CJ161"/>
  <c r="CI161"/>
  <c r="BG183"/>
  <c r="BF183"/>
  <c r="FS112"/>
  <c r="FR112"/>
  <c r="CJ156"/>
  <c r="CI156"/>
  <c r="CJ195"/>
  <c r="CI195"/>
  <c r="DL107"/>
  <c r="DM107"/>
  <c r="HX221"/>
  <c r="HY221"/>
  <c r="CJ61"/>
  <c r="CI61"/>
  <c r="DM81"/>
  <c r="DL81"/>
  <c r="DL125"/>
  <c r="DM125"/>
  <c r="EO119"/>
  <c r="EP119"/>
  <c r="CI153"/>
  <c r="CJ153"/>
  <c r="CJ145"/>
  <c r="CI145"/>
  <c r="HX14"/>
  <c r="HY14"/>
  <c r="FS187"/>
  <c r="FR187"/>
  <c r="EO419"/>
  <c r="EP419"/>
  <c r="EO116"/>
  <c r="EP116"/>
  <c r="CI182"/>
  <c r="CJ182"/>
  <c r="DM175"/>
  <c r="DL175"/>
  <c r="CJ177"/>
  <c r="CI177"/>
  <c r="GV177"/>
  <c r="GU177"/>
  <c r="BG338"/>
  <c r="AD338" i="65" s="1"/>
  <c r="BF338" i="77"/>
  <c r="AC338" i="65" s="1"/>
  <c r="HY186" i="77"/>
  <c r="HX186"/>
  <c r="EO160"/>
  <c r="EP160"/>
  <c r="CI166"/>
  <c r="CJ166"/>
  <c r="EP218"/>
  <c r="EO218"/>
  <c r="EO130"/>
  <c r="EP130"/>
  <c r="EP316"/>
  <c r="AD316" i="70" s="1"/>
  <c r="EO316" i="77"/>
  <c r="AC316" i="70" s="1"/>
  <c r="FR129" i="77"/>
  <c r="FS129"/>
  <c r="DL129"/>
  <c r="DM129"/>
  <c r="DL31"/>
  <c r="DM31"/>
  <c r="EO303"/>
  <c r="AC303" i="70" s="1"/>
  <c r="EP303" i="77"/>
  <c r="AD303" i="70" s="1"/>
  <c r="GV299" i="77"/>
  <c r="AD299" i="72" s="1"/>
  <c r="GU299" i="77"/>
  <c r="AC299" i="72" s="1"/>
  <c r="BF61" i="77"/>
  <c r="BG61"/>
  <c r="FR157"/>
  <c r="FS157"/>
  <c r="HY18"/>
  <c r="HX18"/>
  <c r="EO118"/>
  <c r="EP118"/>
  <c r="CJ131"/>
  <c r="CI131"/>
  <c r="EP331"/>
  <c r="AD331" i="70" s="1"/>
  <c r="EO331" i="77"/>
  <c r="AC331" i="70" s="1"/>
  <c r="BG306" i="77"/>
  <c r="AD306" i="65" s="1"/>
  <c r="BF306" i="77"/>
  <c r="AC306" i="65" s="1"/>
  <c r="DL461" i="77"/>
  <c r="DM461"/>
  <c r="DL113"/>
  <c r="DM113"/>
  <c r="EO153"/>
  <c r="EP153"/>
  <c r="BF461"/>
  <c r="BG461"/>
  <c r="FR211"/>
  <c r="FS211"/>
  <c r="GV174"/>
  <c r="GU174"/>
  <c r="EO201"/>
  <c r="EP201"/>
  <c r="BG213"/>
  <c r="BF213"/>
  <c r="CJ160"/>
  <c r="CI160"/>
  <c r="CJ135"/>
  <c r="CI135"/>
  <c r="BG231"/>
  <c r="BF231"/>
  <c r="BF139"/>
  <c r="BG139"/>
  <c r="EO193"/>
  <c r="EP193"/>
  <c r="FR145"/>
  <c r="FS145"/>
  <c r="GU314"/>
  <c r="AC314" i="72" s="1"/>
  <c r="GV314" i="77"/>
  <c r="AD314" i="72" s="1"/>
  <c r="DM342" i="77"/>
  <c r="AD342" i="69" s="1"/>
  <c r="DL342" i="77"/>
  <c r="AC342" i="69" s="1"/>
  <c r="DL170" i="77"/>
  <c r="DM170"/>
  <c r="DL111"/>
  <c r="DM111"/>
  <c r="CJ309"/>
  <c r="AD309" i="68" s="1"/>
  <c r="CI309" i="77"/>
  <c r="AC309" i="68" s="1"/>
  <c r="FS174" i="77"/>
  <c r="FR174"/>
  <c r="BG182"/>
  <c r="BF182"/>
  <c r="EO261"/>
  <c r="EP261"/>
  <c r="GV193"/>
  <c r="GU193"/>
  <c r="DL416"/>
  <c r="DM416"/>
  <c r="DM100"/>
  <c r="DL100"/>
  <c r="CJ331"/>
  <c r="AD331" i="68" s="1"/>
  <c r="CI331" i="77"/>
  <c r="AC331" i="68" s="1"/>
  <c r="GU14" i="77"/>
  <c r="GV14"/>
  <c r="BG103"/>
  <c r="BF103"/>
  <c r="DL325"/>
  <c r="AC325" i="69" s="1"/>
  <c r="DM325" i="77"/>
  <c r="AD325" i="69" s="1"/>
  <c r="EO326" i="77"/>
  <c r="AC326" i="70" s="1"/>
  <c r="EP326" i="77"/>
  <c r="AD326" i="70" s="1"/>
  <c r="BG197" i="77"/>
  <c r="BF197"/>
  <c r="EP381"/>
  <c r="EO381"/>
  <c r="CI115"/>
  <c r="CJ115"/>
  <c r="FR124"/>
  <c r="FS124"/>
  <c r="BG164"/>
  <c r="BF164"/>
  <c r="DL109"/>
  <c r="DM109"/>
  <c r="GU116"/>
  <c r="GV116"/>
  <c r="BG147"/>
  <c r="BF147"/>
  <c r="EO215"/>
  <c r="EP215"/>
  <c r="BF146"/>
  <c r="BG146"/>
  <c r="EP180"/>
  <c r="EO180"/>
  <c r="BG415"/>
  <c r="BF415"/>
  <c r="CJ337"/>
  <c r="AD337" i="68" s="1"/>
  <c r="CI337" i="77"/>
  <c r="AC337" i="68" s="1"/>
  <c r="CJ19" i="77"/>
  <c r="CI19"/>
  <c r="BF110"/>
  <c r="BG110"/>
  <c r="BG41"/>
  <c r="BF41"/>
  <c r="EO123"/>
  <c r="EP123"/>
  <c r="BF343"/>
  <c r="AC343" i="65" s="1"/>
  <c r="BG343" i="77"/>
  <c r="AD343" i="65" s="1"/>
  <c r="BG300" i="77"/>
  <c r="AD300" i="65" s="1"/>
  <c r="BF300" i="77"/>
  <c r="AC300" i="65" s="1"/>
  <c r="BG310" i="77"/>
  <c r="AD310" i="65" s="1"/>
  <c r="BF310" i="77"/>
  <c r="AC310" i="65" s="1"/>
  <c r="BG326" i="77"/>
  <c r="AD326" i="65" s="1"/>
  <c r="BF326" i="77"/>
  <c r="AC326" i="65" s="1"/>
  <c r="EO164" i="77"/>
  <c r="EP164"/>
  <c r="BG179"/>
  <c r="BF179"/>
  <c r="DM215"/>
  <c r="DL215"/>
  <c r="DL140"/>
  <c r="DM140"/>
  <c r="BG119"/>
  <c r="BF119"/>
  <c r="CI114"/>
  <c r="CJ114"/>
  <c r="DM112"/>
  <c r="DL112"/>
  <c r="BG166"/>
  <c r="BF166"/>
  <c r="CI176"/>
  <c r="CJ176"/>
  <c r="BG299"/>
  <c r="AD299" i="65" s="1"/>
  <c r="BF299" i="77"/>
  <c r="AC299" i="65" s="1"/>
  <c r="BF13" i="77"/>
  <c r="BG13"/>
  <c r="EO135"/>
  <c r="EP135"/>
  <c r="EO167"/>
  <c r="EP167"/>
  <c r="CJ184"/>
  <c r="CI184"/>
  <c r="DL134"/>
  <c r="DM134"/>
  <c r="BG176"/>
  <c r="BF176"/>
  <c r="EO121"/>
  <c r="EP121"/>
  <c r="GV16"/>
  <c r="GU16"/>
  <c r="BG210"/>
  <c r="BF210"/>
  <c r="DM121"/>
  <c r="DL121"/>
  <c r="BG111"/>
  <c r="BF111"/>
  <c r="BG175"/>
  <c r="BF175"/>
  <c r="BG348"/>
  <c r="AD348" i="65" s="1"/>
  <c r="BF348" i="77"/>
  <c r="AC348" i="65" s="1"/>
  <c r="EP271" i="77"/>
  <c r="EO271"/>
  <c r="EO109"/>
  <c r="EP109"/>
  <c r="DM431"/>
  <c r="DL431"/>
  <c r="FR125"/>
  <c r="FS125"/>
  <c r="CJ157"/>
  <c r="CI157"/>
  <c r="EO325"/>
  <c r="AC325" i="70" s="1"/>
  <c r="EP325" i="77"/>
  <c r="AD325" i="70" s="1"/>
  <c r="EO149" i="77"/>
  <c r="EP149"/>
  <c r="DM306"/>
  <c r="AD306" i="69" s="1"/>
  <c r="DL306" i="77"/>
  <c r="AC306" i="69" s="1"/>
  <c r="EP178" i="77"/>
  <c r="EO178"/>
  <c r="CJ194"/>
  <c r="CI194"/>
  <c r="CJ310"/>
  <c r="AD310" i="68" s="1"/>
  <c r="CI310" i="77"/>
  <c r="AC310" i="68" s="1"/>
  <c r="CJ142" i="77"/>
  <c r="CI142"/>
  <c r="BF18"/>
  <c r="BG18"/>
  <c r="EO165"/>
  <c r="EP165"/>
  <c r="BG316"/>
  <c r="AD316" i="65" s="1"/>
  <c r="BF316" i="77"/>
  <c r="AC316" i="65" s="1"/>
  <c r="DL144" i="77"/>
  <c r="DM144"/>
  <c r="CJ121"/>
  <c r="CI121"/>
  <c r="CI128"/>
  <c r="CJ128"/>
  <c r="EO163"/>
  <c r="EP163"/>
  <c r="CI162"/>
  <c r="CJ162"/>
  <c r="BG327"/>
  <c r="AD327" i="65" s="1"/>
  <c r="BF327" i="77"/>
  <c r="AC327" i="65" s="1"/>
  <c r="DL160" i="77"/>
  <c r="DM160"/>
  <c r="EP413"/>
  <c r="EO413"/>
  <c r="DM180"/>
  <c r="DL180"/>
  <c r="BG143"/>
  <c r="BF143"/>
  <c r="FS104"/>
  <c r="FR104"/>
  <c r="EP190"/>
  <c r="EO190"/>
  <c r="DM441"/>
  <c r="DL441"/>
  <c r="CJ154"/>
  <c r="CI154"/>
  <c r="DL168"/>
  <c r="DM168"/>
  <c r="FR391"/>
  <c r="FS391"/>
  <c r="EO101"/>
  <c r="EP101"/>
  <c r="CJ192"/>
  <c r="CI192"/>
  <c r="DL61"/>
  <c r="DM61"/>
  <c r="DL413"/>
  <c r="DM413"/>
  <c r="DL173"/>
  <c r="DM173"/>
  <c r="DL141"/>
  <c r="DM141"/>
  <c r="EO192"/>
  <c r="EP192"/>
  <c r="EM188"/>
  <c r="EL188"/>
  <c r="FR71"/>
  <c r="FS71"/>
  <c r="CJ165"/>
  <c r="CI165"/>
  <c r="DL128"/>
  <c r="DM128"/>
  <c r="DM181"/>
  <c r="DL181"/>
  <c r="FR175"/>
  <c r="FS175"/>
  <c r="GV170"/>
  <c r="GU170"/>
  <c r="CJ163"/>
  <c r="CI163"/>
  <c r="EO126"/>
  <c r="EP126"/>
  <c r="DM157"/>
  <c r="DL157"/>
  <c r="CJ391"/>
  <c r="CI391"/>
  <c r="BF149"/>
  <c r="BG149"/>
  <c r="CJ186"/>
  <c r="CI186"/>
  <c r="EO195"/>
  <c r="EP195"/>
  <c r="EP170"/>
  <c r="EO170"/>
  <c r="BG155"/>
  <c r="BF155"/>
  <c r="BG173"/>
  <c r="BF173"/>
  <c r="DM104"/>
  <c r="DL104"/>
  <c r="BG107"/>
  <c r="BF107"/>
  <c r="BG261"/>
  <c r="BF261"/>
  <c r="DM114"/>
  <c r="DL114"/>
  <c r="BF153"/>
  <c r="BG153"/>
  <c r="CJ120"/>
  <c r="CI120"/>
  <c r="BG122"/>
  <c r="BF122"/>
  <c r="DL391"/>
  <c r="DM391"/>
  <c r="CF229"/>
  <c r="Z229" i="68" s="1"/>
  <c r="X370" i="69"/>
  <c r="DJ370" i="77"/>
  <c r="X369" i="65"/>
  <c r="BD369" i="77"/>
  <c r="X233" i="68"/>
  <c r="CG233" i="77"/>
  <c r="X93" i="74"/>
  <c r="IY93" i="77"/>
  <c r="X235" i="73"/>
  <c r="HV235" i="77"/>
  <c r="X236" i="73"/>
  <c r="HV236" i="77"/>
  <c r="DI402"/>
  <c r="Z402" i="69" s="1"/>
  <c r="DJ402" i="77"/>
  <c r="GR65"/>
  <c r="Z65" i="72" s="1"/>
  <c r="GS65" i="77"/>
  <c r="X360" i="68"/>
  <c r="CG360" i="77"/>
  <c r="CF44"/>
  <c r="Z44" i="68" s="1"/>
  <c r="CG44" i="77"/>
  <c r="BC406"/>
  <c r="Z406" i="65" s="1"/>
  <c r="BD406" i="77"/>
  <c r="DI239"/>
  <c r="Z239" i="69" s="1"/>
  <c r="DJ239" i="77"/>
  <c r="DI449"/>
  <c r="Z449" i="69" s="1"/>
  <c r="DJ449" i="77"/>
  <c r="X359" i="69"/>
  <c r="DJ359" i="77"/>
  <c r="X242" i="68"/>
  <c r="CG242" i="77"/>
  <c r="X376" i="73"/>
  <c r="HV358" i="77"/>
  <c r="X232" i="69"/>
  <c r="DJ232" i="77"/>
  <c r="X96" i="71"/>
  <c r="FP96" i="77"/>
  <c r="X200" i="68"/>
  <c r="CG200" i="77"/>
  <c r="DI427"/>
  <c r="Z427" i="69" s="1"/>
  <c r="DJ427" i="77"/>
  <c r="X247" i="73"/>
  <c r="HV247" i="77"/>
  <c r="CF45"/>
  <c r="Z45" i="68" s="1"/>
  <c r="CG45" i="77"/>
  <c r="FO57"/>
  <c r="Z57" i="71" s="1"/>
  <c r="FP57" i="77"/>
  <c r="X388" i="73"/>
  <c r="HV380" i="77"/>
  <c r="EL257"/>
  <c r="Z257" i="70" s="1"/>
  <c r="EM257" i="77"/>
  <c r="IX245"/>
  <c r="Z245" i="74" s="1"/>
  <c r="IY245" i="77"/>
  <c r="CF225"/>
  <c r="Z225" i="68" s="1"/>
  <c r="CG225" i="77"/>
  <c r="EL372"/>
  <c r="Z372" i="70" s="1"/>
  <c r="EM372" i="77"/>
  <c r="DJ97"/>
  <c r="DM97" s="1"/>
  <c r="X394" i="70"/>
  <c r="EM385" i="77"/>
  <c r="EP385" s="1"/>
  <c r="AD394" i="70" s="1"/>
  <c r="BC259" i="77"/>
  <c r="Z259" i="65" s="1"/>
  <c r="BD259" i="77"/>
  <c r="X288" i="68"/>
  <c r="CG288" i="77"/>
  <c r="X265" i="68"/>
  <c r="CG265" i="77"/>
  <c r="X87" i="69"/>
  <c r="DJ87" i="77"/>
  <c r="X295" i="69"/>
  <c r="DJ209" i="77"/>
  <c r="X294" i="70"/>
  <c r="EM294" i="77"/>
  <c r="EO294" s="1"/>
  <c r="AC294" i="70" s="1"/>
  <c r="X267" i="71"/>
  <c r="FP267" i="77"/>
  <c r="X295" i="71"/>
  <c r="FP209" i="77"/>
  <c r="X280" i="69"/>
  <c r="DJ280" i="77"/>
  <c r="X78" i="72"/>
  <c r="GS78" i="77"/>
  <c r="EL393"/>
  <c r="Z393" i="70" s="1"/>
  <c r="EM393" i="77"/>
  <c r="EP393" s="1"/>
  <c r="AD393" i="70" s="1"/>
  <c r="X280" i="72"/>
  <c r="GS280" i="77"/>
  <c r="IZ261"/>
  <c r="IX261"/>
  <c r="HY146"/>
  <c r="HX146"/>
  <c r="IX317"/>
  <c r="Z317" i="74" s="1"/>
  <c r="HY381" i="77"/>
  <c r="HX381"/>
  <c r="HY144"/>
  <c r="HX144"/>
  <c r="JB13"/>
  <c r="JA13"/>
  <c r="IZ138"/>
  <c r="IX138"/>
  <c r="JB164"/>
  <c r="JA164"/>
  <c r="JB112"/>
  <c r="JA112"/>
  <c r="IX316"/>
  <c r="Z316" i="74" s="1"/>
  <c r="JB196" i="77"/>
  <c r="JA196"/>
  <c r="JB461"/>
  <c r="JA461"/>
  <c r="JB195"/>
  <c r="JA195"/>
  <c r="HY231"/>
  <c r="HX231"/>
  <c r="JB193"/>
  <c r="JA193"/>
  <c r="HY155"/>
  <c r="HX155"/>
  <c r="IZ136"/>
  <c r="IX136"/>
  <c r="HY148"/>
  <c r="HX148"/>
  <c r="JB251"/>
  <c r="JA251"/>
  <c r="IZ142"/>
  <c r="IX142"/>
  <c r="JB150"/>
  <c r="JA150"/>
  <c r="JB163"/>
  <c r="JA163"/>
  <c r="IZ109"/>
  <c r="IX109"/>
  <c r="HY361"/>
  <c r="HX361"/>
  <c r="HY139"/>
  <c r="HX139"/>
  <c r="DI252"/>
  <c r="Z252" i="69" s="1"/>
  <c r="DJ252" i="77"/>
  <c r="JB120"/>
  <c r="JA120"/>
  <c r="HY416"/>
  <c r="HX416"/>
  <c r="JB441"/>
  <c r="JA441"/>
  <c r="JB145"/>
  <c r="JA145"/>
  <c r="IZ135"/>
  <c r="IX135"/>
  <c r="HY143"/>
  <c r="HX143"/>
  <c r="JB310"/>
  <c r="AD310" i="74" s="1"/>
  <c r="JA310" i="77"/>
  <c r="AC310" i="74" s="1"/>
  <c r="JB12" i="77"/>
  <c r="JA12"/>
  <c r="JB132"/>
  <c r="JA132"/>
  <c r="JB213"/>
  <c r="JA213"/>
  <c r="JB21"/>
  <c r="JA21"/>
  <c r="JB114"/>
  <c r="JA114"/>
  <c r="HY41"/>
  <c r="HX41"/>
  <c r="HY140"/>
  <c r="HX140"/>
  <c r="IZ134"/>
  <c r="IX134"/>
  <c r="JB194"/>
  <c r="JA194"/>
  <c r="JB371"/>
  <c r="JA371"/>
  <c r="FS203"/>
  <c r="X228" i="70"/>
  <c r="EM228" i="77"/>
  <c r="X233" i="74"/>
  <c r="IY233" i="77"/>
  <c r="X88" i="68"/>
  <c r="CG88" i="77"/>
  <c r="X359" i="65"/>
  <c r="BD359" i="77"/>
  <c r="X238" i="68"/>
  <c r="CG238" i="77"/>
  <c r="X92" i="71"/>
  <c r="FP92" i="77"/>
  <c r="X228" i="69"/>
  <c r="DJ228" i="77"/>
  <c r="X359" i="70"/>
  <c r="EM359" i="77"/>
  <c r="EL434"/>
  <c r="Z434" i="70" s="1"/>
  <c r="EM434" i="77"/>
  <c r="X242" i="70"/>
  <c r="EM242" i="77"/>
  <c r="X227" i="68"/>
  <c r="CG227" i="77"/>
  <c r="DI96"/>
  <c r="Z96" i="69" s="1"/>
  <c r="DJ96" i="77"/>
  <c r="X380" i="70"/>
  <c r="EM380" i="77"/>
  <c r="CF239"/>
  <c r="Z239" i="68" s="1"/>
  <c r="CG239" i="77"/>
  <c r="EL28"/>
  <c r="Z28" i="70" s="1"/>
  <c r="EM28" i="77"/>
  <c r="CF449"/>
  <c r="Z449" i="68" s="1"/>
  <c r="CG449" i="77"/>
  <c r="CG425"/>
  <c r="CJ425" s="1"/>
  <c r="X369" i="70"/>
  <c r="EM369" i="77"/>
  <c r="EO369" s="1"/>
  <c r="DI28"/>
  <c r="Z28" i="69" s="1"/>
  <c r="DJ28" i="77"/>
  <c r="X89" i="68"/>
  <c r="CG89" i="77"/>
  <c r="CF287"/>
  <c r="CG287"/>
  <c r="DI222"/>
  <c r="Z222" i="69" s="1"/>
  <c r="DJ222" i="77"/>
  <c r="X202" i="71"/>
  <c r="FP202" i="77"/>
  <c r="X293" i="68"/>
  <c r="CG293" i="77"/>
  <c r="DI274"/>
  <c r="DJ274"/>
  <c r="DI272"/>
  <c r="DJ272"/>
  <c r="CF222"/>
  <c r="Z222" i="68" s="1"/>
  <c r="CG222" i="77"/>
  <c r="HU364"/>
  <c r="Z364" i="73" s="1"/>
  <c r="HV364" i="77"/>
  <c r="X395" i="65"/>
  <c r="BD386" i="77"/>
  <c r="EL207"/>
  <c r="Z207" i="70" s="1"/>
  <c r="EM207" i="77"/>
  <c r="DI98"/>
  <c r="Z98" i="69" s="1"/>
  <c r="DJ98" i="77"/>
  <c r="JB411"/>
  <c r="JA411"/>
  <c r="JB129"/>
  <c r="JA129"/>
  <c r="JB156"/>
  <c r="JA156"/>
  <c r="IZ146"/>
  <c r="IX146"/>
  <c r="IZ381"/>
  <c r="IX381"/>
  <c r="IZ417"/>
  <c r="IX417"/>
  <c r="JB188"/>
  <c r="JA188"/>
  <c r="JB412"/>
  <c r="JA412"/>
  <c r="IZ144"/>
  <c r="IX144"/>
  <c r="JB121"/>
  <c r="JA121"/>
  <c r="JB128"/>
  <c r="JA128"/>
  <c r="HY154"/>
  <c r="HX154"/>
  <c r="IZ231"/>
  <c r="IX231"/>
  <c r="HY141"/>
  <c r="HX141"/>
  <c r="HY111"/>
  <c r="HX111"/>
  <c r="IZ155"/>
  <c r="IX155"/>
  <c r="JB130"/>
  <c r="JA130"/>
  <c r="HY219"/>
  <c r="HX219"/>
  <c r="JB159"/>
  <c r="JA159"/>
  <c r="JB241"/>
  <c r="JA241"/>
  <c r="IZ148"/>
  <c r="IX148"/>
  <c r="JB19"/>
  <c r="JA19"/>
  <c r="JB118"/>
  <c r="JA118"/>
  <c r="IZ361"/>
  <c r="IX361"/>
  <c r="HY91"/>
  <c r="HX91"/>
  <c r="IZ139"/>
  <c r="IX139"/>
  <c r="HY137"/>
  <c r="HX137"/>
  <c r="JB165"/>
  <c r="JA165"/>
  <c r="JB161"/>
  <c r="JA161"/>
  <c r="HY153"/>
  <c r="HX153"/>
  <c r="JB198"/>
  <c r="JA198"/>
  <c r="JB166"/>
  <c r="JA166"/>
  <c r="JB183"/>
  <c r="JA183"/>
  <c r="JB125"/>
  <c r="JA125"/>
  <c r="IZ416"/>
  <c r="IX416"/>
  <c r="JB106"/>
  <c r="JA106"/>
  <c r="HY218"/>
  <c r="HX218"/>
  <c r="JB191"/>
  <c r="JA191"/>
  <c r="JB116"/>
  <c r="JA116"/>
  <c r="IZ143"/>
  <c r="IX143"/>
  <c r="HY113"/>
  <c r="HX113"/>
  <c r="JB215"/>
  <c r="JA215"/>
  <c r="JB119"/>
  <c r="JA119"/>
  <c r="IZ140"/>
  <c r="IX140"/>
  <c r="X246" i="65"/>
  <c r="BD246" i="77"/>
  <c r="X86" i="68"/>
  <c r="CG86" i="77"/>
  <c r="X95" i="65"/>
  <c r="BD95" i="77"/>
  <c r="X378" i="65"/>
  <c r="BD378" i="77"/>
  <c r="X84" i="68"/>
  <c r="CG84" i="77"/>
  <c r="AA248" i="69"/>
  <c r="DJ248" i="77"/>
  <c r="X253" i="71"/>
  <c r="FP253" i="77"/>
  <c r="X93" i="71"/>
  <c r="FP93" i="77"/>
  <c r="X83" i="69"/>
  <c r="DJ83" i="77"/>
  <c r="X88" i="65"/>
  <c r="BD88" i="77"/>
  <c r="X226" i="69"/>
  <c r="DJ226" i="77"/>
  <c r="X235" i="68"/>
  <c r="CG235" i="77"/>
  <c r="X239" i="73"/>
  <c r="HV239" i="77"/>
  <c r="EL90"/>
  <c r="Z90" i="70" s="1"/>
  <c r="EM90" i="77"/>
  <c r="X234" i="69"/>
  <c r="DJ234" i="77"/>
  <c r="X234" i="70"/>
  <c r="EM234" i="77"/>
  <c r="X380" i="65"/>
  <c r="BD380" i="77"/>
  <c r="AA82" i="71"/>
  <c r="FP82" i="77"/>
  <c r="FO70"/>
  <c r="Z70" i="71" s="1"/>
  <c r="FP70" i="77"/>
  <c r="X378" i="73"/>
  <c r="HV378" i="77"/>
  <c r="X235" i="69"/>
  <c r="DJ235" i="77"/>
  <c r="X83" i="70"/>
  <c r="EM83" i="77"/>
  <c r="X407" i="69"/>
  <c r="DJ407" i="77"/>
  <c r="CF50"/>
  <c r="Z50" i="68" s="1"/>
  <c r="CG50" i="77"/>
  <c r="GR38"/>
  <c r="Z38" i="72" s="1"/>
  <c r="GS38" i="77"/>
  <c r="CF30"/>
  <c r="Z30" i="68" s="1"/>
  <c r="CG30" i="77"/>
  <c r="X244" i="72"/>
  <c r="GS244" i="77"/>
  <c r="HU38"/>
  <c r="Z38" i="73" s="1"/>
  <c r="HV38" i="77"/>
  <c r="FO245"/>
  <c r="Z245" i="71" s="1"/>
  <c r="FP245" i="77"/>
  <c r="EL357"/>
  <c r="Z357" i="70" s="1"/>
  <c r="EM357" i="77"/>
  <c r="EL244"/>
  <c r="Z244" i="70" s="1"/>
  <c r="EM244" i="77"/>
  <c r="AA282" i="71"/>
  <c r="FP282" i="77"/>
  <c r="X267" i="69"/>
  <c r="DJ267" i="77"/>
  <c r="EL206"/>
  <c r="Z206" i="70" s="1"/>
  <c r="EM206" i="77"/>
  <c r="X275" i="70"/>
  <c r="EM275" i="77"/>
  <c r="EP275" s="1"/>
  <c r="AD275" i="70" s="1"/>
  <c r="X26" i="65"/>
  <c r="BD26" i="77"/>
  <c r="DI259"/>
  <c r="Z259" i="69" s="1"/>
  <c r="DJ259" i="77"/>
  <c r="X208" i="70"/>
  <c r="EM208" i="77"/>
  <c r="EL377"/>
  <c r="Z377" i="70" s="1"/>
  <c r="EM377" i="77"/>
  <c r="EO377" s="1"/>
  <c r="AC377" i="70" s="1"/>
  <c r="BC376" i="77"/>
  <c r="Z376" i="65" s="1"/>
  <c r="BD376" i="77"/>
  <c r="BC290"/>
  <c r="BD290"/>
  <c r="X262" i="65"/>
  <c r="BD262" i="77"/>
  <c r="X78" i="65"/>
  <c r="BD78" i="77"/>
  <c r="CF269"/>
  <c r="CG269"/>
  <c r="CJ269" s="1"/>
  <c r="X293" i="71"/>
  <c r="FP293" i="77"/>
  <c r="CF278"/>
  <c r="CG278"/>
  <c r="CI278" s="1"/>
  <c r="X289" i="68"/>
  <c r="CG289" i="77"/>
  <c r="X288" i="71"/>
  <c r="FP288" i="77"/>
  <c r="X292" i="70"/>
  <c r="EM292" i="77"/>
  <c r="EP292" s="1"/>
  <c r="AD292" i="70" s="1"/>
  <c r="HY417" i="77"/>
  <c r="HX417"/>
  <c r="JB31"/>
  <c r="JA31"/>
  <c r="IZ115"/>
  <c r="IX115"/>
  <c r="JB117"/>
  <c r="JA117"/>
  <c r="IX321"/>
  <c r="Z321" i="74" s="1"/>
  <c r="JB123" i="77"/>
  <c r="JA123"/>
  <c r="IZ154"/>
  <c r="IX154"/>
  <c r="IZ141"/>
  <c r="IX141"/>
  <c r="JB168"/>
  <c r="JA168"/>
  <c r="IZ111"/>
  <c r="IX111"/>
  <c r="HY314"/>
  <c r="AD314" i="73" s="1"/>
  <c r="HX314" i="77"/>
  <c r="AC314" i="73" s="1"/>
  <c r="IZ219" i="77"/>
  <c r="IX219"/>
  <c r="JB160"/>
  <c r="JA160"/>
  <c r="HY151"/>
  <c r="HX151"/>
  <c r="JB158"/>
  <c r="JA158"/>
  <c r="JB17"/>
  <c r="JA17"/>
  <c r="JB157"/>
  <c r="JA157"/>
  <c r="IZ91"/>
  <c r="IX91"/>
  <c r="IZ419"/>
  <c r="IX419"/>
  <c r="JB167"/>
  <c r="JA167"/>
  <c r="IZ137"/>
  <c r="IX137"/>
  <c r="HY147"/>
  <c r="HX147"/>
  <c r="IZ153"/>
  <c r="IX153"/>
  <c r="JB15"/>
  <c r="JA15"/>
  <c r="JB214"/>
  <c r="JA214"/>
  <c r="HY107"/>
  <c r="HX107"/>
  <c r="IZ218"/>
  <c r="IX218"/>
  <c r="JB162"/>
  <c r="JA162"/>
  <c r="JB190"/>
  <c r="JA190"/>
  <c r="IZ113"/>
  <c r="IX113"/>
  <c r="HY133"/>
  <c r="HX133"/>
  <c r="HY61"/>
  <c r="HX61"/>
  <c r="JB71"/>
  <c r="JA71"/>
  <c r="JB16"/>
  <c r="JA16"/>
  <c r="JB192"/>
  <c r="JA192"/>
  <c r="JB216"/>
  <c r="JA216"/>
  <c r="X85" i="65"/>
  <c r="BD85" i="77"/>
  <c r="BC444"/>
  <c r="Z444" i="65" s="1"/>
  <c r="BD444" i="77"/>
  <c r="CF462"/>
  <c r="Z462" i="68" s="1"/>
  <c r="CG462" i="77"/>
  <c r="DI374"/>
  <c r="Z374" i="69" s="1"/>
  <c r="DJ374" i="77"/>
  <c r="X84" i="65"/>
  <c r="BD84" i="77"/>
  <c r="X358" i="70"/>
  <c r="EM358" i="77"/>
  <c r="X244" i="65"/>
  <c r="BD244" i="77"/>
  <c r="X232" i="73"/>
  <c r="HV232" i="77"/>
  <c r="X238" i="73"/>
  <c r="HV238" i="77"/>
  <c r="X405" i="70"/>
  <c r="EM405" i="77"/>
  <c r="GR22"/>
  <c r="Z22" i="72" s="1"/>
  <c r="GS22" i="77"/>
  <c r="X88" i="70"/>
  <c r="EM88" i="77"/>
  <c r="DI409"/>
  <c r="Z409" i="69" s="1"/>
  <c r="DJ409" i="77"/>
  <c r="X95" i="69"/>
  <c r="DJ95" i="77"/>
  <c r="DI352"/>
  <c r="Z352" i="69" s="1"/>
  <c r="DJ352" i="77"/>
  <c r="CF90"/>
  <c r="Z90" i="68" s="1"/>
  <c r="CG90" i="77"/>
  <c r="DI30"/>
  <c r="Z30" i="69" s="1"/>
  <c r="DJ30" i="77"/>
  <c r="DI436"/>
  <c r="Z436" i="69" s="1"/>
  <c r="DJ436" i="77"/>
  <c r="DI256"/>
  <c r="Z256" i="69" s="1"/>
  <c r="DJ256" i="77"/>
  <c r="X247" i="68"/>
  <c r="CG247" i="77"/>
  <c r="X353" i="73"/>
  <c r="HV353" i="77"/>
  <c r="GR67"/>
  <c r="Z67" i="72" s="1"/>
  <c r="GS67" i="77"/>
  <c r="BC206"/>
  <c r="Z206" i="65" s="1"/>
  <c r="BD206" i="77"/>
  <c r="HU283"/>
  <c r="HV283"/>
  <c r="EL223"/>
  <c r="Z223" i="70" s="1"/>
  <c r="EM223" i="77"/>
  <c r="AA255" i="65"/>
  <c r="BD255" i="77"/>
  <c r="EL384"/>
  <c r="Z384" i="70" s="1"/>
  <c r="EM384" i="77"/>
  <c r="CF395"/>
  <c r="Z395" i="68" s="1"/>
  <c r="CG395" i="77"/>
  <c r="X379" i="69"/>
  <c r="DJ379" i="77"/>
  <c r="BD389"/>
  <c r="BF389" s="1"/>
  <c r="X262" i="73"/>
  <c r="HV262" i="77"/>
  <c r="HY262" s="1"/>
  <c r="AD262" i="73" s="1"/>
  <c r="DI278" i="77"/>
  <c r="DJ278"/>
  <c r="DI279"/>
  <c r="DJ279"/>
  <c r="X393" i="68"/>
  <c r="CG393" i="77"/>
  <c r="BC87"/>
  <c r="Z87" i="65" s="1"/>
  <c r="BD87" i="77"/>
  <c r="HU79"/>
  <c r="Z79" i="73" s="1"/>
  <c r="HV79" i="77"/>
  <c r="X294" i="68"/>
  <c r="CG294" i="77"/>
  <c r="X365" i="70"/>
  <c r="EM365" i="77"/>
  <c r="GR225"/>
  <c r="Z225" i="72" s="1"/>
  <c r="GS225" i="77"/>
  <c r="X282" i="70"/>
  <c r="EM282" i="77"/>
  <c r="X98" i="72"/>
  <c r="GS98" i="77"/>
  <c r="HY261"/>
  <c r="HX261"/>
  <c r="JB201"/>
  <c r="JA201"/>
  <c r="HY317"/>
  <c r="AD317" i="73" s="1"/>
  <c r="HX317" i="77"/>
  <c r="AC317" i="73" s="1"/>
  <c r="HY138" i="77"/>
  <c r="HX138"/>
  <c r="JB421"/>
  <c r="JA421"/>
  <c r="JB11"/>
  <c r="JA11"/>
  <c r="HY115"/>
  <c r="HX115"/>
  <c r="HY316"/>
  <c r="AD316" i="73" s="1"/>
  <c r="HX316" i="77"/>
  <c r="AC316" i="73" s="1"/>
  <c r="HY321" i="77"/>
  <c r="AD321" i="73" s="1"/>
  <c r="HX321" i="77"/>
  <c r="AC321" i="73" s="1"/>
  <c r="JB197" i="77"/>
  <c r="JA197"/>
  <c r="JB210"/>
  <c r="JA210"/>
  <c r="JB126"/>
  <c r="JA126"/>
  <c r="JB149"/>
  <c r="JA149"/>
  <c r="HY136"/>
  <c r="HX136"/>
  <c r="IX314"/>
  <c r="Z314" i="74" s="1"/>
  <c r="JB331" i="77"/>
  <c r="AD331" i="74" s="1"/>
  <c r="JA331" i="77"/>
  <c r="AC331" i="74" s="1"/>
  <c r="HY142" i="77"/>
  <c r="HX142"/>
  <c r="IZ151"/>
  <c r="IX151"/>
  <c r="HY109"/>
  <c r="HX109"/>
  <c r="JB108"/>
  <c r="JA108"/>
  <c r="JB122"/>
  <c r="JA122"/>
  <c r="HY419"/>
  <c r="HX419"/>
  <c r="JB281"/>
  <c r="JA281"/>
  <c r="IZ147"/>
  <c r="IX147"/>
  <c r="JB291"/>
  <c r="JA291"/>
  <c r="JB414"/>
  <c r="JA414"/>
  <c r="JB110"/>
  <c r="JA110"/>
  <c r="JB391"/>
  <c r="JA391"/>
  <c r="HY135"/>
  <c r="HX135"/>
  <c r="JB271"/>
  <c r="JA271"/>
  <c r="IZ107"/>
  <c r="IX107"/>
  <c r="JB211"/>
  <c r="JA211"/>
  <c r="JB124"/>
  <c r="JA124"/>
  <c r="JB199"/>
  <c r="JA199"/>
  <c r="IZ133"/>
  <c r="IX133"/>
  <c r="IZ41"/>
  <c r="IX41"/>
  <c r="JB131"/>
  <c r="JA131"/>
  <c r="HY134"/>
  <c r="HX134"/>
  <c r="IZ61"/>
  <c r="IX61"/>
  <c r="HY335"/>
  <c r="AD335" i="73" s="1"/>
  <c r="HX335" i="77"/>
  <c r="AC335" i="73" s="1"/>
  <c r="IX335" i="77"/>
  <c r="Z335" i="74" s="1"/>
  <c r="HY334" i="77"/>
  <c r="AD334" i="73" s="1"/>
  <c r="HX334" i="77"/>
  <c r="AC334" i="73" s="1"/>
  <c r="IX334" i="77"/>
  <c r="Z334" i="74" s="1"/>
  <c r="HY339" i="77"/>
  <c r="AD339" i="73" s="1"/>
  <c r="HX339" i="77"/>
  <c r="AC339" i="73" s="1"/>
  <c r="IX339" i="77"/>
  <c r="Z339" i="74" s="1"/>
  <c r="HY330" i="77"/>
  <c r="AD330" i="73" s="1"/>
  <c r="HX330" i="77"/>
  <c r="AC330" i="73" s="1"/>
  <c r="IX330" i="77"/>
  <c r="Z330" i="74" s="1"/>
  <c r="HY328" i="77"/>
  <c r="AD328" i="73" s="1"/>
  <c r="HX328" i="77"/>
  <c r="AC328" i="73" s="1"/>
  <c r="IX328" i="77"/>
  <c r="Z328" i="74" s="1"/>
  <c r="HY325" i="77"/>
  <c r="AD325" i="73" s="1"/>
  <c r="HX325" i="77"/>
  <c r="AC325" i="73" s="1"/>
  <c r="IX325" i="77"/>
  <c r="Z325" i="74" s="1"/>
  <c r="HY344" i="77"/>
  <c r="AD344" i="73" s="1"/>
  <c r="HX344" i="77"/>
  <c r="AC344" i="73" s="1"/>
  <c r="IX344" i="77"/>
  <c r="Z344" i="74" s="1"/>
  <c r="HY337" i="77"/>
  <c r="AD337" i="73" s="1"/>
  <c r="HX337" i="77"/>
  <c r="AC337" i="73" s="1"/>
  <c r="IX337" i="77"/>
  <c r="Z337" i="74" s="1"/>
  <c r="HY324" i="77"/>
  <c r="AD324" i="73" s="1"/>
  <c r="HX324" i="77"/>
  <c r="AC324" i="73" s="1"/>
  <c r="IX324" i="77"/>
  <c r="Z324" i="74" s="1"/>
  <c r="HY340" i="77"/>
  <c r="AD340" i="73" s="1"/>
  <c r="HX340" i="77"/>
  <c r="AC340" i="73" s="1"/>
  <c r="IX340" i="77"/>
  <c r="Z340" i="74" s="1"/>
  <c r="HY309" i="77"/>
  <c r="AD309" i="73" s="1"/>
  <c r="HX309" i="77"/>
  <c r="AC309" i="73" s="1"/>
  <c r="IX309" i="77"/>
  <c r="Z309" i="74" s="1"/>
  <c r="HY308" i="77"/>
  <c r="AD308" i="73" s="1"/>
  <c r="HX308" i="77"/>
  <c r="AC308" i="73" s="1"/>
  <c r="IX308" i="77"/>
  <c r="Z308" i="74" s="1"/>
  <c r="JB305" i="77"/>
  <c r="AD305" i="74" s="1"/>
  <c r="JA305" i="77"/>
  <c r="AC305" i="74" s="1"/>
  <c r="JB303" i="77"/>
  <c r="AD303" i="74" s="1"/>
  <c r="JA303" i="77"/>
  <c r="AC303" i="74" s="1"/>
  <c r="HY343" i="77"/>
  <c r="AD343" i="73" s="1"/>
  <c r="HX343" i="77"/>
  <c r="AC343" i="73" s="1"/>
  <c r="IX343" i="77"/>
  <c r="Z343" i="74" s="1"/>
  <c r="HY342" i="77"/>
  <c r="AD342" i="73" s="1"/>
  <c r="HX342" i="77"/>
  <c r="AC342" i="73" s="1"/>
  <c r="IX342" i="77"/>
  <c r="Z342" i="74" s="1"/>
  <c r="HY338" i="77"/>
  <c r="AD338" i="73" s="1"/>
  <c r="HX338" i="77"/>
  <c r="AC338" i="73" s="1"/>
  <c r="IX338" i="77"/>
  <c r="Z338" i="74" s="1"/>
  <c r="HY332" i="77"/>
  <c r="AD332" i="73" s="1"/>
  <c r="HX332" i="77"/>
  <c r="AC332" i="73" s="1"/>
  <c r="IX332" i="77"/>
  <c r="Z332" i="74" s="1"/>
  <c r="HY327" i="77"/>
  <c r="AD327" i="73" s="1"/>
  <c r="HX327" i="77"/>
  <c r="AC327" i="73" s="1"/>
  <c r="IX327" i="77"/>
  <c r="Z327" i="74" s="1"/>
  <c r="HY306" i="77"/>
  <c r="AD306" i="73" s="1"/>
  <c r="HX306" i="77"/>
  <c r="AC306" i="73" s="1"/>
  <c r="IX306" i="77"/>
  <c r="Z306" i="74" s="1"/>
  <c r="HY300" i="77"/>
  <c r="AD300" i="73" s="1"/>
  <c r="HX300" i="77"/>
  <c r="AC300" i="73" s="1"/>
  <c r="IX300" i="77"/>
  <c r="Z300" i="74" s="1"/>
  <c r="HY348" i="77"/>
  <c r="AD348" i="73" s="1"/>
  <c r="HX348" i="77"/>
  <c r="AC348" i="73" s="1"/>
  <c r="IX348" i="77"/>
  <c r="Z348" i="74" s="1"/>
  <c r="HY333" i="77"/>
  <c r="AD333" i="73" s="1"/>
  <c r="HX333" i="77"/>
  <c r="AC333" i="73" s="1"/>
  <c r="IX333" i="77"/>
  <c r="Z333" i="74" s="1"/>
  <c r="HY326" i="77"/>
  <c r="AD326" i="73" s="1"/>
  <c r="HX326" i="77"/>
  <c r="AC326" i="73" s="1"/>
  <c r="IX326" i="77"/>
  <c r="Z326" i="74" s="1"/>
  <c r="JB299" i="77"/>
  <c r="AD299" i="74" s="1"/>
  <c r="JA299" i="77"/>
  <c r="AC299" i="74" s="1"/>
  <c r="FR33" i="77"/>
  <c r="AC33" i="71" s="1"/>
  <c r="EP408" i="77"/>
  <c r="AD408" i="70" s="1"/>
  <c r="BF30" i="77"/>
  <c r="AC30" i="65" s="1"/>
  <c r="JA238" i="77"/>
  <c r="CJ63"/>
  <c r="AD63" i="68" s="1"/>
  <c r="FS232" i="77"/>
  <c r="FR62"/>
  <c r="AC62" i="71" s="1"/>
  <c r="AC416"/>
  <c r="HY457" i="77"/>
  <c r="AD457" i="73" s="1"/>
  <c r="FR28" i="77"/>
  <c r="AC28" i="71" s="1"/>
  <c r="AC151" i="70"/>
  <c r="EO23" i="77"/>
  <c r="AC23" i="70" s="1"/>
  <c r="FS33" i="77"/>
  <c r="AD33" i="71" s="1"/>
  <c r="GV83" i="77"/>
  <c r="FS434"/>
  <c r="AD434" i="71" s="1"/>
  <c r="BF242" i="77"/>
  <c r="EP407"/>
  <c r="AD407" i="70" s="1"/>
  <c r="EL83" i="77"/>
  <c r="Z83" i="70" s="1"/>
  <c r="CI63" i="77"/>
  <c r="AC63" i="68" s="1"/>
  <c r="FR232" i="77"/>
  <c r="BG29"/>
  <c r="AD29" i="65" s="1"/>
  <c r="EP93" i="77"/>
  <c r="AD416" i="71"/>
  <c r="GV238" i="77"/>
  <c r="FS257"/>
  <c r="AD257" i="71" s="1"/>
  <c r="EO253" i="77"/>
  <c r="AC254" i="70" s="1"/>
  <c r="AD61" i="72"/>
  <c r="AD415" i="74"/>
  <c r="JB283" i="77"/>
  <c r="JA294"/>
  <c r="AC294" i="74" s="1"/>
  <c r="JA285" i="77"/>
  <c r="JA94"/>
  <c r="AD391" i="65"/>
  <c r="AD187" i="69"/>
  <c r="AA293" i="68"/>
  <c r="EL284" i="77"/>
  <c r="AD124" i="72"/>
  <c r="GV200" i="77"/>
  <c r="AD208" i="72" s="1"/>
  <c r="EO82" i="77"/>
  <c r="AC80" i="70" s="1"/>
  <c r="GV239" i="77"/>
  <c r="AD245" i="72" s="1"/>
  <c r="BG30" i="77"/>
  <c r="AD30" i="65" s="1"/>
  <c r="BG422" i="77"/>
  <c r="AD422" i="65" s="1"/>
  <c r="JB238" i="77"/>
  <c r="FS62"/>
  <c r="AD62" i="71" s="1"/>
  <c r="CI28" i="77"/>
  <c r="AC28" i="68" s="1"/>
  <c r="DI80" i="77"/>
  <c r="Z80" i="69" s="1"/>
  <c r="AD135" i="68"/>
  <c r="CI296" i="77"/>
  <c r="AC296" i="68" s="1"/>
  <c r="CI267" i="77"/>
  <c r="AC267" i="68" s="1"/>
  <c r="EP395" i="77"/>
  <c r="HY393"/>
  <c r="AD393" i="73" s="1"/>
  <c r="AC109" i="74"/>
  <c r="AC164" i="72"/>
  <c r="AC287" i="73"/>
  <c r="CF265" i="77"/>
  <c r="BC78"/>
  <c r="Z78" i="65" s="1"/>
  <c r="Z219" i="68"/>
  <c r="EP252" i="77"/>
  <c r="CI269"/>
  <c r="AC109" i="73"/>
  <c r="CJ94" i="77"/>
  <c r="AA391" i="71"/>
  <c r="AC124" i="72"/>
  <c r="HY90" i="77"/>
  <c r="CF363"/>
  <c r="Z363" i="68" s="1"/>
  <c r="JB294" i="77"/>
  <c r="AD294" i="74" s="1"/>
  <c r="HX393" i="77"/>
  <c r="AC393" i="73" s="1"/>
  <c r="AD109" i="74"/>
  <c r="AC391" i="65"/>
  <c r="AD109" i="73"/>
  <c r="Z391" i="71"/>
  <c r="Z172" i="68"/>
  <c r="CF288" i="77"/>
  <c r="HY36"/>
  <c r="AD36" i="73" s="1"/>
  <c r="X240"/>
  <c r="AA352"/>
  <c r="AA412"/>
  <c r="AA12"/>
  <c r="AA22"/>
  <c r="AC195"/>
  <c r="HX209" i="77"/>
  <c r="AA135" i="73"/>
  <c r="HY282" i="77"/>
  <c r="AD282" i="73" s="1"/>
  <c r="HX294" i="77"/>
  <c r="AC294" i="73" s="1"/>
  <c r="HX264" i="77"/>
  <c r="AC264" i="73" s="1"/>
  <c r="BF60" i="77"/>
  <c r="AC60" i="65" s="1"/>
  <c r="AD421"/>
  <c r="X413"/>
  <c r="Z195"/>
  <c r="BF67" i="77"/>
  <c r="AC67" i="65" s="1"/>
  <c r="AA90"/>
  <c r="BG242" i="77"/>
  <c r="AD124" i="65"/>
  <c r="BF256" i="77"/>
  <c r="AC256" i="65" s="1"/>
  <c r="BG70" i="77"/>
  <c r="AD70" i="65" s="1"/>
  <c r="AA79"/>
  <c r="BG354" i="77"/>
  <c r="AD354" i="65" s="1"/>
  <c r="X195"/>
  <c r="BG67" i="77"/>
  <c r="AD67" i="65" s="1"/>
  <c r="BC255" i="77"/>
  <c r="Z255" i="65" s="1"/>
  <c r="BF90" i="77"/>
  <c r="BC26"/>
  <c r="Z26" i="65" s="1"/>
  <c r="BG279" i="77"/>
  <c r="BF79"/>
  <c r="BF354"/>
  <c r="AC354" i="65" s="1"/>
  <c r="BG60" i="77"/>
  <c r="AD60" i="65" s="1"/>
  <c r="BF422" i="77"/>
  <c r="AC422" i="65" s="1"/>
  <c r="AA241"/>
  <c r="X255"/>
  <c r="AA26"/>
  <c r="DM266" i="77"/>
  <c r="DL266"/>
  <c r="X210" i="70"/>
  <c r="Z120" i="68"/>
  <c r="Z371" i="73"/>
  <c r="DI266" i="77"/>
  <c r="Z210" i="70"/>
  <c r="X87" i="65"/>
  <c r="X176"/>
  <c r="Z176"/>
  <c r="X379" i="73"/>
  <c r="HU379" i="77"/>
  <c r="Z379" i="73" s="1"/>
  <c r="AD79" i="74"/>
  <c r="X102" i="65"/>
  <c r="Z102"/>
  <c r="JA422" i="77"/>
  <c r="AC422" i="74" s="1"/>
  <c r="Z211" i="68"/>
  <c r="X211"/>
  <c r="AA141" i="65"/>
  <c r="AA191"/>
  <c r="AA252" i="69"/>
  <c r="AA149"/>
  <c r="AA378" i="72"/>
  <c r="GV378" i="77"/>
  <c r="AA183" i="69"/>
  <c r="AA169" i="72"/>
  <c r="AA408" i="71"/>
  <c r="FS408" i="77"/>
  <c r="AD408" i="71" s="1"/>
  <c r="AA182"/>
  <c r="AA61" i="73"/>
  <c r="AC61"/>
  <c r="AA435"/>
  <c r="HY435" i="77"/>
  <c r="AD435" i="73" s="1"/>
  <c r="AA131"/>
  <c r="Z417" i="68"/>
  <c r="AA211" i="72"/>
  <c r="AA187" i="73"/>
  <c r="AC187"/>
  <c r="AA140" i="65"/>
  <c r="AC140"/>
  <c r="AA195" i="72"/>
  <c r="AA241"/>
  <c r="AA265"/>
  <c r="GU265" i="77"/>
  <c r="AC265" i="72" s="1"/>
  <c r="X264" i="70"/>
  <c r="AA264"/>
  <c r="Z136"/>
  <c r="AC93" i="72"/>
  <c r="Z125" i="73"/>
  <c r="AA100" i="68"/>
  <c r="EO256" i="77"/>
  <c r="AC256" i="70" s="1"/>
  <c r="AD193" i="69"/>
  <c r="GV69" i="77"/>
  <c r="AD69" i="72" s="1"/>
  <c r="AC16" i="71"/>
  <c r="AC61" i="72"/>
  <c r="AA357"/>
  <c r="X437" i="69"/>
  <c r="AA248" i="73"/>
  <c r="AA48" i="72"/>
  <c r="AA24" i="70"/>
  <c r="AA371" i="71"/>
  <c r="AA24" i="65"/>
  <c r="AA42" i="70"/>
  <c r="CI377" i="77"/>
  <c r="AC377" i="68" s="1"/>
  <c r="AA151" i="70"/>
  <c r="AC167" i="73"/>
  <c r="BG365" i="77"/>
  <c r="AA141" i="69"/>
  <c r="CJ98" i="77"/>
  <c r="AC142" i="72"/>
  <c r="JB270" i="77"/>
  <c r="AC109" i="72"/>
  <c r="FS296" i="77"/>
  <c r="AD296" i="71" s="1"/>
  <c r="EO296" i="77"/>
  <c r="AC296" i="70" s="1"/>
  <c r="GU386" i="77"/>
  <c r="BG294"/>
  <c r="AD294" i="65" s="1"/>
  <c r="BF225" i="77"/>
  <c r="FS385"/>
  <c r="AC165" i="72"/>
  <c r="DL383" i="77"/>
  <c r="BG283"/>
  <c r="CJ278"/>
  <c r="AC167" i="74"/>
  <c r="Z140" i="71"/>
  <c r="Z167" i="68"/>
  <c r="CI354" i="77"/>
  <c r="AC354" i="68" s="1"/>
  <c r="BC252" i="77"/>
  <c r="Z252" i="65" s="1"/>
  <c r="AD110" i="71"/>
  <c r="X412" i="69"/>
  <c r="FR374" i="77"/>
  <c r="AC374" i="71" s="1"/>
  <c r="AA374"/>
  <c r="FS374" i="77"/>
  <c r="AD374" i="71" s="1"/>
  <c r="AA138" i="65"/>
  <c r="HX96" i="77"/>
  <c r="AA96" i="73"/>
  <c r="AA63" i="74"/>
  <c r="JB63" i="77"/>
  <c r="AD63" i="74" s="1"/>
  <c r="AA369" i="72"/>
  <c r="GV369" i="77"/>
  <c r="AA162" i="71"/>
  <c r="AA145" i="72"/>
  <c r="AD147"/>
  <c r="AA21" i="65"/>
  <c r="AD21"/>
  <c r="X287" i="71"/>
  <c r="X194"/>
  <c r="X196"/>
  <c r="Z196"/>
  <c r="X94" i="70"/>
  <c r="EL94" i="77"/>
  <c r="Z94" i="70" s="1"/>
  <c r="X291" i="65"/>
  <c r="AA210"/>
  <c r="X210"/>
  <c r="AA154"/>
  <c r="X275" i="69"/>
  <c r="AA275"/>
  <c r="Z144"/>
  <c r="X141" i="65"/>
  <c r="X191"/>
  <c r="X103" i="68"/>
  <c r="Z103"/>
  <c r="X265" i="69"/>
  <c r="AA265"/>
  <c r="X267" i="70"/>
  <c r="EL267" i="77"/>
  <c r="AA393" i="70"/>
  <c r="EO393" i="77"/>
  <c r="AC393" i="70" s="1"/>
  <c r="X190"/>
  <c r="Z190"/>
  <c r="X187" i="71"/>
  <c r="Z187"/>
  <c r="X87" i="72"/>
  <c r="AA87"/>
  <c r="AD154" i="65"/>
  <c r="AD100"/>
  <c r="AA372" i="68"/>
  <c r="AA384"/>
  <c r="AA182" i="72"/>
  <c r="AA13" i="71"/>
  <c r="AC13"/>
  <c r="AD207" i="70"/>
  <c r="AC207"/>
  <c r="AA162" i="74"/>
  <c r="HX455" i="77"/>
  <c r="AC455" i="73" s="1"/>
  <c r="AA455"/>
  <c r="AA85" i="68"/>
  <c r="CI85" i="77"/>
  <c r="AA125" i="70"/>
  <c r="AD125"/>
  <c r="AA40" i="69"/>
  <c r="DL40" i="77"/>
  <c r="AC40" i="69" s="1"/>
  <c r="AA137" i="70"/>
  <c r="AA17"/>
  <c r="AD17"/>
  <c r="AA166" i="73"/>
  <c r="AC166"/>
  <c r="AA393" i="69"/>
  <c r="DL393" i="77"/>
  <c r="AC393" i="69" s="1"/>
  <c r="AA187" i="70"/>
  <c r="AD187"/>
  <c r="X155" i="65"/>
  <c r="AA155"/>
  <c r="AA372" i="71"/>
  <c r="FR372" i="77"/>
  <c r="AC372" i="71" s="1"/>
  <c r="AA241" i="69"/>
  <c r="AA295" i="65"/>
  <c r="BF209" i="77"/>
  <c r="AC295" i="65" s="1"/>
  <c r="X166"/>
  <c r="Z166"/>
  <c r="X102" i="68"/>
  <c r="Z102"/>
  <c r="X285"/>
  <c r="Z192"/>
  <c r="AA380"/>
  <c r="CJ380" i="77"/>
  <c r="AD380" i="68" s="1"/>
  <c r="X264" i="69"/>
  <c r="DI264" i="77"/>
  <c r="AC96" i="73"/>
  <c r="X412" i="70"/>
  <c r="Z413"/>
  <c r="X413"/>
  <c r="AA247" i="74"/>
  <c r="JB247" i="77"/>
  <c r="AC125" i="68"/>
  <c r="AA125"/>
  <c r="AA435" i="70"/>
  <c r="EP435" i="77"/>
  <c r="AD435" i="70" s="1"/>
  <c r="AA138" i="72"/>
  <c r="AA226"/>
  <c r="GV226" i="77"/>
  <c r="AA42" i="74"/>
  <c r="JA42" i="77"/>
  <c r="AC42" i="74" s="1"/>
  <c r="HY95" i="77"/>
  <c r="AA95" i="73"/>
  <c r="AA267" i="70"/>
  <c r="EP267" i="77"/>
  <c r="AD267" i="70" s="1"/>
  <c r="AA282" i="72"/>
  <c r="GU282" i="77"/>
  <c r="AC282" i="72" s="1"/>
  <c r="AA94" i="65"/>
  <c r="BF94" i="77"/>
  <c r="AA372" i="74"/>
  <c r="JB372" i="77"/>
  <c r="AD372" i="74" s="1"/>
  <c r="AA263" i="65"/>
  <c r="BF263" i="77"/>
  <c r="AC263" i="65" s="1"/>
  <c r="AA382" i="70"/>
  <c r="EP382" i="77"/>
  <c r="AD382" i="70" s="1"/>
  <c r="AA139" i="68"/>
  <c r="AD139"/>
  <c r="AA164"/>
  <c r="AD164"/>
  <c r="CI250" i="77"/>
  <c r="CJ250"/>
  <c r="HX386"/>
  <c r="X386" i="73"/>
  <c r="AA394" i="65"/>
  <c r="BG385" i="77"/>
  <c r="AD394" i="65" s="1"/>
  <c r="AA144" i="70"/>
  <c r="AA282" i="68"/>
  <c r="CI282" i="77"/>
  <c r="AC282" i="68" s="1"/>
  <c r="AA265" i="74"/>
  <c r="JA265" i="77"/>
  <c r="AC265" i="74" s="1"/>
  <c r="AA102" i="68"/>
  <c r="AD102"/>
  <c r="X149" i="65"/>
  <c r="X154" i="68"/>
  <c r="X100"/>
  <c r="AA286"/>
  <c r="AA118"/>
  <c r="X372"/>
  <c r="CF372" i="77"/>
  <c r="Z372" i="68" s="1"/>
  <c r="AA290" i="69"/>
  <c r="AD290"/>
  <c r="AA203"/>
  <c r="AA166"/>
  <c r="AC166"/>
  <c r="AA288"/>
  <c r="DL288" i="77"/>
  <c r="AC288" i="69" s="1"/>
  <c r="X164" i="70"/>
  <c r="Z164"/>
  <c r="X221"/>
  <c r="AC94" i="65"/>
  <c r="X414" i="69"/>
  <c r="Z153" i="65"/>
  <c r="AD166" i="71"/>
  <c r="AA395" i="73"/>
  <c r="FR252" i="77"/>
  <c r="AC95" i="70"/>
  <c r="DL268" i="77"/>
  <c r="DM268"/>
  <c r="AB436" i="74"/>
  <c r="JB436" i="77"/>
  <c r="AD436" i="74" s="1"/>
  <c r="JA436" i="77"/>
  <c r="AC436" i="74" s="1"/>
  <c r="AB250"/>
  <c r="AB207"/>
  <c r="JA207" i="77"/>
  <c r="AC207" i="74" s="1"/>
  <c r="JB207" i="77"/>
  <c r="AD207" i="74" s="1"/>
  <c r="AB146"/>
  <c r="AD146"/>
  <c r="AC146"/>
  <c r="AB243"/>
  <c r="AB201"/>
  <c r="AB457"/>
  <c r="JA457" i="77"/>
  <c r="AC457" i="74" s="1"/>
  <c r="JB457" i="77"/>
  <c r="AD457" i="74" s="1"/>
  <c r="AB14"/>
  <c r="AC14"/>
  <c r="AD14"/>
  <c r="AB18"/>
  <c r="AC18"/>
  <c r="AD18"/>
  <c r="AB64"/>
  <c r="JB64" i="77"/>
  <c r="AD64" i="74" s="1"/>
  <c r="JA64" i="77"/>
  <c r="AC64" i="74" s="1"/>
  <c r="AB41"/>
  <c r="AD41"/>
  <c r="AC41"/>
  <c r="JB286" i="77"/>
  <c r="JA286"/>
  <c r="AB443" i="74"/>
  <c r="JB443" i="77"/>
  <c r="AD443" i="74" s="1"/>
  <c r="JA443" i="77"/>
  <c r="AC443" i="74" s="1"/>
  <c r="BC383" i="77"/>
  <c r="Z383" i="65" s="1"/>
  <c r="AB153" i="74"/>
  <c r="JB362" i="77"/>
  <c r="JA362"/>
  <c r="JB395"/>
  <c r="JA395"/>
  <c r="AB45" i="74"/>
  <c r="JB45" i="77"/>
  <c r="AD45" i="74" s="1"/>
  <c r="JA45" i="77"/>
  <c r="AC45" i="74" s="1"/>
  <c r="AB225"/>
  <c r="AB278"/>
  <c r="AB412"/>
  <c r="AB419"/>
  <c r="AB159"/>
  <c r="AB259"/>
  <c r="AB413"/>
  <c r="AB437"/>
  <c r="JB54" i="77"/>
  <c r="AD54" i="74" s="1"/>
  <c r="AB54"/>
  <c r="JA54" i="77"/>
  <c r="AC54" i="74" s="1"/>
  <c r="AB132"/>
  <c r="AB106"/>
  <c r="AB66"/>
  <c r="JA66" i="77"/>
  <c r="AC66" i="74" s="1"/>
  <c r="JB66" i="77"/>
  <c r="AD66" i="74" s="1"/>
  <c r="Y11"/>
  <c r="Y468" s="1"/>
  <c r="Y466" s="1"/>
  <c r="AB47"/>
  <c r="JB47" i="77"/>
  <c r="AD47" i="74" s="1"/>
  <c r="JA47" i="77"/>
  <c r="AC47" i="74" s="1"/>
  <c r="AB251"/>
  <c r="AC251"/>
  <c r="JB278" i="77"/>
  <c r="JA278"/>
  <c r="AB73" i="74"/>
  <c r="JB73" i="77"/>
  <c r="AD73" i="74" s="1"/>
  <c r="JA73" i="77"/>
  <c r="AC73" i="74" s="1"/>
  <c r="AB295"/>
  <c r="AB209"/>
  <c r="AB44"/>
  <c r="JB44" i="77"/>
  <c r="AD44" i="74" s="1"/>
  <c r="JA44" i="77"/>
  <c r="AC44" i="74" s="1"/>
  <c r="JA98" i="77"/>
  <c r="JB98"/>
  <c r="Z216" i="70"/>
  <c r="AC148" i="73"/>
  <c r="AB254" i="74"/>
  <c r="AB211"/>
  <c r="JB46" i="77"/>
  <c r="AD46" i="74" s="1"/>
  <c r="JA46" i="77"/>
  <c r="AC46" i="74" s="1"/>
  <c r="AB46"/>
  <c r="AB39"/>
  <c r="JB39" i="77"/>
  <c r="AD39" i="74" s="1"/>
  <c r="JA39" i="77"/>
  <c r="AC39" i="74" s="1"/>
  <c r="AB80"/>
  <c r="JA80" i="77"/>
  <c r="AC80" i="74" s="1"/>
  <c r="JB80" i="77"/>
  <c r="AD80" i="74" s="1"/>
  <c r="AB430"/>
  <c r="JA430" i="77"/>
  <c r="AC430" i="74" s="1"/>
  <c r="JB430" i="77"/>
  <c r="AD430" i="74" s="1"/>
  <c r="AB55"/>
  <c r="JB55" i="77"/>
  <c r="AD55" i="74" s="1"/>
  <c r="JA55" i="77"/>
  <c r="AC55" i="74" s="1"/>
  <c r="AB231"/>
  <c r="AB179"/>
  <c r="AB210"/>
  <c r="AD210"/>
  <c r="AC210"/>
  <c r="AB50"/>
  <c r="JB50" i="77"/>
  <c r="AD50" i="74" s="1"/>
  <c r="JA50" i="77"/>
  <c r="AC50" i="74" s="1"/>
  <c r="AB27"/>
  <c r="JA27" i="77"/>
  <c r="AC27" i="74" s="1"/>
  <c r="JB27" i="77"/>
  <c r="AD27" i="74" s="1"/>
  <c r="AB53"/>
  <c r="JA53" i="77"/>
  <c r="AC53" i="74" s="1"/>
  <c r="JB53" i="77"/>
  <c r="AD53" i="74" s="1"/>
  <c r="AB52"/>
  <c r="JA52" i="77"/>
  <c r="AC52" i="74" s="1"/>
  <c r="JB52" i="77"/>
  <c r="AD52" i="74" s="1"/>
  <c r="JB287" i="77"/>
  <c r="JA287"/>
  <c r="AD250" i="74"/>
  <c r="DI97" i="77"/>
  <c r="Z97" i="69" s="1"/>
  <c r="Z11" i="74"/>
  <c r="AB229"/>
  <c r="AB177"/>
  <c r="JA437" i="77"/>
  <c r="JB437"/>
  <c r="JB243"/>
  <c r="JA243"/>
  <c r="AB49" i="74"/>
  <c r="JA49" i="77"/>
  <c r="AC49" i="74" s="1"/>
  <c r="JB49" i="77"/>
  <c r="AD49" i="74" s="1"/>
  <c r="AA164" i="71"/>
  <c r="AA221"/>
  <c r="AB20" i="74"/>
  <c r="JB20" i="77"/>
  <c r="AD20" i="74" s="1"/>
  <c r="JA20" i="77"/>
  <c r="AC20" i="74" s="1"/>
  <c r="AB71"/>
  <c r="AC71"/>
  <c r="AD71"/>
  <c r="AB142"/>
  <c r="AB195"/>
  <c r="AD241"/>
  <c r="AC241"/>
  <c r="AB241"/>
  <c r="AB51"/>
  <c r="AC51"/>
  <c r="AD51"/>
  <c r="AB68"/>
  <c r="JB68" i="77"/>
  <c r="AD68" i="74" s="1"/>
  <c r="JA68" i="77"/>
  <c r="AC68" i="74" s="1"/>
  <c r="AB371"/>
  <c r="X199" i="68"/>
  <c r="AD96" i="74"/>
  <c r="JA378" i="77"/>
  <c r="AD215" i="72"/>
  <c r="AD214" i="70"/>
  <c r="AC376" i="71"/>
  <c r="AC159" i="74"/>
  <c r="AC259"/>
  <c r="AD229"/>
  <c r="AD177"/>
  <c r="AC278"/>
  <c r="AC225"/>
  <c r="IX289" i="77"/>
  <c r="X289" i="74"/>
  <c r="AA229"/>
  <c r="AA177"/>
  <c r="AA267"/>
  <c r="JB267" i="77"/>
  <c r="AD267" i="74" s="1"/>
  <c r="JA267" i="77"/>
  <c r="AC267" i="74" s="1"/>
  <c r="AA379"/>
  <c r="JB379" i="77"/>
  <c r="AD379" i="74" s="1"/>
  <c r="JA379" i="77"/>
  <c r="AC379" i="74" s="1"/>
  <c r="AA160"/>
  <c r="AA268"/>
  <c r="AD102"/>
  <c r="AA102"/>
  <c r="AC102"/>
  <c r="X231"/>
  <c r="X179"/>
  <c r="AA176"/>
  <c r="AD176"/>
  <c r="AC176"/>
  <c r="AA284"/>
  <c r="AA117"/>
  <c r="AA174"/>
  <c r="AA224"/>
  <c r="AA276"/>
  <c r="AA166"/>
  <c r="AD166"/>
  <c r="AC166"/>
  <c r="AA395"/>
  <c r="JA386" i="77"/>
  <c r="AC395" i="74" s="1"/>
  <c r="JB386" i="77"/>
  <c r="AD395" i="74" s="1"/>
  <c r="AA386"/>
  <c r="AC229"/>
  <c r="AC177"/>
  <c r="AD278"/>
  <c r="AD225"/>
  <c r="AA272"/>
  <c r="AA161"/>
  <c r="AA220"/>
  <c r="AA285"/>
  <c r="AA192"/>
  <c r="AA113"/>
  <c r="AA279"/>
  <c r="AA230"/>
  <c r="AA178"/>
  <c r="AA382"/>
  <c r="JA382" i="77"/>
  <c r="AC382" i="74" s="1"/>
  <c r="JB382" i="77"/>
  <c r="AD382" i="74" s="1"/>
  <c r="AA165"/>
  <c r="AD165"/>
  <c r="AC165"/>
  <c r="AA393"/>
  <c r="JB393" i="77"/>
  <c r="AD393" i="74" s="1"/>
  <c r="JA393" i="77"/>
  <c r="AC393" i="74" s="1"/>
  <c r="AA185"/>
  <c r="AA116"/>
  <c r="AA115"/>
  <c r="AD115"/>
  <c r="AC115"/>
  <c r="AA157"/>
  <c r="AA266"/>
  <c r="AD231"/>
  <c r="AD179"/>
  <c r="AA132"/>
  <c r="AA106"/>
  <c r="AD11"/>
  <c r="AA11"/>
  <c r="JA85" i="77"/>
  <c r="AA85" i="74"/>
  <c r="AA231"/>
  <c r="AA179"/>
  <c r="AA237"/>
  <c r="AA188"/>
  <c r="AA111"/>
  <c r="AA136"/>
  <c r="AA168"/>
  <c r="AA273"/>
  <c r="AA107"/>
  <c r="AA130"/>
  <c r="AA158"/>
  <c r="AA215"/>
  <c r="AA159"/>
  <c r="AA259"/>
  <c r="AA277"/>
  <c r="AA175"/>
  <c r="X245"/>
  <c r="IX92" i="77"/>
  <c r="Z92" i="74" s="1"/>
  <c r="X92"/>
  <c r="AC231"/>
  <c r="AC179"/>
  <c r="AD159"/>
  <c r="AD259"/>
  <c r="JB26" i="77"/>
  <c r="AD26" i="74" s="1"/>
  <c r="AA26"/>
  <c r="JA253" i="77"/>
  <c r="AC254" i="74" s="1"/>
  <c r="AA253"/>
  <c r="AC21"/>
  <c r="AA21"/>
  <c r="AC169"/>
  <c r="AA169"/>
  <c r="JB462" i="77"/>
  <c r="AD462" i="74" s="1"/>
  <c r="AA462"/>
  <c r="JA96" i="77"/>
  <c r="AC96" i="74" s="1"/>
  <c r="AA96"/>
  <c r="AA101"/>
  <c r="AA261"/>
  <c r="AA213"/>
  <c r="AA173"/>
  <c r="AA110"/>
  <c r="AA133"/>
  <c r="AA269"/>
  <c r="AA296"/>
  <c r="JB296" i="77"/>
  <c r="AD296" i="74" s="1"/>
  <c r="JA296" i="77"/>
  <c r="AC296" i="74" s="1"/>
  <c r="AA222"/>
  <c r="AA171"/>
  <c r="AA274"/>
  <c r="AA108"/>
  <c r="AA383"/>
  <c r="AA364"/>
  <c r="X148"/>
  <c r="Z138" i="73"/>
  <c r="X138"/>
  <c r="AA380"/>
  <c r="X380"/>
  <c r="X237"/>
  <c r="X188"/>
  <c r="HX28" i="77"/>
  <c r="AC28" i="73" s="1"/>
  <c r="AA28"/>
  <c r="HX262" i="77"/>
  <c r="AC262" i="73" s="1"/>
  <c r="AA262"/>
  <c r="Z186"/>
  <c r="X283"/>
  <c r="X186"/>
  <c r="AA132"/>
  <c r="AA106"/>
  <c r="AA216"/>
  <c r="AA179"/>
  <c r="AA231"/>
  <c r="X383"/>
  <c r="X364"/>
  <c r="AA273"/>
  <c r="AA168"/>
  <c r="AA107"/>
  <c r="Z139"/>
  <c r="X139"/>
  <c r="AA274"/>
  <c r="AA222"/>
  <c r="AA171"/>
  <c r="AA108"/>
  <c r="AA377"/>
  <c r="X377"/>
  <c r="AD132"/>
  <c r="AD106"/>
  <c r="AD177"/>
  <c r="AD229"/>
  <c r="HY402" i="77"/>
  <c r="AD402" i="73" s="1"/>
  <c r="AA402"/>
  <c r="HY369" i="77"/>
  <c r="AA369" i="73"/>
  <c r="HX33" i="77"/>
  <c r="AC33" i="73" s="1"/>
  <c r="AA33"/>
  <c r="AA141"/>
  <c r="AA191"/>
  <c r="AD231"/>
  <c r="AD179"/>
  <c r="HX462" i="77"/>
  <c r="AC462" i="73" s="1"/>
  <c r="AA462"/>
  <c r="HU386" i="77"/>
  <c r="Z386" i="73" s="1"/>
  <c r="X395"/>
  <c r="AA295"/>
  <c r="AA209"/>
  <c r="Z210"/>
  <c r="AC106"/>
  <c r="AC132"/>
  <c r="AC177"/>
  <c r="AC229"/>
  <c r="AA276"/>
  <c r="AA224"/>
  <c r="AA174"/>
  <c r="HY86" i="77"/>
  <c r="AA86" i="73"/>
  <c r="AC179"/>
  <c r="AC231"/>
  <c r="AA279"/>
  <c r="AA178"/>
  <c r="AA230"/>
  <c r="AA113"/>
  <c r="AA270"/>
  <c r="AA219"/>
  <c r="AA284"/>
  <c r="AA117"/>
  <c r="AA158"/>
  <c r="AA130"/>
  <c r="AA215"/>
  <c r="X251"/>
  <c r="Z112"/>
  <c r="X112"/>
  <c r="Z175"/>
  <c r="X175"/>
  <c r="X277"/>
  <c r="HU358" i="77"/>
  <c r="Z358" i="73" s="1"/>
  <c r="X358"/>
  <c r="AA137"/>
  <c r="HX84" i="77"/>
  <c r="AA84" i="73"/>
  <c r="HX82" i="77"/>
  <c r="AC80" i="73" s="1"/>
  <c r="AA82"/>
  <c r="AA103"/>
  <c r="X103"/>
  <c r="X190"/>
  <c r="AA185"/>
  <c r="AA116"/>
  <c r="AA223"/>
  <c r="AA172"/>
  <c r="HU382" i="77"/>
  <c r="Z382" i="73" s="1"/>
  <c r="X382"/>
  <c r="AA252"/>
  <c r="AA149"/>
  <c r="AA381"/>
  <c r="X381"/>
  <c r="AA281"/>
  <c r="AA184"/>
  <c r="AA173"/>
  <c r="AA110"/>
  <c r="AA101"/>
  <c r="AA261"/>
  <c r="AA213"/>
  <c r="AA136"/>
  <c r="AA111"/>
  <c r="AC179" i="72"/>
  <c r="AC231"/>
  <c r="AD225"/>
  <c r="AD278"/>
  <c r="AA271"/>
  <c r="AA134"/>
  <c r="AD132"/>
  <c r="AD106"/>
  <c r="AD216"/>
  <c r="AA136"/>
  <c r="AA111"/>
  <c r="AA188"/>
  <c r="AA237"/>
  <c r="AA272"/>
  <c r="AA161"/>
  <c r="AA220"/>
  <c r="AA158"/>
  <c r="AA130"/>
  <c r="AA183"/>
  <c r="AD183"/>
  <c r="AC183"/>
  <c r="AA277"/>
  <c r="AA175"/>
  <c r="AA380"/>
  <c r="AA388"/>
  <c r="AA295"/>
  <c r="AA209"/>
  <c r="AD179"/>
  <c r="AD231"/>
  <c r="AC225"/>
  <c r="AC278"/>
  <c r="AC132"/>
  <c r="AC106"/>
  <c r="AC216"/>
  <c r="GV420" i="77"/>
  <c r="AD420" i="72" s="1"/>
  <c r="AA420"/>
  <c r="AA395"/>
  <c r="AA386"/>
  <c r="AA190"/>
  <c r="AA240"/>
  <c r="AA110"/>
  <c r="AA173"/>
  <c r="AA227"/>
  <c r="GU227" i="77"/>
  <c r="AC227" i="72" s="1"/>
  <c r="GV227" i="77"/>
  <c r="AD227" i="72" s="1"/>
  <c r="AC129"/>
  <c r="AA129"/>
  <c r="AD129"/>
  <c r="AA290"/>
  <c r="AA203"/>
  <c r="AD177"/>
  <c r="AD229"/>
  <c r="GV248" i="77"/>
  <c r="AA248" i="72"/>
  <c r="GU28" i="77"/>
  <c r="AC28" i="72" s="1"/>
  <c r="AA28"/>
  <c r="GU59" i="77"/>
  <c r="AC59" i="72" s="1"/>
  <c r="AA59"/>
  <c r="AD159"/>
  <c r="AD259"/>
  <c r="AA174"/>
  <c r="AA276"/>
  <c r="AA224"/>
  <c r="AA172"/>
  <c r="AA223"/>
  <c r="AD162"/>
  <c r="AA162"/>
  <c r="AC162"/>
  <c r="AA230"/>
  <c r="AA279"/>
  <c r="AA178"/>
  <c r="AA113"/>
  <c r="AA101"/>
  <c r="AA261"/>
  <c r="AA160"/>
  <c r="AA268"/>
  <c r="AC229"/>
  <c r="AC177"/>
  <c r="AA394"/>
  <c r="AA385"/>
  <c r="GV62" i="77"/>
  <c r="AD62" i="72" s="1"/>
  <c r="AA62"/>
  <c r="AA112"/>
  <c r="AC19"/>
  <c r="AA19"/>
  <c r="AC159"/>
  <c r="AC259"/>
  <c r="AA168"/>
  <c r="AA273"/>
  <c r="AA107"/>
  <c r="X286"/>
  <c r="X193"/>
  <c r="AA177"/>
  <c r="AA229"/>
  <c r="AA231"/>
  <c r="AA179"/>
  <c r="X271"/>
  <c r="X134"/>
  <c r="AA284"/>
  <c r="AA117"/>
  <c r="AA270"/>
  <c r="AA219"/>
  <c r="AA141"/>
  <c r="AA191"/>
  <c r="AA157"/>
  <c r="AA266"/>
  <c r="AA132"/>
  <c r="AA106"/>
  <c r="AA216"/>
  <c r="FR246" i="77"/>
  <c r="AC249" i="71" s="1"/>
  <c r="AA246"/>
  <c r="AA136"/>
  <c r="AA111"/>
  <c r="AC177"/>
  <c r="AC229"/>
  <c r="FS358" i="77"/>
  <c r="AA358" i="71"/>
  <c r="AA376"/>
  <c r="AA101"/>
  <c r="AA261"/>
  <c r="AA213"/>
  <c r="AA383"/>
  <c r="AA364"/>
  <c r="AA134"/>
  <c r="AA271"/>
  <c r="AA167"/>
  <c r="AC167"/>
  <c r="AD167"/>
  <c r="AD215"/>
  <c r="AA158"/>
  <c r="AA130"/>
  <c r="AA381"/>
  <c r="AA389"/>
  <c r="AA179"/>
  <c r="AA231"/>
  <c r="AA289"/>
  <c r="FR289" i="77"/>
  <c r="AC289" i="71" s="1"/>
  <c r="FS289" i="77"/>
  <c r="AD289" i="71" s="1"/>
  <c r="AD252"/>
  <c r="AA252"/>
  <c r="AC252"/>
  <c r="X82"/>
  <c r="X245"/>
  <c r="X145"/>
  <c r="AA148"/>
  <c r="X148"/>
  <c r="FO236" i="77"/>
  <c r="Z236" i="71" s="1"/>
  <c r="X236"/>
  <c r="AA116"/>
  <c r="AA185"/>
  <c r="FS204" i="77"/>
  <c r="AD204" i="71" s="1"/>
  <c r="AA204"/>
  <c r="AC11"/>
  <c r="AA11"/>
  <c r="AD229"/>
  <c r="AD177"/>
  <c r="AA175"/>
  <c r="AA277"/>
  <c r="AA284"/>
  <c r="AA117"/>
  <c r="AD189"/>
  <c r="AA189"/>
  <c r="AA133"/>
  <c r="AA269"/>
  <c r="AA290"/>
  <c r="AA122"/>
  <c r="AD266"/>
  <c r="AD157"/>
  <c r="AA285"/>
  <c r="AA192"/>
  <c r="AA129"/>
  <c r="X129"/>
  <c r="AC215"/>
  <c r="AC251"/>
  <c r="AD247"/>
  <c r="AA233"/>
  <c r="X233"/>
  <c r="X276"/>
  <c r="X224"/>
  <c r="X174"/>
  <c r="AD132"/>
  <c r="AD106"/>
  <c r="AD179"/>
  <c r="AD231"/>
  <c r="AC107"/>
  <c r="AA273"/>
  <c r="AA168"/>
  <c r="AA107"/>
  <c r="FO275" i="77"/>
  <c r="X275" i="71"/>
  <c r="FO282" i="77"/>
  <c r="X282" i="71"/>
  <c r="X272"/>
  <c r="X161"/>
  <c r="X220"/>
  <c r="AA394"/>
  <c r="AA385"/>
  <c r="AA223"/>
  <c r="AA172"/>
  <c r="AC247"/>
  <c r="AA225"/>
  <c r="AA278"/>
  <c r="AC132"/>
  <c r="AC106"/>
  <c r="AC231"/>
  <c r="AC179"/>
  <c r="FR409" i="77"/>
  <c r="AC409" i="71" s="1"/>
  <c r="AA409"/>
  <c r="AA104"/>
  <c r="X104"/>
  <c r="AA132"/>
  <c r="AA106"/>
  <c r="AA177"/>
  <c r="AA229"/>
  <c r="AD144"/>
  <c r="AA144"/>
  <c r="AC144"/>
  <c r="AA159"/>
  <c r="AA259"/>
  <c r="X136" i="70"/>
  <c r="X111"/>
  <c r="EL248" i="77"/>
  <c r="Z248" i="70" s="1"/>
  <c r="X248"/>
  <c r="EL85" i="77"/>
  <c r="Z85" i="70" s="1"/>
  <c r="X85"/>
  <c r="X188"/>
  <c r="X237"/>
  <c r="EL227" i="77"/>
  <c r="Z227" i="70" s="1"/>
  <c r="X227"/>
  <c r="EL360" i="77"/>
  <c r="Z360" i="70" s="1"/>
  <c r="X360"/>
  <c r="EL86" i="77"/>
  <c r="Z86" i="70" s="1"/>
  <c r="X86"/>
  <c r="EL226" i="77"/>
  <c r="Z226" i="70" s="1"/>
  <c r="X226"/>
  <c r="AA271"/>
  <c r="AA134"/>
  <c r="AA158"/>
  <c r="AA130"/>
  <c r="AD229"/>
  <c r="AD177"/>
  <c r="AD416"/>
  <c r="AA416"/>
  <c r="EP439" i="77"/>
  <c r="AD439" i="70" s="1"/>
  <c r="AA439"/>
  <c r="X223"/>
  <c r="X172"/>
  <c r="AC159"/>
  <c r="AC259"/>
  <c r="X132"/>
  <c r="X106"/>
  <c r="X216"/>
  <c r="X279"/>
  <c r="X230"/>
  <c r="X178"/>
  <c r="X113"/>
  <c r="AA278"/>
  <c r="AA225"/>
  <c r="X244"/>
  <c r="AA378"/>
  <c r="X378"/>
  <c r="AA230"/>
  <c r="AA178"/>
  <c r="AA279"/>
  <c r="AA113"/>
  <c r="AA290"/>
  <c r="AA203"/>
  <c r="AC229"/>
  <c r="AC177"/>
  <c r="AA184"/>
  <c r="AA281"/>
  <c r="AA132"/>
  <c r="AA106"/>
  <c r="AA164"/>
  <c r="AA221"/>
  <c r="AA165"/>
  <c r="X165"/>
  <c r="AD159"/>
  <c r="AD259"/>
  <c r="AA381"/>
  <c r="X381"/>
  <c r="AA377"/>
  <c r="X377"/>
  <c r="X281"/>
  <c r="X184"/>
  <c r="Z170"/>
  <c r="X170"/>
  <c r="AA101"/>
  <c r="AA261"/>
  <c r="AA173"/>
  <c r="AA110"/>
  <c r="AA186"/>
  <c r="AA283"/>
  <c r="AD225"/>
  <c r="AD278"/>
  <c r="AA160"/>
  <c r="AA268"/>
  <c r="EL262" i="77"/>
  <c r="X262" i="70"/>
  <c r="Z194"/>
  <c r="X287"/>
  <c r="AA161"/>
  <c r="AA272"/>
  <c r="AA185"/>
  <c r="AA116"/>
  <c r="AA276"/>
  <c r="AA174"/>
  <c r="AA224"/>
  <c r="Z361"/>
  <c r="X361"/>
  <c r="EL370" i="77"/>
  <c r="Z370" i="70" s="1"/>
  <c r="X370"/>
  <c r="X273"/>
  <c r="X168"/>
  <c r="X107"/>
  <c r="AA133"/>
  <c r="AA269"/>
  <c r="AA231"/>
  <c r="AA179"/>
  <c r="AC225"/>
  <c r="AC278"/>
  <c r="EP84" i="77"/>
  <c r="AA84" i="70"/>
  <c r="AD124"/>
  <c r="AA124"/>
  <c r="EO67" i="77"/>
  <c r="AC67" i="70" s="1"/>
  <c r="AA67"/>
  <c r="AA277"/>
  <c r="AA175"/>
  <c r="AA207"/>
  <c r="AA250"/>
  <c r="X115"/>
  <c r="Z115"/>
  <c r="X231"/>
  <c r="X179"/>
  <c r="X186"/>
  <c r="X283"/>
  <c r="AC96"/>
  <c r="X118"/>
  <c r="X193"/>
  <c r="DI369" i="77"/>
  <c r="Z369" i="69" s="1"/>
  <c r="X369"/>
  <c r="AD159"/>
  <c r="AD259"/>
  <c r="AC229"/>
  <c r="AC177"/>
  <c r="DL42" i="77"/>
  <c r="AC42" i="69" s="1"/>
  <c r="AA42"/>
  <c r="AA160"/>
  <c r="AA268"/>
  <c r="X173"/>
  <c r="X110"/>
  <c r="AA286"/>
  <c r="AA193"/>
  <c r="DI382" i="77"/>
  <c r="Z382" i="69" s="1"/>
  <c r="X382"/>
  <c r="DM282" i="77"/>
  <c r="AD282" i="69" s="1"/>
  <c r="Z100"/>
  <c r="AA162"/>
  <c r="X162"/>
  <c r="X161"/>
  <c r="X272"/>
  <c r="Z181"/>
  <c r="X181"/>
  <c r="AC231"/>
  <c r="AC179"/>
  <c r="AD132"/>
  <c r="AD106"/>
  <c r="AA271"/>
  <c r="AA134"/>
  <c r="AA283"/>
  <c r="AA186"/>
  <c r="AA230"/>
  <c r="AA178"/>
  <c r="AA279"/>
  <c r="AA113"/>
  <c r="AA132"/>
  <c r="AA106"/>
  <c r="AA225"/>
  <c r="AA278"/>
  <c r="AA185"/>
  <c r="AA116"/>
  <c r="X271"/>
  <c r="X134"/>
  <c r="AC380"/>
  <c r="AC388"/>
  <c r="AA223"/>
  <c r="AA172"/>
  <c r="AA114"/>
  <c r="X114"/>
  <c r="AA204"/>
  <c r="X204"/>
  <c r="AA170"/>
  <c r="X170"/>
  <c r="AA205"/>
  <c r="X205"/>
  <c r="DI85" i="77"/>
  <c r="Z85" i="69" s="1"/>
  <c r="X85"/>
  <c r="X276"/>
  <c r="X174"/>
  <c r="X224"/>
  <c r="DI84" i="77"/>
  <c r="Z84" i="69" s="1"/>
  <c r="X84"/>
  <c r="DI227" i="77"/>
  <c r="Z227" i="69" s="1"/>
  <c r="X227"/>
  <c r="AA104"/>
  <c r="X104"/>
  <c r="AC225"/>
  <c r="AC278"/>
  <c r="AA394"/>
  <c r="AA385"/>
  <c r="AA158"/>
  <c r="AA130"/>
  <c r="AD231"/>
  <c r="AD179"/>
  <c r="AC132"/>
  <c r="AC106"/>
  <c r="AA156"/>
  <c r="AA105"/>
  <c r="AA274"/>
  <c r="AA222"/>
  <c r="AA171"/>
  <c r="AA108"/>
  <c r="AA237"/>
  <c r="AA188"/>
  <c r="Z160"/>
  <c r="X160"/>
  <c r="X268"/>
  <c r="AA363"/>
  <c r="X363"/>
  <c r="X230"/>
  <c r="X178"/>
  <c r="X279"/>
  <c r="X113"/>
  <c r="AA157"/>
  <c r="AA266"/>
  <c r="Z189"/>
  <c r="X189"/>
  <c r="AA231"/>
  <c r="AA179"/>
  <c r="AA229"/>
  <c r="AA177"/>
  <c r="X171"/>
  <c r="X274"/>
  <c r="X222"/>
  <c r="X108"/>
  <c r="X147"/>
  <c r="AA236"/>
  <c r="X236"/>
  <c r="X358"/>
  <c r="X376"/>
  <c r="DI238" i="77"/>
  <c r="Z238" i="69" s="1"/>
  <c r="X238"/>
  <c r="X277"/>
  <c r="X175"/>
  <c r="X111"/>
  <c r="X136"/>
  <c r="X273"/>
  <c r="X168"/>
  <c r="X107"/>
  <c r="AD278"/>
  <c r="AD225"/>
  <c r="AC159"/>
  <c r="AC259"/>
  <c r="AD229"/>
  <c r="AD177"/>
  <c r="AA284"/>
  <c r="AA117"/>
  <c r="DM93" i="77"/>
  <c r="AD93" i="69" s="1"/>
  <c r="AA93"/>
  <c r="AA173"/>
  <c r="AA110"/>
  <c r="Z133"/>
  <c r="X133"/>
  <c r="X269"/>
  <c r="X248"/>
  <c r="X239"/>
  <c r="DL282" i="77"/>
  <c r="AC282" i="69" s="1"/>
  <c r="AD159" i="68"/>
  <c r="AD259"/>
  <c r="AA170"/>
  <c r="CJ378" i="77"/>
  <c r="AD378" i="68" s="1"/>
  <c r="AA378"/>
  <c r="AA222"/>
  <c r="AA274"/>
  <c r="AA171"/>
  <c r="AA108"/>
  <c r="AA292"/>
  <c r="X292"/>
  <c r="CF264" i="77"/>
  <c r="X264" i="68"/>
  <c r="AA101"/>
  <c r="AA261"/>
  <c r="X278"/>
  <c r="X225"/>
  <c r="X185"/>
  <c r="X116"/>
  <c r="X178"/>
  <c r="X279"/>
  <c r="X230"/>
  <c r="X113"/>
  <c r="CJ354" i="77"/>
  <c r="AD354" i="68" s="1"/>
  <c r="AC104"/>
  <c r="AA138"/>
  <c r="X138"/>
  <c r="CF232" i="77"/>
  <c r="Z232" i="68" s="1"/>
  <c r="X232"/>
  <c r="AC159"/>
  <c r="AC259"/>
  <c r="AA177"/>
  <c r="AA229"/>
  <c r="AA225"/>
  <c r="AA278"/>
  <c r="AA277"/>
  <c r="AA175"/>
  <c r="X132"/>
  <c r="X106"/>
  <c r="AA295"/>
  <c r="AA209"/>
  <c r="AA283"/>
  <c r="AA186"/>
  <c r="X184"/>
  <c r="X281"/>
  <c r="Z184"/>
  <c r="X161"/>
  <c r="X272"/>
  <c r="X220"/>
  <c r="X273"/>
  <c r="X168"/>
  <c r="X107"/>
  <c r="X224"/>
  <c r="X276"/>
  <c r="X174"/>
  <c r="AD179"/>
  <c r="AD231"/>
  <c r="AD111"/>
  <c r="AA136"/>
  <c r="AA111"/>
  <c r="AA188"/>
  <c r="AA237"/>
  <c r="AA178"/>
  <c r="AA279"/>
  <c r="AA230"/>
  <c r="AA113"/>
  <c r="X160"/>
  <c r="X268"/>
  <c r="X157"/>
  <c r="X266"/>
  <c r="AA158"/>
  <c r="AA130"/>
  <c r="X186"/>
  <c r="X283"/>
  <c r="CF79" i="77"/>
  <c r="Z79" i="68" s="1"/>
  <c r="AA185"/>
  <c r="AA116"/>
  <c r="AA133"/>
  <c r="AA269"/>
  <c r="AC231"/>
  <c r="AC179"/>
  <c r="CI69" i="77"/>
  <c r="AC69" i="68" s="1"/>
  <c r="AA69"/>
  <c r="AA159"/>
  <c r="AA259"/>
  <c r="AA179"/>
  <c r="AA231"/>
  <c r="AA271"/>
  <c r="AA134"/>
  <c r="X218"/>
  <c r="Z106"/>
  <c r="BF383" i="77"/>
  <c r="BG383"/>
  <c r="X237" i="65"/>
  <c r="X188"/>
  <c r="AA383"/>
  <c r="AA364"/>
  <c r="AC225"/>
  <c r="AC278"/>
  <c r="AA158"/>
  <c r="AA130"/>
  <c r="AA215"/>
  <c r="AD132"/>
  <c r="AD106"/>
  <c r="AA273"/>
  <c r="AA168"/>
  <c r="AA107"/>
  <c r="X173"/>
  <c r="X110"/>
  <c r="X147"/>
  <c r="X175"/>
  <c r="X277"/>
  <c r="AA173"/>
  <c r="AA110"/>
  <c r="AA159"/>
  <c r="AA259"/>
  <c r="AC19"/>
  <c r="AA19"/>
  <c r="BF238" i="77"/>
  <c r="AA238" i="65"/>
  <c r="AC126"/>
  <c r="AA126"/>
  <c r="AC132"/>
  <c r="AC106"/>
  <c r="AA115"/>
  <c r="X115"/>
  <c r="Z189"/>
  <c r="X189"/>
  <c r="BC289" i="77"/>
  <c r="X289" i="65"/>
  <c r="AA187"/>
  <c r="X187"/>
  <c r="AA225"/>
  <c r="AA278"/>
  <c r="X136"/>
  <c r="X111"/>
  <c r="AA234"/>
  <c r="X234"/>
  <c r="BC360" i="77"/>
  <c r="Z360" i="65" s="1"/>
  <c r="X360"/>
  <c r="BC226" i="77"/>
  <c r="Z226" i="65" s="1"/>
  <c r="X226"/>
  <c r="BC228" i="77"/>
  <c r="Z228" i="65" s="1"/>
  <c r="X228"/>
  <c r="AD229"/>
  <c r="AD177"/>
  <c r="AA179"/>
  <c r="AA231"/>
  <c r="X164"/>
  <c r="X221"/>
  <c r="AA103"/>
  <c r="X103"/>
  <c r="AA285"/>
  <c r="AA192"/>
  <c r="AA381"/>
  <c r="X381"/>
  <c r="X185"/>
  <c r="X116"/>
  <c r="X284"/>
  <c r="X117"/>
  <c r="AA224"/>
  <c r="AA174"/>
  <c r="AA276"/>
  <c r="X286"/>
  <c r="X193"/>
  <c r="AA83"/>
  <c r="X83"/>
  <c r="BC86" i="77"/>
  <c r="Z86" i="65" s="1"/>
  <c r="X86"/>
  <c r="AC177"/>
  <c r="AC229"/>
  <c r="AA101"/>
  <c r="AA261"/>
  <c r="AD225"/>
  <c r="AD278"/>
  <c r="AA284"/>
  <c r="AA117"/>
  <c r="AA185"/>
  <c r="AA116"/>
  <c r="X159"/>
  <c r="X259"/>
  <c r="AA223"/>
  <c r="AA172"/>
  <c r="AA133"/>
  <c r="AA269"/>
  <c r="AA272"/>
  <c r="AA161"/>
  <c r="AA281"/>
  <c r="AA184"/>
  <c r="X158"/>
  <c r="X130"/>
  <c r="X215"/>
  <c r="AD201" i="72"/>
  <c r="AD181"/>
  <c r="AD86" i="69"/>
  <c r="AD228" i="68"/>
  <c r="AD91" i="71"/>
  <c r="AD88"/>
  <c r="AD384" i="69"/>
  <c r="AD378"/>
  <c r="AC235" i="65"/>
  <c r="AD218" i="72"/>
  <c r="AD226"/>
  <c r="AD142" i="73"/>
  <c r="AD131"/>
  <c r="AC138" i="65"/>
  <c r="AC188" i="68"/>
  <c r="AC237"/>
  <c r="AC221" i="72"/>
  <c r="AC232"/>
  <c r="AC218" i="71"/>
  <c r="AC226"/>
  <c r="AC381" i="72"/>
  <c r="AC389"/>
  <c r="AC101"/>
  <c r="AC261"/>
  <c r="AD281" i="71"/>
  <c r="AD184"/>
  <c r="AD240" i="72"/>
  <c r="AD234"/>
  <c r="AC233"/>
  <c r="AC201"/>
  <c r="AC181"/>
  <c r="AC86" i="69"/>
  <c r="AC239" i="70"/>
  <c r="AC233"/>
  <c r="AC228" i="68"/>
  <c r="AD89" i="73"/>
  <c r="AD85"/>
  <c r="AD238" i="74"/>
  <c r="AC232" i="70"/>
  <c r="AD180" i="68"/>
  <c r="AC81" i="74"/>
  <c r="AC83"/>
  <c r="AD82"/>
  <c r="AD84"/>
  <c r="AD221" i="71"/>
  <c r="AD232"/>
  <c r="AD86" i="72"/>
  <c r="AC218"/>
  <c r="AC226"/>
  <c r="AC142" i="73"/>
  <c r="AC131"/>
  <c r="AD84" i="71"/>
  <c r="AD220" i="73"/>
  <c r="AD228"/>
  <c r="AD276" i="65"/>
  <c r="AD174"/>
  <c r="AD224"/>
  <c r="AD183" i="70"/>
  <c r="AD238" i="72"/>
  <c r="AD81" i="73"/>
  <c r="AD83"/>
  <c r="AD272" i="65"/>
  <c r="AD161"/>
  <c r="AD272" i="70"/>
  <c r="AD161"/>
  <c r="AD218" i="73"/>
  <c r="AD226"/>
  <c r="AD138" i="70"/>
  <c r="AC84" i="72"/>
  <c r="AC228" i="71"/>
  <c r="AD237" i="69"/>
  <c r="AD188"/>
  <c r="AC85" i="68"/>
  <c r="AC145" i="72"/>
  <c r="AC138"/>
  <c r="AC90" i="71"/>
  <c r="AC86"/>
  <c r="AD188" i="68"/>
  <c r="AD237"/>
  <c r="AC220" i="72"/>
  <c r="AC228"/>
  <c r="AC144" i="70"/>
  <c r="AC137"/>
  <c r="AC251" i="72"/>
  <c r="AC248"/>
  <c r="AC192" i="71"/>
  <c r="AC162"/>
  <c r="AD228" i="74"/>
  <c r="AC241" i="70"/>
  <c r="AC235"/>
  <c r="AD276" i="73"/>
  <c r="AD224"/>
  <c r="AD174"/>
  <c r="AD273" i="72"/>
  <c r="AD168"/>
  <c r="AD107"/>
  <c r="AD114" i="71"/>
  <c r="AC114"/>
  <c r="AC272" i="73"/>
  <c r="AC161"/>
  <c r="AD384" i="74"/>
  <c r="AD378"/>
  <c r="AC196" i="72"/>
  <c r="AC170"/>
  <c r="AB97" i="74"/>
  <c r="AB104"/>
  <c r="AC232" i="65"/>
  <c r="AC144" i="72"/>
  <c r="AC137"/>
  <c r="AB377" i="74"/>
  <c r="AB381"/>
  <c r="AB155"/>
  <c r="AB103"/>
  <c r="AB189"/>
  <c r="AB291"/>
  <c r="AC141" i="72"/>
  <c r="AC191"/>
  <c r="AC270" i="65"/>
  <c r="AC219"/>
  <c r="AC185" i="69"/>
  <c r="AC116"/>
  <c r="AC281" i="71"/>
  <c r="AC184"/>
  <c r="AD101" i="68"/>
  <c r="AD261"/>
  <c r="AD185" i="72"/>
  <c r="AD116"/>
  <c r="AD283" i="71"/>
  <c r="AD186"/>
  <c r="AD285" i="72"/>
  <c r="AD192"/>
  <c r="AD395"/>
  <c r="AD386"/>
  <c r="AD160"/>
  <c r="AD268"/>
  <c r="AD185" i="70"/>
  <c r="AD116"/>
  <c r="AC156" i="68"/>
  <c r="AC105"/>
  <c r="AD274" i="70"/>
  <c r="AD222"/>
  <c r="AD171"/>
  <c r="AD108"/>
  <c r="AD274" i="73"/>
  <c r="AD222"/>
  <c r="AD171"/>
  <c r="AD108"/>
  <c r="AD223" i="71"/>
  <c r="AD172"/>
  <c r="AD283" i="72"/>
  <c r="AD186"/>
  <c r="AC172" i="65"/>
  <c r="AC223"/>
  <c r="AC281" i="74"/>
  <c r="AC184"/>
  <c r="AC270" i="72"/>
  <c r="AC219"/>
  <c r="AC230" i="74"/>
  <c r="AC279"/>
  <c r="AC178"/>
  <c r="AC113"/>
  <c r="AC133" i="71"/>
  <c r="AC269"/>
  <c r="AC271" i="68"/>
  <c r="AC134"/>
  <c r="AC283"/>
  <c r="AC186"/>
  <c r="AC284" i="70"/>
  <c r="AC117"/>
  <c r="AC281" i="69"/>
  <c r="AC184"/>
  <c r="AC160" i="73"/>
  <c r="AC268"/>
  <c r="AD223" i="72"/>
  <c r="AD172"/>
  <c r="AC279" i="71"/>
  <c r="AC230"/>
  <c r="AC178"/>
  <c r="AC113"/>
  <c r="AC120" i="72"/>
  <c r="AC112"/>
  <c r="AC238" i="65"/>
  <c r="AD137" i="73"/>
  <c r="AC82"/>
  <c r="AC84"/>
  <c r="AD251" i="72"/>
  <c r="AD248"/>
  <c r="AC89" i="74"/>
  <c r="AC85"/>
  <c r="AC195"/>
  <c r="AD170" i="68"/>
  <c r="AD369" i="73"/>
  <c r="AD101" i="69"/>
  <c r="AD261"/>
  <c r="AD281" i="73"/>
  <c r="AD184"/>
  <c r="AB277"/>
  <c r="AB175"/>
  <c r="AD381" i="71"/>
  <c r="AD389"/>
  <c r="AB358" i="73"/>
  <c r="AB376"/>
  <c r="AB173"/>
  <c r="AB110"/>
  <c r="AB276" i="74"/>
  <c r="AB224"/>
  <c r="AB174"/>
  <c r="AB273" i="73"/>
  <c r="AB168"/>
  <c r="AB107"/>
  <c r="AC209" i="72"/>
  <c r="AD203"/>
  <c r="AC209" i="68"/>
  <c r="AD192" i="65"/>
  <c r="AD83" i="72"/>
  <c r="AC86"/>
  <c r="AC137" i="73"/>
  <c r="AD84" i="72"/>
  <c r="AD85" i="68"/>
  <c r="AD220" i="72"/>
  <c r="AD228"/>
  <c r="AC136"/>
  <c r="AC111"/>
  <c r="AD141"/>
  <c r="AD191"/>
  <c r="AB380" i="74"/>
  <c r="AD362" i="72"/>
  <c r="AD359"/>
  <c r="AC240"/>
  <c r="AC234"/>
  <c r="AD219" i="71"/>
  <c r="AD227"/>
  <c r="AD273" i="65"/>
  <c r="AD168"/>
  <c r="AD107"/>
  <c r="AC170" i="68"/>
  <c r="AC238" i="74"/>
  <c r="AD232" i="70"/>
  <c r="AC180" i="68"/>
  <c r="AD169" i="65"/>
  <c r="AD142" i="70"/>
  <c r="AD131"/>
  <c r="AC221" i="71"/>
  <c r="AC232"/>
  <c r="AD277" i="70"/>
  <c r="AD175"/>
  <c r="AC84" i="71"/>
  <c r="AC89"/>
  <c r="AC85"/>
  <c r="AC202" i="72"/>
  <c r="AC182"/>
  <c r="AD195"/>
  <c r="AD169"/>
  <c r="AC220" i="73"/>
  <c r="AC228"/>
  <c r="AC276" i="65"/>
  <c r="AC224"/>
  <c r="AC174"/>
  <c r="AD233"/>
  <c r="AC183" i="70"/>
  <c r="AD237" i="74"/>
  <c r="AD188"/>
  <c r="AC272" i="70"/>
  <c r="AC161"/>
  <c r="AC218" i="73"/>
  <c r="AC226"/>
  <c r="AD371" i="72"/>
  <c r="AD369"/>
  <c r="AD145"/>
  <c r="AD138"/>
  <c r="AD201" i="71"/>
  <c r="AD181"/>
  <c r="AD241"/>
  <c r="AD235"/>
  <c r="AC182"/>
  <c r="AC384" i="72"/>
  <c r="AC378"/>
  <c r="AC276" i="70"/>
  <c r="AC224"/>
  <c r="AC174"/>
  <c r="AD192" i="71"/>
  <c r="AD162"/>
  <c r="AC228" i="74"/>
  <c r="AC203" i="69"/>
  <c r="AC183"/>
  <c r="AD273" i="71"/>
  <c r="AD168"/>
  <c r="AD107"/>
  <c r="AC384" i="74"/>
  <c r="AC378"/>
  <c r="AD196" i="72"/>
  <c r="AD170"/>
  <c r="AD218" i="71"/>
  <c r="AD226"/>
  <c r="AD157" i="72"/>
  <c r="AD266"/>
  <c r="AC157" i="69"/>
  <c r="AC266"/>
  <c r="AD283" i="74"/>
  <c r="AD186"/>
  <c r="AD202"/>
  <c r="AD182"/>
  <c r="AD133" i="73"/>
  <c r="AD269"/>
  <c r="AD274" i="74"/>
  <c r="AD222"/>
  <c r="AD171"/>
  <c r="AD108"/>
  <c r="AC284" i="68"/>
  <c r="AC117"/>
  <c r="AD295" i="73"/>
  <c r="AD209"/>
  <c r="AD274" i="71"/>
  <c r="AD222"/>
  <c r="AD171"/>
  <c r="AD108"/>
  <c r="AD223" i="73"/>
  <c r="AD172"/>
  <c r="AC283" i="71"/>
  <c r="AC186"/>
  <c r="AC285" i="72"/>
  <c r="AC192"/>
  <c r="AC395"/>
  <c r="AC386"/>
  <c r="AC160"/>
  <c r="AC268"/>
  <c r="AC185" i="70"/>
  <c r="AC116"/>
  <c r="AD156" i="68"/>
  <c r="AD105"/>
  <c r="AC274" i="70"/>
  <c r="AC222"/>
  <c r="AC171"/>
  <c r="AC108"/>
  <c r="AC274" i="73"/>
  <c r="AC222"/>
  <c r="AC171"/>
  <c r="AC108"/>
  <c r="AC223" i="71"/>
  <c r="AC172"/>
  <c r="AC283" i="72"/>
  <c r="AC186"/>
  <c r="AD394" i="71"/>
  <c r="AD385"/>
  <c r="AD133" i="74"/>
  <c r="AD269"/>
  <c r="AD160" i="71"/>
  <c r="AD268"/>
  <c r="AD281" i="65"/>
  <c r="AD184"/>
  <c r="AD279" i="72"/>
  <c r="AD230"/>
  <c r="AD178"/>
  <c r="AD113"/>
  <c r="AD283" i="65"/>
  <c r="AD186"/>
  <c r="AC133"/>
  <c r="AC269"/>
  <c r="AD271" i="74"/>
  <c r="AD134"/>
  <c r="AD271" i="65"/>
  <c r="AD134"/>
  <c r="AD172" i="68"/>
  <c r="AD223"/>
  <c r="AC281" i="73"/>
  <c r="AC184"/>
  <c r="AD136" i="68"/>
  <c r="AD360" i="69"/>
  <c r="AB149" i="73"/>
  <c r="AB252"/>
  <c r="AB158"/>
  <c r="AB130"/>
  <c r="AB215"/>
  <c r="AC92" i="65"/>
  <c r="AC253" i="70"/>
  <c r="AD239" i="72"/>
  <c r="AD233"/>
  <c r="AC137" i="74"/>
  <c r="AC192"/>
  <c r="AC162"/>
  <c r="AD228" i="71"/>
  <c r="AD144" i="70"/>
  <c r="AD137"/>
  <c r="AD272" i="73"/>
  <c r="AD161"/>
  <c r="AC236" i="74"/>
  <c r="AD219"/>
  <c r="AD227"/>
  <c r="AD232" i="65"/>
  <c r="AB214" i="74"/>
  <c r="AC149" i="72"/>
  <c r="AC148"/>
  <c r="AD144"/>
  <c r="AD137"/>
  <c r="AC173"/>
  <c r="AC110"/>
  <c r="AC284"/>
  <c r="AC117"/>
  <c r="AC158"/>
  <c r="AC130"/>
  <c r="AD270" i="65"/>
  <c r="AD219"/>
  <c r="AD185" i="69"/>
  <c r="AD116"/>
  <c r="AD198" i="72"/>
  <c r="AD277"/>
  <c r="AD175"/>
  <c r="AC273"/>
  <c r="AC168"/>
  <c r="AC107"/>
  <c r="AD239" i="70"/>
  <c r="AD233"/>
  <c r="AC362" i="72"/>
  <c r="AC359"/>
  <c r="AD200"/>
  <c r="AD180"/>
  <c r="AC198"/>
  <c r="AC277"/>
  <c r="AC175"/>
  <c r="AC192" i="70"/>
  <c r="AC162"/>
  <c r="AC219" i="71"/>
  <c r="AC227"/>
  <c r="AC83" i="72"/>
  <c r="AD137" i="74"/>
  <c r="AC236" i="68"/>
  <c r="AC273" i="65"/>
  <c r="AC168"/>
  <c r="AC107"/>
  <c r="AD235"/>
  <c r="AC142" i="70"/>
  <c r="AC131"/>
  <c r="AC369" i="73"/>
  <c r="AD138" i="65"/>
  <c r="AD192" i="74"/>
  <c r="AD162"/>
  <c r="AD202" i="72"/>
  <c r="AD182"/>
  <c r="AC195"/>
  <c r="AC169"/>
  <c r="AC233" i="65"/>
  <c r="AC238" i="70"/>
  <c r="AC237" i="74"/>
  <c r="AC188"/>
  <c r="AD241" i="72"/>
  <c r="AD235"/>
  <c r="AC371"/>
  <c r="AC369"/>
  <c r="AC82" i="70"/>
  <c r="AC84"/>
  <c r="AC131" i="65"/>
  <c r="AC241" i="71"/>
  <c r="AC235"/>
  <c r="AD182"/>
  <c r="AD384" i="72"/>
  <c r="AD378"/>
  <c r="AD276" i="70"/>
  <c r="AD224"/>
  <c r="AD174"/>
  <c r="AD203" i="69"/>
  <c r="AD183"/>
  <c r="AD221" i="72"/>
  <c r="AD232"/>
  <c r="AC237"/>
  <c r="AC188"/>
  <c r="AD236" i="74"/>
  <c r="AC157" i="72"/>
  <c r="AC266"/>
  <c r="AC219" i="74"/>
  <c r="AC227"/>
  <c r="AD149" i="72"/>
  <c r="AD148"/>
  <c r="AD381"/>
  <c r="AD389"/>
  <c r="AD157" i="69"/>
  <c r="AD266"/>
  <c r="AD101" i="72"/>
  <c r="AD261"/>
  <c r="AD173"/>
  <c r="AD110"/>
  <c r="AD284"/>
  <c r="AD117"/>
  <c r="AD158"/>
  <c r="AD130"/>
  <c r="AC283" i="74"/>
  <c r="AC186"/>
  <c r="AC202"/>
  <c r="AC182"/>
  <c r="AC133" i="73"/>
  <c r="AC269"/>
  <c r="AC274" i="74"/>
  <c r="AC222"/>
  <c r="AC171"/>
  <c r="AC108"/>
  <c r="AD284" i="68"/>
  <c r="AD117"/>
  <c r="AC295" i="73"/>
  <c r="AC209"/>
  <c r="AC274" i="71"/>
  <c r="AC222"/>
  <c r="AC171"/>
  <c r="AC108"/>
  <c r="AC223" i="73"/>
  <c r="AC172"/>
  <c r="AD173" i="68"/>
  <c r="AD110"/>
  <c r="AD223" i="74"/>
  <c r="AD172"/>
  <c r="AC223" i="69"/>
  <c r="AC172"/>
  <c r="AD185" i="73"/>
  <c r="AD116"/>
  <c r="AD395" i="71"/>
  <c r="AD386"/>
  <c r="AD274" i="72"/>
  <c r="AD222"/>
  <c r="AD171"/>
  <c r="AD108"/>
  <c r="AD279" i="73"/>
  <c r="AD230"/>
  <c r="AD178"/>
  <c r="AD113"/>
  <c r="AD158" i="68"/>
  <c r="AD130"/>
  <c r="AD201" i="74"/>
  <c r="AD181"/>
  <c r="AD281" i="72"/>
  <c r="AD184"/>
  <c r="AD274" i="65"/>
  <c r="AD222"/>
  <c r="AD171"/>
  <c r="AD108"/>
  <c r="AD271" i="73"/>
  <c r="AD134"/>
  <c r="AC160" i="65"/>
  <c r="AC268"/>
  <c r="AD271" i="71"/>
  <c r="AD134"/>
  <c r="AC133" i="74"/>
  <c r="AC269"/>
  <c r="AC160" i="71"/>
  <c r="AC268"/>
  <c r="AC281" i="65"/>
  <c r="AC184"/>
  <c r="AC279" i="72"/>
  <c r="AC230"/>
  <c r="AC178"/>
  <c r="AC113"/>
  <c r="AC283" i="65"/>
  <c r="AC186"/>
  <c r="AD133"/>
  <c r="AD269"/>
  <c r="AC271" i="74"/>
  <c r="AC134"/>
  <c r="AC271" i="65"/>
  <c r="AC134"/>
  <c r="AD219" i="73"/>
  <c r="AD227"/>
  <c r="AD82" i="70"/>
  <c r="AD84"/>
  <c r="AC223" i="68"/>
  <c r="AC172"/>
  <c r="AD133" i="72"/>
  <c r="AD269"/>
  <c r="AD160" i="74"/>
  <c r="AD268"/>
  <c r="AC279" i="65"/>
  <c r="AC230"/>
  <c r="AC178"/>
  <c r="AC113"/>
  <c r="AB290" i="73"/>
  <c r="AB203"/>
  <c r="AB284"/>
  <c r="AB117"/>
  <c r="AB157"/>
  <c r="AB266"/>
  <c r="AC251" i="65"/>
  <c r="AC193" i="69"/>
  <c r="AC123" i="72"/>
  <c r="AD251" i="71"/>
  <c r="AD92" i="65"/>
  <c r="AC215" i="72"/>
  <c r="AD253" i="70"/>
  <c r="AC203" i="72"/>
  <c r="AC253" i="74"/>
  <c r="AC192" i="65"/>
  <c r="AC200" i="72"/>
  <c r="AC180"/>
  <c r="AD120" i="65"/>
  <c r="AD112"/>
  <c r="AC272"/>
  <c r="AC161"/>
  <c r="AC241" i="72"/>
  <c r="AC235"/>
  <c r="AC237" i="69"/>
  <c r="AC188"/>
  <c r="AD86" i="71"/>
  <c r="AD241" i="70"/>
  <c r="AD235"/>
  <c r="AC101" i="68"/>
  <c r="AC261"/>
  <c r="AC185" i="72"/>
  <c r="AC116"/>
  <c r="AC173" i="68"/>
  <c r="AC110"/>
  <c r="AC223" i="74"/>
  <c r="AC172"/>
  <c r="AD223" i="69"/>
  <c r="AD172"/>
  <c r="AC185" i="73"/>
  <c r="AC116"/>
  <c r="AC395" i="71"/>
  <c r="AC386"/>
  <c r="AC274" i="72"/>
  <c r="AC222"/>
  <c r="AC171"/>
  <c r="AC108"/>
  <c r="AC279" i="73"/>
  <c r="AC230"/>
  <c r="AC178"/>
  <c r="AC113"/>
  <c r="AC158" i="68"/>
  <c r="AC130"/>
  <c r="AC201" i="74"/>
  <c r="AC181"/>
  <c r="AC281" i="72"/>
  <c r="AC184"/>
  <c r="AC274" i="65"/>
  <c r="AC222"/>
  <c r="AC171"/>
  <c r="AC108"/>
  <c r="AC271" i="73"/>
  <c r="AC134"/>
  <c r="AD160" i="65"/>
  <c r="AD268"/>
  <c r="AC271" i="71"/>
  <c r="AC134"/>
  <c r="AD223" i="65"/>
  <c r="AD172"/>
  <c r="AD281" i="74"/>
  <c r="AD184"/>
  <c r="AD270" i="72"/>
  <c r="AD219"/>
  <c r="AD230" i="74"/>
  <c r="AD279"/>
  <c r="AD178"/>
  <c r="AD113"/>
  <c r="AD133" i="71"/>
  <c r="AD269"/>
  <c r="AD271" i="68"/>
  <c r="AD134"/>
  <c r="AD283"/>
  <c r="AD186"/>
  <c r="AD284" i="70"/>
  <c r="AD117"/>
  <c r="AD281" i="69"/>
  <c r="AD184"/>
  <c r="AD160" i="73"/>
  <c r="AD268"/>
  <c r="AC223" i="72"/>
  <c r="AC172"/>
  <c r="AD279" i="71"/>
  <c r="AD230"/>
  <c r="AD178"/>
  <c r="AD113"/>
  <c r="AC219" i="73"/>
  <c r="AC227"/>
  <c r="AC101" i="69"/>
  <c r="AC261"/>
  <c r="AC133" i="72"/>
  <c r="AC269"/>
  <c r="AC160" i="74"/>
  <c r="AC268"/>
  <c r="AD279" i="65"/>
  <c r="AD230"/>
  <c r="AD178"/>
  <c r="AD113"/>
  <c r="AC276" i="73"/>
  <c r="AC224"/>
  <c r="AC174"/>
  <c r="AD90"/>
  <c r="AD86"/>
  <c r="AD380" i="69"/>
  <c r="AD388"/>
  <c r="AB383" i="73"/>
  <c r="AB364"/>
  <c r="AB272" i="74"/>
  <c r="AB161"/>
  <c r="AB220"/>
  <c r="AB286" i="73"/>
  <c r="AB193"/>
  <c r="AB111"/>
  <c r="AB136"/>
  <c r="AB144"/>
  <c r="AB206"/>
  <c r="AB101"/>
  <c r="AB261"/>
  <c r="AB213"/>
  <c r="AD209" i="68"/>
  <c r="CF292" i="77"/>
  <c r="CJ287"/>
  <c r="EL376"/>
  <c r="Z376" i="70" s="1"/>
  <c r="AA264" i="68"/>
  <c r="AA289" i="65"/>
  <c r="AC189" i="71"/>
  <c r="Z187" i="65"/>
  <c r="Z158"/>
  <c r="Z193" i="70"/>
  <c r="Z118" i="72"/>
  <c r="AA275" i="71"/>
  <c r="EO384" i="77"/>
  <c r="AC187" i="65"/>
  <c r="AD187"/>
  <c r="Z361" i="74"/>
  <c r="AB361"/>
  <c r="HY96" i="77"/>
  <c r="HY29"/>
  <c r="AD29" i="73" s="1"/>
  <c r="HX283" i="77"/>
  <c r="HY28"/>
  <c r="AD28" i="73" s="1"/>
  <c r="Z188" i="70"/>
  <c r="AA189" i="65"/>
  <c r="BG206" i="77"/>
  <c r="CF220"/>
  <c r="Z220" i="68" s="1"/>
  <c r="Z193" i="65"/>
  <c r="AA262" i="70"/>
  <c r="AB360" i="74"/>
  <c r="AB234"/>
  <c r="AB359"/>
  <c r="AB114"/>
  <c r="AB233"/>
  <c r="AB180"/>
  <c r="AB112"/>
  <c r="HU389" i="77"/>
  <c r="Z389" i="73" s="1"/>
  <c r="HY84" i="77"/>
  <c r="AD16" i="69"/>
  <c r="AC416" i="70"/>
  <c r="FS409" i="77"/>
  <c r="AD409" i="71" s="1"/>
  <c r="EO439" i="77"/>
  <c r="AC439" i="70" s="1"/>
  <c r="HY408" i="77"/>
  <c r="AD408" i="73" s="1"/>
  <c r="JB85" i="77"/>
  <c r="CI36"/>
  <c r="AC36" i="68" s="1"/>
  <c r="HY82" i="77"/>
  <c r="AD80" i="73" s="1"/>
  <c r="EP67" i="77"/>
  <c r="AD67" i="70" s="1"/>
  <c r="AD21" i="74"/>
  <c r="JA462" i="77"/>
  <c r="AC462" i="74" s="1"/>
  <c r="DM24" i="77"/>
  <c r="AD24" i="69" s="1"/>
  <c r="AD126" i="65"/>
  <c r="CJ69" i="77"/>
  <c r="AD69" i="68" s="1"/>
  <c r="GV28" i="77"/>
  <c r="AD28" i="72" s="1"/>
  <c r="AD125" i="68"/>
  <c r="DL93" i="77"/>
  <c r="JB253"/>
  <c r="GV59"/>
  <c r="AD59" i="72" s="1"/>
  <c r="BF224" i="77"/>
  <c r="BC437"/>
  <c r="Z437" i="65" s="1"/>
  <c r="CF432" i="77"/>
  <c r="Z432" i="68" s="1"/>
  <c r="HU377" i="77"/>
  <c r="Z377" i="73" s="1"/>
  <c r="AA287" i="70"/>
  <c r="CI425" i="77"/>
  <c r="FS206"/>
  <c r="FR206"/>
  <c r="FS290"/>
  <c r="FR290"/>
  <c r="Z107" i="70"/>
  <c r="IX72" i="77"/>
  <c r="Z72" i="74" s="1"/>
  <c r="FR364" i="77"/>
  <c r="FS364"/>
  <c r="Z412" i="69"/>
  <c r="Z104"/>
  <c r="EP97" i="77"/>
  <c r="AD97" i="70" s="1"/>
  <c r="EO97" i="77"/>
  <c r="AC97" i="70" s="1"/>
  <c r="X67" i="71"/>
  <c r="X372" i="69"/>
  <c r="AA370"/>
  <c r="X357" i="65"/>
  <c r="X426"/>
  <c r="X253" i="69"/>
  <c r="X53" i="68"/>
  <c r="X47"/>
  <c r="X96"/>
  <c r="BC425" i="77"/>
  <c r="Z425" i="65" s="1"/>
  <c r="Z412"/>
  <c r="AA419"/>
  <c r="X254" i="71"/>
  <c r="AA253"/>
  <c r="X442" i="65"/>
  <c r="AA442"/>
  <c r="X416"/>
  <c r="X50" i="71"/>
  <c r="X411" i="68"/>
  <c r="X198" i="65"/>
  <c r="X19" i="68"/>
  <c r="X200" i="70"/>
  <c r="AA180"/>
  <c r="X407" i="65"/>
  <c r="X62"/>
  <c r="AA62"/>
  <c r="X121" i="68"/>
  <c r="AA114"/>
  <c r="X207" i="69"/>
  <c r="AA199"/>
  <c r="X18" i="65"/>
  <c r="X33" i="72"/>
  <c r="BC88" i="77"/>
  <c r="Z88" i="65" s="1"/>
  <c r="AA88"/>
  <c r="X455" i="69"/>
  <c r="AA455"/>
  <c r="X39"/>
  <c r="DM39" i="77"/>
  <c r="AD39" i="69" s="1"/>
  <c r="X202" i="68"/>
  <c r="AA182"/>
  <c r="X80" i="69"/>
  <c r="DL82" i="77"/>
  <c r="X368" i="69"/>
  <c r="X246"/>
  <c r="DM242" i="77"/>
  <c r="X42" i="73"/>
  <c r="X435" i="68"/>
  <c r="AA125" i="73"/>
  <c r="X44" i="68"/>
  <c r="AA120" i="73"/>
  <c r="AA112"/>
  <c r="X58" i="74"/>
  <c r="X14" i="73"/>
  <c r="AA239" i="74"/>
  <c r="AA233"/>
  <c r="X374" i="70"/>
  <c r="X352" i="68"/>
  <c r="X249" i="69"/>
  <c r="X11" i="72"/>
  <c r="AA11"/>
  <c r="X448" i="69"/>
  <c r="X61" i="65"/>
  <c r="X82"/>
  <c r="AA84"/>
  <c r="IX69" i="77"/>
  <c r="Z69" i="74" s="1"/>
  <c r="X150" i="73"/>
  <c r="X408" i="69"/>
  <c r="DM408" i="77"/>
  <c r="AD408" i="69" s="1"/>
  <c r="X13" i="74"/>
  <c r="X431" i="72"/>
  <c r="X449" i="69"/>
  <c r="X247" i="65"/>
  <c r="AA244"/>
  <c r="X367" i="68"/>
  <c r="AA367"/>
  <c r="X11" i="69"/>
  <c r="X16" i="70"/>
  <c r="X192" i="73"/>
  <c r="AA162"/>
  <c r="X221"/>
  <c r="AA232"/>
  <c r="X147" i="68"/>
  <c r="X207" i="73"/>
  <c r="AA199"/>
  <c r="BC57" i="77"/>
  <c r="Z57" i="65" s="1"/>
  <c r="X240" i="70"/>
  <c r="AA234"/>
  <c r="X94" i="74"/>
  <c r="AA92"/>
  <c r="X47" i="69"/>
  <c r="AA47"/>
  <c r="X421"/>
  <c r="X26" i="68"/>
  <c r="CJ26" i="77"/>
  <c r="AD26" i="68" s="1"/>
  <c r="X220" i="69"/>
  <c r="AA228"/>
  <c r="X355" i="68"/>
  <c r="CJ355" i="77"/>
  <c r="AD355" i="68" s="1"/>
  <c r="X423"/>
  <c r="X404" i="69"/>
  <c r="DM404" i="77"/>
  <c r="AD404" i="69" s="1"/>
  <c r="X51" i="68"/>
  <c r="AA51"/>
  <c r="EL448" i="77"/>
  <c r="Z448" i="70" s="1"/>
  <c r="X81"/>
  <c r="AA83"/>
  <c r="X430" i="69"/>
  <c r="AA430"/>
  <c r="X97" i="68"/>
  <c r="X96" i="69"/>
  <c r="AA95"/>
  <c r="X97" i="71"/>
  <c r="AA96"/>
  <c r="Z183" i="73"/>
  <c r="AA183"/>
  <c r="X46" i="69"/>
  <c r="X208" i="68"/>
  <c r="AA200"/>
  <c r="X20"/>
  <c r="X420"/>
  <c r="X69" i="71"/>
  <c r="X94" i="68"/>
  <c r="X415"/>
  <c r="X443" i="69"/>
  <c r="DM443" i="77"/>
  <c r="AD443" i="69" s="1"/>
  <c r="X61" i="68"/>
  <c r="X57"/>
  <c r="CJ57" i="77"/>
  <c r="AD57" i="68" s="1"/>
  <c r="X198" i="69"/>
  <c r="X415"/>
  <c r="AA415"/>
  <c r="X52"/>
  <c r="AA52"/>
  <c r="X40" i="73"/>
  <c r="X97" i="69"/>
  <c r="X371"/>
  <c r="AA369"/>
  <c r="X401" i="70"/>
  <c r="X363" i="65"/>
  <c r="AA360"/>
  <c r="EL380" i="77"/>
  <c r="Z380" i="70" s="1"/>
  <c r="AA380"/>
  <c r="X67" i="73"/>
  <c r="X421" i="68"/>
  <c r="AA421"/>
  <c r="X372" i="70"/>
  <c r="AA370"/>
  <c r="X245" i="68"/>
  <c r="AA239"/>
  <c r="X28" i="70"/>
  <c r="AA28"/>
  <c r="X144" i="68"/>
  <c r="AA137"/>
  <c r="X449"/>
  <c r="X201" i="69"/>
  <c r="AA181"/>
  <c r="X250" i="68"/>
  <c r="Z413" i="65"/>
  <c r="X247" i="70"/>
  <c r="AA244"/>
  <c r="X248" i="74"/>
  <c r="AA245"/>
  <c r="X93" i="65"/>
  <c r="AA353" i="73"/>
  <c r="X17" i="74"/>
  <c r="X441" i="70"/>
  <c r="AA441"/>
  <c r="CJ372" i="77"/>
  <c r="AD372" i="68" s="1"/>
  <c r="CI372" i="77"/>
  <c r="AC372" i="68" s="1"/>
  <c r="AD187" i="71"/>
  <c r="AC187"/>
  <c r="GV394" i="77"/>
  <c r="GU394"/>
  <c r="CJ263"/>
  <c r="AD263" i="68" s="1"/>
  <c r="CI263" i="77"/>
  <c r="AC263" i="68" s="1"/>
  <c r="BG89" i="77"/>
  <c r="BF89"/>
  <c r="EP274"/>
  <c r="EO274"/>
  <c r="AD195" i="65"/>
  <c r="AC241"/>
  <c r="CJ273" i="77"/>
  <c r="CI273"/>
  <c r="AD154" i="68"/>
  <c r="AC154"/>
  <c r="AA167" i="70"/>
  <c r="Z167"/>
  <c r="Z213"/>
  <c r="DM87" i="77"/>
  <c r="AD87" i="69" s="1"/>
  <c r="DL87" i="77"/>
  <c r="AC87" i="69" s="1"/>
  <c r="BG296" i="77"/>
  <c r="AD296" i="65" s="1"/>
  <c r="BF296" i="77"/>
  <c r="AC296" i="65" s="1"/>
  <c r="HY79" i="77"/>
  <c r="AD79" i="73" s="1"/>
  <c r="HX79" i="77"/>
  <c r="AC79" i="73" s="1"/>
  <c r="AD167" i="68"/>
  <c r="AC167"/>
  <c r="CJ225" i="77"/>
  <c r="CI225"/>
  <c r="AD176" i="69"/>
  <c r="AC176"/>
  <c r="AD391" i="74"/>
  <c r="AC391"/>
  <c r="DL283" i="77"/>
  <c r="DM283"/>
  <c r="EP264"/>
  <c r="AD264" i="70" s="1"/>
  <c r="EO264" i="77"/>
  <c r="AC264" i="70" s="1"/>
  <c r="GV87" i="77"/>
  <c r="AD87" i="72" s="1"/>
  <c r="GU87" i="77"/>
  <c r="AC87" i="72" s="1"/>
  <c r="DM275" i="77"/>
  <c r="AD275" i="69" s="1"/>
  <c r="DL275" i="77"/>
  <c r="AC275" i="69" s="1"/>
  <c r="AD291"/>
  <c r="AC291"/>
  <c r="AC102" i="70"/>
  <c r="AD102"/>
  <c r="DM286" i="77"/>
  <c r="DL286"/>
  <c r="AA163" i="70"/>
  <c r="Z163"/>
  <c r="CF286" i="77"/>
  <c r="Z154" i="68"/>
  <c r="EP376" i="77"/>
  <c r="EO376"/>
  <c r="FS282"/>
  <c r="AD282" i="71" s="1"/>
  <c r="FR282" i="77"/>
  <c r="AC282" i="71" s="1"/>
  <c r="AD190" i="73"/>
  <c r="AC190"/>
  <c r="EP240" i="77"/>
  <c r="EO240"/>
  <c r="CJ79"/>
  <c r="CI79"/>
  <c r="EP365"/>
  <c r="AD365" i="70" s="1"/>
  <c r="EO365" i="77"/>
  <c r="AC365" i="70" s="1"/>
  <c r="CJ222" i="77"/>
  <c r="CI222"/>
  <c r="HY362"/>
  <c r="HX362"/>
  <c r="AD155" i="70"/>
  <c r="AC155"/>
  <c r="FS293" i="77"/>
  <c r="AD293" i="71" s="1"/>
  <c r="FR293" i="77"/>
  <c r="AC293" i="71" s="1"/>
  <c r="AD155"/>
  <c r="AC155"/>
  <c r="BG386" i="77"/>
  <c r="AD395" i="65" s="1"/>
  <c r="BF386" i="77"/>
  <c r="AC395" i="65" s="1"/>
  <c r="AD164" i="70"/>
  <c r="AC164"/>
  <c r="AC285" i="68"/>
  <c r="AD285"/>
  <c r="FS229" i="77"/>
  <c r="FR229"/>
  <c r="AC190" i="70"/>
  <c r="AD190"/>
  <c r="EP268" i="77"/>
  <c r="EO268"/>
  <c r="X14" i="72"/>
  <c r="X249" i="65"/>
  <c r="AA246"/>
  <c r="X195" i="69"/>
  <c r="AA169"/>
  <c r="X196" i="65"/>
  <c r="AA170"/>
  <c r="X203"/>
  <c r="AA183"/>
  <c r="X353" i="69"/>
  <c r="Z111" i="70"/>
  <c r="X371" i="65"/>
  <c r="AA369"/>
  <c r="Z161" i="68"/>
  <c r="X206" i="69"/>
  <c r="AA197"/>
  <c r="X72" i="71"/>
  <c r="X441" i="65"/>
  <c r="AA441"/>
  <c r="DI49" i="77"/>
  <c r="Z49" i="69" s="1"/>
  <c r="X36" i="72"/>
  <c r="X420" i="69"/>
  <c r="DM420" i="77"/>
  <c r="AD420" i="69" s="1"/>
  <c r="Z419" i="65"/>
  <c r="HU235" i="77"/>
  <c r="Z235" i="73" s="1"/>
  <c r="AA235"/>
  <c r="X364" i="68"/>
  <c r="AA361"/>
  <c r="X214" i="71"/>
  <c r="DL358" i="77"/>
  <c r="AC358" i="69" s="1"/>
  <c r="X15" i="74"/>
  <c r="AA15"/>
  <c r="X65" i="71"/>
  <c r="X125" i="69"/>
  <c r="X32"/>
  <c r="X123"/>
  <c r="X210" i="68"/>
  <c r="AA205"/>
  <c r="X195"/>
  <c r="AA169"/>
  <c r="X455"/>
  <c r="X120" i="71"/>
  <c r="AA112"/>
  <c r="X126" i="68"/>
  <c r="X79" i="69"/>
  <c r="X93" i="68"/>
  <c r="X21"/>
  <c r="AC21"/>
  <c r="X63" i="70"/>
  <c r="X121"/>
  <c r="AA114"/>
  <c r="X257" i="68"/>
  <c r="X61" i="69"/>
  <c r="BC359" i="77"/>
  <c r="Z359" i="65" s="1"/>
  <c r="AA359"/>
  <c r="X357" i="69"/>
  <c r="X53"/>
  <c r="AA53"/>
  <c r="X426"/>
  <c r="AA426"/>
  <c r="X92" i="70"/>
  <c r="X52" i="68"/>
  <c r="X374" i="65"/>
  <c r="BG374" i="77"/>
  <c r="AD374" i="65" s="1"/>
  <c r="X40" i="68"/>
  <c r="CI40" i="77"/>
  <c r="AC40" i="68" s="1"/>
  <c r="DI359" i="77"/>
  <c r="Z359" i="69" s="1"/>
  <c r="AA359"/>
  <c r="X240"/>
  <c r="AA234"/>
  <c r="X244" i="73"/>
  <c r="AA238"/>
  <c r="X246" i="68"/>
  <c r="AA242"/>
  <c r="X48" i="69"/>
  <c r="X79" i="71"/>
  <c r="AA81"/>
  <c r="X368" i="70"/>
  <c r="X22" i="72"/>
  <c r="X70" i="71"/>
  <c r="AA70"/>
  <c r="AA358" i="73"/>
  <c r="X21" i="70"/>
  <c r="HU378" i="77"/>
  <c r="Z378" i="73" s="1"/>
  <c r="AA378"/>
  <c r="X11" i="65"/>
  <c r="X59" i="71"/>
  <c r="X22" i="65"/>
  <c r="X18" i="73"/>
  <c r="AA18"/>
  <c r="X12" i="65"/>
  <c r="X12" i="71"/>
  <c r="AA12"/>
  <c r="X364" i="70"/>
  <c r="AA361"/>
  <c r="X29"/>
  <c r="X435" i="69"/>
  <c r="X434" i="70"/>
  <c r="AA434"/>
  <c r="X34"/>
  <c r="X149" i="68"/>
  <c r="AA148"/>
  <c r="X246" i="70"/>
  <c r="AA242"/>
  <c r="X24" i="73"/>
  <c r="AA24"/>
  <c r="X33" i="70"/>
  <c r="X219" i="68"/>
  <c r="AA227"/>
  <c r="X150"/>
  <c r="X64" i="71"/>
  <c r="AA64"/>
  <c r="X37" i="74"/>
  <c r="JB37" i="77"/>
  <c r="AD37" i="74" s="1"/>
  <c r="X249" i="70"/>
  <c r="AA246"/>
  <c r="X257" i="69"/>
  <c r="DM257" i="77"/>
  <c r="AD257" i="69" s="1"/>
  <c r="X33"/>
  <c r="X45" i="68"/>
  <c r="X73" i="71"/>
  <c r="X401" i="69"/>
  <c r="AC401"/>
  <c r="X24" i="74"/>
  <c r="AA24"/>
  <c r="DI224" i="77"/>
  <c r="Z224" i="69" s="1"/>
  <c r="X30" i="68"/>
  <c r="CJ30" i="77"/>
  <c r="AD30" i="68" s="1"/>
  <c r="X48" i="65"/>
  <c r="BF48" i="77"/>
  <c r="AC48" i="65" s="1"/>
  <c r="X89" i="69"/>
  <c r="AA85"/>
  <c r="Z174"/>
  <c r="X40" i="71"/>
  <c r="FR40" i="77"/>
  <c r="AC40" i="71" s="1"/>
  <c r="X219" i="70"/>
  <c r="AA227"/>
  <c r="X124" i="71"/>
  <c r="AA124"/>
  <c r="X416" i="69"/>
  <c r="X363" i="70"/>
  <c r="AA360"/>
  <c r="X247" i="72"/>
  <c r="X435" i="65"/>
  <c r="AA435"/>
  <c r="X82" i="69"/>
  <c r="X90" i="70"/>
  <c r="AA86"/>
  <c r="X123"/>
  <c r="AD123"/>
  <c r="X31"/>
  <c r="AA31"/>
  <c r="X402"/>
  <c r="X421"/>
  <c r="AA421"/>
  <c r="Z136" i="69"/>
  <c r="Z107"/>
  <c r="GV280" i="77"/>
  <c r="AD280" i="72" s="1"/>
  <c r="GU280" i="77"/>
  <c r="AC280" i="72" s="1"/>
  <c r="BG376" i="77"/>
  <c r="BF376"/>
  <c r="GU296"/>
  <c r="AC296" i="72" s="1"/>
  <c r="GV296" i="77"/>
  <c r="AD296" i="72" s="1"/>
  <c r="EP362" i="77"/>
  <c r="EO362"/>
  <c r="DM273"/>
  <c r="DL273"/>
  <c r="AC252" i="69"/>
  <c r="AD252"/>
  <c r="EO293" i="77"/>
  <c r="AC293" i="70" s="1"/>
  <c r="EP293" i="77"/>
  <c r="AD293" i="70" s="1"/>
  <c r="EP294" i="77"/>
  <c r="AD294" i="70" s="1"/>
  <c r="AD291" i="65"/>
  <c r="AC291"/>
  <c r="BG290" i="77"/>
  <c r="BF290"/>
  <c r="GV223"/>
  <c r="GU223"/>
  <c r="AD166" i="65"/>
  <c r="AC166"/>
  <c r="FS265" i="77"/>
  <c r="AD265" i="71" s="1"/>
  <c r="FR265" i="77"/>
  <c r="AC265" i="71" s="1"/>
  <c r="DM259" i="77"/>
  <c r="DL259"/>
  <c r="BG364"/>
  <c r="BF364"/>
  <c r="AD291" i="70"/>
  <c r="AC291"/>
  <c r="BG203" i="77"/>
  <c r="BF203"/>
  <c r="EO385"/>
  <c r="AC394" i="70" s="1"/>
  <c r="HX288" i="77"/>
  <c r="AC288" i="73" s="1"/>
  <c r="HY288" i="77"/>
  <c r="AD288" i="73" s="1"/>
  <c r="AD216" i="74"/>
  <c r="EO263" i="77"/>
  <c r="AC263" i="70" s="1"/>
  <c r="EP263" i="77"/>
  <c r="AD263" i="70" s="1"/>
  <c r="AD176"/>
  <c r="AC176"/>
  <c r="AD155" i="65"/>
  <c r="AC155"/>
  <c r="AD164" i="73"/>
  <c r="AC164"/>
  <c r="FS292" i="77"/>
  <c r="AD292" i="71" s="1"/>
  <c r="FR292" i="77"/>
  <c r="AC292" i="71" s="1"/>
  <c r="AD149" i="70"/>
  <c r="AC109" i="71"/>
  <c r="AD109"/>
  <c r="AD270" i="69"/>
  <c r="AC270"/>
  <c r="AD109"/>
  <c r="AC109"/>
  <c r="AD165" i="68"/>
  <c r="AC165"/>
  <c r="DM270" i="77"/>
  <c r="DL270"/>
  <c r="FS272"/>
  <c r="FR272"/>
  <c r="GV385"/>
  <c r="AD394" i="72" s="1"/>
  <c r="GU385" i="77"/>
  <c r="AC394" i="72" s="1"/>
  <c r="FS267" i="77"/>
  <c r="AD267" i="71" s="1"/>
  <c r="FR267" i="77"/>
  <c r="AC267" i="71" s="1"/>
  <c r="CJ266" i="77"/>
  <c r="CI266"/>
  <c r="EP282"/>
  <c r="AD282" i="70" s="1"/>
  <c r="EO282" i="77"/>
  <c r="AC282" i="70" s="1"/>
  <c r="AD146" i="69"/>
  <c r="CJ265" i="77"/>
  <c r="AD265" i="68" s="1"/>
  <c r="CI265" i="77"/>
  <c r="AC265" i="68" s="1"/>
  <c r="DM202" i="77"/>
  <c r="DL202"/>
  <c r="AC139" i="69"/>
  <c r="AD139"/>
  <c r="BG78" i="77"/>
  <c r="AD78" i="65" s="1"/>
  <c r="BF78" i="77"/>
  <c r="AC78" i="65" s="1"/>
  <c r="HY376" i="77"/>
  <c r="HX376"/>
  <c r="CJ289"/>
  <c r="AD289" i="68" s="1"/>
  <c r="CI289" i="77"/>
  <c r="AC289" i="68" s="1"/>
  <c r="AD270"/>
  <c r="AC270"/>
  <c r="DL284" i="77"/>
  <c r="DM284"/>
  <c r="DM265"/>
  <c r="AD265" i="69" s="1"/>
  <c r="DL265" i="77"/>
  <c r="AC265" i="69" s="1"/>
  <c r="AD140"/>
  <c r="AC140"/>
  <c r="FS209" i="77"/>
  <c r="AD295" i="71" s="1"/>
  <c r="FR209" i="77"/>
  <c r="AC295" i="71" s="1"/>
  <c r="CJ276" i="77"/>
  <c r="CI276"/>
  <c r="FS225"/>
  <c r="FR225"/>
  <c r="AA89" i="68"/>
  <c r="CF89" i="77"/>
  <c r="Z89" i="68" s="1"/>
  <c r="CJ292" i="77"/>
  <c r="AD292" i="68" s="1"/>
  <c r="CI292" i="77"/>
  <c r="AC292" i="68" s="1"/>
  <c r="EP287" i="77"/>
  <c r="EO287"/>
  <c r="AC115" i="65"/>
  <c r="AD140" i="71"/>
  <c r="AC140"/>
  <c r="FS202" i="77"/>
  <c r="AD202" i="71" s="1"/>
  <c r="FR202" i="77"/>
  <c r="AC202" i="71" s="1"/>
  <c r="AC119" i="65"/>
  <c r="DM267" i="77"/>
  <c r="AD267" i="69" s="1"/>
  <c r="DL267" i="77"/>
  <c r="AC267" i="69" s="1"/>
  <c r="AD103" i="65"/>
  <c r="AC103"/>
  <c r="Z128" i="68"/>
  <c r="Z231" i="65"/>
  <c r="AA165"/>
  <c r="Z165"/>
  <c r="Z190" i="69"/>
  <c r="EP262" i="77"/>
  <c r="AD262" i="70" s="1"/>
  <c r="EO262" i="77"/>
  <c r="AC262" i="70" s="1"/>
  <c r="AD287" i="71"/>
  <c r="DL264" i="77"/>
  <c r="AC264" i="69" s="1"/>
  <c r="DM264" i="77"/>
  <c r="AD264" i="69" s="1"/>
  <c r="EP250" i="77"/>
  <c r="EO250"/>
  <c r="EP206"/>
  <c r="EO206"/>
  <c r="X49" i="68"/>
  <c r="X400"/>
  <c r="X192"/>
  <c r="AA162"/>
  <c r="X96" i="65"/>
  <c r="AA95"/>
  <c r="X27" i="70"/>
  <c r="X201" i="65"/>
  <c r="AA181"/>
  <c r="X408"/>
  <c r="X39" i="68"/>
  <c r="AA39"/>
  <c r="X90"/>
  <c r="AA86"/>
  <c r="X82"/>
  <c r="AA84"/>
  <c r="X38" i="71"/>
  <c r="AA38"/>
  <c r="X13" i="65"/>
  <c r="AA13"/>
  <c r="X32"/>
  <c r="X17" i="72"/>
  <c r="AA17"/>
  <c r="X42"/>
  <c r="X71" i="71"/>
  <c r="X431" i="69"/>
  <c r="AC431"/>
  <c r="X406" i="70"/>
  <c r="X89" i="65"/>
  <c r="AA85"/>
  <c r="X442" i="69"/>
  <c r="X404" i="70"/>
  <c r="X200" i="65"/>
  <c r="AA180"/>
  <c r="X439"/>
  <c r="X31" i="68"/>
  <c r="AA31"/>
  <c r="X442" i="70"/>
  <c r="X444" i="65"/>
  <c r="AA444"/>
  <c r="X434"/>
  <c r="X462" i="68"/>
  <c r="X422" i="70"/>
  <c r="X253" i="68"/>
  <c r="X195" i="70"/>
  <c r="AA169"/>
  <c r="GR58" i="77"/>
  <c r="Z58" i="72" s="1"/>
  <c r="GV58" i="77"/>
  <c r="AD58" i="72" s="1"/>
  <c r="X220" i="70"/>
  <c r="AA228"/>
  <c r="HU236" i="77"/>
  <c r="Z236" i="73" s="1"/>
  <c r="AA236"/>
  <c r="X68" i="71"/>
  <c r="AA68"/>
  <c r="X59" i="70"/>
  <c r="X55" i="69"/>
  <c r="AA55"/>
  <c r="X248" i="68"/>
  <c r="AA245"/>
  <c r="X62" i="73"/>
  <c r="X95" i="68"/>
  <c r="AA93"/>
  <c r="X218" i="69"/>
  <c r="X41" i="70"/>
  <c r="AA41"/>
  <c r="X364" i="69"/>
  <c r="X241" i="68"/>
  <c r="AA235"/>
  <c r="Z131" i="69"/>
  <c r="AA131"/>
  <c r="X203" i="68"/>
  <c r="AA183"/>
  <c r="X17" i="73"/>
  <c r="X71" i="69"/>
  <c r="X23" i="72"/>
  <c r="X245" i="69"/>
  <c r="AA239"/>
  <c r="X22" i="71"/>
  <c r="FR22" i="77"/>
  <c r="AC22" i="71" s="1"/>
  <c r="X402" i="65"/>
  <c r="AA402"/>
  <c r="X400" i="69"/>
  <c r="DM400" i="77"/>
  <c r="AD400" i="69" s="1"/>
  <c r="X202" i="65"/>
  <c r="AA182"/>
  <c r="X51" i="69"/>
  <c r="X37" i="71"/>
  <c r="X423" i="69"/>
  <c r="X355"/>
  <c r="X244" i="68"/>
  <c r="AA238"/>
  <c r="X30" i="70"/>
  <c r="AA30"/>
  <c r="X416" i="68"/>
  <c r="X429" i="69"/>
  <c r="AA429"/>
  <c r="X415" i="65"/>
  <c r="X41"/>
  <c r="AA41"/>
  <c r="X214" i="68"/>
  <c r="AA217"/>
  <c r="X430" i="70"/>
  <c r="X21" i="72"/>
  <c r="AA198" i="73"/>
  <c r="X125" i="71"/>
  <c r="AA125"/>
  <c r="X145" i="73"/>
  <c r="AA138"/>
  <c r="X63"/>
  <c r="HY63" i="77"/>
  <c r="AD63" i="73" s="1"/>
  <c r="X449" i="70"/>
  <c r="X461" i="65"/>
  <c r="AA461"/>
  <c r="X126" i="70"/>
  <c r="AA126"/>
  <c r="X409" i="69"/>
  <c r="DL409" i="77"/>
  <c r="AC409" i="69" s="1"/>
  <c r="X200"/>
  <c r="AA180"/>
  <c r="X434" i="68"/>
  <c r="X436" i="70"/>
  <c r="AA436"/>
  <c r="X427" i="72"/>
  <c r="X242" i="71"/>
  <c r="AA236"/>
  <c r="DI407" i="77"/>
  <c r="Z407" i="69" s="1"/>
  <c r="X251" i="70"/>
  <c r="AA248"/>
  <c r="X19" i="73"/>
  <c r="X427" i="69"/>
  <c r="AA427"/>
  <c r="X148" i="70"/>
  <c r="AA147"/>
  <c r="X429"/>
  <c r="AA429"/>
  <c r="X150" i="69"/>
  <c r="AA150"/>
  <c r="X65" i="74"/>
  <c r="X64" i="68"/>
  <c r="X79"/>
  <c r="AA81"/>
  <c r="X250" i="73"/>
  <c r="AA247"/>
  <c r="X448" i="65"/>
  <c r="BF448" i="77"/>
  <c r="AC448" i="65" s="1"/>
  <c r="X34" i="69"/>
  <c r="DM34" i="77"/>
  <c r="AD34" i="69" s="1"/>
  <c r="X422" i="68"/>
  <c r="AA422"/>
  <c r="X209" i="70"/>
  <c r="X38" i="72"/>
  <c r="AA38"/>
  <c r="X436" i="69"/>
  <c r="DM436" i="77"/>
  <c r="AD436" i="69" s="1"/>
  <c r="Z118" i="70"/>
  <c r="X443" i="65"/>
  <c r="X355" i="71"/>
  <c r="AA355"/>
  <c r="X36" i="65"/>
  <c r="BG36" i="77"/>
  <c r="AD36" i="65" s="1"/>
  <c r="X12" i="70"/>
  <c r="X120" i="69"/>
  <c r="X409" i="68"/>
  <c r="X201" i="70"/>
  <c r="AA181"/>
  <c r="X34" i="65"/>
  <c r="AA34"/>
  <c r="X38" i="73"/>
  <c r="HX38" i="77"/>
  <c r="AC38" i="73" s="1"/>
  <c r="X353" i="68"/>
  <c r="X248" i="71"/>
  <c r="AA245"/>
  <c r="X357" i="70"/>
  <c r="X371"/>
  <c r="Z174" i="68"/>
  <c r="X59" i="73"/>
  <c r="X32" i="70"/>
  <c r="X45" i="69"/>
  <c r="X67" i="72"/>
  <c r="GU67" i="77"/>
  <c r="AC67" i="72" s="1"/>
  <c r="X352" i="71"/>
  <c r="EL290" i="77"/>
  <c r="EP243"/>
  <c r="EO243"/>
  <c r="EP208"/>
  <c r="AD208" i="70" s="1"/>
  <c r="EO208" i="77"/>
  <c r="AC208" i="70" s="1"/>
  <c r="AC109"/>
  <c r="AD109"/>
  <c r="BG243" i="77"/>
  <c r="BF243"/>
  <c r="EO292"/>
  <c r="AC292" i="70" s="1"/>
  <c r="DM395" i="77"/>
  <c r="DL395"/>
  <c r="BG207"/>
  <c r="BF207"/>
  <c r="CI293"/>
  <c r="AC293" i="68" s="1"/>
  <c r="CJ293" i="77"/>
  <c r="AD293" i="68" s="1"/>
  <c r="AD135" i="69"/>
  <c r="AC135"/>
  <c r="FO276" i="77"/>
  <c r="JA289"/>
  <c r="AC289" i="74" s="1"/>
  <c r="JB289" i="77"/>
  <c r="AD289" i="74" s="1"/>
  <c r="DM272" i="77"/>
  <c r="DL272"/>
  <c r="CJ393"/>
  <c r="AD393" i="68" s="1"/>
  <c r="CI393" i="77"/>
  <c r="AC393" i="68" s="1"/>
  <c r="HY277" i="77"/>
  <c r="HX277"/>
  <c r="BG382"/>
  <c r="AD382" i="65" s="1"/>
  <c r="BF382" i="77"/>
  <c r="AC382" i="65" s="1"/>
  <c r="AC135" i="70"/>
  <c r="AD135"/>
  <c r="GV278" i="77"/>
  <c r="GU278"/>
  <c r="AD391" i="69"/>
  <c r="AC391"/>
  <c r="BG277" i="77"/>
  <c r="BF277"/>
  <c r="AD270" i="70"/>
  <c r="AC270"/>
  <c r="CJ295" i="77"/>
  <c r="CI295"/>
  <c r="EP89"/>
  <c r="EO89"/>
  <c r="DM280"/>
  <c r="AD280" i="69" s="1"/>
  <c r="DL280" i="77"/>
  <c r="AC280" i="69" s="1"/>
  <c r="EP284" i="77"/>
  <c r="EO284"/>
  <c r="CJ229"/>
  <c r="CI229"/>
  <c r="Z172" i="70"/>
  <c r="Z128" i="71"/>
  <c r="AD196"/>
  <c r="AC196"/>
  <c r="BF206" i="77"/>
  <c r="EP223"/>
  <c r="EO223"/>
  <c r="AD141" i="73"/>
  <c r="AC141"/>
  <c r="AD189" i="70"/>
  <c r="AC189"/>
  <c r="GV78" i="77"/>
  <c r="AD78" i="72" s="1"/>
  <c r="GU78" i="77"/>
  <c r="AC78" i="72" s="1"/>
  <c r="AD391" i="71"/>
  <c r="AC391"/>
  <c r="AD141" i="65"/>
  <c r="AC141"/>
  <c r="AD198" i="70"/>
  <c r="HY207" i="77"/>
  <c r="HX207"/>
  <c r="AC123" i="65"/>
  <c r="AD123"/>
  <c r="BG259" i="77"/>
  <c r="BF259"/>
  <c r="DM269"/>
  <c r="DL269"/>
  <c r="DL209"/>
  <c r="AC295" i="69" s="1"/>
  <c r="DM209" i="77"/>
  <c r="AD295" i="69" s="1"/>
  <c r="CJ384" i="77"/>
  <c r="CI384"/>
  <c r="HY240"/>
  <c r="HX240"/>
  <c r="AD176" i="68"/>
  <c r="AC176"/>
  <c r="JB262" i="77"/>
  <c r="AD262" i="74" s="1"/>
  <c r="JA262" i="77"/>
  <c r="AC262" i="74" s="1"/>
  <c r="FS288" i="77"/>
  <c r="AD288" i="71" s="1"/>
  <c r="FR288" i="77"/>
  <c r="AC288" i="71" s="1"/>
  <c r="X373" i="69"/>
  <c r="X254"/>
  <c r="X68"/>
  <c r="X46" i="68"/>
  <c r="X20" i="69"/>
  <c r="AA20"/>
  <c r="X145"/>
  <c r="AA138"/>
  <c r="X384" i="65"/>
  <c r="AA378"/>
  <c r="X69" i="73"/>
  <c r="Z174" i="71"/>
  <c r="X208" i="65"/>
  <c r="X252" i="70"/>
  <c r="X144" i="65"/>
  <c r="AA137"/>
  <c r="X151" i="69"/>
  <c r="AD151"/>
  <c r="X239" i="68"/>
  <c r="AA233"/>
  <c r="X13" i="72"/>
  <c r="AA13"/>
  <c r="X95" i="74"/>
  <c r="AA93"/>
  <c r="X209" i="65"/>
  <c r="X15" i="73"/>
  <c r="X95" i="71"/>
  <c r="AA93"/>
  <c r="DI83" i="77"/>
  <c r="Z83" i="69" s="1"/>
  <c r="AA83"/>
  <c r="X31"/>
  <c r="AA31"/>
  <c r="X66"/>
  <c r="X402"/>
  <c r="AA402"/>
  <c r="X65" i="72"/>
  <c r="X58" i="71"/>
  <c r="AA58"/>
  <c r="X27" i="65"/>
  <c r="X363" i="68"/>
  <c r="AA360"/>
  <c r="X215" i="70"/>
  <c r="AA218"/>
  <c r="X144" i="69"/>
  <c r="AA137"/>
  <c r="X23"/>
  <c r="X151" i="73"/>
  <c r="AA151"/>
  <c r="X63" i="69"/>
  <c r="X406" i="65"/>
  <c r="AA406"/>
  <c r="DI444" i="77"/>
  <c r="Z444" i="69" s="1"/>
  <c r="BC462" i="77"/>
  <c r="Z462" i="65" s="1"/>
  <c r="X48" i="68"/>
  <c r="X374" i="69"/>
  <c r="AA374"/>
  <c r="X142" i="71"/>
  <c r="AA131"/>
  <c r="X29" i="69"/>
  <c r="AA29"/>
  <c r="X93" i="70"/>
  <c r="X148" i="69"/>
  <c r="AA147"/>
  <c r="X92"/>
  <c r="AA358" i="70"/>
  <c r="X91" i="68"/>
  <c r="AA88"/>
  <c r="X126" i="69"/>
  <c r="X256" i="71"/>
  <c r="X62" i="69"/>
  <c r="X54" i="68"/>
  <c r="CJ54" i="77"/>
  <c r="AD54" i="68" s="1"/>
  <c r="X245" i="73"/>
  <c r="AA239"/>
  <c r="X462" i="69"/>
  <c r="DL462" i="77"/>
  <c r="AC462" i="69" s="1"/>
  <c r="BC388" i="77"/>
  <c r="Z388" i="65" s="1"/>
  <c r="X407" i="68"/>
  <c r="CI407" i="77"/>
  <c r="AC407" i="68" s="1"/>
  <c r="X439"/>
  <c r="AA439"/>
  <c r="X244" i="69"/>
  <c r="Z411"/>
  <c r="X428" i="68"/>
  <c r="AA428"/>
  <c r="EL409" i="77"/>
  <c r="Z409" i="70" s="1"/>
  <c r="X26"/>
  <c r="X66" i="71"/>
  <c r="AA66"/>
  <c r="X94"/>
  <c r="BC380" i="77"/>
  <c r="Z380" i="65" s="1"/>
  <c r="AA380"/>
  <c r="X91" i="70"/>
  <c r="AA88"/>
  <c r="X420"/>
  <c r="AC124" i="73"/>
  <c r="X441" i="69"/>
  <c r="X221"/>
  <c r="X206" i="70"/>
  <c r="AA197"/>
  <c r="X241" i="69"/>
  <c r="X124"/>
  <c r="X362" i="70"/>
  <c r="AA359"/>
  <c r="X254" i="73"/>
  <c r="X29" i="68"/>
  <c r="CI29" i="77"/>
  <c r="AC29" i="68" s="1"/>
  <c r="X54" i="69"/>
  <c r="X70" i="73"/>
  <c r="HX70" i="77"/>
  <c r="AC70" i="73" s="1"/>
  <c r="X352" i="69"/>
  <c r="X90" i="65"/>
  <c r="AA86"/>
  <c r="X142" i="68"/>
  <c r="AA131"/>
  <c r="X202" i="70"/>
  <c r="X221" i="68"/>
  <c r="AA232"/>
  <c r="X92"/>
  <c r="AA90"/>
  <c r="X73"/>
  <c r="AA73"/>
  <c r="X123"/>
  <c r="AA121"/>
  <c r="X60"/>
  <c r="AA60"/>
  <c r="X50"/>
  <c r="CI50" i="77"/>
  <c r="AC50" i="68" s="1"/>
  <c r="X89" i="70"/>
  <c r="AA85"/>
  <c r="X57" i="71"/>
  <c r="FS57" i="77"/>
  <c r="AD57" i="71" s="1"/>
  <c r="X30" i="69"/>
  <c r="AA30"/>
  <c r="X429" i="68"/>
  <c r="X444" i="70"/>
  <c r="AA444"/>
  <c r="X28" i="65"/>
  <c r="X256" i="69"/>
  <c r="X60" i="70"/>
  <c r="Z413" i="69"/>
  <c r="X218" i="65"/>
  <c r="X257" i="70"/>
  <c r="AA257"/>
  <c r="X220" i="65"/>
  <c r="AA228"/>
  <c r="X147" i="74"/>
  <c r="AA145"/>
  <c r="X218" i="70"/>
  <c r="AA226"/>
  <c r="X219" i="69"/>
  <c r="AA227"/>
  <c r="X28"/>
  <c r="AA28"/>
  <c r="X443" i="73"/>
  <c r="AA443"/>
  <c r="X196" i="70"/>
  <c r="AA170"/>
  <c r="X439" i="69"/>
  <c r="AA439"/>
  <c r="DM385" i="77"/>
  <c r="DL385"/>
  <c r="BG284"/>
  <c r="BF284"/>
  <c r="AD146" i="71"/>
  <c r="AC146"/>
  <c r="DM295" i="77"/>
  <c r="DL295"/>
  <c r="GV98"/>
  <c r="AD98" i="72" s="1"/>
  <c r="GU98" i="77"/>
  <c r="AC98" i="72" s="1"/>
  <c r="AC290" i="65"/>
  <c r="AD290"/>
  <c r="CJ223" i="77"/>
  <c r="CI223"/>
  <c r="AD391" i="68"/>
  <c r="AC391"/>
  <c r="HY250" i="77"/>
  <c r="HX250"/>
  <c r="AC141" i="69"/>
  <c r="AD141"/>
  <c r="FS295" i="77"/>
  <c r="FR295"/>
  <c r="AD163" i="68"/>
  <c r="AC163"/>
  <c r="HY384" i="77"/>
  <c r="HX384"/>
  <c r="AD135" i="73"/>
  <c r="AC135"/>
  <c r="JB259" i="77"/>
  <c r="JA259"/>
  <c r="EP254"/>
  <c r="EO254"/>
  <c r="AD285" i="69"/>
  <c r="AC285"/>
  <c r="AD163" i="73"/>
  <c r="AC163"/>
  <c r="CJ243" i="77"/>
  <c r="CI243"/>
  <c r="AD139" i="70"/>
  <c r="AC139"/>
  <c r="CJ202" i="77"/>
  <c r="CI202"/>
  <c r="EP203"/>
  <c r="EO203"/>
  <c r="CI254"/>
  <c r="CJ254"/>
  <c r="AD115" i="68"/>
  <c r="AC115"/>
  <c r="AC142" i="65"/>
  <c r="CJ230" i="77"/>
  <c r="CI230"/>
  <c r="CJ294"/>
  <c r="AD294" i="68" s="1"/>
  <c r="CI294" i="77"/>
  <c r="AC294" i="68" s="1"/>
  <c r="AD166"/>
  <c r="AC166"/>
  <c r="FS274" i="77"/>
  <c r="FR274"/>
  <c r="DM274"/>
  <c r="DL274"/>
  <c r="BG262"/>
  <c r="AD262" i="65" s="1"/>
  <c r="BF262" i="77"/>
  <c r="AC262" i="65" s="1"/>
  <c r="AC211" i="71"/>
  <c r="DM294" i="77"/>
  <c r="AD294" i="69" s="1"/>
  <c r="DL294" i="77"/>
  <c r="AC294" i="69" s="1"/>
  <c r="CJ268" i="77"/>
  <c r="CI268"/>
  <c r="JB354"/>
  <c r="AD354" i="74" s="1"/>
  <c r="JA354" i="77"/>
  <c r="AC354" i="74" s="1"/>
  <c r="AD243" i="70"/>
  <c r="AC290"/>
  <c r="AD290"/>
  <c r="CJ285" i="77"/>
  <c r="CI285"/>
  <c r="BG208"/>
  <c r="BF208"/>
  <c r="EP79"/>
  <c r="AD79" i="70" s="1"/>
  <c r="EO79" i="77"/>
  <c r="AC79" i="70" s="1"/>
  <c r="FS254" i="77"/>
  <c r="FR254"/>
  <c r="CJ272"/>
  <c r="CI272"/>
  <c r="AC206" i="65"/>
  <c r="AD206"/>
  <c r="AA153" i="70"/>
  <c r="Z153"/>
  <c r="EP230" i="77"/>
  <c r="EO230"/>
  <c r="DM222"/>
  <c r="DL222"/>
  <c r="EO94"/>
  <c r="AC94" i="70" s="1"/>
  <c r="EP94" i="77"/>
  <c r="AD94" i="70" s="1"/>
  <c r="CI208" i="77"/>
  <c r="CJ208"/>
  <c r="AD165" i="70"/>
  <c r="AC165"/>
  <c r="DM379" i="77"/>
  <c r="AD379" i="69" s="1"/>
  <c r="DL379" i="77"/>
  <c r="AC379" i="69" s="1"/>
  <c r="BC395" i="77"/>
  <c r="Z395" i="65" s="1"/>
  <c r="Z164"/>
  <c r="AA166" i="70"/>
  <c r="Z166"/>
  <c r="FR275" i="77"/>
  <c r="AC275" i="71" s="1"/>
  <c r="CI287" i="77"/>
  <c r="AD287" i="70"/>
  <c r="AC287"/>
  <c r="BF252" i="77"/>
  <c r="BG252"/>
  <c r="EP384"/>
  <c r="AD196" i="68"/>
  <c r="AC196"/>
  <c r="Z231" i="70"/>
  <c r="AD129" i="68"/>
  <c r="AC129"/>
  <c r="JA84" i="77"/>
  <c r="JB244"/>
  <c r="AD247" i="74" s="1"/>
  <c r="Z145"/>
  <c r="Z17"/>
  <c r="JA244" i="77"/>
  <c r="AC247" i="74" s="1"/>
  <c r="AD19"/>
  <c r="JB226" i="77"/>
  <c r="JA200"/>
  <c r="AC208" i="74" s="1"/>
  <c r="AC19"/>
  <c r="AA11" i="65"/>
  <c r="BG247" i="77"/>
  <c r="BG239"/>
  <c r="AD239" i="65" s="1"/>
  <c r="HY266" i="77"/>
  <c r="HX266"/>
  <c r="IX266"/>
  <c r="AD291" i="73"/>
  <c r="AC291"/>
  <c r="HY284" i="77"/>
  <c r="HX284"/>
  <c r="IX284"/>
  <c r="HY252"/>
  <c r="HX252"/>
  <c r="IX252"/>
  <c r="Z252" i="74" s="1"/>
  <c r="Z215"/>
  <c r="HY206" i="77"/>
  <c r="HX206"/>
  <c r="IX206"/>
  <c r="Z206" i="74" s="1"/>
  <c r="AD189" i="73"/>
  <c r="AC189"/>
  <c r="Z189" i="74"/>
  <c r="Z173"/>
  <c r="Z158"/>
  <c r="AD149" i="73"/>
  <c r="AC149"/>
  <c r="Z149" i="74"/>
  <c r="AD144" i="73"/>
  <c r="AC144"/>
  <c r="Z144" i="74"/>
  <c r="Z130"/>
  <c r="Z123"/>
  <c r="Z117"/>
  <c r="Z110"/>
  <c r="HY383" i="77"/>
  <c r="HX383"/>
  <c r="IX383"/>
  <c r="Z383" i="74" s="1"/>
  <c r="HY364" i="77"/>
  <c r="AD383" i="73" s="1"/>
  <c r="HX364" i="77"/>
  <c r="AC383" i="73" s="1"/>
  <c r="IX364" i="77"/>
  <c r="Z364" i="74" s="1"/>
  <c r="Z120"/>
  <c r="AD103" i="73"/>
  <c r="AC103"/>
  <c r="Z103" i="74"/>
  <c r="HY290" i="77"/>
  <c r="HX290"/>
  <c r="IX290"/>
  <c r="Z213" i="74"/>
  <c r="HY203" i="77"/>
  <c r="HX203"/>
  <c r="IX203"/>
  <c r="Z203" i="74" s="1"/>
  <c r="AD155" i="73"/>
  <c r="AC155"/>
  <c r="Z155" i="74"/>
  <c r="AD290" i="73"/>
  <c r="AC290"/>
  <c r="Z122" i="74"/>
  <c r="Z101"/>
  <c r="AC210" i="65"/>
  <c r="DM80" i="77"/>
  <c r="DL80"/>
  <c r="AD129" i="69"/>
  <c r="AC129"/>
  <c r="AA153" i="65"/>
  <c r="AD153"/>
  <c r="AC153"/>
  <c r="CJ80" i="77"/>
  <c r="CI80"/>
  <c r="AC129" i="71"/>
  <c r="AD129"/>
  <c r="DL363" i="77"/>
  <c r="AC363" i="69" s="1"/>
  <c r="DM363" i="77"/>
  <c r="AD363" i="69" s="1"/>
  <c r="BG363" i="77"/>
  <c r="BF363"/>
  <c r="BF377"/>
  <c r="AC377" i="65" s="1"/>
  <c r="BG377" i="77"/>
  <c r="AD377" i="65" s="1"/>
  <c r="AC104" i="71"/>
  <c r="AD104"/>
  <c r="BF97" i="77"/>
  <c r="BG97"/>
  <c r="EP377"/>
  <c r="AD377" i="70" s="1"/>
  <c r="AC104" i="69"/>
  <c r="AD104"/>
  <c r="AD381" i="70"/>
  <c r="AC381"/>
  <c r="FR363" i="77"/>
  <c r="FS363"/>
  <c r="AD381" i="65"/>
  <c r="AC381"/>
  <c r="CI363" i="77"/>
  <c r="CJ363"/>
  <c r="GV353"/>
  <c r="AD353" i="72" s="1"/>
  <c r="AA402" i="70"/>
  <c r="AD151" i="65"/>
  <c r="BG205" i="77"/>
  <c r="BF236"/>
  <c r="FR239"/>
  <c r="GU358"/>
  <c r="AC358" i="72" s="1"/>
  <c r="HY65" i="77"/>
  <c r="AD65" i="73" s="1"/>
  <c r="BF420" i="77"/>
  <c r="AC420" i="65" s="1"/>
  <c r="AA81" i="70"/>
  <c r="AA249"/>
  <c r="Z15" i="74"/>
  <c r="AA352" i="71"/>
  <c r="Z112" i="69"/>
  <c r="AD11" i="73"/>
  <c r="HU380" i="77"/>
  <c r="Z380" i="73" s="1"/>
  <c r="HU353" i="77"/>
  <c r="Z353" i="73" s="1"/>
  <c r="GV92" i="77"/>
  <c r="AD94" i="72" s="1"/>
  <c r="GV409" i="77"/>
  <c r="AD409" i="72" s="1"/>
  <c r="DI34" i="77"/>
  <c r="Z34" i="69" s="1"/>
  <c r="EL402" i="77"/>
  <c r="Z402" i="70" s="1"/>
  <c r="AA415" i="65"/>
  <c r="JB83" i="77"/>
  <c r="CJ359"/>
  <c r="Z21" i="68"/>
  <c r="AA364" i="69"/>
  <c r="CF407" i="77"/>
  <c r="Z407" i="68" s="1"/>
  <c r="AA65" i="71"/>
  <c r="HY26" i="77"/>
  <c r="AD26" i="73" s="1"/>
  <c r="CJ244" i="77"/>
  <c r="AC150" i="74"/>
  <c r="JB257" i="77"/>
  <c r="AD257" i="74" s="1"/>
  <c r="HU59" i="77"/>
  <c r="Z59" i="73" s="1"/>
  <c r="DI226" i="77"/>
  <c r="Z226" i="69" s="1"/>
  <c r="FR29" i="77"/>
  <c r="AC29" i="71" s="1"/>
  <c r="AA61" i="68"/>
  <c r="FO22" i="77"/>
  <c r="Z22" i="71" s="1"/>
  <c r="AC415"/>
  <c r="BG253" i="77"/>
  <c r="AD254" i="65" s="1"/>
  <c r="BG352" i="77"/>
  <c r="AD352" i="65" s="1"/>
  <c r="HX37" i="77"/>
  <c r="AC37" i="73" s="1"/>
  <c r="FS239" i="77"/>
  <c r="EL442"/>
  <c r="Z442" i="70" s="1"/>
  <c r="JB48" i="77"/>
  <c r="AD48" i="74" s="1"/>
  <c r="FS369" i="77"/>
  <c r="CJ59"/>
  <c r="AD59" i="68" s="1"/>
  <c r="Z412" i="70"/>
  <c r="FR378" i="77"/>
  <c r="AA94" i="71"/>
  <c r="DI439" i="77"/>
  <c r="Z439" i="69" s="1"/>
  <c r="CF425" i="77"/>
  <c r="Z425" i="68" s="1"/>
  <c r="JB256" i="77"/>
  <c r="AD256" i="74" s="1"/>
  <c r="CF205" i="77"/>
  <c r="Z205" i="68" s="1"/>
  <c r="HX257" i="77"/>
  <c r="AC257" i="73" s="1"/>
  <c r="DL388" i="77"/>
  <c r="JA435"/>
  <c r="AC435" i="74" s="1"/>
  <c r="JA426" i="77"/>
  <c r="AC426" i="74" s="1"/>
  <c r="BF33" i="77"/>
  <c r="AC33" i="65" s="1"/>
  <c r="HX22" i="77"/>
  <c r="AC22" i="73" s="1"/>
  <c r="CI244" i="77"/>
  <c r="AC416" i="73"/>
  <c r="CF96" i="77"/>
  <c r="Z96" i="68" s="1"/>
  <c r="AA423"/>
  <c r="HY34" i="77"/>
  <c r="AD34" i="73" s="1"/>
  <c r="GV40" i="77"/>
  <c r="AD40" i="72" s="1"/>
  <c r="AA245" i="73"/>
  <c r="AA256" i="69"/>
  <c r="FO37" i="77"/>
  <c r="Z37" i="71" s="1"/>
  <c r="JA256" i="77"/>
  <c r="AC256" i="74" s="1"/>
  <c r="AD21" i="73"/>
  <c r="AA32" i="70"/>
  <c r="AD100"/>
  <c r="GV29" i="77"/>
  <c r="AD29" i="72" s="1"/>
  <c r="JA32" i="77"/>
  <c r="AC32" i="74" s="1"/>
  <c r="HY92" i="77"/>
  <c r="AD94" i="73" s="1"/>
  <c r="EO426" i="77"/>
  <c r="AC426" i="70" s="1"/>
  <c r="HY246" i="77"/>
  <c r="BG420"/>
  <c r="AD420" i="65" s="1"/>
  <c r="AC461" i="71"/>
  <c r="AD421"/>
  <c r="DI45" i="77"/>
  <c r="Z45" i="69" s="1"/>
  <c r="FO352" i="77"/>
  <c r="Z352" i="71" s="1"/>
  <c r="Z161" i="69"/>
  <c r="JA33" i="77"/>
  <c r="AC33" i="74" s="1"/>
  <c r="BG38" i="77"/>
  <c r="AD38" i="65" s="1"/>
  <c r="GU92" i="77"/>
  <c r="AC94" i="72" s="1"/>
  <c r="HU239" i="77"/>
  <c r="Z239" i="73" s="1"/>
  <c r="CF238" i="77"/>
  <c r="Z238" i="68" s="1"/>
  <c r="Z217" i="71"/>
  <c r="AC13" i="70"/>
  <c r="HY423" i="77"/>
  <c r="AD423" i="73" s="1"/>
  <c r="HX40" i="77"/>
  <c r="AC40" i="73" s="1"/>
  <c r="BG248" i="77"/>
  <c r="AD251" i="65" s="1"/>
  <c r="CJ236" i="77"/>
  <c r="BG238"/>
  <c r="CJ402"/>
  <c r="AD402" i="68" s="1"/>
  <c r="AD21" i="69"/>
  <c r="GV436" i="77"/>
  <c r="AD436" i="72" s="1"/>
  <c r="EL32" i="77"/>
  <c r="Z32" i="70" s="1"/>
  <c r="HU24" i="77"/>
  <c r="Z24" i="73" s="1"/>
  <c r="Z415" i="65"/>
  <c r="FO355" i="77"/>
  <c r="Z355" i="71" s="1"/>
  <c r="BF239" i="77"/>
  <c r="JB32"/>
  <c r="AD32" i="74" s="1"/>
  <c r="HX92" i="77"/>
  <c r="AC94" i="73" s="1"/>
  <c r="EP426" i="77"/>
  <c r="AD426" i="70" s="1"/>
  <c r="JB29" i="77"/>
  <c r="AD29" i="74" s="1"/>
  <c r="AD461" i="71"/>
  <c r="AD79" i="72"/>
  <c r="AA45" i="69"/>
  <c r="Z421" i="70"/>
  <c r="FO64" i="77"/>
  <c r="Z64" i="71" s="1"/>
  <c r="JA245" i="77"/>
  <c r="AC248" i="74" s="1"/>
  <c r="EP352" i="77"/>
  <c r="AD352" i="70" s="1"/>
  <c r="AD12" i="73"/>
  <c r="AA430" i="70"/>
  <c r="AD79" i="65"/>
  <c r="AA93"/>
  <c r="JB57" i="77"/>
  <c r="AD57" i="74" s="1"/>
  <c r="HX26" i="77"/>
  <c r="AC26" i="73" s="1"/>
  <c r="AD125" i="65"/>
  <c r="AD150" i="74"/>
  <c r="BC448" i="77"/>
  <c r="Z448" i="65" s="1"/>
  <c r="AA12" i="70"/>
  <c r="Z182" i="68"/>
  <c r="AA22" i="71"/>
  <c r="JA402" i="77"/>
  <c r="AC402" i="74" s="1"/>
  <c r="FS90" i="77"/>
  <c r="AD415" i="71"/>
  <c r="CJ38" i="77"/>
  <c r="AD38" i="68" s="1"/>
  <c r="BF37" i="77"/>
  <c r="AC37" i="65" s="1"/>
  <c r="AC376" i="68"/>
  <c r="EP95" i="77"/>
  <c r="AD96" i="70" s="1"/>
  <c r="FS28" i="77"/>
  <c r="AD28" i="71" s="1"/>
  <c r="CF247" i="77"/>
  <c r="Z247" i="68" s="1"/>
  <c r="JA48" i="77"/>
  <c r="AC48" i="74" s="1"/>
  <c r="GV429" i="77"/>
  <c r="AD429" i="72" s="1"/>
  <c r="CI59" i="77"/>
  <c r="AC59" i="68" s="1"/>
  <c r="CI357" i="77"/>
  <c r="AC357" i="68" s="1"/>
  <c r="Z181" i="70"/>
  <c r="FS378" i="77"/>
  <c r="GV30"/>
  <c r="AD30" i="72" s="1"/>
  <c r="GV95" i="77"/>
  <c r="AD95" i="72" s="1"/>
  <c r="CI22" i="77"/>
  <c r="AC22" i="68" s="1"/>
  <c r="BC443" i="77"/>
  <c r="Z443" i="65" s="1"/>
  <c r="Z111" i="69"/>
  <c r="HU443" i="77"/>
  <c r="Z443" i="73" s="1"/>
  <c r="AD381"/>
  <c r="AC381"/>
  <c r="Z381" i="74"/>
  <c r="HY377" i="77"/>
  <c r="AD377" i="73" s="1"/>
  <c r="HX377" i="77"/>
  <c r="AC377" i="73" s="1"/>
  <c r="IX377" i="77"/>
  <c r="Z377" i="74" s="1"/>
  <c r="EL369" i="77"/>
  <c r="Z369" i="70" s="1"/>
  <c r="HY363" i="77"/>
  <c r="HX363"/>
  <c r="IX363"/>
  <c r="Z363" i="74" s="1"/>
  <c r="EL358" i="77"/>
  <c r="Z358" i="70" s="1"/>
  <c r="GU353" i="77"/>
  <c r="AC353" i="72" s="1"/>
  <c r="Z124" i="73"/>
  <c r="AC146" i="69"/>
  <c r="BF38" i="77"/>
  <c r="AC38" i="65" s="1"/>
  <c r="HX436" i="77"/>
  <c r="AC436" i="73" s="1"/>
  <c r="EL359" i="77"/>
  <c r="Z359" i="70" s="1"/>
  <c r="AA13" i="74"/>
  <c r="DI234" i="77"/>
  <c r="Z234" i="69" s="1"/>
  <c r="JB88" i="77"/>
  <c r="CF52"/>
  <c r="Z52" i="68" s="1"/>
  <c r="AC421" i="65"/>
  <c r="HX246" i="77"/>
  <c r="CF409"/>
  <c r="Z409" i="68" s="1"/>
  <c r="AC79" i="65"/>
  <c r="AC151"/>
  <c r="CI378" i="77"/>
  <c r="BF423"/>
  <c r="AC423" i="65" s="1"/>
  <c r="FS26" i="77"/>
  <c r="AD26" i="71" s="1"/>
  <c r="AA59" i="73"/>
  <c r="Z12" i="70"/>
  <c r="JA226" i="77"/>
  <c r="FO73"/>
  <c r="Z73" i="71" s="1"/>
  <c r="DL92" i="77"/>
  <c r="AC94" i="69" s="1"/>
  <c r="FO69" i="77"/>
  <c r="Z69" i="71" s="1"/>
  <c r="BF352" i="77"/>
  <c r="AC352" i="65" s="1"/>
  <c r="AD199" i="71"/>
  <c r="DI53" i="77"/>
  <c r="Z53" i="69" s="1"/>
  <c r="AA201" i="70"/>
  <c r="AA29" i="68"/>
  <c r="AA54" i="69"/>
  <c r="AC415" i="73"/>
  <c r="AC146"/>
  <c r="FR204" i="77"/>
  <c r="AA443" i="65"/>
  <c r="HU63" i="77"/>
  <c r="Z63" i="73" s="1"/>
  <c r="FS36" i="77"/>
  <c r="AD36" i="71" s="1"/>
  <c r="AC150" i="65"/>
  <c r="AA362" i="70"/>
  <c r="Z13" i="74"/>
  <c r="DI426" i="77"/>
  <c r="Z426" i="69" s="1"/>
  <c r="JA88" i="77"/>
  <c r="HY257"/>
  <c r="AD257" i="73" s="1"/>
  <c r="BG245" i="77"/>
  <c r="AD211" i="71"/>
  <c r="FS246" i="77"/>
  <c r="AD249" i="71" s="1"/>
  <c r="JB426" i="77"/>
  <c r="AD426" i="74" s="1"/>
  <c r="AA45" i="68"/>
  <c r="AA409"/>
  <c r="AA254" i="73"/>
  <c r="CI359" i="77"/>
  <c r="AA257" i="69"/>
  <c r="CI443" i="77"/>
  <c r="AC443" i="68" s="1"/>
  <c r="JA257" i="77"/>
  <c r="AC257" i="74" s="1"/>
  <c r="BG236" i="77"/>
  <c r="JA204"/>
  <c r="AC209" i="74" s="1"/>
  <c r="EO40" i="77"/>
  <c r="AC40" i="70" s="1"/>
  <c r="AC199" i="71"/>
  <c r="Z175" i="69"/>
  <c r="AD416" i="73"/>
  <c r="CJ357" i="77"/>
  <c r="AD357" i="68" s="1"/>
  <c r="AA201" i="69"/>
  <c r="AD415" i="73"/>
  <c r="DI235" i="77"/>
  <c r="Z235" i="69" s="1"/>
  <c r="AA40" i="68"/>
  <c r="AA193"/>
  <c r="GR244" i="77"/>
  <c r="Z244" i="72" s="1"/>
  <c r="CF353" i="77"/>
  <c r="Z353" i="68" s="1"/>
  <c r="AD214" i="73"/>
  <c r="AC214"/>
  <c r="Z214" i="74"/>
  <c r="AA39" i="69"/>
  <c r="AD11" i="68"/>
  <c r="DI29" i="77"/>
  <c r="Z29" i="69" s="1"/>
  <c r="Z61" i="68"/>
  <c r="AA36" i="65"/>
  <c r="BC36" i="77"/>
  <c r="Z36" i="65" s="1"/>
  <c r="JB67" i="77"/>
  <c r="AD67" i="74" s="1"/>
  <c r="BG65" i="77"/>
  <c r="AD65" i="65" s="1"/>
  <c r="BG58" i="77"/>
  <c r="AD58" i="65" s="1"/>
  <c r="FO65" i="77"/>
  <c r="Z65" i="71" s="1"/>
  <c r="EL30" i="77"/>
  <c r="Z30" i="70" s="1"/>
  <c r="AA23" i="72"/>
  <c r="EP40" i="77"/>
  <c r="AD40" i="70" s="1"/>
  <c r="IX24" i="77"/>
  <c r="Z24" i="74" s="1"/>
  <c r="Z188" i="73"/>
  <c r="AD206" i="71"/>
  <c r="Z199" i="73"/>
  <c r="AA206" i="70"/>
  <c r="AA153" i="74"/>
  <c r="AA211" i="70"/>
  <c r="FR205" i="77"/>
  <c r="GU360"/>
  <c r="FR36"/>
  <c r="AC36" i="71" s="1"/>
  <c r="HY436" i="77"/>
  <c r="AD436" i="73" s="1"/>
  <c r="AA61" i="65"/>
  <c r="FS42" i="77"/>
  <c r="AD42" i="71" s="1"/>
  <c r="GV85" i="77"/>
  <c r="HY93"/>
  <c r="AD95" i="73" s="1"/>
  <c r="AC16"/>
  <c r="CJ83" i="77"/>
  <c r="AD128" i="73"/>
  <c r="JA246" i="77"/>
  <c r="DI404"/>
  <c r="Z404" i="69" s="1"/>
  <c r="HU253" i="77"/>
  <c r="Z253" i="73" s="1"/>
  <c r="FO66" i="77"/>
  <c r="Z66" i="71" s="1"/>
  <c r="AA21" i="68"/>
  <c r="Z197" i="70"/>
  <c r="CF227" i="77"/>
  <c r="Z227" i="68" s="1"/>
  <c r="GU462" i="77"/>
  <c r="AC462" i="72" s="1"/>
  <c r="AA448" i="65"/>
  <c r="Z11" i="72"/>
  <c r="AA247" i="65"/>
  <c r="Z81" i="71"/>
  <c r="AD461" i="74"/>
  <c r="FS85" i="77"/>
  <c r="JA28"/>
  <c r="AC28" i="74" s="1"/>
  <c r="AA420" i="70"/>
  <c r="CF355" i="77"/>
  <c r="Z355" i="68" s="1"/>
  <c r="AA69" i="71"/>
  <c r="Z81" i="68"/>
  <c r="HX48" i="77"/>
  <c r="AC48" i="73" s="1"/>
  <c r="AD128" i="65"/>
  <c r="AC11" i="73"/>
  <c r="JB34" i="77"/>
  <c r="AD34" i="74" s="1"/>
  <c r="AA89" i="70"/>
  <c r="AA100" i="71"/>
  <c r="AA449" i="70"/>
  <c r="AD19" i="69"/>
  <c r="DI46" i="77"/>
  <c r="Z46" i="69" s="1"/>
  <c r="AA63" i="70"/>
  <c r="Z12" i="65"/>
  <c r="CJ23" i="77"/>
  <c r="AD23" i="68" s="1"/>
  <c r="HY60" i="77"/>
  <c r="AD60" i="73" s="1"/>
  <c r="AC17" i="71"/>
  <c r="IX58" i="77"/>
  <c r="Z58" i="74" s="1"/>
  <c r="CF40" i="77"/>
  <c r="Z40" i="68" s="1"/>
  <c r="FO92" i="77"/>
  <c r="Z92" i="71" s="1"/>
  <c r="DI435" i="77"/>
  <c r="Z435" i="69" s="1"/>
  <c r="Z17" i="73"/>
  <c r="JB33" i="77"/>
  <c r="AD33" i="74" s="1"/>
  <c r="AA98" i="70"/>
  <c r="GU85" i="77"/>
  <c r="HX93"/>
  <c r="AC95" i="73" s="1"/>
  <c r="BF65" i="77"/>
  <c r="AC65" i="65" s="1"/>
  <c r="CI83" i="77"/>
  <c r="AA95" i="74"/>
  <c r="JB60" i="77"/>
  <c r="AD60" i="74" s="1"/>
  <c r="DM88" i="77"/>
  <c r="BC244"/>
  <c r="Z244" i="65" s="1"/>
  <c r="AA126" i="69"/>
  <c r="CF367" i="77"/>
  <c r="Z367" i="68" s="1"/>
  <c r="EL420" i="77"/>
  <c r="Z420" i="70" s="1"/>
  <c r="AA420" i="69"/>
  <c r="AD415" i="72"/>
  <c r="GU253" i="77"/>
  <c r="AC254" i="72" s="1"/>
  <c r="JA34" i="77"/>
  <c r="AC34" i="74" s="1"/>
  <c r="CF60" i="77"/>
  <c r="Z60" i="68" s="1"/>
  <c r="EL449" i="77"/>
  <c r="Z449" i="70" s="1"/>
  <c r="JA408" i="77"/>
  <c r="AC408" i="74" s="1"/>
  <c r="AA97" i="68"/>
  <c r="DI448" i="77"/>
  <c r="Z448" i="69" s="1"/>
  <c r="AA92" i="70"/>
  <c r="DM69" i="77"/>
  <c r="AD69" i="69" s="1"/>
  <c r="AA18" i="65"/>
  <c r="AA12"/>
  <c r="Z12" i="71"/>
  <c r="AA14" i="73"/>
  <c r="CI23" i="77"/>
  <c r="AC23" i="68" s="1"/>
  <c r="HX60" i="77"/>
  <c r="AC60" i="73" s="1"/>
  <c r="AD17" i="71"/>
  <c r="Z51" i="68"/>
  <c r="AA199" i="70"/>
  <c r="AA63" i="73"/>
  <c r="GU40" i="77"/>
  <c r="AC40" i="72" s="1"/>
  <c r="EP69" i="77"/>
  <c r="AD69" i="70" s="1"/>
  <c r="FR238" i="77"/>
  <c r="FO58"/>
  <c r="Z58" i="71" s="1"/>
  <c r="AA434" i="65"/>
  <c r="CF233" i="77"/>
  <c r="Z233" i="68" s="1"/>
  <c r="FR83" i="77"/>
  <c r="CJ443"/>
  <c r="AD443" i="68" s="1"/>
  <c r="BG423" i="77"/>
  <c r="AD423" i="65" s="1"/>
  <c r="JA38" i="77"/>
  <c r="AC38" i="74" s="1"/>
  <c r="CF235" i="77"/>
  <c r="Z235" i="68" s="1"/>
  <c r="BG37" i="77"/>
  <c r="AD37" i="65" s="1"/>
  <c r="JB36" i="77"/>
  <c r="AD36" i="74" s="1"/>
  <c r="BF70" i="77"/>
  <c r="AC70" i="65" s="1"/>
  <c r="AA90" i="70"/>
  <c r="DI357" i="77"/>
  <c r="Z357" i="69" s="1"/>
  <c r="AA198"/>
  <c r="BF353" i="77"/>
  <c r="AC353" i="65" s="1"/>
  <c r="Z91" i="68"/>
  <c r="AA245" i="69"/>
  <c r="AA38" i="73"/>
  <c r="EL368" i="77"/>
  <c r="Z368" i="70" s="1"/>
  <c r="DI54" i="77"/>
  <c r="Z54" i="69" s="1"/>
  <c r="AA357" i="70"/>
  <c r="AA82" i="69"/>
  <c r="AA146" i="68"/>
  <c r="GU30" i="77"/>
  <c r="AC30" i="72" s="1"/>
  <c r="EO405" i="77"/>
  <c r="AC425" i="70" s="1"/>
  <c r="Z137" i="68"/>
  <c r="CF439" i="77"/>
  <c r="Z439" i="68" s="1"/>
  <c r="HU247" i="77"/>
  <c r="Z247" i="73" s="1"/>
  <c r="AA208" i="68"/>
  <c r="FO40" i="77"/>
  <c r="Z40" i="71" s="1"/>
  <c r="HX357" i="77"/>
  <c r="AC357" i="73" s="1"/>
  <c r="Z441" i="65"/>
  <c r="AC128" i="70"/>
  <c r="AA249" i="69"/>
  <c r="EP238" i="77"/>
  <c r="EO36"/>
  <c r="AC36" i="70" s="1"/>
  <c r="JA36" i="77"/>
  <c r="AC36" i="74" s="1"/>
  <c r="CJ67" i="77"/>
  <c r="AD67" i="68" s="1"/>
  <c r="AA26" i="70"/>
  <c r="Z361" i="68"/>
  <c r="Z131"/>
  <c r="DI400" i="77"/>
  <c r="Z400" i="69" s="1"/>
  <c r="AC13" i="73"/>
  <c r="FR462" i="77"/>
  <c r="AC462" i="71" s="1"/>
  <c r="EO38" i="77"/>
  <c r="AC38" i="70" s="1"/>
  <c r="GU435" i="77"/>
  <c r="AC435" i="72" s="1"/>
  <c r="AD437" i="71"/>
  <c r="GU236" i="77"/>
  <c r="GR36"/>
  <c r="Z36" i="72" s="1"/>
  <c r="BC434" i="77"/>
  <c r="Z434" i="65" s="1"/>
  <c r="HY357" i="77"/>
  <c r="AD357" i="73" s="1"/>
  <c r="AC125" i="72"/>
  <c r="GV236" i="77"/>
  <c r="AD124" i="68"/>
  <c r="HX443" i="77"/>
  <c r="AC443" i="73" s="1"/>
  <c r="HY455" i="77"/>
  <c r="AD455" i="73" s="1"/>
  <c r="EO69" i="77"/>
  <c r="AC69" i="70" s="1"/>
  <c r="AD13" i="73"/>
  <c r="BF58" i="77"/>
  <c r="AC58" i="65" s="1"/>
  <c r="FS238" i="77"/>
  <c r="GV407"/>
  <c r="AD407" i="72" s="1"/>
  <c r="IX93" i="77"/>
  <c r="Z93" i="74" s="1"/>
  <c r="FS83" i="77"/>
  <c r="GV462"/>
  <c r="AD462" i="72" s="1"/>
  <c r="EP36" i="77"/>
  <c r="AD36" i="70" s="1"/>
  <c r="HY37" i="77"/>
  <c r="AD37" i="73" s="1"/>
  <c r="CI67" i="77"/>
  <c r="AC67" i="68" s="1"/>
  <c r="AA364"/>
  <c r="Z157" i="74"/>
  <c r="FO72" i="77"/>
  <c r="Z72" i="71" s="1"/>
  <c r="EL29" i="77"/>
  <c r="Z29" i="70" s="1"/>
  <c r="EO236" i="77"/>
  <c r="AA147" i="68"/>
  <c r="DI408" i="77"/>
  <c r="Z408" i="69" s="1"/>
  <c r="AC149" i="68"/>
  <c r="EL60" i="77"/>
  <c r="Z60" i="70" s="1"/>
  <c r="AC365" i="74"/>
  <c r="JB409" i="77"/>
  <c r="AD409" i="74" s="1"/>
  <c r="JB86" i="77"/>
  <c r="AC125" i="65"/>
  <c r="DL88" i="77"/>
  <c r="AA214" i="68"/>
  <c r="AD93" i="72"/>
  <c r="DI420" i="77"/>
  <c r="Z420" i="69" s="1"/>
  <c r="GU238" i="77"/>
  <c r="DI52"/>
  <c r="Z52" i="69" s="1"/>
  <c r="Z41" i="65"/>
  <c r="AA241" i="68"/>
  <c r="GU37" i="77"/>
  <c r="AC37" i="72" s="1"/>
  <c r="AD376" i="68"/>
  <c r="AD207" i="65"/>
  <c r="AA401" i="70"/>
  <c r="AA44" i="68"/>
  <c r="DI429" i="77"/>
  <c r="Z429" i="69" s="1"/>
  <c r="AA368" i="70"/>
  <c r="AA253" i="68"/>
  <c r="AD146" i="73"/>
  <c r="CI442" i="77"/>
  <c r="AC442" i="68" s="1"/>
  <c r="AA144"/>
  <c r="EL234" i="77"/>
  <c r="Z234" i="70" s="1"/>
  <c r="AC123" i="71"/>
  <c r="BC28" i="77"/>
  <c r="Z28" i="65" s="1"/>
  <c r="FS60" i="77"/>
  <c r="AD60" i="71" s="1"/>
  <c r="AA357" i="69"/>
  <c r="AC437" i="70"/>
  <c r="Z251" i="68"/>
  <c r="DI47" i="77"/>
  <c r="Z47" i="69" s="1"/>
  <c r="AA124"/>
  <c r="AA416" i="65"/>
  <c r="DM437" i="77"/>
  <c r="DL437"/>
  <c r="AA70" i="70"/>
  <c r="EP70" i="77"/>
  <c r="AD70" i="70" s="1"/>
  <c r="EO70" i="77"/>
  <c r="AC70" i="70" s="1"/>
  <c r="Z150" i="73"/>
  <c r="DI437" i="77"/>
  <c r="Z437" i="69" s="1"/>
  <c r="EL228" i="77"/>
  <c r="Z228" i="70" s="1"/>
  <c r="Z182"/>
  <c r="AA193" i="73"/>
  <c r="AA48" i="65"/>
  <c r="AA146" i="70"/>
  <c r="AC146"/>
  <c r="AD146"/>
  <c r="AD416" i="72"/>
  <c r="GU239" i="77"/>
  <c r="AC245" i="72" s="1"/>
  <c r="AA64" i="68"/>
  <c r="GU29" i="77"/>
  <c r="AC29" i="72" s="1"/>
  <c r="FR88" i="77"/>
  <c r="HY439"/>
  <c r="AD439" i="73" s="1"/>
  <c r="BF245" i="77"/>
  <c r="AC248" i="65" s="1"/>
  <c r="HY88" i="77"/>
  <c r="HX65"/>
  <c r="AC65" i="73" s="1"/>
  <c r="AC128"/>
  <c r="CI70" i="77"/>
  <c r="AC70" i="68" s="1"/>
  <c r="EL246" i="77"/>
  <c r="Z246" i="70" s="1"/>
  <c r="AA462" i="68"/>
  <c r="DI39" i="77"/>
  <c r="Z39" i="69" s="1"/>
  <c r="JB242" i="77"/>
  <c r="GV82"/>
  <c r="AD80" i="72" s="1"/>
  <c r="HY374" i="77"/>
  <c r="AD374" i="73" s="1"/>
  <c r="HY30" i="77"/>
  <c r="AD30" i="73" s="1"/>
  <c r="AA416" i="68"/>
  <c r="FS32" i="77"/>
  <c r="AD32" i="71" s="1"/>
  <c r="AA427" i="72"/>
  <c r="BF253" i="77"/>
  <c r="AC254" i="65" s="1"/>
  <c r="HX83" i="77"/>
  <c r="AA79" i="68"/>
  <c r="AA421" i="69"/>
  <c r="HX434" i="77"/>
  <c r="AC434" i="73" s="1"/>
  <c r="JA407" i="77"/>
  <c r="AC407" i="74" s="1"/>
  <c r="EL26" i="77"/>
  <c r="Z26" i="70" s="1"/>
  <c r="Z137" i="69"/>
  <c r="AC416" i="74"/>
  <c r="AA46" i="69"/>
  <c r="AA97" i="71"/>
  <c r="GU95" i="77"/>
  <c r="AA192" i="73"/>
  <c r="AA439" i="65"/>
  <c r="CF428" i="77"/>
  <c r="Z428" i="68" s="1"/>
  <c r="CJ369" i="77"/>
  <c r="AA215" i="70"/>
  <c r="AA21" i="72"/>
  <c r="AC118"/>
  <c r="Z218" i="70"/>
  <c r="AA20" i="68"/>
  <c r="AA429"/>
  <c r="HX88" i="77"/>
  <c r="BF93"/>
  <c r="HY448"/>
  <c r="AD448" i="73" s="1"/>
  <c r="HY409" i="77"/>
  <c r="AD409" i="73" s="1"/>
  <c r="AA126" i="68"/>
  <c r="JA242" i="77"/>
  <c r="GU82"/>
  <c r="AC80" i="72" s="1"/>
  <c r="Z15" i="73"/>
  <c r="HX374" i="77"/>
  <c r="AC374" i="73" s="1"/>
  <c r="FR32" i="77"/>
  <c r="AC32" i="71" s="1"/>
  <c r="HU238" i="77"/>
  <c r="Z238" i="73" s="1"/>
  <c r="GR427" i="77"/>
  <c r="Z427" i="72" s="1"/>
  <c r="AA221" i="73"/>
  <c r="CF434" i="77"/>
  <c r="Z434" i="68" s="1"/>
  <c r="Z421" i="69"/>
  <c r="AD206" i="72"/>
  <c r="AD147" i="73"/>
  <c r="HY23" i="77"/>
  <c r="AD23" i="73" s="1"/>
  <c r="JB434" i="77"/>
  <c r="AD434" i="74" s="1"/>
  <c r="HY200" i="77"/>
  <c r="AD208" i="73" s="1"/>
  <c r="EL436" i="77"/>
  <c r="Z436" i="70" s="1"/>
  <c r="Z131" i="71"/>
  <c r="Z180" i="69"/>
  <c r="FO96" i="77"/>
  <c r="Z96" i="71" s="1"/>
  <c r="Z162" i="73"/>
  <c r="Z180" i="65"/>
  <c r="FS359" i="77"/>
  <c r="EL204"/>
  <c r="Z204" i="70" s="1"/>
  <c r="HY245" i="77"/>
  <c r="AD248" i="73" s="1"/>
  <c r="CF20" i="77"/>
  <c r="Z20" i="68" s="1"/>
  <c r="HY32" i="77"/>
  <c r="AD32" i="73" s="1"/>
  <c r="AA420" i="68"/>
  <c r="HX245" i="77"/>
  <c r="AC248" i="73" s="1"/>
  <c r="CI369" i="77"/>
  <c r="HX32"/>
  <c r="AC32" i="73" s="1"/>
  <c r="AC416" i="72"/>
  <c r="CF420" i="77"/>
  <c r="Z420" i="68" s="1"/>
  <c r="Z21" i="72"/>
  <c r="CF64" i="77"/>
  <c r="Z64" i="68" s="1"/>
  <c r="HX439" i="77"/>
  <c r="AC439" i="73" s="1"/>
  <c r="AC146" i="72"/>
  <c r="AC98" i="68"/>
  <c r="GV88" i="77"/>
  <c r="DI228"/>
  <c r="Z228" i="69" s="1"/>
  <c r="AD100" i="72"/>
  <c r="AC124" i="68"/>
  <c r="HX34" i="77"/>
  <c r="AC34" i="73" s="1"/>
  <c r="FS205" i="77"/>
  <c r="AA244" i="68"/>
  <c r="Z11" i="65"/>
  <c r="AA36" i="72"/>
  <c r="AA210" i="68"/>
  <c r="CF429" i="77"/>
  <c r="Z429" i="68" s="1"/>
  <c r="JB435" i="77"/>
  <c r="AD435" i="74" s="1"/>
  <c r="FR42" i="77"/>
  <c r="AC42" i="71" s="1"/>
  <c r="AD98" i="68"/>
  <c r="GU34" i="77"/>
  <c r="AC34" i="72" s="1"/>
  <c r="BG93" i="77"/>
  <c r="HX448"/>
  <c r="AC448" i="73" s="1"/>
  <c r="HX409" i="77"/>
  <c r="AC409" i="73" s="1"/>
  <c r="JB246" i="77"/>
  <c r="CF422"/>
  <c r="Z422" i="68" s="1"/>
  <c r="Z126"/>
  <c r="AA220" i="69"/>
  <c r="AD17" i="74"/>
  <c r="EO352" i="77"/>
  <c r="AC352" i="70" s="1"/>
  <c r="AC98" i="71"/>
  <c r="DI257" i="77"/>
  <c r="Z257" i="69" s="1"/>
  <c r="BG257" i="77"/>
  <c r="AD257" i="65" s="1"/>
  <c r="CI34" i="77"/>
  <c r="AC34" i="68" s="1"/>
  <c r="JB38" i="77"/>
  <c r="AD38" i="74" s="1"/>
  <c r="GV423" i="77"/>
  <c r="AD423" i="72" s="1"/>
  <c r="AA244" i="73"/>
  <c r="Z169" i="68"/>
  <c r="AA434"/>
  <c r="AC147" i="73"/>
  <c r="HX86" i="77"/>
  <c r="JB204"/>
  <c r="AD209" i="74" s="1"/>
  <c r="JA434" i="77"/>
  <c r="AC434" i="74" s="1"/>
  <c r="CI42" i="77"/>
  <c r="AC42" i="68" s="1"/>
  <c r="AD12" i="69"/>
  <c r="HY244" i="77"/>
  <c r="AA142" i="71"/>
  <c r="AA200" i="69"/>
  <c r="Z416" i="65"/>
  <c r="BC84" i="77"/>
  <c r="Z84" i="65" s="1"/>
  <c r="DI90" i="77"/>
  <c r="Z90" i="69" s="1"/>
  <c r="EO374" i="77"/>
  <c r="AC374" i="70" s="1"/>
  <c r="AA257" i="68"/>
  <c r="BC48" i="77"/>
  <c r="Z48" i="65" s="1"/>
  <c r="Z147" i="70"/>
  <c r="HU67" i="77"/>
  <c r="Z67" i="73" s="1"/>
  <c r="IX37" i="77"/>
  <c r="Z37" i="74" s="1"/>
  <c r="AA457" i="68"/>
  <c r="CI457" i="77"/>
  <c r="AC457" i="68" s="1"/>
  <c r="CJ457" i="77"/>
  <c r="AD457" i="68" s="1"/>
  <c r="Z61" i="69"/>
  <c r="AA200" i="65"/>
  <c r="Z31" i="68"/>
  <c r="CF257" i="77"/>
  <c r="Z257" i="68" s="1"/>
  <c r="AC124" i="65"/>
  <c r="DI442" i="77"/>
  <c r="Z442" i="69" s="1"/>
  <c r="JA409" i="77"/>
  <c r="AC409" i="74" s="1"/>
  <c r="AC145" i="65"/>
  <c r="AC206" i="72"/>
  <c r="CI426" i="77"/>
  <c r="AC426" i="68" s="1"/>
  <c r="AC128" i="65"/>
  <c r="HX23" i="77"/>
  <c r="AC23" i="73" s="1"/>
  <c r="CJ42" i="77"/>
  <c r="AD42" i="68" s="1"/>
  <c r="BG96" i="77"/>
  <c r="Z18" i="65"/>
  <c r="BC200" i="77"/>
  <c r="Z200" i="65" s="1"/>
  <c r="AA82"/>
  <c r="AA58" i="72"/>
  <c r="DI242" i="77"/>
  <c r="Z242" i="69" s="1"/>
  <c r="Z401"/>
  <c r="HU40" i="77"/>
  <c r="Z40" i="73" s="1"/>
  <c r="AA415" i="68"/>
  <c r="CF57" i="77"/>
  <c r="Z57" i="68" s="1"/>
  <c r="DI48" i="77"/>
  <c r="Z48" i="69" s="1"/>
  <c r="Z415" i="68"/>
  <c r="AA256" i="71"/>
  <c r="AA98" i="65"/>
  <c r="AC98"/>
  <c r="AD98"/>
  <c r="BF257" i="77"/>
  <c r="AC257" i="65" s="1"/>
  <c r="AA442" i="70"/>
  <c r="BC62" i="77"/>
  <c r="Z62" i="65" s="1"/>
  <c r="Z180" i="70"/>
  <c r="AA407" i="65"/>
  <c r="DI55" i="77"/>
  <c r="Z55" i="69" s="1"/>
  <c r="BG389" i="77"/>
  <c r="Z14" i="73"/>
  <c r="AA144" i="65"/>
  <c r="BC204" i="77"/>
  <c r="Z204" i="65" s="1"/>
  <c r="AA368" i="69"/>
  <c r="CF54" i="77"/>
  <c r="Z54" i="68" s="1"/>
  <c r="GV96" i="77"/>
  <c r="AD97" i="72" s="1"/>
  <c r="EP353" i="77"/>
  <c r="AD353" i="70" s="1"/>
  <c r="DI358" i="77"/>
  <c r="Z358" i="69" s="1"/>
  <c r="AA71"/>
  <c r="AA406" i="70"/>
  <c r="JA374" i="77"/>
  <c r="AC374" i="74" s="1"/>
  <c r="HX30" i="77"/>
  <c r="AC30" i="73" s="1"/>
  <c r="EL422" i="77"/>
  <c r="Z422" i="70" s="1"/>
  <c r="DI462" i="77"/>
  <c r="Z462" i="69" s="1"/>
  <c r="AC461" i="74"/>
  <c r="AA94" i="68"/>
  <c r="Z18" i="73"/>
  <c r="AD12" i="68"/>
  <c r="JB369" i="77"/>
  <c r="BF59"/>
  <c r="AC59" i="65" s="1"/>
  <c r="BF69" i="77"/>
  <c r="AC69" i="65" s="1"/>
  <c r="GV435" i="77"/>
  <c r="AD435" i="72" s="1"/>
  <c r="AC213" i="68"/>
  <c r="AA78" i="69"/>
  <c r="AA59" i="70"/>
  <c r="EL242" i="77"/>
  <c r="Z242" i="70" s="1"/>
  <c r="FR369" i="77"/>
  <c r="BC22"/>
  <c r="Z22" i="65" s="1"/>
  <c r="AA142" i="68"/>
  <c r="AA200" i="70"/>
  <c r="BC407" i="77"/>
  <c r="Z407" i="65" s="1"/>
  <c r="BC402" i="77"/>
  <c r="Z402" i="65" s="1"/>
  <c r="AA50" i="71"/>
  <c r="EP437" i="77"/>
  <c r="Z21" i="70"/>
  <c r="AA209" i="65"/>
  <c r="CF423" i="77"/>
  <c r="Z423" i="68" s="1"/>
  <c r="AA120" i="71"/>
  <c r="AA362" i="69"/>
  <c r="CF26" i="77"/>
  <c r="Z26" i="68" s="1"/>
  <c r="FO68" i="77"/>
  <c r="Z68" i="71" s="1"/>
  <c r="DI33" i="77"/>
  <c r="Z33" i="69" s="1"/>
  <c r="Z182" i="65"/>
  <c r="EL405" i="77"/>
  <c r="Z405" i="70" s="1"/>
  <c r="IX65" i="77"/>
  <c r="Z65" i="74" s="1"/>
  <c r="EL34" i="77"/>
  <c r="Z34" i="70" s="1"/>
  <c r="Z148" i="68"/>
  <c r="JB232" i="77"/>
  <c r="AA214" i="71"/>
  <c r="AA62" i="73"/>
  <c r="AC199" i="74"/>
  <c r="AD365"/>
  <c r="JA232" i="77"/>
  <c r="GU96"/>
  <c r="AC97" i="72" s="1"/>
  <c r="EO353" i="77"/>
  <c r="AC353" i="70" s="1"/>
  <c r="AA37" i="71"/>
  <c r="AA207" i="73"/>
  <c r="AD365" i="68"/>
  <c r="CI402" i="77"/>
  <c r="AC402" i="68" s="1"/>
  <c r="HU62" i="77"/>
  <c r="Z62" i="73" s="1"/>
  <c r="FR200" i="77"/>
  <c r="AC208" i="71" s="1"/>
  <c r="BF247" i="77"/>
  <c r="AC250" i="65" s="1"/>
  <c r="HX85" i="77"/>
  <c r="AD128" i="70"/>
  <c r="Z71" i="69"/>
  <c r="JB245" i="77"/>
  <c r="AD248" i="74" s="1"/>
  <c r="EL430" i="77"/>
  <c r="Z430" i="70" s="1"/>
  <c r="Z41"/>
  <c r="Z361" i="69"/>
  <c r="AA15" i="73"/>
  <c r="JA57" i="77"/>
  <c r="AC57" i="74" s="1"/>
  <c r="JB374" i="77"/>
  <c r="AD374" i="74" s="1"/>
  <c r="JA86" i="77"/>
  <c r="JB23"/>
  <c r="AD23" i="74" s="1"/>
  <c r="FR26" i="77"/>
  <c r="AC26" i="71" s="1"/>
  <c r="AA422" i="70"/>
  <c r="GR23" i="77"/>
  <c r="Z23" i="72" s="1"/>
  <c r="AA73" i="71"/>
  <c r="CF92" i="77"/>
  <c r="Z92" i="68" s="1"/>
  <c r="CF245" i="77"/>
  <c r="Z245" i="68" s="1"/>
  <c r="AA16" i="70"/>
  <c r="AA355" i="68"/>
  <c r="JB402" i="77"/>
  <c r="AD402" i="74" s="1"/>
  <c r="AC206" i="71"/>
  <c r="HU232" i="77"/>
  <c r="Z232" i="73" s="1"/>
  <c r="HU70" i="77"/>
  <c r="Z70" i="73" s="1"/>
  <c r="EP38" i="77"/>
  <c r="AD38" i="70" s="1"/>
  <c r="HY48" i="77"/>
  <c r="AD48" i="73" s="1"/>
  <c r="AC12" i="68"/>
  <c r="JA369" i="77"/>
  <c r="BG59"/>
  <c r="AD59" i="65" s="1"/>
  <c r="HY434" i="77"/>
  <c r="AD434" i="73" s="1"/>
  <c r="BG69" i="77"/>
  <c r="AD69" i="65" s="1"/>
  <c r="HX200" i="77"/>
  <c r="AC208" i="73" s="1"/>
  <c r="GV253" i="77"/>
  <c r="AD254" i="72" s="1"/>
  <c r="BF96" i="77"/>
  <c r="AC97" i="65" s="1"/>
  <c r="BG355" i="77"/>
  <c r="AD355" i="65" s="1"/>
  <c r="EL59" i="77"/>
  <c r="Z59" i="70" s="1"/>
  <c r="EL429" i="77"/>
  <c r="Z429" i="70" s="1"/>
  <c r="JB408" i="77"/>
  <c r="AD408" i="74" s="1"/>
  <c r="AC19" i="69"/>
  <c r="AA22" i="65"/>
  <c r="AA448" i="69"/>
  <c r="AA128" i="71"/>
  <c r="EL63" i="77"/>
  <c r="Z63" i="70" s="1"/>
  <c r="AA58" i="74"/>
  <c r="AA21" i="70"/>
  <c r="Z114" i="68"/>
  <c r="EL444" i="77"/>
  <c r="Z444" i="70" s="1"/>
  <c r="BC374" i="77"/>
  <c r="Z374" i="65" s="1"/>
  <c r="Z112" i="71"/>
  <c r="DM449" i="77"/>
  <c r="AD449" i="69" s="1"/>
  <c r="CF455" i="77"/>
  <c r="Z455" i="68" s="1"/>
  <c r="EL374" i="77"/>
  <c r="Z374" i="70" s="1"/>
  <c r="DI368" i="77"/>
  <c r="Z368" i="69" s="1"/>
  <c r="Z145" i="68"/>
  <c r="Z431" i="72"/>
  <c r="CF200" i="77"/>
  <c r="Z200" i="68" s="1"/>
  <c r="EL33" i="77"/>
  <c r="Z33" i="70" s="1"/>
  <c r="FR359" i="77"/>
  <c r="FO59"/>
  <c r="Z59" i="71" s="1"/>
  <c r="EL88" i="77"/>
  <c r="Z88" i="70" s="1"/>
  <c r="Z150" i="68"/>
  <c r="AD104" i="73"/>
  <c r="AC104"/>
  <c r="Z104" i="74"/>
  <c r="HY97" i="77"/>
  <c r="HX97"/>
  <c r="AC97" i="73" s="1"/>
  <c r="IX97" i="77"/>
  <c r="Z97" i="74" s="1"/>
  <c r="HU69" i="77"/>
  <c r="Z69" i="73" s="1"/>
  <c r="AA254" i="71"/>
  <c r="AA198" i="65"/>
  <c r="BC378" i="77"/>
  <c r="Z378" i="65" s="1"/>
  <c r="Z175"/>
  <c r="Z197" i="69"/>
  <c r="AA252" i="70"/>
  <c r="AA208" i="65"/>
  <c r="AA89"/>
  <c r="Z137"/>
  <c r="DM37" i="77"/>
  <c r="AD37" i="69" s="1"/>
  <c r="FO50" i="77"/>
  <c r="Z50" i="71" s="1"/>
  <c r="EL249" i="77"/>
  <c r="Z249" i="70" s="1"/>
  <c r="CF360" i="77"/>
  <c r="Z360" i="68" s="1"/>
  <c r="BC27" i="77"/>
  <c r="Z27" i="65" s="1"/>
  <c r="FO256" i="77"/>
  <c r="Z256" i="71" s="1"/>
  <c r="BG425" i="77"/>
  <c r="AA206" i="69"/>
  <c r="CJ33" i="77"/>
  <c r="AD33" i="68" s="1"/>
  <c r="CI234" i="77"/>
  <c r="CF29"/>
  <c r="Z29" i="68" s="1"/>
  <c r="CF73" i="77"/>
  <c r="Z73" i="68" s="1"/>
  <c r="CJ253" i="77"/>
  <c r="CJ65"/>
  <c r="AD65" i="68" s="1"/>
  <c r="CI256" i="77"/>
  <c r="AC256" i="68" s="1"/>
  <c r="AA48"/>
  <c r="Z217"/>
  <c r="AD17"/>
  <c r="CI33" i="77"/>
  <c r="AC33" i="68" s="1"/>
  <c r="CJ246" i="77"/>
  <c r="AD249" i="68" s="1"/>
  <c r="CJ234" i="77"/>
  <c r="CF95"/>
  <c r="Z95" i="68" s="1"/>
  <c r="AA246"/>
  <c r="AA411"/>
  <c r="CI253" i="77"/>
  <c r="CJ256"/>
  <c r="AD256" i="68" s="1"/>
  <c r="CF48" i="77"/>
  <c r="Z48" i="68" s="1"/>
  <c r="AA202"/>
  <c r="AA248"/>
  <c r="CJ448" i="77"/>
  <c r="AD448" i="68" s="1"/>
  <c r="AA195"/>
  <c r="AC17"/>
  <c r="CI246" i="77"/>
  <c r="AC249" i="68" s="1"/>
  <c r="CF242" i="77"/>
  <c r="Z242" i="68" s="1"/>
  <c r="Z183"/>
  <c r="AA44" i="69"/>
  <c r="DM44" i="77"/>
  <c r="AD44" i="69" s="1"/>
  <c r="DL44" i="77"/>
  <c r="AC44" i="69" s="1"/>
  <c r="AA215"/>
  <c r="AC215"/>
  <c r="DM233" i="77"/>
  <c r="AA80" i="69"/>
  <c r="DM67" i="77"/>
  <c r="AD67" i="69" s="1"/>
  <c r="DM59" i="77"/>
  <c r="AD59" i="69" s="1"/>
  <c r="DI438" i="77"/>
  <c r="Z438" i="69" s="1"/>
  <c r="AC51"/>
  <c r="DI423" i="77"/>
  <c r="Z423" i="69" s="1"/>
  <c r="DL22" i="77"/>
  <c r="AC22" i="69" s="1"/>
  <c r="DL233" i="77"/>
  <c r="DI82"/>
  <c r="Z82" i="69" s="1"/>
  <c r="AA352"/>
  <c r="DL378" i="77"/>
  <c r="DL67"/>
  <c r="AC67" i="69" s="1"/>
  <c r="DI246" i="77"/>
  <c r="Z246" i="69" s="1"/>
  <c r="AA218"/>
  <c r="Z81"/>
  <c r="DL59" i="77"/>
  <c r="AC59" i="69" s="1"/>
  <c r="AA151"/>
  <c r="AA144"/>
  <c r="AD13"/>
  <c r="AA221"/>
  <c r="Z51"/>
  <c r="AC79" i="72"/>
  <c r="AA65"/>
  <c r="GV422" i="77"/>
  <c r="AD422" i="72" s="1"/>
  <c r="GV256" i="77"/>
  <c r="AD256" i="72" s="1"/>
  <c r="GV357" i="77"/>
  <c r="AD357" i="72" s="1"/>
  <c r="AC214"/>
  <c r="AD211"/>
  <c r="GU88" i="77"/>
  <c r="GU422"/>
  <c r="AC422" i="72" s="1"/>
  <c r="GU242" i="77"/>
  <c r="AC246" i="72" s="1"/>
  <c r="GU256" i="77"/>
  <c r="AC256" i="72" s="1"/>
  <c r="GV455" i="77"/>
  <c r="AD455" i="72" s="1"/>
  <c r="GV443" i="77"/>
  <c r="AD443" i="72" s="1"/>
  <c r="GR33" i="77"/>
  <c r="Z33" i="72" s="1"/>
  <c r="GV355" i="77"/>
  <c r="AD355" i="72" s="1"/>
  <c r="AC100"/>
  <c r="GU355" i="77"/>
  <c r="AC355" i="72" s="1"/>
  <c r="GV360" i="77"/>
  <c r="GV60"/>
  <c r="AD60" i="72" s="1"/>
  <c r="AD214"/>
  <c r="AD146"/>
  <c r="GV34" i="77"/>
  <c r="AD34" i="72" s="1"/>
  <c r="AC211"/>
  <c r="GU70" i="77"/>
  <c r="AC70" i="72" s="1"/>
  <c r="GV242" i="77"/>
  <c r="AD246" i="72" s="1"/>
  <c r="GV37" i="77"/>
  <c r="AD37" i="72" s="1"/>
  <c r="GU48" i="77"/>
  <c r="AC48" i="72" s="1"/>
  <c r="Z13"/>
  <c r="GU455" i="77"/>
  <c r="AC455" i="72" s="1"/>
  <c r="GU443" i="77"/>
  <c r="AC443" i="72" s="1"/>
  <c r="AA22"/>
  <c r="AC13" i="69"/>
  <c r="Z125"/>
  <c r="AA153"/>
  <c r="AA123"/>
  <c r="Z441"/>
  <c r="DL70" i="77"/>
  <c r="AC70" i="69" s="1"/>
  <c r="AA63"/>
  <c r="DI66" i="77"/>
  <c r="Z66" i="69" s="1"/>
  <c r="DI232" i="77"/>
  <c r="Z232" i="69" s="1"/>
  <c r="DI62" i="77"/>
  <c r="Z62" i="69" s="1"/>
  <c r="AA96"/>
  <c r="AA441"/>
  <c r="DI95" i="77"/>
  <c r="Z95" i="69" s="1"/>
  <c r="DI443" i="77"/>
  <c r="Z443" i="69" s="1"/>
  <c r="Z414"/>
  <c r="AA442"/>
  <c r="DM22" i="77"/>
  <c r="AD22" i="69" s="1"/>
  <c r="DI430" i="77"/>
  <c r="Z430" i="69" s="1"/>
  <c r="AA79"/>
  <c r="AD215"/>
  <c r="DM70" i="77"/>
  <c r="AD70" i="69" s="1"/>
  <c r="DI63" i="77"/>
  <c r="Z63" i="69" s="1"/>
  <c r="Z31"/>
  <c r="DI355" i="77"/>
  <c r="Z355" i="69" s="1"/>
  <c r="CF352" i="77"/>
  <c r="Z352" i="68" s="1"/>
  <c r="CF435" i="77"/>
  <c r="Z435" i="68" s="1"/>
  <c r="AA210" i="69"/>
  <c r="DM205" i="77"/>
  <c r="AD210" i="69" s="1"/>
  <c r="DL205" i="77"/>
  <c r="AC210" i="69" s="1"/>
  <c r="AA207" i="68"/>
  <c r="AC207"/>
  <c r="AD207"/>
  <c r="AA208" i="69"/>
  <c r="DL200" i="77"/>
  <c r="AC208" i="69" s="1"/>
  <c r="DM200" i="77"/>
  <c r="AD208" i="69" s="1"/>
  <c r="CF88" i="77"/>
  <c r="Z88" i="68" s="1"/>
  <c r="Z124" i="69"/>
  <c r="Z107" i="68"/>
  <c r="X448" i="70"/>
  <c r="X72" i="74"/>
  <c r="X81" i="65"/>
  <c r="BC83" i="77"/>
  <c r="Z83" i="65" s="1"/>
  <c r="AA457" i="70"/>
  <c r="EO457" i="77"/>
  <c r="AC457" i="70" s="1"/>
  <c r="EP457" i="77"/>
  <c r="AD457" i="70" s="1"/>
  <c r="AA80" i="68"/>
  <c r="CJ82" i="77"/>
  <c r="AD80" i="68" s="1"/>
  <c r="CI82" i="77"/>
  <c r="AC80" i="68" s="1"/>
  <c r="AA36" i="69"/>
  <c r="DM36" i="77"/>
  <c r="AD36" i="69" s="1"/>
  <c r="DL36" i="77"/>
  <c r="AC36" i="69" s="1"/>
  <c r="CF93" i="77"/>
  <c r="Z93" i="68" s="1"/>
  <c r="X384" i="73"/>
  <c r="X207" i="68"/>
  <c r="Z199"/>
  <c r="X373" i="65"/>
  <c r="BC373" i="77"/>
  <c r="Z373" i="65" s="1"/>
  <c r="X409" i="70"/>
  <c r="X80" i="71"/>
  <c r="FO82" i="77"/>
  <c r="Z82" i="71" s="1"/>
  <c r="X411" i="69"/>
  <c r="X214"/>
  <c r="Z217"/>
  <c r="X57" i="65"/>
  <c r="X70" i="70"/>
  <c r="EL70" i="77"/>
  <c r="Z70" i="70" s="1"/>
  <c r="AA23" i="65"/>
  <c r="BG23" i="77"/>
  <c r="AD23" i="65" s="1"/>
  <c r="BF23" i="77"/>
  <c r="AC23" i="65" s="1"/>
  <c r="AC12" i="74"/>
  <c r="AC11" i="70"/>
  <c r="DI23" i="77"/>
  <c r="Z23" i="69" s="1"/>
  <c r="Z19" i="68"/>
  <c r="AA23" i="69"/>
  <c r="GU407" i="77"/>
  <c r="AC407" i="72" s="1"/>
  <c r="EL406" i="77"/>
  <c r="Z406" i="70" s="1"/>
  <c r="CJ455" i="77"/>
  <c r="AD455" i="68" s="1"/>
  <c r="EP236" i="77"/>
  <c r="FR60"/>
  <c r="AC60" i="71" s="1"/>
  <c r="CJ426" i="77"/>
  <c r="AD426" i="68" s="1"/>
  <c r="Z151" i="69"/>
  <c r="AA69" i="73"/>
  <c r="AA207" i="69"/>
  <c r="FO253" i="77"/>
  <c r="Z253" i="71" s="1"/>
  <c r="BC442" i="77"/>
  <c r="Z442" i="65" s="1"/>
  <c r="AA32"/>
  <c r="AC147" i="68"/>
  <c r="BC439" i="77"/>
  <c r="Z439" i="65" s="1"/>
  <c r="AA72" i="71"/>
  <c r="Z111" i="65"/>
  <c r="Z199" i="69"/>
  <c r="BC32" i="77"/>
  <c r="Z32" i="65" s="1"/>
  <c r="Z13"/>
  <c r="Z431" i="69"/>
  <c r="BC85" i="77"/>
  <c r="Z85" i="65" s="1"/>
  <c r="HU42" i="77"/>
  <c r="Z42" i="73" s="1"/>
  <c r="DI32" i="77"/>
  <c r="Z32" i="69" s="1"/>
  <c r="AA363" i="71"/>
  <c r="FR360" i="77"/>
  <c r="FS360"/>
  <c r="Z181" i="65"/>
  <c r="CF53" i="77"/>
  <c r="Z53" i="68" s="1"/>
  <c r="X145"/>
  <c r="Z138"/>
  <c r="X362" i="65"/>
  <c r="X42"/>
  <c r="BC42" i="77"/>
  <c r="Z42" i="65" s="1"/>
  <c r="X457" i="68"/>
  <c r="CF457" i="77"/>
  <c r="Z457" i="68" s="1"/>
  <c r="Z114" i="70"/>
  <c r="X69" i="74"/>
  <c r="X384" i="70"/>
  <c r="EL378" i="77"/>
  <c r="Z378" i="70" s="1"/>
  <c r="X23" i="65"/>
  <c r="BC23" i="77"/>
  <c r="Z23" i="65" s="1"/>
  <c r="X215" i="69"/>
  <c r="Z218"/>
  <c r="X210" i="73"/>
  <c r="HU205" i="77"/>
  <c r="Z205" i="73" s="1"/>
  <c r="X444" i="69"/>
  <c r="X206" i="68"/>
  <c r="Z197"/>
  <c r="X146" i="70"/>
  <c r="CF86" i="77"/>
  <c r="Z86" i="68" s="1"/>
  <c r="AA47"/>
  <c r="FO93" i="77"/>
  <c r="Z93" i="71" s="1"/>
  <c r="DI455" i="77"/>
  <c r="Z455" i="69" s="1"/>
  <c r="X16" i="72"/>
  <c r="Z16"/>
  <c r="AD216" i="73"/>
  <c r="AD191"/>
  <c r="X208" i="69"/>
  <c r="DI200" i="77"/>
  <c r="Z200" i="69" s="1"/>
  <c r="X98"/>
  <c r="AC216" i="73"/>
  <c r="AC191"/>
  <c r="AB191" i="74"/>
  <c r="AB216"/>
  <c r="X149" i="71"/>
  <c r="Z148"/>
  <c r="X98" i="65"/>
  <c r="X255" i="70"/>
  <c r="EL255" i="77"/>
  <c r="Z255" i="70" s="1"/>
  <c r="Z169"/>
  <c r="X365" i="69"/>
  <c r="X408" i="68"/>
  <c r="CF408" i="77"/>
  <c r="Z408" i="68" s="1"/>
  <c r="X36" i="69"/>
  <c r="DI36" i="77"/>
  <c r="Z36" i="69" s="1"/>
  <c r="X256" i="73"/>
  <c r="HU256" i="77"/>
  <c r="Z256" i="73" s="1"/>
  <c r="X142" i="69"/>
  <c r="X462" i="65"/>
  <c r="X44" i="69"/>
  <c r="DI44" i="77"/>
  <c r="Z44" i="69" s="1"/>
  <c r="BC369" i="77"/>
  <c r="Z369" i="65" s="1"/>
  <c r="X210" i="69"/>
  <c r="DI205" i="77"/>
  <c r="Z205" i="69" s="1"/>
  <c r="X251" i="68"/>
  <c r="CF248" i="77"/>
  <c r="Z248" i="68" s="1"/>
  <c r="AA371" i="65"/>
  <c r="X253" i="73"/>
  <c r="Z251"/>
  <c r="X242"/>
  <c r="X80" i="68"/>
  <c r="CF82" i="77"/>
  <c r="Z82" i="68" s="1"/>
  <c r="X91" i="65"/>
  <c r="AA384"/>
  <c r="AA71" i="71"/>
  <c r="DI20" i="77"/>
  <c r="Z20" i="69" s="1"/>
  <c r="Z411" i="68"/>
  <c r="AA404" i="70"/>
  <c r="Z138" i="69"/>
  <c r="Z17" i="72"/>
  <c r="AA42"/>
  <c r="GR42" i="77"/>
  <c r="Z42" i="72" s="1"/>
  <c r="X147" i="71"/>
  <c r="Z145"/>
  <c r="X430" i="68"/>
  <c r="CF430" i="77"/>
  <c r="Z430" i="68" s="1"/>
  <c r="Z71" i="71"/>
  <c r="EL404" i="77"/>
  <c r="Z404" i="70" s="1"/>
  <c r="AA408" i="65"/>
  <c r="X241" i="73"/>
  <c r="X81" i="69"/>
  <c r="X24" i="68"/>
  <c r="CF24" i="77"/>
  <c r="Z24" i="68" s="1"/>
  <c r="DL37" i="77"/>
  <c r="AC37" i="69" s="1"/>
  <c r="AA96" i="68"/>
  <c r="AA201" i="65"/>
  <c r="AA53" i="68"/>
  <c r="X376" i="70"/>
  <c r="X240" i="65"/>
  <c r="BC234" i="77"/>
  <c r="Z234" i="65" s="1"/>
  <c r="X428" i="69"/>
  <c r="DI428" i="77"/>
  <c r="Z428" i="69" s="1"/>
  <c r="X16" i="74"/>
  <c r="Z16"/>
  <c r="X149"/>
  <c r="Z148"/>
  <c r="X457" i="70"/>
  <c r="EL457" i="77"/>
  <c r="Z457" i="70" s="1"/>
  <c r="X19"/>
  <c r="Z19"/>
  <c r="AA422" i="69"/>
  <c r="DM422" i="77"/>
  <c r="AD422" i="69" s="1"/>
  <c r="DL422" i="77"/>
  <c r="AC422" i="69" s="1"/>
  <c r="AA353"/>
  <c r="DI353" i="77"/>
  <c r="Z353" i="69" s="1"/>
  <c r="X436" i="65"/>
  <c r="BC436" i="77"/>
  <c r="Z436" i="65" s="1"/>
  <c r="X252"/>
  <c r="BC249" i="77"/>
  <c r="Z249" i="65" s="1"/>
  <c r="X37" i="68"/>
  <c r="CF37" i="77"/>
  <c r="Z37" i="68" s="1"/>
  <c r="AA198" i="71"/>
  <c r="X151" i="68"/>
  <c r="Z151"/>
  <c r="X426" i="72"/>
  <c r="GR426" i="77"/>
  <c r="Z426" i="72" s="1"/>
  <c r="X49" i="69"/>
  <c r="AA353" i="71"/>
  <c r="FS353" i="77"/>
  <c r="AD353" i="71" s="1"/>
  <c r="FR353" i="77"/>
  <c r="AC353" i="71" s="1"/>
  <c r="X457" i="69"/>
  <c r="DI457" i="77"/>
  <c r="Z457" i="69" s="1"/>
  <c r="FO38" i="77"/>
  <c r="Z38" i="71" s="1"/>
  <c r="AA82" i="68"/>
  <c r="X422" i="69"/>
  <c r="DI422" i="77"/>
  <c r="Z422" i="69" s="1"/>
  <c r="CF84" i="77"/>
  <c r="Z84" i="68" s="1"/>
  <c r="BC408" i="77"/>
  <c r="Z408" i="65" s="1"/>
  <c r="CF39" i="77"/>
  <c r="Z39" i="68" s="1"/>
  <c r="AB205" i="73"/>
  <c r="AB122"/>
  <c r="AB119"/>
  <c r="AB143"/>
  <c r="AB389" i="74"/>
  <c r="AB386"/>
  <c r="AB194" i="73"/>
  <c r="AB118"/>
  <c r="AB217" i="74"/>
  <c r="AB197"/>
  <c r="AB385" i="73"/>
  <c r="AB388"/>
  <c r="X60" i="69"/>
  <c r="DI60" i="77"/>
  <c r="Z60" i="69" s="1"/>
  <c r="X100"/>
  <c r="CF47" i="77"/>
  <c r="Z47" i="68" s="1"/>
  <c r="X153"/>
  <c r="X192" i="69"/>
  <c r="Z162"/>
  <c r="AA240" i="71"/>
  <c r="FR234" i="77"/>
  <c r="FS234"/>
  <c r="X196" i="69"/>
  <c r="Z170"/>
  <c r="AC389" i="73"/>
  <c r="AD143" i="72"/>
  <c r="AD119"/>
  <c r="AC419"/>
  <c r="AC412"/>
  <c r="AD412" i="73"/>
  <c r="AD419"/>
  <c r="AC425" i="69"/>
  <c r="AC405"/>
  <c r="AD405" i="72"/>
  <c r="AD425"/>
  <c r="AA385" i="65"/>
  <c r="AA388"/>
  <c r="AA204" i="73"/>
  <c r="AA243"/>
  <c r="AC194" i="65"/>
  <c r="AD143"/>
  <c r="AD119"/>
  <c r="AD143" i="68"/>
  <c r="AD119"/>
  <c r="AD389" i="69"/>
  <c r="AD386"/>
  <c r="AA438"/>
  <c r="AA414"/>
  <c r="AD413" i="74"/>
  <c r="AD437"/>
  <c r="AA432" i="68"/>
  <c r="AA417"/>
  <c r="AA389" i="70"/>
  <c r="AA386"/>
  <c r="AC216" i="74"/>
  <c r="AC191"/>
  <c r="AC243"/>
  <c r="AC413" i="71"/>
  <c r="AC437"/>
  <c r="AD122" i="68"/>
  <c r="AD243" i="69"/>
  <c r="AD243" i="68"/>
  <c r="AD204"/>
  <c r="AC122" i="69"/>
  <c r="AC386" i="68"/>
  <c r="AC389"/>
  <c r="AA413" i="65"/>
  <c r="AA437"/>
  <c r="AA412" i="69"/>
  <c r="AA419"/>
  <c r="AA119" i="70"/>
  <c r="AA143"/>
  <c r="AA217" i="71"/>
  <c r="AA197"/>
  <c r="AA417" i="69"/>
  <c r="AA432"/>
  <c r="X121"/>
  <c r="Z114"/>
  <c r="AA122" i="73"/>
  <c r="AA205"/>
  <c r="X239" i="71"/>
  <c r="FO233" i="77"/>
  <c r="Z233" i="71" s="1"/>
  <c r="AA352" i="72"/>
  <c r="GU352" i="77"/>
  <c r="AC352" i="72" s="1"/>
  <c r="GV352" i="77"/>
  <c r="AD352" i="72" s="1"/>
  <c r="X215" i="68"/>
  <c r="Z218"/>
  <c r="AA197" i="73"/>
  <c r="AA217"/>
  <c r="X455" i="65"/>
  <c r="BC455" i="77"/>
  <c r="Z455" i="65" s="1"/>
  <c r="X367" i="69"/>
  <c r="DI367" i="77"/>
  <c r="Z367" i="69" s="1"/>
  <c r="AA205" i="74"/>
  <c r="AA122"/>
  <c r="AD217" i="73"/>
  <c r="AD197"/>
  <c r="AC194" i="72"/>
  <c r="AD385"/>
  <c r="AD388"/>
  <c r="AD425" i="71"/>
  <c r="AD405"/>
  <c r="AD413" i="73"/>
  <c r="AD437"/>
  <c r="AC385" i="72"/>
  <c r="AC388"/>
  <c r="AD194"/>
  <c r="AC143"/>
  <c r="AC119"/>
  <c r="AD205"/>
  <c r="AD122"/>
  <c r="AC425" i="71"/>
  <c r="AC405"/>
  <c r="AC437" i="73"/>
  <c r="AC413"/>
  <c r="AD419" i="72"/>
  <c r="AD412"/>
  <c r="AC412" i="73"/>
  <c r="AC419"/>
  <c r="AD425" i="69"/>
  <c r="AD405"/>
  <c r="AC405" i="72"/>
  <c r="AC425"/>
  <c r="AA216" i="69"/>
  <c r="AA191"/>
  <c r="AD437" i="68"/>
  <c r="AD413"/>
  <c r="AD419" i="71"/>
  <c r="AD412"/>
  <c r="AA413" i="69"/>
  <c r="AA437"/>
  <c r="AD194" i="68"/>
  <c r="AD118"/>
  <c r="AD197" i="65"/>
  <c r="AC194" i="69"/>
  <c r="AC118"/>
  <c r="AC388" i="68"/>
  <c r="AC385"/>
  <c r="AC243" i="70"/>
  <c r="AA118"/>
  <c r="AA194"/>
  <c r="AD243" i="72"/>
  <c r="AD204"/>
  <c r="AC216" i="65"/>
  <c r="AD216" i="70"/>
  <c r="AD191"/>
  <c r="AD405" i="74"/>
  <c r="AD425"/>
  <c r="AA191" i="68"/>
  <c r="AA216"/>
  <c r="AD122" i="69"/>
  <c r="AD386" i="68"/>
  <c r="AD389"/>
  <c r="X251" i="69"/>
  <c r="DI248" i="77"/>
  <c r="Z248" i="69" s="1"/>
  <c r="X461" i="70"/>
  <c r="Z461"/>
  <c r="AD118" i="71"/>
  <c r="AD194"/>
  <c r="AA143"/>
  <c r="AA119"/>
  <c r="X205" i="65"/>
  <c r="X122"/>
  <c r="Z118"/>
  <c r="AA386" i="73"/>
  <c r="AA389"/>
  <c r="X425" i="68"/>
  <c r="X405"/>
  <c r="CF405" i="77"/>
  <c r="Z405" i="68" s="1"/>
  <c r="AA376" i="72"/>
  <c r="AC376"/>
  <c r="AD376"/>
  <c r="X209" i="69"/>
  <c r="DI204" i="77"/>
  <c r="Z204" i="69" s="1"/>
  <c r="AA145"/>
  <c r="AC205" i="72"/>
  <c r="AC122"/>
  <c r="AD419" i="68"/>
  <c r="AD412"/>
  <c r="AC419" i="74"/>
  <c r="AC412"/>
  <c r="AD437" i="72"/>
  <c r="AD413"/>
  <c r="AC417" i="69"/>
  <c r="AC432"/>
  <c r="AC119"/>
  <c r="AC143"/>
  <c r="AC437" i="68"/>
  <c r="AC413"/>
  <c r="AC412" i="71"/>
  <c r="AC419"/>
  <c r="AA191"/>
  <c r="AA216"/>
  <c r="AC194" i="68"/>
  <c r="AC118"/>
  <c r="AC197" i="65"/>
  <c r="AD118" i="69"/>
  <c r="AD194"/>
  <c r="AD388" i="68"/>
  <c r="AD385"/>
  <c r="AC243" i="72"/>
  <c r="AC204"/>
  <c r="AD216" i="65"/>
  <c r="AD191"/>
  <c r="AC216" i="70"/>
  <c r="AC191"/>
  <c r="AC425" i="74"/>
  <c r="AC405"/>
  <c r="AD413" i="70"/>
  <c r="AD437"/>
  <c r="X438" i="68"/>
  <c r="X414"/>
  <c r="AC217" i="70"/>
  <c r="AC405"/>
  <c r="X119"/>
  <c r="X143"/>
  <c r="X216" i="68"/>
  <c r="X191"/>
  <c r="AA143" i="65"/>
  <c r="AA119"/>
  <c r="X419"/>
  <c r="X412"/>
  <c r="X148"/>
  <c r="Z147"/>
  <c r="X199"/>
  <c r="X461" i="69"/>
  <c r="Z461"/>
  <c r="AA118" i="72"/>
  <c r="AA194"/>
  <c r="X217" i="71"/>
  <c r="X197"/>
  <c r="X242" i="69"/>
  <c r="DI236" i="77"/>
  <c r="Z236" i="69" s="1"/>
  <c r="AA194" i="73"/>
  <c r="AA118"/>
  <c r="AA388"/>
  <c r="AA385"/>
  <c r="AA413" i="70"/>
  <c r="AA437"/>
  <c r="AC217" i="73"/>
  <c r="AC197"/>
  <c r="AC412" i="68"/>
  <c r="AC419"/>
  <c r="AD419" i="74"/>
  <c r="AD412"/>
  <c r="AC437" i="72"/>
  <c r="AC413"/>
  <c r="AD417" i="69"/>
  <c r="AD432"/>
  <c r="AD119"/>
  <c r="AD143"/>
  <c r="AD194" i="65"/>
  <c r="AC143"/>
  <c r="AC143" i="68"/>
  <c r="AC119"/>
  <c r="AC389" i="69"/>
  <c r="AC386"/>
  <c r="AA388" i="70"/>
  <c r="AA385"/>
  <c r="AC413" i="74"/>
  <c r="AC437"/>
  <c r="AA122" i="70"/>
  <c r="AA205"/>
  <c r="AD191" i="74"/>
  <c r="AD243"/>
  <c r="AD204"/>
  <c r="AD413" i="71"/>
  <c r="AC122" i="68"/>
  <c r="AC243" i="69"/>
  <c r="AC243" i="68"/>
  <c r="AC204"/>
  <c r="AA412" i="70"/>
  <c r="AA419"/>
  <c r="AC413"/>
  <c r="AA386" i="65"/>
  <c r="AA389"/>
  <c r="X243"/>
  <c r="X204"/>
  <c r="AA412"/>
  <c r="AD217" i="70"/>
  <c r="X425" i="65"/>
  <c r="X405"/>
  <c r="BC405" i="77"/>
  <c r="Z405" i="65" s="1"/>
  <c r="X423" i="70"/>
  <c r="EL423" i="77"/>
  <c r="Z423" i="70" s="1"/>
  <c r="AA191" i="74"/>
  <c r="AA216"/>
  <c r="AA205" i="72"/>
  <c r="AA122"/>
  <c r="X143" i="65"/>
  <c r="X119"/>
  <c r="DI373" i="77"/>
  <c r="Z373" i="69" s="1"/>
  <c r="AA373"/>
  <c r="CJ224" i="77"/>
  <c r="CI224"/>
  <c r="CJ238"/>
  <c r="AD98" i="70"/>
  <c r="AC98"/>
  <c r="GV36" i="77"/>
  <c r="AD36" i="72" s="1"/>
  <c r="GU36" i="77"/>
  <c r="AC36" i="72" s="1"/>
  <c r="AC100" i="68"/>
  <c r="AD100"/>
  <c r="AD11" i="65"/>
  <c r="AC11"/>
  <c r="DM256" i="77"/>
  <c r="AD256" i="69" s="1"/>
  <c r="DL256" i="77"/>
  <c r="AC256" i="69" s="1"/>
  <c r="AD215" i="70"/>
  <c r="AC13" i="74"/>
  <c r="AD13"/>
  <c r="FS70" i="77"/>
  <c r="AD70" i="71" s="1"/>
  <c r="FR70" i="77"/>
  <c r="AC70" i="71" s="1"/>
  <c r="EP248" i="77"/>
  <c r="EO248"/>
  <c r="BG255"/>
  <c r="AD255" i="65" s="1"/>
  <c r="BF255" i="77"/>
  <c r="AC255" i="65" s="1"/>
  <c r="BF228" i="77"/>
  <c r="BG228"/>
  <c r="DL247"/>
  <c r="AC250" i="69" s="1"/>
  <c r="DM247" i="77"/>
  <c r="AD250" i="69" s="1"/>
  <c r="CJ239" i="77"/>
  <c r="CI239"/>
  <c r="DM234"/>
  <c r="DL234"/>
  <c r="CJ205"/>
  <c r="AD210" i="68" s="1"/>
  <c r="CI205" i="77"/>
  <c r="AC210" i="68" s="1"/>
  <c r="AD153" i="69"/>
  <c r="CJ429" i="77"/>
  <c r="AD429" i="68" s="1"/>
  <c r="EO402" i="77"/>
  <c r="AC402" i="70" s="1"/>
  <c r="EP402" i="77"/>
  <c r="AD402" i="70" s="1"/>
  <c r="DM45" i="77"/>
  <c r="AD45" i="69" s="1"/>
  <c r="DL45" i="77"/>
  <c r="AC45" i="69" s="1"/>
  <c r="AD123"/>
  <c r="BF437" i="77"/>
  <c r="BG437"/>
  <c r="CI462"/>
  <c r="AC462" i="68" s="1"/>
  <c r="CJ462" i="77"/>
  <c r="AD462" i="68" s="1"/>
  <c r="EP406" i="77"/>
  <c r="AD406" i="70" s="1"/>
  <c r="EO406" i="77"/>
  <c r="AC406" i="70" s="1"/>
  <c r="EO388" i="77"/>
  <c r="EP388"/>
  <c r="FR66"/>
  <c r="AC66" i="71" s="1"/>
  <c r="FS66" i="77"/>
  <c r="AD66" i="71" s="1"/>
  <c r="AD206" i="70"/>
  <c r="AC206"/>
  <c r="CI227" i="77"/>
  <c r="CJ227"/>
  <c r="CI233"/>
  <c r="CJ233"/>
  <c r="AA14" i="72"/>
  <c r="Z14"/>
  <c r="BG448" i="77"/>
  <c r="AD448" i="65" s="1"/>
  <c r="DL30" i="77"/>
  <c r="AC30" i="69" s="1"/>
  <c r="DM30" i="77"/>
  <c r="AD30" i="69" s="1"/>
  <c r="JB92" i="77"/>
  <c r="AD94" i="74" s="1"/>
  <c r="JA92" i="77"/>
  <c r="AC94" i="74" s="1"/>
  <c r="DL246" i="77"/>
  <c r="AC249" i="69" s="1"/>
  <c r="DM246" i="77"/>
  <c r="AD249" i="69" s="1"/>
  <c r="AC11" i="72"/>
  <c r="AD11"/>
  <c r="GV23" i="77"/>
  <c r="AD23" i="72" s="1"/>
  <c r="GU23" i="77"/>
  <c r="AC23" i="72" s="1"/>
  <c r="AC126" i="70"/>
  <c r="AD126"/>
  <c r="DM432" i="77"/>
  <c r="DL432"/>
  <c r="FS69"/>
  <c r="AD69" i="71" s="1"/>
  <c r="FR69" i="77"/>
  <c r="AC69" i="71" s="1"/>
  <c r="EO425" i="77"/>
  <c r="EP425"/>
  <c r="EP85"/>
  <c r="EO85"/>
  <c r="BF26"/>
  <c r="AC26" i="65" s="1"/>
  <c r="BG26" i="77"/>
  <c r="AD26" i="65" s="1"/>
  <c r="EP442" i="77"/>
  <c r="AD442" i="70" s="1"/>
  <c r="EO442" i="77"/>
  <c r="AC442" i="70" s="1"/>
  <c r="DL53" i="77"/>
  <c r="AC53" i="69" s="1"/>
  <c r="DM23" i="77"/>
  <c r="AD23" i="69" s="1"/>
  <c r="AA254"/>
  <c r="DI253" i="77"/>
  <c r="Z253" i="69" s="1"/>
  <c r="CI86" i="77"/>
  <c r="AD13" i="65"/>
  <c r="BF407" i="77"/>
  <c r="AC407" i="65" s="1"/>
  <c r="AD128" i="71"/>
  <c r="DM84" i="77"/>
  <c r="Z414" i="68"/>
  <c r="DL47" i="77"/>
  <c r="AC47" i="69" s="1"/>
  <c r="GV90" i="77"/>
  <c r="AD92" i="72" s="1"/>
  <c r="GU90" i="77"/>
  <c r="AC92" i="72" s="1"/>
  <c r="AD14" i="73"/>
  <c r="AC14"/>
  <c r="AA196" i="65"/>
  <c r="Z170"/>
  <c r="AD51" i="68"/>
  <c r="AC51"/>
  <c r="CJ55" i="77"/>
  <c r="AD55" i="68" s="1"/>
  <c r="CI55" i="77"/>
  <c r="AC55" i="68" s="1"/>
  <c r="CF46" i="77"/>
  <c r="Z46" i="68" s="1"/>
  <c r="AA46"/>
  <c r="AA365" i="65"/>
  <c r="GV408" i="77"/>
  <c r="AD408" i="72" s="1"/>
  <c r="GU408" i="77"/>
  <c r="AC408" i="72" s="1"/>
  <c r="CJ20" i="77"/>
  <c r="AD20" i="68" s="1"/>
  <c r="AC214" i="71"/>
  <c r="AD214"/>
  <c r="AD214" i="65"/>
  <c r="AD31" i="70"/>
  <c r="AC31"/>
  <c r="HX24" i="77"/>
  <c r="AC24" i="73" s="1"/>
  <c r="HY24" i="77"/>
  <c r="AD24" i="73" s="1"/>
  <c r="CF49" i="77"/>
  <c r="Z49" i="68" s="1"/>
  <c r="AA49"/>
  <c r="EP246" i="77"/>
  <c r="EO246"/>
  <c r="CJ45"/>
  <c r="AD45" i="68" s="1"/>
  <c r="CI45" i="77"/>
  <c r="AC45" i="68" s="1"/>
  <c r="FR352" i="77"/>
  <c r="AC352" i="71" s="1"/>
  <c r="FS352" i="77"/>
  <c r="AD352" i="71" s="1"/>
  <c r="AD126" i="68"/>
  <c r="AD211" i="73"/>
  <c r="AC211"/>
  <c r="HX253" i="77"/>
  <c r="AC254" i="73" s="1"/>
  <c r="HY253" i="77"/>
  <c r="AD254" i="73" s="1"/>
  <c r="BG388" i="77"/>
  <c r="BF388"/>
  <c r="EO380"/>
  <c r="AC380" i="70" s="1"/>
  <c r="EP380" i="77"/>
  <c r="AD380" i="70" s="1"/>
  <c r="AC93" i="65"/>
  <c r="EP28" i="77"/>
  <c r="AD28" i="70" s="1"/>
  <c r="EO28" i="77"/>
  <c r="AC28" i="70" s="1"/>
  <c r="FS65" i="77"/>
  <c r="AD65" i="71" s="1"/>
  <c r="FR65" i="77"/>
  <c r="AC65" i="71" s="1"/>
  <c r="CF400" i="77"/>
  <c r="Z400" i="68" s="1"/>
  <c r="AA400"/>
  <c r="BG435" i="77"/>
  <c r="AD435" i="65" s="1"/>
  <c r="BF435" i="77"/>
  <c r="AC435" i="65" s="1"/>
  <c r="AD12" i="70"/>
  <c r="AC12"/>
  <c r="DL374" i="77"/>
  <c r="AC374" i="69" s="1"/>
  <c r="AC126"/>
  <c r="AD126"/>
  <c r="AC214" i="68"/>
  <c r="AD461" i="65"/>
  <c r="AC461"/>
  <c r="EP420" i="77"/>
  <c r="AD420" i="70" s="1"/>
  <c r="EO420" i="77"/>
  <c r="AC420" i="70" s="1"/>
  <c r="BF360" i="77"/>
  <c r="FS245"/>
  <c r="AD248" i="71" s="1"/>
  <c r="AD286" i="70"/>
  <c r="AC286"/>
  <c r="AC151" i="73"/>
  <c r="AD151"/>
  <c r="FS224" i="77"/>
  <c r="FR224"/>
  <c r="EO360"/>
  <c r="EP360"/>
  <c r="CJ235"/>
  <c r="CI235"/>
  <c r="DM28"/>
  <c r="AD28" i="69" s="1"/>
  <c r="DL28" i="77"/>
  <c r="AC28" i="69" s="1"/>
  <c r="AC421"/>
  <c r="AD421"/>
  <c r="AC401" i="70"/>
  <c r="AD401"/>
  <c r="EP86" i="77"/>
  <c r="EP26"/>
  <c r="AD26" i="70" s="1"/>
  <c r="EO26" i="77"/>
  <c r="AC26" i="70" s="1"/>
  <c r="EO429" i="77"/>
  <c r="AC429" i="70" s="1"/>
  <c r="AD421" i="68"/>
  <c r="AC421"/>
  <c r="DM429" i="77"/>
  <c r="AD429" i="69" s="1"/>
  <c r="DL429" i="77"/>
  <c r="AC429" i="69" s="1"/>
  <c r="DI370" i="77"/>
  <c r="Z370" i="69" s="1"/>
  <c r="AA372"/>
  <c r="DM239" i="77"/>
  <c r="AD245" i="69" s="1"/>
  <c r="DL239" i="77"/>
  <c r="AC245" i="69" s="1"/>
  <c r="EO368" i="77"/>
  <c r="AC368" i="70" s="1"/>
  <c r="DL54" i="77"/>
  <c r="AC54" i="69" s="1"/>
  <c r="DM54" i="77"/>
  <c r="AD54" i="69" s="1"/>
  <c r="GV247" i="77"/>
  <c r="AD250" i="72" s="1"/>
  <c r="GU247" i="77"/>
  <c r="AC250" i="72" s="1"/>
  <c r="Z188" i="65"/>
  <c r="AC146" i="68"/>
  <c r="DM427" i="77"/>
  <c r="AD427" i="69" s="1"/>
  <c r="DL427" i="77"/>
  <c r="AC427" i="69" s="1"/>
  <c r="AD12" i="65"/>
  <c r="AC12"/>
  <c r="EP389" i="77"/>
  <c r="EO389"/>
  <c r="AC421" i="72"/>
  <c r="AD421"/>
  <c r="BC95" i="77"/>
  <c r="Z95" i="65" s="1"/>
  <c r="AA96"/>
  <c r="BG406" i="77"/>
  <c r="AD406" i="65" s="1"/>
  <c r="BF406" i="77"/>
  <c r="AC406" i="65" s="1"/>
  <c r="FR92" i="77"/>
  <c r="AC94" i="71" s="1"/>
  <c r="DL400" i="77"/>
  <c r="AC400" i="69" s="1"/>
  <c r="AA253"/>
  <c r="Z251"/>
  <c r="EP444" i="77"/>
  <c r="AD444" i="70" s="1"/>
  <c r="EO444" i="77"/>
  <c r="AC444" i="70" s="1"/>
  <c r="BG443" i="77"/>
  <c r="AD443" i="65" s="1"/>
  <c r="BF443" i="77"/>
  <c r="AC443" i="65" s="1"/>
  <c r="HY239" i="77"/>
  <c r="AD245" i="73" s="1"/>
  <c r="HX239" i="77"/>
  <c r="DM82"/>
  <c r="EO32"/>
  <c r="AC32" i="70" s="1"/>
  <c r="EP32" i="77"/>
  <c r="AD32" i="70" s="1"/>
  <c r="AD21" i="72"/>
  <c r="AC21"/>
  <c r="BF380" i="77"/>
  <c r="AC380" i="65" s="1"/>
  <c r="BG380" i="77"/>
  <c r="AD380" i="65" s="1"/>
  <c r="DM352" i="77"/>
  <c r="AD352" i="69" s="1"/>
  <c r="CI64" i="77"/>
  <c r="AC64" i="68" s="1"/>
  <c r="AD61" i="65"/>
  <c r="AC61"/>
  <c r="AD415"/>
  <c r="AC415"/>
  <c r="FS355" i="77"/>
  <c r="AD355" i="71" s="1"/>
  <c r="FR355" i="77"/>
  <c r="AC355" i="71" s="1"/>
  <c r="DM358" i="77"/>
  <c r="AD358" i="69" s="1"/>
  <c r="EP83" i="77"/>
  <c r="EO83"/>
  <c r="AD376" i="65"/>
  <c r="AC376"/>
  <c r="EO227" i="77"/>
  <c r="EP227"/>
  <c r="AC421" i="70"/>
  <c r="AD421"/>
  <c r="CJ409" i="77"/>
  <c r="AD409" i="68" s="1"/>
  <c r="CI409" i="77"/>
  <c r="AC409" i="68" s="1"/>
  <c r="EP430" i="77"/>
  <c r="AD430" i="70" s="1"/>
  <c r="EO430" i="77"/>
  <c r="AC430" i="70" s="1"/>
  <c r="CI432" i="77"/>
  <c r="CJ432"/>
  <c r="DM96"/>
  <c r="AD97" i="69" s="1"/>
  <c r="DL96" i="77"/>
  <c r="AC97" i="69" s="1"/>
  <c r="CI62" i="77"/>
  <c r="AC62" i="68" s="1"/>
  <c r="CJ62" i="77"/>
  <c r="AD62" i="68" s="1"/>
  <c r="AA211" i="65"/>
  <c r="EP434" i="77"/>
  <c r="AD434" i="70" s="1"/>
  <c r="EO434" i="77"/>
  <c r="AC434" i="70" s="1"/>
  <c r="GV67" i="77"/>
  <c r="AD67" i="72" s="1"/>
  <c r="HY59" i="77"/>
  <c r="AD59" i="73" s="1"/>
  <c r="HX59" i="77"/>
  <c r="AC59" i="73" s="1"/>
  <c r="CI90" i="77"/>
  <c r="CJ90"/>
  <c r="EP422"/>
  <c r="AD422" i="70" s="1"/>
  <c r="CJ367" i="77"/>
  <c r="AD367" i="68" s="1"/>
  <c r="CI367" i="77"/>
  <c r="AC367" i="68" s="1"/>
  <c r="AD416"/>
  <c r="AC416"/>
  <c r="HY238" i="77"/>
  <c r="HX238"/>
  <c r="AC416" i="69"/>
  <c r="AD61" i="68"/>
  <c r="AC61"/>
  <c r="FS22" i="77"/>
  <c r="AD22" i="71" s="1"/>
  <c r="EP244" i="77"/>
  <c r="AD247" i="70" s="1"/>
  <c r="EO244" i="77"/>
  <c r="AC247" i="70" s="1"/>
  <c r="DM52" i="77"/>
  <c r="AD52" i="69" s="1"/>
  <c r="DL52" i="77"/>
  <c r="AC52" i="69" s="1"/>
  <c r="HX232" i="77"/>
  <c r="HY232"/>
  <c r="AD79" i="68"/>
  <c r="JB420" i="77"/>
  <c r="AD420" i="74" s="1"/>
  <c r="JA420" i="77"/>
  <c r="AC420" i="74" s="1"/>
  <c r="BG237" i="77"/>
  <c r="BF237"/>
  <c r="EP242"/>
  <c r="AD211" i="70"/>
  <c r="AC211"/>
  <c r="AA249" i="65"/>
  <c r="BC246" i="77"/>
  <c r="Z246" i="65" s="1"/>
  <c r="AA195" i="69"/>
  <c r="Z169"/>
  <c r="AD147" i="74"/>
  <c r="AC147"/>
  <c r="CI96" i="77"/>
  <c r="AC97" i="68" s="1"/>
  <c r="CJ96" i="77"/>
  <c r="AD97" i="68" s="1"/>
  <c r="BG62" i="77"/>
  <c r="AD62" i="65" s="1"/>
  <c r="EO90" i="77"/>
  <c r="AC92" i="70" s="1"/>
  <c r="EP90" i="77"/>
  <c r="AD92" i="70" s="1"/>
  <c r="HY237" i="77"/>
  <c r="HX237"/>
  <c r="DM369"/>
  <c r="EP357"/>
  <c r="AD357" i="70" s="1"/>
  <c r="EO357" i="77"/>
  <c r="AC357" i="70" s="1"/>
  <c r="AC253" i="68"/>
  <c r="AD253"/>
  <c r="AD93" i="70"/>
  <c r="AC93"/>
  <c r="EO226" i="77"/>
  <c r="EP226"/>
  <c r="FS96"/>
  <c r="AD97" i="71" s="1"/>
  <c r="FR96" i="77"/>
  <c r="AC97" i="71" s="1"/>
  <c r="AD12"/>
  <c r="AC12"/>
  <c r="DL238" i="77"/>
  <c r="CI84"/>
  <c r="DI68"/>
  <c r="Z68" i="69" s="1"/>
  <c r="AA68"/>
  <c r="BF369" i="77"/>
  <c r="AC441" i="70"/>
  <c r="AD441"/>
  <c r="DM439" i="77"/>
  <c r="AD439" i="69" s="1"/>
  <c r="DL439" i="77"/>
  <c r="AC439" i="69" s="1"/>
  <c r="DM438" i="77"/>
  <c r="DL438"/>
  <c r="AA203" i="65"/>
  <c r="Z183"/>
  <c r="BG439" i="77"/>
  <c r="AD439" i="65" s="1"/>
  <c r="BF439" i="77"/>
  <c r="AC439" i="65" s="1"/>
  <c r="AD193" i="68"/>
  <c r="AC193"/>
  <c r="EO257" i="77"/>
  <c r="AC257" i="70" s="1"/>
  <c r="EP257" i="77"/>
  <c r="AD257" i="70" s="1"/>
  <c r="AD146" i="65"/>
  <c r="AC146"/>
  <c r="CJ423" i="77"/>
  <c r="AD423" i="68" s="1"/>
  <c r="CI423" i="77"/>
  <c r="AC423" i="68" s="1"/>
  <c r="HX63" i="77"/>
  <c r="AC63" i="73" s="1"/>
  <c r="BG86" i="77"/>
  <c r="BF86"/>
  <c r="EO359"/>
  <c r="EP359"/>
  <c r="DM426"/>
  <c r="AD426" i="69" s="1"/>
  <c r="DL426" i="77"/>
  <c r="AC426" i="69" s="1"/>
  <c r="AC11"/>
  <c r="AD441" i="65"/>
  <c r="AC441"/>
  <c r="DM237" i="77"/>
  <c r="DL237"/>
  <c r="CJ232"/>
  <c r="CI232"/>
  <c r="AD71" i="69"/>
  <c r="AC71"/>
  <c r="AD128" i="68"/>
  <c r="AC128"/>
  <c r="FR64" i="77"/>
  <c r="AC64" i="71" s="1"/>
  <c r="FS64" i="77"/>
  <c r="AD64" i="71" s="1"/>
  <c r="DL39" i="77"/>
  <c r="AC39" i="69" s="1"/>
  <c r="BF434" i="77"/>
  <c r="AC434" i="65" s="1"/>
  <c r="BG434" i="77"/>
  <c r="AD434" i="65" s="1"/>
  <c r="EP237" i="77"/>
  <c r="EO237"/>
  <c r="AC123" i="68"/>
  <c r="AD123"/>
  <c r="FO67" i="77"/>
  <c r="Z67" i="71" s="1"/>
  <c r="AA67"/>
  <c r="BF444" i="77"/>
  <c r="AC444" i="65" s="1"/>
  <c r="BG244" i="77"/>
  <c r="BF244"/>
  <c r="AD124" i="71"/>
  <c r="AC124"/>
  <c r="CJ226" i="77"/>
  <c r="CI226"/>
  <c r="AC153" i="74"/>
  <c r="AD153"/>
  <c r="CI449" i="77"/>
  <c r="AC449" i="68" s="1"/>
  <c r="EP370" i="77"/>
  <c r="EO370"/>
  <c r="CI355"/>
  <c r="AC355" i="68" s="1"/>
  <c r="AD199" i="72"/>
  <c r="AC199"/>
  <c r="DM220" i="77"/>
  <c r="DL220"/>
  <c r="CJ220"/>
  <c r="CI220"/>
  <c r="GV38"/>
  <c r="AD38" i="72" s="1"/>
  <c r="GU38" i="77"/>
  <c r="AC38" i="72" s="1"/>
  <c r="AD441" i="69"/>
  <c r="AD100" i="71"/>
  <c r="AC100"/>
  <c r="CJ60" i="77"/>
  <c r="AD60" i="68" s="1"/>
  <c r="CI60" i="77"/>
  <c r="AC60" i="68" s="1"/>
  <c r="EP449" i="77"/>
  <c r="AD449" i="70" s="1"/>
  <c r="EO449" i="77"/>
  <c r="AC449" i="70" s="1"/>
  <c r="AC151" i="69"/>
  <c r="EP59" i="77"/>
  <c r="AD59" i="70" s="1"/>
  <c r="EO59" i="77"/>
  <c r="AC59" i="70" s="1"/>
  <c r="DL357" i="77"/>
  <c r="AC357" i="69" s="1"/>
  <c r="DM357" i="77"/>
  <c r="AD357" i="69" s="1"/>
  <c r="FS220" i="77"/>
  <c r="FR220"/>
  <c r="GV32"/>
  <c r="AD32" i="72" s="1"/>
  <c r="GU32" i="77"/>
  <c r="AC32" i="72" s="1"/>
  <c r="DL227" i="77"/>
  <c r="DM227"/>
  <c r="AA192" i="68"/>
  <c r="Z162"/>
  <c r="AD220"/>
  <c r="DL46" i="77"/>
  <c r="AC46" i="69" s="1"/>
  <c r="DM46" i="77"/>
  <c r="AD46" i="69" s="1"/>
  <c r="AD18" i="65"/>
  <c r="AC18"/>
  <c r="AD206" i="69"/>
  <c r="AC206"/>
  <c r="FR236" i="77"/>
  <c r="FS236"/>
  <c r="EO63"/>
  <c r="AC63" i="70" s="1"/>
  <c r="EP63" i="77"/>
  <c r="AD63" i="70" s="1"/>
  <c r="AD71" i="71"/>
  <c r="AC71"/>
  <c r="AA357" i="65"/>
  <c r="BC357" i="77"/>
  <c r="Z357" i="65" s="1"/>
  <c r="BC426" i="77"/>
  <c r="Z426" i="65" s="1"/>
  <c r="AA426"/>
  <c r="BG85" i="77"/>
  <c r="CJ73"/>
  <c r="AD73" i="68" s="1"/>
  <c r="CI73" i="77"/>
  <c r="AC73" i="68" s="1"/>
  <c r="AD199" i="70"/>
  <c r="AC199"/>
  <c r="BF84" i="77"/>
  <c r="BG84"/>
  <c r="AD148" i="69"/>
  <c r="DL85" i="77"/>
  <c r="DM85"/>
  <c r="AD16" i="68"/>
  <c r="AC16"/>
  <c r="AA27" i="70"/>
  <c r="EL27" i="77"/>
  <c r="Z27" i="70" s="1"/>
  <c r="BG204" i="77"/>
  <c r="AD209" i="65" s="1"/>
  <c r="BF204" i="77"/>
  <c r="AC209" i="65" s="1"/>
  <c r="CI439" i="77"/>
  <c r="AC439" i="68" s="1"/>
  <c r="CJ439" i="77"/>
  <c r="AD439" i="68" s="1"/>
  <c r="FR72" i="77"/>
  <c r="AC72" i="71" s="1"/>
  <c r="AB125" i="74"/>
  <c r="Z125"/>
  <c r="Z118"/>
  <c r="JB90" i="77"/>
  <c r="JA90"/>
  <c r="AC92" i="74" s="1"/>
  <c r="HY233" i="77"/>
  <c r="HX233"/>
  <c r="JB249"/>
  <c r="JA249"/>
  <c r="Z111" i="74"/>
  <c r="AB120"/>
  <c r="Z112"/>
  <c r="JB220" i="77"/>
  <c r="JA220"/>
  <c r="JB255"/>
  <c r="AD255" i="74" s="1"/>
  <c r="JA255" i="77"/>
  <c r="AC255" i="74" s="1"/>
  <c r="HY224" i="77"/>
  <c r="HX224"/>
  <c r="AD286" i="73"/>
  <c r="AC286"/>
  <c r="AD100"/>
  <c r="AC100"/>
  <c r="Z136" i="74"/>
  <c r="AB126"/>
  <c r="Z126"/>
  <c r="AB121"/>
  <c r="Z114"/>
  <c r="AB124"/>
  <c r="Z124"/>
  <c r="AB239"/>
  <c r="IX233" i="77"/>
  <c r="Z233" i="74" s="1"/>
  <c r="Z107"/>
  <c r="AB123"/>
  <c r="Z121"/>
  <c r="HY234" i="77"/>
  <c r="HX234"/>
  <c r="IX224"/>
  <c r="Z224" i="74" s="1"/>
  <c r="AB100"/>
  <c r="AD126" i="73"/>
  <c r="AC126"/>
  <c r="AD98" i="74"/>
  <c r="AC98"/>
  <c r="AD123" i="73"/>
  <c r="AC123"/>
  <c r="AB240" i="74"/>
  <c r="IX234" i="77"/>
  <c r="Z234" i="74" s="1"/>
  <c r="AB198"/>
  <c r="Z175"/>
  <c r="AD125" i="73"/>
  <c r="AC125"/>
  <c r="AB200" i="74"/>
  <c r="Z180"/>
  <c r="HY359" i="77"/>
  <c r="HX359"/>
  <c r="IX380"/>
  <c r="Z380" i="74" s="1"/>
  <c r="HY360" i="77"/>
  <c r="HX360"/>
  <c r="HY358"/>
  <c r="AD358" i="73" s="1"/>
  <c r="HX358" i="77"/>
  <c r="AC358" i="73" s="1"/>
  <c r="AB353" i="74"/>
  <c r="IX353" i="77"/>
  <c r="Z353" i="74" s="1"/>
  <c r="JB357" i="77"/>
  <c r="AD357" i="74" s="1"/>
  <c r="JA357" i="77"/>
  <c r="AC357" i="74" s="1"/>
  <c r="AB363"/>
  <c r="IX360" i="77"/>
  <c r="Z360" i="74" s="1"/>
  <c r="JB352" i="77"/>
  <c r="AD352" i="74" s="1"/>
  <c r="JA352" i="77"/>
  <c r="AC352" i="74" s="1"/>
  <c r="HY389" i="77"/>
  <c r="HX389"/>
  <c r="HY355"/>
  <c r="AD355" i="73" s="1"/>
  <c r="HX355" i="77"/>
  <c r="AC355" i="73" s="1"/>
  <c r="HY388" i="77"/>
  <c r="HX388"/>
  <c r="AB362" i="74"/>
  <c r="IX359" i="77"/>
  <c r="Z359" i="74" s="1"/>
  <c r="IX389" i="77"/>
  <c r="Z389" i="74" s="1"/>
  <c r="HY380" i="77"/>
  <c r="AD380" i="73" s="1"/>
  <c r="HX380" i="77"/>
  <c r="AC380" i="73" s="1"/>
  <c r="IX358" i="77"/>
  <c r="Z358" i="74" s="1"/>
  <c r="AB355"/>
  <c r="IX355" i="77"/>
  <c r="Z355" i="74" s="1"/>
  <c r="HY353" i="77"/>
  <c r="AD353" i="73" s="1"/>
  <c r="HX353" i="77"/>
  <c r="AC353" i="73" s="1"/>
  <c r="IX388" i="77"/>
  <c r="Z388" i="74" s="1"/>
  <c r="HY112" i="77" l="1"/>
  <c r="HX112"/>
  <c r="AA311" i="65"/>
  <c r="BF311" i="77"/>
  <c r="AC311" i="65" s="1"/>
  <c r="BG311" i="77"/>
  <c r="AD311" i="65" s="1"/>
  <c r="JB236" i="77"/>
  <c r="JA236"/>
  <c r="JA432"/>
  <c r="JB432"/>
  <c r="JA228"/>
  <c r="JB228"/>
  <c r="JB368"/>
  <c r="AD368" i="74" s="1"/>
  <c r="JA368" i="77"/>
  <c r="AC368" i="74" s="1"/>
  <c r="JA428" i="77"/>
  <c r="AC428" i="74" s="1"/>
  <c r="JB428" i="77"/>
  <c r="AD428" i="74" s="1"/>
  <c r="JA438" i="77"/>
  <c r="JB438"/>
  <c r="JB227"/>
  <c r="JA227"/>
  <c r="JB373"/>
  <c r="AD373" i="74" s="1"/>
  <c r="JA373" i="77"/>
  <c r="AC373" i="74" s="1"/>
  <c r="JA367" i="77"/>
  <c r="AC367" i="74" s="1"/>
  <c r="JB367" i="77"/>
  <c r="AD367" i="74" s="1"/>
  <c r="JA370" i="77"/>
  <c r="JB370"/>
  <c r="JB415"/>
  <c r="JA415"/>
  <c r="JA405"/>
  <c r="JB405"/>
  <c r="JB400"/>
  <c r="AD400" i="74" s="1"/>
  <c r="JA400" i="77"/>
  <c r="AC400" i="74" s="1"/>
  <c r="JA404" i="77"/>
  <c r="AC404" i="74" s="1"/>
  <c r="JB404" i="77"/>
  <c r="AD404" i="74" s="1"/>
  <c r="JB427" i="77"/>
  <c r="AD427" i="74" s="1"/>
  <c r="JA427" i="77"/>
  <c r="AC427" i="74" s="1"/>
  <c r="JB406" i="77"/>
  <c r="AD406" i="74" s="1"/>
  <c r="JA406" i="77"/>
  <c r="AC406" i="74" s="1"/>
  <c r="JA235" i="77"/>
  <c r="JB235"/>
  <c r="AA328" i="70"/>
  <c r="EO328" i="77"/>
  <c r="AC328" i="70" s="1"/>
  <c r="EP328" i="77"/>
  <c r="AD328" i="70" s="1"/>
  <c r="AA332" i="69"/>
  <c r="DM332" i="77"/>
  <c r="AD332" i="69" s="1"/>
  <c r="DL332" i="77"/>
  <c r="AC332" i="69" s="1"/>
  <c r="BG187" i="77"/>
  <c r="BF187"/>
  <c r="EO275"/>
  <c r="AC275" i="70" s="1"/>
  <c r="EP188" i="77"/>
  <c r="EO188"/>
  <c r="DL98"/>
  <c r="DM98"/>
  <c r="JB134"/>
  <c r="JA134"/>
  <c r="JB135"/>
  <c r="JA135"/>
  <c r="JB109"/>
  <c r="JA109"/>
  <c r="JB136"/>
  <c r="JA136"/>
  <c r="JB138"/>
  <c r="JA138"/>
  <c r="JB317"/>
  <c r="AD317" i="74" s="1"/>
  <c r="JA317" i="77"/>
  <c r="AC317" i="74" s="1"/>
  <c r="JB261" i="77"/>
  <c r="JA261"/>
  <c r="DL97"/>
  <c r="JB61"/>
  <c r="JA61"/>
  <c r="JB133"/>
  <c r="JA133"/>
  <c r="JB107"/>
  <c r="JA107"/>
  <c r="JB314"/>
  <c r="AD314" i="74" s="1"/>
  <c r="JA314" i="77"/>
  <c r="AC314" i="74" s="1"/>
  <c r="JB113" i="77"/>
  <c r="JA113"/>
  <c r="JB91"/>
  <c r="JA91"/>
  <c r="JB219"/>
  <c r="JA219"/>
  <c r="JB111"/>
  <c r="JA111"/>
  <c r="JB141"/>
  <c r="JA141"/>
  <c r="JB416"/>
  <c r="JA416"/>
  <c r="JB148"/>
  <c r="JA148"/>
  <c r="JB231"/>
  <c r="JA231"/>
  <c r="JB144"/>
  <c r="JA144"/>
  <c r="JB381"/>
  <c r="JA381"/>
  <c r="DM278"/>
  <c r="DL278"/>
  <c r="EP207"/>
  <c r="EO207"/>
  <c r="JB142"/>
  <c r="JA142"/>
  <c r="JB316"/>
  <c r="AD316" i="74" s="1"/>
  <c r="JA316" i="77"/>
  <c r="AC316" i="74" s="1"/>
  <c r="JB41" i="77"/>
  <c r="JA41"/>
  <c r="JB147"/>
  <c r="JA147"/>
  <c r="JB151"/>
  <c r="JA151"/>
  <c r="JB218"/>
  <c r="JA218"/>
  <c r="JB153"/>
  <c r="JA153"/>
  <c r="JB137"/>
  <c r="JA137"/>
  <c r="JB419"/>
  <c r="JA419"/>
  <c r="JB154"/>
  <c r="JA154"/>
  <c r="JB321"/>
  <c r="AD321" i="74" s="1"/>
  <c r="JA321" i="77"/>
  <c r="AC321" i="74" s="1"/>
  <c r="JB115" i="77"/>
  <c r="JA115"/>
  <c r="JB140"/>
  <c r="JA140"/>
  <c r="JB143"/>
  <c r="JA143"/>
  <c r="JB139"/>
  <c r="JA139"/>
  <c r="JB361"/>
  <c r="JA361"/>
  <c r="JB155"/>
  <c r="JA155"/>
  <c r="JB417"/>
  <c r="JA417"/>
  <c r="JB146"/>
  <c r="JA146"/>
  <c r="DM252"/>
  <c r="DL252"/>
  <c r="JB335"/>
  <c r="AD335" i="74" s="1"/>
  <c r="JA335" i="77"/>
  <c r="AC335" i="74" s="1"/>
  <c r="JB334" i="77"/>
  <c r="AD334" i="74" s="1"/>
  <c r="JA334" i="77"/>
  <c r="AC334" i="74" s="1"/>
  <c r="JB339" i="77"/>
  <c r="AD339" i="74" s="1"/>
  <c r="JA339" i="77"/>
  <c r="AC339" i="74" s="1"/>
  <c r="JB330" i="77"/>
  <c r="AD330" i="74" s="1"/>
  <c r="JA330" i="77"/>
  <c r="AC330" i="74" s="1"/>
  <c r="JB328" i="77"/>
  <c r="AD328" i="74" s="1"/>
  <c r="JA328" i="77"/>
  <c r="AC328" i="74" s="1"/>
  <c r="JB325" i="77"/>
  <c r="AD325" i="74" s="1"/>
  <c r="JA325" i="77"/>
  <c r="AC325" i="74" s="1"/>
  <c r="JB344" i="77"/>
  <c r="AD344" i="74" s="1"/>
  <c r="JA344" i="77"/>
  <c r="AC344" i="74" s="1"/>
  <c r="JB337" i="77"/>
  <c r="AD337" i="74" s="1"/>
  <c r="JA337" i="77"/>
  <c r="AC337" i="74" s="1"/>
  <c r="JB324" i="77"/>
  <c r="AD324" i="74" s="1"/>
  <c r="JA324" i="77"/>
  <c r="AC324" i="74" s="1"/>
  <c r="JB340" i="77"/>
  <c r="AD340" i="74" s="1"/>
  <c r="JA340" i="77"/>
  <c r="AC340" i="74" s="1"/>
  <c r="JB309" i="77"/>
  <c r="AD309" i="74" s="1"/>
  <c r="JA309" i="77"/>
  <c r="AC309" i="74" s="1"/>
  <c r="JB308" i="77"/>
  <c r="AD308" i="74" s="1"/>
  <c r="JA308" i="77"/>
  <c r="AC308" i="74" s="1"/>
  <c r="JB343" i="77"/>
  <c r="AD343" i="74" s="1"/>
  <c r="JA343" i="77"/>
  <c r="AC343" i="74" s="1"/>
  <c r="JB342" i="77"/>
  <c r="AD342" i="74" s="1"/>
  <c r="JA342" i="77"/>
  <c r="AC342" i="74" s="1"/>
  <c r="JB338" i="77"/>
  <c r="AD338" i="74" s="1"/>
  <c r="JA338" i="77"/>
  <c r="AC338" i="74" s="1"/>
  <c r="JB332" i="77"/>
  <c r="AD332" i="74" s="1"/>
  <c r="JA332" i="77"/>
  <c r="AC332" i="74" s="1"/>
  <c r="JB327" i="77"/>
  <c r="AD327" i="74" s="1"/>
  <c r="JA327" i="77"/>
  <c r="AC327" i="74" s="1"/>
  <c r="JB306" i="77"/>
  <c r="AD306" i="74" s="1"/>
  <c r="JA306" i="77"/>
  <c r="AC306" i="74" s="1"/>
  <c r="JB300" i="77"/>
  <c r="AD300" i="74" s="1"/>
  <c r="JA300" i="77"/>
  <c r="AC300" i="74" s="1"/>
  <c r="JB348" i="77"/>
  <c r="AD348" i="74" s="1"/>
  <c r="JA348" i="77"/>
  <c r="AC348" i="74" s="1"/>
  <c r="JB333" i="77"/>
  <c r="AD333" i="74" s="1"/>
  <c r="JA333" i="77"/>
  <c r="AC333" i="74" s="1"/>
  <c r="JB326" i="77"/>
  <c r="AD326" i="74" s="1"/>
  <c r="JA326" i="77"/>
  <c r="AC326" i="74" s="1"/>
  <c r="GV225" i="77"/>
  <c r="GU225"/>
  <c r="AA288" i="68"/>
  <c r="CI288" i="77"/>
  <c r="AC288" i="68" s="1"/>
  <c r="CJ288" i="77"/>
  <c r="AD288" i="68" s="1"/>
  <c r="HY443" i="77"/>
  <c r="AD443" i="73" s="1"/>
  <c r="AC15" i="74"/>
  <c r="JB93" i="77"/>
  <c r="AD95" i="74" s="1"/>
  <c r="DM53" i="77"/>
  <c r="AD53" i="69" s="1"/>
  <c r="AC415"/>
  <c r="AC149"/>
  <c r="AA404"/>
  <c r="DM402" i="77"/>
  <c r="AD402" i="69" s="1"/>
  <c r="DL34" i="77"/>
  <c r="AC34" i="69" s="1"/>
  <c r="AD80"/>
  <c r="DM374" i="77"/>
  <c r="AD374" i="69" s="1"/>
  <c r="AA431"/>
  <c r="AA443"/>
  <c r="DL402" i="77"/>
  <c r="AC402" i="69" s="1"/>
  <c r="DL369" i="77"/>
  <c r="AD415" i="69"/>
  <c r="AD205"/>
  <c r="DL279" i="77"/>
  <c r="DM279"/>
  <c r="AD93" i="65"/>
  <c r="AD250"/>
  <c r="AA195"/>
  <c r="AD247"/>
  <c r="BG442" i="77"/>
  <c r="AD442" i="65" s="1"/>
  <c r="AC247"/>
  <c r="AC41"/>
  <c r="BF374" i="77"/>
  <c r="AC374" i="65" s="1"/>
  <c r="BF34" i="77"/>
  <c r="AC34" i="65" s="1"/>
  <c r="AC191"/>
  <c r="AA374"/>
  <c r="BF62" i="77"/>
  <c r="AC62" i="65" s="1"/>
  <c r="AC13"/>
  <c r="BG444" i="77"/>
  <c r="AD444" i="65" s="1"/>
  <c r="AD41"/>
  <c r="BG360" i="77"/>
  <c r="AC214" i="65"/>
  <c r="BG34" i="77"/>
  <c r="AD34" i="65" s="1"/>
  <c r="AC205" i="69"/>
  <c r="HY386" i="77"/>
  <c r="AC395" i="73"/>
  <c r="AC386"/>
  <c r="AA87" i="65"/>
  <c r="BF87" i="77"/>
  <c r="AC87" i="65" s="1"/>
  <c r="BG87" i="77"/>
  <c r="AD87" i="65" s="1"/>
  <c r="AC371" i="73"/>
  <c r="AD371"/>
  <c r="AA371"/>
  <c r="AA120" i="68"/>
  <c r="AA379" i="73"/>
  <c r="HX379" i="77"/>
  <c r="AC379" i="73" s="1"/>
  <c r="HY379" i="77"/>
  <c r="AD379" i="73" s="1"/>
  <c r="AA176" i="65"/>
  <c r="AC176"/>
  <c r="AD176"/>
  <c r="AA210" i="70"/>
  <c r="AC210"/>
  <c r="AD210"/>
  <c r="EP372" i="77"/>
  <c r="AD372" i="70" s="1"/>
  <c r="EO372" i="77"/>
  <c r="AA372" i="70"/>
  <c r="AC93" i="73"/>
  <c r="AA254" i="68"/>
  <c r="AC211"/>
  <c r="AD211"/>
  <c r="AA211"/>
  <c r="AC254"/>
  <c r="AC246" i="74"/>
  <c r="AA295" i="71"/>
  <c r="AA209"/>
  <c r="AA103" i="68"/>
  <c r="AD103"/>
  <c r="AC103"/>
  <c r="AA287" i="71"/>
  <c r="AA194"/>
  <c r="AA149" i="65"/>
  <c r="AD149"/>
  <c r="AC149"/>
  <c r="AC154"/>
  <c r="AC100"/>
  <c r="AD248"/>
  <c r="AD210"/>
  <c r="AD189"/>
  <c r="AC246" i="71"/>
  <c r="AC204" i="74"/>
  <c r="AD125" i="71"/>
  <c r="AC79"/>
  <c r="FR245" i="77"/>
  <c r="AC248" i="71" s="1"/>
  <c r="AC125"/>
  <c r="FS275" i="77"/>
  <c r="AD275" i="71" s="1"/>
  <c r="AC273"/>
  <c r="AD79"/>
  <c r="AA409" i="69"/>
  <c r="AC148"/>
  <c r="AA400"/>
  <c r="AA34"/>
  <c r="AB11" i="74"/>
  <c r="AC11"/>
  <c r="CJ395" i="77"/>
  <c r="CI395"/>
  <c r="AC250" i="74"/>
  <c r="AD246" i="70"/>
  <c r="AC245" i="73"/>
  <c r="CJ50" i="77"/>
  <c r="AD50" i="68" s="1"/>
  <c r="CJ29" i="77"/>
  <c r="AD29" i="68" s="1"/>
  <c r="AA70" i="73"/>
  <c r="AD123" i="71"/>
  <c r="AA50" i="68"/>
  <c r="AC149" i="70"/>
  <c r="HY283" i="77"/>
  <c r="CJ264"/>
  <c r="AD264" i="68" s="1"/>
  <c r="AC168" i="71"/>
  <c r="AD389" i="73"/>
  <c r="AD149" i="69"/>
  <c r="AA462"/>
  <c r="AD97" i="65"/>
  <c r="AD93" i="73"/>
  <c r="AA407" i="68"/>
  <c r="AD115" i="65"/>
  <c r="CI264" i="77"/>
  <c r="AC264" i="68" s="1"/>
  <c r="AC189" i="65"/>
  <c r="Z468" i="68"/>
  <c r="Z466" s="1"/>
  <c r="Z468" i="73"/>
  <c r="Z466" s="1"/>
  <c r="Z468" i="74"/>
  <c r="Z466" s="1"/>
  <c r="Z468" i="69"/>
  <c r="Z466" s="1"/>
  <c r="Z468" i="70"/>
  <c r="Z466" s="1"/>
  <c r="AA104" i="68"/>
  <c r="AD104"/>
  <c r="Z468" i="72"/>
  <c r="Z466" s="1"/>
  <c r="Z468" i="71"/>
  <c r="Z466" s="1"/>
  <c r="AA124" i="73"/>
  <c r="Z468" i="65"/>
  <c r="Z466" s="1"/>
  <c r="AA154" i="69"/>
  <c r="AA128"/>
  <c r="AD92" i="74"/>
  <c r="AC193" i="70"/>
  <c r="AC132" i="74"/>
  <c r="AC106"/>
  <c r="AC17"/>
  <c r="AA17"/>
  <c r="AC116"/>
  <c r="AC185"/>
  <c r="AD132"/>
  <c r="AD106"/>
  <c r="AD116"/>
  <c r="AD185"/>
  <c r="AD246"/>
  <c r="AA175" i="73"/>
  <c r="AA277"/>
  <c r="AA237"/>
  <c r="AA188"/>
  <c r="HY40" i="77"/>
  <c r="AD40" i="73" s="1"/>
  <c r="AA40"/>
  <c r="AA283"/>
  <c r="AA186"/>
  <c r="AC19"/>
  <c r="AA19"/>
  <c r="AA382"/>
  <c r="HX382" i="77"/>
  <c r="AC382" i="73" s="1"/>
  <c r="HY382" i="77"/>
  <c r="AD382" i="73" s="1"/>
  <c r="AA190"/>
  <c r="AA240"/>
  <c r="AA139"/>
  <c r="AD139"/>
  <c r="AC139"/>
  <c r="AA383"/>
  <c r="AA364"/>
  <c r="AC161" i="72"/>
  <c r="AC272"/>
  <c r="AA286"/>
  <c r="AA193"/>
  <c r="GU244" i="77"/>
  <c r="AA244" i="72"/>
  <c r="AD161"/>
  <c r="AD272"/>
  <c r="AA67"/>
  <c r="AC287" i="71"/>
  <c r="AC194"/>
  <c r="AD225"/>
  <c r="AD278"/>
  <c r="AA272"/>
  <c r="AA161"/>
  <c r="AA220"/>
  <c r="AC158"/>
  <c r="AC130"/>
  <c r="AD358"/>
  <c r="AD376"/>
  <c r="AA224"/>
  <c r="AA174"/>
  <c r="AA276"/>
  <c r="AC225"/>
  <c r="AC278"/>
  <c r="AD159"/>
  <c r="AD259"/>
  <c r="AC290"/>
  <c r="AC122"/>
  <c r="AC381"/>
  <c r="AC389"/>
  <c r="AD130"/>
  <c r="AD158"/>
  <c r="FR57" i="77"/>
  <c r="AC57" i="71" s="1"/>
  <c r="AA57"/>
  <c r="FS92" i="77"/>
  <c r="AD94" i="71" s="1"/>
  <c r="AA92"/>
  <c r="AC159"/>
  <c r="AC259"/>
  <c r="AD290"/>
  <c r="AD122"/>
  <c r="EO204" i="77"/>
  <c r="AA204" i="70"/>
  <c r="AD231"/>
  <c r="AD179"/>
  <c r="AA136"/>
  <c r="AA111"/>
  <c r="AD106"/>
  <c r="AD132"/>
  <c r="AA273"/>
  <c r="AA168"/>
  <c r="AA107"/>
  <c r="AA237"/>
  <c r="AA188"/>
  <c r="EP369" i="77"/>
  <c r="AD369" i="70" s="1"/>
  <c r="AA369"/>
  <c r="AC106"/>
  <c r="AC132"/>
  <c r="AA115"/>
  <c r="AD115"/>
  <c r="AC115"/>
  <c r="AA223"/>
  <c r="AA172"/>
  <c r="AA286"/>
  <c r="AA193"/>
  <c r="AA182"/>
  <c r="AC231"/>
  <c r="AC179"/>
  <c r="EP405" i="77"/>
  <c r="AA405" i="70"/>
  <c r="AA425"/>
  <c r="DM90" i="77"/>
  <c r="AD92" i="69" s="1"/>
  <c r="AA90"/>
  <c r="AA112"/>
  <c r="AA361"/>
  <c r="DM226" i="77"/>
  <c r="AA226" i="69"/>
  <c r="DL84" i="77"/>
  <c r="AA84" i="69"/>
  <c r="AD416"/>
  <c r="AA416"/>
  <c r="AA276"/>
  <c r="AA174"/>
  <c r="AA224"/>
  <c r="AD11"/>
  <c r="AA11"/>
  <c r="AC269"/>
  <c r="AA133"/>
  <c r="AA269"/>
  <c r="AA189"/>
  <c r="AD189"/>
  <c r="AC189"/>
  <c r="AA382"/>
  <c r="DL382" i="77"/>
  <c r="AC382" i="69" s="1"/>
  <c r="DM382" i="77"/>
  <c r="AD382" i="69" s="1"/>
  <c r="AA190"/>
  <c r="AA240"/>
  <c r="AA358"/>
  <c r="AA376"/>
  <c r="AA277"/>
  <c r="AA175"/>
  <c r="AA273"/>
  <c r="AA168"/>
  <c r="AA107"/>
  <c r="DL235" i="77"/>
  <c r="AA235" i="69"/>
  <c r="DL232" i="77"/>
  <c r="AC232" i="69" s="1"/>
  <c r="AA232"/>
  <c r="DM238" i="77"/>
  <c r="AA238" i="69"/>
  <c r="AD136"/>
  <c r="AA136"/>
  <c r="AA111"/>
  <c r="AA161"/>
  <c r="AA272"/>
  <c r="AD106" i="68"/>
  <c r="AD132"/>
  <c r="AD229"/>
  <c r="AD177"/>
  <c r="AC278"/>
  <c r="AC225"/>
  <c r="AA157"/>
  <c r="AA266"/>
  <c r="AC106"/>
  <c r="AC132"/>
  <c r="AC229"/>
  <c r="AC177"/>
  <c r="CI30" i="77"/>
  <c r="AC30" i="68" s="1"/>
  <c r="AA30"/>
  <c r="AA160"/>
  <c r="AA268"/>
  <c r="AA224"/>
  <c r="AA276"/>
  <c r="AA174"/>
  <c r="CI52" i="77"/>
  <c r="AC52" i="68" s="1"/>
  <c r="AA52"/>
  <c r="CJ247" i="77"/>
  <c r="AD250" i="68" s="1"/>
  <c r="AA247"/>
  <c r="CJ449" i="77"/>
  <c r="AD449" i="68" s="1"/>
  <c r="AA449"/>
  <c r="CJ92" i="77"/>
  <c r="AD94" i="68" s="1"/>
  <c r="AA92"/>
  <c r="AC220"/>
  <c r="AA161"/>
  <c r="AA272"/>
  <c r="AA220"/>
  <c r="AD278"/>
  <c r="AD225"/>
  <c r="AA132"/>
  <c r="AA106"/>
  <c r="AA273"/>
  <c r="AA168"/>
  <c r="AA107"/>
  <c r="AA281"/>
  <c r="AA184"/>
  <c r="AD159" i="65"/>
  <c r="AD259"/>
  <c r="AA175"/>
  <c r="AA277"/>
  <c r="AA286"/>
  <c r="AA193"/>
  <c r="AA118"/>
  <c r="AA136"/>
  <c r="AA111"/>
  <c r="AC207"/>
  <c r="AA164"/>
  <c r="AA221"/>
  <c r="BF226" i="77"/>
  <c r="AA226" i="65"/>
  <c r="AC231"/>
  <c r="AC179"/>
  <c r="AA237"/>
  <c r="AA188"/>
  <c r="AC159"/>
  <c r="AC259"/>
  <c r="AD179"/>
  <c r="AD231"/>
  <c r="AD363" i="73"/>
  <c r="AD360"/>
  <c r="AD89" i="69"/>
  <c r="AD85"/>
  <c r="AD82" i="65"/>
  <c r="AD84"/>
  <c r="AD242" i="71"/>
  <c r="AD236"/>
  <c r="AD201" i="70"/>
  <c r="AD181"/>
  <c r="AC145" i="73"/>
  <c r="AC138"/>
  <c r="AC272" i="69"/>
  <c r="AC161"/>
  <c r="AD218" i="70"/>
  <c r="AD226"/>
  <c r="AD201" i="65"/>
  <c r="AD181"/>
  <c r="AC198" i="69"/>
  <c r="AC277"/>
  <c r="AC175"/>
  <c r="AC363" i="73"/>
  <c r="AC360"/>
  <c r="AD362"/>
  <c r="AD359"/>
  <c r="AD183" i="74"/>
  <c r="AD200" i="73"/>
  <c r="AD180"/>
  <c r="AD276" i="74"/>
  <c r="AD224"/>
  <c r="AD174"/>
  <c r="AD273" i="73"/>
  <c r="AD168"/>
  <c r="AD107"/>
  <c r="AD198"/>
  <c r="AD277"/>
  <c r="AD175"/>
  <c r="AC120"/>
  <c r="AC112"/>
  <c r="AC111"/>
  <c r="AC136"/>
  <c r="AC196" i="74"/>
  <c r="AC170"/>
  <c r="AD239" i="73"/>
  <c r="AD233"/>
  <c r="AD142" i="68"/>
  <c r="AD131"/>
  <c r="AD273" i="70"/>
  <c r="AD168"/>
  <c r="AD107"/>
  <c r="AC372"/>
  <c r="AC370"/>
  <c r="AC226" i="68"/>
  <c r="AD145" i="73"/>
  <c r="AD138"/>
  <c r="AD221" i="68"/>
  <c r="AD232"/>
  <c r="AD90" i="65"/>
  <c r="AD86"/>
  <c r="AC196" i="70"/>
  <c r="AC170"/>
  <c r="AC371" i="65"/>
  <c r="AC369"/>
  <c r="AC244" i="69"/>
  <c r="AC238"/>
  <c r="AD198"/>
  <c r="AD277"/>
  <c r="AD175"/>
  <c r="AD221" i="73"/>
  <c r="AD232"/>
  <c r="AD219" i="70"/>
  <c r="AD227"/>
  <c r="AD237" i="73"/>
  <c r="AD188"/>
  <c r="AD363" i="70"/>
  <c r="AD360"/>
  <c r="AD363" i="65"/>
  <c r="AD360"/>
  <c r="AC144" i="68"/>
  <c r="AC137"/>
  <c r="AD89" i="70"/>
  <c r="AD85"/>
  <c r="AD272" i="71"/>
  <c r="AD161"/>
  <c r="AC219" i="68"/>
  <c r="AC227"/>
  <c r="AD234" i="69"/>
  <c r="AD220" i="65"/>
  <c r="AD228"/>
  <c r="AC251" i="70"/>
  <c r="AC248"/>
  <c r="AC198" i="71"/>
  <c r="AC277"/>
  <c r="AC175"/>
  <c r="AC363"/>
  <c r="AC360"/>
  <c r="AC136" i="65"/>
  <c r="AC111"/>
  <c r="AD273" i="68"/>
  <c r="AD168"/>
  <c r="AD107"/>
  <c r="AC91" i="72"/>
  <c r="AC88"/>
  <c r="AC120" i="68"/>
  <c r="AC112"/>
  <c r="AC201" i="73"/>
  <c r="AC181"/>
  <c r="AC221" i="74"/>
  <c r="AC232"/>
  <c r="AC371" i="71"/>
  <c r="AC369"/>
  <c r="AC203"/>
  <c r="AC183"/>
  <c r="AD272" i="74"/>
  <c r="AD161"/>
  <c r="AD362" i="71"/>
  <c r="AD359"/>
  <c r="AC91" i="73"/>
  <c r="AC88"/>
  <c r="AD198" i="68"/>
  <c r="AD277"/>
  <c r="AD175"/>
  <c r="AC198"/>
  <c r="AC277"/>
  <c r="AC175"/>
  <c r="AD120" i="70"/>
  <c r="AD112"/>
  <c r="AD91" i="73"/>
  <c r="AD88"/>
  <c r="AD90" i="74"/>
  <c r="AD86"/>
  <c r="AC121" i="72"/>
  <c r="AC114"/>
  <c r="AC120" i="70"/>
  <c r="AC112"/>
  <c r="AC145"/>
  <c r="AC138"/>
  <c r="AD91" i="69"/>
  <c r="AD88"/>
  <c r="AC120" i="65"/>
  <c r="AC112"/>
  <c r="AD89" i="72"/>
  <c r="AD85"/>
  <c r="AC363"/>
  <c r="AC360"/>
  <c r="AC195" i="65"/>
  <c r="AC169"/>
  <c r="AC201" i="68"/>
  <c r="AC181"/>
  <c r="AD201"/>
  <c r="AD181"/>
  <c r="AD237" i="72"/>
  <c r="AD188"/>
  <c r="AC364"/>
  <c r="AC361"/>
  <c r="AD91" i="74"/>
  <c r="AD88"/>
  <c r="AD244" i="65"/>
  <c r="AD238"/>
  <c r="AC384" i="71"/>
  <c r="AC378"/>
  <c r="AD371"/>
  <c r="AD369"/>
  <c r="AD81" i="74"/>
  <c r="AD83"/>
  <c r="AC198" i="70"/>
  <c r="AC277"/>
  <c r="AC175"/>
  <c r="AC101" i="73"/>
  <c r="AC261"/>
  <c r="AC213"/>
  <c r="AC284"/>
  <c r="AC117"/>
  <c r="AD200" i="71"/>
  <c r="AD180"/>
  <c r="AC145" i="74"/>
  <c r="AC138"/>
  <c r="AC173" i="65"/>
  <c r="AC110"/>
  <c r="AC133" i="68"/>
  <c r="AC269"/>
  <c r="AC283" i="70"/>
  <c r="AC186"/>
  <c r="AD173"/>
  <c r="AD110"/>
  <c r="AD158" i="69"/>
  <c r="AD130"/>
  <c r="AC394"/>
  <c r="AC385"/>
  <c r="AD160"/>
  <c r="AD268"/>
  <c r="AC133" i="70"/>
  <c r="AC269"/>
  <c r="AC383" i="65"/>
  <c r="AC364"/>
  <c r="AC271" i="70"/>
  <c r="AC134"/>
  <c r="AD279" i="68"/>
  <c r="AD230"/>
  <c r="AD178"/>
  <c r="AD113"/>
  <c r="AD283" i="73"/>
  <c r="AD186"/>
  <c r="AD274" i="69"/>
  <c r="AD222"/>
  <c r="AD171"/>
  <c r="AD108"/>
  <c r="AD160" i="70"/>
  <c r="AD268"/>
  <c r="AD82" i="73"/>
  <c r="AD84"/>
  <c r="AB284" i="74"/>
  <c r="AB117"/>
  <c r="AB290"/>
  <c r="AB203"/>
  <c r="AB101"/>
  <c r="AB261"/>
  <c r="AB213"/>
  <c r="AB111"/>
  <c r="AB136"/>
  <c r="AB273"/>
  <c r="AB168"/>
  <c r="AB107"/>
  <c r="AD197" i="70"/>
  <c r="AD197" i="69"/>
  <c r="AD217" i="65"/>
  <c r="AC217" i="68"/>
  <c r="AD199"/>
  <c r="AD249" i="74"/>
  <c r="AD90" i="71"/>
  <c r="AD92" i="73"/>
  <c r="AD209" i="71"/>
  <c r="AC81" i="72"/>
  <c r="AD206" i="73"/>
  <c r="AC203" i="70"/>
  <c r="AC244" i="74"/>
  <c r="AC244" i="65"/>
  <c r="AD90" i="72"/>
  <c r="AD244" i="74"/>
  <c r="AC362" i="73"/>
  <c r="AC359"/>
  <c r="AC183" i="74"/>
  <c r="AC200" i="73"/>
  <c r="AC180"/>
  <c r="AC276" i="74"/>
  <c r="AC224"/>
  <c r="AC174"/>
  <c r="AC273" i="73"/>
  <c r="AC168"/>
  <c r="AC107"/>
  <c r="AC198"/>
  <c r="AC277"/>
  <c r="AC175"/>
  <c r="AD89" i="65"/>
  <c r="AD85"/>
  <c r="AD200" i="70"/>
  <c r="AD180"/>
  <c r="AD272" i="68"/>
  <c r="AD161"/>
  <c r="AC219" i="69"/>
  <c r="AC227"/>
  <c r="AC90" i="65"/>
  <c r="AC86"/>
  <c r="AD196" i="70"/>
  <c r="AD170"/>
  <c r="AC276" i="71"/>
  <c r="AC224"/>
  <c r="AC174"/>
  <c r="AC82" i="68"/>
  <c r="AC84"/>
  <c r="AC371" i="69"/>
  <c r="AC369"/>
  <c r="AD81" i="70"/>
  <c r="AD83"/>
  <c r="AD144" i="65"/>
  <c r="AD137"/>
  <c r="AD192" i="73"/>
  <c r="AD162"/>
  <c r="AC142" i="71"/>
  <c r="AC131"/>
  <c r="AC364" i="68"/>
  <c r="AC361"/>
  <c r="AD90" i="70"/>
  <c r="AD86"/>
  <c r="AD241" i="68"/>
  <c r="AD235"/>
  <c r="AC89" i="70"/>
  <c r="AC85"/>
  <c r="AC272" i="71"/>
  <c r="AC161"/>
  <c r="AD219" i="68"/>
  <c r="AD227"/>
  <c r="AC234" i="69"/>
  <c r="AD111" i="71"/>
  <c r="AD136"/>
  <c r="AD198"/>
  <c r="AD277"/>
  <c r="AD175"/>
  <c r="AC111" i="70"/>
  <c r="AC136"/>
  <c r="AD363" i="71"/>
  <c r="AD360"/>
  <c r="AD242" i="70"/>
  <c r="AD236"/>
  <c r="AD136" i="65"/>
  <c r="AD111"/>
  <c r="AC273" i="68"/>
  <c r="AC168"/>
  <c r="AC107"/>
  <c r="AC384" i="69"/>
  <c r="AC378"/>
  <c r="AC362" i="71"/>
  <c r="AC359"/>
  <c r="AC371" i="74"/>
  <c r="AC369"/>
  <c r="AD202" i="69"/>
  <c r="AD182"/>
  <c r="AD210" i="71"/>
  <c r="AD205"/>
  <c r="AC371" i="68"/>
  <c r="AC369"/>
  <c r="AC81" i="73"/>
  <c r="AC83"/>
  <c r="AC91" i="71"/>
  <c r="AC88"/>
  <c r="AD276"/>
  <c r="AD224"/>
  <c r="AD174"/>
  <c r="AD120" i="68"/>
  <c r="AD112"/>
  <c r="AD157" i="73"/>
  <c r="AD266"/>
  <c r="AD81" i="71"/>
  <c r="AD83"/>
  <c r="AC242" i="72"/>
  <c r="AC236"/>
  <c r="AC81" i="71"/>
  <c r="AC83"/>
  <c r="AC244"/>
  <c r="AC238"/>
  <c r="AD121" i="72"/>
  <c r="AD114"/>
  <c r="AC83" i="68"/>
  <c r="AC272" i="74"/>
  <c r="AC161"/>
  <c r="AC384" i="68"/>
  <c r="AC378"/>
  <c r="AD111" i="72"/>
  <c r="AD136"/>
  <c r="AC138" i="71"/>
  <c r="AD142" i="65"/>
  <c r="AD131"/>
  <c r="AC142" i="74"/>
  <c r="AC131"/>
  <c r="AC157" i="68"/>
  <c r="AC266"/>
  <c r="AD158" i="73"/>
  <c r="AD130"/>
  <c r="AD215"/>
  <c r="AD133" i="69"/>
  <c r="AD269"/>
  <c r="AD160" i="68"/>
  <c r="AD268"/>
  <c r="AD279" i="69"/>
  <c r="AD230"/>
  <c r="AD178"/>
  <c r="AD113"/>
  <c r="AC185" i="71"/>
  <c r="AC116"/>
  <c r="AC284" i="69"/>
  <c r="AC117"/>
  <c r="AC279" i="70"/>
  <c r="AC230"/>
  <c r="AC178"/>
  <c r="AC113"/>
  <c r="AC101"/>
  <c r="AC261"/>
  <c r="AC218" i="65"/>
  <c r="AC226"/>
  <c r="AC202" i="70"/>
  <c r="AC182"/>
  <c r="AC241" i="69"/>
  <c r="AC235"/>
  <c r="AC221"/>
  <c r="AD244"/>
  <c r="AD238"/>
  <c r="AD274" i="68"/>
  <c r="AD222"/>
  <c r="AD171"/>
  <c r="AD108"/>
  <c r="AC160" i="69"/>
  <c r="AC268"/>
  <c r="AD111"/>
  <c r="AC284" i="65"/>
  <c r="AC117"/>
  <c r="AD271" i="69"/>
  <c r="AD134"/>
  <c r="AD101" i="65"/>
  <c r="AD261"/>
  <c r="AD185" i="68"/>
  <c r="AD116"/>
  <c r="AD158" i="70"/>
  <c r="AD130"/>
  <c r="AC279" i="68"/>
  <c r="AC230"/>
  <c r="AC178"/>
  <c r="AC113"/>
  <c r="AC283" i="73"/>
  <c r="AC186"/>
  <c r="AC274" i="69"/>
  <c r="AC222"/>
  <c r="AC171"/>
  <c r="AC108"/>
  <c r="AC160" i="70"/>
  <c r="AC268"/>
  <c r="AD101" i="71"/>
  <c r="AD261"/>
  <c r="AD213"/>
  <c r="AC383"/>
  <c r="AC364"/>
  <c r="AC284"/>
  <c r="AC117"/>
  <c r="AD254" i="74"/>
  <c r="AD253"/>
  <c r="AB277"/>
  <c r="AB175"/>
  <c r="AB358"/>
  <c r="AB376"/>
  <c r="AB173"/>
  <c r="AB110"/>
  <c r="AC217" i="65"/>
  <c r="AC96" i="72"/>
  <c r="AC249" i="74"/>
  <c r="AC245" i="65"/>
  <c r="AD245" i="71"/>
  <c r="AD93" i="74"/>
  <c r="AC93" i="69"/>
  <c r="AC95" i="72"/>
  <c r="AC244" i="70"/>
  <c r="AD241" i="65"/>
  <c r="AC92" i="73"/>
  <c r="AC220" i="74"/>
  <c r="AD82" i="72"/>
  <c r="AC90"/>
  <c r="AC206" i="73"/>
  <c r="AD253" i="65"/>
  <c r="AD252" i="73"/>
  <c r="AD121" i="71"/>
  <c r="AC82" i="72"/>
  <c r="AD240" i="73"/>
  <c r="AD234"/>
  <c r="AC239"/>
  <c r="AC233"/>
  <c r="AC273" i="70"/>
  <c r="AC168"/>
  <c r="AC107"/>
  <c r="AC221" i="68"/>
  <c r="AC232"/>
  <c r="AC240" i="73"/>
  <c r="AC234"/>
  <c r="AD121"/>
  <c r="AD114"/>
  <c r="AC89" i="69"/>
  <c r="AC85"/>
  <c r="AC82" i="65"/>
  <c r="AC84"/>
  <c r="AC242" i="71"/>
  <c r="AC236"/>
  <c r="AC201" i="70"/>
  <c r="AC181"/>
  <c r="AD219" i="69"/>
  <c r="AD227"/>
  <c r="AD272"/>
  <c r="AD161"/>
  <c r="AC362" i="70"/>
  <c r="AC359"/>
  <c r="AC226"/>
  <c r="AD371" i="69"/>
  <c r="AD369"/>
  <c r="AD244" i="73"/>
  <c r="AD238"/>
  <c r="AD364" i="69"/>
  <c r="AD361"/>
  <c r="AC81" i="70"/>
  <c r="AC83"/>
  <c r="AD142" i="71"/>
  <c r="AD131"/>
  <c r="AD364" i="68"/>
  <c r="AD361"/>
  <c r="AC241"/>
  <c r="AC235"/>
  <c r="AD201" i="69"/>
  <c r="AD181"/>
  <c r="AC239" i="68"/>
  <c r="AC233"/>
  <c r="AD364" i="70"/>
  <c r="AD361"/>
  <c r="AD120" i="71"/>
  <c r="AD112"/>
  <c r="AC111"/>
  <c r="AC136"/>
  <c r="AC240"/>
  <c r="AC234"/>
  <c r="AC276" i="72"/>
  <c r="AC224"/>
  <c r="AC174"/>
  <c r="AC202" i="69"/>
  <c r="AC182"/>
  <c r="AD363" i="72"/>
  <c r="AD360"/>
  <c r="AC239" i="69"/>
  <c r="AC233"/>
  <c r="AC240" i="68"/>
  <c r="AC234"/>
  <c r="AC90" i="74"/>
  <c r="AC86"/>
  <c r="AD195" i="71"/>
  <c r="AD169"/>
  <c r="AC90" i="73"/>
  <c r="AC86"/>
  <c r="AD192" i="70"/>
  <c r="AD162"/>
  <c r="AD196" i="73"/>
  <c r="AD170"/>
  <c r="AC244" i="72"/>
  <c r="AC238"/>
  <c r="AC91" i="69"/>
  <c r="AC88"/>
  <c r="AC236" i="70"/>
  <c r="AC157" i="73"/>
  <c r="AC266"/>
  <c r="AD201"/>
  <c r="AD181"/>
  <c r="AD244" i="71"/>
  <c r="AD238"/>
  <c r="AD242" i="72"/>
  <c r="AD236"/>
  <c r="AD203" i="71"/>
  <c r="AD183"/>
  <c r="AD244" i="70"/>
  <c r="AD238"/>
  <c r="AC89" i="72"/>
  <c r="AC85"/>
  <c r="AD89" i="71"/>
  <c r="AD85"/>
  <c r="AC210"/>
  <c r="AC205"/>
  <c r="AD202" i="70"/>
  <c r="AD182"/>
  <c r="AD138" i="71"/>
  <c r="AC209"/>
  <c r="AC204"/>
  <c r="AD142" i="74"/>
  <c r="AD131"/>
  <c r="AC121" i="65"/>
  <c r="AC114"/>
  <c r="AC371" i="70"/>
  <c r="AC369"/>
  <c r="AD121" i="65"/>
  <c r="AD114"/>
  <c r="AD362" i="68"/>
  <c r="AD359"/>
  <c r="AD157"/>
  <c r="AD266"/>
  <c r="AD173" i="73"/>
  <c r="AD110"/>
  <c r="AC158"/>
  <c r="AC130"/>
  <c r="AC215"/>
  <c r="AD145" i="74"/>
  <c r="AD138"/>
  <c r="AC82"/>
  <c r="AC84"/>
  <c r="AC160" i="68"/>
  <c r="AC268"/>
  <c r="AC279" i="69"/>
  <c r="AC230"/>
  <c r="AC178"/>
  <c r="AC113"/>
  <c r="AD185" i="71"/>
  <c r="AD116"/>
  <c r="AD284" i="69"/>
  <c r="AD117"/>
  <c r="AD279" i="70"/>
  <c r="AD230"/>
  <c r="AD178"/>
  <c r="AD113"/>
  <c r="AD101"/>
  <c r="AD261"/>
  <c r="AC274" i="68"/>
  <c r="AC171"/>
  <c r="AC222"/>
  <c r="AC108"/>
  <c r="AD185" i="65"/>
  <c r="AD116"/>
  <c r="AD158"/>
  <c r="AD130"/>
  <c r="AD215"/>
  <c r="AC173" i="69"/>
  <c r="AC110"/>
  <c r="AD283"/>
  <c r="AD186"/>
  <c r="AD156"/>
  <c r="AD105"/>
  <c r="AD271" i="72"/>
  <c r="AD134"/>
  <c r="AC120" i="69"/>
  <c r="AC112"/>
  <c r="AC364"/>
  <c r="AC361"/>
  <c r="AD218"/>
  <c r="AD226"/>
  <c r="AD284" i="65"/>
  <c r="AD117"/>
  <c r="AC271" i="69"/>
  <c r="AC134"/>
  <c r="AC101" i="65"/>
  <c r="AC261"/>
  <c r="AC185" i="68"/>
  <c r="AC116"/>
  <c r="AC158" i="70"/>
  <c r="AC130"/>
  <c r="AC82" i="69"/>
  <c r="AC84"/>
  <c r="AC276"/>
  <c r="AC224"/>
  <c r="AC174"/>
  <c r="AC272" i="68"/>
  <c r="AD281" i="70"/>
  <c r="AD184"/>
  <c r="AC101" i="71"/>
  <c r="AC261"/>
  <c r="AC213"/>
  <c r="AD383"/>
  <c r="AD364"/>
  <c r="AD284"/>
  <c r="AD117"/>
  <c r="AD237" i="70"/>
  <c r="AD188"/>
  <c r="AD195" i="74"/>
  <c r="AD169"/>
  <c r="AC364" i="73"/>
  <c r="AC361"/>
  <c r="AB286" i="74"/>
  <c r="AB193"/>
  <c r="AB149"/>
  <c r="AB252"/>
  <c r="AB383"/>
  <c r="AB364"/>
  <c r="AD193" i="70"/>
  <c r="AC197"/>
  <c r="AC197" i="69"/>
  <c r="AD376"/>
  <c r="AD96" i="72"/>
  <c r="AC147" i="69"/>
  <c r="AC247" i="72"/>
  <c r="AD246" i="69"/>
  <c r="AC80"/>
  <c r="AD97" i="73"/>
  <c r="AD96" i="71"/>
  <c r="AC253" i="65"/>
  <c r="AD246" i="71"/>
  <c r="AC245" i="74"/>
  <c r="AD242"/>
  <c r="AC242"/>
  <c r="AD220" i="71"/>
  <c r="AD96" i="73"/>
  <c r="AC92" i="71"/>
  <c r="AD221" i="70"/>
  <c r="AC148" i="68"/>
  <c r="AC96" i="71"/>
  <c r="AD253" i="72"/>
  <c r="AD384" i="68"/>
  <c r="AC221" i="70"/>
  <c r="AD90" i="69"/>
  <c r="AD120" i="73"/>
  <c r="AD112"/>
  <c r="AD136"/>
  <c r="AD111"/>
  <c r="AD196" i="74"/>
  <c r="AD170"/>
  <c r="AC121" i="73"/>
  <c r="AC114"/>
  <c r="AD370" i="70"/>
  <c r="AD202" i="68"/>
  <c r="AD182"/>
  <c r="AD226"/>
  <c r="AD362" i="70"/>
  <c r="AD359"/>
  <c r="AC221" i="73"/>
  <c r="AC232"/>
  <c r="AC244"/>
  <c r="AC238"/>
  <c r="AC219" i="70"/>
  <c r="AC227"/>
  <c r="AC237" i="73"/>
  <c r="AC188"/>
  <c r="AC363" i="70"/>
  <c r="AC360"/>
  <c r="AC363" i="65"/>
  <c r="AC360"/>
  <c r="AD82" i="69"/>
  <c r="AD84"/>
  <c r="AC201"/>
  <c r="AC181"/>
  <c r="AC90" i="68"/>
  <c r="AC86"/>
  <c r="AD239"/>
  <c r="AD233"/>
  <c r="AC364" i="70"/>
  <c r="AC361"/>
  <c r="AC220" i="65"/>
  <c r="AC228"/>
  <c r="AD251" i="70"/>
  <c r="AD248"/>
  <c r="AD244" i="68"/>
  <c r="AD238"/>
  <c r="AD240" i="71"/>
  <c r="AD234"/>
  <c r="AD276" i="72"/>
  <c r="AD224"/>
  <c r="AD174"/>
  <c r="AD239" i="69"/>
  <c r="AD233"/>
  <c r="AD240" i="68"/>
  <c r="AD234"/>
  <c r="AC89" i="73"/>
  <c r="AC85"/>
  <c r="AD221" i="74"/>
  <c r="AD232"/>
  <c r="AD371"/>
  <c r="AD369"/>
  <c r="AD91" i="72"/>
  <c r="AD88"/>
  <c r="AC196" i="73"/>
  <c r="AC170"/>
  <c r="AC195" i="71"/>
  <c r="AC169"/>
  <c r="AC286" i="72"/>
  <c r="AC193"/>
  <c r="AD371" i="68"/>
  <c r="AD369"/>
  <c r="AC202" i="73"/>
  <c r="AC182"/>
  <c r="AD81" i="68"/>
  <c r="AD83"/>
  <c r="AD242" i="65"/>
  <c r="AD236"/>
  <c r="AC362" i="68"/>
  <c r="AC359"/>
  <c r="AD364" i="72"/>
  <c r="AD361"/>
  <c r="AC91" i="74"/>
  <c r="AC88"/>
  <c r="AC201" i="71"/>
  <c r="AC181"/>
  <c r="AC218" i="74"/>
  <c r="AC226"/>
  <c r="AC249" i="73"/>
  <c r="AC246"/>
  <c r="AD384" i="71"/>
  <c r="AD378"/>
  <c r="AD236" i="68"/>
  <c r="AD249" i="73"/>
  <c r="AD246"/>
  <c r="AD202"/>
  <c r="AD182"/>
  <c r="AC242" i="65"/>
  <c r="AC236"/>
  <c r="AD101" i="73"/>
  <c r="AD261"/>
  <c r="AD213"/>
  <c r="AC173"/>
  <c r="AC110"/>
  <c r="AD284"/>
  <c r="AD117"/>
  <c r="AC200" i="71"/>
  <c r="AC180"/>
  <c r="AD218" i="74"/>
  <c r="AD226"/>
  <c r="AD173" i="65"/>
  <c r="AD110"/>
  <c r="AD133" i="68"/>
  <c r="AD269"/>
  <c r="AD283" i="70"/>
  <c r="AD186"/>
  <c r="AC173"/>
  <c r="AC110"/>
  <c r="AC158" i="69"/>
  <c r="AC130"/>
  <c r="AD394"/>
  <c r="AD385"/>
  <c r="AC185" i="65"/>
  <c r="AC116"/>
  <c r="AC158"/>
  <c r="AC130"/>
  <c r="AC215"/>
  <c r="AD173" i="69"/>
  <c r="AD110"/>
  <c r="AC283"/>
  <c r="AC186"/>
  <c r="AC156"/>
  <c r="AC105"/>
  <c r="AC271" i="72"/>
  <c r="AC134"/>
  <c r="AD371" i="70"/>
  <c r="AD133"/>
  <c r="AD269"/>
  <c r="AD383" i="65"/>
  <c r="AD364"/>
  <c r="AD271" i="70"/>
  <c r="AD134"/>
  <c r="AC281"/>
  <c r="AC184"/>
  <c r="AC136" i="68"/>
  <c r="AC111"/>
  <c r="AD89" i="74"/>
  <c r="AD85"/>
  <c r="AD120" i="72"/>
  <c r="AD112"/>
  <c r="AD364" i="73"/>
  <c r="AD361"/>
  <c r="AB144" i="74"/>
  <c r="AB206"/>
  <c r="AB158"/>
  <c r="AB130"/>
  <c r="AB215"/>
  <c r="AB157"/>
  <c r="AB266"/>
  <c r="AC205" i="68"/>
  <c r="AD205"/>
  <c r="AC376" i="69"/>
  <c r="AD147"/>
  <c r="AD245" i="65"/>
  <c r="AD95" i="70"/>
  <c r="AC253" i="72"/>
  <c r="AC239" i="65"/>
  <c r="AD145"/>
  <c r="AC247" i="69"/>
  <c r="AC252" i="73"/>
  <c r="AD81" i="72"/>
  <c r="AD245" i="74"/>
  <c r="AD247" i="69"/>
  <c r="AC121" i="71"/>
  <c r="AD220" i="74"/>
  <c r="AC220" i="71"/>
  <c r="AD145" i="70"/>
  <c r="AD203"/>
  <c r="AC239" i="72"/>
  <c r="BF289" i="77"/>
  <c r="AC289" i="65" s="1"/>
  <c r="BG289" i="77"/>
  <c r="AD289" i="65" s="1"/>
  <c r="BG226" i="77"/>
  <c r="AC123" i="70"/>
  <c r="CJ407" i="77"/>
  <c r="AD407" i="68" s="1"/>
  <c r="DL420" i="77"/>
  <c r="AC420" i="69" s="1"/>
  <c r="DL257" i="77"/>
  <c r="AC257" i="69" s="1"/>
  <c r="DM235" i="77"/>
  <c r="AD21" i="68"/>
  <c r="CJ52" i="77"/>
  <c r="AD52" i="68" s="1"/>
  <c r="CJ40" i="77"/>
  <c r="AD40" i="68" s="1"/>
  <c r="CI247" i="77"/>
  <c r="AC250" i="68" s="1"/>
  <c r="AD124" i="73"/>
  <c r="HY38" i="77"/>
  <c r="AD38" i="73" s="1"/>
  <c r="AD19"/>
  <c r="CJ286" i="77"/>
  <c r="CI286"/>
  <c r="AD166" i="70"/>
  <c r="AC166"/>
  <c r="BG395" i="77"/>
  <c r="BF395"/>
  <c r="AD190" i="69"/>
  <c r="AC190"/>
  <c r="AD163" i="70"/>
  <c r="AC163"/>
  <c r="AD167"/>
  <c r="AC167"/>
  <c r="AC153"/>
  <c r="AD153"/>
  <c r="FS276" i="77"/>
  <c r="FR276"/>
  <c r="EP290"/>
  <c r="EO290"/>
  <c r="AD165" i="65"/>
  <c r="AC165"/>
  <c r="CJ89" i="77"/>
  <c r="AD89" i="68" s="1"/>
  <c r="CI89" i="77"/>
  <c r="AC89" i="68" s="1"/>
  <c r="CJ257" i="77"/>
  <c r="AD257" i="68" s="1"/>
  <c r="JB58" i="77"/>
  <c r="AD58" i="74" s="1"/>
  <c r="AD15"/>
  <c r="JA93" i="77"/>
  <c r="AC95" i="74" s="1"/>
  <c r="CI200" i="77"/>
  <c r="AC415" i="68"/>
  <c r="JB266" i="77"/>
  <c r="JA266"/>
  <c r="AD291" i="74"/>
  <c r="AC291"/>
  <c r="JB284" i="77"/>
  <c r="JA284"/>
  <c r="JB252"/>
  <c r="JA252"/>
  <c r="JB206"/>
  <c r="JA206"/>
  <c r="AD189" i="74"/>
  <c r="AC189"/>
  <c r="AD252"/>
  <c r="AC252"/>
  <c r="AD144"/>
  <c r="AC144"/>
  <c r="JB383" i="77"/>
  <c r="JA383"/>
  <c r="JB364"/>
  <c r="AD383" i="74" s="1"/>
  <c r="JA364" i="77"/>
  <c r="AC383" i="74" s="1"/>
  <c r="AD103"/>
  <c r="AC103"/>
  <c r="JB290" i="77"/>
  <c r="JA290"/>
  <c r="JB203"/>
  <c r="JA203"/>
  <c r="AD155" i="74"/>
  <c r="AC155"/>
  <c r="AD290"/>
  <c r="AC290"/>
  <c r="BG402" i="77"/>
  <c r="AD402" i="65" s="1"/>
  <c r="BF402" i="77"/>
  <c r="AC402" i="65" s="1"/>
  <c r="BF36" i="77"/>
  <c r="AC36" i="65" s="1"/>
  <c r="AC78" i="69"/>
  <c r="DM462" i="77"/>
  <c r="AD462" i="69" s="1"/>
  <c r="AD411" i="68"/>
  <c r="AD78" i="69"/>
  <c r="AC126" i="68"/>
  <c r="CI20" i="77"/>
  <c r="AC20" i="68" s="1"/>
  <c r="EO30" i="77"/>
  <c r="AC30" i="70" s="1"/>
  <c r="BG369" i="77"/>
  <c r="EP368"/>
  <c r="AD368" i="70" s="1"/>
  <c r="EP429" i="77"/>
  <c r="AD429" i="70" s="1"/>
  <c r="BG200" i="77"/>
  <c r="AD208" i="65" s="1"/>
  <c r="DM47" i="77"/>
  <c r="AD47" i="69" s="1"/>
  <c r="EP30" i="77"/>
  <c r="AD30" i="70" s="1"/>
  <c r="AD381" i="74"/>
  <c r="AC381"/>
  <c r="JB377" i="77"/>
  <c r="AD377" i="74" s="1"/>
  <c r="JA377" i="77"/>
  <c r="AC377" i="74" s="1"/>
  <c r="JB363" i="77"/>
  <c r="JA363"/>
  <c r="BG48"/>
  <c r="AD48" i="65" s="1"/>
  <c r="FR253" i="77"/>
  <c r="HY69"/>
  <c r="AD69" i="73" s="1"/>
  <c r="AD13" i="72"/>
  <c r="JB24" i="77"/>
  <c r="AD24" i="74" s="1"/>
  <c r="HY62" i="77"/>
  <c r="AD62" i="73" s="1"/>
  <c r="AC41" i="70"/>
  <c r="AD21"/>
  <c r="AD416" i="65"/>
  <c r="FR73" i="77"/>
  <c r="AC73" i="71" s="1"/>
  <c r="AD150" i="69"/>
  <c r="AC79" i="68"/>
  <c r="CI422" i="77"/>
  <c r="AC422" i="68" s="1"/>
  <c r="AC16" i="70"/>
  <c r="CJ422" i="77"/>
  <c r="AD422" i="68" s="1"/>
  <c r="DM409" i="77"/>
  <c r="AD409" i="69" s="1"/>
  <c r="EO242" i="77"/>
  <c r="AC246" i="70" s="1"/>
  <c r="CJ64" i="77"/>
  <c r="AD64" i="68" s="1"/>
  <c r="CJ420" i="77"/>
  <c r="AD420" i="68" s="1"/>
  <c r="BG32" i="77"/>
  <c r="AD32" i="65" s="1"/>
  <c r="DM448" i="77"/>
  <c r="AD448" i="69" s="1"/>
  <c r="HY70" i="77"/>
  <c r="AD70" i="73" s="1"/>
  <c r="AC150" i="69"/>
  <c r="HX69" i="77"/>
  <c r="AC69" i="73" s="1"/>
  <c r="AC13" i="72"/>
  <c r="GV427" i="77"/>
  <c r="AD427" i="72" s="1"/>
  <c r="AD41" i="70"/>
  <c r="FS73" i="77"/>
  <c r="AD73" i="71" s="1"/>
  <c r="AC215" i="70"/>
  <c r="CI238" i="77"/>
  <c r="AC411" i="68"/>
  <c r="AD16" i="70"/>
  <c r="DL226" i="77"/>
  <c r="CI242"/>
  <c r="JA24"/>
  <c r="AC24" i="74" s="1"/>
  <c r="DL352" i="77"/>
  <c r="AC352" i="69" s="1"/>
  <c r="CI420" i="77"/>
  <c r="AC420" i="68" s="1"/>
  <c r="FR37" i="77"/>
  <c r="AC37" i="71" s="1"/>
  <c r="JA58" i="77"/>
  <c r="AC58" i="74" s="1"/>
  <c r="FS50" i="77"/>
  <c r="AD50" i="71" s="1"/>
  <c r="AD146" i="68"/>
  <c r="BF22" i="77"/>
  <c r="AC22" i="65" s="1"/>
  <c r="EO86" i="77"/>
  <c r="GU427"/>
  <c r="AC427" i="72" s="1"/>
  <c r="AD15" i="73"/>
  <c r="BF200" i="77"/>
  <c r="AC208" i="65" s="1"/>
  <c r="CI44" i="77"/>
  <c r="AC44" i="68" s="1"/>
  <c r="EP436" i="77"/>
  <c r="AD436" i="70" s="1"/>
  <c r="DM228" i="77"/>
  <c r="CI429"/>
  <c r="AC429" i="68" s="1"/>
  <c r="CI257" i="77"/>
  <c r="AC257" i="68" s="1"/>
  <c r="CJ242" i="77"/>
  <c r="AD246" i="68" s="1"/>
  <c r="FS37" i="77"/>
  <c r="AD37" i="71" s="1"/>
  <c r="CJ39" i="77"/>
  <c r="AD39" i="68" s="1"/>
  <c r="FR50" i="77"/>
  <c r="AC50" i="71" s="1"/>
  <c r="FS38" i="77"/>
  <c r="AD38" i="71" s="1"/>
  <c r="BG22" i="77"/>
  <c r="AD22" i="65" s="1"/>
  <c r="AC15" i="73"/>
  <c r="AC416" i="65"/>
  <c r="DL448" i="77"/>
  <c r="AC448" i="69" s="1"/>
  <c r="CJ86" i="77"/>
  <c r="CJ44"/>
  <c r="AD44" i="68" s="1"/>
  <c r="EO436" i="77"/>
  <c r="AC436" i="70" s="1"/>
  <c r="DL228" i="77"/>
  <c r="AD147" i="68"/>
  <c r="CJ200" i="77"/>
  <c r="AD214" i="74"/>
  <c r="AC214"/>
  <c r="GU58" i="77"/>
  <c r="AC58" i="72" s="1"/>
  <c r="BF85" i="77"/>
  <c r="DL368"/>
  <c r="AC368" i="69" s="1"/>
  <c r="AA92"/>
  <c r="DL90" i="77"/>
  <c r="DM368"/>
  <c r="AD368" i="69" s="1"/>
  <c r="FS68" i="77"/>
  <c r="AD68" i="71" s="1"/>
  <c r="CJ95" i="77"/>
  <c r="AD96" i="68" s="1"/>
  <c r="AA40" i="71"/>
  <c r="FS40" i="77"/>
  <c r="AD40" i="71" s="1"/>
  <c r="AA376" i="73"/>
  <c r="AC376"/>
  <c r="AD376"/>
  <c r="AA247" i="72"/>
  <c r="GV244" i="77"/>
  <c r="AA353" i="68"/>
  <c r="CJ353" i="77"/>
  <c r="AD353" i="68" s="1"/>
  <c r="CI353" i="77"/>
  <c r="AC353" i="68" s="1"/>
  <c r="AA250" i="73"/>
  <c r="HY247" i="77"/>
  <c r="AD250" i="73" s="1"/>
  <c r="HX247" i="77"/>
  <c r="DM63"/>
  <c r="AD63" i="69" s="1"/>
  <c r="AD415" i="68"/>
  <c r="EO404" i="77"/>
  <c r="AC404" i="70" s="1"/>
  <c r="EO249" i="77"/>
  <c r="AC252" i="70" s="1"/>
  <c r="AC123" i="69"/>
  <c r="AD17" i="72"/>
  <c r="DL63" i="77"/>
  <c r="AC63" i="69" s="1"/>
  <c r="BF32" i="77"/>
  <c r="AC32" i="65" s="1"/>
  <c r="BF425" i="77"/>
  <c r="AD31" i="68"/>
  <c r="BG407" i="77"/>
  <c r="AD407" i="65" s="1"/>
  <c r="CI95" i="77"/>
  <c r="AC96" i="68" s="1"/>
  <c r="CI434" i="77"/>
  <c r="AC434" i="68" s="1"/>
  <c r="AC124" i="69"/>
  <c r="AC31"/>
  <c r="FS72" i="77"/>
  <c r="AD72" i="71" s="1"/>
  <c r="BF442" i="77"/>
  <c r="AC442" i="65" s="1"/>
  <c r="CI245" i="77"/>
  <c r="CJ84"/>
  <c r="BF378"/>
  <c r="AC31" i="68"/>
  <c r="CJ434" i="77"/>
  <c r="AD434" i="68" s="1"/>
  <c r="AD31" i="69"/>
  <c r="AD124"/>
  <c r="AA28" i="65"/>
  <c r="BF28" i="77"/>
  <c r="AC28" i="65" s="1"/>
  <c r="BG28" i="77"/>
  <c r="AD28" i="65" s="1"/>
  <c r="AA213"/>
  <c r="AC213"/>
  <c r="AD213"/>
  <c r="AA37" i="74"/>
  <c r="JA37" i="77"/>
  <c r="AC37" i="74" s="1"/>
  <c r="AA57" i="68"/>
  <c r="CI57" i="77"/>
  <c r="AC57" i="68" s="1"/>
  <c r="CJ428" i="77"/>
  <c r="AD428" i="68" s="1"/>
  <c r="FR68" i="77"/>
  <c r="AC68" i="71" s="1"/>
  <c r="AD193" i="73"/>
  <c r="BG408" i="77"/>
  <c r="AD408" i="65" s="1"/>
  <c r="CI428" i="77"/>
  <c r="AC428" i="68" s="1"/>
  <c r="AA149"/>
  <c r="AD149"/>
  <c r="AA60" i="70"/>
  <c r="EP60" i="77"/>
  <c r="AD60" i="70" s="1"/>
  <c r="EO60" i="77"/>
  <c r="AC60" i="70" s="1"/>
  <c r="AC193" i="73"/>
  <c r="AA48" i="69"/>
  <c r="DM48" i="77"/>
  <c r="AD48" i="69" s="1"/>
  <c r="DL48" i="77"/>
  <c r="AC48" i="69" s="1"/>
  <c r="AA150" i="73"/>
  <c r="AC150"/>
  <c r="AD150"/>
  <c r="AA209" i="70"/>
  <c r="EP204" i="77"/>
  <c r="AA203" i="73"/>
  <c r="DM224" i="77"/>
  <c r="DL224"/>
  <c r="AA26" i="68"/>
  <c r="CI26" i="77"/>
  <c r="AC26" i="68" s="1"/>
  <c r="AA148" i="70"/>
  <c r="AC148"/>
  <c r="AD148"/>
  <c r="AA67" i="73"/>
  <c r="HX67" i="77"/>
  <c r="AC67" i="73" s="1"/>
  <c r="HY67" i="77"/>
  <c r="AD67" i="73" s="1"/>
  <c r="AA374" i="70"/>
  <c r="EP374" i="77"/>
  <c r="AD374" i="70" s="1"/>
  <c r="AA246" i="69"/>
  <c r="DL242" i="77"/>
  <c r="AC246" i="69" s="1"/>
  <c r="AA436"/>
  <c r="DL436" i="77"/>
  <c r="AC436" i="69" s="1"/>
  <c r="AA33"/>
  <c r="DL33" i="77"/>
  <c r="AC33" i="69" s="1"/>
  <c r="DM33" i="77"/>
  <c r="AD33" i="69" s="1"/>
  <c r="FR256" i="77"/>
  <c r="AC256" i="71" s="1"/>
  <c r="DL455" i="77"/>
  <c r="AC455" i="69" s="1"/>
  <c r="DM455" i="77"/>
  <c r="AD455" i="69" s="1"/>
  <c r="GV42" i="77"/>
  <c r="AD42" i="72" s="1"/>
  <c r="DM55" i="77"/>
  <c r="AD55" i="69" s="1"/>
  <c r="CJ245" i="77"/>
  <c r="AD245" i="68" s="1"/>
  <c r="AD431" i="69"/>
  <c r="EO422" i="77"/>
  <c r="AC422" i="70" s="1"/>
  <c r="DL443" i="77"/>
  <c r="AC443" i="69" s="1"/>
  <c r="HX62" i="77"/>
  <c r="AC62" i="73" s="1"/>
  <c r="AC17" i="72"/>
  <c r="CI39" i="77"/>
  <c r="AC39" i="68" s="1"/>
  <c r="EP249" i="77"/>
  <c r="AD252" i="70" s="1"/>
  <c r="FS253" i="77"/>
  <c r="DM29"/>
  <c r="AD29" i="69" s="1"/>
  <c r="AC79"/>
  <c r="CJ48" i="77"/>
  <c r="AD48" i="68" s="1"/>
  <c r="DL442" i="77"/>
  <c r="AC442" i="69" s="1"/>
  <c r="FR58" i="77"/>
  <c r="AC58" i="71" s="1"/>
  <c r="AC21" i="70"/>
  <c r="AD18" i="73"/>
  <c r="GU65" i="77"/>
  <c r="AC65" i="72" s="1"/>
  <c r="DM95" i="77"/>
  <c r="DL359"/>
  <c r="DM359"/>
  <c r="DL55"/>
  <c r="AC55" i="69" s="1"/>
  <c r="CI92" i="77"/>
  <c r="AC94" i="68" s="1"/>
  <c r="EP404" i="77"/>
  <c r="AD404" i="70" s="1"/>
  <c r="BG378" i="77"/>
  <c r="DL404"/>
  <c r="AC404" i="69" s="1"/>
  <c r="FR38" i="77"/>
  <c r="AC38" i="71" s="1"/>
  <c r="DL29" i="77"/>
  <c r="AC29" i="69" s="1"/>
  <c r="AD79"/>
  <c r="CI48" i="77"/>
  <c r="AC48" i="68" s="1"/>
  <c r="DM442" i="77"/>
  <c r="AD442" i="69" s="1"/>
  <c r="FS58" i="77"/>
  <c r="AD58" i="71" s="1"/>
  <c r="BF408" i="77"/>
  <c r="AC408" i="65" s="1"/>
  <c r="AC128" i="71"/>
  <c r="AC18" i="73"/>
  <c r="GV65" i="77"/>
  <c r="AD65" i="72" s="1"/>
  <c r="DL95" i="77"/>
  <c r="AC96" i="69" s="1"/>
  <c r="AA352" i="68"/>
  <c r="CI352" i="77"/>
  <c r="AC352" i="68" s="1"/>
  <c r="CJ352" i="77"/>
  <c r="AD352" i="68" s="1"/>
  <c r="AA213" i="70"/>
  <c r="AC213"/>
  <c r="AD213"/>
  <c r="FS256" i="77"/>
  <c r="AD256" i="71" s="1"/>
  <c r="AA431" i="72"/>
  <c r="AC431"/>
  <c r="AD431"/>
  <c r="AA150" i="68"/>
  <c r="AC150"/>
  <c r="AD150"/>
  <c r="AA34" i="70"/>
  <c r="EP34" i="77"/>
  <c r="AD34" i="70" s="1"/>
  <c r="EO34" i="77"/>
  <c r="AC34" i="70" s="1"/>
  <c r="AA54" i="68"/>
  <c r="CI54" i="77"/>
  <c r="AC54" i="68" s="1"/>
  <c r="AA449" i="69"/>
  <c r="DL449" i="77"/>
  <c r="AC449" i="69" s="1"/>
  <c r="AA65" i="74"/>
  <c r="JA65" i="77"/>
  <c r="AC65" i="74" s="1"/>
  <c r="JB65" i="77"/>
  <c r="AD65" i="74" s="1"/>
  <c r="AA401" i="69"/>
  <c r="AD401"/>
  <c r="AA33" i="70"/>
  <c r="EP33" i="77"/>
  <c r="AD33" i="70" s="1"/>
  <c r="EO33" i="77"/>
  <c r="AC33" i="70" s="1"/>
  <c r="AA240"/>
  <c r="EO234" i="77"/>
  <c r="EP234"/>
  <c r="AA17" i="73"/>
  <c r="AD17"/>
  <c r="AC17"/>
  <c r="AA202" i="65"/>
  <c r="AA455" i="68"/>
  <c r="CI455" i="77"/>
  <c r="AC455" i="68" s="1"/>
  <c r="DM232" i="77"/>
  <c r="AA59" i="71"/>
  <c r="FR59" i="77"/>
  <c r="AC59" i="71" s="1"/>
  <c r="FS59" i="77"/>
  <c r="AD59" i="71" s="1"/>
  <c r="AA91" i="70"/>
  <c r="EO88" i="77"/>
  <c r="EP88"/>
  <c r="EO358"/>
  <c r="AC358" i="70" s="1"/>
  <c r="EP358" i="77"/>
  <c r="AD358" i="70" s="1"/>
  <c r="AA78" i="68"/>
  <c r="AC78"/>
  <c r="AD78"/>
  <c r="AD104" i="74"/>
  <c r="AC104"/>
  <c r="JB97" i="77"/>
  <c r="AD97" i="74" s="1"/>
  <c r="JA97" i="77"/>
  <c r="AC97" i="74" s="1"/>
  <c r="AA408" i="69"/>
  <c r="DL408" i="77"/>
  <c r="AC408" i="69" s="1"/>
  <c r="AA199" i="68"/>
  <c r="AC199"/>
  <c r="AA27" i="65"/>
  <c r="BG27" i="77"/>
  <c r="AD27" i="65" s="1"/>
  <c r="BF27" i="77"/>
  <c r="AC27" i="65" s="1"/>
  <c r="AA363" i="68"/>
  <c r="CI360" i="77"/>
  <c r="CJ360"/>
  <c r="AA203" i="68"/>
  <c r="AA51" i="69"/>
  <c r="AD51"/>
  <c r="AC441"/>
  <c r="DM20" i="77"/>
  <c r="AD20" i="69" s="1"/>
  <c r="DM430" i="77"/>
  <c r="AD430" i="69" s="1"/>
  <c r="DL430" i="77"/>
  <c r="AC430" i="69" s="1"/>
  <c r="DL20" i="77"/>
  <c r="AC20" i="69" s="1"/>
  <c r="DL23" i="77"/>
  <c r="AC23" i="69" s="1"/>
  <c r="AA33" i="72"/>
  <c r="GU33" i="77"/>
  <c r="AC33" i="72" s="1"/>
  <c r="GV33" i="77"/>
  <c r="AD33" i="72" s="1"/>
  <c r="GU22" i="77"/>
  <c r="AC22" i="72" s="1"/>
  <c r="GV22" i="77"/>
  <c r="AD22" i="72" s="1"/>
  <c r="AA66" i="69"/>
  <c r="DL66" i="77"/>
  <c r="AC66" i="69" s="1"/>
  <c r="DM66" i="77"/>
  <c r="AD66" i="69" s="1"/>
  <c r="AA125"/>
  <c r="AD125"/>
  <c r="AC125"/>
  <c r="AA62"/>
  <c r="DL62" i="77"/>
  <c r="AC62" i="69" s="1"/>
  <c r="DM62" i="77"/>
  <c r="AD62" i="69" s="1"/>
  <c r="AA32"/>
  <c r="DL32" i="77"/>
  <c r="AC32" i="69" s="1"/>
  <c r="DM32" i="77"/>
  <c r="AD32" i="69" s="1"/>
  <c r="AC153"/>
  <c r="AA213"/>
  <c r="AC213"/>
  <c r="AD213"/>
  <c r="AA355"/>
  <c r="DL355" i="77"/>
  <c r="AC355" i="69" s="1"/>
  <c r="DM355" i="77"/>
  <c r="AD355" i="69" s="1"/>
  <c r="AA407"/>
  <c r="DL407" i="77"/>
  <c r="AC407" i="69" s="1"/>
  <c r="DM407" i="77"/>
  <c r="AD407" i="69" s="1"/>
  <c r="AA423"/>
  <c r="DL423" i="77"/>
  <c r="AC423" i="69" s="1"/>
  <c r="DM423" i="77"/>
  <c r="AD423" i="69" s="1"/>
  <c r="AA435" i="68"/>
  <c r="CI435" i="77"/>
  <c r="AC435" i="68" s="1"/>
  <c r="CJ435" i="77"/>
  <c r="AD435" i="68" s="1"/>
  <c r="AA61" i="69"/>
  <c r="AC61"/>
  <c r="AD61"/>
  <c r="CI53" i="77"/>
  <c r="AC53" i="68" s="1"/>
  <c r="GU42" i="77"/>
  <c r="AC42" i="72" s="1"/>
  <c r="CJ53" i="77"/>
  <c r="AD53" i="68" s="1"/>
  <c r="CJ47" i="77"/>
  <c r="AD47" i="68" s="1"/>
  <c r="DM353" i="77"/>
  <c r="AD353" i="69" s="1"/>
  <c r="CI47" i="77"/>
  <c r="AC47" i="68" s="1"/>
  <c r="DL353" i="77"/>
  <c r="AC353" i="69" s="1"/>
  <c r="AA29" i="70"/>
  <c r="EO29" i="77"/>
  <c r="AC29" i="70" s="1"/>
  <c r="EP29" i="77"/>
  <c r="AD29" i="70" s="1"/>
  <c r="AA91" i="68"/>
  <c r="CI88" i="77"/>
  <c r="CJ88"/>
  <c r="AA195" i="70"/>
  <c r="AA121"/>
  <c r="AA435" i="69"/>
  <c r="DM435" i="77"/>
  <c r="AD435" i="69" s="1"/>
  <c r="DL435" i="77"/>
  <c r="AC435" i="69" s="1"/>
  <c r="AA448" i="70"/>
  <c r="EP448" i="77"/>
  <c r="AD448" i="70" s="1"/>
  <c r="EO448" i="77"/>
  <c r="AC448" i="70" s="1"/>
  <c r="AA81" i="65"/>
  <c r="BF83" i="77"/>
  <c r="BG83"/>
  <c r="AA72" i="74"/>
  <c r="JB72" i="77"/>
  <c r="AD72" i="74" s="1"/>
  <c r="JA72" i="77"/>
  <c r="AC72" i="74" s="1"/>
  <c r="AA95" i="68"/>
  <c r="CJ93" i="77"/>
  <c r="AD95" i="68" s="1"/>
  <c r="CI93" i="77"/>
  <c r="AC95" i="68" s="1"/>
  <c r="AA95" i="71"/>
  <c r="FR93" i="77"/>
  <c r="AC95" i="71" s="1"/>
  <c r="FS93" i="77"/>
  <c r="AA409" i="70"/>
  <c r="EP409" i="77"/>
  <c r="AD409" i="70" s="1"/>
  <c r="EO409" i="77"/>
  <c r="AC409" i="70" s="1"/>
  <c r="AA384" i="73"/>
  <c r="HY378" i="77"/>
  <c r="HX378"/>
  <c r="AA80" i="71"/>
  <c r="FS82" i="77"/>
  <c r="FR82"/>
  <c r="AA373" i="65"/>
  <c r="BG373" i="77"/>
  <c r="AD373" i="65" s="1"/>
  <c r="BF373" i="77"/>
  <c r="AC373" i="65" s="1"/>
  <c r="AA214" i="69"/>
  <c r="AA411"/>
  <c r="AC411"/>
  <c r="AD411"/>
  <c r="AA57" i="65"/>
  <c r="BF57" i="77"/>
  <c r="AC57" i="65" s="1"/>
  <c r="BG57" i="77"/>
  <c r="AD57" i="65" s="1"/>
  <c r="AA19" i="68"/>
  <c r="AC19"/>
  <c r="AD19"/>
  <c r="AA42" i="73"/>
  <c r="HX42" i="77"/>
  <c r="AC42" i="73" s="1"/>
  <c r="HY42" i="77"/>
  <c r="AD42" i="73" s="1"/>
  <c r="AA362" i="65"/>
  <c r="BG359" i="77"/>
  <c r="BF359"/>
  <c r="AA145" i="68"/>
  <c r="AA220" i="70"/>
  <c r="EO228" i="77"/>
  <c r="EP228"/>
  <c r="AA42" i="65"/>
  <c r="BG42" i="77"/>
  <c r="AD42" i="65" s="1"/>
  <c r="BF42" i="77"/>
  <c r="AC42" i="65" s="1"/>
  <c r="AA69" i="74"/>
  <c r="JB69" i="77"/>
  <c r="AD69" i="74" s="1"/>
  <c r="JA69" i="77"/>
  <c r="AC69" i="74" s="1"/>
  <c r="AA142" i="69"/>
  <c r="AA408" i="68"/>
  <c r="CJ408" i="77"/>
  <c r="AD408" i="68" s="1"/>
  <c r="CI408" i="77"/>
  <c r="AC408" i="68" s="1"/>
  <c r="AA210" i="73"/>
  <c r="HX205" i="77"/>
  <c r="AC210" i="73" s="1"/>
  <c r="HY205" i="77"/>
  <c r="AD210" i="73" s="1"/>
  <c r="AA256"/>
  <c r="HX256" i="77"/>
  <c r="AC256" i="73" s="1"/>
  <c r="HY256" i="77"/>
  <c r="AD256" i="73" s="1"/>
  <c r="AA365" i="69"/>
  <c r="AD365"/>
  <c r="AC365"/>
  <c r="AA149" i="71"/>
  <c r="AA462" i="65"/>
  <c r="BF462" i="77"/>
  <c r="AC462" i="65" s="1"/>
  <c r="BG462" i="77"/>
  <c r="AD462" i="65" s="1"/>
  <c r="AA255" i="70"/>
  <c r="EO255" i="77"/>
  <c r="AC255" i="70" s="1"/>
  <c r="EP255" i="77"/>
  <c r="AD255" i="70" s="1"/>
  <c r="AA98" i="69"/>
  <c r="AC98"/>
  <c r="AD98"/>
  <c r="AA206" i="68"/>
  <c r="AA384" i="70"/>
  <c r="EO378" i="77"/>
  <c r="EP378"/>
  <c r="AA16" i="72"/>
  <c r="AC16"/>
  <c r="AD16"/>
  <c r="AA444" i="69"/>
  <c r="DL444" i="77"/>
  <c r="AC444" i="69" s="1"/>
  <c r="DM444" i="77"/>
  <c r="AD444" i="69" s="1"/>
  <c r="AC197" i="72"/>
  <c r="AC217"/>
  <c r="AA251" i="68"/>
  <c r="CJ248" i="77"/>
  <c r="AD251" i="68" s="1"/>
  <c r="CI248" i="77"/>
  <c r="AC251" i="68" s="1"/>
  <c r="AD217" i="72"/>
  <c r="AD197"/>
  <c r="AA91" i="65"/>
  <c r="BF88" i="77"/>
  <c r="BG88"/>
  <c r="AA242" i="73"/>
  <c r="HX236" i="77"/>
  <c r="HY236"/>
  <c r="AA253" i="73"/>
  <c r="AA430" i="68"/>
  <c r="CI430" i="77"/>
  <c r="AC430" i="68" s="1"/>
  <c r="CJ430" i="77"/>
  <c r="AD430" i="68" s="1"/>
  <c r="AA147" i="71"/>
  <c r="AC147"/>
  <c r="AD147"/>
  <c r="AA241" i="73"/>
  <c r="HX235" i="77"/>
  <c r="HY235"/>
  <c r="AA81" i="69"/>
  <c r="DL83" i="77"/>
  <c r="DM83"/>
  <c r="AA24" i="68"/>
  <c r="CI24" i="77"/>
  <c r="AC24" i="68" s="1"/>
  <c r="CJ24" i="77"/>
  <c r="AD24" i="68" s="1"/>
  <c r="AA240" i="65"/>
  <c r="BF234" i="77"/>
  <c r="BG234"/>
  <c r="AA376" i="70"/>
  <c r="AC376"/>
  <c r="AD376"/>
  <c r="AA428" i="69"/>
  <c r="DL428" i="77"/>
  <c r="AC428" i="69" s="1"/>
  <c r="DM428" i="77"/>
  <c r="AD428" i="69" s="1"/>
  <c r="AA149" i="74"/>
  <c r="AA16"/>
  <c r="AC16"/>
  <c r="AD16"/>
  <c r="AA19" i="70"/>
  <c r="AC19"/>
  <c r="AD19"/>
  <c r="AA252" i="65"/>
  <c r="BG249" i="77"/>
  <c r="AD252" i="65" s="1"/>
  <c r="BF249" i="77"/>
  <c r="AC252" i="65" s="1"/>
  <c r="AA436"/>
  <c r="BG436" i="77"/>
  <c r="AD436" i="65" s="1"/>
  <c r="BF436" i="77"/>
  <c r="AC436" i="65" s="1"/>
  <c r="AA151" i="68"/>
  <c r="AC151"/>
  <c r="AD151"/>
  <c r="AA49" i="69"/>
  <c r="DL49" i="77"/>
  <c r="AC49" i="69" s="1"/>
  <c r="DM49" i="77"/>
  <c r="AD49" i="69" s="1"/>
  <c r="AA37" i="68"/>
  <c r="CJ37" i="77"/>
  <c r="AD37" i="68" s="1"/>
  <c r="CI37" i="77"/>
  <c r="AC37" i="68" s="1"/>
  <c r="AA426" i="72"/>
  <c r="GV426" i="77"/>
  <c r="AD426" i="72" s="1"/>
  <c r="GU426" i="77"/>
  <c r="AC426" i="72" s="1"/>
  <c r="AA457" i="69"/>
  <c r="DM457" i="77"/>
  <c r="AD457" i="69" s="1"/>
  <c r="DL457" i="77"/>
  <c r="AC457" i="69" s="1"/>
  <c r="AB122" i="74"/>
  <c r="AB205"/>
  <c r="AB143"/>
  <c r="AB119"/>
  <c r="AB388"/>
  <c r="AB385"/>
  <c r="AB118"/>
  <c r="AB194"/>
  <c r="AA192" i="69"/>
  <c r="AA153" i="68"/>
  <c r="AD153"/>
  <c r="AC153"/>
  <c r="AA100" i="69"/>
  <c r="AD100"/>
  <c r="AC100"/>
  <c r="AA60"/>
  <c r="DL60" i="77"/>
  <c r="AC60" i="69" s="1"/>
  <c r="DM60" i="77"/>
  <c r="AD60" i="69" s="1"/>
  <c r="AA196"/>
  <c r="AC389" i="74"/>
  <c r="AC386"/>
  <c r="AD388" i="73"/>
  <c r="AD385"/>
  <c r="AD197" i="71"/>
  <c r="AD217"/>
  <c r="AD119" i="70"/>
  <c r="AD143"/>
  <c r="AD412" i="69"/>
  <c r="AD419"/>
  <c r="AC389" i="70"/>
  <c r="AC386"/>
  <c r="AC385" i="65"/>
  <c r="AC388"/>
  <c r="AD419"/>
  <c r="AD412"/>
  <c r="AC412" i="70"/>
  <c r="AC419"/>
  <c r="AD122"/>
  <c r="AD205"/>
  <c r="AC388"/>
  <c r="AC385"/>
  <c r="AA405" i="68"/>
  <c r="AA425"/>
  <c r="CI405" i="77"/>
  <c r="CJ405"/>
  <c r="AA455" i="65"/>
  <c r="BG455" i="77"/>
  <c r="AD455" i="65" s="1"/>
  <c r="BF455" i="77"/>
  <c r="AC455" i="65" s="1"/>
  <c r="AC388" i="73"/>
  <c r="AC385"/>
  <c r="AC197" i="71"/>
  <c r="AC217"/>
  <c r="AC119" i="70"/>
  <c r="AC143"/>
  <c r="AC412" i="69"/>
  <c r="AC419"/>
  <c r="AD389" i="70"/>
  <c r="AD386"/>
  <c r="AD385" i="65"/>
  <c r="AD388"/>
  <c r="AC419"/>
  <c r="AC412"/>
  <c r="AA243"/>
  <c r="AA204"/>
  <c r="AD412" i="70"/>
  <c r="AD419"/>
  <c r="AC122"/>
  <c r="AC205"/>
  <c r="AD388"/>
  <c r="AD385"/>
  <c r="AA242" i="69"/>
  <c r="DL236" i="77"/>
  <c r="DM236"/>
  <c r="AA461" i="69"/>
  <c r="AD461"/>
  <c r="AC461"/>
  <c r="AA461" i="70"/>
  <c r="AD461"/>
  <c r="AC461"/>
  <c r="AD386" i="74"/>
  <c r="AD217"/>
  <c r="AD197"/>
  <c r="AD118" i="73"/>
  <c r="AD194"/>
  <c r="AD119"/>
  <c r="AD143"/>
  <c r="AD122"/>
  <c r="AD205"/>
  <c r="AC191" i="68"/>
  <c r="AC216"/>
  <c r="AD194" i="70"/>
  <c r="AD118"/>
  <c r="AD413" i="69"/>
  <c r="AD437"/>
  <c r="AD216"/>
  <c r="AD191"/>
  <c r="AD437" i="65"/>
  <c r="AD413"/>
  <c r="AD432" i="68"/>
  <c r="AD417"/>
  <c r="AD438" i="69"/>
  <c r="AD414"/>
  <c r="AC204" i="73"/>
  <c r="AC243"/>
  <c r="AD389" i="65"/>
  <c r="AD386"/>
  <c r="AA438" i="68"/>
  <c r="AA414"/>
  <c r="AD191" i="71"/>
  <c r="AD216"/>
  <c r="AA199" i="65"/>
  <c r="AC199"/>
  <c r="AD199"/>
  <c r="AA148"/>
  <c r="AC148"/>
  <c r="AD148"/>
  <c r="AA209" i="69"/>
  <c r="DL204" i="77"/>
  <c r="DM204"/>
  <c r="AD143" i="71"/>
  <c r="AD119"/>
  <c r="AA251" i="69"/>
  <c r="DM248" i="77"/>
  <c r="DL248"/>
  <c r="AA367" i="69"/>
  <c r="DM367" i="77"/>
  <c r="AD367" i="69" s="1"/>
  <c r="DL367" i="77"/>
  <c r="AC367" i="69" s="1"/>
  <c r="AA215" i="68"/>
  <c r="AD215"/>
  <c r="AC215"/>
  <c r="AC217" i="74"/>
  <c r="AC197"/>
  <c r="AC118" i="73"/>
  <c r="AC194"/>
  <c r="AC119"/>
  <c r="AC143"/>
  <c r="AC122"/>
  <c r="AD216" i="68"/>
  <c r="AD191"/>
  <c r="AC194" i="70"/>
  <c r="AC118"/>
  <c r="AC413" i="69"/>
  <c r="AC437"/>
  <c r="AC191"/>
  <c r="AC216"/>
  <c r="AC437" i="65"/>
  <c r="AC413"/>
  <c r="AC432" i="68"/>
  <c r="AC417"/>
  <c r="AC438" i="69"/>
  <c r="AC414"/>
  <c r="AD204" i="73"/>
  <c r="AD243"/>
  <c r="AC386" i="65"/>
  <c r="AC389"/>
  <c r="AC216" i="71"/>
  <c r="AC191"/>
  <c r="AA423" i="70"/>
  <c r="EP423" i="77"/>
  <c r="AD423" i="70" s="1"/>
  <c r="EO423" i="77"/>
  <c r="AC423" i="70" s="1"/>
  <c r="AA405" i="65"/>
  <c r="AA425"/>
  <c r="BF405" i="77"/>
  <c r="BG405"/>
  <c r="AA122" i="65"/>
  <c r="AA205"/>
  <c r="AC143" i="71"/>
  <c r="AC119"/>
  <c r="AA239"/>
  <c r="FS233" i="77"/>
  <c r="FR233"/>
  <c r="AA121" i="69"/>
  <c r="EO27" i="77"/>
  <c r="AC27" i="70" s="1"/>
  <c r="EP27" i="77"/>
  <c r="AD27" i="70" s="1"/>
  <c r="BG357" i="77"/>
  <c r="AD357" i="65" s="1"/>
  <c r="BF357" i="77"/>
  <c r="AC357" i="65" s="1"/>
  <c r="AC211"/>
  <c r="AD211"/>
  <c r="AC365"/>
  <c r="AD365"/>
  <c r="DM253" i="77"/>
  <c r="AD254" i="69" s="1"/>
  <c r="DL253" i="77"/>
  <c r="AC254" i="69" s="1"/>
  <c r="DL68" i="77"/>
  <c r="AC68" i="69" s="1"/>
  <c r="DM68" i="77"/>
  <c r="AD68" i="69" s="1"/>
  <c r="CI400" i="77"/>
  <c r="AC400" i="68" s="1"/>
  <c r="CJ400" i="77"/>
  <c r="AD400" i="68" s="1"/>
  <c r="CJ49" i="77"/>
  <c r="AD49" i="68" s="1"/>
  <c r="CI49" i="77"/>
  <c r="AC49" i="68" s="1"/>
  <c r="DL373" i="77"/>
  <c r="AC373" i="69" s="1"/>
  <c r="DM373" i="77"/>
  <c r="AD373" i="69" s="1"/>
  <c r="BG246" i="77"/>
  <c r="BF246"/>
  <c r="AD14" i="72"/>
  <c r="AC14"/>
  <c r="BG426" i="77"/>
  <c r="AD426" i="65" s="1"/>
  <c r="BF426" i="77"/>
  <c r="AC426" i="65" s="1"/>
  <c r="FS67" i="77"/>
  <c r="AD67" i="71" s="1"/>
  <c r="FR67" i="77"/>
  <c r="AC67" i="71" s="1"/>
  <c r="BG95" i="77"/>
  <c r="AD96" i="65" s="1"/>
  <c r="BF95" i="77"/>
  <c r="AC96" i="65" s="1"/>
  <c r="DM370" i="77"/>
  <c r="DL370"/>
  <c r="CJ46"/>
  <c r="AD46" i="68" s="1"/>
  <c r="CI46" i="77"/>
  <c r="AC46" i="68" s="1"/>
  <c r="JB234" i="77"/>
  <c r="JA234"/>
  <c r="AD123" i="74"/>
  <c r="AD124"/>
  <c r="AC124"/>
  <c r="AD126"/>
  <c r="AC126"/>
  <c r="AD125"/>
  <c r="AC125"/>
  <c r="AD100"/>
  <c r="AC100"/>
  <c r="JB224" i="77"/>
  <c r="JA224"/>
  <c r="JB233"/>
  <c r="JA233"/>
  <c r="JB358"/>
  <c r="JA358"/>
  <c r="JB389"/>
  <c r="JA389"/>
  <c r="JB388"/>
  <c r="JA388"/>
  <c r="JB355"/>
  <c r="AD355" i="74" s="1"/>
  <c r="JA355" i="77"/>
  <c r="AC355" i="74" s="1"/>
  <c r="JB359" i="77"/>
  <c r="JA359"/>
  <c r="JB360"/>
  <c r="JA360"/>
  <c r="JB353"/>
  <c r="AD353" i="74" s="1"/>
  <c r="JA353" i="77"/>
  <c r="AC353" i="74" s="1"/>
  <c r="JB380" i="77"/>
  <c r="AD380" i="74" s="1"/>
  <c r="JA380" i="77"/>
  <c r="AC380" i="74" s="1"/>
  <c r="AD92" i="68" l="1"/>
  <c r="AD395" i="73"/>
  <c r="AD386"/>
  <c r="AC133" i="69"/>
  <c r="AC161" i="68"/>
  <c r="AC123" i="74"/>
  <c r="AC245" i="71"/>
  <c r="AD254" i="68"/>
  <c r="AD92" i="71"/>
  <c r="AC154" i="69"/>
  <c r="AC128"/>
  <c r="AD154"/>
  <c r="AD128"/>
  <c r="AC205" i="73"/>
  <c r="AD389" i="74"/>
  <c r="AD193" i="72"/>
  <c r="AD286"/>
  <c r="AD118"/>
  <c r="AC209" i="70"/>
  <c r="AC204"/>
  <c r="AD405"/>
  <c r="AD425"/>
  <c r="AC188"/>
  <c r="AC237"/>
  <c r="AD253" i="69"/>
  <c r="AC184" i="68"/>
  <c r="AC281"/>
  <c r="AD184"/>
  <c r="AD281"/>
  <c r="AD247"/>
  <c r="AC273" i="74"/>
  <c r="AC168"/>
  <c r="AC107"/>
  <c r="AC240"/>
  <c r="AC234"/>
  <c r="AD362"/>
  <c r="AD359"/>
  <c r="AD358"/>
  <c r="AD376"/>
  <c r="AD111"/>
  <c r="AD136"/>
  <c r="AD121"/>
  <c r="AD114"/>
  <c r="AD198"/>
  <c r="AD277"/>
  <c r="AD175"/>
  <c r="AD120"/>
  <c r="AD112"/>
  <c r="AD196" i="65"/>
  <c r="AD170"/>
  <c r="AC192" i="68"/>
  <c r="AC162"/>
  <c r="AD121" i="69"/>
  <c r="AD114"/>
  <c r="AC362" i="74"/>
  <c r="AC359"/>
  <c r="AC358"/>
  <c r="AC376"/>
  <c r="AC111"/>
  <c r="AC136"/>
  <c r="AC121"/>
  <c r="AC114"/>
  <c r="AC198"/>
  <c r="AC277"/>
  <c r="AC175"/>
  <c r="AC120"/>
  <c r="AC112"/>
  <c r="AC200"/>
  <c r="AC180"/>
  <c r="AC372" i="69"/>
  <c r="AC370"/>
  <c r="AC196" i="65"/>
  <c r="AC170"/>
  <c r="AD192" i="68"/>
  <c r="AD162"/>
  <c r="AC195" i="69"/>
  <c r="AC169"/>
  <c r="AC121"/>
  <c r="AC114"/>
  <c r="AD239" i="71"/>
  <c r="AD233"/>
  <c r="AD286" i="65"/>
  <c r="AD193"/>
  <c r="AD118"/>
  <c r="AD251" i="69"/>
  <c r="AD248"/>
  <c r="AD149" i="74"/>
  <c r="AD148"/>
  <c r="AD240" i="65"/>
  <c r="AD234"/>
  <c r="AD91"/>
  <c r="AD88"/>
  <c r="AD384" i="70"/>
  <c r="AD378"/>
  <c r="AC206" i="68"/>
  <c r="AC197"/>
  <c r="AD149" i="71"/>
  <c r="AD148"/>
  <c r="AC220" i="70"/>
  <c r="AC228"/>
  <c r="AD214" i="69"/>
  <c r="AD217"/>
  <c r="AD81" i="65"/>
  <c r="AD83"/>
  <c r="AD195" i="70"/>
  <c r="AD169"/>
  <c r="AC91" i="68"/>
  <c r="AC88"/>
  <c r="AD145" i="69"/>
  <c r="AD138"/>
  <c r="AD363" i="68"/>
  <c r="AD360"/>
  <c r="AC91" i="70"/>
  <c r="AC88"/>
  <c r="AC202" i="65"/>
  <c r="AC182"/>
  <c r="AD384"/>
  <c r="AD378"/>
  <c r="AD362" i="69"/>
  <c r="AD359"/>
  <c r="AD254" i="71"/>
  <c r="AD253"/>
  <c r="AC202" i="68"/>
  <c r="AC182"/>
  <c r="AD200" i="65"/>
  <c r="AD180"/>
  <c r="AD200" i="69"/>
  <c r="AD180"/>
  <c r="AC220"/>
  <c r="AC228"/>
  <c r="AD220"/>
  <c r="AD228"/>
  <c r="AC246" i="68"/>
  <c r="AC242"/>
  <c r="AC254" i="71"/>
  <c r="AC253"/>
  <c r="AC192" i="73"/>
  <c r="AC162"/>
  <c r="AC195" i="68"/>
  <c r="AC169"/>
  <c r="AD101" i="74"/>
  <c r="AD261"/>
  <c r="AD213"/>
  <c r="AD284"/>
  <c r="AD117"/>
  <c r="AD158"/>
  <c r="AD130"/>
  <c r="AD215"/>
  <c r="AC208" i="68"/>
  <c r="AC200"/>
  <c r="AC253" i="69"/>
  <c r="AC248" i="68"/>
  <c r="AD148"/>
  <c r="AC218" i="70"/>
  <c r="AD147" i="65"/>
  <c r="AC203" i="74"/>
  <c r="AD93" i="68"/>
  <c r="AD240" i="69"/>
  <c r="AD363" i="74"/>
  <c r="AD360"/>
  <c r="AD286"/>
  <c r="AD193"/>
  <c r="AD239"/>
  <c r="AD233"/>
  <c r="AD273"/>
  <c r="AD168"/>
  <c r="AD107"/>
  <c r="AD240"/>
  <c r="AD234"/>
  <c r="AD237" i="65"/>
  <c r="AD188"/>
  <c r="AD249"/>
  <c r="AD246"/>
  <c r="AC203"/>
  <c r="AC183"/>
  <c r="AC239" i="71"/>
  <c r="AC233"/>
  <c r="AC251" i="69"/>
  <c r="AC248"/>
  <c r="AC209"/>
  <c r="AC204"/>
  <c r="AC149" i="74"/>
  <c r="AC148"/>
  <c r="AC81" i="69"/>
  <c r="AC83"/>
  <c r="AD253" i="73"/>
  <c r="AD251"/>
  <c r="AD206" i="68"/>
  <c r="AD197"/>
  <c r="AC149" i="71"/>
  <c r="AC148"/>
  <c r="AD142" i="69"/>
  <c r="AD131"/>
  <c r="AD220" i="70"/>
  <c r="AD228"/>
  <c r="AC145" i="68"/>
  <c r="AC138"/>
  <c r="AD80" i="71"/>
  <c r="AD82"/>
  <c r="AD95"/>
  <c r="AD93"/>
  <c r="AD91" i="68"/>
  <c r="AD88"/>
  <c r="AD207" i="69"/>
  <c r="AD199"/>
  <c r="AC145"/>
  <c r="AC138"/>
  <c r="AD91" i="70"/>
  <c r="AD88"/>
  <c r="AC240"/>
  <c r="AC234"/>
  <c r="AC121" i="68"/>
  <c r="AC114"/>
  <c r="AC144" i="69"/>
  <c r="AC137"/>
  <c r="AD203" i="73"/>
  <c r="AD183"/>
  <c r="AD157" i="74"/>
  <c r="AD266"/>
  <c r="AD121" i="68"/>
  <c r="AD114"/>
  <c r="AD82"/>
  <c r="AD84"/>
  <c r="AC142"/>
  <c r="AC131"/>
  <c r="AC198" i="65"/>
  <c r="AC277"/>
  <c r="AC175"/>
  <c r="AC250" i="73"/>
  <c r="AC247"/>
  <c r="AC92" i="69"/>
  <c r="AC90"/>
  <c r="AD90" i="68"/>
  <c r="AD86"/>
  <c r="AC144" i="65"/>
  <c r="AC137"/>
  <c r="AC244" i="68"/>
  <c r="AC238"/>
  <c r="AD195"/>
  <c r="AD169"/>
  <c r="AC101" i="74"/>
  <c r="AC261"/>
  <c r="AC213"/>
  <c r="AC284"/>
  <c r="AC117"/>
  <c r="AC158"/>
  <c r="AC130"/>
  <c r="AC215"/>
  <c r="AD120" i="69"/>
  <c r="AD112"/>
  <c r="AD364" i="74"/>
  <c r="AD361"/>
  <c r="AC206"/>
  <c r="AD249" i="70"/>
  <c r="AD218" i="68"/>
  <c r="AC147" i="65"/>
  <c r="AD145" i="71"/>
  <c r="AC247" i="68"/>
  <c r="AC95" i="65"/>
  <c r="AD247" i="73"/>
  <c r="AC81" i="68"/>
  <c r="AC240" i="69"/>
  <c r="AD206" i="74"/>
  <c r="AC249" i="70"/>
  <c r="AC218" i="68"/>
  <c r="AD203" i="74"/>
  <c r="AD203" i="65"/>
  <c r="AD183"/>
  <c r="AD209" i="69"/>
  <c r="AD204"/>
  <c r="AC242"/>
  <c r="AC236"/>
  <c r="AC196"/>
  <c r="AC170"/>
  <c r="AD192"/>
  <c r="AD162"/>
  <c r="AD81"/>
  <c r="AD83"/>
  <c r="AC241" i="73"/>
  <c r="AC235"/>
  <c r="AC253"/>
  <c r="AC251"/>
  <c r="AC242"/>
  <c r="AC236"/>
  <c r="AC142" i="69"/>
  <c r="AC131"/>
  <c r="AD145" i="68"/>
  <c r="AD138"/>
  <c r="AD362" i="65"/>
  <c r="AD359"/>
  <c r="AC80" i="71"/>
  <c r="AC82"/>
  <c r="AD384" i="73"/>
  <c r="AD378"/>
  <c r="AC121" i="70"/>
  <c r="AC114"/>
  <c r="AC207" i="69"/>
  <c r="AC199"/>
  <c r="AC203" i="68"/>
  <c r="AC183"/>
  <c r="AD240" i="70"/>
  <c r="AD234"/>
  <c r="AD198" i="65"/>
  <c r="AD277"/>
  <c r="AD175"/>
  <c r="AD96" i="69"/>
  <c r="AD95"/>
  <c r="AC203" i="73"/>
  <c r="AC183"/>
  <c r="AC157" i="74"/>
  <c r="AC266"/>
  <c r="AC384" i="65"/>
  <c r="AC378"/>
  <c r="AD111" i="70"/>
  <c r="AD136"/>
  <c r="AC89" i="65"/>
  <c r="AC85"/>
  <c r="AD208" i="68"/>
  <c r="AD200"/>
  <c r="AC90" i="70"/>
  <c r="AC86"/>
  <c r="AC218" i="69"/>
  <c r="AC226"/>
  <c r="AD276" i="68"/>
  <c r="AD224"/>
  <c r="AD174"/>
  <c r="AC200" i="69"/>
  <c r="AC180"/>
  <c r="AD371" i="65"/>
  <c r="AD369"/>
  <c r="AD173" i="74"/>
  <c r="AD110"/>
  <c r="AC111" i="69"/>
  <c r="AC136"/>
  <c r="AD223" i="70"/>
  <c r="AD172"/>
  <c r="AD164" i="65"/>
  <c r="AD221"/>
  <c r="AC273" i="69"/>
  <c r="AC168"/>
  <c r="AC107"/>
  <c r="AD241"/>
  <c r="AD235"/>
  <c r="AC364" i="74"/>
  <c r="AC361"/>
  <c r="AD218" i="65"/>
  <c r="AD226"/>
  <c r="AC93" i="71"/>
  <c r="AC245" i="68"/>
  <c r="AD95" i="65"/>
  <c r="AC93" i="68"/>
  <c r="AC95" i="69"/>
  <c r="AC363" i="74"/>
  <c r="AC360"/>
  <c r="AC286"/>
  <c r="AC193"/>
  <c r="AC239"/>
  <c r="AC233"/>
  <c r="AC188" i="65"/>
  <c r="AC237"/>
  <c r="AC249"/>
  <c r="AC246"/>
  <c r="AD200" i="74"/>
  <c r="AD180"/>
  <c r="AD372" i="69"/>
  <c r="AD370"/>
  <c r="AD195"/>
  <c r="AD169"/>
  <c r="AC286" i="65"/>
  <c r="AC193"/>
  <c r="AC118"/>
  <c r="AD242" i="69"/>
  <c r="AD236"/>
  <c r="AD196"/>
  <c r="AD170"/>
  <c r="AC192"/>
  <c r="AC162"/>
  <c r="AC240" i="65"/>
  <c r="AC234"/>
  <c r="AD241" i="73"/>
  <c r="AD235"/>
  <c r="AD242"/>
  <c r="AD236"/>
  <c r="AC91" i="65"/>
  <c r="AC88"/>
  <c r="AC384" i="70"/>
  <c r="AC378"/>
  <c r="AC362" i="65"/>
  <c r="AC359"/>
  <c r="AC214" i="69"/>
  <c r="AC217"/>
  <c r="AC384" i="73"/>
  <c r="AC378"/>
  <c r="AC81" i="65"/>
  <c r="AC83"/>
  <c r="AD121" i="70"/>
  <c r="AD114"/>
  <c r="AC195"/>
  <c r="AC169"/>
  <c r="AD144" i="69"/>
  <c r="AD137"/>
  <c r="AD203" i="68"/>
  <c r="AD183"/>
  <c r="AC363"/>
  <c r="AC360"/>
  <c r="AD221" i="69"/>
  <c r="AD232"/>
  <c r="AD202" i="65"/>
  <c r="AD182"/>
  <c r="AC120" i="71"/>
  <c r="AC112"/>
  <c r="AC362" i="69"/>
  <c r="AC359"/>
  <c r="AD209" i="70"/>
  <c r="AD204"/>
  <c r="AC200" i="65"/>
  <c r="AC180"/>
  <c r="AD247" i="72"/>
  <c r="AD244"/>
  <c r="AC200" i="70"/>
  <c r="AC180"/>
  <c r="AD207" i="73"/>
  <c r="AD199"/>
  <c r="AC276" i="68"/>
  <c r="AC224"/>
  <c r="AC174"/>
  <c r="AD144"/>
  <c r="AD137"/>
  <c r="AC207" i="73"/>
  <c r="AC199"/>
  <c r="AD214" i="68"/>
  <c r="AD217"/>
  <c r="AC201" i="65"/>
  <c r="AC181"/>
  <c r="AC173" i="74"/>
  <c r="AC110"/>
  <c r="AD276" i="69"/>
  <c r="AD224"/>
  <c r="AD174"/>
  <c r="AC223" i="70"/>
  <c r="AC172"/>
  <c r="AC164" i="65"/>
  <c r="AC221"/>
  <c r="AD273" i="69"/>
  <c r="AD168"/>
  <c r="AD107"/>
  <c r="AD248" i="68"/>
  <c r="AD242"/>
  <c r="AC93" i="74"/>
  <c r="AD147" i="70"/>
  <c r="AC242"/>
  <c r="AC147"/>
  <c r="AC92" i="68"/>
  <c r="AC145" i="71"/>
  <c r="AC119" i="74"/>
  <c r="AC143"/>
  <c r="AC425" i="68"/>
  <c r="AC405"/>
  <c r="AD122" i="65"/>
  <c r="AD205"/>
  <c r="AD425"/>
  <c r="AD405"/>
  <c r="AD385" i="74"/>
  <c r="AD388"/>
  <c r="AD122"/>
  <c r="AD205"/>
  <c r="AD194"/>
  <c r="AD118"/>
  <c r="AD243" i="65"/>
  <c r="AD204"/>
  <c r="AD425" i="68"/>
  <c r="AD405"/>
  <c r="AC414"/>
  <c r="AC438"/>
  <c r="AC385" i="74"/>
  <c r="AC388"/>
  <c r="AC205"/>
  <c r="AC122"/>
  <c r="AC194"/>
  <c r="AC118"/>
  <c r="AC243" i="65"/>
  <c r="AC204"/>
  <c r="AD119" i="74"/>
  <c r="AD143"/>
  <c r="AD414" i="68"/>
  <c r="AD438"/>
  <c r="AC122" i="65"/>
  <c r="AC205"/>
  <c r="AC425"/>
  <c r="AC405"/>
  <c r="N5" i="39"/>
  <c r="O473" s="1"/>
  <c r="AB466" i="65" l="1"/>
  <c r="AB468"/>
  <c r="M468" i="39"/>
  <c r="Y468"/>
  <c r="Y466" s="1"/>
  <c r="L468"/>
  <c r="H468"/>
  <c r="K468"/>
  <c r="AB468"/>
  <c r="AB466"/>
  <c r="F468"/>
  <c r="J468"/>
  <c r="G468"/>
  <c r="I468"/>
  <c r="O5" i="65" l="1"/>
  <c r="P5"/>
  <c r="AB468" i="68"/>
  <c r="AB466"/>
  <c r="P5" i="39"/>
  <c r="Q473"/>
  <c r="O5"/>
  <c r="P473"/>
  <c r="S465"/>
  <c r="S468" s="1"/>
  <c r="Q465"/>
  <c r="Q468" s="1"/>
  <c r="R465"/>
  <c r="R468" s="1"/>
  <c r="N468"/>
  <c r="L466"/>
  <c r="O5" i="68" l="1"/>
  <c r="R5" i="65"/>
  <c r="AB466" i="69"/>
  <c r="AB468"/>
  <c r="R5" i="39"/>
  <c r="T468"/>
  <c r="T465"/>
  <c r="U468" s="1"/>
  <c r="O468"/>
  <c r="P468"/>
  <c r="S473" l="1"/>
  <c r="O5" i="69"/>
  <c r="P5"/>
  <c r="AB466" i="70"/>
  <c r="AB468"/>
  <c r="W468" i="39"/>
  <c r="V468"/>
  <c r="R5" i="69" l="1"/>
  <c r="O5" i="70"/>
  <c r="P5"/>
  <c r="AB466" i="71"/>
  <c r="AB468"/>
  <c r="X468" i="39"/>
  <c r="X466" s="1"/>
  <c r="R5" i="70" l="1"/>
  <c r="O5" i="71"/>
  <c r="P5"/>
  <c r="AB466" i="72"/>
  <c r="AB468"/>
  <c r="AA468" i="39"/>
  <c r="AA466" s="1"/>
  <c r="R5" i="71" l="1"/>
  <c r="O5" i="72"/>
  <c r="P5"/>
  <c r="AB466" i="73"/>
  <c r="AB468"/>
  <c r="AC468" i="39"/>
  <c r="AD468"/>
  <c r="AC466"/>
  <c r="AD466"/>
  <c r="R5" i="72" l="1"/>
  <c r="O5" i="73"/>
  <c r="P5"/>
  <c r="D474" i="39"/>
  <c r="AB466" i="74"/>
  <c r="AB468"/>
  <c r="R5" i="73" l="1"/>
  <c r="P5" i="74"/>
  <c r="O5"/>
  <c r="R5" l="1"/>
  <c r="F468" i="65"/>
  <c r="M468"/>
  <c r="I468"/>
  <c r="G468"/>
  <c r="H468"/>
  <c r="K468"/>
  <c r="J468"/>
  <c r="L468"/>
  <c r="M468" i="74" l="1"/>
  <c r="M468" i="73"/>
  <c r="M468" i="72"/>
  <c r="M468" i="71"/>
  <c r="M468" i="70"/>
  <c r="M468" i="69"/>
  <c r="M468" i="68"/>
  <c r="L466" i="65"/>
  <c r="Q465"/>
  <c r="R465"/>
  <c r="R468" s="1"/>
  <c r="S465"/>
  <c r="S468" s="1"/>
  <c r="N468"/>
  <c r="K468" i="71" l="1"/>
  <c r="G468" i="74"/>
  <c r="K468"/>
  <c r="F468"/>
  <c r="H468"/>
  <c r="L468" i="72"/>
  <c r="K468" i="73"/>
  <c r="J468" i="70"/>
  <c r="K468"/>
  <c r="K468" i="68"/>
  <c r="G468"/>
  <c r="I468"/>
  <c r="L468"/>
  <c r="H468"/>
  <c r="J468"/>
  <c r="F468"/>
  <c r="K468" i="69"/>
  <c r="H468"/>
  <c r="J468"/>
  <c r="G468"/>
  <c r="I468"/>
  <c r="L468"/>
  <c r="F468"/>
  <c r="F468" i="70"/>
  <c r="H468"/>
  <c r="G468"/>
  <c r="I468"/>
  <c r="L468"/>
  <c r="I468" i="71"/>
  <c r="F468"/>
  <c r="G468"/>
  <c r="J468"/>
  <c r="L468"/>
  <c r="H468"/>
  <c r="F468" i="72"/>
  <c r="J468"/>
  <c r="H468"/>
  <c r="K468"/>
  <c r="G468"/>
  <c r="I468"/>
  <c r="F468" i="73"/>
  <c r="J468"/>
  <c r="G468"/>
  <c r="L468"/>
  <c r="H468"/>
  <c r="I468"/>
  <c r="I468" i="74"/>
  <c r="J468"/>
  <c r="L468"/>
  <c r="O468" i="65"/>
  <c r="P468"/>
  <c r="Q468"/>
  <c r="T468" s="1"/>
  <c r="T465"/>
  <c r="L466" i="70" l="1"/>
  <c r="L466" i="74"/>
  <c r="L466" i="71"/>
  <c r="L466" i="68"/>
  <c r="L466" i="72"/>
  <c r="L466" i="73"/>
  <c r="L466" i="69"/>
  <c r="S465" i="68"/>
  <c r="S468" s="1"/>
  <c r="R465"/>
  <c r="R468" s="1"/>
  <c r="Q465"/>
  <c r="N468"/>
  <c r="Q465" i="69"/>
  <c r="Q468" s="1"/>
  <c r="S465"/>
  <c r="S468" s="1"/>
  <c r="R465"/>
  <c r="R468" s="1"/>
  <c r="N468"/>
  <c r="S465" i="70"/>
  <c r="S468" s="1"/>
  <c r="N468"/>
  <c r="R465"/>
  <c r="R468" s="1"/>
  <c r="Q465"/>
  <c r="Q468" s="1"/>
  <c r="N468" i="71"/>
  <c r="Q465"/>
  <c r="Q468" s="1"/>
  <c r="S465"/>
  <c r="S468" s="1"/>
  <c r="R465"/>
  <c r="R468" s="1"/>
  <c r="S465" i="72"/>
  <c r="S468" s="1"/>
  <c r="R465"/>
  <c r="R468" s="1"/>
  <c r="N468"/>
  <c r="Q465"/>
  <c r="Q468" s="1"/>
  <c r="Q465" i="73"/>
  <c r="Q468" s="1"/>
  <c r="S465"/>
  <c r="S468" s="1"/>
  <c r="R465"/>
  <c r="R468" s="1"/>
  <c r="N468"/>
  <c r="Q465" i="74"/>
  <c r="Q468" s="1"/>
  <c r="R465"/>
  <c r="R468" s="1"/>
  <c r="N468"/>
  <c r="S465"/>
  <c r="S468" s="1"/>
  <c r="W468" i="65"/>
  <c r="V468"/>
  <c r="U468"/>
  <c r="T468" i="74" l="1"/>
  <c r="T465" i="72"/>
  <c r="U468" s="1"/>
  <c r="T465" i="68"/>
  <c r="U468" s="1"/>
  <c r="Q468"/>
  <c r="T468" s="1"/>
  <c r="T465" i="73"/>
  <c r="U468" s="1"/>
  <c r="T468" i="69"/>
  <c r="T468" i="72"/>
  <c r="T468" i="73"/>
  <c r="T468" i="71"/>
  <c r="T468" i="70"/>
  <c r="P468" i="68"/>
  <c r="O468"/>
  <c r="T465" i="69"/>
  <c r="U468" s="1"/>
  <c r="P468"/>
  <c r="O468"/>
  <c r="O468" i="70"/>
  <c r="T465"/>
  <c r="U468" s="1"/>
  <c r="P468"/>
  <c r="O468" i="71"/>
  <c r="T465"/>
  <c r="U468" s="1"/>
  <c r="P468"/>
  <c r="P468" i="72"/>
  <c r="O468"/>
  <c r="P468" i="73"/>
  <c r="O468"/>
  <c r="O468" i="74"/>
  <c r="T465"/>
  <c r="U468" s="1"/>
  <c r="P468"/>
  <c r="X468" i="65"/>
  <c r="X466" s="1"/>
  <c r="W468" i="72" l="1"/>
  <c r="V468"/>
  <c r="V468" i="73"/>
  <c r="W468"/>
  <c r="V468" i="68"/>
  <c r="W468"/>
  <c r="V468" i="69"/>
  <c r="W468"/>
  <c r="W468" i="74"/>
  <c r="V468"/>
  <c r="W468" i="70"/>
  <c r="V468"/>
  <c r="W468" i="71"/>
  <c r="V468"/>
  <c r="AA468" i="65"/>
  <c r="AA466" s="1"/>
  <c r="X468" i="73" l="1"/>
  <c r="X466" s="1"/>
  <c r="X468" i="68"/>
  <c r="X466" s="1"/>
  <c r="X468" i="69"/>
  <c r="X466" s="1"/>
  <c r="X468" i="70"/>
  <c r="X466" s="1"/>
  <c r="X468" i="71"/>
  <c r="X466" s="1"/>
  <c r="X468" i="72"/>
  <c r="X466" s="1"/>
  <c r="X468" i="74"/>
  <c r="X466" s="1"/>
  <c r="AD466" i="65"/>
  <c r="AC466"/>
  <c r="AD468"/>
  <c r="AC468"/>
  <c r="N2" i="68"/>
  <c r="F474" i="39" l="1"/>
  <c r="G5" i="68"/>
  <c r="N5" s="1"/>
  <c r="P5" s="1"/>
  <c r="AA468"/>
  <c r="AA466" s="1"/>
  <c r="AA468" i="69"/>
  <c r="AA466" s="1"/>
  <c r="AA468" i="70"/>
  <c r="AA466" s="1"/>
  <c r="AA468" i="71"/>
  <c r="AA466" s="1"/>
  <c r="AA468" i="73"/>
  <c r="AA466" s="1"/>
  <c r="AA468" i="74"/>
  <c r="AA466" s="1"/>
  <c r="AA468" i="72"/>
  <c r="AA466" s="1"/>
  <c r="R5" i="68" l="1"/>
  <c r="AC468" i="69"/>
  <c r="AD468"/>
  <c r="AC468" i="68"/>
  <c r="G474" i="39" s="1"/>
  <c r="AC466" i="69"/>
  <c r="AD466"/>
  <c r="AC466" i="70"/>
  <c r="AD466" i="68"/>
  <c r="AD468" i="71"/>
  <c r="AD468" i="73"/>
  <c r="AC468"/>
  <c r="AD466" i="72"/>
  <c r="AC466" i="74"/>
  <c r="AC466" i="72"/>
  <c r="AC468" i="71"/>
  <c r="AD466" i="70"/>
  <c r="AD466" i="74"/>
  <c r="AD468"/>
  <c r="AC468"/>
  <c r="AC466" i="73"/>
  <c r="AD466"/>
  <c r="AD468" i="72"/>
  <c r="AC468"/>
  <c r="AC466" i="71"/>
  <c r="AD466"/>
  <c r="AC468" i="70"/>
  <c r="AD468"/>
  <c r="AC466" i="68"/>
  <c r="AD468"/>
  <c r="I474" i="39" l="1"/>
  <c r="H474"/>
  <c r="H477" s="1"/>
  <c r="K474"/>
  <c r="M474"/>
  <c r="J474"/>
  <c r="L474"/>
  <c r="I477" l="1"/>
  <c r="K477"/>
  <c r="J477"/>
  <c r="G477"/>
  <c r="M477"/>
  <c r="L477"/>
  <c r="F477" l="1"/>
</calcChain>
</file>

<file path=xl/sharedStrings.xml><?xml version="1.0" encoding="utf-8"?>
<sst xmlns="http://schemas.openxmlformats.org/spreadsheetml/2006/main" count="13012" uniqueCount="506">
  <si>
    <t>MU</t>
  </si>
  <si>
    <t>KL</t>
  </si>
  <si>
    <t>IN</t>
  </si>
  <si>
    <t>CH</t>
  </si>
  <si>
    <t>FF</t>
  </si>
  <si>
    <t>GE</t>
  </si>
  <si>
    <t>KO</t>
  </si>
  <si>
    <t>KK</t>
  </si>
  <si>
    <t>MU/IN/GE</t>
  </si>
  <si>
    <t>Fliegen</t>
  </si>
  <si>
    <t>Gaukeleien</t>
  </si>
  <si>
    <t>Klettern</t>
  </si>
  <si>
    <t>Körperbeherrschung</t>
  </si>
  <si>
    <t>Kraftakt</t>
  </si>
  <si>
    <t>Reiten</t>
  </si>
  <si>
    <t>Schwimmen</t>
  </si>
  <si>
    <t>Selbstbeherrschung</t>
  </si>
  <si>
    <t>Singen</t>
  </si>
  <si>
    <t>Sinnesschärfe</t>
  </si>
  <si>
    <t>Tanzen</t>
  </si>
  <si>
    <t>Taschendiebstahl</t>
  </si>
  <si>
    <t>Verbergen</t>
  </si>
  <si>
    <t>Zechen</t>
  </si>
  <si>
    <t>Bekehren &amp; Überzeugen</t>
  </si>
  <si>
    <t>Betören</t>
  </si>
  <si>
    <t>Einschüchtern</t>
  </si>
  <si>
    <t>Etikette</t>
  </si>
  <si>
    <t>Gassenwissen</t>
  </si>
  <si>
    <t>Menschenkenntnis</t>
  </si>
  <si>
    <t>Überreden</t>
  </si>
  <si>
    <t>Verkleiden</t>
  </si>
  <si>
    <t>Fährtensuchen</t>
  </si>
  <si>
    <t>Fesseln</t>
  </si>
  <si>
    <t>Fischen &amp; Angeln</t>
  </si>
  <si>
    <t>Orientierung</t>
  </si>
  <si>
    <t>Tierkunde</t>
  </si>
  <si>
    <t>Wildnisleben</t>
  </si>
  <si>
    <t>Willenskraft</t>
  </si>
  <si>
    <t>Brett- &amp; Glücksspiel</t>
  </si>
  <si>
    <t>Geographie</t>
  </si>
  <si>
    <t>Geschichtswissen</t>
  </si>
  <si>
    <t>Götter &amp; Kulte</t>
  </si>
  <si>
    <t>Kriegskunst</t>
  </si>
  <si>
    <t>Magiekunde</t>
  </si>
  <si>
    <t>Mechanik</t>
  </si>
  <si>
    <t>Rechnen</t>
  </si>
  <si>
    <t>Rechtskunde</t>
  </si>
  <si>
    <t>Sagen &amp; Legenden</t>
  </si>
  <si>
    <t>Sphärenkunde</t>
  </si>
  <si>
    <t>Sternkunde</t>
  </si>
  <si>
    <t>Alchimie</t>
  </si>
  <si>
    <t>Fahrzeuge</t>
  </si>
  <si>
    <t>Handel</t>
  </si>
  <si>
    <t>Heilkunde Krankheiten</t>
  </si>
  <si>
    <t>Heilkunde Seele</t>
  </si>
  <si>
    <t>Heilkunde Wunden</t>
  </si>
  <si>
    <t>Holzbearbeitung</t>
  </si>
  <si>
    <t>Lebensmittelbearbeitung</t>
  </si>
  <si>
    <t>Lederbearbeitung</t>
  </si>
  <si>
    <t>Malen &amp; Zeichnen</t>
  </si>
  <si>
    <t>Metallbearbeitung</t>
  </si>
  <si>
    <t>Musizieren</t>
  </si>
  <si>
    <t>Schlösserknacken</t>
  </si>
  <si>
    <t>Steinbearbeitung</t>
  </si>
  <si>
    <t>Heilkunde Gift</t>
  </si>
  <si>
    <t>Stoffbearbeitung</t>
  </si>
  <si>
    <t>Boote &amp; Schiffe</t>
  </si>
  <si>
    <t>Pflanzenkunde</t>
  </si>
  <si>
    <t>Körpertalente</t>
  </si>
  <si>
    <t>Naturtalente</t>
  </si>
  <si>
    <t>Wissenstalente</t>
  </si>
  <si>
    <t>Handwerkstalente</t>
  </si>
  <si>
    <t>MU/CH/FF</t>
  </si>
  <si>
    <t>MU/GE/KK</t>
  </si>
  <si>
    <t>GE/GE/KO</t>
  </si>
  <si>
    <t>KO/KK/KK</t>
  </si>
  <si>
    <t>CH/GE/KK</t>
  </si>
  <si>
    <t>GE/KO/KK</t>
  </si>
  <si>
    <t>MU/MU/KO</t>
  </si>
  <si>
    <t>KL/CH/KO</t>
  </si>
  <si>
    <t>KL/IN/IN</t>
  </si>
  <si>
    <t>KL/CH/GE</t>
  </si>
  <si>
    <t>MU/FF/GE</t>
  </si>
  <si>
    <t>KL/KO/KK</t>
  </si>
  <si>
    <t>MU/KL/CH</t>
  </si>
  <si>
    <t>MU/CH/CH</t>
  </si>
  <si>
    <t>MU/IN/CH</t>
  </si>
  <si>
    <t>KL/IN/CH</t>
  </si>
  <si>
    <t>IN/CH/GE</t>
  </si>
  <si>
    <t>KL/FF/KK</t>
  </si>
  <si>
    <t>FF/GE/KO</t>
  </si>
  <si>
    <t>KL/FF/KO</t>
  </si>
  <si>
    <t>MU/MU/CH</t>
  </si>
  <si>
    <t>MU/GE/KO</t>
  </si>
  <si>
    <t>KL/KL/IN</t>
  </si>
  <si>
    <t>MU/KL/IN</t>
  </si>
  <si>
    <t>KL/KL/FF</t>
  </si>
  <si>
    <t>MU/KL/FF</t>
  </si>
  <si>
    <t>FF/GE/KK</t>
  </si>
  <si>
    <t>CH/FF/KO</t>
  </si>
  <si>
    <t>MU/IN/KO</t>
  </si>
  <si>
    <t>IN/CH/KO</t>
  </si>
  <si>
    <t>KL/FF/FF</t>
  </si>
  <si>
    <t>IN/FF/FF</t>
  </si>
  <si>
    <t>FF/KO/KK</t>
  </si>
  <si>
    <t>FF/FF/KK</t>
  </si>
  <si>
    <t>1 x Failen</t>
  </si>
  <si>
    <t>2 x Failen</t>
  </si>
  <si>
    <t>3 x Failen</t>
  </si>
  <si>
    <t>Av. 1 x Failen</t>
  </si>
  <si>
    <t>Av. 2 x Failen</t>
  </si>
  <si>
    <t>Av. 3 x Failen</t>
  </si>
  <si>
    <t>Av. Whs 1/2/3 mal zu Failen</t>
  </si>
  <si>
    <t>/</t>
  </si>
  <si>
    <t>GesamtWhs für Fail</t>
  </si>
  <si>
    <t>zumindest 1 x Failen</t>
  </si>
  <si>
    <t>nötige Gesamtpunkte für nie mehr Failen</t>
  </si>
  <si>
    <t>Average</t>
  </si>
  <si>
    <t>Gesamt</t>
  </si>
  <si>
    <t>gewichtet + kombiniert</t>
  </si>
  <si>
    <t>Differenz</t>
  </si>
  <si>
    <t>Gesamt benötigte Punkte</t>
  </si>
  <si>
    <t>eingesetzte Punkte</t>
  </si>
  <si>
    <t>Gesamtpunkte um # Fails auszugleichen</t>
  </si>
  <si>
    <t>noch benötigte Punkte</t>
  </si>
  <si>
    <t>bereits geskilled</t>
  </si>
  <si>
    <t>maximal fehlende Punkte pro Wurf</t>
  </si>
  <si>
    <t>bei 1 x Failen</t>
  </si>
  <si>
    <t>bei 2 x Failen</t>
  </si>
  <si>
    <t>bei 3 x Failen</t>
  </si>
  <si>
    <t>AP</t>
  </si>
  <si>
    <t>AP benötigt</t>
  </si>
  <si>
    <t>B</t>
  </si>
  <si>
    <t>A</t>
  </si>
  <si>
    <t>D</t>
  </si>
  <si>
    <t>C</t>
  </si>
  <si>
    <t>"verskilled" AP</t>
  </si>
  <si>
    <t>"verskilled"</t>
  </si>
  <si>
    <t>Istwert Punkte</t>
  </si>
  <si>
    <t>benötigte AP für jeweiliges Attribut</t>
  </si>
  <si>
    <t>status quo AP</t>
  </si>
  <si>
    <t>benötigte AP bei Attribut +1 (Attributerhöhungskosten bereits inkl.)</t>
  </si>
  <si>
    <t>AP erhalten</t>
  </si>
  <si>
    <t>AP übrig</t>
  </si>
  <si>
    <t>AP investiert</t>
  </si>
  <si>
    <t>Av. GesamtWhs zu Failen</t>
  </si>
  <si>
    <t>ANLEITUNG</t>
  </si>
  <si>
    <t>ERGEBNISSE</t>
  </si>
  <si>
    <t>|</t>
  </si>
  <si>
    <t>This document and contained code is free for private non-commercial use only. Modifications and use for commercial use is not allowed.</t>
  </si>
  <si>
    <t>Wahrscheinlichkeiten für Fail</t>
  </si>
  <si>
    <t>durchschn. nötige Punkte zum Ausgleichen</t>
  </si>
  <si>
    <t>Av. nötige Punkte um # Fails auszugleichen</t>
  </si>
  <si>
    <t>Av. nötige Gesamtpunkte</t>
  </si>
  <si>
    <t>AP in Talenten</t>
  </si>
  <si>
    <t>noch benötigt</t>
  </si>
  <si>
    <t>AP noch</t>
  </si>
  <si>
    <t>Av. benötigt</t>
  </si>
  <si>
    <r>
      <t>Unterschied der benötigten AP zu status quo (</t>
    </r>
    <r>
      <rPr>
        <b/>
        <sz val="11"/>
        <color theme="1"/>
        <rFont val="Calibri"/>
        <family val="2"/>
        <scheme val="minor"/>
      </rPr>
      <t>negativ</t>
    </r>
    <r>
      <rPr>
        <sz val="11"/>
        <color theme="1"/>
        <rFont val="Calibri"/>
        <family val="2"/>
        <scheme val="minor"/>
      </rPr>
      <t xml:space="preserve"> = Skillempfehlung)</t>
    </r>
  </si>
  <si>
    <t>in Talenten</t>
  </si>
  <si>
    <t>Beiß auf Granit!</t>
  </si>
  <si>
    <t>Beute!</t>
  </si>
  <si>
    <t>Hagelschlag</t>
  </si>
  <si>
    <t>Hexenschuss</t>
  </si>
  <si>
    <t>Pech an den Hals wünschen</t>
  </si>
  <si>
    <t>Pestilenz</t>
  </si>
  <si>
    <t>Schlaf rauben</t>
  </si>
  <si>
    <t>Unfruchtbarkeit</t>
  </si>
  <si>
    <t>Warzen sprießen</t>
  </si>
  <si>
    <t>Zunge lähmen</t>
  </si>
  <si>
    <t>KL/IN/FF</t>
  </si>
  <si>
    <t>IN/FF/KO</t>
  </si>
  <si>
    <t>MU/CH/GE</t>
  </si>
  <si>
    <t>Erinnerungsmelodie</t>
  </si>
  <si>
    <t>Friedenslied</t>
  </si>
  <si>
    <t>Freundschaftslied</t>
  </si>
  <si>
    <t>Melodie der Kunstfertigkeit</t>
  </si>
  <si>
    <t>Sorgenlied</t>
  </si>
  <si>
    <t>Zaubermelodie</t>
  </si>
  <si>
    <t>IN/CH/CH</t>
  </si>
  <si>
    <t>IN/IN/CH</t>
  </si>
  <si>
    <t>MU/IN/IN</t>
  </si>
  <si>
    <t>Adlerauge</t>
  </si>
  <si>
    <t>Armatrutz</t>
  </si>
  <si>
    <t>Axxeleratus</t>
  </si>
  <si>
    <t>Balsam Salabunde</t>
  </si>
  <si>
    <t>Bannbaladin</t>
  </si>
  <si>
    <t>Blick in die Gedanken</t>
  </si>
  <si>
    <t>Blitz dich find</t>
  </si>
  <si>
    <t>Corpofesso</t>
  </si>
  <si>
    <t>Disruptivo</t>
  </si>
  <si>
    <t>Duplicatus</t>
  </si>
  <si>
    <t>Falkenauge</t>
  </si>
  <si>
    <t>Flim Flam</t>
  </si>
  <si>
    <t>Fulminictus</t>
  </si>
  <si>
    <t>Gardianum</t>
  </si>
  <si>
    <t>Große Gier</t>
  </si>
  <si>
    <t>Harmlose Gestalt</t>
  </si>
  <si>
    <t>Hexengalle</t>
  </si>
  <si>
    <t>Hexenkrallen</t>
  </si>
  <si>
    <t>Horriphobus</t>
  </si>
  <si>
    <t>Ignifaxius</t>
  </si>
  <si>
    <t>Invocatio Minima</t>
  </si>
  <si>
    <t>Katzenaugen</t>
  </si>
  <si>
    <t>Krötensprung</t>
  </si>
  <si>
    <t>Manifesto</t>
  </si>
  <si>
    <t>Manus Miracula</t>
  </si>
  <si>
    <t>Motoricus</t>
  </si>
  <si>
    <t>Nebelwand</t>
  </si>
  <si>
    <t>Oculus Illusionis</t>
  </si>
  <si>
    <t>Odem Arcanum</t>
  </si>
  <si>
    <t>Paralysis</t>
  </si>
  <si>
    <t>Penetrizzel</t>
  </si>
  <si>
    <t>Psychostabilis</t>
  </si>
  <si>
    <t>Radau</t>
  </si>
  <si>
    <t>Respondami</t>
  </si>
  <si>
    <t>Salander</t>
  </si>
  <si>
    <t>Sanftmut</t>
  </si>
  <si>
    <t>Satuarias Herrlichkeit</t>
  </si>
  <si>
    <t>Silentium</t>
  </si>
  <si>
    <t>Somnigravis</t>
  </si>
  <si>
    <t>Spinnenlauf</t>
  </si>
  <si>
    <t>Spurlos</t>
  </si>
  <si>
    <t>Transversalis</t>
  </si>
  <si>
    <t>Visibili</t>
  </si>
  <si>
    <t>Wasseratem</t>
  </si>
  <si>
    <t>KL/IN/KO</t>
  </si>
  <si>
    <t>MU/CH/KO</t>
  </si>
  <si>
    <t>Arcanovi</t>
  </si>
  <si>
    <t>Dschinnenruf</t>
  </si>
  <si>
    <t>Elementarer Diener</t>
  </si>
  <si>
    <t>Invocatio Maior</t>
  </si>
  <si>
    <t>Invocatio Minor</t>
  </si>
  <si>
    <t>Zauberklinge Geisterspeer</t>
  </si>
  <si>
    <t>Liturgien</t>
  </si>
  <si>
    <t>Bann der Dunkelheit</t>
  </si>
  <si>
    <t>Bann der Furcht</t>
  </si>
  <si>
    <t>Bann des Lichts</t>
  </si>
  <si>
    <t>Blendstrahl</t>
  </si>
  <si>
    <t>Ehrenhaftigkeit</t>
  </si>
  <si>
    <t>Entzifferung</t>
  </si>
  <si>
    <t>Ermutigung</t>
  </si>
  <si>
    <t>Fall ins Nichts</t>
  </si>
  <si>
    <t>Friedvolle Aura</t>
  </si>
  <si>
    <t>Giftbann</t>
  </si>
  <si>
    <t>Göttlicher Fingerzeig</t>
  </si>
  <si>
    <t>Göttliches Zeichen</t>
  </si>
  <si>
    <t>Heilsegen</t>
  </si>
  <si>
    <t>Kleiner Bann wider Untote</t>
  </si>
  <si>
    <t>Kleiner Bannstrahl</t>
  </si>
  <si>
    <t>Krankheitsbann</t>
  </si>
  <si>
    <t>Lautlos</t>
  </si>
  <si>
    <t>Magieschutz</t>
  </si>
  <si>
    <t>Magiesicht</t>
  </si>
  <si>
    <t>Mondsicht</t>
  </si>
  <si>
    <t>Mondsilberzunge</t>
  </si>
  <si>
    <t>Objektsegen</t>
  </si>
  <si>
    <t>Ort der Ruhe</t>
  </si>
  <si>
    <t>Pflanzenwuchs</t>
  </si>
  <si>
    <t>Rabenruf</t>
  </si>
  <si>
    <t>Schlaf</t>
  </si>
  <si>
    <t>Schlangenstab</t>
  </si>
  <si>
    <t>Schlangenzunge</t>
  </si>
  <si>
    <t>Schmerzresistenz</t>
  </si>
  <si>
    <t>Schutz der Wehrlosen</t>
  </si>
  <si>
    <t>Sternenglanz</t>
  </si>
  <si>
    <t>Wahrheit</t>
  </si>
  <si>
    <t>Wieselflink</t>
  </si>
  <si>
    <t>Wundersame Verständigung</t>
  </si>
  <si>
    <t>Zeremonien</t>
  </si>
  <si>
    <t>Ackersegen</t>
  </si>
  <si>
    <t>Exorzismus</t>
  </si>
  <si>
    <t>Geweihter Panzer</t>
  </si>
  <si>
    <t>Löwengestalt</t>
  </si>
  <si>
    <t>Nebelleib</t>
  </si>
  <si>
    <t>Objektweihe</t>
  </si>
  <si>
    <t>IN/IN/GE</t>
  </si>
  <si>
    <t>Contact: personal message to user "Executor" on http://www.orkenspalter.de/</t>
  </si>
  <si>
    <t>Gesellschaftstalente</t>
  </si>
  <si>
    <t>--/--/--</t>
  </si>
  <si>
    <t>-</t>
  </si>
  <si>
    <t>---</t>
  </si>
  <si>
    <t>˅</t>
  </si>
  <si>
    <t>Konvention</t>
  </si>
  <si>
    <t>Atemnot</t>
  </si>
  <si>
    <t>Dunkelheit</t>
  </si>
  <si>
    <t>Exposami</t>
  </si>
  <si>
    <t>Große Verwirrung</t>
  </si>
  <si>
    <t>Herr über das Tierreich</t>
  </si>
  <si>
    <t>Memorans</t>
  </si>
  <si>
    <t>Pestilenz erspüren</t>
  </si>
  <si>
    <t>Sumus Elixiere</t>
  </si>
  <si>
    <t>Zunge betäuben</t>
  </si>
  <si>
    <t>Zwingtanz</t>
  </si>
  <si>
    <t>Klarum Purum</t>
  </si>
  <si>
    <t>Sensibar</t>
  </si>
  <si>
    <t>Ängste Lindern</t>
  </si>
  <si>
    <t>Attributo (Körperkraft)</t>
  </si>
  <si>
    <t>KL/IN/KK</t>
  </si>
  <si>
    <t>Claudibus</t>
  </si>
  <si>
    <t>Corpofrigo</t>
  </si>
  <si>
    <t>Ecliptifactus</t>
  </si>
  <si>
    <t>Foramen</t>
  </si>
  <si>
    <t>Fortifex</t>
  </si>
  <si>
    <t>Hexenholz</t>
  </si>
  <si>
    <t>Hexenknoten</t>
  </si>
  <si>
    <t>Höllenpein</t>
  </si>
  <si>
    <t>Ignisphaero</t>
  </si>
  <si>
    <t>MU/KL/KO</t>
  </si>
  <si>
    <t>Schlangenruf</t>
  </si>
  <si>
    <t>Vipernblick</t>
  </si>
  <si>
    <t>Rituale</t>
  </si>
  <si>
    <t>Caldofrigo</t>
  </si>
  <si>
    <t>Nihilogravo</t>
  </si>
  <si>
    <t>Ausbruch unterdrückter Gefühle</t>
  </si>
  <si>
    <t>Figur der Schmerzen</t>
  </si>
  <si>
    <t>Fluch der Pestillenz</t>
  </si>
  <si>
    <t>Fluch der Schlaflosigkeit</t>
  </si>
  <si>
    <t>Macht über Schlafwandler</t>
  </si>
  <si>
    <t>MU /KL/IN</t>
  </si>
  <si>
    <t>Analys Arkanstruktur</t>
  </si>
  <si>
    <t>Rondra</t>
  </si>
  <si>
    <t>Praios</t>
  </si>
  <si>
    <t>Phex</t>
  </si>
  <si>
    <t>Peraine</t>
  </si>
  <si>
    <t>Hesinde</t>
  </si>
  <si>
    <t>Boron</t>
  </si>
  <si>
    <t>Allgemein</t>
  </si>
  <si>
    <t>Hexen</t>
  </si>
  <si>
    <t>Gildenmagier</t>
  </si>
  <si>
    <t>Elfen</t>
  </si>
  <si>
    <t>Druiden</t>
  </si>
  <si>
    <t>Zauber</t>
  </si>
  <si>
    <t>Talente</t>
  </si>
  <si>
    <t>AP in Attributen</t>
  </si>
  <si>
    <t>&lt;-------------------</t>
  </si>
  <si>
    <t xml:space="preserve"> ---------|</t>
  </si>
  <si>
    <t>---------------------------------------</t>
  </si>
  <si>
    <t>|------------</t>
  </si>
  <si>
    <t>------------------------------------------</t>
  </si>
  <si>
    <r>
      <t xml:space="preserve">Anschließend </t>
    </r>
    <r>
      <rPr>
        <b/>
        <sz val="11"/>
        <color rgb="FF0070C0"/>
        <rFont val="Calibri"/>
        <family val="2"/>
        <scheme val="minor"/>
      </rPr>
      <t>Talente &amp; anderen Stuff</t>
    </r>
    <r>
      <rPr>
        <b/>
        <sz val="11"/>
        <color theme="1"/>
        <rFont val="Calibri"/>
        <family val="2"/>
        <scheme val="minor"/>
      </rPr>
      <t xml:space="preserve"> im zweiten Blatt möglichst um den Differenzwert aufstocken.</t>
    </r>
  </si>
  <si>
    <r>
      <t xml:space="preserve">Gewünschte Talente &amp; anderen Stuff am </t>
    </r>
    <r>
      <rPr>
        <b/>
        <sz val="11"/>
        <color rgb="FFFF00FF"/>
        <rFont val="Calibri"/>
        <family val="2"/>
        <scheme val="minor"/>
      </rPr>
      <t>Attribute-Blatt</t>
    </r>
    <r>
      <rPr>
        <b/>
        <sz val="11"/>
        <color theme="1"/>
        <rFont val="Calibri"/>
        <family val="2"/>
        <scheme val="minor"/>
      </rPr>
      <t xml:space="preserve"> aufklappen und per dropdown auswählen.</t>
    </r>
  </si>
  <si>
    <r>
      <rPr>
        <b/>
        <sz val="11"/>
        <color rgb="FFFF00FF"/>
        <rFont val="Calibri"/>
        <family val="2"/>
        <scheme val="minor"/>
      </rPr>
      <t>Attribute</t>
    </r>
    <r>
      <rPr>
        <b/>
        <sz val="11"/>
        <color theme="1"/>
        <rFont val="Calibri"/>
        <family val="2"/>
        <scheme val="minor"/>
      </rPr>
      <t xml:space="preserve"> erhöhen, bis hier keine Zelle mehr negativ. Ab dann ist es kein Vorteil mehr, sie zu steigern.</t>
    </r>
  </si>
  <si>
    <t>noch so viel dazu</t>
  </si>
  <si>
    <t>-------------------</t>
  </si>
  <si>
    <t>Adlerschwinge</t>
  </si>
  <si>
    <t>Aeolito</t>
  </si>
  <si>
    <t>Fischflosse</t>
  </si>
  <si>
    <t>Heptagramma</t>
  </si>
  <si>
    <t>Oculus Astralis</t>
  </si>
  <si>
    <t>Wolfstatze</t>
  </si>
  <si>
    <t>Abvenenum</t>
  </si>
  <si>
    <t>Alpgestalt</t>
  </si>
  <si>
    <t>Archofaxius</t>
  </si>
  <si>
    <t>Archosphaero</t>
  </si>
  <si>
    <t>Attributo (Klugheit)</t>
  </si>
  <si>
    <t>Band und Fessel</t>
  </si>
  <si>
    <t>Einflussbann</t>
  </si>
  <si>
    <t>Elementarbann</t>
  </si>
  <si>
    <t>Erinnerung verlasse dich</t>
  </si>
  <si>
    <t>Hellsichtbann</t>
  </si>
  <si>
    <t>Hexagramma</t>
  </si>
  <si>
    <t>Imperavi</t>
  </si>
  <si>
    <t>Kusch</t>
  </si>
  <si>
    <t>Orcanofaxius</t>
  </si>
  <si>
    <t>Orcanosphaero</t>
  </si>
  <si>
    <t>Plumbumbarum</t>
  </si>
  <si>
    <t>Schwarzer Schrecken</t>
  </si>
  <si>
    <t>Aufwecken</t>
  </si>
  <si>
    <t>Blick aufs Wesen</t>
  </si>
  <si>
    <t>Chamaelioni</t>
  </si>
  <si>
    <t>Elfenstimme</t>
  </si>
  <si>
    <t>Gedankenbilder</t>
  </si>
  <si>
    <t>Haselbusch</t>
  </si>
  <si>
    <t>Lunge des Leviatan</t>
  </si>
  <si>
    <t>Regeneratio</t>
  </si>
  <si>
    <t>Solidirid</t>
  </si>
  <si>
    <t>Tiergedanken</t>
  </si>
  <si>
    <t>Angst auslösen</t>
  </si>
  <si>
    <t>Ablativum</t>
  </si>
  <si>
    <t>Auge des Limbus</t>
  </si>
  <si>
    <t>Auris Illusionis</t>
  </si>
  <si>
    <t>Dämonenbann</t>
  </si>
  <si>
    <t>Dämonenschild</t>
  </si>
  <si>
    <t>Debilitatio</t>
  </si>
  <si>
    <t>Desintegratus</t>
  </si>
  <si>
    <t>Eisenrost</t>
  </si>
  <si>
    <t>Heilungsbann</t>
  </si>
  <si>
    <t>Herzschlag ruhe</t>
  </si>
  <si>
    <t>Illusionsbann</t>
  </si>
  <si>
    <t>Incendio</t>
  </si>
  <si>
    <t>Invercano</t>
  </si>
  <si>
    <t>Karnifilo</t>
  </si>
  <si>
    <t>Last des Alters</t>
  </si>
  <si>
    <t>Manus Illusionis</t>
  </si>
  <si>
    <t>Menetekel</t>
  </si>
  <si>
    <t>Nuntiovolo</t>
  </si>
  <si>
    <t>Objektbann</t>
  </si>
  <si>
    <t>Pentagramma</t>
  </si>
  <si>
    <t>Physiostabilis</t>
  </si>
  <si>
    <t>Verwandlungsbann</t>
  </si>
  <si>
    <t>Schmerzen lindern</t>
  </si>
  <si>
    <t>Schwarz und Rot</t>
  </si>
  <si>
    <t>Skelettarius</t>
  </si>
  <si>
    <t>Telekinesebann</t>
  </si>
  <si>
    <t>Blindheit</t>
  </si>
  <si>
    <t>Gefunden</t>
  </si>
  <si>
    <t>Kristallomanten</t>
  </si>
  <si>
    <t>Scharlatane</t>
  </si>
  <si>
    <t>Altisonus</t>
  </si>
  <si>
    <t>Aromatis Illusionis</t>
  </si>
  <si>
    <t>Attributo (Charisma)</t>
  </si>
  <si>
    <t>Attributo (Fingerfertigkeit)</t>
  </si>
  <si>
    <t>Aureolus</t>
  </si>
  <si>
    <t>Flavilludo</t>
  </si>
  <si>
    <t>Ignorantia</t>
  </si>
  <si>
    <t>Impersona</t>
  </si>
  <si>
    <t>Objectobscuro</t>
  </si>
  <si>
    <t>Objectofixo</t>
  </si>
  <si>
    <t>Projectimago</t>
  </si>
  <si>
    <t>Reflectimago</t>
  </si>
  <si>
    <t>Sapefacta</t>
  </si>
  <si>
    <t>Taubheit</t>
  </si>
  <si>
    <t>Vogelzwitschern</t>
  </si>
  <si>
    <t>Wirbelform</t>
  </si>
  <si>
    <t>Hagelschlag und Sturmgebrüll</t>
  </si>
  <si>
    <t>Magischer Raub</t>
  </si>
  <si>
    <t>Memorabia Falsifir</t>
  </si>
  <si>
    <t>Movimento</t>
  </si>
  <si>
    <t>Ruhe Körper</t>
  </si>
  <si>
    <t>Hartes Schmelze</t>
  </si>
  <si>
    <t>Leidensbund</t>
  </si>
  <si>
    <t>Widerwille</t>
  </si>
  <si>
    <t>Xenographus</t>
  </si>
  <si>
    <t>Unberührt von Satinav</t>
  </si>
  <si>
    <t>Accuratum</t>
  </si>
  <si>
    <t>MU/IN/KK</t>
  </si>
  <si>
    <t>IN/CH/FF</t>
  </si>
  <si>
    <t>KL/CH/KK</t>
  </si>
  <si>
    <t>KL/IN/GE</t>
  </si>
  <si>
    <t>KL/CH/FF</t>
  </si>
  <si>
    <t>MU/CH/KK</t>
  </si>
  <si>
    <t>MU/IN/FF</t>
  </si>
  <si>
    <t>MU/KL/KK</t>
  </si>
  <si>
    <t>Version 1.6.0</t>
  </si>
  <si>
    <t>Zauberbarden</t>
  </si>
  <si>
    <t>Zaubertänzer</t>
  </si>
  <si>
    <t>Melodie der Angriffslust</t>
  </si>
  <si>
    <t>Melodie der Erlösung</t>
  </si>
  <si>
    <t>Melodie der Ermutigung</t>
  </si>
  <si>
    <t>Melodie der Feen</t>
  </si>
  <si>
    <t>Melodie der Flammen</t>
  </si>
  <si>
    <t>Melodie der Freundschaft</t>
  </si>
  <si>
    <t>Melodie der Geschwindigkeit</t>
  </si>
  <si>
    <t>Melodie der Heilung</t>
  </si>
  <si>
    <t>Melodie der Täuschung</t>
  </si>
  <si>
    <t>Melodie der Versöhnung</t>
  </si>
  <si>
    <t>Melodie der Verwirrung</t>
  </si>
  <si>
    <t>Melodie der Weisheit</t>
  </si>
  <si>
    <t>Melodie der Wüste</t>
  </si>
  <si>
    <t>Melodie der Zähigkeit</t>
  </si>
  <si>
    <t>Melodie des Handels</t>
  </si>
  <si>
    <t>Melodie des Einlullens</t>
  </si>
  <si>
    <t>Melodie des Bebens</t>
  </si>
  <si>
    <t>Melodie des Kampfes</t>
  </si>
  <si>
    <t>Melodie des Magieschadens</t>
  </si>
  <si>
    <t>Melodie des Meeres</t>
  </si>
  <si>
    <t>Melodie des Rausches</t>
  </si>
  <si>
    <t>Melodie des Windes</t>
  </si>
  <si>
    <t>Melodie des Zauberschutzes</t>
  </si>
  <si>
    <t>Melodie des Zögerns</t>
  </si>
  <si>
    <t>CH/GE/KO</t>
  </si>
  <si>
    <t>CH/KO/KK</t>
  </si>
  <si>
    <t>KL/CH/CH</t>
  </si>
  <si>
    <t>MU/MU/IN</t>
  </si>
  <si>
    <t>Tanz der Angriffslust</t>
  </si>
  <si>
    <t>Tanz der Beweglichkeit</t>
  </si>
  <si>
    <t>Tanz der Bilder</t>
  </si>
  <si>
    <t>Tanz der Erlösung</t>
  </si>
  <si>
    <t>Tanz der Ermutigung</t>
  </si>
  <si>
    <t>Tanz der Heilung</t>
  </si>
  <si>
    <t>Tanz der Liebe</t>
  </si>
  <si>
    <t>Tanz der Linderung</t>
  </si>
  <si>
    <t>Tanz der magischen Gemeinschaft</t>
  </si>
  <si>
    <t>Tanz der Täuschung</t>
  </si>
  <si>
    <t>Tanz der Träume</t>
  </si>
  <si>
    <t>Tanz der Unantastbarkeit</t>
  </si>
  <si>
    <t>Tanz der Unverletzbarkeit</t>
  </si>
  <si>
    <t>Tanz der Verteidigung</t>
  </si>
  <si>
    <t>Tanz der Verwirrung</t>
  </si>
  <si>
    <t>Tanz der Wacht</t>
  </si>
  <si>
    <t>Tanz der Wahrheit</t>
  </si>
  <si>
    <t>Tanz der Weisheit</t>
  </si>
  <si>
    <t>Tanz des Begehrens</t>
  </si>
  <si>
    <t>Tanz des Blutrausches</t>
  </si>
  <si>
    <t>Tanz des Feuers</t>
  </si>
  <si>
    <t>Tanz des Handels</t>
  </si>
  <si>
    <t>Tanz des Jagdglücks</t>
  </si>
  <si>
    <t>Tanz des Jagdpechs</t>
  </si>
  <si>
    <t>Tanz des Ungehorsams</t>
  </si>
  <si>
    <t>Tanz ohne Ende</t>
  </si>
  <si>
    <t>CH/CH/GE</t>
  </si>
  <si>
    <t>IN/GE/GE</t>
  </si>
  <si>
    <t>MU/KL/GE</t>
  </si>
  <si>
    <t>DSA5 Executor's MinMax-Helden-Attributstabelle, Copyright ©2017 GRILLITSCH Johann</t>
  </si>
  <si>
    <t>This document is a fan project based on "Das Schwarze Auge Regelwerk: 5. Edition" (Cas Schwarze Auge: Regelwerke), Copyright ©2017 Ulisses Spiele GmbH, Waldems.</t>
  </si>
</sst>
</file>

<file path=xl/styles.xml><?xml version="1.0" encoding="utf-8"?>
<styleSheet xmlns="http://schemas.openxmlformats.org/spreadsheetml/2006/main">
  <numFmts count="1">
    <numFmt numFmtId="164" formatCode="0.000"/>
  </numFmts>
  <fonts count="10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FF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0"/>
      <color rgb="FF000000"/>
      <name val="Verdana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EEF7E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rgb="FF00FFFF"/>
        <bgColor indexed="64"/>
      </patternFill>
    </fill>
  </fills>
  <borders count="4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FF9900"/>
      </left>
      <right/>
      <top style="thick">
        <color rgb="FFFF9900"/>
      </top>
      <bottom/>
      <diagonal/>
    </border>
    <border>
      <left/>
      <right/>
      <top style="thick">
        <color rgb="FFFF9900"/>
      </top>
      <bottom/>
      <diagonal/>
    </border>
    <border>
      <left/>
      <right style="thick">
        <color rgb="FFFF9900"/>
      </right>
      <top style="thick">
        <color rgb="FFFF9900"/>
      </top>
      <bottom/>
      <diagonal/>
    </border>
    <border>
      <left style="thick">
        <color rgb="FFFF9900"/>
      </left>
      <right/>
      <top/>
      <bottom/>
      <diagonal/>
    </border>
    <border>
      <left/>
      <right style="thick">
        <color rgb="FFFF9900"/>
      </right>
      <top/>
      <bottom/>
      <diagonal/>
    </border>
    <border>
      <left style="thick">
        <color rgb="FFFF9900"/>
      </left>
      <right/>
      <top/>
      <bottom style="thick">
        <color rgb="FFFF9900"/>
      </bottom>
      <diagonal/>
    </border>
    <border>
      <left/>
      <right/>
      <top/>
      <bottom style="thick">
        <color rgb="FFFF9900"/>
      </bottom>
      <diagonal/>
    </border>
    <border>
      <left/>
      <right style="thick">
        <color rgb="FFFF9900"/>
      </right>
      <top/>
      <bottom style="thick">
        <color rgb="FFFF9900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9900"/>
      </left>
      <right style="thick">
        <color rgb="FFFF9900"/>
      </right>
      <top style="thick">
        <color rgb="FFFF9900"/>
      </top>
      <bottom style="thick">
        <color rgb="FFFF9900"/>
      </bottom>
      <diagonal/>
    </border>
    <border>
      <left style="thick">
        <color rgb="FFFF9900"/>
      </left>
      <right/>
      <top style="thick">
        <color rgb="FFFF9900"/>
      </top>
      <bottom style="thick">
        <color rgb="FFFF9900"/>
      </bottom>
      <diagonal/>
    </border>
    <border>
      <left/>
      <right style="thick">
        <color rgb="FFFF9900"/>
      </right>
      <top style="thick">
        <color rgb="FFFF9900"/>
      </top>
      <bottom style="thick">
        <color rgb="FFFF9900"/>
      </bottom>
      <diagonal/>
    </border>
    <border>
      <left/>
      <right/>
      <top style="thick">
        <color rgb="FFFF9900"/>
      </top>
      <bottom style="thick">
        <color rgb="FFFF99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44">
    <xf numFmtId="0" fontId="0" fillId="0" borderId="0" xfId="0"/>
    <xf numFmtId="2" fontId="1" fillId="0" borderId="0" xfId="0" applyNumberFormat="1" applyFont="1" applyAlignment="1">
      <alignment horizontal="center" vertical="center"/>
    </xf>
    <xf numFmtId="2" fontId="0" fillId="0" borderId="5" xfId="0" applyNumberFormat="1" applyFont="1" applyBorder="1" applyAlignment="1">
      <alignment horizontal="center" vertical="center"/>
    </xf>
    <xf numFmtId="2" fontId="0" fillId="0" borderId="0" xfId="0" applyNumberFormat="1" applyFont="1" applyBorder="1" applyAlignment="1">
      <alignment horizontal="center" vertical="center"/>
    </xf>
    <xf numFmtId="2" fontId="0" fillId="0" borderId="0" xfId="0" applyNumberFormat="1" applyFont="1" applyAlignment="1">
      <alignment horizontal="center" vertical="center"/>
    </xf>
    <xf numFmtId="1" fontId="0" fillId="0" borderId="5" xfId="0" applyNumberFormat="1" applyFont="1" applyBorder="1" applyAlignment="1">
      <alignment horizontal="center" vertical="center"/>
    </xf>
    <xf numFmtId="1" fontId="0" fillId="0" borderId="0" xfId="0" applyNumberFormat="1" applyFont="1" applyAlignment="1">
      <alignment horizontal="center" vertical="center"/>
    </xf>
    <xf numFmtId="2" fontId="0" fillId="0" borderId="13" xfId="0" applyNumberFormat="1" applyFont="1" applyBorder="1" applyAlignment="1">
      <alignment horizontal="center" vertical="center"/>
    </xf>
    <xf numFmtId="2" fontId="0" fillId="0" borderId="18" xfId="0" applyNumberFormat="1" applyFont="1" applyBorder="1" applyAlignment="1">
      <alignment horizontal="center" vertical="center"/>
    </xf>
    <xf numFmtId="2" fontId="0" fillId="0" borderId="19" xfId="0" applyNumberFormat="1" applyFont="1" applyBorder="1" applyAlignment="1">
      <alignment horizontal="center" vertical="center"/>
    </xf>
    <xf numFmtId="2" fontId="2" fillId="0" borderId="13" xfId="0" applyNumberFormat="1" applyFont="1" applyBorder="1" applyAlignment="1">
      <alignment horizontal="center" vertical="center"/>
    </xf>
    <xf numFmtId="2" fontId="2" fillId="0" borderId="18" xfId="0" applyNumberFormat="1" applyFont="1" applyBorder="1" applyAlignment="1">
      <alignment horizontal="center" vertical="center"/>
    </xf>
    <xf numFmtId="2" fontId="0" fillId="0" borderId="20" xfId="0" applyNumberFormat="1" applyFont="1" applyBorder="1" applyAlignment="1">
      <alignment horizontal="center" vertical="center"/>
    </xf>
    <xf numFmtId="2" fontId="1" fillId="0" borderId="12" xfId="0" applyNumberFormat="1" applyFont="1" applyBorder="1" applyAlignment="1">
      <alignment horizontal="center" vertical="center"/>
    </xf>
    <xf numFmtId="2" fontId="0" fillId="0" borderId="9" xfId="0" applyNumberFormat="1" applyFont="1" applyBorder="1" applyAlignment="1">
      <alignment horizontal="center" vertical="center"/>
    </xf>
    <xf numFmtId="2" fontId="0" fillId="0" borderId="20" xfId="0" applyNumberFormat="1" applyFont="1" applyFill="1" applyBorder="1" applyAlignment="1">
      <alignment horizontal="center" vertical="center"/>
    </xf>
    <xf numFmtId="1" fontId="0" fillId="0" borderId="20" xfId="0" applyNumberFormat="1" applyFont="1" applyBorder="1" applyAlignment="1">
      <alignment horizontal="center" vertical="center"/>
    </xf>
    <xf numFmtId="1" fontId="0" fillId="0" borderId="26" xfId="0" applyNumberFormat="1" applyBorder="1" applyAlignment="1">
      <alignment horizontal="center" vertical="center"/>
    </xf>
    <xf numFmtId="2" fontId="0" fillId="2" borderId="20" xfId="0" applyNumberFormat="1" applyFont="1" applyFill="1" applyBorder="1" applyAlignment="1">
      <alignment horizontal="center" vertical="center"/>
    </xf>
    <xf numFmtId="2" fontId="0" fillId="0" borderId="12" xfId="0" applyNumberFormat="1" applyFont="1" applyBorder="1" applyAlignment="1">
      <alignment horizontal="center" vertical="center"/>
    </xf>
    <xf numFmtId="2" fontId="1" fillId="0" borderId="22" xfId="0" applyNumberFormat="1" applyFont="1" applyFill="1" applyBorder="1" applyAlignment="1">
      <alignment horizontal="center" vertical="center"/>
    </xf>
    <xf numFmtId="2" fontId="1" fillId="0" borderId="19" xfId="0" applyNumberFormat="1" applyFont="1" applyBorder="1" applyAlignment="1">
      <alignment horizontal="center" vertical="center"/>
    </xf>
    <xf numFmtId="1" fontId="2" fillId="0" borderId="0" xfId="0" applyNumberFormat="1" applyFont="1" applyAlignment="1">
      <alignment vertical="center"/>
    </xf>
    <xf numFmtId="2" fontId="0" fillId="0" borderId="11" xfId="0" applyNumberFormat="1" applyFont="1" applyFill="1" applyBorder="1" applyAlignment="1">
      <alignment horizontal="center" vertical="center"/>
    </xf>
    <xf numFmtId="2" fontId="0" fillId="0" borderId="12" xfId="0" applyNumberFormat="1" applyFont="1" applyFill="1" applyBorder="1" applyAlignment="1">
      <alignment horizontal="center" vertical="center"/>
    </xf>
    <xf numFmtId="1" fontId="1" fillId="0" borderId="20" xfId="0" applyNumberFormat="1" applyFont="1" applyFill="1" applyBorder="1" applyAlignment="1">
      <alignment horizontal="center" vertical="center"/>
    </xf>
    <xf numFmtId="1" fontId="0" fillId="0" borderId="0" xfId="0" applyNumberFormat="1" applyFont="1" applyBorder="1" applyAlignment="1">
      <alignment horizontal="center" vertical="center"/>
    </xf>
    <xf numFmtId="2" fontId="0" fillId="0" borderId="0" xfId="0" applyNumberFormat="1" applyFont="1" applyFill="1" applyAlignment="1">
      <alignment horizontal="center" vertical="center"/>
    </xf>
    <xf numFmtId="2" fontId="0" fillId="0" borderId="0" xfId="0" applyNumberFormat="1"/>
    <xf numFmtId="1" fontId="0" fillId="0" borderId="0" xfId="0" applyNumberFormat="1" applyAlignment="1">
      <alignment vertical="center"/>
    </xf>
    <xf numFmtId="1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2" fontId="0" fillId="0" borderId="27" xfId="0" applyNumberFormat="1" applyFont="1" applyBorder="1" applyAlignment="1">
      <alignment horizontal="center" vertical="center"/>
    </xf>
    <xf numFmtId="2" fontId="0" fillId="0" borderId="25" xfId="0" applyNumberFormat="1" applyFont="1" applyBorder="1" applyAlignment="1">
      <alignment horizontal="center" vertical="center"/>
    </xf>
    <xf numFmtId="2" fontId="0" fillId="0" borderId="0" xfId="0" applyNumberFormat="1" applyFont="1" applyAlignment="1">
      <alignment vertical="center"/>
    </xf>
    <xf numFmtId="2" fontId="2" fillId="0" borderId="0" xfId="0" applyNumberFormat="1" applyFont="1" applyAlignment="1">
      <alignment vertical="center"/>
    </xf>
    <xf numFmtId="2" fontId="2" fillId="0" borderId="0" xfId="0" applyNumberFormat="1" applyFont="1" applyFill="1" applyAlignment="1">
      <alignment vertical="center"/>
    </xf>
    <xf numFmtId="2" fontId="0" fillId="0" borderId="0" xfId="0" applyNumberFormat="1" applyAlignment="1">
      <alignment vertical="center"/>
    </xf>
    <xf numFmtId="2" fontId="1" fillId="0" borderId="0" xfId="0" applyNumberFormat="1" applyFont="1" applyAlignment="1">
      <alignment vertical="center"/>
    </xf>
    <xf numFmtId="2" fontId="0" fillId="0" borderId="0" xfId="0" applyNumberFormat="1" applyFont="1" applyFill="1" applyAlignment="1">
      <alignment vertical="center"/>
    </xf>
    <xf numFmtId="2" fontId="0" fillId="0" borderId="25" xfId="0" applyNumberFormat="1" applyBorder="1" applyAlignment="1">
      <alignment horizontal="center" vertical="center"/>
    </xf>
    <xf numFmtId="2" fontId="1" fillId="0" borderId="9" xfId="0" applyNumberFormat="1" applyFont="1" applyBorder="1" applyAlignment="1">
      <alignment horizontal="center" vertical="center"/>
    </xf>
    <xf numFmtId="2" fontId="2" fillId="0" borderId="9" xfId="0" applyNumberFormat="1" applyFont="1" applyBorder="1" applyAlignment="1">
      <alignment horizontal="center" vertical="center"/>
    </xf>
    <xf numFmtId="2" fontId="2" fillId="0" borderId="9" xfId="0" applyNumberFormat="1" applyFont="1" applyFill="1" applyBorder="1" applyAlignment="1">
      <alignment horizontal="center" vertical="center"/>
    </xf>
    <xf numFmtId="2" fontId="1" fillId="0" borderId="25" xfId="0" applyNumberFormat="1" applyFont="1" applyBorder="1" applyAlignment="1">
      <alignment horizontal="center" vertical="center"/>
    </xf>
    <xf numFmtId="2" fontId="2" fillId="0" borderId="25" xfId="0" applyNumberFormat="1" applyFont="1" applyBorder="1" applyAlignment="1">
      <alignment horizontal="center" vertical="center"/>
    </xf>
    <xf numFmtId="2" fontId="2" fillId="0" borderId="25" xfId="0" applyNumberFormat="1" applyFont="1" applyFill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2" fontId="6" fillId="0" borderId="0" xfId="0" applyNumberFormat="1" applyFont="1"/>
    <xf numFmtId="2" fontId="1" fillId="0" borderId="17" xfId="0" applyNumberFormat="1" applyFont="1" applyFill="1" applyBorder="1" applyAlignment="1">
      <alignment horizontal="center" vertical="center"/>
    </xf>
    <xf numFmtId="2" fontId="0" fillId="0" borderId="21" xfId="0" applyNumberFormat="1" applyFill="1" applyBorder="1" applyAlignment="1">
      <alignment horizontal="center" vertical="center"/>
    </xf>
    <xf numFmtId="2" fontId="0" fillId="0" borderId="21" xfId="0" applyNumberFormat="1" applyFont="1" applyFill="1" applyBorder="1" applyAlignment="1">
      <alignment horizontal="center" vertical="center"/>
    </xf>
    <xf numFmtId="2" fontId="3" fillId="0" borderId="43" xfId="0" applyNumberFormat="1" applyFont="1" applyBorder="1" applyAlignment="1">
      <alignment horizontal="center" vertical="center"/>
    </xf>
    <xf numFmtId="2" fontId="0" fillId="0" borderId="30" xfId="0" applyNumberFormat="1" applyFont="1" applyBorder="1" applyAlignment="1">
      <alignment horizontal="center" vertical="center"/>
    </xf>
    <xf numFmtId="2" fontId="0" fillId="0" borderId="32" xfId="0" applyNumberFormat="1" applyFont="1" applyBorder="1" applyAlignment="1">
      <alignment horizontal="center" vertical="center"/>
    </xf>
    <xf numFmtId="2" fontId="0" fillId="0" borderId="0" xfId="0" applyNumberFormat="1" applyFont="1" applyBorder="1" applyAlignment="1">
      <alignment vertical="center"/>
    </xf>
    <xf numFmtId="2" fontId="0" fillId="0" borderId="40" xfId="0" applyNumberFormat="1" applyFont="1" applyBorder="1" applyAlignment="1">
      <alignment horizontal="center" vertical="center"/>
    </xf>
    <xf numFmtId="2" fontId="0" fillId="0" borderId="41" xfId="0" applyNumberFormat="1" applyFont="1" applyBorder="1" applyAlignment="1">
      <alignment horizontal="center" vertical="center"/>
    </xf>
    <xf numFmtId="2" fontId="0" fillId="0" borderId="42" xfId="0" applyNumberFormat="1" applyFont="1" applyBorder="1" applyAlignment="1">
      <alignment horizontal="center" vertical="center"/>
    </xf>
    <xf numFmtId="2" fontId="0" fillId="0" borderId="32" xfId="0" applyNumberFormat="1" applyFont="1" applyBorder="1" applyAlignment="1">
      <alignment horizontal="left" vertical="center"/>
    </xf>
    <xf numFmtId="2" fontId="4" fillId="0" borderId="0" xfId="0" applyNumberFormat="1" applyFont="1" applyBorder="1" applyAlignment="1">
      <alignment vertical="center"/>
    </xf>
    <xf numFmtId="2" fontId="5" fillId="0" borderId="0" xfId="0" quotePrefix="1" applyNumberFormat="1" applyFont="1" applyAlignment="1">
      <alignment vertical="center"/>
    </xf>
    <xf numFmtId="2" fontId="0" fillId="0" borderId="34" xfId="0" applyNumberFormat="1" applyFont="1" applyBorder="1" applyAlignment="1">
      <alignment horizontal="left" vertical="center"/>
    </xf>
    <xf numFmtId="2" fontId="0" fillId="0" borderId="35" xfId="0" applyNumberFormat="1" applyFont="1" applyBorder="1" applyAlignment="1">
      <alignment horizontal="center" vertical="center"/>
    </xf>
    <xf numFmtId="2" fontId="0" fillId="0" borderId="35" xfId="0" applyNumberFormat="1" applyFont="1" applyBorder="1" applyAlignment="1">
      <alignment vertical="center"/>
    </xf>
    <xf numFmtId="1" fontId="1" fillId="0" borderId="0" xfId="0" applyNumberFormat="1" applyFont="1" applyAlignment="1">
      <alignment horizontal="center" vertical="center"/>
    </xf>
    <xf numFmtId="1" fontId="0" fillId="0" borderId="13" xfId="0" applyNumberFormat="1" applyFont="1" applyBorder="1" applyAlignment="1">
      <alignment horizontal="center" vertical="center"/>
    </xf>
    <xf numFmtId="1" fontId="0" fillId="0" borderId="0" xfId="0" applyNumberFormat="1" applyFont="1" applyAlignment="1">
      <alignment vertical="center"/>
    </xf>
    <xf numFmtId="1" fontId="0" fillId="0" borderId="11" xfId="0" applyNumberFormat="1" applyFont="1" applyFill="1" applyBorder="1" applyAlignment="1">
      <alignment horizontal="center" vertical="center"/>
    </xf>
    <xf numFmtId="1" fontId="0" fillId="0" borderId="38" xfId="0" applyNumberFormat="1" applyBorder="1" applyAlignment="1">
      <alignment horizontal="center" vertical="center"/>
    </xf>
    <xf numFmtId="1" fontId="1" fillId="0" borderId="0" xfId="0" applyNumberFormat="1" applyFont="1" applyFill="1" applyAlignment="1">
      <alignment horizontal="center" vertical="center"/>
    </xf>
    <xf numFmtId="1" fontId="1" fillId="0" borderId="0" xfId="0" applyNumberFormat="1" applyFont="1" applyFill="1" applyAlignment="1">
      <alignment vertical="center"/>
    </xf>
    <xf numFmtId="1" fontId="1" fillId="0" borderId="9" xfId="0" applyNumberFormat="1" applyFont="1" applyFill="1" applyBorder="1" applyAlignment="1">
      <alignment horizontal="center" vertical="center"/>
    </xf>
    <xf numFmtId="1" fontId="1" fillId="0" borderId="25" xfId="0" applyNumberFormat="1" applyFont="1" applyFill="1" applyBorder="1" applyAlignment="1">
      <alignment horizontal="center" vertical="center"/>
    </xf>
    <xf numFmtId="1" fontId="5" fillId="0" borderId="0" xfId="0" applyNumberFormat="1" applyFont="1" applyFill="1" applyAlignment="1">
      <alignment horizontal="center" vertical="center"/>
    </xf>
    <xf numFmtId="1" fontId="1" fillId="0" borderId="21" xfId="0" applyNumberFormat="1" applyFont="1" applyFill="1" applyBorder="1" applyAlignment="1">
      <alignment horizontal="center" vertical="center"/>
    </xf>
    <xf numFmtId="1" fontId="5" fillId="0" borderId="0" xfId="0" applyNumberFormat="1" applyFont="1" applyAlignment="1">
      <alignment horizontal="center" vertical="center"/>
    </xf>
    <xf numFmtId="1" fontId="5" fillId="0" borderId="0" xfId="0" quotePrefix="1" applyNumberFormat="1" applyFont="1" applyAlignment="1">
      <alignment vertical="center"/>
    </xf>
    <xf numFmtId="1" fontId="2" fillId="0" borderId="9" xfId="0" applyNumberFormat="1" applyFont="1" applyBorder="1" applyAlignment="1">
      <alignment horizontal="center" vertical="center"/>
    </xf>
    <xf numFmtId="1" fontId="2" fillId="0" borderId="25" xfId="0" applyNumberFormat="1" applyFont="1" applyBorder="1" applyAlignment="1">
      <alignment horizontal="center" vertical="center"/>
    </xf>
    <xf numFmtId="1" fontId="0" fillId="0" borderId="21" xfId="0" applyNumberFormat="1" applyFill="1" applyBorder="1" applyAlignment="1">
      <alignment horizontal="center" vertical="center"/>
    </xf>
    <xf numFmtId="1" fontId="0" fillId="0" borderId="37" xfId="0" applyNumberFormat="1" applyBorder="1" applyAlignment="1">
      <alignment horizontal="center" vertical="center"/>
    </xf>
    <xf numFmtId="1" fontId="0" fillId="0" borderId="38" xfId="0" applyNumberFormat="1" applyFont="1" applyFill="1" applyBorder="1" applyAlignment="1">
      <alignment horizontal="center" vertical="center"/>
    </xf>
    <xf numFmtId="2" fontId="0" fillId="0" borderId="0" xfId="0" quotePrefix="1" applyNumberFormat="1"/>
    <xf numFmtId="2" fontId="0" fillId="0" borderId="0" xfId="0" quotePrefix="1" applyNumberFormat="1" applyAlignment="1">
      <alignment horizontal="center" vertical="center"/>
    </xf>
    <xf numFmtId="2" fontId="0" fillId="0" borderId="9" xfId="0" applyNumberFormat="1" applyFill="1" applyBorder="1" applyAlignment="1">
      <alignment horizontal="center" vertical="center"/>
    </xf>
    <xf numFmtId="2" fontId="0" fillId="0" borderId="10" xfId="0" applyNumberFormat="1" applyFill="1" applyBorder="1" applyAlignment="1">
      <alignment horizontal="center" vertical="center"/>
    </xf>
    <xf numFmtId="2" fontId="0" fillId="0" borderId="11" xfId="0" applyNumberFormat="1" applyFill="1" applyBorder="1" applyAlignment="1">
      <alignment horizontal="center" vertical="center"/>
    </xf>
    <xf numFmtId="2" fontId="0" fillId="0" borderId="5" xfId="0" applyNumberFormat="1" applyBorder="1" applyAlignment="1">
      <alignment horizontal="center" vertical="center"/>
    </xf>
    <xf numFmtId="2" fontId="0" fillId="0" borderId="7" xfId="0" applyNumberFormat="1" applyBorder="1" applyAlignment="1">
      <alignment horizontal="center" vertical="center"/>
    </xf>
    <xf numFmtId="2" fontId="0" fillId="0" borderId="4" xfId="0" applyNumberFormat="1" applyBorder="1" applyAlignment="1">
      <alignment horizontal="center" vertical="center"/>
    </xf>
    <xf numFmtId="1" fontId="0" fillId="0" borderId="9" xfId="0" applyNumberFormat="1" applyBorder="1" applyAlignment="1">
      <alignment horizontal="center" vertical="center"/>
    </xf>
    <xf numFmtId="1" fontId="0" fillId="0" borderId="3" xfId="0" applyNumberFormat="1" applyBorder="1" applyAlignment="1">
      <alignment horizontal="center" vertical="center"/>
    </xf>
    <xf numFmtId="1" fontId="0" fillId="0" borderId="26" xfId="0" applyNumberFormat="1" applyFont="1" applyFill="1" applyBorder="1" applyAlignment="1">
      <alignment horizontal="center" vertical="center"/>
    </xf>
    <xf numFmtId="1" fontId="0" fillId="0" borderId="27" xfId="0" applyNumberFormat="1" applyFont="1" applyFill="1" applyBorder="1" applyAlignment="1">
      <alignment horizontal="center" vertical="center"/>
    </xf>
    <xf numFmtId="1" fontId="0" fillId="0" borderId="28" xfId="0" applyNumberFormat="1" applyFont="1" applyFill="1" applyBorder="1" applyAlignment="1">
      <alignment horizontal="center" vertical="center"/>
    </xf>
    <xf numFmtId="1" fontId="0" fillId="0" borderId="30" xfId="0" applyNumberFormat="1" applyFont="1" applyBorder="1" applyAlignment="1">
      <alignment horizontal="center" vertical="center"/>
    </xf>
    <xf numFmtId="1" fontId="0" fillId="0" borderId="35" xfId="0" applyNumberFormat="1" applyFont="1" applyBorder="1" applyAlignment="1">
      <alignment vertical="center"/>
    </xf>
    <xf numFmtId="1" fontId="0" fillId="4" borderId="11" xfId="0" applyNumberFormat="1" applyFont="1" applyFill="1" applyBorder="1" applyAlignment="1">
      <alignment horizontal="center" vertical="center"/>
    </xf>
    <xf numFmtId="1" fontId="0" fillId="4" borderId="25" xfId="0" applyNumberFormat="1" applyFont="1" applyFill="1" applyBorder="1" applyAlignment="1">
      <alignment horizontal="center" vertical="center"/>
    </xf>
    <xf numFmtId="2" fontId="0" fillId="4" borderId="20" xfId="0" applyNumberFormat="1" applyFont="1" applyFill="1" applyBorder="1" applyAlignment="1">
      <alignment horizontal="center" vertical="center"/>
    </xf>
    <xf numFmtId="1" fontId="0" fillId="0" borderId="9" xfId="0" applyNumberFormat="1" applyFont="1" applyBorder="1" applyAlignment="1">
      <alignment horizontal="center" vertical="center"/>
    </xf>
    <xf numFmtId="1" fontId="0" fillId="0" borderId="10" xfId="0" applyNumberFormat="1" applyFont="1" applyBorder="1" applyAlignment="1">
      <alignment horizontal="center" vertical="center"/>
    </xf>
    <xf numFmtId="1" fontId="0" fillId="0" borderId="11" xfId="0" applyNumberFormat="1" applyFont="1" applyBorder="1" applyAlignment="1">
      <alignment horizontal="center" vertical="center"/>
    </xf>
    <xf numFmtId="1" fontId="2" fillId="0" borderId="19" xfId="0" applyNumberFormat="1" applyFont="1" applyBorder="1" applyAlignment="1">
      <alignment horizontal="center" vertical="center"/>
    </xf>
    <xf numFmtId="1" fontId="0" fillId="0" borderId="31" xfId="0" applyNumberFormat="1" applyFont="1" applyBorder="1" applyAlignment="1">
      <alignment horizontal="center" vertical="center"/>
    </xf>
    <xf numFmtId="1" fontId="0" fillId="0" borderId="39" xfId="0" applyNumberFormat="1" applyBorder="1" applyAlignment="1">
      <alignment horizontal="center" vertical="center"/>
    </xf>
    <xf numFmtId="1" fontId="0" fillId="0" borderId="14" xfId="0" applyNumberFormat="1" applyBorder="1" applyAlignment="1">
      <alignment horizontal="center" vertical="center"/>
    </xf>
    <xf numFmtId="1" fontId="0" fillId="0" borderId="33" xfId="0" applyNumberFormat="1" applyFont="1" applyBorder="1" applyAlignment="1">
      <alignment vertical="center"/>
    </xf>
    <xf numFmtId="1" fontId="0" fillId="0" borderId="33" xfId="0" applyNumberFormat="1" applyFont="1" applyBorder="1" applyAlignment="1">
      <alignment horizontal="center" vertical="center"/>
    </xf>
    <xf numFmtId="1" fontId="0" fillId="0" borderId="36" xfId="0" applyNumberFormat="1" applyFont="1" applyBorder="1" applyAlignment="1">
      <alignment vertical="center"/>
    </xf>
    <xf numFmtId="1" fontId="5" fillId="0" borderId="46" xfId="0" applyNumberFormat="1" applyFont="1" applyBorder="1" applyAlignment="1">
      <alignment horizontal="center" vertical="center"/>
    </xf>
    <xf numFmtId="1" fontId="5" fillId="0" borderId="0" xfId="0" quotePrefix="1" applyNumberFormat="1" applyFont="1" applyAlignment="1">
      <alignment horizontal="right" vertical="center"/>
    </xf>
    <xf numFmtId="1" fontId="0" fillId="0" borderId="0" xfId="0" applyNumberFormat="1" applyBorder="1" applyAlignment="1">
      <alignment horizontal="center" vertical="center"/>
    </xf>
    <xf numFmtId="1" fontId="0" fillId="0" borderId="7" xfId="0" applyNumberFormat="1" applyBorder="1" applyAlignment="1">
      <alignment horizontal="center" vertical="center"/>
    </xf>
    <xf numFmtId="1" fontId="0" fillId="0" borderId="4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1" fontId="0" fillId="0" borderId="0" xfId="0" applyNumberFormat="1" applyFill="1" applyBorder="1" applyAlignment="1">
      <alignment horizontal="center" vertical="center"/>
    </xf>
    <xf numFmtId="1" fontId="0" fillId="0" borderId="2" xfId="0" applyNumberFormat="1" applyBorder="1" applyAlignment="1">
      <alignment horizontal="center" vertical="center"/>
    </xf>
    <xf numFmtId="1" fontId="0" fillId="0" borderId="8" xfId="0" applyNumberFormat="1" applyBorder="1" applyAlignment="1">
      <alignment horizontal="center" vertical="center"/>
    </xf>
    <xf numFmtId="1" fontId="0" fillId="0" borderId="7" xfId="0" applyNumberFormat="1" applyFill="1" applyBorder="1" applyAlignment="1">
      <alignment horizontal="center" vertical="center"/>
    </xf>
    <xf numFmtId="1" fontId="0" fillId="0" borderId="8" xfId="0" applyNumberFormat="1" applyFill="1" applyBorder="1" applyAlignment="1">
      <alignment horizontal="center" vertical="center"/>
    </xf>
    <xf numFmtId="1" fontId="0" fillId="0" borderId="5" xfId="0" applyNumberFormat="1" applyBorder="1" applyAlignment="1">
      <alignment horizontal="center" vertical="center"/>
    </xf>
    <xf numFmtId="1" fontId="0" fillId="0" borderId="6" xfId="0" applyNumberFormat="1" applyBorder="1" applyAlignment="1">
      <alignment horizontal="center" vertical="center"/>
    </xf>
    <xf numFmtId="2" fontId="0" fillId="0" borderId="0" xfId="0" applyNumberFormat="1" applyBorder="1" applyAlignment="1">
      <alignment horizontal="left" vertical="center"/>
    </xf>
    <xf numFmtId="2" fontId="0" fillId="0" borderId="10" xfId="0" applyNumberFormat="1" applyBorder="1" applyAlignment="1">
      <alignment horizontal="center" vertical="center"/>
    </xf>
    <xf numFmtId="2" fontId="0" fillId="0" borderId="3" xfId="0" applyNumberFormat="1" applyBorder="1" applyAlignment="1">
      <alignment horizontal="center" vertical="center"/>
    </xf>
    <xf numFmtId="2" fontId="0" fillId="0" borderId="8" xfId="0" applyNumberFormat="1" applyBorder="1" applyAlignment="1">
      <alignment horizontal="center" vertical="center"/>
    </xf>
    <xf numFmtId="2" fontId="0" fillId="0" borderId="6" xfId="0" applyNumberFormat="1" applyBorder="1" applyAlignment="1">
      <alignment horizontal="center" vertical="center"/>
    </xf>
    <xf numFmtId="2" fontId="0" fillId="0" borderId="0" xfId="0" applyNumberFormat="1" applyFont="1" applyAlignment="1">
      <alignment horizontal="left" vertical="center"/>
    </xf>
    <xf numFmtId="1" fontId="0" fillId="0" borderId="1" xfId="0" applyNumberFormat="1" applyBorder="1" applyAlignment="1">
      <alignment horizontal="center" vertical="center"/>
    </xf>
    <xf numFmtId="1" fontId="0" fillId="0" borderId="25" xfId="0" applyNumberFormat="1" applyBorder="1" applyAlignment="1">
      <alignment horizontal="center" vertical="center"/>
    </xf>
    <xf numFmtId="1" fontId="0" fillId="0" borderId="25" xfId="0" applyNumberFormat="1" applyFont="1" applyBorder="1" applyAlignment="1">
      <alignment horizontal="center" vertical="center"/>
    </xf>
    <xf numFmtId="0" fontId="0" fillId="0" borderId="0" xfId="0"/>
    <xf numFmtId="0" fontId="0" fillId="0" borderId="25" xfId="0" applyBorder="1"/>
    <xf numFmtId="0" fontId="1" fillId="0" borderId="12" xfId="0" applyFont="1" applyBorder="1"/>
    <xf numFmtId="0" fontId="0" fillId="0" borderId="0" xfId="0" applyAlignment="1"/>
    <xf numFmtId="0" fontId="0" fillId="0" borderId="0" xfId="0" applyFill="1" applyBorder="1"/>
    <xf numFmtId="0" fontId="0" fillId="0" borderId="0" xfId="0"/>
    <xf numFmtId="2" fontId="0" fillId="0" borderId="15" xfId="0" applyNumberFormat="1" applyFont="1" applyFill="1" applyBorder="1" applyAlignment="1">
      <alignment horizontal="center" vertical="center"/>
    </xf>
    <xf numFmtId="0" fontId="0" fillId="0" borderId="0" xfId="0" applyBorder="1"/>
    <xf numFmtId="2" fontId="0" fillId="0" borderId="0" xfId="0" applyNumberFormat="1" applyBorder="1" applyAlignment="1">
      <alignment vertical="center"/>
    </xf>
    <xf numFmtId="2" fontId="0" fillId="0" borderId="0" xfId="0" quotePrefix="1" applyNumberFormat="1" applyBorder="1"/>
    <xf numFmtId="164" fontId="0" fillId="0" borderId="13" xfId="0" applyNumberFormat="1" applyFont="1" applyBorder="1" applyAlignment="1">
      <alignment horizontal="center" vertical="center"/>
    </xf>
    <xf numFmtId="164" fontId="0" fillId="0" borderId="18" xfId="0" applyNumberFormat="1" applyFont="1" applyBorder="1" applyAlignment="1">
      <alignment horizontal="center" vertical="center"/>
    </xf>
    <xf numFmtId="164" fontId="0" fillId="0" borderId="19" xfId="0" applyNumberFormat="1" applyFont="1" applyBorder="1" applyAlignment="1">
      <alignment horizontal="center" vertical="center"/>
    </xf>
    <xf numFmtId="164" fontId="0" fillId="0" borderId="20" xfId="0" applyNumberFormat="1" applyFont="1" applyBorder="1" applyAlignment="1">
      <alignment horizontal="center" vertical="center"/>
    </xf>
    <xf numFmtId="2" fontId="0" fillId="0" borderId="0" xfId="0" applyNumberFormat="1" applyFont="1" applyAlignment="1">
      <alignment horizontal="left" vertical="center"/>
    </xf>
    <xf numFmtId="0" fontId="0" fillId="0" borderId="0" xfId="0"/>
    <xf numFmtId="1" fontId="0" fillId="0" borderId="17" xfId="0" applyNumberFormat="1" applyBorder="1" applyAlignment="1">
      <alignment horizontal="center" vertical="center"/>
    </xf>
    <xf numFmtId="2" fontId="0" fillId="0" borderId="0" xfId="0" applyNumberFormat="1" applyFont="1" applyAlignment="1">
      <alignment horizontal="left" vertical="center"/>
    </xf>
    <xf numFmtId="1" fontId="0" fillId="0" borderId="25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1" fontId="0" fillId="0" borderId="3" xfId="0" applyNumberFormat="1" applyFon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2" fontId="0" fillId="0" borderId="2" xfId="0" applyNumberFormat="1" applyFont="1" applyBorder="1" applyAlignment="1">
      <alignment horizontal="center" vertical="center"/>
    </xf>
    <xf numFmtId="1" fontId="0" fillId="0" borderId="47" xfId="0" applyNumberFormat="1" applyBorder="1" applyAlignment="1">
      <alignment horizontal="center" vertical="center"/>
    </xf>
    <xf numFmtId="1" fontId="0" fillId="0" borderId="48" xfId="0" applyNumberFormat="1" applyBorder="1" applyAlignment="1">
      <alignment horizontal="center" vertical="center"/>
    </xf>
    <xf numFmtId="2" fontId="0" fillId="0" borderId="9" xfId="0" applyNumberFormat="1" applyBorder="1" applyAlignment="1">
      <alignment horizontal="center" vertical="center"/>
    </xf>
    <xf numFmtId="2" fontId="0" fillId="0" borderId="11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" fontId="0" fillId="0" borderId="11" xfId="0" applyNumberFormat="1" applyBorder="1" applyAlignment="1">
      <alignment horizontal="center" vertical="center"/>
    </xf>
    <xf numFmtId="2" fontId="0" fillId="0" borderId="9" xfId="0" applyNumberFormat="1" applyBorder="1"/>
    <xf numFmtId="2" fontId="0" fillId="0" borderId="10" xfId="0" applyNumberFormat="1" applyBorder="1"/>
    <xf numFmtId="2" fontId="0" fillId="0" borderId="11" xfId="0" applyNumberFormat="1" applyBorder="1"/>
    <xf numFmtId="1" fontId="1" fillId="5" borderId="25" xfId="0" applyNumberFormat="1" applyFont="1" applyFill="1" applyBorder="1" applyAlignment="1">
      <alignment horizontal="center" vertical="center"/>
    </xf>
    <xf numFmtId="2" fontId="0" fillId="0" borderId="26" xfId="0" applyNumberFormat="1" applyBorder="1" applyAlignment="1">
      <alignment horizontal="center" vertical="center"/>
    </xf>
    <xf numFmtId="2" fontId="0" fillId="0" borderId="8" xfId="0" applyNumberFormat="1" applyFill="1" applyBorder="1" applyAlignment="1">
      <alignment horizontal="center" vertical="center"/>
    </xf>
    <xf numFmtId="2" fontId="0" fillId="0" borderId="3" xfId="0" applyNumberFormat="1" applyFill="1" applyBorder="1" applyAlignment="1">
      <alignment horizontal="center" vertical="center"/>
    </xf>
    <xf numFmtId="1" fontId="0" fillId="0" borderId="5" xfId="0" applyNumberFormat="1" applyFill="1" applyBorder="1" applyAlignment="1">
      <alignment horizontal="center" vertical="center"/>
    </xf>
    <xf numFmtId="1" fontId="0" fillId="0" borderId="2" xfId="0" applyNumberFormat="1" applyFill="1" applyBorder="1" applyAlignment="1">
      <alignment horizontal="center" vertical="center"/>
    </xf>
    <xf numFmtId="1" fontId="0" fillId="0" borderId="1" xfId="0" applyNumberFormat="1" applyFill="1" applyBorder="1" applyAlignment="1">
      <alignment horizontal="center" vertical="center"/>
    </xf>
    <xf numFmtId="1" fontId="0" fillId="0" borderId="3" xfId="0" applyNumberFormat="1" applyFill="1" applyBorder="1" applyAlignment="1">
      <alignment horizontal="center" vertical="center"/>
    </xf>
    <xf numFmtId="1" fontId="0" fillId="0" borderId="6" xfId="0" applyNumberFormat="1" applyFont="1" applyBorder="1" applyAlignment="1">
      <alignment horizontal="center" vertical="center"/>
    </xf>
    <xf numFmtId="1" fontId="0" fillId="0" borderId="8" xfId="0" applyNumberFormat="1" applyFont="1" applyBorder="1" applyAlignment="1">
      <alignment horizontal="center" vertical="center"/>
    </xf>
    <xf numFmtId="1" fontId="1" fillId="5" borderId="28" xfId="0" applyNumberFormat="1" applyFont="1" applyFill="1" applyBorder="1" applyAlignment="1">
      <alignment horizontal="center" vertical="center"/>
    </xf>
    <xf numFmtId="2" fontId="0" fillId="0" borderId="1" xfId="0" applyNumberFormat="1" applyBorder="1"/>
    <xf numFmtId="2" fontId="0" fillId="0" borderId="7" xfId="0" applyNumberFormat="1" applyBorder="1"/>
    <xf numFmtId="2" fontId="0" fillId="0" borderId="4" xfId="0" applyNumberFormat="1" applyBorder="1"/>
    <xf numFmtId="2" fontId="0" fillId="0" borderId="27" xfId="0" applyNumberFormat="1" applyBorder="1" applyAlignment="1">
      <alignment horizontal="center" vertical="center"/>
    </xf>
    <xf numFmtId="1" fontId="0" fillId="0" borderId="28" xfId="0" applyNumberFormat="1" applyBorder="1" applyAlignment="1">
      <alignment horizontal="center" vertical="center"/>
    </xf>
    <xf numFmtId="2" fontId="0" fillId="0" borderId="25" xfId="0" applyNumberFormat="1" applyBorder="1"/>
    <xf numFmtId="2" fontId="0" fillId="0" borderId="28" xfId="0" applyNumberFormat="1" applyBorder="1" applyAlignment="1">
      <alignment horizontal="center" vertical="center"/>
    </xf>
    <xf numFmtId="1" fontId="0" fillId="0" borderId="27" xfId="0" applyNumberFormat="1" applyBorder="1" applyAlignment="1">
      <alignment horizontal="center" vertical="center"/>
    </xf>
    <xf numFmtId="2" fontId="5" fillId="0" borderId="0" xfId="0" quotePrefix="1" applyNumberFormat="1" applyFont="1" applyAlignment="1">
      <alignment horizontal="center" vertical="center"/>
    </xf>
    <xf numFmtId="0" fontId="2" fillId="0" borderId="0" xfId="0" applyFont="1" applyFill="1"/>
    <xf numFmtId="2" fontId="0" fillId="0" borderId="25" xfId="0" applyNumberFormat="1" applyFill="1" applyBorder="1" applyAlignment="1">
      <alignment horizontal="center" vertical="center"/>
    </xf>
    <xf numFmtId="1" fontId="0" fillId="0" borderId="28" xfId="0" applyNumberFormat="1" applyFont="1" applyBorder="1" applyAlignment="1">
      <alignment horizontal="center" vertical="center"/>
    </xf>
    <xf numFmtId="1" fontId="0" fillId="0" borderId="27" xfId="0" applyNumberFormat="1" applyFill="1" applyBorder="1" applyAlignment="1">
      <alignment horizontal="center" vertical="center"/>
    </xf>
    <xf numFmtId="1" fontId="0" fillId="0" borderId="25" xfId="0" applyNumberFormat="1" applyBorder="1" applyAlignment="1">
      <alignment horizontal="center" vertical="center"/>
    </xf>
    <xf numFmtId="1" fontId="0" fillId="0" borderId="25" xfId="0" applyNumberFormat="1" applyFon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1" fontId="0" fillId="0" borderId="3" xfId="0" applyNumberFormat="1" applyFon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2" fontId="0" fillId="0" borderId="2" xfId="0" applyNumberFormat="1" applyFont="1" applyBorder="1" applyAlignment="1">
      <alignment horizontal="center" vertical="center"/>
    </xf>
    <xf numFmtId="2" fontId="0" fillId="0" borderId="15" xfId="0" applyNumberFormat="1" applyFont="1" applyFill="1" applyBorder="1" applyAlignment="1">
      <alignment horizontal="center" vertical="center"/>
    </xf>
    <xf numFmtId="2" fontId="0" fillId="0" borderId="0" xfId="0" applyNumberFormat="1" applyFont="1" applyAlignment="1">
      <alignment horizontal="left" vertical="center"/>
    </xf>
    <xf numFmtId="0" fontId="1" fillId="0" borderId="0" xfId="0" applyFont="1"/>
    <xf numFmtId="2" fontId="1" fillId="0" borderId="26" xfId="0" applyNumberFormat="1" applyFont="1" applyBorder="1" applyAlignment="1">
      <alignment horizontal="center" vertical="center"/>
    </xf>
    <xf numFmtId="0" fontId="1" fillId="0" borderId="0" xfId="0" applyFont="1" applyAlignment="1"/>
    <xf numFmtId="2" fontId="0" fillId="0" borderId="26" xfId="0" applyNumberFormat="1" applyBorder="1"/>
    <xf numFmtId="0" fontId="0" fillId="0" borderId="0" xfId="0" applyAlignment="1">
      <alignment horizontal="center" vertical="center"/>
    </xf>
    <xf numFmtId="1" fontId="1" fillId="0" borderId="0" xfId="0" applyNumberFormat="1" applyFont="1" applyFill="1" applyBorder="1" applyAlignment="1">
      <alignment horizontal="center" vertical="center"/>
    </xf>
    <xf numFmtId="2" fontId="0" fillId="0" borderId="0" xfId="0" applyNumberFormat="1" applyFont="1" applyAlignment="1">
      <alignment horizontal="left" vertical="center"/>
    </xf>
    <xf numFmtId="2" fontId="1" fillId="0" borderId="12" xfId="0" applyNumberFormat="1" applyFont="1" applyFill="1" applyBorder="1" applyAlignment="1">
      <alignment horizontal="center" vertical="center"/>
    </xf>
    <xf numFmtId="0" fontId="7" fillId="0" borderId="0" xfId="0" applyFont="1"/>
    <xf numFmtId="0" fontId="8" fillId="0" borderId="0" xfId="0" applyFont="1"/>
    <xf numFmtId="1" fontId="7" fillId="0" borderId="1" xfId="0" applyNumberFormat="1" applyFont="1" applyBorder="1" applyAlignment="1">
      <alignment horizontal="center" vertical="center"/>
    </xf>
    <xf numFmtId="1" fontId="7" fillId="0" borderId="2" xfId="0" applyNumberFormat="1" applyFont="1" applyBorder="1" applyAlignment="1">
      <alignment horizontal="center" vertical="center"/>
    </xf>
    <xf numFmtId="1" fontId="7" fillId="0" borderId="3" xfId="0" applyNumberFormat="1" applyFont="1" applyBorder="1" applyAlignment="1">
      <alignment horizontal="center" vertical="center"/>
    </xf>
    <xf numFmtId="1" fontId="7" fillId="0" borderId="7" xfId="0" applyNumberFormat="1" applyFont="1" applyBorder="1" applyAlignment="1">
      <alignment horizontal="center" vertical="center"/>
    </xf>
    <xf numFmtId="1" fontId="7" fillId="0" borderId="0" xfId="0" applyNumberFormat="1" applyFont="1" applyBorder="1" applyAlignment="1">
      <alignment horizontal="center" vertical="center"/>
    </xf>
    <xf numFmtId="1" fontId="7" fillId="0" borderId="8" xfId="0" applyNumberFormat="1" applyFont="1" applyBorder="1" applyAlignment="1">
      <alignment horizontal="center" vertical="center"/>
    </xf>
    <xf numFmtId="1" fontId="7" fillId="0" borderId="7" xfId="0" applyNumberFormat="1" applyFont="1" applyFill="1" applyBorder="1" applyAlignment="1">
      <alignment horizontal="center" vertical="center"/>
    </xf>
    <xf numFmtId="1" fontId="7" fillId="0" borderId="0" xfId="0" applyNumberFormat="1" applyFont="1" applyFill="1" applyBorder="1" applyAlignment="1">
      <alignment horizontal="center" vertical="center"/>
    </xf>
    <xf numFmtId="1" fontId="7" fillId="0" borderId="8" xfId="0" applyNumberFormat="1" applyFont="1" applyFill="1" applyBorder="1" applyAlignment="1">
      <alignment horizontal="center" vertical="center"/>
    </xf>
    <xf numFmtId="0" fontId="2" fillId="0" borderId="25" xfId="0" applyFont="1" applyBorder="1"/>
    <xf numFmtId="0" fontId="2" fillId="0" borderId="0" xfId="0" applyFont="1"/>
    <xf numFmtId="2" fontId="2" fillId="0" borderId="10" xfId="0" applyNumberFormat="1" applyFont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2" fontId="2" fillId="0" borderId="2" xfId="0" applyNumberFormat="1" applyFont="1" applyBorder="1" applyAlignment="1">
      <alignment horizontal="center" vertical="center"/>
    </xf>
    <xf numFmtId="1" fontId="2" fillId="0" borderId="3" xfId="0" applyNumberFormat="1" applyFont="1" applyBorder="1" applyAlignment="1">
      <alignment horizontal="center" vertical="center"/>
    </xf>
    <xf numFmtId="2" fontId="2" fillId="0" borderId="7" xfId="0" applyNumberFormat="1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 vertical="center"/>
    </xf>
    <xf numFmtId="1" fontId="2" fillId="0" borderId="8" xfId="0" applyNumberFormat="1" applyFont="1" applyBorder="1" applyAlignment="1">
      <alignment horizontal="center" vertical="center"/>
    </xf>
    <xf numFmtId="2" fontId="2" fillId="0" borderId="4" xfId="0" applyNumberFormat="1" applyFont="1" applyBorder="1" applyAlignment="1">
      <alignment horizontal="center" vertical="center"/>
    </xf>
    <xf numFmtId="2" fontId="2" fillId="0" borderId="5" xfId="0" applyNumberFormat="1" applyFont="1" applyBorder="1" applyAlignment="1">
      <alignment horizontal="center" vertical="center"/>
    </xf>
    <xf numFmtId="1" fontId="2" fillId="0" borderId="6" xfId="0" applyNumberFormat="1" applyFont="1" applyBorder="1" applyAlignment="1">
      <alignment horizontal="center" vertical="center"/>
    </xf>
    <xf numFmtId="2" fontId="2" fillId="0" borderId="0" xfId="0" applyNumberFormat="1" applyFont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  <xf numFmtId="2" fontId="2" fillId="0" borderId="26" xfId="0" applyNumberFormat="1" applyFont="1" applyBorder="1" applyAlignment="1">
      <alignment horizontal="center" vertical="center"/>
    </xf>
    <xf numFmtId="2" fontId="2" fillId="0" borderId="27" xfId="0" applyNumberFormat="1" applyFont="1" applyBorder="1" applyAlignment="1">
      <alignment horizontal="center" vertical="center"/>
    </xf>
    <xf numFmtId="1" fontId="2" fillId="0" borderId="28" xfId="0" applyNumberFormat="1" applyFont="1" applyBorder="1" applyAlignment="1">
      <alignment horizontal="center" vertical="center"/>
    </xf>
    <xf numFmtId="1" fontId="2" fillId="0" borderId="2" xfId="0" applyNumberFormat="1" applyFont="1" applyBorder="1" applyAlignment="1">
      <alignment horizontal="center" vertical="center"/>
    </xf>
    <xf numFmtId="1" fontId="2" fillId="0" borderId="0" xfId="0" applyNumberFormat="1" applyFont="1" applyBorder="1" applyAlignment="1">
      <alignment horizontal="center" vertical="center"/>
    </xf>
    <xf numFmtId="1" fontId="2" fillId="0" borderId="5" xfId="0" applyNumberFormat="1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1" fontId="2" fillId="0" borderId="7" xfId="0" applyNumberFormat="1" applyFont="1" applyBorder="1" applyAlignment="1">
      <alignment horizontal="center" vertical="center"/>
    </xf>
    <xf numFmtId="1" fontId="2" fillId="0" borderId="4" xfId="0" applyNumberFormat="1" applyFont="1" applyBorder="1" applyAlignment="1">
      <alignment horizontal="center" vertical="center"/>
    </xf>
    <xf numFmtId="1" fontId="2" fillId="0" borderId="26" xfId="0" applyNumberFormat="1" applyFont="1" applyBorder="1" applyAlignment="1">
      <alignment horizontal="center" vertical="center"/>
    </xf>
    <xf numFmtId="1" fontId="2" fillId="0" borderId="27" xfId="0" applyNumberFormat="1" applyFont="1" applyBorder="1" applyAlignment="1">
      <alignment horizontal="center" vertical="center"/>
    </xf>
    <xf numFmtId="2" fontId="2" fillId="0" borderId="3" xfId="0" applyNumberFormat="1" applyFont="1" applyBorder="1" applyAlignment="1">
      <alignment horizontal="center" vertical="center"/>
    </xf>
    <xf numFmtId="1" fontId="2" fillId="0" borderId="10" xfId="0" applyNumberFormat="1" applyFont="1" applyBorder="1" applyAlignment="1">
      <alignment horizontal="center" vertical="center"/>
    </xf>
    <xf numFmtId="2" fontId="2" fillId="0" borderId="8" xfId="0" applyNumberFormat="1" applyFont="1" applyBorder="1" applyAlignment="1">
      <alignment horizontal="center" vertical="center"/>
    </xf>
    <xf numFmtId="1" fontId="2" fillId="0" borderId="11" xfId="0" applyNumberFormat="1" applyFont="1" applyBorder="1" applyAlignment="1">
      <alignment horizontal="center" vertical="center"/>
    </xf>
    <xf numFmtId="2" fontId="2" fillId="0" borderId="6" xfId="0" applyNumberFormat="1" applyFont="1" applyBorder="1" applyAlignment="1">
      <alignment horizontal="center" vertical="center"/>
    </xf>
    <xf numFmtId="2" fontId="2" fillId="0" borderId="11" xfId="0" applyNumberFormat="1" applyFont="1" applyBorder="1" applyAlignment="1">
      <alignment horizontal="center" vertical="center"/>
    </xf>
    <xf numFmtId="2" fontId="2" fillId="0" borderId="28" xfId="0" applyNumberFormat="1" applyFont="1" applyBorder="1" applyAlignment="1">
      <alignment horizontal="center" vertical="center"/>
    </xf>
    <xf numFmtId="0" fontId="2" fillId="0" borderId="0" xfId="0" applyFont="1" applyBorder="1"/>
    <xf numFmtId="1" fontId="9" fillId="0" borderId="9" xfId="0" applyNumberFormat="1" applyFont="1" applyFill="1" applyBorder="1" applyAlignment="1">
      <alignment horizontal="center" vertical="center"/>
    </xf>
    <xf numFmtId="1" fontId="9" fillId="0" borderId="25" xfId="0" applyNumberFormat="1" applyFont="1" applyFill="1" applyBorder="1" applyAlignment="1">
      <alignment horizontal="center" vertical="center"/>
    </xf>
    <xf numFmtId="0" fontId="9" fillId="0" borderId="0" xfId="0" applyFont="1"/>
    <xf numFmtId="1" fontId="9" fillId="5" borderId="25" xfId="0" applyNumberFormat="1" applyFont="1" applyFill="1" applyBorder="1" applyAlignment="1">
      <alignment horizontal="center" vertical="center"/>
    </xf>
    <xf numFmtId="1" fontId="9" fillId="0" borderId="0" xfId="0" applyNumberFormat="1" applyFont="1" applyAlignment="1">
      <alignment horizontal="center" vertical="center"/>
    </xf>
    <xf numFmtId="1" fontId="2" fillId="0" borderId="0" xfId="0" applyNumberFormat="1" applyFont="1" applyFill="1" applyBorder="1" applyAlignment="1">
      <alignment horizontal="center" vertical="center"/>
    </xf>
    <xf numFmtId="2" fontId="0" fillId="0" borderId="0" xfId="0" applyNumberFormat="1" applyAlignment="1">
      <alignment horizontal="left" vertical="center"/>
    </xf>
    <xf numFmtId="2" fontId="0" fillId="0" borderId="0" xfId="0" applyNumberFormat="1" applyFont="1" applyAlignment="1">
      <alignment horizontal="left" vertical="center"/>
    </xf>
    <xf numFmtId="2" fontId="0" fillId="0" borderId="15" xfId="0" applyNumberFormat="1" applyFill="1" applyBorder="1" applyAlignment="1">
      <alignment horizontal="center" vertical="center"/>
    </xf>
    <xf numFmtId="2" fontId="0" fillId="0" borderId="16" xfId="0" applyNumberFormat="1" applyFill="1" applyBorder="1" applyAlignment="1">
      <alignment horizontal="center" vertical="center"/>
    </xf>
    <xf numFmtId="2" fontId="0" fillId="0" borderId="17" xfId="0" applyNumberFormat="1" applyFill="1" applyBorder="1" applyAlignment="1">
      <alignment horizontal="center" vertical="center"/>
    </xf>
    <xf numFmtId="2" fontId="1" fillId="0" borderId="34" xfId="0" applyNumberFormat="1" applyFont="1" applyBorder="1" applyAlignment="1">
      <alignment horizontal="left" vertical="center"/>
    </xf>
    <xf numFmtId="2" fontId="1" fillId="0" borderId="35" xfId="0" applyNumberFormat="1" applyFont="1" applyBorder="1" applyAlignment="1">
      <alignment horizontal="left" vertical="center"/>
    </xf>
    <xf numFmtId="2" fontId="1" fillId="0" borderId="36" xfId="0" applyNumberFormat="1" applyFont="1" applyBorder="1" applyAlignment="1">
      <alignment horizontal="left" vertical="center"/>
    </xf>
    <xf numFmtId="2" fontId="0" fillId="0" borderId="15" xfId="0" applyNumberFormat="1" applyFont="1" applyFill="1" applyBorder="1" applyAlignment="1">
      <alignment horizontal="center" vertical="center"/>
    </xf>
    <xf numFmtId="2" fontId="0" fillId="0" borderId="16" xfId="0" applyNumberFormat="1" applyFont="1" applyFill="1" applyBorder="1" applyAlignment="1">
      <alignment horizontal="center" vertical="center"/>
    </xf>
    <xf numFmtId="2" fontId="0" fillId="0" borderId="17" xfId="0" applyNumberFormat="1" applyFont="1" applyFill="1" applyBorder="1" applyAlignment="1">
      <alignment horizontal="center" vertical="center"/>
    </xf>
    <xf numFmtId="2" fontId="3" fillId="0" borderId="44" xfId="0" applyNumberFormat="1" applyFont="1" applyFill="1" applyBorder="1" applyAlignment="1">
      <alignment horizontal="center" vertical="center"/>
    </xf>
    <xf numFmtId="2" fontId="3" fillId="0" borderId="45" xfId="0" applyNumberFormat="1" applyFont="1" applyFill="1" applyBorder="1" applyAlignment="1">
      <alignment horizontal="center" vertical="center"/>
    </xf>
    <xf numFmtId="2" fontId="1" fillId="0" borderId="29" xfId="0" applyNumberFormat="1" applyFont="1" applyBorder="1" applyAlignment="1">
      <alignment horizontal="left" vertical="center"/>
    </xf>
    <xf numFmtId="2" fontId="1" fillId="0" borderId="30" xfId="0" applyNumberFormat="1" applyFont="1" applyBorder="1" applyAlignment="1">
      <alignment horizontal="left" vertical="center"/>
    </xf>
    <xf numFmtId="2" fontId="1" fillId="0" borderId="31" xfId="0" applyNumberFormat="1" applyFont="1" applyBorder="1" applyAlignment="1">
      <alignment horizontal="left" vertical="center"/>
    </xf>
    <xf numFmtId="2" fontId="1" fillId="0" borderId="32" xfId="0" applyNumberFormat="1" applyFont="1" applyBorder="1" applyAlignment="1">
      <alignment horizontal="left" vertical="center"/>
    </xf>
    <xf numFmtId="2" fontId="1" fillId="0" borderId="0" xfId="0" applyNumberFormat="1" applyFont="1" applyBorder="1" applyAlignment="1">
      <alignment horizontal="left" vertical="center"/>
    </xf>
    <xf numFmtId="2" fontId="1" fillId="0" borderId="33" xfId="0" applyNumberFormat="1" applyFont="1" applyBorder="1" applyAlignment="1">
      <alignment horizontal="left" vertical="center"/>
    </xf>
    <xf numFmtId="1" fontId="1" fillId="3" borderId="22" xfId="0" applyNumberFormat="1" applyFont="1" applyFill="1" applyBorder="1" applyAlignment="1">
      <alignment horizontal="center" vertical="center"/>
    </xf>
    <xf numFmtId="1" fontId="1" fillId="3" borderId="23" xfId="0" applyNumberFormat="1" applyFont="1" applyFill="1" applyBorder="1" applyAlignment="1">
      <alignment horizontal="center" vertical="center"/>
    </xf>
    <xf numFmtId="1" fontId="0" fillId="0" borderId="23" xfId="0" applyNumberFormat="1" applyFont="1" applyFill="1" applyBorder="1" applyAlignment="1">
      <alignment horizontal="center" vertical="center"/>
    </xf>
    <xf numFmtId="1" fontId="0" fillId="0" borderId="24" xfId="0" applyNumberFormat="1" applyFont="1" applyFill="1" applyBorder="1" applyAlignment="1">
      <alignment horizontal="center" vertical="center"/>
    </xf>
    <xf numFmtId="1" fontId="0" fillId="0" borderId="15" xfId="0" applyNumberFormat="1" applyBorder="1" applyAlignment="1">
      <alignment horizontal="center" vertical="center"/>
    </xf>
    <xf numFmtId="1" fontId="0" fillId="0" borderId="16" xfId="0" applyNumberFormat="1" applyBorder="1" applyAlignment="1">
      <alignment horizontal="center" vertical="center"/>
    </xf>
    <xf numFmtId="1" fontId="0" fillId="0" borderId="17" xfId="0" applyNumberFormat="1" applyBorder="1" applyAlignment="1">
      <alignment horizontal="center" vertical="center"/>
    </xf>
    <xf numFmtId="2" fontId="2" fillId="0" borderId="15" xfId="0" applyNumberFormat="1" applyFont="1" applyBorder="1" applyAlignment="1">
      <alignment horizontal="center" vertical="center"/>
    </xf>
    <xf numFmtId="2" fontId="2" fillId="0" borderId="16" xfId="0" applyNumberFormat="1" applyFont="1" applyBorder="1" applyAlignment="1">
      <alignment horizontal="center" vertical="center"/>
    </xf>
    <xf numFmtId="2" fontId="2" fillId="0" borderId="17" xfId="0" applyNumberFormat="1" applyFont="1" applyBorder="1" applyAlignment="1">
      <alignment horizontal="center" vertical="center"/>
    </xf>
    <xf numFmtId="1" fontId="0" fillId="0" borderId="15" xfId="0" applyNumberFormat="1" applyFont="1" applyFill="1" applyBorder="1" applyAlignment="1">
      <alignment horizontal="center" vertical="center"/>
    </xf>
    <xf numFmtId="1" fontId="0" fillId="0" borderId="16" xfId="0" applyNumberFormat="1" applyFont="1" applyFill="1" applyBorder="1" applyAlignment="1">
      <alignment horizontal="center" vertical="center"/>
    </xf>
    <xf numFmtId="1" fontId="0" fillId="0" borderId="17" xfId="0" applyNumberFormat="1" applyFont="1" applyFill="1" applyBorder="1" applyAlignment="1">
      <alignment horizontal="center" vertical="center"/>
    </xf>
    <xf numFmtId="1" fontId="0" fillId="0" borderId="25" xfId="0" applyNumberFormat="1" applyBorder="1" applyAlignment="1">
      <alignment horizontal="center" vertical="center"/>
    </xf>
    <xf numFmtId="1" fontId="0" fillId="0" borderId="25" xfId="0" applyNumberFormat="1" applyFon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1" fontId="0" fillId="0" borderId="2" xfId="0" applyNumberFormat="1" applyFont="1" applyBorder="1" applyAlignment="1">
      <alignment horizontal="center" vertical="center"/>
    </xf>
    <xf numFmtId="1" fontId="0" fillId="0" borderId="3" xfId="0" applyNumberFormat="1" applyFon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2" fontId="0" fillId="0" borderId="2" xfId="0" applyNumberFormat="1" applyFont="1" applyBorder="1" applyAlignment="1">
      <alignment horizontal="center" vertical="center"/>
    </xf>
    <xf numFmtId="2" fontId="0" fillId="0" borderId="3" xfId="0" applyNumberFormat="1" applyFont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2" fontId="2" fillId="0" borderId="2" xfId="0" applyNumberFormat="1" applyFont="1" applyBorder="1" applyAlignment="1">
      <alignment horizontal="center" vertical="center"/>
    </xf>
    <xf numFmtId="2" fontId="2" fillId="0" borderId="3" xfId="0" applyNumberFormat="1" applyFont="1" applyBorder="1" applyAlignment="1">
      <alignment horizontal="center" vertical="center"/>
    </xf>
    <xf numFmtId="2" fontId="0" fillId="0" borderId="6" xfId="0" applyNumberFormat="1" applyFill="1" applyBorder="1" applyAlignment="1">
      <alignment horizontal="center" vertical="center"/>
    </xf>
    <xf numFmtId="0" fontId="7" fillId="0" borderId="0" xfId="0" applyFont="1" applyBorder="1"/>
    <xf numFmtId="1" fontId="0" fillId="0" borderId="4" xfId="0" applyNumberFormat="1" applyFill="1" applyBorder="1" applyAlignment="1">
      <alignment horizontal="center" vertical="center"/>
    </xf>
    <xf numFmtId="1" fontId="0" fillId="0" borderId="6" xfId="0" applyNumberFormat="1" applyFill="1" applyBorder="1" applyAlignment="1">
      <alignment horizontal="center" vertical="center"/>
    </xf>
    <xf numFmtId="2" fontId="2" fillId="0" borderId="9" xfId="0" applyNumberFormat="1" applyFont="1" applyBorder="1"/>
    <xf numFmtId="2" fontId="2" fillId="0" borderId="10" xfId="0" applyNumberFormat="1" applyFont="1" applyBorder="1"/>
    <xf numFmtId="2" fontId="2" fillId="0" borderId="10" xfId="0" applyNumberFormat="1" applyFont="1" applyFill="1" applyBorder="1" applyAlignment="1">
      <alignment horizontal="center" vertical="center"/>
    </xf>
    <xf numFmtId="2" fontId="2" fillId="0" borderId="8" xfId="0" applyNumberFormat="1" applyFont="1" applyFill="1" applyBorder="1" applyAlignment="1">
      <alignment horizontal="center" vertical="center"/>
    </xf>
    <xf numFmtId="2" fontId="2" fillId="0" borderId="11" xfId="0" applyNumberFormat="1" applyFont="1" applyBorder="1"/>
    <xf numFmtId="2" fontId="2" fillId="0" borderId="0" xfId="0" quotePrefix="1" applyNumberFormat="1" applyFont="1"/>
    <xf numFmtId="2" fontId="2" fillId="0" borderId="0" xfId="0" quotePrefix="1" applyNumberFormat="1" applyFont="1" applyAlignment="1">
      <alignment horizontal="center" vertical="center"/>
    </xf>
    <xf numFmtId="2" fontId="9" fillId="0" borderId="26" xfId="0" applyNumberFormat="1" applyFont="1" applyBorder="1" applyAlignment="1">
      <alignment horizontal="center" vertical="center"/>
    </xf>
    <xf numFmtId="2" fontId="2" fillId="0" borderId="3" xfId="0" applyNumberFormat="1" applyFont="1" applyFill="1" applyBorder="1" applyAlignment="1">
      <alignment horizontal="center" vertical="center"/>
    </xf>
    <xf numFmtId="0" fontId="2" fillId="0" borderId="25" xfId="0" applyFont="1" applyFill="1" applyBorder="1"/>
    <xf numFmtId="2" fontId="2" fillId="0" borderId="0" xfId="0" quotePrefix="1" applyNumberFormat="1" applyFont="1" applyFill="1"/>
    <xf numFmtId="1" fontId="9" fillId="0" borderId="0" xfId="0" applyNumberFormat="1" applyFont="1" applyFill="1" applyBorder="1" applyAlignment="1">
      <alignment horizontal="center" vertical="center"/>
    </xf>
    <xf numFmtId="2" fontId="2" fillId="0" borderId="11" xfId="0" applyNumberFormat="1" applyFont="1" applyFill="1" applyBorder="1" applyAlignment="1">
      <alignment horizontal="center" vertical="center"/>
    </xf>
    <xf numFmtId="1" fontId="2" fillId="0" borderId="5" xfId="0" applyNumberFormat="1" applyFont="1" applyFill="1" applyBorder="1" applyAlignment="1">
      <alignment horizontal="center" vertical="center"/>
    </xf>
    <xf numFmtId="1" fontId="2" fillId="0" borderId="2" xfId="0" applyNumberFormat="1" applyFont="1" applyFill="1" applyBorder="1" applyAlignment="1">
      <alignment horizontal="center" vertical="center"/>
    </xf>
    <xf numFmtId="1" fontId="2" fillId="0" borderId="7" xfId="0" applyNumberFormat="1" applyFont="1" applyFill="1" applyBorder="1" applyAlignment="1">
      <alignment horizontal="center" vertical="center"/>
    </xf>
    <xf numFmtId="1" fontId="2" fillId="0" borderId="8" xfId="0" applyNumberFormat="1" applyFont="1" applyFill="1" applyBorder="1" applyAlignment="1">
      <alignment horizontal="center" vertical="center"/>
    </xf>
    <xf numFmtId="1" fontId="2" fillId="0" borderId="1" xfId="0" applyNumberFormat="1" applyFont="1" applyFill="1" applyBorder="1" applyAlignment="1">
      <alignment horizontal="center" vertical="center"/>
    </xf>
    <xf numFmtId="1" fontId="2" fillId="0" borderId="3" xfId="0" applyNumberFormat="1" applyFont="1" applyFill="1" applyBorder="1" applyAlignment="1">
      <alignment horizontal="center" vertical="center"/>
    </xf>
    <xf numFmtId="2" fontId="2" fillId="0" borderId="25" xfId="0" applyNumberFormat="1" applyFont="1" applyBorder="1"/>
    <xf numFmtId="1" fontId="2" fillId="0" borderId="27" xfId="0" applyNumberFormat="1" applyFont="1" applyFill="1" applyBorder="1" applyAlignment="1">
      <alignment horizontal="center" vertical="center"/>
    </xf>
    <xf numFmtId="2" fontId="2" fillId="0" borderId="1" xfId="0" applyNumberFormat="1" applyFont="1" applyBorder="1"/>
    <xf numFmtId="2" fontId="9" fillId="0" borderId="25" xfId="0" applyNumberFormat="1" applyFont="1" applyBorder="1" applyAlignment="1">
      <alignment horizontal="center" vertical="center"/>
    </xf>
    <xf numFmtId="2" fontId="2" fillId="0" borderId="7" xfId="0" applyNumberFormat="1" applyFont="1" applyBorder="1"/>
    <xf numFmtId="2" fontId="2" fillId="0" borderId="4" xfId="0" applyNumberFormat="1" applyFont="1" applyBorder="1"/>
    <xf numFmtId="0" fontId="0" fillId="0" borderId="0" xfId="0" quotePrefix="1"/>
    <xf numFmtId="2" fontId="2" fillId="0" borderId="0" xfId="0" quotePrefix="1" applyNumberFormat="1" applyFont="1" applyFill="1" applyBorder="1"/>
    <xf numFmtId="2" fontId="2" fillId="0" borderId="0" xfId="0" quotePrefix="1" applyNumberFormat="1" applyFont="1" applyBorder="1" applyAlignment="1">
      <alignment horizontal="center" vertical="center"/>
    </xf>
    <xf numFmtId="2" fontId="2" fillId="0" borderId="0" xfId="0" quotePrefix="1" applyNumberFormat="1" applyFont="1" applyFill="1" applyBorder="1" applyAlignment="1">
      <alignment horizontal="center" vertical="center"/>
    </xf>
    <xf numFmtId="0" fontId="9" fillId="0" borderId="0" xfId="0" applyFont="1" applyBorder="1"/>
    <xf numFmtId="1" fontId="2" fillId="0" borderId="0" xfId="0" quotePrefix="1" applyNumberFormat="1" applyFont="1" applyFill="1" applyBorder="1" applyAlignment="1">
      <alignment horizontal="center" vertical="center"/>
    </xf>
    <xf numFmtId="0" fontId="0" fillId="0" borderId="0" xfId="0" quotePrefix="1" applyBorder="1"/>
    <xf numFmtId="1" fontId="2" fillId="0" borderId="9" xfId="0" applyNumberFormat="1" applyFont="1" applyFill="1" applyBorder="1" applyAlignment="1">
      <alignment horizontal="center" vertical="center"/>
    </xf>
    <xf numFmtId="1" fontId="2" fillId="0" borderId="10" xfId="0" applyNumberFormat="1" applyFont="1" applyFill="1" applyBorder="1" applyAlignment="1">
      <alignment horizontal="center" vertical="center"/>
    </xf>
    <xf numFmtId="1" fontId="2" fillId="0" borderId="1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2" fontId="0" fillId="0" borderId="0" xfId="0" quotePrefix="1" applyNumberFormat="1" applyBorder="1" applyAlignment="1">
      <alignment horizontal="left" vertical="center"/>
    </xf>
    <xf numFmtId="2" fontId="2" fillId="0" borderId="0" xfId="0" quotePrefix="1" applyNumberFormat="1" applyFont="1" applyBorder="1" applyAlignment="1">
      <alignment horizontal="left" vertical="center"/>
    </xf>
    <xf numFmtId="0" fontId="0" fillId="0" borderId="25" xfId="0" applyBorder="1" applyAlignment="1">
      <alignment horizontal="left" vertical="center"/>
    </xf>
    <xf numFmtId="2" fontId="2" fillId="0" borderId="0" xfId="0" applyNumberFormat="1" applyFont="1"/>
  </cellXfs>
  <cellStyles count="1">
    <cellStyle name="Standard" xfId="0" builtinId="0"/>
  </cellStyles>
  <dxfs count="73"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00FFFF"/>
        </patternFill>
      </fill>
    </dxf>
    <dxf>
      <font>
        <b/>
        <i val="0"/>
      </font>
      <fill>
        <patternFill>
          <bgColor rgb="FFFF66FF"/>
        </patternFill>
      </fill>
    </dxf>
  </dxfs>
  <tableStyles count="0" defaultTableStyle="TableStyleMedium9" defaultPivotStyle="PivotStyleLight16"/>
  <colors>
    <mruColors>
      <color rgb="FF00FFFF"/>
      <color rgb="FFFF00FF"/>
      <color rgb="FFFF32FF"/>
      <color rgb="FFFF9900"/>
      <color rgb="FFF8696B"/>
      <color rgb="FFFF64FF"/>
      <color rgb="FFFF42FF"/>
      <color rgb="FF63BE7B"/>
      <color rgb="FF64FF64"/>
      <color rgb="FFFF7FF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FF64FF"/>
  </sheetPr>
  <dimension ref="A1:AE499"/>
  <sheetViews>
    <sheetView tabSelected="1" zoomScaleNormal="100" workbookViewId="0"/>
  </sheetViews>
  <sheetFormatPr baseColWidth="10" defaultColWidth="9.140625" defaultRowHeight="15" outlineLevelRow="2" outlineLevelCol="1"/>
  <cols>
    <col min="1" max="1" width="11.85546875" style="133" customWidth="1"/>
    <col min="2" max="2" width="19.28515625" style="133" bestFit="1" customWidth="1"/>
    <col min="3" max="3" width="31.7109375" style="140" customWidth="1"/>
    <col min="4" max="4" width="13.140625" style="133" customWidth="1"/>
    <col min="5" max="5" width="2.28515625" style="133" customWidth="1"/>
    <col min="6" max="13" width="9.28515625" style="133" customWidth="1"/>
    <col min="14" max="16" width="15.42578125" style="133" customWidth="1"/>
    <col min="17" max="19" width="12.42578125" style="133" customWidth="1"/>
    <col min="20" max="20" width="23.5703125" style="133" customWidth="1"/>
    <col min="21" max="23" width="13" style="133" hidden="1" customWidth="1" outlineLevel="1"/>
    <col min="24" max="24" width="24" style="133" hidden="1" customWidth="1" outlineLevel="1"/>
    <col min="25" max="25" width="18.42578125" style="197" hidden="1" customWidth="1" outlineLevel="1"/>
    <col min="26" max="26" width="21.5703125" style="197" hidden="1" customWidth="1" outlineLevel="1"/>
    <col min="27" max="27" width="11.85546875" style="133" hidden="1" customWidth="1" outlineLevel="1"/>
    <col min="28" max="28" width="14" style="133" hidden="1" customWidth="1" outlineLevel="1"/>
    <col min="29" max="29" width="13.42578125" style="133" hidden="1" customWidth="1" outlineLevel="1"/>
    <col min="30" max="30" width="14.42578125" style="133" hidden="1" customWidth="1" outlineLevel="1"/>
    <col min="31" max="31" width="9.140625" style="133" collapsed="1"/>
    <col min="32" max="16384" width="9.140625" style="133"/>
  </cols>
  <sheetData>
    <row r="1" spans="1:31" s="4" customFormat="1">
      <c r="A1" s="124"/>
      <c r="C1" s="3"/>
      <c r="F1" s="93" t="s">
        <v>0</v>
      </c>
      <c r="G1" s="94" t="s">
        <v>1</v>
      </c>
      <c r="H1" s="94" t="s">
        <v>2</v>
      </c>
      <c r="I1" s="94" t="s">
        <v>3</v>
      </c>
      <c r="J1" s="94" t="s">
        <v>4</v>
      </c>
      <c r="K1" s="94" t="s">
        <v>5</v>
      </c>
      <c r="L1" s="94" t="s">
        <v>6</v>
      </c>
      <c r="M1" s="95" t="s">
        <v>7</v>
      </c>
      <c r="N1" s="32" t="s">
        <v>118</v>
      </c>
      <c r="O1" s="40" t="s">
        <v>283</v>
      </c>
      <c r="P1" s="67"/>
      <c r="Q1" s="6"/>
      <c r="R1" s="6"/>
      <c r="S1" s="6"/>
      <c r="T1" s="6"/>
      <c r="Y1" s="70"/>
      <c r="Z1" s="1"/>
      <c r="AA1" s="35"/>
      <c r="AB1" s="22"/>
      <c r="AC1" s="35"/>
      <c r="AD1" s="36"/>
    </row>
    <row r="2" spans="1:31" s="4" customFormat="1">
      <c r="A2" s="129"/>
      <c r="C2" s="3"/>
      <c r="F2" s="98">
        <v>8</v>
      </c>
      <c r="G2" s="98">
        <v>8</v>
      </c>
      <c r="H2" s="98">
        <v>8</v>
      </c>
      <c r="I2" s="98">
        <v>8</v>
      </c>
      <c r="J2" s="98">
        <v>8</v>
      </c>
      <c r="K2" s="98">
        <v>8</v>
      </c>
      <c r="L2" s="98">
        <v>8</v>
      </c>
      <c r="M2" s="98">
        <v>8</v>
      </c>
      <c r="N2" s="5">
        <f>MUmaster+KLmaster+INmaster+CHmaster+FFmaster+GEmaster+KOmaster+KKmaster</f>
        <v>64</v>
      </c>
      <c r="O2" s="68">
        <v>20</v>
      </c>
      <c r="P2" s="6"/>
      <c r="Q2" s="6"/>
      <c r="R2" s="6"/>
      <c r="S2" s="6"/>
      <c r="T2" s="6"/>
      <c r="Y2" s="71"/>
      <c r="Z2" s="1"/>
      <c r="AA2" s="35"/>
      <c r="AB2" s="22"/>
      <c r="AC2" s="35"/>
      <c r="AD2" s="36"/>
    </row>
    <row r="3" spans="1:31" s="37" customFormat="1">
      <c r="B3" s="31"/>
      <c r="C3" s="141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Y3" s="71"/>
      <c r="Z3" s="38"/>
      <c r="AA3" s="34"/>
      <c r="AB3" s="67"/>
      <c r="AC3" s="34"/>
      <c r="AD3" s="39"/>
    </row>
    <row r="4" spans="1:31" s="37" customFormat="1">
      <c r="B4" s="31"/>
      <c r="C4" s="141"/>
      <c r="F4" s="287" t="s">
        <v>139</v>
      </c>
      <c r="G4" s="288"/>
      <c r="H4" s="288"/>
      <c r="I4" s="288"/>
      <c r="J4" s="288"/>
      <c r="K4" s="288"/>
      <c r="L4" s="288"/>
      <c r="M4" s="288"/>
      <c r="N4" s="91" t="s">
        <v>334</v>
      </c>
      <c r="O4" s="91" t="s">
        <v>154</v>
      </c>
      <c r="P4" s="130" t="s">
        <v>144</v>
      </c>
      <c r="Q4" s="91" t="s">
        <v>142</v>
      </c>
      <c r="R4" s="92" t="s">
        <v>143</v>
      </c>
      <c r="S4" s="29"/>
      <c r="T4" s="29"/>
      <c r="Y4" s="71"/>
      <c r="Z4" s="38"/>
      <c r="AA4" s="34"/>
      <c r="AB4" s="67"/>
      <c r="AC4" s="34"/>
      <c r="AD4" s="39"/>
    </row>
    <row r="5" spans="1:31" s="37" customFormat="1">
      <c r="B5" s="31"/>
      <c r="C5" s="141"/>
      <c r="F5" s="132">
        <f>MUmaster*15+IF(MUmaster&gt;14,MUmaster-14,0)*15+IF(MUmaster&gt;15,MUmaster-15,0)*15+IF(MUmaster&gt;16,MUmaster-16,0)*15+IF(MUmaster&gt;17,MUmaster-17,0)*15+IF(MUmaster&gt;18,MUmaster-18,0)*15+IF(MUmaster&gt;19,MUmaster-19,0)*15+IF(MUmaster&gt;20,MUmaster-20,0)*15+IF(MUmaster&gt;21,MUmaster-21,0)*15+IF(MUmaster&gt;22,MUmaster-22,0)*15+IF(MUmaster&gt;23,MUmaster-23,0)*15+IF(MUmaster&gt;24,MUmaster-24,0)*15-120</f>
        <v>0</v>
      </c>
      <c r="G5" s="132">
        <f>KLmaster*15+IF(KLmaster&gt;14,KLmaster-14,0)*15+IF(KLmaster&gt;15,KLmaster-15,0)*15+IF(KLmaster&gt;16,KLmaster-16,0)*15+IF(KLmaster&gt;17,KLmaster-17,0)*15+IF(KLmaster&gt;18,KLmaster-18,0)*15+IF(KLmaster&gt;19,KLmaster-19,0)*15+IF(KLmaster&gt;20,KLmaster-20,0)*15+IF(KLmaster&gt;21,KLmaster-21,0)*15+IF(KLmaster&gt;22,KLmaster-22,0)*15+IF(KLmaster&gt;23,KLmaster-23,0)*15+IF(KLmaster&gt;24,KLmaster-24,0)*15-120</f>
        <v>0</v>
      </c>
      <c r="H5" s="131">
        <f>INmaster*15+IF(INmaster&gt;14,INmaster-14,0)*15+IF(INmaster&gt;15,INmaster-15,0)*15+IF(INmaster&gt;16,INmaster-16,0)*15+IF(INmaster&gt;17,INmaster-17,0)*15+IF(INmaster&gt;18,INmaster-18,0)*15+IF(INmaster&gt;19,INmaster-19,0)*15+IF(INmaster&gt;20,INmaster-20,0)*15+IF(INmaster&gt;21,INmaster-21,0)*15+IF(INmaster&gt;22,INmaster-22,0)*15+IF(INmaster&gt;23,INmaster-23,0)*15+IF(INmaster&gt;24,INmaster-24,0)*15-120</f>
        <v>0</v>
      </c>
      <c r="I5" s="131">
        <f>CHmaster*15+IF(CHmaster&gt;14,CHmaster-14,0)*15+IF(CHmaster&gt;15,CHmaster-15,0)*15+IF(CHmaster&gt;16,CHmaster-16,0)*15+IF(CHmaster&gt;17,CHmaster-17,0)*15+IF(CHmaster&gt;18,CHmaster-18,0)*15+IF(CHmaster&gt;19,CHmaster-19,0)*15+IF(CHmaster&gt;20,CHmaster-20,0)*15+IF(CHmaster&gt;21,CHmaster-21,0)*15+IF(CHmaster&gt;22,CHmaster-22,0)*15+IF(CHmaster&gt;23,CHmaster-23,0)*15+IF(CHmaster&gt;24,CHmaster-24,0)*15-120</f>
        <v>0</v>
      </c>
      <c r="J5" s="131">
        <f>FFmaster*15+IF(FFmaster&gt;14,FFmaster-14,0)*15+IF(FFmaster&gt;15,FFmaster-15,0)*15+IF(FFmaster&gt;16,FFmaster-16,0)*15+IF(FFmaster&gt;17,FFmaster-17,0)*15+IF(FFmaster&gt;18,FFmaster-18,0)*15+IF(FFmaster&gt;19,FFmaster-19,0)*15+IF(FFmaster&gt;20,FFmaster-20,0)*15+IF(FFmaster&gt;21,FFmaster-21,0)*15+IF(FFmaster&gt;22,FFmaster-22,0)*15+IF(FFmaster&gt;23,FFmaster-23,0)*15+IF(FFmaster&gt;24,FFmaster-24,0)*15-120</f>
        <v>0</v>
      </c>
      <c r="K5" s="131">
        <f>GEmaster*15+IF(GEmaster&gt;14,GEmaster-14,0)*15+IF(GEmaster&gt;15,GEmaster-15,0)*15+IF(GEmaster&gt;16,GEmaster-16,0)*15+IF(GEmaster&gt;17,GEmaster-17,0)*15+IF(GEmaster&gt;18,GEmaster-18,0)*15+IF(GEmaster&gt;19,GEmaster-19,0)*15+IF(GEmaster&gt;20,GEmaster-20,0)*15+IF(GEmaster&gt;21,GEmaster-21,0)*15+IF(GEmaster&gt;22,GEmaster-22,0)*15+IF(GEmaster&gt;23,GEmaster-23,0)*15+IF(GEmaster&gt;24,GEmaster-24,0)*15-120</f>
        <v>0</v>
      </c>
      <c r="L5" s="131">
        <f>KOmaster*15+IF(KOmaster&gt;14,KOmaster-14,0)*15+IF(KOmaster&gt;15,KOmaster-15,0)*15+IF(KOmaster&gt;16,KOmaster-16,0)*15+IF(KOmaster&gt;17,KOmaster-17,0)*15+IF(KOmaster&gt;18,KOmaster-18,0)*15+IF(KOmaster&gt;19,KOmaster-19,0)*15+IF(KOmaster&gt;20,KOmaster-20,0)*15+IF(KOmaster&gt;21,KOmaster-21,0)*15+IF(KOmaster&gt;22,KOmaster-22,0)*15+IF(KOmaster&gt;23,KOmaster-23,0)*15+IF(KOmaster&gt;24,KOmaster-24,0)*15-120</f>
        <v>0</v>
      </c>
      <c r="M5" s="131">
        <f>KKmaster*15+IF(KKmaster&gt;14,KKmaster-14,0)*15+IF(KKmaster&gt;15,KKmaster-15,0)*15+IF(KKmaster&gt;16,KKmaster-16,0)*15+IF(KKmaster&gt;17,KKmaster-17,0)*15+IF(KKmaster&gt;18,KKmaster-18,0)*15+IF(KKmaster&gt;19,KKmaster-19,0)*15+IF(KKmaster&gt;20,KKmaster-20,0)*15+IF(KKmaster&gt;21,KKmaster-21,0)*15+IF(KKmaster&gt;22,KKmaster-22,0)*15+IF(KKmaster&gt;23,KKmaster-23,0)*15+IF(KKmaster&gt;24,KKmaster-24,0)*15-120</f>
        <v>0</v>
      </c>
      <c r="N5" s="131">
        <f>SUM(F5:M5)</f>
        <v>0</v>
      </c>
      <c r="O5" s="131">
        <f>AP_in_Talenten_master</f>
        <v>0</v>
      </c>
      <c r="P5" s="17">
        <f>AP_in_Attributen_master+AP_in_Talenten_master</f>
        <v>0</v>
      </c>
      <c r="Q5" s="99">
        <v>1100</v>
      </c>
      <c r="R5" s="131">
        <f>Q5-P5</f>
        <v>1100</v>
      </c>
      <c r="S5" s="29"/>
      <c r="T5" s="29"/>
      <c r="X5" s="34"/>
      <c r="Y5" s="71"/>
      <c r="Z5" s="38"/>
      <c r="AA5" s="34"/>
      <c r="AB5" s="67"/>
      <c r="AC5" s="34"/>
      <c r="AD5" s="39"/>
    </row>
    <row r="6" spans="1:31" s="4" customFormat="1">
      <c r="A6" s="129"/>
      <c r="C6" s="3"/>
      <c r="F6" s="6"/>
      <c r="G6" s="6"/>
      <c r="H6" s="6"/>
      <c r="I6" s="6"/>
      <c r="J6" s="6"/>
      <c r="K6" s="6"/>
      <c r="L6" s="6"/>
      <c r="M6" s="6"/>
      <c r="P6" s="6"/>
      <c r="Q6" s="6"/>
      <c r="R6" s="6"/>
      <c r="S6" s="6"/>
      <c r="T6" s="6"/>
      <c r="Y6" s="71"/>
      <c r="Z6" s="1"/>
      <c r="AA6" s="35"/>
      <c r="AB6" s="22"/>
      <c r="AC6" s="35"/>
      <c r="AD6" s="36"/>
    </row>
    <row r="7" spans="1:31" s="4" customFormat="1">
      <c r="A7" s="129"/>
      <c r="C7" s="3"/>
      <c r="F7" s="289" t="s">
        <v>126</v>
      </c>
      <c r="G7" s="290"/>
      <c r="H7" s="290"/>
      <c r="I7" s="290"/>
      <c r="J7" s="290"/>
      <c r="K7" s="290"/>
      <c r="L7" s="290"/>
      <c r="M7" s="291"/>
      <c r="N7" s="292" t="s">
        <v>151</v>
      </c>
      <c r="O7" s="293"/>
      <c r="P7" s="294"/>
      <c r="Q7" s="289" t="s">
        <v>150</v>
      </c>
      <c r="R7" s="290"/>
      <c r="S7" s="291"/>
      <c r="T7" s="101" t="s">
        <v>114</v>
      </c>
      <c r="U7" s="292" t="s">
        <v>152</v>
      </c>
      <c r="V7" s="293"/>
      <c r="W7" s="294"/>
      <c r="X7" s="14" t="s">
        <v>153</v>
      </c>
      <c r="Y7" s="72" t="s">
        <v>138</v>
      </c>
      <c r="Z7" s="41" t="s">
        <v>120</v>
      </c>
      <c r="AA7" s="42" t="s">
        <v>130</v>
      </c>
      <c r="AB7" s="78" t="s">
        <v>130</v>
      </c>
      <c r="AC7" s="42" t="s">
        <v>130</v>
      </c>
      <c r="AD7" s="43" t="s">
        <v>130</v>
      </c>
    </row>
    <row r="8" spans="1:31" s="4" customFormat="1" ht="15.75" thickBot="1">
      <c r="A8" s="129"/>
      <c r="B8" s="3"/>
      <c r="C8" s="3"/>
      <c r="D8" s="3"/>
      <c r="F8" s="132" t="s">
        <v>0</v>
      </c>
      <c r="G8" s="132" t="s">
        <v>1</v>
      </c>
      <c r="H8" s="132" t="s">
        <v>2</v>
      </c>
      <c r="I8" s="132" t="s">
        <v>3</v>
      </c>
      <c r="J8" s="132" t="s">
        <v>4</v>
      </c>
      <c r="K8" s="132" t="s">
        <v>5</v>
      </c>
      <c r="L8" s="132" t="s">
        <v>6</v>
      </c>
      <c r="M8" s="132" t="s">
        <v>7</v>
      </c>
      <c r="N8" s="33" t="s">
        <v>109</v>
      </c>
      <c r="O8" s="33" t="s">
        <v>110</v>
      </c>
      <c r="P8" s="132" t="s">
        <v>111</v>
      </c>
      <c r="Q8" s="132" t="s">
        <v>106</v>
      </c>
      <c r="R8" s="132" t="s">
        <v>107</v>
      </c>
      <c r="S8" s="132" t="s">
        <v>108</v>
      </c>
      <c r="T8" s="132" t="s">
        <v>115</v>
      </c>
      <c r="U8" s="40" t="s">
        <v>127</v>
      </c>
      <c r="V8" s="40" t="s">
        <v>128</v>
      </c>
      <c r="W8" s="40" t="s">
        <v>129</v>
      </c>
      <c r="X8" s="33" t="s">
        <v>119</v>
      </c>
      <c r="Y8" s="73" t="s">
        <v>125</v>
      </c>
      <c r="Z8" s="44" t="s">
        <v>343</v>
      </c>
      <c r="AA8" s="45" t="s">
        <v>157</v>
      </c>
      <c r="AB8" s="79" t="s">
        <v>159</v>
      </c>
      <c r="AC8" s="45" t="s">
        <v>155</v>
      </c>
      <c r="AD8" s="46" t="s">
        <v>137</v>
      </c>
    </row>
    <row r="9" spans="1:31" ht="15.75" thickBot="1">
      <c r="A9" s="135" t="s">
        <v>333</v>
      </c>
    </row>
    <row r="10" spans="1:31" outlineLevel="1">
      <c r="B10" s="134" t="s">
        <v>68</v>
      </c>
    </row>
    <row r="11" spans="1:31" hidden="1" outlineLevel="2">
      <c r="B11" s="133">
        <v>1</v>
      </c>
      <c r="C11" s="162" t="s">
        <v>281</v>
      </c>
      <c r="D11" s="126" t="str">
        <f>VLOOKUP(C11,'Talente &amp; Stuff'!C:AD,2,FALSE)</f>
        <v>--/--/--</v>
      </c>
      <c r="E11" s="158" t="str">
        <f>VLOOKUP(C11,'Talente &amp; Stuff'!C:AD,3,FALSE)</f>
        <v>-</v>
      </c>
      <c r="F11" s="152">
        <f>VLOOKUP(C11,'Talente &amp; Stuff'!C:AD,4,FALSE)</f>
        <v>0</v>
      </c>
      <c r="G11" s="118">
        <f>VLOOKUP(C11,'Talente &amp; Stuff'!C:AD,5,FALSE)</f>
        <v>0</v>
      </c>
      <c r="H11" s="118">
        <f>VLOOKUP(C11,'Talente &amp; Stuff'!C:AD,6,FALSE)</f>
        <v>0</v>
      </c>
      <c r="I11" s="118">
        <f>VLOOKUP(C11,'Talente &amp; Stuff'!C:AD,7,FALSE)</f>
        <v>0</v>
      </c>
      <c r="J11" s="118">
        <f>VLOOKUP(C11,'Talente &amp; Stuff'!C:AD,8,FALSE)</f>
        <v>0</v>
      </c>
      <c r="K11" s="118">
        <f>VLOOKUP(C11,'Talente &amp; Stuff'!C:AD,9,FALSE)</f>
        <v>0</v>
      </c>
      <c r="L11" s="118">
        <f>VLOOKUP(C11,'Talente &amp; Stuff'!C:AD,10,FALSE)</f>
        <v>0</v>
      </c>
      <c r="M11" s="92">
        <f>VLOOKUP(C11,'Talente &amp; Stuff'!C:AD,11,FALSE)</f>
        <v>0</v>
      </c>
      <c r="N11" s="154">
        <f>VLOOKUP(C11,'Talente &amp; Stuff'!C:AD,12,FALSE)</f>
        <v>0</v>
      </c>
      <c r="O11" s="116">
        <f>VLOOKUP(C11,'Talente &amp; Stuff'!C:AD,13,FALSE)</f>
        <v>0</v>
      </c>
      <c r="P11" s="92">
        <f>VLOOKUP(C11,'Talente &amp; Stuff'!C:AD,14,FALSE)</f>
        <v>0</v>
      </c>
      <c r="Q11" s="152">
        <f>VLOOKUP(C11,'Talente &amp; Stuff'!C:AD,15,FALSE)</f>
        <v>0</v>
      </c>
      <c r="R11" s="118">
        <f>VLOOKUP(C11,'Talente &amp; Stuff'!C:AD,16,FALSE)</f>
        <v>0</v>
      </c>
      <c r="S11" s="92">
        <f>VLOOKUP(C11,'Talente &amp; Stuff'!C:AD,17,FALSE)</f>
        <v>0</v>
      </c>
      <c r="T11" s="91">
        <f>VLOOKUP(C11,'Talente &amp; Stuff'!C:AD,18,FALSE)</f>
        <v>0</v>
      </c>
      <c r="U11" s="154">
        <f>VLOOKUP(C11,'Talente &amp; Stuff'!C:AD,19,FALSE)</f>
        <v>0</v>
      </c>
      <c r="V11" s="116">
        <f>VLOOKUP(C11,'Talente &amp; Stuff'!C:AD,20,FALSE)</f>
        <v>0</v>
      </c>
      <c r="W11" s="126">
        <f>VLOOKUP(C11,'Talente &amp; Stuff'!C:AD,21,FALSE)</f>
        <v>0</v>
      </c>
      <c r="X11" s="158">
        <f>VLOOKUP(C11,'Talente &amp; Stuff'!C:AD,22,FALSE)</f>
        <v>0</v>
      </c>
      <c r="Y11" s="165">
        <f t="shared" ref="Y11:Y24" si="0">VLOOKUP(C11,Ausgewählte_Talente_Körpertalente,23,FALSE)</f>
        <v>0</v>
      </c>
      <c r="Z11" s="198">
        <f t="shared" ref="Z11:Z24" si="1">VLOOKUP(C11,Ausgewählte_Talente_Körpertalente,24,FALSE)</f>
        <v>0</v>
      </c>
      <c r="AA11" s="158">
        <f>VLOOKUP(C11,'Talente &amp; Stuff'!C:AD,25,FALSE)</f>
        <v>0</v>
      </c>
      <c r="AB11" s="91">
        <f>VLOOKUP(C11,'Talente &amp; Stuff'!C:AD,26,FALSE)</f>
        <v>0</v>
      </c>
      <c r="AC11" s="126">
        <f>VLOOKUP(C11,'Talente &amp; Stuff'!C:AD,27,FALSE)</f>
        <v>0</v>
      </c>
      <c r="AD11" s="158">
        <f>VLOOKUP(C11,'Talente &amp; Stuff'!C:AD,28,FALSE)</f>
        <v>0</v>
      </c>
      <c r="AE11" s="28"/>
    </row>
    <row r="12" spans="1:31" hidden="1" outlineLevel="2">
      <c r="B12" s="133">
        <v>2</v>
      </c>
      <c r="C12" s="163" t="s">
        <v>281</v>
      </c>
      <c r="D12" s="127" t="str">
        <f>VLOOKUP(C12,'Talente &amp; Stuff'!C:AD,2,FALSE)</f>
        <v>--/--/--</v>
      </c>
      <c r="E12" s="125" t="str">
        <f>VLOOKUP(C12,'Talente &amp; Stuff'!C:AD,3,FALSE)</f>
        <v>-</v>
      </c>
      <c r="F12" s="114">
        <f>VLOOKUP(C12,'Talente &amp; Stuff'!C:AD,4,FALSE)</f>
        <v>0</v>
      </c>
      <c r="G12" s="113">
        <f>VLOOKUP(C12,'Talente &amp; Stuff'!C:AD,5,FALSE)</f>
        <v>0</v>
      </c>
      <c r="H12" s="113">
        <f>VLOOKUP(C12,'Talente &amp; Stuff'!C:AD,6,FALSE)</f>
        <v>0</v>
      </c>
      <c r="I12" s="113">
        <f>VLOOKUP(C12,'Talente &amp; Stuff'!C:AD,7,FALSE)</f>
        <v>0</v>
      </c>
      <c r="J12" s="113">
        <f>VLOOKUP(C12,'Talente &amp; Stuff'!C:AD,8,FALSE)</f>
        <v>0</v>
      </c>
      <c r="K12" s="113">
        <f>VLOOKUP(C12,'Talente &amp; Stuff'!C:AD,9,FALSE)</f>
        <v>0</v>
      </c>
      <c r="L12" s="113">
        <f>VLOOKUP(C12,'Talente &amp; Stuff'!C:AD,10,FALSE)</f>
        <v>0</v>
      </c>
      <c r="M12" s="119">
        <f>VLOOKUP(C12,'Talente &amp; Stuff'!C:AD,11,FALSE)</f>
        <v>0</v>
      </c>
      <c r="N12" s="89">
        <f>VLOOKUP(C12,'Talente &amp; Stuff'!C:AD,12,FALSE)</f>
        <v>0</v>
      </c>
      <c r="O12" s="47">
        <f>VLOOKUP(C12,'Talente &amp; Stuff'!C:AD,13,FALSE)</f>
        <v>0</v>
      </c>
      <c r="P12" s="119">
        <f>VLOOKUP(C12,'Talente &amp; Stuff'!C:AD,14,FALSE)</f>
        <v>0</v>
      </c>
      <c r="Q12" s="114">
        <f>VLOOKUP(C12,'Talente &amp; Stuff'!C:AD,15,FALSE)</f>
        <v>0</v>
      </c>
      <c r="R12" s="113">
        <f>VLOOKUP(C12,'Talente &amp; Stuff'!C:AD,16,FALSE)</f>
        <v>0</v>
      </c>
      <c r="S12" s="119">
        <f>VLOOKUP(C12,'Talente &amp; Stuff'!C:AD,17,FALSE)</f>
        <v>0</v>
      </c>
      <c r="T12" s="160">
        <f>VLOOKUP(C12,'Talente &amp; Stuff'!C:AD,18,FALSE)</f>
        <v>0</v>
      </c>
      <c r="U12" s="89">
        <f>VLOOKUP(C12,'Talente &amp; Stuff'!C:AD,19,FALSE)</f>
        <v>0</v>
      </c>
      <c r="V12" s="47">
        <f>VLOOKUP(C12,'Talente &amp; Stuff'!C:AD,20,FALSE)</f>
        <v>0</v>
      </c>
      <c r="W12" s="127">
        <f>VLOOKUP(C12,'Talente &amp; Stuff'!C:AD,21,FALSE)</f>
        <v>0</v>
      </c>
      <c r="X12" s="125">
        <f>VLOOKUP(C12,'Talente &amp; Stuff'!C:AD,22,FALSE)</f>
        <v>0</v>
      </c>
      <c r="Y12" s="165">
        <f t="shared" si="0"/>
        <v>0</v>
      </c>
      <c r="Z12" s="198">
        <f t="shared" si="1"/>
        <v>0</v>
      </c>
      <c r="AA12" s="125">
        <f>VLOOKUP(C12,'Talente &amp; Stuff'!C:AD,25,FALSE)</f>
        <v>0</v>
      </c>
      <c r="AB12" s="160">
        <f>VLOOKUP(C12,'Talente &amp; Stuff'!C:AD,26,FALSE)</f>
        <v>0</v>
      </c>
      <c r="AC12" s="127">
        <f>VLOOKUP(C12,'Talente &amp; Stuff'!C:AD,27,FALSE)</f>
        <v>0</v>
      </c>
      <c r="AD12" s="125">
        <f>VLOOKUP(C12,'Talente &amp; Stuff'!C:AD,28,FALSE)</f>
        <v>0</v>
      </c>
      <c r="AE12" s="28"/>
    </row>
    <row r="13" spans="1:31" hidden="1" outlineLevel="2">
      <c r="B13" s="133">
        <v>3</v>
      </c>
      <c r="C13" s="163" t="s">
        <v>281</v>
      </c>
      <c r="D13" s="127" t="str">
        <f>VLOOKUP(C13,'Talente &amp; Stuff'!C:AD,2,FALSE)</f>
        <v>--/--/--</v>
      </c>
      <c r="E13" s="125" t="str">
        <f>VLOOKUP(C13,'Talente &amp; Stuff'!C:AD,3,FALSE)</f>
        <v>-</v>
      </c>
      <c r="F13" s="114">
        <f>VLOOKUP(C13,'Talente &amp; Stuff'!C:AD,4,FALSE)</f>
        <v>0</v>
      </c>
      <c r="G13" s="113">
        <f>VLOOKUP(C13,'Talente &amp; Stuff'!C:AD,5,FALSE)</f>
        <v>0</v>
      </c>
      <c r="H13" s="113">
        <f>VLOOKUP(C13,'Talente &amp; Stuff'!C:AD,6,FALSE)</f>
        <v>0</v>
      </c>
      <c r="I13" s="113">
        <f>VLOOKUP(C13,'Talente &amp; Stuff'!C:AD,7,FALSE)</f>
        <v>0</v>
      </c>
      <c r="J13" s="113">
        <f>VLOOKUP(C13,'Talente &amp; Stuff'!C:AD,8,FALSE)</f>
        <v>0</v>
      </c>
      <c r="K13" s="113">
        <f>VLOOKUP(C13,'Talente &amp; Stuff'!C:AD,9,FALSE)</f>
        <v>0</v>
      </c>
      <c r="L13" s="113">
        <f>VLOOKUP(C13,'Talente &amp; Stuff'!C:AD,10,FALSE)</f>
        <v>0</v>
      </c>
      <c r="M13" s="119">
        <f>VLOOKUP(C13,'Talente &amp; Stuff'!C:AD,11,FALSE)</f>
        <v>0</v>
      </c>
      <c r="N13" s="89">
        <f>VLOOKUP(C13,'Talente &amp; Stuff'!C:AD,12,FALSE)</f>
        <v>0</v>
      </c>
      <c r="O13" s="47">
        <f>VLOOKUP(C13,'Talente &amp; Stuff'!C:AD,13,FALSE)</f>
        <v>0</v>
      </c>
      <c r="P13" s="119">
        <f>VLOOKUP(C13,'Talente &amp; Stuff'!C:AD,14,FALSE)</f>
        <v>0</v>
      </c>
      <c r="Q13" s="114">
        <f>VLOOKUP(C13,'Talente &amp; Stuff'!C:AD,15,FALSE)</f>
        <v>0</v>
      </c>
      <c r="R13" s="113">
        <f>VLOOKUP(C13,'Talente &amp; Stuff'!C:AD,16,FALSE)</f>
        <v>0</v>
      </c>
      <c r="S13" s="119">
        <f>VLOOKUP(C13,'Talente &amp; Stuff'!C:AD,17,FALSE)</f>
        <v>0</v>
      </c>
      <c r="T13" s="160">
        <f>VLOOKUP(C13,'Talente &amp; Stuff'!C:AD,18,FALSE)</f>
        <v>0</v>
      </c>
      <c r="U13" s="89">
        <f>VLOOKUP(C13,'Talente &amp; Stuff'!C:AD,19,FALSE)</f>
        <v>0</v>
      </c>
      <c r="V13" s="47">
        <f>VLOOKUP(C13,'Talente &amp; Stuff'!C:AD,20,FALSE)</f>
        <v>0</v>
      </c>
      <c r="W13" s="127">
        <f>VLOOKUP(C13,'Talente &amp; Stuff'!C:AD,21,FALSE)</f>
        <v>0</v>
      </c>
      <c r="X13" s="125">
        <f>VLOOKUP(C13,'Talente &amp; Stuff'!C:AD,22,FALSE)</f>
        <v>0</v>
      </c>
      <c r="Y13" s="165">
        <f t="shared" si="0"/>
        <v>0</v>
      </c>
      <c r="Z13" s="198">
        <f t="shared" si="1"/>
        <v>0</v>
      </c>
      <c r="AA13" s="125">
        <f>VLOOKUP(C13,'Talente &amp; Stuff'!C:AD,25,FALSE)</f>
        <v>0</v>
      </c>
      <c r="AB13" s="160">
        <f>VLOOKUP(C13,'Talente &amp; Stuff'!C:AD,26,FALSE)</f>
        <v>0</v>
      </c>
      <c r="AC13" s="127">
        <f>VLOOKUP(C13,'Talente &amp; Stuff'!C:AD,27,FALSE)</f>
        <v>0</v>
      </c>
      <c r="AD13" s="125">
        <f>VLOOKUP(C13,'Talente &amp; Stuff'!C:AD,28,FALSE)</f>
        <v>0</v>
      </c>
      <c r="AE13" s="28"/>
    </row>
    <row r="14" spans="1:31" hidden="1" outlineLevel="2">
      <c r="B14" s="133">
        <v>4</v>
      </c>
      <c r="C14" s="163" t="s">
        <v>281</v>
      </c>
      <c r="D14" s="127" t="str">
        <f>VLOOKUP(C14,'Talente &amp; Stuff'!C:AD,2,FALSE)</f>
        <v>--/--/--</v>
      </c>
      <c r="E14" s="125" t="str">
        <f>VLOOKUP(C14,'Talente &amp; Stuff'!C:AD,3,FALSE)</f>
        <v>-</v>
      </c>
      <c r="F14" s="114">
        <f>VLOOKUP(C14,'Talente &amp; Stuff'!C:AD,4,FALSE)</f>
        <v>0</v>
      </c>
      <c r="G14" s="113">
        <f>VLOOKUP(C14,'Talente &amp; Stuff'!C:AD,5,FALSE)</f>
        <v>0</v>
      </c>
      <c r="H14" s="113">
        <f>VLOOKUP(C14,'Talente &amp; Stuff'!C:AD,6,FALSE)</f>
        <v>0</v>
      </c>
      <c r="I14" s="113">
        <f>VLOOKUP(C14,'Talente &amp; Stuff'!C:AD,7,FALSE)</f>
        <v>0</v>
      </c>
      <c r="J14" s="113">
        <f>VLOOKUP(C14,'Talente &amp; Stuff'!C:AD,8,FALSE)</f>
        <v>0</v>
      </c>
      <c r="K14" s="113">
        <f>VLOOKUP(C14,'Talente &amp; Stuff'!C:AD,9,FALSE)</f>
        <v>0</v>
      </c>
      <c r="L14" s="113">
        <f>VLOOKUP(C14,'Talente &amp; Stuff'!C:AD,10,FALSE)</f>
        <v>0</v>
      </c>
      <c r="M14" s="119">
        <f>VLOOKUP(C14,'Talente &amp; Stuff'!C:AD,11,FALSE)</f>
        <v>0</v>
      </c>
      <c r="N14" s="89">
        <f>VLOOKUP(C14,'Talente &amp; Stuff'!C:AD,12,FALSE)</f>
        <v>0</v>
      </c>
      <c r="O14" s="47">
        <f>VLOOKUP(C14,'Talente &amp; Stuff'!C:AD,13,FALSE)</f>
        <v>0</v>
      </c>
      <c r="P14" s="119">
        <f>VLOOKUP(C14,'Talente &amp; Stuff'!C:AD,14,FALSE)</f>
        <v>0</v>
      </c>
      <c r="Q14" s="114">
        <f>VLOOKUP(C14,'Talente &amp; Stuff'!C:AD,15,FALSE)</f>
        <v>0</v>
      </c>
      <c r="R14" s="113">
        <f>VLOOKUP(C14,'Talente &amp; Stuff'!C:AD,16,FALSE)</f>
        <v>0</v>
      </c>
      <c r="S14" s="119">
        <f>VLOOKUP(C14,'Talente &amp; Stuff'!C:AD,17,FALSE)</f>
        <v>0</v>
      </c>
      <c r="T14" s="160">
        <f>VLOOKUP(C14,'Talente &amp; Stuff'!C:AD,18,FALSE)</f>
        <v>0</v>
      </c>
      <c r="U14" s="89">
        <f>VLOOKUP(C14,'Talente &amp; Stuff'!C:AD,19,FALSE)</f>
        <v>0</v>
      </c>
      <c r="V14" s="47">
        <f>VLOOKUP(C14,'Talente &amp; Stuff'!C:AD,20,FALSE)</f>
        <v>0</v>
      </c>
      <c r="W14" s="127">
        <f>VLOOKUP(C14,'Talente &amp; Stuff'!C:AD,21,FALSE)</f>
        <v>0</v>
      </c>
      <c r="X14" s="125">
        <f>VLOOKUP(C14,'Talente &amp; Stuff'!C:AD,22,FALSE)</f>
        <v>0</v>
      </c>
      <c r="Y14" s="165">
        <f t="shared" si="0"/>
        <v>0</v>
      </c>
      <c r="Z14" s="198">
        <f t="shared" si="1"/>
        <v>0</v>
      </c>
      <c r="AA14" s="125">
        <f>VLOOKUP(C14,'Talente &amp; Stuff'!C:AD,25,FALSE)</f>
        <v>0</v>
      </c>
      <c r="AB14" s="160">
        <f>VLOOKUP(C14,'Talente &amp; Stuff'!C:AD,26,FALSE)</f>
        <v>0</v>
      </c>
      <c r="AC14" s="127">
        <f>VLOOKUP(C14,'Talente &amp; Stuff'!C:AD,27,FALSE)</f>
        <v>0</v>
      </c>
      <c r="AD14" s="125">
        <f>VLOOKUP(C14,'Talente &amp; Stuff'!C:AD,28,FALSE)</f>
        <v>0</v>
      </c>
      <c r="AE14" s="28"/>
    </row>
    <row r="15" spans="1:31" hidden="1" outlineLevel="2">
      <c r="B15" s="133">
        <v>5</v>
      </c>
      <c r="C15" s="163" t="s">
        <v>281</v>
      </c>
      <c r="D15" s="127" t="str">
        <f>VLOOKUP(C15,'Talente &amp; Stuff'!C:AD,2,FALSE)</f>
        <v>--/--/--</v>
      </c>
      <c r="E15" s="125" t="str">
        <f>VLOOKUP(C15,'Talente &amp; Stuff'!C:AD,3,FALSE)</f>
        <v>-</v>
      </c>
      <c r="F15" s="114">
        <f>VLOOKUP(C15,'Talente &amp; Stuff'!C:AD,4,FALSE)</f>
        <v>0</v>
      </c>
      <c r="G15" s="113">
        <f>VLOOKUP(C15,'Talente &amp; Stuff'!C:AD,5,FALSE)</f>
        <v>0</v>
      </c>
      <c r="H15" s="113">
        <f>VLOOKUP(C15,'Talente &amp; Stuff'!C:AD,6,FALSE)</f>
        <v>0</v>
      </c>
      <c r="I15" s="113">
        <f>VLOOKUP(C15,'Talente &amp; Stuff'!C:AD,7,FALSE)</f>
        <v>0</v>
      </c>
      <c r="J15" s="113">
        <f>VLOOKUP(C15,'Talente &amp; Stuff'!C:AD,8,FALSE)</f>
        <v>0</v>
      </c>
      <c r="K15" s="113">
        <f>VLOOKUP(C15,'Talente &amp; Stuff'!C:AD,9,FALSE)</f>
        <v>0</v>
      </c>
      <c r="L15" s="113">
        <f>VLOOKUP(C15,'Talente &amp; Stuff'!C:AD,10,FALSE)</f>
        <v>0</v>
      </c>
      <c r="M15" s="119">
        <f>VLOOKUP(C15,'Talente &amp; Stuff'!C:AD,11,FALSE)</f>
        <v>0</v>
      </c>
      <c r="N15" s="89">
        <f>VLOOKUP(C15,'Talente &amp; Stuff'!C:AD,12,FALSE)</f>
        <v>0</v>
      </c>
      <c r="O15" s="47">
        <f>VLOOKUP(C15,'Talente &amp; Stuff'!C:AD,13,FALSE)</f>
        <v>0</v>
      </c>
      <c r="P15" s="119">
        <f>VLOOKUP(C15,'Talente &amp; Stuff'!C:AD,14,FALSE)</f>
        <v>0</v>
      </c>
      <c r="Q15" s="114">
        <f>VLOOKUP(C15,'Talente &amp; Stuff'!C:AD,15,FALSE)</f>
        <v>0</v>
      </c>
      <c r="R15" s="113">
        <f>VLOOKUP(C15,'Talente &amp; Stuff'!C:AD,16,FALSE)</f>
        <v>0</v>
      </c>
      <c r="S15" s="119">
        <f>VLOOKUP(C15,'Talente &amp; Stuff'!C:AD,17,FALSE)</f>
        <v>0</v>
      </c>
      <c r="T15" s="160">
        <f>VLOOKUP(C15,'Talente &amp; Stuff'!C:AD,18,FALSE)</f>
        <v>0</v>
      </c>
      <c r="U15" s="89">
        <f>VLOOKUP(C15,'Talente &amp; Stuff'!C:AD,19,FALSE)</f>
        <v>0</v>
      </c>
      <c r="V15" s="47">
        <f>VLOOKUP(C15,'Talente &amp; Stuff'!C:AD,20,FALSE)</f>
        <v>0</v>
      </c>
      <c r="W15" s="127">
        <f>VLOOKUP(C15,'Talente &amp; Stuff'!C:AD,21,FALSE)</f>
        <v>0</v>
      </c>
      <c r="X15" s="125">
        <f>VLOOKUP(C15,'Talente &amp; Stuff'!C:AD,22,FALSE)</f>
        <v>0</v>
      </c>
      <c r="Y15" s="165">
        <f t="shared" si="0"/>
        <v>0</v>
      </c>
      <c r="Z15" s="198">
        <f t="shared" si="1"/>
        <v>0</v>
      </c>
      <c r="AA15" s="125">
        <f>VLOOKUP(C15,'Talente &amp; Stuff'!C:AD,25,FALSE)</f>
        <v>0</v>
      </c>
      <c r="AB15" s="160">
        <f>VLOOKUP(C15,'Talente &amp; Stuff'!C:AD,26,FALSE)</f>
        <v>0</v>
      </c>
      <c r="AC15" s="127">
        <f>VLOOKUP(C15,'Talente &amp; Stuff'!C:AD,27,FALSE)</f>
        <v>0</v>
      </c>
      <c r="AD15" s="125">
        <f>VLOOKUP(C15,'Talente &amp; Stuff'!C:AD,28,FALSE)</f>
        <v>0</v>
      </c>
      <c r="AE15" s="28"/>
    </row>
    <row r="16" spans="1:31" hidden="1" outlineLevel="2">
      <c r="B16" s="133">
        <v>6</v>
      </c>
      <c r="C16" s="163" t="s">
        <v>281</v>
      </c>
      <c r="D16" s="127" t="str">
        <f>VLOOKUP(C16,'Talente &amp; Stuff'!C:AD,2,FALSE)</f>
        <v>--/--/--</v>
      </c>
      <c r="E16" s="125" t="str">
        <f>VLOOKUP(C16,'Talente &amp; Stuff'!C:AD,3,FALSE)</f>
        <v>-</v>
      </c>
      <c r="F16" s="114">
        <f>VLOOKUP(C16,'Talente &amp; Stuff'!C:AD,4,FALSE)</f>
        <v>0</v>
      </c>
      <c r="G16" s="113">
        <f>VLOOKUP(C16,'Talente &amp; Stuff'!C:AD,5,FALSE)</f>
        <v>0</v>
      </c>
      <c r="H16" s="113">
        <f>VLOOKUP(C16,'Talente &amp; Stuff'!C:AD,6,FALSE)</f>
        <v>0</v>
      </c>
      <c r="I16" s="113">
        <f>VLOOKUP(C16,'Talente &amp; Stuff'!C:AD,7,FALSE)</f>
        <v>0</v>
      </c>
      <c r="J16" s="113">
        <f>VLOOKUP(C16,'Talente &amp; Stuff'!C:AD,8,FALSE)</f>
        <v>0</v>
      </c>
      <c r="K16" s="113">
        <f>VLOOKUP(C16,'Talente &amp; Stuff'!C:AD,9,FALSE)</f>
        <v>0</v>
      </c>
      <c r="L16" s="113">
        <f>VLOOKUP(C16,'Talente &amp; Stuff'!C:AD,10,FALSE)</f>
        <v>0</v>
      </c>
      <c r="M16" s="119">
        <f>VLOOKUP(C16,'Talente &amp; Stuff'!C:AD,11,FALSE)</f>
        <v>0</v>
      </c>
      <c r="N16" s="89">
        <f>VLOOKUP(C16,'Talente &amp; Stuff'!C:AD,12,FALSE)</f>
        <v>0</v>
      </c>
      <c r="O16" s="47">
        <f>VLOOKUP(C16,'Talente &amp; Stuff'!C:AD,13,FALSE)</f>
        <v>0</v>
      </c>
      <c r="P16" s="119">
        <f>VLOOKUP(C16,'Talente &amp; Stuff'!C:AD,14,FALSE)</f>
        <v>0</v>
      </c>
      <c r="Q16" s="114">
        <f>VLOOKUP(C16,'Talente &amp; Stuff'!C:AD,15,FALSE)</f>
        <v>0</v>
      </c>
      <c r="R16" s="113">
        <f>VLOOKUP(C16,'Talente &amp; Stuff'!C:AD,16,FALSE)</f>
        <v>0</v>
      </c>
      <c r="S16" s="119">
        <f>VLOOKUP(C16,'Talente &amp; Stuff'!C:AD,17,FALSE)</f>
        <v>0</v>
      </c>
      <c r="T16" s="160">
        <f>VLOOKUP(C16,'Talente &amp; Stuff'!C:AD,18,FALSE)</f>
        <v>0</v>
      </c>
      <c r="U16" s="89">
        <f>VLOOKUP(C16,'Talente &amp; Stuff'!C:AD,19,FALSE)</f>
        <v>0</v>
      </c>
      <c r="V16" s="47">
        <f>VLOOKUP(C16,'Talente &amp; Stuff'!C:AD,20,FALSE)</f>
        <v>0</v>
      </c>
      <c r="W16" s="127">
        <f>VLOOKUP(C16,'Talente &amp; Stuff'!C:AD,21,FALSE)</f>
        <v>0</v>
      </c>
      <c r="X16" s="125">
        <f>VLOOKUP(C16,'Talente &amp; Stuff'!C:AD,22,FALSE)</f>
        <v>0</v>
      </c>
      <c r="Y16" s="165">
        <f t="shared" si="0"/>
        <v>0</v>
      </c>
      <c r="Z16" s="198">
        <f t="shared" si="1"/>
        <v>0</v>
      </c>
      <c r="AA16" s="125">
        <f>VLOOKUP(C16,'Talente &amp; Stuff'!C:AD,25,FALSE)</f>
        <v>0</v>
      </c>
      <c r="AB16" s="160">
        <f>VLOOKUP(C16,'Talente &amp; Stuff'!C:AD,26,FALSE)</f>
        <v>0</v>
      </c>
      <c r="AC16" s="127">
        <f>VLOOKUP(C16,'Talente &amp; Stuff'!C:AD,27,FALSE)</f>
        <v>0</v>
      </c>
      <c r="AD16" s="125">
        <f>VLOOKUP(C16,'Talente &amp; Stuff'!C:AD,28,FALSE)</f>
        <v>0</v>
      </c>
      <c r="AE16" s="28"/>
    </row>
    <row r="17" spans="2:31" hidden="1" outlineLevel="2">
      <c r="B17" s="133">
        <v>7</v>
      </c>
      <c r="C17" s="163" t="s">
        <v>281</v>
      </c>
      <c r="D17" s="127" t="str">
        <f>VLOOKUP(C17,'Talente &amp; Stuff'!C:AD,2,FALSE)</f>
        <v>--/--/--</v>
      </c>
      <c r="E17" s="125" t="str">
        <f>VLOOKUP(C17,'Talente &amp; Stuff'!C:AD,3,FALSE)</f>
        <v>-</v>
      </c>
      <c r="F17" s="114">
        <f>VLOOKUP(C17,'Talente &amp; Stuff'!C:AD,4,FALSE)</f>
        <v>0</v>
      </c>
      <c r="G17" s="113">
        <f>VLOOKUP(C17,'Talente &amp; Stuff'!C:AD,5,FALSE)</f>
        <v>0</v>
      </c>
      <c r="H17" s="113">
        <f>VLOOKUP(C17,'Talente &amp; Stuff'!C:AD,6,FALSE)</f>
        <v>0</v>
      </c>
      <c r="I17" s="113">
        <f>VLOOKUP(C17,'Talente &amp; Stuff'!C:AD,7,FALSE)</f>
        <v>0</v>
      </c>
      <c r="J17" s="113">
        <f>VLOOKUP(C17,'Talente &amp; Stuff'!C:AD,8,FALSE)</f>
        <v>0</v>
      </c>
      <c r="K17" s="113">
        <f>VLOOKUP(C17,'Talente &amp; Stuff'!C:AD,9,FALSE)</f>
        <v>0</v>
      </c>
      <c r="L17" s="113">
        <f>VLOOKUP(C17,'Talente &amp; Stuff'!C:AD,10,FALSE)</f>
        <v>0</v>
      </c>
      <c r="M17" s="119">
        <f>VLOOKUP(C17,'Talente &amp; Stuff'!C:AD,11,FALSE)</f>
        <v>0</v>
      </c>
      <c r="N17" s="89">
        <f>VLOOKUP(C17,'Talente &amp; Stuff'!C:AD,12,FALSE)</f>
        <v>0</v>
      </c>
      <c r="O17" s="47">
        <f>VLOOKUP(C17,'Talente &amp; Stuff'!C:AD,13,FALSE)</f>
        <v>0</v>
      </c>
      <c r="P17" s="119">
        <f>VLOOKUP(C17,'Talente &amp; Stuff'!C:AD,14,FALSE)</f>
        <v>0</v>
      </c>
      <c r="Q17" s="114">
        <f>VLOOKUP(C17,'Talente &amp; Stuff'!C:AD,15,FALSE)</f>
        <v>0</v>
      </c>
      <c r="R17" s="113">
        <f>VLOOKUP(C17,'Talente &amp; Stuff'!C:AD,16,FALSE)</f>
        <v>0</v>
      </c>
      <c r="S17" s="119">
        <f>VLOOKUP(C17,'Talente &amp; Stuff'!C:AD,17,FALSE)</f>
        <v>0</v>
      </c>
      <c r="T17" s="160">
        <f>VLOOKUP(C17,'Talente &amp; Stuff'!C:AD,18,FALSE)</f>
        <v>0</v>
      </c>
      <c r="U17" s="89">
        <f>VLOOKUP(C17,'Talente &amp; Stuff'!C:AD,19,FALSE)</f>
        <v>0</v>
      </c>
      <c r="V17" s="47">
        <f>VLOOKUP(C17,'Talente &amp; Stuff'!C:AD,20,FALSE)</f>
        <v>0</v>
      </c>
      <c r="W17" s="127">
        <f>VLOOKUP(C17,'Talente &amp; Stuff'!C:AD,21,FALSE)</f>
        <v>0</v>
      </c>
      <c r="X17" s="125">
        <f>VLOOKUP(C17,'Talente &amp; Stuff'!C:AD,22,FALSE)</f>
        <v>0</v>
      </c>
      <c r="Y17" s="165">
        <f t="shared" si="0"/>
        <v>0</v>
      </c>
      <c r="Z17" s="198">
        <f t="shared" si="1"/>
        <v>0</v>
      </c>
      <c r="AA17" s="125">
        <f>VLOOKUP(C17,'Talente &amp; Stuff'!C:AD,25,FALSE)</f>
        <v>0</v>
      </c>
      <c r="AB17" s="160">
        <f>VLOOKUP(C17,'Talente &amp; Stuff'!C:AD,26,FALSE)</f>
        <v>0</v>
      </c>
      <c r="AC17" s="127">
        <f>VLOOKUP(C17,'Talente &amp; Stuff'!C:AD,27,FALSE)</f>
        <v>0</v>
      </c>
      <c r="AD17" s="125">
        <f>VLOOKUP(C17,'Talente &amp; Stuff'!C:AD,28,FALSE)</f>
        <v>0</v>
      </c>
      <c r="AE17" s="28"/>
    </row>
    <row r="18" spans="2:31" hidden="1" outlineLevel="2">
      <c r="B18" s="133">
        <v>8</v>
      </c>
      <c r="C18" s="163" t="s">
        <v>281</v>
      </c>
      <c r="D18" s="127" t="str">
        <f>VLOOKUP(C18,'Talente &amp; Stuff'!C:AD,2,FALSE)</f>
        <v>--/--/--</v>
      </c>
      <c r="E18" s="125" t="str">
        <f>VLOOKUP(C18,'Talente &amp; Stuff'!C:AD,3,FALSE)</f>
        <v>-</v>
      </c>
      <c r="F18" s="114">
        <f>VLOOKUP(C18,'Talente &amp; Stuff'!C:AD,4,FALSE)</f>
        <v>0</v>
      </c>
      <c r="G18" s="113">
        <f>VLOOKUP(C18,'Talente &amp; Stuff'!C:AD,5,FALSE)</f>
        <v>0</v>
      </c>
      <c r="H18" s="113">
        <f>VLOOKUP(C18,'Talente &amp; Stuff'!C:AD,6,FALSE)</f>
        <v>0</v>
      </c>
      <c r="I18" s="113">
        <f>VLOOKUP(C18,'Talente &amp; Stuff'!C:AD,7,FALSE)</f>
        <v>0</v>
      </c>
      <c r="J18" s="113">
        <f>VLOOKUP(C18,'Talente &amp; Stuff'!C:AD,8,FALSE)</f>
        <v>0</v>
      </c>
      <c r="K18" s="113">
        <f>VLOOKUP(C18,'Talente &amp; Stuff'!C:AD,9,FALSE)</f>
        <v>0</v>
      </c>
      <c r="L18" s="113">
        <f>VLOOKUP(C18,'Talente &amp; Stuff'!C:AD,10,FALSE)</f>
        <v>0</v>
      </c>
      <c r="M18" s="119">
        <f>VLOOKUP(C18,'Talente &amp; Stuff'!C:AD,11,FALSE)</f>
        <v>0</v>
      </c>
      <c r="N18" s="89">
        <f>VLOOKUP(C18,'Talente &amp; Stuff'!C:AD,12,FALSE)</f>
        <v>0</v>
      </c>
      <c r="O18" s="47">
        <f>VLOOKUP(C18,'Talente &amp; Stuff'!C:AD,13,FALSE)</f>
        <v>0</v>
      </c>
      <c r="P18" s="119">
        <f>VLOOKUP(C18,'Talente &amp; Stuff'!C:AD,14,FALSE)</f>
        <v>0</v>
      </c>
      <c r="Q18" s="114">
        <f>VLOOKUP(C18,'Talente &amp; Stuff'!C:AD,15,FALSE)</f>
        <v>0</v>
      </c>
      <c r="R18" s="113">
        <f>VLOOKUP(C18,'Talente &amp; Stuff'!C:AD,16,FALSE)</f>
        <v>0</v>
      </c>
      <c r="S18" s="119">
        <f>VLOOKUP(C18,'Talente &amp; Stuff'!C:AD,17,FALSE)</f>
        <v>0</v>
      </c>
      <c r="T18" s="160">
        <f>VLOOKUP(C18,'Talente &amp; Stuff'!C:AD,18,FALSE)</f>
        <v>0</v>
      </c>
      <c r="U18" s="89">
        <f>VLOOKUP(C18,'Talente &amp; Stuff'!C:AD,19,FALSE)</f>
        <v>0</v>
      </c>
      <c r="V18" s="47">
        <f>VLOOKUP(C18,'Talente &amp; Stuff'!C:AD,20,FALSE)</f>
        <v>0</v>
      </c>
      <c r="W18" s="127">
        <f>VLOOKUP(C18,'Talente &amp; Stuff'!C:AD,21,FALSE)</f>
        <v>0</v>
      </c>
      <c r="X18" s="125">
        <f>VLOOKUP(C18,'Talente &amp; Stuff'!C:AD,22,FALSE)</f>
        <v>0</v>
      </c>
      <c r="Y18" s="165">
        <f t="shared" si="0"/>
        <v>0</v>
      </c>
      <c r="Z18" s="198">
        <f t="shared" si="1"/>
        <v>0</v>
      </c>
      <c r="AA18" s="125">
        <f>VLOOKUP(C18,'Talente &amp; Stuff'!C:AD,25,FALSE)</f>
        <v>0</v>
      </c>
      <c r="AB18" s="160">
        <f>VLOOKUP(C18,'Talente &amp; Stuff'!C:AD,26,FALSE)</f>
        <v>0</v>
      </c>
      <c r="AC18" s="127">
        <f>VLOOKUP(C18,'Talente &amp; Stuff'!C:AD,27,FALSE)</f>
        <v>0</v>
      </c>
      <c r="AD18" s="125">
        <f>VLOOKUP(C18,'Talente &amp; Stuff'!C:AD,28,FALSE)</f>
        <v>0</v>
      </c>
      <c r="AE18" s="28"/>
    </row>
    <row r="19" spans="2:31" hidden="1" outlineLevel="2">
      <c r="B19" s="133">
        <v>9</v>
      </c>
      <c r="C19" s="163" t="s">
        <v>281</v>
      </c>
      <c r="D19" s="127" t="str">
        <f>VLOOKUP(C19,'Talente &amp; Stuff'!C:AD,2,FALSE)</f>
        <v>--/--/--</v>
      </c>
      <c r="E19" s="125" t="str">
        <f>VLOOKUP(C19,'Talente &amp; Stuff'!C:AD,3,FALSE)</f>
        <v>-</v>
      </c>
      <c r="F19" s="114">
        <f>VLOOKUP(C19,'Talente &amp; Stuff'!C:AD,4,FALSE)</f>
        <v>0</v>
      </c>
      <c r="G19" s="113">
        <f>VLOOKUP(C19,'Talente &amp; Stuff'!C:AD,5,FALSE)</f>
        <v>0</v>
      </c>
      <c r="H19" s="113">
        <f>VLOOKUP(C19,'Talente &amp; Stuff'!C:AD,6,FALSE)</f>
        <v>0</v>
      </c>
      <c r="I19" s="113">
        <f>VLOOKUP(C19,'Talente &amp; Stuff'!C:AD,7,FALSE)</f>
        <v>0</v>
      </c>
      <c r="J19" s="113">
        <f>VLOOKUP(C19,'Talente &amp; Stuff'!C:AD,8,FALSE)</f>
        <v>0</v>
      </c>
      <c r="K19" s="113">
        <f>VLOOKUP(C19,'Talente &amp; Stuff'!C:AD,9,FALSE)</f>
        <v>0</v>
      </c>
      <c r="L19" s="113">
        <f>VLOOKUP(C19,'Talente &amp; Stuff'!C:AD,10,FALSE)</f>
        <v>0</v>
      </c>
      <c r="M19" s="119">
        <f>VLOOKUP(C19,'Talente &amp; Stuff'!C:AD,11,FALSE)</f>
        <v>0</v>
      </c>
      <c r="N19" s="89">
        <f>VLOOKUP(C19,'Talente &amp; Stuff'!C:AD,12,FALSE)</f>
        <v>0</v>
      </c>
      <c r="O19" s="47">
        <f>VLOOKUP(C19,'Talente &amp; Stuff'!C:AD,13,FALSE)</f>
        <v>0</v>
      </c>
      <c r="P19" s="119">
        <f>VLOOKUP(C19,'Talente &amp; Stuff'!C:AD,14,FALSE)</f>
        <v>0</v>
      </c>
      <c r="Q19" s="114">
        <f>VLOOKUP(C19,'Talente &amp; Stuff'!C:AD,15,FALSE)</f>
        <v>0</v>
      </c>
      <c r="R19" s="113">
        <f>VLOOKUP(C19,'Talente &amp; Stuff'!C:AD,16,FALSE)</f>
        <v>0</v>
      </c>
      <c r="S19" s="119">
        <f>VLOOKUP(C19,'Talente &amp; Stuff'!C:AD,17,FALSE)</f>
        <v>0</v>
      </c>
      <c r="T19" s="160">
        <f>VLOOKUP(C19,'Talente &amp; Stuff'!C:AD,18,FALSE)</f>
        <v>0</v>
      </c>
      <c r="U19" s="89">
        <f>VLOOKUP(C19,'Talente &amp; Stuff'!C:AD,19,FALSE)</f>
        <v>0</v>
      </c>
      <c r="V19" s="47">
        <f>VLOOKUP(C19,'Talente &amp; Stuff'!C:AD,20,FALSE)</f>
        <v>0</v>
      </c>
      <c r="W19" s="127">
        <f>VLOOKUP(C19,'Talente &amp; Stuff'!C:AD,21,FALSE)</f>
        <v>0</v>
      </c>
      <c r="X19" s="125">
        <f>VLOOKUP(C19,'Talente &amp; Stuff'!C:AD,22,FALSE)</f>
        <v>0</v>
      </c>
      <c r="Y19" s="165">
        <f t="shared" si="0"/>
        <v>0</v>
      </c>
      <c r="Z19" s="198">
        <f t="shared" si="1"/>
        <v>0</v>
      </c>
      <c r="AA19" s="125">
        <f>VLOOKUP(C19,'Talente &amp; Stuff'!C:AD,25,FALSE)</f>
        <v>0</v>
      </c>
      <c r="AB19" s="160">
        <f>VLOOKUP(C19,'Talente &amp; Stuff'!C:AD,26,FALSE)</f>
        <v>0</v>
      </c>
      <c r="AC19" s="127">
        <f>VLOOKUP(C19,'Talente &amp; Stuff'!C:AD,27,FALSE)</f>
        <v>0</v>
      </c>
      <c r="AD19" s="125">
        <f>VLOOKUP(C19,'Talente &amp; Stuff'!C:AD,28,FALSE)</f>
        <v>0</v>
      </c>
      <c r="AE19" s="28"/>
    </row>
    <row r="20" spans="2:31" hidden="1" outlineLevel="2">
      <c r="B20" s="133">
        <v>10</v>
      </c>
      <c r="C20" s="163" t="s">
        <v>281</v>
      </c>
      <c r="D20" s="127" t="str">
        <f>VLOOKUP(C20,'Talente &amp; Stuff'!C:AD,2,FALSE)</f>
        <v>--/--/--</v>
      </c>
      <c r="E20" s="125" t="str">
        <f>VLOOKUP(C20,'Talente &amp; Stuff'!C:AD,3,FALSE)</f>
        <v>-</v>
      </c>
      <c r="F20" s="114">
        <f>VLOOKUP(C20,'Talente &amp; Stuff'!C:AD,4,FALSE)</f>
        <v>0</v>
      </c>
      <c r="G20" s="113">
        <f>VLOOKUP(C20,'Talente &amp; Stuff'!C:AD,5,FALSE)</f>
        <v>0</v>
      </c>
      <c r="H20" s="113">
        <f>VLOOKUP(C20,'Talente &amp; Stuff'!C:AD,6,FALSE)</f>
        <v>0</v>
      </c>
      <c r="I20" s="113">
        <f>VLOOKUP(C20,'Talente &amp; Stuff'!C:AD,7,FALSE)</f>
        <v>0</v>
      </c>
      <c r="J20" s="113">
        <f>VLOOKUP(C20,'Talente &amp; Stuff'!C:AD,8,FALSE)</f>
        <v>0</v>
      </c>
      <c r="K20" s="113">
        <f>VLOOKUP(C20,'Talente &amp; Stuff'!C:AD,9,FALSE)</f>
        <v>0</v>
      </c>
      <c r="L20" s="113">
        <f>VLOOKUP(C20,'Talente &amp; Stuff'!C:AD,10,FALSE)</f>
        <v>0</v>
      </c>
      <c r="M20" s="119">
        <f>VLOOKUP(C20,'Talente &amp; Stuff'!C:AD,11,FALSE)</f>
        <v>0</v>
      </c>
      <c r="N20" s="89">
        <f>VLOOKUP(C20,'Talente &amp; Stuff'!C:AD,12,FALSE)</f>
        <v>0</v>
      </c>
      <c r="O20" s="47">
        <f>VLOOKUP(C20,'Talente &amp; Stuff'!C:AD,13,FALSE)</f>
        <v>0</v>
      </c>
      <c r="P20" s="119">
        <f>VLOOKUP(C20,'Talente &amp; Stuff'!C:AD,14,FALSE)</f>
        <v>0</v>
      </c>
      <c r="Q20" s="114">
        <f>VLOOKUP(C20,'Talente &amp; Stuff'!C:AD,15,FALSE)</f>
        <v>0</v>
      </c>
      <c r="R20" s="113">
        <f>VLOOKUP(C20,'Talente &amp; Stuff'!C:AD,16,FALSE)</f>
        <v>0</v>
      </c>
      <c r="S20" s="119">
        <f>VLOOKUP(C20,'Talente &amp; Stuff'!C:AD,17,FALSE)</f>
        <v>0</v>
      </c>
      <c r="T20" s="160">
        <f>VLOOKUP(C20,'Talente &amp; Stuff'!C:AD,18,FALSE)</f>
        <v>0</v>
      </c>
      <c r="U20" s="89">
        <f>VLOOKUP(C20,'Talente &amp; Stuff'!C:AD,19,FALSE)</f>
        <v>0</v>
      </c>
      <c r="V20" s="47">
        <f>VLOOKUP(C20,'Talente &amp; Stuff'!C:AD,20,FALSE)</f>
        <v>0</v>
      </c>
      <c r="W20" s="127">
        <f>VLOOKUP(C20,'Talente &amp; Stuff'!C:AD,21,FALSE)</f>
        <v>0</v>
      </c>
      <c r="X20" s="125">
        <f>VLOOKUP(C20,'Talente &amp; Stuff'!C:AD,22,FALSE)</f>
        <v>0</v>
      </c>
      <c r="Y20" s="165">
        <f t="shared" si="0"/>
        <v>0</v>
      </c>
      <c r="Z20" s="198">
        <f t="shared" si="1"/>
        <v>0</v>
      </c>
      <c r="AA20" s="125">
        <f>VLOOKUP(C20,'Talente &amp; Stuff'!C:AD,25,FALSE)</f>
        <v>0</v>
      </c>
      <c r="AB20" s="160">
        <f>VLOOKUP(C20,'Talente &amp; Stuff'!C:AD,26,FALSE)</f>
        <v>0</v>
      </c>
      <c r="AC20" s="127">
        <f>VLOOKUP(C20,'Talente &amp; Stuff'!C:AD,27,FALSE)</f>
        <v>0</v>
      </c>
      <c r="AD20" s="125">
        <f>VLOOKUP(C20,'Talente &amp; Stuff'!C:AD,28,FALSE)</f>
        <v>0</v>
      </c>
      <c r="AE20" s="28"/>
    </row>
    <row r="21" spans="2:31" hidden="1" outlineLevel="2">
      <c r="B21" s="133">
        <v>11</v>
      </c>
      <c r="C21" s="163" t="s">
        <v>281</v>
      </c>
      <c r="D21" s="127" t="str">
        <f>VLOOKUP(C21,'Talente &amp; Stuff'!C:AD,2,FALSE)</f>
        <v>--/--/--</v>
      </c>
      <c r="E21" s="125" t="str">
        <f>VLOOKUP(C21,'Talente &amp; Stuff'!C:AD,3,FALSE)</f>
        <v>-</v>
      </c>
      <c r="F21" s="114">
        <f>VLOOKUP(C21,'Talente &amp; Stuff'!C:AD,4,FALSE)</f>
        <v>0</v>
      </c>
      <c r="G21" s="113">
        <f>VLOOKUP(C21,'Talente &amp; Stuff'!C:AD,5,FALSE)</f>
        <v>0</v>
      </c>
      <c r="H21" s="113">
        <f>VLOOKUP(C21,'Talente &amp; Stuff'!C:AD,6,FALSE)</f>
        <v>0</v>
      </c>
      <c r="I21" s="113">
        <f>VLOOKUP(C21,'Talente &amp; Stuff'!C:AD,7,FALSE)</f>
        <v>0</v>
      </c>
      <c r="J21" s="113">
        <f>VLOOKUP(C21,'Talente &amp; Stuff'!C:AD,8,FALSE)</f>
        <v>0</v>
      </c>
      <c r="K21" s="113">
        <f>VLOOKUP(C21,'Talente &amp; Stuff'!C:AD,9,FALSE)</f>
        <v>0</v>
      </c>
      <c r="L21" s="113">
        <f>VLOOKUP(C21,'Talente &amp; Stuff'!C:AD,10,FALSE)</f>
        <v>0</v>
      </c>
      <c r="M21" s="119">
        <f>VLOOKUP(C21,'Talente &amp; Stuff'!C:AD,11,FALSE)</f>
        <v>0</v>
      </c>
      <c r="N21" s="89">
        <f>VLOOKUP(C21,'Talente &amp; Stuff'!C:AD,12,FALSE)</f>
        <v>0</v>
      </c>
      <c r="O21" s="47">
        <f>VLOOKUP(C21,'Talente &amp; Stuff'!C:AD,13,FALSE)</f>
        <v>0</v>
      </c>
      <c r="P21" s="119">
        <f>VLOOKUP(C21,'Talente &amp; Stuff'!C:AD,14,FALSE)</f>
        <v>0</v>
      </c>
      <c r="Q21" s="114">
        <f>VLOOKUP(C21,'Talente &amp; Stuff'!C:AD,15,FALSE)</f>
        <v>0</v>
      </c>
      <c r="R21" s="113">
        <f>VLOOKUP(C21,'Talente &amp; Stuff'!C:AD,16,FALSE)</f>
        <v>0</v>
      </c>
      <c r="S21" s="119">
        <f>VLOOKUP(C21,'Talente &amp; Stuff'!C:AD,17,FALSE)</f>
        <v>0</v>
      </c>
      <c r="T21" s="160">
        <f>VLOOKUP(C21,'Talente &amp; Stuff'!C:AD,18,FALSE)</f>
        <v>0</v>
      </c>
      <c r="U21" s="89">
        <f>VLOOKUP(C21,'Talente &amp; Stuff'!C:AD,19,FALSE)</f>
        <v>0</v>
      </c>
      <c r="V21" s="47">
        <f>VLOOKUP(C21,'Talente &amp; Stuff'!C:AD,20,FALSE)</f>
        <v>0</v>
      </c>
      <c r="W21" s="127">
        <f>VLOOKUP(C21,'Talente &amp; Stuff'!C:AD,21,FALSE)</f>
        <v>0</v>
      </c>
      <c r="X21" s="125">
        <f>VLOOKUP(C21,'Talente &amp; Stuff'!C:AD,22,FALSE)</f>
        <v>0</v>
      </c>
      <c r="Y21" s="165">
        <f t="shared" si="0"/>
        <v>0</v>
      </c>
      <c r="Z21" s="198">
        <f t="shared" si="1"/>
        <v>0</v>
      </c>
      <c r="AA21" s="125">
        <f>VLOOKUP(C21,'Talente &amp; Stuff'!C:AD,25,FALSE)</f>
        <v>0</v>
      </c>
      <c r="AB21" s="160">
        <f>VLOOKUP(C21,'Talente &amp; Stuff'!C:AD,26,FALSE)</f>
        <v>0</v>
      </c>
      <c r="AC21" s="127">
        <f>VLOOKUP(C21,'Talente &amp; Stuff'!C:AD,27,FALSE)</f>
        <v>0</v>
      </c>
      <c r="AD21" s="125">
        <f>VLOOKUP(C21,'Talente &amp; Stuff'!C:AD,28,FALSE)</f>
        <v>0</v>
      </c>
      <c r="AE21" s="28"/>
    </row>
    <row r="22" spans="2:31" hidden="1" outlineLevel="2">
      <c r="B22" s="133">
        <v>12</v>
      </c>
      <c r="C22" s="163" t="s">
        <v>281</v>
      </c>
      <c r="D22" s="127" t="str">
        <f>VLOOKUP(C22,'Talente &amp; Stuff'!C:AD,2,FALSE)</f>
        <v>--/--/--</v>
      </c>
      <c r="E22" s="125" t="str">
        <f>VLOOKUP(C22,'Talente &amp; Stuff'!C:AD,3,FALSE)</f>
        <v>-</v>
      </c>
      <c r="F22" s="114">
        <f>VLOOKUP(C22,'Talente &amp; Stuff'!C:AD,4,FALSE)</f>
        <v>0</v>
      </c>
      <c r="G22" s="113">
        <f>VLOOKUP(C22,'Talente &amp; Stuff'!C:AD,5,FALSE)</f>
        <v>0</v>
      </c>
      <c r="H22" s="113">
        <f>VLOOKUP(C22,'Talente &amp; Stuff'!C:AD,6,FALSE)</f>
        <v>0</v>
      </c>
      <c r="I22" s="113">
        <f>VLOOKUP(C22,'Talente &amp; Stuff'!C:AD,7,FALSE)</f>
        <v>0</v>
      </c>
      <c r="J22" s="113">
        <f>VLOOKUP(C22,'Talente &amp; Stuff'!C:AD,8,FALSE)</f>
        <v>0</v>
      </c>
      <c r="K22" s="113">
        <f>VLOOKUP(C22,'Talente &amp; Stuff'!C:AD,9,FALSE)</f>
        <v>0</v>
      </c>
      <c r="L22" s="113">
        <f>VLOOKUP(C22,'Talente &amp; Stuff'!C:AD,10,FALSE)</f>
        <v>0</v>
      </c>
      <c r="M22" s="119">
        <f>VLOOKUP(C22,'Talente &amp; Stuff'!C:AD,11,FALSE)</f>
        <v>0</v>
      </c>
      <c r="N22" s="89">
        <f>VLOOKUP(C22,'Talente &amp; Stuff'!C:AD,12,FALSE)</f>
        <v>0</v>
      </c>
      <c r="O22" s="47">
        <f>VLOOKUP(C22,'Talente &amp; Stuff'!C:AD,13,FALSE)</f>
        <v>0</v>
      </c>
      <c r="P22" s="119">
        <f>VLOOKUP(C22,'Talente &amp; Stuff'!C:AD,14,FALSE)</f>
        <v>0</v>
      </c>
      <c r="Q22" s="114">
        <f>VLOOKUP(C22,'Talente &amp; Stuff'!C:AD,15,FALSE)</f>
        <v>0</v>
      </c>
      <c r="R22" s="113">
        <f>VLOOKUP(C22,'Talente &amp; Stuff'!C:AD,16,FALSE)</f>
        <v>0</v>
      </c>
      <c r="S22" s="119">
        <f>VLOOKUP(C22,'Talente &amp; Stuff'!C:AD,17,FALSE)</f>
        <v>0</v>
      </c>
      <c r="T22" s="160">
        <f>VLOOKUP(C22,'Talente &amp; Stuff'!C:AD,18,FALSE)</f>
        <v>0</v>
      </c>
      <c r="U22" s="89">
        <f>VLOOKUP(C22,'Talente &amp; Stuff'!C:AD,19,FALSE)</f>
        <v>0</v>
      </c>
      <c r="V22" s="47">
        <f>VLOOKUP(C22,'Talente &amp; Stuff'!C:AD,20,FALSE)</f>
        <v>0</v>
      </c>
      <c r="W22" s="127">
        <f>VLOOKUP(C22,'Talente &amp; Stuff'!C:AD,21,FALSE)</f>
        <v>0</v>
      </c>
      <c r="X22" s="125">
        <f>VLOOKUP(C22,'Talente &amp; Stuff'!C:AD,22,FALSE)</f>
        <v>0</v>
      </c>
      <c r="Y22" s="165">
        <f t="shared" si="0"/>
        <v>0</v>
      </c>
      <c r="Z22" s="198">
        <f t="shared" si="1"/>
        <v>0</v>
      </c>
      <c r="AA22" s="125">
        <f>VLOOKUP(C22,'Talente &amp; Stuff'!C:AD,25,FALSE)</f>
        <v>0</v>
      </c>
      <c r="AB22" s="160">
        <f>VLOOKUP(C22,'Talente &amp; Stuff'!C:AD,26,FALSE)</f>
        <v>0</v>
      </c>
      <c r="AC22" s="127">
        <f>VLOOKUP(C22,'Talente &amp; Stuff'!C:AD,27,FALSE)</f>
        <v>0</v>
      </c>
      <c r="AD22" s="125">
        <f>VLOOKUP(C22,'Talente &amp; Stuff'!C:AD,28,FALSE)</f>
        <v>0</v>
      </c>
      <c r="AE22" s="28"/>
    </row>
    <row r="23" spans="2:31" hidden="1" outlineLevel="2">
      <c r="B23" s="133">
        <v>13</v>
      </c>
      <c r="C23" s="163" t="s">
        <v>281</v>
      </c>
      <c r="D23" s="127" t="str">
        <f>VLOOKUP(C23,'Talente &amp; Stuff'!C:AD,2,FALSE)</f>
        <v>--/--/--</v>
      </c>
      <c r="E23" s="125" t="str">
        <f>VLOOKUP(C23,'Talente &amp; Stuff'!C:AD,3,FALSE)</f>
        <v>-</v>
      </c>
      <c r="F23" s="114">
        <f>VLOOKUP(C23,'Talente &amp; Stuff'!C:AD,4,FALSE)</f>
        <v>0</v>
      </c>
      <c r="G23" s="113">
        <f>VLOOKUP(C23,'Talente &amp; Stuff'!C:AD,5,FALSE)</f>
        <v>0</v>
      </c>
      <c r="H23" s="113">
        <f>VLOOKUP(C23,'Talente &amp; Stuff'!C:AD,6,FALSE)</f>
        <v>0</v>
      </c>
      <c r="I23" s="113">
        <f>VLOOKUP(C23,'Talente &amp; Stuff'!C:AD,7,FALSE)</f>
        <v>0</v>
      </c>
      <c r="J23" s="113">
        <f>VLOOKUP(C23,'Talente &amp; Stuff'!C:AD,8,FALSE)</f>
        <v>0</v>
      </c>
      <c r="K23" s="113">
        <f>VLOOKUP(C23,'Talente &amp; Stuff'!C:AD,9,FALSE)</f>
        <v>0</v>
      </c>
      <c r="L23" s="113">
        <f>VLOOKUP(C23,'Talente &amp; Stuff'!C:AD,10,FALSE)</f>
        <v>0</v>
      </c>
      <c r="M23" s="119">
        <f>VLOOKUP(C23,'Talente &amp; Stuff'!C:AD,11,FALSE)</f>
        <v>0</v>
      </c>
      <c r="N23" s="89">
        <f>VLOOKUP(C23,'Talente &amp; Stuff'!C:AD,12,FALSE)</f>
        <v>0</v>
      </c>
      <c r="O23" s="47">
        <f>VLOOKUP(C23,'Talente &amp; Stuff'!C:AD,13,FALSE)</f>
        <v>0</v>
      </c>
      <c r="P23" s="119">
        <f>VLOOKUP(C23,'Talente &amp; Stuff'!C:AD,14,FALSE)</f>
        <v>0</v>
      </c>
      <c r="Q23" s="114">
        <f>VLOOKUP(C23,'Talente &amp; Stuff'!C:AD,15,FALSE)</f>
        <v>0</v>
      </c>
      <c r="R23" s="113">
        <f>VLOOKUP(C23,'Talente &amp; Stuff'!C:AD,16,FALSE)</f>
        <v>0</v>
      </c>
      <c r="S23" s="119">
        <f>VLOOKUP(C23,'Talente &amp; Stuff'!C:AD,17,FALSE)</f>
        <v>0</v>
      </c>
      <c r="T23" s="160">
        <f>VLOOKUP(C23,'Talente &amp; Stuff'!C:AD,18,FALSE)</f>
        <v>0</v>
      </c>
      <c r="U23" s="89">
        <f>VLOOKUP(C23,'Talente &amp; Stuff'!C:AD,19,FALSE)</f>
        <v>0</v>
      </c>
      <c r="V23" s="47">
        <f>VLOOKUP(C23,'Talente &amp; Stuff'!C:AD,20,FALSE)</f>
        <v>0</v>
      </c>
      <c r="W23" s="127">
        <f>VLOOKUP(C23,'Talente &amp; Stuff'!C:AD,21,FALSE)</f>
        <v>0</v>
      </c>
      <c r="X23" s="125">
        <f>VLOOKUP(C23,'Talente &amp; Stuff'!C:AD,22,FALSE)</f>
        <v>0</v>
      </c>
      <c r="Y23" s="165">
        <f t="shared" si="0"/>
        <v>0</v>
      </c>
      <c r="Z23" s="198">
        <f t="shared" si="1"/>
        <v>0</v>
      </c>
      <c r="AA23" s="125">
        <f>VLOOKUP(C23,'Talente &amp; Stuff'!C:AD,25,FALSE)</f>
        <v>0</v>
      </c>
      <c r="AB23" s="160">
        <f>VLOOKUP(C23,'Talente &amp; Stuff'!C:AD,26,FALSE)</f>
        <v>0</v>
      </c>
      <c r="AC23" s="127">
        <f>VLOOKUP(C23,'Talente &amp; Stuff'!C:AD,27,FALSE)</f>
        <v>0</v>
      </c>
      <c r="AD23" s="125">
        <f>VLOOKUP(C23,'Talente &amp; Stuff'!C:AD,28,FALSE)</f>
        <v>0</v>
      </c>
      <c r="AE23" s="28"/>
    </row>
    <row r="24" spans="2:31" hidden="1" outlineLevel="2">
      <c r="B24" s="133">
        <v>14</v>
      </c>
      <c r="C24" s="164" t="s">
        <v>281</v>
      </c>
      <c r="D24" s="128" t="str">
        <f>VLOOKUP(C24,'Talente &amp; Stuff'!C:AD,2,FALSE)</f>
        <v>--/--/--</v>
      </c>
      <c r="E24" s="159" t="str">
        <f>VLOOKUP(C24,'Talente &amp; Stuff'!C:AD,3,FALSE)</f>
        <v>-</v>
      </c>
      <c r="F24" s="115">
        <f>VLOOKUP(C24,'Talente &amp; Stuff'!C:AD,4,FALSE)</f>
        <v>0</v>
      </c>
      <c r="G24" s="122">
        <f>VLOOKUP(C24,'Talente &amp; Stuff'!C:AD,5,FALSE)</f>
        <v>0</v>
      </c>
      <c r="H24" s="122">
        <f>VLOOKUP(C24,'Talente &amp; Stuff'!C:AD,6,FALSE)</f>
        <v>0</v>
      </c>
      <c r="I24" s="122">
        <f>VLOOKUP(C24,'Talente &amp; Stuff'!C:AD,7,FALSE)</f>
        <v>0</v>
      </c>
      <c r="J24" s="122">
        <f>VLOOKUP(C24,'Talente &amp; Stuff'!C:AD,8,FALSE)</f>
        <v>0</v>
      </c>
      <c r="K24" s="122">
        <f>VLOOKUP(C24,'Talente &amp; Stuff'!C:AD,9,FALSE)</f>
        <v>0</v>
      </c>
      <c r="L24" s="122">
        <f>VLOOKUP(C24,'Talente &amp; Stuff'!C:AD,10,FALSE)</f>
        <v>0</v>
      </c>
      <c r="M24" s="123">
        <f>VLOOKUP(C24,'Talente &amp; Stuff'!C:AD,11,FALSE)</f>
        <v>0</v>
      </c>
      <c r="N24" s="90">
        <f>VLOOKUP(C24,'Talente &amp; Stuff'!C:AD,12,FALSE)</f>
        <v>0</v>
      </c>
      <c r="O24" s="88">
        <f>VLOOKUP(C24,'Talente &amp; Stuff'!C:AD,13,FALSE)</f>
        <v>0</v>
      </c>
      <c r="P24" s="123">
        <f>VLOOKUP(C24,'Talente &amp; Stuff'!C:AD,14,FALSE)</f>
        <v>0</v>
      </c>
      <c r="Q24" s="115">
        <f>VLOOKUP(C24,'Talente &amp; Stuff'!C:AD,15,FALSE)</f>
        <v>0</v>
      </c>
      <c r="R24" s="122">
        <f>VLOOKUP(C24,'Talente &amp; Stuff'!C:AD,16,FALSE)</f>
        <v>0</v>
      </c>
      <c r="S24" s="123">
        <f>VLOOKUP(C24,'Talente &amp; Stuff'!C:AD,17,FALSE)</f>
        <v>0</v>
      </c>
      <c r="T24" s="161">
        <f>VLOOKUP(C24,'Talente &amp; Stuff'!C:AD,18,FALSE)</f>
        <v>0</v>
      </c>
      <c r="U24" s="90">
        <f>VLOOKUP(C24,'Talente &amp; Stuff'!C:AD,19,FALSE)</f>
        <v>0</v>
      </c>
      <c r="V24" s="88">
        <f>VLOOKUP(C24,'Talente &amp; Stuff'!C:AD,20,FALSE)</f>
        <v>0</v>
      </c>
      <c r="W24" s="128">
        <f>VLOOKUP(C24,'Talente &amp; Stuff'!C:AD,21,FALSE)</f>
        <v>0</v>
      </c>
      <c r="X24" s="159">
        <f>VLOOKUP(C24,'Talente &amp; Stuff'!C:AD,22,FALSE)</f>
        <v>0</v>
      </c>
      <c r="Y24" s="165">
        <f t="shared" si="0"/>
        <v>0</v>
      </c>
      <c r="Z24" s="198">
        <f t="shared" si="1"/>
        <v>0</v>
      </c>
      <c r="AA24" s="159">
        <f>VLOOKUP(C24,'Talente &amp; Stuff'!C:AD,25,FALSE)</f>
        <v>0</v>
      </c>
      <c r="AB24" s="161">
        <f>VLOOKUP(C24,'Talente &amp; Stuff'!C:AD,26,FALSE)</f>
        <v>0</v>
      </c>
      <c r="AC24" s="128">
        <f>VLOOKUP(C24,'Talente &amp; Stuff'!C:AD,27,FALSE)</f>
        <v>0</v>
      </c>
      <c r="AD24" s="159">
        <f>VLOOKUP(C24,'Talente &amp; Stuff'!C:AD,28,FALSE)</f>
        <v>0</v>
      </c>
      <c r="AE24" s="28"/>
    </row>
    <row r="25" spans="2:31" outlineLevel="1" collapsed="1">
      <c r="B25" s="134" t="s">
        <v>278</v>
      </c>
      <c r="C25" s="83"/>
      <c r="D25" s="84"/>
      <c r="E25" s="84"/>
      <c r="F25" s="30"/>
      <c r="G25" s="30"/>
      <c r="H25" s="30"/>
      <c r="I25" s="30"/>
      <c r="J25" s="30"/>
      <c r="K25" s="30"/>
      <c r="L25" s="30"/>
      <c r="M25" s="30"/>
      <c r="N25" s="31"/>
      <c r="O25" s="31"/>
      <c r="P25" s="30"/>
      <c r="Q25" s="30"/>
      <c r="R25" s="30"/>
      <c r="S25" s="30"/>
      <c r="T25" s="30"/>
      <c r="U25" s="31"/>
      <c r="V25" s="31"/>
      <c r="W25" s="31"/>
      <c r="X25" s="31"/>
      <c r="Y25" s="65"/>
    </row>
    <row r="26" spans="2:31" hidden="1" outlineLevel="2">
      <c r="B26" s="133">
        <v>1</v>
      </c>
      <c r="C26" s="162" t="s">
        <v>281</v>
      </c>
      <c r="D26" s="126" t="str">
        <f>VLOOKUP(C26,'Talente &amp; Stuff'!C:AD,2,FALSE)</f>
        <v>--/--/--</v>
      </c>
      <c r="E26" s="158" t="str">
        <f>VLOOKUP(C26,'Talente &amp; Stuff'!C:AD,3,FALSE)</f>
        <v>-</v>
      </c>
      <c r="F26" s="152">
        <f>VLOOKUP(C26,'Talente &amp; Stuff'!C:AD,4,FALSE)</f>
        <v>0</v>
      </c>
      <c r="G26" s="118">
        <f>VLOOKUP(C26,'Talente &amp; Stuff'!C:AD,5,FALSE)</f>
        <v>0</v>
      </c>
      <c r="H26" s="118">
        <f>VLOOKUP(C26,'Talente &amp; Stuff'!C:AD,6,FALSE)</f>
        <v>0</v>
      </c>
      <c r="I26" s="118">
        <f>VLOOKUP(C26,'Talente &amp; Stuff'!C:AD,7,FALSE)</f>
        <v>0</v>
      </c>
      <c r="J26" s="118">
        <f>VLOOKUP(C26,'Talente &amp; Stuff'!C:AD,8,FALSE)</f>
        <v>0</v>
      </c>
      <c r="K26" s="118">
        <f>VLOOKUP(C26,'Talente &amp; Stuff'!C:AD,9,FALSE)</f>
        <v>0</v>
      </c>
      <c r="L26" s="118">
        <f>VLOOKUP(C26,'Talente &amp; Stuff'!C:AD,10,FALSE)</f>
        <v>0</v>
      </c>
      <c r="M26" s="92">
        <f>VLOOKUP(C26,'Talente &amp; Stuff'!C:AD,11,FALSE)</f>
        <v>0</v>
      </c>
      <c r="N26" s="154">
        <f>VLOOKUP(C26,'Talente &amp; Stuff'!C:AD,12,FALSE)</f>
        <v>0</v>
      </c>
      <c r="O26" s="116">
        <f>VLOOKUP(C26,'Talente &amp; Stuff'!C:AD,13,FALSE)</f>
        <v>0</v>
      </c>
      <c r="P26" s="92">
        <f>VLOOKUP(C26,'Talente &amp; Stuff'!C:AD,14,FALSE)</f>
        <v>0</v>
      </c>
      <c r="Q26" s="152">
        <f>VLOOKUP(C26,'Talente &amp; Stuff'!C:AD,15,FALSE)</f>
        <v>0</v>
      </c>
      <c r="R26" s="118">
        <f>VLOOKUP(C26,'Talente &amp; Stuff'!C:AD,16,FALSE)</f>
        <v>0</v>
      </c>
      <c r="S26" s="92">
        <f>VLOOKUP(C26,'Talente &amp; Stuff'!C:AD,17,FALSE)</f>
        <v>0</v>
      </c>
      <c r="T26" s="91">
        <f>VLOOKUP(C26,'Talente &amp; Stuff'!C:AD,18,FALSE)</f>
        <v>0</v>
      </c>
      <c r="U26" s="154">
        <f>VLOOKUP(C26,'Talente &amp; Stuff'!C:AD,19,FALSE)</f>
        <v>0</v>
      </c>
      <c r="V26" s="116">
        <f>VLOOKUP(C26,'Talente &amp; Stuff'!C:AD,20,FALSE)</f>
        <v>0</v>
      </c>
      <c r="W26" s="126">
        <f>VLOOKUP(C26,'Talente &amp; Stuff'!C:AD,21,FALSE)</f>
        <v>0</v>
      </c>
      <c r="X26" s="158">
        <f>VLOOKUP(C26,'Talente &amp; Stuff'!C:AD,22,FALSE)</f>
        <v>0</v>
      </c>
      <c r="Y26" s="165">
        <f t="shared" ref="Y26:Y34" si="2">VLOOKUP(C26,Ausgewählte_Talente_Gesellschaftstalente,23,FALSE)</f>
        <v>0</v>
      </c>
      <c r="Z26" s="198">
        <f t="shared" ref="Z26:Z34" si="3">VLOOKUP(C26,Ausgewählte_Talente_Gesellschaftstalente,24,FALSE)</f>
        <v>0</v>
      </c>
      <c r="AA26" s="158">
        <f>VLOOKUP(C26,'Talente &amp; Stuff'!C:AD,25,FALSE)</f>
        <v>0</v>
      </c>
      <c r="AB26" s="91">
        <f>VLOOKUP(C26,'Talente &amp; Stuff'!C:AD,26,FALSE)</f>
        <v>0</v>
      </c>
      <c r="AC26" s="126">
        <f>VLOOKUP(C26,'Talente &amp; Stuff'!C:AD,27,FALSE)</f>
        <v>0</v>
      </c>
      <c r="AD26" s="158">
        <f>VLOOKUP(C26,'Talente &amp; Stuff'!C:AD,28,FALSE)</f>
        <v>0</v>
      </c>
      <c r="AE26" s="28"/>
    </row>
    <row r="27" spans="2:31" hidden="1" outlineLevel="2">
      <c r="B27" s="133">
        <v>2</v>
      </c>
      <c r="C27" s="163" t="s">
        <v>281</v>
      </c>
      <c r="D27" s="127" t="str">
        <f>VLOOKUP(C27,'Talente &amp; Stuff'!C:AD,2,FALSE)</f>
        <v>--/--/--</v>
      </c>
      <c r="E27" s="125" t="str">
        <f>VLOOKUP(C27,'Talente &amp; Stuff'!C:AD,3,FALSE)</f>
        <v>-</v>
      </c>
      <c r="F27" s="114">
        <f>VLOOKUP(C27,'Talente &amp; Stuff'!C:AD,4,FALSE)</f>
        <v>0</v>
      </c>
      <c r="G27" s="113">
        <f>VLOOKUP(C27,'Talente &amp; Stuff'!C:AD,5,FALSE)</f>
        <v>0</v>
      </c>
      <c r="H27" s="113">
        <f>VLOOKUP(C27,'Talente &amp; Stuff'!C:AD,6,FALSE)</f>
        <v>0</v>
      </c>
      <c r="I27" s="113">
        <f>VLOOKUP(C27,'Talente &amp; Stuff'!C:AD,7,FALSE)</f>
        <v>0</v>
      </c>
      <c r="J27" s="113">
        <f>VLOOKUP(C27,'Talente &amp; Stuff'!C:AD,8,FALSE)</f>
        <v>0</v>
      </c>
      <c r="K27" s="113">
        <f>VLOOKUP(C27,'Talente &amp; Stuff'!C:AD,9,FALSE)</f>
        <v>0</v>
      </c>
      <c r="L27" s="113">
        <f>VLOOKUP(C27,'Talente &amp; Stuff'!C:AD,10,FALSE)</f>
        <v>0</v>
      </c>
      <c r="M27" s="119">
        <f>VLOOKUP(C27,'Talente &amp; Stuff'!C:AD,11,FALSE)</f>
        <v>0</v>
      </c>
      <c r="N27" s="89">
        <f>VLOOKUP(C27,'Talente &amp; Stuff'!C:AD,12,FALSE)</f>
        <v>0</v>
      </c>
      <c r="O27" s="47">
        <f>VLOOKUP(C27,'Talente &amp; Stuff'!C:AD,13,FALSE)</f>
        <v>0</v>
      </c>
      <c r="P27" s="119">
        <f>VLOOKUP(C27,'Talente &amp; Stuff'!C:AD,14,FALSE)</f>
        <v>0</v>
      </c>
      <c r="Q27" s="114">
        <f>VLOOKUP(C27,'Talente &amp; Stuff'!C:AD,15,FALSE)</f>
        <v>0</v>
      </c>
      <c r="R27" s="113">
        <f>VLOOKUP(C27,'Talente &amp; Stuff'!C:AD,16,FALSE)</f>
        <v>0</v>
      </c>
      <c r="S27" s="119">
        <f>VLOOKUP(C27,'Talente &amp; Stuff'!C:AD,17,FALSE)</f>
        <v>0</v>
      </c>
      <c r="T27" s="160">
        <f>VLOOKUP(C27,'Talente &amp; Stuff'!C:AD,18,FALSE)</f>
        <v>0</v>
      </c>
      <c r="U27" s="89">
        <f>VLOOKUP(C27,'Talente &amp; Stuff'!C:AD,19,FALSE)</f>
        <v>0</v>
      </c>
      <c r="V27" s="47">
        <f>VLOOKUP(C27,'Talente &amp; Stuff'!C:AD,20,FALSE)</f>
        <v>0</v>
      </c>
      <c r="W27" s="127">
        <f>VLOOKUP(C27,'Talente &amp; Stuff'!C:AD,21,FALSE)</f>
        <v>0</v>
      </c>
      <c r="X27" s="125">
        <f>VLOOKUP(C27,'Talente &amp; Stuff'!C:AD,22,FALSE)</f>
        <v>0</v>
      </c>
      <c r="Y27" s="165">
        <f t="shared" si="2"/>
        <v>0</v>
      </c>
      <c r="Z27" s="198">
        <f t="shared" si="3"/>
        <v>0</v>
      </c>
      <c r="AA27" s="125">
        <f>VLOOKUP(C27,'Talente &amp; Stuff'!C:AD,25,FALSE)</f>
        <v>0</v>
      </c>
      <c r="AB27" s="160">
        <f>VLOOKUP(C27,'Talente &amp; Stuff'!C:AD,26,FALSE)</f>
        <v>0</v>
      </c>
      <c r="AC27" s="127">
        <f>VLOOKUP(C27,'Talente &amp; Stuff'!C:AD,27,FALSE)</f>
        <v>0</v>
      </c>
      <c r="AD27" s="125">
        <f>VLOOKUP(C27,'Talente &amp; Stuff'!C:AD,28,FALSE)</f>
        <v>0</v>
      </c>
      <c r="AE27" s="28"/>
    </row>
    <row r="28" spans="2:31" hidden="1" outlineLevel="2">
      <c r="B28" s="133">
        <v>3</v>
      </c>
      <c r="C28" s="163" t="s">
        <v>281</v>
      </c>
      <c r="D28" s="127" t="str">
        <f>VLOOKUP(C28,'Talente &amp; Stuff'!C:AD,2,FALSE)</f>
        <v>--/--/--</v>
      </c>
      <c r="E28" s="125" t="str">
        <f>VLOOKUP(C28,'Talente &amp; Stuff'!C:AD,3,FALSE)</f>
        <v>-</v>
      </c>
      <c r="F28" s="114">
        <f>VLOOKUP(C28,'Talente &amp; Stuff'!C:AD,4,FALSE)</f>
        <v>0</v>
      </c>
      <c r="G28" s="113">
        <f>VLOOKUP(C28,'Talente &amp; Stuff'!C:AD,5,FALSE)</f>
        <v>0</v>
      </c>
      <c r="H28" s="113">
        <f>VLOOKUP(C28,'Talente &amp; Stuff'!C:AD,6,FALSE)</f>
        <v>0</v>
      </c>
      <c r="I28" s="113">
        <f>VLOOKUP(C28,'Talente &amp; Stuff'!C:AD,7,FALSE)</f>
        <v>0</v>
      </c>
      <c r="J28" s="113">
        <f>VLOOKUP(C28,'Talente &amp; Stuff'!C:AD,8,FALSE)</f>
        <v>0</v>
      </c>
      <c r="K28" s="113">
        <f>VLOOKUP(C28,'Talente &amp; Stuff'!C:AD,9,FALSE)</f>
        <v>0</v>
      </c>
      <c r="L28" s="113">
        <f>VLOOKUP(C28,'Talente &amp; Stuff'!C:AD,10,FALSE)</f>
        <v>0</v>
      </c>
      <c r="M28" s="119">
        <f>VLOOKUP(C28,'Talente &amp; Stuff'!C:AD,11,FALSE)</f>
        <v>0</v>
      </c>
      <c r="N28" s="89">
        <f>VLOOKUP(C28,'Talente &amp; Stuff'!C:AD,12,FALSE)</f>
        <v>0</v>
      </c>
      <c r="O28" s="47">
        <f>VLOOKUP(C28,'Talente &amp; Stuff'!C:AD,13,FALSE)</f>
        <v>0</v>
      </c>
      <c r="P28" s="119">
        <f>VLOOKUP(C28,'Talente &amp; Stuff'!C:AD,14,FALSE)</f>
        <v>0</v>
      </c>
      <c r="Q28" s="114">
        <f>VLOOKUP(C28,'Talente &amp; Stuff'!C:AD,15,FALSE)</f>
        <v>0</v>
      </c>
      <c r="R28" s="113">
        <f>VLOOKUP(C28,'Talente &amp; Stuff'!C:AD,16,FALSE)</f>
        <v>0</v>
      </c>
      <c r="S28" s="119">
        <f>VLOOKUP(C28,'Talente &amp; Stuff'!C:AD,17,FALSE)</f>
        <v>0</v>
      </c>
      <c r="T28" s="160">
        <f>VLOOKUP(C28,'Talente &amp; Stuff'!C:AD,18,FALSE)</f>
        <v>0</v>
      </c>
      <c r="U28" s="89">
        <f>VLOOKUP(C28,'Talente &amp; Stuff'!C:AD,19,FALSE)</f>
        <v>0</v>
      </c>
      <c r="V28" s="47">
        <f>VLOOKUP(C28,'Talente &amp; Stuff'!C:AD,20,FALSE)</f>
        <v>0</v>
      </c>
      <c r="W28" s="127">
        <f>VLOOKUP(C28,'Talente &amp; Stuff'!C:AD,21,FALSE)</f>
        <v>0</v>
      </c>
      <c r="X28" s="125">
        <f>VLOOKUP(C28,'Talente &amp; Stuff'!C:AD,22,FALSE)</f>
        <v>0</v>
      </c>
      <c r="Y28" s="165">
        <f t="shared" si="2"/>
        <v>0</v>
      </c>
      <c r="Z28" s="198">
        <f t="shared" si="3"/>
        <v>0</v>
      </c>
      <c r="AA28" s="125">
        <f>VLOOKUP(C28,'Talente &amp; Stuff'!C:AD,25,FALSE)</f>
        <v>0</v>
      </c>
      <c r="AB28" s="160">
        <f>VLOOKUP(C28,'Talente &amp; Stuff'!C:AD,26,FALSE)</f>
        <v>0</v>
      </c>
      <c r="AC28" s="127">
        <f>VLOOKUP(C28,'Talente &amp; Stuff'!C:AD,27,FALSE)</f>
        <v>0</v>
      </c>
      <c r="AD28" s="125">
        <f>VLOOKUP(C28,'Talente &amp; Stuff'!C:AD,28,FALSE)</f>
        <v>0</v>
      </c>
      <c r="AE28" s="28"/>
    </row>
    <row r="29" spans="2:31" hidden="1" outlineLevel="2">
      <c r="B29" s="133">
        <v>4</v>
      </c>
      <c r="C29" s="163" t="s">
        <v>281</v>
      </c>
      <c r="D29" s="127" t="str">
        <f>VLOOKUP(C29,'Talente &amp; Stuff'!C:AD,2,FALSE)</f>
        <v>--/--/--</v>
      </c>
      <c r="E29" s="125" t="str">
        <f>VLOOKUP(C29,'Talente &amp; Stuff'!C:AD,3,FALSE)</f>
        <v>-</v>
      </c>
      <c r="F29" s="114">
        <f>VLOOKUP(C29,'Talente &amp; Stuff'!C:AD,4,FALSE)</f>
        <v>0</v>
      </c>
      <c r="G29" s="113">
        <f>VLOOKUP(C29,'Talente &amp; Stuff'!C:AD,5,FALSE)</f>
        <v>0</v>
      </c>
      <c r="H29" s="113">
        <f>VLOOKUP(C29,'Talente &amp; Stuff'!C:AD,6,FALSE)</f>
        <v>0</v>
      </c>
      <c r="I29" s="113">
        <f>VLOOKUP(C29,'Talente &amp; Stuff'!C:AD,7,FALSE)</f>
        <v>0</v>
      </c>
      <c r="J29" s="113">
        <f>VLOOKUP(C29,'Talente &amp; Stuff'!C:AD,8,FALSE)</f>
        <v>0</v>
      </c>
      <c r="K29" s="113">
        <f>VLOOKUP(C29,'Talente &amp; Stuff'!C:AD,9,FALSE)</f>
        <v>0</v>
      </c>
      <c r="L29" s="113">
        <f>VLOOKUP(C29,'Talente &amp; Stuff'!C:AD,10,FALSE)</f>
        <v>0</v>
      </c>
      <c r="M29" s="119">
        <f>VLOOKUP(C29,'Talente &amp; Stuff'!C:AD,11,FALSE)</f>
        <v>0</v>
      </c>
      <c r="N29" s="89">
        <f>VLOOKUP(C29,'Talente &amp; Stuff'!C:AD,12,FALSE)</f>
        <v>0</v>
      </c>
      <c r="O29" s="47">
        <f>VLOOKUP(C29,'Talente &amp; Stuff'!C:AD,13,FALSE)</f>
        <v>0</v>
      </c>
      <c r="P29" s="119">
        <f>VLOOKUP(C29,'Talente &amp; Stuff'!C:AD,14,FALSE)</f>
        <v>0</v>
      </c>
      <c r="Q29" s="114">
        <f>VLOOKUP(C29,'Talente &amp; Stuff'!C:AD,15,FALSE)</f>
        <v>0</v>
      </c>
      <c r="R29" s="113">
        <f>VLOOKUP(C29,'Talente &amp; Stuff'!C:AD,16,FALSE)</f>
        <v>0</v>
      </c>
      <c r="S29" s="119">
        <f>VLOOKUP(C29,'Talente &amp; Stuff'!C:AD,17,FALSE)</f>
        <v>0</v>
      </c>
      <c r="T29" s="160">
        <f>VLOOKUP(C29,'Talente &amp; Stuff'!C:AD,18,FALSE)</f>
        <v>0</v>
      </c>
      <c r="U29" s="89">
        <f>VLOOKUP(C29,'Talente &amp; Stuff'!C:AD,19,FALSE)</f>
        <v>0</v>
      </c>
      <c r="V29" s="47">
        <f>VLOOKUP(C29,'Talente &amp; Stuff'!C:AD,20,FALSE)</f>
        <v>0</v>
      </c>
      <c r="W29" s="127">
        <f>VLOOKUP(C29,'Talente &amp; Stuff'!C:AD,21,FALSE)</f>
        <v>0</v>
      </c>
      <c r="X29" s="125">
        <f>VLOOKUP(C29,'Talente &amp; Stuff'!C:AD,22,FALSE)</f>
        <v>0</v>
      </c>
      <c r="Y29" s="165">
        <f t="shared" si="2"/>
        <v>0</v>
      </c>
      <c r="Z29" s="198">
        <f t="shared" si="3"/>
        <v>0</v>
      </c>
      <c r="AA29" s="125">
        <f>VLOOKUP(C29,'Talente &amp; Stuff'!C:AD,25,FALSE)</f>
        <v>0</v>
      </c>
      <c r="AB29" s="160">
        <f>VLOOKUP(C29,'Talente &amp; Stuff'!C:AD,26,FALSE)</f>
        <v>0</v>
      </c>
      <c r="AC29" s="127">
        <f>VLOOKUP(C29,'Talente &amp; Stuff'!C:AD,27,FALSE)</f>
        <v>0</v>
      </c>
      <c r="AD29" s="125">
        <f>VLOOKUP(C29,'Talente &amp; Stuff'!C:AD,28,FALSE)</f>
        <v>0</v>
      </c>
      <c r="AE29" s="28"/>
    </row>
    <row r="30" spans="2:31" hidden="1" outlineLevel="2">
      <c r="B30" s="133">
        <v>5</v>
      </c>
      <c r="C30" s="163" t="s">
        <v>281</v>
      </c>
      <c r="D30" s="127" t="str">
        <f>VLOOKUP(C30,'Talente &amp; Stuff'!C:AD,2,FALSE)</f>
        <v>--/--/--</v>
      </c>
      <c r="E30" s="125" t="str">
        <f>VLOOKUP(C30,'Talente &amp; Stuff'!C:AD,3,FALSE)</f>
        <v>-</v>
      </c>
      <c r="F30" s="114">
        <f>VLOOKUP(C30,'Talente &amp; Stuff'!C:AD,4,FALSE)</f>
        <v>0</v>
      </c>
      <c r="G30" s="113">
        <f>VLOOKUP(C30,'Talente &amp; Stuff'!C:AD,5,FALSE)</f>
        <v>0</v>
      </c>
      <c r="H30" s="113">
        <f>VLOOKUP(C30,'Talente &amp; Stuff'!C:AD,6,FALSE)</f>
        <v>0</v>
      </c>
      <c r="I30" s="113">
        <f>VLOOKUP(C30,'Talente &amp; Stuff'!C:AD,7,FALSE)</f>
        <v>0</v>
      </c>
      <c r="J30" s="113">
        <f>VLOOKUP(C30,'Talente &amp; Stuff'!C:AD,8,FALSE)</f>
        <v>0</v>
      </c>
      <c r="K30" s="113">
        <f>VLOOKUP(C30,'Talente &amp; Stuff'!C:AD,9,FALSE)</f>
        <v>0</v>
      </c>
      <c r="L30" s="113">
        <f>VLOOKUP(C30,'Talente &amp; Stuff'!C:AD,10,FALSE)</f>
        <v>0</v>
      </c>
      <c r="M30" s="119">
        <f>VLOOKUP(C30,'Talente &amp; Stuff'!C:AD,11,FALSE)</f>
        <v>0</v>
      </c>
      <c r="N30" s="89">
        <f>VLOOKUP(C30,'Talente &amp; Stuff'!C:AD,12,FALSE)</f>
        <v>0</v>
      </c>
      <c r="O30" s="47">
        <f>VLOOKUP(C30,'Talente &amp; Stuff'!C:AD,13,FALSE)</f>
        <v>0</v>
      </c>
      <c r="P30" s="119">
        <f>VLOOKUP(C30,'Talente &amp; Stuff'!C:AD,14,FALSE)</f>
        <v>0</v>
      </c>
      <c r="Q30" s="114">
        <f>VLOOKUP(C30,'Talente &amp; Stuff'!C:AD,15,FALSE)</f>
        <v>0</v>
      </c>
      <c r="R30" s="113">
        <f>VLOOKUP(C30,'Talente &amp; Stuff'!C:AD,16,FALSE)</f>
        <v>0</v>
      </c>
      <c r="S30" s="119">
        <f>VLOOKUP(C30,'Talente &amp; Stuff'!C:AD,17,FALSE)</f>
        <v>0</v>
      </c>
      <c r="T30" s="160">
        <f>VLOOKUP(C30,'Talente &amp; Stuff'!C:AD,18,FALSE)</f>
        <v>0</v>
      </c>
      <c r="U30" s="89">
        <f>VLOOKUP(C30,'Talente &amp; Stuff'!C:AD,19,FALSE)</f>
        <v>0</v>
      </c>
      <c r="V30" s="47">
        <f>VLOOKUP(C30,'Talente &amp; Stuff'!C:AD,20,FALSE)</f>
        <v>0</v>
      </c>
      <c r="W30" s="127">
        <f>VLOOKUP(C30,'Talente &amp; Stuff'!C:AD,21,FALSE)</f>
        <v>0</v>
      </c>
      <c r="X30" s="125">
        <f>VLOOKUP(C30,'Talente &amp; Stuff'!C:AD,22,FALSE)</f>
        <v>0</v>
      </c>
      <c r="Y30" s="165">
        <f t="shared" si="2"/>
        <v>0</v>
      </c>
      <c r="Z30" s="198">
        <f t="shared" si="3"/>
        <v>0</v>
      </c>
      <c r="AA30" s="125">
        <f>VLOOKUP(C30,'Talente &amp; Stuff'!C:AD,25,FALSE)</f>
        <v>0</v>
      </c>
      <c r="AB30" s="160">
        <f>VLOOKUP(C30,'Talente &amp; Stuff'!C:AD,26,FALSE)</f>
        <v>0</v>
      </c>
      <c r="AC30" s="127">
        <f>VLOOKUP(C30,'Talente &amp; Stuff'!C:AD,27,FALSE)</f>
        <v>0</v>
      </c>
      <c r="AD30" s="125">
        <f>VLOOKUP(C30,'Talente &amp; Stuff'!C:AD,28,FALSE)</f>
        <v>0</v>
      </c>
      <c r="AE30" s="28"/>
    </row>
    <row r="31" spans="2:31" hidden="1" outlineLevel="2">
      <c r="B31" s="133">
        <v>6</v>
      </c>
      <c r="C31" s="163" t="s">
        <v>281</v>
      </c>
      <c r="D31" s="127" t="str">
        <f>VLOOKUP(C31,'Talente &amp; Stuff'!C:AD,2,FALSE)</f>
        <v>--/--/--</v>
      </c>
      <c r="E31" s="125" t="str">
        <f>VLOOKUP(C31,'Talente &amp; Stuff'!C:AD,3,FALSE)</f>
        <v>-</v>
      </c>
      <c r="F31" s="114">
        <f>VLOOKUP(C31,'Talente &amp; Stuff'!C:AD,4,FALSE)</f>
        <v>0</v>
      </c>
      <c r="G31" s="113">
        <f>VLOOKUP(C31,'Talente &amp; Stuff'!C:AD,5,FALSE)</f>
        <v>0</v>
      </c>
      <c r="H31" s="113">
        <f>VLOOKUP(C31,'Talente &amp; Stuff'!C:AD,6,FALSE)</f>
        <v>0</v>
      </c>
      <c r="I31" s="113">
        <f>VLOOKUP(C31,'Talente &amp; Stuff'!C:AD,7,FALSE)</f>
        <v>0</v>
      </c>
      <c r="J31" s="113">
        <f>VLOOKUP(C31,'Talente &amp; Stuff'!C:AD,8,FALSE)</f>
        <v>0</v>
      </c>
      <c r="K31" s="113">
        <f>VLOOKUP(C31,'Talente &amp; Stuff'!C:AD,9,FALSE)</f>
        <v>0</v>
      </c>
      <c r="L31" s="113">
        <f>VLOOKUP(C31,'Talente &amp; Stuff'!C:AD,10,FALSE)</f>
        <v>0</v>
      </c>
      <c r="M31" s="119">
        <f>VLOOKUP(C31,'Talente &amp; Stuff'!C:AD,11,FALSE)</f>
        <v>0</v>
      </c>
      <c r="N31" s="89">
        <f>VLOOKUP(C31,'Talente &amp; Stuff'!C:AD,12,FALSE)</f>
        <v>0</v>
      </c>
      <c r="O31" s="47">
        <f>VLOOKUP(C31,'Talente &amp; Stuff'!C:AD,13,FALSE)</f>
        <v>0</v>
      </c>
      <c r="P31" s="119">
        <f>VLOOKUP(C31,'Talente &amp; Stuff'!C:AD,14,FALSE)</f>
        <v>0</v>
      </c>
      <c r="Q31" s="114">
        <f>VLOOKUP(C31,'Talente &amp; Stuff'!C:AD,15,FALSE)</f>
        <v>0</v>
      </c>
      <c r="R31" s="113">
        <f>VLOOKUP(C31,'Talente &amp; Stuff'!C:AD,16,FALSE)</f>
        <v>0</v>
      </c>
      <c r="S31" s="119">
        <f>VLOOKUP(C31,'Talente &amp; Stuff'!C:AD,17,FALSE)</f>
        <v>0</v>
      </c>
      <c r="T31" s="160">
        <f>VLOOKUP(C31,'Talente &amp; Stuff'!C:AD,18,FALSE)</f>
        <v>0</v>
      </c>
      <c r="U31" s="89">
        <f>VLOOKUP(C31,'Talente &amp; Stuff'!C:AD,19,FALSE)</f>
        <v>0</v>
      </c>
      <c r="V31" s="47">
        <f>VLOOKUP(C31,'Talente &amp; Stuff'!C:AD,20,FALSE)</f>
        <v>0</v>
      </c>
      <c r="W31" s="127">
        <f>VLOOKUP(C31,'Talente &amp; Stuff'!C:AD,21,FALSE)</f>
        <v>0</v>
      </c>
      <c r="X31" s="125">
        <f>VLOOKUP(C31,'Talente &amp; Stuff'!C:AD,22,FALSE)</f>
        <v>0</v>
      </c>
      <c r="Y31" s="165">
        <f t="shared" si="2"/>
        <v>0</v>
      </c>
      <c r="Z31" s="198">
        <f t="shared" si="3"/>
        <v>0</v>
      </c>
      <c r="AA31" s="125">
        <f>VLOOKUP(C31,'Talente &amp; Stuff'!C:AD,25,FALSE)</f>
        <v>0</v>
      </c>
      <c r="AB31" s="160">
        <f>VLOOKUP(C31,'Talente &amp; Stuff'!C:AD,26,FALSE)</f>
        <v>0</v>
      </c>
      <c r="AC31" s="127">
        <f>VLOOKUP(C31,'Talente &amp; Stuff'!C:AD,27,FALSE)</f>
        <v>0</v>
      </c>
      <c r="AD31" s="125">
        <f>VLOOKUP(C31,'Talente &amp; Stuff'!C:AD,28,FALSE)</f>
        <v>0</v>
      </c>
      <c r="AE31" s="28"/>
    </row>
    <row r="32" spans="2:31" hidden="1" outlineLevel="2">
      <c r="B32" s="133">
        <v>7</v>
      </c>
      <c r="C32" s="163" t="s">
        <v>281</v>
      </c>
      <c r="D32" s="127" t="str">
        <f>VLOOKUP(C32,'Talente &amp; Stuff'!C:AD,2,FALSE)</f>
        <v>--/--/--</v>
      </c>
      <c r="E32" s="125" t="str">
        <f>VLOOKUP(C32,'Talente &amp; Stuff'!C:AD,3,FALSE)</f>
        <v>-</v>
      </c>
      <c r="F32" s="114">
        <f>VLOOKUP(C32,'Talente &amp; Stuff'!C:AD,4,FALSE)</f>
        <v>0</v>
      </c>
      <c r="G32" s="113">
        <f>VLOOKUP(C32,'Talente &amp; Stuff'!C:AD,5,FALSE)</f>
        <v>0</v>
      </c>
      <c r="H32" s="113">
        <f>VLOOKUP(C32,'Talente &amp; Stuff'!C:AD,6,FALSE)</f>
        <v>0</v>
      </c>
      <c r="I32" s="113">
        <f>VLOOKUP(C32,'Talente &amp; Stuff'!C:AD,7,FALSE)</f>
        <v>0</v>
      </c>
      <c r="J32" s="113">
        <f>VLOOKUP(C32,'Talente &amp; Stuff'!C:AD,8,FALSE)</f>
        <v>0</v>
      </c>
      <c r="K32" s="113">
        <f>VLOOKUP(C32,'Talente &amp; Stuff'!C:AD,9,FALSE)</f>
        <v>0</v>
      </c>
      <c r="L32" s="113">
        <f>VLOOKUP(C32,'Talente &amp; Stuff'!C:AD,10,FALSE)</f>
        <v>0</v>
      </c>
      <c r="M32" s="119">
        <f>VLOOKUP(C32,'Talente &amp; Stuff'!C:AD,11,FALSE)</f>
        <v>0</v>
      </c>
      <c r="N32" s="89">
        <f>VLOOKUP(C32,'Talente &amp; Stuff'!C:AD,12,FALSE)</f>
        <v>0</v>
      </c>
      <c r="O32" s="47">
        <f>VLOOKUP(C32,'Talente &amp; Stuff'!C:AD,13,FALSE)</f>
        <v>0</v>
      </c>
      <c r="P32" s="119">
        <f>VLOOKUP(C32,'Talente &amp; Stuff'!C:AD,14,FALSE)</f>
        <v>0</v>
      </c>
      <c r="Q32" s="114">
        <f>VLOOKUP(C32,'Talente &amp; Stuff'!C:AD,15,FALSE)</f>
        <v>0</v>
      </c>
      <c r="R32" s="113">
        <f>VLOOKUP(C32,'Talente &amp; Stuff'!C:AD,16,FALSE)</f>
        <v>0</v>
      </c>
      <c r="S32" s="119">
        <f>VLOOKUP(C32,'Talente &amp; Stuff'!C:AD,17,FALSE)</f>
        <v>0</v>
      </c>
      <c r="T32" s="160">
        <f>VLOOKUP(C32,'Talente &amp; Stuff'!C:AD,18,FALSE)</f>
        <v>0</v>
      </c>
      <c r="U32" s="89">
        <f>VLOOKUP(C32,'Talente &amp; Stuff'!C:AD,19,FALSE)</f>
        <v>0</v>
      </c>
      <c r="V32" s="47">
        <f>VLOOKUP(C32,'Talente &amp; Stuff'!C:AD,20,FALSE)</f>
        <v>0</v>
      </c>
      <c r="W32" s="127">
        <f>VLOOKUP(C32,'Talente &amp; Stuff'!C:AD,21,FALSE)</f>
        <v>0</v>
      </c>
      <c r="X32" s="125">
        <f>VLOOKUP(C32,'Talente &amp; Stuff'!C:AD,22,FALSE)</f>
        <v>0</v>
      </c>
      <c r="Y32" s="165">
        <f t="shared" si="2"/>
        <v>0</v>
      </c>
      <c r="Z32" s="198">
        <f t="shared" si="3"/>
        <v>0</v>
      </c>
      <c r="AA32" s="125">
        <f>VLOOKUP(C32,'Talente &amp; Stuff'!C:AD,25,FALSE)</f>
        <v>0</v>
      </c>
      <c r="AB32" s="160">
        <f>VLOOKUP(C32,'Talente &amp; Stuff'!C:AD,26,FALSE)</f>
        <v>0</v>
      </c>
      <c r="AC32" s="127">
        <f>VLOOKUP(C32,'Talente &amp; Stuff'!C:AD,27,FALSE)</f>
        <v>0</v>
      </c>
      <c r="AD32" s="125">
        <f>VLOOKUP(C32,'Talente &amp; Stuff'!C:AD,28,FALSE)</f>
        <v>0</v>
      </c>
      <c r="AE32" s="28"/>
    </row>
    <row r="33" spans="2:31" hidden="1" outlineLevel="2">
      <c r="B33" s="133">
        <v>8</v>
      </c>
      <c r="C33" s="163" t="s">
        <v>281</v>
      </c>
      <c r="D33" s="127" t="str">
        <f>VLOOKUP(C33,'Talente &amp; Stuff'!C:AD,2,FALSE)</f>
        <v>--/--/--</v>
      </c>
      <c r="E33" s="125" t="str">
        <f>VLOOKUP(C33,'Talente &amp; Stuff'!C:AD,3,FALSE)</f>
        <v>-</v>
      </c>
      <c r="F33" s="114">
        <f>VLOOKUP(C33,'Talente &amp; Stuff'!C:AD,4,FALSE)</f>
        <v>0</v>
      </c>
      <c r="G33" s="113">
        <f>VLOOKUP(C33,'Talente &amp; Stuff'!C:AD,5,FALSE)</f>
        <v>0</v>
      </c>
      <c r="H33" s="113">
        <f>VLOOKUP(C33,'Talente &amp; Stuff'!C:AD,6,FALSE)</f>
        <v>0</v>
      </c>
      <c r="I33" s="113">
        <f>VLOOKUP(C33,'Talente &amp; Stuff'!C:AD,7,FALSE)</f>
        <v>0</v>
      </c>
      <c r="J33" s="113">
        <f>VLOOKUP(C33,'Talente &amp; Stuff'!C:AD,8,FALSE)</f>
        <v>0</v>
      </c>
      <c r="K33" s="113">
        <f>VLOOKUP(C33,'Talente &amp; Stuff'!C:AD,9,FALSE)</f>
        <v>0</v>
      </c>
      <c r="L33" s="113">
        <f>VLOOKUP(C33,'Talente &amp; Stuff'!C:AD,10,FALSE)</f>
        <v>0</v>
      </c>
      <c r="M33" s="119">
        <f>VLOOKUP(C33,'Talente &amp; Stuff'!C:AD,11,FALSE)</f>
        <v>0</v>
      </c>
      <c r="N33" s="89">
        <f>VLOOKUP(C33,'Talente &amp; Stuff'!C:AD,12,FALSE)</f>
        <v>0</v>
      </c>
      <c r="O33" s="47">
        <f>VLOOKUP(C33,'Talente &amp; Stuff'!C:AD,13,FALSE)</f>
        <v>0</v>
      </c>
      <c r="P33" s="119">
        <f>VLOOKUP(C33,'Talente &amp; Stuff'!C:AD,14,FALSE)</f>
        <v>0</v>
      </c>
      <c r="Q33" s="114">
        <f>VLOOKUP(C33,'Talente &amp; Stuff'!C:AD,15,FALSE)</f>
        <v>0</v>
      </c>
      <c r="R33" s="113">
        <f>VLOOKUP(C33,'Talente &amp; Stuff'!C:AD,16,FALSE)</f>
        <v>0</v>
      </c>
      <c r="S33" s="119">
        <f>VLOOKUP(C33,'Talente &amp; Stuff'!C:AD,17,FALSE)</f>
        <v>0</v>
      </c>
      <c r="T33" s="160">
        <f>VLOOKUP(C33,'Talente &amp; Stuff'!C:AD,18,FALSE)</f>
        <v>0</v>
      </c>
      <c r="U33" s="89">
        <f>VLOOKUP(C33,'Talente &amp; Stuff'!C:AD,19,FALSE)</f>
        <v>0</v>
      </c>
      <c r="V33" s="47">
        <f>VLOOKUP(C33,'Talente &amp; Stuff'!C:AD,20,FALSE)</f>
        <v>0</v>
      </c>
      <c r="W33" s="127">
        <f>VLOOKUP(C33,'Talente &amp; Stuff'!C:AD,21,FALSE)</f>
        <v>0</v>
      </c>
      <c r="X33" s="125">
        <f>VLOOKUP(C33,'Talente &amp; Stuff'!C:AD,22,FALSE)</f>
        <v>0</v>
      </c>
      <c r="Y33" s="165">
        <f t="shared" si="2"/>
        <v>0</v>
      </c>
      <c r="Z33" s="198">
        <f t="shared" si="3"/>
        <v>0</v>
      </c>
      <c r="AA33" s="125">
        <f>VLOOKUP(C33,'Talente &amp; Stuff'!C:AD,25,FALSE)</f>
        <v>0</v>
      </c>
      <c r="AB33" s="160">
        <f>VLOOKUP(C33,'Talente &amp; Stuff'!C:AD,26,FALSE)</f>
        <v>0</v>
      </c>
      <c r="AC33" s="127">
        <f>VLOOKUP(C33,'Talente &amp; Stuff'!C:AD,27,FALSE)</f>
        <v>0</v>
      </c>
      <c r="AD33" s="125">
        <f>VLOOKUP(C33,'Talente &amp; Stuff'!C:AD,28,FALSE)</f>
        <v>0</v>
      </c>
      <c r="AE33" s="28"/>
    </row>
    <row r="34" spans="2:31" hidden="1" outlineLevel="2">
      <c r="B34" s="133">
        <v>9</v>
      </c>
      <c r="C34" s="164" t="s">
        <v>281</v>
      </c>
      <c r="D34" s="128" t="str">
        <f>VLOOKUP(C34,'Talente &amp; Stuff'!C:AD,2,FALSE)</f>
        <v>--/--/--</v>
      </c>
      <c r="E34" s="159" t="str">
        <f>VLOOKUP(C34,'Talente &amp; Stuff'!C:AD,3,FALSE)</f>
        <v>-</v>
      </c>
      <c r="F34" s="115">
        <f>VLOOKUP(C34,'Talente &amp; Stuff'!C:AD,4,FALSE)</f>
        <v>0</v>
      </c>
      <c r="G34" s="122">
        <f>VLOOKUP(C34,'Talente &amp; Stuff'!C:AD,5,FALSE)</f>
        <v>0</v>
      </c>
      <c r="H34" s="122">
        <f>VLOOKUP(C34,'Talente &amp; Stuff'!C:AD,6,FALSE)</f>
        <v>0</v>
      </c>
      <c r="I34" s="122">
        <f>VLOOKUP(C34,'Talente &amp; Stuff'!C:AD,7,FALSE)</f>
        <v>0</v>
      </c>
      <c r="J34" s="122">
        <f>VLOOKUP(C34,'Talente &amp; Stuff'!C:AD,8,FALSE)</f>
        <v>0</v>
      </c>
      <c r="K34" s="122">
        <f>VLOOKUP(C34,'Talente &amp; Stuff'!C:AD,9,FALSE)</f>
        <v>0</v>
      </c>
      <c r="L34" s="122">
        <f>VLOOKUP(C34,'Talente &amp; Stuff'!C:AD,10,FALSE)</f>
        <v>0</v>
      </c>
      <c r="M34" s="123">
        <f>VLOOKUP(C34,'Talente &amp; Stuff'!C:AD,11,FALSE)</f>
        <v>0</v>
      </c>
      <c r="N34" s="90">
        <f>VLOOKUP(C34,'Talente &amp; Stuff'!C:AD,12,FALSE)</f>
        <v>0</v>
      </c>
      <c r="O34" s="88">
        <f>VLOOKUP(C34,'Talente &amp; Stuff'!C:AD,13,FALSE)</f>
        <v>0</v>
      </c>
      <c r="P34" s="123">
        <f>VLOOKUP(C34,'Talente &amp; Stuff'!C:AD,14,FALSE)</f>
        <v>0</v>
      </c>
      <c r="Q34" s="115">
        <f>VLOOKUP(C34,'Talente &amp; Stuff'!C:AD,15,FALSE)</f>
        <v>0</v>
      </c>
      <c r="R34" s="122">
        <f>VLOOKUP(C34,'Talente &amp; Stuff'!C:AD,16,FALSE)</f>
        <v>0</v>
      </c>
      <c r="S34" s="123">
        <f>VLOOKUP(C34,'Talente &amp; Stuff'!C:AD,17,FALSE)</f>
        <v>0</v>
      </c>
      <c r="T34" s="161">
        <f>VLOOKUP(C34,'Talente &amp; Stuff'!C:AD,18,FALSE)</f>
        <v>0</v>
      </c>
      <c r="U34" s="90">
        <f>VLOOKUP(C34,'Talente &amp; Stuff'!C:AD,19,FALSE)</f>
        <v>0</v>
      </c>
      <c r="V34" s="88">
        <f>VLOOKUP(C34,'Talente &amp; Stuff'!C:AD,20,FALSE)</f>
        <v>0</v>
      </c>
      <c r="W34" s="128">
        <f>VLOOKUP(C34,'Talente &amp; Stuff'!C:AD,21,FALSE)</f>
        <v>0</v>
      </c>
      <c r="X34" s="159">
        <f>VLOOKUP(C34,'Talente &amp; Stuff'!C:AD,22,FALSE)</f>
        <v>0</v>
      </c>
      <c r="Y34" s="165">
        <f t="shared" si="2"/>
        <v>0</v>
      </c>
      <c r="Z34" s="198">
        <f t="shared" si="3"/>
        <v>0</v>
      </c>
      <c r="AA34" s="159">
        <f>VLOOKUP(C34,'Talente &amp; Stuff'!C:AD,25,FALSE)</f>
        <v>0</v>
      </c>
      <c r="AB34" s="161">
        <f>VLOOKUP(C34,'Talente &amp; Stuff'!C:AD,26,FALSE)</f>
        <v>0</v>
      </c>
      <c r="AC34" s="128">
        <f>VLOOKUP(C34,'Talente &amp; Stuff'!C:AD,27,FALSE)</f>
        <v>0</v>
      </c>
      <c r="AD34" s="159">
        <f>VLOOKUP(C34,'Talente &amp; Stuff'!C:AD,28,FALSE)</f>
        <v>0</v>
      </c>
      <c r="AE34" s="28"/>
    </row>
    <row r="35" spans="2:31" outlineLevel="1" collapsed="1">
      <c r="B35" s="134" t="s">
        <v>69</v>
      </c>
      <c r="C35" s="83"/>
      <c r="D35" s="84"/>
      <c r="E35" s="84"/>
      <c r="F35" s="30"/>
      <c r="G35" s="30"/>
      <c r="H35" s="30"/>
      <c r="I35" s="30"/>
      <c r="J35" s="30"/>
      <c r="K35" s="30"/>
      <c r="L35" s="30"/>
      <c r="M35" s="30"/>
      <c r="N35" s="31"/>
      <c r="O35" s="31"/>
      <c r="P35" s="30"/>
      <c r="Q35" s="30"/>
      <c r="R35" s="30"/>
      <c r="S35" s="30"/>
      <c r="T35" s="30"/>
      <c r="U35" s="31"/>
      <c r="V35" s="31"/>
      <c r="W35" s="31"/>
      <c r="X35" s="31"/>
      <c r="Y35" s="65"/>
    </row>
    <row r="36" spans="2:31" outlineLevel="2">
      <c r="B36" s="133">
        <v>1</v>
      </c>
      <c r="C36" s="162" t="s">
        <v>281</v>
      </c>
      <c r="D36" s="126" t="str">
        <f>VLOOKUP(C36,'Talente &amp; Stuff'!C:AD,2,FALSE)</f>
        <v>--/--/--</v>
      </c>
      <c r="E36" s="158" t="str">
        <f>VLOOKUP(C36,'Talente &amp; Stuff'!C:AD,3,FALSE)</f>
        <v>-</v>
      </c>
      <c r="F36" s="152">
        <f>VLOOKUP(C36,'Talente &amp; Stuff'!C:AD,4,FALSE)</f>
        <v>0</v>
      </c>
      <c r="G36" s="118">
        <f>VLOOKUP(C36,'Talente &amp; Stuff'!C:AD,5,FALSE)</f>
        <v>0</v>
      </c>
      <c r="H36" s="118">
        <f>VLOOKUP(C36,'Talente &amp; Stuff'!C:AD,6,FALSE)</f>
        <v>0</v>
      </c>
      <c r="I36" s="118">
        <f>VLOOKUP(C36,'Talente &amp; Stuff'!C:AD,7,FALSE)</f>
        <v>0</v>
      </c>
      <c r="J36" s="118">
        <f>VLOOKUP(C36,'Talente &amp; Stuff'!C:AD,8,FALSE)</f>
        <v>0</v>
      </c>
      <c r="K36" s="118">
        <f>VLOOKUP(C36,'Talente &amp; Stuff'!C:AD,9,FALSE)</f>
        <v>0</v>
      </c>
      <c r="L36" s="118">
        <f>VLOOKUP(C36,'Talente &amp; Stuff'!C:AD,10,FALSE)</f>
        <v>0</v>
      </c>
      <c r="M36" s="92">
        <f>VLOOKUP(C36,'Talente &amp; Stuff'!C:AD,11,FALSE)</f>
        <v>0</v>
      </c>
      <c r="N36" s="154">
        <f>VLOOKUP(C36,'Talente &amp; Stuff'!C:AD,12,FALSE)</f>
        <v>0</v>
      </c>
      <c r="O36" s="116">
        <f>VLOOKUP(C36,'Talente &amp; Stuff'!C:AD,13,FALSE)</f>
        <v>0</v>
      </c>
      <c r="P36" s="92">
        <f>VLOOKUP(C36,'Talente &amp; Stuff'!C:AD,14,FALSE)</f>
        <v>0</v>
      </c>
      <c r="Q36" s="152">
        <f>VLOOKUP(C36,'Talente &amp; Stuff'!C:AD,15,FALSE)</f>
        <v>0</v>
      </c>
      <c r="R36" s="118">
        <f>VLOOKUP(C36,'Talente &amp; Stuff'!C:AD,16,FALSE)</f>
        <v>0</v>
      </c>
      <c r="S36" s="92">
        <f>VLOOKUP(C36,'Talente &amp; Stuff'!C:AD,17,FALSE)</f>
        <v>0</v>
      </c>
      <c r="T36" s="91">
        <f>VLOOKUP(C36,'Talente &amp; Stuff'!C:AD,18,FALSE)</f>
        <v>0</v>
      </c>
      <c r="U36" s="154">
        <f>VLOOKUP(C36,'Talente &amp; Stuff'!C:AD,19,FALSE)</f>
        <v>0</v>
      </c>
      <c r="V36" s="116">
        <f>VLOOKUP(C36,'Talente &amp; Stuff'!C:AD,20,FALSE)</f>
        <v>0</v>
      </c>
      <c r="W36" s="126">
        <f>VLOOKUP(C36,'Talente &amp; Stuff'!C:AD,21,FALSE)</f>
        <v>0</v>
      </c>
      <c r="X36" s="158">
        <f>VLOOKUP(C36,'Talente &amp; Stuff'!C:AD,22,FALSE)</f>
        <v>0</v>
      </c>
      <c r="Y36" s="165">
        <f t="shared" ref="Y36:Y42" si="4">VLOOKUP(C36,Ausgewählte_Talente_Naturtalente,23,FALSE)</f>
        <v>0</v>
      </c>
      <c r="Z36" s="198">
        <f t="shared" ref="Z36:Z42" si="5">VLOOKUP(C36,Ausgewählte_Talente_Naturtalente,24,FALSE)</f>
        <v>0</v>
      </c>
      <c r="AA36" s="158">
        <f>VLOOKUP(C36,'Talente &amp; Stuff'!C:AD,25,FALSE)</f>
        <v>0</v>
      </c>
      <c r="AB36" s="91">
        <f>VLOOKUP(C36,'Talente &amp; Stuff'!C:AD,26,FALSE)</f>
        <v>0</v>
      </c>
      <c r="AC36" s="126">
        <f>VLOOKUP(C36,'Talente &amp; Stuff'!C:AD,27,FALSE)</f>
        <v>0</v>
      </c>
      <c r="AD36" s="158">
        <f>VLOOKUP(C36,'Talente &amp; Stuff'!C:AD,28,FALSE)</f>
        <v>0</v>
      </c>
      <c r="AE36" s="28"/>
    </row>
    <row r="37" spans="2:31" outlineLevel="2">
      <c r="B37" s="133">
        <v>2</v>
      </c>
      <c r="C37" s="163" t="s">
        <v>281</v>
      </c>
      <c r="D37" s="127" t="str">
        <f>VLOOKUP(C37,'Talente &amp; Stuff'!C:AD,2,FALSE)</f>
        <v>--/--/--</v>
      </c>
      <c r="E37" s="125" t="str">
        <f>VLOOKUP(C37,'Talente &amp; Stuff'!C:AD,3,FALSE)</f>
        <v>-</v>
      </c>
      <c r="F37" s="114">
        <f>VLOOKUP(C37,'Talente &amp; Stuff'!C:AD,4,FALSE)</f>
        <v>0</v>
      </c>
      <c r="G37" s="113">
        <f>VLOOKUP(C37,'Talente &amp; Stuff'!C:AD,5,FALSE)</f>
        <v>0</v>
      </c>
      <c r="H37" s="113">
        <f>VLOOKUP(C37,'Talente &amp; Stuff'!C:AD,6,FALSE)</f>
        <v>0</v>
      </c>
      <c r="I37" s="113">
        <f>VLOOKUP(C37,'Talente &amp; Stuff'!C:AD,7,FALSE)</f>
        <v>0</v>
      </c>
      <c r="J37" s="113">
        <f>VLOOKUP(C37,'Talente &amp; Stuff'!C:AD,8,FALSE)</f>
        <v>0</v>
      </c>
      <c r="K37" s="113">
        <f>VLOOKUP(C37,'Talente &amp; Stuff'!C:AD,9,FALSE)</f>
        <v>0</v>
      </c>
      <c r="L37" s="113">
        <f>VLOOKUP(C37,'Talente &amp; Stuff'!C:AD,10,FALSE)</f>
        <v>0</v>
      </c>
      <c r="M37" s="119">
        <f>VLOOKUP(C37,'Talente &amp; Stuff'!C:AD,11,FALSE)</f>
        <v>0</v>
      </c>
      <c r="N37" s="89">
        <f>VLOOKUP(C37,'Talente &amp; Stuff'!C:AD,12,FALSE)</f>
        <v>0</v>
      </c>
      <c r="O37" s="47">
        <f>VLOOKUP(C37,'Talente &amp; Stuff'!C:AD,13,FALSE)</f>
        <v>0</v>
      </c>
      <c r="P37" s="119">
        <f>VLOOKUP(C37,'Talente &amp; Stuff'!C:AD,14,FALSE)</f>
        <v>0</v>
      </c>
      <c r="Q37" s="114">
        <f>VLOOKUP(C37,'Talente &amp; Stuff'!C:AD,15,FALSE)</f>
        <v>0</v>
      </c>
      <c r="R37" s="113">
        <f>VLOOKUP(C37,'Talente &amp; Stuff'!C:AD,16,FALSE)</f>
        <v>0</v>
      </c>
      <c r="S37" s="119">
        <f>VLOOKUP(C37,'Talente &amp; Stuff'!C:AD,17,FALSE)</f>
        <v>0</v>
      </c>
      <c r="T37" s="160">
        <f>VLOOKUP(C37,'Talente &amp; Stuff'!C:AD,18,FALSE)</f>
        <v>0</v>
      </c>
      <c r="U37" s="89">
        <f>VLOOKUP(C37,'Talente &amp; Stuff'!C:AD,19,FALSE)</f>
        <v>0</v>
      </c>
      <c r="V37" s="47">
        <f>VLOOKUP(C37,'Talente &amp; Stuff'!C:AD,20,FALSE)</f>
        <v>0</v>
      </c>
      <c r="W37" s="127">
        <f>VLOOKUP(C37,'Talente &amp; Stuff'!C:AD,21,FALSE)</f>
        <v>0</v>
      </c>
      <c r="X37" s="125">
        <f>VLOOKUP(C37,'Talente &amp; Stuff'!C:AD,22,FALSE)</f>
        <v>0</v>
      </c>
      <c r="Y37" s="165">
        <f t="shared" si="4"/>
        <v>0</v>
      </c>
      <c r="Z37" s="198">
        <f t="shared" si="5"/>
        <v>0</v>
      </c>
      <c r="AA37" s="125">
        <f>VLOOKUP(C37,'Talente &amp; Stuff'!C:AD,25,FALSE)</f>
        <v>0</v>
      </c>
      <c r="AB37" s="160">
        <f>VLOOKUP(C37,'Talente &amp; Stuff'!C:AD,26,FALSE)</f>
        <v>0</v>
      </c>
      <c r="AC37" s="127">
        <f>VLOOKUP(C37,'Talente &amp; Stuff'!C:AD,27,FALSE)</f>
        <v>0</v>
      </c>
      <c r="AD37" s="125">
        <f>VLOOKUP(C37,'Talente &amp; Stuff'!C:AD,28,FALSE)</f>
        <v>0</v>
      </c>
      <c r="AE37" s="28"/>
    </row>
    <row r="38" spans="2:31" outlineLevel="2">
      <c r="B38" s="133">
        <v>3</v>
      </c>
      <c r="C38" s="163" t="s">
        <v>281</v>
      </c>
      <c r="D38" s="127" t="str">
        <f>VLOOKUP(C38,'Talente &amp; Stuff'!C:AD,2,FALSE)</f>
        <v>--/--/--</v>
      </c>
      <c r="E38" s="125" t="str">
        <f>VLOOKUP(C38,'Talente &amp; Stuff'!C:AD,3,FALSE)</f>
        <v>-</v>
      </c>
      <c r="F38" s="114">
        <f>VLOOKUP(C38,'Talente &amp; Stuff'!C:AD,4,FALSE)</f>
        <v>0</v>
      </c>
      <c r="G38" s="113">
        <f>VLOOKUP(C38,'Talente &amp; Stuff'!C:AD,5,FALSE)</f>
        <v>0</v>
      </c>
      <c r="H38" s="113">
        <f>VLOOKUP(C38,'Talente &amp; Stuff'!C:AD,6,FALSE)</f>
        <v>0</v>
      </c>
      <c r="I38" s="113">
        <f>VLOOKUP(C38,'Talente &amp; Stuff'!C:AD,7,FALSE)</f>
        <v>0</v>
      </c>
      <c r="J38" s="113">
        <f>VLOOKUP(C38,'Talente &amp; Stuff'!C:AD,8,FALSE)</f>
        <v>0</v>
      </c>
      <c r="K38" s="113">
        <f>VLOOKUP(C38,'Talente &amp; Stuff'!C:AD,9,FALSE)</f>
        <v>0</v>
      </c>
      <c r="L38" s="113">
        <f>VLOOKUP(C38,'Talente &amp; Stuff'!C:AD,10,FALSE)</f>
        <v>0</v>
      </c>
      <c r="M38" s="119">
        <f>VLOOKUP(C38,'Talente &amp; Stuff'!C:AD,11,FALSE)</f>
        <v>0</v>
      </c>
      <c r="N38" s="89">
        <f>VLOOKUP(C38,'Talente &amp; Stuff'!C:AD,12,FALSE)</f>
        <v>0</v>
      </c>
      <c r="O38" s="47">
        <f>VLOOKUP(C38,'Talente &amp; Stuff'!C:AD,13,FALSE)</f>
        <v>0</v>
      </c>
      <c r="P38" s="119">
        <f>VLOOKUP(C38,'Talente &amp; Stuff'!C:AD,14,FALSE)</f>
        <v>0</v>
      </c>
      <c r="Q38" s="114">
        <f>VLOOKUP(C38,'Talente &amp; Stuff'!C:AD,15,FALSE)</f>
        <v>0</v>
      </c>
      <c r="R38" s="113">
        <f>VLOOKUP(C38,'Talente &amp; Stuff'!C:AD,16,FALSE)</f>
        <v>0</v>
      </c>
      <c r="S38" s="119">
        <f>VLOOKUP(C38,'Talente &amp; Stuff'!C:AD,17,FALSE)</f>
        <v>0</v>
      </c>
      <c r="T38" s="160">
        <f>VLOOKUP(C38,'Talente &amp; Stuff'!C:AD,18,FALSE)</f>
        <v>0</v>
      </c>
      <c r="U38" s="89">
        <f>VLOOKUP(C38,'Talente &amp; Stuff'!C:AD,19,FALSE)</f>
        <v>0</v>
      </c>
      <c r="V38" s="47">
        <f>VLOOKUP(C38,'Talente &amp; Stuff'!C:AD,20,FALSE)</f>
        <v>0</v>
      </c>
      <c r="W38" s="127">
        <f>VLOOKUP(C38,'Talente &amp; Stuff'!C:AD,21,FALSE)</f>
        <v>0</v>
      </c>
      <c r="X38" s="125">
        <f>VLOOKUP(C38,'Talente &amp; Stuff'!C:AD,22,FALSE)</f>
        <v>0</v>
      </c>
      <c r="Y38" s="165">
        <f t="shared" si="4"/>
        <v>0</v>
      </c>
      <c r="Z38" s="198">
        <f t="shared" si="5"/>
        <v>0</v>
      </c>
      <c r="AA38" s="125">
        <f>VLOOKUP(C38,'Talente &amp; Stuff'!C:AD,25,FALSE)</f>
        <v>0</v>
      </c>
      <c r="AB38" s="160">
        <f>VLOOKUP(C38,'Talente &amp; Stuff'!C:AD,26,FALSE)</f>
        <v>0</v>
      </c>
      <c r="AC38" s="127">
        <f>VLOOKUP(C38,'Talente &amp; Stuff'!C:AD,27,FALSE)</f>
        <v>0</v>
      </c>
      <c r="AD38" s="125">
        <f>VLOOKUP(C38,'Talente &amp; Stuff'!C:AD,28,FALSE)</f>
        <v>0</v>
      </c>
      <c r="AE38" s="28"/>
    </row>
    <row r="39" spans="2:31" outlineLevel="2">
      <c r="B39" s="133">
        <v>4</v>
      </c>
      <c r="C39" s="163" t="s">
        <v>281</v>
      </c>
      <c r="D39" s="127" t="str">
        <f>VLOOKUP(C39,'Talente &amp; Stuff'!C:AD,2,FALSE)</f>
        <v>--/--/--</v>
      </c>
      <c r="E39" s="125" t="str">
        <f>VLOOKUP(C39,'Talente &amp; Stuff'!C:AD,3,FALSE)</f>
        <v>-</v>
      </c>
      <c r="F39" s="114">
        <f>VLOOKUP(C39,'Talente &amp; Stuff'!C:AD,4,FALSE)</f>
        <v>0</v>
      </c>
      <c r="G39" s="113">
        <f>VLOOKUP(C39,'Talente &amp; Stuff'!C:AD,5,FALSE)</f>
        <v>0</v>
      </c>
      <c r="H39" s="113">
        <f>VLOOKUP(C39,'Talente &amp; Stuff'!C:AD,6,FALSE)</f>
        <v>0</v>
      </c>
      <c r="I39" s="113">
        <f>VLOOKUP(C39,'Talente &amp; Stuff'!C:AD,7,FALSE)</f>
        <v>0</v>
      </c>
      <c r="J39" s="113">
        <f>VLOOKUP(C39,'Talente &amp; Stuff'!C:AD,8,FALSE)</f>
        <v>0</v>
      </c>
      <c r="K39" s="113">
        <f>VLOOKUP(C39,'Talente &amp; Stuff'!C:AD,9,FALSE)</f>
        <v>0</v>
      </c>
      <c r="L39" s="113">
        <f>VLOOKUP(C39,'Talente &amp; Stuff'!C:AD,10,FALSE)</f>
        <v>0</v>
      </c>
      <c r="M39" s="119">
        <f>VLOOKUP(C39,'Talente &amp; Stuff'!C:AD,11,FALSE)</f>
        <v>0</v>
      </c>
      <c r="N39" s="89">
        <f>VLOOKUP(C39,'Talente &amp; Stuff'!C:AD,12,FALSE)</f>
        <v>0</v>
      </c>
      <c r="O39" s="47">
        <f>VLOOKUP(C39,'Talente &amp; Stuff'!C:AD,13,FALSE)</f>
        <v>0</v>
      </c>
      <c r="P39" s="119">
        <f>VLOOKUP(C39,'Talente &amp; Stuff'!C:AD,14,FALSE)</f>
        <v>0</v>
      </c>
      <c r="Q39" s="114">
        <f>VLOOKUP(C39,'Talente &amp; Stuff'!C:AD,15,FALSE)</f>
        <v>0</v>
      </c>
      <c r="R39" s="113">
        <f>VLOOKUP(C39,'Talente &amp; Stuff'!C:AD,16,FALSE)</f>
        <v>0</v>
      </c>
      <c r="S39" s="119">
        <f>VLOOKUP(C39,'Talente &amp; Stuff'!C:AD,17,FALSE)</f>
        <v>0</v>
      </c>
      <c r="T39" s="160">
        <f>VLOOKUP(C39,'Talente &amp; Stuff'!C:AD,18,FALSE)</f>
        <v>0</v>
      </c>
      <c r="U39" s="89">
        <f>VLOOKUP(C39,'Talente &amp; Stuff'!C:AD,19,FALSE)</f>
        <v>0</v>
      </c>
      <c r="V39" s="47">
        <f>VLOOKUP(C39,'Talente &amp; Stuff'!C:AD,20,FALSE)</f>
        <v>0</v>
      </c>
      <c r="W39" s="127">
        <f>VLOOKUP(C39,'Talente &amp; Stuff'!C:AD,21,FALSE)</f>
        <v>0</v>
      </c>
      <c r="X39" s="125">
        <f>VLOOKUP(C39,'Talente &amp; Stuff'!C:AD,22,FALSE)</f>
        <v>0</v>
      </c>
      <c r="Y39" s="165">
        <f t="shared" si="4"/>
        <v>0</v>
      </c>
      <c r="Z39" s="198">
        <f t="shared" si="5"/>
        <v>0</v>
      </c>
      <c r="AA39" s="125">
        <f>VLOOKUP(C39,'Talente &amp; Stuff'!C:AD,25,FALSE)</f>
        <v>0</v>
      </c>
      <c r="AB39" s="160">
        <f>VLOOKUP(C39,'Talente &amp; Stuff'!C:AD,26,FALSE)</f>
        <v>0</v>
      </c>
      <c r="AC39" s="127">
        <f>VLOOKUP(C39,'Talente &amp; Stuff'!C:AD,27,FALSE)</f>
        <v>0</v>
      </c>
      <c r="AD39" s="125">
        <f>VLOOKUP(C39,'Talente &amp; Stuff'!C:AD,28,FALSE)</f>
        <v>0</v>
      </c>
      <c r="AE39" s="28"/>
    </row>
    <row r="40" spans="2:31" outlineLevel="2">
      <c r="B40" s="133">
        <v>5</v>
      </c>
      <c r="C40" s="163" t="s">
        <v>281</v>
      </c>
      <c r="D40" s="127" t="str">
        <f>VLOOKUP(C40,'Talente &amp; Stuff'!C:AD,2,FALSE)</f>
        <v>--/--/--</v>
      </c>
      <c r="E40" s="125" t="str">
        <f>VLOOKUP(C40,'Talente &amp; Stuff'!C:AD,3,FALSE)</f>
        <v>-</v>
      </c>
      <c r="F40" s="114">
        <f>VLOOKUP(C40,'Talente &amp; Stuff'!C:AD,4,FALSE)</f>
        <v>0</v>
      </c>
      <c r="G40" s="113">
        <f>VLOOKUP(C40,'Talente &amp; Stuff'!C:AD,5,FALSE)</f>
        <v>0</v>
      </c>
      <c r="H40" s="113">
        <f>VLOOKUP(C40,'Talente &amp; Stuff'!C:AD,6,FALSE)</f>
        <v>0</v>
      </c>
      <c r="I40" s="113">
        <f>VLOOKUP(C40,'Talente &amp; Stuff'!C:AD,7,FALSE)</f>
        <v>0</v>
      </c>
      <c r="J40" s="113">
        <f>VLOOKUP(C40,'Talente &amp; Stuff'!C:AD,8,FALSE)</f>
        <v>0</v>
      </c>
      <c r="K40" s="113">
        <f>VLOOKUP(C40,'Talente &amp; Stuff'!C:AD,9,FALSE)</f>
        <v>0</v>
      </c>
      <c r="L40" s="113">
        <f>VLOOKUP(C40,'Talente &amp; Stuff'!C:AD,10,FALSE)</f>
        <v>0</v>
      </c>
      <c r="M40" s="119">
        <f>VLOOKUP(C40,'Talente &amp; Stuff'!C:AD,11,FALSE)</f>
        <v>0</v>
      </c>
      <c r="N40" s="89">
        <f>VLOOKUP(C40,'Talente &amp; Stuff'!C:AD,12,FALSE)</f>
        <v>0</v>
      </c>
      <c r="O40" s="47">
        <f>VLOOKUP(C40,'Talente &amp; Stuff'!C:AD,13,FALSE)</f>
        <v>0</v>
      </c>
      <c r="P40" s="119">
        <f>VLOOKUP(C40,'Talente &amp; Stuff'!C:AD,14,FALSE)</f>
        <v>0</v>
      </c>
      <c r="Q40" s="114">
        <f>VLOOKUP(C40,'Talente &amp; Stuff'!C:AD,15,FALSE)</f>
        <v>0</v>
      </c>
      <c r="R40" s="113">
        <f>VLOOKUP(C40,'Talente &amp; Stuff'!C:AD,16,FALSE)</f>
        <v>0</v>
      </c>
      <c r="S40" s="119">
        <f>VLOOKUP(C40,'Talente &amp; Stuff'!C:AD,17,FALSE)</f>
        <v>0</v>
      </c>
      <c r="T40" s="160">
        <f>VLOOKUP(C40,'Talente &amp; Stuff'!C:AD,18,FALSE)</f>
        <v>0</v>
      </c>
      <c r="U40" s="89">
        <f>VLOOKUP(C40,'Talente &amp; Stuff'!C:AD,19,FALSE)</f>
        <v>0</v>
      </c>
      <c r="V40" s="47">
        <f>VLOOKUP(C40,'Talente &amp; Stuff'!C:AD,20,FALSE)</f>
        <v>0</v>
      </c>
      <c r="W40" s="127">
        <f>VLOOKUP(C40,'Talente &amp; Stuff'!C:AD,21,FALSE)</f>
        <v>0</v>
      </c>
      <c r="X40" s="125">
        <f>VLOOKUP(C40,'Talente &amp; Stuff'!C:AD,22,FALSE)</f>
        <v>0</v>
      </c>
      <c r="Y40" s="165">
        <f t="shared" si="4"/>
        <v>0</v>
      </c>
      <c r="Z40" s="198">
        <f t="shared" si="5"/>
        <v>0</v>
      </c>
      <c r="AA40" s="125">
        <f>VLOOKUP(C40,'Talente &amp; Stuff'!C:AD,25,FALSE)</f>
        <v>0</v>
      </c>
      <c r="AB40" s="160">
        <f>VLOOKUP(C40,'Talente &amp; Stuff'!C:AD,26,FALSE)</f>
        <v>0</v>
      </c>
      <c r="AC40" s="127">
        <f>VLOOKUP(C40,'Talente &amp; Stuff'!C:AD,27,FALSE)</f>
        <v>0</v>
      </c>
      <c r="AD40" s="125">
        <f>VLOOKUP(C40,'Talente &amp; Stuff'!C:AD,28,FALSE)</f>
        <v>0</v>
      </c>
      <c r="AE40" s="28"/>
    </row>
    <row r="41" spans="2:31" outlineLevel="2">
      <c r="B41" s="133">
        <v>6</v>
      </c>
      <c r="C41" s="163" t="s">
        <v>281</v>
      </c>
      <c r="D41" s="127" t="str">
        <f>VLOOKUP(C41,'Talente &amp; Stuff'!C:AD,2,FALSE)</f>
        <v>--/--/--</v>
      </c>
      <c r="E41" s="125" t="str">
        <f>VLOOKUP(C41,'Talente &amp; Stuff'!C:AD,3,FALSE)</f>
        <v>-</v>
      </c>
      <c r="F41" s="114">
        <f>VLOOKUP(C41,'Talente &amp; Stuff'!C:AD,4,FALSE)</f>
        <v>0</v>
      </c>
      <c r="G41" s="113">
        <f>VLOOKUP(C41,'Talente &amp; Stuff'!C:AD,5,FALSE)</f>
        <v>0</v>
      </c>
      <c r="H41" s="113">
        <f>VLOOKUP(C41,'Talente &amp; Stuff'!C:AD,6,FALSE)</f>
        <v>0</v>
      </c>
      <c r="I41" s="113">
        <f>VLOOKUP(C41,'Talente &amp; Stuff'!C:AD,7,FALSE)</f>
        <v>0</v>
      </c>
      <c r="J41" s="113">
        <f>VLOOKUP(C41,'Talente &amp; Stuff'!C:AD,8,FALSE)</f>
        <v>0</v>
      </c>
      <c r="K41" s="113">
        <f>VLOOKUP(C41,'Talente &amp; Stuff'!C:AD,9,FALSE)</f>
        <v>0</v>
      </c>
      <c r="L41" s="113">
        <f>VLOOKUP(C41,'Talente &amp; Stuff'!C:AD,10,FALSE)</f>
        <v>0</v>
      </c>
      <c r="M41" s="119">
        <f>VLOOKUP(C41,'Talente &amp; Stuff'!C:AD,11,FALSE)</f>
        <v>0</v>
      </c>
      <c r="N41" s="89">
        <f>VLOOKUP(C41,'Talente &amp; Stuff'!C:AD,12,FALSE)</f>
        <v>0</v>
      </c>
      <c r="O41" s="47">
        <f>VLOOKUP(C41,'Talente &amp; Stuff'!C:AD,13,FALSE)</f>
        <v>0</v>
      </c>
      <c r="P41" s="119">
        <f>VLOOKUP(C41,'Talente &amp; Stuff'!C:AD,14,FALSE)</f>
        <v>0</v>
      </c>
      <c r="Q41" s="114">
        <f>VLOOKUP(C41,'Talente &amp; Stuff'!C:AD,15,FALSE)</f>
        <v>0</v>
      </c>
      <c r="R41" s="113">
        <f>VLOOKUP(C41,'Talente &amp; Stuff'!C:AD,16,FALSE)</f>
        <v>0</v>
      </c>
      <c r="S41" s="119">
        <f>VLOOKUP(C41,'Talente &amp; Stuff'!C:AD,17,FALSE)</f>
        <v>0</v>
      </c>
      <c r="T41" s="160">
        <f>VLOOKUP(C41,'Talente &amp; Stuff'!C:AD,18,FALSE)</f>
        <v>0</v>
      </c>
      <c r="U41" s="89">
        <f>VLOOKUP(C41,'Talente &amp; Stuff'!C:AD,19,FALSE)</f>
        <v>0</v>
      </c>
      <c r="V41" s="47">
        <f>VLOOKUP(C41,'Talente &amp; Stuff'!C:AD,20,FALSE)</f>
        <v>0</v>
      </c>
      <c r="W41" s="127">
        <f>VLOOKUP(C41,'Talente &amp; Stuff'!C:AD,21,FALSE)</f>
        <v>0</v>
      </c>
      <c r="X41" s="125">
        <f>VLOOKUP(C41,'Talente &amp; Stuff'!C:AD,22,FALSE)</f>
        <v>0</v>
      </c>
      <c r="Y41" s="165">
        <f t="shared" si="4"/>
        <v>0</v>
      </c>
      <c r="Z41" s="198">
        <f t="shared" si="5"/>
        <v>0</v>
      </c>
      <c r="AA41" s="125">
        <f>VLOOKUP(C41,'Talente &amp; Stuff'!C:AD,25,FALSE)</f>
        <v>0</v>
      </c>
      <c r="AB41" s="160">
        <f>VLOOKUP(C41,'Talente &amp; Stuff'!C:AD,26,FALSE)</f>
        <v>0</v>
      </c>
      <c r="AC41" s="127">
        <f>VLOOKUP(C41,'Talente &amp; Stuff'!C:AD,27,FALSE)</f>
        <v>0</v>
      </c>
      <c r="AD41" s="125">
        <f>VLOOKUP(C41,'Talente &amp; Stuff'!C:AD,28,FALSE)</f>
        <v>0</v>
      </c>
      <c r="AE41" s="28"/>
    </row>
    <row r="42" spans="2:31" outlineLevel="2">
      <c r="B42" s="133">
        <v>7</v>
      </c>
      <c r="C42" s="164" t="s">
        <v>281</v>
      </c>
      <c r="D42" s="128" t="str">
        <f>VLOOKUP(C42,'Talente &amp; Stuff'!C:AD,2,FALSE)</f>
        <v>--/--/--</v>
      </c>
      <c r="E42" s="159" t="str">
        <f>VLOOKUP(C42,'Talente &amp; Stuff'!C:AD,3,FALSE)</f>
        <v>-</v>
      </c>
      <c r="F42" s="115">
        <f>VLOOKUP(C42,'Talente &amp; Stuff'!C:AD,4,FALSE)</f>
        <v>0</v>
      </c>
      <c r="G42" s="122">
        <f>VLOOKUP(C42,'Talente &amp; Stuff'!C:AD,5,FALSE)</f>
        <v>0</v>
      </c>
      <c r="H42" s="122">
        <f>VLOOKUP(C42,'Talente &amp; Stuff'!C:AD,6,FALSE)</f>
        <v>0</v>
      </c>
      <c r="I42" s="122">
        <f>VLOOKUP(C42,'Talente &amp; Stuff'!C:AD,7,FALSE)</f>
        <v>0</v>
      </c>
      <c r="J42" s="122">
        <f>VLOOKUP(C42,'Talente &amp; Stuff'!C:AD,8,FALSE)</f>
        <v>0</v>
      </c>
      <c r="K42" s="122">
        <f>VLOOKUP(C42,'Talente &amp; Stuff'!C:AD,9,FALSE)</f>
        <v>0</v>
      </c>
      <c r="L42" s="122">
        <f>VLOOKUP(C42,'Talente &amp; Stuff'!C:AD,10,FALSE)</f>
        <v>0</v>
      </c>
      <c r="M42" s="123">
        <f>VLOOKUP(C42,'Talente &amp; Stuff'!C:AD,11,FALSE)</f>
        <v>0</v>
      </c>
      <c r="N42" s="90">
        <f>VLOOKUP(C42,'Talente &amp; Stuff'!C:AD,12,FALSE)</f>
        <v>0</v>
      </c>
      <c r="O42" s="88">
        <f>VLOOKUP(C42,'Talente &amp; Stuff'!C:AD,13,FALSE)</f>
        <v>0</v>
      </c>
      <c r="P42" s="123">
        <f>VLOOKUP(C42,'Talente &amp; Stuff'!C:AD,14,FALSE)</f>
        <v>0</v>
      </c>
      <c r="Q42" s="115">
        <f>VLOOKUP(C42,'Talente &amp; Stuff'!C:AD,15,FALSE)</f>
        <v>0</v>
      </c>
      <c r="R42" s="122">
        <f>VLOOKUP(C42,'Talente &amp; Stuff'!C:AD,16,FALSE)</f>
        <v>0</v>
      </c>
      <c r="S42" s="123">
        <f>VLOOKUP(C42,'Talente &amp; Stuff'!C:AD,17,FALSE)</f>
        <v>0</v>
      </c>
      <c r="T42" s="161">
        <f>VLOOKUP(C42,'Talente &amp; Stuff'!C:AD,18,FALSE)</f>
        <v>0</v>
      </c>
      <c r="U42" s="90">
        <f>VLOOKUP(C42,'Talente &amp; Stuff'!C:AD,19,FALSE)</f>
        <v>0</v>
      </c>
      <c r="V42" s="88">
        <f>VLOOKUP(C42,'Talente &amp; Stuff'!C:AD,20,FALSE)</f>
        <v>0</v>
      </c>
      <c r="W42" s="128">
        <f>VLOOKUP(C42,'Talente &amp; Stuff'!C:AD,21,FALSE)</f>
        <v>0</v>
      </c>
      <c r="X42" s="159">
        <f>VLOOKUP(C42,'Talente &amp; Stuff'!C:AD,22,FALSE)</f>
        <v>0</v>
      </c>
      <c r="Y42" s="165">
        <f t="shared" si="4"/>
        <v>0</v>
      </c>
      <c r="Z42" s="198">
        <f t="shared" si="5"/>
        <v>0</v>
      </c>
      <c r="AA42" s="159">
        <f>VLOOKUP(C42,'Talente &amp; Stuff'!C:AD,25,FALSE)</f>
        <v>0</v>
      </c>
      <c r="AB42" s="161">
        <f>VLOOKUP(C42,'Talente &amp; Stuff'!C:AD,26,FALSE)</f>
        <v>0</v>
      </c>
      <c r="AC42" s="128">
        <f>VLOOKUP(C42,'Talente &amp; Stuff'!C:AD,27,FALSE)</f>
        <v>0</v>
      </c>
      <c r="AD42" s="159">
        <f>VLOOKUP(C42,'Talente &amp; Stuff'!C:AD,28,FALSE)</f>
        <v>0</v>
      </c>
      <c r="AE42" s="28"/>
    </row>
    <row r="43" spans="2:31" outlineLevel="1">
      <c r="B43" s="134" t="s">
        <v>70</v>
      </c>
      <c r="C43" s="83"/>
      <c r="D43" s="84"/>
      <c r="E43" s="84"/>
      <c r="F43" s="30"/>
      <c r="G43" s="30"/>
      <c r="H43" s="30"/>
      <c r="I43" s="30"/>
      <c r="J43" s="30"/>
      <c r="K43" s="30"/>
      <c r="L43" s="30"/>
      <c r="M43" s="30"/>
      <c r="N43" s="31"/>
      <c r="O43" s="31"/>
      <c r="P43" s="30"/>
      <c r="Q43" s="30"/>
      <c r="R43" s="30"/>
      <c r="S43" s="30"/>
      <c r="T43" s="30"/>
      <c r="U43" s="31"/>
      <c r="V43" s="31"/>
      <c r="W43" s="31"/>
      <c r="X43" s="31"/>
      <c r="Y43" s="65"/>
    </row>
    <row r="44" spans="2:31" hidden="1" outlineLevel="2">
      <c r="B44" s="133">
        <v>1</v>
      </c>
      <c r="C44" s="162" t="s">
        <v>281</v>
      </c>
      <c r="D44" s="126" t="str">
        <f>VLOOKUP(C44,'Talente &amp; Stuff'!C:AD,2,FALSE)</f>
        <v>--/--/--</v>
      </c>
      <c r="E44" s="158" t="str">
        <f>VLOOKUP(C44,'Talente &amp; Stuff'!C:AD,3,FALSE)</f>
        <v>-</v>
      </c>
      <c r="F44" s="152">
        <f>VLOOKUP(C44,'Talente &amp; Stuff'!C:AD,4,FALSE)</f>
        <v>0</v>
      </c>
      <c r="G44" s="118">
        <f>VLOOKUP(C44,'Talente &amp; Stuff'!C:AD,5,FALSE)</f>
        <v>0</v>
      </c>
      <c r="H44" s="118">
        <f>VLOOKUP(C44,'Talente &amp; Stuff'!C:AD,6,FALSE)</f>
        <v>0</v>
      </c>
      <c r="I44" s="118">
        <f>VLOOKUP(C44,'Talente &amp; Stuff'!C:AD,7,FALSE)</f>
        <v>0</v>
      </c>
      <c r="J44" s="118">
        <f>VLOOKUP(C44,'Talente &amp; Stuff'!C:AD,8,FALSE)</f>
        <v>0</v>
      </c>
      <c r="K44" s="118">
        <f>VLOOKUP(C44,'Talente &amp; Stuff'!C:AD,9,FALSE)</f>
        <v>0</v>
      </c>
      <c r="L44" s="118">
        <f>VLOOKUP(C44,'Talente &amp; Stuff'!C:AD,10,FALSE)</f>
        <v>0</v>
      </c>
      <c r="M44" s="92">
        <f>VLOOKUP(C44,'Talente &amp; Stuff'!C:AD,11,FALSE)</f>
        <v>0</v>
      </c>
      <c r="N44" s="154">
        <f>VLOOKUP(C44,'Talente &amp; Stuff'!C:AD,12,FALSE)</f>
        <v>0</v>
      </c>
      <c r="O44" s="116">
        <f>VLOOKUP(C44,'Talente &amp; Stuff'!C:AD,13,FALSE)</f>
        <v>0</v>
      </c>
      <c r="P44" s="92">
        <f>VLOOKUP(C44,'Talente &amp; Stuff'!C:AD,14,FALSE)</f>
        <v>0</v>
      </c>
      <c r="Q44" s="152">
        <f>VLOOKUP(C44,'Talente &amp; Stuff'!C:AD,15,FALSE)</f>
        <v>0</v>
      </c>
      <c r="R44" s="118">
        <f>VLOOKUP(C44,'Talente &amp; Stuff'!C:AD,16,FALSE)</f>
        <v>0</v>
      </c>
      <c r="S44" s="92">
        <f>VLOOKUP(C44,'Talente &amp; Stuff'!C:AD,17,FALSE)</f>
        <v>0</v>
      </c>
      <c r="T44" s="91">
        <f>VLOOKUP(C44,'Talente &amp; Stuff'!C:AD,18,FALSE)</f>
        <v>0</v>
      </c>
      <c r="U44" s="154">
        <f>VLOOKUP(C44,'Talente &amp; Stuff'!C:AD,19,FALSE)</f>
        <v>0</v>
      </c>
      <c r="V44" s="116">
        <f>VLOOKUP(C44,'Talente &amp; Stuff'!C:AD,20,FALSE)</f>
        <v>0</v>
      </c>
      <c r="W44" s="126">
        <f>VLOOKUP(C44,'Talente &amp; Stuff'!C:AD,21,FALSE)</f>
        <v>0</v>
      </c>
      <c r="X44" s="158">
        <f>VLOOKUP(C44,'Talente &amp; Stuff'!C:AD,22,FALSE)</f>
        <v>0</v>
      </c>
      <c r="Y44" s="165">
        <f t="shared" ref="Y44:Y55" si="6">VLOOKUP(C44,Ausgewählte_Talente_Wissenstalente,23,FALSE)</f>
        <v>0</v>
      </c>
      <c r="Z44" s="198">
        <f t="shared" ref="Z44:Z55" si="7">VLOOKUP(C44,Ausgewählte_Talente_Wissenstalente,24,FALSE)</f>
        <v>0</v>
      </c>
      <c r="AA44" s="158">
        <f>VLOOKUP(C44,'Talente &amp; Stuff'!C:AD,25,FALSE)</f>
        <v>0</v>
      </c>
      <c r="AB44" s="91">
        <f>VLOOKUP(C44,'Talente &amp; Stuff'!C:AD,26,FALSE)</f>
        <v>0</v>
      </c>
      <c r="AC44" s="126">
        <f>VLOOKUP(C44,'Talente &amp; Stuff'!C:AD,27,FALSE)</f>
        <v>0</v>
      </c>
      <c r="AD44" s="158">
        <f>VLOOKUP(C44,'Talente &amp; Stuff'!C:AD,28,FALSE)</f>
        <v>0</v>
      </c>
      <c r="AE44" s="28"/>
    </row>
    <row r="45" spans="2:31" hidden="1" outlineLevel="2">
      <c r="B45" s="133">
        <v>2</v>
      </c>
      <c r="C45" s="163" t="s">
        <v>281</v>
      </c>
      <c r="D45" s="127" t="str">
        <f>VLOOKUP(C45,'Talente &amp; Stuff'!C:AD,2,FALSE)</f>
        <v>--/--/--</v>
      </c>
      <c r="E45" s="125" t="str">
        <f>VLOOKUP(C45,'Talente &amp; Stuff'!C:AD,3,FALSE)</f>
        <v>-</v>
      </c>
      <c r="F45" s="114">
        <f>VLOOKUP(C45,'Talente &amp; Stuff'!C:AD,4,FALSE)</f>
        <v>0</v>
      </c>
      <c r="G45" s="113">
        <f>VLOOKUP(C45,'Talente &amp; Stuff'!C:AD,5,FALSE)</f>
        <v>0</v>
      </c>
      <c r="H45" s="113">
        <f>VLOOKUP(C45,'Talente &amp; Stuff'!C:AD,6,FALSE)</f>
        <v>0</v>
      </c>
      <c r="I45" s="113">
        <f>VLOOKUP(C45,'Talente &amp; Stuff'!C:AD,7,FALSE)</f>
        <v>0</v>
      </c>
      <c r="J45" s="113">
        <f>VLOOKUP(C45,'Talente &amp; Stuff'!C:AD,8,FALSE)</f>
        <v>0</v>
      </c>
      <c r="K45" s="113">
        <f>VLOOKUP(C45,'Talente &amp; Stuff'!C:AD,9,FALSE)</f>
        <v>0</v>
      </c>
      <c r="L45" s="113">
        <f>VLOOKUP(C45,'Talente &amp; Stuff'!C:AD,10,FALSE)</f>
        <v>0</v>
      </c>
      <c r="M45" s="119">
        <f>VLOOKUP(C45,'Talente &amp; Stuff'!C:AD,11,FALSE)</f>
        <v>0</v>
      </c>
      <c r="N45" s="89">
        <f>VLOOKUP(C45,'Talente &amp; Stuff'!C:AD,12,FALSE)</f>
        <v>0</v>
      </c>
      <c r="O45" s="47">
        <f>VLOOKUP(C45,'Talente &amp; Stuff'!C:AD,13,FALSE)</f>
        <v>0</v>
      </c>
      <c r="P45" s="119">
        <f>VLOOKUP(C45,'Talente &amp; Stuff'!C:AD,14,FALSE)</f>
        <v>0</v>
      </c>
      <c r="Q45" s="114">
        <f>VLOOKUP(C45,'Talente &amp; Stuff'!C:AD,15,FALSE)</f>
        <v>0</v>
      </c>
      <c r="R45" s="113">
        <f>VLOOKUP(C45,'Talente &amp; Stuff'!C:AD,16,FALSE)</f>
        <v>0</v>
      </c>
      <c r="S45" s="119">
        <f>VLOOKUP(C45,'Talente &amp; Stuff'!C:AD,17,FALSE)</f>
        <v>0</v>
      </c>
      <c r="T45" s="160">
        <f>VLOOKUP(C45,'Talente &amp; Stuff'!C:AD,18,FALSE)</f>
        <v>0</v>
      </c>
      <c r="U45" s="89">
        <f>VLOOKUP(C45,'Talente &amp; Stuff'!C:AD,19,FALSE)</f>
        <v>0</v>
      </c>
      <c r="V45" s="47">
        <f>VLOOKUP(C45,'Talente &amp; Stuff'!C:AD,20,FALSE)</f>
        <v>0</v>
      </c>
      <c r="W45" s="127">
        <f>VLOOKUP(C45,'Talente &amp; Stuff'!C:AD,21,FALSE)</f>
        <v>0</v>
      </c>
      <c r="X45" s="125">
        <f>VLOOKUP(C45,'Talente &amp; Stuff'!C:AD,22,FALSE)</f>
        <v>0</v>
      </c>
      <c r="Y45" s="165">
        <f t="shared" si="6"/>
        <v>0</v>
      </c>
      <c r="Z45" s="198">
        <f t="shared" si="7"/>
        <v>0</v>
      </c>
      <c r="AA45" s="125">
        <f>VLOOKUP(C45,'Talente &amp; Stuff'!C:AD,25,FALSE)</f>
        <v>0</v>
      </c>
      <c r="AB45" s="160">
        <f>VLOOKUP(C45,'Talente &amp; Stuff'!C:AD,26,FALSE)</f>
        <v>0</v>
      </c>
      <c r="AC45" s="127">
        <f>VLOOKUP(C45,'Talente &amp; Stuff'!C:AD,27,FALSE)</f>
        <v>0</v>
      </c>
      <c r="AD45" s="125">
        <f>VLOOKUP(C45,'Talente &amp; Stuff'!C:AD,28,FALSE)</f>
        <v>0</v>
      </c>
      <c r="AE45" s="28"/>
    </row>
    <row r="46" spans="2:31" hidden="1" outlineLevel="2">
      <c r="B46" s="133">
        <v>3</v>
      </c>
      <c r="C46" s="163" t="s">
        <v>281</v>
      </c>
      <c r="D46" s="127" t="str">
        <f>VLOOKUP(C46,'Talente &amp; Stuff'!C:AD,2,FALSE)</f>
        <v>--/--/--</v>
      </c>
      <c r="E46" s="125" t="str">
        <f>VLOOKUP(C46,'Talente &amp; Stuff'!C:AD,3,FALSE)</f>
        <v>-</v>
      </c>
      <c r="F46" s="114">
        <f>VLOOKUP(C46,'Talente &amp; Stuff'!C:AD,4,FALSE)</f>
        <v>0</v>
      </c>
      <c r="G46" s="113">
        <f>VLOOKUP(C46,'Talente &amp; Stuff'!C:AD,5,FALSE)</f>
        <v>0</v>
      </c>
      <c r="H46" s="113">
        <f>VLOOKUP(C46,'Talente &amp; Stuff'!C:AD,6,FALSE)</f>
        <v>0</v>
      </c>
      <c r="I46" s="113">
        <f>VLOOKUP(C46,'Talente &amp; Stuff'!C:AD,7,FALSE)</f>
        <v>0</v>
      </c>
      <c r="J46" s="113">
        <f>VLOOKUP(C46,'Talente &amp; Stuff'!C:AD,8,FALSE)</f>
        <v>0</v>
      </c>
      <c r="K46" s="113">
        <f>VLOOKUP(C46,'Talente &amp; Stuff'!C:AD,9,FALSE)</f>
        <v>0</v>
      </c>
      <c r="L46" s="113">
        <f>VLOOKUP(C46,'Talente &amp; Stuff'!C:AD,10,FALSE)</f>
        <v>0</v>
      </c>
      <c r="M46" s="119">
        <f>VLOOKUP(C46,'Talente &amp; Stuff'!C:AD,11,FALSE)</f>
        <v>0</v>
      </c>
      <c r="N46" s="89">
        <f>VLOOKUP(C46,'Talente &amp; Stuff'!C:AD,12,FALSE)</f>
        <v>0</v>
      </c>
      <c r="O46" s="47">
        <f>VLOOKUP(C46,'Talente &amp; Stuff'!C:AD,13,FALSE)</f>
        <v>0</v>
      </c>
      <c r="P46" s="119">
        <f>VLOOKUP(C46,'Talente &amp; Stuff'!C:AD,14,FALSE)</f>
        <v>0</v>
      </c>
      <c r="Q46" s="114">
        <f>VLOOKUP(C46,'Talente &amp; Stuff'!C:AD,15,FALSE)</f>
        <v>0</v>
      </c>
      <c r="R46" s="113">
        <f>VLOOKUP(C46,'Talente &amp; Stuff'!C:AD,16,FALSE)</f>
        <v>0</v>
      </c>
      <c r="S46" s="119">
        <f>VLOOKUP(C46,'Talente &amp; Stuff'!C:AD,17,FALSE)</f>
        <v>0</v>
      </c>
      <c r="T46" s="160">
        <f>VLOOKUP(C46,'Talente &amp; Stuff'!C:AD,18,FALSE)</f>
        <v>0</v>
      </c>
      <c r="U46" s="89">
        <f>VLOOKUP(C46,'Talente &amp; Stuff'!C:AD,19,FALSE)</f>
        <v>0</v>
      </c>
      <c r="V46" s="47">
        <f>VLOOKUP(C46,'Talente &amp; Stuff'!C:AD,20,FALSE)</f>
        <v>0</v>
      </c>
      <c r="W46" s="127">
        <f>VLOOKUP(C46,'Talente &amp; Stuff'!C:AD,21,FALSE)</f>
        <v>0</v>
      </c>
      <c r="X46" s="125">
        <f>VLOOKUP(C46,'Talente &amp; Stuff'!C:AD,22,FALSE)</f>
        <v>0</v>
      </c>
      <c r="Y46" s="165">
        <f t="shared" si="6"/>
        <v>0</v>
      </c>
      <c r="Z46" s="198">
        <f t="shared" si="7"/>
        <v>0</v>
      </c>
      <c r="AA46" s="125">
        <f>VLOOKUP(C46,'Talente &amp; Stuff'!C:AD,25,FALSE)</f>
        <v>0</v>
      </c>
      <c r="AB46" s="160">
        <f>VLOOKUP(C46,'Talente &amp; Stuff'!C:AD,26,FALSE)</f>
        <v>0</v>
      </c>
      <c r="AC46" s="127">
        <f>VLOOKUP(C46,'Talente &amp; Stuff'!C:AD,27,FALSE)</f>
        <v>0</v>
      </c>
      <c r="AD46" s="125">
        <f>VLOOKUP(C46,'Talente &amp; Stuff'!C:AD,28,FALSE)</f>
        <v>0</v>
      </c>
      <c r="AE46" s="28"/>
    </row>
    <row r="47" spans="2:31" hidden="1" outlineLevel="2">
      <c r="B47" s="133">
        <v>4</v>
      </c>
      <c r="C47" s="163" t="s">
        <v>281</v>
      </c>
      <c r="D47" s="127" t="str">
        <f>VLOOKUP(C47,'Talente &amp; Stuff'!C:AD,2,FALSE)</f>
        <v>--/--/--</v>
      </c>
      <c r="E47" s="125" t="str">
        <f>VLOOKUP(C47,'Talente &amp; Stuff'!C:AD,3,FALSE)</f>
        <v>-</v>
      </c>
      <c r="F47" s="114">
        <f>VLOOKUP(C47,'Talente &amp; Stuff'!C:AD,4,FALSE)</f>
        <v>0</v>
      </c>
      <c r="G47" s="113">
        <f>VLOOKUP(C47,'Talente &amp; Stuff'!C:AD,5,FALSE)</f>
        <v>0</v>
      </c>
      <c r="H47" s="113">
        <f>VLOOKUP(C47,'Talente &amp; Stuff'!C:AD,6,FALSE)</f>
        <v>0</v>
      </c>
      <c r="I47" s="113">
        <f>VLOOKUP(C47,'Talente &amp; Stuff'!C:AD,7,FALSE)</f>
        <v>0</v>
      </c>
      <c r="J47" s="113">
        <f>VLOOKUP(C47,'Talente &amp; Stuff'!C:AD,8,FALSE)</f>
        <v>0</v>
      </c>
      <c r="K47" s="113">
        <f>VLOOKUP(C47,'Talente &amp; Stuff'!C:AD,9,FALSE)</f>
        <v>0</v>
      </c>
      <c r="L47" s="113">
        <f>VLOOKUP(C47,'Talente &amp; Stuff'!C:AD,10,FALSE)</f>
        <v>0</v>
      </c>
      <c r="M47" s="119">
        <f>VLOOKUP(C47,'Talente &amp; Stuff'!C:AD,11,FALSE)</f>
        <v>0</v>
      </c>
      <c r="N47" s="89">
        <f>VLOOKUP(C47,'Talente &amp; Stuff'!C:AD,12,FALSE)</f>
        <v>0</v>
      </c>
      <c r="O47" s="47">
        <f>VLOOKUP(C47,'Talente &amp; Stuff'!C:AD,13,FALSE)</f>
        <v>0</v>
      </c>
      <c r="P47" s="119">
        <f>VLOOKUP(C47,'Talente &amp; Stuff'!C:AD,14,FALSE)</f>
        <v>0</v>
      </c>
      <c r="Q47" s="114">
        <f>VLOOKUP(C47,'Talente &amp; Stuff'!C:AD,15,FALSE)</f>
        <v>0</v>
      </c>
      <c r="R47" s="113">
        <f>VLOOKUP(C47,'Talente &amp; Stuff'!C:AD,16,FALSE)</f>
        <v>0</v>
      </c>
      <c r="S47" s="119">
        <f>VLOOKUP(C47,'Talente &amp; Stuff'!C:AD,17,FALSE)</f>
        <v>0</v>
      </c>
      <c r="T47" s="160">
        <f>VLOOKUP(C47,'Talente &amp; Stuff'!C:AD,18,FALSE)</f>
        <v>0</v>
      </c>
      <c r="U47" s="89">
        <f>VLOOKUP(C47,'Talente &amp; Stuff'!C:AD,19,FALSE)</f>
        <v>0</v>
      </c>
      <c r="V47" s="47">
        <f>VLOOKUP(C47,'Talente &amp; Stuff'!C:AD,20,FALSE)</f>
        <v>0</v>
      </c>
      <c r="W47" s="127">
        <f>VLOOKUP(C47,'Talente &amp; Stuff'!C:AD,21,FALSE)</f>
        <v>0</v>
      </c>
      <c r="X47" s="125">
        <f>VLOOKUP(C47,'Talente &amp; Stuff'!C:AD,22,FALSE)</f>
        <v>0</v>
      </c>
      <c r="Y47" s="165">
        <f t="shared" si="6"/>
        <v>0</v>
      </c>
      <c r="Z47" s="198">
        <f t="shared" si="7"/>
        <v>0</v>
      </c>
      <c r="AA47" s="125">
        <f>VLOOKUP(C47,'Talente &amp; Stuff'!C:AD,25,FALSE)</f>
        <v>0</v>
      </c>
      <c r="AB47" s="160">
        <f>VLOOKUP(C47,'Talente &amp; Stuff'!C:AD,26,FALSE)</f>
        <v>0</v>
      </c>
      <c r="AC47" s="127">
        <f>VLOOKUP(C47,'Talente &amp; Stuff'!C:AD,27,FALSE)</f>
        <v>0</v>
      </c>
      <c r="AD47" s="125">
        <f>VLOOKUP(C47,'Talente &amp; Stuff'!C:AD,28,FALSE)</f>
        <v>0</v>
      </c>
      <c r="AE47" s="28"/>
    </row>
    <row r="48" spans="2:31" hidden="1" outlineLevel="2">
      <c r="B48" s="133">
        <v>5</v>
      </c>
      <c r="C48" s="163" t="s">
        <v>281</v>
      </c>
      <c r="D48" s="127" t="str">
        <f>VLOOKUP(C48,'Talente &amp; Stuff'!C:AD,2,FALSE)</f>
        <v>--/--/--</v>
      </c>
      <c r="E48" s="125" t="str">
        <f>VLOOKUP(C48,'Talente &amp; Stuff'!C:AD,3,FALSE)</f>
        <v>-</v>
      </c>
      <c r="F48" s="114">
        <f>VLOOKUP(C48,'Talente &amp; Stuff'!C:AD,4,FALSE)</f>
        <v>0</v>
      </c>
      <c r="G48" s="113">
        <f>VLOOKUP(C48,'Talente &amp; Stuff'!C:AD,5,FALSE)</f>
        <v>0</v>
      </c>
      <c r="H48" s="113">
        <f>VLOOKUP(C48,'Talente &amp; Stuff'!C:AD,6,FALSE)</f>
        <v>0</v>
      </c>
      <c r="I48" s="113">
        <f>VLOOKUP(C48,'Talente &amp; Stuff'!C:AD,7,FALSE)</f>
        <v>0</v>
      </c>
      <c r="J48" s="113">
        <f>VLOOKUP(C48,'Talente &amp; Stuff'!C:AD,8,FALSE)</f>
        <v>0</v>
      </c>
      <c r="K48" s="113">
        <f>VLOOKUP(C48,'Talente &amp; Stuff'!C:AD,9,FALSE)</f>
        <v>0</v>
      </c>
      <c r="L48" s="113">
        <f>VLOOKUP(C48,'Talente &amp; Stuff'!C:AD,10,FALSE)</f>
        <v>0</v>
      </c>
      <c r="M48" s="119">
        <f>VLOOKUP(C48,'Talente &amp; Stuff'!C:AD,11,FALSE)</f>
        <v>0</v>
      </c>
      <c r="N48" s="89">
        <f>VLOOKUP(C48,'Talente &amp; Stuff'!C:AD,12,FALSE)</f>
        <v>0</v>
      </c>
      <c r="O48" s="47">
        <f>VLOOKUP(C48,'Talente &amp; Stuff'!C:AD,13,FALSE)</f>
        <v>0</v>
      </c>
      <c r="P48" s="119">
        <f>VLOOKUP(C48,'Talente &amp; Stuff'!C:AD,14,FALSE)</f>
        <v>0</v>
      </c>
      <c r="Q48" s="114">
        <f>VLOOKUP(C48,'Talente &amp; Stuff'!C:AD,15,FALSE)</f>
        <v>0</v>
      </c>
      <c r="R48" s="113">
        <f>VLOOKUP(C48,'Talente &amp; Stuff'!C:AD,16,FALSE)</f>
        <v>0</v>
      </c>
      <c r="S48" s="119">
        <f>VLOOKUP(C48,'Talente &amp; Stuff'!C:AD,17,FALSE)</f>
        <v>0</v>
      </c>
      <c r="T48" s="160">
        <f>VLOOKUP(C48,'Talente &amp; Stuff'!C:AD,18,FALSE)</f>
        <v>0</v>
      </c>
      <c r="U48" s="89">
        <f>VLOOKUP(C48,'Talente &amp; Stuff'!C:AD,19,FALSE)</f>
        <v>0</v>
      </c>
      <c r="V48" s="47">
        <f>VLOOKUP(C48,'Talente &amp; Stuff'!C:AD,20,FALSE)</f>
        <v>0</v>
      </c>
      <c r="W48" s="127">
        <f>VLOOKUP(C48,'Talente &amp; Stuff'!C:AD,21,FALSE)</f>
        <v>0</v>
      </c>
      <c r="X48" s="125">
        <f>VLOOKUP(C48,'Talente &amp; Stuff'!C:AD,22,FALSE)</f>
        <v>0</v>
      </c>
      <c r="Y48" s="165">
        <f t="shared" si="6"/>
        <v>0</v>
      </c>
      <c r="Z48" s="198">
        <f t="shared" si="7"/>
        <v>0</v>
      </c>
      <c r="AA48" s="125">
        <f>VLOOKUP(C48,'Talente &amp; Stuff'!C:AD,25,FALSE)</f>
        <v>0</v>
      </c>
      <c r="AB48" s="160">
        <f>VLOOKUP(C48,'Talente &amp; Stuff'!C:AD,26,FALSE)</f>
        <v>0</v>
      </c>
      <c r="AC48" s="127">
        <f>VLOOKUP(C48,'Talente &amp; Stuff'!C:AD,27,FALSE)</f>
        <v>0</v>
      </c>
      <c r="AD48" s="125">
        <f>VLOOKUP(C48,'Talente &amp; Stuff'!C:AD,28,FALSE)</f>
        <v>0</v>
      </c>
      <c r="AE48" s="28"/>
    </row>
    <row r="49" spans="2:31" hidden="1" outlineLevel="2">
      <c r="B49" s="133">
        <v>6</v>
      </c>
      <c r="C49" s="163" t="s">
        <v>281</v>
      </c>
      <c r="D49" s="127" t="str">
        <f>VLOOKUP(C49,'Talente &amp; Stuff'!C:AD,2,FALSE)</f>
        <v>--/--/--</v>
      </c>
      <c r="E49" s="125" t="str">
        <f>VLOOKUP(C49,'Talente &amp; Stuff'!C:AD,3,FALSE)</f>
        <v>-</v>
      </c>
      <c r="F49" s="114">
        <f>VLOOKUP(C49,'Talente &amp; Stuff'!C:AD,4,FALSE)</f>
        <v>0</v>
      </c>
      <c r="G49" s="113">
        <f>VLOOKUP(C49,'Talente &amp; Stuff'!C:AD,5,FALSE)</f>
        <v>0</v>
      </c>
      <c r="H49" s="113">
        <f>VLOOKUP(C49,'Talente &amp; Stuff'!C:AD,6,FALSE)</f>
        <v>0</v>
      </c>
      <c r="I49" s="113">
        <f>VLOOKUP(C49,'Talente &amp; Stuff'!C:AD,7,FALSE)</f>
        <v>0</v>
      </c>
      <c r="J49" s="113">
        <f>VLOOKUP(C49,'Talente &amp; Stuff'!C:AD,8,FALSE)</f>
        <v>0</v>
      </c>
      <c r="K49" s="113">
        <f>VLOOKUP(C49,'Talente &amp; Stuff'!C:AD,9,FALSE)</f>
        <v>0</v>
      </c>
      <c r="L49" s="113">
        <f>VLOOKUP(C49,'Talente &amp; Stuff'!C:AD,10,FALSE)</f>
        <v>0</v>
      </c>
      <c r="M49" s="119">
        <f>VLOOKUP(C49,'Talente &amp; Stuff'!C:AD,11,FALSE)</f>
        <v>0</v>
      </c>
      <c r="N49" s="89">
        <f>VLOOKUP(C49,'Talente &amp; Stuff'!C:AD,12,FALSE)</f>
        <v>0</v>
      </c>
      <c r="O49" s="47">
        <f>VLOOKUP(C49,'Talente &amp; Stuff'!C:AD,13,FALSE)</f>
        <v>0</v>
      </c>
      <c r="P49" s="119">
        <f>VLOOKUP(C49,'Talente &amp; Stuff'!C:AD,14,FALSE)</f>
        <v>0</v>
      </c>
      <c r="Q49" s="114">
        <f>VLOOKUP(C49,'Talente &amp; Stuff'!C:AD,15,FALSE)</f>
        <v>0</v>
      </c>
      <c r="R49" s="113">
        <f>VLOOKUP(C49,'Talente &amp; Stuff'!C:AD,16,FALSE)</f>
        <v>0</v>
      </c>
      <c r="S49" s="119">
        <f>VLOOKUP(C49,'Talente &amp; Stuff'!C:AD,17,FALSE)</f>
        <v>0</v>
      </c>
      <c r="T49" s="160">
        <f>VLOOKUP(C49,'Talente &amp; Stuff'!C:AD,18,FALSE)</f>
        <v>0</v>
      </c>
      <c r="U49" s="89">
        <f>VLOOKUP(C49,'Talente &amp; Stuff'!C:AD,19,FALSE)</f>
        <v>0</v>
      </c>
      <c r="V49" s="47">
        <f>VLOOKUP(C49,'Talente &amp; Stuff'!C:AD,20,FALSE)</f>
        <v>0</v>
      </c>
      <c r="W49" s="127">
        <f>VLOOKUP(C49,'Talente &amp; Stuff'!C:AD,21,FALSE)</f>
        <v>0</v>
      </c>
      <c r="X49" s="125">
        <f>VLOOKUP(C49,'Talente &amp; Stuff'!C:AD,22,FALSE)</f>
        <v>0</v>
      </c>
      <c r="Y49" s="165">
        <f t="shared" si="6"/>
        <v>0</v>
      </c>
      <c r="Z49" s="198">
        <f t="shared" si="7"/>
        <v>0</v>
      </c>
      <c r="AA49" s="125">
        <f>VLOOKUP(C49,'Talente &amp; Stuff'!C:AD,25,FALSE)</f>
        <v>0</v>
      </c>
      <c r="AB49" s="160">
        <f>VLOOKUP(C49,'Talente &amp; Stuff'!C:AD,26,FALSE)</f>
        <v>0</v>
      </c>
      <c r="AC49" s="127">
        <f>VLOOKUP(C49,'Talente &amp; Stuff'!C:AD,27,FALSE)</f>
        <v>0</v>
      </c>
      <c r="AD49" s="125">
        <f>VLOOKUP(C49,'Talente &amp; Stuff'!C:AD,28,FALSE)</f>
        <v>0</v>
      </c>
      <c r="AE49" s="28"/>
    </row>
    <row r="50" spans="2:31" hidden="1" outlineLevel="2">
      <c r="B50" s="133">
        <v>7</v>
      </c>
      <c r="C50" s="163" t="s">
        <v>281</v>
      </c>
      <c r="D50" s="127" t="str">
        <f>VLOOKUP(C50,'Talente &amp; Stuff'!C:AD,2,FALSE)</f>
        <v>--/--/--</v>
      </c>
      <c r="E50" s="125" t="str">
        <f>VLOOKUP(C50,'Talente &amp; Stuff'!C:AD,3,FALSE)</f>
        <v>-</v>
      </c>
      <c r="F50" s="114">
        <f>VLOOKUP(C50,'Talente &amp; Stuff'!C:AD,4,FALSE)</f>
        <v>0</v>
      </c>
      <c r="G50" s="113">
        <f>VLOOKUP(C50,'Talente &amp; Stuff'!C:AD,5,FALSE)</f>
        <v>0</v>
      </c>
      <c r="H50" s="113">
        <f>VLOOKUP(C50,'Talente &amp; Stuff'!C:AD,6,FALSE)</f>
        <v>0</v>
      </c>
      <c r="I50" s="113">
        <f>VLOOKUP(C50,'Talente &amp; Stuff'!C:AD,7,FALSE)</f>
        <v>0</v>
      </c>
      <c r="J50" s="113">
        <f>VLOOKUP(C50,'Talente &amp; Stuff'!C:AD,8,FALSE)</f>
        <v>0</v>
      </c>
      <c r="K50" s="113">
        <f>VLOOKUP(C50,'Talente &amp; Stuff'!C:AD,9,FALSE)</f>
        <v>0</v>
      </c>
      <c r="L50" s="113">
        <f>VLOOKUP(C50,'Talente &amp; Stuff'!C:AD,10,FALSE)</f>
        <v>0</v>
      </c>
      <c r="M50" s="119">
        <f>VLOOKUP(C50,'Talente &amp; Stuff'!C:AD,11,FALSE)</f>
        <v>0</v>
      </c>
      <c r="N50" s="89">
        <f>VLOOKUP(C50,'Talente &amp; Stuff'!C:AD,12,FALSE)</f>
        <v>0</v>
      </c>
      <c r="O50" s="47">
        <f>VLOOKUP(C50,'Talente &amp; Stuff'!C:AD,13,FALSE)</f>
        <v>0</v>
      </c>
      <c r="P50" s="119">
        <f>VLOOKUP(C50,'Talente &amp; Stuff'!C:AD,14,FALSE)</f>
        <v>0</v>
      </c>
      <c r="Q50" s="114">
        <f>VLOOKUP(C50,'Talente &amp; Stuff'!C:AD,15,FALSE)</f>
        <v>0</v>
      </c>
      <c r="R50" s="113">
        <f>VLOOKUP(C50,'Talente &amp; Stuff'!C:AD,16,FALSE)</f>
        <v>0</v>
      </c>
      <c r="S50" s="119">
        <f>VLOOKUP(C50,'Talente &amp; Stuff'!C:AD,17,FALSE)</f>
        <v>0</v>
      </c>
      <c r="T50" s="160">
        <f>VLOOKUP(C50,'Talente &amp; Stuff'!C:AD,18,FALSE)</f>
        <v>0</v>
      </c>
      <c r="U50" s="89">
        <f>VLOOKUP(C50,'Talente &amp; Stuff'!C:AD,19,FALSE)</f>
        <v>0</v>
      </c>
      <c r="V50" s="47">
        <f>VLOOKUP(C50,'Talente &amp; Stuff'!C:AD,20,FALSE)</f>
        <v>0</v>
      </c>
      <c r="W50" s="127">
        <f>VLOOKUP(C50,'Talente &amp; Stuff'!C:AD,21,FALSE)</f>
        <v>0</v>
      </c>
      <c r="X50" s="125">
        <f>VLOOKUP(C50,'Talente &amp; Stuff'!C:AD,22,FALSE)</f>
        <v>0</v>
      </c>
      <c r="Y50" s="165">
        <f t="shared" si="6"/>
        <v>0</v>
      </c>
      <c r="Z50" s="198">
        <f t="shared" si="7"/>
        <v>0</v>
      </c>
      <c r="AA50" s="125">
        <f>VLOOKUP(C50,'Talente &amp; Stuff'!C:AD,25,FALSE)</f>
        <v>0</v>
      </c>
      <c r="AB50" s="160">
        <f>VLOOKUP(C50,'Talente &amp; Stuff'!C:AD,26,FALSE)</f>
        <v>0</v>
      </c>
      <c r="AC50" s="127">
        <f>VLOOKUP(C50,'Talente &amp; Stuff'!C:AD,27,FALSE)</f>
        <v>0</v>
      </c>
      <c r="AD50" s="125">
        <f>VLOOKUP(C50,'Talente &amp; Stuff'!C:AD,28,FALSE)</f>
        <v>0</v>
      </c>
      <c r="AE50" s="28"/>
    </row>
    <row r="51" spans="2:31" hidden="1" outlineLevel="2">
      <c r="B51" s="133">
        <v>8</v>
      </c>
      <c r="C51" s="163" t="s">
        <v>281</v>
      </c>
      <c r="D51" s="127" t="str">
        <f>VLOOKUP(C51,'Talente &amp; Stuff'!C:AD,2,FALSE)</f>
        <v>--/--/--</v>
      </c>
      <c r="E51" s="125" t="str">
        <f>VLOOKUP(C51,'Talente &amp; Stuff'!C:AD,3,FALSE)</f>
        <v>-</v>
      </c>
      <c r="F51" s="114">
        <f>VLOOKUP(C51,'Talente &amp; Stuff'!C:AD,4,FALSE)</f>
        <v>0</v>
      </c>
      <c r="G51" s="113">
        <f>VLOOKUP(C51,'Talente &amp; Stuff'!C:AD,5,FALSE)</f>
        <v>0</v>
      </c>
      <c r="H51" s="113">
        <f>VLOOKUP(C51,'Talente &amp; Stuff'!C:AD,6,FALSE)</f>
        <v>0</v>
      </c>
      <c r="I51" s="113">
        <f>VLOOKUP(C51,'Talente &amp; Stuff'!C:AD,7,FALSE)</f>
        <v>0</v>
      </c>
      <c r="J51" s="113">
        <f>VLOOKUP(C51,'Talente &amp; Stuff'!C:AD,8,FALSE)</f>
        <v>0</v>
      </c>
      <c r="K51" s="113">
        <f>VLOOKUP(C51,'Talente &amp; Stuff'!C:AD,9,FALSE)</f>
        <v>0</v>
      </c>
      <c r="L51" s="113">
        <f>VLOOKUP(C51,'Talente &amp; Stuff'!C:AD,10,FALSE)</f>
        <v>0</v>
      </c>
      <c r="M51" s="119">
        <f>VLOOKUP(C51,'Talente &amp; Stuff'!C:AD,11,FALSE)</f>
        <v>0</v>
      </c>
      <c r="N51" s="89">
        <f>VLOOKUP(C51,'Talente &amp; Stuff'!C:AD,12,FALSE)</f>
        <v>0</v>
      </c>
      <c r="O51" s="47">
        <f>VLOOKUP(C51,'Talente &amp; Stuff'!C:AD,13,FALSE)</f>
        <v>0</v>
      </c>
      <c r="P51" s="119">
        <f>VLOOKUP(C51,'Talente &amp; Stuff'!C:AD,14,FALSE)</f>
        <v>0</v>
      </c>
      <c r="Q51" s="114">
        <f>VLOOKUP(C51,'Talente &amp; Stuff'!C:AD,15,FALSE)</f>
        <v>0</v>
      </c>
      <c r="R51" s="113">
        <f>VLOOKUP(C51,'Talente &amp; Stuff'!C:AD,16,FALSE)</f>
        <v>0</v>
      </c>
      <c r="S51" s="119">
        <f>VLOOKUP(C51,'Talente &amp; Stuff'!C:AD,17,FALSE)</f>
        <v>0</v>
      </c>
      <c r="T51" s="160">
        <f>VLOOKUP(C51,'Talente &amp; Stuff'!C:AD,18,FALSE)</f>
        <v>0</v>
      </c>
      <c r="U51" s="89">
        <f>VLOOKUP(C51,'Talente &amp; Stuff'!C:AD,19,FALSE)</f>
        <v>0</v>
      </c>
      <c r="V51" s="47">
        <f>VLOOKUP(C51,'Talente &amp; Stuff'!C:AD,20,FALSE)</f>
        <v>0</v>
      </c>
      <c r="W51" s="127">
        <f>VLOOKUP(C51,'Talente &amp; Stuff'!C:AD,21,FALSE)</f>
        <v>0</v>
      </c>
      <c r="X51" s="125">
        <f>VLOOKUP(C51,'Talente &amp; Stuff'!C:AD,22,FALSE)</f>
        <v>0</v>
      </c>
      <c r="Y51" s="165">
        <f t="shared" si="6"/>
        <v>0</v>
      </c>
      <c r="Z51" s="198">
        <f t="shared" si="7"/>
        <v>0</v>
      </c>
      <c r="AA51" s="125">
        <f>VLOOKUP(C51,'Talente &amp; Stuff'!C:AD,25,FALSE)</f>
        <v>0</v>
      </c>
      <c r="AB51" s="160">
        <f>VLOOKUP(C51,'Talente &amp; Stuff'!C:AD,26,FALSE)</f>
        <v>0</v>
      </c>
      <c r="AC51" s="127">
        <f>VLOOKUP(C51,'Talente &amp; Stuff'!C:AD,27,FALSE)</f>
        <v>0</v>
      </c>
      <c r="AD51" s="125">
        <f>VLOOKUP(C51,'Talente &amp; Stuff'!C:AD,28,FALSE)</f>
        <v>0</v>
      </c>
      <c r="AE51" s="28"/>
    </row>
    <row r="52" spans="2:31" hidden="1" outlineLevel="2">
      <c r="B52" s="133">
        <v>9</v>
      </c>
      <c r="C52" s="163" t="s">
        <v>281</v>
      </c>
      <c r="D52" s="127" t="str">
        <f>VLOOKUP(C52,'Talente &amp; Stuff'!C:AD,2,FALSE)</f>
        <v>--/--/--</v>
      </c>
      <c r="E52" s="125" t="str">
        <f>VLOOKUP(C52,'Talente &amp; Stuff'!C:AD,3,FALSE)</f>
        <v>-</v>
      </c>
      <c r="F52" s="114">
        <f>VLOOKUP(C52,'Talente &amp; Stuff'!C:AD,4,FALSE)</f>
        <v>0</v>
      </c>
      <c r="G52" s="113">
        <f>VLOOKUP(C52,'Talente &amp; Stuff'!C:AD,5,FALSE)</f>
        <v>0</v>
      </c>
      <c r="H52" s="113">
        <f>VLOOKUP(C52,'Talente &amp; Stuff'!C:AD,6,FALSE)</f>
        <v>0</v>
      </c>
      <c r="I52" s="113">
        <f>VLOOKUP(C52,'Talente &amp; Stuff'!C:AD,7,FALSE)</f>
        <v>0</v>
      </c>
      <c r="J52" s="113">
        <f>VLOOKUP(C52,'Talente &amp; Stuff'!C:AD,8,FALSE)</f>
        <v>0</v>
      </c>
      <c r="K52" s="113">
        <f>VLOOKUP(C52,'Talente &amp; Stuff'!C:AD,9,FALSE)</f>
        <v>0</v>
      </c>
      <c r="L52" s="113">
        <f>VLOOKUP(C52,'Talente &amp; Stuff'!C:AD,10,FALSE)</f>
        <v>0</v>
      </c>
      <c r="M52" s="119">
        <f>VLOOKUP(C52,'Talente &amp; Stuff'!C:AD,11,FALSE)</f>
        <v>0</v>
      </c>
      <c r="N52" s="89">
        <f>VLOOKUP(C52,'Talente &amp; Stuff'!C:AD,12,FALSE)</f>
        <v>0</v>
      </c>
      <c r="O52" s="47">
        <f>VLOOKUP(C52,'Talente &amp; Stuff'!C:AD,13,FALSE)</f>
        <v>0</v>
      </c>
      <c r="P52" s="119">
        <f>VLOOKUP(C52,'Talente &amp; Stuff'!C:AD,14,FALSE)</f>
        <v>0</v>
      </c>
      <c r="Q52" s="114">
        <f>VLOOKUP(C52,'Talente &amp; Stuff'!C:AD,15,FALSE)</f>
        <v>0</v>
      </c>
      <c r="R52" s="113">
        <f>VLOOKUP(C52,'Talente &amp; Stuff'!C:AD,16,FALSE)</f>
        <v>0</v>
      </c>
      <c r="S52" s="119">
        <f>VLOOKUP(C52,'Talente &amp; Stuff'!C:AD,17,FALSE)</f>
        <v>0</v>
      </c>
      <c r="T52" s="160">
        <f>VLOOKUP(C52,'Talente &amp; Stuff'!C:AD,18,FALSE)</f>
        <v>0</v>
      </c>
      <c r="U52" s="89">
        <f>VLOOKUP(C52,'Talente &amp; Stuff'!C:AD,19,FALSE)</f>
        <v>0</v>
      </c>
      <c r="V52" s="47">
        <f>VLOOKUP(C52,'Talente &amp; Stuff'!C:AD,20,FALSE)</f>
        <v>0</v>
      </c>
      <c r="W52" s="127">
        <f>VLOOKUP(C52,'Talente &amp; Stuff'!C:AD,21,FALSE)</f>
        <v>0</v>
      </c>
      <c r="X52" s="125">
        <f>VLOOKUP(C52,'Talente &amp; Stuff'!C:AD,22,FALSE)</f>
        <v>0</v>
      </c>
      <c r="Y52" s="165">
        <f t="shared" si="6"/>
        <v>0</v>
      </c>
      <c r="Z52" s="198">
        <f t="shared" si="7"/>
        <v>0</v>
      </c>
      <c r="AA52" s="125">
        <f>VLOOKUP(C52,'Talente &amp; Stuff'!C:AD,25,FALSE)</f>
        <v>0</v>
      </c>
      <c r="AB52" s="160">
        <f>VLOOKUP(C52,'Talente &amp; Stuff'!C:AD,26,FALSE)</f>
        <v>0</v>
      </c>
      <c r="AC52" s="127">
        <f>VLOOKUP(C52,'Talente &amp; Stuff'!C:AD,27,FALSE)</f>
        <v>0</v>
      </c>
      <c r="AD52" s="125">
        <f>VLOOKUP(C52,'Talente &amp; Stuff'!C:AD,28,FALSE)</f>
        <v>0</v>
      </c>
      <c r="AE52" s="28"/>
    </row>
    <row r="53" spans="2:31" hidden="1" outlineLevel="2">
      <c r="B53" s="133">
        <v>10</v>
      </c>
      <c r="C53" s="163" t="s">
        <v>281</v>
      </c>
      <c r="D53" s="127" t="str">
        <f>VLOOKUP(C53,'Talente &amp; Stuff'!C:AD,2,FALSE)</f>
        <v>--/--/--</v>
      </c>
      <c r="E53" s="125" t="str">
        <f>VLOOKUP(C53,'Talente &amp; Stuff'!C:AD,3,FALSE)</f>
        <v>-</v>
      </c>
      <c r="F53" s="114">
        <f>VLOOKUP(C53,'Talente &amp; Stuff'!C:AD,4,FALSE)</f>
        <v>0</v>
      </c>
      <c r="G53" s="113">
        <f>VLOOKUP(C53,'Talente &amp; Stuff'!C:AD,5,FALSE)</f>
        <v>0</v>
      </c>
      <c r="H53" s="113">
        <f>VLOOKUP(C53,'Talente &amp; Stuff'!C:AD,6,FALSE)</f>
        <v>0</v>
      </c>
      <c r="I53" s="113">
        <f>VLOOKUP(C53,'Talente &amp; Stuff'!C:AD,7,FALSE)</f>
        <v>0</v>
      </c>
      <c r="J53" s="113">
        <f>VLOOKUP(C53,'Talente &amp; Stuff'!C:AD,8,FALSE)</f>
        <v>0</v>
      </c>
      <c r="K53" s="113">
        <f>VLOOKUP(C53,'Talente &amp; Stuff'!C:AD,9,FALSE)</f>
        <v>0</v>
      </c>
      <c r="L53" s="113">
        <f>VLOOKUP(C53,'Talente &amp; Stuff'!C:AD,10,FALSE)</f>
        <v>0</v>
      </c>
      <c r="M53" s="119">
        <f>VLOOKUP(C53,'Talente &amp; Stuff'!C:AD,11,FALSE)</f>
        <v>0</v>
      </c>
      <c r="N53" s="89">
        <f>VLOOKUP(C53,'Talente &amp; Stuff'!C:AD,12,FALSE)</f>
        <v>0</v>
      </c>
      <c r="O53" s="47">
        <f>VLOOKUP(C53,'Talente &amp; Stuff'!C:AD,13,FALSE)</f>
        <v>0</v>
      </c>
      <c r="P53" s="119">
        <f>VLOOKUP(C53,'Talente &amp; Stuff'!C:AD,14,FALSE)</f>
        <v>0</v>
      </c>
      <c r="Q53" s="114">
        <f>VLOOKUP(C53,'Talente &amp; Stuff'!C:AD,15,FALSE)</f>
        <v>0</v>
      </c>
      <c r="R53" s="113">
        <f>VLOOKUP(C53,'Talente &amp; Stuff'!C:AD,16,FALSE)</f>
        <v>0</v>
      </c>
      <c r="S53" s="119">
        <f>VLOOKUP(C53,'Talente &amp; Stuff'!C:AD,17,FALSE)</f>
        <v>0</v>
      </c>
      <c r="T53" s="160">
        <f>VLOOKUP(C53,'Talente &amp; Stuff'!C:AD,18,FALSE)</f>
        <v>0</v>
      </c>
      <c r="U53" s="89">
        <f>VLOOKUP(C53,'Talente &amp; Stuff'!C:AD,19,FALSE)</f>
        <v>0</v>
      </c>
      <c r="V53" s="47">
        <f>VLOOKUP(C53,'Talente &amp; Stuff'!C:AD,20,FALSE)</f>
        <v>0</v>
      </c>
      <c r="W53" s="127">
        <f>VLOOKUP(C53,'Talente &amp; Stuff'!C:AD,21,FALSE)</f>
        <v>0</v>
      </c>
      <c r="X53" s="125">
        <f>VLOOKUP(C53,'Talente &amp; Stuff'!C:AD,22,FALSE)</f>
        <v>0</v>
      </c>
      <c r="Y53" s="165">
        <f t="shared" si="6"/>
        <v>0</v>
      </c>
      <c r="Z53" s="198">
        <f t="shared" si="7"/>
        <v>0</v>
      </c>
      <c r="AA53" s="125">
        <f>VLOOKUP(C53,'Talente &amp; Stuff'!C:AD,25,FALSE)</f>
        <v>0</v>
      </c>
      <c r="AB53" s="160">
        <f>VLOOKUP(C53,'Talente &amp; Stuff'!C:AD,26,FALSE)</f>
        <v>0</v>
      </c>
      <c r="AC53" s="127">
        <f>VLOOKUP(C53,'Talente &amp; Stuff'!C:AD,27,FALSE)</f>
        <v>0</v>
      </c>
      <c r="AD53" s="125">
        <f>VLOOKUP(C53,'Talente &amp; Stuff'!C:AD,28,FALSE)</f>
        <v>0</v>
      </c>
      <c r="AE53" s="28"/>
    </row>
    <row r="54" spans="2:31" hidden="1" outlineLevel="2">
      <c r="B54" s="133">
        <v>11</v>
      </c>
      <c r="C54" s="163" t="s">
        <v>281</v>
      </c>
      <c r="D54" s="127" t="str">
        <f>VLOOKUP(C54,'Talente &amp; Stuff'!C:AD,2,FALSE)</f>
        <v>--/--/--</v>
      </c>
      <c r="E54" s="125" t="str">
        <f>VLOOKUP(C54,'Talente &amp; Stuff'!C:AD,3,FALSE)</f>
        <v>-</v>
      </c>
      <c r="F54" s="114">
        <f>VLOOKUP(C54,'Talente &amp; Stuff'!C:AD,4,FALSE)</f>
        <v>0</v>
      </c>
      <c r="G54" s="113">
        <f>VLOOKUP(C54,'Talente &amp; Stuff'!C:AD,5,FALSE)</f>
        <v>0</v>
      </c>
      <c r="H54" s="113">
        <f>VLOOKUP(C54,'Talente &amp; Stuff'!C:AD,6,FALSE)</f>
        <v>0</v>
      </c>
      <c r="I54" s="113">
        <f>VLOOKUP(C54,'Talente &amp; Stuff'!C:AD,7,FALSE)</f>
        <v>0</v>
      </c>
      <c r="J54" s="113">
        <f>VLOOKUP(C54,'Talente &amp; Stuff'!C:AD,8,FALSE)</f>
        <v>0</v>
      </c>
      <c r="K54" s="113">
        <f>VLOOKUP(C54,'Talente &amp; Stuff'!C:AD,9,FALSE)</f>
        <v>0</v>
      </c>
      <c r="L54" s="113">
        <f>VLOOKUP(C54,'Talente &amp; Stuff'!C:AD,10,FALSE)</f>
        <v>0</v>
      </c>
      <c r="M54" s="119">
        <f>VLOOKUP(C54,'Talente &amp; Stuff'!C:AD,11,FALSE)</f>
        <v>0</v>
      </c>
      <c r="N54" s="89">
        <f>VLOOKUP(C54,'Talente &amp; Stuff'!C:AD,12,FALSE)</f>
        <v>0</v>
      </c>
      <c r="O54" s="47">
        <f>VLOOKUP(C54,'Talente &amp; Stuff'!C:AD,13,FALSE)</f>
        <v>0</v>
      </c>
      <c r="P54" s="119">
        <f>VLOOKUP(C54,'Talente &amp; Stuff'!C:AD,14,FALSE)</f>
        <v>0</v>
      </c>
      <c r="Q54" s="114">
        <f>VLOOKUP(C54,'Talente &amp; Stuff'!C:AD,15,FALSE)</f>
        <v>0</v>
      </c>
      <c r="R54" s="113">
        <f>VLOOKUP(C54,'Talente &amp; Stuff'!C:AD,16,FALSE)</f>
        <v>0</v>
      </c>
      <c r="S54" s="119">
        <f>VLOOKUP(C54,'Talente &amp; Stuff'!C:AD,17,FALSE)</f>
        <v>0</v>
      </c>
      <c r="T54" s="160">
        <f>VLOOKUP(C54,'Talente &amp; Stuff'!C:AD,18,FALSE)</f>
        <v>0</v>
      </c>
      <c r="U54" s="89">
        <f>VLOOKUP(C54,'Talente &amp; Stuff'!C:AD,19,FALSE)</f>
        <v>0</v>
      </c>
      <c r="V54" s="47">
        <f>VLOOKUP(C54,'Talente &amp; Stuff'!C:AD,20,FALSE)</f>
        <v>0</v>
      </c>
      <c r="W54" s="127">
        <f>VLOOKUP(C54,'Talente &amp; Stuff'!C:AD,21,FALSE)</f>
        <v>0</v>
      </c>
      <c r="X54" s="125">
        <f>VLOOKUP(C54,'Talente &amp; Stuff'!C:AD,22,FALSE)</f>
        <v>0</v>
      </c>
      <c r="Y54" s="165">
        <f t="shared" si="6"/>
        <v>0</v>
      </c>
      <c r="Z54" s="198">
        <f t="shared" si="7"/>
        <v>0</v>
      </c>
      <c r="AA54" s="125">
        <f>VLOOKUP(C54,'Talente &amp; Stuff'!C:AD,25,FALSE)</f>
        <v>0</v>
      </c>
      <c r="AB54" s="160">
        <f>VLOOKUP(C54,'Talente &amp; Stuff'!C:AD,26,FALSE)</f>
        <v>0</v>
      </c>
      <c r="AC54" s="127">
        <f>VLOOKUP(C54,'Talente &amp; Stuff'!C:AD,27,FALSE)</f>
        <v>0</v>
      </c>
      <c r="AD54" s="125">
        <f>VLOOKUP(C54,'Talente &amp; Stuff'!C:AD,28,FALSE)</f>
        <v>0</v>
      </c>
      <c r="AE54" s="28"/>
    </row>
    <row r="55" spans="2:31" hidden="1" outlineLevel="2">
      <c r="B55" s="133">
        <v>12</v>
      </c>
      <c r="C55" s="164" t="s">
        <v>281</v>
      </c>
      <c r="D55" s="128" t="str">
        <f>VLOOKUP(C55,'Talente &amp; Stuff'!C:AD,2,FALSE)</f>
        <v>--/--/--</v>
      </c>
      <c r="E55" s="159" t="str">
        <f>VLOOKUP(C55,'Talente &amp; Stuff'!C:AD,3,FALSE)</f>
        <v>-</v>
      </c>
      <c r="F55" s="115">
        <f>VLOOKUP(C55,'Talente &amp; Stuff'!C:AD,4,FALSE)</f>
        <v>0</v>
      </c>
      <c r="G55" s="122">
        <f>VLOOKUP(C55,'Talente &amp; Stuff'!C:AD,5,FALSE)</f>
        <v>0</v>
      </c>
      <c r="H55" s="122">
        <f>VLOOKUP(C55,'Talente &amp; Stuff'!C:AD,6,FALSE)</f>
        <v>0</v>
      </c>
      <c r="I55" s="122">
        <f>VLOOKUP(C55,'Talente &amp; Stuff'!C:AD,7,FALSE)</f>
        <v>0</v>
      </c>
      <c r="J55" s="122">
        <f>VLOOKUP(C55,'Talente &amp; Stuff'!C:AD,8,FALSE)</f>
        <v>0</v>
      </c>
      <c r="K55" s="122">
        <f>VLOOKUP(C55,'Talente &amp; Stuff'!C:AD,9,FALSE)</f>
        <v>0</v>
      </c>
      <c r="L55" s="122">
        <f>VLOOKUP(C55,'Talente &amp; Stuff'!C:AD,10,FALSE)</f>
        <v>0</v>
      </c>
      <c r="M55" s="123">
        <f>VLOOKUP(C55,'Talente &amp; Stuff'!C:AD,11,FALSE)</f>
        <v>0</v>
      </c>
      <c r="N55" s="90">
        <f>VLOOKUP(C55,'Talente &amp; Stuff'!C:AD,12,FALSE)</f>
        <v>0</v>
      </c>
      <c r="O55" s="88">
        <f>VLOOKUP(C55,'Talente &amp; Stuff'!C:AD,13,FALSE)</f>
        <v>0</v>
      </c>
      <c r="P55" s="123">
        <f>VLOOKUP(C55,'Talente &amp; Stuff'!C:AD,14,FALSE)</f>
        <v>0</v>
      </c>
      <c r="Q55" s="115">
        <f>VLOOKUP(C55,'Talente &amp; Stuff'!C:AD,15,FALSE)</f>
        <v>0</v>
      </c>
      <c r="R55" s="122">
        <f>VLOOKUP(C55,'Talente &amp; Stuff'!C:AD,16,FALSE)</f>
        <v>0</v>
      </c>
      <c r="S55" s="123">
        <f>VLOOKUP(C55,'Talente &amp; Stuff'!C:AD,17,FALSE)</f>
        <v>0</v>
      </c>
      <c r="T55" s="161">
        <f>VLOOKUP(C55,'Talente &amp; Stuff'!C:AD,18,FALSE)</f>
        <v>0</v>
      </c>
      <c r="U55" s="90">
        <f>VLOOKUP(C55,'Talente &amp; Stuff'!C:AD,19,FALSE)</f>
        <v>0</v>
      </c>
      <c r="V55" s="88">
        <f>VLOOKUP(C55,'Talente &amp; Stuff'!C:AD,20,FALSE)</f>
        <v>0</v>
      </c>
      <c r="W55" s="128">
        <f>VLOOKUP(C55,'Talente &amp; Stuff'!C:AD,21,FALSE)</f>
        <v>0</v>
      </c>
      <c r="X55" s="159">
        <f>VLOOKUP(C55,'Talente &amp; Stuff'!C:AD,22,FALSE)</f>
        <v>0</v>
      </c>
      <c r="Y55" s="165">
        <f t="shared" si="6"/>
        <v>0</v>
      </c>
      <c r="Z55" s="198">
        <f t="shared" si="7"/>
        <v>0</v>
      </c>
      <c r="AA55" s="159">
        <f>VLOOKUP(C55,'Talente &amp; Stuff'!C:AD,25,FALSE)</f>
        <v>0</v>
      </c>
      <c r="AB55" s="161">
        <f>VLOOKUP(C55,'Talente &amp; Stuff'!C:AD,26,FALSE)</f>
        <v>0</v>
      </c>
      <c r="AC55" s="128">
        <f>VLOOKUP(C55,'Talente &amp; Stuff'!C:AD,27,FALSE)</f>
        <v>0</v>
      </c>
      <c r="AD55" s="159">
        <f>VLOOKUP(C55,'Talente &amp; Stuff'!C:AD,28,FALSE)</f>
        <v>0</v>
      </c>
      <c r="AE55" s="28"/>
    </row>
    <row r="56" spans="2:31" outlineLevel="1" collapsed="1">
      <c r="B56" s="134" t="s">
        <v>71</v>
      </c>
      <c r="C56" s="83"/>
      <c r="D56" s="84"/>
      <c r="E56" s="84"/>
      <c r="F56" s="30"/>
      <c r="G56" s="30"/>
      <c r="H56" s="30"/>
      <c r="I56" s="30"/>
      <c r="J56" s="30"/>
      <c r="K56" s="30"/>
      <c r="L56" s="30"/>
      <c r="M56" s="30"/>
      <c r="N56" s="31"/>
      <c r="O56" s="31"/>
      <c r="P56" s="30"/>
      <c r="Q56" s="30"/>
      <c r="R56" s="30"/>
      <c r="S56" s="30"/>
      <c r="T56" s="30"/>
      <c r="U56" s="31"/>
      <c r="V56" s="31"/>
      <c r="W56" s="31"/>
      <c r="X56" s="31"/>
      <c r="Y56" s="65"/>
    </row>
    <row r="57" spans="2:31" hidden="1" outlineLevel="2">
      <c r="B57" s="133">
        <v>1</v>
      </c>
      <c r="C57" s="162" t="s">
        <v>281</v>
      </c>
      <c r="D57" s="126" t="str">
        <f>VLOOKUP(C57,'Talente &amp; Stuff'!C:AD,2,FALSE)</f>
        <v>--/--/--</v>
      </c>
      <c r="E57" s="158" t="str">
        <f>VLOOKUP(C57,'Talente &amp; Stuff'!C:AD,3,FALSE)</f>
        <v>-</v>
      </c>
      <c r="F57" s="152">
        <f>VLOOKUP(C57,'Talente &amp; Stuff'!C:AD,4,FALSE)</f>
        <v>0</v>
      </c>
      <c r="G57" s="118">
        <f>VLOOKUP(C57,'Talente &amp; Stuff'!C:AD,5,FALSE)</f>
        <v>0</v>
      </c>
      <c r="H57" s="118">
        <f>VLOOKUP(C57,'Talente &amp; Stuff'!C:AD,6,FALSE)</f>
        <v>0</v>
      </c>
      <c r="I57" s="118">
        <f>VLOOKUP(C57,'Talente &amp; Stuff'!C:AD,7,FALSE)</f>
        <v>0</v>
      </c>
      <c r="J57" s="118">
        <f>VLOOKUP(C57,'Talente &amp; Stuff'!C:AD,8,FALSE)</f>
        <v>0</v>
      </c>
      <c r="K57" s="118">
        <f>VLOOKUP(C57,'Talente &amp; Stuff'!C:AD,9,FALSE)</f>
        <v>0</v>
      </c>
      <c r="L57" s="118">
        <f>VLOOKUP(C57,'Talente &amp; Stuff'!C:AD,10,FALSE)</f>
        <v>0</v>
      </c>
      <c r="M57" s="92">
        <f>VLOOKUP(C57,'Talente &amp; Stuff'!C:AD,11,FALSE)</f>
        <v>0</v>
      </c>
      <c r="N57" s="154">
        <f>VLOOKUP(C57,'Talente &amp; Stuff'!C:AD,12,FALSE)</f>
        <v>0</v>
      </c>
      <c r="O57" s="116">
        <f>VLOOKUP(C57,'Talente &amp; Stuff'!C:AD,13,FALSE)</f>
        <v>0</v>
      </c>
      <c r="P57" s="92">
        <f>VLOOKUP(C57,'Talente &amp; Stuff'!C:AD,14,FALSE)</f>
        <v>0</v>
      </c>
      <c r="Q57" s="152">
        <f>VLOOKUP(C57,'Talente &amp; Stuff'!C:AD,15,FALSE)</f>
        <v>0</v>
      </c>
      <c r="R57" s="118">
        <f>VLOOKUP(C57,'Talente &amp; Stuff'!C:AD,16,FALSE)</f>
        <v>0</v>
      </c>
      <c r="S57" s="92">
        <f>VLOOKUP(C57,'Talente &amp; Stuff'!C:AD,17,FALSE)</f>
        <v>0</v>
      </c>
      <c r="T57" s="91">
        <f>VLOOKUP(C57,'Talente &amp; Stuff'!C:AD,18,FALSE)</f>
        <v>0</v>
      </c>
      <c r="U57" s="154">
        <f>VLOOKUP(C57,'Talente &amp; Stuff'!C:AD,19,FALSE)</f>
        <v>0</v>
      </c>
      <c r="V57" s="116">
        <f>VLOOKUP(C57,'Talente &amp; Stuff'!C:AD,20,FALSE)</f>
        <v>0</v>
      </c>
      <c r="W57" s="126">
        <f>VLOOKUP(C57,'Talente &amp; Stuff'!C:AD,21,FALSE)</f>
        <v>0</v>
      </c>
      <c r="X57" s="158">
        <f>VLOOKUP(C57,'Talente &amp; Stuff'!C:AD,22,FALSE)</f>
        <v>0</v>
      </c>
      <c r="Y57" s="165">
        <f t="shared" ref="Y57:Y73" si="8">VLOOKUP(C57,Ausgewählte_Talente_Handwerkstalente,23,FALSE)</f>
        <v>0</v>
      </c>
      <c r="Z57" s="198">
        <f t="shared" ref="Z57:Z73" si="9">VLOOKUP(C57,Ausgewählte_Talente_Handwerkstalente,24,FALSE)</f>
        <v>0</v>
      </c>
      <c r="AA57" s="158">
        <f>VLOOKUP(C57,'Talente &amp; Stuff'!C:AD,25,FALSE)</f>
        <v>0</v>
      </c>
      <c r="AB57" s="91">
        <f>VLOOKUP(C57,'Talente &amp; Stuff'!C:AD,26,FALSE)</f>
        <v>0</v>
      </c>
      <c r="AC57" s="126">
        <f>VLOOKUP(C57,'Talente &amp; Stuff'!C:AD,27,FALSE)</f>
        <v>0</v>
      </c>
      <c r="AD57" s="158">
        <f>VLOOKUP(C57,'Talente &amp; Stuff'!C:AD,28,FALSE)</f>
        <v>0</v>
      </c>
      <c r="AE57" s="28"/>
    </row>
    <row r="58" spans="2:31" hidden="1" outlineLevel="2">
      <c r="B58" s="133">
        <v>2</v>
      </c>
      <c r="C58" s="163" t="s">
        <v>281</v>
      </c>
      <c r="D58" s="127" t="str">
        <f>VLOOKUP(C58,'Talente &amp; Stuff'!C:AD,2,FALSE)</f>
        <v>--/--/--</v>
      </c>
      <c r="E58" s="125" t="str">
        <f>VLOOKUP(C58,'Talente &amp; Stuff'!C:AD,3,FALSE)</f>
        <v>-</v>
      </c>
      <c r="F58" s="114">
        <f>VLOOKUP(C58,'Talente &amp; Stuff'!C:AD,4,FALSE)</f>
        <v>0</v>
      </c>
      <c r="G58" s="113">
        <f>VLOOKUP(C58,'Talente &amp; Stuff'!C:AD,5,FALSE)</f>
        <v>0</v>
      </c>
      <c r="H58" s="113">
        <f>VLOOKUP(C58,'Talente &amp; Stuff'!C:AD,6,FALSE)</f>
        <v>0</v>
      </c>
      <c r="I58" s="113">
        <f>VLOOKUP(C58,'Talente &amp; Stuff'!C:AD,7,FALSE)</f>
        <v>0</v>
      </c>
      <c r="J58" s="113">
        <f>VLOOKUP(C58,'Talente &amp; Stuff'!C:AD,8,FALSE)</f>
        <v>0</v>
      </c>
      <c r="K58" s="113">
        <f>VLOOKUP(C58,'Talente &amp; Stuff'!C:AD,9,FALSE)</f>
        <v>0</v>
      </c>
      <c r="L58" s="113">
        <f>VLOOKUP(C58,'Talente &amp; Stuff'!C:AD,10,FALSE)</f>
        <v>0</v>
      </c>
      <c r="M58" s="119">
        <f>VLOOKUP(C58,'Talente &amp; Stuff'!C:AD,11,FALSE)</f>
        <v>0</v>
      </c>
      <c r="N58" s="89">
        <f>VLOOKUP(C58,'Talente &amp; Stuff'!C:AD,12,FALSE)</f>
        <v>0</v>
      </c>
      <c r="O58" s="47">
        <f>VLOOKUP(C58,'Talente &amp; Stuff'!C:AD,13,FALSE)</f>
        <v>0</v>
      </c>
      <c r="P58" s="119">
        <f>VLOOKUP(C58,'Talente &amp; Stuff'!C:AD,14,FALSE)</f>
        <v>0</v>
      </c>
      <c r="Q58" s="114">
        <f>VLOOKUP(C58,'Talente &amp; Stuff'!C:AD,15,FALSE)</f>
        <v>0</v>
      </c>
      <c r="R58" s="113">
        <f>VLOOKUP(C58,'Talente &amp; Stuff'!C:AD,16,FALSE)</f>
        <v>0</v>
      </c>
      <c r="S58" s="119">
        <f>VLOOKUP(C58,'Talente &amp; Stuff'!C:AD,17,FALSE)</f>
        <v>0</v>
      </c>
      <c r="T58" s="160">
        <f>VLOOKUP(C58,'Talente &amp; Stuff'!C:AD,18,FALSE)</f>
        <v>0</v>
      </c>
      <c r="U58" s="89">
        <f>VLOOKUP(C58,'Talente &amp; Stuff'!C:AD,19,FALSE)</f>
        <v>0</v>
      </c>
      <c r="V58" s="47">
        <f>VLOOKUP(C58,'Talente &amp; Stuff'!C:AD,20,FALSE)</f>
        <v>0</v>
      </c>
      <c r="W58" s="127">
        <f>VLOOKUP(C58,'Talente &amp; Stuff'!C:AD,21,FALSE)</f>
        <v>0</v>
      </c>
      <c r="X58" s="125">
        <f>VLOOKUP(C58,'Talente &amp; Stuff'!C:AD,22,FALSE)</f>
        <v>0</v>
      </c>
      <c r="Y58" s="165">
        <f t="shared" si="8"/>
        <v>0</v>
      </c>
      <c r="Z58" s="198">
        <f t="shared" si="9"/>
        <v>0</v>
      </c>
      <c r="AA58" s="125">
        <f>VLOOKUP(C58,'Talente &amp; Stuff'!C:AD,25,FALSE)</f>
        <v>0</v>
      </c>
      <c r="AB58" s="160">
        <f>VLOOKUP(C58,'Talente &amp; Stuff'!C:AD,26,FALSE)</f>
        <v>0</v>
      </c>
      <c r="AC58" s="127">
        <f>VLOOKUP(C58,'Talente &amp; Stuff'!C:AD,27,FALSE)</f>
        <v>0</v>
      </c>
      <c r="AD58" s="125">
        <f>VLOOKUP(C58,'Talente &amp; Stuff'!C:AD,28,FALSE)</f>
        <v>0</v>
      </c>
      <c r="AE58" s="28"/>
    </row>
    <row r="59" spans="2:31" hidden="1" outlineLevel="2">
      <c r="B59" s="133">
        <v>3</v>
      </c>
      <c r="C59" s="163" t="s">
        <v>281</v>
      </c>
      <c r="D59" s="127" t="str">
        <f>VLOOKUP(C59,'Talente &amp; Stuff'!C:AD,2,FALSE)</f>
        <v>--/--/--</v>
      </c>
      <c r="E59" s="125" t="str">
        <f>VLOOKUP(C59,'Talente &amp; Stuff'!C:AD,3,FALSE)</f>
        <v>-</v>
      </c>
      <c r="F59" s="114">
        <f>VLOOKUP(C59,'Talente &amp; Stuff'!C:AD,4,FALSE)</f>
        <v>0</v>
      </c>
      <c r="G59" s="113">
        <f>VLOOKUP(C59,'Talente &amp; Stuff'!C:AD,5,FALSE)</f>
        <v>0</v>
      </c>
      <c r="H59" s="113">
        <f>VLOOKUP(C59,'Talente &amp; Stuff'!C:AD,6,FALSE)</f>
        <v>0</v>
      </c>
      <c r="I59" s="113">
        <f>VLOOKUP(C59,'Talente &amp; Stuff'!C:AD,7,FALSE)</f>
        <v>0</v>
      </c>
      <c r="J59" s="113">
        <f>VLOOKUP(C59,'Talente &amp; Stuff'!C:AD,8,FALSE)</f>
        <v>0</v>
      </c>
      <c r="K59" s="113">
        <f>VLOOKUP(C59,'Talente &amp; Stuff'!C:AD,9,FALSE)</f>
        <v>0</v>
      </c>
      <c r="L59" s="113">
        <f>VLOOKUP(C59,'Talente &amp; Stuff'!C:AD,10,FALSE)</f>
        <v>0</v>
      </c>
      <c r="M59" s="119">
        <f>VLOOKUP(C59,'Talente &amp; Stuff'!C:AD,11,FALSE)</f>
        <v>0</v>
      </c>
      <c r="N59" s="89">
        <f>VLOOKUP(C59,'Talente &amp; Stuff'!C:AD,12,FALSE)</f>
        <v>0</v>
      </c>
      <c r="O59" s="47">
        <f>VLOOKUP(C59,'Talente &amp; Stuff'!C:AD,13,FALSE)</f>
        <v>0</v>
      </c>
      <c r="P59" s="119">
        <f>VLOOKUP(C59,'Talente &amp; Stuff'!C:AD,14,FALSE)</f>
        <v>0</v>
      </c>
      <c r="Q59" s="114">
        <f>VLOOKUP(C59,'Talente &amp; Stuff'!C:AD,15,FALSE)</f>
        <v>0</v>
      </c>
      <c r="R59" s="113">
        <f>VLOOKUP(C59,'Talente &amp; Stuff'!C:AD,16,FALSE)</f>
        <v>0</v>
      </c>
      <c r="S59" s="119">
        <f>VLOOKUP(C59,'Talente &amp; Stuff'!C:AD,17,FALSE)</f>
        <v>0</v>
      </c>
      <c r="T59" s="160">
        <f>VLOOKUP(C59,'Talente &amp; Stuff'!C:AD,18,FALSE)</f>
        <v>0</v>
      </c>
      <c r="U59" s="89">
        <f>VLOOKUP(C59,'Talente &amp; Stuff'!C:AD,19,FALSE)</f>
        <v>0</v>
      </c>
      <c r="V59" s="47">
        <f>VLOOKUP(C59,'Talente &amp; Stuff'!C:AD,20,FALSE)</f>
        <v>0</v>
      </c>
      <c r="W59" s="127">
        <f>VLOOKUP(C59,'Talente &amp; Stuff'!C:AD,21,FALSE)</f>
        <v>0</v>
      </c>
      <c r="X59" s="125">
        <f>VLOOKUP(C59,'Talente &amp; Stuff'!C:AD,22,FALSE)</f>
        <v>0</v>
      </c>
      <c r="Y59" s="165">
        <f t="shared" si="8"/>
        <v>0</v>
      </c>
      <c r="Z59" s="198">
        <f t="shared" si="9"/>
        <v>0</v>
      </c>
      <c r="AA59" s="125">
        <f>VLOOKUP(C59,'Talente &amp; Stuff'!C:AD,25,FALSE)</f>
        <v>0</v>
      </c>
      <c r="AB59" s="160">
        <f>VLOOKUP(C59,'Talente &amp; Stuff'!C:AD,26,FALSE)</f>
        <v>0</v>
      </c>
      <c r="AC59" s="127">
        <f>VLOOKUP(C59,'Talente &amp; Stuff'!C:AD,27,FALSE)</f>
        <v>0</v>
      </c>
      <c r="AD59" s="125">
        <f>VLOOKUP(C59,'Talente &amp; Stuff'!C:AD,28,FALSE)</f>
        <v>0</v>
      </c>
      <c r="AE59" s="28"/>
    </row>
    <row r="60" spans="2:31" hidden="1" outlineLevel="2">
      <c r="B60" s="133">
        <v>4</v>
      </c>
      <c r="C60" s="163" t="s">
        <v>281</v>
      </c>
      <c r="D60" s="127" t="str">
        <f>VLOOKUP(C60,'Talente &amp; Stuff'!C:AD,2,FALSE)</f>
        <v>--/--/--</v>
      </c>
      <c r="E60" s="125" t="str">
        <f>VLOOKUP(C60,'Talente &amp; Stuff'!C:AD,3,FALSE)</f>
        <v>-</v>
      </c>
      <c r="F60" s="114">
        <f>VLOOKUP(C60,'Talente &amp; Stuff'!C:AD,4,FALSE)</f>
        <v>0</v>
      </c>
      <c r="G60" s="113">
        <f>VLOOKUP(C60,'Talente &amp; Stuff'!C:AD,5,FALSE)</f>
        <v>0</v>
      </c>
      <c r="H60" s="113">
        <f>VLOOKUP(C60,'Talente &amp; Stuff'!C:AD,6,FALSE)</f>
        <v>0</v>
      </c>
      <c r="I60" s="113">
        <f>VLOOKUP(C60,'Talente &amp; Stuff'!C:AD,7,FALSE)</f>
        <v>0</v>
      </c>
      <c r="J60" s="113">
        <f>VLOOKUP(C60,'Talente &amp; Stuff'!C:AD,8,FALSE)</f>
        <v>0</v>
      </c>
      <c r="K60" s="113">
        <f>VLOOKUP(C60,'Talente &amp; Stuff'!C:AD,9,FALSE)</f>
        <v>0</v>
      </c>
      <c r="L60" s="113">
        <f>VLOOKUP(C60,'Talente &amp; Stuff'!C:AD,10,FALSE)</f>
        <v>0</v>
      </c>
      <c r="M60" s="119">
        <f>VLOOKUP(C60,'Talente &amp; Stuff'!C:AD,11,FALSE)</f>
        <v>0</v>
      </c>
      <c r="N60" s="89">
        <f>VLOOKUP(C60,'Talente &amp; Stuff'!C:AD,12,FALSE)</f>
        <v>0</v>
      </c>
      <c r="O60" s="47">
        <f>VLOOKUP(C60,'Talente &amp; Stuff'!C:AD,13,FALSE)</f>
        <v>0</v>
      </c>
      <c r="P60" s="119">
        <f>VLOOKUP(C60,'Talente &amp; Stuff'!C:AD,14,FALSE)</f>
        <v>0</v>
      </c>
      <c r="Q60" s="114">
        <f>VLOOKUP(C60,'Talente &amp; Stuff'!C:AD,15,FALSE)</f>
        <v>0</v>
      </c>
      <c r="R60" s="113">
        <f>VLOOKUP(C60,'Talente &amp; Stuff'!C:AD,16,FALSE)</f>
        <v>0</v>
      </c>
      <c r="S60" s="119">
        <f>VLOOKUP(C60,'Talente &amp; Stuff'!C:AD,17,FALSE)</f>
        <v>0</v>
      </c>
      <c r="T60" s="160">
        <f>VLOOKUP(C60,'Talente &amp; Stuff'!C:AD,18,FALSE)</f>
        <v>0</v>
      </c>
      <c r="U60" s="89">
        <f>VLOOKUP(C60,'Talente &amp; Stuff'!C:AD,19,FALSE)</f>
        <v>0</v>
      </c>
      <c r="V60" s="47">
        <f>VLOOKUP(C60,'Talente &amp; Stuff'!C:AD,20,FALSE)</f>
        <v>0</v>
      </c>
      <c r="W60" s="127">
        <f>VLOOKUP(C60,'Talente &amp; Stuff'!C:AD,21,FALSE)</f>
        <v>0</v>
      </c>
      <c r="X60" s="125">
        <f>VLOOKUP(C60,'Talente &amp; Stuff'!C:AD,22,FALSE)</f>
        <v>0</v>
      </c>
      <c r="Y60" s="165">
        <f t="shared" si="8"/>
        <v>0</v>
      </c>
      <c r="Z60" s="198">
        <f t="shared" si="9"/>
        <v>0</v>
      </c>
      <c r="AA60" s="125">
        <f>VLOOKUP(C60,'Talente &amp; Stuff'!C:AD,25,FALSE)</f>
        <v>0</v>
      </c>
      <c r="AB60" s="160">
        <f>VLOOKUP(C60,'Talente &amp; Stuff'!C:AD,26,FALSE)</f>
        <v>0</v>
      </c>
      <c r="AC60" s="127">
        <f>VLOOKUP(C60,'Talente &amp; Stuff'!C:AD,27,FALSE)</f>
        <v>0</v>
      </c>
      <c r="AD60" s="125">
        <f>VLOOKUP(C60,'Talente &amp; Stuff'!C:AD,28,FALSE)</f>
        <v>0</v>
      </c>
      <c r="AE60" s="28"/>
    </row>
    <row r="61" spans="2:31" hidden="1" outlineLevel="2">
      <c r="B61" s="133">
        <v>5</v>
      </c>
      <c r="C61" s="163" t="s">
        <v>281</v>
      </c>
      <c r="D61" s="127" t="str">
        <f>VLOOKUP(C61,'Talente &amp; Stuff'!C:AD,2,FALSE)</f>
        <v>--/--/--</v>
      </c>
      <c r="E61" s="125" t="str">
        <f>VLOOKUP(C61,'Talente &amp; Stuff'!C:AD,3,FALSE)</f>
        <v>-</v>
      </c>
      <c r="F61" s="114">
        <f>VLOOKUP(C61,'Talente &amp; Stuff'!C:AD,4,FALSE)</f>
        <v>0</v>
      </c>
      <c r="G61" s="113">
        <f>VLOOKUP(C61,'Talente &amp; Stuff'!C:AD,5,FALSE)</f>
        <v>0</v>
      </c>
      <c r="H61" s="113">
        <f>VLOOKUP(C61,'Talente &amp; Stuff'!C:AD,6,FALSE)</f>
        <v>0</v>
      </c>
      <c r="I61" s="113">
        <f>VLOOKUP(C61,'Talente &amp; Stuff'!C:AD,7,FALSE)</f>
        <v>0</v>
      </c>
      <c r="J61" s="113">
        <f>VLOOKUP(C61,'Talente &amp; Stuff'!C:AD,8,FALSE)</f>
        <v>0</v>
      </c>
      <c r="K61" s="113">
        <f>VLOOKUP(C61,'Talente &amp; Stuff'!C:AD,9,FALSE)</f>
        <v>0</v>
      </c>
      <c r="L61" s="113">
        <f>VLOOKUP(C61,'Talente &amp; Stuff'!C:AD,10,FALSE)</f>
        <v>0</v>
      </c>
      <c r="M61" s="119">
        <f>VLOOKUP(C61,'Talente &amp; Stuff'!C:AD,11,FALSE)</f>
        <v>0</v>
      </c>
      <c r="N61" s="89">
        <f>VLOOKUP(C61,'Talente &amp; Stuff'!C:AD,12,FALSE)</f>
        <v>0</v>
      </c>
      <c r="O61" s="47">
        <f>VLOOKUP(C61,'Talente &amp; Stuff'!C:AD,13,FALSE)</f>
        <v>0</v>
      </c>
      <c r="P61" s="119">
        <f>VLOOKUP(C61,'Talente &amp; Stuff'!C:AD,14,FALSE)</f>
        <v>0</v>
      </c>
      <c r="Q61" s="114">
        <f>VLOOKUP(C61,'Talente &amp; Stuff'!C:AD,15,FALSE)</f>
        <v>0</v>
      </c>
      <c r="R61" s="113">
        <f>VLOOKUP(C61,'Talente &amp; Stuff'!C:AD,16,FALSE)</f>
        <v>0</v>
      </c>
      <c r="S61" s="119">
        <f>VLOOKUP(C61,'Talente &amp; Stuff'!C:AD,17,FALSE)</f>
        <v>0</v>
      </c>
      <c r="T61" s="160">
        <f>VLOOKUP(C61,'Talente &amp; Stuff'!C:AD,18,FALSE)</f>
        <v>0</v>
      </c>
      <c r="U61" s="89">
        <f>VLOOKUP(C61,'Talente &amp; Stuff'!C:AD,19,FALSE)</f>
        <v>0</v>
      </c>
      <c r="V61" s="47">
        <f>VLOOKUP(C61,'Talente &amp; Stuff'!C:AD,20,FALSE)</f>
        <v>0</v>
      </c>
      <c r="W61" s="127">
        <f>VLOOKUP(C61,'Talente &amp; Stuff'!C:AD,21,FALSE)</f>
        <v>0</v>
      </c>
      <c r="X61" s="125">
        <f>VLOOKUP(C61,'Talente &amp; Stuff'!C:AD,22,FALSE)</f>
        <v>0</v>
      </c>
      <c r="Y61" s="165">
        <f t="shared" si="8"/>
        <v>0</v>
      </c>
      <c r="Z61" s="198">
        <f t="shared" si="9"/>
        <v>0</v>
      </c>
      <c r="AA61" s="125">
        <f>VLOOKUP(C61,'Talente &amp; Stuff'!C:AD,25,FALSE)</f>
        <v>0</v>
      </c>
      <c r="AB61" s="160">
        <f>VLOOKUP(C61,'Talente &amp; Stuff'!C:AD,26,FALSE)</f>
        <v>0</v>
      </c>
      <c r="AC61" s="127">
        <f>VLOOKUP(C61,'Talente &amp; Stuff'!C:AD,27,FALSE)</f>
        <v>0</v>
      </c>
      <c r="AD61" s="125">
        <f>VLOOKUP(C61,'Talente &amp; Stuff'!C:AD,28,FALSE)</f>
        <v>0</v>
      </c>
      <c r="AE61" s="28"/>
    </row>
    <row r="62" spans="2:31" hidden="1" outlineLevel="2">
      <c r="B62" s="133">
        <v>6</v>
      </c>
      <c r="C62" s="163" t="s">
        <v>281</v>
      </c>
      <c r="D62" s="127" t="str">
        <f>VLOOKUP(C62,'Talente &amp; Stuff'!C:AD,2,FALSE)</f>
        <v>--/--/--</v>
      </c>
      <c r="E62" s="125" t="str">
        <f>VLOOKUP(C62,'Talente &amp; Stuff'!C:AD,3,FALSE)</f>
        <v>-</v>
      </c>
      <c r="F62" s="114">
        <f>VLOOKUP(C62,'Talente &amp; Stuff'!C:AD,4,FALSE)</f>
        <v>0</v>
      </c>
      <c r="G62" s="113">
        <f>VLOOKUP(C62,'Talente &amp; Stuff'!C:AD,5,FALSE)</f>
        <v>0</v>
      </c>
      <c r="H62" s="113">
        <f>VLOOKUP(C62,'Talente &amp; Stuff'!C:AD,6,FALSE)</f>
        <v>0</v>
      </c>
      <c r="I62" s="113">
        <f>VLOOKUP(C62,'Talente &amp; Stuff'!C:AD,7,FALSE)</f>
        <v>0</v>
      </c>
      <c r="J62" s="113">
        <f>VLOOKUP(C62,'Talente &amp; Stuff'!C:AD,8,FALSE)</f>
        <v>0</v>
      </c>
      <c r="K62" s="113">
        <f>VLOOKUP(C62,'Talente &amp; Stuff'!C:AD,9,FALSE)</f>
        <v>0</v>
      </c>
      <c r="L62" s="113">
        <f>VLOOKUP(C62,'Talente &amp; Stuff'!C:AD,10,FALSE)</f>
        <v>0</v>
      </c>
      <c r="M62" s="119">
        <f>VLOOKUP(C62,'Talente &amp; Stuff'!C:AD,11,FALSE)</f>
        <v>0</v>
      </c>
      <c r="N62" s="89">
        <f>VLOOKUP(C62,'Talente &amp; Stuff'!C:AD,12,FALSE)</f>
        <v>0</v>
      </c>
      <c r="O62" s="47">
        <f>VLOOKUP(C62,'Talente &amp; Stuff'!C:AD,13,FALSE)</f>
        <v>0</v>
      </c>
      <c r="P62" s="119">
        <f>VLOOKUP(C62,'Talente &amp; Stuff'!C:AD,14,FALSE)</f>
        <v>0</v>
      </c>
      <c r="Q62" s="114">
        <f>VLOOKUP(C62,'Talente &amp; Stuff'!C:AD,15,FALSE)</f>
        <v>0</v>
      </c>
      <c r="R62" s="113">
        <f>VLOOKUP(C62,'Talente &amp; Stuff'!C:AD,16,FALSE)</f>
        <v>0</v>
      </c>
      <c r="S62" s="119">
        <f>VLOOKUP(C62,'Talente &amp; Stuff'!C:AD,17,FALSE)</f>
        <v>0</v>
      </c>
      <c r="T62" s="160">
        <f>VLOOKUP(C62,'Talente &amp; Stuff'!C:AD,18,FALSE)</f>
        <v>0</v>
      </c>
      <c r="U62" s="89">
        <f>VLOOKUP(C62,'Talente &amp; Stuff'!C:AD,19,FALSE)</f>
        <v>0</v>
      </c>
      <c r="V62" s="47">
        <f>VLOOKUP(C62,'Talente &amp; Stuff'!C:AD,20,FALSE)</f>
        <v>0</v>
      </c>
      <c r="W62" s="127">
        <f>VLOOKUP(C62,'Talente &amp; Stuff'!C:AD,21,FALSE)</f>
        <v>0</v>
      </c>
      <c r="X62" s="125">
        <f>VLOOKUP(C62,'Talente &amp; Stuff'!C:AD,22,FALSE)</f>
        <v>0</v>
      </c>
      <c r="Y62" s="165">
        <f t="shared" si="8"/>
        <v>0</v>
      </c>
      <c r="Z62" s="198">
        <f t="shared" si="9"/>
        <v>0</v>
      </c>
      <c r="AA62" s="125">
        <f>VLOOKUP(C62,'Talente &amp; Stuff'!C:AD,25,FALSE)</f>
        <v>0</v>
      </c>
      <c r="AB62" s="160">
        <f>VLOOKUP(C62,'Talente &amp; Stuff'!C:AD,26,FALSE)</f>
        <v>0</v>
      </c>
      <c r="AC62" s="127">
        <f>VLOOKUP(C62,'Talente &amp; Stuff'!C:AD,27,FALSE)</f>
        <v>0</v>
      </c>
      <c r="AD62" s="125">
        <f>VLOOKUP(C62,'Talente &amp; Stuff'!C:AD,28,FALSE)</f>
        <v>0</v>
      </c>
      <c r="AE62" s="28"/>
    </row>
    <row r="63" spans="2:31" hidden="1" outlineLevel="2">
      <c r="B63" s="133">
        <v>7</v>
      </c>
      <c r="C63" s="163" t="s">
        <v>281</v>
      </c>
      <c r="D63" s="127" t="str">
        <f>VLOOKUP(C63,'Talente &amp; Stuff'!C:AD,2,FALSE)</f>
        <v>--/--/--</v>
      </c>
      <c r="E63" s="125" t="str">
        <f>VLOOKUP(C63,'Talente &amp; Stuff'!C:AD,3,FALSE)</f>
        <v>-</v>
      </c>
      <c r="F63" s="114">
        <f>VLOOKUP(C63,'Talente &amp; Stuff'!C:AD,4,FALSE)</f>
        <v>0</v>
      </c>
      <c r="G63" s="113">
        <f>VLOOKUP(C63,'Talente &amp; Stuff'!C:AD,5,FALSE)</f>
        <v>0</v>
      </c>
      <c r="H63" s="113">
        <f>VLOOKUP(C63,'Talente &amp; Stuff'!C:AD,6,FALSE)</f>
        <v>0</v>
      </c>
      <c r="I63" s="113">
        <f>VLOOKUP(C63,'Talente &amp; Stuff'!C:AD,7,FALSE)</f>
        <v>0</v>
      </c>
      <c r="J63" s="113">
        <f>VLOOKUP(C63,'Talente &amp; Stuff'!C:AD,8,FALSE)</f>
        <v>0</v>
      </c>
      <c r="K63" s="113">
        <f>VLOOKUP(C63,'Talente &amp; Stuff'!C:AD,9,FALSE)</f>
        <v>0</v>
      </c>
      <c r="L63" s="113">
        <f>VLOOKUP(C63,'Talente &amp; Stuff'!C:AD,10,FALSE)</f>
        <v>0</v>
      </c>
      <c r="M63" s="119">
        <f>VLOOKUP(C63,'Talente &amp; Stuff'!C:AD,11,FALSE)</f>
        <v>0</v>
      </c>
      <c r="N63" s="89">
        <f>VLOOKUP(C63,'Talente &amp; Stuff'!C:AD,12,FALSE)</f>
        <v>0</v>
      </c>
      <c r="O63" s="47">
        <f>VLOOKUP(C63,'Talente &amp; Stuff'!C:AD,13,FALSE)</f>
        <v>0</v>
      </c>
      <c r="P63" s="119">
        <f>VLOOKUP(C63,'Talente &amp; Stuff'!C:AD,14,FALSE)</f>
        <v>0</v>
      </c>
      <c r="Q63" s="114">
        <f>VLOOKUP(C63,'Talente &amp; Stuff'!C:AD,15,FALSE)</f>
        <v>0</v>
      </c>
      <c r="R63" s="113">
        <f>VLOOKUP(C63,'Talente &amp; Stuff'!C:AD,16,FALSE)</f>
        <v>0</v>
      </c>
      <c r="S63" s="119">
        <f>VLOOKUP(C63,'Talente &amp; Stuff'!C:AD,17,FALSE)</f>
        <v>0</v>
      </c>
      <c r="T63" s="160">
        <f>VLOOKUP(C63,'Talente &amp; Stuff'!C:AD,18,FALSE)</f>
        <v>0</v>
      </c>
      <c r="U63" s="89">
        <f>VLOOKUP(C63,'Talente &amp; Stuff'!C:AD,19,FALSE)</f>
        <v>0</v>
      </c>
      <c r="V63" s="47">
        <f>VLOOKUP(C63,'Talente &amp; Stuff'!C:AD,20,FALSE)</f>
        <v>0</v>
      </c>
      <c r="W63" s="127">
        <f>VLOOKUP(C63,'Talente &amp; Stuff'!C:AD,21,FALSE)</f>
        <v>0</v>
      </c>
      <c r="X63" s="125">
        <f>VLOOKUP(C63,'Talente &amp; Stuff'!C:AD,22,FALSE)</f>
        <v>0</v>
      </c>
      <c r="Y63" s="165">
        <f t="shared" si="8"/>
        <v>0</v>
      </c>
      <c r="Z63" s="198">
        <f t="shared" si="9"/>
        <v>0</v>
      </c>
      <c r="AA63" s="125">
        <f>VLOOKUP(C63,'Talente &amp; Stuff'!C:AD,25,FALSE)</f>
        <v>0</v>
      </c>
      <c r="AB63" s="160">
        <f>VLOOKUP(C63,'Talente &amp; Stuff'!C:AD,26,FALSE)</f>
        <v>0</v>
      </c>
      <c r="AC63" s="127">
        <f>VLOOKUP(C63,'Talente &amp; Stuff'!C:AD,27,FALSE)</f>
        <v>0</v>
      </c>
      <c r="AD63" s="125">
        <f>VLOOKUP(C63,'Talente &amp; Stuff'!C:AD,28,FALSE)</f>
        <v>0</v>
      </c>
      <c r="AE63" s="28"/>
    </row>
    <row r="64" spans="2:31" hidden="1" outlineLevel="2">
      <c r="B64" s="133">
        <v>8</v>
      </c>
      <c r="C64" s="163" t="s">
        <v>281</v>
      </c>
      <c r="D64" s="127" t="str">
        <f>VLOOKUP(C64,'Talente &amp; Stuff'!C:AD,2,FALSE)</f>
        <v>--/--/--</v>
      </c>
      <c r="E64" s="125" t="str">
        <f>VLOOKUP(C64,'Talente &amp; Stuff'!C:AD,3,FALSE)</f>
        <v>-</v>
      </c>
      <c r="F64" s="114">
        <f>VLOOKUP(C64,'Talente &amp; Stuff'!C:AD,4,FALSE)</f>
        <v>0</v>
      </c>
      <c r="G64" s="113">
        <f>VLOOKUP(C64,'Talente &amp; Stuff'!C:AD,5,FALSE)</f>
        <v>0</v>
      </c>
      <c r="H64" s="113">
        <f>VLOOKUP(C64,'Talente &amp; Stuff'!C:AD,6,FALSE)</f>
        <v>0</v>
      </c>
      <c r="I64" s="113">
        <f>VLOOKUP(C64,'Talente &amp; Stuff'!C:AD,7,FALSE)</f>
        <v>0</v>
      </c>
      <c r="J64" s="113">
        <f>VLOOKUP(C64,'Talente &amp; Stuff'!C:AD,8,FALSE)</f>
        <v>0</v>
      </c>
      <c r="K64" s="113">
        <f>VLOOKUP(C64,'Talente &amp; Stuff'!C:AD,9,FALSE)</f>
        <v>0</v>
      </c>
      <c r="L64" s="113">
        <f>VLOOKUP(C64,'Talente &amp; Stuff'!C:AD,10,FALSE)</f>
        <v>0</v>
      </c>
      <c r="M64" s="119">
        <f>VLOOKUP(C64,'Talente &amp; Stuff'!C:AD,11,FALSE)</f>
        <v>0</v>
      </c>
      <c r="N64" s="89">
        <f>VLOOKUP(C64,'Talente &amp; Stuff'!C:AD,12,FALSE)</f>
        <v>0</v>
      </c>
      <c r="O64" s="47">
        <f>VLOOKUP(C64,'Talente &amp; Stuff'!C:AD,13,FALSE)</f>
        <v>0</v>
      </c>
      <c r="P64" s="119">
        <f>VLOOKUP(C64,'Talente &amp; Stuff'!C:AD,14,FALSE)</f>
        <v>0</v>
      </c>
      <c r="Q64" s="114">
        <f>VLOOKUP(C64,'Talente &amp; Stuff'!C:AD,15,FALSE)</f>
        <v>0</v>
      </c>
      <c r="R64" s="113">
        <f>VLOOKUP(C64,'Talente &amp; Stuff'!C:AD,16,FALSE)</f>
        <v>0</v>
      </c>
      <c r="S64" s="119">
        <f>VLOOKUP(C64,'Talente &amp; Stuff'!C:AD,17,FALSE)</f>
        <v>0</v>
      </c>
      <c r="T64" s="160">
        <f>VLOOKUP(C64,'Talente &amp; Stuff'!C:AD,18,FALSE)</f>
        <v>0</v>
      </c>
      <c r="U64" s="89">
        <f>VLOOKUP(C64,'Talente &amp; Stuff'!C:AD,19,FALSE)</f>
        <v>0</v>
      </c>
      <c r="V64" s="47">
        <f>VLOOKUP(C64,'Talente &amp; Stuff'!C:AD,20,FALSE)</f>
        <v>0</v>
      </c>
      <c r="W64" s="127">
        <f>VLOOKUP(C64,'Talente &amp; Stuff'!C:AD,21,FALSE)</f>
        <v>0</v>
      </c>
      <c r="X64" s="125">
        <f>VLOOKUP(C64,'Talente &amp; Stuff'!C:AD,22,FALSE)</f>
        <v>0</v>
      </c>
      <c r="Y64" s="165">
        <f t="shared" si="8"/>
        <v>0</v>
      </c>
      <c r="Z64" s="198">
        <f t="shared" si="9"/>
        <v>0</v>
      </c>
      <c r="AA64" s="125">
        <f>VLOOKUP(C64,'Talente &amp; Stuff'!C:AD,25,FALSE)</f>
        <v>0</v>
      </c>
      <c r="AB64" s="160">
        <f>VLOOKUP(C64,'Talente &amp; Stuff'!C:AD,26,FALSE)</f>
        <v>0</v>
      </c>
      <c r="AC64" s="127">
        <f>VLOOKUP(C64,'Talente &amp; Stuff'!C:AD,27,FALSE)</f>
        <v>0</v>
      </c>
      <c r="AD64" s="125">
        <f>VLOOKUP(C64,'Talente &amp; Stuff'!C:AD,28,FALSE)</f>
        <v>0</v>
      </c>
      <c r="AE64" s="28"/>
    </row>
    <row r="65" spans="1:31" hidden="1" outlineLevel="2">
      <c r="B65" s="133">
        <v>9</v>
      </c>
      <c r="C65" s="163" t="s">
        <v>281</v>
      </c>
      <c r="D65" s="127" t="str">
        <f>VLOOKUP(C65,'Talente &amp; Stuff'!C:AD,2,FALSE)</f>
        <v>--/--/--</v>
      </c>
      <c r="E65" s="125" t="str">
        <f>VLOOKUP(C65,'Talente &amp; Stuff'!C:AD,3,FALSE)</f>
        <v>-</v>
      </c>
      <c r="F65" s="114">
        <f>VLOOKUP(C65,'Talente &amp; Stuff'!C:AD,4,FALSE)</f>
        <v>0</v>
      </c>
      <c r="G65" s="113">
        <f>VLOOKUP(C65,'Talente &amp; Stuff'!C:AD,5,FALSE)</f>
        <v>0</v>
      </c>
      <c r="H65" s="113">
        <f>VLOOKUP(C65,'Talente &amp; Stuff'!C:AD,6,FALSE)</f>
        <v>0</v>
      </c>
      <c r="I65" s="113">
        <f>VLOOKUP(C65,'Talente &amp; Stuff'!C:AD,7,FALSE)</f>
        <v>0</v>
      </c>
      <c r="J65" s="113">
        <f>VLOOKUP(C65,'Talente &amp; Stuff'!C:AD,8,FALSE)</f>
        <v>0</v>
      </c>
      <c r="K65" s="113">
        <f>VLOOKUP(C65,'Talente &amp; Stuff'!C:AD,9,FALSE)</f>
        <v>0</v>
      </c>
      <c r="L65" s="113">
        <f>VLOOKUP(C65,'Talente &amp; Stuff'!C:AD,10,FALSE)</f>
        <v>0</v>
      </c>
      <c r="M65" s="119">
        <f>VLOOKUP(C65,'Talente &amp; Stuff'!C:AD,11,FALSE)</f>
        <v>0</v>
      </c>
      <c r="N65" s="89">
        <f>VLOOKUP(C65,'Talente &amp; Stuff'!C:AD,12,FALSE)</f>
        <v>0</v>
      </c>
      <c r="O65" s="47">
        <f>VLOOKUP(C65,'Talente &amp; Stuff'!C:AD,13,FALSE)</f>
        <v>0</v>
      </c>
      <c r="P65" s="119">
        <f>VLOOKUP(C65,'Talente &amp; Stuff'!C:AD,14,FALSE)</f>
        <v>0</v>
      </c>
      <c r="Q65" s="114">
        <f>VLOOKUP(C65,'Talente &amp; Stuff'!C:AD,15,FALSE)</f>
        <v>0</v>
      </c>
      <c r="R65" s="113">
        <f>VLOOKUP(C65,'Talente &amp; Stuff'!C:AD,16,FALSE)</f>
        <v>0</v>
      </c>
      <c r="S65" s="119">
        <f>VLOOKUP(C65,'Talente &amp; Stuff'!C:AD,17,FALSE)</f>
        <v>0</v>
      </c>
      <c r="T65" s="160">
        <f>VLOOKUP(C65,'Talente &amp; Stuff'!C:AD,18,FALSE)</f>
        <v>0</v>
      </c>
      <c r="U65" s="89">
        <f>VLOOKUP(C65,'Talente &amp; Stuff'!C:AD,19,FALSE)</f>
        <v>0</v>
      </c>
      <c r="V65" s="47">
        <f>VLOOKUP(C65,'Talente &amp; Stuff'!C:AD,20,FALSE)</f>
        <v>0</v>
      </c>
      <c r="W65" s="127">
        <f>VLOOKUP(C65,'Talente &amp; Stuff'!C:AD,21,FALSE)</f>
        <v>0</v>
      </c>
      <c r="X65" s="125">
        <f>VLOOKUP(C65,'Talente &amp; Stuff'!C:AD,22,FALSE)</f>
        <v>0</v>
      </c>
      <c r="Y65" s="165">
        <f t="shared" si="8"/>
        <v>0</v>
      </c>
      <c r="Z65" s="198">
        <f t="shared" si="9"/>
        <v>0</v>
      </c>
      <c r="AA65" s="125">
        <f>VLOOKUP(C65,'Talente &amp; Stuff'!C:AD,25,FALSE)</f>
        <v>0</v>
      </c>
      <c r="AB65" s="160">
        <f>VLOOKUP(C65,'Talente &amp; Stuff'!C:AD,26,FALSE)</f>
        <v>0</v>
      </c>
      <c r="AC65" s="127">
        <f>VLOOKUP(C65,'Talente &amp; Stuff'!C:AD,27,FALSE)</f>
        <v>0</v>
      </c>
      <c r="AD65" s="125">
        <f>VLOOKUP(C65,'Talente &amp; Stuff'!C:AD,28,FALSE)</f>
        <v>0</v>
      </c>
      <c r="AE65" s="28"/>
    </row>
    <row r="66" spans="1:31" hidden="1" outlineLevel="2">
      <c r="B66" s="133">
        <v>10</v>
      </c>
      <c r="C66" s="163" t="s">
        <v>281</v>
      </c>
      <c r="D66" s="127" t="str">
        <f>VLOOKUP(C66,'Talente &amp; Stuff'!C:AD,2,FALSE)</f>
        <v>--/--/--</v>
      </c>
      <c r="E66" s="125" t="str">
        <f>VLOOKUP(C66,'Talente &amp; Stuff'!C:AD,3,FALSE)</f>
        <v>-</v>
      </c>
      <c r="F66" s="114">
        <f>VLOOKUP(C66,'Talente &amp; Stuff'!C:AD,4,FALSE)</f>
        <v>0</v>
      </c>
      <c r="G66" s="113">
        <f>VLOOKUP(C66,'Talente &amp; Stuff'!C:AD,5,FALSE)</f>
        <v>0</v>
      </c>
      <c r="H66" s="113">
        <f>VLOOKUP(C66,'Talente &amp; Stuff'!C:AD,6,FALSE)</f>
        <v>0</v>
      </c>
      <c r="I66" s="113">
        <f>VLOOKUP(C66,'Talente &amp; Stuff'!C:AD,7,FALSE)</f>
        <v>0</v>
      </c>
      <c r="J66" s="113">
        <f>VLOOKUP(C66,'Talente &amp; Stuff'!C:AD,8,FALSE)</f>
        <v>0</v>
      </c>
      <c r="K66" s="113">
        <f>VLOOKUP(C66,'Talente &amp; Stuff'!C:AD,9,FALSE)</f>
        <v>0</v>
      </c>
      <c r="L66" s="113">
        <f>VLOOKUP(C66,'Talente &amp; Stuff'!C:AD,10,FALSE)</f>
        <v>0</v>
      </c>
      <c r="M66" s="119">
        <f>VLOOKUP(C66,'Talente &amp; Stuff'!C:AD,11,FALSE)</f>
        <v>0</v>
      </c>
      <c r="N66" s="89">
        <f>VLOOKUP(C66,'Talente &amp; Stuff'!C:AD,12,FALSE)</f>
        <v>0</v>
      </c>
      <c r="O66" s="47">
        <f>VLOOKUP(C66,'Talente &amp; Stuff'!C:AD,13,FALSE)</f>
        <v>0</v>
      </c>
      <c r="P66" s="119">
        <f>VLOOKUP(C66,'Talente &amp; Stuff'!C:AD,14,FALSE)</f>
        <v>0</v>
      </c>
      <c r="Q66" s="114">
        <f>VLOOKUP(C66,'Talente &amp; Stuff'!C:AD,15,FALSE)</f>
        <v>0</v>
      </c>
      <c r="R66" s="113">
        <f>VLOOKUP(C66,'Talente &amp; Stuff'!C:AD,16,FALSE)</f>
        <v>0</v>
      </c>
      <c r="S66" s="119">
        <f>VLOOKUP(C66,'Talente &amp; Stuff'!C:AD,17,FALSE)</f>
        <v>0</v>
      </c>
      <c r="T66" s="160">
        <f>VLOOKUP(C66,'Talente &amp; Stuff'!C:AD,18,FALSE)</f>
        <v>0</v>
      </c>
      <c r="U66" s="89">
        <f>VLOOKUP(C66,'Talente &amp; Stuff'!C:AD,19,FALSE)</f>
        <v>0</v>
      </c>
      <c r="V66" s="47">
        <f>VLOOKUP(C66,'Talente &amp; Stuff'!C:AD,20,FALSE)</f>
        <v>0</v>
      </c>
      <c r="W66" s="127">
        <f>VLOOKUP(C66,'Talente &amp; Stuff'!C:AD,21,FALSE)</f>
        <v>0</v>
      </c>
      <c r="X66" s="125">
        <f>VLOOKUP(C66,'Talente &amp; Stuff'!C:AD,22,FALSE)</f>
        <v>0</v>
      </c>
      <c r="Y66" s="165">
        <f t="shared" si="8"/>
        <v>0</v>
      </c>
      <c r="Z66" s="198">
        <f t="shared" si="9"/>
        <v>0</v>
      </c>
      <c r="AA66" s="125">
        <f>VLOOKUP(C66,'Talente &amp; Stuff'!C:AD,25,FALSE)</f>
        <v>0</v>
      </c>
      <c r="AB66" s="160">
        <f>VLOOKUP(C66,'Talente &amp; Stuff'!C:AD,26,FALSE)</f>
        <v>0</v>
      </c>
      <c r="AC66" s="127">
        <f>VLOOKUP(C66,'Talente &amp; Stuff'!C:AD,27,FALSE)</f>
        <v>0</v>
      </c>
      <c r="AD66" s="125">
        <f>VLOOKUP(C66,'Talente &amp; Stuff'!C:AD,28,FALSE)</f>
        <v>0</v>
      </c>
      <c r="AE66" s="28"/>
    </row>
    <row r="67" spans="1:31" hidden="1" outlineLevel="2">
      <c r="B67" s="133">
        <v>11</v>
      </c>
      <c r="C67" s="163" t="s">
        <v>281</v>
      </c>
      <c r="D67" s="127" t="str">
        <f>VLOOKUP(C67,'Talente &amp; Stuff'!C:AD,2,FALSE)</f>
        <v>--/--/--</v>
      </c>
      <c r="E67" s="125" t="str">
        <f>VLOOKUP(C67,'Talente &amp; Stuff'!C:AD,3,FALSE)</f>
        <v>-</v>
      </c>
      <c r="F67" s="114">
        <f>VLOOKUP(C67,'Talente &amp; Stuff'!C:AD,4,FALSE)</f>
        <v>0</v>
      </c>
      <c r="G67" s="113">
        <f>VLOOKUP(C67,'Talente &amp; Stuff'!C:AD,5,FALSE)</f>
        <v>0</v>
      </c>
      <c r="H67" s="113">
        <f>VLOOKUP(C67,'Talente &amp; Stuff'!C:AD,6,FALSE)</f>
        <v>0</v>
      </c>
      <c r="I67" s="113">
        <f>VLOOKUP(C67,'Talente &amp; Stuff'!C:AD,7,FALSE)</f>
        <v>0</v>
      </c>
      <c r="J67" s="113">
        <f>VLOOKUP(C67,'Talente &amp; Stuff'!C:AD,8,FALSE)</f>
        <v>0</v>
      </c>
      <c r="K67" s="113">
        <f>VLOOKUP(C67,'Talente &amp; Stuff'!C:AD,9,FALSE)</f>
        <v>0</v>
      </c>
      <c r="L67" s="113">
        <f>VLOOKUP(C67,'Talente &amp; Stuff'!C:AD,10,FALSE)</f>
        <v>0</v>
      </c>
      <c r="M67" s="119">
        <f>VLOOKUP(C67,'Talente &amp; Stuff'!C:AD,11,FALSE)</f>
        <v>0</v>
      </c>
      <c r="N67" s="89">
        <f>VLOOKUP(C67,'Talente &amp; Stuff'!C:AD,12,FALSE)</f>
        <v>0</v>
      </c>
      <c r="O67" s="47">
        <f>VLOOKUP(C67,'Talente &amp; Stuff'!C:AD,13,FALSE)</f>
        <v>0</v>
      </c>
      <c r="P67" s="119">
        <f>VLOOKUP(C67,'Talente &amp; Stuff'!C:AD,14,FALSE)</f>
        <v>0</v>
      </c>
      <c r="Q67" s="114">
        <f>VLOOKUP(C67,'Talente &amp; Stuff'!C:AD,15,FALSE)</f>
        <v>0</v>
      </c>
      <c r="R67" s="113">
        <f>VLOOKUP(C67,'Talente &amp; Stuff'!C:AD,16,FALSE)</f>
        <v>0</v>
      </c>
      <c r="S67" s="119">
        <f>VLOOKUP(C67,'Talente &amp; Stuff'!C:AD,17,FALSE)</f>
        <v>0</v>
      </c>
      <c r="T67" s="160">
        <f>VLOOKUP(C67,'Talente &amp; Stuff'!C:AD,18,FALSE)</f>
        <v>0</v>
      </c>
      <c r="U67" s="89">
        <f>VLOOKUP(C67,'Talente &amp; Stuff'!C:AD,19,FALSE)</f>
        <v>0</v>
      </c>
      <c r="V67" s="47">
        <f>VLOOKUP(C67,'Talente &amp; Stuff'!C:AD,20,FALSE)</f>
        <v>0</v>
      </c>
      <c r="W67" s="127">
        <f>VLOOKUP(C67,'Talente &amp; Stuff'!C:AD,21,FALSE)</f>
        <v>0</v>
      </c>
      <c r="X67" s="125">
        <f>VLOOKUP(C67,'Talente &amp; Stuff'!C:AD,22,FALSE)</f>
        <v>0</v>
      </c>
      <c r="Y67" s="165">
        <f t="shared" si="8"/>
        <v>0</v>
      </c>
      <c r="Z67" s="198">
        <f t="shared" si="9"/>
        <v>0</v>
      </c>
      <c r="AA67" s="125">
        <f>VLOOKUP(C67,'Talente &amp; Stuff'!C:AD,25,FALSE)</f>
        <v>0</v>
      </c>
      <c r="AB67" s="160">
        <f>VLOOKUP(C67,'Talente &amp; Stuff'!C:AD,26,FALSE)</f>
        <v>0</v>
      </c>
      <c r="AC67" s="127">
        <f>VLOOKUP(C67,'Talente &amp; Stuff'!C:AD,27,FALSE)</f>
        <v>0</v>
      </c>
      <c r="AD67" s="125">
        <f>VLOOKUP(C67,'Talente &amp; Stuff'!C:AD,28,FALSE)</f>
        <v>0</v>
      </c>
      <c r="AE67" s="28"/>
    </row>
    <row r="68" spans="1:31" hidden="1" outlineLevel="2">
      <c r="B68" s="133">
        <v>12</v>
      </c>
      <c r="C68" s="163" t="s">
        <v>281</v>
      </c>
      <c r="D68" s="127" t="str">
        <f>VLOOKUP(C68,'Talente &amp; Stuff'!C:AD,2,FALSE)</f>
        <v>--/--/--</v>
      </c>
      <c r="E68" s="125" t="str">
        <f>VLOOKUP(C68,'Talente &amp; Stuff'!C:AD,3,FALSE)</f>
        <v>-</v>
      </c>
      <c r="F68" s="114">
        <f>VLOOKUP(C68,'Talente &amp; Stuff'!C:AD,4,FALSE)</f>
        <v>0</v>
      </c>
      <c r="G68" s="113">
        <f>VLOOKUP(C68,'Talente &amp; Stuff'!C:AD,5,FALSE)</f>
        <v>0</v>
      </c>
      <c r="H68" s="113">
        <f>VLOOKUP(C68,'Talente &amp; Stuff'!C:AD,6,FALSE)</f>
        <v>0</v>
      </c>
      <c r="I68" s="113">
        <f>VLOOKUP(C68,'Talente &amp; Stuff'!C:AD,7,FALSE)</f>
        <v>0</v>
      </c>
      <c r="J68" s="113">
        <f>VLOOKUP(C68,'Talente &amp; Stuff'!C:AD,8,FALSE)</f>
        <v>0</v>
      </c>
      <c r="K68" s="113">
        <f>VLOOKUP(C68,'Talente &amp; Stuff'!C:AD,9,FALSE)</f>
        <v>0</v>
      </c>
      <c r="L68" s="113">
        <f>VLOOKUP(C68,'Talente &amp; Stuff'!C:AD,10,FALSE)</f>
        <v>0</v>
      </c>
      <c r="M68" s="119">
        <f>VLOOKUP(C68,'Talente &amp; Stuff'!C:AD,11,FALSE)</f>
        <v>0</v>
      </c>
      <c r="N68" s="89">
        <f>VLOOKUP(C68,'Talente &amp; Stuff'!C:AD,12,FALSE)</f>
        <v>0</v>
      </c>
      <c r="O68" s="47">
        <f>VLOOKUP(C68,'Talente &amp; Stuff'!C:AD,13,FALSE)</f>
        <v>0</v>
      </c>
      <c r="P68" s="119">
        <f>VLOOKUP(C68,'Talente &amp; Stuff'!C:AD,14,FALSE)</f>
        <v>0</v>
      </c>
      <c r="Q68" s="114">
        <f>VLOOKUP(C68,'Talente &amp; Stuff'!C:AD,15,FALSE)</f>
        <v>0</v>
      </c>
      <c r="R68" s="113">
        <f>VLOOKUP(C68,'Talente &amp; Stuff'!C:AD,16,FALSE)</f>
        <v>0</v>
      </c>
      <c r="S68" s="119">
        <f>VLOOKUP(C68,'Talente &amp; Stuff'!C:AD,17,FALSE)</f>
        <v>0</v>
      </c>
      <c r="T68" s="160">
        <f>VLOOKUP(C68,'Talente &amp; Stuff'!C:AD,18,FALSE)</f>
        <v>0</v>
      </c>
      <c r="U68" s="89">
        <f>VLOOKUP(C68,'Talente &amp; Stuff'!C:AD,19,FALSE)</f>
        <v>0</v>
      </c>
      <c r="V68" s="47">
        <f>VLOOKUP(C68,'Talente &amp; Stuff'!C:AD,20,FALSE)</f>
        <v>0</v>
      </c>
      <c r="W68" s="127">
        <f>VLOOKUP(C68,'Talente &amp; Stuff'!C:AD,21,FALSE)</f>
        <v>0</v>
      </c>
      <c r="X68" s="125">
        <f>VLOOKUP(C68,'Talente &amp; Stuff'!C:AD,22,FALSE)</f>
        <v>0</v>
      </c>
      <c r="Y68" s="165">
        <f t="shared" si="8"/>
        <v>0</v>
      </c>
      <c r="Z68" s="198">
        <f t="shared" si="9"/>
        <v>0</v>
      </c>
      <c r="AA68" s="125">
        <f>VLOOKUP(C68,'Talente &amp; Stuff'!C:AD,25,FALSE)</f>
        <v>0</v>
      </c>
      <c r="AB68" s="160">
        <f>VLOOKUP(C68,'Talente &amp; Stuff'!C:AD,26,FALSE)</f>
        <v>0</v>
      </c>
      <c r="AC68" s="127">
        <f>VLOOKUP(C68,'Talente &amp; Stuff'!C:AD,27,FALSE)</f>
        <v>0</v>
      </c>
      <c r="AD68" s="125">
        <f>VLOOKUP(C68,'Talente &amp; Stuff'!C:AD,28,FALSE)</f>
        <v>0</v>
      </c>
      <c r="AE68" s="28"/>
    </row>
    <row r="69" spans="1:31" hidden="1" outlineLevel="2">
      <c r="B69" s="133">
        <v>13</v>
      </c>
      <c r="C69" s="163" t="s">
        <v>281</v>
      </c>
      <c r="D69" s="127" t="str">
        <f>VLOOKUP(C69,'Talente &amp; Stuff'!C:AD,2,FALSE)</f>
        <v>--/--/--</v>
      </c>
      <c r="E69" s="125" t="str">
        <f>VLOOKUP(C69,'Talente &amp; Stuff'!C:AD,3,FALSE)</f>
        <v>-</v>
      </c>
      <c r="F69" s="114">
        <f>VLOOKUP(C69,'Talente &amp; Stuff'!C:AD,4,FALSE)</f>
        <v>0</v>
      </c>
      <c r="G69" s="113">
        <f>VLOOKUP(C69,'Talente &amp; Stuff'!C:AD,5,FALSE)</f>
        <v>0</v>
      </c>
      <c r="H69" s="113">
        <f>VLOOKUP(C69,'Talente &amp; Stuff'!C:AD,6,FALSE)</f>
        <v>0</v>
      </c>
      <c r="I69" s="113">
        <f>VLOOKUP(C69,'Talente &amp; Stuff'!C:AD,7,FALSE)</f>
        <v>0</v>
      </c>
      <c r="J69" s="113">
        <f>VLOOKUP(C69,'Talente &amp; Stuff'!C:AD,8,FALSE)</f>
        <v>0</v>
      </c>
      <c r="K69" s="113">
        <f>VLOOKUP(C69,'Talente &amp; Stuff'!C:AD,9,FALSE)</f>
        <v>0</v>
      </c>
      <c r="L69" s="113">
        <f>VLOOKUP(C69,'Talente &amp; Stuff'!C:AD,10,FALSE)</f>
        <v>0</v>
      </c>
      <c r="M69" s="119">
        <f>VLOOKUP(C69,'Talente &amp; Stuff'!C:AD,11,FALSE)</f>
        <v>0</v>
      </c>
      <c r="N69" s="89">
        <f>VLOOKUP(C69,'Talente &amp; Stuff'!C:AD,12,FALSE)</f>
        <v>0</v>
      </c>
      <c r="O69" s="47">
        <f>VLOOKUP(C69,'Talente &amp; Stuff'!C:AD,13,FALSE)</f>
        <v>0</v>
      </c>
      <c r="P69" s="119">
        <f>VLOOKUP(C69,'Talente &amp; Stuff'!C:AD,14,FALSE)</f>
        <v>0</v>
      </c>
      <c r="Q69" s="114">
        <f>VLOOKUP(C69,'Talente &amp; Stuff'!C:AD,15,FALSE)</f>
        <v>0</v>
      </c>
      <c r="R69" s="113">
        <f>VLOOKUP(C69,'Talente &amp; Stuff'!C:AD,16,FALSE)</f>
        <v>0</v>
      </c>
      <c r="S69" s="119">
        <f>VLOOKUP(C69,'Talente &amp; Stuff'!C:AD,17,FALSE)</f>
        <v>0</v>
      </c>
      <c r="T69" s="160">
        <f>VLOOKUP(C69,'Talente &amp; Stuff'!C:AD,18,FALSE)</f>
        <v>0</v>
      </c>
      <c r="U69" s="89">
        <f>VLOOKUP(C69,'Talente &amp; Stuff'!C:AD,19,FALSE)</f>
        <v>0</v>
      </c>
      <c r="V69" s="47">
        <f>VLOOKUP(C69,'Talente &amp; Stuff'!C:AD,20,FALSE)</f>
        <v>0</v>
      </c>
      <c r="W69" s="127">
        <f>VLOOKUP(C69,'Talente &amp; Stuff'!C:AD,21,FALSE)</f>
        <v>0</v>
      </c>
      <c r="X69" s="125">
        <f>VLOOKUP(C69,'Talente &amp; Stuff'!C:AD,22,FALSE)</f>
        <v>0</v>
      </c>
      <c r="Y69" s="165">
        <f t="shared" si="8"/>
        <v>0</v>
      </c>
      <c r="Z69" s="198">
        <f t="shared" si="9"/>
        <v>0</v>
      </c>
      <c r="AA69" s="125">
        <f>VLOOKUP(C69,'Talente &amp; Stuff'!C:AD,25,FALSE)</f>
        <v>0</v>
      </c>
      <c r="AB69" s="160">
        <f>VLOOKUP(C69,'Talente &amp; Stuff'!C:AD,26,FALSE)</f>
        <v>0</v>
      </c>
      <c r="AC69" s="127">
        <f>VLOOKUP(C69,'Talente &amp; Stuff'!C:AD,27,FALSE)</f>
        <v>0</v>
      </c>
      <c r="AD69" s="125">
        <f>VLOOKUP(C69,'Talente &amp; Stuff'!C:AD,28,FALSE)</f>
        <v>0</v>
      </c>
      <c r="AE69" s="28"/>
    </row>
    <row r="70" spans="1:31" hidden="1" outlineLevel="2">
      <c r="B70" s="133">
        <v>14</v>
      </c>
      <c r="C70" s="163" t="s">
        <v>281</v>
      </c>
      <c r="D70" s="127" t="str">
        <f>VLOOKUP(C70,'Talente &amp; Stuff'!C:AD,2,FALSE)</f>
        <v>--/--/--</v>
      </c>
      <c r="E70" s="125" t="str">
        <f>VLOOKUP(C70,'Talente &amp; Stuff'!C:AD,3,FALSE)</f>
        <v>-</v>
      </c>
      <c r="F70" s="114">
        <f>VLOOKUP(C70,'Talente &amp; Stuff'!C:AD,4,FALSE)</f>
        <v>0</v>
      </c>
      <c r="G70" s="113">
        <f>VLOOKUP(C70,'Talente &amp; Stuff'!C:AD,5,FALSE)</f>
        <v>0</v>
      </c>
      <c r="H70" s="113">
        <f>VLOOKUP(C70,'Talente &amp; Stuff'!C:AD,6,FALSE)</f>
        <v>0</v>
      </c>
      <c r="I70" s="113">
        <f>VLOOKUP(C70,'Talente &amp; Stuff'!C:AD,7,FALSE)</f>
        <v>0</v>
      </c>
      <c r="J70" s="113">
        <f>VLOOKUP(C70,'Talente &amp; Stuff'!C:AD,8,FALSE)</f>
        <v>0</v>
      </c>
      <c r="K70" s="113">
        <f>VLOOKUP(C70,'Talente &amp; Stuff'!C:AD,9,FALSE)</f>
        <v>0</v>
      </c>
      <c r="L70" s="113">
        <f>VLOOKUP(C70,'Talente &amp; Stuff'!C:AD,10,FALSE)</f>
        <v>0</v>
      </c>
      <c r="M70" s="119">
        <f>VLOOKUP(C70,'Talente &amp; Stuff'!C:AD,11,FALSE)</f>
        <v>0</v>
      </c>
      <c r="N70" s="89">
        <f>VLOOKUP(C70,'Talente &amp; Stuff'!C:AD,12,FALSE)</f>
        <v>0</v>
      </c>
      <c r="O70" s="47">
        <f>VLOOKUP(C70,'Talente &amp; Stuff'!C:AD,13,FALSE)</f>
        <v>0</v>
      </c>
      <c r="P70" s="119">
        <f>VLOOKUP(C70,'Talente &amp; Stuff'!C:AD,14,FALSE)</f>
        <v>0</v>
      </c>
      <c r="Q70" s="114">
        <f>VLOOKUP(C70,'Talente &amp; Stuff'!C:AD,15,FALSE)</f>
        <v>0</v>
      </c>
      <c r="R70" s="113">
        <f>VLOOKUP(C70,'Talente &amp; Stuff'!C:AD,16,FALSE)</f>
        <v>0</v>
      </c>
      <c r="S70" s="119">
        <f>VLOOKUP(C70,'Talente &amp; Stuff'!C:AD,17,FALSE)</f>
        <v>0</v>
      </c>
      <c r="T70" s="160">
        <f>VLOOKUP(C70,'Talente &amp; Stuff'!C:AD,18,FALSE)</f>
        <v>0</v>
      </c>
      <c r="U70" s="89">
        <f>VLOOKUP(C70,'Talente &amp; Stuff'!C:AD,19,FALSE)</f>
        <v>0</v>
      </c>
      <c r="V70" s="47">
        <f>VLOOKUP(C70,'Talente &amp; Stuff'!C:AD,20,FALSE)</f>
        <v>0</v>
      </c>
      <c r="W70" s="127">
        <f>VLOOKUP(C70,'Talente &amp; Stuff'!C:AD,21,FALSE)</f>
        <v>0</v>
      </c>
      <c r="X70" s="125">
        <f>VLOOKUP(C70,'Talente &amp; Stuff'!C:AD,22,FALSE)</f>
        <v>0</v>
      </c>
      <c r="Y70" s="165">
        <f t="shared" si="8"/>
        <v>0</v>
      </c>
      <c r="Z70" s="198">
        <f t="shared" si="9"/>
        <v>0</v>
      </c>
      <c r="AA70" s="125">
        <f>VLOOKUP(C70,'Talente &amp; Stuff'!C:AD,25,FALSE)</f>
        <v>0</v>
      </c>
      <c r="AB70" s="160">
        <f>VLOOKUP(C70,'Talente &amp; Stuff'!C:AD,26,FALSE)</f>
        <v>0</v>
      </c>
      <c r="AC70" s="127">
        <f>VLOOKUP(C70,'Talente &amp; Stuff'!C:AD,27,FALSE)</f>
        <v>0</v>
      </c>
      <c r="AD70" s="125">
        <f>VLOOKUP(C70,'Talente &amp; Stuff'!C:AD,28,FALSE)</f>
        <v>0</v>
      </c>
      <c r="AE70" s="28"/>
    </row>
    <row r="71" spans="1:31" hidden="1" outlineLevel="2">
      <c r="B71" s="133">
        <v>15</v>
      </c>
      <c r="C71" s="163" t="s">
        <v>281</v>
      </c>
      <c r="D71" s="127" t="str">
        <f>VLOOKUP(C71,'Talente &amp; Stuff'!C:AD,2,FALSE)</f>
        <v>--/--/--</v>
      </c>
      <c r="E71" s="125" t="str">
        <f>VLOOKUP(C71,'Talente &amp; Stuff'!C:AD,3,FALSE)</f>
        <v>-</v>
      </c>
      <c r="F71" s="114">
        <f>VLOOKUP(C71,'Talente &amp; Stuff'!C:AD,4,FALSE)</f>
        <v>0</v>
      </c>
      <c r="G71" s="113">
        <f>VLOOKUP(C71,'Talente &amp; Stuff'!C:AD,5,FALSE)</f>
        <v>0</v>
      </c>
      <c r="H71" s="113">
        <f>VLOOKUP(C71,'Talente &amp; Stuff'!C:AD,6,FALSE)</f>
        <v>0</v>
      </c>
      <c r="I71" s="113">
        <f>VLOOKUP(C71,'Talente &amp; Stuff'!C:AD,7,FALSE)</f>
        <v>0</v>
      </c>
      <c r="J71" s="113">
        <f>VLOOKUP(C71,'Talente &amp; Stuff'!C:AD,8,FALSE)</f>
        <v>0</v>
      </c>
      <c r="K71" s="113">
        <f>VLOOKUP(C71,'Talente &amp; Stuff'!C:AD,9,FALSE)</f>
        <v>0</v>
      </c>
      <c r="L71" s="113">
        <f>VLOOKUP(C71,'Talente &amp; Stuff'!C:AD,10,FALSE)</f>
        <v>0</v>
      </c>
      <c r="M71" s="119">
        <f>VLOOKUP(C71,'Talente &amp; Stuff'!C:AD,11,FALSE)</f>
        <v>0</v>
      </c>
      <c r="N71" s="89">
        <f>VLOOKUP(C71,'Talente &amp; Stuff'!C:AD,12,FALSE)</f>
        <v>0</v>
      </c>
      <c r="O71" s="47">
        <f>VLOOKUP(C71,'Talente &amp; Stuff'!C:AD,13,FALSE)</f>
        <v>0</v>
      </c>
      <c r="P71" s="119">
        <f>VLOOKUP(C71,'Talente &amp; Stuff'!C:AD,14,FALSE)</f>
        <v>0</v>
      </c>
      <c r="Q71" s="114">
        <f>VLOOKUP(C71,'Talente &amp; Stuff'!C:AD,15,FALSE)</f>
        <v>0</v>
      </c>
      <c r="R71" s="113">
        <f>VLOOKUP(C71,'Talente &amp; Stuff'!C:AD,16,FALSE)</f>
        <v>0</v>
      </c>
      <c r="S71" s="119">
        <f>VLOOKUP(C71,'Talente &amp; Stuff'!C:AD,17,FALSE)</f>
        <v>0</v>
      </c>
      <c r="T71" s="160">
        <f>VLOOKUP(C71,'Talente &amp; Stuff'!C:AD,18,FALSE)</f>
        <v>0</v>
      </c>
      <c r="U71" s="89">
        <f>VLOOKUP(C71,'Talente &amp; Stuff'!C:AD,19,FALSE)</f>
        <v>0</v>
      </c>
      <c r="V71" s="47">
        <f>VLOOKUP(C71,'Talente &amp; Stuff'!C:AD,20,FALSE)</f>
        <v>0</v>
      </c>
      <c r="W71" s="127">
        <f>VLOOKUP(C71,'Talente &amp; Stuff'!C:AD,21,FALSE)</f>
        <v>0</v>
      </c>
      <c r="X71" s="125">
        <f>VLOOKUP(C71,'Talente &amp; Stuff'!C:AD,22,FALSE)</f>
        <v>0</v>
      </c>
      <c r="Y71" s="165">
        <f t="shared" si="8"/>
        <v>0</v>
      </c>
      <c r="Z71" s="198">
        <f t="shared" si="9"/>
        <v>0</v>
      </c>
      <c r="AA71" s="125">
        <f>VLOOKUP(C71,'Talente &amp; Stuff'!C:AD,25,FALSE)</f>
        <v>0</v>
      </c>
      <c r="AB71" s="160">
        <f>VLOOKUP(C71,'Talente &amp; Stuff'!C:AD,26,FALSE)</f>
        <v>0</v>
      </c>
      <c r="AC71" s="127">
        <f>VLOOKUP(C71,'Talente &amp; Stuff'!C:AD,27,FALSE)</f>
        <v>0</v>
      </c>
      <c r="AD71" s="125">
        <f>VLOOKUP(C71,'Talente &amp; Stuff'!C:AD,28,FALSE)</f>
        <v>0</v>
      </c>
      <c r="AE71" s="28"/>
    </row>
    <row r="72" spans="1:31" hidden="1" outlineLevel="2">
      <c r="B72" s="133">
        <v>16</v>
      </c>
      <c r="C72" s="163" t="s">
        <v>281</v>
      </c>
      <c r="D72" s="127" t="str">
        <f>VLOOKUP(C72,'Talente &amp; Stuff'!C:AD,2,FALSE)</f>
        <v>--/--/--</v>
      </c>
      <c r="E72" s="125" t="str">
        <f>VLOOKUP(C72,'Talente &amp; Stuff'!C:AD,3,FALSE)</f>
        <v>-</v>
      </c>
      <c r="F72" s="114">
        <f>VLOOKUP(C72,'Talente &amp; Stuff'!C:AD,4,FALSE)</f>
        <v>0</v>
      </c>
      <c r="G72" s="113">
        <f>VLOOKUP(C72,'Talente &amp; Stuff'!C:AD,5,FALSE)</f>
        <v>0</v>
      </c>
      <c r="H72" s="113">
        <f>VLOOKUP(C72,'Talente &amp; Stuff'!C:AD,6,FALSE)</f>
        <v>0</v>
      </c>
      <c r="I72" s="113">
        <f>VLOOKUP(C72,'Talente &amp; Stuff'!C:AD,7,FALSE)</f>
        <v>0</v>
      </c>
      <c r="J72" s="113">
        <f>VLOOKUP(C72,'Talente &amp; Stuff'!C:AD,8,FALSE)</f>
        <v>0</v>
      </c>
      <c r="K72" s="113">
        <f>VLOOKUP(C72,'Talente &amp; Stuff'!C:AD,9,FALSE)</f>
        <v>0</v>
      </c>
      <c r="L72" s="113">
        <f>VLOOKUP(C72,'Talente &amp; Stuff'!C:AD,10,FALSE)</f>
        <v>0</v>
      </c>
      <c r="M72" s="119">
        <f>VLOOKUP(C72,'Talente &amp; Stuff'!C:AD,11,FALSE)</f>
        <v>0</v>
      </c>
      <c r="N72" s="89">
        <f>VLOOKUP(C72,'Talente &amp; Stuff'!C:AD,12,FALSE)</f>
        <v>0</v>
      </c>
      <c r="O72" s="47">
        <f>VLOOKUP(C72,'Talente &amp; Stuff'!C:AD,13,FALSE)</f>
        <v>0</v>
      </c>
      <c r="P72" s="119">
        <f>VLOOKUP(C72,'Talente &amp; Stuff'!C:AD,14,FALSE)</f>
        <v>0</v>
      </c>
      <c r="Q72" s="114">
        <f>VLOOKUP(C72,'Talente &amp; Stuff'!C:AD,15,FALSE)</f>
        <v>0</v>
      </c>
      <c r="R72" s="113">
        <f>VLOOKUP(C72,'Talente &amp; Stuff'!C:AD,16,FALSE)</f>
        <v>0</v>
      </c>
      <c r="S72" s="119">
        <f>VLOOKUP(C72,'Talente &amp; Stuff'!C:AD,17,FALSE)</f>
        <v>0</v>
      </c>
      <c r="T72" s="160">
        <f>VLOOKUP(C72,'Talente &amp; Stuff'!C:AD,18,FALSE)</f>
        <v>0</v>
      </c>
      <c r="U72" s="89">
        <f>VLOOKUP(C72,'Talente &amp; Stuff'!C:AD,19,FALSE)</f>
        <v>0</v>
      </c>
      <c r="V72" s="47">
        <f>VLOOKUP(C72,'Talente &amp; Stuff'!C:AD,20,FALSE)</f>
        <v>0</v>
      </c>
      <c r="W72" s="127">
        <f>VLOOKUP(C72,'Talente &amp; Stuff'!C:AD,21,FALSE)</f>
        <v>0</v>
      </c>
      <c r="X72" s="125">
        <f>VLOOKUP(C72,'Talente &amp; Stuff'!C:AD,22,FALSE)</f>
        <v>0</v>
      </c>
      <c r="Y72" s="165">
        <f t="shared" si="8"/>
        <v>0</v>
      </c>
      <c r="Z72" s="198">
        <f t="shared" si="9"/>
        <v>0</v>
      </c>
      <c r="AA72" s="125">
        <f>VLOOKUP(C72,'Talente &amp; Stuff'!C:AD,25,FALSE)</f>
        <v>0</v>
      </c>
      <c r="AB72" s="160">
        <f>VLOOKUP(C72,'Talente &amp; Stuff'!C:AD,26,FALSE)</f>
        <v>0</v>
      </c>
      <c r="AC72" s="127">
        <f>VLOOKUP(C72,'Talente &amp; Stuff'!C:AD,27,FALSE)</f>
        <v>0</v>
      </c>
      <c r="AD72" s="125">
        <f>VLOOKUP(C72,'Talente &amp; Stuff'!C:AD,28,FALSE)</f>
        <v>0</v>
      </c>
      <c r="AE72" s="28"/>
    </row>
    <row r="73" spans="1:31" hidden="1" outlineLevel="2">
      <c r="B73" s="133">
        <v>17</v>
      </c>
      <c r="C73" s="164" t="s">
        <v>281</v>
      </c>
      <c r="D73" s="128" t="str">
        <f>VLOOKUP(C73,'Talente &amp; Stuff'!C:AD,2,FALSE)</f>
        <v>--/--/--</v>
      </c>
      <c r="E73" s="159" t="str">
        <f>VLOOKUP(C73,'Talente &amp; Stuff'!C:AD,3,FALSE)</f>
        <v>-</v>
      </c>
      <c r="F73" s="115">
        <f>VLOOKUP(C73,'Talente &amp; Stuff'!C:AD,4,FALSE)</f>
        <v>0</v>
      </c>
      <c r="G73" s="122">
        <f>VLOOKUP(C73,'Talente &amp; Stuff'!C:AD,5,FALSE)</f>
        <v>0</v>
      </c>
      <c r="H73" s="122">
        <f>VLOOKUP(C73,'Talente &amp; Stuff'!C:AD,6,FALSE)</f>
        <v>0</v>
      </c>
      <c r="I73" s="122">
        <f>VLOOKUP(C73,'Talente &amp; Stuff'!C:AD,7,FALSE)</f>
        <v>0</v>
      </c>
      <c r="J73" s="122">
        <f>VLOOKUP(C73,'Talente &amp; Stuff'!C:AD,8,FALSE)</f>
        <v>0</v>
      </c>
      <c r="K73" s="122">
        <f>VLOOKUP(C73,'Talente &amp; Stuff'!C:AD,9,FALSE)</f>
        <v>0</v>
      </c>
      <c r="L73" s="122">
        <f>VLOOKUP(C73,'Talente &amp; Stuff'!C:AD,10,FALSE)</f>
        <v>0</v>
      </c>
      <c r="M73" s="123">
        <f>VLOOKUP(C73,'Talente &amp; Stuff'!C:AD,11,FALSE)</f>
        <v>0</v>
      </c>
      <c r="N73" s="90">
        <f>VLOOKUP(C73,'Talente &amp; Stuff'!C:AD,12,FALSE)</f>
        <v>0</v>
      </c>
      <c r="O73" s="88">
        <f>VLOOKUP(C73,'Talente &amp; Stuff'!C:AD,13,FALSE)</f>
        <v>0</v>
      </c>
      <c r="P73" s="123">
        <f>VLOOKUP(C73,'Talente &amp; Stuff'!C:AD,14,FALSE)</f>
        <v>0</v>
      </c>
      <c r="Q73" s="115">
        <f>VLOOKUP(C73,'Talente &amp; Stuff'!C:AD,15,FALSE)</f>
        <v>0</v>
      </c>
      <c r="R73" s="122">
        <f>VLOOKUP(C73,'Talente &amp; Stuff'!C:AD,16,FALSE)</f>
        <v>0</v>
      </c>
      <c r="S73" s="123">
        <f>VLOOKUP(C73,'Talente &amp; Stuff'!C:AD,17,FALSE)</f>
        <v>0</v>
      </c>
      <c r="T73" s="161">
        <f>VLOOKUP(C73,'Talente &amp; Stuff'!C:AD,18,FALSE)</f>
        <v>0</v>
      </c>
      <c r="U73" s="90">
        <f>VLOOKUP(C73,'Talente &amp; Stuff'!C:AD,19,FALSE)</f>
        <v>0</v>
      </c>
      <c r="V73" s="88">
        <f>VLOOKUP(C73,'Talente &amp; Stuff'!C:AD,20,FALSE)</f>
        <v>0</v>
      </c>
      <c r="W73" s="128">
        <f>VLOOKUP(C73,'Talente &amp; Stuff'!C:AD,21,FALSE)</f>
        <v>0</v>
      </c>
      <c r="X73" s="159">
        <f>VLOOKUP(C73,'Talente &amp; Stuff'!C:AD,22,FALSE)</f>
        <v>0</v>
      </c>
      <c r="Y73" s="165">
        <f t="shared" si="8"/>
        <v>0</v>
      </c>
      <c r="Z73" s="198">
        <f t="shared" si="9"/>
        <v>0</v>
      </c>
      <c r="AA73" s="159">
        <f>VLOOKUP(C73,'Talente &amp; Stuff'!C:AD,25,FALSE)</f>
        <v>0</v>
      </c>
      <c r="AB73" s="161">
        <f>VLOOKUP(C73,'Talente &amp; Stuff'!C:AD,26,FALSE)</f>
        <v>0</v>
      </c>
      <c r="AC73" s="128">
        <f>VLOOKUP(C73,'Talente &amp; Stuff'!C:AD,27,FALSE)</f>
        <v>0</v>
      </c>
      <c r="AD73" s="159">
        <f>VLOOKUP(C73,'Talente &amp; Stuff'!C:AD,28,FALSE)</f>
        <v>0</v>
      </c>
      <c r="AE73" s="28"/>
    </row>
    <row r="74" spans="1:31" outlineLevel="1" collapsed="1"/>
    <row r="75" spans="1:31" ht="15.75" thickBot="1"/>
    <row r="76" spans="1:31" ht="15.75" thickBot="1">
      <c r="A76" s="135" t="s">
        <v>332</v>
      </c>
    </row>
    <row r="77" spans="1:31" hidden="1" outlineLevel="1">
      <c r="B77" s="134" t="s">
        <v>327</v>
      </c>
      <c r="C77" s="142"/>
    </row>
    <row r="78" spans="1:31" hidden="1" outlineLevel="2">
      <c r="B78" s="133">
        <v>1</v>
      </c>
      <c r="C78" s="162" t="s">
        <v>281</v>
      </c>
      <c r="D78" s="158" t="str">
        <f>VLOOKUP(C78,'Talente &amp; Stuff'!C:AD,2,FALSE)</f>
        <v>--/--/--</v>
      </c>
      <c r="E78" s="126" t="str">
        <f>VLOOKUP(C78,'Talente &amp; Stuff'!C:AD,3,FALSE)</f>
        <v>-</v>
      </c>
      <c r="F78" s="152">
        <f>VLOOKUP(C78,'Talente &amp; Stuff'!C:AD,4,FALSE)</f>
        <v>0</v>
      </c>
      <c r="G78" s="118">
        <f>VLOOKUP(C78,'Talente &amp; Stuff'!C:AD,5,FALSE)</f>
        <v>0</v>
      </c>
      <c r="H78" s="118">
        <f>VLOOKUP(C78,'Talente &amp; Stuff'!C:AD,6,FALSE)</f>
        <v>0</v>
      </c>
      <c r="I78" s="118">
        <f>VLOOKUP(C78,'Talente &amp; Stuff'!C:AD,7,FALSE)</f>
        <v>0</v>
      </c>
      <c r="J78" s="118">
        <f>VLOOKUP(C78,'Talente &amp; Stuff'!C:AD,8,FALSE)</f>
        <v>0</v>
      </c>
      <c r="K78" s="118">
        <f>VLOOKUP(C78,'Talente &amp; Stuff'!C:AD,9,FALSE)</f>
        <v>0</v>
      </c>
      <c r="L78" s="118">
        <f>VLOOKUP(C78,'Talente &amp; Stuff'!C:AD,10,FALSE)</f>
        <v>0</v>
      </c>
      <c r="M78" s="92">
        <f>VLOOKUP(C78,'Talente &amp; Stuff'!C:AD,11,FALSE)</f>
        <v>0</v>
      </c>
      <c r="N78" s="116">
        <f>VLOOKUP(C78,'Talente &amp; Stuff'!C:AD,12,FALSE)</f>
        <v>0</v>
      </c>
      <c r="O78" s="116">
        <f>VLOOKUP(C78,'Talente &amp; Stuff'!C:AD,13,FALSE)</f>
        <v>0</v>
      </c>
      <c r="P78" s="92">
        <f>VLOOKUP(C78,'Talente &amp; Stuff'!C:AD,14,FALSE)</f>
        <v>0</v>
      </c>
      <c r="Q78" s="152">
        <f>VLOOKUP(C78,'Talente &amp; Stuff'!C:AD,15,FALSE)</f>
        <v>0</v>
      </c>
      <c r="R78" s="118">
        <f>VLOOKUP(C78,'Talente &amp; Stuff'!C:AD,16,FALSE)</f>
        <v>0</v>
      </c>
      <c r="S78" s="92">
        <f>VLOOKUP(C78,'Talente &amp; Stuff'!C:AD,17,FALSE)</f>
        <v>0</v>
      </c>
      <c r="T78" s="92">
        <f>VLOOKUP(C78,'Talente &amp; Stuff'!C:AD,18,FALSE)</f>
        <v>0</v>
      </c>
      <c r="U78" s="154">
        <f>VLOOKUP(C78,'Talente &amp; Stuff'!C:AD,19,FALSE)</f>
        <v>0</v>
      </c>
      <c r="V78" s="116">
        <f>VLOOKUP(C78,'Talente &amp; Stuff'!C:AD,20,FALSE)</f>
        <v>0</v>
      </c>
      <c r="W78" s="126">
        <f>VLOOKUP(C78,'Talente &amp; Stuff'!C:AD,21,FALSE)</f>
        <v>0</v>
      </c>
      <c r="X78" s="126">
        <f>VLOOKUP(C78,'Talente &amp; Stuff'!C:AD,22,FALSE)</f>
        <v>0</v>
      </c>
      <c r="Y78" s="165">
        <f t="shared" ref="Y78:Y98" si="10">VLOOKUP(C78,Ausgewählte_Zauber_Allgemein,23,FALSE)</f>
        <v>0</v>
      </c>
      <c r="Z78" s="198">
        <f t="shared" ref="Z78:Z98" si="11">VLOOKUP(C78,Ausgewählte_Zauber_Allgemein,24,FALSE)</f>
        <v>0</v>
      </c>
      <c r="AA78" s="158">
        <f>VLOOKUP(C78,'Talente &amp; Stuff'!C:AD,25,FALSE)</f>
        <v>0</v>
      </c>
      <c r="AB78" s="91">
        <f>VLOOKUP(C78,'Talente &amp; Stuff'!C:AD,26,FALSE)</f>
        <v>0</v>
      </c>
      <c r="AC78" s="126">
        <f>VLOOKUP(C78,'Talente &amp; Stuff'!C:AD,27,FALSE)</f>
        <v>0</v>
      </c>
      <c r="AD78" s="158">
        <f>VLOOKUP(C78,'Talente &amp; Stuff'!C:AD,28,FALSE)</f>
        <v>0</v>
      </c>
      <c r="AE78" s="28"/>
    </row>
    <row r="79" spans="1:31" hidden="1" outlineLevel="2">
      <c r="B79" s="133">
        <v>2</v>
      </c>
      <c r="C79" s="163" t="s">
        <v>281</v>
      </c>
      <c r="D79" s="125" t="str">
        <f>VLOOKUP(C79,'Talente &amp; Stuff'!C:AD,2,FALSE)</f>
        <v>--/--/--</v>
      </c>
      <c r="E79" s="127" t="str">
        <f>VLOOKUP(C79,'Talente &amp; Stuff'!C:AD,3,FALSE)</f>
        <v>-</v>
      </c>
      <c r="F79" s="114">
        <f>VLOOKUP(C79,'Talente &amp; Stuff'!C:AD,4,FALSE)</f>
        <v>0</v>
      </c>
      <c r="G79" s="113">
        <f>VLOOKUP(C79,'Talente &amp; Stuff'!C:AD,5,FALSE)</f>
        <v>0</v>
      </c>
      <c r="H79" s="113">
        <f>VLOOKUP(C79,'Talente &amp; Stuff'!C:AD,6,FALSE)</f>
        <v>0</v>
      </c>
      <c r="I79" s="113">
        <f>VLOOKUP(C79,'Talente &amp; Stuff'!C:AD,7,FALSE)</f>
        <v>0</v>
      </c>
      <c r="J79" s="113">
        <f>VLOOKUP(C79,'Talente &amp; Stuff'!C:AD,8,FALSE)</f>
        <v>0</v>
      </c>
      <c r="K79" s="113">
        <f>VLOOKUP(C79,'Talente &amp; Stuff'!C:AD,9,FALSE)</f>
        <v>0</v>
      </c>
      <c r="L79" s="113">
        <f>VLOOKUP(C79,'Talente &amp; Stuff'!C:AD,10,FALSE)</f>
        <v>0</v>
      </c>
      <c r="M79" s="119">
        <f>VLOOKUP(C79,'Talente &amp; Stuff'!C:AD,11,FALSE)</f>
        <v>0</v>
      </c>
      <c r="N79" s="89">
        <f>VLOOKUP(C79,'Talente &amp; Stuff'!C:AD,12,FALSE)</f>
        <v>0</v>
      </c>
      <c r="O79" s="47">
        <f>VLOOKUP(C79,'Talente &amp; Stuff'!C:AD,13,FALSE)</f>
        <v>0</v>
      </c>
      <c r="P79" s="119">
        <f>VLOOKUP(C79,'Talente &amp; Stuff'!C:AD,14,FALSE)</f>
        <v>0</v>
      </c>
      <c r="Q79" s="114">
        <f>VLOOKUP(C79,'Talente &amp; Stuff'!C:AD,15,FALSE)</f>
        <v>0</v>
      </c>
      <c r="R79" s="113">
        <f>VLOOKUP(C79,'Talente &amp; Stuff'!C:AD,16,FALSE)</f>
        <v>0</v>
      </c>
      <c r="S79" s="119">
        <f>VLOOKUP(C79,'Talente &amp; Stuff'!C:AD,17,FALSE)</f>
        <v>0</v>
      </c>
      <c r="T79" s="160">
        <f>VLOOKUP(C79,'Talente &amp; Stuff'!C:AD,18,FALSE)</f>
        <v>0</v>
      </c>
      <c r="U79" s="89">
        <f>VLOOKUP(C79,'Talente &amp; Stuff'!C:AD,19,FALSE)</f>
        <v>0</v>
      </c>
      <c r="V79" s="47">
        <f>VLOOKUP(C79,'Talente &amp; Stuff'!C:AD,20,FALSE)</f>
        <v>0</v>
      </c>
      <c r="W79" s="127">
        <f>VLOOKUP(C79,'Talente &amp; Stuff'!C:AD,21,FALSE)</f>
        <v>0</v>
      </c>
      <c r="X79" s="127">
        <f>VLOOKUP(C79,'Talente &amp; Stuff'!C:AD,22,FALSE)</f>
        <v>0</v>
      </c>
      <c r="Y79" s="165">
        <f t="shared" si="10"/>
        <v>0</v>
      </c>
      <c r="Z79" s="198">
        <f t="shared" si="11"/>
        <v>0</v>
      </c>
      <c r="AA79" s="125">
        <f>VLOOKUP(C79,'Talente &amp; Stuff'!C:AD,25,FALSE)</f>
        <v>0</v>
      </c>
      <c r="AB79" s="160">
        <f>VLOOKUP(C79,'Talente &amp; Stuff'!C:AD,26,FALSE)</f>
        <v>0</v>
      </c>
      <c r="AC79" s="127">
        <f>VLOOKUP(C79,'Talente &amp; Stuff'!C:AD,27,FALSE)</f>
        <v>0</v>
      </c>
      <c r="AD79" s="125">
        <f>VLOOKUP(C79,'Talente &amp; Stuff'!C:AD,28,FALSE)</f>
        <v>0</v>
      </c>
      <c r="AE79" s="28"/>
    </row>
    <row r="80" spans="1:31" hidden="1" outlineLevel="2">
      <c r="B80" s="148">
        <v>3</v>
      </c>
      <c r="C80" s="163" t="s">
        <v>281</v>
      </c>
      <c r="D80" s="125" t="str">
        <f>VLOOKUP(C80,'Talente &amp; Stuff'!C:AD,2,FALSE)</f>
        <v>--/--/--</v>
      </c>
      <c r="E80" s="127" t="str">
        <f>VLOOKUP(C80,'Talente &amp; Stuff'!C:AD,3,FALSE)</f>
        <v>-</v>
      </c>
      <c r="F80" s="114">
        <f>VLOOKUP(C80,'Talente &amp; Stuff'!C:AD,4,FALSE)</f>
        <v>0</v>
      </c>
      <c r="G80" s="113">
        <f>VLOOKUP(C80,'Talente &amp; Stuff'!C:AD,5,FALSE)</f>
        <v>0</v>
      </c>
      <c r="H80" s="113">
        <f>VLOOKUP(C80,'Talente &amp; Stuff'!C:AD,6,FALSE)</f>
        <v>0</v>
      </c>
      <c r="I80" s="113">
        <f>VLOOKUP(C80,'Talente &amp; Stuff'!C:AD,7,FALSE)</f>
        <v>0</v>
      </c>
      <c r="J80" s="113">
        <f>VLOOKUP(C80,'Talente &amp; Stuff'!C:AD,8,FALSE)</f>
        <v>0</v>
      </c>
      <c r="K80" s="113">
        <f>VLOOKUP(C80,'Talente &amp; Stuff'!C:AD,9,FALSE)</f>
        <v>0</v>
      </c>
      <c r="L80" s="113">
        <f>VLOOKUP(C80,'Talente &amp; Stuff'!C:AD,10,FALSE)</f>
        <v>0</v>
      </c>
      <c r="M80" s="119">
        <f>VLOOKUP(C80,'Talente &amp; Stuff'!C:AD,11,FALSE)</f>
        <v>0</v>
      </c>
      <c r="N80" s="89">
        <f>VLOOKUP(C80,'Talente &amp; Stuff'!C:AD,12,FALSE)</f>
        <v>0</v>
      </c>
      <c r="O80" s="47">
        <f>VLOOKUP(C80,'Talente &amp; Stuff'!C:AD,13,FALSE)</f>
        <v>0</v>
      </c>
      <c r="P80" s="119">
        <f>VLOOKUP(C80,'Talente &amp; Stuff'!C:AD,14,FALSE)</f>
        <v>0</v>
      </c>
      <c r="Q80" s="114">
        <f>VLOOKUP(C80,'Talente &amp; Stuff'!C:AD,15,FALSE)</f>
        <v>0</v>
      </c>
      <c r="R80" s="113">
        <f>VLOOKUP(C80,'Talente &amp; Stuff'!C:AD,16,FALSE)</f>
        <v>0</v>
      </c>
      <c r="S80" s="119">
        <f>VLOOKUP(C80,'Talente &amp; Stuff'!C:AD,17,FALSE)</f>
        <v>0</v>
      </c>
      <c r="T80" s="160">
        <f>VLOOKUP(C80,'Talente &amp; Stuff'!C:AD,18,FALSE)</f>
        <v>0</v>
      </c>
      <c r="U80" s="89">
        <f>VLOOKUP(C80,'Talente &amp; Stuff'!C:AD,19,FALSE)</f>
        <v>0</v>
      </c>
      <c r="V80" s="47">
        <f>VLOOKUP(C80,'Talente &amp; Stuff'!C:AD,20,FALSE)</f>
        <v>0</v>
      </c>
      <c r="W80" s="127">
        <f>VLOOKUP(C80,'Talente &amp; Stuff'!C:AD,21,FALSE)</f>
        <v>0</v>
      </c>
      <c r="X80" s="127">
        <f>VLOOKUP(C80,'Talente &amp; Stuff'!C:AD,22,FALSE)</f>
        <v>0</v>
      </c>
      <c r="Y80" s="165">
        <f t="shared" si="10"/>
        <v>0</v>
      </c>
      <c r="Z80" s="198">
        <f t="shared" si="11"/>
        <v>0</v>
      </c>
      <c r="AA80" s="125">
        <f>VLOOKUP(C80,'Talente &amp; Stuff'!C:AD,25,FALSE)</f>
        <v>0</v>
      </c>
      <c r="AB80" s="160">
        <f>VLOOKUP(C80,'Talente &amp; Stuff'!C:AD,26,FALSE)</f>
        <v>0</v>
      </c>
      <c r="AC80" s="127">
        <f>VLOOKUP(C80,'Talente &amp; Stuff'!C:AD,27,FALSE)</f>
        <v>0</v>
      </c>
      <c r="AD80" s="125">
        <f>VLOOKUP(C80,'Talente &amp; Stuff'!C:AD,28,FALSE)</f>
        <v>0</v>
      </c>
      <c r="AE80" s="28"/>
    </row>
    <row r="81" spans="2:31" hidden="1" outlineLevel="2">
      <c r="B81" s="148">
        <v>4</v>
      </c>
      <c r="C81" s="163" t="s">
        <v>281</v>
      </c>
      <c r="D81" s="125" t="str">
        <f>VLOOKUP(C81,'Talente &amp; Stuff'!C:AD,2,FALSE)</f>
        <v>--/--/--</v>
      </c>
      <c r="E81" s="127" t="str">
        <f>VLOOKUP(C81,'Talente &amp; Stuff'!C:AD,3,FALSE)</f>
        <v>-</v>
      </c>
      <c r="F81" s="114">
        <f>VLOOKUP(C81,'Talente &amp; Stuff'!C:AD,4,FALSE)</f>
        <v>0</v>
      </c>
      <c r="G81" s="113">
        <f>VLOOKUP(C81,'Talente &amp; Stuff'!C:AD,5,FALSE)</f>
        <v>0</v>
      </c>
      <c r="H81" s="113">
        <f>VLOOKUP(C81,'Talente &amp; Stuff'!C:AD,6,FALSE)</f>
        <v>0</v>
      </c>
      <c r="I81" s="113">
        <f>VLOOKUP(C81,'Talente &amp; Stuff'!C:AD,7,FALSE)</f>
        <v>0</v>
      </c>
      <c r="J81" s="113">
        <f>VLOOKUP(C81,'Talente &amp; Stuff'!C:AD,8,FALSE)</f>
        <v>0</v>
      </c>
      <c r="K81" s="113">
        <f>VLOOKUP(C81,'Talente &amp; Stuff'!C:AD,9,FALSE)</f>
        <v>0</v>
      </c>
      <c r="L81" s="113">
        <f>VLOOKUP(C81,'Talente &amp; Stuff'!C:AD,10,FALSE)</f>
        <v>0</v>
      </c>
      <c r="M81" s="119">
        <f>VLOOKUP(C81,'Talente &amp; Stuff'!C:AD,11,FALSE)</f>
        <v>0</v>
      </c>
      <c r="N81" s="89">
        <f>VLOOKUP(C81,'Talente &amp; Stuff'!C:AD,12,FALSE)</f>
        <v>0</v>
      </c>
      <c r="O81" s="47">
        <f>VLOOKUP(C81,'Talente &amp; Stuff'!C:AD,13,FALSE)</f>
        <v>0</v>
      </c>
      <c r="P81" s="119">
        <f>VLOOKUP(C81,'Talente &amp; Stuff'!C:AD,14,FALSE)</f>
        <v>0</v>
      </c>
      <c r="Q81" s="114">
        <f>VLOOKUP(C81,'Talente &amp; Stuff'!C:AD,15,FALSE)</f>
        <v>0</v>
      </c>
      <c r="R81" s="113">
        <f>VLOOKUP(C81,'Talente &amp; Stuff'!C:AD,16,FALSE)</f>
        <v>0</v>
      </c>
      <c r="S81" s="119">
        <f>VLOOKUP(C81,'Talente &amp; Stuff'!C:AD,17,FALSE)</f>
        <v>0</v>
      </c>
      <c r="T81" s="160">
        <f>VLOOKUP(C81,'Talente &amp; Stuff'!C:AD,18,FALSE)</f>
        <v>0</v>
      </c>
      <c r="U81" s="89">
        <f>VLOOKUP(C81,'Talente &amp; Stuff'!C:AD,19,FALSE)</f>
        <v>0</v>
      </c>
      <c r="V81" s="47">
        <f>VLOOKUP(C81,'Talente &amp; Stuff'!C:AD,20,FALSE)</f>
        <v>0</v>
      </c>
      <c r="W81" s="127">
        <f>VLOOKUP(C81,'Talente &amp; Stuff'!C:AD,21,FALSE)</f>
        <v>0</v>
      </c>
      <c r="X81" s="127">
        <f>VLOOKUP(C81,'Talente &amp; Stuff'!C:AD,22,FALSE)</f>
        <v>0</v>
      </c>
      <c r="Y81" s="165">
        <f t="shared" si="10"/>
        <v>0</v>
      </c>
      <c r="Z81" s="198">
        <f t="shared" si="11"/>
        <v>0</v>
      </c>
      <c r="AA81" s="125">
        <f>VLOOKUP(C81,'Talente &amp; Stuff'!C:AD,25,FALSE)</f>
        <v>0</v>
      </c>
      <c r="AB81" s="160">
        <f>VLOOKUP(C81,'Talente &amp; Stuff'!C:AD,26,FALSE)</f>
        <v>0</v>
      </c>
      <c r="AC81" s="127">
        <f>VLOOKUP(C81,'Talente &amp; Stuff'!C:AD,27,FALSE)</f>
        <v>0</v>
      </c>
      <c r="AD81" s="125">
        <f>VLOOKUP(C81,'Talente &amp; Stuff'!C:AD,28,FALSE)</f>
        <v>0</v>
      </c>
      <c r="AE81" s="28"/>
    </row>
    <row r="82" spans="2:31" hidden="1" outlineLevel="2">
      <c r="B82" s="148">
        <v>5</v>
      </c>
      <c r="C82" s="163" t="s">
        <v>281</v>
      </c>
      <c r="D82" s="125" t="str">
        <f>VLOOKUP(C82,'Talente &amp; Stuff'!C:AD,2,FALSE)</f>
        <v>--/--/--</v>
      </c>
      <c r="E82" s="127" t="str">
        <f>VLOOKUP(C82,'Talente &amp; Stuff'!C:AD,3,FALSE)</f>
        <v>-</v>
      </c>
      <c r="F82" s="114">
        <f>VLOOKUP(C82,'Talente &amp; Stuff'!C:AD,4,FALSE)</f>
        <v>0</v>
      </c>
      <c r="G82" s="113">
        <f>VLOOKUP(C82,'Talente &amp; Stuff'!C:AD,5,FALSE)</f>
        <v>0</v>
      </c>
      <c r="H82" s="113">
        <f>VLOOKUP(C82,'Talente &amp; Stuff'!C:AD,6,FALSE)</f>
        <v>0</v>
      </c>
      <c r="I82" s="113">
        <f>VLOOKUP(C82,'Talente &amp; Stuff'!C:AD,7,FALSE)</f>
        <v>0</v>
      </c>
      <c r="J82" s="113">
        <f>VLOOKUP(C82,'Talente &amp; Stuff'!C:AD,8,FALSE)</f>
        <v>0</v>
      </c>
      <c r="K82" s="113">
        <f>VLOOKUP(C82,'Talente &amp; Stuff'!C:AD,9,FALSE)</f>
        <v>0</v>
      </c>
      <c r="L82" s="113">
        <f>VLOOKUP(C82,'Talente &amp; Stuff'!C:AD,10,FALSE)</f>
        <v>0</v>
      </c>
      <c r="M82" s="119">
        <f>VLOOKUP(C82,'Talente &amp; Stuff'!C:AD,11,FALSE)</f>
        <v>0</v>
      </c>
      <c r="N82" s="89">
        <f>VLOOKUP(C82,'Talente &amp; Stuff'!C:AD,12,FALSE)</f>
        <v>0</v>
      </c>
      <c r="O82" s="47">
        <f>VLOOKUP(C82,'Talente &amp; Stuff'!C:AD,13,FALSE)</f>
        <v>0</v>
      </c>
      <c r="P82" s="119">
        <f>VLOOKUP(C82,'Talente &amp; Stuff'!C:AD,14,FALSE)</f>
        <v>0</v>
      </c>
      <c r="Q82" s="114">
        <f>VLOOKUP(C82,'Talente &amp; Stuff'!C:AD,15,FALSE)</f>
        <v>0</v>
      </c>
      <c r="R82" s="113">
        <f>VLOOKUP(C82,'Talente &amp; Stuff'!C:AD,16,FALSE)</f>
        <v>0</v>
      </c>
      <c r="S82" s="119">
        <f>VLOOKUP(C82,'Talente &amp; Stuff'!C:AD,17,FALSE)</f>
        <v>0</v>
      </c>
      <c r="T82" s="160">
        <f>VLOOKUP(C82,'Talente &amp; Stuff'!C:AD,18,FALSE)</f>
        <v>0</v>
      </c>
      <c r="U82" s="89">
        <f>VLOOKUP(C82,'Talente &amp; Stuff'!C:AD,19,FALSE)</f>
        <v>0</v>
      </c>
      <c r="V82" s="47">
        <f>VLOOKUP(C82,'Talente &amp; Stuff'!C:AD,20,FALSE)</f>
        <v>0</v>
      </c>
      <c r="W82" s="127">
        <f>VLOOKUP(C82,'Talente &amp; Stuff'!C:AD,21,FALSE)</f>
        <v>0</v>
      </c>
      <c r="X82" s="127">
        <f>VLOOKUP(C82,'Talente &amp; Stuff'!C:AD,22,FALSE)</f>
        <v>0</v>
      </c>
      <c r="Y82" s="165">
        <f t="shared" si="10"/>
        <v>0</v>
      </c>
      <c r="Z82" s="198">
        <f t="shared" si="11"/>
        <v>0</v>
      </c>
      <c r="AA82" s="125">
        <f>VLOOKUP(C82,'Talente &amp; Stuff'!C:AD,25,FALSE)</f>
        <v>0</v>
      </c>
      <c r="AB82" s="160">
        <f>VLOOKUP(C82,'Talente &amp; Stuff'!C:AD,26,FALSE)</f>
        <v>0</v>
      </c>
      <c r="AC82" s="127">
        <f>VLOOKUP(C82,'Talente &amp; Stuff'!C:AD,27,FALSE)</f>
        <v>0</v>
      </c>
      <c r="AD82" s="125">
        <f>VLOOKUP(C82,'Talente &amp; Stuff'!C:AD,28,FALSE)</f>
        <v>0</v>
      </c>
      <c r="AE82" s="28"/>
    </row>
    <row r="83" spans="2:31" s="148" customFormat="1" hidden="1" outlineLevel="2">
      <c r="B83" s="148">
        <v>6</v>
      </c>
      <c r="C83" s="163" t="s">
        <v>281</v>
      </c>
      <c r="D83" s="125" t="str">
        <f>VLOOKUP(C83,'Talente &amp; Stuff'!C:AD,2,FALSE)</f>
        <v>--/--/--</v>
      </c>
      <c r="E83" s="127" t="str">
        <f>VLOOKUP(C83,'Talente &amp; Stuff'!C:AD,3,FALSE)</f>
        <v>-</v>
      </c>
      <c r="F83" s="114">
        <f>VLOOKUP(C83,'Talente &amp; Stuff'!C:AD,4,FALSE)</f>
        <v>0</v>
      </c>
      <c r="G83" s="113">
        <f>VLOOKUP(C83,'Talente &amp; Stuff'!C:AD,5,FALSE)</f>
        <v>0</v>
      </c>
      <c r="H83" s="113">
        <f>VLOOKUP(C83,'Talente &amp; Stuff'!C:AD,6,FALSE)</f>
        <v>0</v>
      </c>
      <c r="I83" s="113">
        <f>VLOOKUP(C83,'Talente &amp; Stuff'!C:AD,7,FALSE)</f>
        <v>0</v>
      </c>
      <c r="J83" s="113">
        <f>VLOOKUP(C83,'Talente &amp; Stuff'!C:AD,8,FALSE)</f>
        <v>0</v>
      </c>
      <c r="K83" s="113">
        <f>VLOOKUP(C83,'Talente &amp; Stuff'!C:AD,9,FALSE)</f>
        <v>0</v>
      </c>
      <c r="L83" s="113">
        <f>VLOOKUP(C83,'Talente &amp; Stuff'!C:AD,10,FALSE)</f>
        <v>0</v>
      </c>
      <c r="M83" s="119">
        <f>VLOOKUP(C83,'Talente &amp; Stuff'!C:AD,11,FALSE)</f>
        <v>0</v>
      </c>
      <c r="N83" s="89">
        <f>VLOOKUP(C83,'Talente &amp; Stuff'!C:AD,12,FALSE)</f>
        <v>0</v>
      </c>
      <c r="O83" s="47">
        <f>VLOOKUP(C83,'Talente &amp; Stuff'!C:AD,13,FALSE)</f>
        <v>0</v>
      </c>
      <c r="P83" s="119">
        <f>VLOOKUP(C83,'Talente &amp; Stuff'!C:AD,14,FALSE)</f>
        <v>0</v>
      </c>
      <c r="Q83" s="114">
        <f>VLOOKUP(C83,'Talente &amp; Stuff'!C:AD,15,FALSE)</f>
        <v>0</v>
      </c>
      <c r="R83" s="113">
        <f>VLOOKUP(C83,'Talente &amp; Stuff'!C:AD,16,FALSE)</f>
        <v>0</v>
      </c>
      <c r="S83" s="119">
        <f>VLOOKUP(C83,'Talente &amp; Stuff'!C:AD,17,FALSE)</f>
        <v>0</v>
      </c>
      <c r="T83" s="160">
        <f>VLOOKUP(C83,'Talente &amp; Stuff'!C:AD,18,FALSE)</f>
        <v>0</v>
      </c>
      <c r="U83" s="89">
        <f>VLOOKUP(C83,'Talente &amp; Stuff'!C:AD,19,FALSE)</f>
        <v>0</v>
      </c>
      <c r="V83" s="47">
        <f>VLOOKUP(C83,'Talente &amp; Stuff'!C:AD,20,FALSE)</f>
        <v>0</v>
      </c>
      <c r="W83" s="127">
        <f>VLOOKUP(C83,'Talente &amp; Stuff'!C:AD,21,FALSE)</f>
        <v>0</v>
      </c>
      <c r="X83" s="127">
        <f>VLOOKUP(C83,'Talente &amp; Stuff'!C:AD,22,FALSE)</f>
        <v>0</v>
      </c>
      <c r="Y83" s="165">
        <f t="shared" si="10"/>
        <v>0</v>
      </c>
      <c r="Z83" s="198">
        <f t="shared" si="11"/>
        <v>0</v>
      </c>
      <c r="AA83" s="125">
        <f>VLOOKUP(C83,'Talente &amp; Stuff'!C:AD,25,FALSE)</f>
        <v>0</v>
      </c>
      <c r="AB83" s="160">
        <f>VLOOKUP(C83,'Talente &amp; Stuff'!C:AD,26,FALSE)</f>
        <v>0</v>
      </c>
      <c r="AC83" s="127">
        <f>VLOOKUP(C83,'Talente &amp; Stuff'!C:AD,27,FALSE)</f>
        <v>0</v>
      </c>
      <c r="AD83" s="125">
        <f>VLOOKUP(C83,'Talente &amp; Stuff'!C:AD,28,FALSE)</f>
        <v>0</v>
      </c>
      <c r="AE83" s="28"/>
    </row>
    <row r="84" spans="2:31" s="148" customFormat="1" hidden="1" outlineLevel="2">
      <c r="B84" s="148">
        <v>7</v>
      </c>
      <c r="C84" s="163" t="s">
        <v>281</v>
      </c>
      <c r="D84" s="125" t="str">
        <f>VLOOKUP(C84,'Talente &amp; Stuff'!C:AD,2,FALSE)</f>
        <v>--/--/--</v>
      </c>
      <c r="E84" s="127" t="str">
        <f>VLOOKUP(C84,'Talente &amp; Stuff'!C:AD,3,FALSE)</f>
        <v>-</v>
      </c>
      <c r="F84" s="114">
        <f>VLOOKUP(C84,'Talente &amp; Stuff'!C:AD,4,FALSE)</f>
        <v>0</v>
      </c>
      <c r="G84" s="113">
        <f>VLOOKUP(C84,'Talente &amp; Stuff'!C:AD,5,FALSE)</f>
        <v>0</v>
      </c>
      <c r="H84" s="113">
        <f>VLOOKUP(C84,'Talente &amp; Stuff'!C:AD,6,FALSE)</f>
        <v>0</v>
      </c>
      <c r="I84" s="113">
        <f>VLOOKUP(C84,'Talente &amp; Stuff'!C:AD,7,FALSE)</f>
        <v>0</v>
      </c>
      <c r="J84" s="113">
        <f>VLOOKUP(C84,'Talente &amp; Stuff'!C:AD,8,FALSE)</f>
        <v>0</v>
      </c>
      <c r="K84" s="113">
        <f>VLOOKUP(C84,'Talente &amp; Stuff'!C:AD,9,FALSE)</f>
        <v>0</v>
      </c>
      <c r="L84" s="113">
        <f>VLOOKUP(C84,'Talente &amp; Stuff'!C:AD,10,FALSE)</f>
        <v>0</v>
      </c>
      <c r="M84" s="119">
        <f>VLOOKUP(C84,'Talente &amp; Stuff'!C:AD,11,FALSE)</f>
        <v>0</v>
      </c>
      <c r="N84" s="89">
        <f>VLOOKUP(C84,'Talente &amp; Stuff'!C:AD,12,FALSE)</f>
        <v>0</v>
      </c>
      <c r="O84" s="47">
        <f>VLOOKUP(C84,'Talente &amp; Stuff'!C:AD,13,FALSE)</f>
        <v>0</v>
      </c>
      <c r="P84" s="119">
        <f>VLOOKUP(C84,'Talente &amp; Stuff'!C:AD,14,FALSE)</f>
        <v>0</v>
      </c>
      <c r="Q84" s="114">
        <f>VLOOKUP(C84,'Talente &amp; Stuff'!C:AD,15,FALSE)</f>
        <v>0</v>
      </c>
      <c r="R84" s="113">
        <f>VLOOKUP(C84,'Talente &amp; Stuff'!C:AD,16,FALSE)</f>
        <v>0</v>
      </c>
      <c r="S84" s="119">
        <f>VLOOKUP(C84,'Talente &amp; Stuff'!C:AD,17,FALSE)</f>
        <v>0</v>
      </c>
      <c r="T84" s="160">
        <f>VLOOKUP(C84,'Talente &amp; Stuff'!C:AD,18,FALSE)</f>
        <v>0</v>
      </c>
      <c r="U84" s="89">
        <f>VLOOKUP(C84,'Talente &amp; Stuff'!C:AD,19,FALSE)</f>
        <v>0</v>
      </c>
      <c r="V84" s="47">
        <f>VLOOKUP(C84,'Talente &amp; Stuff'!C:AD,20,FALSE)</f>
        <v>0</v>
      </c>
      <c r="W84" s="127">
        <f>VLOOKUP(C84,'Talente &amp; Stuff'!C:AD,21,FALSE)</f>
        <v>0</v>
      </c>
      <c r="X84" s="127">
        <f>VLOOKUP(C84,'Talente &amp; Stuff'!C:AD,22,FALSE)</f>
        <v>0</v>
      </c>
      <c r="Y84" s="165">
        <f t="shared" si="10"/>
        <v>0</v>
      </c>
      <c r="Z84" s="198">
        <f t="shared" si="11"/>
        <v>0</v>
      </c>
      <c r="AA84" s="125">
        <f>VLOOKUP(C84,'Talente &amp; Stuff'!C:AD,25,FALSE)</f>
        <v>0</v>
      </c>
      <c r="AB84" s="160">
        <f>VLOOKUP(C84,'Talente &amp; Stuff'!C:AD,26,FALSE)</f>
        <v>0</v>
      </c>
      <c r="AC84" s="127">
        <f>VLOOKUP(C84,'Talente &amp; Stuff'!C:AD,27,FALSE)</f>
        <v>0</v>
      </c>
      <c r="AD84" s="125">
        <f>VLOOKUP(C84,'Talente &amp; Stuff'!C:AD,28,FALSE)</f>
        <v>0</v>
      </c>
      <c r="AE84" s="28"/>
    </row>
    <row r="85" spans="2:31" s="148" customFormat="1" hidden="1" outlineLevel="2">
      <c r="B85" s="148">
        <v>8</v>
      </c>
      <c r="C85" s="163" t="s">
        <v>281</v>
      </c>
      <c r="D85" s="125" t="str">
        <f>VLOOKUP(C85,'Talente &amp; Stuff'!C:AD,2,FALSE)</f>
        <v>--/--/--</v>
      </c>
      <c r="E85" s="127" t="str">
        <f>VLOOKUP(C85,'Talente &amp; Stuff'!C:AD,3,FALSE)</f>
        <v>-</v>
      </c>
      <c r="F85" s="114">
        <f>VLOOKUP(C85,'Talente &amp; Stuff'!C:AD,4,FALSE)</f>
        <v>0</v>
      </c>
      <c r="G85" s="113">
        <f>VLOOKUP(C85,'Talente &amp; Stuff'!C:AD,5,FALSE)</f>
        <v>0</v>
      </c>
      <c r="H85" s="113">
        <f>VLOOKUP(C85,'Talente &amp; Stuff'!C:AD,6,FALSE)</f>
        <v>0</v>
      </c>
      <c r="I85" s="113">
        <f>VLOOKUP(C85,'Talente &amp; Stuff'!C:AD,7,FALSE)</f>
        <v>0</v>
      </c>
      <c r="J85" s="113">
        <f>VLOOKUP(C85,'Talente &amp; Stuff'!C:AD,8,FALSE)</f>
        <v>0</v>
      </c>
      <c r="K85" s="113">
        <f>VLOOKUP(C85,'Talente &amp; Stuff'!C:AD,9,FALSE)</f>
        <v>0</v>
      </c>
      <c r="L85" s="113">
        <f>VLOOKUP(C85,'Talente &amp; Stuff'!C:AD,10,FALSE)</f>
        <v>0</v>
      </c>
      <c r="M85" s="119">
        <f>VLOOKUP(C85,'Talente &amp; Stuff'!C:AD,11,FALSE)</f>
        <v>0</v>
      </c>
      <c r="N85" s="89">
        <f>VLOOKUP(C85,'Talente &amp; Stuff'!C:AD,12,FALSE)</f>
        <v>0</v>
      </c>
      <c r="O85" s="47">
        <f>VLOOKUP(C85,'Talente &amp; Stuff'!C:AD,13,FALSE)</f>
        <v>0</v>
      </c>
      <c r="P85" s="119">
        <f>VLOOKUP(C85,'Talente &amp; Stuff'!C:AD,14,FALSE)</f>
        <v>0</v>
      </c>
      <c r="Q85" s="114">
        <f>VLOOKUP(C85,'Talente &amp; Stuff'!C:AD,15,FALSE)</f>
        <v>0</v>
      </c>
      <c r="R85" s="113">
        <f>VLOOKUP(C85,'Talente &amp; Stuff'!C:AD,16,FALSE)</f>
        <v>0</v>
      </c>
      <c r="S85" s="119">
        <f>VLOOKUP(C85,'Talente &amp; Stuff'!C:AD,17,FALSE)</f>
        <v>0</v>
      </c>
      <c r="T85" s="160">
        <f>VLOOKUP(C85,'Talente &amp; Stuff'!C:AD,18,FALSE)</f>
        <v>0</v>
      </c>
      <c r="U85" s="89">
        <f>VLOOKUP(C85,'Talente &amp; Stuff'!C:AD,19,FALSE)</f>
        <v>0</v>
      </c>
      <c r="V85" s="47">
        <f>VLOOKUP(C85,'Talente &amp; Stuff'!C:AD,20,FALSE)</f>
        <v>0</v>
      </c>
      <c r="W85" s="127">
        <f>VLOOKUP(C85,'Talente &amp; Stuff'!C:AD,21,FALSE)</f>
        <v>0</v>
      </c>
      <c r="X85" s="127">
        <f>VLOOKUP(C85,'Talente &amp; Stuff'!C:AD,22,FALSE)</f>
        <v>0</v>
      </c>
      <c r="Y85" s="165">
        <f t="shared" si="10"/>
        <v>0</v>
      </c>
      <c r="Z85" s="198">
        <f t="shared" si="11"/>
        <v>0</v>
      </c>
      <c r="AA85" s="125">
        <f>VLOOKUP(C85,'Talente &amp; Stuff'!C:AD,25,FALSE)</f>
        <v>0</v>
      </c>
      <c r="AB85" s="160">
        <f>VLOOKUP(C85,'Talente &amp; Stuff'!C:AD,26,FALSE)</f>
        <v>0</v>
      </c>
      <c r="AC85" s="127">
        <f>VLOOKUP(C85,'Talente &amp; Stuff'!C:AD,27,FALSE)</f>
        <v>0</v>
      </c>
      <c r="AD85" s="125">
        <f>VLOOKUP(C85,'Talente &amp; Stuff'!C:AD,28,FALSE)</f>
        <v>0</v>
      </c>
      <c r="AE85" s="28"/>
    </row>
    <row r="86" spans="2:31" s="148" customFormat="1" hidden="1" outlineLevel="2">
      <c r="B86" s="148">
        <v>9</v>
      </c>
      <c r="C86" s="163" t="s">
        <v>281</v>
      </c>
      <c r="D86" s="125" t="str">
        <f>VLOOKUP(C86,'Talente &amp; Stuff'!C:AD,2,FALSE)</f>
        <v>--/--/--</v>
      </c>
      <c r="E86" s="127" t="str">
        <f>VLOOKUP(C86,'Talente &amp; Stuff'!C:AD,3,FALSE)</f>
        <v>-</v>
      </c>
      <c r="F86" s="114">
        <f>VLOOKUP(C86,'Talente &amp; Stuff'!C:AD,4,FALSE)</f>
        <v>0</v>
      </c>
      <c r="G86" s="113">
        <f>VLOOKUP(C86,'Talente &amp; Stuff'!C:AD,5,FALSE)</f>
        <v>0</v>
      </c>
      <c r="H86" s="113">
        <f>VLOOKUP(C86,'Talente &amp; Stuff'!C:AD,6,FALSE)</f>
        <v>0</v>
      </c>
      <c r="I86" s="113">
        <f>VLOOKUP(C86,'Talente &amp; Stuff'!C:AD,7,FALSE)</f>
        <v>0</v>
      </c>
      <c r="J86" s="113">
        <f>VLOOKUP(C86,'Talente &amp; Stuff'!C:AD,8,FALSE)</f>
        <v>0</v>
      </c>
      <c r="K86" s="113">
        <f>VLOOKUP(C86,'Talente &amp; Stuff'!C:AD,9,FALSE)</f>
        <v>0</v>
      </c>
      <c r="L86" s="113">
        <f>VLOOKUP(C86,'Talente &amp; Stuff'!C:AD,10,FALSE)</f>
        <v>0</v>
      </c>
      <c r="M86" s="119">
        <f>VLOOKUP(C86,'Talente &amp; Stuff'!C:AD,11,FALSE)</f>
        <v>0</v>
      </c>
      <c r="N86" s="89">
        <f>VLOOKUP(C86,'Talente &amp; Stuff'!C:AD,12,FALSE)</f>
        <v>0</v>
      </c>
      <c r="O86" s="47">
        <f>VLOOKUP(C86,'Talente &amp; Stuff'!C:AD,13,FALSE)</f>
        <v>0</v>
      </c>
      <c r="P86" s="119">
        <f>VLOOKUP(C86,'Talente &amp; Stuff'!C:AD,14,FALSE)</f>
        <v>0</v>
      </c>
      <c r="Q86" s="114">
        <f>VLOOKUP(C86,'Talente &amp; Stuff'!C:AD,15,FALSE)</f>
        <v>0</v>
      </c>
      <c r="R86" s="113">
        <f>VLOOKUP(C86,'Talente &amp; Stuff'!C:AD,16,FALSE)</f>
        <v>0</v>
      </c>
      <c r="S86" s="119">
        <f>VLOOKUP(C86,'Talente &amp; Stuff'!C:AD,17,FALSE)</f>
        <v>0</v>
      </c>
      <c r="T86" s="160">
        <f>VLOOKUP(C86,'Talente &amp; Stuff'!C:AD,18,FALSE)</f>
        <v>0</v>
      </c>
      <c r="U86" s="89">
        <f>VLOOKUP(C86,'Talente &amp; Stuff'!C:AD,19,FALSE)</f>
        <v>0</v>
      </c>
      <c r="V86" s="47">
        <f>VLOOKUP(C86,'Talente &amp; Stuff'!C:AD,20,FALSE)</f>
        <v>0</v>
      </c>
      <c r="W86" s="127">
        <f>VLOOKUP(C86,'Talente &amp; Stuff'!C:AD,21,FALSE)</f>
        <v>0</v>
      </c>
      <c r="X86" s="127">
        <f>VLOOKUP(C86,'Talente &amp; Stuff'!C:AD,22,FALSE)</f>
        <v>0</v>
      </c>
      <c r="Y86" s="165">
        <f t="shared" si="10"/>
        <v>0</v>
      </c>
      <c r="Z86" s="198">
        <f t="shared" si="11"/>
        <v>0</v>
      </c>
      <c r="AA86" s="125">
        <f>VLOOKUP(C86,'Talente &amp; Stuff'!C:AD,25,FALSE)</f>
        <v>0</v>
      </c>
      <c r="AB86" s="160">
        <f>VLOOKUP(C86,'Talente &amp; Stuff'!C:AD,26,FALSE)</f>
        <v>0</v>
      </c>
      <c r="AC86" s="127">
        <f>VLOOKUP(C86,'Talente &amp; Stuff'!C:AD,27,FALSE)</f>
        <v>0</v>
      </c>
      <c r="AD86" s="125">
        <f>VLOOKUP(C86,'Talente &amp; Stuff'!C:AD,28,FALSE)</f>
        <v>0</v>
      </c>
      <c r="AE86" s="28"/>
    </row>
    <row r="87" spans="2:31" s="148" customFormat="1" hidden="1" outlineLevel="2">
      <c r="B87" s="148">
        <v>10</v>
      </c>
      <c r="C87" s="163" t="s">
        <v>281</v>
      </c>
      <c r="D87" s="125" t="str">
        <f>VLOOKUP(C87,'Talente &amp; Stuff'!C:AD,2,FALSE)</f>
        <v>--/--/--</v>
      </c>
      <c r="E87" s="127" t="str">
        <f>VLOOKUP(C87,'Talente &amp; Stuff'!C:AD,3,FALSE)</f>
        <v>-</v>
      </c>
      <c r="F87" s="114">
        <f>VLOOKUP(C87,'Talente &amp; Stuff'!C:AD,4,FALSE)</f>
        <v>0</v>
      </c>
      <c r="G87" s="113">
        <f>VLOOKUP(C87,'Talente &amp; Stuff'!C:AD,5,FALSE)</f>
        <v>0</v>
      </c>
      <c r="H87" s="113">
        <f>VLOOKUP(C87,'Talente &amp; Stuff'!C:AD,6,FALSE)</f>
        <v>0</v>
      </c>
      <c r="I87" s="113">
        <f>VLOOKUP(C87,'Talente &amp; Stuff'!C:AD,7,FALSE)</f>
        <v>0</v>
      </c>
      <c r="J87" s="113">
        <f>VLOOKUP(C87,'Talente &amp; Stuff'!C:AD,8,FALSE)</f>
        <v>0</v>
      </c>
      <c r="K87" s="113">
        <f>VLOOKUP(C87,'Talente &amp; Stuff'!C:AD,9,FALSE)</f>
        <v>0</v>
      </c>
      <c r="L87" s="113">
        <f>VLOOKUP(C87,'Talente &amp; Stuff'!C:AD,10,FALSE)</f>
        <v>0</v>
      </c>
      <c r="M87" s="119">
        <f>VLOOKUP(C87,'Talente &amp; Stuff'!C:AD,11,FALSE)</f>
        <v>0</v>
      </c>
      <c r="N87" s="89">
        <f>VLOOKUP(C87,'Talente &amp; Stuff'!C:AD,12,FALSE)</f>
        <v>0</v>
      </c>
      <c r="O87" s="47">
        <f>VLOOKUP(C87,'Talente &amp; Stuff'!C:AD,13,FALSE)</f>
        <v>0</v>
      </c>
      <c r="P87" s="119">
        <f>VLOOKUP(C87,'Talente &amp; Stuff'!C:AD,14,FALSE)</f>
        <v>0</v>
      </c>
      <c r="Q87" s="114">
        <f>VLOOKUP(C87,'Talente &amp; Stuff'!C:AD,15,FALSE)</f>
        <v>0</v>
      </c>
      <c r="R87" s="113">
        <f>VLOOKUP(C87,'Talente &amp; Stuff'!C:AD,16,FALSE)</f>
        <v>0</v>
      </c>
      <c r="S87" s="119">
        <f>VLOOKUP(C87,'Talente &amp; Stuff'!C:AD,17,FALSE)</f>
        <v>0</v>
      </c>
      <c r="T87" s="160">
        <f>VLOOKUP(C87,'Talente &amp; Stuff'!C:AD,18,FALSE)</f>
        <v>0</v>
      </c>
      <c r="U87" s="89">
        <f>VLOOKUP(C87,'Talente &amp; Stuff'!C:AD,19,FALSE)</f>
        <v>0</v>
      </c>
      <c r="V87" s="47">
        <f>VLOOKUP(C87,'Talente &amp; Stuff'!C:AD,20,FALSE)</f>
        <v>0</v>
      </c>
      <c r="W87" s="127">
        <f>VLOOKUP(C87,'Talente &amp; Stuff'!C:AD,21,FALSE)</f>
        <v>0</v>
      </c>
      <c r="X87" s="127">
        <f>VLOOKUP(C87,'Talente &amp; Stuff'!C:AD,22,FALSE)</f>
        <v>0</v>
      </c>
      <c r="Y87" s="165">
        <f t="shared" si="10"/>
        <v>0</v>
      </c>
      <c r="Z87" s="198">
        <f t="shared" si="11"/>
        <v>0</v>
      </c>
      <c r="AA87" s="125">
        <f>VLOOKUP(C87,'Talente &amp; Stuff'!C:AD,25,FALSE)</f>
        <v>0</v>
      </c>
      <c r="AB87" s="160">
        <f>VLOOKUP(C87,'Talente &amp; Stuff'!C:AD,26,FALSE)</f>
        <v>0</v>
      </c>
      <c r="AC87" s="127">
        <f>VLOOKUP(C87,'Talente &amp; Stuff'!C:AD,27,FALSE)</f>
        <v>0</v>
      </c>
      <c r="AD87" s="125">
        <f>VLOOKUP(C87,'Talente &amp; Stuff'!C:AD,28,FALSE)</f>
        <v>0</v>
      </c>
      <c r="AE87" s="28"/>
    </row>
    <row r="88" spans="2:31" s="148" customFormat="1" hidden="1" outlineLevel="2">
      <c r="B88" s="148">
        <v>11</v>
      </c>
      <c r="C88" s="163" t="s">
        <v>281</v>
      </c>
      <c r="D88" s="125" t="str">
        <f>VLOOKUP(C88,'Talente &amp; Stuff'!C:AD,2,FALSE)</f>
        <v>--/--/--</v>
      </c>
      <c r="E88" s="127" t="str">
        <f>VLOOKUP(C88,'Talente &amp; Stuff'!C:AD,3,FALSE)</f>
        <v>-</v>
      </c>
      <c r="F88" s="114">
        <f>VLOOKUP(C88,'Talente &amp; Stuff'!C:AD,4,FALSE)</f>
        <v>0</v>
      </c>
      <c r="G88" s="113">
        <f>VLOOKUP(C88,'Talente &amp; Stuff'!C:AD,5,FALSE)</f>
        <v>0</v>
      </c>
      <c r="H88" s="113">
        <f>VLOOKUP(C88,'Talente &amp; Stuff'!C:AD,6,FALSE)</f>
        <v>0</v>
      </c>
      <c r="I88" s="113">
        <f>VLOOKUP(C88,'Talente &amp; Stuff'!C:AD,7,FALSE)</f>
        <v>0</v>
      </c>
      <c r="J88" s="113">
        <f>VLOOKUP(C88,'Talente &amp; Stuff'!C:AD,8,FALSE)</f>
        <v>0</v>
      </c>
      <c r="K88" s="113">
        <f>VLOOKUP(C88,'Talente &amp; Stuff'!C:AD,9,FALSE)</f>
        <v>0</v>
      </c>
      <c r="L88" s="113">
        <f>VLOOKUP(C88,'Talente &amp; Stuff'!C:AD,10,FALSE)</f>
        <v>0</v>
      </c>
      <c r="M88" s="119">
        <f>VLOOKUP(C88,'Talente &amp; Stuff'!C:AD,11,FALSE)</f>
        <v>0</v>
      </c>
      <c r="N88" s="89">
        <f>VLOOKUP(C88,'Talente &amp; Stuff'!C:AD,12,FALSE)</f>
        <v>0</v>
      </c>
      <c r="O88" s="47">
        <f>VLOOKUP(C88,'Talente &amp; Stuff'!C:AD,13,FALSE)</f>
        <v>0</v>
      </c>
      <c r="P88" s="119">
        <f>VLOOKUP(C88,'Talente &amp; Stuff'!C:AD,14,FALSE)</f>
        <v>0</v>
      </c>
      <c r="Q88" s="114">
        <f>VLOOKUP(C88,'Talente &amp; Stuff'!C:AD,15,FALSE)</f>
        <v>0</v>
      </c>
      <c r="R88" s="113">
        <f>VLOOKUP(C88,'Talente &amp; Stuff'!C:AD,16,FALSE)</f>
        <v>0</v>
      </c>
      <c r="S88" s="119">
        <f>VLOOKUP(C88,'Talente &amp; Stuff'!C:AD,17,FALSE)</f>
        <v>0</v>
      </c>
      <c r="T88" s="160">
        <f>VLOOKUP(C88,'Talente &amp; Stuff'!C:AD,18,FALSE)</f>
        <v>0</v>
      </c>
      <c r="U88" s="89">
        <f>VLOOKUP(C88,'Talente &amp; Stuff'!C:AD,19,FALSE)</f>
        <v>0</v>
      </c>
      <c r="V88" s="47">
        <f>VLOOKUP(C88,'Talente &amp; Stuff'!C:AD,20,FALSE)</f>
        <v>0</v>
      </c>
      <c r="W88" s="127">
        <f>VLOOKUP(C88,'Talente &amp; Stuff'!C:AD,21,FALSE)</f>
        <v>0</v>
      </c>
      <c r="X88" s="127">
        <f>VLOOKUP(C88,'Talente &amp; Stuff'!C:AD,22,FALSE)</f>
        <v>0</v>
      </c>
      <c r="Y88" s="165">
        <f t="shared" si="10"/>
        <v>0</v>
      </c>
      <c r="Z88" s="198">
        <f t="shared" si="11"/>
        <v>0</v>
      </c>
      <c r="AA88" s="125">
        <f>VLOOKUP(C88,'Talente &amp; Stuff'!C:AD,25,FALSE)</f>
        <v>0</v>
      </c>
      <c r="AB88" s="160">
        <f>VLOOKUP(C88,'Talente &amp; Stuff'!C:AD,26,FALSE)</f>
        <v>0</v>
      </c>
      <c r="AC88" s="127">
        <f>VLOOKUP(C88,'Talente &amp; Stuff'!C:AD,27,FALSE)</f>
        <v>0</v>
      </c>
      <c r="AD88" s="125">
        <f>VLOOKUP(C88,'Talente &amp; Stuff'!C:AD,28,FALSE)</f>
        <v>0</v>
      </c>
      <c r="AE88" s="28"/>
    </row>
    <row r="89" spans="2:31" hidden="1" outlineLevel="2">
      <c r="B89" s="148">
        <v>12</v>
      </c>
      <c r="C89" s="163" t="s">
        <v>281</v>
      </c>
      <c r="D89" s="125" t="str">
        <f>VLOOKUP(C89,'Talente &amp; Stuff'!C:AD,2,FALSE)</f>
        <v>--/--/--</v>
      </c>
      <c r="E89" s="127" t="str">
        <f>VLOOKUP(C89,'Talente &amp; Stuff'!C:AD,3,FALSE)</f>
        <v>-</v>
      </c>
      <c r="F89" s="114">
        <f>VLOOKUP(C89,'Talente &amp; Stuff'!C:AD,4,FALSE)</f>
        <v>0</v>
      </c>
      <c r="G89" s="113">
        <f>VLOOKUP(C89,'Talente &amp; Stuff'!C:AD,5,FALSE)</f>
        <v>0</v>
      </c>
      <c r="H89" s="113">
        <f>VLOOKUP(C89,'Talente &amp; Stuff'!C:AD,6,FALSE)</f>
        <v>0</v>
      </c>
      <c r="I89" s="113">
        <f>VLOOKUP(C89,'Talente &amp; Stuff'!C:AD,7,FALSE)</f>
        <v>0</v>
      </c>
      <c r="J89" s="113">
        <f>VLOOKUP(C89,'Talente &amp; Stuff'!C:AD,8,FALSE)</f>
        <v>0</v>
      </c>
      <c r="K89" s="113">
        <f>VLOOKUP(C89,'Talente &amp; Stuff'!C:AD,9,FALSE)</f>
        <v>0</v>
      </c>
      <c r="L89" s="113">
        <f>VLOOKUP(C89,'Talente &amp; Stuff'!C:AD,10,FALSE)</f>
        <v>0</v>
      </c>
      <c r="M89" s="119">
        <f>VLOOKUP(C89,'Talente &amp; Stuff'!C:AD,11,FALSE)</f>
        <v>0</v>
      </c>
      <c r="N89" s="89">
        <f>VLOOKUP(C89,'Talente &amp; Stuff'!C:AD,12,FALSE)</f>
        <v>0</v>
      </c>
      <c r="O89" s="47">
        <f>VLOOKUP(C89,'Talente &amp; Stuff'!C:AD,13,FALSE)</f>
        <v>0</v>
      </c>
      <c r="P89" s="119">
        <f>VLOOKUP(C89,'Talente &amp; Stuff'!C:AD,14,FALSE)</f>
        <v>0</v>
      </c>
      <c r="Q89" s="114">
        <f>VLOOKUP(C89,'Talente &amp; Stuff'!C:AD,15,FALSE)</f>
        <v>0</v>
      </c>
      <c r="R89" s="113">
        <f>VLOOKUP(C89,'Talente &amp; Stuff'!C:AD,16,FALSE)</f>
        <v>0</v>
      </c>
      <c r="S89" s="119">
        <f>VLOOKUP(C89,'Talente &amp; Stuff'!C:AD,17,FALSE)</f>
        <v>0</v>
      </c>
      <c r="T89" s="160">
        <f>VLOOKUP(C89,'Talente &amp; Stuff'!C:AD,18,FALSE)</f>
        <v>0</v>
      </c>
      <c r="U89" s="89">
        <f>VLOOKUP(C89,'Talente &amp; Stuff'!C:AD,19,FALSE)</f>
        <v>0</v>
      </c>
      <c r="V89" s="47">
        <f>VLOOKUP(C89,'Talente &amp; Stuff'!C:AD,20,FALSE)</f>
        <v>0</v>
      </c>
      <c r="W89" s="127">
        <f>VLOOKUP(C89,'Talente &amp; Stuff'!C:AD,21,FALSE)</f>
        <v>0</v>
      </c>
      <c r="X89" s="127">
        <f>VLOOKUP(C89,'Talente &amp; Stuff'!C:AD,22,FALSE)</f>
        <v>0</v>
      </c>
      <c r="Y89" s="165">
        <f t="shared" si="10"/>
        <v>0</v>
      </c>
      <c r="Z89" s="198">
        <f t="shared" si="11"/>
        <v>0</v>
      </c>
      <c r="AA89" s="125">
        <f>VLOOKUP(C89,'Talente &amp; Stuff'!C:AD,25,FALSE)</f>
        <v>0</v>
      </c>
      <c r="AB89" s="160">
        <f>VLOOKUP(C89,'Talente &amp; Stuff'!C:AD,26,FALSE)</f>
        <v>0</v>
      </c>
      <c r="AC89" s="127">
        <f>VLOOKUP(C89,'Talente &amp; Stuff'!C:AD,27,FALSE)</f>
        <v>0</v>
      </c>
      <c r="AD89" s="125">
        <f>VLOOKUP(C89,'Talente &amp; Stuff'!C:AD,28,FALSE)</f>
        <v>0</v>
      </c>
      <c r="AE89" s="28"/>
    </row>
    <row r="90" spans="2:31" hidden="1" outlineLevel="2">
      <c r="B90" s="148">
        <v>13</v>
      </c>
      <c r="C90" s="163" t="s">
        <v>281</v>
      </c>
      <c r="D90" s="125" t="str">
        <f>VLOOKUP(C90,'Talente &amp; Stuff'!C:AD,2,FALSE)</f>
        <v>--/--/--</v>
      </c>
      <c r="E90" s="127" t="str">
        <f>VLOOKUP(C90,'Talente &amp; Stuff'!C:AD,3,FALSE)</f>
        <v>-</v>
      </c>
      <c r="F90" s="114">
        <f>VLOOKUP(C90,'Talente &amp; Stuff'!C:AD,4,FALSE)</f>
        <v>0</v>
      </c>
      <c r="G90" s="113">
        <f>VLOOKUP(C90,'Talente &amp; Stuff'!C:AD,5,FALSE)</f>
        <v>0</v>
      </c>
      <c r="H90" s="113">
        <f>VLOOKUP(C90,'Talente &amp; Stuff'!C:AD,6,FALSE)</f>
        <v>0</v>
      </c>
      <c r="I90" s="113">
        <f>VLOOKUP(C90,'Talente &amp; Stuff'!C:AD,7,FALSE)</f>
        <v>0</v>
      </c>
      <c r="J90" s="113">
        <f>VLOOKUP(C90,'Talente &amp; Stuff'!C:AD,8,FALSE)</f>
        <v>0</v>
      </c>
      <c r="K90" s="113">
        <f>VLOOKUP(C90,'Talente &amp; Stuff'!C:AD,9,FALSE)</f>
        <v>0</v>
      </c>
      <c r="L90" s="113">
        <f>VLOOKUP(C90,'Talente &amp; Stuff'!C:AD,10,FALSE)</f>
        <v>0</v>
      </c>
      <c r="M90" s="119">
        <f>VLOOKUP(C90,'Talente &amp; Stuff'!C:AD,11,FALSE)</f>
        <v>0</v>
      </c>
      <c r="N90" s="89">
        <f>VLOOKUP(C90,'Talente &amp; Stuff'!C:AD,12,FALSE)</f>
        <v>0</v>
      </c>
      <c r="O90" s="47">
        <f>VLOOKUP(C90,'Talente &amp; Stuff'!C:AD,13,FALSE)</f>
        <v>0</v>
      </c>
      <c r="P90" s="119">
        <f>VLOOKUP(C90,'Talente &amp; Stuff'!C:AD,14,FALSE)</f>
        <v>0</v>
      </c>
      <c r="Q90" s="114">
        <f>VLOOKUP(C90,'Talente &amp; Stuff'!C:AD,15,FALSE)</f>
        <v>0</v>
      </c>
      <c r="R90" s="113">
        <f>VLOOKUP(C90,'Talente &amp; Stuff'!C:AD,16,FALSE)</f>
        <v>0</v>
      </c>
      <c r="S90" s="119">
        <f>VLOOKUP(C90,'Talente &amp; Stuff'!C:AD,17,FALSE)</f>
        <v>0</v>
      </c>
      <c r="T90" s="160">
        <f>VLOOKUP(C90,'Talente &amp; Stuff'!C:AD,18,FALSE)</f>
        <v>0</v>
      </c>
      <c r="U90" s="89">
        <f>VLOOKUP(C90,'Talente &amp; Stuff'!C:AD,19,FALSE)</f>
        <v>0</v>
      </c>
      <c r="V90" s="47">
        <f>VLOOKUP(C90,'Talente &amp; Stuff'!C:AD,20,FALSE)</f>
        <v>0</v>
      </c>
      <c r="W90" s="127">
        <f>VLOOKUP(C90,'Talente &amp; Stuff'!C:AD,21,FALSE)</f>
        <v>0</v>
      </c>
      <c r="X90" s="127">
        <f>VLOOKUP(C90,'Talente &amp; Stuff'!C:AD,22,FALSE)</f>
        <v>0</v>
      </c>
      <c r="Y90" s="165">
        <f t="shared" si="10"/>
        <v>0</v>
      </c>
      <c r="Z90" s="198">
        <f t="shared" si="11"/>
        <v>0</v>
      </c>
      <c r="AA90" s="125">
        <f>VLOOKUP(C90,'Talente &amp; Stuff'!C:AD,25,FALSE)</f>
        <v>0</v>
      </c>
      <c r="AB90" s="160">
        <f>VLOOKUP(C90,'Talente &amp; Stuff'!C:AD,26,FALSE)</f>
        <v>0</v>
      </c>
      <c r="AC90" s="127">
        <f>VLOOKUP(C90,'Talente &amp; Stuff'!C:AD,27,FALSE)</f>
        <v>0</v>
      </c>
      <c r="AD90" s="125">
        <f>VLOOKUP(C90,'Talente &amp; Stuff'!C:AD,28,FALSE)</f>
        <v>0</v>
      </c>
      <c r="AE90" s="28"/>
    </row>
    <row r="91" spans="2:31" hidden="1" outlineLevel="2">
      <c r="B91" s="148">
        <v>14</v>
      </c>
      <c r="C91" s="163" t="s">
        <v>281</v>
      </c>
      <c r="D91" s="125" t="str">
        <f>VLOOKUP(C91,'Talente &amp; Stuff'!C:AD,2,FALSE)</f>
        <v>--/--/--</v>
      </c>
      <c r="E91" s="127" t="str">
        <f>VLOOKUP(C91,'Talente &amp; Stuff'!C:AD,3,FALSE)</f>
        <v>-</v>
      </c>
      <c r="F91" s="114">
        <f>VLOOKUP(C91,'Talente &amp; Stuff'!C:AD,4,FALSE)</f>
        <v>0</v>
      </c>
      <c r="G91" s="113">
        <f>VLOOKUP(C91,'Talente &amp; Stuff'!C:AD,5,FALSE)</f>
        <v>0</v>
      </c>
      <c r="H91" s="113">
        <f>VLOOKUP(C91,'Talente &amp; Stuff'!C:AD,6,FALSE)</f>
        <v>0</v>
      </c>
      <c r="I91" s="113">
        <f>VLOOKUP(C91,'Talente &amp; Stuff'!C:AD,7,FALSE)</f>
        <v>0</v>
      </c>
      <c r="J91" s="113">
        <f>VLOOKUP(C91,'Talente &amp; Stuff'!C:AD,8,FALSE)</f>
        <v>0</v>
      </c>
      <c r="K91" s="113">
        <f>VLOOKUP(C91,'Talente &amp; Stuff'!C:AD,9,FALSE)</f>
        <v>0</v>
      </c>
      <c r="L91" s="113">
        <f>VLOOKUP(C91,'Talente &amp; Stuff'!C:AD,10,FALSE)</f>
        <v>0</v>
      </c>
      <c r="M91" s="119">
        <f>VLOOKUP(C91,'Talente &amp; Stuff'!C:AD,11,FALSE)</f>
        <v>0</v>
      </c>
      <c r="N91" s="89">
        <f>VLOOKUP(C91,'Talente &amp; Stuff'!C:AD,12,FALSE)</f>
        <v>0</v>
      </c>
      <c r="O91" s="47">
        <f>VLOOKUP(C91,'Talente &amp; Stuff'!C:AD,13,FALSE)</f>
        <v>0</v>
      </c>
      <c r="P91" s="119">
        <f>VLOOKUP(C91,'Talente &amp; Stuff'!C:AD,14,FALSE)</f>
        <v>0</v>
      </c>
      <c r="Q91" s="114">
        <f>VLOOKUP(C91,'Talente &amp; Stuff'!C:AD,15,FALSE)</f>
        <v>0</v>
      </c>
      <c r="R91" s="113">
        <f>VLOOKUP(C91,'Talente &amp; Stuff'!C:AD,16,FALSE)</f>
        <v>0</v>
      </c>
      <c r="S91" s="119">
        <f>VLOOKUP(C91,'Talente &amp; Stuff'!C:AD,17,FALSE)</f>
        <v>0</v>
      </c>
      <c r="T91" s="160">
        <f>VLOOKUP(C91,'Talente &amp; Stuff'!C:AD,18,FALSE)</f>
        <v>0</v>
      </c>
      <c r="U91" s="89">
        <f>VLOOKUP(C91,'Talente &amp; Stuff'!C:AD,19,FALSE)</f>
        <v>0</v>
      </c>
      <c r="V91" s="47">
        <f>VLOOKUP(C91,'Talente &amp; Stuff'!C:AD,20,FALSE)</f>
        <v>0</v>
      </c>
      <c r="W91" s="127">
        <f>VLOOKUP(C91,'Talente &amp; Stuff'!C:AD,21,FALSE)</f>
        <v>0</v>
      </c>
      <c r="X91" s="127">
        <f>VLOOKUP(C91,'Talente &amp; Stuff'!C:AD,22,FALSE)</f>
        <v>0</v>
      </c>
      <c r="Y91" s="165">
        <f t="shared" si="10"/>
        <v>0</v>
      </c>
      <c r="Z91" s="198">
        <f t="shared" si="11"/>
        <v>0</v>
      </c>
      <c r="AA91" s="125">
        <f>VLOOKUP(C91,'Talente &amp; Stuff'!C:AD,25,FALSE)</f>
        <v>0</v>
      </c>
      <c r="AB91" s="160">
        <f>VLOOKUP(C91,'Talente &amp; Stuff'!C:AD,26,FALSE)</f>
        <v>0</v>
      </c>
      <c r="AC91" s="127">
        <f>VLOOKUP(C91,'Talente &amp; Stuff'!C:AD,27,FALSE)</f>
        <v>0</v>
      </c>
      <c r="AD91" s="125">
        <f>VLOOKUP(C91,'Talente &amp; Stuff'!C:AD,28,FALSE)</f>
        <v>0</v>
      </c>
      <c r="AE91" s="28"/>
    </row>
    <row r="92" spans="2:31" hidden="1" outlineLevel="2">
      <c r="B92" s="148">
        <v>15</v>
      </c>
      <c r="C92" s="163" t="s">
        <v>281</v>
      </c>
      <c r="D92" s="86" t="str">
        <f>VLOOKUP(C92,'Talente &amp; Stuff'!C:AD,2,FALSE)</f>
        <v>--/--/--</v>
      </c>
      <c r="E92" s="127" t="str">
        <f>VLOOKUP(C92,'Talente &amp; Stuff'!C:AD,3,FALSE)</f>
        <v>-</v>
      </c>
      <c r="F92" s="114">
        <f>VLOOKUP(C92,'Talente &amp; Stuff'!C:AD,4,FALSE)</f>
        <v>0</v>
      </c>
      <c r="G92" s="113">
        <f>VLOOKUP(C92,'Talente &amp; Stuff'!C:AD,5,FALSE)</f>
        <v>0</v>
      </c>
      <c r="H92" s="113">
        <f>VLOOKUP(C92,'Talente &amp; Stuff'!C:AD,6,FALSE)</f>
        <v>0</v>
      </c>
      <c r="I92" s="113">
        <f>VLOOKUP(C92,'Talente &amp; Stuff'!C:AD,7,FALSE)</f>
        <v>0</v>
      </c>
      <c r="J92" s="113">
        <f>VLOOKUP(C92,'Talente &amp; Stuff'!C:AD,8,FALSE)</f>
        <v>0</v>
      </c>
      <c r="K92" s="113">
        <f>VLOOKUP(C92,'Talente &amp; Stuff'!C:AD,9,FALSE)</f>
        <v>0</v>
      </c>
      <c r="L92" s="113">
        <f>VLOOKUP(C92,'Talente &amp; Stuff'!C:AD,10,FALSE)</f>
        <v>0</v>
      </c>
      <c r="M92" s="119">
        <f>VLOOKUP(C92,'Talente &amp; Stuff'!C:AD,11,FALSE)</f>
        <v>0</v>
      </c>
      <c r="N92" s="89">
        <f>VLOOKUP(C92,'Talente &amp; Stuff'!C:AD,12,FALSE)</f>
        <v>0</v>
      </c>
      <c r="O92" s="47">
        <f>VLOOKUP(C92,'Talente &amp; Stuff'!C:AD,13,FALSE)</f>
        <v>0</v>
      </c>
      <c r="P92" s="119">
        <f>VLOOKUP(C92,'Talente &amp; Stuff'!C:AD,14,FALSE)</f>
        <v>0</v>
      </c>
      <c r="Q92" s="114">
        <f>VLOOKUP(C92,'Talente &amp; Stuff'!C:AD,15,FALSE)</f>
        <v>0</v>
      </c>
      <c r="R92" s="113">
        <f>VLOOKUP(C92,'Talente &amp; Stuff'!C:AD,16,FALSE)</f>
        <v>0</v>
      </c>
      <c r="S92" s="119">
        <f>VLOOKUP(C92,'Talente &amp; Stuff'!C:AD,17,FALSE)</f>
        <v>0</v>
      </c>
      <c r="T92" s="160">
        <f>VLOOKUP(C92,'Talente &amp; Stuff'!C:AD,18,FALSE)</f>
        <v>0</v>
      </c>
      <c r="U92" s="89">
        <f>VLOOKUP(C92,'Talente &amp; Stuff'!C:AD,19,FALSE)</f>
        <v>0</v>
      </c>
      <c r="V92" s="47">
        <f>VLOOKUP(C92,'Talente &amp; Stuff'!C:AD,20,FALSE)</f>
        <v>0</v>
      </c>
      <c r="W92" s="127">
        <f>VLOOKUP(C92,'Talente &amp; Stuff'!C:AD,21,FALSE)</f>
        <v>0</v>
      </c>
      <c r="X92" s="127">
        <f>VLOOKUP(C92,'Talente &amp; Stuff'!C:AD,22,FALSE)</f>
        <v>0</v>
      </c>
      <c r="Y92" s="165">
        <f t="shared" si="10"/>
        <v>0</v>
      </c>
      <c r="Z92" s="198">
        <f t="shared" si="11"/>
        <v>0</v>
      </c>
      <c r="AA92" s="125">
        <f>VLOOKUP(C92,'Talente &amp; Stuff'!C:AD,25,FALSE)</f>
        <v>0</v>
      </c>
      <c r="AB92" s="160">
        <f>VLOOKUP(C92,'Talente &amp; Stuff'!C:AD,26,FALSE)</f>
        <v>0</v>
      </c>
      <c r="AC92" s="127">
        <f>VLOOKUP(C92,'Talente &amp; Stuff'!C:AD,27,FALSE)</f>
        <v>0</v>
      </c>
      <c r="AD92" s="125">
        <f>VLOOKUP(C92,'Talente &amp; Stuff'!C:AD,28,FALSE)</f>
        <v>0</v>
      </c>
      <c r="AE92" s="28"/>
    </row>
    <row r="93" spans="2:31" hidden="1" outlineLevel="2">
      <c r="B93" s="148">
        <v>16</v>
      </c>
      <c r="C93" s="163" t="s">
        <v>281</v>
      </c>
      <c r="D93" s="125" t="str">
        <f>VLOOKUP(C93,'Talente &amp; Stuff'!C:AD,2,FALSE)</f>
        <v>--/--/--</v>
      </c>
      <c r="E93" s="127" t="str">
        <f>VLOOKUP(C93,'Talente &amp; Stuff'!C:AD,3,FALSE)</f>
        <v>-</v>
      </c>
      <c r="F93" s="114">
        <f>VLOOKUP(C93,'Talente &amp; Stuff'!C:AD,4,FALSE)</f>
        <v>0</v>
      </c>
      <c r="G93" s="113">
        <f>VLOOKUP(C93,'Talente &amp; Stuff'!C:AD,5,FALSE)</f>
        <v>0</v>
      </c>
      <c r="H93" s="113">
        <f>VLOOKUP(C93,'Talente &amp; Stuff'!C:AD,6,FALSE)</f>
        <v>0</v>
      </c>
      <c r="I93" s="113">
        <f>VLOOKUP(C93,'Talente &amp; Stuff'!C:AD,7,FALSE)</f>
        <v>0</v>
      </c>
      <c r="J93" s="113">
        <f>VLOOKUP(C93,'Talente &amp; Stuff'!C:AD,8,FALSE)</f>
        <v>0</v>
      </c>
      <c r="K93" s="113">
        <f>VLOOKUP(C93,'Talente &amp; Stuff'!C:AD,9,FALSE)</f>
        <v>0</v>
      </c>
      <c r="L93" s="113">
        <f>VLOOKUP(C93,'Talente &amp; Stuff'!C:AD,10,FALSE)</f>
        <v>0</v>
      </c>
      <c r="M93" s="119">
        <f>VLOOKUP(C93,'Talente &amp; Stuff'!C:AD,11,FALSE)</f>
        <v>0</v>
      </c>
      <c r="N93" s="89">
        <f>VLOOKUP(C93,'Talente &amp; Stuff'!C:AD,12,FALSE)</f>
        <v>0</v>
      </c>
      <c r="O93" s="47">
        <f>VLOOKUP(C93,'Talente &amp; Stuff'!C:AD,13,FALSE)</f>
        <v>0</v>
      </c>
      <c r="P93" s="119">
        <f>VLOOKUP(C93,'Talente &amp; Stuff'!C:AD,14,FALSE)</f>
        <v>0</v>
      </c>
      <c r="Q93" s="114">
        <f>VLOOKUP(C93,'Talente &amp; Stuff'!C:AD,15,FALSE)</f>
        <v>0</v>
      </c>
      <c r="R93" s="113">
        <f>VLOOKUP(C93,'Talente &amp; Stuff'!C:AD,16,FALSE)</f>
        <v>0</v>
      </c>
      <c r="S93" s="119">
        <f>VLOOKUP(C93,'Talente &amp; Stuff'!C:AD,17,FALSE)</f>
        <v>0</v>
      </c>
      <c r="T93" s="160">
        <f>VLOOKUP(C93,'Talente &amp; Stuff'!C:AD,18,FALSE)</f>
        <v>0</v>
      </c>
      <c r="U93" s="89">
        <f>VLOOKUP(C93,'Talente &amp; Stuff'!C:AD,19,FALSE)</f>
        <v>0</v>
      </c>
      <c r="V93" s="47">
        <f>VLOOKUP(C93,'Talente &amp; Stuff'!C:AD,20,FALSE)</f>
        <v>0</v>
      </c>
      <c r="W93" s="127">
        <f>VLOOKUP(C93,'Talente &amp; Stuff'!C:AD,21,FALSE)</f>
        <v>0</v>
      </c>
      <c r="X93" s="127">
        <f>VLOOKUP(C93,'Talente &amp; Stuff'!C:AD,22,FALSE)</f>
        <v>0</v>
      </c>
      <c r="Y93" s="165">
        <f t="shared" si="10"/>
        <v>0</v>
      </c>
      <c r="Z93" s="198">
        <f t="shared" si="11"/>
        <v>0</v>
      </c>
      <c r="AA93" s="125">
        <f>VLOOKUP(C93,'Talente &amp; Stuff'!C:AD,25,FALSE)</f>
        <v>0</v>
      </c>
      <c r="AB93" s="160">
        <f>VLOOKUP(C93,'Talente &amp; Stuff'!C:AD,26,FALSE)</f>
        <v>0</v>
      </c>
      <c r="AC93" s="127">
        <f>VLOOKUP(C93,'Talente &amp; Stuff'!C:AD,27,FALSE)</f>
        <v>0</v>
      </c>
      <c r="AD93" s="125">
        <f>VLOOKUP(C93,'Talente &amp; Stuff'!C:AD,28,FALSE)</f>
        <v>0</v>
      </c>
      <c r="AE93" s="28"/>
    </row>
    <row r="94" spans="2:31" hidden="1" outlineLevel="2">
      <c r="B94" s="148">
        <v>17</v>
      </c>
      <c r="C94" s="163" t="s">
        <v>281</v>
      </c>
      <c r="D94" s="125" t="str">
        <f>VLOOKUP(C94,'Talente &amp; Stuff'!C:AD,2,FALSE)</f>
        <v>--/--/--</v>
      </c>
      <c r="E94" s="127" t="str">
        <f>VLOOKUP(C94,'Talente &amp; Stuff'!C:AD,3,FALSE)</f>
        <v>-</v>
      </c>
      <c r="F94" s="114">
        <f>VLOOKUP(C94,'Talente &amp; Stuff'!C:AD,4,FALSE)</f>
        <v>0</v>
      </c>
      <c r="G94" s="113">
        <f>VLOOKUP(C94,'Talente &amp; Stuff'!C:AD,5,FALSE)</f>
        <v>0</v>
      </c>
      <c r="H94" s="113">
        <f>VLOOKUP(C94,'Talente &amp; Stuff'!C:AD,6,FALSE)</f>
        <v>0</v>
      </c>
      <c r="I94" s="113">
        <f>VLOOKUP(C94,'Talente &amp; Stuff'!C:AD,7,FALSE)</f>
        <v>0</v>
      </c>
      <c r="J94" s="113">
        <f>VLOOKUP(C94,'Talente &amp; Stuff'!C:AD,8,FALSE)</f>
        <v>0</v>
      </c>
      <c r="K94" s="113">
        <f>VLOOKUP(C94,'Talente &amp; Stuff'!C:AD,9,FALSE)</f>
        <v>0</v>
      </c>
      <c r="L94" s="113">
        <f>VLOOKUP(C94,'Talente &amp; Stuff'!C:AD,10,FALSE)</f>
        <v>0</v>
      </c>
      <c r="M94" s="119">
        <f>VLOOKUP(C94,'Talente &amp; Stuff'!C:AD,11,FALSE)</f>
        <v>0</v>
      </c>
      <c r="N94" s="89">
        <f>VLOOKUP(C94,'Talente &amp; Stuff'!C:AD,12,FALSE)</f>
        <v>0</v>
      </c>
      <c r="O94" s="47">
        <f>VLOOKUP(C94,'Talente &amp; Stuff'!C:AD,13,FALSE)</f>
        <v>0</v>
      </c>
      <c r="P94" s="119">
        <f>VLOOKUP(C94,'Talente &amp; Stuff'!C:AD,14,FALSE)</f>
        <v>0</v>
      </c>
      <c r="Q94" s="114">
        <f>VLOOKUP(C94,'Talente &amp; Stuff'!C:AD,15,FALSE)</f>
        <v>0</v>
      </c>
      <c r="R94" s="113">
        <f>VLOOKUP(C94,'Talente &amp; Stuff'!C:AD,16,FALSE)</f>
        <v>0</v>
      </c>
      <c r="S94" s="119">
        <f>VLOOKUP(C94,'Talente &amp; Stuff'!C:AD,17,FALSE)</f>
        <v>0</v>
      </c>
      <c r="T94" s="160">
        <f>VLOOKUP(C94,'Talente &amp; Stuff'!C:AD,18,FALSE)</f>
        <v>0</v>
      </c>
      <c r="U94" s="89">
        <f>VLOOKUP(C94,'Talente &amp; Stuff'!C:AD,19,FALSE)</f>
        <v>0</v>
      </c>
      <c r="V94" s="47">
        <f>VLOOKUP(C94,'Talente &amp; Stuff'!C:AD,20,FALSE)</f>
        <v>0</v>
      </c>
      <c r="W94" s="127">
        <f>VLOOKUP(C94,'Talente &amp; Stuff'!C:AD,21,FALSE)</f>
        <v>0</v>
      </c>
      <c r="X94" s="127">
        <f>VLOOKUP(C94,'Talente &amp; Stuff'!C:AD,22,FALSE)</f>
        <v>0</v>
      </c>
      <c r="Y94" s="165">
        <f t="shared" si="10"/>
        <v>0</v>
      </c>
      <c r="Z94" s="198">
        <f t="shared" si="11"/>
        <v>0</v>
      </c>
      <c r="AA94" s="125">
        <f>VLOOKUP(C94,'Talente &amp; Stuff'!C:AD,25,FALSE)</f>
        <v>0</v>
      </c>
      <c r="AB94" s="160">
        <f>VLOOKUP(C94,'Talente &amp; Stuff'!C:AD,26,FALSE)</f>
        <v>0</v>
      </c>
      <c r="AC94" s="127">
        <f>VLOOKUP(C94,'Talente &amp; Stuff'!C:AD,27,FALSE)</f>
        <v>0</v>
      </c>
      <c r="AD94" s="125">
        <f>VLOOKUP(C94,'Talente &amp; Stuff'!C:AD,28,FALSE)</f>
        <v>0</v>
      </c>
      <c r="AE94" s="28"/>
    </row>
    <row r="95" spans="2:31" s="138" customFormat="1" hidden="1" outlineLevel="2">
      <c r="B95" s="148">
        <v>18</v>
      </c>
      <c r="C95" s="163" t="s">
        <v>281</v>
      </c>
      <c r="D95" s="125" t="str">
        <f>VLOOKUP(C95,'Talente &amp; Stuff'!C:AD,2,FALSE)</f>
        <v>--/--/--</v>
      </c>
      <c r="E95" s="127" t="str">
        <f>VLOOKUP(C95,'Talente &amp; Stuff'!C:AD,3,FALSE)</f>
        <v>-</v>
      </c>
      <c r="F95" s="114">
        <f>VLOOKUP(C95,'Talente &amp; Stuff'!C:AD,4,FALSE)</f>
        <v>0</v>
      </c>
      <c r="G95" s="113">
        <f>VLOOKUP(C95,'Talente &amp; Stuff'!C:AD,5,FALSE)</f>
        <v>0</v>
      </c>
      <c r="H95" s="113">
        <f>VLOOKUP(C95,'Talente &amp; Stuff'!C:AD,6,FALSE)</f>
        <v>0</v>
      </c>
      <c r="I95" s="113">
        <f>VLOOKUP(C95,'Talente &amp; Stuff'!C:AD,7,FALSE)</f>
        <v>0</v>
      </c>
      <c r="J95" s="113">
        <f>VLOOKUP(C95,'Talente &amp; Stuff'!C:AD,8,FALSE)</f>
        <v>0</v>
      </c>
      <c r="K95" s="113">
        <f>VLOOKUP(C95,'Talente &amp; Stuff'!C:AD,9,FALSE)</f>
        <v>0</v>
      </c>
      <c r="L95" s="113">
        <f>VLOOKUP(C95,'Talente &amp; Stuff'!C:AD,10,FALSE)</f>
        <v>0</v>
      </c>
      <c r="M95" s="119">
        <f>VLOOKUP(C95,'Talente &amp; Stuff'!C:AD,11,FALSE)</f>
        <v>0</v>
      </c>
      <c r="N95" s="89">
        <f>VLOOKUP(C95,'Talente &amp; Stuff'!C:AD,12,FALSE)</f>
        <v>0</v>
      </c>
      <c r="O95" s="47">
        <f>VLOOKUP(C95,'Talente &amp; Stuff'!C:AD,13,FALSE)</f>
        <v>0</v>
      </c>
      <c r="P95" s="119">
        <f>VLOOKUP(C95,'Talente &amp; Stuff'!C:AD,14,FALSE)</f>
        <v>0</v>
      </c>
      <c r="Q95" s="114">
        <f>VLOOKUP(C95,'Talente &amp; Stuff'!C:AD,15,FALSE)</f>
        <v>0</v>
      </c>
      <c r="R95" s="113">
        <f>VLOOKUP(C95,'Talente &amp; Stuff'!C:AD,16,FALSE)</f>
        <v>0</v>
      </c>
      <c r="S95" s="119">
        <f>VLOOKUP(C95,'Talente &amp; Stuff'!C:AD,17,FALSE)</f>
        <v>0</v>
      </c>
      <c r="T95" s="160">
        <f>VLOOKUP(C95,'Talente &amp; Stuff'!C:AD,18,FALSE)</f>
        <v>0</v>
      </c>
      <c r="U95" s="89">
        <f>VLOOKUP(C95,'Talente &amp; Stuff'!C:AD,19,FALSE)</f>
        <v>0</v>
      </c>
      <c r="V95" s="47">
        <f>VLOOKUP(C95,'Talente &amp; Stuff'!C:AD,20,FALSE)</f>
        <v>0</v>
      </c>
      <c r="W95" s="127">
        <f>VLOOKUP(C95,'Talente &amp; Stuff'!C:AD,21,FALSE)</f>
        <v>0</v>
      </c>
      <c r="X95" s="127">
        <f>VLOOKUP(C95,'Talente &amp; Stuff'!C:AD,22,FALSE)</f>
        <v>0</v>
      </c>
      <c r="Y95" s="165">
        <f t="shared" si="10"/>
        <v>0</v>
      </c>
      <c r="Z95" s="198">
        <f t="shared" si="11"/>
        <v>0</v>
      </c>
      <c r="AA95" s="125">
        <f>VLOOKUP(C95,'Talente &amp; Stuff'!C:AD,25,FALSE)</f>
        <v>0</v>
      </c>
      <c r="AB95" s="160">
        <f>VLOOKUP(C95,'Talente &amp; Stuff'!C:AD,26,FALSE)</f>
        <v>0</v>
      </c>
      <c r="AC95" s="127">
        <f>VLOOKUP(C95,'Talente &amp; Stuff'!C:AD,27,FALSE)</f>
        <v>0</v>
      </c>
      <c r="AD95" s="125">
        <f>VLOOKUP(C95,'Talente &amp; Stuff'!C:AD,28,FALSE)</f>
        <v>0</v>
      </c>
      <c r="AE95" s="28"/>
    </row>
    <row r="96" spans="2:31" s="138" customFormat="1" hidden="1" outlineLevel="2">
      <c r="B96" s="148">
        <v>19</v>
      </c>
      <c r="C96" s="163" t="s">
        <v>281</v>
      </c>
      <c r="D96" s="125" t="str">
        <f>VLOOKUP(C96,'Talente &amp; Stuff'!C:AD,2,FALSE)</f>
        <v>--/--/--</v>
      </c>
      <c r="E96" s="127" t="str">
        <f>VLOOKUP(C96,'Talente &amp; Stuff'!C:AD,3,FALSE)</f>
        <v>-</v>
      </c>
      <c r="F96" s="114">
        <f>VLOOKUP(C96,'Talente &amp; Stuff'!C:AD,4,FALSE)</f>
        <v>0</v>
      </c>
      <c r="G96" s="113">
        <f>VLOOKUP(C96,'Talente &amp; Stuff'!C:AD,5,FALSE)</f>
        <v>0</v>
      </c>
      <c r="H96" s="113">
        <f>VLOOKUP(C96,'Talente &amp; Stuff'!C:AD,6,FALSE)</f>
        <v>0</v>
      </c>
      <c r="I96" s="113">
        <f>VLOOKUP(C96,'Talente &amp; Stuff'!C:AD,7,FALSE)</f>
        <v>0</v>
      </c>
      <c r="J96" s="113">
        <f>VLOOKUP(C96,'Talente &amp; Stuff'!C:AD,8,FALSE)</f>
        <v>0</v>
      </c>
      <c r="K96" s="113">
        <f>VLOOKUP(C96,'Talente &amp; Stuff'!C:AD,9,FALSE)</f>
        <v>0</v>
      </c>
      <c r="L96" s="113">
        <f>VLOOKUP(C96,'Talente &amp; Stuff'!C:AD,10,FALSE)</f>
        <v>0</v>
      </c>
      <c r="M96" s="119">
        <f>VLOOKUP(C96,'Talente &amp; Stuff'!C:AD,11,FALSE)</f>
        <v>0</v>
      </c>
      <c r="N96" s="89">
        <f>VLOOKUP(C96,'Talente &amp; Stuff'!C:AD,12,FALSE)</f>
        <v>0</v>
      </c>
      <c r="O96" s="47">
        <f>VLOOKUP(C96,'Talente &amp; Stuff'!C:AD,13,FALSE)</f>
        <v>0</v>
      </c>
      <c r="P96" s="119">
        <f>VLOOKUP(C96,'Talente &amp; Stuff'!C:AD,14,FALSE)</f>
        <v>0</v>
      </c>
      <c r="Q96" s="114">
        <f>VLOOKUP(C96,'Talente &amp; Stuff'!C:AD,15,FALSE)</f>
        <v>0</v>
      </c>
      <c r="R96" s="113">
        <f>VLOOKUP(C96,'Talente &amp; Stuff'!C:AD,16,FALSE)</f>
        <v>0</v>
      </c>
      <c r="S96" s="119">
        <f>VLOOKUP(C96,'Talente &amp; Stuff'!C:AD,17,FALSE)</f>
        <v>0</v>
      </c>
      <c r="T96" s="160">
        <f>VLOOKUP(C96,'Talente &amp; Stuff'!C:AD,18,FALSE)</f>
        <v>0</v>
      </c>
      <c r="U96" s="89">
        <f>VLOOKUP(C96,'Talente &amp; Stuff'!C:AD,19,FALSE)</f>
        <v>0</v>
      </c>
      <c r="V96" s="47">
        <f>VLOOKUP(C96,'Talente &amp; Stuff'!C:AD,20,FALSE)</f>
        <v>0</v>
      </c>
      <c r="W96" s="127">
        <f>VLOOKUP(C96,'Talente &amp; Stuff'!C:AD,21,FALSE)</f>
        <v>0</v>
      </c>
      <c r="X96" s="127">
        <f>VLOOKUP(C96,'Talente &amp; Stuff'!C:AD,22,FALSE)</f>
        <v>0</v>
      </c>
      <c r="Y96" s="165">
        <f t="shared" si="10"/>
        <v>0</v>
      </c>
      <c r="Z96" s="198">
        <f t="shared" si="11"/>
        <v>0</v>
      </c>
      <c r="AA96" s="125">
        <f>VLOOKUP(C96,'Talente &amp; Stuff'!C:AD,25,FALSE)</f>
        <v>0</v>
      </c>
      <c r="AB96" s="160">
        <f>VLOOKUP(C96,'Talente &amp; Stuff'!C:AD,26,FALSE)</f>
        <v>0</v>
      </c>
      <c r="AC96" s="127">
        <f>VLOOKUP(C96,'Talente &amp; Stuff'!C:AD,27,FALSE)</f>
        <v>0</v>
      </c>
      <c r="AD96" s="125">
        <f>VLOOKUP(C96,'Talente &amp; Stuff'!C:AD,28,FALSE)</f>
        <v>0</v>
      </c>
      <c r="AE96" s="28"/>
    </row>
    <row r="97" spans="2:31" hidden="1" outlineLevel="2">
      <c r="B97" s="148">
        <v>20</v>
      </c>
      <c r="C97" s="163" t="s">
        <v>281</v>
      </c>
      <c r="D97" s="125" t="str">
        <f>VLOOKUP(C97,'Talente &amp; Stuff'!C:AD,2,FALSE)</f>
        <v>--/--/--</v>
      </c>
      <c r="E97" s="127" t="str">
        <f>VLOOKUP(C97,'Talente &amp; Stuff'!C:AD,3,FALSE)</f>
        <v>-</v>
      </c>
      <c r="F97" s="114">
        <f>VLOOKUP(C97,'Talente &amp; Stuff'!C:AD,4,FALSE)</f>
        <v>0</v>
      </c>
      <c r="G97" s="113">
        <f>VLOOKUP(C97,'Talente &amp; Stuff'!C:AD,5,FALSE)</f>
        <v>0</v>
      </c>
      <c r="H97" s="113">
        <f>VLOOKUP(C97,'Talente &amp; Stuff'!C:AD,6,FALSE)</f>
        <v>0</v>
      </c>
      <c r="I97" s="113">
        <f>VLOOKUP(C97,'Talente &amp; Stuff'!C:AD,7,FALSE)</f>
        <v>0</v>
      </c>
      <c r="J97" s="113">
        <f>VLOOKUP(C97,'Talente &amp; Stuff'!C:AD,8,FALSE)</f>
        <v>0</v>
      </c>
      <c r="K97" s="113">
        <f>VLOOKUP(C97,'Talente &amp; Stuff'!C:AD,9,FALSE)</f>
        <v>0</v>
      </c>
      <c r="L97" s="113">
        <f>VLOOKUP(C97,'Talente &amp; Stuff'!C:AD,10,FALSE)</f>
        <v>0</v>
      </c>
      <c r="M97" s="119">
        <f>VLOOKUP(C97,'Talente &amp; Stuff'!C:AD,11,FALSE)</f>
        <v>0</v>
      </c>
      <c r="N97" s="89">
        <f>VLOOKUP(C97,'Talente &amp; Stuff'!C:AD,12,FALSE)</f>
        <v>0</v>
      </c>
      <c r="O97" s="47">
        <f>VLOOKUP(C97,'Talente &amp; Stuff'!C:AD,13,FALSE)</f>
        <v>0</v>
      </c>
      <c r="P97" s="119">
        <f>VLOOKUP(C97,'Talente &amp; Stuff'!C:AD,14,FALSE)</f>
        <v>0</v>
      </c>
      <c r="Q97" s="114">
        <f>VLOOKUP(C97,'Talente &amp; Stuff'!C:AD,15,FALSE)</f>
        <v>0</v>
      </c>
      <c r="R97" s="113">
        <f>VLOOKUP(C97,'Talente &amp; Stuff'!C:AD,16,FALSE)</f>
        <v>0</v>
      </c>
      <c r="S97" s="119">
        <f>VLOOKUP(C97,'Talente &amp; Stuff'!C:AD,17,FALSE)</f>
        <v>0</v>
      </c>
      <c r="T97" s="160">
        <f>VLOOKUP(C97,'Talente &amp; Stuff'!C:AD,18,FALSE)</f>
        <v>0</v>
      </c>
      <c r="U97" s="89">
        <f>VLOOKUP(C97,'Talente &amp; Stuff'!C:AD,19,FALSE)</f>
        <v>0</v>
      </c>
      <c r="V97" s="47">
        <f>VLOOKUP(C97,'Talente &amp; Stuff'!C:AD,20,FALSE)</f>
        <v>0</v>
      </c>
      <c r="W97" s="127">
        <f>VLOOKUP(C97,'Talente &amp; Stuff'!C:AD,21,FALSE)</f>
        <v>0</v>
      </c>
      <c r="X97" s="127">
        <f>VLOOKUP(C97,'Talente &amp; Stuff'!C:AD,22,FALSE)</f>
        <v>0</v>
      </c>
      <c r="Y97" s="165">
        <f t="shared" si="10"/>
        <v>0</v>
      </c>
      <c r="Z97" s="198">
        <f t="shared" si="11"/>
        <v>0</v>
      </c>
      <c r="AA97" s="125">
        <f>VLOOKUP(C97,'Talente &amp; Stuff'!C:AD,25,FALSE)</f>
        <v>0</v>
      </c>
      <c r="AB97" s="160">
        <f>VLOOKUP(C97,'Talente &amp; Stuff'!C:AD,26,FALSE)</f>
        <v>0</v>
      </c>
      <c r="AC97" s="127">
        <f>VLOOKUP(C97,'Talente &amp; Stuff'!C:AD,27,FALSE)</f>
        <v>0</v>
      </c>
      <c r="AD97" s="125">
        <f>VLOOKUP(C97,'Talente &amp; Stuff'!C:AD,28,FALSE)</f>
        <v>0</v>
      </c>
      <c r="AE97" s="28"/>
    </row>
    <row r="98" spans="2:31" hidden="1" outlineLevel="2">
      <c r="B98" s="148">
        <v>21</v>
      </c>
      <c r="C98" s="164" t="s">
        <v>281</v>
      </c>
      <c r="D98" s="87" t="str">
        <f>VLOOKUP(C98,'Talente &amp; Stuff'!C:AD,2,FALSE)</f>
        <v>--/--/--</v>
      </c>
      <c r="E98" s="128" t="str">
        <f>VLOOKUP(C98,'Talente &amp; Stuff'!C:AD,3,FALSE)</f>
        <v>-</v>
      </c>
      <c r="F98" s="115">
        <f>VLOOKUP(C98,'Talente &amp; Stuff'!C:AD,4,FALSE)</f>
        <v>0</v>
      </c>
      <c r="G98" s="122">
        <f>VLOOKUP(C98,'Talente &amp; Stuff'!C:AD,5,FALSE)</f>
        <v>0</v>
      </c>
      <c r="H98" s="122">
        <f>VLOOKUP(C98,'Talente &amp; Stuff'!C:AD,6,FALSE)</f>
        <v>0</v>
      </c>
      <c r="I98" s="122">
        <f>VLOOKUP(C98,'Talente &amp; Stuff'!C:AD,7,FALSE)</f>
        <v>0</v>
      </c>
      <c r="J98" s="122">
        <f>VLOOKUP(C98,'Talente &amp; Stuff'!C:AD,8,FALSE)</f>
        <v>0</v>
      </c>
      <c r="K98" s="122">
        <f>VLOOKUP(C98,'Talente &amp; Stuff'!C:AD,9,FALSE)</f>
        <v>0</v>
      </c>
      <c r="L98" s="122">
        <f>VLOOKUP(C98,'Talente &amp; Stuff'!C:AD,10,FALSE)</f>
        <v>0</v>
      </c>
      <c r="M98" s="123">
        <f>VLOOKUP(C98,'Talente &amp; Stuff'!C:AD,11,FALSE)</f>
        <v>0</v>
      </c>
      <c r="N98" s="88">
        <f>VLOOKUP(C98,'Talente &amp; Stuff'!C:AD,12,FALSE)</f>
        <v>0</v>
      </c>
      <c r="O98" s="2">
        <f>VLOOKUP(C98,'Talente &amp; Stuff'!C:AD,13,FALSE)</f>
        <v>0</v>
      </c>
      <c r="P98" s="173">
        <f>VLOOKUP(C98,'Talente &amp; Stuff'!C:AD,14,FALSE)</f>
        <v>0</v>
      </c>
      <c r="Q98" s="115">
        <f>VLOOKUP(C98,'Talente &amp; Stuff'!C:AD,15,FALSE)</f>
        <v>0</v>
      </c>
      <c r="R98" s="169">
        <f>VLOOKUP(C98,'Talente &amp; Stuff'!C:AD,16,FALSE)</f>
        <v>0</v>
      </c>
      <c r="S98" s="123">
        <f>VLOOKUP(C98,'Talente &amp; Stuff'!C:AD,17,FALSE)</f>
        <v>0</v>
      </c>
      <c r="T98" s="123">
        <f>VLOOKUP(C98,'Talente &amp; Stuff'!C:AD,18,FALSE)</f>
        <v>0</v>
      </c>
      <c r="U98" s="90">
        <f>VLOOKUP(C98,'Talente &amp; Stuff'!C:AD,19,FALSE)</f>
        <v>0</v>
      </c>
      <c r="V98" s="88">
        <f>VLOOKUP(C98,'Talente &amp; Stuff'!C:AD,20,FALSE)</f>
        <v>0</v>
      </c>
      <c r="W98" s="128">
        <f>VLOOKUP(C98,'Talente &amp; Stuff'!C:AD,21,FALSE)</f>
        <v>0</v>
      </c>
      <c r="X98" s="128">
        <f>VLOOKUP(C98,'Talente &amp; Stuff'!C:AD,22,FALSE)</f>
        <v>0</v>
      </c>
      <c r="Y98" s="165">
        <f t="shared" si="10"/>
        <v>0</v>
      </c>
      <c r="Z98" s="198">
        <f t="shared" si="11"/>
        <v>0</v>
      </c>
      <c r="AA98" s="159">
        <f>VLOOKUP(C98,'Talente &amp; Stuff'!C:AD,25,FALSE)</f>
        <v>0</v>
      </c>
      <c r="AB98" s="161">
        <f>VLOOKUP(C98,'Talente &amp; Stuff'!C:AD,26,FALSE)</f>
        <v>0</v>
      </c>
      <c r="AC98" s="128">
        <f>VLOOKUP(C98,'Talente &amp; Stuff'!C:AD,27,FALSE)</f>
        <v>0</v>
      </c>
      <c r="AD98" s="159">
        <f>VLOOKUP(C98,'Talente &amp; Stuff'!C:AD,28,FALSE)</f>
        <v>0</v>
      </c>
      <c r="AE98" s="28"/>
    </row>
    <row r="99" spans="2:31" hidden="1" outlineLevel="1" collapsed="1">
      <c r="B99" s="134" t="s">
        <v>331</v>
      </c>
      <c r="C99" s="83"/>
      <c r="D99" s="84"/>
      <c r="E99" s="84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</row>
    <row r="100" spans="2:31" s="138" customFormat="1" hidden="1" outlineLevel="2">
      <c r="B100" s="138">
        <v>1</v>
      </c>
      <c r="C100" s="162" t="s">
        <v>281</v>
      </c>
      <c r="D100" s="85" t="str">
        <f>VLOOKUP(C100,'Talente &amp; Stuff'!C:AD,2,FALSE)</f>
        <v>--/--/--</v>
      </c>
      <c r="E100" s="126" t="str">
        <f>VLOOKUP(C100,'Talente &amp; Stuff'!C:AD,3,FALSE)</f>
        <v>-</v>
      </c>
      <c r="F100" s="152">
        <f>VLOOKUP(C100,'Talente &amp; Stuff'!C:AD,4,FALSE)</f>
        <v>0</v>
      </c>
      <c r="G100" s="118">
        <f>VLOOKUP(C100,'Talente &amp; Stuff'!C:AD,5,FALSE)</f>
        <v>0</v>
      </c>
      <c r="H100" s="118">
        <f>VLOOKUP(C100,'Talente &amp; Stuff'!C:AD,6,FALSE)</f>
        <v>0</v>
      </c>
      <c r="I100" s="118">
        <f>VLOOKUP(C100,'Talente &amp; Stuff'!C:AD,7,FALSE)</f>
        <v>0</v>
      </c>
      <c r="J100" s="118">
        <f>VLOOKUP(C100,'Talente &amp; Stuff'!C:AD,8,FALSE)</f>
        <v>0</v>
      </c>
      <c r="K100" s="118">
        <f>VLOOKUP(C100,'Talente &amp; Stuff'!C:AD,9,FALSE)</f>
        <v>0</v>
      </c>
      <c r="L100" s="118">
        <f>VLOOKUP(C100,'Talente &amp; Stuff'!C:AD,10,FALSE)</f>
        <v>0</v>
      </c>
      <c r="M100" s="92">
        <f>VLOOKUP(C100,'Talente &amp; Stuff'!C:AD,11,FALSE)</f>
        <v>0</v>
      </c>
      <c r="N100" s="116">
        <f>VLOOKUP(C100,'Talente &amp; Stuff'!C:AD,12,FALSE)</f>
        <v>0</v>
      </c>
      <c r="O100" s="155">
        <f>VLOOKUP(C100,'Talente &amp; Stuff'!C:AD,13,FALSE)</f>
        <v>0</v>
      </c>
      <c r="P100" s="153">
        <f>VLOOKUP(C100,'Talente &amp; Stuff'!C:AD,14,FALSE)</f>
        <v>0</v>
      </c>
      <c r="Q100" s="152">
        <f>VLOOKUP(C100,'Talente &amp; Stuff'!C:AD,15,FALSE)</f>
        <v>0</v>
      </c>
      <c r="R100" s="170">
        <f>VLOOKUP(C100,'Talente &amp; Stuff'!C:AD,16,FALSE)</f>
        <v>0</v>
      </c>
      <c r="S100" s="92">
        <f>VLOOKUP(C100,'Talente &amp; Stuff'!C:AD,17,FALSE)</f>
        <v>0</v>
      </c>
      <c r="T100" s="92">
        <f>VLOOKUP(C100,'Talente &amp; Stuff'!C:AD,18,FALSE)</f>
        <v>0</v>
      </c>
      <c r="U100" s="154">
        <f>VLOOKUP(C100,'Talente &amp; Stuff'!C:AD,19,FALSE)</f>
        <v>0</v>
      </c>
      <c r="V100" s="116">
        <f>VLOOKUP(C100,'Talente &amp; Stuff'!C:AD,20,FALSE)</f>
        <v>0</v>
      </c>
      <c r="W100" s="126">
        <f>VLOOKUP(C100,'Talente &amp; Stuff'!C:AD,21,FALSE)</f>
        <v>0</v>
      </c>
      <c r="X100" s="126">
        <f>VLOOKUP(C100,'Talente &amp; Stuff'!C:AD,22,FALSE)</f>
        <v>0</v>
      </c>
      <c r="Y100" s="165">
        <f t="shared" ref="Y100:Y126" si="12">VLOOKUP(C100,Ausgewählte_Zauber_Druiden,23,FALSE)</f>
        <v>0</v>
      </c>
      <c r="Z100" s="198">
        <f t="shared" ref="Z100:Z126" si="13">VLOOKUP(C100,Ausgewählte_Zauber_Druiden,24,FALSE)</f>
        <v>0</v>
      </c>
      <c r="AA100" s="158">
        <f>VLOOKUP(C100,'Talente &amp; Stuff'!C:AD,25,FALSE)</f>
        <v>0</v>
      </c>
      <c r="AB100" s="91">
        <f>VLOOKUP(C100,'Talente &amp; Stuff'!C:AD,26,FALSE)</f>
        <v>0</v>
      </c>
      <c r="AC100" s="126">
        <f>VLOOKUP(C100,'Talente &amp; Stuff'!C:AD,27,FALSE)</f>
        <v>0</v>
      </c>
      <c r="AD100" s="158">
        <f>VLOOKUP(C100,'Talente &amp; Stuff'!C:AD,28,FALSE)</f>
        <v>0</v>
      </c>
      <c r="AE100" s="28"/>
    </row>
    <row r="101" spans="2:31" s="148" customFormat="1" hidden="1" outlineLevel="2">
      <c r="B101" s="148">
        <v>2</v>
      </c>
      <c r="C101" s="163" t="s">
        <v>281</v>
      </c>
      <c r="D101" s="86" t="str">
        <f>VLOOKUP(C101,'Talente &amp; Stuff'!C:AD,2,FALSE)</f>
        <v>--/--/--</v>
      </c>
      <c r="E101" s="167" t="str">
        <f>VLOOKUP(C101,'Talente &amp; Stuff'!C:AD,3,FALSE)</f>
        <v>-</v>
      </c>
      <c r="F101" s="120">
        <f>VLOOKUP(C101,'Talente &amp; Stuff'!C:AD,4,FALSE)</f>
        <v>0</v>
      </c>
      <c r="G101" s="117">
        <f>VLOOKUP(C101,'Talente &amp; Stuff'!C:AD,5,FALSE)</f>
        <v>0</v>
      </c>
      <c r="H101" s="117">
        <f>VLOOKUP(C101,'Talente &amp; Stuff'!C:AD,6,FALSE)</f>
        <v>0</v>
      </c>
      <c r="I101" s="117">
        <f>VLOOKUP(C101,'Talente &amp; Stuff'!C:AD,7,FALSE)</f>
        <v>0</v>
      </c>
      <c r="J101" s="117">
        <f>VLOOKUP(C101,'Talente &amp; Stuff'!C:AD,8,FALSE)</f>
        <v>0</v>
      </c>
      <c r="K101" s="117">
        <f>VLOOKUP(C101,'Talente &amp; Stuff'!C:AD,9,FALSE)</f>
        <v>0</v>
      </c>
      <c r="L101" s="117">
        <f>VLOOKUP(C101,'Talente &amp; Stuff'!C:AD,10,FALSE)</f>
        <v>0</v>
      </c>
      <c r="M101" s="121">
        <f>VLOOKUP(C101,'Talente &amp; Stuff'!C:AD,11,FALSE)</f>
        <v>0</v>
      </c>
      <c r="N101" s="47">
        <f>VLOOKUP(C101,'Talente &amp; Stuff'!C:AD,12,FALSE)</f>
        <v>0</v>
      </c>
      <c r="O101" s="3">
        <f>VLOOKUP(C101,'Talente &amp; Stuff'!C:AD,13,FALSE)</f>
        <v>0</v>
      </c>
      <c r="P101" s="174">
        <f>VLOOKUP(C101,'Talente &amp; Stuff'!C:AD,14,FALSE)</f>
        <v>0</v>
      </c>
      <c r="Q101" s="114">
        <f>VLOOKUP(C101,'Talente &amp; Stuff'!C:AD,15,FALSE)</f>
        <v>0</v>
      </c>
      <c r="R101" s="117">
        <f>VLOOKUP(C101,'Talente &amp; Stuff'!C:AD,16,FALSE)</f>
        <v>0</v>
      </c>
      <c r="S101" s="119">
        <f>VLOOKUP(C101,'Talente &amp; Stuff'!C:AD,17,FALSE)</f>
        <v>0</v>
      </c>
      <c r="T101" s="119">
        <f>VLOOKUP(C101,'Talente &amp; Stuff'!C:AD,18,FALSE)</f>
        <v>0</v>
      </c>
      <c r="U101" s="89">
        <f>VLOOKUP(C101,'Talente &amp; Stuff'!C:AD,19,FALSE)</f>
        <v>0</v>
      </c>
      <c r="V101" s="47">
        <f>VLOOKUP(C101,'Talente &amp; Stuff'!C:AD,20,FALSE)</f>
        <v>0</v>
      </c>
      <c r="W101" s="127">
        <f>VLOOKUP(C101,'Talente &amp; Stuff'!C:AD,21,FALSE)</f>
        <v>0</v>
      </c>
      <c r="X101" s="127">
        <f>VLOOKUP(C101,'Talente &amp; Stuff'!C:AD,22,FALSE)</f>
        <v>0</v>
      </c>
      <c r="Y101" s="165">
        <f t="shared" si="12"/>
        <v>0</v>
      </c>
      <c r="Z101" s="198">
        <f t="shared" si="13"/>
        <v>0</v>
      </c>
      <c r="AA101" s="125">
        <f>VLOOKUP(C101,'Talente &amp; Stuff'!C:AD,25,FALSE)</f>
        <v>0</v>
      </c>
      <c r="AB101" s="160">
        <f>VLOOKUP(C101,'Talente &amp; Stuff'!C:AD,26,FALSE)</f>
        <v>0</v>
      </c>
      <c r="AC101" s="127">
        <f>VLOOKUP(C101,'Talente &amp; Stuff'!C:AD,27,FALSE)</f>
        <v>0</v>
      </c>
      <c r="AD101" s="125">
        <f>VLOOKUP(C101,'Talente &amp; Stuff'!C:AD,28,FALSE)</f>
        <v>0</v>
      </c>
      <c r="AE101" s="28"/>
    </row>
    <row r="102" spans="2:31" s="148" customFormat="1" hidden="1" outlineLevel="2">
      <c r="B102" s="148">
        <v>3</v>
      </c>
      <c r="C102" s="163" t="s">
        <v>281</v>
      </c>
      <c r="D102" s="86" t="str">
        <f>VLOOKUP(C102,'Talente &amp; Stuff'!C:AD,2,FALSE)</f>
        <v>--/--/--</v>
      </c>
      <c r="E102" s="167" t="str">
        <f>VLOOKUP(C102,'Talente &amp; Stuff'!C:AD,3,FALSE)</f>
        <v>-</v>
      </c>
      <c r="F102" s="120">
        <f>VLOOKUP(C102,'Talente &amp; Stuff'!C:AD,4,FALSE)</f>
        <v>0</v>
      </c>
      <c r="G102" s="117">
        <f>VLOOKUP(C102,'Talente &amp; Stuff'!C:AD,5,FALSE)</f>
        <v>0</v>
      </c>
      <c r="H102" s="117">
        <f>VLOOKUP(C102,'Talente &amp; Stuff'!C:AD,6,FALSE)</f>
        <v>0</v>
      </c>
      <c r="I102" s="117">
        <f>VLOOKUP(C102,'Talente &amp; Stuff'!C:AD,7,FALSE)</f>
        <v>0</v>
      </c>
      <c r="J102" s="117">
        <f>VLOOKUP(C102,'Talente &amp; Stuff'!C:AD,8,FALSE)</f>
        <v>0</v>
      </c>
      <c r="K102" s="117">
        <f>VLOOKUP(C102,'Talente &amp; Stuff'!C:AD,9,FALSE)</f>
        <v>0</v>
      </c>
      <c r="L102" s="117">
        <f>VLOOKUP(C102,'Talente &amp; Stuff'!C:AD,10,FALSE)</f>
        <v>0</v>
      </c>
      <c r="M102" s="121">
        <f>VLOOKUP(C102,'Talente &amp; Stuff'!C:AD,11,FALSE)</f>
        <v>0</v>
      </c>
      <c r="N102" s="47">
        <f>VLOOKUP(C102,'Talente &amp; Stuff'!C:AD,12,FALSE)</f>
        <v>0</v>
      </c>
      <c r="O102" s="3">
        <f>VLOOKUP(C102,'Talente &amp; Stuff'!C:AD,13,FALSE)</f>
        <v>0</v>
      </c>
      <c r="P102" s="174">
        <f>VLOOKUP(C102,'Talente &amp; Stuff'!C:AD,14,FALSE)</f>
        <v>0</v>
      </c>
      <c r="Q102" s="114">
        <f>VLOOKUP(C102,'Talente &amp; Stuff'!C:AD,15,FALSE)</f>
        <v>0</v>
      </c>
      <c r="R102" s="117">
        <f>VLOOKUP(C102,'Talente &amp; Stuff'!C:AD,16,FALSE)</f>
        <v>0</v>
      </c>
      <c r="S102" s="119">
        <f>VLOOKUP(C102,'Talente &amp; Stuff'!C:AD,17,FALSE)</f>
        <v>0</v>
      </c>
      <c r="T102" s="119">
        <f>VLOOKUP(C102,'Talente &amp; Stuff'!C:AD,18,FALSE)</f>
        <v>0</v>
      </c>
      <c r="U102" s="89">
        <f>VLOOKUP(C102,'Talente &amp; Stuff'!C:AD,19,FALSE)</f>
        <v>0</v>
      </c>
      <c r="V102" s="47">
        <f>VLOOKUP(C102,'Talente &amp; Stuff'!C:AD,20,FALSE)</f>
        <v>0</v>
      </c>
      <c r="W102" s="127">
        <f>VLOOKUP(C102,'Talente &amp; Stuff'!C:AD,21,FALSE)</f>
        <v>0</v>
      </c>
      <c r="X102" s="127">
        <f>VLOOKUP(C102,'Talente &amp; Stuff'!C:AD,22,FALSE)</f>
        <v>0</v>
      </c>
      <c r="Y102" s="165">
        <f t="shared" si="12"/>
        <v>0</v>
      </c>
      <c r="Z102" s="198">
        <f t="shared" si="13"/>
        <v>0</v>
      </c>
      <c r="AA102" s="125">
        <f>VLOOKUP(C102,'Talente &amp; Stuff'!C:AD,25,FALSE)</f>
        <v>0</v>
      </c>
      <c r="AB102" s="160">
        <f>VLOOKUP(C102,'Talente &amp; Stuff'!C:AD,26,FALSE)</f>
        <v>0</v>
      </c>
      <c r="AC102" s="127">
        <f>VLOOKUP(C102,'Talente &amp; Stuff'!C:AD,27,FALSE)</f>
        <v>0</v>
      </c>
      <c r="AD102" s="125">
        <f>VLOOKUP(C102,'Talente &amp; Stuff'!C:AD,28,FALSE)</f>
        <v>0</v>
      </c>
      <c r="AE102" s="28"/>
    </row>
    <row r="103" spans="2:31" s="148" customFormat="1" hidden="1" outlineLevel="2">
      <c r="B103" s="148">
        <v>4</v>
      </c>
      <c r="C103" s="163" t="s">
        <v>281</v>
      </c>
      <c r="D103" s="86" t="str">
        <f>VLOOKUP(C103,'Talente &amp; Stuff'!C:AD,2,FALSE)</f>
        <v>--/--/--</v>
      </c>
      <c r="E103" s="167" t="str">
        <f>VLOOKUP(C103,'Talente &amp; Stuff'!C:AD,3,FALSE)</f>
        <v>-</v>
      </c>
      <c r="F103" s="120">
        <f>VLOOKUP(C103,'Talente &amp; Stuff'!C:AD,4,FALSE)</f>
        <v>0</v>
      </c>
      <c r="G103" s="117">
        <f>VLOOKUP(C103,'Talente &amp; Stuff'!C:AD,5,FALSE)</f>
        <v>0</v>
      </c>
      <c r="H103" s="117">
        <f>VLOOKUP(C103,'Talente &amp; Stuff'!C:AD,6,FALSE)</f>
        <v>0</v>
      </c>
      <c r="I103" s="117">
        <f>VLOOKUP(C103,'Talente &amp; Stuff'!C:AD,7,FALSE)</f>
        <v>0</v>
      </c>
      <c r="J103" s="117">
        <f>VLOOKUP(C103,'Talente &amp; Stuff'!C:AD,8,FALSE)</f>
        <v>0</v>
      </c>
      <c r="K103" s="117">
        <f>VLOOKUP(C103,'Talente &amp; Stuff'!C:AD,9,FALSE)</f>
        <v>0</v>
      </c>
      <c r="L103" s="117">
        <f>VLOOKUP(C103,'Talente &amp; Stuff'!C:AD,10,FALSE)</f>
        <v>0</v>
      </c>
      <c r="M103" s="121">
        <f>VLOOKUP(C103,'Talente &amp; Stuff'!C:AD,11,FALSE)</f>
        <v>0</v>
      </c>
      <c r="N103" s="47">
        <f>VLOOKUP(C103,'Talente &amp; Stuff'!C:AD,12,FALSE)</f>
        <v>0</v>
      </c>
      <c r="O103" s="3">
        <f>VLOOKUP(C103,'Talente &amp; Stuff'!C:AD,13,FALSE)</f>
        <v>0</v>
      </c>
      <c r="P103" s="174">
        <f>VLOOKUP(C103,'Talente &amp; Stuff'!C:AD,14,FALSE)</f>
        <v>0</v>
      </c>
      <c r="Q103" s="114">
        <f>VLOOKUP(C103,'Talente &amp; Stuff'!C:AD,15,FALSE)</f>
        <v>0</v>
      </c>
      <c r="R103" s="117">
        <f>VLOOKUP(C103,'Talente &amp; Stuff'!C:AD,16,FALSE)</f>
        <v>0</v>
      </c>
      <c r="S103" s="119">
        <f>VLOOKUP(C103,'Talente &amp; Stuff'!C:AD,17,FALSE)</f>
        <v>0</v>
      </c>
      <c r="T103" s="119">
        <f>VLOOKUP(C103,'Talente &amp; Stuff'!C:AD,18,FALSE)</f>
        <v>0</v>
      </c>
      <c r="U103" s="89">
        <f>VLOOKUP(C103,'Talente &amp; Stuff'!C:AD,19,FALSE)</f>
        <v>0</v>
      </c>
      <c r="V103" s="47">
        <f>VLOOKUP(C103,'Talente &amp; Stuff'!C:AD,20,FALSE)</f>
        <v>0</v>
      </c>
      <c r="W103" s="127">
        <f>VLOOKUP(C103,'Talente &amp; Stuff'!C:AD,21,FALSE)</f>
        <v>0</v>
      </c>
      <c r="X103" s="127">
        <f>VLOOKUP(C103,'Talente &amp; Stuff'!C:AD,22,FALSE)</f>
        <v>0</v>
      </c>
      <c r="Y103" s="165">
        <f t="shared" si="12"/>
        <v>0</v>
      </c>
      <c r="Z103" s="198">
        <f t="shared" si="13"/>
        <v>0</v>
      </c>
      <c r="AA103" s="125">
        <f>VLOOKUP(C103,'Talente &amp; Stuff'!C:AD,25,FALSE)</f>
        <v>0</v>
      </c>
      <c r="AB103" s="160">
        <f>VLOOKUP(C103,'Talente &amp; Stuff'!C:AD,26,FALSE)</f>
        <v>0</v>
      </c>
      <c r="AC103" s="127">
        <f>VLOOKUP(C103,'Talente &amp; Stuff'!C:AD,27,FALSE)</f>
        <v>0</v>
      </c>
      <c r="AD103" s="125">
        <f>VLOOKUP(C103,'Talente &amp; Stuff'!C:AD,28,FALSE)</f>
        <v>0</v>
      </c>
      <c r="AE103" s="28"/>
    </row>
    <row r="104" spans="2:31" s="148" customFormat="1" hidden="1" outlineLevel="2">
      <c r="B104" s="148">
        <v>5</v>
      </c>
      <c r="C104" s="163" t="s">
        <v>281</v>
      </c>
      <c r="D104" s="86" t="str">
        <f>VLOOKUP(C104,'Talente &amp; Stuff'!C:AD,2,FALSE)</f>
        <v>--/--/--</v>
      </c>
      <c r="E104" s="167" t="str">
        <f>VLOOKUP(C104,'Talente &amp; Stuff'!C:AD,3,FALSE)</f>
        <v>-</v>
      </c>
      <c r="F104" s="120">
        <f>VLOOKUP(C104,'Talente &amp; Stuff'!C:AD,4,FALSE)</f>
        <v>0</v>
      </c>
      <c r="G104" s="117">
        <f>VLOOKUP(C104,'Talente &amp; Stuff'!C:AD,5,FALSE)</f>
        <v>0</v>
      </c>
      <c r="H104" s="117">
        <f>VLOOKUP(C104,'Talente &amp; Stuff'!C:AD,6,FALSE)</f>
        <v>0</v>
      </c>
      <c r="I104" s="117">
        <f>VLOOKUP(C104,'Talente &amp; Stuff'!C:AD,7,FALSE)</f>
        <v>0</v>
      </c>
      <c r="J104" s="117">
        <f>VLOOKUP(C104,'Talente &amp; Stuff'!C:AD,8,FALSE)</f>
        <v>0</v>
      </c>
      <c r="K104" s="117">
        <f>VLOOKUP(C104,'Talente &amp; Stuff'!C:AD,9,FALSE)</f>
        <v>0</v>
      </c>
      <c r="L104" s="117">
        <f>VLOOKUP(C104,'Talente &amp; Stuff'!C:AD,10,FALSE)</f>
        <v>0</v>
      </c>
      <c r="M104" s="121">
        <f>VLOOKUP(C104,'Talente &amp; Stuff'!C:AD,11,FALSE)</f>
        <v>0</v>
      </c>
      <c r="N104" s="47">
        <f>VLOOKUP(C104,'Talente &amp; Stuff'!C:AD,12,FALSE)</f>
        <v>0</v>
      </c>
      <c r="O104" s="3">
        <f>VLOOKUP(C104,'Talente &amp; Stuff'!C:AD,13,FALSE)</f>
        <v>0</v>
      </c>
      <c r="P104" s="174">
        <f>VLOOKUP(C104,'Talente &amp; Stuff'!C:AD,14,FALSE)</f>
        <v>0</v>
      </c>
      <c r="Q104" s="114">
        <f>VLOOKUP(C104,'Talente &amp; Stuff'!C:AD,15,FALSE)</f>
        <v>0</v>
      </c>
      <c r="R104" s="117">
        <f>VLOOKUP(C104,'Talente &amp; Stuff'!C:AD,16,FALSE)</f>
        <v>0</v>
      </c>
      <c r="S104" s="119">
        <f>VLOOKUP(C104,'Talente &amp; Stuff'!C:AD,17,FALSE)</f>
        <v>0</v>
      </c>
      <c r="T104" s="119">
        <f>VLOOKUP(C104,'Talente &amp; Stuff'!C:AD,18,FALSE)</f>
        <v>0</v>
      </c>
      <c r="U104" s="89">
        <f>VLOOKUP(C104,'Talente &amp; Stuff'!C:AD,19,FALSE)</f>
        <v>0</v>
      </c>
      <c r="V104" s="47">
        <f>VLOOKUP(C104,'Talente &amp; Stuff'!C:AD,20,FALSE)</f>
        <v>0</v>
      </c>
      <c r="W104" s="127">
        <f>VLOOKUP(C104,'Talente &amp; Stuff'!C:AD,21,FALSE)</f>
        <v>0</v>
      </c>
      <c r="X104" s="127">
        <f>VLOOKUP(C104,'Talente &amp; Stuff'!C:AD,22,FALSE)</f>
        <v>0</v>
      </c>
      <c r="Y104" s="165">
        <f t="shared" si="12"/>
        <v>0</v>
      </c>
      <c r="Z104" s="198">
        <f t="shared" si="13"/>
        <v>0</v>
      </c>
      <c r="AA104" s="125">
        <f>VLOOKUP(C104,'Talente &amp; Stuff'!C:AD,25,FALSE)</f>
        <v>0</v>
      </c>
      <c r="AB104" s="160">
        <f>VLOOKUP(C104,'Talente &amp; Stuff'!C:AD,26,FALSE)</f>
        <v>0</v>
      </c>
      <c r="AC104" s="127">
        <f>VLOOKUP(C104,'Talente &amp; Stuff'!C:AD,27,FALSE)</f>
        <v>0</v>
      </c>
      <c r="AD104" s="125">
        <f>VLOOKUP(C104,'Talente &amp; Stuff'!C:AD,28,FALSE)</f>
        <v>0</v>
      </c>
      <c r="AE104" s="28"/>
    </row>
    <row r="105" spans="2:31" s="148" customFormat="1" hidden="1" outlineLevel="2">
      <c r="B105" s="148">
        <v>6</v>
      </c>
      <c r="C105" s="163" t="s">
        <v>281</v>
      </c>
      <c r="D105" s="86" t="str">
        <f>VLOOKUP(C105,'Talente &amp; Stuff'!C:AD,2,FALSE)</f>
        <v>--/--/--</v>
      </c>
      <c r="E105" s="167" t="str">
        <f>VLOOKUP(C105,'Talente &amp; Stuff'!C:AD,3,FALSE)</f>
        <v>-</v>
      </c>
      <c r="F105" s="120">
        <f>VLOOKUP(C105,'Talente &amp; Stuff'!C:AD,4,FALSE)</f>
        <v>0</v>
      </c>
      <c r="G105" s="117">
        <f>VLOOKUP(C105,'Talente &amp; Stuff'!C:AD,5,FALSE)</f>
        <v>0</v>
      </c>
      <c r="H105" s="117">
        <f>VLOOKUP(C105,'Talente &amp; Stuff'!C:AD,6,FALSE)</f>
        <v>0</v>
      </c>
      <c r="I105" s="117">
        <f>VLOOKUP(C105,'Talente &amp; Stuff'!C:AD,7,FALSE)</f>
        <v>0</v>
      </c>
      <c r="J105" s="117">
        <f>VLOOKUP(C105,'Talente &amp; Stuff'!C:AD,8,FALSE)</f>
        <v>0</v>
      </c>
      <c r="K105" s="117">
        <f>VLOOKUP(C105,'Talente &amp; Stuff'!C:AD,9,FALSE)</f>
        <v>0</v>
      </c>
      <c r="L105" s="117">
        <f>VLOOKUP(C105,'Talente &amp; Stuff'!C:AD,10,FALSE)</f>
        <v>0</v>
      </c>
      <c r="M105" s="121">
        <f>VLOOKUP(C105,'Talente &amp; Stuff'!C:AD,11,FALSE)</f>
        <v>0</v>
      </c>
      <c r="N105" s="47">
        <f>VLOOKUP(C105,'Talente &amp; Stuff'!C:AD,12,FALSE)</f>
        <v>0</v>
      </c>
      <c r="O105" s="3">
        <f>VLOOKUP(C105,'Talente &amp; Stuff'!C:AD,13,FALSE)</f>
        <v>0</v>
      </c>
      <c r="P105" s="174">
        <f>VLOOKUP(C105,'Talente &amp; Stuff'!C:AD,14,FALSE)</f>
        <v>0</v>
      </c>
      <c r="Q105" s="114">
        <f>VLOOKUP(C105,'Talente &amp; Stuff'!C:AD,15,FALSE)</f>
        <v>0</v>
      </c>
      <c r="R105" s="117">
        <f>VLOOKUP(C105,'Talente &amp; Stuff'!C:AD,16,FALSE)</f>
        <v>0</v>
      </c>
      <c r="S105" s="119">
        <f>VLOOKUP(C105,'Talente &amp; Stuff'!C:AD,17,FALSE)</f>
        <v>0</v>
      </c>
      <c r="T105" s="119">
        <f>VLOOKUP(C105,'Talente &amp; Stuff'!C:AD,18,FALSE)</f>
        <v>0</v>
      </c>
      <c r="U105" s="89">
        <f>VLOOKUP(C105,'Talente &amp; Stuff'!C:AD,19,FALSE)</f>
        <v>0</v>
      </c>
      <c r="V105" s="47">
        <f>VLOOKUP(C105,'Talente &amp; Stuff'!C:AD,20,FALSE)</f>
        <v>0</v>
      </c>
      <c r="W105" s="127">
        <f>VLOOKUP(C105,'Talente &amp; Stuff'!C:AD,21,FALSE)</f>
        <v>0</v>
      </c>
      <c r="X105" s="127">
        <f>VLOOKUP(C105,'Talente &amp; Stuff'!C:AD,22,FALSE)</f>
        <v>0</v>
      </c>
      <c r="Y105" s="165">
        <f t="shared" si="12"/>
        <v>0</v>
      </c>
      <c r="Z105" s="198">
        <f t="shared" si="13"/>
        <v>0</v>
      </c>
      <c r="AA105" s="125">
        <f>VLOOKUP(C105,'Talente &amp; Stuff'!C:AD,25,FALSE)</f>
        <v>0</v>
      </c>
      <c r="AB105" s="160">
        <f>VLOOKUP(C105,'Talente &amp; Stuff'!C:AD,26,FALSE)</f>
        <v>0</v>
      </c>
      <c r="AC105" s="127">
        <f>VLOOKUP(C105,'Talente &amp; Stuff'!C:AD,27,FALSE)</f>
        <v>0</v>
      </c>
      <c r="AD105" s="125">
        <f>VLOOKUP(C105,'Talente &amp; Stuff'!C:AD,28,FALSE)</f>
        <v>0</v>
      </c>
      <c r="AE105" s="28"/>
    </row>
    <row r="106" spans="2:31" s="148" customFormat="1" hidden="1" outlineLevel="2">
      <c r="B106" s="148">
        <v>7</v>
      </c>
      <c r="C106" s="163" t="s">
        <v>281</v>
      </c>
      <c r="D106" s="86" t="str">
        <f>VLOOKUP(C106,'Talente &amp; Stuff'!C:AD,2,FALSE)</f>
        <v>--/--/--</v>
      </c>
      <c r="E106" s="167" t="str">
        <f>VLOOKUP(C106,'Talente &amp; Stuff'!C:AD,3,FALSE)</f>
        <v>-</v>
      </c>
      <c r="F106" s="120">
        <f>VLOOKUP(C106,'Talente &amp; Stuff'!C:AD,4,FALSE)</f>
        <v>0</v>
      </c>
      <c r="G106" s="117">
        <f>VLOOKUP(C106,'Talente &amp; Stuff'!C:AD,5,FALSE)</f>
        <v>0</v>
      </c>
      <c r="H106" s="117">
        <f>VLOOKUP(C106,'Talente &amp; Stuff'!C:AD,6,FALSE)</f>
        <v>0</v>
      </c>
      <c r="I106" s="117">
        <f>VLOOKUP(C106,'Talente &amp; Stuff'!C:AD,7,FALSE)</f>
        <v>0</v>
      </c>
      <c r="J106" s="117">
        <f>VLOOKUP(C106,'Talente &amp; Stuff'!C:AD,8,FALSE)</f>
        <v>0</v>
      </c>
      <c r="K106" s="117">
        <f>VLOOKUP(C106,'Talente &amp; Stuff'!C:AD,9,FALSE)</f>
        <v>0</v>
      </c>
      <c r="L106" s="117">
        <f>VLOOKUP(C106,'Talente &amp; Stuff'!C:AD,10,FALSE)</f>
        <v>0</v>
      </c>
      <c r="M106" s="121">
        <f>VLOOKUP(C106,'Talente &amp; Stuff'!C:AD,11,FALSE)</f>
        <v>0</v>
      </c>
      <c r="N106" s="47">
        <f>VLOOKUP(C106,'Talente &amp; Stuff'!C:AD,12,FALSE)</f>
        <v>0</v>
      </c>
      <c r="O106" s="3">
        <f>VLOOKUP(C106,'Talente &amp; Stuff'!C:AD,13,FALSE)</f>
        <v>0</v>
      </c>
      <c r="P106" s="174">
        <f>VLOOKUP(C106,'Talente &amp; Stuff'!C:AD,14,FALSE)</f>
        <v>0</v>
      </c>
      <c r="Q106" s="114">
        <f>VLOOKUP(C106,'Talente &amp; Stuff'!C:AD,15,FALSE)</f>
        <v>0</v>
      </c>
      <c r="R106" s="117">
        <f>VLOOKUP(C106,'Talente &amp; Stuff'!C:AD,16,FALSE)</f>
        <v>0</v>
      </c>
      <c r="S106" s="119">
        <f>VLOOKUP(C106,'Talente &amp; Stuff'!C:AD,17,FALSE)</f>
        <v>0</v>
      </c>
      <c r="T106" s="119">
        <f>VLOOKUP(C106,'Talente &amp; Stuff'!C:AD,18,FALSE)</f>
        <v>0</v>
      </c>
      <c r="U106" s="89">
        <f>VLOOKUP(C106,'Talente &amp; Stuff'!C:AD,19,FALSE)</f>
        <v>0</v>
      </c>
      <c r="V106" s="47">
        <f>VLOOKUP(C106,'Talente &amp; Stuff'!C:AD,20,FALSE)</f>
        <v>0</v>
      </c>
      <c r="W106" s="127">
        <f>VLOOKUP(C106,'Talente &amp; Stuff'!C:AD,21,FALSE)</f>
        <v>0</v>
      </c>
      <c r="X106" s="127">
        <f>VLOOKUP(C106,'Talente &amp; Stuff'!C:AD,22,FALSE)</f>
        <v>0</v>
      </c>
      <c r="Y106" s="165">
        <f t="shared" si="12"/>
        <v>0</v>
      </c>
      <c r="Z106" s="198">
        <f t="shared" si="13"/>
        <v>0</v>
      </c>
      <c r="AA106" s="125">
        <f>VLOOKUP(C106,'Talente &amp; Stuff'!C:AD,25,FALSE)</f>
        <v>0</v>
      </c>
      <c r="AB106" s="160">
        <f>VLOOKUP(C106,'Talente &amp; Stuff'!C:AD,26,FALSE)</f>
        <v>0</v>
      </c>
      <c r="AC106" s="127">
        <f>VLOOKUP(C106,'Talente &amp; Stuff'!C:AD,27,FALSE)</f>
        <v>0</v>
      </c>
      <c r="AD106" s="125">
        <f>VLOOKUP(C106,'Talente &amp; Stuff'!C:AD,28,FALSE)</f>
        <v>0</v>
      </c>
      <c r="AE106" s="28"/>
    </row>
    <row r="107" spans="2:31" s="148" customFormat="1" hidden="1" outlineLevel="2">
      <c r="B107" s="148">
        <v>8</v>
      </c>
      <c r="C107" s="163" t="s">
        <v>281</v>
      </c>
      <c r="D107" s="86" t="str">
        <f>VLOOKUP(C107,'Talente &amp; Stuff'!C:AD,2,FALSE)</f>
        <v>--/--/--</v>
      </c>
      <c r="E107" s="167" t="str">
        <f>VLOOKUP(C107,'Talente &amp; Stuff'!C:AD,3,FALSE)</f>
        <v>-</v>
      </c>
      <c r="F107" s="120">
        <f>VLOOKUP(C107,'Talente &amp; Stuff'!C:AD,4,FALSE)</f>
        <v>0</v>
      </c>
      <c r="G107" s="117">
        <f>VLOOKUP(C107,'Talente &amp; Stuff'!C:AD,5,FALSE)</f>
        <v>0</v>
      </c>
      <c r="H107" s="117">
        <f>VLOOKUP(C107,'Talente &amp; Stuff'!C:AD,6,FALSE)</f>
        <v>0</v>
      </c>
      <c r="I107" s="117">
        <f>VLOOKUP(C107,'Talente &amp; Stuff'!C:AD,7,FALSE)</f>
        <v>0</v>
      </c>
      <c r="J107" s="117">
        <f>VLOOKUP(C107,'Talente &amp; Stuff'!C:AD,8,FALSE)</f>
        <v>0</v>
      </c>
      <c r="K107" s="117">
        <f>VLOOKUP(C107,'Talente &amp; Stuff'!C:AD,9,FALSE)</f>
        <v>0</v>
      </c>
      <c r="L107" s="117">
        <f>VLOOKUP(C107,'Talente &amp; Stuff'!C:AD,10,FALSE)</f>
        <v>0</v>
      </c>
      <c r="M107" s="121">
        <f>VLOOKUP(C107,'Talente &amp; Stuff'!C:AD,11,FALSE)</f>
        <v>0</v>
      </c>
      <c r="N107" s="47">
        <f>VLOOKUP(C107,'Talente &amp; Stuff'!C:AD,12,FALSE)</f>
        <v>0</v>
      </c>
      <c r="O107" s="3">
        <f>VLOOKUP(C107,'Talente &amp; Stuff'!C:AD,13,FALSE)</f>
        <v>0</v>
      </c>
      <c r="P107" s="174">
        <f>VLOOKUP(C107,'Talente &amp; Stuff'!C:AD,14,FALSE)</f>
        <v>0</v>
      </c>
      <c r="Q107" s="114">
        <f>VLOOKUP(C107,'Talente &amp; Stuff'!C:AD,15,FALSE)</f>
        <v>0</v>
      </c>
      <c r="R107" s="117">
        <f>VLOOKUP(C107,'Talente &amp; Stuff'!C:AD,16,FALSE)</f>
        <v>0</v>
      </c>
      <c r="S107" s="119">
        <f>VLOOKUP(C107,'Talente &amp; Stuff'!C:AD,17,FALSE)</f>
        <v>0</v>
      </c>
      <c r="T107" s="119">
        <f>VLOOKUP(C107,'Talente &amp; Stuff'!C:AD,18,FALSE)</f>
        <v>0</v>
      </c>
      <c r="U107" s="89">
        <f>VLOOKUP(C107,'Talente &amp; Stuff'!C:AD,19,FALSE)</f>
        <v>0</v>
      </c>
      <c r="V107" s="47">
        <f>VLOOKUP(C107,'Talente &amp; Stuff'!C:AD,20,FALSE)</f>
        <v>0</v>
      </c>
      <c r="W107" s="127">
        <f>VLOOKUP(C107,'Talente &amp; Stuff'!C:AD,21,FALSE)</f>
        <v>0</v>
      </c>
      <c r="X107" s="127">
        <f>VLOOKUP(C107,'Talente &amp; Stuff'!C:AD,22,FALSE)</f>
        <v>0</v>
      </c>
      <c r="Y107" s="165">
        <f t="shared" si="12"/>
        <v>0</v>
      </c>
      <c r="Z107" s="198">
        <f t="shared" si="13"/>
        <v>0</v>
      </c>
      <c r="AA107" s="125">
        <f>VLOOKUP(C107,'Talente &amp; Stuff'!C:AD,25,FALSE)</f>
        <v>0</v>
      </c>
      <c r="AB107" s="160">
        <f>VLOOKUP(C107,'Talente &amp; Stuff'!C:AD,26,FALSE)</f>
        <v>0</v>
      </c>
      <c r="AC107" s="127">
        <f>VLOOKUP(C107,'Talente &amp; Stuff'!C:AD,27,FALSE)</f>
        <v>0</v>
      </c>
      <c r="AD107" s="125">
        <f>VLOOKUP(C107,'Talente &amp; Stuff'!C:AD,28,FALSE)</f>
        <v>0</v>
      </c>
      <c r="AE107" s="28"/>
    </row>
    <row r="108" spans="2:31" s="148" customFormat="1" hidden="1" outlineLevel="2">
      <c r="B108" s="148">
        <v>9</v>
      </c>
      <c r="C108" s="163" t="s">
        <v>281</v>
      </c>
      <c r="D108" s="86" t="str">
        <f>VLOOKUP(C108,'Talente &amp; Stuff'!C:AD,2,FALSE)</f>
        <v>--/--/--</v>
      </c>
      <c r="E108" s="167" t="str">
        <f>VLOOKUP(C108,'Talente &amp; Stuff'!C:AD,3,FALSE)</f>
        <v>-</v>
      </c>
      <c r="F108" s="120">
        <f>VLOOKUP(C108,'Talente &amp; Stuff'!C:AD,4,FALSE)</f>
        <v>0</v>
      </c>
      <c r="G108" s="117">
        <f>VLOOKUP(C108,'Talente &amp; Stuff'!C:AD,5,FALSE)</f>
        <v>0</v>
      </c>
      <c r="H108" s="117">
        <f>VLOOKUP(C108,'Talente &amp; Stuff'!C:AD,6,FALSE)</f>
        <v>0</v>
      </c>
      <c r="I108" s="117">
        <f>VLOOKUP(C108,'Talente &amp; Stuff'!C:AD,7,FALSE)</f>
        <v>0</v>
      </c>
      <c r="J108" s="117">
        <f>VLOOKUP(C108,'Talente &amp; Stuff'!C:AD,8,FALSE)</f>
        <v>0</v>
      </c>
      <c r="K108" s="117">
        <f>VLOOKUP(C108,'Talente &amp; Stuff'!C:AD,9,FALSE)</f>
        <v>0</v>
      </c>
      <c r="L108" s="117">
        <f>VLOOKUP(C108,'Talente &amp; Stuff'!C:AD,10,FALSE)</f>
        <v>0</v>
      </c>
      <c r="M108" s="121">
        <f>VLOOKUP(C108,'Talente &amp; Stuff'!C:AD,11,FALSE)</f>
        <v>0</v>
      </c>
      <c r="N108" s="47">
        <f>VLOOKUP(C108,'Talente &amp; Stuff'!C:AD,12,FALSE)</f>
        <v>0</v>
      </c>
      <c r="O108" s="3">
        <f>VLOOKUP(C108,'Talente &amp; Stuff'!C:AD,13,FALSE)</f>
        <v>0</v>
      </c>
      <c r="P108" s="174">
        <f>VLOOKUP(C108,'Talente &amp; Stuff'!C:AD,14,FALSE)</f>
        <v>0</v>
      </c>
      <c r="Q108" s="114">
        <f>VLOOKUP(C108,'Talente &amp; Stuff'!C:AD,15,FALSE)</f>
        <v>0</v>
      </c>
      <c r="R108" s="117">
        <f>VLOOKUP(C108,'Talente &amp; Stuff'!C:AD,16,FALSE)</f>
        <v>0</v>
      </c>
      <c r="S108" s="119">
        <f>VLOOKUP(C108,'Talente &amp; Stuff'!C:AD,17,FALSE)</f>
        <v>0</v>
      </c>
      <c r="T108" s="119">
        <f>VLOOKUP(C108,'Talente &amp; Stuff'!C:AD,18,FALSE)</f>
        <v>0</v>
      </c>
      <c r="U108" s="89">
        <f>VLOOKUP(C108,'Talente &amp; Stuff'!C:AD,19,FALSE)</f>
        <v>0</v>
      </c>
      <c r="V108" s="47">
        <f>VLOOKUP(C108,'Talente &amp; Stuff'!C:AD,20,FALSE)</f>
        <v>0</v>
      </c>
      <c r="W108" s="127">
        <f>VLOOKUP(C108,'Talente &amp; Stuff'!C:AD,21,FALSE)</f>
        <v>0</v>
      </c>
      <c r="X108" s="127">
        <f>VLOOKUP(C108,'Talente &amp; Stuff'!C:AD,22,FALSE)</f>
        <v>0</v>
      </c>
      <c r="Y108" s="165">
        <f t="shared" si="12"/>
        <v>0</v>
      </c>
      <c r="Z108" s="198">
        <f t="shared" si="13"/>
        <v>0</v>
      </c>
      <c r="AA108" s="125">
        <f>VLOOKUP(C108,'Talente &amp; Stuff'!C:AD,25,FALSE)</f>
        <v>0</v>
      </c>
      <c r="AB108" s="160">
        <f>VLOOKUP(C108,'Talente &amp; Stuff'!C:AD,26,FALSE)</f>
        <v>0</v>
      </c>
      <c r="AC108" s="127">
        <f>VLOOKUP(C108,'Talente &amp; Stuff'!C:AD,27,FALSE)</f>
        <v>0</v>
      </c>
      <c r="AD108" s="125">
        <f>VLOOKUP(C108,'Talente &amp; Stuff'!C:AD,28,FALSE)</f>
        <v>0</v>
      </c>
      <c r="AE108" s="28"/>
    </row>
    <row r="109" spans="2:31" s="148" customFormat="1" hidden="1" outlineLevel="2">
      <c r="B109" s="148">
        <v>10</v>
      </c>
      <c r="C109" s="163" t="s">
        <v>281</v>
      </c>
      <c r="D109" s="86" t="str">
        <f>VLOOKUP(C109,'Talente &amp; Stuff'!C:AD,2,FALSE)</f>
        <v>--/--/--</v>
      </c>
      <c r="E109" s="167" t="str">
        <f>VLOOKUP(C109,'Talente &amp; Stuff'!C:AD,3,FALSE)</f>
        <v>-</v>
      </c>
      <c r="F109" s="120">
        <f>VLOOKUP(C109,'Talente &amp; Stuff'!C:AD,4,FALSE)</f>
        <v>0</v>
      </c>
      <c r="G109" s="117">
        <f>VLOOKUP(C109,'Talente &amp; Stuff'!C:AD,5,FALSE)</f>
        <v>0</v>
      </c>
      <c r="H109" s="117">
        <f>VLOOKUP(C109,'Talente &amp; Stuff'!C:AD,6,FALSE)</f>
        <v>0</v>
      </c>
      <c r="I109" s="117">
        <f>VLOOKUP(C109,'Talente &amp; Stuff'!C:AD,7,FALSE)</f>
        <v>0</v>
      </c>
      <c r="J109" s="117">
        <f>VLOOKUP(C109,'Talente &amp; Stuff'!C:AD,8,FALSE)</f>
        <v>0</v>
      </c>
      <c r="K109" s="117">
        <f>VLOOKUP(C109,'Talente &amp; Stuff'!C:AD,9,FALSE)</f>
        <v>0</v>
      </c>
      <c r="L109" s="117">
        <f>VLOOKUP(C109,'Talente &amp; Stuff'!C:AD,10,FALSE)</f>
        <v>0</v>
      </c>
      <c r="M109" s="121">
        <f>VLOOKUP(C109,'Talente &amp; Stuff'!C:AD,11,FALSE)</f>
        <v>0</v>
      </c>
      <c r="N109" s="47">
        <f>VLOOKUP(C109,'Talente &amp; Stuff'!C:AD,12,FALSE)</f>
        <v>0</v>
      </c>
      <c r="O109" s="3">
        <f>VLOOKUP(C109,'Talente &amp; Stuff'!C:AD,13,FALSE)</f>
        <v>0</v>
      </c>
      <c r="P109" s="174">
        <f>VLOOKUP(C109,'Talente &amp; Stuff'!C:AD,14,FALSE)</f>
        <v>0</v>
      </c>
      <c r="Q109" s="114">
        <f>VLOOKUP(C109,'Talente &amp; Stuff'!C:AD,15,FALSE)</f>
        <v>0</v>
      </c>
      <c r="R109" s="117">
        <f>VLOOKUP(C109,'Talente &amp; Stuff'!C:AD,16,FALSE)</f>
        <v>0</v>
      </c>
      <c r="S109" s="119">
        <f>VLOOKUP(C109,'Talente &amp; Stuff'!C:AD,17,FALSE)</f>
        <v>0</v>
      </c>
      <c r="T109" s="119">
        <f>VLOOKUP(C109,'Talente &amp; Stuff'!C:AD,18,FALSE)</f>
        <v>0</v>
      </c>
      <c r="U109" s="89">
        <f>VLOOKUP(C109,'Talente &amp; Stuff'!C:AD,19,FALSE)</f>
        <v>0</v>
      </c>
      <c r="V109" s="47">
        <f>VLOOKUP(C109,'Talente &amp; Stuff'!C:AD,20,FALSE)</f>
        <v>0</v>
      </c>
      <c r="W109" s="127">
        <f>VLOOKUP(C109,'Talente &amp; Stuff'!C:AD,21,FALSE)</f>
        <v>0</v>
      </c>
      <c r="X109" s="127">
        <f>VLOOKUP(C109,'Talente &amp; Stuff'!C:AD,22,FALSE)</f>
        <v>0</v>
      </c>
      <c r="Y109" s="165">
        <f t="shared" si="12"/>
        <v>0</v>
      </c>
      <c r="Z109" s="198">
        <f t="shared" si="13"/>
        <v>0</v>
      </c>
      <c r="AA109" s="125">
        <f>VLOOKUP(C109,'Talente &amp; Stuff'!C:AD,25,FALSE)</f>
        <v>0</v>
      </c>
      <c r="AB109" s="160">
        <f>VLOOKUP(C109,'Talente &amp; Stuff'!C:AD,26,FALSE)</f>
        <v>0</v>
      </c>
      <c r="AC109" s="127">
        <f>VLOOKUP(C109,'Talente &amp; Stuff'!C:AD,27,FALSE)</f>
        <v>0</v>
      </c>
      <c r="AD109" s="125">
        <f>VLOOKUP(C109,'Talente &amp; Stuff'!C:AD,28,FALSE)</f>
        <v>0</v>
      </c>
      <c r="AE109" s="28"/>
    </row>
    <row r="110" spans="2:31" s="148" customFormat="1" hidden="1" outlineLevel="2">
      <c r="B110" s="148">
        <v>11</v>
      </c>
      <c r="C110" s="163" t="s">
        <v>281</v>
      </c>
      <c r="D110" s="86" t="str">
        <f>VLOOKUP(C110,'Talente &amp; Stuff'!C:AD,2,FALSE)</f>
        <v>--/--/--</v>
      </c>
      <c r="E110" s="167" t="str">
        <f>VLOOKUP(C110,'Talente &amp; Stuff'!C:AD,3,FALSE)</f>
        <v>-</v>
      </c>
      <c r="F110" s="120">
        <f>VLOOKUP(C110,'Talente &amp; Stuff'!C:AD,4,FALSE)</f>
        <v>0</v>
      </c>
      <c r="G110" s="117">
        <f>VLOOKUP(C110,'Talente &amp; Stuff'!C:AD,5,FALSE)</f>
        <v>0</v>
      </c>
      <c r="H110" s="117">
        <f>VLOOKUP(C110,'Talente &amp; Stuff'!C:AD,6,FALSE)</f>
        <v>0</v>
      </c>
      <c r="I110" s="117">
        <f>VLOOKUP(C110,'Talente &amp; Stuff'!C:AD,7,FALSE)</f>
        <v>0</v>
      </c>
      <c r="J110" s="117">
        <f>VLOOKUP(C110,'Talente &amp; Stuff'!C:AD,8,FALSE)</f>
        <v>0</v>
      </c>
      <c r="K110" s="117">
        <f>VLOOKUP(C110,'Talente &amp; Stuff'!C:AD,9,FALSE)</f>
        <v>0</v>
      </c>
      <c r="L110" s="117">
        <f>VLOOKUP(C110,'Talente &amp; Stuff'!C:AD,10,FALSE)</f>
        <v>0</v>
      </c>
      <c r="M110" s="121">
        <f>VLOOKUP(C110,'Talente &amp; Stuff'!C:AD,11,FALSE)</f>
        <v>0</v>
      </c>
      <c r="N110" s="47">
        <f>VLOOKUP(C110,'Talente &amp; Stuff'!C:AD,12,FALSE)</f>
        <v>0</v>
      </c>
      <c r="O110" s="3">
        <f>VLOOKUP(C110,'Talente &amp; Stuff'!C:AD,13,FALSE)</f>
        <v>0</v>
      </c>
      <c r="P110" s="174">
        <f>VLOOKUP(C110,'Talente &amp; Stuff'!C:AD,14,FALSE)</f>
        <v>0</v>
      </c>
      <c r="Q110" s="114">
        <f>VLOOKUP(C110,'Talente &amp; Stuff'!C:AD,15,FALSE)</f>
        <v>0</v>
      </c>
      <c r="R110" s="117">
        <f>VLOOKUP(C110,'Talente &amp; Stuff'!C:AD,16,FALSE)</f>
        <v>0</v>
      </c>
      <c r="S110" s="119">
        <f>VLOOKUP(C110,'Talente &amp; Stuff'!C:AD,17,FALSE)</f>
        <v>0</v>
      </c>
      <c r="T110" s="119">
        <f>VLOOKUP(C110,'Talente &amp; Stuff'!C:AD,18,FALSE)</f>
        <v>0</v>
      </c>
      <c r="U110" s="89">
        <f>VLOOKUP(C110,'Talente &amp; Stuff'!C:AD,19,FALSE)</f>
        <v>0</v>
      </c>
      <c r="V110" s="47">
        <f>VLOOKUP(C110,'Talente &amp; Stuff'!C:AD,20,FALSE)</f>
        <v>0</v>
      </c>
      <c r="W110" s="127">
        <f>VLOOKUP(C110,'Talente &amp; Stuff'!C:AD,21,FALSE)</f>
        <v>0</v>
      </c>
      <c r="X110" s="127">
        <f>VLOOKUP(C110,'Talente &amp; Stuff'!C:AD,22,FALSE)</f>
        <v>0</v>
      </c>
      <c r="Y110" s="165">
        <f t="shared" si="12"/>
        <v>0</v>
      </c>
      <c r="Z110" s="198">
        <f t="shared" si="13"/>
        <v>0</v>
      </c>
      <c r="AA110" s="125">
        <f>VLOOKUP(C110,'Talente &amp; Stuff'!C:AD,25,FALSE)</f>
        <v>0</v>
      </c>
      <c r="AB110" s="160">
        <f>VLOOKUP(C110,'Talente &amp; Stuff'!C:AD,26,FALSE)</f>
        <v>0</v>
      </c>
      <c r="AC110" s="127">
        <f>VLOOKUP(C110,'Talente &amp; Stuff'!C:AD,27,FALSE)</f>
        <v>0</v>
      </c>
      <c r="AD110" s="125">
        <f>VLOOKUP(C110,'Talente &amp; Stuff'!C:AD,28,FALSE)</f>
        <v>0</v>
      </c>
      <c r="AE110" s="28"/>
    </row>
    <row r="111" spans="2:31" s="148" customFormat="1" hidden="1" outlineLevel="2">
      <c r="B111" s="148">
        <v>12</v>
      </c>
      <c r="C111" s="163" t="s">
        <v>281</v>
      </c>
      <c r="D111" s="86" t="str">
        <f>VLOOKUP(C111,'Talente &amp; Stuff'!C:AD,2,FALSE)</f>
        <v>--/--/--</v>
      </c>
      <c r="E111" s="167" t="str">
        <f>VLOOKUP(C111,'Talente &amp; Stuff'!C:AD,3,FALSE)</f>
        <v>-</v>
      </c>
      <c r="F111" s="120">
        <f>VLOOKUP(C111,'Talente &amp; Stuff'!C:AD,4,FALSE)</f>
        <v>0</v>
      </c>
      <c r="G111" s="117">
        <f>VLOOKUP(C111,'Talente &amp; Stuff'!C:AD,5,FALSE)</f>
        <v>0</v>
      </c>
      <c r="H111" s="117">
        <f>VLOOKUP(C111,'Talente &amp; Stuff'!C:AD,6,FALSE)</f>
        <v>0</v>
      </c>
      <c r="I111" s="117">
        <f>VLOOKUP(C111,'Talente &amp; Stuff'!C:AD,7,FALSE)</f>
        <v>0</v>
      </c>
      <c r="J111" s="117">
        <f>VLOOKUP(C111,'Talente &amp; Stuff'!C:AD,8,FALSE)</f>
        <v>0</v>
      </c>
      <c r="K111" s="117">
        <f>VLOOKUP(C111,'Talente &amp; Stuff'!C:AD,9,FALSE)</f>
        <v>0</v>
      </c>
      <c r="L111" s="117">
        <f>VLOOKUP(C111,'Talente &amp; Stuff'!C:AD,10,FALSE)</f>
        <v>0</v>
      </c>
      <c r="M111" s="121">
        <f>VLOOKUP(C111,'Talente &amp; Stuff'!C:AD,11,FALSE)</f>
        <v>0</v>
      </c>
      <c r="N111" s="47">
        <f>VLOOKUP(C111,'Talente &amp; Stuff'!C:AD,12,FALSE)</f>
        <v>0</v>
      </c>
      <c r="O111" s="3">
        <f>VLOOKUP(C111,'Talente &amp; Stuff'!C:AD,13,FALSE)</f>
        <v>0</v>
      </c>
      <c r="P111" s="174">
        <f>VLOOKUP(C111,'Talente &amp; Stuff'!C:AD,14,FALSE)</f>
        <v>0</v>
      </c>
      <c r="Q111" s="114">
        <f>VLOOKUP(C111,'Talente &amp; Stuff'!C:AD,15,FALSE)</f>
        <v>0</v>
      </c>
      <c r="R111" s="117">
        <f>VLOOKUP(C111,'Talente &amp; Stuff'!C:AD,16,FALSE)</f>
        <v>0</v>
      </c>
      <c r="S111" s="119">
        <f>VLOOKUP(C111,'Talente &amp; Stuff'!C:AD,17,FALSE)</f>
        <v>0</v>
      </c>
      <c r="T111" s="119">
        <f>VLOOKUP(C111,'Talente &amp; Stuff'!C:AD,18,FALSE)</f>
        <v>0</v>
      </c>
      <c r="U111" s="89">
        <f>VLOOKUP(C111,'Talente &amp; Stuff'!C:AD,19,FALSE)</f>
        <v>0</v>
      </c>
      <c r="V111" s="47">
        <f>VLOOKUP(C111,'Talente &amp; Stuff'!C:AD,20,FALSE)</f>
        <v>0</v>
      </c>
      <c r="W111" s="127">
        <f>VLOOKUP(C111,'Talente &amp; Stuff'!C:AD,21,FALSE)</f>
        <v>0</v>
      </c>
      <c r="X111" s="127">
        <f>VLOOKUP(C111,'Talente &amp; Stuff'!C:AD,22,FALSE)</f>
        <v>0</v>
      </c>
      <c r="Y111" s="165">
        <f t="shared" si="12"/>
        <v>0</v>
      </c>
      <c r="Z111" s="198">
        <f t="shared" si="13"/>
        <v>0</v>
      </c>
      <c r="AA111" s="125">
        <f>VLOOKUP(C111,'Talente &amp; Stuff'!C:AD,25,FALSE)</f>
        <v>0</v>
      </c>
      <c r="AB111" s="160">
        <f>VLOOKUP(C111,'Talente &amp; Stuff'!C:AD,26,FALSE)</f>
        <v>0</v>
      </c>
      <c r="AC111" s="127">
        <f>VLOOKUP(C111,'Talente &amp; Stuff'!C:AD,27,FALSE)</f>
        <v>0</v>
      </c>
      <c r="AD111" s="125">
        <f>VLOOKUP(C111,'Talente &amp; Stuff'!C:AD,28,FALSE)</f>
        <v>0</v>
      </c>
      <c r="AE111" s="28"/>
    </row>
    <row r="112" spans="2:31" s="148" customFormat="1" hidden="1" outlineLevel="2">
      <c r="B112" s="148">
        <v>13</v>
      </c>
      <c r="C112" s="163" t="s">
        <v>281</v>
      </c>
      <c r="D112" s="86" t="str">
        <f>VLOOKUP(C112,'Talente &amp; Stuff'!C:AD,2,FALSE)</f>
        <v>--/--/--</v>
      </c>
      <c r="E112" s="167" t="str">
        <f>VLOOKUP(C112,'Talente &amp; Stuff'!C:AD,3,FALSE)</f>
        <v>-</v>
      </c>
      <c r="F112" s="120">
        <f>VLOOKUP(C112,'Talente &amp; Stuff'!C:AD,4,FALSE)</f>
        <v>0</v>
      </c>
      <c r="G112" s="117">
        <f>VLOOKUP(C112,'Talente &amp; Stuff'!C:AD,5,FALSE)</f>
        <v>0</v>
      </c>
      <c r="H112" s="117">
        <f>VLOOKUP(C112,'Talente &amp; Stuff'!C:AD,6,FALSE)</f>
        <v>0</v>
      </c>
      <c r="I112" s="117">
        <f>VLOOKUP(C112,'Talente &amp; Stuff'!C:AD,7,FALSE)</f>
        <v>0</v>
      </c>
      <c r="J112" s="117">
        <f>VLOOKUP(C112,'Talente &amp; Stuff'!C:AD,8,FALSE)</f>
        <v>0</v>
      </c>
      <c r="K112" s="117">
        <f>VLOOKUP(C112,'Talente &amp; Stuff'!C:AD,9,FALSE)</f>
        <v>0</v>
      </c>
      <c r="L112" s="117">
        <f>VLOOKUP(C112,'Talente &amp; Stuff'!C:AD,10,FALSE)</f>
        <v>0</v>
      </c>
      <c r="M112" s="121">
        <f>VLOOKUP(C112,'Talente &amp; Stuff'!C:AD,11,FALSE)</f>
        <v>0</v>
      </c>
      <c r="N112" s="47">
        <f>VLOOKUP(C112,'Talente &amp; Stuff'!C:AD,12,FALSE)</f>
        <v>0</v>
      </c>
      <c r="O112" s="3">
        <f>VLOOKUP(C112,'Talente &amp; Stuff'!C:AD,13,FALSE)</f>
        <v>0</v>
      </c>
      <c r="P112" s="174">
        <f>VLOOKUP(C112,'Talente &amp; Stuff'!C:AD,14,FALSE)</f>
        <v>0</v>
      </c>
      <c r="Q112" s="114">
        <f>VLOOKUP(C112,'Talente &amp; Stuff'!C:AD,15,FALSE)</f>
        <v>0</v>
      </c>
      <c r="R112" s="117">
        <f>VLOOKUP(C112,'Talente &amp; Stuff'!C:AD,16,FALSE)</f>
        <v>0</v>
      </c>
      <c r="S112" s="119">
        <f>VLOOKUP(C112,'Talente &amp; Stuff'!C:AD,17,FALSE)</f>
        <v>0</v>
      </c>
      <c r="T112" s="119">
        <f>VLOOKUP(C112,'Talente &amp; Stuff'!C:AD,18,FALSE)</f>
        <v>0</v>
      </c>
      <c r="U112" s="89">
        <f>VLOOKUP(C112,'Talente &amp; Stuff'!C:AD,19,FALSE)</f>
        <v>0</v>
      </c>
      <c r="V112" s="47">
        <f>VLOOKUP(C112,'Talente &amp; Stuff'!C:AD,20,FALSE)</f>
        <v>0</v>
      </c>
      <c r="W112" s="127">
        <f>VLOOKUP(C112,'Talente &amp; Stuff'!C:AD,21,FALSE)</f>
        <v>0</v>
      </c>
      <c r="X112" s="127">
        <f>VLOOKUP(C112,'Talente &amp; Stuff'!C:AD,22,FALSE)</f>
        <v>0</v>
      </c>
      <c r="Y112" s="165">
        <f t="shared" si="12"/>
        <v>0</v>
      </c>
      <c r="Z112" s="198">
        <f t="shared" si="13"/>
        <v>0</v>
      </c>
      <c r="AA112" s="125">
        <f>VLOOKUP(C112,'Talente &amp; Stuff'!C:AD,25,FALSE)</f>
        <v>0</v>
      </c>
      <c r="AB112" s="160">
        <f>VLOOKUP(C112,'Talente &amp; Stuff'!C:AD,26,FALSE)</f>
        <v>0</v>
      </c>
      <c r="AC112" s="127">
        <f>VLOOKUP(C112,'Talente &amp; Stuff'!C:AD,27,FALSE)</f>
        <v>0</v>
      </c>
      <c r="AD112" s="125">
        <f>VLOOKUP(C112,'Talente &amp; Stuff'!C:AD,28,FALSE)</f>
        <v>0</v>
      </c>
      <c r="AE112" s="28"/>
    </row>
    <row r="113" spans="2:31" s="148" customFormat="1" hidden="1" outlineLevel="2">
      <c r="B113" s="148">
        <v>14</v>
      </c>
      <c r="C113" s="163" t="s">
        <v>281</v>
      </c>
      <c r="D113" s="86" t="str">
        <f>VLOOKUP(C113,'Talente &amp; Stuff'!C:AD,2,FALSE)</f>
        <v>--/--/--</v>
      </c>
      <c r="E113" s="167" t="str">
        <f>VLOOKUP(C113,'Talente &amp; Stuff'!C:AD,3,FALSE)</f>
        <v>-</v>
      </c>
      <c r="F113" s="120">
        <f>VLOOKUP(C113,'Talente &amp; Stuff'!C:AD,4,FALSE)</f>
        <v>0</v>
      </c>
      <c r="G113" s="117">
        <f>VLOOKUP(C113,'Talente &amp; Stuff'!C:AD,5,FALSE)</f>
        <v>0</v>
      </c>
      <c r="H113" s="117">
        <f>VLOOKUP(C113,'Talente &amp; Stuff'!C:AD,6,FALSE)</f>
        <v>0</v>
      </c>
      <c r="I113" s="117">
        <f>VLOOKUP(C113,'Talente &amp; Stuff'!C:AD,7,FALSE)</f>
        <v>0</v>
      </c>
      <c r="J113" s="117">
        <f>VLOOKUP(C113,'Talente &amp; Stuff'!C:AD,8,FALSE)</f>
        <v>0</v>
      </c>
      <c r="K113" s="117">
        <f>VLOOKUP(C113,'Talente &amp; Stuff'!C:AD,9,FALSE)</f>
        <v>0</v>
      </c>
      <c r="L113" s="117">
        <f>VLOOKUP(C113,'Talente &amp; Stuff'!C:AD,10,FALSE)</f>
        <v>0</v>
      </c>
      <c r="M113" s="121">
        <f>VLOOKUP(C113,'Talente &amp; Stuff'!C:AD,11,FALSE)</f>
        <v>0</v>
      </c>
      <c r="N113" s="47">
        <f>VLOOKUP(C113,'Talente &amp; Stuff'!C:AD,12,FALSE)</f>
        <v>0</v>
      </c>
      <c r="O113" s="3">
        <f>VLOOKUP(C113,'Talente &amp; Stuff'!C:AD,13,FALSE)</f>
        <v>0</v>
      </c>
      <c r="P113" s="174">
        <f>VLOOKUP(C113,'Talente &amp; Stuff'!C:AD,14,FALSE)</f>
        <v>0</v>
      </c>
      <c r="Q113" s="114">
        <f>VLOOKUP(C113,'Talente &amp; Stuff'!C:AD,15,FALSE)</f>
        <v>0</v>
      </c>
      <c r="R113" s="117">
        <f>VLOOKUP(C113,'Talente &amp; Stuff'!C:AD,16,FALSE)</f>
        <v>0</v>
      </c>
      <c r="S113" s="119">
        <f>VLOOKUP(C113,'Talente &amp; Stuff'!C:AD,17,FALSE)</f>
        <v>0</v>
      </c>
      <c r="T113" s="119">
        <f>VLOOKUP(C113,'Talente &amp; Stuff'!C:AD,18,FALSE)</f>
        <v>0</v>
      </c>
      <c r="U113" s="89">
        <f>VLOOKUP(C113,'Talente &amp; Stuff'!C:AD,19,FALSE)</f>
        <v>0</v>
      </c>
      <c r="V113" s="47">
        <f>VLOOKUP(C113,'Talente &amp; Stuff'!C:AD,20,FALSE)</f>
        <v>0</v>
      </c>
      <c r="W113" s="127">
        <f>VLOOKUP(C113,'Talente &amp; Stuff'!C:AD,21,FALSE)</f>
        <v>0</v>
      </c>
      <c r="X113" s="127">
        <f>VLOOKUP(C113,'Talente &amp; Stuff'!C:AD,22,FALSE)</f>
        <v>0</v>
      </c>
      <c r="Y113" s="165">
        <f t="shared" si="12"/>
        <v>0</v>
      </c>
      <c r="Z113" s="198">
        <f t="shared" si="13"/>
        <v>0</v>
      </c>
      <c r="AA113" s="125">
        <f>VLOOKUP(C113,'Talente &amp; Stuff'!C:AD,25,FALSE)</f>
        <v>0</v>
      </c>
      <c r="AB113" s="160">
        <f>VLOOKUP(C113,'Talente &amp; Stuff'!C:AD,26,FALSE)</f>
        <v>0</v>
      </c>
      <c r="AC113" s="127">
        <f>VLOOKUP(C113,'Talente &amp; Stuff'!C:AD,27,FALSE)</f>
        <v>0</v>
      </c>
      <c r="AD113" s="125">
        <f>VLOOKUP(C113,'Talente &amp; Stuff'!C:AD,28,FALSE)</f>
        <v>0</v>
      </c>
      <c r="AE113" s="28"/>
    </row>
    <row r="114" spans="2:31" s="148" customFormat="1" hidden="1" outlineLevel="2">
      <c r="B114" s="148">
        <v>15</v>
      </c>
      <c r="C114" s="163" t="s">
        <v>281</v>
      </c>
      <c r="D114" s="86" t="str">
        <f>VLOOKUP(C114,'Talente &amp; Stuff'!C:AD,2,FALSE)</f>
        <v>--/--/--</v>
      </c>
      <c r="E114" s="167" t="str">
        <f>VLOOKUP(C114,'Talente &amp; Stuff'!C:AD,3,FALSE)</f>
        <v>-</v>
      </c>
      <c r="F114" s="120">
        <f>VLOOKUP(C114,'Talente &amp; Stuff'!C:AD,4,FALSE)</f>
        <v>0</v>
      </c>
      <c r="G114" s="117">
        <f>VLOOKUP(C114,'Talente &amp; Stuff'!C:AD,5,FALSE)</f>
        <v>0</v>
      </c>
      <c r="H114" s="117">
        <f>VLOOKUP(C114,'Talente &amp; Stuff'!C:AD,6,FALSE)</f>
        <v>0</v>
      </c>
      <c r="I114" s="117">
        <f>VLOOKUP(C114,'Talente &amp; Stuff'!C:AD,7,FALSE)</f>
        <v>0</v>
      </c>
      <c r="J114" s="117">
        <f>VLOOKUP(C114,'Talente &amp; Stuff'!C:AD,8,FALSE)</f>
        <v>0</v>
      </c>
      <c r="K114" s="117">
        <f>VLOOKUP(C114,'Talente &amp; Stuff'!C:AD,9,FALSE)</f>
        <v>0</v>
      </c>
      <c r="L114" s="117">
        <f>VLOOKUP(C114,'Talente &amp; Stuff'!C:AD,10,FALSE)</f>
        <v>0</v>
      </c>
      <c r="M114" s="121">
        <f>VLOOKUP(C114,'Talente &amp; Stuff'!C:AD,11,FALSE)</f>
        <v>0</v>
      </c>
      <c r="N114" s="47">
        <f>VLOOKUP(C114,'Talente &amp; Stuff'!C:AD,12,FALSE)</f>
        <v>0</v>
      </c>
      <c r="O114" s="3">
        <f>VLOOKUP(C114,'Talente &amp; Stuff'!C:AD,13,FALSE)</f>
        <v>0</v>
      </c>
      <c r="P114" s="174">
        <f>VLOOKUP(C114,'Talente &amp; Stuff'!C:AD,14,FALSE)</f>
        <v>0</v>
      </c>
      <c r="Q114" s="114">
        <f>VLOOKUP(C114,'Talente &amp; Stuff'!C:AD,15,FALSE)</f>
        <v>0</v>
      </c>
      <c r="R114" s="117">
        <f>VLOOKUP(C114,'Talente &amp; Stuff'!C:AD,16,FALSE)</f>
        <v>0</v>
      </c>
      <c r="S114" s="119">
        <f>VLOOKUP(C114,'Talente &amp; Stuff'!C:AD,17,FALSE)</f>
        <v>0</v>
      </c>
      <c r="T114" s="119">
        <f>VLOOKUP(C114,'Talente &amp; Stuff'!C:AD,18,FALSE)</f>
        <v>0</v>
      </c>
      <c r="U114" s="89">
        <f>VLOOKUP(C114,'Talente &amp; Stuff'!C:AD,19,FALSE)</f>
        <v>0</v>
      </c>
      <c r="V114" s="47">
        <f>VLOOKUP(C114,'Talente &amp; Stuff'!C:AD,20,FALSE)</f>
        <v>0</v>
      </c>
      <c r="W114" s="127">
        <f>VLOOKUP(C114,'Talente &amp; Stuff'!C:AD,21,FALSE)</f>
        <v>0</v>
      </c>
      <c r="X114" s="127">
        <f>VLOOKUP(C114,'Talente &amp; Stuff'!C:AD,22,FALSE)</f>
        <v>0</v>
      </c>
      <c r="Y114" s="165">
        <f t="shared" si="12"/>
        <v>0</v>
      </c>
      <c r="Z114" s="198">
        <f t="shared" si="13"/>
        <v>0</v>
      </c>
      <c r="AA114" s="125">
        <f>VLOOKUP(C114,'Talente &amp; Stuff'!C:AD,25,FALSE)</f>
        <v>0</v>
      </c>
      <c r="AB114" s="160">
        <f>VLOOKUP(C114,'Talente &amp; Stuff'!C:AD,26,FALSE)</f>
        <v>0</v>
      </c>
      <c r="AC114" s="127">
        <f>VLOOKUP(C114,'Talente &amp; Stuff'!C:AD,27,FALSE)</f>
        <v>0</v>
      </c>
      <c r="AD114" s="125">
        <f>VLOOKUP(C114,'Talente &amp; Stuff'!C:AD,28,FALSE)</f>
        <v>0</v>
      </c>
      <c r="AE114" s="28"/>
    </row>
    <row r="115" spans="2:31" s="148" customFormat="1" hidden="1" outlineLevel="2">
      <c r="B115" s="148">
        <v>16</v>
      </c>
      <c r="C115" s="163" t="s">
        <v>281</v>
      </c>
      <c r="D115" s="86" t="str">
        <f>VLOOKUP(C115,'Talente &amp; Stuff'!C:AD,2,FALSE)</f>
        <v>--/--/--</v>
      </c>
      <c r="E115" s="167" t="str">
        <f>VLOOKUP(C115,'Talente &amp; Stuff'!C:AD,3,FALSE)</f>
        <v>-</v>
      </c>
      <c r="F115" s="120">
        <f>VLOOKUP(C115,'Talente &amp; Stuff'!C:AD,4,FALSE)</f>
        <v>0</v>
      </c>
      <c r="G115" s="117">
        <f>VLOOKUP(C115,'Talente &amp; Stuff'!C:AD,5,FALSE)</f>
        <v>0</v>
      </c>
      <c r="H115" s="117">
        <f>VLOOKUP(C115,'Talente &amp; Stuff'!C:AD,6,FALSE)</f>
        <v>0</v>
      </c>
      <c r="I115" s="117">
        <f>VLOOKUP(C115,'Talente &amp; Stuff'!C:AD,7,FALSE)</f>
        <v>0</v>
      </c>
      <c r="J115" s="117">
        <f>VLOOKUP(C115,'Talente &amp; Stuff'!C:AD,8,FALSE)</f>
        <v>0</v>
      </c>
      <c r="K115" s="117">
        <f>VLOOKUP(C115,'Talente &amp; Stuff'!C:AD,9,FALSE)</f>
        <v>0</v>
      </c>
      <c r="L115" s="117">
        <f>VLOOKUP(C115,'Talente &amp; Stuff'!C:AD,10,FALSE)</f>
        <v>0</v>
      </c>
      <c r="M115" s="121">
        <f>VLOOKUP(C115,'Talente &amp; Stuff'!C:AD,11,FALSE)</f>
        <v>0</v>
      </c>
      <c r="N115" s="47">
        <f>VLOOKUP(C115,'Talente &amp; Stuff'!C:AD,12,FALSE)</f>
        <v>0</v>
      </c>
      <c r="O115" s="3">
        <f>VLOOKUP(C115,'Talente &amp; Stuff'!C:AD,13,FALSE)</f>
        <v>0</v>
      </c>
      <c r="P115" s="174">
        <f>VLOOKUP(C115,'Talente &amp; Stuff'!C:AD,14,FALSE)</f>
        <v>0</v>
      </c>
      <c r="Q115" s="114">
        <f>VLOOKUP(C115,'Talente &amp; Stuff'!C:AD,15,FALSE)</f>
        <v>0</v>
      </c>
      <c r="R115" s="117">
        <f>VLOOKUP(C115,'Talente &amp; Stuff'!C:AD,16,FALSE)</f>
        <v>0</v>
      </c>
      <c r="S115" s="119">
        <f>VLOOKUP(C115,'Talente &amp; Stuff'!C:AD,17,FALSE)</f>
        <v>0</v>
      </c>
      <c r="T115" s="119">
        <f>VLOOKUP(C115,'Talente &amp; Stuff'!C:AD,18,FALSE)</f>
        <v>0</v>
      </c>
      <c r="U115" s="89">
        <f>VLOOKUP(C115,'Talente &amp; Stuff'!C:AD,19,FALSE)</f>
        <v>0</v>
      </c>
      <c r="V115" s="47">
        <f>VLOOKUP(C115,'Talente &amp; Stuff'!C:AD,20,FALSE)</f>
        <v>0</v>
      </c>
      <c r="W115" s="127">
        <f>VLOOKUP(C115,'Talente &amp; Stuff'!C:AD,21,FALSE)</f>
        <v>0</v>
      </c>
      <c r="X115" s="127">
        <f>VLOOKUP(C115,'Talente &amp; Stuff'!C:AD,22,FALSE)</f>
        <v>0</v>
      </c>
      <c r="Y115" s="165">
        <f t="shared" si="12"/>
        <v>0</v>
      </c>
      <c r="Z115" s="198">
        <f t="shared" si="13"/>
        <v>0</v>
      </c>
      <c r="AA115" s="125">
        <f>VLOOKUP(C115,'Talente &amp; Stuff'!C:AD,25,FALSE)</f>
        <v>0</v>
      </c>
      <c r="AB115" s="160">
        <f>VLOOKUP(C115,'Talente &amp; Stuff'!C:AD,26,FALSE)</f>
        <v>0</v>
      </c>
      <c r="AC115" s="127">
        <f>VLOOKUP(C115,'Talente &amp; Stuff'!C:AD,27,FALSE)</f>
        <v>0</v>
      </c>
      <c r="AD115" s="125">
        <f>VLOOKUP(C115,'Talente &amp; Stuff'!C:AD,28,FALSE)</f>
        <v>0</v>
      </c>
      <c r="AE115" s="28"/>
    </row>
    <row r="116" spans="2:31" s="148" customFormat="1" hidden="1" outlineLevel="2">
      <c r="B116" s="148">
        <v>17</v>
      </c>
      <c r="C116" s="163" t="s">
        <v>281</v>
      </c>
      <c r="D116" s="86" t="str">
        <f>VLOOKUP(C116,'Talente &amp; Stuff'!C:AD,2,FALSE)</f>
        <v>--/--/--</v>
      </c>
      <c r="E116" s="167" t="str">
        <f>VLOOKUP(C116,'Talente &amp; Stuff'!C:AD,3,FALSE)</f>
        <v>-</v>
      </c>
      <c r="F116" s="120">
        <f>VLOOKUP(C116,'Talente &amp; Stuff'!C:AD,4,FALSE)</f>
        <v>0</v>
      </c>
      <c r="G116" s="117">
        <f>VLOOKUP(C116,'Talente &amp; Stuff'!C:AD,5,FALSE)</f>
        <v>0</v>
      </c>
      <c r="H116" s="117">
        <f>VLOOKUP(C116,'Talente &amp; Stuff'!C:AD,6,FALSE)</f>
        <v>0</v>
      </c>
      <c r="I116" s="117">
        <f>VLOOKUP(C116,'Talente &amp; Stuff'!C:AD,7,FALSE)</f>
        <v>0</v>
      </c>
      <c r="J116" s="117">
        <f>VLOOKUP(C116,'Talente &amp; Stuff'!C:AD,8,FALSE)</f>
        <v>0</v>
      </c>
      <c r="K116" s="117">
        <f>VLOOKUP(C116,'Talente &amp; Stuff'!C:AD,9,FALSE)</f>
        <v>0</v>
      </c>
      <c r="L116" s="117">
        <f>VLOOKUP(C116,'Talente &amp; Stuff'!C:AD,10,FALSE)</f>
        <v>0</v>
      </c>
      <c r="M116" s="121">
        <f>VLOOKUP(C116,'Talente &amp; Stuff'!C:AD,11,FALSE)</f>
        <v>0</v>
      </c>
      <c r="N116" s="47">
        <f>VLOOKUP(C116,'Talente &amp; Stuff'!C:AD,12,FALSE)</f>
        <v>0</v>
      </c>
      <c r="O116" s="3">
        <f>VLOOKUP(C116,'Talente &amp; Stuff'!C:AD,13,FALSE)</f>
        <v>0</v>
      </c>
      <c r="P116" s="174">
        <f>VLOOKUP(C116,'Talente &amp; Stuff'!C:AD,14,FALSE)</f>
        <v>0</v>
      </c>
      <c r="Q116" s="114">
        <f>VLOOKUP(C116,'Talente &amp; Stuff'!C:AD,15,FALSE)</f>
        <v>0</v>
      </c>
      <c r="R116" s="117">
        <f>VLOOKUP(C116,'Talente &amp; Stuff'!C:AD,16,FALSE)</f>
        <v>0</v>
      </c>
      <c r="S116" s="119">
        <f>VLOOKUP(C116,'Talente &amp; Stuff'!C:AD,17,FALSE)</f>
        <v>0</v>
      </c>
      <c r="T116" s="119">
        <f>VLOOKUP(C116,'Talente &amp; Stuff'!C:AD,18,FALSE)</f>
        <v>0</v>
      </c>
      <c r="U116" s="89">
        <f>VLOOKUP(C116,'Talente &amp; Stuff'!C:AD,19,FALSE)</f>
        <v>0</v>
      </c>
      <c r="V116" s="47">
        <f>VLOOKUP(C116,'Talente &amp; Stuff'!C:AD,20,FALSE)</f>
        <v>0</v>
      </c>
      <c r="W116" s="127">
        <f>VLOOKUP(C116,'Talente &amp; Stuff'!C:AD,21,FALSE)</f>
        <v>0</v>
      </c>
      <c r="X116" s="127">
        <f>VLOOKUP(C116,'Talente &amp; Stuff'!C:AD,22,FALSE)</f>
        <v>0</v>
      </c>
      <c r="Y116" s="165">
        <f t="shared" si="12"/>
        <v>0</v>
      </c>
      <c r="Z116" s="198">
        <f t="shared" si="13"/>
        <v>0</v>
      </c>
      <c r="AA116" s="125">
        <f>VLOOKUP(C116,'Talente &amp; Stuff'!C:AD,25,FALSE)</f>
        <v>0</v>
      </c>
      <c r="AB116" s="160">
        <f>VLOOKUP(C116,'Talente &amp; Stuff'!C:AD,26,FALSE)</f>
        <v>0</v>
      </c>
      <c r="AC116" s="127">
        <f>VLOOKUP(C116,'Talente &amp; Stuff'!C:AD,27,FALSE)</f>
        <v>0</v>
      </c>
      <c r="AD116" s="125">
        <f>VLOOKUP(C116,'Talente &amp; Stuff'!C:AD,28,FALSE)</f>
        <v>0</v>
      </c>
      <c r="AE116" s="28"/>
    </row>
    <row r="117" spans="2:31" s="148" customFormat="1" hidden="1" outlineLevel="2">
      <c r="B117" s="148">
        <v>18</v>
      </c>
      <c r="C117" s="163" t="s">
        <v>281</v>
      </c>
      <c r="D117" s="86" t="str">
        <f>VLOOKUP(C117,'Talente &amp; Stuff'!C:AD,2,FALSE)</f>
        <v>--/--/--</v>
      </c>
      <c r="E117" s="167" t="str">
        <f>VLOOKUP(C117,'Talente &amp; Stuff'!C:AD,3,FALSE)</f>
        <v>-</v>
      </c>
      <c r="F117" s="120">
        <f>VLOOKUP(C117,'Talente &amp; Stuff'!C:AD,4,FALSE)</f>
        <v>0</v>
      </c>
      <c r="G117" s="117">
        <f>VLOOKUP(C117,'Talente &amp; Stuff'!C:AD,5,FALSE)</f>
        <v>0</v>
      </c>
      <c r="H117" s="117">
        <f>VLOOKUP(C117,'Talente &amp; Stuff'!C:AD,6,FALSE)</f>
        <v>0</v>
      </c>
      <c r="I117" s="117">
        <f>VLOOKUP(C117,'Talente &amp; Stuff'!C:AD,7,FALSE)</f>
        <v>0</v>
      </c>
      <c r="J117" s="117">
        <f>VLOOKUP(C117,'Talente &amp; Stuff'!C:AD,8,FALSE)</f>
        <v>0</v>
      </c>
      <c r="K117" s="117">
        <f>VLOOKUP(C117,'Talente &amp; Stuff'!C:AD,9,FALSE)</f>
        <v>0</v>
      </c>
      <c r="L117" s="117">
        <f>VLOOKUP(C117,'Talente &amp; Stuff'!C:AD,10,FALSE)</f>
        <v>0</v>
      </c>
      <c r="M117" s="121">
        <f>VLOOKUP(C117,'Talente &amp; Stuff'!C:AD,11,FALSE)</f>
        <v>0</v>
      </c>
      <c r="N117" s="47">
        <f>VLOOKUP(C117,'Talente &amp; Stuff'!C:AD,12,FALSE)</f>
        <v>0</v>
      </c>
      <c r="O117" s="3">
        <f>VLOOKUP(C117,'Talente &amp; Stuff'!C:AD,13,FALSE)</f>
        <v>0</v>
      </c>
      <c r="P117" s="174">
        <f>VLOOKUP(C117,'Talente &amp; Stuff'!C:AD,14,FALSE)</f>
        <v>0</v>
      </c>
      <c r="Q117" s="114">
        <f>VLOOKUP(C117,'Talente &amp; Stuff'!C:AD,15,FALSE)</f>
        <v>0</v>
      </c>
      <c r="R117" s="117">
        <f>VLOOKUP(C117,'Talente &amp; Stuff'!C:AD,16,FALSE)</f>
        <v>0</v>
      </c>
      <c r="S117" s="119">
        <f>VLOOKUP(C117,'Talente &amp; Stuff'!C:AD,17,FALSE)</f>
        <v>0</v>
      </c>
      <c r="T117" s="119">
        <f>VLOOKUP(C117,'Talente &amp; Stuff'!C:AD,18,FALSE)</f>
        <v>0</v>
      </c>
      <c r="U117" s="89">
        <f>VLOOKUP(C117,'Talente &amp; Stuff'!C:AD,19,FALSE)</f>
        <v>0</v>
      </c>
      <c r="V117" s="47">
        <f>VLOOKUP(C117,'Talente &amp; Stuff'!C:AD,20,FALSE)</f>
        <v>0</v>
      </c>
      <c r="W117" s="127">
        <f>VLOOKUP(C117,'Talente &amp; Stuff'!C:AD,21,FALSE)</f>
        <v>0</v>
      </c>
      <c r="X117" s="127">
        <f>VLOOKUP(C117,'Talente &amp; Stuff'!C:AD,22,FALSE)</f>
        <v>0</v>
      </c>
      <c r="Y117" s="165">
        <f t="shared" si="12"/>
        <v>0</v>
      </c>
      <c r="Z117" s="198">
        <f t="shared" si="13"/>
        <v>0</v>
      </c>
      <c r="AA117" s="125">
        <f>VLOOKUP(C117,'Talente &amp; Stuff'!C:AD,25,FALSE)</f>
        <v>0</v>
      </c>
      <c r="AB117" s="160">
        <f>VLOOKUP(C117,'Talente &amp; Stuff'!C:AD,26,FALSE)</f>
        <v>0</v>
      </c>
      <c r="AC117" s="127">
        <f>VLOOKUP(C117,'Talente &amp; Stuff'!C:AD,27,FALSE)</f>
        <v>0</v>
      </c>
      <c r="AD117" s="125">
        <f>VLOOKUP(C117,'Talente &amp; Stuff'!C:AD,28,FALSE)</f>
        <v>0</v>
      </c>
      <c r="AE117" s="28"/>
    </row>
    <row r="118" spans="2:31" s="138" customFormat="1" hidden="1" outlineLevel="2">
      <c r="B118" s="148">
        <v>19</v>
      </c>
      <c r="C118" s="163" t="s">
        <v>281</v>
      </c>
      <c r="D118" s="86" t="str">
        <f>VLOOKUP(C118,'Talente &amp; Stuff'!C:AD,2,FALSE)</f>
        <v>--/--/--</v>
      </c>
      <c r="E118" s="167" t="str">
        <f>VLOOKUP(C118,'Talente &amp; Stuff'!C:AD,3,FALSE)</f>
        <v>-</v>
      </c>
      <c r="F118" s="120">
        <f>VLOOKUP(C118,'Talente &amp; Stuff'!C:AD,4,FALSE)</f>
        <v>0</v>
      </c>
      <c r="G118" s="117">
        <f>VLOOKUP(C118,'Talente &amp; Stuff'!C:AD,5,FALSE)</f>
        <v>0</v>
      </c>
      <c r="H118" s="117">
        <f>VLOOKUP(C118,'Talente &amp; Stuff'!C:AD,6,FALSE)</f>
        <v>0</v>
      </c>
      <c r="I118" s="117">
        <f>VLOOKUP(C118,'Talente &amp; Stuff'!C:AD,7,FALSE)</f>
        <v>0</v>
      </c>
      <c r="J118" s="117">
        <f>VLOOKUP(C118,'Talente &amp; Stuff'!C:AD,8,FALSE)</f>
        <v>0</v>
      </c>
      <c r="K118" s="117">
        <f>VLOOKUP(C118,'Talente &amp; Stuff'!C:AD,9,FALSE)</f>
        <v>0</v>
      </c>
      <c r="L118" s="117">
        <f>VLOOKUP(C118,'Talente &amp; Stuff'!C:AD,10,FALSE)</f>
        <v>0</v>
      </c>
      <c r="M118" s="121">
        <f>VLOOKUP(C118,'Talente &amp; Stuff'!C:AD,11,FALSE)</f>
        <v>0</v>
      </c>
      <c r="N118" s="47">
        <f>VLOOKUP(C118,'Talente &amp; Stuff'!C:AD,12,FALSE)</f>
        <v>0</v>
      </c>
      <c r="O118" s="3">
        <f>VLOOKUP(C118,'Talente &amp; Stuff'!C:AD,13,FALSE)</f>
        <v>0</v>
      </c>
      <c r="P118" s="174">
        <f>VLOOKUP(C118,'Talente &amp; Stuff'!C:AD,14,FALSE)</f>
        <v>0</v>
      </c>
      <c r="Q118" s="114">
        <f>VLOOKUP(C118,'Talente &amp; Stuff'!C:AD,15,FALSE)</f>
        <v>0</v>
      </c>
      <c r="R118" s="117">
        <f>VLOOKUP(C118,'Talente &amp; Stuff'!C:AD,16,FALSE)</f>
        <v>0</v>
      </c>
      <c r="S118" s="119">
        <f>VLOOKUP(C118,'Talente &amp; Stuff'!C:AD,17,FALSE)</f>
        <v>0</v>
      </c>
      <c r="T118" s="119">
        <f>VLOOKUP(C118,'Talente &amp; Stuff'!C:AD,18,FALSE)</f>
        <v>0</v>
      </c>
      <c r="U118" s="89">
        <f>VLOOKUP(C118,'Talente &amp; Stuff'!C:AD,19,FALSE)</f>
        <v>0</v>
      </c>
      <c r="V118" s="47">
        <f>VLOOKUP(C118,'Talente &amp; Stuff'!C:AD,20,FALSE)</f>
        <v>0</v>
      </c>
      <c r="W118" s="127">
        <f>VLOOKUP(C118,'Talente &amp; Stuff'!C:AD,21,FALSE)</f>
        <v>0</v>
      </c>
      <c r="X118" s="127">
        <f>VLOOKUP(C118,'Talente &amp; Stuff'!C:AD,22,FALSE)</f>
        <v>0</v>
      </c>
      <c r="Y118" s="165">
        <f t="shared" si="12"/>
        <v>0</v>
      </c>
      <c r="Z118" s="198">
        <f t="shared" si="13"/>
        <v>0</v>
      </c>
      <c r="AA118" s="125">
        <f>VLOOKUP(C118,'Talente &amp; Stuff'!C:AD,25,FALSE)</f>
        <v>0</v>
      </c>
      <c r="AB118" s="160">
        <f>VLOOKUP(C118,'Talente &amp; Stuff'!C:AD,26,FALSE)</f>
        <v>0</v>
      </c>
      <c r="AC118" s="127">
        <f>VLOOKUP(C118,'Talente &amp; Stuff'!C:AD,27,FALSE)</f>
        <v>0</v>
      </c>
      <c r="AD118" s="125">
        <f>VLOOKUP(C118,'Talente &amp; Stuff'!C:AD,28,FALSE)</f>
        <v>0</v>
      </c>
      <c r="AE118" s="28"/>
    </row>
    <row r="119" spans="2:31" s="138" customFormat="1" hidden="1" outlineLevel="2">
      <c r="B119" s="148">
        <v>20</v>
      </c>
      <c r="C119" s="163" t="s">
        <v>281</v>
      </c>
      <c r="D119" s="86" t="str">
        <f>VLOOKUP(C119,'Talente &amp; Stuff'!C:AD,2,FALSE)</f>
        <v>--/--/--</v>
      </c>
      <c r="E119" s="167" t="str">
        <f>VLOOKUP(C119,'Talente &amp; Stuff'!C:AD,3,FALSE)</f>
        <v>-</v>
      </c>
      <c r="F119" s="120">
        <f>VLOOKUP(C119,'Talente &amp; Stuff'!C:AD,4,FALSE)</f>
        <v>0</v>
      </c>
      <c r="G119" s="117">
        <f>VLOOKUP(C119,'Talente &amp; Stuff'!C:AD,5,FALSE)</f>
        <v>0</v>
      </c>
      <c r="H119" s="117">
        <f>VLOOKUP(C119,'Talente &amp; Stuff'!C:AD,6,FALSE)</f>
        <v>0</v>
      </c>
      <c r="I119" s="117">
        <f>VLOOKUP(C119,'Talente &amp; Stuff'!C:AD,7,FALSE)</f>
        <v>0</v>
      </c>
      <c r="J119" s="117">
        <f>VLOOKUP(C119,'Talente &amp; Stuff'!C:AD,8,FALSE)</f>
        <v>0</v>
      </c>
      <c r="K119" s="117">
        <f>VLOOKUP(C119,'Talente &amp; Stuff'!C:AD,9,FALSE)</f>
        <v>0</v>
      </c>
      <c r="L119" s="117">
        <f>VLOOKUP(C119,'Talente &amp; Stuff'!C:AD,10,FALSE)</f>
        <v>0</v>
      </c>
      <c r="M119" s="121">
        <f>VLOOKUP(C119,'Talente &amp; Stuff'!C:AD,11,FALSE)</f>
        <v>0</v>
      </c>
      <c r="N119" s="47">
        <f>VLOOKUP(C119,'Talente &amp; Stuff'!C:AD,12,FALSE)</f>
        <v>0</v>
      </c>
      <c r="O119" s="3">
        <f>VLOOKUP(C119,'Talente &amp; Stuff'!C:AD,13,FALSE)</f>
        <v>0</v>
      </c>
      <c r="P119" s="174">
        <f>VLOOKUP(C119,'Talente &amp; Stuff'!C:AD,14,FALSE)</f>
        <v>0</v>
      </c>
      <c r="Q119" s="114">
        <f>VLOOKUP(C119,'Talente &amp; Stuff'!C:AD,15,FALSE)</f>
        <v>0</v>
      </c>
      <c r="R119" s="117">
        <f>VLOOKUP(C119,'Talente &amp; Stuff'!C:AD,16,FALSE)</f>
        <v>0</v>
      </c>
      <c r="S119" s="119">
        <f>VLOOKUP(C119,'Talente &amp; Stuff'!C:AD,17,FALSE)</f>
        <v>0</v>
      </c>
      <c r="T119" s="119">
        <f>VLOOKUP(C119,'Talente &amp; Stuff'!C:AD,18,FALSE)</f>
        <v>0</v>
      </c>
      <c r="U119" s="89">
        <f>VLOOKUP(C119,'Talente &amp; Stuff'!C:AD,19,FALSE)</f>
        <v>0</v>
      </c>
      <c r="V119" s="47">
        <f>VLOOKUP(C119,'Talente &amp; Stuff'!C:AD,20,FALSE)</f>
        <v>0</v>
      </c>
      <c r="W119" s="127">
        <f>VLOOKUP(C119,'Talente &amp; Stuff'!C:AD,21,FALSE)</f>
        <v>0</v>
      </c>
      <c r="X119" s="127">
        <f>VLOOKUP(C119,'Talente &amp; Stuff'!C:AD,22,FALSE)</f>
        <v>0</v>
      </c>
      <c r="Y119" s="165">
        <f t="shared" si="12"/>
        <v>0</v>
      </c>
      <c r="Z119" s="198">
        <f t="shared" si="13"/>
        <v>0</v>
      </c>
      <c r="AA119" s="125">
        <f>VLOOKUP(C119,'Talente &amp; Stuff'!C:AD,25,FALSE)</f>
        <v>0</v>
      </c>
      <c r="AB119" s="160">
        <f>VLOOKUP(C119,'Talente &amp; Stuff'!C:AD,26,FALSE)</f>
        <v>0</v>
      </c>
      <c r="AC119" s="127">
        <f>VLOOKUP(C119,'Talente &amp; Stuff'!C:AD,27,FALSE)</f>
        <v>0</v>
      </c>
      <c r="AD119" s="125">
        <f>VLOOKUP(C119,'Talente &amp; Stuff'!C:AD,28,FALSE)</f>
        <v>0</v>
      </c>
      <c r="AE119" s="28"/>
    </row>
    <row r="120" spans="2:31" s="138" customFormat="1" hidden="1" outlineLevel="2">
      <c r="B120" s="148">
        <v>21</v>
      </c>
      <c r="C120" s="163" t="s">
        <v>281</v>
      </c>
      <c r="D120" s="86" t="str">
        <f>VLOOKUP(C120,'Talente &amp; Stuff'!C:AD,2,FALSE)</f>
        <v>--/--/--</v>
      </c>
      <c r="E120" s="167" t="str">
        <f>VLOOKUP(C120,'Talente &amp; Stuff'!C:AD,3,FALSE)</f>
        <v>-</v>
      </c>
      <c r="F120" s="120">
        <f>VLOOKUP(C120,'Talente &amp; Stuff'!C:AD,4,FALSE)</f>
        <v>0</v>
      </c>
      <c r="G120" s="117">
        <f>VLOOKUP(C120,'Talente &amp; Stuff'!C:AD,5,FALSE)</f>
        <v>0</v>
      </c>
      <c r="H120" s="117">
        <f>VLOOKUP(C120,'Talente &amp; Stuff'!C:AD,6,FALSE)</f>
        <v>0</v>
      </c>
      <c r="I120" s="117">
        <f>VLOOKUP(C120,'Talente &amp; Stuff'!C:AD,7,FALSE)</f>
        <v>0</v>
      </c>
      <c r="J120" s="117">
        <f>VLOOKUP(C120,'Talente &amp; Stuff'!C:AD,8,FALSE)</f>
        <v>0</v>
      </c>
      <c r="K120" s="117">
        <f>VLOOKUP(C120,'Talente &amp; Stuff'!C:AD,9,FALSE)</f>
        <v>0</v>
      </c>
      <c r="L120" s="117">
        <f>VLOOKUP(C120,'Talente &amp; Stuff'!C:AD,10,FALSE)</f>
        <v>0</v>
      </c>
      <c r="M120" s="121">
        <f>VLOOKUP(C120,'Talente &amp; Stuff'!C:AD,11,FALSE)</f>
        <v>0</v>
      </c>
      <c r="N120" s="47">
        <f>VLOOKUP(C120,'Talente &amp; Stuff'!C:AD,12,FALSE)</f>
        <v>0</v>
      </c>
      <c r="O120" s="3">
        <f>VLOOKUP(C120,'Talente &amp; Stuff'!C:AD,13,FALSE)</f>
        <v>0</v>
      </c>
      <c r="P120" s="174">
        <f>VLOOKUP(C120,'Talente &amp; Stuff'!C:AD,14,FALSE)</f>
        <v>0</v>
      </c>
      <c r="Q120" s="114">
        <f>VLOOKUP(C120,'Talente &amp; Stuff'!C:AD,15,FALSE)</f>
        <v>0</v>
      </c>
      <c r="R120" s="117">
        <f>VLOOKUP(C120,'Talente &amp; Stuff'!C:AD,16,FALSE)</f>
        <v>0</v>
      </c>
      <c r="S120" s="119">
        <f>VLOOKUP(C120,'Talente &amp; Stuff'!C:AD,17,FALSE)</f>
        <v>0</v>
      </c>
      <c r="T120" s="119">
        <f>VLOOKUP(C120,'Talente &amp; Stuff'!C:AD,18,FALSE)</f>
        <v>0</v>
      </c>
      <c r="U120" s="89">
        <f>VLOOKUP(C120,'Talente &amp; Stuff'!C:AD,19,FALSE)</f>
        <v>0</v>
      </c>
      <c r="V120" s="47">
        <f>VLOOKUP(C120,'Talente &amp; Stuff'!C:AD,20,FALSE)</f>
        <v>0</v>
      </c>
      <c r="W120" s="127">
        <f>VLOOKUP(C120,'Talente &amp; Stuff'!C:AD,21,FALSE)</f>
        <v>0</v>
      </c>
      <c r="X120" s="127">
        <f>VLOOKUP(C120,'Talente &amp; Stuff'!C:AD,22,FALSE)</f>
        <v>0</v>
      </c>
      <c r="Y120" s="165">
        <f t="shared" si="12"/>
        <v>0</v>
      </c>
      <c r="Z120" s="198">
        <f t="shared" si="13"/>
        <v>0</v>
      </c>
      <c r="AA120" s="125">
        <f>VLOOKUP(C120,'Talente &amp; Stuff'!C:AD,25,FALSE)</f>
        <v>0</v>
      </c>
      <c r="AB120" s="160">
        <f>VLOOKUP(C120,'Talente &amp; Stuff'!C:AD,26,FALSE)</f>
        <v>0</v>
      </c>
      <c r="AC120" s="127">
        <f>VLOOKUP(C120,'Talente &amp; Stuff'!C:AD,27,FALSE)</f>
        <v>0</v>
      </c>
      <c r="AD120" s="125">
        <f>VLOOKUP(C120,'Talente &amp; Stuff'!C:AD,28,FALSE)</f>
        <v>0</v>
      </c>
      <c r="AE120" s="28"/>
    </row>
    <row r="121" spans="2:31" s="138" customFormat="1" hidden="1" outlineLevel="2">
      <c r="B121" s="148">
        <v>22</v>
      </c>
      <c r="C121" s="163" t="s">
        <v>281</v>
      </c>
      <c r="D121" s="86" t="str">
        <f>VLOOKUP(C121,'Talente &amp; Stuff'!C:AD,2,FALSE)</f>
        <v>--/--/--</v>
      </c>
      <c r="E121" s="167" t="str">
        <f>VLOOKUP(C121,'Talente &amp; Stuff'!C:AD,3,FALSE)</f>
        <v>-</v>
      </c>
      <c r="F121" s="120">
        <f>VLOOKUP(C121,'Talente &amp; Stuff'!C:AD,4,FALSE)</f>
        <v>0</v>
      </c>
      <c r="G121" s="117">
        <f>VLOOKUP(C121,'Talente &amp; Stuff'!C:AD,5,FALSE)</f>
        <v>0</v>
      </c>
      <c r="H121" s="117">
        <f>VLOOKUP(C121,'Talente &amp; Stuff'!C:AD,6,FALSE)</f>
        <v>0</v>
      </c>
      <c r="I121" s="117">
        <f>VLOOKUP(C121,'Talente &amp; Stuff'!C:AD,7,FALSE)</f>
        <v>0</v>
      </c>
      <c r="J121" s="117">
        <f>VLOOKUP(C121,'Talente &amp; Stuff'!C:AD,8,FALSE)</f>
        <v>0</v>
      </c>
      <c r="K121" s="117">
        <f>VLOOKUP(C121,'Talente &amp; Stuff'!C:AD,9,FALSE)</f>
        <v>0</v>
      </c>
      <c r="L121" s="117">
        <f>VLOOKUP(C121,'Talente &amp; Stuff'!C:AD,10,FALSE)</f>
        <v>0</v>
      </c>
      <c r="M121" s="121">
        <f>VLOOKUP(C121,'Talente &amp; Stuff'!C:AD,11,FALSE)</f>
        <v>0</v>
      </c>
      <c r="N121" s="47">
        <f>VLOOKUP(C121,'Talente &amp; Stuff'!C:AD,12,FALSE)</f>
        <v>0</v>
      </c>
      <c r="O121" s="3">
        <f>VLOOKUP(C121,'Talente &amp; Stuff'!C:AD,13,FALSE)</f>
        <v>0</v>
      </c>
      <c r="P121" s="174">
        <f>VLOOKUP(C121,'Talente &amp; Stuff'!C:AD,14,FALSE)</f>
        <v>0</v>
      </c>
      <c r="Q121" s="114">
        <f>VLOOKUP(C121,'Talente &amp; Stuff'!C:AD,15,FALSE)</f>
        <v>0</v>
      </c>
      <c r="R121" s="117">
        <f>VLOOKUP(C121,'Talente &amp; Stuff'!C:AD,16,FALSE)</f>
        <v>0</v>
      </c>
      <c r="S121" s="119">
        <f>VLOOKUP(C121,'Talente &amp; Stuff'!C:AD,17,FALSE)</f>
        <v>0</v>
      </c>
      <c r="T121" s="119">
        <f>VLOOKUP(C121,'Talente &amp; Stuff'!C:AD,18,FALSE)</f>
        <v>0</v>
      </c>
      <c r="U121" s="89">
        <f>VLOOKUP(C121,'Talente &amp; Stuff'!C:AD,19,FALSE)</f>
        <v>0</v>
      </c>
      <c r="V121" s="47">
        <f>VLOOKUP(C121,'Talente &amp; Stuff'!C:AD,20,FALSE)</f>
        <v>0</v>
      </c>
      <c r="W121" s="127">
        <f>VLOOKUP(C121,'Talente &amp; Stuff'!C:AD,21,FALSE)</f>
        <v>0</v>
      </c>
      <c r="X121" s="127">
        <f>VLOOKUP(C121,'Talente &amp; Stuff'!C:AD,22,FALSE)</f>
        <v>0</v>
      </c>
      <c r="Y121" s="165">
        <f t="shared" si="12"/>
        <v>0</v>
      </c>
      <c r="Z121" s="198">
        <f t="shared" si="13"/>
        <v>0</v>
      </c>
      <c r="AA121" s="125">
        <f>VLOOKUP(C121,'Talente &amp; Stuff'!C:AD,25,FALSE)</f>
        <v>0</v>
      </c>
      <c r="AB121" s="160">
        <f>VLOOKUP(C121,'Talente &amp; Stuff'!C:AD,26,FALSE)</f>
        <v>0</v>
      </c>
      <c r="AC121" s="127">
        <f>VLOOKUP(C121,'Talente &amp; Stuff'!C:AD,27,FALSE)</f>
        <v>0</v>
      </c>
      <c r="AD121" s="125">
        <f>VLOOKUP(C121,'Talente &amp; Stuff'!C:AD,28,FALSE)</f>
        <v>0</v>
      </c>
      <c r="AE121" s="28"/>
    </row>
    <row r="122" spans="2:31" s="138" customFormat="1" hidden="1" outlineLevel="2">
      <c r="B122" s="148">
        <v>23</v>
      </c>
      <c r="C122" s="163" t="s">
        <v>281</v>
      </c>
      <c r="D122" s="86" t="str">
        <f>VLOOKUP(C122,'Talente &amp; Stuff'!C:AD,2,FALSE)</f>
        <v>--/--/--</v>
      </c>
      <c r="E122" s="127" t="str">
        <f>VLOOKUP(C122,'Talente &amp; Stuff'!C:AD,3,FALSE)</f>
        <v>-</v>
      </c>
      <c r="F122" s="114">
        <f>VLOOKUP(C122,'Talente &amp; Stuff'!C:AD,4,FALSE)</f>
        <v>0</v>
      </c>
      <c r="G122" s="113">
        <f>VLOOKUP(C122,'Talente &amp; Stuff'!C:AD,5,FALSE)</f>
        <v>0</v>
      </c>
      <c r="H122" s="113">
        <f>VLOOKUP(C122,'Talente &amp; Stuff'!C:AD,6,FALSE)</f>
        <v>0</v>
      </c>
      <c r="I122" s="113">
        <f>VLOOKUP(C122,'Talente &amp; Stuff'!C:AD,7,FALSE)</f>
        <v>0</v>
      </c>
      <c r="J122" s="113">
        <f>VLOOKUP(C122,'Talente &amp; Stuff'!C:AD,8,FALSE)</f>
        <v>0</v>
      </c>
      <c r="K122" s="113">
        <f>VLOOKUP(C122,'Talente &amp; Stuff'!C:AD,9,FALSE)</f>
        <v>0</v>
      </c>
      <c r="L122" s="113">
        <f>VLOOKUP(C122,'Talente &amp; Stuff'!C:AD,10,FALSE)</f>
        <v>0</v>
      </c>
      <c r="M122" s="119">
        <f>VLOOKUP(C122,'Talente &amp; Stuff'!C:AD,11,FALSE)</f>
        <v>0</v>
      </c>
      <c r="N122" s="47">
        <f>VLOOKUP(C122,'Talente &amp; Stuff'!C:AD,12,FALSE)</f>
        <v>0</v>
      </c>
      <c r="O122" s="3">
        <f>VLOOKUP(C122,'Talente &amp; Stuff'!C:AD,13,FALSE)</f>
        <v>0</v>
      </c>
      <c r="P122" s="174">
        <f>VLOOKUP(C122,'Talente &amp; Stuff'!C:AD,14,FALSE)</f>
        <v>0</v>
      </c>
      <c r="Q122" s="114">
        <f>VLOOKUP(C122,'Talente &amp; Stuff'!C:AD,15,FALSE)</f>
        <v>0</v>
      </c>
      <c r="R122" s="117">
        <f>VLOOKUP(C122,'Talente &amp; Stuff'!C:AD,16,FALSE)</f>
        <v>0</v>
      </c>
      <c r="S122" s="119">
        <f>VLOOKUP(C122,'Talente &amp; Stuff'!C:AD,17,FALSE)</f>
        <v>0</v>
      </c>
      <c r="T122" s="119">
        <f>VLOOKUP(C122,'Talente &amp; Stuff'!C:AD,18,FALSE)</f>
        <v>0</v>
      </c>
      <c r="U122" s="89">
        <f>VLOOKUP(C122,'Talente &amp; Stuff'!C:AD,19,FALSE)</f>
        <v>0</v>
      </c>
      <c r="V122" s="47">
        <f>VLOOKUP(C122,'Talente &amp; Stuff'!C:AD,20,FALSE)</f>
        <v>0</v>
      </c>
      <c r="W122" s="127">
        <f>VLOOKUP(C122,'Talente &amp; Stuff'!C:AD,21,FALSE)</f>
        <v>0</v>
      </c>
      <c r="X122" s="127">
        <f>VLOOKUP(C122,'Talente &amp; Stuff'!C:AD,22,FALSE)</f>
        <v>0</v>
      </c>
      <c r="Y122" s="165">
        <f t="shared" si="12"/>
        <v>0</v>
      </c>
      <c r="Z122" s="198">
        <f t="shared" si="13"/>
        <v>0</v>
      </c>
      <c r="AA122" s="125">
        <f>VLOOKUP(C122,'Talente &amp; Stuff'!C:AD,25,FALSE)</f>
        <v>0</v>
      </c>
      <c r="AB122" s="160">
        <f>VLOOKUP(C122,'Talente &amp; Stuff'!C:AD,26,FALSE)</f>
        <v>0</v>
      </c>
      <c r="AC122" s="127">
        <f>VLOOKUP(C122,'Talente &amp; Stuff'!C:AD,27,FALSE)</f>
        <v>0</v>
      </c>
      <c r="AD122" s="125">
        <f>VLOOKUP(C122,'Talente &amp; Stuff'!C:AD,28,FALSE)</f>
        <v>0</v>
      </c>
      <c r="AE122" s="28"/>
    </row>
    <row r="123" spans="2:31" s="138" customFormat="1" hidden="1" outlineLevel="2">
      <c r="B123" s="148">
        <v>24</v>
      </c>
      <c r="C123" s="163" t="s">
        <v>281</v>
      </c>
      <c r="D123" s="86" t="str">
        <f>VLOOKUP(C123,'Talente &amp; Stuff'!C:AD,2,FALSE)</f>
        <v>--/--/--</v>
      </c>
      <c r="E123" s="127" t="str">
        <f>VLOOKUP(C123,'Talente &amp; Stuff'!C:AD,3,FALSE)</f>
        <v>-</v>
      </c>
      <c r="F123" s="114">
        <f>VLOOKUP(C123,'Talente &amp; Stuff'!C:AD,4,FALSE)</f>
        <v>0</v>
      </c>
      <c r="G123" s="113">
        <f>VLOOKUP(C123,'Talente &amp; Stuff'!C:AD,5,FALSE)</f>
        <v>0</v>
      </c>
      <c r="H123" s="113">
        <f>VLOOKUP(C123,'Talente &amp; Stuff'!C:AD,6,FALSE)</f>
        <v>0</v>
      </c>
      <c r="I123" s="113">
        <f>VLOOKUP(C123,'Talente &amp; Stuff'!C:AD,7,FALSE)</f>
        <v>0</v>
      </c>
      <c r="J123" s="113">
        <f>VLOOKUP(C123,'Talente &amp; Stuff'!C:AD,8,FALSE)</f>
        <v>0</v>
      </c>
      <c r="K123" s="113">
        <f>VLOOKUP(C123,'Talente &amp; Stuff'!C:AD,9,FALSE)</f>
        <v>0</v>
      </c>
      <c r="L123" s="113">
        <f>VLOOKUP(C123,'Talente &amp; Stuff'!C:AD,10,FALSE)</f>
        <v>0</v>
      </c>
      <c r="M123" s="119">
        <f>VLOOKUP(C123,'Talente &amp; Stuff'!C:AD,11,FALSE)</f>
        <v>0</v>
      </c>
      <c r="N123" s="47">
        <f>VLOOKUP(C123,'Talente &amp; Stuff'!C:AD,12,FALSE)</f>
        <v>0</v>
      </c>
      <c r="O123" s="3">
        <f>VLOOKUP(C123,'Talente &amp; Stuff'!C:AD,13,FALSE)</f>
        <v>0</v>
      </c>
      <c r="P123" s="174">
        <f>VLOOKUP(C123,'Talente &amp; Stuff'!C:AD,14,FALSE)</f>
        <v>0</v>
      </c>
      <c r="Q123" s="114">
        <f>VLOOKUP(C123,'Talente &amp; Stuff'!C:AD,15,FALSE)</f>
        <v>0</v>
      </c>
      <c r="R123" s="117">
        <f>VLOOKUP(C123,'Talente &amp; Stuff'!C:AD,16,FALSE)</f>
        <v>0</v>
      </c>
      <c r="S123" s="119">
        <f>VLOOKUP(C123,'Talente &amp; Stuff'!C:AD,17,FALSE)</f>
        <v>0</v>
      </c>
      <c r="T123" s="119">
        <f>VLOOKUP(C123,'Talente &amp; Stuff'!C:AD,18,FALSE)</f>
        <v>0</v>
      </c>
      <c r="U123" s="89">
        <f>VLOOKUP(C123,'Talente &amp; Stuff'!C:AD,19,FALSE)</f>
        <v>0</v>
      </c>
      <c r="V123" s="47">
        <f>VLOOKUP(C123,'Talente &amp; Stuff'!C:AD,20,FALSE)</f>
        <v>0</v>
      </c>
      <c r="W123" s="127">
        <f>VLOOKUP(C123,'Talente &amp; Stuff'!C:AD,21,FALSE)</f>
        <v>0</v>
      </c>
      <c r="X123" s="127">
        <f>VLOOKUP(C123,'Talente &amp; Stuff'!C:AD,22,FALSE)</f>
        <v>0</v>
      </c>
      <c r="Y123" s="165">
        <f t="shared" si="12"/>
        <v>0</v>
      </c>
      <c r="Z123" s="198">
        <f t="shared" si="13"/>
        <v>0</v>
      </c>
      <c r="AA123" s="125">
        <f>VLOOKUP(C123,'Talente &amp; Stuff'!C:AD,25,FALSE)</f>
        <v>0</v>
      </c>
      <c r="AB123" s="160">
        <f>VLOOKUP(C123,'Talente &amp; Stuff'!C:AD,26,FALSE)</f>
        <v>0</v>
      </c>
      <c r="AC123" s="127">
        <f>VLOOKUP(C123,'Talente &amp; Stuff'!C:AD,27,FALSE)</f>
        <v>0</v>
      </c>
      <c r="AD123" s="125">
        <f>VLOOKUP(C123,'Talente &amp; Stuff'!C:AD,28,FALSE)</f>
        <v>0</v>
      </c>
      <c r="AE123" s="28"/>
    </row>
    <row r="124" spans="2:31" s="138" customFormat="1" hidden="1" outlineLevel="2">
      <c r="B124" s="148">
        <v>25</v>
      </c>
      <c r="C124" s="163" t="s">
        <v>281</v>
      </c>
      <c r="D124" s="86" t="str">
        <f>VLOOKUP(C124,'Talente &amp; Stuff'!C:AD,2,FALSE)</f>
        <v>--/--/--</v>
      </c>
      <c r="E124" s="127" t="str">
        <f>VLOOKUP(C124,'Talente &amp; Stuff'!C:AD,3,FALSE)</f>
        <v>-</v>
      </c>
      <c r="F124" s="114">
        <f>VLOOKUP(C124,'Talente &amp; Stuff'!C:AD,4,FALSE)</f>
        <v>0</v>
      </c>
      <c r="G124" s="113">
        <f>VLOOKUP(C124,'Talente &amp; Stuff'!C:AD,5,FALSE)</f>
        <v>0</v>
      </c>
      <c r="H124" s="113">
        <f>VLOOKUP(C124,'Talente &amp; Stuff'!C:AD,6,FALSE)</f>
        <v>0</v>
      </c>
      <c r="I124" s="113">
        <f>VLOOKUP(C124,'Talente &amp; Stuff'!C:AD,7,FALSE)</f>
        <v>0</v>
      </c>
      <c r="J124" s="113">
        <f>VLOOKUP(C124,'Talente &amp; Stuff'!C:AD,8,FALSE)</f>
        <v>0</v>
      </c>
      <c r="K124" s="113">
        <f>VLOOKUP(C124,'Talente &amp; Stuff'!C:AD,9,FALSE)</f>
        <v>0</v>
      </c>
      <c r="L124" s="113">
        <f>VLOOKUP(C124,'Talente &amp; Stuff'!C:AD,10,FALSE)</f>
        <v>0</v>
      </c>
      <c r="M124" s="119">
        <f>VLOOKUP(C124,'Talente &amp; Stuff'!C:AD,11,FALSE)</f>
        <v>0</v>
      </c>
      <c r="N124" s="47">
        <f>VLOOKUP(C124,'Talente &amp; Stuff'!C:AD,12,FALSE)</f>
        <v>0</v>
      </c>
      <c r="O124" s="3">
        <f>VLOOKUP(C124,'Talente &amp; Stuff'!C:AD,13,FALSE)</f>
        <v>0</v>
      </c>
      <c r="P124" s="174">
        <f>VLOOKUP(C124,'Talente &amp; Stuff'!C:AD,14,FALSE)</f>
        <v>0</v>
      </c>
      <c r="Q124" s="114">
        <f>VLOOKUP(C124,'Talente &amp; Stuff'!C:AD,15,FALSE)</f>
        <v>0</v>
      </c>
      <c r="R124" s="117">
        <f>VLOOKUP(C124,'Talente &amp; Stuff'!C:AD,16,FALSE)</f>
        <v>0</v>
      </c>
      <c r="S124" s="119">
        <f>VLOOKUP(C124,'Talente &amp; Stuff'!C:AD,17,FALSE)</f>
        <v>0</v>
      </c>
      <c r="T124" s="119">
        <f>VLOOKUP(C124,'Talente &amp; Stuff'!C:AD,18,FALSE)</f>
        <v>0</v>
      </c>
      <c r="U124" s="89">
        <f>VLOOKUP(C124,'Talente &amp; Stuff'!C:AD,19,FALSE)</f>
        <v>0</v>
      </c>
      <c r="V124" s="47">
        <f>VLOOKUP(C124,'Talente &amp; Stuff'!C:AD,20,FALSE)</f>
        <v>0</v>
      </c>
      <c r="W124" s="127">
        <f>VLOOKUP(C124,'Talente &amp; Stuff'!C:AD,21,FALSE)</f>
        <v>0</v>
      </c>
      <c r="X124" s="127">
        <f>VLOOKUP(C124,'Talente &amp; Stuff'!C:AD,22,FALSE)</f>
        <v>0</v>
      </c>
      <c r="Y124" s="165">
        <f t="shared" si="12"/>
        <v>0</v>
      </c>
      <c r="Z124" s="198">
        <f t="shared" si="13"/>
        <v>0</v>
      </c>
      <c r="AA124" s="125">
        <f>VLOOKUP(C124,'Talente &amp; Stuff'!C:AD,25,FALSE)</f>
        <v>0</v>
      </c>
      <c r="AB124" s="160">
        <f>VLOOKUP(C124,'Talente &amp; Stuff'!C:AD,26,FALSE)</f>
        <v>0</v>
      </c>
      <c r="AC124" s="127">
        <f>VLOOKUP(C124,'Talente &amp; Stuff'!C:AD,27,FALSE)</f>
        <v>0</v>
      </c>
      <c r="AD124" s="125">
        <f>VLOOKUP(C124,'Talente &amp; Stuff'!C:AD,28,FALSE)</f>
        <v>0</v>
      </c>
      <c r="AE124" s="28"/>
    </row>
    <row r="125" spans="2:31" s="138" customFormat="1" hidden="1" outlineLevel="2">
      <c r="B125" s="148">
        <v>26</v>
      </c>
      <c r="C125" s="163" t="s">
        <v>281</v>
      </c>
      <c r="D125" s="86" t="str">
        <f>VLOOKUP(C125,'Talente &amp; Stuff'!C:AD,2,FALSE)</f>
        <v>--/--/--</v>
      </c>
      <c r="E125" s="127" t="str">
        <f>VLOOKUP(C125,'Talente &amp; Stuff'!C:AD,3,FALSE)</f>
        <v>-</v>
      </c>
      <c r="F125" s="114">
        <f>VLOOKUP(C125,'Talente &amp; Stuff'!C:AD,4,FALSE)</f>
        <v>0</v>
      </c>
      <c r="G125" s="113">
        <f>VLOOKUP(C125,'Talente &amp; Stuff'!C:AD,5,FALSE)</f>
        <v>0</v>
      </c>
      <c r="H125" s="113">
        <f>VLOOKUP(C125,'Talente &amp; Stuff'!C:AD,6,FALSE)</f>
        <v>0</v>
      </c>
      <c r="I125" s="113">
        <f>VLOOKUP(C125,'Talente &amp; Stuff'!C:AD,7,FALSE)</f>
        <v>0</v>
      </c>
      <c r="J125" s="113">
        <f>VLOOKUP(C125,'Talente &amp; Stuff'!C:AD,8,FALSE)</f>
        <v>0</v>
      </c>
      <c r="K125" s="113">
        <f>VLOOKUP(C125,'Talente &amp; Stuff'!C:AD,9,FALSE)</f>
        <v>0</v>
      </c>
      <c r="L125" s="113">
        <f>VLOOKUP(C125,'Talente &amp; Stuff'!C:AD,10,FALSE)</f>
        <v>0</v>
      </c>
      <c r="M125" s="119">
        <f>VLOOKUP(C125,'Talente &amp; Stuff'!C:AD,11,FALSE)</f>
        <v>0</v>
      </c>
      <c r="N125" s="47">
        <f>VLOOKUP(C125,'Talente &amp; Stuff'!C:AD,12,FALSE)</f>
        <v>0</v>
      </c>
      <c r="O125" s="3">
        <f>VLOOKUP(C125,'Talente &amp; Stuff'!C:AD,13,FALSE)</f>
        <v>0</v>
      </c>
      <c r="P125" s="174">
        <f>VLOOKUP(C125,'Talente &amp; Stuff'!C:AD,14,FALSE)</f>
        <v>0</v>
      </c>
      <c r="Q125" s="114">
        <f>VLOOKUP(C125,'Talente &amp; Stuff'!C:AD,15,FALSE)</f>
        <v>0</v>
      </c>
      <c r="R125" s="117">
        <f>VLOOKUP(C125,'Talente &amp; Stuff'!C:AD,16,FALSE)</f>
        <v>0</v>
      </c>
      <c r="S125" s="119">
        <f>VLOOKUP(C125,'Talente &amp; Stuff'!C:AD,17,FALSE)</f>
        <v>0</v>
      </c>
      <c r="T125" s="119">
        <f>VLOOKUP(C125,'Talente &amp; Stuff'!C:AD,18,FALSE)</f>
        <v>0</v>
      </c>
      <c r="U125" s="89">
        <f>VLOOKUP(C125,'Talente &amp; Stuff'!C:AD,19,FALSE)</f>
        <v>0</v>
      </c>
      <c r="V125" s="47">
        <f>VLOOKUP(C125,'Talente &amp; Stuff'!C:AD,20,FALSE)</f>
        <v>0</v>
      </c>
      <c r="W125" s="127">
        <f>VLOOKUP(C125,'Talente &amp; Stuff'!C:AD,21,FALSE)</f>
        <v>0</v>
      </c>
      <c r="X125" s="127">
        <f>VLOOKUP(C125,'Talente &amp; Stuff'!C:AD,22,FALSE)</f>
        <v>0</v>
      </c>
      <c r="Y125" s="165">
        <f t="shared" si="12"/>
        <v>0</v>
      </c>
      <c r="Z125" s="198">
        <f t="shared" si="13"/>
        <v>0</v>
      </c>
      <c r="AA125" s="125">
        <f>VLOOKUP(C125,'Talente &amp; Stuff'!C:AD,25,FALSE)</f>
        <v>0</v>
      </c>
      <c r="AB125" s="160">
        <f>VLOOKUP(C125,'Talente &amp; Stuff'!C:AD,26,FALSE)</f>
        <v>0</v>
      </c>
      <c r="AC125" s="127">
        <f>VLOOKUP(C125,'Talente &amp; Stuff'!C:AD,27,FALSE)</f>
        <v>0</v>
      </c>
      <c r="AD125" s="125">
        <f>VLOOKUP(C125,'Talente &amp; Stuff'!C:AD,28,FALSE)</f>
        <v>0</v>
      </c>
      <c r="AE125" s="28"/>
    </row>
    <row r="126" spans="2:31" s="138" customFormat="1" hidden="1" outlineLevel="2">
      <c r="B126" s="148">
        <v>27</v>
      </c>
      <c r="C126" s="164" t="s">
        <v>281</v>
      </c>
      <c r="D126" s="23" t="str">
        <f>VLOOKUP(C126,'Talente &amp; Stuff'!C:AD,2,FALSE)</f>
        <v>--/--/--</v>
      </c>
      <c r="E126" s="128" t="str">
        <f>VLOOKUP(C126,'Talente &amp; Stuff'!C:AD,3,FALSE)</f>
        <v>-</v>
      </c>
      <c r="F126" s="115">
        <f>VLOOKUP(C126,'Talente &amp; Stuff'!C:AD,4,FALSE)</f>
        <v>0</v>
      </c>
      <c r="G126" s="122">
        <f>VLOOKUP(C126,'Talente &amp; Stuff'!C:AD,5,FALSE)</f>
        <v>0</v>
      </c>
      <c r="H126" s="122">
        <f>VLOOKUP(C126,'Talente &amp; Stuff'!C:AD,6,FALSE)</f>
        <v>0</v>
      </c>
      <c r="I126" s="122">
        <f>VLOOKUP(C126,'Talente &amp; Stuff'!C:AD,7,FALSE)</f>
        <v>0</v>
      </c>
      <c r="J126" s="122">
        <f>VLOOKUP(C126,'Talente &amp; Stuff'!C:AD,8,FALSE)</f>
        <v>0</v>
      </c>
      <c r="K126" s="122">
        <f>VLOOKUP(C126,'Talente &amp; Stuff'!C:AD,9,FALSE)</f>
        <v>0</v>
      </c>
      <c r="L126" s="122">
        <f>VLOOKUP(C126,'Talente &amp; Stuff'!C:AD,10,FALSE)</f>
        <v>0</v>
      </c>
      <c r="M126" s="123">
        <f>VLOOKUP(C126,'Talente &amp; Stuff'!C:AD,11,FALSE)</f>
        <v>0</v>
      </c>
      <c r="N126" s="88">
        <f>VLOOKUP(C126,'Talente &amp; Stuff'!C:AD,12,FALSE)</f>
        <v>0</v>
      </c>
      <c r="O126" s="2">
        <f>VLOOKUP(C126,'Talente &amp; Stuff'!C:AD,13,FALSE)</f>
        <v>0</v>
      </c>
      <c r="P126" s="173">
        <f>VLOOKUP(C126,'Talente &amp; Stuff'!C:AD,14,FALSE)</f>
        <v>0</v>
      </c>
      <c r="Q126" s="115">
        <f>VLOOKUP(C126,'Talente &amp; Stuff'!C:AD,15,FALSE)</f>
        <v>0</v>
      </c>
      <c r="R126" s="169">
        <f>VLOOKUP(C126,'Talente &amp; Stuff'!C:AD,16,FALSE)</f>
        <v>0</v>
      </c>
      <c r="S126" s="123">
        <f>VLOOKUP(C126,'Talente &amp; Stuff'!C:AD,17,FALSE)</f>
        <v>0</v>
      </c>
      <c r="T126" s="123">
        <f>VLOOKUP(C126,'Talente &amp; Stuff'!C:AD,18,FALSE)</f>
        <v>0</v>
      </c>
      <c r="U126" s="90">
        <f>VLOOKUP(C126,'Talente &amp; Stuff'!C:AD,19,FALSE)</f>
        <v>0</v>
      </c>
      <c r="V126" s="88">
        <f>VLOOKUP(C126,'Talente &amp; Stuff'!C:AD,20,FALSE)</f>
        <v>0</v>
      </c>
      <c r="W126" s="128">
        <f>VLOOKUP(C126,'Talente &amp; Stuff'!C:AD,21,FALSE)</f>
        <v>0</v>
      </c>
      <c r="X126" s="128">
        <f>VLOOKUP(C126,'Talente &amp; Stuff'!C:AD,22,FALSE)</f>
        <v>0</v>
      </c>
      <c r="Y126" s="165">
        <f t="shared" si="12"/>
        <v>0</v>
      </c>
      <c r="Z126" s="198">
        <f t="shared" si="13"/>
        <v>0</v>
      </c>
      <c r="AA126" s="159">
        <f>VLOOKUP(C126,'Talente &amp; Stuff'!C:AD,25,FALSE)</f>
        <v>0</v>
      </c>
      <c r="AB126" s="161">
        <f>VLOOKUP(C126,'Talente &amp; Stuff'!C:AD,26,FALSE)</f>
        <v>0</v>
      </c>
      <c r="AC126" s="128">
        <f>VLOOKUP(C126,'Talente &amp; Stuff'!C:AD,27,FALSE)</f>
        <v>0</v>
      </c>
      <c r="AD126" s="159">
        <f>VLOOKUP(C126,'Talente &amp; Stuff'!C:AD,28,FALSE)</f>
        <v>0</v>
      </c>
      <c r="AE126" s="28"/>
    </row>
    <row r="127" spans="2:31" hidden="1" outlineLevel="1" collapsed="1">
      <c r="B127" s="134" t="s">
        <v>330</v>
      </c>
      <c r="C127" s="83"/>
      <c r="D127" s="84"/>
      <c r="E127" s="84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</row>
    <row r="128" spans="2:31" hidden="1" outlineLevel="2">
      <c r="B128" s="133">
        <v>1</v>
      </c>
      <c r="C128" s="162" t="s">
        <v>281</v>
      </c>
      <c r="D128" s="158" t="str">
        <f>VLOOKUP(C128,'Talente &amp; Stuff'!C:AD,2,FALSE)</f>
        <v>--/--/--</v>
      </c>
      <c r="E128" s="126" t="str">
        <f>VLOOKUP(C128,'Talente &amp; Stuff'!C:AD,3,FALSE)</f>
        <v>-</v>
      </c>
      <c r="F128" s="152">
        <f>VLOOKUP(C128,'Talente &amp; Stuff'!C:AD,4,FALSE)</f>
        <v>0</v>
      </c>
      <c r="G128" s="118">
        <f>VLOOKUP(C128,'Talente &amp; Stuff'!C:AD,5,FALSE)</f>
        <v>0</v>
      </c>
      <c r="H128" s="118">
        <f>VLOOKUP(C128,'Talente &amp; Stuff'!C:AD,6,FALSE)</f>
        <v>0</v>
      </c>
      <c r="I128" s="118">
        <f>VLOOKUP(C128,'Talente &amp; Stuff'!C:AD,7,FALSE)</f>
        <v>0</v>
      </c>
      <c r="J128" s="118">
        <f>VLOOKUP(C128,'Talente &amp; Stuff'!C:AD,8,FALSE)</f>
        <v>0</v>
      </c>
      <c r="K128" s="118">
        <f>VLOOKUP(C128,'Talente &amp; Stuff'!C:AD,9,FALSE)</f>
        <v>0</v>
      </c>
      <c r="L128" s="118">
        <f>VLOOKUP(C128,'Talente &amp; Stuff'!C:AD,10,FALSE)</f>
        <v>0</v>
      </c>
      <c r="M128" s="92">
        <f>VLOOKUP(C128,'Talente &amp; Stuff'!C:AD,11,FALSE)</f>
        <v>0</v>
      </c>
      <c r="N128" s="116">
        <f>VLOOKUP(C128,'Talente &amp; Stuff'!C:AD,12,FALSE)</f>
        <v>0</v>
      </c>
      <c r="O128" s="116">
        <f>VLOOKUP(C128,'Talente &amp; Stuff'!C:AD,13,FALSE)</f>
        <v>0</v>
      </c>
      <c r="P128" s="92">
        <f>VLOOKUP(C128,'Talente &amp; Stuff'!C:AD,14,FALSE)</f>
        <v>0</v>
      </c>
      <c r="Q128" s="152">
        <f>VLOOKUP(C128,'Talente &amp; Stuff'!C:AD,15,FALSE)</f>
        <v>0</v>
      </c>
      <c r="R128" s="118">
        <f>VLOOKUP(C128,'Talente &amp; Stuff'!C:AD,16,FALSE)</f>
        <v>0</v>
      </c>
      <c r="S128" s="92">
        <f>VLOOKUP(C128,'Talente &amp; Stuff'!C:AD,17,FALSE)</f>
        <v>0</v>
      </c>
      <c r="T128" s="92">
        <f>VLOOKUP(C128,'Talente &amp; Stuff'!C:AD,18,FALSE)</f>
        <v>0</v>
      </c>
      <c r="U128" s="154">
        <f>VLOOKUP(C128,'Talente &amp; Stuff'!C:AD,19,FALSE)</f>
        <v>0</v>
      </c>
      <c r="V128" s="116">
        <f>VLOOKUP(C128,'Talente &amp; Stuff'!C:AD,20,FALSE)</f>
        <v>0</v>
      </c>
      <c r="W128" s="126">
        <f>VLOOKUP(C128,'Talente &amp; Stuff'!C:AD,21,FALSE)</f>
        <v>0</v>
      </c>
      <c r="X128" s="126">
        <f>VLOOKUP(C128,'Talente &amp; Stuff'!C:AD,22,FALSE)</f>
        <v>0</v>
      </c>
      <c r="Y128" s="165">
        <f t="shared" ref="Y128:Y151" si="14">VLOOKUP(C128,Ausgewählte_Zauber_Elfen,23,FALSE)</f>
        <v>0</v>
      </c>
      <c r="Z128" s="198">
        <f t="shared" ref="Z128:Z151" si="15">VLOOKUP(C128,Ausgewählte_Zauber_Elfen,24,FALSE)</f>
        <v>0</v>
      </c>
      <c r="AA128" s="158">
        <f>VLOOKUP(C128,'Talente &amp; Stuff'!C:AD,25,FALSE)</f>
        <v>0</v>
      </c>
      <c r="AB128" s="91">
        <f>VLOOKUP(C128,'Talente &amp; Stuff'!C:AD,26,FALSE)</f>
        <v>0</v>
      </c>
      <c r="AC128" s="126">
        <f>VLOOKUP(C128,'Talente &amp; Stuff'!C:AD,27,FALSE)</f>
        <v>0</v>
      </c>
      <c r="AD128" s="158">
        <f>VLOOKUP(C128,'Talente &amp; Stuff'!C:AD,28,FALSE)</f>
        <v>0</v>
      </c>
      <c r="AE128" s="28"/>
    </row>
    <row r="129" spans="2:31" s="148" customFormat="1" hidden="1" outlineLevel="2">
      <c r="B129" s="148">
        <v>2</v>
      </c>
      <c r="C129" s="163" t="s">
        <v>281</v>
      </c>
      <c r="D129" s="125" t="str">
        <f>VLOOKUP(C129,'Talente &amp; Stuff'!C:AD,2,FALSE)</f>
        <v>--/--/--</v>
      </c>
      <c r="E129" s="127" t="str">
        <f>VLOOKUP(C129,'Talente &amp; Stuff'!C:AD,3,FALSE)</f>
        <v>-</v>
      </c>
      <c r="F129" s="114">
        <f>VLOOKUP(C129,'Talente &amp; Stuff'!C:AD,4,FALSE)</f>
        <v>0</v>
      </c>
      <c r="G129" s="113">
        <f>VLOOKUP(C129,'Talente &amp; Stuff'!C:AD,5,FALSE)</f>
        <v>0</v>
      </c>
      <c r="H129" s="113">
        <f>VLOOKUP(C129,'Talente &amp; Stuff'!C:AD,6,FALSE)</f>
        <v>0</v>
      </c>
      <c r="I129" s="113">
        <f>VLOOKUP(C129,'Talente &amp; Stuff'!C:AD,7,FALSE)</f>
        <v>0</v>
      </c>
      <c r="J129" s="113">
        <f>VLOOKUP(C129,'Talente &amp; Stuff'!C:AD,8,FALSE)</f>
        <v>0</v>
      </c>
      <c r="K129" s="113">
        <f>VLOOKUP(C129,'Talente &amp; Stuff'!C:AD,9,FALSE)</f>
        <v>0</v>
      </c>
      <c r="L129" s="113">
        <f>VLOOKUP(C129,'Talente &amp; Stuff'!C:AD,10,FALSE)</f>
        <v>0</v>
      </c>
      <c r="M129" s="119">
        <f>VLOOKUP(C129,'Talente &amp; Stuff'!C:AD,11,FALSE)</f>
        <v>0</v>
      </c>
      <c r="N129" s="47">
        <f>VLOOKUP(C129,'Talente &amp; Stuff'!C:AD,12,FALSE)</f>
        <v>0</v>
      </c>
      <c r="O129" s="47">
        <f>VLOOKUP(C129,'Talente &amp; Stuff'!C:AD,13,FALSE)</f>
        <v>0</v>
      </c>
      <c r="P129" s="119">
        <f>VLOOKUP(C129,'Talente &amp; Stuff'!C:AD,14,FALSE)</f>
        <v>0</v>
      </c>
      <c r="Q129" s="114">
        <f>VLOOKUP(C129,'Talente &amp; Stuff'!C:AD,15,FALSE)</f>
        <v>0</v>
      </c>
      <c r="R129" s="113">
        <f>VLOOKUP(C129,'Talente &amp; Stuff'!C:AD,16,FALSE)</f>
        <v>0</v>
      </c>
      <c r="S129" s="119">
        <f>VLOOKUP(C129,'Talente &amp; Stuff'!C:AD,17,FALSE)</f>
        <v>0</v>
      </c>
      <c r="T129" s="119">
        <f>VLOOKUP(C129,'Talente &amp; Stuff'!C:AD,18,FALSE)</f>
        <v>0</v>
      </c>
      <c r="U129" s="89">
        <f>VLOOKUP(C129,'Talente &amp; Stuff'!C:AD,19,FALSE)</f>
        <v>0</v>
      </c>
      <c r="V129" s="47">
        <f>VLOOKUP(C129,'Talente &amp; Stuff'!C:AD,20,FALSE)</f>
        <v>0</v>
      </c>
      <c r="W129" s="127">
        <f>VLOOKUP(C129,'Talente &amp; Stuff'!C:AD,21,FALSE)</f>
        <v>0</v>
      </c>
      <c r="X129" s="127">
        <f>VLOOKUP(C129,'Talente &amp; Stuff'!C:AD,22,FALSE)</f>
        <v>0</v>
      </c>
      <c r="Y129" s="165">
        <f t="shared" si="14"/>
        <v>0</v>
      </c>
      <c r="Z129" s="198">
        <f t="shared" si="15"/>
        <v>0</v>
      </c>
      <c r="AA129" s="125">
        <f>VLOOKUP(C129,'Talente &amp; Stuff'!C:AD,25,FALSE)</f>
        <v>0</v>
      </c>
      <c r="AB129" s="160">
        <f>VLOOKUP(C129,'Talente &amp; Stuff'!C:AD,26,FALSE)</f>
        <v>0</v>
      </c>
      <c r="AC129" s="127">
        <f>VLOOKUP(C129,'Talente &amp; Stuff'!C:AD,27,FALSE)</f>
        <v>0</v>
      </c>
      <c r="AD129" s="125">
        <f>VLOOKUP(C129,'Talente &amp; Stuff'!C:AD,28,FALSE)</f>
        <v>0</v>
      </c>
      <c r="AE129" s="28"/>
    </row>
    <row r="130" spans="2:31" s="148" customFormat="1" hidden="1" outlineLevel="2">
      <c r="B130" s="148">
        <v>3</v>
      </c>
      <c r="C130" s="163" t="s">
        <v>281</v>
      </c>
      <c r="D130" s="125" t="str">
        <f>VLOOKUP(C130,'Talente &amp; Stuff'!C:AD,2,FALSE)</f>
        <v>--/--/--</v>
      </c>
      <c r="E130" s="127" t="str">
        <f>VLOOKUP(C130,'Talente &amp; Stuff'!C:AD,3,FALSE)</f>
        <v>-</v>
      </c>
      <c r="F130" s="114">
        <f>VLOOKUP(C130,'Talente &amp; Stuff'!C:AD,4,FALSE)</f>
        <v>0</v>
      </c>
      <c r="G130" s="113">
        <f>VLOOKUP(C130,'Talente &amp; Stuff'!C:AD,5,FALSE)</f>
        <v>0</v>
      </c>
      <c r="H130" s="113">
        <f>VLOOKUP(C130,'Talente &amp; Stuff'!C:AD,6,FALSE)</f>
        <v>0</v>
      </c>
      <c r="I130" s="113">
        <f>VLOOKUP(C130,'Talente &amp; Stuff'!C:AD,7,FALSE)</f>
        <v>0</v>
      </c>
      <c r="J130" s="113">
        <f>VLOOKUP(C130,'Talente &amp; Stuff'!C:AD,8,FALSE)</f>
        <v>0</v>
      </c>
      <c r="K130" s="113">
        <f>VLOOKUP(C130,'Talente &amp; Stuff'!C:AD,9,FALSE)</f>
        <v>0</v>
      </c>
      <c r="L130" s="113">
        <f>VLOOKUP(C130,'Talente &amp; Stuff'!C:AD,10,FALSE)</f>
        <v>0</v>
      </c>
      <c r="M130" s="119">
        <f>VLOOKUP(C130,'Talente &amp; Stuff'!C:AD,11,FALSE)</f>
        <v>0</v>
      </c>
      <c r="N130" s="47">
        <f>VLOOKUP(C130,'Talente &amp; Stuff'!C:AD,12,FALSE)</f>
        <v>0</v>
      </c>
      <c r="O130" s="47">
        <f>VLOOKUP(C130,'Talente &amp; Stuff'!C:AD,13,FALSE)</f>
        <v>0</v>
      </c>
      <c r="P130" s="119">
        <f>VLOOKUP(C130,'Talente &amp; Stuff'!C:AD,14,FALSE)</f>
        <v>0</v>
      </c>
      <c r="Q130" s="114">
        <f>VLOOKUP(C130,'Talente &amp; Stuff'!C:AD,15,FALSE)</f>
        <v>0</v>
      </c>
      <c r="R130" s="113">
        <f>VLOOKUP(C130,'Talente &amp; Stuff'!C:AD,16,FALSE)</f>
        <v>0</v>
      </c>
      <c r="S130" s="119">
        <f>VLOOKUP(C130,'Talente &amp; Stuff'!C:AD,17,FALSE)</f>
        <v>0</v>
      </c>
      <c r="T130" s="119">
        <f>VLOOKUP(C130,'Talente &amp; Stuff'!C:AD,18,FALSE)</f>
        <v>0</v>
      </c>
      <c r="U130" s="89">
        <f>VLOOKUP(C130,'Talente &amp; Stuff'!C:AD,19,FALSE)</f>
        <v>0</v>
      </c>
      <c r="V130" s="47">
        <f>VLOOKUP(C130,'Talente &amp; Stuff'!C:AD,20,FALSE)</f>
        <v>0</v>
      </c>
      <c r="W130" s="127">
        <f>VLOOKUP(C130,'Talente &amp; Stuff'!C:AD,21,FALSE)</f>
        <v>0</v>
      </c>
      <c r="X130" s="127">
        <f>VLOOKUP(C130,'Talente &amp; Stuff'!C:AD,22,FALSE)</f>
        <v>0</v>
      </c>
      <c r="Y130" s="165">
        <f t="shared" si="14"/>
        <v>0</v>
      </c>
      <c r="Z130" s="198">
        <f t="shared" si="15"/>
        <v>0</v>
      </c>
      <c r="AA130" s="125">
        <f>VLOOKUP(C130,'Talente &amp; Stuff'!C:AD,25,FALSE)</f>
        <v>0</v>
      </c>
      <c r="AB130" s="160">
        <f>VLOOKUP(C130,'Talente &amp; Stuff'!C:AD,26,FALSE)</f>
        <v>0</v>
      </c>
      <c r="AC130" s="127">
        <f>VLOOKUP(C130,'Talente &amp; Stuff'!C:AD,27,FALSE)</f>
        <v>0</v>
      </c>
      <c r="AD130" s="125">
        <f>VLOOKUP(C130,'Talente &amp; Stuff'!C:AD,28,FALSE)</f>
        <v>0</v>
      </c>
      <c r="AE130" s="28"/>
    </row>
    <row r="131" spans="2:31" s="148" customFormat="1" hidden="1" outlineLevel="2">
      <c r="B131" s="148">
        <v>4</v>
      </c>
      <c r="C131" s="163" t="s">
        <v>281</v>
      </c>
      <c r="D131" s="125" t="str">
        <f>VLOOKUP(C131,'Talente &amp; Stuff'!C:AD,2,FALSE)</f>
        <v>--/--/--</v>
      </c>
      <c r="E131" s="127" t="str">
        <f>VLOOKUP(C131,'Talente &amp; Stuff'!C:AD,3,FALSE)</f>
        <v>-</v>
      </c>
      <c r="F131" s="114">
        <f>VLOOKUP(C131,'Talente &amp; Stuff'!C:AD,4,FALSE)</f>
        <v>0</v>
      </c>
      <c r="G131" s="113">
        <f>VLOOKUP(C131,'Talente &amp; Stuff'!C:AD,5,FALSE)</f>
        <v>0</v>
      </c>
      <c r="H131" s="113">
        <f>VLOOKUP(C131,'Talente &amp; Stuff'!C:AD,6,FALSE)</f>
        <v>0</v>
      </c>
      <c r="I131" s="113">
        <f>VLOOKUP(C131,'Talente &amp; Stuff'!C:AD,7,FALSE)</f>
        <v>0</v>
      </c>
      <c r="J131" s="113">
        <f>VLOOKUP(C131,'Talente &amp; Stuff'!C:AD,8,FALSE)</f>
        <v>0</v>
      </c>
      <c r="K131" s="113">
        <f>VLOOKUP(C131,'Talente &amp; Stuff'!C:AD,9,FALSE)</f>
        <v>0</v>
      </c>
      <c r="L131" s="113">
        <f>VLOOKUP(C131,'Talente &amp; Stuff'!C:AD,10,FALSE)</f>
        <v>0</v>
      </c>
      <c r="M131" s="119">
        <f>VLOOKUP(C131,'Talente &amp; Stuff'!C:AD,11,FALSE)</f>
        <v>0</v>
      </c>
      <c r="N131" s="47">
        <f>VLOOKUP(C131,'Talente &amp; Stuff'!C:AD,12,FALSE)</f>
        <v>0</v>
      </c>
      <c r="O131" s="47">
        <f>VLOOKUP(C131,'Talente &amp; Stuff'!C:AD,13,FALSE)</f>
        <v>0</v>
      </c>
      <c r="P131" s="119">
        <f>VLOOKUP(C131,'Talente &amp; Stuff'!C:AD,14,FALSE)</f>
        <v>0</v>
      </c>
      <c r="Q131" s="114">
        <f>VLOOKUP(C131,'Talente &amp; Stuff'!C:AD,15,FALSE)</f>
        <v>0</v>
      </c>
      <c r="R131" s="113">
        <f>VLOOKUP(C131,'Talente &amp; Stuff'!C:AD,16,FALSE)</f>
        <v>0</v>
      </c>
      <c r="S131" s="119">
        <f>VLOOKUP(C131,'Talente &amp; Stuff'!C:AD,17,FALSE)</f>
        <v>0</v>
      </c>
      <c r="T131" s="119">
        <f>VLOOKUP(C131,'Talente &amp; Stuff'!C:AD,18,FALSE)</f>
        <v>0</v>
      </c>
      <c r="U131" s="89">
        <f>VLOOKUP(C131,'Talente &amp; Stuff'!C:AD,19,FALSE)</f>
        <v>0</v>
      </c>
      <c r="V131" s="47">
        <f>VLOOKUP(C131,'Talente &amp; Stuff'!C:AD,20,FALSE)</f>
        <v>0</v>
      </c>
      <c r="W131" s="127">
        <f>VLOOKUP(C131,'Talente &amp; Stuff'!C:AD,21,FALSE)</f>
        <v>0</v>
      </c>
      <c r="X131" s="127">
        <f>VLOOKUP(C131,'Talente &amp; Stuff'!C:AD,22,FALSE)</f>
        <v>0</v>
      </c>
      <c r="Y131" s="165">
        <f t="shared" si="14"/>
        <v>0</v>
      </c>
      <c r="Z131" s="198">
        <f t="shared" si="15"/>
        <v>0</v>
      </c>
      <c r="AA131" s="125">
        <f>VLOOKUP(C131,'Talente &amp; Stuff'!C:AD,25,FALSE)</f>
        <v>0</v>
      </c>
      <c r="AB131" s="160">
        <f>VLOOKUP(C131,'Talente &amp; Stuff'!C:AD,26,FALSE)</f>
        <v>0</v>
      </c>
      <c r="AC131" s="127">
        <f>VLOOKUP(C131,'Talente &amp; Stuff'!C:AD,27,FALSE)</f>
        <v>0</v>
      </c>
      <c r="AD131" s="125">
        <f>VLOOKUP(C131,'Talente &amp; Stuff'!C:AD,28,FALSE)</f>
        <v>0</v>
      </c>
      <c r="AE131" s="28"/>
    </row>
    <row r="132" spans="2:31" s="148" customFormat="1" hidden="1" outlineLevel="2">
      <c r="B132" s="148">
        <v>5</v>
      </c>
      <c r="C132" s="163" t="s">
        <v>281</v>
      </c>
      <c r="D132" s="125" t="str">
        <f>VLOOKUP(C132,'Talente &amp; Stuff'!C:AD,2,FALSE)</f>
        <v>--/--/--</v>
      </c>
      <c r="E132" s="127" t="str">
        <f>VLOOKUP(C132,'Talente &amp; Stuff'!C:AD,3,FALSE)</f>
        <v>-</v>
      </c>
      <c r="F132" s="114">
        <f>VLOOKUP(C132,'Talente &amp; Stuff'!C:AD,4,FALSE)</f>
        <v>0</v>
      </c>
      <c r="G132" s="113">
        <f>VLOOKUP(C132,'Talente &amp; Stuff'!C:AD,5,FALSE)</f>
        <v>0</v>
      </c>
      <c r="H132" s="113">
        <f>VLOOKUP(C132,'Talente &amp; Stuff'!C:AD,6,FALSE)</f>
        <v>0</v>
      </c>
      <c r="I132" s="113">
        <f>VLOOKUP(C132,'Talente &amp; Stuff'!C:AD,7,FALSE)</f>
        <v>0</v>
      </c>
      <c r="J132" s="113">
        <f>VLOOKUP(C132,'Talente &amp; Stuff'!C:AD,8,FALSE)</f>
        <v>0</v>
      </c>
      <c r="K132" s="113">
        <f>VLOOKUP(C132,'Talente &amp; Stuff'!C:AD,9,FALSE)</f>
        <v>0</v>
      </c>
      <c r="L132" s="113">
        <f>VLOOKUP(C132,'Talente &amp; Stuff'!C:AD,10,FALSE)</f>
        <v>0</v>
      </c>
      <c r="M132" s="119">
        <f>VLOOKUP(C132,'Talente &amp; Stuff'!C:AD,11,FALSE)</f>
        <v>0</v>
      </c>
      <c r="N132" s="47">
        <f>VLOOKUP(C132,'Talente &amp; Stuff'!C:AD,12,FALSE)</f>
        <v>0</v>
      </c>
      <c r="O132" s="47">
        <f>VLOOKUP(C132,'Talente &amp; Stuff'!C:AD,13,FALSE)</f>
        <v>0</v>
      </c>
      <c r="P132" s="119">
        <f>VLOOKUP(C132,'Talente &amp; Stuff'!C:AD,14,FALSE)</f>
        <v>0</v>
      </c>
      <c r="Q132" s="114">
        <f>VLOOKUP(C132,'Talente &amp; Stuff'!C:AD,15,FALSE)</f>
        <v>0</v>
      </c>
      <c r="R132" s="113">
        <f>VLOOKUP(C132,'Talente &amp; Stuff'!C:AD,16,FALSE)</f>
        <v>0</v>
      </c>
      <c r="S132" s="119">
        <f>VLOOKUP(C132,'Talente &amp; Stuff'!C:AD,17,FALSE)</f>
        <v>0</v>
      </c>
      <c r="T132" s="119">
        <f>VLOOKUP(C132,'Talente &amp; Stuff'!C:AD,18,FALSE)</f>
        <v>0</v>
      </c>
      <c r="U132" s="89">
        <f>VLOOKUP(C132,'Talente &amp; Stuff'!C:AD,19,FALSE)</f>
        <v>0</v>
      </c>
      <c r="V132" s="47">
        <f>VLOOKUP(C132,'Talente &amp; Stuff'!C:AD,20,FALSE)</f>
        <v>0</v>
      </c>
      <c r="W132" s="127">
        <f>VLOOKUP(C132,'Talente &amp; Stuff'!C:AD,21,FALSE)</f>
        <v>0</v>
      </c>
      <c r="X132" s="127">
        <f>VLOOKUP(C132,'Talente &amp; Stuff'!C:AD,22,FALSE)</f>
        <v>0</v>
      </c>
      <c r="Y132" s="165">
        <f t="shared" si="14"/>
        <v>0</v>
      </c>
      <c r="Z132" s="198">
        <f t="shared" si="15"/>
        <v>0</v>
      </c>
      <c r="AA132" s="125">
        <f>VLOOKUP(C132,'Talente &amp; Stuff'!C:AD,25,FALSE)</f>
        <v>0</v>
      </c>
      <c r="AB132" s="160">
        <f>VLOOKUP(C132,'Talente &amp; Stuff'!C:AD,26,FALSE)</f>
        <v>0</v>
      </c>
      <c r="AC132" s="127">
        <f>VLOOKUP(C132,'Talente &amp; Stuff'!C:AD,27,FALSE)</f>
        <v>0</v>
      </c>
      <c r="AD132" s="125">
        <f>VLOOKUP(C132,'Talente &amp; Stuff'!C:AD,28,FALSE)</f>
        <v>0</v>
      </c>
      <c r="AE132" s="28"/>
    </row>
    <row r="133" spans="2:31" s="148" customFormat="1" hidden="1" outlineLevel="2">
      <c r="B133" s="148">
        <v>6</v>
      </c>
      <c r="C133" s="163" t="s">
        <v>281</v>
      </c>
      <c r="D133" s="125" t="str">
        <f>VLOOKUP(C133,'Talente &amp; Stuff'!C:AD,2,FALSE)</f>
        <v>--/--/--</v>
      </c>
      <c r="E133" s="127" t="str">
        <f>VLOOKUP(C133,'Talente &amp; Stuff'!C:AD,3,FALSE)</f>
        <v>-</v>
      </c>
      <c r="F133" s="114">
        <f>VLOOKUP(C133,'Talente &amp; Stuff'!C:AD,4,FALSE)</f>
        <v>0</v>
      </c>
      <c r="G133" s="113">
        <f>VLOOKUP(C133,'Talente &amp; Stuff'!C:AD,5,FALSE)</f>
        <v>0</v>
      </c>
      <c r="H133" s="113">
        <f>VLOOKUP(C133,'Talente &amp; Stuff'!C:AD,6,FALSE)</f>
        <v>0</v>
      </c>
      <c r="I133" s="113">
        <f>VLOOKUP(C133,'Talente &amp; Stuff'!C:AD,7,FALSE)</f>
        <v>0</v>
      </c>
      <c r="J133" s="113">
        <f>VLOOKUP(C133,'Talente &amp; Stuff'!C:AD,8,FALSE)</f>
        <v>0</v>
      </c>
      <c r="K133" s="113">
        <f>VLOOKUP(C133,'Talente &amp; Stuff'!C:AD,9,FALSE)</f>
        <v>0</v>
      </c>
      <c r="L133" s="113">
        <f>VLOOKUP(C133,'Talente &amp; Stuff'!C:AD,10,FALSE)</f>
        <v>0</v>
      </c>
      <c r="M133" s="119">
        <f>VLOOKUP(C133,'Talente &amp; Stuff'!C:AD,11,FALSE)</f>
        <v>0</v>
      </c>
      <c r="N133" s="47">
        <f>VLOOKUP(C133,'Talente &amp; Stuff'!C:AD,12,FALSE)</f>
        <v>0</v>
      </c>
      <c r="O133" s="47">
        <f>VLOOKUP(C133,'Talente &amp; Stuff'!C:AD,13,FALSE)</f>
        <v>0</v>
      </c>
      <c r="P133" s="119">
        <f>VLOOKUP(C133,'Talente &amp; Stuff'!C:AD,14,FALSE)</f>
        <v>0</v>
      </c>
      <c r="Q133" s="114">
        <f>VLOOKUP(C133,'Talente &amp; Stuff'!C:AD,15,FALSE)</f>
        <v>0</v>
      </c>
      <c r="R133" s="113">
        <f>VLOOKUP(C133,'Talente &amp; Stuff'!C:AD,16,FALSE)</f>
        <v>0</v>
      </c>
      <c r="S133" s="119">
        <f>VLOOKUP(C133,'Talente &amp; Stuff'!C:AD,17,FALSE)</f>
        <v>0</v>
      </c>
      <c r="T133" s="119">
        <f>VLOOKUP(C133,'Talente &amp; Stuff'!C:AD,18,FALSE)</f>
        <v>0</v>
      </c>
      <c r="U133" s="89">
        <f>VLOOKUP(C133,'Talente &amp; Stuff'!C:AD,19,FALSE)</f>
        <v>0</v>
      </c>
      <c r="V133" s="47">
        <f>VLOOKUP(C133,'Talente &amp; Stuff'!C:AD,20,FALSE)</f>
        <v>0</v>
      </c>
      <c r="W133" s="127">
        <f>VLOOKUP(C133,'Talente &amp; Stuff'!C:AD,21,FALSE)</f>
        <v>0</v>
      </c>
      <c r="X133" s="127">
        <f>VLOOKUP(C133,'Talente &amp; Stuff'!C:AD,22,FALSE)</f>
        <v>0</v>
      </c>
      <c r="Y133" s="165">
        <f t="shared" si="14"/>
        <v>0</v>
      </c>
      <c r="Z133" s="198">
        <f t="shared" si="15"/>
        <v>0</v>
      </c>
      <c r="AA133" s="125">
        <f>VLOOKUP(C133,'Talente &amp; Stuff'!C:AD,25,FALSE)</f>
        <v>0</v>
      </c>
      <c r="AB133" s="160">
        <f>VLOOKUP(C133,'Talente &amp; Stuff'!C:AD,26,FALSE)</f>
        <v>0</v>
      </c>
      <c r="AC133" s="127">
        <f>VLOOKUP(C133,'Talente &amp; Stuff'!C:AD,27,FALSE)</f>
        <v>0</v>
      </c>
      <c r="AD133" s="125">
        <f>VLOOKUP(C133,'Talente &amp; Stuff'!C:AD,28,FALSE)</f>
        <v>0</v>
      </c>
      <c r="AE133" s="28"/>
    </row>
    <row r="134" spans="2:31" s="148" customFormat="1" hidden="1" outlineLevel="2">
      <c r="B134" s="148">
        <v>7</v>
      </c>
      <c r="C134" s="163" t="s">
        <v>281</v>
      </c>
      <c r="D134" s="125" t="str">
        <f>VLOOKUP(C134,'Talente &amp; Stuff'!C:AD,2,FALSE)</f>
        <v>--/--/--</v>
      </c>
      <c r="E134" s="127" t="str">
        <f>VLOOKUP(C134,'Talente &amp; Stuff'!C:AD,3,FALSE)</f>
        <v>-</v>
      </c>
      <c r="F134" s="114">
        <f>VLOOKUP(C134,'Talente &amp; Stuff'!C:AD,4,FALSE)</f>
        <v>0</v>
      </c>
      <c r="G134" s="113">
        <f>VLOOKUP(C134,'Talente &amp; Stuff'!C:AD,5,FALSE)</f>
        <v>0</v>
      </c>
      <c r="H134" s="113">
        <f>VLOOKUP(C134,'Talente &amp; Stuff'!C:AD,6,FALSE)</f>
        <v>0</v>
      </c>
      <c r="I134" s="113">
        <f>VLOOKUP(C134,'Talente &amp; Stuff'!C:AD,7,FALSE)</f>
        <v>0</v>
      </c>
      <c r="J134" s="113">
        <f>VLOOKUP(C134,'Talente &amp; Stuff'!C:AD,8,FALSE)</f>
        <v>0</v>
      </c>
      <c r="K134" s="113">
        <f>VLOOKUP(C134,'Talente &amp; Stuff'!C:AD,9,FALSE)</f>
        <v>0</v>
      </c>
      <c r="L134" s="113">
        <f>VLOOKUP(C134,'Talente &amp; Stuff'!C:AD,10,FALSE)</f>
        <v>0</v>
      </c>
      <c r="M134" s="119">
        <f>VLOOKUP(C134,'Talente &amp; Stuff'!C:AD,11,FALSE)</f>
        <v>0</v>
      </c>
      <c r="N134" s="47">
        <f>VLOOKUP(C134,'Talente &amp; Stuff'!C:AD,12,FALSE)</f>
        <v>0</v>
      </c>
      <c r="O134" s="47">
        <f>VLOOKUP(C134,'Talente &amp; Stuff'!C:AD,13,FALSE)</f>
        <v>0</v>
      </c>
      <c r="P134" s="119">
        <f>VLOOKUP(C134,'Talente &amp; Stuff'!C:AD,14,FALSE)</f>
        <v>0</v>
      </c>
      <c r="Q134" s="114">
        <f>VLOOKUP(C134,'Talente &amp; Stuff'!C:AD,15,FALSE)</f>
        <v>0</v>
      </c>
      <c r="R134" s="113">
        <f>VLOOKUP(C134,'Talente &amp; Stuff'!C:AD,16,FALSE)</f>
        <v>0</v>
      </c>
      <c r="S134" s="119">
        <f>VLOOKUP(C134,'Talente &amp; Stuff'!C:AD,17,FALSE)</f>
        <v>0</v>
      </c>
      <c r="T134" s="119">
        <f>VLOOKUP(C134,'Talente &amp; Stuff'!C:AD,18,FALSE)</f>
        <v>0</v>
      </c>
      <c r="U134" s="89">
        <f>VLOOKUP(C134,'Talente &amp; Stuff'!C:AD,19,FALSE)</f>
        <v>0</v>
      </c>
      <c r="V134" s="47">
        <f>VLOOKUP(C134,'Talente &amp; Stuff'!C:AD,20,FALSE)</f>
        <v>0</v>
      </c>
      <c r="W134" s="127">
        <f>VLOOKUP(C134,'Talente &amp; Stuff'!C:AD,21,FALSE)</f>
        <v>0</v>
      </c>
      <c r="X134" s="127">
        <f>VLOOKUP(C134,'Talente &amp; Stuff'!C:AD,22,FALSE)</f>
        <v>0</v>
      </c>
      <c r="Y134" s="165">
        <f t="shared" si="14"/>
        <v>0</v>
      </c>
      <c r="Z134" s="198">
        <f t="shared" si="15"/>
        <v>0</v>
      </c>
      <c r="AA134" s="125">
        <f>VLOOKUP(C134,'Talente &amp; Stuff'!C:AD,25,FALSE)</f>
        <v>0</v>
      </c>
      <c r="AB134" s="160">
        <f>VLOOKUP(C134,'Talente &amp; Stuff'!C:AD,26,FALSE)</f>
        <v>0</v>
      </c>
      <c r="AC134" s="127">
        <f>VLOOKUP(C134,'Talente &amp; Stuff'!C:AD,27,FALSE)</f>
        <v>0</v>
      </c>
      <c r="AD134" s="125">
        <f>VLOOKUP(C134,'Talente &amp; Stuff'!C:AD,28,FALSE)</f>
        <v>0</v>
      </c>
      <c r="AE134" s="28"/>
    </row>
    <row r="135" spans="2:31" s="148" customFormat="1" hidden="1" outlineLevel="2">
      <c r="B135" s="148">
        <v>8</v>
      </c>
      <c r="C135" s="163" t="s">
        <v>281</v>
      </c>
      <c r="D135" s="125" t="str">
        <f>VLOOKUP(C135,'Talente &amp; Stuff'!C:AD,2,FALSE)</f>
        <v>--/--/--</v>
      </c>
      <c r="E135" s="127" t="str">
        <f>VLOOKUP(C135,'Talente &amp; Stuff'!C:AD,3,FALSE)</f>
        <v>-</v>
      </c>
      <c r="F135" s="114">
        <f>VLOOKUP(C135,'Talente &amp; Stuff'!C:AD,4,FALSE)</f>
        <v>0</v>
      </c>
      <c r="G135" s="113">
        <f>VLOOKUP(C135,'Talente &amp; Stuff'!C:AD,5,FALSE)</f>
        <v>0</v>
      </c>
      <c r="H135" s="113">
        <f>VLOOKUP(C135,'Talente &amp; Stuff'!C:AD,6,FALSE)</f>
        <v>0</v>
      </c>
      <c r="I135" s="113">
        <f>VLOOKUP(C135,'Talente &amp; Stuff'!C:AD,7,FALSE)</f>
        <v>0</v>
      </c>
      <c r="J135" s="113">
        <f>VLOOKUP(C135,'Talente &amp; Stuff'!C:AD,8,FALSE)</f>
        <v>0</v>
      </c>
      <c r="K135" s="113">
        <f>VLOOKUP(C135,'Talente &amp; Stuff'!C:AD,9,FALSE)</f>
        <v>0</v>
      </c>
      <c r="L135" s="113">
        <f>VLOOKUP(C135,'Talente &amp; Stuff'!C:AD,10,FALSE)</f>
        <v>0</v>
      </c>
      <c r="M135" s="119">
        <f>VLOOKUP(C135,'Talente &amp; Stuff'!C:AD,11,FALSE)</f>
        <v>0</v>
      </c>
      <c r="N135" s="47">
        <f>VLOOKUP(C135,'Talente &amp; Stuff'!C:AD,12,FALSE)</f>
        <v>0</v>
      </c>
      <c r="O135" s="47">
        <f>VLOOKUP(C135,'Talente &amp; Stuff'!C:AD,13,FALSE)</f>
        <v>0</v>
      </c>
      <c r="P135" s="119">
        <f>VLOOKUP(C135,'Talente &amp; Stuff'!C:AD,14,FALSE)</f>
        <v>0</v>
      </c>
      <c r="Q135" s="114">
        <f>VLOOKUP(C135,'Talente &amp; Stuff'!C:AD,15,FALSE)</f>
        <v>0</v>
      </c>
      <c r="R135" s="113">
        <f>VLOOKUP(C135,'Talente &amp; Stuff'!C:AD,16,FALSE)</f>
        <v>0</v>
      </c>
      <c r="S135" s="119">
        <f>VLOOKUP(C135,'Talente &amp; Stuff'!C:AD,17,FALSE)</f>
        <v>0</v>
      </c>
      <c r="T135" s="119">
        <f>VLOOKUP(C135,'Talente &amp; Stuff'!C:AD,18,FALSE)</f>
        <v>0</v>
      </c>
      <c r="U135" s="89">
        <f>VLOOKUP(C135,'Talente &amp; Stuff'!C:AD,19,FALSE)</f>
        <v>0</v>
      </c>
      <c r="V135" s="47">
        <f>VLOOKUP(C135,'Talente &amp; Stuff'!C:AD,20,FALSE)</f>
        <v>0</v>
      </c>
      <c r="W135" s="127">
        <f>VLOOKUP(C135,'Talente &amp; Stuff'!C:AD,21,FALSE)</f>
        <v>0</v>
      </c>
      <c r="X135" s="127">
        <f>VLOOKUP(C135,'Talente &amp; Stuff'!C:AD,22,FALSE)</f>
        <v>0</v>
      </c>
      <c r="Y135" s="165">
        <f t="shared" si="14"/>
        <v>0</v>
      </c>
      <c r="Z135" s="198">
        <f t="shared" si="15"/>
        <v>0</v>
      </c>
      <c r="AA135" s="125">
        <f>VLOOKUP(C135,'Talente &amp; Stuff'!C:AD,25,FALSE)</f>
        <v>0</v>
      </c>
      <c r="AB135" s="160">
        <f>VLOOKUP(C135,'Talente &amp; Stuff'!C:AD,26,FALSE)</f>
        <v>0</v>
      </c>
      <c r="AC135" s="127">
        <f>VLOOKUP(C135,'Talente &amp; Stuff'!C:AD,27,FALSE)</f>
        <v>0</v>
      </c>
      <c r="AD135" s="125">
        <f>VLOOKUP(C135,'Talente &amp; Stuff'!C:AD,28,FALSE)</f>
        <v>0</v>
      </c>
      <c r="AE135" s="28"/>
    </row>
    <row r="136" spans="2:31" s="148" customFormat="1" hidden="1" outlineLevel="2">
      <c r="B136" s="148">
        <v>9</v>
      </c>
      <c r="C136" s="163" t="s">
        <v>281</v>
      </c>
      <c r="D136" s="125" t="str">
        <f>VLOOKUP(C136,'Talente &amp; Stuff'!C:AD,2,FALSE)</f>
        <v>--/--/--</v>
      </c>
      <c r="E136" s="127" t="str">
        <f>VLOOKUP(C136,'Talente &amp; Stuff'!C:AD,3,FALSE)</f>
        <v>-</v>
      </c>
      <c r="F136" s="114">
        <f>VLOOKUP(C136,'Talente &amp; Stuff'!C:AD,4,FALSE)</f>
        <v>0</v>
      </c>
      <c r="G136" s="113">
        <f>VLOOKUP(C136,'Talente &amp; Stuff'!C:AD,5,FALSE)</f>
        <v>0</v>
      </c>
      <c r="H136" s="113">
        <f>VLOOKUP(C136,'Talente &amp; Stuff'!C:AD,6,FALSE)</f>
        <v>0</v>
      </c>
      <c r="I136" s="113">
        <f>VLOOKUP(C136,'Talente &amp; Stuff'!C:AD,7,FALSE)</f>
        <v>0</v>
      </c>
      <c r="J136" s="113">
        <f>VLOOKUP(C136,'Talente &amp; Stuff'!C:AD,8,FALSE)</f>
        <v>0</v>
      </c>
      <c r="K136" s="113">
        <f>VLOOKUP(C136,'Talente &amp; Stuff'!C:AD,9,FALSE)</f>
        <v>0</v>
      </c>
      <c r="L136" s="113">
        <f>VLOOKUP(C136,'Talente &amp; Stuff'!C:AD,10,FALSE)</f>
        <v>0</v>
      </c>
      <c r="M136" s="119">
        <f>VLOOKUP(C136,'Talente &amp; Stuff'!C:AD,11,FALSE)</f>
        <v>0</v>
      </c>
      <c r="N136" s="47">
        <f>VLOOKUP(C136,'Talente &amp; Stuff'!C:AD,12,FALSE)</f>
        <v>0</v>
      </c>
      <c r="O136" s="47">
        <f>VLOOKUP(C136,'Talente &amp; Stuff'!C:AD,13,FALSE)</f>
        <v>0</v>
      </c>
      <c r="P136" s="119">
        <f>VLOOKUP(C136,'Talente &amp; Stuff'!C:AD,14,FALSE)</f>
        <v>0</v>
      </c>
      <c r="Q136" s="114">
        <f>VLOOKUP(C136,'Talente &amp; Stuff'!C:AD,15,FALSE)</f>
        <v>0</v>
      </c>
      <c r="R136" s="113">
        <f>VLOOKUP(C136,'Talente &amp; Stuff'!C:AD,16,FALSE)</f>
        <v>0</v>
      </c>
      <c r="S136" s="119">
        <f>VLOOKUP(C136,'Talente &amp; Stuff'!C:AD,17,FALSE)</f>
        <v>0</v>
      </c>
      <c r="T136" s="119">
        <f>VLOOKUP(C136,'Talente &amp; Stuff'!C:AD,18,FALSE)</f>
        <v>0</v>
      </c>
      <c r="U136" s="89">
        <f>VLOOKUP(C136,'Talente &amp; Stuff'!C:AD,19,FALSE)</f>
        <v>0</v>
      </c>
      <c r="V136" s="47">
        <f>VLOOKUP(C136,'Talente &amp; Stuff'!C:AD,20,FALSE)</f>
        <v>0</v>
      </c>
      <c r="W136" s="127">
        <f>VLOOKUP(C136,'Talente &amp; Stuff'!C:AD,21,FALSE)</f>
        <v>0</v>
      </c>
      <c r="X136" s="127">
        <f>VLOOKUP(C136,'Talente &amp; Stuff'!C:AD,22,FALSE)</f>
        <v>0</v>
      </c>
      <c r="Y136" s="165">
        <f t="shared" si="14"/>
        <v>0</v>
      </c>
      <c r="Z136" s="198">
        <f t="shared" si="15"/>
        <v>0</v>
      </c>
      <c r="AA136" s="125">
        <f>VLOOKUP(C136,'Talente &amp; Stuff'!C:AD,25,FALSE)</f>
        <v>0</v>
      </c>
      <c r="AB136" s="160">
        <f>VLOOKUP(C136,'Talente &amp; Stuff'!C:AD,26,FALSE)</f>
        <v>0</v>
      </c>
      <c r="AC136" s="127">
        <f>VLOOKUP(C136,'Talente &amp; Stuff'!C:AD,27,FALSE)</f>
        <v>0</v>
      </c>
      <c r="AD136" s="125">
        <f>VLOOKUP(C136,'Talente &amp; Stuff'!C:AD,28,FALSE)</f>
        <v>0</v>
      </c>
      <c r="AE136" s="28"/>
    </row>
    <row r="137" spans="2:31" s="148" customFormat="1" hidden="1" outlineLevel="2">
      <c r="B137" s="148">
        <v>10</v>
      </c>
      <c r="C137" s="163" t="s">
        <v>281</v>
      </c>
      <c r="D137" s="125" t="str">
        <f>VLOOKUP(C137,'Talente &amp; Stuff'!C:AD,2,FALSE)</f>
        <v>--/--/--</v>
      </c>
      <c r="E137" s="127" t="str">
        <f>VLOOKUP(C137,'Talente &amp; Stuff'!C:AD,3,FALSE)</f>
        <v>-</v>
      </c>
      <c r="F137" s="114">
        <f>VLOOKUP(C137,'Talente &amp; Stuff'!C:AD,4,FALSE)</f>
        <v>0</v>
      </c>
      <c r="G137" s="113">
        <f>VLOOKUP(C137,'Talente &amp; Stuff'!C:AD,5,FALSE)</f>
        <v>0</v>
      </c>
      <c r="H137" s="113">
        <f>VLOOKUP(C137,'Talente &amp; Stuff'!C:AD,6,FALSE)</f>
        <v>0</v>
      </c>
      <c r="I137" s="113">
        <f>VLOOKUP(C137,'Talente &amp; Stuff'!C:AD,7,FALSE)</f>
        <v>0</v>
      </c>
      <c r="J137" s="113">
        <f>VLOOKUP(C137,'Talente &amp; Stuff'!C:AD,8,FALSE)</f>
        <v>0</v>
      </c>
      <c r="K137" s="113">
        <f>VLOOKUP(C137,'Talente &amp; Stuff'!C:AD,9,FALSE)</f>
        <v>0</v>
      </c>
      <c r="L137" s="113">
        <f>VLOOKUP(C137,'Talente &amp; Stuff'!C:AD,10,FALSE)</f>
        <v>0</v>
      </c>
      <c r="M137" s="119">
        <f>VLOOKUP(C137,'Talente &amp; Stuff'!C:AD,11,FALSE)</f>
        <v>0</v>
      </c>
      <c r="N137" s="47">
        <f>VLOOKUP(C137,'Talente &amp; Stuff'!C:AD,12,FALSE)</f>
        <v>0</v>
      </c>
      <c r="O137" s="47">
        <f>VLOOKUP(C137,'Talente &amp; Stuff'!C:AD,13,FALSE)</f>
        <v>0</v>
      </c>
      <c r="P137" s="119">
        <f>VLOOKUP(C137,'Talente &amp; Stuff'!C:AD,14,FALSE)</f>
        <v>0</v>
      </c>
      <c r="Q137" s="114">
        <f>VLOOKUP(C137,'Talente &amp; Stuff'!C:AD,15,FALSE)</f>
        <v>0</v>
      </c>
      <c r="R137" s="113">
        <f>VLOOKUP(C137,'Talente &amp; Stuff'!C:AD,16,FALSE)</f>
        <v>0</v>
      </c>
      <c r="S137" s="119">
        <f>VLOOKUP(C137,'Talente &amp; Stuff'!C:AD,17,FALSE)</f>
        <v>0</v>
      </c>
      <c r="T137" s="119">
        <f>VLOOKUP(C137,'Talente &amp; Stuff'!C:AD,18,FALSE)</f>
        <v>0</v>
      </c>
      <c r="U137" s="89">
        <f>VLOOKUP(C137,'Talente &amp; Stuff'!C:AD,19,FALSE)</f>
        <v>0</v>
      </c>
      <c r="V137" s="47">
        <f>VLOOKUP(C137,'Talente &amp; Stuff'!C:AD,20,FALSE)</f>
        <v>0</v>
      </c>
      <c r="W137" s="127">
        <f>VLOOKUP(C137,'Talente &amp; Stuff'!C:AD,21,FALSE)</f>
        <v>0</v>
      </c>
      <c r="X137" s="127">
        <f>VLOOKUP(C137,'Talente &amp; Stuff'!C:AD,22,FALSE)</f>
        <v>0</v>
      </c>
      <c r="Y137" s="165">
        <f t="shared" si="14"/>
        <v>0</v>
      </c>
      <c r="Z137" s="198">
        <f t="shared" si="15"/>
        <v>0</v>
      </c>
      <c r="AA137" s="125">
        <f>VLOOKUP(C137,'Talente &amp; Stuff'!C:AD,25,FALSE)</f>
        <v>0</v>
      </c>
      <c r="AB137" s="160">
        <f>VLOOKUP(C137,'Talente &amp; Stuff'!C:AD,26,FALSE)</f>
        <v>0</v>
      </c>
      <c r="AC137" s="127">
        <f>VLOOKUP(C137,'Talente &amp; Stuff'!C:AD,27,FALSE)</f>
        <v>0</v>
      </c>
      <c r="AD137" s="125">
        <f>VLOOKUP(C137,'Talente &amp; Stuff'!C:AD,28,FALSE)</f>
        <v>0</v>
      </c>
      <c r="AE137" s="28"/>
    </row>
    <row r="138" spans="2:31" s="148" customFormat="1" hidden="1" outlineLevel="2">
      <c r="B138" s="148">
        <v>11</v>
      </c>
      <c r="C138" s="163" t="s">
        <v>281</v>
      </c>
      <c r="D138" s="125" t="str">
        <f>VLOOKUP(C138,'Talente &amp; Stuff'!C:AD,2,FALSE)</f>
        <v>--/--/--</v>
      </c>
      <c r="E138" s="127" t="str">
        <f>VLOOKUP(C138,'Talente &amp; Stuff'!C:AD,3,FALSE)</f>
        <v>-</v>
      </c>
      <c r="F138" s="114">
        <f>VLOOKUP(C138,'Talente &amp; Stuff'!C:AD,4,FALSE)</f>
        <v>0</v>
      </c>
      <c r="G138" s="113">
        <f>VLOOKUP(C138,'Talente &amp; Stuff'!C:AD,5,FALSE)</f>
        <v>0</v>
      </c>
      <c r="H138" s="113">
        <f>VLOOKUP(C138,'Talente &amp; Stuff'!C:AD,6,FALSE)</f>
        <v>0</v>
      </c>
      <c r="I138" s="113">
        <f>VLOOKUP(C138,'Talente &amp; Stuff'!C:AD,7,FALSE)</f>
        <v>0</v>
      </c>
      <c r="J138" s="113">
        <f>VLOOKUP(C138,'Talente &amp; Stuff'!C:AD,8,FALSE)</f>
        <v>0</v>
      </c>
      <c r="K138" s="113">
        <f>VLOOKUP(C138,'Talente &amp; Stuff'!C:AD,9,FALSE)</f>
        <v>0</v>
      </c>
      <c r="L138" s="113">
        <f>VLOOKUP(C138,'Talente &amp; Stuff'!C:AD,10,FALSE)</f>
        <v>0</v>
      </c>
      <c r="M138" s="119">
        <f>VLOOKUP(C138,'Talente &amp; Stuff'!C:AD,11,FALSE)</f>
        <v>0</v>
      </c>
      <c r="N138" s="47">
        <f>VLOOKUP(C138,'Talente &amp; Stuff'!C:AD,12,FALSE)</f>
        <v>0</v>
      </c>
      <c r="O138" s="47">
        <f>VLOOKUP(C138,'Talente &amp; Stuff'!C:AD,13,FALSE)</f>
        <v>0</v>
      </c>
      <c r="P138" s="119">
        <f>VLOOKUP(C138,'Talente &amp; Stuff'!C:AD,14,FALSE)</f>
        <v>0</v>
      </c>
      <c r="Q138" s="114">
        <f>VLOOKUP(C138,'Talente &amp; Stuff'!C:AD,15,FALSE)</f>
        <v>0</v>
      </c>
      <c r="R138" s="113">
        <f>VLOOKUP(C138,'Talente &amp; Stuff'!C:AD,16,FALSE)</f>
        <v>0</v>
      </c>
      <c r="S138" s="119">
        <f>VLOOKUP(C138,'Talente &amp; Stuff'!C:AD,17,FALSE)</f>
        <v>0</v>
      </c>
      <c r="T138" s="119">
        <f>VLOOKUP(C138,'Talente &amp; Stuff'!C:AD,18,FALSE)</f>
        <v>0</v>
      </c>
      <c r="U138" s="89">
        <f>VLOOKUP(C138,'Talente &amp; Stuff'!C:AD,19,FALSE)</f>
        <v>0</v>
      </c>
      <c r="V138" s="47">
        <f>VLOOKUP(C138,'Talente &amp; Stuff'!C:AD,20,FALSE)</f>
        <v>0</v>
      </c>
      <c r="W138" s="127">
        <f>VLOOKUP(C138,'Talente &amp; Stuff'!C:AD,21,FALSE)</f>
        <v>0</v>
      </c>
      <c r="X138" s="127">
        <f>VLOOKUP(C138,'Talente &amp; Stuff'!C:AD,22,FALSE)</f>
        <v>0</v>
      </c>
      <c r="Y138" s="165">
        <f t="shared" si="14"/>
        <v>0</v>
      </c>
      <c r="Z138" s="198">
        <f t="shared" si="15"/>
        <v>0</v>
      </c>
      <c r="AA138" s="125">
        <f>VLOOKUP(C138,'Talente &amp; Stuff'!C:AD,25,FALSE)</f>
        <v>0</v>
      </c>
      <c r="AB138" s="160">
        <f>VLOOKUP(C138,'Talente &amp; Stuff'!C:AD,26,FALSE)</f>
        <v>0</v>
      </c>
      <c r="AC138" s="127">
        <f>VLOOKUP(C138,'Talente &amp; Stuff'!C:AD,27,FALSE)</f>
        <v>0</v>
      </c>
      <c r="AD138" s="125">
        <f>VLOOKUP(C138,'Talente &amp; Stuff'!C:AD,28,FALSE)</f>
        <v>0</v>
      </c>
      <c r="AE138" s="28"/>
    </row>
    <row r="139" spans="2:31" s="148" customFormat="1" hidden="1" outlineLevel="2">
      <c r="B139" s="148">
        <v>12</v>
      </c>
      <c r="C139" s="163" t="s">
        <v>281</v>
      </c>
      <c r="D139" s="125" t="str">
        <f>VLOOKUP(C139,'Talente &amp; Stuff'!C:AD,2,FALSE)</f>
        <v>--/--/--</v>
      </c>
      <c r="E139" s="127" t="str">
        <f>VLOOKUP(C139,'Talente &amp; Stuff'!C:AD,3,FALSE)</f>
        <v>-</v>
      </c>
      <c r="F139" s="114">
        <f>VLOOKUP(C139,'Talente &amp; Stuff'!C:AD,4,FALSE)</f>
        <v>0</v>
      </c>
      <c r="G139" s="113">
        <f>VLOOKUP(C139,'Talente &amp; Stuff'!C:AD,5,FALSE)</f>
        <v>0</v>
      </c>
      <c r="H139" s="113">
        <f>VLOOKUP(C139,'Talente &amp; Stuff'!C:AD,6,FALSE)</f>
        <v>0</v>
      </c>
      <c r="I139" s="113">
        <f>VLOOKUP(C139,'Talente &amp; Stuff'!C:AD,7,FALSE)</f>
        <v>0</v>
      </c>
      <c r="J139" s="113">
        <f>VLOOKUP(C139,'Talente &amp; Stuff'!C:AD,8,FALSE)</f>
        <v>0</v>
      </c>
      <c r="K139" s="113">
        <f>VLOOKUP(C139,'Talente &amp; Stuff'!C:AD,9,FALSE)</f>
        <v>0</v>
      </c>
      <c r="L139" s="113">
        <f>VLOOKUP(C139,'Talente &amp; Stuff'!C:AD,10,FALSE)</f>
        <v>0</v>
      </c>
      <c r="M139" s="119">
        <f>VLOOKUP(C139,'Talente &amp; Stuff'!C:AD,11,FALSE)</f>
        <v>0</v>
      </c>
      <c r="N139" s="47">
        <f>VLOOKUP(C139,'Talente &amp; Stuff'!C:AD,12,FALSE)</f>
        <v>0</v>
      </c>
      <c r="O139" s="47">
        <f>VLOOKUP(C139,'Talente &amp; Stuff'!C:AD,13,FALSE)</f>
        <v>0</v>
      </c>
      <c r="P139" s="119">
        <f>VLOOKUP(C139,'Talente &amp; Stuff'!C:AD,14,FALSE)</f>
        <v>0</v>
      </c>
      <c r="Q139" s="114">
        <f>VLOOKUP(C139,'Talente &amp; Stuff'!C:AD,15,FALSE)</f>
        <v>0</v>
      </c>
      <c r="R139" s="113">
        <f>VLOOKUP(C139,'Talente &amp; Stuff'!C:AD,16,FALSE)</f>
        <v>0</v>
      </c>
      <c r="S139" s="119">
        <f>VLOOKUP(C139,'Talente &amp; Stuff'!C:AD,17,FALSE)</f>
        <v>0</v>
      </c>
      <c r="T139" s="119">
        <f>VLOOKUP(C139,'Talente &amp; Stuff'!C:AD,18,FALSE)</f>
        <v>0</v>
      </c>
      <c r="U139" s="89">
        <f>VLOOKUP(C139,'Talente &amp; Stuff'!C:AD,19,FALSE)</f>
        <v>0</v>
      </c>
      <c r="V139" s="47">
        <f>VLOOKUP(C139,'Talente &amp; Stuff'!C:AD,20,FALSE)</f>
        <v>0</v>
      </c>
      <c r="W139" s="127">
        <f>VLOOKUP(C139,'Talente &amp; Stuff'!C:AD,21,FALSE)</f>
        <v>0</v>
      </c>
      <c r="X139" s="127">
        <f>VLOOKUP(C139,'Talente &amp; Stuff'!C:AD,22,FALSE)</f>
        <v>0</v>
      </c>
      <c r="Y139" s="165">
        <f t="shared" si="14"/>
        <v>0</v>
      </c>
      <c r="Z139" s="198">
        <f t="shared" si="15"/>
        <v>0</v>
      </c>
      <c r="AA139" s="125">
        <f>VLOOKUP(C139,'Talente &amp; Stuff'!C:AD,25,FALSE)</f>
        <v>0</v>
      </c>
      <c r="AB139" s="160">
        <f>VLOOKUP(C139,'Talente &amp; Stuff'!C:AD,26,FALSE)</f>
        <v>0</v>
      </c>
      <c r="AC139" s="127">
        <f>VLOOKUP(C139,'Talente &amp; Stuff'!C:AD,27,FALSE)</f>
        <v>0</v>
      </c>
      <c r="AD139" s="125">
        <f>VLOOKUP(C139,'Talente &amp; Stuff'!C:AD,28,FALSE)</f>
        <v>0</v>
      </c>
      <c r="AE139" s="28"/>
    </row>
    <row r="140" spans="2:31" s="148" customFormat="1" hidden="1" outlineLevel="2">
      <c r="B140" s="148">
        <v>13</v>
      </c>
      <c r="C140" s="163" t="s">
        <v>281</v>
      </c>
      <c r="D140" s="125" t="str">
        <f>VLOOKUP(C140,'Talente &amp; Stuff'!C:AD,2,FALSE)</f>
        <v>--/--/--</v>
      </c>
      <c r="E140" s="127" t="str">
        <f>VLOOKUP(C140,'Talente &amp; Stuff'!C:AD,3,FALSE)</f>
        <v>-</v>
      </c>
      <c r="F140" s="114">
        <f>VLOOKUP(C140,'Talente &amp; Stuff'!C:AD,4,FALSE)</f>
        <v>0</v>
      </c>
      <c r="G140" s="113">
        <f>VLOOKUP(C140,'Talente &amp; Stuff'!C:AD,5,FALSE)</f>
        <v>0</v>
      </c>
      <c r="H140" s="113">
        <f>VLOOKUP(C140,'Talente &amp; Stuff'!C:AD,6,FALSE)</f>
        <v>0</v>
      </c>
      <c r="I140" s="113">
        <f>VLOOKUP(C140,'Talente &amp; Stuff'!C:AD,7,FALSE)</f>
        <v>0</v>
      </c>
      <c r="J140" s="113">
        <f>VLOOKUP(C140,'Talente &amp; Stuff'!C:AD,8,FALSE)</f>
        <v>0</v>
      </c>
      <c r="K140" s="113">
        <f>VLOOKUP(C140,'Talente &amp; Stuff'!C:AD,9,FALSE)</f>
        <v>0</v>
      </c>
      <c r="L140" s="113">
        <f>VLOOKUP(C140,'Talente &amp; Stuff'!C:AD,10,FALSE)</f>
        <v>0</v>
      </c>
      <c r="M140" s="119">
        <f>VLOOKUP(C140,'Talente &amp; Stuff'!C:AD,11,FALSE)</f>
        <v>0</v>
      </c>
      <c r="N140" s="47">
        <f>VLOOKUP(C140,'Talente &amp; Stuff'!C:AD,12,FALSE)</f>
        <v>0</v>
      </c>
      <c r="O140" s="47">
        <f>VLOOKUP(C140,'Talente &amp; Stuff'!C:AD,13,FALSE)</f>
        <v>0</v>
      </c>
      <c r="P140" s="119">
        <f>VLOOKUP(C140,'Talente &amp; Stuff'!C:AD,14,FALSE)</f>
        <v>0</v>
      </c>
      <c r="Q140" s="114">
        <f>VLOOKUP(C140,'Talente &amp; Stuff'!C:AD,15,FALSE)</f>
        <v>0</v>
      </c>
      <c r="R140" s="113">
        <f>VLOOKUP(C140,'Talente &amp; Stuff'!C:AD,16,FALSE)</f>
        <v>0</v>
      </c>
      <c r="S140" s="119">
        <f>VLOOKUP(C140,'Talente &amp; Stuff'!C:AD,17,FALSE)</f>
        <v>0</v>
      </c>
      <c r="T140" s="119">
        <f>VLOOKUP(C140,'Talente &amp; Stuff'!C:AD,18,FALSE)</f>
        <v>0</v>
      </c>
      <c r="U140" s="89">
        <f>VLOOKUP(C140,'Talente &amp; Stuff'!C:AD,19,FALSE)</f>
        <v>0</v>
      </c>
      <c r="V140" s="47">
        <f>VLOOKUP(C140,'Talente &amp; Stuff'!C:AD,20,FALSE)</f>
        <v>0</v>
      </c>
      <c r="W140" s="127">
        <f>VLOOKUP(C140,'Talente &amp; Stuff'!C:AD,21,FALSE)</f>
        <v>0</v>
      </c>
      <c r="X140" s="127">
        <f>VLOOKUP(C140,'Talente &amp; Stuff'!C:AD,22,FALSE)</f>
        <v>0</v>
      </c>
      <c r="Y140" s="165">
        <f t="shared" si="14"/>
        <v>0</v>
      </c>
      <c r="Z140" s="198">
        <f t="shared" si="15"/>
        <v>0</v>
      </c>
      <c r="AA140" s="125">
        <f>VLOOKUP(C140,'Talente &amp; Stuff'!C:AD,25,FALSE)</f>
        <v>0</v>
      </c>
      <c r="AB140" s="160">
        <f>VLOOKUP(C140,'Talente &amp; Stuff'!C:AD,26,FALSE)</f>
        <v>0</v>
      </c>
      <c r="AC140" s="127">
        <f>VLOOKUP(C140,'Talente &amp; Stuff'!C:AD,27,FALSE)</f>
        <v>0</v>
      </c>
      <c r="AD140" s="125">
        <f>VLOOKUP(C140,'Talente &amp; Stuff'!C:AD,28,FALSE)</f>
        <v>0</v>
      </c>
      <c r="AE140" s="28"/>
    </row>
    <row r="141" spans="2:31" s="148" customFormat="1" hidden="1" outlineLevel="2">
      <c r="B141" s="148">
        <v>14</v>
      </c>
      <c r="C141" s="163" t="s">
        <v>281</v>
      </c>
      <c r="D141" s="125" t="str">
        <f>VLOOKUP(C141,'Talente &amp; Stuff'!C:AD,2,FALSE)</f>
        <v>--/--/--</v>
      </c>
      <c r="E141" s="127" t="str">
        <f>VLOOKUP(C141,'Talente &amp; Stuff'!C:AD,3,FALSE)</f>
        <v>-</v>
      </c>
      <c r="F141" s="114">
        <f>VLOOKUP(C141,'Talente &amp; Stuff'!C:AD,4,FALSE)</f>
        <v>0</v>
      </c>
      <c r="G141" s="113">
        <f>VLOOKUP(C141,'Talente &amp; Stuff'!C:AD,5,FALSE)</f>
        <v>0</v>
      </c>
      <c r="H141" s="113">
        <f>VLOOKUP(C141,'Talente &amp; Stuff'!C:AD,6,FALSE)</f>
        <v>0</v>
      </c>
      <c r="I141" s="113">
        <f>VLOOKUP(C141,'Talente &amp; Stuff'!C:AD,7,FALSE)</f>
        <v>0</v>
      </c>
      <c r="J141" s="113">
        <f>VLOOKUP(C141,'Talente &amp; Stuff'!C:AD,8,FALSE)</f>
        <v>0</v>
      </c>
      <c r="K141" s="113">
        <f>VLOOKUP(C141,'Talente &amp; Stuff'!C:AD,9,FALSE)</f>
        <v>0</v>
      </c>
      <c r="L141" s="113">
        <f>VLOOKUP(C141,'Talente &amp; Stuff'!C:AD,10,FALSE)</f>
        <v>0</v>
      </c>
      <c r="M141" s="119">
        <f>VLOOKUP(C141,'Talente &amp; Stuff'!C:AD,11,FALSE)</f>
        <v>0</v>
      </c>
      <c r="N141" s="47">
        <f>VLOOKUP(C141,'Talente &amp; Stuff'!C:AD,12,FALSE)</f>
        <v>0</v>
      </c>
      <c r="O141" s="47">
        <f>VLOOKUP(C141,'Talente &amp; Stuff'!C:AD,13,FALSE)</f>
        <v>0</v>
      </c>
      <c r="P141" s="119">
        <f>VLOOKUP(C141,'Talente &amp; Stuff'!C:AD,14,FALSE)</f>
        <v>0</v>
      </c>
      <c r="Q141" s="114">
        <f>VLOOKUP(C141,'Talente &amp; Stuff'!C:AD,15,FALSE)</f>
        <v>0</v>
      </c>
      <c r="R141" s="113">
        <f>VLOOKUP(C141,'Talente &amp; Stuff'!C:AD,16,FALSE)</f>
        <v>0</v>
      </c>
      <c r="S141" s="119">
        <f>VLOOKUP(C141,'Talente &amp; Stuff'!C:AD,17,FALSE)</f>
        <v>0</v>
      </c>
      <c r="T141" s="119">
        <f>VLOOKUP(C141,'Talente &amp; Stuff'!C:AD,18,FALSE)</f>
        <v>0</v>
      </c>
      <c r="U141" s="89">
        <f>VLOOKUP(C141,'Talente &amp; Stuff'!C:AD,19,FALSE)</f>
        <v>0</v>
      </c>
      <c r="V141" s="47">
        <f>VLOOKUP(C141,'Talente &amp; Stuff'!C:AD,20,FALSE)</f>
        <v>0</v>
      </c>
      <c r="W141" s="127">
        <f>VLOOKUP(C141,'Talente &amp; Stuff'!C:AD,21,FALSE)</f>
        <v>0</v>
      </c>
      <c r="X141" s="127">
        <f>VLOOKUP(C141,'Talente &amp; Stuff'!C:AD,22,FALSE)</f>
        <v>0</v>
      </c>
      <c r="Y141" s="165">
        <f t="shared" si="14"/>
        <v>0</v>
      </c>
      <c r="Z141" s="198">
        <f t="shared" si="15"/>
        <v>0</v>
      </c>
      <c r="AA141" s="125">
        <f>VLOOKUP(C141,'Talente &amp; Stuff'!C:AD,25,FALSE)</f>
        <v>0</v>
      </c>
      <c r="AB141" s="160">
        <f>VLOOKUP(C141,'Talente &amp; Stuff'!C:AD,26,FALSE)</f>
        <v>0</v>
      </c>
      <c r="AC141" s="127">
        <f>VLOOKUP(C141,'Talente &amp; Stuff'!C:AD,27,FALSE)</f>
        <v>0</v>
      </c>
      <c r="AD141" s="125">
        <f>VLOOKUP(C141,'Talente &amp; Stuff'!C:AD,28,FALSE)</f>
        <v>0</v>
      </c>
      <c r="AE141" s="28"/>
    </row>
    <row r="142" spans="2:31" hidden="1" outlineLevel="2">
      <c r="B142" s="148">
        <v>15</v>
      </c>
      <c r="C142" s="163" t="s">
        <v>281</v>
      </c>
      <c r="D142" s="125" t="str">
        <f>VLOOKUP(C142,'Talente &amp; Stuff'!C:AD,2,FALSE)</f>
        <v>--/--/--</v>
      </c>
      <c r="E142" s="127" t="str">
        <f>VLOOKUP(C142,'Talente &amp; Stuff'!C:AD,3,FALSE)</f>
        <v>-</v>
      </c>
      <c r="F142" s="114">
        <f>VLOOKUP(C142,'Talente &amp; Stuff'!C:AD,4,FALSE)</f>
        <v>0</v>
      </c>
      <c r="G142" s="113">
        <f>VLOOKUP(C142,'Talente &amp; Stuff'!C:AD,5,FALSE)</f>
        <v>0</v>
      </c>
      <c r="H142" s="113">
        <f>VLOOKUP(C142,'Talente &amp; Stuff'!C:AD,6,FALSE)</f>
        <v>0</v>
      </c>
      <c r="I142" s="113">
        <f>VLOOKUP(C142,'Talente &amp; Stuff'!C:AD,7,FALSE)</f>
        <v>0</v>
      </c>
      <c r="J142" s="113">
        <f>VLOOKUP(C142,'Talente &amp; Stuff'!C:AD,8,FALSE)</f>
        <v>0</v>
      </c>
      <c r="K142" s="113">
        <f>VLOOKUP(C142,'Talente &amp; Stuff'!C:AD,9,FALSE)</f>
        <v>0</v>
      </c>
      <c r="L142" s="113">
        <f>VLOOKUP(C142,'Talente &amp; Stuff'!C:AD,10,FALSE)</f>
        <v>0</v>
      </c>
      <c r="M142" s="119">
        <f>VLOOKUP(C142,'Talente &amp; Stuff'!C:AD,11,FALSE)</f>
        <v>0</v>
      </c>
      <c r="N142" s="47">
        <f>VLOOKUP(C142,'Talente &amp; Stuff'!C:AD,12,FALSE)</f>
        <v>0</v>
      </c>
      <c r="O142" s="47">
        <f>VLOOKUP(C142,'Talente &amp; Stuff'!C:AD,13,FALSE)</f>
        <v>0</v>
      </c>
      <c r="P142" s="119">
        <f>VLOOKUP(C142,'Talente &amp; Stuff'!C:AD,14,FALSE)</f>
        <v>0</v>
      </c>
      <c r="Q142" s="114">
        <f>VLOOKUP(C142,'Talente &amp; Stuff'!C:AD,15,FALSE)</f>
        <v>0</v>
      </c>
      <c r="R142" s="113">
        <f>VLOOKUP(C142,'Talente &amp; Stuff'!C:AD,16,FALSE)</f>
        <v>0</v>
      </c>
      <c r="S142" s="119">
        <f>VLOOKUP(C142,'Talente &amp; Stuff'!C:AD,17,FALSE)</f>
        <v>0</v>
      </c>
      <c r="T142" s="119">
        <f>VLOOKUP(C142,'Talente &amp; Stuff'!C:AD,18,FALSE)</f>
        <v>0</v>
      </c>
      <c r="U142" s="89">
        <f>VLOOKUP(C142,'Talente &amp; Stuff'!C:AD,19,FALSE)</f>
        <v>0</v>
      </c>
      <c r="V142" s="47">
        <f>VLOOKUP(C142,'Talente &amp; Stuff'!C:AD,20,FALSE)</f>
        <v>0</v>
      </c>
      <c r="W142" s="127">
        <f>VLOOKUP(C142,'Talente &amp; Stuff'!C:AD,21,FALSE)</f>
        <v>0</v>
      </c>
      <c r="X142" s="127">
        <f>VLOOKUP(C142,'Talente &amp; Stuff'!C:AD,22,FALSE)</f>
        <v>0</v>
      </c>
      <c r="Y142" s="165">
        <f t="shared" si="14"/>
        <v>0</v>
      </c>
      <c r="Z142" s="198">
        <f t="shared" si="15"/>
        <v>0</v>
      </c>
      <c r="AA142" s="125">
        <f>VLOOKUP(C142,'Talente &amp; Stuff'!C:AD,25,FALSE)</f>
        <v>0</v>
      </c>
      <c r="AB142" s="160">
        <f>VLOOKUP(C142,'Talente &amp; Stuff'!C:AD,26,FALSE)</f>
        <v>0</v>
      </c>
      <c r="AC142" s="127">
        <f>VLOOKUP(C142,'Talente &amp; Stuff'!C:AD,27,FALSE)</f>
        <v>0</v>
      </c>
      <c r="AD142" s="125">
        <f>VLOOKUP(C142,'Talente &amp; Stuff'!C:AD,28,FALSE)</f>
        <v>0</v>
      </c>
      <c r="AE142" s="28"/>
    </row>
    <row r="143" spans="2:31" hidden="1" outlineLevel="2">
      <c r="B143" s="148">
        <v>16</v>
      </c>
      <c r="C143" s="163" t="s">
        <v>281</v>
      </c>
      <c r="D143" s="86" t="str">
        <f>VLOOKUP(C143,'Talente &amp; Stuff'!C:AD,2,FALSE)</f>
        <v>--/--/--</v>
      </c>
      <c r="E143" s="167" t="str">
        <f>VLOOKUP(C143,'Talente &amp; Stuff'!C:AD,3,FALSE)</f>
        <v>-</v>
      </c>
      <c r="F143" s="120">
        <f>VLOOKUP(C143,'Talente &amp; Stuff'!C:AD,4,FALSE)</f>
        <v>0</v>
      </c>
      <c r="G143" s="117">
        <f>VLOOKUP(C143,'Talente &amp; Stuff'!C:AD,5,FALSE)</f>
        <v>0</v>
      </c>
      <c r="H143" s="117">
        <f>VLOOKUP(C143,'Talente &amp; Stuff'!C:AD,6,FALSE)</f>
        <v>0</v>
      </c>
      <c r="I143" s="117">
        <f>VLOOKUP(C143,'Talente &amp; Stuff'!C:AD,7,FALSE)</f>
        <v>0</v>
      </c>
      <c r="J143" s="117">
        <f>VLOOKUP(C143,'Talente &amp; Stuff'!C:AD,8,FALSE)</f>
        <v>0</v>
      </c>
      <c r="K143" s="117">
        <f>VLOOKUP(C143,'Talente &amp; Stuff'!C:AD,9,FALSE)</f>
        <v>0</v>
      </c>
      <c r="L143" s="117">
        <f>VLOOKUP(C143,'Talente &amp; Stuff'!C:AD,10,FALSE)</f>
        <v>0</v>
      </c>
      <c r="M143" s="121">
        <f>VLOOKUP(C143,'Talente &amp; Stuff'!C:AD,11,FALSE)</f>
        <v>0</v>
      </c>
      <c r="N143" s="47">
        <f>VLOOKUP(C143,'Talente &amp; Stuff'!C:AD,12,FALSE)</f>
        <v>0</v>
      </c>
      <c r="O143" s="3">
        <f>VLOOKUP(C143,'Talente &amp; Stuff'!C:AD,13,FALSE)</f>
        <v>0</v>
      </c>
      <c r="P143" s="174">
        <f>VLOOKUP(C143,'Talente &amp; Stuff'!C:AD,14,FALSE)</f>
        <v>0</v>
      </c>
      <c r="Q143" s="114">
        <f>VLOOKUP(C143,'Talente &amp; Stuff'!C:AD,15,FALSE)</f>
        <v>0</v>
      </c>
      <c r="R143" s="117">
        <f>VLOOKUP(C143,'Talente &amp; Stuff'!C:AD,16,FALSE)</f>
        <v>0</v>
      </c>
      <c r="S143" s="119">
        <f>VLOOKUP(C143,'Talente &amp; Stuff'!C:AD,17,FALSE)</f>
        <v>0</v>
      </c>
      <c r="T143" s="119">
        <f>VLOOKUP(C143,'Talente &amp; Stuff'!C:AD,18,FALSE)</f>
        <v>0</v>
      </c>
      <c r="U143" s="89">
        <f>VLOOKUP(C143,'Talente &amp; Stuff'!C:AD,19,FALSE)</f>
        <v>0</v>
      </c>
      <c r="V143" s="47">
        <f>VLOOKUP(C143,'Talente &amp; Stuff'!C:AD,20,FALSE)</f>
        <v>0</v>
      </c>
      <c r="W143" s="127">
        <f>VLOOKUP(C143,'Talente &amp; Stuff'!C:AD,21,FALSE)</f>
        <v>0</v>
      </c>
      <c r="X143" s="127">
        <f>VLOOKUP(C143,'Talente &amp; Stuff'!C:AD,22,FALSE)</f>
        <v>0</v>
      </c>
      <c r="Y143" s="165">
        <f t="shared" si="14"/>
        <v>0</v>
      </c>
      <c r="Z143" s="198">
        <f t="shared" si="15"/>
        <v>0</v>
      </c>
      <c r="AA143" s="125">
        <f>VLOOKUP(C143,'Talente &amp; Stuff'!C:AD,25,FALSE)</f>
        <v>0</v>
      </c>
      <c r="AB143" s="160">
        <f>VLOOKUP(C143,'Talente &amp; Stuff'!C:AD,26,FALSE)</f>
        <v>0</v>
      </c>
      <c r="AC143" s="127">
        <f>VLOOKUP(C143,'Talente &amp; Stuff'!C:AD,27,FALSE)</f>
        <v>0</v>
      </c>
      <c r="AD143" s="125">
        <f>VLOOKUP(C143,'Talente &amp; Stuff'!C:AD,28,FALSE)</f>
        <v>0</v>
      </c>
      <c r="AE143" s="28"/>
    </row>
    <row r="144" spans="2:31" hidden="1" outlineLevel="2">
      <c r="B144" s="148">
        <v>17</v>
      </c>
      <c r="C144" s="163" t="s">
        <v>281</v>
      </c>
      <c r="D144" s="125" t="str">
        <f>VLOOKUP(C144,'Talente &amp; Stuff'!C:AD,2,FALSE)</f>
        <v>--/--/--</v>
      </c>
      <c r="E144" s="127" t="str">
        <f>VLOOKUP(C144,'Talente &amp; Stuff'!C:AD,3,FALSE)</f>
        <v>-</v>
      </c>
      <c r="F144" s="114">
        <f>VLOOKUP(C144,'Talente &amp; Stuff'!C:AD,4,FALSE)</f>
        <v>0</v>
      </c>
      <c r="G144" s="113">
        <f>VLOOKUP(C144,'Talente &amp; Stuff'!C:AD,5,FALSE)</f>
        <v>0</v>
      </c>
      <c r="H144" s="113">
        <f>VLOOKUP(C144,'Talente &amp; Stuff'!C:AD,6,FALSE)</f>
        <v>0</v>
      </c>
      <c r="I144" s="113">
        <f>VLOOKUP(C144,'Talente &amp; Stuff'!C:AD,7,FALSE)</f>
        <v>0</v>
      </c>
      <c r="J144" s="113">
        <f>VLOOKUP(C144,'Talente &amp; Stuff'!C:AD,8,FALSE)</f>
        <v>0</v>
      </c>
      <c r="K144" s="113">
        <f>VLOOKUP(C144,'Talente &amp; Stuff'!C:AD,9,FALSE)</f>
        <v>0</v>
      </c>
      <c r="L144" s="113">
        <f>VLOOKUP(C144,'Talente &amp; Stuff'!C:AD,10,FALSE)</f>
        <v>0</v>
      </c>
      <c r="M144" s="119">
        <f>VLOOKUP(C144,'Talente &amp; Stuff'!C:AD,11,FALSE)</f>
        <v>0</v>
      </c>
      <c r="N144" s="47">
        <f>VLOOKUP(C144,'Talente &amp; Stuff'!C:AD,12,FALSE)</f>
        <v>0</v>
      </c>
      <c r="O144" s="47">
        <f>VLOOKUP(C144,'Talente &amp; Stuff'!C:AD,13,FALSE)</f>
        <v>0</v>
      </c>
      <c r="P144" s="119">
        <f>VLOOKUP(C144,'Talente &amp; Stuff'!C:AD,14,FALSE)</f>
        <v>0</v>
      </c>
      <c r="Q144" s="114">
        <f>VLOOKUP(C144,'Talente &amp; Stuff'!C:AD,15,FALSE)</f>
        <v>0</v>
      </c>
      <c r="R144" s="113">
        <f>VLOOKUP(C144,'Talente &amp; Stuff'!C:AD,16,FALSE)</f>
        <v>0</v>
      </c>
      <c r="S144" s="119">
        <f>VLOOKUP(C144,'Talente &amp; Stuff'!C:AD,17,FALSE)</f>
        <v>0</v>
      </c>
      <c r="T144" s="119">
        <f>VLOOKUP(C144,'Talente &amp; Stuff'!C:AD,18,FALSE)</f>
        <v>0</v>
      </c>
      <c r="U144" s="89">
        <f>VLOOKUP(C144,'Talente &amp; Stuff'!C:AD,19,FALSE)</f>
        <v>0</v>
      </c>
      <c r="V144" s="47">
        <f>VLOOKUP(C144,'Talente &amp; Stuff'!C:AD,20,FALSE)</f>
        <v>0</v>
      </c>
      <c r="W144" s="127">
        <f>VLOOKUP(C144,'Talente &amp; Stuff'!C:AD,21,FALSE)</f>
        <v>0</v>
      </c>
      <c r="X144" s="127">
        <f>VLOOKUP(C144,'Talente &amp; Stuff'!C:AD,22,FALSE)</f>
        <v>0</v>
      </c>
      <c r="Y144" s="165">
        <f t="shared" si="14"/>
        <v>0</v>
      </c>
      <c r="Z144" s="198">
        <f t="shared" si="15"/>
        <v>0</v>
      </c>
      <c r="AA144" s="125">
        <f>VLOOKUP(C144,'Talente &amp; Stuff'!C:AD,25,FALSE)</f>
        <v>0</v>
      </c>
      <c r="AB144" s="160">
        <f>VLOOKUP(C144,'Talente &amp; Stuff'!C:AD,26,FALSE)</f>
        <v>0</v>
      </c>
      <c r="AC144" s="127">
        <f>VLOOKUP(C144,'Talente &amp; Stuff'!C:AD,27,FALSE)</f>
        <v>0</v>
      </c>
      <c r="AD144" s="125">
        <f>VLOOKUP(C144,'Talente &amp; Stuff'!C:AD,28,FALSE)</f>
        <v>0</v>
      </c>
      <c r="AE144" s="28"/>
    </row>
    <row r="145" spans="2:31" hidden="1" outlineLevel="2">
      <c r="B145" s="148">
        <v>18</v>
      </c>
      <c r="C145" s="163" t="s">
        <v>281</v>
      </c>
      <c r="D145" s="125" t="str">
        <f>VLOOKUP(C145,'Talente &amp; Stuff'!C:AD,2,FALSE)</f>
        <v>--/--/--</v>
      </c>
      <c r="E145" s="127" t="str">
        <f>VLOOKUP(C145,'Talente &amp; Stuff'!C:AD,3,FALSE)</f>
        <v>-</v>
      </c>
      <c r="F145" s="114">
        <f>VLOOKUP(C145,'Talente &amp; Stuff'!C:AD,4,FALSE)</f>
        <v>0</v>
      </c>
      <c r="G145" s="113">
        <f>VLOOKUP(C145,'Talente &amp; Stuff'!C:AD,5,FALSE)</f>
        <v>0</v>
      </c>
      <c r="H145" s="113">
        <f>VLOOKUP(C145,'Talente &amp; Stuff'!C:AD,6,FALSE)</f>
        <v>0</v>
      </c>
      <c r="I145" s="113">
        <f>VLOOKUP(C145,'Talente &amp; Stuff'!C:AD,7,FALSE)</f>
        <v>0</v>
      </c>
      <c r="J145" s="113">
        <f>VLOOKUP(C145,'Talente &amp; Stuff'!C:AD,8,FALSE)</f>
        <v>0</v>
      </c>
      <c r="K145" s="113">
        <f>VLOOKUP(C145,'Talente &amp; Stuff'!C:AD,9,FALSE)</f>
        <v>0</v>
      </c>
      <c r="L145" s="113">
        <f>VLOOKUP(C145,'Talente &amp; Stuff'!C:AD,10,FALSE)</f>
        <v>0</v>
      </c>
      <c r="M145" s="119">
        <f>VLOOKUP(C145,'Talente &amp; Stuff'!C:AD,11,FALSE)</f>
        <v>0</v>
      </c>
      <c r="N145" s="47">
        <f>VLOOKUP(C145,'Talente &amp; Stuff'!C:AD,12,FALSE)</f>
        <v>0</v>
      </c>
      <c r="O145" s="47">
        <f>VLOOKUP(C145,'Talente &amp; Stuff'!C:AD,13,FALSE)</f>
        <v>0</v>
      </c>
      <c r="P145" s="119">
        <f>VLOOKUP(C145,'Talente &amp; Stuff'!C:AD,14,FALSE)</f>
        <v>0</v>
      </c>
      <c r="Q145" s="114">
        <f>VLOOKUP(C145,'Talente &amp; Stuff'!C:AD,15,FALSE)</f>
        <v>0</v>
      </c>
      <c r="R145" s="113">
        <f>VLOOKUP(C145,'Talente &amp; Stuff'!C:AD,16,FALSE)</f>
        <v>0</v>
      </c>
      <c r="S145" s="119">
        <f>VLOOKUP(C145,'Talente &amp; Stuff'!C:AD,17,FALSE)</f>
        <v>0</v>
      </c>
      <c r="T145" s="119">
        <f>VLOOKUP(C145,'Talente &amp; Stuff'!C:AD,18,FALSE)</f>
        <v>0</v>
      </c>
      <c r="U145" s="89">
        <f>VLOOKUP(C145,'Talente &amp; Stuff'!C:AD,19,FALSE)</f>
        <v>0</v>
      </c>
      <c r="V145" s="47">
        <f>VLOOKUP(C145,'Talente &amp; Stuff'!C:AD,20,FALSE)</f>
        <v>0</v>
      </c>
      <c r="W145" s="127">
        <f>VLOOKUP(C145,'Talente &amp; Stuff'!C:AD,21,FALSE)</f>
        <v>0</v>
      </c>
      <c r="X145" s="127">
        <f>VLOOKUP(C145,'Talente &amp; Stuff'!C:AD,22,FALSE)</f>
        <v>0</v>
      </c>
      <c r="Y145" s="165">
        <f t="shared" si="14"/>
        <v>0</v>
      </c>
      <c r="Z145" s="198">
        <f t="shared" si="15"/>
        <v>0</v>
      </c>
      <c r="AA145" s="125">
        <f>VLOOKUP(C145,'Talente &amp; Stuff'!C:AD,25,FALSE)</f>
        <v>0</v>
      </c>
      <c r="AB145" s="160">
        <f>VLOOKUP(C145,'Talente &amp; Stuff'!C:AD,26,FALSE)</f>
        <v>0</v>
      </c>
      <c r="AC145" s="127">
        <f>VLOOKUP(C145,'Talente &amp; Stuff'!C:AD,27,FALSE)</f>
        <v>0</v>
      </c>
      <c r="AD145" s="125">
        <f>VLOOKUP(C145,'Talente &amp; Stuff'!C:AD,28,FALSE)</f>
        <v>0</v>
      </c>
      <c r="AE145" s="28"/>
    </row>
    <row r="146" spans="2:31" hidden="1" outlineLevel="2">
      <c r="B146" s="148">
        <v>19</v>
      </c>
      <c r="C146" s="163" t="s">
        <v>281</v>
      </c>
      <c r="D146" s="125" t="str">
        <f>VLOOKUP(C146,'Talente &amp; Stuff'!C:AD,2,FALSE)</f>
        <v>--/--/--</v>
      </c>
      <c r="E146" s="127" t="str">
        <f>VLOOKUP(C146,'Talente &amp; Stuff'!C:AD,3,FALSE)</f>
        <v>-</v>
      </c>
      <c r="F146" s="114">
        <f>VLOOKUP(C146,'Talente &amp; Stuff'!C:AD,4,FALSE)</f>
        <v>0</v>
      </c>
      <c r="G146" s="113">
        <f>VLOOKUP(C146,'Talente &amp; Stuff'!C:AD,5,FALSE)</f>
        <v>0</v>
      </c>
      <c r="H146" s="113">
        <f>VLOOKUP(C146,'Talente &amp; Stuff'!C:AD,6,FALSE)</f>
        <v>0</v>
      </c>
      <c r="I146" s="113">
        <f>VLOOKUP(C146,'Talente &amp; Stuff'!C:AD,7,FALSE)</f>
        <v>0</v>
      </c>
      <c r="J146" s="113">
        <f>VLOOKUP(C146,'Talente &amp; Stuff'!C:AD,8,FALSE)</f>
        <v>0</v>
      </c>
      <c r="K146" s="113">
        <f>VLOOKUP(C146,'Talente &amp; Stuff'!C:AD,9,FALSE)</f>
        <v>0</v>
      </c>
      <c r="L146" s="113">
        <f>VLOOKUP(C146,'Talente &amp; Stuff'!C:AD,10,FALSE)</f>
        <v>0</v>
      </c>
      <c r="M146" s="119">
        <f>VLOOKUP(C146,'Talente &amp; Stuff'!C:AD,11,FALSE)</f>
        <v>0</v>
      </c>
      <c r="N146" s="47">
        <f>VLOOKUP(C146,'Talente &amp; Stuff'!C:AD,12,FALSE)</f>
        <v>0</v>
      </c>
      <c r="O146" s="47">
        <f>VLOOKUP(C146,'Talente &amp; Stuff'!C:AD,13,FALSE)</f>
        <v>0</v>
      </c>
      <c r="P146" s="119">
        <f>VLOOKUP(C146,'Talente &amp; Stuff'!C:AD,14,FALSE)</f>
        <v>0</v>
      </c>
      <c r="Q146" s="114">
        <f>VLOOKUP(C146,'Talente &amp; Stuff'!C:AD,15,FALSE)</f>
        <v>0</v>
      </c>
      <c r="R146" s="113">
        <f>VLOOKUP(C146,'Talente &amp; Stuff'!C:AD,16,FALSE)</f>
        <v>0</v>
      </c>
      <c r="S146" s="119">
        <f>VLOOKUP(C146,'Talente &amp; Stuff'!C:AD,17,FALSE)</f>
        <v>0</v>
      </c>
      <c r="T146" s="119">
        <f>VLOOKUP(C146,'Talente &amp; Stuff'!C:AD,18,FALSE)</f>
        <v>0</v>
      </c>
      <c r="U146" s="89">
        <f>VLOOKUP(C146,'Talente &amp; Stuff'!C:AD,19,FALSE)</f>
        <v>0</v>
      </c>
      <c r="V146" s="47">
        <f>VLOOKUP(C146,'Talente &amp; Stuff'!C:AD,20,FALSE)</f>
        <v>0</v>
      </c>
      <c r="W146" s="127">
        <f>VLOOKUP(C146,'Talente &amp; Stuff'!C:AD,21,FALSE)</f>
        <v>0</v>
      </c>
      <c r="X146" s="127">
        <f>VLOOKUP(C146,'Talente &amp; Stuff'!C:AD,22,FALSE)</f>
        <v>0</v>
      </c>
      <c r="Y146" s="165">
        <f t="shared" si="14"/>
        <v>0</v>
      </c>
      <c r="Z146" s="198">
        <f t="shared" si="15"/>
        <v>0</v>
      </c>
      <c r="AA146" s="125">
        <f>VLOOKUP(C146,'Talente &amp; Stuff'!C:AD,25,FALSE)</f>
        <v>0</v>
      </c>
      <c r="AB146" s="160">
        <f>VLOOKUP(C146,'Talente &amp; Stuff'!C:AD,26,FALSE)</f>
        <v>0</v>
      </c>
      <c r="AC146" s="127">
        <f>VLOOKUP(C146,'Talente &amp; Stuff'!C:AD,27,FALSE)</f>
        <v>0</v>
      </c>
      <c r="AD146" s="125">
        <f>VLOOKUP(C146,'Talente &amp; Stuff'!C:AD,28,FALSE)</f>
        <v>0</v>
      </c>
      <c r="AE146" s="28"/>
    </row>
    <row r="147" spans="2:31" hidden="1" outlineLevel="2">
      <c r="B147" s="148">
        <v>20</v>
      </c>
      <c r="C147" s="163" t="s">
        <v>281</v>
      </c>
      <c r="D147" s="125" t="str">
        <f>VLOOKUP(C147,'Talente &amp; Stuff'!C:AD,2,FALSE)</f>
        <v>--/--/--</v>
      </c>
      <c r="E147" s="127" t="str">
        <f>VLOOKUP(C147,'Talente &amp; Stuff'!C:AD,3,FALSE)</f>
        <v>-</v>
      </c>
      <c r="F147" s="114">
        <f>VLOOKUP(C147,'Talente &amp; Stuff'!C:AD,4,FALSE)</f>
        <v>0</v>
      </c>
      <c r="G147" s="113">
        <f>VLOOKUP(C147,'Talente &amp; Stuff'!C:AD,5,FALSE)</f>
        <v>0</v>
      </c>
      <c r="H147" s="113">
        <f>VLOOKUP(C147,'Talente &amp; Stuff'!C:AD,6,FALSE)</f>
        <v>0</v>
      </c>
      <c r="I147" s="113">
        <f>VLOOKUP(C147,'Talente &amp; Stuff'!C:AD,7,FALSE)</f>
        <v>0</v>
      </c>
      <c r="J147" s="113">
        <f>VLOOKUP(C147,'Talente &amp; Stuff'!C:AD,8,FALSE)</f>
        <v>0</v>
      </c>
      <c r="K147" s="113">
        <f>VLOOKUP(C147,'Talente &amp; Stuff'!C:AD,9,FALSE)</f>
        <v>0</v>
      </c>
      <c r="L147" s="113">
        <f>VLOOKUP(C147,'Talente &amp; Stuff'!C:AD,10,FALSE)</f>
        <v>0</v>
      </c>
      <c r="M147" s="119">
        <f>VLOOKUP(C147,'Talente &amp; Stuff'!C:AD,11,FALSE)</f>
        <v>0</v>
      </c>
      <c r="N147" s="47">
        <f>VLOOKUP(C147,'Talente &amp; Stuff'!C:AD,12,FALSE)</f>
        <v>0</v>
      </c>
      <c r="O147" s="47">
        <f>VLOOKUP(C147,'Talente &amp; Stuff'!C:AD,13,FALSE)</f>
        <v>0</v>
      </c>
      <c r="P147" s="119">
        <f>VLOOKUP(C147,'Talente &amp; Stuff'!C:AD,14,FALSE)</f>
        <v>0</v>
      </c>
      <c r="Q147" s="114">
        <f>VLOOKUP(C147,'Talente &amp; Stuff'!C:AD,15,FALSE)</f>
        <v>0</v>
      </c>
      <c r="R147" s="113">
        <f>VLOOKUP(C147,'Talente &amp; Stuff'!C:AD,16,FALSE)</f>
        <v>0</v>
      </c>
      <c r="S147" s="119">
        <f>VLOOKUP(C147,'Talente &amp; Stuff'!C:AD,17,FALSE)</f>
        <v>0</v>
      </c>
      <c r="T147" s="119">
        <f>VLOOKUP(C147,'Talente &amp; Stuff'!C:AD,18,FALSE)</f>
        <v>0</v>
      </c>
      <c r="U147" s="89">
        <f>VLOOKUP(C147,'Talente &amp; Stuff'!C:AD,19,FALSE)</f>
        <v>0</v>
      </c>
      <c r="V147" s="47">
        <f>VLOOKUP(C147,'Talente &amp; Stuff'!C:AD,20,FALSE)</f>
        <v>0</v>
      </c>
      <c r="W147" s="127">
        <f>VLOOKUP(C147,'Talente &amp; Stuff'!C:AD,21,FALSE)</f>
        <v>0</v>
      </c>
      <c r="X147" s="127">
        <f>VLOOKUP(C147,'Talente &amp; Stuff'!C:AD,22,FALSE)</f>
        <v>0</v>
      </c>
      <c r="Y147" s="165">
        <f t="shared" si="14"/>
        <v>0</v>
      </c>
      <c r="Z147" s="198">
        <f t="shared" si="15"/>
        <v>0</v>
      </c>
      <c r="AA147" s="125">
        <f>VLOOKUP(C147,'Talente &amp; Stuff'!C:AD,25,FALSE)</f>
        <v>0</v>
      </c>
      <c r="AB147" s="160">
        <f>VLOOKUP(C147,'Talente &amp; Stuff'!C:AD,26,FALSE)</f>
        <v>0</v>
      </c>
      <c r="AC147" s="127">
        <f>VLOOKUP(C147,'Talente &amp; Stuff'!C:AD,27,FALSE)</f>
        <v>0</v>
      </c>
      <c r="AD147" s="125">
        <f>VLOOKUP(C147,'Talente &amp; Stuff'!C:AD,28,FALSE)</f>
        <v>0</v>
      </c>
      <c r="AE147" s="28"/>
    </row>
    <row r="148" spans="2:31" hidden="1" outlineLevel="2">
      <c r="B148" s="148">
        <v>21</v>
      </c>
      <c r="C148" s="163" t="s">
        <v>281</v>
      </c>
      <c r="D148" s="125" t="str">
        <f>VLOOKUP(C148,'Talente &amp; Stuff'!C:AD,2,FALSE)</f>
        <v>--/--/--</v>
      </c>
      <c r="E148" s="127" t="str">
        <f>VLOOKUP(C148,'Talente &amp; Stuff'!C:AD,3,FALSE)</f>
        <v>-</v>
      </c>
      <c r="F148" s="114">
        <f>VLOOKUP(C148,'Talente &amp; Stuff'!C:AD,4,FALSE)</f>
        <v>0</v>
      </c>
      <c r="G148" s="113">
        <f>VLOOKUP(C148,'Talente &amp; Stuff'!C:AD,5,FALSE)</f>
        <v>0</v>
      </c>
      <c r="H148" s="113">
        <f>VLOOKUP(C148,'Talente &amp; Stuff'!C:AD,6,FALSE)</f>
        <v>0</v>
      </c>
      <c r="I148" s="113">
        <f>VLOOKUP(C148,'Talente &amp; Stuff'!C:AD,7,FALSE)</f>
        <v>0</v>
      </c>
      <c r="J148" s="113">
        <f>VLOOKUP(C148,'Talente &amp; Stuff'!C:AD,8,FALSE)</f>
        <v>0</v>
      </c>
      <c r="K148" s="113">
        <f>VLOOKUP(C148,'Talente &amp; Stuff'!C:AD,9,FALSE)</f>
        <v>0</v>
      </c>
      <c r="L148" s="113">
        <f>VLOOKUP(C148,'Talente &amp; Stuff'!C:AD,10,FALSE)</f>
        <v>0</v>
      </c>
      <c r="M148" s="119">
        <f>VLOOKUP(C148,'Talente &amp; Stuff'!C:AD,11,FALSE)</f>
        <v>0</v>
      </c>
      <c r="N148" s="47">
        <f>VLOOKUP(C148,'Talente &amp; Stuff'!C:AD,12,FALSE)</f>
        <v>0</v>
      </c>
      <c r="O148" s="47">
        <f>VLOOKUP(C148,'Talente &amp; Stuff'!C:AD,13,FALSE)</f>
        <v>0</v>
      </c>
      <c r="P148" s="119">
        <f>VLOOKUP(C148,'Talente &amp; Stuff'!C:AD,14,FALSE)</f>
        <v>0</v>
      </c>
      <c r="Q148" s="114">
        <f>VLOOKUP(C148,'Talente &amp; Stuff'!C:AD,15,FALSE)</f>
        <v>0</v>
      </c>
      <c r="R148" s="113">
        <f>VLOOKUP(C148,'Talente &amp; Stuff'!C:AD,16,FALSE)</f>
        <v>0</v>
      </c>
      <c r="S148" s="119">
        <f>VLOOKUP(C148,'Talente &amp; Stuff'!C:AD,17,FALSE)</f>
        <v>0</v>
      </c>
      <c r="T148" s="119">
        <f>VLOOKUP(C148,'Talente &amp; Stuff'!C:AD,18,FALSE)</f>
        <v>0</v>
      </c>
      <c r="U148" s="89">
        <f>VLOOKUP(C148,'Talente &amp; Stuff'!C:AD,19,FALSE)</f>
        <v>0</v>
      </c>
      <c r="V148" s="47">
        <f>VLOOKUP(C148,'Talente &amp; Stuff'!C:AD,20,FALSE)</f>
        <v>0</v>
      </c>
      <c r="W148" s="127">
        <f>VLOOKUP(C148,'Talente &amp; Stuff'!C:AD,21,FALSE)</f>
        <v>0</v>
      </c>
      <c r="X148" s="127">
        <f>VLOOKUP(C148,'Talente &amp; Stuff'!C:AD,22,FALSE)</f>
        <v>0</v>
      </c>
      <c r="Y148" s="165">
        <f t="shared" si="14"/>
        <v>0</v>
      </c>
      <c r="Z148" s="198">
        <f t="shared" si="15"/>
        <v>0</v>
      </c>
      <c r="AA148" s="125">
        <f>VLOOKUP(C148,'Talente &amp; Stuff'!C:AD,25,FALSE)</f>
        <v>0</v>
      </c>
      <c r="AB148" s="160">
        <f>VLOOKUP(C148,'Talente &amp; Stuff'!C:AD,26,FALSE)</f>
        <v>0</v>
      </c>
      <c r="AC148" s="127">
        <f>VLOOKUP(C148,'Talente &amp; Stuff'!C:AD,27,FALSE)</f>
        <v>0</v>
      </c>
      <c r="AD148" s="125">
        <f>VLOOKUP(C148,'Talente &amp; Stuff'!C:AD,28,FALSE)</f>
        <v>0</v>
      </c>
      <c r="AE148" s="28"/>
    </row>
    <row r="149" spans="2:31" hidden="1" outlineLevel="2">
      <c r="B149" s="148">
        <v>22</v>
      </c>
      <c r="C149" s="163" t="s">
        <v>281</v>
      </c>
      <c r="D149" s="125" t="str">
        <f>VLOOKUP(C149,'Talente &amp; Stuff'!C:AD,2,FALSE)</f>
        <v>--/--/--</v>
      </c>
      <c r="E149" s="127" t="str">
        <f>VLOOKUP(C149,'Talente &amp; Stuff'!C:AD,3,FALSE)</f>
        <v>-</v>
      </c>
      <c r="F149" s="114">
        <f>VLOOKUP(C149,'Talente &amp; Stuff'!C:AD,4,FALSE)</f>
        <v>0</v>
      </c>
      <c r="G149" s="113">
        <f>VLOOKUP(C149,'Talente &amp; Stuff'!C:AD,5,FALSE)</f>
        <v>0</v>
      </c>
      <c r="H149" s="113">
        <f>VLOOKUP(C149,'Talente &amp; Stuff'!C:AD,6,FALSE)</f>
        <v>0</v>
      </c>
      <c r="I149" s="113">
        <f>VLOOKUP(C149,'Talente &amp; Stuff'!C:AD,7,FALSE)</f>
        <v>0</v>
      </c>
      <c r="J149" s="113">
        <f>VLOOKUP(C149,'Talente &amp; Stuff'!C:AD,8,FALSE)</f>
        <v>0</v>
      </c>
      <c r="K149" s="113">
        <f>VLOOKUP(C149,'Talente &amp; Stuff'!C:AD,9,FALSE)</f>
        <v>0</v>
      </c>
      <c r="L149" s="113">
        <f>VLOOKUP(C149,'Talente &amp; Stuff'!C:AD,10,FALSE)</f>
        <v>0</v>
      </c>
      <c r="M149" s="119">
        <f>VLOOKUP(C149,'Talente &amp; Stuff'!C:AD,11,FALSE)</f>
        <v>0</v>
      </c>
      <c r="N149" s="47">
        <f>VLOOKUP(C149,'Talente &amp; Stuff'!C:AD,12,FALSE)</f>
        <v>0</v>
      </c>
      <c r="O149" s="47">
        <f>VLOOKUP(C149,'Talente &amp; Stuff'!C:AD,13,FALSE)</f>
        <v>0</v>
      </c>
      <c r="P149" s="119">
        <f>VLOOKUP(C149,'Talente &amp; Stuff'!C:AD,14,FALSE)</f>
        <v>0</v>
      </c>
      <c r="Q149" s="114">
        <f>VLOOKUP(C149,'Talente &amp; Stuff'!C:AD,15,FALSE)</f>
        <v>0</v>
      </c>
      <c r="R149" s="113">
        <f>VLOOKUP(C149,'Talente &amp; Stuff'!C:AD,16,FALSE)</f>
        <v>0</v>
      </c>
      <c r="S149" s="119">
        <f>VLOOKUP(C149,'Talente &amp; Stuff'!C:AD,17,FALSE)</f>
        <v>0</v>
      </c>
      <c r="T149" s="119">
        <f>VLOOKUP(C149,'Talente &amp; Stuff'!C:AD,18,FALSE)</f>
        <v>0</v>
      </c>
      <c r="U149" s="89">
        <f>VLOOKUP(C149,'Talente &amp; Stuff'!C:AD,19,FALSE)</f>
        <v>0</v>
      </c>
      <c r="V149" s="47">
        <f>VLOOKUP(C149,'Talente &amp; Stuff'!C:AD,20,FALSE)</f>
        <v>0</v>
      </c>
      <c r="W149" s="127">
        <f>VLOOKUP(C149,'Talente &amp; Stuff'!C:AD,21,FALSE)</f>
        <v>0</v>
      </c>
      <c r="X149" s="127">
        <f>VLOOKUP(C149,'Talente &amp; Stuff'!C:AD,22,FALSE)</f>
        <v>0</v>
      </c>
      <c r="Y149" s="165">
        <f t="shared" si="14"/>
        <v>0</v>
      </c>
      <c r="Z149" s="198">
        <f t="shared" si="15"/>
        <v>0</v>
      </c>
      <c r="AA149" s="125">
        <f>VLOOKUP(C149,'Talente &amp; Stuff'!C:AD,25,FALSE)</f>
        <v>0</v>
      </c>
      <c r="AB149" s="160">
        <f>VLOOKUP(C149,'Talente &amp; Stuff'!C:AD,26,FALSE)</f>
        <v>0</v>
      </c>
      <c r="AC149" s="127">
        <f>VLOOKUP(C149,'Talente &amp; Stuff'!C:AD,27,FALSE)</f>
        <v>0</v>
      </c>
      <c r="AD149" s="125">
        <f>VLOOKUP(C149,'Talente &amp; Stuff'!C:AD,28,FALSE)</f>
        <v>0</v>
      </c>
      <c r="AE149" s="28"/>
    </row>
    <row r="150" spans="2:31" hidden="1" outlineLevel="2">
      <c r="B150" s="148">
        <v>23</v>
      </c>
      <c r="C150" s="163" t="s">
        <v>281</v>
      </c>
      <c r="D150" s="125" t="str">
        <f>VLOOKUP(C150,'Talente &amp; Stuff'!C:AD,2,FALSE)</f>
        <v>--/--/--</v>
      </c>
      <c r="E150" s="127" t="str">
        <f>VLOOKUP(C150,'Talente &amp; Stuff'!C:AD,3,FALSE)</f>
        <v>-</v>
      </c>
      <c r="F150" s="114">
        <f>VLOOKUP(C150,'Talente &amp; Stuff'!C:AD,4,FALSE)</f>
        <v>0</v>
      </c>
      <c r="G150" s="113">
        <f>VLOOKUP(C150,'Talente &amp; Stuff'!C:AD,5,FALSE)</f>
        <v>0</v>
      </c>
      <c r="H150" s="113">
        <f>VLOOKUP(C150,'Talente &amp; Stuff'!C:AD,6,FALSE)</f>
        <v>0</v>
      </c>
      <c r="I150" s="113">
        <f>VLOOKUP(C150,'Talente &amp; Stuff'!C:AD,7,FALSE)</f>
        <v>0</v>
      </c>
      <c r="J150" s="113">
        <f>VLOOKUP(C150,'Talente &amp; Stuff'!C:AD,8,FALSE)</f>
        <v>0</v>
      </c>
      <c r="K150" s="113">
        <f>VLOOKUP(C150,'Talente &amp; Stuff'!C:AD,9,FALSE)</f>
        <v>0</v>
      </c>
      <c r="L150" s="113">
        <f>VLOOKUP(C150,'Talente &amp; Stuff'!C:AD,10,FALSE)</f>
        <v>0</v>
      </c>
      <c r="M150" s="119">
        <f>VLOOKUP(C150,'Talente &amp; Stuff'!C:AD,11,FALSE)</f>
        <v>0</v>
      </c>
      <c r="N150" s="47">
        <f>VLOOKUP(C150,'Talente &amp; Stuff'!C:AD,12,FALSE)</f>
        <v>0</v>
      </c>
      <c r="O150" s="47">
        <f>VLOOKUP(C150,'Talente &amp; Stuff'!C:AD,13,FALSE)</f>
        <v>0</v>
      </c>
      <c r="P150" s="119">
        <f>VLOOKUP(C150,'Talente &amp; Stuff'!C:AD,14,FALSE)</f>
        <v>0</v>
      </c>
      <c r="Q150" s="114">
        <f>VLOOKUP(C150,'Talente &amp; Stuff'!C:AD,15,FALSE)</f>
        <v>0</v>
      </c>
      <c r="R150" s="113">
        <f>VLOOKUP(C150,'Talente &amp; Stuff'!C:AD,16,FALSE)</f>
        <v>0</v>
      </c>
      <c r="S150" s="119">
        <f>VLOOKUP(C150,'Talente &amp; Stuff'!C:AD,17,FALSE)</f>
        <v>0</v>
      </c>
      <c r="T150" s="119">
        <f>VLOOKUP(C150,'Talente &amp; Stuff'!C:AD,18,FALSE)</f>
        <v>0</v>
      </c>
      <c r="U150" s="89">
        <f>VLOOKUP(C150,'Talente &amp; Stuff'!C:AD,19,FALSE)</f>
        <v>0</v>
      </c>
      <c r="V150" s="47">
        <f>VLOOKUP(C150,'Talente &amp; Stuff'!C:AD,20,FALSE)</f>
        <v>0</v>
      </c>
      <c r="W150" s="127">
        <f>VLOOKUP(C150,'Talente &amp; Stuff'!C:AD,21,FALSE)</f>
        <v>0</v>
      </c>
      <c r="X150" s="127">
        <f>VLOOKUP(C150,'Talente &amp; Stuff'!C:AD,22,FALSE)</f>
        <v>0</v>
      </c>
      <c r="Y150" s="165">
        <f t="shared" si="14"/>
        <v>0</v>
      </c>
      <c r="Z150" s="198">
        <f t="shared" si="15"/>
        <v>0</v>
      </c>
      <c r="AA150" s="125">
        <f>VLOOKUP(C150,'Talente &amp; Stuff'!C:AD,25,FALSE)</f>
        <v>0</v>
      </c>
      <c r="AB150" s="160">
        <f>VLOOKUP(C150,'Talente &amp; Stuff'!C:AD,26,FALSE)</f>
        <v>0</v>
      </c>
      <c r="AC150" s="127">
        <f>VLOOKUP(C150,'Talente &amp; Stuff'!C:AD,27,FALSE)</f>
        <v>0</v>
      </c>
      <c r="AD150" s="125">
        <f>VLOOKUP(C150,'Talente &amp; Stuff'!C:AD,28,FALSE)</f>
        <v>0</v>
      </c>
      <c r="AE150" s="28"/>
    </row>
    <row r="151" spans="2:31" s="138" customFormat="1" hidden="1" outlineLevel="2">
      <c r="B151" s="148">
        <v>24</v>
      </c>
      <c r="C151" s="164" t="s">
        <v>281</v>
      </c>
      <c r="D151" s="159" t="str">
        <f>VLOOKUP(C151,'Talente &amp; Stuff'!C:AD,2,FALSE)</f>
        <v>--/--/--</v>
      </c>
      <c r="E151" s="128" t="str">
        <f>VLOOKUP(C151,'Talente &amp; Stuff'!C:AD,3,FALSE)</f>
        <v>-</v>
      </c>
      <c r="F151" s="115">
        <f>VLOOKUP(C151,'Talente &amp; Stuff'!C:AD,4,FALSE)</f>
        <v>0</v>
      </c>
      <c r="G151" s="122">
        <f>VLOOKUP(C151,'Talente &amp; Stuff'!C:AD,5,FALSE)</f>
        <v>0</v>
      </c>
      <c r="H151" s="122">
        <f>VLOOKUP(C151,'Talente &amp; Stuff'!C:AD,6,FALSE)</f>
        <v>0</v>
      </c>
      <c r="I151" s="122">
        <f>VLOOKUP(C151,'Talente &amp; Stuff'!C:AD,7,FALSE)</f>
        <v>0</v>
      </c>
      <c r="J151" s="122">
        <f>VLOOKUP(C151,'Talente &amp; Stuff'!C:AD,8,FALSE)</f>
        <v>0</v>
      </c>
      <c r="K151" s="122">
        <f>VLOOKUP(C151,'Talente &amp; Stuff'!C:AD,9,FALSE)</f>
        <v>0</v>
      </c>
      <c r="L151" s="122">
        <f>VLOOKUP(C151,'Talente &amp; Stuff'!C:AD,10,FALSE)</f>
        <v>0</v>
      </c>
      <c r="M151" s="123">
        <f>VLOOKUP(C151,'Talente &amp; Stuff'!C:AD,11,FALSE)</f>
        <v>0</v>
      </c>
      <c r="N151" s="88">
        <f>VLOOKUP(C151,'Talente &amp; Stuff'!C:AD,12,FALSE)</f>
        <v>0</v>
      </c>
      <c r="O151" s="88">
        <f>VLOOKUP(C151,'Talente &amp; Stuff'!C:AD,13,FALSE)</f>
        <v>0</v>
      </c>
      <c r="P151" s="123">
        <f>VLOOKUP(C151,'Talente &amp; Stuff'!C:AD,14,FALSE)</f>
        <v>0</v>
      </c>
      <c r="Q151" s="115">
        <f>VLOOKUP(C151,'Talente &amp; Stuff'!C:AD,15,FALSE)</f>
        <v>0</v>
      </c>
      <c r="R151" s="122">
        <f>VLOOKUP(C151,'Talente &amp; Stuff'!C:AD,16,FALSE)</f>
        <v>0</v>
      </c>
      <c r="S151" s="123">
        <f>VLOOKUP(C151,'Talente &amp; Stuff'!C:AD,17,FALSE)</f>
        <v>0</v>
      </c>
      <c r="T151" s="123">
        <f>VLOOKUP(C151,'Talente &amp; Stuff'!C:AD,18,FALSE)</f>
        <v>0</v>
      </c>
      <c r="U151" s="90">
        <f>VLOOKUP(C151,'Talente &amp; Stuff'!C:AD,19,FALSE)</f>
        <v>0</v>
      </c>
      <c r="V151" s="88">
        <f>VLOOKUP(C151,'Talente &amp; Stuff'!C:AD,20,FALSE)</f>
        <v>0</v>
      </c>
      <c r="W151" s="128">
        <f>VLOOKUP(C151,'Talente &amp; Stuff'!C:AD,21,FALSE)</f>
        <v>0</v>
      </c>
      <c r="X151" s="128">
        <f>VLOOKUP(C151,'Talente &amp; Stuff'!C:AD,22,FALSE)</f>
        <v>0</v>
      </c>
      <c r="Y151" s="165">
        <f t="shared" si="14"/>
        <v>0</v>
      </c>
      <c r="Z151" s="198">
        <f t="shared" si="15"/>
        <v>0</v>
      </c>
      <c r="AA151" s="159">
        <f>VLOOKUP(C151,'Talente &amp; Stuff'!C:AD,25,FALSE)</f>
        <v>0</v>
      </c>
      <c r="AB151" s="161">
        <f>VLOOKUP(C151,'Talente &amp; Stuff'!C:AD,26,FALSE)</f>
        <v>0</v>
      </c>
      <c r="AC151" s="128">
        <f>VLOOKUP(C151,'Talente &amp; Stuff'!C:AD,27,FALSE)</f>
        <v>0</v>
      </c>
      <c r="AD151" s="159">
        <f>VLOOKUP(C151,'Talente &amp; Stuff'!C:AD,28,FALSE)</f>
        <v>0</v>
      </c>
      <c r="AE151" s="28"/>
    </row>
    <row r="152" spans="2:31" hidden="1" outlineLevel="1" collapsed="1">
      <c r="B152" s="134" t="s">
        <v>329</v>
      </c>
      <c r="C152" s="83"/>
      <c r="D152" s="84"/>
      <c r="E152" s="84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</row>
    <row r="153" spans="2:31" hidden="1" outlineLevel="2">
      <c r="B153" s="133">
        <v>1</v>
      </c>
      <c r="C153" s="162" t="s">
        <v>281</v>
      </c>
      <c r="D153" s="85" t="str">
        <f>VLOOKUP(C153,'Talente &amp; Stuff'!C:AD,2,FALSE)</f>
        <v>--/--/--</v>
      </c>
      <c r="E153" s="168" t="str">
        <f>VLOOKUP(C153,'Talente &amp; Stuff'!C:AD,3,FALSE)</f>
        <v>-</v>
      </c>
      <c r="F153" s="171">
        <f>VLOOKUP(C153,'Talente &amp; Stuff'!C:AD,4,FALSE)</f>
        <v>0</v>
      </c>
      <c r="G153" s="170">
        <f>VLOOKUP(C153,'Talente &amp; Stuff'!C:AD,5,FALSE)</f>
        <v>0</v>
      </c>
      <c r="H153" s="170">
        <f>VLOOKUP(C153,'Talente &amp; Stuff'!C:AD,6,FALSE)</f>
        <v>0</v>
      </c>
      <c r="I153" s="170">
        <f>VLOOKUP(C153,'Talente &amp; Stuff'!C:AD,7,FALSE)</f>
        <v>0</v>
      </c>
      <c r="J153" s="170">
        <f>VLOOKUP(C153,'Talente &amp; Stuff'!C:AD,8,FALSE)</f>
        <v>0</v>
      </c>
      <c r="K153" s="170">
        <f>VLOOKUP(C153,'Talente &amp; Stuff'!C:AD,9,FALSE)</f>
        <v>0</v>
      </c>
      <c r="L153" s="170">
        <f>VLOOKUP(C153,'Talente &amp; Stuff'!C:AD,10,FALSE)</f>
        <v>0</v>
      </c>
      <c r="M153" s="172">
        <f>VLOOKUP(C153,'Talente &amp; Stuff'!C:AD,11,FALSE)</f>
        <v>0</v>
      </c>
      <c r="N153" s="116">
        <f>VLOOKUP(C153,'Talente &amp; Stuff'!C:AD,12,FALSE)</f>
        <v>0</v>
      </c>
      <c r="O153" s="155">
        <f>VLOOKUP(C153,'Talente &amp; Stuff'!C:AD,13,FALSE)</f>
        <v>0</v>
      </c>
      <c r="P153" s="153">
        <f>VLOOKUP(C153,'Talente &amp; Stuff'!C:AD,14,FALSE)</f>
        <v>0</v>
      </c>
      <c r="Q153" s="152">
        <f>VLOOKUP(C153,'Talente &amp; Stuff'!C:AD,15,FALSE)</f>
        <v>0</v>
      </c>
      <c r="R153" s="170">
        <f>VLOOKUP(C153,'Talente &amp; Stuff'!C:AD,16,FALSE)</f>
        <v>0</v>
      </c>
      <c r="S153" s="92">
        <f>VLOOKUP(C153,'Talente &amp; Stuff'!C:AD,17,FALSE)</f>
        <v>0</v>
      </c>
      <c r="T153" s="92">
        <f>VLOOKUP(C153,'Talente &amp; Stuff'!C:AD,18,FALSE)</f>
        <v>0</v>
      </c>
      <c r="U153" s="154">
        <f>VLOOKUP(C153,'Talente &amp; Stuff'!C:AD,19,FALSE)</f>
        <v>0</v>
      </c>
      <c r="V153" s="116">
        <f>VLOOKUP(C153,'Talente &amp; Stuff'!C:AD,20,FALSE)</f>
        <v>0</v>
      </c>
      <c r="W153" s="126">
        <f>VLOOKUP(C153,'Talente &amp; Stuff'!C:AD,21,FALSE)</f>
        <v>0</v>
      </c>
      <c r="X153" s="126">
        <f>VLOOKUP(C153,'Talente &amp; Stuff'!C:AD,22,FALSE)</f>
        <v>0</v>
      </c>
      <c r="Y153" s="165">
        <f t="shared" ref="Y153:Y184" si="16">VLOOKUP(C153,Ausgewählte_Zauber_Gildenmagier,23,FALSE)</f>
        <v>0</v>
      </c>
      <c r="Z153" s="198">
        <f t="shared" ref="Z153:Z184" si="17">VLOOKUP(C153,Ausgewählte_Zauber_Gildenmagier,24,FALSE)</f>
        <v>0</v>
      </c>
      <c r="AA153" s="158">
        <f>VLOOKUP(C153,'Talente &amp; Stuff'!C:AD,25,FALSE)</f>
        <v>0</v>
      </c>
      <c r="AB153" s="91">
        <f>VLOOKUP(C153,'Talente &amp; Stuff'!C:AD,26,FALSE)</f>
        <v>0</v>
      </c>
      <c r="AC153" s="126">
        <f>VLOOKUP(C153,'Talente &amp; Stuff'!C:AD,27,FALSE)</f>
        <v>0</v>
      </c>
      <c r="AD153" s="158">
        <f>VLOOKUP(C153,'Talente &amp; Stuff'!C:AD,28,FALSE)</f>
        <v>0</v>
      </c>
      <c r="AE153" s="28"/>
    </row>
    <row r="154" spans="2:31" s="148" customFormat="1" hidden="1" outlineLevel="2">
      <c r="B154" s="148">
        <v>2</v>
      </c>
      <c r="C154" s="163" t="s">
        <v>281</v>
      </c>
      <c r="D154" s="86" t="str">
        <f>VLOOKUP(C154,'Talente &amp; Stuff'!C:AD,2,FALSE)</f>
        <v>--/--/--</v>
      </c>
      <c r="E154" s="167" t="str">
        <f>VLOOKUP(C154,'Talente &amp; Stuff'!C:AD,3,FALSE)</f>
        <v>-</v>
      </c>
      <c r="F154" s="120">
        <f>VLOOKUP(C154,'Talente &amp; Stuff'!C:AD,4,FALSE)</f>
        <v>0</v>
      </c>
      <c r="G154" s="117">
        <f>VLOOKUP(C154,'Talente &amp; Stuff'!C:AD,5,FALSE)</f>
        <v>0</v>
      </c>
      <c r="H154" s="117">
        <f>VLOOKUP(C154,'Talente &amp; Stuff'!C:AD,6,FALSE)</f>
        <v>0</v>
      </c>
      <c r="I154" s="117">
        <f>VLOOKUP(C154,'Talente &amp; Stuff'!C:AD,7,FALSE)</f>
        <v>0</v>
      </c>
      <c r="J154" s="117">
        <f>VLOOKUP(C154,'Talente &amp; Stuff'!C:AD,8,FALSE)</f>
        <v>0</v>
      </c>
      <c r="K154" s="117">
        <f>VLOOKUP(C154,'Talente &amp; Stuff'!C:AD,9,FALSE)</f>
        <v>0</v>
      </c>
      <c r="L154" s="117">
        <f>VLOOKUP(C154,'Talente &amp; Stuff'!C:AD,10,FALSE)</f>
        <v>0</v>
      </c>
      <c r="M154" s="121">
        <f>VLOOKUP(C154,'Talente &amp; Stuff'!C:AD,11,FALSE)</f>
        <v>0</v>
      </c>
      <c r="N154" s="47">
        <f>VLOOKUP(C154,'Talente &amp; Stuff'!C:AD,12,FALSE)</f>
        <v>0</v>
      </c>
      <c r="O154" s="3">
        <f>VLOOKUP(C154,'Talente &amp; Stuff'!C:AD,13,FALSE)</f>
        <v>0</v>
      </c>
      <c r="P154" s="174">
        <f>VLOOKUP(C154,'Talente &amp; Stuff'!C:AD,14,FALSE)</f>
        <v>0</v>
      </c>
      <c r="Q154" s="114">
        <f>VLOOKUP(C154,'Talente &amp; Stuff'!C:AD,15,FALSE)</f>
        <v>0</v>
      </c>
      <c r="R154" s="117">
        <f>VLOOKUP(C154,'Talente &amp; Stuff'!C:AD,16,FALSE)</f>
        <v>0</v>
      </c>
      <c r="S154" s="119">
        <f>VLOOKUP(C154,'Talente &amp; Stuff'!C:AD,17,FALSE)</f>
        <v>0</v>
      </c>
      <c r="T154" s="119">
        <f>VLOOKUP(C154,'Talente &amp; Stuff'!C:AD,18,FALSE)</f>
        <v>0</v>
      </c>
      <c r="U154" s="89">
        <f>VLOOKUP(C154,'Talente &amp; Stuff'!C:AD,19,FALSE)</f>
        <v>0</v>
      </c>
      <c r="V154" s="47">
        <f>VLOOKUP(C154,'Talente &amp; Stuff'!C:AD,20,FALSE)</f>
        <v>0</v>
      </c>
      <c r="W154" s="127">
        <f>VLOOKUP(C154,'Talente &amp; Stuff'!C:AD,21,FALSE)</f>
        <v>0</v>
      </c>
      <c r="X154" s="127">
        <f>VLOOKUP(C154,'Talente &amp; Stuff'!C:AD,22,FALSE)</f>
        <v>0</v>
      </c>
      <c r="Y154" s="165">
        <f t="shared" si="16"/>
        <v>0</v>
      </c>
      <c r="Z154" s="198">
        <f t="shared" si="17"/>
        <v>0</v>
      </c>
      <c r="AA154" s="125">
        <f>VLOOKUP(C154,'Talente &amp; Stuff'!C:AD,25,FALSE)</f>
        <v>0</v>
      </c>
      <c r="AB154" s="160">
        <f>VLOOKUP(C154,'Talente &amp; Stuff'!C:AD,26,FALSE)</f>
        <v>0</v>
      </c>
      <c r="AC154" s="127">
        <f>VLOOKUP(C154,'Talente &amp; Stuff'!C:AD,27,FALSE)</f>
        <v>0</v>
      </c>
      <c r="AD154" s="125">
        <f>VLOOKUP(C154,'Talente &amp; Stuff'!C:AD,28,FALSE)</f>
        <v>0</v>
      </c>
      <c r="AE154" s="28"/>
    </row>
    <row r="155" spans="2:31" s="148" customFormat="1" hidden="1" outlineLevel="2">
      <c r="B155" s="148">
        <v>3</v>
      </c>
      <c r="C155" s="163" t="s">
        <v>281</v>
      </c>
      <c r="D155" s="86" t="str">
        <f>VLOOKUP(C155,'Talente &amp; Stuff'!C:AD,2,FALSE)</f>
        <v>--/--/--</v>
      </c>
      <c r="E155" s="167" t="str">
        <f>VLOOKUP(C155,'Talente &amp; Stuff'!C:AD,3,FALSE)</f>
        <v>-</v>
      </c>
      <c r="F155" s="120">
        <f>VLOOKUP(C155,'Talente &amp; Stuff'!C:AD,4,FALSE)</f>
        <v>0</v>
      </c>
      <c r="G155" s="117">
        <f>VLOOKUP(C155,'Talente &amp; Stuff'!C:AD,5,FALSE)</f>
        <v>0</v>
      </c>
      <c r="H155" s="117">
        <f>VLOOKUP(C155,'Talente &amp; Stuff'!C:AD,6,FALSE)</f>
        <v>0</v>
      </c>
      <c r="I155" s="117">
        <f>VLOOKUP(C155,'Talente &amp; Stuff'!C:AD,7,FALSE)</f>
        <v>0</v>
      </c>
      <c r="J155" s="117">
        <f>VLOOKUP(C155,'Talente &amp; Stuff'!C:AD,8,FALSE)</f>
        <v>0</v>
      </c>
      <c r="K155" s="117">
        <f>VLOOKUP(C155,'Talente &amp; Stuff'!C:AD,9,FALSE)</f>
        <v>0</v>
      </c>
      <c r="L155" s="117">
        <f>VLOOKUP(C155,'Talente &amp; Stuff'!C:AD,10,FALSE)</f>
        <v>0</v>
      </c>
      <c r="M155" s="121">
        <f>VLOOKUP(C155,'Talente &amp; Stuff'!C:AD,11,FALSE)</f>
        <v>0</v>
      </c>
      <c r="N155" s="47">
        <f>VLOOKUP(C155,'Talente &amp; Stuff'!C:AD,12,FALSE)</f>
        <v>0</v>
      </c>
      <c r="O155" s="3">
        <f>VLOOKUP(C155,'Talente &amp; Stuff'!C:AD,13,FALSE)</f>
        <v>0</v>
      </c>
      <c r="P155" s="174">
        <f>VLOOKUP(C155,'Talente &amp; Stuff'!C:AD,14,FALSE)</f>
        <v>0</v>
      </c>
      <c r="Q155" s="114">
        <f>VLOOKUP(C155,'Talente &amp; Stuff'!C:AD,15,FALSE)</f>
        <v>0</v>
      </c>
      <c r="R155" s="117">
        <f>VLOOKUP(C155,'Talente &amp; Stuff'!C:AD,16,FALSE)</f>
        <v>0</v>
      </c>
      <c r="S155" s="119">
        <f>VLOOKUP(C155,'Talente &amp; Stuff'!C:AD,17,FALSE)</f>
        <v>0</v>
      </c>
      <c r="T155" s="119">
        <f>VLOOKUP(C155,'Talente &amp; Stuff'!C:AD,18,FALSE)</f>
        <v>0</v>
      </c>
      <c r="U155" s="89">
        <f>VLOOKUP(C155,'Talente &amp; Stuff'!C:AD,19,FALSE)</f>
        <v>0</v>
      </c>
      <c r="V155" s="47">
        <f>VLOOKUP(C155,'Talente &amp; Stuff'!C:AD,20,FALSE)</f>
        <v>0</v>
      </c>
      <c r="W155" s="127">
        <f>VLOOKUP(C155,'Talente &amp; Stuff'!C:AD,21,FALSE)</f>
        <v>0</v>
      </c>
      <c r="X155" s="127">
        <f>VLOOKUP(C155,'Talente &amp; Stuff'!C:AD,22,FALSE)</f>
        <v>0</v>
      </c>
      <c r="Y155" s="165">
        <f t="shared" si="16"/>
        <v>0</v>
      </c>
      <c r="Z155" s="198">
        <f t="shared" si="17"/>
        <v>0</v>
      </c>
      <c r="AA155" s="125">
        <f>VLOOKUP(C155,'Talente &amp; Stuff'!C:AD,25,FALSE)</f>
        <v>0</v>
      </c>
      <c r="AB155" s="160">
        <f>VLOOKUP(C155,'Talente &amp; Stuff'!C:AD,26,FALSE)</f>
        <v>0</v>
      </c>
      <c r="AC155" s="127">
        <f>VLOOKUP(C155,'Talente &amp; Stuff'!C:AD,27,FALSE)</f>
        <v>0</v>
      </c>
      <c r="AD155" s="125">
        <f>VLOOKUP(C155,'Talente &amp; Stuff'!C:AD,28,FALSE)</f>
        <v>0</v>
      </c>
      <c r="AE155" s="28"/>
    </row>
    <row r="156" spans="2:31" s="148" customFormat="1" hidden="1" outlineLevel="2">
      <c r="B156" s="148">
        <v>4</v>
      </c>
      <c r="C156" s="163" t="s">
        <v>281</v>
      </c>
      <c r="D156" s="86" t="str">
        <f>VLOOKUP(C156,'Talente &amp; Stuff'!C:AD,2,FALSE)</f>
        <v>--/--/--</v>
      </c>
      <c r="E156" s="167" t="str">
        <f>VLOOKUP(C156,'Talente &amp; Stuff'!C:AD,3,FALSE)</f>
        <v>-</v>
      </c>
      <c r="F156" s="120">
        <f>VLOOKUP(C156,'Talente &amp; Stuff'!C:AD,4,FALSE)</f>
        <v>0</v>
      </c>
      <c r="G156" s="117">
        <f>VLOOKUP(C156,'Talente &amp; Stuff'!C:AD,5,FALSE)</f>
        <v>0</v>
      </c>
      <c r="H156" s="117">
        <f>VLOOKUP(C156,'Talente &amp; Stuff'!C:AD,6,FALSE)</f>
        <v>0</v>
      </c>
      <c r="I156" s="117">
        <f>VLOOKUP(C156,'Talente &amp; Stuff'!C:AD,7,FALSE)</f>
        <v>0</v>
      </c>
      <c r="J156" s="117">
        <f>VLOOKUP(C156,'Talente &amp; Stuff'!C:AD,8,FALSE)</f>
        <v>0</v>
      </c>
      <c r="K156" s="117">
        <f>VLOOKUP(C156,'Talente &amp; Stuff'!C:AD,9,FALSE)</f>
        <v>0</v>
      </c>
      <c r="L156" s="117">
        <f>VLOOKUP(C156,'Talente &amp; Stuff'!C:AD,10,FALSE)</f>
        <v>0</v>
      </c>
      <c r="M156" s="121">
        <f>VLOOKUP(C156,'Talente &amp; Stuff'!C:AD,11,FALSE)</f>
        <v>0</v>
      </c>
      <c r="N156" s="47">
        <f>VLOOKUP(C156,'Talente &amp; Stuff'!C:AD,12,FALSE)</f>
        <v>0</v>
      </c>
      <c r="O156" s="3">
        <f>VLOOKUP(C156,'Talente &amp; Stuff'!C:AD,13,FALSE)</f>
        <v>0</v>
      </c>
      <c r="P156" s="174">
        <f>VLOOKUP(C156,'Talente &amp; Stuff'!C:AD,14,FALSE)</f>
        <v>0</v>
      </c>
      <c r="Q156" s="114">
        <f>VLOOKUP(C156,'Talente &amp; Stuff'!C:AD,15,FALSE)</f>
        <v>0</v>
      </c>
      <c r="R156" s="117">
        <f>VLOOKUP(C156,'Talente &amp; Stuff'!C:AD,16,FALSE)</f>
        <v>0</v>
      </c>
      <c r="S156" s="119">
        <f>VLOOKUP(C156,'Talente &amp; Stuff'!C:AD,17,FALSE)</f>
        <v>0</v>
      </c>
      <c r="T156" s="119">
        <f>VLOOKUP(C156,'Talente &amp; Stuff'!C:AD,18,FALSE)</f>
        <v>0</v>
      </c>
      <c r="U156" s="89">
        <f>VLOOKUP(C156,'Talente &amp; Stuff'!C:AD,19,FALSE)</f>
        <v>0</v>
      </c>
      <c r="V156" s="47">
        <f>VLOOKUP(C156,'Talente &amp; Stuff'!C:AD,20,FALSE)</f>
        <v>0</v>
      </c>
      <c r="W156" s="127">
        <f>VLOOKUP(C156,'Talente &amp; Stuff'!C:AD,21,FALSE)</f>
        <v>0</v>
      </c>
      <c r="X156" s="127">
        <f>VLOOKUP(C156,'Talente &amp; Stuff'!C:AD,22,FALSE)</f>
        <v>0</v>
      </c>
      <c r="Y156" s="165">
        <f t="shared" si="16"/>
        <v>0</v>
      </c>
      <c r="Z156" s="198">
        <f t="shared" si="17"/>
        <v>0</v>
      </c>
      <c r="AA156" s="125">
        <f>VLOOKUP(C156,'Talente &amp; Stuff'!C:AD,25,FALSE)</f>
        <v>0</v>
      </c>
      <c r="AB156" s="160">
        <f>VLOOKUP(C156,'Talente &amp; Stuff'!C:AD,26,FALSE)</f>
        <v>0</v>
      </c>
      <c r="AC156" s="127">
        <f>VLOOKUP(C156,'Talente &amp; Stuff'!C:AD,27,FALSE)</f>
        <v>0</v>
      </c>
      <c r="AD156" s="125">
        <f>VLOOKUP(C156,'Talente &amp; Stuff'!C:AD,28,FALSE)</f>
        <v>0</v>
      </c>
      <c r="AE156" s="28"/>
    </row>
    <row r="157" spans="2:31" s="148" customFormat="1" hidden="1" outlineLevel="2">
      <c r="B157" s="148">
        <v>5</v>
      </c>
      <c r="C157" s="163" t="s">
        <v>281</v>
      </c>
      <c r="D157" s="86" t="str">
        <f>VLOOKUP(C157,'Talente &amp; Stuff'!C:AD,2,FALSE)</f>
        <v>--/--/--</v>
      </c>
      <c r="E157" s="167" t="str">
        <f>VLOOKUP(C157,'Talente &amp; Stuff'!C:AD,3,FALSE)</f>
        <v>-</v>
      </c>
      <c r="F157" s="120">
        <f>VLOOKUP(C157,'Talente &amp; Stuff'!C:AD,4,FALSE)</f>
        <v>0</v>
      </c>
      <c r="G157" s="117">
        <f>VLOOKUP(C157,'Talente &amp; Stuff'!C:AD,5,FALSE)</f>
        <v>0</v>
      </c>
      <c r="H157" s="117">
        <f>VLOOKUP(C157,'Talente &amp; Stuff'!C:AD,6,FALSE)</f>
        <v>0</v>
      </c>
      <c r="I157" s="117">
        <f>VLOOKUP(C157,'Talente &amp; Stuff'!C:AD,7,FALSE)</f>
        <v>0</v>
      </c>
      <c r="J157" s="117">
        <f>VLOOKUP(C157,'Talente &amp; Stuff'!C:AD,8,FALSE)</f>
        <v>0</v>
      </c>
      <c r="K157" s="117">
        <f>VLOOKUP(C157,'Talente &amp; Stuff'!C:AD,9,FALSE)</f>
        <v>0</v>
      </c>
      <c r="L157" s="117">
        <f>VLOOKUP(C157,'Talente &amp; Stuff'!C:AD,10,FALSE)</f>
        <v>0</v>
      </c>
      <c r="M157" s="121">
        <f>VLOOKUP(C157,'Talente &amp; Stuff'!C:AD,11,FALSE)</f>
        <v>0</v>
      </c>
      <c r="N157" s="47">
        <f>VLOOKUP(C157,'Talente &amp; Stuff'!C:AD,12,FALSE)</f>
        <v>0</v>
      </c>
      <c r="O157" s="3">
        <f>VLOOKUP(C157,'Talente &amp; Stuff'!C:AD,13,FALSE)</f>
        <v>0</v>
      </c>
      <c r="P157" s="174">
        <f>VLOOKUP(C157,'Talente &amp; Stuff'!C:AD,14,FALSE)</f>
        <v>0</v>
      </c>
      <c r="Q157" s="114">
        <f>VLOOKUP(C157,'Talente &amp; Stuff'!C:AD,15,FALSE)</f>
        <v>0</v>
      </c>
      <c r="R157" s="117">
        <f>VLOOKUP(C157,'Talente &amp; Stuff'!C:AD,16,FALSE)</f>
        <v>0</v>
      </c>
      <c r="S157" s="119">
        <f>VLOOKUP(C157,'Talente &amp; Stuff'!C:AD,17,FALSE)</f>
        <v>0</v>
      </c>
      <c r="T157" s="119">
        <f>VLOOKUP(C157,'Talente &amp; Stuff'!C:AD,18,FALSE)</f>
        <v>0</v>
      </c>
      <c r="U157" s="89">
        <f>VLOOKUP(C157,'Talente &amp; Stuff'!C:AD,19,FALSE)</f>
        <v>0</v>
      </c>
      <c r="V157" s="47">
        <f>VLOOKUP(C157,'Talente &amp; Stuff'!C:AD,20,FALSE)</f>
        <v>0</v>
      </c>
      <c r="W157" s="127">
        <f>VLOOKUP(C157,'Talente &amp; Stuff'!C:AD,21,FALSE)</f>
        <v>0</v>
      </c>
      <c r="X157" s="127">
        <f>VLOOKUP(C157,'Talente &amp; Stuff'!C:AD,22,FALSE)</f>
        <v>0</v>
      </c>
      <c r="Y157" s="165">
        <f t="shared" si="16"/>
        <v>0</v>
      </c>
      <c r="Z157" s="198">
        <f t="shared" si="17"/>
        <v>0</v>
      </c>
      <c r="AA157" s="125">
        <f>VLOOKUP(C157,'Talente &amp; Stuff'!C:AD,25,FALSE)</f>
        <v>0</v>
      </c>
      <c r="AB157" s="160">
        <f>VLOOKUP(C157,'Talente &amp; Stuff'!C:AD,26,FALSE)</f>
        <v>0</v>
      </c>
      <c r="AC157" s="127">
        <f>VLOOKUP(C157,'Talente &amp; Stuff'!C:AD,27,FALSE)</f>
        <v>0</v>
      </c>
      <c r="AD157" s="125">
        <f>VLOOKUP(C157,'Talente &amp; Stuff'!C:AD,28,FALSE)</f>
        <v>0</v>
      </c>
      <c r="AE157" s="28"/>
    </row>
    <row r="158" spans="2:31" s="148" customFormat="1" hidden="1" outlineLevel="2">
      <c r="B158" s="148">
        <v>6</v>
      </c>
      <c r="C158" s="163" t="s">
        <v>281</v>
      </c>
      <c r="D158" s="86" t="str">
        <f>VLOOKUP(C158,'Talente &amp; Stuff'!C:AD,2,FALSE)</f>
        <v>--/--/--</v>
      </c>
      <c r="E158" s="167" t="str">
        <f>VLOOKUP(C158,'Talente &amp; Stuff'!C:AD,3,FALSE)</f>
        <v>-</v>
      </c>
      <c r="F158" s="120">
        <f>VLOOKUP(C158,'Talente &amp; Stuff'!C:AD,4,FALSE)</f>
        <v>0</v>
      </c>
      <c r="G158" s="117">
        <f>VLOOKUP(C158,'Talente &amp; Stuff'!C:AD,5,FALSE)</f>
        <v>0</v>
      </c>
      <c r="H158" s="117">
        <f>VLOOKUP(C158,'Talente &amp; Stuff'!C:AD,6,FALSE)</f>
        <v>0</v>
      </c>
      <c r="I158" s="117">
        <f>VLOOKUP(C158,'Talente &amp; Stuff'!C:AD,7,FALSE)</f>
        <v>0</v>
      </c>
      <c r="J158" s="117">
        <f>VLOOKUP(C158,'Talente &amp; Stuff'!C:AD,8,FALSE)</f>
        <v>0</v>
      </c>
      <c r="K158" s="117">
        <f>VLOOKUP(C158,'Talente &amp; Stuff'!C:AD,9,FALSE)</f>
        <v>0</v>
      </c>
      <c r="L158" s="117">
        <f>VLOOKUP(C158,'Talente &amp; Stuff'!C:AD,10,FALSE)</f>
        <v>0</v>
      </c>
      <c r="M158" s="121">
        <f>VLOOKUP(C158,'Talente &amp; Stuff'!C:AD,11,FALSE)</f>
        <v>0</v>
      </c>
      <c r="N158" s="47">
        <f>VLOOKUP(C158,'Talente &amp; Stuff'!C:AD,12,FALSE)</f>
        <v>0</v>
      </c>
      <c r="O158" s="3">
        <f>VLOOKUP(C158,'Talente &amp; Stuff'!C:AD,13,FALSE)</f>
        <v>0</v>
      </c>
      <c r="P158" s="174">
        <f>VLOOKUP(C158,'Talente &amp; Stuff'!C:AD,14,FALSE)</f>
        <v>0</v>
      </c>
      <c r="Q158" s="114">
        <f>VLOOKUP(C158,'Talente &amp; Stuff'!C:AD,15,FALSE)</f>
        <v>0</v>
      </c>
      <c r="R158" s="117">
        <f>VLOOKUP(C158,'Talente &amp; Stuff'!C:AD,16,FALSE)</f>
        <v>0</v>
      </c>
      <c r="S158" s="119">
        <f>VLOOKUP(C158,'Talente &amp; Stuff'!C:AD,17,FALSE)</f>
        <v>0</v>
      </c>
      <c r="T158" s="119">
        <f>VLOOKUP(C158,'Talente &amp; Stuff'!C:AD,18,FALSE)</f>
        <v>0</v>
      </c>
      <c r="U158" s="89">
        <f>VLOOKUP(C158,'Talente &amp; Stuff'!C:AD,19,FALSE)</f>
        <v>0</v>
      </c>
      <c r="V158" s="47">
        <f>VLOOKUP(C158,'Talente &amp; Stuff'!C:AD,20,FALSE)</f>
        <v>0</v>
      </c>
      <c r="W158" s="127">
        <f>VLOOKUP(C158,'Talente &amp; Stuff'!C:AD,21,FALSE)</f>
        <v>0</v>
      </c>
      <c r="X158" s="127">
        <f>VLOOKUP(C158,'Talente &amp; Stuff'!C:AD,22,FALSE)</f>
        <v>0</v>
      </c>
      <c r="Y158" s="165">
        <f t="shared" si="16"/>
        <v>0</v>
      </c>
      <c r="Z158" s="198">
        <f t="shared" si="17"/>
        <v>0</v>
      </c>
      <c r="AA158" s="125">
        <f>VLOOKUP(C158,'Talente &amp; Stuff'!C:AD,25,FALSE)</f>
        <v>0</v>
      </c>
      <c r="AB158" s="160">
        <f>VLOOKUP(C158,'Talente &amp; Stuff'!C:AD,26,FALSE)</f>
        <v>0</v>
      </c>
      <c r="AC158" s="127">
        <f>VLOOKUP(C158,'Talente &amp; Stuff'!C:AD,27,FALSE)</f>
        <v>0</v>
      </c>
      <c r="AD158" s="125">
        <f>VLOOKUP(C158,'Talente &amp; Stuff'!C:AD,28,FALSE)</f>
        <v>0</v>
      </c>
      <c r="AE158" s="28"/>
    </row>
    <row r="159" spans="2:31" s="148" customFormat="1" hidden="1" outlineLevel="2">
      <c r="B159" s="148">
        <v>7</v>
      </c>
      <c r="C159" s="163" t="s">
        <v>281</v>
      </c>
      <c r="D159" s="86" t="str">
        <f>VLOOKUP(C159,'Talente &amp; Stuff'!C:AD,2,FALSE)</f>
        <v>--/--/--</v>
      </c>
      <c r="E159" s="167" t="str">
        <f>VLOOKUP(C159,'Talente &amp; Stuff'!C:AD,3,FALSE)</f>
        <v>-</v>
      </c>
      <c r="F159" s="120">
        <f>VLOOKUP(C159,'Talente &amp; Stuff'!C:AD,4,FALSE)</f>
        <v>0</v>
      </c>
      <c r="G159" s="117">
        <f>VLOOKUP(C159,'Talente &amp; Stuff'!C:AD,5,FALSE)</f>
        <v>0</v>
      </c>
      <c r="H159" s="117">
        <f>VLOOKUP(C159,'Talente &amp; Stuff'!C:AD,6,FALSE)</f>
        <v>0</v>
      </c>
      <c r="I159" s="117">
        <f>VLOOKUP(C159,'Talente &amp; Stuff'!C:AD,7,FALSE)</f>
        <v>0</v>
      </c>
      <c r="J159" s="117">
        <f>VLOOKUP(C159,'Talente &amp; Stuff'!C:AD,8,FALSE)</f>
        <v>0</v>
      </c>
      <c r="K159" s="117">
        <f>VLOOKUP(C159,'Talente &amp; Stuff'!C:AD,9,FALSE)</f>
        <v>0</v>
      </c>
      <c r="L159" s="117">
        <f>VLOOKUP(C159,'Talente &amp; Stuff'!C:AD,10,FALSE)</f>
        <v>0</v>
      </c>
      <c r="M159" s="121">
        <f>VLOOKUP(C159,'Talente &amp; Stuff'!C:AD,11,FALSE)</f>
        <v>0</v>
      </c>
      <c r="N159" s="47">
        <f>VLOOKUP(C159,'Talente &amp; Stuff'!C:AD,12,FALSE)</f>
        <v>0</v>
      </c>
      <c r="O159" s="3">
        <f>VLOOKUP(C159,'Talente &amp; Stuff'!C:AD,13,FALSE)</f>
        <v>0</v>
      </c>
      <c r="P159" s="174">
        <f>VLOOKUP(C159,'Talente &amp; Stuff'!C:AD,14,FALSE)</f>
        <v>0</v>
      </c>
      <c r="Q159" s="114">
        <f>VLOOKUP(C159,'Talente &amp; Stuff'!C:AD,15,FALSE)</f>
        <v>0</v>
      </c>
      <c r="R159" s="117">
        <f>VLOOKUP(C159,'Talente &amp; Stuff'!C:AD,16,FALSE)</f>
        <v>0</v>
      </c>
      <c r="S159" s="119">
        <f>VLOOKUP(C159,'Talente &amp; Stuff'!C:AD,17,FALSE)</f>
        <v>0</v>
      </c>
      <c r="T159" s="119">
        <f>VLOOKUP(C159,'Talente &amp; Stuff'!C:AD,18,FALSE)</f>
        <v>0</v>
      </c>
      <c r="U159" s="89">
        <f>VLOOKUP(C159,'Talente &amp; Stuff'!C:AD,19,FALSE)</f>
        <v>0</v>
      </c>
      <c r="V159" s="47">
        <f>VLOOKUP(C159,'Talente &amp; Stuff'!C:AD,20,FALSE)</f>
        <v>0</v>
      </c>
      <c r="W159" s="127">
        <f>VLOOKUP(C159,'Talente &amp; Stuff'!C:AD,21,FALSE)</f>
        <v>0</v>
      </c>
      <c r="X159" s="127">
        <f>VLOOKUP(C159,'Talente &amp; Stuff'!C:AD,22,FALSE)</f>
        <v>0</v>
      </c>
      <c r="Y159" s="165">
        <f t="shared" si="16"/>
        <v>0</v>
      </c>
      <c r="Z159" s="198">
        <f t="shared" si="17"/>
        <v>0</v>
      </c>
      <c r="AA159" s="125">
        <f>VLOOKUP(C159,'Talente &amp; Stuff'!C:AD,25,FALSE)</f>
        <v>0</v>
      </c>
      <c r="AB159" s="160">
        <f>VLOOKUP(C159,'Talente &amp; Stuff'!C:AD,26,FALSE)</f>
        <v>0</v>
      </c>
      <c r="AC159" s="127">
        <f>VLOOKUP(C159,'Talente &amp; Stuff'!C:AD,27,FALSE)</f>
        <v>0</v>
      </c>
      <c r="AD159" s="125">
        <f>VLOOKUP(C159,'Talente &amp; Stuff'!C:AD,28,FALSE)</f>
        <v>0</v>
      </c>
      <c r="AE159" s="28"/>
    </row>
    <row r="160" spans="2:31" s="148" customFormat="1" hidden="1" outlineLevel="2">
      <c r="B160" s="148">
        <v>8</v>
      </c>
      <c r="C160" s="163" t="s">
        <v>281</v>
      </c>
      <c r="D160" s="86" t="str">
        <f>VLOOKUP(C160,'Talente &amp; Stuff'!C:AD,2,FALSE)</f>
        <v>--/--/--</v>
      </c>
      <c r="E160" s="167" t="str">
        <f>VLOOKUP(C160,'Talente &amp; Stuff'!C:AD,3,FALSE)</f>
        <v>-</v>
      </c>
      <c r="F160" s="120">
        <f>VLOOKUP(C160,'Talente &amp; Stuff'!C:AD,4,FALSE)</f>
        <v>0</v>
      </c>
      <c r="G160" s="117">
        <f>VLOOKUP(C160,'Talente &amp; Stuff'!C:AD,5,FALSE)</f>
        <v>0</v>
      </c>
      <c r="H160" s="117">
        <f>VLOOKUP(C160,'Talente &amp; Stuff'!C:AD,6,FALSE)</f>
        <v>0</v>
      </c>
      <c r="I160" s="117">
        <f>VLOOKUP(C160,'Talente &amp; Stuff'!C:AD,7,FALSE)</f>
        <v>0</v>
      </c>
      <c r="J160" s="117">
        <f>VLOOKUP(C160,'Talente &amp; Stuff'!C:AD,8,FALSE)</f>
        <v>0</v>
      </c>
      <c r="K160" s="117">
        <f>VLOOKUP(C160,'Talente &amp; Stuff'!C:AD,9,FALSE)</f>
        <v>0</v>
      </c>
      <c r="L160" s="117">
        <f>VLOOKUP(C160,'Talente &amp; Stuff'!C:AD,10,FALSE)</f>
        <v>0</v>
      </c>
      <c r="M160" s="121">
        <f>VLOOKUP(C160,'Talente &amp; Stuff'!C:AD,11,FALSE)</f>
        <v>0</v>
      </c>
      <c r="N160" s="47">
        <f>VLOOKUP(C160,'Talente &amp; Stuff'!C:AD,12,FALSE)</f>
        <v>0</v>
      </c>
      <c r="O160" s="3">
        <f>VLOOKUP(C160,'Talente &amp; Stuff'!C:AD,13,FALSE)</f>
        <v>0</v>
      </c>
      <c r="P160" s="174">
        <f>VLOOKUP(C160,'Talente &amp; Stuff'!C:AD,14,FALSE)</f>
        <v>0</v>
      </c>
      <c r="Q160" s="114">
        <f>VLOOKUP(C160,'Talente &amp; Stuff'!C:AD,15,FALSE)</f>
        <v>0</v>
      </c>
      <c r="R160" s="117">
        <f>VLOOKUP(C160,'Talente &amp; Stuff'!C:AD,16,FALSE)</f>
        <v>0</v>
      </c>
      <c r="S160" s="119">
        <f>VLOOKUP(C160,'Talente &amp; Stuff'!C:AD,17,FALSE)</f>
        <v>0</v>
      </c>
      <c r="T160" s="119">
        <f>VLOOKUP(C160,'Talente &amp; Stuff'!C:AD,18,FALSE)</f>
        <v>0</v>
      </c>
      <c r="U160" s="89">
        <f>VLOOKUP(C160,'Talente &amp; Stuff'!C:AD,19,FALSE)</f>
        <v>0</v>
      </c>
      <c r="V160" s="47">
        <f>VLOOKUP(C160,'Talente &amp; Stuff'!C:AD,20,FALSE)</f>
        <v>0</v>
      </c>
      <c r="W160" s="127">
        <f>VLOOKUP(C160,'Talente &amp; Stuff'!C:AD,21,FALSE)</f>
        <v>0</v>
      </c>
      <c r="X160" s="127">
        <f>VLOOKUP(C160,'Talente &amp; Stuff'!C:AD,22,FALSE)</f>
        <v>0</v>
      </c>
      <c r="Y160" s="165">
        <f t="shared" si="16"/>
        <v>0</v>
      </c>
      <c r="Z160" s="198">
        <f t="shared" si="17"/>
        <v>0</v>
      </c>
      <c r="AA160" s="125">
        <f>VLOOKUP(C160,'Talente &amp; Stuff'!C:AD,25,FALSE)</f>
        <v>0</v>
      </c>
      <c r="AB160" s="160">
        <f>VLOOKUP(C160,'Talente &amp; Stuff'!C:AD,26,FALSE)</f>
        <v>0</v>
      </c>
      <c r="AC160" s="127">
        <f>VLOOKUP(C160,'Talente &amp; Stuff'!C:AD,27,FALSE)</f>
        <v>0</v>
      </c>
      <c r="AD160" s="125">
        <f>VLOOKUP(C160,'Talente &amp; Stuff'!C:AD,28,FALSE)</f>
        <v>0</v>
      </c>
      <c r="AE160" s="28"/>
    </row>
    <row r="161" spans="2:31" s="148" customFormat="1" hidden="1" outlineLevel="2">
      <c r="B161" s="148">
        <v>9</v>
      </c>
      <c r="C161" s="163" t="s">
        <v>281</v>
      </c>
      <c r="D161" s="86" t="str">
        <f>VLOOKUP(C161,'Talente &amp; Stuff'!C:AD,2,FALSE)</f>
        <v>--/--/--</v>
      </c>
      <c r="E161" s="167" t="str">
        <f>VLOOKUP(C161,'Talente &amp; Stuff'!C:AD,3,FALSE)</f>
        <v>-</v>
      </c>
      <c r="F161" s="120">
        <f>VLOOKUP(C161,'Talente &amp; Stuff'!C:AD,4,FALSE)</f>
        <v>0</v>
      </c>
      <c r="G161" s="117">
        <f>VLOOKUP(C161,'Talente &amp; Stuff'!C:AD,5,FALSE)</f>
        <v>0</v>
      </c>
      <c r="H161" s="117">
        <f>VLOOKUP(C161,'Talente &amp; Stuff'!C:AD,6,FALSE)</f>
        <v>0</v>
      </c>
      <c r="I161" s="117">
        <f>VLOOKUP(C161,'Talente &amp; Stuff'!C:AD,7,FALSE)</f>
        <v>0</v>
      </c>
      <c r="J161" s="117">
        <f>VLOOKUP(C161,'Talente &amp; Stuff'!C:AD,8,FALSE)</f>
        <v>0</v>
      </c>
      <c r="K161" s="117">
        <f>VLOOKUP(C161,'Talente &amp; Stuff'!C:AD,9,FALSE)</f>
        <v>0</v>
      </c>
      <c r="L161" s="117">
        <f>VLOOKUP(C161,'Talente &amp; Stuff'!C:AD,10,FALSE)</f>
        <v>0</v>
      </c>
      <c r="M161" s="121">
        <f>VLOOKUP(C161,'Talente &amp; Stuff'!C:AD,11,FALSE)</f>
        <v>0</v>
      </c>
      <c r="N161" s="47">
        <f>VLOOKUP(C161,'Talente &amp; Stuff'!C:AD,12,FALSE)</f>
        <v>0</v>
      </c>
      <c r="O161" s="3">
        <f>VLOOKUP(C161,'Talente &amp; Stuff'!C:AD,13,FALSE)</f>
        <v>0</v>
      </c>
      <c r="P161" s="174">
        <f>VLOOKUP(C161,'Talente &amp; Stuff'!C:AD,14,FALSE)</f>
        <v>0</v>
      </c>
      <c r="Q161" s="114">
        <f>VLOOKUP(C161,'Talente &amp; Stuff'!C:AD,15,FALSE)</f>
        <v>0</v>
      </c>
      <c r="R161" s="117">
        <f>VLOOKUP(C161,'Talente &amp; Stuff'!C:AD,16,FALSE)</f>
        <v>0</v>
      </c>
      <c r="S161" s="119">
        <f>VLOOKUP(C161,'Talente &amp; Stuff'!C:AD,17,FALSE)</f>
        <v>0</v>
      </c>
      <c r="T161" s="119">
        <f>VLOOKUP(C161,'Talente &amp; Stuff'!C:AD,18,FALSE)</f>
        <v>0</v>
      </c>
      <c r="U161" s="89">
        <f>VLOOKUP(C161,'Talente &amp; Stuff'!C:AD,19,FALSE)</f>
        <v>0</v>
      </c>
      <c r="V161" s="47">
        <f>VLOOKUP(C161,'Talente &amp; Stuff'!C:AD,20,FALSE)</f>
        <v>0</v>
      </c>
      <c r="W161" s="127">
        <f>VLOOKUP(C161,'Talente &amp; Stuff'!C:AD,21,FALSE)</f>
        <v>0</v>
      </c>
      <c r="X161" s="127">
        <f>VLOOKUP(C161,'Talente &amp; Stuff'!C:AD,22,FALSE)</f>
        <v>0</v>
      </c>
      <c r="Y161" s="165">
        <f t="shared" si="16"/>
        <v>0</v>
      </c>
      <c r="Z161" s="198">
        <f t="shared" si="17"/>
        <v>0</v>
      </c>
      <c r="AA161" s="125">
        <f>VLOOKUP(C161,'Talente &amp; Stuff'!C:AD,25,FALSE)</f>
        <v>0</v>
      </c>
      <c r="AB161" s="160">
        <f>VLOOKUP(C161,'Talente &amp; Stuff'!C:AD,26,FALSE)</f>
        <v>0</v>
      </c>
      <c r="AC161" s="127">
        <f>VLOOKUP(C161,'Talente &amp; Stuff'!C:AD,27,FALSE)</f>
        <v>0</v>
      </c>
      <c r="AD161" s="125">
        <f>VLOOKUP(C161,'Talente &amp; Stuff'!C:AD,28,FALSE)</f>
        <v>0</v>
      </c>
      <c r="AE161" s="28"/>
    </row>
    <row r="162" spans="2:31" s="148" customFormat="1" hidden="1" outlineLevel="2">
      <c r="B162" s="148">
        <v>10</v>
      </c>
      <c r="C162" s="163" t="s">
        <v>281</v>
      </c>
      <c r="D162" s="86" t="str">
        <f>VLOOKUP(C162,'Talente &amp; Stuff'!C:AD,2,FALSE)</f>
        <v>--/--/--</v>
      </c>
      <c r="E162" s="167" t="str">
        <f>VLOOKUP(C162,'Talente &amp; Stuff'!C:AD,3,FALSE)</f>
        <v>-</v>
      </c>
      <c r="F162" s="120">
        <f>VLOOKUP(C162,'Talente &amp; Stuff'!C:AD,4,FALSE)</f>
        <v>0</v>
      </c>
      <c r="G162" s="117">
        <f>VLOOKUP(C162,'Talente &amp; Stuff'!C:AD,5,FALSE)</f>
        <v>0</v>
      </c>
      <c r="H162" s="117">
        <f>VLOOKUP(C162,'Talente &amp; Stuff'!C:AD,6,FALSE)</f>
        <v>0</v>
      </c>
      <c r="I162" s="117">
        <f>VLOOKUP(C162,'Talente &amp; Stuff'!C:AD,7,FALSE)</f>
        <v>0</v>
      </c>
      <c r="J162" s="117">
        <f>VLOOKUP(C162,'Talente &amp; Stuff'!C:AD,8,FALSE)</f>
        <v>0</v>
      </c>
      <c r="K162" s="117">
        <f>VLOOKUP(C162,'Talente &amp; Stuff'!C:AD,9,FALSE)</f>
        <v>0</v>
      </c>
      <c r="L162" s="117">
        <f>VLOOKUP(C162,'Talente &amp; Stuff'!C:AD,10,FALSE)</f>
        <v>0</v>
      </c>
      <c r="M162" s="121">
        <f>VLOOKUP(C162,'Talente &amp; Stuff'!C:AD,11,FALSE)</f>
        <v>0</v>
      </c>
      <c r="N162" s="47">
        <f>VLOOKUP(C162,'Talente &amp; Stuff'!C:AD,12,FALSE)</f>
        <v>0</v>
      </c>
      <c r="O162" s="3">
        <f>VLOOKUP(C162,'Talente &amp; Stuff'!C:AD,13,FALSE)</f>
        <v>0</v>
      </c>
      <c r="P162" s="174">
        <f>VLOOKUP(C162,'Talente &amp; Stuff'!C:AD,14,FALSE)</f>
        <v>0</v>
      </c>
      <c r="Q162" s="114">
        <f>VLOOKUP(C162,'Talente &amp; Stuff'!C:AD,15,FALSE)</f>
        <v>0</v>
      </c>
      <c r="R162" s="117">
        <f>VLOOKUP(C162,'Talente &amp; Stuff'!C:AD,16,FALSE)</f>
        <v>0</v>
      </c>
      <c r="S162" s="119">
        <f>VLOOKUP(C162,'Talente &amp; Stuff'!C:AD,17,FALSE)</f>
        <v>0</v>
      </c>
      <c r="T162" s="119">
        <f>VLOOKUP(C162,'Talente &amp; Stuff'!C:AD,18,FALSE)</f>
        <v>0</v>
      </c>
      <c r="U162" s="89">
        <f>VLOOKUP(C162,'Talente &amp; Stuff'!C:AD,19,FALSE)</f>
        <v>0</v>
      </c>
      <c r="V162" s="47">
        <f>VLOOKUP(C162,'Talente &amp; Stuff'!C:AD,20,FALSE)</f>
        <v>0</v>
      </c>
      <c r="W162" s="127">
        <f>VLOOKUP(C162,'Talente &amp; Stuff'!C:AD,21,FALSE)</f>
        <v>0</v>
      </c>
      <c r="X162" s="127">
        <f>VLOOKUP(C162,'Talente &amp; Stuff'!C:AD,22,FALSE)</f>
        <v>0</v>
      </c>
      <c r="Y162" s="165">
        <f t="shared" si="16"/>
        <v>0</v>
      </c>
      <c r="Z162" s="198">
        <f t="shared" si="17"/>
        <v>0</v>
      </c>
      <c r="AA162" s="125">
        <f>VLOOKUP(C162,'Talente &amp; Stuff'!C:AD,25,FALSE)</f>
        <v>0</v>
      </c>
      <c r="AB162" s="160">
        <f>VLOOKUP(C162,'Talente &amp; Stuff'!C:AD,26,FALSE)</f>
        <v>0</v>
      </c>
      <c r="AC162" s="127">
        <f>VLOOKUP(C162,'Talente &amp; Stuff'!C:AD,27,FALSE)</f>
        <v>0</v>
      </c>
      <c r="AD162" s="125">
        <f>VLOOKUP(C162,'Talente &amp; Stuff'!C:AD,28,FALSE)</f>
        <v>0</v>
      </c>
      <c r="AE162" s="28"/>
    </row>
    <row r="163" spans="2:31" s="148" customFormat="1" hidden="1" outlineLevel="2">
      <c r="B163" s="148">
        <v>11</v>
      </c>
      <c r="C163" s="163" t="s">
        <v>281</v>
      </c>
      <c r="D163" s="86" t="str">
        <f>VLOOKUP(C163,'Talente &amp; Stuff'!C:AD,2,FALSE)</f>
        <v>--/--/--</v>
      </c>
      <c r="E163" s="167" t="str">
        <f>VLOOKUP(C163,'Talente &amp; Stuff'!C:AD,3,FALSE)</f>
        <v>-</v>
      </c>
      <c r="F163" s="120">
        <f>VLOOKUP(C163,'Talente &amp; Stuff'!C:AD,4,FALSE)</f>
        <v>0</v>
      </c>
      <c r="G163" s="117">
        <f>VLOOKUP(C163,'Talente &amp; Stuff'!C:AD,5,FALSE)</f>
        <v>0</v>
      </c>
      <c r="H163" s="117">
        <f>VLOOKUP(C163,'Talente &amp; Stuff'!C:AD,6,FALSE)</f>
        <v>0</v>
      </c>
      <c r="I163" s="117">
        <f>VLOOKUP(C163,'Talente &amp; Stuff'!C:AD,7,FALSE)</f>
        <v>0</v>
      </c>
      <c r="J163" s="117">
        <f>VLOOKUP(C163,'Talente &amp; Stuff'!C:AD,8,FALSE)</f>
        <v>0</v>
      </c>
      <c r="K163" s="117">
        <f>VLOOKUP(C163,'Talente &amp; Stuff'!C:AD,9,FALSE)</f>
        <v>0</v>
      </c>
      <c r="L163" s="117">
        <f>VLOOKUP(C163,'Talente &amp; Stuff'!C:AD,10,FALSE)</f>
        <v>0</v>
      </c>
      <c r="M163" s="121">
        <f>VLOOKUP(C163,'Talente &amp; Stuff'!C:AD,11,FALSE)</f>
        <v>0</v>
      </c>
      <c r="N163" s="47">
        <f>VLOOKUP(C163,'Talente &amp; Stuff'!C:AD,12,FALSE)</f>
        <v>0</v>
      </c>
      <c r="O163" s="3">
        <f>VLOOKUP(C163,'Talente &amp; Stuff'!C:AD,13,FALSE)</f>
        <v>0</v>
      </c>
      <c r="P163" s="174">
        <f>VLOOKUP(C163,'Talente &amp; Stuff'!C:AD,14,FALSE)</f>
        <v>0</v>
      </c>
      <c r="Q163" s="114">
        <f>VLOOKUP(C163,'Talente &amp; Stuff'!C:AD,15,FALSE)</f>
        <v>0</v>
      </c>
      <c r="R163" s="117">
        <f>VLOOKUP(C163,'Talente &amp; Stuff'!C:AD,16,FALSE)</f>
        <v>0</v>
      </c>
      <c r="S163" s="119">
        <f>VLOOKUP(C163,'Talente &amp; Stuff'!C:AD,17,FALSE)</f>
        <v>0</v>
      </c>
      <c r="T163" s="119">
        <f>VLOOKUP(C163,'Talente &amp; Stuff'!C:AD,18,FALSE)</f>
        <v>0</v>
      </c>
      <c r="U163" s="89">
        <f>VLOOKUP(C163,'Talente &amp; Stuff'!C:AD,19,FALSE)</f>
        <v>0</v>
      </c>
      <c r="V163" s="47">
        <f>VLOOKUP(C163,'Talente &amp; Stuff'!C:AD,20,FALSE)</f>
        <v>0</v>
      </c>
      <c r="W163" s="127">
        <f>VLOOKUP(C163,'Talente &amp; Stuff'!C:AD,21,FALSE)</f>
        <v>0</v>
      </c>
      <c r="X163" s="127">
        <f>VLOOKUP(C163,'Talente &amp; Stuff'!C:AD,22,FALSE)</f>
        <v>0</v>
      </c>
      <c r="Y163" s="165">
        <f t="shared" si="16"/>
        <v>0</v>
      </c>
      <c r="Z163" s="198">
        <f t="shared" si="17"/>
        <v>0</v>
      </c>
      <c r="AA163" s="125">
        <f>VLOOKUP(C163,'Talente &amp; Stuff'!C:AD,25,FALSE)</f>
        <v>0</v>
      </c>
      <c r="AB163" s="160">
        <f>VLOOKUP(C163,'Talente &amp; Stuff'!C:AD,26,FALSE)</f>
        <v>0</v>
      </c>
      <c r="AC163" s="127">
        <f>VLOOKUP(C163,'Talente &amp; Stuff'!C:AD,27,FALSE)</f>
        <v>0</v>
      </c>
      <c r="AD163" s="125">
        <f>VLOOKUP(C163,'Talente &amp; Stuff'!C:AD,28,FALSE)</f>
        <v>0</v>
      </c>
      <c r="AE163" s="28"/>
    </row>
    <row r="164" spans="2:31" s="148" customFormat="1" hidden="1" outlineLevel="2">
      <c r="B164" s="148">
        <v>12</v>
      </c>
      <c r="C164" s="163" t="s">
        <v>281</v>
      </c>
      <c r="D164" s="86" t="str">
        <f>VLOOKUP(C164,'Talente &amp; Stuff'!C:AD,2,FALSE)</f>
        <v>--/--/--</v>
      </c>
      <c r="E164" s="167" t="str">
        <f>VLOOKUP(C164,'Talente &amp; Stuff'!C:AD,3,FALSE)</f>
        <v>-</v>
      </c>
      <c r="F164" s="120">
        <f>VLOOKUP(C164,'Talente &amp; Stuff'!C:AD,4,FALSE)</f>
        <v>0</v>
      </c>
      <c r="G164" s="117">
        <f>VLOOKUP(C164,'Talente &amp; Stuff'!C:AD,5,FALSE)</f>
        <v>0</v>
      </c>
      <c r="H164" s="117">
        <f>VLOOKUP(C164,'Talente &amp; Stuff'!C:AD,6,FALSE)</f>
        <v>0</v>
      </c>
      <c r="I164" s="117">
        <f>VLOOKUP(C164,'Talente &amp; Stuff'!C:AD,7,FALSE)</f>
        <v>0</v>
      </c>
      <c r="J164" s="117">
        <f>VLOOKUP(C164,'Talente &amp; Stuff'!C:AD,8,FALSE)</f>
        <v>0</v>
      </c>
      <c r="K164" s="117">
        <f>VLOOKUP(C164,'Talente &amp; Stuff'!C:AD,9,FALSE)</f>
        <v>0</v>
      </c>
      <c r="L164" s="117">
        <f>VLOOKUP(C164,'Talente &amp; Stuff'!C:AD,10,FALSE)</f>
        <v>0</v>
      </c>
      <c r="M164" s="121">
        <f>VLOOKUP(C164,'Talente &amp; Stuff'!C:AD,11,FALSE)</f>
        <v>0</v>
      </c>
      <c r="N164" s="47">
        <f>VLOOKUP(C164,'Talente &amp; Stuff'!C:AD,12,FALSE)</f>
        <v>0</v>
      </c>
      <c r="O164" s="3">
        <f>VLOOKUP(C164,'Talente &amp; Stuff'!C:AD,13,FALSE)</f>
        <v>0</v>
      </c>
      <c r="P164" s="174">
        <f>VLOOKUP(C164,'Talente &amp; Stuff'!C:AD,14,FALSE)</f>
        <v>0</v>
      </c>
      <c r="Q164" s="114">
        <f>VLOOKUP(C164,'Talente &amp; Stuff'!C:AD,15,FALSE)</f>
        <v>0</v>
      </c>
      <c r="R164" s="117">
        <f>VLOOKUP(C164,'Talente &amp; Stuff'!C:AD,16,FALSE)</f>
        <v>0</v>
      </c>
      <c r="S164" s="119">
        <f>VLOOKUP(C164,'Talente &amp; Stuff'!C:AD,17,FALSE)</f>
        <v>0</v>
      </c>
      <c r="T164" s="119">
        <f>VLOOKUP(C164,'Talente &amp; Stuff'!C:AD,18,FALSE)</f>
        <v>0</v>
      </c>
      <c r="U164" s="89">
        <f>VLOOKUP(C164,'Talente &amp; Stuff'!C:AD,19,FALSE)</f>
        <v>0</v>
      </c>
      <c r="V164" s="47">
        <f>VLOOKUP(C164,'Talente &amp; Stuff'!C:AD,20,FALSE)</f>
        <v>0</v>
      </c>
      <c r="W164" s="127">
        <f>VLOOKUP(C164,'Talente &amp; Stuff'!C:AD,21,FALSE)</f>
        <v>0</v>
      </c>
      <c r="X164" s="127">
        <f>VLOOKUP(C164,'Talente &amp; Stuff'!C:AD,22,FALSE)</f>
        <v>0</v>
      </c>
      <c r="Y164" s="165">
        <f t="shared" si="16"/>
        <v>0</v>
      </c>
      <c r="Z164" s="198">
        <f t="shared" si="17"/>
        <v>0</v>
      </c>
      <c r="AA164" s="125">
        <f>VLOOKUP(C164,'Talente &amp; Stuff'!C:AD,25,FALSE)</f>
        <v>0</v>
      </c>
      <c r="AB164" s="160">
        <f>VLOOKUP(C164,'Talente &amp; Stuff'!C:AD,26,FALSE)</f>
        <v>0</v>
      </c>
      <c r="AC164" s="127">
        <f>VLOOKUP(C164,'Talente &amp; Stuff'!C:AD,27,FALSE)</f>
        <v>0</v>
      </c>
      <c r="AD164" s="125">
        <f>VLOOKUP(C164,'Talente &amp; Stuff'!C:AD,28,FALSE)</f>
        <v>0</v>
      </c>
      <c r="AE164" s="28"/>
    </row>
    <row r="165" spans="2:31" s="148" customFormat="1" hidden="1" outlineLevel="2">
      <c r="B165" s="148">
        <v>13</v>
      </c>
      <c r="C165" s="163" t="s">
        <v>281</v>
      </c>
      <c r="D165" s="86" t="str">
        <f>VLOOKUP(C165,'Talente &amp; Stuff'!C:AD,2,FALSE)</f>
        <v>--/--/--</v>
      </c>
      <c r="E165" s="167" t="str">
        <f>VLOOKUP(C165,'Talente &amp; Stuff'!C:AD,3,FALSE)</f>
        <v>-</v>
      </c>
      <c r="F165" s="120">
        <f>VLOOKUP(C165,'Talente &amp; Stuff'!C:AD,4,FALSE)</f>
        <v>0</v>
      </c>
      <c r="G165" s="117">
        <f>VLOOKUP(C165,'Talente &amp; Stuff'!C:AD,5,FALSE)</f>
        <v>0</v>
      </c>
      <c r="H165" s="117">
        <f>VLOOKUP(C165,'Talente &amp; Stuff'!C:AD,6,FALSE)</f>
        <v>0</v>
      </c>
      <c r="I165" s="117">
        <f>VLOOKUP(C165,'Talente &amp; Stuff'!C:AD,7,FALSE)</f>
        <v>0</v>
      </c>
      <c r="J165" s="117">
        <f>VLOOKUP(C165,'Talente &amp; Stuff'!C:AD,8,FALSE)</f>
        <v>0</v>
      </c>
      <c r="K165" s="117">
        <f>VLOOKUP(C165,'Talente &amp; Stuff'!C:AD,9,FALSE)</f>
        <v>0</v>
      </c>
      <c r="L165" s="117">
        <f>VLOOKUP(C165,'Talente &amp; Stuff'!C:AD,10,FALSE)</f>
        <v>0</v>
      </c>
      <c r="M165" s="121">
        <f>VLOOKUP(C165,'Talente &amp; Stuff'!C:AD,11,FALSE)</f>
        <v>0</v>
      </c>
      <c r="N165" s="47">
        <f>VLOOKUP(C165,'Talente &amp; Stuff'!C:AD,12,FALSE)</f>
        <v>0</v>
      </c>
      <c r="O165" s="3">
        <f>VLOOKUP(C165,'Talente &amp; Stuff'!C:AD,13,FALSE)</f>
        <v>0</v>
      </c>
      <c r="P165" s="174">
        <f>VLOOKUP(C165,'Talente &amp; Stuff'!C:AD,14,FALSE)</f>
        <v>0</v>
      </c>
      <c r="Q165" s="114">
        <f>VLOOKUP(C165,'Talente &amp; Stuff'!C:AD,15,FALSE)</f>
        <v>0</v>
      </c>
      <c r="R165" s="117">
        <f>VLOOKUP(C165,'Talente &amp; Stuff'!C:AD,16,FALSE)</f>
        <v>0</v>
      </c>
      <c r="S165" s="119">
        <f>VLOOKUP(C165,'Talente &amp; Stuff'!C:AD,17,FALSE)</f>
        <v>0</v>
      </c>
      <c r="T165" s="119">
        <f>VLOOKUP(C165,'Talente &amp; Stuff'!C:AD,18,FALSE)</f>
        <v>0</v>
      </c>
      <c r="U165" s="89">
        <f>VLOOKUP(C165,'Talente &amp; Stuff'!C:AD,19,FALSE)</f>
        <v>0</v>
      </c>
      <c r="V165" s="47">
        <f>VLOOKUP(C165,'Talente &amp; Stuff'!C:AD,20,FALSE)</f>
        <v>0</v>
      </c>
      <c r="W165" s="127">
        <f>VLOOKUP(C165,'Talente &amp; Stuff'!C:AD,21,FALSE)</f>
        <v>0</v>
      </c>
      <c r="X165" s="127">
        <f>VLOOKUP(C165,'Talente &amp; Stuff'!C:AD,22,FALSE)</f>
        <v>0</v>
      </c>
      <c r="Y165" s="165">
        <f t="shared" si="16"/>
        <v>0</v>
      </c>
      <c r="Z165" s="198">
        <f t="shared" si="17"/>
        <v>0</v>
      </c>
      <c r="AA165" s="125">
        <f>VLOOKUP(C165,'Talente &amp; Stuff'!C:AD,25,FALSE)</f>
        <v>0</v>
      </c>
      <c r="AB165" s="160">
        <f>VLOOKUP(C165,'Talente &amp; Stuff'!C:AD,26,FALSE)</f>
        <v>0</v>
      </c>
      <c r="AC165" s="127">
        <f>VLOOKUP(C165,'Talente &amp; Stuff'!C:AD,27,FALSE)</f>
        <v>0</v>
      </c>
      <c r="AD165" s="125">
        <f>VLOOKUP(C165,'Talente &amp; Stuff'!C:AD,28,FALSE)</f>
        <v>0</v>
      </c>
      <c r="AE165" s="28"/>
    </row>
    <row r="166" spans="2:31" s="148" customFormat="1" hidden="1" outlineLevel="2">
      <c r="B166" s="148">
        <v>14</v>
      </c>
      <c r="C166" s="163" t="s">
        <v>281</v>
      </c>
      <c r="D166" s="86" t="str">
        <f>VLOOKUP(C166,'Talente &amp; Stuff'!C:AD,2,FALSE)</f>
        <v>--/--/--</v>
      </c>
      <c r="E166" s="167" t="str">
        <f>VLOOKUP(C166,'Talente &amp; Stuff'!C:AD,3,FALSE)</f>
        <v>-</v>
      </c>
      <c r="F166" s="120">
        <f>VLOOKUP(C166,'Talente &amp; Stuff'!C:AD,4,FALSE)</f>
        <v>0</v>
      </c>
      <c r="G166" s="117">
        <f>VLOOKUP(C166,'Talente &amp; Stuff'!C:AD,5,FALSE)</f>
        <v>0</v>
      </c>
      <c r="H166" s="117">
        <f>VLOOKUP(C166,'Talente &amp; Stuff'!C:AD,6,FALSE)</f>
        <v>0</v>
      </c>
      <c r="I166" s="117">
        <f>VLOOKUP(C166,'Talente &amp; Stuff'!C:AD,7,FALSE)</f>
        <v>0</v>
      </c>
      <c r="J166" s="117">
        <f>VLOOKUP(C166,'Talente &amp; Stuff'!C:AD,8,FALSE)</f>
        <v>0</v>
      </c>
      <c r="K166" s="117">
        <f>VLOOKUP(C166,'Talente &amp; Stuff'!C:AD,9,FALSE)</f>
        <v>0</v>
      </c>
      <c r="L166" s="117">
        <f>VLOOKUP(C166,'Talente &amp; Stuff'!C:AD,10,FALSE)</f>
        <v>0</v>
      </c>
      <c r="M166" s="121">
        <f>VLOOKUP(C166,'Talente &amp; Stuff'!C:AD,11,FALSE)</f>
        <v>0</v>
      </c>
      <c r="N166" s="47">
        <f>VLOOKUP(C166,'Talente &amp; Stuff'!C:AD,12,FALSE)</f>
        <v>0</v>
      </c>
      <c r="O166" s="3">
        <f>VLOOKUP(C166,'Talente &amp; Stuff'!C:AD,13,FALSE)</f>
        <v>0</v>
      </c>
      <c r="P166" s="174">
        <f>VLOOKUP(C166,'Talente &amp; Stuff'!C:AD,14,FALSE)</f>
        <v>0</v>
      </c>
      <c r="Q166" s="114">
        <f>VLOOKUP(C166,'Talente &amp; Stuff'!C:AD,15,FALSE)</f>
        <v>0</v>
      </c>
      <c r="R166" s="117">
        <f>VLOOKUP(C166,'Talente &amp; Stuff'!C:AD,16,FALSE)</f>
        <v>0</v>
      </c>
      <c r="S166" s="119">
        <f>VLOOKUP(C166,'Talente &amp; Stuff'!C:AD,17,FALSE)</f>
        <v>0</v>
      </c>
      <c r="T166" s="119">
        <f>VLOOKUP(C166,'Talente &amp; Stuff'!C:AD,18,FALSE)</f>
        <v>0</v>
      </c>
      <c r="U166" s="89">
        <f>VLOOKUP(C166,'Talente &amp; Stuff'!C:AD,19,FALSE)</f>
        <v>0</v>
      </c>
      <c r="V166" s="47">
        <f>VLOOKUP(C166,'Talente &amp; Stuff'!C:AD,20,FALSE)</f>
        <v>0</v>
      </c>
      <c r="W166" s="127">
        <f>VLOOKUP(C166,'Talente &amp; Stuff'!C:AD,21,FALSE)</f>
        <v>0</v>
      </c>
      <c r="X166" s="127">
        <f>VLOOKUP(C166,'Talente &amp; Stuff'!C:AD,22,FALSE)</f>
        <v>0</v>
      </c>
      <c r="Y166" s="165">
        <f t="shared" si="16"/>
        <v>0</v>
      </c>
      <c r="Z166" s="198">
        <f t="shared" si="17"/>
        <v>0</v>
      </c>
      <c r="AA166" s="125">
        <f>VLOOKUP(C166,'Talente &amp; Stuff'!C:AD,25,FALSE)</f>
        <v>0</v>
      </c>
      <c r="AB166" s="160">
        <f>VLOOKUP(C166,'Talente &amp; Stuff'!C:AD,26,FALSE)</f>
        <v>0</v>
      </c>
      <c r="AC166" s="127">
        <f>VLOOKUP(C166,'Talente &amp; Stuff'!C:AD,27,FALSE)</f>
        <v>0</v>
      </c>
      <c r="AD166" s="125">
        <f>VLOOKUP(C166,'Talente &amp; Stuff'!C:AD,28,FALSE)</f>
        <v>0</v>
      </c>
      <c r="AE166" s="28"/>
    </row>
    <row r="167" spans="2:31" s="148" customFormat="1" hidden="1" outlineLevel="2">
      <c r="B167" s="148">
        <v>15</v>
      </c>
      <c r="C167" s="163" t="s">
        <v>281</v>
      </c>
      <c r="D167" s="86" t="str">
        <f>VLOOKUP(C167,'Talente &amp; Stuff'!C:AD,2,FALSE)</f>
        <v>--/--/--</v>
      </c>
      <c r="E167" s="167" t="str">
        <f>VLOOKUP(C167,'Talente &amp; Stuff'!C:AD,3,FALSE)</f>
        <v>-</v>
      </c>
      <c r="F167" s="120">
        <f>VLOOKUP(C167,'Talente &amp; Stuff'!C:AD,4,FALSE)</f>
        <v>0</v>
      </c>
      <c r="G167" s="117">
        <f>VLOOKUP(C167,'Talente &amp; Stuff'!C:AD,5,FALSE)</f>
        <v>0</v>
      </c>
      <c r="H167" s="117">
        <f>VLOOKUP(C167,'Talente &amp; Stuff'!C:AD,6,FALSE)</f>
        <v>0</v>
      </c>
      <c r="I167" s="117">
        <f>VLOOKUP(C167,'Talente &amp; Stuff'!C:AD,7,FALSE)</f>
        <v>0</v>
      </c>
      <c r="J167" s="117">
        <f>VLOOKUP(C167,'Talente &amp; Stuff'!C:AD,8,FALSE)</f>
        <v>0</v>
      </c>
      <c r="K167" s="117">
        <f>VLOOKUP(C167,'Talente &amp; Stuff'!C:AD,9,FALSE)</f>
        <v>0</v>
      </c>
      <c r="L167" s="117">
        <f>VLOOKUP(C167,'Talente &amp; Stuff'!C:AD,10,FALSE)</f>
        <v>0</v>
      </c>
      <c r="M167" s="121">
        <f>VLOOKUP(C167,'Talente &amp; Stuff'!C:AD,11,FALSE)</f>
        <v>0</v>
      </c>
      <c r="N167" s="47">
        <f>VLOOKUP(C167,'Talente &amp; Stuff'!C:AD,12,FALSE)</f>
        <v>0</v>
      </c>
      <c r="O167" s="3">
        <f>VLOOKUP(C167,'Talente &amp; Stuff'!C:AD,13,FALSE)</f>
        <v>0</v>
      </c>
      <c r="P167" s="174">
        <f>VLOOKUP(C167,'Talente &amp; Stuff'!C:AD,14,FALSE)</f>
        <v>0</v>
      </c>
      <c r="Q167" s="114">
        <f>VLOOKUP(C167,'Talente &amp; Stuff'!C:AD,15,FALSE)</f>
        <v>0</v>
      </c>
      <c r="R167" s="117">
        <f>VLOOKUP(C167,'Talente &amp; Stuff'!C:AD,16,FALSE)</f>
        <v>0</v>
      </c>
      <c r="S167" s="119">
        <f>VLOOKUP(C167,'Talente &amp; Stuff'!C:AD,17,FALSE)</f>
        <v>0</v>
      </c>
      <c r="T167" s="119">
        <f>VLOOKUP(C167,'Talente &amp; Stuff'!C:AD,18,FALSE)</f>
        <v>0</v>
      </c>
      <c r="U167" s="89">
        <f>VLOOKUP(C167,'Talente &amp; Stuff'!C:AD,19,FALSE)</f>
        <v>0</v>
      </c>
      <c r="V167" s="47">
        <f>VLOOKUP(C167,'Talente &amp; Stuff'!C:AD,20,FALSE)</f>
        <v>0</v>
      </c>
      <c r="W167" s="127">
        <f>VLOOKUP(C167,'Talente &amp; Stuff'!C:AD,21,FALSE)</f>
        <v>0</v>
      </c>
      <c r="X167" s="127">
        <f>VLOOKUP(C167,'Talente &amp; Stuff'!C:AD,22,FALSE)</f>
        <v>0</v>
      </c>
      <c r="Y167" s="165">
        <f t="shared" si="16"/>
        <v>0</v>
      </c>
      <c r="Z167" s="198">
        <f t="shared" si="17"/>
        <v>0</v>
      </c>
      <c r="AA167" s="125">
        <f>VLOOKUP(C167,'Talente &amp; Stuff'!C:AD,25,FALSE)</f>
        <v>0</v>
      </c>
      <c r="AB167" s="160">
        <f>VLOOKUP(C167,'Talente &amp; Stuff'!C:AD,26,FALSE)</f>
        <v>0</v>
      </c>
      <c r="AC167" s="127">
        <f>VLOOKUP(C167,'Talente &amp; Stuff'!C:AD,27,FALSE)</f>
        <v>0</v>
      </c>
      <c r="AD167" s="125">
        <f>VLOOKUP(C167,'Talente &amp; Stuff'!C:AD,28,FALSE)</f>
        <v>0</v>
      </c>
      <c r="AE167" s="28"/>
    </row>
    <row r="168" spans="2:31" s="148" customFormat="1" hidden="1" outlineLevel="2">
      <c r="B168" s="148">
        <v>16</v>
      </c>
      <c r="C168" s="163" t="s">
        <v>281</v>
      </c>
      <c r="D168" s="86" t="str">
        <f>VLOOKUP(C168,'Talente &amp; Stuff'!C:AD,2,FALSE)</f>
        <v>--/--/--</v>
      </c>
      <c r="E168" s="167" t="str">
        <f>VLOOKUP(C168,'Talente &amp; Stuff'!C:AD,3,FALSE)</f>
        <v>-</v>
      </c>
      <c r="F168" s="120">
        <f>VLOOKUP(C168,'Talente &amp; Stuff'!C:AD,4,FALSE)</f>
        <v>0</v>
      </c>
      <c r="G168" s="117">
        <f>VLOOKUP(C168,'Talente &amp; Stuff'!C:AD,5,FALSE)</f>
        <v>0</v>
      </c>
      <c r="H168" s="117">
        <f>VLOOKUP(C168,'Talente &amp; Stuff'!C:AD,6,FALSE)</f>
        <v>0</v>
      </c>
      <c r="I168" s="117">
        <f>VLOOKUP(C168,'Talente &amp; Stuff'!C:AD,7,FALSE)</f>
        <v>0</v>
      </c>
      <c r="J168" s="117">
        <f>VLOOKUP(C168,'Talente &amp; Stuff'!C:AD,8,FALSE)</f>
        <v>0</v>
      </c>
      <c r="K168" s="117">
        <f>VLOOKUP(C168,'Talente &amp; Stuff'!C:AD,9,FALSE)</f>
        <v>0</v>
      </c>
      <c r="L168" s="117">
        <f>VLOOKUP(C168,'Talente &amp; Stuff'!C:AD,10,FALSE)</f>
        <v>0</v>
      </c>
      <c r="M168" s="121">
        <f>VLOOKUP(C168,'Talente &amp; Stuff'!C:AD,11,FALSE)</f>
        <v>0</v>
      </c>
      <c r="N168" s="47">
        <f>VLOOKUP(C168,'Talente &amp; Stuff'!C:AD,12,FALSE)</f>
        <v>0</v>
      </c>
      <c r="O168" s="3">
        <f>VLOOKUP(C168,'Talente &amp; Stuff'!C:AD,13,FALSE)</f>
        <v>0</v>
      </c>
      <c r="P168" s="174">
        <f>VLOOKUP(C168,'Talente &amp; Stuff'!C:AD,14,FALSE)</f>
        <v>0</v>
      </c>
      <c r="Q168" s="114">
        <f>VLOOKUP(C168,'Talente &amp; Stuff'!C:AD,15,FALSE)</f>
        <v>0</v>
      </c>
      <c r="R168" s="117">
        <f>VLOOKUP(C168,'Talente &amp; Stuff'!C:AD,16,FALSE)</f>
        <v>0</v>
      </c>
      <c r="S168" s="119">
        <f>VLOOKUP(C168,'Talente &amp; Stuff'!C:AD,17,FALSE)</f>
        <v>0</v>
      </c>
      <c r="T168" s="119">
        <f>VLOOKUP(C168,'Talente &amp; Stuff'!C:AD,18,FALSE)</f>
        <v>0</v>
      </c>
      <c r="U168" s="89">
        <f>VLOOKUP(C168,'Talente &amp; Stuff'!C:AD,19,FALSE)</f>
        <v>0</v>
      </c>
      <c r="V168" s="47">
        <f>VLOOKUP(C168,'Talente &amp; Stuff'!C:AD,20,FALSE)</f>
        <v>0</v>
      </c>
      <c r="W168" s="127">
        <f>VLOOKUP(C168,'Talente &amp; Stuff'!C:AD,21,FALSE)</f>
        <v>0</v>
      </c>
      <c r="X168" s="127">
        <f>VLOOKUP(C168,'Talente &amp; Stuff'!C:AD,22,FALSE)</f>
        <v>0</v>
      </c>
      <c r="Y168" s="165">
        <f t="shared" si="16"/>
        <v>0</v>
      </c>
      <c r="Z168" s="198">
        <f t="shared" si="17"/>
        <v>0</v>
      </c>
      <c r="AA168" s="125">
        <f>VLOOKUP(C168,'Talente &amp; Stuff'!C:AD,25,FALSE)</f>
        <v>0</v>
      </c>
      <c r="AB168" s="160">
        <f>VLOOKUP(C168,'Talente &amp; Stuff'!C:AD,26,FALSE)</f>
        <v>0</v>
      </c>
      <c r="AC168" s="127">
        <f>VLOOKUP(C168,'Talente &amp; Stuff'!C:AD,27,FALSE)</f>
        <v>0</v>
      </c>
      <c r="AD168" s="125">
        <f>VLOOKUP(C168,'Talente &amp; Stuff'!C:AD,28,FALSE)</f>
        <v>0</v>
      </c>
      <c r="AE168" s="28"/>
    </row>
    <row r="169" spans="2:31" s="148" customFormat="1" hidden="1" outlineLevel="2">
      <c r="B169" s="148">
        <v>17</v>
      </c>
      <c r="C169" s="163" t="s">
        <v>281</v>
      </c>
      <c r="D169" s="86" t="str">
        <f>VLOOKUP(C169,'Talente &amp; Stuff'!C:AD,2,FALSE)</f>
        <v>--/--/--</v>
      </c>
      <c r="E169" s="167" t="str">
        <f>VLOOKUP(C169,'Talente &amp; Stuff'!C:AD,3,FALSE)</f>
        <v>-</v>
      </c>
      <c r="F169" s="120">
        <f>VLOOKUP(C169,'Talente &amp; Stuff'!C:AD,4,FALSE)</f>
        <v>0</v>
      </c>
      <c r="G169" s="117">
        <f>VLOOKUP(C169,'Talente &amp; Stuff'!C:AD,5,FALSE)</f>
        <v>0</v>
      </c>
      <c r="H169" s="117">
        <f>VLOOKUP(C169,'Talente &amp; Stuff'!C:AD,6,FALSE)</f>
        <v>0</v>
      </c>
      <c r="I169" s="117">
        <f>VLOOKUP(C169,'Talente &amp; Stuff'!C:AD,7,FALSE)</f>
        <v>0</v>
      </c>
      <c r="J169" s="117">
        <f>VLOOKUP(C169,'Talente &amp; Stuff'!C:AD,8,FALSE)</f>
        <v>0</v>
      </c>
      <c r="K169" s="117">
        <f>VLOOKUP(C169,'Talente &amp; Stuff'!C:AD,9,FALSE)</f>
        <v>0</v>
      </c>
      <c r="L169" s="117">
        <f>VLOOKUP(C169,'Talente &amp; Stuff'!C:AD,10,FALSE)</f>
        <v>0</v>
      </c>
      <c r="M169" s="121">
        <f>VLOOKUP(C169,'Talente &amp; Stuff'!C:AD,11,FALSE)</f>
        <v>0</v>
      </c>
      <c r="N169" s="47">
        <f>VLOOKUP(C169,'Talente &amp; Stuff'!C:AD,12,FALSE)</f>
        <v>0</v>
      </c>
      <c r="O169" s="3">
        <f>VLOOKUP(C169,'Talente &amp; Stuff'!C:AD,13,FALSE)</f>
        <v>0</v>
      </c>
      <c r="P169" s="174">
        <f>VLOOKUP(C169,'Talente &amp; Stuff'!C:AD,14,FALSE)</f>
        <v>0</v>
      </c>
      <c r="Q169" s="114">
        <f>VLOOKUP(C169,'Talente &amp; Stuff'!C:AD,15,FALSE)</f>
        <v>0</v>
      </c>
      <c r="R169" s="117">
        <f>VLOOKUP(C169,'Talente &amp; Stuff'!C:AD,16,FALSE)</f>
        <v>0</v>
      </c>
      <c r="S169" s="119">
        <f>VLOOKUP(C169,'Talente &amp; Stuff'!C:AD,17,FALSE)</f>
        <v>0</v>
      </c>
      <c r="T169" s="119">
        <f>VLOOKUP(C169,'Talente &amp; Stuff'!C:AD,18,FALSE)</f>
        <v>0</v>
      </c>
      <c r="U169" s="89">
        <f>VLOOKUP(C169,'Talente &amp; Stuff'!C:AD,19,FALSE)</f>
        <v>0</v>
      </c>
      <c r="V169" s="47">
        <f>VLOOKUP(C169,'Talente &amp; Stuff'!C:AD,20,FALSE)</f>
        <v>0</v>
      </c>
      <c r="W169" s="127">
        <f>VLOOKUP(C169,'Talente &amp; Stuff'!C:AD,21,FALSE)</f>
        <v>0</v>
      </c>
      <c r="X169" s="127">
        <f>VLOOKUP(C169,'Talente &amp; Stuff'!C:AD,22,FALSE)</f>
        <v>0</v>
      </c>
      <c r="Y169" s="165">
        <f t="shared" si="16"/>
        <v>0</v>
      </c>
      <c r="Z169" s="198">
        <f t="shared" si="17"/>
        <v>0</v>
      </c>
      <c r="AA169" s="125">
        <f>VLOOKUP(C169,'Talente &amp; Stuff'!C:AD,25,FALSE)</f>
        <v>0</v>
      </c>
      <c r="AB169" s="160">
        <f>VLOOKUP(C169,'Talente &amp; Stuff'!C:AD,26,FALSE)</f>
        <v>0</v>
      </c>
      <c r="AC169" s="127">
        <f>VLOOKUP(C169,'Talente &amp; Stuff'!C:AD,27,FALSE)</f>
        <v>0</v>
      </c>
      <c r="AD169" s="125">
        <f>VLOOKUP(C169,'Talente &amp; Stuff'!C:AD,28,FALSE)</f>
        <v>0</v>
      </c>
      <c r="AE169" s="28"/>
    </row>
    <row r="170" spans="2:31" s="148" customFormat="1" hidden="1" outlineLevel="2">
      <c r="B170" s="148">
        <v>18</v>
      </c>
      <c r="C170" s="163" t="s">
        <v>281</v>
      </c>
      <c r="D170" s="86" t="str">
        <f>VLOOKUP(C170,'Talente &amp; Stuff'!C:AD,2,FALSE)</f>
        <v>--/--/--</v>
      </c>
      <c r="E170" s="167" t="str">
        <f>VLOOKUP(C170,'Talente &amp; Stuff'!C:AD,3,FALSE)</f>
        <v>-</v>
      </c>
      <c r="F170" s="120">
        <f>VLOOKUP(C170,'Talente &amp; Stuff'!C:AD,4,FALSE)</f>
        <v>0</v>
      </c>
      <c r="G170" s="117">
        <f>VLOOKUP(C170,'Talente &amp; Stuff'!C:AD,5,FALSE)</f>
        <v>0</v>
      </c>
      <c r="H170" s="117">
        <f>VLOOKUP(C170,'Talente &amp; Stuff'!C:AD,6,FALSE)</f>
        <v>0</v>
      </c>
      <c r="I170" s="117">
        <f>VLOOKUP(C170,'Talente &amp; Stuff'!C:AD,7,FALSE)</f>
        <v>0</v>
      </c>
      <c r="J170" s="117">
        <f>VLOOKUP(C170,'Talente &amp; Stuff'!C:AD,8,FALSE)</f>
        <v>0</v>
      </c>
      <c r="K170" s="117">
        <f>VLOOKUP(C170,'Talente &amp; Stuff'!C:AD,9,FALSE)</f>
        <v>0</v>
      </c>
      <c r="L170" s="117">
        <f>VLOOKUP(C170,'Talente &amp; Stuff'!C:AD,10,FALSE)</f>
        <v>0</v>
      </c>
      <c r="M170" s="121">
        <f>VLOOKUP(C170,'Talente &amp; Stuff'!C:AD,11,FALSE)</f>
        <v>0</v>
      </c>
      <c r="N170" s="47">
        <f>VLOOKUP(C170,'Talente &amp; Stuff'!C:AD,12,FALSE)</f>
        <v>0</v>
      </c>
      <c r="O170" s="3">
        <f>VLOOKUP(C170,'Talente &amp; Stuff'!C:AD,13,FALSE)</f>
        <v>0</v>
      </c>
      <c r="P170" s="174">
        <f>VLOOKUP(C170,'Talente &amp; Stuff'!C:AD,14,FALSE)</f>
        <v>0</v>
      </c>
      <c r="Q170" s="114">
        <f>VLOOKUP(C170,'Talente &amp; Stuff'!C:AD,15,FALSE)</f>
        <v>0</v>
      </c>
      <c r="R170" s="117">
        <f>VLOOKUP(C170,'Talente &amp; Stuff'!C:AD,16,FALSE)</f>
        <v>0</v>
      </c>
      <c r="S170" s="119">
        <f>VLOOKUP(C170,'Talente &amp; Stuff'!C:AD,17,FALSE)</f>
        <v>0</v>
      </c>
      <c r="T170" s="119">
        <f>VLOOKUP(C170,'Talente &amp; Stuff'!C:AD,18,FALSE)</f>
        <v>0</v>
      </c>
      <c r="U170" s="89">
        <f>VLOOKUP(C170,'Talente &amp; Stuff'!C:AD,19,FALSE)</f>
        <v>0</v>
      </c>
      <c r="V170" s="47">
        <f>VLOOKUP(C170,'Talente &amp; Stuff'!C:AD,20,FALSE)</f>
        <v>0</v>
      </c>
      <c r="W170" s="127">
        <f>VLOOKUP(C170,'Talente &amp; Stuff'!C:AD,21,FALSE)</f>
        <v>0</v>
      </c>
      <c r="X170" s="127">
        <f>VLOOKUP(C170,'Talente &amp; Stuff'!C:AD,22,FALSE)</f>
        <v>0</v>
      </c>
      <c r="Y170" s="165">
        <f t="shared" si="16"/>
        <v>0</v>
      </c>
      <c r="Z170" s="198">
        <f t="shared" si="17"/>
        <v>0</v>
      </c>
      <c r="AA170" s="125">
        <f>VLOOKUP(C170,'Talente &amp; Stuff'!C:AD,25,FALSE)</f>
        <v>0</v>
      </c>
      <c r="AB170" s="160">
        <f>VLOOKUP(C170,'Talente &amp; Stuff'!C:AD,26,FALSE)</f>
        <v>0</v>
      </c>
      <c r="AC170" s="127">
        <f>VLOOKUP(C170,'Talente &amp; Stuff'!C:AD,27,FALSE)</f>
        <v>0</v>
      </c>
      <c r="AD170" s="125">
        <f>VLOOKUP(C170,'Talente &amp; Stuff'!C:AD,28,FALSE)</f>
        <v>0</v>
      </c>
      <c r="AE170" s="28"/>
    </row>
    <row r="171" spans="2:31" s="148" customFormat="1" hidden="1" outlineLevel="2">
      <c r="B171" s="148">
        <v>19</v>
      </c>
      <c r="C171" s="163" t="s">
        <v>281</v>
      </c>
      <c r="D171" s="86" t="str">
        <f>VLOOKUP(C171,'Talente &amp; Stuff'!C:AD,2,FALSE)</f>
        <v>--/--/--</v>
      </c>
      <c r="E171" s="167" t="str">
        <f>VLOOKUP(C171,'Talente &amp; Stuff'!C:AD,3,FALSE)</f>
        <v>-</v>
      </c>
      <c r="F171" s="120">
        <f>VLOOKUP(C171,'Talente &amp; Stuff'!C:AD,4,FALSE)</f>
        <v>0</v>
      </c>
      <c r="G171" s="117">
        <f>VLOOKUP(C171,'Talente &amp; Stuff'!C:AD,5,FALSE)</f>
        <v>0</v>
      </c>
      <c r="H171" s="117">
        <f>VLOOKUP(C171,'Talente &amp; Stuff'!C:AD,6,FALSE)</f>
        <v>0</v>
      </c>
      <c r="I171" s="117">
        <f>VLOOKUP(C171,'Talente &amp; Stuff'!C:AD,7,FALSE)</f>
        <v>0</v>
      </c>
      <c r="J171" s="117">
        <f>VLOOKUP(C171,'Talente &amp; Stuff'!C:AD,8,FALSE)</f>
        <v>0</v>
      </c>
      <c r="K171" s="117">
        <f>VLOOKUP(C171,'Talente &amp; Stuff'!C:AD,9,FALSE)</f>
        <v>0</v>
      </c>
      <c r="L171" s="117">
        <f>VLOOKUP(C171,'Talente &amp; Stuff'!C:AD,10,FALSE)</f>
        <v>0</v>
      </c>
      <c r="M171" s="121">
        <f>VLOOKUP(C171,'Talente &amp; Stuff'!C:AD,11,FALSE)</f>
        <v>0</v>
      </c>
      <c r="N171" s="47">
        <f>VLOOKUP(C171,'Talente &amp; Stuff'!C:AD,12,FALSE)</f>
        <v>0</v>
      </c>
      <c r="O171" s="3">
        <f>VLOOKUP(C171,'Talente &amp; Stuff'!C:AD,13,FALSE)</f>
        <v>0</v>
      </c>
      <c r="P171" s="174">
        <f>VLOOKUP(C171,'Talente &amp; Stuff'!C:AD,14,FALSE)</f>
        <v>0</v>
      </c>
      <c r="Q171" s="114">
        <f>VLOOKUP(C171,'Talente &amp; Stuff'!C:AD,15,FALSE)</f>
        <v>0</v>
      </c>
      <c r="R171" s="117">
        <f>VLOOKUP(C171,'Talente &amp; Stuff'!C:AD,16,FALSE)</f>
        <v>0</v>
      </c>
      <c r="S171" s="119">
        <f>VLOOKUP(C171,'Talente &amp; Stuff'!C:AD,17,FALSE)</f>
        <v>0</v>
      </c>
      <c r="T171" s="119">
        <f>VLOOKUP(C171,'Talente &amp; Stuff'!C:AD,18,FALSE)</f>
        <v>0</v>
      </c>
      <c r="U171" s="89">
        <f>VLOOKUP(C171,'Talente &amp; Stuff'!C:AD,19,FALSE)</f>
        <v>0</v>
      </c>
      <c r="V171" s="47">
        <f>VLOOKUP(C171,'Talente &amp; Stuff'!C:AD,20,FALSE)</f>
        <v>0</v>
      </c>
      <c r="W171" s="127">
        <f>VLOOKUP(C171,'Talente &amp; Stuff'!C:AD,21,FALSE)</f>
        <v>0</v>
      </c>
      <c r="X171" s="127">
        <f>VLOOKUP(C171,'Talente &amp; Stuff'!C:AD,22,FALSE)</f>
        <v>0</v>
      </c>
      <c r="Y171" s="165">
        <f t="shared" si="16"/>
        <v>0</v>
      </c>
      <c r="Z171" s="198">
        <f t="shared" si="17"/>
        <v>0</v>
      </c>
      <c r="AA171" s="125">
        <f>VLOOKUP(C171,'Talente &amp; Stuff'!C:AD,25,FALSE)</f>
        <v>0</v>
      </c>
      <c r="AB171" s="160">
        <f>VLOOKUP(C171,'Talente &amp; Stuff'!C:AD,26,FALSE)</f>
        <v>0</v>
      </c>
      <c r="AC171" s="127">
        <f>VLOOKUP(C171,'Talente &amp; Stuff'!C:AD,27,FALSE)</f>
        <v>0</v>
      </c>
      <c r="AD171" s="125">
        <f>VLOOKUP(C171,'Talente &amp; Stuff'!C:AD,28,FALSE)</f>
        <v>0</v>
      </c>
      <c r="AE171" s="28"/>
    </row>
    <row r="172" spans="2:31" s="148" customFormat="1" hidden="1" outlineLevel="2">
      <c r="B172" s="148">
        <v>20</v>
      </c>
      <c r="C172" s="163" t="s">
        <v>281</v>
      </c>
      <c r="D172" s="86" t="str">
        <f>VLOOKUP(C172,'Talente &amp; Stuff'!C:AD,2,FALSE)</f>
        <v>--/--/--</v>
      </c>
      <c r="E172" s="167" t="str">
        <f>VLOOKUP(C172,'Talente &amp; Stuff'!C:AD,3,FALSE)</f>
        <v>-</v>
      </c>
      <c r="F172" s="120">
        <f>VLOOKUP(C172,'Talente &amp; Stuff'!C:AD,4,FALSE)</f>
        <v>0</v>
      </c>
      <c r="G172" s="117">
        <f>VLOOKUP(C172,'Talente &amp; Stuff'!C:AD,5,FALSE)</f>
        <v>0</v>
      </c>
      <c r="H172" s="117">
        <f>VLOOKUP(C172,'Talente &amp; Stuff'!C:AD,6,FALSE)</f>
        <v>0</v>
      </c>
      <c r="I172" s="117">
        <f>VLOOKUP(C172,'Talente &amp; Stuff'!C:AD,7,FALSE)</f>
        <v>0</v>
      </c>
      <c r="J172" s="117">
        <f>VLOOKUP(C172,'Talente &amp; Stuff'!C:AD,8,FALSE)</f>
        <v>0</v>
      </c>
      <c r="K172" s="117">
        <f>VLOOKUP(C172,'Talente &amp; Stuff'!C:AD,9,FALSE)</f>
        <v>0</v>
      </c>
      <c r="L172" s="117">
        <f>VLOOKUP(C172,'Talente &amp; Stuff'!C:AD,10,FALSE)</f>
        <v>0</v>
      </c>
      <c r="M172" s="121">
        <f>VLOOKUP(C172,'Talente &amp; Stuff'!C:AD,11,FALSE)</f>
        <v>0</v>
      </c>
      <c r="N172" s="47">
        <f>VLOOKUP(C172,'Talente &amp; Stuff'!C:AD,12,FALSE)</f>
        <v>0</v>
      </c>
      <c r="O172" s="3">
        <f>VLOOKUP(C172,'Talente &amp; Stuff'!C:AD,13,FALSE)</f>
        <v>0</v>
      </c>
      <c r="P172" s="174">
        <f>VLOOKUP(C172,'Talente &amp; Stuff'!C:AD,14,FALSE)</f>
        <v>0</v>
      </c>
      <c r="Q172" s="114">
        <f>VLOOKUP(C172,'Talente &amp; Stuff'!C:AD,15,FALSE)</f>
        <v>0</v>
      </c>
      <c r="R172" s="117">
        <f>VLOOKUP(C172,'Talente &amp; Stuff'!C:AD,16,FALSE)</f>
        <v>0</v>
      </c>
      <c r="S172" s="119">
        <f>VLOOKUP(C172,'Talente &amp; Stuff'!C:AD,17,FALSE)</f>
        <v>0</v>
      </c>
      <c r="T172" s="119">
        <f>VLOOKUP(C172,'Talente &amp; Stuff'!C:AD,18,FALSE)</f>
        <v>0</v>
      </c>
      <c r="U172" s="89">
        <f>VLOOKUP(C172,'Talente &amp; Stuff'!C:AD,19,FALSE)</f>
        <v>0</v>
      </c>
      <c r="V172" s="47">
        <f>VLOOKUP(C172,'Talente &amp; Stuff'!C:AD,20,FALSE)</f>
        <v>0</v>
      </c>
      <c r="W172" s="127">
        <f>VLOOKUP(C172,'Talente &amp; Stuff'!C:AD,21,FALSE)</f>
        <v>0</v>
      </c>
      <c r="X172" s="127">
        <f>VLOOKUP(C172,'Talente &amp; Stuff'!C:AD,22,FALSE)</f>
        <v>0</v>
      </c>
      <c r="Y172" s="165">
        <f t="shared" si="16"/>
        <v>0</v>
      </c>
      <c r="Z172" s="198">
        <f t="shared" si="17"/>
        <v>0</v>
      </c>
      <c r="AA172" s="125">
        <f>VLOOKUP(C172,'Talente &amp; Stuff'!C:AD,25,FALSE)</f>
        <v>0</v>
      </c>
      <c r="AB172" s="160">
        <f>VLOOKUP(C172,'Talente &amp; Stuff'!C:AD,26,FALSE)</f>
        <v>0</v>
      </c>
      <c r="AC172" s="127">
        <f>VLOOKUP(C172,'Talente &amp; Stuff'!C:AD,27,FALSE)</f>
        <v>0</v>
      </c>
      <c r="AD172" s="125">
        <f>VLOOKUP(C172,'Talente &amp; Stuff'!C:AD,28,FALSE)</f>
        <v>0</v>
      </c>
      <c r="AE172" s="28"/>
    </row>
    <row r="173" spans="2:31" s="148" customFormat="1" hidden="1" outlineLevel="2">
      <c r="B173" s="148">
        <v>21</v>
      </c>
      <c r="C173" s="163" t="s">
        <v>281</v>
      </c>
      <c r="D173" s="86" t="str">
        <f>VLOOKUP(C173,'Talente &amp; Stuff'!C:AD,2,FALSE)</f>
        <v>--/--/--</v>
      </c>
      <c r="E173" s="167" t="str">
        <f>VLOOKUP(C173,'Talente &amp; Stuff'!C:AD,3,FALSE)</f>
        <v>-</v>
      </c>
      <c r="F173" s="120">
        <f>VLOOKUP(C173,'Talente &amp; Stuff'!C:AD,4,FALSE)</f>
        <v>0</v>
      </c>
      <c r="G173" s="117">
        <f>VLOOKUP(C173,'Talente &amp; Stuff'!C:AD,5,FALSE)</f>
        <v>0</v>
      </c>
      <c r="H173" s="117">
        <f>VLOOKUP(C173,'Talente &amp; Stuff'!C:AD,6,FALSE)</f>
        <v>0</v>
      </c>
      <c r="I173" s="117">
        <f>VLOOKUP(C173,'Talente &amp; Stuff'!C:AD,7,FALSE)</f>
        <v>0</v>
      </c>
      <c r="J173" s="117">
        <f>VLOOKUP(C173,'Talente &amp; Stuff'!C:AD,8,FALSE)</f>
        <v>0</v>
      </c>
      <c r="K173" s="117">
        <f>VLOOKUP(C173,'Talente &amp; Stuff'!C:AD,9,FALSE)</f>
        <v>0</v>
      </c>
      <c r="L173" s="117">
        <f>VLOOKUP(C173,'Talente &amp; Stuff'!C:AD,10,FALSE)</f>
        <v>0</v>
      </c>
      <c r="M173" s="121">
        <f>VLOOKUP(C173,'Talente &amp; Stuff'!C:AD,11,FALSE)</f>
        <v>0</v>
      </c>
      <c r="N173" s="47">
        <f>VLOOKUP(C173,'Talente &amp; Stuff'!C:AD,12,FALSE)</f>
        <v>0</v>
      </c>
      <c r="O173" s="3">
        <f>VLOOKUP(C173,'Talente &amp; Stuff'!C:AD,13,FALSE)</f>
        <v>0</v>
      </c>
      <c r="P173" s="174">
        <f>VLOOKUP(C173,'Talente &amp; Stuff'!C:AD,14,FALSE)</f>
        <v>0</v>
      </c>
      <c r="Q173" s="114">
        <f>VLOOKUP(C173,'Talente &amp; Stuff'!C:AD,15,FALSE)</f>
        <v>0</v>
      </c>
      <c r="R173" s="117">
        <f>VLOOKUP(C173,'Talente &amp; Stuff'!C:AD,16,FALSE)</f>
        <v>0</v>
      </c>
      <c r="S173" s="119">
        <f>VLOOKUP(C173,'Talente &amp; Stuff'!C:AD,17,FALSE)</f>
        <v>0</v>
      </c>
      <c r="T173" s="119">
        <f>VLOOKUP(C173,'Talente &amp; Stuff'!C:AD,18,FALSE)</f>
        <v>0</v>
      </c>
      <c r="U173" s="89">
        <f>VLOOKUP(C173,'Talente &amp; Stuff'!C:AD,19,FALSE)</f>
        <v>0</v>
      </c>
      <c r="V173" s="47">
        <f>VLOOKUP(C173,'Talente &amp; Stuff'!C:AD,20,FALSE)</f>
        <v>0</v>
      </c>
      <c r="W173" s="127">
        <f>VLOOKUP(C173,'Talente &amp; Stuff'!C:AD,21,FALSE)</f>
        <v>0</v>
      </c>
      <c r="X173" s="127">
        <f>VLOOKUP(C173,'Talente &amp; Stuff'!C:AD,22,FALSE)</f>
        <v>0</v>
      </c>
      <c r="Y173" s="165">
        <f t="shared" si="16"/>
        <v>0</v>
      </c>
      <c r="Z173" s="198">
        <f t="shared" si="17"/>
        <v>0</v>
      </c>
      <c r="AA173" s="125">
        <f>VLOOKUP(C173,'Talente &amp; Stuff'!C:AD,25,FALSE)</f>
        <v>0</v>
      </c>
      <c r="AB173" s="160">
        <f>VLOOKUP(C173,'Talente &amp; Stuff'!C:AD,26,FALSE)</f>
        <v>0</v>
      </c>
      <c r="AC173" s="127">
        <f>VLOOKUP(C173,'Talente &amp; Stuff'!C:AD,27,FALSE)</f>
        <v>0</v>
      </c>
      <c r="AD173" s="125">
        <f>VLOOKUP(C173,'Talente &amp; Stuff'!C:AD,28,FALSE)</f>
        <v>0</v>
      </c>
      <c r="AE173" s="28"/>
    </row>
    <row r="174" spans="2:31" s="148" customFormat="1" hidden="1" outlineLevel="2">
      <c r="B174" s="148">
        <v>22</v>
      </c>
      <c r="C174" s="163" t="s">
        <v>281</v>
      </c>
      <c r="D174" s="86" t="str">
        <f>VLOOKUP(C174,'Talente &amp; Stuff'!C:AD,2,FALSE)</f>
        <v>--/--/--</v>
      </c>
      <c r="E174" s="167" t="str">
        <f>VLOOKUP(C174,'Talente &amp; Stuff'!C:AD,3,FALSE)</f>
        <v>-</v>
      </c>
      <c r="F174" s="120">
        <f>VLOOKUP(C174,'Talente &amp; Stuff'!C:AD,4,FALSE)</f>
        <v>0</v>
      </c>
      <c r="G174" s="117">
        <f>VLOOKUP(C174,'Talente &amp; Stuff'!C:AD,5,FALSE)</f>
        <v>0</v>
      </c>
      <c r="H174" s="117">
        <f>VLOOKUP(C174,'Talente &amp; Stuff'!C:AD,6,FALSE)</f>
        <v>0</v>
      </c>
      <c r="I174" s="117">
        <f>VLOOKUP(C174,'Talente &amp; Stuff'!C:AD,7,FALSE)</f>
        <v>0</v>
      </c>
      <c r="J174" s="117">
        <f>VLOOKUP(C174,'Talente &amp; Stuff'!C:AD,8,FALSE)</f>
        <v>0</v>
      </c>
      <c r="K174" s="117">
        <f>VLOOKUP(C174,'Talente &amp; Stuff'!C:AD,9,FALSE)</f>
        <v>0</v>
      </c>
      <c r="L174" s="117">
        <f>VLOOKUP(C174,'Talente &amp; Stuff'!C:AD,10,FALSE)</f>
        <v>0</v>
      </c>
      <c r="M174" s="121">
        <f>VLOOKUP(C174,'Talente &amp; Stuff'!C:AD,11,FALSE)</f>
        <v>0</v>
      </c>
      <c r="N174" s="47">
        <f>VLOOKUP(C174,'Talente &amp; Stuff'!C:AD,12,FALSE)</f>
        <v>0</v>
      </c>
      <c r="O174" s="3">
        <f>VLOOKUP(C174,'Talente &amp; Stuff'!C:AD,13,FALSE)</f>
        <v>0</v>
      </c>
      <c r="P174" s="174">
        <f>VLOOKUP(C174,'Talente &amp; Stuff'!C:AD,14,FALSE)</f>
        <v>0</v>
      </c>
      <c r="Q174" s="114">
        <f>VLOOKUP(C174,'Talente &amp; Stuff'!C:AD,15,FALSE)</f>
        <v>0</v>
      </c>
      <c r="R174" s="117">
        <f>VLOOKUP(C174,'Talente &amp; Stuff'!C:AD,16,FALSE)</f>
        <v>0</v>
      </c>
      <c r="S174" s="119">
        <f>VLOOKUP(C174,'Talente &amp; Stuff'!C:AD,17,FALSE)</f>
        <v>0</v>
      </c>
      <c r="T174" s="119">
        <f>VLOOKUP(C174,'Talente &amp; Stuff'!C:AD,18,FALSE)</f>
        <v>0</v>
      </c>
      <c r="U174" s="89">
        <f>VLOOKUP(C174,'Talente &amp; Stuff'!C:AD,19,FALSE)</f>
        <v>0</v>
      </c>
      <c r="V174" s="47">
        <f>VLOOKUP(C174,'Talente &amp; Stuff'!C:AD,20,FALSE)</f>
        <v>0</v>
      </c>
      <c r="W174" s="127">
        <f>VLOOKUP(C174,'Talente &amp; Stuff'!C:AD,21,FALSE)</f>
        <v>0</v>
      </c>
      <c r="X174" s="127">
        <f>VLOOKUP(C174,'Talente &amp; Stuff'!C:AD,22,FALSE)</f>
        <v>0</v>
      </c>
      <c r="Y174" s="165">
        <f t="shared" si="16"/>
        <v>0</v>
      </c>
      <c r="Z174" s="198">
        <f t="shared" si="17"/>
        <v>0</v>
      </c>
      <c r="AA174" s="125">
        <f>VLOOKUP(C174,'Talente &amp; Stuff'!C:AD,25,FALSE)</f>
        <v>0</v>
      </c>
      <c r="AB174" s="160">
        <f>VLOOKUP(C174,'Talente &amp; Stuff'!C:AD,26,FALSE)</f>
        <v>0</v>
      </c>
      <c r="AC174" s="127">
        <f>VLOOKUP(C174,'Talente &amp; Stuff'!C:AD,27,FALSE)</f>
        <v>0</v>
      </c>
      <c r="AD174" s="125">
        <f>VLOOKUP(C174,'Talente &amp; Stuff'!C:AD,28,FALSE)</f>
        <v>0</v>
      </c>
      <c r="AE174" s="28"/>
    </row>
    <row r="175" spans="2:31" s="148" customFormat="1" hidden="1" outlineLevel="2">
      <c r="B175" s="148">
        <v>23</v>
      </c>
      <c r="C175" s="163" t="s">
        <v>281</v>
      </c>
      <c r="D175" s="86" t="str">
        <f>VLOOKUP(C175,'Talente &amp; Stuff'!C:AD,2,FALSE)</f>
        <v>--/--/--</v>
      </c>
      <c r="E175" s="167" t="str">
        <f>VLOOKUP(C175,'Talente &amp; Stuff'!C:AD,3,FALSE)</f>
        <v>-</v>
      </c>
      <c r="F175" s="120">
        <f>VLOOKUP(C175,'Talente &amp; Stuff'!C:AD,4,FALSE)</f>
        <v>0</v>
      </c>
      <c r="G175" s="117">
        <f>VLOOKUP(C175,'Talente &amp; Stuff'!C:AD,5,FALSE)</f>
        <v>0</v>
      </c>
      <c r="H175" s="117">
        <f>VLOOKUP(C175,'Talente &amp; Stuff'!C:AD,6,FALSE)</f>
        <v>0</v>
      </c>
      <c r="I175" s="117">
        <f>VLOOKUP(C175,'Talente &amp; Stuff'!C:AD,7,FALSE)</f>
        <v>0</v>
      </c>
      <c r="J175" s="117">
        <f>VLOOKUP(C175,'Talente &amp; Stuff'!C:AD,8,FALSE)</f>
        <v>0</v>
      </c>
      <c r="K175" s="117">
        <f>VLOOKUP(C175,'Talente &amp; Stuff'!C:AD,9,FALSE)</f>
        <v>0</v>
      </c>
      <c r="L175" s="117">
        <f>VLOOKUP(C175,'Talente &amp; Stuff'!C:AD,10,FALSE)</f>
        <v>0</v>
      </c>
      <c r="M175" s="121">
        <f>VLOOKUP(C175,'Talente &amp; Stuff'!C:AD,11,FALSE)</f>
        <v>0</v>
      </c>
      <c r="N175" s="47">
        <f>VLOOKUP(C175,'Talente &amp; Stuff'!C:AD,12,FALSE)</f>
        <v>0</v>
      </c>
      <c r="O175" s="3">
        <f>VLOOKUP(C175,'Talente &amp; Stuff'!C:AD,13,FALSE)</f>
        <v>0</v>
      </c>
      <c r="P175" s="174">
        <f>VLOOKUP(C175,'Talente &amp; Stuff'!C:AD,14,FALSE)</f>
        <v>0</v>
      </c>
      <c r="Q175" s="114">
        <f>VLOOKUP(C175,'Talente &amp; Stuff'!C:AD,15,FALSE)</f>
        <v>0</v>
      </c>
      <c r="R175" s="117">
        <f>VLOOKUP(C175,'Talente &amp; Stuff'!C:AD,16,FALSE)</f>
        <v>0</v>
      </c>
      <c r="S175" s="119">
        <f>VLOOKUP(C175,'Talente &amp; Stuff'!C:AD,17,FALSE)</f>
        <v>0</v>
      </c>
      <c r="T175" s="119">
        <f>VLOOKUP(C175,'Talente &amp; Stuff'!C:AD,18,FALSE)</f>
        <v>0</v>
      </c>
      <c r="U175" s="89">
        <f>VLOOKUP(C175,'Talente &amp; Stuff'!C:AD,19,FALSE)</f>
        <v>0</v>
      </c>
      <c r="V175" s="47">
        <f>VLOOKUP(C175,'Talente &amp; Stuff'!C:AD,20,FALSE)</f>
        <v>0</v>
      </c>
      <c r="W175" s="127">
        <f>VLOOKUP(C175,'Talente &amp; Stuff'!C:AD,21,FALSE)</f>
        <v>0</v>
      </c>
      <c r="X175" s="127">
        <f>VLOOKUP(C175,'Talente &amp; Stuff'!C:AD,22,FALSE)</f>
        <v>0</v>
      </c>
      <c r="Y175" s="165">
        <f t="shared" si="16"/>
        <v>0</v>
      </c>
      <c r="Z175" s="198">
        <f t="shared" si="17"/>
        <v>0</v>
      </c>
      <c r="AA175" s="125">
        <f>VLOOKUP(C175,'Talente &amp; Stuff'!C:AD,25,FALSE)</f>
        <v>0</v>
      </c>
      <c r="AB175" s="160">
        <f>VLOOKUP(C175,'Talente &amp; Stuff'!C:AD,26,FALSE)</f>
        <v>0</v>
      </c>
      <c r="AC175" s="127">
        <f>VLOOKUP(C175,'Talente &amp; Stuff'!C:AD,27,FALSE)</f>
        <v>0</v>
      </c>
      <c r="AD175" s="125">
        <f>VLOOKUP(C175,'Talente &amp; Stuff'!C:AD,28,FALSE)</f>
        <v>0</v>
      </c>
      <c r="AE175" s="28"/>
    </row>
    <row r="176" spans="2:31" s="148" customFormat="1" hidden="1" outlineLevel="2">
      <c r="B176" s="148">
        <v>24</v>
      </c>
      <c r="C176" s="163" t="s">
        <v>281</v>
      </c>
      <c r="D176" s="86" t="str">
        <f>VLOOKUP(C176,'Talente &amp; Stuff'!C:AD,2,FALSE)</f>
        <v>--/--/--</v>
      </c>
      <c r="E176" s="167" t="str">
        <f>VLOOKUP(C176,'Talente &amp; Stuff'!C:AD,3,FALSE)</f>
        <v>-</v>
      </c>
      <c r="F176" s="120">
        <f>VLOOKUP(C176,'Talente &amp; Stuff'!C:AD,4,FALSE)</f>
        <v>0</v>
      </c>
      <c r="G176" s="117">
        <f>VLOOKUP(C176,'Talente &amp; Stuff'!C:AD,5,FALSE)</f>
        <v>0</v>
      </c>
      <c r="H176" s="117">
        <f>VLOOKUP(C176,'Talente &amp; Stuff'!C:AD,6,FALSE)</f>
        <v>0</v>
      </c>
      <c r="I176" s="117">
        <f>VLOOKUP(C176,'Talente &amp; Stuff'!C:AD,7,FALSE)</f>
        <v>0</v>
      </c>
      <c r="J176" s="117">
        <f>VLOOKUP(C176,'Talente &amp; Stuff'!C:AD,8,FALSE)</f>
        <v>0</v>
      </c>
      <c r="K176" s="117">
        <f>VLOOKUP(C176,'Talente &amp; Stuff'!C:AD,9,FALSE)</f>
        <v>0</v>
      </c>
      <c r="L176" s="117">
        <f>VLOOKUP(C176,'Talente &amp; Stuff'!C:AD,10,FALSE)</f>
        <v>0</v>
      </c>
      <c r="M176" s="121">
        <f>VLOOKUP(C176,'Talente &amp; Stuff'!C:AD,11,FALSE)</f>
        <v>0</v>
      </c>
      <c r="N176" s="47">
        <f>VLOOKUP(C176,'Talente &amp; Stuff'!C:AD,12,FALSE)</f>
        <v>0</v>
      </c>
      <c r="O176" s="3">
        <f>VLOOKUP(C176,'Talente &amp; Stuff'!C:AD,13,FALSE)</f>
        <v>0</v>
      </c>
      <c r="P176" s="174">
        <f>VLOOKUP(C176,'Talente &amp; Stuff'!C:AD,14,FALSE)</f>
        <v>0</v>
      </c>
      <c r="Q176" s="114">
        <f>VLOOKUP(C176,'Talente &amp; Stuff'!C:AD,15,FALSE)</f>
        <v>0</v>
      </c>
      <c r="R176" s="117">
        <f>VLOOKUP(C176,'Talente &amp; Stuff'!C:AD,16,FALSE)</f>
        <v>0</v>
      </c>
      <c r="S176" s="119">
        <f>VLOOKUP(C176,'Talente &amp; Stuff'!C:AD,17,FALSE)</f>
        <v>0</v>
      </c>
      <c r="T176" s="119">
        <f>VLOOKUP(C176,'Talente &amp; Stuff'!C:AD,18,FALSE)</f>
        <v>0</v>
      </c>
      <c r="U176" s="89">
        <f>VLOOKUP(C176,'Talente &amp; Stuff'!C:AD,19,FALSE)</f>
        <v>0</v>
      </c>
      <c r="V176" s="47">
        <f>VLOOKUP(C176,'Talente &amp; Stuff'!C:AD,20,FALSE)</f>
        <v>0</v>
      </c>
      <c r="W176" s="127">
        <f>VLOOKUP(C176,'Talente &amp; Stuff'!C:AD,21,FALSE)</f>
        <v>0</v>
      </c>
      <c r="X176" s="127">
        <f>VLOOKUP(C176,'Talente &amp; Stuff'!C:AD,22,FALSE)</f>
        <v>0</v>
      </c>
      <c r="Y176" s="165">
        <f t="shared" si="16"/>
        <v>0</v>
      </c>
      <c r="Z176" s="198">
        <f t="shared" si="17"/>
        <v>0</v>
      </c>
      <c r="AA176" s="125">
        <f>VLOOKUP(C176,'Talente &amp; Stuff'!C:AD,25,FALSE)</f>
        <v>0</v>
      </c>
      <c r="AB176" s="160">
        <f>VLOOKUP(C176,'Talente &amp; Stuff'!C:AD,26,FALSE)</f>
        <v>0</v>
      </c>
      <c r="AC176" s="127">
        <f>VLOOKUP(C176,'Talente &amp; Stuff'!C:AD,27,FALSE)</f>
        <v>0</v>
      </c>
      <c r="AD176" s="125">
        <f>VLOOKUP(C176,'Talente &amp; Stuff'!C:AD,28,FALSE)</f>
        <v>0</v>
      </c>
      <c r="AE176" s="28"/>
    </row>
    <row r="177" spans="2:31" s="148" customFormat="1" hidden="1" outlineLevel="2">
      <c r="B177" s="148">
        <v>25</v>
      </c>
      <c r="C177" s="163" t="s">
        <v>281</v>
      </c>
      <c r="D177" s="86" t="str">
        <f>VLOOKUP(C177,'Talente &amp; Stuff'!C:AD,2,FALSE)</f>
        <v>--/--/--</v>
      </c>
      <c r="E177" s="167" t="str">
        <f>VLOOKUP(C177,'Talente &amp; Stuff'!C:AD,3,FALSE)</f>
        <v>-</v>
      </c>
      <c r="F177" s="120">
        <f>VLOOKUP(C177,'Talente &amp; Stuff'!C:AD,4,FALSE)</f>
        <v>0</v>
      </c>
      <c r="G177" s="117">
        <f>VLOOKUP(C177,'Talente &amp; Stuff'!C:AD,5,FALSE)</f>
        <v>0</v>
      </c>
      <c r="H177" s="117">
        <f>VLOOKUP(C177,'Talente &amp; Stuff'!C:AD,6,FALSE)</f>
        <v>0</v>
      </c>
      <c r="I177" s="117">
        <f>VLOOKUP(C177,'Talente &amp; Stuff'!C:AD,7,FALSE)</f>
        <v>0</v>
      </c>
      <c r="J177" s="117">
        <f>VLOOKUP(C177,'Talente &amp; Stuff'!C:AD,8,FALSE)</f>
        <v>0</v>
      </c>
      <c r="K177" s="117">
        <f>VLOOKUP(C177,'Talente &amp; Stuff'!C:AD,9,FALSE)</f>
        <v>0</v>
      </c>
      <c r="L177" s="117">
        <f>VLOOKUP(C177,'Talente &amp; Stuff'!C:AD,10,FALSE)</f>
        <v>0</v>
      </c>
      <c r="M177" s="121">
        <f>VLOOKUP(C177,'Talente &amp; Stuff'!C:AD,11,FALSE)</f>
        <v>0</v>
      </c>
      <c r="N177" s="47">
        <f>VLOOKUP(C177,'Talente &amp; Stuff'!C:AD,12,FALSE)</f>
        <v>0</v>
      </c>
      <c r="O177" s="3">
        <f>VLOOKUP(C177,'Talente &amp; Stuff'!C:AD,13,FALSE)</f>
        <v>0</v>
      </c>
      <c r="P177" s="174">
        <f>VLOOKUP(C177,'Talente &amp; Stuff'!C:AD,14,FALSE)</f>
        <v>0</v>
      </c>
      <c r="Q177" s="114">
        <f>VLOOKUP(C177,'Talente &amp; Stuff'!C:AD,15,FALSE)</f>
        <v>0</v>
      </c>
      <c r="R177" s="117">
        <f>VLOOKUP(C177,'Talente &amp; Stuff'!C:AD,16,FALSE)</f>
        <v>0</v>
      </c>
      <c r="S177" s="119">
        <f>VLOOKUP(C177,'Talente &amp; Stuff'!C:AD,17,FALSE)</f>
        <v>0</v>
      </c>
      <c r="T177" s="119">
        <f>VLOOKUP(C177,'Talente &amp; Stuff'!C:AD,18,FALSE)</f>
        <v>0</v>
      </c>
      <c r="U177" s="89">
        <f>VLOOKUP(C177,'Talente &amp; Stuff'!C:AD,19,FALSE)</f>
        <v>0</v>
      </c>
      <c r="V177" s="47">
        <f>VLOOKUP(C177,'Talente &amp; Stuff'!C:AD,20,FALSE)</f>
        <v>0</v>
      </c>
      <c r="W177" s="127">
        <f>VLOOKUP(C177,'Talente &amp; Stuff'!C:AD,21,FALSE)</f>
        <v>0</v>
      </c>
      <c r="X177" s="127">
        <f>VLOOKUP(C177,'Talente &amp; Stuff'!C:AD,22,FALSE)</f>
        <v>0</v>
      </c>
      <c r="Y177" s="165">
        <f t="shared" si="16"/>
        <v>0</v>
      </c>
      <c r="Z177" s="198">
        <f t="shared" si="17"/>
        <v>0</v>
      </c>
      <c r="AA177" s="125">
        <f>VLOOKUP(C177,'Talente &amp; Stuff'!C:AD,25,FALSE)</f>
        <v>0</v>
      </c>
      <c r="AB177" s="160">
        <f>VLOOKUP(C177,'Talente &amp; Stuff'!C:AD,26,FALSE)</f>
        <v>0</v>
      </c>
      <c r="AC177" s="127">
        <f>VLOOKUP(C177,'Talente &amp; Stuff'!C:AD,27,FALSE)</f>
        <v>0</v>
      </c>
      <c r="AD177" s="125">
        <f>VLOOKUP(C177,'Talente &amp; Stuff'!C:AD,28,FALSE)</f>
        <v>0</v>
      </c>
      <c r="AE177" s="28"/>
    </row>
    <row r="178" spans="2:31" s="148" customFormat="1" hidden="1" outlineLevel="2">
      <c r="B178" s="148">
        <v>26</v>
      </c>
      <c r="C178" s="163" t="s">
        <v>281</v>
      </c>
      <c r="D178" s="86" t="str">
        <f>VLOOKUP(C178,'Talente &amp; Stuff'!C:AD,2,FALSE)</f>
        <v>--/--/--</v>
      </c>
      <c r="E178" s="167" t="str">
        <f>VLOOKUP(C178,'Talente &amp; Stuff'!C:AD,3,FALSE)</f>
        <v>-</v>
      </c>
      <c r="F178" s="120">
        <f>VLOOKUP(C178,'Talente &amp; Stuff'!C:AD,4,FALSE)</f>
        <v>0</v>
      </c>
      <c r="G178" s="117">
        <f>VLOOKUP(C178,'Talente &amp; Stuff'!C:AD,5,FALSE)</f>
        <v>0</v>
      </c>
      <c r="H178" s="117">
        <f>VLOOKUP(C178,'Talente &amp; Stuff'!C:AD,6,FALSE)</f>
        <v>0</v>
      </c>
      <c r="I178" s="117">
        <f>VLOOKUP(C178,'Talente &amp; Stuff'!C:AD,7,FALSE)</f>
        <v>0</v>
      </c>
      <c r="J178" s="117">
        <f>VLOOKUP(C178,'Talente &amp; Stuff'!C:AD,8,FALSE)</f>
        <v>0</v>
      </c>
      <c r="K178" s="117">
        <f>VLOOKUP(C178,'Talente &amp; Stuff'!C:AD,9,FALSE)</f>
        <v>0</v>
      </c>
      <c r="L178" s="117">
        <f>VLOOKUP(C178,'Talente &amp; Stuff'!C:AD,10,FALSE)</f>
        <v>0</v>
      </c>
      <c r="M178" s="121">
        <f>VLOOKUP(C178,'Talente &amp; Stuff'!C:AD,11,FALSE)</f>
        <v>0</v>
      </c>
      <c r="N178" s="47">
        <f>VLOOKUP(C178,'Talente &amp; Stuff'!C:AD,12,FALSE)</f>
        <v>0</v>
      </c>
      <c r="O178" s="3">
        <f>VLOOKUP(C178,'Talente &amp; Stuff'!C:AD,13,FALSE)</f>
        <v>0</v>
      </c>
      <c r="P178" s="174">
        <f>VLOOKUP(C178,'Talente &amp; Stuff'!C:AD,14,FALSE)</f>
        <v>0</v>
      </c>
      <c r="Q178" s="114">
        <f>VLOOKUP(C178,'Talente &amp; Stuff'!C:AD,15,FALSE)</f>
        <v>0</v>
      </c>
      <c r="R178" s="117">
        <f>VLOOKUP(C178,'Talente &amp; Stuff'!C:AD,16,FALSE)</f>
        <v>0</v>
      </c>
      <c r="S178" s="119">
        <f>VLOOKUP(C178,'Talente &amp; Stuff'!C:AD,17,FALSE)</f>
        <v>0</v>
      </c>
      <c r="T178" s="119">
        <f>VLOOKUP(C178,'Talente &amp; Stuff'!C:AD,18,FALSE)</f>
        <v>0</v>
      </c>
      <c r="U178" s="89">
        <f>VLOOKUP(C178,'Talente &amp; Stuff'!C:AD,19,FALSE)</f>
        <v>0</v>
      </c>
      <c r="V178" s="47">
        <f>VLOOKUP(C178,'Talente &amp; Stuff'!C:AD,20,FALSE)</f>
        <v>0</v>
      </c>
      <c r="W178" s="127">
        <f>VLOOKUP(C178,'Talente &amp; Stuff'!C:AD,21,FALSE)</f>
        <v>0</v>
      </c>
      <c r="X178" s="127">
        <f>VLOOKUP(C178,'Talente &amp; Stuff'!C:AD,22,FALSE)</f>
        <v>0</v>
      </c>
      <c r="Y178" s="165">
        <f t="shared" si="16"/>
        <v>0</v>
      </c>
      <c r="Z178" s="198">
        <f t="shared" si="17"/>
        <v>0</v>
      </c>
      <c r="AA178" s="125">
        <f>VLOOKUP(C178,'Talente &amp; Stuff'!C:AD,25,FALSE)</f>
        <v>0</v>
      </c>
      <c r="AB178" s="160">
        <f>VLOOKUP(C178,'Talente &amp; Stuff'!C:AD,26,FALSE)</f>
        <v>0</v>
      </c>
      <c r="AC178" s="127">
        <f>VLOOKUP(C178,'Talente &amp; Stuff'!C:AD,27,FALSE)</f>
        <v>0</v>
      </c>
      <c r="AD178" s="125">
        <f>VLOOKUP(C178,'Talente &amp; Stuff'!C:AD,28,FALSE)</f>
        <v>0</v>
      </c>
      <c r="AE178" s="28"/>
    </row>
    <row r="179" spans="2:31" s="148" customFormat="1" hidden="1" outlineLevel="2">
      <c r="B179" s="148">
        <v>27</v>
      </c>
      <c r="C179" s="163" t="s">
        <v>281</v>
      </c>
      <c r="D179" s="86" t="str">
        <f>VLOOKUP(C179,'Talente &amp; Stuff'!C:AD,2,FALSE)</f>
        <v>--/--/--</v>
      </c>
      <c r="E179" s="167" t="str">
        <f>VLOOKUP(C179,'Talente &amp; Stuff'!C:AD,3,FALSE)</f>
        <v>-</v>
      </c>
      <c r="F179" s="120">
        <f>VLOOKUP(C179,'Talente &amp; Stuff'!C:AD,4,FALSE)</f>
        <v>0</v>
      </c>
      <c r="G179" s="117">
        <f>VLOOKUP(C179,'Talente &amp; Stuff'!C:AD,5,FALSE)</f>
        <v>0</v>
      </c>
      <c r="H179" s="117">
        <f>VLOOKUP(C179,'Talente &amp; Stuff'!C:AD,6,FALSE)</f>
        <v>0</v>
      </c>
      <c r="I179" s="117">
        <f>VLOOKUP(C179,'Talente &amp; Stuff'!C:AD,7,FALSE)</f>
        <v>0</v>
      </c>
      <c r="J179" s="117">
        <f>VLOOKUP(C179,'Talente &amp; Stuff'!C:AD,8,FALSE)</f>
        <v>0</v>
      </c>
      <c r="K179" s="117">
        <f>VLOOKUP(C179,'Talente &amp; Stuff'!C:AD,9,FALSE)</f>
        <v>0</v>
      </c>
      <c r="L179" s="117">
        <f>VLOOKUP(C179,'Talente &amp; Stuff'!C:AD,10,FALSE)</f>
        <v>0</v>
      </c>
      <c r="M179" s="121">
        <f>VLOOKUP(C179,'Talente &amp; Stuff'!C:AD,11,FALSE)</f>
        <v>0</v>
      </c>
      <c r="N179" s="47">
        <f>VLOOKUP(C179,'Talente &amp; Stuff'!C:AD,12,FALSE)</f>
        <v>0</v>
      </c>
      <c r="O179" s="3">
        <f>VLOOKUP(C179,'Talente &amp; Stuff'!C:AD,13,FALSE)</f>
        <v>0</v>
      </c>
      <c r="P179" s="174">
        <f>VLOOKUP(C179,'Talente &amp; Stuff'!C:AD,14,FALSE)</f>
        <v>0</v>
      </c>
      <c r="Q179" s="114">
        <f>VLOOKUP(C179,'Talente &amp; Stuff'!C:AD,15,FALSE)</f>
        <v>0</v>
      </c>
      <c r="R179" s="117">
        <f>VLOOKUP(C179,'Talente &amp; Stuff'!C:AD,16,FALSE)</f>
        <v>0</v>
      </c>
      <c r="S179" s="119">
        <f>VLOOKUP(C179,'Talente &amp; Stuff'!C:AD,17,FALSE)</f>
        <v>0</v>
      </c>
      <c r="T179" s="119">
        <f>VLOOKUP(C179,'Talente &amp; Stuff'!C:AD,18,FALSE)</f>
        <v>0</v>
      </c>
      <c r="U179" s="89">
        <f>VLOOKUP(C179,'Talente &amp; Stuff'!C:AD,19,FALSE)</f>
        <v>0</v>
      </c>
      <c r="V179" s="47">
        <f>VLOOKUP(C179,'Talente &amp; Stuff'!C:AD,20,FALSE)</f>
        <v>0</v>
      </c>
      <c r="W179" s="127">
        <f>VLOOKUP(C179,'Talente &amp; Stuff'!C:AD,21,FALSE)</f>
        <v>0</v>
      </c>
      <c r="X179" s="127">
        <f>VLOOKUP(C179,'Talente &amp; Stuff'!C:AD,22,FALSE)</f>
        <v>0</v>
      </c>
      <c r="Y179" s="165">
        <f t="shared" si="16"/>
        <v>0</v>
      </c>
      <c r="Z179" s="198">
        <f t="shared" si="17"/>
        <v>0</v>
      </c>
      <c r="AA179" s="125">
        <f>VLOOKUP(C179,'Talente &amp; Stuff'!C:AD,25,FALSE)</f>
        <v>0</v>
      </c>
      <c r="AB179" s="160">
        <f>VLOOKUP(C179,'Talente &amp; Stuff'!C:AD,26,FALSE)</f>
        <v>0</v>
      </c>
      <c r="AC179" s="127">
        <f>VLOOKUP(C179,'Talente &amp; Stuff'!C:AD,27,FALSE)</f>
        <v>0</v>
      </c>
      <c r="AD179" s="125">
        <f>VLOOKUP(C179,'Talente &amp; Stuff'!C:AD,28,FALSE)</f>
        <v>0</v>
      </c>
      <c r="AE179" s="28"/>
    </row>
    <row r="180" spans="2:31" s="148" customFormat="1" hidden="1" outlineLevel="2">
      <c r="B180" s="148">
        <v>28</v>
      </c>
      <c r="C180" s="163" t="s">
        <v>281</v>
      </c>
      <c r="D180" s="86" t="str">
        <f>VLOOKUP(C180,'Talente &amp; Stuff'!C:AD,2,FALSE)</f>
        <v>--/--/--</v>
      </c>
      <c r="E180" s="167" t="str">
        <f>VLOOKUP(C180,'Talente &amp; Stuff'!C:AD,3,FALSE)</f>
        <v>-</v>
      </c>
      <c r="F180" s="120">
        <f>VLOOKUP(C180,'Talente &amp; Stuff'!C:AD,4,FALSE)</f>
        <v>0</v>
      </c>
      <c r="G180" s="117">
        <f>VLOOKUP(C180,'Talente &amp; Stuff'!C:AD,5,FALSE)</f>
        <v>0</v>
      </c>
      <c r="H180" s="117">
        <f>VLOOKUP(C180,'Talente &amp; Stuff'!C:AD,6,FALSE)</f>
        <v>0</v>
      </c>
      <c r="I180" s="117">
        <f>VLOOKUP(C180,'Talente &amp; Stuff'!C:AD,7,FALSE)</f>
        <v>0</v>
      </c>
      <c r="J180" s="117">
        <f>VLOOKUP(C180,'Talente &amp; Stuff'!C:AD,8,FALSE)</f>
        <v>0</v>
      </c>
      <c r="K180" s="117">
        <f>VLOOKUP(C180,'Talente &amp; Stuff'!C:AD,9,FALSE)</f>
        <v>0</v>
      </c>
      <c r="L180" s="117">
        <f>VLOOKUP(C180,'Talente &amp; Stuff'!C:AD,10,FALSE)</f>
        <v>0</v>
      </c>
      <c r="M180" s="121">
        <f>VLOOKUP(C180,'Talente &amp; Stuff'!C:AD,11,FALSE)</f>
        <v>0</v>
      </c>
      <c r="N180" s="47">
        <f>VLOOKUP(C180,'Talente &amp; Stuff'!C:AD,12,FALSE)</f>
        <v>0</v>
      </c>
      <c r="O180" s="3">
        <f>VLOOKUP(C180,'Talente &amp; Stuff'!C:AD,13,FALSE)</f>
        <v>0</v>
      </c>
      <c r="P180" s="174">
        <f>VLOOKUP(C180,'Talente &amp; Stuff'!C:AD,14,FALSE)</f>
        <v>0</v>
      </c>
      <c r="Q180" s="114">
        <f>VLOOKUP(C180,'Talente &amp; Stuff'!C:AD,15,FALSE)</f>
        <v>0</v>
      </c>
      <c r="R180" s="117">
        <f>VLOOKUP(C180,'Talente &amp; Stuff'!C:AD,16,FALSE)</f>
        <v>0</v>
      </c>
      <c r="S180" s="119">
        <f>VLOOKUP(C180,'Talente &amp; Stuff'!C:AD,17,FALSE)</f>
        <v>0</v>
      </c>
      <c r="T180" s="119">
        <f>VLOOKUP(C180,'Talente &amp; Stuff'!C:AD,18,FALSE)</f>
        <v>0</v>
      </c>
      <c r="U180" s="89">
        <f>VLOOKUP(C180,'Talente &amp; Stuff'!C:AD,19,FALSE)</f>
        <v>0</v>
      </c>
      <c r="V180" s="47">
        <f>VLOOKUP(C180,'Talente &amp; Stuff'!C:AD,20,FALSE)</f>
        <v>0</v>
      </c>
      <c r="W180" s="127">
        <f>VLOOKUP(C180,'Talente &amp; Stuff'!C:AD,21,FALSE)</f>
        <v>0</v>
      </c>
      <c r="X180" s="127">
        <f>VLOOKUP(C180,'Talente &amp; Stuff'!C:AD,22,FALSE)</f>
        <v>0</v>
      </c>
      <c r="Y180" s="165">
        <f t="shared" si="16"/>
        <v>0</v>
      </c>
      <c r="Z180" s="198">
        <f t="shared" si="17"/>
        <v>0</v>
      </c>
      <c r="AA180" s="125">
        <f>VLOOKUP(C180,'Talente &amp; Stuff'!C:AD,25,FALSE)</f>
        <v>0</v>
      </c>
      <c r="AB180" s="160">
        <f>VLOOKUP(C180,'Talente &amp; Stuff'!C:AD,26,FALSE)</f>
        <v>0</v>
      </c>
      <c r="AC180" s="127">
        <f>VLOOKUP(C180,'Talente &amp; Stuff'!C:AD,27,FALSE)</f>
        <v>0</v>
      </c>
      <c r="AD180" s="125">
        <f>VLOOKUP(C180,'Talente &amp; Stuff'!C:AD,28,FALSE)</f>
        <v>0</v>
      </c>
      <c r="AE180" s="28"/>
    </row>
    <row r="181" spans="2:31" s="148" customFormat="1" hidden="1" outlineLevel="2">
      <c r="B181" s="148">
        <v>29</v>
      </c>
      <c r="C181" s="163" t="s">
        <v>281</v>
      </c>
      <c r="D181" s="86" t="str">
        <f>VLOOKUP(C181,'Talente &amp; Stuff'!C:AD,2,FALSE)</f>
        <v>--/--/--</v>
      </c>
      <c r="E181" s="167" t="str">
        <f>VLOOKUP(C181,'Talente &amp; Stuff'!C:AD,3,FALSE)</f>
        <v>-</v>
      </c>
      <c r="F181" s="120">
        <f>VLOOKUP(C181,'Talente &amp; Stuff'!C:AD,4,FALSE)</f>
        <v>0</v>
      </c>
      <c r="G181" s="117">
        <f>VLOOKUP(C181,'Talente &amp; Stuff'!C:AD,5,FALSE)</f>
        <v>0</v>
      </c>
      <c r="H181" s="117">
        <f>VLOOKUP(C181,'Talente &amp; Stuff'!C:AD,6,FALSE)</f>
        <v>0</v>
      </c>
      <c r="I181" s="117">
        <f>VLOOKUP(C181,'Talente &amp; Stuff'!C:AD,7,FALSE)</f>
        <v>0</v>
      </c>
      <c r="J181" s="117">
        <f>VLOOKUP(C181,'Talente &amp; Stuff'!C:AD,8,FALSE)</f>
        <v>0</v>
      </c>
      <c r="K181" s="117">
        <f>VLOOKUP(C181,'Talente &amp; Stuff'!C:AD,9,FALSE)</f>
        <v>0</v>
      </c>
      <c r="L181" s="117">
        <f>VLOOKUP(C181,'Talente &amp; Stuff'!C:AD,10,FALSE)</f>
        <v>0</v>
      </c>
      <c r="M181" s="121">
        <f>VLOOKUP(C181,'Talente &amp; Stuff'!C:AD,11,FALSE)</f>
        <v>0</v>
      </c>
      <c r="N181" s="47">
        <f>VLOOKUP(C181,'Talente &amp; Stuff'!C:AD,12,FALSE)</f>
        <v>0</v>
      </c>
      <c r="O181" s="3">
        <f>VLOOKUP(C181,'Talente &amp; Stuff'!C:AD,13,FALSE)</f>
        <v>0</v>
      </c>
      <c r="P181" s="174">
        <f>VLOOKUP(C181,'Talente &amp; Stuff'!C:AD,14,FALSE)</f>
        <v>0</v>
      </c>
      <c r="Q181" s="114">
        <f>VLOOKUP(C181,'Talente &amp; Stuff'!C:AD,15,FALSE)</f>
        <v>0</v>
      </c>
      <c r="R181" s="117">
        <f>VLOOKUP(C181,'Talente &amp; Stuff'!C:AD,16,FALSE)</f>
        <v>0</v>
      </c>
      <c r="S181" s="119">
        <f>VLOOKUP(C181,'Talente &amp; Stuff'!C:AD,17,FALSE)</f>
        <v>0</v>
      </c>
      <c r="T181" s="119">
        <f>VLOOKUP(C181,'Talente &amp; Stuff'!C:AD,18,FALSE)</f>
        <v>0</v>
      </c>
      <c r="U181" s="89">
        <f>VLOOKUP(C181,'Talente &amp; Stuff'!C:AD,19,FALSE)</f>
        <v>0</v>
      </c>
      <c r="V181" s="47">
        <f>VLOOKUP(C181,'Talente &amp; Stuff'!C:AD,20,FALSE)</f>
        <v>0</v>
      </c>
      <c r="W181" s="127">
        <f>VLOOKUP(C181,'Talente &amp; Stuff'!C:AD,21,FALSE)</f>
        <v>0</v>
      </c>
      <c r="X181" s="127">
        <f>VLOOKUP(C181,'Talente &amp; Stuff'!C:AD,22,FALSE)</f>
        <v>0</v>
      </c>
      <c r="Y181" s="165">
        <f t="shared" si="16"/>
        <v>0</v>
      </c>
      <c r="Z181" s="198">
        <f t="shared" si="17"/>
        <v>0</v>
      </c>
      <c r="AA181" s="125">
        <f>VLOOKUP(C181,'Talente &amp; Stuff'!C:AD,25,FALSE)</f>
        <v>0</v>
      </c>
      <c r="AB181" s="160">
        <f>VLOOKUP(C181,'Talente &amp; Stuff'!C:AD,26,FALSE)</f>
        <v>0</v>
      </c>
      <c r="AC181" s="127">
        <f>VLOOKUP(C181,'Talente &amp; Stuff'!C:AD,27,FALSE)</f>
        <v>0</v>
      </c>
      <c r="AD181" s="125">
        <f>VLOOKUP(C181,'Talente &amp; Stuff'!C:AD,28,FALSE)</f>
        <v>0</v>
      </c>
      <c r="AE181" s="28"/>
    </row>
    <row r="182" spans="2:31" s="148" customFormat="1" hidden="1" outlineLevel="2">
      <c r="B182" s="148">
        <v>30</v>
      </c>
      <c r="C182" s="163" t="s">
        <v>281</v>
      </c>
      <c r="D182" s="86" t="str">
        <f>VLOOKUP(C182,'Talente &amp; Stuff'!C:AD,2,FALSE)</f>
        <v>--/--/--</v>
      </c>
      <c r="E182" s="167" t="str">
        <f>VLOOKUP(C182,'Talente &amp; Stuff'!C:AD,3,FALSE)</f>
        <v>-</v>
      </c>
      <c r="F182" s="120">
        <f>VLOOKUP(C182,'Talente &amp; Stuff'!C:AD,4,FALSE)</f>
        <v>0</v>
      </c>
      <c r="G182" s="117">
        <f>VLOOKUP(C182,'Talente &amp; Stuff'!C:AD,5,FALSE)</f>
        <v>0</v>
      </c>
      <c r="H182" s="117">
        <f>VLOOKUP(C182,'Talente &amp; Stuff'!C:AD,6,FALSE)</f>
        <v>0</v>
      </c>
      <c r="I182" s="117">
        <f>VLOOKUP(C182,'Talente &amp; Stuff'!C:AD,7,FALSE)</f>
        <v>0</v>
      </c>
      <c r="J182" s="117">
        <f>VLOOKUP(C182,'Talente &amp; Stuff'!C:AD,8,FALSE)</f>
        <v>0</v>
      </c>
      <c r="K182" s="117">
        <f>VLOOKUP(C182,'Talente &amp; Stuff'!C:AD,9,FALSE)</f>
        <v>0</v>
      </c>
      <c r="L182" s="117">
        <f>VLOOKUP(C182,'Talente &amp; Stuff'!C:AD,10,FALSE)</f>
        <v>0</v>
      </c>
      <c r="M182" s="121">
        <f>VLOOKUP(C182,'Talente &amp; Stuff'!C:AD,11,FALSE)</f>
        <v>0</v>
      </c>
      <c r="N182" s="47">
        <f>VLOOKUP(C182,'Talente &amp; Stuff'!C:AD,12,FALSE)</f>
        <v>0</v>
      </c>
      <c r="O182" s="3">
        <f>VLOOKUP(C182,'Talente &amp; Stuff'!C:AD,13,FALSE)</f>
        <v>0</v>
      </c>
      <c r="P182" s="174">
        <f>VLOOKUP(C182,'Talente &amp; Stuff'!C:AD,14,FALSE)</f>
        <v>0</v>
      </c>
      <c r="Q182" s="114">
        <f>VLOOKUP(C182,'Talente &amp; Stuff'!C:AD,15,FALSE)</f>
        <v>0</v>
      </c>
      <c r="R182" s="117">
        <f>VLOOKUP(C182,'Talente &amp; Stuff'!C:AD,16,FALSE)</f>
        <v>0</v>
      </c>
      <c r="S182" s="119">
        <f>VLOOKUP(C182,'Talente &amp; Stuff'!C:AD,17,FALSE)</f>
        <v>0</v>
      </c>
      <c r="T182" s="119">
        <f>VLOOKUP(C182,'Talente &amp; Stuff'!C:AD,18,FALSE)</f>
        <v>0</v>
      </c>
      <c r="U182" s="89">
        <f>VLOOKUP(C182,'Talente &amp; Stuff'!C:AD,19,FALSE)</f>
        <v>0</v>
      </c>
      <c r="V182" s="47">
        <f>VLOOKUP(C182,'Talente &amp; Stuff'!C:AD,20,FALSE)</f>
        <v>0</v>
      </c>
      <c r="W182" s="127">
        <f>VLOOKUP(C182,'Talente &amp; Stuff'!C:AD,21,FALSE)</f>
        <v>0</v>
      </c>
      <c r="X182" s="127">
        <f>VLOOKUP(C182,'Talente &amp; Stuff'!C:AD,22,FALSE)</f>
        <v>0</v>
      </c>
      <c r="Y182" s="165">
        <f t="shared" si="16"/>
        <v>0</v>
      </c>
      <c r="Z182" s="198">
        <f t="shared" si="17"/>
        <v>0</v>
      </c>
      <c r="AA182" s="125">
        <f>VLOOKUP(C182,'Talente &amp; Stuff'!C:AD,25,FALSE)</f>
        <v>0</v>
      </c>
      <c r="AB182" s="160">
        <f>VLOOKUP(C182,'Talente &amp; Stuff'!C:AD,26,FALSE)</f>
        <v>0</v>
      </c>
      <c r="AC182" s="127">
        <f>VLOOKUP(C182,'Talente &amp; Stuff'!C:AD,27,FALSE)</f>
        <v>0</v>
      </c>
      <c r="AD182" s="125">
        <f>VLOOKUP(C182,'Talente &amp; Stuff'!C:AD,28,FALSE)</f>
        <v>0</v>
      </c>
      <c r="AE182" s="28"/>
    </row>
    <row r="183" spans="2:31" s="148" customFormat="1" hidden="1" outlineLevel="2">
      <c r="B183" s="148">
        <v>31</v>
      </c>
      <c r="C183" s="163" t="s">
        <v>281</v>
      </c>
      <c r="D183" s="86" t="str">
        <f>VLOOKUP(C183,'Talente &amp; Stuff'!C:AD,2,FALSE)</f>
        <v>--/--/--</v>
      </c>
      <c r="E183" s="167" t="str">
        <f>VLOOKUP(C183,'Talente &amp; Stuff'!C:AD,3,FALSE)</f>
        <v>-</v>
      </c>
      <c r="F183" s="120">
        <f>VLOOKUP(C183,'Talente &amp; Stuff'!C:AD,4,FALSE)</f>
        <v>0</v>
      </c>
      <c r="G183" s="117">
        <f>VLOOKUP(C183,'Talente &amp; Stuff'!C:AD,5,FALSE)</f>
        <v>0</v>
      </c>
      <c r="H183" s="117">
        <f>VLOOKUP(C183,'Talente &amp; Stuff'!C:AD,6,FALSE)</f>
        <v>0</v>
      </c>
      <c r="I183" s="117">
        <f>VLOOKUP(C183,'Talente &amp; Stuff'!C:AD,7,FALSE)</f>
        <v>0</v>
      </c>
      <c r="J183" s="117">
        <f>VLOOKUP(C183,'Talente &amp; Stuff'!C:AD,8,FALSE)</f>
        <v>0</v>
      </c>
      <c r="K183" s="117">
        <f>VLOOKUP(C183,'Talente &amp; Stuff'!C:AD,9,FALSE)</f>
        <v>0</v>
      </c>
      <c r="L183" s="117">
        <f>VLOOKUP(C183,'Talente &amp; Stuff'!C:AD,10,FALSE)</f>
        <v>0</v>
      </c>
      <c r="M183" s="121">
        <f>VLOOKUP(C183,'Talente &amp; Stuff'!C:AD,11,FALSE)</f>
        <v>0</v>
      </c>
      <c r="N183" s="47">
        <f>VLOOKUP(C183,'Talente &amp; Stuff'!C:AD,12,FALSE)</f>
        <v>0</v>
      </c>
      <c r="O183" s="3">
        <f>VLOOKUP(C183,'Talente &amp; Stuff'!C:AD,13,FALSE)</f>
        <v>0</v>
      </c>
      <c r="P183" s="174">
        <f>VLOOKUP(C183,'Talente &amp; Stuff'!C:AD,14,FALSE)</f>
        <v>0</v>
      </c>
      <c r="Q183" s="114">
        <f>VLOOKUP(C183,'Talente &amp; Stuff'!C:AD,15,FALSE)</f>
        <v>0</v>
      </c>
      <c r="R183" s="117">
        <f>VLOOKUP(C183,'Talente &amp; Stuff'!C:AD,16,FALSE)</f>
        <v>0</v>
      </c>
      <c r="S183" s="119">
        <f>VLOOKUP(C183,'Talente &amp; Stuff'!C:AD,17,FALSE)</f>
        <v>0</v>
      </c>
      <c r="T183" s="119">
        <f>VLOOKUP(C183,'Talente &amp; Stuff'!C:AD,18,FALSE)</f>
        <v>0</v>
      </c>
      <c r="U183" s="89">
        <f>VLOOKUP(C183,'Talente &amp; Stuff'!C:AD,19,FALSE)</f>
        <v>0</v>
      </c>
      <c r="V183" s="47">
        <f>VLOOKUP(C183,'Talente &amp; Stuff'!C:AD,20,FALSE)</f>
        <v>0</v>
      </c>
      <c r="W183" s="127">
        <f>VLOOKUP(C183,'Talente &amp; Stuff'!C:AD,21,FALSE)</f>
        <v>0</v>
      </c>
      <c r="X183" s="127">
        <f>VLOOKUP(C183,'Talente &amp; Stuff'!C:AD,22,FALSE)</f>
        <v>0</v>
      </c>
      <c r="Y183" s="165">
        <f t="shared" si="16"/>
        <v>0</v>
      </c>
      <c r="Z183" s="198">
        <f t="shared" si="17"/>
        <v>0</v>
      </c>
      <c r="AA183" s="125">
        <f>VLOOKUP(C183,'Talente &amp; Stuff'!C:AD,25,FALSE)</f>
        <v>0</v>
      </c>
      <c r="AB183" s="160">
        <f>VLOOKUP(C183,'Talente &amp; Stuff'!C:AD,26,FALSE)</f>
        <v>0</v>
      </c>
      <c r="AC183" s="127">
        <f>VLOOKUP(C183,'Talente &amp; Stuff'!C:AD,27,FALSE)</f>
        <v>0</v>
      </c>
      <c r="AD183" s="125">
        <f>VLOOKUP(C183,'Talente &amp; Stuff'!C:AD,28,FALSE)</f>
        <v>0</v>
      </c>
      <c r="AE183" s="28"/>
    </row>
    <row r="184" spans="2:31" s="148" customFormat="1" hidden="1" outlineLevel="2">
      <c r="B184" s="148">
        <v>32</v>
      </c>
      <c r="C184" s="163" t="s">
        <v>281</v>
      </c>
      <c r="D184" s="86" t="str">
        <f>VLOOKUP(C184,'Talente &amp; Stuff'!C:AD,2,FALSE)</f>
        <v>--/--/--</v>
      </c>
      <c r="E184" s="167" t="str">
        <f>VLOOKUP(C184,'Talente &amp; Stuff'!C:AD,3,FALSE)</f>
        <v>-</v>
      </c>
      <c r="F184" s="120">
        <f>VLOOKUP(C184,'Talente &amp; Stuff'!C:AD,4,FALSE)</f>
        <v>0</v>
      </c>
      <c r="G184" s="117">
        <f>VLOOKUP(C184,'Talente &amp; Stuff'!C:AD,5,FALSE)</f>
        <v>0</v>
      </c>
      <c r="H184" s="117">
        <f>VLOOKUP(C184,'Talente &amp; Stuff'!C:AD,6,FALSE)</f>
        <v>0</v>
      </c>
      <c r="I184" s="117">
        <f>VLOOKUP(C184,'Talente &amp; Stuff'!C:AD,7,FALSE)</f>
        <v>0</v>
      </c>
      <c r="J184" s="117">
        <f>VLOOKUP(C184,'Talente &amp; Stuff'!C:AD,8,FALSE)</f>
        <v>0</v>
      </c>
      <c r="K184" s="117">
        <f>VLOOKUP(C184,'Talente &amp; Stuff'!C:AD,9,FALSE)</f>
        <v>0</v>
      </c>
      <c r="L184" s="117">
        <f>VLOOKUP(C184,'Talente &amp; Stuff'!C:AD,10,FALSE)</f>
        <v>0</v>
      </c>
      <c r="M184" s="121">
        <f>VLOOKUP(C184,'Talente &amp; Stuff'!C:AD,11,FALSE)</f>
        <v>0</v>
      </c>
      <c r="N184" s="47">
        <f>VLOOKUP(C184,'Talente &amp; Stuff'!C:AD,12,FALSE)</f>
        <v>0</v>
      </c>
      <c r="O184" s="3">
        <f>VLOOKUP(C184,'Talente &amp; Stuff'!C:AD,13,FALSE)</f>
        <v>0</v>
      </c>
      <c r="P184" s="174">
        <f>VLOOKUP(C184,'Talente &amp; Stuff'!C:AD,14,FALSE)</f>
        <v>0</v>
      </c>
      <c r="Q184" s="114">
        <f>VLOOKUP(C184,'Talente &amp; Stuff'!C:AD,15,FALSE)</f>
        <v>0</v>
      </c>
      <c r="R184" s="117">
        <f>VLOOKUP(C184,'Talente &amp; Stuff'!C:AD,16,FALSE)</f>
        <v>0</v>
      </c>
      <c r="S184" s="119">
        <f>VLOOKUP(C184,'Talente &amp; Stuff'!C:AD,17,FALSE)</f>
        <v>0</v>
      </c>
      <c r="T184" s="119">
        <f>VLOOKUP(C184,'Talente &amp; Stuff'!C:AD,18,FALSE)</f>
        <v>0</v>
      </c>
      <c r="U184" s="89">
        <f>VLOOKUP(C184,'Talente &amp; Stuff'!C:AD,19,FALSE)</f>
        <v>0</v>
      </c>
      <c r="V184" s="47">
        <f>VLOOKUP(C184,'Talente &amp; Stuff'!C:AD,20,FALSE)</f>
        <v>0</v>
      </c>
      <c r="W184" s="127">
        <f>VLOOKUP(C184,'Talente &amp; Stuff'!C:AD,21,FALSE)</f>
        <v>0</v>
      </c>
      <c r="X184" s="127">
        <f>VLOOKUP(C184,'Talente &amp; Stuff'!C:AD,22,FALSE)</f>
        <v>0</v>
      </c>
      <c r="Y184" s="165">
        <f t="shared" si="16"/>
        <v>0</v>
      </c>
      <c r="Z184" s="198">
        <f t="shared" si="17"/>
        <v>0</v>
      </c>
      <c r="AA184" s="125">
        <f>VLOOKUP(C184,'Talente &amp; Stuff'!C:AD,25,FALSE)</f>
        <v>0</v>
      </c>
      <c r="AB184" s="160">
        <f>VLOOKUP(C184,'Talente &amp; Stuff'!C:AD,26,FALSE)</f>
        <v>0</v>
      </c>
      <c r="AC184" s="127">
        <f>VLOOKUP(C184,'Talente &amp; Stuff'!C:AD,27,FALSE)</f>
        <v>0</v>
      </c>
      <c r="AD184" s="125">
        <f>VLOOKUP(C184,'Talente &amp; Stuff'!C:AD,28,FALSE)</f>
        <v>0</v>
      </c>
      <c r="AE184" s="28"/>
    </row>
    <row r="185" spans="2:31" s="148" customFormat="1" hidden="1" outlineLevel="2">
      <c r="B185" s="148">
        <v>33</v>
      </c>
      <c r="C185" s="163" t="s">
        <v>281</v>
      </c>
      <c r="D185" s="86" t="str">
        <f>VLOOKUP(C185,'Talente &amp; Stuff'!C:AD,2,FALSE)</f>
        <v>--/--/--</v>
      </c>
      <c r="E185" s="167" t="str">
        <f>VLOOKUP(C185,'Talente &amp; Stuff'!C:AD,3,FALSE)</f>
        <v>-</v>
      </c>
      <c r="F185" s="120">
        <f>VLOOKUP(C185,'Talente &amp; Stuff'!C:AD,4,FALSE)</f>
        <v>0</v>
      </c>
      <c r="G185" s="117">
        <f>VLOOKUP(C185,'Talente &amp; Stuff'!C:AD,5,FALSE)</f>
        <v>0</v>
      </c>
      <c r="H185" s="117">
        <f>VLOOKUP(C185,'Talente &amp; Stuff'!C:AD,6,FALSE)</f>
        <v>0</v>
      </c>
      <c r="I185" s="117">
        <f>VLOOKUP(C185,'Talente &amp; Stuff'!C:AD,7,FALSE)</f>
        <v>0</v>
      </c>
      <c r="J185" s="117">
        <f>VLOOKUP(C185,'Talente &amp; Stuff'!C:AD,8,FALSE)</f>
        <v>0</v>
      </c>
      <c r="K185" s="117">
        <f>VLOOKUP(C185,'Talente &amp; Stuff'!C:AD,9,FALSE)</f>
        <v>0</v>
      </c>
      <c r="L185" s="117">
        <f>VLOOKUP(C185,'Talente &amp; Stuff'!C:AD,10,FALSE)</f>
        <v>0</v>
      </c>
      <c r="M185" s="121">
        <f>VLOOKUP(C185,'Talente &amp; Stuff'!C:AD,11,FALSE)</f>
        <v>0</v>
      </c>
      <c r="N185" s="47">
        <f>VLOOKUP(C185,'Talente &amp; Stuff'!C:AD,12,FALSE)</f>
        <v>0</v>
      </c>
      <c r="O185" s="3">
        <f>VLOOKUP(C185,'Talente &amp; Stuff'!C:AD,13,FALSE)</f>
        <v>0</v>
      </c>
      <c r="P185" s="174">
        <f>VLOOKUP(C185,'Talente &amp; Stuff'!C:AD,14,FALSE)</f>
        <v>0</v>
      </c>
      <c r="Q185" s="114">
        <f>VLOOKUP(C185,'Talente &amp; Stuff'!C:AD,15,FALSE)</f>
        <v>0</v>
      </c>
      <c r="R185" s="117">
        <f>VLOOKUP(C185,'Talente &amp; Stuff'!C:AD,16,FALSE)</f>
        <v>0</v>
      </c>
      <c r="S185" s="119">
        <f>VLOOKUP(C185,'Talente &amp; Stuff'!C:AD,17,FALSE)</f>
        <v>0</v>
      </c>
      <c r="T185" s="119">
        <f>VLOOKUP(C185,'Talente &amp; Stuff'!C:AD,18,FALSE)</f>
        <v>0</v>
      </c>
      <c r="U185" s="89">
        <f>VLOOKUP(C185,'Talente &amp; Stuff'!C:AD,19,FALSE)</f>
        <v>0</v>
      </c>
      <c r="V185" s="47">
        <f>VLOOKUP(C185,'Talente &amp; Stuff'!C:AD,20,FALSE)</f>
        <v>0</v>
      </c>
      <c r="W185" s="127">
        <f>VLOOKUP(C185,'Talente &amp; Stuff'!C:AD,21,FALSE)</f>
        <v>0</v>
      </c>
      <c r="X185" s="127">
        <f>VLOOKUP(C185,'Talente &amp; Stuff'!C:AD,22,FALSE)</f>
        <v>0</v>
      </c>
      <c r="Y185" s="165">
        <f t="shared" ref="Y185:Y211" si="18">VLOOKUP(C185,Ausgewählte_Zauber_Gildenmagier,23,FALSE)</f>
        <v>0</v>
      </c>
      <c r="Z185" s="198">
        <f t="shared" ref="Z185:Z211" si="19">VLOOKUP(C185,Ausgewählte_Zauber_Gildenmagier,24,FALSE)</f>
        <v>0</v>
      </c>
      <c r="AA185" s="125">
        <f>VLOOKUP(C185,'Talente &amp; Stuff'!C:AD,25,FALSE)</f>
        <v>0</v>
      </c>
      <c r="AB185" s="160">
        <f>VLOOKUP(C185,'Talente &amp; Stuff'!C:AD,26,FALSE)</f>
        <v>0</v>
      </c>
      <c r="AC185" s="127">
        <f>VLOOKUP(C185,'Talente &amp; Stuff'!C:AD,27,FALSE)</f>
        <v>0</v>
      </c>
      <c r="AD185" s="125">
        <f>VLOOKUP(C185,'Talente &amp; Stuff'!C:AD,28,FALSE)</f>
        <v>0</v>
      </c>
      <c r="AE185" s="28"/>
    </row>
    <row r="186" spans="2:31" s="148" customFormat="1" hidden="1" outlineLevel="2">
      <c r="B186" s="148">
        <v>34</v>
      </c>
      <c r="C186" s="163" t="s">
        <v>281</v>
      </c>
      <c r="D186" s="86" t="str">
        <f>VLOOKUP(C186,'Talente &amp; Stuff'!C:AD,2,FALSE)</f>
        <v>--/--/--</v>
      </c>
      <c r="E186" s="167" t="str">
        <f>VLOOKUP(C186,'Talente &amp; Stuff'!C:AD,3,FALSE)</f>
        <v>-</v>
      </c>
      <c r="F186" s="120">
        <f>VLOOKUP(C186,'Talente &amp; Stuff'!C:AD,4,FALSE)</f>
        <v>0</v>
      </c>
      <c r="G186" s="117">
        <f>VLOOKUP(C186,'Talente &amp; Stuff'!C:AD,5,FALSE)</f>
        <v>0</v>
      </c>
      <c r="H186" s="117">
        <f>VLOOKUP(C186,'Talente &amp; Stuff'!C:AD,6,FALSE)</f>
        <v>0</v>
      </c>
      <c r="I186" s="117">
        <f>VLOOKUP(C186,'Talente &amp; Stuff'!C:AD,7,FALSE)</f>
        <v>0</v>
      </c>
      <c r="J186" s="117">
        <f>VLOOKUP(C186,'Talente &amp; Stuff'!C:AD,8,FALSE)</f>
        <v>0</v>
      </c>
      <c r="K186" s="117">
        <f>VLOOKUP(C186,'Talente &amp; Stuff'!C:AD,9,FALSE)</f>
        <v>0</v>
      </c>
      <c r="L186" s="117">
        <f>VLOOKUP(C186,'Talente &amp; Stuff'!C:AD,10,FALSE)</f>
        <v>0</v>
      </c>
      <c r="M186" s="121">
        <f>VLOOKUP(C186,'Talente &amp; Stuff'!C:AD,11,FALSE)</f>
        <v>0</v>
      </c>
      <c r="N186" s="47">
        <f>VLOOKUP(C186,'Talente &amp; Stuff'!C:AD,12,FALSE)</f>
        <v>0</v>
      </c>
      <c r="O186" s="3">
        <f>VLOOKUP(C186,'Talente &amp; Stuff'!C:AD,13,FALSE)</f>
        <v>0</v>
      </c>
      <c r="P186" s="174">
        <f>VLOOKUP(C186,'Talente &amp; Stuff'!C:AD,14,FALSE)</f>
        <v>0</v>
      </c>
      <c r="Q186" s="114">
        <f>VLOOKUP(C186,'Talente &amp; Stuff'!C:AD,15,FALSE)</f>
        <v>0</v>
      </c>
      <c r="R186" s="117">
        <f>VLOOKUP(C186,'Talente &amp; Stuff'!C:AD,16,FALSE)</f>
        <v>0</v>
      </c>
      <c r="S186" s="119">
        <f>VLOOKUP(C186,'Talente &amp; Stuff'!C:AD,17,FALSE)</f>
        <v>0</v>
      </c>
      <c r="T186" s="119">
        <f>VLOOKUP(C186,'Talente &amp; Stuff'!C:AD,18,FALSE)</f>
        <v>0</v>
      </c>
      <c r="U186" s="89">
        <f>VLOOKUP(C186,'Talente &amp; Stuff'!C:AD,19,FALSE)</f>
        <v>0</v>
      </c>
      <c r="V186" s="47">
        <f>VLOOKUP(C186,'Talente &amp; Stuff'!C:AD,20,FALSE)</f>
        <v>0</v>
      </c>
      <c r="W186" s="127">
        <f>VLOOKUP(C186,'Talente &amp; Stuff'!C:AD,21,FALSE)</f>
        <v>0</v>
      </c>
      <c r="X186" s="127">
        <f>VLOOKUP(C186,'Talente &amp; Stuff'!C:AD,22,FALSE)</f>
        <v>0</v>
      </c>
      <c r="Y186" s="165">
        <f t="shared" si="18"/>
        <v>0</v>
      </c>
      <c r="Z186" s="198">
        <f t="shared" si="19"/>
        <v>0</v>
      </c>
      <c r="AA186" s="125">
        <f>VLOOKUP(C186,'Talente &amp; Stuff'!C:AD,25,FALSE)</f>
        <v>0</v>
      </c>
      <c r="AB186" s="160">
        <f>VLOOKUP(C186,'Talente &amp; Stuff'!C:AD,26,FALSE)</f>
        <v>0</v>
      </c>
      <c r="AC186" s="127">
        <f>VLOOKUP(C186,'Talente &amp; Stuff'!C:AD,27,FALSE)</f>
        <v>0</v>
      </c>
      <c r="AD186" s="125">
        <f>VLOOKUP(C186,'Talente &amp; Stuff'!C:AD,28,FALSE)</f>
        <v>0</v>
      </c>
      <c r="AE186" s="28"/>
    </row>
    <row r="187" spans="2:31" s="148" customFormat="1" hidden="1" outlineLevel="2">
      <c r="B187" s="148">
        <v>35</v>
      </c>
      <c r="C187" s="163" t="s">
        <v>281</v>
      </c>
      <c r="D187" s="86" t="str">
        <f>VLOOKUP(C187,'Talente &amp; Stuff'!C:AD,2,FALSE)</f>
        <v>--/--/--</v>
      </c>
      <c r="E187" s="167" t="str">
        <f>VLOOKUP(C187,'Talente &amp; Stuff'!C:AD,3,FALSE)</f>
        <v>-</v>
      </c>
      <c r="F187" s="120">
        <f>VLOOKUP(C187,'Talente &amp; Stuff'!C:AD,4,FALSE)</f>
        <v>0</v>
      </c>
      <c r="G187" s="117">
        <f>VLOOKUP(C187,'Talente &amp; Stuff'!C:AD,5,FALSE)</f>
        <v>0</v>
      </c>
      <c r="H187" s="117">
        <f>VLOOKUP(C187,'Talente &amp; Stuff'!C:AD,6,FALSE)</f>
        <v>0</v>
      </c>
      <c r="I187" s="117">
        <f>VLOOKUP(C187,'Talente &amp; Stuff'!C:AD,7,FALSE)</f>
        <v>0</v>
      </c>
      <c r="J187" s="117">
        <f>VLOOKUP(C187,'Talente &amp; Stuff'!C:AD,8,FALSE)</f>
        <v>0</v>
      </c>
      <c r="K187" s="117">
        <f>VLOOKUP(C187,'Talente &amp; Stuff'!C:AD,9,FALSE)</f>
        <v>0</v>
      </c>
      <c r="L187" s="117">
        <f>VLOOKUP(C187,'Talente &amp; Stuff'!C:AD,10,FALSE)</f>
        <v>0</v>
      </c>
      <c r="M187" s="121">
        <f>VLOOKUP(C187,'Talente &amp; Stuff'!C:AD,11,FALSE)</f>
        <v>0</v>
      </c>
      <c r="N187" s="47">
        <f>VLOOKUP(C187,'Talente &amp; Stuff'!C:AD,12,FALSE)</f>
        <v>0</v>
      </c>
      <c r="O187" s="3">
        <f>VLOOKUP(C187,'Talente &amp; Stuff'!C:AD,13,FALSE)</f>
        <v>0</v>
      </c>
      <c r="P187" s="174">
        <f>VLOOKUP(C187,'Talente &amp; Stuff'!C:AD,14,FALSE)</f>
        <v>0</v>
      </c>
      <c r="Q187" s="114">
        <f>VLOOKUP(C187,'Talente &amp; Stuff'!C:AD,15,FALSE)</f>
        <v>0</v>
      </c>
      <c r="R187" s="117">
        <f>VLOOKUP(C187,'Talente &amp; Stuff'!C:AD,16,FALSE)</f>
        <v>0</v>
      </c>
      <c r="S187" s="119">
        <f>VLOOKUP(C187,'Talente &amp; Stuff'!C:AD,17,FALSE)</f>
        <v>0</v>
      </c>
      <c r="T187" s="119">
        <f>VLOOKUP(C187,'Talente &amp; Stuff'!C:AD,18,FALSE)</f>
        <v>0</v>
      </c>
      <c r="U187" s="89">
        <f>VLOOKUP(C187,'Talente &amp; Stuff'!C:AD,19,FALSE)</f>
        <v>0</v>
      </c>
      <c r="V187" s="47">
        <f>VLOOKUP(C187,'Talente &amp; Stuff'!C:AD,20,FALSE)</f>
        <v>0</v>
      </c>
      <c r="W187" s="127">
        <f>VLOOKUP(C187,'Talente &amp; Stuff'!C:AD,21,FALSE)</f>
        <v>0</v>
      </c>
      <c r="X187" s="127">
        <f>VLOOKUP(C187,'Talente &amp; Stuff'!C:AD,22,FALSE)</f>
        <v>0</v>
      </c>
      <c r="Y187" s="165">
        <f t="shared" si="18"/>
        <v>0</v>
      </c>
      <c r="Z187" s="198">
        <f t="shared" si="19"/>
        <v>0</v>
      </c>
      <c r="AA187" s="125">
        <f>VLOOKUP(C187,'Talente &amp; Stuff'!C:AD,25,FALSE)</f>
        <v>0</v>
      </c>
      <c r="AB187" s="160">
        <f>VLOOKUP(C187,'Talente &amp; Stuff'!C:AD,26,FALSE)</f>
        <v>0</v>
      </c>
      <c r="AC187" s="127">
        <f>VLOOKUP(C187,'Talente &amp; Stuff'!C:AD,27,FALSE)</f>
        <v>0</v>
      </c>
      <c r="AD187" s="125">
        <f>VLOOKUP(C187,'Talente &amp; Stuff'!C:AD,28,FALSE)</f>
        <v>0</v>
      </c>
      <c r="AE187" s="28"/>
    </row>
    <row r="188" spans="2:31" s="148" customFormat="1" hidden="1" outlineLevel="2">
      <c r="B188" s="148">
        <v>36</v>
      </c>
      <c r="C188" s="163" t="s">
        <v>281</v>
      </c>
      <c r="D188" s="86" t="str">
        <f>VLOOKUP(C188,'Talente &amp; Stuff'!C:AD,2,FALSE)</f>
        <v>--/--/--</v>
      </c>
      <c r="E188" s="167" t="str">
        <f>VLOOKUP(C188,'Talente &amp; Stuff'!C:AD,3,FALSE)</f>
        <v>-</v>
      </c>
      <c r="F188" s="120">
        <f>VLOOKUP(C188,'Talente &amp; Stuff'!C:AD,4,FALSE)</f>
        <v>0</v>
      </c>
      <c r="G188" s="117">
        <f>VLOOKUP(C188,'Talente &amp; Stuff'!C:AD,5,FALSE)</f>
        <v>0</v>
      </c>
      <c r="H188" s="117">
        <f>VLOOKUP(C188,'Talente &amp; Stuff'!C:AD,6,FALSE)</f>
        <v>0</v>
      </c>
      <c r="I188" s="117">
        <f>VLOOKUP(C188,'Talente &amp; Stuff'!C:AD,7,FALSE)</f>
        <v>0</v>
      </c>
      <c r="J188" s="117">
        <f>VLOOKUP(C188,'Talente &amp; Stuff'!C:AD,8,FALSE)</f>
        <v>0</v>
      </c>
      <c r="K188" s="117">
        <f>VLOOKUP(C188,'Talente &amp; Stuff'!C:AD,9,FALSE)</f>
        <v>0</v>
      </c>
      <c r="L188" s="117">
        <f>VLOOKUP(C188,'Talente &amp; Stuff'!C:AD,10,FALSE)</f>
        <v>0</v>
      </c>
      <c r="M188" s="121">
        <f>VLOOKUP(C188,'Talente &amp; Stuff'!C:AD,11,FALSE)</f>
        <v>0</v>
      </c>
      <c r="N188" s="47">
        <f>VLOOKUP(C188,'Talente &amp; Stuff'!C:AD,12,FALSE)</f>
        <v>0</v>
      </c>
      <c r="O188" s="3">
        <f>VLOOKUP(C188,'Talente &amp; Stuff'!C:AD,13,FALSE)</f>
        <v>0</v>
      </c>
      <c r="P188" s="174">
        <f>VLOOKUP(C188,'Talente &amp; Stuff'!C:AD,14,FALSE)</f>
        <v>0</v>
      </c>
      <c r="Q188" s="114">
        <f>VLOOKUP(C188,'Talente &amp; Stuff'!C:AD,15,FALSE)</f>
        <v>0</v>
      </c>
      <c r="R188" s="117">
        <f>VLOOKUP(C188,'Talente &amp; Stuff'!C:AD,16,FALSE)</f>
        <v>0</v>
      </c>
      <c r="S188" s="119">
        <f>VLOOKUP(C188,'Talente &amp; Stuff'!C:AD,17,FALSE)</f>
        <v>0</v>
      </c>
      <c r="T188" s="119">
        <f>VLOOKUP(C188,'Talente &amp; Stuff'!C:AD,18,FALSE)</f>
        <v>0</v>
      </c>
      <c r="U188" s="89">
        <f>VLOOKUP(C188,'Talente &amp; Stuff'!C:AD,19,FALSE)</f>
        <v>0</v>
      </c>
      <c r="V188" s="47">
        <f>VLOOKUP(C188,'Talente &amp; Stuff'!C:AD,20,FALSE)</f>
        <v>0</v>
      </c>
      <c r="W188" s="127">
        <f>VLOOKUP(C188,'Talente &amp; Stuff'!C:AD,21,FALSE)</f>
        <v>0</v>
      </c>
      <c r="X188" s="127">
        <f>VLOOKUP(C188,'Talente &amp; Stuff'!C:AD,22,FALSE)</f>
        <v>0</v>
      </c>
      <c r="Y188" s="165">
        <f t="shared" si="18"/>
        <v>0</v>
      </c>
      <c r="Z188" s="198">
        <f t="shared" si="19"/>
        <v>0</v>
      </c>
      <c r="AA188" s="125">
        <f>VLOOKUP(C188,'Talente &amp; Stuff'!C:AD,25,FALSE)</f>
        <v>0</v>
      </c>
      <c r="AB188" s="160">
        <f>VLOOKUP(C188,'Talente &amp; Stuff'!C:AD,26,FALSE)</f>
        <v>0</v>
      </c>
      <c r="AC188" s="127">
        <f>VLOOKUP(C188,'Talente &amp; Stuff'!C:AD,27,FALSE)</f>
        <v>0</v>
      </c>
      <c r="AD188" s="125">
        <f>VLOOKUP(C188,'Talente &amp; Stuff'!C:AD,28,FALSE)</f>
        <v>0</v>
      </c>
      <c r="AE188" s="28"/>
    </row>
    <row r="189" spans="2:31" s="148" customFormat="1" hidden="1" outlineLevel="2">
      <c r="B189" s="148">
        <v>37</v>
      </c>
      <c r="C189" s="163" t="s">
        <v>281</v>
      </c>
      <c r="D189" s="86" t="str">
        <f>VLOOKUP(C189,'Talente &amp; Stuff'!C:AD,2,FALSE)</f>
        <v>--/--/--</v>
      </c>
      <c r="E189" s="167" t="str">
        <f>VLOOKUP(C189,'Talente &amp; Stuff'!C:AD,3,FALSE)</f>
        <v>-</v>
      </c>
      <c r="F189" s="120">
        <f>VLOOKUP(C189,'Talente &amp; Stuff'!C:AD,4,FALSE)</f>
        <v>0</v>
      </c>
      <c r="G189" s="117">
        <f>VLOOKUP(C189,'Talente &amp; Stuff'!C:AD,5,FALSE)</f>
        <v>0</v>
      </c>
      <c r="H189" s="117">
        <f>VLOOKUP(C189,'Talente &amp; Stuff'!C:AD,6,FALSE)</f>
        <v>0</v>
      </c>
      <c r="I189" s="117">
        <f>VLOOKUP(C189,'Talente &amp; Stuff'!C:AD,7,FALSE)</f>
        <v>0</v>
      </c>
      <c r="J189" s="117">
        <f>VLOOKUP(C189,'Talente &amp; Stuff'!C:AD,8,FALSE)</f>
        <v>0</v>
      </c>
      <c r="K189" s="117">
        <f>VLOOKUP(C189,'Talente &amp; Stuff'!C:AD,9,FALSE)</f>
        <v>0</v>
      </c>
      <c r="L189" s="117">
        <f>VLOOKUP(C189,'Talente &amp; Stuff'!C:AD,10,FALSE)</f>
        <v>0</v>
      </c>
      <c r="M189" s="121">
        <f>VLOOKUP(C189,'Talente &amp; Stuff'!C:AD,11,FALSE)</f>
        <v>0</v>
      </c>
      <c r="N189" s="47">
        <f>VLOOKUP(C189,'Talente &amp; Stuff'!C:AD,12,FALSE)</f>
        <v>0</v>
      </c>
      <c r="O189" s="3">
        <f>VLOOKUP(C189,'Talente &amp; Stuff'!C:AD,13,FALSE)</f>
        <v>0</v>
      </c>
      <c r="P189" s="174">
        <f>VLOOKUP(C189,'Talente &amp; Stuff'!C:AD,14,FALSE)</f>
        <v>0</v>
      </c>
      <c r="Q189" s="114">
        <f>VLOOKUP(C189,'Talente &amp; Stuff'!C:AD,15,FALSE)</f>
        <v>0</v>
      </c>
      <c r="R189" s="117">
        <f>VLOOKUP(C189,'Talente &amp; Stuff'!C:AD,16,FALSE)</f>
        <v>0</v>
      </c>
      <c r="S189" s="119">
        <f>VLOOKUP(C189,'Talente &amp; Stuff'!C:AD,17,FALSE)</f>
        <v>0</v>
      </c>
      <c r="T189" s="119">
        <f>VLOOKUP(C189,'Talente &amp; Stuff'!C:AD,18,FALSE)</f>
        <v>0</v>
      </c>
      <c r="U189" s="89">
        <f>VLOOKUP(C189,'Talente &amp; Stuff'!C:AD,19,FALSE)</f>
        <v>0</v>
      </c>
      <c r="V189" s="47">
        <f>VLOOKUP(C189,'Talente &amp; Stuff'!C:AD,20,FALSE)</f>
        <v>0</v>
      </c>
      <c r="W189" s="127">
        <f>VLOOKUP(C189,'Talente &amp; Stuff'!C:AD,21,FALSE)</f>
        <v>0</v>
      </c>
      <c r="X189" s="127">
        <f>VLOOKUP(C189,'Talente &amp; Stuff'!C:AD,22,FALSE)</f>
        <v>0</v>
      </c>
      <c r="Y189" s="165">
        <f t="shared" si="18"/>
        <v>0</v>
      </c>
      <c r="Z189" s="198">
        <f t="shared" si="19"/>
        <v>0</v>
      </c>
      <c r="AA189" s="125">
        <f>VLOOKUP(C189,'Talente &amp; Stuff'!C:AD,25,FALSE)</f>
        <v>0</v>
      </c>
      <c r="AB189" s="160">
        <f>VLOOKUP(C189,'Talente &amp; Stuff'!C:AD,26,FALSE)</f>
        <v>0</v>
      </c>
      <c r="AC189" s="127">
        <f>VLOOKUP(C189,'Talente &amp; Stuff'!C:AD,27,FALSE)</f>
        <v>0</v>
      </c>
      <c r="AD189" s="125">
        <f>VLOOKUP(C189,'Talente &amp; Stuff'!C:AD,28,FALSE)</f>
        <v>0</v>
      </c>
      <c r="AE189" s="28"/>
    </row>
    <row r="190" spans="2:31" s="148" customFormat="1" hidden="1" outlineLevel="2">
      <c r="B190" s="148">
        <v>38</v>
      </c>
      <c r="C190" s="163" t="s">
        <v>281</v>
      </c>
      <c r="D190" s="86" t="str">
        <f>VLOOKUP(C190,'Talente &amp; Stuff'!C:AD,2,FALSE)</f>
        <v>--/--/--</v>
      </c>
      <c r="E190" s="167" t="str">
        <f>VLOOKUP(C190,'Talente &amp; Stuff'!C:AD,3,FALSE)</f>
        <v>-</v>
      </c>
      <c r="F190" s="120">
        <f>VLOOKUP(C190,'Talente &amp; Stuff'!C:AD,4,FALSE)</f>
        <v>0</v>
      </c>
      <c r="G190" s="117">
        <f>VLOOKUP(C190,'Talente &amp; Stuff'!C:AD,5,FALSE)</f>
        <v>0</v>
      </c>
      <c r="H190" s="117">
        <f>VLOOKUP(C190,'Talente &amp; Stuff'!C:AD,6,FALSE)</f>
        <v>0</v>
      </c>
      <c r="I190" s="117">
        <f>VLOOKUP(C190,'Talente &amp; Stuff'!C:AD,7,FALSE)</f>
        <v>0</v>
      </c>
      <c r="J190" s="117">
        <f>VLOOKUP(C190,'Talente &amp; Stuff'!C:AD,8,FALSE)</f>
        <v>0</v>
      </c>
      <c r="K190" s="117">
        <f>VLOOKUP(C190,'Talente &amp; Stuff'!C:AD,9,FALSE)</f>
        <v>0</v>
      </c>
      <c r="L190" s="117">
        <f>VLOOKUP(C190,'Talente &amp; Stuff'!C:AD,10,FALSE)</f>
        <v>0</v>
      </c>
      <c r="M190" s="121">
        <f>VLOOKUP(C190,'Talente &amp; Stuff'!C:AD,11,FALSE)</f>
        <v>0</v>
      </c>
      <c r="N190" s="47">
        <f>VLOOKUP(C190,'Talente &amp; Stuff'!C:AD,12,FALSE)</f>
        <v>0</v>
      </c>
      <c r="O190" s="3">
        <f>VLOOKUP(C190,'Talente &amp; Stuff'!C:AD,13,FALSE)</f>
        <v>0</v>
      </c>
      <c r="P190" s="174">
        <f>VLOOKUP(C190,'Talente &amp; Stuff'!C:AD,14,FALSE)</f>
        <v>0</v>
      </c>
      <c r="Q190" s="114">
        <f>VLOOKUP(C190,'Talente &amp; Stuff'!C:AD,15,FALSE)</f>
        <v>0</v>
      </c>
      <c r="R190" s="117">
        <f>VLOOKUP(C190,'Talente &amp; Stuff'!C:AD,16,FALSE)</f>
        <v>0</v>
      </c>
      <c r="S190" s="119">
        <f>VLOOKUP(C190,'Talente &amp; Stuff'!C:AD,17,FALSE)</f>
        <v>0</v>
      </c>
      <c r="T190" s="119">
        <f>VLOOKUP(C190,'Talente &amp; Stuff'!C:AD,18,FALSE)</f>
        <v>0</v>
      </c>
      <c r="U190" s="89">
        <f>VLOOKUP(C190,'Talente &amp; Stuff'!C:AD,19,FALSE)</f>
        <v>0</v>
      </c>
      <c r="V190" s="47">
        <f>VLOOKUP(C190,'Talente &amp; Stuff'!C:AD,20,FALSE)</f>
        <v>0</v>
      </c>
      <c r="W190" s="127">
        <f>VLOOKUP(C190,'Talente &amp; Stuff'!C:AD,21,FALSE)</f>
        <v>0</v>
      </c>
      <c r="X190" s="127">
        <f>VLOOKUP(C190,'Talente &amp; Stuff'!C:AD,22,FALSE)</f>
        <v>0</v>
      </c>
      <c r="Y190" s="165">
        <f t="shared" si="18"/>
        <v>0</v>
      </c>
      <c r="Z190" s="198">
        <f t="shared" si="19"/>
        <v>0</v>
      </c>
      <c r="AA190" s="125">
        <f>VLOOKUP(C190,'Talente &amp; Stuff'!C:AD,25,FALSE)</f>
        <v>0</v>
      </c>
      <c r="AB190" s="160">
        <f>VLOOKUP(C190,'Talente &amp; Stuff'!C:AD,26,FALSE)</f>
        <v>0</v>
      </c>
      <c r="AC190" s="127">
        <f>VLOOKUP(C190,'Talente &amp; Stuff'!C:AD,27,FALSE)</f>
        <v>0</v>
      </c>
      <c r="AD190" s="125">
        <f>VLOOKUP(C190,'Talente &amp; Stuff'!C:AD,28,FALSE)</f>
        <v>0</v>
      </c>
      <c r="AE190" s="28"/>
    </row>
    <row r="191" spans="2:31" hidden="1" outlineLevel="2">
      <c r="B191" s="148">
        <v>39</v>
      </c>
      <c r="C191" s="163" t="s">
        <v>281</v>
      </c>
      <c r="D191" s="86" t="str">
        <f>VLOOKUP(C191,'Talente &amp; Stuff'!C:AD,2,FALSE)</f>
        <v>--/--/--</v>
      </c>
      <c r="E191" s="167" t="str">
        <f>VLOOKUP(C191,'Talente &amp; Stuff'!C:AD,3,FALSE)</f>
        <v>-</v>
      </c>
      <c r="F191" s="120">
        <f>VLOOKUP(C191,'Talente &amp; Stuff'!C:AD,4,FALSE)</f>
        <v>0</v>
      </c>
      <c r="G191" s="117">
        <f>VLOOKUP(C191,'Talente &amp; Stuff'!C:AD,5,FALSE)</f>
        <v>0</v>
      </c>
      <c r="H191" s="117">
        <f>VLOOKUP(C191,'Talente &amp; Stuff'!C:AD,6,FALSE)</f>
        <v>0</v>
      </c>
      <c r="I191" s="117">
        <f>VLOOKUP(C191,'Talente &amp; Stuff'!C:AD,7,FALSE)</f>
        <v>0</v>
      </c>
      <c r="J191" s="117">
        <f>VLOOKUP(C191,'Talente &amp; Stuff'!C:AD,8,FALSE)</f>
        <v>0</v>
      </c>
      <c r="K191" s="117">
        <f>VLOOKUP(C191,'Talente &amp; Stuff'!C:AD,9,FALSE)</f>
        <v>0</v>
      </c>
      <c r="L191" s="117">
        <f>VLOOKUP(C191,'Talente &amp; Stuff'!C:AD,10,FALSE)</f>
        <v>0</v>
      </c>
      <c r="M191" s="121">
        <f>VLOOKUP(C191,'Talente &amp; Stuff'!C:AD,11,FALSE)</f>
        <v>0</v>
      </c>
      <c r="N191" s="47">
        <f>VLOOKUP(C191,'Talente &amp; Stuff'!C:AD,12,FALSE)</f>
        <v>0</v>
      </c>
      <c r="O191" s="3">
        <f>VLOOKUP(C191,'Talente &amp; Stuff'!C:AD,13,FALSE)</f>
        <v>0</v>
      </c>
      <c r="P191" s="174">
        <f>VLOOKUP(C191,'Talente &amp; Stuff'!C:AD,14,FALSE)</f>
        <v>0</v>
      </c>
      <c r="Q191" s="114">
        <f>VLOOKUP(C191,'Talente &amp; Stuff'!C:AD,15,FALSE)</f>
        <v>0</v>
      </c>
      <c r="R191" s="117">
        <f>VLOOKUP(C191,'Talente &amp; Stuff'!C:AD,16,FALSE)</f>
        <v>0</v>
      </c>
      <c r="S191" s="119">
        <f>VLOOKUP(C191,'Talente &amp; Stuff'!C:AD,17,FALSE)</f>
        <v>0</v>
      </c>
      <c r="T191" s="119">
        <f>VLOOKUP(C191,'Talente &amp; Stuff'!C:AD,18,FALSE)</f>
        <v>0</v>
      </c>
      <c r="U191" s="89">
        <f>VLOOKUP(C191,'Talente &amp; Stuff'!C:AD,19,FALSE)</f>
        <v>0</v>
      </c>
      <c r="V191" s="47">
        <f>VLOOKUP(C191,'Talente &amp; Stuff'!C:AD,20,FALSE)</f>
        <v>0</v>
      </c>
      <c r="W191" s="127">
        <f>VLOOKUP(C191,'Talente &amp; Stuff'!C:AD,21,FALSE)</f>
        <v>0</v>
      </c>
      <c r="X191" s="127">
        <f>VLOOKUP(C191,'Talente &amp; Stuff'!C:AD,22,FALSE)</f>
        <v>0</v>
      </c>
      <c r="Y191" s="165">
        <f t="shared" si="18"/>
        <v>0</v>
      </c>
      <c r="Z191" s="198">
        <f t="shared" si="19"/>
        <v>0</v>
      </c>
      <c r="AA191" s="125">
        <f>VLOOKUP(C191,'Talente &amp; Stuff'!C:AD,25,FALSE)</f>
        <v>0</v>
      </c>
      <c r="AB191" s="160">
        <f>VLOOKUP(C191,'Talente &amp; Stuff'!C:AD,26,FALSE)</f>
        <v>0</v>
      </c>
      <c r="AC191" s="127">
        <f>VLOOKUP(C191,'Talente &amp; Stuff'!C:AD,27,FALSE)</f>
        <v>0</v>
      </c>
      <c r="AD191" s="125">
        <f>VLOOKUP(C191,'Talente &amp; Stuff'!C:AD,28,FALSE)</f>
        <v>0</v>
      </c>
      <c r="AE191" s="28"/>
    </row>
    <row r="192" spans="2:31" hidden="1" outlineLevel="2">
      <c r="B192" s="148">
        <v>40</v>
      </c>
      <c r="C192" s="163" t="s">
        <v>281</v>
      </c>
      <c r="D192" s="125" t="str">
        <f>VLOOKUP(C192,'Talente &amp; Stuff'!C:AD,2,FALSE)</f>
        <v>--/--/--</v>
      </c>
      <c r="E192" s="127" t="str">
        <f>VLOOKUP(C192,'Talente &amp; Stuff'!C:AD,3,FALSE)</f>
        <v>-</v>
      </c>
      <c r="F192" s="114">
        <f>VLOOKUP(C192,'Talente &amp; Stuff'!C:AD,4,FALSE)</f>
        <v>0</v>
      </c>
      <c r="G192" s="113">
        <f>VLOOKUP(C192,'Talente &amp; Stuff'!C:AD,5,FALSE)</f>
        <v>0</v>
      </c>
      <c r="H192" s="113">
        <f>VLOOKUP(C192,'Talente &amp; Stuff'!C:AD,6,FALSE)</f>
        <v>0</v>
      </c>
      <c r="I192" s="113">
        <f>VLOOKUP(C192,'Talente &amp; Stuff'!C:AD,7,FALSE)</f>
        <v>0</v>
      </c>
      <c r="J192" s="113">
        <f>VLOOKUP(C192,'Talente &amp; Stuff'!C:AD,8,FALSE)</f>
        <v>0</v>
      </c>
      <c r="K192" s="113">
        <f>VLOOKUP(C192,'Talente &amp; Stuff'!C:AD,9,FALSE)</f>
        <v>0</v>
      </c>
      <c r="L192" s="113">
        <f>VLOOKUP(C192,'Talente &amp; Stuff'!C:AD,10,FALSE)</f>
        <v>0</v>
      </c>
      <c r="M192" s="119">
        <f>VLOOKUP(C192,'Talente &amp; Stuff'!C:AD,11,FALSE)</f>
        <v>0</v>
      </c>
      <c r="N192" s="47">
        <f>VLOOKUP(C192,'Talente &amp; Stuff'!C:AD,12,FALSE)</f>
        <v>0</v>
      </c>
      <c r="O192" s="47">
        <f>VLOOKUP(C192,'Talente &amp; Stuff'!C:AD,13,FALSE)</f>
        <v>0</v>
      </c>
      <c r="P192" s="119">
        <f>VLOOKUP(C192,'Talente &amp; Stuff'!C:AD,14,FALSE)</f>
        <v>0</v>
      </c>
      <c r="Q192" s="114">
        <f>VLOOKUP(C192,'Talente &amp; Stuff'!C:AD,15,FALSE)</f>
        <v>0</v>
      </c>
      <c r="R192" s="113">
        <f>VLOOKUP(C192,'Talente &amp; Stuff'!C:AD,16,FALSE)</f>
        <v>0</v>
      </c>
      <c r="S192" s="119">
        <f>VLOOKUP(C192,'Talente &amp; Stuff'!C:AD,17,FALSE)</f>
        <v>0</v>
      </c>
      <c r="T192" s="119">
        <f>VLOOKUP(C192,'Talente &amp; Stuff'!C:AD,18,FALSE)</f>
        <v>0</v>
      </c>
      <c r="U192" s="89">
        <f>VLOOKUP(C192,'Talente &amp; Stuff'!C:AD,19,FALSE)</f>
        <v>0</v>
      </c>
      <c r="V192" s="47">
        <f>VLOOKUP(C192,'Talente &amp; Stuff'!C:AD,20,FALSE)</f>
        <v>0</v>
      </c>
      <c r="W192" s="127">
        <f>VLOOKUP(C192,'Talente &amp; Stuff'!C:AD,21,FALSE)</f>
        <v>0</v>
      </c>
      <c r="X192" s="127">
        <f>VLOOKUP(C192,'Talente &amp; Stuff'!C:AD,22,FALSE)</f>
        <v>0</v>
      </c>
      <c r="Y192" s="165">
        <f t="shared" si="18"/>
        <v>0</v>
      </c>
      <c r="Z192" s="198">
        <f t="shared" si="19"/>
        <v>0</v>
      </c>
      <c r="AA192" s="125">
        <f>VLOOKUP(C192,'Talente &amp; Stuff'!C:AD,25,FALSE)</f>
        <v>0</v>
      </c>
      <c r="AB192" s="160">
        <f>VLOOKUP(C192,'Talente &amp; Stuff'!C:AD,26,FALSE)</f>
        <v>0</v>
      </c>
      <c r="AC192" s="127">
        <f>VLOOKUP(C192,'Talente &amp; Stuff'!C:AD,27,FALSE)</f>
        <v>0</v>
      </c>
      <c r="AD192" s="125">
        <f>VLOOKUP(C192,'Talente &amp; Stuff'!C:AD,28,FALSE)</f>
        <v>0</v>
      </c>
      <c r="AE192" s="28"/>
    </row>
    <row r="193" spans="2:31" hidden="1" outlineLevel="2">
      <c r="B193" s="148">
        <v>41</v>
      </c>
      <c r="C193" s="163" t="s">
        <v>281</v>
      </c>
      <c r="D193" s="86" t="str">
        <f>VLOOKUP(C193,'Talente &amp; Stuff'!C:AD,2,FALSE)</f>
        <v>--/--/--</v>
      </c>
      <c r="E193" s="167" t="str">
        <f>VLOOKUP(C193,'Talente &amp; Stuff'!C:AD,3,FALSE)</f>
        <v>-</v>
      </c>
      <c r="F193" s="120">
        <f>VLOOKUP(C193,'Talente &amp; Stuff'!C:AD,4,FALSE)</f>
        <v>0</v>
      </c>
      <c r="G193" s="117">
        <f>VLOOKUP(C193,'Talente &amp; Stuff'!C:AD,5,FALSE)</f>
        <v>0</v>
      </c>
      <c r="H193" s="117">
        <f>VLOOKUP(C193,'Talente &amp; Stuff'!C:AD,6,FALSE)</f>
        <v>0</v>
      </c>
      <c r="I193" s="117">
        <f>VLOOKUP(C193,'Talente &amp; Stuff'!C:AD,7,FALSE)</f>
        <v>0</v>
      </c>
      <c r="J193" s="117">
        <f>VLOOKUP(C193,'Talente &amp; Stuff'!C:AD,8,FALSE)</f>
        <v>0</v>
      </c>
      <c r="K193" s="117">
        <f>VLOOKUP(C193,'Talente &amp; Stuff'!C:AD,9,FALSE)</f>
        <v>0</v>
      </c>
      <c r="L193" s="117">
        <f>VLOOKUP(C193,'Talente &amp; Stuff'!C:AD,10,FALSE)</f>
        <v>0</v>
      </c>
      <c r="M193" s="121">
        <f>VLOOKUP(C193,'Talente &amp; Stuff'!C:AD,11,FALSE)</f>
        <v>0</v>
      </c>
      <c r="N193" s="47">
        <f>VLOOKUP(C193,'Talente &amp; Stuff'!C:AD,12,FALSE)</f>
        <v>0</v>
      </c>
      <c r="O193" s="3">
        <f>VLOOKUP(C193,'Talente &amp; Stuff'!C:AD,13,FALSE)</f>
        <v>0</v>
      </c>
      <c r="P193" s="174">
        <f>VLOOKUP(C193,'Talente &amp; Stuff'!C:AD,14,FALSE)</f>
        <v>0</v>
      </c>
      <c r="Q193" s="114">
        <f>VLOOKUP(C193,'Talente &amp; Stuff'!C:AD,15,FALSE)</f>
        <v>0</v>
      </c>
      <c r="R193" s="117">
        <f>VLOOKUP(C193,'Talente &amp; Stuff'!C:AD,16,FALSE)</f>
        <v>0</v>
      </c>
      <c r="S193" s="119">
        <f>VLOOKUP(C193,'Talente &amp; Stuff'!C:AD,17,FALSE)</f>
        <v>0</v>
      </c>
      <c r="T193" s="119">
        <f>VLOOKUP(C193,'Talente &amp; Stuff'!C:AD,18,FALSE)</f>
        <v>0</v>
      </c>
      <c r="U193" s="89">
        <f>VLOOKUP(C193,'Talente &amp; Stuff'!C:AD,19,FALSE)</f>
        <v>0</v>
      </c>
      <c r="V193" s="47">
        <f>VLOOKUP(C193,'Talente &amp; Stuff'!C:AD,20,FALSE)</f>
        <v>0</v>
      </c>
      <c r="W193" s="127">
        <f>VLOOKUP(C193,'Talente &amp; Stuff'!C:AD,21,FALSE)</f>
        <v>0</v>
      </c>
      <c r="X193" s="127">
        <f>VLOOKUP(C193,'Talente &amp; Stuff'!C:AD,22,FALSE)</f>
        <v>0</v>
      </c>
      <c r="Y193" s="165">
        <f t="shared" si="18"/>
        <v>0</v>
      </c>
      <c r="Z193" s="198">
        <f t="shared" si="19"/>
        <v>0</v>
      </c>
      <c r="AA193" s="125">
        <f>VLOOKUP(C193,'Talente &amp; Stuff'!C:AD,25,FALSE)</f>
        <v>0</v>
      </c>
      <c r="AB193" s="160">
        <f>VLOOKUP(C193,'Talente &amp; Stuff'!C:AD,26,FALSE)</f>
        <v>0</v>
      </c>
      <c r="AC193" s="127">
        <f>VLOOKUP(C193,'Talente &amp; Stuff'!C:AD,27,FALSE)</f>
        <v>0</v>
      </c>
      <c r="AD193" s="125">
        <f>VLOOKUP(C193,'Talente &amp; Stuff'!C:AD,28,FALSE)</f>
        <v>0</v>
      </c>
      <c r="AE193" s="28"/>
    </row>
    <row r="194" spans="2:31" hidden="1" outlineLevel="2">
      <c r="B194" s="148">
        <v>42</v>
      </c>
      <c r="C194" s="163" t="s">
        <v>281</v>
      </c>
      <c r="D194" s="86" t="str">
        <f>VLOOKUP(C194,'Talente &amp; Stuff'!C:AD,2,FALSE)</f>
        <v>--/--/--</v>
      </c>
      <c r="E194" s="167" t="str">
        <f>VLOOKUP(C194,'Talente &amp; Stuff'!C:AD,3,FALSE)</f>
        <v>-</v>
      </c>
      <c r="F194" s="120">
        <f>VLOOKUP(C194,'Talente &amp; Stuff'!C:AD,4,FALSE)</f>
        <v>0</v>
      </c>
      <c r="G194" s="117">
        <f>VLOOKUP(C194,'Talente &amp; Stuff'!C:AD,5,FALSE)</f>
        <v>0</v>
      </c>
      <c r="H194" s="117">
        <f>VLOOKUP(C194,'Talente &amp; Stuff'!C:AD,6,FALSE)</f>
        <v>0</v>
      </c>
      <c r="I194" s="117">
        <f>VLOOKUP(C194,'Talente &amp; Stuff'!C:AD,7,FALSE)</f>
        <v>0</v>
      </c>
      <c r="J194" s="117">
        <f>VLOOKUP(C194,'Talente &amp; Stuff'!C:AD,8,FALSE)</f>
        <v>0</v>
      </c>
      <c r="K194" s="117">
        <f>VLOOKUP(C194,'Talente &amp; Stuff'!C:AD,9,FALSE)</f>
        <v>0</v>
      </c>
      <c r="L194" s="117">
        <f>VLOOKUP(C194,'Talente &amp; Stuff'!C:AD,10,FALSE)</f>
        <v>0</v>
      </c>
      <c r="M194" s="121">
        <f>VLOOKUP(C194,'Talente &amp; Stuff'!C:AD,11,FALSE)</f>
        <v>0</v>
      </c>
      <c r="N194" s="47">
        <f>VLOOKUP(C194,'Talente &amp; Stuff'!C:AD,12,FALSE)</f>
        <v>0</v>
      </c>
      <c r="O194" s="3">
        <f>VLOOKUP(C194,'Talente &amp; Stuff'!C:AD,13,FALSE)</f>
        <v>0</v>
      </c>
      <c r="P194" s="174">
        <f>VLOOKUP(C194,'Talente &amp; Stuff'!C:AD,14,FALSE)</f>
        <v>0</v>
      </c>
      <c r="Q194" s="114">
        <f>VLOOKUP(C194,'Talente &amp; Stuff'!C:AD,15,FALSE)</f>
        <v>0</v>
      </c>
      <c r="R194" s="117">
        <f>VLOOKUP(C194,'Talente &amp; Stuff'!C:AD,16,FALSE)</f>
        <v>0</v>
      </c>
      <c r="S194" s="119">
        <f>VLOOKUP(C194,'Talente &amp; Stuff'!C:AD,17,FALSE)</f>
        <v>0</v>
      </c>
      <c r="T194" s="119">
        <f>VLOOKUP(C194,'Talente &amp; Stuff'!C:AD,18,FALSE)</f>
        <v>0</v>
      </c>
      <c r="U194" s="89">
        <f>VLOOKUP(C194,'Talente &amp; Stuff'!C:AD,19,FALSE)</f>
        <v>0</v>
      </c>
      <c r="V194" s="47">
        <f>VLOOKUP(C194,'Talente &amp; Stuff'!C:AD,20,FALSE)</f>
        <v>0</v>
      </c>
      <c r="W194" s="127">
        <f>VLOOKUP(C194,'Talente &amp; Stuff'!C:AD,21,FALSE)</f>
        <v>0</v>
      </c>
      <c r="X194" s="127">
        <f>VLOOKUP(C194,'Talente &amp; Stuff'!C:AD,22,FALSE)</f>
        <v>0</v>
      </c>
      <c r="Y194" s="165">
        <f t="shared" si="18"/>
        <v>0</v>
      </c>
      <c r="Z194" s="198">
        <f t="shared" si="19"/>
        <v>0</v>
      </c>
      <c r="AA194" s="125">
        <f>VLOOKUP(C194,'Talente &amp; Stuff'!C:AD,25,FALSE)</f>
        <v>0</v>
      </c>
      <c r="AB194" s="160">
        <f>VLOOKUP(C194,'Talente &amp; Stuff'!C:AD,26,FALSE)</f>
        <v>0</v>
      </c>
      <c r="AC194" s="127">
        <f>VLOOKUP(C194,'Talente &amp; Stuff'!C:AD,27,FALSE)</f>
        <v>0</v>
      </c>
      <c r="AD194" s="125">
        <f>VLOOKUP(C194,'Talente &amp; Stuff'!C:AD,28,FALSE)</f>
        <v>0</v>
      </c>
      <c r="AE194" s="28"/>
    </row>
    <row r="195" spans="2:31" hidden="1" outlineLevel="2">
      <c r="B195" s="148">
        <v>43</v>
      </c>
      <c r="C195" s="163" t="s">
        <v>281</v>
      </c>
      <c r="D195" s="125" t="str">
        <f>VLOOKUP(C195,'Talente &amp; Stuff'!C:AD,2,FALSE)</f>
        <v>--/--/--</v>
      </c>
      <c r="E195" s="127" t="str">
        <f>VLOOKUP(C195,'Talente &amp; Stuff'!C:AD,3,FALSE)</f>
        <v>-</v>
      </c>
      <c r="F195" s="114">
        <f>VLOOKUP(C195,'Talente &amp; Stuff'!C:AD,4,FALSE)</f>
        <v>0</v>
      </c>
      <c r="G195" s="113">
        <f>VLOOKUP(C195,'Talente &amp; Stuff'!C:AD,5,FALSE)</f>
        <v>0</v>
      </c>
      <c r="H195" s="113">
        <f>VLOOKUP(C195,'Talente &amp; Stuff'!C:AD,6,FALSE)</f>
        <v>0</v>
      </c>
      <c r="I195" s="113">
        <f>VLOOKUP(C195,'Talente &amp; Stuff'!C:AD,7,FALSE)</f>
        <v>0</v>
      </c>
      <c r="J195" s="113">
        <f>VLOOKUP(C195,'Talente &amp; Stuff'!C:AD,8,FALSE)</f>
        <v>0</v>
      </c>
      <c r="K195" s="113">
        <f>VLOOKUP(C195,'Talente &amp; Stuff'!C:AD,9,FALSE)</f>
        <v>0</v>
      </c>
      <c r="L195" s="113">
        <f>VLOOKUP(C195,'Talente &amp; Stuff'!C:AD,10,FALSE)</f>
        <v>0</v>
      </c>
      <c r="M195" s="119">
        <f>VLOOKUP(C195,'Talente &amp; Stuff'!C:AD,11,FALSE)</f>
        <v>0</v>
      </c>
      <c r="N195" s="47">
        <f>VLOOKUP(C195,'Talente &amp; Stuff'!C:AD,12,FALSE)</f>
        <v>0</v>
      </c>
      <c r="O195" s="47">
        <f>VLOOKUP(C195,'Talente &amp; Stuff'!C:AD,13,FALSE)</f>
        <v>0</v>
      </c>
      <c r="P195" s="119">
        <f>VLOOKUP(C195,'Talente &amp; Stuff'!C:AD,14,FALSE)</f>
        <v>0</v>
      </c>
      <c r="Q195" s="114">
        <f>VLOOKUP(C195,'Talente &amp; Stuff'!C:AD,15,FALSE)</f>
        <v>0</v>
      </c>
      <c r="R195" s="113">
        <f>VLOOKUP(C195,'Talente &amp; Stuff'!C:AD,16,FALSE)</f>
        <v>0</v>
      </c>
      <c r="S195" s="119">
        <f>VLOOKUP(C195,'Talente &amp; Stuff'!C:AD,17,FALSE)</f>
        <v>0</v>
      </c>
      <c r="T195" s="119">
        <f>VLOOKUP(C195,'Talente &amp; Stuff'!C:AD,18,FALSE)</f>
        <v>0</v>
      </c>
      <c r="U195" s="89">
        <f>VLOOKUP(C195,'Talente &amp; Stuff'!C:AD,19,FALSE)</f>
        <v>0</v>
      </c>
      <c r="V195" s="47">
        <f>VLOOKUP(C195,'Talente &amp; Stuff'!C:AD,20,FALSE)</f>
        <v>0</v>
      </c>
      <c r="W195" s="127">
        <f>VLOOKUP(C195,'Talente &amp; Stuff'!C:AD,21,FALSE)</f>
        <v>0</v>
      </c>
      <c r="X195" s="127">
        <f>VLOOKUP(C195,'Talente &amp; Stuff'!C:AD,22,FALSE)</f>
        <v>0</v>
      </c>
      <c r="Y195" s="165">
        <f t="shared" si="18"/>
        <v>0</v>
      </c>
      <c r="Z195" s="198">
        <f t="shared" si="19"/>
        <v>0</v>
      </c>
      <c r="AA195" s="125">
        <f>VLOOKUP(C195,'Talente &amp; Stuff'!C:AD,25,FALSE)</f>
        <v>0</v>
      </c>
      <c r="AB195" s="160">
        <f>VLOOKUP(C195,'Talente &amp; Stuff'!C:AD,26,FALSE)</f>
        <v>0</v>
      </c>
      <c r="AC195" s="127">
        <f>VLOOKUP(C195,'Talente &amp; Stuff'!C:AD,27,FALSE)</f>
        <v>0</v>
      </c>
      <c r="AD195" s="125">
        <f>VLOOKUP(C195,'Talente &amp; Stuff'!C:AD,28,FALSE)</f>
        <v>0</v>
      </c>
      <c r="AE195" s="28"/>
    </row>
    <row r="196" spans="2:31" hidden="1" outlineLevel="2">
      <c r="B196" s="148">
        <v>44</v>
      </c>
      <c r="C196" s="163" t="s">
        <v>281</v>
      </c>
      <c r="D196" s="86" t="str">
        <f>VLOOKUP(C196,'Talente &amp; Stuff'!C:AD,2,FALSE)</f>
        <v>--/--/--</v>
      </c>
      <c r="E196" s="167" t="str">
        <f>VLOOKUP(C196,'Talente &amp; Stuff'!C:AD,3,FALSE)</f>
        <v>-</v>
      </c>
      <c r="F196" s="120">
        <f>VLOOKUP(C196,'Talente &amp; Stuff'!C:AD,4,FALSE)</f>
        <v>0</v>
      </c>
      <c r="G196" s="117">
        <f>VLOOKUP(C196,'Talente &amp; Stuff'!C:AD,5,FALSE)</f>
        <v>0</v>
      </c>
      <c r="H196" s="117">
        <f>VLOOKUP(C196,'Talente &amp; Stuff'!C:AD,6,FALSE)</f>
        <v>0</v>
      </c>
      <c r="I196" s="117">
        <f>VLOOKUP(C196,'Talente &amp; Stuff'!C:AD,7,FALSE)</f>
        <v>0</v>
      </c>
      <c r="J196" s="117">
        <f>VLOOKUP(C196,'Talente &amp; Stuff'!C:AD,8,FALSE)</f>
        <v>0</v>
      </c>
      <c r="K196" s="117">
        <f>VLOOKUP(C196,'Talente &amp; Stuff'!C:AD,9,FALSE)</f>
        <v>0</v>
      </c>
      <c r="L196" s="117">
        <f>VLOOKUP(C196,'Talente &amp; Stuff'!C:AD,10,FALSE)</f>
        <v>0</v>
      </c>
      <c r="M196" s="121">
        <f>VLOOKUP(C196,'Talente &amp; Stuff'!C:AD,11,FALSE)</f>
        <v>0</v>
      </c>
      <c r="N196" s="47">
        <f>VLOOKUP(C196,'Talente &amp; Stuff'!C:AD,12,FALSE)</f>
        <v>0</v>
      </c>
      <c r="O196" s="3">
        <f>VLOOKUP(C196,'Talente &amp; Stuff'!C:AD,13,FALSE)</f>
        <v>0</v>
      </c>
      <c r="P196" s="174">
        <f>VLOOKUP(C196,'Talente &amp; Stuff'!C:AD,14,FALSE)</f>
        <v>0</v>
      </c>
      <c r="Q196" s="114">
        <f>VLOOKUP(C196,'Talente &amp; Stuff'!C:AD,15,FALSE)</f>
        <v>0</v>
      </c>
      <c r="R196" s="117">
        <f>VLOOKUP(C196,'Talente &amp; Stuff'!C:AD,16,FALSE)</f>
        <v>0</v>
      </c>
      <c r="S196" s="119">
        <f>VLOOKUP(C196,'Talente &amp; Stuff'!C:AD,17,FALSE)</f>
        <v>0</v>
      </c>
      <c r="T196" s="119">
        <f>VLOOKUP(C196,'Talente &amp; Stuff'!C:AD,18,FALSE)</f>
        <v>0</v>
      </c>
      <c r="U196" s="89">
        <f>VLOOKUP(C196,'Talente &amp; Stuff'!C:AD,19,FALSE)</f>
        <v>0</v>
      </c>
      <c r="V196" s="47">
        <f>VLOOKUP(C196,'Talente &amp; Stuff'!C:AD,20,FALSE)</f>
        <v>0</v>
      </c>
      <c r="W196" s="127">
        <f>VLOOKUP(C196,'Talente &amp; Stuff'!C:AD,21,FALSE)</f>
        <v>0</v>
      </c>
      <c r="X196" s="127">
        <f>VLOOKUP(C196,'Talente &amp; Stuff'!C:AD,22,FALSE)</f>
        <v>0</v>
      </c>
      <c r="Y196" s="165">
        <f t="shared" si="18"/>
        <v>0</v>
      </c>
      <c r="Z196" s="198">
        <f t="shared" si="19"/>
        <v>0</v>
      </c>
      <c r="AA196" s="125">
        <f>VLOOKUP(C196,'Talente &amp; Stuff'!C:AD,25,FALSE)</f>
        <v>0</v>
      </c>
      <c r="AB196" s="160">
        <f>VLOOKUP(C196,'Talente &amp; Stuff'!C:AD,26,FALSE)</f>
        <v>0</v>
      </c>
      <c r="AC196" s="127">
        <f>VLOOKUP(C196,'Talente &amp; Stuff'!C:AD,27,FALSE)</f>
        <v>0</v>
      </c>
      <c r="AD196" s="125">
        <f>VLOOKUP(C196,'Talente &amp; Stuff'!C:AD,28,FALSE)</f>
        <v>0</v>
      </c>
      <c r="AE196" s="28"/>
    </row>
    <row r="197" spans="2:31" hidden="1" outlineLevel="2">
      <c r="B197" s="148">
        <v>45</v>
      </c>
      <c r="C197" s="163" t="s">
        <v>281</v>
      </c>
      <c r="D197" s="86" t="str">
        <f>VLOOKUP(C197,'Talente &amp; Stuff'!C:AD,2,FALSE)</f>
        <v>--/--/--</v>
      </c>
      <c r="E197" s="167" t="str">
        <f>VLOOKUP(C197,'Talente &amp; Stuff'!C:AD,3,FALSE)</f>
        <v>-</v>
      </c>
      <c r="F197" s="120">
        <f>VLOOKUP(C197,'Talente &amp; Stuff'!C:AD,4,FALSE)</f>
        <v>0</v>
      </c>
      <c r="G197" s="117">
        <f>VLOOKUP(C197,'Talente &amp; Stuff'!C:AD,5,FALSE)</f>
        <v>0</v>
      </c>
      <c r="H197" s="117">
        <f>VLOOKUP(C197,'Talente &amp; Stuff'!C:AD,6,FALSE)</f>
        <v>0</v>
      </c>
      <c r="I197" s="117">
        <f>VLOOKUP(C197,'Talente &amp; Stuff'!C:AD,7,FALSE)</f>
        <v>0</v>
      </c>
      <c r="J197" s="117">
        <f>VLOOKUP(C197,'Talente &amp; Stuff'!C:AD,8,FALSE)</f>
        <v>0</v>
      </c>
      <c r="K197" s="117">
        <f>VLOOKUP(C197,'Talente &amp; Stuff'!C:AD,9,FALSE)</f>
        <v>0</v>
      </c>
      <c r="L197" s="117">
        <f>VLOOKUP(C197,'Talente &amp; Stuff'!C:AD,10,FALSE)</f>
        <v>0</v>
      </c>
      <c r="M197" s="121">
        <f>VLOOKUP(C197,'Talente &amp; Stuff'!C:AD,11,FALSE)</f>
        <v>0</v>
      </c>
      <c r="N197" s="47">
        <f>VLOOKUP(C197,'Talente &amp; Stuff'!C:AD,12,FALSE)</f>
        <v>0</v>
      </c>
      <c r="O197" s="3">
        <f>VLOOKUP(C197,'Talente &amp; Stuff'!C:AD,13,FALSE)</f>
        <v>0</v>
      </c>
      <c r="P197" s="174">
        <f>VLOOKUP(C197,'Talente &amp; Stuff'!C:AD,14,FALSE)</f>
        <v>0</v>
      </c>
      <c r="Q197" s="114">
        <f>VLOOKUP(C197,'Talente &amp; Stuff'!C:AD,15,FALSE)</f>
        <v>0</v>
      </c>
      <c r="R197" s="117">
        <f>VLOOKUP(C197,'Talente &amp; Stuff'!C:AD,16,FALSE)</f>
        <v>0</v>
      </c>
      <c r="S197" s="119">
        <f>VLOOKUP(C197,'Talente &amp; Stuff'!C:AD,17,FALSE)</f>
        <v>0</v>
      </c>
      <c r="T197" s="119">
        <f>VLOOKUP(C197,'Talente &amp; Stuff'!C:AD,18,FALSE)</f>
        <v>0</v>
      </c>
      <c r="U197" s="89">
        <f>VLOOKUP(C197,'Talente &amp; Stuff'!C:AD,19,FALSE)</f>
        <v>0</v>
      </c>
      <c r="V197" s="47">
        <f>VLOOKUP(C197,'Talente &amp; Stuff'!C:AD,20,FALSE)</f>
        <v>0</v>
      </c>
      <c r="W197" s="127">
        <f>VLOOKUP(C197,'Talente &amp; Stuff'!C:AD,21,FALSE)</f>
        <v>0</v>
      </c>
      <c r="X197" s="127">
        <f>VLOOKUP(C197,'Talente &amp; Stuff'!C:AD,22,FALSE)</f>
        <v>0</v>
      </c>
      <c r="Y197" s="165">
        <f t="shared" si="18"/>
        <v>0</v>
      </c>
      <c r="Z197" s="198">
        <f t="shared" si="19"/>
        <v>0</v>
      </c>
      <c r="AA197" s="125">
        <f>VLOOKUP(C197,'Talente &amp; Stuff'!C:AD,25,FALSE)</f>
        <v>0</v>
      </c>
      <c r="AB197" s="160">
        <f>VLOOKUP(C197,'Talente &amp; Stuff'!C:AD,26,FALSE)</f>
        <v>0</v>
      </c>
      <c r="AC197" s="127">
        <f>VLOOKUP(C197,'Talente &amp; Stuff'!C:AD,27,FALSE)</f>
        <v>0</v>
      </c>
      <c r="AD197" s="125">
        <f>VLOOKUP(C197,'Talente &amp; Stuff'!C:AD,28,FALSE)</f>
        <v>0</v>
      </c>
      <c r="AE197" s="28"/>
    </row>
    <row r="198" spans="2:31" hidden="1" outlineLevel="2">
      <c r="B198" s="148">
        <v>46</v>
      </c>
      <c r="C198" s="163" t="s">
        <v>281</v>
      </c>
      <c r="D198" s="86" t="str">
        <f>VLOOKUP(C198,'Talente &amp; Stuff'!C:AD,2,FALSE)</f>
        <v>--/--/--</v>
      </c>
      <c r="E198" s="167" t="str">
        <f>VLOOKUP(C198,'Talente &amp; Stuff'!C:AD,3,FALSE)</f>
        <v>-</v>
      </c>
      <c r="F198" s="120">
        <f>VLOOKUP(C198,'Talente &amp; Stuff'!C:AD,4,FALSE)</f>
        <v>0</v>
      </c>
      <c r="G198" s="117">
        <f>VLOOKUP(C198,'Talente &amp; Stuff'!C:AD,5,FALSE)</f>
        <v>0</v>
      </c>
      <c r="H198" s="117">
        <f>VLOOKUP(C198,'Talente &amp; Stuff'!C:AD,6,FALSE)</f>
        <v>0</v>
      </c>
      <c r="I198" s="117">
        <f>VLOOKUP(C198,'Talente &amp; Stuff'!C:AD,7,FALSE)</f>
        <v>0</v>
      </c>
      <c r="J198" s="117">
        <f>VLOOKUP(C198,'Talente &amp; Stuff'!C:AD,8,FALSE)</f>
        <v>0</v>
      </c>
      <c r="K198" s="117">
        <f>VLOOKUP(C198,'Talente &amp; Stuff'!C:AD,9,FALSE)</f>
        <v>0</v>
      </c>
      <c r="L198" s="117">
        <f>VLOOKUP(C198,'Talente &amp; Stuff'!C:AD,10,FALSE)</f>
        <v>0</v>
      </c>
      <c r="M198" s="121">
        <f>VLOOKUP(C198,'Talente &amp; Stuff'!C:AD,11,FALSE)</f>
        <v>0</v>
      </c>
      <c r="N198" s="47">
        <f>VLOOKUP(C198,'Talente &amp; Stuff'!C:AD,12,FALSE)</f>
        <v>0</v>
      </c>
      <c r="O198" s="3">
        <f>VLOOKUP(C198,'Talente &amp; Stuff'!C:AD,13,FALSE)</f>
        <v>0</v>
      </c>
      <c r="P198" s="174">
        <f>VLOOKUP(C198,'Talente &amp; Stuff'!C:AD,14,FALSE)</f>
        <v>0</v>
      </c>
      <c r="Q198" s="114">
        <f>VLOOKUP(C198,'Talente &amp; Stuff'!C:AD,15,FALSE)</f>
        <v>0</v>
      </c>
      <c r="R198" s="117">
        <f>VLOOKUP(C198,'Talente &amp; Stuff'!C:AD,16,FALSE)</f>
        <v>0</v>
      </c>
      <c r="S198" s="119">
        <f>VLOOKUP(C198,'Talente &amp; Stuff'!C:AD,17,FALSE)</f>
        <v>0</v>
      </c>
      <c r="T198" s="119">
        <f>VLOOKUP(C198,'Talente &amp; Stuff'!C:AD,18,FALSE)</f>
        <v>0</v>
      </c>
      <c r="U198" s="89">
        <f>VLOOKUP(C198,'Talente &amp; Stuff'!C:AD,19,FALSE)</f>
        <v>0</v>
      </c>
      <c r="V198" s="47">
        <f>VLOOKUP(C198,'Talente &amp; Stuff'!C:AD,20,FALSE)</f>
        <v>0</v>
      </c>
      <c r="W198" s="127">
        <f>VLOOKUP(C198,'Talente &amp; Stuff'!C:AD,21,FALSE)</f>
        <v>0</v>
      </c>
      <c r="X198" s="127">
        <f>VLOOKUP(C198,'Talente &amp; Stuff'!C:AD,22,FALSE)</f>
        <v>0</v>
      </c>
      <c r="Y198" s="165">
        <f t="shared" si="18"/>
        <v>0</v>
      </c>
      <c r="Z198" s="198">
        <f t="shared" si="19"/>
        <v>0</v>
      </c>
      <c r="AA198" s="125">
        <f>VLOOKUP(C198,'Talente &amp; Stuff'!C:AD,25,FALSE)</f>
        <v>0</v>
      </c>
      <c r="AB198" s="160">
        <f>VLOOKUP(C198,'Talente &amp; Stuff'!C:AD,26,FALSE)</f>
        <v>0</v>
      </c>
      <c r="AC198" s="127">
        <f>VLOOKUP(C198,'Talente &amp; Stuff'!C:AD,27,FALSE)</f>
        <v>0</v>
      </c>
      <c r="AD198" s="125">
        <f>VLOOKUP(C198,'Talente &amp; Stuff'!C:AD,28,FALSE)</f>
        <v>0</v>
      </c>
      <c r="AE198" s="28"/>
    </row>
    <row r="199" spans="2:31" hidden="1" outlineLevel="2">
      <c r="B199" s="148">
        <v>47</v>
      </c>
      <c r="C199" s="163" t="s">
        <v>281</v>
      </c>
      <c r="D199" s="125" t="str">
        <f>VLOOKUP(C199,'Talente &amp; Stuff'!C:AD,2,FALSE)</f>
        <v>--/--/--</v>
      </c>
      <c r="E199" s="127" t="str">
        <f>VLOOKUP(C199,'Talente &amp; Stuff'!C:AD,3,FALSE)</f>
        <v>-</v>
      </c>
      <c r="F199" s="114">
        <f>VLOOKUP(C199,'Talente &amp; Stuff'!C:AD,4,FALSE)</f>
        <v>0</v>
      </c>
      <c r="G199" s="113">
        <f>VLOOKUP(C199,'Talente &amp; Stuff'!C:AD,5,FALSE)</f>
        <v>0</v>
      </c>
      <c r="H199" s="113">
        <f>VLOOKUP(C199,'Talente &amp; Stuff'!C:AD,6,FALSE)</f>
        <v>0</v>
      </c>
      <c r="I199" s="113">
        <f>VLOOKUP(C199,'Talente &amp; Stuff'!C:AD,7,FALSE)</f>
        <v>0</v>
      </c>
      <c r="J199" s="113">
        <f>VLOOKUP(C199,'Talente &amp; Stuff'!C:AD,8,FALSE)</f>
        <v>0</v>
      </c>
      <c r="K199" s="113">
        <f>VLOOKUP(C199,'Talente &amp; Stuff'!C:AD,9,FALSE)</f>
        <v>0</v>
      </c>
      <c r="L199" s="113">
        <f>VLOOKUP(C199,'Talente &amp; Stuff'!C:AD,10,FALSE)</f>
        <v>0</v>
      </c>
      <c r="M199" s="119">
        <f>VLOOKUP(C199,'Talente &amp; Stuff'!C:AD,11,FALSE)</f>
        <v>0</v>
      </c>
      <c r="N199" s="47">
        <f>VLOOKUP(C199,'Talente &amp; Stuff'!C:AD,12,FALSE)</f>
        <v>0</v>
      </c>
      <c r="O199" s="47">
        <f>VLOOKUP(C199,'Talente &amp; Stuff'!C:AD,13,FALSE)</f>
        <v>0</v>
      </c>
      <c r="P199" s="119">
        <f>VLOOKUP(C199,'Talente &amp; Stuff'!C:AD,14,FALSE)</f>
        <v>0</v>
      </c>
      <c r="Q199" s="114">
        <f>VLOOKUP(C199,'Talente &amp; Stuff'!C:AD,15,FALSE)</f>
        <v>0</v>
      </c>
      <c r="R199" s="113">
        <f>VLOOKUP(C199,'Talente &amp; Stuff'!C:AD,16,FALSE)</f>
        <v>0</v>
      </c>
      <c r="S199" s="119">
        <f>VLOOKUP(C199,'Talente &amp; Stuff'!C:AD,17,FALSE)</f>
        <v>0</v>
      </c>
      <c r="T199" s="119">
        <f>VLOOKUP(C199,'Talente &amp; Stuff'!C:AD,18,FALSE)</f>
        <v>0</v>
      </c>
      <c r="U199" s="89">
        <f>VLOOKUP(C199,'Talente &amp; Stuff'!C:AD,19,FALSE)</f>
        <v>0</v>
      </c>
      <c r="V199" s="47">
        <f>VLOOKUP(C199,'Talente &amp; Stuff'!C:AD,20,FALSE)</f>
        <v>0</v>
      </c>
      <c r="W199" s="127">
        <f>VLOOKUP(C199,'Talente &amp; Stuff'!C:AD,21,FALSE)</f>
        <v>0</v>
      </c>
      <c r="X199" s="127">
        <f>VLOOKUP(C199,'Talente &amp; Stuff'!C:AD,22,FALSE)</f>
        <v>0</v>
      </c>
      <c r="Y199" s="165">
        <f t="shared" si="18"/>
        <v>0</v>
      </c>
      <c r="Z199" s="198">
        <f t="shared" si="19"/>
        <v>0</v>
      </c>
      <c r="AA199" s="125">
        <f>VLOOKUP(C199,'Talente &amp; Stuff'!C:AD,25,FALSE)</f>
        <v>0</v>
      </c>
      <c r="AB199" s="160">
        <f>VLOOKUP(C199,'Talente &amp; Stuff'!C:AD,26,FALSE)</f>
        <v>0</v>
      </c>
      <c r="AC199" s="127">
        <f>VLOOKUP(C199,'Talente &amp; Stuff'!C:AD,27,FALSE)</f>
        <v>0</v>
      </c>
      <c r="AD199" s="125">
        <f>VLOOKUP(C199,'Talente &amp; Stuff'!C:AD,28,FALSE)</f>
        <v>0</v>
      </c>
      <c r="AE199" s="28"/>
    </row>
    <row r="200" spans="2:31" hidden="1" outlineLevel="2">
      <c r="B200" s="148">
        <v>48</v>
      </c>
      <c r="C200" s="163" t="s">
        <v>281</v>
      </c>
      <c r="D200" s="86" t="str">
        <f>VLOOKUP(C200,'Talente &amp; Stuff'!C:AD,2,FALSE)</f>
        <v>--/--/--</v>
      </c>
      <c r="E200" s="167" t="str">
        <f>VLOOKUP(C200,'Talente &amp; Stuff'!C:AD,3,FALSE)</f>
        <v>-</v>
      </c>
      <c r="F200" s="120">
        <f>VLOOKUP(C200,'Talente &amp; Stuff'!C:AD,4,FALSE)</f>
        <v>0</v>
      </c>
      <c r="G200" s="117">
        <f>VLOOKUP(C200,'Talente &amp; Stuff'!C:AD,5,FALSE)</f>
        <v>0</v>
      </c>
      <c r="H200" s="117">
        <f>VLOOKUP(C200,'Talente &amp; Stuff'!C:AD,6,FALSE)</f>
        <v>0</v>
      </c>
      <c r="I200" s="117">
        <f>VLOOKUP(C200,'Talente &amp; Stuff'!C:AD,7,FALSE)</f>
        <v>0</v>
      </c>
      <c r="J200" s="117">
        <f>VLOOKUP(C200,'Talente &amp; Stuff'!C:AD,8,FALSE)</f>
        <v>0</v>
      </c>
      <c r="K200" s="117">
        <f>VLOOKUP(C200,'Talente &amp; Stuff'!C:AD,9,FALSE)</f>
        <v>0</v>
      </c>
      <c r="L200" s="117">
        <f>VLOOKUP(C200,'Talente &amp; Stuff'!C:AD,10,FALSE)</f>
        <v>0</v>
      </c>
      <c r="M200" s="121">
        <f>VLOOKUP(C200,'Talente &amp; Stuff'!C:AD,11,FALSE)</f>
        <v>0</v>
      </c>
      <c r="N200" s="47">
        <f>VLOOKUP(C200,'Talente &amp; Stuff'!C:AD,12,FALSE)</f>
        <v>0</v>
      </c>
      <c r="O200" s="3">
        <f>VLOOKUP(C200,'Talente &amp; Stuff'!C:AD,13,FALSE)</f>
        <v>0</v>
      </c>
      <c r="P200" s="174">
        <f>VLOOKUP(C200,'Talente &amp; Stuff'!C:AD,14,FALSE)</f>
        <v>0</v>
      </c>
      <c r="Q200" s="114">
        <f>VLOOKUP(C200,'Talente &amp; Stuff'!C:AD,15,FALSE)</f>
        <v>0</v>
      </c>
      <c r="R200" s="117">
        <f>VLOOKUP(C200,'Talente &amp; Stuff'!C:AD,16,FALSE)</f>
        <v>0</v>
      </c>
      <c r="S200" s="119">
        <f>VLOOKUP(C200,'Talente &amp; Stuff'!C:AD,17,FALSE)</f>
        <v>0</v>
      </c>
      <c r="T200" s="119">
        <f>VLOOKUP(C200,'Talente &amp; Stuff'!C:AD,18,FALSE)</f>
        <v>0</v>
      </c>
      <c r="U200" s="89">
        <f>VLOOKUP(C200,'Talente &amp; Stuff'!C:AD,19,FALSE)</f>
        <v>0</v>
      </c>
      <c r="V200" s="47">
        <f>VLOOKUP(C200,'Talente &amp; Stuff'!C:AD,20,FALSE)</f>
        <v>0</v>
      </c>
      <c r="W200" s="127">
        <f>VLOOKUP(C200,'Talente &amp; Stuff'!C:AD,21,FALSE)</f>
        <v>0</v>
      </c>
      <c r="X200" s="127">
        <f>VLOOKUP(C200,'Talente &amp; Stuff'!C:AD,22,FALSE)</f>
        <v>0</v>
      </c>
      <c r="Y200" s="165">
        <f t="shared" si="18"/>
        <v>0</v>
      </c>
      <c r="Z200" s="198">
        <f t="shared" si="19"/>
        <v>0</v>
      </c>
      <c r="AA200" s="125">
        <f>VLOOKUP(C200,'Talente &amp; Stuff'!C:AD,25,FALSE)</f>
        <v>0</v>
      </c>
      <c r="AB200" s="160">
        <f>VLOOKUP(C200,'Talente &amp; Stuff'!C:AD,26,FALSE)</f>
        <v>0</v>
      </c>
      <c r="AC200" s="127">
        <f>VLOOKUP(C200,'Talente &amp; Stuff'!C:AD,27,FALSE)</f>
        <v>0</v>
      </c>
      <c r="AD200" s="125">
        <f>VLOOKUP(C200,'Talente &amp; Stuff'!C:AD,28,FALSE)</f>
        <v>0</v>
      </c>
      <c r="AE200" s="28"/>
    </row>
    <row r="201" spans="2:31" hidden="1" outlineLevel="2">
      <c r="B201" s="148">
        <v>49</v>
      </c>
      <c r="C201" s="163" t="s">
        <v>281</v>
      </c>
      <c r="D201" s="125" t="str">
        <f>VLOOKUP(C201,'Talente &amp; Stuff'!C:AD,2,FALSE)</f>
        <v>--/--/--</v>
      </c>
      <c r="E201" s="127" t="str">
        <f>VLOOKUP(C201,'Talente &amp; Stuff'!C:AD,3,FALSE)</f>
        <v>-</v>
      </c>
      <c r="F201" s="114">
        <f>VLOOKUP(C201,'Talente &amp; Stuff'!C:AD,4,FALSE)</f>
        <v>0</v>
      </c>
      <c r="G201" s="113">
        <f>VLOOKUP(C201,'Talente &amp; Stuff'!C:AD,5,FALSE)</f>
        <v>0</v>
      </c>
      <c r="H201" s="113">
        <f>VLOOKUP(C201,'Talente &amp; Stuff'!C:AD,6,FALSE)</f>
        <v>0</v>
      </c>
      <c r="I201" s="113">
        <f>VLOOKUP(C201,'Talente &amp; Stuff'!C:AD,7,FALSE)</f>
        <v>0</v>
      </c>
      <c r="J201" s="113">
        <f>VLOOKUP(C201,'Talente &amp; Stuff'!C:AD,8,FALSE)</f>
        <v>0</v>
      </c>
      <c r="K201" s="113">
        <f>VLOOKUP(C201,'Talente &amp; Stuff'!C:AD,9,FALSE)</f>
        <v>0</v>
      </c>
      <c r="L201" s="113">
        <f>VLOOKUP(C201,'Talente &amp; Stuff'!C:AD,10,FALSE)</f>
        <v>0</v>
      </c>
      <c r="M201" s="119">
        <f>VLOOKUP(C201,'Talente &amp; Stuff'!C:AD,11,FALSE)</f>
        <v>0</v>
      </c>
      <c r="N201" s="47">
        <f>VLOOKUP(C201,'Talente &amp; Stuff'!C:AD,12,FALSE)</f>
        <v>0</v>
      </c>
      <c r="O201" s="47">
        <f>VLOOKUP(C201,'Talente &amp; Stuff'!C:AD,13,FALSE)</f>
        <v>0</v>
      </c>
      <c r="P201" s="119">
        <f>VLOOKUP(C201,'Talente &amp; Stuff'!C:AD,14,FALSE)</f>
        <v>0</v>
      </c>
      <c r="Q201" s="114">
        <f>VLOOKUP(C201,'Talente &amp; Stuff'!C:AD,15,FALSE)</f>
        <v>0</v>
      </c>
      <c r="R201" s="113">
        <f>VLOOKUP(C201,'Talente &amp; Stuff'!C:AD,16,FALSE)</f>
        <v>0</v>
      </c>
      <c r="S201" s="119">
        <f>VLOOKUP(C201,'Talente &amp; Stuff'!C:AD,17,FALSE)</f>
        <v>0</v>
      </c>
      <c r="T201" s="119">
        <f>VLOOKUP(C201,'Talente &amp; Stuff'!C:AD,18,FALSE)</f>
        <v>0</v>
      </c>
      <c r="U201" s="89">
        <f>VLOOKUP(C201,'Talente &amp; Stuff'!C:AD,19,FALSE)</f>
        <v>0</v>
      </c>
      <c r="V201" s="47">
        <f>VLOOKUP(C201,'Talente &amp; Stuff'!C:AD,20,FALSE)</f>
        <v>0</v>
      </c>
      <c r="W201" s="127">
        <f>VLOOKUP(C201,'Talente &amp; Stuff'!C:AD,21,FALSE)</f>
        <v>0</v>
      </c>
      <c r="X201" s="127">
        <f>VLOOKUP(C201,'Talente &amp; Stuff'!C:AD,22,FALSE)</f>
        <v>0</v>
      </c>
      <c r="Y201" s="165">
        <f t="shared" si="18"/>
        <v>0</v>
      </c>
      <c r="Z201" s="198">
        <f t="shared" si="19"/>
        <v>0</v>
      </c>
      <c r="AA201" s="125">
        <f>VLOOKUP(C201,'Talente &amp; Stuff'!C:AD,25,FALSE)</f>
        <v>0</v>
      </c>
      <c r="AB201" s="160">
        <f>VLOOKUP(C201,'Talente &amp; Stuff'!C:AD,26,FALSE)</f>
        <v>0</v>
      </c>
      <c r="AC201" s="127">
        <f>VLOOKUP(C201,'Talente &amp; Stuff'!C:AD,27,FALSE)</f>
        <v>0</v>
      </c>
      <c r="AD201" s="125">
        <f>VLOOKUP(C201,'Talente &amp; Stuff'!C:AD,28,FALSE)</f>
        <v>0</v>
      </c>
      <c r="AE201" s="28"/>
    </row>
    <row r="202" spans="2:31" hidden="1" outlineLevel="2">
      <c r="B202" s="148">
        <v>50</v>
      </c>
      <c r="C202" s="163" t="s">
        <v>281</v>
      </c>
      <c r="D202" s="125" t="str">
        <f>VLOOKUP(C202,'Talente &amp; Stuff'!C:AD,2,FALSE)</f>
        <v>--/--/--</v>
      </c>
      <c r="E202" s="127" t="str">
        <f>VLOOKUP(C202,'Talente &amp; Stuff'!C:AD,3,FALSE)</f>
        <v>-</v>
      </c>
      <c r="F202" s="114">
        <f>VLOOKUP(C202,'Talente &amp; Stuff'!C:AD,4,FALSE)</f>
        <v>0</v>
      </c>
      <c r="G202" s="113">
        <f>VLOOKUP(C202,'Talente &amp; Stuff'!C:AD,5,FALSE)</f>
        <v>0</v>
      </c>
      <c r="H202" s="113">
        <f>VLOOKUP(C202,'Talente &amp; Stuff'!C:AD,6,FALSE)</f>
        <v>0</v>
      </c>
      <c r="I202" s="113">
        <f>VLOOKUP(C202,'Talente &amp; Stuff'!C:AD,7,FALSE)</f>
        <v>0</v>
      </c>
      <c r="J202" s="113">
        <f>VLOOKUP(C202,'Talente &amp; Stuff'!C:AD,8,FALSE)</f>
        <v>0</v>
      </c>
      <c r="K202" s="113">
        <f>VLOOKUP(C202,'Talente &amp; Stuff'!C:AD,9,FALSE)</f>
        <v>0</v>
      </c>
      <c r="L202" s="113">
        <f>VLOOKUP(C202,'Talente &amp; Stuff'!C:AD,10,FALSE)</f>
        <v>0</v>
      </c>
      <c r="M202" s="119">
        <f>VLOOKUP(C202,'Talente &amp; Stuff'!C:AD,11,FALSE)</f>
        <v>0</v>
      </c>
      <c r="N202" s="47">
        <f>VLOOKUP(C202,'Talente &amp; Stuff'!C:AD,12,FALSE)</f>
        <v>0</v>
      </c>
      <c r="O202" s="47">
        <f>VLOOKUP(C202,'Talente &amp; Stuff'!C:AD,13,FALSE)</f>
        <v>0</v>
      </c>
      <c r="P202" s="119">
        <f>VLOOKUP(C202,'Talente &amp; Stuff'!C:AD,14,FALSE)</f>
        <v>0</v>
      </c>
      <c r="Q202" s="114">
        <f>VLOOKUP(C202,'Talente &amp; Stuff'!C:AD,15,FALSE)</f>
        <v>0</v>
      </c>
      <c r="R202" s="113">
        <f>VLOOKUP(C202,'Talente &amp; Stuff'!C:AD,16,FALSE)</f>
        <v>0</v>
      </c>
      <c r="S202" s="119">
        <f>VLOOKUP(C202,'Talente &amp; Stuff'!C:AD,17,FALSE)</f>
        <v>0</v>
      </c>
      <c r="T202" s="119">
        <f>VLOOKUP(C202,'Talente &amp; Stuff'!C:AD,18,FALSE)</f>
        <v>0</v>
      </c>
      <c r="U202" s="89">
        <f>VLOOKUP(C202,'Talente &amp; Stuff'!C:AD,19,FALSE)</f>
        <v>0</v>
      </c>
      <c r="V202" s="47">
        <f>VLOOKUP(C202,'Talente &amp; Stuff'!C:AD,20,FALSE)</f>
        <v>0</v>
      </c>
      <c r="W202" s="127">
        <f>VLOOKUP(C202,'Talente &amp; Stuff'!C:AD,21,FALSE)</f>
        <v>0</v>
      </c>
      <c r="X202" s="127">
        <f>VLOOKUP(C202,'Talente &amp; Stuff'!C:AD,22,FALSE)</f>
        <v>0</v>
      </c>
      <c r="Y202" s="165">
        <f t="shared" si="18"/>
        <v>0</v>
      </c>
      <c r="Z202" s="198">
        <f t="shared" si="19"/>
        <v>0</v>
      </c>
      <c r="AA202" s="125">
        <f>VLOOKUP(C202,'Talente &amp; Stuff'!C:AD,25,FALSE)</f>
        <v>0</v>
      </c>
      <c r="AB202" s="160">
        <f>VLOOKUP(C202,'Talente &amp; Stuff'!C:AD,26,FALSE)</f>
        <v>0</v>
      </c>
      <c r="AC202" s="127">
        <f>VLOOKUP(C202,'Talente &amp; Stuff'!C:AD,27,FALSE)</f>
        <v>0</v>
      </c>
      <c r="AD202" s="125">
        <f>VLOOKUP(C202,'Talente &amp; Stuff'!C:AD,28,FALSE)</f>
        <v>0</v>
      </c>
      <c r="AE202" s="28"/>
    </row>
    <row r="203" spans="2:31" s="138" customFormat="1" hidden="1" outlineLevel="2">
      <c r="B203" s="148">
        <v>51</v>
      </c>
      <c r="C203" s="163" t="s">
        <v>281</v>
      </c>
      <c r="D203" s="86" t="str">
        <f>VLOOKUP(C203,'Talente &amp; Stuff'!C:AD,2,FALSE)</f>
        <v>--/--/--</v>
      </c>
      <c r="E203" s="167" t="str">
        <f>VLOOKUP(C203,'Talente &amp; Stuff'!C:AD,3,FALSE)</f>
        <v>-</v>
      </c>
      <c r="F203" s="120">
        <f>VLOOKUP(C203,'Talente &amp; Stuff'!C:AD,4,FALSE)</f>
        <v>0</v>
      </c>
      <c r="G203" s="117">
        <f>VLOOKUP(C203,'Talente &amp; Stuff'!C:AD,5,FALSE)</f>
        <v>0</v>
      </c>
      <c r="H203" s="117">
        <f>VLOOKUP(C203,'Talente &amp; Stuff'!C:AD,6,FALSE)</f>
        <v>0</v>
      </c>
      <c r="I203" s="117">
        <f>VLOOKUP(C203,'Talente &amp; Stuff'!C:AD,7,FALSE)</f>
        <v>0</v>
      </c>
      <c r="J203" s="117">
        <f>VLOOKUP(C203,'Talente &amp; Stuff'!C:AD,8,FALSE)</f>
        <v>0</v>
      </c>
      <c r="K203" s="117">
        <f>VLOOKUP(C203,'Talente &amp; Stuff'!C:AD,9,FALSE)</f>
        <v>0</v>
      </c>
      <c r="L203" s="117">
        <f>VLOOKUP(C203,'Talente &amp; Stuff'!C:AD,10,FALSE)</f>
        <v>0</v>
      </c>
      <c r="M203" s="121">
        <f>VLOOKUP(C203,'Talente &amp; Stuff'!C:AD,11,FALSE)</f>
        <v>0</v>
      </c>
      <c r="N203" s="47">
        <f>VLOOKUP(C203,'Talente &amp; Stuff'!C:AD,12,FALSE)</f>
        <v>0</v>
      </c>
      <c r="O203" s="3">
        <f>VLOOKUP(C203,'Talente &amp; Stuff'!C:AD,13,FALSE)</f>
        <v>0</v>
      </c>
      <c r="P203" s="174">
        <f>VLOOKUP(C203,'Talente &amp; Stuff'!C:AD,14,FALSE)</f>
        <v>0</v>
      </c>
      <c r="Q203" s="114">
        <f>VLOOKUP(C203,'Talente &amp; Stuff'!C:AD,15,FALSE)</f>
        <v>0</v>
      </c>
      <c r="R203" s="117">
        <f>VLOOKUP(C203,'Talente &amp; Stuff'!C:AD,16,FALSE)</f>
        <v>0</v>
      </c>
      <c r="S203" s="119">
        <f>VLOOKUP(C203,'Talente &amp; Stuff'!C:AD,17,FALSE)</f>
        <v>0</v>
      </c>
      <c r="T203" s="119">
        <f>VLOOKUP(C203,'Talente &amp; Stuff'!C:AD,18,FALSE)</f>
        <v>0</v>
      </c>
      <c r="U203" s="89">
        <f>VLOOKUP(C203,'Talente &amp; Stuff'!C:AD,19,FALSE)</f>
        <v>0</v>
      </c>
      <c r="V203" s="47">
        <f>VLOOKUP(C203,'Talente &amp; Stuff'!C:AD,20,FALSE)</f>
        <v>0</v>
      </c>
      <c r="W203" s="127">
        <f>VLOOKUP(C203,'Talente &amp; Stuff'!C:AD,21,FALSE)</f>
        <v>0</v>
      </c>
      <c r="X203" s="127">
        <f>VLOOKUP(C203,'Talente &amp; Stuff'!C:AD,22,FALSE)</f>
        <v>0</v>
      </c>
      <c r="Y203" s="165">
        <f t="shared" si="18"/>
        <v>0</v>
      </c>
      <c r="Z203" s="198">
        <f t="shared" si="19"/>
        <v>0</v>
      </c>
      <c r="AA203" s="125">
        <f>VLOOKUP(C203,'Talente &amp; Stuff'!C:AD,25,FALSE)</f>
        <v>0</v>
      </c>
      <c r="AB203" s="160">
        <f>VLOOKUP(C203,'Talente &amp; Stuff'!C:AD,26,FALSE)</f>
        <v>0</v>
      </c>
      <c r="AC203" s="127">
        <f>VLOOKUP(C203,'Talente &amp; Stuff'!C:AD,27,FALSE)</f>
        <v>0</v>
      </c>
      <c r="AD203" s="125">
        <f>VLOOKUP(C203,'Talente &amp; Stuff'!C:AD,28,FALSE)</f>
        <v>0</v>
      </c>
      <c r="AE203" s="28"/>
    </row>
    <row r="204" spans="2:31" s="138" customFormat="1" hidden="1" outlineLevel="2">
      <c r="B204" s="148">
        <v>52</v>
      </c>
      <c r="C204" s="163" t="s">
        <v>281</v>
      </c>
      <c r="D204" s="125" t="str">
        <f>VLOOKUP(C204,'Talente &amp; Stuff'!C:AD,2,FALSE)</f>
        <v>--/--/--</v>
      </c>
      <c r="E204" s="127" t="str">
        <f>VLOOKUP(C204,'Talente &amp; Stuff'!C:AD,3,FALSE)</f>
        <v>-</v>
      </c>
      <c r="F204" s="114">
        <f>VLOOKUP(C204,'Talente &amp; Stuff'!C:AD,4,FALSE)</f>
        <v>0</v>
      </c>
      <c r="G204" s="113">
        <f>VLOOKUP(C204,'Talente &amp; Stuff'!C:AD,5,FALSE)</f>
        <v>0</v>
      </c>
      <c r="H204" s="113">
        <f>VLOOKUP(C204,'Talente &amp; Stuff'!C:AD,6,FALSE)</f>
        <v>0</v>
      </c>
      <c r="I204" s="113">
        <f>VLOOKUP(C204,'Talente &amp; Stuff'!C:AD,7,FALSE)</f>
        <v>0</v>
      </c>
      <c r="J204" s="113">
        <f>VLOOKUP(C204,'Talente &amp; Stuff'!C:AD,8,FALSE)</f>
        <v>0</v>
      </c>
      <c r="K204" s="113">
        <f>VLOOKUP(C204,'Talente &amp; Stuff'!C:AD,9,FALSE)</f>
        <v>0</v>
      </c>
      <c r="L204" s="113">
        <f>VLOOKUP(C204,'Talente &amp; Stuff'!C:AD,10,FALSE)</f>
        <v>0</v>
      </c>
      <c r="M204" s="119">
        <f>VLOOKUP(C204,'Talente &amp; Stuff'!C:AD,11,FALSE)</f>
        <v>0</v>
      </c>
      <c r="N204" s="47">
        <f>VLOOKUP(C204,'Talente &amp; Stuff'!C:AD,12,FALSE)</f>
        <v>0</v>
      </c>
      <c r="O204" s="47">
        <f>VLOOKUP(C204,'Talente &amp; Stuff'!C:AD,13,FALSE)</f>
        <v>0</v>
      </c>
      <c r="P204" s="119">
        <f>VLOOKUP(C204,'Talente &amp; Stuff'!C:AD,14,FALSE)</f>
        <v>0</v>
      </c>
      <c r="Q204" s="114">
        <f>VLOOKUP(C204,'Talente &amp; Stuff'!C:AD,15,FALSE)</f>
        <v>0</v>
      </c>
      <c r="R204" s="113">
        <f>VLOOKUP(C204,'Talente &amp; Stuff'!C:AD,16,FALSE)</f>
        <v>0</v>
      </c>
      <c r="S204" s="119">
        <f>VLOOKUP(C204,'Talente &amp; Stuff'!C:AD,17,FALSE)</f>
        <v>0</v>
      </c>
      <c r="T204" s="119">
        <f>VLOOKUP(C204,'Talente &amp; Stuff'!C:AD,18,FALSE)</f>
        <v>0</v>
      </c>
      <c r="U204" s="89">
        <f>VLOOKUP(C204,'Talente &amp; Stuff'!C:AD,19,FALSE)</f>
        <v>0</v>
      </c>
      <c r="V204" s="47">
        <f>VLOOKUP(C204,'Talente &amp; Stuff'!C:AD,20,FALSE)</f>
        <v>0</v>
      </c>
      <c r="W204" s="127">
        <f>VLOOKUP(C204,'Talente &amp; Stuff'!C:AD,21,FALSE)</f>
        <v>0</v>
      </c>
      <c r="X204" s="127">
        <f>VLOOKUP(C204,'Talente &amp; Stuff'!C:AD,22,FALSE)</f>
        <v>0</v>
      </c>
      <c r="Y204" s="165">
        <f t="shared" si="18"/>
        <v>0</v>
      </c>
      <c r="Z204" s="198">
        <f t="shared" si="19"/>
        <v>0</v>
      </c>
      <c r="AA204" s="125">
        <f>VLOOKUP(C204,'Talente &amp; Stuff'!C:AD,25,FALSE)</f>
        <v>0</v>
      </c>
      <c r="AB204" s="160">
        <f>VLOOKUP(C204,'Talente &amp; Stuff'!C:AD,26,FALSE)</f>
        <v>0</v>
      </c>
      <c r="AC204" s="127">
        <f>VLOOKUP(C204,'Talente &amp; Stuff'!C:AD,27,FALSE)</f>
        <v>0</v>
      </c>
      <c r="AD204" s="125">
        <f>VLOOKUP(C204,'Talente &amp; Stuff'!C:AD,28,FALSE)</f>
        <v>0</v>
      </c>
      <c r="AE204" s="28"/>
    </row>
    <row r="205" spans="2:31" s="138" customFormat="1" hidden="1" outlineLevel="2">
      <c r="B205" s="148">
        <v>53</v>
      </c>
      <c r="C205" s="163" t="s">
        <v>281</v>
      </c>
      <c r="D205" s="86" t="str">
        <f>VLOOKUP(C205,'Talente &amp; Stuff'!C:AD,2,FALSE)</f>
        <v>--/--/--</v>
      </c>
      <c r="E205" s="127" t="str">
        <f>VLOOKUP(C205,'Talente &amp; Stuff'!C:AD,3,FALSE)</f>
        <v>-</v>
      </c>
      <c r="F205" s="114">
        <f>VLOOKUP(C205,'Talente &amp; Stuff'!C:AD,4,FALSE)</f>
        <v>0</v>
      </c>
      <c r="G205" s="113">
        <f>VLOOKUP(C205,'Talente &amp; Stuff'!C:AD,5,FALSE)</f>
        <v>0</v>
      </c>
      <c r="H205" s="113">
        <f>VLOOKUP(C205,'Talente &amp; Stuff'!C:AD,6,FALSE)</f>
        <v>0</v>
      </c>
      <c r="I205" s="113">
        <f>VLOOKUP(C205,'Talente &amp; Stuff'!C:AD,7,FALSE)</f>
        <v>0</v>
      </c>
      <c r="J205" s="113">
        <f>VLOOKUP(C205,'Talente &amp; Stuff'!C:AD,8,FALSE)</f>
        <v>0</v>
      </c>
      <c r="K205" s="113">
        <f>VLOOKUP(C205,'Talente &amp; Stuff'!C:AD,9,FALSE)</f>
        <v>0</v>
      </c>
      <c r="L205" s="113">
        <f>VLOOKUP(C205,'Talente &amp; Stuff'!C:AD,10,FALSE)</f>
        <v>0</v>
      </c>
      <c r="M205" s="119">
        <f>VLOOKUP(C205,'Talente &amp; Stuff'!C:AD,11,FALSE)</f>
        <v>0</v>
      </c>
      <c r="N205" s="47">
        <f>VLOOKUP(C205,'Talente &amp; Stuff'!C:AD,12,FALSE)</f>
        <v>0</v>
      </c>
      <c r="O205" s="3">
        <f>VLOOKUP(C205,'Talente &amp; Stuff'!C:AD,13,FALSE)</f>
        <v>0</v>
      </c>
      <c r="P205" s="174">
        <f>VLOOKUP(C205,'Talente &amp; Stuff'!C:AD,14,FALSE)</f>
        <v>0</v>
      </c>
      <c r="Q205" s="114">
        <f>VLOOKUP(C205,'Talente &amp; Stuff'!C:AD,15,FALSE)</f>
        <v>0</v>
      </c>
      <c r="R205" s="117">
        <f>VLOOKUP(C205,'Talente &amp; Stuff'!C:AD,16,FALSE)</f>
        <v>0</v>
      </c>
      <c r="S205" s="119">
        <f>VLOOKUP(C205,'Talente &amp; Stuff'!C:AD,17,FALSE)</f>
        <v>0</v>
      </c>
      <c r="T205" s="119">
        <f>VLOOKUP(C205,'Talente &amp; Stuff'!C:AD,18,FALSE)</f>
        <v>0</v>
      </c>
      <c r="U205" s="89">
        <f>VLOOKUP(C205,'Talente &amp; Stuff'!C:AD,19,FALSE)</f>
        <v>0</v>
      </c>
      <c r="V205" s="47">
        <f>VLOOKUP(C205,'Talente &amp; Stuff'!C:AD,20,FALSE)</f>
        <v>0</v>
      </c>
      <c r="W205" s="127">
        <f>VLOOKUP(C205,'Talente &amp; Stuff'!C:AD,21,FALSE)</f>
        <v>0</v>
      </c>
      <c r="X205" s="127">
        <f>VLOOKUP(C205,'Talente &amp; Stuff'!C:AD,22,FALSE)</f>
        <v>0</v>
      </c>
      <c r="Y205" s="165">
        <f t="shared" si="18"/>
        <v>0</v>
      </c>
      <c r="Z205" s="198">
        <f t="shared" si="19"/>
        <v>0</v>
      </c>
      <c r="AA205" s="125">
        <f>VLOOKUP(C205,'Talente &amp; Stuff'!C:AD,25,FALSE)</f>
        <v>0</v>
      </c>
      <c r="AB205" s="160">
        <f>VLOOKUP(C205,'Talente &amp; Stuff'!C:AD,26,FALSE)</f>
        <v>0</v>
      </c>
      <c r="AC205" s="127">
        <f>VLOOKUP(C205,'Talente &amp; Stuff'!C:AD,27,FALSE)</f>
        <v>0</v>
      </c>
      <c r="AD205" s="125">
        <f>VLOOKUP(C205,'Talente &amp; Stuff'!C:AD,28,FALSE)</f>
        <v>0</v>
      </c>
      <c r="AE205" s="28"/>
    </row>
    <row r="206" spans="2:31" s="138" customFormat="1" hidden="1" outlineLevel="2">
      <c r="B206" s="148">
        <v>54</v>
      </c>
      <c r="C206" s="163" t="s">
        <v>281</v>
      </c>
      <c r="D206" s="125" t="str">
        <f>VLOOKUP(C206,'Talente &amp; Stuff'!C:AD,2,FALSE)</f>
        <v>--/--/--</v>
      </c>
      <c r="E206" s="127" t="str">
        <f>VLOOKUP(C206,'Talente &amp; Stuff'!C:AD,3,FALSE)</f>
        <v>-</v>
      </c>
      <c r="F206" s="114">
        <f>VLOOKUP(C206,'Talente &amp; Stuff'!C:AD,4,FALSE)</f>
        <v>0</v>
      </c>
      <c r="G206" s="113">
        <f>VLOOKUP(C206,'Talente &amp; Stuff'!C:AD,5,FALSE)</f>
        <v>0</v>
      </c>
      <c r="H206" s="113">
        <f>VLOOKUP(C206,'Talente &amp; Stuff'!C:AD,6,FALSE)</f>
        <v>0</v>
      </c>
      <c r="I206" s="113">
        <f>VLOOKUP(C206,'Talente &amp; Stuff'!C:AD,7,FALSE)</f>
        <v>0</v>
      </c>
      <c r="J206" s="113">
        <f>VLOOKUP(C206,'Talente &amp; Stuff'!C:AD,8,FALSE)</f>
        <v>0</v>
      </c>
      <c r="K206" s="113">
        <f>VLOOKUP(C206,'Talente &amp; Stuff'!C:AD,9,FALSE)</f>
        <v>0</v>
      </c>
      <c r="L206" s="113">
        <f>VLOOKUP(C206,'Talente &amp; Stuff'!C:AD,10,FALSE)</f>
        <v>0</v>
      </c>
      <c r="M206" s="119">
        <f>VLOOKUP(C206,'Talente &amp; Stuff'!C:AD,11,FALSE)</f>
        <v>0</v>
      </c>
      <c r="N206" s="47">
        <f>VLOOKUP(C206,'Talente &amp; Stuff'!C:AD,12,FALSE)</f>
        <v>0</v>
      </c>
      <c r="O206" s="47">
        <f>VLOOKUP(C206,'Talente &amp; Stuff'!C:AD,13,FALSE)</f>
        <v>0</v>
      </c>
      <c r="P206" s="119">
        <f>VLOOKUP(C206,'Talente &amp; Stuff'!C:AD,14,FALSE)</f>
        <v>0</v>
      </c>
      <c r="Q206" s="114">
        <f>VLOOKUP(C206,'Talente &amp; Stuff'!C:AD,15,FALSE)</f>
        <v>0</v>
      </c>
      <c r="R206" s="113">
        <f>VLOOKUP(C206,'Talente &amp; Stuff'!C:AD,16,FALSE)</f>
        <v>0</v>
      </c>
      <c r="S206" s="119">
        <f>VLOOKUP(C206,'Talente &amp; Stuff'!C:AD,17,FALSE)</f>
        <v>0</v>
      </c>
      <c r="T206" s="119">
        <f>VLOOKUP(C206,'Talente &amp; Stuff'!C:AD,18,FALSE)</f>
        <v>0</v>
      </c>
      <c r="U206" s="89">
        <f>VLOOKUP(C206,'Talente &amp; Stuff'!C:AD,19,FALSE)</f>
        <v>0</v>
      </c>
      <c r="V206" s="47">
        <f>VLOOKUP(C206,'Talente &amp; Stuff'!C:AD,20,FALSE)</f>
        <v>0</v>
      </c>
      <c r="W206" s="127">
        <f>VLOOKUP(C206,'Talente &amp; Stuff'!C:AD,21,FALSE)</f>
        <v>0</v>
      </c>
      <c r="X206" s="127">
        <f>VLOOKUP(C206,'Talente &amp; Stuff'!C:AD,22,FALSE)</f>
        <v>0</v>
      </c>
      <c r="Y206" s="165">
        <f t="shared" si="18"/>
        <v>0</v>
      </c>
      <c r="Z206" s="198">
        <f t="shared" si="19"/>
        <v>0</v>
      </c>
      <c r="AA206" s="125">
        <f>VLOOKUP(C206,'Talente &amp; Stuff'!C:AD,25,FALSE)</f>
        <v>0</v>
      </c>
      <c r="AB206" s="160">
        <f>VLOOKUP(C206,'Talente &amp; Stuff'!C:AD,26,FALSE)</f>
        <v>0</v>
      </c>
      <c r="AC206" s="127">
        <f>VLOOKUP(C206,'Talente &amp; Stuff'!C:AD,27,FALSE)</f>
        <v>0</v>
      </c>
      <c r="AD206" s="125">
        <f>VLOOKUP(C206,'Talente &amp; Stuff'!C:AD,28,FALSE)</f>
        <v>0</v>
      </c>
      <c r="AE206" s="28"/>
    </row>
    <row r="207" spans="2:31" s="138" customFormat="1" hidden="1" outlineLevel="2">
      <c r="B207" s="148">
        <v>55</v>
      </c>
      <c r="C207" s="163" t="s">
        <v>281</v>
      </c>
      <c r="D207" s="125" t="str">
        <f>VLOOKUP(C207,'Talente &amp; Stuff'!C:AD,2,FALSE)</f>
        <v>--/--/--</v>
      </c>
      <c r="E207" s="127" t="str">
        <f>VLOOKUP(C207,'Talente &amp; Stuff'!C:AD,3,FALSE)</f>
        <v>-</v>
      </c>
      <c r="F207" s="114">
        <f>VLOOKUP(C207,'Talente &amp; Stuff'!C:AD,4,FALSE)</f>
        <v>0</v>
      </c>
      <c r="G207" s="113">
        <f>VLOOKUP(C207,'Talente &amp; Stuff'!C:AD,5,FALSE)</f>
        <v>0</v>
      </c>
      <c r="H207" s="113">
        <f>VLOOKUP(C207,'Talente &amp; Stuff'!C:AD,6,FALSE)</f>
        <v>0</v>
      </c>
      <c r="I207" s="113">
        <f>VLOOKUP(C207,'Talente &amp; Stuff'!C:AD,7,FALSE)</f>
        <v>0</v>
      </c>
      <c r="J207" s="113">
        <f>VLOOKUP(C207,'Talente &amp; Stuff'!C:AD,8,FALSE)</f>
        <v>0</v>
      </c>
      <c r="K207" s="113">
        <f>VLOOKUP(C207,'Talente &amp; Stuff'!C:AD,9,FALSE)</f>
        <v>0</v>
      </c>
      <c r="L207" s="113">
        <f>VLOOKUP(C207,'Talente &amp; Stuff'!C:AD,10,FALSE)</f>
        <v>0</v>
      </c>
      <c r="M207" s="119">
        <f>VLOOKUP(C207,'Talente &amp; Stuff'!C:AD,11,FALSE)</f>
        <v>0</v>
      </c>
      <c r="N207" s="47">
        <f>VLOOKUP(C207,'Talente &amp; Stuff'!C:AD,12,FALSE)</f>
        <v>0</v>
      </c>
      <c r="O207" s="47">
        <f>VLOOKUP(C207,'Talente &amp; Stuff'!C:AD,13,FALSE)</f>
        <v>0</v>
      </c>
      <c r="P207" s="119">
        <f>VLOOKUP(C207,'Talente &amp; Stuff'!C:AD,14,FALSE)</f>
        <v>0</v>
      </c>
      <c r="Q207" s="114">
        <f>VLOOKUP(C207,'Talente &amp; Stuff'!C:AD,15,FALSE)</f>
        <v>0</v>
      </c>
      <c r="R207" s="113">
        <f>VLOOKUP(C207,'Talente &amp; Stuff'!C:AD,16,FALSE)</f>
        <v>0</v>
      </c>
      <c r="S207" s="119">
        <f>VLOOKUP(C207,'Talente &amp; Stuff'!C:AD,17,FALSE)</f>
        <v>0</v>
      </c>
      <c r="T207" s="119">
        <f>VLOOKUP(C207,'Talente &amp; Stuff'!C:AD,18,FALSE)</f>
        <v>0</v>
      </c>
      <c r="U207" s="89">
        <f>VLOOKUP(C207,'Talente &amp; Stuff'!C:AD,19,FALSE)</f>
        <v>0</v>
      </c>
      <c r="V207" s="47">
        <f>VLOOKUP(C207,'Talente &amp; Stuff'!C:AD,20,FALSE)</f>
        <v>0</v>
      </c>
      <c r="W207" s="127">
        <f>VLOOKUP(C207,'Talente &amp; Stuff'!C:AD,21,FALSE)</f>
        <v>0</v>
      </c>
      <c r="X207" s="127">
        <f>VLOOKUP(C207,'Talente &amp; Stuff'!C:AD,22,FALSE)</f>
        <v>0</v>
      </c>
      <c r="Y207" s="165">
        <f t="shared" si="18"/>
        <v>0</v>
      </c>
      <c r="Z207" s="198">
        <f t="shared" si="19"/>
        <v>0</v>
      </c>
      <c r="AA207" s="125">
        <f>VLOOKUP(C207,'Talente &amp; Stuff'!C:AD,25,FALSE)</f>
        <v>0</v>
      </c>
      <c r="AB207" s="160">
        <f>VLOOKUP(C207,'Talente &amp; Stuff'!C:AD,26,FALSE)</f>
        <v>0</v>
      </c>
      <c r="AC207" s="127">
        <f>VLOOKUP(C207,'Talente &amp; Stuff'!C:AD,27,FALSE)</f>
        <v>0</v>
      </c>
      <c r="AD207" s="125">
        <f>VLOOKUP(C207,'Talente &amp; Stuff'!C:AD,28,FALSE)</f>
        <v>0</v>
      </c>
      <c r="AE207" s="28"/>
    </row>
    <row r="208" spans="2:31" s="138" customFormat="1" hidden="1" outlineLevel="2">
      <c r="B208" s="148">
        <v>56</v>
      </c>
      <c r="C208" s="163" t="s">
        <v>281</v>
      </c>
      <c r="D208" s="125" t="str">
        <f>VLOOKUP(C208,'Talente &amp; Stuff'!C:AD,2,FALSE)</f>
        <v>--/--/--</v>
      </c>
      <c r="E208" s="127" t="str">
        <f>VLOOKUP(C208,'Talente &amp; Stuff'!C:AD,3,FALSE)</f>
        <v>-</v>
      </c>
      <c r="F208" s="114">
        <f>VLOOKUP(C208,'Talente &amp; Stuff'!C:AD,4,FALSE)</f>
        <v>0</v>
      </c>
      <c r="G208" s="113">
        <f>VLOOKUP(C208,'Talente &amp; Stuff'!C:AD,5,FALSE)</f>
        <v>0</v>
      </c>
      <c r="H208" s="113">
        <f>VLOOKUP(C208,'Talente &amp; Stuff'!C:AD,6,FALSE)</f>
        <v>0</v>
      </c>
      <c r="I208" s="113">
        <f>VLOOKUP(C208,'Talente &amp; Stuff'!C:AD,7,FALSE)</f>
        <v>0</v>
      </c>
      <c r="J208" s="113">
        <f>VLOOKUP(C208,'Talente &amp; Stuff'!C:AD,8,FALSE)</f>
        <v>0</v>
      </c>
      <c r="K208" s="113">
        <f>VLOOKUP(C208,'Talente &amp; Stuff'!C:AD,9,FALSE)</f>
        <v>0</v>
      </c>
      <c r="L208" s="113">
        <f>VLOOKUP(C208,'Talente &amp; Stuff'!C:AD,10,FALSE)</f>
        <v>0</v>
      </c>
      <c r="M208" s="119">
        <f>VLOOKUP(C208,'Talente &amp; Stuff'!C:AD,11,FALSE)</f>
        <v>0</v>
      </c>
      <c r="N208" s="47">
        <f>VLOOKUP(C208,'Talente &amp; Stuff'!C:AD,12,FALSE)</f>
        <v>0</v>
      </c>
      <c r="O208" s="47">
        <f>VLOOKUP(C208,'Talente &amp; Stuff'!C:AD,13,FALSE)</f>
        <v>0</v>
      </c>
      <c r="P208" s="119">
        <f>VLOOKUP(C208,'Talente &amp; Stuff'!C:AD,14,FALSE)</f>
        <v>0</v>
      </c>
      <c r="Q208" s="114">
        <f>VLOOKUP(C208,'Talente &amp; Stuff'!C:AD,15,FALSE)</f>
        <v>0</v>
      </c>
      <c r="R208" s="113">
        <f>VLOOKUP(C208,'Talente &amp; Stuff'!C:AD,16,FALSE)</f>
        <v>0</v>
      </c>
      <c r="S208" s="119">
        <f>VLOOKUP(C208,'Talente &amp; Stuff'!C:AD,17,FALSE)</f>
        <v>0</v>
      </c>
      <c r="T208" s="119">
        <f>VLOOKUP(C208,'Talente &amp; Stuff'!C:AD,18,FALSE)</f>
        <v>0</v>
      </c>
      <c r="U208" s="89">
        <f>VLOOKUP(C208,'Talente &amp; Stuff'!C:AD,19,FALSE)</f>
        <v>0</v>
      </c>
      <c r="V208" s="47">
        <f>VLOOKUP(C208,'Talente &amp; Stuff'!C:AD,20,FALSE)</f>
        <v>0</v>
      </c>
      <c r="W208" s="127">
        <f>VLOOKUP(C208,'Talente &amp; Stuff'!C:AD,21,FALSE)</f>
        <v>0</v>
      </c>
      <c r="X208" s="127">
        <f>VLOOKUP(C208,'Talente &amp; Stuff'!C:AD,22,FALSE)</f>
        <v>0</v>
      </c>
      <c r="Y208" s="165">
        <f t="shared" si="18"/>
        <v>0</v>
      </c>
      <c r="Z208" s="198">
        <f t="shared" si="19"/>
        <v>0</v>
      </c>
      <c r="AA208" s="125">
        <f>VLOOKUP(C208,'Talente &amp; Stuff'!C:AD,25,FALSE)</f>
        <v>0</v>
      </c>
      <c r="AB208" s="160">
        <f>VLOOKUP(C208,'Talente &amp; Stuff'!C:AD,26,FALSE)</f>
        <v>0</v>
      </c>
      <c r="AC208" s="127">
        <f>VLOOKUP(C208,'Talente &amp; Stuff'!C:AD,27,FALSE)</f>
        <v>0</v>
      </c>
      <c r="AD208" s="125">
        <f>VLOOKUP(C208,'Talente &amp; Stuff'!C:AD,28,FALSE)</f>
        <v>0</v>
      </c>
      <c r="AE208" s="28"/>
    </row>
    <row r="209" spans="2:31" s="138" customFormat="1" hidden="1" outlineLevel="2">
      <c r="B209" s="148">
        <v>57</v>
      </c>
      <c r="C209" s="163" t="s">
        <v>281</v>
      </c>
      <c r="D209" s="125" t="str">
        <f>VLOOKUP(C209,'Talente &amp; Stuff'!C:AD,2,FALSE)</f>
        <v>--/--/--</v>
      </c>
      <c r="E209" s="127" t="str">
        <f>VLOOKUP(C209,'Talente &amp; Stuff'!C:AD,3,FALSE)</f>
        <v>-</v>
      </c>
      <c r="F209" s="114">
        <f>VLOOKUP(C209,'Talente &amp; Stuff'!C:AD,4,FALSE)</f>
        <v>0</v>
      </c>
      <c r="G209" s="113">
        <f>VLOOKUP(C209,'Talente &amp; Stuff'!C:AD,5,FALSE)</f>
        <v>0</v>
      </c>
      <c r="H209" s="113">
        <f>VLOOKUP(C209,'Talente &amp; Stuff'!C:AD,6,FALSE)</f>
        <v>0</v>
      </c>
      <c r="I209" s="113">
        <f>VLOOKUP(C209,'Talente &amp; Stuff'!C:AD,7,FALSE)</f>
        <v>0</v>
      </c>
      <c r="J209" s="113">
        <f>VLOOKUP(C209,'Talente &amp; Stuff'!C:AD,8,FALSE)</f>
        <v>0</v>
      </c>
      <c r="K209" s="113">
        <f>VLOOKUP(C209,'Talente &amp; Stuff'!C:AD,9,FALSE)</f>
        <v>0</v>
      </c>
      <c r="L209" s="113">
        <f>VLOOKUP(C209,'Talente &amp; Stuff'!C:AD,10,FALSE)</f>
        <v>0</v>
      </c>
      <c r="M209" s="119">
        <f>VLOOKUP(C209,'Talente &amp; Stuff'!C:AD,11,FALSE)</f>
        <v>0</v>
      </c>
      <c r="N209" s="47">
        <f>VLOOKUP(C209,'Talente &amp; Stuff'!C:AD,12,FALSE)</f>
        <v>0</v>
      </c>
      <c r="O209" s="47">
        <f>VLOOKUP(C209,'Talente &amp; Stuff'!C:AD,13,FALSE)</f>
        <v>0</v>
      </c>
      <c r="P209" s="119">
        <f>VLOOKUP(C209,'Talente &amp; Stuff'!C:AD,14,FALSE)</f>
        <v>0</v>
      </c>
      <c r="Q209" s="114">
        <f>VLOOKUP(C209,'Talente &amp; Stuff'!C:AD,15,FALSE)</f>
        <v>0</v>
      </c>
      <c r="R209" s="113">
        <f>VLOOKUP(C209,'Talente &amp; Stuff'!C:AD,16,FALSE)</f>
        <v>0</v>
      </c>
      <c r="S209" s="119">
        <f>VLOOKUP(C209,'Talente &amp; Stuff'!C:AD,17,FALSE)</f>
        <v>0</v>
      </c>
      <c r="T209" s="119">
        <f>VLOOKUP(C209,'Talente &amp; Stuff'!C:AD,18,FALSE)</f>
        <v>0</v>
      </c>
      <c r="U209" s="89">
        <f>VLOOKUP(C209,'Talente &amp; Stuff'!C:AD,19,FALSE)</f>
        <v>0</v>
      </c>
      <c r="V209" s="47">
        <f>VLOOKUP(C209,'Talente &amp; Stuff'!C:AD,20,FALSE)</f>
        <v>0</v>
      </c>
      <c r="W209" s="127">
        <f>VLOOKUP(C209,'Talente &amp; Stuff'!C:AD,21,FALSE)</f>
        <v>0</v>
      </c>
      <c r="X209" s="127">
        <f>VLOOKUP(C209,'Talente &amp; Stuff'!C:AD,22,FALSE)</f>
        <v>0</v>
      </c>
      <c r="Y209" s="165">
        <f t="shared" si="18"/>
        <v>0</v>
      </c>
      <c r="Z209" s="198">
        <f t="shared" si="19"/>
        <v>0</v>
      </c>
      <c r="AA209" s="125">
        <f>VLOOKUP(C209,'Talente &amp; Stuff'!C:AD,25,FALSE)</f>
        <v>0</v>
      </c>
      <c r="AB209" s="160">
        <f>VLOOKUP(C209,'Talente &amp; Stuff'!C:AD,26,FALSE)</f>
        <v>0</v>
      </c>
      <c r="AC209" s="127">
        <f>VLOOKUP(C209,'Talente &amp; Stuff'!C:AD,27,FALSE)</f>
        <v>0</v>
      </c>
      <c r="AD209" s="125">
        <f>VLOOKUP(C209,'Talente &amp; Stuff'!C:AD,28,FALSE)</f>
        <v>0</v>
      </c>
      <c r="AE209" s="28"/>
    </row>
    <row r="210" spans="2:31" s="138" customFormat="1" hidden="1" outlineLevel="2">
      <c r="B210" s="148">
        <v>58</v>
      </c>
      <c r="C210" s="163" t="s">
        <v>281</v>
      </c>
      <c r="D210" s="125" t="str">
        <f>VLOOKUP(C210,'Talente &amp; Stuff'!C:AD,2,FALSE)</f>
        <v>--/--/--</v>
      </c>
      <c r="E210" s="127" t="str">
        <f>VLOOKUP(C210,'Talente &amp; Stuff'!C:AD,3,FALSE)</f>
        <v>-</v>
      </c>
      <c r="F210" s="114">
        <f>VLOOKUP(C210,'Talente &amp; Stuff'!C:AD,4,FALSE)</f>
        <v>0</v>
      </c>
      <c r="G210" s="113">
        <f>VLOOKUP(C210,'Talente &amp; Stuff'!C:AD,5,FALSE)</f>
        <v>0</v>
      </c>
      <c r="H210" s="113">
        <f>VLOOKUP(C210,'Talente &amp; Stuff'!C:AD,6,FALSE)</f>
        <v>0</v>
      </c>
      <c r="I210" s="113">
        <f>VLOOKUP(C210,'Talente &amp; Stuff'!C:AD,7,FALSE)</f>
        <v>0</v>
      </c>
      <c r="J210" s="113">
        <f>VLOOKUP(C210,'Talente &amp; Stuff'!C:AD,8,FALSE)</f>
        <v>0</v>
      </c>
      <c r="K210" s="113">
        <f>VLOOKUP(C210,'Talente &amp; Stuff'!C:AD,9,FALSE)</f>
        <v>0</v>
      </c>
      <c r="L210" s="113">
        <f>VLOOKUP(C210,'Talente &amp; Stuff'!C:AD,10,FALSE)</f>
        <v>0</v>
      </c>
      <c r="M210" s="119">
        <f>VLOOKUP(C210,'Talente &amp; Stuff'!C:AD,11,FALSE)</f>
        <v>0</v>
      </c>
      <c r="N210" s="47">
        <f>VLOOKUP(C210,'Talente &amp; Stuff'!C:AD,12,FALSE)</f>
        <v>0</v>
      </c>
      <c r="O210" s="47">
        <f>VLOOKUP(C210,'Talente &amp; Stuff'!C:AD,13,FALSE)</f>
        <v>0</v>
      </c>
      <c r="P210" s="119">
        <f>VLOOKUP(C210,'Talente &amp; Stuff'!C:AD,14,FALSE)</f>
        <v>0</v>
      </c>
      <c r="Q210" s="114">
        <f>VLOOKUP(C210,'Talente &amp; Stuff'!C:AD,15,FALSE)</f>
        <v>0</v>
      </c>
      <c r="R210" s="113">
        <f>VLOOKUP(C210,'Talente &amp; Stuff'!C:AD,16,FALSE)</f>
        <v>0</v>
      </c>
      <c r="S210" s="119">
        <f>VLOOKUP(C210,'Talente &amp; Stuff'!C:AD,17,FALSE)</f>
        <v>0</v>
      </c>
      <c r="T210" s="119">
        <f>VLOOKUP(C210,'Talente &amp; Stuff'!C:AD,18,FALSE)</f>
        <v>0</v>
      </c>
      <c r="U210" s="89">
        <f>VLOOKUP(C210,'Talente &amp; Stuff'!C:AD,19,FALSE)</f>
        <v>0</v>
      </c>
      <c r="V210" s="47">
        <f>VLOOKUP(C210,'Talente &amp; Stuff'!C:AD,20,FALSE)</f>
        <v>0</v>
      </c>
      <c r="W210" s="127">
        <f>VLOOKUP(C210,'Talente &amp; Stuff'!C:AD,21,FALSE)</f>
        <v>0</v>
      </c>
      <c r="X210" s="127">
        <f>VLOOKUP(C210,'Talente &amp; Stuff'!C:AD,22,FALSE)</f>
        <v>0</v>
      </c>
      <c r="Y210" s="165">
        <f t="shared" si="18"/>
        <v>0</v>
      </c>
      <c r="Z210" s="198">
        <f t="shared" si="19"/>
        <v>0</v>
      </c>
      <c r="AA210" s="125">
        <f>VLOOKUP(C210,'Talente &amp; Stuff'!C:AD,25,FALSE)</f>
        <v>0</v>
      </c>
      <c r="AB210" s="160">
        <f>VLOOKUP(C210,'Talente &amp; Stuff'!C:AD,26,FALSE)</f>
        <v>0</v>
      </c>
      <c r="AC210" s="127">
        <f>VLOOKUP(C210,'Talente &amp; Stuff'!C:AD,27,FALSE)</f>
        <v>0</v>
      </c>
      <c r="AD210" s="125">
        <f>VLOOKUP(C210,'Talente &amp; Stuff'!C:AD,28,FALSE)</f>
        <v>0</v>
      </c>
      <c r="AE210" s="28"/>
    </row>
    <row r="211" spans="2:31" s="138" customFormat="1" hidden="1" outlineLevel="2">
      <c r="B211" s="148">
        <v>59</v>
      </c>
      <c r="C211" s="164" t="s">
        <v>281</v>
      </c>
      <c r="D211" s="159" t="str">
        <f>VLOOKUP(C211,'Talente &amp; Stuff'!C:AD,2,FALSE)</f>
        <v>--/--/--</v>
      </c>
      <c r="E211" s="128" t="str">
        <f>VLOOKUP(C211,'Talente &amp; Stuff'!C:AD,3,FALSE)</f>
        <v>-</v>
      </c>
      <c r="F211" s="115">
        <f>VLOOKUP(C211,'Talente &amp; Stuff'!C:AD,4,FALSE)</f>
        <v>0</v>
      </c>
      <c r="G211" s="122">
        <f>VLOOKUP(C211,'Talente &amp; Stuff'!C:AD,5,FALSE)</f>
        <v>0</v>
      </c>
      <c r="H211" s="122">
        <f>VLOOKUP(C211,'Talente &amp; Stuff'!C:AD,6,FALSE)</f>
        <v>0</v>
      </c>
      <c r="I211" s="122">
        <f>VLOOKUP(C211,'Talente &amp; Stuff'!C:AD,7,FALSE)</f>
        <v>0</v>
      </c>
      <c r="J211" s="122">
        <f>VLOOKUP(C211,'Talente &amp; Stuff'!C:AD,8,FALSE)</f>
        <v>0</v>
      </c>
      <c r="K211" s="122">
        <f>VLOOKUP(C211,'Talente &amp; Stuff'!C:AD,9,FALSE)</f>
        <v>0</v>
      </c>
      <c r="L211" s="122">
        <f>VLOOKUP(C211,'Talente &amp; Stuff'!C:AD,10,FALSE)</f>
        <v>0</v>
      </c>
      <c r="M211" s="123">
        <f>VLOOKUP(C211,'Talente &amp; Stuff'!C:AD,11,FALSE)</f>
        <v>0</v>
      </c>
      <c r="N211" s="88">
        <f>VLOOKUP(C211,'Talente &amp; Stuff'!C:AD,12,FALSE)</f>
        <v>0</v>
      </c>
      <c r="O211" s="88">
        <f>VLOOKUP(C211,'Talente &amp; Stuff'!C:AD,13,FALSE)</f>
        <v>0</v>
      </c>
      <c r="P211" s="123">
        <f>VLOOKUP(C211,'Talente &amp; Stuff'!C:AD,14,FALSE)</f>
        <v>0</v>
      </c>
      <c r="Q211" s="115">
        <f>VLOOKUP(C211,'Talente &amp; Stuff'!C:AD,15,FALSE)</f>
        <v>0</v>
      </c>
      <c r="R211" s="122">
        <f>VLOOKUP(C211,'Talente &amp; Stuff'!C:AD,16,FALSE)</f>
        <v>0</v>
      </c>
      <c r="S211" s="123">
        <f>VLOOKUP(C211,'Talente &amp; Stuff'!C:AD,17,FALSE)</f>
        <v>0</v>
      </c>
      <c r="T211" s="123">
        <f>VLOOKUP(C211,'Talente &amp; Stuff'!C:AD,18,FALSE)</f>
        <v>0</v>
      </c>
      <c r="U211" s="90">
        <f>VLOOKUP(C211,'Talente &amp; Stuff'!C:AD,19,FALSE)</f>
        <v>0</v>
      </c>
      <c r="V211" s="88">
        <f>VLOOKUP(C211,'Talente &amp; Stuff'!C:AD,20,FALSE)</f>
        <v>0</v>
      </c>
      <c r="W211" s="128">
        <f>VLOOKUP(C211,'Talente &amp; Stuff'!C:AD,21,FALSE)</f>
        <v>0</v>
      </c>
      <c r="X211" s="128">
        <f>VLOOKUP(C211,'Talente &amp; Stuff'!C:AD,22,FALSE)</f>
        <v>0</v>
      </c>
      <c r="Y211" s="165">
        <f t="shared" si="18"/>
        <v>0</v>
      </c>
      <c r="Z211" s="198">
        <f t="shared" si="19"/>
        <v>0</v>
      </c>
      <c r="AA211" s="159">
        <f>VLOOKUP(C211,'Talente &amp; Stuff'!C:AD,25,FALSE)</f>
        <v>0</v>
      </c>
      <c r="AB211" s="161">
        <f>VLOOKUP(C211,'Talente &amp; Stuff'!C:AD,26,FALSE)</f>
        <v>0</v>
      </c>
      <c r="AC211" s="128">
        <f>VLOOKUP(C211,'Talente &amp; Stuff'!C:AD,27,FALSE)</f>
        <v>0</v>
      </c>
      <c r="AD211" s="159">
        <f>VLOOKUP(C211,'Talente &amp; Stuff'!C:AD,28,FALSE)</f>
        <v>0</v>
      </c>
      <c r="AE211" s="28"/>
    </row>
    <row r="212" spans="2:31" hidden="1" outlineLevel="1" collapsed="1">
      <c r="B212" s="134" t="s">
        <v>328</v>
      </c>
      <c r="C212" s="83"/>
      <c r="D212" s="84"/>
      <c r="E212" s="84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</row>
    <row r="213" spans="2:31" s="138" customFormat="1" hidden="1" outlineLevel="2">
      <c r="B213" s="138">
        <v>1</v>
      </c>
      <c r="C213" s="162" t="s">
        <v>281</v>
      </c>
      <c r="D213" s="85" t="str">
        <f>VLOOKUP(C213,'Talente &amp; Stuff'!C:AD,2,FALSE)</f>
        <v>--/--/--</v>
      </c>
      <c r="E213" s="126" t="str">
        <f>VLOOKUP(C213,'Talente &amp; Stuff'!C:AD,3,FALSE)</f>
        <v>-</v>
      </c>
      <c r="F213" s="152">
        <f>VLOOKUP(C213,'Talente &amp; Stuff'!C:AD,4,FALSE)</f>
        <v>0</v>
      </c>
      <c r="G213" s="118">
        <f>VLOOKUP(C213,'Talente &amp; Stuff'!C:AD,5,FALSE)</f>
        <v>0</v>
      </c>
      <c r="H213" s="118">
        <f>VLOOKUP(C213,'Talente &amp; Stuff'!C:AD,6,FALSE)</f>
        <v>0</v>
      </c>
      <c r="I213" s="118">
        <f>VLOOKUP(C213,'Talente &amp; Stuff'!C:AD,7,FALSE)</f>
        <v>0</v>
      </c>
      <c r="J213" s="118">
        <f>VLOOKUP(C213,'Talente &amp; Stuff'!C:AD,8,FALSE)</f>
        <v>0</v>
      </c>
      <c r="K213" s="118">
        <f>VLOOKUP(C213,'Talente &amp; Stuff'!C:AD,9,FALSE)</f>
        <v>0</v>
      </c>
      <c r="L213" s="118">
        <f>VLOOKUP(C213,'Talente &amp; Stuff'!C:AD,10,FALSE)</f>
        <v>0</v>
      </c>
      <c r="M213" s="92">
        <f>VLOOKUP(C213,'Talente &amp; Stuff'!C:AD,11,FALSE)</f>
        <v>0</v>
      </c>
      <c r="N213" s="116">
        <f>VLOOKUP(C213,'Talente &amp; Stuff'!C:AD,12,FALSE)</f>
        <v>0</v>
      </c>
      <c r="O213" s="155">
        <f>VLOOKUP(C213,'Talente &amp; Stuff'!C:AD,13,FALSE)</f>
        <v>0</v>
      </c>
      <c r="P213" s="153">
        <f>VLOOKUP(C213,'Talente &amp; Stuff'!C:AD,14,FALSE)</f>
        <v>0</v>
      </c>
      <c r="Q213" s="152">
        <f>VLOOKUP(C213,'Talente &amp; Stuff'!C:AD,15,FALSE)</f>
        <v>0</v>
      </c>
      <c r="R213" s="170">
        <f>VLOOKUP(C213,'Talente &amp; Stuff'!C:AD,16,FALSE)</f>
        <v>0</v>
      </c>
      <c r="S213" s="92">
        <f>VLOOKUP(C213,'Talente &amp; Stuff'!C:AD,17,FALSE)</f>
        <v>0</v>
      </c>
      <c r="T213" s="92">
        <f>VLOOKUP(C213,'Talente &amp; Stuff'!C:AD,18,FALSE)</f>
        <v>0</v>
      </c>
      <c r="U213" s="154">
        <f>VLOOKUP(C213,'Talente &amp; Stuff'!C:AD,19,FALSE)</f>
        <v>0</v>
      </c>
      <c r="V213" s="116">
        <f>VLOOKUP(C213,'Talente &amp; Stuff'!C:AD,20,FALSE)</f>
        <v>0</v>
      </c>
      <c r="W213" s="126">
        <f>VLOOKUP(C213,'Talente &amp; Stuff'!C:AD,21,FALSE)</f>
        <v>0</v>
      </c>
      <c r="X213" s="126">
        <f>VLOOKUP(C213,'Talente &amp; Stuff'!C:AD,22,FALSE)</f>
        <v>0</v>
      </c>
      <c r="Y213" s="165">
        <f t="shared" ref="Y213:Y257" si="20">VLOOKUP(C213,Ausgewählte_Zauber_Hexen,23,FALSE)</f>
        <v>0</v>
      </c>
      <c r="Z213" s="198">
        <f t="shared" ref="Z213:Z257" si="21">VLOOKUP(C213,Ausgewählte_Zauber_Hexen,24,FALSE)</f>
        <v>0</v>
      </c>
      <c r="AA213" s="158">
        <f>VLOOKUP(C213,'Talente &amp; Stuff'!C:AD,25,FALSE)</f>
        <v>0</v>
      </c>
      <c r="AB213" s="91">
        <f>VLOOKUP(C213,'Talente &amp; Stuff'!C:AD,26,FALSE)</f>
        <v>0</v>
      </c>
      <c r="AC213" s="126">
        <f>VLOOKUP(C213,'Talente &amp; Stuff'!C:AD,27,FALSE)</f>
        <v>0</v>
      </c>
      <c r="AD213" s="158">
        <f>VLOOKUP(C213,'Talente &amp; Stuff'!C:AD,28,FALSE)</f>
        <v>0</v>
      </c>
      <c r="AE213" s="28"/>
    </row>
    <row r="214" spans="2:31" s="138" customFormat="1" hidden="1" outlineLevel="2">
      <c r="B214" s="138">
        <v>2</v>
      </c>
      <c r="C214" s="163" t="s">
        <v>281</v>
      </c>
      <c r="D214" s="125" t="str">
        <f>VLOOKUP(C214,'Talente &amp; Stuff'!C:AD,2,FALSE)</f>
        <v>--/--/--</v>
      </c>
      <c r="E214" s="127" t="str">
        <f>VLOOKUP(C214,'Talente &amp; Stuff'!C:AD,3,FALSE)</f>
        <v>-</v>
      </c>
      <c r="F214" s="114">
        <f>VLOOKUP(C214,'Talente &amp; Stuff'!C:AD,4,FALSE)</f>
        <v>0</v>
      </c>
      <c r="G214" s="113">
        <f>VLOOKUP(C214,'Talente &amp; Stuff'!C:AD,5,FALSE)</f>
        <v>0</v>
      </c>
      <c r="H214" s="113">
        <f>VLOOKUP(C214,'Talente &amp; Stuff'!C:AD,6,FALSE)</f>
        <v>0</v>
      </c>
      <c r="I214" s="113">
        <f>VLOOKUP(C214,'Talente &amp; Stuff'!C:AD,7,FALSE)</f>
        <v>0</v>
      </c>
      <c r="J214" s="113">
        <f>VLOOKUP(C214,'Talente &amp; Stuff'!C:AD,8,FALSE)</f>
        <v>0</v>
      </c>
      <c r="K214" s="113">
        <f>VLOOKUP(C214,'Talente &amp; Stuff'!C:AD,9,FALSE)</f>
        <v>0</v>
      </c>
      <c r="L214" s="113">
        <f>VLOOKUP(C214,'Talente &amp; Stuff'!C:AD,10,FALSE)</f>
        <v>0</v>
      </c>
      <c r="M214" s="119">
        <f>VLOOKUP(C214,'Talente &amp; Stuff'!C:AD,11,FALSE)</f>
        <v>0</v>
      </c>
      <c r="N214" s="47">
        <f>VLOOKUP(C214,'Talente &amp; Stuff'!C:AD,12,FALSE)</f>
        <v>0</v>
      </c>
      <c r="O214" s="47">
        <f>VLOOKUP(C214,'Talente &amp; Stuff'!C:AD,13,FALSE)</f>
        <v>0</v>
      </c>
      <c r="P214" s="119">
        <f>VLOOKUP(C214,'Talente &amp; Stuff'!C:AD,14,FALSE)</f>
        <v>0</v>
      </c>
      <c r="Q214" s="114">
        <f>VLOOKUP(C214,'Talente &amp; Stuff'!C:AD,15,FALSE)</f>
        <v>0</v>
      </c>
      <c r="R214" s="113">
        <f>VLOOKUP(C214,'Talente &amp; Stuff'!C:AD,16,FALSE)</f>
        <v>0</v>
      </c>
      <c r="S214" s="119">
        <f>VLOOKUP(C214,'Talente &amp; Stuff'!C:AD,17,FALSE)</f>
        <v>0</v>
      </c>
      <c r="T214" s="119">
        <f>VLOOKUP(C214,'Talente &amp; Stuff'!C:AD,18,FALSE)</f>
        <v>0</v>
      </c>
      <c r="U214" s="89">
        <f>VLOOKUP(C214,'Talente &amp; Stuff'!C:AD,19,FALSE)</f>
        <v>0</v>
      </c>
      <c r="V214" s="47">
        <f>VLOOKUP(C214,'Talente &amp; Stuff'!C:AD,20,FALSE)</f>
        <v>0</v>
      </c>
      <c r="W214" s="127">
        <f>VLOOKUP(C214,'Talente &amp; Stuff'!C:AD,21,FALSE)</f>
        <v>0</v>
      </c>
      <c r="X214" s="127">
        <f>VLOOKUP(C214,'Talente &amp; Stuff'!C:AD,22,FALSE)</f>
        <v>0</v>
      </c>
      <c r="Y214" s="165">
        <f t="shared" si="20"/>
        <v>0</v>
      </c>
      <c r="Z214" s="198">
        <f t="shared" si="21"/>
        <v>0</v>
      </c>
      <c r="AA214" s="125">
        <f>VLOOKUP(C214,'Talente &amp; Stuff'!C:AD,25,FALSE)</f>
        <v>0</v>
      </c>
      <c r="AB214" s="160">
        <f>VLOOKUP(C214,'Talente &amp; Stuff'!C:AD,26,FALSE)</f>
        <v>0</v>
      </c>
      <c r="AC214" s="127">
        <f>VLOOKUP(C214,'Talente &amp; Stuff'!C:AD,27,FALSE)</f>
        <v>0</v>
      </c>
      <c r="AD214" s="125">
        <f>VLOOKUP(C214,'Talente &amp; Stuff'!C:AD,28,FALSE)</f>
        <v>0</v>
      </c>
      <c r="AE214" s="28"/>
    </row>
    <row r="215" spans="2:31" s="138" customFormat="1" hidden="1" outlineLevel="2">
      <c r="B215" s="138">
        <v>3</v>
      </c>
      <c r="C215" s="163" t="s">
        <v>281</v>
      </c>
      <c r="D215" s="125" t="str">
        <f>VLOOKUP(C215,'Talente &amp; Stuff'!C:AD,2,FALSE)</f>
        <v>--/--/--</v>
      </c>
      <c r="E215" s="127" t="str">
        <f>VLOOKUP(C215,'Talente &amp; Stuff'!C:AD,3,FALSE)</f>
        <v>-</v>
      </c>
      <c r="F215" s="114">
        <f>VLOOKUP(C215,'Talente &amp; Stuff'!C:AD,4,FALSE)</f>
        <v>0</v>
      </c>
      <c r="G215" s="113">
        <f>VLOOKUP(C215,'Talente &amp; Stuff'!C:AD,5,FALSE)</f>
        <v>0</v>
      </c>
      <c r="H215" s="113">
        <f>VLOOKUP(C215,'Talente &amp; Stuff'!C:AD,6,FALSE)</f>
        <v>0</v>
      </c>
      <c r="I215" s="113">
        <f>VLOOKUP(C215,'Talente &amp; Stuff'!C:AD,7,FALSE)</f>
        <v>0</v>
      </c>
      <c r="J215" s="113">
        <f>VLOOKUP(C215,'Talente &amp; Stuff'!C:AD,8,FALSE)</f>
        <v>0</v>
      </c>
      <c r="K215" s="113">
        <f>VLOOKUP(C215,'Talente &amp; Stuff'!C:AD,9,FALSE)</f>
        <v>0</v>
      </c>
      <c r="L215" s="113">
        <f>VLOOKUP(C215,'Talente &amp; Stuff'!C:AD,10,FALSE)</f>
        <v>0</v>
      </c>
      <c r="M215" s="119">
        <f>VLOOKUP(C215,'Talente &amp; Stuff'!C:AD,11,FALSE)</f>
        <v>0</v>
      </c>
      <c r="N215" s="47">
        <f>VLOOKUP(C215,'Talente &amp; Stuff'!C:AD,12,FALSE)</f>
        <v>0</v>
      </c>
      <c r="O215" s="47">
        <f>VLOOKUP(C215,'Talente &amp; Stuff'!C:AD,13,FALSE)</f>
        <v>0</v>
      </c>
      <c r="P215" s="119">
        <f>VLOOKUP(C215,'Talente &amp; Stuff'!C:AD,14,FALSE)</f>
        <v>0</v>
      </c>
      <c r="Q215" s="114">
        <f>VLOOKUP(C215,'Talente &amp; Stuff'!C:AD,15,FALSE)</f>
        <v>0</v>
      </c>
      <c r="R215" s="113">
        <f>VLOOKUP(C215,'Talente &amp; Stuff'!C:AD,16,FALSE)</f>
        <v>0</v>
      </c>
      <c r="S215" s="119">
        <f>VLOOKUP(C215,'Talente &amp; Stuff'!C:AD,17,FALSE)</f>
        <v>0</v>
      </c>
      <c r="T215" s="119">
        <f>VLOOKUP(C215,'Talente &amp; Stuff'!C:AD,18,FALSE)</f>
        <v>0</v>
      </c>
      <c r="U215" s="89">
        <f>VLOOKUP(C215,'Talente &amp; Stuff'!C:AD,19,FALSE)</f>
        <v>0</v>
      </c>
      <c r="V215" s="47">
        <f>VLOOKUP(C215,'Talente &amp; Stuff'!C:AD,20,FALSE)</f>
        <v>0</v>
      </c>
      <c r="W215" s="127">
        <f>VLOOKUP(C215,'Talente &amp; Stuff'!C:AD,21,FALSE)</f>
        <v>0</v>
      </c>
      <c r="X215" s="127">
        <f>VLOOKUP(C215,'Talente &amp; Stuff'!C:AD,22,FALSE)</f>
        <v>0</v>
      </c>
      <c r="Y215" s="165">
        <f t="shared" si="20"/>
        <v>0</v>
      </c>
      <c r="Z215" s="198">
        <f t="shared" si="21"/>
        <v>0</v>
      </c>
      <c r="AA215" s="125">
        <f>VLOOKUP(C215,'Talente &amp; Stuff'!C:AD,25,FALSE)</f>
        <v>0</v>
      </c>
      <c r="AB215" s="160">
        <f>VLOOKUP(C215,'Talente &amp; Stuff'!C:AD,26,FALSE)</f>
        <v>0</v>
      </c>
      <c r="AC215" s="127">
        <f>VLOOKUP(C215,'Talente &amp; Stuff'!C:AD,27,FALSE)</f>
        <v>0</v>
      </c>
      <c r="AD215" s="125">
        <f>VLOOKUP(C215,'Talente &amp; Stuff'!C:AD,28,FALSE)</f>
        <v>0</v>
      </c>
      <c r="AE215" s="28"/>
    </row>
    <row r="216" spans="2:31" s="138" customFormat="1" hidden="1" outlineLevel="2">
      <c r="B216" s="138">
        <v>4</v>
      </c>
      <c r="C216" s="163" t="s">
        <v>281</v>
      </c>
      <c r="D216" s="86" t="str">
        <f>VLOOKUP(C216,'Talente &amp; Stuff'!C:AD,2,FALSE)</f>
        <v>--/--/--</v>
      </c>
      <c r="E216" s="167" t="str">
        <f>VLOOKUP(C216,'Talente &amp; Stuff'!C:AD,3,FALSE)</f>
        <v>-</v>
      </c>
      <c r="F216" s="120">
        <f>VLOOKUP(C216,'Talente &amp; Stuff'!C:AD,4,FALSE)</f>
        <v>0</v>
      </c>
      <c r="G216" s="117">
        <f>VLOOKUP(C216,'Talente &amp; Stuff'!C:AD,5,FALSE)</f>
        <v>0</v>
      </c>
      <c r="H216" s="117">
        <f>VLOOKUP(C216,'Talente &amp; Stuff'!C:AD,6,FALSE)</f>
        <v>0</v>
      </c>
      <c r="I216" s="117">
        <f>VLOOKUP(C216,'Talente &amp; Stuff'!C:AD,7,FALSE)</f>
        <v>0</v>
      </c>
      <c r="J216" s="117">
        <f>VLOOKUP(C216,'Talente &amp; Stuff'!C:AD,8,FALSE)</f>
        <v>0</v>
      </c>
      <c r="K216" s="117">
        <f>VLOOKUP(C216,'Talente &amp; Stuff'!C:AD,9,FALSE)</f>
        <v>0</v>
      </c>
      <c r="L216" s="117">
        <f>VLOOKUP(C216,'Talente &amp; Stuff'!C:AD,10,FALSE)</f>
        <v>0</v>
      </c>
      <c r="M216" s="121">
        <f>VLOOKUP(C216,'Talente &amp; Stuff'!C:AD,11,FALSE)</f>
        <v>0</v>
      </c>
      <c r="N216" s="47">
        <f>VLOOKUP(C216,'Talente &amp; Stuff'!C:AD,12,FALSE)</f>
        <v>0</v>
      </c>
      <c r="O216" s="3">
        <f>VLOOKUP(C216,'Talente &amp; Stuff'!C:AD,13,FALSE)</f>
        <v>0</v>
      </c>
      <c r="P216" s="174">
        <f>VLOOKUP(C216,'Talente &amp; Stuff'!C:AD,14,FALSE)</f>
        <v>0</v>
      </c>
      <c r="Q216" s="114">
        <f>VLOOKUP(C216,'Talente &amp; Stuff'!C:AD,15,FALSE)</f>
        <v>0</v>
      </c>
      <c r="R216" s="117">
        <f>VLOOKUP(C216,'Talente &amp; Stuff'!C:AD,16,FALSE)</f>
        <v>0</v>
      </c>
      <c r="S216" s="119">
        <f>VLOOKUP(C216,'Talente &amp; Stuff'!C:AD,17,FALSE)</f>
        <v>0</v>
      </c>
      <c r="T216" s="119">
        <f>VLOOKUP(C216,'Talente &amp; Stuff'!C:AD,18,FALSE)</f>
        <v>0</v>
      </c>
      <c r="U216" s="89">
        <f>VLOOKUP(C216,'Talente &amp; Stuff'!C:AD,19,FALSE)</f>
        <v>0</v>
      </c>
      <c r="V216" s="47">
        <f>VLOOKUP(C216,'Talente &amp; Stuff'!C:AD,20,FALSE)</f>
        <v>0</v>
      </c>
      <c r="W216" s="127">
        <f>VLOOKUP(C216,'Talente &amp; Stuff'!C:AD,21,FALSE)</f>
        <v>0</v>
      </c>
      <c r="X216" s="127">
        <f>VLOOKUP(C216,'Talente &amp; Stuff'!C:AD,22,FALSE)</f>
        <v>0</v>
      </c>
      <c r="Y216" s="165">
        <f t="shared" si="20"/>
        <v>0</v>
      </c>
      <c r="Z216" s="198">
        <f t="shared" si="21"/>
        <v>0</v>
      </c>
      <c r="AA216" s="125">
        <f>VLOOKUP(C216,'Talente &amp; Stuff'!C:AD,25,FALSE)</f>
        <v>0</v>
      </c>
      <c r="AB216" s="160">
        <f>VLOOKUP(C216,'Talente &amp; Stuff'!C:AD,26,FALSE)</f>
        <v>0</v>
      </c>
      <c r="AC216" s="127">
        <f>VLOOKUP(C216,'Talente &amp; Stuff'!C:AD,27,FALSE)</f>
        <v>0</v>
      </c>
      <c r="AD216" s="125">
        <f>VLOOKUP(C216,'Talente &amp; Stuff'!C:AD,28,FALSE)</f>
        <v>0</v>
      </c>
      <c r="AE216" s="28"/>
    </row>
    <row r="217" spans="2:31" s="138" customFormat="1" hidden="1" outlineLevel="2">
      <c r="B217" s="138">
        <v>5</v>
      </c>
      <c r="C217" s="163" t="s">
        <v>281</v>
      </c>
      <c r="D217" s="86" t="str">
        <f>VLOOKUP(C217,'Talente &amp; Stuff'!C:AD,2,FALSE)</f>
        <v>--/--/--</v>
      </c>
      <c r="E217" s="167" t="str">
        <f>VLOOKUP(C217,'Talente &amp; Stuff'!C:AD,3,FALSE)</f>
        <v>-</v>
      </c>
      <c r="F217" s="120">
        <f>VLOOKUP(C217,'Talente &amp; Stuff'!C:AD,4,FALSE)</f>
        <v>0</v>
      </c>
      <c r="G217" s="117">
        <f>VLOOKUP(C217,'Talente &amp; Stuff'!C:AD,5,FALSE)</f>
        <v>0</v>
      </c>
      <c r="H217" s="117">
        <f>VLOOKUP(C217,'Talente &amp; Stuff'!C:AD,6,FALSE)</f>
        <v>0</v>
      </c>
      <c r="I217" s="117">
        <f>VLOOKUP(C217,'Talente &amp; Stuff'!C:AD,7,FALSE)</f>
        <v>0</v>
      </c>
      <c r="J217" s="117">
        <f>VLOOKUP(C217,'Talente &amp; Stuff'!C:AD,8,FALSE)</f>
        <v>0</v>
      </c>
      <c r="K217" s="117">
        <f>VLOOKUP(C217,'Talente &amp; Stuff'!C:AD,9,FALSE)</f>
        <v>0</v>
      </c>
      <c r="L217" s="117">
        <f>VLOOKUP(C217,'Talente &amp; Stuff'!C:AD,10,FALSE)</f>
        <v>0</v>
      </c>
      <c r="M217" s="121">
        <f>VLOOKUP(C217,'Talente &amp; Stuff'!C:AD,11,FALSE)</f>
        <v>0</v>
      </c>
      <c r="N217" s="47">
        <f>VLOOKUP(C217,'Talente &amp; Stuff'!C:AD,12,FALSE)</f>
        <v>0</v>
      </c>
      <c r="O217" s="3">
        <f>VLOOKUP(C217,'Talente &amp; Stuff'!C:AD,13,FALSE)</f>
        <v>0</v>
      </c>
      <c r="P217" s="174">
        <f>VLOOKUP(C217,'Talente &amp; Stuff'!C:AD,14,FALSE)</f>
        <v>0</v>
      </c>
      <c r="Q217" s="114">
        <f>VLOOKUP(C217,'Talente &amp; Stuff'!C:AD,15,FALSE)</f>
        <v>0</v>
      </c>
      <c r="R217" s="117">
        <f>VLOOKUP(C217,'Talente &amp; Stuff'!C:AD,16,FALSE)</f>
        <v>0</v>
      </c>
      <c r="S217" s="119">
        <f>VLOOKUP(C217,'Talente &amp; Stuff'!C:AD,17,FALSE)</f>
        <v>0</v>
      </c>
      <c r="T217" s="119">
        <f>VLOOKUP(C217,'Talente &amp; Stuff'!C:AD,18,FALSE)</f>
        <v>0</v>
      </c>
      <c r="U217" s="89">
        <f>VLOOKUP(C217,'Talente &amp; Stuff'!C:AD,19,FALSE)</f>
        <v>0</v>
      </c>
      <c r="V217" s="47">
        <f>VLOOKUP(C217,'Talente &amp; Stuff'!C:AD,20,FALSE)</f>
        <v>0</v>
      </c>
      <c r="W217" s="127">
        <f>VLOOKUP(C217,'Talente &amp; Stuff'!C:AD,21,FALSE)</f>
        <v>0</v>
      </c>
      <c r="X217" s="127">
        <f>VLOOKUP(C217,'Talente &amp; Stuff'!C:AD,22,FALSE)</f>
        <v>0</v>
      </c>
      <c r="Y217" s="165">
        <f t="shared" si="20"/>
        <v>0</v>
      </c>
      <c r="Z217" s="198">
        <f t="shared" si="21"/>
        <v>0</v>
      </c>
      <c r="AA217" s="125">
        <f>VLOOKUP(C217,'Talente &amp; Stuff'!C:AD,25,FALSE)</f>
        <v>0</v>
      </c>
      <c r="AB217" s="160">
        <f>VLOOKUP(C217,'Talente &amp; Stuff'!C:AD,26,FALSE)</f>
        <v>0</v>
      </c>
      <c r="AC217" s="127">
        <f>VLOOKUP(C217,'Talente &amp; Stuff'!C:AD,27,FALSE)</f>
        <v>0</v>
      </c>
      <c r="AD217" s="125">
        <f>VLOOKUP(C217,'Talente &amp; Stuff'!C:AD,28,FALSE)</f>
        <v>0</v>
      </c>
      <c r="AE217" s="28"/>
    </row>
    <row r="218" spans="2:31" s="138" customFormat="1" hidden="1" outlineLevel="2">
      <c r="B218" s="138">
        <v>6</v>
      </c>
      <c r="C218" s="163" t="s">
        <v>281</v>
      </c>
      <c r="D218" s="125" t="str">
        <f>VLOOKUP(C218,'Talente &amp; Stuff'!C:AD,2,FALSE)</f>
        <v>--/--/--</v>
      </c>
      <c r="E218" s="127" t="str">
        <f>VLOOKUP(C218,'Talente &amp; Stuff'!C:AD,3,FALSE)</f>
        <v>-</v>
      </c>
      <c r="F218" s="114">
        <f>VLOOKUP(C218,'Talente &amp; Stuff'!C:AD,4,FALSE)</f>
        <v>0</v>
      </c>
      <c r="G218" s="113">
        <f>VLOOKUP(C218,'Talente &amp; Stuff'!C:AD,5,FALSE)</f>
        <v>0</v>
      </c>
      <c r="H218" s="113">
        <f>VLOOKUP(C218,'Talente &amp; Stuff'!C:AD,6,FALSE)</f>
        <v>0</v>
      </c>
      <c r="I218" s="113">
        <f>VLOOKUP(C218,'Talente &amp; Stuff'!C:AD,7,FALSE)</f>
        <v>0</v>
      </c>
      <c r="J218" s="113">
        <f>VLOOKUP(C218,'Talente &amp; Stuff'!C:AD,8,FALSE)</f>
        <v>0</v>
      </c>
      <c r="K218" s="113">
        <f>VLOOKUP(C218,'Talente &amp; Stuff'!C:AD,9,FALSE)</f>
        <v>0</v>
      </c>
      <c r="L218" s="113">
        <f>VLOOKUP(C218,'Talente &amp; Stuff'!C:AD,10,FALSE)</f>
        <v>0</v>
      </c>
      <c r="M218" s="119">
        <f>VLOOKUP(C218,'Talente &amp; Stuff'!C:AD,11,FALSE)</f>
        <v>0</v>
      </c>
      <c r="N218" s="47">
        <f>VLOOKUP(C218,'Talente &amp; Stuff'!C:AD,12,FALSE)</f>
        <v>0</v>
      </c>
      <c r="O218" s="47">
        <f>VLOOKUP(C218,'Talente &amp; Stuff'!C:AD,13,FALSE)</f>
        <v>0</v>
      </c>
      <c r="P218" s="119">
        <f>VLOOKUP(C218,'Talente &amp; Stuff'!C:AD,14,FALSE)</f>
        <v>0</v>
      </c>
      <c r="Q218" s="114">
        <f>VLOOKUP(C218,'Talente &amp; Stuff'!C:AD,15,FALSE)</f>
        <v>0</v>
      </c>
      <c r="R218" s="113">
        <f>VLOOKUP(C218,'Talente &amp; Stuff'!C:AD,16,FALSE)</f>
        <v>0</v>
      </c>
      <c r="S218" s="119">
        <f>VLOOKUP(C218,'Talente &amp; Stuff'!C:AD,17,FALSE)</f>
        <v>0</v>
      </c>
      <c r="T218" s="119">
        <f>VLOOKUP(C218,'Talente &amp; Stuff'!C:AD,18,FALSE)</f>
        <v>0</v>
      </c>
      <c r="U218" s="89">
        <f>VLOOKUP(C218,'Talente &amp; Stuff'!C:AD,19,FALSE)</f>
        <v>0</v>
      </c>
      <c r="V218" s="47">
        <f>VLOOKUP(C218,'Talente &amp; Stuff'!C:AD,20,FALSE)</f>
        <v>0</v>
      </c>
      <c r="W218" s="127">
        <f>VLOOKUP(C218,'Talente &amp; Stuff'!C:AD,21,FALSE)</f>
        <v>0</v>
      </c>
      <c r="X218" s="127">
        <f>VLOOKUP(C218,'Talente &amp; Stuff'!C:AD,22,FALSE)</f>
        <v>0</v>
      </c>
      <c r="Y218" s="165">
        <f t="shared" si="20"/>
        <v>0</v>
      </c>
      <c r="Z218" s="198">
        <f t="shared" si="21"/>
        <v>0</v>
      </c>
      <c r="AA218" s="125">
        <f>VLOOKUP(C218,'Talente &amp; Stuff'!C:AD,25,FALSE)</f>
        <v>0</v>
      </c>
      <c r="AB218" s="160">
        <f>VLOOKUP(C218,'Talente &amp; Stuff'!C:AD,26,FALSE)</f>
        <v>0</v>
      </c>
      <c r="AC218" s="127">
        <f>VLOOKUP(C218,'Talente &amp; Stuff'!C:AD,27,FALSE)</f>
        <v>0</v>
      </c>
      <c r="AD218" s="125">
        <f>VLOOKUP(C218,'Talente &amp; Stuff'!C:AD,28,FALSE)</f>
        <v>0</v>
      </c>
      <c r="AE218" s="28"/>
    </row>
    <row r="219" spans="2:31" s="138" customFormat="1" hidden="1" outlineLevel="2">
      <c r="B219" s="138">
        <v>7</v>
      </c>
      <c r="C219" s="163" t="s">
        <v>281</v>
      </c>
      <c r="D219" s="125" t="str">
        <f>VLOOKUP(C219,'Talente &amp; Stuff'!C:AD,2,FALSE)</f>
        <v>--/--/--</v>
      </c>
      <c r="E219" s="127" t="str">
        <f>VLOOKUP(C219,'Talente &amp; Stuff'!C:AD,3,FALSE)</f>
        <v>-</v>
      </c>
      <c r="F219" s="114">
        <f>VLOOKUP(C219,'Talente &amp; Stuff'!C:AD,4,FALSE)</f>
        <v>0</v>
      </c>
      <c r="G219" s="113">
        <f>VLOOKUP(C219,'Talente &amp; Stuff'!C:AD,5,FALSE)</f>
        <v>0</v>
      </c>
      <c r="H219" s="113">
        <f>VLOOKUP(C219,'Talente &amp; Stuff'!C:AD,6,FALSE)</f>
        <v>0</v>
      </c>
      <c r="I219" s="113">
        <f>VLOOKUP(C219,'Talente &amp; Stuff'!C:AD,7,FALSE)</f>
        <v>0</v>
      </c>
      <c r="J219" s="113">
        <f>VLOOKUP(C219,'Talente &amp; Stuff'!C:AD,8,FALSE)</f>
        <v>0</v>
      </c>
      <c r="K219" s="113">
        <f>VLOOKUP(C219,'Talente &amp; Stuff'!C:AD,9,FALSE)</f>
        <v>0</v>
      </c>
      <c r="L219" s="113">
        <f>VLOOKUP(C219,'Talente &amp; Stuff'!C:AD,10,FALSE)</f>
        <v>0</v>
      </c>
      <c r="M219" s="119">
        <f>VLOOKUP(C219,'Talente &amp; Stuff'!C:AD,11,FALSE)</f>
        <v>0</v>
      </c>
      <c r="N219" s="47">
        <f>VLOOKUP(C219,'Talente &amp; Stuff'!C:AD,12,FALSE)</f>
        <v>0</v>
      </c>
      <c r="O219" s="47">
        <f>VLOOKUP(C219,'Talente &amp; Stuff'!C:AD,13,FALSE)</f>
        <v>0</v>
      </c>
      <c r="P219" s="119">
        <f>VLOOKUP(C219,'Talente &amp; Stuff'!C:AD,14,FALSE)</f>
        <v>0</v>
      </c>
      <c r="Q219" s="114">
        <f>VLOOKUP(C219,'Talente &amp; Stuff'!C:AD,15,FALSE)</f>
        <v>0</v>
      </c>
      <c r="R219" s="113">
        <f>VLOOKUP(C219,'Talente &amp; Stuff'!C:AD,16,FALSE)</f>
        <v>0</v>
      </c>
      <c r="S219" s="119">
        <f>VLOOKUP(C219,'Talente &amp; Stuff'!C:AD,17,FALSE)</f>
        <v>0</v>
      </c>
      <c r="T219" s="119">
        <f>VLOOKUP(C219,'Talente &amp; Stuff'!C:AD,18,FALSE)</f>
        <v>0</v>
      </c>
      <c r="U219" s="89">
        <f>VLOOKUP(C219,'Talente &amp; Stuff'!C:AD,19,FALSE)</f>
        <v>0</v>
      </c>
      <c r="V219" s="47">
        <f>VLOOKUP(C219,'Talente &amp; Stuff'!C:AD,20,FALSE)</f>
        <v>0</v>
      </c>
      <c r="W219" s="127">
        <f>VLOOKUP(C219,'Talente &amp; Stuff'!C:AD,21,FALSE)</f>
        <v>0</v>
      </c>
      <c r="X219" s="127">
        <f>VLOOKUP(C219,'Talente &amp; Stuff'!C:AD,22,FALSE)</f>
        <v>0</v>
      </c>
      <c r="Y219" s="165">
        <f t="shared" si="20"/>
        <v>0</v>
      </c>
      <c r="Z219" s="198">
        <f t="shared" si="21"/>
        <v>0</v>
      </c>
      <c r="AA219" s="125">
        <f>VLOOKUP(C219,'Talente &amp; Stuff'!C:AD,25,FALSE)</f>
        <v>0</v>
      </c>
      <c r="AB219" s="160">
        <f>VLOOKUP(C219,'Talente &amp; Stuff'!C:AD,26,FALSE)</f>
        <v>0</v>
      </c>
      <c r="AC219" s="127">
        <f>VLOOKUP(C219,'Talente &amp; Stuff'!C:AD,27,FALSE)</f>
        <v>0</v>
      </c>
      <c r="AD219" s="125">
        <f>VLOOKUP(C219,'Talente &amp; Stuff'!C:AD,28,FALSE)</f>
        <v>0</v>
      </c>
      <c r="AE219" s="28"/>
    </row>
    <row r="220" spans="2:31" s="138" customFormat="1" hidden="1" outlineLevel="2">
      <c r="B220" s="138">
        <v>8</v>
      </c>
      <c r="C220" s="163" t="s">
        <v>281</v>
      </c>
      <c r="D220" s="125" t="str">
        <f>VLOOKUP(C220,'Talente &amp; Stuff'!C:AD,2,FALSE)</f>
        <v>--/--/--</v>
      </c>
      <c r="E220" s="127" t="str">
        <f>VLOOKUP(C220,'Talente &amp; Stuff'!C:AD,3,FALSE)</f>
        <v>-</v>
      </c>
      <c r="F220" s="114">
        <f>VLOOKUP(C220,'Talente &amp; Stuff'!C:AD,4,FALSE)</f>
        <v>0</v>
      </c>
      <c r="G220" s="113">
        <f>VLOOKUP(C220,'Talente &amp; Stuff'!C:AD,5,FALSE)</f>
        <v>0</v>
      </c>
      <c r="H220" s="113">
        <f>VLOOKUP(C220,'Talente &amp; Stuff'!C:AD,6,FALSE)</f>
        <v>0</v>
      </c>
      <c r="I220" s="113">
        <f>VLOOKUP(C220,'Talente &amp; Stuff'!C:AD,7,FALSE)</f>
        <v>0</v>
      </c>
      <c r="J220" s="113">
        <f>VLOOKUP(C220,'Talente &amp; Stuff'!C:AD,8,FALSE)</f>
        <v>0</v>
      </c>
      <c r="K220" s="113">
        <f>VLOOKUP(C220,'Talente &amp; Stuff'!C:AD,9,FALSE)</f>
        <v>0</v>
      </c>
      <c r="L220" s="113">
        <f>VLOOKUP(C220,'Talente &amp; Stuff'!C:AD,10,FALSE)</f>
        <v>0</v>
      </c>
      <c r="M220" s="119">
        <f>VLOOKUP(C220,'Talente &amp; Stuff'!C:AD,11,FALSE)</f>
        <v>0</v>
      </c>
      <c r="N220" s="47">
        <f>VLOOKUP(C220,'Talente &amp; Stuff'!C:AD,12,FALSE)</f>
        <v>0</v>
      </c>
      <c r="O220" s="47">
        <f>VLOOKUP(C220,'Talente &amp; Stuff'!C:AD,13,FALSE)</f>
        <v>0</v>
      </c>
      <c r="P220" s="119">
        <f>VLOOKUP(C220,'Talente &amp; Stuff'!C:AD,14,FALSE)</f>
        <v>0</v>
      </c>
      <c r="Q220" s="114">
        <f>VLOOKUP(C220,'Talente &amp; Stuff'!C:AD,15,FALSE)</f>
        <v>0</v>
      </c>
      <c r="R220" s="113">
        <f>VLOOKUP(C220,'Talente &amp; Stuff'!C:AD,16,FALSE)</f>
        <v>0</v>
      </c>
      <c r="S220" s="119">
        <f>VLOOKUP(C220,'Talente &amp; Stuff'!C:AD,17,FALSE)</f>
        <v>0</v>
      </c>
      <c r="T220" s="119">
        <f>VLOOKUP(C220,'Talente &amp; Stuff'!C:AD,18,FALSE)</f>
        <v>0</v>
      </c>
      <c r="U220" s="89">
        <f>VLOOKUP(C220,'Talente &amp; Stuff'!C:AD,19,FALSE)</f>
        <v>0</v>
      </c>
      <c r="V220" s="47">
        <f>VLOOKUP(C220,'Talente &amp; Stuff'!C:AD,20,FALSE)</f>
        <v>0</v>
      </c>
      <c r="W220" s="127">
        <f>VLOOKUP(C220,'Talente &amp; Stuff'!C:AD,21,FALSE)</f>
        <v>0</v>
      </c>
      <c r="X220" s="127">
        <f>VLOOKUP(C220,'Talente &amp; Stuff'!C:AD,22,FALSE)</f>
        <v>0</v>
      </c>
      <c r="Y220" s="165">
        <f t="shared" si="20"/>
        <v>0</v>
      </c>
      <c r="Z220" s="198">
        <f t="shared" si="21"/>
        <v>0</v>
      </c>
      <c r="AA220" s="125">
        <f>VLOOKUP(C220,'Talente &amp; Stuff'!C:AD,25,FALSE)</f>
        <v>0</v>
      </c>
      <c r="AB220" s="160">
        <f>VLOOKUP(C220,'Talente &amp; Stuff'!C:AD,26,FALSE)</f>
        <v>0</v>
      </c>
      <c r="AC220" s="127">
        <f>VLOOKUP(C220,'Talente &amp; Stuff'!C:AD,27,FALSE)</f>
        <v>0</v>
      </c>
      <c r="AD220" s="125">
        <f>VLOOKUP(C220,'Talente &amp; Stuff'!C:AD,28,FALSE)</f>
        <v>0</v>
      </c>
      <c r="AE220" s="28"/>
    </row>
    <row r="221" spans="2:31" s="138" customFormat="1" hidden="1" outlineLevel="2">
      <c r="B221" s="138">
        <v>9</v>
      </c>
      <c r="C221" s="163" t="s">
        <v>281</v>
      </c>
      <c r="D221" s="125" t="str">
        <f>VLOOKUP(C221,'Talente &amp; Stuff'!C:AD,2,FALSE)</f>
        <v>--/--/--</v>
      </c>
      <c r="E221" s="127" t="str">
        <f>VLOOKUP(C221,'Talente &amp; Stuff'!C:AD,3,FALSE)</f>
        <v>-</v>
      </c>
      <c r="F221" s="114">
        <f>VLOOKUP(C221,'Talente &amp; Stuff'!C:AD,4,FALSE)</f>
        <v>0</v>
      </c>
      <c r="G221" s="113">
        <f>VLOOKUP(C221,'Talente &amp; Stuff'!C:AD,5,FALSE)</f>
        <v>0</v>
      </c>
      <c r="H221" s="113">
        <f>VLOOKUP(C221,'Talente &amp; Stuff'!C:AD,6,FALSE)</f>
        <v>0</v>
      </c>
      <c r="I221" s="113">
        <f>VLOOKUP(C221,'Talente &amp; Stuff'!C:AD,7,FALSE)</f>
        <v>0</v>
      </c>
      <c r="J221" s="113">
        <f>VLOOKUP(C221,'Talente &amp; Stuff'!C:AD,8,FALSE)</f>
        <v>0</v>
      </c>
      <c r="K221" s="113">
        <f>VLOOKUP(C221,'Talente &amp; Stuff'!C:AD,9,FALSE)</f>
        <v>0</v>
      </c>
      <c r="L221" s="113">
        <f>VLOOKUP(C221,'Talente &amp; Stuff'!C:AD,10,FALSE)</f>
        <v>0</v>
      </c>
      <c r="M221" s="119">
        <f>VLOOKUP(C221,'Talente &amp; Stuff'!C:AD,11,FALSE)</f>
        <v>0</v>
      </c>
      <c r="N221" s="47">
        <f>VLOOKUP(C221,'Talente &amp; Stuff'!C:AD,12,FALSE)</f>
        <v>0</v>
      </c>
      <c r="O221" s="47">
        <f>VLOOKUP(C221,'Talente &amp; Stuff'!C:AD,13,FALSE)</f>
        <v>0</v>
      </c>
      <c r="P221" s="119">
        <f>VLOOKUP(C221,'Talente &amp; Stuff'!C:AD,14,FALSE)</f>
        <v>0</v>
      </c>
      <c r="Q221" s="114">
        <f>VLOOKUP(C221,'Talente &amp; Stuff'!C:AD,15,FALSE)</f>
        <v>0</v>
      </c>
      <c r="R221" s="113">
        <f>VLOOKUP(C221,'Talente &amp; Stuff'!C:AD,16,FALSE)</f>
        <v>0</v>
      </c>
      <c r="S221" s="119">
        <f>VLOOKUP(C221,'Talente &amp; Stuff'!C:AD,17,FALSE)</f>
        <v>0</v>
      </c>
      <c r="T221" s="119">
        <f>VLOOKUP(C221,'Talente &amp; Stuff'!C:AD,18,FALSE)</f>
        <v>0</v>
      </c>
      <c r="U221" s="89">
        <f>VLOOKUP(C221,'Talente &amp; Stuff'!C:AD,19,FALSE)</f>
        <v>0</v>
      </c>
      <c r="V221" s="47">
        <f>VLOOKUP(C221,'Talente &amp; Stuff'!C:AD,20,FALSE)</f>
        <v>0</v>
      </c>
      <c r="W221" s="127">
        <f>VLOOKUP(C221,'Talente &amp; Stuff'!C:AD,21,FALSE)</f>
        <v>0</v>
      </c>
      <c r="X221" s="127">
        <f>VLOOKUP(C221,'Talente &amp; Stuff'!C:AD,22,FALSE)</f>
        <v>0</v>
      </c>
      <c r="Y221" s="165">
        <f t="shared" si="20"/>
        <v>0</v>
      </c>
      <c r="Z221" s="198">
        <f t="shared" si="21"/>
        <v>0</v>
      </c>
      <c r="AA221" s="125">
        <f>VLOOKUP(C221,'Talente &amp; Stuff'!C:AD,25,FALSE)</f>
        <v>0</v>
      </c>
      <c r="AB221" s="160">
        <f>VLOOKUP(C221,'Talente &amp; Stuff'!C:AD,26,FALSE)</f>
        <v>0</v>
      </c>
      <c r="AC221" s="127">
        <f>VLOOKUP(C221,'Talente &amp; Stuff'!C:AD,27,FALSE)</f>
        <v>0</v>
      </c>
      <c r="AD221" s="125">
        <f>VLOOKUP(C221,'Talente &amp; Stuff'!C:AD,28,FALSE)</f>
        <v>0</v>
      </c>
      <c r="AE221" s="28"/>
    </row>
    <row r="222" spans="2:31" s="148" customFormat="1" hidden="1" outlineLevel="2">
      <c r="B222" s="148">
        <v>10</v>
      </c>
      <c r="C222" s="163" t="s">
        <v>281</v>
      </c>
      <c r="D222" s="86" t="str">
        <f>VLOOKUP(C222,'Talente &amp; Stuff'!C:AD,2,FALSE)</f>
        <v>--/--/--</v>
      </c>
      <c r="E222" s="167" t="str">
        <f>VLOOKUP(C222,'Talente &amp; Stuff'!C:AD,3,FALSE)</f>
        <v>-</v>
      </c>
      <c r="F222" s="120">
        <f>VLOOKUP(C222,'Talente &amp; Stuff'!C:AD,4,FALSE)</f>
        <v>0</v>
      </c>
      <c r="G222" s="117">
        <f>VLOOKUP(C222,'Talente &amp; Stuff'!C:AD,5,FALSE)</f>
        <v>0</v>
      </c>
      <c r="H222" s="117">
        <f>VLOOKUP(C222,'Talente &amp; Stuff'!C:AD,6,FALSE)</f>
        <v>0</v>
      </c>
      <c r="I222" s="117">
        <f>VLOOKUP(C222,'Talente &amp; Stuff'!C:AD,7,FALSE)</f>
        <v>0</v>
      </c>
      <c r="J222" s="117">
        <f>VLOOKUP(C222,'Talente &amp; Stuff'!C:AD,8,FALSE)</f>
        <v>0</v>
      </c>
      <c r="K222" s="117">
        <f>VLOOKUP(C222,'Talente &amp; Stuff'!C:AD,9,FALSE)</f>
        <v>0</v>
      </c>
      <c r="L222" s="117">
        <f>VLOOKUP(C222,'Talente &amp; Stuff'!C:AD,10,FALSE)</f>
        <v>0</v>
      </c>
      <c r="M222" s="121">
        <f>VLOOKUP(C222,'Talente &amp; Stuff'!C:AD,11,FALSE)</f>
        <v>0</v>
      </c>
      <c r="N222" s="47">
        <f>VLOOKUP(C222,'Talente &amp; Stuff'!C:AD,12,FALSE)</f>
        <v>0</v>
      </c>
      <c r="O222" s="3">
        <f>VLOOKUP(C222,'Talente &amp; Stuff'!C:AD,13,FALSE)</f>
        <v>0</v>
      </c>
      <c r="P222" s="174">
        <f>VLOOKUP(C222,'Talente &amp; Stuff'!C:AD,14,FALSE)</f>
        <v>0</v>
      </c>
      <c r="Q222" s="114">
        <f>VLOOKUP(C222,'Talente &amp; Stuff'!C:AD,15,FALSE)</f>
        <v>0</v>
      </c>
      <c r="R222" s="117">
        <f>VLOOKUP(C222,'Talente &amp; Stuff'!C:AD,16,FALSE)</f>
        <v>0</v>
      </c>
      <c r="S222" s="119">
        <f>VLOOKUP(C222,'Talente &amp; Stuff'!C:AD,17,FALSE)</f>
        <v>0</v>
      </c>
      <c r="T222" s="119">
        <f>VLOOKUP(C222,'Talente &amp; Stuff'!C:AD,18,FALSE)</f>
        <v>0</v>
      </c>
      <c r="U222" s="89">
        <f>VLOOKUP(C222,'Talente &amp; Stuff'!C:AD,19,FALSE)</f>
        <v>0</v>
      </c>
      <c r="V222" s="47">
        <f>VLOOKUP(C222,'Talente &amp; Stuff'!C:AD,20,FALSE)</f>
        <v>0</v>
      </c>
      <c r="W222" s="127">
        <f>VLOOKUP(C222,'Talente &amp; Stuff'!C:AD,21,FALSE)</f>
        <v>0</v>
      </c>
      <c r="X222" s="127">
        <f>VLOOKUP(C222,'Talente &amp; Stuff'!C:AD,22,FALSE)</f>
        <v>0</v>
      </c>
      <c r="Y222" s="165">
        <f t="shared" si="20"/>
        <v>0</v>
      </c>
      <c r="Z222" s="198">
        <f t="shared" si="21"/>
        <v>0</v>
      </c>
      <c r="AA222" s="125">
        <f>VLOOKUP(C222,'Talente &amp; Stuff'!C:AD,25,FALSE)</f>
        <v>0</v>
      </c>
      <c r="AB222" s="160">
        <f>VLOOKUP(C222,'Talente &amp; Stuff'!C:AD,26,FALSE)</f>
        <v>0</v>
      </c>
      <c r="AC222" s="127">
        <f>VLOOKUP(C222,'Talente &amp; Stuff'!C:AD,27,FALSE)</f>
        <v>0</v>
      </c>
      <c r="AD222" s="125">
        <f>VLOOKUP(C222,'Talente &amp; Stuff'!C:AD,28,FALSE)</f>
        <v>0</v>
      </c>
      <c r="AE222" s="28"/>
    </row>
    <row r="223" spans="2:31" s="148" customFormat="1" hidden="1" outlineLevel="2">
      <c r="B223" s="148">
        <v>11</v>
      </c>
      <c r="C223" s="163" t="s">
        <v>281</v>
      </c>
      <c r="D223" s="86" t="str">
        <f>VLOOKUP(C223,'Talente &amp; Stuff'!C:AD,2,FALSE)</f>
        <v>--/--/--</v>
      </c>
      <c r="E223" s="167" t="str">
        <f>VLOOKUP(C223,'Talente &amp; Stuff'!C:AD,3,FALSE)</f>
        <v>-</v>
      </c>
      <c r="F223" s="120">
        <f>VLOOKUP(C223,'Talente &amp; Stuff'!C:AD,4,FALSE)</f>
        <v>0</v>
      </c>
      <c r="G223" s="117">
        <f>VLOOKUP(C223,'Talente &amp; Stuff'!C:AD,5,FALSE)</f>
        <v>0</v>
      </c>
      <c r="H223" s="117">
        <f>VLOOKUP(C223,'Talente &amp; Stuff'!C:AD,6,FALSE)</f>
        <v>0</v>
      </c>
      <c r="I223" s="117">
        <f>VLOOKUP(C223,'Talente &amp; Stuff'!C:AD,7,FALSE)</f>
        <v>0</v>
      </c>
      <c r="J223" s="117">
        <f>VLOOKUP(C223,'Talente &amp; Stuff'!C:AD,8,FALSE)</f>
        <v>0</v>
      </c>
      <c r="K223" s="117">
        <f>VLOOKUP(C223,'Talente &amp; Stuff'!C:AD,9,FALSE)</f>
        <v>0</v>
      </c>
      <c r="L223" s="117">
        <f>VLOOKUP(C223,'Talente &amp; Stuff'!C:AD,10,FALSE)</f>
        <v>0</v>
      </c>
      <c r="M223" s="121">
        <f>VLOOKUP(C223,'Talente &amp; Stuff'!C:AD,11,FALSE)</f>
        <v>0</v>
      </c>
      <c r="N223" s="47">
        <f>VLOOKUP(C223,'Talente &amp; Stuff'!C:AD,12,FALSE)</f>
        <v>0</v>
      </c>
      <c r="O223" s="3">
        <f>VLOOKUP(C223,'Talente &amp; Stuff'!C:AD,13,FALSE)</f>
        <v>0</v>
      </c>
      <c r="P223" s="174">
        <f>VLOOKUP(C223,'Talente &amp; Stuff'!C:AD,14,FALSE)</f>
        <v>0</v>
      </c>
      <c r="Q223" s="114">
        <f>VLOOKUP(C223,'Talente &amp; Stuff'!C:AD,15,FALSE)</f>
        <v>0</v>
      </c>
      <c r="R223" s="117">
        <f>VLOOKUP(C223,'Talente &amp; Stuff'!C:AD,16,FALSE)</f>
        <v>0</v>
      </c>
      <c r="S223" s="119">
        <f>VLOOKUP(C223,'Talente &amp; Stuff'!C:AD,17,FALSE)</f>
        <v>0</v>
      </c>
      <c r="T223" s="119">
        <f>VLOOKUP(C223,'Talente &amp; Stuff'!C:AD,18,FALSE)</f>
        <v>0</v>
      </c>
      <c r="U223" s="89">
        <f>VLOOKUP(C223,'Talente &amp; Stuff'!C:AD,19,FALSE)</f>
        <v>0</v>
      </c>
      <c r="V223" s="47">
        <f>VLOOKUP(C223,'Talente &amp; Stuff'!C:AD,20,FALSE)</f>
        <v>0</v>
      </c>
      <c r="W223" s="127">
        <f>VLOOKUP(C223,'Talente &amp; Stuff'!C:AD,21,FALSE)</f>
        <v>0</v>
      </c>
      <c r="X223" s="127">
        <f>VLOOKUP(C223,'Talente &amp; Stuff'!C:AD,22,FALSE)</f>
        <v>0</v>
      </c>
      <c r="Y223" s="165">
        <f t="shared" si="20"/>
        <v>0</v>
      </c>
      <c r="Z223" s="198">
        <f t="shared" si="21"/>
        <v>0</v>
      </c>
      <c r="AA223" s="125">
        <f>VLOOKUP(C223,'Talente &amp; Stuff'!C:AD,25,FALSE)</f>
        <v>0</v>
      </c>
      <c r="AB223" s="160">
        <f>VLOOKUP(C223,'Talente &amp; Stuff'!C:AD,26,FALSE)</f>
        <v>0</v>
      </c>
      <c r="AC223" s="127">
        <f>VLOOKUP(C223,'Talente &amp; Stuff'!C:AD,27,FALSE)</f>
        <v>0</v>
      </c>
      <c r="AD223" s="125">
        <f>VLOOKUP(C223,'Talente &amp; Stuff'!C:AD,28,FALSE)</f>
        <v>0</v>
      </c>
      <c r="AE223" s="28"/>
    </row>
    <row r="224" spans="2:31" s="148" customFormat="1" hidden="1" outlineLevel="2">
      <c r="B224" s="148">
        <v>12</v>
      </c>
      <c r="C224" s="163" t="s">
        <v>281</v>
      </c>
      <c r="D224" s="86" t="str">
        <f>VLOOKUP(C224,'Talente &amp; Stuff'!C:AD,2,FALSE)</f>
        <v>--/--/--</v>
      </c>
      <c r="E224" s="167" t="str">
        <f>VLOOKUP(C224,'Talente &amp; Stuff'!C:AD,3,FALSE)</f>
        <v>-</v>
      </c>
      <c r="F224" s="120">
        <f>VLOOKUP(C224,'Talente &amp; Stuff'!C:AD,4,FALSE)</f>
        <v>0</v>
      </c>
      <c r="G224" s="117">
        <f>VLOOKUP(C224,'Talente &amp; Stuff'!C:AD,5,FALSE)</f>
        <v>0</v>
      </c>
      <c r="H224" s="117">
        <f>VLOOKUP(C224,'Talente &amp; Stuff'!C:AD,6,FALSE)</f>
        <v>0</v>
      </c>
      <c r="I224" s="117">
        <f>VLOOKUP(C224,'Talente &amp; Stuff'!C:AD,7,FALSE)</f>
        <v>0</v>
      </c>
      <c r="J224" s="117">
        <f>VLOOKUP(C224,'Talente &amp; Stuff'!C:AD,8,FALSE)</f>
        <v>0</v>
      </c>
      <c r="K224" s="117">
        <f>VLOOKUP(C224,'Talente &amp; Stuff'!C:AD,9,FALSE)</f>
        <v>0</v>
      </c>
      <c r="L224" s="117">
        <f>VLOOKUP(C224,'Talente &amp; Stuff'!C:AD,10,FALSE)</f>
        <v>0</v>
      </c>
      <c r="M224" s="121">
        <f>VLOOKUP(C224,'Talente &amp; Stuff'!C:AD,11,FALSE)</f>
        <v>0</v>
      </c>
      <c r="N224" s="47">
        <f>VLOOKUP(C224,'Talente &amp; Stuff'!C:AD,12,FALSE)</f>
        <v>0</v>
      </c>
      <c r="O224" s="3">
        <f>VLOOKUP(C224,'Talente &amp; Stuff'!C:AD,13,FALSE)</f>
        <v>0</v>
      </c>
      <c r="P224" s="174">
        <f>VLOOKUP(C224,'Talente &amp; Stuff'!C:AD,14,FALSE)</f>
        <v>0</v>
      </c>
      <c r="Q224" s="114">
        <f>VLOOKUP(C224,'Talente &amp; Stuff'!C:AD,15,FALSE)</f>
        <v>0</v>
      </c>
      <c r="R224" s="117">
        <f>VLOOKUP(C224,'Talente &amp; Stuff'!C:AD,16,FALSE)</f>
        <v>0</v>
      </c>
      <c r="S224" s="119">
        <f>VLOOKUP(C224,'Talente &amp; Stuff'!C:AD,17,FALSE)</f>
        <v>0</v>
      </c>
      <c r="T224" s="119">
        <f>VLOOKUP(C224,'Talente &amp; Stuff'!C:AD,18,FALSE)</f>
        <v>0</v>
      </c>
      <c r="U224" s="89">
        <f>VLOOKUP(C224,'Talente &amp; Stuff'!C:AD,19,FALSE)</f>
        <v>0</v>
      </c>
      <c r="V224" s="47">
        <f>VLOOKUP(C224,'Talente &amp; Stuff'!C:AD,20,FALSE)</f>
        <v>0</v>
      </c>
      <c r="W224" s="127">
        <f>VLOOKUP(C224,'Talente &amp; Stuff'!C:AD,21,FALSE)</f>
        <v>0</v>
      </c>
      <c r="X224" s="127">
        <f>VLOOKUP(C224,'Talente &amp; Stuff'!C:AD,22,FALSE)</f>
        <v>0</v>
      </c>
      <c r="Y224" s="165">
        <f t="shared" si="20"/>
        <v>0</v>
      </c>
      <c r="Z224" s="198">
        <f t="shared" si="21"/>
        <v>0</v>
      </c>
      <c r="AA224" s="125">
        <f>VLOOKUP(C224,'Talente &amp; Stuff'!C:AD,25,FALSE)</f>
        <v>0</v>
      </c>
      <c r="AB224" s="160">
        <f>VLOOKUP(C224,'Talente &amp; Stuff'!C:AD,26,FALSE)</f>
        <v>0</v>
      </c>
      <c r="AC224" s="127">
        <f>VLOOKUP(C224,'Talente &amp; Stuff'!C:AD,27,FALSE)</f>
        <v>0</v>
      </c>
      <c r="AD224" s="125">
        <f>VLOOKUP(C224,'Talente &amp; Stuff'!C:AD,28,FALSE)</f>
        <v>0</v>
      </c>
      <c r="AE224" s="28"/>
    </row>
    <row r="225" spans="2:31" s="148" customFormat="1" hidden="1" outlineLevel="2">
      <c r="B225" s="148">
        <v>13</v>
      </c>
      <c r="C225" s="163" t="s">
        <v>281</v>
      </c>
      <c r="D225" s="86" t="str">
        <f>VLOOKUP(C225,'Talente &amp; Stuff'!C:AD,2,FALSE)</f>
        <v>--/--/--</v>
      </c>
      <c r="E225" s="167" t="str">
        <f>VLOOKUP(C225,'Talente &amp; Stuff'!C:AD,3,FALSE)</f>
        <v>-</v>
      </c>
      <c r="F225" s="120">
        <f>VLOOKUP(C225,'Talente &amp; Stuff'!C:AD,4,FALSE)</f>
        <v>0</v>
      </c>
      <c r="G225" s="117">
        <f>VLOOKUP(C225,'Talente &amp; Stuff'!C:AD,5,FALSE)</f>
        <v>0</v>
      </c>
      <c r="H225" s="117">
        <f>VLOOKUP(C225,'Talente &amp; Stuff'!C:AD,6,FALSE)</f>
        <v>0</v>
      </c>
      <c r="I225" s="117">
        <f>VLOOKUP(C225,'Talente &amp; Stuff'!C:AD,7,FALSE)</f>
        <v>0</v>
      </c>
      <c r="J225" s="117">
        <f>VLOOKUP(C225,'Talente &amp; Stuff'!C:AD,8,FALSE)</f>
        <v>0</v>
      </c>
      <c r="K225" s="117">
        <f>VLOOKUP(C225,'Talente &amp; Stuff'!C:AD,9,FALSE)</f>
        <v>0</v>
      </c>
      <c r="L225" s="117">
        <f>VLOOKUP(C225,'Talente &amp; Stuff'!C:AD,10,FALSE)</f>
        <v>0</v>
      </c>
      <c r="M225" s="121">
        <f>VLOOKUP(C225,'Talente &amp; Stuff'!C:AD,11,FALSE)</f>
        <v>0</v>
      </c>
      <c r="N225" s="47">
        <f>VLOOKUP(C225,'Talente &amp; Stuff'!C:AD,12,FALSE)</f>
        <v>0</v>
      </c>
      <c r="O225" s="3">
        <f>VLOOKUP(C225,'Talente &amp; Stuff'!C:AD,13,FALSE)</f>
        <v>0</v>
      </c>
      <c r="P225" s="174">
        <f>VLOOKUP(C225,'Talente &amp; Stuff'!C:AD,14,FALSE)</f>
        <v>0</v>
      </c>
      <c r="Q225" s="114">
        <f>VLOOKUP(C225,'Talente &amp; Stuff'!C:AD,15,FALSE)</f>
        <v>0</v>
      </c>
      <c r="R225" s="117">
        <f>VLOOKUP(C225,'Talente &amp; Stuff'!C:AD,16,FALSE)</f>
        <v>0</v>
      </c>
      <c r="S225" s="119">
        <f>VLOOKUP(C225,'Talente &amp; Stuff'!C:AD,17,FALSE)</f>
        <v>0</v>
      </c>
      <c r="T225" s="119">
        <f>VLOOKUP(C225,'Talente &amp; Stuff'!C:AD,18,FALSE)</f>
        <v>0</v>
      </c>
      <c r="U225" s="89">
        <f>VLOOKUP(C225,'Talente &amp; Stuff'!C:AD,19,FALSE)</f>
        <v>0</v>
      </c>
      <c r="V225" s="47">
        <f>VLOOKUP(C225,'Talente &amp; Stuff'!C:AD,20,FALSE)</f>
        <v>0</v>
      </c>
      <c r="W225" s="127">
        <f>VLOOKUP(C225,'Talente &amp; Stuff'!C:AD,21,FALSE)</f>
        <v>0</v>
      </c>
      <c r="X225" s="127">
        <f>VLOOKUP(C225,'Talente &amp; Stuff'!C:AD,22,FALSE)</f>
        <v>0</v>
      </c>
      <c r="Y225" s="165">
        <f t="shared" si="20"/>
        <v>0</v>
      </c>
      <c r="Z225" s="198">
        <f t="shared" si="21"/>
        <v>0</v>
      </c>
      <c r="AA225" s="125">
        <f>VLOOKUP(C225,'Talente &amp; Stuff'!C:AD,25,FALSE)</f>
        <v>0</v>
      </c>
      <c r="AB225" s="160">
        <f>VLOOKUP(C225,'Talente &amp; Stuff'!C:AD,26,FALSE)</f>
        <v>0</v>
      </c>
      <c r="AC225" s="127">
        <f>VLOOKUP(C225,'Talente &amp; Stuff'!C:AD,27,FALSE)</f>
        <v>0</v>
      </c>
      <c r="AD225" s="125">
        <f>VLOOKUP(C225,'Talente &amp; Stuff'!C:AD,28,FALSE)</f>
        <v>0</v>
      </c>
      <c r="AE225" s="28"/>
    </row>
    <row r="226" spans="2:31" s="148" customFormat="1" hidden="1" outlineLevel="2">
      <c r="B226" s="148">
        <v>14</v>
      </c>
      <c r="C226" s="163" t="s">
        <v>281</v>
      </c>
      <c r="D226" s="86" t="str">
        <f>VLOOKUP(C226,'Talente &amp; Stuff'!C:AD,2,FALSE)</f>
        <v>--/--/--</v>
      </c>
      <c r="E226" s="167" t="str">
        <f>VLOOKUP(C226,'Talente &amp; Stuff'!C:AD,3,FALSE)</f>
        <v>-</v>
      </c>
      <c r="F226" s="120">
        <f>VLOOKUP(C226,'Talente &amp; Stuff'!C:AD,4,FALSE)</f>
        <v>0</v>
      </c>
      <c r="G226" s="117">
        <f>VLOOKUP(C226,'Talente &amp; Stuff'!C:AD,5,FALSE)</f>
        <v>0</v>
      </c>
      <c r="H226" s="117">
        <f>VLOOKUP(C226,'Talente &amp; Stuff'!C:AD,6,FALSE)</f>
        <v>0</v>
      </c>
      <c r="I226" s="117">
        <f>VLOOKUP(C226,'Talente &amp; Stuff'!C:AD,7,FALSE)</f>
        <v>0</v>
      </c>
      <c r="J226" s="117">
        <f>VLOOKUP(C226,'Talente &amp; Stuff'!C:AD,8,FALSE)</f>
        <v>0</v>
      </c>
      <c r="K226" s="117">
        <f>VLOOKUP(C226,'Talente &amp; Stuff'!C:AD,9,FALSE)</f>
        <v>0</v>
      </c>
      <c r="L226" s="117">
        <f>VLOOKUP(C226,'Talente &amp; Stuff'!C:AD,10,FALSE)</f>
        <v>0</v>
      </c>
      <c r="M226" s="121">
        <f>VLOOKUP(C226,'Talente &amp; Stuff'!C:AD,11,FALSE)</f>
        <v>0</v>
      </c>
      <c r="N226" s="47">
        <f>VLOOKUP(C226,'Talente &amp; Stuff'!C:AD,12,FALSE)</f>
        <v>0</v>
      </c>
      <c r="O226" s="3">
        <f>VLOOKUP(C226,'Talente &amp; Stuff'!C:AD,13,FALSE)</f>
        <v>0</v>
      </c>
      <c r="P226" s="174">
        <f>VLOOKUP(C226,'Talente &amp; Stuff'!C:AD,14,FALSE)</f>
        <v>0</v>
      </c>
      <c r="Q226" s="114">
        <f>VLOOKUP(C226,'Talente &amp; Stuff'!C:AD,15,FALSE)</f>
        <v>0</v>
      </c>
      <c r="R226" s="117">
        <f>VLOOKUP(C226,'Talente &amp; Stuff'!C:AD,16,FALSE)</f>
        <v>0</v>
      </c>
      <c r="S226" s="119">
        <f>VLOOKUP(C226,'Talente &amp; Stuff'!C:AD,17,FALSE)</f>
        <v>0</v>
      </c>
      <c r="T226" s="119">
        <f>VLOOKUP(C226,'Talente &amp; Stuff'!C:AD,18,FALSE)</f>
        <v>0</v>
      </c>
      <c r="U226" s="89">
        <f>VLOOKUP(C226,'Talente &amp; Stuff'!C:AD,19,FALSE)</f>
        <v>0</v>
      </c>
      <c r="V226" s="47">
        <f>VLOOKUP(C226,'Talente &amp; Stuff'!C:AD,20,FALSE)</f>
        <v>0</v>
      </c>
      <c r="W226" s="127">
        <f>VLOOKUP(C226,'Talente &amp; Stuff'!C:AD,21,FALSE)</f>
        <v>0</v>
      </c>
      <c r="X226" s="127">
        <f>VLOOKUP(C226,'Talente &amp; Stuff'!C:AD,22,FALSE)</f>
        <v>0</v>
      </c>
      <c r="Y226" s="165">
        <f t="shared" si="20"/>
        <v>0</v>
      </c>
      <c r="Z226" s="198">
        <f t="shared" si="21"/>
        <v>0</v>
      </c>
      <c r="AA226" s="125">
        <f>VLOOKUP(C226,'Talente &amp; Stuff'!C:AD,25,FALSE)</f>
        <v>0</v>
      </c>
      <c r="AB226" s="160">
        <f>VLOOKUP(C226,'Talente &amp; Stuff'!C:AD,26,FALSE)</f>
        <v>0</v>
      </c>
      <c r="AC226" s="127">
        <f>VLOOKUP(C226,'Talente &amp; Stuff'!C:AD,27,FALSE)</f>
        <v>0</v>
      </c>
      <c r="AD226" s="125">
        <f>VLOOKUP(C226,'Talente &amp; Stuff'!C:AD,28,FALSE)</f>
        <v>0</v>
      </c>
      <c r="AE226" s="28"/>
    </row>
    <row r="227" spans="2:31" s="148" customFormat="1" hidden="1" outlineLevel="2">
      <c r="B227" s="148">
        <v>15</v>
      </c>
      <c r="C227" s="163" t="s">
        <v>281</v>
      </c>
      <c r="D227" s="86" t="str">
        <f>VLOOKUP(C227,'Talente &amp; Stuff'!C:AD,2,FALSE)</f>
        <v>--/--/--</v>
      </c>
      <c r="E227" s="167" t="str">
        <f>VLOOKUP(C227,'Talente &amp; Stuff'!C:AD,3,FALSE)</f>
        <v>-</v>
      </c>
      <c r="F227" s="120">
        <f>VLOOKUP(C227,'Talente &amp; Stuff'!C:AD,4,FALSE)</f>
        <v>0</v>
      </c>
      <c r="G227" s="117">
        <f>VLOOKUP(C227,'Talente &amp; Stuff'!C:AD,5,FALSE)</f>
        <v>0</v>
      </c>
      <c r="H227" s="117">
        <f>VLOOKUP(C227,'Talente &amp; Stuff'!C:AD,6,FALSE)</f>
        <v>0</v>
      </c>
      <c r="I227" s="117">
        <f>VLOOKUP(C227,'Talente &amp; Stuff'!C:AD,7,FALSE)</f>
        <v>0</v>
      </c>
      <c r="J227" s="117">
        <f>VLOOKUP(C227,'Talente &amp; Stuff'!C:AD,8,FALSE)</f>
        <v>0</v>
      </c>
      <c r="K227" s="117">
        <f>VLOOKUP(C227,'Talente &amp; Stuff'!C:AD,9,FALSE)</f>
        <v>0</v>
      </c>
      <c r="L227" s="117">
        <f>VLOOKUP(C227,'Talente &amp; Stuff'!C:AD,10,FALSE)</f>
        <v>0</v>
      </c>
      <c r="M227" s="121">
        <f>VLOOKUP(C227,'Talente &amp; Stuff'!C:AD,11,FALSE)</f>
        <v>0</v>
      </c>
      <c r="N227" s="47">
        <f>VLOOKUP(C227,'Talente &amp; Stuff'!C:AD,12,FALSE)</f>
        <v>0</v>
      </c>
      <c r="O227" s="3">
        <f>VLOOKUP(C227,'Talente &amp; Stuff'!C:AD,13,FALSE)</f>
        <v>0</v>
      </c>
      <c r="P227" s="174">
        <f>VLOOKUP(C227,'Talente &amp; Stuff'!C:AD,14,FALSE)</f>
        <v>0</v>
      </c>
      <c r="Q227" s="114">
        <f>VLOOKUP(C227,'Talente &amp; Stuff'!C:AD,15,FALSE)</f>
        <v>0</v>
      </c>
      <c r="R227" s="117">
        <f>VLOOKUP(C227,'Talente &amp; Stuff'!C:AD,16,FALSE)</f>
        <v>0</v>
      </c>
      <c r="S227" s="119">
        <f>VLOOKUP(C227,'Talente &amp; Stuff'!C:AD,17,FALSE)</f>
        <v>0</v>
      </c>
      <c r="T227" s="119">
        <f>VLOOKUP(C227,'Talente &amp; Stuff'!C:AD,18,FALSE)</f>
        <v>0</v>
      </c>
      <c r="U227" s="89">
        <f>VLOOKUP(C227,'Talente &amp; Stuff'!C:AD,19,FALSE)</f>
        <v>0</v>
      </c>
      <c r="V227" s="47">
        <f>VLOOKUP(C227,'Talente &amp; Stuff'!C:AD,20,FALSE)</f>
        <v>0</v>
      </c>
      <c r="W227" s="127">
        <f>VLOOKUP(C227,'Talente &amp; Stuff'!C:AD,21,FALSE)</f>
        <v>0</v>
      </c>
      <c r="X227" s="127">
        <f>VLOOKUP(C227,'Talente &amp; Stuff'!C:AD,22,FALSE)</f>
        <v>0</v>
      </c>
      <c r="Y227" s="165">
        <f t="shared" si="20"/>
        <v>0</v>
      </c>
      <c r="Z227" s="198">
        <f t="shared" si="21"/>
        <v>0</v>
      </c>
      <c r="AA227" s="125">
        <f>VLOOKUP(C227,'Talente &amp; Stuff'!C:AD,25,FALSE)</f>
        <v>0</v>
      </c>
      <c r="AB227" s="160">
        <f>VLOOKUP(C227,'Talente &amp; Stuff'!C:AD,26,FALSE)</f>
        <v>0</v>
      </c>
      <c r="AC227" s="127">
        <f>VLOOKUP(C227,'Talente &amp; Stuff'!C:AD,27,FALSE)</f>
        <v>0</v>
      </c>
      <c r="AD227" s="125">
        <f>VLOOKUP(C227,'Talente &amp; Stuff'!C:AD,28,FALSE)</f>
        <v>0</v>
      </c>
      <c r="AE227" s="28"/>
    </row>
    <row r="228" spans="2:31" s="148" customFormat="1" hidden="1" outlineLevel="2">
      <c r="B228" s="148">
        <v>16</v>
      </c>
      <c r="C228" s="163" t="s">
        <v>281</v>
      </c>
      <c r="D228" s="86" t="str">
        <f>VLOOKUP(C228,'Talente &amp; Stuff'!C:AD,2,FALSE)</f>
        <v>--/--/--</v>
      </c>
      <c r="E228" s="167" t="str">
        <f>VLOOKUP(C228,'Talente &amp; Stuff'!C:AD,3,FALSE)</f>
        <v>-</v>
      </c>
      <c r="F228" s="120">
        <f>VLOOKUP(C228,'Talente &amp; Stuff'!C:AD,4,FALSE)</f>
        <v>0</v>
      </c>
      <c r="G228" s="117">
        <f>VLOOKUP(C228,'Talente &amp; Stuff'!C:AD,5,FALSE)</f>
        <v>0</v>
      </c>
      <c r="H228" s="117">
        <f>VLOOKUP(C228,'Talente &amp; Stuff'!C:AD,6,FALSE)</f>
        <v>0</v>
      </c>
      <c r="I228" s="117">
        <f>VLOOKUP(C228,'Talente &amp; Stuff'!C:AD,7,FALSE)</f>
        <v>0</v>
      </c>
      <c r="J228" s="117">
        <f>VLOOKUP(C228,'Talente &amp; Stuff'!C:AD,8,FALSE)</f>
        <v>0</v>
      </c>
      <c r="K228" s="117">
        <f>VLOOKUP(C228,'Talente &amp; Stuff'!C:AD,9,FALSE)</f>
        <v>0</v>
      </c>
      <c r="L228" s="117">
        <f>VLOOKUP(C228,'Talente &amp; Stuff'!C:AD,10,FALSE)</f>
        <v>0</v>
      </c>
      <c r="M228" s="121">
        <f>VLOOKUP(C228,'Talente &amp; Stuff'!C:AD,11,FALSE)</f>
        <v>0</v>
      </c>
      <c r="N228" s="47">
        <f>VLOOKUP(C228,'Talente &amp; Stuff'!C:AD,12,FALSE)</f>
        <v>0</v>
      </c>
      <c r="O228" s="3">
        <f>VLOOKUP(C228,'Talente &amp; Stuff'!C:AD,13,FALSE)</f>
        <v>0</v>
      </c>
      <c r="P228" s="174">
        <f>VLOOKUP(C228,'Talente &amp; Stuff'!C:AD,14,FALSE)</f>
        <v>0</v>
      </c>
      <c r="Q228" s="114">
        <f>VLOOKUP(C228,'Talente &amp; Stuff'!C:AD,15,FALSE)</f>
        <v>0</v>
      </c>
      <c r="R228" s="117">
        <f>VLOOKUP(C228,'Talente &amp; Stuff'!C:AD,16,FALSE)</f>
        <v>0</v>
      </c>
      <c r="S228" s="119">
        <f>VLOOKUP(C228,'Talente &amp; Stuff'!C:AD,17,FALSE)</f>
        <v>0</v>
      </c>
      <c r="T228" s="119">
        <f>VLOOKUP(C228,'Talente &amp; Stuff'!C:AD,18,FALSE)</f>
        <v>0</v>
      </c>
      <c r="U228" s="89">
        <f>VLOOKUP(C228,'Talente &amp; Stuff'!C:AD,19,FALSE)</f>
        <v>0</v>
      </c>
      <c r="V228" s="47">
        <f>VLOOKUP(C228,'Talente &amp; Stuff'!C:AD,20,FALSE)</f>
        <v>0</v>
      </c>
      <c r="W228" s="127">
        <f>VLOOKUP(C228,'Talente &amp; Stuff'!C:AD,21,FALSE)</f>
        <v>0</v>
      </c>
      <c r="X228" s="127">
        <f>VLOOKUP(C228,'Talente &amp; Stuff'!C:AD,22,FALSE)</f>
        <v>0</v>
      </c>
      <c r="Y228" s="165">
        <f t="shared" si="20"/>
        <v>0</v>
      </c>
      <c r="Z228" s="198">
        <f t="shared" si="21"/>
        <v>0</v>
      </c>
      <c r="AA228" s="125">
        <f>VLOOKUP(C228,'Talente &amp; Stuff'!C:AD,25,FALSE)</f>
        <v>0</v>
      </c>
      <c r="AB228" s="160">
        <f>VLOOKUP(C228,'Talente &amp; Stuff'!C:AD,26,FALSE)</f>
        <v>0</v>
      </c>
      <c r="AC228" s="127">
        <f>VLOOKUP(C228,'Talente &amp; Stuff'!C:AD,27,FALSE)</f>
        <v>0</v>
      </c>
      <c r="AD228" s="125">
        <f>VLOOKUP(C228,'Talente &amp; Stuff'!C:AD,28,FALSE)</f>
        <v>0</v>
      </c>
      <c r="AE228" s="28"/>
    </row>
    <row r="229" spans="2:31" s="148" customFormat="1" hidden="1" outlineLevel="2">
      <c r="B229" s="148">
        <v>17</v>
      </c>
      <c r="C229" s="163" t="s">
        <v>281</v>
      </c>
      <c r="D229" s="86" t="str">
        <f>VLOOKUP(C229,'Talente &amp; Stuff'!C:AD,2,FALSE)</f>
        <v>--/--/--</v>
      </c>
      <c r="E229" s="167" t="str">
        <f>VLOOKUP(C229,'Talente &amp; Stuff'!C:AD,3,FALSE)</f>
        <v>-</v>
      </c>
      <c r="F229" s="120">
        <f>VLOOKUP(C229,'Talente &amp; Stuff'!C:AD,4,FALSE)</f>
        <v>0</v>
      </c>
      <c r="G229" s="117">
        <f>VLOOKUP(C229,'Talente &amp; Stuff'!C:AD,5,FALSE)</f>
        <v>0</v>
      </c>
      <c r="H229" s="117">
        <f>VLOOKUP(C229,'Talente &amp; Stuff'!C:AD,6,FALSE)</f>
        <v>0</v>
      </c>
      <c r="I229" s="117">
        <f>VLOOKUP(C229,'Talente &amp; Stuff'!C:AD,7,FALSE)</f>
        <v>0</v>
      </c>
      <c r="J229" s="117">
        <f>VLOOKUP(C229,'Talente &amp; Stuff'!C:AD,8,FALSE)</f>
        <v>0</v>
      </c>
      <c r="K229" s="117">
        <f>VLOOKUP(C229,'Talente &amp; Stuff'!C:AD,9,FALSE)</f>
        <v>0</v>
      </c>
      <c r="L229" s="117">
        <f>VLOOKUP(C229,'Talente &amp; Stuff'!C:AD,10,FALSE)</f>
        <v>0</v>
      </c>
      <c r="M229" s="121">
        <f>VLOOKUP(C229,'Talente &amp; Stuff'!C:AD,11,FALSE)</f>
        <v>0</v>
      </c>
      <c r="N229" s="47">
        <f>VLOOKUP(C229,'Talente &amp; Stuff'!C:AD,12,FALSE)</f>
        <v>0</v>
      </c>
      <c r="O229" s="3">
        <f>VLOOKUP(C229,'Talente &amp; Stuff'!C:AD,13,FALSE)</f>
        <v>0</v>
      </c>
      <c r="P229" s="174">
        <f>VLOOKUP(C229,'Talente &amp; Stuff'!C:AD,14,FALSE)</f>
        <v>0</v>
      </c>
      <c r="Q229" s="114">
        <f>VLOOKUP(C229,'Talente &amp; Stuff'!C:AD,15,FALSE)</f>
        <v>0</v>
      </c>
      <c r="R229" s="117">
        <f>VLOOKUP(C229,'Talente &amp; Stuff'!C:AD,16,FALSE)</f>
        <v>0</v>
      </c>
      <c r="S229" s="119">
        <f>VLOOKUP(C229,'Talente &amp; Stuff'!C:AD,17,FALSE)</f>
        <v>0</v>
      </c>
      <c r="T229" s="119">
        <f>VLOOKUP(C229,'Talente &amp; Stuff'!C:AD,18,FALSE)</f>
        <v>0</v>
      </c>
      <c r="U229" s="89">
        <f>VLOOKUP(C229,'Talente &amp; Stuff'!C:AD,19,FALSE)</f>
        <v>0</v>
      </c>
      <c r="V229" s="47">
        <f>VLOOKUP(C229,'Talente &amp; Stuff'!C:AD,20,FALSE)</f>
        <v>0</v>
      </c>
      <c r="W229" s="127">
        <f>VLOOKUP(C229,'Talente &amp; Stuff'!C:AD,21,FALSE)</f>
        <v>0</v>
      </c>
      <c r="X229" s="127">
        <f>VLOOKUP(C229,'Talente &amp; Stuff'!C:AD,22,FALSE)</f>
        <v>0</v>
      </c>
      <c r="Y229" s="165">
        <f t="shared" si="20"/>
        <v>0</v>
      </c>
      <c r="Z229" s="198">
        <f t="shared" si="21"/>
        <v>0</v>
      </c>
      <c r="AA229" s="125">
        <f>VLOOKUP(C229,'Talente &amp; Stuff'!C:AD,25,FALSE)</f>
        <v>0</v>
      </c>
      <c r="AB229" s="160">
        <f>VLOOKUP(C229,'Talente &amp; Stuff'!C:AD,26,FALSE)</f>
        <v>0</v>
      </c>
      <c r="AC229" s="127">
        <f>VLOOKUP(C229,'Talente &amp; Stuff'!C:AD,27,FALSE)</f>
        <v>0</v>
      </c>
      <c r="AD229" s="125">
        <f>VLOOKUP(C229,'Talente &amp; Stuff'!C:AD,28,FALSE)</f>
        <v>0</v>
      </c>
      <c r="AE229" s="28"/>
    </row>
    <row r="230" spans="2:31" s="148" customFormat="1" hidden="1" outlineLevel="2">
      <c r="B230" s="148">
        <v>18</v>
      </c>
      <c r="C230" s="163" t="s">
        <v>281</v>
      </c>
      <c r="D230" s="86" t="str">
        <f>VLOOKUP(C230,'Talente &amp; Stuff'!C:AD,2,FALSE)</f>
        <v>--/--/--</v>
      </c>
      <c r="E230" s="167" t="str">
        <f>VLOOKUP(C230,'Talente &amp; Stuff'!C:AD,3,FALSE)</f>
        <v>-</v>
      </c>
      <c r="F230" s="120">
        <f>VLOOKUP(C230,'Talente &amp; Stuff'!C:AD,4,FALSE)</f>
        <v>0</v>
      </c>
      <c r="G230" s="117">
        <f>VLOOKUP(C230,'Talente &amp; Stuff'!C:AD,5,FALSE)</f>
        <v>0</v>
      </c>
      <c r="H230" s="117">
        <f>VLOOKUP(C230,'Talente &amp; Stuff'!C:AD,6,FALSE)</f>
        <v>0</v>
      </c>
      <c r="I230" s="117">
        <f>VLOOKUP(C230,'Talente &amp; Stuff'!C:AD,7,FALSE)</f>
        <v>0</v>
      </c>
      <c r="J230" s="117">
        <f>VLOOKUP(C230,'Talente &amp; Stuff'!C:AD,8,FALSE)</f>
        <v>0</v>
      </c>
      <c r="K230" s="117">
        <f>VLOOKUP(C230,'Talente &amp; Stuff'!C:AD,9,FALSE)</f>
        <v>0</v>
      </c>
      <c r="L230" s="117">
        <f>VLOOKUP(C230,'Talente &amp; Stuff'!C:AD,10,FALSE)</f>
        <v>0</v>
      </c>
      <c r="M230" s="121">
        <f>VLOOKUP(C230,'Talente &amp; Stuff'!C:AD,11,FALSE)</f>
        <v>0</v>
      </c>
      <c r="N230" s="47">
        <f>VLOOKUP(C230,'Talente &amp; Stuff'!C:AD,12,FALSE)</f>
        <v>0</v>
      </c>
      <c r="O230" s="3">
        <f>VLOOKUP(C230,'Talente &amp; Stuff'!C:AD,13,FALSE)</f>
        <v>0</v>
      </c>
      <c r="P230" s="174">
        <f>VLOOKUP(C230,'Talente &amp; Stuff'!C:AD,14,FALSE)</f>
        <v>0</v>
      </c>
      <c r="Q230" s="114">
        <f>VLOOKUP(C230,'Talente &amp; Stuff'!C:AD,15,FALSE)</f>
        <v>0</v>
      </c>
      <c r="R230" s="117">
        <f>VLOOKUP(C230,'Talente &amp; Stuff'!C:AD,16,FALSE)</f>
        <v>0</v>
      </c>
      <c r="S230" s="119">
        <f>VLOOKUP(C230,'Talente &amp; Stuff'!C:AD,17,FALSE)</f>
        <v>0</v>
      </c>
      <c r="T230" s="119">
        <f>VLOOKUP(C230,'Talente &amp; Stuff'!C:AD,18,FALSE)</f>
        <v>0</v>
      </c>
      <c r="U230" s="89">
        <f>VLOOKUP(C230,'Talente &amp; Stuff'!C:AD,19,FALSE)</f>
        <v>0</v>
      </c>
      <c r="V230" s="47">
        <f>VLOOKUP(C230,'Talente &amp; Stuff'!C:AD,20,FALSE)</f>
        <v>0</v>
      </c>
      <c r="W230" s="127">
        <f>VLOOKUP(C230,'Talente &amp; Stuff'!C:AD,21,FALSE)</f>
        <v>0</v>
      </c>
      <c r="X230" s="127">
        <f>VLOOKUP(C230,'Talente &amp; Stuff'!C:AD,22,FALSE)</f>
        <v>0</v>
      </c>
      <c r="Y230" s="165">
        <f t="shared" si="20"/>
        <v>0</v>
      </c>
      <c r="Z230" s="198">
        <f t="shared" si="21"/>
        <v>0</v>
      </c>
      <c r="AA230" s="125">
        <f>VLOOKUP(C230,'Talente &amp; Stuff'!C:AD,25,FALSE)</f>
        <v>0</v>
      </c>
      <c r="AB230" s="160">
        <f>VLOOKUP(C230,'Talente &amp; Stuff'!C:AD,26,FALSE)</f>
        <v>0</v>
      </c>
      <c r="AC230" s="127">
        <f>VLOOKUP(C230,'Talente &amp; Stuff'!C:AD,27,FALSE)</f>
        <v>0</v>
      </c>
      <c r="AD230" s="125">
        <f>VLOOKUP(C230,'Talente &amp; Stuff'!C:AD,28,FALSE)</f>
        <v>0</v>
      </c>
      <c r="AE230" s="28"/>
    </row>
    <row r="231" spans="2:31" s="148" customFormat="1" hidden="1" outlineLevel="2">
      <c r="B231" s="148">
        <v>19</v>
      </c>
      <c r="C231" s="163" t="s">
        <v>281</v>
      </c>
      <c r="D231" s="86" t="str">
        <f>VLOOKUP(C231,'Talente &amp; Stuff'!C:AD,2,FALSE)</f>
        <v>--/--/--</v>
      </c>
      <c r="E231" s="167" t="str">
        <f>VLOOKUP(C231,'Talente &amp; Stuff'!C:AD,3,FALSE)</f>
        <v>-</v>
      </c>
      <c r="F231" s="120">
        <f>VLOOKUP(C231,'Talente &amp; Stuff'!C:AD,4,FALSE)</f>
        <v>0</v>
      </c>
      <c r="G231" s="117">
        <f>VLOOKUP(C231,'Talente &amp; Stuff'!C:AD,5,FALSE)</f>
        <v>0</v>
      </c>
      <c r="H231" s="117">
        <f>VLOOKUP(C231,'Talente &amp; Stuff'!C:AD,6,FALSE)</f>
        <v>0</v>
      </c>
      <c r="I231" s="117">
        <f>VLOOKUP(C231,'Talente &amp; Stuff'!C:AD,7,FALSE)</f>
        <v>0</v>
      </c>
      <c r="J231" s="117">
        <f>VLOOKUP(C231,'Talente &amp; Stuff'!C:AD,8,FALSE)</f>
        <v>0</v>
      </c>
      <c r="K231" s="117">
        <f>VLOOKUP(C231,'Talente &amp; Stuff'!C:AD,9,FALSE)</f>
        <v>0</v>
      </c>
      <c r="L231" s="117">
        <f>VLOOKUP(C231,'Talente &amp; Stuff'!C:AD,10,FALSE)</f>
        <v>0</v>
      </c>
      <c r="M231" s="121">
        <f>VLOOKUP(C231,'Talente &amp; Stuff'!C:AD,11,FALSE)</f>
        <v>0</v>
      </c>
      <c r="N231" s="47">
        <f>VLOOKUP(C231,'Talente &amp; Stuff'!C:AD,12,FALSE)</f>
        <v>0</v>
      </c>
      <c r="O231" s="3">
        <f>VLOOKUP(C231,'Talente &amp; Stuff'!C:AD,13,FALSE)</f>
        <v>0</v>
      </c>
      <c r="P231" s="174">
        <f>VLOOKUP(C231,'Talente &amp; Stuff'!C:AD,14,FALSE)</f>
        <v>0</v>
      </c>
      <c r="Q231" s="114">
        <f>VLOOKUP(C231,'Talente &amp; Stuff'!C:AD,15,FALSE)</f>
        <v>0</v>
      </c>
      <c r="R231" s="117">
        <f>VLOOKUP(C231,'Talente &amp; Stuff'!C:AD,16,FALSE)</f>
        <v>0</v>
      </c>
      <c r="S231" s="119">
        <f>VLOOKUP(C231,'Talente &amp; Stuff'!C:AD,17,FALSE)</f>
        <v>0</v>
      </c>
      <c r="T231" s="119">
        <f>VLOOKUP(C231,'Talente &amp; Stuff'!C:AD,18,FALSE)</f>
        <v>0</v>
      </c>
      <c r="U231" s="89">
        <f>VLOOKUP(C231,'Talente &amp; Stuff'!C:AD,19,FALSE)</f>
        <v>0</v>
      </c>
      <c r="V231" s="47">
        <f>VLOOKUP(C231,'Talente &amp; Stuff'!C:AD,20,FALSE)</f>
        <v>0</v>
      </c>
      <c r="W231" s="127">
        <f>VLOOKUP(C231,'Talente &amp; Stuff'!C:AD,21,FALSE)</f>
        <v>0</v>
      </c>
      <c r="X231" s="127">
        <f>VLOOKUP(C231,'Talente &amp; Stuff'!C:AD,22,FALSE)</f>
        <v>0</v>
      </c>
      <c r="Y231" s="165">
        <f t="shared" si="20"/>
        <v>0</v>
      </c>
      <c r="Z231" s="198">
        <f t="shared" si="21"/>
        <v>0</v>
      </c>
      <c r="AA231" s="125">
        <f>VLOOKUP(C231,'Talente &amp; Stuff'!C:AD,25,FALSE)</f>
        <v>0</v>
      </c>
      <c r="AB231" s="160">
        <f>VLOOKUP(C231,'Talente &amp; Stuff'!C:AD,26,FALSE)</f>
        <v>0</v>
      </c>
      <c r="AC231" s="127">
        <f>VLOOKUP(C231,'Talente &amp; Stuff'!C:AD,27,FALSE)</f>
        <v>0</v>
      </c>
      <c r="AD231" s="125">
        <f>VLOOKUP(C231,'Talente &amp; Stuff'!C:AD,28,FALSE)</f>
        <v>0</v>
      </c>
      <c r="AE231" s="28"/>
    </row>
    <row r="232" spans="2:31" s="148" customFormat="1" hidden="1" outlineLevel="2">
      <c r="B232" s="148">
        <v>20</v>
      </c>
      <c r="C232" s="163" t="s">
        <v>281</v>
      </c>
      <c r="D232" s="86" t="str">
        <f>VLOOKUP(C232,'Talente &amp; Stuff'!C:AD,2,FALSE)</f>
        <v>--/--/--</v>
      </c>
      <c r="E232" s="167" t="str">
        <f>VLOOKUP(C232,'Talente &amp; Stuff'!C:AD,3,FALSE)</f>
        <v>-</v>
      </c>
      <c r="F232" s="120">
        <f>VLOOKUP(C232,'Talente &amp; Stuff'!C:AD,4,FALSE)</f>
        <v>0</v>
      </c>
      <c r="G232" s="117">
        <f>VLOOKUP(C232,'Talente &amp; Stuff'!C:AD,5,FALSE)</f>
        <v>0</v>
      </c>
      <c r="H232" s="117">
        <f>VLOOKUP(C232,'Talente &amp; Stuff'!C:AD,6,FALSE)</f>
        <v>0</v>
      </c>
      <c r="I232" s="117">
        <f>VLOOKUP(C232,'Talente &amp; Stuff'!C:AD,7,FALSE)</f>
        <v>0</v>
      </c>
      <c r="J232" s="117">
        <f>VLOOKUP(C232,'Talente &amp; Stuff'!C:AD,8,FALSE)</f>
        <v>0</v>
      </c>
      <c r="K232" s="117">
        <f>VLOOKUP(C232,'Talente &amp; Stuff'!C:AD,9,FALSE)</f>
        <v>0</v>
      </c>
      <c r="L232" s="117">
        <f>VLOOKUP(C232,'Talente &amp; Stuff'!C:AD,10,FALSE)</f>
        <v>0</v>
      </c>
      <c r="M232" s="121">
        <f>VLOOKUP(C232,'Talente &amp; Stuff'!C:AD,11,FALSE)</f>
        <v>0</v>
      </c>
      <c r="N232" s="47">
        <f>VLOOKUP(C232,'Talente &amp; Stuff'!C:AD,12,FALSE)</f>
        <v>0</v>
      </c>
      <c r="O232" s="3">
        <f>VLOOKUP(C232,'Talente &amp; Stuff'!C:AD,13,FALSE)</f>
        <v>0</v>
      </c>
      <c r="P232" s="174">
        <f>VLOOKUP(C232,'Talente &amp; Stuff'!C:AD,14,FALSE)</f>
        <v>0</v>
      </c>
      <c r="Q232" s="114">
        <f>VLOOKUP(C232,'Talente &amp; Stuff'!C:AD,15,FALSE)</f>
        <v>0</v>
      </c>
      <c r="R232" s="117">
        <f>VLOOKUP(C232,'Talente &amp; Stuff'!C:AD,16,FALSE)</f>
        <v>0</v>
      </c>
      <c r="S232" s="119">
        <f>VLOOKUP(C232,'Talente &amp; Stuff'!C:AD,17,FALSE)</f>
        <v>0</v>
      </c>
      <c r="T232" s="119">
        <f>VLOOKUP(C232,'Talente &amp; Stuff'!C:AD,18,FALSE)</f>
        <v>0</v>
      </c>
      <c r="U232" s="89">
        <f>VLOOKUP(C232,'Talente &amp; Stuff'!C:AD,19,FALSE)</f>
        <v>0</v>
      </c>
      <c r="V232" s="47">
        <f>VLOOKUP(C232,'Talente &amp; Stuff'!C:AD,20,FALSE)</f>
        <v>0</v>
      </c>
      <c r="W232" s="127">
        <f>VLOOKUP(C232,'Talente &amp; Stuff'!C:AD,21,FALSE)</f>
        <v>0</v>
      </c>
      <c r="X232" s="127">
        <f>VLOOKUP(C232,'Talente &amp; Stuff'!C:AD,22,FALSE)</f>
        <v>0</v>
      </c>
      <c r="Y232" s="165">
        <f t="shared" si="20"/>
        <v>0</v>
      </c>
      <c r="Z232" s="198">
        <f t="shared" si="21"/>
        <v>0</v>
      </c>
      <c r="AA232" s="125">
        <f>VLOOKUP(C232,'Talente &amp; Stuff'!C:AD,25,FALSE)</f>
        <v>0</v>
      </c>
      <c r="AB232" s="160">
        <f>VLOOKUP(C232,'Talente &amp; Stuff'!C:AD,26,FALSE)</f>
        <v>0</v>
      </c>
      <c r="AC232" s="127">
        <f>VLOOKUP(C232,'Talente &amp; Stuff'!C:AD,27,FALSE)</f>
        <v>0</v>
      </c>
      <c r="AD232" s="125">
        <f>VLOOKUP(C232,'Talente &amp; Stuff'!C:AD,28,FALSE)</f>
        <v>0</v>
      </c>
      <c r="AE232" s="28"/>
    </row>
    <row r="233" spans="2:31" s="148" customFormat="1" hidden="1" outlineLevel="2">
      <c r="B233" s="148">
        <v>21</v>
      </c>
      <c r="C233" s="163" t="s">
        <v>281</v>
      </c>
      <c r="D233" s="86" t="str">
        <f>VLOOKUP(C233,'Talente &amp; Stuff'!C:AD,2,FALSE)</f>
        <v>--/--/--</v>
      </c>
      <c r="E233" s="167" t="str">
        <f>VLOOKUP(C233,'Talente &amp; Stuff'!C:AD,3,FALSE)</f>
        <v>-</v>
      </c>
      <c r="F233" s="120">
        <f>VLOOKUP(C233,'Talente &amp; Stuff'!C:AD,4,FALSE)</f>
        <v>0</v>
      </c>
      <c r="G233" s="117">
        <f>VLOOKUP(C233,'Talente &amp; Stuff'!C:AD,5,FALSE)</f>
        <v>0</v>
      </c>
      <c r="H233" s="117">
        <f>VLOOKUP(C233,'Talente &amp; Stuff'!C:AD,6,FALSE)</f>
        <v>0</v>
      </c>
      <c r="I233" s="117">
        <f>VLOOKUP(C233,'Talente &amp; Stuff'!C:AD,7,FALSE)</f>
        <v>0</v>
      </c>
      <c r="J233" s="117">
        <f>VLOOKUP(C233,'Talente &amp; Stuff'!C:AD,8,FALSE)</f>
        <v>0</v>
      </c>
      <c r="K233" s="117">
        <f>VLOOKUP(C233,'Talente &amp; Stuff'!C:AD,9,FALSE)</f>
        <v>0</v>
      </c>
      <c r="L233" s="117">
        <f>VLOOKUP(C233,'Talente &amp; Stuff'!C:AD,10,FALSE)</f>
        <v>0</v>
      </c>
      <c r="M233" s="121">
        <f>VLOOKUP(C233,'Talente &amp; Stuff'!C:AD,11,FALSE)</f>
        <v>0</v>
      </c>
      <c r="N233" s="47">
        <f>VLOOKUP(C233,'Talente &amp; Stuff'!C:AD,12,FALSE)</f>
        <v>0</v>
      </c>
      <c r="O233" s="3">
        <f>VLOOKUP(C233,'Talente &amp; Stuff'!C:AD,13,FALSE)</f>
        <v>0</v>
      </c>
      <c r="P233" s="174">
        <f>VLOOKUP(C233,'Talente &amp; Stuff'!C:AD,14,FALSE)</f>
        <v>0</v>
      </c>
      <c r="Q233" s="114">
        <f>VLOOKUP(C233,'Talente &amp; Stuff'!C:AD,15,FALSE)</f>
        <v>0</v>
      </c>
      <c r="R233" s="117">
        <f>VLOOKUP(C233,'Talente &amp; Stuff'!C:AD,16,FALSE)</f>
        <v>0</v>
      </c>
      <c r="S233" s="119">
        <f>VLOOKUP(C233,'Talente &amp; Stuff'!C:AD,17,FALSE)</f>
        <v>0</v>
      </c>
      <c r="T233" s="119">
        <f>VLOOKUP(C233,'Talente &amp; Stuff'!C:AD,18,FALSE)</f>
        <v>0</v>
      </c>
      <c r="U233" s="89">
        <f>VLOOKUP(C233,'Talente &amp; Stuff'!C:AD,19,FALSE)</f>
        <v>0</v>
      </c>
      <c r="V233" s="47">
        <f>VLOOKUP(C233,'Talente &amp; Stuff'!C:AD,20,FALSE)</f>
        <v>0</v>
      </c>
      <c r="W233" s="127">
        <f>VLOOKUP(C233,'Talente &amp; Stuff'!C:AD,21,FALSE)</f>
        <v>0</v>
      </c>
      <c r="X233" s="127">
        <f>VLOOKUP(C233,'Talente &amp; Stuff'!C:AD,22,FALSE)</f>
        <v>0</v>
      </c>
      <c r="Y233" s="165">
        <f t="shared" si="20"/>
        <v>0</v>
      </c>
      <c r="Z233" s="198">
        <f t="shared" si="21"/>
        <v>0</v>
      </c>
      <c r="AA233" s="125">
        <f>VLOOKUP(C233,'Talente &amp; Stuff'!C:AD,25,FALSE)</f>
        <v>0</v>
      </c>
      <c r="AB233" s="160">
        <f>VLOOKUP(C233,'Talente &amp; Stuff'!C:AD,26,FALSE)</f>
        <v>0</v>
      </c>
      <c r="AC233" s="127">
        <f>VLOOKUP(C233,'Talente &amp; Stuff'!C:AD,27,FALSE)</f>
        <v>0</v>
      </c>
      <c r="AD233" s="125">
        <f>VLOOKUP(C233,'Talente &amp; Stuff'!C:AD,28,FALSE)</f>
        <v>0</v>
      </c>
      <c r="AE233" s="28"/>
    </row>
    <row r="234" spans="2:31" s="148" customFormat="1" hidden="1" outlineLevel="2">
      <c r="B234" s="148">
        <v>22</v>
      </c>
      <c r="C234" s="163" t="s">
        <v>281</v>
      </c>
      <c r="D234" s="86" t="str">
        <f>VLOOKUP(C234,'Talente &amp; Stuff'!C:AD,2,FALSE)</f>
        <v>--/--/--</v>
      </c>
      <c r="E234" s="167" t="str">
        <f>VLOOKUP(C234,'Talente &amp; Stuff'!C:AD,3,FALSE)</f>
        <v>-</v>
      </c>
      <c r="F234" s="120">
        <f>VLOOKUP(C234,'Talente &amp; Stuff'!C:AD,4,FALSE)</f>
        <v>0</v>
      </c>
      <c r="G234" s="117">
        <f>VLOOKUP(C234,'Talente &amp; Stuff'!C:AD,5,FALSE)</f>
        <v>0</v>
      </c>
      <c r="H234" s="117">
        <f>VLOOKUP(C234,'Talente &amp; Stuff'!C:AD,6,FALSE)</f>
        <v>0</v>
      </c>
      <c r="I234" s="117">
        <f>VLOOKUP(C234,'Talente &amp; Stuff'!C:AD,7,FALSE)</f>
        <v>0</v>
      </c>
      <c r="J234" s="117">
        <f>VLOOKUP(C234,'Talente &amp; Stuff'!C:AD,8,FALSE)</f>
        <v>0</v>
      </c>
      <c r="K234" s="117">
        <f>VLOOKUP(C234,'Talente &amp; Stuff'!C:AD,9,FALSE)</f>
        <v>0</v>
      </c>
      <c r="L234" s="117">
        <f>VLOOKUP(C234,'Talente &amp; Stuff'!C:AD,10,FALSE)</f>
        <v>0</v>
      </c>
      <c r="M234" s="121">
        <f>VLOOKUP(C234,'Talente &amp; Stuff'!C:AD,11,FALSE)</f>
        <v>0</v>
      </c>
      <c r="N234" s="47">
        <f>VLOOKUP(C234,'Talente &amp; Stuff'!C:AD,12,FALSE)</f>
        <v>0</v>
      </c>
      <c r="O234" s="3">
        <f>VLOOKUP(C234,'Talente &amp; Stuff'!C:AD,13,FALSE)</f>
        <v>0</v>
      </c>
      <c r="P234" s="174">
        <f>VLOOKUP(C234,'Talente &amp; Stuff'!C:AD,14,FALSE)</f>
        <v>0</v>
      </c>
      <c r="Q234" s="114">
        <f>VLOOKUP(C234,'Talente &amp; Stuff'!C:AD,15,FALSE)</f>
        <v>0</v>
      </c>
      <c r="R234" s="117">
        <f>VLOOKUP(C234,'Talente &amp; Stuff'!C:AD,16,FALSE)</f>
        <v>0</v>
      </c>
      <c r="S234" s="119">
        <f>VLOOKUP(C234,'Talente &amp; Stuff'!C:AD,17,FALSE)</f>
        <v>0</v>
      </c>
      <c r="T234" s="119">
        <f>VLOOKUP(C234,'Talente &amp; Stuff'!C:AD,18,FALSE)</f>
        <v>0</v>
      </c>
      <c r="U234" s="89">
        <f>VLOOKUP(C234,'Talente &amp; Stuff'!C:AD,19,FALSE)</f>
        <v>0</v>
      </c>
      <c r="V234" s="47">
        <f>VLOOKUP(C234,'Talente &amp; Stuff'!C:AD,20,FALSE)</f>
        <v>0</v>
      </c>
      <c r="W234" s="127">
        <f>VLOOKUP(C234,'Talente &amp; Stuff'!C:AD,21,FALSE)</f>
        <v>0</v>
      </c>
      <c r="X234" s="127">
        <f>VLOOKUP(C234,'Talente &amp; Stuff'!C:AD,22,FALSE)</f>
        <v>0</v>
      </c>
      <c r="Y234" s="165">
        <f t="shared" si="20"/>
        <v>0</v>
      </c>
      <c r="Z234" s="198">
        <f t="shared" si="21"/>
        <v>0</v>
      </c>
      <c r="AA234" s="125">
        <f>VLOOKUP(C234,'Talente &amp; Stuff'!C:AD,25,FALSE)</f>
        <v>0</v>
      </c>
      <c r="AB234" s="160">
        <f>VLOOKUP(C234,'Talente &amp; Stuff'!C:AD,26,FALSE)</f>
        <v>0</v>
      </c>
      <c r="AC234" s="127">
        <f>VLOOKUP(C234,'Talente &amp; Stuff'!C:AD,27,FALSE)</f>
        <v>0</v>
      </c>
      <c r="AD234" s="125">
        <f>VLOOKUP(C234,'Talente &amp; Stuff'!C:AD,28,FALSE)</f>
        <v>0</v>
      </c>
      <c r="AE234" s="28"/>
    </row>
    <row r="235" spans="2:31" s="148" customFormat="1" hidden="1" outlineLevel="2">
      <c r="B235" s="148">
        <v>23</v>
      </c>
      <c r="C235" s="163" t="s">
        <v>281</v>
      </c>
      <c r="D235" s="86" t="str">
        <f>VLOOKUP(C235,'Talente &amp; Stuff'!C:AD,2,FALSE)</f>
        <v>--/--/--</v>
      </c>
      <c r="E235" s="167" t="str">
        <f>VLOOKUP(C235,'Talente &amp; Stuff'!C:AD,3,FALSE)</f>
        <v>-</v>
      </c>
      <c r="F235" s="120">
        <f>VLOOKUP(C235,'Talente &amp; Stuff'!C:AD,4,FALSE)</f>
        <v>0</v>
      </c>
      <c r="G235" s="117">
        <f>VLOOKUP(C235,'Talente &amp; Stuff'!C:AD,5,FALSE)</f>
        <v>0</v>
      </c>
      <c r="H235" s="117">
        <f>VLOOKUP(C235,'Talente &amp; Stuff'!C:AD,6,FALSE)</f>
        <v>0</v>
      </c>
      <c r="I235" s="117">
        <f>VLOOKUP(C235,'Talente &amp; Stuff'!C:AD,7,FALSE)</f>
        <v>0</v>
      </c>
      <c r="J235" s="117">
        <f>VLOOKUP(C235,'Talente &amp; Stuff'!C:AD,8,FALSE)</f>
        <v>0</v>
      </c>
      <c r="K235" s="117">
        <f>VLOOKUP(C235,'Talente &amp; Stuff'!C:AD,9,FALSE)</f>
        <v>0</v>
      </c>
      <c r="L235" s="117">
        <f>VLOOKUP(C235,'Talente &amp; Stuff'!C:AD,10,FALSE)</f>
        <v>0</v>
      </c>
      <c r="M235" s="121">
        <f>VLOOKUP(C235,'Talente &amp; Stuff'!C:AD,11,FALSE)</f>
        <v>0</v>
      </c>
      <c r="N235" s="47">
        <f>VLOOKUP(C235,'Talente &amp; Stuff'!C:AD,12,FALSE)</f>
        <v>0</v>
      </c>
      <c r="O235" s="3">
        <f>VLOOKUP(C235,'Talente &amp; Stuff'!C:AD,13,FALSE)</f>
        <v>0</v>
      </c>
      <c r="P235" s="174">
        <f>VLOOKUP(C235,'Talente &amp; Stuff'!C:AD,14,FALSE)</f>
        <v>0</v>
      </c>
      <c r="Q235" s="114">
        <f>VLOOKUP(C235,'Talente &amp; Stuff'!C:AD,15,FALSE)</f>
        <v>0</v>
      </c>
      <c r="R235" s="117">
        <f>VLOOKUP(C235,'Talente &amp; Stuff'!C:AD,16,FALSE)</f>
        <v>0</v>
      </c>
      <c r="S235" s="119">
        <f>VLOOKUP(C235,'Talente &amp; Stuff'!C:AD,17,FALSE)</f>
        <v>0</v>
      </c>
      <c r="T235" s="119">
        <f>VLOOKUP(C235,'Talente &amp; Stuff'!C:AD,18,FALSE)</f>
        <v>0</v>
      </c>
      <c r="U235" s="89">
        <f>VLOOKUP(C235,'Talente &amp; Stuff'!C:AD,19,FALSE)</f>
        <v>0</v>
      </c>
      <c r="V235" s="47">
        <f>VLOOKUP(C235,'Talente &amp; Stuff'!C:AD,20,FALSE)</f>
        <v>0</v>
      </c>
      <c r="W235" s="127">
        <f>VLOOKUP(C235,'Talente &amp; Stuff'!C:AD,21,FALSE)</f>
        <v>0</v>
      </c>
      <c r="X235" s="127">
        <f>VLOOKUP(C235,'Talente &amp; Stuff'!C:AD,22,FALSE)</f>
        <v>0</v>
      </c>
      <c r="Y235" s="165">
        <f t="shared" si="20"/>
        <v>0</v>
      </c>
      <c r="Z235" s="198">
        <f t="shared" si="21"/>
        <v>0</v>
      </c>
      <c r="AA235" s="125">
        <f>VLOOKUP(C235,'Talente &amp; Stuff'!C:AD,25,FALSE)</f>
        <v>0</v>
      </c>
      <c r="AB235" s="160">
        <f>VLOOKUP(C235,'Talente &amp; Stuff'!C:AD,26,FALSE)</f>
        <v>0</v>
      </c>
      <c r="AC235" s="127">
        <f>VLOOKUP(C235,'Talente &amp; Stuff'!C:AD,27,FALSE)</f>
        <v>0</v>
      </c>
      <c r="AD235" s="125">
        <f>VLOOKUP(C235,'Talente &amp; Stuff'!C:AD,28,FALSE)</f>
        <v>0</v>
      </c>
      <c r="AE235" s="28"/>
    </row>
    <row r="236" spans="2:31" s="148" customFormat="1" hidden="1" outlineLevel="2">
      <c r="B236" s="148">
        <v>24</v>
      </c>
      <c r="C236" s="163" t="s">
        <v>281</v>
      </c>
      <c r="D236" s="86" t="str">
        <f>VLOOKUP(C236,'Talente &amp; Stuff'!C:AD,2,FALSE)</f>
        <v>--/--/--</v>
      </c>
      <c r="E236" s="167" t="str">
        <f>VLOOKUP(C236,'Talente &amp; Stuff'!C:AD,3,FALSE)</f>
        <v>-</v>
      </c>
      <c r="F236" s="120">
        <f>VLOOKUP(C236,'Talente &amp; Stuff'!C:AD,4,FALSE)</f>
        <v>0</v>
      </c>
      <c r="G236" s="117">
        <f>VLOOKUP(C236,'Talente &amp; Stuff'!C:AD,5,FALSE)</f>
        <v>0</v>
      </c>
      <c r="H236" s="117">
        <f>VLOOKUP(C236,'Talente &amp; Stuff'!C:AD,6,FALSE)</f>
        <v>0</v>
      </c>
      <c r="I236" s="117">
        <f>VLOOKUP(C236,'Talente &amp; Stuff'!C:AD,7,FALSE)</f>
        <v>0</v>
      </c>
      <c r="J236" s="117">
        <f>VLOOKUP(C236,'Talente &amp; Stuff'!C:AD,8,FALSE)</f>
        <v>0</v>
      </c>
      <c r="K236" s="117">
        <f>VLOOKUP(C236,'Talente &amp; Stuff'!C:AD,9,FALSE)</f>
        <v>0</v>
      </c>
      <c r="L236" s="117">
        <f>VLOOKUP(C236,'Talente &amp; Stuff'!C:AD,10,FALSE)</f>
        <v>0</v>
      </c>
      <c r="M236" s="121">
        <f>VLOOKUP(C236,'Talente &amp; Stuff'!C:AD,11,FALSE)</f>
        <v>0</v>
      </c>
      <c r="N236" s="47">
        <f>VLOOKUP(C236,'Talente &amp; Stuff'!C:AD,12,FALSE)</f>
        <v>0</v>
      </c>
      <c r="O236" s="3">
        <f>VLOOKUP(C236,'Talente &amp; Stuff'!C:AD,13,FALSE)</f>
        <v>0</v>
      </c>
      <c r="P236" s="174">
        <f>VLOOKUP(C236,'Talente &amp; Stuff'!C:AD,14,FALSE)</f>
        <v>0</v>
      </c>
      <c r="Q236" s="114">
        <f>VLOOKUP(C236,'Talente &amp; Stuff'!C:AD,15,FALSE)</f>
        <v>0</v>
      </c>
      <c r="R236" s="117">
        <f>VLOOKUP(C236,'Talente &amp; Stuff'!C:AD,16,FALSE)</f>
        <v>0</v>
      </c>
      <c r="S236" s="119">
        <f>VLOOKUP(C236,'Talente &amp; Stuff'!C:AD,17,FALSE)</f>
        <v>0</v>
      </c>
      <c r="T236" s="119">
        <f>VLOOKUP(C236,'Talente &amp; Stuff'!C:AD,18,FALSE)</f>
        <v>0</v>
      </c>
      <c r="U236" s="89">
        <f>VLOOKUP(C236,'Talente &amp; Stuff'!C:AD,19,FALSE)</f>
        <v>0</v>
      </c>
      <c r="V236" s="47">
        <f>VLOOKUP(C236,'Talente &amp; Stuff'!C:AD,20,FALSE)</f>
        <v>0</v>
      </c>
      <c r="W236" s="127">
        <f>VLOOKUP(C236,'Talente &amp; Stuff'!C:AD,21,FALSE)</f>
        <v>0</v>
      </c>
      <c r="X236" s="127">
        <f>VLOOKUP(C236,'Talente &amp; Stuff'!C:AD,22,FALSE)</f>
        <v>0</v>
      </c>
      <c r="Y236" s="165">
        <f t="shared" si="20"/>
        <v>0</v>
      </c>
      <c r="Z236" s="198">
        <f t="shared" si="21"/>
        <v>0</v>
      </c>
      <c r="AA236" s="125">
        <f>VLOOKUP(C236,'Talente &amp; Stuff'!C:AD,25,FALSE)</f>
        <v>0</v>
      </c>
      <c r="AB236" s="160">
        <f>VLOOKUP(C236,'Talente &amp; Stuff'!C:AD,26,FALSE)</f>
        <v>0</v>
      </c>
      <c r="AC236" s="127">
        <f>VLOOKUP(C236,'Talente &amp; Stuff'!C:AD,27,FALSE)</f>
        <v>0</v>
      </c>
      <c r="AD236" s="125">
        <f>VLOOKUP(C236,'Talente &amp; Stuff'!C:AD,28,FALSE)</f>
        <v>0</v>
      </c>
      <c r="AE236" s="28"/>
    </row>
    <row r="237" spans="2:31" s="148" customFormat="1" hidden="1" outlineLevel="2">
      <c r="B237" s="148">
        <v>25</v>
      </c>
      <c r="C237" s="163" t="s">
        <v>281</v>
      </c>
      <c r="D237" s="86" t="str">
        <f>VLOOKUP(C237,'Talente &amp; Stuff'!C:AD,2,FALSE)</f>
        <v>--/--/--</v>
      </c>
      <c r="E237" s="167" t="str">
        <f>VLOOKUP(C237,'Talente &amp; Stuff'!C:AD,3,FALSE)</f>
        <v>-</v>
      </c>
      <c r="F237" s="120">
        <f>VLOOKUP(C237,'Talente &amp; Stuff'!C:AD,4,FALSE)</f>
        <v>0</v>
      </c>
      <c r="G237" s="117">
        <f>VLOOKUP(C237,'Talente &amp; Stuff'!C:AD,5,FALSE)</f>
        <v>0</v>
      </c>
      <c r="H237" s="117">
        <f>VLOOKUP(C237,'Talente &amp; Stuff'!C:AD,6,FALSE)</f>
        <v>0</v>
      </c>
      <c r="I237" s="117">
        <f>VLOOKUP(C237,'Talente &amp; Stuff'!C:AD,7,FALSE)</f>
        <v>0</v>
      </c>
      <c r="J237" s="117">
        <f>VLOOKUP(C237,'Talente &amp; Stuff'!C:AD,8,FALSE)</f>
        <v>0</v>
      </c>
      <c r="K237" s="117">
        <f>VLOOKUP(C237,'Talente &amp; Stuff'!C:AD,9,FALSE)</f>
        <v>0</v>
      </c>
      <c r="L237" s="117">
        <f>VLOOKUP(C237,'Talente &amp; Stuff'!C:AD,10,FALSE)</f>
        <v>0</v>
      </c>
      <c r="M237" s="121">
        <f>VLOOKUP(C237,'Talente &amp; Stuff'!C:AD,11,FALSE)</f>
        <v>0</v>
      </c>
      <c r="N237" s="47">
        <f>VLOOKUP(C237,'Talente &amp; Stuff'!C:AD,12,FALSE)</f>
        <v>0</v>
      </c>
      <c r="O237" s="3">
        <f>VLOOKUP(C237,'Talente &amp; Stuff'!C:AD,13,FALSE)</f>
        <v>0</v>
      </c>
      <c r="P237" s="174">
        <f>VLOOKUP(C237,'Talente &amp; Stuff'!C:AD,14,FALSE)</f>
        <v>0</v>
      </c>
      <c r="Q237" s="114">
        <f>VLOOKUP(C237,'Talente &amp; Stuff'!C:AD,15,FALSE)</f>
        <v>0</v>
      </c>
      <c r="R237" s="117">
        <f>VLOOKUP(C237,'Talente &amp; Stuff'!C:AD,16,FALSE)</f>
        <v>0</v>
      </c>
      <c r="S237" s="119">
        <f>VLOOKUP(C237,'Talente &amp; Stuff'!C:AD,17,FALSE)</f>
        <v>0</v>
      </c>
      <c r="T237" s="119">
        <f>VLOOKUP(C237,'Talente &amp; Stuff'!C:AD,18,FALSE)</f>
        <v>0</v>
      </c>
      <c r="U237" s="89">
        <f>VLOOKUP(C237,'Talente &amp; Stuff'!C:AD,19,FALSE)</f>
        <v>0</v>
      </c>
      <c r="V237" s="47">
        <f>VLOOKUP(C237,'Talente &amp; Stuff'!C:AD,20,FALSE)</f>
        <v>0</v>
      </c>
      <c r="W237" s="127">
        <f>VLOOKUP(C237,'Talente &amp; Stuff'!C:AD,21,FALSE)</f>
        <v>0</v>
      </c>
      <c r="X237" s="127">
        <f>VLOOKUP(C237,'Talente &amp; Stuff'!C:AD,22,FALSE)</f>
        <v>0</v>
      </c>
      <c r="Y237" s="165">
        <f t="shared" si="20"/>
        <v>0</v>
      </c>
      <c r="Z237" s="198">
        <f t="shared" si="21"/>
        <v>0</v>
      </c>
      <c r="AA237" s="125">
        <f>VLOOKUP(C237,'Talente &amp; Stuff'!C:AD,25,FALSE)</f>
        <v>0</v>
      </c>
      <c r="AB237" s="160">
        <f>VLOOKUP(C237,'Talente &amp; Stuff'!C:AD,26,FALSE)</f>
        <v>0</v>
      </c>
      <c r="AC237" s="127">
        <f>VLOOKUP(C237,'Talente &amp; Stuff'!C:AD,27,FALSE)</f>
        <v>0</v>
      </c>
      <c r="AD237" s="125">
        <f>VLOOKUP(C237,'Talente &amp; Stuff'!C:AD,28,FALSE)</f>
        <v>0</v>
      </c>
      <c r="AE237" s="28"/>
    </row>
    <row r="238" spans="2:31" s="148" customFormat="1" hidden="1" outlineLevel="2">
      <c r="B238" s="148">
        <v>26</v>
      </c>
      <c r="C238" s="163" t="s">
        <v>281</v>
      </c>
      <c r="D238" s="86" t="str">
        <f>VLOOKUP(C238,'Talente &amp; Stuff'!C:AD,2,FALSE)</f>
        <v>--/--/--</v>
      </c>
      <c r="E238" s="167" t="str">
        <f>VLOOKUP(C238,'Talente &amp; Stuff'!C:AD,3,FALSE)</f>
        <v>-</v>
      </c>
      <c r="F238" s="120">
        <f>VLOOKUP(C238,'Talente &amp; Stuff'!C:AD,4,FALSE)</f>
        <v>0</v>
      </c>
      <c r="G238" s="117">
        <f>VLOOKUP(C238,'Talente &amp; Stuff'!C:AD,5,FALSE)</f>
        <v>0</v>
      </c>
      <c r="H238" s="117">
        <f>VLOOKUP(C238,'Talente &amp; Stuff'!C:AD,6,FALSE)</f>
        <v>0</v>
      </c>
      <c r="I238" s="117">
        <f>VLOOKUP(C238,'Talente &amp; Stuff'!C:AD,7,FALSE)</f>
        <v>0</v>
      </c>
      <c r="J238" s="117">
        <f>VLOOKUP(C238,'Talente &amp; Stuff'!C:AD,8,FALSE)</f>
        <v>0</v>
      </c>
      <c r="K238" s="117">
        <f>VLOOKUP(C238,'Talente &amp; Stuff'!C:AD,9,FALSE)</f>
        <v>0</v>
      </c>
      <c r="L238" s="117">
        <f>VLOOKUP(C238,'Talente &amp; Stuff'!C:AD,10,FALSE)</f>
        <v>0</v>
      </c>
      <c r="M238" s="121">
        <f>VLOOKUP(C238,'Talente &amp; Stuff'!C:AD,11,FALSE)</f>
        <v>0</v>
      </c>
      <c r="N238" s="47">
        <f>VLOOKUP(C238,'Talente &amp; Stuff'!C:AD,12,FALSE)</f>
        <v>0</v>
      </c>
      <c r="O238" s="3">
        <f>VLOOKUP(C238,'Talente &amp; Stuff'!C:AD,13,FALSE)</f>
        <v>0</v>
      </c>
      <c r="P238" s="174">
        <f>VLOOKUP(C238,'Talente &amp; Stuff'!C:AD,14,FALSE)</f>
        <v>0</v>
      </c>
      <c r="Q238" s="114">
        <f>VLOOKUP(C238,'Talente &amp; Stuff'!C:AD,15,FALSE)</f>
        <v>0</v>
      </c>
      <c r="R238" s="117">
        <f>VLOOKUP(C238,'Talente &amp; Stuff'!C:AD,16,FALSE)</f>
        <v>0</v>
      </c>
      <c r="S238" s="119">
        <f>VLOOKUP(C238,'Talente &amp; Stuff'!C:AD,17,FALSE)</f>
        <v>0</v>
      </c>
      <c r="T238" s="119">
        <f>VLOOKUP(C238,'Talente &amp; Stuff'!C:AD,18,FALSE)</f>
        <v>0</v>
      </c>
      <c r="U238" s="89">
        <f>VLOOKUP(C238,'Talente &amp; Stuff'!C:AD,19,FALSE)</f>
        <v>0</v>
      </c>
      <c r="V238" s="47">
        <f>VLOOKUP(C238,'Talente &amp; Stuff'!C:AD,20,FALSE)</f>
        <v>0</v>
      </c>
      <c r="W238" s="127">
        <f>VLOOKUP(C238,'Talente &amp; Stuff'!C:AD,21,FALSE)</f>
        <v>0</v>
      </c>
      <c r="X238" s="127">
        <f>VLOOKUP(C238,'Talente &amp; Stuff'!C:AD,22,FALSE)</f>
        <v>0</v>
      </c>
      <c r="Y238" s="165">
        <f t="shared" si="20"/>
        <v>0</v>
      </c>
      <c r="Z238" s="198">
        <f t="shared" si="21"/>
        <v>0</v>
      </c>
      <c r="AA238" s="125">
        <f>VLOOKUP(C238,'Talente &amp; Stuff'!C:AD,25,FALSE)</f>
        <v>0</v>
      </c>
      <c r="AB238" s="160">
        <f>VLOOKUP(C238,'Talente &amp; Stuff'!C:AD,26,FALSE)</f>
        <v>0</v>
      </c>
      <c r="AC238" s="127">
        <f>VLOOKUP(C238,'Talente &amp; Stuff'!C:AD,27,FALSE)</f>
        <v>0</v>
      </c>
      <c r="AD238" s="125">
        <f>VLOOKUP(C238,'Talente &amp; Stuff'!C:AD,28,FALSE)</f>
        <v>0</v>
      </c>
      <c r="AE238" s="28"/>
    </row>
    <row r="239" spans="2:31" s="138" customFormat="1" hidden="1" outlineLevel="2">
      <c r="B239" s="148">
        <v>27</v>
      </c>
      <c r="C239" s="163" t="s">
        <v>281</v>
      </c>
      <c r="D239" s="86" t="str">
        <f>VLOOKUP(C239,'Talente &amp; Stuff'!C:AD,2,FALSE)</f>
        <v>--/--/--</v>
      </c>
      <c r="E239" s="167" t="str">
        <f>VLOOKUP(C239,'Talente &amp; Stuff'!C:AD,3,FALSE)</f>
        <v>-</v>
      </c>
      <c r="F239" s="120">
        <f>VLOOKUP(C239,'Talente &amp; Stuff'!C:AD,4,FALSE)</f>
        <v>0</v>
      </c>
      <c r="G239" s="117">
        <f>VLOOKUP(C239,'Talente &amp; Stuff'!C:AD,5,FALSE)</f>
        <v>0</v>
      </c>
      <c r="H239" s="117">
        <f>VLOOKUP(C239,'Talente &amp; Stuff'!C:AD,6,FALSE)</f>
        <v>0</v>
      </c>
      <c r="I239" s="117">
        <f>VLOOKUP(C239,'Talente &amp; Stuff'!C:AD,7,FALSE)</f>
        <v>0</v>
      </c>
      <c r="J239" s="117">
        <f>VLOOKUP(C239,'Talente &amp; Stuff'!C:AD,8,FALSE)</f>
        <v>0</v>
      </c>
      <c r="K239" s="117">
        <f>VLOOKUP(C239,'Talente &amp; Stuff'!C:AD,9,FALSE)</f>
        <v>0</v>
      </c>
      <c r="L239" s="117">
        <f>VLOOKUP(C239,'Talente &amp; Stuff'!C:AD,10,FALSE)</f>
        <v>0</v>
      </c>
      <c r="M239" s="121">
        <f>VLOOKUP(C239,'Talente &amp; Stuff'!C:AD,11,FALSE)</f>
        <v>0</v>
      </c>
      <c r="N239" s="47">
        <f>VLOOKUP(C239,'Talente &amp; Stuff'!C:AD,12,FALSE)</f>
        <v>0</v>
      </c>
      <c r="O239" s="3">
        <f>VLOOKUP(C239,'Talente &amp; Stuff'!C:AD,13,FALSE)</f>
        <v>0</v>
      </c>
      <c r="P239" s="174">
        <f>VLOOKUP(C239,'Talente &amp; Stuff'!C:AD,14,FALSE)</f>
        <v>0</v>
      </c>
      <c r="Q239" s="114">
        <f>VLOOKUP(C239,'Talente &amp; Stuff'!C:AD,15,FALSE)</f>
        <v>0</v>
      </c>
      <c r="R239" s="117">
        <f>VLOOKUP(C239,'Talente &amp; Stuff'!C:AD,16,FALSE)</f>
        <v>0</v>
      </c>
      <c r="S239" s="119">
        <f>VLOOKUP(C239,'Talente &amp; Stuff'!C:AD,17,FALSE)</f>
        <v>0</v>
      </c>
      <c r="T239" s="119">
        <f>VLOOKUP(C239,'Talente &amp; Stuff'!C:AD,18,FALSE)</f>
        <v>0</v>
      </c>
      <c r="U239" s="89">
        <f>VLOOKUP(C239,'Talente &amp; Stuff'!C:AD,19,FALSE)</f>
        <v>0</v>
      </c>
      <c r="V239" s="47">
        <f>VLOOKUP(C239,'Talente &amp; Stuff'!C:AD,20,FALSE)</f>
        <v>0</v>
      </c>
      <c r="W239" s="127">
        <f>VLOOKUP(C239,'Talente &amp; Stuff'!C:AD,21,FALSE)</f>
        <v>0</v>
      </c>
      <c r="X239" s="127">
        <f>VLOOKUP(C239,'Talente &amp; Stuff'!C:AD,22,FALSE)</f>
        <v>0</v>
      </c>
      <c r="Y239" s="165">
        <f t="shared" si="20"/>
        <v>0</v>
      </c>
      <c r="Z239" s="198">
        <f t="shared" si="21"/>
        <v>0</v>
      </c>
      <c r="AA239" s="125">
        <f>VLOOKUP(C239,'Talente &amp; Stuff'!C:AD,25,FALSE)</f>
        <v>0</v>
      </c>
      <c r="AB239" s="160">
        <f>VLOOKUP(C239,'Talente &amp; Stuff'!C:AD,26,FALSE)</f>
        <v>0</v>
      </c>
      <c r="AC239" s="127">
        <f>VLOOKUP(C239,'Talente &amp; Stuff'!C:AD,27,FALSE)</f>
        <v>0</v>
      </c>
      <c r="AD239" s="125">
        <f>VLOOKUP(C239,'Talente &amp; Stuff'!C:AD,28,FALSE)</f>
        <v>0</v>
      </c>
      <c r="AE239" s="28"/>
    </row>
    <row r="240" spans="2:31" s="138" customFormat="1" hidden="1" outlineLevel="2">
      <c r="B240" s="148">
        <v>28</v>
      </c>
      <c r="C240" s="163" t="s">
        <v>281</v>
      </c>
      <c r="D240" s="86" t="str">
        <f>VLOOKUP(C240,'Talente &amp; Stuff'!C:AD,2,FALSE)</f>
        <v>--/--/--</v>
      </c>
      <c r="E240" s="167" t="str">
        <f>VLOOKUP(C240,'Talente &amp; Stuff'!C:AD,3,FALSE)</f>
        <v>-</v>
      </c>
      <c r="F240" s="120">
        <f>VLOOKUP(C240,'Talente &amp; Stuff'!C:AD,4,FALSE)</f>
        <v>0</v>
      </c>
      <c r="G240" s="117">
        <f>VLOOKUP(C240,'Talente &amp; Stuff'!C:AD,5,FALSE)</f>
        <v>0</v>
      </c>
      <c r="H240" s="117">
        <f>VLOOKUP(C240,'Talente &amp; Stuff'!C:AD,6,FALSE)</f>
        <v>0</v>
      </c>
      <c r="I240" s="117">
        <f>VLOOKUP(C240,'Talente &amp; Stuff'!C:AD,7,FALSE)</f>
        <v>0</v>
      </c>
      <c r="J240" s="117">
        <f>VLOOKUP(C240,'Talente &amp; Stuff'!C:AD,8,FALSE)</f>
        <v>0</v>
      </c>
      <c r="K240" s="117">
        <f>VLOOKUP(C240,'Talente &amp; Stuff'!C:AD,9,FALSE)</f>
        <v>0</v>
      </c>
      <c r="L240" s="117">
        <f>VLOOKUP(C240,'Talente &amp; Stuff'!C:AD,10,FALSE)</f>
        <v>0</v>
      </c>
      <c r="M240" s="121">
        <f>VLOOKUP(C240,'Talente &amp; Stuff'!C:AD,11,FALSE)</f>
        <v>0</v>
      </c>
      <c r="N240" s="47">
        <f>VLOOKUP(C240,'Talente &amp; Stuff'!C:AD,12,FALSE)</f>
        <v>0</v>
      </c>
      <c r="O240" s="3">
        <f>VLOOKUP(C240,'Talente &amp; Stuff'!C:AD,13,FALSE)</f>
        <v>0</v>
      </c>
      <c r="P240" s="174">
        <f>VLOOKUP(C240,'Talente &amp; Stuff'!C:AD,14,FALSE)</f>
        <v>0</v>
      </c>
      <c r="Q240" s="114">
        <f>VLOOKUP(C240,'Talente &amp; Stuff'!C:AD,15,FALSE)</f>
        <v>0</v>
      </c>
      <c r="R240" s="117">
        <f>VLOOKUP(C240,'Talente &amp; Stuff'!C:AD,16,FALSE)</f>
        <v>0</v>
      </c>
      <c r="S240" s="119">
        <f>VLOOKUP(C240,'Talente &amp; Stuff'!C:AD,17,FALSE)</f>
        <v>0</v>
      </c>
      <c r="T240" s="119">
        <f>VLOOKUP(C240,'Talente &amp; Stuff'!C:AD,18,FALSE)</f>
        <v>0</v>
      </c>
      <c r="U240" s="89">
        <f>VLOOKUP(C240,'Talente &amp; Stuff'!C:AD,19,FALSE)</f>
        <v>0</v>
      </c>
      <c r="V240" s="47">
        <f>VLOOKUP(C240,'Talente &amp; Stuff'!C:AD,20,FALSE)</f>
        <v>0</v>
      </c>
      <c r="W240" s="127">
        <f>VLOOKUP(C240,'Talente &amp; Stuff'!C:AD,21,FALSE)</f>
        <v>0</v>
      </c>
      <c r="X240" s="127">
        <f>VLOOKUP(C240,'Talente &amp; Stuff'!C:AD,22,FALSE)</f>
        <v>0</v>
      </c>
      <c r="Y240" s="165">
        <f t="shared" si="20"/>
        <v>0</v>
      </c>
      <c r="Z240" s="198">
        <f t="shared" si="21"/>
        <v>0</v>
      </c>
      <c r="AA240" s="125">
        <f>VLOOKUP(C240,'Talente &amp; Stuff'!C:AD,25,FALSE)</f>
        <v>0</v>
      </c>
      <c r="AB240" s="160">
        <f>VLOOKUP(C240,'Talente &amp; Stuff'!C:AD,26,FALSE)</f>
        <v>0</v>
      </c>
      <c r="AC240" s="127">
        <f>VLOOKUP(C240,'Talente &amp; Stuff'!C:AD,27,FALSE)</f>
        <v>0</v>
      </c>
      <c r="AD240" s="125">
        <f>VLOOKUP(C240,'Talente &amp; Stuff'!C:AD,28,FALSE)</f>
        <v>0</v>
      </c>
      <c r="AE240" s="28"/>
    </row>
    <row r="241" spans="2:31" s="138" customFormat="1" hidden="1" outlineLevel="2">
      <c r="B241" s="148">
        <v>29</v>
      </c>
      <c r="C241" s="163" t="s">
        <v>281</v>
      </c>
      <c r="D241" s="125" t="str">
        <f>VLOOKUP(C241,'Talente &amp; Stuff'!C:AD,2,FALSE)</f>
        <v>--/--/--</v>
      </c>
      <c r="E241" s="127" t="str">
        <f>VLOOKUP(C241,'Talente &amp; Stuff'!C:AD,3,FALSE)</f>
        <v>-</v>
      </c>
      <c r="F241" s="114">
        <f>VLOOKUP(C241,'Talente &amp; Stuff'!C:AD,4,FALSE)</f>
        <v>0</v>
      </c>
      <c r="G241" s="113">
        <f>VLOOKUP(C241,'Talente &amp; Stuff'!C:AD,5,FALSE)</f>
        <v>0</v>
      </c>
      <c r="H241" s="113">
        <f>VLOOKUP(C241,'Talente &amp; Stuff'!C:AD,6,FALSE)</f>
        <v>0</v>
      </c>
      <c r="I241" s="113">
        <f>VLOOKUP(C241,'Talente &amp; Stuff'!C:AD,7,FALSE)</f>
        <v>0</v>
      </c>
      <c r="J241" s="113">
        <f>VLOOKUP(C241,'Talente &amp; Stuff'!C:AD,8,FALSE)</f>
        <v>0</v>
      </c>
      <c r="K241" s="113">
        <f>VLOOKUP(C241,'Talente &amp; Stuff'!C:AD,9,FALSE)</f>
        <v>0</v>
      </c>
      <c r="L241" s="113">
        <f>VLOOKUP(C241,'Talente &amp; Stuff'!C:AD,10,FALSE)</f>
        <v>0</v>
      </c>
      <c r="M241" s="119">
        <f>VLOOKUP(C241,'Talente &amp; Stuff'!C:AD,11,FALSE)</f>
        <v>0</v>
      </c>
      <c r="N241" s="47">
        <f>VLOOKUP(C241,'Talente &amp; Stuff'!C:AD,12,FALSE)</f>
        <v>0</v>
      </c>
      <c r="O241" s="47">
        <f>VLOOKUP(C241,'Talente &amp; Stuff'!C:AD,13,FALSE)</f>
        <v>0</v>
      </c>
      <c r="P241" s="119">
        <f>VLOOKUP(C241,'Talente &amp; Stuff'!C:AD,14,FALSE)</f>
        <v>0</v>
      </c>
      <c r="Q241" s="114">
        <f>VLOOKUP(C241,'Talente &amp; Stuff'!C:AD,15,FALSE)</f>
        <v>0</v>
      </c>
      <c r="R241" s="113">
        <f>VLOOKUP(C241,'Talente &amp; Stuff'!C:AD,16,FALSE)</f>
        <v>0</v>
      </c>
      <c r="S241" s="119">
        <f>VLOOKUP(C241,'Talente &amp; Stuff'!C:AD,17,FALSE)</f>
        <v>0</v>
      </c>
      <c r="T241" s="119">
        <f>VLOOKUP(C241,'Talente &amp; Stuff'!C:AD,18,FALSE)</f>
        <v>0</v>
      </c>
      <c r="U241" s="89">
        <f>VLOOKUP(C241,'Talente &amp; Stuff'!C:AD,19,FALSE)</f>
        <v>0</v>
      </c>
      <c r="V241" s="47">
        <f>VLOOKUP(C241,'Talente &amp; Stuff'!C:AD,20,FALSE)</f>
        <v>0</v>
      </c>
      <c r="W241" s="127">
        <f>VLOOKUP(C241,'Talente &amp; Stuff'!C:AD,21,FALSE)</f>
        <v>0</v>
      </c>
      <c r="X241" s="127">
        <f>VLOOKUP(C241,'Talente &amp; Stuff'!C:AD,22,FALSE)</f>
        <v>0</v>
      </c>
      <c r="Y241" s="165">
        <f t="shared" si="20"/>
        <v>0</v>
      </c>
      <c r="Z241" s="198">
        <f t="shared" si="21"/>
        <v>0</v>
      </c>
      <c r="AA241" s="125">
        <f>VLOOKUP(C241,'Talente &amp; Stuff'!C:AD,25,FALSE)</f>
        <v>0</v>
      </c>
      <c r="AB241" s="160">
        <f>VLOOKUP(C241,'Talente &amp; Stuff'!C:AD,26,FALSE)</f>
        <v>0</v>
      </c>
      <c r="AC241" s="127">
        <f>VLOOKUP(C241,'Talente &amp; Stuff'!C:AD,27,FALSE)</f>
        <v>0</v>
      </c>
      <c r="AD241" s="125">
        <f>VLOOKUP(C241,'Talente &amp; Stuff'!C:AD,28,FALSE)</f>
        <v>0</v>
      </c>
      <c r="AE241" s="28"/>
    </row>
    <row r="242" spans="2:31" s="138" customFormat="1" hidden="1" outlineLevel="2">
      <c r="B242" s="148">
        <v>30</v>
      </c>
      <c r="C242" s="163" t="s">
        <v>281</v>
      </c>
      <c r="D242" s="125" t="str">
        <f>VLOOKUP(C242,'Talente &amp; Stuff'!C:AD,2,FALSE)</f>
        <v>--/--/--</v>
      </c>
      <c r="E242" s="127" t="str">
        <f>VLOOKUP(C242,'Talente &amp; Stuff'!C:AD,3,FALSE)</f>
        <v>-</v>
      </c>
      <c r="F242" s="114">
        <f>VLOOKUP(C242,'Talente &amp; Stuff'!C:AD,4,FALSE)</f>
        <v>0</v>
      </c>
      <c r="G242" s="113">
        <f>VLOOKUP(C242,'Talente &amp; Stuff'!C:AD,5,FALSE)</f>
        <v>0</v>
      </c>
      <c r="H242" s="113">
        <f>VLOOKUP(C242,'Talente &amp; Stuff'!C:AD,6,FALSE)</f>
        <v>0</v>
      </c>
      <c r="I242" s="113">
        <f>VLOOKUP(C242,'Talente &amp; Stuff'!C:AD,7,FALSE)</f>
        <v>0</v>
      </c>
      <c r="J242" s="113">
        <f>VLOOKUP(C242,'Talente &amp; Stuff'!C:AD,8,FALSE)</f>
        <v>0</v>
      </c>
      <c r="K242" s="113">
        <f>VLOOKUP(C242,'Talente &amp; Stuff'!C:AD,9,FALSE)</f>
        <v>0</v>
      </c>
      <c r="L242" s="113">
        <f>VLOOKUP(C242,'Talente &amp; Stuff'!C:AD,10,FALSE)</f>
        <v>0</v>
      </c>
      <c r="M242" s="119">
        <f>VLOOKUP(C242,'Talente &amp; Stuff'!C:AD,11,FALSE)</f>
        <v>0</v>
      </c>
      <c r="N242" s="47">
        <f>VLOOKUP(C242,'Talente &amp; Stuff'!C:AD,12,FALSE)</f>
        <v>0</v>
      </c>
      <c r="O242" s="47">
        <f>VLOOKUP(C242,'Talente &amp; Stuff'!C:AD,13,FALSE)</f>
        <v>0</v>
      </c>
      <c r="P242" s="119">
        <f>VLOOKUP(C242,'Talente &amp; Stuff'!C:AD,14,FALSE)</f>
        <v>0</v>
      </c>
      <c r="Q242" s="114">
        <f>VLOOKUP(C242,'Talente &amp; Stuff'!C:AD,15,FALSE)</f>
        <v>0</v>
      </c>
      <c r="R242" s="113">
        <f>VLOOKUP(C242,'Talente &amp; Stuff'!C:AD,16,FALSE)</f>
        <v>0</v>
      </c>
      <c r="S242" s="119">
        <f>VLOOKUP(C242,'Talente &amp; Stuff'!C:AD,17,FALSE)</f>
        <v>0</v>
      </c>
      <c r="T242" s="119">
        <f>VLOOKUP(C242,'Talente &amp; Stuff'!C:AD,18,FALSE)</f>
        <v>0</v>
      </c>
      <c r="U242" s="89">
        <f>VLOOKUP(C242,'Talente &amp; Stuff'!C:AD,19,FALSE)</f>
        <v>0</v>
      </c>
      <c r="V242" s="47">
        <f>VLOOKUP(C242,'Talente &amp; Stuff'!C:AD,20,FALSE)</f>
        <v>0</v>
      </c>
      <c r="W242" s="127">
        <f>VLOOKUP(C242,'Talente &amp; Stuff'!C:AD,21,FALSE)</f>
        <v>0</v>
      </c>
      <c r="X242" s="127">
        <f>VLOOKUP(C242,'Talente &amp; Stuff'!C:AD,22,FALSE)</f>
        <v>0</v>
      </c>
      <c r="Y242" s="165">
        <f t="shared" si="20"/>
        <v>0</v>
      </c>
      <c r="Z242" s="198">
        <f t="shared" si="21"/>
        <v>0</v>
      </c>
      <c r="AA242" s="125">
        <f>VLOOKUP(C242,'Talente &amp; Stuff'!C:AD,25,FALSE)</f>
        <v>0</v>
      </c>
      <c r="AB242" s="160">
        <f>VLOOKUP(C242,'Talente &amp; Stuff'!C:AD,26,FALSE)</f>
        <v>0</v>
      </c>
      <c r="AC242" s="127">
        <f>VLOOKUP(C242,'Talente &amp; Stuff'!C:AD,27,FALSE)</f>
        <v>0</v>
      </c>
      <c r="AD242" s="125">
        <f>VLOOKUP(C242,'Talente &amp; Stuff'!C:AD,28,FALSE)</f>
        <v>0</v>
      </c>
      <c r="AE242" s="28"/>
    </row>
    <row r="243" spans="2:31" s="138" customFormat="1" hidden="1" outlineLevel="2">
      <c r="B243" s="148">
        <v>31</v>
      </c>
      <c r="C243" s="163" t="s">
        <v>281</v>
      </c>
      <c r="D243" s="125" t="str">
        <f>VLOOKUP(C243,'Talente &amp; Stuff'!C:AD,2,FALSE)</f>
        <v>--/--/--</v>
      </c>
      <c r="E243" s="127" t="str">
        <f>VLOOKUP(C243,'Talente &amp; Stuff'!C:AD,3,FALSE)</f>
        <v>-</v>
      </c>
      <c r="F243" s="114">
        <f>VLOOKUP(C243,'Talente &amp; Stuff'!C:AD,4,FALSE)</f>
        <v>0</v>
      </c>
      <c r="G243" s="113">
        <f>VLOOKUP(C243,'Talente &amp; Stuff'!C:AD,5,FALSE)</f>
        <v>0</v>
      </c>
      <c r="H243" s="113">
        <f>VLOOKUP(C243,'Talente &amp; Stuff'!C:AD,6,FALSE)</f>
        <v>0</v>
      </c>
      <c r="I243" s="113">
        <f>VLOOKUP(C243,'Talente &amp; Stuff'!C:AD,7,FALSE)</f>
        <v>0</v>
      </c>
      <c r="J243" s="113">
        <f>VLOOKUP(C243,'Talente &amp; Stuff'!C:AD,8,FALSE)</f>
        <v>0</v>
      </c>
      <c r="K243" s="113">
        <f>VLOOKUP(C243,'Talente &amp; Stuff'!C:AD,9,FALSE)</f>
        <v>0</v>
      </c>
      <c r="L243" s="113">
        <f>VLOOKUP(C243,'Talente &amp; Stuff'!C:AD,10,FALSE)</f>
        <v>0</v>
      </c>
      <c r="M243" s="119">
        <f>VLOOKUP(C243,'Talente &amp; Stuff'!C:AD,11,FALSE)</f>
        <v>0</v>
      </c>
      <c r="N243" s="47">
        <f>VLOOKUP(C243,'Talente &amp; Stuff'!C:AD,12,FALSE)</f>
        <v>0</v>
      </c>
      <c r="O243" s="47">
        <f>VLOOKUP(C243,'Talente &amp; Stuff'!C:AD,13,FALSE)</f>
        <v>0</v>
      </c>
      <c r="P243" s="119">
        <f>VLOOKUP(C243,'Talente &amp; Stuff'!C:AD,14,FALSE)</f>
        <v>0</v>
      </c>
      <c r="Q243" s="114">
        <f>VLOOKUP(C243,'Talente &amp; Stuff'!C:AD,15,FALSE)</f>
        <v>0</v>
      </c>
      <c r="R243" s="113">
        <f>VLOOKUP(C243,'Talente &amp; Stuff'!C:AD,16,FALSE)</f>
        <v>0</v>
      </c>
      <c r="S243" s="119">
        <f>VLOOKUP(C243,'Talente &amp; Stuff'!C:AD,17,FALSE)</f>
        <v>0</v>
      </c>
      <c r="T243" s="119">
        <f>VLOOKUP(C243,'Talente &amp; Stuff'!C:AD,18,FALSE)</f>
        <v>0</v>
      </c>
      <c r="U243" s="89">
        <f>VLOOKUP(C243,'Talente &amp; Stuff'!C:AD,19,FALSE)</f>
        <v>0</v>
      </c>
      <c r="V243" s="47">
        <f>VLOOKUP(C243,'Talente &amp; Stuff'!C:AD,20,FALSE)</f>
        <v>0</v>
      </c>
      <c r="W243" s="127">
        <f>VLOOKUP(C243,'Talente &amp; Stuff'!C:AD,21,FALSE)</f>
        <v>0</v>
      </c>
      <c r="X243" s="127">
        <f>VLOOKUP(C243,'Talente &amp; Stuff'!C:AD,22,FALSE)</f>
        <v>0</v>
      </c>
      <c r="Y243" s="165">
        <f t="shared" si="20"/>
        <v>0</v>
      </c>
      <c r="Z243" s="198">
        <f t="shared" si="21"/>
        <v>0</v>
      </c>
      <c r="AA243" s="125">
        <f>VLOOKUP(C243,'Talente &amp; Stuff'!C:AD,25,FALSE)</f>
        <v>0</v>
      </c>
      <c r="AB243" s="160">
        <f>VLOOKUP(C243,'Talente &amp; Stuff'!C:AD,26,FALSE)</f>
        <v>0</v>
      </c>
      <c r="AC243" s="127">
        <f>VLOOKUP(C243,'Talente &amp; Stuff'!C:AD,27,FALSE)</f>
        <v>0</v>
      </c>
      <c r="AD243" s="125">
        <f>VLOOKUP(C243,'Talente &amp; Stuff'!C:AD,28,FALSE)</f>
        <v>0</v>
      </c>
      <c r="AE243" s="28"/>
    </row>
    <row r="244" spans="2:31" s="138" customFormat="1" hidden="1" outlineLevel="2">
      <c r="B244" s="148">
        <v>32</v>
      </c>
      <c r="C244" s="163" t="s">
        <v>281</v>
      </c>
      <c r="D244" s="125" t="str">
        <f>VLOOKUP(C244,'Talente &amp; Stuff'!C:AD,2,FALSE)</f>
        <v>--/--/--</v>
      </c>
      <c r="E244" s="127" t="str">
        <f>VLOOKUP(C244,'Talente &amp; Stuff'!C:AD,3,FALSE)</f>
        <v>-</v>
      </c>
      <c r="F244" s="114">
        <f>VLOOKUP(C244,'Talente &amp; Stuff'!C:AD,4,FALSE)</f>
        <v>0</v>
      </c>
      <c r="G244" s="113">
        <f>VLOOKUP(C244,'Talente &amp; Stuff'!C:AD,5,FALSE)</f>
        <v>0</v>
      </c>
      <c r="H244" s="113">
        <f>VLOOKUP(C244,'Talente &amp; Stuff'!C:AD,6,FALSE)</f>
        <v>0</v>
      </c>
      <c r="I244" s="113">
        <f>VLOOKUP(C244,'Talente &amp; Stuff'!C:AD,7,FALSE)</f>
        <v>0</v>
      </c>
      <c r="J244" s="113">
        <f>VLOOKUP(C244,'Talente &amp; Stuff'!C:AD,8,FALSE)</f>
        <v>0</v>
      </c>
      <c r="K244" s="113">
        <f>VLOOKUP(C244,'Talente &amp; Stuff'!C:AD,9,FALSE)</f>
        <v>0</v>
      </c>
      <c r="L244" s="113">
        <f>VLOOKUP(C244,'Talente &amp; Stuff'!C:AD,10,FALSE)</f>
        <v>0</v>
      </c>
      <c r="M244" s="119">
        <f>VLOOKUP(C244,'Talente &amp; Stuff'!C:AD,11,FALSE)</f>
        <v>0</v>
      </c>
      <c r="N244" s="47">
        <f>VLOOKUP(C244,'Talente &amp; Stuff'!C:AD,12,FALSE)</f>
        <v>0</v>
      </c>
      <c r="O244" s="47">
        <f>VLOOKUP(C244,'Talente &amp; Stuff'!C:AD,13,FALSE)</f>
        <v>0</v>
      </c>
      <c r="P244" s="119">
        <f>VLOOKUP(C244,'Talente &amp; Stuff'!C:AD,14,FALSE)</f>
        <v>0</v>
      </c>
      <c r="Q244" s="114">
        <f>VLOOKUP(C244,'Talente &amp; Stuff'!C:AD,15,FALSE)</f>
        <v>0</v>
      </c>
      <c r="R244" s="113">
        <f>VLOOKUP(C244,'Talente &amp; Stuff'!C:AD,16,FALSE)</f>
        <v>0</v>
      </c>
      <c r="S244" s="119">
        <f>VLOOKUP(C244,'Talente &amp; Stuff'!C:AD,17,FALSE)</f>
        <v>0</v>
      </c>
      <c r="T244" s="119">
        <f>VLOOKUP(C244,'Talente &amp; Stuff'!C:AD,18,FALSE)</f>
        <v>0</v>
      </c>
      <c r="U244" s="89">
        <f>VLOOKUP(C244,'Talente &amp; Stuff'!C:AD,19,FALSE)</f>
        <v>0</v>
      </c>
      <c r="V244" s="47">
        <f>VLOOKUP(C244,'Talente &amp; Stuff'!C:AD,20,FALSE)</f>
        <v>0</v>
      </c>
      <c r="W244" s="127">
        <f>VLOOKUP(C244,'Talente &amp; Stuff'!C:AD,21,FALSE)</f>
        <v>0</v>
      </c>
      <c r="X244" s="127">
        <f>VLOOKUP(C244,'Talente &amp; Stuff'!C:AD,22,FALSE)</f>
        <v>0</v>
      </c>
      <c r="Y244" s="165">
        <f t="shared" si="20"/>
        <v>0</v>
      </c>
      <c r="Z244" s="198">
        <f t="shared" si="21"/>
        <v>0</v>
      </c>
      <c r="AA244" s="125">
        <f>VLOOKUP(C244,'Talente &amp; Stuff'!C:AD,25,FALSE)</f>
        <v>0</v>
      </c>
      <c r="AB244" s="160">
        <f>VLOOKUP(C244,'Talente &amp; Stuff'!C:AD,26,FALSE)</f>
        <v>0</v>
      </c>
      <c r="AC244" s="127">
        <f>VLOOKUP(C244,'Talente &amp; Stuff'!C:AD,27,FALSE)</f>
        <v>0</v>
      </c>
      <c r="AD244" s="125">
        <f>VLOOKUP(C244,'Talente &amp; Stuff'!C:AD,28,FALSE)</f>
        <v>0</v>
      </c>
      <c r="AE244" s="28"/>
    </row>
    <row r="245" spans="2:31" s="138" customFormat="1" hidden="1" outlineLevel="2">
      <c r="B245" s="148">
        <v>33</v>
      </c>
      <c r="C245" s="163" t="s">
        <v>281</v>
      </c>
      <c r="D245" s="125" t="str">
        <f>VLOOKUP(C245,'Talente &amp; Stuff'!C:AD,2,FALSE)</f>
        <v>--/--/--</v>
      </c>
      <c r="E245" s="127" t="str">
        <f>VLOOKUP(C245,'Talente &amp; Stuff'!C:AD,3,FALSE)</f>
        <v>-</v>
      </c>
      <c r="F245" s="114">
        <f>VLOOKUP(C245,'Talente &amp; Stuff'!C:AD,4,FALSE)</f>
        <v>0</v>
      </c>
      <c r="G245" s="113">
        <f>VLOOKUP(C245,'Talente &amp; Stuff'!C:AD,5,FALSE)</f>
        <v>0</v>
      </c>
      <c r="H245" s="113">
        <f>VLOOKUP(C245,'Talente &amp; Stuff'!C:AD,6,FALSE)</f>
        <v>0</v>
      </c>
      <c r="I245" s="113">
        <f>VLOOKUP(C245,'Talente &amp; Stuff'!C:AD,7,FALSE)</f>
        <v>0</v>
      </c>
      <c r="J245" s="113">
        <f>VLOOKUP(C245,'Talente &amp; Stuff'!C:AD,8,FALSE)</f>
        <v>0</v>
      </c>
      <c r="K245" s="113">
        <f>VLOOKUP(C245,'Talente &amp; Stuff'!C:AD,9,FALSE)</f>
        <v>0</v>
      </c>
      <c r="L245" s="113">
        <f>VLOOKUP(C245,'Talente &amp; Stuff'!C:AD,10,FALSE)</f>
        <v>0</v>
      </c>
      <c r="M245" s="119">
        <f>VLOOKUP(C245,'Talente &amp; Stuff'!C:AD,11,FALSE)</f>
        <v>0</v>
      </c>
      <c r="N245" s="47">
        <f>VLOOKUP(C245,'Talente &amp; Stuff'!C:AD,12,FALSE)</f>
        <v>0</v>
      </c>
      <c r="O245" s="47">
        <f>VLOOKUP(C245,'Talente &amp; Stuff'!C:AD,13,FALSE)</f>
        <v>0</v>
      </c>
      <c r="P245" s="119">
        <f>VLOOKUP(C245,'Talente &amp; Stuff'!C:AD,14,FALSE)</f>
        <v>0</v>
      </c>
      <c r="Q245" s="114">
        <f>VLOOKUP(C245,'Talente &amp; Stuff'!C:AD,15,FALSE)</f>
        <v>0</v>
      </c>
      <c r="R245" s="113">
        <f>VLOOKUP(C245,'Talente &amp; Stuff'!C:AD,16,FALSE)</f>
        <v>0</v>
      </c>
      <c r="S245" s="119">
        <f>VLOOKUP(C245,'Talente &amp; Stuff'!C:AD,17,FALSE)</f>
        <v>0</v>
      </c>
      <c r="T245" s="119">
        <f>VLOOKUP(C245,'Talente &amp; Stuff'!C:AD,18,FALSE)</f>
        <v>0</v>
      </c>
      <c r="U245" s="89">
        <f>VLOOKUP(C245,'Talente &amp; Stuff'!C:AD,19,FALSE)</f>
        <v>0</v>
      </c>
      <c r="V245" s="47">
        <f>VLOOKUP(C245,'Talente &amp; Stuff'!C:AD,20,FALSE)</f>
        <v>0</v>
      </c>
      <c r="W245" s="127">
        <f>VLOOKUP(C245,'Talente &amp; Stuff'!C:AD,21,FALSE)</f>
        <v>0</v>
      </c>
      <c r="X245" s="127">
        <f>VLOOKUP(C245,'Talente &amp; Stuff'!C:AD,22,FALSE)</f>
        <v>0</v>
      </c>
      <c r="Y245" s="165">
        <f t="shared" si="20"/>
        <v>0</v>
      </c>
      <c r="Z245" s="198">
        <f t="shared" si="21"/>
        <v>0</v>
      </c>
      <c r="AA245" s="125">
        <f>VLOOKUP(C245,'Talente &amp; Stuff'!C:AD,25,FALSE)</f>
        <v>0</v>
      </c>
      <c r="AB245" s="160">
        <f>VLOOKUP(C245,'Talente &amp; Stuff'!C:AD,26,FALSE)</f>
        <v>0</v>
      </c>
      <c r="AC245" s="127">
        <f>VLOOKUP(C245,'Talente &amp; Stuff'!C:AD,27,FALSE)</f>
        <v>0</v>
      </c>
      <c r="AD245" s="125">
        <f>VLOOKUP(C245,'Talente &amp; Stuff'!C:AD,28,FALSE)</f>
        <v>0</v>
      </c>
      <c r="AE245" s="28"/>
    </row>
    <row r="246" spans="2:31" s="138" customFormat="1" hidden="1" outlineLevel="2">
      <c r="B246" s="148">
        <v>34</v>
      </c>
      <c r="C246" s="163" t="s">
        <v>281</v>
      </c>
      <c r="D246" s="125" t="str">
        <f>VLOOKUP(C246,'Talente &amp; Stuff'!C:AD,2,FALSE)</f>
        <v>--/--/--</v>
      </c>
      <c r="E246" s="127" t="str">
        <f>VLOOKUP(C246,'Talente &amp; Stuff'!C:AD,3,FALSE)</f>
        <v>-</v>
      </c>
      <c r="F246" s="114">
        <f>VLOOKUP(C246,'Talente &amp; Stuff'!C:AD,4,FALSE)</f>
        <v>0</v>
      </c>
      <c r="G246" s="113">
        <f>VLOOKUP(C246,'Talente &amp; Stuff'!C:AD,5,FALSE)</f>
        <v>0</v>
      </c>
      <c r="H246" s="113">
        <f>VLOOKUP(C246,'Talente &amp; Stuff'!C:AD,6,FALSE)</f>
        <v>0</v>
      </c>
      <c r="I246" s="113">
        <f>VLOOKUP(C246,'Talente &amp; Stuff'!C:AD,7,FALSE)</f>
        <v>0</v>
      </c>
      <c r="J246" s="113">
        <f>VLOOKUP(C246,'Talente &amp; Stuff'!C:AD,8,FALSE)</f>
        <v>0</v>
      </c>
      <c r="K246" s="113">
        <f>VLOOKUP(C246,'Talente &amp; Stuff'!C:AD,9,FALSE)</f>
        <v>0</v>
      </c>
      <c r="L246" s="113">
        <f>VLOOKUP(C246,'Talente &amp; Stuff'!C:AD,10,FALSE)</f>
        <v>0</v>
      </c>
      <c r="M246" s="119">
        <f>VLOOKUP(C246,'Talente &amp; Stuff'!C:AD,11,FALSE)</f>
        <v>0</v>
      </c>
      <c r="N246" s="47">
        <f>VLOOKUP(C246,'Talente &amp; Stuff'!C:AD,12,FALSE)</f>
        <v>0</v>
      </c>
      <c r="O246" s="47">
        <f>VLOOKUP(C246,'Talente &amp; Stuff'!C:AD,13,FALSE)</f>
        <v>0</v>
      </c>
      <c r="P246" s="119">
        <f>VLOOKUP(C246,'Talente &amp; Stuff'!C:AD,14,FALSE)</f>
        <v>0</v>
      </c>
      <c r="Q246" s="114">
        <f>VLOOKUP(C246,'Talente &amp; Stuff'!C:AD,15,FALSE)</f>
        <v>0</v>
      </c>
      <c r="R246" s="113">
        <f>VLOOKUP(C246,'Talente &amp; Stuff'!C:AD,16,FALSE)</f>
        <v>0</v>
      </c>
      <c r="S246" s="119">
        <f>VLOOKUP(C246,'Talente &amp; Stuff'!C:AD,17,FALSE)</f>
        <v>0</v>
      </c>
      <c r="T246" s="119">
        <f>VLOOKUP(C246,'Talente &amp; Stuff'!C:AD,18,FALSE)</f>
        <v>0</v>
      </c>
      <c r="U246" s="89">
        <f>VLOOKUP(C246,'Talente &amp; Stuff'!C:AD,19,FALSE)</f>
        <v>0</v>
      </c>
      <c r="V246" s="47">
        <f>VLOOKUP(C246,'Talente &amp; Stuff'!C:AD,20,FALSE)</f>
        <v>0</v>
      </c>
      <c r="W246" s="127">
        <f>VLOOKUP(C246,'Talente &amp; Stuff'!C:AD,21,FALSE)</f>
        <v>0</v>
      </c>
      <c r="X246" s="127">
        <f>VLOOKUP(C246,'Talente &amp; Stuff'!C:AD,22,FALSE)</f>
        <v>0</v>
      </c>
      <c r="Y246" s="165">
        <f t="shared" si="20"/>
        <v>0</v>
      </c>
      <c r="Z246" s="198">
        <f t="shared" si="21"/>
        <v>0</v>
      </c>
      <c r="AA246" s="125">
        <f>VLOOKUP(C246,'Talente &amp; Stuff'!C:AD,25,FALSE)</f>
        <v>0</v>
      </c>
      <c r="AB246" s="160">
        <f>VLOOKUP(C246,'Talente &amp; Stuff'!C:AD,26,FALSE)</f>
        <v>0</v>
      </c>
      <c r="AC246" s="127">
        <f>VLOOKUP(C246,'Talente &amp; Stuff'!C:AD,27,FALSE)</f>
        <v>0</v>
      </c>
      <c r="AD246" s="125">
        <f>VLOOKUP(C246,'Talente &amp; Stuff'!C:AD,28,FALSE)</f>
        <v>0</v>
      </c>
      <c r="AE246" s="28"/>
    </row>
    <row r="247" spans="2:31" s="138" customFormat="1" hidden="1" outlineLevel="2">
      <c r="B247" s="148">
        <v>35</v>
      </c>
      <c r="C247" s="163" t="s">
        <v>281</v>
      </c>
      <c r="D247" s="125" t="str">
        <f>VLOOKUP(C247,'Talente &amp; Stuff'!C:AD,2,FALSE)</f>
        <v>--/--/--</v>
      </c>
      <c r="E247" s="127" t="str">
        <f>VLOOKUP(C247,'Talente &amp; Stuff'!C:AD,3,FALSE)</f>
        <v>-</v>
      </c>
      <c r="F247" s="114">
        <f>VLOOKUP(C247,'Talente &amp; Stuff'!C:AD,4,FALSE)</f>
        <v>0</v>
      </c>
      <c r="G247" s="113">
        <f>VLOOKUP(C247,'Talente &amp; Stuff'!C:AD,5,FALSE)</f>
        <v>0</v>
      </c>
      <c r="H247" s="113">
        <f>VLOOKUP(C247,'Talente &amp; Stuff'!C:AD,6,FALSE)</f>
        <v>0</v>
      </c>
      <c r="I247" s="113">
        <f>VLOOKUP(C247,'Talente &amp; Stuff'!C:AD,7,FALSE)</f>
        <v>0</v>
      </c>
      <c r="J247" s="113">
        <f>VLOOKUP(C247,'Talente &amp; Stuff'!C:AD,8,FALSE)</f>
        <v>0</v>
      </c>
      <c r="K247" s="113">
        <f>VLOOKUP(C247,'Talente &amp; Stuff'!C:AD,9,FALSE)</f>
        <v>0</v>
      </c>
      <c r="L247" s="113">
        <f>VLOOKUP(C247,'Talente &amp; Stuff'!C:AD,10,FALSE)</f>
        <v>0</v>
      </c>
      <c r="M247" s="119">
        <f>VLOOKUP(C247,'Talente &amp; Stuff'!C:AD,11,FALSE)</f>
        <v>0</v>
      </c>
      <c r="N247" s="47">
        <f>VLOOKUP(C247,'Talente &amp; Stuff'!C:AD,12,FALSE)</f>
        <v>0</v>
      </c>
      <c r="O247" s="47">
        <f>VLOOKUP(C247,'Talente &amp; Stuff'!C:AD,13,FALSE)</f>
        <v>0</v>
      </c>
      <c r="P247" s="119">
        <f>VLOOKUP(C247,'Talente &amp; Stuff'!C:AD,14,FALSE)</f>
        <v>0</v>
      </c>
      <c r="Q247" s="114">
        <f>VLOOKUP(C247,'Talente &amp; Stuff'!C:AD,15,FALSE)</f>
        <v>0</v>
      </c>
      <c r="R247" s="113">
        <f>VLOOKUP(C247,'Talente &amp; Stuff'!C:AD,16,FALSE)</f>
        <v>0</v>
      </c>
      <c r="S247" s="119">
        <f>VLOOKUP(C247,'Talente &amp; Stuff'!C:AD,17,FALSE)</f>
        <v>0</v>
      </c>
      <c r="T247" s="119">
        <f>VLOOKUP(C247,'Talente &amp; Stuff'!C:AD,18,FALSE)</f>
        <v>0</v>
      </c>
      <c r="U247" s="89">
        <f>VLOOKUP(C247,'Talente &amp; Stuff'!C:AD,19,FALSE)</f>
        <v>0</v>
      </c>
      <c r="V247" s="47">
        <f>VLOOKUP(C247,'Talente &amp; Stuff'!C:AD,20,FALSE)</f>
        <v>0</v>
      </c>
      <c r="W247" s="127">
        <f>VLOOKUP(C247,'Talente &amp; Stuff'!C:AD,21,FALSE)</f>
        <v>0</v>
      </c>
      <c r="X247" s="127">
        <f>VLOOKUP(C247,'Talente &amp; Stuff'!C:AD,22,FALSE)</f>
        <v>0</v>
      </c>
      <c r="Y247" s="165">
        <f t="shared" si="20"/>
        <v>0</v>
      </c>
      <c r="Z247" s="198">
        <f t="shared" si="21"/>
        <v>0</v>
      </c>
      <c r="AA247" s="125">
        <f>VLOOKUP(C247,'Talente &amp; Stuff'!C:AD,25,FALSE)</f>
        <v>0</v>
      </c>
      <c r="AB247" s="160">
        <f>VLOOKUP(C247,'Talente &amp; Stuff'!C:AD,26,FALSE)</f>
        <v>0</v>
      </c>
      <c r="AC247" s="127">
        <f>VLOOKUP(C247,'Talente &amp; Stuff'!C:AD,27,FALSE)</f>
        <v>0</v>
      </c>
      <c r="AD247" s="125">
        <f>VLOOKUP(C247,'Talente &amp; Stuff'!C:AD,28,FALSE)</f>
        <v>0</v>
      </c>
      <c r="AE247" s="28"/>
    </row>
    <row r="248" spans="2:31" s="138" customFormat="1" hidden="1" outlineLevel="2">
      <c r="B248" s="148">
        <v>36</v>
      </c>
      <c r="C248" s="163" t="s">
        <v>281</v>
      </c>
      <c r="D248" s="125" t="str">
        <f>VLOOKUP(C248,'Talente &amp; Stuff'!C:AD,2,FALSE)</f>
        <v>--/--/--</v>
      </c>
      <c r="E248" s="127" t="str">
        <f>VLOOKUP(C248,'Talente &amp; Stuff'!C:AD,3,FALSE)</f>
        <v>-</v>
      </c>
      <c r="F248" s="114">
        <f>VLOOKUP(C248,'Talente &amp; Stuff'!C:AD,4,FALSE)</f>
        <v>0</v>
      </c>
      <c r="G248" s="113">
        <f>VLOOKUP(C248,'Talente &amp; Stuff'!C:AD,5,FALSE)</f>
        <v>0</v>
      </c>
      <c r="H248" s="113">
        <f>VLOOKUP(C248,'Talente &amp; Stuff'!C:AD,6,FALSE)</f>
        <v>0</v>
      </c>
      <c r="I248" s="113">
        <f>VLOOKUP(C248,'Talente &amp; Stuff'!C:AD,7,FALSE)</f>
        <v>0</v>
      </c>
      <c r="J248" s="113">
        <f>VLOOKUP(C248,'Talente &amp; Stuff'!C:AD,8,FALSE)</f>
        <v>0</v>
      </c>
      <c r="K248" s="113">
        <f>VLOOKUP(C248,'Talente &amp; Stuff'!C:AD,9,FALSE)</f>
        <v>0</v>
      </c>
      <c r="L248" s="113">
        <f>VLOOKUP(C248,'Talente &amp; Stuff'!C:AD,10,FALSE)</f>
        <v>0</v>
      </c>
      <c r="M248" s="119">
        <f>VLOOKUP(C248,'Talente &amp; Stuff'!C:AD,11,FALSE)</f>
        <v>0</v>
      </c>
      <c r="N248" s="47">
        <f>VLOOKUP(C248,'Talente &amp; Stuff'!C:AD,12,FALSE)</f>
        <v>0</v>
      </c>
      <c r="O248" s="47">
        <f>VLOOKUP(C248,'Talente &amp; Stuff'!C:AD,13,FALSE)</f>
        <v>0</v>
      </c>
      <c r="P248" s="119">
        <f>VLOOKUP(C248,'Talente &amp; Stuff'!C:AD,14,FALSE)</f>
        <v>0</v>
      </c>
      <c r="Q248" s="114">
        <f>VLOOKUP(C248,'Talente &amp; Stuff'!C:AD,15,FALSE)</f>
        <v>0</v>
      </c>
      <c r="R248" s="113">
        <f>VLOOKUP(C248,'Talente &amp; Stuff'!C:AD,16,FALSE)</f>
        <v>0</v>
      </c>
      <c r="S248" s="119">
        <f>VLOOKUP(C248,'Talente &amp; Stuff'!C:AD,17,FALSE)</f>
        <v>0</v>
      </c>
      <c r="T248" s="119">
        <f>VLOOKUP(C248,'Talente &amp; Stuff'!C:AD,18,FALSE)</f>
        <v>0</v>
      </c>
      <c r="U248" s="89">
        <f>VLOOKUP(C248,'Talente &amp; Stuff'!C:AD,19,FALSE)</f>
        <v>0</v>
      </c>
      <c r="V248" s="47">
        <f>VLOOKUP(C248,'Talente &amp; Stuff'!C:AD,20,FALSE)</f>
        <v>0</v>
      </c>
      <c r="W248" s="127">
        <f>VLOOKUP(C248,'Talente &amp; Stuff'!C:AD,21,FALSE)</f>
        <v>0</v>
      </c>
      <c r="X248" s="127">
        <f>VLOOKUP(C248,'Talente &amp; Stuff'!C:AD,22,FALSE)</f>
        <v>0</v>
      </c>
      <c r="Y248" s="165">
        <f t="shared" si="20"/>
        <v>0</v>
      </c>
      <c r="Z248" s="198">
        <f t="shared" si="21"/>
        <v>0</v>
      </c>
      <c r="AA248" s="125">
        <f>VLOOKUP(C248,'Talente &amp; Stuff'!C:AD,25,FALSE)</f>
        <v>0</v>
      </c>
      <c r="AB248" s="160">
        <f>VLOOKUP(C248,'Talente &amp; Stuff'!C:AD,26,FALSE)</f>
        <v>0</v>
      </c>
      <c r="AC248" s="127">
        <f>VLOOKUP(C248,'Talente &amp; Stuff'!C:AD,27,FALSE)</f>
        <v>0</v>
      </c>
      <c r="AD248" s="125">
        <f>VLOOKUP(C248,'Talente &amp; Stuff'!C:AD,28,FALSE)</f>
        <v>0</v>
      </c>
      <c r="AE248" s="28"/>
    </row>
    <row r="249" spans="2:31" s="138" customFormat="1" hidden="1" outlineLevel="2">
      <c r="B249" s="148">
        <v>37</v>
      </c>
      <c r="C249" s="163" t="s">
        <v>281</v>
      </c>
      <c r="D249" s="125" t="str">
        <f>VLOOKUP(C249,'Talente &amp; Stuff'!C:AD,2,FALSE)</f>
        <v>--/--/--</v>
      </c>
      <c r="E249" s="127" t="str">
        <f>VLOOKUP(C249,'Talente &amp; Stuff'!C:AD,3,FALSE)</f>
        <v>-</v>
      </c>
      <c r="F249" s="114">
        <f>VLOOKUP(C249,'Talente &amp; Stuff'!C:AD,4,FALSE)</f>
        <v>0</v>
      </c>
      <c r="G249" s="113">
        <f>VLOOKUP(C249,'Talente &amp; Stuff'!C:AD,5,FALSE)</f>
        <v>0</v>
      </c>
      <c r="H249" s="113">
        <f>VLOOKUP(C249,'Talente &amp; Stuff'!C:AD,6,FALSE)</f>
        <v>0</v>
      </c>
      <c r="I249" s="113">
        <f>VLOOKUP(C249,'Talente &amp; Stuff'!C:AD,7,FALSE)</f>
        <v>0</v>
      </c>
      <c r="J249" s="113">
        <f>VLOOKUP(C249,'Talente &amp; Stuff'!C:AD,8,FALSE)</f>
        <v>0</v>
      </c>
      <c r="K249" s="113">
        <f>VLOOKUP(C249,'Talente &amp; Stuff'!C:AD,9,FALSE)</f>
        <v>0</v>
      </c>
      <c r="L249" s="113">
        <f>VLOOKUP(C249,'Talente &amp; Stuff'!C:AD,10,FALSE)</f>
        <v>0</v>
      </c>
      <c r="M249" s="119">
        <f>VLOOKUP(C249,'Talente &amp; Stuff'!C:AD,11,FALSE)</f>
        <v>0</v>
      </c>
      <c r="N249" s="47">
        <f>VLOOKUP(C249,'Talente &amp; Stuff'!C:AD,12,FALSE)</f>
        <v>0</v>
      </c>
      <c r="O249" s="47">
        <f>VLOOKUP(C249,'Talente &amp; Stuff'!C:AD,13,FALSE)</f>
        <v>0</v>
      </c>
      <c r="P249" s="119">
        <f>VLOOKUP(C249,'Talente &amp; Stuff'!C:AD,14,FALSE)</f>
        <v>0</v>
      </c>
      <c r="Q249" s="114">
        <f>VLOOKUP(C249,'Talente &amp; Stuff'!C:AD,15,FALSE)</f>
        <v>0</v>
      </c>
      <c r="R249" s="113">
        <f>VLOOKUP(C249,'Talente &amp; Stuff'!C:AD,16,FALSE)</f>
        <v>0</v>
      </c>
      <c r="S249" s="119">
        <f>VLOOKUP(C249,'Talente &amp; Stuff'!C:AD,17,FALSE)</f>
        <v>0</v>
      </c>
      <c r="T249" s="119">
        <f>VLOOKUP(C249,'Talente &amp; Stuff'!C:AD,18,FALSE)</f>
        <v>0</v>
      </c>
      <c r="U249" s="89">
        <f>VLOOKUP(C249,'Talente &amp; Stuff'!C:AD,19,FALSE)</f>
        <v>0</v>
      </c>
      <c r="V249" s="47">
        <f>VLOOKUP(C249,'Talente &amp; Stuff'!C:AD,20,FALSE)</f>
        <v>0</v>
      </c>
      <c r="W249" s="127">
        <f>VLOOKUP(C249,'Talente &amp; Stuff'!C:AD,21,FALSE)</f>
        <v>0</v>
      </c>
      <c r="X249" s="127">
        <f>VLOOKUP(C249,'Talente &amp; Stuff'!C:AD,22,FALSE)</f>
        <v>0</v>
      </c>
      <c r="Y249" s="165">
        <f t="shared" si="20"/>
        <v>0</v>
      </c>
      <c r="Z249" s="198">
        <f t="shared" si="21"/>
        <v>0</v>
      </c>
      <c r="AA249" s="125">
        <f>VLOOKUP(C249,'Talente &amp; Stuff'!C:AD,25,FALSE)</f>
        <v>0</v>
      </c>
      <c r="AB249" s="160">
        <f>VLOOKUP(C249,'Talente &amp; Stuff'!C:AD,26,FALSE)</f>
        <v>0</v>
      </c>
      <c r="AC249" s="127">
        <f>VLOOKUP(C249,'Talente &amp; Stuff'!C:AD,27,FALSE)</f>
        <v>0</v>
      </c>
      <c r="AD249" s="125">
        <f>VLOOKUP(C249,'Talente &amp; Stuff'!C:AD,28,FALSE)</f>
        <v>0</v>
      </c>
      <c r="AE249" s="28"/>
    </row>
    <row r="250" spans="2:31" s="138" customFormat="1" hidden="1" outlineLevel="2">
      <c r="B250" s="148">
        <v>38</v>
      </c>
      <c r="C250" s="163" t="s">
        <v>281</v>
      </c>
      <c r="D250" s="125" t="str">
        <f>VLOOKUP(C250,'Talente &amp; Stuff'!C:AD,2,FALSE)</f>
        <v>--/--/--</v>
      </c>
      <c r="E250" s="127" t="str">
        <f>VLOOKUP(C250,'Talente &amp; Stuff'!C:AD,3,FALSE)</f>
        <v>-</v>
      </c>
      <c r="F250" s="114">
        <f>VLOOKUP(C250,'Talente &amp; Stuff'!C:AD,4,FALSE)</f>
        <v>0</v>
      </c>
      <c r="G250" s="113">
        <f>VLOOKUP(C250,'Talente &amp; Stuff'!C:AD,5,FALSE)</f>
        <v>0</v>
      </c>
      <c r="H250" s="113">
        <f>VLOOKUP(C250,'Talente &amp; Stuff'!C:AD,6,FALSE)</f>
        <v>0</v>
      </c>
      <c r="I250" s="113">
        <f>VLOOKUP(C250,'Talente &amp; Stuff'!C:AD,7,FALSE)</f>
        <v>0</v>
      </c>
      <c r="J250" s="113">
        <f>VLOOKUP(C250,'Talente &amp; Stuff'!C:AD,8,FALSE)</f>
        <v>0</v>
      </c>
      <c r="K250" s="113">
        <f>VLOOKUP(C250,'Talente &amp; Stuff'!C:AD,9,FALSE)</f>
        <v>0</v>
      </c>
      <c r="L250" s="113">
        <f>VLOOKUP(C250,'Talente &amp; Stuff'!C:AD,10,FALSE)</f>
        <v>0</v>
      </c>
      <c r="M250" s="119">
        <f>VLOOKUP(C250,'Talente &amp; Stuff'!C:AD,11,FALSE)</f>
        <v>0</v>
      </c>
      <c r="N250" s="47">
        <f>VLOOKUP(C250,'Talente &amp; Stuff'!C:AD,12,FALSE)</f>
        <v>0</v>
      </c>
      <c r="O250" s="47">
        <f>VLOOKUP(C250,'Talente &amp; Stuff'!C:AD,13,FALSE)</f>
        <v>0</v>
      </c>
      <c r="P250" s="119">
        <f>VLOOKUP(C250,'Talente &amp; Stuff'!C:AD,14,FALSE)</f>
        <v>0</v>
      </c>
      <c r="Q250" s="114">
        <f>VLOOKUP(C250,'Talente &amp; Stuff'!C:AD,15,FALSE)</f>
        <v>0</v>
      </c>
      <c r="R250" s="113">
        <f>VLOOKUP(C250,'Talente &amp; Stuff'!C:AD,16,FALSE)</f>
        <v>0</v>
      </c>
      <c r="S250" s="119">
        <f>VLOOKUP(C250,'Talente &amp; Stuff'!C:AD,17,FALSE)</f>
        <v>0</v>
      </c>
      <c r="T250" s="119">
        <f>VLOOKUP(C250,'Talente &amp; Stuff'!C:AD,18,FALSE)</f>
        <v>0</v>
      </c>
      <c r="U250" s="89">
        <f>VLOOKUP(C250,'Talente &amp; Stuff'!C:AD,19,FALSE)</f>
        <v>0</v>
      </c>
      <c r="V250" s="47">
        <f>VLOOKUP(C250,'Talente &amp; Stuff'!C:AD,20,FALSE)</f>
        <v>0</v>
      </c>
      <c r="W250" s="127">
        <f>VLOOKUP(C250,'Talente &amp; Stuff'!C:AD,21,FALSE)</f>
        <v>0</v>
      </c>
      <c r="X250" s="127">
        <f>VLOOKUP(C250,'Talente &amp; Stuff'!C:AD,22,FALSE)</f>
        <v>0</v>
      </c>
      <c r="Y250" s="165">
        <f t="shared" si="20"/>
        <v>0</v>
      </c>
      <c r="Z250" s="198">
        <f t="shared" si="21"/>
        <v>0</v>
      </c>
      <c r="AA250" s="125">
        <f>VLOOKUP(C250,'Talente &amp; Stuff'!C:AD,25,FALSE)</f>
        <v>0</v>
      </c>
      <c r="AB250" s="160">
        <f>VLOOKUP(C250,'Talente &amp; Stuff'!C:AD,26,FALSE)</f>
        <v>0</v>
      </c>
      <c r="AC250" s="127">
        <f>VLOOKUP(C250,'Talente &amp; Stuff'!C:AD,27,FALSE)</f>
        <v>0</v>
      </c>
      <c r="AD250" s="125">
        <f>VLOOKUP(C250,'Talente &amp; Stuff'!C:AD,28,FALSE)</f>
        <v>0</v>
      </c>
      <c r="AE250" s="28"/>
    </row>
    <row r="251" spans="2:31" s="138" customFormat="1" hidden="1" outlineLevel="2">
      <c r="B251" s="148">
        <v>39</v>
      </c>
      <c r="C251" s="163" t="s">
        <v>281</v>
      </c>
      <c r="D251" s="125" t="str">
        <f>VLOOKUP(C251,'Talente &amp; Stuff'!C:AD,2,FALSE)</f>
        <v>--/--/--</v>
      </c>
      <c r="E251" s="127" t="str">
        <f>VLOOKUP(C251,'Talente &amp; Stuff'!C:AD,3,FALSE)</f>
        <v>-</v>
      </c>
      <c r="F251" s="114">
        <f>VLOOKUP(C251,'Talente &amp; Stuff'!C:AD,4,FALSE)</f>
        <v>0</v>
      </c>
      <c r="G251" s="113">
        <f>VLOOKUP(C251,'Talente &amp; Stuff'!C:AD,5,FALSE)</f>
        <v>0</v>
      </c>
      <c r="H251" s="113">
        <f>VLOOKUP(C251,'Talente &amp; Stuff'!C:AD,6,FALSE)</f>
        <v>0</v>
      </c>
      <c r="I251" s="113">
        <f>VLOOKUP(C251,'Talente &amp; Stuff'!C:AD,7,FALSE)</f>
        <v>0</v>
      </c>
      <c r="J251" s="113">
        <f>VLOOKUP(C251,'Talente &amp; Stuff'!C:AD,8,FALSE)</f>
        <v>0</v>
      </c>
      <c r="K251" s="113">
        <f>VLOOKUP(C251,'Talente &amp; Stuff'!C:AD,9,FALSE)</f>
        <v>0</v>
      </c>
      <c r="L251" s="113">
        <f>VLOOKUP(C251,'Talente &amp; Stuff'!C:AD,10,FALSE)</f>
        <v>0</v>
      </c>
      <c r="M251" s="119">
        <f>VLOOKUP(C251,'Talente &amp; Stuff'!C:AD,11,FALSE)</f>
        <v>0</v>
      </c>
      <c r="N251" s="47">
        <f>VLOOKUP(C251,'Talente &amp; Stuff'!C:AD,12,FALSE)</f>
        <v>0</v>
      </c>
      <c r="O251" s="47">
        <f>VLOOKUP(C251,'Talente &amp; Stuff'!C:AD,13,FALSE)</f>
        <v>0</v>
      </c>
      <c r="P251" s="119">
        <f>VLOOKUP(C251,'Talente &amp; Stuff'!C:AD,14,FALSE)</f>
        <v>0</v>
      </c>
      <c r="Q251" s="114">
        <f>VLOOKUP(C251,'Talente &amp; Stuff'!C:AD,15,FALSE)</f>
        <v>0</v>
      </c>
      <c r="R251" s="113">
        <f>VLOOKUP(C251,'Talente &amp; Stuff'!C:AD,16,FALSE)</f>
        <v>0</v>
      </c>
      <c r="S251" s="119">
        <f>VLOOKUP(C251,'Talente &amp; Stuff'!C:AD,17,FALSE)</f>
        <v>0</v>
      </c>
      <c r="T251" s="119">
        <f>VLOOKUP(C251,'Talente &amp; Stuff'!C:AD,18,FALSE)</f>
        <v>0</v>
      </c>
      <c r="U251" s="89">
        <f>VLOOKUP(C251,'Talente &amp; Stuff'!C:AD,19,FALSE)</f>
        <v>0</v>
      </c>
      <c r="V251" s="47">
        <f>VLOOKUP(C251,'Talente &amp; Stuff'!C:AD,20,FALSE)</f>
        <v>0</v>
      </c>
      <c r="W251" s="127">
        <f>VLOOKUP(C251,'Talente &amp; Stuff'!C:AD,21,FALSE)</f>
        <v>0</v>
      </c>
      <c r="X251" s="127">
        <f>VLOOKUP(C251,'Talente &amp; Stuff'!C:AD,22,FALSE)</f>
        <v>0</v>
      </c>
      <c r="Y251" s="165">
        <f t="shared" si="20"/>
        <v>0</v>
      </c>
      <c r="Z251" s="198">
        <f t="shared" si="21"/>
        <v>0</v>
      </c>
      <c r="AA251" s="125">
        <f>VLOOKUP(C251,'Talente &amp; Stuff'!C:AD,25,FALSE)</f>
        <v>0</v>
      </c>
      <c r="AB251" s="160">
        <f>VLOOKUP(C251,'Talente &amp; Stuff'!C:AD,26,FALSE)</f>
        <v>0</v>
      </c>
      <c r="AC251" s="127">
        <f>VLOOKUP(C251,'Talente &amp; Stuff'!C:AD,27,FALSE)</f>
        <v>0</v>
      </c>
      <c r="AD251" s="125">
        <f>VLOOKUP(C251,'Talente &amp; Stuff'!C:AD,28,FALSE)</f>
        <v>0</v>
      </c>
      <c r="AE251" s="28"/>
    </row>
    <row r="252" spans="2:31" hidden="1" outlineLevel="2">
      <c r="B252" s="148">
        <v>40</v>
      </c>
      <c r="C252" s="163" t="s">
        <v>281</v>
      </c>
      <c r="D252" s="86" t="str">
        <f>VLOOKUP(C252,'Talente &amp; Stuff'!C:AD,2,FALSE)</f>
        <v>--/--/--</v>
      </c>
      <c r="E252" s="127" t="str">
        <f>VLOOKUP(C252,'Talente &amp; Stuff'!C:AD,3,FALSE)</f>
        <v>-</v>
      </c>
      <c r="F252" s="114">
        <f>VLOOKUP(C252,'Talente &amp; Stuff'!C:AD,4,FALSE)</f>
        <v>0</v>
      </c>
      <c r="G252" s="113">
        <f>VLOOKUP(C252,'Talente &amp; Stuff'!C:AD,5,FALSE)</f>
        <v>0</v>
      </c>
      <c r="H252" s="113">
        <f>VLOOKUP(C252,'Talente &amp; Stuff'!C:AD,6,FALSE)</f>
        <v>0</v>
      </c>
      <c r="I252" s="113">
        <f>VLOOKUP(C252,'Talente &amp; Stuff'!C:AD,7,FALSE)</f>
        <v>0</v>
      </c>
      <c r="J252" s="113">
        <f>VLOOKUP(C252,'Talente &amp; Stuff'!C:AD,8,FALSE)</f>
        <v>0</v>
      </c>
      <c r="K252" s="113">
        <f>VLOOKUP(C252,'Talente &amp; Stuff'!C:AD,9,FALSE)</f>
        <v>0</v>
      </c>
      <c r="L252" s="113">
        <f>VLOOKUP(C252,'Talente &amp; Stuff'!C:AD,10,FALSE)</f>
        <v>0</v>
      </c>
      <c r="M252" s="119">
        <f>VLOOKUP(C252,'Talente &amp; Stuff'!C:AD,11,FALSE)</f>
        <v>0</v>
      </c>
      <c r="N252" s="47">
        <f>VLOOKUP(C252,'Talente &amp; Stuff'!C:AD,12,FALSE)</f>
        <v>0</v>
      </c>
      <c r="O252" s="3">
        <f>VLOOKUP(C252,'Talente &amp; Stuff'!C:AD,13,FALSE)</f>
        <v>0</v>
      </c>
      <c r="P252" s="174">
        <f>VLOOKUP(C252,'Talente &amp; Stuff'!C:AD,14,FALSE)</f>
        <v>0</v>
      </c>
      <c r="Q252" s="114">
        <f>VLOOKUP(C252,'Talente &amp; Stuff'!C:AD,15,FALSE)</f>
        <v>0</v>
      </c>
      <c r="R252" s="113">
        <f>VLOOKUP(C252,'Talente &amp; Stuff'!C:AD,16,FALSE)</f>
        <v>0</v>
      </c>
      <c r="S252" s="119">
        <f>VLOOKUP(C252,'Talente &amp; Stuff'!C:AD,17,FALSE)</f>
        <v>0</v>
      </c>
      <c r="T252" s="119">
        <f>VLOOKUP(C252,'Talente &amp; Stuff'!C:AD,18,FALSE)</f>
        <v>0</v>
      </c>
      <c r="U252" s="89">
        <f>VLOOKUP(C252,'Talente &amp; Stuff'!C:AD,19,FALSE)</f>
        <v>0</v>
      </c>
      <c r="V252" s="47">
        <f>VLOOKUP(C252,'Talente &amp; Stuff'!C:AD,20,FALSE)</f>
        <v>0</v>
      </c>
      <c r="W252" s="127">
        <f>VLOOKUP(C252,'Talente &amp; Stuff'!C:AD,21,FALSE)</f>
        <v>0</v>
      </c>
      <c r="X252" s="127">
        <f>VLOOKUP(C252,'Talente &amp; Stuff'!C:AD,22,FALSE)</f>
        <v>0</v>
      </c>
      <c r="Y252" s="165">
        <f t="shared" si="20"/>
        <v>0</v>
      </c>
      <c r="Z252" s="198">
        <f t="shared" si="21"/>
        <v>0</v>
      </c>
      <c r="AA252" s="125">
        <f>VLOOKUP(C252,'Talente &amp; Stuff'!C:AD,25,FALSE)</f>
        <v>0</v>
      </c>
      <c r="AB252" s="160">
        <f>VLOOKUP(C252,'Talente &amp; Stuff'!C:AD,26,FALSE)</f>
        <v>0</v>
      </c>
      <c r="AC252" s="127">
        <f>VLOOKUP(C252,'Talente &amp; Stuff'!C:AD,27,FALSE)</f>
        <v>0</v>
      </c>
      <c r="AD252" s="125">
        <f>VLOOKUP(C252,'Talente &amp; Stuff'!C:AD,28,FALSE)</f>
        <v>0</v>
      </c>
      <c r="AE252" s="28"/>
    </row>
    <row r="253" spans="2:31" hidden="1" outlineLevel="2">
      <c r="B253" s="148">
        <v>41</v>
      </c>
      <c r="C253" s="163" t="s">
        <v>281</v>
      </c>
      <c r="D253" s="125" t="str">
        <f>VLOOKUP(C253,'Talente &amp; Stuff'!C:AD,2,FALSE)</f>
        <v>--/--/--</v>
      </c>
      <c r="E253" s="127" t="str">
        <f>VLOOKUP(C253,'Talente &amp; Stuff'!C:AD,3,FALSE)</f>
        <v>-</v>
      </c>
      <c r="F253" s="114">
        <f>VLOOKUP(C253,'Talente &amp; Stuff'!C:AD,4,FALSE)</f>
        <v>0</v>
      </c>
      <c r="G253" s="113">
        <f>VLOOKUP(C253,'Talente &amp; Stuff'!C:AD,5,FALSE)</f>
        <v>0</v>
      </c>
      <c r="H253" s="113">
        <f>VLOOKUP(C253,'Talente &amp; Stuff'!C:AD,6,FALSE)</f>
        <v>0</v>
      </c>
      <c r="I253" s="113">
        <f>VLOOKUP(C253,'Talente &amp; Stuff'!C:AD,7,FALSE)</f>
        <v>0</v>
      </c>
      <c r="J253" s="113">
        <f>VLOOKUP(C253,'Talente &amp; Stuff'!C:AD,8,FALSE)</f>
        <v>0</v>
      </c>
      <c r="K253" s="113">
        <f>VLOOKUP(C253,'Talente &amp; Stuff'!C:AD,9,FALSE)</f>
        <v>0</v>
      </c>
      <c r="L253" s="113">
        <f>VLOOKUP(C253,'Talente &amp; Stuff'!C:AD,10,FALSE)</f>
        <v>0</v>
      </c>
      <c r="M253" s="119">
        <f>VLOOKUP(C253,'Talente &amp; Stuff'!C:AD,11,FALSE)</f>
        <v>0</v>
      </c>
      <c r="N253" s="47">
        <f>VLOOKUP(C253,'Talente &amp; Stuff'!C:AD,12,FALSE)</f>
        <v>0</v>
      </c>
      <c r="O253" s="47">
        <f>VLOOKUP(C253,'Talente &amp; Stuff'!C:AD,13,FALSE)</f>
        <v>0</v>
      </c>
      <c r="P253" s="119">
        <f>VLOOKUP(C253,'Talente &amp; Stuff'!C:AD,14,FALSE)</f>
        <v>0</v>
      </c>
      <c r="Q253" s="114">
        <f>VLOOKUP(C253,'Talente &amp; Stuff'!C:AD,15,FALSE)</f>
        <v>0</v>
      </c>
      <c r="R253" s="113">
        <f>VLOOKUP(C253,'Talente &amp; Stuff'!C:AD,16,FALSE)</f>
        <v>0</v>
      </c>
      <c r="S253" s="119">
        <f>VLOOKUP(C253,'Talente &amp; Stuff'!C:AD,17,FALSE)</f>
        <v>0</v>
      </c>
      <c r="T253" s="119">
        <f>VLOOKUP(C253,'Talente &amp; Stuff'!C:AD,18,FALSE)</f>
        <v>0</v>
      </c>
      <c r="U253" s="89">
        <f>VLOOKUP(C253,'Talente &amp; Stuff'!C:AD,19,FALSE)</f>
        <v>0</v>
      </c>
      <c r="V253" s="47">
        <f>VLOOKUP(C253,'Talente &amp; Stuff'!C:AD,20,FALSE)</f>
        <v>0</v>
      </c>
      <c r="W253" s="127">
        <f>VLOOKUP(C253,'Talente &amp; Stuff'!C:AD,21,FALSE)</f>
        <v>0</v>
      </c>
      <c r="X253" s="127">
        <f>VLOOKUP(C253,'Talente &amp; Stuff'!C:AD,22,FALSE)</f>
        <v>0</v>
      </c>
      <c r="Y253" s="165">
        <f t="shared" si="20"/>
        <v>0</v>
      </c>
      <c r="Z253" s="198">
        <f t="shared" si="21"/>
        <v>0</v>
      </c>
      <c r="AA253" s="125">
        <f>VLOOKUP(C253,'Talente &amp; Stuff'!C:AD,25,FALSE)</f>
        <v>0</v>
      </c>
      <c r="AB253" s="160">
        <f>VLOOKUP(C253,'Talente &amp; Stuff'!C:AD,26,FALSE)</f>
        <v>0</v>
      </c>
      <c r="AC253" s="127">
        <f>VLOOKUP(C253,'Talente &amp; Stuff'!C:AD,27,FALSE)</f>
        <v>0</v>
      </c>
      <c r="AD253" s="125">
        <f>VLOOKUP(C253,'Talente &amp; Stuff'!C:AD,28,FALSE)</f>
        <v>0</v>
      </c>
      <c r="AE253" s="28"/>
    </row>
    <row r="254" spans="2:31" hidden="1" outlineLevel="2">
      <c r="B254" s="148">
        <v>42</v>
      </c>
      <c r="C254" s="163" t="s">
        <v>281</v>
      </c>
      <c r="D254" s="125" t="str">
        <f>VLOOKUP(C254,'Talente &amp; Stuff'!C:AD,2,FALSE)</f>
        <v>--/--/--</v>
      </c>
      <c r="E254" s="127" t="str">
        <f>VLOOKUP(C254,'Talente &amp; Stuff'!C:AD,3,FALSE)</f>
        <v>-</v>
      </c>
      <c r="F254" s="114">
        <f>VLOOKUP(C254,'Talente &amp; Stuff'!C:AD,4,FALSE)</f>
        <v>0</v>
      </c>
      <c r="G254" s="113">
        <f>VLOOKUP(C254,'Talente &amp; Stuff'!C:AD,5,FALSE)</f>
        <v>0</v>
      </c>
      <c r="H254" s="113">
        <f>VLOOKUP(C254,'Talente &amp; Stuff'!C:AD,6,FALSE)</f>
        <v>0</v>
      </c>
      <c r="I254" s="113">
        <f>VLOOKUP(C254,'Talente &amp; Stuff'!C:AD,7,FALSE)</f>
        <v>0</v>
      </c>
      <c r="J254" s="113">
        <f>VLOOKUP(C254,'Talente &amp; Stuff'!C:AD,8,FALSE)</f>
        <v>0</v>
      </c>
      <c r="K254" s="113">
        <f>VLOOKUP(C254,'Talente &amp; Stuff'!C:AD,9,FALSE)</f>
        <v>0</v>
      </c>
      <c r="L254" s="113">
        <f>VLOOKUP(C254,'Talente &amp; Stuff'!C:AD,10,FALSE)</f>
        <v>0</v>
      </c>
      <c r="M254" s="119">
        <f>VLOOKUP(C254,'Talente &amp; Stuff'!C:AD,11,FALSE)</f>
        <v>0</v>
      </c>
      <c r="N254" s="47">
        <f>VLOOKUP(C254,'Talente &amp; Stuff'!C:AD,12,FALSE)</f>
        <v>0</v>
      </c>
      <c r="O254" s="47">
        <f>VLOOKUP(C254,'Talente &amp; Stuff'!C:AD,13,FALSE)</f>
        <v>0</v>
      </c>
      <c r="P254" s="119">
        <f>VLOOKUP(C254,'Talente &amp; Stuff'!C:AD,14,FALSE)</f>
        <v>0</v>
      </c>
      <c r="Q254" s="114">
        <f>VLOOKUP(C254,'Talente &amp; Stuff'!C:AD,15,FALSE)</f>
        <v>0</v>
      </c>
      <c r="R254" s="113">
        <f>VLOOKUP(C254,'Talente &amp; Stuff'!C:AD,16,FALSE)</f>
        <v>0</v>
      </c>
      <c r="S254" s="119">
        <f>VLOOKUP(C254,'Talente &amp; Stuff'!C:AD,17,FALSE)</f>
        <v>0</v>
      </c>
      <c r="T254" s="119">
        <f>VLOOKUP(C254,'Talente &amp; Stuff'!C:AD,18,FALSE)</f>
        <v>0</v>
      </c>
      <c r="U254" s="89">
        <f>VLOOKUP(C254,'Talente &amp; Stuff'!C:AD,19,FALSE)</f>
        <v>0</v>
      </c>
      <c r="V254" s="47">
        <f>VLOOKUP(C254,'Talente &amp; Stuff'!C:AD,20,FALSE)</f>
        <v>0</v>
      </c>
      <c r="W254" s="127">
        <f>VLOOKUP(C254,'Talente &amp; Stuff'!C:AD,21,FALSE)</f>
        <v>0</v>
      </c>
      <c r="X254" s="127">
        <f>VLOOKUP(C254,'Talente &amp; Stuff'!C:AD,22,FALSE)</f>
        <v>0</v>
      </c>
      <c r="Y254" s="165">
        <f t="shared" si="20"/>
        <v>0</v>
      </c>
      <c r="Z254" s="198">
        <f t="shared" si="21"/>
        <v>0</v>
      </c>
      <c r="AA254" s="125">
        <f>VLOOKUP(C254,'Talente &amp; Stuff'!C:AD,25,FALSE)</f>
        <v>0</v>
      </c>
      <c r="AB254" s="160">
        <f>VLOOKUP(C254,'Talente &amp; Stuff'!C:AD,26,FALSE)</f>
        <v>0</v>
      </c>
      <c r="AC254" s="127">
        <f>VLOOKUP(C254,'Talente &amp; Stuff'!C:AD,27,FALSE)</f>
        <v>0</v>
      </c>
      <c r="AD254" s="125">
        <f>VLOOKUP(C254,'Talente &amp; Stuff'!C:AD,28,FALSE)</f>
        <v>0</v>
      </c>
      <c r="AE254" s="28"/>
    </row>
    <row r="255" spans="2:31" hidden="1" outlineLevel="2">
      <c r="B255" s="148">
        <v>43</v>
      </c>
      <c r="C255" s="163" t="s">
        <v>281</v>
      </c>
      <c r="D255" s="86" t="str">
        <f>VLOOKUP(C255,'Talente &amp; Stuff'!C:AD,2,FALSE)</f>
        <v>--/--/--</v>
      </c>
      <c r="E255" s="127" t="str">
        <f>VLOOKUP(C255,'Talente &amp; Stuff'!C:AD,3,FALSE)</f>
        <v>-</v>
      </c>
      <c r="F255" s="114">
        <f>VLOOKUP(C255,'Talente &amp; Stuff'!C:AD,4,FALSE)</f>
        <v>0</v>
      </c>
      <c r="G255" s="113">
        <f>VLOOKUP(C255,'Talente &amp; Stuff'!C:AD,5,FALSE)</f>
        <v>0</v>
      </c>
      <c r="H255" s="113">
        <f>VLOOKUP(C255,'Talente &amp; Stuff'!C:AD,6,FALSE)</f>
        <v>0</v>
      </c>
      <c r="I255" s="113">
        <f>VLOOKUP(C255,'Talente &amp; Stuff'!C:AD,7,FALSE)</f>
        <v>0</v>
      </c>
      <c r="J255" s="113">
        <f>VLOOKUP(C255,'Talente &amp; Stuff'!C:AD,8,FALSE)</f>
        <v>0</v>
      </c>
      <c r="K255" s="113">
        <f>VLOOKUP(C255,'Talente &amp; Stuff'!C:AD,9,FALSE)</f>
        <v>0</v>
      </c>
      <c r="L255" s="113">
        <f>VLOOKUP(C255,'Talente &amp; Stuff'!C:AD,10,FALSE)</f>
        <v>0</v>
      </c>
      <c r="M255" s="119">
        <f>VLOOKUP(C255,'Talente &amp; Stuff'!C:AD,11,FALSE)</f>
        <v>0</v>
      </c>
      <c r="N255" s="47">
        <f>VLOOKUP(C255,'Talente &amp; Stuff'!C:AD,12,FALSE)</f>
        <v>0</v>
      </c>
      <c r="O255" s="3">
        <f>VLOOKUP(C255,'Talente &amp; Stuff'!C:AD,13,FALSE)</f>
        <v>0</v>
      </c>
      <c r="P255" s="174">
        <f>VLOOKUP(C255,'Talente &amp; Stuff'!C:AD,14,FALSE)</f>
        <v>0</v>
      </c>
      <c r="Q255" s="114">
        <f>VLOOKUP(C255,'Talente &amp; Stuff'!C:AD,15,FALSE)</f>
        <v>0</v>
      </c>
      <c r="R255" s="113">
        <f>VLOOKUP(C255,'Talente &amp; Stuff'!C:AD,16,FALSE)</f>
        <v>0</v>
      </c>
      <c r="S255" s="119">
        <f>VLOOKUP(C255,'Talente &amp; Stuff'!C:AD,17,FALSE)</f>
        <v>0</v>
      </c>
      <c r="T255" s="119">
        <f>VLOOKUP(C255,'Talente &amp; Stuff'!C:AD,18,FALSE)</f>
        <v>0</v>
      </c>
      <c r="U255" s="89">
        <f>VLOOKUP(C255,'Talente &amp; Stuff'!C:AD,19,FALSE)</f>
        <v>0</v>
      </c>
      <c r="V255" s="47">
        <f>VLOOKUP(C255,'Talente &amp; Stuff'!C:AD,20,FALSE)</f>
        <v>0</v>
      </c>
      <c r="W255" s="127">
        <f>VLOOKUP(C255,'Talente &amp; Stuff'!C:AD,21,FALSE)</f>
        <v>0</v>
      </c>
      <c r="X255" s="127">
        <f>VLOOKUP(C255,'Talente &amp; Stuff'!C:AD,22,FALSE)</f>
        <v>0</v>
      </c>
      <c r="Y255" s="165">
        <f t="shared" si="20"/>
        <v>0</v>
      </c>
      <c r="Z255" s="198">
        <f t="shared" si="21"/>
        <v>0</v>
      </c>
      <c r="AA255" s="125">
        <f>VLOOKUP(C255,'Talente &amp; Stuff'!C:AD,25,FALSE)</f>
        <v>0</v>
      </c>
      <c r="AB255" s="160">
        <f>VLOOKUP(C255,'Talente &amp; Stuff'!C:AD,26,FALSE)</f>
        <v>0</v>
      </c>
      <c r="AC255" s="127">
        <f>VLOOKUP(C255,'Talente &amp; Stuff'!C:AD,27,FALSE)</f>
        <v>0</v>
      </c>
      <c r="AD255" s="125">
        <f>VLOOKUP(C255,'Talente &amp; Stuff'!C:AD,28,FALSE)</f>
        <v>0</v>
      </c>
      <c r="AE255" s="28"/>
    </row>
    <row r="256" spans="2:31" hidden="1" outlineLevel="2">
      <c r="B256" s="148">
        <v>44</v>
      </c>
      <c r="C256" s="163" t="s">
        <v>281</v>
      </c>
      <c r="D256" s="125" t="str">
        <f>VLOOKUP(C256,'Talente &amp; Stuff'!C:AD,2,FALSE)</f>
        <v>--/--/--</v>
      </c>
      <c r="E256" s="127" t="str">
        <f>VLOOKUP(C256,'Talente &amp; Stuff'!C:AD,3,FALSE)</f>
        <v>-</v>
      </c>
      <c r="F256" s="114">
        <f>VLOOKUP(C256,'Talente &amp; Stuff'!C:AD,4,FALSE)</f>
        <v>0</v>
      </c>
      <c r="G256" s="113">
        <f>VLOOKUP(C256,'Talente &amp; Stuff'!C:AD,5,FALSE)</f>
        <v>0</v>
      </c>
      <c r="H256" s="113">
        <f>VLOOKUP(C256,'Talente &amp; Stuff'!C:AD,6,FALSE)</f>
        <v>0</v>
      </c>
      <c r="I256" s="113">
        <f>VLOOKUP(C256,'Talente &amp; Stuff'!C:AD,7,FALSE)</f>
        <v>0</v>
      </c>
      <c r="J256" s="113">
        <f>VLOOKUP(C256,'Talente &amp; Stuff'!C:AD,8,FALSE)</f>
        <v>0</v>
      </c>
      <c r="K256" s="113">
        <f>VLOOKUP(C256,'Talente &amp; Stuff'!C:AD,9,FALSE)</f>
        <v>0</v>
      </c>
      <c r="L256" s="113">
        <f>VLOOKUP(C256,'Talente &amp; Stuff'!C:AD,10,FALSE)</f>
        <v>0</v>
      </c>
      <c r="M256" s="119">
        <f>VLOOKUP(C256,'Talente &amp; Stuff'!C:AD,11,FALSE)</f>
        <v>0</v>
      </c>
      <c r="N256" s="47">
        <f>VLOOKUP(C256,'Talente &amp; Stuff'!C:AD,12,FALSE)</f>
        <v>0</v>
      </c>
      <c r="O256" s="47">
        <f>VLOOKUP(C256,'Talente &amp; Stuff'!C:AD,13,FALSE)</f>
        <v>0</v>
      </c>
      <c r="P256" s="119">
        <f>VLOOKUP(C256,'Talente &amp; Stuff'!C:AD,14,FALSE)</f>
        <v>0</v>
      </c>
      <c r="Q256" s="114">
        <f>VLOOKUP(C256,'Talente &amp; Stuff'!C:AD,15,FALSE)</f>
        <v>0</v>
      </c>
      <c r="R256" s="113">
        <f>VLOOKUP(C256,'Talente &amp; Stuff'!C:AD,16,FALSE)</f>
        <v>0</v>
      </c>
      <c r="S256" s="119">
        <f>VLOOKUP(C256,'Talente &amp; Stuff'!C:AD,17,FALSE)</f>
        <v>0</v>
      </c>
      <c r="T256" s="119">
        <f>VLOOKUP(C256,'Talente &amp; Stuff'!C:AD,18,FALSE)</f>
        <v>0</v>
      </c>
      <c r="U256" s="89">
        <f>VLOOKUP(C256,'Talente &amp; Stuff'!C:AD,19,FALSE)</f>
        <v>0</v>
      </c>
      <c r="V256" s="47">
        <f>VLOOKUP(C256,'Talente &amp; Stuff'!C:AD,20,FALSE)</f>
        <v>0</v>
      </c>
      <c r="W256" s="127">
        <f>VLOOKUP(C256,'Talente &amp; Stuff'!C:AD,21,FALSE)</f>
        <v>0</v>
      </c>
      <c r="X256" s="127">
        <f>VLOOKUP(C256,'Talente &amp; Stuff'!C:AD,22,FALSE)</f>
        <v>0</v>
      </c>
      <c r="Y256" s="165">
        <f t="shared" si="20"/>
        <v>0</v>
      </c>
      <c r="Z256" s="198">
        <f t="shared" si="21"/>
        <v>0</v>
      </c>
      <c r="AA256" s="125">
        <f>VLOOKUP(C256,'Talente &amp; Stuff'!C:AD,25,FALSE)</f>
        <v>0</v>
      </c>
      <c r="AB256" s="160">
        <f>VLOOKUP(C256,'Talente &amp; Stuff'!C:AD,26,FALSE)</f>
        <v>0</v>
      </c>
      <c r="AC256" s="127">
        <f>VLOOKUP(C256,'Talente &amp; Stuff'!C:AD,27,FALSE)</f>
        <v>0</v>
      </c>
      <c r="AD256" s="125">
        <f>VLOOKUP(C256,'Talente &amp; Stuff'!C:AD,28,FALSE)</f>
        <v>0</v>
      </c>
      <c r="AE256" s="28"/>
    </row>
    <row r="257" spans="2:31" hidden="1" outlineLevel="2">
      <c r="B257" s="148">
        <v>45</v>
      </c>
      <c r="C257" s="164" t="s">
        <v>281</v>
      </c>
      <c r="D257" s="159" t="str">
        <f>VLOOKUP(C257,'Talente &amp; Stuff'!C:AD,2,FALSE)</f>
        <v>--/--/--</v>
      </c>
      <c r="E257" s="128" t="str">
        <f>VLOOKUP(C257,'Talente &amp; Stuff'!C:AD,3,FALSE)</f>
        <v>-</v>
      </c>
      <c r="F257" s="115">
        <f>VLOOKUP(C257,'Talente &amp; Stuff'!C:AD,4,FALSE)</f>
        <v>0</v>
      </c>
      <c r="G257" s="122">
        <f>VLOOKUP(C257,'Talente &amp; Stuff'!C:AD,5,FALSE)</f>
        <v>0</v>
      </c>
      <c r="H257" s="122">
        <f>VLOOKUP(C257,'Talente &amp; Stuff'!C:AD,6,FALSE)</f>
        <v>0</v>
      </c>
      <c r="I257" s="122">
        <f>VLOOKUP(C257,'Talente &amp; Stuff'!C:AD,7,FALSE)</f>
        <v>0</v>
      </c>
      <c r="J257" s="122">
        <f>VLOOKUP(C257,'Talente &amp; Stuff'!C:AD,8,FALSE)</f>
        <v>0</v>
      </c>
      <c r="K257" s="122">
        <f>VLOOKUP(C257,'Talente &amp; Stuff'!C:AD,9,FALSE)</f>
        <v>0</v>
      </c>
      <c r="L257" s="122">
        <f>VLOOKUP(C257,'Talente &amp; Stuff'!C:AD,10,FALSE)</f>
        <v>0</v>
      </c>
      <c r="M257" s="123">
        <f>VLOOKUP(C257,'Talente &amp; Stuff'!C:AD,11,FALSE)</f>
        <v>0</v>
      </c>
      <c r="N257" s="88">
        <f>VLOOKUP(C257,'Talente &amp; Stuff'!C:AD,12,FALSE)</f>
        <v>0</v>
      </c>
      <c r="O257" s="88">
        <f>VLOOKUP(C257,'Talente &amp; Stuff'!C:AD,13,FALSE)</f>
        <v>0</v>
      </c>
      <c r="P257" s="123">
        <f>VLOOKUP(C257,'Talente &amp; Stuff'!C:AD,14,FALSE)</f>
        <v>0</v>
      </c>
      <c r="Q257" s="115">
        <f>VLOOKUP(C257,'Talente &amp; Stuff'!C:AD,15,FALSE)</f>
        <v>0</v>
      </c>
      <c r="R257" s="122">
        <f>VLOOKUP(C257,'Talente &amp; Stuff'!C:AD,16,FALSE)</f>
        <v>0</v>
      </c>
      <c r="S257" s="123">
        <f>VLOOKUP(C257,'Talente &amp; Stuff'!C:AD,17,FALSE)</f>
        <v>0</v>
      </c>
      <c r="T257" s="123">
        <f>VLOOKUP(C257,'Talente &amp; Stuff'!C:AD,18,FALSE)</f>
        <v>0</v>
      </c>
      <c r="U257" s="90">
        <f>VLOOKUP(C257,'Talente &amp; Stuff'!C:AD,19,FALSE)</f>
        <v>0</v>
      </c>
      <c r="V257" s="88">
        <f>VLOOKUP(C257,'Talente &amp; Stuff'!C:AD,20,FALSE)</f>
        <v>0</v>
      </c>
      <c r="W257" s="128">
        <f>VLOOKUP(C257,'Talente &amp; Stuff'!C:AD,21,FALSE)</f>
        <v>0</v>
      </c>
      <c r="X257" s="128">
        <f>VLOOKUP(C257,'Talente &amp; Stuff'!C:AD,22,FALSE)</f>
        <v>0</v>
      </c>
      <c r="Y257" s="165">
        <f t="shared" si="20"/>
        <v>0</v>
      </c>
      <c r="Z257" s="198">
        <f t="shared" si="21"/>
        <v>0</v>
      </c>
      <c r="AA257" s="159">
        <f>VLOOKUP(C257,'Talente &amp; Stuff'!C:AD,25,FALSE)</f>
        <v>0</v>
      </c>
      <c r="AB257" s="161">
        <f>VLOOKUP(C257,'Talente &amp; Stuff'!C:AD,26,FALSE)</f>
        <v>0</v>
      </c>
      <c r="AC257" s="128">
        <f>VLOOKUP(C257,'Talente &amp; Stuff'!C:AD,27,FALSE)</f>
        <v>0</v>
      </c>
      <c r="AD257" s="159">
        <f>VLOOKUP(C257,'Talente &amp; Stuff'!C:AD,28,FALSE)</f>
        <v>0</v>
      </c>
      <c r="AE257" s="28"/>
    </row>
    <row r="258" spans="2:31" s="148" customFormat="1" hidden="1" outlineLevel="1" collapsed="1">
      <c r="B258" s="134" t="s">
        <v>407</v>
      </c>
      <c r="C258" s="83"/>
      <c r="D258" s="84"/>
      <c r="E258" s="84"/>
      <c r="Y258" s="197"/>
      <c r="Z258" s="197"/>
    </row>
    <row r="259" spans="2:31" s="148" customFormat="1" hidden="1" outlineLevel="2">
      <c r="B259" s="148">
        <v>1</v>
      </c>
      <c r="C259" s="181" t="s">
        <v>281</v>
      </c>
      <c r="D259" s="186" t="str">
        <f>VLOOKUP(C259,'Talente &amp; Stuff'!C:AD,2,FALSE)</f>
        <v>--/--/--</v>
      </c>
      <c r="E259" s="40" t="str">
        <f>VLOOKUP(C259,'Talente &amp; Stuff'!C:AD,3,FALSE)</f>
        <v>-</v>
      </c>
      <c r="F259" s="17">
        <f>VLOOKUP(C259,'Talente &amp; Stuff'!C:AD,4,FALSE)</f>
        <v>0</v>
      </c>
      <c r="G259" s="183">
        <f>VLOOKUP(C259,'Talente &amp; Stuff'!C:AD,5,FALSE)</f>
        <v>0</v>
      </c>
      <c r="H259" s="183">
        <f>VLOOKUP(C259,'Talente &amp; Stuff'!C:AD,6,FALSE)</f>
        <v>0</v>
      </c>
      <c r="I259" s="183">
        <f>VLOOKUP(C259,'Talente &amp; Stuff'!C:AD,7,FALSE)</f>
        <v>0</v>
      </c>
      <c r="J259" s="183">
        <f>VLOOKUP(C259,'Talente &amp; Stuff'!C:AD,8,FALSE)</f>
        <v>0</v>
      </c>
      <c r="K259" s="183">
        <f>VLOOKUP(C259,'Talente &amp; Stuff'!C:AD,9,FALSE)</f>
        <v>0</v>
      </c>
      <c r="L259" s="183">
        <f>VLOOKUP(C259,'Talente &amp; Stuff'!C:AD,10,FALSE)</f>
        <v>0</v>
      </c>
      <c r="M259" s="180">
        <f>VLOOKUP(C259,'Talente &amp; Stuff'!C:AD,11,FALSE)</f>
        <v>0</v>
      </c>
      <c r="N259" s="166">
        <f>VLOOKUP(C259,'Talente &amp; Stuff'!C:AD,12,FALSE)</f>
        <v>0</v>
      </c>
      <c r="O259" s="32">
        <f>VLOOKUP(C259,'Talente &amp; Stuff'!C:AD,13,FALSE)</f>
        <v>0</v>
      </c>
      <c r="P259" s="187">
        <f>VLOOKUP(C259,'Talente &amp; Stuff'!C:AD,14,FALSE)</f>
        <v>0</v>
      </c>
      <c r="Q259" s="17">
        <f>VLOOKUP(C259,'Talente &amp; Stuff'!C:AD,15,FALSE)</f>
        <v>0</v>
      </c>
      <c r="R259" s="188">
        <f>VLOOKUP(C259,'Talente &amp; Stuff'!C:AD,16,FALSE)</f>
        <v>0</v>
      </c>
      <c r="S259" s="180">
        <f>VLOOKUP(C259,'Talente &amp; Stuff'!C:AD,17,FALSE)</f>
        <v>0</v>
      </c>
      <c r="T259" s="189">
        <f>VLOOKUP(C259,'Talente &amp; Stuff'!C:AD,18,FALSE)</f>
        <v>0</v>
      </c>
      <c r="U259" s="166">
        <f>VLOOKUP(C259,'Talente &amp; Stuff'!C:AD,19,FALSE)</f>
        <v>0</v>
      </c>
      <c r="V259" s="179">
        <f>VLOOKUP(C259,'Talente &amp; Stuff'!C:AD,20,FALSE)</f>
        <v>0</v>
      </c>
      <c r="W259" s="182">
        <f>VLOOKUP(C259,'Talente &amp; Stuff'!C:AD,21,FALSE)</f>
        <v>0</v>
      </c>
      <c r="X259" s="182">
        <f>VLOOKUP(C259,'Talente &amp; Stuff'!C:AD,22,FALSE)</f>
        <v>0</v>
      </c>
      <c r="Y259" s="165">
        <f>VLOOKUP(C259,Ausgewählte_Zauber_Kristallomanten,23,FALSE)</f>
        <v>0</v>
      </c>
      <c r="Z259" s="198">
        <f>VLOOKUP(C259,Ausgewählte_Zauber_Kristallomanten,24,FALSE)</f>
        <v>0</v>
      </c>
      <c r="AA259" s="40">
        <f>VLOOKUP(C259,'Talente &amp; Stuff'!C:AD,25,FALSE)</f>
        <v>0</v>
      </c>
      <c r="AB259" s="189">
        <f>VLOOKUP(C259,'Talente &amp; Stuff'!C:AD,26,FALSE)</f>
        <v>0</v>
      </c>
      <c r="AC259" s="182">
        <f>VLOOKUP(C259,'Talente &amp; Stuff'!C:AD,27,FALSE)</f>
        <v>0</v>
      </c>
      <c r="AD259" s="40">
        <f>VLOOKUP(C259,'Talente &amp; Stuff'!C:AD,28,FALSE)</f>
        <v>0</v>
      </c>
      <c r="AE259" s="28"/>
    </row>
    <row r="260" spans="2:31" s="148" customFormat="1" hidden="1" outlineLevel="1" collapsed="1">
      <c r="B260" s="134" t="s">
        <v>408</v>
      </c>
      <c r="C260" s="83"/>
      <c r="D260" s="84"/>
      <c r="E260" s="84"/>
      <c r="Y260" s="197"/>
      <c r="Z260" s="197"/>
    </row>
    <row r="261" spans="2:31" s="148" customFormat="1" hidden="1" outlineLevel="2">
      <c r="B261" s="148">
        <v>1</v>
      </c>
      <c r="C261" s="162" t="s">
        <v>281</v>
      </c>
      <c r="D261" s="85" t="str">
        <f>VLOOKUP(C261,'Talente &amp; Stuff'!C:AD,2,FALSE)</f>
        <v>--/--/--</v>
      </c>
      <c r="E261" s="126" t="str">
        <f>VLOOKUP(C261,'Talente &amp; Stuff'!C:AD,3,FALSE)</f>
        <v>-</v>
      </c>
      <c r="F261" s="191">
        <f>VLOOKUP(C261,'Talente &amp; Stuff'!C:AD,4,FALSE)</f>
        <v>0</v>
      </c>
      <c r="G261" s="118">
        <f>VLOOKUP(C261,'Talente &amp; Stuff'!C:AD,5,FALSE)</f>
        <v>0</v>
      </c>
      <c r="H261" s="118">
        <f>VLOOKUP(C261,'Talente &amp; Stuff'!C:AD,6,FALSE)</f>
        <v>0</v>
      </c>
      <c r="I261" s="118">
        <f>VLOOKUP(C261,'Talente &amp; Stuff'!C:AD,7,FALSE)</f>
        <v>0</v>
      </c>
      <c r="J261" s="118">
        <f>VLOOKUP(C261,'Talente &amp; Stuff'!C:AD,8,FALSE)</f>
        <v>0</v>
      </c>
      <c r="K261" s="118">
        <f>VLOOKUP(C261,'Talente &amp; Stuff'!C:AD,9,FALSE)</f>
        <v>0</v>
      </c>
      <c r="L261" s="118">
        <f>VLOOKUP(C261,'Talente &amp; Stuff'!C:AD,10,FALSE)</f>
        <v>0</v>
      </c>
      <c r="M261" s="92">
        <f>VLOOKUP(C261,'Talente &amp; Stuff'!C:AD,11,FALSE)</f>
        <v>0</v>
      </c>
      <c r="N261" s="116">
        <f>VLOOKUP(C261,'Talente &amp; Stuff'!C:AD,12,FALSE)</f>
        <v>0</v>
      </c>
      <c r="O261" s="194">
        <f>VLOOKUP(C261,'Talente &amp; Stuff'!C:AD,13,FALSE)</f>
        <v>0</v>
      </c>
      <c r="P261" s="192">
        <f>VLOOKUP(C261,'Talente &amp; Stuff'!C:AD,14,FALSE)</f>
        <v>0</v>
      </c>
      <c r="Q261" s="191">
        <f>VLOOKUP(C261,'Talente &amp; Stuff'!C:AD,15,FALSE)</f>
        <v>0</v>
      </c>
      <c r="R261" s="170">
        <f>VLOOKUP(C261,'Talente &amp; Stuff'!C:AD,16,FALSE)</f>
        <v>0</v>
      </c>
      <c r="S261" s="92">
        <f>VLOOKUP(C261,'Talente &amp; Stuff'!C:AD,17,FALSE)</f>
        <v>0</v>
      </c>
      <c r="T261" s="92">
        <f>VLOOKUP(C261,'Talente &amp; Stuff'!C:AD,18,FALSE)</f>
        <v>0</v>
      </c>
      <c r="U261" s="193">
        <f>VLOOKUP(C261,'Talente &amp; Stuff'!C:AD,19,FALSE)</f>
        <v>0</v>
      </c>
      <c r="V261" s="116">
        <f>VLOOKUP(C261,'Talente &amp; Stuff'!C:AD,20,FALSE)</f>
        <v>0</v>
      </c>
      <c r="W261" s="126">
        <f>VLOOKUP(C261,'Talente &amp; Stuff'!C:AD,21,FALSE)</f>
        <v>0</v>
      </c>
      <c r="X261" s="126">
        <f>VLOOKUP(C261,'Talente &amp; Stuff'!C:AD,22,FALSE)</f>
        <v>0</v>
      </c>
      <c r="Y261" s="165">
        <f t="shared" ref="Y261:Y296" si="22">VLOOKUP(C261,Ausgewählte_Zauber_Scharlatane,23,FALSE)</f>
        <v>0</v>
      </c>
      <c r="Z261" s="198">
        <f t="shared" ref="Z261:Z296" si="23">VLOOKUP(C261,Ausgewählte_Zauber_Scharlatane,24,FALSE)</f>
        <v>0</v>
      </c>
      <c r="AA261" s="158">
        <f>VLOOKUP(C261,'Talente &amp; Stuff'!C:AD,25,FALSE)</f>
        <v>0</v>
      </c>
      <c r="AB261" s="91">
        <f>VLOOKUP(C261,'Talente &amp; Stuff'!C:AD,26,FALSE)</f>
        <v>0</v>
      </c>
      <c r="AC261" s="126">
        <f>VLOOKUP(C261,'Talente &amp; Stuff'!C:AD,27,FALSE)</f>
        <v>0</v>
      </c>
      <c r="AD261" s="158">
        <f>VLOOKUP(C261,'Talente &amp; Stuff'!C:AD,28,FALSE)</f>
        <v>0</v>
      </c>
      <c r="AE261" s="28"/>
    </row>
    <row r="262" spans="2:31" s="148" customFormat="1" hidden="1" outlineLevel="2">
      <c r="B262" s="148">
        <v>2</v>
      </c>
      <c r="C262" s="163" t="s">
        <v>281</v>
      </c>
      <c r="D262" s="125" t="str">
        <f>VLOOKUP(C262,'Talente &amp; Stuff'!C:AD,2,FALSE)</f>
        <v>--/--/--</v>
      </c>
      <c r="E262" s="127" t="str">
        <f>VLOOKUP(C262,'Talente &amp; Stuff'!C:AD,3,FALSE)</f>
        <v>-</v>
      </c>
      <c r="F262" s="114">
        <f>VLOOKUP(C262,'Talente &amp; Stuff'!C:AD,4,FALSE)</f>
        <v>0</v>
      </c>
      <c r="G262" s="113">
        <f>VLOOKUP(C262,'Talente &amp; Stuff'!C:AD,5,FALSE)</f>
        <v>0</v>
      </c>
      <c r="H262" s="113">
        <f>VLOOKUP(C262,'Talente &amp; Stuff'!C:AD,6,FALSE)</f>
        <v>0</v>
      </c>
      <c r="I262" s="113">
        <f>VLOOKUP(C262,'Talente &amp; Stuff'!C:AD,7,FALSE)</f>
        <v>0</v>
      </c>
      <c r="J262" s="113">
        <f>VLOOKUP(C262,'Talente &amp; Stuff'!C:AD,8,FALSE)</f>
        <v>0</v>
      </c>
      <c r="K262" s="113">
        <f>VLOOKUP(C262,'Talente &amp; Stuff'!C:AD,9,FALSE)</f>
        <v>0</v>
      </c>
      <c r="L262" s="113">
        <f>VLOOKUP(C262,'Talente &amp; Stuff'!C:AD,10,FALSE)</f>
        <v>0</v>
      </c>
      <c r="M262" s="119">
        <f>VLOOKUP(C262,'Talente &amp; Stuff'!C:AD,11,FALSE)</f>
        <v>0</v>
      </c>
      <c r="N262" s="47">
        <f>VLOOKUP(C262,'Talente &amp; Stuff'!C:AD,12,FALSE)</f>
        <v>0</v>
      </c>
      <c r="O262" s="47">
        <f>VLOOKUP(C262,'Talente &amp; Stuff'!C:AD,13,FALSE)</f>
        <v>0</v>
      </c>
      <c r="P262" s="119">
        <f>VLOOKUP(C262,'Talente &amp; Stuff'!C:AD,14,FALSE)</f>
        <v>0</v>
      </c>
      <c r="Q262" s="114">
        <f>VLOOKUP(C262,'Talente &amp; Stuff'!C:AD,15,FALSE)</f>
        <v>0</v>
      </c>
      <c r="R262" s="113">
        <f>VLOOKUP(C262,'Talente &amp; Stuff'!C:AD,16,FALSE)</f>
        <v>0</v>
      </c>
      <c r="S262" s="119">
        <f>VLOOKUP(C262,'Talente &amp; Stuff'!C:AD,17,FALSE)</f>
        <v>0</v>
      </c>
      <c r="T262" s="119">
        <f>VLOOKUP(C262,'Talente &amp; Stuff'!C:AD,18,FALSE)</f>
        <v>0</v>
      </c>
      <c r="U262" s="89">
        <f>VLOOKUP(C262,'Talente &amp; Stuff'!C:AD,19,FALSE)</f>
        <v>0</v>
      </c>
      <c r="V262" s="47">
        <f>VLOOKUP(C262,'Talente &amp; Stuff'!C:AD,20,FALSE)</f>
        <v>0</v>
      </c>
      <c r="W262" s="127">
        <f>VLOOKUP(C262,'Talente &amp; Stuff'!C:AD,21,FALSE)</f>
        <v>0</v>
      </c>
      <c r="X262" s="127">
        <f>VLOOKUP(C262,'Talente &amp; Stuff'!C:AD,22,FALSE)</f>
        <v>0</v>
      </c>
      <c r="Y262" s="165">
        <f t="shared" si="22"/>
        <v>0</v>
      </c>
      <c r="Z262" s="198">
        <f t="shared" si="23"/>
        <v>0</v>
      </c>
      <c r="AA262" s="125">
        <f>VLOOKUP(C262,'Talente &amp; Stuff'!C:AD,25,FALSE)</f>
        <v>0</v>
      </c>
      <c r="AB262" s="160">
        <f>VLOOKUP(C262,'Talente &amp; Stuff'!C:AD,26,FALSE)</f>
        <v>0</v>
      </c>
      <c r="AC262" s="127">
        <f>VLOOKUP(C262,'Talente &amp; Stuff'!C:AD,27,FALSE)</f>
        <v>0</v>
      </c>
      <c r="AD262" s="125">
        <f>VLOOKUP(C262,'Talente &amp; Stuff'!C:AD,28,FALSE)</f>
        <v>0</v>
      </c>
      <c r="AE262" s="28"/>
    </row>
    <row r="263" spans="2:31" s="148" customFormat="1" hidden="1" outlineLevel="2">
      <c r="B263" s="148">
        <v>3</v>
      </c>
      <c r="C263" s="163" t="s">
        <v>281</v>
      </c>
      <c r="D263" s="125" t="str">
        <f>VLOOKUP(C263,'Talente &amp; Stuff'!C:AD,2,FALSE)</f>
        <v>--/--/--</v>
      </c>
      <c r="E263" s="127" t="str">
        <f>VLOOKUP(C263,'Talente &amp; Stuff'!C:AD,3,FALSE)</f>
        <v>-</v>
      </c>
      <c r="F263" s="114">
        <f>VLOOKUP(C263,'Talente &amp; Stuff'!C:AD,4,FALSE)</f>
        <v>0</v>
      </c>
      <c r="G263" s="113">
        <f>VLOOKUP(C263,'Talente &amp; Stuff'!C:AD,5,FALSE)</f>
        <v>0</v>
      </c>
      <c r="H263" s="113">
        <f>VLOOKUP(C263,'Talente &amp; Stuff'!C:AD,6,FALSE)</f>
        <v>0</v>
      </c>
      <c r="I263" s="113">
        <f>VLOOKUP(C263,'Talente &amp; Stuff'!C:AD,7,FALSE)</f>
        <v>0</v>
      </c>
      <c r="J263" s="113">
        <f>VLOOKUP(C263,'Talente &amp; Stuff'!C:AD,8,FALSE)</f>
        <v>0</v>
      </c>
      <c r="K263" s="113">
        <f>VLOOKUP(C263,'Talente &amp; Stuff'!C:AD,9,FALSE)</f>
        <v>0</v>
      </c>
      <c r="L263" s="113">
        <f>VLOOKUP(C263,'Talente &amp; Stuff'!C:AD,10,FALSE)</f>
        <v>0</v>
      </c>
      <c r="M263" s="119">
        <f>VLOOKUP(C263,'Talente &amp; Stuff'!C:AD,11,FALSE)</f>
        <v>0</v>
      </c>
      <c r="N263" s="47">
        <f>VLOOKUP(C263,'Talente &amp; Stuff'!C:AD,12,FALSE)</f>
        <v>0</v>
      </c>
      <c r="O263" s="47">
        <f>VLOOKUP(C263,'Talente &amp; Stuff'!C:AD,13,FALSE)</f>
        <v>0</v>
      </c>
      <c r="P263" s="119">
        <f>VLOOKUP(C263,'Talente &amp; Stuff'!C:AD,14,FALSE)</f>
        <v>0</v>
      </c>
      <c r="Q263" s="114">
        <f>VLOOKUP(C263,'Talente &amp; Stuff'!C:AD,15,FALSE)</f>
        <v>0</v>
      </c>
      <c r="R263" s="113">
        <f>VLOOKUP(C263,'Talente &amp; Stuff'!C:AD,16,FALSE)</f>
        <v>0</v>
      </c>
      <c r="S263" s="119">
        <f>VLOOKUP(C263,'Talente &amp; Stuff'!C:AD,17,FALSE)</f>
        <v>0</v>
      </c>
      <c r="T263" s="119">
        <f>VLOOKUP(C263,'Talente &amp; Stuff'!C:AD,18,FALSE)</f>
        <v>0</v>
      </c>
      <c r="U263" s="89">
        <f>VLOOKUP(C263,'Talente &amp; Stuff'!C:AD,19,FALSE)</f>
        <v>0</v>
      </c>
      <c r="V263" s="47">
        <f>VLOOKUP(C263,'Talente &amp; Stuff'!C:AD,20,FALSE)</f>
        <v>0</v>
      </c>
      <c r="W263" s="127">
        <f>VLOOKUP(C263,'Talente &amp; Stuff'!C:AD,21,FALSE)</f>
        <v>0</v>
      </c>
      <c r="X263" s="127">
        <f>VLOOKUP(C263,'Talente &amp; Stuff'!C:AD,22,FALSE)</f>
        <v>0</v>
      </c>
      <c r="Y263" s="165">
        <f t="shared" si="22"/>
        <v>0</v>
      </c>
      <c r="Z263" s="198">
        <f t="shared" si="23"/>
        <v>0</v>
      </c>
      <c r="AA263" s="125">
        <f>VLOOKUP(C263,'Talente &amp; Stuff'!C:AD,25,FALSE)</f>
        <v>0</v>
      </c>
      <c r="AB263" s="160">
        <f>VLOOKUP(C263,'Talente &amp; Stuff'!C:AD,26,FALSE)</f>
        <v>0</v>
      </c>
      <c r="AC263" s="127">
        <f>VLOOKUP(C263,'Talente &amp; Stuff'!C:AD,27,FALSE)</f>
        <v>0</v>
      </c>
      <c r="AD263" s="125">
        <f>VLOOKUP(C263,'Talente &amp; Stuff'!C:AD,28,FALSE)</f>
        <v>0</v>
      </c>
      <c r="AE263" s="28"/>
    </row>
    <row r="264" spans="2:31" s="148" customFormat="1" hidden="1" outlineLevel="2">
      <c r="B264" s="148">
        <v>4</v>
      </c>
      <c r="C264" s="163" t="s">
        <v>281</v>
      </c>
      <c r="D264" s="86" t="str">
        <f>VLOOKUP(C264,'Talente &amp; Stuff'!C:AD,2,FALSE)</f>
        <v>--/--/--</v>
      </c>
      <c r="E264" s="167" t="str">
        <f>VLOOKUP(C264,'Talente &amp; Stuff'!C:AD,3,FALSE)</f>
        <v>-</v>
      </c>
      <c r="F264" s="120">
        <f>VLOOKUP(C264,'Talente &amp; Stuff'!C:AD,4,FALSE)</f>
        <v>0</v>
      </c>
      <c r="G264" s="117">
        <f>VLOOKUP(C264,'Talente &amp; Stuff'!C:AD,5,FALSE)</f>
        <v>0</v>
      </c>
      <c r="H264" s="117">
        <f>VLOOKUP(C264,'Talente &amp; Stuff'!C:AD,6,FALSE)</f>
        <v>0</v>
      </c>
      <c r="I264" s="117">
        <f>VLOOKUP(C264,'Talente &amp; Stuff'!C:AD,7,FALSE)</f>
        <v>0</v>
      </c>
      <c r="J264" s="117">
        <f>VLOOKUP(C264,'Talente &amp; Stuff'!C:AD,8,FALSE)</f>
        <v>0</v>
      </c>
      <c r="K264" s="117">
        <f>VLOOKUP(C264,'Talente &amp; Stuff'!C:AD,9,FALSE)</f>
        <v>0</v>
      </c>
      <c r="L264" s="117">
        <f>VLOOKUP(C264,'Talente &amp; Stuff'!C:AD,10,FALSE)</f>
        <v>0</v>
      </c>
      <c r="M264" s="121">
        <f>VLOOKUP(C264,'Talente &amp; Stuff'!C:AD,11,FALSE)</f>
        <v>0</v>
      </c>
      <c r="N264" s="47">
        <f>VLOOKUP(C264,'Talente &amp; Stuff'!C:AD,12,FALSE)</f>
        <v>0</v>
      </c>
      <c r="O264" s="3">
        <f>VLOOKUP(C264,'Talente &amp; Stuff'!C:AD,13,FALSE)</f>
        <v>0</v>
      </c>
      <c r="P264" s="174">
        <f>VLOOKUP(C264,'Talente &amp; Stuff'!C:AD,14,FALSE)</f>
        <v>0</v>
      </c>
      <c r="Q264" s="114">
        <f>VLOOKUP(C264,'Talente &amp; Stuff'!C:AD,15,FALSE)</f>
        <v>0</v>
      </c>
      <c r="R264" s="117">
        <f>VLOOKUP(C264,'Talente &amp; Stuff'!C:AD,16,FALSE)</f>
        <v>0</v>
      </c>
      <c r="S264" s="119">
        <f>VLOOKUP(C264,'Talente &amp; Stuff'!C:AD,17,FALSE)</f>
        <v>0</v>
      </c>
      <c r="T264" s="119">
        <f>VLOOKUP(C264,'Talente &amp; Stuff'!C:AD,18,FALSE)</f>
        <v>0</v>
      </c>
      <c r="U264" s="89">
        <f>VLOOKUP(C264,'Talente &amp; Stuff'!C:AD,19,FALSE)</f>
        <v>0</v>
      </c>
      <c r="V264" s="47">
        <f>VLOOKUP(C264,'Talente &amp; Stuff'!C:AD,20,FALSE)</f>
        <v>0</v>
      </c>
      <c r="W264" s="127">
        <f>VLOOKUP(C264,'Talente &amp; Stuff'!C:AD,21,FALSE)</f>
        <v>0</v>
      </c>
      <c r="X264" s="127">
        <f>VLOOKUP(C264,'Talente &amp; Stuff'!C:AD,22,FALSE)</f>
        <v>0</v>
      </c>
      <c r="Y264" s="165">
        <f t="shared" si="22"/>
        <v>0</v>
      </c>
      <c r="Z264" s="198">
        <f t="shared" si="23"/>
        <v>0</v>
      </c>
      <c r="AA264" s="125">
        <f>VLOOKUP(C264,'Talente &amp; Stuff'!C:AD,25,FALSE)</f>
        <v>0</v>
      </c>
      <c r="AB264" s="160">
        <f>VLOOKUP(C264,'Talente &amp; Stuff'!C:AD,26,FALSE)</f>
        <v>0</v>
      </c>
      <c r="AC264" s="127">
        <f>VLOOKUP(C264,'Talente &amp; Stuff'!C:AD,27,FALSE)</f>
        <v>0</v>
      </c>
      <c r="AD264" s="125">
        <f>VLOOKUP(C264,'Talente &amp; Stuff'!C:AD,28,FALSE)</f>
        <v>0</v>
      </c>
      <c r="AE264" s="28"/>
    </row>
    <row r="265" spans="2:31" s="148" customFormat="1" hidden="1" outlineLevel="2">
      <c r="B265" s="148">
        <v>5</v>
      </c>
      <c r="C265" s="163" t="s">
        <v>281</v>
      </c>
      <c r="D265" s="86" t="str">
        <f>VLOOKUP(C265,'Talente &amp; Stuff'!C:AD,2,FALSE)</f>
        <v>--/--/--</v>
      </c>
      <c r="E265" s="167" t="str">
        <f>VLOOKUP(C265,'Talente &amp; Stuff'!C:AD,3,FALSE)</f>
        <v>-</v>
      </c>
      <c r="F265" s="120">
        <f>VLOOKUP(C265,'Talente &amp; Stuff'!C:AD,4,FALSE)</f>
        <v>0</v>
      </c>
      <c r="G265" s="117">
        <f>VLOOKUP(C265,'Talente &amp; Stuff'!C:AD,5,FALSE)</f>
        <v>0</v>
      </c>
      <c r="H265" s="117">
        <f>VLOOKUP(C265,'Talente &amp; Stuff'!C:AD,6,FALSE)</f>
        <v>0</v>
      </c>
      <c r="I265" s="117">
        <f>VLOOKUP(C265,'Talente &amp; Stuff'!C:AD,7,FALSE)</f>
        <v>0</v>
      </c>
      <c r="J265" s="117">
        <f>VLOOKUP(C265,'Talente &amp; Stuff'!C:AD,8,FALSE)</f>
        <v>0</v>
      </c>
      <c r="K265" s="117">
        <f>VLOOKUP(C265,'Talente &amp; Stuff'!C:AD,9,FALSE)</f>
        <v>0</v>
      </c>
      <c r="L265" s="117">
        <f>VLOOKUP(C265,'Talente &amp; Stuff'!C:AD,10,FALSE)</f>
        <v>0</v>
      </c>
      <c r="M265" s="121">
        <f>VLOOKUP(C265,'Talente &amp; Stuff'!C:AD,11,FALSE)</f>
        <v>0</v>
      </c>
      <c r="N265" s="47">
        <f>VLOOKUP(C265,'Talente &amp; Stuff'!C:AD,12,FALSE)</f>
        <v>0</v>
      </c>
      <c r="O265" s="3">
        <f>VLOOKUP(C265,'Talente &amp; Stuff'!C:AD,13,FALSE)</f>
        <v>0</v>
      </c>
      <c r="P265" s="174">
        <f>VLOOKUP(C265,'Talente &amp; Stuff'!C:AD,14,FALSE)</f>
        <v>0</v>
      </c>
      <c r="Q265" s="114">
        <f>VLOOKUP(C265,'Talente &amp; Stuff'!C:AD,15,FALSE)</f>
        <v>0</v>
      </c>
      <c r="R265" s="117">
        <f>VLOOKUP(C265,'Talente &amp; Stuff'!C:AD,16,FALSE)</f>
        <v>0</v>
      </c>
      <c r="S265" s="119">
        <f>VLOOKUP(C265,'Talente &amp; Stuff'!C:AD,17,FALSE)</f>
        <v>0</v>
      </c>
      <c r="T265" s="119">
        <f>VLOOKUP(C265,'Talente &amp; Stuff'!C:AD,18,FALSE)</f>
        <v>0</v>
      </c>
      <c r="U265" s="89">
        <f>VLOOKUP(C265,'Talente &amp; Stuff'!C:AD,19,FALSE)</f>
        <v>0</v>
      </c>
      <c r="V265" s="47">
        <f>VLOOKUP(C265,'Talente &amp; Stuff'!C:AD,20,FALSE)</f>
        <v>0</v>
      </c>
      <c r="W265" s="127">
        <f>VLOOKUP(C265,'Talente &amp; Stuff'!C:AD,21,FALSE)</f>
        <v>0</v>
      </c>
      <c r="X265" s="127">
        <f>VLOOKUP(C265,'Talente &amp; Stuff'!C:AD,22,FALSE)</f>
        <v>0</v>
      </c>
      <c r="Y265" s="165">
        <f t="shared" si="22"/>
        <v>0</v>
      </c>
      <c r="Z265" s="198">
        <f t="shared" si="23"/>
        <v>0</v>
      </c>
      <c r="AA265" s="125">
        <f>VLOOKUP(C265,'Talente &amp; Stuff'!C:AD,25,FALSE)</f>
        <v>0</v>
      </c>
      <c r="AB265" s="160">
        <f>VLOOKUP(C265,'Talente &amp; Stuff'!C:AD,26,FALSE)</f>
        <v>0</v>
      </c>
      <c r="AC265" s="127">
        <f>VLOOKUP(C265,'Talente &amp; Stuff'!C:AD,27,FALSE)</f>
        <v>0</v>
      </c>
      <c r="AD265" s="125">
        <f>VLOOKUP(C265,'Talente &amp; Stuff'!C:AD,28,FALSE)</f>
        <v>0</v>
      </c>
      <c r="AE265" s="28"/>
    </row>
    <row r="266" spans="2:31" s="148" customFormat="1" hidden="1" outlineLevel="2">
      <c r="B266" s="148">
        <v>6</v>
      </c>
      <c r="C266" s="163" t="s">
        <v>281</v>
      </c>
      <c r="D266" s="125" t="str">
        <f>VLOOKUP(C266,'Talente &amp; Stuff'!C:AD,2,FALSE)</f>
        <v>--/--/--</v>
      </c>
      <c r="E266" s="127" t="str">
        <f>VLOOKUP(C266,'Talente &amp; Stuff'!C:AD,3,FALSE)</f>
        <v>-</v>
      </c>
      <c r="F266" s="114">
        <f>VLOOKUP(C266,'Talente &amp; Stuff'!C:AD,4,FALSE)</f>
        <v>0</v>
      </c>
      <c r="G266" s="113">
        <f>VLOOKUP(C266,'Talente &amp; Stuff'!C:AD,5,FALSE)</f>
        <v>0</v>
      </c>
      <c r="H266" s="113">
        <f>VLOOKUP(C266,'Talente &amp; Stuff'!C:AD,6,FALSE)</f>
        <v>0</v>
      </c>
      <c r="I266" s="113">
        <f>VLOOKUP(C266,'Talente &amp; Stuff'!C:AD,7,FALSE)</f>
        <v>0</v>
      </c>
      <c r="J266" s="113">
        <f>VLOOKUP(C266,'Talente &amp; Stuff'!C:AD,8,FALSE)</f>
        <v>0</v>
      </c>
      <c r="K266" s="113">
        <f>VLOOKUP(C266,'Talente &amp; Stuff'!C:AD,9,FALSE)</f>
        <v>0</v>
      </c>
      <c r="L266" s="113">
        <f>VLOOKUP(C266,'Talente &amp; Stuff'!C:AD,10,FALSE)</f>
        <v>0</v>
      </c>
      <c r="M266" s="119">
        <f>VLOOKUP(C266,'Talente &amp; Stuff'!C:AD,11,FALSE)</f>
        <v>0</v>
      </c>
      <c r="N266" s="47">
        <f>VLOOKUP(C266,'Talente &amp; Stuff'!C:AD,12,FALSE)</f>
        <v>0</v>
      </c>
      <c r="O266" s="47">
        <f>VLOOKUP(C266,'Talente &amp; Stuff'!C:AD,13,FALSE)</f>
        <v>0</v>
      </c>
      <c r="P266" s="119">
        <f>VLOOKUP(C266,'Talente &amp; Stuff'!C:AD,14,FALSE)</f>
        <v>0</v>
      </c>
      <c r="Q266" s="114">
        <f>VLOOKUP(C266,'Talente &amp; Stuff'!C:AD,15,FALSE)</f>
        <v>0</v>
      </c>
      <c r="R266" s="113">
        <f>VLOOKUP(C266,'Talente &amp; Stuff'!C:AD,16,FALSE)</f>
        <v>0</v>
      </c>
      <c r="S266" s="119">
        <f>VLOOKUP(C266,'Talente &amp; Stuff'!C:AD,17,FALSE)</f>
        <v>0</v>
      </c>
      <c r="T266" s="119">
        <f>VLOOKUP(C266,'Talente &amp; Stuff'!C:AD,18,FALSE)</f>
        <v>0</v>
      </c>
      <c r="U266" s="89">
        <f>VLOOKUP(C266,'Talente &amp; Stuff'!C:AD,19,FALSE)</f>
        <v>0</v>
      </c>
      <c r="V266" s="47">
        <f>VLOOKUP(C266,'Talente &amp; Stuff'!C:AD,20,FALSE)</f>
        <v>0</v>
      </c>
      <c r="W266" s="127">
        <f>VLOOKUP(C266,'Talente &amp; Stuff'!C:AD,21,FALSE)</f>
        <v>0</v>
      </c>
      <c r="X266" s="127">
        <f>VLOOKUP(C266,'Talente &amp; Stuff'!C:AD,22,FALSE)</f>
        <v>0</v>
      </c>
      <c r="Y266" s="165">
        <f t="shared" si="22"/>
        <v>0</v>
      </c>
      <c r="Z266" s="198">
        <f t="shared" si="23"/>
        <v>0</v>
      </c>
      <c r="AA266" s="125">
        <f>VLOOKUP(C266,'Talente &amp; Stuff'!C:AD,25,FALSE)</f>
        <v>0</v>
      </c>
      <c r="AB266" s="160">
        <f>VLOOKUP(C266,'Talente &amp; Stuff'!C:AD,26,FALSE)</f>
        <v>0</v>
      </c>
      <c r="AC266" s="127">
        <f>VLOOKUP(C266,'Talente &amp; Stuff'!C:AD,27,FALSE)</f>
        <v>0</v>
      </c>
      <c r="AD266" s="125">
        <f>VLOOKUP(C266,'Talente &amp; Stuff'!C:AD,28,FALSE)</f>
        <v>0</v>
      </c>
      <c r="AE266" s="28"/>
    </row>
    <row r="267" spans="2:31" s="148" customFormat="1" hidden="1" outlineLevel="2">
      <c r="B267" s="148">
        <v>7</v>
      </c>
      <c r="C267" s="163" t="s">
        <v>281</v>
      </c>
      <c r="D267" s="125" t="str">
        <f>VLOOKUP(C267,'Talente &amp; Stuff'!C:AD,2,FALSE)</f>
        <v>--/--/--</v>
      </c>
      <c r="E267" s="127" t="str">
        <f>VLOOKUP(C267,'Talente &amp; Stuff'!C:AD,3,FALSE)</f>
        <v>-</v>
      </c>
      <c r="F267" s="114">
        <f>VLOOKUP(C267,'Talente &amp; Stuff'!C:AD,4,FALSE)</f>
        <v>0</v>
      </c>
      <c r="G267" s="113">
        <f>VLOOKUP(C267,'Talente &amp; Stuff'!C:AD,5,FALSE)</f>
        <v>0</v>
      </c>
      <c r="H267" s="113">
        <f>VLOOKUP(C267,'Talente &amp; Stuff'!C:AD,6,FALSE)</f>
        <v>0</v>
      </c>
      <c r="I267" s="113">
        <f>VLOOKUP(C267,'Talente &amp; Stuff'!C:AD,7,FALSE)</f>
        <v>0</v>
      </c>
      <c r="J267" s="113">
        <f>VLOOKUP(C267,'Talente &amp; Stuff'!C:AD,8,FALSE)</f>
        <v>0</v>
      </c>
      <c r="K267" s="113">
        <f>VLOOKUP(C267,'Talente &amp; Stuff'!C:AD,9,FALSE)</f>
        <v>0</v>
      </c>
      <c r="L267" s="113">
        <f>VLOOKUP(C267,'Talente &amp; Stuff'!C:AD,10,FALSE)</f>
        <v>0</v>
      </c>
      <c r="M267" s="119">
        <f>VLOOKUP(C267,'Talente &amp; Stuff'!C:AD,11,FALSE)</f>
        <v>0</v>
      </c>
      <c r="N267" s="47">
        <f>VLOOKUP(C267,'Talente &amp; Stuff'!C:AD,12,FALSE)</f>
        <v>0</v>
      </c>
      <c r="O267" s="47">
        <f>VLOOKUP(C267,'Talente &amp; Stuff'!C:AD,13,FALSE)</f>
        <v>0</v>
      </c>
      <c r="P267" s="119">
        <f>VLOOKUP(C267,'Talente &amp; Stuff'!C:AD,14,FALSE)</f>
        <v>0</v>
      </c>
      <c r="Q267" s="114">
        <f>VLOOKUP(C267,'Talente &amp; Stuff'!C:AD,15,FALSE)</f>
        <v>0</v>
      </c>
      <c r="R267" s="113">
        <f>VLOOKUP(C267,'Talente &amp; Stuff'!C:AD,16,FALSE)</f>
        <v>0</v>
      </c>
      <c r="S267" s="119">
        <f>VLOOKUP(C267,'Talente &amp; Stuff'!C:AD,17,FALSE)</f>
        <v>0</v>
      </c>
      <c r="T267" s="119">
        <f>VLOOKUP(C267,'Talente &amp; Stuff'!C:AD,18,FALSE)</f>
        <v>0</v>
      </c>
      <c r="U267" s="89">
        <f>VLOOKUP(C267,'Talente &amp; Stuff'!C:AD,19,FALSE)</f>
        <v>0</v>
      </c>
      <c r="V267" s="47">
        <f>VLOOKUP(C267,'Talente &amp; Stuff'!C:AD,20,FALSE)</f>
        <v>0</v>
      </c>
      <c r="W267" s="127">
        <f>VLOOKUP(C267,'Talente &amp; Stuff'!C:AD,21,FALSE)</f>
        <v>0</v>
      </c>
      <c r="X267" s="127">
        <f>VLOOKUP(C267,'Talente &amp; Stuff'!C:AD,22,FALSE)</f>
        <v>0</v>
      </c>
      <c r="Y267" s="165">
        <f t="shared" si="22"/>
        <v>0</v>
      </c>
      <c r="Z267" s="198">
        <f t="shared" si="23"/>
        <v>0</v>
      </c>
      <c r="AA267" s="125">
        <f>VLOOKUP(C267,'Talente &amp; Stuff'!C:AD,25,FALSE)</f>
        <v>0</v>
      </c>
      <c r="AB267" s="160">
        <f>VLOOKUP(C267,'Talente &amp; Stuff'!C:AD,26,FALSE)</f>
        <v>0</v>
      </c>
      <c r="AC267" s="127">
        <f>VLOOKUP(C267,'Talente &amp; Stuff'!C:AD,27,FALSE)</f>
        <v>0</v>
      </c>
      <c r="AD267" s="125">
        <f>VLOOKUP(C267,'Talente &amp; Stuff'!C:AD,28,FALSE)</f>
        <v>0</v>
      </c>
      <c r="AE267" s="28"/>
    </row>
    <row r="268" spans="2:31" s="148" customFormat="1" hidden="1" outlineLevel="2">
      <c r="B268" s="148">
        <v>8</v>
      </c>
      <c r="C268" s="163" t="s">
        <v>281</v>
      </c>
      <c r="D268" s="125" t="str">
        <f>VLOOKUP(C268,'Talente &amp; Stuff'!C:AD,2,FALSE)</f>
        <v>--/--/--</v>
      </c>
      <c r="E268" s="127" t="str">
        <f>VLOOKUP(C268,'Talente &amp; Stuff'!C:AD,3,FALSE)</f>
        <v>-</v>
      </c>
      <c r="F268" s="114">
        <f>VLOOKUP(C268,'Talente &amp; Stuff'!C:AD,4,FALSE)</f>
        <v>0</v>
      </c>
      <c r="G268" s="113">
        <f>VLOOKUP(C268,'Talente &amp; Stuff'!C:AD,5,FALSE)</f>
        <v>0</v>
      </c>
      <c r="H268" s="113">
        <f>VLOOKUP(C268,'Talente &amp; Stuff'!C:AD,6,FALSE)</f>
        <v>0</v>
      </c>
      <c r="I268" s="113">
        <f>VLOOKUP(C268,'Talente &amp; Stuff'!C:AD,7,FALSE)</f>
        <v>0</v>
      </c>
      <c r="J268" s="113">
        <f>VLOOKUP(C268,'Talente &amp; Stuff'!C:AD,8,FALSE)</f>
        <v>0</v>
      </c>
      <c r="K268" s="113">
        <f>VLOOKUP(C268,'Talente &amp; Stuff'!C:AD,9,FALSE)</f>
        <v>0</v>
      </c>
      <c r="L268" s="113">
        <f>VLOOKUP(C268,'Talente &amp; Stuff'!C:AD,10,FALSE)</f>
        <v>0</v>
      </c>
      <c r="M268" s="119">
        <f>VLOOKUP(C268,'Talente &amp; Stuff'!C:AD,11,FALSE)</f>
        <v>0</v>
      </c>
      <c r="N268" s="47">
        <f>VLOOKUP(C268,'Talente &amp; Stuff'!C:AD,12,FALSE)</f>
        <v>0</v>
      </c>
      <c r="O268" s="47">
        <f>VLOOKUP(C268,'Talente &amp; Stuff'!C:AD,13,FALSE)</f>
        <v>0</v>
      </c>
      <c r="P268" s="119">
        <f>VLOOKUP(C268,'Talente &amp; Stuff'!C:AD,14,FALSE)</f>
        <v>0</v>
      </c>
      <c r="Q268" s="114">
        <f>VLOOKUP(C268,'Talente &amp; Stuff'!C:AD,15,FALSE)</f>
        <v>0</v>
      </c>
      <c r="R268" s="113">
        <f>VLOOKUP(C268,'Talente &amp; Stuff'!C:AD,16,FALSE)</f>
        <v>0</v>
      </c>
      <c r="S268" s="119">
        <f>VLOOKUP(C268,'Talente &amp; Stuff'!C:AD,17,FALSE)</f>
        <v>0</v>
      </c>
      <c r="T268" s="119">
        <f>VLOOKUP(C268,'Talente &amp; Stuff'!C:AD,18,FALSE)</f>
        <v>0</v>
      </c>
      <c r="U268" s="89">
        <f>VLOOKUP(C268,'Talente &amp; Stuff'!C:AD,19,FALSE)</f>
        <v>0</v>
      </c>
      <c r="V268" s="47">
        <f>VLOOKUP(C268,'Talente &amp; Stuff'!C:AD,20,FALSE)</f>
        <v>0</v>
      </c>
      <c r="W268" s="127">
        <f>VLOOKUP(C268,'Talente &amp; Stuff'!C:AD,21,FALSE)</f>
        <v>0</v>
      </c>
      <c r="X268" s="127">
        <f>VLOOKUP(C268,'Talente &amp; Stuff'!C:AD,22,FALSE)</f>
        <v>0</v>
      </c>
      <c r="Y268" s="165">
        <f t="shared" si="22"/>
        <v>0</v>
      </c>
      <c r="Z268" s="198">
        <f t="shared" si="23"/>
        <v>0</v>
      </c>
      <c r="AA268" s="125">
        <f>VLOOKUP(C268,'Talente &amp; Stuff'!C:AD,25,FALSE)</f>
        <v>0</v>
      </c>
      <c r="AB268" s="160">
        <f>VLOOKUP(C268,'Talente &amp; Stuff'!C:AD,26,FALSE)</f>
        <v>0</v>
      </c>
      <c r="AC268" s="127">
        <f>VLOOKUP(C268,'Talente &amp; Stuff'!C:AD,27,FALSE)</f>
        <v>0</v>
      </c>
      <c r="AD268" s="125">
        <f>VLOOKUP(C268,'Talente &amp; Stuff'!C:AD,28,FALSE)</f>
        <v>0</v>
      </c>
      <c r="AE268" s="28"/>
    </row>
    <row r="269" spans="2:31" s="148" customFormat="1" hidden="1" outlineLevel="2">
      <c r="B269" s="148">
        <v>9</v>
      </c>
      <c r="C269" s="163" t="s">
        <v>281</v>
      </c>
      <c r="D269" s="125" t="str">
        <f>VLOOKUP(C269,'Talente &amp; Stuff'!C:AD,2,FALSE)</f>
        <v>--/--/--</v>
      </c>
      <c r="E269" s="127" t="str">
        <f>VLOOKUP(C269,'Talente &amp; Stuff'!C:AD,3,FALSE)</f>
        <v>-</v>
      </c>
      <c r="F269" s="114">
        <f>VLOOKUP(C269,'Talente &amp; Stuff'!C:AD,4,FALSE)</f>
        <v>0</v>
      </c>
      <c r="G269" s="113">
        <f>VLOOKUP(C269,'Talente &amp; Stuff'!C:AD,5,FALSE)</f>
        <v>0</v>
      </c>
      <c r="H269" s="113">
        <f>VLOOKUP(C269,'Talente &amp; Stuff'!C:AD,6,FALSE)</f>
        <v>0</v>
      </c>
      <c r="I269" s="113">
        <f>VLOOKUP(C269,'Talente &amp; Stuff'!C:AD,7,FALSE)</f>
        <v>0</v>
      </c>
      <c r="J269" s="113">
        <f>VLOOKUP(C269,'Talente &amp; Stuff'!C:AD,8,FALSE)</f>
        <v>0</v>
      </c>
      <c r="K269" s="113">
        <f>VLOOKUP(C269,'Talente &amp; Stuff'!C:AD,9,FALSE)</f>
        <v>0</v>
      </c>
      <c r="L269" s="113">
        <f>VLOOKUP(C269,'Talente &amp; Stuff'!C:AD,10,FALSE)</f>
        <v>0</v>
      </c>
      <c r="M269" s="119">
        <f>VLOOKUP(C269,'Talente &amp; Stuff'!C:AD,11,FALSE)</f>
        <v>0</v>
      </c>
      <c r="N269" s="47">
        <f>VLOOKUP(C269,'Talente &amp; Stuff'!C:AD,12,FALSE)</f>
        <v>0</v>
      </c>
      <c r="O269" s="47">
        <f>VLOOKUP(C269,'Talente &amp; Stuff'!C:AD,13,FALSE)</f>
        <v>0</v>
      </c>
      <c r="P269" s="119">
        <f>VLOOKUP(C269,'Talente &amp; Stuff'!C:AD,14,FALSE)</f>
        <v>0</v>
      </c>
      <c r="Q269" s="114">
        <f>VLOOKUP(C269,'Talente &amp; Stuff'!C:AD,15,FALSE)</f>
        <v>0</v>
      </c>
      <c r="R269" s="113">
        <f>VLOOKUP(C269,'Talente &amp; Stuff'!C:AD,16,FALSE)</f>
        <v>0</v>
      </c>
      <c r="S269" s="119">
        <f>VLOOKUP(C269,'Talente &amp; Stuff'!C:AD,17,FALSE)</f>
        <v>0</v>
      </c>
      <c r="T269" s="119">
        <f>VLOOKUP(C269,'Talente &amp; Stuff'!C:AD,18,FALSE)</f>
        <v>0</v>
      </c>
      <c r="U269" s="89">
        <f>VLOOKUP(C269,'Talente &amp; Stuff'!C:AD,19,FALSE)</f>
        <v>0</v>
      </c>
      <c r="V269" s="47">
        <f>VLOOKUP(C269,'Talente &amp; Stuff'!C:AD,20,FALSE)</f>
        <v>0</v>
      </c>
      <c r="W269" s="127">
        <f>VLOOKUP(C269,'Talente &amp; Stuff'!C:AD,21,FALSE)</f>
        <v>0</v>
      </c>
      <c r="X269" s="127">
        <f>VLOOKUP(C269,'Talente &amp; Stuff'!C:AD,22,FALSE)</f>
        <v>0</v>
      </c>
      <c r="Y269" s="165">
        <f t="shared" si="22"/>
        <v>0</v>
      </c>
      <c r="Z269" s="198">
        <f t="shared" si="23"/>
        <v>0</v>
      </c>
      <c r="AA269" s="125">
        <f>VLOOKUP(C269,'Talente &amp; Stuff'!C:AD,25,FALSE)</f>
        <v>0</v>
      </c>
      <c r="AB269" s="160">
        <f>VLOOKUP(C269,'Talente &amp; Stuff'!C:AD,26,FALSE)</f>
        <v>0</v>
      </c>
      <c r="AC269" s="127">
        <f>VLOOKUP(C269,'Talente &amp; Stuff'!C:AD,27,FALSE)</f>
        <v>0</v>
      </c>
      <c r="AD269" s="125">
        <f>VLOOKUP(C269,'Talente &amp; Stuff'!C:AD,28,FALSE)</f>
        <v>0</v>
      </c>
      <c r="AE269" s="28"/>
    </row>
    <row r="270" spans="2:31" s="148" customFormat="1" hidden="1" outlineLevel="2">
      <c r="B270" s="148">
        <v>10</v>
      </c>
      <c r="C270" s="163" t="s">
        <v>281</v>
      </c>
      <c r="D270" s="86" t="str">
        <f>VLOOKUP(C270,'Talente &amp; Stuff'!C:AD,2,FALSE)</f>
        <v>--/--/--</v>
      </c>
      <c r="E270" s="167" t="str">
        <f>VLOOKUP(C270,'Talente &amp; Stuff'!C:AD,3,FALSE)</f>
        <v>-</v>
      </c>
      <c r="F270" s="120">
        <f>VLOOKUP(C270,'Talente &amp; Stuff'!C:AD,4,FALSE)</f>
        <v>0</v>
      </c>
      <c r="G270" s="117">
        <f>VLOOKUP(C270,'Talente &amp; Stuff'!C:AD,5,FALSE)</f>
        <v>0</v>
      </c>
      <c r="H270" s="117">
        <f>VLOOKUP(C270,'Talente &amp; Stuff'!C:AD,6,FALSE)</f>
        <v>0</v>
      </c>
      <c r="I270" s="117">
        <f>VLOOKUP(C270,'Talente &amp; Stuff'!C:AD,7,FALSE)</f>
        <v>0</v>
      </c>
      <c r="J270" s="117">
        <f>VLOOKUP(C270,'Talente &amp; Stuff'!C:AD,8,FALSE)</f>
        <v>0</v>
      </c>
      <c r="K270" s="117">
        <f>VLOOKUP(C270,'Talente &amp; Stuff'!C:AD,9,FALSE)</f>
        <v>0</v>
      </c>
      <c r="L270" s="117">
        <f>VLOOKUP(C270,'Talente &amp; Stuff'!C:AD,10,FALSE)</f>
        <v>0</v>
      </c>
      <c r="M270" s="121">
        <f>VLOOKUP(C270,'Talente &amp; Stuff'!C:AD,11,FALSE)</f>
        <v>0</v>
      </c>
      <c r="N270" s="47">
        <f>VLOOKUP(C270,'Talente &amp; Stuff'!C:AD,12,FALSE)</f>
        <v>0</v>
      </c>
      <c r="O270" s="3">
        <f>VLOOKUP(C270,'Talente &amp; Stuff'!C:AD,13,FALSE)</f>
        <v>0</v>
      </c>
      <c r="P270" s="174">
        <f>VLOOKUP(C270,'Talente &amp; Stuff'!C:AD,14,FALSE)</f>
        <v>0</v>
      </c>
      <c r="Q270" s="114">
        <f>VLOOKUP(C270,'Talente &amp; Stuff'!C:AD,15,FALSE)</f>
        <v>0</v>
      </c>
      <c r="R270" s="117">
        <f>VLOOKUP(C270,'Talente &amp; Stuff'!C:AD,16,FALSE)</f>
        <v>0</v>
      </c>
      <c r="S270" s="119">
        <f>VLOOKUP(C270,'Talente &amp; Stuff'!C:AD,17,FALSE)</f>
        <v>0</v>
      </c>
      <c r="T270" s="119">
        <f>VLOOKUP(C270,'Talente &amp; Stuff'!C:AD,18,FALSE)</f>
        <v>0</v>
      </c>
      <c r="U270" s="89">
        <f>VLOOKUP(C270,'Talente &amp; Stuff'!C:AD,19,FALSE)</f>
        <v>0</v>
      </c>
      <c r="V270" s="47">
        <f>VLOOKUP(C270,'Talente &amp; Stuff'!C:AD,20,FALSE)</f>
        <v>0</v>
      </c>
      <c r="W270" s="127">
        <f>VLOOKUP(C270,'Talente &amp; Stuff'!C:AD,21,FALSE)</f>
        <v>0</v>
      </c>
      <c r="X270" s="127">
        <f>VLOOKUP(C270,'Talente &amp; Stuff'!C:AD,22,FALSE)</f>
        <v>0</v>
      </c>
      <c r="Y270" s="165">
        <f t="shared" si="22"/>
        <v>0</v>
      </c>
      <c r="Z270" s="198">
        <f t="shared" si="23"/>
        <v>0</v>
      </c>
      <c r="AA270" s="125">
        <f>VLOOKUP(C270,'Talente &amp; Stuff'!C:AD,25,FALSE)</f>
        <v>0</v>
      </c>
      <c r="AB270" s="160">
        <f>VLOOKUP(C270,'Talente &amp; Stuff'!C:AD,26,FALSE)</f>
        <v>0</v>
      </c>
      <c r="AC270" s="127">
        <f>VLOOKUP(C270,'Talente &amp; Stuff'!C:AD,27,FALSE)</f>
        <v>0</v>
      </c>
      <c r="AD270" s="125">
        <f>VLOOKUP(C270,'Talente &amp; Stuff'!C:AD,28,FALSE)</f>
        <v>0</v>
      </c>
      <c r="AE270" s="28"/>
    </row>
    <row r="271" spans="2:31" s="148" customFormat="1" hidden="1" outlineLevel="2">
      <c r="B271" s="148">
        <v>11</v>
      </c>
      <c r="C271" s="163" t="s">
        <v>281</v>
      </c>
      <c r="D271" s="86" t="str">
        <f>VLOOKUP(C271,'Talente &amp; Stuff'!C:AD,2,FALSE)</f>
        <v>--/--/--</v>
      </c>
      <c r="E271" s="167" t="str">
        <f>VLOOKUP(C271,'Talente &amp; Stuff'!C:AD,3,FALSE)</f>
        <v>-</v>
      </c>
      <c r="F271" s="120">
        <f>VLOOKUP(C271,'Talente &amp; Stuff'!C:AD,4,FALSE)</f>
        <v>0</v>
      </c>
      <c r="G271" s="117">
        <f>VLOOKUP(C271,'Talente &amp; Stuff'!C:AD,5,FALSE)</f>
        <v>0</v>
      </c>
      <c r="H271" s="117">
        <f>VLOOKUP(C271,'Talente &amp; Stuff'!C:AD,6,FALSE)</f>
        <v>0</v>
      </c>
      <c r="I271" s="117">
        <f>VLOOKUP(C271,'Talente &amp; Stuff'!C:AD,7,FALSE)</f>
        <v>0</v>
      </c>
      <c r="J271" s="117">
        <f>VLOOKUP(C271,'Talente &amp; Stuff'!C:AD,8,FALSE)</f>
        <v>0</v>
      </c>
      <c r="K271" s="117">
        <f>VLOOKUP(C271,'Talente &amp; Stuff'!C:AD,9,FALSE)</f>
        <v>0</v>
      </c>
      <c r="L271" s="117">
        <f>VLOOKUP(C271,'Talente &amp; Stuff'!C:AD,10,FALSE)</f>
        <v>0</v>
      </c>
      <c r="M271" s="121">
        <f>VLOOKUP(C271,'Talente &amp; Stuff'!C:AD,11,FALSE)</f>
        <v>0</v>
      </c>
      <c r="N271" s="47">
        <f>VLOOKUP(C271,'Talente &amp; Stuff'!C:AD,12,FALSE)</f>
        <v>0</v>
      </c>
      <c r="O271" s="3">
        <f>VLOOKUP(C271,'Talente &amp; Stuff'!C:AD,13,FALSE)</f>
        <v>0</v>
      </c>
      <c r="P271" s="174">
        <f>VLOOKUP(C271,'Talente &amp; Stuff'!C:AD,14,FALSE)</f>
        <v>0</v>
      </c>
      <c r="Q271" s="114">
        <f>VLOOKUP(C271,'Talente &amp; Stuff'!C:AD,15,FALSE)</f>
        <v>0</v>
      </c>
      <c r="R271" s="117">
        <f>VLOOKUP(C271,'Talente &amp; Stuff'!C:AD,16,FALSE)</f>
        <v>0</v>
      </c>
      <c r="S271" s="119">
        <f>VLOOKUP(C271,'Talente &amp; Stuff'!C:AD,17,FALSE)</f>
        <v>0</v>
      </c>
      <c r="T271" s="119">
        <f>VLOOKUP(C271,'Talente &amp; Stuff'!C:AD,18,FALSE)</f>
        <v>0</v>
      </c>
      <c r="U271" s="89">
        <f>VLOOKUP(C271,'Talente &amp; Stuff'!C:AD,19,FALSE)</f>
        <v>0</v>
      </c>
      <c r="V271" s="47">
        <f>VLOOKUP(C271,'Talente &amp; Stuff'!C:AD,20,FALSE)</f>
        <v>0</v>
      </c>
      <c r="W271" s="127">
        <f>VLOOKUP(C271,'Talente &amp; Stuff'!C:AD,21,FALSE)</f>
        <v>0</v>
      </c>
      <c r="X271" s="127">
        <f>VLOOKUP(C271,'Talente &amp; Stuff'!C:AD,22,FALSE)</f>
        <v>0</v>
      </c>
      <c r="Y271" s="165">
        <f t="shared" si="22"/>
        <v>0</v>
      </c>
      <c r="Z271" s="198">
        <f t="shared" si="23"/>
        <v>0</v>
      </c>
      <c r="AA271" s="125">
        <f>VLOOKUP(C271,'Talente &amp; Stuff'!C:AD,25,FALSE)</f>
        <v>0</v>
      </c>
      <c r="AB271" s="160">
        <f>VLOOKUP(C271,'Talente &amp; Stuff'!C:AD,26,FALSE)</f>
        <v>0</v>
      </c>
      <c r="AC271" s="127">
        <f>VLOOKUP(C271,'Talente &amp; Stuff'!C:AD,27,FALSE)</f>
        <v>0</v>
      </c>
      <c r="AD271" s="125">
        <f>VLOOKUP(C271,'Talente &amp; Stuff'!C:AD,28,FALSE)</f>
        <v>0</v>
      </c>
      <c r="AE271" s="28"/>
    </row>
    <row r="272" spans="2:31" s="148" customFormat="1" hidden="1" outlineLevel="2">
      <c r="B272" s="148">
        <v>12</v>
      </c>
      <c r="C272" s="163" t="s">
        <v>281</v>
      </c>
      <c r="D272" s="86" t="str">
        <f>VLOOKUP(C272,'Talente &amp; Stuff'!C:AD,2,FALSE)</f>
        <v>--/--/--</v>
      </c>
      <c r="E272" s="167" t="str">
        <f>VLOOKUP(C272,'Talente &amp; Stuff'!C:AD,3,FALSE)</f>
        <v>-</v>
      </c>
      <c r="F272" s="120">
        <f>VLOOKUP(C272,'Talente &amp; Stuff'!C:AD,4,FALSE)</f>
        <v>0</v>
      </c>
      <c r="G272" s="117">
        <f>VLOOKUP(C272,'Talente &amp; Stuff'!C:AD,5,FALSE)</f>
        <v>0</v>
      </c>
      <c r="H272" s="117">
        <f>VLOOKUP(C272,'Talente &amp; Stuff'!C:AD,6,FALSE)</f>
        <v>0</v>
      </c>
      <c r="I272" s="117">
        <f>VLOOKUP(C272,'Talente &amp; Stuff'!C:AD,7,FALSE)</f>
        <v>0</v>
      </c>
      <c r="J272" s="117">
        <f>VLOOKUP(C272,'Talente &amp; Stuff'!C:AD,8,FALSE)</f>
        <v>0</v>
      </c>
      <c r="K272" s="117">
        <f>VLOOKUP(C272,'Talente &amp; Stuff'!C:AD,9,FALSE)</f>
        <v>0</v>
      </c>
      <c r="L272" s="117">
        <f>VLOOKUP(C272,'Talente &amp; Stuff'!C:AD,10,FALSE)</f>
        <v>0</v>
      </c>
      <c r="M272" s="121">
        <f>VLOOKUP(C272,'Talente &amp; Stuff'!C:AD,11,FALSE)</f>
        <v>0</v>
      </c>
      <c r="N272" s="47">
        <f>VLOOKUP(C272,'Talente &amp; Stuff'!C:AD,12,FALSE)</f>
        <v>0</v>
      </c>
      <c r="O272" s="3">
        <f>VLOOKUP(C272,'Talente &amp; Stuff'!C:AD,13,FALSE)</f>
        <v>0</v>
      </c>
      <c r="P272" s="174">
        <f>VLOOKUP(C272,'Talente &amp; Stuff'!C:AD,14,FALSE)</f>
        <v>0</v>
      </c>
      <c r="Q272" s="114">
        <f>VLOOKUP(C272,'Talente &amp; Stuff'!C:AD,15,FALSE)</f>
        <v>0</v>
      </c>
      <c r="R272" s="117">
        <f>VLOOKUP(C272,'Talente &amp; Stuff'!C:AD,16,FALSE)</f>
        <v>0</v>
      </c>
      <c r="S272" s="119">
        <f>VLOOKUP(C272,'Talente &amp; Stuff'!C:AD,17,FALSE)</f>
        <v>0</v>
      </c>
      <c r="T272" s="119">
        <f>VLOOKUP(C272,'Talente &amp; Stuff'!C:AD,18,FALSE)</f>
        <v>0</v>
      </c>
      <c r="U272" s="89">
        <f>VLOOKUP(C272,'Talente &amp; Stuff'!C:AD,19,FALSE)</f>
        <v>0</v>
      </c>
      <c r="V272" s="47">
        <f>VLOOKUP(C272,'Talente &amp; Stuff'!C:AD,20,FALSE)</f>
        <v>0</v>
      </c>
      <c r="W272" s="127">
        <f>VLOOKUP(C272,'Talente &amp; Stuff'!C:AD,21,FALSE)</f>
        <v>0</v>
      </c>
      <c r="X272" s="127">
        <f>VLOOKUP(C272,'Talente &amp; Stuff'!C:AD,22,FALSE)</f>
        <v>0</v>
      </c>
      <c r="Y272" s="165">
        <f t="shared" si="22"/>
        <v>0</v>
      </c>
      <c r="Z272" s="198">
        <f t="shared" si="23"/>
        <v>0</v>
      </c>
      <c r="AA272" s="125">
        <f>VLOOKUP(C272,'Talente &amp; Stuff'!C:AD,25,FALSE)</f>
        <v>0</v>
      </c>
      <c r="AB272" s="160">
        <f>VLOOKUP(C272,'Talente &amp; Stuff'!C:AD,26,FALSE)</f>
        <v>0</v>
      </c>
      <c r="AC272" s="127">
        <f>VLOOKUP(C272,'Talente &amp; Stuff'!C:AD,27,FALSE)</f>
        <v>0</v>
      </c>
      <c r="AD272" s="125">
        <f>VLOOKUP(C272,'Talente &amp; Stuff'!C:AD,28,FALSE)</f>
        <v>0</v>
      </c>
      <c r="AE272" s="28"/>
    </row>
    <row r="273" spans="2:31" s="148" customFormat="1" hidden="1" outlineLevel="2">
      <c r="B273" s="148">
        <v>13</v>
      </c>
      <c r="C273" s="163" t="s">
        <v>281</v>
      </c>
      <c r="D273" s="86" t="str">
        <f>VLOOKUP(C273,'Talente &amp; Stuff'!C:AD,2,FALSE)</f>
        <v>--/--/--</v>
      </c>
      <c r="E273" s="167" t="str">
        <f>VLOOKUP(C273,'Talente &amp; Stuff'!C:AD,3,FALSE)</f>
        <v>-</v>
      </c>
      <c r="F273" s="120">
        <f>VLOOKUP(C273,'Talente &amp; Stuff'!C:AD,4,FALSE)</f>
        <v>0</v>
      </c>
      <c r="G273" s="117">
        <f>VLOOKUP(C273,'Talente &amp; Stuff'!C:AD,5,FALSE)</f>
        <v>0</v>
      </c>
      <c r="H273" s="117">
        <f>VLOOKUP(C273,'Talente &amp; Stuff'!C:AD,6,FALSE)</f>
        <v>0</v>
      </c>
      <c r="I273" s="117">
        <f>VLOOKUP(C273,'Talente &amp; Stuff'!C:AD,7,FALSE)</f>
        <v>0</v>
      </c>
      <c r="J273" s="117">
        <f>VLOOKUP(C273,'Talente &amp; Stuff'!C:AD,8,FALSE)</f>
        <v>0</v>
      </c>
      <c r="K273" s="117">
        <f>VLOOKUP(C273,'Talente &amp; Stuff'!C:AD,9,FALSE)</f>
        <v>0</v>
      </c>
      <c r="L273" s="117">
        <f>VLOOKUP(C273,'Talente &amp; Stuff'!C:AD,10,FALSE)</f>
        <v>0</v>
      </c>
      <c r="M273" s="121">
        <f>VLOOKUP(C273,'Talente &amp; Stuff'!C:AD,11,FALSE)</f>
        <v>0</v>
      </c>
      <c r="N273" s="47">
        <f>VLOOKUP(C273,'Talente &amp; Stuff'!C:AD,12,FALSE)</f>
        <v>0</v>
      </c>
      <c r="O273" s="3">
        <f>VLOOKUP(C273,'Talente &amp; Stuff'!C:AD,13,FALSE)</f>
        <v>0</v>
      </c>
      <c r="P273" s="174">
        <f>VLOOKUP(C273,'Talente &amp; Stuff'!C:AD,14,FALSE)</f>
        <v>0</v>
      </c>
      <c r="Q273" s="114">
        <f>VLOOKUP(C273,'Talente &amp; Stuff'!C:AD,15,FALSE)</f>
        <v>0</v>
      </c>
      <c r="R273" s="117">
        <f>VLOOKUP(C273,'Talente &amp; Stuff'!C:AD,16,FALSE)</f>
        <v>0</v>
      </c>
      <c r="S273" s="119">
        <f>VLOOKUP(C273,'Talente &amp; Stuff'!C:AD,17,FALSE)</f>
        <v>0</v>
      </c>
      <c r="T273" s="119">
        <f>VLOOKUP(C273,'Talente &amp; Stuff'!C:AD,18,FALSE)</f>
        <v>0</v>
      </c>
      <c r="U273" s="89">
        <f>VLOOKUP(C273,'Talente &amp; Stuff'!C:AD,19,FALSE)</f>
        <v>0</v>
      </c>
      <c r="V273" s="47">
        <f>VLOOKUP(C273,'Talente &amp; Stuff'!C:AD,20,FALSE)</f>
        <v>0</v>
      </c>
      <c r="W273" s="127">
        <f>VLOOKUP(C273,'Talente &amp; Stuff'!C:AD,21,FALSE)</f>
        <v>0</v>
      </c>
      <c r="X273" s="127">
        <f>VLOOKUP(C273,'Talente &amp; Stuff'!C:AD,22,FALSE)</f>
        <v>0</v>
      </c>
      <c r="Y273" s="165">
        <f t="shared" si="22"/>
        <v>0</v>
      </c>
      <c r="Z273" s="198">
        <f t="shared" si="23"/>
        <v>0</v>
      </c>
      <c r="AA273" s="125">
        <f>VLOOKUP(C273,'Talente &amp; Stuff'!C:AD,25,FALSE)</f>
        <v>0</v>
      </c>
      <c r="AB273" s="160">
        <f>VLOOKUP(C273,'Talente &amp; Stuff'!C:AD,26,FALSE)</f>
        <v>0</v>
      </c>
      <c r="AC273" s="127">
        <f>VLOOKUP(C273,'Talente &amp; Stuff'!C:AD,27,FALSE)</f>
        <v>0</v>
      </c>
      <c r="AD273" s="125">
        <f>VLOOKUP(C273,'Talente &amp; Stuff'!C:AD,28,FALSE)</f>
        <v>0</v>
      </c>
      <c r="AE273" s="28"/>
    </row>
    <row r="274" spans="2:31" s="148" customFormat="1" hidden="1" outlineLevel="2">
      <c r="B274" s="148">
        <v>14</v>
      </c>
      <c r="C274" s="163" t="s">
        <v>281</v>
      </c>
      <c r="D274" s="86" t="str">
        <f>VLOOKUP(C274,'Talente &amp; Stuff'!C:AD,2,FALSE)</f>
        <v>--/--/--</v>
      </c>
      <c r="E274" s="167" t="str">
        <f>VLOOKUP(C274,'Talente &amp; Stuff'!C:AD,3,FALSE)</f>
        <v>-</v>
      </c>
      <c r="F274" s="120">
        <f>VLOOKUP(C274,'Talente &amp; Stuff'!C:AD,4,FALSE)</f>
        <v>0</v>
      </c>
      <c r="G274" s="117">
        <f>VLOOKUP(C274,'Talente &amp; Stuff'!C:AD,5,FALSE)</f>
        <v>0</v>
      </c>
      <c r="H274" s="117">
        <f>VLOOKUP(C274,'Talente &amp; Stuff'!C:AD,6,FALSE)</f>
        <v>0</v>
      </c>
      <c r="I274" s="117">
        <f>VLOOKUP(C274,'Talente &amp; Stuff'!C:AD,7,FALSE)</f>
        <v>0</v>
      </c>
      <c r="J274" s="117">
        <f>VLOOKUP(C274,'Talente &amp; Stuff'!C:AD,8,FALSE)</f>
        <v>0</v>
      </c>
      <c r="K274" s="117">
        <f>VLOOKUP(C274,'Talente &amp; Stuff'!C:AD,9,FALSE)</f>
        <v>0</v>
      </c>
      <c r="L274" s="117">
        <f>VLOOKUP(C274,'Talente &amp; Stuff'!C:AD,10,FALSE)</f>
        <v>0</v>
      </c>
      <c r="M274" s="121">
        <f>VLOOKUP(C274,'Talente &amp; Stuff'!C:AD,11,FALSE)</f>
        <v>0</v>
      </c>
      <c r="N274" s="47">
        <f>VLOOKUP(C274,'Talente &amp; Stuff'!C:AD,12,FALSE)</f>
        <v>0</v>
      </c>
      <c r="O274" s="3">
        <f>VLOOKUP(C274,'Talente &amp; Stuff'!C:AD,13,FALSE)</f>
        <v>0</v>
      </c>
      <c r="P274" s="174">
        <f>VLOOKUP(C274,'Talente &amp; Stuff'!C:AD,14,FALSE)</f>
        <v>0</v>
      </c>
      <c r="Q274" s="114">
        <f>VLOOKUP(C274,'Talente &amp; Stuff'!C:AD,15,FALSE)</f>
        <v>0</v>
      </c>
      <c r="R274" s="117">
        <f>VLOOKUP(C274,'Talente &amp; Stuff'!C:AD,16,FALSE)</f>
        <v>0</v>
      </c>
      <c r="S274" s="119">
        <f>VLOOKUP(C274,'Talente &amp; Stuff'!C:AD,17,FALSE)</f>
        <v>0</v>
      </c>
      <c r="T274" s="119">
        <f>VLOOKUP(C274,'Talente &amp; Stuff'!C:AD,18,FALSE)</f>
        <v>0</v>
      </c>
      <c r="U274" s="89">
        <f>VLOOKUP(C274,'Talente &amp; Stuff'!C:AD,19,FALSE)</f>
        <v>0</v>
      </c>
      <c r="V274" s="47">
        <f>VLOOKUP(C274,'Talente &amp; Stuff'!C:AD,20,FALSE)</f>
        <v>0</v>
      </c>
      <c r="W274" s="127">
        <f>VLOOKUP(C274,'Talente &amp; Stuff'!C:AD,21,FALSE)</f>
        <v>0</v>
      </c>
      <c r="X274" s="127">
        <f>VLOOKUP(C274,'Talente &amp; Stuff'!C:AD,22,FALSE)</f>
        <v>0</v>
      </c>
      <c r="Y274" s="165">
        <f t="shared" si="22"/>
        <v>0</v>
      </c>
      <c r="Z274" s="198">
        <f t="shared" si="23"/>
        <v>0</v>
      </c>
      <c r="AA274" s="125">
        <f>VLOOKUP(C274,'Talente &amp; Stuff'!C:AD,25,FALSE)</f>
        <v>0</v>
      </c>
      <c r="AB274" s="160">
        <f>VLOOKUP(C274,'Talente &amp; Stuff'!C:AD,26,FALSE)</f>
        <v>0</v>
      </c>
      <c r="AC274" s="127">
        <f>VLOOKUP(C274,'Talente &amp; Stuff'!C:AD,27,FALSE)</f>
        <v>0</v>
      </c>
      <c r="AD274" s="125">
        <f>VLOOKUP(C274,'Talente &amp; Stuff'!C:AD,28,FALSE)</f>
        <v>0</v>
      </c>
      <c r="AE274" s="28"/>
    </row>
    <row r="275" spans="2:31" s="148" customFormat="1" hidden="1" outlineLevel="2">
      <c r="B275" s="148">
        <v>15</v>
      </c>
      <c r="C275" s="163" t="s">
        <v>281</v>
      </c>
      <c r="D275" s="86" t="str">
        <f>VLOOKUP(C275,'Talente &amp; Stuff'!C:AD,2,FALSE)</f>
        <v>--/--/--</v>
      </c>
      <c r="E275" s="167" t="str">
        <f>VLOOKUP(C275,'Talente &amp; Stuff'!C:AD,3,FALSE)</f>
        <v>-</v>
      </c>
      <c r="F275" s="120">
        <f>VLOOKUP(C275,'Talente &amp; Stuff'!C:AD,4,FALSE)</f>
        <v>0</v>
      </c>
      <c r="G275" s="117">
        <f>VLOOKUP(C275,'Talente &amp; Stuff'!C:AD,5,FALSE)</f>
        <v>0</v>
      </c>
      <c r="H275" s="117">
        <f>VLOOKUP(C275,'Talente &amp; Stuff'!C:AD,6,FALSE)</f>
        <v>0</v>
      </c>
      <c r="I275" s="117">
        <f>VLOOKUP(C275,'Talente &amp; Stuff'!C:AD,7,FALSE)</f>
        <v>0</v>
      </c>
      <c r="J275" s="117">
        <f>VLOOKUP(C275,'Talente &amp; Stuff'!C:AD,8,FALSE)</f>
        <v>0</v>
      </c>
      <c r="K275" s="117">
        <f>VLOOKUP(C275,'Talente &amp; Stuff'!C:AD,9,FALSE)</f>
        <v>0</v>
      </c>
      <c r="L275" s="117">
        <f>VLOOKUP(C275,'Talente &amp; Stuff'!C:AD,10,FALSE)</f>
        <v>0</v>
      </c>
      <c r="M275" s="121">
        <f>VLOOKUP(C275,'Talente &amp; Stuff'!C:AD,11,FALSE)</f>
        <v>0</v>
      </c>
      <c r="N275" s="47">
        <f>VLOOKUP(C275,'Talente &amp; Stuff'!C:AD,12,FALSE)</f>
        <v>0</v>
      </c>
      <c r="O275" s="3">
        <f>VLOOKUP(C275,'Talente &amp; Stuff'!C:AD,13,FALSE)</f>
        <v>0</v>
      </c>
      <c r="P275" s="174">
        <f>VLOOKUP(C275,'Talente &amp; Stuff'!C:AD,14,FALSE)</f>
        <v>0</v>
      </c>
      <c r="Q275" s="114">
        <f>VLOOKUP(C275,'Talente &amp; Stuff'!C:AD,15,FALSE)</f>
        <v>0</v>
      </c>
      <c r="R275" s="117">
        <f>VLOOKUP(C275,'Talente &amp; Stuff'!C:AD,16,FALSE)</f>
        <v>0</v>
      </c>
      <c r="S275" s="119">
        <f>VLOOKUP(C275,'Talente &amp; Stuff'!C:AD,17,FALSE)</f>
        <v>0</v>
      </c>
      <c r="T275" s="119">
        <f>VLOOKUP(C275,'Talente &amp; Stuff'!C:AD,18,FALSE)</f>
        <v>0</v>
      </c>
      <c r="U275" s="89">
        <f>VLOOKUP(C275,'Talente &amp; Stuff'!C:AD,19,FALSE)</f>
        <v>0</v>
      </c>
      <c r="V275" s="47">
        <f>VLOOKUP(C275,'Talente &amp; Stuff'!C:AD,20,FALSE)</f>
        <v>0</v>
      </c>
      <c r="W275" s="127">
        <f>VLOOKUP(C275,'Talente &amp; Stuff'!C:AD,21,FALSE)</f>
        <v>0</v>
      </c>
      <c r="X275" s="127">
        <f>VLOOKUP(C275,'Talente &amp; Stuff'!C:AD,22,FALSE)</f>
        <v>0</v>
      </c>
      <c r="Y275" s="165">
        <f t="shared" si="22"/>
        <v>0</v>
      </c>
      <c r="Z275" s="198">
        <f t="shared" si="23"/>
        <v>0</v>
      </c>
      <c r="AA275" s="125">
        <f>VLOOKUP(C275,'Talente &amp; Stuff'!C:AD,25,FALSE)</f>
        <v>0</v>
      </c>
      <c r="AB275" s="160">
        <f>VLOOKUP(C275,'Talente &amp; Stuff'!C:AD,26,FALSE)</f>
        <v>0</v>
      </c>
      <c r="AC275" s="127">
        <f>VLOOKUP(C275,'Talente &amp; Stuff'!C:AD,27,FALSE)</f>
        <v>0</v>
      </c>
      <c r="AD275" s="125">
        <f>VLOOKUP(C275,'Talente &amp; Stuff'!C:AD,28,FALSE)</f>
        <v>0</v>
      </c>
      <c r="AE275" s="28"/>
    </row>
    <row r="276" spans="2:31" s="148" customFormat="1" hidden="1" outlineLevel="2">
      <c r="B276" s="148">
        <v>16</v>
      </c>
      <c r="C276" s="163" t="s">
        <v>281</v>
      </c>
      <c r="D276" s="86" t="str">
        <f>VLOOKUP(C276,'Talente &amp; Stuff'!C:AD,2,FALSE)</f>
        <v>--/--/--</v>
      </c>
      <c r="E276" s="167" t="str">
        <f>VLOOKUP(C276,'Talente &amp; Stuff'!C:AD,3,FALSE)</f>
        <v>-</v>
      </c>
      <c r="F276" s="120">
        <f>VLOOKUP(C276,'Talente &amp; Stuff'!C:AD,4,FALSE)</f>
        <v>0</v>
      </c>
      <c r="G276" s="117">
        <f>VLOOKUP(C276,'Talente &amp; Stuff'!C:AD,5,FALSE)</f>
        <v>0</v>
      </c>
      <c r="H276" s="117">
        <f>VLOOKUP(C276,'Talente &amp; Stuff'!C:AD,6,FALSE)</f>
        <v>0</v>
      </c>
      <c r="I276" s="117">
        <f>VLOOKUP(C276,'Talente &amp; Stuff'!C:AD,7,FALSE)</f>
        <v>0</v>
      </c>
      <c r="J276" s="117">
        <f>VLOOKUP(C276,'Talente &amp; Stuff'!C:AD,8,FALSE)</f>
        <v>0</v>
      </c>
      <c r="K276" s="117">
        <f>VLOOKUP(C276,'Talente &amp; Stuff'!C:AD,9,FALSE)</f>
        <v>0</v>
      </c>
      <c r="L276" s="117">
        <f>VLOOKUP(C276,'Talente &amp; Stuff'!C:AD,10,FALSE)</f>
        <v>0</v>
      </c>
      <c r="M276" s="121">
        <f>VLOOKUP(C276,'Talente &amp; Stuff'!C:AD,11,FALSE)</f>
        <v>0</v>
      </c>
      <c r="N276" s="47">
        <f>VLOOKUP(C276,'Talente &amp; Stuff'!C:AD,12,FALSE)</f>
        <v>0</v>
      </c>
      <c r="O276" s="3">
        <f>VLOOKUP(C276,'Talente &amp; Stuff'!C:AD,13,FALSE)</f>
        <v>0</v>
      </c>
      <c r="P276" s="174">
        <f>VLOOKUP(C276,'Talente &amp; Stuff'!C:AD,14,FALSE)</f>
        <v>0</v>
      </c>
      <c r="Q276" s="114">
        <f>VLOOKUP(C276,'Talente &amp; Stuff'!C:AD,15,FALSE)</f>
        <v>0</v>
      </c>
      <c r="R276" s="117">
        <f>VLOOKUP(C276,'Talente &amp; Stuff'!C:AD,16,FALSE)</f>
        <v>0</v>
      </c>
      <c r="S276" s="119">
        <f>VLOOKUP(C276,'Talente &amp; Stuff'!C:AD,17,FALSE)</f>
        <v>0</v>
      </c>
      <c r="T276" s="119">
        <f>VLOOKUP(C276,'Talente &amp; Stuff'!C:AD,18,FALSE)</f>
        <v>0</v>
      </c>
      <c r="U276" s="89">
        <f>VLOOKUP(C276,'Talente &amp; Stuff'!C:AD,19,FALSE)</f>
        <v>0</v>
      </c>
      <c r="V276" s="47">
        <f>VLOOKUP(C276,'Talente &amp; Stuff'!C:AD,20,FALSE)</f>
        <v>0</v>
      </c>
      <c r="W276" s="127">
        <f>VLOOKUP(C276,'Talente &amp; Stuff'!C:AD,21,FALSE)</f>
        <v>0</v>
      </c>
      <c r="X276" s="127">
        <f>VLOOKUP(C276,'Talente &amp; Stuff'!C:AD,22,FALSE)</f>
        <v>0</v>
      </c>
      <c r="Y276" s="165">
        <f t="shared" si="22"/>
        <v>0</v>
      </c>
      <c r="Z276" s="198">
        <f t="shared" si="23"/>
        <v>0</v>
      </c>
      <c r="AA276" s="125">
        <f>VLOOKUP(C276,'Talente &amp; Stuff'!C:AD,25,FALSE)</f>
        <v>0</v>
      </c>
      <c r="AB276" s="160">
        <f>VLOOKUP(C276,'Talente &amp; Stuff'!C:AD,26,FALSE)</f>
        <v>0</v>
      </c>
      <c r="AC276" s="127">
        <f>VLOOKUP(C276,'Talente &amp; Stuff'!C:AD,27,FALSE)</f>
        <v>0</v>
      </c>
      <c r="AD276" s="125">
        <f>VLOOKUP(C276,'Talente &amp; Stuff'!C:AD,28,FALSE)</f>
        <v>0</v>
      </c>
      <c r="AE276" s="28"/>
    </row>
    <row r="277" spans="2:31" s="148" customFormat="1" hidden="1" outlineLevel="2">
      <c r="B277" s="148">
        <v>17</v>
      </c>
      <c r="C277" s="163" t="s">
        <v>281</v>
      </c>
      <c r="D277" s="86" t="str">
        <f>VLOOKUP(C277,'Talente &amp; Stuff'!C:AD,2,FALSE)</f>
        <v>--/--/--</v>
      </c>
      <c r="E277" s="167" t="str">
        <f>VLOOKUP(C277,'Talente &amp; Stuff'!C:AD,3,FALSE)</f>
        <v>-</v>
      </c>
      <c r="F277" s="120">
        <f>VLOOKUP(C277,'Talente &amp; Stuff'!C:AD,4,FALSE)</f>
        <v>0</v>
      </c>
      <c r="G277" s="117">
        <f>VLOOKUP(C277,'Talente &amp; Stuff'!C:AD,5,FALSE)</f>
        <v>0</v>
      </c>
      <c r="H277" s="117">
        <f>VLOOKUP(C277,'Talente &amp; Stuff'!C:AD,6,FALSE)</f>
        <v>0</v>
      </c>
      <c r="I277" s="117">
        <f>VLOOKUP(C277,'Talente &amp; Stuff'!C:AD,7,FALSE)</f>
        <v>0</v>
      </c>
      <c r="J277" s="117">
        <f>VLOOKUP(C277,'Talente &amp; Stuff'!C:AD,8,FALSE)</f>
        <v>0</v>
      </c>
      <c r="K277" s="117">
        <f>VLOOKUP(C277,'Talente &amp; Stuff'!C:AD,9,FALSE)</f>
        <v>0</v>
      </c>
      <c r="L277" s="117">
        <f>VLOOKUP(C277,'Talente &amp; Stuff'!C:AD,10,FALSE)</f>
        <v>0</v>
      </c>
      <c r="M277" s="121">
        <f>VLOOKUP(C277,'Talente &amp; Stuff'!C:AD,11,FALSE)</f>
        <v>0</v>
      </c>
      <c r="N277" s="47">
        <f>VLOOKUP(C277,'Talente &amp; Stuff'!C:AD,12,FALSE)</f>
        <v>0</v>
      </c>
      <c r="O277" s="3">
        <f>VLOOKUP(C277,'Talente &amp; Stuff'!C:AD,13,FALSE)</f>
        <v>0</v>
      </c>
      <c r="P277" s="174">
        <f>VLOOKUP(C277,'Talente &amp; Stuff'!C:AD,14,FALSE)</f>
        <v>0</v>
      </c>
      <c r="Q277" s="114">
        <f>VLOOKUP(C277,'Talente &amp; Stuff'!C:AD,15,FALSE)</f>
        <v>0</v>
      </c>
      <c r="R277" s="117">
        <f>VLOOKUP(C277,'Talente &amp; Stuff'!C:AD,16,FALSE)</f>
        <v>0</v>
      </c>
      <c r="S277" s="119">
        <f>VLOOKUP(C277,'Talente &amp; Stuff'!C:AD,17,FALSE)</f>
        <v>0</v>
      </c>
      <c r="T277" s="119">
        <f>VLOOKUP(C277,'Talente &amp; Stuff'!C:AD,18,FALSE)</f>
        <v>0</v>
      </c>
      <c r="U277" s="89">
        <f>VLOOKUP(C277,'Talente &amp; Stuff'!C:AD,19,FALSE)</f>
        <v>0</v>
      </c>
      <c r="V277" s="47">
        <f>VLOOKUP(C277,'Talente &amp; Stuff'!C:AD,20,FALSE)</f>
        <v>0</v>
      </c>
      <c r="W277" s="127">
        <f>VLOOKUP(C277,'Talente &amp; Stuff'!C:AD,21,FALSE)</f>
        <v>0</v>
      </c>
      <c r="X277" s="127">
        <f>VLOOKUP(C277,'Talente &amp; Stuff'!C:AD,22,FALSE)</f>
        <v>0</v>
      </c>
      <c r="Y277" s="165">
        <f t="shared" si="22"/>
        <v>0</v>
      </c>
      <c r="Z277" s="198">
        <f t="shared" si="23"/>
        <v>0</v>
      </c>
      <c r="AA277" s="125">
        <f>VLOOKUP(C277,'Talente &amp; Stuff'!C:AD,25,FALSE)</f>
        <v>0</v>
      </c>
      <c r="AB277" s="160">
        <f>VLOOKUP(C277,'Talente &amp; Stuff'!C:AD,26,FALSE)</f>
        <v>0</v>
      </c>
      <c r="AC277" s="127">
        <f>VLOOKUP(C277,'Talente &amp; Stuff'!C:AD,27,FALSE)</f>
        <v>0</v>
      </c>
      <c r="AD277" s="125">
        <f>VLOOKUP(C277,'Talente &amp; Stuff'!C:AD,28,FALSE)</f>
        <v>0</v>
      </c>
      <c r="AE277" s="28"/>
    </row>
    <row r="278" spans="2:31" s="148" customFormat="1" hidden="1" outlineLevel="2">
      <c r="B278" s="148">
        <v>18</v>
      </c>
      <c r="C278" s="163" t="s">
        <v>281</v>
      </c>
      <c r="D278" s="86" t="str">
        <f>VLOOKUP(C278,'Talente &amp; Stuff'!C:AD,2,FALSE)</f>
        <v>--/--/--</v>
      </c>
      <c r="E278" s="167" t="str">
        <f>VLOOKUP(C278,'Talente &amp; Stuff'!C:AD,3,FALSE)</f>
        <v>-</v>
      </c>
      <c r="F278" s="120">
        <f>VLOOKUP(C278,'Talente &amp; Stuff'!C:AD,4,FALSE)</f>
        <v>0</v>
      </c>
      <c r="G278" s="117">
        <f>VLOOKUP(C278,'Talente &amp; Stuff'!C:AD,5,FALSE)</f>
        <v>0</v>
      </c>
      <c r="H278" s="117">
        <f>VLOOKUP(C278,'Talente &amp; Stuff'!C:AD,6,FALSE)</f>
        <v>0</v>
      </c>
      <c r="I278" s="117">
        <f>VLOOKUP(C278,'Talente &amp; Stuff'!C:AD,7,FALSE)</f>
        <v>0</v>
      </c>
      <c r="J278" s="117">
        <f>VLOOKUP(C278,'Talente &amp; Stuff'!C:AD,8,FALSE)</f>
        <v>0</v>
      </c>
      <c r="K278" s="117">
        <f>VLOOKUP(C278,'Talente &amp; Stuff'!C:AD,9,FALSE)</f>
        <v>0</v>
      </c>
      <c r="L278" s="117">
        <f>VLOOKUP(C278,'Talente &amp; Stuff'!C:AD,10,FALSE)</f>
        <v>0</v>
      </c>
      <c r="M278" s="121">
        <f>VLOOKUP(C278,'Talente &amp; Stuff'!C:AD,11,FALSE)</f>
        <v>0</v>
      </c>
      <c r="N278" s="47">
        <f>VLOOKUP(C278,'Talente &amp; Stuff'!C:AD,12,FALSE)</f>
        <v>0</v>
      </c>
      <c r="O278" s="3">
        <f>VLOOKUP(C278,'Talente &amp; Stuff'!C:AD,13,FALSE)</f>
        <v>0</v>
      </c>
      <c r="P278" s="174">
        <f>VLOOKUP(C278,'Talente &amp; Stuff'!C:AD,14,FALSE)</f>
        <v>0</v>
      </c>
      <c r="Q278" s="114">
        <f>VLOOKUP(C278,'Talente &amp; Stuff'!C:AD,15,FALSE)</f>
        <v>0</v>
      </c>
      <c r="R278" s="117">
        <f>VLOOKUP(C278,'Talente &amp; Stuff'!C:AD,16,FALSE)</f>
        <v>0</v>
      </c>
      <c r="S278" s="119">
        <f>VLOOKUP(C278,'Talente &amp; Stuff'!C:AD,17,FALSE)</f>
        <v>0</v>
      </c>
      <c r="T278" s="119">
        <f>VLOOKUP(C278,'Talente &amp; Stuff'!C:AD,18,FALSE)</f>
        <v>0</v>
      </c>
      <c r="U278" s="89">
        <f>VLOOKUP(C278,'Talente &amp; Stuff'!C:AD,19,FALSE)</f>
        <v>0</v>
      </c>
      <c r="V278" s="47">
        <f>VLOOKUP(C278,'Talente &amp; Stuff'!C:AD,20,FALSE)</f>
        <v>0</v>
      </c>
      <c r="W278" s="127">
        <f>VLOOKUP(C278,'Talente &amp; Stuff'!C:AD,21,FALSE)</f>
        <v>0</v>
      </c>
      <c r="X278" s="127">
        <f>VLOOKUP(C278,'Talente &amp; Stuff'!C:AD,22,FALSE)</f>
        <v>0</v>
      </c>
      <c r="Y278" s="165">
        <f t="shared" si="22"/>
        <v>0</v>
      </c>
      <c r="Z278" s="198">
        <f t="shared" si="23"/>
        <v>0</v>
      </c>
      <c r="AA278" s="125">
        <f>VLOOKUP(C278,'Talente &amp; Stuff'!C:AD,25,FALSE)</f>
        <v>0</v>
      </c>
      <c r="AB278" s="160">
        <f>VLOOKUP(C278,'Talente &amp; Stuff'!C:AD,26,FALSE)</f>
        <v>0</v>
      </c>
      <c r="AC278" s="127">
        <f>VLOOKUP(C278,'Talente &amp; Stuff'!C:AD,27,FALSE)</f>
        <v>0</v>
      </c>
      <c r="AD278" s="125">
        <f>VLOOKUP(C278,'Talente &amp; Stuff'!C:AD,28,FALSE)</f>
        <v>0</v>
      </c>
      <c r="AE278" s="28"/>
    </row>
    <row r="279" spans="2:31" s="148" customFormat="1" hidden="1" outlineLevel="2">
      <c r="B279" s="148">
        <v>19</v>
      </c>
      <c r="C279" s="163" t="s">
        <v>281</v>
      </c>
      <c r="D279" s="86" t="str">
        <f>VLOOKUP(C279,'Talente &amp; Stuff'!C:AD,2,FALSE)</f>
        <v>--/--/--</v>
      </c>
      <c r="E279" s="167" t="str">
        <f>VLOOKUP(C279,'Talente &amp; Stuff'!C:AD,3,FALSE)</f>
        <v>-</v>
      </c>
      <c r="F279" s="120">
        <f>VLOOKUP(C279,'Talente &amp; Stuff'!C:AD,4,FALSE)</f>
        <v>0</v>
      </c>
      <c r="G279" s="117">
        <f>VLOOKUP(C279,'Talente &amp; Stuff'!C:AD,5,FALSE)</f>
        <v>0</v>
      </c>
      <c r="H279" s="117">
        <f>VLOOKUP(C279,'Talente &amp; Stuff'!C:AD,6,FALSE)</f>
        <v>0</v>
      </c>
      <c r="I279" s="117">
        <f>VLOOKUP(C279,'Talente &amp; Stuff'!C:AD,7,FALSE)</f>
        <v>0</v>
      </c>
      <c r="J279" s="117">
        <f>VLOOKUP(C279,'Talente &amp; Stuff'!C:AD,8,FALSE)</f>
        <v>0</v>
      </c>
      <c r="K279" s="117">
        <f>VLOOKUP(C279,'Talente &amp; Stuff'!C:AD,9,FALSE)</f>
        <v>0</v>
      </c>
      <c r="L279" s="117">
        <f>VLOOKUP(C279,'Talente &amp; Stuff'!C:AD,10,FALSE)</f>
        <v>0</v>
      </c>
      <c r="M279" s="121">
        <f>VLOOKUP(C279,'Talente &amp; Stuff'!C:AD,11,FALSE)</f>
        <v>0</v>
      </c>
      <c r="N279" s="47">
        <f>VLOOKUP(C279,'Talente &amp; Stuff'!C:AD,12,FALSE)</f>
        <v>0</v>
      </c>
      <c r="O279" s="3">
        <f>VLOOKUP(C279,'Talente &amp; Stuff'!C:AD,13,FALSE)</f>
        <v>0</v>
      </c>
      <c r="P279" s="174">
        <f>VLOOKUP(C279,'Talente &amp; Stuff'!C:AD,14,FALSE)</f>
        <v>0</v>
      </c>
      <c r="Q279" s="114">
        <f>VLOOKUP(C279,'Talente &amp; Stuff'!C:AD,15,FALSE)</f>
        <v>0</v>
      </c>
      <c r="R279" s="117">
        <f>VLOOKUP(C279,'Talente &amp; Stuff'!C:AD,16,FALSE)</f>
        <v>0</v>
      </c>
      <c r="S279" s="119">
        <f>VLOOKUP(C279,'Talente &amp; Stuff'!C:AD,17,FALSE)</f>
        <v>0</v>
      </c>
      <c r="T279" s="119">
        <f>VLOOKUP(C279,'Talente &amp; Stuff'!C:AD,18,FALSE)</f>
        <v>0</v>
      </c>
      <c r="U279" s="89">
        <f>VLOOKUP(C279,'Talente &amp; Stuff'!C:AD,19,FALSE)</f>
        <v>0</v>
      </c>
      <c r="V279" s="47">
        <f>VLOOKUP(C279,'Talente &amp; Stuff'!C:AD,20,FALSE)</f>
        <v>0</v>
      </c>
      <c r="W279" s="127">
        <f>VLOOKUP(C279,'Talente &amp; Stuff'!C:AD,21,FALSE)</f>
        <v>0</v>
      </c>
      <c r="X279" s="127">
        <f>VLOOKUP(C279,'Talente &amp; Stuff'!C:AD,22,FALSE)</f>
        <v>0</v>
      </c>
      <c r="Y279" s="165">
        <f t="shared" si="22"/>
        <v>0</v>
      </c>
      <c r="Z279" s="198">
        <f t="shared" si="23"/>
        <v>0</v>
      </c>
      <c r="AA279" s="125">
        <f>VLOOKUP(C279,'Talente &amp; Stuff'!C:AD,25,FALSE)</f>
        <v>0</v>
      </c>
      <c r="AB279" s="160">
        <f>VLOOKUP(C279,'Talente &amp; Stuff'!C:AD,26,FALSE)</f>
        <v>0</v>
      </c>
      <c r="AC279" s="127">
        <f>VLOOKUP(C279,'Talente &amp; Stuff'!C:AD,27,FALSE)</f>
        <v>0</v>
      </c>
      <c r="AD279" s="125">
        <f>VLOOKUP(C279,'Talente &amp; Stuff'!C:AD,28,FALSE)</f>
        <v>0</v>
      </c>
      <c r="AE279" s="28"/>
    </row>
    <row r="280" spans="2:31" s="148" customFormat="1" hidden="1" outlineLevel="2">
      <c r="B280" s="148">
        <v>20</v>
      </c>
      <c r="C280" s="163" t="s">
        <v>281</v>
      </c>
      <c r="D280" s="86" t="str">
        <f>VLOOKUP(C280,'Talente &amp; Stuff'!C:AD,2,FALSE)</f>
        <v>--/--/--</v>
      </c>
      <c r="E280" s="167" t="str">
        <f>VLOOKUP(C280,'Talente &amp; Stuff'!C:AD,3,FALSE)</f>
        <v>-</v>
      </c>
      <c r="F280" s="120">
        <f>VLOOKUP(C280,'Talente &amp; Stuff'!C:AD,4,FALSE)</f>
        <v>0</v>
      </c>
      <c r="G280" s="117">
        <f>VLOOKUP(C280,'Talente &amp; Stuff'!C:AD,5,FALSE)</f>
        <v>0</v>
      </c>
      <c r="H280" s="117">
        <f>VLOOKUP(C280,'Talente &amp; Stuff'!C:AD,6,FALSE)</f>
        <v>0</v>
      </c>
      <c r="I280" s="117">
        <f>VLOOKUP(C280,'Talente &amp; Stuff'!C:AD,7,FALSE)</f>
        <v>0</v>
      </c>
      <c r="J280" s="117">
        <f>VLOOKUP(C280,'Talente &amp; Stuff'!C:AD,8,FALSE)</f>
        <v>0</v>
      </c>
      <c r="K280" s="117">
        <f>VLOOKUP(C280,'Talente &amp; Stuff'!C:AD,9,FALSE)</f>
        <v>0</v>
      </c>
      <c r="L280" s="117">
        <f>VLOOKUP(C280,'Talente &amp; Stuff'!C:AD,10,FALSE)</f>
        <v>0</v>
      </c>
      <c r="M280" s="121">
        <f>VLOOKUP(C280,'Talente &amp; Stuff'!C:AD,11,FALSE)</f>
        <v>0</v>
      </c>
      <c r="N280" s="47">
        <f>VLOOKUP(C280,'Talente &amp; Stuff'!C:AD,12,FALSE)</f>
        <v>0</v>
      </c>
      <c r="O280" s="3">
        <f>VLOOKUP(C280,'Talente &amp; Stuff'!C:AD,13,FALSE)</f>
        <v>0</v>
      </c>
      <c r="P280" s="174">
        <f>VLOOKUP(C280,'Talente &amp; Stuff'!C:AD,14,FALSE)</f>
        <v>0</v>
      </c>
      <c r="Q280" s="114">
        <f>VLOOKUP(C280,'Talente &amp; Stuff'!C:AD,15,FALSE)</f>
        <v>0</v>
      </c>
      <c r="R280" s="117">
        <f>VLOOKUP(C280,'Talente &amp; Stuff'!C:AD,16,FALSE)</f>
        <v>0</v>
      </c>
      <c r="S280" s="119">
        <f>VLOOKUP(C280,'Talente &amp; Stuff'!C:AD,17,FALSE)</f>
        <v>0</v>
      </c>
      <c r="T280" s="119">
        <f>VLOOKUP(C280,'Talente &amp; Stuff'!C:AD,18,FALSE)</f>
        <v>0</v>
      </c>
      <c r="U280" s="89">
        <f>VLOOKUP(C280,'Talente &amp; Stuff'!C:AD,19,FALSE)</f>
        <v>0</v>
      </c>
      <c r="V280" s="47">
        <f>VLOOKUP(C280,'Talente &amp; Stuff'!C:AD,20,FALSE)</f>
        <v>0</v>
      </c>
      <c r="W280" s="127">
        <f>VLOOKUP(C280,'Talente &amp; Stuff'!C:AD,21,FALSE)</f>
        <v>0</v>
      </c>
      <c r="X280" s="127">
        <f>VLOOKUP(C280,'Talente &amp; Stuff'!C:AD,22,FALSE)</f>
        <v>0</v>
      </c>
      <c r="Y280" s="165">
        <f t="shared" si="22"/>
        <v>0</v>
      </c>
      <c r="Z280" s="198">
        <f t="shared" si="23"/>
        <v>0</v>
      </c>
      <c r="AA280" s="125">
        <f>VLOOKUP(C280,'Talente &amp; Stuff'!C:AD,25,FALSE)</f>
        <v>0</v>
      </c>
      <c r="AB280" s="160">
        <f>VLOOKUP(C280,'Talente &amp; Stuff'!C:AD,26,FALSE)</f>
        <v>0</v>
      </c>
      <c r="AC280" s="127">
        <f>VLOOKUP(C280,'Talente &amp; Stuff'!C:AD,27,FALSE)</f>
        <v>0</v>
      </c>
      <c r="AD280" s="125">
        <f>VLOOKUP(C280,'Talente &amp; Stuff'!C:AD,28,FALSE)</f>
        <v>0</v>
      </c>
      <c r="AE280" s="28"/>
    </row>
    <row r="281" spans="2:31" s="148" customFormat="1" hidden="1" outlineLevel="2">
      <c r="B281" s="148">
        <v>21</v>
      </c>
      <c r="C281" s="163" t="s">
        <v>281</v>
      </c>
      <c r="D281" s="86" t="str">
        <f>VLOOKUP(C281,'Talente &amp; Stuff'!C:AD,2,FALSE)</f>
        <v>--/--/--</v>
      </c>
      <c r="E281" s="167" t="str">
        <f>VLOOKUP(C281,'Talente &amp; Stuff'!C:AD,3,FALSE)</f>
        <v>-</v>
      </c>
      <c r="F281" s="120">
        <f>VLOOKUP(C281,'Talente &amp; Stuff'!C:AD,4,FALSE)</f>
        <v>0</v>
      </c>
      <c r="G281" s="117">
        <f>VLOOKUP(C281,'Talente &amp; Stuff'!C:AD,5,FALSE)</f>
        <v>0</v>
      </c>
      <c r="H281" s="117">
        <f>VLOOKUP(C281,'Talente &amp; Stuff'!C:AD,6,FALSE)</f>
        <v>0</v>
      </c>
      <c r="I281" s="117">
        <f>VLOOKUP(C281,'Talente &amp; Stuff'!C:AD,7,FALSE)</f>
        <v>0</v>
      </c>
      <c r="J281" s="117">
        <f>VLOOKUP(C281,'Talente &amp; Stuff'!C:AD,8,FALSE)</f>
        <v>0</v>
      </c>
      <c r="K281" s="117">
        <f>VLOOKUP(C281,'Talente &amp; Stuff'!C:AD,9,FALSE)</f>
        <v>0</v>
      </c>
      <c r="L281" s="117">
        <f>VLOOKUP(C281,'Talente &amp; Stuff'!C:AD,10,FALSE)</f>
        <v>0</v>
      </c>
      <c r="M281" s="121">
        <f>VLOOKUP(C281,'Talente &amp; Stuff'!C:AD,11,FALSE)</f>
        <v>0</v>
      </c>
      <c r="N281" s="47">
        <f>VLOOKUP(C281,'Talente &amp; Stuff'!C:AD,12,FALSE)</f>
        <v>0</v>
      </c>
      <c r="O281" s="3">
        <f>VLOOKUP(C281,'Talente &amp; Stuff'!C:AD,13,FALSE)</f>
        <v>0</v>
      </c>
      <c r="P281" s="174">
        <f>VLOOKUP(C281,'Talente &amp; Stuff'!C:AD,14,FALSE)</f>
        <v>0</v>
      </c>
      <c r="Q281" s="114">
        <f>VLOOKUP(C281,'Talente &amp; Stuff'!C:AD,15,FALSE)</f>
        <v>0</v>
      </c>
      <c r="R281" s="117">
        <f>VLOOKUP(C281,'Talente &amp; Stuff'!C:AD,16,FALSE)</f>
        <v>0</v>
      </c>
      <c r="S281" s="119">
        <f>VLOOKUP(C281,'Talente &amp; Stuff'!C:AD,17,FALSE)</f>
        <v>0</v>
      </c>
      <c r="T281" s="119">
        <f>VLOOKUP(C281,'Talente &amp; Stuff'!C:AD,18,FALSE)</f>
        <v>0</v>
      </c>
      <c r="U281" s="89">
        <f>VLOOKUP(C281,'Talente &amp; Stuff'!C:AD,19,FALSE)</f>
        <v>0</v>
      </c>
      <c r="V281" s="47">
        <f>VLOOKUP(C281,'Talente &amp; Stuff'!C:AD,20,FALSE)</f>
        <v>0</v>
      </c>
      <c r="W281" s="127">
        <f>VLOOKUP(C281,'Talente &amp; Stuff'!C:AD,21,FALSE)</f>
        <v>0</v>
      </c>
      <c r="X281" s="127">
        <f>VLOOKUP(C281,'Talente &amp; Stuff'!C:AD,22,FALSE)</f>
        <v>0</v>
      </c>
      <c r="Y281" s="165">
        <f t="shared" si="22"/>
        <v>0</v>
      </c>
      <c r="Z281" s="198">
        <f t="shared" si="23"/>
        <v>0</v>
      </c>
      <c r="AA281" s="125">
        <f>VLOOKUP(C281,'Talente &amp; Stuff'!C:AD,25,FALSE)</f>
        <v>0</v>
      </c>
      <c r="AB281" s="160">
        <f>VLOOKUP(C281,'Talente &amp; Stuff'!C:AD,26,FALSE)</f>
        <v>0</v>
      </c>
      <c r="AC281" s="127">
        <f>VLOOKUP(C281,'Talente &amp; Stuff'!C:AD,27,FALSE)</f>
        <v>0</v>
      </c>
      <c r="AD281" s="125">
        <f>VLOOKUP(C281,'Talente &amp; Stuff'!C:AD,28,FALSE)</f>
        <v>0</v>
      </c>
      <c r="AE281" s="28"/>
    </row>
    <row r="282" spans="2:31" s="148" customFormat="1" hidden="1" outlineLevel="2">
      <c r="B282" s="148">
        <v>22</v>
      </c>
      <c r="C282" s="163" t="s">
        <v>281</v>
      </c>
      <c r="D282" s="86" t="str">
        <f>VLOOKUP(C282,'Talente &amp; Stuff'!C:AD,2,FALSE)</f>
        <v>--/--/--</v>
      </c>
      <c r="E282" s="167" t="str">
        <f>VLOOKUP(C282,'Talente &amp; Stuff'!C:AD,3,FALSE)</f>
        <v>-</v>
      </c>
      <c r="F282" s="120">
        <f>VLOOKUP(C282,'Talente &amp; Stuff'!C:AD,4,FALSE)</f>
        <v>0</v>
      </c>
      <c r="G282" s="117">
        <f>VLOOKUP(C282,'Talente &amp; Stuff'!C:AD,5,FALSE)</f>
        <v>0</v>
      </c>
      <c r="H282" s="117">
        <f>VLOOKUP(C282,'Talente &amp; Stuff'!C:AD,6,FALSE)</f>
        <v>0</v>
      </c>
      <c r="I282" s="117">
        <f>VLOOKUP(C282,'Talente &amp; Stuff'!C:AD,7,FALSE)</f>
        <v>0</v>
      </c>
      <c r="J282" s="117">
        <f>VLOOKUP(C282,'Talente &amp; Stuff'!C:AD,8,FALSE)</f>
        <v>0</v>
      </c>
      <c r="K282" s="117">
        <f>VLOOKUP(C282,'Talente &amp; Stuff'!C:AD,9,FALSE)</f>
        <v>0</v>
      </c>
      <c r="L282" s="117">
        <f>VLOOKUP(C282,'Talente &amp; Stuff'!C:AD,10,FALSE)</f>
        <v>0</v>
      </c>
      <c r="M282" s="121">
        <f>VLOOKUP(C282,'Talente &amp; Stuff'!C:AD,11,FALSE)</f>
        <v>0</v>
      </c>
      <c r="N282" s="47">
        <f>VLOOKUP(C282,'Talente &amp; Stuff'!C:AD,12,FALSE)</f>
        <v>0</v>
      </c>
      <c r="O282" s="3">
        <f>VLOOKUP(C282,'Talente &amp; Stuff'!C:AD,13,FALSE)</f>
        <v>0</v>
      </c>
      <c r="P282" s="174">
        <f>VLOOKUP(C282,'Talente &amp; Stuff'!C:AD,14,FALSE)</f>
        <v>0</v>
      </c>
      <c r="Q282" s="114">
        <f>VLOOKUP(C282,'Talente &amp; Stuff'!C:AD,15,FALSE)</f>
        <v>0</v>
      </c>
      <c r="R282" s="117">
        <f>VLOOKUP(C282,'Talente &amp; Stuff'!C:AD,16,FALSE)</f>
        <v>0</v>
      </c>
      <c r="S282" s="119">
        <f>VLOOKUP(C282,'Talente &amp; Stuff'!C:AD,17,FALSE)</f>
        <v>0</v>
      </c>
      <c r="T282" s="119">
        <f>VLOOKUP(C282,'Talente &amp; Stuff'!C:AD,18,FALSE)</f>
        <v>0</v>
      </c>
      <c r="U282" s="89">
        <f>VLOOKUP(C282,'Talente &amp; Stuff'!C:AD,19,FALSE)</f>
        <v>0</v>
      </c>
      <c r="V282" s="47">
        <f>VLOOKUP(C282,'Talente &amp; Stuff'!C:AD,20,FALSE)</f>
        <v>0</v>
      </c>
      <c r="W282" s="127">
        <f>VLOOKUP(C282,'Talente &amp; Stuff'!C:AD,21,FALSE)</f>
        <v>0</v>
      </c>
      <c r="X282" s="127">
        <f>VLOOKUP(C282,'Talente &amp; Stuff'!C:AD,22,FALSE)</f>
        <v>0</v>
      </c>
      <c r="Y282" s="165">
        <f t="shared" si="22"/>
        <v>0</v>
      </c>
      <c r="Z282" s="198">
        <f t="shared" si="23"/>
        <v>0</v>
      </c>
      <c r="AA282" s="125">
        <f>VLOOKUP(C282,'Talente &amp; Stuff'!C:AD,25,FALSE)</f>
        <v>0</v>
      </c>
      <c r="AB282" s="160">
        <f>VLOOKUP(C282,'Talente &amp; Stuff'!C:AD,26,FALSE)</f>
        <v>0</v>
      </c>
      <c r="AC282" s="127">
        <f>VLOOKUP(C282,'Talente &amp; Stuff'!C:AD,27,FALSE)</f>
        <v>0</v>
      </c>
      <c r="AD282" s="125">
        <f>VLOOKUP(C282,'Talente &amp; Stuff'!C:AD,28,FALSE)</f>
        <v>0</v>
      </c>
      <c r="AE282" s="28"/>
    </row>
    <row r="283" spans="2:31" s="148" customFormat="1" hidden="1" outlineLevel="2">
      <c r="B283" s="148">
        <v>23</v>
      </c>
      <c r="C283" s="163" t="s">
        <v>281</v>
      </c>
      <c r="D283" s="86" t="str">
        <f>VLOOKUP(C283,'Talente &amp; Stuff'!C:AD,2,FALSE)</f>
        <v>--/--/--</v>
      </c>
      <c r="E283" s="167" t="str">
        <f>VLOOKUP(C283,'Talente &amp; Stuff'!C:AD,3,FALSE)</f>
        <v>-</v>
      </c>
      <c r="F283" s="120">
        <f>VLOOKUP(C283,'Talente &amp; Stuff'!C:AD,4,FALSE)</f>
        <v>0</v>
      </c>
      <c r="G283" s="117">
        <f>VLOOKUP(C283,'Talente &amp; Stuff'!C:AD,5,FALSE)</f>
        <v>0</v>
      </c>
      <c r="H283" s="117">
        <f>VLOOKUP(C283,'Talente &amp; Stuff'!C:AD,6,FALSE)</f>
        <v>0</v>
      </c>
      <c r="I283" s="117">
        <f>VLOOKUP(C283,'Talente &amp; Stuff'!C:AD,7,FALSE)</f>
        <v>0</v>
      </c>
      <c r="J283" s="117">
        <f>VLOOKUP(C283,'Talente &amp; Stuff'!C:AD,8,FALSE)</f>
        <v>0</v>
      </c>
      <c r="K283" s="117">
        <f>VLOOKUP(C283,'Talente &amp; Stuff'!C:AD,9,FALSE)</f>
        <v>0</v>
      </c>
      <c r="L283" s="117">
        <f>VLOOKUP(C283,'Talente &amp; Stuff'!C:AD,10,FALSE)</f>
        <v>0</v>
      </c>
      <c r="M283" s="121">
        <f>VLOOKUP(C283,'Talente &amp; Stuff'!C:AD,11,FALSE)</f>
        <v>0</v>
      </c>
      <c r="N283" s="47">
        <f>VLOOKUP(C283,'Talente &amp; Stuff'!C:AD,12,FALSE)</f>
        <v>0</v>
      </c>
      <c r="O283" s="3">
        <f>VLOOKUP(C283,'Talente &amp; Stuff'!C:AD,13,FALSE)</f>
        <v>0</v>
      </c>
      <c r="P283" s="174">
        <f>VLOOKUP(C283,'Talente &amp; Stuff'!C:AD,14,FALSE)</f>
        <v>0</v>
      </c>
      <c r="Q283" s="114">
        <f>VLOOKUP(C283,'Talente &amp; Stuff'!C:AD,15,FALSE)</f>
        <v>0</v>
      </c>
      <c r="R283" s="117">
        <f>VLOOKUP(C283,'Talente &amp; Stuff'!C:AD,16,FALSE)</f>
        <v>0</v>
      </c>
      <c r="S283" s="119">
        <f>VLOOKUP(C283,'Talente &amp; Stuff'!C:AD,17,FALSE)</f>
        <v>0</v>
      </c>
      <c r="T283" s="119">
        <f>VLOOKUP(C283,'Talente &amp; Stuff'!C:AD,18,FALSE)</f>
        <v>0</v>
      </c>
      <c r="U283" s="89">
        <f>VLOOKUP(C283,'Talente &amp; Stuff'!C:AD,19,FALSE)</f>
        <v>0</v>
      </c>
      <c r="V283" s="47">
        <f>VLOOKUP(C283,'Talente &amp; Stuff'!C:AD,20,FALSE)</f>
        <v>0</v>
      </c>
      <c r="W283" s="127">
        <f>VLOOKUP(C283,'Talente &amp; Stuff'!C:AD,21,FALSE)</f>
        <v>0</v>
      </c>
      <c r="X283" s="127">
        <f>VLOOKUP(C283,'Talente &amp; Stuff'!C:AD,22,FALSE)</f>
        <v>0</v>
      </c>
      <c r="Y283" s="165">
        <f t="shared" si="22"/>
        <v>0</v>
      </c>
      <c r="Z283" s="198">
        <f t="shared" si="23"/>
        <v>0</v>
      </c>
      <c r="AA283" s="125">
        <f>VLOOKUP(C283,'Talente &amp; Stuff'!C:AD,25,FALSE)</f>
        <v>0</v>
      </c>
      <c r="AB283" s="160">
        <f>VLOOKUP(C283,'Talente &amp; Stuff'!C:AD,26,FALSE)</f>
        <v>0</v>
      </c>
      <c r="AC283" s="127">
        <f>VLOOKUP(C283,'Talente &amp; Stuff'!C:AD,27,FALSE)</f>
        <v>0</v>
      </c>
      <c r="AD283" s="125">
        <f>VLOOKUP(C283,'Talente &amp; Stuff'!C:AD,28,FALSE)</f>
        <v>0</v>
      </c>
      <c r="AE283" s="28"/>
    </row>
    <row r="284" spans="2:31" s="148" customFormat="1" hidden="1" outlineLevel="2">
      <c r="B284" s="148">
        <v>24</v>
      </c>
      <c r="C284" s="163" t="s">
        <v>281</v>
      </c>
      <c r="D284" s="86" t="str">
        <f>VLOOKUP(C284,'Talente &amp; Stuff'!C:AD,2,FALSE)</f>
        <v>--/--/--</v>
      </c>
      <c r="E284" s="167" t="str">
        <f>VLOOKUP(C284,'Talente &amp; Stuff'!C:AD,3,FALSE)</f>
        <v>-</v>
      </c>
      <c r="F284" s="120">
        <f>VLOOKUP(C284,'Talente &amp; Stuff'!C:AD,4,FALSE)</f>
        <v>0</v>
      </c>
      <c r="G284" s="117">
        <f>VLOOKUP(C284,'Talente &amp; Stuff'!C:AD,5,FALSE)</f>
        <v>0</v>
      </c>
      <c r="H284" s="117">
        <f>VLOOKUP(C284,'Talente &amp; Stuff'!C:AD,6,FALSE)</f>
        <v>0</v>
      </c>
      <c r="I284" s="117">
        <f>VLOOKUP(C284,'Talente &amp; Stuff'!C:AD,7,FALSE)</f>
        <v>0</v>
      </c>
      <c r="J284" s="117">
        <f>VLOOKUP(C284,'Talente &amp; Stuff'!C:AD,8,FALSE)</f>
        <v>0</v>
      </c>
      <c r="K284" s="117">
        <f>VLOOKUP(C284,'Talente &amp; Stuff'!C:AD,9,FALSE)</f>
        <v>0</v>
      </c>
      <c r="L284" s="117">
        <f>VLOOKUP(C284,'Talente &amp; Stuff'!C:AD,10,FALSE)</f>
        <v>0</v>
      </c>
      <c r="M284" s="121">
        <f>VLOOKUP(C284,'Talente &amp; Stuff'!C:AD,11,FALSE)</f>
        <v>0</v>
      </c>
      <c r="N284" s="47">
        <f>VLOOKUP(C284,'Talente &amp; Stuff'!C:AD,12,FALSE)</f>
        <v>0</v>
      </c>
      <c r="O284" s="3">
        <f>VLOOKUP(C284,'Talente &amp; Stuff'!C:AD,13,FALSE)</f>
        <v>0</v>
      </c>
      <c r="P284" s="174">
        <f>VLOOKUP(C284,'Talente &amp; Stuff'!C:AD,14,FALSE)</f>
        <v>0</v>
      </c>
      <c r="Q284" s="114">
        <f>VLOOKUP(C284,'Talente &amp; Stuff'!C:AD,15,FALSE)</f>
        <v>0</v>
      </c>
      <c r="R284" s="117">
        <f>VLOOKUP(C284,'Talente &amp; Stuff'!C:AD,16,FALSE)</f>
        <v>0</v>
      </c>
      <c r="S284" s="119">
        <f>VLOOKUP(C284,'Talente &amp; Stuff'!C:AD,17,FALSE)</f>
        <v>0</v>
      </c>
      <c r="T284" s="119">
        <f>VLOOKUP(C284,'Talente &amp; Stuff'!C:AD,18,FALSE)</f>
        <v>0</v>
      </c>
      <c r="U284" s="89">
        <f>VLOOKUP(C284,'Talente &amp; Stuff'!C:AD,19,FALSE)</f>
        <v>0</v>
      </c>
      <c r="V284" s="47">
        <f>VLOOKUP(C284,'Talente &amp; Stuff'!C:AD,20,FALSE)</f>
        <v>0</v>
      </c>
      <c r="W284" s="127">
        <f>VLOOKUP(C284,'Talente &amp; Stuff'!C:AD,21,FALSE)</f>
        <v>0</v>
      </c>
      <c r="X284" s="127">
        <f>VLOOKUP(C284,'Talente &amp; Stuff'!C:AD,22,FALSE)</f>
        <v>0</v>
      </c>
      <c r="Y284" s="165">
        <f t="shared" si="22"/>
        <v>0</v>
      </c>
      <c r="Z284" s="198">
        <f t="shared" si="23"/>
        <v>0</v>
      </c>
      <c r="AA284" s="125">
        <f>VLOOKUP(C284,'Talente &amp; Stuff'!C:AD,25,FALSE)</f>
        <v>0</v>
      </c>
      <c r="AB284" s="160">
        <f>VLOOKUP(C284,'Talente &amp; Stuff'!C:AD,26,FALSE)</f>
        <v>0</v>
      </c>
      <c r="AC284" s="127">
        <f>VLOOKUP(C284,'Talente &amp; Stuff'!C:AD,27,FALSE)</f>
        <v>0</v>
      </c>
      <c r="AD284" s="125">
        <f>VLOOKUP(C284,'Talente &amp; Stuff'!C:AD,28,FALSE)</f>
        <v>0</v>
      </c>
      <c r="AE284" s="28"/>
    </row>
    <row r="285" spans="2:31" s="148" customFormat="1" hidden="1" outlineLevel="2">
      <c r="B285" s="148">
        <v>25</v>
      </c>
      <c r="C285" s="163" t="s">
        <v>281</v>
      </c>
      <c r="D285" s="86" t="str">
        <f>VLOOKUP(C285,'Talente &amp; Stuff'!C:AD,2,FALSE)</f>
        <v>--/--/--</v>
      </c>
      <c r="E285" s="167" t="str">
        <f>VLOOKUP(C285,'Talente &amp; Stuff'!C:AD,3,FALSE)</f>
        <v>-</v>
      </c>
      <c r="F285" s="120">
        <f>VLOOKUP(C285,'Talente &amp; Stuff'!C:AD,4,FALSE)</f>
        <v>0</v>
      </c>
      <c r="G285" s="117">
        <f>VLOOKUP(C285,'Talente &amp; Stuff'!C:AD,5,FALSE)</f>
        <v>0</v>
      </c>
      <c r="H285" s="117">
        <f>VLOOKUP(C285,'Talente &amp; Stuff'!C:AD,6,FALSE)</f>
        <v>0</v>
      </c>
      <c r="I285" s="117">
        <f>VLOOKUP(C285,'Talente &amp; Stuff'!C:AD,7,FALSE)</f>
        <v>0</v>
      </c>
      <c r="J285" s="117">
        <f>VLOOKUP(C285,'Talente &amp; Stuff'!C:AD,8,FALSE)</f>
        <v>0</v>
      </c>
      <c r="K285" s="117">
        <f>VLOOKUP(C285,'Talente &amp; Stuff'!C:AD,9,FALSE)</f>
        <v>0</v>
      </c>
      <c r="L285" s="117">
        <f>VLOOKUP(C285,'Talente &amp; Stuff'!C:AD,10,FALSE)</f>
        <v>0</v>
      </c>
      <c r="M285" s="121">
        <f>VLOOKUP(C285,'Talente &amp; Stuff'!C:AD,11,FALSE)</f>
        <v>0</v>
      </c>
      <c r="N285" s="47">
        <f>VLOOKUP(C285,'Talente &amp; Stuff'!C:AD,12,FALSE)</f>
        <v>0</v>
      </c>
      <c r="O285" s="3">
        <f>VLOOKUP(C285,'Talente &amp; Stuff'!C:AD,13,FALSE)</f>
        <v>0</v>
      </c>
      <c r="P285" s="174">
        <f>VLOOKUP(C285,'Talente &amp; Stuff'!C:AD,14,FALSE)</f>
        <v>0</v>
      </c>
      <c r="Q285" s="114">
        <f>VLOOKUP(C285,'Talente &amp; Stuff'!C:AD,15,FALSE)</f>
        <v>0</v>
      </c>
      <c r="R285" s="117">
        <f>VLOOKUP(C285,'Talente &amp; Stuff'!C:AD,16,FALSE)</f>
        <v>0</v>
      </c>
      <c r="S285" s="119">
        <f>VLOOKUP(C285,'Talente &amp; Stuff'!C:AD,17,FALSE)</f>
        <v>0</v>
      </c>
      <c r="T285" s="119">
        <f>VLOOKUP(C285,'Talente &amp; Stuff'!C:AD,18,FALSE)</f>
        <v>0</v>
      </c>
      <c r="U285" s="89">
        <f>VLOOKUP(C285,'Talente &amp; Stuff'!C:AD,19,FALSE)</f>
        <v>0</v>
      </c>
      <c r="V285" s="47">
        <f>VLOOKUP(C285,'Talente &amp; Stuff'!C:AD,20,FALSE)</f>
        <v>0</v>
      </c>
      <c r="W285" s="127">
        <f>VLOOKUP(C285,'Talente &amp; Stuff'!C:AD,21,FALSE)</f>
        <v>0</v>
      </c>
      <c r="X285" s="127">
        <f>VLOOKUP(C285,'Talente &amp; Stuff'!C:AD,22,FALSE)</f>
        <v>0</v>
      </c>
      <c r="Y285" s="165">
        <f t="shared" si="22"/>
        <v>0</v>
      </c>
      <c r="Z285" s="198">
        <f t="shared" si="23"/>
        <v>0</v>
      </c>
      <c r="AA285" s="125">
        <f>VLOOKUP(C285,'Talente &amp; Stuff'!C:AD,25,FALSE)</f>
        <v>0</v>
      </c>
      <c r="AB285" s="160">
        <f>VLOOKUP(C285,'Talente &amp; Stuff'!C:AD,26,FALSE)</f>
        <v>0</v>
      </c>
      <c r="AC285" s="127">
        <f>VLOOKUP(C285,'Talente &amp; Stuff'!C:AD,27,FALSE)</f>
        <v>0</v>
      </c>
      <c r="AD285" s="125">
        <f>VLOOKUP(C285,'Talente &amp; Stuff'!C:AD,28,FALSE)</f>
        <v>0</v>
      </c>
      <c r="AE285" s="28"/>
    </row>
    <row r="286" spans="2:31" s="148" customFormat="1" hidden="1" outlineLevel="2">
      <c r="B286" s="148">
        <v>26</v>
      </c>
      <c r="C286" s="163" t="s">
        <v>281</v>
      </c>
      <c r="D286" s="86" t="str">
        <f>VLOOKUP(C286,'Talente &amp; Stuff'!C:AD,2,FALSE)</f>
        <v>--/--/--</v>
      </c>
      <c r="E286" s="167" t="str">
        <f>VLOOKUP(C286,'Talente &amp; Stuff'!C:AD,3,FALSE)</f>
        <v>-</v>
      </c>
      <c r="F286" s="120">
        <f>VLOOKUP(C286,'Talente &amp; Stuff'!C:AD,4,FALSE)</f>
        <v>0</v>
      </c>
      <c r="G286" s="117">
        <f>VLOOKUP(C286,'Talente &amp; Stuff'!C:AD,5,FALSE)</f>
        <v>0</v>
      </c>
      <c r="H286" s="117">
        <f>VLOOKUP(C286,'Talente &amp; Stuff'!C:AD,6,FALSE)</f>
        <v>0</v>
      </c>
      <c r="I286" s="117">
        <f>VLOOKUP(C286,'Talente &amp; Stuff'!C:AD,7,FALSE)</f>
        <v>0</v>
      </c>
      <c r="J286" s="117">
        <f>VLOOKUP(C286,'Talente &amp; Stuff'!C:AD,8,FALSE)</f>
        <v>0</v>
      </c>
      <c r="K286" s="117">
        <f>VLOOKUP(C286,'Talente &amp; Stuff'!C:AD,9,FALSE)</f>
        <v>0</v>
      </c>
      <c r="L286" s="117">
        <f>VLOOKUP(C286,'Talente &amp; Stuff'!C:AD,10,FALSE)</f>
        <v>0</v>
      </c>
      <c r="M286" s="121">
        <f>VLOOKUP(C286,'Talente &amp; Stuff'!C:AD,11,FALSE)</f>
        <v>0</v>
      </c>
      <c r="N286" s="47">
        <f>VLOOKUP(C286,'Talente &amp; Stuff'!C:AD,12,FALSE)</f>
        <v>0</v>
      </c>
      <c r="O286" s="3">
        <f>VLOOKUP(C286,'Talente &amp; Stuff'!C:AD,13,FALSE)</f>
        <v>0</v>
      </c>
      <c r="P286" s="174">
        <f>VLOOKUP(C286,'Talente &amp; Stuff'!C:AD,14,FALSE)</f>
        <v>0</v>
      </c>
      <c r="Q286" s="114">
        <f>VLOOKUP(C286,'Talente &amp; Stuff'!C:AD,15,FALSE)</f>
        <v>0</v>
      </c>
      <c r="R286" s="117">
        <f>VLOOKUP(C286,'Talente &amp; Stuff'!C:AD,16,FALSE)</f>
        <v>0</v>
      </c>
      <c r="S286" s="119">
        <f>VLOOKUP(C286,'Talente &amp; Stuff'!C:AD,17,FALSE)</f>
        <v>0</v>
      </c>
      <c r="T286" s="119">
        <f>VLOOKUP(C286,'Talente &amp; Stuff'!C:AD,18,FALSE)</f>
        <v>0</v>
      </c>
      <c r="U286" s="89">
        <f>VLOOKUP(C286,'Talente &amp; Stuff'!C:AD,19,FALSE)</f>
        <v>0</v>
      </c>
      <c r="V286" s="47">
        <f>VLOOKUP(C286,'Talente &amp; Stuff'!C:AD,20,FALSE)</f>
        <v>0</v>
      </c>
      <c r="W286" s="127">
        <f>VLOOKUP(C286,'Talente &amp; Stuff'!C:AD,21,FALSE)</f>
        <v>0</v>
      </c>
      <c r="X286" s="127">
        <f>VLOOKUP(C286,'Talente &amp; Stuff'!C:AD,22,FALSE)</f>
        <v>0</v>
      </c>
      <c r="Y286" s="165">
        <f t="shared" si="22"/>
        <v>0</v>
      </c>
      <c r="Z286" s="198">
        <f t="shared" si="23"/>
        <v>0</v>
      </c>
      <c r="AA286" s="125">
        <f>VLOOKUP(C286,'Talente &amp; Stuff'!C:AD,25,FALSE)</f>
        <v>0</v>
      </c>
      <c r="AB286" s="160">
        <f>VLOOKUP(C286,'Talente &amp; Stuff'!C:AD,26,FALSE)</f>
        <v>0</v>
      </c>
      <c r="AC286" s="127">
        <f>VLOOKUP(C286,'Talente &amp; Stuff'!C:AD,27,FALSE)</f>
        <v>0</v>
      </c>
      <c r="AD286" s="125">
        <f>VLOOKUP(C286,'Talente &amp; Stuff'!C:AD,28,FALSE)</f>
        <v>0</v>
      </c>
      <c r="AE286" s="28"/>
    </row>
    <row r="287" spans="2:31" s="148" customFormat="1" hidden="1" outlineLevel="2">
      <c r="B287" s="148">
        <v>27</v>
      </c>
      <c r="C287" s="163" t="s">
        <v>281</v>
      </c>
      <c r="D287" s="86" t="str">
        <f>VLOOKUP(C287,'Talente &amp; Stuff'!C:AD,2,FALSE)</f>
        <v>--/--/--</v>
      </c>
      <c r="E287" s="167" t="str">
        <f>VLOOKUP(C287,'Talente &amp; Stuff'!C:AD,3,FALSE)</f>
        <v>-</v>
      </c>
      <c r="F287" s="120">
        <f>VLOOKUP(C287,'Talente &amp; Stuff'!C:AD,4,FALSE)</f>
        <v>0</v>
      </c>
      <c r="G287" s="117">
        <f>VLOOKUP(C287,'Talente &amp; Stuff'!C:AD,5,FALSE)</f>
        <v>0</v>
      </c>
      <c r="H287" s="117">
        <f>VLOOKUP(C287,'Talente &amp; Stuff'!C:AD,6,FALSE)</f>
        <v>0</v>
      </c>
      <c r="I287" s="117">
        <f>VLOOKUP(C287,'Talente &amp; Stuff'!C:AD,7,FALSE)</f>
        <v>0</v>
      </c>
      <c r="J287" s="117">
        <f>VLOOKUP(C287,'Talente &amp; Stuff'!C:AD,8,FALSE)</f>
        <v>0</v>
      </c>
      <c r="K287" s="117">
        <f>VLOOKUP(C287,'Talente &amp; Stuff'!C:AD,9,FALSE)</f>
        <v>0</v>
      </c>
      <c r="L287" s="117">
        <f>VLOOKUP(C287,'Talente &amp; Stuff'!C:AD,10,FALSE)</f>
        <v>0</v>
      </c>
      <c r="M287" s="121">
        <f>VLOOKUP(C287,'Talente &amp; Stuff'!C:AD,11,FALSE)</f>
        <v>0</v>
      </c>
      <c r="N287" s="47">
        <f>VLOOKUP(C287,'Talente &amp; Stuff'!C:AD,12,FALSE)</f>
        <v>0</v>
      </c>
      <c r="O287" s="3">
        <f>VLOOKUP(C287,'Talente &amp; Stuff'!C:AD,13,FALSE)</f>
        <v>0</v>
      </c>
      <c r="P287" s="174">
        <f>VLOOKUP(C287,'Talente &amp; Stuff'!C:AD,14,FALSE)</f>
        <v>0</v>
      </c>
      <c r="Q287" s="114">
        <f>VLOOKUP(C287,'Talente &amp; Stuff'!C:AD,15,FALSE)</f>
        <v>0</v>
      </c>
      <c r="R287" s="117">
        <f>VLOOKUP(C287,'Talente &amp; Stuff'!C:AD,16,FALSE)</f>
        <v>0</v>
      </c>
      <c r="S287" s="119">
        <f>VLOOKUP(C287,'Talente &amp; Stuff'!C:AD,17,FALSE)</f>
        <v>0</v>
      </c>
      <c r="T287" s="119">
        <f>VLOOKUP(C287,'Talente &amp; Stuff'!C:AD,18,FALSE)</f>
        <v>0</v>
      </c>
      <c r="U287" s="89">
        <f>VLOOKUP(C287,'Talente &amp; Stuff'!C:AD,19,FALSE)</f>
        <v>0</v>
      </c>
      <c r="V287" s="47">
        <f>VLOOKUP(C287,'Talente &amp; Stuff'!C:AD,20,FALSE)</f>
        <v>0</v>
      </c>
      <c r="W287" s="127">
        <f>VLOOKUP(C287,'Talente &amp; Stuff'!C:AD,21,FALSE)</f>
        <v>0</v>
      </c>
      <c r="X287" s="127">
        <f>VLOOKUP(C287,'Talente &amp; Stuff'!C:AD,22,FALSE)</f>
        <v>0</v>
      </c>
      <c r="Y287" s="165">
        <f t="shared" si="22"/>
        <v>0</v>
      </c>
      <c r="Z287" s="198">
        <f t="shared" si="23"/>
        <v>0</v>
      </c>
      <c r="AA287" s="125">
        <f>VLOOKUP(C287,'Talente &amp; Stuff'!C:AD,25,FALSE)</f>
        <v>0</v>
      </c>
      <c r="AB287" s="160">
        <f>VLOOKUP(C287,'Talente &amp; Stuff'!C:AD,26,FALSE)</f>
        <v>0</v>
      </c>
      <c r="AC287" s="127">
        <f>VLOOKUP(C287,'Talente &amp; Stuff'!C:AD,27,FALSE)</f>
        <v>0</v>
      </c>
      <c r="AD287" s="125">
        <f>VLOOKUP(C287,'Talente &amp; Stuff'!C:AD,28,FALSE)</f>
        <v>0</v>
      </c>
      <c r="AE287" s="28"/>
    </row>
    <row r="288" spans="2:31" s="148" customFormat="1" hidden="1" outlineLevel="2">
      <c r="B288" s="148">
        <v>28</v>
      </c>
      <c r="C288" s="163" t="s">
        <v>281</v>
      </c>
      <c r="D288" s="86" t="str">
        <f>VLOOKUP(C288,'Talente &amp; Stuff'!C:AD,2,FALSE)</f>
        <v>--/--/--</v>
      </c>
      <c r="E288" s="167" t="str">
        <f>VLOOKUP(C288,'Talente &amp; Stuff'!C:AD,3,FALSE)</f>
        <v>-</v>
      </c>
      <c r="F288" s="120">
        <f>VLOOKUP(C288,'Talente &amp; Stuff'!C:AD,4,FALSE)</f>
        <v>0</v>
      </c>
      <c r="G288" s="117">
        <f>VLOOKUP(C288,'Talente &amp; Stuff'!C:AD,5,FALSE)</f>
        <v>0</v>
      </c>
      <c r="H288" s="117">
        <f>VLOOKUP(C288,'Talente &amp; Stuff'!C:AD,6,FALSE)</f>
        <v>0</v>
      </c>
      <c r="I288" s="117">
        <f>VLOOKUP(C288,'Talente &amp; Stuff'!C:AD,7,FALSE)</f>
        <v>0</v>
      </c>
      <c r="J288" s="117">
        <f>VLOOKUP(C288,'Talente &amp; Stuff'!C:AD,8,FALSE)</f>
        <v>0</v>
      </c>
      <c r="K288" s="117">
        <f>VLOOKUP(C288,'Talente &amp; Stuff'!C:AD,9,FALSE)</f>
        <v>0</v>
      </c>
      <c r="L288" s="117">
        <f>VLOOKUP(C288,'Talente &amp; Stuff'!C:AD,10,FALSE)</f>
        <v>0</v>
      </c>
      <c r="M288" s="121">
        <f>VLOOKUP(C288,'Talente &amp; Stuff'!C:AD,11,FALSE)</f>
        <v>0</v>
      </c>
      <c r="N288" s="47">
        <f>VLOOKUP(C288,'Talente &amp; Stuff'!C:AD,12,FALSE)</f>
        <v>0</v>
      </c>
      <c r="O288" s="3">
        <f>VLOOKUP(C288,'Talente &amp; Stuff'!C:AD,13,FALSE)</f>
        <v>0</v>
      </c>
      <c r="P288" s="174">
        <f>VLOOKUP(C288,'Talente &amp; Stuff'!C:AD,14,FALSE)</f>
        <v>0</v>
      </c>
      <c r="Q288" s="114">
        <f>VLOOKUP(C288,'Talente &amp; Stuff'!C:AD,15,FALSE)</f>
        <v>0</v>
      </c>
      <c r="R288" s="117">
        <f>VLOOKUP(C288,'Talente &amp; Stuff'!C:AD,16,FALSE)</f>
        <v>0</v>
      </c>
      <c r="S288" s="119">
        <f>VLOOKUP(C288,'Talente &amp; Stuff'!C:AD,17,FALSE)</f>
        <v>0</v>
      </c>
      <c r="T288" s="119">
        <f>VLOOKUP(C288,'Talente &amp; Stuff'!C:AD,18,FALSE)</f>
        <v>0</v>
      </c>
      <c r="U288" s="89">
        <f>VLOOKUP(C288,'Talente &amp; Stuff'!C:AD,19,FALSE)</f>
        <v>0</v>
      </c>
      <c r="V288" s="47">
        <f>VLOOKUP(C288,'Talente &amp; Stuff'!C:AD,20,FALSE)</f>
        <v>0</v>
      </c>
      <c r="W288" s="127">
        <f>VLOOKUP(C288,'Talente &amp; Stuff'!C:AD,21,FALSE)</f>
        <v>0</v>
      </c>
      <c r="X288" s="127">
        <f>VLOOKUP(C288,'Talente &amp; Stuff'!C:AD,22,FALSE)</f>
        <v>0</v>
      </c>
      <c r="Y288" s="165">
        <f t="shared" si="22"/>
        <v>0</v>
      </c>
      <c r="Z288" s="198">
        <f t="shared" si="23"/>
        <v>0</v>
      </c>
      <c r="AA288" s="125">
        <f>VLOOKUP(C288,'Talente &amp; Stuff'!C:AD,25,FALSE)</f>
        <v>0</v>
      </c>
      <c r="AB288" s="160">
        <f>VLOOKUP(C288,'Talente &amp; Stuff'!C:AD,26,FALSE)</f>
        <v>0</v>
      </c>
      <c r="AC288" s="127">
        <f>VLOOKUP(C288,'Talente &amp; Stuff'!C:AD,27,FALSE)</f>
        <v>0</v>
      </c>
      <c r="AD288" s="125">
        <f>VLOOKUP(C288,'Talente &amp; Stuff'!C:AD,28,FALSE)</f>
        <v>0</v>
      </c>
      <c r="AE288" s="28"/>
    </row>
    <row r="289" spans="1:31" s="148" customFormat="1" hidden="1" outlineLevel="2">
      <c r="B289" s="148">
        <v>29</v>
      </c>
      <c r="C289" s="163" t="s">
        <v>281</v>
      </c>
      <c r="D289" s="125" t="str">
        <f>VLOOKUP(C289,'Talente &amp; Stuff'!C:AD,2,FALSE)</f>
        <v>--/--/--</v>
      </c>
      <c r="E289" s="127" t="str">
        <f>VLOOKUP(C289,'Talente &amp; Stuff'!C:AD,3,FALSE)</f>
        <v>-</v>
      </c>
      <c r="F289" s="114">
        <f>VLOOKUP(C289,'Talente &amp; Stuff'!C:AD,4,FALSE)</f>
        <v>0</v>
      </c>
      <c r="G289" s="113">
        <f>VLOOKUP(C289,'Talente &amp; Stuff'!C:AD,5,FALSE)</f>
        <v>0</v>
      </c>
      <c r="H289" s="113">
        <f>VLOOKUP(C289,'Talente &amp; Stuff'!C:AD,6,FALSE)</f>
        <v>0</v>
      </c>
      <c r="I289" s="113">
        <f>VLOOKUP(C289,'Talente &amp; Stuff'!C:AD,7,FALSE)</f>
        <v>0</v>
      </c>
      <c r="J289" s="113">
        <f>VLOOKUP(C289,'Talente &amp; Stuff'!C:AD,8,FALSE)</f>
        <v>0</v>
      </c>
      <c r="K289" s="113">
        <f>VLOOKUP(C289,'Talente &amp; Stuff'!C:AD,9,FALSE)</f>
        <v>0</v>
      </c>
      <c r="L289" s="113">
        <f>VLOOKUP(C289,'Talente &amp; Stuff'!C:AD,10,FALSE)</f>
        <v>0</v>
      </c>
      <c r="M289" s="119">
        <f>VLOOKUP(C289,'Talente &amp; Stuff'!C:AD,11,FALSE)</f>
        <v>0</v>
      </c>
      <c r="N289" s="47">
        <f>VLOOKUP(C289,'Talente &amp; Stuff'!C:AD,12,FALSE)</f>
        <v>0</v>
      </c>
      <c r="O289" s="47">
        <f>VLOOKUP(C289,'Talente &amp; Stuff'!C:AD,13,FALSE)</f>
        <v>0</v>
      </c>
      <c r="P289" s="119">
        <f>VLOOKUP(C289,'Talente &amp; Stuff'!C:AD,14,FALSE)</f>
        <v>0</v>
      </c>
      <c r="Q289" s="114">
        <f>VLOOKUP(C289,'Talente &amp; Stuff'!C:AD,15,FALSE)</f>
        <v>0</v>
      </c>
      <c r="R289" s="113">
        <f>VLOOKUP(C289,'Talente &amp; Stuff'!C:AD,16,FALSE)</f>
        <v>0</v>
      </c>
      <c r="S289" s="119">
        <f>VLOOKUP(C289,'Talente &amp; Stuff'!C:AD,17,FALSE)</f>
        <v>0</v>
      </c>
      <c r="T289" s="119">
        <f>VLOOKUP(C289,'Talente &amp; Stuff'!C:AD,18,FALSE)</f>
        <v>0</v>
      </c>
      <c r="U289" s="89">
        <f>VLOOKUP(C289,'Talente &amp; Stuff'!C:AD,19,FALSE)</f>
        <v>0</v>
      </c>
      <c r="V289" s="47">
        <f>VLOOKUP(C289,'Talente &amp; Stuff'!C:AD,20,FALSE)</f>
        <v>0</v>
      </c>
      <c r="W289" s="127">
        <f>VLOOKUP(C289,'Talente &amp; Stuff'!C:AD,21,FALSE)</f>
        <v>0</v>
      </c>
      <c r="X289" s="127">
        <f>VLOOKUP(C289,'Talente &amp; Stuff'!C:AD,22,FALSE)</f>
        <v>0</v>
      </c>
      <c r="Y289" s="165">
        <f t="shared" si="22"/>
        <v>0</v>
      </c>
      <c r="Z289" s="198">
        <f t="shared" si="23"/>
        <v>0</v>
      </c>
      <c r="AA289" s="125">
        <f>VLOOKUP(C289,'Talente &amp; Stuff'!C:AD,25,FALSE)</f>
        <v>0</v>
      </c>
      <c r="AB289" s="160">
        <f>VLOOKUP(C289,'Talente &amp; Stuff'!C:AD,26,FALSE)</f>
        <v>0</v>
      </c>
      <c r="AC289" s="127">
        <f>VLOOKUP(C289,'Talente &amp; Stuff'!C:AD,27,FALSE)</f>
        <v>0</v>
      </c>
      <c r="AD289" s="125">
        <f>VLOOKUP(C289,'Talente &amp; Stuff'!C:AD,28,FALSE)</f>
        <v>0</v>
      </c>
      <c r="AE289" s="28"/>
    </row>
    <row r="290" spans="1:31" s="148" customFormat="1" hidden="1" outlineLevel="2">
      <c r="B290" s="148">
        <v>30</v>
      </c>
      <c r="C290" s="163" t="s">
        <v>281</v>
      </c>
      <c r="D290" s="125" t="str">
        <f>VLOOKUP(C290,'Talente &amp; Stuff'!C:AD,2,FALSE)</f>
        <v>--/--/--</v>
      </c>
      <c r="E290" s="127" t="str">
        <f>VLOOKUP(C290,'Talente &amp; Stuff'!C:AD,3,FALSE)</f>
        <v>-</v>
      </c>
      <c r="F290" s="114">
        <f>VLOOKUP(C290,'Talente &amp; Stuff'!C:AD,4,FALSE)</f>
        <v>0</v>
      </c>
      <c r="G290" s="113">
        <f>VLOOKUP(C290,'Talente &amp; Stuff'!C:AD,5,FALSE)</f>
        <v>0</v>
      </c>
      <c r="H290" s="113">
        <f>VLOOKUP(C290,'Talente &amp; Stuff'!C:AD,6,FALSE)</f>
        <v>0</v>
      </c>
      <c r="I290" s="113">
        <f>VLOOKUP(C290,'Talente &amp; Stuff'!C:AD,7,FALSE)</f>
        <v>0</v>
      </c>
      <c r="J290" s="113">
        <f>VLOOKUP(C290,'Talente &amp; Stuff'!C:AD,8,FALSE)</f>
        <v>0</v>
      </c>
      <c r="K290" s="113">
        <f>VLOOKUP(C290,'Talente &amp; Stuff'!C:AD,9,FALSE)</f>
        <v>0</v>
      </c>
      <c r="L290" s="113">
        <f>VLOOKUP(C290,'Talente &amp; Stuff'!C:AD,10,FALSE)</f>
        <v>0</v>
      </c>
      <c r="M290" s="119">
        <f>VLOOKUP(C290,'Talente &amp; Stuff'!C:AD,11,FALSE)</f>
        <v>0</v>
      </c>
      <c r="N290" s="47">
        <f>VLOOKUP(C290,'Talente &amp; Stuff'!C:AD,12,FALSE)</f>
        <v>0</v>
      </c>
      <c r="O290" s="47">
        <f>VLOOKUP(C290,'Talente &amp; Stuff'!C:AD,13,FALSE)</f>
        <v>0</v>
      </c>
      <c r="P290" s="119">
        <f>VLOOKUP(C290,'Talente &amp; Stuff'!C:AD,14,FALSE)</f>
        <v>0</v>
      </c>
      <c r="Q290" s="114">
        <f>VLOOKUP(C290,'Talente &amp; Stuff'!C:AD,15,FALSE)</f>
        <v>0</v>
      </c>
      <c r="R290" s="113">
        <f>VLOOKUP(C290,'Talente &amp; Stuff'!C:AD,16,FALSE)</f>
        <v>0</v>
      </c>
      <c r="S290" s="119">
        <f>VLOOKUP(C290,'Talente &amp; Stuff'!C:AD,17,FALSE)</f>
        <v>0</v>
      </c>
      <c r="T290" s="119">
        <f>VLOOKUP(C290,'Talente &amp; Stuff'!C:AD,18,FALSE)</f>
        <v>0</v>
      </c>
      <c r="U290" s="89">
        <f>VLOOKUP(C290,'Talente &amp; Stuff'!C:AD,19,FALSE)</f>
        <v>0</v>
      </c>
      <c r="V290" s="47">
        <f>VLOOKUP(C290,'Talente &amp; Stuff'!C:AD,20,FALSE)</f>
        <v>0</v>
      </c>
      <c r="W290" s="127">
        <f>VLOOKUP(C290,'Talente &amp; Stuff'!C:AD,21,FALSE)</f>
        <v>0</v>
      </c>
      <c r="X290" s="127">
        <f>VLOOKUP(C290,'Talente &amp; Stuff'!C:AD,22,FALSE)</f>
        <v>0</v>
      </c>
      <c r="Y290" s="165">
        <f t="shared" si="22"/>
        <v>0</v>
      </c>
      <c r="Z290" s="198">
        <f t="shared" si="23"/>
        <v>0</v>
      </c>
      <c r="AA290" s="125">
        <f>VLOOKUP(C290,'Talente &amp; Stuff'!C:AD,25,FALSE)</f>
        <v>0</v>
      </c>
      <c r="AB290" s="160">
        <f>VLOOKUP(C290,'Talente &amp; Stuff'!C:AD,26,FALSE)</f>
        <v>0</v>
      </c>
      <c r="AC290" s="127">
        <f>VLOOKUP(C290,'Talente &amp; Stuff'!C:AD,27,FALSE)</f>
        <v>0</v>
      </c>
      <c r="AD290" s="125">
        <f>VLOOKUP(C290,'Talente &amp; Stuff'!C:AD,28,FALSE)</f>
        <v>0</v>
      </c>
      <c r="AE290" s="28"/>
    </row>
    <row r="291" spans="1:31" s="148" customFormat="1" hidden="1" outlineLevel="2">
      <c r="B291" s="148">
        <v>31</v>
      </c>
      <c r="C291" s="163" t="s">
        <v>281</v>
      </c>
      <c r="D291" s="125" t="str">
        <f>VLOOKUP(C291,'Talente &amp; Stuff'!C:AD,2,FALSE)</f>
        <v>--/--/--</v>
      </c>
      <c r="E291" s="127" t="str">
        <f>VLOOKUP(C291,'Talente &amp; Stuff'!C:AD,3,FALSE)</f>
        <v>-</v>
      </c>
      <c r="F291" s="114">
        <f>VLOOKUP(C291,'Talente &amp; Stuff'!C:AD,4,FALSE)</f>
        <v>0</v>
      </c>
      <c r="G291" s="113">
        <f>VLOOKUP(C291,'Talente &amp; Stuff'!C:AD,5,FALSE)</f>
        <v>0</v>
      </c>
      <c r="H291" s="113">
        <f>VLOOKUP(C291,'Talente &amp; Stuff'!C:AD,6,FALSE)</f>
        <v>0</v>
      </c>
      <c r="I291" s="113">
        <f>VLOOKUP(C291,'Talente &amp; Stuff'!C:AD,7,FALSE)</f>
        <v>0</v>
      </c>
      <c r="J291" s="113">
        <f>VLOOKUP(C291,'Talente &amp; Stuff'!C:AD,8,FALSE)</f>
        <v>0</v>
      </c>
      <c r="K291" s="113">
        <f>VLOOKUP(C291,'Talente &amp; Stuff'!C:AD,9,FALSE)</f>
        <v>0</v>
      </c>
      <c r="L291" s="113">
        <f>VLOOKUP(C291,'Talente &amp; Stuff'!C:AD,10,FALSE)</f>
        <v>0</v>
      </c>
      <c r="M291" s="119">
        <f>VLOOKUP(C291,'Talente &amp; Stuff'!C:AD,11,FALSE)</f>
        <v>0</v>
      </c>
      <c r="N291" s="47">
        <f>VLOOKUP(C291,'Talente &amp; Stuff'!C:AD,12,FALSE)</f>
        <v>0</v>
      </c>
      <c r="O291" s="47">
        <f>VLOOKUP(C291,'Talente &amp; Stuff'!C:AD,13,FALSE)</f>
        <v>0</v>
      </c>
      <c r="P291" s="119">
        <f>VLOOKUP(C291,'Talente &amp; Stuff'!C:AD,14,FALSE)</f>
        <v>0</v>
      </c>
      <c r="Q291" s="114">
        <f>VLOOKUP(C291,'Talente &amp; Stuff'!C:AD,15,FALSE)</f>
        <v>0</v>
      </c>
      <c r="R291" s="113">
        <f>VLOOKUP(C291,'Talente &amp; Stuff'!C:AD,16,FALSE)</f>
        <v>0</v>
      </c>
      <c r="S291" s="119">
        <f>VLOOKUP(C291,'Talente &amp; Stuff'!C:AD,17,FALSE)</f>
        <v>0</v>
      </c>
      <c r="T291" s="119">
        <f>VLOOKUP(C291,'Talente &amp; Stuff'!C:AD,18,FALSE)</f>
        <v>0</v>
      </c>
      <c r="U291" s="89">
        <f>VLOOKUP(C291,'Talente &amp; Stuff'!C:AD,19,FALSE)</f>
        <v>0</v>
      </c>
      <c r="V291" s="47">
        <f>VLOOKUP(C291,'Talente &amp; Stuff'!C:AD,20,FALSE)</f>
        <v>0</v>
      </c>
      <c r="W291" s="127">
        <f>VLOOKUP(C291,'Talente &amp; Stuff'!C:AD,21,FALSE)</f>
        <v>0</v>
      </c>
      <c r="X291" s="127">
        <f>VLOOKUP(C291,'Talente &amp; Stuff'!C:AD,22,FALSE)</f>
        <v>0</v>
      </c>
      <c r="Y291" s="165">
        <f t="shared" si="22"/>
        <v>0</v>
      </c>
      <c r="Z291" s="198">
        <f t="shared" si="23"/>
        <v>0</v>
      </c>
      <c r="AA291" s="125">
        <f>VLOOKUP(C291,'Talente &amp; Stuff'!C:AD,25,FALSE)</f>
        <v>0</v>
      </c>
      <c r="AB291" s="160">
        <f>VLOOKUP(C291,'Talente &amp; Stuff'!C:AD,26,FALSE)</f>
        <v>0</v>
      </c>
      <c r="AC291" s="127">
        <f>VLOOKUP(C291,'Talente &amp; Stuff'!C:AD,27,FALSE)</f>
        <v>0</v>
      </c>
      <c r="AD291" s="125">
        <f>VLOOKUP(C291,'Talente &amp; Stuff'!C:AD,28,FALSE)</f>
        <v>0</v>
      </c>
      <c r="AE291" s="28"/>
    </row>
    <row r="292" spans="1:31" s="148" customFormat="1" hidden="1" outlineLevel="2">
      <c r="B292" s="148">
        <v>32</v>
      </c>
      <c r="C292" s="163" t="s">
        <v>281</v>
      </c>
      <c r="D292" s="125" t="str">
        <f>VLOOKUP(C292,'Talente &amp; Stuff'!C:AD,2,FALSE)</f>
        <v>--/--/--</v>
      </c>
      <c r="E292" s="127" t="str">
        <f>VLOOKUP(C292,'Talente &amp; Stuff'!C:AD,3,FALSE)</f>
        <v>-</v>
      </c>
      <c r="F292" s="114">
        <f>VLOOKUP(C292,'Talente &amp; Stuff'!C:AD,4,FALSE)</f>
        <v>0</v>
      </c>
      <c r="G292" s="113">
        <f>VLOOKUP(C292,'Talente &amp; Stuff'!C:AD,5,FALSE)</f>
        <v>0</v>
      </c>
      <c r="H292" s="113">
        <f>VLOOKUP(C292,'Talente &amp; Stuff'!C:AD,6,FALSE)</f>
        <v>0</v>
      </c>
      <c r="I292" s="113">
        <f>VLOOKUP(C292,'Talente &amp; Stuff'!C:AD,7,FALSE)</f>
        <v>0</v>
      </c>
      <c r="J292" s="113">
        <f>VLOOKUP(C292,'Talente &amp; Stuff'!C:AD,8,FALSE)</f>
        <v>0</v>
      </c>
      <c r="K292" s="113">
        <f>VLOOKUP(C292,'Talente &amp; Stuff'!C:AD,9,FALSE)</f>
        <v>0</v>
      </c>
      <c r="L292" s="113">
        <f>VLOOKUP(C292,'Talente &amp; Stuff'!C:AD,10,FALSE)</f>
        <v>0</v>
      </c>
      <c r="M292" s="119">
        <f>VLOOKUP(C292,'Talente &amp; Stuff'!C:AD,11,FALSE)</f>
        <v>0</v>
      </c>
      <c r="N292" s="47">
        <f>VLOOKUP(C292,'Talente &amp; Stuff'!C:AD,12,FALSE)</f>
        <v>0</v>
      </c>
      <c r="O292" s="47">
        <f>VLOOKUP(C292,'Talente &amp; Stuff'!C:AD,13,FALSE)</f>
        <v>0</v>
      </c>
      <c r="P292" s="119">
        <f>VLOOKUP(C292,'Talente &amp; Stuff'!C:AD,14,FALSE)</f>
        <v>0</v>
      </c>
      <c r="Q292" s="114">
        <f>VLOOKUP(C292,'Talente &amp; Stuff'!C:AD,15,FALSE)</f>
        <v>0</v>
      </c>
      <c r="R292" s="113">
        <f>VLOOKUP(C292,'Talente &amp; Stuff'!C:AD,16,FALSE)</f>
        <v>0</v>
      </c>
      <c r="S292" s="119">
        <f>VLOOKUP(C292,'Talente &amp; Stuff'!C:AD,17,FALSE)</f>
        <v>0</v>
      </c>
      <c r="T292" s="119">
        <f>VLOOKUP(C292,'Talente &amp; Stuff'!C:AD,18,FALSE)</f>
        <v>0</v>
      </c>
      <c r="U292" s="89">
        <f>VLOOKUP(C292,'Talente &amp; Stuff'!C:AD,19,FALSE)</f>
        <v>0</v>
      </c>
      <c r="V292" s="47">
        <f>VLOOKUP(C292,'Talente &amp; Stuff'!C:AD,20,FALSE)</f>
        <v>0</v>
      </c>
      <c r="W292" s="127">
        <f>VLOOKUP(C292,'Talente &amp; Stuff'!C:AD,21,FALSE)</f>
        <v>0</v>
      </c>
      <c r="X292" s="127">
        <f>VLOOKUP(C292,'Talente &amp; Stuff'!C:AD,22,FALSE)</f>
        <v>0</v>
      </c>
      <c r="Y292" s="165">
        <f t="shared" si="22"/>
        <v>0</v>
      </c>
      <c r="Z292" s="198">
        <f t="shared" si="23"/>
        <v>0</v>
      </c>
      <c r="AA292" s="125">
        <f>VLOOKUP(C292,'Talente &amp; Stuff'!C:AD,25,FALSE)</f>
        <v>0</v>
      </c>
      <c r="AB292" s="160">
        <f>VLOOKUP(C292,'Talente &amp; Stuff'!C:AD,26,FALSE)</f>
        <v>0</v>
      </c>
      <c r="AC292" s="127">
        <f>VLOOKUP(C292,'Talente &amp; Stuff'!C:AD,27,FALSE)</f>
        <v>0</v>
      </c>
      <c r="AD292" s="125">
        <f>VLOOKUP(C292,'Talente &amp; Stuff'!C:AD,28,FALSE)</f>
        <v>0</v>
      </c>
      <c r="AE292" s="28"/>
    </row>
    <row r="293" spans="1:31" s="148" customFormat="1" hidden="1" outlineLevel="2">
      <c r="B293" s="148">
        <v>33</v>
      </c>
      <c r="C293" s="163" t="s">
        <v>281</v>
      </c>
      <c r="D293" s="125" t="str">
        <f>VLOOKUP(C293,'Talente &amp; Stuff'!C:AD,2,FALSE)</f>
        <v>--/--/--</v>
      </c>
      <c r="E293" s="127" t="str">
        <f>VLOOKUP(C293,'Talente &amp; Stuff'!C:AD,3,FALSE)</f>
        <v>-</v>
      </c>
      <c r="F293" s="114">
        <f>VLOOKUP(C293,'Talente &amp; Stuff'!C:AD,4,FALSE)</f>
        <v>0</v>
      </c>
      <c r="G293" s="113">
        <f>VLOOKUP(C293,'Talente &amp; Stuff'!C:AD,5,FALSE)</f>
        <v>0</v>
      </c>
      <c r="H293" s="113">
        <f>VLOOKUP(C293,'Talente &amp; Stuff'!C:AD,6,FALSE)</f>
        <v>0</v>
      </c>
      <c r="I293" s="113">
        <f>VLOOKUP(C293,'Talente &amp; Stuff'!C:AD,7,FALSE)</f>
        <v>0</v>
      </c>
      <c r="J293" s="113">
        <f>VLOOKUP(C293,'Talente &amp; Stuff'!C:AD,8,FALSE)</f>
        <v>0</v>
      </c>
      <c r="K293" s="113">
        <f>VLOOKUP(C293,'Talente &amp; Stuff'!C:AD,9,FALSE)</f>
        <v>0</v>
      </c>
      <c r="L293" s="113">
        <f>VLOOKUP(C293,'Talente &amp; Stuff'!C:AD,10,FALSE)</f>
        <v>0</v>
      </c>
      <c r="M293" s="119">
        <f>VLOOKUP(C293,'Talente &amp; Stuff'!C:AD,11,FALSE)</f>
        <v>0</v>
      </c>
      <c r="N293" s="47">
        <f>VLOOKUP(C293,'Talente &amp; Stuff'!C:AD,12,FALSE)</f>
        <v>0</v>
      </c>
      <c r="O293" s="47">
        <f>VLOOKUP(C293,'Talente &amp; Stuff'!C:AD,13,FALSE)</f>
        <v>0</v>
      </c>
      <c r="P293" s="119">
        <f>VLOOKUP(C293,'Talente &amp; Stuff'!C:AD,14,FALSE)</f>
        <v>0</v>
      </c>
      <c r="Q293" s="114">
        <f>VLOOKUP(C293,'Talente &amp; Stuff'!C:AD,15,FALSE)</f>
        <v>0</v>
      </c>
      <c r="R293" s="113">
        <f>VLOOKUP(C293,'Talente &amp; Stuff'!C:AD,16,FALSE)</f>
        <v>0</v>
      </c>
      <c r="S293" s="119">
        <f>VLOOKUP(C293,'Talente &amp; Stuff'!C:AD,17,FALSE)</f>
        <v>0</v>
      </c>
      <c r="T293" s="119">
        <f>VLOOKUP(C293,'Talente &amp; Stuff'!C:AD,18,FALSE)</f>
        <v>0</v>
      </c>
      <c r="U293" s="89">
        <f>VLOOKUP(C293,'Talente &amp; Stuff'!C:AD,19,FALSE)</f>
        <v>0</v>
      </c>
      <c r="V293" s="47">
        <f>VLOOKUP(C293,'Talente &amp; Stuff'!C:AD,20,FALSE)</f>
        <v>0</v>
      </c>
      <c r="W293" s="127">
        <f>VLOOKUP(C293,'Talente &amp; Stuff'!C:AD,21,FALSE)</f>
        <v>0</v>
      </c>
      <c r="X293" s="127">
        <f>VLOOKUP(C293,'Talente &amp; Stuff'!C:AD,22,FALSE)</f>
        <v>0</v>
      </c>
      <c r="Y293" s="165">
        <f t="shared" si="22"/>
        <v>0</v>
      </c>
      <c r="Z293" s="198">
        <f t="shared" si="23"/>
        <v>0</v>
      </c>
      <c r="AA293" s="125">
        <f>VLOOKUP(C293,'Talente &amp; Stuff'!C:AD,25,FALSE)</f>
        <v>0</v>
      </c>
      <c r="AB293" s="160">
        <f>VLOOKUP(C293,'Talente &amp; Stuff'!C:AD,26,FALSE)</f>
        <v>0</v>
      </c>
      <c r="AC293" s="127">
        <f>VLOOKUP(C293,'Talente &amp; Stuff'!C:AD,27,FALSE)</f>
        <v>0</v>
      </c>
      <c r="AD293" s="125">
        <f>VLOOKUP(C293,'Talente &amp; Stuff'!C:AD,28,FALSE)</f>
        <v>0</v>
      </c>
      <c r="AE293" s="28"/>
    </row>
    <row r="294" spans="1:31" s="148" customFormat="1" hidden="1" outlineLevel="2">
      <c r="B294" s="148">
        <v>34</v>
      </c>
      <c r="C294" s="163" t="s">
        <v>281</v>
      </c>
      <c r="D294" s="125" t="str">
        <f>VLOOKUP(C294,'Talente &amp; Stuff'!C:AD,2,FALSE)</f>
        <v>--/--/--</v>
      </c>
      <c r="E294" s="127" t="str">
        <f>VLOOKUP(C294,'Talente &amp; Stuff'!C:AD,3,FALSE)</f>
        <v>-</v>
      </c>
      <c r="F294" s="114">
        <f>VLOOKUP(C294,'Talente &amp; Stuff'!C:AD,4,FALSE)</f>
        <v>0</v>
      </c>
      <c r="G294" s="113">
        <f>VLOOKUP(C294,'Talente &amp; Stuff'!C:AD,5,FALSE)</f>
        <v>0</v>
      </c>
      <c r="H294" s="113">
        <f>VLOOKUP(C294,'Talente &amp; Stuff'!C:AD,6,FALSE)</f>
        <v>0</v>
      </c>
      <c r="I294" s="113">
        <f>VLOOKUP(C294,'Talente &amp; Stuff'!C:AD,7,FALSE)</f>
        <v>0</v>
      </c>
      <c r="J294" s="113">
        <f>VLOOKUP(C294,'Talente &amp; Stuff'!C:AD,8,FALSE)</f>
        <v>0</v>
      </c>
      <c r="K294" s="113">
        <f>VLOOKUP(C294,'Talente &amp; Stuff'!C:AD,9,FALSE)</f>
        <v>0</v>
      </c>
      <c r="L294" s="113">
        <f>VLOOKUP(C294,'Talente &amp; Stuff'!C:AD,10,FALSE)</f>
        <v>0</v>
      </c>
      <c r="M294" s="119">
        <f>VLOOKUP(C294,'Talente &amp; Stuff'!C:AD,11,FALSE)</f>
        <v>0</v>
      </c>
      <c r="N294" s="47">
        <f>VLOOKUP(C294,'Talente &amp; Stuff'!C:AD,12,FALSE)</f>
        <v>0</v>
      </c>
      <c r="O294" s="47">
        <f>VLOOKUP(C294,'Talente &amp; Stuff'!C:AD,13,FALSE)</f>
        <v>0</v>
      </c>
      <c r="P294" s="119">
        <f>VLOOKUP(C294,'Talente &amp; Stuff'!C:AD,14,FALSE)</f>
        <v>0</v>
      </c>
      <c r="Q294" s="114">
        <f>VLOOKUP(C294,'Talente &amp; Stuff'!C:AD,15,FALSE)</f>
        <v>0</v>
      </c>
      <c r="R294" s="113">
        <f>VLOOKUP(C294,'Talente &amp; Stuff'!C:AD,16,FALSE)</f>
        <v>0</v>
      </c>
      <c r="S294" s="119">
        <f>VLOOKUP(C294,'Talente &amp; Stuff'!C:AD,17,FALSE)</f>
        <v>0</v>
      </c>
      <c r="T294" s="119">
        <f>VLOOKUP(C294,'Talente &amp; Stuff'!C:AD,18,FALSE)</f>
        <v>0</v>
      </c>
      <c r="U294" s="89">
        <f>VLOOKUP(C294,'Talente &amp; Stuff'!C:AD,19,FALSE)</f>
        <v>0</v>
      </c>
      <c r="V294" s="47">
        <f>VLOOKUP(C294,'Talente &amp; Stuff'!C:AD,20,FALSE)</f>
        <v>0</v>
      </c>
      <c r="W294" s="127">
        <f>VLOOKUP(C294,'Talente &amp; Stuff'!C:AD,21,FALSE)</f>
        <v>0</v>
      </c>
      <c r="X294" s="127">
        <f>VLOOKUP(C294,'Talente &amp; Stuff'!C:AD,22,FALSE)</f>
        <v>0</v>
      </c>
      <c r="Y294" s="165">
        <f t="shared" si="22"/>
        <v>0</v>
      </c>
      <c r="Z294" s="198">
        <f t="shared" si="23"/>
        <v>0</v>
      </c>
      <c r="AA294" s="125">
        <f>VLOOKUP(C294,'Talente &amp; Stuff'!C:AD,25,FALSE)</f>
        <v>0</v>
      </c>
      <c r="AB294" s="160">
        <f>VLOOKUP(C294,'Talente &amp; Stuff'!C:AD,26,FALSE)</f>
        <v>0</v>
      </c>
      <c r="AC294" s="127">
        <f>VLOOKUP(C294,'Talente &amp; Stuff'!C:AD,27,FALSE)</f>
        <v>0</v>
      </c>
      <c r="AD294" s="125">
        <f>VLOOKUP(C294,'Talente &amp; Stuff'!C:AD,28,FALSE)</f>
        <v>0</v>
      </c>
      <c r="AE294" s="28"/>
    </row>
    <row r="295" spans="1:31" s="148" customFormat="1" hidden="1" outlineLevel="2">
      <c r="B295" s="148">
        <v>35</v>
      </c>
      <c r="C295" s="163" t="s">
        <v>281</v>
      </c>
      <c r="D295" s="125" t="str">
        <f>VLOOKUP(C295,'Talente &amp; Stuff'!C:AD,2,FALSE)</f>
        <v>--/--/--</v>
      </c>
      <c r="E295" s="127" t="str">
        <f>VLOOKUP(C295,'Talente &amp; Stuff'!C:AD,3,FALSE)</f>
        <v>-</v>
      </c>
      <c r="F295" s="114">
        <f>VLOOKUP(C295,'Talente &amp; Stuff'!C:AD,4,FALSE)</f>
        <v>0</v>
      </c>
      <c r="G295" s="113">
        <f>VLOOKUP(C295,'Talente &amp; Stuff'!C:AD,5,FALSE)</f>
        <v>0</v>
      </c>
      <c r="H295" s="113">
        <f>VLOOKUP(C295,'Talente &amp; Stuff'!C:AD,6,FALSE)</f>
        <v>0</v>
      </c>
      <c r="I295" s="113">
        <f>VLOOKUP(C295,'Talente &amp; Stuff'!C:AD,7,FALSE)</f>
        <v>0</v>
      </c>
      <c r="J295" s="113">
        <f>VLOOKUP(C295,'Talente &amp; Stuff'!C:AD,8,FALSE)</f>
        <v>0</v>
      </c>
      <c r="K295" s="113">
        <f>VLOOKUP(C295,'Talente &amp; Stuff'!C:AD,9,FALSE)</f>
        <v>0</v>
      </c>
      <c r="L295" s="113">
        <f>VLOOKUP(C295,'Talente &amp; Stuff'!C:AD,10,FALSE)</f>
        <v>0</v>
      </c>
      <c r="M295" s="119">
        <f>VLOOKUP(C295,'Talente &amp; Stuff'!C:AD,11,FALSE)</f>
        <v>0</v>
      </c>
      <c r="N295" s="47">
        <f>VLOOKUP(C295,'Talente &amp; Stuff'!C:AD,12,FALSE)</f>
        <v>0</v>
      </c>
      <c r="O295" s="47">
        <f>VLOOKUP(C295,'Talente &amp; Stuff'!C:AD,13,FALSE)</f>
        <v>0</v>
      </c>
      <c r="P295" s="119">
        <f>VLOOKUP(C295,'Talente &amp; Stuff'!C:AD,14,FALSE)</f>
        <v>0</v>
      </c>
      <c r="Q295" s="114">
        <f>VLOOKUP(C295,'Talente &amp; Stuff'!C:AD,15,FALSE)</f>
        <v>0</v>
      </c>
      <c r="R295" s="113">
        <f>VLOOKUP(C295,'Talente &amp; Stuff'!C:AD,16,FALSE)</f>
        <v>0</v>
      </c>
      <c r="S295" s="119">
        <f>VLOOKUP(C295,'Talente &amp; Stuff'!C:AD,17,FALSE)</f>
        <v>0</v>
      </c>
      <c r="T295" s="119">
        <f>VLOOKUP(C295,'Talente &amp; Stuff'!C:AD,18,FALSE)</f>
        <v>0</v>
      </c>
      <c r="U295" s="89">
        <f>VLOOKUP(C295,'Talente &amp; Stuff'!C:AD,19,FALSE)</f>
        <v>0</v>
      </c>
      <c r="V295" s="47">
        <f>VLOOKUP(C295,'Talente &amp; Stuff'!C:AD,20,FALSE)</f>
        <v>0</v>
      </c>
      <c r="W295" s="127">
        <f>VLOOKUP(C295,'Talente &amp; Stuff'!C:AD,21,FALSE)</f>
        <v>0</v>
      </c>
      <c r="X295" s="127">
        <f>VLOOKUP(C295,'Talente &amp; Stuff'!C:AD,22,FALSE)</f>
        <v>0</v>
      </c>
      <c r="Y295" s="165">
        <f t="shared" si="22"/>
        <v>0</v>
      </c>
      <c r="Z295" s="198">
        <f t="shared" si="23"/>
        <v>0</v>
      </c>
      <c r="AA295" s="125">
        <f>VLOOKUP(C295,'Talente &amp; Stuff'!C:AD,25,FALSE)</f>
        <v>0</v>
      </c>
      <c r="AB295" s="160">
        <f>VLOOKUP(C295,'Talente &amp; Stuff'!C:AD,26,FALSE)</f>
        <v>0</v>
      </c>
      <c r="AC295" s="127">
        <f>VLOOKUP(C295,'Talente &amp; Stuff'!C:AD,27,FALSE)</f>
        <v>0</v>
      </c>
      <c r="AD295" s="125">
        <f>VLOOKUP(C295,'Talente &amp; Stuff'!C:AD,28,FALSE)</f>
        <v>0</v>
      </c>
      <c r="AE295" s="28"/>
    </row>
    <row r="296" spans="1:31" s="148" customFormat="1" hidden="1" outlineLevel="2">
      <c r="B296" s="148">
        <v>36</v>
      </c>
      <c r="C296" s="164" t="s">
        <v>281</v>
      </c>
      <c r="D296" s="159" t="str">
        <f>VLOOKUP(C296,'Talente &amp; Stuff'!C:AD,2,FALSE)</f>
        <v>--/--/--</v>
      </c>
      <c r="E296" s="128" t="str">
        <f>VLOOKUP(C296,'Talente &amp; Stuff'!C:AD,3,FALSE)</f>
        <v>-</v>
      </c>
      <c r="F296" s="115">
        <f>VLOOKUP(C296,'Talente &amp; Stuff'!C:AD,4,FALSE)</f>
        <v>0</v>
      </c>
      <c r="G296" s="122">
        <f>VLOOKUP(C296,'Talente &amp; Stuff'!C:AD,5,FALSE)</f>
        <v>0</v>
      </c>
      <c r="H296" s="122">
        <f>VLOOKUP(C296,'Talente &amp; Stuff'!C:AD,6,FALSE)</f>
        <v>0</v>
      </c>
      <c r="I296" s="122">
        <f>VLOOKUP(C296,'Talente &amp; Stuff'!C:AD,7,FALSE)</f>
        <v>0</v>
      </c>
      <c r="J296" s="122">
        <f>VLOOKUP(C296,'Talente &amp; Stuff'!C:AD,8,FALSE)</f>
        <v>0</v>
      </c>
      <c r="K296" s="122">
        <f>VLOOKUP(C296,'Talente &amp; Stuff'!C:AD,9,FALSE)</f>
        <v>0</v>
      </c>
      <c r="L296" s="122">
        <f>VLOOKUP(C296,'Talente &amp; Stuff'!C:AD,10,FALSE)</f>
        <v>0</v>
      </c>
      <c r="M296" s="123">
        <f>VLOOKUP(C296,'Talente &amp; Stuff'!C:AD,11,FALSE)</f>
        <v>0</v>
      </c>
      <c r="N296" s="88">
        <f>VLOOKUP(C296,'Talente &amp; Stuff'!C:AD,12,FALSE)</f>
        <v>0</v>
      </c>
      <c r="O296" s="88">
        <f>VLOOKUP(C296,'Talente &amp; Stuff'!C:AD,13,FALSE)</f>
        <v>0</v>
      </c>
      <c r="P296" s="123">
        <f>VLOOKUP(C296,'Talente &amp; Stuff'!C:AD,14,FALSE)</f>
        <v>0</v>
      </c>
      <c r="Q296" s="115">
        <f>VLOOKUP(C296,'Talente &amp; Stuff'!C:AD,15,FALSE)</f>
        <v>0</v>
      </c>
      <c r="R296" s="122">
        <f>VLOOKUP(C296,'Talente &amp; Stuff'!C:AD,16,FALSE)</f>
        <v>0</v>
      </c>
      <c r="S296" s="123">
        <f>VLOOKUP(C296,'Talente &amp; Stuff'!C:AD,17,FALSE)</f>
        <v>0</v>
      </c>
      <c r="T296" s="123">
        <f>VLOOKUP(C296,'Talente &amp; Stuff'!C:AD,18,FALSE)</f>
        <v>0</v>
      </c>
      <c r="U296" s="90">
        <f>VLOOKUP(C296,'Talente &amp; Stuff'!C:AD,19,FALSE)</f>
        <v>0</v>
      </c>
      <c r="V296" s="88">
        <f>VLOOKUP(C296,'Talente &amp; Stuff'!C:AD,20,FALSE)</f>
        <v>0</v>
      </c>
      <c r="W296" s="128">
        <f>VLOOKUP(C296,'Talente &amp; Stuff'!C:AD,21,FALSE)</f>
        <v>0</v>
      </c>
      <c r="X296" s="128">
        <f>VLOOKUP(C296,'Talente &amp; Stuff'!C:AD,22,FALSE)</f>
        <v>0</v>
      </c>
      <c r="Y296" s="165">
        <f t="shared" si="22"/>
        <v>0</v>
      </c>
      <c r="Z296" s="198">
        <f t="shared" si="23"/>
        <v>0</v>
      </c>
      <c r="AA296" s="159">
        <f>VLOOKUP(C296,'Talente &amp; Stuff'!C:AD,25,FALSE)</f>
        <v>0</v>
      </c>
      <c r="AB296" s="161">
        <f>VLOOKUP(C296,'Talente &amp; Stuff'!C:AD,26,FALSE)</f>
        <v>0</v>
      </c>
      <c r="AC296" s="128">
        <f>VLOOKUP(C296,'Talente &amp; Stuff'!C:AD,27,FALSE)</f>
        <v>0</v>
      </c>
      <c r="AD296" s="159">
        <f>VLOOKUP(C296,'Talente &amp; Stuff'!C:AD,28,FALSE)</f>
        <v>0</v>
      </c>
      <c r="AE296" s="28"/>
    </row>
    <row r="297" spans="1:31" s="217" customFormat="1" hidden="1" outlineLevel="1" collapsed="1">
      <c r="A297" s="185"/>
      <c r="B297" s="216" t="s">
        <v>445</v>
      </c>
      <c r="C297" s="307"/>
      <c r="D297" s="308"/>
      <c r="E297" s="308"/>
      <c r="Y297" s="251"/>
      <c r="Z297" s="251"/>
    </row>
    <row r="298" spans="1:31" s="217" customFormat="1" hidden="1" outlineLevel="2">
      <c r="A298" s="185"/>
      <c r="B298" s="217">
        <v>1</v>
      </c>
      <c r="C298" s="302" t="s">
        <v>281</v>
      </c>
      <c r="D298" s="42" t="str">
        <f>VLOOKUP(C298,'Talente &amp; Stuff'!C:AD,2,FALSE)</f>
        <v>--/--/--</v>
      </c>
      <c r="E298" s="241" t="str">
        <f>VLOOKUP(C298,'Talente &amp; Stuff'!C:AD,3,FALSE)</f>
        <v>-</v>
      </c>
      <c r="F298" s="236">
        <f>VLOOKUP(C298,'Talente &amp; Stuff'!C:AD,4,FALSE)</f>
        <v>0</v>
      </c>
      <c r="G298" s="233">
        <f>VLOOKUP(C298,'Talente &amp; Stuff'!C:AD,5,FALSE)</f>
        <v>0</v>
      </c>
      <c r="H298" s="233">
        <f>VLOOKUP(C298,'Talente &amp; Stuff'!C:AD,6,FALSE)</f>
        <v>0</v>
      </c>
      <c r="I298" s="233">
        <f>VLOOKUP(C298,'Talente &amp; Stuff'!C:AD,7,FALSE)</f>
        <v>0</v>
      </c>
      <c r="J298" s="233">
        <f>VLOOKUP(C298,'Talente &amp; Stuff'!C:AD,8,FALSE)</f>
        <v>0</v>
      </c>
      <c r="K298" s="233">
        <f>VLOOKUP(C298,'Talente &amp; Stuff'!C:AD,9,FALSE)</f>
        <v>0</v>
      </c>
      <c r="L298" s="233">
        <f>VLOOKUP(C298,'Talente &amp; Stuff'!C:AD,10,FALSE)</f>
        <v>0</v>
      </c>
      <c r="M298" s="221">
        <f>VLOOKUP(C298,'Talente &amp; Stuff'!C:AD,11,FALSE)</f>
        <v>0</v>
      </c>
      <c r="N298" s="220">
        <f>VLOOKUP(C298,'Talente &amp; Stuff'!C:AD,12,FALSE)</f>
        <v>0</v>
      </c>
      <c r="O298" s="220">
        <f>VLOOKUP(C298,'Talente &amp; Stuff'!C:AD,13,FALSE)</f>
        <v>0</v>
      </c>
      <c r="P298" s="221">
        <f>VLOOKUP(C298,'Talente &amp; Stuff'!C:AD,14,FALSE)</f>
        <v>0</v>
      </c>
      <c r="Q298" s="236">
        <f>VLOOKUP(C298,'Talente &amp; Stuff'!C:AD,15,FALSE)</f>
        <v>0</v>
      </c>
      <c r="R298" s="233">
        <f>VLOOKUP(C298,'Talente &amp; Stuff'!C:AD,16,FALSE)</f>
        <v>0</v>
      </c>
      <c r="S298" s="221">
        <f>VLOOKUP(C298,'Talente &amp; Stuff'!C:AD,17,FALSE)</f>
        <v>0</v>
      </c>
      <c r="T298" s="221">
        <f>VLOOKUP(C298,'Talente &amp; Stuff'!C:AD,18,FALSE)</f>
        <v>0</v>
      </c>
      <c r="U298" s="219">
        <f>VLOOKUP(C298,'Talente &amp; Stuff'!C:AD,19,FALSE)</f>
        <v>0</v>
      </c>
      <c r="V298" s="220">
        <f>VLOOKUP(C298,'Talente &amp; Stuff'!C:AD,20,FALSE)</f>
        <v>0</v>
      </c>
      <c r="W298" s="241">
        <f>VLOOKUP(C298,'Talente &amp; Stuff'!C:AD,21,FALSE)</f>
        <v>0</v>
      </c>
      <c r="X298" s="241">
        <f>VLOOKUP(C298,'Talente &amp; Stuff'!C:AD,22,FALSE)</f>
        <v>0</v>
      </c>
      <c r="Y298" s="252">
        <f>VLOOKUP(C298,Ausgewählte_Zauber_Zauberbarden,23,FALSE)</f>
        <v>0</v>
      </c>
      <c r="Z298" s="309">
        <f>VLOOKUP(C298,Ausgewählte_Zauber_Zauberbarden,24,FALSE)</f>
        <v>0</v>
      </c>
      <c r="AA298" s="42">
        <f>VLOOKUP(C298,'Talente &amp; Stuff'!C:AD,25,FALSE)</f>
        <v>0</v>
      </c>
      <c r="AB298" s="78">
        <f>VLOOKUP(C298,'Talente &amp; Stuff'!C:AD,26,FALSE)</f>
        <v>0</v>
      </c>
      <c r="AC298" s="241">
        <f>VLOOKUP(C298,'Talente &amp; Stuff'!C:AD,27,FALSE)</f>
        <v>0</v>
      </c>
      <c r="AD298" s="42">
        <f>VLOOKUP(C298,'Talente &amp; Stuff'!C:AD,28,FALSE)</f>
        <v>0</v>
      </c>
      <c r="AE298" s="343"/>
    </row>
    <row r="299" spans="1:31" s="217" customFormat="1" hidden="1" outlineLevel="2">
      <c r="A299" s="185"/>
      <c r="B299" s="217">
        <v>2</v>
      </c>
      <c r="C299" s="303" t="s">
        <v>281</v>
      </c>
      <c r="D299" s="218" t="str">
        <f>VLOOKUP(C299,'Talente &amp; Stuff'!C:AD,2,FALSE)</f>
        <v>--/--/--</v>
      </c>
      <c r="E299" s="243" t="str">
        <f>VLOOKUP(C299,'Talente &amp; Stuff'!C:AD,3,FALSE)</f>
        <v>-</v>
      </c>
      <c r="F299" s="237">
        <f>VLOOKUP(C299,'Talente &amp; Stuff'!C:AD,4,FALSE)</f>
        <v>0</v>
      </c>
      <c r="G299" s="234">
        <f>VLOOKUP(C299,'Talente &amp; Stuff'!C:AD,5,FALSE)</f>
        <v>0</v>
      </c>
      <c r="H299" s="234">
        <f>VLOOKUP(C299,'Talente &amp; Stuff'!C:AD,6,FALSE)</f>
        <v>0</v>
      </c>
      <c r="I299" s="234">
        <f>VLOOKUP(C299,'Talente &amp; Stuff'!C:AD,7,FALSE)</f>
        <v>0</v>
      </c>
      <c r="J299" s="234">
        <f>VLOOKUP(C299,'Talente &amp; Stuff'!C:AD,8,FALSE)</f>
        <v>0</v>
      </c>
      <c r="K299" s="234">
        <f>VLOOKUP(C299,'Talente &amp; Stuff'!C:AD,9,FALSE)</f>
        <v>0</v>
      </c>
      <c r="L299" s="234">
        <f>VLOOKUP(C299,'Talente &amp; Stuff'!C:AD,10,FALSE)</f>
        <v>0</v>
      </c>
      <c r="M299" s="224">
        <f>VLOOKUP(C299,'Talente &amp; Stuff'!C:AD,11,FALSE)</f>
        <v>0</v>
      </c>
      <c r="N299" s="223">
        <f>VLOOKUP(C299,'Talente &amp; Stuff'!C:AD,12,FALSE)</f>
        <v>0</v>
      </c>
      <c r="O299" s="223">
        <f>VLOOKUP(C299,'Talente &amp; Stuff'!C:AD,13,FALSE)</f>
        <v>0</v>
      </c>
      <c r="P299" s="224">
        <f>VLOOKUP(C299,'Talente &amp; Stuff'!C:AD,14,FALSE)</f>
        <v>0</v>
      </c>
      <c r="Q299" s="237">
        <f>VLOOKUP(C299,'Talente &amp; Stuff'!C:AD,15,FALSE)</f>
        <v>0</v>
      </c>
      <c r="R299" s="234">
        <f>VLOOKUP(C299,'Talente &amp; Stuff'!C:AD,16,FALSE)</f>
        <v>0</v>
      </c>
      <c r="S299" s="224">
        <f>VLOOKUP(C299,'Talente &amp; Stuff'!C:AD,17,FALSE)</f>
        <v>0</v>
      </c>
      <c r="T299" s="224">
        <f>VLOOKUP(C299,'Talente &amp; Stuff'!C:AD,18,FALSE)</f>
        <v>0</v>
      </c>
      <c r="U299" s="222">
        <f>VLOOKUP(C299,'Talente &amp; Stuff'!C:AD,19,FALSE)</f>
        <v>0</v>
      </c>
      <c r="V299" s="223">
        <f>VLOOKUP(C299,'Talente &amp; Stuff'!C:AD,20,FALSE)</f>
        <v>0</v>
      </c>
      <c r="W299" s="243">
        <f>VLOOKUP(C299,'Talente &amp; Stuff'!C:AD,21,FALSE)</f>
        <v>0</v>
      </c>
      <c r="X299" s="243">
        <f>VLOOKUP(C299,'Talente &amp; Stuff'!C:AD,22,FALSE)</f>
        <v>0</v>
      </c>
      <c r="Y299" s="252">
        <f>VLOOKUP(C299,Ausgewählte_Zauber_Zauberbarden,23,FALSE)</f>
        <v>0</v>
      </c>
      <c r="Z299" s="309">
        <f>VLOOKUP(C299,Ausgewählte_Zauber_Zauberbarden,24,FALSE)</f>
        <v>0</v>
      </c>
      <c r="AA299" s="218">
        <f>VLOOKUP(C299,'Talente &amp; Stuff'!C:AD,25,FALSE)</f>
        <v>0</v>
      </c>
      <c r="AB299" s="242">
        <f>VLOOKUP(C299,'Talente &amp; Stuff'!C:AD,26,FALSE)</f>
        <v>0</v>
      </c>
      <c r="AC299" s="243">
        <f>VLOOKUP(C299,'Talente &amp; Stuff'!C:AD,27,FALSE)</f>
        <v>0</v>
      </c>
      <c r="AD299" s="218">
        <f>VLOOKUP(C299,'Talente &amp; Stuff'!C:AD,28,FALSE)</f>
        <v>0</v>
      </c>
      <c r="AE299" s="343"/>
    </row>
    <row r="300" spans="1:31" s="217" customFormat="1" hidden="1" outlineLevel="2">
      <c r="A300" s="185"/>
      <c r="B300" s="217">
        <v>3</v>
      </c>
      <c r="C300" s="303" t="s">
        <v>281</v>
      </c>
      <c r="D300" s="218" t="str">
        <f>VLOOKUP(C300,'Talente &amp; Stuff'!C:AD,2,FALSE)</f>
        <v>--/--/--</v>
      </c>
      <c r="E300" s="243" t="str">
        <f>VLOOKUP(C300,'Talente &amp; Stuff'!C:AD,3,FALSE)</f>
        <v>-</v>
      </c>
      <c r="F300" s="237">
        <f>VLOOKUP(C300,'Talente &amp; Stuff'!C:AD,4,FALSE)</f>
        <v>0</v>
      </c>
      <c r="G300" s="234">
        <f>VLOOKUP(C300,'Talente &amp; Stuff'!C:AD,5,FALSE)</f>
        <v>0</v>
      </c>
      <c r="H300" s="234">
        <f>VLOOKUP(C300,'Talente &amp; Stuff'!C:AD,6,FALSE)</f>
        <v>0</v>
      </c>
      <c r="I300" s="234">
        <f>VLOOKUP(C300,'Talente &amp; Stuff'!C:AD,7,FALSE)</f>
        <v>0</v>
      </c>
      <c r="J300" s="234">
        <f>VLOOKUP(C300,'Talente &amp; Stuff'!C:AD,8,FALSE)</f>
        <v>0</v>
      </c>
      <c r="K300" s="234">
        <f>VLOOKUP(C300,'Talente &amp; Stuff'!C:AD,9,FALSE)</f>
        <v>0</v>
      </c>
      <c r="L300" s="234">
        <f>VLOOKUP(C300,'Talente &amp; Stuff'!C:AD,10,FALSE)</f>
        <v>0</v>
      </c>
      <c r="M300" s="224">
        <f>VLOOKUP(C300,'Talente &amp; Stuff'!C:AD,11,FALSE)</f>
        <v>0</v>
      </c>
      <c r="N300" s="223">
        <f>VLOOKUP(C300,'Talente &amp; Stuff'!C:AD,12,FALSE)</f>
        <v>0</v>
      </c>
      <c r="O300" s="223">
        <f>VLOOKUP(C300,'Talente &amp; Stuff'!C:AD,13,FALSE)</f>
        <v>0</v>
      </c>
      <c r="P300" s="224">
        <f>VLOOKUP(C300,'Talente &amp; Stuff'!C:AD,14,FALSE)</f>
        <v>0</v>
      </c>
      <c r="Q300" s="237">
        <f>VLOOKUP(C300,'Talente &amp; Stuff'!C:AD,15,FALSE)</f>
        <v>0</v>
      </c>
      <c r="R300" s="234">
        <f>VLOOKUP(C300,'Talente &amp; Stuff'!C:AD,16,FALSE)</f>
        <v>0</v>
      </c>
      <c r="S300" s="224">
        <f>VLOOKUP(C300,'Talente &amp; Stuff'!C:AD,17,FALSE)</f>
        <v>0</v>
      </c>
      <c r="T300" s="224">
        <f>VLOOKUP(C300,'Talente &amp; Stuff'!C:AD,18,FALSE)</f>
        <v>0</v>
      </c>
      <c r="U300" s="222">
        <f>VLOOKUP(C300,'Talente &amp; Stuff'!C:AD,19,FALSE)</f>
        <v>0</v>
      </c>
      <c r="V300" s="223">
        <f>VLOOKUP(C300,'Talente &amp; Stuff'!C:AD,20,FALSE)</f>
        <v>0</v>
      </c>
      <c r="W300" s="243">
        <f>VLOOKUP(C300,'Talente &amp; Stuff'!C:AD,21,FALSE)</f>
        <v>0</v>
      </c>
      <c r="X300" s="243">
        <f>VLOOKUP(C300,'Talente &amp; Stuff'!C:AD,22,FALSE)</f>
        <v>0</v>
      </c>
      <c r="Y300" s="252">
        <f>VLOOKUP(C300,Ausgewählte_Zauber_Zauberbarden,23,FALSE)</f>
        <v>0</v>
      </c>
      <c r="Z300" s="309">
        <f>VLOOKUP(C300,Ausgewählte_Zauber_Zauberbarden,24,FALSE)</f>
        <v>0</v>
      </c>
      <c r="AA300" s="218">
        <f>VLOOKUP(C300,'Talente &amp; Stuff'!C:AD,25,FALSE)</f>
        <v>0</v>
      </c>
      <c r="AB300" s="242">
        <f>VLOOKUP(C300,'Talente &amp; Stuff'!C:AD,26,FALSE)</f>
        <v>0</v>
      </c>
      <c r="AC300" s="243">
        <f>VLOOKUP(C300,'Talente &amp; Stuff'!C:AD,27,FALSE)</f>
        <v>0</v>
      </c>
      <c r="AD300" s="218">
        <f>VLOOKUP(C300,'Talente &amp; Stuff'!C:AD,28,FALSE)</f>
        <v>0</v>
      </c>
      <c r="AE300" s="343"/>
    </row>
    <row r="301" spans="1:31" s="217" customFormat="1" hidden="1" outlineLevel="2">
      <c r="A301" s="185"/>
      <c r="B301" s="217">
        <v>4</v>
      </c>
      <c r="C301" s="303" t="s">
        <v>281</v>
      </c>
      <c r="D301" s="218" t="str">
        <f>VLOOKUP(C301,'Talente &amp; Stuff'!C:AD,2,FALSE)</f>
        <v>--/--/--</v>
      </c>
      <c r="E301" s="243" t="str">
        <f>VLOOKUP(C301,'Talente &amp; Stuff'!C:AD,3,FALSE)</f>
        <v>-</v>
      </c>
      <c r="F301" s="237">
        <f>VLOOKUP(C301,'Talente &amp; Stuff'!C:AD,4,FALSE)</f>
        <v>0</v>
      </c>
      <c r="G301" s="234">
        <f>VLOOKUP(C301,'Talente &amp; Stuff'!C:AD,5,FALSE)</f>
        <v>0</v>
      </c>
      <c r="H301" s="234">
        <f>VLOOKUP(C301,'Talente &amp; Stuff'!C:AD,6,FALSE)</f>
        <v>0</v>
      </c>
      <c r="I301" s="234">
        <f>VLOOKUP(C301,'Talente &amp; Stuff'!C:AD,7,FALSE)</f>
        <v>0</v>
      </c>
      <c r="J301" s="234">
        <f>VLOOKUP(C301,'Talente &amp; Stuff'!C:AD,8,FALSE)</f>
        <v>0</v>
      </c>
      <c r="K301" s="234">
        <f>VLOOKUP(C301,'Talente &amp; Stuff'!C:AD,9,FALSE)</f>
        <v>0</v>
      </c>
      <c r="L301" s="234">
        <f>VLOOKUP(C301,'Talente &amp; Stuff'!C:AD,10,FALSE)</f>
        <v>0</v>
      </c>
      <c r="M301" s="224">
        <f>VLOOKUP(C301,'Talente &amp; Stuff'!C:AD,11,FALSE)</f>
        <v>0</v>
      </c>
      <c r="N301" s="223">
        <f>VLOOKUP(C301,'Talente &amp; Stuff'!C:AD,12,FALSE)</f>
        <v>0</v>
      </c>
      <c r="O301" s="223">
        <f>VLOOKUP(C301,'Talente &amp; Stuff'!C:AD,13,FALSE)</f>
        <v>0</v>
      </c>
      <c r="P301" s="224">
        <f>VLOOKUP(C301,'Talente &amp; Stuff'!C:AD,14,FALSE)</f>
        <v>0</v>
      </c>
      <c r="Q301" s="237">
        <f>VLOOKUP(C301,'Talente &amp; Stuff'!C:AD,15,FALSE)</f>
        <v>0</v>
      </c>
      <c r="R301" s="234">
        <f>VLOOKUP(C301,'Talente &amp; Stuff'!C:AD,16,FALSE)</f>
        <v>0</v>
      </c>
      <c r="S301" s="224">
        <f>VLOOKUP(C301,'Talente &amp; Stuff'!C:AD,17,FALSE)</f>
        <v>0</v>
      </c>
      <c r="T301" s="224">
        <f>VLOOKUP(C301,'Talente &amp; Stuff'!C:AD,18,FALSE)</f>
        <v>0</v>
      </c>
      <c r="U301" s="222">
        <f>VLOOKUP(C301,'Talente &amp; Stuff'!C:AD,19,FALSE)</f>
        <v>0</v>
      </c>
      <c r="V301" s="223">
        <f>VLOOKUP(C301,'Talente &amp; Stuff'!C:AD,20,FALSE)</f>
        <v>0</v>
      </c>
      <c r="W301" s="243">
        <f>VLOOKUP(C301,'Talente &amp; Stuff'!C:AD,21,FALSE)</f>
        <v>0</v>
      </c>
      <c r="X301" s="243">
        <f>VLOOKUP(C301,'Talente &amp; Stuff'!C:AD,22,FALSE)</f>
        <v>0</v>
      </c>
      <c r="Y301" s="252">
        <f>VLOOKUP(C301,Ausgewählte_Zauber_Zauberbarden,23,FALSE)</f>
        <v>0</v>
      </c>
      <c r="Z301" s="309">
        <f>VLOOKUP(C301,Ausgewählte_Zauber_Zauberbarden,24,FALSE)</f>
        <v>0</v>
      </c>
      <c r="AA301" s="218">
        <f>VLOOKUP(C301,'Talente &amp; Stuff'!C:AD,25,FALSE)</f>
        <v>0</v>
      </c>
      <c r="AB301" s="242">
        <f>VLOOKUP(C301,'Talente &amp; Stuff'!C:AD,26,FALSE)</f>
        <v>0</v>
      </c>
      <c r="AC301" s="243">
        <f>VLOOKUP(C301,'Talente &amp; Stuff'!C:AD,27,FALSE)</f>
        <v>0</v>
      </c>
      <c r="AD301" s="218">
        <f>VLOOKUP(C301,'Talente &amp; Stuff'!C:AD,28,FALSE)</f>
        <v>0</v>
      </c>
      <c r="AE301" s="343"/>
    </row>
    <row r="302" spans="1:31" s="217" customFormat="1" hidden="1" outlineLevel="2">
      <c r="A302" s="185"/>
      <c r="B302" s="217">
        <v>5</v>
      </c>
      <c r="C302" s="303" t="s">
        <v>281</v>
      </c>
      <c r="D302" s="218" t="str">
        <f>VLOOKUP(C302,'Talente &amp; Stuff'!C:AD,2,FALSE)</f>
        <v>--/--/--</v>
      </c>
      <c r="E302" s="243" t="str">
        <f>VLOOKUP(C302,'Talente &amp; Stuff'!C:AD,3,FALSE)</f>
        <v>-</v>
      </c>
      <c r="F302" s="237">
        <f>VLOOKUP(C302,'Talente &amp; Stuff'!C:AD,4,FALSE)</f>
        <v>0</v>
      </c>
      <c r="G302" s="234">
        <f>VLOOKUP(C302,'Talente &amp; Stuff'!C:AD,5,FALSE)</f>
        <v>0</v>
      </c>
      <c r="H302" s="234">
        <f>VLOOKUP(C302,'Talente &amp; Stuff'!C:AD,6,FALSE)</f>
        <v>0</v>
      </c>
      <c r="I302" s="234">
        <f>VLOOKUP(C302,'Talente &amp; Stuff'!C:AD,7,FALSE)</f>
        <v>0</v>
      </c>
      <c r="J302" s="234">
        <f>VLOOKUP(C302,'Talente &amp; Stuff'!C:AD,8,FALSE)</f>
        <v>0</v>
      </c>
      <c r="K302" s="234">
        <f>VLOOKUP(C302,'Talente &amp; Stuff'!C:AD,9,FALSE)</f>
        <v>0</v>
      </c>
      <c r="L302" s="234">
        <f>VLOOKUP(C302,'Talente &amp; Stuff'!C:AD,10,FALSE)</f>
        <v>0</v>
      </c>
      <c r="M302" s="224">
        <f>VLOOKUP(C302,'Talente &amp; Stuff'!C:AD,11,FALSE)</f>
        <v>0</v>
      </c>
      <c r="N302" s="223">
        <f>VLOOKUP(C302,'Talente &amp; Stuff'!C:AD,12,FALSE)</f>
        <v>0</v>
      </c>
      <c r="O302" s="223">
        <f>VLOOKUP(C302,'Talente &amp; Stuff'!C:AD,13,FALSE)</f>
        <v>0</v>
      </c>
      <c r="P302" s="224">
        <f>VLOOKUP(C302,'Talente &amp; Stuff'!C:AD,14,FALSE)</f>
        <v>0</v>
      </c>
      <c r="Q302" s="237">
        <f>VLOOKUP(C302,'Talente &amp; Stuff'!C:AD,15,FALSE)</f>
        <v>0</v>
      </c>
      <c r="R302" s="234">
        <f>VLOOKUP(C302,'Talente &amp; Stuff'!C:AD,16,FALSE)</f>
        <v>0</v>
      </c>
      <c r="S302" s="224">
        <f>VLOOKUP(C302,'Talente &amp; Stuff'!C:AD,17,FALSE)</f>
        <v>0</v>
      </c>
      <c r="T302" s="224">
        <f>VLOOKUP(C302,'Talente &amp; Stuff'!C:AD,18,FALSE)</f>
        <v>0</v>
      </c>
      <c r="U302" s="222">
        <f>VLOOKUP(C302,'Talente &amp; Stuff'!C:AD,19,FALSE)</f>
        <v>0</v>
      </c>
      <c r="V302" s="223">
        <f>VLOOKUP(C302,'Talente &amp; Stuff'!C:AD,20,FALSE)</f>
        <v>0</v>
      </c>
      <c r="W302" s="243">
        <f>VLOOKUP(C302,'Talente &amp; Stuff'!C:AD,21,FALSE)</f>
        <v>0</v>
      </c>
      <c r="X302" s="243">
        <f>VLOOKUP(C302,'Talente &amp; Stuff'!C:AD,22,FALSE)</f>
        <v>0</v>
      </c>
      <c r="Y302" s="252">
        <f>VLOOKUP(C302,Ausgewählte_Zauber_Zauberbarden,23,FALSE)</f>
        <v>0</v>
      </c>
      <c r="Z302" s="309">
        <f>VLOOKUP(C302,Ausgewählte_Zauber_Zauberbarden,24,FALSE)</f>
        <v>0</v>
      </c>
      <c r="AA302" s="218">
        <f>VLOOKUP(C302,'Talente &amp; Stuff'!C:AD,25,FALSE)</f>
        <v>0</v>
      </c>
      <c r="AB302" s="242">
        <f>VLOOKUP(C302,'Talente &amp; Stuff'!C:AD,26,FALSE)</f>
        <v>0</v>
      </c>
      <c r="AC302" s="243">
        <f>VLOOKUP(C302,'Talente &amp; Stuff'!C:AD,27,FALSE)</f>
        <v>0</v>
      </c>
      <c r="AD302" s="218">
        <f>VLOOKUP(C302,'Talente &amp; Stuff'!C:AD,28,FALSE)</f>
        <v>0</v>
      </c>
      <c r="AE302" s="343"/>
    </row>
    <row r="303" spans="1:31" s="217" customFormat="1" hidden="1" outlineLevel="2">
      <c r="A303" s="185"/>
      <c r="B303" s="217">
        <v>6</v>
      </c>
      <c r="C303" s="303" t="s">
        <v>281</v>
      </c>
      <c r="D303" s="218" t="str">
        <f>VLOOKUP(C303,'Talente &amp; Stuff'!C:AD,2,FALSE)</f>
        <v>--/--/--</v>
      </c>
      <c r="E303" s="243" t="str">
        <f>VLOOKUP(C303,'Talente &amp; Stuff'!C:AD,3,FALSE)</f>
        <v>-</v>
      </c>
      <c r="F303" s="237">
        <f>VLOOKUP(C303,'Talente &amp; Stuff'!C:AD,4,FALSE)</f>
        <v>0</v>
      </c>
      <c r="G303" s="234">
        <f>VLOOKUP(C303,'Talente &amp; Stuff'!C:AD,5,FALSE)</f>
        <v>0</v>
      </c>
      <c r="H303" s="234">
        <f>VLOOKUP(C303,'Talente &amp; Stuff'!C:AD,6,FALSE)</f>
        <v>0</v>
      </c>
      <c r="I303" s="234">
        <f>VLOOKUP(C303,'Talente &amp; Stuff'!C:AD,7,FALSE)</f>
        <v>0</v>
      </c>
      <c r="J303" s="234">
        <f>VLOOKUP(C303,'Talente &amp; Stuff'!C:AD,8,FALSE)</f>
        <v>0</v>
      </c>
      <c r="K303" s="234">
        <f>VLOOKUP(C303,'Talente &amp; Stuff'!C:AD,9,FALSE)</f>
        <v>0</v>
      </c>
      <c r="L303" s="234">
        <f>VLOOKUP(C303,'Talente &amp; Stuff'!C:AD,10,FALSE)</f>
        <v>0</v>
      </c>
      <c r="M303" s="224">
        <f>VLOOKUP(C303,'Talente &amp; Stuff'!C:AD,11,FALSE)</f>
        <v>0</v>
      </c>
      <c r="N303" s="223">
        <f>VLOOKUP(C303,'Talente &amp; Stuff'!C:AD,12,FALSE)</f>
        <v>0</v>
      </c>
      <c r="O303" s="223">
        <f>VLOOKUP(C303,'Talente &amp; Stuff'!C:AD,13,FALSE)</f>
        <v>0</v>
      </c>
      <c r="P303" s="224">
        <f>VLOOKUP(C303,'Talente &amp; Stuff'!C:AD,14,FALSE)</f>
        <v>0</v>
      </c>
      <c r="Q303" s="237">
        <f>VLOOKUP(C303,'Talente &amp; Stuff'!C:AD,15,FALSE)</f>
        <v>0</v>
      </c>
      <c r="R303" s="234">
        <f>VLOOKUP(C303,'Talente &amp; Stuff'!C:AD,16,FALSE)</f>
        <v>0</v>
      </c>
      <c r="S303" s="224">
        <f>VLOOKUP(C303,'Talente &amp; Stuff'!C:AD,17,FALSE)</f>
        <v>0</v>
      </c>
      <c r="T303" s="224">
        <f>VLOOKUP(C303,'Talente &amp; Stuff'!C:AD,18,FALSE)</f>
        <v>0</v>
      </c>
      <c r="U303" s="222">
        <f>VLOOKUP(C303,'Talente &amp; Stuff'!C:AD,19,FALSE)</f>
        <v>0</v>
      </c>
      <c r="V303" s="223">
        <f>VLOOKUP(C303,'Talente &amp; Stuff'!C:AD,20,FALSE)</f>
        <v>0</v>
      </c>
      <c r="W303" s="243">
        <f>VLOOKUP(C303,'Talente &amp; Stuff'!C:AD,21,FALSE)</f>
        <v>0</v>
      </c>
      <c r="X303" s="243">
        <f>VLOOKUP(C303,'Talente &amp; Stuff'!C:AD,22,FALSE)</f>
        <v>0</v>
      </c>
      <c r="Y303" s="252">
        <f>VLOOKUP(C303,Ausgewählte_Zauber_Zauberbarden,23,FALSE)</f>
        <v>0</v>
      </c>
      <c r="Z303" s="309">
        <f>VLOOKUP(C303,Ausgewählte_Zauber_Zauberbarden,24,FALSE)</f>
        <v>0</v>
      </c>
      <c r="AA303" s="218">
        <f>VLOOKUP(C303,'Talente &amp; Stuff'!C:AD,25,FALSE)</f>
        <v>0</v>
      </c>
      <c r="AB303" s="242">
        <f>VLOOKUP(C303,'Talente &amp; Stuff'!C:AD,26,FALSE)</f>
        <v>0</v>
      </c>
      <c r="AC303" s="243">
        <f>VLOOKUP(C303,'Talente &amp; Stuff'!C:AD,27,FALSE)</f>
        <v>0</v>
      </c>
      <c r="AD303" s="218">
        <f>VLOOKUP(C303,'Talente &amp; Stuff'!C:AD,28,FALSE)</f>
        <v>0</v>
      </c>
      <c r="AE303" s="343"/>
    </row>
    <row r="304" spans="1:31" s="217" customFormat="1" hidden="1" outlineLevel="2">
      <c r="A304" s="185"/>
      <c r="B304" s="217">
        <v>7</v>
      </c>
      <c r="C304" s="303" t="s">
        <v>281</v>
      </c>
      <c r="D304" s="218" t="str">
        <f>VLOOKUP(C304,'Talente &amp; Stuff'!C:AD,2,FALSE)</f>
        <v>--/--/--</v>
      </c>
      <c r="E304" s="243" t="str">
        <f>VLOOKUP(C304,'Talente &amp; Stuff'!C:AD,3,FALSE)</f>
        <v>-</v>
      </c>
      <c r="F304" s="237">
        <f>VLOOKUP(C304,'Talente &amp; Stuff'!C:AD,4,FALSE)</f>
        <v>0</v>
      </c>
      <c r="G304" s="234">
        <f>VLOOKUP(C304,'Talente &amp; Stuff'!C:AD,5,FALSE)</f>
        <v>0</v>
      </c>
      <c r="H304" s="234">
        <f>VLOOKUP(C304,'Talente &amp; Stuff'!C:AD,6,FALSE)</f>
        <v>0</v>
      </c>
      <c r="I304" s="234">
        <f>VLOOKUP(C304,'Talente &amp; Stuff'!C:AD,7,FALSE)</f>
        <v>0</v>
      </c>
      <c r="J304" s="234">
        <f>VLOOKUP(C304,'Talente &amp; Stuff'!C:AD,8,FALSE)</f>
        <v>0</v>
      </c>
      <c r="K304" s="234">
        <f>VLOOKUP(C304,'Talente &amp; Stuff'!C:AD,9,FALSE)</f>
        <v>0</v>
      </c>
      <c r="L304" s="234">
        <f>VLOOKUP(C304,'Talente &amp; Stuff'!C:AD,10,FALSE)</f>
        <v>0</v>
      </c>
      <c r="M304" s="224">
        <f>VLOOKUP(C304,'Talente &amp; Stuff'!C:AD,11,FALSE)</f>
        <v>0</v>
      </c>
      <c r="N304" s="223">
        <f>VLOOKUP(C304,'Talente &amp; Stuff'!C:AD,12,FALSE)</f>
        <v>0</v>
      </c>
      <c r="O304" s="223">
        <f>VLOOKUP(C304,'Talente &amp; Stuff'!C:AD,13,FALSE)</f>
        <v>0</v>
      </c>
      <c r="P304" s="224">
        <f>VLOOKUP(C304,'Talente &amp; Stuff'!C:AD,14,FALSE)</f>
        <v>0</v>
      </c>
      <c r="Q304" s="237">
        <f>VLOOKUP(C304,'Talente &amp; Stuff'!C:AD,15,FALSE)</f>
        <v>0</v>
      </c>
      <c r="R304" s="234">
        <f>VLOOKUP(C304,'Talente &amp; Stuff'!C:AD,16,FALSE)</f>
        <v>0</v>
      </c>
      <c r="S304" s="224">
        <f>VLOOKUP(C304,'Talente &amp; Stuff'!C:AD,17,FALSE)</f>
        <v>0</v>
      </c>
      <c r="T304" s="224">
        <f>VLOOKUP(C304,'Talente &amp; Stuff'!C:AD,18,FALSE)</f>
        <v>0</v>
      </c>
      <c r="U304" s="222">
        <f>VLOOKUP(C304,'Talente &amp; Stuff'!C:AD,19,FALSE)</f>
        <v>0</v>
      </c>
      <c r="V304" s="223">
        <f>VLOOKUP(C304,'Talente &amp; Stuff'!C:AD,20,FALSE)</f>
        <v>0</v>
      </c>
      <c r="W304" s="243">
        <f>VLOOKUP(C304,'Talente &amp; Stuff'!C:AD,21,FALSE)</f>
        <v>0</v>
      </c>
      <c r="X304" s="243">
        <f>VLOOKUP(C304,'Talente &amp; Stuff'!C:AD,22,FALSE)</f>
        <v>0</v>
      </c>
      <c r="Y304" s="252">
        <f>VLOOKUP(C304,Ausgewählte_Zauber_Zauberbarden,23,FALSE)</f>
        <v>0</v>
      </c>
      <c r="Z304" s="309">
        <f>VLOOKUP(C304,Ausgewählte_Zauber_Zauberbarden,24,FALSE)</f>
        <v>0</v>
      </c>
      <c r="AA304" s="218">
        <f>VLOOKUP(C304,'Talente &amp; Stuff'!C:AD,25,FALSE)</f>
        <v>0</v>
      </c>
      <c r="AB304" s="242">
        <f>VLOOKUP(C304,'Talente &amp; Stuff'!C:AD,26,FALSE)</f>
        <v>0</v>
      </c>
      <c r="AC304" s="243">
        <f>VLOOKUP(C304,'Talente &amp; Stuff'!C:AD,27,FALSE)</f>
        <v>0</v>
      </c>
      <c r="AD304" s="218">
        <f>VLOOKUP(C304,'Talente &amp; Stuff'!C:AD,28,FALSE)</f>
        <v>0</v>
      </c>
      <c r="AE304" s="343"/>
    </row>
    <row r="305" spans="1:31" s="217" customFormat="1" hidden="1" outlineLevel="2">
      <c r="A305" s="185"/>
      <c r="B305" s="217">
        <v>8</v>
      </c>
      <c r="C305" s="303" t="s">
        <v>281</v>
      </c>
      <c r="D305" s="218" t="str">
        <f>VLOOKUP(C305,'Talente &amp; Stuff'!C:AD,2,FALSE)</f>
        <v>--/--/--</v>
      </c>
      <c r="E305" s="243" t="str">
        <f>VLOOKUP(C305,'Talente &amp; Stuff'!C:AD,3,FALSE)</f>
        <v>-</v>
      </c>
      <c r="F305" s="237">
        <f>VLOOKUP(C305,'Talente &amp; Stuff'!C:AD,4,FALSE)</f>
        <v>0</v>
      </c>
      <c r="G305" s="234">
        <f>VLOOKUP(C305,'Talente &amp; Stuff'!C:AD,5,FALSE)</f>
        <v>0</v>
      </c>
      <c r="H305" s="234">
        <f>VLOOKUP(C305,'Talente &amp; Stuff'!C:AD,6,FALSE)</f>
        <v>0</v>
      </c>
      <c r="I305" s="234">
        <f>VLOOKUP(C305,'Talente &amp; Stuff'!C:AD,7,FALSE)</f>
        <v>0</v>
      </c>
      <c r="J305" s="234">
        <f>VLOOKUP(C305,'Talente &amp; Stuff'!C:AD,8,FALSE)</f>
        <v>0</v>
      </c>
      <c r="K305" s="234">
        <f>VLOOKUP(C305,'Talente &amp; Stuff'!C:AD,9,FALSE)</f>
        <v>0</v>
      </c>
      <c r="L305" s="234">
        <f>VLOOKUP(C305,'Talente &amp; Stuff'!C:AD,10,FALSE)</f>
        <v>0</v>
      </c>
      <c r="M305" s="224">
        <f>VLOOKUP(C305,'Talente &amp; Stuff'!C:AD,11,FALSE)</f>
        <v>0</v>
      </c>
      <c r="N305" s="223">
        <f>VLOOKUP(C305,'Talente &amp; Stuff'!C:AD,12,FALSE)</f>
        <v>0</v>
      </c>
      <c r="O305" s="223">
        <f>VLOOKUP(C305,'Talente &amp; Stuff'!C:AD,13,FALSE)</f>
        <v>0</v>
      </c>
      <c r="P305" s="224">
        <f>VLOOKUP(C305,'Talente &amp; Stuff'!C:AD,14,FALSE)</f>
        <v>0</v>
      </c>
      <c r="Q305" s="237">
        <f>VLOOKUP(C305,'Talente &amp; Stuff'!C:AD,15,FALSE)</f>
        <v>0</v>
      </c>
      <c r="R305" s="234">
        <f>VLOOKUP(C305,'Talente &amp; Stuff'!C:AD,16,FALSE)</f>
        <v>0</v>
      </c>
      <c r="S305" s="224">
        <f>VLOOKUP(C305,'Talente &amp; Stuff'!C:AD,17,FALSE)</f>
        <v>0</v>
      </c>
      <c r="T305" s="224">
        <f>VLOOKUP(C305,'Talente &amp; Stuff'!C:AD,18,FALSE)</f>
        <v>0</v>
      </c>
      <c r="U305" s="222">
        <f>VLOOKUP(C305,'Talente &amp; Stuff'!C:AD,19,FALSE)</f>
        <v>0</v>
      </c>
      <c r="V305" s="223">
        <f>VLOOKUP(C305,'Talente &amp; Stuff'!C:AD,20,FALSE)</f>
        <v>0</v>
      </c>
      <c r="W305" s="243">
        <f>VLOOKUP(C305,'Talente &amp; Stuff'!C:AD,21,FALSE)</f>
        <v>0</v>
      </c>
      <c r="X305" s="243">
        <f>VLOOKUP(C305,'Talente &amp; Stuff'!C:AD,22,FALSE)</f>
        <v>0</v>
      </c>
      <c r="Y305" s="252">
        <f>VLOOKUP(C305,Ausgewählte_Zauber_Zauberbarden,23,FALSE)</f>
        <v>0</v>
      </c>
      <c r="Z305" s="309">
        <f>VLOOKUP(C305,Ausgewählte_Zauber_Zauberbarden,24,FALSE)</f>
        <v>0</v>
      </c>
      <c r="AA305" s="218">
        <f>VLOOKUP(C305,'Talente &amp; Stuff'!C:AD,25,FALSE)</f>
        <v>0</v>
      </c>
      <c r="AB305" s="242">
        <f>VLOOKUP(C305,'Talente &amp; Stuff'!C:AD,26,FALSE)</f>
        <v>0</v>
      </c>
      <c r="AC305" s="243">
        <f>VLOOKUP(C305,'Talente &amp; Stuff'!C:AD,27,FALSE)</f>
        <v>0</v>
      </c>
      <c r="AD305" s="218">
        <f>VLOOKUP(C305,'Talente &amp; Stuff'!C:AD,28,FALSE)</f>
        <v>0</v>
      </c>
      <c r="AE305" s="343"/>
    </row>
    <row r="306" spans="1:31" s="217" customFormat="1" hidden="1" outlineLevel="2">
      <c r="A306" s="185"/>
      <c r="B306" s="217">
        <v>9</v>
      </c>
      <c r="C306" s="303" t="s">
        <v>281</v>
      </c>
      <c r="D306" s="218" t="str">
        <f>VLOOKUP(C306,'Talente &amp; Stuff'!C:AD,2,FALSE)</f>
        <v>--/--/--</v>
      </c>
      <c r="E306" s="243" t="str">
        <f>VLOOKUP(C306,'Talente &amp; Stuff'!C:AD,3,FALSE)</f>
        <v>-</v>
      </c>
      <c r="F306" s="237">
        <f>VLOOKUP(C306,'Talente &amp; Stuff'!C:AD,4,FALSE)</f>
        <v>0</v>
      </c>
      <c r="G306" s="234">
        <f>VLOOKUP(C306,'Talente &amp; Stuff'!C:AD,5,FALSE)</f>
        <v>0</v>
      </c>
      <c r="H306" s="234">
        <f>VLOOKUP(C306,'Talente &amp; Stuff'!C:AD,6,FALSE)</f>
        <v>0</v>
      </c>
      <c r="I306" s="234">
        <f>VLOOKUP(C306,'Talente &amp; Stuff'!C:AD,7,FALSE)</f>
        <v>0</v>
      </c>
      <c r="J306" s="234">
        <f>VLOOKUP(C306,'Talente &amp; Stuff'!C:AD,8,FALSE)</f>
        <v>0</v>
      </c>
      <c r="K306" s="234">
        <f>VLOOKUP(C306,'Talente &amp; Stuff'!C:AD,9,FALSE)</f>
        <v>0</v>
      </c>
      <c r="L306" s="234">
        <f>VLOOKUP(C306,'Talente &amp; Stuff'!C:AD,10,FALSE)</f>
        <v>0</v>
      </c>
      <c r="M306" s="224">
        <f>VLOOKUP(C306,'Talente &amp; Stuff'!C:AD,11,FALSE)</f>
        <v>0</v>
      </c>
      <c r="N306" s="223">
        <f>VLOOKUP(C306,'Talente &amp; Stuff'!C:AD,12,FALSE)</f>
        <v>0</v>
      </c>
      <c r="O306" s="223">
        <f>VLOOKUP(C306,'Talente &amp; Stuff'!C:AD,13,FALSE)</f>
        <v>0</v>
      </c>
      <c r="P306" s="224">
        <f>VLOOKUP(C306,'Talente &amp; Stuff'!C:AD,14,FALSE)</f>
        <v>0</v>
      </c>
      <c r="Q306" s="237">
        <f>VLOOKUP(C306,'Talente &amp; Stuff'!C:AD,15,FALSE)</f>
        <v>0</v>
      </c>
      <c r="R306" s="234">
        <f>VLOOKUP(C306,'Talente &amp; Stuff'!C:AD,16,FALSE)</f>
        <v>0</v>
      </c>
      <c r="S306" s="224">
        <f>VLOOKUP(C306,'Talente &amp; Stuff'!C:AD,17,FALSE)</f>
        <v>0</v>
      </c>
      <c r="T306" s="224">
        <f>VLOOKUP(C306,'Talente &amp; Stuff'!C:AD,18,FALSE)</f>
        <v>0</v>
      </c>
      <c r="U306" s="222">
        <f>VLOOKUP(C306,'Talente &amp; Stuff'!C:AD,19,FALSE)</f>
        <v>0</v>
      </c>
      <c r="V306" s="223">
        <f>VLOOKUP(C306,'Talente &amp; Stuff'!C:AD,20,FALSE)</f>
        <v>0</v>
      </c>
      <c r="W306" s="243">
        <f>VLOOKUP(C306,'Talente &amp; Stuff'!C:AD,21,FALSE)</f>
        <v>0</v>
      </c>
      <c r="X306" s="243">
        <f>VLOOKUP(C306,'Talente &amp; Stuff'!C:AD,22,FALSE)</f>
        <v>0</v>
      </c>
      <c r="Y306" s="252">
        <f>VLOOKUP(C306,Ausgewählte_Zauber_Zauberbarden,23,FALSE)</f>
        <v>0</v>
      </c>
      <c r="Z306" s="309">
        <f>VLOOKUP(C306,Ausgewählte_Zauber_Zauberbarden,24,FALSE)</f>
        <v>0</v>
      </c>
      <c r="AA306" s="218">
        <f>VLOOKUP(C306,'Talente &amp; Stuff'!C:AD,25,FALSE)</f>
        <v>0</v>
      </c>
      <c r="AB306" s="242">
        <f>VLOOKUP(C306,'Talente &amp; Stuff'!C:AD,26,FALSE)</f>
        <v>0</v>
      </c>
      <c r="AC306" s="243">
        <f>VLOOKUP(C306,'Talente &amp; Stuff'!C:AD,27,FALSE)</f>
        <v>0</v>
      </c>
      <c r="AD306" s="218">
        <f>VLOOKUP(C306,'Talente &amp; Stuff'!C:AD,28,FALSE)</f>
        <v>0</v>
      </c>
      <c r="AE306" s="343"/>
    </row>
    <row r="307" spans="1:31" s="217" customFormat="1" hidden="1" outlineLevel="2">
      <c r="A307" s="185"/>
      <c r="B307" s="217">
        <v>10</v>
      </c>
      <c r="C307" s="303" t="s">
        <v>281</v>
      </c>
      <c r="D307" s="218" t="str">
        <f>VLOOKUP(C307,'Talente &amp; Stuff'!C:AD,2,FALSE)</f>
        <v>--/--/--</v>
      </c>
      <c r="E307" s="243" t="str">
        <f>VLOOKUP(C307,'Talente &amp; Stuff'!C:AD,3,FALSE)</f>
        <v>-</v>
      </c>
      <c r="F307" s="237">
        <f>VLOOKUP(C307,'Talente &amp; Stuff'!C:AD,4,FALSE)</f>
        <v>0</v>
      </c>
      <c r="G307" s="234">
        <f>VLOOKUP(C307,'Talente &amp; Stuff'!C:AD,5,FALSE)</f>
        <v>0</v>
      </c>
      <c r="H307" s="234">
        <f>VLOOKUP(C307,'Talente &amp; Stuff'!C:AD,6,FALSE)</f>
        <v>0</v>
      </c>
      <c r="I307" s="234">
        <f>VLOOKUP(C307,'Talente &amp; Stuff'!C:AD,7,FALSE)</f>
        <v>0</v>
      </c>
      <c r="J307" s="234">
        <f>VLOOKUP(C307,'Talente &amp; Stuff'!C:AD,8,FALSE)</f>
        <v>0</v>
      </c>
      <c r="K307" s="234">
        <f>VLOOKUP(C307,'Talente &amp; Stuff'!C:AD,9,FALSE)</f>
        <v>0</v>
      </c>
      <c r="L307" s="234">
        <f>VLOOKUP(C307,'Talente &amp; Stuff'!C:AD,10,FALSE)</f>
        <v>0</v>
      </c>
      <c r="M307" s="224">
        <f>VLOOKUP(C307,'Talente &amp; Stuff'!C:AD,11,FALSE)</f>
        <v>0</v>
      </c>
      <c r="N307" s="223">
        <f>VLOOKUP(C307,'Talente &amp; Stuff'!C:AD,12,FALSE)</f>
        <v>0</v>
      </c>
      <c r="O307" s="223">
        <f>VLOOKUP(C307,'Talente &amp; Stuff'!C:AD,13,FALSE)</f>
        <v>0</v>
      </c>
      <c r="P307" s="224">
        <f>VLOOKUP(C307,'Talente &amp; Stuff'!C:AD,14,FALSE)</f>
        <v>0</v>
      </c>
      <c r="Q307" s="237">
        <f>VLOOKUP(C307,'Talente &amp; Stuff'!C:AD,15,FALSE)</f>
        <v>0</v>
      </c>
      <c r="R307" s="234">
        <f>VLOOKUP(C307,'Talente &amp; Stuff'!C:AD,16,FALSE)</f>
        <v>0</v>
      </c>
      <c r="S307" s="224">
        <f>VLOOKUP(C307,'Talente &amp; Stuff'!C:AD,17,FALSE)</f>
        <v>0</v>
      </c>
      <c r="T307" s="224">
        <f>VLOOKUP(C307,'Talente &amp; Stuff'!C:AD,18,FALSE)</f>
        <v>0</v>
      </c>
      <c r="U307" s="222">
        <f>VLOOKUP(C307,'Talente &amp; Stuff'!C:AD,19,FALSE)</f>
        <v>0</v>
      </c>
      <c r="V307" s="223">
        <f>VLOOKUP(C307,'Talente &amp; Stuff'!C:AD,20,FALSE)</f>
        <v>0</v>
      </c>
      <c r="W307" s="243">
        <f>VLOOKUP(C307,'Talente &amp; Stuff'!C:AD,21,FALSE)</f>
        <v>0</v>
      </c>
      <c r="X307" s="243">
        <f>VLOOKUP(C307,'Talente &amp; Stuff'!C:AD,22,FALSE)</f>
        <v>0</v>
      </c>
      <c r="Y307" s="252">
        <f>VLOOKUP(C307,Ausgewählte_Zauber_Zauberbarden,23,FALSE)</f>
        <v>0</v>
      </c>
      <c r="Z307" s="309">
        <f>VLOOKUP(C307,Ausgewählte_Zauber_Zauberbarden,24,FALSE)</f>
        <v>0</v>
      </c>
      <c r="AA307" s="218">
        <f>VLOOKUP(C307,'Talente &amp; Stuff'!C:AD,25,FALSE)</f>
        <v>0</v>
      </c>
      <c r="AB307" s="242">
        <f>VLOOKUP(C307,'Talente &amp; Stuff'!C:AD,26,FALSE)</f>
        <v>0</v>
      </c>
      <c r="AC307" s="243">
        <f>VLOOKUP(C307,'Talente &amp; Stuff'!C:AD,27,FALSE)</f>
        <v>0</v>
      </c>
      <c r="AD307" s="218">
        <f>VLOOKUP(C307,'Talente &amp; Stuff'!C:AD,28,FALSE)</f>
        <v>0</v>
      </c>
      <c r="AE307" s="343"/>
    </row>
    <row r="308" spans="1:31" s="217" customFormat="1" hidden="1" outlineLevel="2">
      <c r="A308" s="185"/>
      <c r="B308" s="217">
        <v>11</v>
      </c>
      <c r="C308" s="303" t="s">
        <v>281</v>
      </c>
      <c r="D308" s="218" t="str">
        <f>VLOOKUP(C308,'Talente &amp; Stuff'!C:AD,2,FALSE)</f>
        <v>--/--/--</v>
      </c>
      <c r="E308" s="243" t="str">
        <f>VLOOKUP(C308,'Talente &amp; Stuff'!C:AD,3,FALSE)</f>
        <v>-</v>
      </c>
      <c r="F308" s="237">
        <f>VLOOKUP(C308,'Talente &amp; Stuff'!C:AD,4,FALSE)</f>
        <v>0</v>
      </c>
      <c r="G308" s="234">
        <f>VLOOKUP(C308,'Talente &amp; Stuff'!C:AD,5,FALSE)</f>
        <v>0</v>
      </c>
      <c r="H308" s="234">
        <f>VLOOKUP(C308,'Talente &amp; Stuff'!C:AD,6,FALSE)</f>
        <v>0</v>
      </c>
      <c r="I308" s="234">
        <f>VLOOKUP(C308,'Talente &amp; Stuff'!C:AD,7,FALSE)</f>
        <v>0</v>
      </c>
      <c r="J308" s="234">
        <f>VLOOKUP(C308,'Talente &amp; Stuff'!C:AD,8,FALSE)</f>
        <v>0</v>
      </c>
      <c r="K308" s="234">
        <f>VLOOKUP(C308,'Talente &amp; Stuff'!C:AD,9,FALSE)</f>
        <v>0</v>
      </c>
      <c r="L308" s="234">
        <f>VLOOKUP(C308,'Talente &amp; Stuff'!C:AD,10,FALSE)</f>
        <v>0</v>
      </c>
      <c r="M308" s="224">
        <f>VLOOKUP(C308,'Talente &amp; Stuff'!C:AD,11,FALSE)</f>
        <v>0</v>
      </c>
      <c r="N308" s="223">
        <f>VLOOKUP(C308,'Talente &amp; Stuff'!C:AD,12,FALSE)</f>
        <v>0</v>
      </c>
      <c r="O308" s="223">
        <f>VLOOKUP(C308,'Talente &amp; Stuff'!C:AD,13,FALSE)</f>
        <v>0</v>
      </c>
      <c r="P308" s="224">
        <f>VLOOKUP(C308,'Talente &amp; Stuff'!C:AD,14,FALSE)</f>
        <v>0</v>
      </c>
      <c r="Q308" s="237">
        <f>VLOOKUP(C308,'Talente &amp; Stuff'!C:AD,15,FALSE)</f>
        <v>0</v>
      </c>
      <c r="R308" s="234">
        <f>VLOOKUP(C308,'Talente &amp; Stuff'!C:AD,16,FALSE)</f>
        <v>0</v>
      </c>
      <c r="S308" s="224">
        <f>VLOOKUP(C308,'Talente &amp; Stuff'!C:AD,17,FALSE)</f>
        <v>0</v>
      </c>
      <c r="T308" s="224">
        <f>VLOOKUP(C308,'Talente &amp; Stuff'!C:AD,18,FALSE)</f>
        <v>0</v>
      </c>
      <c r="U308" s="222">
        <f>VLOOKUP(C308,'Talente &amp; Stuff'!C:AD,19,FALSE)</f>
        <v>0</v>
      </c>
      <c r="V308" s="223">
        <f>VLOOKUP(C308,'Talente &amp; Stuff'!C:AD,20,FALSE)</f>
        <v>0</v>
      </c>
      <c r="W308" s="243">
        <f>VLOOKUP(C308,'Talente &amp; Stuff'!C:AD,21,FALSE)</f>
        <v>0</v>
      </c>
      <c r="X308" s="243">
        <f>VLOOKUP(C308,'Talente &amp; Stuff'!C:AD,22,FALSE)</f>
        <v>0</v>
      </c>
      <c r="Y308" s="252">
        <f>VLOOKUP(C308,Ausgewählte_Zauber_Zauberbarden,23,FALSE)</f>
        <v>0</v>
      </c>
      <c r="Z308" s="309">
        <f>VLOOKUP(C308,Ausgewählte_Zauber_Zauberbarden,24,FALSE)</f>
        <v>0</v>
      </c>
      <c r="AA308" s="218">
        <f>VLOOKUP(C308,'Talente &amp; Stuff'!C:AD,25,FALSE)</f>
        <v>0</v>
      </c>
      <c r="AB308" s="242">
        <f>VLOOKUP(C308,'Talente &amp; Stuff'!C:AD,26,FALSE)</f>
        <v>0</v>
      </c>
      <c r="AC308" s="243">
        <f>VLOOKUP(C308,'Talente &amp; Stuff'!C:AD,27,FALSE)</f>
        <v>0</v>
      </c>
      <c r="AD308" s="218">
        <f>VLOOKUP(C308,'Talente &amp; Stuff'!C:AD,28,FALSE)</f>
        <v>0</v>
      </c>
      <c r="AE308" s="343"/>
    </row>
    <row r="309" spans="1:31" s="217" customFormat="1" hidden="1" outlineLevel="2">
      <c r="A309" s="185"/>
      <c r="B309" s="217">
        <v>12</v>
      </c>
      <c r="C309" s="303" t="s">
        <v>281</v>
      </c>
      <c r="D309" s="218" t="str">
        <f>VLOOKUP(C309,'Talente &amp; Stuff'!C:AD,2,FALSE)</f>
        <v>--/--/--</v>
      </c>
      <c r="E309" s="243" t="str">
        <f>VLOOKUP(C309,'Talente &amp; Stuff'!C:AD,3,FALSE)</f>
        <v>-</v>
      </c>
      <c r="F309" s="237">
        <f>VLOOKUP(C309,'Talente &amp; Stuff'!C:AD,4,FALSE)</f>
        <v>0</v>
      </c>
      <c r="G309" s="234">
        <f>VLOOKUP(C309,'Talente &amp; Stuff'!C:AD,5,FALSE)</f>
        <v>0</v>
      </c>
      <c r="H309" s="234">
        <f>VLOOKUP(C309,'Talente &amp; Stuff'!C:AD,6,FALSE)</f>
        <v>0</v>
      </c>
      <c r="I309" s="234">
        <f>VLOOKUP(C309,'Talente &amp; Stuff'!C:AD,7,FALSE)</f>
        <v>0</v>
      </c>
      <c r="J309" s="234">
        <f>VLOOKUP(C309,'Talente &amp; Stuff'!C:AD,8,FALSE)</f>
        <v>0</v>
      </c>
      <c r="K309" s="234">
        <f>VLOOKUP(C309,'Talente &amp; Stuff'!C:AD,9,FALSE)</f>
        <v>0</v>
      </c>
      <c r="L309" s="234">
        <f>VLOOKUP(C309,'Talente &amp; Stuff'!C:AD,10,FALSE)</f>
        <v>0</v>
      </c>
      <c r="M309" s="224">
        <f>VLOOKUP(C309,'Talente &amp; Stuff'!C:AD,11,FALSE)</f>
        <v>0</v>
      </c>
      <c r="N309" s="223">
        <f>VLOOKUP(C309,'Talente &amp; Stuff'!C:AD,12,FALSE)</f>
        <v>0</v>
      </c>
      <c r="O309" s="223">
        <f>VLOOKUP(C309,'Talente &amp; Stuff'!C:AD,13,FALSE)</f>
        <v>0</v>
      </c>
      <c r="P309" s="224">
        <f>VLOOKUP(C309,'Talente &amp; Stuff'!C:AD,14,FALSE)</f>
        <v>0</v>
      </c>
      <c r="Q309" s="237">
        <f>VLOOKUP(C309,'Talente &amp; Stuff'!C:AD,15,FALSE)</f>
        <v>0</v>
      </c>
      <c r="R309" s="234">
        <f>VLOOKUP(C309,'Talente &amp; Stuff'!C:AD,16,FALSE)</f>
        <v>0</v>
      </c>
      <c r="S309" s="224">
        <f>VLOOKUP(C309,'Talente &amp; Stuff'!C:AD,17,FALSE)</f>
        <v>0</v>
      </c>
      <c r="T309" s="224">
        <f>VLOOKUP(C309,'Talente &amp; Stuff'!C:AD,18,FALSE)</f>
        <v>0</v>
      </c>
      <c r="U309" s="222">
        <f>VLOOKUP(C309,'Talente &amp; Stuff'!C:AD,19,FALSE)</f>
        <v>0</v>
      </c>
      <c r="V309" s="223">
        <f>VLOOKUP(C309,'Talente &amp; Stuff'!C:AD,20,FALSE)</f>
        <v>0</v>
      </c>
      <c r="W309" s="243">
        <f>VLOOKUP(C309,'Talente &amp; Stuff'!C:AD,21,FALSE)</f>
        <v>0</v>
      </c>
      <c r="X309" s="243">
        <f>VLOOKUP(C309,'Talente &amp; Stuff'!C:AD,22,FALSE)</f>
        <v>0</v>
      </c>
      <c r="Y309" s="252">
        <f>VLOOKUP(C309,Ausgewählte_Zauber_Zauberbarden,23,FALSE)</f>
        <v>0</v>
      </c>
      <c r="Z309" s="309">
        <f>VLOOKUP(C309,Ausgewählte_Zauber_Zauberbarden,24,FALSE)</f>
        <v>0</v>
      </c>
      <c r="AA309" s="218">
        <f>VLOOKUP(C309,'Talente &amp; Stuff'!C:AD,25,FALSE)</f>
        <v>0</v>
      </c>
      <c r="AB309" s="242">
        <f>VLOOKUP(C309,'Talente &amp; Stuff'!C:AD,26,FALSE)</f>
        <v>0</v>
      </c>
      <c r="AC309" s="243">
        <f>VLOOKUP(C309,'Talente &amp; Stuff'!C:AD,27,FALSE)</f>
        <v>0</v>
      </c>
      <c r="AD309" s="218">
        <f>VLOOKUP(C309,'Talente &amp; Stuff'!C:AD,28,FALSE)</f>
        <v>0</v>
      </c>
      <c r="AE309" s="343"/>
    </row>
    <row r="310" spans="1:31" s="217" customFormat="1" hidden="1" outlineLevel="2">
      <c r="A310" s="185"/>
      <c r="B310" s="217">
        <v>13</v>
      </c>
      <c r="C310" s="303" t="s">
        <v>281</v>
      </c>
      <c r="D310" s="218" t="str">
        <f>VLOOKUP(C310,'Talente &amp; Stuff'!C:AD,2,FALSE)</f>
        <v>--/--/--</v>
      </c>
      <c r="E310" s="243" t="str">
        <f>VLOOKUP(C310,'Talente &amp; Stuff'!C:AD,3,FALSE)</f>
        <v>-</v>
      </c>
      <c r="F310" s="237">
        <f>VLOOKUP(C310,'Talente &amp; Stuff'!C:AD,4,FALSE)</f>
        <v>0</v>
      </c>
      <c r="G310" s="234">
        <f>VLOOKUP(C310,'Talente &amp; Stuff'!C:AD,5,FALSE)</f>
        <v>0</v>
      </c>
      <c r="H310" s="234">
        <f>VLOOKUP(C310,'Talente &amp; Stuff'!C:AD,6,FALSE)</f>
        <v>0</v>
      </c>
      <c r="I310" s="234">
        <f>VLOOKUP(C310,'Talente &amp; Stuff'!C:AD,7,FALSE)</f>
        <v>0</v>
      </c>
      <c r="J310" s="234">
        <f>VLOOKUP(C310,'Talente &amp; Stuff'!C:AD,8,FALSE)</f>
        <v>0</v>
      </c>
      <c r="K310" s="234">
        <f>VLOOKUP(C310,'Talente &amp; Stuff'!C:AD,9,FALSE)</f>
        <v>0</v>
      </c>
      <c r="L310" s="234">
        <f>VLOOKUP(C310,'Talente &amp; Stuff'!C:AD,10,FALSE)</f>
        <v>0</v>
      </c>
      <c r="M310" s="224">
        <f>VLOOKUP(C310,'Talente &amp; Stuff'!C:AD,11,FALSE)</f>
        <v>0</v>
      </c>
      <c r="N310" s="223">
        <f>VLOOKUP(C310,'Talente &amp; Stuff'!C:AD,12,FALSE)</f>
        <v>0</v>
      </c>
      <c r="O310" s="223">
        <f>VLOOKUP(C310,'Talente &amp; Stuff'!C:AD,13,FALSE)</f>
        <v>0</v>
      </c>
      <c r="P310" s="224">
        <f>VLOOKUP(C310,'Talente &amp; Stuff'!C:AD,14,FALSE)</f>
        <v>0</v>
      </c>
      <c r="Q310" s="237">
        <f>VLOOKUP(C310,'Talente &amp; Stuff'!C:AD,15,FALSE)</f>
        <v>0</v>
      </c>
      <c r="R310" s="234">
        <f>VLOOKUP(C310,'Talente &amp; Stuff'!C:AD,16,FALSE)</f>
        <v>0</v>
      </c>
      <c r="S310" s="224">
        <f>VLOOKUP(C310,'Talente &amp; Stuff'!C:AD,17,FALSE)</f>
        <v>0</v>
      </c>
      <c r="T310" s="224">
        <f>VLOOKUP(C310,'Talente &amp; Stuff'!C:AD,18,FALSE)</f>
        <v>0</v>
      </c>
      <c r="U310" s="222">
        <f>VLOOKUP(C310,'Talente &amp; Stuff'!C:AD,19,FALSE)</f>
        <v>0</v>
      </c>
      <c r="V310" s="223">
        <f>VLOOKUP(C310,'Talente &amp; Stuff'!C:AD,20,FALSE)</f>
        <v>0</v>
      </c>
      <c r="W310" s="243">
        <f>VLOOKUP(C310,'Talente &amp; Stuff'!C:AD,21,FALSE)</f>
        <v>0</v>
      </c>
      <c r="X310" s="243">
        <f>VLOOKUP(C310,'Talente &amp; Stuff'!C:AD,22,FALSE)</f>
        <v>0</v>
      </c>
      <c r="Y310" s="252">
        <f>VLOOKUP(C310,Ausgewählte_Zauber_Zauberbarden,23,FALSE)</f>
        <v>0</v>
      </c>
      <c r="Z310" s="309">
        <f>VLOOKUP(C310,Ausgewählte_Zauber_Zauberbarden,24,FALSE)</f>
        <v>0</v>
      </c>
      <c r="AA310" s="218">
        <f>VLOOKUP(C310,'Talente &amp; Stuff'!C:AD,25,FALSE)</f>
        <v>0</v>
      </c>
      <c r="AB310" s="242">
        <f>VLOOKUP(C310,'Talente &amp; Stuff'!C:AD,26,FALSE)</f>
        <v>0</v>
      </c>
      <c r="AC310" s="243">
        <f>VLOOKUP(C310,'Talente &amp; Stuff'!C:AD,27,FALSE)</f>
        <v>0</v>
      </c>
      <c r="AD310" s="218">
        <f>VLOOKUP(C310,'Talente &amp; Stuff'!C:AD,28,FALSE)</f>
        <v>0</v>
      </c>
      <c r="AE310" s="343"/>
    </row>
    <row r="311" spans="1:31" s="217" customFormat="1" hidden="1" outlineLevel="2">
      <c r="A311" s="185"/>
      <c r="B311" s="217">
        <v>14</v>
      </c>
      <c r="C311" s="303" t="s">
        <v>281</v>
      </c>
      <c r="D311" s="218" t="str">
        <f>VLOOKUP(C311,'Talente &amp; Stuff'!C:AD,2,FALSE)</f>
        <v>--/--/--</v>
      </c>
      <c r="E311" s="243" t="str">
        <f>VLOOKUP(C311,'Talente &amp; Stuff'!C:AD,3,FALSE)</f>
        <v>-</v>
      </c>
      <c r="F311" s="237">
        <f>VLOOKUP(C311,'Talente &amp; Stuff'!C:AD,4,FALSE)</f>
        <v>0</v>
      </c>
      <c r="G311" s="234">
        <f>VLOOKUP(C311,'Talente &amp; Stuff'!C:AD,5,FALSE)</f>
        <v>0</v>
      </c>
      <c r="H311" s="234">
        <f>VLOOKUP(C311,'Talente &amp; Stuff'!C:AD,6,FALSE)</f>
        <v>0</v>
      </c>
      <c r="I311" s="234">
        <f>VLOOKUP(C311,'Talente &amp; Stuff'!C:AD,7,FALSE)</f>
        <v>0</v>
      </c>
      <c r="J311" s="234">
        <f>VLOOKUP(C311,'Talente &amp; Stuff'!C:AD,8,FALSE)</f>
        <v>0</v>
      </c>
      <c r="K311" s="234">
        <f>VLOOKUP(C311,'Talente &amp; Stuff'!C:AD,9,FALSE)</f>
        <v>0</v>
      </c>
      <c r="L311" s="234">
        <f>VLOOKUP(C311,'Talente &amp; Stuff'!C:AD,10,FALSE)</f>
        <v>0</v>
      </c>
      <c r="M311" s="224">
        <f>VLOOKUP(C311,'Talente &amp; Stuff'!C:AD,11,FALSE)</f>
        <v>0</v>
      </c>
      <c r="N311" s="223">
        <f>VLOOKUP(C311,'Talente &amp; Stuff'!C:AD,12,FALSE)</f>
        <v>0</v>
      </c>
      <c r="O311" s="223">
        <f>VLOOKUP(C311,'Talente &amp; Stuff'!C:AD,13,FALSE)</f>
        <v>0</v>
      </c>
      <c r="P311" s="224">
        <f>VLOOKUP(C311,'Talente &amp; Stuff'!C:AD,14,FALSE)</f>
        <v>0</v>
      </c>
      <c r="Q311" s="237">
        <f>VLOOKUP(C311,'Talente &amp; Stuff'!C:AD,15,FALSE)</f>
        <v>0</v>
      </c>
      <c r="R311" s="234">
        <f>VLOOKUP(C311,'Talente &amp; Stuff'!C:AD,16,FALSE)</f>
        <v>0</v>
      </c>
      <c r="S311" s="224">
        <f>VLOOKUP(C311,'Talente &amp; Stuff'!C:AD,17,FALSE)</f>
        <v>0</v>
      </c>
      <c r="T311" s="224">
        <f>VLOOKUP(C311,'Talente &amp; Stuff'!C:AD,18,FALSE)</f>
        <v>0</v>
      </c>
      <c r="U311" s="222">
        <f>VLOOKUP(C311,'Talente &amp; Stuff'!C:AD,19,FALSE)</f>
        <v>0</v>
      </c>
      <c r="V311" s="223">
        <f>VLOOKUP(C311,'Talente &amp; Stuff'!C:AD,20,FALSE)</f>
        <v>0</v>
      </c>
      <c r="W311" s="243">
        <f>VLOOKUP(C311,'Talente &amp; Stuff'!C:AD,21,FALSE)</f>
        <v>0</v>
      </c>
      <c r="X311" s="243">
        <f>VLOOKUP(C311,'Talente &amp; Stuff'!C:AD,22,FALSE)</f>
        <v>0</v>
      </c>
      <c r="Y311" s="252">
        <f>VLOOKUP(C311,Ausgewählte_Zauber_Zauberbarden,23,FALSE)</f>
        <v>0</v>
      </c>
      <c r="Z311" s="309">
        <f>VLOOKUP(C311,Ausgewählte_Zauber_Zauberbarden,24,FALSE)</f>
        <v>0</v>
      </c>
      <c r="AA311" s="218">
        <f>VLOOKUP(C311,'Talente &amp; Stuff'!C:AD,25,FALSE)</f>
        <v>0</v>
      </c>
      <c r="AB311" s="242">
        <f>VLOOKUP(C311,'Talente &amp; Stuff'!C:AD,26,FALSE)</f>
        <v>0</v>
      </c>
      <c r="AC311" s="243">
        <f>VLOOKUP(C311,'Talente &amp; Stuff'!C:AD,27,FALSE)</f>
        <v>0</v>
      </c>
      <c r="AD311" s="218">
        <f>VLOOKUP(C311,'Talente &amp; Stuff'!C:AD,28,FALSE)</f>
        <v>0</v>
      </c>
      <c r="AE311" s="343"/>
    </row>
    <row r="312" spans="1:31" s="217" customFormat="1" hidden="1" outlineLevel="2">
      <c r="A312" s="185"/>
      <c r="B312" s="217">
        <v>15</v>
      </c>
      <c r="C312" s="303" t="s">
        <v>281</v>
      </c>
      <c r="D312" s="218" t="str">
        <f>VLOOKUP(C312,'Talente &amp; Stuff'!C:AD,2,FALSE)</f>
        <v>--/--/--</v>
      </c>
      <c r="E312" s="243" t="str">
        <f>VLOOKUP(C312,'Talente &amp; Stuff'!C:AD,3,FALSE)</f>
        <v>-</v>
      </c>
      <c r="F312" s="237">
        <f>VLOOKUP(C312,'Talente &amp; Stuff'!C:AD,4,FALSE)</f>
        <v>0</v>
      </c>
      <c r="G312" s="234">
        <f>VLOOKUP(C312,'Talente &amp; Stuff'!C:AD,5,FALSE)</f>
        <v>0</v>
      </c>
      <c r="H312" s="234">
        <f>VLOOKUP(C312,'Talente &amp; Stuff'!C:AD,6,FALSE)</f>
        <v>0</v>
      </c>
      <c r="I312" s="234">
        <f>VLOOKUP(C312,'Talente &amp; Stuff'!C:AD,7,FALSE)</f>
        <v>0</v>
      </c>
      <c r="J312" s="234">
        <f>VLOOKUP(C312,'Talente &amp; Stuff'!C:AD,8,FALSE)</f>
        <v>0</v>
      </c>
      <c r="K312" s="234">
        <f>VLOOKUP(C312,'Talente &amp; Stuff'!C:AD,9,FALSE)</f>
        <v>0</v>
      </c>
      <c r="L312" s="234">
        <f>VLOOKUP(C312,'Talente &amp; Stuff'!C:AD,10,FALSE)</f>
        <v>0</v>
      </c>
      <c r="M312" s="224">
        <f>VLOOKUP(C312,'Talente &amp; Stuff'!C:AD,11,FALSE)</f>
        <v>0</v>
      </c>
      <c r="N312" s="223">
        <f>VLOOKUP(C312,'Talente &amp; Stuff'!C:AD,12,FALSE)</f>
        <v>0</v>
      </c>
      <c r="O312" s="223">
        <f>VLOOKUP(C312,'Talente &amp; Stuff'!C:AD,13,FALSE)</f>
        <v>0</v>
      </c>
      <c r="P312" s="224">
        <f>VLOOKUP(C312,'Talente &amp; Stuff'!C:AD,14,FALSE)</f>
        <v>0</v>
      </c>
      <c r="Q312" s="237">
        <f>VLOOKUP(C312,'Talente &amp; Stuff'!C:AD,15,FALSE)</f>
        <v>0</v>
      </c>
      <c r="R312" s="234">
        <f>VLOOKUP(C312,'Talente &amp; Stuff'!C:AD,16,FALSE)</f>
        <v>0</v>
      </c>
      <c r="S312" s="224">
        <f>VLOOKUP(C312,'Talente &amp; Stuff'!C:AD,17,FALSE)</f>
        <v>0</v>
      </c>
      <c r="T312" s="224">
        <f>VLOOKUP(C312,'Talente &amp; Stuff'!C:AD,18,FALSE)</f>
        <v>0</v>
      </c>
      <c r="U312" s="222">
        <f>VLOOKUP(C312,'Talente &amp; Stuff'!C:AD,19,FALSE)</f>
        <v>0</v>
      </c>
      <c r="V312" s="223">
        <f>VLOOKUP(C312,'Talente &amp; Stuff'!C:AD,20,FALSE)</f>
        <v>0</v>
      </c>
      <c r="W312" s="243">
        <f>VLOOKUP(C312,'Talente &amp; Stuff'!C:AD,21,FALSE)</f>
        <v>0</v>
      </c>
      <c r="X312" s="243">
        <f>VLOOKUP(C312,'Talente &amp; Stuff'!C:AD,22,FALSE)</f>
        <v>0</v>
      </c>
      <c r="Y312" s="252">
        <f>VLOOKUP(C312,Ausgewählte_Zauber_Zauberbarden,23,FALSE)</f>
        <v>0</v>
      </c>
      <c r="Z312" s="309">
        <f>VLOOKUP(C312,Ausgewählte_Zauber_Zauberbarden,24,FALSE)</f>
        <v>0</v>
      </c>
      <c r="AA312" s="218">
        <f>VLOOKUP(C312,'Talente &amp; Stuff'!C:AD,25,FALSE)</f>
        <v>0</v>
      </c>
      <c r="AB312" s="242">
        <f>VLOOKUP(C312,'Talente &amp; Stuff'!C:AD,26,FALSE)</f>
        <v>0</v>
      </c>
      <c r="AC312" s="243">
        <f>VLOOKUP(C312,'Talente &amp; Stuff'!C:AD,27,FALSE)</f>
        <v>0</v>
      </c>
      <c r="AD312" s="218">
        <f>VLOOKUP(C312,'Talente &amp; Stuff'!C:AD,28,FALSE)</f>
        <v>0</v>
      </c>
      <c r="AE312" s="343"/>
    </row>
    <row r="313" spans="1:31" s="217" customFormat="1" hidden="1" outlineLevel="2">
      <c r="A313" s="185"/>
      <c r="B313" s="217">
        <v>16</v>
      </c>
      <c r="C313" s="303" t="s">
        <v>281</v>
      </c>
      <c r="D313" s="304" t="str">
        <f>VLOOKUP(C313,'Talente &amp; Stuff'!C:AD,2,FALSE)</f>
        <v>--/--/--</v>
      </c>
      <c r="E313" s="305" t="str">
        <f>VLOOKUP(C313,'Talente &amp; Stuff'!C:AD,3,FALSE)</f>
        <v>-</v>
      </c>
      <c r="F313" s="317">
        <f>VLOOKUP(C313,'Talente &amp; Stuff'!C:AD,4,FALSE)</f>
        <v>0</v>
      </c>
      <c r="G313" s="254">
        <f>VLOOKUP(C313,'Talente &amp; Stuff'!C:AD,5,FALSE)</f>
        <v>0</v>
      </c>
      <c r="H313" s="254">
        <f>VLOOKUP(C313,'Talente &amp; Stuff'!C:AD,6,FALSE)</f>
        <v>0</v>
      </c>
      <c r="I313" s="254">
        <f>VLOOKUP(C313,'Talente &amp; Stuff'!C:AD,7,FALSE)</f>
        <v>0</v>
      </c>
      <c r="J313" s="254">
        <f>VLOOKUP(C313,'Talente &amp; Stuff'!C:AD,8,FALSE)</f>
        <v>0</v>
      </c>
      <c r="K313" s="254">
        <f>VLOOKUP(C313,'Talente &amp; Stuff'!C:AD,9,FALSE)</f>
        <v>0</v>
      </c>
      <c r="L313" s="254">
        <f>VLOOKUP(C313,'Talente &amp; Stuff'!C:AD,10,FALSE)</f>
        <v>0</v>
      </c>
      <c r="M313" s="318">
        <f>VLOOKUP(C313,'Talente &amp; Stuff'!C:AD,11,FALSE)</f>
        <v>0</v>
      </c>
      <c r="N313" s="223">
        <f>VLOOKUP(C313,'Talente &amp; Stuff'!C:AD,12,FALSE)</f>
        <v>0</v>
      </c>
      <c r="O313" s="223">
        <f>VLOOKUP(C313,'Talente &amp; Stuff'!C:AD,13,FALSE)</f>
        <v>0</v>
      </c>
      <c r="P313" s="224">
        <f>VLOOKUP(C313,'Talente &amp; Stuff'!C:AD,14,FALSE)</f>
        <v>0</v>
      </c>
      <c r="Q313" s="237">
        <f>VLOOKUP(C313,'Talente &amp; Stuff'!C:AD,15,FALSE)</f>
        <v>0</v>
      </c>
      <c r="R313" s="254">
        <f>VLOOKUP(C313,'Talente &amp; Stuff'!C:AD,16,FALSE)</f>
        <v>0</v>
      </c>
      <c r="S313" s="224">
        <f>VLOOKUP(C313,'Talente &amp; Stuff'!C:AD,17,FALSE)</f>
        <v>0</v>
      </c>
      <c r="T313" s="224">
        <f>VLOOKUP(C313,'Talente &amp; Stuff'!C:AD,18,FALSE)</f>
        <v>0</v>
      </c>
      <c r="U313" s="222">
        <f>VLOOKUP(C313,'Talente &amp; Stuff'!C:AD,19,FALSE)</f>
        <v>0</v>
      </c>
      <c r="V313" s="223">
        <f>VLOOKUP(C313,'Talente &amp; Stuff'!C:AD,20,FALSE)</f>
        <v>0</v>
      </c>
      <c r="W313" s="243">
        <f>VLOOKUP(C313,'Talente &amp; Stuff'!C:AD,21,FALSE)</f>
        <v>0</v>
      </c>
      <c r="X313" s="243">
        <f>VLOOKUP(C313,'Talente &amp; Stuff'!C:AD,22,FALSE)</f>
        <v>0</v>
      </c>
      <c r="Y313" s="252">
        <f>VLOOKUP(C313,Ausgewählte_Zauber_Zauberbarden,23,FALSE)</f>
        <v>0</v>
      </c>
      <c r="Z313" s="309">
        <f>VLOOKUP(C313,Ausgewählte_Zauber_Zauberbarden,24,FALSE)</f>
        <v>0</v>
      </c>
      <c r="AA313" s="218">
        <f>VLOOKUP(C313,'Talente &amp; Stuff'!C:AD,25,FALSE)</f>
        <v>0</v>
      </c>
      <c r="AB313" s="242">
        <f>VLOOKUP(C313,'Talente &amp; Stuff'!C:AD,26,FALSE)</f>
        <v>0</v>
      </c>
      <c r="AC313" s="243">
        <f>VLOOKUP(C313,'Talente &amp; Stuff'!C:AD,27,FALSE)</f>
        <v>0</v>
      </c>
      <c r="AD313" s="218">
        <f>VLOOKUP(C313,'Talente &amp; Stuff'!C:AD,28,FALSE)</f>
        <v>0</v>
      </c>
      <c r="AE313" s="343"/>
    </row>
    <row r="314" spans="1:31" s="217" customFormat="1" hidden="1" outlineLevel="2">
      <c r="A314" s="185"/>
      <c r="B314" s="217">
        <v>17</v>
      </c>
      <c r="C314" s="303" t="s">
        <v>281</v>
      </c>
      <c r="D314" s="218" t="str">
        <f>VLOOKUP(C314,'Talente &amp; Stuff'!C:AD,2,FALSE)</f>
        <v>--/--/--</v>
      </c>
      <c r="E314" s="243" t="str">
        <f>VLOOKUP(C314,'Talente &amp; Stuff'!C:AD,3,FALSE)</f>
        <v>-</v>
      </c>
      <c r="F314" s="237">
        <f>VLOOKUP(C314,'Talente &amp; Stuff'!C:AD,4,FALSE)</f>
        <v>0</v>
      </c>
      <c r="G314" s="234">
        <f>VLOOKUP(C314,'Talente &amp; Stuff'!C:AD,5,FALSE)</f>
        <v>0</v>
      </c>
      <c r="H314" s="234">
        <f>VLOOKUP(C314,'Talente &amp; Stuff'!C:AD,6,FALSE)</f>
        <v>0</v>
      </c>
      <c r="I314" s="234">
        <f>VLOOKUP(C314,'Talente &amp; Stuff'!C:AD,7,FALSE)</f>
        <v>0</v>
      </c>
      <c r="J314" s="234">
        <f>VLOOKUP(C314,'Talente &amp; Stuff'!C:AD,8,FALSE)</f>
        <v>0</v>
      </c>
      <c r="K314" s="234">
        <f>VLOOKUP(C314,'Talente &amp; Stuff'!C:AD,9,FALSE)</f>
        <v>0</v>
      </c>
      <c r="L314" s="234">
        <f>VLOOKUP(C314,'Talente &amp; Stuff'!C:AD,10,FALSE)</f>
        <v>0</v>
      </c>
      <c r="M314" s="224">
        <f>VLOOKUP(C314,'Talente &amp; Stuff'!C:AD,11,FALSE)</f>
        <v>0</v>
      </c>
      <c r="N314" s="223">
        <f>VLOOKUP(C314,'Talente &amp; Stuff'!C:AD,12,FALSE)</f>
        <v>0</v>
      </c>
      <c r="O314" s="223">
        <f>VLOOKUP(C314,'Talente &amp; Stuff'!C:AD,13,FALSE)</f>
        <v>0</v>
      </c>
      <c r="P314" s="224">
        <f>VLOOKUP(C314,'Talente &amp; Stuff'!C:AD,14,FALSE)</f>
        <v>0</v>
      </c>
      <c r="Q314" s="237">
        <f>VLOOKUP(C314,'Talente &amp; Stuff'!C:AD,15,FALSE)</f>
        <v>0</v>
      </c>
      <c r="R314" s="234">
        <f>VLOOKUP(C314,'Talente &amp; Stuff'!C:AD,16,FALSE)</f>
        <v>0</v>
      </c>
      <c r="S314" s="224">
        <f>VLOOKUP(C314,'Talente &amp; Stuff'!C:AD,17,FALSE)</f>
        <v>0</v>
      </c>
      <c r="T314" s="224">
        <f>VLOOKUP(C314,'Talente &amp; Stuff'!C:AD,18,FALSE)</f>
        <v>0</v>
      </c>
      <c r="U314" s="222">
        <f>VLOOKUP(C314,'Talente &amp; Stuff'!C:AD,19,FALSE)</f>
        <v>0</v>
      </c>
      <c r="V314" s="223">
        <f>VLOOKUP(C314,'Talente &amp; Stuff'!C:AD,20,FALSE)</f>
        <v>0</v>
      </c>
      <c r="W314" s="243">
        <f>VLOOKUP(C314,'Talente &amp; Stuff'!C:AD,21,FALSE)</f>
        <v>0</v>
      </c>
      <c r="X314" s="243">
        <f>VLOOKUP(C314,'Talente &amp; Stuff'!C:AD,22,FALSE)</f>
        <v>0</v>
      </c>
      <c r="Y314" s="252">
        <f>VLOOKUP(C314,Ausgewählte_Zauber_Zauberbarden,23,FALSE)</f>
        <v>0</v>
      </c>
      <c r="Z314" s="309">
        <f>VLOOKUP(C314,Ausgewählte_Zauber_Zauberbarden,24,FALSE)</f>
        <v>0</v>
      </c>
      <c r="AA314" s="218">
        <f>VLOOKUP(C314,'Talente &amp; Stuff'!C:AD,25,FALSE)</f>
        <v>0</v>
      </c>
      <c r="AB314" s="242">
        <f>VLOOKUP(C314,'Talente &amp; Stuff'!C:AD,26,FALSE)</f>
        <v>0</v>
      </c>
      <c r="AC314" s="243">
        <f>VLOOKUP(C314,'Talente &amp; Stuff'!C:AD,27,FALSE)</f>
        <v>0</v>
      </c>
      <c r="AD314" s="218">
        <f>VLOOKUP(C314,'Talente &amp; Stuff'!C:AD,28,FALSE)</f>
        <v>0</v>
      </c>
      <c r="AE314" s="343"/>
    </row>
    <row r="315" spans="1:31" s="217" customFormat="1" hidden="1" outlineLevel="2">
      <c r="A315" s="185"/>
      <c r="B315" s="217">
        <v>18</v>
      </c>
      <c r="C315" s="303" t="s">
        <v>281</v>
      </c>
      <c r="D315" s="218" t="str">
        <f>VLOOKUP(C315,'Talente &amp; Stuff'!C:AD,2,FALSE)</f>
        <v>--/--/--</v>
      </c>
      <c r="E315" s="243" t="str">
        <f>VLOOKUP(C315,'Talente &amp; Stuff'!C:AD,3,FALSE)</f>
        <v>-</v>
      </c>
      <c r="F315" s="237">
        <f>VLOOKUP(C315,'Talente &amp; Stuff'!C:AD,4,FALSE)</f>
        <v>0</v>
      </c>
      <c r="G315" s="234">
        <f>VLOOKUP(C315,'Talente &amp; Stuff'!C:AD,5,FALSE)</f>
        <v>0</v>
      </c>
      <c r="H315" s="234">
        <f>VLOOKUP(C315,'Talente &amp; Stuff'!C:AD,6,FALSE)</f>
        <v>0</v>
      </c>
      <c r="I315" s="234">
        <f>VLOOKUP(C315,'Talente &amp; Stuff'!C:AD,7,FALSE)</f>
        <v>0</v>
      </c>
      <c r="J315" s="234">
        <f>VLOOKUP(C315,'Talente &amp; Stuff'!C:AD,8,FALSE)</f>
        <v>0</v>
      </c>
      <c r="K315" s="234">
        <f>VLOOKUP(C315,'Talente &amp; Stuff'!C:AD,9,FALSE)</f>
        <v>0</v>
      </c>
      <c r="L315" s="234">
        <f>VLOOKUP(C315,'Talente &amp; Stuff'!C:AD,10,FALSE)</f>
        <v>0</v>
      </c>
      <c r="M315" s="224">
        <f>VLOOKUP(C315,'Talente &amp; Stuff'!C:AD,11,FALSE)</f>
        <v>0</v>
      </c>
      <c r="N315" s="223">
        <f>VLOOKUP(C315,'Talente &amp; Stuff'!C:AD,12,FALSE)</f>
        <v>0</v>
      </c>
      <c r="O315" s="223">
        <f>VLOOKUP(C315,'Talente &amp; Stuff'!C:AD,13,FALSE)</f>
        <v>0</v>
      </c>
      <c r="P315" s="224">
        <f>VLOOKUP(C315,'Talente &amp; Stuff'!C:AD,14,FALSE)</f>
        <v>0</v>
      </c>
      <c r="Q315" s="237">
        <f>VLOOKUP(C315,'Talente &amp; Stuff'!C:AD,15,FALSE)</f>
        <v>0</v>
      </c>
      <c r="R315" s="234">
        <f>VLOOKUP(C315,'Talente &amp; Stuff'!C:AD,16,FALSE)</f>
        <v>0</v>
      </c>
      <c r="S315" s="224">
        <f>VLOOKUP(C315,'Talente &amp; Stuff'!C:AD,17,FALSE)</f>
        <v>0</v>
      </c>
      <c r="T315" s="224">
        <f>VLOOKUP(C315,'Talente &amp; Stuff'!C:AD,18,FALSE)</f>
        <v>0</v>
      </c>
      <c r="U315" s="222">
        <f>VLOOKUP(C315,'Talente &amp; Stuff'!C:AD,19,FALSE)</f>
        <v>0</v>
      </c>
      <c r="V315" s="223">
        <f>VLOOKUP(C315,'Talente &amp; Stuff'!C:AD,20,FALSE)</f>
        <v>0</v>
      </c>
      <c r="W315" s="243">
        <f>VLOOKUP(C315,'Talente &amp; Stuff'!C:AD,21,FALSE)</f>
        <v>0</v>
      </c>
      <c r="X315" s="243">
        <f>VLOOKUP(C315,'Talente &amp; Stuff'!C:AD,22,FALSE)</f>
        <v>0</v>
      </c>
      <c r="Y315" s="252">
        <f>VLOOKUP(C315,Ausgewählte_Zauber_Zauberbarden,23,FALSE)</f>
        <v>0</v>
      </c>
      <c r="Z315" s="309">
        <f>VLOOKUP(C315,Ausgewählte_Zauber_Zauberbarden,24,FALSE)</f>
        <v>0</v>
      </c>
      <c r="AA315" s="218">
        <f>VLOOKUP(C315,'Talente &amp; Stuff'!C:AD,25,FALSE)</f>
        <v>0</v>
      </c>
      <c r="AB315" s="242">
        <f>VLOOKUP(C315,'Talente &amp; Stuff'!C:AD,26,FALSE)</f>
        <v>0</v>
      </c>
      <c r="AC315" s="243">
        <f>VLOOKUP(C315,'Talente &amp; Stuff'!C:AD,27,FALSE)</f>
        <v>0</v>
      </c>
      <c r="AD315" s="218">
        <f>VLOOKUP(C315,'Talente &amp; Stuff'!C:AD,28,FALSE)</f>
        <v>0</v>
      </c>
      <c r="AE315" s="343"/>
    </row>
    <row r="316" spans="1:31" s="217" customFormat="1" hidden="1" outlineLevel="2">
      <c r="A316" s="185"/>
      <c r="B316" s="217">
        <v>19</v>
      </c>
      <c r="C316" s="303" t="s">
        <v>281</v>
      </c>
      <c r="D316" s="218" t="str">
        <f>VLOOKUP(C316,'Talente &amp; Stuff'!C:AD,2,FALSE)</f>
        <v>--/--/--</v>
      </c>
      <c r="E316" s="243" t="str">
        <f>VLOOKUP(C316,'Talente &amp; Stuff'!C:AD,3,FALSE)</f>
        <v>-</v>
      </c>
      <c r="F316" s="237">
        <f>VLOOKUP(C316,'Talente &amp; Stuff'!C:AD,4,FALSE)</f>
        <v>0</v>
      </c>
      <c r="G316" s="234">
        <f>VLOOKUP(C316,'Talente &amp; Stuff'!C:AD,5,FALSE)</f>
        <v>0</v>
      </c>
      <c r="H316" s="234">
        <f>VLOOKUP(C316,'Talente &amp; Stuff'!C:AD,6,FALSE)</f>
        <v>0</v>
      </c>
      <c r="I316" s="234">
        <f>VLOOKUP(C316,'Talente &amp; Stuff'!C:AD,7,FALSE)</f>
        <v>0</v>
      </c>
      <c r="J316" s="234">
        <f>VLOOKUP(C316,'Talente &amp; Stuff'!C:AD,8,FALSE)</f>
        <v>0</v>
      </c>
      <c r="K316" s="234">
        <f>VLOOKUP(C316,'Talente &amp; Stuff'!C:AD,9,FALSE)</f>
        <v>0</v>
      </c>
      <c r="L316" s="234">
        <f>VLOOKUP(C316,'Talente &amp; Stuff'!C:AD,10,FALSE)</f>
        <v>0</v>
      </c>
      <c r="M316" s="224">
        <f>VLOOKUP(C316,'Talente &amp; Stuff'!C:AD,11,FALSE)</f>
        <v>0</v>
      </c>
      <c r="N316" s="223">
        <f>VLOOKUP(C316,'Talente &amp; Stuff'!C:AD,12,FALSE)</f>
        <v>0</v>
      </c>
      <c r="O316" s="223">
        <f>VLOOKUP(C316,'Talente &amp; Stuff'!C:AD,13,FALSE)</f>
        <v>0</v>
      </c>
      <c r="P316" s="224">
        <f>VLOOKUP(C316,'Talente &amp; Stuff'!C:AD,14,FALSE)</f>
        <v>0</v>
      </c>
      <c r="Q316" s="237">
        <f>VLOOKUP(C316,'Talente &amp; Stuff'!C:AD,15,FALSE)</f>
        <v>0</v>
      </c>
      <c r="R316" s="234">
        <f>VLOOKUP(C316,'Talente &amp; Stuff'!C:AD,16,FALSE)</f>
        <v>0</v>
      </c>
      <c r="S316" s="224">
        <f>VLOOKUP(C316,'Talente &amp; Stuff'!C:AD,17,FALSE)</f>
        <v>0</v>
      </c>
      <c r="T316" s="224">
        <f>VLOOKUP(C316,'Talente &amp; Stuff'!C:AD,18,FALSE)</f>
        <v>0</v>
      </c>
      <c r="U316" s="222">
        <f>VLOOKUP(C316,'Talente &amp; Stuff'!C:AD,19,FALSE)</f>
        <v>0</v>
      </c>
      <c r="V316" s="223">
        <f>VLOOKUP(C316,'Talente &amp; Stuff'!C:AD,20,FALSE)</f>
        <v>0</v>
      </c>
      <c r="W316" s="243">
        <f>VLOOKUP(C316,'Talente &amp; Stuff'!C:AD,21,FALSE)</f>
        <v>0</v>
      </c>
      <c r="X316" s="243">
        <f>VLOOKUP(C316,'Talente &amp; Stuff'!C:AD,22,FALSE)</f>
        <v>0</v>
      </c>
      <c r="Y316" s="252">
        <f>VLOOKUP(C316,Ausgewählte_Zauber_Zauberbarden,23,FALSE)</f>
        <v>0</v>
      </c>
      <c r="Z316" s="309">
        <f>VLOOKUP(C316,Ausgewählte_Zauber_Zauberbarden,24,FALSE)</f>
        <v>0</v>
      </c>
      <c r="AA316" s="218">
        <f>VLOOKUP(C316,'Talente &amp; Stuff'!C:AD,25,FALSE)</f>
        <v>0</v>
      </c>
      <c r="AB316" s="242">
        <f>VLOOKUP(C316,'Talente &amp; Stuff'!C:AD,26,FALSE)</f>
        <v>0</v>
      </c>
      <c r="AC316" s="243">
        <f>VLOOKUP(C316,'Talente &amp; Stuff'!C:AD,27,FALSE)</f>
        <v>0</v>
      </c>
      <c r="AD316" s="218">
        <f>VLOOKUP(C316,'Talente &amp; Stuff'!C:AD,28,FALSE)</f>
        <v>0</v>
      </c>
      <c r="AE316" s="343"/>
    </row>
    <row r="317" spans="1:31" s="217" customFormat="1" hidden="1" outlineLevel="2">
      <c r="A317" s="185"/>
      <c r="B317" s="217">
        <v>20</v>
      </c>
      <c r="C317" s="303" t="s">
        <v>281</v>
      </c>
      <c r="D317" s="218" t="str">
        <f>VLOOKUP(C317,'Talente &amp; Stuff'!C:AD,2,FALSE)</f>
        <v>--/--/--</v>
      </c>
      <c r="E317" s="243" t="str">
        <f>VLOOKUP(C317,'Talente &amp; Stuff'!C:AD,3,FALSE)</f>
        <v>-</v>
      </c>
      <c r="F317" s="237">
        <f>VLOOKUP(C317,'Talente &amp; Stuff'!C:AD,4,FALSE)</f>
        <v>0</v>
      </c>
      <c r="G317" s="234">
        <f>VLOOKUP(C317,'Talente &amp; Stuff'!C:AD,5,FALSE)</f>
        <v>0</v>
      </c>
      <c r="H317" s="234">
        <f>VLOOKUP(C317,'Talente &amp; Stuff'!C:AD,6,FALSE)</f>
        <v>0</v>
      </c>
      <c r="I317" s="234">
        <f>VLOOKUP(C317,'Talente &amp; Stuff'!C:AD,7,FALSE)</f>
        <v>0</v>
      </c>
      <c r="J317" s="234">
        <f>VLOOKUP(C317,'Talente &amp; Stuff'!C:AD,8,FALSE)</f>
        <v>0</v>
      </c>
      <c r="K317" s="234">
        <f>VLOOKUP(C317,'Talente &amp; Stuff'!C:AD,9,FALSE)</f>
        <v>0</v>
      </c>
      <c r="L317" s="234">
        <f>VLOOKUP(C317,'Talente &amp; Stuff'!C:AD,10,FALSE)</f>
        <v>0</v>
      </c>
      <c r="M317" s="224">
        <f>VLOOKUP(C317,'Talente &amp; Stuff'!C:AD,11,FALSE)</f>
        <v>0</v>
      </c>
      <c r="N317" s="223">
        <f>VLOOKUP(C317,'Talente &amp; Stuff'!C:AD,12,FALSE)</f>
        <v>0</v>
      </c>
      <c r="O317" s="223">
        <f>VLOOKUP(C317,'Talente &amp; Stuff'!C:AD,13,FALSE)</f>
        <v>0</v>
      </c>
      <c r="P317" s="224">
        <f>VLOOKUP(C317,'Talente &amp; Stuff'!C:AD,14,FALSE)</f>
        <v>0</v>
      </c>
      <c r="Q317" s="237">
        <f>VLOOKUP(C317,'Talente &amp; Stuff'!C:AD,15,FALSE)</f>
        <v>0</v>
      </c>
      <c r="R317" s="234">
        <f>VLOOKUP(C317,'Talente &amp; Stuff'!C:AD,16,FALSE)</f>
        <v>0</v>
      </c>
      <c r="S317" s="224">
        <f>VLOOKUP(C317,'Talente &amp; Stuff'!C:AD,17,FALSE)</f>
        <v>0</v>
      </c>
      <c r="T317" s="224">
        <f>VLOOKUP(C317,'Talente &amp; Stuff'!C:AD,18,FALSE)</f>
        <v>0</v>
      </c>
      <c r="U317" s="222">
        <f>VLOOKUP(C317,'Talente &amp; Stuff'!C:AD,19,FALSE)</f>
        <v>0</v>
      </c>
      <c r="V317" s="223">
        <f>VLOOKUP(C317,'Talente &amp; Stuff'!C:AD,20,FALSE)</f>
        <v>0</v>
      </c>
      <c r="W317" s="243">
        <f>VLOOKUP(C317,'Talente &amp; Stuff'!C:AD,21,FALSE)</f>
        <v>0</v>
      </c>
      <c r="X317" s="243">
        <f>VLOOKUP(C317,'Talente &amp; Stuff'!C:AD,22,FALSE)</f>
        <v>0</v>
      </c>
      <c r="Y317" s="252">
        <f>VLOOKUP(C317,Ausgewählte_Zauber_Zauberbarden,23,FALSE)</f>
        <v>0</v>
      </c>
      <c r="Z317" s="309">
        <f>VLOOKUP(C317,Ausgewählte_Zauber_Zauberbarden,24,FALSE)</f>
        <v>0</v>
      </c>
      <c r="AA317" s="218">
        <f>VLOOKUP(C317,'Talente &amp; Stuff'!C:AD,25,FALSE)</f>
        <v>0</v>
      </c>
      <c r="AB317" s="242">
        <f>VLOOKUP(C317,'Talente &amp; Stuff'!C:AD,26,FALSE)</f>
        <v>0</v>
      </c>
      <c r="AC317" s="243">
        <f>VLOOKUP(C317,'Talente &amp; Stuff'!C:AD,27,FALSE)</f>
        <v>0</v>
      </c>
      <c r="AD317" s="218">
        <f>VLOOKUP(C317,'Talente &amp; Stuff'!C:AD,28,FALSE)</f>
        <v>0</v>
      </c>
      <c r="AE317" s="343"/>
    </row>
    <row r="318" spans="1:31" s="217" customFormat="1" hidden="1" outlineLevel="2">
      <c r="A318" s="185"/>
      <c r="B318" s="217">
        <v>21</v>
      </c>
      <c r="C318" s="303" t="s">
        <v>281</v>
      </c>
      <c r="D318" s="218" t="str">
        <f>VLOOKUP(C318,'Talente &amp; Stuff'!C:AD,2,FALSE)</f>
        <v>--/--/--</v>
      </c>
      <c r="E318" s="243" t="str">
        <f>VLOOKUP(C318,'Talente &amp; Stuff'!C:AD,3,FALSE)</f>
        <v>-</v>
      </c>
      <c r="F318" s="237">
        <f>VLOOKUP(C318,'Talente &amp; Stuff'!C:AD,4,FALSE)</f>
        <v>0</v>
      </c>
      <c r="G318" s="234">
        <f>VLOOKUP(C318,'Talente &amp; Stuff'!C:AD,5,FALSE)</f>
        <v>0</v>
      </c>
      <c r="H318" s="234">
        <f>VLOOKUP(C318,'Talente &amp; Stuff'!C:AD,6,FALSE)</f>
        <v>0</v>
      </c>
      <c r="I318" s="234">
        <f>VLOOKUP(C318,'Talente &amp; Stuff'!C:AD,7,FALSE)</f>
        <v>0</v>
      </c>
      <c r="J318" s="234">
        <f>VLOOKUP(C318,'Talente &amp; Stuff'!C:AD,8,FALSE)</f>
        <v>0</v>
      </c>
      <c r="K318" s="234">
        <f>VLOOKUP(C318,'Talente &amp; Stuff'!C:AD,9,FALSE)</f>
        <v>0</v>
      </c>
      <c r="L318" s="234">
        <f>VLOOKUP(C318,'Talente &amp; Stuff'!C:AD,10,FALSE)</f>
        <v>0</v>
      </c>
      <c r="M318" s="224">
        <f>VLOOKUP(C318,'Talente &amp; Stuff'!C:AD,11,FALSE)</f>
        <v>0</v>
      </c>
      <c r="N318" s="223">
        <f>VLOOKUP(C318,'Talente &amp; Stuff'!C:AD,12,FALSE)</f>
        <v>0</v>
      </c>
      <c r="O318" s="223">
        <f>VLOOKUP(C318,'Talente &amp; Stuff'!C:AD,13,FALSE)</f>
        <v>0</v>
      </c>
      <c r="P318" s="224">
        <f>VLOOKUP(C318,'Talente &amp; Stuff'!C:AD,14,FALSE)</f>
        <v>0</v>
      </c>
      <c r="Q318" s="237">
        <f>VLOOKUP(C318,'Talente &amp; Stuff'!C:AD,15,FALSE)</f>
        <v>0</v>
      </c>
      <c r="R318" s="234">
        <f>VLOOKUP(C318,'Talente &amp; Stuff'!C:AD,16,FALSE)</f>
        <v>0</v>
      </c>
      <c r="S318" s="224">
        <f>VLOOKUP(C318,'Talente &amp; Stuff'!C:AD,17,FALSE)</f>
        <v>0</v>
      </c>
      <c r="T318" s="224">
        <f>VLOOKUP(C318,'Talente &amp; Stuff'!C:AD,18,FALSE)</f>
        <v>0</v>
      </c>
      <c r="U318" s="222">
        <f>VLOOKUP(C318,'Talente &amp; Stuff'!C:AD,19,FALSE)</f>
        <v>0</v>
      </c>
      <c r="V318" s="223">
        <f>VLOOKUP(C318,'Talente &amp; Stuff'!C:AD,20,FALSE)</f>
        <v>0</v>
      </c>
      <c r="W318" s="243">
        <f>VLOOKUP(C318,'Talente &amp; Stuff'!C:AD,21,FALSE)</f>
        <v>0</v>
      </c>
      <c r="X318" s="243">
        <f>VLOOKUP(C318,'Talente &amp; Stuff'!C:AD,22,FALSE)</f>
        <v>0</v>
      </c>
      <c r="Y318" s="252">
        <f>VLOOKUP(C318,Ausgewählte_Zauber_Zauberbarden,23,FALSE)</f>
        <v>0</v>
      </c>
      <c r="Z318" s="309">
        <f>VLOOKUP(C318,Ausgewählte_Zauber_Zauberbarden,24,FALSE)</f>
        <v>0</v>
      </c>
      <c r="AA318" s="218">
        <f>VLOOKUP(C318,'Talente &amp; Stuff'!C:AD,25,FALSE)</f>
        <v>0</v>
      </c>
      <c r="AB318" s="242">
        <f>VLOOKUP(C318,'Talente &amp; Stuff'!C:AD,26,FALSE)</f>
        <v>0</v>
      </c>
      <c r="AC318" s="243">
        <f>VLOOKUP(C318,'Talente &amp; Stuff'!C:AD,27,FALSE)</f>
        <v>0</v>
      </c>
      <c r="AD318" s="218">
        <f>VLOOKUP(C318,'Talente &amp; Stuff'!C:AD,28,FALSE)</f>
        <v>0</v>
      </c>
      <c r="AE318" s="343"/>
    </row>
    <row r="319" spans="1:31" s="217" customFormat="1" hidden="1" outlineLevel="2">
      <c r="A319" s="185"/>
      <c r="B319" s="217">
        <v>22</v>
      </c>
      <c r="C319" s="303" t="s">
        <v>281</v>
      </c>
      <c r="D319" s="218" t="str">
        <f>VLOOKUP(C319,'Talente &amp; Stuff'!C:AD,2,FALSE)</f>
        <v>--/--/--</v>
      </c>
      <c r="E319" s="243" t="str">
        <f>VLOOKUP(C319,'Talente &amp; Stuff'!C:AD,3,FALSE)</f>
        <v>-</v>
      </c>
      <c r="F319" s="237">
        <f>VLOOKUP(C319,'Talente &amp; Stuff'!C:AD,4,FALSE)</f>
        <v>0</v>
      </c>
      <c r="G319" s="234">
        <f>VLOOKUP(C319,'Talente &amp; Stuff'!C:AD,5,FALSE)</f>
        <v>0</v>
      </c>
      <c r="H319" s="234">
        <f>VLOOKUP(C319,'Talente &amp; Stuff'!C:AD,6,FALSE)</f>
        <v>0</v>
      </c>
      <c r="I319" s="234">
        <f>VLOOKUP(C319,'Talente &amp; Stuff'!C:AD,7,FALSE)</f>
        <v>0</v>
      </c>
      <c r="J319" s="234">
        <f>VLOOKUP(C319,'Talente &amp; Stuff'!C:AD,8,FALSE)</f>
        <v>0</v>
      </c>
      <c r="K319" s="234">
        <f>VLOOKUP(C319,'Talente &amp; Stuff'!C:AD,9,FALSE)</f>
        <v>0</v>
      </c>
      <c r="L319" s="234">
        <f>VLOOKUP(C319,'Talente &amp; Stuff'!C:AD,10,FALSE)</f>
        <v>0</v>
      </c>
      <c r="M319" s="224">
        <f>VLOOKUP(C319,'Talente &amp; Stuff'!C:AD,11,FALSE)</f>
        <v>0</v>
      </c>
      <c r="N319" s="223">
        <f>VLOOKUP(C319,'Talente &amp; Stuff'!C:AD,12,FALSE)</f>
        <v>0</v>
      </c>
      <c r="O319" s="223">
        <f>VLOOKUP(C319,'Talente &amp; Stuff'!C:AD,13,FALSE)</f>
        <v>0</v>
      </c>
      <c r="P319" s="224">
        <f>VLOOKUP(C319,'Talente &amp; Stuff'!C:AD,14,FALSE)</f>
        <v>0</v>
      </c>
      <c r="Q319" s="237">
        <f>VLOOKUP(C319,'Talente &amp; Stuff'!C:AD,15,FALSE)</f>
        <v>0</v>
      </c>
      <c r="R319" s="234">
        <f>VLOOKUP(C319,'Talente &amp; Stuff'!C:AD,16,FALSE)</f>
        <v>0</v>
      </c>
      <c r="S319" s="224">
        <f>VLOOKUP(C319,'Talente &amp; Stuff'!C:AD,17,FALSE)</f>
        <v>0</v>
      </c>
      <c r="T319" s="224">
        <f>VLOOKUP(C319,'Talente &amp; Stuff'!C:AD,18,FALSE)</f>
        <v>0</v>
      </c>
      <c r="U319" s="222">
        <f>VLOOKUP(C319,'Talente &amp; Stuff'!C:AD,19,FALSE)</f>
        <v>0</v>
      </c>
      <c r="V319" s="223">
        <f>VLOOKUP(C319,'Talente &amp; Stuff'!C:AD,20,FALSE)</f>
        <v>0</v>
      </c>
      <c r="W319" s="243">
        <f>VLOOKUP(C319,'Talente &amp; Stuff'!C:AD,21,FALSE)</f>
        <v>0</v>
      </c>
      <c r="X319" s="243">
        <f>VLOOKUP(C319,'Talente &amp; Stuff'!C:AD,22,FALSE)</f>
        <v>0</v>
      </c>
      <c r="Y319" s="252">
        <f>VLOOKUP(C319,Ausgewählte_Zauber_Zauberbarden,23,FALSE)</f>
        <v>0</v>
      </c>
      <c r="Z319" s="309">
        <f>VLOOKUP(C319,Ausgewählte_Zauber_Zauberbarden,24,FALSE)</f>
        <v>0</v>
      </c>
      <c r="AA319" s="218">
        <f>VLOOKUP(C319,'Talente &amp; Stuff'!C:AD,25,FALSE)</f>
        <v>0</v>
      </c>
      <c r="AB319" s="242">
        <f>VLOOKUP(C319,'Talente &amp; Stuff'!C:AD,26,FALSE)</f>
        <v>0</v>
      </c>
      <c r="AC319" s="243">
        <f>VLOOKUP(C319,'Talente &amp; Stuff'!C:AD,27,FALSE)</f>
        <v>0</v>
      </c>
      <c r="AD319" s="218">
        <f>VLOOKUP(C319,'Talente &amp; Stuff'!C:AD,28,FALSE)</f>
        <v>0</v>
      </c>
      <c r="AE319" s="343"/>
    </row>
    <row r="320" spans="1:31" s="217" customFormat="1" hidden="1" outlineLevel="2">
      <c r="A320" s="185"/>
      <c r="B320" s="217">
        <v>23</v>
      </c>
      <c r="C320" s="303" t="s">
        <v>281</v>
      </c>
      <c r="D320" s="218" t="str">
        <f>VLOOKUP(C320,'Talente &amp; Stuff'!C:AD,2,FALSE)</f>
        <v>--/--/--</v>
      </c>
      <c r="E320" s="243" t="str">
        <f>VLOOKUP(C320,'Talente &amp; Stuff'!C:AD,3,FALSE)</f>
        <v>-</v>
      </c>
      <c r="F320" s="237">
        <f>VLOOKUP(C320,'Talente &amp; Stuff'!C:AD,4,FALSE)</f>
        <v>0</v>
      </c>
      <c r="G320" s="234">
        <f>VLOOKUP(C320,'Talente &amp; Stuff'!C:AD,5,FALSE)</f>
        <v>0</v>
      </c>
      <c r="H320" s="234">
        <f>VLOOKUP(C320,'Talente &amp; Stuff'!C:AD,6,FALSE)</f>
        <v>0</v>
      </c>
      <c r="I320" s="234">
        <f>VLOOKUP(C320,'Talente &amp; Stuff'!C:AD,7,FALSE)</f>
        <v>0</v>
      </c>
      <c r="J320" s="234">
        <f>VLOOKUP(C320,'Talente &amp; Stuff'!C:AD,8,FALSE)</f>
        <v>0</v>
      </c>
      <c r="K320" s="234">
        <f>VLOOKUP(C320,'Talente &amp; Stuff'!C:AD,9,FALSE)</f>
        <v>0</v>
      </c>
      <c r="L320" s="234">
        <f>VLOOKUP(C320,'Talente &amp; Stuff'!C:AD,10,FALSE)</f>
        <v>0</v>
      </c>
      <c r="M320" s="224">
        <f>VLOOKUP(C320,'Talente &amp; Stuff'!C:AD,11,FALSE)</f>
        <v>0</v>
      </c>
      <c r="N320" s="223">
        <f>VLOOKUP(C320,'Talente &amp; Stuff'!C:AD,12,FALSE)</f>
        <v>0</v>
      </c>
      <c r="O320" s="223">
        <f>VLOOKUP(C320,'Talente &amp; Stuff'!C:AD,13,FALSE)</f>
        <v>0</v>
      </c>
      <c r="P320" s="224">
        <f>VLOOKUP(C320,'Talente &amp; Stuff'!C:AD,14,FALSE)</f>
        <v>0</v>
      </c>
      <c r="Q320" s="237">
        <f>VLOOKUP(C320,'Talente &amp; Stuff'!C:AD,15,FALSE)</f>
        <v>0</v>
      </c>
      <c r="R320" s="234">
        <f>VLOOKUP(C320,'Talente &amp; Stuff'!C:AD,16,FALSE)</f>
        <v>0</v>
      </c>
      <c r="S320" s="224">
        <f>VLOOKUP(C320,'Talente &amp; Stuff'!C:AD,17,FALSE)</f>
        <v>0</v>
      </c>
      <c r="T320" s="224">
        <f>VLOOKUP(C320,'Talente &amp; Stuff'!C:AD,18,FALSE)</f>
        <v>0</v>
      </c>
      <c r="U320" s="222">
        <f>VLOOKUP(C320,'Talente &amp; Stuff'!C:AD,19,FALSE)</f>
        <v>0</v>
      </c>
      <c r="V320" s="223">
        <f>VLOOKUP(C320,'Talente &amp; Stuff'!C:AD,20,FALSE)</f>
        <v>0</v>
      </c>
      <c r="W320" s="243">
        <f>VLOOKUP(C320,'Talente &amp; Stuff'!C:AD,21,FALSE)</f>
        <v>0</v>
      </c>
      <c r="X320" s="243">
        <f>VLOOKUP(C320,'Talente &amp; Stuff'!C:AD,22,FALSE)</f>
        <v>0</v>
      </c>
      <c r="Y320" s="252">
        <f>VLOOKUP(C320,Ausgewählte_Zauber_Zauberbarden,23,FALSE)</f>
        <v>0</v>
      </c>
      <c r="Z320" s="309">
        <f>VLOOKUP(C320,Ausgewählte_Zauber_Zauberbarden,24,FALSE)</f>
        <v>0</v>
      </c>
      <c r="AA320" s="218">
        <f>VLOOKUP(C320,'Talente &amp; Stuff'!C:AD,25,FALSE)</f>
        <v>0</v>
      </c>
      <c r="AB320" s="242">
        <f>VLOOKUP(C320,'Talente &amp; Stuff'!C:AD,26,FALSE)</f>
        <v>0</v>
      </c>
      <c r="AC320" s="243">
        <f>VLOOKUP(C320,'Talente &amp; Stuff'!C:AD,27,FALSE)</f>
        <v>0</v>
      </c>
      <c r="AD320" s="218">
        <f>VLOOKUP(C320,'Talente &amp; Stuff'!C:AD,28,FALSE)</f>
        <v>0</v>
      </c>
      <c r="AE320" s="343"/>
    </row>
    <row r="321" spans="1:31" s="217" customFormat="1" hidden="1" outlineLevel="2">
      <c r="A321" s="185"/>
      <c r="B321" s="217">
        <v>24</v>
      </c>
      <c r="C321" s="306" t="s">
        <v>281</v>
      </c>
      <c r="D321" s="246" t="str">
        <f>VLOOKUP(C321,'Talente &amp; Stuff'!C:AD,2,FALSE)</f>
        <v>--/--/--</v>
      </c>
      <c r="E321" s="245" t="str">
        <f>VLOOKUP(C321,'Talente &amp; Stuff'!C:AD,3,FALSE)</f>
        <v>-</v>
      </c>
      <c r="F321" s="238">
        <f>VLOOKUP(C321,'Talente &amp; Stuff'!C:AD,4,FALSE)</f>
        <v>0</v>
      </c>
      <c r="G321" s="235">
        <f>VLOOKUP(C321,'Talente &amp; Stuff'!C:AD,5,FALSE)</f>
        <v>0</v>
      </c>
      <c r="H321" s="235">
        <f>VLOOKUP(C321,'Talente &amp; Stuff'!C:AD,6,FALSE)</f>
        <v>0</v>
      </c>
      <c r="I321" s="235">
        <f>VLOOKUP(C321,'Talente &amp; Stuff'!C:AD,7,FALSE)</f>
        <v>0</v>
      </c>
      <c r="J321" s="235">
        <f>VLOOKUP(C321,'Talente &amp; Stuff'!C:AD,8,FALSE)</f>
        <v>0</v>
      </c>
      <c r="K321" s="235">
        <f>VLOOKUP(C321,'Talente &amp; Stuff'!C:AD,9,FALSE)</f>
        <v>0</v>
      </c>
      <c r="L321" s="235">
        <f>VLOOKUP(C321,'Talente &amp; Stuff'!C:AD,10,FALSE)</f>
        <v>0</v>
      </c>
      <c r="M321" s="227">
        <f>VLOOKUP(C321,'Talente &amp; Stuff'!C:AD,11,FALSE)</f>
        <v>0</v>
      </c>
      <c r="N321" s="226">
        <f>VLOOKUP(C321,'Talente &amp; Stuff'!C:AD,12,FALSE)</f>
        <v>0</v>
      </c>
      <c r="O321" s="226">
        <f>VLOOKUP(C321,'Talente &amp; Stuff'!C:AD,13,FALSE)</f>
        <v>0</v>
      </c>
      <c r="P321" s="227">
        <f>VLOOKUP(C321,'Talente &amp; Stuff'!C:AD,14,FALSE)</f>
        <v>0</v>
      </c>
      <c r="Q321" s="238">
        <f>VLOOKUP(C321,'Talente &amp; Stuff'!C:AD,15,FALSE)</f>
        <v>0</v>
      </c>
      <c r="R321" s="235">
        <f>VLOOKUP(C321,'Talente &amp; Stuff'!C:AD,16,FALSE)</f>
        <v>0</v>
      </c>
      <c r="S321" s="227">
        <f>VLOOKUP(C321,'Talente &amp; Stuff'!C:AD,17,FALSE)</f>
        <v>0</v>
      </c>
      <c r="T321" s="227">
        <f>VLOOKUP(C321,'Talente &amp; Stuff'!C:AD,18,FALSE)</f>
        <v>0</v>
      </c>
      <c r="U321" s="225">
        <f>VLOOKUP(C321,'Talente &amp; Stuff'!C:AD,19,FALSE)</f>
        <v>0</v>
      </c>
      <c r="V321" s="226">
        <f>VLOOKUP(C321,'Talente &amp; Stuff'!C:AD,20,FALSE)</f>
        <v>0</v>
      </c>
      <c r="W321" s="245">
        <f>VLOOKUP(C321,'Talente &amp; Stuff'!C:AD,21,FALSE)</f>
        <v>0</v>
      </c>
      <c r="X321" s="245">
        <f>VLOOKUP(C321,'Talente &amp; Stuff'!C:AD,22,FALSE)</f>
        <v>0</v>
      </c>
      <c r="Y321" s="252">
        <f>VLOOKUP(C321,Ausgewählte_Zauber_Zauberbarden,23,FALSE)</f>
        <v>0</v>
      </c>
      <c r="Z321" s="309">
        <f>VLOOKUP(C321,Ausgewählte_Zauber_Zauberbarden,24,FALSE)</f>
        <v>0</v>
      </c>
      <c r="AA321" s="246">
        <f>VLOOKUP(C321,'Talente &amp; Stuff'!C:AD,25,FALSE)</f>
        <v>0</v>
      </c>
      <c r="AB321" s="244">
        <f>VLOOKUP(C321,'Talente &amp; Stuff'!C:AD,26,FALSE)</f>
        <v>0</v>
      </c>
      <c r="AC321" s="245">
        <f>VLOOKUP(C321,'Talente &amp; Stuff'!C:AD,27,FALSE)</f>
        <v>0</v>
      </c>
      <c r="AD321" s="246">
        <f>VLOOKUP(C321,'Talente &amp; Stuff'!C:AD,28,FALSE)</f>
        <v>0</v>
      </c>
      <c r="AE321" s="343"/>
    </row>
    <row r="322" spans="1:31" s="217" customFormat="1" hidden="1" outlineLevel="1" collapsed="1">
      <c r="A322" s="185"/>
      <c r="B322" s="216" t="s">
        <v>446</v>
      </c>
      <c r="C322" s="307"/>
      <c r="D322" s="308"/>
      <c r="E322" s="308"/>
      <c r="Y322" s="251"/>
      <c r="Z322" s="251"/>
    </row>
    <row r="323" spans="1:31" s="217" customFormat="1" hidden="1" outlineLevel="2">
      <c r="A323" s="185"/>
      <c r="B323" s="217">
        <v>1</v>
      </c>
      <c r="C323" s="302" t="s">
        <v>281</v>
      </c>
      <c r="D323" s="43" t="str">
        <f>VLOOKUP(C323,'Talente &amp; Stuff'!C:AD,2,FALSE)</f>
        <v>--/--/--</v>
      </c>
      <c r="E323" s="42" t="str">
        <f>VLOOKUP(C323,'Talente &amp; Stuff'!C:AD,3,FALSE)</f>
        <v>-</v>
      </c>
      <c r="F323" s="236">
        <f>VLOOKUP(C323,'Talente &amp; Stuff'!C:AD,4,FALSE)</f>
        <v>0</v>
      </c>
      <c r="G323" s="233">
        <f>VLOOKUP(C323,'Talente &amp; Stuff'!C:AD,5,FALSE)</f>
        <v>0</v>
      </c>
      <c r="H323" s="233">
        <f>VLOOKUP(C323,'Talente &amp; Stuff'!C:AD,6,FALSE)</f>
        <v>0</v>
      </c>
      <c r="I323" s="233">
        <f>VLOOKUP(C323,'Talente &amp; Stuff'!C:AD,7,FALSE)</f>
        <v>0</v>
      </c>
      <c r="J323" s="233">
        <f>VLOOKUP(C323,'Talente &amp; Stuff'!C:AD,8,FALSE)</f>
        <v>0</v>
      </c>
      <c r="K323" s="233">
        <f>VLOOKUP(C323,'Talente &amp; Stuff'!C:AD,9,FALSE)</f>
        <v>0</v>
      </c>
      <c r="L323" s="233">
        <f>VLOOKUP(C323,'Talente &amp; Stuff'!C:AD,10,FALSE)</f>
        <v>0</v>
      </c>
      <c r="M323" s="221">
        <f>VLOOKUP(C323,'Talente &amp; Stuff'!C:AD,11,FALSE)</f>
        <v>0</v>
      </c>
      <c r="N323" s="219">
        <f>VLOOKUP(C323,'Talente &amp; Stuff'!C:AD,12,FALSE)</f>
        <v>0</v>
      </c>
      <c r="O323" s="220">
        <f>VLOOKUP(C323,'Talente &amp; Stuff'!C:AD,13,FALSE)</f>
        <v>0</v>
      </c>
      <c r="P323" s="221">
        <f>VLOOKUP(C323,'Talente &amp; Stuff'!C:AD,14,FALSE)</f>
        <v>0</v>
      </c>
      <c r="Q323" s="236">
        <f>VLOOKUP(C323,'Talente &amp; Stuff'!C:AD,15,FALSE)</f>
        <v>0</v>
      </c>
      <c r="R323" s="316">
        <f>VLOOKUP(C323,'Talente &amp; Stuff'!C:AD,16,FALSE)</f>
        <v>0</v>
      </c>
      <c r="S323" s="221">
        <f>VLOOKUP(C323,'Talente &amp; Stuff'!C:AD,17,FALSE)</f>
        <v>0</v>
      </c>
      <c r="T323" s="78">
        <f>VLOOKUP(C323,'Talente &amp; Stuff'!C:AD,18,FALSE)</f>
        <v>0</v>
      </c>
      <c r="U323" s="219">
        <f>VLOOKUP(C323,'Talente &amp; Stuff'!C:AD,19,FALSE)</f>
        <v>0</v>
      </c>
      <c r="V323" s="220">
        <f>VLOOKUP(C323,'Talente &amp; Stuff'!C:AD,20,FALSE)</f>
        <v>0</v>
      </c>
      <c r="W323" s="241">
        <f>VLOOKUP(C323,'Talente &amp; Stuff'!C:AD,21,FALSE)</f>
        <v>0</v>
      </c>
      <c r="X323" s="42">
        <f>VLOOKUP(C323,'Talente &amp; Stuff'!C:AD,22,FALSE)</f>
        <v>0</v>
      </c>
      <c r="Y323" s="252">
        <f>VLOOKUP(C323,Ausgewählte_Zauber_Zaubertänzer,23,FALSE)</f>
        <v>0</v>
      </c>
      <c r="Z323" s="309">
        <f>VLOOKUP(C323,Ausgewählte_Zauber_Zaubertänzer,24,FALSE)</f>
        <v>0</v>
      </c>
      <c r="AA323" s="42">
        <f>VLOOKUP(C323,'Talente &amp; Stuff'!C:AD,25,FALSE)</f>
        <v>0</v>
      </c>
      <c r="AB323" s="78">
        <f>VLOOKUP(C323,'Talente &amp; Stuff'!C:AD,26,FALSE)</f>
        <v>0</v>
      </c>
      <c r="AC323" s="42">
        <f>VLOOKUP(C323,'Talente &amp; Stuff'!C:AD,27,FALSE)</f>
        <v>0</v>
      </c>
      <c r="AD323" s="42">
        <f>VLOOKUP(C323,'Talente &amp; Stuff'!C:AD,28,FALSE)</f>
        <v>0</v>
      </c>
      <c r="AE323" s="343"/>
    </row>
    <row r="324" spans="1:31" s="217" customFormat="1" hidden="1" outlineLevel="2">
      <c r="A324" s="185"/>
      <c r="B324" s="217">
        <v>2</v>
      </c>
      <c r="C324" s="303" t="s">
        <v>281</v>
      </c>
      <c r="D324" s="304" t="str">
        <f>VLOOKUP(C324,'Talente &amp; Stuff'!C:AD,2,FALSE)</f>
        <v>--/--/--</v>
      </c>
      <c r="E324" s="304" t="str">
        <f>VLOOKUP(C324,'Talente &amp; Stuff'!C:AD,3,FALSE)</f>
        <v>-</v>
      </c>
      <c r="F324" s="317">
        <f>VLOOKUP(C324,'Talente &amp; Stuff'!C:AD,4,FALSE)</f>
        <v>0</v>
      </c>
      <c r="G324" s="254">
        <f>VLOOKUP(C324,'Talente &amp; Stuff'!C:AD,5,FALSE)</f>
        <v>0</v>
      </c>
      <c r="H324" s="254">
        <f>VLOOKUP(C324,'Talente &amp; Stuff'!C:AD,6,FALSE)</f>
        <v>0</v>
      </c>
      <c r="I324" s="254">
        <f>VLOOKUP(C324,'Talente &amp; Stuff'!C:AD,7,FALSE)</f>
        <v>0</v>
      </c>
      <c r="J324" s="254">
        <f>VLOOKUP(C324,'Talente &amp; Stuff'!C:AD,8,FALSE)</f>
        <v>0</v>
      </c>
      <c r="K324" s="254">
        <f>VLOOKUP(C324,'Talente &amp; Stuff'!C:AD,9,FALSE)</f>
        <v>0</v>
      </c>
      <c r="L324" s="254">
        <f>VLOOKUP(C324,'Talente &amp; Stuff'!C:AD,10,FALSE)</f>
        <v>0</v>
      </c>
      <c r="M324" s="318">
        <f>VLOOKUP(C324,'Talente &amp; Stuff'!C:AD,11,FALSE)</f>
        <v>0</v>
      </c>
      <c r="N324" s="222">
        <f>VLOOKUP(C324,'Talente &amp; Stuff'!C:AD,12,FALSE)</f>
        <v>0</v>
      </c>
      <c r="O324" s="223">
        <f>VLOOKUP(C324,'Talente &amp; Stuff'!C:AD,13,FALSE)</f>
        <v>0</v>
      </c>
      <c r="P324" s="224">
        <f>VLOOKUP(C324,'Talente &amp; Stuff'!C:AD,14,FALSE)</f>
        <v>0</v>
      </c>
      <c r="Q324" s="237">
        <f>VLOOKUP(C324,'Talente &amp; Stuff'!C:AD,15,FALSE)</f>
        <v>0</v>
      </c>
      <c r="R324" s="254">
        <f>VLOOKUP(C324,'Talente &amp; Stuff'!C:AD,16,FALSE)</f>
        <v>0</v>
      </c>
      <c r="S324" s="224">
        <f>VLOOKUP(C324,'Talente &amp; Stuff'!C:AD,17,FALSE)</f>
        <v>0</v>
      </c>
      <c r="T324" s="242">
        <f>VLOOKUP(C324,'Talente &amp; Stuff'!C:AD,18,FALSE)</f>
        <v>0</v>
      </c>
      <c r="U324" s="222">
        <f>VLOOKUP(C324,'Talente &amp; Stuff'!C:AD,19,FALSE)</f>
        <v>0</v>
      </c>
      <c r="V324" s="223">
        <f>VLOOKUP(C324,'Talente &amp; Stuff'!C:AD,20,FALSE)</f>
        <v>0</v>
      </c>
      <c r="W324" s="243">
        <f>VLOOKUP(C324,'Talente &amp; Stuff'!C:AD,21,FALSE)</f>
        <v>0</v>
      </c>
      <c r="X324" s="218">
        <f>VLOOKUP(C324,'Talente &amp; Stuff'!C:AD,22,FALSE)</f>
        <v>0</v>
      </c>
      <c r="Y324" s="252">
        <f>VLOOKUP(C324,Ausgewählte_Zauber_Zaubertänzer,23,FALSE)</f>
        <v>0</v>
      </c>
      <c r="Z324" s="309">
        <f>VLOOKUP(C324,Ausgewählte_Zauber_Zaubertänzer,24,FALSE)</f>
        <v>0</v>
      </c>
      <c r="AA324" s="218">
        <f>VLOOKUP(C324,'Talente &amp; Stuff'!C:AD,25,FALSE)</f>
        <v>0</v>
      </c>
      <c r="AB324" s="242">
        <f>VLOOKUP(C324,'Talente &amp; Stuff'!C:AD,26,FALSE)</f>
        <v>0</v>
      </c>
      <c r="AC324" s="218">
        <f>VLOOKUP(C324,'Talente &amp; Stuff'!C:AD,27,FALSE)</f>
        <v>0</v>
      </c>
      <c r="AD324" s="218">
        <f>VLOOKUP(C324,'Talente &amp; Stuff'!C:AD,28,FALSE)</f>
        <v>0</v>
      </c>
      <c r="AE324" s="343"/>
    </row>
    <row r="325" spans="1:31" s="217" customFormat="1" hidden="1" outlineLevel="2">
      <c r="A325" s="185"/>
      <c r="B325" s="217">
        <v>3</v>
      </c>
      <c r="C325" s="303" t="s">
        <v>281</v>
      </c>
      <c r="D325" s="304" t="str">
        <f>VLOOKUP(C325,'Talente &amp; Stuff'!C:AD,2,FALSE)</f>
        <v>--/--/--</v>
      </c>
      <c r="E325" s="304" t="str">
        <f>VLOOKUP(C325,'Talente &amp; Stuff'!C:AD,3,FALSE)</f>
        <v>-</v>
      </c>
      <c r="F325" s="317">
        <f>VLOOKUP(C325,'Talente &amp; Stuff'!C:AD,4,FALSE)</f>
        <v>0</v>
      </c>
      <c r="G325" s="254">
        <f>VLOOKUP(C325,'Talente &amp; Stuff'!C:AD,5,FALSE)</f>
        <v>0</v>
      </c>
      <c r="H325" s="254">
        <f>VLOOKUP(C325,'Talente &amp; Stuff'!C:AD,6,FALSE)</f>
        <v>0</v>
      </c>
      <c r="I325" s="254">
        <f>VLOOKUP(C325,'Talente &amp; Stuff'!C:AD,7,FALSE)</f>
        <v>0</v>
      </c>
      <c r="J325" s="254">
        <f>VLOOKUP(C325,'Talente &amp; Stuff'!C:AD,8,FALSE)</f>
        <v>0</v>
      </c>
      <c r="K325" s="254">
        <f>VLOOKUP(C325,'Talente &amp; Stuff'!C:AD,9,FALSE)</f>
        <v>0</v>
      </c>
      <c r="L325" s="254">
        <f>VLOOKUP(C325,'Talente &amp; Stuff'!C:AD,10,FALSE)</f>
        <v>0</v>
      </c>
      <c r="M325" s="318">
        <f>VLOOKUP(C325,'Talente &amp; Stuff'!C:AD,11,FALSE)</f>
        <v>0</v>
      </c>
      <c r="N325" s="222">
        <f>VLOOKUP(C325,'Talente &amp; Stuff'!C:AD,12,FALSE)</f>
        <v>0</v>
      </c>
      <c r="O325" s="223">
        <f>VLOOKUP(C325,'Talente &amp; Stuff'!C:AD,13,FALSE)</f>
        <v>0</v>
      </c>
      <c r="P325" s="224">
        <f>VLOOKUP(C325,'Talente &amp; Stuff'!C:AD,14,FALSE)</f>
        <v>0</v>
      </c>
      <c r="Q325" s="237">
        <f>VLOOKUP(C325,'Talente &amp; Stuff'!C:AD,15,FALSE)</f>
        <v>0</v>
      </c>
      <c r="R325" s="254">
        <f>VLOOKUP(C325,'Talente &amp; Stuff'!C:AD,16,FALSE)</f>
        <v>0</v>
      </c>
      <c r="S325" s="224">
        <f>VLOOKUP(C325,'Talente &amp; Stuff'!C:AD,17,FALSE)</f>
        <v>0</v>
      </c>
      <c r="T325" s="242">
        <f>VLOOKUP(C325,'Talente &amp; Stuff'!C:AD,18,FALSE)</f>
        <v>0</v>
      </c>
      <c r="U325" s="222">
        <f>VLOOKUP(C325,'Talente &amp; Stuff'!C:AD,19,FALSE)</f>
        <v>0</v>
      </c>
      <c r="V325" s="223">
        <f>VLOOKUP(C325,'Talente &amp; Stuff'!C:AD,20,FALSE)</f>
        <v>0</v>
      </c>
      <c r="W325" s="243">
        <f>VLOOKUP(C325,'Talente &amp; Stuff'!C:AD,21,FALSE)</f>
        <v>0</v>
      </c>
      <c r="X325" s="218">
        <f>VLOOKUP(C325,'Talente &amp; Stuff'!C:AD,22,FALSE)</f>
        <v>0</v>
      </c>
      <c r="Y325" s="252">
        <f>VLOOKUP(C325,Ausgewählte_Zauber_Zaubertänzer,23,FALSE)</f>
        <v>0</v>
      </c>
      <c r="Z325" s="309">
        <f>VLOOKUP(C325,Ausgewählte_Zauber_Zaubertänzer,24,FALSE)</f>
        <v>0</v>
      </c>
      <c r="AA325" s="218">
        <f>VLOOKUP(C325,'Talente &amp; Stuff'!C:AD,25,FALSE)</f>
        <v>0</v>
      </c>
      <c r="AB325" s="242">
        <f>VLOOKUP(C325,'Talente &amp; Stuff'!C:AD,26,FALSE)</f>
        <v>0</v>
      </c>
      <c r="AC325" s="218">
        <f>VLOOKUP(C325,'Talente &amp; Stuff'!C:AD,27,FALSE)</f>
        <v>0</v>
      </c>
      <c r="AD325" s="218">
        <f>VLOOKUP(C325,'Talente &amp; Stuff'!C:AD,28,FALSE)</f>
        <v>0</v>
      </c>
      <c r="AE325" s="343"/>
    </row>
    <row r="326" spans="1:31" s="217" customFormat="1" hidden="1" outlineLevel="2">
      <c r="A326" s="185"/>
      <c r="B326" s="217">
        <v>4</v>
      </c>
      <c r="C326" s="303" t="s">
        <v>281</v>
      </c>
      <c r="D326" s="304" t="str">
        <f>VLOOKUP(C326,'Talente &amp; Stuff'!C:AD,2,FALSE)</f>
        <v>--/--/--</v>
      </c>
      <c r="E326" s="304" t="str">
        <f>VLOOKUP(C326,'Talente &amp; Stuff'!C:AD,3,FALSE)</f>
        <v>-</v>
      </c>
      <c r="F326" s="317">
        <f>VLOOKUP(C326,'Talente &amp; Stuff'!C:AD,4,FALSE)</f>
        <v>0</v>
      </c>
      <c r="G326" s="254">
        <f>VLOOKUP(C326,'Talente &amp; Stuff'!C:AD,5,FALSE)</f>
        <v>0</v>
      </c>
      <c r="H326" s="254">
        <f>VLOOKUP(C326,'Talente &amp; Stuff'!C:AD,6,FALSE)</f>
        <v>0</v>
      </c>
      <c r="I326" s="254">
        <f>VLOOKUP(C326,'Talente &amp; Stuff'!C:AD,7,FALSE)</f>
        <v>0</v>
      </c>
      <c r="J326" s="254">
        <f>VLOOKUP(C326,'Talente &amp; Stuff'!C:AD,8,FALSE)</f>
        <v>0</v>
      </c>
      <c r="K326" s="254">
        <f>VLOOKUP(C326,'Talente &amp; Stuff'!C:AD,9,FALSE)</f>
        <v>0</v>
      </c>
      <c r="L326" s="254">
        <f>VLOOKUP(C326,'Talente &amp; Stuff'!C:AD,10,FALSE)</f>
        <v>0</v>
      </c>
      <c r="M326" s="318">
        <f>VLOOKUP(C326,'Talente &amp; Stuff'!C:AD,11,FALSE)</f>
        <v>0</v>
      </c>
      <c r="N326" s="222">
        <f>VLOOKUP(C326,'Talente &amp; Stuff'!C:AD,12,FALSE)</f>
        <v>0</v>
      </c>
      <c r="O326" s="223">
        <f>VLOOKUP(C326,'Talente &amp; Stuff'!C:AD,13,FALSE)</f>
        <v>0</v>
      </c>
      <c r="P326" s="224">
        <f>VLOOKUP(C326,'Talente &amp; Stuff'!C:AD,14,FALSE)</f>
        <v>0</v>
      </c>
      <c r="Q326" s="237">
        <f>VLOOKUP(C326,'Talente &amp; Stuff'!C:AD,15,FALSE)</f>
        <v>0</v>
      </c>
      <c r="R326" s="254">
        <f>VLOOKUP(C326,'Talente &amp; Stuff'!C:AD,16,FALSE)</f>
        <v>0</v>
      </c>
      <c r="S326" s="224">
        <f>VLOOKUP(C326,'Talente &amp; Stuff'!C:AD,17,FALSE)</f>
        <v>0</v>
      </c>
      <c r="T326" s="242">
        <f>VLOOKUP(C326,'Talente &amp; Stuff'!C:AD,18,FALSE)</f>
        <v>0</v>
      </c>
      <c r="U326" s="222">
        <f>VLOOKUP(C326,'Talente &amp; Stuff'!C:AD,19,FALSE)</f>
        <v>0</v>
      </c>
      <c r="V326" s="223">
        <f>VLOOKUP(C326,'Talente &amp; Stuff'!C:AD,20,FALSE)</f>
        <v>0</v>
      </c>
      <c r="W326" s="243">
        <f>VLOOKUP(C326,'Talente &amp; Stuff'!C:AD,21,FALSE)</f>
        <v>0</v>
      </c>
      <c r="X326" s="218">
        <f>VLOOKUP(C326,'Talente &amp; Stuff'!C:AD,22,FALSE)</f>
        <v>0</v>
      </c>
      <c r="Y326" s="252">
        <f>VLOOKUP(C326,Ausgewählte_Zauber_Zaubertänzer,23,FALSE)</f>
        <v>0</v>
      </c>
      <c r="Z326" s="309">
        <f>VLOOKUP(C326,Ausgewählte_Zauber_Zaubertänzer,24,FALSE)</f>
        <v>0</v>
      </c>
      <c r="AA326" s="218">
        <f>VLOOKUP(C326,'Talente &amp; Stuff'!C:AD,25,FALSE)</f>
        <v>0</v>
      </c>
      <c r="AB326" s="242">
        <f>VLOOKUP(C326,'Talente &amp; Stuff'!C:AD,26,FALSE)</f>
        <v>0</v>
      </c>
      <c r="AC326" s="218">
        <f>VLOOKUP(C326,'Talente &amp; Stuff'!C:AD,27,FALSE)</f>
        <v>0</v>
      </c>
      <c r="AD326" s="218">
        <f>VLOOKUP(C326,'Talente &amp; Stuff'!C:AD,28,FALSE)</f>
        <v>0</v>
      </c>
      <c r="AE326" s="343"/>
    </row>
    <row r="327" spans="1:31" s="217" customFormat="1" hidden="1" outlineLevel="2">
      <c r="A327" s="185"/>
      <c r="B327" s="217">
        <v>5</v>
      </c>
      <c r="C327" s="303" t="s">
        <v>281</v>
      </c>
      <c r="D327" s="304" t="str">
        <f>VLOOKUP(C327,'Talente &amp; Stuff'!C:AD,2,FALSE)</f>
        <v>--/--/--</v>
      </c>
      <c r="E327" s="304" t="str">
        <f>VLOOKUP(C327,'Talente &amp; Stuff'!C:AD,3,FALSE)</f>
        <v>-</v>
      </c>
      <c r="F327" s="317">
        <f>VLOOKUP(C327,'Talente &amp; Stuff'!C:AD,4,FALSE)</f>
        <v>0</v>
      </c>
      <c r="G327" s="254">
        <f>VLOOKUP(C327,'Talente &amp; Stuff'!C:AD,5,FALSE)</f>
        <v>0</v>
      </c>
      <c r="H327" s="254">
        <f>VLOOKUP(C327,'Talente &amp; Stuff'!C:AD,6,FALSE)</f>
        <v>0</v>
      </c>
      <c r="I327" s="254">
        <f>VLOOKUP(C327,'Talente &amp; Stuff'!C:AD,7,FALSE)</f>
        <v>0</v>
      </c>
      <c r="J327" s="254">
        <f>VLOOKUP(C327,'Talente &amp; Stuff'!C:AD,8,FALSE)</f>
        <v>0</v>
      </c>
      <c r="K327" s="254">
        <f>VLOOKUP(C327,'Talente &amp; Stuff'!C:AD,9,FALSE)</f>
        <v>0</v>
      </c>
      <c r="L327" s="254">
        <f>VLOOKUP(C327,'Talente &amp; Stuff'!C:AD,10,FALSE)</f>
        <v>0</v>
      </c>
      <c r="M327" s="318">
        <f>VLOOKUP(C327,'Talente &amp; Stuff'!C:AD,11,FALSE)</f>
        <v>0</v>
      </c>
      <c r="N327" s="222">
        <f>VLOOKUP(C327,'Talente &amp; Stuff'!C:AD,12,FALSE)</f>
        <v>0</v>
      </c>
      <c r="O327" s="223">
        <f>VLOOKUP(C327,'Talente &amp; Stuff'!C:AD,13,FALSE)</f>
        <v>0</v>
      </c>
      <c r="P327" s="224">
        <f>VLOOKUP(C327,'Talente &amp; Stuff'!C:AD,14,FALSE)</f>
        <v>0</v>
      </c>
      <c r="Q327" s="237">
        <f>VLOOKUP(C327,'Talente &amp; Stuff'!C:AD,15,FALSE)</f>
        <v>0</v>
      </c>
      <c r="R327" s="254">
        <f>VLOOKUP(C327,'Talente &amp; Stuff'!C:AD,16,FALSE)</f>
        <v>0</v>
      </c>
      <c r="S327" s="224">
        <f>VLOOKUP(C327,'Talente &amp; Stuff'!C:AD,17,FALSE)</f>
        <v>0</v>
      </c>
      <c r="T327" s="242">
        <f>VLOOKUP(C327,'Talente &amp; Stuff'!C:AD,18,FALSE)</f>
        <v>0</v>
      </c>
      <c r="U327" s="222">
        <f>VLOOKUP(C327,'Talente &amp; Stuff'!C:AD,19,FALSE)</f>
        <v>0</v>
      </c>
      <c r="V327" s="223">
        <f>VLOOKUP(C327,'Talente &amp; Stuff'!C:AD,20,FALSE)</f>
        <v>0</v>
      </c>
      <c r="W327" s="243">
        <f>VLOOKUP(C327,'Talente &amp; Stuff'!C:AD,21,FALSE)</f>
        <v>0</v>
      </c>
      <c r="X327" s="218">
        <f>VLOOKUP(C327,'Talente &amp; Stuff'!C:AD,22,FALSE)</f>
        <v>0</v>
      </c>
      <c r="Y327" s="252">
        <f>VLOOKUP(C327,Ausgewählte_Zauber_Zaubertänzer,23,FALSE)</f>
        <v>0</v>
      </c>
      <c r="Z327" s="309">
        <f>VLOOKUP(C327,Ausgewählte_Zauber_Zaubertänzer,24,FALSE)</f>
        <v>0</v>
      </c>
      <c r="AA327" s="218">
        <f>VLOOKUP(C327,'Talente &amp; Stuff'!C:AD,25,FALSE)</f>
        <v>0</v>
      </c>
      <c r="AB327" s="242">
        <f>VLOOKUP(C327,'Talente &amp; Stuff'!C:AD,26,FALSE)</f>
        <v>0</v>
      </c>
      <c r="AC327" s="218">
        <f>VLOOKUP(C327,'Talente &amp; Stuff'!C:AD,27,FALSE)</f>
        <v>0</v>
      </c>
      <c r="AD327" s="218">
        <f>VLOOKUP(C327,'Talente &amp; Stuff'!C:AD,28,FALSE)</f>
        <v>0</v>
      </c>
      <c r="AE327" s="343"/>
    </row>
    <row r="328" spans="1:31" s="217" customFormat="1" hidden="1" outlineLevel="2">
      <c r="A328" s="185"/>
      <c r="B328" s="217">
        <v>6</v>
      </c>
      <c r="C328" s="303" t="s">
        <v>281</v>
      </c>
      <c r="D328" s="304" t="str">
        <f>VLOOKUP(C328,'Talente &amp; Stuff'!C:AD,2,FALSE)</f>
        <v>--/--/--</v>
      </c>
      <c r="E328" s="304" t="str">
        <f>VLOOKUP(C328,'Talente &amp; Stuff'!C:AD,3,FALSE)</f>
        <v>-</v>
      </c>
      <c r="F328" s="317">
        <f>VLOOKUP(C328,'Talente &amp; Stuff'!C:AD,4,FALSE)</f>
        <v>0</v>
      </c>
      <c r="G328" s="254">
        <f>VLOOKUP(C328,'Talente &amp; Stuff'!C:AD,5,FALSE)</f>
        <v>0</v>
      </c>
      <c r="H328" s="254">
        <f>VLOOKUP(C328,'Talente &amp; Stuff'!C:AD,6,FALSE)</f>
        <v>0</v>
      </c>
      <c r="I328" s="254">
        <f>VLOOKUP(C328,'Talente &amp; Stuff'!C:AD,7,FALSE)</f>
        <v>0</v>
      </c>
      <c r="J328" s="254">
        <f>VLOOKUP(C328,'Talente &amp; Stuff'!C:AD,8,FALSE)</f>
        <v>0</v>
      </c>
      <c r="K328" s="254">
        <f>VLOOKUP(C328,'Talente &amp; Stuff'!C:AD,9,FALSE)</f>
        <v>0</v>
      </c>
      <c r="L328" s="254">
        <f>VLOOKUP(C328,'Talente &amp; Stuff'!C:AD,10,FALSE)</f>
        <v>0</v>
      </c>
      <c r="M328" s="318">
        <f>VLOOKUP(C328,'Talente &amp; Stuff'!C:AD,11,FALSE)</f>
        <v>0</v>
      </c>
      <c r="N328" s="222">
        <f>VLOOKUP(C328,'Talente &amp; Stuff'!C:AD,12,FALSE)</f>
        <v>0</v>
      </c>
      <c r="O328" s="223">
        <f>VLOOKUP(C328,'Talente &amp; Stuff'!C:AD,13,FALSE)</f>
        <v>0</v>
      </c>
      <c r="P328" s="224">
        <f>VLOOKUP(C328,'Talente &amp; Stuff'!C:AD,14,FALSE)</f>
        <v>0</v>
      </c>
      <c r="Q328" s="237">
        <f>VLOOKUP(C328,'Talente &amp; Stuff'!C:AD,15,FALSE)</f>
        <v>0</v>
      </c>
      <c r="R328" s="254">
        <f>VLOOKUP(C328,'Talente &amp; Stuff'!C:AD,16,FALSE)</f>
        <v>0</v>
      </c>
      <c r="S328" s="224">
        <f>VLOOKUP(C328,'Talente &amp; Stuff'!C:AD,17,FALSE)</f>
        <v>0</v>
      </c>
      <c r="T328" s="242">
        <f>VLOOKUP(C328,'Talente &amp; Stuff'!C:AD,18,FALSE)</f>
        <v>0</v>
      </c>
      <c r="U328" s="222">
        <f>VLOOKUP(C328,'Talente &amp; Stuff'!C:AD,19,FALSE)</f>
        <v>0</v>
      </c>
      <c r="V328" s="223">
        <f>VLOOKUP(C328,'Talente &amp; Stuff'!C:AD,20,FALSE)</f>
        <v>0</v>
      </c>
      <c r="W328" s="243">
        <f>VLOOKUP(C328,'Talente &amp; Stuff'!C:AD,21,FALSE)</f>
        <v>0</v>
      </c>
      <c r="X328" s="218">
        <f>VLOOKUP(C328,'Talente &amp; Stuff'!C:AD,22,FALSE)</f>
        <v>0</v>
      </c>
      <c r="Y328" s="252">
        <f>VLOOKUP(C328,Ausgewählte_Zauber_Zaubertänzer,23,FALSE)</f>
        <v>0</v>
      </c>
      <c r="Z328" s="309">
        <f>VLOOKUP(C328,Ausgewählte_Zauber_Zaubertänzer,24,FALSE)</f>
        <v>0</v>
      </c>
      <c r="AA328" s="218">
        <f>VLOOKUP(C328,'Talente &amp; Stuff'!C:AD,25,FALSE)</f>
        <v>0</v>
      </c>
      <c r="AB328" s="242">
        <f>VLOOKUP(C328,'Talente &amp; Stuff'!C:AD,26,FALSE)</f>
        <v>0</v>
      </c>
      <c r="AC328" s="218">
        <f>VLOOKUP(C328,'Talente &amp; Stuff'!C:AD,27,FALSE)</f>
        <v>0</v>
      </c>
      <c r="AD328" s="218">
        <f>VLOOKUP(C328,'Talente &amp; Stuff'!C:AD,28,FALSE)</f>
        <v>0</v>
      </c>
      <c r="AE328" s="343"/>
    </row>
    <row r="329" spans="1:31" s="217" customFormat="1" hidden="1" outlineLevel="2">
      <c r="A329" s="185"/>
      <c r="B329" s="217">
        <v>7</v>
      </c>
      <c r="C329" s="303" t="s">
        <v>281</v>
      </c>
      <c r="D329" s="304" t="str">
        <f>VLOOKUP(C329,'Talente &amp; Stuff'!C:AD,2,FALSE)</f>
        <v>--/--/--</v>
      </c>
      <c r="E329" s="304" t="str">
        <f>VLOOKUP(C329,'Talente &amp; Stuff'!C:AD,3,FALSE)</f>
        <v>-</v>
      </c>
      <c r="F329" s="317">
        <f>VLOOKUP(C329,'Talente &amp; Stuff'!C:AD,4,FALSE)</f>
        <v>0</v>
      </c>
      <c r="G329" s="254">
        <f>VLOOKUP(C329,'Talente &amp; Stuff'!C:AD,5,FALSE)</f>
        <v>0</v>
      </c>
      <c r="H329" s="254">
        <f>VLOOKUP(C329,'Talente &amp; Stuff'!C:AD,6,FALSE)</f>
        <v>0</v>
      </c>
      <c r="I329" s="254">
        <f>VLOOKUP(C329,'Talente &amp; Stuff'!C:AD,7,FALSE)</f>
        <v>0</v>
      </c>
      <c r="J329" s="254">
        <f>VLOOKUP(C329,'Talente &amp; Stuff'!C:AD,8,FALSE)</f>
        <v>0</v>
      </c>
      <c r="K329" s="254">
        <f>VLOOKUP(C329,'Talente &amp; Stuff'!C:AD,9,FALSE)</f>
        <v>0</v>
      </c>
      <c r="L329" s="254">
        <f>VLOOKUP(C329,'Talente &amp; Stuff'!C:AD,10,FALSE)</f>
        <v>0</v>
      </c>
      <c r="M329" s="318">
        <f>VLOOKUP(C329,'Talente &amp; Stuff'!C:AD,11,FALSE)</f>
        <v>0</v>
      </c>
      <c r="N329" s="222">
        <f>VLOOKUP(C329,'Talente &amp; Stuff'!C:AD,12,FALSE)</f>
        <v>0</v>
      </c>
      <c r="O329" s="223">
        <f>VLOOKUP(C329,'Talente &amp; Stuff'!C:AD,13,FALSE)</f>
        <v>0</v>
      </c>
      <c r="P329" s="224">
        <f>VLOOKUP(C329,'Talente &amp; Stuff'!C:AD,14,FALSE)</f>
        <v>0</v>
      </c>
      <c r="Q329" s="237">
        <f>VLOOKUP(C329,'Talente &amp; Stuff'!C:AD,15,FALSE)</f>
        <v>0</v>
      </c>
      <c r="R329" s="254">
        <f>VLOOKUP(C329,'Talente &amp; Stuff'!C:AD,16,FALSE)</f>
        <v>0</v>
      </c>
      <c r="S329" s="224">
        <f>VLOOKUP(C329,'Talente &amp; Stuff'!C:AD,17,FALSE)</f>
        <v>0</v>
      </c>
      <c r="T329" s="242">
        <f>VLOOKUP(C329,'Talente &amp; Stuff'!C:AD,18,FALSE)</f>
        <v>0</v>
      </c>
      <c r="U329" s="222">
        <f>VLOOKUP(C329,'Talente &amp; Stuff'!C:AD,19,FALSE)</f>
        <v>0</v>
      </c>
      <c r="V329" s="223">
        <f>VLOOKUP(C329,'Talente &amp; Stuff'!C:AD,20,FALSE)</f>
        <v>0</v>
      </c>
      <c r="W329" s="243">
        <f>VLOOKUP(C329,'Talente &amp; Stuff'!C:AD,21,FALSE)</f>
        <v>0</v>
      </c>
      <c r="X329" s="218">
        <f>VLOOKUP(C329,'Talente &amp; Stuff'!C:AD,22,FALSE)</f>
        <v>0</v>
      </c>
      <c r="Y329" s="252">
        <f>VLOOKUP(C329,Ausgewählte_Zauber_Zaubertänzer,23,FALSE)</f>
        <v>0</v>
      </c>
      <c r="Z329" s="309">
        <f>VLOOKUP(C329,Ausgewählte_Zauber_Zaubertänzer,24,FALSE)</f>
        <v>0</v>
      </c>
      <c r="AA329" s="218">
        <f>VLOOKUP(C329,'Talente &amp; Stuff'!C:AD,25,FALSE)</f>
        <v>0</v>
      </c>
      <c r="AB329" s="242">
        <f>VLOOKUP(C329,'Talente &amp; Stuff'!C:AD,26,FALSE)</f>
        <v>0</v>
      </c>
      <c r="AC329" s="218">
        <f>VLOOKUP(C329,'Talente &amp; Stuff'!C:AD,27,FALSE)</f>
        <v>0</v>
      </c>
      <c r="AD329" s="218">
        <f>VLOOKUP(C329,'Talente &amp; Stuff'!C:AD,28,FALSE)</f>
        <v>0</v>
      </c>
      <c r="AE329" s="343"/>
    </row>
    <row r="330" spans="1:31" s="217" customFormat="1" hidden="1" outlineLevel="2">
      <c r="A330" s="185"/>
      <c r="B330" s="217">
        <v>8</v>
      </c>
      <c r="C330" s="303" t="s">
        <v>281</v>
      </c>
      <c r="D330" s="304" t="str">
        <f>VLOOKUP(C330,'Talente &amp; Stuff'!C:AD,2,FALSE)</f>
        <v>--/--/--</v>
      </c>
      <c r="E330" s="304" t="str">
        <f>VLOOKUP(C330,'Talente &amp; Stuff'!C:AD,3,FALSE)</f>
        <v>-</v>
      </c>
      <c r="F330" s="317">
        <f>VLOOKUP(C330,'Talente &amp; Stuff'!C:AD,4,FALSE)</f>
        <v>0</v>
      </c>
      <c r="G330" s="254">
        <f>VLOOKUP(C330,'Talente &amp; Stuff'!C:AD,5,FALSE)</f>
        <v>0</v>
      </c>
      <c r="H330" s="254">
        <f>VLOOKUP(C330,'Talente &amp; Stuff'!C:AD,6,FALSE)</f>
        <v>0</v>
      </c>
      <c r="I330" s="254">
        <f>VLOOKUP(C330,'Talente &amp; Stuff'!C:AD,7,FALSE)</f>
        <v>0</v>
      </c>
      <c r="J330" s="254">
        <f>VLOOKUP(C330,'Talente &amp; Stuff'!C:AD,8,FALSE)</f>
        <v>0</v>
      </c>
      <c r="K330" s="254">
        <f>VLOOKUP(C330,'Talente &amp; Stuff'!C:AD,9,FALSE)</f>
        <v>0</v>
      </c>
      <c r="L330" s="254">
        <f>VLOOKUP(C330,'Talente &amp; Stuff'!C:AD,10,FALSE)</f>
        <v>0</v>
      </c>
      <c r="M330" s="318">
        <f>VLOOKUP(C330,'Talente &amp; Stuff'!C:AD,11,FALSE)</f>
        <v>0</v>
      </c>
      <c r="N330" s="222">
        <f>VLOOKUP(C330,'Talente &amp; Stuff'!C:AD,12,FALSE)</f>
        <v>0</v>
      </c>
      <c r="O330" s="223">
        <f>VLOOKUP(C330,'Talente &amp; Stuff'!C:AD,13,FALSE)</f>
        <v>0</v>
      </c>
      <c r="P330" s="224">
        <f>VLOOKUP(C330,'Talente &amp; Stuff'!C:AD,14,FALSE)</f>
        <v>0</v>
      </c>
      <c r="Q330" s="237">
        <f>VLOOKUP(C330,'Talente &amp; Stuff'!C:AD,15,FALSE)</f>
        <v>0</v>
      </c>
      <c r="R330" s="254">
        <f>VLOOKUP(C330,'Talente &amp; Stuff'!C:AD,16,FALSE)</f>
        <v>0</v>
      </c>
      <c r="S330" s="224">
        <f>VLOOKUP(C330,'Talente &amp; Stuff'!C:AD,17,FALSE)</f>
        <v>0</v>
      </c>
      <c r="T330" s="242">
        <f>VLOOKUP(C330,'Talente &amp; Stuff'!C:AD,18,FALSE)</f>
        <v>0</v>
      </c>
      <c r="U330" s="222">
        <f>VLOOKUP(C330,'Talente &amp; Stuff'!C:AD,19,FALSE)</f>
        <v>0</v>
      </c>
      <c r="V330" s="223">
        <f>VLOOKUP(C330,'Talente &amp; Stuff'!C:AD,20,FALSE)</f>
        <v>0</v>
      </c>
      <c r="W330" s="243">
        <f>VLOOKUP(C330,'Talente &amp; Stuff'!C:AD,21,FALSE)</f>
        <v>0</v>
      </c>
      <c r="X330" s="218">
        <f>VLOOKUP(C330,'Talente &amp; Stuff'!C:AD,22,FALSE)</f>
        <v>0</v>
      </c>
      <c r="Y330" s="252">
        <f>VLOOKUP(C330,Ausgewählte_Zauber_Zaubertänzer,23,FALSE)</f>
        <v>0</v>
      </c>
      <c r="Z330" s="309">
        <f>VLOOKUP(C330,Ausgewählte_Zauber_Zaubertänzer,24,FALSE)</f>
        <v>0</v>
      </c>
      <c r="AA330" s="218">
        <f>VLOOKUP(C330,'Talente &amp; Stuff'!C:AD,25,FALSE)</f>
        <v>0</v>
      </c>
      <c r="AB330" s="242">
        <f>VLOOKUP(C330,'Talente &amp; Stuff'!C:AD,26,FALSE)</f>
        <v>0</v>
      </c>
      <c r="AC330" s="218">
        <f>VLOOKUP(C330,'Talente &amp; Stuff'!C:AD,27,FALSE)</f>
        <v>0</v>
      </c>
      <c r="AD330" s="218">
        <f>VLOOKUP(C330,'Talente &amp; Stuff'!C:AD,28,FALSE)</f>
        <v>0</v>
      </c>
      <c r="AE330" s="343"/>
    </row>
    <row r="331" spans="1:31" s="217" customFormat="1" hidden="1" outlineLevel="2">
      <c r="A331" s="185"/>
      <c r="B331" s="217">
        <v>9</v>
      </c>
      <c r="C331" s="303" t="s">
        <v>281</v>
      </c>
      <c r="D331" s="304" t="str">
        <f>VLOOKUP(C331,'Talente &amp; Stuff'!C:AD,2,FALSE)</f>
        <v>--/--/--</v>
      </c>
      <c r="E331" s="304" t="str">
        <f>VLOOKUP(C331,'Talente &amp; Stuff'!C:AD,3,FALSE)</f>
        <v>-</v>
      </c>
      <c r="F331" s="317">
        <f>VLOOKUP(C331,'Talente &amp; Stuff'!C:AD,4,FALSE)</f>
        <v>0</v>
      </c>
      <c r="G331" s="254">
        <f>VLOOKUP(C331,'Talente &amp; Stuff'!C:AD,5,FALSE)</f>
        <v>0</v>
      </c>
      <c r="H331" s="254">
        <f>VLOOKUP(C331,'Talente &amp; Stuff'!C:AD,6,FALSE)</f>
        <v>0</v>
      </c>
      <c r="I331" s="254">
        <f>VLOOKUP(C331,'Talente &amp; Stuff'!C:AD,7,FALSE)</f>
        <v>0</v>
      </c>
      <c r="J331" s="254">
        <f>VLOOKUP(C331,'Talente &amp; Stuff'!C:AD,8,FALSE)</f>
        <v>0</v>
      </c>
      <c r="K331" s="254">
        <f>VLOOKUP(C331,'Talente &amp; Stuff'!C:AD,9,FALSE)</f>
        <v>0</v>
      </c>
      <c r="L331" s="254">
        <f>VLOOKUP(C331,'Talente &amp; Stuff'!C:AD,10,FALSE)</f>
        <v>0</v>
      </c>
      <c r="M331" s="318">
        <f>VLOOKUP(C331,'Talente &amp; Stuff'!C:AD,11,FALSE)</f>
        <v>0</v>
      </c>
      <c r="N331" s="222">
        <f>VLOOKUP(C331,'Talente &amp; Stuff'!C:AD,12,FALSE)</f>
        <v>0</v>
      </c>
      <c r="O331" s="223">
        <f>VLOOKUP(C331,'Talente &amp; Stuff'!C:AD,13,FALSE)</f>
        <v>0</v>
      </c>
      <c r="P331" s="224">
        <f>VLOOKUP(C331,'Talente &amp; Stuff'!C:AD,14,FALSE)</f>
        <v>0</v>
      </c>
      <c r="Q331" s="237">
        <f>VLOOKUP(C331,'Talente &amp; Stuff'!C:AD,15,FALSE)</f>
        <v>0</v>
      </c>
      <c r="R331" s="254">
        <f>VLOOKUP(C331,'Talente &amp; Stuff'!C:AD,16,FALSE)</f>
        <v>0</v>
      </c>
      <c r="S331" s="224">
        <f>VLOOKUP(C331,'Talente &amp; Stuff'!C:AD,17,FALSE)</f>
        <v>0</v>
      </c>
      <c r="T331" s="242">
        <f>VLOOKUP(C331,'Talente &amp; Stuff'!C:AD,18,FALSE)</f>
        <v>0</v>
      </c>
      <c r="U331" s="222">
        <f>VLOOKUP(C331,'Talente &amp; Stuff'!C:AD,19,FALSE)</f>
        <v>0</v>
      </c>
      <c r="V331" s="223">
        <f>VLOOKUP(C331,'Talente &amp; Stuff'!C:AD,20,FALSE)</f>
        <v>0</v>
      </c>
      <c r="W331" s="243">
        <f>VLOOKUP(C331,'Talente &amp; Stuff'!C:AD,21,FALSE)</f>
        <v>0</v>
      </c>
      <c r="X331" s="218">
        <f>VLOOKUP(C331,'Talente &amp; Stuff'!C:AD,22,FALSE)</f>
        <v>0</v>
      </c>
      <c r="Y331" s="252">
        <f>VLOOKUP(C331,Ausgewählte_Zauber_Zaubertänzer,23,FALSE)</f>
        <v>0</v>
      </c>
      <c r="Z331" s="309">
        <f>VLOOKUP(C331,Ausgewählte_Zauber_Zaubertänzer,24,FALSE)</f>
        <v>0</v>
      </c>
      <c r="AA331" s="218">
        <f>VLOOKUP(C331,'Talente &amp; Stuff'!C:AD,25,FALSE)</f>
        <v>0</v>
      </c>
      <c r="AB331" s="242">
        <f>VLOOKUP(C331,'Talente &amp; Stuff'!C:AD,26,FALSE)</f>
        <v>0</v>
      </c>
      <c r="AC331" s="218">
        <f>VLOOKUP(C331,'Talente &amp; Stuff'!C:AD,27,FALSE)</f>
        <v>0</v>
      </c>
      <c r="AD331" s="218">
        <f>VLOOKUP(C331,'Talente &amp; Stuff'!C:AD,28,FALSE)</f>
        <v>0</v>
      </c>
      <c r="AE331" s="343"/>
    </row>
    <row r="332" spans="1:31" s="217" customFormat="1" hidden="1" outlineLevel="2">
      <c r="A332" s="185"/>
      <c r="B332" s="217">
        <v>10</v>
      </c>
      <c r="C332" s="303" t="s">
        <v>281</v>
      </c>
      <c r="D332" s="304" t="str">
        <f>VLOOKUP(C332,'Talente &amp; Stuff'!C:AD,2,FALSE)</f>
        <v>--/--/--</v>
      </c>
      <c r="E332" s="304" t="str">
        <f>VLOOKUP(C332,'Talente &amp; Stuff'!C:AD,3,FALSE)</f>
        <v>-</v>
      </c>
      <c r="F332" s="317">
        <f>VLOOKUP(C332,'Talente &amp; Stuff'!C:AD,4,FALSE)</f>
        <v>0</v>
      </c>
      <c r="G332" s="254">
        <f>VLOOKUP(C332,'Talente &amp; Stuff'!C:AD,5,FALSE)</f>
        <v>0</v>
      </c>
      <c r="H332" s="254">
        <f>VLOOKUP(C332,'Talente &amp; Stuff'!C:AD,6,FALSE)</f>
        <v>0</v>
      </c>
      <c r="I332" s="254">
        <f>VLOOKUP(C332,'Talente &amp; Stuff'!C:AD,7,FALSE)</f>
        <v>0</v>
      </c>
      <c r="J332" s="254">
        <f>VLOOKUP(C332,'Talente &amp; Stuff'!C:AD,8,FALSE)</f>
        <v>0</v>
      </c>
      <c r="K332" s="254">
        <f>VLOOKUP(C332,'Talente &amp; Stuff'!C:AD,9,FALSE)</f>
        <v>0</v>
      </c>
      <c r="L332" s="254">
        <f>VLOOKUP(C332,'Talente &amp; Stuff'!C:AD,10,FALSE)</f>
        <v>0</v>
      </c>
      <c r="M332" s="318">
        <f>VLOOKUP(C332,'Talente &amp; Stuff'!C:AD,11,FALSE)</f>
        <v>0</v>
      </c>
      <c r="N332" s="222">
        <f>VLOOKUP(C332,'Talente &amp; Stuff'!C:AD,12,FALSE)</f>
        <v>0</v>
      </c>
      <c r="O332" s="223">
        <f>VLOOKUP(C332,'Talente &amp; Stuff'!C:AD,13,FALSE)</f>
        <v>0</v>
      </c>
      <c r="P332" s="224">
        <f>VLOOKUP(C332,'Talente &amp; Stuff'!C:AD,14,FALSE)</f>
        <v>0</v>
      </c>
      <c r="Q332" s="237">
        <f>VLOOKUP(C332,'Talente &amp; Stuff'!C:AD,15,FALSE)</f>
        <v>0</v>
      </c>
      <c r="R332" s="254">
        <f>VLOOKUP(C332,'Talente &amp; Stuff'!C:AD,16,FALSE)</f>
        <v>0</v>
      </c>
      <c r="S332" s="224">
        <f>VLOOKUP(C332,'Talente &amp; Stuff'!C:AD,17,FALSE)</f>
        <v>0</v>
      </c>
      <c r="T332" s="242">
        <f>VLOOKUP(C332,'Talente &amp; Stuff'!C:AD,18,FALSE)</f>
        <v>0</v>
      </c>
      <c r="U332" s="222">
        <f>VLOOKUP(C332,'Talente &amp; Stuff'!C:AD,19,FALSE)</f>
        <v>0</v>
      </c>
      <c r="V332" s="223">
        <f>VLOOKUP(C332,'Talente &amp; Stuff'!C:AD,20,FALSE)</f>
        <v>0</v>
      </c>
      <c r="W332" s="243">
        <f>VLOOKUP(C332,'Talente &amp; Stuff'!C:AD,21,FALSE)</f>
        <v>0</v>
      </c>
      <c r="X332" s="218">
        <f>VLOOKUP(C332,'Talente &amp; Stuff'!C:AD,22,FALSE)</f>
        <v>0</v>
      </c>
      <c r="Y332" s="252">
        <f>VLOOKUP(C332,Ausgewählte_Zauber_Zaubertänzer,23,FALSE)</f>
        <v>0</v>
      </c>
      <c r="Z332" s="309">
        <f>VLOOKUP(C332,Ausgewählte_Zauber_Zaubertänzer,24,FALSE)</f>
        <v>0</v>
      </c>
      <c r="AA332" s="218">
        <f>VLOOKUP(C332,'Talente &amp; Stuff'!C:AD,25,FALSE)</f>
        <v>0</v>
      </c>
      <c r="AB332" s="242">
        <f>VLOOKUP(C332,'Talente &amp; Stuff'!C:AD,26,FALSE)</f>
        <v>0</v>
      </c>
      <c r="AC332" s="218">
        <f>VLOOKUP(C332,'Talente &amp; Stuff'!C:AD,27,FALSE)</f>
        <v>0</v>
      </c>
      <c r="AD332" s="218">
        <f>VLOOKUP(C332,'Talente &amp; Stuff'!C:AD,28,FALSE)</f>
        <v>0</v>
      </c>
      <c r="AE332" s="343"/>
    </row>
    <row r="333" spans="1:31" s="217" customFormat="1" hidden="1" outlineLevel="2">
      <c r="A333" s="185"/>
      <c r="B333" s="217">
        <v>11</v>
      </c>
      <c r="C333" s="303" t="s">
        <v>281</v>
      </c>
      <c r="D333" s="304" t="str">
        <f>VLOOKUP(C333,'Talente &amp; Stuff'!C:AD,2,FALSE)</f>
        <v>--/--/--</v>
      </c>
      <c r="E333" s="304" t="str">
        <f>VLOOKUP(C333,'Talente &amp; Stuff'!C:AD,3,FALSE)</f>
        <v>-</v>
      </c>
      <c r="F333" s="317">
        <f>VLOOKUP(C333,'Talente &amp; Stuff'!C:AD,4,FALSE)</f>
        <v>0</v>
      </c>
      <c r="G333" s="254">
        <f>VLOOKUP(C333,'Talente &amp; Stuff'!C:AD,5,FALSE)</f>
        <v>0</v>
      </c>
      <c r="H333" s="254">
        <f>VLOOKUP(C333,'Talente &amp; Stuff'!C:AD,6,FALSE)</f>
        <v>0</v>
      </c>
      <c r="I333" s="254">
        <f>VLOOKUP(C333,'Talente &amp; Stuff'!C:AD,7,FALSE)</f>
        <v>0</v>
      </c>
      <c r="J333" s="254">
        <f>VLOOKUP(C333,'Talente &amp; Stuff'!C:AD,8,FALSE)</f>
        <v>0</v>
      </c>
      <c r="K333" s="254">
        <f>VLOOKUP(C333,'Talente &amp; Stuff'!C:AD,9,FALSE)</f>
        <v>0</v>
      </c>
      <c r="L333" s="254">
        <f>VLOOKUP(C333,'Talente &amp; Stuff'!C:AD,10,FALSE)</f>
        <v>0</v>
      </c>
      <c r="M333" s="318">
        <f>VLOOKUP(C333,'Talente &amp; Stuff'!C:AD,11,FALSE)</f>
        <v>0</v>
      </c>
      <c r="N333" s="222">
        <f>VLOOKUP(C333,'Talente &amp; Stuff'!C:AD,12,FALSE)</f>
        <v>0</v>
      </c>
      <c r="O333" s="223">
        <f>VLOOKUP(C333,'Talente &amp; Stuff'!C:AD,13,FALSE)</f>
        <v>0</v>
      </c>
      <c r="P333" s="224">
        <f>VLOOKUP(C333,'Talente &amp; Stuff'!C:AD,14,FALSE)</f>
        <v>0</v>
      </c>
      <c r="Q333" s="237">
        <f>VLOOKUP(C333,'Talente &amp; Stuff'!C:AD,15,FALSE)</f>
        <v>0</v>
      </c>
      <c r="R333" s="254">
        <f>VLOOKUP(C333,'Talente &amp; Stuff'!C:AD,16,FALSE)</f>
        <v>0</v>
      </c>
      <c r="S333" s="224">
        <f>VLOOKUP(C333,'Talente &amp; Stuff'!C:AD,17,FALSE)</f>
        <v>0</v>
      </c>
      <c r="T333" s="242">
        <f>VLOOKUP(C333,'Talente &amp; Stuff'!C:AD,18,FALSE)</f>
        <v>0</v>
      </c>
      <c r="U333" s="222">
        <f>VLOOKUP(C333,'Talente &amp; Stuff'!C:AD,19,FALSE)</f>
        <v>0</v>
      </c>
      <c r="V333" s="223">
        <f>VLOOKUP(C333,'Talente &amp; Stuff'!C:AD,20,FALSE)</f>
        <v>0</v>
      </c>
      <c r="W333" s="243">
        <f>VLOOKUP(C333,'Talente &amp; Stuff'!C:AD,21,FALSE)</f>
        <v>0</v>
      </c>
      <c r="X333" s="218">
        <f>VLOOKUP(C333,'Talente &amp; Stuff'!C:AD,22,FALSE)</f>
        <v>0</v>
      </c>
      <c r="Y333" s="252">
        <f>VLOOKUP(C333,Ausgewählte_Zauber_Zaubertänzer,23,FALSE)</f>
        <v>0</v>
      </c>
      <c r="Z333" s="309">
        <f>VLOOKUP(C333,Ausgewählte_Zauber_Zaubertänzer,24,FALSE)</f>
        <v>0</v>
      </c>
      <c r="AA333" s="218">
        <f>VLOOKUP(C333,'Talente &amp; Stuff'!C:AD,25,FALSE)</f>
        <v>0</v>
      </c>
      <c r="AB333" s="242">
        <f>VLOOKUP(C333,'Talente &amp; Stuff'!C:AD,26,FALSE)</f>
        <v>0</v>
      </c>
      <c r="AC333" s="218">
        <f>VLOOKUP(C333,'Talente &amp; Stuff'!C:AD,27,FALSE)</f>
        <v>0</v>
      </c>
      <c r="AD333" s="218">
        <f>VLOOKUP(C333,'Talente &amp; Stuff'!C:AD,28,FALSE)</f>
        <v>0</v>
      </c>
      <c r="AE333" s="343"/>
    </row>
    <row r="334" spans="1:31" s="217" customFormat="1" hidden="1" outlineLevel="2">
      <c r="A334" s="185"/>
      <c r="B334" s="217">
        <v>12</v>
      </c>
      <c r="C334" s="303" t="s">
        <v>281</v>
      </c>
      <c r="D334" s="304" t="str">
        <f>VLOOKUP(C334,'Talente &amp; Stuff'!C:AD,2,FALSE)</f>
        <v>--/--/--</v>
      </c>
      <c r="E334" s="304" t="str">
        <f>VLOOKUP(C334,'Talente &amp; Stuff'!C:AD,3,FALSE)</f>
        <v>-</v>
      </c>
      <c r="F334" s="317">
        <f>VLOOKUP(C334,'Talente &amp; Stuff'!C:AD,4,FALSE)</f>
        <v>0</v>
      </c>
      <c r="G334" s="254">
        <f>VLOOKUP(C334,'Talente &amp; Stuff'!C:AD,5,FALSE)</f>
        <v>0</v>
      </c>
      <c r="H334" s="254">
        <f>VLOOKUP(C334,'Talente &amp; Stuff'!C:AD,6,FALSE)</f>
        <v>0</v>
      </c>
      <c r="I334" s="254">
        <f>VLOOKUP(C334,'Talente &amp; Stuff'!C:AD,7,FALSE)</f>
        <v>0</v>
      </c>
      <c r="J334" s="254">
        <f>VLOOKUP(C334,'Talente &amp; Stuff'!C:AD,8,FALSE)</f>
        <v>0</v>
      </c>
      <c r="K334" s="254">
        <f>VLOOKUP(C334,'Talente &amp; Stuff'!C:AD,9,FALSE)</f>
        <v>0</v>
      </c>
      <c r="L334" s="254">
        <f>VLOOKUP(C334,'Talente &amp; Stuff'!C:AD,10,FALSE)</f>
        <v>0</v>
      </c>
      <c r="M334" s="318">
        <f>VLOOKUP(C334,'Talente &amp; Stuff'!C:AD,11,FALSE)</f>
        <v>0</v>
      </c>
      <c r="N334" s="222">
        <f>VLOOKUP(C334,'Talente &amp; Stuff'!C:AD,12,FALSE)</f>
        <v>0</v>
      </c>
      <c r="O334" s="223">
        <f>VLOOKUP(C334,'Talente &amp; Stuff'!C:AD,13,FALSE)</f>
        <v>0</v>
      </c>
      <c r="P334" s="224">
        <f>VLOOKUP(C334,'Talente &amp; Stuff'!C:AD,14,FALSE)</f>
        <v>0</v>
      </c>
      <c r="Q334" s="237">
        <f>VLOOKUP(C334,'Talente &amp; Stuff'!C:AD,15,FALSE)</f>
        <v>0</v>
      </c>
      <c r="R334" s="254">
        <f>VLOOKUP(C334,'Talente &amp; Stuff'!C:AD,16,FALSE)</f>
        <v>0</v>
      </c>
      <c r="S334" s="224">
        <f>VLOOKUP(C334,'Talente &amp; Stuff'!C:AD,17,FALSE)</f>
        <v>0</v>
      </c>
      <c r="T334" s="242">
        <f>VLOOKUP(C334,'Talente &amp; Stuff'!C:AD,18,FALSE)</f>
        <v>0</v>
      </c>
      <c r="U334" s="222">
        <f>VLOOKUP(C334,'Talente &amp; Stuff'!C:AD,19,FALSE)</f>
        <v>0</v>
      </c>
      <c r="V334" s="223">
        <f>VLOOKUP(C334,'Talente &amp; Stuff'!C:AD,20,FALSE)</f>
        <v>0</v>
      </c>
      <c r="W334" s="243">
        <f>VLOOKUP(C334,'Talente &amp; Stuff'!C:AD,21,FALSE)</f>
        <v>0</v>
      </c>
      <c r="X334" s="218">
        <f>VLOOKUP(C334,'Talente &amp; Stuff'!C:AD,22,FALSE)</f>
        <v>0</v>
      </c>
      <c r="Y334" s="252">
        <f>VLOOKUP(C334,Ausgewählte_Zauber_Zaubertänzer,23,FALSE)</f>
        <v>0</v>
      </c>
      <c r="Z334" s="309">
        <f>VLOOKUP(C334,Ausgewählte_Zauber_Zaubertänzer,24,FALSE)</f>
        <v>0</v>
      </c>
      <c r="AA334" s="218">
        <f>VLOOKUP(C334,'Talente &amp; Stuff'!C:AD,25,FALSE)</f>
        <v>0</v>
      </c>
      <c r="AB334" s="242">
        <f>VLOOKUP(C334,'Talente &amp; Stuff'!C:AD,26,FALSE)</f>
        <v>0</v>
      </c>
      <c r="AC334" s="218">
        <f>VLOOKUP(C334,'Talente &amp; Stuff'!C:AD,27,FALSE)</f>
        <v>0</v>
      </c>
      <c r="AD334" s="218">
        <f>VLOOKUP(C334,'Talente &amp; Stuff'!C:AD,28,FALSE)</f>
        <v>0</v>
      </c>
      <c r="AE334" s="343"/>
    </row>
    <row r="335" spans="1:31" s="217" customFormat="1" hidden="1" outlineLevel="2">
      <c r="A335" s="185"/>
      <c r="B335" s="217">
        <v>13</v>
      </c>
      <c r="C335" s="303" t="s">
        <v>281</v>
      </c>
      <c r="D335" s="304" t="str">
        <f>VLOOKUP(C335,'Talente &amp; Stuff'!C:AD,2,FALSE)</f>
        <v>--/--/--</v>
      </c>
      <c r="E335" s="304" t="str">
        <f>VLOOKUP(C335,'Talente &amp; Stuff'!C:AD,3,FALSE)</f>
        <v>-</v>
      </c>
      <c r="F335" s="317">
        <f>VLOOKUP(C335,'Talente &amp; Stuff'!C:AD,4,FALSE)</f>
        <v>0</v>
      </c>
      <c r="G335" s="254">
        <f>VLOOKUP(C335,'Talente &amp; Stuff'!C:AD,5,FALSE)</f>
        <v>0</v>
      </c>
      <c r="H335" s="254">
        <f>VLOOKUP(C335,'Talente &amp; Stuff'!C:AD,6,FALSE)</f>
        <v>0</v>
      </c>
      <c r="I335" s="254">
        <f>VLOOKUP(C335,'Talente &amp; Stuff'!C:AD,7,FALSE)</f>
        <v>0</v>
      </c>
      <c r="J335" s="254">
        <f>VLOOKUP(C335,'Talente &amp; Stuff'!C:AD,8,FALSE)</f>
        <v>0</v>
      </c>
      <c r="K335" s="254">
        <f>VLOOKUP(C335,'Talente &amp; Stuff'!C:AD,9,FALSE)</f>
        <v>0</v>
      </c>
      <c r="L335" s="254">
        <f>VLOOKUP(C335,'Talente &amp; Stuff'!C:AD,10,FALSE)</f>
        <v>0</v>
      </c>
      <c r="M335" s="318">
        <f>VLOOKUP(C335,'Talente &amp; Stuff'!C:AD,11,FALSE)</f>
        <v>0</v>
      </c>
      <c r="N335" s="222">
        <f>VLOOKUP(C335,'Talente &amp; Stuff'!C:AD,12,FALSE)</f>
        <v>0</v>
      </c>
      <c r="O335" s="223">
        <f>VLOOKUP(C335,'Talente &amp; Stuff'!C:AD,13,FALSE)</f>
        <v>0</v>
      </c>
      <c r="P335" s="224">
        <f>VLOOKUP(C335,'Talente &amp; Stuff'!C:AD,14,FALSE)</f>
        <v>0</v>
      </c>
      <c r="Q335" s="237">
        <f>VLOOKUP(C335,'Talente &amp; Stuff'!C:AD,15,FALSE)</f>
        <v>0</v>
      </c>
      <c r="R335" s="254">
        <f>VLOOKUP(C335,'Talente &amp; Stuff'!C:AD,16,FALSE)</f>
        <v>0</v>
      </c>
      <c r="S335" s="224">
        <f>VLOOKUP(C335,'Talente &amp; Stuff'!C:AD,17,FALSE)</f>
        <v>0</v>
      </c>
      <c r="T335" s="242">
        <f>VLOOKUP(C335,'Talente &amp; Stuff'!C:AD,18,FALSE)</f>
        <v>0</v>
      </c>
      <c r="U335" s="222">
        <f>VLOOKUP(C335,'Talente &amp; Stuff'!C:AD,19,FALSE)</f>
        <v>0</v>
      </c>
      <c r="V335" s="223">
        <f>VLOOKUP(C335,'Talente &amp; Stuff'!C:AD,20,FALSE)</f>
        <v>0</v>
      </c>
      <c r="W335" s="243">
        <f>VLOOKUP(C335,'Talente &amp; Stuff'!C:AD,21,FALSE)</f>
        <v>0</v>
      </c>
      <c r="X335" s="218">
        <f>VLOOKUP(C335,'Talente &amp; Stuff'!C:AD,22,FALSE)</f>
        <v>0</v>
      </c>
      <c r="Y335" s="252">
        <f>VLOOKUP(C335,Ausgewählte_Zauber_Zaubertänzer,23,FALSE)</f>
        <v>0</v>
      </c>
      <c r="Z335" s="309">
        <f>VLOOKUP(C335,Ausgewählte_Zauber_Zaubertänzer,24,FALSE)</f>
        <v>0</v>
      </c>
      <c r="AA335" s="218">
        <f>VLOOKUP(C335,'Talente &amp; Stuff'!C:AD,25,FALSE)</f>
        <v>0</v>
      </c>
      <c r="AB335" s="242">
        <f>VLOOKUP(C335,'Talente &amp; Stuff'!C:AD,26,FALSE)</f>
        <v>0</v>
      </c>
      <c r="AC335" s="218">
        <f>VLOOKUP(C335,'Talente &amp; Stuff'!C:AD,27,FALSE)</f>
        <v>0</v>
      </c>
      <c r="AD335" s="218">
        <f>VLOOKUP(C335,'Talente &amp; Stuff'!C:AD,28,FALSE)</f>
        <v>0</v>
      </c>
      <c r="AE335" s="343"/>
    </row>
    <row r="336" spans="1:31" s="217" customFormat="1" hidden="1" outlineLevel="2">
      <c r="A336" s="185"/>
      <c r="B336" s="217">
        <v>14</v>
      </c>
      <c r="C336" s="303" t="s">
        <v>281</v>
      </c>
      <c r="D336" s="304" t="str">
        <f>VLOOKUP(C336,'Talente &amp; Stuff'!C:AD,2,FALSE)</f>
        <v>--/--/--</v>
      </c>
      <c r="E336" s="304" t="str">
        <f>VLOOKUP(C336,'Talente &amp; Stuff'!C:AD,3,FALSE)</f>
        <v>-</v>
      </c>
      <c r="F336" s="317">
        <f>VLOOKUP(C336,'Talente &amp; Stuff'!C:AD,4,FALSE)</f>
        <v>0</v>
      </c>
      <c r="G336" s="254">
        <f>VLOOKUP(C336,'Talente &amp; Stuff'!C:AD,5,FALSE)</f>
        <v>0</v>
      </c>
      <c r="H336" s="254">
        <f>VLOOKUP(C336,'Talente &amp; Stuff'!C:AD,6,FALSE)</f>
        <v>0</v>
      </c>
      <c r="I336" s="254">
        <f>VLOOKUP(C336,'Talente &amp; Stuff'!C:AD,7,FALSE)</f>
        <v>0</v>
      </c>
      <c r="J336" s="254">
        <f>VLOOKUP(C336,'Talente &amp; Stuff'!C:AD,8,FALSE)</f>
        <v>0</v>
      </c>
      <c r="K336" s="254">
        <f>VLOOKUP(C336,'Talente &amp; Stuff'!C:AD,9,FALSE)</f>
        <v>0</v>
      </c>
      <c r="L336" s="254">
        <f>VLOOKUP(C336,'Talente &amp; Stuff'!C:AD,10,FALSE)</f>
        <v>0</v>
      </c>
      <c r="M336" s="318">
        <f>VLOOKUP(C336,'Talente &amp; Stuff'!C:AD,11,FALSE)</f>
        <v>0</v>
      </c>
      <c r="N336" s="222">
        <f>VLOOKUP(C336,'Talente &amp; Stuff'!C:AD,12,FALSE)</f>
        <v>0</v>
      </c>
      <c r="O336" s="223">
        <f>VLOOKUP(C336,'Talente &amp; Stuff'!C:AD,13,FALSE)</f>
        <v>0</v>
      </c>
      <c r="P336" s="224">
        <f>VLOOKUP(C336,'Talente &amp; Stuff'!C:AD,14,FALSE)</f>
        <v>0</v>
      </c>
      <c r="Q336" s="237">
        <f>VLOOKUP(C336,'Talente &amp; Stuff'!C:AD,15,FALSE)</f>
        <v>0</v>
      </c>
      <c r="R336" s="254">
        <f>VLOOKUP(C336,'Talente &amp; Stuff'!C:AD,16,FALSE)</f>
        <v>0</v>
      </c>
      <c r="S336" s="224">
        <f>VLOOKUP(C336,'Talente &amp; Stuff'!C:AD,17,FALSE)</f>
        <v>0</v>
      </c>
      <c r="T336" s="242">
        <f>VLOOKUP(C336,'Talente &amp; Stuff'!C:AD,18,FALSE)</f>
        <v>0</v>
      </c>
      <c r="U336" s="222">
        <f>VLOOKUP(C336,'Talente &amp; Stuff'!C:AD,19,FALSE)</f>
        <v>0</v>
      </c>
      <c r="V336" s="223">
        <f>VLOOKUP(C336,'Talente &amp; Stuff'!C:AD,20,FALSE)</f>
        <v>0</v>
      </c>
      <c r="W336" s="243">
        <f>VLOOKUP(C336,'Talente &amp; Stuff'!C:AD,21,FALSE)</f>
        <v>0</v>
      </c>
      <c r="X336" s="218">
        <f>VLOOKUP(C336,'Talente &amp; Stuff'!C:AD,22,FALSE)</f>
        <v>0</v>
      </c>
      <c r="Y336" s="252">
        <f>VLOOKUP(C336,Ausgewählte_Zauber_Zaubertänzer,23,FALSE)</f>
        <v>0</v>
      </c>
      <c r="Z336" s="309">
        <f>VLOOKUP(C336,Ausgewählte_Zauber_Zaubertänzer,24,FALSE)</f>
        <v>0</v>
      </c>
      <c r="AA336" s="218">
        <f>VLOOKUP(C336,'Talente &amp; Stuff'!C:AD,25,FALSE)</f>
        <v>0</v>
      </c>
      <c r="AB336" s="242">
        <f>VLOOKUP(C336,'Talente &amp; Stuff'!C:AD,26,FALSE)</f>
        <v>0</v>
      </c>
      <c r="AC336" s="218">
        <f>VLOOKUP(C336,'Talente &amp; Stuff'!C:AD,27,FALSE)</f>
        <v>0</v>
      </c>
      <c r="AD336" s="218">
        <f>VLOOKUP(C336,'Talente &amp; Stuff'!C:AD,28,FALSE)</f>
        <v>0</v>
      </c>
      <c r="AE336" s="343"/>
    </row>
    <row r="337" spans="1:31" s="217" customFormat="1" hidden="1" outlineLevel="2">
      <c r="A337" s="185"/>
      <c r="B337" s="217">
        <v>15</v>
      </c>
      <c r="C337" s="303" t="s">
        <v>281</v>
      </c>
      <c r="D337" s="304" t="str">
        <f>VLOOKUP(C337,'Talente &amp; Stuff'!C:AD,2,FALSE)</f>
        <v>--/--/--</v>
      </c>
      <c r="E337" s="304" t="str">
        <f>VLOOKUP(C337,'Talente &amp; Stuff'!C:AD,3,FALSE)</f>
        <v>-</v>
      </c>
      <c r="F337" s="317">
        <f>VLOOKUP(C337,'Talente &amp; Stuff'!C:AD,4,FALSE)</f>
        <v>0</v>
      </c>
      <c r="G337" s="254">
        <f>VLOOKUP(C337,'Talente &amp; Stuff'!C:AD,5,FALSE)</f>
        <v>0</v>
      </c>
      <c r="H337" s="254">
        <f>VLOOKUP(C337,'Talente &amp; Stuff'!C:AD,6,FALSE)</f>
        <v>0</v>
      </c>
      <c r="I337" s="254">
        <f>VLOOKUP(C337,'Talente &amp; Stuff'!C:AD,7,FALSE)</f>
        <v>0</v>
      </c>
      <c r="J337" s="254">
        <f>VLOOKUP(C337,'Talente &amp; Stuff'!C:AD,8,FALSE)</f>
        <v>0</v>
      </c>
      <c r="K337" s="254">
        <f>VLOOKUP(C337,'Talente &amp; Stuff'!C:AD,9,FALSE)</f>
        <v>0</v>
      </c>
      <c r="L337" s="254">
        <f>VLOOKUP(C337,'Talente &amp; Stuff'!C:AD,10,FALSE)</f>
        <v>0</v>
      </c>
      <c r="M337" s="318">
        <f>VLOOKUP(C337,'Talente &amp; Stuff'!C:AD,11,FALSE)</f>
        <v>0</v>
      </c>
      <c r="N337" s="222">
        <f>VLOOKUP(C337,'Talente &amp; Stuff'!C:AD,12,FALSE)</f>
        <v>0</v>
      </c>
      <c r="O337" s="223">
        <f>VLOOKUP(C337,'Talente &amp; Stuff'!C:AD,13,FALSE)</f>
        <v>0</v>
      </c>
      <c r="P337" s="224">
        <f>VLOOKUP(C337,'Talente &amp; Stuff'!C:AD,14,FALSE)</f>
        <v>0</v>
      </c>
      <c r="Q337" s="237">
        <f>VLOOKUP(C337,'Talente &amp; Stuff'!C:AD,15,FALSE)</f>
        <v>0</v>
      </c>
      <c r="R337" s="254">
        <f>VLOOKUP(C337,'Talente &amp; Stuff'!C:AD,16,FALSE)</f>
        <v>0</v>
      </c>
      <c r="S337" s="224">
        <f>VLOOKUP(C337,'Talente &amp; Stuff'!C:AD,17,FALSE)</f>
        <v>0</v>
      </c>
      <c r="T337" s="242">
        <f>VLOOKUP(C337,'Talente &amp; Stuff'!C:AD,18,FALSE)</f>
        <v>0</v>
      </c>
      <c r="U337" s="222">
        <f>VLOOKUP(C337,'Talente &amp; Stuff'!C:AD,19,FALSE)</f>
        <v>0</v>
      </c>
      <c r="V337" s="223">
        <f>VLOOKUP(C337,'Talente &amp; Stuff'!C:AD,20,FALSE)</f>
        <v>0</v>
      </c>
      <c r="W337" s="243">
        <f>VLOOKUP(C337,'Talente &amp; Stuff'!C:AD,21,FALSE)</f>
        <v>0</v>
      </c>
      <c r="X337" s="218">
        <f>VLOOKUP(C337,'Talente &amp; Stuff'!C:AD,22,FALSE)</f>
        <v>0</v>
      </c>
      <c r="Y337" s="252">
        <f>VLOOKUP(C337,Ausgewählte_Zauber_Zaubertänzer,23,FALSE)</f>
        <v>0</v>
      </c>
      <c r="Z337" s="309">
        <f>VLOOKUP(C337,Ausgewählte_Zauber_Zaubertänzer,24,FALSE)</f>
        <v>0</v>
      </c>
      <c r="AA337" s="218">
        <f>VLOOKUP(C337,'Talente &amp; Stuff'!C:AD,25,FALSE)</f>
        <v>0</v>
      </c>
      <c r="AB337" s="242">
        <f>VLOOKUP(C337,'Talente &amp; Stuff'!C:AD,26,FALSE)</f>
        <v>0</v>
      </c>
      <c r="AC337" s="218">
        <f>VLOOKUP(C337,'Talente &amp; Stuff'!C:AD,27,FALSE)</f>
        <v>0</v>
      </c>
      <c r="AD337" s="218">
        <f>VLOOKUP(C337,'Talente &amp; Stuff'!C:AD,28,FALSE)</f>
        <v>0</v>
      </c>
      <c r="AE337" s="343"/>
    </row>
    <row r="338" spans="1:31" s="217" customFormat="1" hidden="1" outlineLevel="2">
      <c r="A338" s="185"/>
      <c r="B338" s="217">
        <v>16</v>
      </c>
      <c r="C338" s="303" t="s">
        <v>281</v>
      </c>
      <c r="D338" s="304" t="str">
        <f>VLOOKUP(C338,'Talente &amp; Stuff'!C:AD,2,FALSE)</f>
        <v>--/--/--</v>
      </c>
      <c r="E338" s="304" t="str">
        <f>VLOOKUP(C338,'Talente &amp; Stuff'!C:AD,3,FALSE)</f>
        <v>-</v>
      </c>
      <c r="F338" s="317">
        <f>VLOOKUP(C338,'Talente &amp; Stuff'!C:AD,4,FALSE)</f>
        <v>0</v>
      </c>
      <c r="G338" s="254">
        <f>VLOOKUP(C338,'Talente &amp; Stuff'!C:AD,5,FALSE)</f>
        <v>0</v>
      </c>
      <c r="H338" s="254">
        <f>VLOOKUP(C338,'Talente &amp; Stuff'!C:AD,6,FALSE)</f>
        <v>0</v>
      </c>
      <c r="I338" s="254">
        <f>VLOOKUP(C338,'Talente &amp; Stuff'!C:AD,7,FALSE)</f>
        <v>0</v>
      </c>
      <c r="J338" s="254">
        <f>VLOOKUP(C338,'Talente &amp; Stuff'!C:AD,8,FALSE)</f>
        <v>0</v>
      </c>
      <c r="K338" s="254">
        <f>VLOOKUP(C338,'Talente &amp; Stuff'!C:AD,9,FALSE)</f>
        <v>0</v>
      </c>
      <c r="L338" s="254">
        <f>VLOOKUP(C338,'Talente &amp; Stuff'!C:AD,10,FALSE)</f>
        <v>0</v>
      </c>
      <c r="M338" s="318">
        <f>VLOOKUP(C338,'Talente &amp; Stuff'!C:AD,11,FALSE)</f>
        <v>0</v>
      </c>
      <c r="N338" s="222">
        <f>VLOOKUP(C338,'Talente &amp; Stuff'!C:AD,12,FALSE)</f>
        <v>0</v>
      </c>
      <c r="O338" s="223">
        <f>VLOOKUP(C338,'Talente &amp; Stuff'!C:AD,13,FALSE)</f>
        <v>0</v>
      </c>
      <c r="P338" s="224">
        <f>VLOOKUP(C338,'Talente &amp; Stuff'!C:AD,14,FALSE)</f>
        <v>0</v>
      </c>
      <c r="Q338" s="237">
        <f>VLOOKUP(C338,'Talente &amp; Stuff'!C:AD,15,FALSE)</f>
        <v>0</v>
      </c>
      <c r="R338" s="254">
        <f>VLOOKUP(C338,'Talente &amp; Stuff'!C:AD,16,FALSE)</f>
        <v>0</v>
      </c>
      <c r="S338" s="224">
        <f>VLOOKUP(C338,'Talente &amp; Stuff'!C:AD,17,FALSE)</f>
        <v>0</v>
      </c>
      <c r="T338" s="242">
        <f>VLOOKUP(C338,'Talente &amp; Stuff'!C:AD,18,FALSE)</f>
        <v>0</v>
      </c>
      <c r="U338" s="222">
        <f>VLOOKUP(C338,'Talente &amp; Stuff'!C:AD,19,FALSE)</f>
        <v>0</v>
      </c>
      <c r="V338" s="223">
        <f>VLOOKUP(C338,'Talente &amp; Stuff'!C:AD,20,FALSE)</f>
        <v>0</v>
      </c>
      <c r="W338" s="243">
        <f>VLOOKUP(C338,'Talente &amp; Stuff'!C:AD,21,FALSE)</f>
        <v>0</v>
      </c>
      <c r="X338" s="218">
        <f>VLOOKUP(C338,'Talente &amp; Stuff'!C:AD,22,FALSE)</f>
        <v>0</v>
      </c>
      <c r="Y338" s="252">
        <f>VLOOKUP(C338,Ausgewählte_Zauber_Zaubertänzer,23,FALSE)</f>
        <v>0</v>
      </c>
      <c r="Z338" s="309">
        <f>VLOOKUP(C338,Ausgewählte_Zauber_Zaubertänzer,24,FALSE)</f>
        <v>0</v>
      </c>
      <c r="AA338" s="218">
        <f>VLOOKUP(C338,'Talente &amp; Stuff'!C:AD,25,FALSE)</f>
        <v>0</v>
      </c>
      <c r="AB338" s="242">
        <f>VLOOKUP(C338,'Talente &amp; Stuff'!C:AD,26,FALSE)</f>
        <v>0</v>
      </c>
      <c r="AC338" s="218">
        <f>VLOOKUP(C338,'Talente &amp; Stuff'!C:AD,27,FALSE)</f>
        <v>0</v>
      </c>
      <c r="AD338" s="218">
        <f>VLOOKUP(C338,'Talente &amp; Stuff'!C:AD,28,FALSE)</f>
        <v>0</v>
      </c>
      <c r="AE338" s="343"/>
    </row>
    <row r="339" spans="1:31" s="217" customFormat="1" hidden="1" outlineLevel="2">
      <c r="A339" s="185"/>
      <c r="B339" s="217">
        <v>17</v>
      </c>
      <c r="C339" s="303" t="s">
        <v>281</v>
      </c>
      <c r="D339" s="304" t="str">
        <f>VLOOKUP(C339,'Talente &amp; Stuff'!C:AD,2,FALSE)</f>
        <v>--/--/--</v>
      </c>
      <c r="E339" s="304" t="str">
        <f>VLOOKUP(C339,'Talente &amp; Stuff'!C:AD,3,FALSE)</f>
        <v>-</v>
      </c>
      <c r="F339" s="317">
        <f>VLOOKUP(C339,'Talente &amp; Stuff'!C:AD,4,FALSE)</f>
        <v>0</v>
      </c>
      <c r="G339" s="254">
        <f>VLOOKUP(C339,'Talente &amp; Stuff'!C:AD,5,FALSE)</f>
        <v>0</v>
      </c>
      <c r="H339" s="254">
        <f>VLOOKUP(C339,'Talente &amp; Stuff'!C:AD,6,FALSE)</f>
        <v>0</v>
      </c>
      <c r="I339" s="254">
        <f>VLOOKUP(C339,'Talente &amp; Stuff'!C:AD,7,FALSE)</f>
        <v>0</v>
      </c>
      <c r="J339" s="254">
        <f>VLOOKUP(C339,'Talente &amp; Stuff'!C:AD,8,FALSE)</f>
        <v>0</v>
      </c>
      <c r="K339" s="254">
        <f>VLOOKUP(C339,'Talente &amp; Stuff'!C:AD,9,FALSE)</f>
        <v>0</v>
      </c>
      <c r="L339" s="254">
        <f>VLOOKUP(C339,'Talente &amp; Stuff'!C:AD,10,FALSE)</f>
        <v>0</v>
      </c>
      <c r="M339" s="318">
        <f>VLOOKUP(C339,'Talente &amp; Stuff'!C:AD,11,FALSE)</f>
        <v>0</v>
      </c>
      <c r="N339" s="222">
        <f>VLOOKUP(C339,'Talente &amp; Stuff'!C:AD,12,FALSE)</f>
        <v>0</v>
      </c>
      <c r="O339" s="223">
        <f>VLOOKUP(C339,'Talente &amp; Stuff'!C:AD,13,FALSE)</f>
        <v>0</v>
      </c>
      <c r="P339" s="224">
        <f>VLOOKUP(C339,'Talente &amp; Stuff'!C:AD,14,FALSE)</f>
        <v>0</v>
      </c>
      <c r="Q339" s="237">
        <f>VLOOKUP(C339,'Talente &amp; Stuff'!C:AD,15,FALSE)</f>
        <v>0</v>
      </c>
      <c r="R339" s="254">
        <f>VLOOKUP(C339,'Talente &amp; Stuff'!C:AD,16,FALSE)</f>
        <v>0</v>
      </c>
      <c r="S339" s="224">
        <f>VLOOKUP(C339,'Talente &amp; Stuff'!C:AD,17,FALSE)</f>
        <v>0</v>
      </c>
      <c r="T339" s="242">
        <f>VLOOKUP(C339,'Talente &amp; Stuff'!C:AD,18,FALSE)</f>
        <v>0</v>
      </c>
      <c r="U339" s="222">
        <f>VLOOKUP(C339,'Talente &amp; Stuff'!C:AD,19,FALSE)</f>
        <v>0</v>
      </c>
      <c r="V339" s="223">
        <f>VLOOKUP(C339,'Talente &amp; Stuff'!C:AD,20,FALSE)</f>
        <v>0</v>
      </c>
      <c r="W339" s="243">
        <f>VLOOKUP(C339,'Talente &amp; Stuff'!C:AD,21,FALSE)</f>
        <v>0</v>
      </c>
      <c r="X339" s="218">
        <f>VLOOKUP(C339,'Talente &amp; Stuff'!C:AD,22,FALSE)</f>
        <v>0</v>
      </c>
      <c r="Y339" s="252">
        <f>VLOOKUP(C339,Ausgewählte_Zauber_Zaubertänzer,23,FALSE)</f>
        <v>0</v>
      </c>
      <c r="Z339" s="309">
        <f>VLOOKUP(C339,Ausgewählte_Zauber_Zaubertänzer,24,FALSE)</f>
        <v>0</v>
      </c>
      <c r="AA339" s="218">
        <f>VLOOKUP(C339,'Talente &amp; Stuff'!C:AD,25,FALSE)</f>
        <v>0</v>
      </c>
      <c r="AB339" s="242">
        <f>VLOOKUP(C339,'Talente &amp; Stuff'!C:AD,26,FALSE)</f>
        <v>0</v>
      </c>
      <c r="AC339" s="218">
        <f>VLOOKUP(C339,'Talente &amp; Stuff'!C:AD,27,FALSE)</f>
        <v>0</v>
      </c>
      <c r="AD339" s="218">
        <f>VLOOKUP(C339,'Talente &amp; Stuff'!C:AD,28,FALSE)</f>
        <v>0</v>
      </c>
      <c r="AE339" s="343"/>
    </row>
    <row r="340" spans="1:31" s="217" customFormat="1" hidden="1" outlineLevel="2">
      <c r="A340" s="185"/>
      <c r="B340" s="217">
        <v>18</v>
      </c>
      <c r="C340" s="303" t="s">
        <v>281</v>
      </c>
      <c r="D340" s="304" t="str">
        <f>VLOOKUP(C340,'Talente &amp; Stuff'!C:AD,2,FALSE)</f>
        <v>--/--/--</v>
      </c>
      <c r="E340" s="304" t="str">
        <f>VLOOKUP(C340,'Talente &amp; Stuff'!C:AD,3,FALSE)</f>
        <v>-</v>
      </c>
      <c r="F340" s="317">
        <f>VLOOKUP(C340,'Talente &amp; Stuff'!C:AD,4,FALSE)</f>
        <v>0</v>
      </c>
      <c r="G340" s="254">
        <f>VLOOKUP(C340,'Talente &amp; Stuff'!C:AD,5,FALSE)</f>
        <v>0</v>
      </c>
      <c r="H340" s="254">
        <f>VLOOKUP(C340,'Talente &amp; Stuff'!C:AD,6,FALSE)</f>
        <v>0</v>
      </c>
      <c r="I340" s="254">
        <f>VLOOKUP(C340,'Talente &amp; Stuff'!C:AD,7,FALSE)</f>
        <v>0</v>
      </c>
      <c r="J340" s="254">
        <f>VLOOKUP(C340,'Talente &amp; Stuff'!C:AD,8,FALSE)</f>
        <v>0</v>
      </c>
      <c r="K340" s="254">
        <f>VLOOKUP(C340,'Talente &amp; Stuff'!C:AD,9,FALSE)</f>
        <v>0</v>
      </c>
      <c r="L340" s="254">
        <f>VLOOKUP(C340,'Talente &amp; Stuff'!C:AD,10,FALSE)</f>
        <v>0</v>
      </c>
      <c r="M340" s="318">
        <f>VLOOKUP(C340,'Talente &amp; Stuff'!C:AD,11,FALSE)</f>
        <v>0</v>
      </c>
      <c r="N340" s="222">
        <f>VLOOKUP(C340,'Talente &amp; Stuff'!C:AD,12,FALSE)</f>
        <v>0</v>
      </c>
      <c r="O340" s="223">
        <f>VLOOKUP(C340,'Talente &amp; Stuff'!C:AD,13,FALSE)</f>
        <v>0</v>
      </c>
      <c r="P340" s="224">
        <f>VLOOKUP(C340,'Talente &amp; Stuff'!C:AD,14,FALSE)</f>
        <v>0</v>
      </c>
      <c r="Q340" s="237">
        <f>VLOOKUP(C340,'Talente &amp; Stuff'!C:AD,15,FALSE)</f>
        <v>0</v>
      </c>
      <c r="R340" s="254">
        <f>VLOOKUP(C340,'Talente &amp; Stuff'!C:AD,16,FALSE)</f>
        <v>0</v>
      </c>
      <c r="S340" s="224">
        <f>VLOOKUP(C340,'Talente &amp; Stuff'!C:AD,17,FALSE)</f>
        <v>0</v>
      </c>
      <c r="T340" s="242">
        <f>VLOOKUP(C340,'Talente &amp; Stuff'!C:AD,18,FALSE)</f>
        <v>0</v>
      </c>
      <c r="U340" s="222">
        <f>VLOOKUP(C340,'Talente &amp; Stuff'!C:AD,19,FALSE)</f>
        <v>0</v>
      </c>
      <c r="V340" s="223">
        <f>VLOOKUP(C340,'Talente &amp; Stuff'!C:AD,20,FALSE)</f>
        <v>0</v>
      </c>
      <c r="W340" s="243">
        <f>VLOOKUP(C340,'Talente &amp; Stuff'!C:AD,21,FALSE)</f>
        <v>0</v>
      </c>
      <c r="X340" s="218">
        <f>VLOOKUP(C340,'Talente &amp; Stuff'!C:AD,22,FALSE)</f>
        <v>0</v>
      </c>
      <c r="Y340" s="252">
        <f>VLOOKUP(C340,Ausgewählte_Zauber_Zaubertänzer,23,FALSE)</f>
        <v>0</v>
      </c>
      <c r="Z340" s="309">
        <f>VLOOKUP(C340,Ausgewählte_Zauber_Zaubertänzer,24,FALSE)</f>
        <v>0</v>
      </c>
      <c r="AA340" s="218">
        <f>VLOOKUP(C340,'Talente &amp; Stuff'!C:AD,25,FALSE)</f>
        <v>0</v>
      </c>
      <c r="AB340" s="242">
        <f>VLOOKUP(C340,'Talente &amp; Stuff'!C:AD,26,FALSE)</f>
        <v>0</v>
      </c>
      <c r="AC340" s="218">
        <f>VLOOKUP(C340,'Talente &amp; Stuff'!C:AD,27,FALSE)</f>
        <v>0</v>
      </c>
      <c r="AD340" s="218">
        <f>VLOOKUP(C340,'Talente &amp; Stuff'!C:AD,28,FALSE)</f>
        <v>0</v>
      </c>
      <c r="AE340" s="343"/>
    </row>
    <row r="341" spans="1:31" s="217" customFormat="1" hidden="1" outlineLevel="2">
      <c r="A341" s="185"/>
      <c r="B341" s="217">
        <v>19</v>
      </c>
      <c r="C341" s="303" t="s">
        <v>281</v>
      </c>
      <c r="D341" s="304" t="str">
        <f>VLOOKUP(C341,'Talente &amp; Stuff'!C:AD,2,FALSE)</f>
        <v>--/--/--</v>
      </c>
      <c r="E341" s="304" t="str">
        <f>VLOOKUP(C341,'Talente &amp; Stuff'!C:AD,3,FALSE)</f>
        <v>-</v>
      </c>
      <c r="F341" s="317">
        <f>VLOOKUP(C341,'Talente &amp; Stuff'!C:AD,4,FALSE)</f>
        <v>0</v>
      </c>
      <c r="G341" s="254">
        <f>VLOOKUP(C341,'Talente &amp; Stuff'!C:AD,5,FALSE)</f>
        <v>0</v>
      </c>
      <c r="H341" s="254">
        <f>VLOOKUP(C341,'Talente &amp; Stuff'!C:AD,6,FALSE)</f>
        <v>0</v>
      </c>
      <c r="I341" s="254">
        <f>VLOOKUP(C341,'Talente &amp; Stuff'!C:AD,7,FALSE)</f>
        <v>0</v>
      </c>
      <c r="J341" s="254">
        <f>VLOOKUP(C341,'Talente &amp; Stuff'!C:AD,8,FALSE)</f>
        <v>0</v>
      </c>
      <c r="K341" s="254">
        <f>VLOOKUP(C341,'Talente &amp; Stuff'!C:AD,9,FALSE)</f>
        <v>0</v>
      </c>
      <c r="L341" s="254">
        <f>VLOOKUP(C341,'Talente &amp; Stuff'!C:AD,10,FALSE)</f>
        <v>0</v>
      </c>
      <c r="M341" s="318">
        <f>VLOOKUP(C341,'Talente &amp; Stuff'!C:AD,11,FALSE)</f>
        <v>0</v>
      </c>
      <c r="N341" s="222">
        <f>VLOOKUP(C341,'Talente &amp; Stuff'!C:AD,12,FALSE)</f>
        <v>0</v>
      </c>
      <c r="O341" s="223">
        <f>VLOOKUP(C341,'Talente &amp; Stuff'!C:AD,13,FALSE)</f>
        <v>0</v>
      </c>
      <c r="P341" s="224">
        <f>VLOOKUP(C341,'Talente &amp; Stuff'!C:AD,14,FALSE)</f>
        <v>0</v>
      </c>
      <c r="Q341" s="237">
        <f>VLOOKUP(C341,'Talente &amp; Stuff'!C:AD,15,FALSE)</f>
        <v>0</v>
      </c>
      <c r="R341" s="254">
        <f>VLOOKUP(C341,'Talente &amp; Stuff'!C:AD,16,FALSE)</f>
        <v>0</v>
      </c>
      <c r="S341" s="224">
        <f>VLOOKUP(C341,'Talente &amp; Stuff'!C:AD,17,FALSE)</f>
        <v>0</v>
      </c>
      <c r="T341" s="242">
        <f>VLOOKUP(C341,'Talente &amp; Stuff'!C:AD,18,FALSE)</f>
        <v>0</v>
      </c>
      <c r="U341" s="222">
        <f>VLOOKUP(C341,'Talente &amp; Stuff'!C:AD,19,FALSE)</f>
        <v>0</v>
      </c>
      <c r="V341" s="223">
        <f>VLOOKUP(C341,'Talente &amp; Stuff'!C:AD,20,FALSE)</f>
        <v>0</v>
      </c>
      <c r="W341" s="243">
        <f>VLOOKUP(C341,'Talente &amp; Stuff'!C:AD,21,FALSE)</f>
        <v>0</v>
      </c>
      <c r="X341" s="218">
        <f>VLOOKUP(C341,'Talente &amp; Stuff'!C:AD,22,FALSE)</f>
        <v>0</v>
      </c>
      <c r="Y341" s="252">
        <f>VLOOKUP(C341,Ausgewählte_Zauber_Zaubertänzer,23,FALSE)</f>
        <v>0</v>
      </c>
      <c r="Z341" s="309">
        <f>VLOOKUP(C341,Ausgewählte_Zauber_Zaubertänzer,24,FALSE)</f>
        <v>0</v>
      </c>
      <c r="AA341" s="218">
        <f>VLOOKUP(C341,'Talente &amp; Stuff'!C:AD,25,FALSE)</f>
        <v>0</v>
      </c>
      <c r="AB341" s="242">
        <f>VLOOKUP(C341,'Talente &amp; Stuff'!C:AD,26,FALSE)</f>
        <v>0</v>
      </c>
      <c r="AC341" s="218">
        <f>VLOOKUP(C341,'Talente &amp; Stuff'!C:AD,27,FALSE)</f>
        <v>0</v>
      </c>
      <c r="AD341" s="218">
        <f>VLOOKUP(C341,'Talente &amp; Stuff'!C:AD,28,FALSE)</f>
        <v>0</v>
      </c>
      <c r="AE341" s="343"/>
    </row>
    <row r="342" spans="1:31" s="217" customFormat="1" hidden="1" outlineLevel="2">
      <c r="A342" s="185"/>
      <c r="B342" s="217">
        <v>20</v>
      </c>
      <c r="C342" s="303" t="s">
        <v>281</v>
      </c>
      <c r="D342" s="304" t="str">
        <f>VLOOKUP(C342,'Talente &amp; Stuff'!C:AD,2,FALSE)</f>
        <v>--/--/--</v>
      </c>
      <c r="E342" s="304" t="str">
        <f>VLOOKUP(C342,'Talente &amp; Stuff'!C:AD,3,FALSE)</f>
        <v>-</v>
      </c>
      <c r="F342" s="317">
        <f>VLOOKUP(C342,'Talente &amp; Stuff'!C:AD,4,FALSE)</f>
        <v>0</v>
      </c>
      <c r="G342" s="254">
        <f>VLOOKUP(C342,'Talente &amp; Stuff'!C:AD,5,FALSE)</f>
        <v>0</v>
      </c>
      <c r="H342" s="254">
        <f>VLOOKUP(C342,'Talente &amp; Stuff'!C:AD,6,FALSE)</f>
        <v>0</v>
      </c>
      <c r="I342" s="254">
        <f>VLOOKUP(C342,'Talente &amp; Stuff'!C:AD,7,FALSE)</f>
        <v>0</v>
      </c>
      <c r="J342" s="254">
        <f>VLOOKUP(C342,'Talente &amp; Stuff'!C:AD,8,FALSE)</f>
        <v>0</v>
      </c>
      <c r="K342" s="254">
        <f>VLOOKUP(C342,'Talente &amp; Stuff'!C:AD,9,FALSE)</f>
        <v>0</v>
      </c>
      <c r="L342" s="254">
        <f>VLOOKUP(C342,'Talente &amp; Stuff'!C:AD,10,FALSE)</f>
        <v>0</v>
      </c>
      <c r="M342" s="318">
        <f>VLOOKUP(C342,'Talente &amp; Stuff'!C:AD,11,FALSE)</f>
        <v>0</v>
      </c>
      <c r="N342" s="222">
        <f>VLOOKUP(C342,'Talente &amp; Stuff'!C:AD,12,FALSE)</f>
        <v>0</v>
      </c>
      <c r="O342" s="223">
        <f>VLOOKUP(C342,'Talente &amp; Stuff'!C:AD,13,FALSE)</f>
        <v>0</v>
      </c>
      <c r="P342" s="224">
        <f>VLOOKUP(C342,'Talente &amp; Stuff'!C:AD,14,FALSE)</f>
        <v>0</v>
      </c>
      <c r="Q342" s="237">
        <f>VLOOKUP(C342,'Talente &amp; Stuff'!C:AD,15,FALSE)</f>
        <v>0</v>
      </c>
      <c r="R342" s="254">
        <f>VLOOKUP(C342,'Talente &amp; Stuff'!C:AD,16,FALSE)</f>
        <v>0</v>
      </c>
      <c r="S342" s="224">
        <f>VLOOKUP(C342,'Talente &amp; Stuff'!C:AD,17,FALSE)</f>
        <v>0</v>
      </c>
      <c r="T342" s="242">
        <f>VLOOKUP(C342,'Talente &amp; Stuff'!C:AD,18,FALSE)</f>
        <v>0</v>
      </c>
      <c r="U342" s="222">
        <f>VLOOKUP(C342,'Talente &amp; Stuff'!C:AD,19,FALSE)</f>
        <v>0</v>
      </c>
      <c r="V342" s="223">
        <f>VLOOKUP(C342,'Talente &amp; Stuff'!C:AD,20,FALSE)</f>
        <v>0</v>
      </c>
      <c r="W342" s="243">
        <f>VLOOKUP(C342,'Talente &amp; Stuff'!C:AD,21,FALSE)</f>
        <v>0</v>
      </c>
      <c r="X342" s="218">
        <f>VLOOKUP(C342,'Talente &amp; Stuff'!C:AD,22,FALSE)</f>
        <v>0</v>
      </c>
      <c r="Y342" s="252">
        <f>VLOOKUP(C342,Ausgewählte_Zauber_Zaubertänzer,23,FALSE)</f>
        <v>0</v>
      </c>
      <c r="Z342" s="309">
        <f>VLOOKUP(C342,Ausgewählte_Zauber_Zaubertänzer,24,FALSE)</f>
        <v>0</v>
      </c>
      <c r="AA342" s="218">
        <f>VLOOKUP(C342,'Talente &amp; Stuff'!C:AD,25,FALSE)</f>
        <v>0</v>
      </c>
      <c r="AB342" s="242">
        <f>VLOOKUP(C342,'Talente &amp; Stuff'!C:AD,26,FALSE)</f>
        <v>0</v>
      </c>
      <c r="AC342" s="218">
        <f>VLOOKUP(C342,'Talente &amp; Stuff'!C:AD,27,FALSE)</f>
        <v>0</v>
      </c>
      <c r="AD342" s="218">
        <f>VLOOKUP(C342,'Talente &amp; Stuff'!C:AD,28,FALSE)</f>
        <v>0</v>
      </c>
      <c r="AE342" s="343"/>
    </row>
    <row r="343" spans="1:31" s="217" customFormat="1" hidden="1" outlineLevel="2">
      <c r="A343" s="185"/>
      <c r="B343" s="217">
        <v>21</v>
      </c>
      <c r="C343" s="303" t="s">
        <v>281</v>
      </c>
      <c r="D343" s="304" t="str">
        <f>VLOOKUP(C343,'Talente &amp; Stuff'!C:AD,2,FALSE)</f>
        <v>--/--/--</v>
      </c>
      <c r="E343" s="304" t="str">
        <f>VLOOKUP(C343,'Talente &amp; Stuff'!C:AD,3,FALSE)</f>
        <v>-</v>
      </c>
      <c r="F343" s="317">
        <f>VLOOKUP(C343,'Talente &amp; Stuff'!C:AD,4,FALSE)</f>
        <v>0</v>
      </c>
      <c r="G343" s="254">
        <f>VLOOKUP(C343,'Talente &amp; Stuff'!C:AD,5,FALSE)</f>
        <v>0</v>
      </c>
      <c r="H343" s="254">
        <f>VLOOKUP(C343,'Talente &amp; Stuff'!C:AD,6,FALSE)</f>
        <v>0</v>
      </c>
      <c r="I343" s="254">
        <f>VLOOKUP(C343,'Talente &amp; Stuff'!C:AD,7,FALSE)</f>
        <v>0</v>
      </c>
      <c r="J343" s="254">
        <f>VLOOKUP(C343,'Talente &amp; Stuff'!C:AD,8,FALSE)</f>
        <v>0</v>
      </c>
      <c r="K343" s="254">
        <f>VLOOKUP(C343,'Talente &amp; Stuff'!C:AD,9,FALSE)</f>
        <v>0</v>
      </c>
      <c r="L343" s="254">
        <f>VLOOKUP(C343,'Talente &amp; Stuff'!C:AD,10,FALSE)</f>
        <v>0</v>
      </c>
      <c r="M343" s="318">
        <f>VLOOKUP(C343,'Talente &amp; Stuff'!C:AD,11,FALSE)</f>
        <v>0</v>
      </c>
      <c r="N343" s="222">
        <f>VLOOKUP(C343,'Talente &amp; Stuff'!C:AD,12,FALSE)</f>
        <v>0</v>
      </c>
      <c r="O343" s="223">
        <f>VLOOKUP(C343,'Talente &amp; Stuff'!C:AD,13,FALSE)</f>
        <v>0</v>
      </c>
      <c r="P343" s="224">
        <f>VLOOKUP(C343,'Talente &amp; Stuff'!C:AD,14,FALSE)</f>
        <v>0</v>
      </c>
      <c r="Q343" s="237">
        <f>VLOOKUP(C343,'Talente &amp; Stuff'!C:AD,15,FALSE)</f>
        <v>0</v>
      </c>
      <c r="R343" s="254">
        <f>VLOOKUP(C343,'Talente &amp; Stuff'!C:AD,16,FALSE)</f>
        <v>0</v>
      </c>
      <c r="S343" s="224">
        <f>VLOOKUP(C343,'Talente &amp; Stuff'!C:AD,17,FALSE)</f>
        <v>0</v>
      </c>
      <c r="T343" s="242">
        <f>VLOOKUP(C343,'Talente &amp; Stuff'!C:AD,18,FALSE)</f>
        <v>0</v>
      </c>
      <c r="U343" s="222">
        <f>VLOOKUP(C343,'Talente &amp; Stuff'!C:AD,19,FALSE)</f>
        <v>0</v>
      </c>
      <c r="V343" s="223">
        <f>VLOOKUP(C343,'Talente &amp; Stuff'!C:AD,20,FALSE)</f>
        <v>0</v>
      </c>
      <c r="W343" s="243">
        <f>VLOOKUP(C343,'Talente &amp; Stuff'!C:AD,21,FALSE)</f>
        <v>0</v>
      </c>
      <c r="X343" s="218">
        <f>VLOOKUP(C343,'Talente &amp; Stuff'!C:AD,22,FALSE)</f>
        <v>0</v>
      </c>
      <c r="Y343" s="252">
        <f>VLOOKUP(C343,Ausgewählte_Zauber_Zaubertänzer,23,FALSE)</f>
        <v>0</v>
      </c>
      <c r="Z343" s="309">
        <f>VLOOKUP(C343,Ausgewählte_Zauber_Zaubertänzer,24,FALSE)</f>
        <v>0</v>
      </c>
      <c r="AA343" s="218">
        <f>VLOOKUP(C343,'Talente &amp; Stuff'!C:AD,25,FALSE)</f>
        <v>0</v>
      </c>
      <c r="AB343" s="242">
        <f>VLOOKUP(C343,'Talente &amp; Stuff'!C:AD,26,FALSE)</f>
        <v>0</v>
      </c>
      <c r="AC343" s="218">
        <f>VLOOKUP(C343,'Talente &amp; Stuff'!C:AD,27,FALSE)</f>
        <v>0</v>
      </c>
      <c r="AD343" s="218">
        <f>VLOOKUP(C343,'Talente &amp; Stuff'!C:AD,28,FALSE)</f>
        <v>0</v>
      </c>
      <c r="AE343" s="343"/>
    </row>
    <row r="344" spans="1:31" s="217" customFormat="1" hidden="1" outlineLevel="2">
      <c r="A344" s="185"/>
      <c r="B344" s="217">
        <v>22</v>
      </c>
      <c r="C344" s="303" t="s">
        <v>281</v>
      </c>
      <c r="D344" s="304" t="str">
        <f>VLOOKUP(C344,'Talente &amp; Stuff'!C:AD,2,FALSE)</f>
        <v>--/--/--</v>
      </c>
      <c r="E344" s="304" t="str">
        <f>VLOOKUP(C344,'Talente &amp; Stuff'!C:AD,3,FALSE)</f>
        <v>-</v>
      </c>
      <c r="F344" s="317">
        <f>VLOOKUP(C344,'Talente &amp; Stuff'!C:AD,4,FALSE)</f>
        <v>0</v>
      </c>
      <c r="G344" s="254">
        <f>VLOOKUP(C344,'Talente &amp; Stuff'!C:AD,5,FALSE)</f>
        <v>0</v>
      </c>
      <c r="H344" s="254">
        <f>VLOOKUP(C344,'Talente &amp; Stuff'!C:AD,6,FALSE)</f>
        <v>0</v>
      </c>
      <c r="I344" s="254">
        <f>VLOOKUP(C344,'Talente &amp; Stuff'!C:AD,7,FALSE)</f>
        <v>0</v>
      </c>
      <c r="J344" s="254">
        <f>VLOOKUP(C344,'Talente &amp; Stuff'!C:AD,8,FALSE)</f>
        <v>0</v>
      </c>
      <c r="K344" s="254">
        <f>VLOOKUP(C344,'Talente &amp; Stuff'!C:AD,9,FALSE)</f>
        <v>0</v>
      </c>
      <c r="L344" s="254">
        <f>VLOOKUP(C344,'Talente &amp; Stuff'!C:AD,10,FALSE)</f>
        <v>0</v>
      </c>
      <c r="M344" s="318">
        <f>VLOOKUP(C344,'Talente &amp; Stuff'!C:AD,11,FALSE)</f>
        <v>0</v>
      </c>
      <c r="N344" s="222">
        <f>VLOOKUP(C344,'Talente &amp; Stuff'!C:AD,12,FALSE)</f>
        <v>0</v>
      </c>
      <c r="O344" s="223">
        <f>VLOOKUP(C344,'Talente &amp; Stuff'!C:AD,13,FALSE)</f>
        <v>0</v>
      </c>
      <c r="P344" s="224">
        <f>VLOOKUP(C344,'Talente &amp; Stuff'!C:AD,14,FALSE)</f>
        <v>0</v>
      </c>
      <c r="Q344" s="237">
        <f>VLOOKUP(C344,'Talente &amp; Stuff'!C:AD,15,FALSE)</f>
        <v>0</v>
      </c>
      <c r="R344" s="254">
        <f>VLOOKUP(C344,'Talente &amp; Stuff'!C:AD,16,FALSE)</f>
        <v>0</v>
      </c>
      <c r="S344" s="224">
        <f>VLOOKUP(C344,'Talente &amp; Stuff'!C:AD,17,FALSE)</f>
        <v>0</v>
      </c>
      <c r="T344" s="242">
        <f>VLOOKUP(C344,'Talente &amp; Stuff'!C:AD,18,FALSE)</f>
        <v>0</v>
      </c>
      <c r="U344" s="222">
        <f>VLOOKUP(C344,'Talente &amp; Stuff'!C:AD,19,FALSE)</f>
        <v>0</v>
      </c>
      <c r="V344" s="223">
        <f>VLOOKUP(C344,'Talente &amp; Stuff'!C:AD,20,FALSE)</f>
        <v>0</v>
      </c>
      <c r="W344" s="243">
        <f>VLOOKUP(C344,'Talente &amp; Stuff'!C:AD,21,FALSE)</f>
        <v>0</v>
      </c>
      <c r="X344" s="218">
        <f>VLOOKUP(C344,'Talente &amp; Stuff'!C:AD,22,FALSE)</f>
        <v>0</v>
      </c>
      <c r="Y344" s="252">
        <f>VLOOKUP(C344,Ausgewählte_Zauber_Zaubertänzer,23,FALSE)</f>
        <v>0</v>
      </c>
      <c r="Z344" s="309">
        <f>VLOOKUP(C344,Ausgewählte_Zauber_Zaubertänzer,24,FALSE)</f>
        <v>0</v>
      </c>
      <c r="AA344" s="218">
        <f>VLOOKUP(C344,'Talente &amp; Stuff'!C:AD,25,FALSE)</f>
        <v>0</v>
      </c>
      <c r="AB344" s="242">
        <f>VLOOKUP(C344,'Talente &amp; Stuff'!C:AD,26,FALSE)</f>
        <v>0</v>
      </c>
      <c r="AC344" s="218">
        <f>VLOOKUP(C344,'Talente &amp; Stuff'!C:AD,27,FALSE)</f>
        <v>0</v>
      </c>
      <c r="AD344" s="218">
        <f>VLOOKUP(C344,'Talente &amp; Stuff'!C:AD,28,FALSE)</f>
        <v>0</v>
      </c>
      <c r="AE344" s="343"/>
    </row>
    <row r="345" spans="1:31" s="217" customFormat="1" hidden="1" outlineLevel="2">
      <c r="A345" s="185"/>
      <c r="B345" s="217">
        <v>23</v>
      </c>
      <c r="C345" s="303" t="s">
        <v>281</v>
      </c>
      <c r="D345" s="304" t="str">
        <f>VLOOKUP(C345,'Talente &amp; Stuff'!C:AD,2,FALSE)</f>
        <v>--/--/--</v>
      </c>
      <c r="E345" s="218" t="str">
        <f>VLOOKUP(C345,'Talente &amp; Stuff'!C:AD,3,FALSE)</f>
        <v>-</v>
      </c>
      <c r="F345" s="237">
        <f>VLOOKUP(C345,'Talente &amp; Stuff'!C:AD,4,FALSE)</f>
        <v>0</v>
      </c>
      <c r="G345" s="234">
        <f>VLOOKUP(C345,'Talente &amp; Stuff'!C:AD,5,FALSE)</f>
        <v>0</v>
      </c>
      <c r="H345" s="234">
        <f>VLOOKUP(C345,'Talente &amp; Stuff'!C:AD,6,FALSE)</f>
        <v>0</v>
      </c>
      <c r="I345" s="234">
        <f>VLOOKUP(C345,'Talente &amp; Stuff'!C:AD,7,FALSE)</f>
        <v>0</v>
      </c>
      <c r="J345" s="234">
        <f>VLOOKUP(C345,'Talente &amp; Stuff'!C:AD,8,FALSE)</f>
        <v>0</v>
      </c>
      <c r="K345" s="234">
        <f>VLOOKUP(C345,'Talente &amp; Stuff'!C:AD,9,FALSE)</f>
        <v>0</v>
      </c>
      <c r="L345" s="234">
        <f>VLOOKUP(C345,'Talente &amp; Stuff'!C:AD,10,FALSE)</f>
        <v>0</v>
      </c>
      <c r="M345" s="224">
        <f>VLOOKUP(C345,'Talente &amp; Stuff'!C:AD,11,FALSE)</f>
        <v>0</v>
      </c>
      <c r="N345" s="222">
        <f>VLOOKUP(C345,'Talente &amp; Stuff'!C:AD,12,FALSE)</f>
        <v>0</v>
      </c>
      <c r="O345" s="223">
        <f>VLOOKUP(C345,'Talente &amp; Stuff'!C:AD,13,FALSE)</f>
        <v>0</v>
      </c>
      <c r="P345" s="224">
        <f>VLOOKUP(C345,'Talente &amp; Stuff'!C:AD,14,FALSE)</f>
        <v>0</v>
      </c>
      <c r="Q345" s="237">
        <f>VLOOKUP(C345,'Talente &amp; Stuff'!C:AD,15,FALSE)</f>
        <v>0</v>
      </c>
      <c r="R345" s="254">
        <f>VLOOKUP(C345,'Talente &amp; Stuff'!C:AD,16,FALSE)</f>
        <v>0</v>
      </c>
      <c r="S345" s="224">
        <f>VLOOKUP(C345,'Talente &amp; Stuff'!C:AD,17,FALSE)</f>
        <v>0</v>
      </c>
      <c r="T345" s="242">
        <f>VLOOKUP(C345,'Talente &amp; Stuff'!C:AD,18,FALSE)</f>
        <v>0</v>
      </c>
      <c r="U345" s="222">
        <f>VLOOKUP(C345,'Talente &amp; Stuff'!C:AD,19,FALSE)</f>
        <v>0</v>
      </c>
      <c r="V345" s="223">
        <f>VLOOKUP(C345,'Talente &amp; Stuff'!C:AD,20,FALSE)</f>
        <v>0</v>
      </c>
      <c r="W345" s="243">
        <f>VLOOKUP(C345,'Talente &amp; Stuff'!C:AD,21,FALSE)</f>
        <v>0</v>
      </c>
      <c r="X345" s="218">
        <f>VLOOKUP(C345,'Talente &amp; Stuff'!C:AD,22,FALSE)</f>
        <v>0</v>
      </c>
      <c r="Y345" s="252">
        <f>VLOOKUP(C345,Ausgewählte_Zauber_Zaubertänzer,23,FALSE)</f>
        <v>0</v>
      </c>
      <c r="Z345" s="309">
        <f>VLOOKUP(C345,Ausgewählte_Zauber_Zaubertänzer,24,FALSE)</f>
        <v>0</v>
      </c>
      <c r="AA345" s="218">
        <f>VLOOKUP(C345,'Talente &amp; Stuff'!C:AD,25,FALSE)</f>
        <v>0</v>
      </c>
      <c r="AB345" s="242">
        <f>VLOOKUP(C345,'Talente &amp; Stuff'!C:AD,26,FALSE)</f>
        <v>0</v>
      </c>
      <c r="AC345" s="218">
        <f>VLOOKUP(C345,'Talente &amp; Stuff'!C:AD,27,FALSE)</f>
        <v>0</v>
      </c>
      <c r="AD345" s="218">
        <f>VLOOKUP(C345,'Talente &amp; Stuff'!C:AD,28,FALSE)</f>
        <v>0</v>
      </c>
      <c r="AE345" s="343"/>
    </row>
    <row r="346" spans="1:31" s="217" customFormat="1" hidden="1" outlineLevel="2">
      <c r="A346" s="185"/>
      <c r="B346" s="217">
        <v>24</v>
      </c>
      <c r="C346" s="303" t="s">
        <v>281</v>
      </c>
      <c r="D346" s="304" t="str">
        <f>VLOOKUP(C346,'Talente &amp; Stuff'!C:AD,2,FALSE)</f>
        <v>--/--/--</v>
      </c>
      <c r="E346" s="218" t="str">
        <f>VLOOKUP(C346,'Talente &amp; Stuff'!C:AD,3,FALSE)</f>
        <v>-</v>
      </c>
      <c r="F346" s="237">
        <f>VLOOKUP(C346,'Talente &amp; Stuff'!C:AD,4,FALSE)</f>
        <v>0</v>
      </c>
      <c r="G346" s="234">
        <f>VLOOKUP(C346,'Talente &amp; Stuff'!C:AD,5,FALSE)</f>
        <v>0</v>
      </c>
      <c r="H346" s="234">
        <f>VLOOKUP(C346,'Talente &amp; Stuff'!C:AD,6,FALSE)</f>
        <v>0</v>
      </c>
      <c r="I346" s="234">
        <f>VLOOKUP(C346,'Talente &amp; Stuff'!C:AD,7,FALSE)</f>
        <v>0</v>
      </c>
      <c r="J346" s="234">
        <f>VLOOKUP(C346,'Talente &amp; Stuff'!C:AD,8,FALSE)</f>
        <v>0</v>
      </c>
      <c r="K346" s="234">
        <f>VLOOKUP(C346,'Talente &amp; Stuff'!C:AD,9,FALSE)</f>
        <v>0</v>
      </c>
      <c r="L346" s="234">
        <f>VLOOKUP(C346,'Talente &amp; Stuff'!C:AD,10,FALSE)</f>
        <v>0</v>
      </c>
      <c r="M346" s="224">
        <f>VLOOKUP(C346,'Talente &amp; Stuff'!C:AD,11,FALSE)</f>
        <v>0</v>
      </c>
      <c r="N346" s="222">
        <f>VLOOKUP(C346,'Talente &amp; Stuff'!C:AD,12,FALSE)</f>
        <v>0</v>
      </c>
      <c r="O346" s="223">
        <f>VLOOKUP(C346,'Talente &amp; Stuff'!C:AD,13,FALSE)</f>
        <v>0</v>
      </c>
      <c r="P346" s="224">
        <f>VLOOKUP(C346,'Talente &amp; Stuff'!C:AD,14,FALSE)</f>
        <v>0</v>
      </c>
      <c r="Q346" s="237">
        <f>VLOOKUP(C346,'Talente &amp; Stuff'!C:AD,15,FALSE)</f>
        <v>0</v>
      </c>
      <c r="R346" s="254">
        <f>VLOOKUP(C346,'Talente &amp; Stuff'!C:AD,16,FALSE)</f>
        <v>0</v>
      </c>
      <c r="S346" s="224">
        <f>VLOOKUP(C346,'Talente &amp; Stuff'!C:AD,17,FALSE)</f>
        <v>0</v>
      </c>
      <c r="T346" s="242">
        <f>VLOOKUP(C346,'Talente &amp; Stuff'!C:AD,18,FALSE)</f>
        <v>0</v>
      </c>
      <c r="U346" s="222">
        <f>VLOOKUP(C346,'Talente &amp; Stuff'!C:AD,19,FALSE)</f>
        <v>0</v>
      </c>
      <c r="V346" s="223">
        <f>VLOOKUP(C346,'Talente &amp; Stuff'!C:AD,20,FALSE)</f>
        <v>0</v>
      </c>
      <c r="W346" s="243">
        <f>VLOOKUP(C346,'Talente &amp; Stuff'!C:AD,21,FALSE)</f>
        <v>0</v>
      </c>
      <c r="X346" s="218">
        <f>VLOOKUP(C346,'Talente &amp; Stuff'!C:AD,22,FALSE)</f>
        <v>0</v>
      </c>
      <c r="Y346" s="252">
        <f>VLOOKUP(C346,Ausgewählte_Zauber_Zaubertänzer,23,FALSE)</f>
        <v>0</v>
      </c>
      <c r="Z346" s="309">
        <f>VLOOKUP(C346,Ausgewählte_Zauber_Zaubertänzer,24,FALSE)</f>
        <v>0</v>
      </c>
      <c r="AA346" s="218">
        <f>VLOOKUP(C346,'Talente &amp; Stuff'!C:AD,25,FALSE)</f>
        <v>0</v>
      </c>
      <c r="AB346" s="242">
        <f>VLOOKUP(C346,'Talente &amp; Stuff'!C:AD,26,FALSE)</f>
        <v>0</v>
      </c>
      <c r="AC346" s="218">
        <f>VLOOKUP(C346,'Talente &amp; Stuff'!C:AD,27,FALSE)</f>
        <v>0</v>
      </c>
      <c r="AD346" s="218">
        <f>VLOOKUP(C346,'Talente &amp; Stuff'!C:AD,28,FALSE)</f>
        <v>0</v>
      </c>
      <c r="AE346" s="343"/>
    </row>
    <row r="347" spans="1:31" s="217" customFormat="1" hidden="1" outlineLevel="2">
      <c r="A347" s="185"/>
      <c r="B347" s="217">
        <v>25</v>
      </c>
      <c r="C347" s="303" t="s">
        <v>281</v>
      </c>
      <c r="D347" s="304" t="str">
        <f>VLOOKUP(C347,'Talente &amp; Stuff'!C:AD,2,FALSE)</f>
        <v>--/--/--</v>
      </c>
      <c r="E347" s="218" t="str">
        <f>VLOOKUP(C347,'Talente &amp; Stuff'!C:AD,3,FALSE)</f>
        <v>-</v>
      </c>
      <c r="F347" s="237">
        <f>VLOOKUP(C347,'Talente &amp; Stuff'!C:AD,4,FALSE)</f>
        <v>0</v>
      </c>
      <c r="G347" s="234">
        <f>VLOOKUP(C347,'Talente &amp; Stuff'!C:AD,5,FALSE)</f>
        <v>0</v>
      </c>
      <c r="H347" s="234">
        <f>VLOOKUP(C347,'Talente &amp; Stuff'!C:AD,6,FALSE)</f>
        <v>0</v>
      </c>
      <c r="I347" s="234">
        <f>VLOOKUP(C347,'Talente &amp; Stuff'!C:AD,7,FALSE)</f>
        <v>0</v>
      </c>
      <c r="J347" s="234">
        <f>VLOOKUP(C347,'Talente &amp; Stuff'!C:AD,8,FALSE)</f>
        <v>0</v>
      </c>
      <c r="K347" s="234">
        <f>VLOOKUP(C347,'Talente &amp; Stuff'!C:AD,9,FALSE)</f>
        <v>0</v>
      </c>
      <c r="L347" s="234">
        <f>VLOOKUP(C347,'Talente &amp; Stuff'!C:AD,10,FALSE)</f>
        <v>0</v>
      </c>
      <c r="M347" s="224">
        <f>VLOOKUP(C347,'Talente &amp; Stuff'!C:AD,11,FALSE)</f>
        <v>0</v>
      </c>
      <c r="N347" s="222">
        <f>VLOOKUP(C347,'Talente &amp; Stuff'!C:AD,12,FALSE)</f>
        <v>0</v>
      </c>
      <c r="O347" s="223">
        <f>VLOOKUP(C347,'Talente &amp; Stuff'!C:AD,13,FALSE)</f>
        <v>0</v>
      </c>
      <c r="P347" s="224">
        <f>VLOOKUP(C347,'Talente &amp; Stuff'!C:AD,14,FALSE)</f>
        <v>0</v>
      </c>
      <c r="Q347" s="237">
        <f>VLOOKUP(C347,'Talente &amp; Stuff'!C:AD,15,FALSE)</f>
        <v>0</v>
      </c>
      <c r="R347" s="254">
        <f>VLOOKUP(C347,'Talente &amp; Stuff'!C:AD,16,FALSE)</f>
        <v>0</v>
      </c>
      <c r="S347" s="224">
        <f>VLOOKUP(C347,'Talente &amp; Stuff'!C:AD,17,FALSE)</f>
        <v>0</v>
      </c>
      <c r="T347" s="242">
        <f>VLOOKUP(C347,'Talente &amp; Stuff'!C:AD,18,FALSE)</f>
        <v>0</v>
      </c>
      <c r="U347" s="222">
        <f>VLOOKUP(C347,'Talente &amp; Stuff'!C:AD,19,FALSE)</f>
        <v>0</v>
      </c>
      <c r="V347" s="223">
        <f>VLOOKUP(C347,'Talente &amp; Stuff'!C:AD,20,FALSE)</f>
        <v>0</v>
      </c>
      <c r="W347" s="243">
        <f>VLOOKUP(C347,'Talente &amp; Stuff'!C:AD,21,FALSE)</f>
        <v>0</v>
      </c>
      <c r="X347" s="218">
        <f>VLOOKUP(C347,'Talente &amp; Stuff'!C:AD,22,FALSE)</f>
        <v>0</v>
      </c>
      <c r="Y347" s="252">
        <f>VLOOKUP(C347,Ausgewählte_Zauber_Zaubertänzer,23,FALSE)</f>
        <v>0</v>
      </c>
      <c r="Z347" s="309">
        <f>VLOOKUP(C347,Ausgewählte_Zauber_Zaubertänzer,24,FALSE)</f>
        <v>0</v>
      </c>
      <c r="AA347" s="218">
        <f>VLOOKUP(C347,'Talente &amp; Stuff'!C:AD,25,FALSE)</f>
        <v>0</v>
      </c>
      <c r="AB347" s="242">
        <f>VLOOKUP(C347,'Talente &amp; Stuff'!C:AD,26,FALSE)</f>
        <v>0</v>
      </c>
      <c r="AC347" s="218">
        <f>VLOOKUP(C347,'Talente &amp; Stuff'!C:AD,27,FALSE)</f>
        <v>0</v>
      </c>
      <c r="AD347" s="218">
        <f>VLOOKUP(C347,'Talente &amp; Stuff'!C:AD,28,FALSE)</f>
        <v>0</v>
      </c>
      <c r="AE347" s="343"/>
    </row>
    <row r="348" spans="1:31" s="217" customFormat="1" hidden="1" outlineLevel="2">
      <c r="A348" s="185"/>
      <c r="B348" s="217">
        <v>26</v>
      </c>
      <c r="C348" s="306" t="s">
        <v>281</v>
      </c>
      <c r="D348" s="314" t="str">
        <f>VLOOKUP(C348,'Talente &amp; Stuff'!C:AD,2,FALSE)</f>
        <v>--/--/--</v>
      </c>
      <c r="E348" s="246" t="str">
        <f>VLOOKUP(C348,'Talente &amp; Stuff'!C:AD,3,FALSE)</f>
        <v>-</v>
      </c>
      <c r="F348" s="238">
        <f>VLOOKUP(C348,'Talente &amp; Stuff'!C:AD,4,FALSE)</f>
        <v>0</v>
      </c>
      <c r="G348" s="235">
        <f>VLOOKUP(C348,'Talente &amp; Stuff'!C:AD,5,FALSE)</f>
        <v>0</v>
      </c>
      <c r="H348" s="235">
        <f>VLOOKUP(C348,'Talente &amp; Stuff'!C:AD,6,FALSE)</f>
        <v>0</v>
      </c>
      <c r="I348" s="235">
        <f>VLOOKUP(C348,'Talente &amp; Stuff'!C:AD,7,FALSE)</f>
        <v>0</v>
      </c>
      <c r="J348" s="235">
        <f>VLOOKUP(C348,'Talente &amp; Stuff'!C:AD,8,FALSE)</f>
        <v>0</v>
      </c>
      <c r="K348" s="235">
        <f>VLOOKUP(C348,'Talente &amp; Stuff'!C:AD,9,FALSE)</f>
        <v>0</v>
      </c>
      <c r="L348" s="235">
        <f>VLOOKUP(C348,'Talente &amp; Stuff'!C:AD,10,FALSE)</f>
        <v>0</v>
      </c>
      <c r="M348" s="227">
        <f>VLOOKUP(C348,'Talente &amp; Stuff'!C:AD,11,FALSE)</f>
        <v>0</v>
      </c>
      <c r="N348" s="225">
        <f>VLOOKUP(C348,'Talente &amp; Stuff'!C:AD,12,FALSE)</f>
        <v>0</v>
      </c>
      <c r="O348" s="226">
        <f>VLOOKUP(C348,'Talente &amp; Stuff'!C:AD,13,FALSE)</f>
        <v>0</v>
      </c>
      <c r="P348" s="227">
        <f>VLOOKUP(C348,'Talente &amp; Stuff'!C:AD,14,FALSE)</f>
        <v>0</v>
      </c>
      <c r="Q348" s="238">
        <f>VLOOKUP(C348,'Talente &amp; Stuff'!C:AD,15,FALSE)</f>
        <v>0</v>
      </c>
      <c r="R348" s="315">
        <f>VLOOKUP(C348,'Talente &amp; Stuff'!C:AD,16,FALSE)</f>
        <v>0</v>
      </c>
      <c r="S348" s="227">
        <f>VLOOKUP(C348,'Talente &amp; Stuff'!C:AD,17,FALSE)</f>
        <v>0</v>
      </c>
      <c r="T348" s="244">
        <f>VLOOKUP(C348,'Talente &amp; Stuff'!C:AD,18,FALSE)</f>
        <v>0</v>
      </c>
      <c r="U348" s="225">
        <f>VLOOKUP(C348,'Talente &amp; Stuff'!C:AD,19,FALSE)</f>
        <v>0</v>
      </c>
      <c r="V348" s="226">
        <f>VLOOKUP(C348,'Talente &amp; Stuff'!C:AD,20,FALSE)</f>
        <v>0</v>
      </c>
      <c r="W348" s="245">
        <f>VLOOKUP(C348,'Talente &amp; Stuff'!C:AD,21,FALSE)</f>
        <v>0</v>
      </c>
      <c r="X348" s="246">
        <f>VLOOKUP(C348,'Talente &amp; Stuff'!C:AD,22,FALSE)</f>
        <v>0</v>
      </c>
      <c r="Y348" s="252">
        <f>VLOOKUP(C348,Ausgewählte_Zauber_Zaubertänzer,23,FALSE)</f>
        <v>0</v>
      </c>
      <c r="Z348" s="309">
        <f>VLOOKUP(C348,Ausgewählte_Zauber_Zaubertänzer,24,FALSE)</f>
        <v>0</v>
      </c>
      <c r="AA348" s="246">
        <f>VLOOKUP(C348,'Talente &amp; Stuff'!C:AD,25,FALSE)</f>
        <v>0</v>
      </c>
      <c r="AB348" s="244">
        <f>VLOOKUP(C348,'Talente &amp; Stuff'!C:AD,26,FALSE)</f>
        <v>0</v>
      </c>
      <c r="AC348" s="246">
        <f>VLOOKUP(C348,'Talente &amp; Stuff'!C:AD,27,FALSE)</f>
        <v>0</v>
      </c>
      <c r="AD348" s="246">
        <f>VLOOKUP(C348,'Talente &amp; Stuff'!C:AD,28,FALSE)</f>
        <v>0</v>
      </c>
      <c r="AE348" s="343"/>
    </row>
    <row r="349" spans="1:31" ht="15.75" hidden="1" outlineLevel="1" collapsed="1" thickBot="1"/>
    <row r="350" spans="1:31" ht="15.75" collapsed="1" thickBot="1">
      <c r="A350" s="135" t="s">
        <v>311</v>
      </c>
    </row>
    <row r="351" spans="1:31" hidden="1" outlineLevel="1">
      <c r="B351" s="134" t="s">
        <v>327</v>
      </c>
    </row>
    <row r="352" spans="1:31" hidden="1" outlineLevel="2">
      <c r="B352" s="133">
        <v>1</v>
      </c>
      <c r="C352" s="162" t="s">
        <v>281</v>
      </c>
      <c r="D352" s="85" t="str">
        <f>VLOOKUP(C352,'Talente &amp; Stuff'!C:AD,2,FALSE)</f>
        <v>--/--/--</v>
      </c>
      <c r="E352" s="158" t="str">
        <f>VLOOKUP(C352,'Talente &amp; Stuff'!C:AD,3,FALSE)</f>
        <v>-</v>
      </c>
      <c r="F352" s="118">
        <f>VLOOKUP(C352,'Talente &amp; Stuff'!C:AD,4,FALSE)</f>
        <v>0</v>
      </c>
      <c r="G352" s="118">
        <f>VLOOKUP(C352,'Talente &amp; Stuff'!C:AD,5,FALSE)</f>
        <v>0</v>
      </c>
      <c r="H352" s="118">
        <f>VLOOKUP(C352,'Talente &amp; Stuff'!C:AD,6,FALSE)</f>
        <v>0</v>
      </c>
      <c r="I352" s="118">
        <f>VLOOKUP(C352,'Talente &amp; Stuff'!C:AD,7,FALSE)</f>
        <v>0</v>
      </c>
      <c r="J352" s="118">
        <f>VLOOKUP(C352,'Talente &amp; Stuff'!C:AD,8,FALSE)</f>
        <v>0</v>
      </c>
      <c r="K352" s="118">
        <f>VLOOKUP(C352,'Talente &amp; Stuff'!C:AD,9,FALSE)</f>
        <v>0</v>
      </c>
      <c r="L352" s="118">
        <f>VLOOKUP(C352,'Talente &amp; Stuff'!C:AD,10,FALSE)</f>
        <v>0</v>
      </c>
      <c r="M352" s="118">
        <f>VLOOKUP(C352,'Talente &amp; Stuff'!C:AD,11,FALSE)</f>
        <v>0</v>
      </c>
      <c r="N352" s="154">
        <f>VLOOKUP(C352,'Talente &amp; Stuff'!C:AD,12,FALSE)</f>
        <v>0</v>
      </c>
      <c r="O352" s="116">
        <f>VLOOKUP(C352,'Talente &amp; Stuff'!C:AD,13,FALSE)</f>
        <v>0</v>
      </c>
      <c r="P352" s="92">
        <f>VLOOKUP(C352,'Talente &amp; Stuff'!C:AD,14,FALSE)</f>
        <v>0</v>
      </c>
      <c r="Q352" s="118">
        <f>VLOOKUP(C352,'Talente &amp; Stuff'!C:AD,15,FALSE)</f>
        <v>0</v>
      </c>
      <c r="R352" s="118">
        <f>VLOOKUP(C352,'Talente &amp; Stuff'!C:AD,16,FALSE)</f>
        <v>0</v>
      </c>
      <c r="S352" s="118">
        <f>VLOOKUP(C352,'Talente &amp; Stuff'!C:AD,17,FALSE)</f>
        <v>0</v>
      </c>
      <c r="T352" s="91">
        <f>VLOOKUP(C352,'Talente &amp; Stuff'!C:AD,18,FALSE)</f>
        <v>0</v>
      </c>
      <c r="U352" s="116">
        <f>VLOOKUP(C352,'Talente &amp; Stuff'!C:AD,19,FALSE)</f>
        <v>0</v>
      </c>
      <c r="V352" s="116">
        <f>VLOOKUP(C352,'Talente &amp; Stuff'!C:AD,20,FALSE)</f>
        <v>0</v>
      </c>
      <c r="W352" s="116">
        <f>VLOOKUP(C352,'Talente &amp; Stuff'!C:AD,21,FALSE)</f>
        <v>0</v>
      </c>
      <c r="X352" s="158">
        <f>VLOOKUP(C352,'Talente &amp; Stuff'!C:AD,22,FALSE)</f>
        <v>0</v>
      </c>
      <c r="Y352" s="175">
        <f>VLOOKUP(C352,Ausgewählte_Rituale_Allgemein,23,FALSE)</f>
        <v>0</v>
      </c>
      <c r="Z352" s="198">
        <f>VLOOKUP(C352,Ausgewählte_Rituale_Allgemein,24,FALSE)</f>
        <v>0</v>
      </c>
      <c r="AA352" s="158">
        <f>VLOOKUP(C352,'Talente &amp; Stuff'!C:AD,25,FALSE)</f>
        <v>0</v>
      </c>
      <c r="AB352" s="91">
        <f>VLOOKUP(C352,'Talente &amp; Stuff'!C:AD,26,FALSE)</f>
        <v>0</v>
      </c>
      <c r="AC352" s="126">
        <f>VLOOKUP(C352,'Talente &amp; Stuff'!C:AD,27,FALSE)</f>
        <v>0</v>
      </c>
      <c r="AD352" s="158">
        <f>VLOOKUP(C352,'Talente &amp; Stuff'!C:AD,28,FALSE)</f>
        <v>0</v>
      </c>
      <c r="AE352" s="28"/>
    </row>
    <row r="353" spans="2:31" hidden="1" outlineLevel="2">
      <c r="B353" s="133">
        <v>2</v>
      </c>
      <c r="C353" s="163" t="s">
        <v>281</v>
      </c>
      <c r="D353" s="86" t="str">
        <f>VLOOKUP(C353,'Talente &amp; Stuff'!C:AD,2,FALSE)</f>
        <v>--/--/--</v>
      </c>
      <c r="E353" s="125" t="str">
        <f>VLOOKUP(C353,'Talente &amp; Stuff'!C:AD,3,FALSE)</f>
        <v>-</v>
      </c>
      <c r="F353" s="113">
        <f>VLOOKUP(C353,'Talente &amp; Stuff'!C:AD,4,FALSE)</f>
        <v>0</v>
      </c>
      <c r="G353" s="113">
        <f>VLOOKUP(C353,'Talente &amp; Stuff'!C:AD,5,FALSE)</f>
        <v>0</v>
      </c>
      <c r="H353" s="113">
        <f>VLOOKUP(C353,'Talente &amp; Stuff'!C:AD,6,FALSE)</f>
        <v>0</v>
      </c>
      <c r="I353" s="113">
        <f>VLOOKUP(C353,'Talente &amp; Stuff'!C:AD,7,FALSE)</f>
        <v>0</v>
      </c>
      <c r="J353" s="113">
        <f>VLOOKUP(C353,'Talente &amp; Stuff'!C:AD,8,FALSE)</f>
        <v>0</v>
      </c>
      <c r="K353" s="113">
        <f>VLOOKUP(C353,'Talente &amp; Stuff'!C:AD,9,FALSE)</f>
        <v>0</v>
      </c>
      <c r="L353" s="113">
        <f>VLOOKUP(C353,'Talente &amp; Stuff'!C:AD,10,FALSE)</f>
        <v>0</v>
      </c>
      <c r="M353" s="113">
        <f>VLOOKUP(C353,'Talente &amp; Stuff'!C:AD,11,FALSE)</f>
        <v>0</v>
      </c>
      <c r="N353" s="89">
        <f>VLOOKUP(C353,'Talente &amp; Stuff'!C:AD,12,FALSE)</f>
        <v>0</v>
      </c>
      <c r="O353" s="47">
        <f>VLOOKUP(C353,'Talente &amp; Stuff'!C:AD,13,FALSE)</f>
        <v>0</v>
      </c>
      <c r="P353" s="119">
        <f>VLOOKUP(C353,'Talente &amp; Stuff'!C:AD,14,FALSE)</f>
        <v>0</v>
      </c>
      <c r="Q353" s="113">
        <f>VLOOKUP(C353,'Talente &amp; Stuff'!C:AD,15,FALSE)</f>
        <v>0</v>
      </c>
      <c r="R353" s="113">
        <f>VLOOKUP(C353,'Talente &amp; Stuff'!C:AD,16,FALSE)</f>
        <v>0</v>
      </c>
      <c r="S353" s="113">
        <f>VLOOKUP(C353,'Talente &amp; Stuff'!C:AD,17,FALSE)</f>
        <v>0</v>
      </c>
      <c r="T353" s="160">
        <f>VLOOKUP(C353,'Talente &amp; Stuff'!C:AD,18,FALSE)</f>
        <v>0</v>
      </c>
      <c r="U353" s="47">
        <f>VLOOKUP(C353,'Talente &amp; Stuff'!C:AD,19,FALSE)</f>
        <v>0</v>
      </c>
      <c r="V353" s="47">
        <f>VLOOKUP(C353,'Talente &amp; Stuff'!C:AD,20,FALSE)</f>
        <v>0</v>
      </c>
      <c r="W353" s="47">
        <f>VLOOKUP(C353,'Talente &amp; Stuff'!C:AD,21,FALSE)</f>
        <v>0</v>
      </c>
      <c r="X353" s="125">
        <f>VLOOKUP(C353,'Talente &amp; Stuff'!C:AD,22,FALSE)</f>
        <v>0</v>
      </c>
      <c r="Y353" s="175">
        <f>VLOOKUP(C353,Ausgewählte_Rituale_Allgemein,23,FALSE)</f>
        <v>0</v>
      </c>
      <c r="Z353" s="198">
        <f>VLOOKUP(C353,Ausgewählte_Rituale_Allgemein,24,FALSE)</f>
        <v>0</v>
      </c>
      <c r="AA353" s="125">
        <f>VLOOKUP(C353,'Talente &amp; Stuff'!C:AD,25,FALSE)</f>
        <v>0</v>
      </c>
      <c r="AB353" s="160">
        <f>VLOOKUP(C353,'Talente &amp; Stuff'!C:AD,26,FALSE)</f>
        <v>0</v>
      </c>
      <c r="AC353" s="127">
        <f>VLOOKUP(C353,'Talente &amp; Stuff'!C:AD,27,FALSE)</f>
        <v>0</v>
      </c>
      <c r="AD353" s="125">
        <f>VLOOKUP(C353,'Talente &amp; Stuff'!C:AD,28,FALSE)</f>
        <v>0</v>
      </c>
      <c r="AE353" s="28"/>
    </row>
    <row r="354" spans="2:31" s="148" customFormat="1" hidden="1" outlineLevel="2">
      <c r="B354" s="148">
        <v>3</v>
      </c>
      <c r="C354" s="163" t="s">
        <v>281</v>
      </c>
      <c r="D354" s="86" t="str">
        <f>VLOOKUP(C354,'Talente &amp; Stuff'!C:AD,2,FALSE)</f>
        <v>--/--/--</v>
      </c>
      <c r="E354" s="125" t="str">
        <f>VLOOKUP(C354,'Talente &amp; Stuff'!C:AD,3,FALSE)</f>
        <v>-</v>
      </c>
      <c r="F354" s="113">
        <f>VLOOKUP(C354,'Talente &amp; Stuff'!C:AD,4,FALSE)</f>
        <v>0</v>
      </c>
      <c r="G354" s="113">
        <f>VLOOKUP(C354,'Talente &amp; Stuff'!C:AD,5,FALSE)</f>
        <v>0</v>
      </c>
      <c r="H354" s="113">
        <f>VLOOKUP(C354,'Talente &amp; Stuff'!C:AD,6,FALSE)</f>
        <v>0</v>
      </c>
      <c r="I354" s="113">
        <f>VLOOKUP(C354,'Talente &amp; Stuff'!C:AD,7,FALSE)</f>
        <v>0</v>
      </c>
      <c r="J354" s="113">
        <f>VLOOKUP(C354,'Talente &amp; Stuff'!C:AD,8,FALSE)</f>
        <v>0</v>
      </c>
      <c r="K354" s="113">
        <f>VLOOKUP(C354,'Talente &amp; Stuff'!C:AD,9,FALSE)</f>
        <v>0</v>
      </c>
      <c r="L354" s="113">
        <f>VLOOKUP(C354,'Talente &amp; Stuff'!C:AD,10,FALSE)</f>
        <v>0</v>
      </c>
      <c r="M354" s="113">
        <f>VLOOKUP(C354,'Talente &amp; Stuff'!C:AD,11,FALSE)</f>
        <v>0</v>
      </c>
      <c r="N354" s="89">
        <f>VLOOKUP(C354,'Talente &amp; Stuff'!C:AD,12,FALSE)</f>
        <v>0</v>
      </c>
      <c r="O354" s="47">
        <f>VLOOKUP(C354,'Talente &amp; Stuff'!C:AD,13,FALSE)</f>
        <v>0</v>
      </c>
      <c r="P354" s="119">
        <f>VLOOKUP(C354,'Talente &amp; Stuff'!C:AD,14,FALSE)</f>
        <v>0</v>
      </c>
      <c r="Q354" s="113">
        <f>VLOOKUP(C354,'Talente &amp; Stuff'!C:AD,15,FALSE)</f>
        <v>0</v>
      </c>
      <c r="R354" s="113">
        <f>VLOOKUP(C354,'Talente &amp; Stuff'!C:AD,16,FALSE)</f>
        <v>0</v>
      </c>
      <c r="S354" s="113">
        <f>VLOOKUP(C354,'Talente &amp; Stuff'!C:AD,17,FALSE)</f>
        <v>0</v>
      </c>
      <c r="T354" s="160">
        <f>VLOOKUP(C354,'Talente &amp; Stuff'!C:AD,18,FALSE)</f>
        <v>0</v>
      </c>
      <c r="U354" s="47">
        <f>VLOOKUP(C354,'Talente &amp; Stuff'!C:AD,19,FALSE)</f>
        <v>0</v>
      </c>
      <c r="V354" s="47">
        <f>VLOOKUP(C354,'Talente &amp; Stuff'!C:AD,20,FALSE)</f>
        <v>0</v>
      </c>
      <c r="W354" s="47">
        <f>VLOOKUP(C354,'Talente &amp; Stuff'!C:AD,21,FALSE)</f>
        <v>0</v>
      </c>
      <c r="X354" s="125">
        <f>VLOOKUP(C354,'Talente &amp; Stuff'!C:AD,22,FALSE)</f>
        <v>0</v>
      </c>
      <c r="Y354" s="175">
        <f>VLOOKUP(C354,Ausgewählte_Rituale_Allgemein,23,FALSE)</f>
        <v>0</v>
      </c>
      <c r="Z354" s="198">
        <f>VLOOKUP(C354,Ausgewählte_Rituale_Allgemein,24,FALSE)</f>
        <v>0</v>
      </c>
      <c r="AA354" s="125">
        <f>VLOOKUP(C354,'Talente &amp; Stuff'!C:AD,25,FALSE)</f>
        <v>0</v>
      </c>
      <c r="AB354" s="160">
        <f>VLOOKUP(C354,'Talente &amp; Stuff'!C:AD,26,FALSE)</f>
        <v>0</v>
      </c>
      <c r="AC354" s="127">
        <f>VLOOKUP(C354,'Talente &amp; Stuff'!C:AD,27,FALSE)</f>
        <v>0</v>
      </c>
      <c r="AD354" s="125">
        <f>VLOOKUP(C354,'Talente &amp; Stuff'!C:AD,28,FALSE)</f>
        <v>0</v>
      </c>
      <c r="AE354" s="28"/>
    </row>
    <row r="355" spans="2:31" s="138" customFormat="1" hidden="1" outlineLevel="2">
      <c r="B355" s="148">
        <v>4</v>
      </c>
      <c r="C355" s="164" t="s">
        <v>281</v>
      </c>
      <c r="D355" s="23" t="str">
        <f>VLOOKUP(C355,'Talente &amp; Stuff'!C:AD,2,FALSE)</f>
        <v>--/--/--</v>
      </c>
      <c r="E355" s="159" t="str">
        <f>VLOOKUP(C355,'Talente &amp; Stuff'!C:AD,3,FALSE)</f>
        <v>-</v>
      </c>
      <c r="F355" s="122">
        <f>VLOOKUP(C355,'Talente &amp; Stuff'!C:AD,4,FALSE)</f>
        <v>0</v>
      </c>
      <c r="G355" s="122">
        <f>VLOOKUP(C355,'Talente &amp; Stuff'!C:AD,5,FALSE)</f>
        <v>0</v>
      </c>
      <c r="H355" s="122">
        <f>VLOOKUP(C355,'Talente &amp; Stuff'!C:AD,6,FALSE)</f>
        <v>0</v>
      </c>
      <c r="I355" s="122">
        <f>VLOOKUP(C355,'Talente &amp; Stuff'!C:AD,7,FALSE)</f>
        <v>0</v>
      </c>
      <c r="J355" s="122">
        <f>VLOOKUP(C355,'Talente &amp; Stuff'!C:AD,8,FALSE)</f>
        <v>0</v>
      </c>
      <c r="K355" s="122">
        <f>VLOOKUP(C355,'Talente &amp; Stuff'!C:AD,9,FALSE)</f>
        <v>0</v>
      </c>
      <c r="L355" s="122">
        <f>VLOOKUP(C355,'Talente &amp; Stuff'!C:AD,10,FALSE)</f>
        <v>0</v>
      </c>
      <c r="M355" s="122">
        <f>VLOOKUP(C355,'Talente &amp; Stuff'!C:AD,11,FALSE)</f>
        <v>0</v>
      </c>
      <c r="N355" s="90">
        <f>VLOOKUP(C355,'Talente &amp; Stuff'!C:AD,12,FALSE)</f>
        <v>0</v>
      </c>
      <c r="O355" s="88">
        <f>VLOOKUP(C355,'Talente &amp; Stuff'!C:AD,13,FALSE)</f>
        <v>0</v>
      </c>
      <c r="P355" s="123">
        <f>VLOOKUP(C355,'Talente &amp; Stuff'!C:AD,14,FALSE)</f>
        <v>0</v>
      </c>
      <c r="Q355" s="122">
        <f>VLOOKUP(C355,'Talente &amp; Stuff'!C:AD,15,FALSE)</f>
        <v>0</v>
      </c>
      <c r="R355" s="122">
        <f>VLOOKUP(C355,'Talente &amp; Stuff'!C:AD,16,FALSE)</f>
        <v>0</v>
      </c>
      <c r="S355" s="122">
        <f>VLOOKUP(C355,'Talente &amp; Stuff'!C:AD,17,FALSE)</f>
        <v>0</v>
      </c>
      <c r="T355" s="161">
        <f>VLOOKUP(C355,'Talente &amp; Stuff'!C:AD,18,FALSE)</f>
        <v>0</v>
      </c>
      <c r="U355" s="88">
        <f>VLOOKUP(C355,'Talente &amp; Stuff'!C:AD,19,FALSE)</f>
        <v>0</v>
      </c>
      <c r="V355" s="88">
        <f>VLOOKUP(C355,'Talente &amp; Stuff'!C:AD,20,FALSE)</f>
        <v>0</v>
      </c>
      <c r="W355" s="88">
        <f>VLOOKUP(C355,'Talente &amp; Stuff'!C:AD,21,FALSE)</f>
        <v>0</v>
      </c>
      <c r="X355" s="159">
        <f>VLOOKUP(C355,'Talente &amp; Stuff'!C:AD,22,FALSE)</f>
        <v>0</v>
      </c>
      <c r="Y355" s="175">
        <f>VLOOKUP(C355,Ausgewählte_Rituale_Allgemein,23,FALSE)</f>
        <v>0</v>
      </c>
      <c r="Z355" s="198">
        <f>VLOOKUP(C355,Ausgewählte_Rituale_Allgemein,24,FALSE)</f>
        <v>0</v>
      </c>
      <c r="AA355" s="159">
        <f>VLOOKUP(C355,'Talente &amp; Stuff'!C:AD,25,FALSE)</f>
        <v>0</v>
      </c>
      <c r="AB355" s="161">
        <f>VLOOKUP(C355,'Talente &amp; Stuff'!C:AD,26,FALSE)</f>
        <v>0</v>
      </c>
      <c r="AC355" s="128">
        <f>VLOOKUP(C355,'Talente &amp; Stuff'!C:AD,27,FALSE)</f>
        <v>0</v>
      </c>
      <c r="AD355" s="159">
        <f>VLOOKUP(C355,'Talente &amp; Stuff'!C:AD,28,FALSE)</f>
        <v>0</v>
      </c>
      <c r="AE355" s="28"/>
    </row>
    <row r="356" spans="2:31" hidden="1" outlineLevel="1" collapsed="1">
      <c r="B356" s="134" t="s">
        <v>331</v>
      </c>
      <c r="C356" s="83"/>
      <c r="D356" s="84"/>
      <c r="E356" s="84"/>
      <c r="F356" s="148"/>
      <c r="G356" s="148"/>
      <c r="H356" s="148"/>
      <c r="I356" s="148"/>
      <c r="J356" s="148"/>
      <c r="K356" s="148"/>
      <c r="L356" s="148"/>
      <c r="M356" s="148"/>
      <c r="N356" s="148"/>
      <c r="O356" s="148"/>
      <c r="P356" s="148"/>
      <c r="Q356" s="148"/>
      <c r="R356" s="148"/>
      <c r="S356" s="148"/>
      <c r="T356" s="148"/>
      <c r="U356" s="148"/>
      <c r="V356" s="148"/>
      <c r="W356" s="148"/>
      <c r="X356" s="148"/>
    </row>
    <row r="357" spans="2:31" s="138" customFormat="1" hidden="1" outlineLevel="2">
      <c r="B357" s="138">
        <v>1</v>
      </c>
      <c r="C357" s="162" t="s">
        <v>281</v>
      </c>
      <c r="D357" s="85" t="str">
        <f>VLOOKUP(C357,'Talente &amp; Stuff'!C:AD,2,FALSE)</f>
        <v>--/--/--</v>
      </c>
      <c r="E357" s="158" t="str">
        <f>VLOOKUP(C357,'Talente &amp; Stuff'!C:AD,3,FALSE)</f>
        <v>-</v>
      </c>
      <c r="F357" s="118">
        <f>VLOOKUP(C357,'Talente &amp; Stuff'!C:AD,4,FALSE)</f>
        <v>0</v>
      </c>
      <c r="G357" s="118">
        <f>VLOOKUP(C357,'Talente &amp; Stuff'!C:AD,5,FALSE)</f>
        <v>0</v>
      </c>
      <c r="H357" s="118">
        <f>VLOOKUP(C357,'Talente &amp; Stuff'!C:AD,6,FALSE)</f>
        <v>0</v>
      </c>
      <c r="I357" s="118">
        <f>VLOOKUP(C357,'Talente &amp; Stuff'!C:AD,7,FALSE)</f>
        <v>0</v>
      </c>
      <c r="J357" s="118">
        <f>VLOOKUP(C357,'Talente &amp; Stuff'!C:AD,8,FALSE)</f>
        <v>0</v>
      </c>
      <c r="K357" s="118">
        <f>VLOOKUP(C357,'Talente &amp; Stuff'!C:AD,9,FALSE)</f>
        <v>0</v>
      </c>
      <c r="L357" s="118">
        <f>VLOOKUP(C357,'Talente &amp; Stuff'!C:AD,10,FALSE)</f>
        <v>0</v>
      </c>
      <c r="M357" s="118">
        <f>VLOOKUP(C357,'Talente &amp; Stuff'!C:AD,11,FALSE)</f>
        <v>0</v>
      </c>
      <c r="N357" s="154">
        <f>VLOOKUP(C357,'Talente &amp; Stuff'!C:AD,12,FALSE)</f>
        <v>0</v>
      </c>
      <c r="O357" s="116">
        <f>VLOOKUP(C357,'Talente &amp; Stuff'!C:AD,13,FALSE)</f>
        <v>0</v>
      </c>
      <c r="P357" s="92">
        <f>VLOOKUP(C357,'Talente &amp; Stuff'!C:AD,14,FALSE)</f>
        <v>0</v>
      </c>
      <c r="Q357" s="118">
        <f>VLOOKUP(C357,'Talente &amp; Stuff'!C:AD,15,FALSE)</f>
        <v>0</v>
      </c>
      <c r="R357" s="118">
        <f>VLOOKUP(C357,'Talente &amp; Stuff'!C:AD,16,FALSE)</f>
        <v>0</v>
      </c>
      <c r="S357" s="118">
        <f>VLOOKUP(C357,'Talente &amp; Stuff'!C:AD,17,FALSE)</f>
        <v>0</v>
      </c>
      <c r="T357" s="91">
        <f>VLOOKUP(C357,'Talente &amp; Stuff'!C:AD,18,FALSE)</f>
        <v>0</v>
      </c>
      <c r="U357" s="116">
        <f>VLOOKUP(C357,'Talente &amp; Stuff'!C:AD,19,FALSE)</f>
        <v>0</v>
      </c>
      <c r="V357" s="116">
        <f>VLOOKUP(C357,'Talente &amp; Stuff'!C:AD,20,FALSE)</f>
        <v>0</v>
      </c>
      <c r="W357" s="116">
        <f>VLOOKUP(C357,'Talente &amp; Stuff'!C:AD,21,FALSE)</f>
        <v>0</v>
      </c>
      <c r="X357" s="158">
        <f>VLOOKUP(C357,'Talente &amp; Stuff'!C:AD,22,FALSE)</f>
        <v>0</v>
      </c>
      <c r="Y357" s="175">
        <f t="shared" ref="Y357:Y365" si="24">VLOOKUP(C357,Ausgewählte_Rituale_Druiden,23,FALSE)</f>
        <v>0</v>
      </c>
      <c r="Z357" s="198">
        <f t="shared" ref="Z357:Z365" si="25">VLOOKUP(C357,Ausgewählte_Rituale_Druiden,24,FALSE)</f>
        <v>0</v>
      </c>
      <c r="AA357" s="158">
        <f>VLOOKUP(C357,'Talente &amp; Stuff'!C:AD,25,FALSE)</f>
        <v>0</v>
      </c>
      <c r="AB357" s="91">
        <f>VLOOKUP(C357,'Talente &amp; Stuff'!C:AD,26,FALSE)</f>
        <v>0</v>
      </c>
      <c r="AC357" s="126">
        <f>VLOOKUP(C357,'Talente &amp; Stuff'!C:AD,27,FALSE)</f>
        <v>0</v>
      </c>
      <c r="AD357" s="158">
        <f>VLOOKUP(C357,'Talente &amp; Stuff'!C:AD,28,FALSE)</f>
        <v>0</v>
      </c>
      <c r="AE357" s="28"/>
    </row>
    <row r="358" spans="2:31" s="138" customFormat="1" hidden="1" outlineLevel="2">
      <c r="B358" s="138">
        <v>2</v>
      </c>
      <c r="C358" s="163" t="s">
        <v>281</v>
      </c>
      <c r="D358" s="86" t="str">
        <f>VLOOKUP(C358,'Talente &amp; Stuff'!C:AD,2,FALSE)</f>
        <v>--/--/--</v>
      </c>
      <c r="E358" s="125" t="str">
        <f>VLOOKUP(C358,'Talente &amp; Stuff'!C:AD,3,FALSE)</f>
        <v>-</v>
      </c>
      <c r="F358" s="113">
        <f>VLOOKUP(C358,'Talente &amp; Stuff'!C:AD,4,FALSE)</f>
        <v>0</v>
      </c>
      <c r="G358" s="113">
        <f>VLOOKUP(C358,'Talente &amp; Stuff'!C:AD,5,FALSE)</f>
        <v>0</v>
      </c>
      <c r="H358" s="113">
        <f>VLOOKUP(C358,'Talente &amp; Stuff'!C:AD,6,FALSE)</f>
        <v>0</v>
      </c>
      <c r="I358" s="113">
        <f>VLOOKUP(C358,'Talente &amp; Stuff'!C:AD,7,FALSE)</f>
        <v>0</v>
      </c>
      <c r="J358" s="113">
        <f>VLOOKUP(C358,'Talente &amp; Stuff'!C:AD,8,FALSE)</f>
        <v>0</v>
      </c>
      <c r="K358" s="113">
        <f>VLOOKUP(C358,'Talente &amp; Stuff'!C:AD,9,FALSE)</f>
        <v>0</v>
      </c>
      <c r="L358" s="113">
        <f>VLOOKUP(C358,'Talente &amp; Stuff'!C:AD,10,FALSE)</f>
        <v>0</v>
      </c>
      <c r="M358" s="113">
        <f>VLOOKUP(C358,'Talente &amp; Stuff'!C:AD,11,FALSE)</f>
        <v>0</v>
      </c>
      <c r="N358" s="89">
        <f>VLOOKUP(C358,'Talente &amp; Stuff'!C:AD,12,FALSE)</f>
        <v>0</v>
      </c>
      <c r="O358" s="47">
        <f>VLOOKUP(C358,'Talente &amp; Stuff'!C:AD,13,FALSE)</f>
        <v>0</v>
      </c>
      <c r="P358" s="119">
        <f>VLOOKUP(C358,'Talente &amp; Stuff'!C:AD,14,FALSE)</f>
        <v>0</v>
      </c>
      <c r="Q358" s="113">
        <f>VLOOKUP(C358,'Talente &amp; Stuff'!C:AD,15,FALSE)</f>
        <v>0</v>
      </c>
      <c r="R358" s="113">
        <f>VLOOKUP(C358,'Talente &amp; Stuff'!C:AD,16,FALSE)</f>
        <v>0</v>
      </c>
      <c r="S358" s="113">
        <f>VLOOKUP(C358,'Talente &amp; Stuff'!C:AD,17,FALSE)</f>
        <v>0</v>
      </c>
      <c r="T358" s="160">
        <f>VLOOKUP(C358,'Talente &amp; Stuff'!C:AD,18,FALSE)</f>
        <v>0</v>
      </c>
      <c r="U358" s="47">
        <f>VLOOKUP(C358,'Talente &amp; Stuff'!C:AD,19,FALSE)</f>
        <v>0</v>
      </c>
      <c r="V358" s="47">
        <f>VLOOKUP(C358,'Talente &amp; Stuff'!C:AD,20,FALSE)</f>
        <v>0</v>
      </c>
      <c r="W358" s="47">
        <f>VLOOKUP(C358,'Talente &amp; Stuff'!C:AD,21,FALSE)</f>
        <v>0</v>
      </c>
      <c r="X358" s="125">
        <f>VLOOKUP(C358,'Talente &amp; Stuff'!C:AD,22,FALSE)</f>
        <v>0</v>
      </c>
      <c r="Y358" s="175">
        <f t="shared" si="24"/>
        <v>0</v>
      </c>
      <c r="Z358" s="198">
        <f t="shared" si="25"/>
        <v>0</v>
      </c>
      <c r="AA358" s="125">
        <f>VLOOKUP(C358,'Talente &amp; Stuff'!C:AD,25,FALSE)</f>
        <v>0</v>
      </c>
      <c r="AB358" s="160">
        <f>VLOOKUP(C358,'Talente &amp; Stuff'!C:AD,26,FALSE)</f>
        <v>0</v>
      </c>
      <c r="AC358" s="127">
        <f>VLOOKUP(C358,'Talente &amp; Stuff'!C:AD,27,FALSE)</f>
        <v>0</v>
      </c>
      <c r="AD358" s="125">
        <f>VLOOKUP(C358,'Talente &amp; Stuff'!C:AD,28,FALSE)</f>
        <v>0</v>
      </c>
      <c r="AE358" s="28"/>
    </row>
    <row r="359" spans="2:31" s="148" customFormat="1" hidden="1" outlineLevel="2">
      <c r="B359" s="148">
        <v>3</v>
      </c>
      <c r="C359" s="163" t="s">
        <v>281</v>
      </c>
      <c r="D359" s="86" t="str">
        <f>VLOOKUP(C359,'Talente &amp; Stuff'!C:AD,2,FALSE)</f>
        <v>--/--/--</v>
      </c>
      <c r="E359" s="125" t="str">
        <f>VLOOKUP(C359,'Talente &amp; Stuff'!C:AD,3,FALSE)</f>
        <v>-</v>
      </c>
      <c r="F359" s="113">
        <f>VLOOKUP(C359,'Talente &amp; Stuff'!C:AD,4,FALSE)</f>
        <v>0</v>
      </c>
      <c r="G359" s="113">
        <f>VLOOKUP(C359,'Talente &amp; Stuff'!C:AD,5,FALSE)</f>
        <v>0</v>
      </c>
      <c r="H359" s="113">
        <f>VLOOKUP(C359,'Talente &amp; Stuff'!C:AD,6,FALSE)</f>
        <v>0</v>
      </c>
      <c r="I359" s="113">
        <f>VLOOKUP(C359,'Talente &amp; Stuff'!C:AD,7,FALSE)</f>
        <v>0</v>
      </c>
      <c r="J359" s="113">
        <f>VLOOKUP(C359,'Talente &amp; Stuff'!C:AD,8,FALSE)</f>
        <v>0</v>
      </c>
      <c r="K359" s="113">
        <f>VLOOKUP(C359,'Talente &amp; Stuff'!C:AD,9,FALSE)</f>
        <v>0</v>
      </c>
      <c r="L359" s="113">
        <f>VLOOKUP(C359,'Talente &amp; Stuff'!C:AD,10,FALSE)</f>
        <v>0</v>
      </c>
      <c r="M359" s="113">
        <f>VLOOKUP(C359,'Talente &amp; Stuff'!C:AD,11,FALSE)</f>
        <v>0</v>
      </c>
      <c r="N359" s="89">
        <f>VLOOKUP(C359,'Talente &amp; Stuff'!C:AD,12,FALSE)</f>
        <v>0</v>
      </c>
      <c r="O359" s="47">
        <f>VLOOKUP(C359,'Talente &amp; Stuff'!C:AD,13,FALSE)</f>
        <v>0</v>
      </c>
      <c r="P359" s="119">
        <f>VLOOKUP(C359,'Talente &amp; Stuff'!C:AD,14,FALSE)</f>
        <v>0</v>
      </c>
      <c r="Q359" s="113">
        <f>VLOOKUP(C359,'Talente &amp; Stuff'!C:AD,15,FALSE)</f>
        <v>0</v>
      </c>
      <c r="R359" s="113">
        <f>VLOOKUP(C359,'Talente &amp; Stuff'!C:AD,16,FALSE)</f>
        <v>0</v>
      </c>
      <c r="S359" s="113">
        <f>VLOOKUP(C359,'Talente &amp; Stuff'!C:AD,17,FALSE)</f>
        <v>0</v>
      </c>
      <c r="T359" s="160">
        <f>VLOOKUP(C359,'Talente &amp; Stuff'!C:AD,18,FALSE)</f>
        <v>0</v>
      </c>
      <c r="U359" s="47">
        <f>VLOOKUP(C359,'Talente &amp; Stuff'!C:AD,19,FALSE)</f>
        <v>0</v>
      </c>
      <c r="V359" s="47">
        <f>VLOOKUP(C359,'Talente &amp; Stuff'!C:AD,20,FALSE)</f>
        <v>0</v>
      </c>
      <c r="W359" s="47">
        <f>VLOOKUP(C359,'Talente &amp; Stuff'!C:AD,21,FALSE)</f>
        <v>0</v>
      </c>
      <c r="X359" s="125">
        <f>VLOOKUP(C359,'Talente &amp; Stuff'!C:AD,22,FALSE)</f>
        <v>0</v>
      </c>
      <c r="Y359" s="175">
        <f t="shared" si="24"/>
        <v>0</v>
      </c>
      <c r="Z359" s="198">
        <f t="shared" si="25"/>
        <v>0</v>
      </c>
      <c r="AA359" s="125">
        <f>VLOOKUP(C359,'Talente &amp; Stuff'!C:AD,25,FALSE)</f>
        <v>0</v>
      </c>
      <c r="AB359" s="160">
        <f>VLOOKUP(C359,'Talente &amp; Stuff'!C:AD,26,FALSE)</f>
        <v>0</v>
      </c>
      <c r="AC359" s="127">
        <f>VLOOKUP(C359,'Talente &amp; Stuff'!C:AD,27,FALSE)</f>
        <v>0</v>
      </c>
      <c r="AD359" s="125">
        <f>VLOOKUP(C359,'Talente &amp; Stuff'!C:AD,28,FALSE)</f>
        <v>0</v>
      </c>
      <c r="AE359" s="28"/>
    </row>
    <row r="360" spans="2:31" s="148" customFormat="1" hidden="1" outlineLevel="2">
      <c r="B360" s="148">
        <v>4</v>
      </c>
      <c r="C360" s="163" t="s">
        <v>281</v>
      </c>
      <c r="D360" s="86" t="str">
        <f>VLOOKUP(C360,'Talente &amp; Stuff'!C:AD,2,FALSE)</f>
        <v>--/--/--</v>
      </c>
      <c r="E360" s="125" t="str">
        <f>VLOOKUP(C360,'Talente &amp; Stuff'!C:AD,3,FALSE)</f>
        <v>-</v>
      </c>
      <c r="F360" s="113">
        <f>VLOOKUP(C360,'Talente &amp; Stuff'!C:AD,4,FALSE)</f>
        <v>0</v>
      </c>
      <c r="G360" s="113">
        <f>VLOOKUP(C360,'Talente &amp; Stuff'!C:AD,5,FALSE)</f>
        <v>0</v>
      </c>
      <c r="H360" s="113">
        <f>VLOOKUP(C360,'Talente &amp; Stuff'!C:AD,6,FALSE)</f>
        <v>0</v>
      </c>
      <c r="I360" s="113">
        <f>VLOOKUP(C360,'Talente &amp; Stuff'!C:AD,7,FALSE)</f>
        <v>0</v>
      </c>
      <c r="J360" s="113">
        <f>VLOOKUP(C360,'Talente &amp; Stuff'!C:AD,8,FALSE)</f>
        <v>0</v>
      </c>
      <c r="K360" s="113">
        <f>VLOOKUP(C360,'Talente &amp; Stuff'!C:AD,9,FALSE)</f>
        <v>0</v>
      </c>
      <c r="L360" s="113">
        <f>VLOOKUP(C360,'Talente &amp; Stuff'!C:AD,10,FALSE)</f>
        <v>0</v>
      </c>
      <c r="M360" s="113">
        <f>VLOOKUP(C360,'Talente &amp; Stuff'!C:AD,11,FALSE)</f>
        <v>0</v>
      </c>
      <c r="N360" s="89">
        <f>VLOOKUP(C360,'Talente &amp; Stuff'!C:AD,12,FALSE)</f>
        <v>0</v>
      </c>
      <c r="O360" s="47">
        <f>VLOOKUP(C360,'Talente &amp; Stuff'!C:AD,13,FALSE)</f>
        <v>0</v>
      </c>
      <c r="P360" s="119">
        <f>VLOOKUP(C360,'Talente &amp; Stuff'!C:AD,14,FALSE)</f>
        <v>0</v>
      </c>
      <c r="Q360" s="113">
        <f>VLOOKUP(C360,'Talente &amp; Stuff'!C:AD,15,FALSE)</f>
        <v>0</v>
      </c>
      <c r="R360" s="113">
        <f>VLOOKUP(C360,'Talente &amp; Stuff'!C:AD,16,FALSE)</f>
        <v>0</v>
      </c>
      <c r="S360" s="113">
        <f>VLOOKUP(C360,'Talente &amp; Stuff'!C:AD,17,FALSE)</f>
        <v>0</v>
      </c>
      <c r="T360" s="160">
        <f>VLOOKUP(C360,'Talente &amp; Stuff'!C:AD,18,FALSE)</f>
        <v>0</v>
      </c>
      <c r="U360" s="47">
        <f>VLOOKUP(C360,'Talente &amp; Stuff'!C:AD,19,FALSE)</f>
        <v>0</v>
      </c>
      <c r="V360" s="47">
        <f>VLOOKUP(C360,'Talente &amp; Stuff'!C:AD,20,FALSE)</f>
        <v>0</v>
      </c>
      <c r="W360" s="47">
        <f>VLOOKUP(C360,'Talente &amp; Stuff'!C:AD,21,FALSE)</f>
        <v>0</v>
      </c>
      <c r="X360" s="125">
        <f>VLOOKUP(C360,'Talente &amp; Stuff'!C:AD,22,FALSE)</f>
        <v>0</v>
      </c>
      <c r="Y360" s="175">
        <f t="shared" si="24"/>
        <v>0</v>
      </c>
      <c r="Z360" s="198">
        <f t="shared" si="25"/>
        <v>0</v>
      </c>
      <c r="AA360" s="125">
        <f>VLOOKUP(C360,'Talente &amp; Stuff'!C:AD,25,FALSE)</f>
        <v>0</v>
      </c>
      <c r="AB360" s="160">
        <f>VLOOKUP(C360,'Talente &amp; Stuff'!C:AD,26,FALSE)</f>
        <v>0</v>
      </c>
      <c r="AC360" s="127">
        <f>VLOOKUP(C360,'Talente &amp; Stuff'!C:AD,27,FALSE)</f>
        <v>0</v>
      </c>
      <c r="AD360" s="125">
        <f>VLOOKUP(C360,'Talente &amp; Stuff'!C:AD,28,FALSE)</f>
        <v>0</v>
      </c>
      <c r="AE360" s="28"/>
    </row>
    <row r="361" spans="2:31" s="148" customFormat="1" hidden="1" outlineLevel="2">
      <c r="B361" s="148">
        <v>5</v>
      </c>
      <c r="C361" s="163" t="s">
        <v>281</v>
      </c>
      <c r="D361" s="86" t="str">
        <f>VLOOKUP(C361,'Talente &amp; Stuff'!C:AD,2,FALSE)</f>
        <v>--/--/--</v>
      </c>
      <c r="E361" s="125" t="str">
        <f>VLOOKUP(C361,'Talente &amp; Stuff'!C:AD,3,FALSE)</f>
        <v>-</v>
      </c>
      <c r="F361" s="113">
        <f>VLOOKUP(C361,'Talente &amp; Stuff'!C:AD,4,FALSE)</f>
        <v>0</v>
      </c>
      <c r="G361" s="113">
        <f>VLOOKUP(C361,'Talente &amp; Stuff'!C:AD,5,FALSE)</f>
        <v>0</v>
      </c>
      <c r="H361" s="113">
        <f>VLOOKUP(C361,'Talente &amp; Stuff'!C:AD,6,FALSE)</f>
        <v>0</v>
      </c>
      <c r="I361" s="113">
        <f>VLOOKUP(C361,'Talente &amp; Stuff'!C:AD,7,FALSE)</f>
        <v>0</v>
      </c>
      <c r="J361" s="113">
        <f>VLOOKUP(C361,'Talente &amp; Stuff'!C:AD,8,FALSE)</f>
        <v>0</v>
      </c>
      <c r="K361" s="113">
        <f>VLOOKUP(C361,'Talente &amp; Stuff'!C:AD,9,FALSE)</f>
        <v>0</v>
      </c>
      <c r="L361" s="113">
        <f>VLOOKUP(C361,'Talente &amp; Stuff'!C:AD,10,FALSE)</f>
        <v>0</v>
      </c>
      <c r="M361" s="113">
        <f>VLOOKUP(C361,'Talente &amp; Stuff'!C:AD,11,FALSE)</f>
        <v>0</v>
      </c>
      <c r="N361" s="89">
        <f>VLOOKUP(C361,'Talente &amp; Stuff'!C:AD,12,FALSE)</f>
        <v>0</v>
      </c>
      <c r="O361" s="47">
        <f>VLOOKUP(C361,'Talente &amp; Stuff'!C:AD,13,FALSE)</f>
        <v>0</v>
      </c>
      <c r="P361" s="119">
        <f>VLOOKUP(C361,'Talente &amp; Stuff'!C:AD,14,FALSE)</f>
        <v>0</v>
      </c>
      <c r="Q361" s="113">
        <f>VLOOKUP(C361,'Talente &amp; Stuff'!C:AD,15,FALSE)</f>
        <v>0</v>
      </c>
      <c r="R361" s="113">
        <f>VLOOKUP(C361,'Talente &amp; Stuff'!C:AD,16,FALSE)</f>
        <v>0</v>
      </c>
      <c r="S361" s="113">
        <f>VLOOKUP(C361,'Talente &amp; Stuff'!C:AD,17,FALSE)</f>
        <v>0</v>
      </c>
      <c r="T361" s="160">
        <f>VLOOKUP(C361,'Talente &amp; Stuff'!C:AD,18,FALSE)</f>
        <v>0</v>
      </c>
      <c r="U361" s="47">
        <f>VLOOKUP(C361,'Talente &amp; Stuff'!C:AD,19,FALSE)</f>
        <v>0</v>
      </c>
      <c r="V361" s="47">
        <f>VLOOKUP(C361,'Talente &amp; Stuff'!C:AD,20,FALSE)</f>
        <v>0</v>
      </c>
      <c r="W361" s="47">
        <f>VLOOKUP(C361,'Talente &amp; Stuff'!C:AD,21,FALSE)</f>
        <v>0</v>
      </c>
      <c r="X361" s="125">
        <f>VLOOKUP(C361,'Talente &amp; Stuff'!C:AD,22,FALSE)</f>
        <v>0</v>
      </c>
      <c r="Y361" s="175">
        <f t="shared" si="24"/>
        <v>0</v>
      </c>
      <c r="Z361" s="198">
        <f t="shared" si="25"/>
        <v>0</v>
      </c>
      <c r="AA361" s="125">
        <f>VLOOKUP(C361,'Talente &amp; Stuff'!C:AD,25,FALSE)</f>
        <v>0</v>
      </c>
      <c r="AB361" s="160">
        <f>VLOOKUP(C361,'Talente &amp; Stuff'!C:AD,26,FALSE)</f>
        <v>0</v>
      </c>
      <c r="AC361" s="127">
        <f>VLOOKUP(C361,'Talente &amp; Stuff'!C:AD,27,FALSE)</f>
        <v>0</v>
      </c>
      <c r="AD361" s="125">
        <f>VLOOKUP(C361,'Talente &amp; Stuff'!C:AD,28,FALSE)</f>
        <v>0</v>
      </c>
      <c r="AE361" s="28"/>
    </row>
    <row r="362" spans="2:31" s="138" customFormat="1" hidden="1" outlineLevel="2">
      <c r="B362" s="148">
        <v>6</v>
      </c>
      <c r="C362" s="163" t="s">
        <v>281</v>
      </c>
      <c r="D362" s="86" t="str">
        <f>VLOOKUP(C362,'Talente &amp; Stuff'!C:AD,2,FALSE)</f>
        <v>--/--/--</v>
      </c>
      <c r="E362" s="125" t="str">
        <f>VLOOKUP(C362,'Talente &amp; Stuff'!C:AD,3,FALSE)</f>
        <v>-</v>
      </c>
      <c r="F362" s="113">
        <f>VLOOKUP(C362,'Talente &amp; Stuff'!C:AD,4,FALSE)</f>
        <v>0</v>
      </c>
      <c r="G362" s="113">
        <f>VLOOKUP(C362,'Talente &amp; Stuff'!C:AD,5,FALSE)</f>
        <v>0</v>
      </c>
      <c r="H362" s="113">
        <f>VLOOKUP(C362,'Talente &amp; Stuff'!C:AD,6,FALSE)</f>
        <v>0</v>
      </c>
      <c r="I362" s="113">
        <f>VLOOKUP(C362,'Talente &amp; Stuff'!C:AD,7,FALSE)</f>
        <v>0</v>
      </c>
      <c r="J362" s="113">
        <f>VLOOKUP(C362,'Talente &amp; Stuff'!C:AD,8,FALSE)</f>
        <v>0</v>
      </c>
      <c r="K362" s="113">
        <f>VLOOKUP(C362,'Talente &amp; Stuff'!C:AD,9,FALSE)</f>
        <v>0</v>
      </c>
      <c r="L362" s="113">
        <f>VLOOKUP(C362,'Talente &amp; Stuff'!C:AD,10,FALSE)</f>
        <v>0</v>
      </c>
      <c r="M362" s="113">
        <f>VLOOKUP(C362,'Talente &amp; Stuff'!C:AD,11,FALSE)</f>
        <v>0</v>
      </c>
      <c r="N362" s="89">
        <f>VLOOKUP(C362,'Talente &amp; Stuff'!C:AD,12,FALSE)</f>
        <v>0</v>
      </c>
      <c r="O362" s="47">
        <f>VLOOKUP(C362,'Talente &amp; Stuff'!C:AD,13,FALSE)</f>
        <v>0</v>
      </c>
      <c r="P362" s="119">
        <f>VLOOKUP(C362,'Talente &amp; Stuff'!C:AD,14,FALSE)</f>
        <v>0</v>
      </c>
      <c r="Q362" s="113">
        <f>VLOOKUP(C362,'Talente &amp; Stuff'!C:AD,15,FALSE)</f>
        <v>0</v>
      </c>
      <c r="R362" s="113">
        <f>VLOOKUP(C362,'Talente &amp; Stuff'!C:AD,16,FALSE)</f>
        <v>0</v>
      </c>
      <c r="S362" s="113">
        <f>VLOOKUP(C362,'Talente &amp; Stuff'!C:AD,17,FALSE)</f>
        <v>0</v>
      </c>
      <c r="T362" s="160">
        <f>VLOOKUP(C362,'Talente &amp; Stuff'!C:AD,18,FALSE)</f>
        <v>0</v>
      </c>
      <c r="U362" s="47">
        <f>VLOOKUP(C362,'Talente &amp; Stuff'!C:AD,19,FALSE)</f>
        <v>0</v>
      </c>
      <c r="V362" s="47">
        <f>VLOOKUP(C362,'Talente &amp; Stuff'!C:AD,20,FALSE)</f>
        <v>0</v>
      </c>
      <c r="W362" s="47">
        <f>VLOOKUP(C362,'Talente &amp; Stuff'!C:AD,21,FALSE)</f>
        <v>0</v>
      </c>
      <c r="X362" s="125">
        <f>VLOOKUP(C362,'Talente &amp; Stuff'!C:AD,22,FALSE)</f>
        <v>0</v>
      </c>
      <c r="Y362" s="175">
        <f t="shared" si="24"/>
        <v>0</v>
      </c>
      <c r="Z362" s="198">
        <f t="shared" si="25"/>
        <v>0</v>
      </c>
      <c r="AA362" s="125">
        <f>VLOOKUP(C362,'Talente &amp; Stuff'!C:AD,25,FALSE)</f>
        <v>0</v>
      </c>
      <c r="AB362" s="160">
        <f>VLOOKUP(C362,'Talente &amp; Stuff'!C:AD,26,FALSE)</f>
        <v>0</v>
      </c>
      <c r="AC362" s="127">
        <f>VLOOKUP(C362,'Talente &amp; Stuff'!C:AD,27,FALSE)</f>
        <v>0</v>
      </c>
      <c r="AD362" s="125">
        <f>VLOOKUP(C362,'Talente &amp; Stuff'!C:AD,28,FALSE)</f>
        <v>0</v>
      </c>
      <c r="AE362" s="28"/>
    </row>
    <row r="363" spans="2:31" s="138" customFormat="1" hidden="1" outlineLevel="2">
      <c r="B363" s="148">
        <v>7</v>
      </c>
      <c r="C363" s="163" t="s">
        <v>281</v>
      </c>
      <c r="D363" s="86" t="str">
        <f>VLOOKUP(C363,'Talente &amp; Stuff'!C:AD,2,FALSE)</f>
        <v>--/--/--</v>
      </c>
      <c r="E363" s="125" t="str">
        <f>VLOOKUP(C363,'Talente &amp; Stuff'!C:AD,3,FALSE)</f>
        <v>-</v>
      </c>
      <c r="F363" s="113">
        <f>VLOOKUP(C363,'Talente &amp; Stuff'!C:AD,4,FALSE)</f>
        <v>0</v>
      </c>
      <c r="G363" s="113">
        <f>VLOOKUP(C363,'Talente &amp; Stuff'!C:AD,5,FALSE)</f>
        <v>0</v>
      </c>
      <c r="H363" s="113">
        <f>VLOOKUP(C363,'Talente &amp; Stuff'!C:AD,6,FALSE)</f>
        <v>0</v>
      </c>
      <c r="I363" s="113">
        <f>VLOOKUP(C363,'Talente &amp; Stuff'!C:AD,7,FALSE)</f>
        <v>0</v>
      </c>
      <c r="J363" s="113">
        <f>VLOOKUP(C363,'Talente &amp; Stuff'!C:AD,8,FALSE)</f>
        <v>0</v>
      </c>
      <c r="K363" s="113">
        <f>VLOOKUP(C363,'Talente &amp; Stuff'!C:AD,9,FALSE)</f>
        <v>0</v>
      </c>
      <c r="L363" s="113">
        <f>VLOOKUP(C363,'Talente &amp; Stuff'!C:AD,10,FALSE)</f>
        <v>0</v>
      </c>
      <c r="M363" s="113">
        <f>VLOOKUP(C363,'Talente &amp; Stuff'!C:AD,11,FALSE)</f>
        <v>0</v>
      </c>
      <c r="N363" s="89">
        <f>VLOOKUP(C363,'Talente &amp; Stuff'!C:AD,12,FALSE)</f>
        <v>0</v>
      </c>
      <c r="O363" s="47">
        <f>VLOOKUP(C363,'Talente &amp; Stuff'!C:AD,13,FALSE)</f>
        <v>0</v>
      </c>
      <c r="P363" s="119">
        <f>VLOOKUP(C363,'Talente &amp; Stuff'!C:AD,14,FALSE)</f>
        <v>0</v>
      </c>
      <c r="Q363" s="113">
        <f>VLOOKUP(C363,'Talente &amp; Stuff'!C:AD,15,FALSE)</f>
        <v>0</v>
      </c>
      <c r="R363" s="113">
        <f>VLOOKUP(C363,'Talente &amp; Stuff'!C:AD,16,FALSE)</f>
        <v>0</v>
      </c>
      <c r="S363" s="113">
        <f>VLOOKUP(C363,'Talente &amp; Stuff'!C:AD,17,FALSE)</f>
        <v>0</v>
      </c>
      <c r="T363" s="160">
        <f>VLOOKUP(C363,'Talente &amp; Stuff'!C:AD,18,FALSE)</f>
        <v>0</v>
      </c>
      <c r="U363" s="47">
        <f>VLOOKUP(C363,'Talente &amp; Stuff'!C:AD,19,FALSE)</f>
        <v>0</v>
      </c>
      <c r="V363" s="47">
        <f>VLOOKUP(C363,'Talente &amp; Stuff'!C:AD,20,FALSE)</f>
        <v>0</v>
      </c>
      <c r="W363" s="47">
        <f>VLOOKUP(C363,'Talente &amp; Stuff'!C:AD,21,FALSE)</f>
        <v>0</v>
      </c>
      <c r="X363" s="125">
        <f>VLOOKUP(C363,'Talente &amp; Stuff'!C:AD,22,FALSE)</f>
        <v>0</v>
      </c>
      <c r="Y363" s="175">
        <f t="shared" si="24"/>
        <v>0</v>
      </c>
      <c r="Z363" s="198">
        <f t="shared" si="25"/>
        <v>0</v>
      </c>
      <c r="AA363" s="125">
        <f>VLOOKUP(C363,'Talente &amp; Stuff'!C:AD,25,FALSE)</f>
        <v>0</v>
      </c>
      <c r="AB363" s="160">
        <f>VLOOKUP(C363,'Talente &amp; Stuff'!C:AD,26,FALSE)</f>
        <v>0</v>
      </c>
      <c r="AC363" s="127">
        <f>VLOOKUP(C363,'Talente &amp; Stuff'!C:AD,27,FALSE)</f>
        <v>0</v>
      </c>
      <c r="AD363" s="125">
        <f>VLOOKUP(C363,'Talente &amp; Stuff'!C:AD,28,FALSE)</f>
        <v>0</v>
      </c>
      <c r="AE363" s="28"/>
    </row>
    <row r="364" spans="2:31" s="138" customFormat="1" hidden="1" outlineLevel="2">
      <c r="B364" s="148">
        <v>8</v>
      </c>
      <c r="C364" s="163" t="s">
        <v>281</v>
      </c>
      <c r="D364" s="86" t="str">
        <f>VLOOKUP(C364,'Talente &amp; Stuff'!C:AD,2,FALSE)</f>
        <v>--/--/--</v>
      </c>
      <c r="E364" s="125" t="str">
        <f>VLOOKUP(C364,'Talente &amp; Stuff'!C:AD,3,FALSE)</f>
        <v>-</v>
      </c>
      <c r="F364" s="113">
        <f>VLOOKUP(C364,'Talente &amp; Stuff'!C:AD,4,FALSE)</f>
        <v>0</v>
      </c>
      <c r="G364" s="113">
        <f>VLOOKUP(C364,'Talente &amp; Stuff'!C:AD,5,FALSE)</f>
        <v>0</v>
      </c>
      <c r="H364" s="113">
        <f>VLOOKUP(C364,'Talente &amp; Stuff'!C:AD,6,FALSE)</f>
        <v>0</v>
      </c>
      <c r="I364" s="113">
        <f>VLOOKUP(C364,'Talente &amp; Stuff'!C:AD,7,FALSE)</f>
        <v>0</v>
      </c>
      <c r="J364" s="113">
        <f>VLOOKUP(C364,'Talente &amp; Stuff'!C:AD,8,FALSE)</f>
        <v>0</v>
      </c>
      <c r="K364" s="113">
        <f>VLOOKUP(C364,'Talente &amp; Stuff'!C:AD,9,FALSE)</f>
        <v>0</v>
      </c>
      <c r="L364" s="113">
        <f>VLOOKUP(C364,'Talente &amp; Stuff'!C:AD,10,FALSE)</f>
        <v>0</v>
      </c>
      <c r="M364" s="113">
        <f>VLOOKUP(C364,'Talente &amp; Stuff'!C:AD,11,FALSE)</f>
        <v>0</v>
      </c>
      <c r="N364" s="89">
        <f>VLOOKUP(C364,'Talente &amp; Stuff'!C:AD,12,FALSE)</f>
        <v>0</v>
      </c>
      <c r="O364" s="47">
        <f>VLOOKUP(C364,'Talente &amp; Stuff'!C:AD,13,FALSE)</f>
        <v>0</v>
      </c>
      <c r="P364" s="119">
        <f>VLOOKUP(C364,'Talente &amp; Stuff'!C:AD,14,FALSE)</f>
        <v>0</v>
      </c>
      <c r="Q364" s="113">
        <f>VLOOKUP(C364,'Talente &amp; Stuff'!C:AD,15,FALSE)</f>
        <v>0</v>
      </c>
      <c r="R364" s="113">
        <f>VLOOKUP(C364,'Talente &amp; Stuff'!C:AD,16,FALSE)</f>
        <v>0</v>
      </c>
      <c r="S364" s="113">
        <f>VLOOKUP(C364,'Talente &amp; Stuff'!C:AD,17,FALSE)</f>
        <v>0</v>
      </c>
      <c r="T364" s="160">
        <f>VLOOKUP(C364,'Talente &amp; Stuff'!C:AD,18,FALSE)</f>
        <v>0</v>
      </c>
      <c r="U364" s="47">
        <f>VLOOKUP(C364,'Talente &amp; Stuff'!C:AD,19,FALSE)</f>
        <v>0</v>
      </c>
      <c r="V364" s="47">
        <f>VLOOKUP(C364,'Talente &amp; Stuff'!C:AD,20,FALSE)</f>
        <v>0</v>
      </c>
      <c r="W364" s="47">
        <f>VLOOKUP(C364,'Talente &amp; Stuff'!C:AD,21,FALSE)</f>
        <v>0</v>
      </c>
      <c r="X364" s="125">
        <f>VLOOKUP(C364,'Talente &amp; Stuff'!C:AD,22,FALSE)</f>
        <v>0</v>
      </c>
      <c r="Y364" s="175">
        <f t="shared" si="24"/>
        <v>0</v>
      </c>
      <c r="Z364" s="198">
        <f t="shared" si="25"/>
        <v>0</v>
      </c>
      <c r="AA364" s="125">
        <f>VLOOKUP(C364,'Talente &amp; Stuff'!C:AD,25,FALSE)</f>
        <v>0</v>
      </c>
      <c r="AB364" s="160">
        <f>VLOOKUP(C364,'Talente &amp; Stuff'!C:AD,26,FALSE)</f>
        <v>0</v>
      </c>
      <c r="AC364" s="127">
        <f>VLOOKUP(C364,'Talente &amp; Stuff'!C:AD,27,FALSE)</f>
        <v>0</v>
      </c>
      <c r="AD364" s="125">
        <f>VLOOKUP(C364,'Talente &amp; Stuff'!C:AD,28,FALSE)</f>
        <v>0</v>
      </c>
      <c r="AE364" s="28"/>
    </row>
    <row r="365" spans="2:31" s="138" customFormat="1" hidden="1" outlineLevel="2">
      <c r="B365" s="148">
        <v>9</v>
      </c>
      <c r="C365" s="164" t="s">
        <v>281</v>
      </c>
      <c r="D365" s="87" t="str">
        <f>VLOOKUP(C365,'Talente &amp; Stuff'!C:AD,2,FALSE)</f>
        <v>--/--/--</v>
      </c>
      <c r="E365" s="159" t="str">
        <f>VLOOKUP(C365,'Talente &amp; Stuff'!C:AD,3,FALSE)</f>
        <v>-</v>
      </c>
      <c r="F365" s="122">
        <f>VLOOKUP(C365,'Talente &amp; Stuff'!C:AD,4,FALSE)</f>
        <v>0</v>
      </c>
      <c r="G365" s="122">
        <f>VLOOKUP(C365,'Talente &amp; Stuff'!C:AD,5,FALSE)</f>
        <v>0</v>
      </c>
      <c r="H365" s="122">
        <f>VLOOKUP(C365,'Talente &amp; Stuff'!C:AD,6,FALSE)</f>
        <v>0</v>
      </c>
      <c r="I365" s="122">
        <f>VLOOKUP(C365,'Talente &amp; Stuff'!C:AD,7,FALSE)</f>
        <v>0</v>
      </c>
      <c r="J365" s="122">
        <f>VLOOKUP(C365,'Talente &amp; Stuff'!C:AD,8,FALSE)</f>
        <v>0</v>
      </c>
      <c r="K365" s="122">
        <f>VLOOKUP(C365,'Talente &amp; Stuff'!C:AD,9,FALSE)</f>
        <v>0</v>
      </c>
      <c r="L365" s="122">
        <f>VLOOKUP(C365,'Talente &amp; Stuff'!C:AD,10,FALSE)</f>
        <v>0</v>
      </c>
      <c r="M365" s="122">
        <f>VLOOKUP(C365,'Talente &amp; Stuff'!C:AD,11,FALSE)</f>
        <v>0</v>
      </c>
      <c r="N365" s="90">
        <f>VLOOKUP(C365,'Talente &amp; Stuff'!C:AD,12,FALSE)</f>
        <v>0</v>
      </c>
      <c r="O365" s="88">
        <f>VLOOKUP(C365,'Talente &amp; Stuff'!C:AD,13,FALSE)</f>
        <v>0</v>
      </c>
      <c r="P365" s="123">
        <f>VLOOKUP(C365,'Talente &amp; Stuff'!C:AD,14,FALSE)</f>
        <v>0</v>
      </c>
      <c r="Q365" s="122">
        <f>VLOOKUP(C365,'Talente &amp; Stuff'!C:AD,15,FALSE)</f>
        <v>0</v>
      </c>
      <c r="R365" s="122">
        <f>VLOOKUP(C365,'Talente &amp; Stuff'!C:AD,16,FALSE)</f>
        <v>0</v>
      </c>
      <c r="S365" s="122">
        <f>VLOOKUP(C365,'Talente &amp; Stuff'!C:AD,17,FALSE)</f>
        <v>0</v>
      </c>
      <c r="T365" s="161">
        <f>VLOOKUP(C365,'Talente &amp; Stuff'!C:AD,18,FALSE)</f>
        <v>0</v>
      </c>
      <c r="U365" s="88">
        <f>VLOOKUP(C365,'Talente &amp; Stuff'!C:AD,19,FALSE)</f>
        <v>0</v>
      </c>
      <c r="V365" s="88">
        <f>VLOOKUP(C365,'Talente &amp; Stuff'!C:AD,20,FALSE)</f>
        <v>0</v>
      </c>
      <c r="W365" s="88">
        <f>VLOOKUP(C365,'Talente &amp; Stuff'!C:AD,21,FALSE)</f>
        <v>0</v>
      </c>
      <c r="X365" s="159">
        <f>VLOOKUP(C365,'Talente &amp; Stuff'!C:AD,22,FALSE)</f>
        <v>0</v>
      </c>
      <c r="Y365" s="175">
        <f t="shared" si="24"/>
        <v>0</v>
      </c>
      <c r="Z365" s="198">
        <f t="shared" si="25"/>
        <v>0</v>
      </c>
      <c r="AA365" s="159">
        <f>VLOOKUP(C365,'Talente &amp; Stuff'!C:AD,25,FALSE)</f>
        <v>0</v>
      </c>
      <c r="AB365" s="161">
        <f>VLOOKUP(C365,'Talente &amp; Stuff'!C:AD,26,FALSE)</f>
        <v>0</v>
      </c>
      <c r="AC365" s="128">
        <f>VLOOKUP(C365,'Talente &amp; Stuff'!C:AD,27,FALSE)</f>
        <v>0</v>
      </c>
      <c r="AD365" s="159">
        <f>VLOOKUP(C365,'Talente &amp; Stuff'!C:AD,28,FALSE)</f>
        <v>0</v>
      </c>
      <c r="AE365" s="28"/>
    </row>
    <row r="366" spans="2:31" hidden="1" outlineLevel="1" collapsed="1">
      <c r="B366" s="134" t="s">
        <v>330</v>
      </c>
      <c r="C366" s="83"/>
      <c r="D366" s="84"/>
      <c r="E366" s="84"/>
      <c r="F366" s="148"/>
      <c r="G366" s="148"/>
      <c r="H366" s="148"/>
      <c r="I366" s="148"/>
      <c r="J366" s="148"/>
      <c r="K366" s="148"/>
      <c r="L366" s="148"/>
      <c r="M366" s="148"/>
      <c r="N366" s="148"/>
      <c r="O366" s="148"/>
      <c r="P366" s="148"/>
      <c r="Q366" s="148"/>
      <c r="R366" s="148"/>
      <c r="S366" s="148"/>
      <c r="T366" s="148"/>
      <c r="U366" s="148"/>
      <c r="V366" s="148"/>
      <c r="W366" s="148"/>
      <c r="X366" s="148"/>
    </row>
    <row r="367" spans="2:31" hidden="1" outlineLevel="2">
      <c r="B367" s="133">
        <v>1</v>
      </c>
      <c r="C367" s="162" t="s">
        <v>281</v>
      </c>
      <c r="D367" s="158" t="str">
        <f>VLOOKUP(C367,'Talente &amp; Stuff'!C:AD,2,FALSE)</f>
        <v>--/--/--</v>
      </c>
      <c r="E367" s="158" t="str">
        <f>VLOOKUP(C367,'Talente &amp; Stuff'!C:AD,3,FALSE)</f>
        <v>-</v>
      </c>
      <c r="F367" s="118">
        <f>VLOOKUP(C367,'Talente &amp; Stuff'!C:AD,4,FALSE)</f>
        <v>0</v>
      </c>
      <c r="G367" s="118">
        <f>VLOOKUP(C367,'Talente &amp; Stuff'!C:AD,5,FALSE)</f>
        <v>0</v>
      </c>
      <c r="H367" s="118">
        <f>VLOOKUP(C367,'Talente &amp; Stuff'!C:AD,6,FALSE)</f>
        <v>0</v>
      </c>
      <c r="I367" s="118">
        <f>VLOOKUP(C367,'Talente &amp; Stuff'!C:AD,7,FALSE)</f>
        <v>0</v>
      </c>
      <c r="J367" s="118">
        <f>VLOOKUP(C367,'Talente &amp; Stuff'!C:AD,8,FALSE)</f>
        <v>0</v>
      </c>
      <c r="K367" s="118">
        <f>VLOOKUP(C367,'Talente &amp; Stuff'!C:AD,9,FALSE)</f>
        <v>0</v>
      </c>
      <c r="L367" s="118">
        <f>VLOOKUP(C367,'Talente &amp; Stuff'!C:AD,10,FALSE)</f>
        <v>0</v>
      </c>
      <c r="M367" s="118">
        <f>VLOOKUP(C367,'Talente &amp; Stuff'!C:AD,11,FALSE)</f>
        <v>0</v>
      </c>
      <c r="N367" s="154">
        <f>VLOOKUP(C367,'Talente &amp; Stuff'!C:AD,12,FALSE)</f>
        <v>0</v>
      </c>
      <c r="O367" s="116">
        <f>VLOOKUP(C367,'Talente &amp; Stuff'!C:AD,13,FALSE)</f>
        <v>0</v>
      </c>
      <c r="P367" s="92">
        <f>VLOOKUP(C367,'Talente &amp; Stuff'!C:AD,14,FALSE)</f>
        <v>0</v>
      </c>
      <c r="Q367" s="118">
        <f>VLOOKUP(C367,'Talente &amp; Stuff'!C:AD,15,FALSE)</f>
        <v>0</v>
      </c>
      <c r="R367" s="118">
        <f>VLOOKUP(C367,'Talente &amp; Stuff'!C:AD,16,FALSE)</f>
        <v>0</v>
      </c>
      <c r="S367" s="118">
        <f>VLOOKUP(C367,'Talente &amp; Stuff'!C:AD,17,FALSE)</f>
        <v>0</v>
      </c>
      <c r="T367" s="91">
        <f>VLOOKUP(C367,'Talente &amp; Stuff'!C:AD,18,FALSE)</f>
        <v>0</v>
      </c>
      <c r="U367" s="116">
        <f>VLOOKUP(C367,'Talente &amp; Stuff'!C:AD,19,FALSE)</f>
        <v>0</v>
      </c>
      <c r="V367" s="116">
        <f>VLOOKUP(C367,'Talente &amp; Stuff'!C:AD,20,FALSE)</f>
        <v>0</v>
      </c>
      <c r="W367" s="116">
        <f>VLOOKUP(C367,'Talente &amp; Stuff'!C:AD,21,FALSE)</f>
        <v>0</v>
      </c>
      <c r="X367" s="158">
        <f>VLOOKUP(C367,'Talente &amp; Stuff'!C:AD,22,FALSE)</f>
        <v>0</v>
      </c>
      <c r="Y367" s="175">
        <f t="shared" ref="Y367:Y374" si="26">VLOOKUP(C367,Ausgewählte_Rituale_Elfen,23,FALSE)</f>
        <v>0</v>
      </c>
      <c r="Z367" s="198">
        <f t="shared" ref="Z367:Z374" si="27">VLOOKUP(C367,Ausgewählte_Rituale_Elfen,24,FALSE)</f>
        <v>0</v>
      </c>
      <c r="AA367" s="158">
        <f>VLOOKUP(C367,'Talente &amp; Stuff'!C:AD,25,FALSE)</f>
        <v>0</v>
      </c>
      <c r="AB367" s="91">
        <f>VLOOKUP(C367,'Talente &amp; Stuff'!C:AD,26,FALSE)</f>
        <v>0</v>
      </c>
      <c r="AC367" s="126">
        <f>VLOOKUP(C367,'Talente &amp; Stuff'!C:AD,27,FALSE)</f>
        <v>0</v>
      </c>
      <c r="AD367" s="158">
        <f>VLOOKUP(C367,'Talente &amp; Stuff'!C:AD,28,FALSE)</f>
        <v>0</v>
      </c>
      <c r="AE367" s="28"/>
    </row>
    <row r="368" spans="2:31" hidden="1" outlineLevel="2">
      <c r="B368" s="133">
        <v>2</v>
      </c>
      <c r="C368" s="163" t="s">
        <v>281</v>
      </c>
      <c r="D368" s="125" t="str">
        <f>VLOOKUP(C368,'Talente &amp; Stuff'!C:AD,2,FALSE)</f>
        <v>--/--/--</v>
      </c>
      <c r="E368" s="125" t="str">
        <f>VLOOKUP(C368,'Talente &amp; Stuff'!C:AD,3,FALSE)</f>
        <v>-</v>
      </c>
      <c r="F368" s="113">
        <f>VLOOKUP(C368,'Talente &amp; Stuff'!C:AD,4,FALSE)</f>
        <v>0</v>
      </c>
      <c r="G368" s="113">
        <f>VLOOKUP(C368,'Talente &amp; Stuff'!C:AD,5,FALSE)</f>
        <v>0</v>
      </c>
      <c r="H368" s="113">
        <f>VLOOKUP(C368,'Talente &amp; Stuff'!C:AD,6,FALSE)</f>
        <v>0</v>
      </c>
      <c r="I368" s="113">
        <f>VLOOKUP(C368,'Talente &amp; Stuff'!C:AD,7,FALSE)</f>
        <v>0</v>
      </c>
      <c r="J368" s="113">
        <f>VLOOKUP(C368,'Talente &amp; Stuff'!C:AD,8,FALSE)</f>
        <v>0</v>
      </c>
      <c r="K368" s="113">
        <f>VLOOKUP(C368,'Talente &amp; Stuff'!C:AD,9,FALSE)</f>
        <v>0</v>
      </c>
      <c r="L368" s="113">
        <f>VLOOKUP(C368,'Talente &amp; Stuff'!C:AD,10,FALSE)</f>
        <v>0</v>
      </c>
      <c r="M368" s="113">
        <f>VLOOKUP(C368,'Talente &amp; Stuff'!C:AD,11,FALSE)</f>
        <v>0</v>
      </c>
      <c r="N368" s="89">
        <f>VLOOKUP(C368,'Talente &amp; Stuff'!C:AD,12,FALSE)</f>
        <v>0</v>
      </c>
      <c r="O368" s="47">
        <f>VLOOKUP(C368,'Talente &amp; Stuff'!C:AD,13,FALSE)</f>
        <v>0</v>
      </c>
      <c r="P368" s="119">
        <f>VLOOKUP(C368,'Talente &amp; Stuff'!C:AD,14,FALSE)</f>
        <v>0</v>
      </c>
      <c r="Q368" s="113">
        <f>VLOOKUP(C368,'Talente &amp; Stuff'!C:AD,15,FALSE)</f>
        <v>0</v>
      </c>
      <c r="R368" s="113">
        <f>VLOOKUP(C368,'Talente &amp; Stuff'!C:AD,16,FALSE)</f>
        <v>0</v>
      </c>
      <c r="S368" s="113">
        <f>VLOOKUP(C368,'Talente &amp; Stuff'!C:AD,17,FALSE)</f>
        <v>0</v>
      </c>
      <c r="T368" s="160">
        <f>VLOOKUP(C368,'Talente &amp; Stuff'!C:AD,18,FALSE)</f>
        <v>0</v>
      </c>
      <c r="U368" s="47">
        <f>VLOOKUP(C368,'Talente &amp; Stuff'!C:AD,19,FALSE)</f>
        <v>0</v>
      </c>
      <c r="V368" s="47">
        <f>VLOOKUP(C368,'Talente &amp; Stuff'!C:AD,20,FALSE)</f>
        <v>0</v>
      </c>
      <c r="W368" s="47">
        <f>VLOOKUP(C368,'Talente &amp; Stuff'!C:AD,21,FALSE)</f>
        <v>0</v>
      </c>
      <c r="X368" s="125">
        <f>VLOOKUP(C368,'Talente &amp; Stuff'!C:AD,22,FALSE)</f>
        <v>0</v>
      </c>
      <c r="Y368" s="175">
        <f t="shared" si="26"/>
        <v>0</v>
      </c>
      <c r="Z368" s="198">
        <f t="shared" si="27"/>
        <v>0</v>
      </c>
      <c r="AA368" s="125">
        <f>VLOOKUP(C368,'Talente &amp; Stuff'!C:AD,25,FALSE)</f>
        <v>0</v>
      </c>
      <c r="AB368" s="160">
        <f>VLOOKUP(C368,'Talente &amp; Stuff'!C:AD,26,FALSE)</f>
        <v>0</v>
      </c>
      <c r="AC368" s="127">
        <f>VLOOKUP(C368,'Talente &amp; Stuff'!C:AD,27,FALSE)</f>
        <v>0</v>
      </c>
      <c r="AD368" s="125">
        <f>VLOOKUP(C368,'Talente &amp; Stuff'!C:AD,28,FALSE)</f>
        <v>0</v>
      </c>
      <c r="AE368" s="28"/>
    </row>
    <row r="369" spans="2:31" s="148" customFormat="1" hidden="1" outlineLevel="2">
      <c r="B369" s="148">
        <v>3</v>
      </c>
      <c r="C369" s="163" t="s">
        <v>281</v>
      </c>
      <c r="D369" s="125" t="str">
        <f>VLOOKUP(C369,'Talente &amp; Stuff'!C:AD,2,FALSE)</f>
        <v>--/--/--</v>
      </c>
      <c r="E369" s="125" t="str">
        <f>VLOOKUP(C369,'Talente &amp; Stuff'!C:AD,3,FALSE)</f>
        <v>-</v>
      </c>
      <c r="F369" s="113">
        <f>VLOOKUP(C369,'Talente &amp; Stuff'!C:AD,4,FALSE)</f>
        <v>0</v>
      </c>
      <c r="G369" s="113">
        <f>VLOOKUP(C369,'Talente &amp; Stuff'!C:AD,5,FALSE)</f>
        <v>0</v>
      </c>
      <c r="H369" s="113">
        <f>VLOOKUP(C369,'Talente &amp; Stuff'!C:AD,6,FALSE)</f>
        <v>0</v>
      </c>
      <c r="I369" s="113">
        <f>VLOOKUP(C369,'Talente &amp; Stuff'!C:AD,7,FALSE)</f>
        <v>0</v>
      </c>
      <c r="J369" s="113">
        <f>VLOOKUP(C369,'Talente &amp; Stuff'!C:AD,8,FALSE)</f>
        <v>0</v>
      </c>
      <c r="K369" s="113">
        <f>VLOOKUP(C369,'Talente &amp; Stuff'!C:AD,9,FALSE)</f>
        <v>0</v>
      </c>
      <c r="L369" s="113">
        <f>VLOOKUP(C369,'Talente &amp; Stuff'!C:AD,10,FALSE)</f>
        <v>0</v>
      </c>
      <c r="M369" s="113">
        <f>VLOOKUP(C369,'Talente &amp; Stuff'!C:AD,11,FALSE)</f>
        <v>0</v>
      </c>
      <c r="N369" s="89">
        <f>VLOOKUP(C369,'Talente &amp; Stuff'!C:AD,12,FALSE)</f>
        <v>0</v>
      </c>
      <c r="O369" s="47">
        <f>VLOOKUP(C369,'Talente &amp; Stuff'!C:AD,13,FALSE)</f>
        <v>0</v>
      </c>
      <c r="P369" s="119">
        <f>VLOOKUP(C369,'Talente &amp; Stuff'!C:AD,14,FALSE)</f>
        <v>0</v>
      </c>
      <c r="Q369" s="113">
        <f>VLOOKUP(C369,'Talente &amp; Stuff'!C:AD,15,FALSE)</f>
        <v>0</v>
      </c>
      <c r="R369" s="113">
        <f>VLOOKUP(C369,'Talente &amp; Stuff'!C:AD,16,FALSE)</f>
        <v>0</v>
      </c>
      <c r="S369" s="113">
        <f>VLOOKUP(C369,'Talente &amp; Stuff'!C:AD,17,FALSE)</f>
        <v>0</v>
      </c>
      <c r="T369" s="160">
        <f>VLOOKUP(C369,'Talente &amp; Stuff'!C:AD,18,FALSE)</f>
        <v>0</v>
      </c>
      <c r="U369" s="47">
        <f>VLOOKUP(C369,'Talente &amp; Stuff'!C:AD,19,FALSE)</f>
        <v>0</v>
      </c>
      <c r="V369" s="47">
        <f>VLOOKUP(C369,'Talente &amp; Stuff'!C:AD,20,FALSE)</f>
        <v>0</v>
      </c>
      <c r="W369" s="47">
        <f>VLOOKUP(C369,'Talente &amp; Stuff'!C:AD,21,FALSE)</f>
        <v>0</v>
      </c>
      <c r="X369" s="125">
        <f>VLOOKUP(C369,'Talente &amp; Stuff'!C:AD,22,FALSE)</f>
        <v>0</v>
      </c>
      <c r="Y369" s="175">
        <f t="shared" si="26"/>
        <v>0</v>
      </c>
      <c r="Z369" s="198">
        <f t="shared" si="27"/>
        <v>0</v>
      </c>
      <c r="AA369" s="125">
        <f>VLOOKUP(C369,'Talente &amp; Stuff'!C:AD,25,FALSE)</f>
        <v>0</v>
      </c>
      <c r="AB369" s="160">
        <f>VLOOKUP(C369,'Talente &amp; Stuff'!C:AD,26,FALSE)</f>
        <v>0</v>
      </c>
      <c r="AC369" s="127">
        <f>VLOOKUP(C369,'Talente &amp; Stuff'!C:AD,27,FALSE)</f>
        <v>0</v>
      </c>
      <c r="AD369" s="125">
        <f>VLOOKUP(C369,'Talente &amp; Stuff'!C:AD,28,FALSE)</f>
        <v>0</v>
      </c>
      <c r="AE369" s="28"/>
    </row>
    <row r="370" spans="2:31" s="148" customFormat="1" hidden="1" outlineLevel="2">
      <c r="B370" s="148">
        <v>4</v>
      </c>
      <c r="C370" s="163" t="s">
        <v>281</v>
      </c>
      <c r="D370" s="125" t="str">
        <f>VLOOKUP(C370,'Talente &amp; Stuff'!C:AD,2,FALSE)</f>
        <v>--/--/--</v>
      </c>
      <c r="E370" s="125" t="str">
        <f>VLOOKUP(C370,'Talente &amp; Stuff'!C:AD,3,FALSE)</f>
        <v>-</v>
      </c>
      <c r="F370" s="113">
        <f>VLOOKUP(C370,'Talente &amp; Stuff'!C:AD,4,FALSE)</f>
        <v>0</v>
      </c>
      <c r="G370" s="113">
        <f>VLOOKUP(C370,'Talente &amp; Stuff'!C:AD,5,FALSE)</f>
        <v>0</v>
      </c>
      <c r="H370" s="113">
        <f>VLOOKUP(C370,'Talente &amp; Stuff'!C:AD,6,FALSE)</f>
        <v>0</v>
      </c>
      <c r="I370" s="113">
        <f>VLOOKUP(C370,'Talente &amp; Stuff'!C:AD,7,FALSE)</f>
        <v>0</v>
      </c>
      <c r="J370" s="113">
        <f>VLOOKUP(C370,'Talente &amp; Stuff'!C:AD,8,FALSE)</f>
        <v>0</v>
      </c>
      <c r="K370" s="113">
        <f>VLOOKUP(C370,'Talente &amp; Stuff'!C:AD,9,FALSE)</f>
        <v>0</v>
      </c>
      <c r="L370" s="113">
        <f>VLOOKUP(C370,'Talente &amp; Stuff'!C:AD,10,FALSE)</f>
        <v>0</v>
      </c>
      <c r="M370" s="113">
        <f>VLOOKUP(C370,'Talente &amp; Stuff'!C:AD,11,FALSE)</f>
        <v>0</v>
      </c>
      <c r="N370" s="89">
        <f>VLOOKUP(C370,'Talente &amp; Stuff'!C:AD,12,FALSE)</f>
        <v>0</v>
      </c>
      <c r="O370" s="47">
        <f>VLOOKUP(C370,'Talente &amp; Stuff'!C:AD,13,FALSE)</f>
        <v>0</v>
      </c>
      <c r="P370" s="119">
        <f>VLOOKUP(C370,'Talente &amp; Stuff'!C:AD,14,FALSE)</f>
        <v>0</v>
      </c>
      <c r="Q370" s="113">
        <f>VLOOKUP(C370,'Talente &amp; Stuff'!C:AD,15,FALSE)</f>
        <v>0</v>
      </c>
      <c r="R370" s="113">
        <f>VLOOKUP(C370,'Talente &amp; Stuff'!C:AD,16,FALSE)</f>
        <v>0</v>
      </c>
      <c r="S370" s="113">
        <f>VLOOKUP(C370,'Talente &amp; Stuff'!C:AD,17,FALSE)</f>
        <v>0</v>
      </c>
      <c r="T370" s="160">
        <f>VLOOKUP(C370,'Talente &amp; Stuff'!C:AD,18,FALSE)</f>
        <v>0</v>
      </c>
      <c r="U370" s="47">
        <f>VLOOKUP(C370,'Talente &amp; Stuff'!C:AD,19,FALSE)</f>
        <v>0</v>
      </c>
      <c r="V370" s="47">
        <f>VLOOKUP(C370,'Talente &amp; Stuff'!C:AD,20,FALSE)</f>
        <v>0</v>
      </c>
      <c r="W370" s="47">
        <f>VLOOKUP(C370,'Talente &amp; Stuff'!C:AD,21,FALSE)</f>
        <v>0</v>
      </c>
      <c r="X370" s="125">
        <f>VLOOKUP(C370,'Talente &amp; Stuff'!C:AD,22,FALSE)</f>
        <v>0</v>
      </c>
      <c r="Y370" s="175">
        <f t="shared" si="26"/>
        <v>0</v>
      </c>
      <c r="Z370" s="198">
        <f t="shared" si="27"/>
        <v>0</v>
      </c>
      <c r="AA370" s="125">
        <f>VLOOKUP(C370,'Talente &amp; Stuff'!C:AD,25,FALSE)</f>
        <v>0</v>
      </c>
      <c r="AB370" s="160">
        <f>VLOOKUP(C370,'Talente &amp; Stuff'!C:AD,26,FALSE)</f>
        <v>0</v>
      </c>
      <c r="AC370" s="127">
        <f>VLOOKUP(C370,'Talente &amp; Stuff'!C:AD,27,FALSE)</f>
        <v>0</v>
      </c>
      <c r="AD370" s="125">
        <f>VLOOKUP(C370,'Talente &amp; Stuff'!C:AD,28,FALSE)</f>
        <v>0</v>
      </c>
      <c r="AE370" s="28"/>
    </row>
    <row r="371" spans="2:31" hidden="1" outlineLevel="2">
      <c r="B371" s="148">
        <v>5</v>
      </c>
      <c r="C371" s="163" t="s">
        <v>281</v>
      </c>
      <c r="D371" s="125" t="str">
        <f>VLOOKUP(C371,'Talente &amp; Stuff'!C:AD,2,FALSE)</f>
        <v>--/--/--</v>
      </c>
      <c r="E371" s="125" t="str">
        <f>VLOOKUP(C371,'Talente &amp; Stuff'!C:AD,3,FALSE)</f>
        <v>-</v>
      </c>
      <c r="F371" s="113">
        <f>VLOOKUP(C371,'Talente &amp; Stuff'!C:AD,4,FALSE)</f>
        <v>0</v>
      </c>
      <c r="G371" s="113">
        <f>VLOOKUP(C371,'Talente &amp; Stuff'!C:AD,5,FALSE)</f>
        <v>0</v>
      </c>
      <c r="H371" s="113">
        <f>VLOOKUP(C371,'Talente &amp; Stuff'!C:AD,6,FALSE)</f>
        <v>0</v>
      </c>
      <c r="I371" s="113">
        <f>VLOOKUP(C371,'Talente &amp; Stuff'!C:AD,7,FALSE)</f>
        <v>0</v>
      </c>
      <c r="J371" s="113">
        <f>VLOOKUP(C371,'Talente &amp; Stuff'!C:AD,8,FALSE)</f>
        <v>0</v>
      </c>
      <c r="K371" s="113">
        <f>VLOOKUP(C371,'Talente &amp; Stuff'!C:AD,9,FALSE)</f>
        <v>0</v>
      </c>
      <c r="L371" s="113">
        <f>VLOOKUP(C371,'Talente &amp; Stuff'!C:AD,10,FALSE)</f>
        <v>0</v>
      </c>
      <c r="M371" s="113">
        <f>VLOOKUP(C371,'Talente &amp; Stuff'!C:AD,11,FALSE)</f>
        <v>0</v>
      </c>
      <c r="N371" s="89">
        <f>VLOOKUP(C371,'Talente &amp; Stuff'!C:AD,12,FALSE)</f>
        <v>0</v>
      </c>
      <c r="O371" s="47">
        <f>VLOOKUP(C371,'Talente &amp; Stuff'!C:AD,13,FALSE)</f>
        <v>0</v>
      </c>
      <c r="P371" s="119">
        <f>VLOOKUP(C371,'Talente &amp; Stuff'!C:AD,14,FALSE)</f>
        <v>0</v>
      </c>
      <c r="Q371" s="113">
        <f>VLOOKUP(C371,'Talente &amp; Stuff'!C:AD,15,FALSE)</f>
        <v>0</v>
      </c>
      <c r="R371" s="113">
        <f>VLOOKUP(C371,'Talente &amp; Stuff'!C:AD,16,FALSE)</f>
        <v>0</v>
      </c>
      <c r="S371" s="113">
        <f>VLOOKUP(C371,'Talente &amp; Stuff'!C:AD,17,FALSE)</f>
        <v>0</v>
      </c>
      <c r="T371" s="160">
        <f>VLOOKUP(C371,'Talente &amp; Stuff'!C:AD,18,FALSE)</f>
        <v>0</v>
      </c>
      <c r="U371" s="47">
        <f>VLOOKUP(C371,'Talente &amp; Stuff'!C:AD,19,FALSE)</f>
        <v>0</v>
      </c>
      <c r="V371" s="47">
        <f>VLOOKUP(C371,'Talente &amp; Stuff'!C:AD,20,FALSE)</f>
        <v>0</v>
      </c>
      <c r="W371" s="47">
        <f>VLOOKUP(C371,'Talente &amp; Stuff'!C:AD,21,FALSE)</f>
        <v>0</v>
      </c>
      <c r="X371" s="125">
        <f>VLOOKUP(C371,'Talente &amp; Stuff'!C:AD,22,FALSE)</f>
        <v>0</v>
      </c>
      <c r="Y371" s="175">
        <f t="shared" si="26"/>
        <v>0</v>
      </c>
      <c r="Z371" s="198">
        <f t="shared" si="27"/>
        <v>0</v>
      </c>
      <c r="AA371" s="125">
        <f>VLOOKUP(C371,'Talente &amp; Stuff'!C:AD,25,FALSE)</f>
        <v>0</v>
      </c>
      <c r="AB371" s="160">
        <f>VLOOKUP(C371,'Talente &amp; Stuff'!C:AD,26,FALSE)</f>
        <v>0</v>
      </c>
      <c r="AC371" s="127">
        <f>VLOOKUP(C371,'Talente &amp; Stuff'!C:AD,27,FALSE)</f>
        <v>0</v>
      </c>
      <c r="AD371" s="125">
        <f>VLOOKUP(C371,'Talente &amp; Stuff'!C:AD,28,FALSE)</f>
        <v>0</v>
      </c>
      <c r="AE371" s="28"/>
    </row>
    <row r="372" spans="2:31" hidden="1" outlineLevel="2">
      <c r="B372" s="148">
        <v>6</v>
      </c>
      <c r="C372" s="163" t="s">
        <v>281</v>
      </c>
      <c r="D372" s="125" t="str">
        <f>VLOOKUP(C372,'Talente &amp; Stuff'!C:AD,2,FALSE)</f>
        <v>--/--/--</v>
      </c>
      <c r="E372" s="125" t="str">
        <f>VLOOKUP(C372,'Talente &amp; Stuff'!C:AD,3,FALSE)</f>
        <v>-</v>
      </c>
      <c r="F372" s="113">
        <f>VLOOKUP(C372,'Talente &amp; Stuff'!C:AD,4,FALSE)</f>
        <v>0</v>
      </c>
      <c r="G372" s="113">
        <f>VLOOKUP(C372,'Talente &amp; Stuff'!C:AD,5,FALSE)</f>
        <v>0</v>
      </c>
      <c r="H372" s="113">
        <f>VLOOKUP(C372,'Talente &amp; Stuff'!C:AD,6,FALSE)</f>
        <v>0</v>
      </c>
      <c r="I372" s="113">
        <f>VLOOKUP(C372,'Talente &amp; Stuff'!C:AD,7,FALSE)</f>
        <v>0</v>
      </c>
      <c r="J372" s="113">
        <f>VLOOKUP(C372,'Talente &amp; Stuff'!C:AD,8,FALSE)</f>
        <v>0</v>
      </c>
      <c r="K372" s="113">
        <f>VLOOKUP(C372,'Talente &amp; Stuff'!C:AD,9,FALSE)</f>
        <v>0</v>
      </c>
      <c r="L372" s="113">
        <f>VLOOKUP(C372,'Talente &amp; Stuff'!C:AD,10,FALSE)</f>
        <v>0</v>
      </c>
      <c r="M372" s="113">
        <f>VLOOKUP(C372,'Talente &amp; Stuff'!C:AD,11,FALSE)</f>
        <v>0</v>
      </c>
      <c r="N372" s="89">
        <f>VLOOKUP(C372,'Talente &amp; Stuff'!C:AD,12,FALSE)</f>
        <v>0</v>
      </c>
      <c r="O372" s="47">
        <f>VLOOKUP(C372,'Talente &amp; Stuff'!C:AD,13,FALSE)</f>
        <v>0</v>
      </c>
      <c r="P372" s="119">
        <f>VLOOKUP(C372,'Talente &amp; Stuff'!C:AD,14,FALSE)</f>
        <v>0</v>
      </c>
      <c r="Q372" s="113">
        <f>VLOOKUP(C372,'Talente &amp; Stuff'!C:AD,15,FALSE)</f>
        <v>0</v>
      </c>
      <c r="R372" s="113">
        <f>VLOOKUP(C372,'Talente &amp; Stuff'!C:AD,16,FALSE)</f>
        <v>0</v>
      </c>
      <c r="S372" s="113">
        <f>VLOOKUP(C372,'Talente &amp; Stuff'!C:AD,17,FALSE)</f>
        <v>0</v>
      </c>
      <c r="T372" s="160">
        <f>VLOOKUP(C372,'Talente &amp; Stuff'!C:AD,18,FALSE)</f>
        <v>0</v>
      </c>
      <c r="U372" s="47">
        <f>VLOOKUP(C372,'Talente &amp; Stuff'!C:AD,19,FALSE)</f>
        <v>0</v>
      </c>
      <c r="V372" s="47">
        <f>VLOOKUP(C372,'Talente &amp; Stuff'!C:AD,20,FALSE)</f>
        <v>0</v>
      </c>
      <c r="W372" s="47">
        <f>VLOOKUP(C372,'Talente &amp; Stuff'!C:AD,21,FALSE)</f>
        <v>0</v>
      </c>
      <c r="X372" s="125">
        <f>VLOOKUP(C372,'Talente &amp; Stuff'!C:AD,22,FALSE)</f>
        <v>0</v>
      </c>
      <c r="Y372" s="175">
        <f t="shared" si="26"/>
        <v>0</v>
      </c>
      <c r="Z372" s="198">
        <f t="shared" si="27"/>
        <v>0</v>
      </c>
      <c r="AA372" s="125">
        <f>VLOOKUP(C372,'Talente &amp; Stuff'!C:AD,25,FALSE)</f>
        <v>0</v>
      </c>
      <c r="AB372" s="160">
        <f>VLOOKUP(C372,'Talente &amp; Stuff'!C:AD,26,FALSE)</f>
        <v>0</v>
      </c>
      <c r="AC372" s="127">
        <f>VLOOKUP(C372,'Talente &amp; Stuff'!C:AD,27,FALSE)</f>
        <v>0</v>
      </c>
      <c r="AD372" s="125">
        <f>VLOOKUP(C372,'Talente &amp; Stuff'!C:AD,28,FALSE)</f>
        <v>0</v>
      </c>
      <c r="AE372" s="28"/>
    </row>
    <row r="373" spans="2:31" hidden="1" outlineLevel="2">
      <c r="B373" s="148">
        <v>7</v>
      </c>
      <c r="C373" s="163" t="s">
        <v>281</v>
      </c>
      <c r="D373" s="125" t="str">
        <f>VLOOKUP(C373,'Talente &amp; Stuff'!C:AD,2,FALSE)</f>
        <v>--/--/--</v>
      </c>
      <c r="E373" s="125" t="str">
        <f>VLOOKUP(C373,'Talente &amp; Stuff'!C:AD,3,FALSE)</f>
        <v>-</v>
      </c>
      <c r="F373" s="113">
        <f>VLOOKUP(C373,'Talente &amp; Stuff'!C:AD,4,FALSE)</f>
        <v>0</v>
      </c>
      <c r="G373" s="113">
        <f>VLOOKUP(C373,'Talente &amp; Stuff'!C:AD,5,FALSE)</f>
        <v>0</v>
      </c>
      <c r="H373" s="113">
        <f>VLOOKUP(C373,'Talente &amp; Stuff'!C:AD,6,FALSE)</f>
        <v>0</v>
      </c>
      <c r="I373" s="113">
        <f>VLOOKUP(C373,'Talente &amp; Stuff'!C:AD,7,FALSE)</f>
        <v>0</v>
      </c>
      <c r="J373" s="113">
        <f>VLOOKUP(C373,'Talente &amp; Stuff'!C:AD,8,FALSE)</f>
        <v>0</v>
      </c>
      <c r="K373" s="113">
        <f>VLOOKUP(C373,'Talente &amp; Stuff'!C:AD,9,FALSE)</f>
        <v>0</v>
      </c>
      <c r="L373" s="113">
        <f>VLOOKUP(C373,'Talente &amp; Stuff'!C:AD,10,FALSE)</f>
        <v>0</v>
      </c>
      <c r="M373" s="113">
        <f>VLOOKUP(C373,'Talente &amp; Stuff'!C:AD,11,FALSE)</f>
        <v>0</v>
      </c>
      <c r="N373" s="89">
        <f>VLOOKUP(C373,'Talente &amp; Stuff'!C:AD,12,FALSE)</f>
        <v>0</v>
      </c>
      <c r="O373" s="47">
        <f>VLOOKUP(C373,'Talente &amp; Stuff'!C:AD,13,FALSE)</f>
        <v>0</v>
      </c>
      <c r="P373" s="119">
        <f>VLOOKUP(C373,'Talente &amp; Stuff'!C:AD,14,FALSE)</f>
        <v>0</v>
      </c>
      <c r="Q373" s="113">
        <f>VLOOKUP(C373,'Talente &amp; Stuff'!C:AD,15,FALSE)</f>
        <v>0</v>
      </c>
      <c r="R373" s="113">
        <f>VLOOKUP(C373,'Talente &amp; Stuff'!C:AD,16,FALSE)</f>
        <v>0</v>
      </c>
      <c r="S373" s="113">
        <f>VLOOKUP(C373,'Talente &amp; Stuff'!C:AD,17,FALSE)</f>
        <v>0</v>
      </c>
      <c r="T373" s="160">
        <f>VLOOKUP(C373,'Talente &amp; Stuff'!C:AD,18,FALSE)</f>
        <v>0</v>
      </c>
      <c r="U373" s="47">
        <f>VLOOKUP(C373,'Talente &amp; Stuff'!C:AD,19,FALSE)</f>
        <v>0</v>
      </c>
      <c r="V373" s="47">
        <f>VLOOKUP(C373,'Talente &amp; Stuff'!C:AD,20,FALSE)</f>
        <v>0</v>
      </c>
      <c r="W373" s="47">
        <f>VLOOKUP(C373,'Talente &amp; Stuff'!C:AD,21,FALSE)</f>
        <v>0</v>
      </c>
      <c r="X373" s="125">
        <f>VLOOKUP(C373,'Talente &amp; Stuff'!C:AD,22,FALSE)</f>
        <v>0</v>
      </c>
      <c r="Y373" s="175">
        <f t="shared" si="26"/>
        <v>0</v>
      </c>
      <c r="Z373" s="198">
        <f t="shared" si="27"/>
        <v>0</v>
      </c>
      <c r="AA373" s="125">
        <f>VLOOKUP(C373,'Talente &amp; Stuff'!C:AD,25,FALSE)</f>
        <v>0</v>
      </c>
      <c r="AB373" s="160">
        <f>VLOOKUP(C373,'Talente &amp; Stuff'!C:AD,26,FALSE)</f>
        <v>0</v>
      </c>
      <c r="AC373" s="127">
        <f>VLOOKUP(C373,'Talente &amp; Stuff'!C:AD,27,FALSE)</f>
        <v>0</v>
      </c>
      <c r="AD373" s="125">
        <f>VLOOKUP(C373,'Talente &amp; Stuff'!C:AD,28,FALSE)</f>
        <v>0</v>
      </c>
      <c r="AE373" s="28"/>
    </row>
    <row r="374" spans="2:31" hidden="1" outlineLevel="2">
      <c r="B374" s="148">
        <v>8</v>
      </c>
      <c r="C374" s="164" t="s">
        <v>281</v>
      </c>
      <c r="D374" s="159" t="str">
        <f>VLOOKUP(C374,'Talente &amp; Stuff'!C:AD,2,FALSE)</f>
        <v>--/--/--</v>
      </c>
      <c r="E374" s="159" t="str">
        <f>VLOOKUP(C374,'Talente &amp; Stuff'!C:AD,3,FALSE)</f>
        <v>-</v>
      </c>
      <c r="F374" s="122">
        <f>VLOOKUP(C374,'Talente &amp; Stuff'!C:AD,4,FALSE)</f>
        <v>0</v>
      </c>
      <c r="G374" s="122">
        <f>VLOOKUP(C374,'Talente &amp; Stuff'!C:AD,5,FALSE)</f>
        <v>0</v>
      </c>
      <c r="H374" s="122">
        <f>VLOOKUP(C374,'Talente &amp; Stuff'!C:AD,6,FALSE)</f>
        <v>0</v>
      </c>
      <c r="I374" s="122">
        <f>VLOOKUP(C374,'Talente &amp; Stuff'!C:AD,7,FALSE)</f>
        <v>0</v>
      </c>
      <c r="J374" s="122">
        <f>VLOOKUP(C374,'Talente &amp; Stuff'!C:AD,8,FALSE)</f>
        <v>0</v>
      </c>
      <c r="K374" s="122">
        <f>VLOOKUP(C374,'Talente &amp; Stuff'!C:AD,9,FALSE)</f>
        <v>0</v>
      </c>
      <c r="L374" s="122">
        <f>VLOOKUP(C374,'Talente &amp; Stuff'!C:AD,10,FALSE)</f>
        <v>0</v>
      </c>
      <c r="M374" s="122">
        <f>VLOOKUP(C374,'Talente &amp; Stuff'!C:AD,11,FALSE)</f>
        <v>0</v>
      </c>
      <c r="N374" s="90">
        <f>VLOOKUP(C374,'Talente &amp; Stuff'!C:AD,12,FALSE)</f>
        <v>0</v>
      </c>
      <c r="O374" s="88">
        <f>VLOOKUP(C374,'Talente &amp; Stuff'!C:AD,13,FALSE)</f>
        <v>0</v>
      </c>
      <c r="P374" s="123">
        <f>VLOOKUP(C374,'Talente &amp; Stuff'!C:AD,14,FALSE)</f>
        <v>0</v>
      </c>
      <c r="Q374" s="122">
        <f>VLOOKUP(C374,'Talente &amp; Stuff'!C:AD,15,FALSE)</f>
        <v>0</v>
      </c>
      <c r="R374" s="122">
        <f>VLOOKUP(C374,'Talente &amp; Stuff'!C:AD,16,FALSE)</f>
        <v>0</v>
      </c>
      <c r="S374" s="122">
        <f>VLOOKUP(C374,'Talente &amp; Stuff'!C:AD,17,FALSE)</f>
        <v>0</v>
      </c>
      <c r="T374" s="161">
        <f>VLOOKUP(C374,'Talente &amp; Stuff'!C:AD,18,FALSE)</f>
        <v>0</v>
      </c>
      <c r="U374" s="88">
        <f>VLOOKUP(C374,'Talente &amp; Stuff'!C:AD,19,FALSE)</f>
        <v>0</v>
      </c>
      <c r="V374" s="88">
        <f>VLOOKUP(C374,'Talente &amp; Stuff'!C:AD,20,FALSE)</f>
        <v>0</v>
      </c>
      <c r="W374" s="88">
        <f>VLOOKUP(C374,'Talente &amp; Stuff'!C:AD,21,FALSE)</f>
        <v>0</v>
      </c>
      <c r="X374" s="159">
        <f>VLOOKUP(C374,'Talente &amp; Stuff'!C:AD,22,FALSE)</f>
        <v>0</v>
      </c>
      <c r="Y374" s="175">
        <f t="shared" si="26"/>
        <v>0</v>
      </c>
      <c r="Z374" s="198">
        <f t="shared" si="27"/>
        <v>0</v>
      </c>
      <c r="AA374" s="159">
        <f>VLOOKUP(C374,'Talente &amp; Stuff'!C:AD,25,FALSE)</f>
        <v>0</v>
      </c>
      <c r="AB374" s="161">
        <f>VLOOKUP(C374,'Talente &amp; Stuff'!C:AD,26,FALSE)</f>
        <v>0</v>
      </c>
      <c r="AC374" s="128">
        <f>VLOOKUP(C374,'Talente &amp; Stuff'!C:AD,27,FALSE)</f>
        <v>0</v>
      </c>
      <c r="AD374" s="159">
        <f>VLOOKUP(C374,'Talente &amp; Stuff'!C:AD,28,FALSE)</f>
        <v>0</v>
      </c>
      <c r="AE374" s="28"/>
    </row>
    <row r="375" spans="2:31" hidden="1" outlineLevel="1" collapsed="1">
      <c r="B375" s="134" t="s">
        <v>329</v>
      </c>
      <c r="C375" s="83"/>
      <c r="D375" s="84"/>
      <c r="E375" s="84"/>
      <c r="F375" s="148"/>
      <c r="G375" s="148"/>
      <c r="H375" s="148"/>
      <c r="I375" s="148"/>
      <c r="J375" s="148"/>
      <c r="K375" s="148"/>
      <c r="L375" s="148"/>
      <c r="M375" s="148"/>
      <c r="N375" s="148"/>
      <c r="O375" s="148"/>
      <c r="P375" s="148"/>
      <c r="Q375" s="148"/>
      <c r="R375" s="148"/>
      <c r="S375" s="148"/>
      <c r="T375" s="148"/>
      <c r="U375" s="148"/>
      <c r="V375" s="148"/>
      <c r="W375" s="148"/>
      <c r="X375" s="148"/>
    </row>
    <row r="376" spans="2:31" hidden="1" outlineLevel="2">
      <c r="B376" s="133">
        <v>1</v>
      </c>
      <c r="C376" s="162" t="s">
        <v>281</v>
      </c>
      <c r="D376" s="85" t="str">
        <f>VLOOKUP(C376,'Talente &amp; Stuff'!C:AD,2,FALSE)</f>
        <v>--/--/--</v>
      </c>
      <c r="E376" s="158" t="str">
        <f>VLOOKUP(C376,'Talente &amp; Stuff'!C:AD,3,FALSE)</f>
        <v>-</v>
      </c>
      <c r="F376" s="118">
        <f>VLOOKUP(C376,'Talente &amp; Stuff'!C:AD,4,FALSE)</f>
        <v>0</v>
      </c>
      <c r="G376" s="118">
        <f>VLOOKUP(C376,'Talente &amp; Stuff'!C:AD,5,FALSE)</f>
        <v>0</v>
      </c>
      <c r="H376" s="118">
        <f>VLOOKUP(C376,'Talente &amp; Stuff'!C:AD,6,FALSE)</f>
        <v>0</v>
      </c>
      <c r="I376" s="118">
        <f>VLOOKUP(C376,'Talente &amp; Stuff'!C:AD,7,FALSE)</f>
        <v>0</v>
      </c>
      <c r="J376" s="118">
        <f>VLOOKUP(C376,'Talente &amp; Stuff'!C:AD,8,FALSE)</f>
        <v>0</v>
      </c>
      <c r="K376" s="118">
        <f>VLOOKUP(C376,'Talente &amp; Stuff'!C:AD,9,FALSE)</f>
        <v>0</v>
      </c>
      <c r="L376" s="118">
        <f>VLOOKUP(C376,'Talente &amp; Stuff'!C:AD,10,FALSE)</f>
        <v>0</v>
      </c>
      <c r="M376" s="118">
        <f>VLOOKUP(C376,'Talente &amp; Stuff'!C:AD,11,FALSE)</f>
        <v>0</v>
      </c>
      <c r="N376" s="154">
        <f>VLOOKUP(C376,'Talente &amp; Stuff'!C:AD,12,FALSE)</f>
        <v>0</v>
      </c>
      <c r="O376" s="116">
        <f>VLOOKUP(C376,'Talente &amp; Stuff'!C:AD,13,FALSE)</f>
        <v>0</v>
      </c>
      <c r="P376" s="92">
        <f>VLOOKUP(C376,'Talente &amp; Stuff'!C:AD,14,FALSE)</f>
        <v>0</v>
      </c>
      <c r="Q376" s="118">
        <f>VLOOKUP(C376,'Talente &amp; Stuff'!C:AD,15,FALSE)</f>
        <v>0</v>
      </c>
      <c r="R376" s="118">
        <f>VLOOKUP(C376,'Talente &amp; Stuff'!C:AD,16,FALSE)</f>
        <v>0</v>
      </c>
      <c r="S376" s="118">
        <f>VLOOKUP(C376,'Talente &amp; Stuff'!C:AD,17,FALSE)</f>
        <v>0</v>
      </c>
      <c r="T376" s="91">
        <f>VLOOKUP(C376,'Talente &amp; Stuff'!C:AD,18,FALSE)</f>
        <v>0</v>
      </c>
      <c r="U376" s="116">
        <f>VLOOKUP(C376,'Talente &amp; Stuff'!C:AD,19,FALSE)</f>
        <v>0</v>
      </c>
      <c r="V376" s="116">
        <f>VLOOKUP(C376,'Talente &amp; Stuff'!C:AD,20,FALSE)</f>
        <v>0</v>
      </c>
      <c r="W376" s="116">
        <f>VLOOKUP(C376,'Talente &amp; Stuff'!C:AD,21,FALSE)</f>
        <v>0</v>
      </c>
      <c r="X376" s="158">
        <f>VLOOKUP(C376,'Talente &amp; Stuff'!C:AD,22,FALSE)</f>
        <v>0</v>
      </c>
      <c r="Y376" s="175">
        <f t="shared" ref="Y376:Y386" si="28">VLOOKUP(C376,Ausgewählte_Rituale_Gildenmagier,23,FALSE)</f>
        <v>0</v>
      </c>
      <c r="Z376" s="198">
        <f t="shared" ref="Z376:Z386" si="29">VLOOKUP(C376,Ausgewählte_Rituale_Gildenmagier,24,FALSE)</f>
        <v>0</v>
      </c>
      <c r="AA376" s="158">
        <f>VLOOKUP(C376,'Talente &amp; Stuff'!C:AD,25,FALSE)</f>
        <v>0</v>
      </c>
      <c r="AB376" s="91">
        <f>VLOOKUP(C376,'Talente &amp; Stuff'!C:AD,26,FALSE)</f>
        <v>0</v>
      </c>
      <c r="AC376" s="126">
        <f>VLOOKUP(C376,'Talente &amp; Stuff'!C:AD,27,FALSE)</f>
        <v>0</v>
      </c>
      <c r="AD376" s="158">
        <f>VLOOKUP(C376,'Talente &amp; Stuff'!C:AD,28,FALSE)</f>
        <v>0</v>
      </c>
      <c r="AE376" s="28"/>
    </row>
    <row r="377" spans="2:31" s="148" customFormat="1" hidden="1" outlineLevel="2">
      <c r="B377" s="148">
        <v>2</v>
      </c>
      <c r="C377" s="163" t="s">
        <v>281</v>
      </c>
      <c r="D377" s="86" t="str">
        <f>VLOOKUP(C377,'Talente &amp; Stuff'!C:AD,2,FALSE)</f>
        <v>--/--/--</v>
      </c>
      <c r="E377" s="125" t="str">
        <f>VLOOKUP(C377,'Talente &amp; Stuff'!C:AD,3,FALSE)</f>
        <v>-</v>
      </c>
      <c r="F377" s="113">
        <f>VLOOKUP(C377,'Talente &amp; Stuff'!C:AD,4,FALSE)</f>
        <v>0</v>
      </c>
      <c r="G377" s="113">
        <f>VLOOKUP(C377,'Talente &amp; Stuff'!C:AD,5,FALSE)</f>
        <v>0</v>
      </c>
      <c r="H377" s="113">
        <f>VLOOKUP(C377,'Talente &amp; Stuff'!C:AD,6,FALSE)</f>
        <v>0</v>
      </c>
      <c r="I377" s="113">
        <f>VLOOKUP(C377,'Talente &amp; Stuff'!C:AD,7,FALSE)</f>
        <v>0</v>
      </c>
      <c r="J377" s="113">
        <f>VLOOKUP(C377,'Talente &amp; Stuff'!C:AD,8,FALSE)</f>
        <v>0</v>
      </c>
      <c r="K377" s="113">
        <f>VLOOKUP(C377,'Talente &amp; Stuff'!C:AD,9,FALSE)</f>
        <v>0</v>
      </c>
      <c r="L377" s="113">
        <f>VLOOKUP(C377,'Talente &amp; Stuff'!C:AD,10,FALSE)</f>
        <v>0</v>
      </c>
      <c r="M377" s="113">
        <f>VLOOKUP(C377,'Talente &amp; Stuff'!C:AD,11,FALSE)</f>
        <v>0</v>
      </c>
      <c r="N377" s="89">
        <f>VLOOKUP(C377,'Talente &amp; Stuff'!C:AD,12,FALSE)</f>
        <v>0</v>
      </c>
      <c r="O377" s="47">
        <f>VLOOKUP(C377,'Talente &amp; Stuff'!C:AD,13,FALSE)</f>
        <v>0</v>
      </c>
      <c r="P377" s="119">
        <f>VLOOKUP(C377,'Talente &amp; Stuff'!C:AD,14,FALSE)</f>
        <v>0</v>
      </c>
      <c r="Q377" s="113">
        <f>VLOOKUP(C377,'Talente &amp; Stuff'!C:AD,15,FALSE)</f>
        <v>0</v>
      </c>
      <c r="R377" s="113">
        <f>VLOOKUP(C377,'Talente &amp; Stuff'!C:AD,16,FALSE)</f>
        <v>0</v>
      </c>
      <c r="S377" s="113">
        <f>VLOOKUP(C377,'Talente &amp; Stuff'!C:AD,17,FALSE)</f>
        <v>0</v>
      </c>
      <c r="T377" s="160">
        <f>VLOOKUP(C377,'Talente &amp; Stuff'!C:AD,18,FALSE)</f>
        <v>0</v>
      </c>
      <c r="U377" s="47">
        <f>VLOOKUP(C377,'Talente &amp; Stuff'!C:AD,19,FALSE)</f>
        <v>0</v>
      </c>
      <c r="V377" s="47">
        <f>VLOOKUP(C377,'Talente &amp; Stuff'!C:AD,20,FALSE)</f>
        <v>0</v>
      </c>
      <c r="W377" s="47">
        <f>VLOOKUP(C377,'Talente &amp; Stuff'!C:AD,21,FALSE)</f>
        <v>0</v>
      </c>
      <c r="X377" s="125">
        <f>VLOOKUP(C377,'Talente &amp; Stuff'!C:AD,22,FALSE)</f>
        <v>0</v>
      </c>
      <c r="Y377" s="175">
        <f t="shared" si="28"/>
        <v>0</v>
      </c>
      <c r="Z377" s="198">
        <f t="shared" si="29"/>
        <v>0</v>
      </c>
      <c r="AA377" s="125">
        <f>VLOOKUP(C377,'Talente &amp; Stuff'!C:AD,25,FALSE)</f>
        <v>0</v>
      </c>
      <c r="AB377" s="160">
        <f>VLOOKUP(C377,'Talente &amp; Stuff'!C:AD,26,FALSE)</f>
        <v>0</v>
      </c>
      <c r="AC377" s="127">
        <f>VLOOKUP(C377,'Talente &amp; Stuff'!C:AD,27,FALSE)</f>
        <v>0</v>
      </c>
      <c r="AD377" s="125">
        <f>VLOOKUP(C377,'Talente &amp; Stuff'!C:AD,28,FALSE)</f>
        <v>0</v>
      </c>
      <c r="AE377" s="28"/>
    </row>
    <row r="378" spans="2:31" s="148" customFormat="1" hidden="1" outlineLevel="2">
      <c r="B378" s="148">
        <v>3</v>
      </c>
      <c r="C378" s="163" t="s">
        <v>281</v>
      </c>
      <c r="D378" s="86" t="str">
        <f>VLOOKUP(C378,'Talente &amp; Stuff'!C:AD,2,FALSE)</f>
        <v>--/--/--</v>
      </c>
      <c r="E378" s="125" t="str">
        <f>VLOOKUP(C378,'Talente &amp; Stuff'!C:AD,3,FALSE)</f>
        <v>-</v>
      </c>
      <c r="F378" s="113">
        <f>VLOOKUP(C378,'Talente &amp; Stuff'!C:AD,4,FALSE)</f>
        <v>0</v>
      </c>
      <c r="G378" s="113">
        <f>VLOOKUP(C378,'Talente &amp; Stuff'!C:AD,5,FALSE)</f>
        <v>0</v>
      </c>
      <c r="H378" s="113">
        <f>VLOOKUP(C378,'Talente &amp; Stuff'!C:AD,6,FALSE)</f>
        <v>0</v>
      </c>
      <c r="I378" s="113">
        <f>VLOOKUP(C378,'Talente &amp; Stuff'!C:AD,7,FALSE)</f>
        <v>0</v>
      </c>
      <c r="J378" s="113">
        <f>VLOOKUP(C378,'Talente &amp; Stuff'!C:AD,8,FALSE)</f>
        <v>0</v>
      </c>
      <c r="K378" s="113">
        <f>VLOOKUP(C378,'Talente &amp; Stuff'!C:AD,9,FALSE)</f>
        <v>0</v>
      </c>
      <c r="L378" s="113">
        <f>VLOOKUP(C378,'Talente &amp; Stuff'!C:AD,10,FALSE)</f>
        <v>0</v>
      </c>
      <c r="M378" s="113">
        <f>VLOOKUP(C378,'Talente &amp; Stuff'!C:AD,11,FALSE)</f>
        <v>0</v>
      </c>
      <c r="N378" s="89">
        <f>VLOOKUP(C378,'Talente &amp; Stuff'!C:AD,12,FALSE)</f>
        <v>0</v>
      </c>
      <c r="O378" s="47">
        <f>VLOOKUP(C378,'Talente &amp; Stuff'!C:AD,13,FALSE)</f>
        <v>0</v>
      </c>
      <c r="P378" s="119">
        <f>VLOOKUP(C378,'Talente &amp; Stuff'!C:AD,14,FALSE)</f>
        <v>0</v>
      </c>
      <c r="Q378" s="113">
        <f>VLOOKUP(C378,'Talente &amp; Stuff'!C:AD,15,FALSE)</f>
        <v>0</v>
      </c>
      <c r="R378" s="113">
        <f>VLOOKUP(C378,'Talente &amp; Stuff'!C:AD,16,FALSE)</f>
        <v>0</v>
      </c>
      <c r="S378" s="113">
        <f>VLOOKUP(C378,'Talente &amp; Stuff'!C:AD,17,FALSE)</f>
        <v>0</v>
      </c>
      <c r="T378" s="160">
        <f>VLOOKUP(C378,'Talente &amp; Stuff'!C:AD,18,FALSE)</f>
        <v>0</v>
      </c>
      <c r="U378" s="47">
        <f>VLOOKUP(C378,'Talente &amp; Stuff'!C:AD,19,FALSE)</f>
        <v>0</v>
      </c>
      <c r="V378" s="47">
        <f>VLOOKUP(C378,'Talente &amp; Stuff'!C:AD,20,FALSE)</f>
        <v>0</v>
      </c>
      <c r="W378" s="47">
        <f>VLOOKUP(C378,'Talente &amp; Stuff'!C:AD,21,FALSE)</f>
        <v>0</v>
      </c>
      <c r="X378" s="125">
        <f>VLOOKUP(C378,'Talente &amp; Stuff'!C:AD,22,FALSE)</f>
        <v>0</v>
      </c>
      <c r="Y378" s="175">
        <f t="shared" si="28"/>
        <v>0</v>
      </c>
      <c r="Z378" s="198">
        <f t="shared" si="29"/>
        <v>0</v>
      </c>
      <c r="AA378" s="125">
        <f>VLOOKUP(C378,'Talente &amp; Stuff'!C:AD,25,FALSE)</f>
        <v>0</v>
      </c>
      <c r="AB378" s="160">
        <f>VLOOKUP(C378,'Talente &amp; Stuff'!C:AD,26,FALSE)</f>
        <v>0</v>
      </c>
      <c r="AC378" s="127">
        <f>VLOOKUP(C378,'Talente &amp; Stuff'!C:AD,27,FALSE)</f>
        <v>0</v>
      </c>
      <c r="AD378" s="125">
        <f>VLOOKUP(C378,'Talente &amp; Stuff'!C:AD,28,FALSE)</f>
        <v>0</v>
      </c>
      <c r="AE378" s="28"/>
    </row>
    <row r="379" spans="2:31" s="148" customFormat="1" hidden="1" outlineLevel="2">
      <c r="B379" s="148">
        <v>4</v>
      </c>
      <c r="C379" s="163" t="s">
        <v>281</v>
      </c>
      <c r="D379" s="86" t="str">
        <f>VLOOKUP(C379,'Talente &amp; Stuff'!C:AD,2,FALSE)</f>
        <v>--/--/--</v>
      </c>
      <c r="E379" s="125" t="str">
        <f>VLOOKUP(C379,'Talente &amp; Stuff'!C:AD,3,FALSE)</f>
        <v>-</v>
      </c>
      <c r="F379" s="113">
        <f>VLOOKUP(C379,'Talente &amp; Stuff'!C:AD,4,FALSE)</f>
        <v>0</v>
      </c>
      <c r="G379" s="113">
        <f>VLOOKUP(C379,'Talente &amp; Stuff'!C:AD,5,FALSE)</f>
        <v>0</v>
      </c>
      <c r="H379" s="113">
        <f>VLOOKUP(C379,'Talente &amp; Stuff'!C:AD,6,FALSE)</f>
        <v>0</v>
      </c>
      <c r="I379" s="113">
        <f>VLOOKUP(C379,'Talente &amp; Stuff'!C:AD,7,FALSE)</f>
        <v>0</v>
      </c>
      <c r="J379" s="113">
        <f>VLOOKUP(C379,'Talente &amp; Stuff'!C:AD,8,FALSE)</f>
        <v>0</v>
      </c>
      <c r="K379" s="113">
        <f>VLOOKUP(C379,'Talente &amp; Stuff'!C:AD,9,FALSE)</f>
        <v>0</v>
      </c>
      <c r="L379" s="113">
        <f>VLOOKUP(C379,'Talente &amp; Stuff'!C:AD,10,FALSE)</f>
        <v>0</v>
      </c>
      <c r="M379" s="113">
        <f>VLOOKUP(C379,'Talente &amp; Stuff'!C:AD,11,FALSE)</f>
        <v>0</v>
      </c>
      <c r="N379" s="89">
        <f>VLOOKUP(C379,'Talente &amp; Stuff'!C:AD,12,FALSE)</f>
        <v>0</v>
      </c>
      <c r="O379" s="47">
        <f>VLOOKUP(C379,'Talente &amp; Stuff'!C:AD,13,FALSE)</f>
        <v>0</v>
      </c>
      <c r="P379" s="119">
        <f>VLOOKUP(C379,'Talente &amp; Stuff'!C:AD,14,FALSE)</f>
        <v>0</v>
      </c>
      <c r="Q379" s="113">
        <f>VLOOKUP(C379,'Talente &amp; Stuff'!C:AD,15,FALSE)</f>
        <v>0</v>
      </c>
      <c r="R379" s="113">
        <f>VLOOKUP(C379,'Talente &amp; Stuff'!C:AD,16,FALSE)</f>
        <v>0</v>
      </c>
      <c r="S379" s="113">
        <f>VLOOKUP(C379,'Talente &amp; Stuff'!C:AD,17,FALSE)</f>
        <v>0</v>
      </c>
      <c r="T379" s="160">
        <f>VLOOKUP(C379,'Talente &amp; Stuff'!C:AD,18,FALSE)</f>
        <v>0</v>
      </c>
      <c r="U379" s="47">
        <f>VLOOKUP(C379,'Talente &amp; Stuff'!C:AD,19,FALSE)</f>
        <v>0</v>
      </c>
      <c r="V379" s="47">
        <f>VLOOKUP(C379,'Talente &amp; Stuff'!C:AD,20,FALSE)</f>
        <v>0</v>
      </c>
      <c r="W379" s="47">
        <f>VLOOKUP(C379,'Talente &amp; Stuff'!C:AD,21,FALSE)</f>
        <v>0</v>
      </c>
      <c r="X379" s="125">
        <f>VLOOKUP(C379,'Talente &amp; Stuff'!C:AD,22,FALSE)</f>
        <v>0</v>
      </c>
      <c r="Y379" s="175">
        <f t="shared" si="28"/>
        <v>0</v>
      </c>
      <c r="Z379" s="198">
        <f t="shared" si="29"/>
        <v>0</v>
      </c>
      <c r="AA379" s="125">
        <f>VLOOKUP(C379,'Talente &amp; Stuff'!C:AD,25,FALSE)</f>
        <v>0</v>
      </c>
      <c r="AB379" s="160">
        <f>VLOOKUP(C379,'Talente &amp; Stuff'!C:AD,26,FALSE)</f>
        <v>0</v>
      </c>
      <c r="AC379" s="127">
        <f>VLOOKUP(C379,'Talente &amp; Stuff'!C:AD,27,FALSE)</f>
        <v>0</v>
      </c>
      <c r="AD379" s="125">
        <f>VLOOKUP(C379,'Talente &amp; Stuff'!C:AD,28,FALSE)</f>
        <v>0</v>
      </c>
      <c r="AE379" s="28"/>
    </row>
    <row r="380" spans="2:31" s="148" customFormat="1" hidden="1" outlineLevel="2">
      <c r="B380" s="148">
        <v>5</v>
      </c>
      <c r="C380" s="163" t="s">
        <v>281</v>
      </c>
      <c r="D380" s="86" t="str">
        <f>VLOOKUP(C380,'Talente &amp; Stuff'!C:AD,2,FALSE)</f>
        <v>--/--/--</v>
      </c>
      <c r="E380" s="125" t="str">
        <f>VLOOKUP(C380,'Talente &amp; Stuff'!C:AD,3,FALSE)</f>
        <v>-</v>
      </c>
      <c r="F380" s="113">
        <f>VLOOKUP(C380,'Talente &amp; Stuff'!C:AD,4,FALSE)</f>
        <v>0</v>
      </c>
      <c r="G380" s="113">
        <f>VLOOKUP(C380,'Talente &amp; Stuff'!C:AD,5,FALSE)</f>
        <v>0</v>
      </c>
      <c r="H380" s="113">
        <f>VLOOKUP(C380,'Talente &amp; Stuff'!C:AD,6,FALSE)</f>
        <v>0</v>
      </c>
      <c r="I380" s="113">
        <f>VLOOKUP(C380,'Talente &amp; Stuff'!C:AD,7,FALSE)</f>
        <v>0</v>
      </c>
      <c r="J380" s="113">
        <f>VLOOKUP(C380,'Talente &amp; Stuff'!C:AD,8,FALSE)</f>
        <v>0</v>
      </c>
      <c r="K380" s="113">
        <f>VLOOKUP(C380,'Talente &amp; Stuff'!C:AD,9,FALSE)</f>
        <v>0</v>
      </c>
      <c r="L380" s="113">
        <f>VLOOKUP(C380,'Talente &amp; Stuff'!C:AD,10,FALSE)</f>
        <v>0</v>
      </c>
      <c r="M380" s="113">
        <f>VLOOKUP(C380,'Talente &amp; Stuff'!C:AD,11,FALSE)</f>
        <v>0</v>
      </c>
      <c r="N380" s="89">
        <f>VLOOKUP(C380,'Talente &amp; Stuff'!C:AD,12,FALSE)</f>
        <v>0</v>
      </c>
      <c r="O380" s="47">
        <f>VLOOKUP(C380,'Talente &amp; Stuff'!C:AD,13,FALSE)</f>
        <v>0</v>
      </c>
      <c r="P380" s="119">
        <f>VLOOKUP(C380,'Talente &amp; Stuff'!C:AD,14,FALSE)</f>
        <v>0</v>
      </c>
      <c r="Q380" s="113">
        <f>VLOOKUP(C380,'Talente &amp; Stuff'!C:AD,15,FALSE)</f>
        <v>0</v>
      </c>
      <c r="R380" s="113">
        <f>VLOOKUP(C380,'Talente &amp; Stuff'!C:AD,16,FALSE)</f>
        <v>0</v>
      </c>
      <c r="S380" s="113">
        <f>VLOOKUP(C380,'Talente &amp; Stuff'!C:AD,17,FALSE)</f>
        <v>0</v>
      </c>
      <c r="T380" s="160">
        <f>VLOOKUP(C380,'Talente &amp; Stuff'!C:AD,18,FALSE)</f>
        <v>0</v>
      </c>
      <c r="U380" s="47">
        <f>VLOOKUP(C380,'Talente &amp; Stuff'!C:AD,19,FALSE)</f>
        <v>0</v>
      </c>
      <c r="V380" s="47">
        <f>VLOOKUP(C380,'Talente &amp; Stuff'!C:AD,20,FALSE)</f>
        <v>0</v>
      </c>
      <c r="W380" s="47">
        <f>VLOOKUP(C380,'Talente &amp; Stuff'!C:AD,21,FALSE)</f>
        <v>0</v>
      </c>
      <c r="X380" s="125">
        <f>VLOOKUP(C380,'Talente &amp; Stuff'!C:AD,22,FALSE)</f>
        <v>0</v>
      </c>
      <c r="Y380" s="175">
        <f t="shared" si="28"/>
        <v>0</v>
      </c>
      <c r="Z380" s="198">
        <f t="shared" si="29"/>
        <v>0</v>
      </c>
      <c r="AA380" s="125">
        <f>VLOOKUP(C380,'Talente &amp; Stuff'!C:AD,25,FALSE)</f>
        <v>0</v>
      </c>
      <c r="AB380" s="160">
        <f>VLOOKUP(C380,'Talente &amp; Stuff'!C:AD,26,FALSE)</f>
        <v>0</v>
      </c>
      <c r="AC380" s="127">
        <f>VLOOKUP(C380,'Talente &amp; Stuff'!C:AD,27,FALSE)</f>
        <v>0</v>
      </c>
      <c r="AD380" s="125">
        <f>VLOOKUP(C380,'Talente &amp; Stuff'!C:AD,28,FALSE)</f>
        <v>0</v>
      </c>
      <c r="AE380" s="28"/>
    </row>
    <row r="381" spans="2:31" s="148" customFormat="1" hidden="1" outlineLevel="2">
      <c r="B381" s="148">
        <v>6</v>
      </c>
      <c r="C381" s="163" t="s">
        <v>281</v>
      </c>
      <c r="D381" s="86" t="str">
        <f>VLOOKUP(C381,'Talente &amp; Stuff'!C:AD,2,FALSE)</f>
        <v>--/--/--</v>
      </c>
      <c r="E381" s="125" t="str">
        <f>VLOOKUP(C381,'Talente &amp; Stuff'!C:AD,3,FALSE)</f>
        <v>-</v>
      </c>
      <c r="F381" s="113">
        <f>VLOOKUP(C381,'Talente &amp; Stuff'!C:AD,4,FALSE)</f>
        <v>0</v>
      </c>
      <c r="G381" s="113">
        <f>VLOOKUP(C381,'Talente &amp; Stuff'!C:AD,5,FALSE)</f>
        <v>0</v>
      </c>
      <c r="H381" s="113">
        <f>VLOOKUP(C381,'Talente &amp; Stuff'!C:AD,6,FALSE)</f>
        <v>0</v>
      </c>
      <c r="I381" s="113">
        <f>VLOOKUP(C381,'Talente &amp; Stuff'!C:AD,7,FALSE)</f>
        <v>0</v>
      </c>
      <c r="J381" s="113">
        <f>VLOOKUP(C381,'Talente &amp; Stuff'!C:AD,8,FALSE)</f>
        <v>0</v>
      </c>
      <c r="K381" s="113">
        <f>VLOOKUP(C381,'Talente &amp; Stuff'!C:AD,9,FALSE)</f>
        <v>0</v>
      </c>
      <c r="L381" s="113">
        <f>VLOOKUP(C381,'Talente &amp; Stuff'!C:AD,10,FALSE)</f>
        <v>0</v>
      </c>
      <c r="M381" s="113">
        <f>VLOOKUP(C381,'Talente &amp; Stuff'!C:AD,11,FALSE)</f>
        <v>0</v>
      </c>
      <c r="N381" s="89">
        <f>VLOOKUP(C381,'Talente &amp; Stuff'!C:AD,12,FALSE)</f>
        <v>0</v>
      </c>
      <c r="O381" s="47">
        <f>VLOOKUP(C381,'Talente &amp; Stuff'!C:AD,13,FALSE)</f>
        <v>0</v>
      </c>
      <c r="P381" s="119">
        <f>VLOOKUP(C381,'Talente &amp; Stuff'!C:AD,14,FALSE)</f>
        <v>0</v>
      </c>
      <c r="Q381" s="113">
        <f>VLOOKUP(C381,'Talente &amp; Stuff'!C:AD,15,FALSE)</f>
        <v>0</v>
      </c>
      <c r="R381" s="113">
        <f>VLOOKUP(C381,'Talente &amp; Stuff'!C:AD,16,FALSE)</f>
        <v>0</v>
      </c>
      <c r="S381" s="113">
        <f>VLOOKUP(C381,'Talente &amp; Stuff'!C:AD,17,FALSE)</f>
        <v>0</v>
      </c>
      <c r="T381" s="160">
        <f>VLOOKUP(C381,'Talente &amp; Stuff'!C:AD,18,FALSE)</f>
        <v>0</v>
      </c>
      <c r="U381" s="47">
        <f>VLOOKUP(C381,'Talente &amp; Stuff'!C:AD,19,FALSE)</f>
        <v>0</v>
      </c>
      <c r="V381" s="47">
        <f>VLOOKUP(C381,'Talente &amp; Stuff'!C:AD,20,FALSE)</f>
        <v>0</v>
      </c>
      <c r="W381" s="47">
        <f>VLOOKUP(C381,'Talente &amp; Stuff'!C:AD,21,FALSE)</f>
        <v>0</v>
      </c>
      <c r="X381" s="125">
        <f>VLOOKUP(C381,'Talente &amp; Stuff'!C:AD,22,FALSE)</f>
        <v>0</v>
      </c>
      <c r="Y381" s="175">
        <f t="shared" si="28"/>
        <v>0</v>
      </c>
      <c r="Z381" s="198">
        <f t="shared" si="29"/>
        <v>0</v>
      </c>
      <c r="AA381" s="125">
        <f>VLOOKUP(C381,'Talente &amp; Stuff'!C:AD,25,FALSE)</f>
        <v>0</v>
      </c>
      <c r="AB381" s="160">
        <f>VLOOKUP(C381,'Talente &amp; Stuff'!C:AD,26,FALSE)</f>
        <v>0</v>
      </c>
      <c r="AC381" s="127">
        <f>VLOOKUP(C381,'Talente &amp; Stuff'!C:AD,27,FALSE)</f>
        <v>0</v>
      </c>
      <c r="AD381" s="125">
        <f>VLOOKUP(C381,'Talente &amp; Stuff'!C:AD,28,FALSE)</f>
        <v>0</v>
      </c>
      <c r="AE381" s="28"/>
    </row>
    <row r="382" spans="2:31" s="148" customFormat="1" hidden="1" outlineLevel="2">
      <c r="B382" s="148">
        <v>7</v>
      </c>
      <c r="C382" s="163" t="s">
        <v>281</v>
      </c>
      <c r="D382" s="86" t="str">
        <f>VLOOKUP(C382,'Talente &amp; Stuff'!C:AD,2,FALSE)</f>
        <v>--/--/--</v>
      </c>
      <c r="E382" s="125" t="str">
        <f>VLOOKUP(C382,'Talente &amp; Stuff'!C:AD,3,FALSE)</f>
        <v>-</v>
      </c>
      <c r="F382" s="113">
        <f>VLOOKUP(C382,'Talente &amp; Stuff'!C:AD,4,FALSE)</f>
        <v>0</v>
      </c>
      <c r="G382" s="113">
        <f>VLOOKUP(C382,'Talente &amp; Stuff'!C:AD,5,FALSE)</f>
        <v>0</v>
      </c>
      <c r="H382" s="113">
        <f>VLOOKUP(C382,'Talente &amp; Stuff'!C:AD,6,FALSE)</f>
        <v>0</v>
      </c>
      <c r="I382" s="113">
        <f>VLOOKUP(C382,'Talente &amp; Stuff'!C:AD,7,FALSE)</f>
        <v>0</v>
      </c>
      <c r="J382" s="113">
        <f>VLOOKUP(C382,'Talente &amp; Stuff'!C:AD,8,FALSE)</f>
        <v>0</v>
      </c>
      <c r="K382" s="113">
        <f>VLOOKUP(C382,'Talente &amp; Stuff'!C:AD,9,FALSE)</f>
        <v>0</v>
      </c>
      <c r="L382" s="113">
        <f>VLOOKUP(C382,'Talente &amp; Stuff'!C:AD,10,FALSE)</f>
        <v>0</v>
      </c>
      <c r="M382" s="113">
        <f>VLOOKUP(C382,'Talente &amp; Stuff'!C:AD,11,FALSE)</f>
        <v>0</v>
      </c>
      <c r="N382" s="89">
        <f>VLOOKUP(C382,'Talente &amp; Stuff'!C:AD,12,FALSE)</f>
        <v>0</v>
      </c>
      <c r="O382" s="47">
        <f>VLOOKUP(C382,'Talente &amp; Stuff'!C:AD,13,FALSE)</f>
        <v>0</v>
      </c>
      <c r="P382" s="119">
        <f>VLOOKUP(C382,'Talente &amp; Stuff'!C:AD,14,FALSE)</f>
        <v>0</v>
      </c>
      <c r="Q382" s="113">
        <f>VLOOKUP(C382,'Talente &amp; Stuff'!C:AD,15,FALSE)</f>
        <v>0</v>
      </c>
      <c r="R382" s="113">
        <f>VLOOKUP(C382,'Talente &amp; Stuff'!C:AD,16,FALSE)</f>
        <v>0</v>
      </c>
      <c r="S382" s="113">
        <f>VLOOKUP(C382,'Talente &amp; Stuff'!C:AD,17,FALSE)</f>
        <v>0</v>
      </c>
      <c r="T382" s="160">
        <f>VLOOKUP(C382,'Talente &amp; Stuff'!C:AD,18,FALSE)</f>
        <v>0</v>
      </c>
      <c r="U382" s="47">
        <f>VLOOKUP(C382,'Talente &amp; Stuff'!C:AD,19,FALSE)</f>
        <v>0</v>
      </c>
      <c r="V382" s="47">
        <f>VLOOKUP(C382,'Talente &amp; Stuff'!C:AD,20,FALSE)</f>
        <v>0</v>
      </c>
      <c r="W382" s="47">
        <f>VLOOKUP(C382,'Talente &amp; Stuff'!C:AD,21,FALSE)</f>
        <v>0</v>
      </c>
      <c r="X382" s="125">
        <f>VLOOKUP(C382,'Talente &amp; Stuff'!C:AD,22,FALSE)</f>
        <v>0</v>
      </c>
      <c r="Y382" s="175">
        <f t="shared" si="28"/>
        <v>0</v>
      </c>
      <c r="Z382" s="198">
        <f t="shared" si="29"/>
        <v>0</v>
      </c>
      <c r="AA382" s="125">
        <f>VLOOKUP(C382,'Talente &amp; Stuff'!C:AD,25,FALSE)</f>
        <v>0</v>
      </c>
      <c r="AB382" s="160">
        <f>VLOOKUP(C382,'Talente &amp; Stuff'!C:AD,26,FALSE)</f>
        <v>0</v>
      </c>
      <c r="AC382" s="127">
        <f>VLOOKUP(C382,'Talente &amp; Stuff'!C:AD,27,FALSE)</f>
        <v>0</v>
      </c>
      <c r="AD382" s="125">
        <f>VLOOKUP(C382,'Talente &amp; Stuff'!C:AD,28,FALSE)</f>
        <v>0</v>
      </c>
      <c r="AE382" s="28"/>
    </row>
    <row r="383" spans="2:31" s="148" customFormat="1" hidden="1" outlineLevel="2">
      <c r="B383" s="148">
        <v>8</v>
      </c>
      <c r="C383" s="163" t="s">
        <v>281</v>
      </c>
      <c r="D383" s="86" t="str">
        <f>VLOOKUP(C383,'Talente &amp; Stuff'!C:AD,2,FALSE)</f>
        <v>--/--/--</v>
      </c>
      <c r="E383" s="125" t="str">
        <f>VLOOKUP(C383,'Talente &amp; Stuff'!C:AD,3,FALSE)</f>
        <v>-</v>
      </c>
      <c r="F383" s="113">
        <f>VLOOKUP(C383,'Talente &amp; Stuff'!C:AD,4,FALSE)</f>
        <v>0</v>
      </c>
      <c r="G383" s="113">
        <f>VLOOKUP(C383,'Talente &amp; Stuff'!C:AD,5,FALSE)</f>
        <v>0</v>
      </c>
      <c r="H383" s="113">
        <f>VLOOKUP(C383,'Talente &amp; Stuff'!C:AD,6,FALSE)</f>
        <v>0</v>
      </c>
      <c r="I383" s="113">
        <f>VLOOKUP(C383,'Talente &amp; Stuff'!C:AD,7,FALSE)</f>
        <v>0</v>
      </c>
      <c r="J383" s="113">
        <f>VLOOKUP(C383,'Talente &amp; Stuff'!C:AD,8,FALSE)</f>
        <v>0</v>
      </c>
      <c r="K383" s="113">
        <f>VLOOKUP(C383,'Talente &amp; Stuff'!C:AD,9,FALSE)</f>
        <v>0</v>
      </c>
      <c r="L383" s="113">
        <f>VLOOKUP(C383,'Talente &amp; Stuff'!C:AD,10,FALSE)</f>
        <v>0</v>
      </c>
      <c r="M383" s="113">
        <f>VLOOKUP(C383,'Talente &amp; Stuff'!C:AD,11,FALSE)</f>
        <v>0</v>
      </c>
      <c r="N383" s="89">
        <f>VLOOKUP(C383,'Talente &amp; Stuff'!C:AD,12,FALSE)</f>
        <v>0</v>
      </c>
      <c r="O383" s="47">
        <f>VLOOKUP(C383,'Talente &amp; Stuff'!C:AD,13,FALSE)</f>
        <v>0</v>
      </c>
      <c r="P383" s="119">
        <f>VLOOKUP(C383,'Talente &amp; Stuff'!C:AD,14,FALSE)</f>
        <v>0</v>
      </c>
      <c r="Q383" s="113">
        <f>VLOOKUP(C383,'Talente &amp; Stuff'!C:AD,15,FALSE)</f>
        <v>0</v>
      </c>
      <c r="R383" s="113">
        <f>VLOOKUP(C383,'Talente &amp; Stuff'!C:AD,16,FALSE)</f>
        <v>0</v>
      </c>
      <c r="S383" s="113">
        <f>VLOOKUP(C383,'Talente &amp; Stuff'!C:AD,17,FALSE)</f>
        <v>0</v>
      </c>
      <c r="T383" s="160">
        <f>VLOOKUP(C383,'Talente &amp; Stuff'!C:AD,18,FALSE)</f>
        <v>0</v>
      </c>
      <c r="U383" s="47">
        <f>VLOOKUP(C383,'Talente &amp; Stuff'!C:AD,19,FALSE)</f>
        <v>0</v>
      </c>
      <c r="V383" s="47">
        <f>VLOOKUP(C383,'Talente &amp; Stuff'!C:AD,20,FALSE)</f>
        <v>0</v>
      </c>
      <c r="W383" s="47">
        <f>VLOOKUP(C383,'Talente &amp; Stuff'!C:AD,21,FALSE)</f>
        <v>0</v>
      </c>
      <c r="X383" s="125">
        <f>VLOOKUP(C383,'Talente &amp; Stuff'!C:AD,22,FALSE)</f>
        <v>0</v>
      </c>
      <c r="Y383" s="175">
        <f t="shared" si="28"/>
        <v>0</v>
      </c>
      <c r="Z383" s="198">
        <f t="shared" si="29"/>
        <v>0</v>
      </c>
      <c r="AA383" s="125">
        <f>VLOOKUP(C383,'Talente &amp; Stuff'!C:AD,25,FALSE)</f>
        <v>0</v>
      </c>
      <c r="AB383" s="160">
        <f>VLOOKUP(C383,'Talente &amp; Stuff'!C:AD,26,FALSE)</f>
        <v>0</v>
      </c>
      <c r="AC383" s="127">
        <f>VLOOKUP(C383,'Talente &amp; Stuff'!C:AD,27,FALSE)</f>
        <v>0</v>
      </c>
      <c r="AD383" s="125">
        <f>VLOOKUP(C383,'Talente &amp; Stuff'!C:AD,28,FALSE)</f>
        <v>0</v>
      </c>
      <c r="AE383" s="28"/>
    </row>
    <row r="384" spans="2:31" hidden="1" outlineLevel="2">
      <c r="B384" s="148">
        <v>9</v>
      </c>
      <c r="C384" s="163" t="s">
        <v>281</v>
      </c>
      <c r="D384" s="86" t="str">
        <f>VLOOKUP(C384,'Talente &amp; Stuff'!C:AD,2,FALSE)</f>
        <v>--/--/--</v>
      </c>
      <c r="E384" s="125" t="str">
        <f>VLOOKUP(C384,'Talente &amp; Stuff'!C:AD,3,FALSE)</f>
        <v>-</v>
      </c>
      <c r="F384" s="113">
        <f>VLOOKUP(C384,'Talente &amp; Stuff'!C:AD,4,FALSE)</f>
        <v>0</v>
      </c>
      <c r="G384" s="113">
        <f>VLOOKUP(C384,'Talente &amp; Stuff'!C:AD,5,FALSE)</f>
        <v>0</v>
      </c>
      <c r="H384" s="113">
        <f>VLOOKUP(C384,'Talente &amp; Stuff'!C:AD,6,FALSE)</f>
        <v>0</v>
      </c>
      <c r="I384" s="113">
        <f>VLOOKUP(C384,'Talente &amp; Stuff'!C:AD,7,FALSE)</f>
        <v>0</v>
      </c>
      <c r="J384" s="113">
        <f>VLOOKUP(C384,'Talente &amp; Stuff'!C:AD,8,FALSE)</f>
        <v>0</v>
      </c>
      <c r="K384" s="113">
        <f>VLOOKUP(C384,'Talente &amp; Stuff'!C:AD,9,FALSE)</f>
        <v>0</v>
      </c>
      <c r="L384" s="113">
        <f>VLOOKUP(C384,'Talente &amp; Stuff'!C:AD,10,FALSE)</f>
        <v>0</v>
      </c>
      <c r="M384" s="113">
        <f>VLOOKUP(C384,'Talente &amp; Stuff'!C:AD,11,FALSE)</f>
        <v>0</v>
      </c>
      <c r="N384" s="89">
        <f>VLOOKUP(C384,'Talente &amp; Stuff'!C:AD,12,FALSE)</f>
        <v>0</v>
      </c>
      <c r="O384" s="47">
        <f>VLOOKUP(C384,'Talente &amp; Stuff'!C:AD,13,FALSE)</f>
        <v>0</v>
      </c>
      <c r="P384" s="119">
        <f>VLOOKUP(C384,'Talente &amp; Stuff'!C:AD,14,FALSE)</f>
        <v>0</v>
      </c>
      <c r="Q384" s="113">
        <f>VLOOKUP(C384,'Talente &amp; Stuff'!C:AD,15,FALSE)</f>
        <v>0</v>
      </c>
      <c r="R384" s="113">
        <f>VLOOKUP(C384,'Talente &amp; Stuff'!C:AD,16,FALSE)</f>
        <v>0</v>
      </c>
      <c r="S384" s="113">
        <f>VLOOKUP(C384,'Talente &amp; Stuff'!C:AD,17,FALSE)</f>
        <v>0</v>
      </c>
      <c r="T384" s="160">
        <f>VLOOKUP(C384,'Talente &amp; Stuff'!C:AD,18,FALSE)</f>
        <v>0</v>
      </c>
      <c r="U384" s="47">
        <f>VLOOKUP(C384,'Talente &amp; Stuff'!C:AD,19,FALSE)</f>
        <v>0</v>
      </c>
      <c r="V384" s="47">
        <f>VLOOKUP(C384,'Talente &amp; Stuff'!C:AD,20,FALSE)</f>
        <v>0</v>
      </c>
      <c r="W384" s="47">
        <f>VLOOKUP(C384,'Talente &amp; Stuff'!C:AD,21,FALSE)</f>
        <v>0</v>
      </c>
      <c r="X384" s="125">
        <f>VLOOKUP(C384,'Talente &amp; Stuff'!C:AD,22,FALSE)</f>
        <v>0</v>
      </c>
      <c r="Y384" s="175">
        <f t="shared" si="28"/>
        <v>0</v>
      </c>
      <c r="Z384" s="198">
        <f t="shared" si="29"/>
        <v>0</v>
      </c>
      <c r="AA384" s="125">
        <f>VLOOKUP(C384,'Talente &amp; Stuff'!C:AD,25,FALSE)</f>
        <v>0</v>
      </c>
      <c r="AB384" s="160">
        <f>VLOOKUP(C384,'Talente &amp; Stuff'!C:AD,26,FALSE)</f>
        <v>0</v>
      </c>
      <c r="AC384" s="127">
        <f>VLOOKUP(C384,'Talente &amp; Stuff'!C:AD,27,FALSE)</f>
        <v>0</v>
      </c>
      <c r="AD384" s="125">
        <f>VLOOKUP(C384,'Talente &amp; Stuff'!C:AD,28,FALSE)</f>
        <v>0</v>
      </c>
      <c r="AE384" s="28"/>
    </row>
    <row r="385" spans="1:31" hidden="1" outlineLevel="2">
      <c r="B385" s="148">
        <v>10</v>
      </c>
      <c r="C385" s="163" t="s">
        <v>281</v>
      </c>
      <c r="D385" s="86" t="str">
        <f>VLOOKUP(C385,'Talente &amp; Stuff'!C:AD,2,FALSE)</f>
        <v>--/--/--</v>
      </c>
      <c r="E385" s="125" t="str">
        <f>VLOOKUP(C385,'Talente &amp; Stuff'!C:AD,3,FALSE)</f>
        <v>-</v>
      </c>
      <c r="F385" s="113">
        <f>VLOOKUP(C385,'Talente &amp; Stuff'!C:AD,4,FALSE)</f>
        <v>0</v>
      </c>
      <c r="G385" s="113">
        <f>VLOOKUP(C385,'Talente &amp; Stuff'!C:AD,5,FALSE)</f>
        <v>0</v>
      </c>
      <c r="H385" s="113">
        <f>VLOOKUP(C385,'Talente &amp; Stuff'!C:AD,6,FALSE)</f>
        <v>0</v>
      </c>
      <c r="I385" s="113">
        <f>VLOOKUP(C385,'Talente &amp; Stuff'!C:AD,7,FALSE)</f>
        <v>0</v>
      </c>
      <c r="J385" s="113">
        <f>VLOOKUP(C385,'Talente &amp; Stuff'!C:AD,8,FALSE)</f>
        <v>0</v>
      </c>
      <c r="K385" s="113">
        <f>VLOOKUP(C385,'Talente &amp; Stuff'!C:AD,9,FALSE)</f>
        <v>0</v>
      </c>
      <c r="L385" s="113">
        <f>VLOOKUP(C385,'Talente &amp; Stuff'!C:AD,10,FALSE)</f>
        <v>0</v>
      </c>
      <c r="M385" s="113">
        <f>VLOOKUP(C385,'Talente &amp; Stuff'!C:AD,11,FALSE)</f>
        <v>0</v>
      </c>
      <c r="N385" s="89">
        <f>VLOOKUP(C385,'Talente &amp; Stuff'!C:AD,12,FALSE)</f>
        <v>0</v>
      </c>
      <c r="O385" s="47">
        <f>VLOOKUP(C385,'Talente &amp; Stuff'!C:AD,13,FALSE)</f>
        <v>0</v>
      </c>
      <c r="P385" s="119">
        <f>VLOOKUP(C385,'Talente &amp; Stuff'!C:AD,14,FALSE)</f>
        <v>0</v>
      </c>
      <c r="Q385" s="113">
        <f>VLOOKUP(C385,'Talente &amp; Stuff'!C:AD,15,FALSE)</f>
        <v>0</v>
      </c>
      <c r="R385" s="113">
        <f>VLOOKUP(C385,'Talente &amp; Stuff'!C:AD,16,FALSE)</f>
        <v>0</v>
      </c>
      <c r="S385" s="113">
        <f>VLOOKUP(C385,'Talente &amp; Stuff'!C:AD,17,FALSE)</f>
        <v>0</v>
      </c>
      <c r="T385" s="160">
        <f>VLOOKUP(C385,'Talente &amp; Stuff'!C:AD,18,FALSE)</f>
        <v>0</v>
      </c>
      <c r="U385" s="47">
        <f>VLOOKUP(C385,'Talente &amp; Stuff'!C:AD,19,FALSE)</f>
        <v>0</v>
      </c>
      <c r="V385" s="47">
        <f>VLOOKUP(C385,'Talente &amp; Stuff'!C:AD,20,FALSE)</f>
        <v>0</v>
      </c>
      <c r="W385" s="47">
        <f>VLOOKUP(C385,'Talente &amp; Stuff'!C:AD,21,FALSE)</f>
        <v>0</v>
      </c>
      <c r="X385" s="125">
        <f>VLOOKUP(C385,'Talente &amp; Stuff'!C:AD,22,FALSE)</f>
        <v>0</v>
      </c>
      <c r="Y385" s="175">
        <f t="shared" si="28"/>
        <v>0</v>
      </c>
      <c r="Z385" s="198">
        <f t="shared" si="29"/>
        <v>0</v>
      </c>
      <c r="AA385" s="125">
        <f>VLOOKUP(C385,'Talente &amp; Stuff'!C:AD,25,FALSE)</f>
        <v>0</v>
      </c>
      <c r="AB385" s="160">
        <f>VLOOKUP(C385,'Talente &amp; Stuff'!C:AD,26,FALSE)</f>
        <v>0</v>
      </c>
      <c r="AC385" s="127">
        <f>VLOOKUP(C385,'Talente &amp; Stuff'!C:AD,27,FALSE)</f>
        <v>0</v>
      </c>
      <c r="AD385" s="125">
        <f>VLOOKUP(C385,'Talente &amp; Stuff'!C:AD,28,FALSE)</f>
        <v>0</v>
      </c>
      <c r="AE385" s="28"/>
    </row>
    <row r="386" spans="1:31" hidden="1" outlineLevel="2">
      <c r="B386" s="148">
        <v>11</v>
      </c>
      <c r="C386" s="164" t="s">
        <v>281</v>
      </c>
      <c r="D386" s="87" t="str">
        <f>VLOOKUP(C386,'Talente &amp; Stuff'!C:AD,2,FALSE)</f>
        <v>--/--/--</v>
      </c>
      <c r="E386" s="159" t="str">
        <f>VLOOKUP(C386,'Talente &amp; Stuff'!C:AD,3,FALSE)</f>
        <v>-</v>
      </c>
      <c r="F386" s="122">
        <f>VLOOKUP(C386,'Talente &amp; Stuff'!C:AD,4,FALSE)</f>
        <v>0</v>
      </c>
      <c r="G386" s="122">
        <f>VLOOKUP(C386,'Talente &amp; Stuff'!C:AD,5,FALSE)</f>
        <v>0</v>
      </c>
      <c r="H386" s="122">
        <f>VLOOKUP(C386,'Talente &amp; Stuff'!C:AD,6,FALSE)</f>
        <v>0</v>
      </c>
      <c r="I386" s="122">
        <f>VLOOKUP(C386,'Talente &amp; Stuff'!C:AD,7,FALSE)</f>
        <v>0</v>
      </c>
      <c r="J386" s="122">
        <f>VLOOKUP(C386,'Talente &amp; Stuff'!C:AD,8,FALSE)</f>
        <v>0</v>
      </c>
      <c r="K386" s="122">
        <f>VLOOKUP(C386,'Talente &amp; Stuff'!C:AD,9,FALSE)</f>
        <v>0</v>
      </c>
      <c r="L386" s="122">
        <f>VLOOKUP(C386,'Talente &amp; Stuff'!C:AD,10,FALSE)</f>
        <v>0</v>
      </c>
      <c r="M386" s="122">
        <f>VLOOKUP(C386,'Talente &amp; Stuff'!C:AD,11,FALSE)</f>
        <v>0</v>
      </c>
      <c r="N386" s="90">
        <f>VLOOKUP(C386,'Talente &amp; Stuff'!C:AD,12,FALSE)</f>
        <v>0</v>
      </c>
      <c r="O386" s="88">
        <f>VLOOKUP(C386,'Talente &amp; Stuff'!C:AD,13,FALSE)</f>
        <v>0</v>
      </c>
      <c r="P386" s="123">
        <f>VLOOKUP(C386,'Talente &amp; Stuff'!C:AD,14,FALSE)</f>
        <v>0</v>
      </c>
      <c r="Q386" s="122">
        <f>VLOOKUP(C386,'Talente &amp; Stuff'!C:AD,15,FALSE)</f>
        <v>0</v>
      </c>
      <c r="R386" s="122">
        <f>VLOOKUP(C386,'Talente &amp; Stuff'!C:AD,16,FALSE)</f>
        <v>0</v>
      </c>
      <c r="S386" s="122">
        <f>VLOOKUP(C386,'Talente &amp; Stuff'!C:AD,17,FALSE)</f>
        <v>0</v>
      </c>
      <c r="T386" s="161">
        <f>VLOOKUP(C386,'Talente &amp; Stuff'!C:AD,18,FALSE)</f>
        <v>0</v>
      </c>
      <c r="U386" s="88">
        <f>VLOOKUP(C386,'Talente &amp; Stuff'!C:AD,19,FALSE)</f>
        <v>0</v>
      </c>
      <c r="V386" s="88">
        <f>VLOOKUP(C386,'Talente &amp; Stuff'!C:AD,20,FALSE)</f>
        <v>0</v>
      </c>
      <c r="W386" s="88">
        <f>VLOOKUP(C386,'Talente &amp; Stuff'!C:AD,21,FALSE)</f>
        <v>0</v>
      </c>
      <c r="X386" s="159">
        <f>VLOOKUP(C386,'Talente &amp; Stuff'!C:AD,22,FALSE)</f>
        <v>0</v>
      </c>
      <c r="Y386" s="175">
        <f t="shared" si="28"/>
        <v>0</v>
      </c>
      <c r="Z386" s="198">
        <f t="shared" si="29"/>
        <v>0</v>
      </c>
      <c r="AA386" s="159">
        <f>VLOOKUP(C386,'Talente &amp; Stuff'!C:AD,25,FALSE)</f>
        <v>0</v>
      </c>
      <c r="AB386" s="161">
        <f>VLOOKUP(C386,'Talente &amp; Stuff'!C:AD,26,FALSE)</f>
        <v>0</v>
      </c>
      <c r="AC386" s="128">
        <f>VLOOKUP(C386,'Talente &amp; Stuff'!C:AD,27,FALSE)</f>
        <v>0</v>
      </c>
      <c r="AD386" s="159">
        <f>VLOOKUP(C386,'Talente &amp; Stuff'!C:AD,28,FALSE)</f>
        <v>0</v>
      </c>
      <c r="AE386" s="28"/>
    </row>
    <row r="387" spans="1:31" hidden="1" outlineLevel="1" collapsed="1">
      <c r="B387" s="134" t="s">
        <v>328</v>
      </c>
      <c r="C387" s="83"/>
      <c r="D387" s="84"/>
      <c r="E387" s="84"/>
      <c r="F387" s="148"/>
      <c r="G387" s="148"/>
      <c r="H387" s="148"/>
      <c r="I387" s="148"/>
      <c r="J387" s="148"/>
      <c r="K387" s="148"/>
      <c r="L387" s="148"/>
      <c r="M387" s="148"/>
      <c r="N387" s="148"/>
      <c r="O387" s="148"/>
      <c r="P387" s="148"/>
      <c r="Q387" s="148"/>
      <c r="R387" s="148"/>
      <c r="S387" s="148"/>
      <c r="T387" s="148"/>
      <c r="U387" s="148"/>
      <c r="V387" s="148"/>
      <c r="W387" s="148"/>
      <c r="X387" s="148"/>
    </row>
    <row r="388" spans="1:31" hidden="1" outlineLevel="2">
      <c r="B388" s="133">
        <v>1</v>
      </c>
      <c r="C388" s="162" t="s">
        <v>281</v>
      </c>
      <c r="D388" s="85" t="str">
        <f>VLOOKUP(C388,'Talente &amp; Stuff'!C:AD,2,FALSE)</f>
        <v>--/--/--</v>
      </c>
      <c r="E388" s="158" t="str">
        <f>VLOOKUP(C388,'Talente &amp; Stuff'!C:AD,3,FALSE)</f>
        <v>-</v>
      </c>
      <c r="F388" s="118">
        <f>VLOOKUP(C388,'Talente &amp; Stuff'!C:AD,4,FALSE)</f>
        <v>0</v>
      </c>
      <c r="G388" s="118">
        <f>VLOOKUP(C388,'Talente &amp; Stuff'!C:AD,5,FALSE)</f>
        <v>0</v>
      </c>
      <c r="H388" s="118">
        <f>VLOOKUP(C388,'Talente &amp; Stuff'!C:AD,6,FALSE)</f>
        <v>0</v>
      </c>
      <c r="I388" s="118">
        <f>VLOOKUP(C388,'Talente &amp; Stuff'!C:AD,7,FALSE)</f>
        <v>0</v>
      </c>
      <c r="J388" s="118">
        <f>VLOOKUP(C388,'Talente &amp; Stuff'!C:AD,8,FALSE)</f>
        <v>0</v>
      </c>
      <c r="K388" s="118">
        <f>VLOOKUP(C388,'Talente &amp; Stuff'!C:AD,9,FALSE)</f>
        <v>0</v>
      </c>
      <c r="L388" s="118">
        <f>VLOOKUP(C388,'Talente &amp; Stuff'!C:AD,10,FALSE)</f>
        <v>0</v>
      </c>
      <c r="M388" s="118">
        <f>VLOOKUP(C388,'Talente &amp; Stuff'!C:AD,11,FALSE)</f>
        <v>0</v>
      </c>
      <c r="N388" s="154">
        <f>VLOOKUP(C388,'Talente &amp; Stuff'!C:AD,12,FALSE)</f>
        <v>0</v>
      </c>
      <c r="O388" s="116">
        <f>VLOOKUP(C388,'Talente &amp; Stuff'!C:AD,13,FALSE)</f>
        <v>0</v>
      </c>
      <c r="P388" s="92">
        <f>VLOOKUP(C388,'Talente &amp; Stuff'!C:AD,14,FALSE)</f>
        <v>0</v>
      </c>
      <c r="Q388" s="118">
        <f>VLOOKUP(C388,'Talente &amp; Stuff'!C:AD,15,FALSE)</f>
        <v>0</v>
      </c>
      <c r="R388" s="118">
        <f>VLOOKUP(C388,'Talente &amp; Stuff'!C:AD,16,FALSE)</f>
        <v>0</v>
      </c>
      <c r="S388" s="118">
        <f>VLOOKUP(C388,'Talente &amp; Stuff'!C:AD,17,FALSE)</f>
        <v>0</v>
      </c>
      <c r="T388" s="91">
        <f>VLOOKUP(C388,'Talente &amp; Stuff'!C:AD,18,FALSE)</f>
        <v>0</v>
      </c>
      <c r="U388" s="116">
        <f>VLOOKUP(C388,'Talente &amp; Stuff'!C:AD,19,FALSE)</f>
        <v>0</v>
      </c>
      <c r="V388" s="116">
        <f>VLOOKUP(C388,'Talente &amp; Stuff'!C:AD,20,FALSE)</f>
        <v>0</v>
      </c>
      <c r="W388" s="116">
        <f>VLOOKUP(C388,'Talente &amp; Stuff'!C:AD,21,FALSE)</f>
        <v>0</v>
      </c>
      <c r="X388" s="158">
        <f>VLOOKUP(C388,'Talente &amp; Stuff'!C:AD,22,FALSE)</f>
        <v>0</v>
      </c>
      <c r="Y388" s="175">
        <f>VLOOKUP(C388,Ausgewählte_Rituale_Hexen,23,FALSE)</f>
        <v>0</v>
      </c>
      <c r="Z388" s="198">
        <f>VLOOKUP(C388,Ausgewählte_Rituale_Hexen,24,FALSE)</f>
        <v>0</v>
      </c>
      <c r="AA388" s="158">
        <f>VLOOKUP(C388,'Talente &amp; Stuff'!C:AD,25,FALSE)</f>
        <v>0</v>
      </c>
      <c r="AB388" s="91">
        <f>VLOOKUP(C388,'Talente &amp; Stuff'!C:AD,26,FALSE)</f>
        <v>0</v>
      </c>
      <c r="AC388" s="126">
        <f>VLOOKUP(C388,'Talente &amp; Stuff'!C:AD,27,FALSE)</f>
        <v>0</v>
      </c>
      <c r="AD388" s="158">
        <f>VLOOKUP(C388,'Talente &amp; Stuff'!C:AD,28,FALSE)</f>
        <v>0</v>
      </c>
      <c r="AE388" s="28"/>
    </row>
    <row r="389" spans="1:31" hidden="1" outlineLevel="2">
      <c r="B389" s="133">
        <v>2</v>
      </c>
      <c r="C389" s="164" t="s">
        <v>281</v>
      </c>
      <c r="D389" s="87" t="str">
        <f>VLOOKUP(C389,'Talente &amp; Stuff'!C:AD,2,FALSE)</f>
        <v>--/--/--</v>
      </c>
      <c r="E389" s="159" t="str">
        <f>VLOOKUP(C389,'Talente &amp; Stuff'!C:AD,3,FALSE)</f>
        <v>-</v>
      </c>
      <c r="F389" s="122">
        <f>VLOOKUP(C389,'Talente &amp; Stuff'!C:AD,4,FALSE)</f>
        <v>0</v>
      </c>
      <c r="G389" s="122">
        <f>VLOOKUP(C389,'Talente &amp; Stuff'!C:AD,5,FALSE)</f>
        <v>0</v>
      </c>
      <c r="H389" s="122">
        <f>VLOOKUP(C389,'Talente &amp; Stuff'!C:AD,6,FALSE)</f>
        <v>0</v>
      </c>
      <c r="I389" s="122">
        <f>VLOOKUP(C389,'Talente &amp; Stuff'!C:AD,7,FALSE)</f>
        <v>0</v>
      </c>
      <c r="J389" s="122">
        <f>VLOOKUP(C389,'Talente &amp; Stuff'!C:AD,8,FALSE)</f>
        <v>0</v>
      </c>
      <c r="K389" s="122">
        <f>VLOOKUP(C389,'Talente &amp; Stuff'!C:AD,9,FALSE)</f>
        <v>0</v>
      </c>
      <c r="L389" s="122">
        <f>VLOOKUP(C389,'Talente &amp; Stuff'!C:AD,10,FALSE)</f>
        <v>0</v>
      </c>
      <c r="M389" s="122">
        <f>VLOOKUP(C389,'Talente &amp; Stuff'!C:AD,11,FALSE)</f>
        <v>0</v>
      </c>
      <c r="N389" s="90">
        <f>VLOOKUP(C389,'Talente &amp; Stuff'!C:AD,12,FALSE)</f>
        <v>0</v>
      </c>
      <c r="O389" s="88">
        <f>VLOOKUP(C389,'Talente &amp; Stuff'!C:AD,13,FALSE)</f>
        <v>0</v>
      </c>
      <c r="P389" s="123">
        <f>VLOOKUP(C389,'Talente &amp; Stuff'!C:AD,14,FALSE)</f>
        <v>0</v>
      </c>
      <c r="Q389" s="122">
        <f>VLOOKUP(C389,'Talente &amp; Stuff'!C:AD,15,FALSE)</f>
        <v>0</v>
      </c>
      <c r="R389" s="122">
        <f>VLOOKUP(C389,'Talente &amp; Stuff'!C:AD,16,FALSE)</f>
        <v>0</v>
      </c>
      <c r="S389" s="122">
        <f>VLOOKUP(C389,'Talente &amp; Stuff'!C:AD,17,FALSE)</f>
        <v>0</v>
      </c>
      <c r="T389" s="161">
        <f>VLOOKUP(C389,'Talente &amp; Stuff'!C:AD,18,FALSE)</f>
        <v>0</v>
      </c>
      <c r="U389" s="88">
        <f>VLOOKUP(C389,'Talente &amp; Stuff'!C:AD,19,FALSE)</f>
        <v>0</v>
      </c>
      <c r="V389" s="88">
        <f>VLOOKUP(C389,'Talente &amp; Stuff'!C:AD,20,FALSE)</f>
        <v>0</v>
      </c>
      <c r="W389" s="88">
        <f>VLOOKUP(C389,'Talente &amp; Stuff'!C:AD,21,FALSE)</f>
        <v>0</v>
      </c>
      <c r="X389" s="159">
        <f>VLOOKUP(C389,'Talente &amp; Stuff'!C:AD,22,FALSE)</f>
        <v>0</v>
      </c>
      <c r="Y389" s="175">
        <f>VLOOKUP(C389,Ausgewählte_Rituale_Hexen,23,FALSE)</f>
        <v>0</v>
      </c>
      <c r="Z389" s="198">
        <f>VLOOKUP(C389,Ausgewählte_Rituale_Hexen,24,FALSE)</f>
        <v>0</v>
      </c>
      <c r="AA389" s="159">
        <f>VLOOKUP(C389,'Talente &amp; Stuff'!C:AD,25,FALSE)</f>
        <v>0</v>
      </c>
      <c r="AB389" s="161">
        <f>VLOOKUP(C389,'Talente &amp; Stuff'!C:AD,26,FALSE)</f>
        <v>0</v>
      </c>
      <c r="AC389" s="128">
        <f>VLOOKUP(C389,'Talente &amp; Stuff'!C:AD,27,FALSE)</f>
        <v>0</v>
      </c>
      <c r="AD389" s="159">
        <f>VLOOKUP(C389,'Talente &amp; Stuff'!C:AD,28,FALSE)</f>
        <v>0</v>
      </c>
      <c r="AE389" s="28"/>
    </row>
    <row r="390" spans="1:31" s="148" customFormat="1" hidden="1" outlineLevel="1" collapsed="1">
      <c r="B390" s="134" t="s">
        <v>407</v>
      </c>
      <c r="C390" s="83"/>
      <c r="D390" s="84"/>
      <c r="E390" s="84"/>
      <c r="Y390" s="197"/>
      <c r="Z390" s="197"/>
    </row>
    <row r="391" spans="1:31" s="148" customFormat="1" hidden="1" outlineLevel="2">
      <c r="B391" s="148">
        <v>1</v>
      </c>
      <c r="C391" s="181" t="s">
        <v>281</v>
      </c>
      <c r="D391" s="186" t="str">
        <f>VLOOKUP(C391,'Talente &amp; Stuff'!C:AD,2,FALSE)</f>
        <v>--/--/--</v>
      </c>
      <c r="E391" s="40" t="str">
        <f>VLOOKUP(C391,'Talente &amp; Stuff'!C:AD,3,FALSE)</f>
        <v>-</v>
      </c>
      <c r="F391" s="183">
        <f>VLOOKUP(C391,'Talente &amp; Stuff'!C:AD,4,FALSE)</f>
        <v>0</v>
      </c>
      <c r="G391" s="183">
        <f>VLOOKUP(C391,'Talente &amp; Stuff'!C:AD,5,FALSE)</f>
        <v>0</v>
      </c>
      <c r="H391" s="183">
        <f>VLOOKUP(C391,'Talente &amp; Stuff'!C:AD,6,FALSE)</f>
        <v>0</v>
      </c>
      <c r="I391" s="183">
        <f>VLOOKUP(C391,'Talente &amp; Stuff'!C:AD,7,FALSE)</f>
        <v>0</v>
      </c>
      <c r="J391" s="183">
        <f>VLOOKUP(C391,'Talente &amp; Stuff'!C:AD,8,FALSE)</f>
        <v>0</v>
      </c>
      <c r="K391" s="183">
        <f>VLOOKUP(C391,'Talente &amp; Stuff'!C:AD,9,FALSE)</f>
        <v>0</v>
      </c>
      <c r="L391" s="183">
        <f>VLOOKUP(C391,'Talente &amp; Stuff'!C:AD,10,FALSE)</f>
        <v>0</v>
      </c>
      <c r="M391" s="183">
        <f>VLOOKUP(C391,'Talente &amp; Stuff'!C:AD,11,FALSE)</f>
        <v>0</v>
      </c>
      <c r="N391" s="166">
        <f>VLOOKUP(C391,'Talente &amp; Stuff'!C:AD,12,FALSE)</f>
        <v>0</v>
      </c>
      <c r="O391" s="179">
        <f>VLOOKUP(C391,'Talente &amp; Stuff'!C:AD,13,FALSE)</f>
        <v>0</v>
      </c>
      <c r="P391" s="180">
        <f>VLOOKUP(C391,'Talente &amp; Stuff'!C:AD,14,FALSE)</f>
        <v>0</v>
      </c>
      <c r="Q391" s="183">
        <f>VLOOKUP(C391,'Talente &amp; Stuff'!C:AD,15,FALSE)</f>
        <v>0</v>
      </c>
      <c r="R391" s="183">
        <f>VLOOKUP(C391,'Talente &amp; Stuff'!C:AD,16,FALSE)</f>
        <v>0</v>
      </c>
      <c r="S391" s="183">
        <f>VLOOKUP(C391,'Talente &amp; Stuff'!C:AD,17,FALSE)</f>
        <v>0</v>
      </c>
      <c r="T391" s="189">
        <f>VLOOKUP(C391,'Talente &amp; Stuff'!C:AD,18,FALSE)</f>
        <v>0</v>
      </c>
      <c r="U391" s="179">
        <f>VLOOKUP(C391,'Talente &amp; Stuff'!C:AD,19,FALSE)</f>
        <v>0</v>
      </c>
      <c r="V391" s="179">
        <f>VLOOKUP(C391,'Talente &amp; Stuff'!C:AD,20,FALSE)</f>
        <v>0</v>
      </c>
      <c r="W391" s="179">
        <f>VLOOKUP(C391,'Talente &amp; Stuff'!C:AD,21,FALSE)</f>
        <v>0</v>
      </c>
      <c r="X391" s="40">
        <f>VLOOKUP(C391,'Talente &amp; Stuff'!C:AD,22,FALSE)</f>
        <v>0</v>
      </c>
      <c r="Y391" s="175">
        <f>VLOOKUP(C391,Ausgewählte_Rituale_Kristallomanten,23,FALSE)</f>
        <v>0</v>
      </c>
      <c r="Z391" s="198">
        <f>VLOOKUP(C391,Ausgewählte_Rituale_Kristallomanten,24,FALSE)</f>
        <v>0</v>
      </c>
      <c r="AA391" s="40">
        <f>VLOOKUP(C391,'Talente &amp; Stuff'!C:AD,25,FALSE)</f>
        <v>0</v>
      </c>
      <c r="AB391" s="189">
        <f>VLOOKUP(C391,'Talente &amp; Stuff'!C:AD,26,FALSE)</f>
        <v>0</v>
      </c>
      <c r="AC391" s="182">
        <f>VLOOKUP(C391,'Talente &amp; Stuff'!C:AD,27,FALSE)</f>
        <v>0</v>
      </c>
      <c r="AD391" s="40">
        <f>VLOOKUP(C391,'Talente &amp; Stuff'!C:AD,28,FALSE)</f>
        <v>0</v>
      </c>
      <c r="AE391" s="28"/>
    </row>
    <row r="392" spans="1:31" s="148" customFormat="1" hidden="1" outlineLevel="1" collapsed="1">
      <c r="B392" s="134" t="s">
        <v>408</v>
      </c>
      <c r="C392" s="83"/>
      <c r="D392" s="84"/>
      <c r="E392" s="84"/>
      <c r="Y392" s="197"/>
      <c r="Z392" s="197"/>
    </row>
    <row r="393" spans="1:31" s="148" customFormat="1" hidden="1" outlineLevel="2">
      <c r="B393" s="148">
        <v>1</v>
      </c>
      <c r="C393" s="176" t="s">
        <v>281</v>
      </c>
      <c r="D393" s="85" t="str">
        <f>VLOOKUP(C393,'Talente &amp; Stuff'!C:AD,2,FALSE)</f>
        <v>--/--/--</v>
      </c>
      <c r="E393" s="193" t="str">
        <f>VLOOKUP(C393,'Talente &amp; Stuff'!C:AD,3,FALSE)</f>
        <v>-</v>
      </c>
      <c r="F393" s="191">
        <f>VLOOKUP(C393,'Talente &amp; Stuff'!C:AD,4,FALSE)</f>
        <v>0</v>
      </c>
      <c r="G393" s="118">
        <f>VLOOKUP(C393,'Talente &amp; Stuff'!C:AD,5,FALSE)</f>
        <v>0</v>
      </c>
      <c r="H393" s="118">
        <f>VLOOKUP(C393,'Talente &amp; Stuff'!C:AD,6,FALSE)</f>
        <v>0</v>
      </c>
      <c r="I393" s="118">
        <f>VLOOKUP(C393,'Talente &amp; Stuff'!C:AD,7,FALSE)</f>
        <v>0</v>
      </c>
      <c r="J393" s="118">
        <f>VLOOKUP(C393,'Talente &amp; Stuff'!C:AD,8,FALSE)</f>
        <v>0</v>
      </c>
      <c r="K393" s="118">
        <f>VLOOKUP(C393,'Talente &amp; Stuff'!C:AD,9,FALSE)</f>
        <v>0</v>
      </c>
      <c r="L393" s="118">
        <f>VLOOKUP(C393,'Talente &amp; Stuff'!C:AD,10,FALSE)</f>
        <v>0</v>
      </c>
      <c r="M393" s="92">
        <f>VLOOKUP(C393,'Talente &amp; Stuff'!C:AD,11,FALSE)</f>
        <v>0</v>
      </c>
      <c r="N393" s="193">
        <f>VLOOKUP(C393,'Talente &amp; Stuff'!C:AD,12,FALSE)</f>
        <v>0</v>
      </c>
      <c r="O393" s="116">
        <f>VLOOKUP(C393,'Talente &amp; Stuff'!C:AD,13,FALSE)</f>
        <v>0</v>
      </c>
      <c r="P393" s="92">
        <f>VLOOKUP(C393,'Talente &amp; Stuff'!C:AD,14,FALSE)</f>
        <v>0</v>
      </c>
      <c r="Q393" s="191">
        <f>VLOOKUP(C393,'Talente &amp; Stuff'!C:AD,15,FALSE)</f>
        <v>0</v>
      </c>
      <c r="R393" s="118">
        <f>VLOOKUP(C393,'Talente &amp; Stuff'!C:AD,16,FALSE)</f>
        <v>0</v>
      </c>
      <c r="S393" s="92">
        <f>VLOOKUP(C393,'Talente &amp; Stuff'!C:AD,17,FALSE)</f>
        <v>0</v>
      </c>
      <c r="T393" s="92">
        <f>VLOOKUP(C393,'Talente &amp; Stuff'!C:AD,18,FALSE)</f>
        <v>0</v>
      </c>
      <c r="U393" s="193">
        <f>VLOOKUP(C393,'Talente &amp; Stuff'!C:AD,19,FALSE)</f>
        <v>0</v>
      </c>
      <c r="V393" s="116">
        <f>VLOOKUP(C393,'Talente &amp; Stuff'!C:AD,20,FALSE)</f>
        <v>0</v>
      </c>
      <c r="W393" s="126">
        <f>VLOOKUP(C393,'Talente &amp; Stuff'!C:AD,21,FALSE)</f>
        <v>0</v>
      </c>
      <c r="X393" s="158">
        <f>VLOOKUP(C393,'Talente &amp; Stuff'!C:AD,22,FALSE)</f>
        <v>0</v>
      </c>
      <c r="Y393" s="165">
        <f>VLOOKUP(C393,Ausgewählte_Rituale_Scharlatane,23,FALSE)</f>
        <v>0</v>
      </c>
      <c r="Z393" s="44">
        <f>VLOOKUP(C393,Ausgewählte_Rituale_Scharlatane,24,FALSE)</f>
        <v>0</v>
      </c>
      <c r="AA393" s="158">
        <f>VLOOKUP(C393,'Talente &amp; Stuff'!C:AD,25,FALSE)</f>
        <v>0</v>
      </c>
      <c r="AB393" s="191">
        <f>VLOOKUP(C393,'Talente &amp; Stuff'!C:AD,26,FALSE)</f>
        <v>0</v>
      </c>
      <c r="AC393" s="158">
        <f>VLOOKUP(C393,'Talente &amp; Stuff'!C:AD,27,FALSE)</f>
        <v>0</v>
      </c>
      <c r="AD393" s="158">
        <f>VLOOKUP(C393,'Talente &amp; Stuff'!C:AD,28,FALSE)</f>
        <v>0</v>
      </c>
      <c r="AE393" s="28"/>
    </row>
    <row r="394" spans="1:31" s="148" customFormat="1" hidden="1" outlineLevel="2">
      <c r="B394" s="148">
        <v>2</v>
      </c>
      <c r="C394" s="177" t="s">
        <v>281</v>
      </c>
      <c r="D394" s="86" t="str">
        <f>VLOOKUP(C394,'Talente &amp; Stuff'!C:AD,2,FALSE)</f>
        <v>--/--/--</v>
      </c>
      <c r="E394" s="89" t="str">
        <f>VLOOKUP(C394,'Talente &amp; Stuff'!C:AD,3,FALSE)</f>
        <v>-</v>
      </c>
      <c r="F394" s="114">
        <f>VLOOKUP(C394,'Talente &amp; Stuff'!C:AD,4,FALSE)</f>
        <v>0</v>
      </c>
      <c r="G394" s="113">
        <f>VLOOKUP(C394,'Talente &amp; Stuff'!C:AD,5,FALSE)</f>
        <v>0</v>
      </c>
      <c r="H394" s="113">
        <f>VLOOKUP(C394,'Talente &amp; Stuff'!C:AD,6,FALSE)</f>
        <v>0</v>
      </c>
      <c r="I394" s="113">
        <f>VLOOKUP(C394,'Talente &amp; Stuff'!C:AD,7,FALSE)</f>
        <v>0</v>
      </c>
      <c r="J394" s="113">
        <f>VLOOKUP(C394,'Talente &amp; Stuff'!C:AD,8,FALSE)</f>
        <v>0</v>
      </c>
      <c r="K394" s="113">
        <f>VLOOKUP(C394,'Talente &amp; Stuff'!C:AD,9,FALSE)</f>
        <v>0</v>
      </c>
      <c r="L394" s="113">
        <f>VLOOKUP(C394,'Talente &amp; Stuff'!C:AD,10,FALSE)</f>
        <v>0</v>
      </c>
      <c r="M394" s="119">
        <f>VLOOKUP(C394,'Talente &amp; Stuff'!C:AD,11,FALSE)</f>
        <v>0</v>
      </c>
      <c r="N394" s="89">
        <f>VLOOKUP(C394,'Talente &amp; Stuff'!C:AD,12,FALSE)</f>
        <v>0</v>
      </c>
      <c r="O394" s="47">
        <f>VLOOKUP(C394,'Talente &amp; Stuff'!C:AD,13,FALSE)</f>
        <v>0</v>
      </c>
      <c r="P394" s="119">
        <f>VLOOKUP(C394,'Talente &amp; Stuff'!C:AD,14,FALSE)</f>
        <v>0</v>
      </c>
      <c r="Q394" s="114">
        <f>VLOOKUP(C394,'Talente &amp; Stuff'!C:AD,15,FALSE)</f>
        <v>0</v>
      </c>
      <c r="R394" s="113">
        <f>VLOOKUP(C394,'Talente &amp; Stuff'!C:AD,16,FALSE)</f>
        <v>0</v>
      </c>
      <c r="S394" s="119">
        <f>VLOOKUP(C394,'Talente &amp; Stuff'!C:AD,17,FALSE)</f>
        <v>0</v>
      </c>
      <c r="T394" s="119">
        <f>VLOOKUP(C394,'Talente &amp; Stuff'!C:AD,18,FALSE)</f>
        <v>0</v>
      </c>
      <c r="U394" s="89">
        <f>VLOOKUP(C394,'Talente &amp; Stuff'!C:AD,19,FALSE)</f>
        <v>0</v>
      </c>
      <c r="V394" s="47">
        <f>VLOOKUP(C394,'Talente &amp; Stuff'!C:AD,20,FALSE)</f>
        <v>0</v>
      </c>
      <c r="W394" s="127">
        <f>VLOOKUP(C394,'Talente &amp; Stuff'!C:AD,21,FALSE)</f>
        <v>0</v>
      </c>
      <c r="X394" s="125">
        <f>VLOOKUP(C394,'Talente &amp; Stuff'!C:AD,22,FALSE)</f>
        <v>0</v>
      </c>
      <c r="Y394" s="165">
        <f>VLOOKUP(C394,Ausgewählte_Rituale_Scharlatane,23,FALSE)</f>
        <v>0</v>
      </c>
      <c r="Z394" s="44">
        <f>VLOOKUP(C394,Ausgewählte_Rituale_Scharlatane,24,FALSE)</f>
        <v>0</v>
      </c>
      <c r="AA394" s="125">
        <f>VLOOKUP(C394,'Talente &amp; Stuff'!C:AD,25,FALSE)</f>
        <v>0</v>
      </c>
      <c r="AB394" s="114">
        <f>VLOOKUP(C394,'Talente &amp; Stuff'!C:AD,26,FALSE)</f>
        <v>0</v>
      </c>
      <c r="AC394" s="125">
        <f>VLOOKUP(C394,'Talente &amp; Stuff'!C:AD,27,FALSE)</f>
        <v>0</v>
      </c>
      <c r="AD394" s="125">
        <f>VLOOKUP(C394,'Talente &amp; Stuff'!C:AD,28,FALSE)</f>
        <v>0</v>
      </c>
      <c r="AE394" s="28"/>
    </row>
    <row r="395" spans="1:31" s="148" customFormat="1" hidden="1" outlineLevel="2">
      <c r="B395" s="148">
        <v>3</v>
      </c>
      <c r="C395" s="178" t="s">
        <v>281</v>
      </c>
      <c r="D395" s="87" t="str">
        <f>VLOOKUP(C395,'Talente &amp; Stuff'!C:AD,2,FALSE)</f>
        <v>--/--/--</v>
      </c>
      <c r="E395" s="90" t="str">
        <f>VLOOKUP(C395,'Talente &amp; Stuff'!C:AD,3,FALSE)</f>
        <v>-</v>
      </c>
      <c r="F395" s="115">
        <f>VLOOKUP(C395,'Talente &amp; Stuff'!C:AD,4,FALSE)</f>
        <v>0</v>
      </c>
      <c r="G395" s="122">
        <f>VLOOKUP(C395,'Talente &amp; Stuff'!C:AD,5,FALSE)</f>
        <v>0</v>
      </c>
      <c r="H395" s="122">
        <f>VLOOKUP(C395,'Talente &amp; Stuff'!C:AD,6,FALSE)</f>
        <v>0</v>
      </c>
      <c r="I395" s="122">
        <f>VLOOKUP(C395,'Talente &amp; Stuff'!C:AD,7,FALSE)</f>
        <v>0</v>
      </c>
      <c r="J395" s="122">
        <f>VLOOKUP(C395,'Talente &amp; Stuff'!C:AD,8,FALSE)</f>
        <v>0</v>
      </c>
      <c r="K395" s="122">
        <f>VLOOKUP(C395,'Talente &amp; Stuff'!C:AD,9,FALSE)</f>
        <v>0</v>
      </c>
      <c r="L395" s="122">
        <f>VLOOKUP(C395,'Talente &amp; Stuff'!C:AD,10,FALSE)</f>
        <v>0</v>
      </c>
      <c r="M395" s="123">
        <f>VLOOKUP(C395,'Talente &amp; Stuff'!C:AD,11,FALSE)</f>
        <v>0</v>
      </c>
      <c r="N395" s="90">
        <f>VLOOKUP(C395,'Talente &amp; Stuff'!C:AD,12,FALSE)</f>
        <v>0</v>
      </c>
      <c r="O395" s="88">
        <f>VLOOKUP(C395,'Talente &amp; Stuff'!C:AD,13,FALSE)</f>
        <v>0</v>
      </c>
      <c r="P395" s="123">
        <f>VLOOKUP(C395,'Talente &amp; Stuff'!C:AD,14,FALSE)</f>
        <v>0</v>
      </c>
      <c r="Q395" s="115">
        <f>VLOOKUP(C395,'Talente &amp; Stuff'!C:AD,15,FALSE)</f>
        <v>0</v>
      </c>
      <c r="R395" s="122">
        <f>VLOOKUP(C395,'Talente &amp; Stuff'!C:AD,16,FALSE)</f>
        <v>0</v>
      </c>
      <c r="S395" s="123">
        <f>VLOOKUP(C395,'Talente &amp; Stuff'!C:AD,17,FALSE)</f>
        <v>0</v>
      </c>
      <c r="T395" s="123">
        <f>VLOOKUP(C395,'Talente &amp; Stuff'!C:AD,18,FALSE)</f>
        <v>0</v>
      </c>
      <c r="U395" s="90">
        <f>VLOOKUP(C395,'Talente &amp; Stuff'!C:AD,19,FALSE)</f>
        <v>0</v>
      </c>
      <c r="V395" s="88">
        <f>VLOOKUP(C395,'Talente &amp; Stuff'!C:AD,20,FALSE)</f>
        <v>0</v>
      </c>
      <c r="W395" s="128">
        <f>VLOOKUP(C395,'Talente &amp; Stuff'!C:AD,21,FALSE)</f>
        <v>0</v>
      </c>
      <c r="X395" s="159">
        <f>VLOOKUP(C395,'Talente &amp; Stuff'!C:AD,22,FALSE)</f>
        <v>0</v>
      </c>
      <c r="Y395" s="165">
        <f>VLOOKUP(C395,Ausgewählte_Rituale_Scharlatane,23,FALSE)</f>
        <v>0</v>
      </c>
      <c r="Z395" s="44">
        <f>VLOOKUP(C395,Ausgewählte_Rituale_Scharlatane,24,FALSE)</f>
        <v>0</v>
      </c>
      <c r="AA395" s="159">
        <f>VLOOKUP(C395,'Talente &amp; Stuff'!C:AD,25,FALSE)</f>
        <v>0</v>
      </c>
      <c r="AB395" s="115">
        <f>VLOOKUP(C395,'Talente &amp; Stuff'!C:AD,26,FALSE)</f>
        <v>0</v>
      </c>
      <c r="AC395" s="159">
        <f>VLOOKUP(C395,'Talente &amp; Stuff'!C:AD,27,FALSE)</f>
        <v>0</v>
      </c>
      <c r="AD395" s="159">
        <f>VLOOKUP(C395,'Talente &amp; Stuff'!C:AD,28,FALSE)</f>
        <v>0</v>
      </c>
      <c r="AE395" s="28"/>
    </row>
    <row r="396" spans="1:31" hidden="1" outlineLevel="1" collapsed="1"/>
    <row r="397" spans="1:31" ht="15.75" collapsed="1" thickBot="1"/>
    <row r="398" spans="1:31" ht="15.75" thickBot="1">
      <c r="A398" s="135" t="s">
        <v>234</v>
      </c>
    </row>
    <row r="399" spans="1:31" hidden="1" outlineLevel="1">
      <c r="B399" s="134" t="s">
        <v>327</v>
      </c>
    </row>
    <row r="400" spans="1:31" hidden="1" outlineLevel="2">
      <c r="B400" s="133">
        <v>1</v>
      </c>
      <c r="C400" s="176" t="s">
        <v>281</v>
      </c>
      <c r="D400" s="158" t="str">
        <f>VLOOKUP(C400,'Talente &amp; Stuff'!C:AD,2,FALSE)</f>
        <v>--/--/--</v>
      </c>
      <c r="E400" s="116" t="str">
        <f>VLOOKUP(C400,'Talente &amp; Stuff'!C:AD,3,FALSE)</f>
        <v>-</v>
      </c>
      <c r="F400" s="152">
        <f>VLOOKUP(C400,'Talente &amp; Stuff'!C:AD,4,FALSE)</f>
        <v>0</v>
      </c>
      <c r="G400" s="118">
        <f>VLOOKUP(C400,'Talente &amp; Stuff'!C:AD,5,FALSE)</f>
        <v>0</v>
      </c>
      <c r="H400" s="118">
        <f>VLOOKUP(C400,'Talente &amp; Stuff'!C:AD,6,FALSE)</f>
        <v>0</v>
      </c>
      <c r="I400" s="118">
        <f>VLOOKUP(C400,'Talente &amp; Stuff'!C:AD,7,FALSE)</f>
        <v>0</v>
      </c>
      <c r="J400" s="118">
        <f>VLOOKUP(C400,'Talente &amp; Stuff'!C:AD,8,FALSE)</f>
        <v>0</v>
      </c>
      <c r="K400" s="118">
        <f>VLOOKUP(C400,'Talente &amp; Stuff'!C:AD,9,FALSE)</f>
        <v>0</v>
      </c>
      <c r="L400" s="118">
        <f>VLOOKUP(C400,'Talente &amp; Stuff'!C:AD,10,FALSE)</f>
        <v>0</v>
      </c>
      <c r="M400" s="92">
        <f>VLOOKUP(C400,'Talente &amp; Stuff'!C:AD,11,FALSE)</f>
        <v>0</v>
      </c>
      <c r="N400" s="116">
        <f>VLOOKUP(C400,'Talente &amp; Stuff'!C:AD,12,FALSE)</f>
        <v>0</v>
      </c>
      <c r="O400" s="116">
        <f>VLOOKUP(C400,'Talente &amp; Stuff'!C:AD,13,FALSE)</f>
        <v>0</v>
      </c>
      <c r="P400" s="118">
        <f>VLOOKUP(C400,'Talente &amp; Stuff'!C:AD,14,FALSE)</f>
        <v>0</v>
      </c>
      <c r="Q400" s="152">
        <f>VLOOKUP(C400,'Talente &amp; Stuff'!C:AD,15,FALSE)</f>
        <v>0</v>
      </c>
      <c r="R400" s="118">
        <f>VLOOKUP(C400,'Talente &amp; Stuff'!C:AD,16,FALSE)</f>
        <v>0</v>
      </c>
      <c r="S400" s="92">
        <f>VLOOKUP(C400,'Talente &amp; Stuff'!C:AD,17,FALSE)</f>
        <v>0</v>
      </c>
      <c r="T400" s="91">
        <f>VLOOKUP(C400,'Talente &amp; Stuff'!C:AD,18,FALSE)</f>
        <v>0</v>
      </c>
      <c r="U400" s="154">
        <f>VLOOKUP(C400,'Talente &amp; Stuff'!C:AD,19,FALSE)</f>
        <v>0</v>
      </c>
      <c r="V400" s="116">
        <f>VLOOKUP(C400,'Talente &amp; Stuff'!C:AD,20,FALSE)</f>
        <v>0</v>
      </c>
      <c r="W400" s="126">
        <f>VLOOKUP(C400,'Talente &amp; Stuff'!C:AD,21,FALSE)</f>
        <v>0</v>
      </c>
      <c r="X400" s="126">
        <f>VLOOKUP(C400,'Talente &amp; Stuff'!C:AD,22,FALSE)</f>
        <v>0</v>
      </c>
      <c r="Y400" s="175">
        <f>VLOOKUP(C400,Ausgewählte_Liturgien_Allgemein,23,FALSE)</f>
        <v>0</v>
      </c>
      <c r="Z400" s="198">
        <f>VLOOKUP(C400,Ausgewählte_Liturgien_Allgemein,24,FALSE)</f>
        <v>0</v>
      </c>
      <c r="AA400" s="158">
        <f>VLOOKUP(C400,'Talente &amp; Stuff'!C:AD,25,FALSE)</f>
        <v>0</v>
      </c>
      <c r="AB400" s="91">
        <f>VLOOKUP(C400,'Talente &amp; Stuff'!C:AD,26,FALSE)</f>
        <v>0</v>
      </c>
      <c r="AC400" s="126">
        <f>VLOOKUP(C400,'Talente &amp; Stuff'!C:AD,27,FALSE)</f>
        <v>0</v>
      </c>
      <c r="AD400" s="158">
        <f>VLOOKUP(C400,'Talente &amp; Stuff'!C:AD,28,FALSE)</f>
        <v>0</v>
      </c>
      <c r="AE400" s="28"/>
    </row>
    <row r="401" spans="2:31" hidden="1" outlineLevel="2">
      <c r="B401" s="133">
        <v>2</v>
      </c>
      <c r="C401" s="177" t="s">
        <v>281</v>
      </c>
      <c r="D401" s="125" t="str">
        <f>VLOOKUP(C401,'Talente &amp; Stuff'!C:AD,2,FALSE)</f>
        <v>--/--/--</v>
      </c>
      <c r="E401" s="47" t="str">
        <f>VLOOKUP(C401,'Talente &amp; Stuff'!C:AD,3,FALSE)</f>
        <v>-</v>
      </c>
      <c r="F401" s="114">
        <f>VLOOKUP(C401,'Talente &amp; Stuff'!C:AD,4,FALSE)</f>
        <v>0</v>
      </c>
      <c r="G401" s="113">
        <f>VLOOKUP(C401,'Talente &amp; Stuff'!C:AD,5,FALSE)</f>
        <v>0</v>
      </c>
      <c r="H401" s="113">
        <f>VLOOKUP(C401,'Talente &amp; Stuff'!C:AD,6,FALSE)</f>
        <v>0</v>
      </c>
      <c r="I401" s="113">
        <f>VLOOKUP(C401,'Talente &amp; Stuff'!C:AD,7,FALSE)</f>
        <v>0</v>
      </c>
      <c r="J401" s="113">
        <f>VLOOKUP(C401,'Talente &amp; Stuff'!C:AD,8,FALSE)</f>
        <v>0</v>
      </c>
      <c r="K401" s="113">
        <f>VLOOKUP(C401,'Talente &amp; Stuff'!C:AD,9,FALSE)</f>
        <v>0</v>
      </c>
      <c r="L401" s="113">
        <f>VLOOKUP(C401,'Talente &amp; Stuff'!C:AD,10,FALSE)</f>
        <v>0</v>
      </c>
      <c r="M401" s="119">
        <f>VLOOKUP(C401,'Talente &amp; Stuff'!C:AD,11,FALSE)</f>
        <v>0</v>
      </c>
      <c r="N401" s="47">
        <f>VLOOKUP(C401,'Talente &amp; Stuff'!C:AD,12,FALSE)</f>
        <v>0</v>
      </c>
      <c r="O401" s="47">
        <f>VLOOKUP(C401,'Talente &amp; Stuff'!C:AD,13,FALSE)</f>
        <v>0</v>
      </c>
      <c r="P401" s="113">
        <f>VLOOKUP(C401,'Talente &amp; Stuff'!C:AD,14,FALSE)</f>
        <v>0</v>
      </c>
      <c r="Q401" s="114">
        <f>VLOOKUP(C401,'Talente &amp; Stuff'!C:AD,15,FALSE)</f>
        <v>0</v>
      </c>
      <c r="R401" s="113">
        <f>VLOOKUP(C401,'Talente &amp; Stuff'!C:AD,16,FALSE)</f>
        <v>0</v>
      </c>
      <c r="S401" s="119">
        <f>VLOOKUP(C401,'Talente &amp; Stuff'!C:AD,17,FALSE)</f>
        <v>0</v>
      </c>
      <c r="T401" s="160">
        <f>VLOOKUP(C401,'Talente &amp; Stuff'!C:AD,18,FALSE)</f>
        <v>0</v>
      </c>
      <c r="U401" s="89">
        <f>VLOOKUP(C401,'Talente &amp; Stuff'!C:AD,19,FALSE)</f>
        <v>0</v>
      </c>
      <c r="V401" s="47">
        <f>VLOOKUP(C401,'Talente &amp; Stuff'!C:AD,20,FALSE)</f>
        <v>0</v>
      </c>
      <c r="W401" s="127">
        <f>VLOOKUP(C401,'Talente &amp; Stuff'!C:AD,21,FALSE)</f>
        <v>0</v>
      </c>
      <c r="X401" s="127">
        <f>VLOOKUP(C401,'Talente &amp; Stuff'!C:AD,22,FALSE)</f>
        <v>0</v>
      </c>
      <c r="Y401" s="175">
        <f>VLOOKUP(C401,Ausgewählte_Liturgien_Allgemein,23,FALSE)</f>
        <v>0</v>
      </c>
      <c r="Z401" s="198">
        <f>VLOOKUP(C401,Ausgewählte_Liturgien_Allgemein,24,FALSE)</f>
        <v>0</v>
      </c>
      <c r="AA401" s="125">
        <f>VLOOKUP(C401,'Talente &amp; Stuff'!C:AD,25,FALSE)</f>
        <v>0</v>
      </c>
      <c r="AB401" s="160">
        <f>VLOOKUP(C401,'Talente &amp; Stuff'!C:AD,26,FALSE)</f>
        <v>0</v>
      </c>
      <c r="AC401" s="127">
        <f>VLOOKUP(C401,'Talente &amp; Stuff'!C:AD,27,FALSE)</f>
        <v>0</v>
      </c>
      <c r="AD401" s="125">
        <f>VLOOKUP(C401,'Talente &amp; Stuff'!C:AD,28,FALSE)</f>
        <v>0</v>
      </c>
      <c r="AE401" s="28"/>
    </row>
    <row r="402" spans="2:31" hidden="1" outlineLevel="2">
      <c r="B402" s="133">
        <v>3</v>
      </c>
      <c r="C402" s="178" t="s">
        <v>281</v>
      </c>
      <c r="D402" s="159" t="str">
        <f>VLOOKUP(C402,'Talente &amp; Stuff'!C:AD,2,FALSE)</f>
        <v>--/--/--</v>
      </c>
      <c r="E402" s="88" t="str">
        <f>VLOOKUP(C402,'Talente &amp; Stuff'!C:AD,3,FALSE)</f>
        <v>-</v>
      </c>
      <c r="F402" s="115">
        <f>VLOOKUP(C402,'Talente &amp; Stuff'!C:AD,4,FALSE)</f>
        <v>0</v>
      </c>
      <c r="G402" s="122">
        <f>VLOOKUP(C402,'Talente &amp; Stuff'!C:AD,5,FALSE)</f>
        <v>0</v>
      </c>
      <c r="H402" s="122">
        <f>VLOOKUP(C402,'Talente &amp; Stuff'!C:AD,6,FALSE)</f>
        <v>0</v>
      </c>
      <c r="I402" s="122">
        <f>VLOOKUP(C402,'Talente &amp; Stuff'!C:AD,7,FALSE)</f>
        <v>0</v>
      </c>
      <c r="J402" s="122">
        <f>VLOOKUP(C402,'Talente &amp; Stuff'!C:AD,8,FALSE)</f>
        <v>0</v>
      </c>
      <c r="K402" s="122">
        <f>VLOOKUP(C402,'Talente &amp; Stuff'!C:AD,9,FALSE)</f>
        <v>0</v>
      </c>
      <c r="L402" s="122">
        <f>VLOOKUP(C402,'Talente &amp; Stuff'!C:AD,10,FALSE)</f>
        <v>0</v>
      </c>
      <c r="M402" s="123">
        <f>VLOOKUP(C402,'Talente &amp; Stuff'!C:AD,11,FALSE)</f>
        <v>0</v>
      </c>
      <c r="N402" s="88">
        <f>VLOOKUP(C402,'Talente &amp; Stuff'!C:AD,12,FALSE)</f>
        <v>0</v>
      </c>
      <c r="O402" s="88">
        <f>VLOOKUP(C402,'Talente &amp; Stuff'!C:AD,13,FALSE)</f>
        <v>0</v>
      </c>
      <c r="P402" s="122">
        <f>VLOOKUP(C402,'Talente &amp; Stuff'!C:AD,14,FALSE)</f>
        <v>0</v>
      </c>
      <c r="Q402" s="115">
        <f>VLOOKUP(C402,'Talente &amp; Stuff'!C:AD,15,FALSE)</f>
        <v>0</v>
      </c>
      <c r="R402" s="122">
        <f>VLOOKUP(C402,'Talente &amp; Stuff'!C:AD,16,FALSE)</f>
        <v>0</v>
      </c>
      <c r="S402" s="123">
        <f>VLOOKUP(C402,'Talente &amp; Stuff'!C:AD,17,FALSE)</f>
        <v>0</v>
      </c>
      <c r="T402" s="161">
        <f>VLOOKUP(C402,'Talente &amp; Stuff'!C:AD,18,FALSE)</f>
        <v>0</v>
      </c>
      <c r="U402" s="90">
        <f>VLOOKUP(C402,'Talente &amp; Stuff'!C:AD,19,FALSE)</f>
        <v>0</v>
      </c>
      <c r="V402" s="88">
        <f>VLOOKUP(C402,'Talente &amp; Stuff'!C:AD,20,FALSE)</f>
        <v>0</v>
      </c>
      <c r="W402" s="128">
        <f>VLOOKUP(C402,'Talente &amp; Stuff'!C:AD,21,FALSE)</f>
        <v>0</v>
      </c>
      <c r="X402" s="128">
        <f>VLOOKUP(C402,'Talente &amp; Stuff'!C:AD,22,FALSE)</f>
        <v>0</v>
      </c>
      <c r="Y402" s="175">
        <f>VLOOKUP(C402,Ausgewählte_Liturgien_Allgemein,23,FALSE)</f>
        <v>0</v>
      </c>
      <c r="Z402" s="198">
        <f>VLOOKUP(C402,Ausgewählte_Liturgien_Allgemein,24,FALSE)</f>
        <v>0</v>
      </c>
      <c r="AA402" s="159">
        <f>VLOOKUP(C402,'Talente &amp; Stuff'!C:AD,25,FALSE)</f>
        <v>0</v>
      </c>
      <c r="AB402" s="161">
        <f>VLOOKUP(C402,'Talente &amp; Stuff'!C:AD,26,FALSE)</f>
        <v>0</v>
      </c>
      <c r="AC402" s="128">
        <f>VLOOKUP(C402,'Talente &amp; Stuff'!C:AD,27,FALSE)</f>
        <v>0</v>
      </c>
      <c r="AD402" s="159">
        <f>VLOOKUP(C402,'Talente &amp; Stuff'!C:AD,28,FALSE)</f>
        <v>0</v>
      </c>
      <c r="AE402" s="28"/>
    </row>
    <row r="403" spans="2:31" hidden="1" outlineLevel="1" collapsed="1">
      <c r="B403" s="134" t="s">
        <v>326</v>
      </c>
      <c r="C403" s="83"/>
      <c r="D403" s="84"/>
      <c r="E403" s="84"/>
      <c r="F403" s="148"/>
      <c r="G403" s="148"/>
      <c r="H403" s="148"/>
      <c r="I403" s="148"/>
      <c r="J403" s="148"/>
      <c r="K403" s="148"/>
      <c r="L403" s="148"/>
      <c r="M403" s="148"/>
      <c r="N403" s="148"/>
      <c r="O403" s="148"/>
      <c r="P403" s="148"/>
      <c r="Q403" s="148"/>
      <c r="R403" s="148"/>
      <c r="S403" s="148"/>
      <c r="T403" s="148"/>
      <c r="U403" s="148"/>
      <c r="V403" s="148"/>
      <c r="W403" s="148"/>
      <c r="X403" s="148"/>
    </row>
    <row r="404" spans="2:31" hidden="1" outlineLevel="2">
      <c r="B404" s="133">
        <v>1</v>
      </c>
      <c r="C404" s="176" t="s">
        <v>281</v>
      </c>
      <c r="D404" s="158" t="str">
        <f>VLOOKUP(C404,'Talente &amp; Stuff'!C:AD,2,FALSE)</f>
        <v>--/--/--</v>
      </c>
      <c r="E404" s="116" t="str">
        <f>VLOOKUP(C404,'Talente &amp; Stuff'!C:AD,3,FALSE)</f>
        <v>-</v>
      </c>
      <c r="F404" s="152">
        <f>VLOOKUP(C404,'Talente &amp; Stuff'!C:AD,4,FALSE)</f>
        <v>0</v>
      </c>
      <c r="G404" s="118">
        <f>VLOOKUP(C404,'Talente &amp; Stuff'!C:AD,5,FALSE)</f>
        <v>0</v>
      </c>
      <c r="H404" s="118">
        <f>VLOOKUP(C404,'Talente &amp; Stuff'!C:AD,6,FALSE)</f>
        <v>0</v>
      </c>
      <c r="I404" s="118">
        <f>VLOOKUP(C404,'Talente &amp; Stuff'!C:AD,7,FALSE)</f>
        <v>0</v>
      </c>
      <c r="J404" s="118">
        <f>VLOOKUP(C404,'Talente &amp; Stuff'!C:AD,8,FALSE)</f>
        <v>0</v>
      </c>
      <c r="K404" s="118">
        <f>VLOOKUP(C404,'Talente &amp; Stuff'!C:AD,9,FALSE)</f>
        <v>0</v>
      </c>
      <c r="L404" s="118">
        <f>VLOOKUP(C404,'Talente &amp; Stuff'!C:AD,10,FALSE)</f>
        <v>0</v>
      </c>
      <c r="M404" s="92">
        <f>VLOOKUP(C404,'Talente &amp; Stuff'!C:AD,11,FALSE)</f>
        <v>0</v>
      </c>
      <c r="N404" s="116">
        <f>VLOOKUP(C404,'Talente &amp; Stuff'!C:AD,12,FALSE)</f>
        <v>0</v>
      </c>
      <c r="O404" s="116">
        <f>VLOOKUP(C404,'Talente &amp; Stuff'!C:AD,13,FALSE)</f>
        <v>0</v>
      </c>
      <c r="P404" s="118">
        <f>VLOOKUP(C404,'Talente &amp; Stuff'!C:AD,14,FALSE)</f>
        <v>0</v>
      </c>
      <c r="Q404" s="152">
        <f>VLOOKUP(C404,'Talente &amp; Stuff'!C:AD,15,FALSE)</f>
        <v>0</v>
      </c>
      <c r="R404" s="118">
        <f>VLOOKUP(C404,'Talente &amp; Stuff'!C:AD,16,FALSE)</f>
        <v>0</v>
      </c>
      <c r="S404" s="92">
        <f>VLOOKUP(C404,'Talente &amp; Stuff'!C:AD,17,FALSE)</f>
        <v>0</v>
      </c>
      <c r="T404" s="91">
        <f>VLOOKUP(C404,'Talente &amp; Stuff'!C:AD,18,FALSE)</f>
        <v>0</v>
      </c>
      <c r="U404" s="154">
        <f>VLOOKUP(C404,'Talente &amp; Stuff'!C:AD,19,FALSE)</f>
        <v>0</v>
      </c>
      <c r="V404" s="116">
        <f>VLOOKUP(C404,'Talente &amp; Stuff'!C:AD,20,FALSE)</f>
        <v>0</v>
      </c>
      <c r="W404" s="126">
        <f>VLOOKUP(C404,'Talente &amp; Stuff'!C:AD,21,FALSE)</f>
        <v>0</v>
      </c>
      <c r="X404" s="126">
        <f>VLOOKUP(C404,'Talente &amp; Stuff'!C:AD,22,FALSE)</f>
        <v>0</v>
      </c>
      <c r="Y404" s="175">
        <f t="shared" ref="Y404:Y409" si="30">VLOOKUP(C404,Ausgewählte_Liturgien_Boron,23,FALSE)</f>
        <v>0</v>
      </c>
      <c r="Z404" s="198">
        <f t="shared" ref="Z404:Z409" si="31">VLOOKUP(C404,Ausgewählte_Liturgien_Boron,24,FALSE)</f>
        <v>0</v>
      </c>
      <c r="AA404" s="158">
        <f>VLOOKUP(C404,'Talente &amp; Stuff'!C:AD,25,FALSE)</f>
        <v>0</v>
      </c>
      <c r="AB404" s="91">
        <f>VLOOKUP(C404,'Talente &amp; Stuff'!C:AD,26,FALSE)</f>
        <v>0</v>
      </c>
      <c r="AC404" s="126">
        <f>VLOOKUP(C404,'Talente &amp; Stuff'!C:AD,27,FALSE)</f>
        <v>0</v>
      </c>
      <c r="AD404" s="158">
        <f>VLOOKUP(C404,'Talente &amp; Stuff'!C:AD,28,FALSE)</f>
        <v>0</v>
      </c>
      <c r="AE404" s="28"/>
    </row>
    <row r="405" spans="2:31" hidden="1" outlineLevel="2">
      <c r="B405" s="133">
        <v>2</v>
      </c>
      <c r="C405" s="177" t="s">
        <v>281</v>
      </c>
      <c r="D405" s="125" t="str">
        <f>VLOOKUP(C405,'Talente &amp; Stuff'!C:AD,2,FALSE)</f>
        <v>--/--/--</v>
      </c>
      <c r="E405" s="47" t="str">
        <f>VLOOKUP(C405,'Talente &amp; Stuff'!C:AD,3,FALSE)</f>
        <v>-</v>
      </c>
      <c r="F405" s="114">
        <f>VLOOKUP(C405,'Talente &amp; Stuff'!C:AD,4,FALSE)</f>
        <v>0</v>
      </c>
      <c r="G405" s="113">
        <f>VLOOKUP(C405,'Talente &amp; Stuff'!C:AD,5,FALSE)</f>
        <v>0</v>
      </c>
      <c r="H405" s="113">
        <f>VLOOKUP(C405,'Talente &amp; Stuff'!C:AD,6,FALSE)</f>
        <v>0</v>
      </c>
      <c r="I405" s="113">
        <f>VLOOKUP(C405,'Talente &amp; Stuff'!C:AD,7,FALSE)</f>
        <v>0</v>
      </c>
      <c r="J405" s="113">
        <f>VLOOKUP(C405,'Talente &amp; Stuff'!C:AD,8,FALSE)</f>
        <v>0</v>
      </c>
      <c r="K405" s="113">
        <f>VLOOKUP(C405,'Talente &amp; Stuff'!C:AD,9,FALSE)</f>
        <v>0</v>
      </c>
      <c r="L405" s="113">
        <f>VLOOKUP(C405,'Talente &amp; Stuff'!C:AD,10,FALSE)</f>
        <v>0</v>
      </c>
      <c r="M405" s="119">
        <f>VLOOKUP(C405,'Talente &amp; Stuff'!C:AD,11,FALSE)</f>
        <v>0</v>
      </c>
      <c r="N405" s="47">
        <f>VLOOKUP(C405,'Talente &amp; Stuff'!C:AD,12,FALSE)</f>
        <v>0</v>
      </c>
      <c r="O405" s="47">
        <f>VLOOKUP(C405,'Talente &amp; Stuff'!C:AD,13,FALSE)</f>
        <v>0</v>
      </c>
      <c r="P405" s="113">
        <f>VLOOKUP(C405,'Talente &amp; Stuff'!C:AD,14,FALSE)</f>
        <v>0</v>
      </c>
      <c r="Q405" s="114">
        <f>VLOOKUP(C405,'Talente &amp; Stuff'!C:AD,15,FALSE)</f>
        <v>0</v>
      </c>
      <c r="R405" s="113">
        <f>VLOOKUP(C405,'Talente &amp; Stuff'!C:AD,16,FALSE)</f>
        <v>0</v>
      </c>
      <c r="S405" s="119">
        <f>VLOOKUP(C405,'Talente &amp; Stuff'!C:AD,17,FALSE)</f>
        <v>0</v>
      </c>
      <c r="T405" s="160">
        <f>VLOOKUP(C405,'Talente &amp; Stuff'!C:AD,18,FALSE)</f>
        <v>0</v>
      </c>
      <c r="U405" s="89">
        <f>VLOOKUP(C405,'Talente &amp; Stuff'!C:AD,19,FALSE)</f>
        <v>0</v>
      </c>
      <c r="V405" s="47">
        <f>VLOOKUP(C405,'Talente &amp; Stuff'!C:AD,20,FALSE)</f>
        <v>0</v>
      </c>
      <c r="W405" s="127">
        <f>VLOOKUP(C405,'Talente &amp; Stuff'!C:AD,21,FALSE)</f>
        <v>0</v>
      </c>
      <c r="X405" s="127">
        <f>VLOOKUP(C405,'Talente &amp; Stuff'!C:AD,22,FALSE)</f>
        <v>0</v>
      </c>
      <c r="Y405" s="175">
        <f t="shared" si="30"/>
        <v>0</v>
      </c>
      <c r="Z405" s="198">
        <f t="shared" si="31"/>
        <v>0</v>
      </c>
      <c r="AA405" s="125">
        <f>VLOOKUP(C405,'Talente &amp; Stuff'!C:AD,25,FALSE)</f>
        <v>0</v>
      </c>
      <c r="AB405" s="160">
        <f>VLOOKUP(C405,'Talente &amp; Stuff'!C:AD,26,FALSE)</f>
        <v>0</v>
      </c>
      <c r="AC405" s="127">
        <f>VLOOKUP(C405,'Talente &amp; Stuff'!C:AD,27,FALSE)</f>
        <v>0</v>
      </c>
      <c r="AD405" s="125">
        <f>VLOOKUP(C405,'Talente &amp; Stuff'!C:AD,28,FALSE)</f>
        <v>0</v>
      </c>
      <c r="AE405" s="28"/>
    </row>
    <row r="406" spans="2:31" hidden="1" outlineLevel="2">
      <c r="B406" s="133">
        <v>3</v>
      </c>
      <c r="C406" s="177" t="s">
        <v>281</v>
      </c>
      <c r="D406" s="125" t="str">
        <f>VLOOKUP(C406,'Talente &amp; Stuff'!C:AD,2,FALSE)</f>
        <v>--/--/--</v>
      </c>
      <c r="E406" s="47" t="str">
        <f>VLOOKUP(C406,'Talente &amp; Stuff'!C:AD,3,FALSE)</f>
        <v>-</v>
      </c>
      <c r="F406" s="114">
        <f>VLOOKUP(C406,'Talente &amp; Stuff'!C:AD,4,FALSE)</f>
        <v>0</v>
      </c>
      <c r="G406" s="113">
        <f>VLOOKUP(C406,'Talente &amp; Stuff'!C:AD,5,FALSE)</f>
        <v>0</v>
      </c>
      <c r="H406" s="113">
        <f>VLOOKUP(C406,'Talente &amp; Stuff'!C:AD,6,FALSE)</f>
        <v>0</v>
      </c>
      <c r="I406" s="113">
        <f>VLOOKUP(C406,'Talente &amp; Stuff'!C:AD,7,FALSE)</f>
        <v>0</v>
      </c>
      <c r="J406" s="113">
        <f>VLOOKUP(C406,'Talente &amp; Stuff'!C:AD,8,FALSE)</f>
        <v>0</v>
      </c>
      <c r="K406" s="113">
        <f>VLOOKUP(C406,'Talente &amp; Stuff'!C:AD,9,FALSE)</f>
        <v>0</v>
      </c>
      <c r="L406" s="113">
        <f>VLOOKUP(C406,'Talente &amp; Stuff'!C:AD,10,FALSE)</f>
        <v>0</v>
      </c>
      <c r="M406" s="119">
        <f>VLOOKUP(C406,'Talente &amp; Stuff'!C:AD,11,FALSE)</f>
        <v>0</v>
      </c>
      <c r="N406" s="47">
        <f>VLOOKUP(C406,'Talente &amp; Stuff'!C:AD,12,FALSE)</f>
        <v>0</v>
      </c>
      <c r="O406" s="47">
        <f>VLOOKUP(C406,'Talente &amp; Stuff'!C:AD,13,FALSE)</f>
        <v>0</v>
      </c>
      <c r="P406" s="113">
        <f>VLOOKUP(C406,'Talente &amp; Stuff'!C:AD,14,FALSE)</f>
        <v>0</v>
      </c>
      <c r="Q406" s="114">
        <f>VLOOKUP(C406,'Talente &amp; Stuff'!C:AD,15,FALSE)</f>
        <v>0</v>
      </c>
      <c r="R406" s="113">
        <f>VLOOKUP(C406,'Talente &amp; Stuff'!C:AD,16,FALSE)</f>
        <v>0</v>
      </c>
      <c r="S406" s="119">
        <f>VLOOKUP(C406,'Talente &amp; Stuff'!C:AD,17,FALSE)</f>
        <v>0</v>
      </c>
      <c r="T406" s="160">
        <f>VLOOKUP(C406,'Talente &amp; Stuff'!C:AD,18,FALSE)</f>
        <v>0</v>
      </c>
      <c r="U406" s="89">
        <f>VLOOKUP(C406,'Talente &amp; Stuff'!C:AD,19,FALSE)</f>
        <v>0</v>
      </c>
      <c r="V406" s="47">
        <f>VLOOKUP(C406,'Talente &amp; Stuff'!C:AD,20,FALSE)</f>
        <v>0</v>
      </c>
      <c r="W406" s="127">
        <f>VLOOKUP(C406,'Talente &amp; Stuff'!C:AD,21,FALSE)</f>
        <v>0</v>
      </c>
      <c r="X406" s="127">
        <f>VLOOKUP(C406,'Talente &amp; Stuff'!C:AD,22,FALSE)</f>
        <v>0</v>
      </c>
      <c r="Y406" s="175">
        <f t="shared" si="30"/>
        <v>0</v>
      </c>
      <c r="Z406" s="198">
        <f t="shared" si="31"/>
        <v>0</v>
      </c>
      <c r="AA406" s="125">
        <f>VLOOKUP(C406,'Talente &amp; Stuff'!C:AD,25,FALSE)</f>
        <v>0</v>
      </c>
      <c r="AB406" s="160">
        <f>VLOOKUP(C406,'Talente &amp; Stuff'!C:AD,26,FALSE)</f>
        <v>0</v>
      </c>
      <c r="AC406" s="127">
        <f>VLOOKUP(C406,'Talente &amp; Stuff'!C:AD,27,FALSE)</f>
        <v>0</v>
      </c>
      <c r="AD406" s="125">
        <f>VLOOKUP(C406,'Talente &amp; Stuff'!C:AD,28,FALSE)</f>
        <v>0</v>
      </c>
      <c r="AE406" s="28"/>
    </row>
    <row r="407" spans="2:31" hidden="1" outlineLevel="2">
      <c r="B407" s="133">
        <v>4</v>
      </c>
      <c r="C407" s="177" t="s">
        <v>281</v>
      </c>
      <c r="D407" s="125" t="str">
        <f>VLOOKUP(C407,'Talente &amp; Stuff'!C:AD,2,FALSE)</f>
        <v>--/--/--</v>
      </c>
      <c r="E407" s="47" t="str">
        <f>VLOOKUP(C407,'Talente &amp; Stuff'!C:AD,3,FALSE)</f>
        <v>-</v>
      </c>
      <c r="F407" s="114">
        <f>VLOOKUP(C407,'Talente &amp; Stuff'!C:AD,4,FALSE)</f>
        <v>0</v>
      </c>
      <c r="G407" s="113">
        <f>VLOOKUP(C407,'Talente &amp; Stuff'!C:AD,5,FALSE)</f>
        <v>0</v>
      </c>
      <c r="H407" s="113">
        <f>VLOOKUP(C407,'Talente &amp; Stuff'!C:AD,6,FALSE)</f>
        <v>0</v>
      </c>
      <c r="I407" s="113">
        <f>VLOOKUP(C407,'Talente &amp; Stuff'!C:AD,7,FALSE)</f>
        <v>0</v>
      </c>
      <c r="J407" s="113">
        <f>VLOOKUP(C407,'Talente &amp; Stuff'!C:AD,8,FALSE)</f>
        <v>0</v>
      </c>
      <c r="K407" s="113">
        <f>VLOOKUP(C407,'Talente &amp; Stuff'!C:AD,9,FALSE)</f>
        <v>0</v>
      </c>
      <c r="L407" s="113">
        <f>VLOOKUP(C407,'Talente &amp; Stuff'!C:AD,10,FALSE)</f>
        <v>0</v>
      </c>
      <c r="M407" s="119">
        <f>VLOOKUP(C407,'Talente &amp; Stuff'!C:AD,11,FALSE)</f>
        <v>0</v>
      </c>
      <c r="N407" s="47">
        <f>VLOOKUP(C407,'Talente &amp; Stuff'!C:AD,12,FALSE)</f>
        <v>0</v>
      </c>
      <c r="O407" s="47">
        <f>VLOOKUP(C407,'Talente &amp; Stuff'!C:AD,13,FALSE)</f>
        <v>0</v>
      </c>
      <c r="P407" s="113">
        <f>VLOOKUP(C407,'Talente &amp; Stuff'!C:AD,14,FALSE)</f>
        <v>0</v>
      </c>
      <c r="Q407" s="114">
        <f>VLOOKUP(C407,'Talente &amp; Stuff'!C:AD,15,FALSE)</f>
        <v>0</v>
      </c>
      <c r="R407" s="113">
        <f>VLOOKUP(C407,'Talente &amp; Stuff'!C:AD,16,FALSE)</f>
        <v>0</v>
      </c>
      <c r="S407" s="119">
        <f>VLOOKUP(C407,'Talente &amp; Stuff'!C:AD,17,FALSE)</f>
        <v>0</v>
      </c>
      <c r="T407" s="160">
        <f>VLOOKUP(C407,'Talente &amp; Stuff'!C:AD,18,FALSE)</f>
        <v>0</v>
      </c>
      <c r="U407" s="89">
        <f>VLOOKUP(C407,'Talente &amp; Stuff'!C:AD,19,FALSE)</f>
        <v>0</v>
      </c>
      <c r="V407" s="47">
        <f>VLOOKUP(C407,'Talente &amp; Stuff'!C:AD,20,FALSE)</f>
        <v>0</v>
      </c>
      <c r="W407" s="127">
        <f>VLOOKUP(C407,'Talente &amp; Stuff'!C:AD,21,FALSE)</f>
        <v>0</v>
      </c>
      <c r="X407" s="127">
        <f>VLOOKUP(C407,'Talente &amp; Stuff'!C:AD,22,FALSE)</f>
        <v>0</v>
      </c>
      <c r="Y407" s="175">
        <f t="shared" si="30"/>
        <v>0</v>
      </c>
      <c r="Z407" s="198">
        <f t="shared" si="31"/>
        <v>0</v>
      </c>
      <c r="AA407" s="125">
        <f>VLOOKUP(C407,'Talente &amp; Stuff'!C:AD,25,FALSE)</f>
        <v>0</v>
      </c>
      <c r="AB407" s="160">
        <f>VLOOKUP(C407,'Talente &amp; Stuff'!C:AD,26,FALSE)</f>
        <v>0</v>
      </c>
      <c r="AC407" s="127">
        <f>VLOOKUP(C407,'Talente &amp; Stuff'!C:AD,27,FALSE)</f>
        <v>0</v>
      </c>
      <c r="AD407" s="125">
        <f>VLOOKUP(C407,'Talente &amp; Stuff'!C:AD,28,FALSE)</f>
        <v>0</v>
      </c>
      <c r="AE407" s="28"/>
    </row>
    <row r="408" spans="2:31" hidden="1" outlineLevel="2">
      <c r="B408" s="133">
        <v>5</v>
      </c>
      <c r="C408" s="177" t="s">
        <v>281</v>
      </c>
      <c r="D408" s="125" t="str">
        <f>VLOOKUP(C408,'Talente &amp; Stuff'!C:AD,2,FALSE)</f>
        <v>--/--/--</v>
      </c>
      <c r="E408" s="47" t="str">
        <f>VLOOKUP(C408,'Talente &amp; Stuff'!C:AD,3,FALSE)</f>
        <v>-</v>
      </c>
      <c r="F408" s="114">
        <f>VLOOKUP(C408,'Talente &amp; Stuff'!C:AD,4,FALSE)</f>
        <v>0</v>
      </c>
      <c r="G408" s="113">
        <f>VLOOKUP(C408,'Talente &amp; Stuff'!C:AD,5,FALSE)</f>
        <v>0</v>
      </c>
      <c r="H408" s="113">
        <f>VLOOKUP(C408,'Talente &amp; Stuff'!C:AD,6,FALSE)</f>
        <v>0</v>
      </c>
      <c r="I408" s="113">
        <f>VLOOKUP(C408,'Talente &amp; Stuff'!C:AD,7,FALSE)</f>
        <v>0</v>
      </c>
      <c r="J408" s="113">
        <f>VLOOKUP(C408,'Talente &amp; Stuff'!C:AD,8,FALSE)</f>
        <v>0</v>
      </c>
      <c r="K408" s="113">
        <f>VLOOKUP(C408,'Talente &amp; Stuff'!C:AD,9,FALSE)</f>
        <v>0</v>
      </c>
      <c r="L408" s="113">
        <f>VLOOKUP(C408,'Talente &amp; Stuff'!C:AD,10,FALSE)</f>
        <v>0</v>
      </c>
      <c r="M408" s="119">
        <f>VLOOKUP(C408,'Talente &amp; Stuff'!C:AD,11,FALSE)</f>
        <v>0</v>
      </c>
      <c r="N408" s="47">
        <f>VLOOKUP(C408,'Talente &amp; Stuff'!C:AD,12,FALSE)</f>
        <v>0</v>
      </c>
      <c r="O408" s="47">
        <f>VLOOKUP(C408,'Talente &amp; Stuff'!C:AD,13,FALSE)</f>
        <v>0</v>
      </c>
      <c r="P408" s="113">
        <f>VLOOKUP(C408,'Talente &amp; Stuff'!C:AD,14,FALSE)</f>
        <v>0</v>
      </c>
      <c r="Q408" s="114">
        <f>VLOOKUP(C408,'Talente &amp; Stuff'!C:AD,15,FALSE)</f>
        <v>0</v>
      </c>
      <c r="R408" s="113">
        <f>VLOOKUP(C408,'Talente &amp; Stuff'!C:AD,16,FALSE)</f>
        <v>0</v>
      </c>
      <c r="S408" s="119">
        <f>VLOOKUP(C408,'Talente &amp; Stuff'!C:AD,17,FALSE)</f>
        <v>0</v>
      </c>
      <c r="T408" s="160">
        <f>VLOOKUP(C408,'Talente &amp; Stuff'!C:AD,18,FALSE)</f>
        <v>0</v>
      </c>
      <c r="U408" s="89">
        <f>VLOOKUP(C408,'Talente &amp; Stuff'!C:AD,19,FALSE)</f>
        <v>0</v>
      </c>
      <c r="V408" s="47">
        <f>VLOOKUP(C408,'Talente &amp; Stuff'!C:AD,20,FALSE)</f>
        <v>0</v>
      </c>
      <c r="W408" s="127">
        <f>VLOOKUP(C408,'Talente &amp; Stuff'!C:AD,21,FALSE)</f>
        <v>0</v>
      </c>
      <c r="X408" s="127">
        <f>VLOOKUP(C408,'Talente &amp; Stuff'!C:AD,22,FALSE)</f>
        <v>0</v>
      </c>
      <c r="Y408" s="175">
        <f t="shared" si="30"/>
        <v>0</v>
      </c>
      <c r="Z408" s="198">
        <f t="shared" si="31"/>
        <v>0</v>
      </c>
      <c r="AA408" s="125">
        <f>VLOOKUP(C408,'Talente &amp; Stuff'!C:AD,25,FALSE)</f>
        <v>0</v>
      </c>
      <c r="AB408" s="160">
        <f>VLOOKUP(C408,'Talente &amp; Stuff'!C:AD,26,FALSE)</f>
        <v>0</v>
      </c>
      <c r="AC408" s="127">
        <f>VLOOKUP(C408,'Talente &amp; Stuff'!C:AD,27,FALSE)</f>
        <v>0</v>
      </c>
      <c r="AD408" s="125">
        <f>VLOOKUP(C408,'Talente &amp; Stuff'!C:AD,28,FALSE)</f>
        <v>0</v>
      </c>
      <c r="AE408" s="28"/>
    </row>
    <row r="409" spans="2:31" s="138" customFormat="1" hidden="1" outlineLevel="2">
      <c r="B409" s="138">
        <v>6</v>
      </c>
      <c r="C409" s="178" t="s">
        <v>281</v>
      </c>
      <c r="D409" s="159" t="str">
        <f>VLOOKUP(C409,'Talente &amp; Stuff'!C:AD,2,FALSE)</f>
        <v>--/--/--</v>
      </c>
      <c r="E409" s="88" t="str">
        <f>VLOOKUP(C409,'Talente &amp; Stuff'!C:AD,3,FALSE)</f>
        <v>-</v>
      </c>
      <c r="F409" s="115">
        <f>VLOOKUP(C409,'Talente &amp; Stuff'!C:AD,4,FALSE)</f>
        <v>0</v>
      </c>
      <c r="G409" s="122">
        <f>VLOOKUP(C409,'Talente &amp; Stuff'!C:AD,5,FALSE)</f>
        <v>0</v>
      </c>
      <c r="H409" s="122">
        <f>VLOOKUP(C409,'Talente &amp; Stuff'!C:AD,6,FALSE)</f>
        <v>0</v>
      </c>
      <c r="I409" s="122">
        <f>VLOOKUP(C409,'Talente &amp; Stuff'!C:AD,7,FALSE)</f>
        <v>0</v>
      </c>
      <c r="J409" s="122">
        <f>VLOOKUP(C409,'Talente &amp; Stuff'!C:AD,8,FALSE)</f>
        <v>0</v>
      </c>
      <c r="K409" s="122">
        <f>VLOOKUP(C409,'Talente &amp; Stuff'!C:AD,9,FALSE)</f>
        <v>0</v>
      </c>
      <c r="L409" s="122">
        <f>VLOOKUP(C409,'Talente &amp; Stuff'!C:AD,10,FALSE)</f>
        <v>0</v>
      </c>
      <c r="M409" s="123">
        <f>VLOOKUP(C409,'Talente &amp; Stuff'!C:AD,11,FALSE)</f>
        <v>0</v>
      </c>
      <c r="N409" s="88">
        <f>VLOOKUP(C409,'Talente &amp; Stuff'!C:AD,12,FALSE)</f>
        <v>0</v>
      </c>
      <c r="O409" s="88">
        <f>VLOOKUP(C409,'Talente &amp; Stuff'!C:AD,13,FALSE)</f>
        <v>0</v>
      </c>
      <c r="P409" s="122">
        <f>VLOOKUP(C409,'Talente &amp; Stuff'!C:AD,14,FALSE)</f>
        <v>0</v>
      </c>
      <c r="Q409" s="115">
        <f>VLOOKUP(C409,'Talente &amp; Stuff'!C:AD,15,FALSE)</f>
        <v>0</v>
      </c>
      <c r="R409" s="122">
        <f>VLOOKUP(C409,'Talente &amp; Stuff'!C:AD,16,FALSE)</f>
        <v>0</v>
      </c>
      <c r="S409" s="123">
        <f>VLOOKUP(C409,'Talente &amp; Stuff'!C:AD,17,FALSE)</f>
        <v>0</v>
      </c>
      <c r="T409" s="161">
        <f>VLOOKUP(C409,'Talente &amp; Stuff'!C:AD,18,FALSE)</f>
        <v>0</v>
      </c>
      <c r="U409" s="90">
        <f>VLOOKUP(C409,'Talente &amp; Stuff'!C:AD,19,FALSE)</f>
        <v>0</v>
      </c>
      <c r="V409" s="88">
        <f>VLOOKUP(C409,'Talente &amp; Stuff'!C:AD,20,FALSE)</f>
        <v>0</v>
      </c>
      <c r="W409" s="128">
        <f>VLOOKUP(C409,'Talente &amp; Stuff'!C:AD,21,FALSE)</f>
        <v>0</v>
      </c>
      <c r="X409" s="128">
        <f>VLOOKUP(C409,'Talente &amp; Stuff'!C:AD,22,FALSE)</f>
        <v>0</v>
      </c>
      <c r="Y409" s="175">
        <f t="shared" si="30"/>
        <v>0</v>
      </c>
      <c r="Z409" s="198">
        <f t="shared" si="31"/>
        <v>0</v>
      </c>
      <c r="AA409" s="159">
        <f>VLOOKUP(C409,'Talente &amp; Stuff'!C:AD,25,FALSE)</f>
        <v>0</v>
      </c>
      <c r="AB409" s="161">
        <f>VLOOKUP(C409,'Talente &amp; Stuff'!C:AD,26,FALSE)</f>
        <v>0</v>
      </c>
      <c r="AC409" s="128">
        <f>VLOOKUP(C409,'Talente &amp; Stuff'!C:AD,27,FALSE)</f>
        <v>0</v>
      </c>
      <c r="AD409" s="159">
        <f>VLOOKUP(C409,'Talente &amp; Stuff'!C:AD,28,FALSE)</f>
        <v>0</v>
      </c>
      <c r="AE409" s="28"/>
    </row>
    <row r="410" spans="2:31" hidden="1" outlineLevel="1" collapsed="1">
      <c r="B410" s="134" t="s">
        <v>325</v>
      </c>
      <c r="C410" s="83"/>
      <c r="D410" s="84"/>
      <c r="E410" s="84"/>
      <c r="F410" s="148"/>
      <c r="G410" s="148"/>
      <c r="H410" s="148"/>
      <c r="I410" s="148"/>
      <c r="J410" s="148"/>
      <c r="K410" s="148"/>
      <c r="L410" s="148"/>
      <c r="M410" s="148"/>
      <c r="N410" s="148"/>
      <c r="O410" s="148"/>
      <c r="P410" s="148"/>
      <c r="Q410" s="148"/>
      <c r="R410" s="148"/>
      <c r="S410" s="148"/>
      <c r="T410" s="148"/>
      <c r="U410" s="148"/>
      <c r="V410" s="148"/>
      <c r="W410" s="148"/>
      <c r="X410" s="148"/>
    </row>
    <row r="411" spans="2:31" hidden="1" outlineLevel="2">
      <c r="B411" s="133">
        <v>1</v>
      </c>
      <c r="C411" s="176" t="s">
        <v>281</v>
      </c>
      <c r="D411" s="158" t="str">
        <f>VLOOKUP(C411,'Talente &amp; Stuff'!C:AD,2,FALSE)</f>
        <v>--/--/--</v>
      </c>
      <c r="E411" s="116" t="str">
        <f>VLOOKUP(C411,'Talente &amp; Stuff'!C:AD,3,FALSE)</f>
        <v>-</v>
      </c>
      <c r="F411" s="152">
        <f>VLOOKUP(C411,'Talente &amp; Stuff'!C:AD,4,FALSE)</f>
        <v>0</v>
      </c>
      <c r="G411" s="118">
        <f>VLOOKUP(C411,'Talente &amp; Stuff'!C:AD,5,FALSE)</f>
        <v>0</v>
      </c>
      <c r="H411" s="118">
        <f>VLOOKUP(C411,'Talente &amp; Stuff'!C:AD,6,FALSE)</f>
        <v>0</v>
      </c>
      <c r="I411" s="118">
        <f>VLOOKUP(C411,'Talente &amp; Stuff'!C:AD,7,FALSE)</f>
        <v>0</v>
      </c>
      <c r="J411" s="118">
        <f>VLOOKUP(C411,'Talente &amp; Stuff'!C:AD,8,FALSE)</f>
        <v>0</v>
      </c>
      <c r="K411" s="118">
        <f>VLOOKUP(C411,'Talente &amp; Stuff'!C:AD,9,FALSE)</f>
        <v>0</v>
      </c>
      <c r="L411" s="118">
        <f>VLOOKUP(C411,'Talente &amp; Stuff'!C:AD,10,FALSE)</f>
        <v>0</v>
      </c>
      <c r="M411" s="92">
        <f>VLOOKUP(C411,'Talente &amp; Stuff'!C:AD,11,FALSE)</f>
        <v>0</v>
      </c>
      <c r="N411" s="116">
        <f>VLOOKUP(C411,'Talente &amp; Stuff'!C:AD,12,FALSE)</f>
        <v>0</v>
      </c>
      <c r="O411" s="116">
        <f>VLOOKUP(C411,'Talente &amp; Stuff'!C:AD,13,FALSE)</f>
        <v>0</v>
      </c>
      <c r="P411" s="118">
        <f>VLOOKUP(C411,'Talente &amp; Stuff'!C:AD,14,FALSE)</f>
        <v>0</v>
      </c>
      <c r="Q411" s="152">
        <f>VLOOKUP(C411,'Talente &amp; Stuff'!C:AD,15,FALSE)</f>
        <v>0</v>
      </c>
      <c r="R411" s="118">
        <f>VLOOKUP(C411,'Talente &amp; Stuff'!C:AD,16,FALSE)</f>
        <v>0</v>
      </c>
      <c r="S411" s="92">
        <f>VLOOKUP(C411,'Talente &amp; Stuff'!C:AD,17,FALSE)</f>
        <v>0</v>
      </c>
      <c r="T411" s="91">
        <f>VLOOKUP(C411,'Talente &amp; Stuff'!C:AD,18,FALSE)</f>
        <v>0</v>
      </c>
      <c r="U411" s="154">
        <f>VLOOKUP(C411,'Talente &amp; Stuff'!C:AD,19,FALSE)</f>
        <v>0</v>
      </c>
      <c r="V411" s="116">
        <f>VLOOKUP(C411,'Talente &amp; Stuff'!C:AD,20,FALSE)</f>
        <v>0</v>
      </c>
      <c r="W411" s="126">
        <f>VLOOKUP(C411,'Talente &amp; Stuff'!C:AD,21,FALSE)</f>
        <v>0</v>
      </c>
      <c r="X411" s="126">
        <f>VLOOKUP(C411,'Talente &amp; Stuff'!C:AD,22,FALSE)</f>
        <v>0</v>
      </c>
      <c r="Y411" s="175">
        <f t="shared" ref="Y411:Y417" si="32">VLOOKUP(C411,Ausgewählte_Liturgien_Hesinde,23,FALSE)</f>
        <v>0</v>
      </c>
      <c r="Z411" s="198">
        <f t="shared" ref="Z411:Z417" si="33">VLOOKUP(C411,Ausgewählte_Liturgien_Hesinde,24,FALSE)</f>
        <v>0</v>
      </c>
      <c r="AA411" s="158">
        <f>VLOOKUP(C411,'Talente &amp; Stuff'!C:AD,25,FALSE)</f>
        <v>0</v>
      </c>
      <c r="AB411" s="91">
        <f>VLOOKUP(C411,'Talente &amp; Stuff'!C:AD,26,FALSE)</f>
        <v>0</v>
      </c>
      <c r="AC411" s="126">
        <f>VLOOKUP(C411,'Talente &amp; Stuff'!C:AD,27,FALSE)</f>
        <v>0</v>
      </c>
      <c r="AD411" s="158">
        <f>VLOOKUP(C411,'Talente &amp; Stuff'!C:AD,28,FALSE)</f>
        <v>0</v>
      </c>
      <c r="AE411" s="28"/>
    </row>
    <row r="412" spans="2:31" hidden="1" outlineLevel="2">
      <c r="B412" s="133">
        <v>2</v>
      </c>
      <c r="C412" s="177" t="s">
        <v>281</v>
      </c>
      <c r="D412" s="125" t="str">
        <f>VLOOKUP(C412,'Talente &amp; Stuff'!C:AD,2,FALSE)</f>
        <v>--/--/--</v>
      </c>
      <c r="E412" s="47" t="str">
        <f>VLOOKUP(C412,'Talente &amp; Stuff'!C:AD,3,FALSE)</f>
        <v>-</v>
      </c>
      <c r="F412" s="114">
        <f>VLOOKUP(C412,'Talente &amp; Stuff'!C:AD,4,FALSE)</f>
        <v>0</v>
      </c>
      <c r="G412" s="113">
        <f>VLOOKUP(C412,'Talente &amp; Stuff'!C:AD,5,FALSE)</f>
        <v>0</v>
      </c>
      <c r="H412" s="113">
        <f>VLOOKUP(C412,'Talente &amp; Stuff'!C:AD,6,FALSE)</f>
        <v>0</v>
      </c>
      <c r="I412" s="113">
        <f>VLOOKUP(C412,'Talente &amp; Stuff'!C:AD,7,FALSE)</f>
        <v>0</v>
      </c>
      <c r="J412" s="113">
        <f>VLOOKUP(C412,'Talente &amp; Stuff'!C:AD,8,FALSE)</f>
        <v>0</v>
      </c>
      <c r="K412" s="113">
        <f>VLOOKUP(C412,'Talente &amp; Stuff'!C:AD,9,FALSE)</f>
        <v>0</v>
      </c>
      <c r="L412" s="113">
        <f>VLOOKUP(C412,'Talente &amp; Stuff'!C:AD,10,FALSE)</f>
        <v>0</v>
      </c>
      <c r="M412" s="119">
        <f>VLOOKUP(C412,'Talente &amp; Stuff'!C:AD,11,FALSE)</f>
        <v>0</v>
      </c>
      <c r="N412" s="47">
        <f>VLOOKUP(C412,'Talente &amp; Stuff'!C:AD,12,FALSE)</f>
        <v>0</v>
      </c>
      <c r="O412" s="47">
        <f>VLOOKUP(C412,'Talente &amp; Stuff'!C:AD,13,FALSE)</f>
        <v>0</v>
      </c>
      <c r="P412" s="113">
        <f>VLOOKUP(C412,'Talente &amp; Stuff'!C:AD,14,FALSE)</f>
        <v>0</v>
      </c>
      <c r="Q412" s="114">
        <f>VLOOKUP(C412,'Talente &amp; Stuff'!C:AD,15,FALSE)</f>
        <v>0</v>
      </c>
      <c r="R412" s="113">
        <f>VLOOKUP(C412,'Talente &amp; Stuff'!C:AD,16,FALSE)</f>
        <v>0</v>
      </c>
      <c r="S412" s="119">
        <f>VLOOKUP(C412,'Talente &amp; Stuff'!C:AD,17,FALSE)</f>
        <v>0</v>
      </c>
      <c r="T412" s="160">
        <f>VLOOKUP(C412,'Talente &amp; Stuff'!C:AD,18,FALSE)</f>
        <v>0</v>
      </c>
      <c r="U412" s="89">
        <f>VLOOKUP(C412,'Talente &amp; Stuff'!C:AD,19,FALSE)</f>
        <v>0</v>
      </c>
      <c r="V412" s="47">
        <f>VLOOKUP(C412,'Talente &amp; Stuff'!C:AD,20,FALSE)</f>
        <v>0</v>
      </c>
      <c r="W412" s="127">
        <f>VLOOKUP(C412,'Talente &amp; Stuff'!C:AD,21,FALSE)</f>
        <v>0</v>
      </c>
      <c r="X412" s="127">
        <f>VLOOKUP(C412,'Talente &amp; Stuff'!C:AD,22,FALSE)</f>
        <v>0</v>
      </c>
      <c r="Y412" s="175">
        <f t="shared" si="32"/>
        <v>0</v>
      </c>
      <c r="Z412" s="198">
        <f t="shared" si="33"/>
        <v>0</v>
      </c>
      <c r="AA412" s="125">
        <f>VLOOKUP(C412,'Talente &amp; Stuff'!C:AD,25,FALSE)</f>
        <v>0</v>
      </c>
      <c r="AB412" s="160">
        <f>VLOOKUP(C412,'Talente &amp; Stuff'!C:AD,26,FALSE)</f>
        <v>0</v>
      </c>
      <c r="AC412" s="127">
        <f>VLOOKUP(C412,'Talente &amp; Stuff'!C:AD,27,FALSE)</f>
        <v>0</v>
      </c>
      <c r="AD412" s="125">
        <f>VLOOKUP(C412,'Talente &amp; Stuff'!C:AD,28,FALSE)</f>
        <v>0</v>
      </c>
      <c r="AE412" s="28"/>
    </row>
    <row r="413" spans="2:31" hidden="1" outlineLevel="2">
      <c r="B413" s="133">
        <v>3</v>
      </c>
      <c r="C413" s="177" t="s">
        <v>281</v>
      </c>
      <c r="D413" s="125" t="str">
        <f>VLOOKUP(C413,'Talente &amp; Stuff'!C:AD,2,FALSE)</f>
        <v>--/--/--</v>
      </c>
      <c r="E413" s="47" t="str">
        <f>VLOOKUP(C413,'Talente &amp; Stuff'!C:AD,3,FALSE)</f>
        <v>-</v>
      </c>
      <c r="F413" s="114">
        <f>VLOOKUP(C413,'Talente &amp; Stuff'!C:AD,4,FALSE)</f>
        <v>0</v>
      </c>
      <c r="G413" s="113">
        <f>VLOOKUP(C413,'Talente &amp; Stuff'!C:AD,5,FALSE)</f>
        <v>0</v>
      </c>
      <c r="H413" s="113">
        <f>VLOOKUP(C413,'Talente &amp; Stuff'!C:AD,6,FALSE)</f>
        <v>0</v>
      </c>
      <c r="I413" s="113">
        <f>VLOOKUP(C413,'Talente &amp; Stuff'!C:AD,7,FALSE)</f>
        <v>0</v>
      </c>
      <c r="J413" s="113">
        <f>VLOOKUP(C413,'Talente &amp; Stuff'!C:AD,8,FALSE)</f>
        <v>0</v>
      </c>
      <c r="K413" s="113">
        <f>VLOOKUP(C413,'Talente &amp; Stuff'!C:AD,9,FALSE)</f>
        <v>0</v>
      </c>
      <c r="L413" s="113">
        <f>VLOOKUP(C413,'Talente &amp; Stuff'!C:AD,10,FALSE)</f>
        <v>0</v>
      </c>
      <c r="M413" s="119">
        <f>VLOOKUP(C413,'Talente &amp; Stuff'!C:AD,11,FALSE)</f>
        <v>0</v>
      </c>
      <c r="N413" s="47">
        <f>VLOOKUP(C413,'Talente &amp; Stuff'!C:AD,12,FALSE)</f>
        <v>0</v>
      </c>
      <c r="O413" s="47">
        <f>VLOOKUP(C413,'Talente &amp; Stuff'!C:AD,13,FALSE)</f>
        <v>0</v>
      </c>
      <c r="P413" s="113">
        <f>VLOOKUP(C413,'Talente &amp; Stuff'!C:AD,14,FALSE)</f>
        <v>0</v>
      </c>
      <c r="Q413" s="114">
        <f>VLOOKUP(C413,'Talente &amp; Stuff'!C:AD,15,FALSE)</f>
        <v>0</v>
      </c>
      <c r="R413" s="113">
        <f>VLOOKUP(C413,'Talente &amp; Stuff'!C:AD,16,FALSE)</f>
        <v>0</v>
      </c>
      <c r="S413" s="119">
        <f>VLOOKUP(C413,'Talente &amp; Stuff'!C:AD,17,FALSE)</f>
        <v>0</v>
      </c>
      <c r="T413" s="160">
        <f>VLOOKUP(C413,'Talente &amp; Stuff'!C:AD,18,FALSE)</f>
        <v>0</v>
      </c>
      <c r="U413" s="89">
        <f>VLOOKUP(C413,'Talente &amp; Stuff'!C:AD,19,FALSE)</f>
        <v>0</v>
      </c>
      <c r="V413" s="47">
        <f>VLOOKUP(C413,'Talente &amp; Stuff'!C:AD,20,FALSE)</f>
        <v>0</v>
      </c>
      <c r="W413" s="127">
        <f>VLOOKUP(C413,'Talente &amp; Stuff'!C:AD,21,FALSE)</f>
        <v>0</v>
      </c>
      <c r="X413" s="127">
        <f>VLOOKUP(C413,'Talente &amp; Stuff'!C:AD,22,FALSE)</f>
        <v>0</v>
      </c>
      <c r="Y413" s="175">
        <f t="shared" si="32"/>
        <v>0</v>
      </c>
      <c r="Z413" s="198">
        <f t="shared" si="33"/>
        <v>0</v>
      </c>
      <c r="AA413" s="125">
        <f>VLOOKUP(C413,'Talente &amp; Stuff'!C:AD,25,FALSE)</f>
        <v>0</v>
      </c>
      <c r="AB413" s="160">
        <f>VLOOKUP(C413,'Talente &amp; Stuff'!C:AD,26,FALSE)</f>
        <v>0</v>
      </c>
      <c r="AC413" s="127">
        <f>VLOOKUP(C413,'Talente &amp; Stuff'!C:AD,27,FALSE)</f>
        <v>0</v>
      </c>
      <c r="AD413" s="125">
        <f>VLOOKUP(C413,'Talente &amp; Stuff'!C:AD,28,FALSE)</f>
        <v>0</v>
      </c>
      <c r="AE413" s="28"/>
    </row>
    <row r="414" spans="2:31" hidden="1" outlineLevel="2">
      <c r="B414" s="133">
        <v>4</v>
      </c>
      <c r="C414" s="177" t="s">
        <v>281</v>
      </c>
      <c r="D414" s="125" t="str">
        <f>VLOOKUP(C414,'Talente &amp; Stuff'!C:AD,2,FALSE)</f>
        <v>--/--/--</v>
      </c>
      <c r="E414" s="47" t="str">
        <f>VLOOKUP(C414,'Talente &amp; Stuff'!C:AD,3,FALSE)</f>
        <v>-</v>
      </c>
      <c r="F414" s="114">
        <f>VLOOKUP(C414,'Talente &amp; Stuff'!C:AD,4,FALSE)</f>
        <v>0</v>
      </c>
      <c r="G414" s="113">
        <f>VLOOKUP(C414,'Talente &amp; Stuff'!C:AD,5,FALSE)</f>
        <v>0</v>
      </c>
      <c r="H414" s="113">
        <f>VLOOKUP(C414,'Talente &amp; Stuff'!C:AD,6,FALSE)</f>
        <v>0</v>
      </c>
      <c r="I414" s="113">
        <f>VLOOKUP(C414,'Talente &amp; Stuff'!C:AD,7,FALSE)</f>
        <v>0</v>
      </c>
      <c r="J414" s="113">
        <f>VLOOKUP(C414,'Talente &amp; Stuff'!C:AD,8,FALSE)</f>
        <v>0</v>
      </c>
      <c r="K414" s="113">
        <f>VLOOKUP(C414,'Talente &amp; Stuff'!C:AD,9,FALSE)</f>
        <v>0</v>
      </c>
      <c r="L414" s="113">
        <f>VLOOKUP(C414,'Talente &amp; Stuff'!C:AD,10,FALSE)</f>
        <v>0</v>
      </c>
      <c r="M414" s="119">
        <f>VLOOKUP(C414,'Talente &amp; Stuff'!C:AD,11,FALSE)</f>
        <v>0</v>
      </c>
      <c r="N414" s="47">
        <f>VLOOKUP(C414,'Talente &amp; Stuff'!C:AD,12,FALSE)</f>
        <v>0</v>
      </c>
      <c r="O414" s="47">
        <f>VLOOKUP(C414,'Talente &amp; Stuff'!C:AD,13,FALSE)</f>
        <v>0</v>
      </c>
      <c r="P414" s="113">
        <f>VLOOKUP(C414,'Talente &amp; Stuff'!C:AD,14,FALSE)</f>
        <v>0</v>
      </c>
      <c r="Q414" s="114">
        <f>VLOOKUP(C414,'Talente &amp; Stuff'!C:AD,15,FALSE)</f>
        <v>0</v>
      </c>
      <c r="R414" s="113">
        <f>VLOOKUP(C414,'Talente &amp; Stuff'!C:AD,16,FALSE)</f>
        <v>0</v>
      </c>
      <c r="S414" s="119">
        <f>VLOOKUP(C414,'Talente &amp; Stuff'!C:AD,17,FALSE)</f>
        <v>0</v>
      </c>
      <c r="T414" s="160">
        <f>VLOOKUP(C414,'Talente &amp; Stuff'!C:AD,18,FALSE)</f>
        <v>0</v>
      </c>
      <c r="U414" s="89">
        <f>VLOOKUP(C414,'Talente &amp; Stuff'!C:AD,19,FALSE)</f>
        <v>0</v>
      </c>
      <c r="V414" s="47">
        <f>VLOOKUP(C414,'Talente &amp; Stuff'!C:AD,20,FALSE)</f>
        <v>0</v>
      </c>
      <c r="W414" s="127">
        <f>VLOOKUP(C414,'Talente &amp; Stuff'!C:AD,21,FALSE)</f>
        <v>0</v>
      </c>
      <c r="X414" s="127">
        <f>VLOOKUP(C414,'Talente &amp; Stuff'!C:AD,22,FALSE)</f>
        <v>0</v>
      </c>
      <c r="Y414" s="175">
        <f t="shared" si="32"/>
        <v>0</v>
      </c>
      <c r="Z414" s="198">
        <f t="shared" si="33"/>
        <v>0</v>
      </c>
      <c r="AA414" s="125">
        <f>VLOOKUP(C414,'Talente &amp; Stuff'!C:AD,25,FALSE)</f>
        <v>0</v>
      </c>
      <c r="AB414" s="160">
        <f>VLOOKUP(C414,'Talente &amp; Stuff'!C:AD,26,FALSE)</f>
        <v>0</v>
      </c>
      <c r="AC414" s="127">
        <f>VLOOKUP(C414,'Talente &amp; Stuff'!C:AD,27,FALSE)</f>
        <v>0</v>
      </c>
      <c r="AD414" s="125">
        <f>VLOOKUP(C414,'Talente &amp; Stuff'!C:AD,28,FALSE)</f>
        <v>0</v>
      </c>
      <c r="AE414" s="28"/>
    </row>
    <row r="415" spans="2:31" hidden="1" outlineLevel="2">
      <c r="B415" s="133">
        <v>5</v>
      </c>
      <c r="C415" s="177" t="s">
        <v>281</v>
      </c>
      <c r="D415" s="125" t="str">
        <f>VLOOKUP(C415,'Talente &amp; Stuff'!C:AD,2,FALSE)</f>
        <v>--/--/--</v>
      </c>
      <c r="E415" s="47" t="str">
        <f>VLOOKUP(C415,'Talente &amp; Stuff'!C:AD,3,FALSE)</f>
        <v>-</v>
      </c>
      <c r="F415" s="114">
        <f>VLOOKUP(C415,'Talente &amp; Stuff'!C:AD,4,FALSE)</f>
        <v>0</v>
      </c>
      <c r="G415" s="113">
        <f>VLOOKUP(C415,'Talente &amp; Stuff'!C:AD,5,FALSE)</f>
        <v>0</v>
      </c>
      <c r="H415" s="113">
        <f>VLOOKUP(C415,'Talente &amp; Stuff'!C:AD,6,FALSE)</f>
        <v>0</v>
      </c>
      <c r="I415" s="113">
        <f>VLOOKUP(C415,'Talente &amp; Stuff'!C:AD,7,FALSE)</f>
        <v>0</v>
      </c>
      <c r="J415" s="113">
        <f>VLOOKUP(C415,'Talente &amp; Stuff'!C:AD,8,FALSE)</f>
        <v>0</v>
      </c>
      <c r="K415" s="113">
        <f>VLOOKUP(C415,'Talente &amp; Stuff'!C:AD,9,FALSE)</f>
        <v>0</v>
      </c>
      <c r="L415" s="113">
        <f>VLOOKUP(C415,'Talente &amp; Stuff'!C:AD,10,FALSE)</f>
        <v>0</v>
      </c>
      <c r="M415" s="119">
        <f>VLOOKUP(C415,'Talente &amp; Stuff'!C:AD,11,FALSE)</f>
        <v>0</v>
      </c>
      <c r="N415" s="47">
        <f>VLOOKUP(C415,'Talente &amp; Stuff'!C:AD,12,FALSE)</f>
        <v>0</v>
      </c>
      <c r="O415" s="47">
        <f>VLOOKUP(C415,'Talente &amp; Stuff'!C:AD,13,FALSE)</f>
        <v>0</v>
      </c>
      <c r="P415" s="113">
        <f>VLOOKUP(C415,'Talente &amp; Stuff'!C:AD,14,FALSE)</f>
        <v>0</v>
      </c>
      <c r="Q415" s="114">
        <f>VLOOKUP(C415,'Talente &amp; Stuff'!C:AD,15,FALSE)</f>
        <v>0</v>
      </c>
      <c r="R415" s="113">
        <f>VLOOKUP(C415,'Talente &amp; Stuff'!C:AD,16,FALSE)</f>
        <v>0</v>
      </c>
      <c r="S415" s="119">
        <f>VLOOKUP(C415,'Talente &amp; Stuff'!C:AD,17,FALSE)</f>
        <v>0</v>
      </c>
      <c r="T415" s="160">
        <f>VLOOKUP(C415,'Talente &amp; Stuff'!C:AD,18,FALSE)</f>
        <v>0</v>
      </c>
      <c r="U415" s="89">
        <f>VLOOKUP(C415,'Talente &amp; Stuff'!C:AD,19,FALSE)</f>
        <v>0</v>
      </c>
      <c r="V415" s="47">
        <f>VLOOKUP(C415,'Talente &amp; Stuff'!C:AD,20,FALSE)</f>
        <v>0</v>
      </c>
      <c r="W415" s="127">
        <f>VLOOKUP(C415,'Talente &amp; Stuff'!C:AD,21,FALSE)</f>
        <v>0</v>
      </c>
      <c r="X415" s="127">
        <f>VLOOKUP(C415,'Talente &amp; Stuff'!C:AD,22,FALSE)</f>
        <v>0</v>
      </c>
      <c r="Y415" s="175">
        <f t="shared" si="32"/>
        <v>0</v>
      </c>
      <c r="Z415" s="198">
        <f t="shared" si="33"/>
        <v>0</v>
      </c>
      <c r="AA415" s="125">
        <f>VLOOKUP(C415,'Talente &amp; Stuff'!C:AD,25,FALSE)</f>
        <v>0</v>
      </c>
      <c r="AB415" s="160">
        <f>VLOOKUP(C415,'Talente &amp; Stuff'!C:AD,26,FALSE)</f>
        <v>0</v>
      </c>
      <c r="AC415" s="127">
        <f>VLOOKUP(C415,'Talente &amp; Stuff'!C:AD,27,FALSE)</f>
        <v>0</v>
      </c>
      <c r="AD415" s="125">
        <f>VLOOKUP(C415,'Talente &amp; Stuff'!C:AD,28,FALSE)</f>
        <v>0</v>
      </c>
      <c r="AE415" s="28"/>
    </row>
    <row r="416" spans="2:31" hidden="1" outlineLevel="2">
      <c r="B416" s="133">
        <v>6</v>
      </c>
      <c r="C416" s="177" t="s">
        <v>281</v>
      </c>
      <c r="D416" s="125" t="str">
        <f>VLOOKUP(C416,'Talente &amp; Stuff'!C:AD,2,FALSE)</f>
        <v>--/--/--</v>
      </c>
      <c r="E416" s="47" t="str">
        <f>VLOOKUP(C416,'Talente &amp; Stuff'!C:AD,3,FALSE)</f>
        <v>-</v>
      </c>
      <c r="F416" s="114">
        <f>VLOOKUP(C416,'Talente &amp; Stuff'!C:AD,4,FALSE)</f>
        <v>0</v>
      </c>
      <c r="G416" s="113">
        <f>VLOOKUP(C416,'Talente &amp; Stuff'!C:AD,5,FALSE)</f>
        <v>0</v>
      </c>
      <c r="H416" s="113">
        <f>VLOOKUP(C416,'Talente &amp; Stuff'!C:AD,6,FALSE)</f>
        <v>0</v>
      </c>
      <c r="I416" s="113">
        <f>VLOOKUP(C416,'Talente &amp; Stuff'!C:AD,7,FALSE)</f>
        <v>0</v>
      </c>
      <c r="J416" s="113">
        <f>VLOOKUP(C416,'Talente &amp; Stuff'!C:AD,8,FALSE)</f>
        <v>0</v>
      </c>
      <c r="K416" s="113">
        <f>VLOOKUP(C416,'Talente &amp; Stuff'!C:AD,9,FALSE)</f>
        <v>0</v>
      </c>
      <c r="L416" s="113">
        <f>VLOOKUP(C416,'Talente &amp; Stuff'!C:AD,10,FALSE)</f>
        <v>0</v>
      </c>
      <c r="M416" s="119">
        <f>VLOOKUP(C416,'Talente &amp; Stuff'!C:AD,11,FALSE)</f>
        <v>0</v>
      </c>
      <c r="N416" s="47">
        <f>VLOOKUP(C416,'Talente &amp; Stuff'!C:AD,12,FALSE)</f>
        <v>0</v>
      </c>
      <c r="O416" s="47">
        <f>VLOOKUP(C416,'Talente &amp; Stuff'!C:AD,13,FALSE)</f>
        <v>0</v>
      </c>
      <c r="P416" s="113">
        <f>VLOOKUP(C416,'Talente &amp; Stuff'!C:AD,14,FALSE)</f>
        <v>0</v>
      </c>
      <c r="Q416" s="114">
        <f>VLOOKUP(C416,'Talente &amp; Stuff'!C:AD,15,FALSE)</f>
        <v>0</v>
      </c>
      <c r="R416" s="113">
        <f>VLOOKUP(C416,'Talente &amp; Stuff'!C:AD,16,FALSE)</f>
        <v>0</v>
      </c>
      <c r="S416" s="119">
        <f>VLOOKUP(C416,'Talente &amp; Stuff'!C:AD,17,FALSE)</f>
        <v>0</v>
      </c>
      <c r="T416" s="160">
        <f>VLOOKUP(C416,'Talente &amp; Stuff'!C:AD,18,FALSE)</f>
        <v>0</v>
      </c>
      <c r="U416" s="89">
        <f>VLOOKUP(C416,'Talente &amp; Stuff'!C:AD,19,FALSE)</f>
        <v>0</v>
      </c>
      <c r="V416" s="47">
        <f>VLOOKUP(C416,'Talente &amp; Stuff'!C:AD,20,FALSE)</f>
        <v>0</v>
      </c>
      <c r="W416" s="127">
        <f>VLOOKUP(C416,'Talente &amp; Stuff'!C:AD,21,FALSE)</f>
        <v>0</v>
      </c>
      <c r="X416" s="127">
        <f>VLOOKUP(C416,'Talente &amp; Stuff'!C:AD,22,FALSE)</f>
        <v>0</v>
      </c>
      <c r="Y416" s="175">
        <f t="shared" si="32"/>
        <v>0</v>
      </c>
      <c r="Z416" s="198">
        <f t="shared" si="33"/>
        <v>0</v>
      </c>
      <c r="AA416" s="125">
        <f>VLOOKUP(C416,'Talente &amp; Stuff'!C:AD,25,FALSE)</f>
        <v>0</v>
      </c>
      <c r="AB416" s="160">
        <f>VLOOKUP(C416,'Talente &amp; Stuff'!C:AD,26,FALSE)</f>
        <v>0</v>
      </c>
      <c r="AC416" s="127">
        <f>VLOOKUP(C416,'Talente &amp; Stuff'!C:AD,27,FALSE)</f>
        <v>0</v>
      </c>
      <c r="AD416" s="125">
        <f>VLOOKUP(C416,'Talente &amp; Stuff'!C:AD,28,FALSE)</f>
        <v>0</v>
      </c>
      <c r="AE416" s="28"/>
    </row>
    <row r="417" spans="2:31" hidden="1" outlineLevel="2">
      <c r="B417" s="133">
        <v>7</v>
      </c>
      <c r="C417" s="178" t="s">
        <v>281</v>
      </c>
      <c r="D417" s="159" t="str">
        <f>VLOOKUP(C417,'Talente &amp; Stuff'!C:AD,2,FALSE)</f>
        <v>--/--/--</v>
      </c>
      <c r="E417" s="88" t="str">
        <f>VLOOKUP(C417,'Talente &amp; Stuff'!C:AD,3,FALSE)</f>
        <v>-</v>
      </c>
      <c r="F417" s="115">
        <f>VLOOKUP(C417,'Talente &amp; Stuff'!C:AD,4,FALSE)</f>
        <v>0</v>
      </c>
      <c r="G417" s="122">
        <f>VLOOKUP(C417,'Talente &amp; Stuff'!C:AD,5,FALSE)</f>
        <v>0</v>
      </c>
      <c r="H417" s="122">
        <f>VLOOKUP(C417,'Talente &amp; Stuff'!C:AD,6,FALSE)</f>
        <v>0</v>
      </c>
      <c r="I417" s="122">
        <f>VLOOKUP(C417,'Talente &amp; Stuff'!C:AD,7,FALSE)</f>
        <v>0</v>
      </c>
      <c r="J417" s="122">
        <f>VLOOKUP(C417,'Talente &amp; Stuff'!C:AD,8,FALSE)</f>
        <v>0</v>
      </c>
      <c r="K417" s="122">
        <f>VLOOKUP(C417,'Talente &amp; Stuff'!C:AD,9,FALSE)</f>
        <v>0</v>
      </c>
      <c r="L417" s="122">
        <f>VLOOKUP(C417,'Talente &amp; Stuff'!C:AD,10,FALSE)</f>
        <v>0</v>
      </c>
      <c r="M417" s="123">
        <f>VLOOKUP(C417,'Talente &amp; Stuff'!C:AD,11,FALSE)</f>
        <v>0</v>
      </c>
      <c r="N417" s="88">
        <f>VLOOKUP(C417,'Talente &amp; Stuff'!C:AD,12,FALSE)</f>
        <v>0</v>
      </c>
      <c r="O417" s="88">
        <f>VLOOKUP(C417,'Talente &amp; Stuff'!C:AD,13,FALSE)</f>
        <v>0</v>
      </c>
      <c r="P417" s="122">
        <f>VLOOKUP(C417,'Talente &amp; Stuff'!C:AD,14,FALSE)</f>
        <v>0</v>
      </c>
      <c r="Q417" s="115">
        <f>VLOOKUP(C417,'Talente &amp; Stuff'!C:AD,15,FALSE)</f>
        <v>0</v>
      </c>
      <c r="R417" s="122">
        <f>VLOOKUP(C417,'Talente &amp; Stuff'!C:AD,16,FALSE)</f>
        <v>0</v>
      </c>
      <c r="S417" s="123">
        <f>VLOOKUP(C417,'Talente &amp; Stuff'!C:AD,17,FALSE)</f>
        <v>0</v>
      </c>
      <c r="T417" s="161">
        <f>VLOOKUP(C417,'Talente &amp; Stuff'!C:AD,18,FALSE)</f>
        <v>0</v>
      </c>
      <c r="U417" s="90">
        <f>VLOOKUP(C417,'Talente &amp; Stuff'!C:AD,19,FALSE)</f>
        <v>0</v>
      </c>
      <c r="V417" s="88">
        <f>VLOOKUP(C417,'Talente &amp; Stuff'!C:AD,20,FALSE)</f>
        <v>0</v>
      </c>
      <c r="W417" s="128">
        <f>VLOOKUP(C417,'Talente &amp; Stuff'!C:AD,21,FALSE)</f>
        <v>0</v>
      </c>
      <c r="X417" s="128">
        <f>VLOOKUP(C417,'Talente &amp; Stuff'!C:AD,22,FALSE)</f>
        <v>0</v>
      </c>
      <c r="Y417" s="175">
        <f t="shared" si="32"/>
        <v>0</v>
      </c>
      <c r="Z417" s="198">
        <f t="shared" si="33"/>
        <v>0</v>
      </c>
      <c r="AA417" s="159">
        <f>VLOOKUP(C417,'Talente &amp; Stuff'!C:AD,25,FALSE)</f>
        <v>0</v>
      </c>
      <c r="AB417" s="161">
        <f>VLOOKUP(C417,'Talente &amp; Stuff'!C:AD,26,FALSE)</f>
        <v>0</v>
      </c>
      <c r="AC417" s="128">
        <f>VLOOKUP(C417,'Talente &amp; Stuff'!C:AD,27,FALSE)</f>
        <v>0</v>
      </c>
      <c r="AD417" s="159">
        <f>VLOOKUP(C417,'Talente &amp; Stuff'!C:AD,28,FALSE)</f>
        <v>0</v>
      </c>
      <c r="AE417" s="28"/>
    </row>
    <row r="418" spans="2:31" hidden="1" outlineLevel="1" collapsed="1">
      <c r="B418" s="134" t="s">
        <v>324</v>
      </c>
      <c r="C418" s="83"/>
      <c r="D418" s="84"/>
      <c r="E418" s="84"/>
      <c r="F418" s="148"/>
      <c r="G418" s="148"/>
      <c r="H418" s="148"/>
      <c r="I418" s="148"/>
      <c r="J418" s="148"/>
      <c r="K418" s="148"/>
      <c r="L418" s="148"/>
      <c r="M418" s="148"/>
      <c r="N418" s="148"/>
      <c r="O418" s="148"/>
      <c r="P418" s="148"/>
      <c r="Q418" s="148"/>
      <c r="R418" s="148"/>
      <c r="S418" s="148"/>
      <c r="T418" s="148"/>
      <c r="U418" s="148"/>
      <c r="V418" s="148"/>
      <c r="W418" s="148"/>
      <c r="X418" s="148"/>
    </row>
    <row r="419" spans="2:31" hidden="1" outlineLevel="2">
      <c r="B419" s="133">
        <v>1</v>
      </c>
      <c r="C419" s="176" t="s">
        <v>281</v>
      </c>
      <c r="D419" s="158" t="str">
        <f>VLOOKUP(C419,'Talente &amp; Stuff'!C:AD,2,FALSE)</f>
        <v>--/--/--</v>
      </c>
      <c r="E419" s="116" t="str">
        <f>VLOOKUP(C419,'Talente &amp; Stuff'!C:AD,3,FALSE)</f>
        <v>-</v>
      </c>
      <c r="F419" s="152">
        <f>VLOOKUP(C419,'Talente &amp; Stuff'!C:AD,4,FALSE)</f>
        <v>0</v>
      </c>
      <c r="G419" s="118">
        <f>VLOOKUP(C419,'Talente &amp; Stuff'!C:AD,5,FALSE)</f>
        <v>0</v>
      </c>
      <c r="H419" s="118">
        <f>VLOOKUP(C419,'Talente &amp; Stuff'!C:AD,6,FALSE)</f>
        <v>0</v>
      </c>
      <c r="I419" s="118">
        <f>VLOOKUP(C419,'Talente &amp; Stuff'!C:AD,7,FALSE)</f>
        <v>0</v>
      </c>
      <c r="J419" s="118">
        <f>VLOOKUP(C419,'Talente &amp; Stuff'!C:AD,8,FALSE)</f>
        <v>0</v>
      </c>
      <c r="K419" s="118">
        <f>VLOOKUP(C419,'Talente &amp; Stuff'!C:AD,9,FALSE)</f>
        <v>0</v>
      </c>
      <c r="L419" s="118">
        <f>VLOOKUP(C419,'Talente &amp; Stuff'!C:AD,10,FALSE)</f>
        <v>0</v>
      </c>
      <c r="M419" s="92">
        <f>VLOOKUP(C419,'Talente &amp; Stuff'!C:AD,11,FALSE)</f>
        <v>0</v>
      </c>
      <c r="N419" s="116">
        <f>VLOOKUP(C419,'Talente &amp; Stuff'!C:AD,12,FALSE)</f>
        <v>0</v>
      </c>
      <c r="O419" s="116">
        <f>VLOOKUP(C419,'Talente &amp; Stuff'!C:AD,13,FALSE)</f>
        <v>0</v>
      </c>
      <c r="P419" s="118">
        <f>VLOOKUP(C419,'Talente &amp; Stuff'!C:AD,14,FALSE)</f>
        <v>0</v>
      </c>
      <c r="Q419" s="152">
        <f>VLOOKUP(C419,'Talente &amp; Stuff'!C:AD,15,FALSE)</f>
        <v>0</v>
      </c>
      <c r="R419" s="118">
        <f>VLOOKUP(C419,'Talente &amp; Stuff'!C:AD,16,FALSE)</f>
        <v>0</v>
      </c>
      <c r="S419" s="92">
        <f>VLOOKUP(C419,'Talente &amp; Stuff'!C:AD,17,FALSE)</f>
        <v>0</v>
      </c>
      <c r="T419" s="91">
        <f>VLOOKUP(C419,'Talente &amp; Stuff'!C:AD,18,FALSE)</f>
        <v>0</v>
      </c>
      <c r="U419" s="154">
        <f>VLOOKUP(C419,'Talente &amp; Stuff'!C:AD,19,FALSE)</f>
        <v>0</v>
      </c>
      <c r="V419" s="116">
        <f>VLOOKUP(C419,'Talente &amp; Stuff'!C:AD,20,FALSE)</f>
        <v>0</v>
      </c>
      <c r="W419" s="126">
        <f>VLOOKUP(C419,'Talente &amp; Stuff'!C:AD,21,FALSE)</f>
        <v>0</v>
      </c>
      <c r="X419" s="126">
        <f>VLOOKUP(C419,'Talente &amp; Stuff'!C:AD,22,FALSE)</f>
        <v>0</v>
      </c>
      <c r="Y419" s="175">
        <f>VLOOKUP(C419,Ausgewählte_Liturgien_Peraine,23,FALSE)</f>
        <v>0</v>
      </c>
      <c r="Z419" s="198">
        <f>VLOOKUP(C419,Ausgewählte_Liturgien_Peraine,24,FALSE)</f>
        <v>0</v>
      </c>
      <c r="AA419" s="158">
        <f>VLOOKUP(C419,'Talente &amp; Stuff'!C:AD,25,FALSE)</f>
        <v>0</v>
      </c>
      <c r="AB419" s="91">
        <f>VLOOKUP(C419,'Talente &amp; Stuff'!C:AD,26,FALSE)</f>
        <v>0</v>
      </c>
      <c r="AC419" s="126">
        <f>VLOOKUP(C419,'Talente &amp; Stuff'!C:AD,27,FALSE)</f>
        <v>0</v>
      </c>
      <c r="AD419" s="158">
        <f>VLOOKUP(C419,'Talente &amp; Stuff'!C:AD,28,FALSE)</f>
        <v>0</v>
      </c>
      <c r="AE419" s="28"/>
    </row>
    <row r="420" spans="2:31" hidden="1" outlineLevel="2">
      <c r="B420" s="133">
        <v>2</v>
      </c>
      <c r="C420" s="177" t="s">
        <v>281</v>
      </c>
      <c r="D420" s="125" t="str">
        <f>VLOOKUP(C420,'Talente &amp; Stuff'!C:AD,2,FALSE)</f>
        <v>--/--/--</v>
      </c>
      <c r="E420" s="47" t="str">
        <f>VLOOKUP(C420,'Talente &amp; Stuff'!C:AD,3,FALSE)</f>
        <v>-</v>
      </c>
      <c r="F420" s="114">
        <f>VLOOKUP(C420,'Talente &amp; Stuff'!C:AD,4,FALSE)</f>
        <v>0</v>
      </c>
      <c r="G420" s="113">
        <f>VLOOKUP(C420,'Talente &amp; Stuff'!C:AD,5,FALSE)</f>
        <v>0</v>
      </c>
      <c r="H420" s="113">
        <f>VLOOKUP(C420,'Talente &amp; Stuff'!C:AD,6,FALSE)</f>
        <v>0</v>
      </c>
      <c r="I420" s="113">
        <f>VLOOKUP(C420,'Talente &amp; Stuff'!C:AD,7,FALSE)</f>
        <v>0</v>
      </c>
      <c r="J420" s="113">
        <f>VLOOKUP(C420,'Talente &amp; Stuff'!C:AD,8,FALSE)</f>
        <v>0</v>
      </c>
      <c r="K420" s="113">
        <f>VLOOKUP(C420,'Talente &amp; Stuff'!C:AD,9,FALSE)</f>
        <v>0</v>
      </c>
      <c r="L420" s="113">
        <f>VLOOKUP(C420,'Talente &amp; Stuff'!C:AD,10,FALSE)</f>
        <v>0</v>
      </c>
      <c r="M420" s="119">
        <f>VLOOKUP(C420,'Talente &amp; Stuff'!C:AD,11,FALSE)</f>
        <v>0</v>
      </c>
      <c r="N420" s="47">
        <f>VLOOKUP(C420,'Talente &amp; Stuff'!C:AD,12,FALSE)</f>
        <v>0</v>
      </c>
      <c r="O420" s="47">
        <f>VLOOKUP(C420,'Talente &amp; Stuff'!C:AD,13,FALSE)</f>
        <v>0</v>
      </c>
      <c r="P420" s="113">
        <f>VLOOKUP(C420,'Talente &amp; Stuff'!C:AD,14,FALSE)</f>
        <v>0</v>
      </c>
      <c r="Q420" s="114">
        <f>VLOOKUP(C420,'Talente &amp; Stuff'!C:AD,15,FALSE)</f>
        <v>0</v>
      </c>
      <c r="R420" s="113">
        <f>VLOOKUP(C420,'Talente &amp; Stuff'!C:AD,16,FALSE)</f>
        <v>0</v>
      </c>
      <c r="S420" s="119">
        <f>VLOOKUP(C420,'Talente &amp; Stuff'!C:AD,17,FALSE)</f>
        <v>0</v>
      </c>
      <c r="T420" s="160">
        <f>VLOOKUP(C420,'Talente &amp; Stuff'!C:AD,18,FALSE)</f>
        <v>0</v>
      </c>
      <c r="U420" s="89">
        <f>VLOOKUP(C420,'Talente &amp; Stuff'!C:AD,19,FALSE)</f>
        <v>0</v>
      </c>
      <c r="V420" s="47">
        <f>VLOOKUP(C420,'Talente &amp; Stuff'!C:AD,20,FALSE)</f>
        <v>0</v>
      </c>
      <c r="W420" s="127">
        <f>VLOOKUP(C420,'Talente &amp; Stuff'!C:AD,21,FALSE)</f>
        <v>0</v>
      </c>
      <c r="X420" s="127">
        <f>VLOOKUP(C420,'Talente &amp; Stuff'!C:AD,22,FALSE)</f>
        <v>0</v>
      </c>
      <c r="Y420" s="175">
        <f>VLOOKUP(C420,Ausgewählte_Liturgien_Peraine,23,FALSE)</f>
        <v>0</v>
      </c>
      <c r="Z420" s="198">
        <f>VLOOKUP(C420,Ausgewählte_Liturgien_Peraine,24,FALSE)</f>
        <v>0</v>
      </c>
      <c r="AA420" s="125">
        <f>VLOOKUP(C420,'Talente &amp; Stuff'!C:AD,25,FALSE)</f>
        <v>0</v>
      </c>
      <c r="AB420" s="160">
        <f>VLOOKUP(C420,'Talente &amp; Stuff'!C:AD,26,FALSE)</f>
        <v>0</v>
      </c>
      <c r="AC420" s="127">
        <f>VLOOKUP(C420,'Talente &amp; Stuff'!C:AD,27,FALSE)</f>
        <v>0</v>
      </c>
      <c r="AD420" s="125">
        <f>VLOOKUP(C420,'Talente &amp; Stuff'!C:AD,28,FALSE)</f>
        <v>0</v>
      </c>
      <c r="AE420" s="28"/>
    </row>
    <row r="421" spans="2:31" hidden="1" outlineLevel="2">
      <c r="B421" s="133">
        <v>3</v>
      </c>
      <c r="C421" s="177" t="s">
        <v>281</v>
      </c>
      <c r="D421" s="125" t="str">
        <f>VLOOKUP(C421,'Talente &amp; Stuff'!C:AD,2,FALSE)</f>
        <v>--/--/--</v>
      </c>
      <c r="E421" s="47" t="str">
        <f>VLOOKUP(C421,'Talente &amp; Stuff'!C:AD,3,FALSE)</f>
        <v>-</v>
      </c>
      <c r="F421" s="114">
        <f>VLOOKUP(C421,'Talente &amp; Stuff'!C:AD,4,FALSE)</f>
        <v>0</v>
      </c>
      <c r="G421" s="113">
        <f>VLOOKUP(C421,'Talente &amp; Stuff'!C:AD,5,FALSE)</f>
        <v>0</v>
      </c>
      <c r="H421" s="113">
        <f>VLOOKUP(C421,'Talente &amp; Stuff'!C:AD,6,FALSE)</f>
        <v>0</v>
      </c>
      <c r="I421" s="113">
        <f>VLOOKUP(C421,'Talente &amp; Stuff'!C:AD,7,FALSE)</f>
        <v>0</v>
      </c>
      <c r="J421" s="113">
        <f>VLOOKUP(C421,'Talente &amp; Stuff'!C:AD,8,FALSE)</f>
        <v>0</v>
      </c>
      <c r="K421" s="113">
        <f>VLOOKUP(C421,'Talente &amp; Stuff'!C:AD,9,FALSE)</f>
        <v>0</v>
      </c>
      <c r="L421" s="113">
        <f>VLOOKUP(C421,'Talente &amp; Stuff'!C:AD,10,FALSE)</f>
        <v>0</v>
      </c>
      <c r="M421" s="119">
        <f>VLOOKUP(C421,'Talente &amp; Stuff'!C:AD,11,FALSE)</f>
        <v>0</v>
      </c>
      <c r="N421" s="47">
        <f>VLOOKUP(C421,'Talente &amp; Stuff'!C:AD,12,FALSE)</f>
        <v>0</v>
      </c>
      <c r="O421" s="47">
        <f>VLOOKUP(C421,'Talente &amp; Stuff'!C:AD,13,FALSE)</f>
        <v>0</v>
      </c>
      <c r="P421" s="113">
        <f>VLOOKUP(C421,'Talente &amp; Stuff'!C:AD,14,FALSE)</f>
        <v>0</v>
      </c>
      <c r="Q421" s="114">
        <f>VLOOKUP(C421,'Talente &amp; Stuff'!C:AD,15,FALSE)</f>
        <v>0</v>
      </c>
      <c r="R421" s="113">
        <f>VLOOKUP(C421,'Talente &amp; Stuff'!C:AD,16,FALSE)</f>
        <v>0</v>
      </c>
      <c r="S421" s="119">
        <f>VLOOKUP(C421,'Talente &amp; Stuff'!C:AD,17,FALSE)</f>
        <v>0</v>
      </c>
      <c r="T421" s="160">
        <f>VLOOKUP(C421,'Talente &amp; Stuff'!C:AD,18,FALSE)</f>
        <v>0</v>
      </c>
      <c r="U421" s="89">
        <f>VLOOKUP(C421,'Talente &amp; Stuff'!C:AD,19,FALSE)</f>
        <v>0</v>
      </c>
      <c r="V421" s="47">
        <f>VLOOKUP(C421,'Talente &amp; Stuff'!C:AD,20,FALSE)</f>
        <v>0</v>
      </c>
      <c r="W421" s="127">
        <f>VLOOKUP(C421,'Talente &amp; Stuff'!C:AD,21,FALSE)</f>
        <v>0</v>
      </c>
      <c r="X421" s="127">
        <f>VLOOKUP(C421,'Talente &amp; Stuff'!C:AD,22,FALSE)</f>
        <v>0</v>
      </c>
      <c r="Y421" s="175">
        <f>VLOOKUP(C421,Ausgewählte_Liturgien_Peraine,23,FALSE)</f>
        <v>0</v>
      </c>
      <c r="Z421" s="198">
        <f>VLOOKUP(C421,Ausgewählte_Liturgien_Peraine,24,FALSE)</f>
        <v>0</v>
      </c>
      <c r="AA421" s="125">
        <f>VLOOKUP(C421,'Talente &amp; Stuff'!C:AD,25,FALSE)</f>
        <v>0</v>
      </c>
      <c r="AB421" s="160">
        <f>VLOOKUP(C421,'Talente &amp; Stuff'!C:AD,26,FALSE)</f>
        <v>0</v>
      </c>
      <c r="AC421" s="127">
        <f>VLOOKUP(C421,'Talente &amp; Stuff'!C:AD,27,FALSE)</f>
        <v>0</v>
      </c>
      <c r="AD421" s="125">
        <f>VLOOKUP(C421,'Talente &amp; Stuff'!C:AD,28,FALSE)</f>
        <v>0</v>
      </c>
      <c r="AE421" s="28"/>
    </row>
    <row r="422" spans="2:31" hidden="1" outlineLevel="2">
      <c r="B422" s="133">
        <v>4</v>
      </c>
      <c r="C422" s="177" t="s">
        <v>281</v>
      </c>
      <c r="D422" s="125" t="str">
        <f>VLOOKUP(C422,'Talente &amp; Stuff'!C:AD,2,FALSE)</f>
        <v>--/--/--</v>
      </c>
      <c r="E422" s="47" t="str">
        <f>VLOOKUP(C422,'Talente &amp; Stuff'!C:AD,3,FALSE)</f>
        <v>-</v>
      </c>
      <c r="F422" s="114">
        <f>VLOOKUP(C422,'Talente &amp; Stuff'!C:AD,4,FALSE)</f>
        <v>0</v>
      </c>
      <c r="G422" s="113">
        <f>VLOOKUP(C422,'Talente &amp; Stuff'!C:AD,5,FALSE)</f>
        <v>0</v>
      </c>
      <c r="H422" s="113">
        <f>VLOOKUP(C422,'Talente &amp; Stuff'!C:AD,6,FALSE)</f>
        <v>0</v>
      </c>
      <c r="I422" s="113">
        <f>VLOOKUP(C422,'Talente &amp; Stuff'!C:AD,7,FALSE)</f>
        <v>0</v>
      </c>
      <c r="J422" s="113">
        <f>VLOOKUP(C422,'Talente &amp; Stuff'!C:AD,8,FALSE)</f>
        <v>0</v>
      </c>
      <c r="K422" s="113">
        <f>VLOOKUP(C422,'Talente &amp; Stuff'!C:AD,9,FALSE)</f>
        <v>0</v>
      </c>
      <c r="L422" s="113">
        <f>VLOOKUP(C422,'Talente &amp; Stuff'!C:AD,10,FALSE)</f>
        <v>0</v>
      </c>
      <c r="M422" s="119">
        <f>VLOOKUP(C422,'Talente &amp; Stuff'!C:AD,11,FALSE)</f>
        <v>0</v>
      </c>
      <c r="N422" s="47">
        <f>VLOOKUP(C422,'Talente &amp; Stuff'!C:AD,12,FALSE)</f>
        <v>0</v>
      </c>
      <c r="O422" s="47">
        <f>VLOOKUP(C422,'Talente &amp; Stuff'!C:AD,13,FALSE)</f>
        <v>0</v>
      </c>
      <c r="P422" s="113">
        <f>VLOOKUP(C422,'Talente &amp; Stuff'!C:AD,14,FALSE)</f>
        <v>0</v>
      </c>
      <c r="Q422" s="114">
        <f>VLOOKUP(C422,'Talente &amp; Stuff'!C:AD,15,FALSE)</f>
        <v>0</v>
      </c>
      <c r="R422" s="113">
        <f>VLOOKUP(C422,'Talente &amp; Stuff'!C:AD,16,FALSE)</f>
        <v>0</v>
      </c>
      <c r="S422" s="119">
        <f>VLOOKUP(C422,'Talente &amp; Stuff'!C:AD,17,FALSE)</f>
        <v>0</v>
      </c>
      <c r="T422" s="160">
        <f>VLOOKUP(C422,'Talente &amp; Stuff'!C:AD,18,FALSE)</f>
        <v>0</v>
      </c>
      <c r="U422" s="89">
        <f>VLOOKUP(C422,'Talente &amp; Stuff'!C:AD,19,FALSE)</f>
        <v>0</v>
      </c>
      <c r="V422" s="47">
        <f>VLOOKUP(C422,'Talente &amp; Stuff'!C:AD,20,FALSE)</f>
        <v>0</v>
      </c>
      <c r="W422" s="127">
        <f>VLOOKUP(C422,'Talente &amp; Stuff'!C:AD,21,FALSE)</f>
        <v>0</v>
      </c>
      <c r="X422" s="127">
        <f>VLOOKUP(C422,'Talente &amp; Stuff'!C:AD,22,FALSE)</f>
        <v>0</v>
      </c>
      <c r="Y422" s="175">
        <f>VLOOKUP(C422,Ausgewählte_Liturgien_Peraine,23,FALSE)</f>
        <v>0</v>
      </c>
      <c r="Z422" s="198">
        <f>VLOOKUP(C422,Ausgewählte_Liturgien_Peraine,24,FALSE)</f>
        <v>0</v>
      </c>
      <c r="AA422" s="125">
        <f>VLOOKUP(C422,'Talente &amp; Stuff'!C:AD,25,FALSE)</f>
        <v>0</v>
      </c>
      <c r="AB422" s="160">
        <f>VLOOKUP(C422,'Talente &amp; Stuff'!C:AD,26,FALSE)</f>
        <v>0</v>
      </c>
      <c r="AC422" s="127">
        <f>VLOOKUP(C422,'Talente &amp; Stuff'!C:AD,27,FALSE)</f>
        <v>0</v>
      </c>
      <c r="AD422" s="125">
        <f>VLOOKUP(C422,'Talente &amp; Stuff'!C:AD,28,FALSE)</f>
        <v>0</v>
      </c>
      <c r="AE422" s="28"/>
    </row>
    <row r="423" spans="2:31" s="138" customFormat="1" hidden="1" outlineLevel="2">
      <c r="B423" s="137">
        <v>5</v>
      </c>
      <c r="C423" s="178" t="s">
        <v>281</v>
      </c>
      <c r="D423" s="159" t="str">
        <f>VLOOKUP(C423,'Talente &amp; Stuff'!C:AD,2,FALSE)</f>
        <v>--/--/--</v>
      </c>
      <c r="E423" s="88" t="str">
        <f>VLOOKUP(C423,'Talente &amp; Stuff'!C:AD,3,FALSE)</f>
        <v>-</v>
      </c>
      <c r="F423" s="115">
        <f>VLOOKUP(C423,'Talente &amp; Stuff'!C:AD,4,FALSE)</f>
        <v>0</v>
      </c>
      <c r="G423" s="122">
        <f>VLOOKUP(C423,'Talente &amp; Stuff'!C:AD,5,FALSE)</f>
        <v>0</v>
      </c>
      <c r="H423" s="122">
        <f>VLOOKUP(C423,'Talente &amp; Stuff'!C:AD,6,FALSE)</f>
        <v>0</v>
      </c>
      <c r="I423" s="122">
        <f>VLOOKUP(C423,'Talente &amp; Stuff'!C:AD,7,FALSE)</f>
        <v>0</v>
      </c>
      <c r="J423" s="122">
        <f>VLOOKUP(C423,'Talente &amp; Stuff'!C:AD,8,FALSE)</f>
        <v>0</v>
      </c>
      <c r="K423" s="122">
        <f>VLOOKUP(C423,'Talente &amp; Stuff'!C:AD,9,FALSE)</f>
        <v>0</v>
      </c>
      <c r="L423" s="122">
        <f>VLOOKUP(C423,'Talente &amp; Stuff'!C:AD,10,FALSE)</f>
        <v>0</v>
      </c>
      <c r="M423" s="123">
        <f>VLOOKUP(C423,'Talente &amp; Stuff'!C:AD,11,FALSE)</f>
        <v>0</v>
      </c>
      <c r="N423" s="88">
        <f>VLOOKUP(C423,'Talente &amp; Stuff'!C:AD,12,FALSE)</f>
        <v>0</v>
      </c>
      <c r="O423" s="88">
        <f>VLOOKUP(C423,'Talente &amp; Stuff'!C:AD,13,FALSE)</f>
        <v>0</v>
      </c>
      <c r="P423" s="122">
        <f>VLOOKUP(C423,'Talente &amp; Stuff'!C:AD,14,FALSE)</f>
        <v>0</v>
      </c>
      <c r="Q423" s="115">
        <f>VLOOKUP(C423,'Talente &amp; Stuff'!C:AD,15,FALSE)</f>
        <v>0</v>
      </c>
      <c r="R423" s="122">
        <f>VLOOKUP(C423,'Talente &amp; Stuff'!C:AD,16,FALSE)</f>
        <v>0</v>
      </c>
      <c r="S423" s="123">
        <f>VLOOKUP(C423,'Talente &amp; Stuff'!C:AD,17,FALSE)</f>
        <v>0</v>
      </c>
      <c r="T423" s="161">
        <f>VLOOKUP(C423,'Talente &amp; Stuff'!C:AD,18,FALSE)</f>
        <v>0</v>
      </c>
      <c r="U423" s="90">
        <f>VLOOKUP(C423,'Talente &amp; Stuff'!C:AD,19,FALSE)</f>
        <v>0</v>
      </c>
      <c r="V423" s="88">
        <f>VLOOKUP(C423,'Talente &amp; Stuff'!C:AD,20,FALSE)</f>
        <v>0</v>
      </c>
      <c r="W423" s="128">
        <f>VLOOKUP(C423,'Talente &amp; Stuff'!C:AD,21,FALSE)</f>
        <v>0</v>
      </c>
      <c r="X423" s="128">
        <f>VLOOKUP(C423,'Talente &amp; Stuff'!C:AD,22,FALSE)</f>
        <v>0</v>
      </c>
      <c r="Y423" s="175">
        <f>VLOOKUP(C423,Ausgewählte_Liturgien_Peraine,23,FALSE)</f>
        <v>0</v>
      </c>
      <c r="Z423" s="198">
        <f>VLOOKUP(C423,Ausgewählte_Liturgien_Peraine,24,FALSE)</f>
        <v>0</v>
      </c>
      <c r="AA423" s="159">
        <f>VLOOKUP(C423,'Talente &amp; Stuff'!C:AD,25,FALSE)</f>
        <v>0</v>
      </c>
      <c r="AB423" s="161">
        <f>VLOOKUP(C423,'Talente &amp; Stuff'!C:AD,26,FALSE)</f>
        <v>0</v>
      </c>
      <c r="AC423" s="128">
        <f>VLOOKUP(C423,'Talente &amp; Stuff'!C:AD,27,FALSE)</f>
        <v>0</v>
      </c>
      <c r="AD423" s="159">
        <f>VLOOKUP(C423,'Talente &amp; Stuff'!C:AD,28,FALSE)</f>
        <v>0</v>
      </c>
      <c r="AE423" s="28"/>
    </row>
    <row r="424" spans="2:31" hidden="1" outlineLevel="1" collapsed="1">
      <c r="B424" s="134" t="s">
        <v>323</v>
      </c>
      <c r="C424" s="83"/>
      <c r="D424" s="84"/>
      <c r="E424" s="84"/>
      <c r="F424" s="148"/>
      <c r="G424" s="148"/>
      <c r="H424" s="148"/>
      <c r="I424" s="148"/>
      <c r="J424" s="148"/>
      <c r="K424" s="148"/>
      <c r="L424" s="148"/>
      <c r="M424" s="148"/>
      <c r="N424" s="148"/>
      <c r="O424" s="148"/>
      <c r="P424" s="148"/>
      <c r="Q424" s="148"/>
      <c r="R424" s="148"/>
      <c r="S424" s="148"/>
      <c r="T424" s="148"/>
      <c r="U424" s="148"/>
      <c r="V424" s="148"/>
      <c r="W424" s="148"/>
      <c r="X424" s="148"/>
    </row>
    <row r="425" spans="2:31" hidden="1" outlineLevel="2">
      <c r="B425" s="133">
        <v>1</v>
      </c>
      <c r="C425" s="176" t="s">
        <v>281</v>
      </c>
      <c r="D425" s="158" t="str">
        <f>VLOOKUP(C425,'Talente &amp; Stuff'!C:AD,2,FALSE)</f>
        <v>--/--/--</v>
      </c>
      <c r="E425" s="116" t="str">
        <f>VLOOKUP(C425,'Talente &amp; Stuff'!C:AD,3,FALSE)</f>
        <v>-</v>
      </c>
      <c r="F425" s="152">
        <f>VLOOKUP(C425,'Talente &amp; Stuff'!C:AD,4,FALSE)</f>
        <v>0</v>
      </c>
      <c r="G425" s="118">
        <f>VLOOKUP(C425,'Talente &amp; Stuff'!C:AD,5,FALSE)</f>
        <v>0</v>
      </c>
      <c r="H425" s="118">
        <f>VLOOKUP(C425,'Talente &amp; Stuff'!C:AD,6,FALSE)</f>
        <v>0</v>
      </c>
      <c r="I425" s="118">
        <f>VLOOKUP(C425,'Talente &amp; Stuff'!C:AD,7,FALSE)</f>
        <v>0</v>
      </c>
      <c r="J425" s="118">
        <f>VLOOKUP(C425,'Talente &amp; Stuff'!C:AD,8,FALSE)</f>
        <v>0</v>
      </c>
      <c r="K425" s="118">
        <f>VLOOKUP(C425,'Talente &amp; Stuff'!C:AD,9,FALSE)</f>
        <v>0</v>
      </c>
      <c r="L425" s="118">
        <f>VLOOKUP(C425,'Talente &amp; Stuff'!C:AD,10,FALSE)</f>
        <v>0</v>
      </c>
      <c r="M425" s="92">
        <f>VLOOKUP(C425,'Talente &amp; Stuff'!C:AD,11,FALSE)</f>
        <v>0</v>
      </c>
      <c r="N425" s="116">
        <f>VLOOKUP(C425,'Talente &amp; Stuff'!C:AD,12,FALSE)</f>
        <v>0</v>
      </c>
      <c r="O425" s="116">
        <f>VLOOKUP(C425,'Talente &amp; Stuff'!C:AD,13,FALSE)</f>
        <v>0</v>
      </c>
      <c r="P425" s="118">
        <f>VLOOKUP(C425,'Talente &amp; Stuff'!C:AD,14,FALSE)</f>
        <v>0</v>
      </c>
      <c r="Q425" s="152">
        <f>VLOOKUP(C425,'Talente &amp; Stuff'!C:AD,15,FALSE)</f>
        <v>0</v>
      </c>
      <c r="R425" s="118">
        <f>VLOOKUP(C425,'Talente &amp; Stuff'!C:AD,16,FALSE)</f>
        <v>0</v>
      </c>
      <c r="S425" s="92">
        <f>VLOOKUP(C425,'Talente &amp; Stuff'!C:AD,17,FALSE)</f>
        <v>0</v>
      </c>
      <c r="T425" s="91">
        <f>VLOOKUP(C425,'Talente &amp; Stuff'!C:AD,18,FALSE)</f>
        <v>0</v>
      </c>
      <c r="U425" s="154">
        <f>VLOOKUP(C425,'Talente &amp; Stuff'!C:AD,19,FALSE)</f>
        <v>0</v>
      </c>
      <c r="V425" s="116">
        <f>VLOOKUP(C425,'Talente &amp; Stuff'!C:AD,20,FALSE)</f>
        <v>0</v>
      </c>
      <c r="W425" s="126">
        <f>VLOOKUP(C425,'Talente &amp; Stuff'!C:AD,21,FALSE)</f>
        <v>0</v>
      </c>
      <c r="X425" s="126">
        <f>VLOOKUP(C425,'Talente &amp; Stuff'!C:AD,22,FALSE)</f>
        <v>0</v>
      </c>
      <c r="Y425" s="175">
        <f t="shared" ref="Y425:Y432" si="34">VLOOKUP(C425,Ausgewählte_Liturgien_Phex,23,FALSE)</f>
        <v>0</v>
      </c>
      <c r="Z425" s="198">
        <f t="shared" ref="Z425:Z432" si="35">VLOOKUP(C425,Ausgewählte_Liturgien_Phex,24,FALSE)</f>
        <v>0</v>
      </c>
      <c r="AA425" s="158">
        <f>VLOOKUP(C425,'Talente &amp; Stuff'!C:AD,25,FALSE)</f>
        <v>0</v>
      </c>
      <c r="AB425" s="91">
        <f>VLOOKUP(C425,'Talente &amp; Stuff'!C:AD,26,FALSE)</f>
        <v>0</v>
      </c>
      <c r="AC425" s="126">
        <f>VLOOKUP(C425,'Talente &amp; Stuff'!C:AD,27,FALSE)</f>
        <v>0</v>
      </c>
      <c r="AD425" s="158">
        <f>VLOOKUP(C425,'Talente &amp; Stuff'!C:AD,28,FALSE)</f>
        <v>0</v>
      </c>
      <c r="AE425" s="28"/>
    </row>
    <row r="426" spans="2:31" hidden="1" outlineLevel="2">
      <c r="B426" s="133">
        <v>2</v>
      </c>
      <c r="C426" s="177" t="s">
        <v>281</v>
      </c>
      <c r="D426" s="125" t="str">
        <f>VLOOKUP(C426,'Talente &amp; Stuff'!C:AD,2,FALSE)</f>
        <v>--/--/--</v>
      </c>
      <c r="E426" s="47" t="str">
        <f>VLOOKUP(C426,'Talente &amp; Stuff'!C:AD,3,FALSE)</f>
        <v>-</v>
      </c>
      <c r="F426" s="114">
        <f>VLOOKUP(C426,'Talente &amp; Stuff'!C:AD,4,FALSE)</f>
        <v>0</v>
      </c>
      <c r="G426" s="113">
        <f>VLOOKUP(C426,'Talente &amp; Stuff'!C:AD,5,FALSE)</f>
        <v>0</v>
      </c>
      <c r="H426" s="113">
        <f>VLOOKUP(C426,'Talente &amp; Stuff'!C:AD,6,FALSE)</f>
        <v>0</v>
      </c>
      <c r="I426" s="113">
        <f>VLOOKUP(C426,'Talente &amp; Stuff'!C:AD,7,FALSE)</f>
        <v>0</v>
      </c>
      <c r="J426" s="113">
        <f>VLOOKUP(C426,'Talente &amp; Stuff'!C:AD,8,FALSE)</f>
        <v>0</v>
      </c>
      <c r="K426" s="113">
        <f>VLOOKUP(C426,'Talente &amp; Stuff'!C:AD,9,FALSE)</f>
        <v>0</v>
      </c>
      <c r="L426" s="113">
        <f>VLOOKUP(C426,'Talente &amp; Stuff'!C:AD,10,FALSE)</f>
        <v>0</v>
      </c>
      <c r="M426" s="119">
        <f>VLOOKUP(C426,'Talente &amp; Stuff'!C:AD,11,FALSE)</f>
        <v>0</v>
      </c>
      <c r="N426" s="47">
        <f>VLOOKUP(C426,'Talente &amp; Stuff'!C:AD,12,FALSE)</f>
        <v>0</v>
      </c>
      <c r="O426" s="47">
        <f>VLOOKUP(C426,'Talente &amp; Stuff'!C:AD,13,FALSE)</f>
        <v>0</v>
      </c>
      <c r="P426" s="113">
        <f>VLOOKUP(C426,'Talente &amp; Stuff'!C:AD,14,FALSE)</f>
        <v>0</v>
      </c>
      <c r="Q426" s="114">
        <f>VLOOKUP(C426,'Talente &amp; Stuff'!C:AD,15,FALSE)</f>
        <v>0</v>
      </c>
      <c r="R426" s="113">
        <f>VLOOKUP(C426,'Talente &amp; Stuff'!C:AD,16,FALSE)</f>
        <v>0</v>
      </c>
      <c r="S426" s="119">
        <f>VLOOKUP(C426,'Talente &amp; Stuff'!C:AD,17,FALSE)</f>
        <v>0</v>
      </c>
      <c r="T426" s="160">
        <f>VLOOKUP(C426,'Talente &amp; Stuff'!C:AD,18,FALSE)</f>
        <v>0</v>
      </c>
      <c r="U426" s="89">
        <f>VLOOKUP(C426,'Talente &amp; Stuff'!C:AD,19,FALSE)</f>
        <v>0</v>
      </c>
      <c r="V426" s="47">
        <f>VLOOKUP(C426,'Talente &amp; Stuff'!C:AD,20,FALSE)</f>
        <v>0</v>
      </c>
      <c r="W426" s="127">
        <f>VLOOKUP(C426,'Talente &amp; Stuff'!C:AD,21,FALSE)</f>
        <v>0</v>
      </c>
      <c r="X426" s="127">
        <f>VLOOKUP(C426,'Talente &amp; Stuff'!C:AD,22,FALSE)</f>
        <v>0</v>
      </c>
      <c r="Y426" s="175">
        <f t="shared" si="34"/>
        <v>0</v>
      </c>
      <c r="Z426" s="198">
        <f t="shared" si="35"/>
        <v>0</v>
      </c>
      <c r="AA426" s="125">
        <f>VLOOKUP(C426,'Talente &amp; Stuff'!C:AD,25,FALSE)</f>
        <v>0</v>
      </c>
      <c r="AB426" s="160">
        <f>VLOOKUP(C426,'Talente &amp; Stuff'!C:AD,26,FALSE)</f>
        <v>0</v>
      </c>
      <c r="AC426" s="127">
        <f>VLOOKUP(C426,'Talente &amp; Stuff'!C:AD,27,FALSE)</f>
        <v>0</v>
      </c>
      <c r="AD426" s="125">
        <f>VLOOKUP(C426,'Talente &amp; Stuff'!C:AD,28,FALSE)</f>
        <v>0</v>
      </c>
      <c r="AE426" s="28"/>
    </row>
    <row r="427" spans="2:31" hidden="1" outlineLevel="2">
      <c r="B427" s="133">
        <v>3</v>
      </c>
      <c r="C427" s="177" t="s">
        <v>281</v>
      </c>
      <c r="D427" s="125" t="str">
        <f>VLOOKUP(C427,'Talente &amp; Stuff'!C:AD,2,FALSE)</f>
        <v>--/--/--</v>
      </c>
      <c r="E427" s="47" t="str">
        <f>VLOOKUP(C427,'Talente &amp; Stuff'!C:AD,3,FALSE)</f>
        <v>-</v>
      </c>
      <c r="F427" s="114">
        <f>VLOOKUP(C427,'Talente &amp; Stuff'!C:AD,4,FALSE)</f>
        <v>0</v>
      </c>
      <c r="G427" s="113">
        <f>VLOOKUP(C427,'Talente &amp; Stuff'!C:AD,5,FALSE)</f>
        <v>0</v>
      </c>
      <c r="H427" s="113">
        <f>VLOOKUP(C427,'Talente &amp; Stuff'!C:AD,6,FALSE)</f>
        <v>0</v>
      </c>
      <c r="I427" s="113">
        <f>VLOOKUP(C427,'Talente &amp; Stuff'!C:AD,7,FALSE)</f>
        <v>0</v>
      </c>
      <c r="J427" s="113">
        <f>VLOOKUP(C427,'Talente &amp; Stuff'!C:AD,8,FALSE)</f>
        <v>0</v>
      </c>
      <c r="K427" s="113">
        <f>VLOOKUP(C427,'Talente &amp; Stuff'!C:AD,9,FALSE)</f>
        <v>0</v>
      </c>
      <c r="L427" s="113">
        <f>VLOOKUP(C427,'Talente &amp; Stuff'!C:AD,10,FALSE)</f>
        <v>0</v>
      </c>
      <c r="M427" s="119">
        <f>VLOOKUP(C427,'Talente &amp; Stuff'!C:AD,11,FALSE)</f>
        <v>0</v>
      </c>
      <c r="N427" s="47">
        <f>VLOOKUP(C427,'Talente &amp; Stuff'!C:AD,12,FALSE)</f>
        <v>0</v>
      </c>
      <c r="O427" s="47">
        <f>VLOOKUP(C427,'Talente &amp; Stuff'!C:AD,13,FALSE)</f>
        <v>0</v>
      </c>
      <c r="P427" s="113">
        <f>VLOOKUP(C427,'Talente &amp; Stuff'!C:AD,14,FALSE)</f>
        <v>0</v>
      </c>
      <c r="Q427" s="114">
        <f>VLOOKUP(C427,'Talente &amp; Stuff'!C:AD,15,FALSE)</f>
        <v>0</v>
      </c>
      <c r="R427" s="113">
        <f>VLOOKUP(C427,'Talente &amp; Stuff'!C:AD,16,FALSE)</f>
        <v>0</v>
      </c>
      <c r="S427" s="119">
        <f>VLOOKUP(C427,'Talente &amp; Stuff'!C:AD,17,FALSE)</f>
        <v>0</v>
      </c>
      <c r="T427" s="160">
        <f>VLOOKUP(C427,'Talente &amp; Stuff'!C:AD,18,FALSE)</f>
        <v>0</v>
      </c>
      <c r="U427" s="89">
        <f>VLOOKUP(C427,'Talente &amp; Stuff'!C:AD,19,FALSE)</f>
        <v>0</v>
      </c>
      <c r="V427" s="47">
        <f>VLOOKUP(C427,'Talente &amp; Stuff'!C:AD,20,FALSE)</f>
        <v>0</v>
      </c>
      <c r="W427" s="127">
        <f>VLOOKUP(C427,'Talente &amp; Stuff'!C:AD,21,FALSE)</f>
        <v>0</v>
      </c>
      <c r="X427" s="127">
        <f>VLOOKUP(C427,'Talente &amp; Stuff'!C:AD,22,FALSE)</f>
        <v>0</v>
      </c>
      <c r="Y427" s="175">
        <f t="shared" si="34"/>
        <v>0</v>
      </c>
      <c r="Z427" s="198">
        <f t="shared" si="35"/>
        <v>0</v>
      </c>
      <c r="AA427" s="125">
        <f>VLOOKUP(C427,'Talente &amp; Stuff'!C:AD,25,FALSE)</f>
        <v>0</v>
      </c>
      <c r="AB427" s="160">
        <f>VLOOKUP(C427,'Talente &amp; Stuff'!C:AD,26,FALSE)</f>
        <v>0</v>
      </c>
      <c r="AC427" s="127">
        <f>VLOOKUP(C427,'Talente &amp; Stuff'!C:AD,27,FALSE)</f>
        <v>0</v>
      </c>
      <c r="AD427" s="125">
        <f>VLOOKUP(C427,'Talente &amp; Stuff'!C:AD,28,FALSE)</f>
        <v>0</v>
      </c>
      <c r="AE427" s="28"/>
    </row>
    <row r="428" spans="2:31" hidden="1" outlineLevel="2">
      <c r="B428" s="133">
        <v>4</v>
      </c>
      <c r="C428" s="177" t="s">
        <v>281</v>
      </c>
      <c r="D428" s="125" t="str">
        <f>VLOOKUP(C428,'Talente &amp; Stuff'!C:AD,2,FALSE)</f>
        <v>--/--/--</v>
      </c>
      <c r="E428" s="47" t="str">
        <f>VLOOKUP(C428,'Talente &amp; Stuff'!C:AD,3,FALSE)</f>
        <v>-</v>
      </c>
      <c r="F428" s="114">
        <f>VLOOKUP(C428,'Talente &amp; Stuff'!C:AD,4,FALSE)</f>
        <v>0</v>
      </c>
      <c r="G428" s="113">
        <f>VLOOKUP(C428,'Talente &amp; Stuff'!C:AD,5,FALSE)</f>
        <v>0</v>
      </c>
      <c r="H428" s="113">
        <f>VLOOKUP(C428,'Talente &amp; Stuff'!C:AD,6,FALSE)</f>
        <v>0</v>
      </c>
      <c r="I428" s="113">
        <f>VLOOKUP(C428,'Talente &amp; Stuff'!C:AD,7,FALSE)</f>
        <v>0</v>
      </c>
      <c r="J428" s="113">
        <f>VLOOKUP(C428,'Talente &amp; Stuff'!C:AD,8,FALSE)</f>
        <v>0</v>
      </c>
      <c r="K428" s="113">
        <f>VLOOKUP(C428,'Talente &amp; Stuff'!C:AD,9,FALSE)</f>
        <v>0</v>
      </c>
      <c r="L428" s="113">
        <f>VLOOKUP(C428,'Talente &amp; Stuff'!C:AD,10,FALSE)</f>
        <v>0</v>
      </c>
      <c r="M428" s="119">
        <f>VLOOKUP(C428,'Talente &amp; Stuff'!C:AD,11,FALSE)</f>
        <v>0</v>
      </c>
      <c r="N428" s="47">
        <f>VLOOKUP(C428,'Talente &amp; Stuff'!C:AD,12,FALSE)</f>
        <v>0</v>
      </c>
      <c r="O428" s="47">
        <f>VLOOKUP(C428,'Talente &amp; Stuff'!C:AD,13,FALSE)</f>
        <v>0</v>
      </c>
      <c r="P428" s="113">
        <f>VLOOKUP(C428,'Talente &amp; Stuff'!C:AD,14,FALSE)</f>
        <v>0</v>
      </c>
      <c r="Q428" s="114">
        <f>VLOOKUP(C428,'Talente &amp; Stuff'!C:AD,15,FALSE)</f>
        <v>0</v>
      </c>
      <c r="R428" s="113">
        <f>VLOOKUP(C428,'Talente &amp; Stuff'!C:AD,16,FALSE)</f>
        <v>0</v>
      </c>
      <c r="S428" s="119">
        <f>VLOOKUP(C428,'Talente &amp; Stuff'!C:AD,17,FALSE)</f>
        <v>0</v>
      </c>
      <c r="T428" s="160">
        <f>VLOOKUP(C428,'Talente &amp; Stuff'!C:AD,18,FALSE)</f>
        <v>0</v>
      </c>
      <c r="U428" s="89">
        <f>VLOOKUP(C428,'Talente &amp; Stuff'!C:AD,19,FALSE)</f>
        <v>0</v>
      </c>
      <c r="V428" s="47">
        <f>VLOOKUP(C428,'Talente &amp; Stuff'!C:AD,20,FALSE)</f>
        <v>0</v>
      </c>
      <c r="W428" s="127">
        <f>VLOOKUP(C428,'Talente &amp; Stuff'!C:AD,21,FALSE)</f>
        <v>0</v>
      </c>
      <c r="X428" s="127">
        <f>VLOOKUP(C428,'Talente &amp; Stuff'!C:AD,22,FALSE)</f>
        <v>0</v>
      </c>
      <c r="Y428" s="175">
        <f t="shared" si="34"/>
        <v>0</v>
      </c>
      <c r="Z428" s="198">
        <f t="shared" si="35"/>
        <v>0</v>
      </c>
      <c r="AA428" s="125">
        <f>VLOOKUP(C428,'Talente &amp; Stuff'!C:AD,25,FALSE)</f>
        <v>0</v>
      </c>
      <c r="AB428" s="160">
        <f>VLOOKUP(C428,'Talente &amp; Stuff'!C:AD,26,FALSE)</f>
        <v>0</v>
      </c>
      <c r="AC428" s="127">
        <f>VLOOKUP(C428,'Talente &amp; Stuff'!C:AD,27,FALSE)</f>
        <v>0</v>
      </c>
      <c r="AD428" s="125">
        <f>VLOOKUP(C428,'Talente &amp; Stuff'!C:AD,28,FALSE)</f>
        <v>0</v>
      </c>
      <c r="AE428" s="28"/>
    </row>
    <row r="429" spans="2:31" hidden="1" outlineLevel="2">
      <c r="B429" s="133">
        <v>5</v>
      </c>
      <c r="C429" s="177" t="s">
        <v>281</v>
      </c>
      <c r="D429" s="125" t="str">
        <f>VLOOKUP(C429,'Talente &amp; Stuff'!C:AD,2,FALSE)</f>
        <v>--/--/--</v>
      </c>
      <c r="E429" s="47" t="str">
        <f>VLOOKUP(C429,'Talente &amp; Stuff'!C:AD,3,FALSE)</f>
        <v>-</v>
      </c>
      <c r="F429" s="114">
        <f>VLOOKUP(C429,'Talente &amp; Stuff'!C:AD,4,FALSE)</f>
        <v>0</v>
      </c>
      <c r="G429" s="113">
        <f>VLOOKUP(C429,'Talente &amp; Stuff'!C:AD,5,FALSE)</f>
        <v>0</v>
      </c>
      <c r="H429" s="113">
        <f>VLOOKUP(C429,'Talente &amp; Stuff'!C:AD,6,FALSE)</f>
        <v>0</v>
      </c>
      <c r="I429" s="113">
        <f>VLOOKUP(C429,'Talente &amp; Stuff'!C:AD,7,FALSE)</f>
        <v>0</v>
      </c>
      <c r="J429" s="113">
        <f>VLOOKUP(C429,'Talente &amp; Stuff'!C:AD,8,FALSE)</f>
        <v>0</v>
      </c>
      <c r="K429" s="113">
        <f>VLOOKUP(C429,'Talente &amp; Stuff'!C:AD,9,FALSE)</f>
        <v>0</v>
      </c>
      <c r="L429" s="113">
        <f>VLOOKUP(C429,'Talente &amp; Stuff'!C:AD,10,FALSE)</f>
        <v>0</v>
      </c>
      <c r="M429" s="119">
        <f>VLOOKUP(C429,'Talente &amp; Stuff'!C:AD,11,FALSE)</f>
        <v>0</v>
      </c>
      <c r="N429" s="47">
        <f>VLOOKUP(C429,'Talente &amp; Stuff'!C:AD,12,FALSE)</f>
        <v>0</v>
      </c>
      <c r="O429" s="47">
        <f>VLOOKUP(C429,'Talente &amp; Stuff'!C:AD,13,FALSE)</f>
        <v>0</v>
      </c>
      <c r="P429" s="113">
        <f>VLOOKUP(C429,'Talente &amp; Stuff'!C:AD,14,FALSE)</f>
        <v>0</v>
      </c>
      <c r="Q429" s="114">
        <f>VLOOKUP(C429,'Talente &amp; Stuff'!C:AD,15,FALSE)</f>
        <v>0</v>
      </c>
      <c r="R429" s="113">
        <f>VLOOKUP(C429,'Talente &amp; Stuff'!C:AD,16,FALSE)</f>
        <v>0</v>
      </c>
      <c r="S429" s="119">
        <f>VLOOKUP(C429,'Talente &amp; Stuff'!C:AD,17,FALSE)</f>
        <v>0</v>
      </c>
      <c r="T429" s="160">
        <f>VLOOKUP(C429,'Talente &amp; Stuff'!C:AD,18,FALSE)</f>
        <v>0</v>
      </c>
      <c r="U429" s="89">
        <f>VLOOKUP(C429,'Talente &amp; Stuff'!C:AD,19,FALSE)</f>
        <v>0</v>
      </c>
      <c r="V429" s="47">
        <f>VLOOKUP(C429,'Talente &amp; Stuff'!C:AD,20,FALSE)</f>
        <v>0</v>
      </c>
      <c r="W429" s="127">
        <f>VLOOKUP(C429,'Talente &amp; Stuff'!C:AD,21,FALSE)</f>
        <v>0</v>
      </c>
      <c r="X429" s="127">
        <f>VLOOKUP(C429,'Talente &amp; Stuff'!C:AD,22,FALSE)</f>
        <v>0</v>
      </c>
      <c r="Y429" s="175">
        <f t="shared" si="34"/>
        <v>0</v>
      </c>
      <c r="Z429" s="198">
        <f t="shared" si="35"/>
        <v>0</v>
      </c>
      <c r="AA429" s="125">
        <f>VLOOKUP(C429,'Talente &amp; Stuff'!C:AD,25,FALSE)</f>
        <v>0</v>
      </c>
      <c r="AB429" s="160">
        <f>VLOOKUP(C429,'Talente &amp; Stuff'!C:AD,26,FALSE)</f>
        <v>0</v>
      </c>
      <c r="AC429" s="127">
        <f>VLOOKUP(C429,'Talente &amp; Stuff'!C:AD,27,FALSE)</f>
        <v>0</v>
      </c>
      <c r="AD429" s="125">
        <f>VLOOKUP(C429,'Talente &amp; Stuff'!C:AD,28,FALSE)</f>
        <v>0</v>
      </c>
      <c r="AE429" s="28"/>
    </row>
    <row r="430" spans="2:31" hidden="1" outlineLevel="2">
      <c r="B430" s="133">
        <v>6</v>
      </c>
      <c r="C430" s="177" t="s">
        <v>281</v>
      </c>
      <c r="D430" s="125" t="str">
        <f>VLOOKUP(C430,'Talente &amp; Stuff'!C:AD,2,FALSE)</f>
        <v>--/--/--</v>
      </c>
      <c r="E430" s="47" t="str">
        <f>VLOOKUP(C430,'Talente &amp; Stuff'!C:AD,3,FALSE)</f>
        <v>-</v>
      </c>
      <c r="F430" s="114">
        <f>VLOOKUP(C430,'Talente &amp; Stuff'!C:AD,4,FALSE)</f>
        <v>0</v>
      </c>
      <c r="G430" s="113">
        <f>VLOOKUP(C430,'Talente &amp; Stuff'!C:AD,5,FALSE)</f>
        <v>0</v>
      </c>
      <c r="H430" s="113">
        <f>VLOOKUP(C430,'Talente &amp; Stuff'!C:AD,6,FALSE)</f>
        <v>0</v>
      </c>
      <c r="I430" s="113">
        <f>VLOOKUP(C430,'Talente &amp; Stuff'!C:AD,7,FALSE)</f>
        <v>0</v>
      </c>
      <c r="J430" s="113">
        <f>VLOOKUP(C430,'Talente &amp; Stuff'!C:AD,8,FALSE)</f>
        <v>0</v>
      </c>
      <c r="K430" s="113">
        <f>VLOOKUP(C430,'Talente &amp; Stuff'!C:AD,9,FALSE)</f>
        <v>0</v>
      </c>
      <c r="L430" s="113">
        <f>VLOOKUP(C430,'Talente &amp; Stuff'!C:AD,10,FALSE)</f>
        <v>0</v>
      </c>
      <c r="M430" s="119">
        <f>VLOOKUP(C430,'Talente &amp; Stuff'!C:AD,11,FALSE)</f>
        <v>0</v>
      </c>
      <c r="N430" s="47">
        <f>VLOOKUP(C430,'Talente &amp; Stuff'!C:AD,12,FALSE)</f>
        <v>0</v>
      </c>
      <c r="O430" s="47">
        <f>VLOOKUP(C430,'Talente &amp; Stuff'!C:AD,13,FALSE)</f>
        <v>0</v>
      </c>
      <c r="P430" s="113">
        <f>VLOOKUP(C430,'Talente &amp; Stuff'!C:AD,14,FALSE)</f>
        <v>0</v>
      </c>
      <c r="Q430" s="114">
        <f>VLOOKUP(C430,'Talente &amp; Stuff'!C:AD,15,FALSE)</f>
        <v>0</v>
      </c>
      <c r="R430" s="113">
        <f>VLOOKUP(C430,'Talente &amp; Stuff'!C:AD,16,FALSE)</f>
        <v>0</v>
      </c>
      <c r="S430" s="119">
        <f>VLOOKUP(C430,'Talente &amp; Stuff'!C:AD,17,FALSE)</f>
        <v>0</v>
      </c>
      <c r="T430" s="160">
        <f>VLOOKUP(C430,'Talente &amp; Stuff'!C:AD,18,FALSE)</f>
        <v>0</v>
      </c>
      <c r="U430" s="89">
        <f>VLOOKUP(C430,'Talente &amp; Stuff'!C:AD,19,FALSE)</f>
        <v>0</v>
      </c>
      <c r="V430" s="47">
        <f>VLOOKUP(C430,'Talente &amp; Stuff'!C:AD,20,FALSE)</f>
        <v>0</v>
      </c>
      <c r="W430" s="127">
        <f>VLOOKUP(C430,'Talente &amp; Stuff'!C:AD,21,FALSE)</f>
        <v>0</v>
      </c>
      <c r="X430" s="127">
        <f>VLOOKUP(C430,'Talente &amp; Stuff'!C:AD,22,FALSE)</f>
        <v>0</v>
      </c>
      <c r="Y430" s="175">
        <f t="shared" si="34"/>
        <v>0</v>
      </c>
      <c r="Z430" s="198">
        <f t="shared" si="35"/>
        <v>0</v>
      </c>
      <c r="AA430" s="125">
        <f>VLOOKUP(C430,'Talente &amp; Stuff'!C:AD,25,FALSE)</f>
        <v>0</v>
      </c>
      <c r="AB430" s="160">
        <f>VLOOKUP(C430,'Talente &amp; Stuff'!C:AD,26,FALSE)</f>
        <v>0</v>
      </c>
      <c r="AC430" s="127">
        <f>VLOOKUP(C430,'Talente &amp; Stuff'!C:AD,27,FALSE)</f>
        <v>0</v>
      </c>
      <c r="AD430" s="125">
        <f>VLOOKUP(C430,'Talente &amp; Stuff'!C:AD,28,FALSE)</f>
        <v>0</v>
      </c>
      <c r="AE430" s="28"/>
    </row>
    <row r="431" spans="2:31" hidden="1" outlineLevel="2">
      <c r="B431" s="133">
        <v>7</v>
      </c>
      <c r="C431" s="177" t="s">
        <v>281</v>
      </c>
      <c r="D431" s="125" t="str">
        <f>VLOOKUP(C431,'Talente &amp; Stuff'!C:AD,2,FALSE)</f>
        <v>--/--/--</v>
      </c>
      <c r="E431" s="47" t="str">
        <f>VLOOKUP(C431,'Talente &amp; Stuff'!C:AD,3,FALSE)</f>
        <v>-</v>
      </c>
      <c r="F431" s="114">
        <f>VLOOKUP(C431,'Talente &amp; Stuff'!C:AD,4,FALSE)</f>
        <v>0</v>
      </c>
      <c r="G431" s="113">
        <f>VLOOKUP(C431,'Talente &amp; Stuff'!C:AD,5,FALSE)</f>
        <v>0</v>
      </c>
      <c r="H431" s="113">
        <f>VLOOKUP(C431,'Talente &amp; Stuff'!C:AD,6,FALSE)</f>
        <v>0</v>
      </c>
      <c r="I431" s="113">
        <f>VLOOKUP(C431,'Talente &amp; Stuff'!C:AD,7,FALSE)</f>
        <v>0</v>
      </c>
      <c r="J431" s="113">
        <f>VLOOKUP(C431,'Talente &amp; Stuff'!C:AD,8,FALSE)</f>
        <v>0</v>
      </c>
      <c r="K431" s="113">
        <f>VLOOKUP(C431,'Talente &amp; Stuff'!C:AD,9,FALSE)</f>
        <v>0</v>
      </c>
      <c r="L431" s="113">
        <f>VLOOKUP(C431,'Talente &amp; Stuff'!C:AD,10,FALSE)</f>
        <v>0</v>
      </c>
      <c r="M431" s="119">
        <f>VLOOKUP(C431,'Talente &amp; Stuff'!C:AD,11,FALSE)</f>
        <v>0</v>
      </c>
      <c r="N431" s="47">
        <f>VLOOKUP(C431,'Talente &amp; Stuff'!C:AD,12,FALSE)</f>
        <v>0</v>
      </c>
      <c r="O431" s="47">
        <f>VLOOKUP(C431,'Talente &amp; Stuff'!C:AD,13,FALSE)</f>
        <v>0</v>
      </c>
      <c r="P431" s="113">
        <f>VLOOKUP(C431,'Talente &amp; Stuff'!C:AD,14,FALSE)</f>
        <v>0</v>
      </c>
      <c r="Q431" s="114">
        <f>VLOOKUP(C431,'Talente &amp; Stuff'!C:AD,15,FALSE)</f>
        <v>0</v>
      </c>
      <c r="R431" s="113">
        <f>VLOOKUP(C431,'Talente &amp; Stuff'!C:AD,16,FALSE)</f>
        <v>0</v>
      </c>
      <c r="S431" s="119">
        <f>VLOOKUP(C431,'Talente &amp; Stuff'!C:AD,17,FALSE)</f>
        <v>0</v>
      </c>
      <c r="T431" s="160">
        <f>VLOOKUP(C431,'Talente &amp; Stuff'!C:AD,18,FALSE)</f>
        <v>0</v>
      </c>
      <c r="U431" s="89">
        <f>VLOOKUP(C431,'Talente &amp; Stuff'!C:AD,19,FALSE)</f>
        <v>0</v>
      </c>
      <c r="V431" s="47">
        <f>VLOOKUP(C431,'Talente &amp; Stuff'!C:AD,20,FALSE)</f>
        <v>0</v>
      </c>
      <c r="W431" s="127">
        <f>VLOOKUP(C431,'Talente &amp; Stuff'!C:AD,21,FALSE)</f>
        <v>0</v>
      </c>
      <c r="X431" s="127">
        <f>VLOOKUP(C431,'Talente &amp; Stuff'!C:AD,22,FALSE)</f>
        <v>0</v>
      </c>
      <c r="Y431" s="175">
        <f t="shared" si="34"/>
        <v>0</v>
      </c>
      <c r="Z431" s="198">
        <f t="shared" si="35"/>
        <v>0</v>
      </c>
      <c r="AA431" s="125">
        <f>VLOOKUP(C431,'Talente &amp; Stuff'!C:AD,25,FALSE)</f>
        <v>0</v>
      </c>
      <c r="AB431" s="160">
        <f>VLOOKUP(C431,'Talente &amp; Stuff'!C:AD,26,FALSE)</f>
        <v>0</v>
      </c>
      <c r="AC431" s="127">
        <f>VLOOKUP(C431,'Talente &amp; Stuff'!C:AD,27,FALSE)</f>
        <v>0</v>
      </c>
      <c r="AD431" s="125">
        <f>VLOOKUP(C431,'Talente &amp; Stuff'!C:AD,28,FALSE)</f>
        <v>0</v>
      </c>
      <c r="AE431" s="28"/>
    </row>
    <row r="432" spans="2:31" hidden="1" outlineLevel="2">
      <c r="B432" s="133">
        <v>8</v>
      </c>
      <c r="C432" s="178" t="s">
        <v>281</v>
      </c>
      <c r="D432" s="159" t="str">
        <f>VLOOKUP(C432,'Talente &amp; Stuff'!C:AD,2,FALSE)</f>
        <v>--/--/--</v>
      </c>
      <c r="E432" s="88" t="str">
        <f>VLOOKUP(C432,'Talente &amp; Stuff'!C:AD,3,FALSE)</f>
        <v>-</v>
      </c>
      <c r="F432" s="115">
        <f>VLOOKUP(C432,'Talente &amp; Stuff'!C:AD,4,FALSE)</f>
        <v>0</v>
      </c>
      <c r="G432" s="122">
        <f>VLOOKUP(C432,'Talente &amp; Stuff'!C:AD,5,FALSE)</f>
        <v>0</v>
      </c>
      <c r="H432" s="122">
        <f>VLOOKUP(C432,'Talente &amp; Stuff'!C:AD,6,FALSE)</f>
        <v>0</v>
      </c>
      <c r="I432" s="122">
        <f>VLOOKUP(C432,'Talente &amp; Stuff'!C:AD,7,FALSE)</f>
        <v>0</v>
      </c>
      <c r="J432" s="122">
        <f>VLOOKUP(C432,'Talente &amp; Stuff'!C:AD,8,FALSE)</f>
        <v>0</v>
      </c>
      <c r="K432" s="122">
        <f>VLOOKUP(C432,'Talente &amp; Stuff'!C:AD,9,FALSE)</f>
        <v>0</v>
      </c>
      <c r="L432" s="122">
        <f>VLOOKUP(C432,'Talente &amp; Stuff'!C:AD,10,FALSE)</f>
        <v>0</v>
      </c>
      <c r="M432" s="123">
        <f>VLOOKUP(C432,'Talente &amp; Stuff'!C:AD,11,FALSE)</f>
        <v>0</v>
      </c>
      <c r="N432" s="88">
        <f>VLOOKUP(C432,'Talente &amp; Stuff'!C:AD,12,FALSE)</f>
        <v>0</v>
      </c>
      <c r="O432" s="88">
        <f>VLOOKUP(C432,'Talente &amp; Stuff'!C:AD,13,FALSE)</f>
        <v>0</v>
      </c>
      <c r="P432" s="122">
        <f>VLOOKUP(C432,'Talente &amp; Stuff'!C:AD,14,FALSE)</f>
        <v>0</v>
      </c>
      <c r="Q432" s="115">
        <f>VLOOKUP(C432,'Talente &amp; Stuff'!C:AD,15,FALSE)</f>
        <v>0</v>
      </c>
      <c r="R432" s="122">
        <f>VLOOKUP(C432,'Talente &amp; Stuff'!C:AD,16,FALSE)</f>
        <v>0</v>
      </c>
      <c r="S432" s="123">
        <f>VLOOKUP(C432,'Talente &amp; Stuff'!C:AD,17,FALSE)</f>
        <v>0</v>
      </c>
      <c r="T432" s="161">
        <f>VLOOKUP(C432,'Talente &amp; Stuff'!C:AD,18,FALSE)</f>
        <v>0</v>
      </c>
      <c r="U432" s="90">
        <f>VLOOKUP(C432,'Talente &amp; Stuff'!C:AD,19,FALSE)</f>
        <v>0</v>
      </c>
      <c r="V432" s="88">
        <f>VLOOKUP(C432,'Talente &amp; Stuff'!C:AD,20,FALSE)</f>
        <v>0</v>
      </c>
      <c r="W432" s="128">
        <f>VLOOKUP(C432,'Talente &amp; Stuff'!C:AD,21,FALSE)</f>
        <v>0</v>
      </c>
      <c r="X432" s="128">
        <f>VLOOKUP(C432,'Talente &amp; Stuff'!C:AD,22,FALSE)</f>
        <v>0</v>
      </c>
      <c r="Y432" s="175">
        <f t="shared" si="34"/>
        <v>0</v>
      </c>
      <c r="Z432" s="198">
        <f t="shared" si="35"/>
        <v>0</v>
      </c>
      <c r="AA432" s="159">
        <f>VLOOKUP(C432,'Talente &amp; Stuff'!C:AD,25,FALSE)</f>
        <v>0</v>
      </c>
      <c r="AB432" s="161">
        <f>VLOOKUP(C432,'Talente &amp; Stuff'!C:AD,26,FALSE)</f>
        <v>0</v>
      </c>
      <c r="AC432" s="128">
        <f>VLOOKUP(C432,'Talente &amp; Stuff'!C:AD,27,FALSE)</f>
        <v>0</v>
      </c>
      <c r="AD432" s="159">
        <f>VLOOKUP(C432,'Talente &amp; Stuff'!C:AD,28,FALSE)</f>
        <v>0</v>
      </c>
      <c r="AE432" s="28"/>
    </row>
    <row r="433" spans="1:31" hidden="1" outlineLevel="1" collapsed="1">
      <c r="B433" s="134" t="s">
        <v>322</v>
      </c>
      <c r="C433" s="83"/>
      <c r="D433" s="84"/>
      <c r="E433" s="84"/>
      <c r="F433" s="148"/>
      <c r="G433" s="148"/>
      <c r="H433" s="148"/>
      <c r="I433" s="148"/>
      <c r="J433" s="148"/>
      <c r="K433" s="148"/>
      <c r="L433" s="148"/>
      <c r="M433" s="148"/>
      <c r="N433" s="148"/>
      <c r="O433" s="148"/>
      <c r="P433" s="148"/>
      <c r="Q433" s="148"/>
      <c r="R433" s="148"/>
      <c r="S433" s="148"/>
      <c r="T433" s="148"/>
      <c r="U433" s="148"/>
      <c r="V433" s="148"/>
      <c r="W433" s="148"/>
      <c r="X433" s="148"/>
    </row>
    <row r="434" spans="1:31" hidden="1" outlineLevel="2">
      <c r="B434" s="133">
        <v>1</v>
      </c>
      <c r="C434" s="176" t="s">
        <v>281</v>
      </c>
      <c r="D434" s="158" t="str">
        <f>VLOOKUP(C434,'Talente &amp; Stuff'!C:AD,2,FALSE)</f>
        <v>--/--/--</v>
      </c>
      <c r="E434" s="116" t="str">
        <f>VLOOKUP(C434,'Talente &amp; Stuff'!C:AD,3,FALSE)</f>
        <v>-</v>
      </c>
      <c r="F434" s="152">
        <f>VLOOKUP(C434,'Talente &amp; Stuff'!C:AD,4,FALSE)</f>
        <v>0</v>
      </c>
      <c r="G434" s="118">
        <f>VLOOKUP(C434,'Talente &amp; Stuff'!C:AD,5,FALSE)</f>
        <v>0</v>
      </c>
      <c r="H434" s="118">
        <f>VLOOKUP(C434,'Talente &amp; Stuff'!C:AD,6,FALSE)</f>
        <v>0</v>
      </c>
      <c r="I434" s="118">
        <f>VLOOKUP(C434,'Talente &amp; Stuff'!C:AD,7,FALSE)</f>
        <v>0</v>
      </c>
      <c r="J434" s="118">
        <f>VLOOKUP(C434,'Talente &amp; Stuff'!C:AD,8,FALSE)</f>
        <v>0</v>
      </c>
      <c r="K434" s="118">
        <f>VLOOKUP(C434,'Talente &amp; Stuff'!C:AD,9,FALSE)</f>
        <v>0</v>
      </c>
      <c r="L434" s="118">
        <f>VLOOKUP(C434,'Talente &amp; Stuff'!C:AD,10,FALSE)</f>
        <v>0</v>
      </c>
      <c r="M434" s="92">
        <f>VLOOKUP(C434,'Talente &amp; Stuff'!C:AD,11,FALSE)</f>
        <v>0</v>
      </c>
      <c r="N434" s="116">
        <f>VLOOKUP(C434,'Talente &amp; Stuff'!C:AD,12,FALSE)</f>
        <v>0</v>
      </c>
      <c r="O434" s="116">
        <f>VLOOKUP(C434,'Talente &amp; Stuff'!C:AD,13,FALSE)</f>
        <v>0</v>
      </c>
      <c r="P434" s="118">
        <f>VLOOKUP(C434,'Talente &amp; Stuff'!C:AD,14,FALSE)</f>
        <v>0</v>
      </c>
      <c r="Q434" s="152">
        <f>VLOOKUP(C434,'Talente &amp; Stuff'!C:AD,15,FALSE)</f>
        <v>0</v>
      </c>
      <c r="R434" s="118">
        <f>VLOOKUP(C434,'Talente &amp; Stuff'!C:AD,16,FALSE)</f>
        <v>0</v>
      </c>
      <c r="S434" s="92">
        <f>VLOOKUP(C434,'Talente &amp; Stuff'!C:AD,17,FALSE)</f>
        <v>0</v>
      </c>
      <c r="T434" s="91">
        <f>VLOOKUP(C434,'Talente &amp; Stuff'!C:AD,18,FALSE)</f>
        <v>0</v>
      </c>
      <c r="U434" s="154">
        <f>VLOOKUP(C434,'Talente &amp; Stuff'!C:AD,19,FALSE)</f>
        <v>0</v>
      </c>
      <c r="V434" s="116">
        <f>VLOOKUP(C434,'Talente &amp; Stuff'!C:AD,20,FALSE)</f>
        <v>0</v>
      </c>
      <c r="W434" s="126">
        <f>VLOOKUP(C434,'Talente &amp; Stuff'!C:AD,21,FALSE)</f>
        <v>0</v>
      </c>
      <c r="X434" s="126">
        <f>VLOOKUP(C434,'Talente &amp; Stuff'!C:AD,22,FALSE)</f>
        <v>0</v>
      </c>
      <c r="Y434" s="175">
        <f t="shared" ref="Y434:Y439" si="36">VLOOKUP(C434,Ausgewählte_Liturgien_Praios,23,FALSE)</f>
        <v>0</v>
      </c>
      <c r="Z434" s="198">
        <f t="shared" ref="Z434:Z439" si="37">VLOOKUP(C434,Ausgewählte_Liturgien_Praios,24,FALSE)</f>
        <v>0</v>
      </c>
      <c r="AA434" s="158">
        <f>VLOOKUP(C434,'Talente &amp; Stuff'!C:AD,25,FALSE)</f>
        <v>0</v>
      </c>
      <c r="AB434" s="91">
        <f>VLOOKUP(C434,'Talente &amp; Stuff'!C:AD,26,FALSE)</f>
        <v>0</v>
      </c>
      <c r="AC434" s="126">
        <f>VLOOKUP(C434,'Talente &amp; Stuff'!C:AD,27,FALSE)</f>
        <v>0</v>
      </c>
      <c r="AD434" s="158">
        <f>VLOOKUP(C434,'Talente &amp; Stuff'!C:AD,28,FALSE)</f>
        <v>0</v>
      </c>
      <c r="AE434" s="28"/>
    </row>
    <row r="435" spans="1:31" hidden="1" outlineLevel="2">
      <c r="B435" s="133">
        <v>2</v>
      </c>
      <c r="C435" s="177" t="s">
        <v>281</v>
      </c>
      <c r="D435" s="125" t="str">
        <f>VLOOKUP(C435,'Talente &amp; Stuff'!C:AD,2,FALSE)</f>
        <v>--/--/--</v>
      </c>
      <c r="E435" s="47" t="str">
        <f>VLOOKUP(C435,'Talente &amp; Stuff'!C:AD,3,FALSE)</f>
        <v>-</v>
      </c>
      <c r="F435" s="114">
        <f>VLOOKUP(C435,'Talente &amp; Stuff'!C:AD,4,FALSE)</f>
        <v>0</v>
      </c>
      <c r="G435" s="113">
        <f>VLOOKUP(C435,'Talente &amp; Stuff'!C:AD,5,FALSE)</f>
        <v>0</v>
      </c>
      <c r="H435" s="113">
        <f>VLOOKUP(C435,'Talente &amp; Stuff'!C:AD,6,FALSE)</f>
        <v>0</v>
      </c>
      <c r="I435" s="113">
        <f>VLOOKUP(C435,'Talente &amp; Stuff'!C:AD,7,FALSE)</f>
        <v>0</v>
      </c>
      <c r="J435" s="113">
        <f>VLOOKUP(C435,'Talente &amp; Stuff'!C:AD,8,FALSE)</f>
        <v>0</v>
      </c>
      <c r="K435" s="113">
        <f>VLOOKUP(C435,'Talente &amp; Stuff'!C:AD,9,FALSE)</f>
        <v>0</v>
      </c>
      <c r="L435" s="113">
        <f>VLOOKUP(C435,'Talente &amp; Stuff'!C:AD,10,FALSE)</f>
        <v>0</v>
      </c>
      <c r="M435" s="119">
        <f>VLOOKUP(C435,'Talente &amp; Stuff'!C:AD,11,FALSE)</f>
        <v>0</v>
      </c>
      <c r="N435" s="47">
        <f>VLOOKUP(C435,'Talente &amp; Stuff'!C:AD,12,FALSE)</f>
        <v>0</v>
      </c>
      <c r="O435" s="47">
        <f>VLOOKUP(C435,'Talente &amp; Stuff'!C:AD,13,FALSE)</f>
        <v>0</v>
      </c>
      <c r="P435" s="113">
        <f>VLOOKUP(C435,'Talente &amp; Stuff'!C:AD,14,FALSE)</f>
        <v>0</v>
      </c>
      <c r="Q435" s="114">
        <f>VLOOKUP(C435,'Talente &amp; Stuff'!C:AD,15,FALSE)</f>
        <v>0</v>
      </c>
      <c r="R435" s="113">
        <f>VLOOKUP(C435,'Talente &amp; Stuff'!C:AD,16,FALSE)</f>
        <v>0</v>
      </c>
      <c r="S435" s="119">
        <f>VLOOKUP(C435,'Talente &amp; Stuff'!C:AD,17,FALSE)</f>
        <v>0</v>
      </c>
      <c r="T435" s="160">
        <f>VLOOKUP(C435,'Talente &amp; Stuff'!C:AD,18,FALSE)</f>
        <v>0</v>
      </c>
      <c r="U435" s="89">
        <f>VLOOKUP(C435,'Talente &amp; Stuff'!C:AD,19,FALSE)</f>
        <v>0</v>
      </c>
      <c r="V435" s="47">
        <f>VLOOKUP(C435,'Talente &amp; Stuff'!C:AD,20,FALSE)</f>
        <v>0</v>
      </c>
      <c r="W435" s="127">
        <f>VLOOKUP(C435,'Talente &amp; Stuff'!C:AD,21,FALSE)</f>
        <v>0</v>
      </c>
      <c r="X435" s="127">
        <f>VLOOKUP(C435,'Talente &amp; Stuff'!C:AD,22,FALSE)</f>
        <v>0</v>
      </c>
      <c r="Y435" s="175">
        <f t="shared" si="36"/>
        <v>0</v>
      </c>
      <c r="Z435" s="198">
        <f t="shared" si="37"/>
        <v>0</v>
      </c>
      <c r="AA435" s="125">
        <f>VLOOKUP(C435,'Talente &amp; Stuff'!C:AD,25,FALSE)</f>
        <v>0</v>
      </c>
      <c r="AB435" s="160">
        <f>VLOOKUP(C435,'Talente &amp; Stuff'!C:AD,26,FALSE)</f>
        <v>0</v>
      </c>
      <c r="AC435" s="127">
        <f>VLOOKUP(C435,'Talente &amp; Stuff'!C:AD,27,FALSE)</f>
        <v>0</v>
      </c>
      <c r="AD435" s="125">
        <f>VLOOKUP(C435,'Talente &amp; Stuff'!C:AD,28,FALSE)</f>
        <v>0</v>
      </c>
      <c r="AE435" s="28"/>
    </row>
    <row r="436" spans="1:31" hidden="1" outlineLevel="2">
      <c r="B436" s="133">
        <v>3</v>
      </c>
      <c r="C436" s="177" t="s">
        <v>281</v>
      </c>
      <c r="D436" s="125" t="str">
        <f>VLOOKUP(C436,'Talente &amp; Stuff'!C:AD,2,FALSE)</f>
        <v>--/--/--</v>
      </c>
      <c r="E436" s="47" t="str">
        <f>VLOOKUP(C436,'Talente &amp; Stuff'!C:AD,3,FALSE)</f>
        <v>-</v>
      </c>
      <c r="F436" s="114">
        <f>VLOOKUP(C436,'Talente &amp; Stuff'!C:AD,4,FALSE)</f>
        <v>0</v>
      </c>
      <c r="G436" s="113">
        <f>VLOOKUP(C436,'Talente &amp; Stuff'!C:AD,5,FALSE)</f>
        <v>0</v>
      </c>
      <c r="H436" s="113">
        <f>VLOOKUP(C436,'Talente &amp; Stuff'!C:AD,6,FALSE)</f>
        <v>0</v>
      </c>
      <c r="I436" s="113">
        <f>VLOOKUP(C436,'Talente &amp; Stuff'!C:AD,7,FALSE)</f>
        <v>0</v>
      </c>
      <c r="J436" s="113">
        <f>VLOOKUP(C436,'Talente &amp; Stuff'!C:AD,8,FALSE)</f>
        <v>0</v>
      </c>
      <c r="K436" s="113">
        <f>VLOOKUP(C436,'Talente &amp; Stuff'!C:AD,9,FALSE)</f>
        <v>0</v>
      </c>
      <c r="L436" s="113">
        <f>VLOOKUP(C436,'Talente &amp; Stuff'!C:AD,10,FALSE)</f>
        <v>0</v>
      </c>
      <c r="M436" s="119">
        <f>VLOOKUP(C436,'Talente &amp; Stuff'!C:AD,11,FALSE)</f>
        <v>0</v>
      </c>
      <c r="N436" s="47">
        <f>VLOOKUP(C436,'Talente &amp; Stuff'!C:AD,12,FALSE)</f>
        <v>0</v>
      </c>
      <c r="O436" s="47">
        <f>VLOOKUP(C436,'Talente &amp; Stuff'!C:AD,13,FALSE)</f>
        <v>0</v>
      </c>
      <c r="P436" s="113">
        <f>VLOOKUP(C436,'Talente &amp; Stuff'!C:AD,14,FALSE)</f>
        <v>0</v>
      </c>
      <c r="Q436" s="114">
        <f>VLOOKUP(C436,'Talente &amp; Stuff'!C:AD,15,FALSE)</f>
        <v>0</v>
      </c>
      <c r="R436" s="113">
        <f>VLOOKUP(C436,'Talente &amp; Stuff'!C:AD,16,FALSE)</f>
        <v>0</v>
      </c>
      <c r="S436" s="119">
        <f>VLOOKUP(C436,'Talente &amp; Stuff'!C:AD,17,FALSE)</f>
        <v>0</v>
      </c>
      <c r="T436" s="160">
        <f>VLOOKUP(C436,'Talente &amp; Stuff'!C:AD,18,FALSE)</f>
        <v>0</v>
      </c>
      <c r="U436" s="89">
        <f>VLOOKUP(C436,'Talente &amp; Stuff'!C:AD,19,FALSE)</f>
        <v>0</v>
      </c>
      <c r="V436" s="47">
        <f>VLOOKUP(C436,'Talente &amp; Stuff'!C:AD,20,FALSE)</f>
        <v>0</v>
      </c>
      <c r="W436" s="127">
        <f>VLOOKUP(C436,'Talente &amp; Stuff'!C:AD,21,FALSE)</f>
        <v>0</v>
      </c>
      <c r="X436" s="127">
        <f>VLOOKUP(C436,'Talente &amp; Stuff'!C:AD,22,FALSE)</f>
        <v>0</v>
      </c>
      <c r="Y436" s="175">
        <f t="shared" si="36"/>
        <v>0</v>
      </c>
      <c r="Z436" s="198">
        <f t="shared" si="37"/>
        <v>0</v>
      </c>
      <c r="AA436" s="125">
        <f>VLOOKUP(C436,'Talente &amp; Stuff'!C:AD,25,FALSE)</f>
        <v>0</v>
      </c>
      <c r="AB436" s="160">
        <f>VLOOKUP(C436,'Talente &amp; Stuff'!C:AD,26,FALSE)</f>
        <v>0</v>
      </c>
      <c r="AC436" s="127">
        <f>VLOOKUP(C436,'Talente &amp; Stuff'!C:AD,27,FALSE)</f>
        <v>0</v>
      </c>
      <c r="AD436" s="125">
        <f>VLOOKUP(C436,'Talente &amp; Stuff'!C:AD,28,FALSE)</f>
        <v>0</v>
      </c>
      <c r="AE436" s="28"/>
    </row>
    <row r="437" spans="1:31" hidden="1" outlineLevel="2">
      <c r="B437" s="133">
        <v>4</v>
      </c>
      <c r="C437" s="177" t="s">
        <v>281</v>
      </c>
      <c r="D437" s="125" t="str">
        <f>VLOOKUP(C437,'Talente &amp; Stuff'!C:AD,2,FALSE)</f>
        <v>--/--/--</v>
      </c>
      <c r="E437" s="47" t="str">
        <f>VLOOKUP(C437,'Talente &amp; Stuff'!C:AD,3,FALSE)</f>
        <v>-</v>
      </c>
      <c r="F437" s="114">
        <f>VLOOKUP(C437,'Talente &amp; Stuff'!C:AD,4,FALSE)</f>
        <v>0</v>
      </c>
      <c r="G437" s="113">
        <f>VLOOKUP(C437,'Talente &amp; Stuff'!C:AD,5,FALSE)</f>
        <v>0</v>
      </c>
      <c r="H437" s="113">
        <f>VLOOKUP(C437,'Talente &amp; Stuff'!C:AD,6,FALSE)</f>
        <v>0</v>
      </c>
      <c r="I437" s="113">
        <f>VLOOKUP(C437,'Talente &amp; Stuff'!C:AD,7,FALSE)</f>
        <v>0</v>
      </c>
      <c r="J437" s="113">
        <f>VLOOKUP(C437,'Talente &amp; Stuff'!C:AD,8,FALSE)</f>
        <v>0</v>
      </c>
      <c r="K437" s="113">
        <f>VLOOKUP(C437,'Talente &amp; Stuff'!C:AD,9,FALSE)</f>
        <v>0</v>
      </c>
      <c r="L437" s="113">
        <f>VLOOKUP(C437,'Talente &amp; Stuff'!C:AD,10,FALSE)</f>
        <v>0</v>
      </c>
      <c r="M437" s="119">
        <f>VLOOKUP(C437,'Talente &amp; Stuff'!C:AD,11,FALSE)</f>
        <v>0</v>
      </c>
      <c r="N437" s="47">
        <f>VLOOKUP(C437,'Talente &amp; Stuff'!C:AD,12,FALSE)</f>
        <v>0</v>
      </c>
      <c r="O437" s="47">
        <f>VLOOKUP(C437,'Talente &amp; Stuff'!C:AD,13,FALSE)</f>
        <v>0</v>
      </c>
      <c r="P437" s="113">
        <f>VLOOKUP(C437,'Talente &amp; Stuff'!C:AD,14,FALSE)</f>
        <v>0</v>
      </c>
      <c r="Q437" s="114">
        <f>VLOOKUP(C437,'Talente &amp; Stuff'!C:AD,15,FALSE)</f>
        <v>0</v>
      </c>
      <c r="R437" s="113">
        <f>VLOOKUP(C437,'Talente &amp; Stuff'!C:AD,16,FALSE)</f>
        <v>0</v>
      </c>
      <c r="S437" s="119">
        <f>VLOOKUP(C437,'Talente &amp; Stuff'!C:AD,17,FALSE)</f>
        <v>0</v>
      </c>
      <c r="T437" s="160">
        <f>VLOOKUP(C437,'Talente &amp; Stuff'!C:AD,18,FALSE)</f>
        <v>0</v>
      </c>
      <c r="U437" s="89">
        <f>VLOOKUP(C437,'Talente &amp; Stuff'!C:AD,19,FALSE)</f>
        <v>0</v>
      </c>
      <c r="V437" s="47">
        <f>VLOOKUP(C437,'Talente &amp; Stuff'!C:AD,20,FALSE)</f>
        <v>0</v>
      </c>
      <c r="W437" s="127">
        <f>VLOOKUP(C437,'Talente &amp; Stuff'!C:AD,21,FALSE)</f>
        <v>0</v>
      </c>
      <c r="X437" s="127">
        <f>VLOOKUP(C437,'Talente &amp; Stuff'!C:AD,22,FALSE)</f>
        <v>0</v>
      </c>
      <c r="Y437" s="175">
        <f t="shared" si="36"/>
        <v>0</v>
      </c>
      <c r="Z437" s="198">
        <f t="shared" si="37"/>
        <v>0</v>
      </c>
      <c r="AA437" s="125">
        <f>VLOOKUP(C437,'Talente &amp; Stuff'!C:AD,25,FALSE)</f>
        <v>0</v>
      </c>
      <c r="AB437" s="160">
        <f>VLOOKUP(C437,'Talente &amp; Stuff'!C:AD,26,FALSE)</f>
        <v>0</v>
      </c>
      <c r="AC437" s="127">
        <f>VLOOKUP(C437,'Talente &amp; Stuff'!C:AD,27,FALSE)</f>
        <v>0</v>
      </c>
      <c r="AD437" s="125">
        <f>VLOOKUP(C437,'Talente &amp; Stuff'!C:AD,28,FALSE)</f>
        <v>0</v>
      </c>
      <c r="AE437" s="28"/>
    </row>
    <row r="438" spans="1:31" hidden="1" outlineLevel="2">
      <c r="B438" s="133">
        <v>5</v>
      </c>
      <c r="C438" s="177" t="s">
        <v>281</v>
      </c>
      <c r="D438" s="125" t="str">
        <f>VLOOKUP(C438,'Talente &amp; Stuff'!C:AD,2,FALSE)</f>
        <v>--/--/--</v>
      </c>
      <c r="E438" s="47" t="str">
        <f>VLOOKUP(C438,'Talente &amp; Stuff'!C:AD,3,FALSE)</f>
        <v>-</v>
      </c>
      <c r="F438" s="114">
        <f>VLOOKUP(C438,'Talente &amp; Stuff'!C:AD,4,FALSE)</f>
        <v>0</v>
      </c>
      <c r="G438" s="113">
        <f>VLOOKUP(C438,'Talente &amp; Stuff'!C:AD,5,FALSE)</f>
        <v>0</v>
      </c>
      <c r="H438" s="113">
        <f>VLOOKUP(C438,'Talente &amp; Stuff'!C:AD,6,FALSE)</f>
        <v>0</v>
      </c>
      <c r="I438" s="113">
        <f>VLOOKUP(C438,'Talente &amp; Stuff'!C:AD,7,FALSE)</f>
        <v>0</v>
      </c>
      <c r="J438" s="113">
        <f>VLOOKUP(C438,'Talente &amp; Stuff'!C:AD,8,FALSE)</f>
        <v>0</v>
      </c>
      <c r="K438" s="113">
        <f>VLOOKUP(C438,'Talente &amp; Stuff'!C:AD,9,FALSE)</f>
        <v>0</v>
      </c>
      <c r="L438" s="113">
        <f>VLOOKUP(C438,'Talente &amp; Stuff'!C:AD,10,FALSE)</f>
        <v>0</v>
      </c>
      <c r="M438" s="119">
        <f>VLOOKUP(C438,'Talente &amp; Stuff'!C:AD,11,FALSE)</f>
        <v>0</v>
      </c>
      <c r="N438" s="47">
        <f>VLOOKUP(C438,'Talente &amp; Stuff'!C:AD,12,FALSE)</f>
        <v>0</v>
      </c>
      <c r="O438" s="47">
        <f>VLOOKUP(C438,'Talente &amp; Stuff'!C:AD,13,FALSE)</f>
        <v>0</v>
      </c>
      <c r="P438" s="113">
        <f>VLOOKUP(C438,'Talente &amp; Stuff'!C:AD,14,FALSE)</f>
        <v>0</v>
      </c>
      <c r="Q438" s="114">
        <f>VLOOKUP(C438,'Talente &amp; Stuff'!C:AD,15,FALSE)</f>
        <v>0</v>
      </c>
      <c r="R438" s="113">
        <f>VLOOKUP(C438,'Talente &amp; Stuff'!C:AD,16,FALSE)</f>
        <v>0</v>
      </c>
      <c r="S438" s="119">
        <f>VLOOKUP(C438,'Talente &amp; Stuff'!C:AD,17,FALSE)</f>
        <v>0</v>
      </c>
      <c r="T438" s="160">
        <f>VLOOKUP(C438,'Talente &amp; Stuff'!C:AD,18,FALSE)</f>
        <v>0</v>
      </c>
      <c r="U438" s="89">
        <f>VLOOKUP(C438,'Talente &amp; Stuff'!C:AD,19,FALSE)</f>
        <v>0</v>
      </c>
      <c r="V438" s="47">
        <f>VLOOKUP(C438,'Talente &amp; Stuff'!C:AD,20,FALSE)</f>
        <v>0</v>
      </c>
      <c r="W438" s="127">
        <f>VLOOKUP(C438,'Talente &amp; Stuff'!C:AD,21,FALSE)</f>
        <v>0</v>
      </c>
      <c r="X438" s="127">
        <f>VLOOKUP(C438,'Talente &amp; Stuff'!C:AD,22,FALSE)</f>
        <v>0</v>
      </c>
      <c r="Y438" s="175">
        <f t="shared" si="36"/>
        <v>0</v>
      </c>
      <c r="Z438" s="198">
        <f t="shared" si="37"/>
        <v>0</v>
      </c>
      <c r="AA438" s="125">
        <f>VLOOKUP(C438,'Talente &amp; Stuff'!C:AD,25,FALSE)</f>
        <v>0</v>
      </c>
      <c r="AB438" s="160">
        <f>VLOOKUP(C438,'Talente &amp; Stuff'!C:AD,26,FALSE)</f>
        <v>0</v>
      </c>
      <c r="AC438" s="127">
        <f>VLOOKUP(C438,'Talente &amp; Stuff'!C:AD,27,FALSE)</f>
        <v>0</v>
      </c>
      <c r="AD438" s="125">
        <f>VLOOKUP(C438,'Talente &amp; Stuff'!C:AD,28,FALSE)</f>
        <v>0</v>
      </c>
      <c r="AE438" s="28"/>
    </row>
    <row r="439" spans="1:31" hidden="1" outlineLevel="2">
      <c r="B439" s="133">
        <v>6</v>
      </c>
      <c r="C439" s="178" t="s">
        <v>281</v>
      </c>
      <c r="D439" s="159" t="str">
        <f>VLOOKUP(C439,'Talente &amp; Stuff'!C:AD,2,FALSE)</f>
        <v>--/--/--</v>
      </c>
      <c r="E439" s="88" t="str">
        <f>VLOOKUP(C439,'Talente &amp; Stuff'!C:AD,3,FALSE)</f>
        <v>-</v>
      </c>
      <c r="F439" s="115">
        <f>VLOOKUP(C439,'Talente &amp; Stuff'!C:AD,4,FALSE)</f>
        <v>0</v>
      </c>
      <c r="G439" s="122">
        <f>VLOOKUP(C439,'Talente &amp; Stuff'!C:AD,5,FALSE)</f>
        <v>0</v>
      </c>
      <c r="H439" s="122">
        <f>VLOOKUP(C439,'Talente &amp; Stuff'!C:AD,6,FALSE)</f>
        <v>0</v>
      </c>
      <c r="I439" s="122">
        <f>VLOOKUP(C439,'Talente &amp; Stuff'!C:AD,7,FALSE)</f>
        <v>0</v>
      </c>
      <c r="J439" s="122">
        <f>VLOOKUP(C439,'Talente &amp; Stuff'!C:AD,8,FALSE)</f>
        <v>0</v>
      </c>
      <c r="K439" s="122">
        <f>VLOOKUP(C439,'Talente &amp; Stuff'!C:AD,9,FALSE)</f>
        <v>0</v>
      </c>
      <c r="L439" s="122">
        <f>VLOOKUP(C439,'Talente &amp; Stuff'!C:AD,10,FALSE)</f>
        <v>0</v>
      </c>
      <c r="M439" s="123">
        <f>VLOOKUP(C439,'Talente &amp; Stuff'!C:AD,11,FALSE)</f>
        <v>0</v>
      </c>
      <c r="N439" s="88">
        <f>VLOOKUP(C439,'Talente &amp; Stuff'!C:AD,12,FALSE)</f>
        <v>0</v>
      </c>
      <c r="O439" s="88">
        <f>VLOOKUP(C439,'Talente &amp; Stuff'!C:AD,13,FALSE)</f>
        <v>0</v>
      </c>
      <c r="P439" s="122">
        <f>VLOOKUP(C439,'Talente &amp; Stuff'!C:AD,14,FALSE)</f>
        <v>0</v>
      </c>
      <c r="Q439" s="115">
        <f>VLOOKUP(C439,'Talente &amp; Stuff'!C:AD,15,FALSE)</f>
        <v>0</v>
      </c>
      <c r="R439" s="122">
        <f>VLOOKUP(C439,'Talente &amp; Stuff'!C:AD,16,FALSE)</f>
        <v>0</v>
      </c>
      <c r="S439" s="123">
        <f>VLOOKUP(C439,'Talente &amp; Stuff'!C:AD,17,FALSE)</f>
        <v>0</v>
      </c>
      <c r="T439" s="161">
        <f>VLOOKUP(C439,'Talente &amp; Stuff'!C:AD,18,FALSE)</f>
        <v>0</v>
      </c>
      <c r="U439" s="90">
        <f>VLOOKUP(C439,'Talente &amp; Stuff'!C:AD,19,FALSE)</f>
        <v>0</v>
      </c>
      <c r="V439" s="88">
        <f>VLOOKUP(C439,'Talente &amp; Stuff'!C:AD,20,FALSE)</f>
        <v>0</v>
      </c>
      <c r="W439" s="128">
        <f>VLOOKUP(C439,'Talente &amp; Stuff'!C:AD,21,FALSE)</f>
        <v>0</v>
      </c>
      <c r="X439" s="128">
        <f>VLOOKUP(C439,'Talente &amp; Stuff'!C:AD,22,FALSE)</f>
        <v>0</v>
      </c>
      <c r="Y439" s="175">
        <f t="shared" si="36"/>
        <v>0</v>
      </c>
      <c r="Z439" s="198">
        <f t="shared" si="37"/>
        <v>0</v>
      </c>
      <c r="AA439" s="159">
        <f>VLOOKUP(C439,'Talente &amp; Stuff'!C:AD,25,FALSE)</f>
        <v>0</v>
      </c>
      <c r="AB439" s="161">
        <f>VLOOKUP(C439,'Talente &amp; Stuff'!C:AD,26,FALSE)</f>
        <v>0</v>
      </c>
      <c r="AC439" s="128">
        <f>VLOOKUP(C439,'Talente &amp; Stuff'!C:AD,27,FALSE)</f>
        <v>0</v>
      </c>
      <c r="AD439" s="159">
        <f>VLOOKUP(C439,'Talente &amp; Stuff'!C:AD,28,FALSE)</f>
        <v>0</v>
      </c>
      <c r="AE439" s="28"/>
    </row>
    <row r="440" spans="1:31" hidden="1" outlineLevel="1" collapsed="1">
      <c r="B440" s="134" t="s">
        <v>321</v>
      </c>
      <c r="C440" s="83"/>
      <c r="D440" s="84"/>
      <c r="E440" s="84"/>
      <c r="F440" s="148"/>
      <c r="G440" s="148"/>
      <c r="H440" s="148"/>
      <c r="I440" s="148"/>
      <c r="J440" s="148"/>
      <c r="K440" s="148"/>
      <c r="L440" s="148"/>
      <c r="M440" s="148"/>
      <c r="N440" s="148"/>
      <c r="O440" s="148"/>
      <c r="P440" s="148"/>
      <c r="Q440" s="148"/>
      <c r="R440" s="148"/>
      <c r="S440" s="148"/>
      <c r="T440" s="148"/>
      <c r="U440" s="148"/>
      <c r="V440" s="148"/>
      <c r="W440" s="148"/>
      <c r="X440" s="148"/>
    </row>
    <row r="441" spans="1:31" hidden="1" outlineLevel="2">
      <c r="B441" s="133">
        <v>1</v>
      </c>
      <c r="C441" s="176" t="s">
        <v>281</v>
      </c>
      <c r="D441" s="158" t="str">
        <f>VLOOKUP(C441,'Talente &amp; Stuff'!C:AD,2,FALSE)</f>
        <v>--/--/--</v>
      </c>
      <c r="E441" s="116" t="str">
        <f>VLOOKUP(C441,'Talente &amp; Stuff'!C:AD,3,FALSE)</f>
        <v>-</v>
      </c>
      <c r="F441" s="152">
        <f>VLOOKUP(C441,'Talente &amp; Stuff'!C:AD,4,FALSE)</f>
        <v>0</v>
      </c>
      <c r="G441" s="118">
        <f>VLOOKUP(C441,'Talente &amp; Stuff'!C:AD,5,FALSE)</f>
        <v>0</v>
      </c>
      <c r="H441" s="118">
        <f>VLOOKUP(C441,'Talente &amp; Stuff'!C:AD,6,FALSE)</f>
        <v>0</v>
      </c>
      <c r="I441" s="118">
        <f>VLOOKUP(C441,'Talente &amp; Stuff'!C:AD,7,FALSE)</f>
        <v>0</v>
      </c>
      <c r="J441" s="118">
        <f>VLOOKUP(C441,'Talente &amp; Stuff'!C:AD,8,FALSE)</f>
        <v>0</v>
      </c>
      <c r="K441" s="118">
        <f>VLOOKUP(C441,'Talente &amp; Stuff'!C:AD,9,FALSE)</f>
        <v>0</v>
      </c>
      <c r="L441" s="118">
        <f>VLOOKUP(C441,'Talente &amp; Stuff'!C:AD,10,FALSE)</f>
        <v>0</v>
      </c>
      <c r="M441" s="92">
        <f>VLOOKUP(C441,'Talente &amp; Stuff'!C:AD,11,FALSE)</f>
        <v>0</v>
      </c>
      <c r="N441" s="116">
        <f>VLOOKUP(C441,'Talente &amp; Stuff'!C:AD,12,FALSE)</f>
        <v>0</v>
      </c>
      <c r="O441" s="116">
        <f>VLOOKUP(C441,'Talente &amp; Stuff'!C:AD,13,FALSE)</f>
        <v>0</v>
      </c>
      <c r="P441" s="118">
        <f>VLOOKUP(C441,'Talente &amp; Stuff'!C:AD,14,FALSE)</f>
        <v>0</v>
      </c>
      <c r="Q441" s="152">
        <f>VLOOKUP(C441,'Talente &amp; Stuff'!C:AD,15,FALSE)</f>
        <v>0</v>
      </c>
      <c r="R441" s="118">
        <f>VLOOKUP(C441,'Talente &amp; Stuff'!C:AD,16,FALSE)</f>
        <v>0</v>
      </c>
      <c r="S441" s="92">
        <f>VLOOKUP(C441,'Talente &amp; Stuff'!C:AD,17,FALSE)</f>
        <v>0</v>
      </c>
      <c r="T441" s="91">
        <f>VLOOKUP(C441,'Talente &amp; Stuff'!C:AD,18,FALSE)</f>
        <v>0</v>
      </c>
      <c r="U441" s="154">
        <f>VLOOKUP(C441,'Talente &amp; Stuff'!C:AD,19,FALSE)</f>
        <v>0</v>
      </c>
      <c r="V441" s="116">
        <f>VLOOKUP(C441,'Talente &amp; Stuff'!C:AD,20,FALSE)</f>
        <v>0</v>
      </c>
      <c r="W441" s="126">
        <f>VLOOKUP(C441,'Talente &amp; Stuff'!C:AD,21,FALSE)</f>
        <v>0</v>
      </c>
      <c r="X441" s="126">
        <f>VLOOKUP(C441,'Talente &amp; Stuff'!C:AD,22,FALSE)</f>
        <v>0</v>
      </c>
      <c r="Y441" s="175">
        <f>VLOOKUP(C441,Ausgewählte_Liturgien_Rondra,23,FALSE)</f>
        <v>0</v>
      </c>
      <c r="Z441" s="198">
        <f>VLOOKUP(C441,Ausgewählte_Liturgien_Rondra,24,FALSE)</f>
        <v>0</v>
      </c>
      <c r="AA441" s="158">
        <f>VLOOKUP(C441,'Talente &amp; Stuff'!C:AD,25,FALSE)</f>
        <v>0</v>
      </c>
      <c r="AB441" s="91">
        <f>VLOOKUP(C441,'Talente &amp; Stuff'!C:AD,26,FALSE)</f>
        <v>0</v>
      </c>
      <c r="AC441" s="126">
        <f>VLOOKUP(C441,'Talente &amp; Stuff'!C:AD,27,FALSE)</f>
        <v>0</v>
      </c>
      <c r="AD441" s="158">
        <f>VLOOKUP(C441,'Talente &amp; Stuff'!C:AD,28,FALSE)</f>
        <v>0</v>
      </c>
      <c r="AE441" s="28"/>
    </row>
    <row r="442" spans="1:31" hidden="1" outlineLevel="2">
      <c r="B442" s="133">
        <v>2</v>
      </c>
      <c r="C442" s="177" t="s">
        <v>281</v>
      </c>
      <c r="D442" s="125" t="str">
        <f>VLOOKUP(C442,'Talente &amp; Stuff'!C:AD,2,FALSE)</f>
        <v>--/--/--</v>
      </c>
      <c r="E442" s="47" t="str">
        <f>VLOOKUP(C442,'Talente &amp; Stuff'!C:AD,3,FALSE)</f>
        <v>-</v>
      </c>
      <c r="F442" s="114">
        <f>VLOOKUP(C442,'Talente &amp; Stuff'!C:AD,4,FALSE)</f>
        <v>0</v>
      </c>
      <c r="G442" s="113">
        <f>VLOOKUP(C442,'Talente &amp; Stuff'!C:AD,5,FALSE)</f>
        <v>0</v>
      </c>
      <c r="H442" s="113">
        <f>VLOOKUP(C442,'Talente &amp; Stuff'!C:AD,6,FALSE)</f>
        <v>0</v>
      </c>
      <c r="I442" s="113">
        <f>VLOOKUP(C442,'Talente &amp; Stuff'!C:AD,7,FALSE)</f>
        <v>0</v>
      </c>
      <c r="J442" s="113">
        <f>VLOOKUP(C442,'Talente &amp; Stuff'!C:AD,8,FALSE)</f>
        <v>0</v>
      </c>
      <c r="K442" s="113">
        <f>VLOOKUP(C442,'Talente &amp; Stuff'!C:AD,9,FALSE)</f>
        <v>0</v>
      </c>
      <c r="L442" s="113">
        <f>VLOOKUP(C442,'Talente &amp; Stuff'!C:AD,10,FALSE)</f>
        <v>0</v>
      </c>
      <c r="M442" s="119">
        <f>VLOOKUP(C442,'Talente &amp; Stuff'!C:AD,11,FALSE)</f>
        <v>0</v>
      </c>
      <c r="N442" s="47">
        <f>VLOOKUP(C442,'Talente &amp; Stuff'!C:AD,12,FALSE)</f>
        <v>0</v>
      </c>
      <c r="O442" s="47">
        <f>VLOOKUP(C442,'Talente &amp; Stuff'!C:AD,13,FALSE)</f>
        <v>0</v>
      </c>
      <c r="P442" s="113">
        <f>VLOOKUP(C442,'Talente &amp; Stuff'!C:AD,14,FALSE)</f>
        <v>0</v>
      </c>
      <c r="Q442" s="114">
        <f>VLOOKUP(C442,'Talente &amp; Stuff'!C:AD,15,FALSE)</f>
        <v>0</v>
      </c>
      <c r="R442" s="113">
        <f>VLOOKUP(C442,'Talente &amp; Stuff'!C:AD,16,FALSE)</f>
        <v>0</v>
      </c>
      <c r="S442" s="119">
        <f>VLOOKUP(C442,'Talente &amp; Stuff'!C:AD,17,FALSE)</f>
        <v>0</v>
      </c>
      <c r="T442" s="160">
        <f>VLOOKUP(C442,'Talente &amp; Stuff'!C:AD,18,FALSE)</f>
        <v>0</v>
      </c>
      <c r="U442" s="89">
        <f>VLOOKUP(C442,'Talente &amp; Stuff'!C:AD,19,FALSE)</f>
        <v>0</v>
      </c>
      <c r="V442" s="47">
        <f>VLOOKUP(C442,'Talente &amp; Stuff'!C:AD,20,FALSE)</f>
        <v>0</v>
      </c>
      <c r="W442" s="127">
        <f>VLOOKUP(C442,'Talente &amp; Stuff'!C:AD,21,FALSE)</f>
        <v>0</v>
      </c>
      <c r="X442" s="127">
        <f>VLOOKUP(C442,'Talente &amp; Stuff'!C:AD,22,FALSE)</f>
        <v>0</v>
      </c>
      <c r="Y442" s="175">
        <f>VLOOKUP(C442,Ausgewählte_Liturgien_Rondra,23,FALSE)</f>
        <v>0</v>
      </c>
      <c r="Z442" s="198">
        <f>VLOOKUP(C442,Ausgewählte_Liturgien_Rondra,24,FALSE)</f>
        <v>0</v>
      </c>
      <c r="AA442" s="125">
        <f>VLOOKUP(C442,'Talente &amp; Stuff'!C:AD,25,FALSE)</f>
        <v>0</v>
      </c>
      <c r="AB442" s="160">
        <f>VLOOKUP(C442,'Talente &amp; Stuff'!C:AD,26,FALSE)</f>
        <v>0</v>
      </c>
      <c r="AC442" s="127">
        <f>VLOOKUP(C442,'Talente &amp; Stuff'!C:AD,27,FALSE)</f>
        <v>0</v>
      </c>
      <c r="AD442" s="125">
        <f>VLOOKUP(C442,'Talente &amp; Stuff'!C:AD,28,FALSE)</f>
        <v>0</v>
      </c>
      <c r="AE442" s="28"/>
    </row>
    <row r="443" spans="1:31" s="138" customFormat="1" hidden="1" outlineLevel="2">
      <c r="B443" s="137">
        <v>3</v>
      </c>
      <c r="C443" s="177" t="s">
        <v>281</v>
      </c>
      <c r="D443" s="125" t="str">
        <f>VLOOKUP(C443,'Talente &amp; Stuff'!C:AD,2,FALSE)</f>
        <v>--/--/--</v>
      </c>
      <c r="E443" s="47" t="str">
        <f>VLOOKUP(C443,'Talente &amp; Stuff'!C:AD,3,FALSE)</f>
        <v>-</v>
      </c>
      <c r="F443" s="114">
        <f>VLOOKUP(C443,'Talente &amp; Stuff'!C:AD,4,FALSE)</f>
        <v>0</v>
      </c>
      <c r="G443" s="113">
        <f>VLOOKUP(C443,'Talente &amp; Stuff'!C:AD,5,FALSE)</f>
        <v>0</v>
      </c>
      <c r="H443" s="113">
        <f>VLOOKUP(C443,'Talente &amp; Stuff'!C:AD,6,FALSE)</f>
        <v>0</v>
      </c>
      <c r="I443" s="113">
        <f>VLOOKUP(C443,'Talente &amp; Stuff'!C:AD,7,FALSE)</f>
        <v>0</v>
      </c>
      <c r="J443" s="113">
        <f>VLOOKUP(C443,'Talente &amp; Stuff'!C:AD,8,FALSE)</f>
        <v>0</v>
      </c>
      <c r="K443" s="113">
        <f>VLOOKUP(C443,'Talente &amp; Stuff'!C:AD,9,FALSE)</f>
        <v>0</v>
      </c>
      <c r="L443" s="113">
        <f>VLOOKUP(C443,'Talente &amp; Stuff'!C:AD,10,FALSE)</f>
        <v>0</v>
      </c>
      <c r="M443" s="119">
        <f>VLOOKUP(C443,'Talente &amp; Stuff'!C:AD,11,FALSE)</f>
        <v>0</v>
      </c>
      <c r="N443" s="47">
        <f>VLOOKUP(C443,'Talente &amp; Stuff'!C:AD,12,FALSE)</f>
        <v>0</v>
      </c>
      <c r="O443" s="47">
        <f>VLOOKUP(C443,'Talente &amp; Stuff'!C:AD,13,FALSE)</f>
        <v>0</v>
      </c>
      <c r="P443" s="113">
        <f>VLOOKUP(C443,'Talente &amp; Stuff'!C:AD,14,FALSE)</f>
        <v>0</v>
      </c>
      <c r="Q443" s="114">
        <f>VLOOKUP(C443,'Talente &amp; Stuff'!C:AD,15,FALSE)</f>
        <v>0</v>
      </c>
      <c r="R443" s="113">
        <f>VLOOKUP(C443,'Talente &amp; Stuff'!C:AD,16,FALSE)</f>
        <v>0</v>
      </c>
      <c r="S443" s="119">
        <f>VLOOKUP(C443,'Talente &amp; Stuff'!C:AD,17,FALSE)</f>
        <v>0</v>
      </c>
      <c r="T443" s="160">
        <f>VLOOKUP(C443,'Talente &amp; Stuff'!C:AD,18,FALSE)</f>
        <v>0</v>
      </c>
      <c r="U443" s="89">
        <f>VLOOKUP(C443,'Talente &amp; Stuff'!C:AD,19,FALSE)</f>
        <v>0</v>
      </c>
      <c r="V443" s="47">
        <f>VLOOKUP(C443,'Talente &amp; Stuff'!C:AD,20,FALSE)</f>
        <v>0</v>
      </c>
      <c r="W443" s="127">
        <f>VLOOKUP(C443,'Talente &amp; Stuff'!C:AD,21,FALSE)</f>
        <v>0</v>
      </c>
      <c r="X443" s="127">
        <f>VLOOKUP(C443,'Talente &amp; Stuff'!C:AD,22,FALSE)</f>
        <v>0</v>
      </c>
      <c r="Y443" s="175">
        <f>VLOOKUP(C443,Ausgewählte_Liturgien_Rondra,23,FALSE)</f>
        <v>0</v>
      </c>
      <c r="Z443" s="198">
        <f>VLOOKUP(C443,Ausgewählte_Liturgien_Rondra,24,FALSE)</f>
        <v>0</v>
      </c>
      <c r="AA443" s="125">
        <f>VLOOKUP(C443,'Talente &amp; Stuff'!C:AD,25,FALSE)</f>
        <v>0</v>
      </c>
      <c r="AB443" s="160">
        <f>VLOOKUP(C443,'Talente &amp; Stuff'!C:AD,26,FALSE)</f>
        <v>0</v>
      </c>
      <c r="AC443" s="127">
        <f>VLOOKUP(C443,'Talente &amp; Stuff'!C:AD,27,FALSE)</f>
        <v>0</v>
      </c>
      <c r="AD443" s="125">
        <f>VLOOKUP(C443,'Talente &amp; Stuff'!C:AD,28,FALSE)</f>
        <v>0</v>
      </c>
      <c r="AE443" s="28"/>
    </row>
    <row r="444" spans="1:31" hidden="1" outlineLevel="2">
      <c r="B444" s="133">
        <v>4</v>
      </c>
      <c r="C444" s="178" t="s">
        <v>281</v>
      </c>
      <c r="D444" s="159" t="str">
        <f>VLOOKUP(C444,'Talente &amp; Stuff'!C:AD,2,FALSE)</f>
        <v>--/--/--</v>
      </c>
      <c r="E444" s="88" t="str">
        <f>VLOOKUP(C444,'Talente &amp; Stuff'!C:AD,3,FALSE)</f>
        <v>-</v>
      </c>
      <c r="F444" s="115">
        <f>VLOOKUP(C444,'Talente &amp; Stuff'!C:AD,4,FALSE)</f>
        <v>0</v>
      </c>
      <c r="G444" s="122">
        <f>VLOOKUP(C444,'Talente &amp; Stuff'!C:AD,5,FALSE)</f>
        <v>0</v>
      </c>
      <c r="H444" s="122">
        <f>VLOOKUP(C444,'Talente &amp; Stuff'!C:AD,6,FALSE)</f>
        <v>0</v>
      </c>
      <c r="I444" s="122">
        <f>VLOOKUP(C444,'Talente &amp; Stuff'!C:AD,7,FALSE)</f>
        <v>0</v>
      </c>
      <c r="J444" s="122">
        <f>VLOOKUP(C444,'Talente &amp; Stuff'!C:AD,8,FALSE)</f>
        <v>0</v>
      </c>
      <c r="K444" s="122">
        <f>VLOOKUP(C444,'Talente &amp; Stuff'!C:AD,9,FALSE)</f>
        <v>0</v>
      </c>
      <c r="L444" s="122">
        <f>VLOOKUP(C444,'Talente &amp; Stuff'!C:AD,10,FALSE)</f>
        <v>0</v>
      </c>
      <c r="M444" s="123">
        <f>VLOOKUP(C444,'Talente &amp; Stuff'!C:AD,11,FALSE)</f>
        <v>0</v>
      </c>
      <c r="N444" s="88">
        <f>VLOOKUP(C444,'Talente &amp; Stuff'!C:AD,12,FALSE)</f>
        <v>0</v>
      </c>
      <c r="O444" s="88">
        <f>VLOOKUP(C444,'Talente &amp; Stuff'!C:AD,13,FALSE)</f>
        <v>0</v>
      </c>
      <c r="P444" s="122">
        <f>VLOOKUP(C444,'Talente &amp; Stuff'!C:AD,14,FALSE)</f>
        <v>0</v>
      </c>
      <c r="Q444" s="115">
        <f>VLOOKUP(C444,'Talente &amp; Stuff'!C:AD,15,FALSE)</f>
        <v>0</v>
      </c>
      <c r="R444" s="122">
        <f>VLOOKUP(C444,'Talente &amp; Stuff'!C:AD,16,FALSE)</f>
        <v>0</v>
      </c>
      <c r="S444" s="123">
        <f>VLOOKUP(C444,'Talente &amp; Stuff'!C:AD,17,FALSE)</f>
        <v>0</v>
      </c>
      <c r="T444" s="161">
        <f>VLOOKUP(C444,'Talente &amp; Stuff'!C:AD,18,FALSE)</f>
        <v>0</v>
      </c>
      <c r="U444" s="90">
        <f>VLOOKUP(C444,'Talente &amp; Stuff'!C:AD,19,FALSE)</f>
        <v>0</v>
      </c>
      <c r="V444" s="88">
        <f>VLOOKUP(C444,'Talente &amp; Stuff'!C:AD,20,FALSE)</f>
        <v>0</v>
      </c>
      <c r="W444" s="128">
        <f>VLOOKUP(C444,'Talente &amp; Stuff'!C:AD,21,FALSE)</f>
        <v>0</v>
      </c>
      <c r="X444" s="128">
        <f>VLOOKUP(C444,'Talente &amp; Stuff'!C:AD,22,FALSE)</f>
        <v>0</v>
      </c>
      <c r="Y444" s="175">
        <f>VLOOKUP(C444,Ausgewählte_Liturgien_Rondra,23,FALSE)</f>
        <v>0</v>
      </c>
      <c r="Z444" s="198">
        <f>VLOOKUP(C444,Ausgewählte_Liturgien_Rondra,24,FALSE)</f>
        <v>0</v>
      </c>
      <c r="AA444" s="159">
        <f>VLOOKUP(C444,'Talente &amp; Stuff'!C:AD,25,FALSE)</f>
        <v>0</v>
      </c>
      <c r="AB444" s="161">
        <f>VLOOKUP(C444,'Talente &amp; Stuff'!C:AD,26,FALSE)</f>
        <v>0</v>
      </c>
      <c r="AC444" s="128">
        <f>VLOOKUP(C444,'Talente &amp; Stuff'!C:AD,27,FALSE)</f>
        <v>0</v>
      </c>
      <c r="AD444" s="159">
        <f>VLOOKUP(C444,'Talente &amp; Stuff'!C:AD,28,FALSE)</f>
        <v>0</v>
      </c>
      <c r="AE444" s="28"/>
    </row>
    <row r="445" spans="1:31" ht="15.75" hidden="1" outlineLevel="1" collapsed="1" thickBot="1"/>
    <row r="446" spans="1:31" ht="15.75" collapsed="1" thickBot="1">
      <c r="A446" s="135" t="s">
        <v>269</v>
      </c>
      <c r="X446" s="140"/>
    </row>
    <row r="447" spans="1:31" hidden="1" outlineLevel="1">
      <c r="B447" s="134" t="s">
        <v>327</v>
      </c>
    </row>
    <row r="448" spans="1:31" hidden="1" outlineLevel="2">
      <c r="B448" s="133">
        <v>1</v>
      </c>
      <c r="C448" s="162" t="s">
        <v>281</v>
      </c>
      <c r="D448" s="158" t="str">
        <f>VLOOKUP(C448,'Talente &amp; Stuff'!C:AD,2,FALSE)</f>
        <v>--/--/--</v>
      </c>
      <c r="E448" s="126" t="str">
        <f>VLOOKUP(C448,'Talente &amp; Stuff'!C:AD,3,FALSE)</f>
        <v>-</v>
      </c>
      <c r="F448" s="152">
        <f>VLOOKUP(C448,'Talente &amp; Stuff'!C:AD,4,FALSE)</f>
        <v>0</v>
      </c>
      <c r="G448" s="118">
        <f>VLOOKUP(C448,'Talente &amp; Stuff'!C:AD,5,FALSE)</f>
        <v>0</v>
      </c>
      <c r="H448" s="118">
        <f>VLOOKUP(C448,'Talente &amp; Stuff'!C:AD,6,FALSE)</f>
        <v>0</v>
      </c>
      <c r="I448" s="118">
        <f>VLOOKUP(C448,'Talente &amp; Stuff'!C:AD,7,FALSE)</f>
        <v>0</v>
      </c>
      <c r="J448" s="118">
        <f>VLOOKUP(C448,'Talente &amp; Stuff'!C:AD,8,FALSE)</f>
        <v>0</v>
      </c>
      <c r="K448" s="118">
        <f>VLOOKUP(C448,'Talente &amp; Stuff'!C:AD,9,FALSE)</f>
        <v>0</v>
      </c>
      <c r="L448" s="118">
        <f>VLOOKUP(C448,'Talente &amp; Stuff'!C:AD,10,FALSE)</f>
        <v>0</v>
      </c>
      <c r="M448" s="92">
        <f>VLOOKUP(C448,'Talente &amp; Stuff'!C:AD,11,FALSE)</f>
        <v>0</v>
      </c>
      <c r="N448" s="116">
        <f>VLOOKUP(C448,'Talente &amp; Stuff'!C:AD,12,FALSE)</f>
        <v>0</v>
      </c>
      <c r="O448" s="116">
        <f>VLOOKUP(C448,'Talente &amp; Stuff'!C:AD,13,FALSE)</f>
        <v>0</v>
      </c>
      <c r="P448" s="92">
        <f>VLOOKUP(C448,'Talente &amp; Stuff'!C:AD,14,FALSE)</f>
        <v>0</v>
      </c>
      <c r="Q448" s="152">
        <f>VLOOKUP(C448,'Talente &amp; Stuff'!C:AD,15,FALSE)</f>
        <v>0</v>
      </c>
      <c r="R448" s="118">
        <f>VLOOKUP(C448,'Talente &amp; Stuff'!C:AD,16,FALSE)</f>
        <v>0</v>
      </c>
      <c r="S448" s="92">
        <f>VLOOKUP(C448,'Talente &amp; Stuff'!C:AD,17,FALSE)</f>
        <v>0</v>
      </c>
      <c r="T448" s="92">
        <f>VLOOKUP(C448,'Talente &amp; Stuff'!C:AD,18,FALSE)</f>
        <v>0</v>
      </c>
      <c r="U448" s="154">
        <f>VLOOKUP(C448,'Talente &amp; Stuff'!C:AD,19,FALSE)</f>
        <v>0</v>
      </c>
      <c r="V448" s="116">
        <f>VLOOKUP(C448,'Talente &amp; Stuff'!C:AD,20,FALSE)</f>
        <v>0</v>
      </c>
      <c r="W448" s="126">
        <f>VLOOKUP(C448,'Talente &amp; Stuff'!C:AD,21,FALSE)</f>
        <v>0</v>
      </c>
      <c r="X448" s="126">
        <f>VLOOKUP(C448,'Talente &amp; Stuff'!C:AD,22,FALSE)</f>
        <v>0</v>
      </c>
      <c r="Y448" s="175">
        <f>VLOOKUP(C448,Ausgewählte_Zeremonien_Allgemein,23,FALSE)</f>
        <v>0</v>
      </c>
      <c r="Z448" s="198">
        <f>VLOOKUP(C448,Ausgewählte_Zeremonien_Allgemein,24,FALSE)</f>
        <v>0</v>
      </c>
      <c r="AA448" s="158">
        <f>VLOOKUP(C448,'Talente &amp; Stuff'!C:AD,25,FALSE)</f>
        <v>0</v>
      </c>
      <c r="AB448" s="91">
        <f>VLOOKUP(C448,'Talente &amp; Stuff'!C:AD,26,FALSE)</f>
        <v>0</v>
      </c>
      <c r="AC448" s="126">
        <f>VLOOKUP(C448,'Talente &amp; Stuff'!C:AD,27,FALSE)</f>
        <v>0</v>
      </c>
      <c r="AD448" s="158">
        <f>VLOOKUP(C448,'Talente &amp; Stuff'!C:AD,28,FALSE)</f>
        <v>0</v>
      </c>
      <c r="AE448" s="28"/>
    </row>
    <row r="449" spans="2:31" hidden="1" outlineLevel="2">
      <c r="B449" s="133">
        <v>2</v>
      </c>
      <c r="C449" s="164" t="s">
        <v>281</v>
      </c>
      <c r="D449" s="159" t="str">
        <f>VLOOKUP(C449,'Talente &amp; Stuff'!C:AD,2,FALSE)</f>
        <v>--/--/--</v>
      </c>
      <c r="E449" s="128" t="str">
        <f>VLOOKUP(C449,'Talente &amp; Stuff'!C:AD,3,FALSE)</f>
        <v>-</v>
      </c>
      <c r="F449" s="115">
        <f>VLOOKUP(C449,'Talente &amp; Stuff'!C:AD,4,FALSE)</f>
        <v>0</v>
      </c>
      <c r="G449" s="122">
        <f>VLOOKUP(C449,'Talente &amp; Stuff'!C:AD,5,FALSE)</f>
        <v>0</v>
      </c>
      <c r="H449" s="122">
        <f>VLOOKUP(C449,'Talente &amp; Stuff'!C:AD,6,FALSE)</f>
        <v>0</v>
      </c>
      <c r="I449" s="122">
        <f>VLOOKUP(C449,'Talente &amp; Stuff'!C:AD,7,FALSE)</f>
        <v>0</v>
      </c>
      <c r="J449" s="122">
        <f>VLOOKUP(C449,'Talente &amp; Stuff'!C:AD,8,FALSE)</f>
        <v>0</v>
      </c>
      <c r="K449" s="122">
        <f>VLOOKUP(C449,'Talente &amp; Stuff'!C:AD,9,FALSE)</f>
        <v>0</v>
      </c>
      <c r="L449" s="122">
        <f>VLOOKUP(C449,'Talente &amp; Stuff'!C:AD,10,FALSE)</f>
        <v>0</v>
      </c>
      <c r="M449" s="123">
        <f>VLOOKUP(C449,'Talente &amp; Stuff'!C:AD,11,FALSE)</f>
        <v>0</v>
      </c>
      <c r="N449" s="88">
        <f>VLOOKUP(C449,'Talente &amp; Stuff'!C:AD,12,FALSE)</f>
        <v>0</v>
      </c>
      <c r="O449" s="88">
        <f>VLOOKUP(C449,'Talente &amp; Stuff'!C:AD,13,FALSE)</f>
        <v>0</v>
      </c>
      <c r="P449" s="123">
        <f>VLOOKUP(C449,'Talente &amp; Stuff'!C:AD,14,FALSE)</f>
        <v>0</v>
      </c>
      <c r="Q449" s="115">
        <f>VLOOKUP(C449,'Talente &amp; Stuff'!C:AD,15,FALSE)</f>
        <v>0</v>
      </c>
      <c r="R449" s="122">
        <f>VLOOKUP(C449,'Talente &amp; Stuff'!C:AD,16,FALSE)</f>
        <v>0</v>
      </c>
      <c r="S449" s="123">
        <f>VLOOKUP(C449,'Talente &amp; Stuff'!C:AD,17,FALSE)</f>
        <v>0</v>
      </c>
      <c r="T449" s="123">
        <f>VLOOKUP(C449,'Talente &amp; Stuff'!C:AD,18,FALSE)</f>
        <v>0</v>
      </c>
      <c r="U449" s="90">
        <f>VLOOKUP(C449,'Talente &amp; Stuff'!C:AD,19,FALSE)</f>
        <v>0</v>
      </c>
      <c r="V449" s="88">
        <f>VLOOKUP(C449,'Talente &amp; Stuff'!C:AD,20,FALSE)</f>
        <v>0</v>
      </c>
      <c r="W449" s="128">
        <f>VLOOKUP(C449,'Talente &amp; Stuff'!C:AD,21,FALSE)</f>
        <v>0</v>
      </c>
      <c r="X449" s="128">
        <f>VLOOKUP(C449,'Talente &amp; Stuff'!C:AD,22,FALSE)</f>
        <v>0</v>
      </c>
      <c r="Y449" s="175">
        <f>VLOOKUP(C449,Ausgewählte_Zeremonien_Allgemein,23,FALSE)</f>
        <v>0</v>
      </c>
      <c r="Z449" s="198">
        <f>VLOOKUP(C449,Ausgewählte_Zeremonien_Allgemein,24,FALSE)</f>
        <v>0</v>
      </c>
      <c r="AA449" s="159">
        <f>VLOOKUP(C449,'Talente &amp; Stuff'!C:AD,25,FALSE)</f>
        <v>0</v>
      </c>
      <c r="AB449" s="161">
        <f>VLOOKUP(C449,'Talente &amp; Stuff'!C:AD,26,FALSE)</f>
        <v>0</v>
      </c>
      <c r="AC449" s="128">
        <f>VLOOKUP(C449,'Talente &amp; Stuff'!C:AD,27,FALSE)</f>
        <v>0</v>
      </c>
      <c r="AD449" s="159">
        <f>VLOOKUP(C449,'Talente &amp; Stuff'!C:AD,28,FALSE)</f>
        <v>0</v>
      </c>
      <c r="AE449" s="28"/>
    </row>
    <row r="450" spans="2:31" hidden="1" outlineLevel="1" collapsed="1">
      <c r="B450" s="134" t="s">
        <v>326</v>
      </c>
      <c r="C450" s="83"/>
      <c r="D450" s="84"/>
      <c r="E450" s="84"/>
      <c r="F450" s="148"/>
      <c r="G450" s="148"/>
      <c r="H450" s="148"/>
      <c r="I450" s="148"/>
      <c r="J450" s="148"/>
      <c r="K450" s="148"/>
      <c r="L450" s="148"/>
      <c r="M450" s="148"/>
      <c r="N450" s="148"/>
      <c r="O450" s="148"/>
      <c r="P450" s="148"/>
      <c r="Q450" s="148"/>
      <c r="R450" s="148"/>
      <c r="S450" s="148"/>
      <c r="T450" s="148"/>
      <c r="U450" s="148"/>
      <c r="V450" s="148"/>
      <c r="W450" s="148"/>
      <c r="X450" s="148"/>
    </row>
    <row r="451" spans="2:31" hidden="1" outlineLevel="2">
      <c r="B451" s="133">
        <v>0</v>
      </c>
      <c r="C451" s="134"/>
      <c r="D451" s="40"/>
      <c r="E451" s="182"/>
      <c r="F451" s="17"/>
      <c r="G451" s="183"/>
      <c r="H451" s="183"/>
      <c r="I451" s="183"/>
      <c r="J451" s="183"/>
      <c r="K451" s="183"/>
      <c r="L451" s="183"/>
      <c r="M451" s="180"/>
      <c r="N451" s="179"/>
      <c r="O451" s="179"/>
      <c r="P451" s="180"/>
      <c r="Q451" s="17"/>
      <c r="R451" s="183"/>
      <c r="S451" s="180"/>
      <c r="T451" s="180"/>
      <c r="U451" s="166"/>
      <c r="V451" s="179"/>
      <c r="W451" s="182"/>
      <c r="X451" s="182"/>
      <c r="Y451" s="134"/>
      <c r="Z451" s="198"/>
      <c r="AA451" s="40"/>
      <c r="AB451" s="189"/>
      <c r="AC451" s="182"/>
      <c r="AD451" s="40"/>
      <c r="AE451" s="28"/>
    </row>
    <row r="452" spans="2:31" hidden="1" outlineLevel="1" collapsed="1">
      <c r="B452" s="134" t="s">
        <v>325</v>
      </c>
      <c r="C452" s="83"/>
      <c r="D452" s="84"/>
      <c r="E452" s="84"/>
      <c r="F452" s="148"/>
      <c r="G452" s="148"/>
      <c r="H452" s="148"/>
      <c r="I452" s="148"/>
      <c r="J452" s="148"/>
      <c r="K452" s="148"/>
      <c r="L452" s="148"/>
      <c r="M452" s="148"/>
      <c r="N452" s="148"/>
      <c r="O452" s="148"/>
      <c r="P452" s="148"/>
      <c r="Q452" s="148"/>
      <c r="R452" s="148"/>
      <c r="S452" s="148"/>
      <c r="T452" s="148"/>
      <c r="U452" s="148"/>
      <c r="V452" s="148"/>
      <c r="W452" s="148"/>
      <c r="X452" s="148"/>
    </row>
    <row r="453" spans="2:31" hidden="1" outlineLevel="2">
      <c r="B453" s="133">
        <v>0</v>
      </c>
      <c r="C453" s="134"/>
      <c r="D453" s="40"/>
      <c r="E453" s="182"/>
      <c r="F453" s="17"/>
      <c r="G453" s="183"/>
      <c r="H453" s="183"/>
      <c r="I453" s="183"/>
      <c r="J453" s="183"/>
      <c r="K453" s="183"/>
      <c r="L453" s="183"/>
      <c r="M453" s="180"/>
      <c r="N453" s="179"/>
      <c r="O453" s="179"/>
      <c r="P453" s="180"/>
      <c r="Q453" s="17"/>
      <c r="R453" s="183"/>
      <c r="S453" s="180"/>
      <c r="T453" s="180"/>
      <c r="U453" s="166"/>
      <c r="V453" s="179"/>
      <c r="W453" s="182"/>
      <c r="X453" s="182"/>
      <c r="Y453" s="134"/>
      <c r="Z453" s="198"/>
      <c r="AA453" s="40"/>
      <c r="AB453" s="189"/>
      <c r="AC453" s="182"/>
      <c r="AD453" s="40"/>
      <c r="AE453" s="28"/>
    </row>
    <row r="454" spans="2:31" hidden="1" outlineLevel="1" collapsed="1">
      <c r="B454" s="134" t="s">
        <v>324</v>
      </c>
      <c r="C454" s="83"/>
      <c r="D454" s="84"/>
      <c r="E454" s="84"/>
      <c r="F454" s="148"/>
      <c r="G454" s="148"/>
      <c r="H454" s="148"/>
      <c r="I454" s="148"/>
      <c r="J454" s="148"/>
      <c r="K454" s="148"/>
      <c r="L454" s="148"/>
      <c r="M454" s="148"/>
      <c r="N454" s="148"/>
      <c r="O454" s="148"/>
      <c r="P454" s="148"/>
      <c r="Q454" s="148"/>
      <c r="R454" s="148"/>
      <c r="S454" s="148"/>
      <c r="T454" s="148"/>
      <c r="U454" s="148"/>
      <c r="V454" s="148"/>
      <c r="W454" s="148"/>
      <c r="X454" s="148"/>
    </row>
    <row r="455" spans="2:31" hidden="1" outlineLevel="2">
      <c r="B455" s="133">
        <v>1</v>
      </c>
      <c r="C455" s="181" t="s">
        <v>281</v>
      </c>
      <c r="D455" s="40" t="str">
        <f>VLOOKUP(C455,'Talente &amp; Stuff'!C:AD,2,FALSE)</f>
        <v>--/--/--</v>
      </c>
      <c r="E455" s="182" t="str">
        <f>VLOOKUP(C455,'Talente &amp; Stuff'!C:AD,3,FALSE)</f>
        <v>-</v>
      </c>
      <c r="F455" s="17">
        <f>VLOOKUP(C455,'Talente &amp; Stuff'!C:AD,4,FALSE)</f>
        <v>0</v>
      </c>
      <c r="G455" s="183">
        <f>VLOOKUP(C455,'Talente &amp; Stuff'!C:AD,5,FALSE)</f>
        <v>0</v>
      </c>
      <c r="H455" s="183">
        <f>VLOOKUP(C455,'Talente &amp; Stuff'!C:AD,6,FALSE)</f>
        <v>0</v>
      </c>
      <c r="I455" s="183">
        <f>VLOOKUP(C455,'Talente &amp; Stuff'!C:AD,7,FALSE)</f>
        <v>0</v>
      </c>
      <c r="J455" s="183">
        <f>VLOOKUP(C455,'Talente &amp; Stuff'!C:AD,8,FALSE)</f>
        <v>0</v>
      </c>
      <c r="K455" s="183">
        <f>VLOOKUP(C455,'Talente &amp; Stuff'!C:AD,9,FALSE)</f>
        <v>0</v>
      </c>
      <c r="L455" s="183">
        <f>VLOOKUP(C455,'Talente &amp; Stuff'!C:AD,10,FALSE)</f>
        <v>0</v>
      </c>
      <c r="M455" s="180">
        <f>VLOOKUP(C455,'Talente &amp; Stuff'!C:AD,11,FALSE)</f>
        <v>0</v>
      </c>
      <c r="N455" s="179">
        <f>VLOOKUP(C455,'Talente &amp; Stuff'!C:AD,12,FALSE)</f>
        <v>0</v>
      </c>
      <c r="O455" s="179">
        <f>VLOOKUP(C455,'Talente &amp; Stuff'!C:AD,13,FALSE)</f>
        <v>0</v>
      </c>
      <c r="P455" s="180">
        <f>VLOOKUP(C455,'Talente &amp; Stuff'!C:AD,14,FALSE)</f>
        <v>0</v>
      </c>
      <c r="Q455" s="17">
        <f>VLOOKUP(C455,'Talente &amp; Stuff'!C:AD,15,FALSE)</f>
        <v>0</v>
      </c>
      <c r="R455" s="183">
        <f>VLOOKUP(C455,'Talente &amp; Stuff'!C:AD,16,FALSE)</f>
        <v>0</v>
      </c>
      <c r="S455" s="180">
        <f>VLOOKUP(C455,'Talente &amp; Stuff'!C:AD,17,FALSE)</f>
        <v>0</v>
      </c>
      <c r="T455" s="180">
        <f>VLOOKUP(C455,'Talente &amp; Stuff'!C:AD,18,FALSE)</f>
        <v>0</v>
      </c>
      <c r="U455" s="166">
        <f>VLOOKUP(C455,'Talente &amp; Stuff'!C:AD,19,FALSE)</f>
        <v>0</v>
      </c>
      <c r="V455" s="179">
        <f>VLOOKUP(C455,'Talente &amp; Stuff'!C:AD,20,FALSE)</f>
        <v>0</v>
      </c>
      <c r="W455" s="182">
        <f>VLOOKUP(C455,'Talente &amp; Stuff'!C:AD,21,FALSE)</f>
        <v>0</v>
      </c>
      <c r="X455" s="182">
        <f>VLOOKUP(C455,'Talente &amp; Stuff'!C:AD,22,FALSE)</f>
        <v>0</v>
      </c>
      <c r="Y455" s="175">
        <f>VLOOKUP(C455,Ausgewählte_Zeremonien_Peraine,23,FALSE)</f>
        <v>0</v>
      </c>
      <c r="Z455" s="198">
        <f>VLOOKUP(C455,Ausgewählte_Zeremonien_Peraine,24,FALSE)</f>
        <v>0</v>
      </c>
      <c r="AA455" s="40">
        <f>VLOOKUP(C455,'Talente &amp; Stuff'!C:AD,25,FALSE)</f>
        <v>0</v>
      </c>
      <c r="AB455" s="151">
        <f>VLOOKUP(C455,'Talente &amp; Stuff'!C:AD,26,FALSE)</f>
        <v>0</v>
      </c>
      <c r="AC455" s="182">
        <f>VLOOKUP(C455,'Talente &amp; Stuff'!C:AD,27,FALSE)</f>
        <v>0</v>
      </c>
      <c r="AD455" s="40">
        <f>VLOOKUP(C455,'Talente &amp; Stuff'!C:AD,28,FALSE)</f>
        <v>0</v>
      </c>
      <c r="AE455" s="28"/>
    </row>
    <row r="456" spans="2:31" hidden="1" outlineLevel="1" collapsed="1">
      <c r="B456" s="134" t="s">
        <v>323</v>
      </c>
      <c r="C456" s="83"/>
      <c r="D456" s="84"/>
      <c r="E456" s="84"/>
      <c r="F456" s="148"/>
      <c r="G456" s="148"/>
      <c r="H456" s="148"/>
      <c r="I456" s="148"/>
      <c r="J456" s="148"/>
      <c r="K456" s="148"/>
      <c r="L456" s="148"/>
      <c r="M456" s="148"/>
      <c r="N456" s="148"/>
      <c r="O456" s="148"/>
      <c r="P456" s="148"/>
      <c r="Q456" s="148"/>
      <c r="R456" s="148"/>
      <c r="S456" s="148"/>
      <c r="T456" s="148"/>
      <c r="U456" s="148"/>
      <c r="V456" s="148"/>
      <c r="W456" s="148"/>
      <c r="X456" s="148"/>
    </row>
    <row r="457" spans="2:31" hidden="1" outlineLevel="2">
      <c r="B457" s="133">
        <v>1</v>
      </c>
      <c r="C457" s="181" t="s">
        <v>281</v>
      </c>
      <c r="D457" s="40" t="str">
        <f>VLOOKUP(C457,'Talente &amp; Stuff'!C:AD,2,FALSE)</f>
        <v>--/--/--</v>
      </c>
      <c r="E457" s="182" t="str">
        <f>VLOOKUP(C457,'Talente &amp; Stuff'!C:AD,3,FALSE)</f>
        <v>-</v>
      </c>
      <c r="F457" s="17">
        <f>VLOOKUP(C457,'Talente &amp; Stuff'!C:AD,4,FALSE)</f>
        <v>0</v>
      </c>
      <c r="G457" s="183">
        <f>VLOOKUP(C457,'Talente &amp; Stuff'!C:AD,5,FALSE)</f>
        <v>0</v>
      </c>
      <c r="H457" s="183">
        <f>VLOOKUP(C457,'Talente &amp; Stuff'!C:AD,6,FALSE)</f>
        <v>0</v>
      </c>
      <c r="I457" s="183">
        <f>VLOOKUP(C457,'Talente &amp; Stuff'!C:AD,7,FALSE)</f>
        <v>0</v>
      </c>
      <c r="J457" s="183">
        <f>VLOOKUP(C457,'Talente &amp; Stuff'!C:AD,8,FALSE)</f>
        <v>0</v>
      </c>
      <c r="K457" s="183">
        <f>VLOOKUP(C457,'Talente &amp; Stuff'!C:AD,9,FALSE)</f>
        <v>0</v>
      </c>
      <c r="L457" s="183">
        <f>VLOOKUP(C457,'Talente &amp; Stuff'!C:AD,10,FALSE)</f>
        <v>0</v>
      </c>
      <c r="M457" s="180">
        <f>VLOOKUP(C457,'Talente &amp; Stuff'!C:AD,11,FALSE)</f>
        <v>0</v>
      </c>
      <c r="N457" s="179">
        <f>VLOOKUP(C457,'Talente &amp; Stuff'!C:AD,12,FALSE)</f>
        <v>0</v>
      </c>
      <c r="O457" s="179">
        <f>VLOOKUP(C457,'Talente &amp; Stuff'!C:AD,13,FALSE)</f>
        <v>0</v>
      </c>
      <c r="P457" s="180">
        <f>VLOOKUP(C457,'Talente &amp; Stuff'!C:AD,14,FALSE)</f>
        <v>0</v>
      </c>
      <c r="Q457" s="17">
        <f>VLOOKUP(C457,'Talente &amp; Stuff'!C:AD,15,FALSE)</f>
        <v>0</v>
      </c>
      <c r="R457" s="183">
        <f>VLOOKUP(C457,'Talente &amp; Stuff'!C:AD,16,FALSE)</f>
        <v>0</v>
      </c>
      <c r="S457" s="180">
        <f>VLOOKUP(C457,'Talente &amp; Stuff'!C:AD,17,FALSE)</f>
        <v>0</v>
      </c>
      <c r="T457" s="180">
        <f>VLOOKUP(C457,'Talente &amp; Stuff'!C:AD,18,FALSE)</f>
        <v>0</v>
      </c>
      <c r="U457" s="166">
        <f>VLOOKUP(C457,'Talente &amp; Stuff'!C:AD,19,FALSE)</f>
        <v>0</v>
      </c>
      <c r="V457" s="179">
        <f>VLOOKUP(C457,'Talente &amp; Stuff'!C:AD,20,FALSE)</f>
        <v>0</v>
      </c>
      <c r="W457" s="182">
        <f>VLOOKUP(C457,'Talente &amp; Stuff'!C:AD,21,FALSE)</f>
        <v>0</v>
      </c>
      <c r="X457" s="182">
        <f>VLOOKUP(C457,'Talente &amp; Stuff'!C:AD,22,FALSE)</f>
        <v>0</v>
      </c>
      <c r="Y457" s="175">
        <f>VLOOKUP(C457,Ausgewählte_Zeremonien_Phex,23,FALSE)</f>
        <v>0</v>
      </c>
      <c r="Z457" s="198">
        <f>VLOOKUP(C457,Ausgewählte_Zeremonien_Phex,24,FALSE)</f>
        <v>0</v>
      </c>
      <c r="AA457" s="40">
        <f>VLOOKUP(C457,'Talente &amp; Stuff'!C:AD,25,FALSE)</f>
        <v>0</v>
      </c>
      <c r="AB457" s="151">
        <f>VLOOKUP(C457,'Talente &amp; Stuff'!C:AD,26,FALSE)</f>
        <v>0</v>
      </c>
      <c r="AC457" s="182">
        <f>VLOOKUP(C457,'Talente &amp; Stuff'!C:AD,27,FALSE)</f>
        <v>0</v>
      </c>
      <c r="AD457" s="40">
        <f>VLOOKUP(C457,'Talente &amp; Stuff'!C:AD,28,FALSE)</f>
        <v>0</v>
      </c>
      <c r="AE457" s="28"/>
    </row>
    <row r="458" spans="2:31" hidden="1" outlineLevel="1" collapsed="1">
      <c r="B458" s="134" t="s">
        <v>322</v>
      </c>
      <c r="C458" s="83"/>
      <c r="D458" s="84"/>
      <c r="E458" s="84"/>
      <c r="F458" s="148"/>
      <c r="G458" s="148"/>
      <c r="H458" s="148"/>
      <c r="I458" s="148"/>
      <c r="J458" s="148"/>
      <c r="K458" s="148"/>
      <c r="L458" s="148"/>
      <c r="M458" s="148"/>
      <c r="N458" s="148"/>
      <c r="O458" s="148"/>
      <c r="P458" s="148"/>
      <c r="Q458" s="148"/>
      <c r="R458" s="148"/>
      <c r="S458" s="148"/>
      <c r="T458" s="148"/>
      <c r="U458" s="148"/>
      <c r="V458" s="148"/>
      <c r="W458" s="148"/>
      <c r="X458" s="148"/>
    </row>
    <row r="459" spans="2:31" hidden="1" outlineLevel="2">
      <c r="B459" s="133">
        <v>0</v>
      </c>
      <c r="C459" s="134"/>
      <c r="D459" s="40"/>
      <c r="E459" s="182"/>
      <c r="F459" s="17"/>
      <c r="G459" s="183"/>
      <c r="H459" s="183"/>
      <c r="I459" s="183"/>
      <c r="J459" s="183"/>
      <c r="K459" s="183"/>
      <c r="L459" s="183"/>
      <c r="M459" s="180"/>
      <c r="N459" s="179"/>
      <c r="O459" s="179"/>
      <c r="P459" s="180"/>
      <c r="Q459" s="17"/>
      <c r="R459" s="183"/>
      <c r="S459" s="180"/>
      <c r="T459" s="180"/>
      <c r="U459" s="166"/>
      <c r="V459" s="179"/>
      <c r="W459" s="182"/>
      <c r="X459" s="182"/>
      <c r="Y459" s="134"/>
      <c r="Z459" s="198"/>
      <c r="AA459" s="40"/>
      <c r="AB459" s="189"/>
      <c r="AC459" s="182"/>
      <c r="AD459" s="40"/>
      <c r="AE459" s="28"/>
    </row>
    <row r="460" spans="2:31" hidden="1" outlineLevel="1" collapsed="1">
      <c r="B460" s="134" t="s">
        <v>321</v>
      </c>
      <c r="C460" s="83"/>
      <c r="D460" s="84"/>
      <c r="E460" s="84"/>
      <c r="F460" s="148"/>
      <c r="G460" s="148"/>
      <c r="H460" s="148"/>
      <c r="I460" s="148"/>
      <c r="J460" s="148"/>
      <c r="K460" s="148"/>
      <c r="L460" s="148"/>
      <c r="M460" s="148"/>
      <c r="N460" s="148"/>
      <c r="O460" s="148"/>
      <c r="P460" s="148"/>
      <c r="Q460" s="148"/>
      <c r="R460" s="148"/>
      <c r="S460" s="148"/>
      <c r="T460" s="148"/>
      <c r="U460" s="148"/>
      <c r="V460" s="148"/>
      <c r="W460" s="148"/>
      <c r="X460" s="148"/>
    </row>
    <row r="461" spans="2:31" hidden="1" outlineLevel="2">
      <c r="B461" s="133">
        <v>1</v>
      </c>
      <c r="C461" s="162" t="s">
        <v>281</v>
      </c>
      <c r="D461" s="158" t="str">
        <f>VLOOKUP(C461,'Talente &amp; Stuff'!C:AD,2,FALSE)</f>
        <v>--/--/--</v>
      </c>
      <c r="E461" s="126" t="str">
        <f>VLOOKUP(C461,'Talente &amp; Stuff'!C:AD,3,FALSE)</f>
        <v>-</v>
      </c>
      <c r="F461" s="152">
        <f>VLOOKUP(C461,'Talente &amp; Stuff'!C:AD,4,FALSE)</f>
        <v>0</v>
      </c>
      <c r="G461" s="118">
        <f>VLOOKUP(C461,'Talente &amp; Stuff'!C:AD,5,FALSE)</f>
        <v>0</v>
      </c>
      <c r="H461" s="118">
        <f>VLOOKUP(C461,'Talente &amp; Stuff'!C:AD,6,FALSE)</f>
        <v>0</v>
      </c>
      <c r="I461" s="118">
        <f>VLOOKUP(C461,'Talente &amp; Stuff'!C:AD,7,FALSE)</f>
        <v>0</v>
      </c>
      <c r="J461" s="118">
        <f>VLOOKUP(C461,'Talente &amp; Stuff'!C:AD,8,FALSE)</f>
        <v>0</v>
      </c>
      <c r="K461" s="118">
        <f>VLOOKUP(C461,'Talente &amp; Stuff'!C:AD,9,FALSE)</f>
        <v>0</v>
      </c>
      <c r="L461" s="118">
        <f>VLOOKUP(C461,'Talente &amp; Stuff'!C:AD,10,FALSE)</f>
        <v>0</v>
      </c>
      <c r="M461" s="92">
        <f>VLOOKUP(C461,'Talente &amp; Stuff'!C:AD,11,FALSE)</f>
        <v>0</v>
      </c>
      <c r="N461" s="116">
        <f>VLOOKUP(C461,'Talente &amp; Stuff'!C:AD,12,FALSE)</f>
        <v>0</v>
      </c>
      <c r="O461" s="116">
        <f>VLOOKUP(C461,'Talente &amp; Stuff'!C:AD,13,FALSE)</f>
        <v>0</v>
      </c>
      <c r="P461" s="92">
        <f>VLOOKUP(C461,'Talente &amp; Stuff'!C:AD,14,FALSE)</f>
        <v>0</v>
      </c>
      <c r="Q461" s="152">
        <f>VLOOKUP(C461,'Talente &amp; Stuff'!C:AD,15,FALSE)</f>
        <v>0</v>
      </c>
      <c r="R461" s="118">
        <f>VLOOKUP(C461,'Talente &amp; Stuff'!C:AD,16,FALSE)</f>
        <v>0</v>
      </c>
      <c r="S461" s="92">
        <f>VLOOKUP(C461,'Talente &amp; Stuff'!C:AD,17,FALSE)</f>
        <v>0</v>
      </c>
      <c r="T461" s="92">
        <f>VLOOKUP(C461,'Talente &amp; Stuff'!C:AD,18,FALSE)</f>
        <v>0</v>
      </c>
      <c r="U461" s="154">
        <f>VLOOKUP(C461,'Talente &amp; Stuff'!C:AD,19,FALSE)</f>
        <v>0</v>
      </c>
      <c r="V461" s="116">
        <f>VLOOKUP(C461,'Talente &amp; Stuff'!C:AD,20,FALSE)</f>
        <v>0</v>
      </c>
      <c r="W461" s="126">
        <f>VLOOKUP(C461,'Talente &amp; Stuff'!C:AD,21,FALSE)</f>
        <v>0</v>
      </c>
      <c r="X461" s="126">
        <f>VLOOKUP(C461,'Talente &amp; Stuff'!C:AD,22,FALSE)</f>
        <v>0</v>
      </c>
      <c r="Y461" s="175">
        <f>VLOOKUP(C461,Ausgewählte_Zeremonien_Rondra,23,FALSE)</f>
        <v>0</v>
      </c>
      <c r="Z461" s="198">
        <f>VLOOKUP(C461,Ausgewählte_Zeremonien_Rondra,24,FALSE)</f>
        <v>0</v>
      </c>
      <c r="AA461" s="158">
        <f>VLOOKUP(C461,'Talente &amp; Stuff'!C:AD,25,FALSE)</f>
        <v>0</v>
      </c>
      <c r="AB461" s="91">
        <f>VLOOKUP(C461,'Talente &amp; Stuff'!C:AD,26,FALSE)</f>
        <v>0</v>
      </c>
      <c r="AC461" s="126">
        <f>VLOOKUP(C461,'Talente &amp; Stuff'!C:AD,27,FALSE)</f>
        <v>0</v>
      </c>
      <c r="AD461" s="158">
        <f>VLOOKUP(C461,'Talente &amp; Stuff'!C:AD,28,FALSE)</f>
        <v>0</v>
      </c>
      <c r="AE461" s="28"/>
    </row>
    <row r="462" spans="2:31" hidden="1" outlineLevel="2">
      <c r="B462" s="133">
        <v>2</v>
      </c>
      <c r="C462" s="164" t="s">
        <v>281</v>
      </c>
      <c r="D462" s="159" t="str">
        <f>VLOOKUP(C462,'Talente &amp; Stuff'!C:AD,2,FALSE)</f>
        <v>--/--/--</v>
      </c>
      <c r="E462" s="128" t="str">
        <f>VLOOKUP(C462,'Talente &amp; Stuff'!C:AD,3,FALSE)</f>
        <v>-</v>
      </c>
      <c r="F462" s="115">
        <f>VLOOKUP(C462,'Talente &amp; Stuff'!C:AD,4,FALSE)</f>
        <v>0</v>
      </c>
      <c r="G462" s="122">
        <f>VLOOKUP(C462,'Talente &amp; Stuff'!C:AD,5,FALSE)</f>
        <v>0</v>
      </c>
      <c r="H462" s="122">
        <f>VLOOKUP(C462,'Talente &amp; Stuff'!C:AD,6,FALSE)</f>
        <v>0</v>
      </c>
      <c r="I462" s="122">
        <f>VLOOKUP(C462,'Talente &amp; Stuff'!C:AD,7,FALSE)</f>
        <v>0</v>
      </c>
      <c r="J462" s="122">
        <f>VLOOKUP(C462,'Talente &amp; Stuff'!C:AD,8,FALSE)</f>
        <v>0</v>
      </c>
      <c r="K462" s="122">
        <f>VLOOKUP(C462,'Talente &amp; Stuff'!C:AD,9,FALSE)</f>
        <v>0</v>
      </c>
      <c r="L462" s="122">
        <f>VLOOKUP(C462,'Talente &amp; Stuff'!C:AD,10,FALSE)</f>
        <v>0</v>
      </c>
      <c r="M462" s="123">
        <f>VLOOKUP(C462,'Talente &amp; Stuff'!C:AD,11,FALSE)</f>
        <v>0</v>
      </c>
      <c r="N462" s="88">
        <f>VLOOKUP(C462,'Talente &amp; Stuff'!C:AD,12,FALSE)</f>
        <v>0</v>
      </c>
      <c r="O462" s="88">
        <f>VLOOKUP(C462,'Talente &amp; Stuff'!C:AD,13,FALSE)</f>
        <v>0</v>
      </c>
      <c r="P462" s="123">
        <f>VLOOKUP(C462,'Talente &amp; Stuff'!C:AD,14,FALSE)</f>
        <v>0</v>
      </c>
      <c r="Q462" s="115">
        <f>VLOOKUP(C462,'Talente &amp; Stuff'!C:AD,15,FALSE)</f>
        <v>0</v>
      </c>
      <c r="R462" s="122">
        <f>VLOOKUP(C462,'Talente &amp; Stuff'!C:AD,16,FALSE)</f>
        <v>0</v>
      </c>
      <c r="S462" s="123">
        <f>VLOOKUP(C462,'Talente &amp; Stuff'!C:AD,17,FALSE)</f>
        <v>0</v>
      </c>
      <c r="T462" s="123">
        <f>VLOOKUP(C462,'Talente &amp; Stuff'!C:AD,18,FALSE)</f>
        <v>0</v>
      </c>
      <c r="U462" s="90">
        <f>VLOOKUP(C462,'Talente &amp; Stuff'!C:AD,19,FALSE)</f>
        <v>0</v>
      </c>
      <c r="V462" s="88">
        <f>VLOOKUP(C462,'Talente &amp; Stuff'!C:AD,20,FALSE)</f>
        <v>0</v>
      </c>
      <c r="W462" s="128">
        <f>VLOOKUP(C462,'Talente &amp; Stuff'!C:AD,21,FALSE)</f>
        <v>0</v>
      </c>
      <c r="X462" s="128">
        <f>VLOOKUP(C462,'Talente &amp; Stuff'!C:AD,22,FALSE)</f>
        <v>0</v>
      </c>
      <c r="Y462" s="175">
        <f>VLOOKUP(C462,Ausgewählte_Zeremonien_Rondra,23,FALSE)</f>
        <v>0</v>
      </c>
      <c r="Z462" s="198">
        <f>VLOOKUP(C462,Ausgewählte_Zeremonien_Rondra,24,FALSE)</f>
        <v>0</v>
      </c>
      <c r="AA462" s="159">
        <f>VLOOKUP(C462,'Talente &amp; Stuff'!C:AD,25,FALSE)</f>
        <v>0</v>
      </c>
      <c r="AB462" s="161">
        <f>VLOOKUP(C462,'Talente &amp; Stuff'!C:AD,26,FALSE)</f>
        <v>0</v>
      </c>
      <c r="AC462" s="128">
        <f>VLOOKUP(C462,'Talente &amp; Stuff'!C:AD,27,FALSE)</f>
        <v>0</v>
      </c>
      <c r="AD462" s="159">
        <f>VLOOKUP(C462,'Talente &amp; Stuff'!C:AD,28,FALSE)</f>
        <v>0</v>
      </c>
      <c r="AE462" s="28"/>
    </row>
    <row r="463" spans="2:31" hidden="1" outlineLevel="1" collapsed="1"/>
    <row r="464" spans="2:31" collapsed="1"/>
    <row r="465" spans="3:31" ht="15.75" thickBot="1">
      <c r="C465" s="203"/>
      <c r="D465" s="4"/>
      <c r="E465" s="4"/>
      <c r="F465" s="6"/>
      <c r="G465" s="6"/>
      <c r="H465" s="6"/>
      <c r="I465" s="6"/>
      <c r="J465" s="6"/>
      <c r="K465" s="6"/>
      <c r="L465" s="6"/>
      <c r="M465" s="6"/>
      <c r="N465" s="4"/>
      <c r="O465" s="48"/>
      <c r="P465" s="6"/>
      <c r="Q465" s="101">
        <f>IFERROR(SUM(Q11:Q463)/COUNTIF(Q11:Q463,"&gt;0"),0)</f>
        <v>0</v>
      </c>
      <c r="R465" s="101">
        <f>IFERROR(SUM(R11:R463)/COUNTIF(R11:R463,"&gt;0"),0)</f>
        <v>0</v>
      </c>
      <c r="S465" s="101">
        <f>IFERROR(SUM(S11:S463)/COUNTIF(S11:S463,"&gt;0"),0)</f>
        <v>0</v>
      </c>
      <c r="T465" s="101">
        <f>Q465+R465+S465</f>
        <v>0</v>
      </c>
      <c r="U465" s="4"/>
      <c r="V465" s="4"/>
      <c r="W465" s="4"/>
      <c r="X465" s="4"/>
      <c r="Y465" s="74"/>
      <c r="Z465" s="1"/>
      <c r="AA465" s="4"/>
      <c r="AB465" s="6"/>
      <c r="AC465" s="4"/>
      <c r="AD465" s="27"/>
      <c r="AE465" s="28"/>
    </row>
    <row r="466" spans="3:31" ht="15.75" thickBot="1">
      <c r="C466" s="203"/>
      <c r="D466" s="4"/>
      <c r="E466" s="4"/>
      <c r="F466" s="274" t="s">
        <v>117</v>
      </c>
      <c r="G466" s="275"/>
      <c r="H466" s="275"/>
      <c r="I466" s="275"/>
      <c r="J466" s="275"/>
      <c r="K466" s="275"/>
      <c r="L466" s="276">
        <f>AVERAGE(F468:M468)</f>
        <v>0</v>
      </c>
      <c r="M466" s="277"/>
      <c r="N466" s="4"/>
      <c r="O466" s="4"/>
      <c r="P466" s="6"/>
      <c r="Q466" s="102" t="s">
        <v>113</v>
      </c>
      <c r="R466" s="102" t="s">
        <v>113</v>
      </c>
      <c r="S466" s="102" t="s">
        <v>113</v>
      </c>
      <c r="T466" s="102" t="s">
        <v>113</v>
      </c>
      <c r="U466" s="4"/>
      <c r="V466" s="4"/>
      <c r="W466" s="20" t="s">
        <v>117</v>
      </c>
      <c r="X466" s="19">
        <f>IFERROR(X468/COUNTIF(X11:X463,"&gt;0"),0)</f>
        <v>0</v>
      </c>
      <c r="Y466" s="204">
        <f>IFERROR(Y468/COUNTIF(Y11:Y463,"&gt;0"),0)</f>
        <v>0</v>
      </c>
      <c r="Z466" s="13">
        <f>IFERROR(Z468/COUNTIF(Z11:Z463,"&gt;0"),0)</f>
        <v>0</v>
      </c>
      <c r="AA466" s="19">
        <f>IFERROR(AA468/COUNTIF(AA11:AA463,"&gt;0"),0)</f>
        <v>0</v>
      </c>
      <c r="AB466" s="19">
        <f>IFERROR(SUM(AB11:AB464)/COUNTIF(AB11:AB464,"&gt;0"),0)</f>
        <v>0</v>
      </c>
      <c r="AC466" s="19">
        <f>IFERROR(SUM(AC11:AC464)/COUNTIF(AC11:AC464,"&gt;0"),0)</f>
        <v>0</v>
      </c>
      <c r="AD466" s="24">
        <f>IFERROR(SUM(AD11:AD464)/COUNTIF(AD11:AD464,"&gt;0"),0)</f>
        <v>0</v>
      </c>
      <c r="AE466" s="28"/>
    </row>
    <row r="467" spans="3:31" ht="15.75" thickBot="1">
      <c r="C467" s="203"/>
      <c r="D467" s="4"/>
      <c r="E467" s="4"/>
      <c r="F467" s="65"/>
      <c r="G467" s="65"/>
      <c r="H467" s="65"/>
      <c r="I467" s="65"/>
      <c r="J467" s="65"/>
      <c r="K467" s="65"/>
      <c r="L467" s="65"/>
      <c r="M467" s="65"/>
      <c r="N467" s="4"/>
      <c r="O467" s="4"/>
      <c r="P467" s="6"/>
      <c r="Q467" s="103">
        <f>Konvention_1master^3</f>
        <v>8000</v>
      </c>
      <c r="R467" s="103">
        <f>Konvention_1master^3</f>
        <v>8000</v>
      </c>
      <c r="S467" s="103">
        <f>Konvention_1master^3</f>
        <v>8000</v>
      </c>
      <c r="T467" s="103">
        <f>Konvention_1master^3</f>
        <v>8000</v>
      </c>
      <c r="U467" s="4"/>
      <c r="V467" s="4"/>
      <c r="W467" s="4"/>
      <c r="X467" s="1"/>
      <c r="Y467" s="74"/>
      <c r="Z467" s="1"/>
      <c r="AA467" s="35"/>
      <c r="AB467" s="22"/>
      <c r="AC467" s="35"/>
      <c r="AD467" s="36"/>
      <c r="AE467" s="28"/>
    </row>
    <row r="468" spans="3:31">
      <c r="C468" s="203"/>
      <c r="D468" s="4"/>
      <c r="E468" s="4"/>
      <c r="F468" s="66">
        <f t="shared" ref="F468:P468" si="38">SUM(F11:F463)</f>
        <v>0</v>
      </c>
      <c r="G468" s="66">
        <f t="shared" si="38"/>
        <v>0</v>
      </c>
      <c r="H468" s="66">
        <f t="shared" si="38"/>
        <v>0</v>
      </c>
      <c r="I468" s="66">
        <f t="shared" si="38"/>
        <v>0</v>
      </c>
      <c r="J468" s="66">
        <f t="shared" si="38"/>
        <v>0</v>
      </c>
      <c r="K468" s="66">
        <f t="shared" si="38"/>
        <v>0</v>
      </c>
      <c r="L468" s="66">
        <f t="shared" si="38"/>
        <v>0</v>
      </c>
      <c r="M468" s="66">
        <f t="shared" si="38"/>
        <v>0</v>
      </c>
      <c r="N468" s="10">
        <f t="shared" si="38"/>
        <v>0</v>
      </c>
      <c r="O468" s="11">
        <f t="shared" si="38"/>
        <v>0</v>
      </c>
      <c r="P468" s="104">
        <f t="shared" si="38"/>
        <v>0</v>
      </c>
      <c r="Q468" s="143">
        <f>Q465/Q467</f>
        <v>0</v>
      </c>
      <c r="R468" s="144">
        <f>R465/R467</f>
        <v>0</v>
      </c>
      <c r="S468" s="145">
        <f>S465/S467</f>
        <v>0</v>
      </c>
      <c r="T468" s="146">
        <f>Q468+R468+S468</f>
        <v>0</v>
      </c>
      <c r="U468" s="7">
        <f>IFERROR(N468*Q465/T465,0)</f>
        <v>0</v>
      </c>
      <c r="V468" s="8">
        <f>IFERROR(O468*R465/T465,0)</f>
        <v>0</v>
      </c>
      <c r="W468" s="9">
        <f>IFERROR(P468*S465/T465,0)</f>
        <v>0</v>
      </c>
      <c r="X468" s="7">
        <f>SUMIF(X11:X463,"&gt;0")</f>
        <v>0</v>
      </c>
      <c r="Y468" s="25">
        <f>SUM(Y11:Y463)</f>
        <v>0</v>
      </c>
      <c r="Z468" s="21">
        <f>SUM(Z11:Z463)</f>
        <v>0</v>
      </c>
      <c r="AA468" s="12">
        <f>IFERROR(SUMIF(AA11:AA463,"&gt;0"),0)</f>
        <v>0</v>
      </c>
      <c r="AB468" s="16">
        <f>SUM(AB11:AB463)</f>
        <v>0</v>
      </c>
      <c r="AC468" s="15">
        <f>SUM(AC11:AC463)</f>
        <v>0</v>
      </c>
      <c r="AD468" s="15">
        <f>IFERROR(SUMIF(AD11:AD463,"&gt;0"),0)</f>
        <v>0</v>
      </c>
      <c r="AE468" s="28"/>
    </row>
    <row r="469" spans="3:31" ht="15.75" thickBot="1">
      <c r="C469" s="203"/>
      <c r="D469" s="4"/>
      <c r="E469" s="4"/>
      <c r="F469" s="278" t="s">
        <v>118</v>
      </c>
      <c r="G469" s="279"/>
      <c r="H469" s="279"/>
      <c r="I469" s="279"/>
      <c r="J469" s="279"/>
      <c r="K469" s="279"/>
      <c r="L469" s="279"/>
      <c r="M469" s="280"/>
      <c r="N469" s="281" t="s">
        <v>116</v>
      </c>
      <c r="O469" s="282"/>
      <c r="P469" s="283"/>
      <c r="Q469" s="284" t="s">
        <v>112</v>
      </c>
      <c r="R469" s="285"/>
      <c r="S469" s="286"/>
      <c r="T469" s="80" t="s">
        <v>145</v>
      </c>
      <c r="U469" s="263" t="s">
        <v>123</v>
      </c>
      <c r="V469" s="264"/>
      <c r="W469" s="265"/>
      <c r="X469" s="139" t="s">
        <v>121</v>
      </c>
      <c r="Y469" s="75" t="s">
        <v>122</v>
      </c>
      <c r="Z469" s="49" t="s">
        <v>124</v>
      </c>
      <c r="AA469" s="50" t="s">
        <v>131</v>
      </c>
      <c r="AB469" s="80" t="s">
        <v>154</v>
      </c>
      <c r="AC469" s="50" t="s">
        <v>156</v>
      </c>
      <c r="AD469" s="51" t="s">
        <v>136</v>
      </c>
      <c r="AE469" s="28"/>
    </row>
    <row r="470" spans="3:31" ht="15.75" thickBot="1">
      <c r="C470" s="203"/>
      <c r="D470" s="4"/>
      <c r="E470" s="4"/>
      <c r="F470" s="6"/>
      <c r="G470" s="6"/>
      <c r="H470" s="6"/>
      <c r="I470" s="6"/>
      <c r="J470" s="6"/>
      <c r="K470" s="6"/>
      <c r="L470" s="6"/>
      <c r="M470" s="6"/>
      <c r="N470" s="4"/>
      <c r="O470" s="4"/>
      <c r="P470" s="6"/>
      <c r="Q470" s="6"/>
      <c r="R470" s="6"/>
      <c r="S470" s="6"/>
      <c r="T470" s="6"/>
      <c r="U470" s="4"/>
      <c r="V470" s="4"/>
      <c r="W470" s="4"/>
      <c r="X470" s="4"/>
      <c r="Y470" s="76"/>
      <c r="Z470" s="1"/>
      <c r="AA470" s="35"/>
      <c r="AB470" s="22"/>
      <c r="AC470" s="35"/>
      <c r="AD470" s="36"/>
      <c r="AE470" s="28"/>
    </row>
    <row r="471" spans="3:31" ht="20.25" thickTop="1" thickBot="1">
      <c r="C471" s="52" t="s">
        <v>147</v>
      </c>
      <c r="D471" s="53"/>
      <c r="E471" s="53"/>
      <c r="F471" s="96"/>
      <c r="G471" s="96"/>
      <c r="H471" s="96"/>
      <c r="I471" s="96"/>
      <c r="J471" s="96"/>
      <c r="K471" s="96"/>
      <c r="L471" s="96"/>
      <c r="M471" s="96"/>
      <c r="N471" s="53"/>
      <c r="O471" s="53"/>
      <c r="P471" s="96"/>
      <c r="Q471" s="96"/>
      <c r="R471" s="96"/>
      <c r="S471" s="96"/>
      <c r="T471" s="105"/>
      <c r="U471" s="4"/>
      <c r="V471" s="4"/>
      <c r="W471" s="4"/>
      <c r="X471" s="4"/>
      <c r="Y471" s="76"/>
      <c r="Z471" s="1"/>
      <c r="AA471" s="35"/>
      <c r="AB471" s="22"/>
      <c r="AC471" s="35"/>
      <c r="AD471" s="36"/>
      <c r="AE471" s="28"/>
    </row>
    <row r="472" spans="3:31" ht="16.5" thickTop="1" thickBot="1">
      <c r="C472" s="54"/>
      <c r="D472" s="3"/>
      <c r="E472" s="55"/>
      <c r="F472" s="56" t="s">
        <v>0</v>
      </c>
      <c r="G472" s="57" t="s">
        <v>1</v>
      </c>
      <c r="H472" s="57" t="s">
        <v>2</v>
      </c>
      <c r="I472" s="57" t="s">
        <v>3</v>
      </c>
      <c r="J472" s="57" t="s">
        <v>4</v>
      </c>
      <c r="K472" s="57" t="s">
        <v>5</v>
      </c>
      <c r="L472" s="57" t="s">
        <v>6</v>
      </c>
      <c r="M472" s="58" t="s">
        <v>7</v>
      </c>
      <c r="N472" s="55"/>
      <c r="O472" s="156" t="s">
        <v>334</v>
      </c>
      <c r="P472" s="106" t="s">
        <v>154</v>
      </c>
      <c r="Q472" s="106" t="s">
        <v>144</v>
      </c>
      <c r="R472" s="106" t="s">
        <v>142</v>
      </c>
      <c r="S472" s="107" t="s">
        <v>143</v>
      </c>
      <c r="T472" s="108"/>
      <c r="U472" s="34"/>
      <c r="V472" s="34"/>
      <c r="W472" s="34"/>
      <c r="X472" s="34"/>
      <c r="Y472" s="76"/>
      <c r="Z472" s="1"/>
      <c r="AA472" s="35"/>
      <c r="AB472" s="22"/>
      <c r="AC472" s="35"/>
      <c r="AD472" s="36"/>
      <c r="AE472" s="28"/>
    </row>
    <row r="473" spans="3:31" ht="15.75" thickBot="1">
      <c r="C473" s="54"/>
      <c r="D473" s="3"/>
      <c r="E473" s="55"/>
      <c r="F473" s="55"/>
      <c r="G473" s="55"/>
      <c r="H473" s="55"/>
      <c r="I473" s="55"/>
      <c r="J473" s="55"/>
      <c r="K473" s="55"/>
      <c r="L473" s="55"/>
      <c r="M473" s="55"/>
      <c r="N473" s="55"/>
      <c r="O473" s="81">
        <f>AP_in_Attributen_master</f>
        <v>0</v>
      </c>
      <c r="P473" s="69">
        <f>AP_in_Talenten_master</f>
        <v>0</v>
      </c>
      <c r="Q473" s="157">
        <f>AP_in_Attributen_master+AP_in_Talenten_master</f>
        <v>0</v>
      </c>
      <c r="R473" s="82">
        <f>AP_erhalten_master</f>
        <v>1100</v>
      </c>
      <c r="S473" s="149">
        <f>AP_übrig_master</f>
        <v>1100</v>
      </c>
      <c r="T473" s="108"/>
      <c r="U473" s="34"/>
      <c r="V473" s="34"/>
      <c r="W473" s="34"/>
      <c r="X473" s="34"/>
      <c r="Y473" s="76"/>
      <c r="Z473" s="1"/>
      <c r="AA473" s="35"/>
      <c r="AB473" s="22"/>
      <c r="AC473" s="35"/>
      <c r="AD473" s="36"/>
      <c r="AE473" s="28"/>
    </row>
    <row r="474" spans="3:31" ht="15.75" thickBot="1">
      <c r="C474" s="59"/>
      <c r="D474" s="18">
        <f>AP_investiert_master+AP_noch_master</f>
        <v>0</v>
      </c>
      <c r="E474" s="55"/>
      <c r="F474" s="15">
        <f>AP_investiert_MU+AP_noch_MU</f>
        <v>15</v>
      </c>
      <c r="G474" s="15">
        <f>AP_investiert_KL+AP_noch_KL</f>
        <v>15</v>
      </c>
      <c r="H474" s="15">
        <f>AP_investiert_IN+AP_noch_IN</f>
        <v>15</v>
      </c>
      <c r="I474" s="15">
        <f>AP_investiert_CH+AP_noch_CH</f>
        <v>15</v>
      </c>
      <c r="J474" s="15">
        <f>AP_investiert_FF+AP_noch_FF</f>
        <v>15</v>
      </c>
      <c r="K474" s="15">
        <f>AP_investiert_GE+AP_noch_GE</f>
        <v>15</v>
      </c>
      <c r="L474" s="15">
        <f>AP_investiert_KO+AP_noch_KO</f>
        <v>15</v>
      </c>
      <c r="M474" s="15">
        <f>AP_investiert_KK+AP_noch_KK</f>
        <v>15</v>
      </c>
      <c r="N474" s="55"/>
      <c r="O474" s="3"/>
      <c r="P474" s="26"/>
      <c r="Q474" s="26"/>
      <c r="R474" s="26"/>
      <c r="S474" s="26"/>
      <c r="T474" s="109"/>
      <c r="U474" s="4"/>
      <c r="V474" s="4"/>
      <c r="W474" s="34"/>
      <c r="X474" s="34"/>
      <c r="Y474" s="76"/>
      <c r="Z474" s="1"/>
      <c r="AA474" s="35"/>
      <c r="AB474" s="22"/>
      <c r="AC474" s="35"/>
      <c r="AD474" s="36"/>
      <c r="AE474" s="28"/>
    </row>
    <row r="475" spans="3:31" ht="20.25" thickTop="1" thickBot="1">
      <c r="C475" s="59"/>
      <c r="D475" s="50" t="s">
        <v>140</v>
      </c>
      <c r="E475" s="3"/>
      <c r="F475" s="257" t="s">
        <v>141</v>
      </c>
      <c r="G475" s="258"/>
      <c r="H475" s="258"/>
      <c r="I475" s="258"/>
      <c r="J475" s="258"/>
      <c r="K475" s="258"/>
      <c r="L475" s="258"/>
      <c r="M475" s="259"/>
      <c r="N475" s="55"/>
      <c r="O475" s="266" t="s">
        <v>146</v>
      </c>
      <c r="P475" s="267"/>
      <c r="Q475" s="26"/>
      <c r="R475" s="26"/>
      <c r="S475" s="26"/>
      <c r="T475" s="109"/>
      <c r="U475" s="4"/>
      <c r="V475" s="4"/>
      <c r="W475" s="34"/>
      <c r="X475" s="34"/>
      <c r="Y475" s="76"/>
      <c r="Z475" s="1"/>
      <c r="AA475" s="35"/>
      <c r="AB475" s="22"/>
      <c r="AC475" s="35"/>
      <c r="AD475" s="36"/>
      <c r="AE475" s="28"/>
    </row>
    <row r="476" spans="3:31" ht="16.5" thickTop="1" thickBot="1">
      <c r="C476" s="59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55"/>
      <c r="O476" s="268" t="s">
        <v>341</v>
      </c>
      <c r="P476" s="269"/>
      <c r="Q476" s="269"/>
      <c r="R476" s="269"/>
      <c r="S476" s="269"/>
      <c r="T476" s="270"/>
      <c r="U476" s="34"/>
      <c r="V476" s="34"/>
      <c r="W476" s="34"/>
      <c r="X476" s="34"/>
      <c r="Y476" s="76"/>
      <c r="Z476" s="1"/>
      <c r="AA476" s="35"/>
      <c r="AB476" s="22"/>
      <c r="AC476" s="35"/>
      <c r="AD476" s="36"/>
      <c r="AE476" s="28"/>
    </row>
    <row r="477" spans="3:31">
      <c r="C477" s="59"/>
      <c r="D477" s="3"/>
      <c r="E477" s="3"/>
      <c r="F477" s="100">
        <f>F474-D474</f>
        <v>15</v>
      </c>
      <c r="G477" s="100">
        <f>G474-D474</f>
        <v>15</v>
      </c>
      <c r="H477" s="100">
        <f>H474-D474</f>
        <v>15</v>
      </c>
      <c r="I477" s="100">
        <f>I474-D474</f>
        <v>15</v>
      </c>
      <c r="J477" s="100">
        <f>J474-D474</f>
        <v>15</v>
      </c>
      <c r="K477" s="100">
        <f>K474-D474</f>
        <v>15</v>
      </c>
      <c r="L477" s="100">
        <f>L474-D474</f>
        <v>15</v>
      </c>
      <c r="M477" s="100">
        <f>M474-D474</f>
        <v>15</v>
      </c>
      <c r="N477" s="60" t="s">
        <v>335</v>
      </c>
      <c r="O477" s="271" t="s">
        <v>342</v>
      </c>
      <c r="P477" s="272"/>
      <c r="Q477" s="272"/>
      <c r="R477" s="272"/>
      <c r="S477" s="272"/>
      <c r="T477" s="273"/>
      <c r="U477" s="34"/>
      <c r="V477" s="34"/>
      <c r="W477" s="34"/>
      <c r="X477" s="34"/>
      <c r="Y477" s="76"/>
      <c r="Z477" s="1"/>
      <c r="AA477" s="35"/>
      <c r="AB477" s="22"/>
      <c r="AC477" s="35"/>
      <c r="AD477" s="36"/>
      <c r="AE477" s="28"/>
    </row>
    <row r="478" spans="3:31" ht="15.75" thickBot="1">
      <c r="C478" s="59"/>
      <c r="D478" s="3"/>
      <c r="E478" s="3"/>
      <c r="F478" s="257" t="s">
        <v>158</v>
      </c>
      <c r="G478" s="258"/>
      <c r="H478" s="258"/>
      <c r="I478" s="258"/>
      <c r="J478" s="258"/>
      <c r="K478" s="258"/>
      <c r="L478" s="258"/>
      <c r="M478" s="259"/>
      <c r="N478" s="55"/>
      <c r="O478" s="260" t="s">
        <v>340</v>
      </c>
      <c r="P478" s="261"/>
      <c r="Q478" s="261"/>
      <c r="R478" s="261"/>
      <c r="S478" s="261"/>
      <c r="T478" s="262"/>
      <c r="U478" s="61"/>
      <c r="V478" s="61"/>
      <c r="W478" s="61"/>
      <c r="X478" s="61"/>
      <c r="Y478" s="77"/>
      <c r="Z478" s="1"/>
      <c r="AA478" s="35"/>
      <c r="AB478" s="22"/>
      <c r="AC478" s="35"/>
      <c r="AD478" s="36"/>
      <c r="AE478" s="28"/>
    </row>
    <row r="479" spans="3:31" ht="16.5" thickTop="1" thickBot="1">
      <c r="C479" s="62"/>
      <c r="D479" s="63"/>
      <c r="E479" s="63"/>
      <c r="F479" s="97"/>
      <c r="G479" s="97"/>
      <c r="H479" s="97"/>
      <c r="I479" s="97"/>
      <c r="J479" s="97"/>
      <c r="K479" s="97"/>
      <c r="L479" s="97"/>
      <c r="M479" s="97"/>
      <c r="N479" s="64"/>
      <c r="O479" s="64"/>
      <c r="P479" s="111" t="s">
        <v>148</v>
      </c>
      <c r="Q479" s="97"/>
      <c r="R479" s="97"/>
      <c r="S479" s="97"/>
      <c r="T479" s="110"/>
      <c r="U479" s="34"/>
      <c r="V479" s="34"/>
      <c r="W479" s="34"/>
      <c r="X479" s="34"/>
      <c r="Y479" s="70"/>
      <c r="Z479" s="1"/>
      <c r="AA479" s="35"/>
      <c r="AB479" s="22"/>
      <c r="AC479" s="35"/>
      <c r="AD479" s="36"/>
      <c r="AE479" s="28"/>
    </row>
    <row r="480" spans="3:31" ht="15.75" thickTop="1">
      <c r="C480" s="203"/>
      <c r="D480" s="4"/>
      <c r="E480" s="4"/>
      <c r="F480" s="6"/>
      <c r="G480" s="6"/>
      <c r="H480" s="6"/>
      <c r="I480" s="6"/>
      <c r="J480" s="6"/>
      <c r="K480" s="6"/>
      <c r="L480" s="6"/>
      <c r="M480" s="6"/>
      <c r="N480" s="4"/>
      <c r="O480" s="4"/>
      <c r="P480" s="76" t="s">
        <v>148</v>
      </c>
      <c r="Q480" s="6"/>
      <c r="R480" s="6"/>
      <c r="S480" s="6"/>
      <c r="T480" s="6"/>
      <c r="U480" s="4"/>
      <c r="V480" s="4"/>
      <c r="W480" s="4"/>
      <c r="X480" s="4"/>
      <c r="Y480" s="65"/>
      <c r="Z480" s="1"/>
      <c r="AA480" s="35"/>
      <c r="AB480" s="22"/>
      <c r="AC480" s="35"/>
      <c r="AD480" s="36"/>
      <c r="AE480" s="28"/>
    </row>
    <row r="481" spans="1:31">
      <c r="B481" s="112" t="s">
        <v>338</v>
      </c>
      <c r="C481" s="184" t="s">
        <v>339</v>
      </c>
      <c r="D481" s="184" t="s">
        <v>344</v>
      </c>
      <c r="E481" s="184" t="s">
        <v>337</v>
      </c>
      <c r="F481" s="184" t="s">
        <v>337</v>
      </c>
      <c r="G481" s="184" t="s">
        <v>337</v>
      </c>
      <c r="H481" s="184" t="s">
        <v>337</v>
      </c>
      <c r="I481" s="184" t="s">
        <v>337</v>
      </c>
      <c r="J481" s="184" t="s">
        <v>337</v>
      </c>
      <c r="K481" s="184" t="s">
        <v>337</v>
      </c>
      <c r="L481" s="184" t="s">
        <v>337</v>
      </c>
      <c r="M481" s="184" t="s">
        <v>337</v>
      </c>
      <c r="N481" s="184" t="s">
        <v>337</v>
      </c>
      <c r="O481" s="184" t="s">
        <v>337</v>
      </c>
      <c r="P481" s="77" t="s">
        <v>336</v>
      </c>
      <c r="Q481" s="6"/>
      <c r="R481" s="6"/>
      <c r="S481" s="6"/>
      <c r="T481" s="6"/>
      <c r="U481" s="4"/>
      <c r="V481" s="4"/>
      <c r="W481" s="4"/>
      <c r="X481" s="4"/>
      <c r="Y481" s="65"/>
      <c r="Z481" s="1"/>
      <c r="AA481" s="35"/>
      <c r="AB481" s="22"/>
      <c r="AC481" s="35"/>
      <c r="AD481" s="36"/>
      <c r="AE481" s="28"/>
    </row>
    <row r="482" spans="1:31">
      <c r="B482" s="76" t="s">
        <v>148</v>
      </c>
      <c r="D482" s="4"/>
      <c r="E482" s="4"/>
      <c r="F482" s="6"/>
      <c r="H482" s="6"/>
      <c r="I482" s="6"/>
      <c r="J482" s="6"/>
      <c r="K482" s="6"/>
      <c r="L482" s="6"/>
      <c r="M482" s="6"/>
      <c r="N482" s="4"/>
      <c r="O482" s="4"/>
      <c r="P482" s="6"/>
      <c r="Q482" s="6"/>
      <c r="R482" s="6"/>
      <c r="S482" s="6"/>
      <c r="T482" s="6"/>
      <c r="U482" s="4"/>
      <c r="V482" s="4"/>
      <c r="W482" s="4"/>
      <c r="X482" s="4"/>
      <c r="Y482" s="65"/>
      <c r="Z482" s="1"/>
      <c r="AA482" s="35"/>
      <c r="AB482" s="22"/>
      <c r="AC482" s="35"/>
      <c r="AD482" s="36"/>
      <c r="AE482" s="28"/>
    </row>
    <row r="483" spans="1:31">
      <c r="B483" s="76" t="s">
        <v>148</v>
      </c>
      <c r="D483" s="4"/>
      <c r="E483" s="4"/>
      <c r="F483" s="6"/>
      <c r="H483" s="6"/>
      <c r="I483" s="6"/>
      <c r="J483" s="6"/>
      <c r="K483" s="6"/>
      <c r="L483" s="6"/>
      <c r="M483" s="6"/>
      <c r="N483" s="4"/>
      <c r="O483" s="4"/>
      <c r="P483" s="6"/>
      <c r="Q483" s="6"/>
      <c r="R483" s="6"/>
      <c r="S483" s="6"/>
      <c r="T483" s="6"/>
      <c r="U483" s="4"/>
      <c r="V483" s="4"/>
      <c r="W483" s="4"/>
      <c r="X483" s="4"/>
      <c r="Y483" s="65"/>
      <c r="Z483" s="1"/>
      <c r="AA483" s="35"/>
      <c r="AB483" s="22"/>
      <c r="AC483" s="35"/>
      <c r="AD483" s="36"/>
      <c r="AE483" s="28"/>
    </row>
    <row r="484" spans="1:31">
      <c r="B484" s="76" t="s">
        <v>282</v>
      </c>
      <c r="D484" s="4"/>
      <c r="E484" s="4"/>
      <c r="F484" s="6"/>
      <c r="H484" s="6"/>
      <c r="I484" s="6"/>
      <c r="J484" s="6"/>
      <c r="K484" s="6"/>
      <c r="L484" s="6"/>
      <c r="M484" s="6"/>
      <c r="N484" s="4"/>
      <c r="O484" s="4"/>
      <c r="P484" s="6"/>
      <c r="Q484" s="6"/>
      <c r="R484" s="6"/>
      <c r="S484" s="6"/>
      <c r="T484" s="6"/>
      <c r="U484" s="4"/>
      <c r="V484" s="4"/>
      <c r="W484" s="4"/>
      <c r="X484" s="4"/>
      <c r="Y484" s="65"/>
      <c r="Z484" s="1"/>
      <c r="AA484" s="35"/>
      <c r="AB484" s="22"/>
      <c r="AC484" s="35"/>
      <c r="AD484" s="36"/>
      <c r="AE484" s="28"/>
    </row>
    <row r="485" spans="1:31" s="148" customFormat="1">
      <c r="B485" s="76" t="s">
        <v>148</v>
      </c>
      <c r="D485" s="4"/>
      <c r="E485" s="4"/>
      <c r="F485" s="6"/>
      <c r="H485" s="6"/>
      <c r="I485" s="6"/>
      <c r="J485" s="6"/>
      <c r="K485" s="6"/>
      <c r="L485" s="6"/>
      <c r="M485" s="6"/>
      <c r="N485" s="4"/>
      <c r="O485" s="4"/>
      <c r="P485" s="6"/>
      <c r="Q485" s="6"/>
      <c r="R485" s="6"/>
      <c r="S485" s="6"/>
      <c r="T485" s="6"/>
      <c r="U485" s="4"/>
      <c r="V485" s="4"/>
      <c r="W485" s="4"/>
      <c r="X485" s="4"/>
      <c r="Y485" s="65"/>
      <c r="Z485" s="1"/>
      <c r="AA485" s="35"/>
      <c r="AB485" s="22"/>
      <c r="AC485" s="35"/>
      <c r="AD485" s="36"/>
      <c r="AE485" s="28"/>
    </row>
    <row r="486" spans="1:31" s="148" customFormat="1">
      <c r="B486" s="76" t="s">
        <v>148</v>
      </c>
      <c r="D486" s="4"/>
      <c r="E486" s="4"/>
      <c r="F486" s="6"/>
      <c r="H486" s="6"/>
      <c r="I486" s="6"/>
      <c r="J486" s="6"/>
      <c r="K486" s="6"/>
      <c r="L486" s="6"/>
      <c r="M486" s="6"/>
      <c r="N486" s="4"/>
      <c r="O486" s="4"/>
      <c r="P486" s="6"/>
      <c r="Q486" s="6"/>
      <c r="R486" s="6"/>
      <c r="S486" s="6"/>
      <c r="T486" s="6"/>
      <c r="U486" s="4"/>
      <c r="V486" s="4"/>
      <c r="W486" s="4"/>
      <c r="X486" s="4"/>
      <c r="Y486" s="65"/>
      <c r="Z486" s="1"/>
      <c r="AA486" s="35"/>
      <c r="AB486" s="22"/>
      <c r="AC486" s="35"/>
      <c r="AD486" s="36"/>
      <c r="AE486" s="28"/>
    </row>
    <row r="487" spans="1:31" s="148" customFormat="1">
      <c r="B487" s="76" t="s">
        <v>148</v>
      </c>
      <c r="D487" s="4"/>
      <c r="E487" s="4"/>
      <c r="F487" s="6"/>
      <c r="H487" s="6"/>
      <c r="I487" s="6"/>
      <c r="J487" s="6"/>
      <c r="K487" s="6"/>
      <c r="L487" s="6"/>
      <c r="M487" s="6"/>
      <c r="N487" s="4"/>
      <c r="O487" s="4"/>
      <c r="P487" s="6"/>
      <c r="Q487" s="6"/>
      <c r="R487" s="6"/>
      <c r="S487" s="6"/>
      <c r="T487" s="6"/>
      <c r="U487" s="4"/>
      <c r="V487" s="4"/>
      <c r="W487" s="4"/>
      <c r="X487" s="4"/>
      <c r="Y487" s="65"/>
      <c r="Z487" s="1"/>
      <c r="AA487" s="35"/>
      <c r="AB487" s="22"/>
      <c r="AC487" s="35"/>
      <c r="AD487" s="36"/>
      <c r="AE487" s="28"/>
    </row>
    <row r="488" spans="1:31" s="148" customFormat="1">
      <c r="B488" s="76" t="s">
        <v>148</v>
      </c>
      <c r="D488" s="4"/>
      <c r="E488" s="4"/>
      <c r="F488" s="6"/>
      <c r="H488" s="6"/>
      <c r="I488" s="6"/>
      <c r="J488" s="6"/>
      <c r="K488" s="6"/>
      <c r="L488" s="6"/>
      <c r="M488" s="6"/>
      <c r="N488" s="4"/>
      <c r="O488" s="4"/>
      <c r="P488" s="6"/>
      <c r="Q488" s="6"/>
      <c r="R488" s="6"/>
      <c r="S488" s="6"/>
      <c r="T488" s="6"/>
      <c r="U488" s="4"/>
      <c r="V488" s="4"/>
      <c r="W488" s="4"/>
      <c r="X488" s="4"/>
      <c r="Y488" s="65"/>
      <c r="Z488" s="1"/>
      <c r="AA488" s="35"/>
      <c r="AB488" s="22"/>
      <c r="AC488" s="35"/>
      <c r="AD488" s="36"/>
      <c r="AE488" s="28"/>
    </row>
    <row r="489" spans="1:31" s="148" customFormat="1">
      <c r="B489" s="76" t="s">
        <v>148</v>
      </c>
      <c r="D489" s="4"/>
      <c r="E489" s="4"/>
      <c r="F489" s="6"/>
      <c r="H489" s="6"/>
      <c r="I489" s="6"/>
      <c r="J489" s="6"/>
      <c r="K489" s="6"/>
      <c r="L489" s="6"/>
      <c r="M489" s="6"/>
      <c r="N489" s="4"/>
      <c r="O489" s="4"/>
      <c r="P489" s="6"/>
      <c r="Q489" s="6"/>
      <c r="R489" s="6"/>
      <c r="S489" s="6"/>
      <c r="T489" s="6"/>
      <c r="U489" s="4"/>
      <c r="V489" s="4"/>
      <c r="W489" s="4"/>
      <c r="X489" s="4"/>
      <c r="Y489" s="65"/>
      <c r="Z489" s="1"/>
      <c r="AA489" s="35"/>
      <c r="AB489" s="22"/>
      <c r="AC489" s="35"/>
      <c r="AD489" s="36"/>
      <c r="AE489" s="28"/>
    </row>
    <row r="490" spans="1:31" s="148" customFormat="1">
      <c r="B490" s="76" t="s">
        <v>148</v>
      </c>
      <c r="D490" s="4"/>
      <c r="E490" s="4"/>
      <c r="F490" s="6"/>
      <c r="H490" s="6"/>
      <c r="I490" s="6"/>
      <c r="J490" s="6"/>
      <c r="K490" s="6"/>
      <c r="L490" s="6"/>
      <c r="M490" s="6"/>
      <c r="N490" s="4"/>
      <c r="O490" s="4"/>
      <c r="P490" s="6"/>
      <c r="Q490" s="6"/>
      <c r="R490" s="6"/>
      <c r="S490" s="6"/>
      <c r="T490" s="6"/>
      <c r="U490" s="4"/>
      <c r="V490" s="4"/>
      <c r="W490" s="4"/>
      <c r="X490" s="4"/>
      <c r="Y490" s="65"/>
      <c r="Z490" s="1"/>
      <c r="AA490" s="35"/>
      <c r="AB490" s="22"/>
      <c r="AC490" s="35"/>
      <c r="AD490" s="36"/>
      <c r="AE490" s="28"/>
    </row>
    <row r="491" spans="1:31" s="148" customFormat="1">
      <c r="B491" s="76" t="s">
        <v>148</v>
      </c>
      <c r="D491" s="4"/>
      <c r="E491" s="4"/>
      <c r="F491" s="6"/>
      <c r="H491" s="6"/>
      <c r="I491" s="6"/>
      <c r="J491" s="6"/>
      <c r="K491" s="6"/>
      <c r="L491" s="6"/>
      <c r="M491" s="6"/>
      <c r="N491" s="4"/>
      <c r="O491" s="4"/>
      <c r="P491" s="6"/>
      <c r="Q491" s="6"/>
      <c r="R491" s="6"/>
      <c r="S491" s="6"/>
      <c r="T491" s="6"/>
      <c r="U491" s="4"/>
      <c r="V491" s="4"/>
      <c r="W491" s="4"/>
      <c r="X491" s="4"/>
      <c r="Y491" s="65"/>
      <c r="Z491" s="1"/>
      <c r="AA491" s="35"/>
      <c r="AB491" s="22"/>
      <c r="AC491" s="35"/>
      <c r="AD491" s="36"/>
      <c r="AE491" s="28"/>
    </row>
    <row r="492" spans="1:31" s="148" customFormat="1">
      <c r="B492" s="76" t="s">
        <v>148</v>
      </c>
      <c r="D492" s="4"/>
      <c r="E492" s="4"/>
      <c r="F492" s="6"/>
      <c r="H492" s="6"/>
      <c r="I492" s="6"/>
      <c r="J492" s="6"/>
      <c r="K492" s="6"/>
      <c r="L492" s="6"/>
      <c r="M492" s="6"/>
      <c r="N492" s="4"/>
      <c r="O492" s="4"/>
      <c r="P492" s="6"/>
      <c r="Q492" s="6"/>
      <c r="R492" s="6"/>
      <c r="S492" s="6"/>
      <c r="T492" s="6"/>
      <c r="U492" s="4"/>
      <c r="V492" s="4"/>
      <c r="W492" s="4"/>
      <c r="X492" s="4"/>
      <c r="Y492" s="65"/>
      <c r="Z492" s="1"/>
      <c r="AA492" s="35"/>
      <c r="AB492" s="22"/>
      <c r="AC492" s="35"/>
      <c r="AD492" s="36"/>
      <c r="AE492" s="28"/>
    </row>
    <row r="493" spans="1:31">
      <c r="B493" s="76" t="s">
        <v>282</v>
      </c>
      <c r="D493" s="4"/>
      <c r="E493" s="4"/>
      <c r="F493" s="6"/>
      <c r="G493" s="6"/>
      <c r="H493" s="6"/>
      <c r="I493" s="6"/>
      <c r="J493" s="6"/>
      <c r="K493" s="6"/>
      <c r="L493" s="6"/>
      <c r="M493" s="6"/>
      <c r="N493" s="4"/>
      <c r="O493" s="4"/>
      <c r="P493" s="6"/>
      <c r="Q493" s="6"/>
      <c r="R493" s="6"/>
      <c r="S493" s="6"/>
      <c r="T493" s="6"/>
      <c r="U493" s="4"/>
      <c r="V493" s="4"/>
      <c r="W493" s="4"/>
      <c r="X493" s="4"/>
      <c r="Y493" s="65"/>
      <c r="Z493" s="1"/>
      <c r="AA493" s="35"/>
      <c r="AB493" s="22"/>
      <c r="AC493" s="35"/>
      <c r="AD493" s="36"/>
      <c r="AE493" s="28"/>
    </row>
    <row r="494" spans="1:31">
      <c r="A494" s="255" t="s">
        <v>504</v>
      </c>
      <c r="B494" s="256"/>
      <c r="C494" s="256"/>
      <c r="D494" s="256"/>
      <c r="E494" s="256"/>
      <c r="F494" s="256"/>
      <c r="G494" s="256"/>
      <c r="H494" s="256"/>
      <c r="I494" s="256"/>
      <c r="J494" s="256"/>
      <c r="K494" s="256"/>
      <c r="L494" s="256"/>
      <c r="M494" s="256"/>
      <c r="N494" s="256"/>
      <c r="Q494" s="136"/>
      <c r="R494" s="136"/>
      <c r="S494" s="136"/>
      <c r="T494" s="136"/>
      <c r="U494" s="136"/>
      <c r="V494" s="136"/>
      <c r="W494" s="136"/>
      <c r="X494" s="136"/>
      <c r="Y494" s="199"/>
      <c r="Z494" s="199"/>
      <c r="AA494" s="136"/>
      <c r="AB494" s="136"/>
      <c r="AC494" s="136"/>
      <c r="AD494" s="136"/>
      <c r="AE494" s="28"/>
    </row>
    <row r="495" spans="1:31">
      <c r="A495" s="255" t="s">
        <v>444</v>
      </c>
      <c r="B495" s="256"/>
      <c r="C495" s="256"/>
      <c r="D495" s="256"/>
      <c r="E495" s="256"/>
      <c r="F495" s="256"/>
      <c r="G495" s="256"/>
      <c r="H495" s="256"/>
      <c r="I495" s="256"/>
      <c r="J495" s="256"/>
      <c r="K495" s="256"/>
      <c r="L495" s="256"/>
      <c r="M495" s="256"/>
      <c r="N495" s="256"/>
      <c r="Q495" s="136"/>
      <c r="R495" s="136"/>
      <c r="S495" s="136"/>
      <c r="T495" s="136"/>
      <c r="U495" s="136"/>
      <c r="V495" s="136"/>
      <c r="W495" s="136"/>
      <c r="X495" s="136"/>
      <c r="Y495" s="199"/>
      <c r="Z495" s="199"/>
      <c r="AA495" s="136"/>
      <c r="AB495" s="136"/>
      <c r="AC495" s="136"/>
      <c r="AD495" s="136"/>
      <c r="AE495" s="28"/>
    </row>
    <row r="496" spans="1:31">
      <c r="A496" s="255" t="s">
        <v>277</v>
      </c>
      <c r="B496" s="256"/>
      <c r="C496" s="256"/>
      <c r="D496" s="256"/>
      <c r="E496" s="256"/>
      <c r="F496" s="256"/>
      <c r="G496" s="256"/>
      <c r="H496" s="256"/>
      <c r="I496" s="256"/>
      <c r="J496" s="256"/>
      <c r="K496" s="256"/>
      <c r="L496" s="256"/>
      <c r="M496" s="256"/>
      <c r="N496" s="256"/>
      <c r="Q496" s="136"/>
      <c r="R496" s="136"/>
      <c r="S496" s="136"/>
      <c r="T496" s="136"/>
      <c r="U496" s="136"/>
      <c r="V496" s="136"/>
      <c r="W496" s="136"/>
      <c r="X496" s="136"/>
      <c r="Y496" s="199"/>
      <c r="Z496" s="199"/>
      <c r="AA496" s="136"/>
      <c r="AB496" s="136"/>
      <c r="AC496" s="136"/>
      <c r="AD496" s="136"/>
      <c r="AE496" s="28"/>
    </row>
    <row r="497" spans="1:31">
      <c r="A497" s="256" t="s">
        <v>149</v>
      </c>
      <c r="B497" s="256"/>
      <c r="C497" s="256"/>
      <c r="D497" s="256"/>
      <c r="E497" s="256"/>
      <c r="F497" s="256"/>
      <c r="G497" s="256"/>
      <c r="H497" s="256"/>
      <c r="I497" s="256"/>
      <c r="J497" s="256"/>
      <c r="K497" s="256"/>
      <c r="L497" s="256"/>
      <c r="M497" s="256"/>
      <c r="N497" s="256"/>
      <c r="Q497" s="136"/>
      <c r="R497" s="136"/>
      <c r="S497" s="136"/>
      <c r="T497" s="136"/>
      <c r="U497" s="136"/>
      <c r="V497" s="136"/>
      <c r="W497" s="136"/>
      <c r="X497" s="136"/>
      <c r="Y497" s="199"/>
      <c r="Z497" s="199"/>
      <c r="AA497" s="136"/>
      <c r="AB497" s="136"/>
      <c r="AC497" s="136"/>
      <c r="AD497" s="136"/>
      <c r="AE497" s="28"/>
    </row>
    <row r="498" spans="1:31">
      <c r="A498" s="255" t="s">
        <v>505</v>
      </c>
      <c r="B498" s="256"/>
      <c r="C498" s="256"/>
      <c r="D498" s="256"/>
      <c r="E498" s="256"/>
      <c r="F498" s="256"/>
      <c r="G498" s="256"/>
      <c r="H498" s="256"/>
      <c r="I498" s="256"/>
      <c r="J498" s="256"/>
      <c r="K498" s="256"/>
      <c r="L498" s="256"/>
      <c r="M498" s="256"/>
      <c r="N498" s="256"/>
      <c r="Q498" s="136"/>
      <c r="R498" s="136"/>
      <c r="S498" s="136"/>
      <c r="T498" s="136"/>
      <c r="U498" s="136"/>
      <c r="V498" s="136"/>
      <c r="W498" s="136"/>
      <c r="X498" s="136"/>
      <c r="Y498" s="199"/>
      <c r="Z498" s="199"/>
      <c r="AA498" s="136"/>
      <c r="AB498" s="136"/>
      <c r="AC498" s="136"/>
      <c r="AD498" s="136"/>
      <c r="AE498" s="28"/>
    </row>
    <row r="499" spans="1:31">
      <c r="C499" s="203"/>
      <c r="D499" s="4"/>
      <c r="E499" s="4"/>
      <c r="F499" s="6"/>
      <c r="G499" s="6"/>
      <c r="H499" s="6"/>
      <c r="I499" s="6"/>
      <c r="J499" s="6"/>
      <c r="K499" s="6"/>
      <c r="L499" s="6"/>
      <c r="M499" s="6"/>
      <c r="N499" s="4"/>
      <c r="O499" s="4"/>
      <c r="P499" s="6"/>
      <c r="Q499" s="6"/>
      <c r="R499" s="6"/>
      <c r="S499" s="6"/>
      <c r="T499" s="6"/>
      <c r="U499" s="4"/>
      <c r="V499" s="4"/>
      <c r="W499" s="4"/>
      <c r="X499" s="4"/>
      <c r="Y499" s="65"/>
      <c r="Z499" s="1"/>
      <c r="AA499" s="35"/>
      <c r="AB499" s="22"/>
      <c r="AC499" s="35"/>
      <c r="AD499" s="36"/>
      <c r="AE499" s="28"/>
    </row>
  </sheetData>
  <mergeCells count="22">
    <mergeCell ref="F4:M4"/>
    <mergeCell ref="F7:M7"/>
    <mergeCell ref="N7:P7"/>
    <mergeCell ref="Q7:S7"/>
    <mergeCell ref="U7:W7"/>
    <mergeCell ref="F466:K466"/>
    <mergeCell ref="L466:M466"/>
    <mergeCell ref="F469:M469"/>
    <mergeCell ref="N469:P469"/>
    <mergeCell ref="Q469:S469"/>
    <mergeCell ref="F478:M478"/>
    <mergeCell ref="O478:T478"/>
    <mergeCell ref="U469:W469"/>
    <mergeCell ref="F475:M475"/>
    <mergeCell ref="O475:P475"/>
    <mergeCell ref="O476:T476"/>
    <mergeCell ref="O477:T477"/>
    <mergeCell ref="A494:N494"/>
    <mergeCell ref="A495:N495"/>
    <mergeCell ref="A496:N496"/>
    <mergeCell ref="A497:N497"/>
    <mergeCell ref="A498:N498"/>
  </mergeCells>
  <conditionalFormatting sqref="R5">
    <cfRule type="colorScale" priority="445">
      <colorScale>
        <cfvo type="min" val="0"/>
        <cfvo type="num" val="0"/>
        <cfvo type="max" val="0"/>
        <color rgb="FFFF0000"/>
        <color rgb="FFFFFF00"/>
        <color rgb="FF00B050"/>
      </colorScale>
    </cfRule>
  </conditionalFormatting>
  <conditionalFormatting sqref="F477:M477">
    <cfRule type="top10" dxfId="72" priority="44" bottom="1" rank="1"/>
    <cfRule type="colorScale" priority="45">
      <colorScale>
        <cfvo type="min" val="0"/>
        <cfvo type="num" val="0"/>
        <cfvo type="max" val="0"/>
        <color rgb="FF00B050"/>
        <color rgb="FFFFFF00"/>
        <color rgb="FFFF0000"/>
      </colorScale>
    </cfRule>
  </conditionalFormatting>
  <conditionalFormatting sqref="F474:M474">
    <cfRule type="colorScale" priority="43">
      <colorScale>
        <cfvo type="min" val="0"/>
        <cfvo type="num" val="$D$474"/>
        <cfvo type="max" val="0"/>
        <color rgb="FF63BE7B"/>
        <color rgb="FFFFEB84"/>
        <color rgb="FFF8696B"/>
      </colorScale>
    </cfRule>
  </conditionalFormatting>
  <conditionalFormatting sqref="S473">
    <cfRule type="colorScale" priority="42">
      <colorScale>
        <cfvo type="min" val="0"/>
        <cfvo type="num" val="0"/>
        <cfvo type="max" val="0"/>
        <color rgb="FFFF0000"/>
        <color rgb="FFFFFF00"/>
        <color rgb="FF00B050"/>
      </colorScale>
    </cfRule>
  </conditionalFormatting>
  <conditionalFormatting sqref="F468:M468 L466">
    <cfRule type="colorScale" priority="41">
      <colorScale>
        <cfvo type="min" val="0"/>
        <cfvo type="num" val="$L$466"/>
        <cfvo type="max" val="0"/>
        <color rgb="FF63BE7B"/>
        <color rgb="FFFFEB84"/>
        <color rgb="FFF8696B"/>
      </colorScale>
    </cfRule>
  </conditionalFormatting>
  <conditionalFormatting sqref="C400:C402 C404:C409 C411:C417 C419:C423 C425:C432 C434:C439 C441:C444 C448:C449 C455 C457 C461:C462 C11:C24 C26:C34 C36:C42 C44:C55 C57:C73 C78:C98 C100:C126 C128:C151 C357:C365 C367:C374 C376:C386 C153:C211 C213:C257 C259 C388:C389 C391 C393:C395 C352:C355 C261:C296 C298:C321 C323:C348">
    <cfRule type="notContainsErrors" dxfId="71" priority="31">
      <formula>NOT(ISERROR(C11))</formula>
    </cfRule>
  </conditionalFormatting>
  <conditionalFormatting sqref="Z11:Z466">
    <cfRule type="colorScale" priority="490">
      <colorScale>
        <cfvo type="min" val="0"/>
        <cfvo type="formula" val="noch_benötigte_Punkte_Avg/2"/>
        <cfvo type="max" val="0"/>
        <color rgb="FF00B050"/>
        <color rgb="FFFFFF00"/>
        <color rgb="FFFF0000"/>
      </colorScale>
    </cfRule>
  </conditionalFormatting>
  <conditionalFormatting sqref="AC11:AC466">
    <cfRule type="colorScale" priority="492">
      <colorScale>
        <cfvo type="min" val="0"/>
        <cfvo type="formula" val="AP_noch_Avg/2"/>
        <cfvo type="max" val="0"/>
        <color rgb="FF63BE7B"/>
        <color rgb="FFFFEB84"/>
        <color rgb="FFF8696B"/>
      </colorScale>
    </cfRule>
  </conditionalFormatting>
  <conditionalFormatting sqref="AD11:AD466">
    <cfRule type="colorScale" priority="494">
      <colorScale>
        <cfvo type="num" val="0.01"/>
        <cfvo type="max" val="0"/>
        <color rgb="FF63BE7B"/>
        <color rgb="FFF8696B"/>
      </colorScale>
    </cfRule>
  </conditionalFormatting>
  <conditionalFormatting sqref="C400:C402 C404:C409 C411:C417 C419:C423 C425:C432 C434:C439 C441:C444 C448:C449 C455 C457 C461:C462 C11:C24 C26:C34 C36:C42 C44:C55 C57:C73 C78:C98 C100:C126 C128:C151 C357:C365 C367:C374 C376:C386 C153:C211 C213:C257 C259 C388:C389 C391 C393:C395 C352:C355 C261:C296 C298:C321 C323:C348">
    <cfRule type="notContainsErrors" dxfId="70" priority="2">
      <formula>NOT(ISERROR(C11))</formula>
    </cfRule>
  </conditionalFormatting>
  <conditionalFormatting sqref="C400:C402 C404:C409 C411:C417 C419:C423 C425:C432 C434:C439 C441:C444 C448:C449 C455 C457 C461:C462 C11:C24 C26:C34 C36:C42 C44:C55 C78:C98 C100:C126 C128:C151 C357:C365 C367:C374 C376:C386 C153:C211 C213:C257 C259 C388:C389 C391 C393:C395 C352:C355 C57:C73 C261:C296 C298:C321 C323:C348">
    <cfRule type="notContainsErrors" dxfId="69" priority="1">
      <formula>NOT(ISERROR(C11))</formula>
    </cfRule>
  </conditionalFormatting>
  <dataValidations count="32">
    <dataValidation type="list" allowBlank="1" showInputMessage="1" showErrorMessage="1" sqref="C388:C389">
      <formula1>Rituale_Hexen</formula1>
    </dataValidation>
    <dataValidation type="list" allowBlank="1" showInputMessage="1" showErrorMessage="1" sqref="C367:C374">
      <formula1>Rituale_Elfen</formula1>
    </dataValidation>
    <dataValidation type="list" allowBlank="1" showInputMessage="1" showErrorMessage="1" sqref="C441:C444">
      <formula1>Liturgien_Rondra</formula1>
    </dataValidation>
    <dataValidation type="list" allowBlank="1" showInputMessage="1" showErrorMessage="1" sqref="C461:C462">
      <formula1>Zeremonien_Rondra</formula1>
    </dataValidation>
    <dataValidation type="list" allowBlank="1" showInputMessage="1" showErrorMessage="1" sqref="C352:C355">
      <formula1>Rituale_Allgemein</formula1>
    </dataValidation>
    <dataValidation type="list" allowBlank="1" showInputMessage="1" showErrorMessage="1" sqref="C357:C365">
      <formula1>Rituale_Druiden</formula1>
    </dataValidation>
    <dataValidation type="list" allowBlank="1" showInputMessage="1" showErrorMessage="1" sqref="C376:C386">
      <formula1>Rituale_Gildenmagier</formula1>
    </dataValidation>
    <dataValidation type="list" allowBlank="1" showInputMessage="1" showErrorMessage="1" sqref="C400:C402">
      <formula1>Liturgien_Allgemein</formula1>
    </dataValidation>
    <dataValidation type="list" allowBlank="1" showInputMessage="1" showErrorMessage="1" sqref="C404:C409">
      <formula1>Liturgien_Boron</formula1>
    </dataValidation>
    <dataValidation type="list" allowBlank="1" showInputMessage="1" showErrorMessage="1" sqref="C411:C417">
      <formula1>Liturgien_Hesinde</formula1>
    </dataValidation>
    <dataValidation type="list" allowBlank="1" showInputMessage="1" showErrorMessage="1" sqref="C419:C423">
      <formula1>Liturgien_Peraine</formula1>
    </dataValidation>
    <dataValidation type="list" allowBlank="1" showInputMessage="1" showErrorMessage="1" sqref="C425:C432">
      <formula1>Liturgien_Phex</formula1>
    </dataValidation>
    <dataValidation type="list" allowBlank="1" showInputMessage="1" showErrorMessage="1" sqref="C434:C439">
      <formula1>Liturgien_Praios</formula1>
    </dataValidation>
    <dataValidation type="list" allowBlank="1" showInputMessage="1" showErrorMessage="1" sqref="C448:C449">
      <formula1>Zeremonien_Allgemein</formula1>
    </dataValidation>
    <dataValidation type="list" allowBlank="1" showInputMessage="1" showErrorMessage="1" sqref="C455">
      <formula1>Zeremonien_Peraine</formula1>
    </dataValidation>
    <dataValidation type="list" allowBlank="1" showInputMessage="1" showErrorMessage="1" sqref="C457">
      <formula1>Zeremonien_Phex</formula1>
    </dataValidation>
    <dataValidation type="list" allowBlank="1" showInputMessage="1" showErrorMessage="1" sqref="C100:C126">
      <formula1>Zauber_Druiden</formula1>
    </dataValidation>
    <dataValidation type="list" allowBlank="1" showInputMessage="1" showErrorMessage="1" sqref="C128:C151">
      <formula1>Zauber_Elfen</formula1>
    </dataValidation>
    <dataValidation type="list" allowBlank="1" showInputMessage="1" showErrorMessage="1" sqref="C153:C211">
      <formula1>Zauber_Gildenmagier</formula1>
    </dataValidation>
    <dataValidation type="list" allowBlank="1" showInputMessage="1" showErrorMessage="1" sqref="C213:C257">
      <formula1>Zauber_Hexen</formula1>
    </dataValidation>
    <dataValidation type="list" allowBlank="1" showInputMessage="1" showErrorMessage="1" sqref="C11:C24">
      <formula1>Talente_Körpertalente</formula1>
    </dataValidation>
    <dataValidation type="list" allowBlank="1" showInputMessage="1" showErrorMessage="1" sqref="C26:C34">
      <formula1>Talente_Gesellschaftstalente</formula1>
    </dataValidation>
    <dataValidation type="list" allowBlank="1" showInputMessage="1" showErrorMessage="1" sqref="C36:C42">
      <formula1>Talente_Naturtalente</formula1>
    </dataValidation>
    <dataValidation type="list" allowBlank="1" showInputMessage="1" showErrorMessage="1" sqref="C44:C55">
      <formula1>Talente_Wissenstalente</formula1>
    </dataValidation>
    <dataValidation type="list" allowBlank="1" showInputMessage="1" showErrorMessage="1" sqref="C57:C73">
      <formula1>Talente_Handwerkstalente</formula1>
    </dataValidation>
    <dataValidation type="list" allowBlank="1" showInputMessage="1" showErrorMessage="1" sqref="C78:C98">
      <formula1>Zauber_Allgemein</formula1>
    </dataValidation>
    <dataValidation type="list" allowBlank="1" showInputMessage="1" showErrorMessage="1" sqref="C259">
      <formula1>Zauber_Kristallomanten</formula1>
    </dataValidation>
    <dataValidation type="list" allowBlank="1" showInputMessage="1" showErrorMessage="1" sqref="C261:C296">
      <formula1>Zauber_Scharlatane</formula1>
    </dataValidation>
    <dataValidation type="list" allowBlank="1" showInputMessage="1" showErrorMessage="1" sqref="C391">
      <formula1>Rituale_Kristallomanten</formula1>
    </dataValidation>
    <dataValidation type="list" allowBlank="1" showInputMessage="1" showErrorMessage="1" sqref="C393:C395">
      <formula1>Rituale_Scharlatane</formula1>
    </dataValidation>
    <dataValidation type="list" allowBlank="1" showInputMessage="1" showErrorMessage="1" sqref="C298:C321">
      <formula1>Zauber_Zauberbarden</formula1>
    </dataValidation>
    <dataValidation type="list" allowBlank="1" showInputMessage="1" showErrorMessage="1" sqref="C323:C348">
      <formula1>Zauber_Zaubertänzer</formula1>
    </dataValidation>
  </dataValidations>
  <pageMargins left="0.7" right="0.7" top="0.75" bottom="0.75" header="0.3" footer="0.3"/>
  <pageSetup paperSize="9" orientation="portrait" horizont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64FF64"/>
  </sheetPr>
  <dimension ref="A1:AE499"/>
  <sheetViews>
    <sheetView zoomScaleNormal="100" workbookViewId="0"/>
  </sheetViews>
  <sheetFormatPr baseColWidth="10" defaultColWidth="9.140625" defaultRowHeight="15" outlineLevelRow="2" outlineLevelCol="1"/>
  <cols>
    <col min="1" max="1" width="11.85546875" style="148" customWidth="1"/>
    <col min="2" max="2" width="19.28515625" style="148" customWidth="1"/>
    <col min="3" max="3" width="31.7109375" style="140" customWidth="1"/>
    <col min="4" max="4" width="13.140625" style="148" customWidth="1"/>
    <col min="5" max="5" width="2.28515625" style="148" customWidth="1"/>
    <col min="6" max="13" width="9.28515625" style="148" customWidth="1"/>
    <col min="14" max="16" width="15.42578125" style="148" customWidth="1"/>
    <col min="17" max="19" width="12.42578125" style="148" customWidth="1"/>
    <col min="20" max="20" width="23.5703125" style="148" bestFit="1" customWidth="1"/>
    <col min="21" max="23" width="13" style="148" hidden="1" customWidth="1" outlineLevel="1"/>
    <col min="24" max="24" width="24" style="148" hidden="1" customWidth="1" outlineLevel="1"/>
    <col min="25" max="25" width="18.42578125" style="197" hidden="1" customWidth="1" outlineLevel="1"/>
    <col min="26" max="26" width="21.5703125" style="197" hidden="1" customWidth="1" outlineLevel="1"/>
    <col min="27" max="27" width="11.85546875" style="148" hidden="1" customWidth="1" outlineLevel="1"/>
    <col min="28" max="28" width="14" style="148" hidden="1" customWidth="1" outlineLevel="1"/>
    <col min="29" max="29" width="13.42578125" style="148" hidden="1" customWidth="1" outlineLevel="1"/>
    <col min="30" max="30" width="14.42578125" style="148" hidden="1" customWidth="1" outlineLevel="1"/>
    <col min="31" max="31" width="9.140625" style="148" collapsed="1"/>
    <col min="32" max="16384" width="9.140625" style="148"/>
  </cols>
  <sheetData>
    <row r="1" spans="1:31" s="4" customFormat="1">
      <c r="A1" s="124"/>
      <c r="C1" s="3"/>
      <c r="F1" s="93" t="s">
        <v>0</v>
      </c>
      <c r="G1" s="94" t="s">
        <v>1</v>
      </c>
      <c r="H1" s="94" t="s">
        <v>2</v>
      </c>
      <c r="I1" s="94" t="s">
        <v>3</v>
      </c>
      <c r="J1" s="94" t="s">
        <v>4</v>
      </c>
      <c r="K1" s="94" t="s">
        <v>5</v>
      </c>
      <c r="L1" s="94" t="s">
        <v>6</v>
      </c>
      <c r="M1" s="95" t="s">
        <v>7</v>
      </c>
      <c r="N1" s="32" t="s">
        <v>118</v>
      </c>
      <c r="O1" s="40" t="s">
        <v>283</v>
      </c>
      <c r="P1" s="67"/>
      <c r="Q1" s="6"/>
      <c r="R1" s="6"/>
      <c r="S1" s="6"/>
      <c r="T1" s="6"/>
      <c r="Y1" s="70"/>
      <c r="Z1" s="1"/>
      <c r="AA1" s="35"/>
      <c r="AB1" s="22"/>
      <c r="AC1" s="35"/>
      <c r="AD1" s="36"/>
    </row>
    <row r="2" spans="1:31" s="4" customFormat="1">
      <c r="A2" s="150"/>
      <c r="C2" s="3"/>
      <c r="F2" s="98">
        <f>MUmaster</f>
        <v>8</v>
      </c>
      <c r="G2" s="98">
        <f>KLmaster</f>
        <v>8</v>
      </c>
      <c r="H2" s="98">
        <f>INmaster</f>
        <v>8</v>
      </c>
      <c r="I2" s="98">
        <f>CHmaster</f>
        <v>8</v>
      </c>
      <c r="J2" s="98">
        <f>FFmaster</f>
        <v>8</v>
      </c>
      <c r="K2" s="98">
        <f>GEmaster</f>
        <v>8</v>
      </c>
      <c r="L2" s="98">
        <f>KOmaster</f>
        <v>8</v>
      </c>
      <c r="M2" s="98">
        <f>KKmaster+1</f>
        <v>9</v>
      </c>
      <c r="N2" s="5">
        <f>MUslave+KLslave+INslave+CHslave+FFslave+GEslave+KOslave+KKslave_KK</f>
        <v>65</v>
      </c>
      <c r="O2" s="68">
        <v>20</v>
      </c>
      <c r="P2" s="6"/>
      <c r="Q2" s="6"/>
      <c r="R2" s="6"/>
      <c r="S2" s="6"/>
      <c r="T2" s="6"/>
      <c r="Y2" s="71"/>
      <c r="Z2" s="1"/>
      <c r="AA2" s="35"/>
      <c r="AB2" s="22"/>
      <c r="AC2" s="35"/>
      <c r="AD2" s="36"/>
    </row>
    <row r="3" spans="1:31" s="37" customFormat="1">
      <c r="B3" s="31"/>
      <c r="C3" s="141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Y3" s="71"/>
      <c r="Z3" s="38"/>
      <c r="AA3" s="34"/>
      <c r="AB3" s="67"/>
      <c r="AC3" s="34"/>
      <c r="AD3" s="39"/>
    </row>
    <row r="4" spans="1:31" s="37" customFormat="1">
      <c r="B4" s="31"/>
      <c r="C4" s="141"/>
      <c r="F4" s="287" t="s">
        <v>139</v>
      </c>
      <c r="G4" s="288"/>
      <c r="H4" s="288"/>
      <c r="I4" s="288"/>
      <c r="J4" s="288"/>
      <c r="K4" s="288"/>
      <c r="L4" s="288"/>
      <c r="M4" s="288"/>
      <c r="N4" s="91" t="s">
        <v>334</v>
      </c>
      <c r="O4" s="91" t="s">
        <v>154</v>
      </c>
      <c r="P4" s="191" t="s">
        <v>144</v>
      </c>
      <c r="Q4" s="91" t="s">
        <v>142</v>
      </c>
      <c r="R4" s="92" t="s">
        <v>143</v>
      </c>
      <c r="S4" s="29"/>
      <c r="T4" s="29"/>
      <c r="Y4" s="71"/>
      <c r="Z4" s="38"/>
      <c r="AA4" s="34"/>
      <c r="AB4" s="67"/>
      <c r="AC4" s="34"/>
      <c r="AD4" s="39"/>
    </row>
    <row r="5" spans="1:31" s="37" customFormat="1">
      <c r="B5" s="31"/>
      <c r="C5" s="141"/>
      <c r="F5" s="190">
        <f>MUslave*15+IF(MUslave&gt;14,MUslave-14,0)*15+IF(MUslave&gt;15,MUslave-15,0)*15+IF(MUslave&gt;16,MUslave-16,0)*15+IF(MUslave&gt;17,MUslave-17,0)*15+IF(MUslave&gt;18,MUslave-18,0)*15+IF(MUslave&gt;19,MUslave-19,0)*15+IF(MUslave&gt;20,MUslave-20,0)*15+IF(MUslave&gt;21,MUslave-21,0)*15+IF(MUslave&gt;22,MUslave-22,0)*15+IF(MUslave&gt;23,MUslave-23,0)*15+IF(MUslave&gt;24,MUslave-24,0)*15-120</f>
        <v>0</v>
      </c>
      <c r="G5" s="190">
        <f>KLslave*15+IF(KLslave&gt;14,KLslave-14,0)*15+IF(KLslave&gt;15,KLslave-15,0)*15+IF(KLslave&gt;16,KLslave-16,0)*15+IF(KLslave&gt;17,KLslave-17,0)*15+IF(KLslave&gt;18,KLslave-18,0)*15+IF(KLslave&gt;19,KLslave-19,0)*15+IF(KLslave&gt;20,KLslave-20,0)*15+IF(KLslave&gt;21,KLslave-21,0)*15+IF(KLslave&gt;22,KLslave-22,0)*15+IF(KLslave&gt;23,KLslave-23,0)*15+IF(KLslave&gt;24,KLslave-24,0)*15-120</f>
        <v>0</v>
      </c>
      <c r="H5" s="189">
        <f>INslave*15+IF(INslave&gt;14,INslave-14,0)*15+IF(INslave&gt;15,INslave-15,0)*15+IF(INslave&gt;16,INslave-16,0)*15+IF(INslave&gt;17,INslave-17,0)*15+IF(INslave&gt;18,INslave-18,0)*15+IF(INslave&gt;19,INslave-19,0)*15+IF(INslave&gt;20,INslave-20,0)*15+IF(INslave&gt;21,INslave-21,0)*15+IF(INslave&gt;22,INslave-22,0)*15+IF(INslave&gt;23,INslave-23,0)*15+IF(INslave&gt;24,INslave-24,0)*15-120</f>
        <v>0</v>
      </c>
      <c r="I5" s="189">
        <f>CHslave*15+IF(CHslave&gt;14,CHslave-14,0)*15+IF(CHslave&gt;15,CHslave-15,0)*15+IF(CHslave&gt;16,CHslave-16,0)*15+IF(CHslave&gt;17,CHslave-17,0)*15+IF(CHslave&gt;18,CHslave-18,0)*15+IF(CHslave&gt;19,CHslave-19,0)*15+IF(CHslave&gt;20,CHslave-20,0)*15+IF(CHslave&gt;21,CHslave-21,0)*15+IF(CHslave&gt;22,CHslave-22,0)*15+IF(CHslave&gt;23,CHslave-23,0)*15+IF(CHslave&gt;24,CHslave-24,0)*15-120</f>
        <v>0</v>
      </c>
      <c r="J5" s="189">
        <f>FFslave*15+IF(FFslave&gt;14,FFslave-14,0)*15+IF(FFslave&gt;15,FFslave-15,0)*15+IF(FFslave&gt;16,FFslave-16,0)*15+IF(FFslave&gt;17,FFslave-17,0)*15+IF(FFslave&gt;18,FFslave-18,0)*15+IF(FFslave&gt;19,FFslave-19,0)*15+IF(FFslave&gt;20,FFslave-20,0)*15+IF(FFslave&gt;21,FFslave-21,0)*15+IF(FFslave&gt;22,FFslave-22,0)*15+IF(FFslave&gt;23,FFslave-23,0)*15+IF(FFslave&gt;24,FFslave-24,0)*15-120</f>
        <v>0</v>
      </c>
      <c r="K5" s="189">
        <f>GEslave*15+IF(GEslave&gt;14,GEslave-14,0)*15+IF(GEslave&gt;15,GEslave-15,0)*15+IF(GEslave&gt;16,GEslave-16,0)*15+IF(GEslave&gt;17,GEslave-17,0)*15+IF(GEslave&gt;18,GEslave-18,0)*15+IF(GEslave&gt;19,GEslave-19,0)*15+IF(GEslave&gt;20,GEslave-20,0)*15+IF(GEslave&gt;21,GEslave-21,0)*15+IF(GEslave&gt;22,GEslave-22,0)*15+IF(GEslave&gt;23,GEslave-23,0)*15+IF(GEslave&gt;24,GEslave-24,0)*15-120</f>
        <v>0</v>
      </c>
      <c r="L5" s="189">
        <f>KOslave*15+IF(KOslave&gt;14,KOslave-14,0)*15+IF(KOslave&gt;15,KOslave-15,0)*15+IF(KOslave&gt;16,KOslave-16,0)*15+IF(KOslave&gt;17,KOslave-17,0)*15+IF(KOslave&gt;18,KOslave-18,0)*15+IF(KOslave&gt;19,KOslave-19,0)*15+IF(KOslave&gt;20,KOslave-20,0)*15+IF(KOslave&gt;21,KOslave-21,0)*15+IF(KOslave&gt;22,KOslave-22,0)*15+IF(KOslave&gt;23,KOslave-23,0)*15+IF(KOslave&gt;24,KOslave-24,0)*15-120</f>
        <v>0</v>
      </c>
      <c r="M5" s="189">
        <f>KKslave_KK*15+IF(KKslave_KK&gt;14,KKslave_KK-14,0)*15+IF(KKslave_KK&gt;15,KKslave_KK-15,0)*15+IF(KKslave_KK&gt;16,KKslave_KK-16,0)*15+IF(KKslave_KK&gt;17,KKslave_KK-17,0)*15+IF(KKslave_KK&gt;18,KKslave_KK-18,0)*15+IF(KKslave_KK&gt;19,KKslave_KK-19,0)*15+IF(KKslave_KK&gt;20,KKslave_KK-20,0)*15+IF(KKslave_KK&gt;21,KKslave_KK-21,0)*15+IF(KKslave_KK&gt;22,KKslave_KK-22,0)*15+IF(KKslave_KK&gt;23,KKslave_KK-23,0)*15+IF(KKslave_KK&gt;24,KKslave_KK-24,0)*15-120</f>
        <v>15</v>
      </c>
      <c r="N5" s="189">
        <f>SUM(F5:M5)</f>
        <v>15</v>
      </c>
      <c r="O5" s="189">
        <f>AP_in_Talenten_KK</f>
        <v>0</v>
      </c>
      <c r="P5" s="17">
        <f>AP_in_Attributen_KK+AP_in_Talenten_KK</f>
        <v>15</v>
      </c>
      <c r="Q5" s="99">
        <v>1100</v>
      </c>
      <c r="R5" s="189">
        <f>Q5-P5</f>
        <v>1085</v>
      </c>
      <c r="S5" s="29"/>
      <c r="T5" s="29"/>
      <c r="X5" s="34"/>
      <c r="Y5" s="71"/>
      <c r="Z5" s="38"/>
      <c r="AA5" s="34"/>
      <c r="AB5" s="67"/>
      <c r="AC5" s="34"/>
      <c r="AD5" s="39"/>
    </row>
    <row r="6" spans="1:31" s="4" customFormat="1">
      <c r="A6" s="150"/>
      <c r="C6" s="3"/>
      <c r="F6" s="6"/>
      <c r="G6" s="6"/>
      <c r="H6" s="6"/>
      <c r="I6" s="6"/>
      <c r="J6" s="6"/>
      <c r="K6" s="6"/>
      <c r="L6" s="6"/>
      <c r="M6" s="6"/>
      <c r="P6" s="6"/>
      <c r="Q6" s="6"/>
      <c r="R6" s="6"/>
      <c r="S6" s="6"/>
      <c r="T6" s="6"/>
      <c r="Y6" s="71"/>
      <c r="Z6" s="1"/>
      <c r="AA6" s="35"/>
      <c r="AB6" s="22"/>
      <c r="AC6" s="35"/>
      <c r="AD6" s="36"/>
    </row>
    <row r="7" spans="1:31" s="4" customFormat="1">
      <c r="A7" s="150"/>
      <c r="C7" s="3"/>
      <c r="F7" s="289" t="s">
        <v>126</v>
      </c>
      <c r="G7" s="290"/>
      <c r="H7" s="290"/>
      <c r="I7" s="290"/>
      <c r="J7" s="290"/>
      <c r="K7" s="290"/>
      <c r="L7" s="290"/>
      <c r="M7" s="291"/>
      <c r="N7" s="292" t="s">
        <v>151</v>
      </c>
      <c r="O7" s="293"/>
      <c r="P7" s="294"/>
      <c r="Q7" s="289" t="s">
        <v>150</v>
      </c>
      <c r="R7" s="290"/>
      <c r="S7" s="291"/>
      <c r="T7" s="101" t="s">
        <v>114</v>
      </c>
      <c r="U7" s="292" t="s">
        <v>152</v>
      </c>
      <c r="V7" s="293"/>
      <c r="W7" s="294"/>
      <c r="X7" s="14" t="s">
        <v>153</v>
      </c>
      <c r="Y7" s="72" t="s">
        <v>138</v>
      </c>
      <c r="Z7" s="41" t="s">
        <v>120</v>
      </c>
      <c r="AA7" s="42" t="s">
        <v>130</v>
      </c>
      <c r="AB7" s="78" t="s">
        <v>130</v>
      </c>
      <c r="AC7" s="42" t="s">
        <v>130</v>
      </c>
      <c r="AD7" s="43" t="s">
        <v>130</v>
      </c>
    </row>
    <row r="8" spans="1:31" s="4" customFormat="1" ht="15.75" thickBot="1">
      <c r="A8" s="150"/>
      <c r="B8" s="3"/>
      <c r="C8" s="3"/>
      <c r="D8" s="3"/>
      <c r="F8" s="190" t="s">
        <v>0</v>
      </c>
      <c r="G8" s="190" t="s">
        <v>1</v>
      </c>
      <c r="H8" s="190" t="s">
        <v>2</v>
      </c>
      <c r="I8" s="190" t="s">
        <v>3</v>
      </c>
      <c r="J8" s="190" t="s">
        <v>4</v>
      </c>
      <c r="K8" s="190" t="s">
        <v>5</v>
      </c>
      <c r="L8" s="190" t="s">
        <v>6</v>
      </c>
      <c r="M8" s="190" t="s">
        <v>7</v>
      </c>
      <c r="N8" s="33" t="s">
        <v>109</v>
      </c>
      <c r="O8" s="33" t="s">
        <v>110</v>
      </c>
      <c r="P8" s="190" t="s">
        <v>111</v>
      </c>
      <c r="Q8" s="190" t="s">
        <v>106</v>
      </c>
      <c r="R8" s="190" t="s">
        <v>107</v>
      </c>
      <c r="S8" s="190" t="s">
        <v>108</v>
      </c>
      <c r="T8" s="190" t="s">
        <v>115</v>
      </c>
      <c r="U8" s="40" t="s">
        <v>127</v>
      </c>
      <c r="V8" s="40" t="s">
        <v>128</v>
      </c>
      <c r="W8" s="40" t="s">
        <v>129</v>
      </c>
      <c r="X8" s="33" t="s">
        <v>119</v>
      </c>
      <c r="Y8" s="73" t="s">
        <v>125</v>
      </c>
      <c r="Z8" s="44" t="s">
        <v>343</v>
      </c>
      <c r="AA8" s="45" t="s">
        <v>157</v>
      </c>
      <c r="AB8" s="79" t="s">
        <v>159</v>
      </c>
      <c r="AC8" s="45" t="s">
        <v>155</v>
      </c>
      <c r="AD8" s="46" t="s">
        <v>137</v>
      </c>
    </row>
    <row r="9" spans="1:31" ht="15.75" thickBot="1">
      <c r="A9" s="135" t="s">
        <v>333</v>
      </c>
    </row>
    <row r="10" spans="1:31" ht="15" hidden="1" customHeight="1" outlineLevel="1">
      <c r="B10" s="134" t="s">
        <v>68</v>
      </c>
    </row>
    <row r="11" spans="1:31" ht="15" hidden="1" customHeight="1" outlineLevel="2">
      <c r="B11" s="148">
        <v>1</v>
      </c>
      <c r="C11" s="176" t="str">
        <f>Attribute!C11</f>
        <v>---</v>
      </c>
      <c r="D11" s="126" t="str">
        <f>VLOOKUP(C11,'Talente &amp; Stuff'!IA:JB,2,FALSE)</f>
        <v>--/--/--</v>
      </c>
      <c r="E11" s="158" t="str">
        <f>VLOOKUP(C11,'Talente &amp; Stuff'!IA:JB,3,FALSE)</f>
        <v>-</v>
      </c>
      <c r="F11" s="191">
        <f>VLOOKUP(C11,'Talente &amp; Stuff'!IA:JB,4,FALSE)</f>
        <v>0</v>
      </c>
      <c r="G11" s="118">
        <f>VLOOKUP(C11,'Talente &amp; Stuff'!IA:JB,5,FALSE)</f>
        <v>0</v>
      </c>
      <c r="H11" s="118">
        <f>VLOOKUP(C11,'Talente &amp; Stuff'!IA:JB,6,FALSE)</f>
        <v>0</v>
      </c>
      <c r="I11" s="118">
        <f>VLOOKUP(C11,'Talente &amp; Stuff'!IA:JB,7,FALSE)</f>
        <v>0</v>
      </c>
      <c r="J11" s="118">
        <f>VLOOKUP(C11,'Talente &amp; Stuff'!IA:JB,8,FALSE)</f>
        <v>0</v>
      </c>
      <c r="K11" s="118">
        <f>VLOOKUP(C11,'Talente &amp; Stuff'!IA:JB,9,FALSE)</f>
        <v>0</v>
      </c>
      <c r="L11" s="118">
        <f>VLOOKUP(C11,'Talente &amp; Stuff'!IA:JB,10,FALSE)</f>
        <v>0</v>
      </c>
      <c r="M11" s="92">
        <f>VLOOKUP(C11,'Talente &amp; Stuff'!IA:JB,11,FALSE)</f>
        <v>0</v>
      </c>
      <c r="N11" s="193">
        <f>VLOOKUP(C11,'Talente &amp; Stuff'!IA:JB,12,FALSE)</f>
        <v>0</v>
      </c>
      <c r="O11" s="116">
        <f>VLOOKUP(C11,'Talente &amp; Stuff'!IA:JB,13,FALSE)</f>
        <v>0</v>
      </c>
      <c r="P11" s="92">
        <f>VLOOKUP(C11,'Talente &amp; Stuff'!IA:JB,14,FALSE)</f>
        <v>0</v>
      </c>
      <c r="Q11" s="191">
        <f>VLOOKUP(C11,'Talente &amp; Stuff'!IA:JB,15,FALSE)</f>
        <v>0</v>
      </c>
      <c r="R11" s="118">
        <f>VLOOKUP(C11,'Talente &amp; Stuff'!IA:JB,16,FALSE)</f>
        <v>0</v>
      </c>
      <c r="S11" s="92">
        <f>VLOOKUP(C11,'Talente &amp; Stuff'!IA:JB,17,FALSE)</f>
        <v>0</v>
      </c>
      <c r="T11" s="91">
        <f>VLOOKUP(C11,'Talente &amp; Stuff'!IA:JB,18,FALSE)</f>
        <v>0</v>
      </c>
      <c r="U11" s="193">
        <f>VLOOKUP(C11,'Talente &amp; Stuff'!IA:JB,19,FALSE)</f>
        <v>0</v>
      </c>
      <c r="V11" s="116">
        <f>VLOOKUP(C11,'Talente &amp; Stuff'!IA:JB,20,FALSE)</f>
        <v>0</v>
      </c>
      <c r="W11" s="126">
        <f>VLOOKUP(C11,'Talente &amp; Stuff'!IA:JB,21,FALSE)</f>
        <v>0</v>
      </c>
      <c r="X11" s="158">
        <f>VLOOKUP(C11,'Talente &amp; Stuff'!IA:JB,22,FALSE)</f>
        <v>0</v>
      </c>
      <c r="Y11" s="165">
        <f t="shared" ref="Y11:Y24" si="0">VLOOKUP(C11,Ausgewählte_Talente_Körpertalente,255,FALSE)</f>
        <v>0</v>
      </c>
      <c r="Z11" s="44">
        <f t="shared" ref="Z11:Z24" si="1">VLOOKUP(C11,Ausgewählte_Talente_Körpertalente,256,FALSE)</f>
        <v>0</v>
      </c>
      <c r="AA11" s="158">
        <f>VLOOKUP(C11,'Talente &amp; Stuff'!IA:JB,25,FALSE)</f>
        <v>0</v>
      </c>
      <c r="AB11" s="91">
        <f>VLOOKUP(C11,'Talente &amp; Stuff'!IA:JB,26,FALSE)</f>
        <v>0</v>
      </c>
      <c r="AC11" s="126">
        <f>VLOOKUP(C11,'Talente &amp; Stuff'!IA:JB,27,FALSE)</f>
        <v>0</v>
      </c>
      <c r="AD11" s="158">
        <f>VLOOKUP(C11,'Talente &amp; Stuff'!IA:JB,28,FALSE)</f>
        <v>0</v>
      </c>
      <c r="AE11" s="28"/>
    </row>
    <row r="12" spans="1:31" ht="15" hidden="1" customHeight="1" outlineLevel="2">
      <c r="B12" s="148">
        <v>2</v>
      </c>
      <c r="C12" s="177" t="str">
        <f>Attribute!C12</f>
        <v>---</v>
      </c>
      <c r="D12" s="127" t="str">
        <f>VLOOKUP(C12,'Talente &amp; Stuff'!IA:JB,2,FALSE)</f>
        <v>--/--/--</v>
      </c>
      <c r="E12" s="125" t="str">
        <f>VLOOKUP(C12,'Talente &amp; Stuff'!IA:JB,3,FALSE)</f>
        <v>-</v>
      </c>
      <c r="F12" s="114">
        <f>VLOOKUP(C12,'Talente &amp; Stuff'!IA:JB,4,FALSE)</f>
        <v>0</v>
      </c>
      <c r="G12" s="113">
        <f>VLOOKUP(C12,'Talente &amp; Stuff'!IA:JB,5,FALSE)</f>
        <v>0</v>
      </c>
      <c r="H12" s="113">
        <f>VLOOKUP(C12,'Talente &amp; Stuff'!IA:JB,6,FALSE)</f>
        <v>0</v>
      </c>
      <c r="I12" s="113">
        <f>VLOOKUP(C12,'Talente &amp; Stuff'!IA:JB,7,FALSE)</f>
        <v>0</v>
      </c>
      <c r="J12" s="113">
        <f>VLOOKUP(C12,'Talente &amp; Stuff'!IA:JB,8,FALSE)</f>
        <v>0</v>
      </c>
      <c r="K12" s="113">
        <f>VLOOKUP(C12,'Talente &amp; Stuff'!IA:JB,9,FALSE)</f>
        <v>0</v>
      </c>
      <c r="L12" s="113">
        <f>VLOOKUP(C12,'Talente &amp; Stuff'!IA:JB,10,FALSE)</f>
        <v>0</v>
      </c>
      <c r="M12" s="119">
        <f>VLOOKUP(C12,'Talente &amp; Stuff'!IA:JB,11,FALSE)</f>
        <v>0</v>
      </c>
      <c r="N12" s="89">
        <f>VLOOKUP(C12,'Talente &amp; Stuff'!IA:JB,12,FALSE)</f>
        <v>0</v>
      </c>
      <c r="O12" s="47">
        <f>VLOOKUP(C12,'Talente &amp; Stuff'!IA:JB,13,FALSE)</f>
        <v>0</v>
      </c>
      <c r="P12" s="119">
        <f>VLOOKUP(C12,'Talente &amp; Stuff'!IA:JB,14,FALSE)</f>
        <v>0</v>
      </c>
      <c r="Q12" s="114">
        <f>VLOOKUP(C12,'Talente &amp; Stuff'!IA:JB,15,FALSE)</f>
        <v>0</v>
      </c>
      <c r="R12" s="113">
        <f>VLOOKUP(C12,'Talente &amp; Stuff'!IA:JB,16,FALSE)</f>
        <v>0</v>
      </c>
      <c r="S12" s="119">
        <f>VLOOKUP(C12,'Talente &amp; Stuff'!IA:JB,17,FALSE)</f>
        <v>0</v>
      </c>
      <c r="T12" s="160">
        <f>VLOOKUP(C12,'Talente &amp; Stuff'!IA:JB,18,FALSE)</f>
        <v>0</v>
      </c>
      <c r="U12" s="89">
        <f>VLOOKUP(C12,'Talente &amp; Stuff'!IA:JB,19,FALSE)</f>
        <v>0</v>
      </c>
      <c r="V12" s="47">
        <f>VLOOKUP(C12,'Talente &amp; Stuff'!IA:JB,20,FALSE)</f>
        <v>0</v>
      </c>
      <c r="W12" s="127">
        <f>VLOOKUP(C12,'Talente &amp; Stuff'!IA:JB,21,FALSE)</f>
        <v>0</v>
      </c>
      <c r="X12" s="125">
        <f>VLOOKUP(C12,'Talente &amp; Stuff'!IA:JB,22,FALSE)</f>
        <v>0</v>
      </c>
      <c r="Y12" s="165">
        <f t="shared" si="0"/>
        <v>0</v>
      </c>
      <c r="Z12" s="44">
        <f t="shared" si="1"/>
        <v>0</v>
      </c>
      <c r="AA12" s="125">
        <f>VLOOKUP(C12,'Talente &amp; Stuff'!IA:JB,25,FALSE)</f>
        <v>0</v>
      </c>
      <c r="AB12" s="160">
        <f>VLOOKUP(C12,'Talente &amp; Stuff'!IA:JB,26,FALSE)</f>
        <v>0</v>
      </c>
      <c r="AC12" s="127">
        <f>VLOOKUP(C12,'Talente &amp; Stuff'!IA:JB,27,FALSE)</f>
        <v>0</v>
      </c>
      <c r="AD12" s="125">
        <f>VLOOKUP(C12,'Talente &amp; Stuff'!IA:JB,28,FALSE)</f>
        <v>0</v>
      </c>
      <c r="AE12" s="28"/>
    </row>
    <row r="13" spans="1:31" ht="15" hidden="1" customHeight="1" outlineLevel="2">
      <c r="B13" s="148">
        <v>3</v>
      </c>
      <c r="C13" s="177" t="str">
        <f>Attribute!C13</f>
        <v>---</v>
      </c>
      <c r="D13" s="127" t="str">
        <f>VLOOKUP(C13,'Talente &amp; Stuff'!IA:JB,2,FALSE)</f>
        <v>--/--/--</v>
      </c>
      <c r="E13" s="125" t="str">
        <f>VLOOKUP(C13,'Talente &amp; Stuff'!IA:JB,3,FALSE)</f>
        <v>-</v>
      </c>
      <c r="F13" s="114">
        <f>VLOOKUP(C13,'Talente &amp; Stuff'!IA:JB,4,FALSE)</f>
        <v>0</v>
      </c>
      <c r="G13" s="113">
        <f>VLOOKUP(C13,'Talente &amp; Stuff'!IA:JB,5,FALSE)</f>
        <v>0</v>
      </c>
      <c r="H13" s="113">
        <f>VLOOKUP(C13,'Talente &amp; Stuff'!IA:JB,6,FALSE)</f>
        <v>0</v>
      </c>
      <c r="I13" s="113">
        <f>VLOOKUP(C13,'Talente &amp; Stuff'!IA:JB,7,FALSE)</f>
        <v>0</v>
      </c>
      <c r="J13" s="113">
        <f>VLOOKUP(C13,'Talente &amp; Stuff'!IA:JB,8,FALSE)</f>
        <v>0</v>
      </c>
      <c r="K13" s="113">
        <f>VLOOKUP(C13,'Talente &amp; Stuff'!IA:JB,9,FALSE)</f>
        <v>0</v>
      </c>
      <c r="L13" s="113">
        <f>VLOOKUP(C13,'Talente &amp; Stuff'!IA:JB,10,FALSE)</f>
        <v>0</v>
      </c>
      <c r="M13" s="119">
        <f>VLOOKUP(C13,'Talente &amp; Stuff'!IA:JB,11,FALSE)</f>
        <v>0</v>
      </c>
      <c r="N13" s="89">
        <f>VLOOKUP(C13,'Talente &amp; Stuff'!IA:JB,12,FALSE)</f>
        <v>0</v>
      </c>
      <c r="O13" s="47">
        <f>VLOOKUP(C13,'Talente &amp; Stuff'!IA:JB,13,FALSE)</f>
        <v>0</v>
      </c>
      <c r="P13" s="119">
        <f>VLOOKUP(C13,'Talente &amp; Stuff'!IA:JB,14,FALSE)</f>
        <v>0</v>
      </c>
      <c r="Q13" s="114">
        <f>VLOOKUP(C13,'Talente &amp; Stuff'!IA:JB,15,FALSE)</f>
        <v>0</v>
      </c>
      <c r="R13" s="113">
        <f>VLOOKUP(C13,'Talente &amp; Stuff'!IA:JB,16,FALSE)</f>
        <v>0</v>
      </c>
      <c r="S13" s="119">
        <f>VLOOKUP(C13,'Talente &amp; Stuff'!IA:JB,17,FALSE)</f>
        <v>0</v>
      </c>
      <c r="T13" s="160">
        <f>VLOOKUP(C13,'Talente &amp; Stuff'!IA:JB,18,FALSE)</f>
        <v>0</v>
      </c>
      <c r="U13" s="89">
        <f>VLOOKUP(C13,'Talente &amp; Stuff'!IA:JB,19,FALSE)</f>
        <v>0</v>
      </c>
      <c r="V13" s="47">
        <f>VLOOKUP(C13,'Talente &amp; Stuff'!IA:JB,20,FALSE)</f>
        <v>0</v>
      </c>
      <c r="W13" s="127">
        <f>VLOOKUP(C13,'Talente &amp; Stuff'!IA:JB,21,FALSE)</f>
        <v>0</v>
      </c>
      <c r="X13" s="125">
        <f>VLOOKUP(C13,'Talente &amp; Stuff'!IA:JB,22,FALSE)</f>
        <v>0</v>
      </c>
      <c r="Y13" s="165">
        <f t="shared" si="0"/>
        <v>0</v>
      </c>
      <c r="Z13" s="44">
        <f t="shared" si="1"/>
        <v>0</v>
      </c>
      <c r="AA13" s="125">
        <f>VLOOKUP(C13,'Talente &amp; Stuff'!IA:JB,25,FALSE)</f>
        <v>0</v>
      </c>
      <c r="AB13" s="160">
        <f>VLOOKUP(C13,'Talente &amp; Stuff'!IA:JB,26,FALSE)</f>
        <v>0</v>
      </c>
      <c r="AC13" s="127">
        <f>VLOOKUP(C13,'Talente &amp; Stuff'!IA:JB,27,FALSE)</f>
        <v>0</v>
      </c>
      <c r="AD13" s="125">
        <f>VLOOKUP(C13,'Talente &amp; Stuff'!IA:JB,28,FALSE)</f>
        <v>0</v>
      </c>
      <c r="AE13" s="28"/>
    </row>
    <row r="14" spans="1:31" ht="15" hidden="1" customHeight="1" outlineLevel="2">
      <c r="B14" s="148">
        <v>4</v>
      </c>
      <c r="C14" s="177" t="str">
        <f>Attribute!C14</f>
        <v>---</v>
      </c>
      <c r="D14" s="127" t="str">
        <f>VLOOKUP(C14,'Talente &amp; Stuff'!IA:JB,2,FALSE)</f>
        <v>--/--/--</v>
      </c>
      <c r="E14" s="125" t="str">
        <f>VLOOKUP(C14,'Talente &amp; Stuff'!IA:JB,3,FALSE)</f>
        <v>-</v>
      </c>
      <c r="F14" s="114">
        <f>VLOOKUP(C14,'Talente &amp; Stuff'!IA:JB,4,FALSE)</f>
        <v>0</v>
      </c>
      <c r="G14" s="113">
        <f>VLOOKUP(C14,'Talente &amp; Stuff'!IA:JB,5,FALSE)</f>
        <v>0</v>
      </c>
      <c r="H14" s="113">
        <f>VLOOKUP(C14,'Talente &amp; Stuff'!IA:JB,6,FALSE)</f>
        <v>0</v>
      </c>
      <c r="I14" s="113">
        <f>VLOOKUP(C14,'Talente &amp; Stuff'!IA:JB,7,FALSE)</f>
        <v>0</v>
      </c>
      <c r="J14" s="113">
        <f>VLOOKUP(C14,'Talente &amp; Stuff'!IA:JB,8,FALSE)</f>
        <v>0</v>
      </c>
      <c r="K14" s="113">
        <f>VLOOKUP(C14,'Talente &amp; Stuff'!IA:JB,9,FALSE)</f>
        <v>0</v>
      </c>
      <c r="L14" s="113">
        <f>VLOOKUP(C14,'Talente &amp; Stuff'!IA:JB,10,FALSE)</f>
        <v>0</v>
      </c>
      <c r="M14" s="119">
        <f>VLOOKUP(C14,'Talente &amp; Stuff'!IA:JB,11,FALSE)</f>
        <v>0</v>
      </c>
      <c r="N14" s="89">
        <f>VLOOKUP(C14,'Talente &amp; Stuff'!IA:JB,12,FALSE)</f>
        <v>0</v>
      </c>
      <c r="O14" s="47">
        <f>VLOOKUP(C14,'Talente &amp; Stuff'!IA:JB,13,FALSE)</f>
        <v>0</v>
      </c>
      <c r="P14" s="119">
        <f>VLOOKUP(C14,'Talente &amp; Stuff'!IA:JB,14,FALSE)</f>
        <v>0</v>
      </c>
      <c r="Q14" s="114">
        <f>VLOOKUP(C14,'Talente &amp; Stuff'!IA:JB,15,FALSE)</f>
        <v>0</v>
      </c>
      <c r="R14" s="113">
        <f>VLOOKUP(C14,'Talente &amp; Stuff'!IA:JB,16,FALSE)</f>
        <v>0</v>
      </c>
      <c r="S14" s="119">
        <f>VLOOKUP(C14,'Talente &amp; Stuff'!IA:JB,17,FALSE)</f>
        <v>0</v>
      </c>
      <c r="T14" s="160">
        <f>VLOOKUP(C14,'Talente &amp; Stuff'!IA:JB,18,FALSE)</f>
        <v>0</v>
      </c>
      <c r="U14" s="89">
        <f>VLOOKUP(C14,'Talente &amp; Stuff'!IA:JB,19,FALSE)</f>
        <v>0</v>
      </c>
      <c r="V14" s="47">
        <f>VLOOKUP(C14,'Talente &amp; Stuff'!IA:JB,20,FALSE)</f>
        <v>0</v>
      </c>
      <c r="W14" s="127">
        <f>VLOOKUP(C14,'Talente &amp; Stuff'!IA:JB,21,FALSE)</f>
        <v>0</v>
      </c>
      <c r="X14" s="125">
        <f>VLOOKUP(C14,'Talente &amp; Stuff'!IA:JB,22,FALSE)</f>
        <v>0</v>
      </c>
      <c r="Y14" s="165">
        <f t="shared" si="0"/>
        <v>0</v>
      </c>
      <c r="Z14" s="44">
        <f t="shared" si="1"/>
        <v>0</v>
      </c>
      <c r="AA14" s="125">
        <f>VLOOKUP(C14,'Talente &amp; Stuff'!IA:JB,25,FALSE)</f>
        <v>0</v>
      </c>
      <c r="AB14" s="160">
        <f>VLOOKUP(C14,'Talente &amp; Stuff'!IA:JB,26,FALSE)</f>
        <v>0</v>
      </c>
      <c r="AC14" s="127">
        <f>VLOOKUP(C14,'Talente &amp; Stuff'!IA:JB,27,FALSE)</f>
        <v>0</v>
      </c>
      <c r="AD14" s="125">
        <f>VLOOKUP(C14,'Talente &amp; Stuff'!IA:JB,28,FALSE)</f>
        <v>0</v>
      </c>
      <c r="AE14" s="28"/>
    </row>
    <row r="15" spans="1:31" ht="15" hidden="1" customHeight="1" outlineLevel="2">
      <c r="B15" s="148">
        <v>5</v>
      </c>
      <c r="C15" s="177" t="str">
        <f>Attribute!C15</f>
        <v>---</v>
      </c>
      <c r="D15" s="127" t="str">
        <f>VLOOKUP(C15,'Talente &amp; Stuff'!IA:JB,2,FALSE)</f>
        <v>--/--/--</v>
      </c>
      <c r="E15" s="125" t="str">
        <f>VLOOKUP(C15,'Talente &amp; Stuff'!IA:JB,3,FALSE)</f>
        <v>-</v>
      </c>
      <c r="F15" s="114">
        <f>VLOOKUP(C15,'Talente &amp; Stuff'!IA:JB,4,FALSE)</f>
        <v>0</v>
      </c>
      <c r="G15" s="113">
        <f>VLOOKUP(C15,'Talente &amp; Stuff'!IA:JB,5,FALSE)</f>
        <v>0</v>
      </c>
      <c r="H15" s="113">
        <f>VLOOKUP(C15,'Talente &amp; Stuff'!IA:JB,6,FALSE)</f>
        <v>0</v>
      </c>
      <c r="I15" s="113">
        <f>VLOOKUP(C15,'Talente &amp; Stuff'!IA:JB,7,FALSE)</f>
        <v>0</v>
      </c>
      <c r="J15" s="113">
        <f>VLOOKUP(C15,'Talente &amp; Stuff'!IA:JB,8,FALSE)</f>
        <v>0</v>
      </c>
      <c r="K15" s="113">
        <f>VLOOKUP(C15,'Talente &amp; Stuff'!IA:JB,9,FALSE)</f>
        <v>0</v>
      </c>
      <c r="L15" s="113">
        <f>VLOOKUP(C15,'Talente &amp; Stuff'!IA:JB,10,FALSE)</f>
        <v>0</v>
      </c>
      <c r="M15" s="119">
        <f>VLOOKUP(C15,'Talente &amp; Stuff'!IA:JB,11,FALSE)</f>
        <v>0</v>
      </c>
      <c r="N15" s="89">
        <f>VLOOKUP(C15,'Talente &amp; Stuff'!IA:JB,12,FALSE)</f>
        <v>0</v>
      </c>
      <c r="O15" s="47">
        <f>VLOOKUP(C15,'Talente &amp; Stuff'!IA:JB,13,FALSE)</f>
        <v>0</v>
      </c>
      <c r="P15" s="119">
        <f>VLOOKUP(C15,'Talente &amp; Stuff'!IA:JB,14,FALSE)</f>
        <v>0</v>
      </c>
      <c r="Q15" s="114">
        <f>VLOOKUP(C15,'Talente &amp; Stuff'!IA:JB,15,FALSE)</f>
        <v>0</v>
      </c>
      <c r="R15" s="113">
        <f>VLOOKUP(C15,'Talente &amp; Stuff'!IA:JB,16,FALSE)</f>
        <v>0</v>
      </c>
      <c r="S15" s="119">
        <f>VLOOKUP(C15,'Talente &amp; Stuff'!IA:JB,17,FALSE)</f>
        <v>0</v>
      </c>
      <c r="T15" s="160">
        <f>VLOOKUP(C15,'Talente &amp; Stuff'!IA:JB,18,FALSE)</f>
        <v>0</v>
      </c>
      <c r="U15" s="89">
        <f>VLOOKUP(C15,'Talente &amp; Stuff'!IA:JB,19,FALSE)</f>
        <v>0</v>
      </c>
      <c r="V15" s="47">
        <f>VLOOKUP(C15,'Talente &amp; Stuff'!IA:JB,20,FALSE)</f>
        <v>0</v>
      </c>
      <c r="W15" s="127">
        <f>VLOOKUP(C15,'Talente &amp; Stuff'!IA:JB,21,FALSE)</f>
        <v>0</v>
      </c>
      <c r="X15" s="125">
        <f>VLOOKUP(C15,'Talente &amp; Stuff'!IA:JB,22,FALSE)</f>
        <v>0</v>
      </c>
      <c r="Y15" s="165">
        <f t="shared" si="0"/>
        <v>0</v>
      </c>
      <c r="Z15" s="44">
        <f t="shared" si="1"/>
        <v>0</v>
      </c>
      <c r="AA15" s="125">
        <f>VLOOKUP(C15,'Talente &amp; Stuff'!IA:JB,25,FALSE)</f>
        <v>0</v>
      </c>
      <c r="AB15" s="160">
        <f>VLOOKUP(C15,'Talente &amp; Stuff'!IA:JB,26,FALSE)</f>
        <v>0</v>
      </c>
      <c r="AC15" s="127">
        <f>VLOOKUP(C15,'Talente &amp; Stuff'!IA:JB,27,FALSE)</f>
        <v>0</v>
      </c>
      <c r="AD15" s="125">
        <f>VLOOKUP(C15,'Talente &amp; Stuff'!IA:JB,28,FALSE)</f>
        <v>0</v>
      </c>
      <c r="AE15" s="28"/>
    </row>
    <row r="16" spans="1:31" ht="15" hidden="1" customHeight="1" outlineLevel="2">
      <c r="B16" s="148">
        <v>6</v>
      </c>
      <c r="C16" s="177" t="str">
        <f>Attribute!C16</f>
        <v>---</v>
      </c>
      <c r="D16" s="127" t="str">
        <f>VLOOKUP(C16,'Talente &amp; Stuff'!IA:JB,2,FALSE)</f>
        <v>--/--/--</v>
      </c>
      <c r="E16" s="125" t="str">
        <f>VLOOKUP(C16,'Talente &amp; Stuff'!IA:JB,3,FALSE)</f>
        <v>-</v>
      </c>
      <c r="F16" s="114">
        <f>VLOOKUP(C16,'Talente &amp; Stuff'!IA:JB,4,FALSE)</f>
        <v>0</v>
      </c>
      <c r="G16" s="113">
        <f>VLOOKUP(C16,'Talente &amp; Stuff'!IA:JB,5,FALSE)</f>
        <v>0</v>
      </c>
      <c r="H16" s="113">
        <f>VLOOKUP(C16,'Talente &amp; Stuff'!IA:JB,6,FALSE)</f>
        <v>0</v>
      </c>
      <c r="I16" s="113">
        <f>VLOOKUP(C16,'Talente &amp; Stuff'!IA:JB,7,FALSE)</f>
        <v>0</v>
      </c>
      <c r="J16" s="113">
        <f>VLOOKUP(C16,'Talente &amp; Stuff'!IA:JB,8,FALSE)</f>
        <v>0</v>
      </c>
      <c r="K16" s="113">
        <f>VLOOKUP(C16,'Talente &amp; Stuff'!IA:JB,9,FALSE)</f>
        <v>0</v>
      </c>
      <c r="L16" s="113">
        <f>VLOOKUP(C16,'Talente &amp; Stuff'!IA:JB,10,FALSE)</f>
        <v>0</v>
      </c>
      <c r="M16" s="119">
        <f>VLOOKUP(C16,'Talente &amp; Stuff'!IA:JB,11,FALSE)</f>
        <v>0</v>
      </c>
      <c r="N16" s="89">
        <f>VLOOKUP(C16,'Talente &amp; Stuff'!IA:JB,12,FALSE)</f>
        <v>0</v>
      </c>
      <c r="O16" s="47">
        <f>VLOOKUP(C16,'Talente &amp; Stuff'!IA:JB,13,FALSE)</f>
        <v>0</v>
      </c>
      <c r="P16" s="119">
        <f>VLOOKUP(C16,'Talente &amp; Stuff'!IA:JB,14,FALSE)</f>
        <v>0</v>
      </c>
      <c r="Q16" s="114">
        <f>VLOOKUP(C16,'Talente &amp; Stuff'!IA:JB,15,FALSE)</f>
        <v>0</v>
      </c>
      <c r="R16" s="113">
        <f>VLOOKUP(C16,'Talente &amp; Stuff'!IA:JB,16,FALSE)</f>
        <v>0</v>
      </c>
      <c r="S16" s="119">
        <f>VLOOKUP(C16,'Talente &amp; Stuff'!IA:JB,17,FALSE)</f>
        <v>0</v>
      </c>
      <c r="T16" s="160">
        <f>VLOOKUP(C16,'Talente &amp; Stuff'!IA:JB,18,FALSE)</f>
        <v>0</v>
      </c>
      <c r="U16" s="89">
        <f>VLOOKUP(C16,'Talente &amp; Stuff'!IA:JB,19,FALSE)</f>
        <v>0</v>
      </c>
      <c r="V16" s="47">
        <f>VLOOKUP(C16,'Talente &amp; Stuff'!IA:JB,20,FALSE)</f>
        <v>0</v>
      </c>
      <c r="W16" s="127">
        <f>VLOOKUP(C16,'Talente &amp; Stuff'!IA:JB,21,FALSE)</f>
        <v>0</v>
      </c>
      <c r="X16" s="125">
        <f>VLOOKUP(C16,'Talente &amp; Stuff'!IA:JB,22,FALSE)</f>
        <v>0</v>
      </c>
      <c r="Y16" s="165">
        <f t="shared" si="0"/>
        <v>0</v>
      </c>
      <c r="Z16" s="44">
        <f t="shared" si="1"/>
        <v>0</v>
      </c>
      <c r="AA16" s="125">
        <f>VLOOKUP(C16,'Talente &amp; Stuff'!IA:JB,25,FALSE)</f>
        <v>0</v>
      </c>
      <c r="AB16" s="160">
        <f>VLOOKUP(C16,'Talente &amp; Stuff'!IA:JB,26,FALSE)</f>
        <v>0</v>
      </c>
      <c r="AC16" s="127">
        <f>VLOOKUP(C16,'Talente &amp; Stuff'!IA:JB,27,FALSE)</f>
        <v>0</v>
      </c>
      <c r="AD16" s="125">
        <f>VLOOKUP(C16,'Talente &amp; Stuff'!IA:JB,28,FALSE)</f>
        <v>0</v>
      </c>
      <c r="AE16" s="28"/>
    </row>
    <row r="17" spans="2:31" ht="15" hidden="1" customHeight="1" outlineLevel="2">
      <c r="B17" s="148">
        <v>7</v>
      </c>
      <c r="C17" s="177" t="str">
        <f>Attribute!C17</f>
        <v>---</v>
      </c>
      <c r="D17" s="127" t="str">
        <f>VLOOKUP(C17,'Talente &amp; Stuff'!IA:JB,2,FALSE)</f>
        <v>--/--/--</v>
      </c>
      <c r="E17" s="125" t="str">
        <f>VLOOKUP(C17,'Talente &amp; Stuff'!IA:JB,3,FALSE)</f>
        <v>-</v>
      </c>
      <c r="F17" s="114">
        <f>VLOOKUP(C17,'Talente &amp; Stuff'!IA:JB,4,FALSE)</f>
        <v>0</v>
      </c>
      <c r="G17" s="113">
        <f>VLOOKUP(C17,'Talente &amp; Stuff'!IA:JB,5,FALSE)</f>
        <v>0</v>
      </c>
      <c r="H17" s="113">
        <f>VLOOKUP(C17,'Talente &amp; Stuff'!IA:JB,6,FALSE)</f>
        <v>0</v>
      </c>
      <c r="I17" s="113">
        <f>VLOOKUP(C17,'Talente &amp; Stuff'!IA:JB,7,FALSE)</f>
        <v>0</v>
      </c>
      <c r="J17" s="113">
        <f>VLOOKUP(C17,'Talente &amp; Stuff'!IA:JB,8,FALSE)</f>
        <v>0</v>
      </c>
      <c r="K17" s="113">
        <f>VLOOKUP(C17,'Talente &amp; Stuff'!IA:JB,9,FALSE)</f>
        <v>0</v>
      </c>
      <c r="L17" s="113">
        <f>VLOOKUP(C17,'Talente &amp; Stuff'!IA:JB,10,FALSE)</f>
        <v>0</v>
      </c>
      <c r="M17" s="119">
        <f>VLOOKUP(C17,'Talente &amp; Stuff'!IA:JB,11,FALSE)</f>
        <v>0</v>
      </c>
      <c r="N17" s="89">
        <f>VLOOKUP(C17,'Talente &amp; Stuff'!IA:JB,12,FALSE)</f>
        <v>0</v>
      </c>
      <c r="O17" s="47">
        <f>VLOOKUP(C17,'Talente &amp; Stuff'!IA:JB,13,FALSE)</f>
        <v>0</v>
      </c>
      <c r="P17" s="119">
        <f>VLOOKUP(C17,'Talente &amp; Stuff'!IA:JB,14,FALSE)</f>
        <v>0</v>
      </c>
      <c r="Q17" s="114">
        <f>VLOOKUP(C17,'Talente &amp; Stuff'!IA:JB,15,FALSE)</f>
        <v>0</v>
      </c>
      <c r="R17" s="113">
        <f>VLOOKUP(C17,'Talente &amp; Stuff'!IA:JB,16,FALSE)</f>
        <v>0</v>
      </c>
      <c r="S17" s="119">
        <f>VLOOKUP(C17,'Talente &amp; Stuff'!IA:JB,17,FALSE)</f>
        <v>0</v>
      </c>
      <c r="T17" s="160">
        <f>VLOOKUP(C17,'Talente &amp; Stuff'!IA:JB,18,FALSE)</f>
        <v>0</v>
      </c>
      <c r="U17" s="89">
        <f>VLOOKUP(C17,'Talente &amp; Stuff'!IA:JB,19,FALSE)</f>
        <v>0</v>
      </c>
      <c r="V17" s="47">
        <f>VLOOKUP(C17,'Talente &amp; Stuff'!IA:JB,20,FALSE)</f>
        <v>0</v>
      </c>
      <c r="W17" s="127">
        <f>VLOOKUP(C17,'Talente &amp; Stuff'!IA:JB,21,FALSE)</f>
        <v>0</v>
      </c>
      <c r="X17" s="125">
        <f>VLOOKUP(C17,'Talente &amp; Stuff'!IA:JB,22,FALSE)</f>
        <v>0</v>
      </c>
      <c r="Y17" s="165">
        <f t="shared" si="0"/>
        <v>0</v>
      </c>
      <c r="Z17" s="44">
        <f t="shared" si="1"/>
        <v>0</v>
      </c>
      <c r="AA17" s="125">
        <f>VLOOKUP(C17,'Talente &amp; Stuff'!IA:JB,25,FALSE)</f>
        <v>0</v>
      </c>
      <c r="AB17" s="160">
        <f>VLOOKUP(C17,'Talente &amp; Stuff'!IA:JB,26,FALSE)</f>
        <v>0</v>
      </c>
      <c r="AC17" s="127">
        <f>VLOOKUP(C17,'Talente &amp; Stuff'!IA:JB,27,FALSE)</f>
        <v>0</v>
      </c>
      <c r="AD17" s="125">
        <f>VLOOKUP(C17,'Talente &amp; Stuff'!IA:JB,28,FALSE)</f>
        <v>0</v>
      </c>
      <c r="AE17" s="28"/>
    </row>
    <row r="18" spans="2:31" ht="15" hidden="1" customHeight="1" outlineLevel="2">
      <c r="B18" s="148">
        <v>8</v>
      </c>
      <c r="C18" s="177" t="str">
        <f>Attribute!C18</f>
        <v>---</v>
      </c>
      <c r="D18" s="127" t="str">
        <f>VLOOKUP(C18,'Talente &amp; Stuff'!IA:JB,2,FALSE)</f>
        <v>--/--/--</v>
      </c>
      <c r="E18" s="125" t="str">
        <f>VLOOKUP(C18,'Talente &amp; Stuff'!IA:JB,3,FALSE)</f>
        <v>-</v>
      </c>
      <c r="F18" s="114">
        <f>VLOOKUP(C18,'Talente &amp; Stuff'!IA:JB,4,FALSE)</f>
        <v>0</v>
      </c>
      <c r="G18" s="113">
        <f>VLOOKUP(C18,'Talente &amp; Stuff'!IA:JB,5,FALSE)</f>
        <v>0</v>
      </c>
      <c r="H18" s="113">
        <f>VLOOKUP(C18,'Talente &amp; Stuff'!IA:JB,6,FALSE)</f>
        <v>0</v>
      </c>
      <c r="I18" s="113">
        <f>VLOOKUP(C18,'Talente &amp; Stuff'!IA:JB,7,FALSE)</f>
        <v>0</v>
      </c>
      <c r="J18" s="113">
        <f>VLOOKUP(C18,'Talente &amp; Stuff'!IA:JB,8,FALSE)</f>
        <v>0</v>
      </c>
      <c r="K18" s="113">
        <f>VLOOKUP(C18,'Talente &amp; Stuff'!IA:JB,9,FALSE)</f>
        <v>0</v>
      </c>
      <c r="L18" s="113">
        <f>VLOOKUP(C18,'Talente &amp; Stuff'!IA:JB,10,FALSE)</f>
        <v>0</v>
      </c>
      <c r="M18" s="119">
        <f>VLOOKUP(C18,'Talente &amp; Stuff'!IA:JB,11,FALSE)</f>
        <v>0</v>
      </c>
      <c r="N18" s="89">
        <f>VLOOKUP(C18,'Talente &amp; Stuff'!IA:JB,12,FALSE)</f>
        <v>0</v>
      </c>
      <c r="O18" s="47">
        <f>VLOOKUP(C18,'Talente &amp; Stuff'!IA:JB,13,FALSE)</f>
        <v>0</v>
      </c>
      <c r="P18" s="119">
        <f>VLOOKUP(C18,'Talente &amp; Stuff'!IA:JB,14,FALSE)</f>
        <v>0</v>
      </c>
      <c r="Q18" s="114">
        <f>VLOOKUP(C18,'Talente &amp; Stuff'!IA:JB,15,FALSE)</f>
        <v>0</v>
      </c>
      <c r="R18" s="113">
        <f>VLOOKUP(C18,'Talente &amp; Stuff'!IA:JB,16,FALSE)</f>
        <v>0</v>
      </c>
      <c r="S18" s="119">
        <f>VLOOKUP(C18,'Talente &amp; Stuff'!IA:JB,17,FALSE)</f>
        <v>0</v>
      </c>
      <c r="T18" s="160">
        <f>VLOOKUP(C18,'Talente &amp; Stuff'!IA:JB,18,FALSE)</f>
        <v>0</v>
      </c>
      <c r="U18" s="89">
        <f>VLOOKUP(C18,'Talente &amp; Stuff'!IA:JB,19,FALSE)</f>
        <v>0</v>
      </c>
      <c r="V18" s="47">
        <f>VLOOKUP(C18,'Talente &amp; Stuff'!IA:JB,20,FALSE)</f>
        <v>0</v>
      </c>
      <c r="W18" s="127">
        <f>VLOOKUP(C18,'Talente &amp; Stuff'!IA:JB,21,FALSE)</f>
        <v>0</v>
      </c>
      <c r="X18" s="125">
        <f>VLOOKUP(C18,'Talente &amp; Stuff'!IA:JB,22,FALSE)</f>
        <v>0</v>
      </c>
      <c r="Y18" s="165">
        <f t="shared" si="0"/>
        <v>0</v>
      </c>
      <c r="Z18" s="44">
        <f t="shared" si="1"/>
        <v>0</v>
      </c>
      <c r="AA18" s="125">
        <f>VLOOKUP(C18,'Talente &amp; Stuff'!IA:JB,25,FALSE)</f>
        <v>0</v>
      </c>
      <c r="AB18" s="160">
        <f>VLOOKUP(C18,'Talente &amp; Stuff'!IA:JB,26,FALSE)</f>
        <v>0</v>
      </c>
      <c r="AC18" s="127">
        <f>VLOOKUP(C18,'Talente &amp; Stuff'!IA:JB,27,FALSE)</f>
        <v>0</v>
      </c>
      <c r="AD18" s="125">
        <f>VLOOKUP(C18,'Talente &amp; Stuff'!IA:JB,28,FALSE)</f>
        <v>0</v>
      </c>
      <c r="AE18" s="28"/>
    </row>
    <row r="19" spans="2:31" ht="15" hidden="1" customHeight="1" outlineLevel="2">
      <c r="B19" s="148">
        <v>9</v>
      </c>
      <c r="C19" s="177" t="str">
        <f>Attribute!C19</f>
        <v>---</v>
      </c>
      <c r="D19" s="127" t="str">
        <f>VLOOKUP(C19,'Talente &amp; Stuff'!IA:JB,2,FALSE)</f>
        <v>--/--/--</v>
      </c>
      <c r="E19" s="125" t="str">
        <f>VLOOKUP(C19,'Talente &amp; Stuff'!IA:JB,3,FALSE)</f>
        <v>-</v>
      </c>
      <c r="F19" s="114">
        <f>VLOOKUP(C19,'Talente &amp; Stuff'!IA:JB,4,FALSE)</f>
        <v>0</v>
      </c>
      <c r="G19" s="113">
        <f>VLOOKUP(C19,'Talente &amp; Stuff'!IA:JB,5,FALSE)</f>
        <v>0</v>
      </c>
      <c r="H19" s="113">
        <f>VLOOKUP(C19,'Talente &amp; Stuff'!IA:JB,6,FALSE)</f>
        <v>0</v>
      </c>
      <c r="I19" s="113">
        <f>VLOOKUP(C19,'Talente &amp; Stuff'!IA:JB,7,FALSE)</f>
        <v>0</v>
      </c>
      <c r="J19" s="113">
        <f>VLOOKUP(C19,'Talente &amp; Stuff'!IA:JB,8,FALSE)</f>
        <v>0</v>
      </c>
      <c r="K19" s="113">
        <f>VLOOKUP(C19,'Talente &amp; Stuff'!IA:JB,9,FALSE)</f>
        <v>0</v>
      </c>
      <c r="L19" s="113">
        <f>VLOOKUP(C19,'Talente &amp; Stuff'!IA:JB,10,FALSE)</f>
        <v>0</v>
      </c>
      <c r="M19" s="119">
        <f>VLOOKUP(C19,'Talente &amp; Stuff'!IA:JB,11,FALSE)</f>
        <v>0</v>
      </c>
      <c r="N19" s="89">
        <f>VLOOKUP(C19,'Talente &amp; Stuff'!IA:JB,12,FALSE)</f>
        <v>0</v>
      </c>
      <c r="O19" s="47">
        <f>VLOOKUP(C19,'Talente &amp; Stuff'!IA:JB,13,FALSE)</f>
        <v>0</v>
      </c>
      <c r="P19" s="119">
        <f>VLOOKUP(C19,'Talente &amp; Stuff'!IA:JB,14,FALSE)</f>
        <v>0</v>
      </c>
      <c r="Q19" s="114">
        <f>VLOOKUP(C19,'Talente &amp; Stuff'!IA:JB,15,FALSE)</f>
        <v>0</v>
      </c>
      <c r="R19" s="113">
        <f>VLOOKUP(C19,'Talente &amp; Stuff'!IA:JB,16,FALSE)</f>
        <v>0</v>
      </c>
      <c r="S19" s="119">
        <f>VLOOKUP(C19,'Talente &amp; Stuff'!IA:JB,17,FALSE)</f>
        <v>0</v>
      </c>
      <c r="T19" s="160">
        <f>VLOOKUP(C19,'Talente &amp; Stuff'!IA:JB,18,FALSE)</f>
        <v>0</v>
      </c>
      <c r="U19" s="89">
        <f>VLOOKUP(C19,'Talente &amp; Stuff'!IA:JB,19,FALSE)</f>
        <v>0</v>
      </c>
      <c r="V19" s="47">
        <f>VLOOKUP(C19,'Talente &amp; Stuff'!IA:JB,20,FALSE)</f>
        <v>0</v>
      </c>
      <c r="W19" s="127">
        <f>VLOOKUP(C19,'Talente &amp; Stuff'!IA:JB,21,FALSE)</f>
        <v>0</v>
      </c>
      <c r="X19" s="125">
        <f>VLOOKUP(C19,'Talente &amp; Stuff'!IA:JB,22,FALSE)</f>
        <v>0</v>
      </c>
      <c r="Y19" s="165">
        <f t="shared" si="0"/>
        <v>0</v>
      </c>
      <c r="Z19" s="44">
        <f t="shared" si="1"/>
        <v>0</v>
      </c>
      <c r="AA19" s="125">
        <f>VLOOKUP(C19,'Talente &amp; Stuff'!IA:JB,25,FALSE)</f>
        <v>0</v>
      </c>
      <c r="AB19" s="160">
        <f>VLOOKUP(C19,'Talente &amp; Stuff'!IA:JB,26,FALSE)</f>
        <v>0</v>
      </c>
      <c r="AC19" s="127">
        <f>VLOOKUP(C19,'Talente &amp; Stuff'!IA:JB,27,FALSE)</f>
        <v>0</v>
      </c>
      <c r="AD19" s="125">
        <f>VLOOKUP(C19,'Talente &amp; Stuff'!IA:JB,28,FALSE)</f>
        <v>0</v>
      </c>
      <c r="AE19" s="28"/>
    </row>
    <row r="20" spans="2:31" ht="15" hidden="1" customHeight="1" outlineLevel="2">
      <c r="B20" s="148">
        <v>10</v>
      </c>
      <c r="C20" s="177" t="str">
        <f>Attribute!C20</f>
        <v>---</v>
      </c>
      <c r="D20" s="127" t="str">
        <f>VLOOKUP(C20,'Talente &amp; Stuff'!IA:JB,2,FALSE)</f>
        <v>--/--/--</v>
      </c>
      <c r="E20" s="125" t="str">
        <f>VLOOKUP(C20,'Talente &amp; Stuff'!IA:JB,3,FALSE)</f>
        <v>-</v>
      </c>
      <c r="F20" s="114">
        <f>VLOOKUP(C20,'Talente &amp; Stuff'!IA:JB,4,FALSE)</f>
        <v>0</v>
      </c>
      <c r="G20" s="113">
        <f>VLOOKUP(C20,'Talente &amp; Stuff'!IA:JB,5,FALSE)</f>
        <v>0</v>
      </c>
      <c r="H20" s="113">
        <f>VLOOKUP(C20,'Talente &amp; Stuff'!IA:JB,6,FALSE)</f>
        <v>0</v>
      </c>
      <c r="I20" s="113">
        <f>VLOOKUP(C20,'Talente &amp; Stuff'!IA:JB,7,FALSE)</f>
        <v>0</v>
      </c>
      <c r="J20" s="113">
        <f>VLOOKUP(C20,'Talente &amp; Stuff'!IA:JB,8,FALSE)</f>
        <v>0</v>
      </c>
      <c r="K20" s="113">
        <f>VLOOKUP(C20,'Talente &amp; Stuff'!IA:JB,9,FALSE)</f>
        <v>0</v>
      </c>
      <c r="L20" s="113">
        <f>VLOOKUP(C20,'Talente &amp; Stuff'!IA:JB,10,FALSE)</f>
        <v>0</v>
      </c>
      <c r="M20" s="119">
        <f>VLOOKUP(C20,'Talente &amp; Stuff'!IA:JB,11,FALSE)</f>
        <v>0</v>
      </c>
      <c r="N20" s="89">
        <f>VLOOKUP(C20,'Talente &amp; Stuff'!IA:JB,12,FALSE)</f>
        <v>0</v>
      </c>
      <c r="O20" s="47">
        <f>VLOOKUP(C20,'Talente &amp; Stuff'!IA:JB,13,FALSE)</f>
        <v>0</v>
      </c>
      <c r="P20" s="119">
        <f>VLOOKUP(C20,'Talente &amp; Stuff'!IA:JB,14,FALSE)</f>
        <v>0</v>
      </c>
      <c r="Q20" s="114">
        <f>VLOOKUP(C20,'Talente &amp; Stuff'!IA:JB,15,FALSE)</f>
        <v>0</v>
      </c>
      <c r="R20" s="113">
        <f>VLOOKUP(C20,'Talente &amp; Stuff'!IA:JB,16,FALSE)</f>
        <v>0</v>
      </c>
      <c r="S20" s="119">
        <f>VLOOKUP(C20,'Talente &amp; Stuff'!IA:JB,17,FALSE)</f>
        <v>0</v>
      </c>
      <c r="T20" s="160">
        <f>VLOOKUP(C20,'Talente &amp; Stuff'!IA:JB,18,FALSE)</f>
        <v>0</v>
      </c>
      <c r="U20" s="89">
        <f>VLOOKUP(C20,'Talente &amp; Stuff'!IA:JB,19,FALSE)</f>
        <v>0</v>
      </c>
      <c r="V20" s="47">
        <f>VLOOKUP(C20,'Talente &amp; Stuff'!IA:JB,20,FALSE)</f>
        <v>0</v>
      </c>
      <c r="W20" s="127">
        <f>VLOOKUP(C20,'Talente &amp; Stuff'!IA:JB,21,FALSE)</f>
        <v>0</v>
      </c>
      <c r="X20" s="125">
        <f>VLOOKUP(C20,'Talente &amp; Stuff'!IA:JB,22,FALSE)</f>
        <v>0</v>
      </c>
      <c r="Y20" s="165">
        <f t="shared" si="0"/>
        <v>0</v>
      </c>
      <c r="Z20" s="44">
        <f t="shared" si="1"/>
        <v>0</v>
      </c>
      <c r="AA20" s="125">
        <f>VLOOKUP(C20,'Talente &amp; Stuff'!IA:JB,25,FALSE)</f>
        <v>0</v>
      </c>
      <c r="AB20" s="160">
        <f>VLOOKUP(C20,'Talente &amp; Stuff'!IA:JB,26,FALSE)</f>
        <v>0</v>
      </c>
      <c r="AC20" s="127">
        <f>VLOOKUP(C20,'Talente &amp; Stuff'!IA:JB,27,FALSE)</f>
        <v>0</v>
      </c>
      <c r="AD20" s="125">
        <f>VLOOKUP(C20,'Talente &amp; Stuff'!IA:JB,28,FALSE)</f>
        <v>0</v>
      </c>
      <c r="AE20" s="28"/>
    </row>
    <row r="21" spans="2:31" ht="15" hidden="1" customHeight="1" outlineLevel="2">
      <c r="B21" s="148">
        <v>11</v>
      </c>
      <c r="C21" s="177" t="str">
        <f>Attribute!C21</f>
        <v>---</v>
      </c>
      <c r="D21" s="127" t="str">
        <f>VLOOKUP(C21,'Talente &amp; Stuff'!IA:JB,2,FALSE)</f>
        <v>--/--/--</v>
      </c>
      <c r="E21" s="125" t="str">
        <f>VLOOKUP(C21,'Talente &amp; Stuff'!IA:JB,3,FALSE)</f>
        <v>-</v>
      </c>
      <c r="F21" s="114">
        <f>VLOOKUP(C21,'Talente &amp; Stuff'!IA:JB,4,FALSE)</f>
        <v>0</v>
      </c>
      <c r="G21" s="113">
        <f>VLOOKUP(C21,'Talente &amp; Stuff'!IA:JB,5,FALSE)</f>
        <v>0</v>
      </c>
      <c r="H21" s="113">
        <f>VLOOKUP(C21,'Talente &amp; Stuff'!IA:JB,6,FALSE)</f>
        <v>0</v>
      </c>
      <c r="I21" s="113">
        <f>VLOOKUP(C21,'Talente &amp; Stuff'!IA:JB,7,FALSE)</f>
        <v>0</v>
      </c>
      <c r="J21" s="113">
        <f>VLOOKUP(C21,'Talente &amp; Stuff'!IA:JB,8,FALSE)</f>
        <v>0</v>
      </c>
      <c r="K21" s="113">
        <f>VLOOKUP(C21,'Talente &amp; Stuff'!IA:JB,9,FALSE)</f>
        <v>0</v>
      </c>
      <c r="L21" s="113">
        <f>VLOOKUP(C21,'Talente &amp; Stuff'!IA:JB,10,FALSE)</f>
        <v>0</v>
      </c>
      <c r="M21" s="119">
        <f>VLOOKUP(C21,'Talente &amp; Stuff'!IA:JB,11,FALSE)</f>
        <v>0</v>
      </c>
      <c r="N21" s="89">
        <f>VLOOKUP(C21,'Talente &amp; Stuff'!IA:JB,12,FALSE)</f>
        <v>0</v>
      </c>
      <c r="O21" s="47">
        <f>VLOOKUP(C21,'Talente &amp; Stuff'!IA:JB,13,FALSE)</f>
        <v>0</v>
      </c>
      <c r="P21" s="119">
        <f>VLOOKUP(C21,'Talente &amp; Stuff'!IA:JB,14,FALSE)</f>
        <v>0</v>
      </c>
      <c r="Q21" s="114">
        <f>VLOOKUP(C21,'Talente &amp; Stuff'!IA:JB,15,FALSE)</f>
        <v>0</v>
      </c>
      <c r="R21" s="113">
        <f>VLOOKUP(C21,'Talente &amp; Stuff'!IA:JB,16,FALSE)</f>
        <v>0</v>
      </c>
      <c r="S21" s="119">
        <f>VLOOKUP(C21,'Talente &amp; Stuff'!IA:JB,17,FALSE)</f>
        <v>0</v>
      </c>
      <c r="T21" s="160">
        <f>VLOOKUP(C21,'Talente &amp; Stuff'!IA:JB,18,FALSE)</f>
        <v>0</v>
      </c>
      <c r="U21" s="89">
        <f>VLOOKUP(C21,'Talente &amp; Stuff'!IA:JB,19,FALSE)</f>
        <v>0</v>
      </c>
      <c r="V21" s="47">
        <f>VLOOKUP(C21,'Talente &amp; Stuff'!IA:JB,20,FALSE)</f>
        <v>0</v>
      </c>
      <c r="W21" s="127">
        <f>VLOOKUP(C21,'Talente &amp; Stuff'!IA:JB,21,FALSE)</f>
        <v>0</v>
      </c>
      <c r="X21" s="125">
        <f>VLOOKUP(C21,'Talente &amp; Stuff'!IA:JB,22,FALSE)</f>
        <v>0</v>
      </c>
      <c r="Y21" s="165">
        <f t="shared" si="0"/>
        <v>0</v>
      </c>
      <c r="Z21" s="44">
        <f t="shared" si="1"/>
        <v>0</v>
      </c>
      <c r="AA21" s="125">
        <f>VLOOKUP(C21,'Talente &amp; Stuff'!IA:JB,25,FALSE)</f>
        <v>0</v>
      </c>
      <c r="AB21" s="160">
        <f>VLOOKUP(C21,'Talente &amp; Stuff'!IA:JB,26,FALSE)</f>
        <v>0</v>
      </c>
      <c r="AC21" s="127">
        <f>VLOOKUP(C21,'Talente &amp; Stuff'!IA:JB,27,FALSE)</f>
        <v>0</v>
      </c>
      <c r="AD21" s="125">
        <f>VLOOKUP(C21,'Talente &amp; Stuff'!IA:JB,28,FALSE)</f>
        <v>0</v>
      </c>
      <c r="AE21" s="28"/>
    </row>
    <row r="22" spans="2:31" ht="15" hidden="1" customHeight="1" outlineLevel="2">
      <c r="B22" s="148">
        <v>12</v>
      </c>
      <c r="C22" s="177" t="str">
        <f>Attribute!C22</f>
        <v>---</v>
      </c>
      <c r="D22" s="127" t="str">
        <f>VLOOKUP(C22,'Talente &amp; Stuff'!IA:JB,2,FALSE)</f>
        <v>--/--/--</v>
      </c>
      <c r="E22" s="125" t="str">
        <f>VLOOKUP(C22,'Talente &amp; Stuff'!IA:JB,3,FALSE)</f>
        <v>-</v>
      </c>
      <c r="F22" s="114">
        <f>VLOOKUP(C22,'Talente &amp; Stuff'!IA:JB,4,FALSE)</f>
        <v>0</v>
      </c>
      <c r="G22" s="113">
        <f>VLOOKUP(C22,'Talente &amp; Stuff'!IA:JB,5,FALSE)</f>
        <v>0</v>
      </c>
      <c r="H22" s="113">
        <f>VLOOKUP(C22,'Talente &amp; Stuff'!IA:JB,6,FALSE)</f>
        <v>0</v>
      </c>
      <c r="I22" s="113">
        <f>VLOOKUP(C22,'Talente &amp; Stuff'!IA:JB,7,FALSE)</f>
        <v>0</v>
      </c>
      <c r="J22" s="113">
        <f>VLOOKUP(C22,'Talente &amp; Stuff'!IA:JB,8,FALSE)</f>
        <v>0</v>
      </c>
      <c r="K22" s="113">
        <f>VLOOKUP(C22,'Talente &amp; Stuff'!IA:JB,9,FALSE)</f>
        <v>0</v>
      </c>
      <c r="L22" s="113">
        <f>VLOOKUP(C22,'Talente &amp; Stuff'!IA:JB,10,FALSE)</f>
        <v>0</v>
      </c>
      <c r="M22" s="119">
        <f>VLOOKUP(C22,'Talente &amp; Stuff'!IA:JB,11,FALSE)</f>
        <v>0</v>
      </c>
      <c r="N22" s="89">
        <f>VLOOKUP(C22,'Talente &amp; Stuff'!IA:JB,12,FALSE)</f>
        <v>0</v>
      </c>
      <c r="O22" s="47">
        <f>VLOOKUP(C22,'Talente &amp; Stuff'!IA:JB,13,FALSE)</f>
        <v>0</v>
      </c>
      <c r="P22" s="119">
        <f>VLOOKUP(C22,'Talente &amp; Stuff'!IA:JB,14,FALSE)</f>
        <v>0</v>
      </c>
      <c r="Q22" s="114">
        <f>VLOOKUP(C22,'Talente &amp; Stuff'!IA:JB,15,FALSE)</f>
        <v>0</v>
      </c>
      <c r="R22" s="113">
        <f>VLOOKUP(C22,'Talente &amp; Stuff'!IA:JB,16,FALSE)</f>
        <v>0</v>
      </c>
      <c r="S22" s="119">
        <f>VLOOKUP(C22,'Talente &amp; Stuff'!IA:JB,17,FALSE)</f>
        <v>0</v>
      </c>
      <c r="T22" s="160">
        <f>VLOOKUP(C22,'Talente &amp; Stuff'!IA:JB,18,FALSE)</f>
        <v>0</v>
      </c>
      <c r="U22" s="89">
        <f>VLOOKUP(C22,'Talente &amp; Stuff'!IA:JB,19,FALSE)</f>
        <v>0</v>
      </c>
      <c r="V22" s="47">
        <f>VLOOKUP(C22,'Talente &amp; Stuff'!IA:JB,20,FALSE)</f>
        <v>0</v>
      </c>
      <c r="W22" s="127">
        <f>VLOOKUP(C22,'Talente &amp; Stuff'!IA:JB,21,FALSE)</f>
        <v>0</v>
      </c>
      <c r="X22" s="125">
        <f>VLOOKUP(C22,'Talente &amp; Stuff'!IA:JB,22,FALSE)</f>
        <v>0</v>
      </c>
      <c r="Y22" s="165">
        <f t="shared" si="0"/>
        <v>0</v>
      </c>
      <c r="Z22" s="44">
        <f t="shared" si="1"/>
        <v>0</v>
      </c>
      <c r="AA22" s="125">
        <f>VLOOKUP(C22,'Talente &amp; Stuff'!IA:JB,25,FALSE)</f>
        <v>0</v>
      </c>
      <c r="AB22" s="160">
        <f>VLOOKUP(C22,'Talente &amp; Stuff'!IA:JB,26,FALSE)</f>
        <v>0</v>
      </c>
      <c r="AC22" s="127">
        <f>VLOOKUP(C22,'Talente &amp; Stuff'!IA:JB,27,FALSE)</f>
        <v>0</v>
      </c>
      <c r="AD22" s="125">
        <f>VLOOKUP(C22,'Talente &amp; Stuff'!IA:JB,28,FALSE)</f>
        <v>0</v>
      </c>
      <c r="AE22" s="28"/>
    </row>
    <row r="23" spans="2:31" ht="15" hidden="1" customHeight="1" outlineLevel="2">
      <c r="B23" s="148">
        <v>13</v>
      </c>
      <c r="C23" s="177" t="str">
        <f>Attribute!C23</f>
        <v>---</v>
      </c>
      <c r="D23" s="127" t="str">
        <f>VLOOKUP(C23,'Talente &amp; Stuff'!IA:JB,2,FALSE)</f>
        <v>--/--/--</v>
      </c>
      <c r="E23" s="125" t="str">
        <f>VLOOKUP(C23,'Talente &amp; Stuff'!IA:JB,3,FALSE)</f>
        <v>-</v>
      </c>
      <c r="F23" s="114">
        <f>VLOOKUP(C23,'Talente &amp; Stuff'!IA:JB,4,FALSE)</f>
        <v>0</v>
      </c>
      <c r="G23" s="113">
        <f>VLOOKUP(C23,'Talente &amp; Stuff'!IA:JB,5,FALSE)</f>
        <v>0</v>
      </c>
      <c r="H23" s="113">
        <f>VLOOKUP(C23,'Talente &amp; Stuff'!IA:JB,6,FALSE)</f>
        <v>0</v>
      </c>
      <c r="I23" s="113">
        <f>VLOOKUP(C23,'Talente &amp; Stuff'!IA:JB,7,FALSE)</f>
        <v>0</v>
      </c>
      <c r="J23" s="113">
        <f>VLOOKUP(C23,'Talente &amp; Stuff'!IA:JB,8,FALSE)</f>
        <v>0</v>
      </c>
      <c r="K23" s="113">
        <f>VLOOKUP(C23,'Talente &amp; Stuff'!IA:JB,9,FALSE)</f>
        <v>0</v>
      </c>
      <c r="L23" s="113">
        <f>VLOOKUP(C23,'Talente &amp; Stuff'!IA:JB,10,FALSE)</f>
        <v>0</v>
      </c>
      <c r="M23" s="119">
        <f>VLOOKUP(C23,'Talente &amp; Stuff'!IA:JB,11,FALSE)</f>
        <v>0</v>
      </c>
      <c r="N23" s="89">
        <f>VLOOKUP(C23,'Talente &amp; Stuff'!IA:JB,12,FALSE)</f>
        <v>0</v>
      </c>
      <c r="O23" s="47">
        <f>VLOOKUP(C23,'Talente &amp; Stuff'!IA:JB,13,FALSE)</f>
        <v>0</v>
      </c>
      <c r="P23" s="119">
        <f>VLOOKUP(C23,'Talente &amp; Stuff'!IA:JB,14,FALSE)</f>
        <v>0</v>
      </c>
      <c r="Q23" s="114">
        <f>VLOOKUP(C23,'Talente &amp; Stuff'!IA:JB,15,FALSE)</f>
        <v>0</v>
      </c>
      <c r="R23" s="113">
        <f>VLOOKUP(C23,'Talente &amp; Stuff'!IA:JB,16,FALSE)</f>
        <v>0</v>
      </c>
      <c r="S23" s="119">
        <f>VLOOKUP(C23,'Talente &amp; Stuff'!IA:JB,17,FALSE)</f>
        <v>0</v>
      </c>
      <c r="T23" s="160">
        <f>VLOOKUP(C23,'Talente &amp; Stuff'!IA:JB,18,FALSE)</f>
        <v>0</v>
      </c>
      <c r="U23" s="89">
        <f>VLOOKUP(C23,'Talente &amp; Stuff'!IA:JB,19,FALSE)</f>
        <v>0</v>
      </c>
      <c r="V23" s="47">
        <f>VLOOKUP(C23,'Talente &amp; Stuff'!IA:JB,20,FALSE)</f>
        <v>0</v>
      </c>
      <c r="W23" s="127">
        <f>VLOOKUP(C23,'Talente &amp; Stuff'!IA:JB,21,FALSE)</f>
        <v>0</v>
      </c>
      <c r="X23" s="125">
        <f>VLOOKUP(C23,'Talente &amp; Stuff'!IA:JB,22,FALSE)</f>
        <v>0</v>
      </c>
      <c r="Y23" s="165">
        <f t="shared" si="0"/>
        <v>0</v>
      </c>
      <c r="Z23" s="44">
        <f t="shared" si="1"/>
        <v>0</v>
      </c>
      <c r="AA23" s="125">
        <f>VLOOKUP(C23,'Talente &amp; Stuff'!IA:JB,25,FALSE)</f>
        <v>0</v>
      </c>
      <c r="AB23" s="160">
        <f>VLOOKUP(C23,'Talente &amp; Stuff'!IA:JB,26,FALSE)</f>
        <v>0</v>
      </c>
      <c r="AC23" s="127">
        <f>VLOOKUP(C23,'Talente &amp; Stuff'!IA:JB,27,FALSE)</f>
        <v>0</v>
      </c>
      <c r="AD23" s="125">
        <f>VLOOKUP(C23,'Talente &amp; Stuff'!IA:JB,28,FALSE)</f>
        <v>0</v>
      </c>
      <c r="AE23" s="28"/>
    </row>
    <row r="24" spans="2:31" ht="15" hidden="1" customHeight="1" outlineLevel="2">
      <c r="B24" s="148">
        <v>14</v>
      </c>
      <c r="C24" s="178" t="str">
        <f>Attribute!C24</f>
        <v>---</v>
      </c>
      <c r="D24" s="128" t="str">
        <f>VLOOKUP(C24,'Talente &amp; Stuff'!IA:JB,2,FALSE)</f>
        <v>--/--/--</v>
      </c>
      <c r="E24" s="159" t="str">
        <f>VLOOKUP(C24,'Talente &amp; Stuff'!IA:JB,3,FALSE)</f>
        <v>-</v>
      </c>
      <c r="F24" s="115">
        <f>VLOOKUP(C24,'Talente &amp; Stuff'!IA:JB,4,FALSE)</f>
        <v>0</v>
      </c>
      <c r="G24" s="122">
        <f>VLOOKUP(C24,'Talente &amp; Stuff'!IA:JB,5,FALSE)</f>
        <v>0</v>
      </c>
      <c r="H24" s="122">
        <f>VLOOKUP(C24,'Talente &amp; Stuff'!IA:JB,6,FALSE)</f>
        <v>0</v>
      </c>
      <c r="I24" s="122">
        <f>VLOOKUP(C24,'Talente &amp; Stuff'!IA:JB,7,FALSE)</f>
        <v>0</v>
      </c>
      <c r="J24" s="122">
        <f>VLOOKUP(C24,'Talente &amp; Stuff'!IA:JB,8,FALSE)</f>
        <v>0</v>
      </c>
      <c r="K24" s="122">
        <f>VLOOKUP(C24,'Talente &amp; Stuff'!IA:JB,9,FALSE)</f>
        <v>0</v>
      </c>
      <c r="L24" s="122">
        <f>VLOOKUP(C24,'Talente &amp; Stuff'!IA:JB,10,FALSE)</f>
        <v>0</v>
      </c>
      <c r="M24" s="123">
        <f>VLOOKUP(C24,'Talente &amp; Stuff'!IA:JB,11,FALSE)</f>
        <v>0</v>
      </c>
      <c r="N24" s="90">
        <f>VLOOKUP(C24,'Talente &amp; Stuff'!IA:JB,12,FALSE)</f>
        <v>0</v>
      </c>
      <c r="O24" s="88">
        <f>VLOOKUP(C24,'Talente &amp; Stuff'!IA:JB,13,FALSE)</f>
        <v>0</v>
      </c>
      <c r="P24" s="123">
        <f>VLOOKUP(C24,'Talente &amp; Stuff'!IA:JB,14,FALSE)</f>
        <v>0</v>
      </c>
      <c r="Q24" s="115">
        <f>VLOOKUP(C24,'Talente &amp; Stuff'!IA:JB,15,FALSE)</f>
        <v>0</v>
      </c>
      <c r="R24" s="122">
        <f>VLOOKUP(C24,'Talente &amp; Stuff'!IA:JB,16,FALSE)</f>
        <v>0</v>
      </c>
      <c r="S24" s="123">
        <f>VLOOKUP(C24,'Talente &amp; Stuff'!IA:JB,17,FALSE)</f>
        <v>0</v>
      </c>
      <c r="T24" s="161">
        <f>VLOOKUP(C24,'Talente &amp; Stuff'!IA:JB,18,FALSE)</f>
        <v>0</v>
      </c>
      <c r="U24" s="90">
        <f>VLOOKUP(C24,'Talente &amp; Stuff'!IA:JB,19,FALSE)</f>
        <v>0</v>
      </c>
      <c r="V24" s="88">
        <f>VLOOKUP(C24,'Talente &amp; Stuff'!IA:JB,20,FALSE)</f>
        <v>0</v>
      </c>
      <c r="W24" s="128">
        <f>VLOOKUP(C24,'Talente &amp; Stuff'!IA:JB,21,FALSE)</f>
        <v>0</v>
      </c>
      <c r="X24" s="159">
        <f>VLOOKUP(C24,'Talente &amp; Stuff'!IA:JB,22,FALSE)</f>
        <v>0</v>
      </c>
      <c r="Y24" s="165">
        <f t="shared" si="0"/>
        <v>0</v>
      </c>
      <c r="Z24" s="44">
        <f t="shared" si="1"/>
        <v>0</v>
      </c>
      <c r="AA24" s="159">
        <f>VLOOKUP(C24,'Talente &amp; Stuff'!IA:JB,25,FALSE)</f>
        <v>0</v>
      </c>
      <c r="AB24" s="161">
        <f>VLOOKUP(C24,'Talente &amp; Stuff'!IA:JB,26,FALSE)</f>
        <v>0</v>
      </c>
      <c r="AC24" s="128">
        <f>VLOOKUP(C24,'Talente &amp; Stuff'!IA:JB,27,FALSE)</f>
        <v>0</v>
      </c>
      <c r="AD24" s="159">
        <f>VLOOKUP(C24,'Talente &amp; Stuff'!IA:JB,28,FALSE)</f>
        <v>0</v>
      </c>
      <c r="AE24" s="28"/>
    </row>
    <row r="25" spans="2:31" ht="15" hidden="1" customHeight="1" outlineLevel="1" collapsed="1">
      <c r="B25" s="134" t="s">
        <v>278</v>
      </c>
      <c r="C25" s="83"/>
      <c r="D25" s="84"/>
      <c r="E25" s="84"/>
      <c r="F25" s="30"/>
      <c r="G25" s="30"/>
      <c r="H25" s="30"/>
      <c r="I25" s="30"/>
      <c r="J25" s="30"/>
      <c r="K25" s="30"/>
      <c r="L25" s="30"/>
      <c r="M25" s="30"/>
      <c r="N25" s="31"/>
      <c r="O25" s="31"/>
      <c r="P25" s="30"/>
      <c r="Q25" s="30"/>
      <c r="R25" s="30"/>
      <c r="S25" s="30"/>
      <c r="T25" s="30"/>
      <c r="U25" s="31"/>
      <c r="V25" s="31"/>
      <c r="W25" s="31"/>
      <c r="X25" s="31"/>
      <c r="Y25" s="65"/>
    </row>
    <row r="26" spans="2:31" ht="15" hidden="1" customHeight="1" outlineLevel="2">
      <c r="B26" s="148">
        <v>1</v>
      </c>
      <c r="C26" s="176" t="str">
        <f>Attribute!C26</f>
        <v>---</v>
      </c>
      <c r="D26" s="126" t="str">
        <f>VLOOKUP(C26,'Talente &amp; Stuff'!IA:JB,2,FALSE)</f>
        <v>--/--/--</v>
      </c>
      <c r="E26" s="158" t="str">
        <f>VLOOKUP(C26,'Talente &amp; Stuff'!IA:JB,3,FALSE)</f>
        <v>-</v>
      </c>
      <c r="F26" s="191">
        <f>VLOOKUP(C26,'Talente &amp; Stuff'!IA:JB,4,FALSE)</f>
        <v>0</v>
      </c>
      <c r="G26" s="118">
        <f>VLOOKUP(C26,'Talente &amp; Stuff'!IA:JB,5,FALSE)</f>
        <v>0</v>
      </c>
      <c r="H26" s="118">
        <f>VLOOKUP(C26,'Talente &amp; Stuff'!IA:JB,6,FALSE)</f>
        <v>0</v>
      </c>
      <c r="I26" s="118">
        <f>VLOOKUP(C26,'Talente &amp; Stuff'!IA:JB,7,FALSE)</f>
        <v>0</v>
      </c>
      <c r="J26" s="118">
        <f>VLOOKUP(C26,'Talente &amp; Stuff'!IA:JB,8,FALSE)</f>
        <v>0</v>
      </c>
      <c r="K26" s="118">
        <f>VLOOKUP(C26,'Talente &amp; Stuff'!IA:JB,9,FALSE)</f>
        <v>0</v>
      </c>
      <c r="L26" s="118">
        <f>VLOOKUP(C26,'Talente &amp; Stuff'!IA:JB,10,FALSE)</f>
        <v>0</v>
      </c>
      <c r="M26" s="92">
        <f>VLOOKUP(C26,'Talente &amp; Stuff'!IA:JB,11,FALSE)</f>
        <v>0</v>
      </c>
      <c r="N26" s="193">
        <f>VLOOKUP(C26,'Talente &amp; Stuff'!IA:JB,12,FALSE)</f>
        <v>0</v>
      </c>
      <c r="O26" s="116">
        <f>VLOOKUP(C26,'Talente &amp; Stuff'!IA:JB,13,FALSE)</f>
        <v>0</v>
      </c>
      <c r="P26" s="92">
        <f>VLOOKUP(C26,'Talente &amp; Stuff'!IA:JB,14,FALSE)</f>
        <v>0</v>
      </c>
      <c r="Q26" s="191">
        <f>VLOOKUP(C26,'Talente &amp; Stuff'!IA:JB,15,FALSE)</f>
        <v>0</v>
      </c>
      <c r="R26" s="118">
        <f>VLOOKUP(C26,'Talente &amp; Stuff'!IA:JB,16,FALSE)</f>
        <v>0</v>
      </c>
      <c r="S26" s="92">
        <f>VLOOKUP(C26,'Talente &amp; Stuff'!IA:JB,17,FALSE)</f>
        <v>0</v>
      </c>
      <c r="T26" s="91">
        <f>VLOOKUP(C26,'Talente &amp; Stuff'!IA:JB,18,FALSE)</f>
        <v>0</v>
      </c>
      <c r="U26" s="193">
        <f>VLOOKUP(C26,'Talente &amp; Stuff'!IA:JB,19,FALSE)</f>
        <v>0</v>
      </c>
      <c r="V26" s="116">
        <f>VLOOKUP(C26,'Talente &amp; Stuff'!IA:JB,20,FALSE)</f>
        <v>0</v>
      </c>
      <c r="W26" s="126">
        <f>VLOOKUP(C26,'Talente &amp; Stuff'!IA:JB,21,FALSE)</f>
        <v>0</v>
      </c>
      <c r="X26" s="158">
        <f>VLOOKUP(C26,'Talente &amp; Stuff'!IA:JB,22,FALSE)</f>
        <v>0</v>
      </c>
      <c r="Y26" s="165">
        <f t="shared" ref="Y26:Y34" si="2">VLOOKUP(C26,Ausgewählte_Talente_Gesellschaftstalente,255,FALSE)</f>
        <v>0</v>
      </c>
      <c r="Z26" s="44">
        <f t="shared" ref="Z26:Z34" si="3">VLOOKUP(C26,Ausgewählte_Talente_Gesellschaftstalente,256,FALSE)</f>
        <v>0</v>
      </c>
      <c r="AA26" s="158">
        <f>VLOOKUP(C26,'Talente &amp; Stuff'!IA:JB,25,FALSE)</f>
        <v>0</v>
      </c>
      <c r="AB26" s="91">
        <f>VLOOKUP(C26,'Talente &amp; Stuff'!IA:JB,26,FALSE)</f>
        <v>0</v>
      </c>
      <c r="AC26" s="126">
        <f>VLOOKUP(C26,'Talente &amp; Stuff'!IA:JB,27,FALSE)</f>
        <v>0</v>
      </c>
      <c r="AD26" s="158">
        <f>VLOOKUP(C26,'Talente &amp; Stuff'!IA:JB,28,FALSE)</f>
        <v>0</v>
      </c>
      <c r="AE26" s="28"/>
    </row>
    <row r="27" spans="2:31" ht="15" hidden="1" customHeight="1" outlineLevel="2">
      <c r="B27" s="148">
        <v>2</v>
      </c>
      <c r="C27" s="177" t="str">
        <f>Attribute!C27</f>
        <v>---</v>
      </c>
      <c r="D27" s="127" t="str">
        <f>VLOOKUP(C27,'Talente &amp; Stuff'!IA:JB,2,FALSE)</f>
        <v>--/--/--</v>
      </c>
      <c r="E27" s="125" t="str">
        <f>VLOOKUP(C27,'Talente &amp; Stuff'!IA:JB,3,FALSE)</f>
        <v>-</v>
      </c>
      <c r="F27" s="114">
        <f>VLOOKUP(C27,'Talente &amp; Stuff'!IA:JB,4,FALSE)</f>
        <v>0</v>
      </c>
      <c r="G27" s="113">
        <f>VLOOKUP(C27,'Talente &amp; Stuff'!IA:JB,5,FALSE)</f>
        <v>0</v>
      </c>
      <c r="H27" s="113">
        <f>VLOOKUP(C27,'Talente &amp; Stuff'!IA:JB,6,FALSE)</f>
        <v>0</v>
      </c>
      <c r="I27" s="113">
        <f>VLOOKUP(C27,'Talente &amp; Stuff'!IA:JB,7,FALSE)</f>
        <v>0</v>
      </c>
      <c r="J27" s="113">
        <f>VLOOKUP(C27,'Talente &amp; Stuff'!IA:JB,8,FALSE)</f>
        <v>0</v>
      </c>
      <c r="K27" s="113">
        <f>VLOOKUP(C27,'Talente &amp; Stuff'!IA:JB,9,FALSE)</f>
        <v>0</v>
      </c>
      <c r="L27" s="113">
        <f>VLOOKUP(C27,'Talente &amp; Stuff'!IA:JB,10,FALSE)</f>
        <v>0</v>
      </c>
      <c r="M27" s="119">
        <f>VLOOKUP(C27,'Talente &amp; Stuff'!IA:JB,11,FALSE)</f>
        <v>0</v>
      </c>
      <c r="N27" s="89">
        <f>VLOOKUP(C27,'Talente &amp; Stuff'!IA:JB,12,FALSE)</f>
        <v>0</v>
      </c>
      <c r="O27" s="47">
        <f>VLOOKUP(C27,'Talente &amp; Stuff'!IA:JB,13,FALSE)</f>
        <v>0</v>
      </c>
      <c r="P27" s="119">
        <f>VLOOKUP(C27,'Talente &amp; Stuff'!IA:JB,14,FALSE)</f>
        <v>0</v>
      </c>
      <c r="Q27" s="114">
        <f>VLOOKUP(C27,'Talente &amp; Stuff'!IA:JB,15,FALSE)</f>
        <v>0</v>
      </c>
      <c r="R27" s="113">
        <f>VLOOKUP(C27,'Talente &amp; Stuff'!IA:JB,16,FALSE)</f>
        <v>0</v>
      </c>
      <c r="S27" s="119">
        <f>VLOOKUP(C27,'Talente &amp; Stuff'!IA:JB,17,FALSE)</f>
        <v>0</v>
      </c>
      <c r="T27" s="160">
        <f>VLOOKUP(C27,'Talente &amp; Stuff'!IA:JB,18,FALSE)</f>
        <v>0</v>
      </c>
      <c r="U27" s="89">
        <f>VLOOKUP(C27,'Talente &amp; Stuff'!IA:JB,19,FALSE)</f>
        <v>0</v>
      </c>
      <c r="V27" s="47">
        <f>VLOOKUP(C27,'Talente &amp; Stuff'!IA:JB,20,FALSE)</f>
        <v>0</v>
      </c>
      <c r="W27" s="127">
        <f>VLOOKUP(C27,'Talente &amp; Stuff'!IA:JB,21,FALSE)</f>
        <v>0</v>
      </c>
      <c r="X27" s="125">
        <f>VLOOKUP(C27,'Talente &amp; Stuff'!IA:JB,22,FALSE)</f>
        <v>0</v>
      </c>
      <c r="Y27" s="165">
        <f t="shared" si="2"/>
        <v>0</v>
      </c>
      <c r="Z27" s="44">
        <f t="shared" si="3"/>
        <v>0</v>
      </c>
      <c r="AA27" s="125">
        <f>VLOOKUP(C27,'Talente &amp; Stuff'!IA:JB,25,FALSE)</f>
        <v>0</v>
      </c>
      <c r="AB27" s="160">
        <f>VLOOKUP(C27,'Talente &amp; Stuff'!IA:JB,26,FALSE)</f>
        <v>0</v>
      </c>
      <c r="AC27" s="127">
        <f>VLOOKUP(C27,'Talente &amp; Stuff'!IA:JB,27,FALSE)</f>
        <v>0</v>
      </c>
      <c r="AD27" s="125">
        <f>VLOOKUP(C27,'Talente &amp; Stuff'!IA:JB,28,FALSE)</f>
        <v>0</v>
      </c>
      <c r="AE27" s="28"/>
    </row>
    <row r="28" spans="2:31" ht="15" hidden="1" customHeight="1" outlineLevel="2">
      <c r="B28" s="148">
        <v>3</v>
      </c>
      <c r="C28" s="177" t="str">
        <f>Attribute!C28</f>
        <v>---</v>
      </c>
      <c r="D28" s="127" t="str">
        <f>VLOOKUP(C28,'Talente &amp; Stuff'!IA:JB,2,FALSE)</f>
        <v>--/--/--</v>
      </c>
      <c r="E28" s="125" t="str">
        <f>VLOOKUP(C28,'Talente &amp; Stuff'!IA:JB,3,FALSE)</f>
        <v>-</v>
      </c>
      <c r="F28" s="114">
        <f>VLOOKUP(C28,'Talente &amp; Stuff'!IA:JB,4,FALSE)</f>
        <v>0</v>
      </c>
      <c r="G28" s="113">
        <f>VLOOKUP(C28,'Talente &amp; Stuff'!IA:JB,5,FALSE)</f>
        <v>0</v>
      </c>
      <c r="H28" s="113">
        <f>VLOOKUP(C28,'Talente &amp; Stuff'!IA:JB,6,FALSE)</f>
        <v>0</v>
      </c>
      <c r="I28" s="113">
        <f>VLOOKUP(C28,'Talente &amp; Stuff'!IA:JB,7,FALSE)</f>
        <v>0</v>
      </c>
      <c r="J28" s="113">
        <f>VLOOKUP(C28,'Talente &amp; Stuff'!IA:JB,8,FALSE)</f>
        <v>0</v>
      </c>
      <c r="K28" s="113">
        <f>VLOOKUP(C28,'Talente &amp; Stuff'!IA:JB,9,FALSE)</f>
        <v>0</v>
      </c>
      <c r="L28" s="113">
        <f>VLOOKUP(C28,'Talente &amp; Stuff'!IA:JB,10,FALSE)</f>
        <v>0</v>
      </c>
      <c r="M28" s="119">
        <f>VLOOKUP(C28,'Talente &amp; Stuff'!IA:JB,11,FALSE)</f>
        <v>0</v>
      </c>
      <c r="N28" s="89">
        <f>VLOOKUP(C28,'Talente &amp; Stuff'!IA:JB,12,FALSE)</f>
        <v>0</v>
      </c>
      <c r="O28" s="47">
        <f>VLOOKUP(C28,'Talente &amp; Stuff'!IA:JB,13,FALSE)</f>
        <v>0</v>
      </c>
      <c r="P28" s="119">
        <f>VLOOKUP(C28,'Talente &amp; Stuff'!IA:JB,14,FALSE)</f>
        <v>0</v>
      </c>
      <c r="Q28" s="114">
        <f>VLOOKUP(C28,'Talente &amp; Stuff'!IA:JB,15,FALSE)</f>
        <v>0</v>
      </c>
      <c r="R28" s="113">
        <f>VLOOKUP(C28,'Talente &amp; Stuff'!IA:JB,16,FALSE)</f>
        <v>0</v>
      </c>
      <c r="S28" s="119">
        <f>VLOOKUP(C28,'Talente &amp; Stuff'!IA:JB,17,FALSE)</f>
        <v>0</v>
      </c>
      <c r="T28" s="160">
        <f>VLOOKUP(C28,'Talente &amp; Stuff'!IA:JB,18,FALSE)</f>
        <v>0</v>
      </c>
      <c r="U28" s="89">
        <f>VLOOKUP(C28,'Talente &amp; Stuff'!IA:JB,19,FALSE)</f>
        <v>0</v>
      </c>
      <c r="V28" s="47">
        <f>VLOOKUP(C28,'Talente &amp; Stuff'!IA:JB,20,FALSE)</f>
        <v>0</v>
      </c>
      <c r="W28" s="127">
        <f>VLOOKUP(C28,'Talente &amp; Stuff'!IA:JB,21,FALSE)</f>
        <v>0</v>
      </c>
      <c r="X28" s="125">
        <f>VLOOKUP(C28,'Talente &amp; Stuff'!IA:JB,22,FALSE)</f>
        <v>0</v>
      </c>
      <c r="Y28" s="165">
        <f t="shared" si="2"/>
        <v>0</v>
      </c>
      <c r="Z28" s="44">
        <f t="shared" si="3"/>
        <v>0</v>
      </c>
      <c r="AA28" s="125">
        <f>VLOOKUP(C28,'Talente &amp; Stuff'!IA:JB,25,FALSE)</f>
        <v>0</v>
      </c>
      <c r="AB28" s="160">
        <f>VLOOKUP(C28,'Talente &amp; Stuff'!IA:JB,26,FALSE)</f>
        <v>0</v>
      </c>
      <c r="AC28" s="127">
        <f>VLOOKUP(C28,'Talente &amp; Stuff'!IA:JB,27,FALSE)</f>
        <v>0</v>
      </c>
      <c r="AD28" s="125">
        <f>VLOOKUP(C28,'Talente &amp; Stuff'!IA:JB,28,FALSE)</f>
        <v>0</v>
      </c>
      <c r="AE28" s="28"/>
    </row>
    <row r="29" spans="2:31" ht="15" hidden="1" customHeight="1" outlineLevel="2">
      <c r="B29" s="148">
        <v>4</v>
      </c>
      <c r="C29" s="177" t="str">
        <f>Attribute!C29</f>
        <v>---</v>
      </c>
      <c r="D29" s="127" t="str">
        <f>VLOOKUP(C29,'Talente &amp; Stuff'!IA:JB,2,FALSE)</f>
        <v>--/--/--</v>
      </c>
      <c r="E29" s="125" t="str">
        <f>VLOOKUP(C29,'Talente &amp; Stuff'!IA:JB,3,FALSE)</f>
        <v>-</v>
      </c>
      <c r="F29" s="114">
        <f>VLOOKUP(C29,'Talente &amp; Stuff'!IA:JB,4,FALSE)</f>
        <v>0</v>
      </c>
      <c r="G29" s="113">
        <f>VLOOKUP(C29,'Talente &amp; Stuff'!IA:JB,5,FALSE)</f>
        <v>0</v>
      </c>
      <c r="H29" s="113">
        <f>VLOOKUP(C29,'Talente &amp; Stuff'!IA:JB,6,FALSE)</f>
        <v>0</v>
      </c>
      <c r="I29" s="113">
        <f>VLOOKUP(C29,'Talente &amp; Stuff'!IA:JB,7,FALSE)</f>
        <v>0</v>
      </c>
      <c r="J29" s="113">
        <f>VLOOKUP(C29,'Talente &amp; Stuff'!IA:JB,8,FALSE)</f>
        <v>0</v>
      </c>
      <c r="K29" s="113">
        <f>VLOOKUP(C29,'Talente &amp; Stuff'!IA:JB,9,FALSE)</f>
        <v>0</v>
      </c>
      <c r="L29" s="113">
        <f>VLOOKUP(C29,'Talente &amp; Stuff'!IA:JB,10,FALSE)</f>
        <v>0</v>
      </c>
      <c r="M29" s="119">
        <f>VLOOKUP(C29,'Talente &amp; Stuff'!IA:JB,11,FALSE)</f>
        <v>0</v>
      </c>
      <c r="N29" s="89">
        <f>VLOOKUP(C29,'Talente &amp; Stuff'!IA:JB,12,FALSE)</f>
        <v>0</v>
      </c>
      <c r="O29" s="47">
        <f>VLOOKUP(C29,'Talente &amp; Stuff'!IA:JB,13,FALSE)</f>
        <v>0</v>
      </c>
      <c r="P29" s="119">
        <f>VLOOKUP(C29,'Talente &amp; Stuff'!IA:JB,14,FALSE)</f>
        <v>0</v>
      </c>
      <c r="Q29" s="114">
        <f>VLOOKUP(C29,'Talente &amp; Stuff'!IA:JB,15,FALSE)</f>
        <v>0</v>
      </c>
      <c r="R29" s="113">
        <f>VLOOKUP(C29,'Talente &amp; Stuff'!IA:JB,16,FALSE)</f>
        <v>0</v>
      </c>
      <c r="S29" s="119">
        <f>VLOOKUP(C29,'Talente &amp; Stuff'!IA:JB,17,FALSE)</f>
        <v>0</v>
      </c>
      <c r="T29" s="160">
        <f>VLOOKUP(C29,'Talente &amp; Stuff'!IA:JB,18,FALSE)</f>
        <v>0</v>
      </c>
      <c r="U29" s="89">
        <f>VLOOKUP(C29,'Talente &amp; Stuff'!IA:JB,19,FALSE)</f>
        <v>0</v>
      </c>
      <c r="V29" s="47">
        <f>VLOOKUP(C29,'Talente &amp; Stuff'!IA:JB,20,FALSE)</f>
        <v>0</v>
      </c>
      <c r="W29" s="127">
        <f>VLOOKUP(C29,'Talente &amp; Stuff'!IA:JB,21,FALSE)</f>
        <v>0</v>
      </c>
      <c r="X29" s="125">
        <f>VLOOKUP(C29,'Talente &amp; Stuff'!IA:JB,22,FALSE)</f>
        <v>0</v>
      </c>
      <c r="Y29" s="165">
        <f t="shared" si="2"/>
        <v>0</v>
      </c>
      <c r="Z29" s="44">
        <f t="shared" si="3"/>
        <v>0</v>
      </c>
      <c r="AA29" s="125">
        <f>VLOOKUP(C29,'Talente &amp; Stuff'!IA:JB,25,FALSE)</f>
        <v>0</v>
      </c>
      <c r="AB29" s="160">
        <f>VLOOKUP(C29,'Talente &amp; Stuff'!IA:JB,26,FALSE)</f>
        <v>0</v>
      </c>
      <c r="AC29" s="127">
        <f>VLOOKUP(C29,'Talente &amp; Stuff'!IA:JB,27,FALSE)</f>
        <v>0</v>
      </c>
      <c r="AD29" s="125">
        <f>VLOOKUP(C29,'Talente &amp; Stuff'!IA:JB,28,FALSE)</f>
        <v>0</v>
      </c>
      <c r="AE29" s="28"/>
    </row>
    <row r="30" spans="2:31" ht="15" hidden="1" customHeight="1" outlineLevel="2">
      <c r="B30" s="148">
        <v>5</v>
      </c>
      <c r="C30" s="177" t="str">
        <f>Attribute!C30</f>
        <v>---</v>
      </c>
      <c r="D30" s="127" t="str">
        <f>VLOOKUP(C30,'Talente &amp; Stuff'!IA:JB,2,FALSE)</f>
        <v>--/--/--</v>
      </c>
      <c r="E30" s="125" t="str">
        <f>VLOOKUP(C30,'Talente &amp; Stuff'!IA:JB,3,FALSE)</f>
        <v>-</v>
      </c>
      <c r="F30" s="114">
        <f>VLOOKUP(C30,'Talente &amp; Stuff'!IA:JB,4,FALSE)</f>
        <v>0</v>
      </c>
      <c r="G30" s="113">
        <f>VLOOKUP(C30,'Talente &amp; Stuff'!IA:JB,5,FALSE)</f>
        <v>0</v>
      </c>
      <c r="H30" s="113">
        <f>VLOOKUP(C30,'Talente &amp; Stuff'!IA:JB,6,FALSE)</f>
        <v>0</v>
      </c>
      <c r="I30" s="113">
        <f>VLOOKUP(C30,'Talente &amp; Stuff'!IA:JB,7,FALSE)</f>
        <v>0</v>
      </c>
      <c r="J30" s="113">
        <f>VLOOKUP(C30,'Talente &amp; Stuff'!IA:JB,8,FALSE)</f>
        <v>0</v>
      </c>
      <c r="K30" s="113">
        <f>VLOOKUP(C30,'Talente &amp; Stuff'!IA:JB,9,FALSE)</f>
        <v>0</v>
      </c>
      <c r="L30" s="113">
        <f>VLOOKUP(C30,'Talente &amp; Stuff'!IA:JB,10,FALSE)</f>
        <v>0</v>
      </c>
      <c r="M30" s="119">
        <f>VLOOKUP(C30,'Talente &amp; Stuff'!IA:JB,11,FALSE)</f>
        <v>0</v>
      </c>
      <c r="N30" s="89">
        <f>VLOOKUP(C30,'Talente &amp; Stuff'!IA:JB,12,FALSE)</f>
        <v>0</v>
      </c>
      <c r="O30" s="47">
        <f>VLOOKUP(C30,'Talente &amp; Stuff'!IA:JB,13,FALSE)</f>
        <v>0</v>
      </c>
      <c r="P30" s="119">
        <f>VLOOKUP(C30,'Talente &amp; Stuff'!IA:JB,14,FALSE)</f>
        <v>0</v>
      </c>
      <c r="Q30" s="114">
        <f>VLOOKUP(C30,'Talente &amp; Stuff'!IA:JB,15,FALSE)</f>
        <v>0</v>
      </c>
      <c r="R30" s="113">
        <f>VLOOKUP(C30,'Talente &amp; Stuff'!IA:JB,16,FALSE)</f>
        <v>0</v>
      </c>
      <c r="S30" s="119">
        <f>VLOOKUP(C30,'Talente &amp; Stuff'!IA:JB,17,FALSE)</f>
        <v>0</v>
      </c>
      <c r="T30" s="160">
        <f>VLOOKUP(C30,'Talente &amp; Stuff'!IA:JB,18,FALSE)</f>
        <v>0</v>
      </c>
      <c r="U30" s="89">
        <f>VLOOKUP(C30,'Talente &amp; Stuff'!IA:JB,19,FALSE)</f>
        <v>0</v>
      </c>
      <c r="V30" s="47">
        <f>VLOOKUP(C30,'Talente &amp; Stuff'!IA:JB,20,FALSE)</f>
        <v>0</v>
      </c>
      <c r="W30" s="127">
        <f>VLOOKUP(C30,'Talente &amp; Stuff'!IA:JB,21,FALSE)</f>
        <v>0</v>
      </c>
      <c r="X30" s="125">
        <f>VLOOKUP(C30,'Talente &amp; Stuff'!IA:JB,22,FALSE)</f>
        <v>0</v>
      </c>
      <c r="Y30" s="165">
        <f t="shared" si="2"/>
        <v>0</v>
      </c>
      <c r="Z30" s="44">
        <f t="shared" si="3"/>
        <v>0</v>
      </c>
      <c r="AA30" s="125">
        <f>VLOOKUP(C30,'Talente &amp; Stuff'!IA:JB,25,FALSE)</f>
        <v>0</v>
      </c>
      <c r="AB30" s="160">
        <f>VLOOKUP(C30,'Talente &amp; Stuff'!IA:JB,26,FALSE)</f>
        <v>0</v>
      </c>
      <c r="AC30" s="127">
        <f>VLOOKUP(C30,'Talente &amp; Stuff'!IA:JB,27,FALSE)</f>
        <v>0</v>
      </c>
      <c r="AD30" s="125">
        <f>VLOOKUP(C30,'Talente &amp; Stuff'!IA:JB,28,FALSE)</f>
        <v>0</v>
      </c>
      <c r="AE30" s="28"/>
    </row>
    <row r="31" spans="2:31" ht="15" hidden="1" customHeight="1" outlineLevel="2">
      <c r="B31" s="148">
        <v>6</v>
      </c>
      <c r="C31" s="177" t="str">
        <f>Attribute!C31</f>
        <v>---</v>
      </c>
      <c r="D31" s="127" t="str">
        <f>VLOOKUP(C31,'Talente &amp; Stuff'!IA:JB,2,FALSE)</f>
        <v>--/--/--</v>
      </c>
      <c r="E31" s="125" t="str">
        <f>VLOOKUP(C31,'Talente &amp; Stuff'!IA:JB,3,FALSE)</f>
        <v>-</v>
      </c>
      <c r="F31" s="114">
        <f>VLOOKUP(C31,'Talente &amp; Stuff'!IA:JB,4,FALSE)</f>
        <v>0</v>
      </c>
      <c r="G31" s="113">
        <f>VLOOKUP(C31,'Talente &amp; Stuff'!IA:JB,5,FALSE)</f>
        <v>0</v>
      </c>
      <c r="H31" s="113">
        <f>VLOOKUP(C31,'Talente &amp; Stuff'!IA:JB,6,FALSE)</f>
        <v>0</v>
      </c>
      <c r="I31" s="113">
        <f>VLOOKUP(C31,'Talente &amp; Stuff'!IA:JB,7,FALSE)</f>
        <v>0</v>
      </c>
      <c r="J31" s="113">
        <f>VLOOKUP(C31,'Talente &amp; Stuff'!IA:JB,8,FALSE)</f>
        <v>0</v>
      </c>
      <c r="K31" s="113">
        <f>VLOOKUP(C31,'Talente &amp; Stuff'!IA:JB,9,FALSE)</f>
        <v>0</v>
      </c>
      <c r="L31" s="113">
        <f>VLOOKUP(C31,'Talente &amp; Stuff'!IA:JB,10,FALSE)</f>
        <v>0</v>
      </c>
      <c r="M31" s="119">
        <f>VLOOKUP(C31,'Talente &amp; Stuff'!IA:JB,11,FALSE)</f>
        <v>0</v>
      </c>
      <c r="N31" s="89">
        <f>VLOOKUP(C31,'Talente &amp; Stuff'!IA:JB,12,FALSE)</f>
        <v>0</v>
      </c>
      <c r="O31" s="47">
        <f>VLOOKUP(C31,'Talente &amp; Stuff'!IA:JB,13,FALSE)</f>
        <v>0</v>
      </c>
      <c r="P31" s="119">
        <f>VLOOKUP(C31,'Talente &amp; Stuff'!IA:JB,14,FALSE)</f>
        <v>0</v>
      </c>
      <c r="Q31" s="114">
        <f>VLOOKUP(C31,'Talente &amp; Stuff'!IA:JB,15,FALSE)</f>
        <v>0</v>
      </c>
      <c r="R31" s="113">
        <f>VLOOKUP(C31,'Talente &amp; Stuff'!IA:JB,16,FALSE)</f>
        <v>0</v>
      </c>
      <c r="S31" s="119">
        <f>VLOOKUP(C31,'Talente &amp; Stuff'!IA:JB,17,FALSE)</f>
        <v>0</v>
      </c>
      <c r="T31" s="160">
        <f>VLOOKUP(C31,'Talente &amp; Stuff'!IA:JB,18,FALSE)</f>
        <v>0</v>
      </c>
      <c r="U31" s="89">
        <f>VLOOKUP(C31,'Talente &amp; Stuff'!IA:JB,19,FALSE)</f>
        <v>0</v>
      </c>
      <c r="V31" s="47">
        <f>VLOOKUP(C31,'Talente &amp; Stuff'!IA:JB,20,FALSE)</f>
        <v>0</v>
      </c>
      <c r="W31" s="127">
        <f>VLOOKUP(C31,'Talente &amp; Stuff'!IA:JB,21,FALSE)</f>
        <v>0</v>
      </c>
      <c r="X31" s="125">
        <f>VLOOKUP(C31,'Talente &amp; Stuff'!IA:JB,22,FALSE)</f>
        <v>0</v>
      </c>
      <c r="Y31" s="165">
        <f t="shared" si="2"/>
        <v>0</v>
      </c>
      <c r="Z31" s="44">
        <f t="shared" si="3"/>
        <v>0</v>
      </c>
      <c r="AA31" s="125">
        <f>VLOOKUP(C31,'Talente &amp; Stuff'!IA:JB,25,FALSE)</f>
        <v>0</v>
      </c>
      <c r="AB31" s="160">
        <f>VLOOKUP(C31,'Talente &amp; Stuff'!IA:JB,26,FALSE)</f>
        <v>0</v>
      </c>
      <c r="AC31" s="127">
        <f>VLOOKUP(C31,'Talente &amp; Stuff'!IA:JB,27,FALSE)</f>
        <v>0</v>
      </c>
      <c r="AD31" s="125">
        <f>VLOOKUP(C31,'Talente &amp; Stuff'!IA:JB,28,FALSE)</f>
        <v>0</v>
      </c>
      <c r="AE31" s="28"/>
    </row>
    <row r="32" spans="2:31" ht="15" hidden="1" customHeight="1" outlineLevel="2">
      <c r="B32" s="148">
        <v>7</v>
      </c>
      <c r="C32" s="177" t="str">
        <f>Attribute!C32</f>
        <v>---</v>
      </c>
      <c r="D32" s="127" t="str">
        <f>VLOOKUP(C32,'Talente &amp; Stuff'!IA:JB,2,FALSE)</f>
        <v>--/--/--</v>
      </c>
      <c r="E32" s="125" t="str">
        <f>VLOOKUP(C32,'Talente &amp; Stuff'!IA:JB,3,FALSE)</f>
        <v>-</v>
      </c>
      <c r="F32" s="114">
        <f>VLOOKUP(C32,'Talente &amp; Stuff'!IA:JB,4,FALSE)</f>
        <v>0</v>
      </c>
      <c r="G32" s="113">
        <f>VLOOKUP(C32,'Talente &amp; Stuff'!IA:JB,5,FALSE)</f>
        <v>0</v>
      </c>
      <c r="H32" s="113">
        <f>VLOOKUP(C32,'Talente &amp; Stuff'!IA:JB,6,FALSE)</f>
        <v>0</v>
      </c>
      <c r="I32" s="113">
        <f>VLOOKUP(C32,'Talente &amp; Stuff'!IA:JB,7,FALSE)</f>
        <v>0</v>
      </c>
      <c r="J32" s="113">
        <f>VLOOKUP(C32,'Talente &amp; Stuff'!IA:JB,8,FALSE)</f>
        <v>0</v>
      </c>
      <c r="K32" s="113">
        <f>VLOOKUP(C32,'Talente &amp; Stuff'!IA:JB,9,FALSE)</f>
        <v>0</v>
      </c>
      <c r="L32" s="113">
        <f>VLOOKUP(C32,'Talente &amp; Stuff'!IA:JB,10,FALSE)</f>
        <v>0</v>
      </c>
      <c r="M32" s="119">
        <f>VLOOKUP(C32,'Talente &amp; Stuff'!IA:JB,11,FALSE)</f>
        <v>0</v>
      </c>
      <c r="N32" s="89">
        <f>VLOOKUP(C32,'Talente &amp; Stuff'!IA:JB,12,FALSE)</f>
        <v>0</v>
      </c>
      <c r="O32" s="47">
        <f>VLOOKUP(C32,'Talente &amp; Stuff'!IA:JB,13,FALSE)</f>
        <v>0</v>
      </c>
      <c r="P32" s="119">
        <f>VLOOKUP(C32,'Talente &amp; Stuff'!IA:JB,14,FALSE)</f>
        <v>0</v>
      </c>
      <c r="Q32" s="114">
        <f>VLOOKUP(C32,'Talente &amp; Stuff'!IA:JB,15,FALSE)</f>
        <v>0</v>
      </c>
      <c r="R32" s="113">
        <f>VLOOKUP(C32,'Talente &amp; Stuff'!IA:JB,16,FALSE)</f>
        <v>0</v>
      </c>
      <c r="S32" s="119">
        <f>VLOOKUP(C32,'Talente &amp; Stuff'!IA:JB,17,FALSE)</f>
        <v>0</v>
      </c>
      <c r="T32" s="160">
        <f>VLOOKUP(C32,'Talente &amp; Stuff'!IA:JB,18,FALSE)</f>
        <v>0</v>
      </c>
      <c r="U32" s="89">
        <f>VLOOKUP(C32,'Talente &amp; Stuff'!IA:JB,19,FALSE)</f>
        <v>0</v>
      </c>
      <c r="V32" s="47">
        <f>VLOOKUP(C32,'Talente &amp; Stuff'!IA:JB,20,FALSE)</f>
        <v>0</v>
      </c>
      <c r="W32" s="127">
        <f>VLOOKUP(C32,'Talente &amp; Stuff'!IA:JB,21,FALSE)</f>
        <v>0</v>
      </c>
      <c r="X32" s="125">
        <f>VLOOKUP(C32,'Talente &amp; Stuff'!IA:JB,22,FALSE)</f>
        <v>0</v>
      </c>
      <c r="Y32" s="165">
        <f t="shared" si="2"/>
        <v>0</v>
      </c>
      <c r="Z32" s="44">
        <f t="shared" si="3"/>
        <v>0</v>
      </c>
      <c r="AA32" s="125">
        <f>VLOOKUP(C32,'Talente &amp; Stuff'!IA:JB,25,FALSE)</f>
        <v>0</v>
      </c>
      <c r="AB32" s="160">
        <f>VLOOKUP(C32,'Talente &amp; Stuff'!IA:JB,26,FALSE)</f>
        <v>0</v>
      </c>
      <c r="AC32" s="127">
        <f>VLOOKUP(C32,'Talente &amp; Stuff'!IA:JB,27,FALSE)</f>
        <v>0</v>
      </c>
      <c r="AD32" s="125">
        <f>VLOOKUP(C32,'Talente &amp; Stuff'!IA:JB,28,FALSE)</f>
        <v>0</v>
      </c>
      <c r="AE32" s="28"/>
    </row>
    <row r="33" spans="2:31" ht="15" hidden="1" customHeight="1" outlineLevel="2">
      <c r="B33" s="148">
        <v>8</v>
      </c>
      <c r="C33" s="177" t="str">
        <f>Attribute!C33</f>
        <v>---</v>
      </c>
      <c r="D33" s="127" t="str">
        <f>VLOOKUP(C33,'Talente &amp; Stuff'!IA:JB,2,FALSE)</f>
        <v>--/--/--</v>
      </c>
      <c r="E33" s="125" t="str">
        <f>VLOOKUP(C33,'Talente &amp; Stuff'!IA:JB,3,FALSE)</f>
        <v>-</v>
      </c>
      <c r="F33" s="114">
        <f>VLOOKUP(C33,'Talente &amp; Stuff'!IA:JB,4,FALSE)</f>
        <v>0</v>
      </c>
      <c r="G33" s="113">
        <f>VLOOKUP(C33,'Talente &amp; Stuff'!IA:JB,5,FALSE)</f>
        <v>0</v>
      </c>
      <c r="H33" s="113">
        <f>VLOOKUP(C33,'Talente &amp; Stuff'!IA:JB,6,FALSE)</f>
        <v>0</v>
      </c>
      <c r="I33" s="113">
        <f>VLOOKUP(C33,'Talente &amp; Stuff'!IA:JB,7,FALSE)</f>
        <v>0</v>
      </c>
      <c r="J33" s="113">
        <f>VLOOKUP(C33,'Talente &amp; Stuff'!IA:JB,8,FALSE)</f>
        <v>0</v>
      </c>
      <c r="K33" s="113">
        <f>VLOOKUP(C33,'Talente &amp; Stuff'!IA:JB,9,FALSE)</f>
        <v>0</v>
      </c>
      <c r="L33" s="113">
        <f>VLOOKUP(C33,'Talente &amp; Stuff'!IA:JB,10,FALSE)</f>
        <v>0</v>
      </c>
      <c r="M33" s="119">
        <f>VLOOKUP(C33,'Talente &amp; Stuff'!IA:JB,11,FALSE)</f>
        <v>0</v>
      </c>
      <c r="N33" s="89">
        <f>VLOOKUP(C33,'Talente &amp; Stuff'!IA:JB,12,FALSE)</f>
        <v>0</v>
      </c>
      <c r="O33" s="47">
        <f>VLOOKUP(C33,'Talente &amp; Stuff'!IA:JB,13,FALSE)</f>
        <v>0</v>
      </c>
      <c r="P33" s="119">
        <f>VLOOKUP(C33,'Talente &amp; Stuff'!IA:JB,14,FALSE)</f>
        <v>0</v>
      </c>
      <c r="Q33" s="114">
        <f>VLOOKUP(C33,'Talente &amp; Stuff'!IA:JB,15,FALSE)</f>
        <v>0</v>
      </c>
      <c r="R33" s="113">
        <f>VLOOKUP(C33,'Talente &amp; Stuff'!IA:JB,16,FALSE)</f>
        <v>0</v>
      </c>
      <c r="S33" s="119">
        <f>VLOOKUP(C33,'Talente &amp; Stuff'!IA:JB,17,FALSE)</f>
        <v>0</v>
      </c>
      <c r="T33" s="160">
        <f>VLOOKUP(C33,'Talente &amp; Stuff'!IA:JB,18,FALSE)</f>
        <v>0</v>
      </c>
      <c r="U33" s="89">
        <f>VLOOKUP(C33,'Talente &amp; Stuff'!IA:JB,19,FALSE)</f>
        <v>0</v>
      </c>
      <c r="V33" s="47">
        <f>VLOOKUP(C33,'Talente &amp; Stuff'!IA:JB,20,FALSE)</f>
        <v>0</v>
      </c>
      <c r="W33" s="127">
        <f>VLOOKUP(C33,'Talente &amp; Stuff'!IA:JB,21,FALSE)</f>
        <v>0</v>
      </c>
      <c r="X33" s="125">
        <f>VLOOKUP(C33,'Talente &amp; Stuff'!IA:JB,22,FALSE)</f>
        <v>0</v>
      </c>
      <c r="Y33" s="165">
        <f t="shared" si="2"/>
        <v>0</v>
      </c>
      <c r="Z33" s="44">
        <f t="shared" si="3"/>
        <v>0</v>
      </c>
      <c r="AA33" s="125">
        <f>VLOOKUP(C33,'Talente &amp; Stuff'!IA:JB,25,FALSE)</f>
        <v>0</v>
      </c>
      <c r="AB33" s="160">
        <f>VLOOKUP(C33,'Talente &amp; Stuff'!IA:JB,26,FALSE)</f>
        <v>0</v>
      </c>
      <c r="AC33" s="127">
        <f>VLOOKUP(C33,'Talente &amp; Stuff'!IA:JB,27,FALSE)</f>
        <v>0</v>
      </c>
      <c r="AD33" s="125">
        <f>VLOOKUP(C33,'Talente &amp; Stuff'!IA:JB,28,FALSE)</f>
        <v>0</v>
      </c>
      <c r="AE33" s="28"/>
    </row>
    <row r="34" spans="2:31" ht="15" hidden="1" customHeight="1" outlineLevel="2">
      <c r="B34" s="148">
        <v>9</v>
      </c>
      <c r="C34" s="178" t="str">
        <f>Attribute!C34</f>
        <v>---</v>
      </c>
      <c r="D34" s="128" t="str">
        <f>VLOOKUP(C34,'Talente &amp; Stuff'!IA:JB,2,FALSE)</f>
        <v>--/--/--</v>
      </c>
      <c r="E34" s="159" t="str">
        <f>VLOOKUP(C34,'Talente &amp; Stuff'!IA:JB,3,FALSE)</f>
        <v>-</v>
      </c>
      <c r="F34" s="115">
        <f>VLOOKUP(C34,'Talente &amp; Stuff'!IA:JB,4,FALSE)</f>
        <v>0</v>
      </c>
      <c r="G34" s="122">
        <f>VLOOKUP(C34,'Talente &amp; Stuff'!IA:JB,5,FALSE)</f>
        <v>0</v>
      </c>
      <c r="H34" s="122">
        <f>VLOOKUP(C34,'Talente &amp; Stuff'!IA:JB,6,FALSE)</f>
        <v>0</v>
      </c>
      <c r="I34" s="122">
        <f>VLOOKUP(C34,'Talente &amp; Stuff'!IA:JB,7,FALSE)</f>
        <v>0</v>
      </c>
      <c r="J34" s="122">
        <f>VLOOKUP(C34,'Talente &amp; Stuff'!IA:JB,8,FALSE)</f>
        <v>0</v>
      </c>
      <c r="K34" s="122">
        <f>VLOOKUP(C34,'Talente &amp; Stuff'!IA:JB,9,FALSE)</f>
        <v>0</v>
      </c>
      <c r="L34" s="122">
        <f>VLOOKUP(C34,'Talente &amp; Stuff'!IA:JB,10,FALSE)</f>
        <v>0</v>
      </c>
      <c r="M34" s="123">
        <f>VLOOKUP(C34,'Talente &amp; Stuff'!IA:JB,11,FALSE)</f>
        <v>0</v>
      </c>
      <c r="N34" s="90">
        <f>VLOOKUP(C34,'Talente &amp; Stuff'!IA:JB,12,FALSE)</f>
        <v>0</v>
      </c>
      <c r="O34" s="88">
        <f>VLOOKUP(C34,'Talente &amp; Stuff'!IA:JB,13,FALSE)</f>
        <v>0</v>
      </c>
      <c r="P34" s="123">
        <f>VLOOKUP(C34,'Talente &amp; Stuff'!IA:JB,14,FALSE)</f>
        <v>0</v>
      </c>
      <c r="Q34" s="115">
        <f>VLOOKUP(C34,'Talente &amp; Stuff'!IA:JB,15,FALSE)</f>
        <v>0</v>
      </c>
      <c r="R34" s="122">
        <f>VLOOKUP(C34,'Talente &amp; Stuff'!IA:JB,16,FALSE)</f>
        <v>0</v>
      </c>
      <c r="S34" s="123">
        <f>VLOOKUP(C34,'Talente &amp; Stuff'!IA:JB,17,FALSE)</f>
        <v>0</v>
      </c>
      <c r="T34" s="161">
        <f>VLOOKUP(C34,'Talente &amp; Stuff'!IA:JB,18,FALSE)</f>
        <v>0</v>
      </c>
      <c r="U34" s="90">
        <f>VLOOKUP(C34,'Talente &amp; Stuff'!IA:JB,19,FALSE)</f>
        <v>0</v>
      </c>
      <c r="V34" s="88">
        <f>VLOOKUP(C34,'Talente &amp; Stuff'!IA:JB,20,FALSE)</f>
        <v>0</v>
      </c>
      <c r="W34" s="128">
        <f>VLOOKUP(C34,'Talente &amp; Stuff'!IA:JB,21,FALSE)</f>
        <v>0</v>
      </c>
      <c r="X34" s="159">
        <f>VLOOKUP(C34,'Talente &amp; Stuff'!IA:JB,22,FALSE)</f>
        <v>0</v>
      </c>
      <c r="Y34" s="165">
        <f t="shared" si="2"/>
        <v>0</v>
      </c>
      <c r="Z34" s="44">
        <f t="shared" si="3"/>
        <v>0</v>
      </c>
      <c r="AA34" s="159">
        <f>VLOOKUP(C34,'Talente &amp; Stuff'!IA:JB,25,FALSE)</f>
        <v>0</v>
      </c>
      <c r="AB34" s="161">
        <f>VLOOKUP(C34,'Talente &amp; Stuff'!IA:JB,26,FALSE)</f>
        <v>0</v>
      </c>
      <c r="AC34" s="128">
        <f>VLOOKUP(C34,'Talente &amp; Stuff'!IA:JB,27,FALSE)</f>
        <v>0</v>
      </c>
      <c r="AD34" s="159">
        <f>VLOOKUP(C34,'Talente &amp; Stuff'!IA:JB,28,FALSE)</f>
        <v>0</v>
      </c>
      <c r="AE34" s="28"/>
    </row>
    <row r="35" spans="2:31" ht="15" hidden="1" customHeight="1" outlineLevel="1" collapsed="1">
      <c r="B35" s="134" t="s">
        <v>69</v>
      </c>
      <c r="C35" s="83"/>
      <c r="D35" s="84"/>
      <c r="E35" s="84"/>
      <c r="F35" s="30"/>
      <c r="G35" s="30"/>
      <c r="H35" s="30"/>
      <c r="I35" s="30"/>
      <c r="J35" s="30"/>
      <c r="K35" s="30"/>
      <c r="L35" s="30"/>
      <c r="M35" s="30"/>
      <c r="N35" s="31"/>
      <c r="O35" s="31"/>
      <c r="P35" s="30"/>
      <c r="Q35" s="30"/>
      <c r="R35" s="30"/>
      <c r="S35" s="30"/>
      <c r="T35" s="30"/>
      <c r="U35" s="31"/>
      <c r="V35" s="31"/>
      <c r="W35" s="31"/>
      <c r="X35" s="31"/>
      <c r="Y35" s="65"/>
    </row>
    <row r="36" spans="2:31" ht="15" hidden="1" customHeight="1" outlineLevel="2">
      <c r="B36" s="148">
        <v>1</v>
      </c>
      <c r="C36" s="176" t="str">
        <f>Attribute!C36</f>
        <v>---</v>
      </c>
      <c r="D36" s="126" t="str">
        <f>VLOOKUP(C36,'Talente &amp; Stuff'!IA:JB,2,FALSE)</f>
        <v>--/--/--</v>
      </c>
      <c r="E36" s="158" t="str">
        <f>VLOOKUP(C36,'Talente &amp; Stuff'!IA:JB,3,FALSE)</f>
        <v>-</v>
      </c>
      <c r="F36" s="191">
        <f>VLOOKUP(C36,'Talente &amp; Stuff'!IA:JB,4,FALSE)</f>
        <v>0</v>
      </c>
      <c r="G36" s="118">
        <f>VLOOKUP(C36,'Talente &amp; Stuff'!IA:JB,5,FALSE)</f>
        <v>0</v>
      </c>
      <c r="H36" s="118">
        <f>VLOOKUP(C36,'Talente &amp; Stuff'!IA:JB,6,FALSE)</f>
        <v>0</v>
      </c>
      <c r="I36" s="118">
        <f>VLOOKUP(C36,'Talente &amp; Stuff'!IA:JB,7,FALSE)</f>
        <v>0</v>
      </c>
      <c r="J36" s="118">
        <f>VLOOKUP(C36,'Talente &amp; Stuff'!IA:JB,8,FALSE)</f>
        <v>0</v>
      </c>
      <c r="K36" s="118">
        <f>VLOOKUP(C36,'Talente &amp; Stuff'!IA:JB,9,FALSE)</f>
        <v>0</v>
      </c>
      <c r="L36" s="118">
        <f>VLOOKUP(C36,'Talente &amp; Stuff'!IA:JB,10,FALSE)</f>
        <v>0</v>
      </c>
      <c r="M36" s="92">
        <f>VLOOKUP(C36,'Talente &amp; Stuff'!IA:JB,11,FALSE)</f>
        <v>0</v>
      </c>
      <c r="N36" s="193">
        <f>VLOOKUP(C36,'Talente &amp; Stuff'!IA:JB,12,FALSE)</f>
        <v>0</v>
      </c>
      <c r="O36" s="116">
        <f>VLOOKUP(C36,'Talente &amp; Stuff'!IA:JB,13,FALSE)</f>
        <v>0</v>
      </c>
      <c r="P36" s="92">
        <f>VLOOKUP(C36,'Talente &amp; Stuff'!IA:JB,14,FALSE)</f>
        <v>0</v>
      </c>
      <c r="Q36" s="191">
        <f>VLOOKUP(C36,'Talente &amp; Stuff'!IA:JB,15,FALSE)</f>
        <v>0</v>
      </c>
      <c r="R36" s="118">
        <f>VLOOKUP(C36,'Talente &amp; Stuff'!IA:JB,16,FALSE)</f>
        <v>0</v>
      </c>
      <c r="S36" s="92">
        <f>VLOOKUP(C36,'Talente &amp; Stuff'!IA:JB,17,FALSE)</f>
        <v>0</v>
      </c>
      <c r="T36" s="91">
        <f>VLOOKUP(C36,'Talente &amp; Stuff'!IA:JB,18,FALSE)</f>
        <v>0</v>
      </c>
      <c r="U36" s="193">
        <f>VLOOKUP(C36,'Talente &amp; Stuff'!IA:JB,19,FALSE)</f>
        <v>0</v>
      </c>
      <c r="V36" s="116">
        <f>VLOOKUP(C36,'Talente &amp; Stuff'!IA:JB,20,FALSE)</f>
        <v>0</v>
      </c>
      <c r="W36" s="126">
        <f>VLOOKUP(C36,'Talente &amp; Stuff'!IA:JB,21,FALSE)</f>
        <v>0</v>
      </c>
      <c r="X36" s="158">
        <f>VLOOKUP(C36,'Talente &amp; Stuff'!IA:JB,22,FALSE)</f>
        <v>0</v>
      </c>
      <c r="Y36" s="165">
        <f t="shared" ref="Y36:Y42" si="4">VLOOKUP(C36,Ausgewählte_Talente_Naturtalente,255,FALSE)</f>
        <v>0</v>
      </c>
      <c r="Z36" s="44">
        <f t="shared" ref="Z36:Z42" si="5">VLOOKUP(C36,Ausgewählte_Talente_Naturtalente,256,FALSE)</f>
        <v>0</v>
      </c>
      <c r="AA36" s="158">
        <f>VLOOKUP(C36,'Talente &amp; Stuff'!IA:JB,25,FALSE)</f>
        <v>0</v>
      </c>
      <c r="AB36" s="91">
        <f>VLOOKUP(C36,'Talente &amp; Stuff'!IA:JB,26,FALSE)</f>
        <v>0</v>
      </c>
      <c r="AC36" s="126">
        <f>VLOOKUP(C36,'Talente &amp; Stuff'!IA:JB,27,FALSE)</f>
        <v>0</v>
      </c>
      <c r="AD36" s="158">
        <f>VLOOKUP(C36,'Talente &amp; Stuff'!IA:JB,28,FALSE)</f>
        <v>0</v>
      </c>
      <c r="AE36" s="28"/>
    </row>
    <row r="37" spans="2:31" ht="15" hidden="1" customHeight="1" outlineLevel="2">
      <c r="B37" s="148">
        <v>2</v>
      </c>
      <c r="C37" s="177" t="str">
        <f>Attribute!C37</f>
        <v>---</v>
      </c>
      <c r="D37" s="127" t="str">
        <f>VLOOKUP(C37,'Talente &amp; Stuff'!IA:JB,2,FALSE)</f>
        <v>--/--/--</v>
      </c>
      <c r="E37" s="125" t="str">
        <f>VLOOKUP(C37,'Talente &amp; Stuff'!IA:JB,3,FALSE)</f>
        <v>-</v>
      </c>
      <c r="F37" s="114">
        <f>VLOOKUP(C37,'Talente &amp; Stuff'!IA:JB,4,FALSE)</f>
        <v>0</v>
      </c>
      <c r="G37" s="113">
        <f>VLOOKUP(C37,'Talente &amp; Stuff'!IA:JB,5,FALSE)</f>
        <v>0</v>
      </c>
      <c r="H37" s="113">
        <f>VLOOKUP(C37,'Talente &amp; Stuff'!IA:JB,6,FALSE)</f>
        <v>0</v>
      </c>
      <c r="I37" s="113">
        <f>VLOOKUP(C37,'Talente &amp; Stuff'!IA:JB,7,FALSE)</f>
        <v>0</v>
      </c>
      <c r="J37" s="113">
        <f>VLOOKUP(C37,'Talente &amp; Stuff'!IA:JB,8,FALSE)</f>
        <v>0</v>
      </c>
      <c r="K37" s="113">
        <f>VLOOKUP(C37,'Talente &amp; Stuff'!IA:JB,9,FALSE)</f>
        <v>0</v>
      </c>
      <c r="L37" s="113">
        <f>VLOOKUP(C37,'Talente &amp; Stuff'!IA:JB,10,FALSE)</f>
        <v>0</v>
      </c>
      <c r="M37" s="119">
        <f>VLOOKUP(C37,'Talente &amp; Stuff'!IA:JB,11,FALSE)</f>
        <v>0</v>
      </c>
      <c r="N37" s="89">
        <f>VLOOKUP(C37,'Talente &amp; Stuff'!IA:JB,12,FALSE)</f>
        <v>0</v>
      </c>
      <c r="O37" s="47">
        <f>VLOOKUP(C37,'Talente &amp; Stuff'!IA:JB,13,FALSE)</f>
        <v>0</v>
      </c>
      <c r="P37" s="119">
        <f>VLOOKUP(C37,'Talente &amp; Stuff'!IA:JB,14,FALSE)</f>
        <v>0</v>
      </c>
      <c r="Q37" s="114">
        <f>VLOOKUP(C37,'Talente &amp; Stuff'!IA:JB,15,FALSE)</f>
        <v>0</v>
      </c>
      <c r="R37" s="113">
        <f>VLOOKUP(C37,'Talente &amp; Stuff'!IA:JB,16,FALSE)</f>
        <v>0</v>
      </c>
      <c r="S37" s="119">
        <f>VLOOKUP(C37,'Talente &amp; Stuff'!IA:JB,17,FALSE)</f>
        <v>0</v>
      </c>
      <c r="T37" s="160">
        <f>VLOOKUP(C37,'Talente &amp; Stuff'!IA:JB,18,FALSE)</f>
        <v>0</v>
      </c>
      <c r="U37" s="89">
        <f>VLOOKUP(C37,'Talente &amp; Stuff'!IA:JB,19,FALSE)</f>
        <v>0</v>
      </c>
      <c r="V37" s="47">
        <f>VLOOKUP(C37,'Talente &amp; Stuff'!IA:JB,20,FALSE)</f>
        <v>0</v>
      </c>
      <c r="W37" s="127">
        <f>VLOOKUP(C37,'Talente &amp; Stuff'!IA:JB,21,FALSE)</f>
        <v>0</v>
      </c>
      <c r="X37" s="125">
        <f>VLOOKUP(C37,'Talente &amp; Stuff'!IA:JB,22,FALSE)</f>
        <v>0</v>
      </c>
      <c r="Y37" s="165">
        <f t="shared" si="4"/>
        <v>0</v>
      </c>
      <c r="Z37" s="44">
        <f t="shared" si="5"/>
        <v>0</v>
      </c>
      <c r="AA37" s="125">
        <f>VLOOKUP(C37,'Talente &amp; Stuff'!IA:JB,25,FALSE)</f>
        <v>0</v>
      </c>
      <c r="AB37" s="160">
        <f>VLOOKUP(C37,'Talente &amp; Stuff'!IA:JB,26,FALSE)</f>
        <v>0</v>
      </c>
      <c r="AC37" s="127">
        <f>VLOOKUP(C37,'Talente &amp; Stuff'!IA:JB,27,FALSE)</f>
        <v>0</v>
      </c>
      <c r="AD37" s="125">
        <f>VLOOKUP(C37,'Talente &amp; Stuff'!IA:JB,28,FALSE)</f>
        <v>0</v>
      </c>
      <c r="AE37" s="28"/>
    </row>
    <row r="38" spans="2:31" ht="15" hidden="1" customHeight="1" outlineLevel="2">
      <c r="B38" s="148">
        <v>3</v>
      </c>
      <c r="C38" s="177" t="str">
        <f>Attribute!C38</f>
        <v>---</v>
      </c>
      <c r="D38" s="127" t="str">
        <f>VLOOKUP(C38,'Talente &amp; Stuff'!IA:JB,2,FALSE)</f>
        <v>--/--/--</v>
      </c>
      <c r="E38" s="125" t="str">
        <f>VLOOKUP(C38,'Talente &amp; Stuff'!IA:JB,3,FALSE)</f>
        <v>-</v>
      </c>
      <c r="F38" s="114">
        <f>VLOOKUP(C38,'Talente &amp; Stuff'!IA:JB,4,FALSE)</f>
        <v>0</v>
      </c>
      <c r="G38" s="113">
        <f>VLOOKUP(C38,'Talente &amp; Stuff'!IA:JB,5,FALSE)</f>
        <v>0</v>
      </c>
      <c r="H38" s="113">
        <f>VLOOKUP(C38,'Talente &amp; Stuff'!IA:JB,6,FALSE)</f>
        <v>0</v>
      </c>
      <c r="I38" s="113">
        <f>VLOOKUP(C38,'Talente &amp; Stuff'!IA:JB,7,FALSE)</f>
        <v>0</v>
      </c>
      <c r="J38" s="113">
        <f>VLOOKUP(C38,'Talente &amp; Stuff'!IA:JB,8,FALSE)</f>
        <v>0</v>
      </c>
      <c r="K38" s="113">
        <f>VLOOKUP(C38,'Talente &amp; Stuff'!IA:JB,9,FALSE)</f>
        <v>0</v>
      </c>
      <c r="L38" s="113">
        <f>VLOOKUP(C38,'Talente &amp; Stuff'!IA:JB,10,FALSE)</f>
        <v>0</v>
      </c>
      <c r="M38" s="119">
        <f>VLOOKUP(C38,'Talente &amp; Stuff'!IA:JB,11,FALSE)</f>
        <v>0</v>
      </c>
      <c r="N38" s="89">
        <f>VLOOKUP(C38,'Talente &amp; Stuff'!IA:JB,12,FALSE)</f>
        <v>0</v>
      </c>
      <c r="O38" s="47">
        <f>VLOOKUP(C38,'Talente &amp; Stuff'!IA:JB,13,FALSE)</f>
        <v>0</v>
      </c>
      <c r="P38" s="119">
        <f>VLOOKUP(C38,'Talente &amp; Stuff'!IA:JB,14,FALSE)</f>
        <v>0</v>
      </c>
      <c r="Q38" s="114">
        <f>VLOOKUP(C38,'Talente &amp; Stuff'!IA:JB,15,FALSE)</f>
        <v>0</v>
      </c>
      <c r="R38" s="113">
        <f>VLOOKUP(C38,'Talente &amp; Stuff'!IA:JB,16,FALSE)</f>
        <v>0</v>
      </c>
      <c r="S38" s="119">
        <f>VLOOKUP(C38,'Talente &amp; Stuff'!IA:JB,17,FALSE)</f>
        <v>0</v>
      </c>
      <c r="T38" s="160">
        <f>VLOOKUP(C38,'Talente &amp; Stuff'!IA:JB,18,FALSE)</f>
        <v>0</v>
      </c>
      <c r="U38" s="89">
        <f>VLOOKUP(C38,'Talente &amp; Stuff'!IA:JB,19,FALSE)</f>
        <v>0</v>
      </c>
      <c r="V38" s="47">
        <f>VLOOKUP(C38,'Talente &amp; Stuff'!IA:JB,20,FALSE)</f>
        <v>0</v>
      </c>
      <c r="W38" s="127">
        <f>VLOOKUP(C38,'Talente &amp; Stuff'!IA:JB,21,FALSE)</f>
        <v>0</v>
      </c>
      <c r="X38" s="125">
        <f>VLOOKUP(C38,'Talente &amp; Stuff'!IA:JB,22,FALSE)</f>
        <v>0</v>
      </c>
      <c r="Y38" s="165">
        <f t="shared" si="4"/>
        <v>0</v>
      </c>
      <c r="Z38" s="44">
        <f t="shared" si="5"/>
        <v>0</v>
      </c>
      <c r="AA38" s="125">
        <f>VLOOKUP(C38,'Talente &amp; Stuff'!IA:JB,25,FALSE)</f>
        <v>0</v>
      </c>
      <c r="AB38" s="160">
        <f>VLOOKUP(C38,'Talente &amp; Stuff'!IA:JB,26,FALSE)</f>
        <v>0</v>
      </c>
      <c r="AC38" s="127">
        <f>VLOOKUP(C38,'Talente &amp; Stuff'!IA:JB,27,FALSE)</f>
        <v>0</v>
      </c>
      <c r="AD38" s="125">
        <f>VLOOKUP(C38,'Talente &amp; Stuff'!IA:JB,28,FALSE)</f>
        <v>0</v>
      </c>
      <c r="AE38" s="28"/>
    </row>
    <row r="39" spans="2:31" ht="15" hidden="1" customHeight="1" outlineLevel="2">
      <c r="B39" s="148">
        <v>4</v>
      </c>
      <c r="C39" s="177" t="str">
        <f>Attribute!C39</f>
        <v>---</v>
      </c>
      <c r="D39" s="127" t="str">
        <f>VLOOKUP(C39,'Talente &amp; Stuff'!IA:JB,2,FALSE)</f>
        <v>--/--/--</v>
      </c>
      <c r="E39" s="125" t="str">
        <f>VLOOKUP(C39,'Talente &amp; Stuff'!IA:JB,3,FALSE)</f>
        <v>-</v>
      </c>
      <c r="F39" s="114">
        <f>VLOOKUP(C39,'Talente &amp; Stuff'!IA:JB,4,FALSE)</f>
        <v>0</v>
      </c>
      <c r="G39" s="113">
        <f>VLOOKUP(C39,'Talente &amp; Stuff'!IA:JB,5,FALSE)</f>
        <v>0</v>
      </c>
      <c r="H39" s="113">
        <f>VLOOKUP(C39,'Talente &amp; Stuff'!IA:JB,6,FALSE)</f>
        <v>0</v>
      </c>
      <c r="I39" s="113">
        <f>VLOOKUP(C39,'Talente &amp; Stuff'!IA:JB,7,FALSE)</f>
        <v>0</v>
      </c>
      <c r="J39" s="113">
        <f>VLOOKUP(C39,'Talente &amp; Stuff'!IA:JB,8,FALSE)</f>
        <v>0</v>
      </c>
      <c r="K39" s="113">
        <f>VLOOKUP(C39,'Talente &amp; Stuff'!IA:JB,9,FALSE)</f>
        <v>0</v>
      </c>
      <c r="L39" s="113">
        <f>VLOOKUP(C39,'Talente &amp; Stuff'!IA:JB,10,FALSE)</f>
        <v>0</v>
      </c>
      <c r="M39" s="119">
        <f>VLOOKUP(C39,'Talente &amp; Stuff'!IA:JB,11,FALSE)</f>
        <v>0</v>
      </c>
      <c r="N39" s="89">
        <f>VLOOKUP(C39,'Talente &amp; Stuff'!IA:JB,12,FALSE)</f>
        <v>0</v>
      </c>
      <c r="O39" s="47">
        <f>VLOOKUP(C39,'Talente &amp; Stuff'!IA:JB,13,FALSE)</f>
        <v>0</v>
      </c>
      <c r="P39" s="119">
        <f>VLOOKUP(C39,'Talente &amp; Stuff'!IA:JB,14,FALSE)</f>
        <v>0</v>
      </c>
      <c r="Q39" s="114">
        <f>VLOOKUP(C39,'Talente &amp; Stuff'!IA:JB,15,FALSE)</f>
        <v>0</v>
      </c>
      <c r="R39" s="113">
        <f>VLOOKUP(C39,'Talente &amp; Stuff'!IA:JB,16,FALSE)</f>
        <v>0</v>
      </c>
      <c r="S39" s="119">
        <f>VLOOKUP(C39,'Talente &amp; Stuff'!IA:JB,17,FALSE)</f>
        <v>0</v>
      </c>
      <c r="T39" s="160">
        <f>VLOOKUP(C39,'Talente &amp; Stuff'!IA:JB,18,FALSE)</f>
        <v>0</v>
      </c>
      <c r="U39" s="89">
        <f>VLOOKUP(C39,'Talente &amp; Stuff'!IA:JB,19,FALSE)</f>
        <v>0</v>
      </c>
      <c r="V39" s="47">
        <f>VLOOKUP(C39,'Talente &amp; Stuff'!IA:JB,20,FALSE)</f>
        <v>0</v>
      </c>
      <c r="W39" s="127">
        <f>VLOOKUP(C39,'Talente &amp; Stuff'!IA:JB,21,FALSE)</f>
        <v>0</v>
      </c>
      <c r="X39" s="125">
        <f>VLOOKUP(C39,'Talente &amp; Stuff'!IA:JB,22,FALSE)</f>
        <v>0</v>
      </c>
      <c r="Y39" s="165">
        <f t="shared" si="4"/>
        <v>0</v>
      </c>
      <c r="Z39" s="44">
        <f t="shared" si="5"/>
        <v>0</v>
      </c>
      <c r="AA39" s="125">
        <f>VLOOKUP(C39,'Talente &amp; Stuff'!IA:JB,25,FALSE)</f>
        <v>0</v>
      </c>
      <c r="AB39" s="160">
        <f>VLOOKUP(C39,'Talente &amp; Stuff'!IA:JB,26,FALSE)</f>
        <v>0</v>
      </c>
      <c r="AC39" s="127">
        <f>VLOOKUP(C39,'Talente &amp; Stuff'!IA:JB,27,FALSE)</f>
        <v>0</v>
      </c>
      <c r="AD39" s="125">
        <f>VLOOKUP(C39,'Talente &amp; Stuff'!IA:JB,28,FALSE)</f>
        <v>0</v>
      </c>
      <c r="AE39" s="28"/>
    </row>
    <row r="40" spans="2:31" ht="15" hidden="1" customHeight="1" outlineLevel="2">
      <c r="B40" s="148">
        <v>5</v>
      </c>
      <c r="C40" s="177" t="str">
        <f>Attribute!C40</f>
        <v>---</v>
      </c>
      <c r="D40" s="127" t="str">
        <f>VLOOKUP(C40,'Talente &amp; Stuff'!IA:JB,2,FALSE)</f>
        <v>--/--/--</v>
      </c>
      <c r="E40" s="125" t="str">
        <f>VLOOKUP(C40,'Talente &amp; Stuff'!IA:JB,3,FALSE)</f>
        <v>-</v>
      </c>
      <c r="F40" s="114">
        <f>VLOOKUP(C40,'Talente &amp; Stuff'!IA:JB,4,FALSE)</f>
        <v>0</v>
      </c>
      <c r="G40" s="113">
        <f>VLOOKUP(C40,'Talente &amp; Stuff'!IA:JB,5,FALSE)</f>
        <v>0</v>
      </c>
      <c r="H40" s="113">
        <f>VLOOKUP(C40,'Talente &amp; Stuff'!IA:JB,6,FALSE)</f>
        <v>0</v>
      </c>
      <c r="I40" s="113">
        <f>VLOOKUP(C40,'Talente &amp; Stuff'!IA:JB,7,FALSE)</f>
        <v>0</v>
      </c>
      <c r="J40" s="113">
        <f>VLOOKUP(C40,'Talente &amp; Stuff'!IA:JB,8,FALSE)</f>
        <v>0</v>
      </c>
      <c r="K40" s="113">
        <f>VLOOKUP(C40,'Talente &amp; Stuff'!IA:JB,9,FALSE)</f>
        <v>0</v>
      </c>
      <c r="L40" s="113">
        <f>VLOOKUP(C40,'Talente &amp; Stuff'!IA:JB,10,FALSE)</f>
        <v>0</v>
      </c>
      <c r="M40" s="119">
        <f>VLOOKUP(C40,'Talente &amp; Stuff'!IA:JB,11,FALSE)</f>
        <v>0</v>
      </c>
      <c r="N40" s="89">
        <f>VLOOKUP(C40,'Talente &amp; Stuff'!IA:JB,12,FALSE)</f>
        <v>0</v>
      </c>
      <c r="O40" s="47">
        <f>VLOOKUP(C40,'Talente &amp; Stuff'!IA:JB,13,FALSE)</f>
        <v>0</v>
      </c>
      <c r="P40" s="119">
        <f>VLOOKUP(C40,'Talente &amp; Stuff'!IA:JB,14,FALSE)</f>
        <v>0</v>
      </c>
      <c r="Q40" s="114">
        <f>VLOOKUP(C40,'Talente &amp; Stuff'!IA:JB,15,FALSE)</f>
        <v>0</v>
      </c>
      <c r="R40" s="113">
        <f>VLOOKUP(C40,'Talente &amp; Stuff'!IA:JB,16,FALSE)</f>
        <v>0</v>
      </c>
      <c r="S40" s="119">
        <f>VLOOKUP(C40,'Talente &amp; Stuff'!IA:JB,17,FALSE)</f>
        <v>0</v>
      </c>
      <c r="T40" s="160">
        <f>VLOOKUP(C40,'Talente &amp; Stuff'!IA:JB,18,FALSE)</f>
        <v>0</v>
      </c>
      <c r="U40" s="89">
        <f>VLOOKUP(C40,'Talente &amp; Stuff'!IA:JB,19,FALSE)</f>
        <v>0</v>
      </c>
      <c r="V40" s="47">
        <f>VLOOKUP(C40,'Talente &amp; Stuff'!IA:JB,20,FALSE)</f>
        <v>0</v>
      </c>
      <c r="W40" s="127">
        <f>VLOOKUP(C40,'Talente &amp; Stuff'!IA:JB,21,FALSE)</f>
        <v>0</v>
      </c>
      <c r="X40" s="125">
        <f>VLOOKUP(C40,'Talente &amp; Stuff'!IA:JB,22,FALSE)</f>
        <v>0</v>
      </c>
      <c r="Y40" s="165">
        <f t="shared" si="4"/>
        <v>0</v>
      </c>
      <c r="Z40" s="44">
        <f t="shared" si="5"/>
        <v>0</v>
      </c>
      <c r="AA40" s="125">
        <f>VLOOKUP(C40,'Talente &amp; Stuff'!IA:JB,25,FALSE)</f>
        <v>0</v>
      </c>
      <c r="AB40" s="160">
        <f>VLOOKUP(C40,'Talente &amp; Stuff'!IA:JB,26,FALSE)</f>
        <v>0</v>
      </c>
      <c r="AC40" s="127">
        <f>VLOOKUP(C40,'Talente &amp; Stuff'!IA:JB,27,FALSE)</f>
        <v>0</v>
      </c>
      <c r="AD40" s="125">
        <f>VLOOKUP(C40,'Talente &amp; Stuff'!IA:JB,28,FALSE)</f>
        <v>0</v>
      </c>
      <c r="AE40" s="28"/>
    </row>
    <row r="41" spans="2:31" ht="15" hidden="1" customHeight="1" outlineLevel="2">
      <c r="B41" s="148">
        <v>6</v>
      </c>
      <c r="C41" s="177" t="str">
        <f>Attribute!C41</f>
        <v>---</v>
      </c>
      <c r="D41" s="127" t="str">
        <f>VLOOKUP(C41,'Talente &amp; Stuff'!IA:JB,2,FALSE)</f>
        <v>--/--/--</v>
      </c>
      <c r="E41" s="125" t="str">
        <f>VLOOKUP(C41,'Talente &amp; Stuff'!IA:JB,3,FALSE)</f>
        <v>-</v>
      </c>
      <c r="F41" s="114">
        <f>VLOOKUP(C41,'Talente &amp; Stuff'!IA:JB,4,FALSE)</f>
        <v>0</v>
      </c>
      <c r="G41" s="113">
        <f>VLOOKUP(C41,'Talente &amp; Stuff'!IA:JB,5,FALSE)</f>
        <v>0</v>
      </c>
      <c r="H41" s="113">
        <f>VLOOKUP(C41,'Talente &amp; Stuff'!IA:JB,6,FALSE)</f>
        <v>0</v>
      </c>
      <c r="I41" s="113">
        <f>VLOOKUP(C41,'Talente &amp; Stuff'!IA:JB,7,FALSE)</f>
        <v>0</v>
      </c>
      <c r="J41" s="113">
        <f>VLOOKUP(C41,'Talente &amp; Stuff'!IA:JB,8,FALSE)</f>
        <v>0</v>
      </c>
      <c r="K41" s="113">
        <f>VLOOKUP(C41,'Talente &amp; Stuff'!IA:JB,9,FALSE)</f>
        <v>0</v>
      </c>
      <c r="L41" s="113">
        <f>VLOOKUP(C41,'Talente &amp; Stuff'!IA:JB,10,FALSE)</f>
        <v>0</v>
      </c>
      <c r="M41" s="119">
        <f>VLOOKUP(C41,'Talente &amp; Stuff'!IA:JB,11,FALSE)</f>
        <v>0</v>
      </c>
      <c r="N41" s="89">
        <f>VLOOKUP(C41,'Talente &amp; Stuff'!IA:JB,12,FALSE)</f>
        <v>0</v>
      </c>
      <c r="O41" s="47">
        <f>VLOOKUP(C41,'Talente &amp; Stuff'!IA:JB,13,FALSE)</f>
        <v>0</v>
      </c>
      <c r="P41" s="119">
        <f>VLOOKUP(C41,'Talente &amp; Stuff'!IA:JB,14,FALSE)</f>
        <v>0</v>
      </c>
      <c r="Q41" s="114">
        <f>VLOOKUP(C41,'Talente &amp; Stuff'!IA:JB,15,FALSE)</f>
        <v>0</v>
      </c>
      <c r="R41" s="113">
        <f>VLOOKUP(C41,'Talente &amp; Stuff'!IA:JB,16,FALSE)</f>
        <v>0</v>
      </c>
      <c r="S41" s="119">
        <f>VLOOKUP(C41,'Talente &amp; Stuff'!IA:JB,17,FALSE)</f>
        <v>0</v>
      </c>
      <c r="T41" s="160">
        <f>VLOOKUP(C41,'Talente &amp; Stuff'!IA:JB,18,FALSE)</f>
        <v>0</v>
      </c>
      <c r="U41" s="89">
        <f>VLOOKUP(C41,'Talente &amp; Stuff'!IA:JB,19,FALSE)</f>
        <v>0</v>
      </c>
      <c r="V41" s="47">
        <f>VLOOKUP(C41,'Talente &amp; Stuff'!IA:JB,20,FALSE)</f>
        <v>0</v>
      </c>
      <c r="W41" s="127">
        <f>VLOOKUP(C41,'Talente &amp; Stuff'!IA:JB,21,FALSE)</f>
        <v>0</v>
      </c>
      <c r="X41" s="125">
        <f>VLOOKUP(C41,'Talente &amp; Stuff'!IA:JB,22,FALSE)</f>
        <v>0</v>
      </c>
      <c r="Y41" s="165">
        <f t="shared" si="4"/>
        <v>0</v>
      </c>
      <c r="Z41" s="44">
        <f t="shared" si="5"/>
        <v>0</v>
      </c>
      <c r="AA41" s="125">
        <f>VLOOKUP(C41,'Talente &amp; Stuff'!IA:JB,25,FALSE)</f>
        <v>0</v>
      </c>
      <c r="AB41" s="160">
        <f>VLOOKUP(C41,'Talente &amp; Stuff'!IA:JB,26,FALSE)</f>
        <v>0</v>
      </c>
      <c r="AC41" s="127">
        <f>VLOOKUP(C41,'Talente &amp; Stuff'!IA:JB,27,FALSE)</f>
        <v>0</v>
      </c>
      <c r="AD41" s="125">
        <f>VLOOKUP(C41,'Talente &amp; Stuff'!IA:JB,28,FALSE)</f>
        <v>0</v>
      </c>
      <c r="AE41" s="28"/>
    </row>
    <row r="42" spans="2:31" ht="15" hidden="1" customHeight="1" outlineLevel="2">
      <c r="B42" s="148">
        <v>7</v>
      </c>
      <c r="C42" s="178" t="str">
        <f>Attribute!C42</f>
        <v>---</v>
      </c>
      <c r="D42" s="128" t="str">
        <f>VLOOKUP(C42,'Talente &amp; Stuff'!IA:JB,2,FALSE)</f>
        <v>--/--/--</v>
      </c>
      <c r="E42" s="159" t="str">
        <f>VLOOKUP(C42,'Talente &amp; Stuff'!IA:JB,3,FALSE)</f>
        <v>-</v>
      </c>
      <c r="F42" s="115">
        <f>VLOOKUP(C42,'Talente &amp; Stuff'!IA:JB,4,FALSE)</f>
        <v>0</v>
      </c>
      <c r="G42" s="122">
        <f>VLOOKUP(C42,'Talente &amp; Stuff'!IA:JB,5,FALSE)</f>
        <v>0</v>
      </c>
      <c r="H42" s="122">
        <f>VLOOKUP(C42,'Talente &amp; Stuff'!IA:JB,6,FALSE)</f>
        <v>0</v>
      </c>
      <c r="I42" s="122">
        <f>VLOOKUP(C42,'Talente &amp; Stuff'!IA:JB,7,FALSE)</f>
        <v>0</v>
      </c>
      <c r="J42" s="122">
        <f>VLOOKUP(C42,'Talente &amp; Stuff'!IA:JB,8,FALSE)</f>
        <v>0</v>
      </c>
      <c r="K42" s="122">
        <f>VLOOKUP(C42,'Talente &amp; Stuff'!IA:JB,9,FALSE)</f>
        <v>0</v>
      </c>
      <c r="L42" s="122">
        <f>VLOOKUP(C42,'Talente &amp; Stuff'!IA:JB,10,FALSE)</f>
        <v>0</v>
      </c>
      <c r="M42" s="123">
        <f>VLOOKUP(C42,'Talente &amp; Stuff'!IA:JB,11,FALSE)</f>
        <v>0</v>
      </c>
      <c r="N42" s="90">
        <f>VLOOKUP(C42,'Talente &amp; Stuff'!IA:JB,12,FALSE)</f>
        <v>0</v>
      </c>
      <c r="O42" s="88">
        <f>VLOOKUP(C42,'Talente &amp; Stuff'!IA:JB,13,FALSE)</f>
        <v>0</v>
      </c>
      <c r="P42" s="123">
        <f>VLOOKUP(C42,'Talente &amp; Stuff'!IA:JB,14,FALSE)</f>
        <v>0</v>
      </c>
      <c r="Q42" s="115">
        <f>VLOOKUP(C42,'Talente &amp; Stuff'!IA:JB,15,FALSE)</f>
        <v>0</v>
      </c>
      <c r="R42" s="122">
        <f>VLOOKUP(C42,'Talente &amp; Stuff'!IA:JB,16,FALSE)</f>
        <v>0</v>
      </c>
      <c r="S42" s="123">
        <f>VLOOKUP(C42,'Talente &amp; Stuff'!IA:JB,17,FALSE)</f>
        <v>0</v>
      </c>
      <c r="T42" s="161">
        <f>VLOOKUP(C42,'Talente &amp; Stuff'!IA:JB,18,FALSE)</f>
        <v>0</v>
      </c>
      <c r="U42" s="90">
        <f>VLOOKUP(C42,'Talente &amp; Stuff'!IA:JB,19,FALSE)</f>
        <v>0</v>
      </c>
      <c r="V42" s="88">
        <f>VLOOKUP(C42,'Talente &amp; Stuff'!IA:JB,20,FALSE)</f>
        <v>0</v>
      </c>
      <c r="W42" s="128">
        <f>VLOOKUP(C42,'Talente &amp; Stuff'!IA:JB,21,FALSE)</f>
        <v>0</v>
      </c>
      <c r="X42" s="159">
        <f>VLOOKUP(C42,'Talente &amp; Stuff'!IA:JB,22,FALSE)</f>
        <v>0</v>
      </c>
      <c r="Y42" s="165">
        <f t="shared" si="4"/>
        <v>0</v>
      </c>
      <c r="Z42" s="44">
        <f t="shared" si="5"/>
        <v>0</v>
      </c>
      <c r="AA42" s="159">
        <f>VLOOKUP(C42,'Talente &amp; Stuff'!IA:JB,25,FALSE)</f>
        <v>0</v>
      </c>
      <c r="AB42" s="161">
        <f>VLOOKUP(C42,'Talente &amp; Stuff'!IA:JB,26,FALSE)</f>
        <v>0</v>
      </c>
      <c r="AC42" s="128">
        <f>VLOOKUP(C42,'Talente &amp; Stuff'!IA:JB,27,FALSE)</f>
        <v>0</v>
      </c>
      <c r="AD42" s="159">
        <f>VLOOKUP(C42,'Talente &amp; Stuff'!IA:JB,28,FALSE)</f>
        <v>0</v>
      </c>
      <c r="AE42" s="28"/>
    </row>
    <row r="43" spans="2:31" ht="15" hidden="1" customHeight="1" outlineLevel="1" collapsed="1">
      <c r="B43" s="134" t="s">
        <v>70</v>
      </c>
      <c r="C43" s="83"/>
      <c r="D43" s="84"/>
      <c r="E43" s="84"/>
      <c r="F43" s="30"/>
      <c r="G43" s="30"/>
      <c r="H43" s="30"/>
      <c r="I43" s="30"/>
      <c r="J43" s="30"/>
      <c r="K43" s="30"/>
      <c r="L43" s="30"/>
      <c r="M43" s="30"/>
      <c r="N43" s="31"/>
      <c r="O43" s="31"/>
      <c r="P43" s="30"/>
      <c r="Q43" s="30"/>
      <c r="R43" s="30"/>
      <c r="S43" s="30"/>
      <c r="T43" s="30"/>
      <c r="U43" s="31"/>
      <c r="V43" s="31"/>
      <c r="W43" s="31"/>
      <c r="X43" s="31"/>
      <c r="Y43" s="65"/>
    </row>
    <row r="44" spans="2:31" ht="15" hidden="1" customHeight="1" outlineLevel="2">
      <c r="B44" s="148">
        <v>1</v>
      </c>
      <c r="C44" s="176" t="str">
        <f>Attribute!C44</f>
        <v>---</v>
      </c>
      <c r="D44" s="126" t="str">
        <f>VLOOKUP(C44,'Talente &amp; Stuff'!IA:JB,2,FALSE)</f>
        <v>--/--/--</v>
      </c>
      <c r="E44" s="158" t="str">
        <f>VLOOKUP(C44,'Talente &amp; Stuff'!IA:JB,3,FALSE)</f>
        <v>-</v>
      </c>
      <c r="F44" s="191">
        <f>VLOOKUP(C44,'Talente &amp; Stuff'!IA:JB,4,FALSE)</f>
        <v>0</v>
      </c>
      <c r="G44" s="118">
        <f>VLOOKUP(C44,'Talente &amp; Stuff'!IA:JB,5,FALSE)</f>
        <v>0</v>
      </c>
      <c r="H44" s="118">
        <f>VLOOKUP(C44,'Talente &amp; Stuff'!IA:JB,6,FALSE)</f>
        <v>0</v>
      </c>
      <c r="I44" s="118">
        <f>VLOOKUP(C44,'Talente &amp; Stuff'!IA:JB,7,FALSE)</f>
        <v>0</v>
      </c>
      <c r="J44" s="118">
        <f>VLOOKUP(C44,'Talente &amp; Stuff'!IA:JB,8,FALSE)</f>
        <v>0</v>
      </c>
      <c r="K44" s="118">
        <f>VLOOKUP(C44,'Talente &amp; Stuff'!IA:JB,9,FALSE)</f>
        <v>0</v>
      </c>
      <c r="L44" s="118">
        <f>VLOOKUP(C44,'Talente &amp; Stuff'!IA:JB,10,FALSE)</f>
        <v>0</v>
      </c>
      <c r="M44" s="92">
        <f>VLOOKUP(C44,'Talente &amp; Stuff'!IA:JB,11,FALSE)</f>
        <v>0</v>
      </c>
      <c r="N44" s="193">
        <f>VLOOKUP(C44,'Talente &amp; Stuff'!IA:JB,12,FALSE)</f>
        <v>0</v>
      </c>
      <c r="O44" s="116">
        <f>VLOOKUP(C44,'Talente &amp; Stuff'!IA:JB,13,FALSE)</f>
        <v>0</v>
      </c>
      <c r="P44" s="92">
        <f>VLOOKUP(C44,'Talente &amp; Stuff'!IA:JB,14,FALSE)</f>
        <v>0</v>
      </c>
      <c r="Q44" s="191">
        <f>VLOOKUP(C44,'Talente &amp; Stuff'!IA:JB,15,FALSE)</f>
        <v>0</v>
      </c>
      <c r="R44" s="118">
        <f>VLOOKUP(C44,'Talente &amp; Stuff'!IA:JB,16,FALSE)</f>
        <v>0</v>
      </c>
      <c r="S44" s="92">
        <f>VLOOKUP(C44,'Talente &amp; Stuff'!IA:JB,17,FALSE)</f>
        <v>0</v>
      </c>
      <c r="T44" s="91">
        <f>VLOOKUP(C44,'Talente &amp; Stuff'!IA:JB,18,FALSE)</f>
        <v>0</v>
      </c>
      <c r="U44" s="193">
        <f>VLOOKUP(C44,'Talente &amp; Stuff'!IA:JB,19,FALSE)</f>
        <v>0</v>
      </c>
      <c r="V44" s="116">
        <f>VLOOKUP(C44,'Talente &amp; Stuff'!IA:JB,20,FALSE)</f>
        <v>0</v>
      </c>
      <c r="W44" s="126">
        <f>VLOOKUP(C44,'Talente &amp; Stuff'!IA:JB,21,FALSE)</f>
        <v>0</v>
      </c>
      <c r="X44" s="158">
        <f>VLOOKUP(C44,'Talente &amp; Stuff'!IA:JB,22,FALSE)</f>
        <v>0</v>
      </c>
      <c r="Y44" s="165">
        <f t="shared" ref="Y44:Y55" si="6">VLOOKUP(C44,Ausgewählte_Talente_Wissenstalente,255,FALSE)</f>
        <v>0</v>
      </c>
      <c r="Z44" s="44">
        <f t="shared" ref="Z44:Z55" si="7">VLOOKUP(C44,Ausgewählte_Talente_Wissenstalente,256,FALSE)</f>
        <v>0</v>
      </c>
      <c r="AA44" s="158">
        <f>VLOOKUP(C44,'Talente &amp; Stuff'!IA:JB,25,FALSE)</f>
        <v>0</v>
      </c>
      <c r="AB44" s="91">
        <f>VLOOKUP(C44,'Talente &amp; Stuff'!IA:JB,26,FALSE)</f>
        <v>0</v>
      </c>
      <c r="AC44" s="126">
        <f>VLOOKUP(C44,'Talente &amp; Stuff'!IA:JB,27,FALSE)</f>
        <v>0</v>
      </c>
      <c r="AD44" s="158">
        <f>VLOOKUP(C44,'Talente &amp; Stuff'!IA:JB,28,FALSE)</f>
        <v>0</v>
      </c>
      <c r="AE44" s="28"/>
    </row>
    <row r="45" spans="2:31" ht="15" hidden="1" customHeight="1" outlineLevel="2">
      <c r="B45" s="148">
        <v>2</v>
      </c>
      <c r="C45" s="177" t="str">
        <f>Attribute!C45</f>
        <v>---</v>
      </c>
      <c r="D45" s="127" t="str">
        <f>VLOOKUP(C45,'Talente &amp; Stuff'!IA:JB,2,FALSE)</f>
        <v>--/--/--</v>
      </c>
      <c r="E45" s="125" t="str">
        <f>VLOOKUP(C45,'Talente &amp; Stuff'!IA:JB,3,FALSE)</f>
        <v>-</v>
      </c>
      <c r="F45" s="114">
        <f>VLOOKUP(C45,'Talente &amp; Stuff'!IA:JB,4,FALSE)</f>
        <v>0</v>
      </c>
      <c r="G45" s="113">
        <f>VLOOKUP(C45,'Talente &amp; Stuff'!IA:JB,5,FALSE)</f>
        <v>0</v>
      </c>
      <c r="H45" s="113">
        <f>VLOOKUP(C45,'Talente &amp; Stuff'!IA:JB,6,FALSE)</f>
        <v>0</v>
      </c>
      <c r="I45" s="113">
        <f>VLOOKUP(C45,'Talente &amp; Stuff'!IA:JB,7,FALSE)</f>
        <v>0</v>
      </c>
      <c r="J45" s="113">
        <f>VLOOKUP(C45,'Talente &amp; Stuff'!IA:JB,8,FALSE)</f>
        <v>0</v>
      </c>
      <c r="K45" s="113">
        <f>VLOOKUP(C45,'Talente &amp; Stuff'!IA:JB,9,FALSE)</f>
        <v>0</v>
      </c>
      <c r="L45" s="113">
        <f>VLOOKUP(C45,'Talente &amp; Stuff'!IA:JB,10,FALSE)</f>
        <v>0</v>
      </c>
      <c r="M45" s="119">
        <f>VLOOKUP(C45,'Talente &amp; Stuff'!IA:JB,11,FALSE)</f>
        <v>0</v>
      </c>
      <c r="N45" s="89">
        <f>VLOOKUP(C45,'Talente &amp; Stuff'!IA:JB,12,FALSE)</f>
        <v>0</v>
      </c>
      <c r="O45" s="47">
        <f>VLOOKUP(C45,'Talente &amp; Stuff'!IA:JB,13,FALSE)</f>
        <v>0</v>
      </c>
      <c r="P45" s="119">
        <f>VLOOKUP(C45,'Talente &amp; Stuff'!IA:JB,14,FALSE)</f>
        <v>0</v>
      </c>
      <c r="Q45" s="114">
        <f>VLOOKUP(C45,'Talente &amp; Stuff'!IA:JB,15,FALSE)</f>
        <v>0</v>
      </c>
      <c r="R45" s="113">
        <f>VLOOKUP(C45,'Talente &amp; Stuff'!IA:JB,16,FALSE)</f>
        <v>0</v>
      </c>
      <c r="S45" s="119">
        <f>VLOOKUP(C45,'Talente &amp; Stuff'!IA:JB,17,FALSE)</f>
        <v>0</v>
      </c>
      <c r="T45" s="160">
        <f>VLOOKUP(C45,'Talente &amp; Stuff'!IA:JB,18,FALSE)</f>
        <v>0</v>
      </c>
      <c r="U45" s="89">
        <f>VLOOKUP(C45,'Talente &amp; Stuff'!IA:JB,19,FALSE)</f>
        <v>0</v>
      </c>
      <c r="V45" s="47">
        <f>VLOOKUP(C45,'Talente &amp; Stuff'!IA:JB,20,FALSE)</f>
        <v>0</v>
      </c>
      <c r="W45" s="127">
        <f>VLOOKUP(C45,'Talente &amp; Stuff'!IA:JB,21,FALSE)</f>
        <v>0</v>
      </c>
      <c r="X45" s="125">
        <f>VLOOKUP(C45,'Talente &amp; Stuff'!IA:JB,22,FALSE)</f>
        <v>0</v>
      </c>
      <c r="Y45" s="165">
        <f t="shared" si="6"/>
        <v>0</v>
      </c>
      <c r="Z45" s="44">
        <f t="shared" si="7"/>
        <v>0</v>
      </c>
      <c r="AA45" s="125">
        <f>VLOOKUP(C45,'Talente &amp; Stuff'!IA:JB,25,FALSE)</f>
        <v>0</v>
      </c>
      <c r="AB45" s="160">
        <f>VLOOKUP(C45,'Talente &amp; Stuff'!IA:JB,26,FALSE)</f>
        <v>0</v>
      </c>
      <c r="AC45" s="127">
        <f>VLOOKUP(C45,'Talente &amp; Stuff'!IA:JB,27,FALSE)</f>
        <v>0</v>
      </c>
      <c r="AD45" s="125">
        <f>VLOOKUP(C45,'Talente &amp; Stuff'!IA:JB,28,FALSE)</f>
        <v>0</v>
      </c>
      <c r="AE45" s="28"/>
    </row>
    <row r="46" spans="2:31" ht="15" hidden="1" customHeight="1" outlineLevel="2">
      <c r="B46" s="148">
        <v>3</v>
      </c>
      <c r="C46" s="177" t="str">
        <f>Attribute!C46</f>
        <v>---</v>
      </c>
      <c r="D46" s="127" t="str">
        <f>VLOOKUP(C46,'Talente &amp; Stuff'!IA:JB,2,FALSE)</f>
        <v>--/--/--</v>
      </c>
      <c r="E46" s="125" t="str">
        <f>VLOOKUP(C46,'Talente &amp; Stuff'!IA:JB,3,FALSE)</f>
        <v>-</v>
      </c>
      <c r="F46" s="114">
        <f>VLOOKUP(C46,'Talente &amp; Stuff'!IA:JB,4,FALSE)</f>
        <v>0</v>
      </c>
      <c r="G46" s="113">
        <f>VLOOKUP(C46,'Talente &amp; Stuff'!IA:JB,5,FALSE)</f>
        <v>0</v>
      </c>
      <c r="H46" s="113">
        <f>VLOOKUP(C46,'Talente &amp; Stuff'!IA:JB,6,FALSE)</f>
        <v>0</v>
      </c>
      <c r="I46" s="113">
        <f>VLOOKUP(C46,'Talente &amp; Stuff'!IA:JB,7,FALSE)</f>
        <v>0</v>
      </c>
      <c r="J46" s="113">
        <f>VLOOKUP(C46,'Talente &amp; Stuff'!IA:JB,8,FALSE)</f>
        <v>0</v>
      </c>
      <c r="K46" s="113">
        <f>VLOOKUP(C46,'Talente &amp; Stuff'!IA:JB,9,FALSE)</f>
        <v>0</v>
      </c>
      <c r="L46" s="113">
        <f>VLOOKUP(C46,'Talente &amp; Stuff'!IA:JB,10,FALSE)</f>
        <v>0</v>
      </c>
      <c r="M46" s="119">
        <f>VLOOKUP(C46,'Talente &amp; Stuff'!IA:JB,11,FALSE)</f>
        <v>0</v>
      </c>
      <c r="N46" s="89">
        <f>VLOOKUP(C46,'Talente &amp; Stuff'!IA:JB,12,FALSE)</f>
        <v>0</v>
      </c>
      <c r="O46" s="47">
        <f>VLOOKUP(C46,'Talente &amp; Stuff'!IA:JB,13,FALSE)</f>
        <v>0</v>
      </c>
      <c r="P46" s="119">
        <f>VLOOKUP(C46,'Talente &amp; Stuff'!IA:JB,14,FALSE)</f>
        <v>0</v>
      </c>
      <c r="Q46" s="114">
        <f>VLOOKUP(C46,'Talente &amp; Stuff'!IA:JB,15,FALSE)</f>
        <v>0</v>
      </c>
      <c r="R46" s="113">
        <f>VLOOKUP(C46,'Talente &amp; Stuff'!IA:JB,16,FALSE)</f>
        <v>0</v>
      </c>
      <c r="S46" s="119">
        <f>VLOOKUP(C46,'Talente &amp; Stuff'!IA:JB,17,FALSE)</f>
        <v>0</v>
      </c>
      <c r="T46" s="160">
        <f>VLOOKUP(C46,'Talente &amp; Stuff'!IA:JB,18,FALSE)</f>
        <v>0</v>
      </c>
      <c r="U46" s="89">
        <f>VLOOKUP(C46,'Talente &amp; Stuff'!IA:JB,19,FALSE)</f>
        <v>0</v>
      </c>
      <c r="V46" s="47">
        <f>VLOOKUP(C46,'Talente &amp; Stuff'!IA:JB,20,FALSE)</f>
        <v>0</v>
      </c>
      <c r="W46" s="127">
        <f>VLOOKUP(C46,'Talente &amp; Stuff'!IA:JB,21,FALSE)</f>
        <v>0</v>
      </c>
      <c r="X46" s="125">
        <f>VLOOKUP(C46,'Talente &amp; Stuff'!IA:JB,22,FALSE)</f>
        <v>0</v>
      </c>
      <c r="Y46" s="165">
        <f t="shared" si="6"/>
        <v>0</v>
      </c>
      <c r="Z46" s="44">
        <f t="shared" si="7"/>
        <v>0</v>
      </c>
      <c r="AA46" s="125">
        <f>VLOOKUP(C46,'Talente &amp; Stuff'!IA:JB,25,FALSE)</f>
        <v>0</v>
      </c>
      <c r="AB46" s="160">
        <f>VLOOKUP(C46,'Talente &amp; Stuff'!IA:JB,26,FALSE)</f>
        <v>0</v>
      </c>
      <c r="AC46" s="127">
        <f>VLOOKUP(C46,'Talente &amp; Stuff'!IA:JB,27,FALSE)</f>
        <v>0</v>
      </c>
      <c r="AD46" s="125">
        <f>VLOOKUP(C46,'Talente &amp; Stuff'!IA:JB,28,FALSE)</f>
        <v>0</v>
      </c>
      <c r="AE46" s="28"/>
    </row>
    <row r="47" spans="2:31" ht="15" hidden="1" customHeight="1" outlineLevel="2">
      <c r="B47" s="148">
        <v>4</v>
      </c>
      <c r="C47" s="177" t="str">
        <f>Attribute!C47</f>
        <v>---</v>
      </c>
      <c r="D47" s="127" t="str">
        <f>VLOOKUP(C47,'Talente &amp; Stuff'!IA:JB,2,FALSE)</f>
        <v>--/--/--</v>
      </c>
      <c r="E47" s="125" t="str">
        <f>VLOOKUP(C47,'Talente &amp; Stuff'!IA:JB,3,FALSE)</f>
        <v>-</v>
      </c>
      <c r="F47" s="114">
        <f>VLOOKUP(C47,'Talente &amp; Stuff'!IA:JB,4,FALSE)</f>
        <v>0</v>
      </c>
      <c r="G47" s="113">
        <f>VLOOKUP(C47,'Talente &amp; Stuff'!IA:JB,5,FALSE)</f>
        <v>0</v>
      </c>
      <c r="H47" s="113">
        <f>VLOOKUP(C47,'Talente &amp; Stuff'!IA:JB,6,FALSE)</f>
        <v>0</v>
      </c>
      <c r="I47" s="113">
        <f>VLOOKUP(C47,'Talente &amp; Stuff'!IA:JB,7,FALSE)</f>
        <v>0</v>
      </c>
      <c r="J47" s="113">
        <f>VLOOKUP(C47,'Talente &amp; Stuff'!IA:JB,8,FALSE)</f>
        <v>0</v>
      </c>
      <c r="K47" s="113">
        <f>VLOOKUP(C47,'Talente &amp; Stuff'!IA:JB,9,FALSE)</f>
        <v>0</v>
      </c>
      <c r="L47" s="113">
        <f>VLOOKUP(C47,'Talente &amp; Stuff'!IA:JB,10,FALSE)</f>
        <v>0</v>
      </c>
      <c r="M47" s="119">
        <f>VLOOKUP(C47,'Talente &amp; Stuff'!IA:JB,11,FALSE)</f>
        <v>0</v>
      </c>
      <c r="N47" s="89">
        <f>VLOOKUP(C47,'Talente &amp; Stuff'!IA:JB,12,FALSE)</f>
        <v>0</v>
      </c>
      <c r="O47" s="47">
        <f>VLOOKUP(C47,'Talente &amp; Stuff'!IA:JB,13,FALSE)</f>
        <v>0</v>
      </c>
      <c r="P47" s="119">
        <f>VLOOKUP(C47,'Talente &amp; Stuff'!IA:JB,14,FALSE)</f>
        <v>0</v>
      </c>
      <c r="Q47" s="114">
        <f>VLOOKUP(C47,'Talente &amp; Stuff'!IA:JB,15,FALSE)</f>
        <v>0</v>
      </c>
      <c r="R47" s="113">
        <f>VLOOKUP(C47,'Talente &amp; Stuff'!IA:JB,16,FALSE)</f>
        <v>0</v>
      </c>
      <c r="S47" s="119">
        <f>VLOOKUP(C47,'Talente &amp; Stuff'!IA:JB,17,FALSE)</f>
        <v>0</v>
      </c>
      <c r="T47" s="160">
        <f>VLOOKUP(C47,'Talente &amp; Stuff'!IA:JB,18,FALSE)</f>
        <v>0</v>
      </c>
      <c r="U47" s="89">
        <f>VLOOKUP(C47,'Talente &amp; Stuff'!IA:JB,19,FALSE)</f>
        <v>0</v>
      </c>
      <c r="V47" s="47">
        <f>VLOOKUP(C47,'Talente &amp; Stuff'!IA:JB,20,FALSE)</f>
        <v>0</v>
      </c>
      <c r="W47" s="127">
        <f>VLOOKUP(C47,'Talente &amp; Stuff'!IA:JB,21,FALSE)</f>
        <v>0</v>
      </c>
      <c r="X47" s="125">
        <f>VLOOKUP(C47,'Talente &amp; Stuff'!IA:JB,22,FALSE)</f>
        <v>0</v>
      </c>
      <c r="Y47" s="165">
        <f t="shared" si="6"/>
        <v>0</v>
      </c>
      <c r="Z47" s="44">
        <f t="shared" si="7"/>
        <v>0</v>
      </c>
      <c r="AA47" s="125">
        <f>VLOOKUP(C47,'Talente &amp; Stuff'!IA:JB,25,FALSE)</f>
        <v>0</v>
      </c>
      <c r="AB47" s="160">
        <f>VLOOKUP(C47,'Talente &amp; Stuff'!IA:JB,26,FALSE)</f>
        <v>0</v>
      </c>
      <c r="AC47" s="127">
        <f>VLOOKUP(C47,'Talente &amp; Stuff'!IA:JB,27,FALSE)</f>
        <v>0</v>
      </c>
      <c r="AD47" s="125">
        <f>VLOOKUP(C47,'Talente &amp; Stuff'!IA:JB,28,FALSE)</f>
        <v>0</v>
      </c>
      <c r="AE47" s="28"/>
    </row>
    <row r="48" spans="2:31" ht="15" hidden="1" customHeight="1" outlineLevel="2">
      <c r="B48" s="148">
        <v>5</v>
      </c>
      <c r="C48" s="177" t="str">
        <f>Attribute!C48</f>
        <v>---</v>
      </c>
      <c r="D48" s="127" t="str">
        <f>VLOOKUP(C48,'Talente &amp; Stuff'!IA:JB,2,FALSE)</f>
        <v>--/--/--</v>
      </c>
      <c r="E48" s="125" t="str">
        <f>VLOOKUP(C48,'Talente &amp; Stuff'!IA:JB,3,FALSE)</f>
        <v>-</v>
      </c>
      <c r="F48" s="114">
        <f>VLOOKUP(C48,'Talente &amp; Stuff'!IA:JB,4,FALSE)</f>
        <v>0</v>
      </c>
      <c r="G48" s="113">
        <f>VLOOKUP(C48,'Talente &amp; Stuff'!IA:JB,5,FALSE)</f>
        <v>0</v>
      </c>
      <c r="H48" s="113">
        <f>VLOOKUP(C48,'Talente &amp; Stuff'!IA:JB,6,FALSE)</f>
        <v>0</v>
      </c>
      <c r="I48" s="113">
        <f>VLOOKUP(C48,'Talente &amp; Stuff'!IA:JB,7,FALSE)</f>
        <v>0</v>
      </c>
      <c r="J48" s="113">
        <f>VLOOKUP(C48,'Talente &amp; Stuff'!IA:JB,8,FALSE)</f>
        <v>0</v>
      </c>
      <c r="K48" s="113">
        <f>VLOOKUP(C48,'Talente &amp; Stuff'!IA:JB,9,FALSE)</f>
        <v>0</v>
      </c>
      <c r="L48" s="113">
        <f>VLOOKUP(C48,'Talente &amp; Stuff'!IA:JB,10,FALSE)</f>
        <v>0</v>
      </c>
      <c r="M48" s="119">
        <f>VLOOKUP(C48,'Talente &amp; Stuff'!IA:JB,11,FALSE)</f>
        <v>0</v>
      </c>
      <c r="N48" s="89">
        <f>VLOOKUP(C48,'Talente &amp; Stuff'!IA:JB,12,FALSE)</f>
        <v>0</v>
      </c>
      <c r="O48" s="47">
        <f>VLOOKUP(C48,'Talente &amp; Stuff'!IA:JB,13,FALSE)</f>
        <v>0</v>
      </c>
      <c r="P48" s="119">
        <f>VLOOKUP(C48,'Talente &amp; Stuff'!IA:JB,14,FALSE)</f>
        <v>0</v>
      </c>
      <c r="Q48" s="114">
        <f>VLOOKUP(C48,'Talente &amp; Stuff'!IA:JB,15,FALSE)</f>
        <v>0</v>
      </c>
      <c r="R48" s="113">
        <f>VLOOKUP(C48,'Talente &amp; Stuff'!IA:JB,16,FALSE)</f>
        <v>0</v>
      </c>
      <c r="S48" s="119">
        <f>VLOOKUP(C48,'Talente &amp; Stuff'!IA:JB,17,FALSE)</f>
        <v>0</v>
      </c>
      <c r="T48" s="160">
        <f>VLOOKUP(C48,'Talente &amp; Stuff'!IA:JB,18,FALSE)</f>
        <v>0</v>
      </c>
      <c r="U48" s="89">
        <f>VLOOKUP(C48,'Talente &amp; Stuff'!IA:JB,19,FALSE)</f>
        <v>0</v>
      </c>
      <c r="V48" s="47">
        <f>VLOOKUP(C48,'Talente &amp; Stuff'!IA:JB,20,FALSE)</f>
        <v>0</v>
      </c>
      <c r="W48" s="127">
        <f>VLOOKUP(C48,'Talente &amp; Stuff'!IA:JB,21,FALSE)</f>
        <v>0</v>
      </c>
      <c r="X48" s="125">
        <f>VLOOKUP(C48,'Talente &amp; Stuff'!IA:JB,22,FALSE)</f>
        <v>0</v>
      </c>
      <c r="Y48" s="165">
        <f t="shared" si="6"/>
        <v>0</v>
      </c>
      <c r="Z48" s="44">
        <f t="shared" si="7"/>
        <v>0</v>
      </c>
      <c r="AA48" s="125">
        <f>VLOOKUP(C48,'Talente &amp; Stuff'!IA:JB,25,FALSE)</f>
        <v>0</v>
      </c>
      <c r="AB48" s="160">
        <f>VLOOKUP(C48,'Talente &amp; Stuff'!IA:JB,26,FALSE)</f>
        <v>0</v>
      </c>
      <c r="AC48" s="127">
        <f>VLOOKUP(C48,'Talente &amp; Stuff'!IA:JB,27,FALSE)</f>
        <v>0</v>
      </c>
      <c r="AD48" s="125">
        <f>VLOOKUP(C48,'Talente &amp; Stuff'!IA:JB,28,FALSE)</f>
        <v>0</v>
      </c>
      <c r="AE48" s="28"/>
    </row>
    <row r="49" spans="2:31" ht="15" hidden="1" customHeight="1" outlineLevel="2">
      <c r="B49" s="148">
        <v>6</v>
      </c>
      <c r="C49" s="177" t="str">
        <f>Attribute!C49</f>
        <v>---</v>
      </c>
      <c r="D49" s="127" t="str">
        <f>VLOOKUP(C49,'Talente &amp; Stuff'!IA:JB,2,FALSE)</f>
        <v>--/--/--</v>
      </c>
      <c r="E49" s="125" t="str">
        <f>VLOOKUP(C49,'Talente &amp; Stuff'!IA:JB,3,FALSE)</f>
        <v>-</v>
      </c>
      <c r="F49" s="114">
        <f>VLOOKUP(C49,'Talente &amp; Stuff'!IA:JB,4,FALSE)</f>
        <v>0</v>
      </c>
      <c r="G49" s="113">
        <f>VLOOKUP(C49,'Talente &amp; Stuff'!IA:JB,5,FALSE)</f>
        <v>0</v>
      </c>
      <c r="H49" s="113">
        <f>VLOOKUP(C49,'Talente &amp; Stuff'!IA:JB,6,FALSE)</f>
        <v>0</v>
      </c>
      <c r="I49" s="113">
        <f>VLOOKUP(C49,'Talente &amp; Stuff'!IA:JB,7,FALSE)</f>
        <v>0</v>
      </c>
      <c r="J49" s="113">
        <f>VLOOKUP(C49,'Talente &amp; Stuff'!IA:JB,8,FALSE)</f>
        <v>0</v>
      </c>
      <c r="K49" s="113">
        <f>VLOOKUP(C49,'Talente &amp; Stuff'!IA:JB,9,FALSE)</f>
        <v>0</v>
      </c>
      <c r="L49" s="113">
        <f>VLOOKUP(C49,'Talente &amp; Stuff'!IA:JB,10,FALSE)</f>
        <v>0</v>
      </c>
      <c r="M49" s="119">
        <f>VLOOKUP(C49,'Talente &amp; Stuff'!IA:JB,11,FALSE)</f>
        <v>0</v>
      </c>
      <c r="N49" s="89">
        <f>VLOOKUP(C49,'Talente &amp; Stuff'!IA:JB,12,FALSE)</f>
        <v>0</v>
      </c>
      <c r="O49" s="47">
        <f>VLOOKUP(C49,'Talente &amp; Stuff'!IA:JB,13,FALSE)</f>
        <v>0</v>
      </c>
      <c r="P49" s="119">
        <f>VLOOKUP(C49,'Talente &amp; Stuff'!IA:JB,14,FALSE)</f>
        <v>0</v>
      </c>
      <c r="Q49" s="114">
        <f>VLOOKUP(C49,'Talente &amp; Stuff'!IA:JB,15,FALSE)</f>
        <v>0</v>
      </c>
      <c r="R49" s="113">
        <f>VLOOKUP(C49,'Talente &amp; Stuff'!IA:JB,16,FALSE)</f>
        <v>0</v>
      </c>
      <c r="S49" s="119">
        <f>VLOOKUP(C49,'Talente &amp; Stuff'!IA:JB,17,FALSE)</f>
        <v>0</v>
      </c>
      <c r="T49" s="160">
        <f>VLOOKUP(C49,'Talente &amp; Stuff'!IA:JB,18,FALSE)</f>
        <v>0</v>
      </c>
      <c r="U49" s="89">
        <f>VLOOKUP(C49,'Talente &amp; Stuff'!IA:JB,19,FALSE)</f>
        <v>0</v>
      </c>
      <c r="V49" s="47">
        <f>VLOOKUP(C49,'Talente &amp; Stuff'!IA:JB,20,FALSE)</f>
        <v>0</v>
      </c>
      <c r="W49" s="127">
        <f>VLOOKUP(C49,'Talente &amp; Stuff'!IA:JB,21,FALSE)</f>
        <v>0</v>
      </c>
      <c r="X49" s="125">
        <f>VLOOKUP(C49,'Talente &amp; Stuff'!IA:JB,22,FALSE)</f>
        <v>0</v>
      </c>
      <c r="Y49" s="165">
        <f t="shared" si="6"/>
        <v>0</v>
      </c>
      <c r="Z49" s="44">
        <f t="shared" si="7"/>
        <v>0</v>
      </c>
      <c r="AA49" s="125">
        <f>VLOOKUP(C49,'Talente &amp; Stuff'!IA:JB,25,FALSE)</f>
        <v>0</v>
      </c>
      <c r="AB49" s="160">
        <f>VLOOKUP(C49,'Talente &amp; Stuff'!IA:JB,26,FALSE)</f>
        <v>0</v>
      </c>
      <c r="AC49" s="127">
        <f>VLOOKUP(C49,'Talente &amp; Stuff'!IA:JB,27,FALSE)</f>
        <v>0</v>
      </c>
      <c r="AD49" s="125">
        <f>VLOOKUP(C49,'Talente &amp; Stuff'!IA:JB,28,FALSE)</f>
        <v>0</v>
      </c>
      <c r="AE49" s="28"/>
    </row>
    <row r="50" spans="2:31" ht="15" hidden="1" customHeight="1" outlineLevel="2">
      <c r="B50" s="148">
        <v>7</v>
      </c>
      <c r="C50" s="177" t="str">
        <f>Attribute!C50</f>
        <v>---</v>
      </c>
      <c r="D50" s="127" t="str">
        <f>VLOOKUP(C50,'Talente &amp; Stuff'!IA:JB,2,FALSE)</f>
        <v>--/--/--</v>
      </c>
      <c r="E50" s="125" t="str">
        <f>VLOOKUP(C50,'Talente &amp; Stuff'!IA:JB,3,FALSE)</f>
        <v>-</v>
      </c>
      <c r="F50" s="114">
        <f>VLOOKUP(C50,'Talente &amp; Stuff'!IA:JB,4,FALSE)</f>
        <v>0</v>
      </c>
      <c r="G50" s="113">
        <f>VLOOKUP(C50,'Talente &amp; Stuff'!IA:JB,5,FALSE)</f>
        <v>0</v>
      </c>
      <c r="H50" s="113">
        <f>VLOOKUP(C50,'Talente &amp; Stuff'!IA:JB,6,FALSE)</f>
        <v>0</v>
      </c>
      <c r="I50" s="113">
        <f>VLOOKUP(C50,'Talente &amp; Stuff'!IA:JB,7,FALSE)</f>
        <v>0</v>
      </c>
      <c r="J50" s="113">
        <f>VLOOKUP(C50,'Talente &amp; Stuff'!IA:JB,8,FALSE)</f>
        <v>0</v>
      </c>
      <c r="K50" s="113">
        <f>VLOOKUP(C50,'Talente &amp; Stuff'!IA:JB,9,FALSE)</f>
        <v>0</v>
      </c>
      <c r="L50" s="113">
        <f>VLOOKUP(C50,'Talente &amp; Stuff'!IA:JB,10,FALSE)</f>
        <v>0</v>
      </c>
      <c r="M50" s="119">
        <f>VLOOKUP(C50,'Talente &amp; Stuff'!IA:JB,11,FALSE)</f>
        <v>0</v>
      </c>
      <c r="N50" s="89">
        <f>VLOOKUP(C50,'Talente &amp; Stuff'!IA:JB,12,FALSE)</f>
        <v>0</v>
      </c>
      <c r="O50" s="47">
        <f>VLOOKUP(C50,'Talente &amp; Stuff'!IA:JB,13,FALSE)</f>
        <v>0</v>
      </c>
      <c r="P50" s="119">
        <f>VLOOKUP(C50,'Talente &amp; Stuff'!IA:JB,14,FALSE)</f>
        <v>0</v>
      </c>
      <c r="Q50" s="114">
        <f>VLOOKUP(C50,'Talente &amp; Stuff'!IA:JB,15,FALSE)</f>
        <v>0</v>
      </c>
      <c r="R50" s="113">
        <f>VLOOKUP(C50,'Talente &amp; Stuff'!IA:JB,16,FALSE)</f>
        <v>0</v>
      </c>
      <c r="S50" s="119">
        <f>VLOOKUP(C50,'Talente &amp; Stuff'!IA:JB,17,FALSE)</f>
        <v>0</v>
      </c>
      <c r="T50" s="160">
        <f>VLOOKUP(C50,'Talente &amp; Stuff'!IA:JB,18,FALSE)</f>
        <v>0</v>
      </c>
      <c r="U50" s="89">
        <f>VLOOKUP(C50,'Talente &amp; Stuff'!IA:JB,19,FALSE)</f>
        <v>0</v>
      </c>
      <c r="V50" s="47">
        <f>VLOOKUP(C50,'Talente &amp; Stuff'!IA:JB,20,FALSE)</f>
        <v>0</v>
      </c>
      <c r="W50" s="127">
        <f>VLOOKUP(C50,'Talente &amp; Stuff'!IA:JB,21,FALSE)</f>
        <v>0</v>
      </c>
      <c r="X50" s="125">
        <f>VLOOKUP(C50,'Talente &amp; Stuff'!IA:JB,22,FALSE)</f>
        <v>0</v>
      </c>
      <c r="Y50" s="165">
        <f t="shared" si="6"/>
        <v>0</v>
      </c>
      <c r="Z50" s="44">
        <f t="shared" si="7"/>
        <v>0</v>
      </c>
      <c r="AA50" s="125">
        <f>VLOOKUP(C50,'Talente &amp; Stuff'!IA:JB,25,FALSE)</f>
        <v>0</v>
      </c>
      <c r="AB50" s="160">
        <f>VLOOKUP(C50,'Talente &amp; Stuff'!IA:JB,26,FALSE)</f>
        <v>0</v>
      </c>
      <c r="AC50" s="127">
        <f>VLOOKUP(C50,'Talente &amp; Stuff'!IA:JB,27,FALSE)</f>
        <v>0</v>
      </c>
      <c r="AD50" s="125">
        <f>VLOOKUP(C50,'Talente &amp; Stuff'!IA:JB,28,FALSE)</f>
        <v>0</v>
      </c>
      <c r="AE50" s="28"/>
    </row>
    <row r="51" spans="2:31" ht="15" hidden="1" customHeight="1" outlineLevel="2">
      <c r="B51" s="148">
        <v>8</v>
      </c>
      <c r="C51" s="177" t="str">
        <f>Attribute!C51</f>
        <v>---</v>
      </c>
      <c r="D51" s="127" t="str">
        <f>VLOOKUP(C51,'Talente &amp; Stuff'!IA:JB,2,FALSE)</f>
        <v>--/--/--</v>
      </c>
      <c r="E51" s="125" t="str">
        <f>VLOOKUP(C51,'Talente &amp; Stuff'!IA:JB,3,FALSE)</f>
        <v>-</v>
      </c>
      <c r="F51" s="114">
        <f>VLOOKUP(C51,'Talente &amp; Stuff'!IA:JB,4,FALSE)</f>
        <v>0</v>
      </c>
      <c r="G51" s="113">
        <f>VLOOKUP(C51,'Talente &amp; Stuff'!IA:JB,5,FALSE)</f>
        <v>0</v>
      </c>
      <c r="H51" s="113">
        <f>VLOOKUP(C51,'Talente &amp; Stuff'!IA:JB,6,FALSE)</f>
        <v>0</v>
      </c>
      <c r="I51" s="113">
        <f>VLOOKUP(C51,'Talente &amp; Stuff'!IA:JB,7,FALSE)</f>
        <v>0</v>
      </c>
      <c r="J51" s="113">
        <f>VLOOKUP(C51,'Talente &amp; Stuff'!IA:JB,8,FALSE)</f>
        <v>0</v>
      </c>
      <c r="K51" s="113">
        <f>VLOOKUP(C51,'Talente &amp; Stuff'!IA:JB,9,FALSE)</f>
        <v>0</v>
      </c>
      <c r="L51" s="113">
        <f>VLOOKUP(C51,'Talente &amp; Stuff'!IA:JB,10,FALSE)</f>
        <v>0</v>
      </c>
      <c r="M51" s="119">
        <f>VLOOKUP(C51,'Talente &amp; Stuff'!IA:JB,11,FALSE)</f>
        <v>0</v>
      </c>
      <c r="N51" s="89">
        <f>VLOOKUP(C51,'Talente &amp; Stuff'!IA:JB,12,FALSE)</f>
        <v>0</v>
      </c>
      <c r="O51" s="47">
        <f>VLOOKUP(C51,'Talente &amp; Stuff'!IA:JB,13,FALSE)</f>
        <v>0</v>
      </c>
      <c r="P51" s="119">
        <f>VLOOKUP(C51,'Talente &amp; Stuff'!IA:JB,14,FALSE)</f>
        <v>0</v>
      </c>
      <c r="Q51" s="114">
        <f>VLOOKUP(C51,'Talente &amp; Stuff'!IA:JB,15,FALSE)</f>
        <v>0</v>
      </c>
      <c r="R51" s="113">
        <f>VLOOKUP(C51,'Talente &amp; Stuff'!IA:JB,16,FALSE)</f>
        <v>0</v>
      </c>
      <c r="S51" s="119">
        <f>VLOOKUP(C51,'Talente &amp; Stuff'!IA:JB,17,FALSE)</f>
        <v>0</v>
      </c>
      <c r="T51" s="160">
        <f>VLOOKUP(C51,'Talente &amp; Stuff'!IA:JB,18,FALSE)</f>
        <v>0</v>
      </c>
      <c r="U51" s="89">
        <f>VLOOKUP(C51,'Talente &amp; Stuff'!IA:JB,19,FALSE)</f>
        <v>0</v>
      </c>
      <c r="V51" s="47">
        <f>VLOOKUP(C51,'Talente &amp; Stuff'!IA:JB,20,FALSE)</f>
        <v>0</v>
      </c>
      <c r="W51" s="127">
        <f>VLOOKUP(C51,'Talente &amp; Stuff'!IA:JB,21,FALSE)</f>
        <v>0</v>
      </c>
      <c r="X51" s="125">
        <f>VLOOKUP(C51,'Talente &amp; Stuff'!IA:JB,22,FALSE)</f>
        <v>0</v>
      </c>
      <c r="Y51" s="165">
        <f t="shared" si="6"/>
        <v>0</v>
      </c>
      <c r="Z51" s="44">
        <f t="shared" si="7"/>
        <v>0</v>
      </c>
      <c r="AA51" s="125">
        <f>VLOOKUP(C51,'Talente &amp; Stuff'!IA:JB,25,FALSE)</f>
        <v>0</v>
      </c>
      <c r="AB51" s="160">
        <f>VLOOKUP(C51,'Talente &amp; Stuff'!IA:JB,26,FALSE)</f>
        <v>0</v>
      </c>
      <c r="AC51" s="127">
        <f>VLOOKUP(C51,'Talente &amp; Stuff'!IA:JB,27,FALSE)</f>
        <v>0</v>
      </c>
      <c r="AD51" s="125">
        <f>VLOOKUP(C51,'Talente &amp; Stuff'!IA:JB,28,FALSE)</f>
        <v>0</v>
      </c>
      <c r="AE51" s="28"/>
    </row>
    <row r="52" spans="2:31" ht="15" hidden="1" customHeight="1" outlineLevel="2">
      <c r="B52" s="148">
        <v>9</v>
      </c>
      <c r="C52" s="177" t="str">
        <f>Attribute!C52</f>
        <v>---</v>
      </c>
      <c r="D52" s="127" t="str">
        <f>VLOOKUP(C52,'Talente &amp; Stuff'!IA:JB,2,FALSE)</f>
        <v>--/--/--</v>
      </c>
      <c r="E52" s="125" t="str">
        <f>VLOOKUP(C52,'Talente &amp; Stuff'!IA:JB,3,FALSE)</f>
        <v>-</v>
      </c>
      <c r="F52" s="114">
        <f>VLOOKUP(C52,'Talente &amp; Stuff'!IA:JB,4,FALSE)</f>
        <v>0</v>
      </c>
      <c r="G52" s="113">
        <f>VLOOKUP(C52,'Talente &amp; Stuff'!IA:JB,5,FALSE)</f>
        <v>0</v>
      </c>
      <c r="H52" s="113">
        <f>VLOOKUP(C52,'Talente &amp; Stuff'!IA:JB,6,FALSE)</f>
        <v>0</v>
      </c>
      <c r="I52" s="113">
        <f>VLOOKUP(C52,'Talente &amp; Stuff'!IA:JB,7,FALSE)</f>
        <v>0</v>
      </c>
      <c r="J52" s="113">
        <f>VLOOKUP(C52,'Talente &amp; Stuff'!IA:JB,8,FALSE)</f>
        <v>0</v>
      </c>
      <c r="K52" s="113">
        <f>VLOOKUP(C52,'Talente &amp; Stuff'!IA:JB,9,FALSE)</f>
        <v>0</v>
      </c>
      <c r="L52" s="113">
        <f>VLOOKUP(C52,'Talente &amp; Stuff'!IA:JB,10,FALSE)</f>
        <v>0</v>
      </c>
      <c r="M52" s="119">
        <f>VLOOKUP(C52,'Talente &amp; Stuff'!IA:JB,11,FALSE)</f>
        <v>0</v>
      </c>
      <c r="N52" s="89">
        <f>VLOOKUP(C52,'Talente &amp; Stuff'!IA:JB,12,FALSE)</f>
        <v>0</v>
      </c>
      <c r="O52" s="47">
        <f>VLOOKUP(C52,'Talente &amp; Stuff'!IA:JB,13,FALSE)</f>
        <v>0</v>
      </c>
      <c r="P52" s="119">
        <f>VLOOKUP(C52,'Talente &amp; Stuff'!IA:JB,14,FALSE)</f>
        <v>0</v>
      </c>
      <c r="Q52" s="114">
        <f>VLOOKUP(C52,'Talente &amp; Stuff'!IA:JB,15,FALSE)</f>
        <v>0</v>
      </c>
      <c r="R52" s="113">
        <f>VLOOKUP(C52,'Talente &amp; Stuff'!IA:JB,16,FALSE)</f>
        <v>0</v>
      </c>
      <c r="S52" s="119">
        <f>VLOOKUP(C52,'Talente &amp; Stuff'!IA:JB,17,FALSE)</f>
        <v>0</v>
      </c>
      <c r="T52" s="160">
        <f>VLOOKUP(C52,'Talente &amp; Stuff'!IA:JB,18,FALSE)</f>
        <v>0</v>
      </c>
      <c r="U52" s="89">
        <f>VLOOKUP(C52,'Talente &amp; Stuff'!IA:JB,19,FALSE)</f>
        <v>0</v>
      </c>
      <c r="V52" s="47">
        <f>VLOOKUP(C52,'Talente &amp; Stuff'!IA:JB,20,FALSE)</f>
        <v>0</v>
      </c>
      <c r="W52" s="127">
        <f>VLOOKUP(C52,'Talente &amp; Stuff'!IA:JB,21,FALSE)</f>
        <v>0</v>
      </c>
      <c r="X52" s="125">
        <f>VLOOKUP(C52,'Talente &amp; Stuff'!IA:JB,22,FALSE)</f>
        <v>0</v>
      </c>
      <c r="Y52" s="165">
        <f t="shared" si="6"/>
        <v>0</v>
      </c>
      <c r="Z52" s="44">
        <f t="shared" si="7"/>
        <v>0</v>
      </c>
      <c r="AA52" s="125">
        <f>VLOOKUP(C52,'Talente &amp; Stuff'!IA:JB,25,FALSE)</f>
        <v>0</v>
      </c>
      <c r="AB52" s="160">
        <f>VLOOKUP(C52,'Talente &amp; Stuff'!IA:JB,26,FALSE)</f>
        <v>0</v>
      </c>
      <c r="AC52" s="127">
        <f>VLOOKUP(C52,'Talente &amp; Stuff'!IA:JB,27,FALSE)</f>
        <v>0</v>
      </c>
      <c r="AD52" s="125">
        <f>VLOOKUP(C52,'Talente &amp; Stuff'!IA:JB,28,FALSE)</f>
        <v>0</v>
      </c>
      <c r="AE52" s="28"/>
    </row>
    <row r="53" spans="2:31" ht="15" hidden="1" customHeight="1" outlineLevel="2">
      <c r="B53" s="148">
        <v>10</v>
      </c>
      <c r="C53" s="177" t="str">
        <f>Attribute!C53</f>
        <v>---</v>
      </c>
      <c r="D53" s="127" t="str">
        <f>VLOOKUP(C53,'Talente &amp; Stuff'!IA:JB,2,FALSE)</f>
        <v>--/--/--</v>
      </c>
      <c r="E53" s="125" t="str">
        <f>VLOOKUP(C53,'Talente &amp; Stuff'!IA:JB,3,FALSE)</f>
        <v>-</v>
      </c>
      <c r="F53" s="114">
        <f>VLOOKUP(C53,'Talente &amp; Stuff'!IA:JB,4,FALSE)</f>
        <v>0</v>
      </c>
      <c r="G53" s="113">
        <f>VLOOKUP(C53,'Talente &amp; Stuff'!IA:JB,5,FALSE)</f>
        <v>0</v>
      </c>
      <c r="H53" s="113">
        <f>VLOOKUP(C53,'Talente &amp; Stuff'!IA:JB,6,FALSE)</f>
        <v>0</v>
      </c>
      <c r="I53" s="113">
        <f>VLOOKUP(C53,'Talente &amp; Stuff'!IA:JB,7,FALSE)</f>
        <v>0</v>
      </c>
      <c r="J53" s="113">
        <f>VLOOKUP(C53,'Talente &amp; Stuff'!IA:JB,8,FALSE)</f>
        <v>0</v>
      </c>
      <c r="K53" s="113">
        <f>VLOOKUP(C53,'Talente &amp; Stuff'!IA:JB,9,FALSE)</f>
        <v>0</v>
      </c>
      <c r="L53" s="113">
        <f>VLOOKUP(C53,'Talente &amp; Stuff'!IA:JB,10,FALSE)</f>
        <v>0</v>
      </c>
      <c r="M53" s="119">
        <f>VLOOKUP(C53,'Talente &amp; Stuff'!IA:JB,11,FALSE)</f>
        <v>0</v>
      </c>
      <c r="N53" s="89">
        <f>VLOOKUP(C53,'Talente &amp; Stuff'!IA:JB,12,FALSE)</f>
        <v>0</v>
      </c>
      <c r="O53" s="47">
        <f>VLOOKUP(C53,'Talente &amp; Stuff'!IA:JB,13,FALSE)</f>
        <v>0</v>
      </c>
      <c r="P53" s="119">
        <f>VLOOKUP(C53,'Talente &amp; Stuff'!IA:JB,14,FALSE)</f>
        <v>0</v>
      </c>
      <c r="Q53" s="114">
        <f>VLOOKUP(C53,'Talente &amp; Stuff'!IA:JB,15,FALSE)</f>
        <v>0</v>
      </c>
      <c r="R53" s="113">
        <f>VLOOKUP(C53,'Talente &amp; Stuff'!IA:JB,16,FALSE)</f>
        <v>0</v>
      </c>
      <c r="S53" s="119">
        <f>VLOOKUP(C53,'Talente &amp; Stuff'!IA:JB,17,FALSE)</f>
        <v>0</v>
      </c>
      <c r="T53" s="160">
        <f>VLOOKUP(C53,'Talente &amp; Stuff'!IA:JB,18,FALSE)</f>
        <v>0</v>
      </c>
      <c r="U53" s="89">
        <f>VLOOKUP(C53,'Talente &amp; Stuff'!IA:JB,19,FALSE)</f>
        <v>0</v>
      </c>
      <c r="V53" s="47">
        <f>VLOOKUP(C53,'Talente &amp; Stuff'!IA:JB,20,FALSE)</f>
        <v>0</v>
      </c>
      <c r="W53" s="127">
        <f>VLOOKUP(C53,'Talente &amp; Stuff'!IA:JB,21,FALSE)</f>
        <v>0</v>
      </c>
      <c r="X53" s="125">
        <f>VLOOKUP(C53,'Talente &amp; Stuff'!IA:JB,22,FALSE)</f>
        <v>0</v>
      </c>
      <c r="Y53" s="165">
        <f t="shared" si="6"/>
        <v>0</v>
      </c>
      <c r="Z53" s="44">
        <f t="shared" si="7"/>
        <v>0</v>
      </c>
      <c r="AA53" s="125">
        <f>VLOOKUP(C53,'Talente &amp; Stuff'!IA:JB,25,FALSE)</f>
        <v>0</v>
      </c>
      <c r="AB53" s="160">
        <f>VLOOKUP(C53,'Talente &amp; Stuff'!IA:JB,26,FALSE)</f>
        <v>0</v>
      </c>
      <c r="AC53" s="127">
        <f>VLOOKUP(C53,'Talente &amp; Stuff'!IA:JB,27,FALSE)</f>
        <v>0</v>
      </c>
      <c r="AD53" s="125">
        <f>VLOOKUP(C53,'Talente &amp; Stuff'!IA:JB,28,FALSE)</f>
        <v>0</v>
      </c>
      <c r="AE53" s="28"/>
    </row>
    <row r="54" spans="2:31" ht="15" hidden="1" customHeight="1" outlineLevel="2">
      <c r="B54" s="148">
        <v>11</v>
      </c>
      <c r="C54" s="177" t="str">
        <f>Attribute!C54</f>
        <v>---</v>
      </c>
      <c r="D54" s="127" t="str">
        <f>VLOOKUP(C54,'Talente &amp; Stuff'!IA:JB,2,FALSE)</f>
        <v>--/--/--</v>
      </c>
      <c r="E54" s="125" t="str">
        <f>VLOOKUP(C54,'Talente &amp; Stuff'!IA:JB,3,FALSE)</f>
        <v>-</v>
      </c>
      <c r="F54" s="114">
        <f>VLOOKUP(C54,'Talente &amp; Stuff'!IA:JB,4,FALSE)</f>
        <v>0</v>
      </c>
      <c r="G54" s="113">
        <f>VLOOKUP(C54,'Talente &amp; Stuff'!IA:JB,5,FALSE)</f>
        <v>0</v>
      </c>
      <c r="H54" s="113">
        <f>VLOOKUP(C54,'Talente &amp; Stuff'!IA:JB,6,FALSE)</f>
        <v>0</v>
      </c>
      <c r="I54" s="113">
        <f>VLOOKUP(C54,'Talente &amp; Stuff'!IA:JB,7,FALSE)</f>
        <v>0</v>
      </c>
      <c r="J54" s="113">
        <f>VLOOKUP(C54,'Talente &amp; Stuff'!IA:JB,8,FALSE)</f>
        <v>0</v>
      </c>
      <c r="K54" s="113">
        <f>VLOOKUP(C54,'Talente &amp; Stuff'!IA:JB,9,FALSE)</f>
        <v>0</v>
      </c>
      <c r="L54" s="113">
        <f>VLOOKUP(C54,'Talente &amp; Stuff'!IA:JB,10,FALSE)</f>
        <v>0</v>
      </c>
      <c r="M54" s="119">
        <f>VLOOKUP(C54,'Talente &amp; Stuff'!IA:JB,11,FALSE)</f>
        <v>0</v>
      </c>
      <c r="N54" s="89">
        <f>VLOOKUP(C54,'Talente &amp; Stuff'!IA:JB,12,FALSE)</f>
        <v>0</v>
      </c>
      <c r="O54" s="47">
        <f>VLOOKUP(C54,'Talente &amp; Stuff'!IA:JB,13,FALSE)</f>
        <v>0</v>
      </c>
      <c r="P54" s="119">
        <f>VLOOKUP(C54,'Talente &amp; Stuff'!IA:JB,14,FALSE)</f>
        <v>0</v>
      </c>
      <c r="Q54" s="114">
        <f>VLOOKUP(C54,'Talente &amp; Stuff'!IA:JB,15,FALSE)</f>
        <v>0</v>
      </c>
      <c r="R54" s="113">
        <f>VLOOKUP(C54,'Talente &amp; Stuff'!IA:JB,16,FALSE)</f>
        <v>0</v>
      </c>
      <c r="S54" s="119">
        <f>VLOOKUP(C54,'Talente &amp; Stuff'!IA:JB,17,FALSE)</f>
        <v>0</v>
      </c>
      <c r="T54" s="160">
        <f>VLOOKUP(C54,'Talente &amp; Stuff'!IA:JB,18,FALSE)</f>
        <v>0</v>
      </c>
      <c r="U54" s="89">
        <f>VLOOKUP(C54,'Talente &amp; Stuff'!IA:JB,19,FALSE)</f>
        <v>0</v>
      </c>
      <c r="V54" s="47">
        <f>VLOOKUP(C54,'Talente &amp; Stuff'!IA:JB,20,FALSE)</f>
        <v>0</v>
      </c>
      <c r="W54" s="127">
        <f>VLOOKUP(C54,'Talente &amp; Stuff'!IA:JB,21,FALSE)</f>
        <v>0</v>
      </c>
      <c r="X54" s="125">
        <f>VLOOKUP(C54,'Talente &amp; Stuff'!IA:JB,22,FALSE)</f>
        <v>0</v>
      </c>
      <c r="Y54" s="165">
        <f t="shared" si="6"/>
        <v>0</v>
      </c>
      <c r="Z54" s="44">
        <f t="shared" si="7"/>
        <v>0</v>
      </c>
      <c r="AA54" s="125">
        <f>VLOOKUP(C54,'Talente &amp; Stuff'!IA:JB,25,FALSE)</f>
        <v>0</v>
      </c>
      <c r="AB54" s="160">
        <f>VLOOKUP(C54,'Talente &amp; Stuff'!IA:JB,26,FALSE)</f>
        <v>0</v>
      </c>
      <c r="AC54" s="127">
        <f>VLOOKUP(C54,'Talente &amp; Stuff'!IA:JB,27,FALSE)</f>
        <v>0</v>
      </c>
      <c r="AD54" s="125">
        <f>VLOOKUP(C54,'Talente &amp; Stuff'!IA:JB,28,FALSE)</f>
        <v>0</v>
      </c>
      <c r="AE54" s="28"/>
    </row>
    <row r="55" spans="2:31" ht="15" hidden="1" customHeight="1" outlineLevel="2">
      <c r="B55" s="148">
        <v>12</v>
      </c>
      <c r="C55" s="178" t="str">
        <f>Attribute!C55</f>
        <v>---</v>
      </c>
      <c r="D55" s="128" t="str">
        <f>VLOOKUP(C55,'Talente &amp; Stuff'!IA:JB,2,FALSE)</f>
        <v>--/--/--</v>
      </c>
      <c r="E55" s="159" t="str">
        <f>VLOOKUP(C55,'Talente &amp; Stuff'!IA:JB,3,FALSE)</f>
        <v>-</v>
      </c>
      <c r="F55" s="115">
        <f>VLOOKUP(C55,'Talente &amp; Stuff'!IA:JB,4,FALSE)</f>
        <v>0</v>
      </c>
      <c r="G55" s="122">
        <f>VLOOKUP(C55,'Talente &amp; Stuff'!IA:JB,5,FALSE)</f>
        <v>0</v>
      </c>
      <c r="H55" s="122">
        <f>VLOOKUP(C55,'Talente &amp; Stuff'!IA:JB,6,FALSE)</f>
        <v>0</v>
      </c>
      <c r="I55" s="122">
        <f>VLOOKUP(C55,'Talente &amp; Stuff'!IA:JB,7,FALSE)</f>
        <v>0</v>
      </c>
      <c r="J55" s="122">
        <f>VLOOKUP(C55,'Talente &amp; Stuff'!IA:JB,8,FALSE)</f>
        <v>0</v>
      </c>
      <c r="K55" s="122">
        <f>VLOOKUP(C55,'Talente &amp; Stuff'!IA:JB,9,FALSE)</f>
        <v>0</v>
      </c>
      <c r="L55" s="122">
        <f>VLOOKUP(C55,'Talente &amp; Stuff'!IA:JB,10,FALSE)</f>
        <v>0</v>
      </c>
      <c r="M55" s="123">
        <f>VLOOKUP(C55,'Talente &amp; Stuff'!IA:JB,11,FALSE)</f>
        <v>0</v>
      </c>
      <c r="N55" s="90">
        <f>VLOOKUP(C55,'Talente &amp; Stuff'!IA:JB,12,FALSE)</f>
        <v>0</v>
      </c>
      <c r="O55" s="88">
        <f>VLOOKUP(C55,'Talente &amp; Stuff'!IA:JB,13,FALSE)</f>
        <v>0</v>
      </c>
      <c r="P55" s="123">
        <f>VLOOKUP(C55,'Talente &amp; Stuff'!IA:JB,14,FALSE)</f>
        <v>0</v>
      </c>
      <c r="Q55" s="115">
        <f>VLOOKUP(C55,'Talente &amp; Stuff'!IA:JB,15,FALSE)</f>
        <v>0</v>
      </c>
      <c r="R55" s="122">
        <f>VLOOKUP(C55,'Talente &amp; Stuff'!IA:JB,16,FALSE)</f>
        <v>0</v>
      </c>
      <c r="S55" s="123">
        <f>VLOOKUP(C55,'Talente &amp; Stuff'!IA:JB,17,FALSE)</f>
        <v>0</v>
      </c>
      <c r="T55" s="161">
        <f>VLOOKUP(C55,'Talente &amp; Stuff'!IA:JB,18,FALSE)</f>
        <v>0</v>
      </c>
      <c r="U55" s="90">
        <f>VLOOKUP(C55,'Talente &amp; Stuff'!IA:JB,19,FALSE)</f>
        <v>0</v>
      </c>
      <c r="V55" s="88">
        <f>VLOOKUP(C55,'Talente &amp; Stuff'!IA:JB,20,FALSE)</f>
        <v>0</v>
      </c>
      <c r="W55" s="128">
        <f>VLOOKUP(C55,'Talente &amp; Stuff'!IA:JB,21,FALSE)</f>
        <v>0</v>
      </c>
      <c r="X55" s="159">
        <f>VLOOKUP(C55,'Talente &amp; Stuff'!IA:JB,22,FALSE)</f>
        <v>0</v>
      </c>
      <c r="Y55" s="165">
        <f t="shared" si="6"/>
        <v>0</v>
      </c>
      <c r="Z55" s="44">
        <f t="shared" si="7"/>
        <v>0</v>
      </c>
      <c r="AA55" s="159">
        <f>VLOOKUP(C55,'Talente &amp; Stuff'!IA:JB,25,FALSE)</f>
        <v>0</v>
      </c>
      <c r="AB55" s="161">
        <f>VLOOKUP(C55,'Talente &amp; Stuff'!IA:JB,26,FALSE)</f>
        <v>0</v>
      </c>
      <c r="AC55" s="128">
        <f>VLOOKUP(C55,'Talente &amp; Stuff'!IA:JB,27,FALSE)</f>
        <v>0</v>
      </c>
      <c r="AD55" s="159">
        <f>VLOOKUP(C55,'Talente &amp; Stuff'!IA:JB,28,FALSE)</f>
        <v>0</v>
      </c>
      <c r="AE55" s="28"/>
    </row>
    <row r="56" spans="2:31" ht="15" hidden="1" customHeight="1" outlineLevel="1" collapsed="1">
      <c r="B56" s="134" t="s">
        <v>71</v>
      </c>
      <c r="C56" s="83"/>
      <c r="D56" s="84"/>
      <c r="E56" s="84"/>
      <c r="F56" s="30"/>
      <c r="G56" s="30"/>
      <c r="H56" s="30"/>
      <c r="I56" s="30"/>
      <c r="J56" s="30"/>
      <c r="K56" s="30"/>
      <c r="L56" s="30"/>
      <c r="M56" s="30"/>
      <c r="N56" s="31"/>
      <c r="O56" s="31"/>
      <c r="P56" s="30"/>
      <c r="Q56" s="30"/>
      <c r="R56" s="30"/>
      <c r="S56" s="30"/>
      <c r="T56" s="30"/>
      <c r="U56" s="31"/>
      <c r="V56" s="31"/>
      <c r="W56" s="31"/>
      <c r="X56" s="31"/>
      <c r="Y56" s="65"/>
    </row>
    <row r="57" spans="2:31" ht="15" hidden="1" customHeight="1" outlineLevel="2">
      <c r="B57" s="148">
        <v>1</v>
      </c>
      <c r="C57" s="176" t="str">
        <f>Attribute!C57</f>
        <v>---</v>
      </c>
      <c r="D57" s="126" t="str">
        <f>VLOOKUP(C57,'Talente &amp; Stuff'!IA:JB,2,FALSE)</f>
        <v>--/--/--</v>
      </c>
      <c r="E57" s="158" t="str">
        <f>VLOOKUP(C57,'Talente &amp; Stuff'!IA:JB,3,FALSE)</f>
        <v>-</v>
      </c>
      <c r="F57" s="191">
        <f>VLOOKUP(C57,'Talente &amp; Stuff'!IA:JB,4,FALSE)</f>
        <v>0</v>
      </c>
      <c r="G57" s="118">
        <f>VLOOKUP(C57,'Talente &amp; Stuff'!IA:JB,5,FALSE)</f>
        <v>0</v>
      </c>
      <c r="H57" s="118">
        <f>VLOOKUP(C57,'Talente &amp; Stuff'!IA:JB,6,FALSE)</f>
        <v>0</v>
      </c>
      <c r="I57" s="118">
        <f>VLOOKUP(C57,'Talente &amp; Stuff'!IA:JB,7,FALSE)</f>
        <v>0</v>
      </c>
      <c r="J57" s="118">
        <f>VLOOKUP(C57,'Talente &amp; Stuff'!IA:JB,8,FALSE)</f>
        <v>0</v>
      </c>
      <c r="K57" s="118">
        <f>VLOOKUP(C57,'Talente &amp; Stuff'!IA:JB,9,FALSE)</f>
        <v>0</v>
      </c>
      <c r="L57" s="118">
        <f>VLOOKUP(C57,'Talente &amp; Stuff'!IA:JB,10,FALSE)</f>
        <v>0</v>
      </c>
      <c r="M57" s="92">
        <f>VLOOKUP(C57,'Talente &amp; Stuff'!IA:JB,11,FALSE)</f>
        <v>0</v>
      </c>
      <c r="N57" s="193">
        <f>VLOOKUP(C57,'Talente &amp; Stuff'!IA:JB,12,FALSE)</f>
        <v>0</v>
      </c>
      <c r="O57" s="116">
        <f>VLOOKUP(C57,'Talente &amp; Stuff'!IA:JB,13,FALSE)</f>
        <v>0</v>
      </c>
      <c r="P57" s="92">
        <f>VLOOKUP(C57,'Talente &amp; Stuff'!IA:JB,14,FALSE)</f>
        <v>0</v>
      </c>
      <c r="Q57" s="191">
        <f>VLOOKUP(C57,'Talente &amp; Stuff'!IA:JB,15,FALSE)</f>
        <v>0</v>
      </c>
      <c r="R57" s="118">
        <f>VLOOKUP(C57,'Talente &amp; Stuff'!IA:JB,16,FALSE)</f>
        <v>0</v>
      </c>
      <c r="S57" s="92">
        <f>VLOOKUP(C57,'Talente &amp; Stuff'!IA:JB,17,FALSE)</f>
        <v>0</v>
      </c>
      <c r="T57" s="91">
        <f>VLOOKUP(C57,'Talente &amp; Stuff'!IA:JB,18,FALSE)</f>
        <v>0</v>
      </c>
      <c r="U57" s="193">
        <f>VLOOKUP(C57,'Talente &amp; Stuff'!IA:JB,19,FALSE)</f>
        <v>0</v>
      </c>
      <c r="V57" s="116">
        <f>VLOOKUP(C57,'Talente &amp; Stuff'!IA:JB,20,FALSE)</f>
        <v>0</v>
      </c>
      <c r="W57" s="126">
        <f>VLOOKUP(C57,'Talente &amp; Stuff'!IA:JB,21,FALSE)</f>
        <v>0</v>
      </c>
      <c r="X57" s="158">
        <f>VLOOKUP(C57,'Talente &amp; Stuff'!IA:JB,22,FALSE)</f>
        <v>0</v>
      </c>
      <c r="Y57" s="165">
        <f t="shared" ref="Y57:Y73" si="8">VLOOKUP(C57,Ausgewählte_Talente_Handwerkstalente,255,FALSE)</f>
        <v>0</v>
      </c>
      <c r="Z57" s="44">
        <f t="shared" ref="Z57:Z73" si="9">VLOOKUP(C57,Ausgewählte_Talente_Handwerkstalente,256,FALSE)</f>
        <v>0</v>
      </c>
      <c r="AA57" s="158">
        <f>VLOOKUP(C57,'Talente &amp; Stuff'!IA:JB,25,FALSE)</f>
        <v>0</v>
      </c>
      <c r="AB57" s="91">
        <f>VLOOKUP(C57,'Talente &amp; Stuff'!IA:JB,26,FALSE)</f>
        <v>0</v>
      </c>
      <c r="AC57" s="126">
        <f>VLOOKUP(C57,'Talente &amp; Stuff'!IA:JB,27,FALSE)</f>
        <v>0</v>
      </c>
      <c r="AD57" s="158">
        <f>VLOOKUP(C57,'Talente &amp; Stuff'!IA:JB,28,FALSE)</f>
        <v>0</v>
      </c>
      <c r="AE57" s="28"/>
    </row>
    <row r="58" spans="2:31" ht="15" hidden="1" customHeight="1" outlineLevel="2">
      <c r="B58" s="148">
        <v>2</v>
      </c>
      <c r="C58" s="177" t="str">
        <f>Attribute!C58</f>
        <v>---</v>
      </c>
      <c r="D58" s="127" t="str">
        <f>VLOOKUP(C58,'Talente &amp; Stuff'!IA:JB,2,FALSE)</f>
        <v>--/--/--</v>
      </c>
      <c r="E58" s="125" t="str">
        <f>VLOOKUP(C58,'Talente &amp; Stuff'!IA:JB,3,FALSE)</f>
        <v>-</v>
      </c>
      <c r="F58" s="114">
        <f>VLOOKUP(C58,'Talente &amp; Stuff'!IA:JB,4,FALSE)</f>
        <v>0</v>
      </c>
      <c r="G58" s="113">
        <f>VLOOKUP(C58,'Talente &amp; Stuff'!IA:JB,5,FALSE)</f>
        <v>0</v>
      </c>
      <c r="H58" s="113">
        <f>VLOOKUP(C58,'Talente &amp; Stuff'!IA:JB,6,FALSE)</f>
        <v>0</v>
      </c>
      <c r="I58" s="113">
        <f>VLOOKUP(C58,'Talente &amp; Stuff'!IA:JB,7,FALSE)</f>
        <v>0</v>
      </c>
      <c r="J58" s="113">
        <f>VLOOKUP(C58,'Talente &amp; Stuff'!IA:JB,8,FALSE)</f>
        <v>0</v>
      </c>
      <c r="K58" s="113">
        <f>VLOOKUP(C58,'Talente &amp; Stuff'!IA:JB,9,FALSE)</f>
        <v>0</v>
      </c>
      <c r="L58" s="113">
        <f>VLOOKUP(C58,'Talente &amp; Stuff'!IA:JB,10,FALSE)</f>
        <v>0</v>
      </c>
      <c r="M58" s="119">
        <f>VLOOKUP(C58,'Talente &amp; Stuff'!IA:JB,11,FALSE)</f>
        <v>0</v>
      </c>
      <c r="N58" s="89">
        <f>VLOOKUP(C58,'Talente &amp; Stuff'!IA:JB,12,FALSE)</f>
        <v>0</v>
      </c>
      <c r="O58" s="47">
        <f>VLOOKUP(C58,'Talente &amp; Stuff'!IA:JB,13,FALSE)</f>
        <v>0</v>
      </c>
      <c r="P58" s="119">
        <f>VLOOKUP(C58,'Talente &amp; Stuff'!IA:JB,14,FALSE)</f>
        <v>0</v>
      </c>
      <c r="Q58" s="114">
        <f>VLOOKUP(C58,'Talente &amp; Stuff'!IA:JB,15,FALSE)</f>
        <v>0</v>
      </c>
      <c r="R58" s="113">
        <f>VLOOKUP(C58,'Talente &amp; Stuff'!IA:JB,16,FALSE)</f>
        <v>0</v>
      </c>
      <c r="S58" s="119">
        <f>VLOOKUP(C58,'Talente &amp; Stuff'!IA:JB,17,FALSE)</f>
        <v>0</v>
      </c>
      <c r="T58" s="160">
        <f>VLOOKUP(C58,'Talente &amp; Stuff'!IA:JB,18,FALSE)</f>
        <v>0</v>
      </c>
      <c r="U58" s="89">
        <f>VLOOKUP(C58,'Talente &amp; Stuff'!IA:JB,19,FALSE)</f>
        <v>0</v>
      </c>
      <c r="V58" s="47">
        <f>VLOOKUP(C58,'Talente &amp; Stuff'!IA:JB,20,FALSE)</f>
        <v>0</v>
      </c>
      <c r="W58" s="127">
        <f>VLOOKUP(C58,'Talente &amp; Stuff'!IA:JB,21,FALSE)</f>
        <v>0</v>
      </c>
      <c r="X58" s="125">
        <f>VLOOKUP(C58,'Talente &amp; Stuff'!IA:JB,22,FALSE)</f>
        <v>0</v>
      </c>
      <c r="Y58" s="165">
        <f t="shared" si="8"/>
        <v>0</v>
      </c>
      <c r="Z58" s="44">
        <f t="shared" si="9"/>
        <v>0</v>
      </c>
      <c r="AA58" s="125">
        <f>VLOOKUP(C58,'Talente &amp; Stuff'!IA:JB,25,FALSE)</f>
        <v>0</v>
      </c>
      <c r="AB58" s="160">
        <f>VLOOKUP(C58,'Talente &amp; Stuff'!IA:JB,26,FALSE)</f>
        <v>0</v>
      </c>
      <c r="AC58" s="127">
        <f>VLOOKUP(C58,'Talente &amp; Stuff'!IA:JB,27,FALSE)</f>
        <v>0</v>
      </c>
      <c r="AD58" s="125">
        <f>VLOOKUP(C58,'Talente &amp; Stuff'!IA:JB,28,FALSE)</f>
        <v>0</v>
      </c>
      <c r="AE58" s="28"/>
    </row>
    <row r="59" spans="2:31" ht="15" hidden="1" customHeight="1" outlineLevel="2">
      <c r="B59" s="148">
        <v>3</v>
      </c>
      <c r="C59" s="177" t="str">
        <f>Attribute!C59</f>
        <v>---</v>
      </c>
      <c r="D59" s="127" t="str">
        <f>VLOOKUP(C59,'Talente &amp; Stuff'!IA:JB,2,FALSE)</f>
        <v>--/--/--</v>
      </c>
      <c r="E59" s="125" t="str">
        <f>VLOOKUP(C59,'Talente &amp; Stuff'!IA:JB,3,FALSE)</f>
        <v>-</v>
      </c>
      <c r="F59" s="114">
        <f>VLOOKUP(C59,'Talente &amp; Stuff'!IA:JB,4,FALSE)</f>
        <v>0</v>
      </c>
      <c r="G59" s="113">
        <f>VLOOKUP(C59,'Talente &amp; Stuff'!IA:JB,5,FALSE)</f>
        <v>0</v>
      </c>
      <c r="H59" s="113">
        <f>VLOOKUP(C59,'Talente &amp; Stuff'!IA:JB,6,FALSE)</f>
        <v>0</v>
      </c>
      <c r="I59" s="113">
        <f>VLOOKUP(C59,'Talente &amp; Stuff'!IA:JB,7,FALSE)</f>
        <v>0</v>
      </c>
      <c r="J59" s="113">
        <f>VLOOKUP(C59,'Talente &amp; Stuff'!IA:JB,8,FALSE)</f>
        <v>0</v>
      </c>
      <c r="K59" s="113">
        <f>VLOOKUP(C59,'Talente &amp; Stuff'!IA:JB,9,FALSE)</f>
        <v>0</v>
      </c>
      <c r="L59" s="113">
        <f>VLOOKUP(C59,'Talente &amp; Stuff'!IA:JB,10,FALSE)</f>
        <v>0</v>
      </c>
      <c r="M59" s="119">
        <f>VLOOKUP(C59,'Talente &amp; Stuff'!IA:JB,11,FALSE)</f>
        <v>0</v>
      </c>
      <c r="N59" s="89">
        <f>VLOOKUP(C59,'Talente &amp; Stuff'!IA:JB,12,FALSE)</f>
        <v>0</v>
      </c>
      <c r="O59" s="47">
        <f>VLOOKUP(C59,'Talente &amp; Stuff'!IA:JB,13,FALSE)</f>
        <v>0</v>
      </c>
      <c r="P59" s="119">
        <f>VLOOKUP(C59,'Talente &amp; Stuff'!IA:JB,14,FALSE)</f>
        <v>0</v>
      </c>
      <c r="Q59" s="114">
        <f>VLOOKUP(C59,'Talente &amp; Stuff'!IA:JB,15,FALSE)</f>
        <v>0</v>
      </c>
      <c r="R59" s="113">
        <f>VLOOKUP(C59,'Talente &amp; Stuff'!IA:JB,16,FALSE)</f>
        <v>0</v>
      </c>
      <c r="S59" s="119">
        <f>VLOOKUP(C59,'Talente &amp; Stuff'!IA:JB,17,FALSE)</f>
        <v>0</v>
      </c>
      <c r="T59" s="160">
        <f>VLOOKUP(C59,'Talente &amp; Stuff'!IA:JB,18,FALSE)</f>
        <v>0</v>
      </c>
      <c r="U59" s="89">
        <f>VLOOKUP(C59,'Talente &amp; Stuff'!IA:JB,19,FALSE)</f>
        <v>0</v>
      </c>
      <c r="V59" s="47">
        <f>VLOOKUP(C59,'Talente &amp; Stuff'!IA:JB,20,FALSE)</f>
        <v>0</v>
      </c>
      <c r="W59" s="127">
        <f>VLOOKUP(C59,'Talente &amp; Stuff'!IA:JB,21,FALSE)</f>
        <v>0</v>
      </c>
      <c r="X59" s="125">
        <f>VLOOKUP(C59,'Talente &amp; Stuff'!IA:JB,22,FALSE)</f>
        <v>0</v>
      </c>
      <c r="Y59" s="165">
        <f t="shared" si="8"/>
        <v>0</v>
      </c>
      <c r="Z59" s="44">
        <f t="shared" si="9"/>
        <v>0</v>
      </c>
      <c r="AA59" s="125">
        <f>VLOOKUP(C59,'Talente &amp; Stuff'!IA:JB,25,FALSE)</f>
        <v>0</v>
      </c>
      <c r="AB59" s="160">
        <f>VLOOKUP(C59,'Talente &amp; Stuff'!IA:JB,26,FALSE)</f>
        <v>0</v>
      </c>
      <c r="AC59" s="127">
        <f>VLOOKUP(C59,'Talente &amp; Stuff'!IA:JB,27,FALSE)</f>
        <v>0</v>
      </c>
      <c r="AD59" s="125">
        <f>VLOOKUP(C59,'Talente &amp; Stuff'!IA:JB,28,FALSE)</f>
        <v>0</v>
      </c>
      <c r="AE59" s="28"/>
    </row>
    <row r="60" spans="2:31" ht="15" hidden="1" customHeight="1" outlineLevel="2">
      <c r="B60" s="148">
        <v>4</v>
      </c>
      <c r="C60" s="177" t="str">
        <f>Attribute!C60</f>
        <v>---</v>
      </c>
      <c r="D60" s="127" t="str">
        <f>VLOOKUP(C60,'Talente &amp; Stuff'!IA:JB,2,FALSE)</f>
        <v>--/--/--</v>
      </c>
      <c r="E60" s="125" t="str">
        <f>VLOOKUP(C60,'Talente &amp; Stuff'!IA:JB,3,FALSE)</f>
        <v>-</v>
      </c>
      <c r="F60" s="114">
        <f>VLOOKUP(C60,'Talente &amp; Stuff'!IA:JB,4,FALSE)</f>
        <v>0</v>
      </c>
      <c r="G60" s="113">
        <f>VLOOKUP(C60,'Talente &amp; Stuff'!IA:JB,5,FALSE)</f>
        <v>0</v>
      </c>
      <c r="H60" s="113">
        <f>VLOOKUP(C60,'Talente &amp; Stuff'!IA:JB,6,FALSE)</f>
        <v>0</v>
      </c>
      <c r="I60" s="113">
        <f>VLOOKUP(C60,'Talente &amp; Stuff'!IA:JB,7,FALSE)</f>
        <v>0</v>
      </c>
      <c r="J60" s="113">
        <f>VLOOKUP(C60,'Talente &amp; Stuff'!IA:JB,8,FALSE)</f>
        <v>0</v>
      </c>
      <c r="K60" s="113">
        <f>VLOOKUP(C60,'Talente &amp; Stuff'!IA:JB,9,FALSE)</f>
        <v>0</v>
      </c>
      <c r="L60" s="113">
        <f>VLOOKUP(C60,'Talente &amp; Stuff'!IA:JB,10,FALSE)</f>
        <v>0</v>
      </c>
      <c r="M60" s="119">
        <f>VLOOKUP(C60,'Talente &amp; Stuff'!IA:JB,11,FALSE)</f>
        <v>0</v>
      </c>
      <c r="N60" s="89">
        <f>VLOOKUP(C60,'Talente &amp; Stuff'!IA:JB,12,FALSE)</f>
        <v>0</v>
      </c>
      <c r="O60" s="47">
        <f>VLOOKUP(C60,'Talente &amp; Stuff'!IA:JB,13,FALSE)</f>
        <v>0</v>
      </c>
      <c r="P60" s="119">
        <f>VLOOKUP(C60,'Talente &amp; Stuff'!IA:JB,14,FALSE)</f>
        <v>0</v>
      </c>
      <c r="Q60" s="114">
        <f>VLOOKUP(C60,'Talente &amp; Stuff'!IA:JB,15,FALSE)</f>
        <v>0</v>
      </c>
      <c r="R60" s="113">
        <f>VLOOKUP(C60,'Talente &amp; Stuff'!IA:JB,16,FALSE)</f>
        <v>0</v>
      </c>
      <c r="S60" s="119">
        <f>VLOOKUP(C60,'Talente &amp; Stuff'!IA:JB,17,FALSE)</f>
        <v>0</v>
      </c>
      <c r="T60" s="160">
        <f>VLOOKUP(C60,'Talente &amp; Stuff'!IA:JB,18,FALSE)</f>
        <v>0</v>
      </c>
      <c r="U60" s="89">
        <f>VLOOKUP(C60,'Talente &amp; Stuff'!IA:JB,19,FALSE)</f>
        <v>0</v>
      </c>
      <c r="V60" s="47">
        <f>VLOOKUP(C60,'Talente &amp; Stuff'!IA:JB,20,FALSE)</f>
        <v>0</v>
      </c>
      <c r="W60" s="127">
        <f>VLOOKUP(C60,'Talente &amp; Stuff'!IA:JB,21,FALSE)</f>
        <v>0</v>
      </c>
      <c r="X60" s="125">
        <f>VLOOKUP(C60,'Talente &amp; Stuff'!IA:JB,22,FALSE)</f>
        <v>0</v>
      </c>
      <c r="Y60" s="165">
        <f t="shared" si="8"/>
        <v>0</v>
      </c>
      <c r="Z60" s="44">
        <f t="shared" si="9"/>
        <v>0</v>
      </c>
      <c r="AA60" s="125">
        <f>VLOOKUP(C60,'Talente &amp; Stuff'!IA:JB,25,FALSE)</f>
        <v>0</v>
      </c>
      <c r="AB60" s="160">
        <f>VLOOKUP(C60,'Talente &amp; Stuff'!IA:JB,26,FALSE)</f>
        <v>0</v>
      </c>
      <c r="AC60" s="127">
        <f>VLOOKUP(C60,'Talente &amp; Stuff'!IA:JB,27,FALSE)</f>
        <v>0</v>
      </c>
      <c r="AD60" s="125">
        <f>VLOOKUP(C60,'Talente &amp; Stuff'!IA:JB,28,FALSE)</f>
        <v>0</v>
      </c>
      <c r="AE60" s="28"/>
    </row>
    <row r="61" spans="2:31" ht="15" hidden="1" customHeight="1" outlineLevel="2">
      <c r="B61" s="148">
        <v>5</v>
      </c>
      <c r="C61" s="177" t="str">
        <f>Attribute!C61</f>
        <v>---</v>
      </c>
      <c r="D61" s="127" t="str">
        <f>VLOOKUP(C61,'Talente &amp; Stuff'!IA:JB,2,FALSE)</f>
        <v>--/--/--</v>
      </c>
      <c r="E61" s="125" t="str">
        <f>VLOOKUP(C61,'Talente &amp; Stuff'!IA:JB,3,FALSE)</f>
        <v>-</v>
      </c>
      <c r="F61" s="114">
        <f>VLOOKUP(C61,'Talente &amp; Stuff'!IA:JB,4,FALSE)</f>
        <v>0</v>
      </c>
      <c r="G61" s="113">
        <f>VLOOKUP(C61,'Talente &amp; Stuff'!IA:JB,5,FALSE)</f>
        <v>0</v>
      </c>
      <c r="H61" s="113">
        <f>VLOOKUP(C61,'Talente &amp; Stuff'!IA:JB,6,FALSE)</f>
        <v>0</v>
      </c>
      <c r="I61" s="113">
        <f>VLOOKUP(C61,'Talente &amp; Stuff'!IA:JB,7,FALSE)</f>
        <v>0</v>
      </c>
      <c r="J61" s="113">
        <f>VLOOKUP(C61,'Talente &amp; Stuff'!IA:JB,8,FALSE)</f>
        <v>0</v>
      </c>
      <c r="K61" s="113">
        <f>VLOOKUP(C61,'Talente &amp; Stuff'!IA:JB,9,FALSE)</f>
        <v>0</v>
      </c>
      <c r="L61" s="113">
        <f>VLOOKUP(C61,'Talente &amp; Stuff'!IA:JB,10,FALSE)</f>
        <v>0</v>
      </c>
      <c r="M61" s="119">
        <f>VLOOKUP(C61,'Talente &amp; Stuff'!IA:JB,11,FALSE)</f>
        <v>0</v>
      </c>
      <c r="N61" s="89">
        <f>VLOOKUP(C61,'Talente &amp; Stuff'!IA:JB,12,FALSE)</f>
        <v>0</v>
      </c>
      <c r="O61" s="47">
        <f>VLOOKUP(C61,'Talente &amp; Stuff'!IA:JB,13,FALSE)</f>
        <v>0</v>
      </c>
      <c r="P61" s="119">
        <f>VLOOKUP(C61,'Talente &amp; Stuff'!IA:JB,14,FALSE)</f>
        <v>0</v>
      </c>
      <c r="Q61" s="114">
        <f>VLOOKUP(C61,'Talente &amp; Stuff'!IA:JB,15,FALSE)</f>
        <v>0</v>
      </c>
      <c r="R61" s="113">
        <f>VLOOKUP(C61,'Talente &amp; Stuff'!IA:JB,16,FALSE)</f>
        <v>0</v>
      </c>
      <c r="S61" s="119">
        <f>VLOOKUP(C61,'Talente &amp; Stuff'!IA:JB,17,FALSE)</f>
        <v>0</v>
      </c>
      <c r="T61" s="160">
        <f>VLOOKUP(C61,'Talente &amp; Stuff'!IA:JB,18,FALSE)</f>
        <v>0</v>
      </c>
      <c r="U61" s="89">
        <f>VLOOKUP(C61,'Talente &amp; Stuff'!IA:JB,19,FALSE)</f>
        <v>0</v>
      </c>
      <c r="V61" s="47">
        <f>VLOOKUP(C61,'Talente &amp; Stuff'!IA:JB,20,FALSE)</f>
        <v>0</v>
      </c>
      <c r="W61" s="127">
        <f>VLOOKUP(C61,'Talente &amp; Stuff'!IA:JB,21,FALSE)</f>
        <v>0</v>
      </c>
      <c r="X61" s="125">
        <f>VLOOKUP(C61,'Talente &amp; Stuff'!IA:JB,22,FALSE)</f>
        <v>0</v>
      </c>
      <c r="Y61" s="165">
        <f t="shared" si="8"/>
        <v>0</v>
      </c>
      <c r="Z61" s="44">
        <f t="shared" si="9"/>
        <v>0</v>
      </c>
      <c r="AA61" s="125">
        <f>VLOOKUP(C61,'Talente &amp; Stuff'!IA:JB,25,FALSE)</f>
        <v>0</v>
      </c>
      <c r="AB61" s="160">
        <f>VLOOKUP(C61,'Talente &amp; Stuff'!IA:JB,26,FALSE)</f>
        <v>0</v>
      </c>
      <c r="AC61" s="127">
        <f>VLOOKUP(C61,'Talente &amp; Stuff'!IA:JB,27,FALSE)</f>
        <v>0</v>
      </c>
      <c r="AD61" s="125">
        <f>VLOOKUP(C61,'Talente &amp; Stuff'!IA:JB,28,FALSE)</f>
        <v>0</v>
      </c>
      <c r="AE61" s="28"/>
    </row>
    <row r="62" spans="2:31" ht="15" hidden="1" customHeight="1" outlineLevel="2">
      <c r="B62" s="148">
        <v>6</v>
      </c>
      <c r="C62" s="177" t="str">
        <f>Attribute!C62</f>
        <v>---</v>
      </c>
      <c r="D62" s="127" t="str">
        <f>VLOOKUP(C62,'Talente &amp; Stuff'!IA:JB,2,FALSE)</f>
        <v>--/--/--</v>
      </c>
      <c r="E62" s="125" t="str">
        <f>VLOOKUP(C62,'Talente &amp; Stuff'!IA:JB,3,FALSE)</f>
        <v>-</v>
      </c>
      <c r="F62" s="114">
        <f>VLOOKUP(C62,'Talente &amp; Stuff'!IA:JB,4,FALSE)</f>
        <v>0</v>
      </c>
      <c r="G62" s="113">
        <f>VLOOKUP(C62,'Talente &amp; Stuff'!IA:JB,5,FALSE)</f>
        <v>0</v>
      </c>
      <c r="H62" s="113">
        <f>VLOOKUP(C62,'Talente &amp; Stuff'!IA:JB,6,FALSE)</f>
        <v>0</v>
      </c>
      <c r="I62" s="113">
        <f>VLOOKUP(C62,'Talente &amp; Stuff'!IA:JB,7,FALSE)</f>
        <v>0</v>
      </c>
      <c r="J62" s="113">
        <f>VLOOKUP(C62,'Talente &amp; Stuff'!IA:JB,8,FALSE)</f>
        <v>0</v>
      </c>
      <c r="K62" s="113">
        <f>VLOOKUP(C62,'Talente &amp; Stuff'!IA:JB,9,FALSE)</f>
        <v>0</v>
      </c>
      <c r="L62" s="113">
        <f>VLOOKUP(C62,'Talente &amp; Stuff'!IA:JB,10,FALSE)</f>
        <v>0</v>
      </c>
      <c r="M62" s="119">
        <f>VLOOKUP(C62,'Talente &amp; Stuff'!IA:JB,11,FALSE)</f>
        <v>0</v>
      </c>
      <c r="N62" s="89">
        <f>VLOOKUP(C62,'Talente &amp; Stuff'!IA:JB,12,FALSE)</f>
        <v>0</v>
      </c>
      <c r="O62" s="47">
        <f>VLOOKUP(C62,'Talente &amp; Stuff'!IA:JB,13,FALSE)</f>
        <v>0</v>
      </c>
      <c r="P62" s="119">
        <f>VLOOKUP(C62,'Talente &amp; Stuff'!IA:JB,14,FALSE)</f>
        <v>0</v>
      </c>
      <c r="Q62" s="114">
        <f>VLOOKUP(C62,'Talente &amp; Stuff'!IA:JB,15,FALSE)</f>
        <v>0</v>
      </c>
      <c r="R62" s="113">
        <f>VLOOKUP(C62,'Talente &amp; Stuff'!IA:JB,16,FALSE)</f>
        <v>0</v>
      </c>
      <c r="S62" s="119">
        <f>VLOOKUP(C62,'Talente &amp; Stuff'!IA:JB,17,FALSE)</f>
        <v>0</v>
      </c>
      <c r="T62" s="160">
        <f>VLOOKUP(C62,'Talente &amp; Stuff'!IA:JB,18,FALSE)</f>
        <v>0</v>
      </c>
      <c r="U62" s="89">
        <f>VLOOKUP(C62,'Talente &amp; Stuff'!IA:JB,19,FALSE)</f>
        <v>0</v>
      </c>
      <c r="V62" s="47">
        <f>VLOOKUP(C62,'Talente &amp; Stuff'!IA:JB,20,FALSE)</f>
        <v>0</v>
      </c>
      <c r="W62" s="127">
        <f>VLOOKUP(C62,'Talente &amp; Stuff'!IA:JB,21,FALSE)</f>
        <v>0</v>
      </c>
      <c r="X62" s="125">
        <f>VLOOKUP(C62,'Talente &amp; Stuff'!IA:JB,22,FALSE)</f>
        <v>0</v>
      </c>
      <c r="Y62" s="165">
        <f t="shared" si="8"/>
        <v>0</v>
      </c>
      <c r="Z62" s="44">
        <f t="shared" si="9"/>
        <v>0</v>
      </c>
      <c r="AA62" s="125">
        <f>VLOOKUP(C62,'Talente &amp; Stuff'!IA:JB,25,FALSE)</f>
        <v>0</v>
      </c>
      <c r="AB62" s="160">
        <f>VLOOKUP(C62,'Talente &amp; Stuff'!IA:JB,26,FALSE)</f>
        <v>0</v>
      </c>
      <c r="AC62" s="127">
        <f>VLOOKUP(C62,'Talente &amp; Stuff'!IA:JB,27,FALSE)</f>
        <v>0</v>
      </c>
      <c r="AD62" s="125">
        <f>VLOOKUP(C62,'Talente &amp; Stuff'!IA:JB,28,FALSE)</f>
        <v>0</v>
      </c>
      <c r="AE62" s="28"/>
    </row>
    <row r="63" spans="2:31" ht="15" hidden="1" customHeight="1" outlineLevel="2">
      <c r="B63" s="148">
        <v>7</v>
      </c>
      <c r="C63" s="177" t="str">
        <f>Attribute!C63</f>
        <v>---</v>
      </c>
      <c r="D63" s="127" t="str">
        <f>VLOOKUP(C63,'Talente &amp; Stuff'!IA:JB,2,FALSE)</f>
        <v>--/--/--</v>
      </c>
      <c r="E63" s="125" t="str">
        <f>VLOOKUP(C63,'Talente &amp; Stuff'!IA:JB,3,FALSE)</f>
        <v>-</v>
      </c>
      <c r="F63" s="114">
        <f>VLOOKUP(C63,'Talente &amp; Stuff'!IA:JB,4,FALSE)</f>
        <v>0</v>
      </c>
      <c r="G63" s="113">
        <f>VLOOKUP(C63,'Talente &amp; Stuff'!IA:JB,5,FALSE)</f>
        <v>0</v>
      </c>
      <c r="H63" s="113">
        <f>VLOOKUP(C63,'Talente &amp; Stuff'!IA:JB,6,FALSE)</f>
        <v>0</v>
      </c>
      <c r="I63" s="113">
        <f>VLOOKUP(C63,'Talente &amp; Stuff'!IA:JB,7,FALSE)</f>
        <v>0</v>
      </c>
      <c r="J63" s="113">
        <f>VLOOKUP(C63,'Talente &amp; Stuff'!IA:JB,8,FALSE)</f>
        <v>0</v>
      </c>
      <c r="K63" s="113">
        <f>VLOOKUP(C63,'Talente &amp; Stuff'!IA:JB,9,FALSE)</f>
        <v>0</v>
      </c>
      <c r="L63" s="113">
        <f>VLOOKUP(C63,'Talente &amp; Stuff'!IA:JB,10,FALSE)</f>
        <v>0</v>
      </c>
      <c r="M63" s="119">
        <f>VLOOKUP(C63,'Talente &amp; Stuff'!IA:JB,11,FALSE)</f>
        <v>0</v>
      </c>
      <c r="N63" s="89">
        <f>VLOOKUP(C63,'Talente &amp; Stuff'!IA:JB,12,FALSE)</f>
        <v>0</v>
      </c>
      <c r="O63" s="47">
        <f>VLOOKUP(C63,'Talente &amp; Stuff'!IA:JB,13,FALSE)</f>
        <v>0</v>
      </c>
      <c r="P63" s="119">
        <f>VLOOKUP(C63,'Talente &amp; Stuff'!IA:JB,14,FALSE)</f>
        <v>0</v>
      </c>
      <c r="Q63" s="114">
        <f>VLOOKUP(C63,'Talente &amp; Stuff'!IA:JB,15,FALSE)</f>
        <v>0</v>
      </c>
      <c r="R63" s="113">
        <f>VLOOKUP(C63,'Talente &amp; Stuff'!IA:JB,16,FALSE)</f>
        <v>0</v>
      </c>
      <c r="S63" s="119">
        <f>VLOOKUP(C63,'Talente &amp; Stuff'!IA:JB,17,FALSE)</f>
        <v>0</v>
      </c>
      <c r="T63" s="160">
        <f>VLOOKUP(C63,'Talente &amp; Stuff'!IA:JB,18,FALSE)</f>
        <v>0</v>
      </c>
      <c r="U63" s="89">
        <f>VLOOKUP(C63,'Talente &amp; Stuff'!IA:JB,19,FALSE)</f>
        <v>0</v>
      </c>
      <c r="V63" s="47">
        <f>VLOOKUP(C63,'Talente &amp; Stuff'!IA:JB,20,FALSE)</f>
        <v>0</v>
      </c>
      <c r="W63" s="127">
        <f>VLOOKUP(C63,'Talente &amp; Stuff'!IA:JB,21,FALSE)</f>
        <v>0</v>
      </c>
      <c r="X63" s="125">
        <f>VLOOKUP(C63,'Talente &amp; Stuff'!IA:JB,22,FALSE)</f>
        <v>0</v>
      </c>
      <c r="Y63" s="165">
        <f t="shared" si="8"/>
        <v>0</v>
      </c>
      <c r="Z63" s="44">
        <f t="shared" si="9"/>
        <v>0</v>
      </c>
      <c r="AA63" s="125">
        <f>VLOOKUP(C63,'Talente &amp; Stuff'!IA:JB,25,FALSE)</f>
        <v>0</v>
      </c>
      <c r="AB63" s="160">
        <f>VLOOKUP(C63,'Talente &amp; Stuff'!IA:JB,26,FALSE)</f>
        <v>0</v>
      </c>
      <c r="AC63" s="127">
        <f>VLOOKUP(C63,'Talente &amp; Stuff'!IA:JB,27,FALSE)</f>
        <v>0</v>
      </c>
      <c r="AD63" s="125">
        <f>VLOOKUP(C63,'Talente &amp; Stuff'!IA:JB,28,FALSE)</f>
        <v>0</v>
      </c>
      <c r="AE63" s="28"/>
    </row>
    <row r="64" spans="2:31" ht="15" hidden="1" customHeight="1" outlineLevel="2">
      <c r="B64" s="148">
        <v>8</v>
      </c>
      <c r="C64" s="177" t="str">
        <f>Attribute!C64</f>
        <v>---</v>
      </c>
      <c r="D64" s="127" t="str">
        <f>VLOOKUP(C64,'Talente &amp; Stuff'!IA:JB,2,FALSE)</f>
        <v>--/--/--</v>
      </c>
      <c r="E64" s="125" t="str">
        <f>VLOOKUP(C64,'Talente &amp; Stuff'!IA:JB,3,FALSE)</f>
        <v>-</v>
      </c>
      <c r="F64" s="114">
        <f>VLOOKUP(C64,'Talente &amp; Stuff'!IA:JB,4,FALSE)</f>
        <v>0</v>
      </c>
      <c r="G64" s="113">
        <f>VLOOKUP(C64,'Talente &amp; Stuff'!IA:JB,5,FALSE)</f>
        <v>0</v>
      </c>
      <c r="H64" s="113">
        <f>VLOOKUP(C64,'Talente &amp; Stuff'!IA:JB,6,FALSE)</f>
        <v>0</v>
      </c>
      <c r="I64" s="113">
        <f>VLOOKUP(C64,'Talente &amp; Stuff'!IA:JB,7,FALSE)</f>
        <v>0</v>
      </c>
      <c r="J64" s="113">
        <f>VLOOKUP(C64,'Talente &amp; Stuff'!IA:JB,8,FALSE)</f>
        <v>0</v>
      </c>
      <c r="K64" s="113">
        <f>VLOOKUP(C64,'Talente &amp; Stuff'!IA:JB,9,FALSE)</f>
        <v>0</v>
      </c>
      <c r="L64" s="113">
        <f>VLOOKUP(C64,'Talente &amp; Stuff'!IA:JB,10,FALSE)</f>
        <v>0</v>
      </c>
      <c r="M64" s="119">
        <f>VLOOKUP(C64,'Talente &amp; Stuff'!IA:JB,11,FALSE)</f>
        <v>0</v>
      </c>
      <c r="N64" s="89">
        <f>VLOOKUP(C64,'Talente &amp; Stuff'!IA:JB,12,FALSE)</f>
        <v>0</v>
      </c>
      <c r="O64" s="47">
        <f>VLOOKUP(C64,'Talente &amp; Stuff'!IA:JB,13,FALSE)</f>
        <v>0</v>
      </c>
      <c r="P64" s="119">
        <f>VLOOKUP(C64,'Talente &amp; Stuff'!IA:JB,14,FALSE)</f>
        <v>0</v>
      </c>
      <c r="Q64" s="114">
        <f>VLOOKUP(C64,'Talente &amp; Stuff'!IA:JB,15,FALSE)</f>
        <v>0</v>
      </c>
      <c r="R64" s="113">
        <f>VLOOKUP(C64,'Talente &amp; Stuff'!IA:JB,16,FALSE)</f>
        <v>0</v>
      </c>
      <c r="S64" s="119">
        <f>VLOOKUP(C64,'Talente &amp; Stuff'!IA:JB,17,FALSE)</f>
        <v>0</v>
      </c>
      <c r="T64" s="160">
        <f>VLOOKUP(C64,'Talente &amp; Stuff'!IA:JB,18,FALSE)</f>
        <v>0</v>
      </c>
      <c r="U64" s="89">
        <f>VLOOKUP(C64,'Talente &amp; Stuff'!IA:JB,19,FALSE)</f>
        <v>0</v>
      </c>
      <c r="V64" s="47">
        <f>VLOOKUP(C64,'Talente &amp; Stuff'!IA:JB,20,FALSE)</f>
        <v>0</v>
      </c>
      <c r="W64" s="127">
        <f>VLOOKUP(C64,'Talente &amp; Stuff'!IA:JB,21,FALSE)</f>
        <v>0</v>
      </c>
      <c r="X64" s="125">
        <f>VLOOKUP(C64,'Talente &amp; Stuff'!IA:JB,22,FALSE)</f>
        <v>0</v>
      </c>
      <c r="Y64" s="165">
        <f t="shared" si="8"/>
        <v>0</v>
      </c>
      <c r="Z64" s="44">
        <f t="shared" si="9"/>
        <v>0</v>
      </c>
      <c r="AA64" s="125">
        <f>VLOOKUP(C64,'Talente &amp; Stuff'!IA:JB,25,FALSE)</f>
        <v>0</v>
      </c>
      <c r="AB64" s="160">
        <f>VLOOKUP(C64,'Talente &amp; Stuff'!IA:JB,26,FALSE)</f>
        <v>0</v>
      </c>
      <c r="AC64" s="127">
        <f>VLOOKUP(C64,'Talente &amp; Stuff'!IA:JB,27,FALSE)</f>
        <v>0</v>
      </c>
      <c r="AD64" s="125">
        <f>VLOOKUP(C64,'Talente &amp; Stuff'!IA:JB,28,FALSE)</f>
        <v>0</v>
      </c>
      <c r="AE64" s="28"/>
    </row>
    <row r="65" spans="1:31" ht="15" hidden="1" customHeight="1" outlineLevel="2">
      <c r="B65" s="148">
        <v>9</v>
      </c>
      <c r="C65" s="177" t="str">
        <f>Attribute!C65</f>
        <v>---</v>
      </c>
      <c r="D65" s="127" t="str">
        <f>VLOOKUP(C65,'Talente &amp; Stuff'!IA:JB,2,FALSE)</f>
        <v>--/--/--</v>
      </c>
      <c r="E65" s="125" t="str">
        <f>VLOOKUP(C65,'Talente &amp; Stuff'!IA:JB,3,FALSE)</f>
        <v>-</v>
      </c>
      <c r="F65" s="114">
        <f>VLOOKUP(C65,'Talente &amp; Stuff'!IA:JB,4,FALSE)</f>
        <v>0</v>
      </c>
      <c r="G65" s="113">
        <f>VLOOKUP(C65,'Talente &amp; Stuff'!IA:JB,5,FALSE)</f>
        <v>0</v>
      </c>
      <c r="H65" s="113">
        <f>VLOOKUP(C65,'Talente &amp; Stuff'!IA:JB,6,FALSE)</f>
        <v>0</v>
      </c>
      <c r="I65" s="113">
        <f>VLOOKUP(C65,'Talente &amp; Stuff'!IA:JB,7,FALSE)</f>
        <v>0</v>
      </c>
      <c r="J65" s="113">
        <f>VLOOKUP(C65,'Talente &amp; Stuff'!IA:JB,8,FALSE)</f>
        <v>0</v>
      </c>
      <c r="K65" s="113">
        <f>VLOOKUP(C65,'Talente &amp; Stuff'!IA:JB,9,FALSE)</f>
        <v>0</v>
      </c>
      <c r="L65" s="113">
        <f>VLOOKUP(C65,'Talente &amp; Stuff'!IA:JB,10,FALSE)</f>
        <v>0</v>
      </c>
      <c r="M65" s="119">
        <f>VLOOKUP(C65,'Talente &amp; Stuff'!IA:JB,11,FALSE)</f>
        <v>0</v>
      </c>
      <c r="N65" s="89">
        <f>VLOOKUP(C65,'Talente &amp; Stuff'!IA:JB,12,FALSE)</f>
        <v>0</v>
      </c>
      <c r="O65" s="47">
        <f>VLOOKUP(C65,'Talente &amp; Stuff'!IA:JB,13,FALSE)</f>
        <v>0</v>
      </c>
      <c r="P65" s="119">
        <f>VLOOKUP(C65,'Talente &amp; Stuff'!IA:JB,14,FALSE)</f>
        <v>0</v>
      </c>
      <c r="Q65" s="114">
        <f>VLOOKUP(C65,'Talente &amp; Stuff'!IA:JB,15,FALSE)</f>
        <v>0</v>
      </c>
      <c r="R65" s="113">
        <f>VLOOKUP(C65,'Talente &amp; Stuff'!IA:JB,16,FALSE)</f>
        <v>0</v>
      </c>
      <c r="S65" s="119">
        <f>VLOOKUP(C65,'Talente &amp; Stuff'!IA:JB,17,FALSE)</f>
        <v>0</v>
      </c>
      <c r="T65" s="160">
        <f>VLOOKUP(C65,'Talente &amp; Stuff'!IA:JB,18,FALSE)</f>
        <v>0</v>
      </c>
      <c r="U65" s="89">
        <f>VLOOKUP(C65,'Talente &amp; Stuff'!IA:JB,19,FALSE)</f>
        <v>0</v>
      </c>
      <c r="V65" s="47">
        <f>VLOOKUP(C65,'Talente &amp; Stuff'!IA:JB,20,FALSE)</f>
        <v>0</v>
      </c>
      <c r="W65" s="127">
        <f>VLOOKUP(C65,'Talente &amp; Stuff'!IA:JB,21,FALSE)</f>
        <v>0</v>
      </c>
      <c r="X65" s="125">
        <f>VLOOKUP(C65,'Talente &amp; Stuff'!IA:JB,22,FALSE)</f>
        <v>0</v>
      </c>
      <c r="Y65" s="165">
        <f t="shared" si="8"/>
        <v>0</v>
      </c>
      <c r="Z65" s="44">
        <f t="shared" si="9"/>
        <v>0</v>
      </c>
      <c r="AA65" s="125">
        <f>VLOOKUP(C65,'Talente &amp; Stuff'!IA:JB,25,FALSE)</f>
        <v>0</v>
      </c>
      <c r="AB65" s="160">
        <f>VLOOKUP(C65,'Talente &amp; Stuff'!IA:JB,26,FALSE)</f>
        <v>0</v>
      </c>
      <c r="AC65" s="127">
        <f>VLOOKUP(C65,'Talente &amp; Stuff'!IA:JB,27,FALSE)</f>
        <v>0</v>
      </c>
      <c r="AD65" s="125">
        <f>VLOOKUP(C65,'Talente &amp; Stuff'!IA:JB,28,FALSE)</f>
        <v>0</v>
      </c>
      <c r="AE65" s="28"/>
    </row>
    <row r="66" spans="1:31" ht="15" hidden="1" customHeight="1" outlineLevel="2">
      <c r="B66" s="148">
        <v>10</v>
      </c>
      <c r="C66" s="177" t="str">
        <f>Attribute!C66</f>
        <v>---</v>
      </c>
      <c r="D66" s="127" t="str">
        <f>VLOOKUP(C66,'Talente &amp; Stuff'!IA:JB,2,FALSE)</f>
        <v>--/--/--</v>
      </c>
      <c r="E66" s="125" t="str">
        <f>VLOOKUP(C66,'Talente &amp; Stuff'!IA:JB,3,FALSE)</f>
        <v>-</v>
      </c>
      <c r="F66" s="114">
        <f>VLOOKUP(C66,'Talente &amp; Stuff'!IA:JB,4,FALSE)</f>
        <v>0</v>
      </c>
      <c r="G66" s="113">
        <f>VLOOKUP(C66,'Talente &amp; Stuff'!IA:JB,5,FALSE)</f>
        <v>0</v>
      </c>
      <c r="H66" s="113">
        <f>VLOOKUP(C66,'Talente &amp; Stuff'!IA:JB,6,FALSE)</f>
        <v>0</v>
      </c>
      <c r="I66" s="113">
        <f>VLOOKUP(C66,'Talente &amp; Stuff'!IA:JB,7,FALSE)</f>
        <v>0</v>
      </c>
      <c r="J66" s="113">
        <f>VLOOKUP(C66,'Talente &amp; Stuff'!IA:JB,8,FALSE)</f>
        <v>0</v>
      </c>
      <c r="K66" s="113">
        <f>VLOOKUP(C66,'Talente &amp; Stuff'!IA:JB,9,FALSE)</f>
        <v>0</v>
      </c>
      <c r="L66" s="113">
        <f>VLOOKUP(C66,'Talente &amp; Stuff'!IA:JB,10,FALSE)</f>
        <v>0</v>
      </c>
      <c r="M66" s="119">
        <f>VLOOKUP(C66,'Talente &amp; Stuff'!IA:JB,11,FALSE)</f>
        <v>0</v>
      </c>
      <c r="N66" s="89">
        <f>VLOOKUP(C66,'Talente &amp; Stuff'!IA:JB,12,FALSE)</f>
        <v>0</v>
      </c>
      <c r="O66" s="47">
        <f>VLOOKUP(C66,'Talente &amp; Stuff'!IA:JB,13,FALSE)</f>
        <v>0</v>
      </c>
      <c r="P66" s="119">
        <f>VLOOKUP(C66,'Talente &amp; Stuff'!IA:JB,14,FALSE)</f>
        <v>0</v>
      </c>
      <c r="Q66" s="114">
        <f>VLOOKUP(C66,'Talente &amp; Stuff'!IA:JB,15,FALSE)</f>
        <v>0</v>
      </c>
      <c r="R66" s="113">
        <f>VLOOKUP(C66,'Talente &amp; Stuff'!IA:JB,16,FALSE)</f>
        <v>0</v>
      </c>
      <c r="S66" s="119">
        <f>VLOOKUP(C66,'Talente &amp; Stuff'!IA:JB,17,FALSE)</f>
        <v>0</v>
      </c>
      <c r="T66" s="160">
        <f>VLOOKUP(C66,'Talente &amp; Stuff'!IA:JB,18,FALSE)</f>
        <v>0</v>
      </c>
      <c r="U66" s="89">
        <f>VLOOKUP(C66,'Talente &amp; Stuff'!IA:JB,19,FALSE)</f>
        <v>0</v>
      </c>
      <c r="V66" s="47">
        <f>VLOOKUP(C66,'Talente &amp; Stuff'!IA:JB,20,FALSE)</f>
        <v>0</v>
      </c>
      <c r="W66" s="127">
        <f>VLOOKUP(C66,'Talente &amp; Stuff'!IA:JB,21,FALSE)</f>
        <v>0</v>
      </c>
      <c r="X66" s="125">
        <f>VLOOKUP(C66,'Talente &amp; Stuff'!IA:JB,22,FALSE)</f>
        <v>0</v>
      </c>
      <c r="Y66" s="165">
        <f t="shared" si="8"/>
        <v>0</v>
      </c>
      <c r="Z66" s="44">
        <f t="shared" si="9"/>
        <v>0</v>
      </c>
      <c r="AA66" s="125">
        <f>VLOOKUP(C66,'Talente &amp; Stuff'!IA:JB,25,FALSE)</f>
        <v>0</v>
      </c>
      <c r="AB66" s="160">
        <f>VLOOKUP(C66,'Talente &amp; Stuff'!IA:JB,26,FALSE)</f>
        <v>0</v>
      </c>
      <c r="AC66" s="127">
        <f>VLOOKUP(C66,'Talente &amp; Stuff'!IA:JB,27,FALSE)</f>
        <v>0</v>
      </c>
      <c r="AD66" s="125">
        <f>VLOOKUP(C66,'Talente &amp; Stuff'!IA:JB,28,FALSE)</f>
        <v>0</v>
      </c>
      <c r="AE66" s="28"/>
    </row>
    <row r="67" spans="1:31" ht="15" hidden="1" customHeight="1" outlineLevel="2">
      <c r="B67" s="148">
        <v>11</v>
      </c>
      <c r="C67" s="177" t="str">
        <f>Attribute!C67</f>
        <v>---</v>
      </c>
      <c r="D67" s="127" t="str">
        <f>VLOOKUP(C67,'Talente &amp; Stuff'!IA:JB,2,FALSE)</f>
        <v>--/--/--</v>
      </c>
      <c r="E67" s="125" t="str">
        <f>VLOOKUP(C67,'Talente &amp; Stuff'!IA:JB,3,FALSE)</f>
        <v>-</v>
      </c>
      <c r="F67" s="114">
        <f>VLOOKUP(C67,'Talente &amp; Stuff'!IA:JB,4,FALSE)</f>
        <v>0</v>
      </c>
      <c r="G67" s="113">
        <f>VLOOKUP(C67,'Talente &amp; Stuff'!IA:JB,5,FALSE)</f>
        <v>0</v>
      </c>
      <c r="H67" s="113">
        <f>VLOOKUP(C67,'Talente &amp; Stuff'!IA:JB,6,FALSE)</f>
        <v>0</v>
      </c>
      <c r="I67" s="113">
        <f>VLOOKUP(C67,'Talente &amp; Stuff'!IA:JB,7,FALSE)</f>
        <v>0</v>
      </c>
      <c r="J67" s="113">
        <f>VLOOKUP(C67,'Talente &amp; Stuff'!IA:JB,8,FALSE)</f>
        <v>0</v>
      </c>
      <c r="K67" s="113">
        <f>VLOOKUP(C67,'Talente &amp; Stuff'!IA:JB,9,FALSE)</f>
        <v>0</v>
      </c>
      <c r="L67" s="113">
        <f>VLOOKUP(C67,'Talente &amp; Stuff'!IA:JB,10,FALSE)</f>
        <v>0</v>
      </c>
      <c r="M67" s="119">
        <f>VLOOKUP(C67,'Talente &amp; Stuff'!IA:JB,11,FALSE)</f>
        <v>0</v>
      </c>
      <c r="N67" s="89">
        <f>VLOOKUP(C67,'Talente &amp; Stuff'!IA:JB,12,FALSE)</f>
        <v>0</v>
      </c>
      <c r="O67" s="47">
        <f>VLOOKUP(C67,'Talente &amp; Stuff'!IA:JB,13,FALSE)</f>
        <v>0</v>
      </c>
      <c r="P67" s="119">
        <f>VLOOKUP(C67,'Talente &amp; Stuff'!IA:JB,14,FALSE)</f>
        <v>0</v>
      </c>
      <c r="Q67" s="114">
        <f>VLOOKUP(C67,'Talente &amp; Stuff'!IA:JB,15,FALSE)</f>
        <v>0</v>
      </c>
      <c r="R67" s="113">
        <f>VLOOKUP(C67,'Talente &amp; Stuff'!IA:JB,16,FALSE)</f>
        <v>0</v>
      </c>
      <c r="S67" s="119">
        <f>VLOOKUP(C67,'Talente &amp; Stuff'!IA:JB,17,FALSE)</f>
        <v>0</v>
      </c>
      <c r="T67" s="160">
        <f>VLOOKUP(C67,'Talente &amp; Stuff'!IA:JB,18,FALSE)</f>
        <v>0</v>
      </c>
      <c r="U67" s="89">
        <f>VLOOKUP(C67,'Talente &amp; Stuff'!IA:JB,19,FALSE)</f>
        <v>0</v>
      </c>
      <c r="V67" s="47">
        <f>VLOOKUP(C67,'Talente &amp; Stuff'!IA:JB,20,FALSE)</f>
        <v>0</v>
      </c>
      <c r="W67" s="127">
        <f>VLOOKUP(C67,'Talente &amp; Stuff'!IA:JB,21,FALSE)</f>
        <v>0</v>
      </c>
      <c r="X67" s="125">
        <f>VLOOKUP(C67,'Talente &amp; Stuff'!IA:JB,22,FALSE)</f>
        <v>0</v>
      </c>
      <c r="Y67" s="165">
        <f t="shared" si="8"/>
        <v>0</v>
      </c>
      <c r="Z67" s="44">
        <f t="shared" si="9"/>
        <v>0</v>
      </c>
      <c r="AA67" s="125">
        <f>VLOOKUP(C67,'Talente &amp; Stuff'!IA:JB,25,FALSE)</f>
        <v>0</v>
      </c>
      <c r="AB67" s="160">
        <f>VLOOKUP(C67,'Talente &amp; Stuff'!IA:JB,26,FALSE)</f>
        <v>0</v>
      </c>
      <c r="AC67" s="127">
        <f>VLOOKUP(C67,'Talente &amp; Stuff'!IA:JB,27,FALSE)</f>
        <v>0</v>
      </c>
      <c r="AD67" s="125">
        <f>VLOOKUP(C67,'Talente &amp; Stuff'!IA:JB,28,FALSE)</f>
        <v>0</v>
      </c>
      <c r="AE67" s="28"/>
    </row>
    <row r="68" spans="1:31" ht="15" hidden="1" customHeight="1" outlineLevel="2">
      <c r="B68" s="148">
        <v>12</v>
      </c>
      <c r="C68" s="177" t="str">
        <f>Attribute!C68</f>
        <v>---</v>
      </c>
      <c r="D68" s="127" t="str">
        <f>VLOOKUP(C68,'Talente &amp; Stuff'!IA:JB,2,FALSE)</f>
        <v>--/--/--</v>
      </c>
      <c r="E68" s="125" t="str">
        <f>VLOOKUP(C68,'Talente &amp; Stuff'!IA:JB,3,FALSE)</f>
        <v>-</v>
      </c>
      <c r="F68" s="114">
        <f>VLOOKUP(C68,'Talente &amp; Stuff'!IA:JB,4,FALSE)</f>
        <v>0</v>
      </c>
      <c r="G68" s="113">
        <f>VLOOKUP(C68,'Talente &amp; Stuff'!IA:JB,5,FALSE)</f>
        <v>0</v>
      </c>
      <c r="H68" s="113">
        <f>VLOOKUP(C68,'Talente &amp; Stuff'!IA:JB,6,FALSE)</f>
        <v>0</v>
      </c>
      <c r="I68" s="113">
        <f>VLOOKUP(C68,'Talente &amp; Stuff'!IA:JB,7,FALSE)</f>
        <v>0</v>
      </c>
      <c r="J68" s="113">
        <f>VLOOKUP(C68,'Talente &amp; Stuff'!IA:JB,8,FALSE)</f>
        <v>0</v>
      </c>
      <c r="K68" s="113">
        <f>VLOOKUP(C68,'Talente &amp; Stuff'!IA:JB,9,FALSE)</f>
        <v>0</v>
      </c>
      <c r="L68" s="113">
        <f>VLOOKUP(C68,'Talente &amp; Stuff'!IA:JB,10,FALSE)</f>
        <v>0</v>
      </c>
      <c r="M68" s="119">
        <f>VLOOKUP(C68,'Talente &amp; Stuff'!IA:JB,11,FALSE)</f>
        <v>0</v>
      </c>
      <c r="N68" s="89">
        <f>VLOOKUP(C68,'Talente &amp; Stuff'!IA:JB,12,FALSE)</f>
        <v>0</v>
      </c>
      <c r="O68" s="47">
        <f>VLOOKUP(C68,'Talente &amp; Stuff'!IA:JB,13,FALSE)</f>
        <v>0</v>
      </c>
      <c r="P68" s="119">
        <f>VLOOKUP(C68,'Talente &amp; Stuff'!IA:JB,14,FALSE)</f>
        <v>0</v>
      </c>
      <c r="Q68" s="114">
        <f>VLOOKUP(C68,'Talente &amp; Stuff'!IA:JB,15,FALSE)</f>
        <v>0</v>
      </c>
      <c r="R68" s="113">
        <f>VLOOKUP(C68,'Talente &amp; Stuff'!IA:JB,16,FALSE)</f>
        <v>0</v>
      </c>
      <c r="S68" s="119">
        <f>VLOOKUP(C68,'Talente &amp; Stuff'!IA:JB,17,FALSE)</f>
        <v>0</v>
      </c>
      <c r="T68" s="160">
        <f>VLOOKUP(C68,'Talente &amp; Stuff'!IA:JB,18,FALSE)</f>
        <v>0</v>
      </c>
      <c r="U68" s="89">
        <f>VLOOKUP(C68,'Talente &amp; Stuff'!IA:JB,19,FALSE)</f>
        <v>0</v>
      </c>
      <c r="V68" s="47">
        <f>VLOOKUP(C68,'Talente &amp; Stuff'!IA:JB,20,FALSE)</f>
        <v>0</v>
      </c>
      <c r="W68" s="127">
        <f>VLOOKUP(C68,'Talente &amp; Stuff'!IA:JB,21,FALSE)</f>
        <v>0</v>
      </c>
      <c r="X68" s="125">
        <f>VLOOKUP(C68,'Talente &amp; Stuff'!IA:JB,22,FALSE)</f>
        <v>0</v>
      </c>
      <c r="Y68" s="165">
        <f t="shared" si="8"/>
        <v>0</v>
      </c>
      <c r="Z68" s="44">
        <f t="shared" si="9"/>
        <v>0</v>
      </c>
      <c r="AA68" s="125">
        <f>VLOOKUP(C68,'Talente &amp; Stuff'!IA:JB,25,FALSE)</f>
        <v>0</v>
      </c>
      <c r="AB68" s="160">
        <f>VLOOKUP(C68,'Talente &amp; Stuff'!IA:JB,26,FALSE)</f>
        <v>0</v>
      </c>
      <c r="AC68" s="127">
        <f>VLOOKUP(C68,'Talente &amp; Stuff'!IA:JB,27,FALSE)</f>
        <v>0</v>
      </c>
      <c r="AD68" s="125">
        <f>VLOOKUP(C68,'Talente &amp; Stuff'!IA:JB,28,FALSE)</f>
        <v>0</v>
      </c>
      <c r="AE68" s="28"/>
    </row>
    <row r="69" spans="1:31" ht="15" hidden="1" customHeight="1" outlineLevel="2">
      <c r="B69" s="148">
        <v>13</v>
      </c>
      <c r="C69" s="177" t="str">
        <f>Attribute!C69</f>
        <v>---</v>
      </c>
      <c r="D69" s="127" t="str">
        <f>VLOOKUP(C69,'Talente &amp; Stuff'!IA:JB,2,FALSE)</f>
        <v>--/--/--</v>
      </c>
      <c r="E69" s="125" t="str">
        <f>VLOOKUP(C69,'Talente &amp; Stuff'!IA:JB,3,FALSE)</f>
        <v>-</v>
      </c>
      <c r="F69" s="114">
        <f>VLOOKUP(C69,'Talente &amp; Stuff'!IA:JB,4,FALSE)</f>
        <v>0</v>
      </c>
      <c r="G69" s="113">
        <f>VLOOKUP(C69,'Talente &amp; Stuff'!IA:JB,5,FALSE)</f>
        <v>0</v>
      </c>
      <c r="H69" s="113">
        <f>VLOOKUP(C69,'Talente &amp; Stuff'!IA:JB,6,FALSE)</f>
        <v>0</v>
      </c>
      <c r="I69" s="113">
        <f>VLOOKUP(C69,'Talente &amp; Stuff'!IA:JB,7,FALSE)</f>
        <v>0</v>
      </c>
      <c r="J69" s="113">
        <f>VLOOKUP(C69,'Talente &amp; Stuff'!IA:JB,8,FALSE)</f>
        <v>0</v>
      </c>
      <c r="K69" s="113">
        <f>VLOOKUP(C69,'Talente &amp; Stuff'!IA:JB,9,FALSE)</f>
        <v>0</v>
      </c>
      <c r="L69" s="113">
        <f>VLOOKUP(C69,'Talente &amp; Stuff'!IA:JB,10,FALSE)</f>
        <v>0</v>
      </c>
      <c r="M69" s="119">
        <f>VLOOKUP(C69,'Talente &amp; Stuff'!IA:JB,11,FALSE)</f>
        <v>0</v>
      </c>
      <c r="N69" s="89">
        <f>VLOOKUP(C69,'Talente &amp; Stuff'!IA:JB,12,FALSE)</f>
        <v>0</v>
      </c>
      <c r="O69" s="47">
        <f>VLOOKUP(C69,'Talente &amp; Stuff'!IA:JB,13,FALSE)</f>
        <v>0</v>
      </c>
      <c r="P69" s="119">
        <f>VLOOKUP(C69,'Talente &amp; Stuff'!IA:JB,14,FALSE)</f>
        <v>0</v>
      </c>
      <c r="Q69" s="114">
        <f>VLOOKUP(C69,'Talente &amp; Stuff'!IA:JB,15,FALSE)</f>
        <v>0</v>
      </c>
      <c r="R69" s="113">
        <f>VLOOKUP(C69,'Talente &amp; Stuff'!IA:JB,16,FALSE)</f>
        <v>0</v>
      </c>
      <c r="S69" s="119">
        <f>VLOOKUP(C69,'Talente &amp; Stuff'!IA:JB,17,FALSE)</f>
        <v>0</v>
      </c>
      <c r="T69" s="160">
        <f>VLOOKUP(C69,'Talente &amp; Stuff'!IA:JB,18,FALSE)</f>
        <v>0</v>
      </c>
      <c r="U69" s="89">
        <f>VLOOKUP(C69,'Talente &amp; Stuff'!IA:JB,19,FALSE)</f>
        <v>0</v>
      </c>
      <c r="V69" s="47">
        <f>VLOOKUP(C69,'Talente &amp; Stuff'!IA:JB,20,FALSE)</f>
        <v>0</v>
      </c>
      <c r="W69" s="127">
        <f>VLOOKUP(C69,'Talente &amp; Stuff'!IA:JB,21,FALSE)</f>
        <v>0</v>
      </c>
      <c r="X69" s="125">
        <f>VLOOKUP(C69,'Talente &amp; Stuff'!IA:JB,22,FALSE)</f>
        <v>0</v>
      </c>
      <c r="Y69" s="165">
        <f t="shared" si="8"/>
        <v>0</v>
      </c>
      <c r="Z69" s="44">
        <f t="shared" si="9"/>
        <v>0</v>
      </c>
      <c r="AA69" s="125">
        <f>VLOOKUP(C69,'Talente &amp; Stuff'!IA:JB,25,FALSE)</f>
        <v>0</v>
      </c>
      <c r="AB69" s="160">
        <f>VLOOKUP(C69,'Talente &amp; Stuff'!IA:JB,26,FALSE)</f>
        <v>0</v>
      </c>
      <c r="AC69" s="127">
        <f>VLOOKUP(C69,'Talente &amp; Stuff'!IA:JB,27,FALSE)</f>
        <v>0</v>
      </c>
      <c r="AD69" s="125">
        <f>VLOOKUP(C69,'Talente &amp; Stuff'!IA:JB,28,FALSE)</f>
        <v>0</v>
      </c>
      <c r="AE69" s="28"/>
    </row>
    <row r="70" spans="1:31" ht="15" hidden="1" customHeight="1" outlineLevel="2">
      <c r="B70" s="148">
        <v>14</v>
      </c>
      <c r="C70" s="177" t="str">
        <f>Attribute!C70</f>
        <v>---</v>
      </c>
      <c r="D70" s="127" t="str">
        <f>VLOOKUP(C70,'Talente &amp; Stuff'!IA:JB,2,FALSE)</f>
        <v>--/--/--</v>
      </c>
      <c r="E70" s="125" t="str">
        <f>VLOOKUP(C70,'Talente &amp; Stuff'!IA:JB,3,FALSE)</f>
        <v>-</v>
      </c>
      <c r="F70" s="114">
        <f>VLOOKUP(C70,'Talente &amp; Stuff'!IA:JB,4,FALSE)</f>
        <v>0</v>
      </c>
      <c r="G70" s="113">
        <f>VLOOKUP(C70,'Talente &amp; Stuff'!IA:JB,5,FALSE)</f>
        <v>0</v>
      </c>
      <c r="H70" s="113">
        <f>VLOOKUP(C70,'Talente &amp; Stuff'!IA:JB,6,FALSE)</f>
        <v>0</v>
      </c>
      <c r="I70" s="113">
        <f>VLOOKUP(C70,'Talente &amp; Stuff'!IA:JB,7,FALSE)</f>
        <v>0</v>
      </c>
      <c r="J70" s="113">
        <f>VLOOKUP(C70,'Talente &amp; Stuff'!IA:JB,8,FALSE)</f>
        <v>0</v>
      </c>
      <c r="K70" s="113">
        <f>VLOOKUP(C70,'Talente &amp; Stuff'!IA:JB,9,FALSE)</f>
        <v>0</v>
      </c>
      <c r="L70" s="113">
        <f>VLOOKUP(C70,'Talente &amp; Stuff'!IA:JB,10,FALSE)</f>
        <v>0</v>
      </c>
      <c r="M70" s="119">
        <f>VLOOKUP(C70,'Talente &amp; Stuff'!IA:JB,11,FALSE)</f>
        <v>0</v>
      </c>
      <c r="N70" s="89">
        <f>VLOOKUP(C70,'Talente &amp; Stuff'!IA:JB,12,FALSE)</f>
        <v>0</v>
      </c>
      <c r="O70" s="47">
        <f>VLOOKUP(C70,'Talente &amp; Stuff'!IA:JB,13,FALSE)</f>
        <v>0</v>
      </c>
      <c r="P70" s="119">
        <f>VLOOKUP(C70,'Talente &amp; Stuff'!IA:JB,14,FALSE)</f>
        <v>0</v>
      </c>
      <c r="Q70" s="114">
        <f>VLOOKUP(C70,'Talente &amp; Stuff'!IA:JB,15,FALSE)</f>
        <v>0</v>
      </c>
      <c r="R70" s="113">
        <f>VLOOKUP(C70,'Talente &amp; Stuff'!IA:JB,16,FALSE)</f>
        <v>0</v>
      </c>
      <c r="S70" s="119">
        <f>VLOOKUP(C70,'Talente &amp; Stuff'!IA:JB,17,FALSE)</f>
        <v>0</v>
      </c>
      <c r="T70" s="160">
        <f>VLOOKUP(C70,'Talente &amp; Stuff'!IA:JB,18,FALSE)</f>
        <v>0</v>
      </c>
      <c r="U70" s="89">
        <f>VLOOKUP(C70,'Talente &amp; Stuff'!IA:JB,19,FALSE)</f>
        <v>0</v>
      </c>
      <c r="V70" s="47">
        <f>VLOOKUP(C70,'Talente &amp; Stuff'!IA:JB,20,FALSE)</f>
        <v>0</v>
      </c>
      <c r="W70" s="127">
        <f>VLOOKUP(C70,'Talente &amp; Stuff'!IA:JB,21,FALSE)</f>
        <v>0</v>
      </c>
      <c r="X70" s="125">
        <f>VLOOKUP(C70,'Talente &amp; Stuff'!IA:JB,22,FALSE)</f>
        <v>0</v>
      </c>
      <c r="Y70" s="165">
        <f t="shared" si="8"/>
        <v>0</v>
      </c>
      <c r="Z70" s="44">
        <f t="shared" si="9"/>
        <v>0</v>
      </c>
      <c r="AA70" s="125">
        <f>VLOOKUP(C70,'Talente &amp; Stuff'!IA:JB,25,FALSE)</f>
        <v>0</v>
      </c>
      <c r="AB70" s="160">
        <f>VLOOKUP(C70,'Talente &amp; Stuff'!IA:JB,26,FALSE)</f>
        <v>0</v>
      </c>
      <c r="AC70" s="127">
        <f>VLOOKUP(C70,'Talente &amp; Stuff'!IA:JB,27,FALSE)</f>
        <v>0</v>
      </c>
      <c r="AD70" s="125">
        <f>VLOOKUP(C70,'Talente &amp; Stuff'!IA:JB,28,FALSE)</f>
        <v>0</v>
      </c>
      <c r="AE70" s="28"/>
    </row>
    <row r="71" spans="1:31" ht="15" hidden="1" customHeight="1" outlineLevel="2">
      <c r="B71" s="148">
        <v>15</v>
      </c>
      <c r="C71" s="177" t="str">
        <f>Attribute!C71</f>
        <v>---</v>
      </c>
      <c r="D71" s="127" t="str">
        <f>VLOOKUP(C71,'Talente &amp; Stuff'!IA:JB,2,FALSE)</f>
        <v>--/--/--</v>
      </c>
      <c r="E71" s="125" t="str">
        <f>VLOOKUP(C71,'Talente &amp; Stuff'!IA:JB,3,FALSE)</f>
        <v>-</v>
      </c>
      <c r="F71" s="114">
        <f>VLOOKUP(C71,'Talente &amp; Stuff'!IA:JB,4,FALSE)</f>
        <v>0</v>
      </c>
      <c r="G71" s="113">
        <f>VLOOKUP(C71,'Talente &amp; Stuff'!IA:JB,5,FALSE)</f>
        <v>0</v>
      </c>
      <c r="H71" s="113">
        <f>VLOOKUP(C71,'Talente &amp; Stuff'!IA:JB,6,FALSE)</f>
        <v>0</v>
      </c>
      <c r="I71" s="113">
        <f>VLOOKUP(C71,'Talente &amp; Stuff'!IA:JB,7,FALSE)</f>
        <v>0</v>
      </c>
      <c r="J71" s="113">
        <f>VLOOKUP(C71,'Talente &amp; Stuff'!IA:JB,8,FALSE)</f>
        <v>0</v>
      </c>
      <c r="K71" s="113">
        <f>VLOOKUP(C71,'Talente &amp; Stuff'!IA:JB,9,FALSE)</f>
        <v>0</v>
      </c>
      <c r="L71" s="113">
        <f>VLOOKUP(C71,'Talente &amp; Stuff'!IA:JB,10,FALSE)</f>
        <v>0</v>
      </c>
      <c r="M71" s="119">
        <f>VLOOKUP(C71,'Talente &amp; Stuff'!IA:JB,11,FALSE)</f>
        <v>0</v>
      </c>
      <c r="N71" s="89">
        <f>VLOOKUP(C71,'Talente &amp; Stuff'!IA:JB,12,FALSE)</f>
        <v>0</v>
      </c>
      <c r="O71" s="47">
        <f>VLOOKUP(C71,'Talente &amp; Stuff'!IA:JB,13,FALSE)</f>
        <v>0</v>
      </c>
      <c r="P71" s="119">
        <f>VLOOKUP(C71,'Talente &amp; Stuff'!IA:JB,14,FALSE)</f>
        <v>0</v>
      </c>
      <c r="Q71" s="114">
        <f>VLOOKUP(C71,'Talente &amp; Stuff'!IA:JB,15,FALSE)</f>
        <v>0</v>
      </c>
      <c r="R71" s="113">
        <f>VLOOKUP(C71,'Talente &amp; Stuff'!IA:JB,16,FALSE)</f>
        <v>0</v>
      </c>
      <c r="S71" s="119">
        <f>VLOOKUP(C71,'Talente &amp; Stuff'!IA:JB,17,FALSE)</f>
        <v>0</v>
      </c>
      <c r="T71" s="160">
        <f>VLOOKUP(C71,'Talente &amp; Stuff'!IA:JB,18,FALSE)</f>
        <v>0</v>
      </c>
      <c r="U71" s="89">
        <f>VLOOKUP(C71,'Talente &amp; Stuff'!IA:JB,19,FALSE)</f>
        <v>0</v>
      </c>
      <c r="V71" s="47">
        <f>VLOOKUP(C71,'Talente &amp; Stuff'!IA:JB,20,FALSE)</f>
        <v>0</v>
      </c>
      <c r="W71" s="127">
        <f>VLOOKUP(C71,'Talente &amp; Stuff'!IA:JB,21,FALSE)</f>
        <v>0</v>
      </c>
      <c r="X71" s="125">
        <f>VLOOKUP(C71,'Talente &amp; Stuff'!IA:JB,22,FALSE)</f>
        <v>0</v>
      </c>
      <c r="Y71" s="165">
        <f t="shared" si="8"/>
        <v>0</v>
      </c>
      <c r="Z71" s="44">
        <f t="shared" si="9"/>
        <v>0</v>
      </c>
      <c r="AA71" s="125">
        <f>VLOOKUP(C71,'Talente &amp; Stuff'!IA:JB,25,FALSE)</f>
        <v>0</v>
      </c>
      <c r="AB71" s="160">
        <f>VLOOKUP(C71,'Talente &amp; Stuff'!IA:JB,26,FALSE)</f>
        <v>0</v>
      </c>
      <c r="AC71" s="127">
        <f>VLOOKUP(C71,'Talente &amp; Stuff'!IA:JB,27,FALSE)</f>
        <v>0</v>
      </c>
      <c r="AD71" s="125">
        <f>VLOOKUP(C71,'Talente &amp; Stuff'!IA:JB,28,FALSE)</f>
        <v>0</v>
      </c>
      <c r="AE71" s="28"/>
    </row>
    <row r="72" spans="1:31" ht="15" hidden="1" customHeight="1" outlineLevel="2">
      <c r="B72" s="148">
        <v>16</v>
      </c>
      <c r="C72" s="177" t="str">
        <f>Attribute!C72</f>
        <v>---</v>
      </c>
      <c r="D72" s="127" t="str">
        <f>VLOOKUP(C72,'Talente &amp; Stuff'!IA:JB,2,FALSE)</f>
        <v>--/--/--</v>
      </c>
      <c r="E72" s="125" t="str">
        <f>VLOOKUP(C72,'Talente &amp; Stuff'!IA:JB,3,FALSE)</f>
        <v>-</v>
      </c>
      <c r="F72" s="114">
        <f>VLOOKUP(C72,'Talente &amp; Stuff'!IA:JB,4,FALSE)</f>
        <v>0</v>
      </c>
      <c r="G72" s="113">
        <f>VLOOKUP(C72,'Talente &amp; Stuff'!IA:JB,5,FALSE)</f>
        <v>0</v>
      </c>
      <c r="H72" s="113">
        <f>VLOOKUP(C72,'Talente &amp; Stuff'!IA:JB,6,FALSE)</f>
        <v>0</v>
      </c>
      <c r="I72" s="113">
        <f>VLOOKUP(C72,'Talente &amp; Stuff'!IA:JB,7,FALSE)</f>
        <v>0</v>
      </c>
      <c r="J72" s="113">
        <f>VLOOKUP(C72,'Talente &amp; Stuff'!IA:JB,8,FALSE)</f>
        <v>0</v>
      </c>
      <c r="K72" s="113">
        <f>VLOOKUP(C72,'Talente &amp; Stuff'!IA:JB,9,FALSE)</f>
        <v>0</v>
      </c>
      <c r="L72" s="113">
        <f>VLOOKUP(C72,'Talente &amp; Stuff'!IA:JB,10,FALSE)</f>
        <v>0</v>
      </c>
      <c r="M72" s="119">
        <f>VLOOKUP(C72,'Talente &amp; Stuff'!IA:JB,11,FALSE)</f>
        <v>0</v>
      </c>
      <c r="N72" s="89">
        <f>VLOOKUP(C72,'Talente &amp; Stuff'!IA:JB,12,FALSE)</f>
        <v>0</v>
      </c>
      <c r="O72" s="47">
        <f>VLOOKUP(C72,'Talente &amp; Stuff'!IA:JB,13,FALSE)</f>
        <v>0</v>
      </c>
      <c r="P72" s="119">
        <f>VLOOKUP(C72,'Talente &amp; Stuff'!IA:JB,14,FALSE)</f>
        <v>0</v>
      </c>
      <c r="Q72" s="114">
        <f>VLOOKUP(C72,'Talente &amp; Stuff'!IA:JB,15,FALSE)</f>
        <v>0</v>
      </c>
      <c r="R72" s="113">
        <f>VLOOKUP(C72,'Talente &amp; Stuff'!IA:JB,16,FALSE)</f>
        <v>0</v>
      </c>
      <c r="S72" s="119">
        <f>VLOOKUP(C72,'Talente &amp; Stuff'!IA:JB,17,FALSE)</f>
        <v>0</v>
      </c>
      <c r="T72" s="160">
        <f>VLOOKUP(C72,'Talente &amp; Stuff'!IA:JB,18,FALSE)</f>
        <v>0</v>
      </c>
      <c r="U72" s="89">
        <f>VLOOKUP(C72,'Talente &amp; Stuff'!IA:JB,19,FALSE)</f>
        <v>0</v>
      </c>
      <c r="V72" s="47">
        <f>VLOOKUP(C72,'Talente &amp; Stuff'!IA:JB,20,FALSE)</f>
        <v>0</v>
      </c>
      <c r="W72" s="127">
        <f>VLOOKUP(C72,'Talente &amp; Stuff'!IA:JB,21,FALSE)</f>
        <v>0</v>
      </c>
      <c r="X72" s="125">
        <f>VLOOKUP(C72,'Talente &amp; Stuff'!IA:JB,22,FALSE)</f>
        <v>0</v>
      </c>
      <c r="Y72" s="165">
        <f t="shared" si="8"/>
        <v>0</v>
      </c>
      <c r="Z72" s="44">
        <f t="shared" si="9"/>
        <v>0</v>
      </c>
      <c r="AA72" s="125">
        <f>VLOOKUP(C72,'Talente &amp; Stuff'!IA:JB,25,FALSE)</f>
        <v>0</v>
      </c>
      <c r="AB72" s="160">
        <f>VLOOKUP(C72,'Talente &amp; Stuff'!IA:JB,26,FALSE)</f>
        <v>0</v>
      </c>
      <c r="AC72" s="127">
        <f>VLOOKUP(C72,'Talente &amp; Stuff'!IA:JB,27,FALSE)</f>
        <v>0</v>
      </c>
      <c r="AD72" s="125">
        <f>VLOOKUP(C72,'Talente &amp; Stuff'!IA:JB,28,FALSE)</f>
        <v>0</v>
      </c>
      <c r="AE72" s="28"/>
    </row>
    <row r="73" spans="1:31" ht="15" hidden="1" customHeight="1" outlineLevel="2">
      <c r="B73" s="148">
        <v>17</v>
      </c>
      <c r="C73" s="178" t="str">
        <f>Attribute!C73</f>
        <v>---</v>
      </c>
      <c r="D73" s="128" t="str">
        <f>VLOOKUP(C73,'Talente &amp; Stuff'!IA:JB,2,FALSE)</f>
        <v>--/--/--</v>
      </c>
      <c r="E73" s="159" t="str">
        <f>VLOOKUP(C73,'Talente &amp; Stuff'!IA:JB,3,FALSE)</f>
        <v>-</v>
      </c>
      <c r="F73" s="115">
        <f>VLOOKUP(C73,'Talente &amp; Stuff'!IA:JB,4,FALSE)</f>
        <v>0</v>
      </c>
      <c r="G73" s="122">
        <f>VLOOKUP(C73,'Talente &amp; Stuff'!IA:JB,5,FALSE)</f>
        <v>0</v>
      </c>
      <c r="H73" s="122">
        <f>VLOOKUP(C73,'Talente &amp; Stuff'!IA:JB,6,FALSE)</f>
        <v>0</v>
      </c>
      <c r="I73" s="122">
        <f>VLOOKUP(C73,'Talente &amp; Stuff'!IA:JB,7,FALSE)</f>
        <v>0</v>
      </c>
      <c r="J73" s="122">
        <f>VLOOKUP(C73,'Talente &amp; Stuff'!IA:JB,8,FALSE)</f>
        <v>0</v>
      </c>
      <c r="K73" s="122">
        <f>VLOOKUP(C73,'Talente &amp; Stuff'!IA:JB,9,FALSE)</f>
        <v>0</v>
      </c>
      <c r="L73" s="122">
        <f>VLOOKUP(C73,'Talente &amp; Stuff'!IA:JB,10,FALSE)</f>
        <v>0</v>
      </c>
      <c r="M73" s="123">
        <f>VLOOKUP(C73,'Talente &amp; Stuff'!IA:JB,11,FALSE)</f>
        <v>0</v>
      </c>
      <c r="N73" s="90">
        <f>VLOOKUP(C73,'Talente &amp; Stuff'!IA:JB,12,FALSE)</f>
        <v>0</v>
      </c>
      <c r="O73" s="88">
        <f>VLOOKUP(C73,'Talente &amp; Stuff'!IA:JB,13,FALSE)</f>
        <v>0</v>
      </c>
      <c r="P73" s="123">
        <f>VLOOKUP(C73,'Talente &amp; Stuff'!IA:JB,14,FALSE)</f>
        <v>0</v>
      </c>
      <c r="Q73" s="115">
        <f>VLOOKUP(C73,'Talente &amp; Stuff'!IA:JB,15,FALSE)</f>
        <v>0</v>
      </c>
      <c r="R73" s="122">
        <f>VLOOKUP(C73,'Talente &amp; Stuff'!IA:JB,16,FALSE)</f>
        <v>0</v>
      </c>
      <c r="S73" s="123">
        <f>VLOOKUP(C73,'Talente &amp; Stuff'!IA:JB,17,FALSE)</f>
        <v>0</v>
      </c>
      <c r="T73" s="161">
        <f>VLOOKUP(C73,'Talente &amp; Stuff'!IA:JB,18,FALSE)</f>
        <v>0</v>
      </c>
      <c r="U73" s="90">
        <f>VLOOKUP(C73,'Talente &amp; Stuff'!IA:JB,19,FALSE)</f>
        <v>0</v>
      </c>
      <c r="V73" s="88">
        <f>VLOOKUP(C73,'Talente &amp; Stuff'!IA:JB,20,FALSE)</f>
        <v>0</v>
      </c>
      <c r="W73" s="128">
        <f>VLOOKUP(C73,'Talente &amp; Stuff'!IA:JB,21,FALSE)</f>
        <v>0</v>
      </c>
      <c r="X73" s="159">
        <f>VLOOKUP(C73,'Talente &amp; Stuff'!IA:JB,22,FALSE)</f>
        <v>0</v>
      </c>
      <c r="Y73" s="165">
        <f t="shared" si="8"/>
        <v>0</v>
      </c>
      <c r="Z73" s="44">
        <f t="shared" si="9"/>
        <v>0</v>
      </c>
      <c r="AA73" s="159">
        <f>VLOOKUP(C73,'Talente &amp; Stuff'!IA:JB,25,FALSE)</f>
        <v>0</v>
      </c>
      <c r="AB73" s="161">
        <f>VLOOKUP(C73,'Talente &amp; Stuff'!IA:JB,26,FALSE)</f>
        <v>0</v>
      </c>
      <c r="AC73" s="128">
        <f>VLOOKUP(C73,'Talente &amp; Stuff'!IA:JB,27,FALSE)</f>
        <v>0</v>
      </c>
      <c r="AD73" s="159">
        <f>VLOOKUP(C73,'Talente &amp; Stuff'!IA:JB,28,FALSE)</f>
        <v>0</v>
      </c>
      <c r="AE73" s="28"/>
    </row>
    <row r="74" spans="1:31" ht="15" hidden="1" customHeight="1" outlineLevel="1" collapsed="1"/>
    <row r="75" spans="1:31" ht="15.75" collapsed="1" thickBot="1"/>
    <row r="76" spans="1:31" ht="15.75" thickBot="1">
      <c r="A76" s="135" t="s">
        <v>332</v>
      </c>
    </row>
    <row r="77" spans="1:31" ht="15" hidden="1" customHeight="1" outlineLevel="1">
      <c r="B77" s="134" t="s">
        <v>327</v>
      </c>
      <c r="C77" s="142"/>
    </row>
    <row r="78" spans="1:31" ht="15" hidden="1" customHeight="1" outlineLevel="2">
      <c r="B78" s="148">
        <v>1</v>
      </c>
      <c r="C78" s="176" t="str">
        <f>Attribute!C78</f>
        <v>---</v>
      </c>
      <c r="D78" s="158" t="str">
        <f>VLOOKUP(C78,'Talente &amp; Stuff'!IA:JB,2,FALSE)</f>
        <v>--/--/--</v>
      </c>
      <c r="E78" s="126" t="str">
        <f>VLOOKUP(C78,'Talente &amp; Stuff'!IA:JB,3,FALSE)</f>
        <v>-</v>
      </c>
      <c r="F78" s="191">
        <f>VLOOKUP(C78,'Talente &amp; Stuff'!IA:JB,4,FALSE)</f>
        <v>0</v>
      </c>
      <c r="G78" s="118">
        <f>VLOOKUP(C78,'Talente &amp; Stuff'!IA:JB,5,FALSE)</f>
        <v>0</v>
      </c>
      <c r="H78" s="118">
        <f>VLOOKUP(C78,'Talente &amp; Stuff'!IA:JB,6,FALSE)</f>
        <v>0</v>
      </c>
      <c r="I78" s="118">
        <f>VLOOKUP(C78,'Talente &amp; Stuff'!IA:JB,7,FALSE)</f>
        <v>0</v>
      </c>
      <c r="J78" s="118">
        <f>VLOOKUP(C78,'Talente &amp; Stuff'!IA:JB,8,FALSE)</f>
        <v>0</v>
      </c>
      <c r="K78" s="118">
        <f>VLOOKUP(C78,'Talente &amp; Stuff'!IA:JB,9,FALSE)</f>
        <v>0</v>
      </c>
      <c r="L78" s="118">
        <f>VLOOKUP(C78,'Talente &amp; Stuff'!IA:JB,10,FALSE)</f>
        <v>0</v>
      </c>
      <c r="M78" s="92">
        <f>VLOOKUP(C78,'Talente &amp; Stuff'!IA:JB,11,FALSE)</f>
        <v>0</v>
      </c>
      <c r="N78" s="116">
        <f>VLOOKUP(C78,'Talente &amp; Stuff'!IA:JB,12,FALSE)</f>
        <v>0</v>
      </c>
      <c r="O78" s="116">
        <f>VLOOKUP(C78,'Talente &amp; Stuff'!IA:JB,13,FALSE)</f>
        <v>0</v>
      </c>
      <c r="P78" s="92">
        <f>VLOOKUP(C78,'Talente &amp; Stuff'!IA:JB,14,FALSE)</f>
        <v>0</v>
      </c>
      <c r="Q78" s="191">
        <f>VLOOKUP(C78,'Talente &amp; Stuff'!IA:JB,15,FALSE)</f>
        <v>0</v>
      </c>
      <c r="R78" s="118">
        <f>VLOOKUP(C78,'Talente &amp; Stuff'!IA:JB,16,FALSE)</f>
        <v>0</v>
      </c>
      <c r="S78" s="92">
        <f>VLOOKUP(C78,'Talente &amp; Stuff'!IA:JB,17,FALSE)</f>
        <v>0</v>
      </c>
      <c r="T78" s="92">
        <f>VLOOKUP(C78,'Talente &amp; Stuff'!IA:JB,18,FALSE)</f>
        <v>0</v>
      </c>
      <c r="U78" s="193">
        <f>VLOOKUP(C78,'Talente &amp; Stuff'!IA:JB,19,FALSE)</f>
        <v>0</v>
      </c>
      <c r="V78" s="116">
        <f>VLOOKUP(C78,'Talente &amp; Stuff'!IA:JB,20,FALSE)</f>
        <v>0</v>
      </c>
      <c r="W78" s="126">
        <f>VLOOKUP(C78,'Talente &amp; Stuff'!IA:JB,21,FALSE)</f>
        <v>0</v>
      </c>
      <c r="X78" s="126">
        <f>VLOOKUP(C78,'Talente &amp; Stuff'!IA:JB,22,FALSE)</f>
        <v>0</v>
      </c>
      <c r="Y78" s="165">
        <f t="shared" ref="Y78:Y98" si="10">VLOOKUP(C78,Ausgewählte_Zauber_Allgemein,255,FALSE)</f>
        <v>0</v>
      </c>
      <c r="Z78" s="44">
        <f t="shared" ref="Z78:Z98" si="11">VLOOKUP(C78,Ausgewählte_Zauber_Allgemein,256,FALSE)</f>
        <v>0</v>
      </c>
      <c r="AA78" s="158">
        <f>VLOOKUP(C78,'Talente &amp; Stuff'!IA:JB,25,FALSE)</f>
        <v>0</v>
      </c>
      <c r="AB78" s="91">
        <f>VLOOKUP(C78,'Talente &amp; Stuff'!IA:JB,26,FALSE)</f>
        <v>0</v>
      </c>
      <c r="AC78" s="126">
        <f>VLOOKUP(C78,'Talente &amp; Stuff'!IA:JB,27,FALSE)</f>
        <v>0</v>
      </c>
      <c r="AD78" s="158">
        <f>VLOOKUP(C78,'Talente &amp; Stuff'!IA:JB,28,FALSE)</f>
        <v>0</v>
      </c>
      <c r="AE78" s="28"/>
    </row>
    <row r="79" spans="1:31" ht="15" hidden="1" customHeight="1" outlineLevel="2">
      <c r="B79" s="148">
        <v>2</v>
      </c>
      <c r="C79" s="177" t="str">
        <f>Attribute!C79</f>
        <v>---</v>
      </c>
      <c r="D79" s="125" t="str">
        <f>VLOOKUP(C79,'Talente &amp; Stuff'!IA:JB,2,FALSE)</f>
        <v>--/--/--</v>
      </c>
      <c r="E79" s="127" t="str">
        <f>VLOOKUP(C79,'Talente &amp; Stuff'!IA:JB,3,FALSE)</f>
        <v>-</v>
      </c>
      <c r="F79" s="114">
        <f>VLOOKUP(C79,'Talente &amp; Stuff'!IA:JB,4,FALSE)</f>
        <v>0</v>
      </c>
      <c r="G79" s="113">
        <f>VLOOKUP(C79,'Talente &amp; Stuff'!IA:JB,5,FALSE)</f>
        <v>0</v>
      </c>
      <c r="H79" s="113">
        <f>VLOOKUP(C79,'Talente &amp; Stuff'!IA:JB,6,FALSE)</f>
        <v>0</v>
      </c>
      <c r="I79" s="113">
        <f>VLOOKUP(C79,'Talente &amp; Stuff'!IA:JB,7,FALSE)</f>
        <v>0</v>
      </c>
      <c r="J79" s="113">
        <f>VLOOKUP(C79,'Talente &amp; Stuff'!IA:JB,8,FALSE)</f>
        <v>0</v>
      </c>
      <c r="K79" s="113">
        <f>VLOOKUP(C79,'Talente &amp; Stuff'!IA:JB,9,FALSE)</f>
        <v>0</v>
      </c>
      <c r="L79" s="113">
        <f>VLOOKUP(C79,'Talente &amp; Stuff'!IA:JB,10,FALSE)</f>
        <v>0</v>
      </c>
      <c r="M79" s="119">
        <f>VLOOKUP(C79,'Talente &amp; Stuff'!IA:JB,11,FALSE)</f>
        <v>0</v>
      </c>
      <c r="N79" s="89">
        <f>VLOOKUP(C79,'Talente &amp; Stuff'!IA:JB,12,FALSE)</f>
        <v>0</v>
      </c>
      <c r="O79" s="47">
        <f>VLOOKUP(C79,'Talente &amp; Stuff'!IA:JB,13,FALSE)</f>
        <v>0</v>
      </c>
      <c r="P79" s="119">
        <f>VLOOKUP(C79,'Talente &amp; Stuff'!IA:JB,14,FALSE)</f>
        <v>0</v>
      </c>
      <c r="Q79" s="114">
        <f>VLOOKUP(C79,'Talente &amp; Stuff'!IA:JB,15,FALSE)</f>
        <v>0</v>
      </c>
      <c r="R79" s="113">
        <f>VLOOKUP(C79,'Talente &amp; Stuff'!IA:JB,16,FALSE)</f>
        <v>0</v>
      </c>
      <c r="S79" s="119">
        <f>VLOOKUP(C79,'Talente &amp; Stuff'!IA:JB,17,FALSE)</f>
        <v>0</v>
      </c>
      <c r="T79" s="160">
        <f>VLOOKUP(C79,'Talente &amp; Stuff'!IA:JB,18,FALSE)</f>
        <v>0</v>
      </c>
      <c r="U79" s="89">
        <f>VLOOKUP(C79,'Talente &amp; Stuff'!IA:JB,19,FALSE)</f>
        <v>0</v>
      </c>
      <c r="V79" s="47">
        <f>VLOOKUP(C79,'Talente &amp; Stuff'!IA:JB,20,FALSE)</f>
        <v>0</v>
      </c>
      <c r="W79" s="127">
        <f>VLOOKUP(C79,'Talente &amp; Stuff'!IA:JB,21,FALSE)</f>
        <v>0</v>
      </c>
      <c r="X79" s="127">
        <f>VLOOKUP(C79,'Talente &amp; Stuff'!IA:JB,22,FALSE)</f>
        <v>0</v>
      </c>
      <c r="Y79" s="165">
        <f t="shared" si="10"/>
        <v>0</v>
      </c>
      <c r="Z79" s="44">
        <f t="shared" si="11"/>
        <v>0</v>
      </c>
      <c r="AA79" s="125">
        <f>VLOOKUP(C79,'Talente &amp; Stuff'!IA:JB,25,FALSE)</f>
        <v>0</v>
      </c>
      <c r="AB79" s="160">
        <f>VLOOKUP(C79,'Talente &amp; Stuff'!IA:JB,26,FALSE)</f>
        <v>0</v>
      </c>
      <c r="AC79" s="127">
        <f>VLOOKUP(C79,'Talente &amp; Stuff'!IA:JB,27,FALSE)</f>
        <v>0</v>
      </c>
      <c r="AD79" s="125">
        <f>VLOOKUP(C79,'Talente &amp; Stuff'!IA:JB,28,FALSE)</f>
        <v>0</v>
      </c>
      <c r="AE79" s="28"/>
    </row>
    <row r="80" spans="1:31" ht="15" hidden="1" customHeight="1" outlineLevel="2">
      <c r="B80" s="148">
        <v>3</v>
      </c>
      <c r="C80" s="177" t="str">
        <f>Attribute!C80</f>
        <v>---</v>
      </c>
      <c r="D80" s="125" t="str">
        <f>VLOOKUP(C80,'Talente &amp; Stuff'!IA:JB,2,FALSE)</f>
        <v>--/--/--</v>
      </c>
      <c r="E80" s="127" t="str">
        <f>VLOOKUP(C80,'Talente &amp; Stuff'!IA:JB,3,FALSE)</f>
        <v>-</v>
      </c>
      <c r="F80" s="114">
        <f>VLOOKUP(C80,'Talente &amp; Stuff'!IA:JB,4,FALSE)</f>
        <v>0</v>
      </c>
      <c r="G80" s="113">
        <f>VLOOKUP(C80,'Talente &amp; Stuff'!IA:JB,5,FALSE)</f>
        <v>0</v>
      </c>
      <c r="H80" s="113">
        <f>VLOOKUP(C80,'Talente &amp; Stuff'!IA:JB,6,FALSE)</f>
        <v>0</v>
      </c>
      <c r="I80" s="113">
        <f>VLOOKUP(C80,'Talente &amp; Stuff'!IA:JB,7,FALSE)</f>
        <v>0</v>
      </c>
      <c r="J80" s="113">
        <f>VLOOKUP(C80,'Talente &amp; Stuff'!IA:JB,8,FALSE)</f>
        <v>0</v>
      </c>
      <c r="K80" s="113">
        <f>VLOOKUP(C80,'Talente &amp; Stuff'!IA:JB,9,FALSE)</f>
        <v>0</v>
      </c>
      <c r="L80" s="113">
        <f>VLOOKUP(C80,'Talente &amp; Stuff'!IA:JB,10,FALSE)</f>
        <v>0</v>
      </c>
      <c r="M80" s="119">
        <f>VLOOKUP(C80,'Talente &amp; Stuff'!IA:JB,11,FALSE)</f>
        <v>0</v>
      </c>
      <c r="N80" s="89">
        <f>VLOOKUP(C80,'Talente &amp; Stuff'!IA:JB,12,FALSE)</f>
        <v>0</v>
      </c>
      <c r="O80" s="47">
        <f>VLOOKUP(C80,'Talente &amp; Stuff'!IA:JB,13,FALSE)</f>
        <v>0</v>
      </c>
      <c r="P80" s="119">
        <f>VLOOKUP(C80,'Talente &amp; Stuff'!IA:JB,14,FALSE)</f>
        <v>0</v>
      </c>
      <c r="Q80" s="114">
        <f>VLOOKUP(C80,'Talente &amp; Stuff'!IA:JB,15,FALSE)</f>
        <v>0</v>
      </c>
      <c r="R80" s="113">
        <f>VLOOKUP(C80,'Talente &amp; Stuff'!IA:JB,16,FALSE)</f>
        <v>0</v>
      </c>
      <c r="S80" s="119">
        <f>VLOOKUP(C80,'Talente &amp; Stuff'!IA:JB,17,FALSE)</f>
        <v>0</v>
      </c>
      <c r="T80" s="160">
        <f>VLOOKUP(C80,'Talente &amp; Stuff'!IA:JB,18,FALSE)</f>
        <v>0</v>
      </c>
      <c r="U80" s="89">
        <f>VLOOKUP(C80,'Talente &amp; Stuff'!IA:JB,19,FALSE)</f>
        <v>0</v>
      </c>
      <c r="V80" s="47">
        <f>VLOOKUP(C80,'Talente &amp; Stuff'!IA:JB,20,FALSE)</f>
        <v>0</v>
      </c>
      <c r="W80" s="127">
        <f>VLOOKUP(C80,'Talente &amp; Stuff'!IA:JB,21,FALSE)</f>
        <v>0</v>
      </c>
      <c r="X80" s="127">
        <f>VLOOKUP(C80,'Talente &amp; Stuff'!IA:JB,22,FALSE)</f>
        <v>0</v>
      </c>
      <c r="Y80" s="165">
        <f t="shared" si="10"/>
        <v>0</v>
      </c>
      <c r="Z80" s="44">
        <f t="shared" si="11"/>
        <v>0</v>
      </c>
      <c r="AA80" s="125">
        <f>VLOOKUP(C80,'Talente &amp; Stuff'!IA:JB,25,FALSE)</f>
        <v>0</v>
      </c>
      <c r="AB80" s="160">
        <f>VLOOKUP(C80,'Talente &amp; Stuff'!IA:JB,26,FALSE)</f>
        <v>0</v>
      </c>
      <c r="AC80" s="127">
        <f>VLOOKUP(C80,'Talente &amp; Stuff'!IA:JB,27,FALSE)</f>
        <v>0</v>
      </c>
      <c r="AD80" s="125">
        <f>VLOOKUP(C80,'Talente &amp; Stuff'!IA:JB,28,FALSE)</f>
        <v>0</v>
      </c>
      <c r="AE80" s="28"/>
    </row>
    <row r="81" spans="2:31" ht="15" hidden="1" customHeight="1" outlineLevel="2">
      <c r="B81" s="148">
        <v>4</v>
      </c>
      <c r="C81" s="177" t="str">
        <f>Attribute!C81</f>
        <v>---</v>
      </c>
      <c r="D81" s="125" t="str">
        <f>VLOOKUP(C81,'Talente &amp; Stuff'!IA:JB,2,FALSE)</f>
        <v>--/--/--</v>
      </c>
      <c r="E81" s="127" t="str">
        <f>VLOOKUP(C81,'Talente &amp; Stuff'!IA:JB,3,FALSE)</f>
        <v>-</v>
      </c>
      <c r="F81" s="114">
        <f>VLOOKUP(C81,'Talente &amp; Stuff'!IA:JB,4,FALSE)</f>
        <v>0</v>
      </c>
      <c r="G81" s="113">
        <f>VLOOKUP(C81,'Talente &amp; Stuff'!IA:JB,5,FALSE)</f>
        <v>0</v>
      </c>
      <c r="H81" s="113">
        <f>VLOOKUP(C81,'Talente &amp; Stuff'!IA:JB,6,FALSE)</f>
        <v>0</v>
      </c>
      <c r="I81" s="113">
        <f>VLOOKUP(C81,'Talente &amp; Stuff'!IA:JB,7,FALSE)</f>
        <v>0</v>
      </c>
      <c r="J81" s="113">
        <f>VLOOKUP(C81,'Talente &amp; Stuff'!IA:JB,8,FALSE)</f>
        <v>0</v>
      </c>
      <c r="K81" s="113">
        <f>VLOOKUP(C81,'Talente &amp; Stuff'!IA:JB,9,FALSE)</f>
        <v>0</v>
      </c>
      <c r="L81" s="113">
        <f>VLOOKUP(C81,'Talente &amp; Stuff'!IA:JB,10,FALSE)</f>
        <v>0</v>
      </c>
      <c r="M81" s="119">
        <f>VLOOKUP(C81,'Talente &amp; Stuff'!IA:JB,11,FALSE)</f>
        <v>0</v>
      </c>
      <c r="N81" s="89">
        <f>VLOOKUP(C81,'Talente &amp; Stuff'!IA:JB,12,FALSE)</f>
        <v>0</v>
      </c>
      <c r="O81" s="47">
        <f>VLOOKUP(C81,'Talente &amp; Stuff'!IA:JB,13,FALSE)</f>
        <v>0</v>
      </c>
      <c r="P81" s="119">
        <f>VLOOKUP(C81,'Talente &amp; Stuff'!IA:JB,14,FALSE)</f>
        <v>0</v>
      </c>
      <c r="Q81" s="114">
        <f>VLOOKUP(C81,'Talente &amp; Stuff'!IA:JB,15,FALSE)</f>
        <v>0</v>
      </c>
      <c r="R81" s="113">
        <f>VLOOKUP(C81,'Talente &amp; Stuff'!IA:JB,16,FALSE)</f>
        <v>0</v>
      </c>
      <c r="S81" s="119">
        <f>VLOOKUP(C81,'Talente &amp; Stuff'!IA:JB,17,FALSE)</f>
        <v>0</v>
      </c>
      <c r="T81" s="160">
        <f>VLOOKUP(C81,'Talente &amp; Stuff'!IA:JB,18,FALSE)</f>
        <v>0</v>
      </c>
      <c r="U81" s="89">
        <f>VLOOKUP(C81,'Talente &amp; Stuff'!IA:JB,19,FALSE)</f>
        <v>0</v>
      </c>
      <c r="V81" s="47">
        <f>VLOOKUP(C81,'Talente &amp; Stuff'!IA:JB,20,FALSE)</f>
        <v>0</v>
      </c>
      <c r="W81" s="127">
        <f>VLOOKUP(C81,'Talente &amp; Stuff'!IA:JB,21,FALSE)</f>
        <v>0</v>
      </c>
      <c r="X81" s="127">
        <f>VLOOKUP(C81,'Talente &amp; Stuff'!IA:JB,22,FALSE)</f>
        <v>0</v>
      </c>
      <c r="Y81" s="165">
        <f t="shared" si="10"/>
        <v>0</v>
      </c>
      <c r="Z81" s="44">
        <f t="shared" si="11"/>
        <v>0</v>
      </c>
      <c r="AA81" s="125">
        <f>VLOOKUP(C81,'Talente &amp; Stuff'!IA:JB,25,FALSE)</f>
        <v>0</v>
      </c>
      <c r="AB81" s="160">
        <f>VLOOKUP(C81,'Talente &amp; Stuff'!IA:JB,26,FALSE)</f>
        <v>0</v>
      </c>
      <c r="AC81" s="127">
        <f>VLOOKUP(C81,'Talente &amp; Stuff'!IA:JB,27,FALSE)</f>
        <v>0</v>
      </c>
      <c r="AD81" s="125">
        <f>VLOOKUP(C81,'Talente &amp; Stuff'!IA:JB,28,FALSE)</f>
        <v>0</v>
      </c>
      <c r="AE81" s="28"/>
    </row>
    <row r="82" spans="2:31" ht="15" hidden="1" customHeight="1" outlineLevel="2">
      <c r="B82" s="148">
        <v>5</v>
      </c>
      <c r="C82" s="177" t="str">
        <f>Attribute!C82</f>
        <v>---</v>
      </c>
      <c r="D82" s="125" t="str">
        <f>VLOOKUP(C82,'Talente &amp; Stuff'!IA:JB,2,FALSE)</f>
        <v>--/--/--</v>
      </c>
      <c r="E82" s="127" t="str">
        <f>VLOOKUP(C82,'Talente &amp; Stuff'!IA:JB,3,FALSE)</f>
        <v>-</v>
      </c>
      <c r="F82" s="114">
        <f>VLOOKUP(C82,'Talente &amp; Stuff'!IA:JB,4,FALSE)</f>
        <v>0</v>
      </c>
      <c r="G82" s="113">
        <f>VLOOKUP(C82,'Talente &amp; Stuff'!IA:JB,5,FALSE)</f>
        <v>0</v>
      </c>
      <c r="H82" s="113">
        <f>VLOOKUP(C82,'Talente &amp; Stuff'!IA:JB,6,FALSE)</f>
        <v>0</v>
      </c>
      <c r="I82" s="113">
        <f>VLOOKUP(C82,'Talente &amp; Stuff'!IA:JB,7,FALSE)</f>
        <v>0</v>
      </c>
      <c r="J82" s="113">
        <f>VLOOKUP(C82,'Talente &amp; Stuff'!IA:JB,8,FALSE)</f>
        <v>0</v>
      </c>
      <c r="K82" s="113">
        <f>VLOOKUP(C82,'Talente &amp; Stuff'!IA:JB,9,FALSE)</f>
        <v>0</v>
      </c>
      <c r="L82" s="113">
        <f>VLOOKUP(C82,'Talente &amp; Stuff'!IA:JB,10,FALSE)</f>
        <v>0</v>
      </c>
      <c r="M82" s="119">
        <f>VLOOKUP(C82,'Talente &amp; Stuff'!IA:JB,11,FALSE)</f>
        <v>0</v>
      </c>
      <c r="N82" s="89">
        <f>VLOOKUP(C82,'Talente &amp; Stuff'!IA:JB,12,FALSE)</f>
        <v>0</v>
      </c>
      <c r="O82" s="47">
        <f>VLOOKUP(C82,'Talente &amp; Stuff'!IA:JB,13,FALSE)</f>
        <v>0</v>
      </c>
      <c r="P82" s="119">
        <f>VLOOKUP(C82,'Talente &amp; Stuff'!IA:JB,14,FALSE)</f>
        <v>0</v>
      </c>
      <c r="Q82" s="114">
        <f>VLOOKUP(C82,'Talente &amp; Stuff'!IA:JB,15,FALSE)</f>
        <v>0</v>
      </c>
      <c r="R82" s="113">
        <f>VLOOKUP(C82,'Talente &amp; Stuff'!IA:JB,16,FALSE)</f>
        <v>0</v>
      </c>
      <c r="S82" s="119">
        <f>VLOOKUP(C82,'Talente &amp; Stuff'!IA:JB,17,FALSE)</f>
        <v>0</v>
      </c>
      <c r="T82" s="160">
        <f>VLOOKUP(C82,'Talente &amp; Stuff'!IA:JB,18,FALSE)</f>
        <v>0</v>
      </c>
      <c r="U82" s="89">
        <f>VLOOKUP(C82,'Talente &amp; Stuff'!IA:JB,19,FALSE)</f>
        <v>0</v>
      </c>
      <c r="V82" s="47">
        <f>VLOOKUP(C82,'Talente &amp; Stuff'!IA:JB,20,FALSE)</f>
        <v>0</v>
      </c>
      <c r="W82" s="127">
        <f>VLOOKUP(C82,'Talente &amp; Stuff'!IA:JB,21,FALSE)</f>
        <v>0</v>
      </c>
      <c r="X82" s="127">
        <f>VLOOKUP(C82,'Talente &amp; Stuff'!IA:JB,22,FALSE)</f>
        <v>0</v>
      </c>
      <c r="Y82" s="165">
        <f t="shared" si="10"/>
        <v>0</v>
      </c>
      <c r="Z82" s="44">
        <f t="shared" si="11"/>
        <v>0</v>
      </c>
      <c r="AA82" s="125">
        <f>VLOOKUP(C82,'Talente &amp; Stuff'!IA:JB,25,FALSE)</f>
        <v>0</v>
      </c>
      <c r="AB82" s="160">
        <f>VLOOKUP(C82,'Talente &amp; Stuff'!IA:JB,26,FALSE)</f>
        <v>0</v>
      </c>
      <c r="AC82" s="127">
        <f>VLOOKUP(C82,'Talente &amp; Stuff'!IA:JB,27,FALSE)</f>
        <v>0</v>
      </c>
      <c r="AD82" s="125">
        <f>VLOOKUP(C82,'Talente &amp; Stuff'!IA:JB,28,FALSE)</f>
        <v>0</v>
      </c>
      <c r="AE82" s="28"/>
    </row>
    <row r="83" spans="2:31" ht="15" hidden="1" customHeight="1" outlineLevel="2">
      <c r="B83" s="148">
        <v>6</v>
      </c>
      <c r="C83" s="177" t="str">
        <f>Attribute!C83</f>
        <v>---</v>
      </c>
      <c r="D83" s="125" t="str">
        <f>VLOOKUP(C83,'Talente &amp; Stuff'!IA:JB,2,FALSE)</f>
        <v>--/--/--</v>
      </c>
      <c r="E83" s="127" t="str">
        <f>VLOOKUP(C83,'Talente &amp; Stuff'!IA:JB,3,FALSE)</f>
        <v>-</v>
      </c>
      <c r="F83" s="114">
        <f>VLOOKUP(C83,'Talente &amp; Stuff'!IA:JB,4,FALSE)</f>
        <v>0</v>
      </c>
      <c r="G83" s="113">
        <f>VLOOKUP(C83,'Talente &amp; Stuff'!IA:JB,5,FALSE)</f>
        <v>0</v>
      </c>
      <c r="H83" s="113">
        <f>VLOOKUP(C83,'Talente &amp; Stuff'!IA:JB,6,FALSE)</f>
        <v>0</v>
      </c>
      <c r="I83" s="113">
        <f>VLOOKUP(C83,'Talente &amp; Stuff'!IA:JB,7,FALSE)</f>
        <v>0</v>
      </c>
      <c r="J83" s="113">
        <f>VLOOKUP(C83,'Talente &amp; Stuff'!IA:JB,8,FALSE)</f>
        <v>0</v>
      </c>
      <c r="K83" s="113">
        <f>VLOOKUP(C83,'Talente &amp; Stuff'!IA:JB,9,FALSE)</f>
        <v>0</v>
      </c>
      <c r="L83" s="113">
        <f>VLOOKUP(C83,'Talente &amp; Stuff'!IA:JB,10,FALSE)</f>
        <v>0</v>
      </c>
      <c r="M83" s="119">
        <f>VLOOKUP(C83,'Talente &amp; Stuff'!IA:JB,11,FALSE)</f>
        <v>0</v>
      </c>
      <c r="N83" s="89">
        <f>VLOOKUP(C83,'Talente &amp; Stuff'!IA:JB,12,FALSE)</f>
        <v>0</v>
      </c>
      <c r="O83" s="47">
        <f>VLOOKUP(C83,'Talente &amp; Stuff'!IA:JB,13,FALSE)</f>
        <v>0</v>
      </c>
      <c r="P83" s="119">
        <f>VLOOKUP(C83,'Talente &amp; Stuff'!IA:JB,14,FALSE)</f>
        <v>0</v>
      </c>
      <c r="Q83" s="114">
        <f>VLOOKUP(C83,'Talente &amp; Stuff'!IA:JB,15,FALSE)</f>
        <v>0</v>
      </c>
      <c r="R83" s="113">
        <f>VLOOKUP(C83,'Talente &amp; Stuff'!IA:JB,16,FALSE)</f>
        <v>0</v>
      </c>
      <c r="S83" s="119">
        <f>VLOOKUP(C83,'Talente &amp; Stuff'!IA:JB,17,FALSE)</f>
        <v>0</v>
      </c>
      <c r="T83" s="160">
        <f>VLOOKUP(C83,'Talente &amp; Stuff'!IA:JB,18,FALSE)</f>
        <v>0</v>
      </c>
      <c r="U83" s="89">
        <f>VLOOKUP(C83,'Talente &amp; Stuff'!IA:JB,19,FALSE)</f>
        <v>0</v>
      </c>
      <c r="V83" s="47">
        <f>VLOOKUP(C83,'Talente &amp; Stuff'!IA:JB,20,FALSE)</f>
        <v>0</v>
      </c>
      <c r="W83" s="127">
        <f>VLOOKUP(C83,'Talente &amp; Stuff'!IA:JB,21,FALSE)</f>
        <v>0</v>
      </c>
      <c r="X83" s="127">
        <f>VLOOKUP(C83,'Talente &amp; Stuff'!IA:JB,22,FALSE)</f>
        <v>0</v>
      </c>
      <c r="Y83" s="165">
        <f t="shared" si="10"/>
        <v>0</v>
      </c>
      <c r="Z83" s="44">
        <f t="shared" si="11"/>
        <v>0</v>
      </c>
      <c r="AA83" s="125">
        <f>VLOOKUP(C83,'Talente &amp; Stuff'!IA:JB,25,FALSE)</f>
        <v>0</v>
      </c>
      <c r="AB83" s="160">
        <f>VLOOKUP(C83,'Talente &amp; Stuff'!IA:JB,26,FALSE)</f>
        <v>0</v>
      </c>
      <c r="AC83" s="127">
        <f>VLOOKUP(C83,'Talente &amp; Stuff'!IA:JB,27,FALSE)</f>
        <v>0</v>
      </c>
      <c r="AD83" s="125">
        <f>VLOOKUP(C83,'Talente &amp; Stuff'!IA:JB,28,FALSE)</f>
        <v>0</v>
      </c>
      <c r="AE83" s="28"/>
    </row>
    <row r="84" spans="2:31" ht="15" hidden="1" customHeight="1" outlineLevel="2">
      <c r="B84" s="148">
        <v>7</v>
      </c>
      <c r="C84" s="177" t="str">
        <f>Attribute!C84</f>
        <v>---</v>
      </c>
      <c r="D84" s="125" t="str">
        <f>VLOOKUP(C84,'Talente &amp; Stuff'!IA:JB,2,FALSE)</f>
        <v>--/--/--</v>
      </c>
      <c r="E84" s="127" t="str">
        <f>VLOOKUP(C84,'Talente &amp; Stuff'!IA:JB,3,FALSE)</f>
        <v>-</v>
      </c>
      <c r="F84" s="114">
        <f>VLOOKUP(C84,'Talente &amp; Stuff'!IA:JB,4,FALSE)</f>
        <v>0</v>
      </c>
      <c r="G84" s="113">
        <f>VLOOKUP(C84,'Talente &amp; Stuff'!IA:JB,5,FALSE)</f>
        <v>0</v>
      </c>
      <c r="H84" s="113">
        <f>VLOOKUP(C84,'Talente &amp; Stuff'!IA:JB,6,FALSE)</f>
        <v>0</v>
      </c>
      <c r="I84" s="113">
        <f>VLOOKUP(C84,'Talente &amp; Stuff'!IA:JB,7,FALSE)</f>
        <v>0</v>
      </c>
      <c r="J84" s="113">
        <f>VLOOKUP(C84,'Talente &amp; Stuff'!IA:JB,8,FALSE)</f>
        <v>0</v>
      </c>
      <c r="K84" s="113">
        <f>VLOOKUP(C84,'Talente &amp; Stuff'!IA:JB,9,FALSE)</f>
        <v>0</v>
      </c>
      <c r="L84" s="113">
        <f>VLOOKUP(C84,'Talente &amp; Stuff'!IA:JB,10,FALSE)</f>
        <v>0</v>
      </c>
      <c r="M84" s="119">
        <f>VLOOKUP(C84,'Talente &amp; Stuff'!IA:JB,11,FALSE)</f>
        <v>0</v>
      </c>
      <c r="N84" s="89">
        <f>VLOOKUP(C84,'Talente &amp; Stuff'!IA:JB,12,FALSE)</f>
        <v>0</v>
      </c>
      <c r="O84" s="47">
        <f>VLOOKUP(C84,'Talente &amp; Stuff'!IA:JB,13,FALSE)</f>
        <v>0</v>
      </c>
      <c r="P84" s="119">
        <f>VLOOKUP(C84,'Talente &amp; Stuff'!IA:JB,14,FALSE)</f>
        <v>0</v>
      </c>
      <c r="Q84" s="114">
        <f>VLOOKUP(C84,'Talente &amp; Stuff'!IA:JB,15,FALSE)</f>
        <v>0</v>
      </c>
      <c r="R84" s="113">
        <f>VLOOKUP(C84,'Talente &amp; Stuff'!IA:JB,16,FALSE)</f>
        <v>0</v>
      </c>
      <c r="S84" s="119">
        <f>VLOOKUP(C84,'Talente &amp; Stuff'!IA:JB,17,FALSE)</f>
        <v>0</v>
      </c>
      <c r="T84" s="160">
        <f>VLOOKUP(C84,'Talente &amp; Stuff'!IA:JB,18,FALSE)</f>
        <v>0</v>
      </c>
      <c r="U84" s="89">
        <f>VLOOKUP(C84,'Talente &amp; Stuff'!IA:JB,19,FALSE)</f>
        <v>0</v>
      </c>
      <c r="V84" s="47">
        <f>VLOOKUP(C84,'Talente &amp; Stuff'!IA:JB,20,FALSE)</f>
        <v>0</v>
      </c>
      <c r="W84" s="127">
        <f>VLOOKUP(C84,'Talente &amp; Stuff'!IA:JB,21,FALSE)</f>
        <v>0</v>
      </c>
      <c r="X84" s="127">
        <f>VLOOKUP(C84,'Talente &amp; Stuff'!IA:JB,22,FALSE)</f>
        <v>0</v>
      </c>
      <c r="Y84" s="165">
        <f t="shared" si="10"/>
        <v>0</v>
      </c>
      <c r="Z84" s="44">
        <f t="shared" si="11"/>
        <v>0</v>
      </c>
      <c r="AA84" s="125">
        <f>VLOOKUP(C84,'Talente &amp; Stuff'!IA:JB,25,FALSE)</f>
        <v>0</v>
      </c>
      <c r="AB84" s="160">
        <f>VLOOKUP(C84,'Talente &amp; Stuff'!IA:JB,26,FALSE)</f>
        <v>0</v>
      </c>
      <c r="AC84" s="127">
        <f>VLOOKUP(C84,'Talente &amp; Stuff'!IA:JB,27,FALSE)</f>
        <v>0</v>
      </c>
      <c r="AD84" s="125">
        <f>VLOOKUP(C84,'Talente &amp; Stuff'!IA:JB,28,FALSE)</f>
        <v>0</v>
      </c>
      <c r="AE84" s="28"/>
    </row>
    <row r="85" spans="2:31" ht="15" hidden="1" customHeight="1" outlineLevel="2">
      <c r="B85" s="148">
        <v>8</v>
      </c>
      <c r="C85" s="177" t="str">
        <f>Attribute!C85</f>
        <v>---</v>
      </c>
      <c r="D85" s="125" t="str">
        <f>VLOOKUP(C85,'Talente &amp; Stuff'!IA:JB,2,FALSE)</f>
        <v>--/--/--</v>
      </c>
      <c r="E85" s="127" t="str">
        <f>VLOOKUP(C85,'Talente &amp; Stuff'!IA:JB,3,FALSE)</f>
        <v>-</v>
      </c>
      <c r="F85" s="114">
        <f>VLOOKUP(C85,'Talente &amp; Stuff'!IA:JB,4,FALSE)</f>
        <v>0</v>
      </c>
      <c r="G85" s="113">
        <f>VLOOKUP(C85,'Talente &amp; Stuff'!IA:JB,5,FALSE)</f>
        <v>0</v>
      </c>
      <c r="H85" s="113">
        <f>VLOOKUP(C85,'Talente &amp; Stuff'!IA:JB,6,FALSE)</f>
        <v>0</v>
      </c>
      <c r="I85" s="113">
        <f>VLOOKUP(C85,'Talente &amp; Stuff'!IA:JB,7,FALSE)</f>
        <v>0</v>
      </c>
      <c r="J85" s="113">
        <f>VLOOKUP(C85,'Talente &amp; Stuff'!IA:JB,8,FALSE)</f>
        <v>0</v>
      </c>
      <c r="K85" s="113">
        <f>VLOOKUP(C85,'Talente &amp; Stuff'!IA:JB,9,FALSE)</f>
        <v>0</v>
      </c>
      <c r="L85" s="113">
        <f>VLOOKUP(C85,'Talente &amp; Stuff'!IA:JB,10,FALSE)</f>
        <v>0</v>
      </c>
      <c r="M85" s="119">
        <f>VLOOKUP(C85,'Talente &amp; Stuff'!IA:JB,11,FALSE)</f>
        <v>0</v>
      </c>
      <c r="N85" s="89">
        <f>VLOOKUP(C85,'Talente &amp; Stuff'!IA:JB,12,FALSE)</f>
        <v>0</v>
      </c>
      <c r="O85" s="47">
        <f>VLOOKUP(C85,'Talente &amp; Stuff'!IA:JB,13,FALSE)</f>
        <v>0</v>
      </c>
      <c r="P85" s="119">
        <f>VLOOKUP(C85,'Talente &amp; Stuff'!IA:JB,14,FALSE)</f>
        <v>0</v>
      </c>
      <c r="Q85" s="114">
        <f>VLOOKUP(C85,'Talente &amp; Stuff'!IA:JB,15,FALSE)</f>
        <v>0</v>
      </c>
      <c r="R85" s="113">
        <f>VLOOKUP(C85,'Talente &amp; Stuff'!IA:JB,16,FALSE)</f>
        <v>0</v>
      </c>
      <c r="S85" s="119">
        <f>VLOOKUP(C85,'Talente &amp; Stuff'!IA:JB,17,FALSE)</f>
        <v>0</v>
      </c>
      <c r="T85" s="160">
        <f>VLOOKUP(C85,'Talente &amp; Stuff'!IA:JB,18,FALSE)</f>
        <v>0</v>
      </c>
      <c r="U85" s="89">
        <f>VLOOKUP(C85,'Talente &amp; Stuff'!IA:JB,19,FALSE)</f>
        <v>0</v>
      </c>
      <c r="V85" s="47">
        <f>VLOOKUP(C85,'Talente &amp; Stuff'!IA:JB,20,FALSE)</f>
        <v>0</v>
      </c>
      <c r="W85" s="127">
        <f>VLOOKUP(C85,'Talente &amp; Stuff'!IA:JB,21,FALSE)</f>
        <v>0</v>
      </c>
      <c r="X85" s="127">
        <f>VLOOKUP(C85,'Talente &amp; Stuff'!IA:JB,22,FALSE)</f>
        <v>0</v>
      </c>
      <c r="Y85" s="165">
        <f t="shared" si="10"/>
        <v>0</v>
      </c>
      <c r="Z85" s="44">
        <f t="shared" si="11"/>
        <v>0</v>
      </c>
      <c r="AA85" s="125">
        <f>VLOOKUP(C85,'Talente &amp; Stuff'!IA:JB,25,FALSE)</f>
        <v>0</v>
      </c>
      <c r="AB85" s="160">
        <f>VLOOKUP(C85,'Talente &amp; Stuff'!IA:JB,26,FALSE)</f>
        <v>0</v>
      </c>
      <c r="AC85" s="127">
        <f>VLOOKUP(C85,'Talente &amp; Stuff'!IA:JB,27,FALSE)</f>
        <v>0</v>
      </c>
      <c r="AD85" s="125">
        <f>VLOOKUP(C85,'Talente &amp; Stuff'!IA:JB,28,FALSE)</f>
        <v>0</v>
      </c>
      <c r="AE85" s="28"/>
    </row>
    <row r="86" spans="2:31" ht="15" hidden="1" customHeight="1" outlineLevel="2">
      <c r="B86" s="148">
        <v>9</v>
      </c>
      <c r="C86" s="177" t="str">
        <f>Attribute!C86</f>
        <v>---</v>
      </c>
      <c r="D86" s="125" t="str">
        <f>VLOOKUP(C86,'Talente &amp; Stuff'!IA:JB,2,FALSE)</f>
        <v>--/--/--</v>
      </c>
      <c r="E86" s="127" t="str">
        <f>VLOOKUP(C86,'Talente &amp; Stuff'!IA:JB,3,FALSE)</f>
        <v>-</v>
      </c>
      <c r="F86" s="114">
        <f>VLOOKUP(C86,'Talente &amp; Stuff'!IA:JB,4,FALSE)</f>
        <v>0</v>
      </c>
      <c r="G86" s="113">
        <f>VLOOKUP(C86,'Talente &amp; Stuff'!IA:JB,5,FALSE)</f>
        <v>0</v>
      </c>
      <c r="H86" s="113">
        <f>VLOOKUP(C86,'Talente &amp; Stuff'!IA:JB,6,FALSE)</f>
        <v>0</v>
      </c>
      <c r="I86" s="113">
        <f>VLOOKUP(C86,'Talente &amp; Stuff'!IA:JB,7,FALSE)</f>
        <v>0</v>
      </c>
      <c r="J86" s="113">
        <f>VLOOKUP(C86,'Talente &amp; Stuff'!IA:JB,8,FALSE)</f>
        <v>0</v>
      </c>
      <c r="K86" s="113">
        <f>VLOOKUP(C86,'Talente &amp; Stuff'!IA:JB,9,FALSE)</f>
        <v>0</v>
      </c>
      <c r="L86" s="113">
        <f>VLOOKUP(C86,'Talente &amp; Stuff'!IA:JB,10,FALSE)</f>
        <v>0</v>
      </c>
      <c r="M86" s="119">
        <f>VLOOKUP(C86,'Talente &amp; Stuff'!IA:JB,11,FALSE)</f>
        <v>0</v>
      </c>
      <c r="N86" s="89">
        <f>VLOOKUP(C86,'Talente &amp; Stuff'!IA:JB,12,FALSE)</f>
        <v>0</v>
      </c>
      <c r="O86" s="47">
        <f>VLOOKUP(C86,'Talente &amp; Stuff'!IA:JB,13,FALSE)</f>
        <v>0</v>
      </c>
      <c r="P86" s="119">
        <f>VLOOKUP(C86,'Talente &amp; Stuff'!IA:JB,14,FALSE)</f>
        <v>0</v>
      </c>
      <c r="Q86" s="114">
        <f>VLOOKUP(C86,'Talente &amp; Stuff'!IA:JB,15,FALSE)</f>
        <v>0</v>
      </c>
      <c r="R86" s="113">
        <f>VLOOKUP(C86,'Talente &amp; Stuff'!IA:JB,16,FALSE)</f>
        <v>0</v>
      </c>
      <c r="S86" s="119">
        <f>VLOOKUP(C86,'Talente &amp; Stuff'!IA:JB,17,FALSE)</f>
        <v>0</v>
      </c>
      <c r="T86" s="160">
        <f>VLOOKUP(C86,'Talente &amp; Stuff'!IA:JB,18,FALSE)</f>
        <v>0</v>
      </c>
      <c r="U86" s="89">
        <f>VLOOKUP(C86,'Talente &amp; Stuff'!IA:JB,19,FALSE)</f>
        <v>0</v>
      </c>
      <c r="V86" s="47">
        <f>VLOOKUP(C86,'Talente &amp; Stuff'!IA:JB,20,FALSE)</f>
        <v>0</v>
      </c>
      <c r="W86" s="127">
        <f>VLOOKUP(C86,'Talente &amp; Stuff'!IA:JB,21,FALSE)</f>
        <v>0</v>
      </c>
      <c r="X86" s="127">
        <f>VLOOKUP(C86,'Talente &amp; Stuff'!IA:JB,22,FALSE)</f>
        <v>0</v>
      </c>
      <c r="Y86" s="165">
        <f t="shared" si="10"/>
        <v>0</v>
      </c>
      <c r="Z86" s="44">
        <f t="shared" si="11"/>
        <v>0</v>
      </c>
      <c r="AA86" s="125">
        <f>VLOOKUP(C86,'Talente &amp; Stuff'!IA:JB,25,FALSE)</f>
        <v>0</v>
      </c>
      <c r="AB86" s="160">
        <f>VLOOKUP(C86,'Talente &amp; Stuff'!IA:JB,26,FALSE)</f>
        <v>0</v>
      </c>
      <c r="AC86" s="127">
        <f>VLOOKUP(C86,'Talente &amp; Stuff'!IA:JB,27,FALSE)</f>
        <v>0</v>
      </c>
      <c r="AD86" s="125">
        <f>VLOOKUP(C86,'Talente &amp; Stuff'!IA:JB,28,FALSE)</f>
        <v>0</v>
      </c>
      <c r="AE86" s="28"/>
    </row>
    <row r="87" spans="2:31" ht="15" hidden="1" customHeight="1" outlineLevel="2">
      <c r="B87" s="148">
        <v>10</v>
      </c>
      <c r="C87" s="177" t="str">
        <f>Attribute!C87</f>
        <v>---</v>
      </c>
      <c r="D87" s="125" t="str">
        <f>VLOOKUP(C87,'Talente &amp; Stuff'!IA:JB,2,FALSE)</f>
        <v>--/--/--</v>
      </c>
      <c r="E87" s="127" t="str">
        <f>VLOOKUP(C87,'Talente &amp; Stuff'!IA:JB,3,FALSE)</f>
        <v>-</v>
      </c>
      <c r="F87" s="114">
        <f>VLOOKUP(C87,'Talente &amp; Stuff'!IA:JB,4,FALSE)</f>
        <v>0</v>
      </c>
      <c r="G87" s="113">
        <f>VLOOKUP(C87,'Talente &amp; Stuff'!IA:JB,5,FALSE)</f>
        <v>0</v>
      </c>
      <c r="H87" s="113">
        <f>VLOOKUP(C87,'Talente &amp; Stuff'!IA:JB,6,FALSE)</f>
        <v>0</v>
      </c>
      <c r="I87" s="113">
        <f>VLOOKUP(C87,'Talente &amp; Stuff'!IA:JB,7,FALSE)</f>
        <v>0</v>
      </c>
      <c r="J87" s="113">
        <f>VLOOKUP(C87,'Talente &amp; Stuff'!IA:JB,8,FALSE)</f>
        <v>0</v>
      </c>
      <c r="K87" s="113">
        <f>VLOOKUP(C87,'Talente &amp; Stuff'!IA:JB,9,FALSE)</f>
        <v>0</v>
      </c>
      <c r="L87" s="113">
        <f>VLOOKUP(C87,'Talente &amp; Stuff'!IA:JB,10,FALSE)</f>
        <v>0</v>
      </c>
      <c r="M87" s="119">
        <f>VLOOKUP(C87,'Talente &amp; Stuff'!IA:JB,11,FALSE)</f>
        <v>0</v>
      </c>
      <c r="N87" s="89">
        <f>VLOOKUP(C87,'Talente &amp; Stuff'!IA:JB,12,FALSE)</f>
        <v>0</v>
      </c>
      <c r="O87" s="47">
        <f>VLOOKUP(C87,'Talente &amp; Stuff'!IA:JB,13,FALSE)</f>
        <v>0</v>
      </c>
      <c r="P87" s="119">
        <f>VLOOKUP(C87,'Talente &amp; Stuff'!IA:JB,14,FALSE)</f>
        <v>0</v>
      </c>
      <c r="Q87" s="114">
        <f>VLOOKUP(C87,'Talente &amp; Stuff'!IA:JB,15,FALSE)</f>
        <v>0</v>
      </c>
      <c r="R87" s="113">
        <f>VLOOKUP(C87,'Talente &amp; Stuff'!IA:JB,16,FALSE)</f>
        <v>0</v>
      </c>
      <c r="S87" s="119">
        <f>VLOOKUP(C87,'Talente &amp; Stuff'!IA:JB,17,FALSE)</f>
        <v>0</v>
      </c>
      <c r="T87" s="160">
        <f>VLOOKUP(C87,'Talente &amp; Stuff'!IA:JB,18,FALSE)</f>
        <v>0</v>
      </c>
      <c r="U87" s="89">
        <f>VLOOKUP(C87,'Talente &amp; Stuff'!IA:JB,19,FALSE)</f>
        <v>0</v>
      </c>
      <c r="V87" s="47">
        <f>VLOOKUP(C87,'Talente &amp; Stuff'!IA:JB,20,FALSE)</f>
        <v>0</v>
      </c>
      <c r="W87" s="127">
        <f>VLOOKUP(C87,'Talente &amp; Stuff'!IA:JB,21,FALSE)</f>
        <v>0</v>
      </c>
      <c r="X87" s="127">
        <f>VLOOKUP(C87,'Talente &amp; Stuff'!IA:JB,22,FALSE)</f>
        <v>0</v>
      </c>
      <c r="Y87" s="165">
        <f t="shared" si="10"/>
        <v>0</v>
      </c>
      <c r="Z87" s="44">
        <f t="shared" si="11"/>
        <v>0</v>
      </c>
      <c r="AA87" s="125">
        <f>VLOOKUP(C87,'Talente &amp; Stuff'!IA:JB,25,FALSE)</f>
        <v>0</v>
      </c>
      <c r="AB87" s="160">
        <f>VLOOKUP(C87,'Talente &amp; Stuff'!IA:JB,26,FALSE)</f>
        <v>0</v>
      </c>
      <c r="AC87" s="127">
        <f>VLOOKUP(C87,'Talente &amp; Stuff'!IA:JB,27,FALSE)</f>
        <v>0</v>
      </c>
      <c r="AD87" s="125">
        <f>VLOOKUP(C87,'Talente &amp; Stuff'!IA:JB,28,FALSE)</f>
        <v>0</v>
      </c>
      <c r="AE87" s="28"/>
    </row>
    <row r="88" spans="2:31" ht="15" hidden="1" customHeight="1" outlineLevel="2">
      <c r="B88" s="148">
        <v>11</v>
      </c>
      <c r="C88" s="177" t="str">
        <f>Attribute!C88</f>
        <v>---</v>
      </c>
      <c r="D88" s="125" t="str">
        <f>VLOOKUP(C88,'Talente &amp; Stuff'!IA:JB,2,FALSE)</f>
        <v>--/--/--</v>
      </c>
      <c r="E88" s="127" t="str">
        <f>VLOOKUP(C88,'Talente &amp; Stuff'!IA:JB,3,FALSE)</f>
        <v>-</v>
      </c>
      <c r="F88" s="114">
        <f>VLOOKUP(C88,'Talente &amp; Stuff'!IA:JB,4,FALSE)</f>
        <v>0</v>
      </c>
      <c r="G88" s="113">
        <f>VLOOKUP(C88,'Talente &amp; Stuff'!IA:JB,5,FALSE)</f>
        <v>0</v>
      </c>
      <c r="H88" s="113">
        <f>VLOOKUP(C88,'Talente &amp; Stuff'!IA:JB,6,FALSE)</f>
        <v>0</v>
      </c>
      <c r="I88" s="113">
        <f>VLOOKUP(C88,'Talente &amp; Stuff'!IA:JB,7,FALSE)</f>
        <v>0</v>
      </c>
      <c r="J88" s="113">
        <f>VLOOKUP(C88,'Talente &amp; Stuff'!IA:JB,8,FALSE)</f>
        <v>0</v>
      </c>
      <c r="K88" s="113">
        <f>VLOOKUP(C88,'Talente &amp; Stuff'!IA:JB,9,FALSE)</f>
        <v>0</v>
      </c>
      <c r="L88" s="113">
        <f>VLOOKUP(C88,'Talente &amp; Stuff'!IA:JB,10,FALSE)</f>
        <v>0</v>
      </c>
      <c r="M88" s="119">
        <f>VLOOKUP(C88,'Talente &amp; Stuff'!IA:JB,11,FALSE)</f>
        <v>0</v>
      </c>
      <c r="N88" s="89">
        <f>VLOOKUP(C88,'Talente &amp; Stuff'!IA:JB,12,FALSE)</f>
        <v>0</v>
      </c>
      <c r="O88" s="47">
        <f>VLOOKUP(C88,'Talente &amp; Stuff'!IA:JB,13,FALSE)</f>
        <v>0</v>
      </c>
      <c r="P88" s="119">
        <f>VLOOKUP(C88,'Talente &amp; Stuff'!IA:JB,14,FALSE)</f>
        <v>0</v>
      </c>
      <c r="Q88" s="114">
        <f>VLOOKUP(C88,'Talente &amp; Stuff'!IA:JB,15,FALSE)</f>
        <v>0</v>
      </c>
      <c r="R88" s="113">
        <f>VLOOKUP(C88,'Talente &amp; Stuff'!IA:JB,16,FALSE)</f>
        <v>0</v>
      </c>
      <c r="S88" s="119">
        <f>VLOOKUP(C88,'Talente &amp; Stuff'!IA:JB,17,FALSE)</f>
        <v>0</v>
      </c>
      <c r="T88" s="160">
        <f>VLOOKUP(C88,'Talente &amp; Stuff'!IA:JB,18,FALSE)</f>
        <v>0</v>
      </c>
      <c r="U88" s="89">
        <f>VLOOKUP(C88,'Talente &amp; Stuff'!IA:JB,19,FALSE)</f>
        <v>0</v>
      </c>
      <c r="V88" s="47">
        <f>VLOOKUP(C88,'Talente &amp; Stuff'!IA:JB,20,FALSE)</f>
        <v>0</v>
      </c>
      <c r="W88" s="127">
        <f>VLOOKUP(C88,'Talente &amp; Stuff'!IA:JB,21,FALSE)</f>
        <v>0</v>
      </c>
      <c r="X88" s="127">
        <f>VLOOKUP(C88,'Talente &amp; Stuff'!IA:JB,22,FALSE)</f>
        <v>0</v>
      </c>
      <c r="Y88" s="165">
        <f t="shared" si="10"/>
        <v>0</v>
      </c>
      <c r="Z88" s="44">
        <f t="shared" si="11"/>
        <v>0</v>
      </c>
      <c r="AA88" s="125">
        <f>VLOOKUP(C88,'Talente &amp; Stuff'!IA:JB,25,FALSE)</f>
        <v>0</v>
      </c>
      <c r="AB88" s="160">
        <f>VLOOKUP(C88,'Talente &amp; Stuff'!IA:JB,26,FALSE)</f>
        <v>0</v>
      </c>
      <c r="AC88" s="127">
        <f>VLOOKUP(C88,'Talente &amp; Stuff'!IA:JB,27,FALSE)</f>
        <v>0</v>
      </c>
      <c r="AD88" s="125">
        <f>VLOOKUP(C88,'Talente &amp; Stuff'!IA:JB,28,FALSE)</f>
        <v>0</v>
      </c>
      <c r="AE88" s="28"/>
    </row>
    <row r="89" spans="2:31" ht="15" hidden="1" customHeight="1" outlineLevel="2">
      <c r="B89" s="148">
        <v>12</v>
      </c>
      <c r="C89" s="177" t="str">
        <f>Attribute!C89</f>
        <v>---</v>
      </c>
      <c r="D89" s="125" t="str">
        <f>VLOOKUP(C89,'Talente &amp; Stuff'!IA:JB,2,FALSE)</f>
        <v>--/--/--</v>
      </c>
      <c r="E89" s="127" t="str">
        <f>VLOOKUP(C89,'Talente &amp; Stuff'!IA:JB,3,FALSE)</f>
        <v>-</v>
      </c>
      <c r="F89" s="114">
        <f>VLOOKUP(C89,'Talente &amp; Stuff'!IA:JB,4,FALSE)</f>
        <v>0</v>
      </c>
      <c r="G89" s="113">
        <f>VLOOKUP(C89,'Talente &amp; Stuff'!IA:JB,5,FALSE)</f>
        <v>0</v>
      </c>
      <c r="H89" s="113">
        <f>VLOOKUP(C89,'Talente &amp; Stuff'!IA:JB,6,FALSE)</f>
        <v>0</v>
      </c>
      <c r="I89" s="113">
        <f>VLOOKUP(C89,'Talente &amp; Stuff'!IA:JB,7,FALSE)</f>
        <v>0</v>
      </c>
      <c r="J89" s="113">
        <f>VLOOKUP(C89,'Talente &amp; Stuff'!IA:JB,8,FALSE)</f>
        <v>0</v>
      </c>
      <c r="K89" s="113">
        <f>VLOOKUP(C89,'Talente &amp; Stuff'!IA:JB,9,FALSE)</f>
        <v>0</v>
      </c>
      <c r="L89" s="113">
        <f>VLOOKUP(C89,'Talente &amp; Stuff'!IA:JB,10,FALSE)</f>
        <v>0</v>
      </c>
      <c r="M89" s="119">
        <f>VLOOKUP(C89,'Talente &amp; Stuff'!IA:JB,11,FALSE)</f>
        <v>0</v>
      </c>
      <c r="N89" s="89">
        <f>VLOOKUP(C89,'Talente &amp; Stuff'!IA:JB,12,FALSE)</f>
        <v>0</v>
      </c>
      <c r="O89" s="47">
        <f>VLOOKUP(C89,'Talente &amp; Stuff'!IA:JB,13,FALSE)</f>
        <v>0</v>
      </c>
      <c r="P89" s="119">
        <f>VLOOKUP(C89,'Talente &amp; Stuff'!IA:JB,14,FALSE)</f>
        <v>0</v>
      </c>
      <c r="Q89" s="114">
        <f>VLOOKUP(C89,'Talente &amp; Stuff'!IA:JB,15,FALSE)</f>
        <v>0</v>
      </c>
      <c r="R89" s="113">
        <f>VLOOKUP(C89,'Talente &amp; Stuff'!IA:JB,16,FALSE)</f>
        <v>0</v>
      </c>
      <c r="S89" s="119">
        <f>VLOOKUP(C89,'Talente &amp; Stuff'!IA:JB,17,FALSE)</f>
        <v>0</v>
      </c>
      <c r="T89" s="160">
        <f>VLOOKUP(C89,'Talente &amp; Stuff'!IA:JB,18,FALSE)</f>
        <v>0</v>
      </c>
      <c r="U89" s="89">
        <f>VLOOKUP(C89,'Talente &amp; Stuff'!IA:JB,19,FALSE)</f>
        <v>0</v>
      </c>
      <c r="V89" s="47">
        <f>VLOOKUP(C89,'Talente &amp; Stuff'!IA:JB,20,FALSE)</f>
        <v>0</v>
      </c>
      <c r="W89" s="127">
        <f>VLOOKUP(C89,'Talente &amp; Stuff'!IA:JB,21,FALSE)</f>
        <v>0</v>
      </c>
      <c r="X89" s="127">
        <f>VLOOKUP(C89,'Talente &amp; Stuff'!IA:JB,22,FALSE)</f>
        <v>0</v>
      </c>
      <c r="Y89" s="165">
        <f t="shared" si="10"/>
        <v>0</v>
      </c>
      <c r="Z89" s="44">
        <f t="shared" si="11"/>
        <v>0</v>
      </c>
      <c r="AA89" s="125">
        <f>VLOOKUP(C89,'Talente &amp; Stuff'!IA:JB,25,FALSE)</f>
        <v>0</v>
      </c>
      <c r="AB89" s="160">
        <f>VLOOKUP(C89,'Talente &amp; Stuff'!IA:JB,26,FALSE)</f>
        <v>0</v>
      </c>
      <c r="AC89" s="127">
        <f>VLOOKUP(C89,'Talente &amp; Stuff'!IA:JB,27,FALSE)</f>
        <v>0</v>
      </c>
      <c r="AD89" s="125">
        <f>VLOOKUP(C89,'Talente &amp; Stuff'!IA:JB,28,FALSE)</f>
        <v>0</v>
      </c>
      <c r="AE89" s="28"/>
    </row>
    <row r="90" spans="2:31" ht="15" hidden="1" customHeight="1" outlineLevel="2">
      <c r="B90" s="148">
        <v>13</v>
      </c>
      <c r="C90" s="177" t="str">
        <f>Attribute!C90</f>
        <v>---</v>
      </c>
      <c r="D90" s="125" t="str">
        <f>VLOOKUP(C90,'Talente &amp; Stuff'!IA:JB,2,FALSE)</f>
        <v>--/--/--</v>
      </c>
      <c r="E90" s="127" t="str">
        <f>VLOOKUP(C90,'Talente &amp; Stuff'!IA:JB,3,FALSE)</f>
        <v>-</v>
      </c>
      <c r="F90" s="114">
        <f>VLOOKUP(C90,'Talente &amp; Stuff'!IA:JB,4,FALSE)</f>
        <v>0</v>
      </c>
      <c r="G90" s="113">
        <f>VLOOKUP(C90,'Talente &amp; Stuff'!IA:JB,5,FALSE)</f>
        <v>0</v>
      </c>
      <c r="H90" s="113">
        <f>VLOOKUP(C90,'Talente &amp; Stuff'!IA:JB,6,FALSE)</f>
        <v>0</v>
      </c>
      <c r="I90" s="113">
        <f>VLOOKUP(C90,'Talente &amp; Stuff'!IA:JB,7,FALSE)</f>
        <v>0</v>
      </c>
      <c r="J90" s="113">
        <f>VLOOKUP(C90,'Talente &amp; Stuff'!IA:JB,8,FALSE)</f>
        <v>0</v>
      </c>
      <c r="K90" s="113">
        <f>VLOOKUP(C90,'Talente &amp; Stuff'!IA:JB,9,FALSE)</f>
        <v>0</v>
      </c>
      <c r="L90" s="113">
        <f>VLOOKUP(C90,'Talente &amp; Stuff'!IA:JB,10,FALSE)</f>
        <v>0</v>
      </c>
      <c r="M90" s="119">
        <f>VLOOKUP(C90,'Talente &amp; Stuff'!IA:JB,11,FALSE)</f>
        <v>0</v>
      </c>
      <c r="N90" s="89">
        <f>VLOOKUP(C90,'Talente &amp; Stuff'!IA:JB,12,FALSE)</f>
        <v>0</v>
      </c>
      <c r="O90" s="47">
        <f>VLOOKUP(C90,'Talente &amp; Stuff'!IA:JB,13,FALSE)</f>
        <v>0</v>
      </c>
      <c r="P90" s="119">
        <f>VLOOKUP(C90,'Talente &amp; Stuff'!IA:JB,14,FALSE)</f>
        <v>0</v>
      </c>
      <c r="Q90" s="114">
        <f>VLOOKUP(C90,'Talente &amp; Stuff'!IA:JB,15,FALSE)</f>
        <v>0</v>
      </c>
      <c r="R90" s="113">
        <f>VLOOKUP(C90,'Talente &amp; Stuff'!IA:JB,16,FALSE)</f>
        <v>0</v>
      </c>
      <c r="S90" s="119">
        <f>VLOOKUP(C90,'Talente &amp; Stuff'!IA:JB,17,FALSE)</f>
        <v>0</v>
      </c>
      <c r="T90" s="160">
        <f>VLOOKUP(C90,'Talente &amp; Stuff'!IA:JB,18,FALSE)</f>
        <v>0</v>
      </c>
      <c r="U90" s="89">
        <f>VLOOKUP(C90,'Talente &amp; Stuff'!IA:JB,19,FALSE)</f>
        <v>0</v>
      </c>
      <c r="V90" s="47">
        <f>VLOOKUP(C90,'Talente &amp; Stuff'!IA:JB,20,FALSE)</f>
        <v>0</v>
      </c>
      <c r="W90" s="127">
        <f>VLOOKUP(C90,'Talente &amp; Stuff'!IA:JB,21,FALSE)</f>
        <v>0</v>
      </c>
      <c r="X90" s="127">
        <f>VLOOKUP(C90,'Talente &amp; Stuff'!IA:JB,22,FALSE)</f>
        <v>0</v>
      </c>
      <c r="Y90" s="165">
        <f t="shared" si="10"/>
        <v>0</v>
      </c>
      <c r="Z90" s="44">
        <f t="shared" si="11"/>
        <v>0</v>
      </c>
      <c r="AA90" s="125">
        <f>VLOOKUP(C90,'Talente &amp; Stuff'!IA:JB,25,FALSE)</f>
        <v>0</v>
      </c>
      <c r="AB90" s="160">
        <f>VLOOKUP(C90,'Talente &amp; Stuff'!IA:JB,26,FALSE)</f>
        <v>0</v>
      </c>
      <c r="AC90" s="127">
        <f>VLOOKUP(C90,'Talente &amp; Stuff'!IA:JB,27,FALSE)</f>
        <v>0</v>
      </c>
      <c r="AD90" s="125">
        <f>VLOOKUP(C90,'Talente &amp; Stuff'!IA:JB,28,FALSE)</f>
        <v>0</v>
      </c>
      <c r="AE90" s="28"/>
    </row>
    <row r="91" spans="2:31" ht="15" hidden="1" customHeight="1" outlineLevel="2">
      <c r="B91" s="148">
        <v>14</v>
      </c>
      <c r="C91" s="177" t="str">
        <f>Attribute!C91</f>
        <v>---</v>
      </c>
      <c r="D91" s="125" t="str">
        <f>VLOOKUP(C91,'Talente &amp; Stuff'!IA:JB,2,FALSE)</f>
        <v>--/--/--</v>
      </c>
      <c r="E91" s="127" t="str">
        <f>VLOOKUP(C91,'Talente &amp; Stuff'!IA:JB,3,FALSE)</f>
        <v>-</v>
      </c>
      <c r="F91" s="114">
        <f>VLOOKUP(C91,'Talente &amp; Stuff'!IA:JB,4,FALSE)</f>
        <v>0</v>
      </c>
      <c r="G91" s="113">
        <f>VLOOKUP(C91,'Talente &amp; Stuff'!IA:JB,5,FALSE)</f>
        <v>0</v>
      </c>
      <c r="H91" s="113">
        <f>VLOOKUP(C91,'Talente &amp; Stuff'!IA:JB,6,FALSE)</f>
        <v>0</v>
      </c>
      <c r="I91" s="113">
        <f>VLOOKUP(C91,'Talente &amp; Stuff'!IA:JB,7,FALSE)</f>
        <v>0</v>
      </c>
      <c r="J91" s="113">
        <f>VLOOKUP(C91,'Talente &amp; Stuff'!IA:JB,8,FALSE)</f>
        <v>0</v>
      </c>
      <c r="K91" s="113">
        <f>VLOOKUP(C91,'Talente &amp; Stuff'!IA:JB,9,FALSE)</f>
        <v>0</v>
      </c>
      <c r="L91" s="113">
        <f>VLOOKUP(C91,'Talente &amp; Stuff'!IA:JB,10,FALSE)</f>
        <v>0</v>
      </c>
      <c r="M91" s="119">
        <f>VLOOKUP(C91,'Talente &amp; Stuff'!IA:JB,11,FALSE)</f>
        <v>0</v>
      </c>
      <c r="N91" s="89">
        <f>VLOOKUP(C91,'Talente &amp; Stuff'!IA:JB,12,FALSE)</f>
        <v>0</v>
      </c>
      <c r="O91" s="47">
        <f>VLOOKUP(C91,'Talente &amp; Stuff'!IA:JB,13,FALSE)</f>
        <v>0</v>
      </c>
      <c r="P91" s="119">
        <f>VLOOKUP(C91,'Talente &amp; Stuff'!IA:JB,14,FALSE)</f>
        <v>0</v>
      </c>
      <c r="Q91" s="114">
        <f>VLOOKUP(C91,'Talente &amp; Stuff'!IA:JB,15,FALSE)</f>
        <v>0</v>
      </c>
      <c r="R91" s="113">
        <f>VLOOKUP(C91,'Talente &amp; Stuff'!IA:JB,16,FALSE)</f>
        <v>0</v>
      </c>
      <c r="S91" s="119">
        <f>VLOOKUP(C91,'Talente &amp; Stuff'!IA:JB,17,FALSE)</f>
        <v>0</v>
      </c>
      <c r="T91" s="160">
        <f>VLOOKUP(C91,'Talente &amp; Stuff'!IA:JB,18,FALSE)</f>
        <v>0</v>
      </c>
      <c r="U91" s="89">
        <f>VLOOKUP(C91,'Talente &amp; Stuff'!IA:JB,19,FALSE)</f>
        <v>0</v>
      </c>
      <c r="V91" s="47">
        <f>VLOOKUP(C91,'Talente &amp; Stuff'!IA:JB,20,FALSE)</f>
        <v>0</v>
      </c>
      <c r="W91" s="127">
        <f>VLOOKUP(C91,'Talente &amp; Stuff'!IA:JB,21,FALSE)</f>
        <v>0</v>
      </c>
      <c r="X91" s="127">
        <f>VLOOKUP(C91,'Talente &amp; Stuff'!IA:JB,22,FALSE)</f>
        <v>0</v>
      </c>
      <c r="Y91" s="165">
        <f t="shared" si="10"/>
        <v>0</v>
      </c>
      <c r="Z91" s="44">
        <f t="shared" si="11"/>
        <v>0</v>
      </c>
      <c r="AA91" s="125">
        <f>VLOOKUP(C91,'Talente &amp; Stuff'!IA:JB,25,FALSE)</f>
        <v>0</v>
      </c>
      <c r="AB91" s="160">
        <f>VLOOKUP(C91,'Talente &amp; Stuff'!IA:JB,26,FALSE)</f>
        <v>0</v>
      </c>
      <c r="AC91" s="127">
        <f>VLOOKUP(C91,'Talente &amp; Stuff'!IA:JB,27,FALSE)</f>
        <v>0</v>
      </c>
      <c r="AD91" s="125">
        <f>VLOOKUP(C91,'Talente &amp; Stuff'!IA:JB,28,FALSE)</f>
        <v>0</v>
      </c>
      <c r="AE91" s="28"/>
    </row>
    <row r="92" spans="2:31" ht="15" hidden="1" customHeight="1" outlineLevel="2">
      <c r="B92" s="148">
        <v>15</v>
      </c>
      <c r="C92" s="177" t="str">
        <f>Attribute!C92</f>
        <v>---</v>
      </c>
      <c r="D92" s="86" t="str">
        <f>VLOOKUP(C92,'Talente &amp; Stuff'!IA:JB,2,FALSE)</f>
        <v>--/--/--</v>
      </c>
      <c r="E92" s="127" t="str">
        <f>VLOOKUP(C92,'Talente &amp; Stuff'!IA:JB,3,FALSE)</f>
        <v>-</v>
      </c>
      <c r="F92" s="114">
        <f>VLOOKUP(C92,'Talente &amp; Stuff'!IA:JB,4,FALSE)</f>
        <v>0</v>
      </c>
      <c r="G92" s="113">
        <f>VLOOKUP(C92,'Talente &amp; Stuff'!IA:JB,5,FALSE)</f>
        <v>0</v>
      </c>
      <c r="H92" s="113">
        <f>VLOOKUP(C92,'Talente &amp; Stuff'!IA:JB,6,FALSE)</f>
        <v>0</v>
      </c>
      <c r="I92" s="113">
        <f>VLOOKUP(C92,'Talente &amp; Stuff'!IA:JB,7,FALSE)</f>
        <v>0</v>
      </c>
      <c r="J92" s="113">
        <f>VLOOKUP(C92,'Talente &amp; Stuff'!IA:JB,8,FALSE)</f>
        <v>0</v>
      </c>
      <c r="K92" s="113">
        <f>VLOOKUP(C92,'Talente &amp; Stuff'!IA:JB,9,FALSE)</f>
        <v>0</v>
      </c>
      <c r="L92" s="113">
        <f>VLOOKUP(C92,'Talente &amp; Stuff'!IA:JB,10,FALSE)</f>
        <v>0</v>
      </c>
      <c r="M92" s="119">
        <f>VLOOKUP(C92,'Talente &amp; Stuff'!IA:JB,11,FALSE)</f>
        <v>0</v>
      </c>
      <c r="N92" s="89">
        <f>VLOOKUP(C92,'Talente &amp; Stuff'!IA:JB,12,FALSE)</f>
        <v>0</v>
      </c>
      <c r="O92" s="47">
        <f>VLOOKUP(C92,'Talente &amp; Stuff'!IA:JB,13,FALSE)</f>
        <v>0</v>
      </c>
      <c r="P92" s="119">
        <f>VLOOKUP(C92,'Talente &amp; Stuff'!IA:JB,14,FALSE)</f>
        <v>0</v>
      </c>
      <c r="Q92" s="114">
        <f>VLOOKUP(C92,'Talente &amp; Stuff'!IA:JB,15,FALSE)</f>
        <v>0</v>
      </c>
      <c r="R92" s="113">
        <f>VLOOKUP(C92,'Talente &amp; Stuff'!IA:JB,16,FALSE)</f>
        <v>0</v>
      </c>
      <c r="S92" s="119">
        <f>VLOOKUP(C92,'Talente &amp; Stuff'!IA:JB,17,FALSE)</f>
        <v>0</v>
      </c>
      <c r="T92" s="160">
        <f>VLOOKUP(C92,'Talente &amp; Stuff'!IA:JB,18,FALSE)</f>
        <v>0</v>
      </c>
      <c r="U92" s="89">
        <f>VLOOKUP(C92,'Talente &amp; Stuff'!IA:JB,19,FALSE)</f>
        <v>0</v>
      </c>
      <c r="V92" s="47">
        <f>VLOOKUP(C92,'Talente &amp; Stuff'!IA:JB,20,FALSE)</f>
        <v>0</v>
      </c>
      <c r="W92" s="127">
        <f>VLOOKUP(C92,'Talente &amp; Stuff'!IA:JB,21,FALSE)</f>
        <v>0</v>
      </c>
      <c r="X92" s="127">
        <f>VLOOKUP(C92,'Talente &amp; Stuff'!IA:JB,22,FALSE)</f>
        <v>0</v>
      </c>
      <c r="Y92" s="165">
        <f t="shared" si="10"/>
        <v>0</v>
      </c>
      <c r="Z92" s="44">
        <f t="shared" si="11"/>
        <v>0</v>
      </c>
      <c r="AA92" s="125">
        <f>VLOOKUP(C92,'Talente &amp; Stuff'!IA:JB,25,FALSE)</f>
        <v>0</v>
      </c>
      <c r="AB92" s="160">
        <f>VLOOKUP(C92,'Talente &amp; Stuff'!IA:JB,26,FALSE)</f>
        <v>0</v>
      </c>
      <c r="AC92" s="127">
        <f>VLOOKUP(C92,'Talente &amp; Stuff'!IA:JB,27,FALSE)</f>
        <v>0</v>
      </c>
      <c r="AD92" s="125">
        <f>VLOOKUP(C92,'Talente &amp; Stuff'!IA:JB,28,FALSE)</f>
        <v>0</v>
      </c>
      <c r="AE92" s="28"/>
    </row>
    <row r="93" spans="2:31" ht="15" hidden="1" customHeight="1" outlineLevel="2">
      <c r="B93" s="148">
        <v>16</v>
      </c>
      <c r="C93" s="177" t="str">
        <f>Attribute!C93</f>
        <v>---</v>
      </c>
      <c r="D93" s="125" t="str">
        <f>VLOOKUP(C93,'Talente &amp; Stuff'!IA:JB,2,FALSE)</f>
        <v>--/--/--</v>
      </c>
      <c r="E93" s="127" t="str">
        <f>VLOOKUP(C93,'Talente &amp; Stuff'!IA:JB,3,FALSE)</f>
        <v>-</v>
      </c>
      <c r="F93" s="114">
        <f>VLOOKUP(C93,'Talente &amp; Stuff'!IA:JB,4,FALSE)</f>
        <v>0</v>
      </c>
      <c r="G93" s="113">
        <f>VLOOKUP(C93,'Talente &amp; Stuff'!IA:JB,5,FALSE)</f>
        <v>0</v>
      </c>
      <c r="H93" s="113">
        <f>VLOOKUP(C93,'Talente &amp; Stuff'!IA:JB,6,FALSE)</f>
        <v>0</v>
      </c>
      <c r="I93" s="113">
        <f>VLOOKUP(C93,'Talente &amp; Stuff'!IA:JB,7,FALSE)</f>
        <v>0</v>
      </c>
      <c r="J93" s="113">
        <f>VLOOKUP(C93,'Talente &amp; Stuff'!IA:JB,8,FALSE)</f>
        <v>0</v>
      </c>
      <c r="K93" s="113">
        <f>VLOOKUP(C93,'Talente &amp; Stuff'!IA:JB,9,FALSE)</f>
        <v>0</v>
      </c>
      <c r="L93" s="113">
        <f>VLOOKUP(C93,'Talente &amp; Stuff'!IA:JB,10,FALSE)</f>
        <v>0</v>
      </c>
      <c r="M93" s="119">
        <f>VLOOKUP(C93,'Talente &amp; Stuff'!IA:JB,11,FALSE)</f>
        <v>0</v>
      </c>
      <c r="N93" s="89">
        <f>VLOOKUP(C93,'Talente &amp; Stuff'!IA:JB,12,FALSE)</f>
        <v>0</v>
      </c>
      <c r="O93" s="47">
        <f>VLOOKUP(C93,'Talente &amp; Stuff'!IA:JB,13,FALSE)</f>
        <v>0</v>
      </c>
      <c r="P93" s="119">
        <f>VLOOKUP(C93,'Talente &amp; Stuff'!IA:JB,14,FALSE)</f>
        <v>0</v>
      </c>
      <c r="Q93" s="114">
        <f>VLOOKUP(C93,'Talente &amp; Stuff'!IA:JB,15,FALSE)</f>
        <v>0</v>
      </c>
      <c r="R93" s="113">
        <f>VLOOKUP(C93,'Talente &amp; Stuff'!IA:JB,16,FALSE)</f>
        <v>0</v>
      </c>
      <c r="S93" s="119">
        <f>VLOOKUP(C93,'Talente &amp; Stuff'!IA:JB,17,FALSE)</f>
        <v>0</v>
      </c>
      <c r="T93" s="160">
        <f>VLOOKUP(C93,'Talente &amp; Stuff'!IA:JB,18,FALSE)</f>
        <v>0</v>
      </c>
      <c r="U93" s="89">
        <f>VLOOKUP(C93,'Talente &amp; Stuff'!IA:JB,19,FALSE)</f>
        <v>0</v>
      </c>
      <c r="V93" s="47">
        <f>VLOOKUP(C93,'Talente &amp; Stuff'!IA:JB,20,FALSE)</f>
        <v>0</v>
      </c>
      <c r="W93" s="127">
        <f>VLOOKUP(C93,'Talente &amp; Stuff'!IA:JB,21,FALSE)</f>
        <v>0</v>
      </c>
      <c r="X93" s="127">
        <f>VLOOKUP(C93,'Talente &amp; Stuff'!IA:JB,22,FALSE)</f>
        <v>0</v>
      </c>
      <c r="Y93" s="165">
        <f t="shared" si="10"/>
        <v>0</v>
      </c>
      <c r="Z93" s="44">
        <f t="shared" si="11"/>
        <v>0</v>
      </c>
      <c r="AA93" s="125">
        <f>VLOOKUP(C93,'Talente &amp; Stuff'!IA:JB,25,FALSE)</f>
        <v>0</v>
      </c>
      <c r="AB93" s="160">
        <f>VLOOKUP(C93,'Talente &amp; Stuff'!IA:JB,26,FALSE)</f>
        <v>0</v>
      </c>
      <c r="AC93" s="127">
        <f>VLOOKUP(C93,'Talente &amp; Stuff'!IA:JB,27,FALSE)</f>
        <v>0</v>
      </c>
      <c r="AD93" s="125">
        <f>VLOOKUP(C93,'Talente &amp; Stuff'!IA:JB,28,FALSE)</f>
        <v>0</v>
      </c>
      <c r="AE93" s="28"/>
    </row>
    <row r="94" spans="2:31" ht="15" hidden="1" customHeight="1" outlineLevel="2">
      <c r="B94" s="148">
        <v>17</v>
      </c>
      <c r="C94" s="177" t="str">
        <f>Attribute!C94</f>
        <v>---</v>
      </c>
      <c r="D94" s="125" t="str">
        <f>VLOOKUP(C94,'Talente &amp; Stuff'!IA:JB,2,FALSE)</f>
        <v>--/--/--</v>
      </c>
      <c r="E94" s="127" t="str">
        <f>VLOOKUP(C94,'Talente &amp; Stuff'!IA:JB,3,FALSE)</f>
        <v>-</v>
      </c>
      <c r="F94" s="114">
        <f>VLOOKUP(C94,'Talente &amp; Stuff'!IA:JB,4,FALSE)</f>
        <v>0</v>
      </c>
      <c r="G94" s="113">
        <f>VLOOKUP(C94,'Talente &amp; Stuff'!IA:JB,5,FALSE)</f>
        <v>0</v>
      </c>
      <c r="H94" s="113">
        <f>VLOOKUP(C94,'Talente &amp; Stuff'!IA:JB,6,FALSE)</f>
        <v>0</v>
      </c>
      <c r="I94" s="113">
        <f>VLOOKUP(C94,'Talente &amp; Stuff'!IA:JB,7,FALSE)</f>
        <v>0</v>
      </c>
      <c r="J94" s="113">
        <f>VLOOKUP(C94,'Talente &amp; Stuff'!IA:JB,8,FALSE)</f>
        <v>0</v>
      </c>
      <c r="K94" s="113">
        <f>VLOOKUP(C94,'Talente &amp; Stuff'!IA:JB,9,FALSE)</f>
        <v>0</v>
      </c>
      <c r="L94" s="113">
        <f>VLOOKUP(C94,'Talente &amp; Stuff'!IA:JB,10,FALSE)</f>
        <v>0</v>
      </c>
      <c r="M94" s="119">
        <f>VLOOKUP(C94,'Talente &amp; Stuff'!IA:JB,11,FALSE)</f>
        <v>0</v>
      </c>
      <c r="N94" s="89">
        <f>VLOOKUP(C94,'Talente &amp; Stuff'!IA:JB,12,FALSE)</f>
        <v>0</v>
      </c>
      <c r="O94" s="47">
        <f>VLOOKUP(C94,'Talente &amp; Stuff'!IA:JB,13,FALSE)</f>
        <v>0</v>
      </c>
      <c r="P94" s="119">
        <f>VLOOKUP(C94,'Talente &amp; Stuff'!IA:JB,14,FALSE)</f>
        <v>0</v>
      </c>
      <c r="Q94" s="114">
        <f>VLOOKUP(C94,'Talente &amp; Stuff'!IA:JB,15,FALSE)</f>
        <v>0</v>
      </c>
      <c r="R94" s="113">
        <f>VLOOKUP(C94,'Talente &amp; Stuff'!IA:JB,16,FALSE)</f>
        <v>0</v>
      </c>
      <c r="S94" s="119">
        <f>VLOOKUP(C94,'Talente &amp; Stuff'!IA:JB,17,FALSE)</f>
        <v>0</v>
      </c>
      <c r="T94" s="160">
        <f>VLOOKUP(C94,'Talente &amp; Stuff'!IA:JB,18,FALSE)</f>
        <v>0</v>
      </c>
      <c r="U94" s="89">
        <f>VLOOKUP(C94,'Talente &amp; Stuff'!IA:JB,19,FALSE)</f>
        <v>0</v>
      </c>
      <c r="V94" s="47">
        <f>VLOOKUP(C94,'Talente &amp; Stuff'!IA:JB,20,FALSE)</f>
        <v>0</v>
      </c>
      <c r="W94" s="127">
        <f>VLOOKUP(C94,'Talente &amp; Stuff'!IA:JB,21,FALSE)</f>
        <v>0</v>
      </c>
      <c r="X94" s="127">
        <f>VLOOKUP(C94,'Talente &amp; Stuff'!IA:JB,22,FALSE)</f>
        <v>0</v>
      </c>
      <c r="Y94" s="165">
        <f t="shared" si="10"/>
        <v>0</v>
      </c>
      <c r="Z94" s="44">
        <f t="shared" si="11"/>
        <v>0</v>
      </c>
      <c r="AA94" s="125">
        <f>VLOOKUP(C94,'Talente &amp; Stuff'!IA:JB,25,FALSE)</f>
        <v>0</v>
      </c>
      <c r="AB94" s="160">
        <f>VLOOKUP(C94,'Talente &amp; Stuff'!IA:JB,26,FALSE)</f>
        <v>0</v>
      </c>
      <c r="AC94" s="127">
        <f>VLOOKUP(C94,'Talente &amp; Stuff'!IA:JB,27,FALSE)</f>
        <v>0</v>
      </c>
      <c r="AD94" s="125">
        <f>VLOOKUP(C94,'Talente &amp; Stuff'!IA:JB,28,FALSE)</f>
        <v>0</v>
      </c>
      <c r="AE94" s="28"/>
    </row>
    <row r="95" spans="2:31" ht="15" hidden="1" customHeight="1" outlineLevel="2">
      <c r="B95" s="148">
        <v>18</v>
      </c>
      <c r="C95" s="177" t="str">
        <f>Attribute!C95</f>
        <v>---</v>
      </c>
      <c r="D95" s="125" t="str">
        <f>VLOOKUP(C95,'Talente &amp; Stuff'!IA:JB,2,FALSE)</f>
        <v>--/--/--</v>
      </c>
      <c r="E95" s="127" t="str">
        <f>VLOOKUP(C95,'Talente &amp; Stuff'!IA:JB,3,FALSE)</f>
        <v>-</v>
      </c>
      <c r="F95" s="114">
        <f>VLOOKUP(C95,'Talente &amp; Stuff'!IA:JB,4,FALSE)</f>
        <v>0</v>
      </c>
      <c r="G95" s="113">
        <f>VLOOKUP(C95,'Talente &amp; Stuff'!IA:JB,5,FALSE)</f>
        <v>0</v>
      </c>
      <c r="H95" s="113">
        <f>VLOOKUP(C95,'Talente &amp; Stuff'!IA:JB,6,FALSE)</f>
        <v>0</v>
      </c>
      <c r="I95" s="113">
        <f>VLOOKUP(C95,'Talente &amp; Stuff'!IA:JB,7,FALSE)</f>
        <v>0</v>
      </c>
      <c r="J95" s="113">
        <f>VLOOKUP(C95,'Talente &amp; Stuff'!IA:JB,8,FALSE)</f>
        <v>0</v>
      </c>
      <c r="K95" s="113">
        <f>VLOOKUP(C95,'Talente &amp; Stuff'!IA:JB,9,FALSE)</f>
        <v>0</v>
      </c>
      <c r="L95" s="113">
        <f>VLOOKUP(C95,'Talente &amp; Stuff'!IA:JB,10,FALSE)</f>
        <v>0</v>
      </c>
      <c r="M95" s="119">
        <f>VLOOKUP(C95,'Talente &amp; Stuff'!IA:JB,11,FALSE)</f>
        <v>0</v>
      </c>
      <c r="N95" s="89">
        <f>VLOOKUP(C95,'Talente &amp; Stuff'!IA:JB,12,FALSE)</f>
        <v>0</v>
      </c>
      <c r="O95" s="47">
        <f>VLOOKUP(C95,'Talente &amp; Stuff'!IA:JB,13,FALSE)</f>
        <v>0</v>
      </c>
      <c r="P95" s="119">
        <f>VLOOKUP(C95,'Talente &amp; Stuff'!IA:JB,14,FALSE)</f>
        <v>0</v>
      </c>
      <c r="Q95" s="114">
        <f>VLOOKUP(C95,'Talente &amp; Stuff'!IA:JB,15,FALSE)</f>
        <v>0</v>
      </c>
      <c r="R95" s="113">
        <f>VLOOKUP(C95,'Talente &amp; Stuff'!IA:JB,16,FALSE)</f>
        <v>0</v>
      </c>
      <c r="S95" s="119">
        <f>VLOOKUP(C95,'Talente &amp; Stuff'!IA:JB,17,FALSE)</f>
        <v>0</v>
      </c>
      <c r="T95" s="160">
        <f>VLOOKUP(C95,'Talente &amp; Stuff'!IA:JB,18,FALSE)</f>
        <v>0</v>
      </c>
      <c r="U95" s="89">
        <f>VLOOKUP(C95,'Talente &amp; Stuff'!IA:JB,19,FALSE)</f>
        <v>0</v>
      </c>
      <c r="V95" s="47">
        <f>VLOOKUP(C95,'Talente &amp; Stuff'!IA:JB,20,FALSE)</f>
        <v>0</v>
      </c>
      <c r="W95" s="127">
        <f>VLOOKUP(C95,'Talente &amp; Stuff'!IA:JB,21,FALSE)</f>
        <v>0</v>
      </c>
      <c r="X95" s="127">
        <f>VLOOKUP(C95,'Talente &amp; Stuff'!IA:JB,22,FALSE)</f>
        <v>0</v>
      </c>
      <c r="Y95" s="165">
        <f t="shared" si="10"/>
        <v>0</v>
      </c>
      <c r="Z95" s="44">
        <f t="shared" si="11"/>
        <v>0</v>
      </c>
      <c r="AA95" s="125">
        <f>VLOOKUP(C95,'Talente &amp; Stuff'!IA:JB,25,FALSE)</f>
        <v>0</v>
      </c>
      <c r="AB95" s="160">
        <f>VLOOKUP(C95,'Talente &amp; Stuff'!IA:JB,26,FALSE)</f>
        <v>0</v>
      </c>
      <c r="AC95" s="127">
        <f>VLOOKUP(C95,'Talente &amp; Stuff'!IA:JB,27,FALSE)</f>
        <v>0</v>
      </c>
      <c r="AD95" s="125">
        <f>VLOOKUP(C95,'Talente &amp; Stuff'!IA:JB,28,FALSE)</f>
        <v>0</v>
      </c>
      <c r="AE95" s="28"/>
    </row>
    <row r="96" spans="2:31" ht="15" hidden="1" customHeight="1" outlineLevel="2">
      <c r="B96" s="148">
        <v>19</v>
      </c>
      <c r="C96" s="177" t="str">
        <f>Attribute!C96</f>
        <v>---</v>
      </c>
      <c r="D96" s="125" t="str">
        <f>VLOOKUP(C96,'Talente &amp; Stuff'!IA:JB,2,FALSE)</f>
        <v>--/--/--</v>
      </c>
      <c r="E96" s="127" t="str">
        <f>VLOOKUP(C96,'Talente &amp; Stuff'!IA:JB,3,FALSE)</f>
        <v>-</v>
      </c>
      <c r="F96" s="114">
        <f>VLOOKUP(C96,'Talente &amp; Stuff'!IA:JB,4,FALSE)</f>
        <v>0</v>
      </c>
      <c r="G96" s="113">
        <f>VLOOKUP(C96,'Talente &amp; Stuff'!IA:JB,5,FALSE)</f>
        <v>0</v>
      </c>
      <c r="H96" s="113">
        <f>VLOOKUP(C96,'Talente &amp; Stuff'!IA:JB,6,FALSE)</f>
        <v>0</v>
      </c>
      <c r="I96" s="113">
        <f>VLOOKUP(C96,'Talente &amp; Stuff'!IA:JB,7,FALSE)</f>
        <v>0</v>
      </c>
      <c r="J96" s="113">
        <f>VLOOKUP(C96,'Talente &amp; Stuff'!IA:JB,8,FALSE)</f>
        <v>0</v>
      </c>
      <c r="K96" s="113">
        <f>VLOOKUP(C96,'Talente &amp; Stuff'!IA:JB,9,FALSE)</f>
        <v>0</v>
      </c>
      <c r="L96" s="113">
        <f>VLOOKUP(C96,'Talente &amp; Stuff'!IA:JB,10,FALSE)</f>
        <v>0</v>
      </c>
      <c r="M96" s="119">
        <f>VLOOKUP(C96,'Talente &amp; Stuff'!IA:JB,11,FALSE)</f>
        <v>0</v>
      </c>
      <c r="N96" s="89">
        <f>VLOOKUP(C96,'Talente &amp; Stuff'!IA:JB,12,FALSE)</f>
        <v>0</v>
      </c>
      <c r="O96" s="47">
        <f>VLOOKUP(C96,'Talente &amp; Stuff'!IA:JB,13,FALSE)</f>
        <v>0</v>
      </c>
      <c r="P96" s="119">
        <f>VLOOKUP(C96,'Talente &amp; Stuff'!IA:JB,14,FALSE)</f>
        <v>0</v>
      </c>
      <c r="Q96" s="114">
        <f>VLOOKUP(C96,'Talente &amp; Stuff'!IA:JB,15,FALSE)</f>
        <v>0</v>
      </c>
      <c r="R96" s="113">
        <f>VLOOKUP(C96,'Talente &amp; Stuff'!IA:JB,16,FALSE)</f>
        <v>0</v>
      </c>
      <c r="S96" s="119">
        <f>VLOOKUP(C96,'Talente &amp; Stuff'!IA:JB,17,FALSE)</f>
        <v>0</v>
      </c>
      <c r="T96" s="160">
        <f>VLOOKUP(C96,'Talente &amp; Stuff'!IA:JB,18,FALSE)</f>
        <v>0</v>
      </c>
      <c r="U96" s="89">
        <f>VLOOKUP(C96,'Talente &amp; Stuff'!IA:JB,19,FALSE)</f>
        <v>0</v>
      </c>
      <c r="V96" s="47">
        <f>VLOOKUP(C96,'Talente &amp; Stuff'!IA:JB,20,FALSE)</f>
        <v>0</v>
      </c>
      <c r="W96" s="127">
        <f>VLOOKUP(C96,'Talente &amp; Stuff'!IA:JB,21,FALSE)</f>
        <v>0</v>
      </c>
      <c r="X96" s="127">
        <f>VLOOKUP(C96,'Talente &amp; Stuff'!IA:JB,22,FALSE)</f>
        <v>0</v>
      </c>
      <c r="Y96" s="165">
        <f t="shared" si="10"/>
        <v>0</v>
      </c>
      <c r="Z96" s="44">
        <f t="shared" si="11"/>
        <v>0</v>
      </c>
      <c r="AA96" s="125">
        <f>VLOOKUP(C96,'Talente &amp; Stuff'!IA:JB,25,FALSE)</f>
        <v>0</v>
      </c>
      <c r="AB96" s="160">
        <f>VLOOKUP(C96,'Talente &amp; Stuff'!IA:JB,26,FALSE)</f>
        <v>0</v>
      </c>
      <c r="AC96" s="127">
        <f>VLOOKUP(C96,'Talente &amp; Stuff'!IA:JB,27,FALSE)</f>
        <v>0</v>
      </c>
      <c r="AD96" s="125">
        <f>VLOOKUP(C96,'Talente &amp; Stuff'!IA:JB,28,FALSE)</f>
        <v>0</v>
      </c>
      <c r="AE96" s="28"/>
    </row>
    <row r="97" spans="2:31" ht="15" hidden="1" customHeight="1" outlineLevel="2">
      <c r="B97" s="148">
        <v>20</v>
      </c>
      <c r="C97" s="177" t="str">
        <f>Attribute!C97</f>
        <v>---</v>
      </c>
      <c r="D97" s="125" t="str">
        <f>VLOOKUP(C97,'Talente &amp; Stuff'!IA:JB,2,FALSE)</f>
        <v>--/--/--</v>
      </c>
      <c r="E97" s="127" t="str">
        <f>VLOOKUP(C97,'Talente &amp; Stuff'!IA:JB,3,FALSE)</f>
        <v>-</v>
      </c>
      <c r="F97" s="114">
        <f>VLOOKUP(C97,'Talente &amp; Stuff'!IA:JB,4,FALSE)</f>
        <v>0</v>
      </c>
      <c r="G97" s="113">
        <f>VLOOKUP(C97,'Talente &amp; Stuff'!IA:JB,5,FALSE)</f>
        <v>0</v>
      </c>
      <c r="H97" s="113">
        <f>VLOOKUP(C97,'Talente &amp; Stuff'!IA:JB,6,FALSE)</f>
        <v>0</v>
      </c>
      <c r="I97" s="113">
        <f>VLOOKUP(C97,'Talente &amp; Stuff'!IA:JB,7,FALSE)</f>
        <v>0</v>
      </c>
      <c r="J97" s="113">
        <f>VLOOKUP(C97,'Talente &amp; Stuff'!IA:JB,8,FALSE)</f>
        <v>0</v>
      </c>
      <c r="K97" s="113">
        <f>VLOOKUP(C97,'Talente &amp; Stuff'!IA:JB,9,FALSE)</f>
        <v>0</v>
      </c>
      <c r="L97" s="113">
        <f>VLOOKUP(C97,'Talente &amp; Stuff'!IA:JB,10,FALSE)</f>
        <v>0</v>
      </c>
      <c r="M97" s="119">
        <f>VLOOKUP(C97,'Talente &amp; Stuff'!IA:JB,11,FALSE)</f>
        <v>0</v>
      </c>
      <c r="N97" s="89">
        <f>VLOOKUP(C97,'Talente &amp; Stuff'!IA:JB,12,FALSE)</f>
        <v>0</v>
      </c>
      <c r="O97" s="47">
        <f>VLOOKUP(C97,'Talente &amp; Stuff'!IA:JB,13,FALSE)</f>
        <v>0</v>
      </c>
      <c r="P97" s="119">
        <f>VLOOKUP(C97,'Talente &amp; Stuff'!IA:JB,14,FALSE)</f>
        <v>0</v>
      </c>
      <c r="Q97" s="114">
        <f>VLOOKUP(C97,'Talente &amp; Stuff'!IA:JB,15,FALSE)</f>
        <v>0</v>
      </c>
      <c r="R97" s="113">
        <f>VLOOKUP(C97,'Talente &amp; Stuff'!IA:JB,16,FALSE)</f>
        <v>0</v>
      </c>
      <c r="S97" s="119">
        <f>VLOOKUP(C97,'Talente &amp; Stuff'!IA:JB,17,FALSE)</f>
        <v>0</v>
      </c>
      <c r="T97" s="160">
        <f>VLOOKUP(C97,'Talente &amp; Stuff'!IA:JB,18,FALSE)</f>
        <v>0</v>
      </c>
      <c r="U97" s="89">
        <f>VLOOKUP(C97,'Talente &amp; Stuff'!IA:JB,19,FALSE)</f>
        <v>0</v>
      </c>
      <c r="V97" s="47">
        <f>VLOOKUP(C97,'Talente &amp; Stuff'!IA:JB,20,FALSE)</f>
        <v>0</v>
      </c>
      <c r="W97" s="127">
        <f>VLOOKUP(C97,'Talente &amp; Stuff'!IA:JB,21,FALSE)</f>
        <v>0</v>
      </c>
      <c r="X97" s="127">
        <f>VLOOKUP(C97,'Talente &amp; Stuff'!IA:JB,22,FALSE)</f>
        <v>0</v>
      </c>
      <c r="Y97" s="165">
        <f t="shared" si="10"/>
        <v>0</v>
      </c>
      <c r="Z97" s="44">
        <f t="shared" si="11"/>
        <v>0</v>
      </c>
      <c r="AA97" s="125">
        <f>VLOOKUP(C97,'Talente &amp; Stuff'!IA:JB,25,FALSE)</f>
        <v>0</v>
      </c>
      <c r="AB97" s="160">
        <f>VLOOKUP(C97,'Talente &amp; Stuff'!IA:JB,26,FALSE)</f>
        <v>0</v>
      </c>
      <c r="AC97" s="127">
        <f>VLOOKUP(C97,'Talente &amp; Stuff'!IA:JB,27,FALSE)</f>
        <v>0</v>
      </c>
      <c r="AD97" s="125">
        <f>VLOOKUP(C97,'Talente &amp; Stuff'!IA:JB,28,FALSE)</f>
        <v>0</v>
      </c>
      <c r="AE97" s="28"/>
    </row>
    <row r="98" spans="2:31" ht="15" hidden="1" customHeight="1" outlineLevel="2">
      <c r="B98" s="148">
        <v>21</v>
      </c>
      <c r="C98" s="178" t="str">
        <f>Attribute!C98</f>
        <v>---</v>
      </c>
      <c r="D98" s="87" t="str">
        <f>VLOOKUP(C98,'Talente &amp; Stuff'!IA:JB,2,FALSE)</f>
        <v>--/--/--</v>
      </c>
      <c r="E98" s="128" t="str">
        <f>VLOOKUP(C98,'Talente &amp; Stuff'!IA:JB,3,FALSE)</f>
        <v>-</v>
      </c>
      <c r="F98" s="115">
        <f>VLOOKUP(C98,'Talente &amp; Stuff'!IA:JB,4,FALSE)</f>
        <v>0</v>
      </c>
      <c r="G98" s="122">
        <f>VLOOKUP(C98,'Talente &amp; Stuff'!IA:JB,5,FALSE)</f>
        <v>0</v>
      </c>
      <c r="H98" s="122">
        <f>VLOOKUP(C98,'Talente &amp; Stuff'!IA:JB,6,FALSE)</f>
        <v>0</v>
      </c>
      <c r="I98" s="122">
        <f>VLOOKUP(C98,'Talente &amp; Stuff'!IA:JB,7,FALSE)</f>
        <v>0</v>
      </c>
      <c r="J98" s="122">
        <f>VLOOKUP(C98,'Talente &amp; Stuff'!IA:JB,8,FALSE)</f>
        <v>0</v>
      </c>
      <c r="K98" s="122">
        <f>VLOOKUP(C98,'Talente &amp; Stuff'!IA:JB,9,FALSE)</f>
        <v>0</v>
      </c>
      <c r="L98" s="122">
        <f>VLOOKUP(C98,'Talente &amp; Stuff'!IA:JB,10,FALSE)</f>
        <v>0</v>
      </c>
      <c r="M98" s="123">
        <f>VLOOKUP(C98,'Talente &amp; Stuff'!IA:JB,11,FALSE)</f>
        <v>0</v>
      </c>
      <c r="N98" s="88">
        <f>VLOOKUP(C98,'Talente &amp; Stuff'!IA:JB,12,FALSE)</f>
        <v>0</v>
      </c>
      <c r="O98" s="2">
        <f>VLOOKUP(C98,'Talente &amp; Stuff'!IA:JB,13,FALSE)</f>
        <v>0</v>
      </c>
      <c r="P98" s="173">
        <f>VLOOKUP(C98,'Talente &amp; Stuff'!IA:JB,14,FALSE)</f>
        <v>0</v>
      </c>
      <c r="Q98" s="115">
        <f>VLOOKUP(C98,'Talente &amp; Stuff'!IA:JB,15,FALSE)</f>
        <v>0</v>
      </c>
      <c r="R98" s="169">
        <f>VLOOKUP(C98,'Talente &amp; Stuff'!IA:JB,16,FALSE)</f>
        <v>0</v>
      </c>
      <c r="S98" s="123">
        <f>VLOOKUP(C98,'Talente &amp; Stuff'!IA:JB,17,FALSE)</f>
        <v>0</v>
      </c>
      <c r="T98" s="123">
        <f>VLOOKUP(C98,'Talente &amp; Stuff'!IA:JB,18,FALSE)</f>
        <v>0</v>
      </c>
      <c r="U98" s="90">
        <f>VLOOKUP(C98,'Talente &amp; Stuff'!IA:JB,19,FALSE)</f>
        <v>0</v>
      </c>
      <c r="V98" s="88">
        <f>VLOOKUP(C98,'Talente &amp; Stuff'!IA:JB,20,FALSE)</f>
        <v>0</v>
      </c>
      <c r="W98" s="128">
        <f>VLOOKUP(C98,'Talente &amp; Stuff'!IA:JB,21,FALSE)</f>
        <v>0</v>
      </c>
      <c r="X98" s="128">
        <f>VLOOKUP(C98,'Talente &amp; Stuff'!IA:JB,22,FALSE)</f>
        <v>0</v>
      </c>
      <c r="Y98" s="165">
        <f t="shared" si="10"/>
        <v>0</v>
      </c>
      <c r="Z98" s="44">
        <f t="shared" si="11"/>
        <v>0</v>
      </c>
      <c r="AA98" s="159">
        <f>VLOOKUP(C98,'Talente &amp; Stuff'!IA:JB,25,FALSE)</f>
        <v>0</v>
      </c>
      <c r="AB98" s="161">
        <f>VLOOKUP(C98,'Talente &amp; Stuff'!IA:JB,26,FALSE)</f>
        <v>0</v>
      </c>
      <c r="AC98" s="128">
        <f>VLOOKUP(C98,'Talente &amp; Stuff'!IA:JB,27,FALSE)</f>
        <v>0</v>
      </c>
      <c r="AD98" s="159">
        <f>VLOOKUP(C98,'Talente &amp; Stuff'!IA:JB,28,FALSE)</f>
        <v>0</v>
      </c>
      <c r="AE98" s="28"/>
    </row>
    <row r="99" spans="2:31" ht="15" hidden="1" customHeight="1" outlineLevel="1" collapsed="1">
      <c r="B99" s="134" t="s">
        <v>331</v>
      </c>
      <c r="C99" s="83"/>
      <c r="D99" s="84"/>
      <c r="E99" s="84"/>
    </row>
    <row r="100" spans="2:31" ht="15" hidden="1" customHeight="1" outlineLevel="2">
      <c r="B100" s="148">
        <v>1</v>
      </c>
      <c r="C100" s="176" t="str">
        <f>Attribute!C100</f>
        <v>---</v>
      </c>
      <c r="D100" s="85" t="str">
        <f>VLOOKUP(C100,'Talente &amp; Stuff'!IA:JB,2,FALSE)</f>
        <v>--/--/--</v>
      </c>
      <c r="E100" s="126" t="str">
        <f>VLOOKUP(C100,'Talente &amp; Stuff'!IA:JB,3,FALSE)</f>
        <v>-</v>
      </c>
      <c r="F100" s="191">
        <f>VLOOKUP(C100,'Talente &amp; Stuff'!IA:JB,4,FALSE)</f>
        <v>0</v>
      </c>
      <c r="G100" s="118">
        <f>VLOOKUP(C100,'Talente &amp; Stuff'!IA:JB,5,FALSE)</f>
        <v>0</v>
      </c>
      <c r="H100" s="118">
        <f>VLOOKUP(C100,'Talente &amp; Stuff'!IA:JB,6,FALSE)</f>
        <v>0</v>
      </c>
      <c r="I100" s="118">
        <f>VLOOKUP(C100,'Talente &amp; Stuff'!IA:JB,7,FALSE)</f>
        <v>0</v>
      </c>
      <c r="J100" s="118">
        <f>VLOOKUP(C100,'Talente &amp; Stuff'!IA:JB,8,FALSE)</f>
        <v>0</v>
      </c>
      <c r="K100" s="118">
        <f>VLOOKUP(C100,'Talente &amp; Stuff'!IA:JB,9,FALSE)</f>
        <v>0</v>
      </c>
      <c r="L100" s="118">
        <f>VLOOKUP(C100,'Talente &amp; Stuff'!IA:JB,10,FALSE)</f>
        <v>0</v>
      </c>
      <c r="M100" s="92">
        <f>VLOOKUP(C100,'Talente &amp; Stuff'!IA:JB,11,FALSE)</f>
        <v>0</v>
      </c>
      <c r="N100" s="116">
        <f>VLOOKUP(C100,'Talente &amp; Stuff'!IA:JB,12,FALSE)</f>
        <v>0</v>
      </c>
      <c r="O100" s="194">
        <f>VLOOKUP(C100,'Talente &amp; Stuff'!IA:JB,13,FALSE)</f>
        <v>0</v>
      </c>
      <c r="P100" s="192">
        <f>VLOOKUP(C100,'Talente &amp; Stuff'!IA:JB,14,FALSE)</f>
        <v>0</v>
      </c>
      <c r="Q100" s="191">
        <f>VLOOKUP(C100,'Talente &amp; Stuff'!IA:JB,15,FALSE)</f>
        <v>0</v>
      </c>
      <c r="R100" s="170">
        <f>VLOOKUP(C100,'Talente &amp; Stuff'!IA:JB,16,FALSE)</f>
        <v>0</v>
      </c>
      <c r="S100" s="92">
        <f>VLOOKUP(C100,'Talente &amp; Stuff'!IA:JB,17,FALSE)</f>
        <v>0</v>
      </c>
      <c r="T100" s="92">
        <f>VLOOKUP(C100,'Talente &amp; Stuff'!IA:JB,18,FALSE)</f>
        <v>0</v>
      </c>
      <c r="U100" s="193">
        <f>VLOOKUP(C100,'Talente &amp; Stuff'!IA:JB,19,FALSE)</f>
        <v>0</v>
      </c>
      <c r="V100" s="116">
        <f>VLOOKUP(C100,'Talente &amp; Stuff'!IA:JB,20,FALSE)</f>
        <v>0</v>
      </c>
      <c r="W100" s="126">
        <f>VLOOKUP(C100,'Talente &amp; Stuff'!IA:JB,21,FALSE)</f>
        <v>0</v>
      </c>
      <c r="X100" s="126">
        <f>VLOOKUP(C100,'Talente &amp; Stuff'!IA:JB,22,FALSE)</f>
        <v>0</v>
      </c>
      <c r="Y100" s="165">
        <f t="shared" ref="Y100:Y126" si="12">VLOOKUP(C100,Ausgewählte_Zauber_Druiden,255,FALSE)</f>
        <v>0</v>
      </c>
      <c r="Z100" s="44">
        <f t="shared" ref="Z100:Z126" si="13">VLOOKUP(C100,Ausgewählte_Zauber_Druiden,256,FALSE)</f>
        <v>0</v>
      </c>
      <c r="AA100" s="158">
        <f>VLOOKUP(C100,'Talente &amp; Stuff'!IA:JB,25,FALSE)</f>
        <v>0</v>
      </c>
      <c r="AB100" s="91">
        <f>VLOOKUP(C100,'Talente &amp; Stuff'!IA:JB,26,FALSE)</f>
        <v>0</v>
      </c>
      <c r="AC100" s="126">
        <f>VLOOKUP(C100,'Talente &amp; Stuff'!IA:JB,27,FALSE)</f>
        <v>0</v>
      </c>
      <c r="AD100" s="158">
        <f>VLOOKUP(C100,'Talente &amp; Stuff'!IA:JB,28,FALSE)</f>
        <v>0</v>
      </c>
      <c r="AE100" s="28"/>
    </row>
    <row r="101" spans="2:31" ht="15" hidden="1" customHeight="1" outlineLevel="2">
      <c r="B101" s="148">
        <v>2</v>
      </c>
      <c r="C101" s="177" t="str">
        <f>Attribute!C101</f>
        <v>---</v>
      </c>
      <c r="D101" s="86" t="str">
        <f>VLOOKUP(C101,'Talente &amp; Stuff'!IA:JB,2,FALSE)</f>
        <v>--/--/--</v>
      </c>
      <c r="E101" s="167" t="str">
        <f>VLOOKUP(C101,'Talente &amp; Stuff'!IA:JB,3,FALSE)</f>
        <v>-</v>
      </c>
      <c r="F101" s="120">
        <f>VLOOKUP(C101,'Talente &amp; Stuff'!IA:JB,4,FALSE)</f>
        <v>0</v>
      </c>
      <c r="G101" s="117">
        <f>VLOOKUP(C101,'Talente &amp; Stuff'!IA:JB,5,FALSE)</f>
        <v>0</v>
      </c>
      <c r="H101" s="117">
        <f>VLOOKUP(C101,'Talente &amp; Stuff'!IA:JB,6,FALSE)</f>
        <v>0</v>
      </c>
      <c r="I101" s="117">
        <f>VLOOKUP(C101,'Talente &amp; Stuff'!IA:JB,7,FALSE)</f>
        <v>0</v>
      </c>
      <c r="J101" s="117">
        <f>VLOOKUP(C101,'Talente &amp; Stuff'!IA:JB,8,FALSE)</f>
        <v>0</v>
      </c>
      <c r="K101" s="117">
        <f>VLOOKUP(C101,'Talente &amp; Stuff'!IA:JB,9,FALSE)</f>
        <v>0</v>
      </c>
      <c r="L101" s="117">
        <f>VLOOKUP(C101,'Talente &amp; Stuff'!IA:JB,10,FALSE)</f>
        <v>0</v>
      </c>
      <c r="M101" s="121">
        <f>VLOOKUP(C101,'Talente &amp; Stuff'!IA:JB,11,FALSE)</f>
        <v>0</v>
      </c>
      <c r="N101" s="47">
        <f>VLOOKUP(C101,'Talente &amp; Stuff'!IA:JB,12,FALSE)</f>
        <v>0</v>
      </c>
      <c r="O101" s="3">
        <f>VLOOKUP(C101,'Talente &amp; Stuff'!IA:JB,13,FALSE)</f>
        <v>0</v>
      </c>
      <c r="P101" s="174">
        <f>VLOOKUP(C101,'Talente &amp; Stuff'!IA:JB,14,FALSE)</f>
        <v>0</v>
      </c>
      <c r="Q101" s="114">
        <f>VLOOKUP(C101,'Talente &amp; Stuff'!IA:JB,15,FALSE)</f>
        <v>0</v>
      </c>
      <c r="R101" s="117">
        <f>VLOOKUP(C101,'Talente &amp; Stuff'!IA:JB,16,FALSE)</f>
        <v>0</v>
      </c>
      <c r="S101" s="119">
        <f>VLOOKUP(C101,'Talente &amp; Stuff'!IA:JB,17,FALSE)</f>
        <v>0</v>
      </c>
      <c r="T101" s="119">
        <f>VLOOKUP(C101,'Talente &amp; Stuff'!IA:JB,18,FALSE)</f>
        <v>0</v>
      </c>
      <c r="U101" s="89">
        <f>VLOOKUP(C101,'Talente &amp; Stuff'!IA:JB,19,FALSE)</f>
        <v>0</v>
      </c>
      <c r="V101" s="47">
        <f>VLOOKUP(C101,'Talente &amp; Stuff'!IA:JB,20,FALSE)</f>
        <v>0</v>
      </c>
      <c r="W101" s="127">
        <f>VLOOKUP(C101,'Talente &amp; Stuff'!IA:JB,21,FALSE)</f>
        <v>0</v>
      </c>
      <c r="X101" s="127">
        <f>VLOOKUP(C101,'Talente &amp; Stuff'!IA:JB,22,FALSE)</f>
        <v>0</v>
      </c>
      <c r="Y101" s="165">
        <f t="shared" si="12"/>
        <v>0</v>
      </c>
      <c r="Z101" s="44">
        <f t="shared" si="13"/>
        <v>0</v>
      </c>
      <c r="AA101" s="125">
        <f>VLOOKUP(C101,'Talente &amp; Stuff'!IA:JB,25,FALSE)</f>
        <v>0</v>
      </c>
      <c r="AB101" s="160">
        <f>VLOOKUP(C101,'Talente &amp; Stuff'!IA:JB,26,FALSE)</f>
        <v>0</v>
      </c>
      <c r="AC101" s="127">
        <f>VLOOKUP(C101,'Talente &amp; Stuff'!IA:JB,27,FALSE)</f>
        <v>0</v>
      </c>
      <c r="AD101" s="125">
        <f>VLOOKUP(C101,'Talente &amp; Stuff'!IA:JB,28,FALSE)</f>
        <v>0</v>
      </c>
      <c r="AE101" s="28"/>
    </row>
    <row r="102" spans="2:31" ht="15" hidden="1" customHeight="1" outlineLevel="2">
      <c r="B102" s="148">
        <v>3</v>
      </c>
      <c r="C102" s="177" t="str">
        <f>Attribute!C102</f>
        <v>---</v>
      </c>
      <c r="D102" s="86" t="str">
        <f>VLOOKUP(C102,'Talente &amp; Stuff'!IA:JB,2,FALSE)</f>
        <v>--/--/--</v>
      </c>
      <c r="E102" s="167" t="str">
        <f>VLOOKUP(C102,'Talente &amp; Stuff'!IA:JB,3,FALSE)</f>
        <v>-</v>
      </c>
      <c r="F102" s="120">
        <f>VLOOKUP(C102,'Talente &amp; Stuff'!IA:JB,4,FALSE)</f>
        <v>0</v>
      </c>
      <c r="G102" s="117">
        <f>VLOOKUP(C102,'Talente &amp; Stuff'!IA:JB,5,FALSE)</f>
        <v>0</v>
      </c>
      <c r="H102" s="117">
        <f>VLOOKUP(C102,'Talente &amp; Stuff'!IA:JB,6,FALSE)</f>
        <v>0</v>
      </c>
      <c r="I102" s="117">
        <f>VLOOKUP(C102,'Talente &amp; Stuff'!IA:JB,7,FALSE)</f>
        <v>0</v>
      </c>
      <c r="J102" s="117">
        <f>VLOOKUP(C102,'Talente &amp; Stuff'!IA:JB,8,FALSE)</f>
        <v>0</v>
      </c>
      <c r="K102" s="117">
        <f>VLOOKUP(C102,'Talente &amp; Stuff'!IA:JB,9,FALSE)</f>
        <v>0</v>
      </c>
      <c r="L102" s="117">
        <f>VLOOKUP(C102,'Talente &amp; Stuff'!IA:JB,10,FALSE)</f>
        <v>0</v>
      </c>
      <c r="M102" s="121">
        <f>VLOOKUP(C102,'Talente &amp; Stuff'!IA:JB,11,FALSE)</f>
        <v>0</v>
      </c>
      <c r="N102" s="47">
        <f>VLOOKUP(C102,'Talente &amp; Stuff'!IA:JB,12,FALSE)</f>
        <v>0</v>
      </c>
      <c r="O102" s="3">
        <f>VLOOKUP(C102,'Talente &amp; Stuff'!IA:JB,13,FALSE)</f>
        <v>0</v>
      </c>
      <c r="P102" s="174">
        <f>VLOOKUP(C102,'Talente &amp; Stuff'!IA:JB,14,FALSE)</f>
        <v>0</v>
      </c>
      <c r="Q102" s="114">
        <f>VLOOKUP(C102,'Talente &amp; Stuff'!IA:JB,15,FALSE)</f>
        <v>0</v>
      </c>
      <c r="R102" s="117">
        <f>VLOOKUP(C102,'Talente &amp; Stuff'!IA:JB,16,FALSE)</f>
        <v>0</v>
      </c>
      <c r="S102" s="119">
        <f>VLOOKUP(C102,'Talente &amp; Stuff'!IA:JB,17,FALSE)</f>
        <v>0</v>
      </c>
      <c r="T102" s="119">
        <f>VLOOKUP(C102,'Talente &amp; Stuff'!IA:JB,18,FALSE)</f>
        <v>0</v>
      </c>
      <c r="U102" s="89">
        <f>VLOOKUP(C102,'Talente &amp; Stuff'!IA:JB,19,FALSE)</f>
        <v>0</v>
      </c>
      <c r="V102" s="47">
        <f>VLOOKUP(C102,'Talente &amp; Stuff'!IA:JB,20,FALSE)</f>
        <v>0</v>
      </c>
      <c r="W102" s="127">
        <f>VLOOKUP(C102,'Talente &amp; Stuff'!IA:JB,21,FALSE)</f>
        <v>0</v>
      </c>
      <c r="X102" s="127">
        <f>VLOOKUP(C102,'Talente &amp; Stuff'!IA:JB,22,FALSE)</f>
        <v>0</v>
      </c>
      <c r="Y102" s="165">
        <f t="shared" si="12"/>
        <v>0</v>
      </c>
      <c r="Z102" s="44">
        <f t="shared" si="13"/>
        <v>0</v>
      </c>
      <c r="AA102" s="125">
        <f>VLOOKUP(C102,'Talente &amp; Stuff'!IA:JB,25,FALSE)</f>
        <v>0</v>
      </c>
      <c r="AB102" s="160">
        <f>VLOOKUP(C102,'Talente &amp; Stuff'!IA:JB,26,FALSE)</f>
        <v>0</v>
      </c>
      <c r="AC102" s="127">
        <f>VLOOKUP(C102,'Talente &amp; Stuff'!IA:JB,27,FALSE)</f>
        <v>0</v>
      </c>
      <c r="AD102" s="125">
        <f>VLOOKUP(C102,'Talente &amp; Stuff'!IA:JB,28,FALSE)</f>
        <v>0</v>
      </c>
      <c r="AE102" s="28"/>
    </row>
    <row r="103" spans="2:31" ht="15" hidden="1" customHeight="1" outlineLevel="2">
      <c r="B103" s="148">
        <v>4</v>
      </c>
      <c r="C103" s="177" t="str">
        <f>Attribute!C103</f>
        <v>---</v>
      </c>
      <c r="D103" s="86" t="str">
        <f>VLOOKUP(C103,'Talente &amp; Stuff'!IA:JB,2,FALSE)</f>
        <v>--/--/--</v>
      </c>
      <c r="E103" s="167" t="str">
        <f>VLOOKUP(C103,'Talente &amp; Stuff'!IA:JB,3,FALSE)</f>
        <v>-</v>
      </c>
      <c r="F103" s="120">
        <f>VLOOKUP(C103,'Talente &amp; Stuff'!IA:JB,4,FALSE)</f>
        <v>0</v>
      </c>
      <c r="G103" s="117">
        <f>VLOOKUP(C103,'Talente &amp; Stuff'!IA:JB,5,FALSE)</f>
        <v>0</v>
      </c>
      <c r="H103" s="117">
        <f>VLOOKUP(C103,'Talente &amp; Stuff'!IA:JB,6,FALSE)</f>
        <v>0</v>
      </c>
      <c r="I103" s="117">
        <f>VLOOKUP(C103,'Talente &amp; Stuff'!IA:JB,7,FALSE)</f>
        <v>0</v>
      </c>
      <c r="J103" s="117">
        <f>VLOOKUP(C103,'Talente &amp; Stuff'!IA:JB,8,FALSE)</f>
        <v>0</v>
      </c>
      <c r="K103" s="117">
        <f>VLOOKUP(C103,'Talente &amp; Stuff'!IA:JB,9,FALSE)</f>
        <v>0</v>
      </c>
      <c r="L103" s="117">
        <f>VLOOKUP(C103,'Talente &amp; Stuff'!IA:JB,10,FALSE)</f>
        <v>0</v>
      </c>
      <c r="M103" s="121">
        <f>VLOOKUP(C103,'Talente &amp; Stuff'!IA:JB,11,FALSE)</f>
        <v>0</v>
      </c>
      <c r="N103" s="47">
        <f>VLOOKUP(C103,'Talente &amp; Stuff'!IA:JB,12,FALSE)</f>
        <v>0</v>
      </c>
      <c r="O103" s="3">
        <f>VLOOKUP(C103,'Talente &amp; Stuff'!IA:JB,13,FALSE)</f>
        <v>0</v>
      </c>
      <c r="P103" s="174">
        <f>VLOOKUP(C103,'Talente &amp; Stuff'!IA:JB,14,FALSE)</f>
        <v>0</v>
      </c>
      <c r="Q103" s="114">
        <f>VLOOKUP(C103,'Talente &amp; Stuff'!IA:JB,15,FALSE)</f>
        <v>0</v>
      </c>
      <c r="R103" s="117">
        <f>VLOOKUP(C103,'Talente &amp; Stuff'!IA:JB,16,FALSE)</f>
        <v>0</v>
      </c>
      <c r="S103" s="119">
        <f>VLOOKUP(C103,'Talente &amp; Stuff'!IA:JB,17,FALSE)</f>
        <v>0</v>
      </c>
      <c r="T103" s="119">
        <f>VLOOKUP(C103,'Talente &amp; Stuff'!IA:JB,18,FALSE)</f>
        <v>0</v>
      </c>
      <c r="U103" s="89">
        <f>VLOOKUP(C103,'Talente &amp; Stuff'!IA:JB,19,FALSE)</f>
        <v>0</v>
      </c>
      <c r="V103" s="47">
        <f>VLOOKUP(C103,'Talente &amp; Stuff'!IA:JB,20,FALSE)</f>
        <v>0</v>
      </c>
      <c r="W103" s="127">
        <f>VLOOKUP(C103,'Talente &amp; Stuff'!IA:JB,21,FALSE)</f>
        <v>0</v>
      </c>
      <c r="X103" s="127">
        <f>VLOOKUP(C103,'Talente &amp; Stuff'!IA:JB,22,FALSE)</f>
        <v>0</v>
      </c>
      <c r="Y103" s="165">
        <f t="shared" si="12"/>
        <v>0</v>
      </c>
      <c r="Z103" s="44">
        <f t="shared" si="13"/>
        <v>0</v>
      </c>
      <c r="AA103" s="125">
        <f>VLOOKUP(C103,'Talente &amp; Stuff'!IA:JB,25,FALSE)</f>
        <v>0</v>
      </c>
      <c r="AB103" s="160">
        <f>VLOOKUP(C103,'Talente &amp; Stuff'!IA:JB,26,FALSE)</f>
        <v>0</v>
      </c>
      <c r="AC103" s="127">
        <f>VLOOKUP(C103,'Talente &amp; Stuff'!IA:JB,27,FALSE)</f>
        <v>0</v>
      </c>
      <c r="AD103" s="125">
        <f>VLOOKUP(C103,'Talente &amp; Stuff'!IA:JB,28,FALSE)</f>
        <v>0</v>
      </c>
      <c r="AE103" s="28"/>
    </row>
    <row r="104" spans="2:31" ht="15" hidden="1" customHeight="1" outlineLevel="2">
      <c r="B104" s="148">
        <v>5</v>
      </c>
      <c r="C104" s="177" t="str">
        <f>Attribute!C104</f>
        <v>---</v>
      </c>
      <c r="D104" s="86" t="str">
        <f>VLOOKUP(C104,'Talente &amp; Stuff'!IA:JB,2,FALSE)</f>
        <v>--/--/--</v>
      </c>
      <c r="E104" s="167" t="str">
        <f>VLOOKUP(C104,'Talente &amp; Stuff'!IA:JB,3,FALSE)</f>
        <v>-</v>
      </c>
      <c r="F104" s="120">
        <f>VLOOKUP(C104,'Talente &amp; Stuff'!IA:JB,4,FALSE)</f>
        <v>0</v>
      </c>
      <c r="G104" s="117">
        <f>VLOOKUP(C104,'Talente &amp; Stuff'!IA:JB,5,FALSE)</f>
        <v>0</v>
      </c>
      <c r="H104" s="117">
        <f>VLOOKUP(C104,'Talente &amp; Stuff'!IA:JB,6,FALSE)</f>
        <v>0</v>
      </c>
      <c r="I104" s="117">
        <f>VLOOKUP(C104,'Talente &amp; Stuff'!IA:JB,7,FALSE)</f>
        <v>0</v>
      </c>
      <c r="J104" s="117">
        <f>VLOOKUP(C104,'Talente &amp; Stuff'!IA:JB,8,FALSE)</f>
        <v>0</v>
      </c>
      <c r="K104" s="117">
        <f>VLOOKUP(C104,'Talente &amp; Stuff'!IA:JB,9,FALSE)</f>
        <v>0</v>
      </c>
      <c r="L104" s="117">
        <f>VLOOKUP(C104,'Talente &amp; Stuff'!IA:JB,10,FALSE)</f>
        <v>0</v>
      </c>
      <c r="M104" s="121">
        <f>VLOOKUP(C104,'Talente &amp; Stuff'!IA:JB,11,FALSE)</f>
        <v>0</v>
      </c>
      <c r="N104" s="47">
        <f>VLOOKUP(C104,'Talente &amp; Stuff'!IA:JB,12,FALSE)</f>
        <v>0</v>
      </c>
      <c r="O104" s="3">
        <f>VLOOKUP(C104,'Talente &amp; Stuff'!IA:JB,13,FALSE)</f>
        <v>0</v>
      </c>
      <c r="P104" s="174">
        <f>VLOOKUP(C104,'Talente &amp; Stuff'!IA:JB,14,FALSE)</f>
        <v>0</v>
      </c>
      <c r="Q104" s="114">
        <f>VLOOKUP(C104,'Talente &amp; Stuff'!IA:JB,15,FALSE)</f>
        <v>0</v>
      </c>
      <c r="R104" s="117">
        <f>VLOOKUP(C104,'Talente &amp; Stuff'!IA:JB,16,FALSE)</f>
        <v>0</v>
      </c>
      <c r="S104" s="119">
        <f>VLOOKUP(C104,'Talente &amp; Stuff'!IA:JB,17,FALSE)</f>
        <v>0</v>
      </c>
      <c r="T104" s="119">
        <f>VLOOKUP(C104,'Talente &amp; Stuff'!IA:JB,18,FALSE)</f>
        <v>0</v>
      </c>
      <c r="U104" s="89">
        <f>VLOOKUP(C104,'Talente &amp; Stuff'!IA:JB,19,FALSE)</f>
        <v>0</v>
      </c>
      <c r="V104" s="47">
        <f>VLOOKUP(C104,'Talente &amp; Stuff'!IA:JB,20,FALSE)</f>
        <v>0</v>
      </c>
      <c r="W104" s="127">
        <f>VLOOKUP(C104,'Talente &amp; Stuff'!IA:JB,21,FALSE)</f>
        <v>0</v>
      </c>
      <c r="X104" s="127">
        <f>VLOOKUP(C104,'Talente &amp; Stuff'!IA:JB,22,FALSE)</f>
        <v>0</v>
      </c>
      <c r="Y104" s="165">
        <f t="shared" si="12"/>
        <v>0</v>
      </c>
      <c r="Z104" s="44">
        <f t="shared" si="13"/>
        <v>0</v>
      </c>
      <c r="AA104" s="125">
        <f>VLOOKUP(C104,'Talente &amp; Stuff'!IA:JB,25,FALSE)</f>
        <v>0</v>
      </c>
      <c r="AB104" s="160">
        <f>VLOOKUP(C104,'Talente &amp; Stuff'!IA:JB,26,FALSE)</f>
        <v>0</v>
      </c>
      <c r="AC104" s="127">
        <f>VLOOKUP(C104,'Talente &amp; Stuff'!IA:JB,27,FALSE)</f>
        <v>0</v>
      </c>
      <c r="AD104" s="125">
        <f>VLOOKUP(C104,'Talente &amp; Stuff'!IA:JB,28,FALSE)</f>
        <v>0</v>
      </c>
      <c r="AE104" s="28"/>
    </row>
    <row r="105" spans="2:31" ht="15" hidden="1" customHeight="1" outlineLevel="2">
      <c r="B105" s="148">
        <v>6</v>
      </c>
      <c r="C105" s="177" t="str">
        <f>Attribute!C105</f>
        <v>---</v>
      </c>
      <c r="D105" s="86" t="str">
        <f>VLOOKUP(C105,'Talente &amp; Stuff'!IA:JB,2,FALSE)</f>
        <v>--/--/--</v>
      </c>
      <c r="E105" s="167" t="str">
        <f>VLOOKUP(C105,'Talente &amp; Stuff'!IA:JB,3,FALSE)</f>
        <v>-</v>
      </c>
      <c r="F105" s="120">
        <f>VLOOKUP(C105,'Talente &amp; Stuff'!IA:JB,4,FALSE)</f>
        <v>0</v>
      </c>
      <c r="G105" s="117">
        <f>VLOOKUP(C105,'Talente &amp; Stuff'!IA:JB,5,FALSE)</f>
        <v>0</v>
      </c>
      <c r="H105" s="117">
        <f>VLOOKUP(C105,'Talente &amp; Stuff'!IA:JB,6,FALSE)</f>
        <v>0</v>
      </c>
      <c r="I105" s="117">
        <f>VLOOKUP(C105,'Talente &amp; Stuff'!IA:JB,7,FALSE)</f>
        <v>0</v>
      </c>
      <c r="J105" s="117">
        <f>VLOOKUP(C105,'Talente &amp; Stuff'!IA:JB,8,FALSE)</f>
        <v>0</v>
      </c>
      <c r="K105" s="117">
        <f>VLOOKUP(C105,'Talente &amp; Stuff'!IA:JB,9,FALSE)</f>
        <v>0</v>
      </c>
      <c r="L105" s="117">
        <f>VLOOKUP(C105,'Talente &amp; Stuff'!IA:JB,10,FALSE)</f>
        <v>0</v>
      </c>
      <c r="M105" s="121">
        <f>VLOOKUP(C105,'Talente &amp; Stuff'!IA:JB,11,FALSE)</f>
        <v>0</v>
      </c>
      <c r="N105" s="47">
        <f>VLOOKUP(C105,'Talente &amp; Stuff'!IA:JB,12,FALSE)</f>
        <v>0</v>
      </c>
      <c r="O105" s="3">
        <f>VLOOKUP(C105,'Talente &amp; Stuff'!IA:JB,13,FALSE)</f>
        <v>0</v>
      </c>
      <c r="P105" s="174">
        <f>VLOOKUP(C105,'Talente &amp; Stuff'!IA:JB,14,FALSE)</f>
        <v>0</v>
      </c>
      <c r="Q105" s="114">
        <f>VLOOKUP(C105,'Talente &amp; Stuff'!IA:JB,15,FALSE)</f>
        <v>0</v>
      </c>
      <c r="R105" s="117">
        <f>VLOOKUP(C105,'Talente &amp; Stuff'!IA:JB,16,FALSE)</f>
        <v>0</v>
      </c>
      <c r="S105" s="119">
        <f>VLOOKUP(C105,'Talente &amp; Stuff'!IA:JB,17,FALSE)</f>
        <v>0</v>
      </c>
      <c r="T105" s="119">
        <f>VLOOKUP(C105,'Talente &amp; Stuff'!IA:JB,18,FALSE)</f>
        <v>0</v>
      </c>
      <c r="U105" s="89">
        <f>VLOOKUP(C105,'Talente &amp; Stuff'!IA:JB,19,FALSE)</f>
        <v>0</v>
      </c>
      <c r="V105" s="47">
        <f>VLOOKUP(C105,'Talente &amp; Stuff'!IA:JB,20,FALSE)</f>
        <v>0</v>
      </c>
      <c r="W105" s="127">
        <f>VLOOKUP(C105,'Talente &amp; Stuff'!IA:JB,21,FALSE)</f>
        <v>0</v>
      </c>
      <c r="X105" s="127">
        <f>VLOOKUP(C105,'Talente &amp; Stuff'!IA:JB,22,FALSE)</f>
        <v>0</v>
      </c>
      <c r="Y105" s="165">
        <f t="shared" si="12"/>
        <v>0</v>
      </c>
      <c r="Z105" s="44">
        <f t="shared" si="13"/>
        <v>0</v>
      </c>
      <c r="AA105" s="125">
        <f>VLOOKUP(C105,'Talente &amp; Stuff'!IA:JB,25,FALSE)</f>
        <v>0</v>
      </c>
      <c r="AB105" s="160">
        <f>VLOOKUP(C105,'Talente &amp; Stuff'!IA:JB,26,FALSE)</f>
        <v>0</v>
      </c>
      <c r="AC105" s="127">
        <f>VLOOKUP(C105,'Talente &amp; Stuff'!IA:JB,27,FALSE)</f>
        <v>0</v>
      </c>
      <c r="AD105" s="125">
        <f>VLOOKUP(C105,'Talente &amp; Stuff'!IA:JB,28,FALSE)</f>
        <v>0</v>
      </c>
      <c r="AE105" s="28"/>
    </row>
    <row r="106" spans="2:31" ht="15" hidden="1" customHeight="1" outlineLevel="2">
      <c r="B106" s="148">
        <v>7</v>
      </c>
      <c r="C106" s="177" t="str">
        <f>Attribute!C106</f>
        <v>---</v>
      </c>
      <c r="D106" s="86" t="str">
        <f>VLOOKUP(C106,'Talente &amp; Stuff'!IA:JB,2,FALSE)</f>
        <v>--/--/--</v>
      </c>
      <c r="E106" s="167" t="str">
        <f>VLOOKUP(C106,'Talente &amp; Stuff'!IA:JB,3,FALSE)</f>
        <v>-</v>
      </c>
      <c r="F106" s="120">
        <f>VLOOKUP(C106,'Talente &amp; Stuff'!IA:JB,4,FALSE)</f>
        <v>0</v>
      </c>
      <c r="G106" s="117">
        <f>VLOOKUP(C106,'Talente &amp; Stuff'!IA:JB,5,FALSE)</f>
        <v>0</v>
      </c>
      <c r="H106" s="117">
        <f>VLOOKUP(C106,'Talente &amp; Stuff'!IA:JB,6,FALSE)</f>
        <v>0</v>
      </c>
      <c r="I106" s="117">
        <f>VLOOKUP(C106,'Talente &amp; Stuff'!IA:JB,7,FALSE)</f>
        <v>0</v>
      </c>
      <c r="J106" s="117">
        <f>VLOOKUP(C106,'Talente &amp; Stuff'!IA:JB,8,FALSE)</f>
        <v>0</v>
      </c>
      <c r="K106" s="117">
        <f>VLOOKUP(C106,'Talente &amp; Stuff'!IA:JB,9,FALSE)</f>
        <v>0</v>
      </c>
      <c r="L106" s="117">
        <f>VLOOKUP(C106,'Talente &amp; Stuff'!IA:JB,10,FALSE)</f>
        <v>0</v>
      </c>
      <c r="M106" s="121">
        <f>VLOOKUP(C106,'Talente &amp; Stuff'!IA:JB,11,FALSE)</f>
        <v>0</v>
      </c>
      <c r="N106" s="47">
        <f>VLOOKUP(C106,'Talente &amp; Stuff'!IA:JB,12,FALSE)</f>
        <v>0</v>
      </c>
      <c r="O106" s="3">
        <f>VLOOKUP(C106,'Talente &amp; Stuff'!IA:JB,13,FALSE)</f>
        <v>0</v>
      </c>
      <c r="P106" s="174">
        <f>VLOOKUP(C106,'Talente &amp; Stuff'!IA:JB,14,FALSE)</f>
        <v>0</v>
      </c>
      <c r="Q106" s="114">
        <f>VLOOKUP(C106,'Talente &amp; Stuff'!IA:JB,15,FALSE)</f>
        <v>0</v>
      </c>
      <c r="R106" s="117">
        <f>VLOOKUP(C106,'Talente &amp; Stuff'!IA:JB,16,FALSE)</f>
        <v>0</v>
      </c>
      <c r="S106" s="119">
        <f>VLOOKUP(C106,'Talente &amp; Stuff'!IA:JB,17,FALSE)</f>
        <v>0</v>
      </c>
      <c r="T106" s="119">
        <f>VLOOKUP(C106,'Talente &amp; Stuff'!IA:JB,18,FALSE)</f>
        <v>0</v>
      </c>
      <c r="U106" s="89">
        <f>VLOOKUP(C106,'Talente &amp; Stuff'!IA:JB,19,FALSE)</f>
        <v>0</v>
      </c>
      <c r="V106" s="47">
        <f>VLOOKUP(C106,'Talente &amp; Stuff'!IA:JB,20,FALSE)</f>
        <v>0</v>
      </c>
      <c r="W106" s="127">
        <f>VLOOKUP(C106,'Talente &amp; Stuff'!IA:JB,21,FALSE)</f>
        <v>0</v>
      </c>
      <c r="X106" s="127">
        <f>VLOOKUP(C106,'Talente &amp; Stuff'!IA:JB,22,FALSE)</f>
        <v>0</v>
      </c>
      <c r="Y106" s="165">
        <f t="shared" si="12"/>
        <v>0</v>
      </c>
      <c r="Z106" s="44">
        <f t="shared" si="13"/>
        <v>0</v>
      </c>
      <c r="AA106" s="125">
        <f>VLOOKUP(C106,'Talente &amp; Stuff'!IA:JB,25,FALSE)</f>
        <v>0</v>
      </c>
      <c r="AB106" s="160">
        <f>VLOOKUP(C106,'Talente &amp; Stuff'!IA:JB,26,FALSE)</f>
        <v>0</v>
      </c>
      <c r="AC106" s="127">
        <f>VLOOKUP(C106,'Talente &amp; Stuff'!IA:JB,27,FALSE)</f>
        <v>0</v>
      </c>
      <c r="AD106" s="125">
        <f>VLOOKUP(C106,'Talente &amp; Stuff'!IA:JB,28,FALSE)</f>
        <v>0</v>
      </c>
      <c r="AE106" s="28"/>
    </row>
    <row r="107" spans="2:31" ht="15" hidden="1" customHeight="1" outlineLevel="2">
      <c r="B107" s="148">
        <v>8</v>
      </c>
      <c r="C107" s="177" t="str">
        <f>Attribute!C107</f>
        <v>---</v>
      </c>
      <c r="D107" s="86" t="str">
        <f>VLOOKUP(C107,'Talente &amp; Stuff'!IA:JB,2,FALSE)</f>
        <v>--/--/--</v>
      </c>
      <c r="E107" s="167" t="str">
        <f>VLOOKUP(C107,'Talente &amp; Stuff'!IA:JB,3,FALSE)</f>
        <v>-</v>
      </c>
      <c r="F107" s="120">
        <f>VLOOKUP(C107,'Talente &amp; Stuff'!IA:JB,4,FALSE)</f>
        <v>0</v>
      </c>
      <c r="G107" s="117">
        <f>VLOOKUP(C107,'Talente &amp; Stuff'!IA:JB,5,FALSE)</f>
        <v>0</v>
      </c>
      <c r="H107" s="117">
        <f>VLOOKUP(C107,'Talente &amp; Stuff'!IA:JB,6,FALSE)</f>
        <v>0</v>
      </c>
      <c r="I107" s="117">
        <f>VLOOKUP(C107,'Talente &amp; Stuff'!IA:JB,7,FALSE)</f>
        <v>0</v>
      </c>
      <c r="J107" s="117">
        <f>VLOOKUP(C107,'Talente &amp; Stuff'!IA:JB,8,FALSE)</f>
        <v>0</v>
      </c>
      <c r="K107" s="117">
        <f>VLOOKUP(C107,'Talente &amp; Stuff'!IA:JB,9,FALSE)</f>
        <v>0</v>
      </c>
      <c r="L107" s="117">
        <f>VLOOKUP(C107,'Talente &amp; Stuff'!IA:JB,10,FALSE)</f>
        <v>0</v>
      </c>
      <c r="M107" s="121">
        <f>VLOOKUP(C107,'Talente &amp; Stuff'!IA:JB,11,FALSE)</f>
        <v>0</v>
      </c>
      <c r="N107" s="47">
        <f>VLOOKUP(C107,'Talente &amp; Stuff'!IA:JB,12,FALSE)</f>
        <v>0</v>
      </c>
      <c r="O107" s="3">
        <f>VLOOKUP(C107,'Talente &amp; Stuff'!IA:JB,13,FALSE)</f>
        <v>0</v>
      </c>
      <c r="P107" s="174">
        <f>VLOOKUP(C107,'Talente &amp; Stuff'!IA:JB,14,FALSE)</f>
        <v>0</v>
      </c>
      <c r="Q107" s="114">
        <f>VLOOKUP(C107,'Talente &amp; Stuff'!IA:JB,15,FALSE)</f>
        <v>0</v>
      </c>
      <c r="R107" s="117">
        <f>VLOOKUP(C107,'Talente &amp; Stuff'!IA:JB,16,FALSE)</f>
        <v>0</v>
      </c>
      <c r="S107" s="119">
        <f>VLOOKUP(C107,'Talente &amp; Stuff'!IA:JB,17,FALSE)</f>
        <v>0</v>
      </c>
      <c r="T107" s="119">
        <f>VLOOKUP(C107,'Talente &amp; Stuff'!IA:JB,18,FALSE)</f>
        <v>0</v>
      </c>
      <c r="U107" s="89">
        <f>VLOOKUP(C107,'Talente &amp; Stuff'!IA:JB,19,FALSE)</f>
        <v>0</v>
      </c>
      <c r="V107" s="47">
        <f>VLOOKUP(C107,'Talente &amp; Stuff'!IA:JB,20,FALSE)</f>
        <v>0</v>
      </c>
      <c r="W107" s="127">
        <f>VLOOKUP(C107,'Talente &amp; Stuff'!IA:JB,21,FALSE)</f>
        <v>0</v>
      </c>
      <c r="X107" s="127">
        <f>VLOOKUP(C107,'Talente &amp; Stuff'!IA:JB,22,FALSE)</f>
        <v>0</v>
      </c>
      <c r="Y107" s="165">
        <f t="shared" si="12"/>
        <v>0</v>
      </c>
      <c r="Z107" s="44">
        <f t="shared" si="13"/>
        <v>0</v>
      </c>
      <c r="AA107" s="125">
        <f>VLOOKUP(C107,'Talente &amp; Stuff'!IA:JB,25,FALSE)</f>
        <v>0</v>
      </c>
      <c r="AB107" s="160">
        <f>VLOOKUP(C107,'Talente &amp; Stuff'!IA:JB,26,FALSE)</f>
        <v>0</v>
      </c>
      <c r="AC107" s="127">
        <f>VLOOKUP(C107,'Talente &amp; Stuff'!IA:JB,27,FALSE)</f>
        <v>0</v>
      </c>
      <c r="AD107" s="125">
        <f>VLOOKUP(C107,'Talente &amp; Stuff'!IA:JB,28,FALSE)</f>
        <v>0</v>
      </c>
      <c r="AE107" s="28"/>
    </row>
    <row r="108" spans="2:31" ht="15" hidden="1" customHeight="1" outlineLevel="2">
      <c r="B108" s="148">
        <v>9</v>
      </c>
      <c r="C108" s="177" t="str">
        <f>Attribute!C108</f>
        <v>---</v>
      </c>
      <c r="D108" s="86" t="str">
        <f>VLOOKUP(C108,'Talente &amp; Stuff'!IA:JB,2,FALSE)</f>
        <v>--/--/--</v>
      </c>
      <c r="E108" s="167" t="str">
        <f>VLOOKUP(C108,'Talente &amp; Stuff'!IA:JB,3,FALSE)</f>
        <v>-</v>
      </c>
      <c r="F108" s="120">
        <f>VLOOKUP(C108,'Talente &amp; Stuff'!IA:JB,4,FALSE)</f>
        <v>0</v>
      </c>
      <c r="G108" s="117">
        <f>VLOOKUP(C108,'Talente &amp; Stuff'!IA:JB,5,FALSE)</f>
        <v>0</v>
      </c>
      <c r="H108" s="117">
        <f>VLOOKUP(C108,'Talente &amp; Stuff'!IA:JB,6,FALSE)</f>
        <v>0</v>
      </c>
      <c r="I108" s="117">
        <f>VLOOKUP(C108,'Talente &amp; Stuff'!IA:JB,7,FALSE)</f>
        <v>0</v>
      </c>
      <c r="J108" s="117">
        <f>VLOOKUP(C108,'Talente &amp; Stuff'!IA:JB,8,FALSE)</f>
        <v>0</v>
      </c>
      <c r="K108" s="117">
        <f>VLOOKUP(C108,'Talente &amp; Stuff'!IA:JB,9,FALSE)</f>
        <v>0</v>
      </c>
      <c r="L108" s="117">
        <f>VLOOKUP(C108,'Talente &amp; Stuff'!IA:JB,10,FALSE)</f>
        <v>0</v>
      </c>
      <c r="M108" s="121">
        <f>VLOOKUP(C108,'Talente &amp; Stuff'!IA:JB,11,FALSE)</f>
        <v>0</v>
      </c>
      <c r="N108" s="47">
        <f>VLOOKUP(C108,'Talente &amp; Stuff'!IA:JB,12,FALSE)</f>
        <v>0</v>
      </c>
      <c r="O108" s="3">
        <f>VLOOKUP(C108,'Talente &amp; Stuff'!IA:JB,13,FALSE)</f>
        <v>0</v>
      </c>
      <c r="P108" s="174">
        <f>VLOOKUP(C108,'Talente &amp; Stuff'!IA:JB,14,FALSE)</f>
        <v>0</v>
      </c>
      <c r="Q108" s="114">
        <f>VLOOKUP(C108,'Talente &amp; Stuff'!IA:JB,15,FALSE)</f>
        <v>0</v>
      </c>
      <c r="R108" s="117">
        <f>VLOOKUP(C108,'Talente &amp; Stuff'!IA:JB,16,FALSE)</f>
        <v>0</v>
      </c>
      <c r="S108" s="119">
        <f>VLOOKUP(C108,'Talente &amp; Stuff'!IA:JB,17,FALSE)</f>
        <v>0</v>
      </c>
      <c r="T108" s="119">
        <f>VLOOKUP(C108,'Talente &amp; Stuff'!IA:JB,18,FALSE)</f>
        <v>0</v>
      </c>
      <c r="U108" s="89">
        <f>VLOOKUP(C108,'Talente &amp; Stuff'!IA:JB,19,FALSE)</f>
        <v>0</v>
      </c>
      <c r="V108" s="47">
        <f>VLOOKUP(C108,'Talente &amp; Stuff'!IA:JB,20,FALSE)</f>
        <v>0</v>
      </c>
      <c r="W108" s="127">
        <f>VLOOKUP(C108,'Talente &amp; Stuff'!IA:JB,21,FALSE)</f>
        <v>0</v>
      </c>
      <c r="X108" s="127">
        <f>VLOOKUP(C108,'Talente &amp; Stuff'!IA:JB,22,FALSE)</f>
        <v>0</v>
      </c>
      <c r="Y108" s="165">
        <f t="shared" si="12"/>
        <v>0</v>
      </c>
      <c r="Z108" s="44">
        <f t="shared" si="13"/>
        <v>0</v>
      </c>
      <c r="AA108" s="125">
        <f>VLOOKUP(C108,'Talente &amp; Stuff'!IA:JB,25,FALSE)</f>
        <v>0</v>
      </c>
      <c r="AB108" s="160">
        <f>VLOOKUP(C108,'Talente &amp; Stuff'!IA:JB,26,FALSE)</f>
        <v>0</v>
      </c>
      <c r="AC108" s="127">
        <f>VLOOKUP(C108,'Talente &amp; Stuff'!IA:JB,27,FALSE)</f>
        <v>0</v>
      </c>
      <c r="AD108" s="125">
        <f>VLOOKUP(C108,'Talente &amp; Stuff'!IA:JB,28,FALSE)</f>
        <v>0</v>
      </c>
      <c r="AE108" s="28"/>
    </row>
    <row r="109" spans="2:31" ht="15" hidden="1" customHeight="1" outlineLevel="2">
      <c r="B109" s="148">
        <v>10</v>
      </c>
      <c r="C109" s="177" t="str">
        <f>Attribute!C109</f>
        <v>---</v>
      </c>
      <c r="D109" s="86" t="str">
        <f>VLOOKUP(C109,'Talente &amp; Stuff'!IA:JB,2,FALSE)</f>
        <v>--/--/--</v>
      </c>
      <c r="E109" s="167" t="str">
        <f>VLOOKUP(C109,'Talente &amp; Stuff'!IA:JB,3,FALSE)</f>
        <v>-</v>
      </c>
      <c r="F109" s="120">
        <f>VLOOKUP(C109,'Talente &amp; Stuff'!IA:JB,4,FALSE)</f>
        <v>0</v>
      </c>
      <c r="G109" s="117">
        <f>VLOOKUP(C109,'Talente &amp; Stuff'!IA:JB,5,FALSE)</f>
        <v>0</v>
      </c>
      <c r="H109" s="117">
        <f>VLOOKUP(C109,'Talente &amp; Stuff'!IA:JB,6,FALSE)</f>
        <v>0</v>
      </c>
      <c r="I109" s="117">
        <f>VLOOKUP(C109,'Talente &amp; Stuff'!IA:JB,7,FALSE)</f>
        <v>0</v>
      </c>
      <c r="J109" s="117">
        <f>VLOOKUP(C109,'Talente &amp; Stuff'!IA:JB,8,FALSE)</f>
        <v>0</v>
      </c>
      <c r="K109" s="117">
        <f>VLOOKUP(C109,'Talente &amp; Stuff'!IA:JB,9,FALSE)</f>
        <v>0</v>
      </c>
      <c r="L109" s="117">
        <f>VLOOKUP(C109,'Talente &amp; Stuff'!IA:JB,10,FALSE)</f>
        <v>0</v>
      </c>
      <c r="M109" s="121">
        <f>VLOOKUP(C109,'Talente &amp; Stuff'!IA:JB,11,FALSE)</f>
        <v>0</v>
      </c>
      <c r="N109" s="47">
        <f>VLOOKUP(C109,'Talente &amp; Stuff'!IA:JB,12,FALSE)</f>
        <v>0</v>
      </c>
      <c r="O109" s="3">
        <f>VLOOKUP(C109,'Talente &amp; Stuff'!IA:JB,13,FALSE)</f>
        <v>0</v>
      </c>
      <c r="P109" s="174">
        <f>VLOOKUP(C109,'Talente &amp; Stuff'!IA:JB,14,FALSE)</f>
        <v>0</v>
      </c>
      <c r="Q109" s="114">
        <f>VLOOKUP(C109,'Talente &amp; Stuff'!IA:JB,15,FALSE)</f>
        <v>0</v>
      </c>
      <c r="R109" s="117">
        <f>VLOOKUP(C109,'Talente &amp; Stuff'!IA:JB,16,FALSE)</f>
        <v>0</v>
      </c>
      <c r="S109" s="119">
        <f>VLOOKUP(C109,'Talente &amp; Stuff'!IA:JB,17,FALSE)</f>
        <v>0</v>
      </c>
      <c r="T109" s="119">
        <f>VLOOKUP(C109,'Talente &amp; Stuff'!IA:JB,18,FALSE)</f>
        <v>0</v>
      </c>
      <c r="U109" s="89">
        <f>VLOOKUP(C109,'Talente &amp; Stuff'!IA:JB,19,FALSE)</f>
        <v>0</v>
      </c>
      <c r="V109" s="47">
        <f>VLOOKUP(C109,'Talente &amp; Stuff'!IA:JB,20,FALSE)</f>
        <v>0</v>
      </c>
      <c r="W109" s="127">
        <f>VLOOKUP(C109,'Talente &amp; Stuff'!IA:JB,21,FALSE)</f>
        <v>0</v>
      </c>
      <c r="X109" s="127">
        <f>VLOOKUP(C109,'Talente &amp; Stuff'!IA:JB,22,FALSE)</f>
        <v>0</v>
      </c>
      <c r="Y109" s="165">
        <f t="shared" si="12"/>
        <v>0</v>
      </c>
      <c r="Z109" s="44">
        <f t="shared" si="13"/>
        <v>0</v>
      </c>
      <c r="AA109" s="125">
        <f>VLOOKUP(C109,'Talente &amp; Stuff'!IA:JB,25,FALSE)</f>
        <v>0</v>
      </c>
      <c r="AB109" s="160">
        <f>VLOOKUP(C109,'Talente &amp; Stuff'!IA:JB,26,FALSE)</f>
        <v>0</v>
      </c>
      <c r="AC109" s="127">
        <f>VLOOKUP(C109,'Talente &amp; Stuff'!IA:JB,27,FALSE)</f>
        <v>0</v>
      </c>
      <c r="AD109" s="125">
        <f>VLOOKUP(C109,'Talente &amp; Stuff'!IA:JB,28,FALSE)</f>
        <v>0</v>
      </c>
      <c r="AE109" s="28"/>
    </row>
    <row r="110" spans="2:31" ht="15" hidden="1" customHeight="1" outlineLevel="2">
      <c r="B110" s="148">
        <v>11</v>
      </c>
      <c r="C110" s="177" t="str">
        <f>Attribute!C110</f>
        <v>---</v>
      </c>
      <c r="D110" s="86" t="str">
        <f>VLOOKUP(C110,'Talente &amp; Stuff'!IA:JB,2,FALSE)</f>
        <v>--/--/--</v>
      </c>
      <c r="E110" s="167" t="str">
        <f>VLOOKUP(C110,'Talente &amp; Stuff'!IA:JB,3,FALSE)</f>
        <v>-</v>
      </c>
      <c r="F110" s="120">
        <f>VLOOKUP(C110,'Talente &amp; Stuff'!IA:JB,4,FALSE)</f>
        <v>0</v>
      </c>
      <c r="G110" s="117">
        <f>VLOOKUP(C110,'Talente &amp; Stuff'!IA:JB,5,FALSE)</f>
        <v>0</v>
      </c>
      <c r="H110" s="117">
        <f>VLOOKUP(C110,'Talente &amp; Stuff'!IA:JB,6,FALSE)</f>
        <v>0</v>
      </c>
      <c r="I110" s="117">
        <f>VLOOKUP(C110,'Talente &amp; Stuff'!IA:JB,7,FALSE)</f>
        <v>0</v>
      </c>
      <c r="J110" s="117">
        <f>VLOOKUP(C110,'Talente &amp; Stuff'!IA:JB,8,FALSE)</f>
        <v>0</v>
      </c>
      <c r="K110" s="117">
        <f>VLOOKUP(C110,'Talente &amp; Stuff'!IA:JB,9,FALSE)</f>
        <v>0</v>
      </c>
      <c r="L110" s="117">
        <f>VLOOKUP(C110,'Talente &amp; Stuff'!IA:JB,10,FALSE)</f>
        <v>0</v>
      </c>
      <c r="M110" s="121">
        <f>VLOOKUP(C110,'Talente &amp; Stuff'!IA:JB,11,FALSE)</f>
        <v>0</v>
      </c>
      <c r="N110" s="47">
        <f>VLOOKUP(C110,'Talente &amp; Stuff'!IA:JB,12,FALSE)</f>
        <v>0</v>
      </c>
      <c r="O110" s="3">
        <f>VLOOKUP(C110,'Talente &amp; Stuff'!IA:JB,13,FALSE)</f>
        <v>0</v>
      </c>
      <c r="P110" s="174">
        <f>VLOOKUP(C110,'Talente &amp; Stuff'!IA:JB,14,FALSE)</f>
        <v>0</v>
      </c>
      <c r="Q110" s="114">
        <f>VLOOKUP(C110,'Talente &amp; Stuff'!IA:JB,15,FALSE)</f>
        <v>0</v>
      </c>
      <c r="R110" s="117">
        <f>VLOOKUP(C110,'Talente &amp; Stuff'!IA:JB,16,FALSE)</f>
        <v>0</v>
      </c>
      <c r="S110" s="119">
        <f>VLOOKUP(C110,'Talente &amp; Stuff'!IA:JB,17,FALSE)</f>
        <v>0</v>
      </c>
      <c r="T110" s="119">
        <f>VLOOKUP(C110,'Talente &amp; Stuff'!IA:JB,18,FALSE)</f>
        <v>0</v>
      </c>
      <c r="U110" s="89">
        <f>VLOOKUP(C110,'Talente &amp; Stuff'!IA:JB,19,FALSE)</f>
        <v>0</v>
      </c>
      <c r="V110" s="47">
        <f>VLOOKUP(C110,'Talente &amp; Stuff'!IA:JB,20,FALSE)</f>
        <v>0</v>
      </c>
      <c r="W110" s="127">
        <f>VLOOKUP(C110,'Talente &amp; Stuff'!IA:JB,21,FALSE)</f>
        <v>0</v>
      </c>
      <c r="X110" s="127">
        <f>VLOOKUP(C110,'Talente &amp; Stuff'!IA:JB,22,FALSE)</f>
        <v>0</v>
      </c>
      <c r="Y110" s="165">
        <f t="shared" si="12"/>
        <v>0</v>
      </c>
      <c r="Z110" s="44">
        <f t="shared" si="13"/>
        <v>0</v>
      </c>
      <c r="AA110" s="125">
        <f>VLOOKUP(C110,'Talente &amp; Stuff'!IA:JB,25,FALSE)</f>
        <v>0</v>
      </c>
      <c r="AB110" s="160">
        <f>VLOOKUP(C110,'Talente &amp; Stuff'!IA:JB,26,FALSE)</f>
        <v>0</v>
      </c>
      <c r="AC110" s="127">
        <f>VLOOKUP(C110,'Talente &amp; Stuff'!IA:JB,27,FALSE)</f>
        <v>0</v>
      </c>
      <c r="AD110" s="125">
        <f>VLOOKUP(C110,'Talente &amp; Stuff'!IA:JB,28,FALSE)</f>
        <v>0</v>
      </c>
      <c r="AE110" s="28"/>
    </row>
    <row r="111" spans="2:31" ht="15" hidden="1" customHeight="1" outlineLevel="2">
      <c r="B111" s="148">
        <v>12</v>
      </c>
      <c r="C111" s="177" t="str">
        <f>Attribute!C111</f>
        <v>---</v>
      </c>
      <c r="D111" s="86" t="str">
        <f>VLOOKUP(C111,'Talente &amp; Stuff'!IA:JB,2,FALSE)</f>
        <v>--/--/--</v>
      </c>
      <c r="E111" s="167" t="str">
        <f>VLOOKUP(C111,'Talente &amp; Stuff'!IA:JB,3,FALSE)</f>
        <v>-</v>
      </c>
      <c r="F111" s="120">
        <f>VLOOKUP(C111,'Talente &amp; Stuff'!IA:JB,4,FALSE)</f>
        <v>0</v>
      </c>
      <c r="G111" s="117">
        <f>VLOOKUP(C111,'Talente &amp; Stuff'!IA:JB,5,FALSE)</f>
        <v>0</v>
      </c>
      <c r="H111" s="117">
        <f>VLOOKUP(C111,'Talente &amp; Stuff'!IA:JB,6,FALSE)</f>
        <v>0</v>
      </c>
      <c r="I111" s="117">
        <f>VLOOKUP(C111,'Talente &amp; Stuff'!IA:JB,7,FALSE)</f>
        <v>0</v>
      </c>
      <c r="J111" s="117">
        <f>VLOOKUP(C111,'Talente &amp; Stuff'!IA:JB,8,FALSE)</f>
        <v>0</v>
      </c>
      <c r="K111" s="117">
        <f>VLOOKUP(C111,'Talente &amp; Stuff'!IA:JB,9,FALSE)</f>
        <v>0</v>
      </c>
      <c r="L111" s="117">
        <f>VLOOKUP(C111,'Talente &amp; Stuff'!IA:JB,10,FALSE)</f>
        <v>0</v>
      </c>
      <c r="M111" s="121">
        <f>VLOOKUP(C111,'Talente &amp; Stuff'!IA:JB,11,FALSE)</f>
        <v>0</v>
      </c>
      <c r="N111" s="47">
        <f>VLOOKUP(C111,'Talente &amp; Stuff'!IA:JB,12,FALSE)</f>
        <v>0</v>
      </c>
      <c r="O111" s="3">
        <f>VLOOKUP(C111,'Talente &amp; Stuff'!IA:JB,13,FALSE)</f>
        <v>0</v>
      </c>
      <c r="P111" s="174">
        <f>VLOOKUP(C111,'Talente &amp; Stuff'!IA:JB,14,FALSE)</f>
        <v>0</v>
      </c>
      <c r="Q111" s="114">
        <f>VLOOKUP(C111,'Talente &amp; Stuff'!IA:JB,15,FALSE)</f>
        <v>0</v>
      </c>
      <c r="R111" s="117">
        <f>VLOOKUP(C111,'Talente &amp; Stuff'!IA:JB,16,FALSE)</f>
        <v>0</v>
      </c>
      <c r="S111" s="119">
        <f>VLOOKUP(C111,'Talente &amp; Stuff'!IA:JB,17,FALSE)</f>
        <v>0</v>
      </c>
      <c r="T111" s="119">
        <f>VLOOKUP(C111,'Talente &amp; Stuff'!IA:JB,18,FALSE)</f>
        <v>0</v>
      </c>
      <c r="U111" s="89">
        <f>VLOOKUP(C111,'Talente &amp; Stuff'!IA:JB,19,FALSE)</f>
        <v>0</v>
      </c>
      <c r="V111" s="47">
        <f>VLOOKUP(C111,'Talente &amp; Stuff'!IA:JB,20,FALSE)</f>
        <v>0</v>
      </c>
      <c r="W111" s="127">
        <f>VLOOKUP(C111,'Talente &amp; Stuff'!IA:JB,21,FALSE)</f>
        <v>0</v>
      </c>
      <c r="X111" s="127">
        <f>VLOOKUP(C111,'Talente &amp; Stuff'!IA:JB,22,FALSE)</f>
        <v>0</v>
      </c>
      <c r="Y111" s="165">
        <f t="shared" si="12"/>
        <v>0</v>
      </c>
      <c r="Z111" s="44">
        <f t="shared" si="13"/>
        <v>0</v>
      </c>
      <c r="AA111" s="125">
        <f>VLOOKUP(C111,'Talente &amp; Stuff'!IA:JB,25,FALSE)</f>
        <v>0</v>
      </c>
      <c r="AB111" s="160">
        <f>VLOOKUP(C111,'Talente &amp; Stuff'!IA:JB,26,FALSE)</f>
        <v>0</v>
      </c>
      <c r="AC111" s="127">
        <f>VLOOKUP(C111,'Talente &amp; Stuff'!IA:JB,27,FALSE)</f>
        <v>0</v>
      </c>
      <c r="AD111" s="125">
        <f>VLOOKUP(C111,'Talente &amp; Stuff'!IA:JB,28,FALSE)</f>
        <v>0</v>
      </c>
      <c r="AE111" s="28"/>
    </row>
    <row r="112" spans="2:31" ht="15" hidden="1" customHeight="1" outlineLevel="2">
      <c r="B112" s="148">
        <v>13</v>
      </c>
      <c r="C112" s="177" t="str">
        <f>Attribute!C112</f>
        <v>---</v>
      </c>
      <c r="D112" s="86" t="str">
        <f>VLOOKUP(C112,'Talente &amp; Stuff'!IA:JB,2,FALSE)</f>
        <v>--/--/--</v>
      </c>
      <c r="E112" s="167" t="str">
        <f>VLOOKUP(C112,'Talente &amp; Stuff'!IA:JB,3,FALSE)</f>
        <v>-</v>
      </c>
      <c r="F112" s="120">
        <f>VLOOKUP(C112,'Talente &amp; Stuff'!IA:JB,4,FALSE)</f>
        <v>0</v>
      </c>
      <c r="G112" s="117">
        <f>VLOOKUP(C112,'Talente &amp; Stuff'!IA:JB,5,FALSE)</f>
        <v>0</v>
      </c>
      <c r="H112" s="117">
        <f>VLOOKUP(C112,'Talente &amp; Stuff'!IA:JB,6,FALSE)</f>
        <v>0</v>
      </c>
      <c r="I112" s="117">
        <f>VLOOKUP(C112,'Talente &amp; Stuff'!IA:JB,7,FALSE)</f>
        <v>0</v>
      </c>
      <c r="J112" s="117">
        <f>VLOOKUP(C112,'Talente &amp; Stuff'!IA:JB,8,FALSE)</f>
        <v>0</v>
      </c>
      <c r="K112" s="117">
        <f>VLOOKUP(C112,'Talente &amp; Stuff'!IA:JB,9,FALSE)</f>
        <v>0</v>
      </c>
      <c r="L112" s="117">
        <f>VLOOKUP(C112,'Talente &amp; Stuff'!IA:JB,10,FALSE)</f>
        <v>0</v>
      </c>
      <c r="M112" s="121">
        <f>VLOOKUP(C112,'Talente &amp; Stuff'!IA:JB,11,FALSE)</f>
        <v>0</v>
      </c>
      <c r="N112" s="47">
        <f>VLOOKUP(C112,'Talente &amp; Stuff'!IA:JB,12,FALSE)</f>
        <v>0</v>
      </c>
      <c r="O112" s="3">
        <f>VLOOKUP(C112,'Talente &amp; Stuff'!IA:JB,13,FALSE)</f>
        <v>0</v>
      </c>
      <c r="P112" s="174">
        <f>VLOOKUP(C112,'Talente &amp; Stuff'!IA:JB,14,FALSE)</f>
        <v>0</v>
      </c>
      <c r="Q112" s="114">
        <f>VLOOKUP(C112,'Talente &amp; Stuff'!IA:JB,15,FALSE)</f>
        <v>0</v>
      </c>
      <c r="R112" s="117">
        <f>VLOOKUP(C112,'Talente &amp; Stuff'!IA:JB,16,FALSE)</f>
        <v>0</v>
      </c>
      <c r="S112" s="119">
        <f>VLOOKUP(C112,'Talente &amp; Stuff'!IA:JB,17,FALSE)</f>
        <v>0</v>
      </c>
      <c r="T112" s="119">
        <f>VLOOKUP(C112,'Talente &amp; Stuff'!IA:JB,18,FALSE)</f>
        <v>0</v>
      </c>
      <c r="U112" s="89">
        <f>VLOOKUP(C112,'Talente &amp; Stuff'!IA:JB,19,FALSE)</f>
        <v>0</v>
      </c>
      <c r="V112" s="47">
        <f>VLOOKUP(C112,'Talente &amp; Stuff'!IA:JB,20,FALSE)</f>
        <v>0</v>
      </c>
      <c r="W112" s="127">
        <f>VLOOKUP(C112,'Talente &amp; Stuff'!IA:JB,21,FALSE)</f>
        <v>0</v>
      </c>
      <c r="X112" s="127">
        <f>VLOOKUP(C112,'Talente &amp; Stuff'!IA:JB,22,FALSE)</f>
        <v>0</v>
      </c>
      <c r="Y112" s="165">
        <f t="shared" si="12"/>
        <v>0</v>
      </c>
      <c r="Z112" s="44">
        <f t="shared" si="13"/>
        <v>0</v>
      </c>
      <c r="AA112" s="125">
        <f>VLOOKUP(C112,'Talente &amp; Stuff'!IA:JB,25,FALSE)</f>
        <v>0</v>
      </c>
      <c r="AB112" s="160">
        <f>VLOOKUP(C112,'Talente &amp; Stuff'!IA:JB,26,FALSE)</f>
        <v>0</v>
      </c>
      <c r="AC112" s="127">
        <f>VLOOKUP(C112,'Talente &amp; Stuff'!IA:JB,27,FALSE)</f>
        <v>0</v>
      </c>
      <c r="AD112" s="125">
        <f>VLOOKUP(C112,'Talente &amp; Stuff'!IA:JB,28,FALSE)</f>
        <v>0</v>
      </c>
      <c r="AE112" s="28"/>
    </row>
    <row r="113" spans="2:31" ht="15" hidden="1" customHeight="1" outlineLevel="2">
      <c r="B113" s="148">
        <v>14</v>
      </c>
      <c r="C113" s="177" t="str">
        <f>Attribute!C113</f>
        <v>---</v>
      </c>
      <c r="D113" s="86" t="str">
        <f>VLOOKUP(C113,'Talente &amp; Stuff'!IA:JB,2,FALSE)</f>
        <v>--/--/--</v>
      </c>
      <c r="E113" s="167" t="str">
        <f>VLOOKUP(C113,'Talente &amp; Stuff'!IA:JB,3,FALSE)</f>
        <v>-</v>
      </c>
      <c r="F113" s="120">
        <f>VLOOKUP(C113,'Talente &amp; Stuff'!IA:JB,4,FALSE)</f>
        <v>0</v>
      </c>
      <c r="G113" s="117">
        <f>VLOOKUP(C113,'Talente &amp; Stuff'!IA:JB,5,FALSE)</f>
        <v>0</v>
      </c>
      <c r="H113" s="117">
        <f>VLOOKUP(C113,'Talente &amp; Stuff'!IA:JB,6,FALSE)</f>
        <v>0</v>
      </c>
      <c r="I113" s="117">
        <f>VLOOKUP(C113,'Talente &amp; Stuff'!IA:JB,7,FALSE)</f>
        <v>0</v>
      </c>
      <c r="J113" s="117">
        <f>VLOOKUP(C113,'Talente &amp; Stuff'!IA:JB,8,FALSE)</f>
        <v>0</v>
      </c>
      <c r="K113" s="117">
        <f>VLOOKUP(C113,'Talente &amp; Stuff'!IA:JB,9,FALSE)</f>
        <v>0</v>
      </c>
      <c r="L113" s="117">
        <f>VLOOKUP(C113,'Talente &amp; Stuff'!IA:JB,10,FALSE)</f>
        <v>0</v>
      </c>
      <c r="M113" s="121">
        <f>VLOOKUP(C113,'Talente &amp; Stuff'!IA:JB,11,FALSE)</f>
        <v>0</v>
      </c>
      <c r="N113" s="47">
        <f>VLOOKUP(C113,'Talente &amp; Stuff'!IA:JB,12,FALSE)</f>
        <v>0</v>
      </c>
      <c r="O113" s="3">
        <f>VLOOKUP(C113,'Talente &amp; Stuff'!IA:JB,13,FALSE)</f>
        <v>0</v>
      </c>
      <c r="P113" s="174">
        <f>VLOOKUP(C113,'Talente &amp; Stuff'!IA:JB,14,FALSE)</f>
        <v>0</v>
      </c>
      <c r="Q113" s="114">
        <f>VLOOKUP(C113,'Talente &amp; Stuff'!IA:JB,15,FALSE)</f>
        <v>0</v>
      </c>
      <c r="R113" s="117">
        <f>VLOOKUP(C113,'Talente &amp; Stuff'!IA:JB,16,FALSE)</f>
        <v>0</v>
      </c>
      <c r="S113" s="119">
        <f>VLOOKUP(C113,'Talente &amp; Stuff'!IA:JB,17,FALSE)</f>
        <v>0</v>
      </c>
      <c r="T113" s="119">
        <f>VLOOKUP(C113,'Talente &amp; Stuff'!IA:JB,18,FALSE)</f>
        <v>0</v>
      </c>
      <c r="U113" s="89">
        <f>VLOOKUP(C113,'Talente &amp; Stuff'!IA:JB,19,FALSE)</f>
        <v>0</v>
      </c>
      <c r="V113" s="47">
        <f>VLOOKUP(C113,'Talente &amp; Stuff'!IA:JB,20,FALSE)</f>
        <v>0</v>
      </c>
      <c r="W113" s="127">
        <f>VLOOKUP(C113,'Talente &amp; Stuff'!IA:JB,21,FALSE)</f>
        <v>0</v>
      </c>
      <c r="X113" s="127">
        <f>VLOOKUP(C113,'Talente &amp; Stuff'!IA:JB,22,FALSE)</f>
        <v>0</v>
      </c>
      <c r="Y113" s="165">
        <f t="shared" si="12"/>
        <v>0</v>
      </c>
      <c r="Z113" s="44">
        <f t="shared" si="13"/>
        <v>0</v>
      </c>
      <c r="AA113" s="125">
        <f>VLOOKUP(C113,'Talente &amp; Stuff'!IA:JB,25,FALSE)</f>
        <v>0</v>
      </c>
      <c r="AB113" s="160">
        <f>VLOOKUP(C113,'Talente &amp; Stuff'!IA:JB,26,FALSE)</f>
        <v>0</v>
      </c>
      <c r="AC113" s="127">
        <f>VLOOKUP(C113,'Talente &amp; Stuff'!IA:JB,27,FALSE)</f>
        <v>0</v>
      </c>
      <c r="AD113" s="125">
        <f>VLOOKUP(C113,'Talente &amp; Stuff'!IA:JB,28,FALSE)</f>
        <v>0</v>
      </c>
      <c r="AE113" s="28"/>
    </row>
    <row r="114" spans="2:31" ht="15" hidden="1" customHeight="1" outlineLevel="2">
      <c r="B114" s="148">
        <v>15</v>
      </c>
      <c r="C114" s="177" t="str">
        <f>Attribute!C114</f>
        <v>---</v>
      </c>
      <c r="D114" s="86" t="str">
        <f>VLOOKUP(C114,'Talente &amp; Stuff'!IA:JB,2,FALSE)</f>
        <v>--/--/--</v>
      </c>
      <c r="E114" s="167" t="str">
        <f>VLOOKUP(C114,'Talente &amp; Stuff'!IA:JB,3,FALSE)</f>
        <v>-</v>
      </c>
      <c r="F114" s="120">
        <f>VLOOKUP(C114,'Talente &amp; Stuff'!IA:JB,4,FALSE)</f>
        <v>0</v>
      </c>
      <c r="G114" s="117">
        <f>VLOOKUP(C114,'Talente &amp; Stuff'!IA:JB,5,FALSE)</f>
        <v>0</v>
      </c>
      <c r="H114" s="117">
        <f>VLOOKUP(C114,'Talente &amp; Stuff'!IA:JB,6,FALSE)</f>
        <v>0</v>
      </c>
      <c r="I114" s="117">
        <f>VLOOKUP(C114,'Talente &amp; Stuff'!IA:JB,7,FALSE)</f>
        <v>0</v>
      </c>
      <c r="J114" s="117">
        <f>VLOOKUP(C114,'Talente &amp; Stuff'!IA:JB,8,FALSE)</f>
        <v>0</v>
      </c>
      <c r="K114" s="117">
        <f>VLOOKUP(C114,'Talente &amp; Stuff'!IA:JB,9,FALSE)</f>
        <v>0</v>
      </c>
      <c r="L114" s="117">
        <f>VLOOKUP(C114,'Talente &amp; Stuff'!IA:JB,10,FALSE)</f>
        <v>0</v>
      </c>
      <c r="M114" s="121">
        <f>VLOOKUP(C114,'Talente &amp; Stuff'!IA:JB,11,FALSE)</f>
        <v>0</v>
      </c>
      <c r="N114" s="47">
        <f>VLOOKUP(C114,'Talente &amp; Stuff'!IA:JB,12,FALSE)</f>
        <v>0</v>
      </c>
      <c r="O114" s="3">
        <f>VLOOKUP(C114,'Talente &amp; Stuff'!IA:JB,13,FALSE)</f>
        <v>0</v>
      </c>
      <c r="P114" s="174">
        <f>VLOOKUP(C114,'Talente &amp; Stuff'!IA:JB,14,FALSE)</f>
        <v>0</v>
      </c>
      <c r="Q114" s="114">
        <f>VLOOKUP(C114,'Talente &amp; Stuff'!IA:JB,15,FALSE)</f>
        <v>0</v>
      </c>
      <c r="R114" s="117">
        <f>VLOOKUP(C114,'Talente &amp; Stuff'!IA:JB,16,FALSE)</f>
        <v>0</v>
      </c>
      <c r="S114" s="119">
        <f>VLOOKUP(C114,'Talente &amp; Stuff'!IA:JB,17,FALSE)</f>
        <v>0</v>
      </c>
      <c r="T114" s="119">
        <f>VLOOKUP(C114,'Talente &amp; Stuff'!IA:JB,18,FALSE)</f>
        <v>0</v>
      </c>
      <c r="U114" s="89">
        <f>VLOOKUP(C114,'Talente &amp; Stuff'!IA:JB,19,FALSE)</f>
        <v>0</v>
      </c>
      <c r="V114" s="47">
        <f>VLOOKUP(C114,'Talente &amp; Stuff'!IA:JB,20,FALSE)</f>
        <v>0</v>
      </c>
      <c r="W114" s="127">
        <f>VLOOKUP(C114,'Talente &amp; Stuff'!IA:JB,21,FALSE)</f>
        <v>0</v>
      </c>
      <c r="X114" s="127">
        <f>VLOOKUP(C114,'Talente &amp; Stuff'!IA:JB,22,FALSE)</f>
        <v>0</v>
      </c>
      <c r="Y114" s="165">
        <f t="shared" si="12"/>
        <v>0</v>
      </c>
      <c r="Z114" s="44">
        <f t="shared" si="13"/>
        <v>0</v>
      </c>
      <c r="AA114" s="125">
        <f>VLOOKUP(C114,'Talente &amp; Stuff'!IA:JB,25,FALSE)</f>
        <v>0</v>
      </c>
      <c r="AB114" s="160">
        <f>VLOOKUP(C114,'Talente &amp; Stuff'!IA:JB,26,FALSE)</f>
        <v>0</v>
      </c>
      <c r="AC114" s="127">
        <f>VLOOKUP(C114,'Talente &amp; Stuff'!IA:JB,27,FALSE)</f>
        <v>0</v>
      </c>
      <c r="AD114" s="125">
        <f>VLOOKUP(C114,'Talente &amp; Stuff'!IA:JB,28,FALSE)</f>
        <v>0</v>
      </c>
      <c r="AE114" s="28"/>
    </row>
    <row r="115" spans="2:31" ht="15" hidden="1" customHeight="1" outlineLevel="2">
      <c r="B115" s="148">
        <v>16</v>
      </c>
      <c r="C115" s="177" t="str">
        <f>Attribute!C115</f>
        <v>---</v>
      </c>
      <c r="D115" s="86" t="str">
        <f>VLOOKUP(C115,'Talente &amp; Stuff'!IA:JB,2,FALSE)</f>
        <v>--/--/--</v>
      </c>
      <c r="E115" s="167" t="str">
        <f>VLOOKUP(C115,'Talente &amp; Stuff'!IA:JB,3,FALSE)</f>
        <v>-</v>
      </c>
      <c r="F115" s="120">
        <f>VLOOKUP(C115,'Talente &amp; Stuff'!IA:JB,4,FALSE)</f>
        <v>0</v>
      </c>
      <c r="G115" s="117">
        <f>VLOOKUP(C115,'Talente &amp; Stuff'!IA:JB,5,FALSE)</f>
        <v>0</v>
      </c>
      <c r="H115" s="117">
        <f>VLOOKUP(C115,'Talente &amp; Stuff'!IA:JB,6,FALSE)</f>
        <v>0</v>
      </c>
      <c r="I115" s="117">
        <f>VLOOKUP(C115,'Talente &amp; Stuff'!IA:JB,7,FALSE)</f>
        <v>0</v>
      </c>
      <c r="J115" s="117">
        <f>VLOOKUP(C115,'Talente &amp; Stuff'!IA:JB,8,FALSE)</f>
        <v>0</v>
      </c>
      <c r="K115" s="117">
        <f>VLOOKUP(C115,'Talente &amp; Stuff'!IA:JB,9,FALSE)</f>
        <v>0</v>
      </c>
      <c r="L115" s="117">
        <f>VLOOKUP(C115,'Talente &amp; Stuff'!IA:JB,10,FALSE)</f>
        <v>0</v>
      </c>
      <c r="M115" s="121">
        <f>VLOOKUP(C115,'Talente &amp; Stuff'!IA:JB,11,FALSE)</f>
        <v>0</v>
      </c>
      <c r="N115" s="47">
        <f>VLOOKUP(C115,'Talente &amp; Stuff'!IA:JB,12,FALSE)</f>
        <v>0</v>
      </c>
      <c r="O115" s="3">
        <f>VLOOKUP(C115,'Talente &amp; Stuff'!IA:JB,13,FALSE)</f>
        <v>0</v>
      </c>
      <c r="P115" s="174">
        <f>VLOOKUP(C115,'Talente &amp; Stuff'!IA:JB,14,FALSE)</f>
        <v>0</v>
      </c>
      <c r="Q115" s="114">
        <f>VLOOKUP(C115,'Talente &amp; Stuff'!IA:JB,15,FALSE)</f>
        <v>0</v>
      </c>
      <c r="R115" s="117">
        <f>VLOOKUP(C115,'Talente &amp; Stuff'!IA:JB,16,FALSE)</f>
        <v>0</v>
      </c>
      <c r="S115" s="119">
        <f>VLOOKUP(C115,'Talente &amp; Stuff'!IA:JB,17,FALSE)</f>
        <v>0</v>
      </c>
      <c r="T115" s="119">
        <f>VLOOKUP(C115,'Talente &amp; Stuff'!IA:JB,18,FALSE)</f>
        <v>0</v>
      </c>
      <c r="U115" s="89">
        <f>VLOOKUP(C115,'Talente &amp; Stuff'!IA:JB,19,FALSE)</f>
        <v>0</v>
      </c>
      <c r="V115" s="47">
        <f>VLOOKUP(C115,'Talente &amp; Stuff'!IA:JB,20,FALSE)</f>
        <v>0</v>
      </c>
      <c r="W115" s="127">
        <f>VLOOKUP(C115,'Talente &amp; Stuff'!IA:JB,21,FALSE)</f>
        <v>0</v>
      </c>
      <c r="X115" s="127">
        <f>VLOOKUP(C115,'Talente &amp; Stuff'!IA:JB,22,FALSE)</f>
        <v>0</v>
      </c>
      <c r="Y115" s="165">
        <f t="shared" si="12"/>
        <v>0</v>
      </c>
      <c r="Z115" s="44">
        <f t="shared" si="13"/>
        <v>0</v>
      </c>
      <c r="AA115" s="125">
        <f>VLOOKUP(C115,'Talente &amp; Stuff'!IA:JB,25,FALSE)</f>
        <v>0</v>
      </c>
      <c r="AB115" s="160">
        <f>VLOOKUP(C115,'Talente &amp; Stuff'!IA:JB,26,FALSE)</f>
        <v>0</v>
      </c>
      <c r="AC115" s="127">
        <f>VLOOKUP(C115,'Talente &amp; Stuff'!IA:JB,27,FALSE)</f>
        <v>0</v>
      </c>
      <c r="AD115" s="125">
        <f>VLOOKUP(C115,'Talente &amp; Stuff'!IA:JB,28,FALSE)</f>
        <v>0</v>
      </c>
      <c r="AE115" s="28"/>
    </row>
    <row r="116" spans="2:31" ht="15" hidden="1" customHeight="1" outlineLevel="2">
      <c r="B116" s="148">
        <v>17</v>
      </c>
      <c r="C116" s="177" t="str">
        <f>Attribute!C116</f>
        <v>---</v>
      </c>
      <c r="D116" s="86" t="str">
        <f>VLOOKUP(C116,'Talente &amp; Stuff'!IA:JB,2,FALSE)</f>
        <v>--/--/--</v>
      </c>
      <c r="E116" s="167" t="str">
        <f>VLOOKUP(C116,'Talente &amp; Stuff'!IA:JB,3,FALSE)</f>
        <v>-</v>
      </c>
      <c r="F116" s="120">
        <f>VLOOKUP(C116,'Talente &amp; Stuff'!IA:JB,4,FALSE)</f>
        <v>0</v>
      </c>
      <c r="G116" s="117">
        <f>VLOOKUP(C116,'Talente &amp; Stuff'!IA:JB,5,FALSE)</f>
        <v>0</v>
      </c>
      <c r="H116" s="117">
        <f>VLOOKUP(C116,'Talente &amp; Stuff'!IA:JB,6,FALSE)</f>
        <v>0</v>
      </c>
      <c r="I116" s="117">
        <f>VLOOKUP(C116,'Talente &amp; Stuff'!IA:JB,7,FALSE)</f>
        <v>0</v>
      </c>
      <c r="J116" s="117">
        <f>VLOOKUP(C116,'Talente &amp; Stuff'!IA:JB,8,FALSE)</f>
        <v>0</v>
      </c>
      <c r="K116" s="117">
        <f>VLOOKUP(C116,'Talente &amp; Stuff'!IA:JB,9,FALSE)</f>
        <v>0</v>
      </c>
      <c r="L116" s="117">
        <f>VLOOKUP(C116,'Talente &amp; Stuff'!IA:JB,10,FALSE)</f>
        <v>0</v>
      </c>
      <c r="M116" s="121">
        <f>VLOOKUP(C116,'Talente &amp; Stuff'!IA:JB,11,FALSE)</f>
        <v>0</v>
      </c>
      <c r="N116" s="47">
        <f>VLOOKUP(C116,'Talente &amp; Stuff'!IA:JB,12,FALSE)</f>
        <v>0</v>
      </c>
      <c r="O116" s="3">
        <f>VLOOKUP(C116,'Talente &amp; Stuff'!IA:JB,13,FALSE)</f>
        <v>0</v>
      </c>
      <c r="P116" s="174">
        <f>VLOOKUP(C116,'Talente &amp; Stuff'!IA:JB,14,FALSE)</f>
        <v>0</v>
      </c>
      <c r="Q116" s="114">
        <f>VLOOKUP(C116,'Talente &amp; Stuff'!IA:JB,15,FALSE)</f>
        <v>0</v>
      </c>
      <c r="R116" s="117">
        <f>VLOOKUP(C116,'Talente &amp; Stuff'!IA:JB,16,FALSE)</f>
        <v>0</v>
      </c>
      <c r="S116" s="119">
        <f>VLOOKUP(C116,'Talente &amp; Stuff'!IA:JB,17,FALSE)</f>
        <v>0</v>
      </c>
      <c r="T116" s="119">
        <f>VLOOKUP(C116,'Talente &amp; Stuff'!IA:JB,18,FALSE)</f>
        <v>0</v>
      </c>
      <c r="U116" s="89">
        <f>VLOOKUP(C116,'Talente &amp; Stuff'!IA:JB,19,FALSE)</f>
        <v>0</v>
      </c>
      <c r="V116" s="47">
        <f>VLOOKUP(C116,'Talente &amp; Stuff'!IA:JB,20,FALSE)</f>
        <v>0</v>
      </c>
      <c r="W116" s="127">
        <f>VLOOKUP(C116,'Talente &amp; Stuff'!IA:JB,21,FALSE)</f>
        <v>0</v>
      </c>
      <c r="X116" s="127">
        <f>VLOOKUP(C116,'Talente &amp; Stuff'!IA:JB,22,FALSE)</f>
        <v>0</v>
      </c>
      <c r="Y116" s="165">
        <f t="shared" si="12"/>
        <v>0</v>
      </c>
      <c r="Z116" s="44">
        <f t="shared" si="13"/>
        <v>0</v>
      </c>
      <c r="AA116" s="125">
        <f>VLOOKUP(C116,'Talente &amp; Stuff'!IA:JB,25,FALSE)</f>
        <v>0</v>
      </c>
      <c r="AB116" s="160">
        <f>VLOOKUP(C116,'Talente &amp; Stuff'!IA:JB,26,FALSE)</f>
        <v>0</v>
      </c>
      <c r="AC116" s="127">
        <f>VLOOKUP(C116,'Talente &amp; Stuff'!IA:JB,27,FALSE)</f>
        <v>0</v>
      </c>
      <c r="AD116" s="125">
        <f>VLOOKUP(C116,'Talente &amp; Stuff'!IA:JB,28,FALSE)</f>
        <v>0</v>
      </c>
      <c r="AE116" s="28"/>
    </row>
    <row r="117" spans="2:31" ht="15" hidden="1" customHeight="1" outlineLevel="2">
      <c r="B117" s="148">
        <v>18</v>
      </c>
      <c r="C117" s="177" t="str">
        <f>Attribute!C117</f>
        <v>---</v>
      </c>
      <c r="D117" s="86" t="str">
        <f>VLOOKUP(C117,'Talente &amp; Stuff'!IA:JB,2,FALSE)</f>
        <v>--/--/--</v>
      </c>
      <c r="E117" s="167" t="str">
        <f>VLOOKUP(C117,'Talente &amp; Stuff'!IA:JB,3,FALSE)</f>
        <v>-</v>
      </c>
      <c r="F117" s="120">
        <f>VLOOKUP(C117,'Talente &amp; Stuff'!IA:JB,4,FALSE)</f>
        <v>0</v>
      </c>
      <c r="G117" s="117">
        <f>VLOOKUP(C117,'Talente &amp; Stuff'!IA:JB,5,FALSE)</f>
        <v>0</v>
      </c>
      <c r="H117" s="117">
        <f>VLOOKUP(C117,'Talente &amp; Stuff'!IA:JB,6,FALSE)</f>
        <v>0</v>
      </c>
      <c r="I117" s="117">
        <f>VLOOKUP(C117,'Talente &amp; Stuff'!IA:JB,7,FALSE)</f>
        <v>0</v>
      </c>
      <c r="J117" s="117">
        <f>VLOOKUP(C117,'Talente &amp; Stuff'!IA:JB,8,FALSE)</f>
        <v>0</v>
      </c>
      <c r="K117" s="117">
        <f>VLOOKUP(C117,'Talente &amp; Stuff'!IA:JB,9,FALSE)</f>
        <v>0</v>
      </c>
      <c r="L117" s="117">
        <f>VLOOKUP(C117,'Talente &amp; Stuff'!IA:JB,10,FALSE)</f>
        <v>0</v>
      </c>
      <c r="M117" s="121">
        <f>VLOOKUP(C117,'Talente &amp; Stuff'!IA:JB,11,FALSE)</f>
        <v>0</v>
      </c>
      <c r="N117" s="47">
        <f>VLOOKUP(C117,'Talente &amp; Stuff'!IA:JB,12,FALSE)</f>
        <v>0</v>
      </c>
      <c r="O117" s="3">
        <f>VLOOKUP(C117,'Talente &amp; Stuff'!IA:JB,13,FALSE)</f>
        <v>0</v>
      </c>
      <c r="P117" s="174">
        <f>VLOOKUP(C117,'Talente &amp; Stuff'!IA:JB,14,FALSE)</f>
        <v>0</v>
      </c>
      <c r="Q117" s="114">
        <f>VLOOKUP(C117,'Talente &amp; Stuff'!IA:JB,15,FALSE)</f>
        <v>0</v>
      </c>
      <c r="R117" s="117">
        <f>VLOOKUP(C117,'Talente &amp; Stuff'!IA:JB,16,FALSE)</f>
        <v>0</v>
      </c>
      <c r="S117" s="119">
        <f>VLOOKUP(C117,'Talente &amp; Stuff'!IA:JB,17,FALSE)</f>
        <v>0</v>
      </c>
      <c r="T117" s="119">
        <f>VLOOKUP(C117,'Talente &amp; Stuff'!IA:JB,18,FALSE)</f>
        <v>0</v>
      </c>
      <c r="U117" s="89">
        <f>VLOOKUP(C117,'Talente &amp; Stuff'!IA:JB,19,FALSE)</f>
        <v>0</v>
      </c>
      <c r="V117" s="47">
        <f>VLOOKUP(C117,'Talente &amp; Stuff'!IA:JB,20,FALSE)</f>
        <v>0</v>
      </c>
      <c r="W117" s="127">
        <f>VLOOKUP(C117,'Talente &amp; Stuff'!IA:JB,21,FALSE)</f>
        <v>0</v>
      </c>
      <c r="X117" s="127">
        <f>VLOOKUP(C117,'Talente &amp; Stuff'!IA:JB,22,FALSE)</f>
        <v>0</v>
      </c>
      <c r="Y117" s="165">
        <f t="shared" si="12"/>
        <v>0</v>
      </c>
      <c r="Z117" s="44">
        <f t="shared" si="13"/>
        <v>0</v>
      </c>
      <c r="AA117" s="125">
        <f>VLOOKUP(C117,'Talente &amp; Stuff'!IA:JB,25,FALSE)</f>
        <v>0</v>
      </c>
      <c r="AB117" s="160">
        <f>VLOOKUP(C117,'Talente &amp; Stuff'!IA:JB,26,FALSE)</f>
        <v>0</v>
      </c>
      <c r="AC117" s="127">
        <f>VLOOKUP(C117,'Talente &amp; Stuff'!IA:JB,27,FALSE)</f>
        <v>0</v>
      </c>
      <c r="AD117" s="125">
        <f>VLOOKUP(C117,'Talente &amp; Stuff'!IA:JB,28,FALSE)</f>
        <v>0</v>
      </c>
      <c r="AE117" s="28"/>
    </row>
    <row r="118" spans="2:31" ht="15" hidden="1" customHeight="1" outlineLevel="2">
      <c r="B118" s="148">
        <v>19</v>
      </c>
      <c r="C118" s="177" t="str">
        <f>Attribute!C118</f>
        <v>---</v>
      </c>
      <c r="D118" s="86" t="str">
        <f>VLOOKUP(C118,'Talente &amp; Stuff'!IA:JB,2,FALSE)</f>
        <v>--/--/--</v>
      </c>
      <c r="E118" s="167" t="str">
        <f>VLOOKUP(C118,'Talente &amp; Stuff'!IA:JB,3,FALSE)</f>
        <v>-</v>
      </c>
      <c r="F118" s="120">
        <f>VLOOKUP(C118,'Talente &amp; Stuff'!IA:JB,4,FALSE)</f>
        <v>0</v>
      </c>
      <c r="G118" s="117">
        <f>VLOOKUP(C118,'Talente &amp; Stuff'!IA:JB,5,FALSE)</f>
        <v>0</v>
      </c>
      <c r="H118" s="117">
        <f>VLOOKUP(C118,'Talente &amp; Stuff'!IA:JB,6,FALSE)</f>
        <v>0</v>
      </c>
      <c r="I118" s="117">
        <f>VLOOKUP(C118,'Talente &amp; Stuff'!IA:JB,7,FALSE)</f>
        <v>0</v>
      </c>
      <c r="J118" s="117">
        <f>VLOOKUP(C118,'Talente &amp; Stuff'!IA:JB,8,FALSE)</f>
        <v>0</v>
      </c>
      <c r="K118" s="117">
        <f>VLOOKUP(C118,'Talente &amp; Stuff'!IA:JB,9,FALSE)</f>
        <v>0</v>
      </c>
      <c r="L118" s="117">
        <f>VLOOKUP(C118,'Talente &amp; Stuff'!IA:JB,10,FALSE)</f>
        <v>0</v>
      </c>
      <c r="M118" s="121">
        <f>VLOOKUP(C118,'Talente &amp; Stuff'!IA:JB,11,FALSE)</f>
        <v>0</v>
      </c>
      <c r="N118" s="47">
        <f>VLOOKUP(C118,'Talente &amp; Stuff'!IA:JB,12,FALSE)</f>
        <v>0</v>
      </c>
      <c r="O118" s="3">
        <f>VLOOKUP(C118,'Talente &amp; Stuff'!IA:JB,13,FALSE)</f>
        <v>0</v>
      </c>
      <c r="P118" s="174">
        <f>VLOOKUP(C118,'Talente &amp; Stuff'!IA:JB,14,FALSE)</f>
        <v>0</v>
      </c>
      <c r="Q118" s="114">
        <f>VLOOKUP(C118,'Talente &amp; Stuff'!IA:JB,15,FALSE)</f>
        <v>0</v>
      </c>
      <c r="R118" s="117">
        <f>VLOOKUP(C118,'Talente &amp; Stuff'!IA:JB,16,FALSE)</f>
        <v>0</v>
      </c>
      <c r="S118" s="119">
        <f>VLOOKUP(C118,'Talente &amp; Stuff'!IA:JB,17,FALSE)</f>
        <v>0</v>
      </c>
      <c r="T118" s="119">
        <f>VLOOKUP(C118,'Talente &amp; Stuff'!IA:JB,18,FALSE)</f>
        <v>0</v>
      </c>
      <c r="U118" s="89">
        <f>VLOOKUP(C118,'Talente &amp; Stuff'!IA:JB,19,FALSE)</f>
        <v>0</v>
      </c>
      <c r="V118" s="47">
        <f>VLOOKUP(C118,'Talente &amp; Stuff'!IA:JB,20,FALSE)</f>
        <v>0</v>
      </c>
      <c r="W118" s="127">
        <f>VLOOKUP(C118,'Talente &amp; Stuff'!IA:JB,21,FALSE)</f>
        <v>0</v>
      </c>
      <c r="X118" s="127">
        <f>VLOOKUP(C118,'Talente &amp; Stuff'!IA:JB,22,FALSE)</f>
        <v>0</v>
      </c>
      <c r="Y118" s="165">
        <f t="shared" si="12"/>
        <v>0</v>
      </c>
      <c r="Z118" s="44">
        <f t="shared" si="13"/>
        <v>0</v>
      </c>
      <c r="AA118" s="125">
        <f>VLOOKUP(C118,'Talente &amp; Stuff'!IA:JB,25,FALSE)</f>
        <v>0</v>
      </c>
      <c r="AB118" s="160">
        <f>VLOOKUP(C118,'Talente &amp; Stuff'!IA:JB,26,FALSE)</f>
        <v>0</v>
      </c>
      <c r="AC118" s="127">
        <f>VLOOKUP(C118,'Talente &amp; Stuff'!IA:JB,27,FALSE)</f>
        <v>0</v>
      </c>
      <c r="AD118" s="125">
        <f>VLOOKUP(C118,'Talente &amp; Stuff'!IA:JB,28,FALSE)</f>
        <v>0</v>
      </c>
      <c r="AE118" s="28"/>
    </row>
    <row r="119" spans="2:31" ht="15" hidden="1" customHeight="1" outlineLevel="2">
      <c r="B119" s="148">
        <v>20</v>
      </c>
      <c r="C119" s="177" t="str">
        <f>Attribute!C119</f>
        <v>---</v>
      </c>
      <c r="D119" s="86" t="str">
        <f>VLOOKUP(C119,'Talente &amp; Stuff'!IA:JB,2,FALSE)</f>
        <v>--/--/--</v>
      </c>
      <c r="E119" s="167" t="str">
        <f>VLOOKUP(C119,'Talente &amp; Stuff'!IA:JB,3,FALSE)</f>
        <v>-</v>
      </c>
      <c r="F119" s="120">
        <f>VLOOKUP(C119,'Talente &amp; Stuff'!IA:JB,4,FALSE)</f>
        <v>0</v>
      </c>
      <c r="G119" s="117">
        <f>VLOOKUP(C119,'Talente &amp; Stuff'!IA:JB,5,FALSE)</f>
        <v>0</v>
      </c>
      <c r="H119" s="117">
        <f>VLOOKUP(C119,'Talente &amp; Stuff'!IA:JB,6,FALSE)</f>
        <v>0</v>
      </c>
      <c r="I119" s="117">
        <f>VLOOKUP(C119,'Talente &amp; Stuff'!IA:JB,7,FALSE)</f>
        <v>0</v>
      </c>
      <c r="J119" s="117">
        <f>VLOOKUP(C119,'Talente &amp; Stuff'!IA:JB,8,FALSE)</f>
        <v>0</v>
      </c>
      <c r="K119" s="117">
        <f>VLOOKUP(C119,'Talente &amp; Stuff'!IA:JB,9,FALSE)</f>
        <v>0</v>
      </c>
      <c r="L119" s="117">
        <f>VLOOKUP(C119,'Talente &amp; Stuff'!IA:JB,10,FALSE)</f>
        <v>0</v>
      </c>
      <c r="M119" s="121">
        <f>VLOOKUP(C119,'Talente &amp; Stuff'!IA:JB,11,FALSE)</f>
        <v>0</v>
      </c>
      <c r="N119" s="47">
        <f>VLOOKUP(C119,'Talente &amp; Stuff'!IA:JB,12,FALSE)</f>
        <v>0</v>
      </c>
      <c r="O119" s="3">
        <f>VLOOKUP(C119,'Talente &amp; Stuff'!IA:JB,13,FALSE)</f>
        <v>0</v>
      </c>
      <c r="P119" s="174">
        <f>VLOOKUP(C119,'Talente &amp; Stuff'!IA:JB,14,FALSE)</f>
        <v>0</v>
      </c>
      <c r="Q119" s="114">
        <f>VLOOKUP(C119,'Talente &amp; Stuff'!IA:JB,15,FALSE)</f>
        <v>0</v>
      </c>
      <c r="R119" s="117">
        <f>VLOOKUP(C119,'Talente &amp; Stuff'!IA:JB,16,FALSE)</f>
        <v>0</v>
      </c>
      <c r="S119" s="119">
        <f>VLOOKUP(C119,'Talente &amp; Stuff'!IA:JB,17,FALSE)</f>
        <v>0</v>
      </c>
      <c r="T119" s="119">
        <f>VLOOKUP(C119,'Talente &amp; Stuff'!IA:JB,18,FALSE)</f>
        <v>0</v>
      </c>
      <c r="U119" s="89">
        <f>VLOOKUP(C119,'Talente &amp; Stuff'!IA:JB,19,FALSE)</f>
        <v>0</v>
      </c>
      <c r="V119" s="47">
        <f>VLOOKUP(C119,'Talente &amp; Stuff'!IA:JB,20,FALSE)</f>
        <v>0</v>
      </c>
      <c r="W119" s="127">
        <f>VLOOKUP(C119,'Talente &amp; Stuff'!IA:JB,21,FALSE)</f>
        <v>0</v>
      </c>
      <c r="X119" s="127">
        <f>VLOOKUP(C119,'Talente &amp; Stuff'!IA:JB,22,FALSE)</f>
        <v>0</v>
      </c>
      <c r="Y119" s="165">
        <f t="shared" si="12"/>
        <v>0</v>
      </c>
      <c r="Z119" s="44">
        <f t="shared" si="13"/>
        <v>0</v>
      </c>
      <c r="AA119" s="125">
        <f>VLOOKUP(C119,'Talente &amp; Stuff'!IA:JB,25,FALSE)</f>
        <v>0</v>
      </c>
      <c r="AB119" s="160">
        <f>VLOOKUP(C119,'Talente &amp; Stuff'!IA:JB,26,FALSE)</f>
        <v>0</v>
      </c>
      <c r="AC119" s="127">
        <f>VLOOKUP(C119,'Talente &amp; Stuff'!IA:JB,27,FALSE)</f>
        <v>0</v>
      </c>
      <c r="AD119" s="125">
        <f>VLOOKUP(C119,'Talente &amp; Stuff'!IA:JB,28,FALSE)</f>
        <v>0</v>
      </c>
      <c r="AE119" s="28"/>
    </row>
    <row r="120" spans="2:31" ht="15" hidden="1" customHeight="1" outlineLevel="2">
      <c r="B120" s="148">
        <v>21</v>
      </c>
      <c r="C120" s="177" t="str">
        <f>Attribute!C120</f>
        <v>---</v>
      </c>
      <c r="D120" s="86" t="str">
        <f>VLOOKUP(C120,'Talente &amp; Stuff'!IA:JB,2,FALSE)</f>
        <v>--/--/--</v>
      </c>
      <c r="E120" s="167" t="str">
        <f>VLOOKUP(C120,'Talente &amp; Stuff'!IA:JB,3,FALSE)</f>
        <v>-</v>
      </c>
      <c r="F120" s="120">
        <f>VLOOKUP(C120,'Talente &amp; Stuff'!IA:JB,4,FALSE)</f>
        <v>0</v>
      </c>
      <c r="G120" s="117">
        <f>VLOOKUP(C120,'Talente &amp; Stuff'!IA:JB,5,FALSE)</f>
        <v>0</v>
      </c>
      <c r="H120" s="117">
        <f>VLOOKUP(C120,'Talente &amp; Stuff'!IA:JB,6,FALSE)</f>
        <v>0</v>
      </c>
      <c r="I120" s="117">
        <f>VLOOKUP(C120,'Talente &amp; Stuff'!IA:JB,7,FALSE)</f>
        <v>0</v>
      </c>
      <c r="J120" s="117">
        <f>VLOOKUP(C120,'Talente &amp; Stuff'!IA:JB,8,FALSE)</f>
        <v>0</v>
      </c>
      <c r="K120" s="117">
        <f>VLOOKUP(C120,'Talente &amp; Stuff'!IA:JB,9,FALSE)</f>
        <v>0</v>
      </c>
      <c r="L120" s="117">
        <f>VLOOKUP(C120,'Talente &amp; Stuff'!IA:JB,10,FALSE)</f>
        <v>0</v>
      </c>
      <c r="M120" s="121">
        <f>VLOOKUP(C120,'Talente &amp; Stuff'!IA:JB,11,FALSE)</f>
        <v>0</v>
      </c>
      <c r="N120" s="47">
        <f>VLOOKUP(C120,'Talente &amp; Stuff'!IA:JB,12,FALSE)</f>
        <v>0</v>
      </c>
      <c r="O120" s="3">
        <f>VLOOKUP(C120,'Talente &amp; Stuff'!IA:JB,13,FALSE)</f>
        <v>0</v>
      </c>
      <c r="P120" s="174">
        <f>VLOOKUP(C120,'Talente &amp; Stuff'!IA:JB,14,FALSE)</f>
        <v>0</v>
      </c>
      <c r="Q120" s="114">
        <f>VLOOKUP(C120,'Talente &amp; Stuff'!IA:JB,15,FALSE)</f>
        <v>0</v>
      </c>
      <c r="R120" s="117">
        <f>VLOOKUP(C120,'Talente &amp; Stuff'!IA:JB,16,FALSE)</f>
        <v>0</v>
      </c>
      <c r="S120" s="119">
        <f>VLOOKUP(C120,'Talente &amp; Stuff'!IA:JB,17,FALSE)</f>
        <v>0</v>
      </c>
      <c r="T120" s="119">
        <f>VLOOKUP(C120,'Talente &amp; Stuff'!IA:JB,18,FALSE)</f>
        <v>0</v>
      </c>
      <c r="U120" s="89">
        <f>VLOOKUP(C120,'Talente &amp; Stuff'!IA:JB,19,FALSE)</f>
        <v>0</v>
      </c>
      <c r="V120" s="47">
        <f>VLOOKUP(C120,'Talente &amp; Stuff'!IA:JB,20,FALSE)</f>
        <v>0</v>
      </c>
      <c r="W120" s="127">
        <f>VLOOKUP(C120,'Talente &amp; Stuff'!IA:JB,21,FALSE)</f>
        <v>0</v>
      </c>
      <c r="X120" s="127">
        <f>VLOOKUP(C120,'Talente &amp; Stuff'!IA:JB,22,FALSE)</f>
        <v>0</v>
      </c>
      <c r="Y120" s="165">
        <f t="shared" si="12"/>
        <v>0</v>
      </c>
      <c r="Z120" s="44">
        <f t="shared" si="13"/>
        <v>0</v>
      </c>
      <c r="AA120" s="125">
        <f>VLOOKUP(C120,'Talente &amp; Stuff'!IA:JB,25,FALSE)</f>
        <v>0</v>
      </c>
      <c r="AB120" s="160">
        <f>VLOOKUP(C120,'Talente &amp; Stuff'!IA:JB,26,FALSE)</f>
        <v>0</v>
      </c>
      <c r="AC120" s="127">
        <f>VLOOKUP(C120,'Talente &amp; Stuff'!IA:JB,27,FALSE)</f>
        <v>0</v>
      </c>
      <c r="AD120" s="125">
        <f>VLOOKUP(C120,'Talente &amp; Stuff'!IA:JB,28,FALSE)</f>
        <v>0</v>
      </c>
      <c r="AE120" s="28"/>
    </row>
    <row r="121" spans="2:31" ht="15" hidden="1" customHeight="1" outlineLevel="2">
      <c r="B121" s="148">
        <v>22</v>
      </c>
      <c r="C121" s="177" t="str">
        <f>Attribute!C121</f>
        <v>---</v>
      </c>
      <c r="D121" s="86" t="str">
        <f>VLOOKUP(C121,'Talente &amp; Stuff'!IA:JB,2,FALSE)</f>
        <v>--/--/--</v>
      </c>
      <c r="E121" s="167" t="str">
        <f>VLOOKUP(C121,'Talente &amp; Stuff'!IA:JB,3,FALSE)</f>
        <v>-</v>
      </c>
      <c r="F121" s="120">
        <f>VLOOKUP(C121,'Talente &amp; Stuff'!IA:JB,4,FALSE)</f>
        <v>0</v>
      </c>
      <c r="G121" s="117">
        <f>VLOOKUP(C121,'Talente &amp; Stuff'!IA:JB,5,FALSE)</f>
        <v>0</v>
      </c>
      <c r="H121" s="117">
        <f>VLOOKUP(C121,'Talente &amp; Stuff'!IA:JB,6,FALSE)</f>
        <v>0</v>
      </c>
      <c r="I121" s="117">
        <f>VLOOKUP(C121,'Talente &amp; Stuff'!IA:JB,7,FALSE)</f>
        <v>0</v>
      </c>
      <c r="J121" s="117">
        <f>VLOOKUP(C121,'Talente &amp; Stuff'!IA:JB,8,FALSE)</f>
        <v>0</v>
      </c>
      <c r="K121" s="117">
        <f>VLOOKUP(C121,'Talente &amp; Stuff'!IA:JB,9,FALSE)</f>
        <v>0</v>
      </c>
      <c r="L121" s="117">
        <f>VLOOKUP(C121,'Talente &amp; Stuff'!IA:JB,10,FALSE)</f>
        <v>0</v>
      </c>
      <c r="M121" s="121">
        <f>VLOOKUP(C121,'Talente &amp; Stuff'!IA:JB,11,FALSE)</f>
        <v>0</v>
      </c>
      <c r="N121" s="47">
        <f>VLOOKUP(C121,'Talente &amp; Stuff'!IA:JB,12,FALSE)</f>
        <v>0</v>
      </c>
      <c r="O121" s="3">
        <f>VLOOKUP(C121,'Talente &amp; Stuff'!IA:JB,13,FALSE)</f>
        <v>0</v>
      </c>
      <c r="P121" s="174">
        <f>VLOOKUP(C121,'Talente &amp; Stuff'!IA:JB,14,FALSE)</f>
        <v>0</v>
      </c>
      <c r="Q121" s="114">
        <f>VLOOKUP(C121,'Talente &amp; Stuff'!IA:JB,15,FALSE)</f>
        <v>0</v>
      </c>
      <c r="R121" s="117">
        <f>VLOOKUP(C121,'Talente &amp; Stuff'!IA:JB,16,FALSE)</f>
        <v>0</v>
      </c>
      <c r="S121" s="119">
        <f>VLOOKUP(C121,'Talente &amp; Stuff'!IA:JB,17,FALSE)</f>
        <v>0</v>
      </c>
      <c r="T121" s="119">
        <f>VLOOKUP(C121,'Talente &amp; Stuff'!IA:JB,18,FALSE)</f>
        <v>0</v>
      </c>
      <c r="U121" s="89">
        <f>VLOOKUP(C121,'Talente &amp; Stuff'!IA:JB,19,FALSE)</f>
        <v>0</v>
      </c>
      <c r="V121" s="47">
        <f>VLOOKUP(C121,'Talente &amp; Stuff'!IA:JB,20,FALSE)</f>
        <v>0</v>
      </c>
      <c r="W121" s="127">
        <f>VLOOKUP(C121,'Talente &amp; Stuff'!IA:JB,21,FALSE)</f>
        <v>0</v>
      </c>
      <c r="X121" s="127">
        <f>VLOOKUP(C121,'Talente &amp; Stuff'!IA:JB,22,FALSE)</f>
        <v>0</v>
      </c>
      <c r="Y121" s="165">
        <f t="shared" si="12"/>
        <v>0</v>
      </c>
      <c r="Z121" s="44">
        <f t="shared" si="13"/>
        <v>0</v>
      </c>
      <c r="AA121" s="125">
        <f>VLOOKUP(C121,'Talente &amp; Stuff'!IA:JB,25,FALSE)</f>
        <v>0</v>
      </c>
      <c r="AB121" s="160">
        <f>VLOOKUP(C121,'Talente &amp; Stuff'!IA:JB,26,FALSE)</f>
        <v>0</v>
      </c>
      <c r="AC121" s="127">
        <f>VLOOKUP(C121,'Talente &amp; Stuff'!IA:JB,27,FALSE)</f>
        <v>0</v>
      </c>
      <c r="AD121" s="125">
        <f>VLOOKUP(C121,'Talente &amp; Stuff'!IA:JB,28,FALSE)</f>
        <v>0</v>
      </c>
      <c r="AE121" s="28"/>
    </row>
    <row r="122" spans="2:31" ht="15" hidden="1" customHeight="1" outlineLevel="2">
      <c r="B122" s="148">
        <v>23</v>
      </c>
      <c r="C122" s="177" t="str">
        <f>Attribute!C122</f>
        <v>---</v>
      </c>
      <c r="D122" s="86" t="str">
        <f>VLOOKUP(C122,'Talente &amp; Stuff'!IA:JB,2,FALSE)</f>
        <v>--/--/--</v>
      </c>
      <c r="E122" s="127" t="str">
        <f>VLOOKUP(C122,'Talente &amp; Stuff'!IA:JB,3,FALSE)</f>
        <v>-</v>
      </c>
      <c r="F122" s="114">
        <f>VLOOKUP(C122,'Talente &amp; Stuff'!IA:JB,4,FALSE)</f>
        <v>0</v>
      </c>
      <c r="G122" s="113">
        <f>VLOOKUP(C122,'Talente &amp; Stuff'!IA:JB,5,FALSE)</f>
        <v>0</v>
      </c>
      <c r="H122" s="113">
        <f>VLOOKUP(C122,'Talente &amp; Stuff'!IA:JB,6,FALSE)</f>
        <v>0</v>
      </c>
      <c r="I122" s="113">
        <f>VLOOKUP(C122,'Talente &amp; Stuff'!IA:JB,7,FALSE)</f>
        <v>0</v>
      </c>
      <c r="J122" s="113">
        <f>VLOOKUP(C122,'Talente &amp; Stuff'!IA:JB,8,FALSE)</f>
        <v>0</v>
      </c>
      <c r="K122" s="113">
        <f>VLOOKUP(C122,'Talente &amp; Stuff'!IA:JB,9,FALSE)</f>
        <v>0</v>
      </c>
      <c r="L122" s="113">
        <f>VLOOKUP(C122,'Talente &amp; Stuff'!IA:JB,10,FALSE)</f>
        <v>0</v>
      </c>
      <c r="M122" s="119">
        <f>VLOOKUP(C122,'Talente &amp; Stuff'!IA:JB,11,FALSE)</f>
        <v>0</v>
      </c>
      <c r="N122" s="47">
        <f>VLOOKUP(C122,'Talente &amp; Stuff'!IA:JB,12,FALSE)</f>
        <v>0</v>
      </c>
      <c r="O122" s="3">
        <f>VLOOKUP(C122,'Talente &amp; Stuff'!IA:JB,13,FALSE)</f>
        <v>0</v>
      </c>
      <c r="P122" s="174">
        <f>VLOOKUP(C122,'Talente &amp; Stuff'!IA:JB,14,FALSE)</f>
        <v>0</v>
      </c>
      <c r="Q122" s="114">
        <f>VLOOKUP(C122,'Talente &amp; Stuff'!IA:JB,15,FALSE)</f>
        <v>0</v>
      </c>
      <c r="R122" s="117">
        <f>VLOOKUP(C122,'Talente &amp; Stuff'!IA:JB,16,FALSE)</f>
        <v>0</v>
      </c>
      <c r="S122" s="119">
        <f>VLOOKUP(C122,'Talente &amp; Stuff'!IA:JB,17,FALSE)</f>
        <v>0</v>
      </c>
      <c r="T122" s="119">
        <f>VLOOKUP(C122,'Talente &amp; Stuff'!IA:JB,18,FALSE)</f>
        <v>0</v>
      </c>
      <c r="U122" s="89">
        <f>VLOOKUP(C122,'Talente &amp; Stuff'!IA:JB,19,FALSE)</f>
        <v>0</v>
      </c>
      <c r="V122" s="47">
        <f>VLOOKUP(C122,'Talente &amp; Stuff'!IA:JB,20,FALSE)</f>
        <v>0</v>
      </c>
      <c r="W122" s="127">
        <f>VLOOKUP(C122,'Talente &amp; Stuff'!IA:JB,21,FALSE)</f>
        <v>0</v>
      </c>
      <c r="X122" s="127">
        <f>VLOOKUP(C122,'Talente &amp; Stuff'!IA:JB,22,FALSE)</f>
        <v>0</v>
      </c>
      <c r="Y122" s="165">
        <f t="shared" si="12"/>
        <v>0</v>
      </c>
      <c r="Z122" s="44">
        <f t="shared" si="13"/>
        <v>0</v>
      </c>
      <c r="AA122" s="125">
        <f>VLOOKUP(C122,'Talente &amp; Stuff'!IA:JB,25,FALSE)</f>
        <v>0</v>
      </c>
      <c r="AB122" s="160">
        <f>VLOOKUP(C122,'Talente &amp; Stuff'!IA:JB,26,FALSE)</f>
        <v>0</v>
      </c>
      <c r="AC122" s="127">
        <f>VLOOKUP(C122,'Talente &amp; Stuff'!IA:JB,27,FALSE)</f>
        <v>0</v>
      </c>
      <c r="AD122" s="125">
        <f>VLOOKUP(C122,'Talente &amp; Stuff'!IA:JB,28,FALSE)</f>
        <v>0</v>
      </c>
      <c r="AE122" s="28"/>
    </row>
    <row r="123" spans="2:31" ht="15" hidden="1" customHeight="1" outlineLevel="2">
      <c r="B123" s="148">
        <v>24</v>
      </c>
      <c r="C123" s="177" t="str">
        <f>Attribute!C123</f>
        <v>---</v>
      </c>
      <c r="D123" s="86" t="str">
        <f>VLOOKUP(C123,'Talente &amp; Stuff'!IA:JB,2,FALSE)</f>
        <v>--/--/--</v>
      </c>
      <c r="E123" s="127" t="str">
        <f>VLOOKUP(C123,'Talente &amp; Stuff'!IA:JB,3,FALSE)</f>
        <v>-</v>
      </c>
      <c r="F123" s="114">
        <f>VLOOKUP(C123,'Talente &amp; Stuff'!IA:JB,4,FALSE)</f>
        <v>0</v>
      </c>
      <c r="G123" s="113">
        <f>VLOOKUP(C123,'Talente &amp; Stuff'!IA:JB,5,FALSE)</f>
        <v>0</v>
      </c>
      <c r="H123" s="113">
        <f>VLOOKUP(C123,'Talente &amp; Stuff'!IA:JB,6,FALSE)</f>
        <v>0</v>
      </c>
      <c r="I123" s="113">
        <f>VLOOKUP(C123,'Talente &amp; Stuff'!IA:JB,7,FALSE)</f>
        <v>0</v>
      </c>
      <c r="J123" s="113">
        <f>VLOOKUP(C123,'Talente &amp; Stuff'!IA:JB,8,FALSE)</f>
        <v>0</v>
      </c>
      <c r="K123" s="113">
        <f>VLOOKUP(C123,'Talente &amp; Stuff'!IA:JB,9,FALSE)</f>
        <v>0</v>
      </c>
      <c r="L123" s="113">
        <f>VLOOKUP(C123,'Talente &amp; Stuff'!IA:JB,10,FALSE)</f>
        <v>0</v>
      </c>
      <c r="M123" s="119">
        <f>VLOOKUP(C123,'Talente &amp; Stuff'!IA:JB,11,FALSE)</f>
        <v>0</v>
      </c>
      <c r="N123" s="47">
        <f>VLOOKUP(C123,'Talente &amp; Stuff'!IA:JB,12,FALSE)</f>
        <v>0</v>
      </c>
      <c r="O123" s="3">
        <f>VLOOKUP(C123,'Talente &amp; Stuff'!IA:JB,13,FALSE)</f>
        <v>0</v>
      </c>
      <c r="P123" s="174">
        <f>VLOOKUP(C123,'Talente &amp; Stuff'!IA:JB,14,FALSE)</f>
        <v>0</v>
      </c>
      <c r="Q123" s="114">
        <f>VLOOKUP(C123,'Talente &amp; Stuff'!IA:JB,15,FALSE)</f>
        <v>0</v>
      </c>
      <c r="R123" s="117">
        <f>VLOOKUP(C123,'Talente &amp; Stuff'!IA:JB,16,FALSE)</f>
        <v>0</v>
      </c>
      <c r="S123" s="119">
        <f>VLOOKUP(C123,'Talente &amp; Stuff'!IA:JB,17,FALSE)</f>
        <v>0</v>
      </c>
      <c r="T123" s="119">
        <f>VLOOKUP(C123,'Talente &amp; Stuff'!IA:JB,18,FALSE)</f>
        <v>0</v>
      </c>
      <c r="U123" s="89">
        <f>VLOOKUP(C123,'Talente &amp; Stuff'!IA:JB,19,FALSE)</f>
        <v>0</v>
      </c>
      <c r="V123" s="47">
        <f>VLOOKUP(C123,'Talente &amp; Stuff'!IA:JB,20,FALSE)</f>
        <v>0</v>
      </c>
      <c r="W123" s="127">
        <f>VLOOKUP(C123,'Talente &amp; Stuff'!IA:JB,21,FALSE)</f>
        <v>0</v>
      </c>
      <c r="X123" s="127">
        <f>VLOOKUP(C123,'Talente &amp; Stuff'!IA:JB,22,FALSE)</f>
        <v>0</v>
      </c>
      <c r="Y123" s="165">
        <f t="shared" si="12"/>
        <v>0</v>
      </c>
      <c r="Z123" s="44">
        <f t="shared" si="13"/>
        <v>0</v>
      </c>
      <c r="AA123" s="125">
        <f>VLOOKUP(C123,'Talente &amp; Stuff'!IA:JB,25,FALSE)</f>
        <v>0</v>
      </c>
      <c r="AB123" s="160">
        <f>VLOOKUP(C123,'Talente &amp; Stuff'!IA:JB,26,FALSE)</f>
        <v>0</v>
      </c>
      <c r="AC123" s="127">
        <f>VLOOKUP(C123,'Talente &amp; Stuff'!IA:JB,27,FALSE)</f>
        <v>0</v>
      </c>
      <c r="AD123" s="125">
        <f>VLOOKUP(C123,'Talente &amp; Stuff'!IA:JB,28,FALSE)</f>
        <v>0</v>
      </c>
      <c r="AE123" s="28"/>
    </row>
    <row r="124" spans="2:31" ht="15" hidden="1" customHeight="1" outlineLevel="2">
      <c r="B124" s="148">
        <v>25</v>
      </c>
      <c r="C124" s="177" t="str">
        <f>Attribute!C124</f>
        <v>---</v>
      </c>
      <c r="D124" s="86" t="str">
        <f>VLOOKUP(C124,'Talente &amp; Stuff'!IA:JB,2,FALSE)</f>
        <v>--/--/--</v>
      </c>
      <c r="E124" s="127" t="str">
        <f>VLOOKUP(C124,'Talente &amp; Stuff'!IA:JB,3,FALSE)</f>
        <v>-</v>
      </c>
      <c r="F124" s="114">
        <f>VLOOKUP(C124,'Talente &amp; Stuff'!IA:JB,4,FALSE)</f>
        <v>0</v>
      </c>
      <c r="G124" s="113">
        <f>VLOOKUP(C124,'Talente &amp; Stuff'!IA:JB,5,FALSE)</f>
        <v>0</v>
      </c>
      <c r="H124" s="113">
        <f>VLOOKUP(C124,'Talente &amp; Stuff'!IA:JB,6,FALSE)</f>
        <v>0</v>
      </c>
      <c r="I124" s="113">
        <f>VLOOKUP(C124,'Talente &amp; Stuff'!IA:JB,7,FALSE)</f>
        <v>0</v>
      </c>
      <c r="J124" s="113">
        <f>VLOOKUP(C124,'Talente &amp; Stuff'!IA:JB,8,FALSE)</f>
        <v>0</v>
      </c>
      <c r="K124" s="113">
        <f>VLOOKUP(C124,'Talente &amp; Stuff'!IA:JB,9,FALSE)</f>
        <v>0</v>
      </c>
      <c r="L124" s="113">
        <f>VLOOKUP(C124,'Talente &amp; Stuff'!IA:JB,10,FALSE)</f>
        <v>0</v>
      </c>
      <c r="M124" s="119">
        <f>VLOOKUP(C124,'Talente &amp; Stuff'!IA:JB,11,FALSE)</f>
        <v>0</v>
      </c>
      <c r="N124" s="47">
        <f>VLOOKUP(C124,'Talente &amp; Stuff'!IA:JB,12,FALSE)</f>
        <v>0</v>
      </c>
      <c r="O124" s="3">
        <f>VLOOKUP(C124,'Talente &amp; Stuff'!IA:JB,13,FALSE)</f>
        <v>0</v>
      </c>
      <c r="P124" s="174">
        <f>VLOOKUP(C124,'Talente &amp; Stuff'!IA:JB,14,FALSE)</f>
        <v>0</v>
      </c>
      <c r="Q124" s="114">
        <f>VLOOKUP(C124,'Talente &amp; Stuff'!IA:JB,15,FALSE)</f>
        <v>0</v>
      </c>
      <c r="R124" s="117">
        <f>VLOOKUP(C124,'Talente &amp; Stuff'!IA:JB,16,FALSE)</f>
        <v>0</v>
      </c>
      <c r="S124" s="119">
        <f>VLOOKUP(C124,'Talente &amp; Stuff'!IA:JB,17,FALSE)</f>
        <v>0</v>
      </c>
      <c r="T124" s="119">
        <f>VLOOKUP(C124,'Talente &amp; Stuff'!IA:JB,18,FALSE)</f>
        <v>0</v>
      </c>
      <c r="U124" s="89">
        <f>VLOOKUP(C124,'Talente &amp; Stuff'!IA:JB,19,FALSE)</f>
        <v>0</v>
      </c>
      <c r="V124" s="47">
        <f>VLOOKUP(C124,'Talente &amp; Stuff'!IA:JB,20,FALSE)</f>
        <v>0</v>
      </c>
      <c r="W124" s="127">
        <f>VLOOKUP(C124,'Talente &amp; Stuff'!IA:JB,21,FALSE)</f>
        <v>0</v>
      </c>
      <c r="X124" s="127">
        <f>VLOOKUP(C124,'Talente &amp; Stuff'!IA:JB,22,FALSE)</f>
        <v>0</v>
      </c>
      <c r="Y124" s="165">
        <f t="shared" si="12"/>
        <v>0</v>
      </c>
      <c r="Z124" s="44">
        <f t="shared" si="13"/>
        <v>0</v>
      </c>
      <c r="AA124" s="125">
        <f>VLOOKUP(C124,'Talente &amp; Stuff'!IA:JB,25,FALSE)</f>
        <v>0</v>
      </c>
      <c r="AB124" s="160">
        <f>VLOOKUP(C124,'Talente &amp; Stuff'!IA:JB,26,FALSE)</f>
        <v>0</v>
      </c>
      <c r="AC124" s="127">
        <f>VLOOKUP(C124,'Talente &amp; Stuff'!IA:JB,27,FALSE)</f>
        <v>0</v>
      </c>
      <c r="AD124" s="125">
        <f>VLOOKUP(C124,'Talente &amp; Stuff'!IA:JB,28,FALSE)</f>
        <v>0</v>
      </c>
      <c r="AE124" s="28"/>
    </row>
    <row r="125" spans="2:31" ht="15" hidden="1" customHeight="1" outlineLevel="2">
      <c r="B125" s="148">
        <v>26</v>
      </c>
      <c r="C125" s="177" t="str">
        <f>Attribute!C125</f>
        <v>---</v>
      </c>
      <c r="D125" s="86" t="str">
        <f>VLOOKUP(C125,'Talente &amp; Stuff'!IA:JB,2,FALSE)</f>
        <v>--/--/--</v>
      </c>
      <c r="E125" s="127" t="str">
        <f>VLOOKUP(C125,'Talente &amp; Stuff'!IA:JB,3,FALSE)</f>
        <v>-</v>
      </c>
      <c r="F125" s="114">
        <f>VLOOKUP(C125,'Talente &amp; Stuff'!IA:JB,4,FALSE)</f>
        <v>0</v>
      </c>
      <c r="G125" s="113">
        <f>VLOOKUP(C125,'Talente &amp; Stuff'!IA:JB,5,FALSE)</f>
        <v>0</v>
      </c>
      <c r="H125" s="113">
        <f>VLOOKUP(C125,'Talente &amp; Stuff'!IA:JB,6,FALSE)</f>
        <v>0</v>
      </c>
      <c r="I125" s="113">
        <f>VLOOKUP(C125,'Talente &amp; Stuff'!IA:JB,7,FALSE)</f>
        <v>0</v>
      </c>
      <c r="J125" s="113">
        <f>VLOOKUP(C125,'Talente &amp; Stuff'!IA:JB,8,FALSE)</f>
        <v>0</v>
      </c>
      <c r="K125" s="113">
        <f>VLOOKUP(C125,'Talente &amp; Stuff'!IA:JB,9,FALSE)</f>
        <v>0</v>
      </c>
      <c r="L125" s="113">
        <f>VLOOKUP(C125,'Talente &amp; Stuff'!IA:JB,10,FALSE)</f>
        <v>0</v>
      </c>
      <c r="M125" s="119">
        <f>VLOOKUP(C125,'Talente &amp; Stuff'!IA:JB,11,FALSE)</f>
        <v>0</v>
      </c>
      <c r="N125" s="47">
        <f>VLOOKUP(C125,'Talente &amp; Stuff'!IA:JB,12,FALSE)</f>
        <v>0</v>
      </c>
      <c r="O125" s="3">
        <f>VLOOKUP(C125,'Talente &amp; Stuff'!IA:JB,13,FALSE)</f>
        <v>0</v>
      </c>
      <c r="P125" s="174">
        <f>VLOOKUP(C125,'Talente &amp; Stuff'!IA:JB,14,FALSE)</f>
        <v>0</v>
      </c>
      <c r="Q125" s="114">
        <f>VLOOKUP(C125,'Talente &amp; Stuff'!IA:JB,15,FALSE)</f>
        <v>0</v>
      </c>
      <c r="R125" s="117">
        <f>VLOOKUP(C125,'Talente &amp; Stuff'!IA:JB,16,FALSE)</f>
        <v>0</v>
      </c>
      <c r="S125" s="119">
        <f>VLOOKUP(C125,'Talente &amp; Stuff'!IA:JB,17,FALSE)</f>
        <v>0</v>
      </c>
      <c r="T125" s="119">
        <f>VLOOKUP(C125,'Talente &amp; Stuff'!IA:JB,18,FALSE)</f>
        <v>0</v>
      </c>
      <c r="U125" s="89">
        <f>VLOOKUP(C125,'Talente &amp; Stuff'!IA:JB,19,FALSE)</f>
        <v>0</v>
      </c>
      <c r="V125" s="47">
        <f>VLOOKUP(C125,'Talente &amp; Stuff'!IA:JB,20,FALSE)</f>
        <v>0</v>
      </c>
      <c r="W125" s="127">
        <f>VLOOKUP(C125,'Talente &amp; Stuff'!IA:JB,21,FALSE)</f>
        <v>0</v>
      </c>
      <c r="X125" s="127">
        <f>VLOOKUP(C125,'Talente &amp; Stuff'!IA:JB,22,FALSE)</f>
        <v>0</v>
      </c>
      <c r="Y125" s="165">
        <f t="shared" si="12"/>
        <v>0</v>
      </c>
      <c r="Z125" s="44">
        <f t="shared" si="13"/>
        <v>0</v>
      </c>
      <c r="AA125" s="125">
        <f>VLOOKUP(C125,'Talente &amp; Stuff'!IA:JB,25,FALSE)</f>
        <v>0</v>
      </c>
      <c r="AB125" s="160">
        <f>VLOOKUP(C125,'Talente &amp; Stuff'!IA:JB,26,FALSE)</f>
        <v>0</v>
      </c>
      <c r="AC125" s="127">
        <f>VLOOKUP(C125,'Talente &amp; Stuff'!IA:JB,27,FALSE)</f>
        <v>0</v>
      </c>
      <c r="AD125" s="125">
        <f>VLOOKUP(C125,'Talente &amp; Stuff'!IA:JB,28,FALSE)</f>
        <v>0</v>
      </c>
      <c r="AE125" s="28"/>
    </row>
    <row r="126" spans="2:31" ht="15" hidden="1" customHeight="1" outlineLevel="2">
      <c r="B126" s="148">
        <v>27</v>
      </c>
      <c r="C126" s="178" t="str">
        <f>Attribute!C126</f>
        <v>---</v>
      </c>
      <c r="D126" s="23" t="str">
        <f>VLOOKUP(C126,'Talente &amp; Stuff'!IA:JB,2,FALSE)</f>
        <v>--/--/--</v>
      </c>
      <c r="E126" s="128" t="str">
        <f>VLOOKUP(C126,'Talente &amp; Stuff'!IA:JB,3,FALSE)</f>
        <v>-</v>
      </c>
      <c r="F126" s="115">
        <f>VLOOKUP(C126,'Talente &amp; Stuff'!IA:JB,4,FALSE)</f>
        <v>0</v>
      </c>
      <c r="G126" s="122">
        <f>VLOOKUP(C126,'Talente &amp; Stuff'!IA:JB,5,FALSE)</f>
        <v>0</v>
      </c>
      <c r="H126" s="122">
        <f>VLOOKUP(C126,'Talente &amp; Stuff'!IA:JB,6,FALSE)</f>
        <v>0</v>
      </c>
      <c r="I126" s="122">
        <f>VLOOKUP(C126,'Talente &amp; Stuff'!IA:JB,7,FALSE)</f>
        <v>0</v>
      </c>
      <c r="J126" s="122">
        <f>VLOOKUP(C126,'Talente &amp; Stuff'!IA:JB,8,FALSE)</f>
        <v>0</v>
      </c>
      <c r="K126" s="122">
        <f>VLOOKUP(C126,'Talente &amp; Stuff'!IA:JB,9,FALSE)</f>
        <v>0</v>
      </c>
      <c r="L126" s="122">
        <f>VLOOKUP(C126,'Talente &amp; Stuff'!IA:JB,10,FALSE)</f>
        <v>0</v>
      </c>
      <c r="M126" s="123">
        <f>VLOOKUP(C126,'Talente &amp; Stuff'!IA:JB,11,FALSE)</f>
        <v>0</v>
      </c>
      <c r="N126" s="88">
        <f>VLOOKUP(C126,'Talente &amp; Stuff'!IA:JB,12,FALSE)</f>
        <v>0</v>
      </c>
      <c r="O126" s="2">
        <f>VLOOKUP(C126,'Talente &amp; Stuff'!IA:JB,13,FALSE)</f>
        <v>0</v>
      </c>
      <c r="P126" s="173">
        <f>VLOOKUP(C126,'Talente &amp; Stuff'!IA:JB,14,FALSE)</f>
        <v>0</v>
      </c>
      <c r="Q126" s="115">
        <f>VLOOKUP(C126,'Talente &amp; Stuff'!IA:JB,15,FALSE)</f>
        <v>0</v>
      </c>
      <c r="R126" s="169">
        <f>VLOOKUP(C126,'Talente &amp; Stuff'!IA:JB,16,FALSE)</f>
        <v>0</v>
      </c>
      <c r="S126" s="123">
        <f>VLOOKUP(C126,'Talente &amp; Stuff'!IA:JB,17,FALSE)</f>
        <v>0</v>
      </c>
      <c r="T126" s="123">
        <f>VLOOKUP(C126,'Talente &amp; Stuff'!IA:JB,18,FALSE)</f>
        <v>0</v>
      </c>
      <c r="U126" s="90">
        <f>VLOOKUP(C126,'Talente &amp; Stuff'!IA:JB,19,FALSE)</f>
        <v>0</v>
      </c>
      <c r="V126" s="88">
        <f>VLOOKUP(C126,'Talente &amp; Stuff'!IA:JB,20,FALSE)</f>
        <v>0</v>
      </c>
      <c r="W126" s="128">
        <f>VLOOKUP(C126,'Talente &amp; Stuff'!IA:JB,21,FALSE)</f>
        <v>0</v>
      </c>
      <c r="X126" s="128">
        <f>VLOOKUP(C126,'Talente &amp; Stuff'!IA:JB,22,FALSE)</f>
        <v>0</v>
      </c>
      <c r="Y126" s="165">
        <f t="shared" si="12"/>
        <v>0</v>
      </c>
      <c r="Z126" s="44">
        <f t="shared" si="13"/>
        <v>0</v>
      </c>
      <c r="AA126" s="159">
        <f>VLOOKUP(C126,'Talente &amp; Stuff'!IA:JB,25,FALSE)</f>
        <v>0</v>
      </c>
      <c r="AB126" s="161">
        <f>VLOOKUP(C126,'Talente &amp; Stuff'!IA:JB,26,FALSE)</f>
        <v>0</v>
      </c>
      <c r="AC126" s="128">
        <f>VLOOKUP(C126,'Talente &amp; Stuff'!IA:JB,27,FALSE)</f>
        <v>0</v>
      </c>
      <c r="AD126" s="159">
        <f>VLOOKUP(C126,'Talente &amp; Stuff'!IA:JB,28,FALSE)</f>
        <v>0</v>
      </c>
      <c r="AE126" s="28"/>
    </row>
    <row r="127" spans="2:31" ht="15" hidden="1" customHeight="1" outlineLevel="1" collapsed="1">
      <c r="B127" s="134" t="s">
        <v>330</v>
      </c>
      <c r="C127" s="83"/>
      <c r="D127" s="84"/>
      <c r="E127" s="84"/>
    </row>
    <row r="128" spans="2:31" ht="15" hidden="1" customHeight="1" outlineLevel="2">
      <c r="B128" s="148">
        <v>1</v>
      </c>
      <c r="C128" s="176" t="str">
        <f>Attribute!C128</f>
        <v>---</v>
      </c>
      <c r="D128" s="158" t="str">
        <f>VLOOKUP(C128,'Talente &amp; Stuff'!IA:JB,2,FALSE)</f>
        <v>--/--/--</v>
      </c>
      <c r="E128" s="126" t="str">
        <f>VLOOKUP(C128,'Talente &amp; Stuff'!IA:JB,3,FALSE)</f>
        <v>-</v>
      </c>
      <c r="F128" s="191">
        <f>VLOOKUP(C128,'Talente &amp; Stuff'!IA:JB,4,FALSE)</f>
        <v>0</v>
      </c>
      <c r="G128" s="118">
        <f>VLOOKUP(C128,'Talente &amp; Stuff'!IA:JB,5,FALSE)</f>
        <v>0</v>
      </c>
      <c r="H128" s="118">
        <f>VLOOKUP(C128,'Talente &amp; Stuff'!IA:JB,6,FALSE)</f>
        <v>0</v>
      </c>
      <c r="I128" s="118">
        <f>VLOOKUP(C128,'Talente &amp; Stuff'!IA:JB,7,FALSE)</f>
        <v>0</v>
      </c>
      <c r="J128" s="118">
        <f>VLOOKUP(C128,'Talente &amp; Stuff'!IA:JB,8,FALSE)</f>
        <v>0</v>
      </c>
      <c r="K128" s="118">
        <f>VLOOKUP(C128,'Talente &amp; Stuff'!IA:JB,9,FALSE)</f>
        <v>0</v>
      </c>
      <c r="L128" s="118">
        <f>VLOOKUP(C128,'Talente &amp; Stuff'!IA:JB,10,FALSE)</f>
        <v>0</v>
      </c>
      <c r="M128" s="92">
        <f>VLOOKUP(C128,'Talente &amp; Stuff'!IA:JB,11,FALSE)</f>
        <v>0</v>
      </c>
      <c r="N128" s="116">
        <f>VLOOKUP(C128,'Talente &amp; Stuff'!IA:JB,12,FALSE)</f>
        <v>0</v>
      </c>
      <c r="O128" s="116">
        <f>VLOOKUP(C128,'Talente &amp; Stuff'!IA:JB,13,FALSE)</f>
        <v>0</v>
      </c>
      <c r="P128" s="92">
        <f>VLOOKUP(C128,'Talente &amp; Stuff'!IA:JB,14,FALSE)</f>
        <v>0</v>
      </c>
      <c r="Q128" s="191">
        <f>VLOOKUP(C128,'Talente &amp; Stuff'!IA:JB,15,FALSE)</f>
        <v>0</v>
      </c>
      <c r="R128" s="118">
        <f>VLOOKUP(C128,'Talente &amp; Stuff'!IA:JB,16,FALSE)</f>
        <v>0</v>
      </c>
      <c r="S128" s="92">
        <f>VLOOKUP(C128,'Talente &amp; Stuff'!IA:JB,17,FALSE)</f>
        <v>0</v>
      </c>
      <c r="T128" s="92">
        <f>VLOOKUP(C128,'Talente &amp; Stuff'!IA:JB,18,FALSE)</f>
        <v>0</v>
      </c>
      <c r="U128" s="193">
        <f>VLOOKUP(C128,'Talente &amp; Stuff'!IA:JB,19,FALSE)</f>
        <v>0</v>
      </c>
      <c r="V128" s="116">
        <f>VLOOKUP(C128,'Talente &amp; Stuff'!IA:JB,20,FALSE)</f>
        <v>0</v>
      </c>
      <c r="W128" s="126">
        <f>VLOOKUP(C128,'Talente &amp; Stuff'!IA:JB,21,FALSE)</f>
        <v>0</v>
      </c>
      <c r="X128" s="126">
        <f>VLOOKUP(C128,'Talente &amp; Stuff'!IA:JB,22,FALSE)</f>
        <v>0</v>
      </c>
      <c r="Y128" s="165">
        <f t="shared" ref="Y128:Y151" si="14">VLOOKUP(C128,Ausgewählte_Zauber_Elfen,255,FALSE)</f>
        <v>0</v>
      </c>
      <c r="Z128" s="44">
        <f t="shared" ref="Z128:Z151" si="15">VLOOKUP(C128,Ausgewählte_Zauber_Elfen,256,FALSE)</f>
        <v>0</v>
      </c>
      <c r="AA128" s="158">
        <f>VLOOKUP(C128,'Talente &amp; Stuff'!IA:JB,25,FALSE)</f>
        <v>0</v>
      </c>
      <c r="AB128" s="91">
        <f>VLOOKUP(C128,'Talente &amp; Stuff'!IA:JB,26,FALSE)</f>
        <v>0</v>
      </c>
      <c r="AC128" s="126">
        <f>VLOOKUP(C128,'Talente &amp; Stuff'!IA:JB,27,FALSE)</f>
        <v>0</v>
      </c>
      <c r="AD128" s="158">
        <f>VLOOKUP(C128,'Talente &amp; Stuff'!IA:JB,28,FALSE)</f>
        <v>0</v>
      </c>
      <c r="AE128" s="28"/>
    </row>
    <row r="129" spans="2:31" ht="15" hidden="1" customHeight="1" outlineLevel="2">
      <c r="B129" s="148">
        <v>2</v>
      </c>
      <c r="C129" s="177" t="str">
        <f>Attribute!C129</f>
        <v>---</v>
      </c>
      <c r="D129" s="125" t="str">
        <f>VLOOKUP(C129,'Talente &amp; Stuff'!IA:JB,2,FALSE)</f>
        <v>--/--/--</v>
      </c>
      <c r="E129" s="127" t="str">
        <f>VLOOKUP(C129,'Talente &amp; Stuff'!IA:JB,3,FALSE)</f>
        <v>-</v>
      </c>
      <c r="F129" s="114">
        <f>VLOOKUP(C129,'Talente &amp; Stuff'!IA:JB,4,FALSE)</f>
        <v>0</v>
      </c>
      <c r="G129" s="113">
        <f>VLOOKUP(C129,'Talente &amp; Stuff'!IA:JB,5,FALSE)</f>
        <v>0</v>
      </c>
      <c r="H129" s="113">
        <f>VLOOKUP(C129,'Talente &amp; Stuff'!IA:JB,6,FALSE)</f>
        <v>0</v>
      </c>
      <c r="I129" s="113">
        <f>VLOOKUP(C129,'Talente &amp; Stuff'!IA:JB,7,FALSE)</f>
        <v>0</v>
      </c>
      <c r="J129" s="113">
        <f>VLOOKUP(C129,'Talente &amp; Stuff'!IA:JB,8,FALSE)</f>
        <v>0</v>
      </c>
      <c r="K129" s="113">
        <f>VLOOKUP(C129,'Talente &amp; Stuff'!IA:JB,9,FALSE)</f>
        <v>0</v>
      </c>
      <c r="L129" s="113">
        <f>VLOOKUP(C129,'Talente &amp; Stuff'!IA:JB,10,FALSE)</f>
        <v>0</v>
      </c>
      <c r="M129" s="119">
        <f>VLOOKUP(C129,'Talente &amp; Stuff'!IA:JB,11,FALSE)</f>
        <v>0</v>
      </c>
      <c r="N129" s="47">
        <f>VLOOKUP(C129,'Talente &amp; Stuff'!IA:JB,12,FALSE)</f>
        <v>0</v>
      </c>
      <c r="O129" s="47">
        <f>VLOOKUP(C129,'Talente &amp; Stuff'!IA:JB,13,FALSE)</f>
        <v>0</v>
      </c>
      <c r="P129" s="119">
        <f>VLOOKUP(C129,'Talente &amp; Stuff'!IA:JB,14,FALSE)</f>
        <v>0</v>
      </c>
      <c r="Q129" s="114">
        <f>VLOOKUP(C129,'Talente &amp; Stuff'!IA:JB,15,FALSE)</f>
        <v>0</v>
      </c>
      <c r="R129" s="113">
        <f>VLOOKUP(C129,'Talente &amp; Stuff'!IA:JB,16,FALSE)</f>
        <v>0</v>
      </c>
      <c r="S129" s="119">
        <f>VLOOKUP(C129,'Talente &amp; Stuff'!IA:JB,17,FALSE)</f>
        <v>0</v>
      </c>
      <c r="T129" s="119">
        <f>VLOOKUP(C129,'Talente &amp; Stuff'!IA:JB,18,FALSE)</f>
        <v>0</v>
      </c>
      <c r="U129" s="89">
        <f>VLOOKUP(C129,'Talente &amp; Stuff'!IA:JB,19,FALSE)</f>
        <v>0</v>
      </c>
      <c r="V129" s="47">
        <f>VLOOKUP(C129,'Talente &amp; Stuff'!IA:JB,20,FALSE)</f>
        <v>0</v>
      </c>
      <c r="W129" s="127">
        <f>VLOOKUP(C129,'Talente &amp; Stuff'!IA:JB,21,FALSE)</f>
        <v>0</v>
      </c>
      <c r="X129" s="127">
        <f>VLOOKUP(C129,'Talente &amp; Stuff'!IA:JB,22,FALSE)</f>
        <v>0</v>
      </c>
      <c r="Y129" s="165">
        <f t="shared" si="14"/>
        <v>0</v>
      </c>
      <c r="Z129" s="44">
        <f t="shared" si="15"/>
        <v>0</v>
      </c>
      <c r="AA129" s="125">
        <f>VLOOKUP(C129,'Talente &amp; Stuff'!IA:JB,25,FALSE)</f>
        <v>0</v>
      </c>
      <c r="AB129" s="160">
        <f>VLOOKUP(C129,'Talente &amp; Stuff'!IA:JB,26,FALSE)</f>
        <v>0</v>
      </c>
      <c r="AC129" s="127">
        <f>VLOOKUP(C129,'Talente &amp; Stuff'!IA:JB,27,FALSE)</f>
        <v>0</v>
      </c>
      <c r="AD129" s="125">
        <f>VLOOKUP(C129,'Talente &amp; Stuff'!IA:JB,28,FALSE)</f>
        <v>0</v>
      </c>
      <c r="AE129" s="28"/>
    </row>
    <row r="130" spans="2:31" ht="15" hidden="1" customHeight="1" outlineLevel="2">
      <c r="B130" s="148">
        <v>3</v>
      </c>
      <c r="C130" s="177" t="str">
        <f>Attribute!C130</f>
        <v>---</v>
      </c>
      <c r="D130" s="125" t="str">
        <f>VLOOKUP(C130,'Talente &amp; Stuff'!IA:JB,2,FALSE)</f>
        <v>--/--/--</v>
      </c>
      <c r="E130" s="127" t="str">
        <f>VLOOKUP(C130,'Talente &amp; Stuff'!IA:JB,3,FALSE)</f>
        <v>-</v>
      </c>
      <c r="F130" s="114">
        <f>VLOOKUP(C130,'Talente &amp; Stuff'!IA:JB,4,FALSE)</f>
        <v>0</v>
      </c>
      <c r="G130" s="113">
        <f>VLOOKUP(C130,'Talente &amp; Stuff'!IA:JB,5,FALSE)</f>
        <v>0</v>
      </c>
      <c r="H130" s="113">
        <f>VLOOKUP(C130,'Talente &amp; Stuff'!IA:JB,6,FALSE)</f>
        <v>0</v>
      </c>
      <c r="I130" s="113">
        <f>VLOOKUP(C130,'Talente &amp; Stuff'!IA:JB,7,FALSE)</f>
        <v>0</v>
      </c>
      <c r="J130" s="113">
        <f>VLOOKUP(C130,'Talente &amp; Stuff'!IA:JB,8,FALSE)</f>
        <v>0</v>
      </c>
      <c r="K130" s="113">
        <f>VLOOKUP(C130,'Talente &amp; Stuff'!IA:JB,9,FALSE)</f>
        <v>0</v>
      </c>
      <c r="L130" s="113">
        <f>VLOOKUP(C130,'Talente &amp; Stuff'!IA:JB,10,FALSE)</f>
        <v>0</v>
      </c>
      <c r="M130" s="119">
        <f>VLOOKUP(C130,'Talente &amp; Stuff'!IA:JB,11,FALSE)</f>
        <v>0</v>
      </c>
      <c r="N130" s="47">
        <f>VLOOKUP(C130,'Talente &amp; Stuff'!IA:JB,12,FALSE)</f>
        <v>0</v>
      </c>
      <c r="O130" s="47">
        <f>VLOOKUP(C130,'Talente &amp; Stuff'!IA:JB,13,FALSE)</f>
        <v>0</v>
      </c>
      <c r="P130" s="119">
        <f>VLOOKUP(C130,'Talente &amp; Stuff'!IA:JB,14,FALSE)</f>
        <v>0</v>
      </c>
      <c r="Q130" s="114">
        <f>VLOOKUP(C130,'Talente &amp; Stuff'!IA:JB,15,FALSE)</f>
        <v>0</v>
      </c>
      <c r="R130" s="113">
        <f>VLOOKUP(C130,'Talente &amp; Stuff'!IA:JB,16,FALSE)</f>
        <v>0</v>
      </c>
      <c r="S130" s="119">
        <f>VLOOKUP(C130,'Talente &amp; Stuff'!IA:JB,17,FALSE)</f>
        <v>0</v>
      </c>
      <c r="T130" s="119">
        <f>VLOOKUP(C130,'Talente &amp; Stuff'!IA:JB,18,FALSE)</f>
        <v>0</v>
      </c>
      <c r="U130" s="89">
        <f>VLOOKUP(C130,'Talente &amp; Stuff'!IA:JB,19,FALSE)</f>
        <v>0</v>
      </c>
      <c r="V130" s="47">
        <f>VLOOKUP(C130,'Talente &amp; Stuff'!IA:JB,20,FALSE)</f>
        <v>0</v>
      </c>
      <c r="W130" s="127">
        <f>VLOOKUP(C130,'Talente &amp; Stuff'!IA:JB,21,FALSE)</f>
        <v>0</v>
      </c>
      <c r="X130" s="127">
        <f>VLOOKUP(C130,'Talente &amp; Stuff'!IA:JB,22,FALSE)</f>
        <v>0</v>
      </c>
      <c r="Y130" s="165">
        <f t="shared" si="14"/>
        <v>0</v>
      </c>
      <c r="Z130" s="44">
        <f t="shared" si="15"/>
        <v>0</v>
      </c>
      <c r="AA130" s="125">
        <f>VLOOKUP(C130,'Talente &amp; Stuff'!IA:JB,25,FALSE)</f>
        <v>0</v>
      </c>
      <c r="AB130" s="160">
        <f>VLOOKUP(C130,'Talente &amp; Stuff'!IA:JB,26,FALSE)</f>
        <v>0</v>
      </c>
      <c r="AC130" s="127">
        <f>VLOOKUP(C130,'Talente &amp; Stuff'!IA:JB,27,FALSE)</f>
        <v>0</v>
      </c>
      <c r="AD130" s="125">
        <f>VLOOKUP(C130,'Talente &amp; Stuff'!IA:JB,28,FALSE)</f>
        <v>0</v>
      </c>
      <c r="AE130" s="28"/>
    </row>
    <row r="131" spans="2:31" ht="15" hidden="1" customHeight="1" outlineLevel="2">
      <c r="B131" s="148">
        <v>4</v>
      </c>
      <c r="C131" s="177" t="str">
        <f>Attribute!C131</f>
        <v>---</v>
      </c>
      <c r="D131" s="125" t="str">
        <f>VLOOKUP(C131,'Talente &amp; Stuff'!IA:JB,2,FALSE)</f>
        <v>--/--/--</v>
      </c>
      <c r="E131" s="127" t="str">
        <f>VLOOKUP(C131,'Talente &amp; Stuff'!IA:JB,3,FALSE)</f>
        <v>-</v>
      </c>
      <c r="F131" s="114">
        <f>VLOOKUP(C131,'Talente &amp; Stuff'!IA:JB,4,FALSE)</f>
        <v>0</v>
      </c>
      <c r="G131" s="113">
        <f>VLOOKUP(C131,'Talente &amp; Stuff'!IA:JB,5,FALSE)</f>
        <v>0</v>
      </c>
      <c r="H131" s="113">
        <f>VLOOKUP(C131,'Talente &amp; Stuff'!IA:JB,6,FALSE)</f>
        <v>0</v>
      </c>
      <c r="I131" s="113">
        <f>VLOOKUP(C131,'Talente &amp; Stuff'!IA:JB,7,FALSE)</f>
        <v>0</v>
      </c>
      <c r="J131" s="113">
        <f>VLOOKUP(C131,'Talente &amp; Stuff'!IA:JB,8,FALSE)</f>
        <v>0</v>
      </c>
      <c r="K131" s="113">
        <f>VLOOKUP(C131,'Talente &amp; Stuff'!IA:JB,9,FALSE)</f>
        <v>0</v>
      </c>
      <c r="L131" s="113">
        <f>VLOOKUP(C131,'Talente &amp; Stuff'!IA:JB,10,FALSE)</f>
        <v>0</v>
      </c>
      <c r="M131" s="119">
        <f>VLOOKUP(C131,'Talente &amp; Stuff'!IA:JB,11,FALSE)</f>
        <v>0</v>
      </c>
      <c r="N131" s="47">
        <f>VLOOKUP(C131,'Talente &amp; Stuff'!IA:JB,12,FALSE)</f>
        <v>0</v>
      </c>
      <c r="O131" s="47">
        <f>VLOOKUP(C131,'Talente &amp; Stuff'!IA:JB,13,FALSE)</f>
        <v>0</v>
      </c>
      <c r="P131" s="119">
        <f>VLOOKUP(C131,'Talente &amp; Stuff'!IA:JB,14,FALSE)</f>
        <v>0</v>
      </c>
      <c r="Q131" s="114">
        <f>VLOOKUP(C131,'Talente &amp; Stuff'!IA:JB,15,FALSE)</f>
        <v>0</v>
      </c>
      <c r="R131" s="113">
        <f>VLOOKUP(C131,'Talente &amp; Stuff'!IA:JB,16,FALSE)</f>
        <v>0</v>
      </c>
      <c r="S131" s="119">
        <f>VLOOKUP(C131,'Talente &amp; Stuff'!IA:JB,17,FALSE)</f>
        <v>0</v>
      </c>
      <c r="T131" s="119">
        <f>VLOOKUP(C131,'Talente &amp; Stuff'!IA:JB,18,FALSE)</f>
        <v>0</v>
      </c>
      <c r="U131" s="89">
        <f>VLOOKUP(C131,'Talente &amp; Stuff'!IA:JB,19,FALSE)</f>
        <v>0</v>
      </c>
      <c r="V131" s="47">
        <f>VLOOKUP(C131,'Talente &amp; Stuff'!IA:JB,20,FALSE)</f>
        <v>0</v>
      </c>
      <c r="W131" s="127">
        <f>VLOOKUP(C131,'Talente &amp; Stuff'!IA:JB,21,FALSE)</f>
        <v>0</v>
      </c>
      <c r="X131" s="127">
        <f>VLOOKUP(C131,'Talente &amp; Stuff'!IA:JB,22,FALSE)</f>
        <v>0</v>
      </c>
      <c r="Y131" s="165">
        <f t="shared" si="14"/>
        <v>0</v>
      </c>
      <c r="Z131" s="44">
        <f t="shared" si="15"/>
        <v>0</v>
      </c>
      <c r="AA131" s="125">
        <f>VLOOKUP(C131,'Talente &amp; Stuff'!IA:JB,25,FALSE)</f>
        <v>0</v>
      </c>
      <c r="AB131" s="160">
        <f>VLOOKUP(C131,'Talente &amp; Stuff'!IA:JB,26,FALSE)</f>
        <v>0</v>
      </c>
      <c r="AC131" s="127">
        <f>VLOOKUP(C131,'Talente &amp; Stuff'!IA:JB,27,FALSE)</f>
        <v>0</v>
      </c>
      <c r="AD131" s="125">
        <f>VLOOKUP(C131,'Talente &amp; Stuff'!IA:JB,28,FALSE)</f>
        <v>0</v>
      </c>
      <c r="AE131" s="28"/>
    </row>
    <row r="132" spans="2:31" ht="15" hidden="1" customHeight="1" outlineLevel="2">
      <c r="B132" s="148">
        <v>5</v>
      </c>
      <c r="C132" s="177" t="str">
        <f>Attribute!C132</f>
        <v>---</v>
      </c>
      <c r="D132" s="125" t="str">
        <f>VLOOKUP(C132,'Talente &amp; Stuff'!IA:JB,2,FALSE)</f>
        <v>--/--/--</v>
      </c>
      <c r="E132" s="127" t="str">
        <f>VLOOKUP(C132,'Talente &amp; Stuff'!IA:JB,3,FALSE)</f>
        <v>-</v>
      </c>
      <c r="F132" s="114">
        <f>VLOOKUP(C132,'Talente &amp; Stuff'!IA:JB,4,FALSE)</f>
        <v>0</v>
      </c>
      <c r="G132" s="113">
        <f>VLOOKUP(C132,'Talente &amp; Stuff'!IA:JB,5,FALSE)</f>
        <v>0</v>
      </c>
      <c r="H132" s="113">
        <f>VLOOKUP(C132,'Talente &amp; Stuff'!IA:JB,6,FALSE)</f>
        <v>0</v>
      </c>
      <c r="I132" s="113">
        <f>VLOOKUP(C132,'Talente &amp; Stuff'!IA:JB,7,FALSE)</f>
        <v>0</v>
      </c>
      <c r="J132" s="113">
        <f>VLOOKUP(C132,'Talente &amp; Stuff'!IA:JB,8,FALSE)</f>
        <v>0</v>
      </c>
      <c r="K132" s="113">
        <f>VLOOKUP(C132,'Talente &amp; Stuff'!IA:JB,9,FALSE)</f>
        <v>0</v>
      </c>
      <c r="L132" s="113">
        <f>VLOOKUP(C132,'Talente &amp; Stuff'!IA:JB,10,FALSE)</f>
        <v>0</v>
      </c>
      <c r="M132" s="119">
        <f>VLOOKUP(C132,'Talente &amp; Stuff'!IA:JB,11,FALSE)</f>
        <v>0</v>
      </c>
      <c r="N132" s="47">
        <f>VLOOKUP(C132,'Talente &amp; Stuff'!IA:JB,12,FALSE)</f>
        <v>0</v>
      </c>
      <c r="O132" s="47">
        <f>VLOOKUP(C132,'Talente &amp; Stuff'!IA:JB,13,FALSE)</f>
        <v>0</v>
      </c>
      <c r="P132" s="119">
        <f>VLOOKUP(C132,'Talente &amp; Stuff'!IA:JB,14,FALSE)</f>
        <v>0</v>
      </c>
      <c r="Q132" s="114">
        <f>VLOOKUP(C132,'Talente &amp; Stuff'!IA:JB,15,FALSE)</f>
        <v>0</v>
      </c>
      <c r="R132" s="113">
        <f>VLOOKUP(C132,'Talente &amp; Stuff'!IA:JB,16,FALSE)</f>
        <v>0</v>
      </c>
      <c r="S132" s="119">
        <f>VLOOKUP(C132,'Talente &amp; Stuff'!IA:JB,17,FALSE)</f>
        <v>0</v>
      </c>
      <c r="T132" s="119">
        <f>VLOOKUP(C132,'Talente &amp; Stuff'!IA:JB,18,FALSE)</f>
        <v>0</v>
      </c>
      <c r="U132" s="89">
        <f>VLOOKUP(C132,'Talente &amp; Stuff'!IA:JB,19,FALSE)</f>
        <v>0</v>
      </c>
      <c r="V132" s="47">
        <f>VLOOKUP(C132,'Talente &amp; Stuff'!IA:JB,20,FALSE)</f>
        <v>0</v>
      </c>
      <c r="W132" s="127">
        <f>VLOOKUP(C132,'Talente &amp; Stuff'!IA:JB,21,FALSE)</f>
        <v>0</v>
      </c>
      <c r="X132" s="127">
        <f>VLOOKUP(C132,'Talente &amp; Stuff'!IA:JB,22,FALSE)</f>
        <v>0</v>
      </c>
      <c r="Y132" s="165">
        <f t="shared" si="14"/>
        <v>0</v>
      </c>
      <c r="Z132" s="44">
        <f t="shared" si="15"/>
        <v>0</v>
      </c>
      <c r="AA132" s="125">
        <f>VLOOKUP(C132,'Talente &amp; Stuff'!IA:JB,25,FALSE)</f>
        <v>0</v>
      </c>
      <c r="AB132" s="160">
        <f>VLOOKUP(C132,'Talente &amp; Stuff'!IA:JB,26,FALSE)</f>
        <v>0</v>
      </c>
      <c r="AC132" s="127">
        <f>VLOOKUP(C132,'Talente &amp; Stuff'!IA:JB,27,FALSE)</f>
        <v>0</v>
      </c>
      <c r="AD132" s="125">
        <f>VLOOKUP(C132,'Talente &amp; Stuff'!IA:JB,28,FALSE)</f>
        <v>0</v>
      </c>
      <c r="AE132" s="28"/>
    </row>
    <row r="133" spans="2:31" ht="15" hidden="1" customHeight="1" outlineLevel="2">
      <c r="B133" s="148">
        <v>6</v>
      </c>
      <c r="C133" s="177" t="str">
        <f>Attribute!C133</f>
        <v>---</v>
      </c>
      <c r="D133" s="125" t="str">
        <f>VLOOKUP(C133,'Talente &amp; Stuff'!IA:JB,2,FALSE)</f>
        <v>--/--/--</v>
      </c>
      <c r="E133" s="127" t="str">
        <f>VLOOKUP(C133,'Talente &amp; Stuff'!IA:JB,3,FALSE)</f>
        <v>-</v>
      </c>
      <c r="F133" s="114">
        <f>VLOOKUP(C133,'Talente &amp; Stuff'!IA:JB,4,FALSE)</f>
        <v>0</v>
      </c>
      <c r="G133" s="113">
        <f>VLOOKUP(C133,'Talente &amp; Stuff'!IA:JB,5,FALSE)</f>
        <v>0</v>
      </c>
      <c r="H133" s="113">
        <f>VLOOKUP(C133,'Talente &amp; Stuff'!IA:JB,6,FALSE)</f>
        <v>0</v>
      </c>
      <c r="I133" s="113">
        <f>VLOOKUP(C133,'Talente &amp; Stuff'!IA:JB,7,FALSE)</f>
        <v>0</v>
      </c>
      <c r="J133" s="113">
        <f>VLOOKUP(C133,'Talente &amp; Stuff'!IA:JB,8,FALSE)</f>
        <v>0</v>
      </c>
      <c r="K133" s="113">
        <f>VLOOKUP(C133,'Talente &amp; Stuff'!IA:JB,9,FALSE)</f>
        <v>0</v>
      </c>
      <c r="L133" s="113">
        <f>VLOOKUP(C133,'Talente &amp; Stuff'!IA:JB,10,FALSE)</f>
        <v>0</v>
      </c>
      <c r="M133" s="119">
        <f>VLOOKUP(C133,'Talente &amp; Stuff'!IA:JB,11,FALSE)</f>
        <v>0</v>
      </c>
      <c r="N133" s="47">
        <f>VLOOKUP(C133,'Talente &amp; Stuff'!IA:JB,12,FALSE)</f>
        <v>0</v>
      </c>
      <c r="O133" s="47">
        <f>VLOOKUP(C133,'Talente &amp; Stuff'!IA:JB,13,FALSE)</f>
        <v>0</v>
      </c>
      <c r="P133" s="119">
        <f>VLOOKUP(C133,'Talente &amp; Stuff'!IA:JB,14,FALSE)</f>
        <v>0</v>
      </c>
      <c r="Q133" s="114">
        <f>VLOOKUP(C133,'Talente &amp; Stuff'!IA:JB,15,FALSE)</f>
        <v>0</v>
      </c>
      <c r="R133" s="113">
        <f>VLOOKUP(C133,'Talente &amp; Stuff'!IA:JB,16,FALSE)</f>
        <v>0</v>
      </c>
      <c r="S133" s="119">
        <f>VLOOKUP(C133,'Talente &amp; Stuff'!IA:JB,17,FALSE)</f>
        <v>0</v>
      </c>
      <c r="T133" s="119">
        <f>VLOOKUP(C133,'Talente &amp; Stuff'!IA:JB,18,FALSE)</f>
        <v>0</v>
      </c>
      <c r="U133" s="89">
        <f>VLOOKUP(C133,'Talente &amp; Stuff'!IA:JB,19,FALSE)</f>
        <v>0</v>
      </c>
      <c r="V133" s="47">
        <f>VLOOKUP(C133,'Talente &amp; Stuff'!IA:JB,20,FALSE)</f>
        <v>0</v>
      </c>
      <c r="W133" s="127">
        <f>VLOOKUP(C133,'Talente &amp; Stuff'!IA:JB,21,FALSE)</f>
        <v>0</v>
      </c>
      <c r="X133" s="127">
        <f>VLOOKUP(C133,'Talente &amp; Stuff'!IA:JB,22,FALSE)</f>
        <v>0</v>
      </c>
      <c r="Y133" s="165">
        <f t="shared" si="14"/>
        <v>0</v>
      </c>
      <c r="Z133" s="44">
        <f t="shared" si="15"/>
        <v>0</v>
      </c>
      <c r="AA133" s="125">
        <f>VLOOKUP(C133,'Talente &amp; Stuff'!IA:JB,25,FALSE)</f>
        <v>0</v>
      </c>
      <c r="AB133" s="160">
        <f>VLOOKUP(C133,'Talente &amp; Stuff'!IA:JB,26,FALSE)</f>
        <v>0</v>
      </c>
      <c r="AC133" s="127">
        <f>VLOOKUP(C133,'Talente &amp; Stuff'!IA:JB,27,FALSE)</f>
        <v>0</v>
      </c>
      <c r="AD133" s="125">
        <f>VLOOKUP(C133,'Talente &amp; Stuff'!IA:JB,28,FALSE)</f>
        <v>0</v>
      </c>
      <c r="AE133" s="28"/>
    </row>
    <row r="134" spans="2:31" ht="15" hidden="1" customHeight="1" outlineLevel="2">
      <c r="B134" s="148">
        <v>7</v>
      </c>
      <c r="C134" s="177" t="str">
        <f>Attribute!C134</f>
        <v>---</v>
      </c>
      <c r="D134" s="125" t="str">
        <f>VLOOKUP(C134,'Talente &amp; Stuff'!IA:JB,2,FALSE)</f>
        <v>--/--/--</v>
      </c>
      <c r="E134" s="127" t="str">
        <f>VLOOKUP(C134,'Talente &amp; Stuff'!IA:JB,3,FALSE)</f>
        <v>-</v>
      </c>
      <c r="F134" s="114">
        <f>VLOOKUP(C134,'Talente &amp; Stuff'!IA:JB,4,FALSE)</f>
        <v>0</v>
      </c>
      <c r="G134" s="113">
        <f>VLOOKUP(C134,'Talente &amp; Stuff'!IA:JB,5,FALSE)</f>
        <v>0</v>
      </c>
      <c r="H134" s="113">
        <f>VLOOKUP(C134,'Talente &amp; Stuff'!IA:JB,6,FALSE)</f>
        <v>0</v>
      </c>
      <c r="I134" s="113">
        <f>VLOOKUP(C134,'Talente &amp; Stuff'!IA:JB,7,FALSE)</f>
        <v>0</v>
      </c>
      <c r="J134" s="113">
        <f>VLOOKUP(C134,'Talente &amp; Stuff'!IA:JB,8,FALSE)</f>
        <v>0</v>
      </c>
      <c r="K134" s="113">
        <f>VLOOKUP(C134,'Talente &amp; Stuff'!IA:JB,9,FALSE)</f>
        <v>0</v>
      </c>
      <c r="L134" s="113">
        <f>VLOOKUP(C134,'Talente &amp; Stuff'!IA:JB,10,FALSE)</f>
        <v>0</v>
      </c>
      <c r="M134" s="119">
        <f>VLOOKUP(C134,'Talente &amp; Stuff'!IA:JB,11,FALSE)</f>
        <v>0</v>
      </c>
      <c r="N134" s="47">
        <f>VLOOKUP(C134,'Talente &amp; Stuff'!IA:JB,12,FALSE)</f>
        <v>0</v>
      </c>
      <c r="O134" s="47">
        <f>VLOOKUP(C134,'Talente &amp; Stuff'!IA:JB,13,FALSE)</f>
        <v>0</v>
      </c>
      <c r="P134" s="119">
        <f>VLOOKUP(C134,'Talente &amp; Stuff'!IA:JB,14,FALSE)</f>
        <v>0</v>
      </c>
      <c r="Q134" s="114">
        <f>VLOOKUP(C134,'Talente &amp; Stuff'!IA:JB,15,FALSE)</f>
        <v>0</v>
      </c>
      <c r="R134" s="113">
        <f>VLOOKUP(C134,'Talente &amp; Stuff'!IA:JB,16,FALSE)</f>
        <v>0</v>
      </c>
      <c r="S134" s="119">
        <f>VLOOKUP(C134,'Talente &amp; Stuff'!IA:JB,17,FALSE)</f>
        <v>0</v>
      </c>
      <c r="T134" s="119">
        <f>VLOOKUP(C134,'Talente &amp; Stuff'!IA:JB,18,FALSE)</f>
        <v>0</v>
      </c>
      <c r="U134" s="89">
        <f>VLOOKUP(C134,'Talente &amp; Stuff'!IA:JB,19,FALSE)</f>
        <v>0</v>
      </c>
      <c r="V134" s="47">
        <f>VLOOKUP(C134,'Talente &amp; Stuff'!IA:JB,20,FALSE)</f>
        <v>0</v>
      </c>
      <c r="W134" s="127">
        <f>VLOOKUP(C134,'Talente &amp; Stuff'!IA:JB,21,FALSE)</f>
        <v>0</v>
      </c>
      <c r="X134" s="127">
        <f>VLOOKUP(C134,'Talente &amp; Stuff'!IA:JB,22,FALSE)</f>
        <v>0</v>
      </c>
      <c r="Y134" s="165">
        <f t="shared" si="14"/>
        <v>0</v>
      </c>
      <c r="Z134" s="44">
        <f t="shared" si="15"/>
        <v>0</v>
      </c>
      <c r="AA134" s="125">
        <f>VLOOKUP(C134,'Talente &amp; Stuff'!IA:JB,25,FALSE)</f>
        <v>0</v>
      </c>
      <c r="AB134" s="160">
        <f>VLOOKUP(C134,'Talente &amp; Stuff'!IA:JB,26,FALSE)</f>
        <v>0</v>
      </c>
      <c r="AC134" s="127">
        <f>VLOOKUP(C134,'Talente &amp; Stuff'!IA:JB,27,FALSE)</f>
        <v>0</v>
      </c>
      <c r="AD134" s="125">
        <f>VLOOKUP(C134,'Talente &amp; Stuff'!IA:JB,28,FALSE)</f>
        <v>0</v>
      </c>
      <c r="AE134" s="28"/>
    </row>
    <row r="135" spans="2:31" ht="15" hidden="1" customHeight="1" outlineLevel="2">
      <c r="B135" s="148">
        <v>8</v>
      </c>
      <c r="C135" s="177" t="str">
        <f>Attribute!C135</f>
        <v>---</v>
      </c>
      <c r="D135" s="125" t="str">
        <f>VLOOKUP(C135,'Talente &amp; Stuff'!IA:JB,2,FALSE)</f>
        <v>--/--/--</v>
      </c>
      <c r="E135" s="127" t="str">
        <f>VLOOKUP(C135,'Talente &amp; Stuff'!IA:JB,3,FALSE)</f>
        <v>-</v>
      </c>
      <c r="F135" s="114">
        <f>VLOOKUP(C135,'Talente &amp; Stuff'!IA:JB,4,FALSE)</f>
        <v>0</v>
      </c>
      <c r="G135" s="113">
        <f>VLOOKUP(C135,'Talente &amp; Stuff'!IA:JB,5,FALSE)</f>
        <v>0</v>
      </c>
      <c r="H135" s="113">
        <f>VLOOKUP(C135,'Talente &amp; Stuff'!IA:JB,6,FALSE)</f>
        <v>0</v>
      </c>
      <c r="I135" s="113">
        <f>VLOOKUP(C135,'Talente &amp; Stuff'!IA:JB,7,FALSE)</f>
        <v>0</v>
      </c>
      <c r="J135" s="113">
        <f>VLOOKUP(C135,'Talente &amp; Stuff'!IA:JB,8,FALSE)</f>
        <v>0</v>
      </c>
      <c r="K135" s="113">
        <f>VLOOKUP(C135,'Talente &amp; Stuff'!IA:JB,9,FALSE)</f>
        <v>0</v>
      </c>
      <c r="L135" s="113">
        <f>VLOOKUP(C135,'Talente &amp; Stuff'!IA:JB,10,FALSE)</f>
        <v>0</v>
      </c>
      <c r="M135" s="119">
        <f>VLOOKUP(C135,'Talente &amp; Stuff'!IA:JB,11,FALSE)</f>
        <v>0</v>
      </c>
      <c r="N135" s="47">
        <f>VLOOKUP(C135,'Talente &amp; Stuff'!IA:JB,12,FALSE)</f>
        <v>0</v>
      </c>
      <c r="O135" s="47">
        <f>VLOOKUP(C135,'Talente &amp; Stuff'!IA:JB,13,FALSE)</f>
        <v>0</v>
      </c>
      <c r="P135" s="119">
        <f>VLOOKUP(C135,'Talente &amp; Stuff'!IA:JB,14,FALSE)</f>
        <v>0</v>
      </c>
      <c r="Q135" s="114">
        <f>VLOOKUP(C135,'Talente &amp; Stuff'!IA:JB,15,FALSE)</f>
        <v>0</v>
      </c>
      <c r="R135" s="113">
        <f>VLOOKUP(C135,'Talente &amp; Stuff'!IA:JB,16,FALSE)</f>
        <v>0</v>
      </c>
      <c r="S135" s="119">
        <f>VLOOKUP(C135,'Talente &amp; Stuff'!IA:JB,17,FALSE)</f>
        <v>0</v>
      </c>
      <c r="T135" s="119">
        <f>VLOOKUP(C135,'Talente &amp; Stuff'!IA:JB,18,FALSE)</f>
        <v>0</v>
      </c>
      <c r="U135" s="89">
        <f>VLOOKUP(C135,'Talente &amp; Stuff'!IA:JB,19,FALSE)</f>
        <v>0</v>
      </c>
      <c r="V135" s="47">
        <f>VLOOKUP(C135,'Talente &amp; Stuff'!IA:JB,20,FALSE)</f>
        <v>0</v>
      </c>
      <c r="W135" s="127">
        <f>VLOOKUP(C135,'Talente &amp; Stuff'!IA:JB,21,FALSE)</f>
        <v>0</v>
      </c>
      <c r="X135" s="127">
        <f>VLOOKUP(C135,'Talente &amp; Stuff'!IA:JB,22,FALSE)</f>
        <v>0</v>
      </c>
      <c r="Y135" s="165">
        <f t="shared" si="14"/>
        <v>0</v>
      </c>
      <c r="Z135" s="44">
        <f t="shared" si="15"/>
        <v>0</v>
      </c>
      <c r="AA135" s="125">
        <f>VLOOKUP(C135,'Talente &amp; Stuff'!IA:JB,25,FALSE)</f>
        <v>0</v>
      </c>
      <c r="AB135" s="160">
        <f>VLOOKUP(C135,'Talente &amp; Stuff'!IA:JB,26,FALSE)</f>
        <v>0</v>
      </c>
      <c r="AC135" s="127">
        <f>VLOOKUP(C135,'Talente &amp; Stuff'!IA:JB,27,FALSE)</f>
        <v>0</v>
      </c>
      <c r="AD135" s="125">
        <f>VLOOKUP(C135,'Talente &amp; Stuff'!IA:JB,28,FALSE)</f>
        <v>0</v>
      </c>
      <c r="AE135" s="28"/>
    </row>
    <row r="136" spans="2:31" ht="15" hidden="1" customHeight="1" outlineLevel="2">
      <c r="B136" s="148">
        <v>9</v>
      </c>
      <c r="C136" s="177" t="str">
        <f>Attribute!C136</f>
        <v>---</v>
      </c>
      <c r="D136" s="125" t="str">
        <f>VLOOKUP(C136,'Talente &amp; Stuff'!IA:JB,2,FALSE)</f>
        <v>--/--/--</v>
      </c>
      <c r="E136" s="127" t="str">
        <f>VLOOKUP(C136,'Talente &amp; Stuff'!IA:JB,3,FALSE)</f>
        <v>-</v>
      </c>
      <c r="F136" s="114">
        <f>VLOOKUP(C136,'Talente &amp; Stuff'!IA:JB,4,FALSE)</f>
        <v>0</v>
      </c>
      <c r="G136" s="113">
        <f>VLOOKUP(C136,'Talente &amp; Stuff'!IA:JB,5,FALSE)</f>
        <v>0</v>
      </c>
      <c r="H136" s="113">
        <f>VLOOKUP(C136,'Talente &amp; Stuff'!IA:JB,6,FALSE)</f>
        <v>0</v>
      </c>
      <c r="I136" s="113">
        <f>VLOOKUP(C136,'Talente &amp; Stuff'!IA:JB,7,FALSE)</f>
        <v>0</v>
      </c>
      <c r="J136" s="113">
        <f>VLOOKUP(C136,'Talente &amp; Stuff'!IA:JB,8,FALSE)</f>
        <v>0</v>
      </c>
      <c r="K136" s="113">
        <f>VLOOKUP(C136,'Talente &amp; Stuff'!IA:JB,9,FALSE)</f>
        <v>0</v>
      </c>
      <c r="L136" s="113">
        <f>VLOOKUP(C136,'Talente &amp; Stuff'!IA:JB,10,FALSE)</f>
        <v>0</v>
      </c>
      <c r="M136" s="119">
        <f>VLOOKUP(C136,'Talente &amp; Stuff'!IA:JB,11,FALSE)</f>
        <v>0</v>
      </c>
      <c r="N136" s="47">
        <f>VLOOKUP(C136,'Talente &amp; Stuff'!IA:JB,12,FALSE)</f>
        <v>0</v>
      </c>
      <c r="O136" s="47">
        <f>VLOOKUP(C136,'Talente &amp; Stuff'!IA:JB,13,FALSE)</f>
        <v>0</v>
      </c>
      <c r="P136" s="119">
        <f>VLOOKUP(C136,'Talente &amp; Stuff'!IA:JB,14,FALSE)</f>
        <v>0</v>
      </c>
      <c r="Q136" s="114">
        <f>VLOOKUP(C136,'Talente &amp; Stuff'!IA:JB,15,FALSE)</f>
        <v>0</v>
      </c>
      <c r="R136" s="113">
        <f>VLOOKUP(C136,'Talente &amp; Stuff'!IA:JB,16,FALSE)</f>
        <v>0</v>
      </c>
      <c r="S136" s="119">
        <f>VLOOKUP(C136,'Talente &amp; Stuff'!IA:JB,17,FALSE)</f>
        <v>0</v>
      </c>
      <c r="T136" s="119">
        <f>VLOOKUP(C136,'Talente &amp; Stuff'!IA:JB,18,FALSE)</f>
        <v>0</v>
      </c>
      <c r="U136" s="89">
        <f>VLOOKUP(C136,'Talente &amp; Stuff'!IA:JB,19,FALSE)</f>
        <v>0</v>
      </c>
      <c r="V136" s="47">
        <f>VLOOKUP(C136,'Talente &amp; Stuff'!IA:JB,20,FALSE)</f>
        <v>0</v>
      </c>
      <c r="W136" s="127">
        <f>VLOOKUP(C136,'Talente &amp; Stuff'!IA:JB,21,FALSE)</f>
        <v>0</v>
      </c>
      <c r="X136" s="127">
        <f>VLOOKUP(C136,'Talente &amp; Stuff'!IA:JB,22,FALSE)</f>
        <v>0</v>
      </c>
      <c r="Y136" s="165">
        <f t="shared" si="14"/>
        <v>0</v>
      </c>
      <c r="Z136" s="44">
        <f t="shared" si="15"/>
        <v>0</v>
      </c>
      <c r="AA136" s="125">
        <f>VLOOKUP(C136,'Talente &amp; Stuff'!IA:JB,25,FALSE)</f>
        <v>0</v>
      </c>
      <c r="AB136" s="160">
        <f>VLOOKUP(C136,'Talente &amp; Stuff'!IA:JB,26,FALSE)</f>
        <v>0</v>
      </c>
      <c r="AC136" s="127">
        <f>VLOOKUP(C136,'Talente &amp; Stuff'!IA:JB,27,FALSE)</f>
        <v>0</v>
      </c>
      <c r="AD136" s="125">
        <f>VLOOKUP(C136,'Talente &amp; Stuff'!IA:JB,28,FALSE)</f>
        <v>0</v>
      </c>
      <c r="AE136" s="28"/>
    </row>
    <row r="137" spans="2:31" ht="15" hidden="1" customHeight="1" outlineLevel="2">
      <c r="B137" s="148">
        <v>10</v>
      </c>
      <c r="C137" s="177" t="str">
        <f>Attribute!C137</f>
        <v>---</v>
      </c>
      <c r="D137" s="125" t="str">
        <f>VLOOKUP(C137,'Talente &amp; Stuff'!IA:JB,2,FALSE)</f>
        <v>--/--/--</v>
      </c>
      <c r="E137" s="127" t="str">
        <f>VLOOKUP(C137,'Talente &amp; Stuff'!IA:JB,3,FALSE)</f>
        <v>-</v>
      </c>
      <c r="F137" s="114">
        <f>VLOOKUP(C137,'Talente &amp; Stuff'!IA:JB,4,FALSE)</f>
        <v>0</v>
      </c>
      <c r="G137" s="113">
        <f>VLOOKUP(C137,'Talente &amp; Stuff'!IA:JB,5,FALSE)</f>
        <v>0</v>
      </c>
      <c r="H137" s="113">
        <f>VLOOKUP(C137,'Talente &amp; Stuff'!IA:JB,6,FALSE)</f>
        <v>0</v>
      </c>
      <c r="I137" s="113">
        <f>VLOOKUP(C137,'Talente &amp; Stuff'!IA:JB,7,FALSE)</f>
        <v>0</v>
      </c>
      <c r="J137" s="113">
        <f>VLOOKUP(C137,'Talente &amp; Stuff'!IA:JB,8,FALSE)</f>
        <v>0</v>
      </c>
      <c r="K137" s="113">
        <f>VLOOKUP(C137,'Talente &amp; Stuff'!IA:JB,9,FALSE)</f>
        <v>0</v>
      </c>
      <c r="L137" s="113">
        <f>VLOOKUP(C137,'Talente &amp; Stuff'!IA:JB,10,FALSE)</f>
        <v>0</v>
      </c>
      <c r="M137" s="119">
        <f>VLOOKUP(C137,'Talente &amp; Stuff'!IA:JB,11,FALSE)</f>
        <v>0</v>
      </c>
      <c r="N137" s="47">
        <f>VLOOKUP(C137,'Talente &amp; Stuff'!IA:JB,12,FALSE)</f>
        <v>0</v>
      </c>
      <c r="O137" s="47">
        <f>VLOOKUP(C137,'Talente &amp; Stuff'!IA:JB,13,FALSE)</f>
        <v>0</v>
      </c>
      <c r="P137" s="119">
        <f>VLOOKUP(C137,'Talente &amp; Stuff'!IA:JB,14,FALSE)</f>
        <v>0</v>
      </c>
      <c r="Q137" s="114">
        <f>VLOOKUP(C137,'Talente &amp; Stuff'!IA:JB,15,FALSE)</f>
        <v>0</v>
      </c>
      <c r="R137" s="113">
        <f>VLOOKUP(C137,'Talente &amp; Stuff'!IA:JB,16,FALSE)</f>
        <v>0</v>
      </c>
      <c r="S137" s="119">
        <f>VLOOKUP(C137,'Talente &amp; Stuff'!IA:JB,17,FALSE)</f>
        <v>0</v>
      </c>
      <c r="T137" s="119">
        <f>VLOOKUP(C137,'Talente &amp; Stuff'!IA:JB,18,FALSE)</f>
        <v>0</v>
      </c>
      <c r="U137" s="89">
        <f>VLOOKUP(C137,'Talente &amp; Stuff'!IA:JB,19,FALSE)</f>
        <v>0</v>
      </c>
      <c r="V137" s="47">
        <f>VLOOKUP(C137,'Talente &amp; Stuff'!IA:JB,20,FALSE)</f>
        <v>0</v>
      </c>
      <c r="W137" s="127">
        <f>VLOOKUP(C137,'Talente &amp; Stuff'!IA:JB,21,FALSE)</f>
        <v>0</v>
      </c>
      <c r="X137" s="127">
        <f>VLOOKUP(C137,'Talente &amp; Stuff'!IA:JB,22,FALSE)</f>
        <v>0</v>
      </c>
      <c r="Y137" s="165">
        <f t="shared" si="14"/>
        <v>0</v>
      </c>
      <c r="Z137" s="44">
        <f t="shared" si="15"/>
        <v>0</v>
      </c>
      <c r="AA137" s="125">
        <f>VLOOKUP(C137,'Talente &amp; Stuff'!IA:JB,25,FALSE)</f>
        <v>0</v>
      </c>
      <c r="AB137" s="160">
        <f>VLOOKUP(C137,'Talente &amp; Stuff'!IA:JB,26,FALSE)</f>
        <v>0</v>
      </c>
      <c r="AC137" s="127">
        <f>VLOOKUP(C137,'Talente &amp; Stuff'!IA:JB,27,FALSE)</f>
        <v>0</v>
      </c>
      <c r="AD137" s="125">
        <f>VLOOKUP(C137,'Talente &amp; Stuff'!IA:JB,28,FALSE)</f>
        <v>0</v>
      </c>
      <c r="AE137" s="28"/>
    </row>
    <row r="138" spans="2:31" ht="15" hidden="1" customHeight="1" outlineLevel="2">
      <c r="B138" s="148">
        <v>11</v>
      </c>
      <c r="C138" s="177" t="str">
        <f>Attribute!C138</f>
        <v>---</v>
      </c>
      <c r="D138" s="125" t="str">
        <f>VLOOKUP(C138,'Talente &amp; Stuff'!IA:JB,2,FALSE)</f>
        <v>--/--/--</v>
      </c>
      <c r="E138" s="127" t="str">
        <f>VLOOKUP(C138,'Talente &amp; Stuff'!IA:JB,3,FALSE)</f>
        <v>-</v>
      </c>
      <c r="F138" s="114">
        <f>VLOOKUP(C138,'Talente &amp; Stuff'!IA:JB,4,FALSE)</f>
        <v>0</v>
      </c>
      <c r="G138" s="113">
        <f>VLOOKUP(C138,'Talente &amp; Stuff'!IA:JB,5,FALSE)</f>
        <v>0</v>
      </c>
      <c r="H138" s="113">
        <f>VLOOKUP(C138,'Talente &amp; Stuff'!IA:JB,6,FALSE)</f>
        <v>0</v>
      </c>
      <c r="I138" s="113">
        <f>VLOOKUP(C138,'Talente &amp; Stuff'!IA:JB,7,FALSE)</f>
        <v>0</v>
      </c>
      <c r="J138" s="113">
        <f>VLOOKUP(C138,'Talente &amp; Stuff'!IA:JB,8,FALSE)</f>
        <v>0</v>
      </c>
      <c r="K138" s="113">
        <f>VLOOKUP(C138,'Talente &amp; Stuff'!IA:JB,9,FALSE)</f>
        <v>0</v>
      </c>
      <c r="L138" s="113">
        <f>VLOOKUP(C138,'Talente &amp; Stuff'!IA:JB,10,FALSE)</f>
        <v>0</v>
      </c>
      <c r="M138" s="119">
        <f>VLOOKUP(C138,'Talente &amp; Stuff'!IA:JB,11,FALSE)</f>
        <v>0</v>
      </c>
      <c r="N138" s="47">
        <f>VLOOKUP(C138,'Talente &amp; Stuff'!IA:JB,12,FALSE)</f>
        <v>0</v>
      </c>
      <c r="O138" s="47">
        <f>VLOOKUP(C138,'Talente &amp; Stuff'!IA:JB,13,FALSE)</f>
        <v>0</v>
      </c>
      <c r="P138" s="119">
        <f>VLOOKUP(C138,'Talente &amp; Stuff'!IA:JB,14,FALSE)</f>
        <v>0</v>
      </c>
      <c r="Q138" s="114">
        <f>VLOOKUP(C138,'Talente &amp; Stuff'!IA:JB,15,FALSE)</f>
        <v>0</v>
      </c>
      <c r="R138" s="113">
        <f>VLOOKUP(C138,'Talente &amp; Stuff'!IA:JB,16,FALSE)</f>
        <v>0</v>
      </c>
      <c r="S138" s="119">
        <f>VLOOKUP(C138,'Talente &amp; Stuff'!IA:JB,17,FALSE)</f>
        <v>0</v>
      </c>
      <c r="T138" s="119">
        <f>VLOOKUP(C138,'Talente &amp; Stuff'!IA:JB,18,FALSE)</f>
        <v>0</v>
      </c>
      <c r="U138" s="89">
        <f>VLOOKUP(C138,'Talente &amp; Stuff'!IA:JB,19,FALSE)</f>
        <v>0</v>
      </c>
      <c r="V138" s="47">
        <f>VLOOKUP(C138,'Talente &amp; Stuff'!IA:JB,20,FALSE)</f>
        <v>0</v>
      </c>
      <c r="W138" s="127">
        <f>VLOOKUP(C138,'Talente &amp; Stuff'!IA:JB,21,FALSE)</f>
        <v>0</v>
      </c>
      <c r="X138" s="127">
        <f>VLOOKUP(C138,'Talente &amp; Stuff'!IA:JB,22,FALSE)</f>
        <v>0</v>
      </c>
      <c r="Y138" s="165">
        <f t="shared" si="14"/>
        <v>0</v>
      </c>
      <c r="Z138" s="44">
        <f t="shared" si="15"/>
        <v>0</v>
      </c>
      <c r="AA138" s="125">
        <f>VLOOKUP(C138,'Talente &amp; Stuff'!IA:JB,25,FALSE)</f>
        <v>0</v>
      </c>
      <c r="AB138" s="160">
        <f>VLOOKUP(C138,'Talente &amp; Stuff'!IA:JB,26,FALSE)</f>
        <v>0</v>
      </c>
      <c r="AC138" s="127">
        <f>VLOOKUP(C138,'Talente &amp; Stuff'!IA:JB,27,FALSE)</f>
        <v>0</v>
      </c>
      <c r="AD138" s="125">
        <f>VLOOKUP(C138,'Talente &amp; Stuff'!IA:JB,28,FALSE)</f>
        <v>0</v>
      </c>
      <c r="AE138" s="28"/>
    </row>
    <row r="139" spans="2:31" ht="15" hidden="1" customHeight="1" outlineLevel="2">
      <c r="B139" s="148">
        <v>12</v>
      </c>
      <c r="C139" s="177" t="str">
        <f>Attribute!C139</f>
        <v>---</v>
      </c>
      <c r="D139" s="125" t="str">
        <f>VLOOKUP(C139,'Talente &amp; Stuff'!IA:JB,2,FALSE)</f>
        <v>--/--/--</v>
      </c>
      <c r="E139" s="127" t="str">
        <f>VLOOKUP(C139,'Talente &amp; Stuff'!IA:JB,3,FALSE)</f>
        <v>-</v>
      </c>
      <c r="F139" s="114">
        <f>VLOOKUP(C139,'Talente &amp; Stuff'!IA:JB,4,FALSE)</f>
        <v>0</v>
      </c>
      <c r="G139" s="113">
        <f>VLOOKUP(C139,'Talente &amp; Stuff'!IA:JB,5,FALSE)</f>
        <v>0</v>
      </c>
      <c r="H139" s="113">
        <f>VLOOKUP(C139,'Talente &amp; Stuff'!IA:JB,6,FALSE)</f>
        <v>0</v>
      </c>
      <c r="I139" s="113">
        <f>VLOOKUP(C139,'Talente &amp; Stuff'!IA:JB,7,FALSE)</f>
        <v>0</v>
      </c>
      <c r="J139" s="113">
        <f>VLOOKUP(C139,'Talente &amp; Stuff'!IA:JB,8,FALSE)</f>
        <v>0</v>
      </c>
      <c r="K139" s="113">
        <f>VLOOKUP(C139,'Talente &amp; Stuff'!IA:JB,9,FALSE)</f>
        <v>0</v>
      </c>
      <c r="L139" s="113">
        <f>VLOOKUP(C139,'Talente &amp; Stuff'!IA:JB,10,FALSE)</f>
        <v>0</v>
      </c>
      <c r="M139" s="119">
        <f>VLOOKUP(C139,'Talente &amp; Stuff'!IA:JB,11,FALSE)</f>
        <v>0</v>
      </c>
      <c r="N139" s="47">
        <f>VLOOKUP(C139,'Talente &amp; Stuff'!IA:JB,12,FALSE)</f>
        <v>0</v>
      </c>
      <c r="O139" s="47">
        <f>VLOOKUP(C139,'Talente &amp; Stuff'!IA:JB,13,FALSE)</f>
        <v>0</v>
      </c>
      <c r="P139" s="119">
        <f>VLOOKUP(C139,'Talente &amp; Stuff'!IA:JB,14,FALSE)</f>
        <v>0</v>
      </c>
      <c r="Q139" s="114">
        <f>VLOOKUP(C139,'Talente &amp; Stuff'!IA:JB,15,FALSE)</f>
        <v>0</v>
      </c>
      <c r="R139" s="113">
        <f>VLOOKUP(C139,'Talente &amp; Stuff'!IA:JB,16,FALSE)</f>
        <v>0</v>
      </c>
      <c r="S139" s="119">
        <f>VLOOKUP(C139,'Talente &amp; Stuff'!IA:JB,17,FALSE)</f>
        <v>0</v>
      </c>
      <c r="T139" s="119">
        <f>VLOOKUP(C139,'Talente &amp; Stuff'!IA:JB,18,FALSE)</f>
        <v>0</v>
      </c>
      <c r="U139" s="89">
        <f>VLOOKUP(C139,'Talente &amp; Stuff'!IA:JB,19,FALSE)</f>
        <v>0</v>
      </c>
      <c r="V139" s="47">
        <f>VLOOKUP(C139,'Talente &amp; Stuff'!IA:JB,20,FALSE)</f>
        <v>0</v>
      </c>
      <c r="W139" s="127">
        <f>VLOOKUP(C139,'Talente &amp; Stuff'!IA:JB,21,FALSE)</f>
        <v>0</v>
      </c>
      <c r="X139" s="127">
        <f>VLOOKUP(C139,'Talente &amp; Stuff'!IA:JB,22,FALSE)</f>
        <v>0</v>
      </c>
      <c r="Y139" s="165">
        <f t="shared" si="14"/>
        <v>0</v>
      </c>
      <c r="Z139" s="44">
        <f t="shared" si="15"/>
        <v>0</v>
      </c>
      <c r="AA139" s="125">
        <f>VLOOKUP(C139,'Talente &amp; Stuff'!IA:JB,25,FALSE)</f>
        <v>0</v>
      </c>
      <c r="AB139" s="160">
        <f>VLOOKUP(C139,'Talente &amp; Stuff'!IA:JB,26,FALSE)</f>
        <v>0</v>
      </c>
      <c r="AC139" s="127">
        <f>VLOOKUP(C139,'Talente &amp; Stuff'!IA:JB,27,FALSE)</f>
        <v>0</v>
      </c>
      <c r="AD139" s="125">
        <f>VLOOKUP(C139,'Talente &amp; Stuff'!IA:JB,28,FALSE)</f>
        <v>0</v>
      </c>
      <c r="AE139" s="28"/>
    </row>
    <row r="140" spans="2:31" ht="15" hidden="1" customHeight="1" outlineLevel="2">
      <c r="B140" s="148">
        <v>13</v>
      </c>
      <c r="C140" s="177" t="str">
        <f>Attribute!C140</f>
        <v>---</v>
      </c>
      <c r="D140" s="125" t="str">
        <f>VLOOKUP(C140,'Talente &amp; Stuff'!IA:JB,2,FALSE)</f>
        <v>--/--/--</v>
      </c>
      <c r="E140" s="127" t="str">
        <f>VLOOKUP(C140,'Talente &amp; Stuff'!IA:JB,3,FALSE)</f>
        <v>-</v>
      </c>
      <c r="F140" s="114">
        <f>VLOOKUP(C140,'Talente &amp; Stuff'!IA:JB,4,FALSE)</f>
        <v>0</v>
      </c>
      <c r="G140" s="113">
        <f>VLOOKUP(C140,'Talente &amp; Stuff'!IA:JB,5,FALSE)</f>
        <v>0</v>
      </c>
      <c r="H140" s="113">
        <f>VLOOKUP(C140,'Talente &amp; Stuff'!IA:JB,6,FALSE)</f>
        <v>0</v>
      </c>
      <c r="I140" s="113">
        <f>VLOOKUP(C140,'Talente &amp; Stuff'!IA:JB,7,FALSE)</f>
        <v>0</v>
      </c>
      <c r="J140" s="113">
        <f>VLOOKUP(C140,'Talente &amp; Stuff'!IA:JB,8,FALSE)</f>
        <v>0</v>
      </c>
      <c r="K140" s="113">
        <f>VLOOKUP(C140,'Talente &amp; Stuff'!IA:JB,9,FALSE)</f>
        <v>0</v>
      </c>
      <c r="L140" s="113">
        <f>VLOOKUP(C140,'Talente &amp; Stuff'!IA:JB,10,FALSE)</f>
        <v>0</v>
      </c>
      <c r="M140" s="119">
        <f>VLOOKUP(C140,'Talente &amp; Stuff'!IA:JB,11,FALSE)</f>
        <v>0</v>
      </c>
      <c r="N140" s="47">
        <f>VLOOKUP(C140,'Talente &amp; Stuff'!IA:JB,12,FALSE)</f>
        <v>0</v>
      </c>
      <c r="O140" s="47">
        <f>VLOOKUP(C140,'Talente &amp; Stuff'!IA:JB,13,FALSE)</f>
        <v>0</v>
      </c>
      <c r="P140" s="119">
        <f>VLOOKUP(C140,'Talente &amp; Stuff'!IA:JB,14,FALSE)</f>
        <v>0</v>
      </c>
      <c r="Q140" s="114">
        <f>VLOOKUP(C140,'Talente &amp; Stuff'!IA:JB,15,FALSE)</f>
        <v>0</v>
      </c>
      <c r="R140" s="113">
        <f>VLOOKUP(C140,'Talente &amp; Stuff'!IA:JB,16,FALSE)</f>
        <v>0</v>
      </c>
      <c r="S140" s="119">
        <f>VLOOKUP(C140,'Talente &amp; Stuff'!IA:JB,17,FALSE)</f>
        <v>0</v>
      </c>
      <c r="T140" s="119">
        <f>VLOOKUP(C140,'Talente &amp; Stuff'!IA:JB,18,FALSE)</f>
        <v>0</v>
      </c>
      <c r="U140" s="89">
        <f>VLOOKUP(C140,'Talente &amp; Stuff'!IA:JB,19,FALSE)</f>
        <v>0</v>
      </c>
      <c r="V140" s="47">
        <f>VLOOKUP(C140,'Talente &amp; Stuff'!IA:JB,20,FALSE)</f>
        <v>0</v>
      </c>
      <c r="W140" s="127">
        <f>VLOOKUP(C140,'Talente &amp; Stuff'!IA:JB,21,FALSE)</f>
        <v>0</v>
      </c>
      <c r="X140" s="127">
        <f>VLOOKUP(C140,'Talente &amp; Stuff'!IA:JB,22,FALSE)</f>
        <v>0</v>
      </c>
      <c r="Y140" s="165">
        <f t="shared" si="14"/>
        <v>0</v>
      </c>
      <c r="Z140" s="44">
        <f t="shared" si="15"/>
        <v>0</v>
      </c>
      <c r="AA140" s="125">
        <f>VLOOKUP(C140,'Talente &amp; Stuff'!IA:JB,25,FALSE)</f>
        <v>0</v>
      </c>
      <c r="AB140" s="160">
        <f>VLOOKUP(C140,'Talente &amp; Stuff'!IA:JB,26,FALSE)</f>
        <v>0</v>
      </c>
      <c r="AC140" s="127">
        <f>VLOOKUP(C140,'Talente &amp; Stuff'!IA:JB,27,FALSE)</f>
        <v>0</v>
      </c>
      <c r="AD140" s="125">
        <f>VLOOKUP(C140,'Talente &amp; Stuff'!IA:JB,28,FALSE)</f>
        <v>0</v>
      </c>
      <c r="AE140" s="28"/>
    </row>
    <row r="141" spans="2:31" ht="15" hidden="1" customHeight="1" outlineLevel="2">
      <c r="B141" s="148">
        <v>14</v>
      </c>
      <c r="C141" s="177" t="str">
        <f>Attribute!C141</f>
        <v>---</v>
      </c>
      <c r="D141" s="125" t="str">
        <f>VLOOKUP(C141,'Talente &amp; Stuff'!IA:JB,2,FALSE)</f>
        <v>--/--/--</v>
      </c>
      <c r="E141" s="127" t="str">
        <f>VLOOKUP(C141,'Talente &amp; Stuff'!IA:JB,3,FALSE)</f>
        <v>-</v>
      </c>
      <c r="F141" s="114">
        <f>VLOOKUP(C141,'Talente &amp; Stuff'!IA:JB,4,FALSE)</f>
        <v>0</v>
      </c>
      <c r="G141" s="113">
        <f>VLOOKUP(C141,'Talente &amp; Stuff'!IA:JB,5,FALSE)</f>
        <v>0</v>
      </c>
      <c r="H141" s="113">
        <f>VLOOKUP(C141,'Talente &amp; Stuff'!IA:JB,6,FALSE)</f>
        <v>0</v>
      </c>
      <c r="I141" s="113">
        <f>VLOOKUP(C141,'Talente &amp; Stuff'!IA:JB,7,FALSE)</f>
        <v>0</v>
      </c>
      <c r="J141" s="113">
        <f>VLOOKUP(C141,'Talente &amp; Stuff'!IA:JB,8,FALSE)</f>
        <v>0</v>
      </c>
      <c r="K141" s="113">
        <f>VLOOKUP(C141,'Talente &amp; Stuff'!IA:JB,9,FALSE)</f>
        <v>0</v>
      </c>
      <c r="L141" s="113">
        <f>VLOOKUP(C141,'Talente &amp; Stuff'!IA:JB,10,FALSE)</f>
        <v>0</v>
      </c>
      <c r="M141" s="119">
        <f>VLOOKUP(C141,'Talente &amp; Stuff'!IA:JB,11,FALSE)</f>
        <v>0</v>
      </c>
      <c r="N141" s="47">
        <f>VLOOKUP(C141,'Talente &amp; Stuff'!IA:JB,12,FALSE)</f>
        <v>0</v>
      </c>
      <c r="O141" s="47">
        <f>VLOOKUP(C141,'Talente &amp; Stuff'!IA:JB,13,FALSE)</f>
        <v>0</v>
      </c>
      <c r="P141" s="119">
        <f>VLOOKUP(C141,'Talente &amp; Stuff'!IA:JB,14,FALSE)</f>
        <v>0</v>
      </c>
      <c r="Q141" s="114">
        <f>VLOOKUP(C141,'Talente &amp; Stuff'!IA:JB,15,FALSE)</f>
        <v>0</v>
      </c>
      <c r="R141" s="113">
        <f>VLOOKUP(C141,'Talente &amp; Stuff'!IA:JB,16,FALSE)</f>
        <v>0</v>
      </c>
      <c r="S141" s="119">
        <f>VLOOKUP(C141,'Talente &amp; Stuff'!IA:JB,17,FALSE)</f>
        <v>0</v>
      </c>
      <c r="T141" s="119">
        <f>VLOOKUP(C141,'Talente &amp; Stuff'!IA:JB,18,FALSE)</f>
        <v>0</v>
      </c>
      <c r="U141" s="89">
        <f>VLOOKUP(C141,'Talente &amp; Stuff'!IA:JB,19,FALSE)</f>
        <v>0</v>
      </c>
      <c r="V141" s="47">
        <f>VLOOKUP(C141,'Talente &amp; Stuff'!IA:JB,20,FALSE)</f>
        <v>0</v>
      </c>
      <c r="W141" s="127">
        <f>VLOOKUP(C141,'Talente &amp; Stuff'!IA:JB,21,FALSE)</f>
        <v>0</v>
      </c>
      <c r="X141" s="127">
        <f>VLOOKUP(C141,'Talente &amp; Stuff'!IA:JB,22,FALSE)</f>
        <v>0</v>
      </c>
      <c r="Y141" s="165">
        <f t="shared" si="14"/>
        <v>0</v>
      </c>
      <c r="Z141" s="44">
        <f t="shared" si="15"/>
        <v>0</v>
      </c>
      <c r="AA141" s="125">
        <f>VLOOKUP(C141,'Talente &amp; Stuff'!IA:JB,25,FALSE)</f>
        <v>0</v>
      </c>
      <c r="AB141" s="160">
        <f>VLOOKUP(C141,'Talente &amp; Stuff'!IA:JB,26,FALSE)</f>
        <v>0</v>
      </c>
      <c r="AC141" s="127">
        <f>VLOOKUP(C141,'Talente &amp; Stuff'!IA:JB,27,FALSE)</f>
        <v>0</v>
      </c>
      <c r="AD141" s="125">
        <f>VLOOKUP(C141,'Talente &amp; Stuff'!IA:JB,28,FALSE)</f>
        <v>0</v>
      </c>
      <c r="AE141" s="28"/>
    </row>
    <row r="142" spans="2:31" ht="15" hidden="1" customHeight="1" outlineLevel="2">
      <c r="B142" s="148">
        <v>15</v>
      </c>
      <c r="C142" s="177" t="str">
        <f>Attribute!C142</f>
        <v>---</v>
      </c>
      <c r="D142" s="125" t="str">
        <f>VLOOKUP(C142,'Talente &amp; Stuff'!IA:JB,2,FALSE)</f>
        <v>--/--/--</v>
      </c>
      <c r="E142" s="127" t="str">
        <f>VLOOKUP(C142,'Talente &amp; Stuff'!IA:JB,3,FALSE)</f>
        <v>-</v>
      </c>
      <c r="F142" s="114">
        <f>VLOOKUP(C142,'Talente &amp; Stuff'!IA:JB,4,FALSE)</f>
        <v>0</v>
      </c>
      <c r="G142" s="113">
        <f>VLOOKUP(C142,'Talente &amp; Stuff'!IA:JB,5,FALSE)</f>
        <v>0</v>
      </c>
      <c r="H142" s="113">
        <f>VLOOKUP(C142,'Talente &amp; Stuff'!IA:JB,6,FALSE)</f>
        <v>0</v>
      </c>
      <c r="I142" s="113">
        <f>VLOOKUP(C142,'Talente &amp; Stuff'!IA:JB,7,FALSE)</f>
        <v>0</v>
      </c>
      <c r="J142" s="113">
        <f>VLOOKUP(C142,'Talente &amp; Stuff'!IA:JB,8,FALSE)</f>
        <v>0</v>
      </c>
      <c r="K142" s="113">
        <f>VLOOKUP(C142,'Talente &amp; Stuff'!IA:JB,9,FALSE)</f>
        <v>0</v>
      </c>
      <c r="L142" s="113">
        <f>VLOOKUP(C142,'Talente &amp; Stuff'!IA:JB,10,FALSE)</f>
        <v>0</v>
      </c>
      <c r="M142" s="119">
        <f>VLOOKUP(C142,'Talente &amp; Stuff'!IA:JB,11,FALSE)</f>
        <v>0</v>
      </c>
      <c r="N142" s="47">
        <f>VLOOKUP(C142,'Talente &amp; Stuff'!IA:JB,12,FALSE)</f>
        <v>0</v>
      </c>
      <c r="O142" s="47">
        <f>VLOOKUP(C142,'Talente &amp; Stuff'!IA:JB,13,FALSE)</f>
        <v>0</v>
      </c>
      <c r="P142" s="119">
        <f>VLOOKUP(C142,'Talente &amp; Stuff'!IA:JB,14,FALSE)</f>
        <v>0</v>
      </c>
      <c r="Q142" s="114">
        <f>VLOOKUP(C142,'Talente &amp; Stuff'!IA:JB,15,FALSE)</f>
        <v>0</v>
      </c>
      <c r="R142" s="113">
        <f>VLOOKUP(C142,'Talente &amp; Stuff'!IA:JB,16,FALSE)</f>
        <v>0</v>
      </c>
      <c r="S142" s="119">
        <f>VLOOKUP(C142,'Talente &amp; Stuff'!IA:JB,17,FALSE)</f>
        <v>0</v>
      </c>
      <c r="T142" s="119">
        <f>VLOOKUP(C142,'Talente &amp; Stuff'!IA:JB,18,FALSE)</f>
        <v>0</v>
      </c>
      <c r="U142" s="89">
        <f>VLOOKUP(C142,'Talente &amp; Stuff'!IA:JB,19,FALSE)</f>
        <v>0</v>
      </c>
      <c r="V142" s="47">
        <f>VLOOKUP(C142,'Talente &amp; Stuff'!IA:JB,20,FALSE)</f>
        <v>0</v>
      </c>
      <c r="W142" s="127">
        <f>VLOOKUP(C142,'Talente &amp; Stuff'!IA:JB,21,FALSE)</f>
        <v>0</v>
      </c>
      <c r="X142" s="127">
        <f>VLOOKUP(C142,'Talente &amp; Stuff'!IA:JB,22,FALSE)</f>
        <v>0</v>
      </c>
      <c r="Y142" s="165">
        <f t="shared" si="14"/>
        <v>0</v>
      </c>
      <c r="Z142" s="44">
        <f t="shared" si="15"/>
        <v>0</v>
      </c>
      <c r="AA142" s="125">
        <f>VLOOKUP(C142,'Talente &amp; Stuff'!IA:JB,25,FALSE)</f>
        <v>0</v>
      </c>
      <c r="AB142" s="160">
        <f>VLOOKUP(C142,'Talente &amp; Stuff'!IA:JB,26,FALSE)</f>
        <v>0</v>
      </c>
      <c r="AC142" s="127">
        <f>VLOOKUP(C142,'Talente &amp; Stuff'!IA:JB,27,FALSE)</f>
        <v>0</v>
      </c>
      <c r="AD142" s="125">
        <f>VLOOKUP(C142,'Talente &amp; Stuff'!IA:JB,28,FALSE)</f>
        <v>0</v>
      </c>
      <c r="AE142" s="28"/>
    </row>
    <row r="143" spans="2:31" ht="15" hidden="1" customHeight="1" outlineLevel="2">
      <c r="B143" s="148">
        <v>16</v>
      </c>
      <c r="C143" s="177" t="str">
        <f>Attribute!C143</f>
        <v>---</v>
      </c>
      <c r="D143" s="86" t="str">
        <f>VLOOKUP(C143,'Talente &amp; Stuff'!IA:JB,2,FALSE)</f>
        <v>--/--/--</v>
      </c>
      <c r="E143" s="167" t="str">
        <f>VLOOKUP(C143,'Talente &amp; Stuff'!IA:JB,3,FALSE)</f>
        <v>-</v>
      </c>
      <c r="F143" s="120">
        <f>VLOOKUP(C143,'Talente &amp; Stuff'!IA:JB,4,FALSE)</f>
        <v>0</v>
      </c>
      <c r="G143" s="117">
        <f>VLOOKUP(C143,'Talente &amp; Stuff'!IA:JB,5,FALSE)</f>
        <v>0</v>
      </c>
      <c r="H143" s="117">
        <f>VLOOKUP(C143,'Talente &amp; Stuff'!IA:JB,6,FALSE)</f>
        <v>0</v>
      </c>
      <c r="I143" s="117">
        <f>VLOOKUP(C143,'Talente &amp; Stuff'!IA:JB,7,FALSE)</f>
        <v>0</v>
      </c>
      <c r="J143" s="117">
        <f>VLOOKUP(C143,'Talente &amp; Stuff'!IA:JB,8,FALSE)</f>
        <v>0</v>
      </c>
      <c r="K143" s="117">
        <f>VLOOKUP(C143,'Talente &amp; Stuff'!IA:JB,9,FALSE)</f>
        <v>0</v>
      </c>
      <c r="L143" s="117">
        <f>VLOOKUP(C143,'Talente &amp; Stuff'!IA:JB,10,FALSE)</f>
        <v>0</v>
      </c>
      <c r="M143" s="121">
        <f>VLOOKUP(C143,'Talente &amp; Stuff'!IA:JB,11,FALSE)</f>
        <v>0</v>
      </c>
      <c r="N143" s="47">
        <f>VLOOKUP(C143,'Talente &amp; Stuff'!IA:JB,12,FALSE)</f>
        <v>0</v>
      </c>
      <c r="O143" s="3">
        <f>VLOOKUP(C143,'Talente &amp; Stuff'!IA:JB,13,FALSE)</f>
        <v>0</v>
      </c>
      <c r="P143" s="174">
        <f>VLOOKUP(C143,'Talente &amp; Stuff'!IA:JB,14,FALSE)</f>
        <v>0</v>
      </c>
      <c r="Q143" s="114">
        <f>VLOOKUP(C143,'Talente &amp; Stuff'!IA:JB,15,FALSE)</f>
        <v>0</v>
      </c>
      <c r="R143" s="117">
        <f>VLOOKUP(C143,'Talente &amp; Stuff'!IA:JB,16,FALSE)</f>
        <v>0</v>
      </c>
      <c r="S143" s="119">
        <f>VLOOKUP(C143,'Talente &amp; Stuff'!IA:JB,17,FALSE)</f>
        <v>0</v>
      </c>
      <c r="T143" s="119">
        <f>VLOOKUP(C143,'Talente &amp; Stuff'!IA:JB,18,FALSE)</f>
        <v>0</v>
      </c>
      <c r="U143" s="89">
        <f>VLOOKUP(C143,'Talente &amp; Stuff'!IA:JB,19,FALSE)</f>
        <v>0</v>
      </c>
      <c r="V143" s="47">
        <f>VLOOKUP(C143,'Talente &amp; Stuff'!IA:JB,20,FALSE)</f>
        <v>0</v>
      </c>
      <c r="W143" s="127">
        <f>VLOOKUP(C143,'Talente &amp; Stuff'!IA:JB,21,FALSE)</f>
        <v>0</v>
      </c>
      <c r="X143" s="127">
        <f>VLOOKUP(C143,'Talente &amp; Stuff'!IA:JB,22,FALSE)</f>
        <v>0</v>
      </c>
      <c r="Y143" s="165">
        <f t="shared" si="14"/>
        <v>0</v>
      </c>
      <c r="Z143" s="44">
        <f t="shared" si="15"/>
        <v>0</v>
      </c>
      <c r="AA143" s="125">
        <f>VLOOKUP(C143,'Talente &amp; Stuff'!IA:JB,25,FALSE)</f>
        <v>0</v>
      </c>
      <c r="AB143" s="160">
        <f>VLOOKUP(C143,'Talente &amp; Stuff'!IA:JB,26,FALSE)</f>
        <v>0</v>
      </c>
      <c r="AC143" s="127">
        <f>VLOOKUP(C143,'Talente &amp; Stuff'!IA:JB,27,FALSE)</f>
        <v>0</v>
      </c>
      <c r="AD143" s="125">
        <f>VLOOKUP(C143,'Talente &amp; Stuff'!IA:JB,28,FALSE)</f>
        <v>0</v>
      </c>
      <c r="AE143" s="28"/>
    </row>
    <row r="144" spans="2:31" ht="15" hidden="1" customHeight="1" outlineLevel="2">
      <c r="B144" s="148">
        <v>17</v>
      </c>
      <c r="C144" s="177" t="str">
        <f>Attribute!C144</f>
        <v>---</v>
      </c>
      <c r="D144" s="125" t="str">
        <f>VLOOKUP(C144,'Talente &amp; Stuff'!IA:JB,2,FALSE)</f>
        <v>--/--/--</v>
      </c>
      <c r="E144" s="127" t="str">
        <f>VLOOKUP(C144,'Talente &amp; Stuff'!IA:JB,3,FALSE)</f>
        <v>-</v>
      </c>
      <c r="F144" s="114">
        <f>VLOOKUP(C144,'Talente &amp; Stuff'!IA:JB,4,FALSE)</f>
        <v>0</v>
      </c>
      <c r="G144" s="113">
        <f>VLOOKUP(C144,'Talente &amp; Stuff'!IA:JB,5,FALSE)</f>
        <v>0</v>
      </c>
      <c r="H144" s="113">
        <f>VLOOKUP(C144,'Talente &amp; Stuff'!IA:JB,6,FALSE)</f>
        <v>0</v>
      </c>
      <c r="I144" s="113">
        <f>VLOOKUP(C144,'Talente &amp; Stuff'!IA:JB,7,FALSE)</f>
        <v>0</v>
      </c>
      <c r="J144" s="113">
        <f>VLOOKUP(C144,'Talente &amp; Stuff'!IA:JB,8,FALSE)</f>
        <v>0</v>
      </c>
      <c r="K144" s="113">
        <f>VLOOKUP(C144,'Talente &amp; Stuff'!IA:JB,9,FALSE)</f>
        <v>0</v>
      </c>
      <c r="L144" s="113">
        <f>VLOOKUP(C144,'Talente &amp; Stuff'!IA:JB,10,FALSE)</f>
        <v>0</v>
      </c>
      <c r="M144" s="119">
        <f>VLOOKUP(C144,'Talente &amp; Stuff'!IA:JB,11,FALSE)</f>
        <v>0</v>
      </c>
      <c r="N144" s="47">
        <f>VLOOKUP(C144,'Talente &amp; Stuff'!IA:JB,12,FALSE)</f>
        <v>0</v>
      </c>
      <c r="O144" s="47">
        <f>VLOOKUP(C144,'Talente &amp; Stuff'!IA:JB,13,FALSE)</f>
        <v>0</v>
      </c>
      <c r="P144" s="119">
        <f>VLOOKUP(C144,'Talente &amp; Stuff'!IA:JB,14,FALSE)</f>
        <v>0</v>
      </c>
      <c r="Q144" s="114">
        <f>VLOOKUP(C144,'Talente &amp; Stuff'!IA:JB,15,FALSE)</f>
        <v>0</v>
      </c>
      <c r="R144" s="113">
        <f>VLOOKUP(C144,'Talente &amp; Stuff'!IA:JB,16,FALSE)</f>
        <v>0</v>
      </c>
      <c r="S144" s="119">
        <f>VLOOKUP(C144,'Talente &amp; Stuff'!IA:JB,17,FALSE)</f>
        <v>0</v>
      </c>
      <c r="T144" s="119">
        <f>VLOOKUP(C144,'Talente &amp; Stuff'!IA:JB,18,FALSE)</f>
        <v>0</v>
      </c>
      <c r="U144" s="89">
        <f>VLOOKUP(C144,'Talente &amp; Stuff'!IA:JB,19,FALSE)</f>
        <v>0</v>
      </c>
      <c r="V144" s="47">
        <f>VLOOKUP(C144,'Talente &amp; Stuff'!IA:JB,20,FALSE)</f>
        <v>0</v>
      </c>
      <c r="W144" s="127">
        <f>VLOOKUP(C144,'Talente &amp; Stuff'!IA:JB,21,FALSE)</f>
        <v>0</v>
      </c>
      <c r="X144" s="127">
        <f>VLOOKUP(C144,'Talente &amp; Stuff'!IA:JB,22,FALSE)</f>
        <v>0</v>
      </c>
      <c r="Y144" s="165">
        <f t="shared" si="14"/>
        <v>0</v>
      </c>
      <c r="Z144" s="44">
        <f t="shared" si="15"/>
        <v>0</v>
      </c>
      <c r="AA144" s="125">
        <f>VLOOKUP(C144,'Talente &amp; Stuff'!IA:JB,25,FALSE)</f>
        <v>0</v>
      </c>
      <c r="AB144" s="160">
        <f>VLOOKUP(C144,'Talente &amp; Stuff'!IA:JB,26,FALSE)</f>
        <v>0</v>
      </c>
      <c r="AC144" s="127">
        <f>VLOOKUP(C144,'Talente &amp; Stuff'!IA:JB,27,FALSE)</f>
        <v>0</v>
      </c>
      <c r="AD144" s="125">
        <f>VLOOKUP(C144,'Talente &amp; Stuff'!IA:JB,28,FALSE)</f>
        <v>0</v>
      </c>
      <c r="AE144" s="28"/>
    </row>
    <row r="145" spans="2:31" ht="15" hidden="1" customHeight="1" outlineLevel="2">
      <c r="B145" s="148">
        <v>18</v>
      </c>
      <c r="C145" s="177" t="str">
        <f>Attribute!C145</f>
        <v>---</v>
      </c>
      <c r="D145" s="125" t="str">
        <f>VLOOKUP(C145,'Talente &amp; Stuff'!IA:JB,2,FALSE)</f>
        <v>--/--/--</v>
      </c>
      <c r="E145" s="127" t="str">
        <f>VLOOKUP(C145,'Talente &amp; Stuff'!IA:JB,3,FALSE)</f>
        <v>-</v>
      </c>
      <c r="F145" s="114">
        <f>VLOOKUP(C145,'Talente &amp; Stuff'!IA:JB,4,FALSE)</f>
        <v>0</v>
      </c>
      <c r="G145" s="113">
        <f>VLOOKUP(C145,'Talente &amp; Stuff'!IA:JB,5,FALSE)</f>
        <v>0</v>
      </c>
      <c r="H145" s="113">
        <f>VLOOKUP(C145,'Talente &amp; Stuff'!IA:JB,6,FALSE)</f>
        <v>0</v>
      </c>
      <c r="I145" s="113">
        <f>VLOOKUP(C145,'Talente &amp; Stuff'!IA:JB,7,FALSE)</f>
        <v>0</v>
      </c>
      <c r="J145" s="113">
        <f>VLOOKUP(C145,'Talente &amp; Stuff'!IA:JB,8,FALSE)</f>
        <v>0</v>
      </c>
      <c r="K145" s="113">
        <f>VLOOKUP(C145,'Talente &amp; Stuff'!IA:JB,9,FALSE)</f>
        <v>0</v>
      </c>
      <c r="L145" s="113">
        <f>VLOOKUP(C145,'Talente &amp; Stuff'!IA:JB,10,FALSE)</f>
        <v>0</v>
      </c>
      <c r="M145" s="119">
        <f>VLOOKUP(C145,'Talente &amp; Stuff'!IA:JB,11,FALSE)</f>
        <v>0</v>
      </c>
      <c r="N145" s="47">
        <f>VLOOKUP(C145,'Talente &amp; Stuff'!IA:JB,12,FALSE)</f>
        <v>0</v>
      </c>
      <c r="O145" s="47">
        <f>VLOOKUP(C145,'Talente &amp; Stuff'!IA:JB,13,FALSE)</f>
        <v>0</v>
      </c>
      <c r="P145" s="119">
        <f>VLOOKUP(C145,'Talente &amp; Stuff'!IA:JB,14,FALSE)</f>
        <v>0</v>
      </c>
      <c r="Q145" s="114">
        <f>VLOOKUP(C145,'Talente &amp; Stuff'!IA:JB,15,FALSE)</f>
        <v>0</v>
      </c>
      <c r="R145" s="113">
        <f>VLOOKUP(C145,'Talente &amp; Stuff'!IA:JB,16,FALSE)</f>
        <v>0</v>
      </c>
      <c r="S145" s="119">
        <f>VLOOKUP(C145,'Talente &amp; Stuff'!IA:JB,17,FALSE)</f>
        <v>0</v>
      </c>
      <c r="T145" s="119">
        <f>VLOOKUP(C145,'Talente &amp; Stuff'!IA:JB,18,FALSE)</f>
        <v>0</v>
      </c>
      <c r="U145" s="89">
        <f>VLOOKUP(C145,'Talente &amp; Stuff'!IA:JB,19,FALSE)</f>
        <v>0</v>
      </c>
      <c r="V145" s="47">
        <f>VLOOKUP(C145,'Talente &amp; Stuff'!IA:JB,20,FALSE)</f>
        <v>0</v>
      </c>
      <c r="W145" s="127">
        <f>VLOOKUP(C145,'Talente &amp; Stuff'!IA:JB,21,FALSE)</f>
        <v>0</v>
      </c>
      <c r="X145" s="127">
        <f>VLOOKUP(C145,'Talente &amp; Stuff'!IA:JB,22,FALSE)</f>
        <v>0</v>
      </c>
      <c r="Y145" s="165">
        <f t="shared" si="14"/>
        <v>0</v>
      </c>
      <c r="Z145" s="44">
        <f t="shared" si="15"/>
        <v>0</v>
      </c>
      <c r="AA145" s="125">
        <f>VLOOKUP(C145,'Talente &amp; Stuff'!IA:JB,25,FALSE)</f>
        <v>0</v>
      </c>
      <c r="AB145" s="160">
        <f>VLOOKUP(C145,'Talente &amp; Stuff'!IA:JB,26,FALSE)</f>
        <v>0</v>
      </c>
      <c r="AC145" s="127">
        <f>VLOOKUP(C145,'Talente &amp; Stuff'!IA:JB,27,FALSE)</f>
        <v>0</v>
      </c>
      <c r="AD145" s="125">
        <f>VLOOKUP(C145,'Talente &amp; Stuff'!IA:JB,28,FALSE)</f>
        <v>0</v>
      </c>
      <c r="AE145" s="28"/>
    </row>
    <row r="146" spans="2:31" ht="15" hidden="1" customHeight="1" outlineLevel="2">
      <c r="B146" s="148">
        <v>19</v>
      </c>
      <c r="C146" s="177" t="str">
        <f>Attribute!C146</f>
        <v>---</v>
      </c>
      <c r="D146" s="125" t="str">
        <f>VLOOKUP(C146,'Talente &amp; Stuff'!IA:JB,2,FALSE)</f>
        <v>--/--/--</v>
      </c>
      <c r="E146" s="127" t="str">
        <f>VLOOKUP(C146,'Talente &amp; Stuff'!IA:JB,3,FALSE)</f>
        <v>-</v>
      </c>
      <c r="F146" s="114">
        <f>VLOOKUP(C146,'Talente &amp; Stuff'!IA:JB,4,FALSE)</f>
        <v>0</v>
      </c>
      <c r="G146" s="113">
        <f>VLOOKUP(C146,'Talente &amp; Stuff'!IA:JB,5,FALSE)</f>
        <v>0</v>
      </c>
      <c r="H146" s="113">
        <f>VLOOKUP(C146,'Talente &amp; Stuff'!IA:JB,6,FALSE)</f>
        <v>0</v>
      </c>
      <c r="I146" s="113">
        <f>VLOOKUP(C146,'Talente &amp; Stuff'!IA:JB,7,FALSE)</f>
        <v>0</v>
      </c>
      <c r="J146" s="113">
        <f>VLOOKUP(C146,'Talente &amp; Stuff'!IA:JB,8,FALSE)</f>
        <v>0</v>
      </c>
      <c r="K146" s="113">
        <f>VLOOKUP(C146,'Talente &amp; Stuff'!IA:JB,9,FALSE)</f>
        <v>0</v>
      </c>
      <c r="L146" s="113">
        <f>VLOOKUP(C146,'Talente &amp; Stuff'!IA:JB,10,FALSE)</f>
        <v>0</v>
      </c>
      <c r="M146" s="119">
        <f>VLOOKUP(C146,'Talente &amp; Stuff'!IA:JB,11,FALSE)</f>
        <v>0</v>
      </c>
      <c r="N146" s="47">
        <f>VLOOKUP(C146,'Talente &amp; Stuff'!IA:JB,12,FALSE)</f>
        <v>0</v>
      </c>
      <c r="O146" s="47">
        <f>VLOOKUP(C146,'Talente &amp; Stuff'!IA:JB,13,FALSE)</f>
        <v>0</v>
      </c>
      <c r="P146" s="119">
        <f>VLOOKUP(C146,'Talente &amp; Stuff'!IA:JB,14,FALSE)</f>
        <v>0</v>
      </c>
      <c r="Q146" s="114">
        <f>VLOOKUP(C146,'Talente &amp; Stuff'!IA:JB,15,FALSE)</f>
        <v>0</v>
      </c>
      <c r="R146" s="113">
        <f>VLOOKUP(C146,'Talente &amp; Stuff'!IA:JB,16,FALSE)</f>
        <v>0</v>
      </c>
      <c r="S146" s="119">
        <f>VLOOKUP(C146,'Talente &amp; Stuff'!IA:JB,17,FALSE)</f>
        <v>0</v>
      </c>
      <c r="T146" s="119">
        <f>VLOOKUP(C146,'Talente &amp; Stuff'!IA:JB,18,FALSE)</f>
        <v>0</v>
      </c>
      <c r="U146" s="89">
        <f>VLOOKUP(C146,'Talente &amp; Stuff'!IA:JB,19,FALSE)</f>
        <v>0</v>
      </c>
      <c r="V146" s="47">
        <f>VLOOKUP(C146,'Talente &amp; Stuff'!IA:JB,20,FALSE)</f>
        <v>0</v>
      </c>
      <c r="W146" s="127">
        <f>VLOOKUP(C146,'Talente &amp; Stuff'!IA:JB,21,FALSE)</f>
        <v>0</v>
      </c>
      <c r="X146" s="127">
        <f>VLOOKUP(C146,'Talente &amp; Stuff'!IA:JB,22,FALSE)</f>
        <v>0</v>
      </c>
      <c r="Y146" s="165">
        <f t="shared" si="14"/>
        <v>0</v>
      </c>
      <c r="Z146" s="44">
        <f t="shared" si="15"/>
        <v>0</v>
      </c>
      <c r="AA146" s="125">
        <f>VLOOKUP(C146,'Talente &amp; Stuff'!IA:JB,25,FALSE)</f>
        <v>0</v>
      </c>
      <c r="AB146" s="160">
        <f>VLOOKUP(C146,'Talente &amp; Stuff'!IA:JB,26,FALSE)</f>
        <v>0</v>
      </c>
      <c r="AC146" s="127">
        <f>VLOOKUP(C146,'Talente &amp; Stuff'!IA:JB,27,FALSE)</f>
        <v>0</v>
      </c>
      <c r="AD146" s="125">
        <f>VLOOKUP(C146,'Talente &amp; Stuff'!IA:JB,28,FALSE)</f>
        <v>0</v>
      </c>
      <c r="AE146" s="28"/>
    </row>
    <row r="147" spans="2:31" ht="15" hidden="1" customHeight="1" outlineLevel="2">
      <c r="B147" s="148">
        <v>20</v>
      </c>
      <c r="C147" s="177" t="str">
        <f>Attribute!C147</f>
        <v>---</v>
      </c>
      <c r="D147" s="125" t="str">
        <f>VLOOKUP(C147,'Talente &amp; Stuff'!IA:JB,2,FALSE)</f>
        <v>--/--/--</v>
      </c>
      <c r="E147" s="127" t="str">
        <f>VLOOKUP(C147,'Talente &amp; Stuff'!IA:JB,3,FALSE)</f>
        <v>-</v>
      </c>
      <c r="F147" s="114">
        <f>VLOOKUP(C147,'Talente &amp; Stuff'!IA:JB,4,FALSE)</f>
        <v>0</v>
      </c>
      <c r="G147" s="113">
        <f>VLOOKUP(C147,'Talente &amp; Stuff'!IA:JB,5,FALSE)</f>
        <v>0</v>
      </c>
      <c r="H147" s="113">
        <f>VLOOKUP(C147,'Talente &amp; Stuff'!IA:JB,6,FALSE)</f>
        <v>0</v>
      </c>
      <c r="I147" s="113">
        <f>VLOOKUP(C147,'Talente &amp; Stuff'!IA:JB,7,FALSE)</f>
        <v>0</v>
      </c>
      <c r="J147" s="113">
        <f>VLOOKUP(C147,'Talente &amp; Stuff'!IA:JB,8,FALSE)</f>
        <v>0</v>
      </c>
      <c r="K147" s="113">
        <f>VLOOKUP(C147,'Talente &amp; Stuff'!IA:JB,9,FALSE)</f>
        <v>0</v>
      </c>
      <c r="L147" s="113">
        <f>VLOOKUP(C147,'Talente &amp; Stuff'!IA:JB,10,FALSE)</f>
        <v>0</v>
      </c>
      <c r="M147" s="119">
        <f>VLOOKUP(C147,'Talente &amp; Stuff'!IA:JB,11,FALSE)</f>
        <v>0</v>
      </c>
      <c r="N147" s="47">
        <f>VLOOKUP(C147,'Talente &amp; Stuff'!IA:JB,12,FALSE)</f>
        <v>0</v>
      </c>
      <c r="O147" s="47">
        <f>VLOOKUP(C147,'Talente &amp; Stuff'!IA:JB,13,FALSE)</f>
        <v>0</v>
      </c>
      <c r="P147" s="119">
        <f>VLOOKUP(C147,'Talente &amp; Stuff'!IA:JB,14,FALSE)</f>
        <v>0</v>
      </c>
      <c r="Q147" s="114">
        <f>VLOOKUP(C147,'Talente &amp; Stuff'!IA:JB,15,FALSE)</f>
        <v>0</v>
      </c>
      <c r="R147" s="113">
        <f>VLOOKUP(C147,'Talente &amp; Stuff'!IA:JB,16,FALSE)</f>
        <v>0</v>
      </c>
      <c r="S147" s="119">
        <f>VLOOKUP(C147,'Talente &amp; Stuff'!IA:JB,17,FALSE)</f>
        <v>0</v>
      </c>
      <c r="T147" s="119">
        <f>VLOOKUP(C147,'Talente &amp; Stuff'!IA:JB,18,FALSE)</f>
        <v>0</v>
      </c>
      <c r="U147" s="89">
        <f>VLOOKUP(C147,'Talente &amp; Stuff'!IA:JB,19,FALSE)</f>
        <v>0</v>
      </c>
      <c r="V147" s="47">
        <f>VLOOKUP(C147,'Talente &amp; Stuff'!IA:JB,20,FALSE)</f>
        <v>0</v>
      </c>
      <c r="W147" s="127">
        <f>VLOOKUP(C147,'Talente &amp; Stuff'!IA:JB,21,FALSE)</f>
        <v>0</v>
      </c>
      <c r="X147" s="127">
        <f>VLOOKUP(C147,'Talente &amp; Stuff'!IA:JB,22,FALSE)</f>
        <v>0</v>
      </c>
      <c r="Y147" s="165">
        <f t="shared" si="14"/>
        <v>0</v>
      </c>
      <c r="Z147" s="44">
        <f t="shared" si="15"/>
        <v>0</v>
      </c>
      <c r="AA147" s="125">
        <f>VLOOKUP(C147,'Talente &amp; Stuff'!IA:JB,25,FALSE)</f>
        <v>0</v>
      </c>
      <c r="AB147" s="160">
        <f>VLOOKUP(C147,'Talente &amp; Stuff'!IA:JB,26,FALSE)</f>
        <v>0</v>
      </c>
      <c r="AC147" s="127">
        <f>VLOOKUP(C147,'Talente &amp; Stuff'!IA:JB,27,FALSE)</f>
        <v>0</v>
      </c>
      <c r="AD147" s="125">
        <f>VLOOKUP(C147,'Talente &amp; Stuff'!IA:JB,28,FALSE)</f>
        <v>0</v>
      </c>
      <c r="AE147" s="28"/>
    </row>
    <row r="148" spans="2:31" ht="15" hidden="1" customHeight="1" outlineLevel="2">
      <c r="B148" s="148">
        <v>21</v>
      </c>
      <c r="C148" s="177" t="str">
        <f>Attribute!C148</f>
        <v>---</v>
      </c>
      <c r="D148" s="125" t="str">
        <f>VLOOKUP(C148,'Talente &amp; Stuff'!IA:JB,2,FALSE)</f>
        <v>--/--/--</v>
      </c>
      <c r="E148" s="127" t="str">
        <f>VLOOKUP(C148,'Talente &amp; Stuff'!IA:JB,3,FALSE)</f>
        <v>-</v>
      </c>
      <c r="F148" s="114">
        <f>VLOOKUP(C148,'Talente &amp; Stuff'!IA:JB,4,FALSE)</f>
        <v>0</v>
      </c>
      <c r="G148" s="113">
        <f>VLOOKUP(C148,'Talente &amp; Stuff'!IA:JB,5,FALSE)</f>
        <v>0</v>
      </c>
      <c r="H148" s="113">
        <f>VLOOKUP(C148,'Talente &amp; Stuff'!IA:JB,6,FALSE)</f>
        <v>0</v>
      </c>
      <c r="I148" s="113">
        <f>VLOOKUP(C148,'Talente &amp; Stuff'!IA:JB,7,FALSE)</f>
        <v>0</v>
      </c>
      <c r="J148" s="113">
        <f>VLOOKUP(C148,'Talente &amp; Stuff'!IA:JB,8,FALSE)</f>
        <v>0</v>
      </c>
      <c r="K148" s="113">
        <f>VLOOKUP(C148,'Talente &amp; Stuff'!IA:JB,9,FALSE)</f>
        <v>0</v>
      </c>
      <c r="L148" s="113">
        <f>VLOOKUP(C148,'Talente &amp; Stuff'!IA:JB,10,FALSE)</f>
        <v>0</v>
      </c>
      <c r="M148" s="119">
        <f>VLOOKUP(C148,'Talente &amp; Stuff'!IA:JB,11,FALSE)</f>
        <v>0</v>
      </c>
      <c r="N148" s="47">
        <f>VLOOKUP(C148,'Talente &amp; Stuff'!IA:JB,12,FALSE)</f>
        <v>0</v>
      </c>
      <c r="O148" s="47">
        <f>VLOOKUP(C148,'Talente &amp; Stuff'!IA:JB,13,FALSE)</f>
        <v>0</v>
      </c>
      <c r="P148" s="119">
        <f>VLOOKUP(C148,'Talente &amp; Stuff'!IA:JB,14,FALSE)</f>
        <v>0</v>
      </c>
      <c r="Q148" s="114">
        <f>VLOOKUP(C148,'Talente &amp; Stuff'!IA:JB,15,FALSE)</f>
        <v>0</v>
      </c>
      <c r="R148" s="113">
        <f>VLOOKUP(C148,'Talente &amp; Stuff'!IA:JB,16,FALSE)</f>
        <v>0</v>
      </c>
      <c r="S148" s="119">
        <f>VLOOKUP(C148,'Talente &amp; Stuff'!IA:JB,17,FALSE)</f>
        <v>0</v>
      </c>
      <c r="T148" s="119">
        <f>VLOOKUP(C148,'Talente &amp; Stuff'!IA:JB,18,FALSE)</f>
        <v>0</v>
      </c>
      <c r="U148" s="89">
        <f>VLOOKUP(C148,'Talente &amp; Stuff'!IA:JB,19,FALSE)</f>
        <v>0</v>
      </c>
      <c r="V148" s="47">
        <f>VLOOKUP(C148,'Talente &amp; Stuff'!IA:JB,20,FALSE)</f>
        <v>0</v>
      </c>
      <c r="W148" s="127">
        <f>VLOOKUP(C148,'Talente &amp; Stuff'!IA:JB,21,FALSE)</f>
        <v>0</v>
      </c>
      <c r="X148" s="127">
        <f>VLOOKUP(C148,'Talente &amp; Stuff'!IA:JB,22,FALSE)</f>
        <v>0</v>
      </c>
      <c r="Y148" s="165">
        <f t="shared" si="14"/>
        <v>0</v>
      </c>
      <c r="Z148" s="44">
        <f t="shared" si="15"/>
        <v>0</v>
      </c>
      <c r="AA148" s="125">
        <f>VLOOKUP(C148,'Talente &amp; Stuff'!IA:JB,25,FALSE)</f>
        <v>0</v>
      </c>
      <c r="AB148" s="160">
        <f>VLOOKUP(C148,'Talente &amp; Stuff'!IA:JB,26,FALSE)</f>
        <v>0</v>
      </c>
      <c r="AC148" s="127">
        <f>VLOOKUP(C148,'Talente &amp; Stuff'!IA:JB,27,FALSE)</f>
        <v>0</v>
      </c>
      <c r="AD148" s="125">
        <f>VLOOKUP(C148,'Talente &amp; Stuff'!IA:JB,28,FALSE)</f>
        <v>0</v>
      </c>
      <c r="AE148" s="28"/>
    </row>
    <row r="149" spans="2:31" ht="15" hidden="1" customHeight="1" outlineLevel="2">
      <c r="B149" s="148">
        <v>22</v>
      </c>
      <c r="C149" s="177" t="str">
        <f>Attribute!C149</f>
        <v>---</v>
      </c>
      <c r="D149" s="125" t="str">
        <f>VLOOKUP(C149,'Talente &amp; Stuff'!IA:JB,2,FALSE)</f>
        <v>--/--/--</v>
      </c>
      <c r="E149" s="127" t="str">
        <f>VLOOKUP(C149,'Talente &amp; Stuff'!IA:JB,3,FALSE)</f>
        <v>-</v>
      </c>
      <c r="F149" s="114">
        <f>VLOOKUP(C149,'Talente &amp; Stuff'!IA:JB,4,FALSE)</f>
        <v>0</v>
      </c>
      <c r="G149" s="113">
        <f>VLOOKUP(C149,'Talente &amp; Stuff'!IA:JB,5,FALSE)</f>
        <v>0</v>
      </c>
      <c r="H149" s="113">
        <f>VLOOKUP(C149,'Talente &amp; Stuff'!IA:JB,6,FALSE)</f>
        <v>0</v>
      </c>
      <c r="I149" s="113">
        <f>VLOOKUP(C149,'Talente &amp; Stuff'!IA:JB,7,FALSE)</f>
        <v>0</v>
      </c>
      <c r="J149" s="113">
        <f>VLOOKUP(C149,'Talente &amp; Stuff'!IA:JB,8,FALSE)</f>
        <v>0</v>
      </c>
      <c r="K149" s="113">
        <f>VLOOKUP(C149,'Talente &amp; Stuff'!IA:JB,9,FALSE)</f>
        <v>0</v>
      </c>
      <c r="L149" s="113">
        <f>VLOOKUP(C149,'Talente &amp; Stuff'!IA:JB,10,FALSE)</f>
        <v>0</v>
      </c>
      <c r="M149" s="119">
        <f>VLOOKUP(C149,'Talente &amp; Stuff'!IA:JB,11,FALSE)</f>
        <v>0</v>
      </c>
      <c r="N149" s="47">
        <f>VLOOKUP(C149,'Talente &amp; Stuff'!IA:JB,12,FALSE)</f>
        <v>0</v>
      </c>
      <c r="O149" s="47">
        <f>VLOOKUP(C149,'Talente &amp; Stuff'!IA:JB,13,FALSE)</f>
        <v>0</v>
      </c>
      <c r="P149" s="119">
        <f>VLOOKUP(C149,'Talente &amp; Stuff'!IA:JB,14,FALSE)</f>
        <v>0</v>
      </c>
      <c r="Q149" s="114">
        <f>VLOOKUP(C149,'Talente &amp; Stuff'!IA:JB,15,FALSE)</f>
        <v>0</v>
      </c>
      <c r="R149" s="113">
        <f>VLOOKUP(C149,'Talente &amp; Stuff'!IA:JB,16,FALSE)</f>
        <v>0</v>
      </c>
      <c r="S149" s="119">
        <f>VLOOKUP(C149,'Talente &amp; Stuff'!IA:JB,17,FALSE)</f>
        <v>0</v>
      </c>
      <c r="T149" s="119">
        <f>VLOOKUP(C149,'Talente &amp; Stuff'!IA:JB,18,FALSE)</f>
        <v>0</v>
      </c>
      <c r="U149" s="89">
        <f>VLOOKUP(C149,'Talente &amp; Stuff'!IA:JB,19,FALSE)</f>
        <v>0</v>
      </c>
      <c r="V149" s="47">
        <f>VLOOKUP(C149,'Talente &amp; Stuff'!IA:JB,20,FALSE)</f>
        <v>0</v>
      </c>
      <c r="W149" s="127">
        <f>VLOOKUP(C149,'Talente &amp; Stuff'!IA:JB,21,FALSE)</f>
        <v>0</v>
      </c>
      <c r="X149" s="127">
        <f>VLOOKUP(C149,'Talente &amp; Stuff'!IA:JB,22,FALSE)</f>
        <v>0</v>
      </c>
      <c r="Y149" s="165">
        <f t="shared" si="14"/>
        <v>0</v>
      </c>
      <c r="Z149" s="44">
        <f t="shared" si="15"/>
        <v>0</v>
      </c>
      <c r="AA149" s="125">
        <f>VLOOKUP(C149,'Talente &amp; Stuff'!IA:JB,25,FALSE)</f>
        <v>0</v>
      </c>
      <c r="AB149" s="160">
        <f>VLOOKUP(C149,'Talente &amp; Stuff'!IA:JB,26,FALSE)</f>
        <v>0</v>
      </c>
      <c r="AC149" s="127">
        <f>VLOOKUP(C149,'Talente &amp; Stuff'!IA:JB,27,FALSE)</f>
        <v>0</v>
      </c>
      <c r="AD149" s="125">
        <f>VLOOKUP(C149,'Talente &amp; Stuff'!IA:JB,28,FALSE)</f>
        <v>0</v>
      </c>
      <c r="AE149" s="28"/>
    </row>
    <row r="150" spans="2:31" ht="15" hidden="1" customHeight="1" outlineLevel="2">
      <c r="B150" s="148">
        <v>23</v>
      </c>
      <c r="C150" s="177" t="str">
        <f>Attribute!C150</f>
        <v>---</v>
      </c>
      <c r="D150" s="125" t="str">
        <f>VLOOKUP(C150,'Talente &amp; Stuff'!IA:JB,2,FALSE)</f>
        <v>--/--/--</v>
      </c>
      <c r="E150" s="127" t="str">
        <f>VLOOKUP(C150,'Talente &amp; Stuff'!IA:JB,3,FALSE)</f>
        <v>-</v>
      </c>
      <c r="F150" s="114">
        <f>VLOOKUP(C150,'Talente &amp; Stuff'!IA:JB,4,FALSE)</f>
        <v>0</v>
      </c>
      <c r="G150" s="113">
        <f>VLOOKUP(C150,'Talente &amp; Stuff'!IA:JB,5,FALSE)</f>
        <v>0</v>
      </c>
      <c r="H150" s="113">
        <f>VLOOKUP(C150,'Talente &amp; Stuff'!IA:JB,6,FALSE)</f>
        <v>0</v>
      </c>
      <c r="I150" s="113">
        <f>VLOOKUP(C150,'Talente &amp; Stuff'!IA:JB,7,FALSE)</f>
        <v>0</v>
      </c>
      <c r="J150" s="113">
        <f>VLOOKUP(C150,'Talente &amp; Stuff'!IA:JB,8,FALSE)</f>
        <v>0</v>
      </c>
      <c r="K150" s="113">
        <f>VLOOKUP(C150,'Talente &amp; Stuff'!IA:JB,9,FALSE)</f>
        <v>0</v>
      </c>
      <c r="L150" s="113">
        <f>VLOOKUP(C150,'Talente &amp; Stuff'!IA:JB,10,FALSE)</f>
        <v>0</v>
      </c>
      <c r="M150" s="119">
        <f>VLOOKUP(C150,'Talente &amp; Stuff'!IA:JB,11,FALSE)</f>
        <v>0</v>
      </c>
      <c r="N150" s="47">
        <f>VLOOKUP(C150,'Talente &amp; Stuff'!IA:JB,12,FALSE)</f>
        <v>0</v>
      </c>
      <c r="O150" s="47">
        <f>VLOOKUP(C150,'Talente &amp; Stuff'!IA:JB,13,FALSE)</f>
        <v>0</v>
      </c>
      <c r="P150" s="119">
        <f>VLOOKUP(C150,'Talente &amp; Stuff'!IA:JB,14,FALSE)</f>
        <v>0</v>
      </c>
      <c r="Q150" s="114">
        <f>VLOOKUP(C150,'Talente &amp; Stuff'!IA:JB,15,FALSE)</f>
        <v>0</v>
      </c>
      <c r="R150" s="113">
        <f>VLOOKUP(C150,'Talente &amp; Stuff'!IA:JB,16,FALSE)</f>
        <v>0</v>
      </c>
      <c r="S150" s="119">
        <f>VLOOKUP(C150,'Talente &amp; Stuff'!IA:JB,17,FALSE)</f>
        <v>0</v>
      </c>
      <c r="T150" s="119">
        <f>VLOOKUP(C150,'Talente &amp; Stuff'!IA:JB,18,FALSE)</f>
        <v>0</v>
      </c>
      <c r="U150" s="89">
        <f>VLOOKUP(C150,'Talente &amp; Stuff'!IA:JB,19,FALSE)</f>
        <v>0</v>
      </c>
      <c r="V150" s="47">
        <f>VLOOKUP(C150,'Talente &amp; Stuff'!IA:JB,20,FALSE)</f>
        <v>0</v>
      </c>
      <c r="W150" s="127">
        <f>VLOOKUP(C150,'Talente &amp; Stuff'!IA:JB,21,FALSE)</f>
        <v>0</v>
      </c>
      <c r="X150" s="127">
        <f>VLOOKUP(C150,'Talente &amp; Stuff'!IA:JB,22,FALSE)</f>
        <v>0</v>
      </c>
      <c r="Y150" s="165">
        <f t="shared" si="14"/>
        <v>0</v>
      </c>
      <c r="Z150" s="44">
        <f t="shared" si="15"/>
        <v>0</v>
      </c>
      <c r="AA150" s="125">
        <f>VLOOKUP(C150,'Talente &amp; Stuff'!IA:JB,25,FALSE)</f>
        <v>0</v>
      </c>
      <c r="AB150" s="160">
        <f>VLOOKUP(C150,'Talente &amp; Stuff'!IA:JB,26,FALSE)</f>
        <v>0</v>
      </c>
      <c r="AC150" s="127">
        <f>VLOOKUP(C150,'Talente &amp; Stuff'!IA:JB,27,FALSE)</f>
        <v>0</v>
      </c>
      <c r="AD150" s="125">
        <f>VLOOKUP(C150,'Talente &amp; Stuff'!IA:JB,28,FALSE)</f>
        <v>0</v>
      </c>
      <c r="AE150" s="28"/>
    </row>
    <row r="151" spans="2:31" ht="15" hidden="1" customHeight="1" outlineLevel="2">
      <c r="B151" s="148">
        <v>24</v>
      </c>
      <c r="C151" s="178" t="str">
        <f>Attribute!C151</f>
        <v>---</v>
      </c>
      <c r="D151" s="159" t="str">
        <f>VLOOKUP(C151,'Talente &amp; Stuff'!IA:JB,2,FALSE)</f>
        <v>--/--/--</v>
      </c>
      <c r="E151" s="128" t="str">
        <f>VLOOKUP(C151,'Talente &amp; Stuff'!IA:JB,3,FALSE)</f>
        <v>-</v>
      </c>
      <c r="F151" s="115">
        <f>VLOOKUP(C151,'Talente &amp; Stuff'!IA:JB,4,FALSE)</f>
        <v>0</v>
      </c>
      <c r="G151" s="122">
        <f>VLOOKUP(C151,'Talente &amp; Stuff'!IA:JB,5,FALSE)</f>
        <v>0</v>
      </c>
      <c r="H151" s="122">
        <f>VLOOKUP(C151,'Talente &amp; Stuff'!IA:JB,6,FALSE)</f>
        <v>0</v>
      </c>
      <c r="I151" s="122">
        <f>VLOOKUP(C151,'Talente &amp; Stuff'!IA:JB,7,FALSE)</f>
        <v>0</v>
      </c>
      <c r="J151" s="122">
        <f>VLOOKUP(C151,'Talente &amp; Stuff'!IA:JB,8,FALSE)</f>
        <v>0</v>
      </c>
      <c r="K151" s="122">
        <f>VLOOKUP(C151,'Talente &amp; Stuff'!IA:JB,9,FALSE)</f>
        <v>0</v>
      </c>
      <c r="L151" s="122">
        <f>VLOOKUP(C151,'Talente &amp; Stuff'!IA:JB,10,FALSE)</f>
        <v>0</v>
      </c>
      <c r="M151" s="123">
        <f>VLOOKUP(C151,'Talente &amp; Stuff'!IA:JB,11,FALSE)</f>
        <v>0</v>
      </c>
      <c r="N151" s="88">
        <f>VLOOKUP(C151,'Talente &amp; Stuff'!IA:JB,12,FALSE)</f>
        <v>0</v>
      </c>
      <c r="O151" s="88">
        <f>VLOOKUP(C151,'Talente &amp; Stuff'!IA:JB,13,FALSE)</f>
        <v>0</v>
      </c>
      <c r="P151" s="123">
        <f>VLOOKUP(C151,'Talente &amp; Stuff'!IA:JB,14,FALSE)</f>
        <v>0</v>
      </c>
      <c r="Q151" s="115">
        <f>VLOOKUP(C151,'Talente &amp; Stuff'!IA:JB,15,FALSE)</f>
        <v>0</v>
      </c>
      <c r="R151" s="122">
        <f>VLOOKUP(C151,'Talente &amp; Stuff'!IA:JB,16,FALSE)</f>
        <v>0</v>
      </c>
      <c r="S151" s="123">
        <f>VLOOKUP(C151,'Talente &amp; Stuff'!IA:JB,17,FALSE)</f>
        <v>0</v>
      </c>
      <c r="T151" s="123">
        <f>VLOOKUP(C151,'Talente &amp; Stuff'!IA:JB,18,FALSE)</f>
        <v>0</v>
      </c>
      <c r="U151" s="90">
        <f>VLOOKUP(C151,'Talente &amp; Stuff'!IA:JB,19,FALSE)</f>
        <v>0</v>
      </c>
      <c r="V151" s="88">
        <f>VLOOKUP(C151,'Talente &amp; Stuff'!IA:JB,20,FALSE)</f>
        <v>0</v>
      </c>
      <c r="W151" s="128">
        <f>VLOOKUP(C151,'Talente &amp; Stuff'!IA:JB,21,FALSE)</f>
        <v>0</v>
      </c>
      <c r="X151" s="128">
        <f>VLOOKUP(C151,'Talente &amp; Stuff'!IA:JB,22,FALSE)</f>
        <v>0</v>
      </c>
      <c r="Y151" s="165">
        <f t="shared" si="14"/>
        <v>0</v>
      </c>
      <c r="Z151" s="44">
        <f t="shared" si="15"/>
        <v>0</v>
      </c>
      <c r="AA151" s="159">
        <f>VLOOKUP(C151,'Talente &amp; Stuff'!IA:JB,25,FALSE)</f>
        <v>0</v>
      </c>
      <c r="AB151" s="161">
        <f>VLOOKUP(C151,'Talente &amp; Stuff'!IA:JB,26,FALSE)</f>
        <v>0</v>
      </c>
      <c r="AC151" s="128">
        <f>VLOOKUP(C151,'Talente &amp; Stuff'!IA:JB,27,FALSE)</f>
        <v>0</v>
      </c>
      <c r="AD151" s="159">
        <f>VLOOKUP(C151,'Talente &amp; Stuff'!IA:JB,28,FALSE)</f>
        <v>0</v>
      </c>
      <c r="AE151" s="28"/>
    </row>
    <row r="152" spans="2:31" ht="15" hidden="1" customHeight="1" outlineLevel="1" collapsed="1">
      <c r="B152" s="134" t="s">
        <v>329</v>
      </c>
      <c r="C152" s="83"/>
      <c r="D152" s="84"/>
      <c r="E152" s="84"/>
    </row>
    <row r="153" spans="2:31" ht="15" hidden="1" customHeight="1" outlineLevel="2">
      <c r="B153" s="148">
        <v>1</v>
      </c>
      <c r="C153" s="176" t="str">
        <f>Attribute!C153</f>
        <v>---</v>
      </c>
      <c r="D153" s="85" t="str">
        <f>VLOOKUP(C153,'Talente &amp; Stuff'!IA:JB,2,FALSE)</f>
        <v>--/--/--</v>
      </c>
      <c r="E153" s="168" t="str">
        <f>VLOOKUP(C153,'Talente &amp; Stuff'!IA:JB,3,FALSE)</f>
        <v>-</v>
      </c>
      <c r="F153" s="171">
        <f>VLOOKUP(C153,'Talente &amp; Stuff'!IA:JB,4,FALSE)</f>
        <v>0</v>
      </c>
      <c r="G153" s="170">
        <f>VLOOKUP(C153,'Talente &amp; Stuff'!IA:JB,5,FALSE)</f>
        <v>0</v>
      </c>
      <c r="H153" s="170">
        <f>VLOOKUP(C153,'Talente &amp; Stuff'!IA:JB,6,FALSE)</f>
        <v>0</v>
      </c>
      <c r="I153" s="170">
        <f>VLOOKUP(C153,'Talente &amp; Stuff'!IA:JB,7,FALSE)</f>
        <v>0</v>
      </c>
      <c r="J153" s="170">
        <f>VLOOKUP(C153,'Talente &amp; Stuff'!IA:JB,8,FALSE)</f>
        <v>0</v>
      </c>
      <c r="K153" s="170">
        <f>VLOOKUP(C153,'Talente &amp; Stuff'!IA:JB,9,FALSE)</f>
        <v>0</v>
      </c>
      <c r="L153" s="170">
        <f>VLOOKUP(C153,'Talente &amp; Stuff'!IA:JB,10,FALSE)</f>
        <v>0</v>
      </c>
      <c r="M153" s="172">
        <f>VLOOKUP(C153,'Talente &amp; Stuff'!IA:JB,11,FALSE)</f>
        <v>0</v>
      </c>
      <c r="N153" s="116">
        <f>VLOOKUP(C153,'Talente &amp; Stuff'!IA:JB,12,FALSE)</f>
        <v>0</v>
      </c>
      <c r="O153" s="194">
        <f>VLOOKUP(C153,'Talente &amp; Stuff'!IA:JB,13,FALSE)</f>
        <v>0</v>
      </c>
      <c r="P153" s="192">
        <f>VLOOKUP(C153,'Talente &amp; Stuff'!IA:JB,14,FALSE)</f>
        <v>0</v>
      </c>
      <c r="Q153" s="191">
        <f>VLOOKUP(C153,'Talente &amp; Stuff'!IA:JB,15,FALSE)</f>
        <v>0</v>
      </c>
      <c r="R153" s="170">
        <f>VLOOKUP(C153,'Talente &amp; Stuff'!IA:JB,16,FALSE)</f>
        <v>0</v>
      </c>
      <c r="S153" s="92">
        <f>VLOOKUP(C153,'Talente &amp; Stuff'!IA:JB,17,FALSE)</f>
        <v>0</v>
      </c>
      <c r="T153" s="92">
        <f>VLOOKUP(C153,'Talente &amp; Stuff'!IA:JB,18,FALSE)</f>
        <v>0</v>
      </c>
      <c r="U153" s="193">
        <f>VLOOKUP(C153,'Talente &amp; Stuff'!IA:JB,19,FALSE)</f>
        <v>0</v>
      </c>
      <c r="V153" s="116">
        <f>VLOOKUP(C153,'Talente &amp; Stuff'!IA:JB,20,FALSE)</f>
        <v>0</v>
      </c>
      <c r="W153" s="126">
        <f>VLOOKUP(C153,'Talente &amp; Stuff'!IA:JB,21,FALSE)</f>
        <v>0</v>
      </c>
      <c r="X153" s="126">
        <f>VLOOKUP(C153,'Talente &amp; Stuff'!IA:JB,22,FALSE)</f>
        <v>0</v>
      </c>
      <c r="Y153" s="165">
        <f t="shared" ref="Y153:Y184" si="16">VLOOKUP(C153,Ausgewählte_Zauber_Gildenmagier,255,FALSE)</f>
        <v>0</v>
      </c>
      <c r="Z153" s="44">
        <f t="shared" ref="Z153:Z184" si="17">VLOOKUP(C153,Ausgewählte_Zauber_Gildenmagier,256,FALSE)</f>
        <v>0</v>
      </c>
      <c r="AA153" s="158">
        <f>VLOOKUP(C153,'Talente &amp; Stuff'!IA:JB,25,FALSE)</f>
        <v>0</v>
      </c>
      <c r="AB153" s="91">
        <f>VLOOKUP(C153,'Talente &amp; Stuff'!IA:JB,26,FALSE)</f>
        <v>0</v>
      </c>
      <c r="AC153" s="126">
        <f>VLOOKUP(C153,'Talente &amp; Stuff'!IA:JB,27,FALSE)</f>
        <v>0</v>
      </c>
      <c r="AD153" s="158">
        <f>VLOOKUP(C153,'Talente &amp; Stuff'!IA:JB,28,FALSE)</f>
        <v>0</v>
      </c>
      <c r="AE153" s="28"/>
    </row>
    <row r="154" spans="2:31" ht="15" hidden="1" customHeight="1" outlineLevel="2">
      <c r="B154" s="148">
        <v>2</v>
      </c>
      <c r="C154" s="177" t="str">
        <f>Attribute!C154</f>
        <v>---</v>
      </c>
      <c r="D154" s="86" t="str">
        <f>VLOOKUP(C154,'Talente &amp; Stuff'!IA:JB,2,FALSE)</f>
        <v>--/--/--</v>
      </c>
      <c r="E154" s="167" t="str">
        <f>VLOOKUP(C154,'Talente &amp; Stuff'!IA:JB,3,FALSE)</f>
        <v>-</v>
      </c>
      <c r="F154" s="120">
        <f>VLOOKUP(C154,'Talente &amp; Stuff'!IA:JB,4,FALSE)</f>
        <v>0</v>
      </c>
      <c r="G154" s="117">
        <f>VLOOKUP(C154,'Talente &amp; Stuff'!IA:JB,5,FALSE)</f>
        <v>0</v>
      </c>
      <c r="H154" s="117">
        <f>VLOOKUP(C154,'Talente &amp; Stuff'!IA:JB,6,FALSE)</f>
        <v>0</v>
      </c>
      <c r="I154" s="117">
        <f>VLOOKUP(C154,'Talente &amp; Stuff'!IA:JB,7,FALSE)</f>
        <v>0</v>
      </c>
      <c r="J154" s="117">
        <f>VLOOKUP(C154,'Talente &amp; Stuff'!IA:JB,8,FALSE)</f>
        <v>0</v>
      </c>
      <c r="K154" s="117">
        <f>VLOOKUP(C154,'Talente &amp; Stuff'!IA:JB,9,FALSE)</f>
        <v>0</v>
      </c>
      <c r="L154" s="117">
        <f>VLOOKUP(C154,'Talente &amp; Stuff'!IA:JB,10,FALSE)</f>
        <v>0</v>
      </c>
      <c r="M154" s="121">
        <f>VLOOKUP(C154,'Talente &amp; Stuff'!IA:JB,11,FALSE)</f>
        <v>0</v>
      </c>
      <c r="N154" s="47">
        <f>VLOOKUP(C154,'Talente &amp; Stuff'!IA:JB,12,FALSE)</f>
        <v>0</v>
      </c>
      <c r="O154" s="3">
        <f>VLOOKUP(C154,'Talente &amp; Stuff'!IA:JB,13,FALSE)</f>
        <v>0</v>
      </c>
      <c r="P154" s="174">
        <f>VLOOKUP(C154,'Talente &amp; Stuff'!IA:JB,14,FALSE)</f>
        <v>0</v>
      </c>
      <c r="Q154" s="114">
        <f>VLOOKUP(C154,'Talente &amp; Stuff'!IA:JB,15,FALSE)</f>
        <v>0</v>
      </c>
      <c r="R154" s="117">
        <f>VLOOKUP(C154,'Talente &amp; Stuff'!IA:JB,16,FALSE)</f>
        <v>0</v>
      </c>
      <c r="S154" s="119">
        <f>VLOOKUP(C154,'Talente &amp; Stuff'!IA:JB,17,FALSE)</f>
        <v>0</v>
      </c>
      <c r="T154" s="119">
        <f>VLOOKUP(C154,'Talente &amp; Stuff'!IA:JB,18,FALSE)</f>
        <v>0</v>
      </c>
      <c r="U154" s="89">
        <f>VLOOKUP(C154,'Talente &amp; Stuff'!IA:JB,19,FALSE)</f>
        <v>0</v>
      </c>
      <c r="V154" s="47">
        <f>VLOOKUP(C154,'Talente &amp; Stuff'!IA:JB,20,FALSE)</f>
        <v>0</v>
      </c>
      <c r="W154" s="127">
        <f>VLOOKUP(C154,'Talente &amp; Stuff'!IA:JB,21,FALSE)</f>
        <v>0</v>
      </c>
      <c r="X154" s="127">
        <f>VLOOKUP(C154,'Talente &amp; Stuff'!IA:JB,22,FALSE)</f>
        <v>0</v>
      </c>
      <c r="Y154" s="165">
        <f t="shared" si="16"/>
        <v>0</v>
      </c>
      <c r="Z154" s="44">
        <f t="shared" si="17"/>
        <v>0</v>
      </c>
      <c r="AA154" s="125">
        <f>VLOOKUP(C154,'Talente &amp; Stuff'!IA:JB,25,FALSE)</f>
        <v>0</v>
      </c>
      <c r="AB154" s="160">
        <f>VLOOKUP(C154,'Talente &amp; Stuff'!IA:JB,26,FALSE)</f>
        <v>0</v>
      </c>
      <c r="AC154" s="127">
        <f>VLOOKUP(C154,'Talente &amp; Stuff'!IA:JB,27,FALSE)</f>
        <v>0</v>
      </c>
      <c r="AD154" s="125">
        <f>VLOOKUP(C154,'Talente &amp; Stuff'!IA:JB,28,FALSE)</f>
        <v>0</v>
      </c>
      <c r="AE154" s="28"/>
    </row>
    <row r="155" spans="2:31" ht="15" hidden="1" customHeight="1" outlineLevel="2">
      <c r="B155" s="148">
        <v>3</v>
      </c>
      <c r="C155" s="177" t="str">
        <f>Attribute!C155</f>
        <v>---</v>
      </c>
      <c r="D155" s="86" t="str">
        <f>VLOOKUP(C155,'Talente &amp; Stuff'!IA:JB,2,FALSE)</f>
        <v>--/--/--</v>
      </c>
      <c r="E155" s="167" t="str">
        <f>VLOOKUP(C155,'Talente &amp; Stuff'!IA:JB,3,FALSE)</f>
        <v>-</v>
      </c>
      <c r="F155" s="120">
        <f>VLOOKUP(C155,'Talente &amp; Stuff'!IA:JB,4,FALSE)</f>
        <v>0</v>
      </c>
      <c r="G155" s="117">
        <f>VLOOKUP(C155,'Talente &amp; Stuff'!IA:JB,5,FALSE)</f>
        <v>0</v>
      </c>
      <c r="H155" s="117">
        <f>VLOOKUP(C155,'Talente &amp; Stuff'!IA:JB,6,FALSE)</f>
        <v>0</v>
      </c>
      <c r="I155" s="117">
        <f>VLOOKUP(C155,'Talente &amp; Stuff'!IA:JB,7,FALSE)</f>
        <v>0</v>
      </c>
      <c r="J155" s="117">
        <f>VLOOKUP(C155,'Talente &amp; Stuff'!IA:JB,8,FALSE)</f>
        <v>0</v>
      </c>
      <c r="K155" s="117">
        <f>VLOOKUP(C155,'Talente &amp; Stuff'!IA:JB,9,FALSE)</f>
        <v>0</v>
      </c>
      <c r="L155" s="117">
        <f>VLOOKUP(C155,'Talente &amp; Stuff'!IA:JB,10,FALSE)</f>
        <v>0</v>
      </c>
      <c r="M155" s="121">
        <f>VLOOKUP(C155,'Talente &amp; Stuff'!IA:JB,11,FALSE)</f>
        <v>0</v>
      </c>
      <c r="N155" s="47">
        <f>VLOOKUP(C155,'Talente &amp; Stuff'!IA:JB,12,FALSE)</f>
        <v>0</v>
      </c>
      <c r="O155" s="3">
        <f>VLOOKUP(C155,'Talente &amp; Stuff'!IA:JB,13,FALSE)</f>
        <v>0</v>
      </c>
      <c r="P155" s="174">
        <f>VLOOKUP(C155,'Talente &amp; Stuff'!IA:JB,14,FALSE)</f>
        <v>0</v>
      </c>
      <c r="Q155" s="114">
        <f>VLOOKUP(C155,'Talente &amp; Stuff'!IA:JB,15,FALSE)</f>
        <v>0</v>
      </c>
      <c r="R155" s="117">
        <f>VLOOKUP(C155,'Talente &amp; Stuff'!IA:JB,16,FALSE)</f>
        <v>0</v>
      </c>
      <c r="S155" s="119">
        <f>VLOOKUP(C155,'Talente &amp; Stuff'!IA:JB,17,FALSE)</f>
        <v>0</v>
      </c>
      <c r="T155" s="119">
        <f>VLOOKUP(C155,'Talente &amp; Stuff'!IA:JB,18,FALSE)</f>
        <v>0</v>
      </c>
      <c r="U155" s="89">
        <f>VLOOKUP(C155,'Talente &amp; Stuff'!IA:JB,19,FALSE)</f>
        <v>0</v>
      </c>
      <c r="V155" s="47">
        <f>VLOOKUP(C155,'Talente &amp; Stuff'!IA:JB,20,FALSE)</f>
        <v>0</v>
      </c>
      <c r="W155" s="127">
        <f>VLOOKUP(C155,'Talente &amp; Stuff'!IA:JB,21,FALSE)</f>
        <v>0</v>
      </c>
      <c r="X155" s="127">
        <f>VLOOKUP(C155,'Talente &amp; Stuff'!IA:JB,22,FALSE)</f>
        <v>0</v>
      </c>
      <c r="Y155" s="165">
        <f t="shared" si="16"/>
        <v>0</v>
      </c>
      <c r="Z155" s="44">
        <f t="shared" si="17"/>
        <v>0</v>
      </c>
      <c r="AA155" s="125">
        <f>VLOOKUP(C155,'Talente &amp; Stuff'!IA:JB,25,FALSE)</f>
        <v>0</v>
      </c>
      <c r="AB155" s="160">
        <f>VLOOKUP(C155,'Talente &amp; Stuff'!IA:JB,26,FALSE)</f>
        <v>0</v>
      </c>
      <c r="AC155" s="127">
        <f>VLOOKUP(C155,'Talente &amp; Stuff'!IA:JB,27,FALSE)</f>
        <v>0</v>
      </c>
      <c r="AD155" s="125">
        <f>VLOOKUP(C155,'Talente &amp; Stuff'!IA:JB,28,FALSE)</f>
        <v>0</v>
      </c>
      <c r="AE155" s="28"/>
    </row>
    <row r="156" spans="2:31" ht="15" hidden="1" customHeight="1" outlineLevel="2">
      <c r="B156" s="148">
        <v>4</v>
      </c>
      <c r="C156" s="177" t="str">
        <f>Attribute!C156</f>
        <v>---</v>
      </c>
      <c r="D156" s="86" t="str">
        <f>VLOOKUP(C156,'Talente &amp; Stuff'!IA:JB,2,FALSE)</f>
        <v>--/--/--</v>
      </c>
      <c r="E156" s="167" t="str">
        <f>VLOOKUP(C156,'Talente &amp; Stuff'!IA:JB,3,FALSE)</f>
        <v>-</v>
      </c>
      <c r="F156" s="120">
        <f>VLOOKUP(C156,'Talente &amp; Stuff'!IA:JB,4,FALSE)</f>
        <v>0</v>
      </c>
      <c r="G156" s="117">
        <f>VLOOKUP(C156,'Talente &amp; Stuff'!IA:JB,5,FALSE)</f>
        <v>0</v>
      </c>
      <c r="H156" s="117">
        <f>VLOOKUP(C156,'Talente &amp; Stuff'!IA:JB,6,FALSE)</f>
        <v>0</v>
      </c>
      <c r="I156" s="117">
        <f>VLOOKUP(C156,'Talente &amp; Stuff'!IA:JB,7,FALSE)</f>
        <v>0</v>
      </c>
      <c r="J156" s="117">
        <f>VLOOKUP(C156,'Talente &amp; Stuff'!IA:JB,8,FALSE)</f>
        <v>0</v>
      </c>
      <c r="K156" s="117">
        <f>VLOOKUP(C156,'Talente &amp; Stuff'!IA:JB,9,FALSE)</f>
        <v>0</v>
      </c>
      <c r="L156" s="117">
        <f>VLOOKUP(C156,'Talente &amp; Stuff'!IA:JB,10,FALSE)</f>
        <v>0</v>
      </c>
      <c r="M156" s="121">
        <f>VLOOKUP(C156,'Talente &amp; Stuff'!IA:JB,11,FALSE)</f>
        <v>0</v>
      </c>
      <c r="N156" s="47">
        <f>VLOOKUP(C156,'Talente &amp; Stuff'!IA:JB,12,FALSE)</f>
        <v>0</v>
      </c>
      <c r="O156" s="3">
        <f>VLOOKUP(C156,'Talente &amp; Stuff'!IA:JB,13,FALSE)</f>
        <v>0</v>
      </c>
      <c r="P156" s="174">
        <f>VLOOKUP(C156,'Talente &amp; Stuff'!IA:JB,14,FALSE)</f>
        <v>0</v>
      </c>
      <c r="Q156" s="114">
        <f>VLOOKUP(C156,'Talente &amp; Stuff'!IA:JB,15,FALSE)</f>
        <v>0</v>
      </c>
      <c r="R156" s="117">
        <f>VLOOKUP(C156,'Talente &amp; Stuff'!IA:JB,16,FALSE)</f>
        <v>0</v>
      </c>
      <c r="S156" s="119">
        <f>VLOOKUP(C156,'Talente &amp; Stuff'!IA:JB,17,FALSE)</f>
        <v>0</v>
      </c>
      <c r="T156" s="119">
        <f>VLOOKUP(C156,'Talente &amp; Stuff'!IA:JB,18,FALSE)</f>
        <v>0</v>
      </c>
      <c r="U156" s="89">
        <f>VLOOKUP(C156,'Talente &amp; Stuff'!IA:JB,19,FALSE)</f>
        <v>0</v>
      </c>
      <c r="V156" s="47">
        <f>VLOOKUP(C156,'Talente &amp; Stuff'!IA:JB,20,FALSE)</f>
        <v>0</v>
      </c>
      <c r="W156" s="127">
        <f>VLOOKUP(C156,'Talente &amp; Stuff'!IA:JB,21,FALSE)</f>
        <v>0</v>
      </c>
      <c r="X156" s="127">
        <f>VLOOKUP(C156,'Talente &amp; Stuff'!IA:JB,22,FALSE)</f>
        <v>0</v>
      </c>
      <c r="Y156" s="165">
        <f t="shared" si="16"/>
        <v>0</v>
      </c>
      <c r="Z156" s="44">
        <f t="shared" si="17"/>
        <v>0</v>
      </c>
      <c r="AA156" s="125">
        <f>VLOOKUP(C156,'Talente &amp; Stuff'!IA:JB,25,FALSE)</f>
        <v>0</v>
      </c>
      <c r="AB156" s="160">
        <f>VLOOKUP(C156,'Talente &amp; Stuff'!IA:JB,26,FALSE)</f>
        <v>0</v>
      </c>
      <c r="AC156" s="127">
        <f>VLOOKUP(C156,'Talente &amp; Stuff'!IA:JB,27,FALSE)</f>
        <v>0</v>
      </c>
      <c r="AD156" s="125">
        <f>VLOOKUP(C156,'Talente &amp; Stuff'!IA:JB,28,FALSE)</f>
        <v>0</v>
      </c>
      <c r="AE156" s="28"/>
    </row>
    <row r="157" spans="2:31" ht="15" hidden="1" customHeight="1" outlineLevel="2">
      <c r="B157" s="148">
        <v>5</v>
      </c>
      <c r="C157" s="177" t="str">
        <f>Attribute!C157</f>
        <v>---</v>
      </c>
      <c r="D157" s="86" t="str">
        <f>VLOOKUP(C157,'Talente &amp; Stuff'!IA:JB,2,FALSE)</f>
        <v>--/--/--</v>
      </c>
      <c r="E157" s="167" t="str">
        <f>VLOOKUP(C157,'Talente &amp; Stuff'!IA:JB,3,FALSE)</f>
        <v>-</v>
      </c>
      <c r="F157" s="120">
        <f>VLOOKUP(C157,'Talente &amp; Stuff'!IA:JB,4,FALSE)</f>
        <v>0</v>
      </c>
      <c r="G157" s="117">
        <f>VLOOKUP(C157,'Talente &amp; Stuff'!IA:JB,5,FALSE)</f>
        <v>0</v>
      </c>
      <c r="H157" s="117">
        <f>VLOOKUP(C157,'Talente &amp; Stuff'!IA:JB,6,FALSE)</f>
        <v>0</v>
      </c>
      <c r="I157" s="117">
        <f>VLOOKUP(C157,'Talente &amp; Stuff'!IA:JB,7,FALSE)</f>
        <v>0</v>
      </c>
      <c r="J157" s="117">
        <f>VLOOKUP(C157,'Talente &amp; Stuff'!IA:JB,8,FALSE)</f>
        <v>0</v>
      </c>
      <c r="K157" s="117">
        <f>VLOOKUP(C157,'Talente &amp; Stuff'!IA:JB,9,FALSE)</f>
        <v>0</v>
      </c>
      <c r="L157" s="117">
        <f>VLOOKUP(C157,'Talente &amp; Stuff'!IA:JB,10,FALSE)</f>
        <v>0</v>
      </c>
      <c r="M157" s="121">
        <f>VLOOKUP(C157,'Talente &amp; Stuff'!IA:JB,11,FALSE)</f>
        <v>0</v>
      </c>
      <c r="N157" s="47">
        <f>VLOOKUP(C157,'Talente &amp; Stuff'!IA:JB,12,FALSE)</f>
        <v>0</v>
      </c>
      <c r="O157" s="3">
        <f>VLOOKUP(C157,'Talente &amp; Stuff'!IA:JB,13,FALSE)</f>
        <v>0</v>
      </c>
      <c r="P157" s="174">
        <f>VLOOKUP(C157,'Talente &amp; Stuff'!IA:JB,14,FALSE)</f>
        <v>0</v>
      </c>
      <c r="Q157" s="114">
        <f>VLOOKUP(C157,'Talente &amp; Stuff'!IA:JB,15,FALSE)</f>
        <v>0</v>
      </c>
      <c r="R157" s="117">
        <f>VLOOKUP(C157,'Talente &amp; Stuff'!IA:JB,16,FALSE)</f>
        <v>0</v>
      </c>
      <c r="S157" s="119">
        <f>VLOOKUP(C157,'Talente &amp; Stuff'!IA:JB,17,FALSE)</f>
        <v>0</v>
      </c>
      <c r="T157" s="119">
        <f>VLOOKUP(C157,'Talente &amp; Stuff'!IA:JB,18,FALSE)</f>
        <v>0</v>
      </c>
      <c r="U157" s="89">
        <f>VLOOKUP(C157,'Talente &amp; Stuff'!IA:JB,19,FALSE)</f>
        <v>0</v>
      </c>
      <c r="V157" s="47">
        <f>VLOOKUP(C157,'Talente &amp; Stuff'!IA:JB,20,FALSE)</f>
        <v>0</v>
      </c>
      <c r="W157" s="127">
        <f>VLOOKUP(C157,'Talente &amp; Stuff'!IA:JB,21,FALSE)</f>
        <v>0</v>
      </c>
      <c r="X157" s="127">
        <f>VLOOKUP(C157,'Talente &amp; Stuff'!IA:JB,22,FALSE)</f>
        <v>0</v>
      </c>
      <c r="Y157" s="165">
        <f t="shared" si="16"/>
        <v>0</v>
      </c>
      <c r="Z157" s="44">
        <f t="shared" si="17"/>
        <v>0</v>
      </c>
      <c r="AA157" s="125">
        <f>VLOOKUP(C157,'Talente &amp; Stuff'!IA:JB,25,FALSE)</f>
        <v>0</v>
      </c>
      <c r="AB157" s="160">
        <f>VLOOKUP(C157,'Talente &amp; Stuff'!IA:JB,26,FALSE)</f>
        <v>0</v>
      </c>
      <c r="AC157" s="127">
        <f>VLOOKUP(C157,'Talente &amp; Stuff'!IA:JB,27,FALSE)</f>
        <v>0</v>
      </c>
      <c r="AD157" s="125">
        <f>VLOOKUP(C157,'Talente &amp; Stuff'!IA:JB,28,FALSE)</f>
        <v>0</v>
      </c>
      <c r="AE157" s="28"/>
    </row>
    <row r="158" spans="2:31" ht="15" hidden="1" customHeight="1" outlineLevel="2">
      <c r="B158" s="148">
        <v>6</v>
      </c>
      <c r="C158" s="177" t="str">
        <f>Attribute!C158</f>
        <v>---</v>
      </c>
      <c r="D158" s="86" t="str">
        <f>VLOOKUP(C158,'Talente &amp; Stuff'!IA:JB,2,FALSE)</f>
        <v>--/--/--</v>
      </c>
      <c r="E158" s="167" t="str">
        <f>VLOOKUP(C158,'Talente &amp; Stuff'!IA:JB,3,FALSE)</f>
        <v>-</v>
      </c>
      <c r="F158" s="120">
        <f>VLOOKUP(C158,'Talente &amp; Stuff'!IA:JB,4,FALSE)</f>
        <v>0</v>
      </c>
      <c r="G158" s="117">
        <f>VLOOKUP(C158,'Talente &amp; Stuff'!IA:JB,5,FALSE)</f>
        <v>0</v>
      </c>
      <c r="H158" s="117">
        <f>VLOOKUP(C158,'Talente &amp; Stuff'!IA:JB,6,FALSE)</f>
        <v>0</v>
      </c>
      <c r="I158" s="117">
        <f>VLOOKUP(C158,'Talente &amp; Stuff'!IA:JB,7,FALSE)</f>
        <v>0</v>
      </c>
      <c r="J158" s="117">
        <f>VLOOKUP(C158,'Talente &amp; Stuff'!IA:JB,8,FALSE)</f>
        <v>0</v>
      </c>
      <c r="K158" s="117">
        <f>VLOOKUP(C158,'Talente &amp; Stuff'!IA:JB,9,FALSE)</f>
        <v>0</v>
      </c>
      <c r="L158" s="117">
        <f>VLOOKUP(C158,'Talente &amp; Stuff'!IA:JB,10,FALSE)</f>
        <v>0</v>
      </c>
      <c r="M158" s="121">
        <f>VLOOKUP(C158,'Talente &amp; Stuff'!IA:JB,11,FALSE)</f>
        <v>0</v>
      </c>
      <c r="N158" s="47">
        <f>VLOOKUP(C158,'Talente &amp; Stuff'!IA:JB,12,FALSE)</f>
        <v>0</v>
      </c>
      <c r="O158" s="3">
        <f>VLOOKUP(C158,'Talente &amp; Stuff'!IA:JB,13,FALSE)</f>
        <v>0</v>
      </c>
      <c r="P158" s="174">
        <f>VLOOKUP(C158,'Talente &amp; Stuff'!IA:JB,14,FALSE)</f>
        <v>0</v>
      </c>
      <c r="Q158" s="114">
        <f>VLOOKUP(C158,'Talente &amp; Stuff'!IA:JB,15,FALSE)</f>
        <v>0</v>
      </c>
      <c r="R158" s="117">
        <f>VLOOKUP(C158,'Talente &amp; Stuff'!IA:JB,16,FALSE)</f>
        <v>0</v>
      </c>
      <c r="S158" s="119">
        <f>VLOOKUP(C158,'Talente &amp; Stuff'!IA:JB,17,FALSE)</f>
        <v>0</v>
      </c>
      <c r="T158" s="119">
        <f>VLOOKUP(C158,'Talente &amp; Stuff'!IA:JB,18,FALSE)</f>
        <v>0</v>
      </c>
      <c r="U158" s="89">
        <f>VLOOKUP(C158,'Talente &amp; Stuff'!IA:JB,19,FALSE)</f>
        <v>0</v>
      </c>
      <c r="V158" s="47">
        <f>VLOOKUP(C158,'Talente &amp; Stuff'!IA:JB,20,FALSE)</f>
        <v>0</v>
      </c>
      <c r="W158" s="127">
        <f>VLOOKUP(C158,'Talente &amp; Stuff'!IA:JB,21,FALSE)</f>
        <v>0</v>
      </c>
      <c r="X158" s="127">
        <f>VLOOKUP(C158,'Talente &amp; Stuff'!IA:JB,22,FALSE)</f>
        <v>0</v>
      </c>
      <c r="Y158" s="165">
        <f t="shared" si="16"/>
        <v>0</v>
      </c>
      <c r="Z158" s="44">
        <f t="shared" si="17"/>
        <v>0</v>
      </c>
      <c r="AA158" s="125">
        <f>VLOOKUP(C158,'Talente &amp; Stuff'!IA:JB,25,FALSE)</f>
        <v>0</v>
      </c>
      <c r="AB158" s="160">
        <f>VLOOKUP(C158,'Talente &amp; Stuff'!IA:JB,26,FALSE)</f>
        <v>0</v>
      </c>
      <c r="AC158" s="127">
        <f>VLOOKUP(C158,'Talente &amp; Stuff'!IA:JB,27,FALSE)</f>
        <v>0</v>
      </c>
      <c r="AD158" s="125">
        <f>VLOOKUP(C158,'Talente &amp; Stuff'!IA:JB,28,FALSE)</f>
        <v>0</v>
      </c>
      <c r="AE158" s="28"/>
    </row>
    <row r="159" spans="2:31" ht="15" hidden="1" customHeight="1" outlineLevel="2">
      <c r="B159" s="148">
        <v>7</v>
      </c>
      <c r="C159" s="177" t="str">
        <f>Attribute!C159</f>
        <v>---</v>
      </c>
      <c r="D159" s="86" t="str">
        <f>VLOOKUP(C159,'Talente &amp; Stuff'!IA:JB,2,FALSE)</f>
        <v>--/--/--</v>
      </c>
      <c r="E159" s="167" t="str">
        <f>VLOOKUP(C159,'Talente &amp; Stuff'!IA:JB,3,FALSE)</f>
        <v>-</v>
      </c>
      <c r="F159" s="120">
        <f>VLOOKUP(C159,'Talente &amp; Stuff'!IA:JB,4,FALSE)</f>
        <v>0</v>
      </c>
      <c r="G159" s="117">
        <f>VLOOKUP(C159,'Talente &amp; Stuff'!IA:JB,5,FALSE)</f>
        <v>0</v>
      </c>
      <c r="H159" s="117">
        <f>VLOOKUP(C159,'Talente &amp; Stuff'!IA:JB,6,FALSE)</f>
        <v>0</v>
      </c>
      <c r="I159" s="117">
        <f>VLOOKUP(C159,'Talente &amp; Stuff'!IA:JB,7,FALSE)</f>
        <v>0</v>
      </c>
      <c r="J159" s="117">
        <f>VLOOKUP(C159,'Talente &amp; Stuff'!IA:JB,8,FALSE)</f>
        <v>0</v>
      </c>
      <c r="K159" s="117">
        <f>VLOOKUP(C159,'Talente &amp; Stuff'!IA:JB,9,FALSE)</f>
        <v>0</v>
      </c>
      <c r="L159" s="117">
        <f>VLOOKUP(C159,'Talente &amp; Stuff'!IA:JB,10,FALSE)</f>
        <v>0</v>
      </c>
      <c r="M159" s="121">
        <f>VLOOKUP(C159,'Talente &amp; Stuff'!IA:JB,11,FALSE)</f>
        <v>0</v>
      </c>
      <c r="N159" s="47">
        <f>VLOOKUP(C159,'Talente &amp; Stuff'!IA:JB,12,FALSE)</f>
        <v>0</v>
      </c>
      <c r="O159" s="3">
        <f>VLOOKUP(C159,'Talente &amp; Stuff'!IA:JB,13,FALSE)</f>
        <v>0</v>
      </c>
      <c r="P159" s="174">
        <f>VLOOKUP(C159,'Talente &amp; Stuff'!IA:JB,14,FALSE)</f>
        <v>0</v>
      </c>
      <c r="Q159" s="114">
        <f>VLOOKUP(C159,'Talente &amp; Stuff'!IA:JB,15,FALSE)</f>
        <v>0</v>
      </c>
      <c r="R159" s="117">
        <f>VLOOKUP(C159,'Talente &amp; Stuff'!IA:JB,16,FALSE)</f>
        <v>0</v>
      </c>
      <c r="S159" s="119">
        <f>VLOOKUP(C159,'Talente &amp; Stuff'!IA:JB,17,FALSE)</f>
        <v>0</v>
      </c>
      <c r="T159" s="119">
        <f>VLOOKUP(C159,'Talente &amp; Stuff'!IA:JB,18,FALSE)</f>
        <v>0</v>
      </c>
      <c r="U159" s="89">
        <f>VLOOKUP(C159,'Talente &amp; Stuff'!IA:JB,19,FALSE)</f>
        <v>0</v>
      </c>
      <c r="V159" s="47">
        <f>VLOOKUP(C159,'Talente &amp; Stuff'!IA:JB,20,FALSE)</f>
        <v>0</v>
      </c>
      <c r="W159" s="127">
        <f>VLOOKUP(C159,'Talente &amp; Stuff'!IA:JB,21,FALSE)</f>
        <v>0</v>
      </c>
      <c r="X159" s="127">
        <f>VLOOKUP(C159,'Talente &amp; Stuff'!IA:JB,22,FALSE)</f>
        <v>0</v>
      </c>
      <c r="Y159" s="165">
        <f t="shared" si="16"/>
        <v>0</v>
      </c>
      <c r="Z159" s="44">
        <f t="shared" si="17"/>
        <v>0</v>
      </c>
      <c r="AA159" s="125">
        <f>VLOOKUP(C159,'Talente &amp; Stuff'!IA:JB,25,FALSE)</f>
        <v>0</v>
      </c>
      <c r="AB159" s="160">
        <f>VLOOKUP(C159,'Talente &amp; Stuff'!IA:JB,26,FALSE)</f>
        <v>0</v>
      </c>
      <c r="AC159" s="127">
        <f>VLOOKUP(C159,'Talente &amp; Stuff'!IA:JB,27,FALSE)</f>
        <v>0</v>
      </c>
      <c r="AD159" s="125">
        <f>VLOOKUP(C159,'Talente &amp; Stuff'!IA:JB,28,FALSE)</f>
        <v>0</v>
      </c>
      <c r="AE159" s="28"/>
    </row>
    <row r="160" spans="2:31" ht="15" hidden="1" customHeight="1" outlineLevel="2">
      <c r="B160" s="148">
        <v>8</v>
      </c>
      <c r="C160" s="177" t="str">
        <f>Attribute!C160</f>
        <v>---</v>
      </c>
      <c r="D160" s="86" t="str">
        <f>VLOOKUP(C160,'Talente &amp; Stuff'!IA:JB,2,FALSE)</f>
        <v>--/--/--</v>
      </c>
      <c r="E160" s="167" t="str">
        <f>VLOOKUP(C160,'Talente &amp; Stuff'!IA:JB,3,FALSE)</f>
        <v>-</v>
      </c>
      <c r="F160" s="120">
        <f>VLOOKUP(C160,'Talente &amp; Stuff'!IA:JB,4,FALSE)</f>
        <v>0</v>
      </c>
      <c r="G160" s="117">
        <f>VLOOKUP(C160,'Talente &amp; Stuff'!IA:JB,5,FALSE)</f>
        <v>0</v>
      </c>
      <c r="H160" s="117">
        <f>VLOOKUP(C160,'Talente &amp; Stuff'!IA:JB,6,FALSE)</f>
        <v>0</v>
      </c>
      <c r="I160" s="117">
        <f>VLOOKUP(C160,'Talente &amp; Stuff'!IA:JB,7,FALSE)</f>
        <v>0</v>
      </c>
      <c r="J160" s="117">
        <f>VLOOKUP(C160,'Talente &amp; Stuff'!IA:JB,8,FALSE)</f>
        <v>0</v>
      </c>
      <c r="K160" s="117">
        <f>VLOOKUP(C160,'Talente &amp; Stuff'!IA:JB,9,FALSE)</f>
        <v>0</v>
      </c>
      <c r="L160" s="117">
        <f>VLOOKUP(C160,'Talente &amp; Stuff'!IA:JB,10,FALSE)</f>
        <v>0</v>
      </c>
      <c r="M160" s="121">
        <f>VLOOKUP(C160,'Talente &amp; Stuff'!IA:JB,11,FALSE)</f>
        <v>0</v>
      </c>
      <c r="N160" s="47">
        <f>VLOOKUP(C160,'Talente &amp; Stuff'!IA:JB,12,FALSE)</f>
        <v>0</v>
      </c>
      <c r="O160" s="3">
        <f>VLOOKUP(C160,'Talente &amp; Stuff'!IA:JB,13,FALSE)</f>
        <v>0</v>
      </c>
      <c r="P160" s="174">
        <f>VLOOKUP(C160,'Talente &amp; Stuff'!IA:JB,14,FALSE)</f>
        <v>0</v>
      </c>
      <c r="Q160" s="114">
        <f>VLOOKUP(C160,'Talente &amp; Stuff'!IA:JB,15,FALSE)</f>
        <v>0</v>
      </c>
      <c r="R160" s="117">
        <f>VLOOKUP(C160,'Talente &amp; Stuff'!IA:JB,16,FALSE)</f>
        <v>0</v>
      </c>
      <c r="S160" s="119">
        <f>VLOOKUP(C160,'Talente &amp; Stuff'!IA:JB,17,FALSE)</f>
        <v>0</v>
      </c>
      <c r="T160" s="119">
        <f>VLOOKUP(C160,'Talente &amp; Stuff'!IA:JB,18,FALSE)</f>
        <v>0</v>
      </c>
      <c r="U160" s="89">
        <f>VLOOKUP(C160,'Talente &amp; Stuff'!IA:JB,19,FALSE)</f>
        <v>0</v>
      </c>
      <c r="V160" s="47">
        <f>VLOOKUP(C160,'Talente &amp; Stuff'!IA:JB,20,FALSE)</f>
        <v>0</v>
      </c>
      <c r="W160" s="127">
        <f>VLOOKUP(C160,'Talente &amp; Stuff'!IA:JB,21,FALSE)</f>
        <v>0</v>
      </c>
      <c r="X160" s="127">
        <f>VLOOKUP(C160,'Talente &amp; Stuff'!IA:JB,22,FALSE)</f>
        <v>0</v>
      </c>
      <c r="Y160" s="165">
        <f t="shared" si="16"/>
        <v>0</v>
      </c>
      <c r="Z160" s="44">
        <f t="shared" si="17"/>
        <v>0</v>
      </c>
      <c r="AA160" s="125">
        <f>VLOOKUP(C160,'Talente &amp; Stuff'!IA:JB,25,FALSE)</f>
        <v>0</v>
      </c>
      <c r="AB160" s="160">
        <f>VLOOKUP(C160,'Talente &amp; Stuff'!IA:JB,26,FALSE)</f>
        <v>0</v>
      </c>
      <c r="AC160" s="127">
        <f>VLOOKUP(C160,'Talente &amp; Stuff'!IA:JB,27,FALSE)</f>
        <v>0</v>
      </c>
      <c r="AD160" s="125">
        <f>VLOOKUP(C160,'Talente &amp; Stuff'!IA:JB,28,FALSE)</f>
        <v>0</v>
      </c>
      <c r="AE160" s="28"/>
    </row>
    <row r="161" spans="2:31" ht="15" hidden="1" customHeight="1" outlineLevel="2">
      <c r="B161" s="148">
        <v>9</v>
      </c>
      <c r="C161" s="177" t="str">
        <f>Attribute!C161</f>
        <v>---</v>
      </c>
      <c r="D161" s="86" t="str">
        <f>VLOOKUP(C161,'Talente &amp; Stuff'!IA:JB,2,FALSE)</f>
        <v>--/--/--</v>
      </c>
      <c r="E161" s="167" t="str">
        <f>VLOOKUP(C161,'Talente &amp; Stuff'!IA:JB,3,FALSE)</f>
        <v>-</v>
      </c>
      <c r="F161" s="120">
        <f>VLOOKUP(C161,'Talente &amp; Stuff'!IA:JB,4,FALSE)</f>
        <v>0</v>
      </c>
      <c r="G161" s="117">
        <f>VLOOKUP(C161,'Talente &amp; Stuff'!IA:JB,5,FALSE)</f>
        <v>0</v>
      </c>
      <c r="H161" s="117">
        <f>VLOOKUP(C161,'Talente &amp; Stuff'!IA:JB,6,FALSE)</f>
        <v>0</v>
      </c>
      <c r="I161" s="117">
        <f>VLOOKUP(C161,'Talente &amp; Stuff'!IA:JB,7,FALSE)</f>
        <v>0</v>
      </c>
      <c r="J161" s="117">
        <f>VLOOKUP(C161,'Talente &amp; Stuff'!IA:JB,8,FALSE)</f>
        <v>0</v>
      </c>
      <c r="K161" s="117">
        <f>VLOOKUP(C161,'Talente &amp; Stuff'!IA:JB,9,FALSE)</f>
        <v>0</v>
      </c>
      <c r="L161" s="117">
        <f>VLOOKUP(C161,'Talente &amp; Stuff'!IA:JB,10,FALSE)</f>
        <v>0</v>
      </c>
      <c r="M161" s="121">
        <f>VLOOKUP(C161,'Talente &amp; Stuff'!IA:JB,11,FALSE)</f>
        <v>0</v>
      </c>
      <c r="N161" s="47">
        <f>VLOOKUP(C161,'Talente &amp; Stuff'!IA:JB,12,FALSE)</f>
        <v>0</v>
      </c>
      <c r="O161" s="3">
        <f>VLOOKUP(C161,'Talente &amp; Stuff'!IA:JB,13,FALSE)</f>
        <v>0</v>
      </c>
      <c r="P161" s="174">
        <f>VLOOKUP(C161,'Talente &amp; Stuff'!IA:JB,14,FALSE)</f>
        <v>0</v>
      </c>
      <c r="Q161" s="114">
        <f>VLOOKUP(C161,'Talente &amp; Stuff'!IA:JB,15,FALSE)</f>
        <v>0</v>
      </c>
      <c r="R161" s="117">
        <f>VLOOKUP(C161,'Talente &amp; Stuff'!IA:JB,16,FALSE)</f>
        <v>0</v>
      </c>
      <c r="S161" s="119">
        <f>VLOOKUP(C161,'Talente &amp; Stuff'!IA:JB,17,FALSE)</f>
        <v>0</v>
      </c>
      <c r="T161" s="119">
        <f>VLOOKUP(C161,'Talente &amp; Stuff'!IA:JB,18,FALSE)</f>
        <v>0</v>
      </c>
      <c r="U161" s="89">
        <f>VLOOKUP(C161,'Talente &amp; Stuff'!IA:JB,19,FALSE)</f>
        <v>0</v>
      </c>
      <c r="V161" s="47">
        <f>VLOOKUP(C161,'Talente &amp; Stuff'!IA:JB,20,FALSE)</f>
        <v>0</v>
      </c>
      <c r="W161" s="127">
        <f>VLOOKUP(C161,'Talente &amp; Stuff'!IA:JB,21,FALSE)</f>
        <v>0</v>
      </c>
      <c r="X161" s="127">
        <f>VLOOKUP(C161,'Talente &amp; Stuff'!IA:JB,22,FALSE)</f>
        <v>0</v>
      </c>
      <c r="Y161" s="165">
        <f t="shared" si="16"/>
        <v>0</v>
      </c>
      <c r="Z161" s="44">
        <f t="shared" si="17"/>
        <v>0</v>
      </c>
      <c r="AA161" s="125">
        <f>VLOOKUP(C161,'Talente &amp; Stuff'!IA:JB,25,FALSE)</f>
        <v>0</v>
      </c>
      <c r="AB161" s="160">
        <f>VLOOKUP(C161,'Talente &amp; Stuff'!IA:JB,26,FALSE)</f>
        <v>0</v>
      </c>
      <c r="AC161" s="127">
        <f>VLOOKUP(C161,'Talente &amp; Stuff'!IA:JB,27,FALSE)</f>
        <v>0</v>
      </c>
      <c r="AD161" s="125">
        <f>VLOOKUP(C161,'Talente &amp; Stuff'!IA:JB,28,FALSE)</f>
        <v>0</v>
      </c>
      <c r="AE161" s="28"/>
    </row>
    <row r="162" spans="2:31" ht="15" hidden="1" customHeight="1" outlineLevel="2">
      <c r="B162" s="148">
        <v>10</v>
      </c>
      <c r="C162" s="177" t="str">
        <f>Attribute!C162</f>
        <v>---</v>
      </c>
      <c r="D162" s="86" t="str">
        <f>VLOOKUP(C162,'Talente &amp; Stuff'!IA:JB,2,FALSE)</f>
        <v>--/--/--</v>
      </c>
      <c r="E162" s="167" t="str">
        <f>VLOOKUP(C162,'Talente &amp; Stuff'!IA:JB,3,FALSE)</f>
        <v>-</v>
      </c>
      <c r="F162" s="120">
        <f>VLOOKUP(C162,'Talente &amp; Stuff'!IA:JB,4,FALSE)</f>
        <v>0</v>
      </c>
      <c r="G162" s="117">
        <f>VLOOKUP(C162,'Talente &amp; Stuff'!IA:JB,5,FALSE)</f>
        <v>0</v>
      </c>
      <c r="H162" s="117">
        <f>VLOOKUP(C162,'Talente &amp; Stuff'!IA:JB,6,FALSE)</f>
        <v>0</v>
      </c>
      <c r="I162" s="117">
        <f>VLOOKUP(C162,'Talente &amp; Stuff'!IA:JB,7,FALSE)</f>
        <v>0</v>
      </c>
      <c r="J162" s="117">
        <f>VLOOKUP(C162,'Talente &amp; Stuff'!IA:JB,8,FALSE)</f>
        <v>0</v>
      </c>
      <c r="K162" s="117">
        <f>VLOOKUP(C162,'Talente &amp; Stuff'!IA:JB,9,FALSE)</f>
        <v>0</v>
      </c>
      <c r="L162" s="117">
        <f>VLOOKUP(C162,'Talente &amp; Stuff'!IA:JB,10,FALSE)</f>
        <v>0</v>
      </c>
      <c r="M162" s="121">
        <f>VLOOKUP(C162,'Talente &amp; Stuff'!IA:JB,11,FALSE)</f>
        <v>0</v>
      </c>
      <c r="N162" s="47">
        <f>VLOOKUP(C162,'Talente &amp; Stuff'!IA:JB,12,FALSE)</f>
        <v>0</v>
      </c>
      <c r="O162" s="3">
        <f>VLOOKUP(C162,'Talente &amp; Stuff'!IA:JB,13,FALSE)</f>
        <v>0</v>
      </c>
      <c r="P162" s="174">
        <f>VLOOKUP(C162,'Talente &amp; Stuff'!IA:JB,14,FALSE)</f>
        <v>0</v>
      </c>
      <c r="Q162" s="114">
        <f>VLOOKUP(C162,'Talente &amp; Stuff'!IA:JB,15,FALSE)</f>
        <v>0</v>
      </c>
      <c r="R162" s="117">
        <f>VLOOKUP(C162,'Talente &amp; Stuff'!IA:JB,16,FALSE)</f>
        <v>0</v>
      </c>
      <c r="S162" s="119">
        <f>VLOOKUP(C162,'Talente &amp; Stuff'!IA:JB,17,FALSE)</f>
        <v>0</v>
      </c>
      <c r="T162" s="119">
        <f>VLOOKUP(C162,'Talente &amp; Stuff'!IA:JB,18,FALSE)</f>
        <v>0</v>
      </c>
      <c r="U162" s="89">
        <f>VLOOKUP(C162,'Talente &amp; Stuff'!IA:JB,19,FALSE)</f>
        <v>0</v>
      </c>
      <c r="V162" s="47">
        <f>VLOOKUP(C162,'Talente &amp; Stuff'!IA:JB,20,FALSE)</f>
        <v>0</v>
      </c>
      <c r="W162" s="127">
        <f>VLOOKUP(C162,'Talente &amp; Stuff'!IA:JB,21,FALSE)</f>
        <v>0</v>
      </c>
      <c r="X162" s="127">
        <f>VLOOKUP(C162,'Talente &amp; Stuff'!IA:JB,22,FALSE)</f>
        <v>0</v>
      </c>
      <c r="Y162" s="165">
        <f t="shared" si="16"/>
        <v>0</v>
      </c>
      <c r="Z162" s="44">
        <f t="shared" si="17"/>
        <v>0</v>
      </c>
      <c r="AA162" s="125">
        <f>VLOOKUP(C162,'Talente &amp; Stuff'!IA:JB,25,FALSE)</f>
        <v>0</v>
      </c>
      <c r="AB162" s="160">
        <f>VLOOKUP(C162,'Talente &amp; Stuff'!IA:JB,26,FALSE)</f>
        <v>0</v>
      </c>
      <c r="AC162" s="127">
        <f>VLOOKUP(C162,'Talente &amp; Stuff'!IA:JB,27,FALSE)</f>
        <v>0</v>
      </c>
      <c r="AD162" s="125">
        <f>VLOOKUP(C162,'Talente &amp; Stuff'!IA:JB,28,FALSE)</f>
        <v>0</v>
      </c>
      <c r="AE162" s="28"/>
    </row>
    <row r="163" spans="2:31" ht="15" hidden="1" customHeight="1" outlineLevel="2">
      <c r="B163" s="148">
        <v>11</v>
      </c>
      <c r="C163" s="177" t="str">
        <f>Attribute!C163</f>
        <v>---</v>
      </c>
      <c r="D163" s="86" t="str">
        <f>VLOOKUP(C163,'Talente &amp; Stuff'!IA:JB,2,FALSE)</f>
        <v>--/--/--</v>
      </c>
      <c r="E163" s="167" t="str">
        <f>VLOOKUP(C163,'Talente &amp; Stuff'!IA:JB,3,FALSE)</f>
        <v>-</v>
      </c>
      <c r="F163" s="120">
        <f>VLOOKUP(C163,'Talente &amp; Stuff'!IA:JB,4,FALSE)</f>
        <v>0</v>
      </c>
      <c r="G163" s="117">
        <f>VLOOKUP(C163,'Talente &amp; Stuff'!IA:JB,5,FALSE)</f>
        <v>0</v>
      </c>
      <c r="H163" s="117">
        <f>VLOOKUP(C163,'Talente &amp; Stuff'!IA:JB,6,FALSE)</f>
        <v>0</v>
      </c>
      <c r="I163" s="117">
        <f>VLOOKUP(C163,'Talente &amp; Stuff'!IA:JB,7,FALSE)</f>
        <v>0</v>
      </c>
      <c r="J163" s="117">
        <f>VLOOKUP(C163,'Talente &amp; Stuff'!IA:JB,8,FALSE)</f>
        <v>0</v>
      </c>
      <c r="K163" s="117">
        <f>VLOOKUP(C163,'Talente &amp; Stuff'!IA:JB,9,FALSE)</f>
        <v>0</v>
      </c>
      <c r="L163" s="117">
        <f>VLOOKUP(C163,'Talente &amp; Stuff'!IA:JB,10,FALSE)</f>
        <v>0</v>
      </c>
      <c r="M163" s="121">
        <f>VLOOKUP(C163,'Talente &amp; Stuff'!IA:JB,11,FALSE)</f>
        <v>0</v>
      </c>
      <c r="N163" s="47">
        <f>VLOOKUP(C163,'Talente &amp; Stuff'!IA:JB,12,FALSE)</f>
        <v>0</v>
      </c>
      <c r="O163" s="3">
        <f>VLOOKUP(C163,'Talente &amp; Stuff'!IA:JB,13,FALSE)</f>
        <v>0</v>
      </c>
      <c r="P163" s="174">
        <f>VLOOKUP(C163,'Talente &amp; Stuff'!IA:JB,14,FALSE)</f>
        <v>0</v>
      </c>
      <c r="Q163" s="114">
        <f>VLOOKUP(C163,'Talente &amp; Stuff'!IA:JB,15,FALSE)</f>
        <v>0</v>
      </c>
      <c r="R163" s="117">
        <f>VLOOKUP(C163,'Talente &amp; Stuff'!IA:JB,16,FALSE)</f>
        <v>0</v>
      </c>
      <c r="S163" s="119">
        <f>VLOOKUP(C163,'Talente &amp; Stuff'!IA:JB,17,FALSE)</f>
        <v>0</v>
      </c>
      <c r="T163" s="119">
        <f>VLOOKUP(C163,'Talente &amp; Stuff'!IA:JB,18,FALSE)</f>
        <v>0</v>
      </c>
      <c r="U163" s="89">
        <f>VLOOKUP(C163,'Talente &amp; Stuff'!IA:JB,19,FALSE)</f>
        <v>0</v>
      </c>
      <c r="V163" s="47">
        <f>VLOOKUP(C163,'Talente &amp; Stuff'!IA:JB,20,FALSE)</f>
        <v>0</v>
      </c>
      <c r="W163" s="127">
        <f>VLOOKUP(C163,'Talente &amp; Stuff'!IA:JB,21,FALSE)</f>
        <v>0</v>
      </c>
      <c r="X163" s="127">
        <f>VLOOKUP(C163,'Talente &amp; Stuff'!IA:JB,22,FALSE)</f>
        <v>0</v>
      </c>
      <c r="Y163" s="165">
        <f t="shared" si="16"/>
        <v>0</v>
      </c>
      <c r="Z163" s="44">
        <f t="shared" si="17"/>
        <v>0</v>
      </c>
      <c r="AA163" s="125">
        <f>VLOOKUP(C163,'Talente &amp; Stuff'!IA:JB,25,FALSE)</f>
        <v>0</v>
      </c>
      <c r="AB163" s="160">
        <f>VLOOKUP(C163,'Talente &amp; Stuff'!IA:JB,26,FALSE)</f>
        <v>0</v>
      </c>
      <c r="AC163" s="127">
        <f>VLOOKUP(C163,'Talente &amp; Stuff'!IA:JB,27,FALSE)</f>
        <v>0</v>
      </c>
      <c r="AD163" s="125">
        <f>VLOOKUP(C163,'Talente &amp; Stuff'!IA:JB,28,FALSE)</f>
        <v>0</v>
      </c>
      <c r="AE163" s="28"/>
    </row>
    <row r="164" spans="2:31" ht="15" hidden="1" customHeight="1" outlineLevel="2">
      <c r="B164" s="148">
        <v>12</v>
      </c>
      <c r="C164" s="177" t="str">
        <f>Attribute!C164</f>
        <v>---</v>
      </c>
      <c r="D164" s="86" t="str">
        <f>VLOOKUP(C164,'Talente &amp; Stuff'!IA:JB,2,FALSE)</f>
        <v>--/--/--</v>
      </c>
      <c r="E164" s="167" t="str">
        <f>VLOOKUP(C164,'Talente &amp; Stuff'!IA:JB,3,FALSE)</f>
        <v>-</v>
      </c>
      <c r="F164" s="120">
        <f>VLOOKUP(C164,'Talente &amp; Stuff'!IA:JB,4,FALSE)</f>
        <v>0</v>
      </c>
      <c r="G164" s="117">
        <f>VLOOKUP(C164,'Talente &amp; Stuff'!IA:JB,5,FALSE)</f>
        <v>0</v>
      </c>
      <c r="H164" s="117">
        <f>VLOOKUP(C164,'Talente &amp; Stuff'!IA:JB,6,FALSE)</f>
        <v>0</v>
      </c>
      <c r="I164" s="117">
        <f>VLOOKUP(C164,'Talente &amp; Stuff'!IA:JB,7,FALSE)</f>
        <v>0</v>
      </c>
      <c r="J164" s="117">
        <f>VLOOKUP(C164,'Talente &amp; Stuff'!IA:JB,8,FALSE)</f>
        <v>0</v>
      </c>
      <c r="K164" s="117">
        <f>VLOOKUP(C164,'Talente &amp; Stuff'!IA:JB,9,FALSE)</f>
        <v>0</v>
      </c>
      <c r="L164" s="117">
        <f>VLOOKUP(C164,'Talente &amp; Stuff'!IA:JB,10,FALSE)</f>
        <v>0</v>
      </c>
      <c r="M164" s="121">
        <f>VLOOKUP(C164,'Talente &amp; Stuff'!IA:JB,11,FALSE)</f>
        <v>0</v>
      </c>
      <c r="N164" s="47">
        <f>VLOOKUP(C164,'Talente &amp; Stuff'!IA:JB,12,FALSE)</f>
        <v>0</v>
      </c>
      <c r="O164" s="3">
        <f>VLOOKUP(C164,'Talente &amp; Stuff'!IA:JB,13,FALSE)</f>
        <v>0</v>
      </c>
      <c r="P164" s="174">
        <f>VLOOKUP(C164,'Talente &amp; Stuff'!IA:JB,14,FALSE)</f>
        <v>0</v>
      </c>
      <c r="Q164" s="114">
        <f>VLOOKUP(C164,'Talente &amp; Stuff'!IA:JB,15,FALSE)</f>
        <v>0</v>
      </c>
      <c r="R164" s="117">
        <f>VLOOKUP(C164,'Talente &amp; Stuff'!IA:JB,16,FALSE)</f>
        <v>0</v>
      </c>
      <c r="S164" s="119">
        <f>VLOOKUP(C164,'Talente &amp; Stuff'!IA:JB,17,FALSE)</f>
        <v>0</v>
      </c>
      <c r="T164" s="119">
        <f>VLOOKUP(C164,'Talente &amp; Stuff'!IA:JB,18,FALSE)</f>
        <v>0</v>
      </c>
      <c r="U164" s="89">
        <f>VLOOKUP(C164,'Talente &amp; Stuff'!IA:JB,19,FALSE)</f>
        <v>0</v>
      </c>
      <c r="V164" s="47">
        <f>VLOOKUP(C164,'Talente &amp; Stuff'!IA:JB,20,FALSE)</f>
        <v>0</v>
      </c>
      <c r="W164" s="127">
        <f>VLOOKUP(C164,'Talente &amp; Stuff'!IA:JB,21,FALSE)</f>
        <v>0</v>
      </c>
      <c r="X164" s="127">
        <f>VLOOKUP(C164,'Talente &amp; Stuff'!IA:JB,22,FALSE)</f>
        <v>0</v>
      </c>
      <c r="Y164" s="165">
        <f t="shared" si="16"/>
        <v>0</v>
      </c>
      <c r="Z164" s="44">
        <f t="shared" si="17"/>
        <v>0</v>
      </c>
      <c r="AA164" s="125">
        <f>VLOOKUP(C164,'Talente &amp; Stuff'!IA:JB,25,FALSE)</f>
        <v>0</v>
      </c>
      <c r="AB164" s="160">
        <f>VLOOKUP(C164,'Talente &amp; Stuff'!IA:JB,26,FALSE)</f>
        <v>0</v>
      </c>
      <c r="AC164" s="127">
        <f>VLOOKUP(C164,'Talente &amp; Stuff'!IA:JB,27,FALSE)</f>
        <v>0</v>
      </c>
      <c r="AD164" s="125">
        <f>VLOOKUP(C164,'Talente &amp; Stuff'!IA:JB,28,FALSE)</f>
        <v>0</v>
      </c>
      <c r="AE164" s="28"/>
    </row>
    <row r="165" spans="2:31" ht="15" hidden="1" customHeight="1" outlineLevel="2">
      <c r="B165" s="148">
        <v>13</v>
      </c>
      <c r="C165" s="177" t="str">
        <f>Attribute!C165</f>
        <v>---</v>
      </c>
      <c r="D165" s="86" t="str">
        <f>VLOOKUP(C165,'Talente &amp; Stuff'!IA:JB,2,FALSE)</f>
        <v>--/--/--</v>
      </c>
      <c r="E165" s="167" t="str">
        <f>VLOOKUP(C165,'Talente &amp; Stuff'!IA:JB,3,FALSE)</f>
        <v>-</v>
      </c>
      <c r="F165" s="120">
        <f>VLOOKUP(C165,'Talente &amp; Stuff'!IA:JB,4,FALSE)</f>
        <v>0</v>
      </c>
      <c r="G165" s="117">
        <f>VLOOKUP(C165,'Talente &amp; Stuff'!IA:JB,5,FALSE)</f>
        <v>0</v>
      </c>
      <c r="H165" s="117">
        <f>VLOOKUP(C165,'Talente &amp; Stuff'!IA:JB,6,FALSE)</f>
        <v>0</v>
      </c>
      <c r="I165" s="117">
        <f>VLOOKUP(C165,'Talente &amp; Stuff'!IA:JB,7,FALSE)</f>
        <v>0</v>
      </c>
      <c r="J165" s="117">
        <f>VLOOKUP(C165,'Talente &amp; Stuff'!IA:JB,8,FALSE)</f>
        <v>0</v>
      </c>
      <c r="K165" s="117">
        <f>VLOOKUP(C165,'Talente &amp; Stuff'!IA:JB,9,FALSE)</f>
        <v>0</v>
      </c>
      <c r="L165" s="117">
        <f>VLOOKUP(C165,'Talente &amp; Stuff'!IA:JB,10,FALSE)</f>
        <v>0</v>
      </c>
      <c r="M165" s="121">
        <f>VLOOKUP(C165,'Talente &amp; Stuff'!IA:JB,11,FALSE)</f>
        <v>0</v>
      </c>
      <c r="N165" s="47">
        <f>VLOOKUP(C165,'Talente &amp; Stuff'!IA:JB,12,FALSE)</f>
        <v>0</v>
      </c>
      <c r="O165" s="3">
        <f>VLOOKUP(C165,'Talente &amp; Stuff'!IA:JB,13,FALSE)</f>
        <v>0</v>
      </c>
      <c r="P165" s="174">
        <f>VLOOKUP(C165,'Talente &amp; Stuff'!IA:JB,14,FALSE)</f>
        <v>0</v>
      </c>
      <c r="Q165" s="114">
        <f>VLOOKUP(C165,'Talente &amp; Stuff'!IA:JB,15,FALSE)</f>
        <v>0</v>
      </c>
      <c r="R165" s="117">
        <f>VLOOKUP(C165,'Talente &amp; Stuff'!IA:JB,16,FALSE)</f>
        <v>0</v>
      </c>
      <c r="S165" s="119">
        <f>VLOOKUP(C165,'Talente &amp; Stuff'!IA:JB,17,FALSE)</f>
        <v>0</v>
      </c>
      <c r="T165" s="119">
        <f>VLOOKUP(C165,'Talente &amp; Stuff'!IA:JB,18,FALSE)</f>
        <v>0</v>
      </c>
      <c r="U165" s="89">
        <f>VLOOKUP(C165,'Talente &amp; Stuff'!IA:JB,19,FALSE)</f>
        <v>0</v>
      </c>
      <c r="V165" s="47">
        <f>VLOOKUP(C165,'Talente &amp; Stuff'!IA:JB,20,FALSE)</f>
        <v>0</v>
      </c>
      <c r="W165" s="127">
        <f>VLOOKUP(C165,'Talente &amp; Stuff'!IA:JB,21,FALSE)</f>
        <v>0</v>
      </c>
      <c r="X165" s="127">
        <f>VLOOKUP(C165,'Talente &amp; Stuff'!IA:JB,22,FALSE)</f>
        <v>0</v>
      </c>
      <c r="Y165" s="165">
        <f t="shared" si="16"/>
        <v>0</v>
      </c>
      <c r="Z165" s="44">
        <f t="shared" si="17"/>
        <v>0</v>
      </c>
      <c r="AA165" s="125">
        <f>VLOOKUP(C165,'Talente &amp; Stuff'!IA:JB,25,FALSE)</f>
        <v>0</v>
      </c>
      <c r="AB165" s="160">
        <f>VLOOKUP(C165,'Talente &amp; Stuff'!IA:JB,26,FALSE)</f>
        <v>0</v>
      </c>
      <c r="AC165" s="127">
        <f>VLOOKUP(C165,'Talente &amp; Stuff'!IA:JB,27,FALSE)</f>
        <v>0</v>
      </c>
      <c r="AD165" s="125">
        <f>VLOOKUP(C165,'Talente &amp; Stuff'!IA:JB,28,FALSE)</f>
        <v>0</v>
      </c>
      <c r="AE165" s="28"/>
    </row>
    <row r="166" spans="2:31" ht="15" hidden="1" customHeight="1" outlineLevel="2">
      <c r="B166" s="148">
        <v>14</v>
      </c>
      <c r="C166" s="177" t="str">
        <f>Attribute!C166</f>
        <v>---</v>
      </c>
      <c r="D166" s="86" t="str">
        <f>VLOOKUP(C166,'Talente &amp; Stuff'!IA:JB,2,FALSE)</f>
        <v>--/--/--</v>
      </c>
      <c r="E166" s="167" t="str">
        <f>VLOOKUP(C166,'Talente &amp; Stuff'!IA:JB,3,FALSE)</f>
        <v>-</v>
      </c>
      <c r="F166" s="120">
        <f>VLOOKUP(C166,'Talente &amp; Stuff'!IA:JB,4,FALSE)</f>
        <v>0</v>
      </c>
      <c r="G166" s="117">
        <f>VLOOKUP(C166,'Talente &amp; Stuff'!IA:JB,5,FALSE)</f>
        <v>0</v>
      </c>
      <c r="H166" s="117">
        <f>VLOOKUP(C166,'Talente &amp; Stuff'!IA:JB,6,FALSE)</f>
        <v>0</v>
      </c>
      <c r="I166" s="117">
        <f>VLOOKUP(C166,'Talente &amp; Stuff'!IA:JB,7,FALSE)</f>
        <v>0</v>
      </c>
      <c r="J166" s="117">
        <f>VLOOKUP(C166,'Talente &amp; Stuff'!IA:JB,8,FALSE)</f>
        <v>0</v>
      </c>
      <c r="K166" s="117">
        <f>VLOOKUP(C166,'Talente &amp; Stuff'!IA:JB,9,FALSE)</f>
        <v>0</v>
      </c>
      <c r="L166" s="117">
        <f>VLOOKUP(C166,'Talente &amp; Stuff'!IA:JB,10,FALSE)</f>
        <v>0</v>
      </c>
      <c r="M166" s="121">
        <f>VLOOKUP(C166,'Talente &amp; Stuff'!IA:JB,11,FALSE)</f>
        <v>0</v>
      </c>
      <c r="N166" s="47">
        <f>VLOOKUP(C166,'Talente &amp; Stuff'!IA:JB,12,FALSE)</f>
        <v>0</v>
      </c>
      <c r="O166" s="3">
        <f>VLOOKUP(C166,'Talente &amp; Stuff'!IA:JB,13,FALSE)</f>
        <v>0</v>
      </c>
      <c r="P166" s="174">
        <f>VLOOKUP(C166,'Talente &amp; Stuff'!IA:JB,14,FALSE)</f>
        <v>0</v>
      </c>
      <c r="Q166" s="114">
        <f>VLOOKUP(C166,'Talente &amp; Stuff'!IA:JB,15,FALSE)</f>
        <v>0</v>
      </c>
      <c r="R166" s="117">
        <f>VLOOKUP(C166,'Talente &amp; Stuff'!IA:JB,16,FALSE)</f>
        <v>0</v>
      </c>
      <c r="S166" s="119">
        <f>VLOOKUP(C166,'Talente &amp; Stuff'!IA:JB,17,FALSE)</f>
        <v>0</v>
      </c>
      <c r="T166" s="119">
        <f>VLOOKUP(C166,'Talente &amp; Stuff'!IA:JB,18,FALSE)</f>
        <v>0</v>
      </c>
      <c r="U166" s="89">
        <f>VLOOKUP(C166,'Talente &amp; Stuff'!IA:JB,19,FALSE)</f>
        <v>0</v>
      </c>
      <c r="V166" s="47">
        <f>VLOOKUP(C166,'Talente &amp; Stuff'!IA:JB,20,FALSE)</f>
        <v>0</v>
      </c>
      <c r="W166" s="127">
        <f>VLOOKUP(C166,'Talente &amp; Stuff'!IA:JB,21,FALSE)</f>
        <v>0</v>
      </c>
      <c r="X166" s="127">
        <f>VLOOKUP(C166,'Talente &amp; Stuff'!IA:JB,22,FALSE)</f>
        <v>0</v>
      </c>
      <c r="Y166" s="165">
        <f t="shared" si="16"/>
        <v>0</v>
      </c>
      <c r="Z166" s="44">
        <f t="shared" si="17"/>
        <v>0</v>
      </c>
      <c r="AA166" s="125">
        <f>VLOOKUP(C166,'Talente &amp; Stuff'!IA:JB,25,FALSE)</f>
        <v>0</v>
      </c>
      <c r="AB166" s="160">
        <f>VLOOKUP(C166,'Talente &amp; Stuff'!IA:JB,26,FALSE)</f>
        <v>0</v>
      </c>
      <c r="AC166" s="127">
        <f>VLOOKUP(C166,'Talente &amp; Stuff'!IA:JB,27,FALSE)</f>
        <v>0</v>
      </c>
      <c r="AD166" s="125">
        <f>VLOOKUP(C166,'Talente &amp; Stuff'!IA:JB,28,FALSE)</f>
        <v>0</v>
      </c>
      <c r="AE166" s="28"/>
    </row>
    <row r="167" spans="2:31" ht="15" hidden="1" customHeight="1" outlineLevel="2">
      <c r="B167" s="148">
        <v>15</v>
      </c>
      <c r="C167" s="177" t="str">
        <f>Attribute!C167</f>
        <v>---</v>
      </c>
      <c r="D167" s="86" t="str">
        <f>VLOOKUP(C167,'Talente &amp; Stuff'!IA:JB,2,FALSE)</f>
        <v>--/--/--</v>
      </c>
      <c r="E167" s="167" t="str">
        <f>VLOOKUP(C167,'Talente &amp; Stuff'!IA:JB,3,FALSE)</f>
        <v>-</v>
      </c>
      <c r="F167" s="120">
        <f>VLOOKUP(C167,'Talente &amp; Stuff'!IA:JB,4,FALSE)</f>
        <v>0</v>
      </c>
      <c r="G167" s="117">
        <f>VLOOKUP(C167,'Talente &amp; Stuff'!IA:JB,5,FALSE)</f>
        <v>0</v>
      </c>
      <c r="H167" s="117">
        <f>VLOOKUP(C167,'Talente &amp; Stuff'!IA:JB,6,FALSE)</f>
        <v>0</v>
      </c>
      <c r="I167" s="117">
        <f>VLOOKUP(C167,'Talente &amp; Stuff'!IA:JB,7,FALSE)</f>
        <v>0</v>
      </c>
      <c r="J167" s="117">
        <f>VLOOKUP(C167,'Talente &amp; Stuff'!IA:JB,8,FALSE)</f>
        <v>0</v>
      </c>
      <c r="K167" s="117">
        <f>VLOOKUP(C167,'Talente &amp; Stuff'!IA:JB,9,FALSE)</f>
        <v>0</v>
      </c>
      <c r="L167" s="117">
        <f>VLOOKUP(C167,'Talente &amp; Stuff'!IA:JB,10,FALSE)</f>
        <v>0</v>
      </c>
      <c r="M167" s="121">
        <f>VLOOKUP(C167,'Talente &amp; Stuff'!IA:JB,11,FALSE)</f>
        <v>0</v>
      </c>
      <c r="N167" s="47">
        <f>VLOOKUP(C167,'Talente &amp; Stuff'!IA:JB,12,FALSE)</f>
        <v>0</v>
      </c>
      <c r="O167" s="3">
        <f>VLOOKUP(C167,'Talente &amp; Stuff'!IA:JB,13,FALSE)</f>
        <v>0</v>
      </c>
      <c r="P167" s="174">
        <f>VLOOKUP(C167,'Talente &amp; Stuff'!IA:JB,14,FALSE)</f>
        <v>0</v>
      </c>
      <c r="Q167" s="114">
        <f>VLOOKUP(C167,'Talente &amp; Stuff'!IA:JB,15,FALSE)</f>
        <v>0</v>
      </c>
      <c r="R167" s="117">
        <f>VLOOKUP(C167,'Talente &amp; Stuff'!IA:JB,16,FALSE)</f>
        <v>0</v>
      </c>
      <c r="S167" s="119">
        <f>VLOOKUP(C167,'Talente &amp; Stuff'!IA:JB,17,FALSE)</f>
        <v>0</v>
      </c>
      <c r="T167" s="119">
        <f>VLOOKUP(C167,'Talente &amp; Stuff'!IA:JB,18,FALSE)</f>
        <v>0</v>
      </c>
      <c r="U167" s="89">
        <f>VLOOKUP(C167,'Talente &amp; Stuff'!IA:JB,19,FALSE)</f>
        <v>0</v>
      </c>
      <c r="V167" s="47">
        <f>VLOOKUP(C167,'Talente &amp; Stuff'!IA:JB,20,FALSE)</f>
        <v>0</v>
      </c>
      <c r="W167" s="127">
        <f>VLOOKUP(C167,'Talente &amp; Stuff'!IA:JB,21,FALSE)</f>
        <v>0</v>
      </c>
      <c r="X167" s="127">
        <f>VLOOKUP(C167,'Talente &amp; Stuff'!IA:JB,22,FALSE)</f>
        <v>0</v>
      </c>
      <c r="Y167" s="165">
        <f t="shared" si="16"/>
        <v>0</v>
      </c>
      <c r="Z167" s="44">
        <f t="shared" si="17"/>
        <v>0</v>
      </c>
      <c r="AA167" s="125">
        <f>VLOOKUP(C167,'Talente &amp; Stuff'!IA:JB,25,FALSE)</f>
        <v>0</v>
      </c>
      <c r="AB167" s="160">
        <f>VLOOKUP(C167,'Talente &amp; Stuff'!IA:JB,26,FALSE)</f>
        <v>0</v>
      </c>
      <c r="AC167" s="127">
        <f>VLOOKUP(C167,'Talente &amp; Stuff'!IA:JB,27,FALSE)</f>
        <v>0</v>
      </c>
      <c r="AD167" s="125">
        <f>VLOOKUP(C167,'Talente &amp; Stuff'!IA:JB,28,FALSE)</f>
        <v>0</v>
      </c>
      <c r="AE167" s="28"/>
    </row>
    <row r="168" spans="2:31" ht="15" hidden="1" customHeight="1" outlineLevel="2">
      <c r="B168" s="148">
        <v>16</v>
      </c>
      <c r="C168" s="177" t="str">
        <f>Attribute!C168</f>
        <v>---</v>
      </c>
      <c r="D168" s="86" t="str">
        <f>VLOOKUP(C168,'Talente &amp; Stuff'!IA:JB,2,FALSE)</f>
        <v>--/--/--</v>
      </c>
      <c r="E168" s="167" t="str">
        <f>VLOOKUP(C168,'Talente &amp; Stuff'!IA:JB,3,FALSE)</f>
        <v>-</v>
      </c>
      <c r="F168" s="120">
        <f>VLOOKUP(C168,'Talente &amp; Stuff'!IA:JB,4,FALSE)</f>
        <v>0</v>
      </c>
      <c r="G168" s="117">
        <f>VLOOKUP(C168,'Talente &amp; Stuff'!IA:JB,5,FALSE)</f>
        <v>0</v>
      </c>
      <c r="H168" s="117">
        <f>VLOOKUP(C168,'Talente &amp; Stuff'!IA:JB,6,FALSE)</f>
        <v>0</v>
      </c>
      <c r="I168" s="117">
        <f>VLOOKUP(C168,'Talente &amp; Stuff'!IA:JB,7,FALSE)</f>
        <v>0</v>
      </c>
      <c r="J168" s="117">
        <f>VLOOKUP(C168,'Talente &amp; Stuff'!IA:JB,8,FALSE)</f>
        <v>0</v>
      </c>
      <c r="K168" s="117">
        <f>VLOOKUP(C168,'Talente &amp; Stuff'!IA:JB,9,FALSE)</f>
        <v>0</v>
      </c>
      <c r="L168" s="117">
        <f>VLOOKUP(C168,'Talente &amp; Stuff'!IA:JB,10,FALSE)</f>
        <v>0</v>
      </c>
      <c r="M168" s="121">
        <f>VLOOKUP(C168,'Talente &amp; Stuff'!IA:JB,11,FALSE)</f>
        <v>0</v>
      </c>
      <c r="N168" s="47">
        <f>VLOOKUP(C168,'Talente &amp; Stuff'!IA:JB,12,FALSE)</f>
        <v>0</v>
      </c>
      <c r="O168" s="3">
        <f>VLOOKUP(C168,'Talente &amp; Stuff'!IA:JB,13,FALSE)</f>
        <v>0</v>
      </c>
      <c r="P168" s="174">
        <f>VLOOKUP(C168,'Talente &amp; Stuff'!IA:JB,14,FALSE)</f>
        <v>0</v>
      </c>
      <c r="Q168" s="114">
        <f>VLOOKUP(C168,'Talente &amp; Stuff'!IA:JB,15,FALSE)</f>
        <v>0</v>
      </c>
      <c r="R168" s="117">
        <f>VLOOKUP(C168,'Talente &amp; Stuff'!IA:JB,16,FALSE)</f>
        <v>0</v>
      </c>
      <c r="S168" s="119">
        <f>VLOOKUP(C168,'Talente &amp; Stuff'!IA:JB,17,FALSE)</f>
        <v>0</v>
      </c>
      <c r="T168" s="119">
        <f>VLOOKUP(C168,'Talente &amp; Stuff'!IA:JB,18,FALSE)</f>
        <v>0</v>
      </c>
      <c r="U168" s="89">
        <f>VLOOKUP(C168,'Talente &amp; Stuff'!IA:JB,19,FALSE)</f>
        <v>0</v>
      </c>
      <c r="V168" s="47">
        <f>VLOOKUP(C168,'Talente &amp; Stuff'!IA:JB,20,FALSE)</f>
        <v>0</v>
      </c>
      <c r="W168" s="127">
        <f>VLOOKUP(C168,'Talente &amp; Stuff'!IA:JB,21,FALSE)</f>
        <v>0</v>
      </c>
      <c r="X168" s="127">
        <f>VLOOKUP(C168,'Talente &amp; Stuff'!IA:JB,22,FALSE)</f>
        <v>0</v>
      </c>
      <c r="Y168" s="165">
        <f t="shared" si="16"/>
        <v>0</v>
      </c>
      <c r="Z168" s="44">
        <f t="shared" si="17"/>
        <v>0</v>
      </c>
      <c r="AA168" s="125">
        <f>VLOOKUP(C168,'Talente &amp; Stuff'!IA:JB,25,FALSE)</f>
        <v>0</v>
      </c>
      <c r="AB168" s="160">
        <f>VLOOKUP(C168,'Talente &amp; Stuff'!IA:JB,26,FALSE)</f>
        <v>0</v>
      </c>
      <c r="AC168" s="127">
        <f>VLOOKUP(C168,'Talente &amp; Stuff'!IA:JB,27,FALSE)</f>
        <v>0</v>
      </c>
      <c r="AD168" s="125">
        <f>VLOOKUP(C168,'Talente &amp; Stuff'!IA:JB,28,FALSE)</f>
        <v>0</v>
      </c>
      <c r="AE168" s="28"/>
    </row>
    <row r="169" spans="2:31" ht="15" hidden="1" customHeight="1" outlineLevel="2">
      <c r="B169" s="148">
        <v>17</v>
      </c>
      <c r="C169" s="177" t="str">
        <f>Attribute!C169</f>
        <v>---</v>
      </c>
      <c r="D169" s="86" t="str">
        <f>VLOOKUP(C169,'Talente &amp; Stuff'!IA:JB,2,FALSE)</f>
        <v>--/--/--</v>
      </c>
      <c r="E169" s="167" t="str">
        <f>VLOOKUP(C169,'Talente &amp; Stuff'!IA:JB,3,FALSE)</f>
        <v>-</v>
      </c>
      <c r="F169" s="120">
        <f>VLOOKUP(C169,'Talente &amp; Stuff'!IA:JB,4,FALSE)</f>
        <v>0</v>
      </c>
      <c r="G169" s="117">
        <f>VLOOKUP(C169,'Talente &amp; Stuff'!IA:JB,5,FALSE)</f>
        <v>0</v>
      </c>
      <c r="H169" s="117">
        <f>VLOOKUP(C169,'Talente &amp; Stuff'!IA:JB,6,FALSE)</f>
        <v>0</v>
      </c>
      <c r="I169" s="117">
        <f>VLOOKUP(C169,'Talente &amp; Stuff'!IA:JB,7,FALSE)</f>
        <v>0</v>
      </c>
      <c r="J169" s="117">
        <f>VLOOKUP(C169,'Talente &amp; Stuff'!IA:JB,8,FALSE)</f>
        <v>0</v>
      </c>
      <c r="K169" s="117">
        <f>VLOOKUP(C169,'Talente &amp; Stuff'!IA:JB,9,FALSE)</f>
        <v>0</v>
      </c>
      <c r="L169" s="117">
        <f>VLOOKUP(C169,'Talente &amp; Stuff'!IA:JB,10,FALSE)</f>
        <v>0</v>
      </c>
      <c r="M169" s="121">
        <f>VLOOKUP(C169,'Talente &amp; Stuff'!IA:JB,11,FALSE)</f>
        <v>0</v>
      </c>
      <c r="N169" s="47">
        <f>VLOOKUP(C169,'Talente &amp; Stuff'!IA:JB,12,FALSE)</f>
        <v>0</v>
      </c>
      <c r="O169" s="3">
        <f>VLOOKUP(C169,'Talente &amp; Stuff'!IA:JB,13,FALSE)</f>
        <v>0</v>
      </c>
      <c r="P169" s="174">
        <f>VLOOKUP(C169,'Talente &amp; Stuff'!IA:JB,14,FALSE)</f>
        <v>0</v>
      </c>
      <c r="Q169" s="114">
        <f>VLOOKUP(C169,'Talente &amp; Stuff'!IA:JB,15,FALSE)</f>
        <v>0</v>
      </c>
      <c r="R169" s="117">
        <f>VLOOKUP(C169,'Talente &amp; Stuff'!IA:JB,16,FALSE)</f>
        <v>0</v>
      </c>
      <c r="S169" s="119">
        <f>VLOOKUP(C169,'Talente &amp; Stuff'!IA:JB,17,FALSE)</f>
        <v>0</v>
      </c>
      <c r="T169" s="119">
        <f>VLOOKUP(C169,'Talente &amp; Stuff'!IA:JB,18,FALSE)</f>
        <v>0</v>
      </c>
      <c r="U169" s="89">
        <f>VLOOKUP(C169,'Talente &amp; Stuff'!IA:JB,19,FALSE)</f>
        <v>0</v>
      </c>
      <c r="V169" s="47">
        <f>VLOOKUP(C169,'Talente &amp; Stuff'!IA:JB,20,FALSE)</f>
        <v>0</v>
      </c>
      <c r="W169" s="127">
        <f>VLOOKUP(C169,'Talente &amp; Stuff'!IA:JB,21,FALSE)</f>
        <v>0</v>
      </c>
      <c r="X169" s="127">
        <f>VLOOKUP(C169,'Talente &amp; Stuff'!IA:JB,22,FALSE)</f>
        <v>0</v>
      </c>
      <c r="Y169" s="165">
        <f t="shared" si="16"/>
        <v>0</v>
      </c>
      <c r="Z169" s="44">
        <f t="shared" si="17"/>
        <v>0</v>
      </c>
      <c r="AA169" s="125">
        <f>VLOOKUP(C169,'Talente &amp; Stuff'!IA:JB,25,FALSE)</f>
        <v>0</v>
      </c>
      <c r="AB169" s="160">
        <f>VLOOKUP(C169,'Talente &amp; Stuff'!IA:JB,26,FALSE)</f>
        <v>0</v>
      </c>
      <c r="AC169" s="127">
        <f>VLOOKUP(C169,'Talente &amp; Stuff'!IA:JB,27,FALSE)</f>
        <v>0</v>
      </c>
      <c r="AD169" s="125">
        <f>VLOOKUP(C169,'Talente &amp; Stuff'!IA:JB,28,FALSE)</f>
        <v>0</v>
      </c>
      <c r="AE169" s="28"/>
    </row>
    <row r="170" spans="2:31" ht="15" hidden="1" customHeight="1" outlineLevel="2">
      <c r="B170" s="148">
        <v>18</v>
      </c>
      <c r="C170" s="177" t="str">
        <f>Attribute!C170</f>
        <v>---</v>
      </c>
      <c r="D170" s="86" t="str">
        <f>VLOOKUP(C170,'Talente &amp; Stuff'!IA:JB,2,FALSE)</f>
        <v>--/--/--</v>
      </c>
      <c r="E170" s="167" t="str">
        <f>VLOOKUP(C170,'Talente &amp; Stuff'!IA:JB,3,FALSE)</f>
        <v>-</v>
      </c>
      <c r="F170" s="120">
        <f>VLOOKUP(C170,'Talente &amp; Stuff'!IA:JB,4,FALSE)</f>
        <v>0</v>
      </c>
      <c r="G170" s="117">
        <f>VLOOKUP(C170,'Talente &amp; Stuff'!IA:JB,5,FALSE)</f>
        <v>0</v>
      </c>
      <c r="H170" s="117">
        <f>VLOOKUP(C170,'Talente &amp; Stuff'!IA:JB,6,FALSE)</f>
        <v>0</v>
      </c>
      <c r="I170" s="117">
        <f>VLOOKUP(C170,'Talente &amp; Stuff'!IA:JB,7,FALSE)</f>
        <v>0</v>
      </c>
      <c r="J170" s="117">
        <f>VLOOKUP(C170,'Talente &amp; Stuff'!IA:JB,8,FALSE)</f>
        <v>0</v>
      </c>
      <c r="K170" s="117">
        <f>VLOOKUP(C170,'Talente &amp; Stuff'!IA:JB,9,FALSE)</f>
        <v>0</v>
      </c>
      <c r="L170" s="117">
        <f>VLOOKUP(C170,'Talente &amp; Stuff'!IA:JB,10,FALSE)</f>
        <v>0</v>
      </c>
      <c r="M170" s="121">
        <f>VLOOKUP(C170,'Talente &amp; Stuff'!IA:JB,11,FALSE)</f>
        <v>0</v>
      </c>
      <c r="N170" s="47">
        <f>VLOOKUP(C170,'Talente &amp; Stuff'!IA:JB,12,FALSE)</f>
        <v>0</v>
      </c>
      <c r="O170" s="3">
        <f>VLOOKUP(C170,'Talente &amp; Stuff'!IA:JB,13,FALSE)</f>
        <v>0</v>
      </c>
      <c r="P170" s="174">
        <f>VLOOKUP(C170,'Talente &amp; Stuff'!IA:JB,14,FALSE)</f>
        <v>0</v>
      </c>
      <c r="Q170" s="114">
        <f>VLOOKUP(C170,'Talente &amp; Stuff'!IA:JB,15,FALSE)</f>
        <v>0</v>
      </c>
      <c r="R170" s="117">
        <f>VLOOKUP(C170,'Talente &amp; Stuff'!IA:JB,16,FALSE)</f>
        <v>0</v>
      </c>
      <c r="S170" s="119">
        <f>VLOOKUP(C170,'Talente &amp; Stuff'!IA:JB,17,FALSE)</f>
        <v>0</v>
      </c>
      <c r="T170" s="119">
        <f>VLOOKUP(C170,'Talente &amp; Stuff'!IA:JB,18,FALSE)</f>
        <v>0</v>
      </c>
      <c r="U170" s="89">
        <f>VLOOKUP(C170,'Talente &amp; Stuff'!IA:JB,19,FALSE)</f>
        <v>0</v>
      </c>
      <c r="V170" s="47">
        <f>VLOOKUP(C170,'Talente &amp; Stuff'!IA:JB,20,FALSE)</f>
        <v>0</v>
      </c>
      <c r="W170" s="127">
        <f>VLOOKUP(C170,'Talente &amp; Stuff'!IA:JB,21,FALSE)</f>
        <v>0</v>
      </c>
      <c r="X170" s="127">
        <f>VLOOKUP(C170,'Talente &amp; Stuff'!IA:JB,22,FALSE)</f>
        <v>0</v>
      </c>
      <c r="Y170" s="165">
        <f t="shared" si="16"/>
        <v>0</v>
      </c>
      <c r="Z170" s="44">
        <f t="shared" si="17"/>
        <v>0</v>
      </c>
      <c r="AA170" s="125">
        <f>VLOOKUP(C170,'Talente &amp; Stuff'!IA:JB,25,FALSE)</f>
        <v>0</v>
      </c>
      <c r="AB170" s="160">
        <f>VLOOKUP(C170,'Talente &amp; Stuff'!IA:JB,26,FALSE)</f>
        <v>0</v>
      </c>
      <c r="AC170" s="127">
        <f>VLOOKUP(C170,'Talente &amp; Stuff'!IA:JB,27,FALSE)</f>
        <v>0</v>
      </c>
      <c r="AD170" s="125">
        <f>VLOOKUP(C170,'Talente &amp; Stuff'!IA:JB,28,FALSE)</f>
        <v>0</v>
      </c>
      <c r="AE170" s="28"/>
    </row>
    <row r="171" spans="2:31" ht="15" hidden="1" customHeight="1" outlineLevel="2">
      <c r="B171" s="148">
        <v>19</v>
      </c>
      <c r="C171" s="177" t="str">
        <f>Attribute!C171</f>
        <v>---</v>
      </c>
      <c r="D171" s="86" t="str">
        <f>VLOOKUP(C171,'Talente &amp; Stuff'!IA:JB,2,FALSE)</f>
        <v>--/--/--</v>
      </c>
      <c r="E171" s="167" t="str">
        <f>VLOOKUP(C171,'Talente &amp; Stuff'!IA:JB,3,FALSE)</f>
        <v>-</v>
      </c>
      <c r="F171" s="120">
        <f>VLOOKUP(C171,'Talente &amp; Stuff'!IA:JB,4,FALSE)</f>
        <v>0</v>
      </c>
      <c r="G171" s="117">
        <f>VLOOKUP(C171,'Talente &amp; Stuff'!IA:JB,5,FALSE)</f>
        <v>0</v>
      </c>
      <c r="H171" s="117">
        <f>VLOOKUP(C171,'Talente &amp; Stuff'!IA:JB,6,FALSE)</f>
        <v>0</v>
      </c>
      <c r="I171" s="117">
        <f>VLOOKUP(C171,'Talente &amp; Stuff'!IA:JB,7,FALSE)</f>
        <v>0</v>
      </c>
      <c r="J171" s="117">
        <f>VLOOKUP(C171,'Talente &amp; Stuff'!IA:JB,8,FALSE)</f>
        <v>0</v>
      </c>
      <c r="K171" s="117">
        <f>VLOOKUP(C171,'Talente &amp; Stuff'!IA:JB,9,FALSE)</f>
        <v>0</v>
      </c>
      <c r="L171" s="117">
        <f>VLOOKUP(C171,'Talente &amp; Stuff'!IA:JB,10,FALSE)</f>
        <v>0</v>
      </c>
      <c r="M171" s="121">
        <f>VLOOKUP(C171,'Talente &amp; Stuff'!IA:JB,11,FALSE)</f>
        <v>0</v>
      </c>
      <c r="N171" s="47">
        <f>VLOOKUP(C171,'Talente &amp; Stuff'!IA:JB,12,FALSE)</f>
        <v>0</v>
      </c>
      <c r="O171" s="3">
        <f>VLOOKUP(C171,'Talente &amp; Stuff'!IA:JB,13,FALSE)</f>
        <v>0</v>
      </c>
      <c r="P171" s="174">
        <f>VLOOKUP(C171,'Talente &amp; Stuff'!IA:JB,14,FALSE)</f>
        <v>0</v>
      </c>
      <c r="Q171" s="114">
        <f>VLOOKUP(C171,'Talente &amp; Stuff'!IA:JB,15,FALSE)</f>
        <v>0</v>
      </c>
      <c r="R171" s="117">
        <f>VLOOKUP(C171,'Talente &amp; Stuff'!IA:JB,16,FALSE)</f>
        <v>0</v>
      </c>
      <c r="S171" s="119">
        <f>VLOOKUP(C171,'Talente &amp; Stuff'!IA:JB,17,FALSE)</f>
        <v>0</v>
      </c>
      <c r="T171" s="119">
        <f>VLOOKUP(C171,'Talente &amp; Stuff'!IA:JB,18,FALSE)</f>
        <v>0</v>
      </c>
      <c r="U171" s="89">
        <f>VLOOKUP(C171,'Talente &amp; Stuff'!IA:JB,19,FALSE)</f>
        <v>0</v>
      </c>
      <c r="V171" s="47">
        <f>VLOOKUP(C171,'Talente &amp; Stuff'!IA:JB,20,FALSE)</f>
        <v>0</v>
      </c>
      <c r="W171" s="127">
        <f>VLOOKUP(C171,'Talente &amp; Stuff'!IA:JB,21,FALSE)</f>
        <v>0</v>
      </c>
      <c r="X171" s="127">
        <f>VLOOKUP(C171,'Talente &amp; Stuff'!IA:JB,22,FALSE)</f>
        <v>0</v>
      </c>
      <c r="Y171" s="165">
        <f t="shared" si="16"/>
        <v>0</v>
      </c>
      <c r="Z171" s="44">
        <f t="shared" si="17"/>
        <v>0</v>
      </c>
      <c r="AA171" s="125">
        <f>VLOOKUP(C171,'Talente &amp; Stuff'!IA:JB,25,FALSE)</f>
        <v>0</v>
      </c>
      <c r="AB171" s="160">
        <f>VLOOKUP(C171,'Talente &amp; Stuff'!IA:JB,26,FALSE)</f>
        <v>0</v>
      </c>
      <c r="AC171" s="127">
        <f>VLOOKUP(C171,'Talente &amp; Stuff'!IA:JB,27,FALSE)</f>
        <v>0</v>
      </c>
      <c r="AD171" s="125">
        <f>VLOOKUP(C171,'Talente &amp; Stuff'!IA:JB,28,FALSE)</f>
        <v>0</v>
      </c>
      <c r="AE171" s="28"/>
    </row>
    <row r="172" spans="2:31" ht="15" hidden="1" customHeight="1" outlineLevel="2">
      <c r="B172" s="148">
        <v>20</v>
      </c>
      <c r="C172" s="177" t="str">
        <f>Attribute!C172</f>
        <v>---</v>
      </c>
      <c r="D172" s="86" t="str">
        <f>VLOOKUP(C172,'Talente &amp; Stuff'!IA:JB,2,FALSE)</f>
        <v>--/--/--</v>
      </c>
      <c r="E172" s="167" t="str">
        <f>VLOOKUP(C172,'Talente &amp; Stuff'!IA:JB,3,FALSE)</f>
        <v>-</v>
      </c>
      <c r="F172" s="120">
        <f>VLOOKUP(C172,'Talente &amp; Stuff'!IA:JB,4,FALSE)</f>
        <v>0</v>
      </c>
      <c r="G172" s="117">
        <f>VLOOKUP(C172,'Talente &amp; Stuff'!IA:JB,5,FALSE)</f>
        <v>0</v>
      </c>
      <c r="H172" s="117">
        <f>VLOOKUP(C172,'Talente &amp; Stuff'!IA:JB,6,FALSE)</f>
        <v>0</v>
      </c>
      <c r="I172" s="117">
        <f>VLOOKUP(C172,'Talente &amp; Stuff'!IA:JB,7,FALSE)</f>
        <v>0</v>
      </c>
      <c r="J172" s="117">
        <f>VLOOKUP(C172,'Talente &amp; Stuff'!IA:JB,8,FALSE)</f>
        <v>0</v>
      </c>
      <c r="K172" s="117">
        <f>VLOOKUP(C172,'Talente &amp; Stuff'!IA:JB,9,FALSE)</f>
        <v>0</v>
      </c>
      <c r="L172" s="117">
        <f>VLOOKUP(C172,'Talente &amp; Stuff'!IA:JB,10,FALSE)</f>
        <v>0</v>
      </c>
      <c r="M172" s="121">
        <f>VLOOKUP(C172,'Talente &amp; Stuff'!IA:JB,11,FALSE)</f>
        <v>0</v>
      </c>
      <c r="N172" s="47">
        <f>VLOOKUP(C172,'Talente &amp; Stuff'!IA:JB,12,FALSE)</f>
        <v>0</v>
      </c>
      <c r="O172" s="3">
        <f>VLOOKUP(C172,'Talente &amp; Stuff'!IA:JB,13,FALSE)</f>
        <v>0</v>
      </c>
      <c r="P172" s="174">
        <f>VLOOKUP(C172,'Talente &amp; Stuff'!IA:JB,14,FALSE)</f>
        <v>0</v>
      </c>
      <c r="Q172" s="114">
        <f>VLOOKUP(C172,'Talente &amp; Stuff'!IA:JB,15,FALSE)</f>
        <v>0</v>
      </c>
      <c r="R172" s="117">
        <f>VLOOKUP(C172,'Talente &amp; Stuff'!IA:JB,16,FALSE)</f>
        <v>0</v>
      </c>
      <c r="S172" s="119">
        <f>VLOOKUP(C172,'Talente &amp; Stuff'!IA:JB,17,FALSE)</f>
        <v>0</v>
      </c>
      <c r="T172" s="119">
        <f>VLOOKUP(C172,'Talente &amp; Stuff'!IA:JB,18,FALSE)</f>
        <v>0</v>
      </c>
      <c r="U172" s="89">
        <f>VLOOKUP(C172,'Talente &amp; Stuff'!IA:JB,19,FALSE)</f>
        <v>0</v>
      </c>
      <c r="V172" s="47">
        <f>VLOOKUP(C172,'Talente &amp; Stuff'!IA:JB,20,FALSE)</f>
        <v>0</v>
      </c>
      <c r="W172" s="127">
        <f>VLOOKUP(C172,'Talente &amp; Stuff'!IA:JB,21,FALSE)</f>
        <v>0</v>
      </c>
      <c r="X172" s="127">
        <f>VLOOKUP(C172,'Talente &amp; Stuff'!IA:JB,22,FALSE)</f>
        <v>0</v>
      </c>
      <c r="Y172" s="165">
        <f t="shared" si="16"/>
        <v>0</v>
      </c>
      <c r="Z172" s="44">
        <f t="shared" si="17"/>
        <v>0</v>
      </c>
      <c r="AA172" s="125">
        <f>VLOOKUP(C172,'Talente &amp; Stuff'!IA:JB,25,FALSE)</f>
        <v>0</v>
      </c>
      <c r="AB172" s="160">
        <f>VLOOKUP(C172,'Talente &amp; Stuff'!IA:JB,26,FALSE)</f>
        <v>0</v>
      </c>
      <c r="AC172" s="127">
        <f>VLOOKUP(C172,'Talente &amp; Stuff'!IA:JB,27,FALSE)</f>
        <v>0</v>
      </c>
      <c r="AD172" s="125">
        <f>VLOOKUP(C172,'Talente &amp; Stuff'!IA:JB,28,FALSE)</f>
        <v>0</v>
      </c>
      <c r="AE172" s="28"/>
    </row>
    <row r="173" spans="2:31" ht="15" hidden="1" customHeight="1" outlineLevel="2">
      <c r="B173" s="148">
        <v>21</v>
      </c>
      <c r="C173" s="177" t="str">
        <f>Attribute!C173</f>
        <v>---</v>
      </c>
      <c r="D173" s="86" t="str">
        <f>VLOOKUP(C173,'Talente &amp; Stuff'!IA:JB,2,FALSE)</f>
        <v>--/--/--</v>
      </c>
      <c r="E173" s="167" t="str">
        <f>VLOOKUP(C173,'Talente &amp; Stuff'!IA:JB,3,FALSE)</f>
        <v>-</v>
      </c>
      <c r="F173" s="120">
        <f>VLOOKUP(C173,'Talente &amp; Stuff'!IA:JB,4,FALSE)</f>
        <v>0</v>
      </c>
      <c r="G173" s="117">
        <f>VLOOKUP(C173,'Talente &amp; Stuff'!IA:JB,5,FALSE)</f>
        <v>0</v>
      </c>
      <c r="H173" s="117">
        <f>VLOOKUP(C173,'Talente &amp; Stuff'!IA:JB,6,FALSE)</f>
        <v>0</v>
      </c>
      <c r="I173" s="117">
        <f>VLOOKUP(C173,'Talente &amp; Stuff'!IA:JB,7,FALSE)</f>
        <v>0</v>
      </c>
      <c r="J173" s="117">
        <f>VLOOKUP(C173,'Talente &amp; Stuff'!IA:JB,8,FALSE)</f>
        <v>0</v>
      </c>
      <c r="K173" s="117">
        <f>VLOOKUP(C173,'Talente &amp; Stuff'!IA:JB,9,FALSE)</f>
        <v>0</v>
      </c>
      <c r="L173" s="117">
        <f>VLOOKUP(C173,'Talente &amp; Stuff'!IA:JB,10,FALSE)</f>
        <v>0</v>
      </c>
      <c r="M173" s="121">
        <f>VLOOKUP(C173,'Talente &amp; Stuff'!IA:JB,11,FALSE)</f>
        <v>0</v>
      </c>
      <c r="N173" s="47">
        <f>VLOOKUP(C173,'Talente &amp; Stuff'!IA:JB,12,FALSE)</f>
        <v>0</v>
      </c>
      <c r="O173" s="3">
        <f>VLOOKUP(C173,'Talente &amp; Stuff'!IA:JB,13,FALSE)</f>
        <v>0</v>
      </c>
      <c r="P173" s="174">
        <f>VLOOKUP(C173,'Talente &amp; Stuff'!IA:JB,14,FALSE)</f>
        <v>0</v>
      </c>
      <c r="Q173" s="114">
        <f>VLOOKUP(C173,'Talente &amp; Stuff'!IA:JB,15,FALSE)</f>
        <v>0</v>
      </c>
      <c r="R173" s="117">
        <f>VLOOKUP(C173,'Talente &amp; Stuff'!IA:JB,16,FALSE)</f>
        <v>0</v>
      </c>
      <c r="S173" s="119">
        <f>VLOOKUP(C173,'Talente &amp; Stuff'!IA:JB,17,FALSE)</f>
        <v>0</v>
      </c>
      <c r="T173" s="119">
        <f>VLOOKUP(C173,'Talente &amp; Stuff'!IA:JB,18,FALSE)</f>
        <v>0</v>
      </c>
      <c r="U173" s="89">
        <f>VLOOKUP(C173,'Talente &amp; Stuff'!IA:JB,19,FALSE)</f>
        <v>0</v>
      </c>
      <c r="V173" s="47">
        <f>VLOOKUP(C173,'Talente &amp; Stuff'!IA:JB,20,FALSE)</f>
        <v>0</v>
      </c>
      <c r="W173" s="127">
        <f>VLOOKUP(C173,'Talente &amp; Stuff'!IA:JB,21,FALSE)</f>
        <v>0</v>
      </c>
      <c r="X173" s="127">
        <f>VLOOKUP(C173,'Talente &amp; Stuff'!IA:JB,22,FALSE)</f>
        <v>0</v>
      </c>
      <c r="Y173" s="165">
        <f t="shared" si="16"/>
        <v>0</v>
      </c>
      <c r="Z173" s="44">
        <f t="shared" si="17"/>
        <v>0</v>
      </c>
      <c r="AA173" s="125">
        <f>VLOOKUP(C173,'Talente &amp; Stuff'!IA:JB,25,FALSE)</f>
        <v>0</v>
      </c>
      <c r="AB173" s="160">
        <f>VLOOKUP(C173,'Talente &amp; Stuff'!IA:JB,26,FALSE)</f>
        <v>0</v>
      </c>
      <c r="AC173" s="127">
        <f>VLOOKUP(C173,'Talente &amp; Stuff'!IA:JB,27,FALSE)</f>
        <v>0</v>
      </c>
      <c r="AD173" s="125">
        <f>VLOOKUP(C173,'Talente &amp; Stuff'!IA:JB,28,FALSE)</f>
        <v>0</v>
      </c>
      <c r="AE173" s="28"/>
    </row>
    <row r="174" spans="2:31" ht="15" hidden="1" customHeight="1" outlineLevel="2">
      <c r="B174" s="148">
        <v>22</v>
      </c>
      <c r="C174" s="177" t="str">
        <f>Attribute!C174</f>
        <v>---</v>
      </c>
      <c r="D174" s="86" t="str">
        <f>VLOOKUP(C174,'Talente &amp; Stuff'!IA:JB,2,FALSE)</f>
        <v>--/--/--</v>
      </c>
      <c r="E174" s="167" t="str">
        <f>VLOOKUP(C174,'Talente &amp; Stuff'!IA:JB,3,FALSE)</f>
        <v>-</v>
      </c>
      <c r="F174" s="120">
        <f>VLOOKUP(C174,'Talente &amp; Stuff'!IA:JB,4,FALSE)</f>
        <v>0</v>
      </c>
      <c r="G174" s="117">
        <f>VLOOKUP(C174,'Talente &amp; Stuff'!IA:JB,5,FALSE)</f>
        <v>0</v>
      </c>
      <c r="H174" s="117">
        <f>VLOOKUP(C174,'Talente &amp; Stuff'!IA:JB,6,FALSE)</f>
        <v>0</v>
      </c>
      <c r="I174" s="117">
        <f>VLOOKUP(C174,'Talente &amp; Stuff'!IA:JB,7,FALSE)</f>
        <v>0</v>
      </c>
      <c r="J174" s="117">
        <f>VLOOKUP(C174,'Talente &amp; Stuff'!IA:JB,8,FALSE)</f>
        <v>0</v>
      </c>
      <c r="K174" s="117">
        <f>VLOOKUP(C174,'Talente &amp; Stuff'!IA:JB,9,FALSE)</f>
        <v>0</v>
      </c>
      <c r="L174" s="117">
        <f>VLOOKUP(C174,'Talente &amp; Stuff'!IA:JB,10,FALSE)</f>
        <v>0</v>
      </c>
      <c r="M174" s="121">
        <f>VLOOKUP(C174,'Talente &amp; Stuff'!IA:JB,11,FALSE)</f>
        <v>0</v>
      </c>
      <c r="N174" s="47">
        <f>VLOOKUP(C174,'Talente &amp; Stuff'!IA:JB,12,FALSE)</f>
        <v>0</v>
      </c>
      <c r="O174" s="3">
        <f>VLOOKUP(C174,'Talente &amp; Stuff'!IA:JB,13,FALSE)</f>
        <v>0</v>
      </c>
      <c r="P174" s="174">
        <f>VLOOKUP(C174,'Talente &amp; Stuff'!IA:JB,14,FALSE)</f>
        <v>0</v>
      </c>
      <c r="Q174" s="114">
        <f>VLOOKUP(C174,'Talente &amp; Stuff'!IA:JB,15,FALSE)</f>
        <v>0</v>
      </c>
      <c r="R174" s="117">
        <f>VLOOKUP(C174,'Talente &amp; Stuff'!IA:JB,16,FALSE)</f>
        <v>0</v>
      </c>
      <c r="S174" s="119">
        <f>VLOOKUP(C174,'Talente &amp; Stuff'!IA:JB,17,FALSE)</f>
        <v>0</v>
      </c>
      <c r="T174" s="119">
        <f>VLOOKUP(C174,'Talente &amp; Stuff'!IA:JB,18,FALSE)</f>
        <v>0</v>
      </c>
      <c r="U174" s="89">
        <f>VLOOKUP(C174,'Talente &amp; Stuff'!IA:JB,19,FALSE)</f>
        <v>0</v>
      </c>
      <c r="V174" s="47">
        <f>VLOOKUP(C174,'Talente &amp; Stuff'!IA:JB,20,FALSE)</f>
        <v>0</v>
      </c>
      <c r="W174" s="127">
        <f>VLOOKUP(C174,'Talente &amp; Stuff'!IA:JB,21,FALSE)</f>
        <v>0</v>
      </c>
      <c r="X174" s="127">
        <f>VLOOKUP(C174,'Talente &amp; Stuff'!IA:JB,22,FALSE)</f>
        <v>0</v>
      </c>
      <c r="Y174" s="165">
        <f t="shared" si="16"/>
        <v>0</v>
      </c>
      <c r="Z174" s="44">
        <f t="shared" si="17"/>
        <v>0</v>
      </c>
      <c r="AA174" s="125">
        <f>VLOOKUP(C174,'Talente &amp; Stuff'!IA:JB,25,FALSE)</f>
        <v>0</v>
      </c>
      <c r="AB174" s="160">
        <f>VLOOKUP(C174,'Talente &amp; Stuff'!IA:JB,26,FALSE)</f>
        <v>0</v>
      </c>
      <c r="AC174" s="127">
        <f>VLOOKUP(C174,'Talente &amp; Stuff'!IA:JB,27,FALSE)</f>
        <v>0</v>
      </c>
      <c r="AD174" s="125">
        <f>VLOOKUP(C174,'Talente &amp; Stuff'!IA:JB,28,FALSE)</f>
        <v>0</v>
      </c>
      <c r="AE174" s="28"/>
    </row>
    <row r="175" spans="2:31" ht="15" hidden="1" customHeight="1" outlineLevel="2">
      <c r="B175" s="148">
        <v>23</v>
      </c>
      <c r="C175" s="177" t="str">
        <f>Attribute!C175</f>
        <v>---</v>
      </c>
      <c r="D175" s="86" t="str">
        <f>VLOOKUP(C175,'Talente &amp; Stuff'!IA:JB,2,FALSE)</f>
        <v>--/--/--</v>
      </c>
      <c r="E175" s="167" t="str">
        <f>VLOOKUP(C175,'Talente &amp; Stuff'!IA:JB,3,FALSE)</f>
        <v>-</v>
      </c>
      <c r="F175" s="120">
        <f>VLOOKUP(C175,'Talente &amp; Stuff'!IA:JB,4,FALSE)</f>
        <v>0</v>
      </c>
      <c r="G175" s="117">
        <f>VLOOKUP(C175,'Talente &amp; Stuff'!IA:JB,5,FALSE)</f>
        <v>0</v>
      </c>
      <c r="H175" s="117">
        <f>VLOOKUP(C175,'Talente &amp; Stuff'!IA:JB,6,FALSE)</f>
        <v>0</v>
      </c>
      <c r="I175" s="117">
        <f>VLOOKUP(C175,'Talente &amp; Stuff'!IA:JB,7,FALSE)</f>
        <v>0</v>
      </c>
      <c r="J175" s="117">
        <f>VLOOKUP(C175,'Talente &amp; Stuff'!IA:JB,8,FALSE)</f>
        <v>0</v>
      </c>
      <c r="K175" s="117">
        <f>VLOOKUP(C175,'Talente &amp; Stuff'!IA:JB,9,FALSE)</f>
        <v>0</v>
      </c>
      <c r="L175" s="117">
        <f>VLOOKUP(C175,'Talente &amp; Stuff'!IA:JB,10,FALSE)</f>
        <v>0</v>
      </c>
      <c r="M175" s="121">
        <f>VLOOKUP(C175,'Talente &amp; Stuff'!IA:JB,11,FALSE)</f>
        <v>0</v>
      </c>
      <c r="N175" s="47">
        <f>VLOOKUP(C175,'Talente &amp; Stuff'!IA:JB,12,FALSE)</f>
        <v>0</v>
      </c>
      <c r="O175" s="3">
        <f>VLOOKUP(C175,'Talente &amp; Stuff'!IA:JB,13,FALSE)</f>
        <v>0</v>
      </c>
      <c r="P175" s="174">
        <f>VLOOKUP(C175,'Talente &amp; Stuff'!IA:JB,14,FALSE)</f>
        <v>0</v>
      </c>
      <c r="Q175" s="114">
        <f>VLOOKUP(C175,'Talente &amp; Stuff'!IA:JB,15,FALSE)</f>
        <v>0</v>
      </c>
      <c r="R175" s="117">
        <f>VLOOKUP(C175,'Talente &amp; Stuff'!IA:JB,16,FALSE)</f>
        <v>0</v>
      </c>
      <c r="S175" s="119">
        <f>VLOOKUP(C175,'Talente &amp; Stuff'!IA:JB,17,FALSE)</f>
        <v>0</v>
      </c>
      <c r="T175" s="119">
        <f>VLOOKUP(C175,'Talente &amp; Stuff'!IA:JB,18,FALSE)</f>
        <v>0</v>
      </c>
      <c r="U175" s="89">
        <f>VLOOKUP(C175,'Talente &amp; Stuff'!IA:JB,19,FALSE)</f>
        <v>0</v>
      </c>
      <c r="V175" s="47">
        <f>VLOOKUP(C175,'Talente &amp; Stuff'!IA:JB,20,FALSE)</f>
        <v>0</v>
      </c>
      <c r="W175" s="127">
        <f>VLOOKUP(C175,'Talente &amp; Stuff'!IA:JB,21,FALSE)</f>
        <v>0</v>
      </c>
      <c r="X175" s="127">
        <f>VLOOKUP(C175,'Talente &amp; Stuff'!IA:JB,22,FALSE)</f>
        <v>0</v>
      </c>
      <c r="Y175" s="165">
        <f t="shared" si="16"/>
        <v>0</v>
      </c>
      <c r="Z175" s="44">
        <f t="shared" si="17"/>
        <v>0</v>
      </c>
      <c r="AA175" s="125">
        <f>VLOOKUP(C175,'Talente &amp; Stuff'!IA:JB,25,FALSE)</f>
        <v>0</v>
      </c>
      <c r="AB175" s="160">
        <f>VLOOKUP(C175,'Talente &amp; Stuff'!IA:JB,26,FALSE)</f>
        <v>0</v>
      </c>
      <c r="AC175" s="127">
        <f>VLOOKUP(C175,'Talente &amp; Stuff'!IA:JB,27,FALSE)</f>
        <v>0</v>
      </c>
      <c r="AD175" s="125">
        <f>VLOOKUP(C175,'Talente &amp; Stuff'!IA:JB,28,FALSE)</f>
        <v>0</v>
      </c>
      <c r="AE175" s="28"/>
    </row>
    <row r="176" spans="2:31" ht="15" hidden="1" customHeight="1" outlineLevel="2">
      <c r="B176" s="148">
        <v>24</v>
      </c>
      <c r="C176" s="177" t="str">
        <f>Attribute!C176</f>
        <v>---</v>
      </c>
      <c r="D176" s="86" t="str">
        <f>VLOOKUP(C176,'Talente &amp; Stuff'!IA:JB,2,FALSE)</f>
        <v>--/--/--</v>
      </c>
      <c r="E176" s="167" t="str">
        <f>VLOOKUP(C176,'Talente &amp; Stuff'!IA:JB,3,FALSE)</f>
        <v>-</v>
      </c>
      <c r="F176" s="120">
        <f>VLOOKUP(C176,'Talente &amp; Stuff'!IA:JB,4,FALSE)</f>
        <v>0</v>
      </c>
      <c r="G176" s="117">
        <f>VLOOKUP(C176,'Talente &amp; Stuff'!IA:JB,5,FALSE)</f>
        <v>0</v>
      </c>
      <c r="H176" s="117">
        <f>VLOOKUP(C176,'Talente &amp; Stuff'!IA:JB,6,FALSE)</f>
        <v>0</v>
      </c>
      <c r="I176" s="117">
        <f>VLOOKUP(C176,'Talente &amp; Stuff'!IA:JB,7,FALSE)</f>
        <v>0</v>
      </c>
      <c r="J176" s="117">
        <f>VLOOKUP(C176,'Talente &amp; Stuff'!IA:JB,8,FALSE)</f>
        <v>0</v>
      </c>
      <c r="K176" s="117">
        <f>VLOOKUP(C176,'Talente &amp; Stuff'!IA:JB,9,FALSE)</f>
        <v>0</v>
      </c>
      <c r="L176" s="117">
        <f>VLOOKUP(C176,'Talente &amp; Stuff'!IA:JB,10,FALSE)</f>
        <v>0</v>
      </c>
      <c r="M176" s="121">
        <f>VLOOKUP(C176,'Talente &amp; Stuff'!IA:JB,11,FALSE)</f>
        <v>0</v>
      </c>
      <c r="N176" s="47">
        <f>VLOOKUP(C176,'Talente &amp; Stuff'!IA:JB,12,FALSE)</f>
        <v>0</v>
      </c>
      <c r="O176" s="3">
        <f>VLOOKUP(C176,'Talente &amp; Stuff'!IA:JB,13,FALSE)</f>
        <v>0</v>
      </c>
      <c r="P176" s="174">
        <f>VLOOKUP(C176,'Talente &amp; Stuff'!IA:JB,14,FALSE)</f>
        <v>0</v>
      </c>
      <c r="Q176" s="114">
        <f>VLOOKUP(C176,'Talente &amp; Stuff'!IA:JB,15,FALSE)</f>
        <v>0</v>
      </c>
      <c r="R176" s="117">
        <f>VLOOKUP(C176,'Talente &amp; Stuff'!IA:JB,16,FALSE)</f>
        <v>0</v>
      </c>
      <c r="S176" s="119">
        <f>VLOOKUP(C176,'Talente &amp; Stuff'!IA:JB,17,FALSE)</f>
        <v>0</v>
      </c>
      <c r="T176" s="119">
        <f>VLOOKUP(C176,'Talente &amp; Stuff'!IA:JB,18,FALSE)</f>
        <v>0</v>
      </c>
      <c r="U176" s="89">
        <f>VLOOKUP(C176,'Talente &amp; Stuff'!IA:JB,19,FALSE)</f>
        <v>0</v>
      </c>
      <c r="V176" s="47">
        <f>VLOOKUP(C176,'Talente &amp; Stuff'!IA:JB,20,FALSE)</f>
        <v>0</v>
      </c>
      <c r="W176" s="127">
        <f>VLOOKUP(C176,'Talente &amp; Stuff'!IA:JB,21,FALSE)</f>
        <v>0</v>
      </c>
      <c r="X176" s="127">
        <f>VLOOKUP(C176,'Talente &amp; Stuff'!IA:JB,22,FALSE)</f>
        <v>0</v>
      </c>
      <c r="Y176" s="165">
        <f t="shared" si="16"/>
        <v>0</v>
      </c>
      <c r="Z176" s="44">
        <f t="shared" si="17"/>
        <v>0</v>
      </c>
      <c r="AA176" s="125">
        <f>VLOOKUP(C176,'Talente &amp; Stuff'!IA:JB,25,FALSE)</f>
        <v>0</v>
      </c>
      <c r="AB176" s="160">
        <f>VLOOKUP(C176,'Talente &amp; Stuff'!IA:JB,26,FALSE)</f>
        <v>0</v>
      </c>
      <c r="AC176" s="127">
        <f>VLOOKUP(C176,'Talente &amp; Stuff'!IA:JB,27,FALSE)</f>
        <v>0</v>
      </c>
      <c r="AD176" s="125">
        <f>VLOOKUP(C176,'Talente &amp; Stuff'!IA:JB,28,FALSE)</f>
        <v>0</v>
      </c>
      <c r="AE176" s="28"/>
    </row>
    <row r="177" spans="2:31" ht="15" hidden="1" customHeight="1" outlineLevel="2">
      <c r="B177" s="148">
        <v>25</v>
      </c>
      <c r="C177" s="177" t="str">
        <f>Attribute!C177</f>
        <v>---</v>
      </c>
      <c r="D177" s="86" t="str">
        <f>VLOOKUP(C177,'Talente &amp; Stuff'!IA:JB,2,FALSE)</f>
        <v>--/--/--</v>
      </c>
      <c r="E177" s="167" t="str">
        <f>VLOOKUP(C177,'Talente &amp; Stuff'!IA:JB,3,FALSE)</f>
        <v>-</v>
      </c>
      <c r="F177" s="120">
        <f>VLOOKUP(C177,'Talente &amp; Stuff'!IA:JB,4,FALSE)</f>
        <v>0</v>
      </c>
      <c r="G177" s="117">
        <f>VLOOKUP(C177,'Talente &amp; Stuff'!IA:JB,5,FALSE)</f>
        <v>0</v>
      </c>
      <c r="H177" s="117">
        <f>VLOOKUP(C177,'Talente &amp; Stuff'!IA:JB,6,FALSE)</f>
        <v>0</v>
      </c>
      <c r="I177" s="117">
        <f>VLOOKUP(C177,'Talente &amp; Stuff'!IA:JB,7,FALSE)</f>
        <v>0</v>
      </c>
      <c r="J177" s="117">
        <f>VLOOKUP(C177,'Talente &amp; Stuff'!IA:JB,8,FALSE)</f>
        <v>0</v>
      </c>
      <c r="K177" s="117">
        <f>VLOOKUP(C177,'Talente &amp; Stuff'!IA:JB,9,FALSE)</f>
        <v>0</v>
      </c>
      <c r="L177" s="117">
        <f>VLOOKUP(C177,'Talente &amp; Stuff'!IA:JB,10,FALSE)</f>
        <v>0</v>
      </c>
      <c r="M177" s="121">
        <f>VLOOKUP(C177,'Talente &amp; Stuff'!IA:JB,11,FALSE)</f>
        <v>0</v>
      </c>
      <c r="N177" s="47">
        <f>VLOOKUP(C177,'Talente &amp; Stuff'!IA:JB,12,FALSE)</f>
        <v>0</v>
      </c>
      <c r="O177" s="3">
        <f>VLOOKUP(C177,'Talente &amp; Stuff'!IA:JB,13,FALSE)</f>
        <v>0</v>
      </c>
      <c r="P177" s="174">
        <f>VLOOKUP(C177,'Talente &amp; Stuff'!IA:JB,14,FALSE)</f>
        <v>0</v>
      </c>
      <c r="Q177" s="114">
        <f>VLOOKUP(C177,'Talente &amp; Stuff'!IA:JB,15,FALSE)</f>
        <v>0</v>
      </c>
      <c r="R177" s="117">
        <f>VLOOKUP(C177,'Talente &amp; Stuff'!IA:JB,16,FALSE)</f>
        <v>0</v>
      </c>
      <c r="S177" s="119">
        <f>VLOOKUP(C177,'Talente &amp; Stuff'!IA:JB,17,FALSE)</f>
        <v>0</v>
      </c>
      <c r="T177" s="119">
        <f>VLOOKUP(C177,'Talente &amp; Stuff'!IA:JB,18,FALSE)</f>
        <v>0</v>
      </c>
      <c r="U177" s="89">
        <f>VLOOKUP(C177,'Talente &amp; Stuff'!IA:JB,19,FALSE)</f>
        <v>0</v>
      </c>
      <c r="V177" s="47">
        <f>VLOOKUP(C177,'Talente &amp; Stuff'!IA:JB,20,FALSE)</f>
        <v>0</v>
      </c>
      <c r="W177" s="127">
        <f>VLOOKUP(C177,'Talente &amp; Stuff'!IA:JB,21,FALSE)</f>
        <v>0</v>
      </c>
      <c r="X177" s="127">
        <f>VLOOKUP(C177,'Talente &amp; Stuff'!IA:JB,22,FALSE)</f>
        <v>0</v>
      </c>
      <c r="Y177" s="165">
        <f t="shared" si="16"/>
        <v>0</v>
      </c>
      <c r="Z177" s="44">
        <f t="shared" si="17"/>
        <v>0</v>
      </c>
      <c r="AA177" s="125">
        <f>VLOOKUP(C177,'Talente &amp; Stuff'!IA:JB,25,FALSE)</f>
        <v>0</v>
      </c>
      <c r="AB177" s="160">
        <f>VLOOKUP(C177,'Talente &amp; Stuff'!IA:JB,26,FALSE)</f>
        <v>0</v>
      </c>
      <c r="AC177" s="127">
        <f>VLOOKUP(C177,'Talente &amp; Stuff'!IA:JB,27,FALSE)</f>
        <v>0</v>
      </c>
      <c r="AD177" s="125">
        <f>VLOOKUP(C177,'Talente &amp; Stuff'!IA:JB,28,FALSE)</f>
        <v>0</v>
      </c>
      <c r="AE177" s="28"/>
    </row>
    <row r="178" spans="2:31" ht="15" hidden="1" customHeight="1" outlineLevel="2">
      <c r="B178" s="148">
        <v>26</v>
      </c>
      <c r="C178" s="177" t="str">
        <f>Attribute!C178</f>
        <v>---</v>
      </c>
      <c r="D178" s="86" t="str">
        <f>VLOOKUP(C178,'Talente &amp; Stuff'!IA:JB,2,FALSE)</f>
        <v>--/--/--</v>
      </c>
      <c r="E178" s="167" t="str">
        <f>VLOOKUP(C178,'Talente &amp; Stuff'!IA:JB,3,FALSE)</f>
        <v>-</v>
      </c>
      <c r="F178" s="120">
        <f>VLOOKUP(C178,'Talente &amp; Stuff'!IA:JB,4,FALSE)</f>
        <v>0</v>
      </c>
      <c r="G178" s="117">
        <f>VLOOKUP(C178,'Talente &amp; Stuff'!IA:JB,5,FALSE)</f>
        <v>0</v>
      </c>
      <c r="H178" s="117">
        <f>VLOOKUP(C178,'Talente &amp; Stuff'!IA:JB,6,FALSE)</f>
        <v>0</v>
      </c>
      <c r="I178" s="117">
        <f>VLOOKUP(C178,'Talente &amp; Stuff'!IA:JB,7,FALSE)</f>
        <v>0</v>
      </c>
      <c r="J178" s="117">
        <f>VLOOKUP(C178,'Talente &amp; Stuff'!IA:JB,8,FALSE)</f>
        <v>0</v>
      </c>
      <c r="K178" s="117">
        <f>VLOOKUP(C178,'Talente &amp; Stuff'!IA:JB,9,FALSE)</f>
        <v>0</v>
      </c>
      <c r="L178" s="117">
        <f>VLOOKUP(C178,'Talente &amp; Stuff'!IA:JB,10,FALSE)</f>
        <v>0</v>
      </c>
      <c r="M178" s="121">
        <f>VLOOKUP(C178,'Talente &amp; Stuff'!IA:JB,11,FALSE)</f>
        <v>0</v>
      </c>
      <c r="N178" s="47">
        <f>VLOOKUP(C178,'Talente &amp; Stuff'!IA:JB,12,FALSE)</f>
        <v>0</v>
      </c>
      <c r="O178" s="3">
        <f>VLOOKUP(C178,'Talente &amp; Stuff'!IA:JB,13,FALSE)</f>
        <v>0</v>
      </c>
      <c r="P178" s="174">
        <f>VLOOKUP(C178,'Talente &amp; Stuff'!IA:JB,14,FALSE)</f>
        <v>0</v>
      </c>
      <c r="Q178" s="114">
        <f>VLOOKUP(C178,'Talente &amp; Stuff'!IA:JB,15,FALSE)</f>
        <v>0</v>
      </c>
      <c r="R178" s="117">
        <f>VLOOKUP(C178,'Talente &amp; Stuff'!IA:JB,16,FALSE)</f>
        <v>0</v>
      </c>
      <c r="S178" s="119">
        <f>VLOOKUP(C178,'Talente &amp; Stuff'!IA:JB,17,FALSE)</f>
        <v>0</v>
      </c>
      <c r="T178" s="119">
        <f>VLOOKUP(C178,'Talente &amp; Stuff'!IA:JB,18,FALSE)</f>
        <v>0</v>
      </c>
      <c r="U178" s="89">
        <f>VLOOKUP(C178,'Talente &amp; Stuff'!IA:JB,19,FALSE)</f>
        <v>0</v>
      </c>
      <c r="V178" s="47">
        <f>VLOOKUP(C178,'Talente &amp; Stuff'!IA:JB,20,FALSE)</f>
        <v>0</v>
      </c>
      <c r="W178" s="127">
        <f>VLOOKUP(C178,'Talente &amp; Stuff'!IA:JB,21,FALSE)</f>
        <v>0</v>
      </c>
      <c r="X178" s="127">
        <f>VLOOKUP(C178,'Talente &amp; Stuff'!IA:JB,22,FALSE)</f>
        <v>0</v>
      </c>
      <c r="Y178" s="165">
        <f t="shared" si="16"/>
        <v>0</v>
      </c>
      <c r="Z178" s="44">
        <f t="shared" si="17"/>
        <v>0</v>
      </c>
      <c r="AA178" s="125">
        <f>VLOOKUP(C178,'Talente &amp; Stuff'!IA:JB,25,FALSE)</f>
        <v>0</v>
      </c>
      <c r="AB178" s="160">
        <f>VLOOKUP(C178,'Talente &amp; Stuff'!IA:JB,26,FALSE)</f>
        <v>0</v>
      </c>
      <c r="AC178" s="127">
        <f>VLOOKUP(C178,'Talente &amp; Stuff'!IA:JB,27,FALSE)</f>
        <v>0</v>
      </c>
      <c r="AD178" s="125">
        <f>VLOOKUP(C178,'Talente &amp; Stuff'!IA:JB,28,FALSE)</f>
        <v>0</v>
      </c>
      <c r="AE178" s="28"/>
    </row>
    <row r="179" spans="2:31" ht="15" hidden="1" customHeight="1" outlineLevel="2">
      <c r="B179" s="148">
        <v>27</v>
      </c>
      <c r="C179" s="177" t="str">
        <f>Attribute!C179</f>
        <v>---</v>
      </c>
      <c r="D179" s="86" t="str">
        <f>VLOOKUP(C179,'Talente &amp; Stuff'!IA:JB,2,FALSE)</f>
        <v>--/--/--</v>
      </c>
      <c r="E179" s="167" t="str">
        <f>VLOOKUP(C179,'Talente &amp; Stuff'!IA:JB,3,FALSE)</f>
        <v>-</v>
      </c>
      <c r="F179" s="120">
        <f>VLOOKUP(C179,'Talente &amp; Stuff'!IA:JB,4,FALSE)</f>
        <v>0</v>
      </c>
      <c r="G179" s="117">
        <f>VLOOKUP(C179,'Talente &amp; Stuff'!IA:JB,5,FALSE)</f>
        <v>0</v>
      </c>
      <c r="H179" s="117">
        <f>VLOOKUP(C179,'Talente &amp; Stuff'!IA:JB,6,FALSE)</f>
        <v>0</v>
      </c>
      <c r="I179" s="117">
        <f>VLOOKUP(C179,'Talente &amp; Stuff'!IA:JB,7,FALSE)</f>
        <v>0</v>
      </c>
      <c r="J179" s="117">
        <f>VLOOKUP(C179,'Talente &amp; Stuff'!IA:JB,8,FALSE)</f>
        <v>0</v>
      </c>
      <c r="K179" s="117">
        <f>VLOOKUP(C179,'Talente &amp; Stuff'!IA:JB,9,FALSE)</f>
        <v>0</v>
      </c>
      <c r="L179" s="117">
        <f>VLOOKUP(C179,'Talente &amp; Stuff'!IA:JB,10,FALSE)</f>
        <v>0</v>
      </c>
      <c r="M179" s="121">
        <f>VLOOKUP(C179,'Talente &amp; Stuff'!IA:JB,11,FALSE)</f>
        <v>0</v>
      </c>
      <c r="N179" s="47">
        <f>VLOOKUP(C179,'Talente &amp; Stuff'!IA:JB,12,FALSE)</f>
        <v>0</v>
      </c>
      <c r="O179" s="3">
        <f>VLOOKUP(C179,'Talente &amp; Stuff'!IA:JB,13,FALSE)</f>
        <v>0</v>
      </c>
      <c r="P179" s="174">
        <f>VLOOKUP(C179,'Talente &amp; Stuff'!IA:JB,14,FALSE)</f>
        <v>0</v>
      </c>
      <c r="Q179" s="114">
        <f>VLOOKUP(C179,'Talente &amp; Stuff'!IA:JB,15,FALSE)</f>
        <v>0</v>
      </c>
      <c r="R179" s="117">
        <f>VLOOKUP(C179,'Talente &amp; Stuff'!IA:JB,16,FALSE)</f>
        <v>0</v>
      </c>
      <c r="S179" s="119">
        <f>VLOOKUP(C179,'Talente &amp; Stuff'!IA:JB,17,FALSE)</f>
        <v>0</v>
      </c>
      <c r="T179" s="119">
        <f>VLOOKUP(C179,'Talente &amp; Stuff'!IA:JB,18,FALSE)</f>
        <v>0</v>
      </c>
      <c r="U179" s="89">
        <f>VLOOKUP(C179,'Talente &amp; Stuff'!IA:JB,19,FALSE)</f>
        <v>0</v>
      </c>
      <c r="V179" s="47">
        <f>VLOOKUP(C179,'Talente &amp; Stuff'!IA:JB,20,FALSE)</f>
        <v>0</v>
      </c>
      <c r="W179" s="127">
        <f>VLOOKUP(C179,'Talente &amp; Stuff'!IA:JB,21,FALSE)</f>
        <v>0</v>
      </c>
      <c r="X179" s="127">
        <f>VLOOKUP(C179,'Talente &amp; Stuff'!IA:JB,22,FALSE)</f>
        <v>0</v>
      </c>
      <c r="Y179" s="165">
        <f t="shared" si="16"/>
        <v>0</v>
      </c>
      <c r="Z179" s="44">
        <f t="shared" si="17"/>
        <v>0</v>
      </c>
      <c r="AA179" s="125">
        <f>VLOOKUP(C179,'Talente &amp; Stuff'!IA:JB,25,FALSE)</f>
        <v>0</v>
      </c>
      <c r="AB179" s="160">
        <f>VLOOKUP(C179,'Talente &amp; Stuff'!IA:JB,26,FALSE)</f>
        <v>0</v>
      </c>
      <c r="AC179" s="127">
        <f>VLOOKUP(C179,'Talente &amp; Stuff'!IA:JB,27,FALSE)</f>
        <v>0</v>
      </c>
      <c r="AD179" s="125">
        <f>VLOOKUP(C179,'Talente &amp; Stuff'!IA:JB,28,FALSE)</f>
        <v>0</v>
      </c>
      <c r="AE179" s="28"/>
    </row>
    <row r="180" spans="2:31" ht="15" hidden="1" customHeight="1" outlineLevel="2">
      <c r="B180" s="148">
        <v>28</v>
      </c>
      <c r="C180" s="177" t="str">
        <f>Attribute!C180</f>
        <v>---</v>
      </c>
      <c r="D180" s="86" t="str">
        <f>VLOOKUP(C180,'Talente &amp; Stuff'!IA:JB,2,FALSE)</f>
        <v>--/--/--</v>
      </c>
      <c r="E180" s="167" t="str">
        <f>VLOOKUP(C180,'Talente &amp; Stuff'!IA:JB,3,FALSE)</f>
        <v>-</v>
      </c>
      <c r="F180" s="120">
        <f>VLOOKUP(C180,'Talente &amp; Stuff'!IA:JB,4,FALSE)</f>
        <v>0</v>
      </c>
      <c r="G180" s="117">
        <f>VLOOKUP(C180,'Talente &amp; Stuff'!IA:JB,5,FALSE)</f>
        <v>0</v>
      </c>
      <c r="H180" s="117">
        <f>VLOOKUP(C180,'Talente &amp; Stuff'!IA:JB,6,FALSE)</f>
        <v>0</v>
      </c>
      <c r="I180" s="117">
        <f>VLOOKUP(C180,'Talente &amp; Stuff'!IA:JB,7,FALSE)</f>
        <v>0</v>
      </c>
      <c r="J180" s="117">
        <f>VLOOKUP(C180,'Talente &amp; Stuff'!IA:JB,8,FALSE)</f>
        <v>0</v>
      </c>
      <c r="K180" s="117">
        <f>VLOOKUP(C180,'Talente &amp; Stuff'!IA:JB,9,FALSE)</f>
        <v>0</v>
      </c>
      <c r="L180" s="117">
        <f>VLOOKUP(C180,'Talente &amp; Stuff'!IA:JB,10,FALSE)</f>
        <v>0</v>
      </c>
      <c r="M180" s="121">
        <f>VLOOKUP(C180,'Talente &amp; Stuff'!IA:JB,11,FALSE)</f>
        <v>0</v>
      </c>
      <c r="N180" s="47">
        <f>VLOOKUP(C180,'Talente &amp; Stuff'!IA:JB,12,FALSE)</f>
        <v>0</v>
      </c>
      <c r="O180" s="3">
        <f>VLOOKUP(C180,'Talente &amp; Stuff'!IA:JB,13,FALSE)</f>
        <v>0</v>
      </c>
      <c r="P180" s="174">
        <f>VLOOKUP(C180,'Talente &amp; Stuff'!IA:JB,14,FALSE)</f>
        <v>0</v>
      </c>
      <c r="Q180" s="114">
        <f>VLOOKUP(C180,'Talente &amp; Stuff'!IA:JB,15,FALSE)</f>
        <v>0</v>
      </c>
      <c r="R180" s="117">
        <f>VLOOKUP(C180,'Talente &amp; Stuff'!IA:JB,16,FALSE)</f>
        <v>0</v>
      </c>
      <c r="S180" s="119">
        <f>VLOOKUP(C180,'Talente &amp; Stuff'!IA:JB,17,FALSE)</f>
        <v>0</v>
      </c>
      <c r="T180" s="119">
        <f>VLOOKUP(C180,'Talente &amp; Stuff'!IA:JB,18,FALSE)</f>
        <v>0</v>
      </c>
      <c r="U180" s="89">
        <f>VLOOKUP(C180,'Talente &amp; Stuff'!IA:JB,19,FALSE)</f>
        <v>0</v>
      </c>
      <c r="V180" s="47">
        <f>VLOOKUP(C180,'Talente &amp; Stuff'!IA:JB,20,FALSE)</f>
        <v>0</v>
      </c>
      <c r="W180" s="127">
        <f>VLOOKUP(C180,'Talente &amp; Stuff'!IA:JB,21,FALSE)</f>
        <v>0</v>
      </c>
      <c r="X180" s="127">
        <f>VLOOKUP(C180,'Talente &amp; Stuff'!IA:JB,22,FALSE)</f>
        <v>0</v>
      </c>
      <c r="Y180" s="165">
        <f t="shared" si="16"/>
        <v>0</v>
      </c>
      <c r="Z180" s="44">
        <f t="shared" si="17"/>
        <v>0</v>
      </c>
      <c r="AA180" s="125">
        <f>VLOOKUP(C180,'Talente &amp; Stuff'!IA:JB,25,FALSE)</f>
        <v>0</v>
      </c>
      <c r="AB180" s="160">
        <f>VLOOKUP(C180,'Talente &amp; Stuff'!IA:JB,26,FALSE)</f>
        <v>0</v>
      </c>
      <c r="AC180" s="127">
        <f>VLOOKUP(C180,'Talente &amp; Stuff'!IA:JB,27,FALSE)</f>
        <v>0</v>
      </c>
      <c r="AD180" s="125">
        <f>VLOOKUP(C180,'Talente &amp; Stuff'!IA:JB,28,FALSE)</f>
        <v>0</v>
      </c>
      <c r="AE180" s="28"/>
    </row>
    <row r="181" spans="2:31" ht="15" hidden="1" customHeight="1" outlineLevel="2">
      <c r="B181" s="148">
        <v>29</v>
      </c>
      <c r="C181" s="177" t="str">
        <f>Attribute!C181</f>
        <v>---</v>
      </c>
      <c r="D181" s="86" t="str">
        <f>VLOOKUP(C181,'Talente &amp; Stuff'!IA:JB,2,FALSE)</f>
        <v>--/--/--</v>
      </c>
      <c r="E181" s="167" t="str">
        <f>VLOOKUP(C181,'Talente &amp; Stuff'!IA:JB,3,FALSE)</f>
        <v>-</v>
      </c>
      <c r="F181" s="120">
        <f>VLOOKUP(C181,'Talente &amp; Stuff'!IA:JB,4,FALSE)</f>
        <v>0</v>
      </c>
      <c r="G181" s="117">
        <f>VLOOKUP(C181,'Talente &amp; Stuff'!IA:JB,5,FALSE)</f>
        <v>0</v>
      </c>
      <c r="H181" s="117">
        <f>VLOOKUP(C181,'Talente &amp; Stuff'!IA:JB,6,FALSE)</f>
        <v>0</v>
      </c>
      <c r="I181" s="117">
        <f>VLOOKUP(C181,'Talente &amp; Stuff'!IA:JB,7,FALSE)</f>
        <v>0</v>
      </c>
      <c r="J181" s="117">
        <f>VLOOKUP(C181,'Talente &amp; Stuff'!IA:JB,8,FALSE)</f>
        <v>0</v>
      </c>
      <c r="K181" s="117">
        <f>VLOOKUP(C181,'Talente &amp; Stuff'!IA:JB,9,FALSE)</f>
        <v>0</v>
      </c>
      <c r="L181" s="117">
        <f>VLOOKUP(C181,'Talente &amp; Stuff'!IA:JB,10,FALSE)</f>
        <v>0</v>
      </c>
      <c r="M181" s="121">
        <f>VLOOKUP(C181,'Talente &amp; Stuff'!IA:JB,11,FALSE)</f>
        <v>0</v>
      </c>
      <c r="N181" s="47">
        <f>VLOOKUP(C181,'Talente &amp; Stuff'!IA:JB,12,FALSE)</f>
        <v>0</v>
      </c>
      <c r="O181" s="3">
        <f>VLOOKUP(C181,'Talente &amp; Stuff'!IA:JB,13,FALSE)</f>
        <v>0</v>
      </c>
      <c r="P181" s="174">
        <f>VLOOKUP(C181,'Talente &amp; Stuff'!IA:JB,14,FALSE)</f>
        <v>0</v>
      </c>
      <c r="Q181" s="114">
        <f>VLOOKUP(C181,'Talente &amp; Stuff'!IA:JB,15,FALSE)</f>
        <v>0</v>
      </c>
      <c r="R181" s="117">
        <f>VLOOKUP(C181,'Talente &amp; Stuff'!IA:JB,16,FALSE)</f>
        <v>0</v>
      </c>
      <c r="S181" s="119">
        <f>VLOOKUP(C181,'Talente &amp; Stuff'!IA:JB,17,FALSE)</f>
        <v>0</v>
      </c>
      <c r="T181" s="119">
        <f>VLOOKUP(C181,'Talente &amp; Stuff'!IA:JB,18,FALSE)</f>
        <v>0</v>
      </c>
      <c r="U181" s="89">
        <f>VLOOKUP(C181,'Talente &amp; Stuff'!IA:JB,19,FALSE)</f>
        <v>0</v>
      </c>
      <c r="V181" s="47">
        <f>VLOOKUP(C181,'Talente &amp; Stuff'!IA:JB,20,FALSE)</f>
        <v>0</v>
      </c>
      <c r="W181" s="127">
        <f>VLOOKUP(C181,'Talente &amp; Stuff'!IA:JB,21,FALSE)</f>
        <v>0</v>
      </c>
      <c r="X181" s="127">
        <f>VLOOKUP(C181,'Talente &amp; Stuff'!IA:JB,22,FALSE)</f>
        <v>0</v>
      </c>
      <c r="Y181" s="165">
        <f t="shared" si="16"/>
        <v>0</v>
      </c>
      <c r="Z181" s="44">
        <f t="shared" si="17"/>
        <v>0</v>
      </c>
      <c r="AA181" s="125">
        <f>VLOOKUP(C181,'Talente &amp; Stuff'!IA:JB,25,FALSE)</f>
        <v>0</v>
      </c>
      <c r="AB181" s="160">
        <f>VLOOKUP(C181,'Talente &amp; Stuff'!IA:JB,26,FALSE)</f>
        <v>0</v>
      </c>
      <c r="AC181" s="127">
        <f>VLOOKUP(C181,'Talente &amp; Stuff'!IA:JB,27,FALSE)</f>
        <v>0</v>
      </c>
      <c r="AD181" s="125">
        <f>VLOOKUP(C181,'Talente &amp; Stuff'!IA:JB,28,FALSE)</f>
        <v>0</v>
      </c>
      <c r="AE181" s="28"/>
    </row>
    <row r="182" spans="2:31" ht="15" hidden="1" customHeight="1" outlineLevel="2">
      <c r="B182" s="148">
        <v>30</v>
      </c>
      <c r="C182" s="177" t="str">
        <f>Attribute!C182</f>
        <v>---</v>
      </c>
      <c r="D182" s="86" t="str">
        <f>VLOOKUP(C182,'Talente &amp; Stuff'!IA:JB,2,FALSE)</f>
        <v>--/--/--</v>
      </c>
      <c r="E182" s="167" t="str">
        <f>VLOOKUP(C182,'Talente &amp; Stuff'!IA:JB,3,FALSE)</f>
        <v>-</v>
      </c>
      <c r="F182" s="120">
        <f>VLOOKUP(C182,'Talente &amp; Stuff'!IA:JB,4,FALSE)</f>
        <v>0</v>
      </c>
      <c r="G182" s="117">
        <f>VLOOKUP(C182,'Talente &amp; Stuff'!IA:JB,5,FALSE)</f>
        <v>0</v>
      </c>
      <c r="H182" s="117">
        <f>VLOOKUP(C182,'Talente &amp; Stuff'!IA:JB,6,FALSE)</f>
        <v>0</v>
      </c>
      <c r="I182" s="117">
        <f>VLOOKUP(C182,'Talente &amp; Stuff'!IA:JB,7,FALSE)</f>
        <v>0</v>
      </c>
      <c r="J182" s="117">
        <f>VLOOKUP(C182,'Talente &amp; Stuff'!IA:JB,8,FALSE)</f>
        <v>0</v>
      </c>
      <c r="K182" s="117">
        <f>VLOOKUP(C182,'Talente &amp; Stuff'!IA:JB,9,FALSE)</f>
        <v>0</v>
      </c>
      <c r="L182" s="117">
        <f>VLOOKUP(C182,'Talente &amp; Stuff'!IA:JB,10,FALSE)</f>
        <v>0</v>
      </c>
      <c r="M182" s="121">
        <f>VLOOKUP(C182,'Talente &amp; Stuff'!IA:JB,11,FALSE)</f>
        <v>0</v>
      </c>
      <c r="N182" s="47">
        <f>VLOOKUP(C182,'Talente &amp; Stuff'!IA:JB,12,FALSE)</f>
        <v>0</v>
      </c>
      <c r="O182" s="3">
        <f>VLOOKUP(C182,'Talente &amp; Stuff'!IA:JB,13,FALSE)</f>
        <v>0</v>
      </c>
      <c r="P182" s="174">
        <f>VLOOKUP(C182,'Talente &amp; Stuff'!IA:JB,14,FALSE)</f>
        <v>0</v>
      </c>
      <c r="Q182" s="114">
        <f>VLOOKUP(C182,'Talente &amp; Stuff'!IA:JB,15,FALSE)</f>
        <v>0</v>
      </c>
      <c r="R182" s="117">
        <f>VLOOKUP(C182,'Talente &amp; Stuff'!IA:JB,16,FALSE)</f>
        <v>0</v>
      </c>
      <c r="S182" s="119">
        <f>VLOOKUP(C182,'Talente &amp; Stuff'!IA:JB,17,FALSE)</f>
        <v>0</v>
      </c>
      <c r="T182" s="119">
        <f>VLOOKUP(C182,'Talente &amp; Stuff'!IA:JB,18,FALSE)</f>
        <v>0</v>
      </c>
      <c r="U182" s="89">
        <f>VLOOKUP(C182,'Talente &amp; Stuff'!IA:JB,19,FALSE)</f>
        <v>0</v>
      </c>
      <c r="V182" s="47">
        <f>VLOOKUP(C182,'Talente &amp; Stuff'!IA:JB,20,FALSE)</f>
        <v>0</v>
      </c>
      <c r="W182" s="127">
        <f>VLOOKUP(C182,'Talente &amp; Stuff'!IA:JB,21,FALSE)</f>
        <v>0</v>
      </c>
      <c r="X182" s="127">
        <f>VLOOKUP(C182,'Talente &amp; Stuff'!IA:JB,22,FALSE)</f>
        <v>0</v>
      </c>
      <c r="Y182" s="165">
        <f t="shared" si="16"/>
        <v>0</v>
      </c>
      <c r="Z182" s="44">
        <f t="shared" si="17"/>
        <v>0</v>
      </c>
      <c r="AA182" s="125">
        <f>VLOOKUP(C182,'Talente &amp; Stuff'!IA:JB,25,FALSE)</f>
        <v>0</v>
      </c>
      <c r="AB182" s="160">
        <f>VLOOKUP(C182,'Talente &amp; Stuff'!IA:JB,26,FALSE)</f>
        <v>0</v>
      </c>
      <c r="AC182" s="127">
        <f>VLOOKUP(C182,'Talente &amp; Stuff'!IA:JB,27,FALSE)</f>
        <v>0</v>
      </c>
      <c r="AD182" s="125">
        <f>VLOOKUP(C182,'Talente &amp; Stuff'!IA:JB,28,FALSE)</f>
        <v>0</v>
      </c>
      <c r="AE182" s="28"/>
    </row>
    <row r="183" spans="2:31" ht="15" hidden="1" customHeight="1" outlineLevel="2">
      <c r="B183" s="148">
        <v>31</v>
      </c>
      <c r="C183" s="177" t="str">
        <f>Attribute!C183</f>
        <v>---</v>
      </c>
      <c r="D183" s="86" t="str">
        <f>VLOOKUP(C183,'Talente &amp; Stuff'!IA:JB,2,FALSE)</f>
        <v>--/--/--</v>
      </c>
      <c r="E183" s="167" t="str">
        <f>VLOOKUP(C183,'Talente &amp; Stuff'!IA:JB,3,FALSE)</f>
        <v>-</v>
      </c>
      <c r="F183" s="120">
        <f>VLOOKUP(C183,'Talente &amp; Stuff'!IA:JB,4,FALSE)</f>
        <v>0</v>
      </c>
      <c r="G183" s="117">
        <f>VLOOKUP(C183,'Talente &amp; Stuff'!IA:JB,5,FALSE)</f>
        <v>0</v>
      </c>
      <c r="H183" s="117">
        <f>VLOOKUP(C183,'Talente &amp; Stuff'!IA:JB,6,FALSE)</f>
        <v>0</v>
      </c>
      <c r="I183" s="117">
        <f>VLOOKUP(C183,'Talente &amp; Stuff'!IA:JB,7,FALSE)</f>
        <v>0</v>
      </c>
      <c r="J183" s="117">
        <f>VLOOKUP(C183,'Talente &amp; Stuff'!IA:JB,8,FALSE)</f>
        <v>0</v>
      </c>
      <c r="K183" s="117">
        <f>VLOOKUP(C183,'Talente &amp; Stuff'!IA:JB,9,FALSE)</f>
        <v>0</v>
      </c>
      <c r="L183" s="117">
        <f>VLOOKUP(C183,'Talente &amp; Stuff'!IA:JB,10,FALSE)</f>
        <v>0</v>
      </c>
      <c r="M183" s="121">
        <f>VLOOKUP(C183,'Talente &amp; Stuff'!IA:JB,11,FALSE)</f>
        <v>0</v>
      </c>
      <c r="N183" s="47">
        <f>VLOOKUP(C183,'Talente &amp; Stuff'!IA:JB,12,FALSE)</f>
        <v>0</v>
      </c>
      <c r="O183" s="3">
        <f>VLOOKUP(C183,'Talente &amp; Stuff'!IA:JB,13,FALSE)</f>
        <v>0</v>
      </c>
      <c r="P183" s="174">
        <f>VLOOKUP(C183,'Talente &amp; Stuff'!IA:JB,14,FALSE)</f>
        <v>0</v>
      </c>
      <c r="Q183" s="114">
        <f>VLOOKUP(C183,'Talente &amp; Stuff'!IA:JB,15,FALSE)</f>
        <v>0</v>
      </c>
      <c r="R183" s="117">
        <f>VLOOKUP(C183,'Talente &amp; Stuff'!IA:JB,16,FALSE)</f>
        <v>0</v>
      </c>
      <c r="S183" s="119">
        <f>VLOOKUP(C183,'Talente &amp; Stuff'!IA:JB,17,FALSE)</f>
        <v>0</v>
      </c>
      <c r="T183" s="119">
        <f>VLOOKUP(C183,'Talente &amp; Stuff'!IA:JB,18,FALSE)</f>
        <v>0</v>
      </c>
      <c r="U183" s="89">
        <f>VLOOKUP(C183,'Talente &amp; Stuff'!IA:JB,19,FALSE)</f>
        <v>0</v>
      </c>
      <c r="V183" s="47">
        <f>VLOOKUP(C183,'Talente &amp; Stuff'!IA:JB,20,FALSE)</f>
        <v>0</v>
      </c>
      <c r="W183" s="127">
        <f>VLOOKUP(C183,'Talente &amp; Stuff'!IA:JB,21,FALSE)</f>
        <v>0</v>
      </c>
      <c r="X183" s="127">
        <f>VLOOKUP(C183,'Talente &amp; Stuff'!IA:JB,22,FALSE)</f>
        <v>0</v>
      </c>
      <c r="Y183" s="165">
        <f t="shared" si="16"/>
        <v>0</v>
      </c>
      <c r="Z183" s="44">
        <f t="shared" si="17"/>
        <v>0</v>
      </c>
      <c r="AA183" s="125">
        <f>VLOOKUP(C183,'Talente &amp; Stuff'!IA:JB,25,FALSE)</f>
        <v>0</v>
      </c>
      <c r="AB183" s="160">
        <f>VLOOKUP(C183,'Talente &amp; Stuff'!IA:JB,26,FALSE)</f>
        <v>0</v>
      </c>
      <c r="AC183" s="127">
        <f>VLOOKUP(C183,'Talente &amp; Stuff'!IA:JB,27,FALSE)</f>
        <v>0</v>
      </c>
      <c r="AD183" s="125">
        <f>VLOOKUP(C183,'Talente &amp; Stuff'!IA:JB,28,FALSE)</f>
        <v>0</v>
      </c>
      <c r="AE183" s="28"/>
    </row>
    <row r="184" spans="2:31" ht="15" hidden="1" customHeight="1" outlineLevel="2">
      <c r="B184" s="148">
        <v>32</v>
      </c>
      <c r="C184" s="177" t="str">
        <f>Attribute!C184</f>
        <v>---</v>
      </c>
      <c r="D184" s="86" t="str">
        <f>VLOOKUP(C184,'Talente &amp; Stuff'!IA:JB,2,FALSE)</f>
        <v>--/--/--</v>
      </c>
      <c r="E184" s="167" t="str">
        <f>VLOOKUP(C184,'Talente &amp; Stuff'!IA:JB,3,FALSE)</f>
        <v>-</v>
      </c>
      <c r="F184" s="120">
        <f>VLOOKUP(C184,'Talente &amp; Stuff'!IA:JB,4,FALSE)</f>
        <v>0</v>
      </c>
      <c r="G184" s="117">
        <f>VLOOKUP(C184,'Talente &amp; Stuff'!IA:JB,5,FALSE)</f>
        <v>0</v>
      </c>
      <c r="H184" s="117">
        <f>VLOOKUP(C184,'Talente &amp; Stuff'!IA:JB,6,FALSE)</f>
        <v>0</v>
      </c>
      <c r="I184" s="117">
        <f>VLOOKUP(C184,'Talente &amp; Stuff'!IA:JB,7,FALSE)</f>
        <v>0</v>
      </c>
      <c r="J184" s="117">
        <f>VLOOKUP(C184,'Talente &amp; Stuff'!IA:JB,8,FALSE)</f>
        <v>0</v>
      </c>
      <c r="K184" s="117">
        <f>VLOOKUP(C184,'Talente &amp; Stuff'!IA:JB,9,FALSE)</f>
        <v>0</v>
      </c>
      <c r="L184" s="117">
        <f>VLOOKUP(C184,'Talente &amp; Stuff'!IA:JB,10,FALSE)</f>
        <v>0</v>
      </c>
      <c r="M184" s="121">
        <f>VLOOKUP(C184,'Talente &amp; Stuff'!IA:JB,11,FALSE)</f>
        <v>0</v>
      </c>
      <c r="N184" s="47">
        <f>VLOOKUP(C184,'Talente &amp; Stuff'!IA:JB,12,FALSE)</f>
        <v>0</v>
      </c>
      <c r="O184" s="3">
        <f>VLOOKUP(C184,'Talente &amp; Stuff'!IA:JB,13,FALSE)</f>
        <v>0</v>
      </c>
      <c r="P184" s="174">
        <f>VLOOKUP(C184,'Talente &amp; Stuff'!IA:JB,14,FALSE)</f>
        <v>0</v>
      </c>
      <c r="Q184" s="114">
        <f>VLOOKUP(C184,'Talente &amp; Stuff'!IA:JB,15,FALSE)</f>
        <v>0</v>
      </c>
      <c r="R184" s="117">
        <f>VLOOKUP(C184,'Talente &amp; Stuff'!IA:JB,16,FALSE)</f>
        <v>0</v>
      </c>
      <c r="S184" s="119">
        <f>VLOOKUP(C184,'Talente &amp; Stuff'!IA:JB,17,FALSE)</f>
        <v>0</v>
      </c>
      <c r="T184" s="119">
        <f>VLOOKUP(C184,'Talente &amp; Stuff'!IA:JB,18,FALSE)</f>
        <v>0</v>
      </c>
      <c r="U184" s="89">
        <f>VLOOKUP(C184,'Talente &amp; Stuff'!IA:JB,19,FALSE)</f>
        <v>0</v>
      </c>
      <c r="V184" s="47">
        <f>VLOOKUP(C184,'Talente &amp; Stuff'!IA:JB,20,FALSE)</f>
        <v>0</v>
      </c>
      <c r="W184" s="127">
        <f>VLOOKUP(C184,'Talente &amp; Stuff'!IA:JB,21,FALSE)</f>
        <v>0</v>
      </c>
      <c r="X184" s="127">
        <f>VLOOKUP(C184,'Talente &amp; Stuff'!IA:JB,22,FALSE)</f>
        <v>0</v>
      </c>
      <c r="Y184" s="165">
        <f t="shared" si="16"/>
        <v>0</v>
      </c>
      <c r="Z184" s="44">
        <f t="shared" si="17"/>
        <v>0</v>
      </c>
      <c r="AA184" s="125">
        <f>VLOOKUP(C184,'Talente &amp; Stuff'!IA:JB,25,FALSE)</f>
        <v>0</v>
      </c>
      <c r="AB184" s="160">
        <f>VLOOKUP(C184,'Talente &amp; Stuff'!IA:JB,26,FALSE)</f>
        <v>0</v>
      </c>
      <c r="AC184" s="127">
        <f>VLOOKUP(C184,'Talente &amp; Stuff'!IA:JB,27,FALSE)</f>
        <v>0</v>
      </c>
      <c r="AD184" s="125">
        <f>VLOOKUP(C184,'Talente &amp; Stuff'!IA:JB,28,FALSE)</f>
        <v>0</v>
      </c>
      <c r="AE184" s="28"/>
    </row>
    <row r="185" spans="2:31" ht="15" hidden="1" customHeight="1" outlineLevel="2">
      <c r="B185" s="148">
        <v>33</v>
      </c>
      <c r="C185" s="177" t="str">
        <f>Attribute!C185</f>
        <v>---</v>
      </c>
      <c r="D185" s="86" t="str">
        <f>VLOOKUP(C185,'Talente &amp; Stuff'!IA:JB,2,FALSE)</f>
        <v>--/--/--</v>
      </c>
      <c r="E185" s="167" t="str">
        <f>VLOOKUP(C185,'Talente &amp; Stuff'!IA:JB,3,FALSE)</f>
        <v>-</v>
      </c>
      <c r="F185" s="120">
        <f>VLOOKUP(C185,'Talente &amp; Stuff'!IA:JB,4,FALSE)</f>
        <v>0</v>
      </c>
      <c r="G185" s="117">
        <f>VLOOKUP(C185,'Talente &amp; Stuff'!IA:JB,5,FALSE)</f>
        <v>0</v>
      </c>
      <c r="H185" s="117">
        <f>VLOOKUP(C185,'Talente &amp; Stuff'!IA:JB,6,FALSE)</f>
        <v>0</v>
      </c>
      <c r="I185" s="117">
        <f>VLOOKUP(C185,'Talente &amp; Stuff'!IA:JB,7,FALSE)</f>
        <v>0</v>
      </c>
      <c r="J185" s="117">
        <f>VLOOKUP(C185,'Talente &amp; Stuff'!IA:JB,8,FALSE)</f>
        <v>0</v>
      </c>
      <c r="K185" s="117">
        <f>VLOOKUP(C185,'Talente &amp; Stuff'!IA:JB,9,FALSE)</f>
        <v>0</v>
      </c>
      <c r="L185" s="117">
        <f>VLOOKUP(C185,'Talente &amp; Stuff'!IA:JB,10,FALSE)</f>
        <v>0</v>
      </c>
      <c r="M185" s="121">
        <f>VLOOKUP(C185,'Talente &amp; Stuff'!IA:JB,11,FALSE)</f>
        <v>0</v>
      </c>
      <c r="N185" s="47">
        <f>VLOOKUP(C185,'Talente &amp; Stuff'!IA:JB,12,FALSE)</f>
        <v>0</v>
      </c>
      <c r="O185" s="3">
        <f>VLOOKUP(C185,'Talente &amp; Stuff'!IA:JB,13,FALSE)</f>
        <v>0</v>
      </c>
      <c r="P185" s="174">
        <f>VLOOKUP(C185,'Talente &amp; Stuff'!IA:JB,14,FALSE)</f>
        <v>0</v>
      </c>
      <c r="Q185" s="114">
        <f>VLOOKUP(C185,'Talente &amp; Stuff'!IA:JB,15,FALSE)</f>
        <v>0</v>
      </c>
      <c r="R185" s="117">
        <f>VLOOKUP(C185,'Talente &amp; Stuff'!IA:JB,16,FALSE)</f>
        <v>0</v>
      </c>
      <c r="S185" s="119">
        <f>VLOOKUP(C185,'Talente &amp; Stuff'!IA:JB,17,FALSE)</f>
        <v>0</v>
      </c>
      <c r="T185" s="119">
        <f>VLOOKUP(C185,'Talente &amp; Stuff'!IA:JB,18,FALSE)</f>
        <v>0</v>
      </c>
      <c r="U185" s="89">
        <f>VLOOKUP(C185,'Talente &amp; Stuff'!IA:JB,19,FALSE)</f>
        <v>0</v>
      </c>
      <c r="V185" s="47">
        <f>VLOOKUP(C185,'Talente &amp; Stuff'!IA:JB,20,FALSE)</f>
        <v>0</v>
      </c>
      <c r="W185" s="127">
        <f>VLOOKUP(C185,'Talente &amp; Stuff'!IA:JB,21,FALSE)</f>
        <v>0</v>
      </c>
      <c r="X185" s="127">
        <f>VLOOKUP(C185,'Talente &amp; Stuff'!IA:JB,22,FALSE)</f>
        <v>0</v>
      </c>
      <c r="Y185" s="165">
        <f t="shared" ref="Y185:Y211" si="18">VLOOKUP(C185,Ausgewählte_Zauber_Gildenmagier,255,FALSE)</f>
        <v>0</v>
      </c>
      <c r="Z185" s="44">
        <f t="shared" ref="Z185:Z211" si="19">VLOOKUP(C185,Ausgewählte_Zauber_Gildenmagier,256,FALSE)</f>
        <v>0</v>
      </c>
      <c r="AA185" s="125">
        <f>VLOOKUP(C185,'Talente &amp; Stuff'!IA:JB,25,FALSE)</f>
        <v>0</v>
      </c>
      <c r="AB185" s="160">
        <f>VLOOKUP(C185,'Talente &amp; Stuff'!IA:JB,26,FALSE)</f>
        <v>0</v>
      </c>
      <c r="AC185" s="127">
        <f>VLOOKUP(C185,'Talente &amp; Stuff'!IA:JB,27,FALSE)</f>
        <v>0</v>
      </c>
      <c r="AD185" s="125">
        <f>VLOOKUP(C185,'Talente &amp; Stuff'!IA:JB,28,FALSE)</f>
        <v>0</v>
      </c>
      <c r="AE185" s="28"/>
    </row>
    <row r="186" spans="2:31" ht="15" hidden="1" customHeight="1" outlineLevel="2">
      <c r="B186" s="148">
        <v>34</v>
      </c>
      <c r="C186" s="177" t="str">
        <f>Attribute!C186</f>
        <v>---</v>
      </c>
      <c r="D186" s="86" t="str">
        <f>VLOOKUP(C186,'Talente &amp; Stuff'!IA:JB,2,FALSE)</f>
        <v>--/--/--</v>
      </c>
      <c r="E186" s="167" t="str">
        <f>VLOOKUP(C186,'Talente &amp; Stuff'!IA:JB,3,FALSE)</f>
        <v>-</v>
      </c>
      <c r="F186" s="120">
        <f>VLOOKUP(C186,'Talente &amp; Stuff'!IA:JB,4,FALSE)</f>
        <v>0</v>
      </c>
      <c r="G186" s="117">
        <f>VLOOKUP(C186,'Talente &amp; Stuff'!IA:JB,5,FALSE)</f>
        <v>0</v>
      </c>
      <c r="H186" s="117">
        <f>VLOOKUP(C186,'Talente &amp; Stuff'!IA:JB,6,FALSE)</f>
        <v>0</v>
      </c>
      <c r="I186" s="117">
        <f>VLOOKUP(C186,'Talente &amp; Stuff'!IA:JB,7,FALSE)</f>
        <v>0</v>
      </c>
      <c r="J186" s="117">
        <f>VLOOKUP(C186,'Talente &amp; Stuff'!IA:JB,8,FALSE)</f>
        <v>0</v>
      </c>
      <c r="K186" s="117">
        <f>VLOOKUP(C186,'Talente &amp; Stuff'!IA:JB,9,FALSE)</f>
        <v>0</v>
      </c>
      <c r="L186" s="117">
        <f>VLOOKUP(C186,'Talente &amp; Stuff'!IA:JB,10,FALSE)</f>
        <v>0</v>
      </c>
      <c r="M186" s="121">
        <f>VLOOKUP(C186,'Talente &amp; Stuff'!IA:JB,11,FALSE)</f>
        <v>0</v>
      </c>
      <c r="N186" s="47">
        <f>VLOOKUP(C186,'Talente &amp; Stuff'!IA:JB,12,FALSE)</f>
        <v>0</v>
      </c>
      <c r="O186" s="3">
        <f>VLOOKUP(C186,'Talente &amp; Stuff'!IA:JB,13,FALSE)</f>
        <v>0</v>
      </c>
      <c r="P186" s="174">
        <f>VLOOKUP(C186,'Talente &amp; Stuff'!IA:JB,14,FALSE)</f>
        <v>0</v>
      </c>
      <c r="Q186" s="114">
        <f>VLOOKUP(C186,'Talente &amp; Stuff'!IA:JB,15,FALSE)</f>
        <v>0</v>
      </c>
      <c r="R186" s="117">
        <f>VLOOKUP(C186,'Talente &amp; Stuff'!IA:JB,16,FALSE)</f>
        <v>0</v>
      </c>
      <c r="S186" s="119">
        <f>VLOOKUP(C186,'Talente &amp; Stuff'!IA:JB,17,FALSE)</f>
        <v>0</v>
      </c>
      <c r="T186" s="119">
        <f>VLOOKUP(C186,'Talente &amp; Stuff'!IA:JB,18,FALSE)</f>
        <v>0</v>
      </c>
      <c r="U186" s="89">
        <f>VLOOKUP(C186,'Talente &amp; Stuff'!IA:JB,19,FALSE)</f>
        <v>0</v>
      </c>
      <c r="V186" s="47">
        <f>VLOOKUP(C186,'Talente &amp; Stuff'!IA:JB,20,FALSE)</f>
        <v>0</v>
      </c>
      <c r="W186" s="127">
        <f>VLOOKUP(C186,'Talente &amp; Stuff'!IA:JB,21,FALSE)</f>
        <v>0</v>
      </c>
      <c r="X186" s="127">
        <f>VLOOKUP(C186,'Talente &amp; Stuff'!IA:JB,22,FALSE)</f>
        <v>0</v>
      </c>
      <c r="Y186" s="165">
        <f t="shared" si="18"/>
        <v>0</v>
      </c>
      <c r="Z186" s="44">
        <f t="shared" si="19"/>
        <v>0</v>
      </c>
      <c r="AA186" s="125">
        <f>VLOOKUP(C186,'Talente &amp; Stuff'!IA:JB,25,FALSE)</f>
        <v>0</v>
      </c>
      <c r="AB186" s="160">
        <f>VLOOKUP(C186,'Talente &amp; Stuff'!IA:JB,26,FALSE)</f>
        <v>0</v>
      </c>
      <c r="AC186" s="127">
        <f>VLOOKUP(C186,'Talente &amp; Stuff'!IA:JB,27,FALSE)</f>
        <v>0</v>
      </c>
      <c r="AD186" s="125">
        <f>VLOOKUP(C186,'Talente &amp; Stuff'!IA:JB,28,FALSE)</f>
        <v>0</v>
      </c>
      <c r="AE186" s="28"/>
    </row>
    <row r="187" spans="2:31" ht="15" hidden="1" customHeight="1" outlineLevel="2">
      <c r="B187" s="148">
        <v>35</v>
      </c>
      <c r="C187" s="177" t="str">
        <f>Attribute!C187</f>
        <v>---</v>
      </c>
      <c r="D187" s="86" t="str">
        <f>VLOOKUP(C187,'Talente &amp; Stuff'!IA:JB,2,FALSE)</f>
        <v>--/--/--</v>
      </c>
      <c r="E187" s="167" t="str">
        <f>VLOOKUP(C187,'Talente &amp; Stuff'!IA:JB,3,FALSE)</f>
        <v>-</v>
      </c>
      <c r="F187" s="120">
        <f>VLOOKUP(C187,'Talente &amp; Stuff'!IA:JB,4,FALSE)</f>
        <v>0</v>
      </c>
      <c r="G187" s="117">
        <f>VLOOKUP(C187,'Talente &amp; Stuff'!IA:JB,5,FALSE)</f>
        <v>0</v>
      </c>
      <c r="H187" s="117">
        <f>VLOOKUP(C187,'Talente &amp; Stuff'!IA:JB,6,FALSE)</f>
        <v>0</v>
      </c>
      <c r="I187" s="117">
        <f>VLOOKUP(C187,'Talente &amp; Stuff'!IA:JB,7,FALSE)</f>
        <v>0</v>
      </c>
      <c r="J187" s="117">
        <f>VLOOKUP(C187,'Talente &amp; Stuff'!IA:JB,8,FALSE)</f>
        <v>0</v>
      </c>
      <c r="K187" s="117">
        <f>VLOOKUP(C187,'Talente &amp; Stuff'!IA:JB,9,FALSE)</f>
        <v>0</v>
      </c>
      <c r="L187" s="117">
        <f>VLOOKUP(C187,'Talente &amp; Stuff'!IA:JB,10,FALSE)</f>
        <v>0</v>
      </c>
      <c r="M187" s="121">
        <f>VLOOKUP(C187,'Talente &amp; Stuff'!IA:JB,11,FALSE)</f>
        <v>0</v>
      </c>
      <c r="N187" s="47">
        <f>VLOOKUP(C187,'Talente &amp; Stuff'!IA:JB,12,FALSE)</f>
        <v>0</v>
      </c>
      <c r="O187" s="3">
        <f>VLOOKUP(C187,'Talente &amp; Stuff'!IA:JB,13,FALSE)</f>
        <v>0</v>
      </c>
      <c r="P187" s="174">
        <f>VLOOKUP(C187,'Talente &amp; Stuff'!IA:JB,14,FALSE)</f>
        <v>0</v>
      </c>
      <c r="Q187" s="114">
        <f>VLOOKUP(C187,'Talente &amp; Stuff'!IA:JB,15,FALSE)</f>
        <v>0</v>
      </c>
      <c r="R187" s="117">
        <f>VLOOKUP(C187,'Talente &amp; Stuff'!IA:JB,16,FALSE)</f>
        <v>0</v>
      </c>
      <c r="S187" s="119">
        <f>VLOOKUP(C187,'Talente &amp; Stuff'!IA:JB,17,FALSE)</f>
        <v>0</v>
      </c>
      <c r="T187" s="119">
        <f>VLOOKUP(C187,'Talente &amp; Stuff'!IA:JB,18,FALSE)</f>
        <v>0</v>
      </c>
      <c r="U187" s="89">
        <f>VLOOKUP(C187,'Talente &amp; Stuff'!IA:JB,19,FALSE)</f>
        <v>0</v>
      </c>
      <c r="V187" s="47">
        <f>VLOOKUP(C187,'Talente &amp; Stuff'!IA:JB,20,FALSE)</f>
        <v>0</v>
      </c>
      <c r="W187" s="127">
        <f>VLOOKUP(C187,'Talente &amp; Stuff'!IA:JB,21,FALSE)</f>
        <v>0</v>
      </c>
      <c r="X187" s="127">
        <f>VLOOKUP(C187,'Talente &amp; Stuff'!IA:JB,22,FALSE)</f>
        <v>0</v>
      </c>
      <c r="Y187" s="165">
        <f t="shared" si="18"/>
        <v>0</v>
      </c>
      <c r="Z187" s="44">
        <f t="shared" si="19"/>
        <v>0</v>
      </c>
      <c r="AA187" s="125">
        <f>VLOOKUP(C187,'Talente &amp; Stuff'!IA:JB,25,FALSE)</f>
        <v>0</v>
      </c>
      <c r="AB187" s="160">
        <f>VLOOKUP(C187,'Talente &amp; Stuff'!IA:JB,26,FALSE)</f>
        <v>0</v>
      </c>
      <c r="AC187" s="127">
        <f>VLOOKUP(C187,'Talente &amp; Stuff'!IA:JB,27,FALSE)</f>
        <v>0</v>
      </c>
      <c r="AD187" s="125">
        <f>VLOOKUP(C187,'Talente &amp; Stuff'!IA:JB,28,FALSE)</f>
        <v>0</v>
      </c>
      <c r="AE187" s="28"/>
    </row>
    <row r="188" spans="2:31" ht="15" hidden="1" customHeight="1" outlineLevel="2">
      <c r="B188" s="148">
        <v>36</v>
      </c>
      <c r="C188" s="177" t="str">
        <f>Attribute!C188</f>
        <v>---</v>
      </c>
      <c r="D188" s="86" t="str">
        <f>VLOOKUP(C188,'Talente &amp; Stuff'!IA:JB,2,FALSE)</f>
        <v>--/--/--</v>
      </c>
      <c r="E188" s="167" t="str">
        <f>VLOOKUP(C188,'Talente &amp; Stuff'!IA:JB,3,FALSE)</f>
        <v>-</v>
      </c>
      <c r="F188" s="120">
        <f>VLOOKUP(C188,'Talente &amp; Stuff'!IA:JB,4,FALSE)</f>
        <v>0</v>
      </c>
      <c r="G188" s="117">
        <f>VLOOKUP(C188,'Talente &amp; Stuff'!IA:JB,5,FALSE)</f>
        <v>0</v>
      </c>
      <c r="H188" s="117">
        <f>VLOOKUP(C188,'Talente &amp; Stuff'!IA:JB,6,FALSE)</f>
        <v>0</v>
      </c>
      <c r="I188" s="117">
        <f>VLOOKUP(C188,'Talente &amp; Stuff'!IA:JB,7,FALSE)</f>
        <v>0</v>
      </c>
      <c r="J188" s="117">
        <f>VLOOKUP(C188,'Talente &amp; Stuff'!IA:JB,8,FALSE)</f>
        <v>0</v>
      </c>
      <c r="K188" s="117">
        <f>VLOOKUP(C188,'Talente &amp; Stuff'!IA:JB,9,FALSE)</f>
        <v>0</v>
      </c>
      <c r="L188" s="117">
        <f>VLOOKUP(C188,'Talente &amp; Stuff'!IA:JB,10,FALSE)</f>
        <v>0</v>
      </c>
      <c r="M188" s="121">
        <f>VLOOKUP(C188,'Talente &amp; Stuff'!IA:JB,11,FALSE)</f>
        <v>0</v>
      </c>
      <c r="N188" s="47">
        <f>VLOOKUP(C188,'Talente &amp; Stuff'!IA:JB,12,FALSE)</f>
        <v>0</v>
      </c>
      <c r="O188" s="3">
        <f>VLOOKUP(C188,'Talente &amp; Stuff'!IA:JB,13,FALSE)</f>
        <v>0</v>
      </c>
      <c r="P188" s="174">
        <f>VLOOKUP(C188,'Talente &amp; Stuff'!IA:JB,14,FALSE)</f>
        <v>0</v>
      </c>
      <c r="Q188" s="114">
        <f>VLOOKUP(C188,'Talente &amp; Stuff'!IA:JB,15,FALSE)</f>
        <v>0</v>
      </c>
      <c r="R188" s="117">
        <f>VLOOKUP(C188,'Talente &amp; Stuff'!IA:JB,16,FALSE)</f>
        <v>0</v>
      </c>
      <c r="S188" s="119">
        <f>VLOOKUP(C188,'Talente &amp; Stuff'!IA:JB,17,FALSE)</f>
        <v>0</v>
      </c>
      <c r="T188" s="119">
        <f>VLOOKUP(C188,'Talente &amp; Stuff'!IA:JB,18,FALSE)</f>
        <v>0</v>
      </c>
      <c r="U188" s="89">
        <f>VLOOKUP(C188,'Talente &amp; Stuff'!IA:JB,19,FALSE)</f>
        <v>0</v>
      </c>
      <c r="V188" s="47">
        <f>VLOOKUP(C188,'Talente &amp; Stuff'!IA:JB,20,FALSE)</f>
        <v>0</v>
      </c>
      <c r="W188" s="127">
        <f>VLOOKUP(C188,'Talente &amp; Stuff'!IA:JB,21,FALSE)</f>
        <v>0</v>
      </c>
      <c r="X188" s="127">
        <f>VLOOKUP(C188,'Talente &amp; Stuff'!IA:JB,22,FALSE)</f>
        <v>0</v>
      </c>
      <c r="Y188" s="165">
        <f t="shared" si="18"/>
        <v>0</v>
      </c>
      <c r="Z188" s="44">
        <f t="shared" si="19"/>
        <v>0</v>
      </c>
      <c r="AA188" s="125">
        <f>VLOOKUP(C188,'Talente &amp; Stuff'!IA:JB,25,FALSE)</f>
        <v>0</v>
      </c>
      <c r="AB188" s="160">
        <f>VLOOKUP(C188,'Talente &amp; Stuff'!IA:JB,26,FALSE)</f>
        <v>0</v>
      </c>
      <c r="AC188" s="127">
        <f>VLOOKUP(C188,'Talente &amp; Stuff'!IA:JB,27,FALSE)</f>
        <v>0</v>
      </c>
      <c r="AD188" s="125">
        <f>VLOOKUP(C188,'Talente &amp; Stuff'!IA:JB,28,FALSE)</f>
        <v>0</v>
      </c>
      <c r="AE188" s="28"/>
    </row>
    <row r="189" spans="2:31" ht="15" hidden="1" customHeight="1" outlineLevel="2">
      <c r="B189" s="148">
        <v>37</v>
      </c>
      <c r="C189" s="177" t="str">
        <f>Attribute!C189</f>
        <v>---</v>
      </c>
      <c r="D189" s="86" t="str">
        <f>VLOOKUP(C189,'Talente &amp; Stuff'!IA:JB,2,FALSE)</f>
        <v>--/--/--</v>
      </c>
      <c r="E189" s="167" t="str">
        <f>VLOOKUP(C189,'Talente &amp; Stuff'!IA:JB,3,FALSE)</f>
        <v>-</v>
      </c>
      <c r="F189" s="120">
        <f>VLOOKUP(C189,'Talente &amp; Stuff'!IA:JB,4,FALSE)</f>
        <v>0</v>
      </c>
      <c r="G189" s="117">
        <f>VLOOKUP(C189,'Talente &amp; Stuff'!IA:JB,5,FALSE)</f>
        <v>0</v>
      </c>
      <c r="H189" s="117">
        <f>VLOOKUP(C189,'Talente &amp; Stuff'!IA:JB,6,FALSE)</f>
        <v>0</v>
      </c>
      <c r="I189" s="117">
        <f>VLOOKUP(C189,'Talente &amp; Stuff'!IA:JB,7,FALSE)</f>
        <v>0</v>
      </c>
      <c r="J189" s="117">
        <f>VLOOKUP(C189,'Talente &amp; Stuff'!IA:JB,8,FALSE)</f>
        <v>0</v>
      </c>
      <c r="K189" s="117">
        <f>VLOOKUP(C189,'Talente &amp; Stuff'!IA:JB,9,FALSE)</f>
        <v>0</v>
      </c>
      <c r="L189" s="117">
        <f>VLOOKUP(C189,'Talente &amp; Stuff'!IA:JB,10,FALSE)</f>
        <v>0</v>
      </c>
      <c r="M189" s="121">
        <f>VLOOKUP(C189,'Talente &amp; Stuff'!IA:JB,11,FALSE)</f>
        <v>0</v>
      </c>
      <c r="N189" s="47">
        <f>VLOOKUP(C189,'Talente &amp; Stuff'!IA:JB,12,FALSE)</f>
        <v>0</v>
      </c>
      <c r="O189" s="3">
        <f>VLOOKUP(C189,'Talente &amp; Stuff'!IA:JB,13,FALSE)</f>
        <v>0</v>
      </c>
      <c r="P189" s="174">
        <f>VLOOKUP(C189,'Talente &amp; Stuff'!IA:JB,14,FALSE)</f>
        <v>0</v>
      </c>
      <c r="Q189" s="114">
        <f>VLOOKUP(C189,'Talente &amp; Stuff'!IA:JB,15,FALSE)</f>
        <v>0</v>
      </c>
      <c r="R189" s="117">
        <f>VLOOKUP(C189,'Talente &amp; Stuff'!IA:JB,16,FALSE)</f>
        <v>0</v>
      </c>
      <c r="S189" s="119">
        <f>VLOOKUP(C189,'Talente &amp; Stuff'!IA:JB,17,FALSE)</f>
        <v>0</v>
      </c>
      <c r="T189" s="119">
        <f>VLOOKUP(C189,'Talente &amp; Stuff'!IA:JB,18,FALSE)</f>
        <v>0</v>
      </c>
      <c r="U189" s="89">
        <f>VLOOKUP(C189,'Talente &amp; Stuff'!IA:JB,19,FALSE)</f>
        <v>0</v>
      </c>
      <c r="V189" s="47">
        <f>VLOOKUP(C189,'Talente &amp; Stuff'!IA:JB,20,FALSE)</f>
        <v>0</v>
      </c>
      <c r="W189" s="127">
        <f>VLOOKUP(C189,'Talente &amp; Stuff'!IA:JB,21,FALSE)</f>
        <v>0</v>
      </c>
      <c r="X189" s="127">
        <f>VLOOKUP(C189,'Talente &amp; Stuff'!IA:JB,22,FALSE)</f>
        <v>0</v>
      </c>
      <c r="Y189" s="165">
        <f t="shared" si="18"/>
        <v>0</v>
      </c>
      <c r="Z189" s="44">
        <f t="shared" si="19"/>
        <v>0</v>
      </c>
      <c r="AA189" s="125">
        <f>VLOOKUP(C189,'Talente &amp; Stuff'!IA:JB,25,FALSE)</f>
        <v>0</v>
      </c>
      <c r="AB189" s="160">
        <f>VLOOKUP(C189,'Talente &amp; Stuff'!IA:JB,26,FALSE)</f>
        <v>0</v>
      </c>
      <c r="AC189" s="127">
        <f>VLOOKUP(C189,'Talente &amp; Stuff'!IA:JB,27,FALSE)</f>
        <v>0</v>
      </c>
      <c r="AD189" s="125">
        <f>VLOOKUP(C189,'Talente &amp; Stuff'!IA:JB,28,FALSE)</f>
        <v>0</v>
      </c>
      <c r="AE189" s="28"/>
    </row>
    <row r="190" spans="2:31" ht="15" hidden="1" customHeight="1" outlineLevel="2">
      <c r="B190" s="148">
        <v>38</v>
      </c>
      <c r="C190" s="177" t="str">
        <f>Attribute!C190</f>
        <v>---</v>
      </c>
      <c r="D190" s="86" t="str">
        <f>VLOOKUP(C190,'Talente &amp; Stuff'!IA:JB,2,FALSE)</f>
        <v>--/--/--</v>
      </c>
      <c r="E190" s="167" t="str">
        <f>VLOOKUP(C190,'Talente &amp; Stuff'!IA:JB,3,FALSE)</f>
        <v>-</v>
      </c>
      <c r="F190" s="120">
        <f>VLOOKUP(C190,'Talente &amp; Stuff'!IA:JB,4,FALSE)</f>
        <v>0</v>
      </c>
      <c r="G190" s="117">
        <f>VLOOKUP(C190,'Talente &amp; Stuff'!IA:JB,5,FALSE)</f>
        <v>0</v>
      </c>
      <c r="H190" s="117">
        <f>VLOOKUP(C190,'Talente &amp; Stuff'!IA:JB,6,FALSE)</f>
        <v>0</v>
      </c>
      <c r="I190" s="117">
        <f>VLOOKUP(C190,'Talente &amp; Stuff'!IA:JB,7,FALSE)</f>
        <v>0</v>
      </c>
      <c r="J190" s="117">
        <f>VLOOKUP(C190,'Talente &amp; Stuff'!IA:JB,8,FALSE)</f>
        <v>0</v>
      </c>
      <c r="K190" s="117">
        <f>VLOOKUP(C190,'Talente &amp; Stuff'!IA:JB,9,FALSE)</f>
        <v>0</v>
      </c>
      <c r="L190" s="117">
        <f>VLOOKUP(C190,'Talente &amp; Stuff'!IA:JB,10,FALSE)</f>
        <v>0</v>
      </c>
      <c r="M190" s="121">
        <f>VLOOKUP(C190,'Talente &amp; Stuff'!IA:JB,11,FALSE)</f>
        <v>0</v>
      </c>
      <c r="N190" s="47">
        <f>VLOOKUP(C190,'Talente &amp; Stuff'!IA:JB,12,FALSE)</f>
        <v>0</v>
      </c>
      <c r="O190" s="3">
        <f>VLOOKUP(C190,'Talente &amp; Stuff'!IA:JB,13,FALSE)</f>
        <v>0</v>
      </c>
      <c r="P190" s="174">
        <f>VLOOKUP(C190,'Talente &amp; Stuff'!IA:JB,14,FALSE)</f>
        <v>0</v>
      </c>
      <c r="Q190" s="114">
        <f>VLOOKUP(C190,'Talente &amp; Stuff'!IA:JB,15,FALSE)</f>
        <v>0</v>
      </c>
      <c r="R190" s="117">
        <f>VLOOKUP(C190,'Talente &amp; Stuff'!IA:JB,16,FALSE)</f>
        <v>0</v>
      </c>
      <c r="S190" s="119">
        <f>VLOOKUP(C190,'Talente &amp; Stuff'!IA:JB,17,FALSE)</f>
        <v>0</v>
      </c>
      <c r="T190" s="119">
        <f>VLOOKUP(C190,'Talente &amp; Stuff'!IA:JB,18,FALSE)</f>
        <v>0</v>
      </c>
      <c r="U190" s="89">
        <f>VLOOKUP(C190,'Talente &amp; Stuff'!IA:JB,19,FALSE)</f>
        <v>0</v>
      </c>
      <c r="V190" s="47">
        <f>VLOOKUP(C190,'Talente &amp; Stuff'!IA:JB,20,FALSE)</f>
        <v>0</v>
      </c>
      <c r="W190" s="127">
        <f>VLOOKUP(C190,'Talente &amp; Stuff'!IA:JB,21,FALSE)</f>
        <v>0</v>
      </c>
      <c r="X190" s="127">
        <f>VLOOKUP(C190,'Talente &amp; Stuff'!IA:JB,22,FALSE)</f>
        <v>0</v>
      </c>
      <c r="Y190" s="165">
        <f t="shared" si="18"/>
        <v>0</v>
      </c>
      <c r="Z190" s="44">
        <f t="shared" si="19"/>
        <v>0</v>
      </c>
      <c r="AA190" s="125">
        <f>VLOOKUP(C190,'Talente &amp; Stuff'!IA:JB,25,FALSE)</f>
        <v>0</v>
      </c>
      <c r="AB190" s="160">
        <f>VLOOKUP(C190,'Talente &amp; Stuff'!IA:JB,26,FALSE)</f>
        <v>0</v>
      </c>
      <c r="AC190" s="127">
        <f>VLOOKUP(C190,'Talente &amp; Stuff'!IA:JB,27,FALSE)</f>
        <v>0</v>
      </c>
      <c r="AD190" s="125">
        <f>VLOOKUP(C190,'Talente &amp; Stuff'!IA:JB,28,FALSE)</f>
        <v>0</v>
      </c>
      <c r="AE190" s="28"/>
    </row>
    <row r="191" spans="2:31" ht="15" hidden="1" customHeight="1" outlineLevel="2">
      <c r="B191" s="148">
        <v>39</v>
      </c>
      <c r="C191" s="177" t="str">
        <f>Attribute!C191</f>
        <v>---</v>
      </c>
      <c r="D191" s="86" t="str">
        <f>VLOOKUP(C191,'Talente &amp; Stuff'!IA:JB,2,FALSE)</f>
        <v>--/--/--</v>
      </c>
      <c r="E191" s="167" t="str">
        <f>VLOOKUP(C191,'Talente &amp; Stuff'!IA:JB,3,FALSE)</f>
        <v>-</v>
      </c>
      <c r="F191" s="120">
        <f>VLOOKUP(C191,'Talente &amp; Stuff'!IA:JB,4,FALSE)</f>
        <v>0</v>
      </c>
      <c r="G191" s="117">
        <f>VLOOKUP(C191,'Talente &amp; Stuff'!IA:JB,5,FALSE)</f>
        <v>0</v>
      </c>
      <c r="H191" s="117">
        <f>VLOOKUP(C191,'Talente &amp; Stuff'!IA:JB,6,FALSE)</f>
        <v>0</v>
      </c>
      <c r="I191" s="117">
        <f>VLOOKUP(C191,'Talente &amp; Stuff'!IA:JB,7,FALSE)</f>
        <v>0</v>
      </c>
      <c r="J191" s="117">
        <f>VLOOKUP(C191,'Talente &amp; Stuff'!IA:JB,8,FALSE)</f>
        <v>0</v>
      </c>
      <c r="K191" s="117">
        <f>VLOOKUP(C191,'Talente &amp; Stuff'!IA:JB,9,FALSE)</f>
        <v>0</v>
      </c>
      <c r="L191" s="117">
        <f>VLOOKUP(C191,'Talente &amp; Stuff'!IA:JB,10,FALSE)</f>
        <v>0</v>
      </c>
      <c r="M191" s="121">
        <f>VLOOKUP(C191,'Talente &amp; Stuff'!IA:JB,11,FALSE)</f>
        <v>0</v>
      </c>
      <c r="N191" s="47">
        <f>VLOOKUP(C191,'Talente &amp; Stuff'!IA:JB,12,FALSE)</f>
        <v>0</v>
      </c>
      <c r="O191" s="3">
        <f>VLOOKUP(C191,'Talente &amp; Stuff'!IA:JB,13,FALSE)</f>
        <v>0</v>
      </c>
      <c r="P191" s="174">
        <f>VLOOKUP(C191,'Talente &amp; Stuff'!IA:JB,14,FALSE)</f>
        <v>0</v>
      </c>
      <c r="Q191" s="114">
        <f>VLOOKUP(C191,'Talente &amp; Stuff'!IA:JB,15,FALSE)</f>
        <v>0</v>
      </c>
      <c r="R191" s="117">
        <f>VLOOKUP(C191,'Talente &amp; Stuff'!IA:JB,16,FALSE)</f>
        <v>0</v>
      </c>
      <c r="S191" s="119">
        <f>VLOOKUP(C191,'Talente &amp; Stuff'!IA:JB,17,FALSE)</f>
        <v>0</v>
      </c>
      <c r="T191" s="119">
        <f>VLOOKUP(C191,'Talente &amp; Stuff'!IA:JB,18,FALSE)</f>
        <v>0</v>
      </c>
      <c r="U191" s="89">
        <f>VLOOKUP(C191,'Talente &amp; Stuff'!IA:JB,19,FALSE)</f>
        <v>0</v>
      </c>
      <c r="V191" s="47">
        <f>VLOOKUP(C191,'Talente &amp; Stuff'!IA:JB,20,FALSE)</f>
        <v>0</v>
      </c>
      <c r="W191" s="127">
        <f>VLOOKUP(C191,'Talente &amp; Stuff'!IA:JB,21,FALSE)</f>
        <v>0</v>
      </c>
      <c r="X191" s="127">
        <f>VLOOKUP(C191,'Talente &amp; Stuff'!IA:JB,22,FALSE)</f>
        <v>0</v>
      </c>
      <c r="Y191" s="165">
        <f t="shared" si="18"/>
        <v>0</v>
      </c>
      <c r="Z191" s="44">
        <f t="shared" si="19"/>
        <v>0</v>
      </c>
      <c r="AA191" s="125">
        <f>VLOOKUP(C191,'Talente &amp; Stuff'!IA:JB,25,FALSE)</f>
        <v>0</v>
      </c>
      <c r="AB191" s="160">
        <f>VLOOKUP(C191,'Talente &amp; Stuff'!IA:JB,26,FALSE)</f>
        <v>0</v>
      </c>
      <c r="AC191" s="127">
        <f>VLOOKUP(C191,'Talente &amp; Stuff'!IA:JB,27,FALSE)</f>
        <v>0</v>
      </c>
      <c r="AD191" s="125">
        <f>VLOOKUP(C191,'Talente &amp; Stuff'!IA:JB,28,FALSE)</f>
        <v>0</v>
      </c>
      <c r="AE191" s="28"/>
    </row>
    <row r="192" spans="2:31" ht="15" hidden="1" customHeight="1" outlineLevel="2">
      <c r="B192" s="148">
        <v>40</v>
      </c>
      <c r="C192" s="177" t="str">
        <f>Attribute!C192</f>
        <v>---</v>
      </c>
      <c r="D192" s="125" t="str">
        <f>VLOOKUP(C192,'Talente &amp; Stuff'!IA:JB,2,FALSE)</f>
        <v>--/--/--</v>
      </c>
      <c r="E192" s="127" t="str">
        <f>VLOOKUP(C192,'Talente &amp; Stuff'!IA:JB,3,FALSE)</f>
        <v>-</v>
      </c>
      <c r="F192" s="114">
        <f>VLOOKUP(C192,'Talente &amp; Stuff'!IA:JB,4,FALSE)</f>
        <v>0</v>
      </c>
      <c r="G192" s="113">
        <f>VLOOKUP(C192,'Talente &amp; Stuff'!IA:JB,5,FALSE)</f>
        <v>0</v>
      </c>
      <c r="H192" s="113">
        <f>VLOOKUP(C192,'Talente &amp; Stuff'!IA:JB,6,FALSE)</f>
        <v>0</v>
      </c>
      <c r="I192" s="113">
        <f>VLOOKUP(C192,'Talente &amp; Stuff'!IA:JB,7,FALSE)</f>
        <v>0</v>
      </c>
      <c r="J192" s="113">
        <f>VLOOKUP(C192,'Talente &amp; Stuff'!IA:JB,8,FALSE)</f>
        <v>0</v>
      </c>
      <c r="K192" s="113">
        <f>VLOOKUP(C192,'Talente &amp; Stuff'!IA:JB,9,FALSE)</f>
        <v>0</v>
      </c>
      <c r="L192" s="113">
        <f>VLOOKUP(C192,'Talente &amp; Stuff'!IA:JB,10,FALSE)</f>
        <v>0</v>
      </c>
      <c r="M192" s="119">
        <f>VLOOKUP(C192,'Talente &amp; Stuff'!IA:JB,11,FALSE)</f>
        <v>0</v>
      </c>
      <c r="N192" s="47">
        <f>VLOOKUP(C192,'Talente &amp; Stuff'!IA:JB,12,FALSE)</f>
        <v>0</v>
      </c>
      <c r="O192" s="47">
        <f>VLOOKUP(C192,'Talente &amp; Stuff'!IA:JB,13,FALSE)</f>
        <v>0</v>
      </c>
      <c r="P192" s="119">
        <f>VLOOKUP(C192,'Talente &amp; Stuff'!IA:JB,14,FALSE)</f>
        <v>0</v>
      </c>
      <c r="Q192" s="114">
        <f>VLOOKUP(C192,'Talente &amp; Stuff'!IA:JB,15,FALSE)</f>
        <v>0</v>
      </c>
      <c r="R192" s="113">
        <f>VLOOKUP(C192,'Talente &amp; Stuff'!IA:JB,16,FALSE)</f>
        <v>0</v>
      </c>
      <c r="S192" s="119">
        <f>VLOOKUP(C192,'Talente &amp; Stuff'!IA:JB,17,FALSE)</f>
        <v>0</v>
      </c>
      <c r="T192" s="119">
        <f>VLOOKUP(C192,'Talente &amp; Stuff'!IA:JB,18,FALSE)</f>
        <v>0</v>
      </c>
      <c r="U192" s="89">
        <f>VLOOKUP(C192,'Talente &amp; Stuff'!IA:JB,19,FALSE)</f>
        <v>0</v>
      </c>
      <c r="V192" s="47">
        <f>VLOOKUP(C192,'Talente &amp; Stuff'!IA:JB,20,FALSE)</f>
        <v>0</v>
      </c>
      <c r="W192" s="127">
        <f>VLOOKUP(C192,'Talente &amp; Stuff'!IA:JB,21,FALSE)</f>
        <v>0</v>
      </c>
      <c r="X192" s="127">
        <f>VLOOKUP(C192,'Talente &amp; Stuff'!IA:JB,22,FALSE)</f>
        <v>0</v>
      </c>
      <c r="Y192" s="165">
        <f t="shared" si="18"/>
        <v>0</v>
      </c>
      <c r="Z192" s="44">
        <f t="shared" si="19"/>
        <v>0</v>
      </c>
      <c r="AA192" s="125">
        <f>VLOOKUP(C192,'Talente &amp; Stuff'!IA:JB,25,FALSE)</f>
        <v>0</v>
      </c>
      <c r="AB192" s="160">
        <f>VLOOKUP(C192,'Talente &amp; Stuff'!IA:JB,26,FALSE)</f>
        <v>0</v>
      </c>
      <c r="AC192" s="127">
        <f>VLOOKUP(C192,'Talente &amp; Stuff'!IA:JB,27,FALSE)</f>
        <v>0</v>
      </c>
      <c r="AD192" s="125">
        <f>VLOOKUP(C192,'Talente &amp; Stuff'!IA:JB,28,FALSE)</f>
        <v>0</v>
      </c>
      <c r="AE192" s="28"/>
    </row>
    <row r="193" spans="2:31" ht="15" hidden="1" customHeight="1" outlineLevel="2">
      <c r="B193" s="148">
        <v>41</v>
      </c>
      <c r="C193" s="177" t="str">
        <f>Attribute!C193</f>
        <v>---</v>
      </c>
      <c r="D193" s="86" t="str">
        <f>VLOOKUP(C193,'Talente &amp; Stuff'!IA:JB,2,FALSE)</f>
        <v>--/--/--</v>
      </c>
      <c r="E193" s="167" t="str">
        <f>VLOOKUP(C193,'Talente &amp; Stuff'!IA:JB,3,FALSE)</f>
        <v>-</v>
      </c>
      <c r="F193" s="120">
        <f>VLOOKUP(C193,'Talente &amp; Stuff'!IA:JB,4,FALSE)</f>
        <v>0</v>
      </c>
      <c r="G193" s="117">
        <f>VLOOKUP(C193,'Talente &amp; Stuff'!IA:JB,5,FALSE)</f>
        <v>0</v>
      </c>
      <c r="H193" s="117">
        <f>VLOOKUP(C193,'Talente &amp; Stuff'!IA:JB,6,FALSE)</f>
        <v>0</v>
      </c>
      <c r="I193" s="117">
        <f>VLOOKUP(C193,'Talente &amp; Stuff'!IA:JB,7,FALSE)</f>
        <v>0</v>
      </c>
      <c r="J193" s="117">
        <f>VLOOKUP(C193,'Talente &amp; Stuff'!IA:JB,8,FALSE)</f>
        <v>0</v>
      </c>
      <c r="K193" s="117">
        <f>VLOOKUP(C193,'Talente &amp; Stuff'!IA:JB,9,FALSE)</f>
        <v>0</v>
      </c>
      <c r="L193" s="117">
        <f>VLOOKUP(C193,'Talente &amp; Stuff'!IA:JB,10,FALSE)</f>
        <v>0</v>
      </c>
      <c r="M193" s="121">
        <f>VLOOKUP(C193,'Talente &amp; Stuff'!IA:JB,11,FALSE)</f>
        <v>0</v>
      </c>
      <c r="N193" s="47">
        <f>VLOOKUP(C193,'Talente &amp; Stuff'!IA:JB,12,FALSE)</f>
        <v>0</v>
      </c>
      <c r="O193" s="3">
        <f>VLOOKUP(C193,'Talente &amp; Stuff'!IA:JB,13,FALSE)</f>
        <v>0</v>
      </c>
      <c r="P193" s="174">
        <f>VLOOKUP(C193,'Talente &amp; Stuff'!IA:JB,14,FALSE)</f>
        <v>0</v>
      </c>
      <c r="Q193" s="114">
        <f>VLOOKUP(C193,'Talente &amp; Stuff'!IA:JB,15,FALSE)</f>
        <v>0</v>
      </c>
      <c r="R193" s="117">
        <f>VLOOKUP(C193,'Talente &amp; Stuff'!IA:JB,16,FALSE)</f>
        <v>0</v>
      </c>
      <c r="S193" s="119">
        <f>VLOOKUP(C193,'Talente &amp; Stuff'!IA:JB,17,FALSE)</f>
        <v>0</v>
      </c>
      <c r="T193" s="119">
        <f>VLOOKUP(C193,'Talente &amp; Stuff'!IA:JB,18,FALSE)</f>
        <v>0</v>
      </c>
      <c r="U193" s="89">
        <f>VLOOKUP(C193,'Talente &amp; Stuff'!IA:JB,19,FALSE)</f>
        <v>0</v>
      </c>
      <c r="V193" s="47">
        <f>VLOOKUP(C193,'Talente &amp; Stuff'!IA:JB,20,FALSE)</f>
        <v>0</v>
      </c>
      <c r="W193" s="127">
        <f>VLOOKUP(C193,'Talente &amp; Stuff'!IA:JB,21,FALSE)</f>
        <v>0</v>
      </c>
      <c r="X193" s="127">
        <f>VLOOKUP(C193,'Talente &amp; Stuff'!IA:JB,22,FALSE)</f>
        <v>0</v>
      </c>
      <c r="Y193" s="165">
        <f t="shared" si="18"/>
        <v>0</v>
      </c>
      <c r="Z193" s="44">
        <f t="shared" si="19"/>
        <v>0</v>
      </c>
      <c r="AA193" s="125">
        <f>VLOOKUP(C193,'Talente &amp; Stuff'!IA:JB,25,FALSE)</f>
        <v>0</v>
      </c>
      <c r="AB193" s="160">
        <f>VLOOKUP(C193,'Talente &amp; Stuff'!IA:JB,26,FALSE)</f>
        <v>0</v>
      </c>
      <c r="AC193" s="127">
        <f>VLOOKUP(C193,'Talente &amp; Stuff'!IA:JB,27,FALSE)</f>
        <v>0</v>
      </c>
      <c r="AD193" s="125">
        <f>VLOOKUP(C193,'Talente &amp; Stuff'!IA:JB,28,FALSE)</f>
        <v>0</v>
      </c>
      <c r="AE193" s="28"/>
    </row>
    <row r="194" spans="2:31" ht="15" hidden="1" customHeight="1" outlineLevel="2">
      <c r="B194" s="148">
        <v>42</v>
      </c>
      <c r="C194" s="177" t="str">
        <f>Attribute!C194</f>
        <v>---</v>
      </c>
      <c r="D194" s="86" t="str">
        <f>VLOOKUP(C194,'Talente &amp; Stuff'!IA:JB,2,FALSE)</f>
        <v>--/--/--</v>
      </c>
      <c r="E194" s="167" t="str">
        <f>VLOOKUP(C194,'Talente &amp; Stuff'!IA:JB,3,FALSE)</f>
        <v>-</v>
      </c>
      <c r="F194" s="120">
        <f>VLOOKUP(C194,'Talente &amp; Stuff'!IA:JB,4,FALSE)</f>
        <v>0</v>
      </c>
      <c r="G194" s="117">
        <f>VLOOKUP(C194,'Talente &amp; Stuff'!IA:JB,5,FALSE)</f>
        <v>0</v>
      </c>
      <c r="H194" s="117">
        <f>VLOOKUP(C194,'Talente &amp; Stuff'!IA:JB,6,FALSE)</f>
        <v>0</v>
      </c>
      <c r="I194" s="117">
        <f>VLOOKUP(C194,'Talente &amp; Stuff'!IA:JB,7,FALSE)</f>
        <v>0</v>
      </c>
      <c r="J194" s="117">
        <f>VLOOKUP(C194,'Talente &amp; Stuff'!IA:JB,8,FALSE)</f>
        <v>0</v>
      </c>
      <c r="K194" s="117">
        <f>VLOOKUP(C194,'Talente &amp; Stuff'!IA:JB,9,FALSE)</f>
        <v>0</v>
      </c>
      <c r="L194" s="117">
        <f>VLOOKUP(C194,'Talente &amp; Stuff'!IA:JB,10,FALSE)</f>
        <v>0</v>
      </c>
      <c r="M194" s="121">
        <f>VLOOKUP(C194,'Talente &amp; Stuff'!IA:JB,11,FALSE)</f>
        <v>0</v>
      </c>
      <c r="N194" s="47">
        <f>VLOOKUP(C194,'Talente &amp; Stuff'!IA:JB,12,FALSE)</f>
        <v>0</v>
      </c>
      <c r="O194" s="3">
        <f>VLOOKUP(C194,'Talente &amp; Stuff'!IA:JB,13,FALSE)</f>
        <v>0</v>
      </c>
      <c r="P194" s="174">
        <f>VLOOKUP(C194,'Talente &amp; Stuff'!IA:JB,14,FALSE)</f>
        <v>0</v>
      </c>
      <c r="Q194" s="114">
        <f>VLOOKUP(C194,'Talente &amp; Stuff'!IA:JB,15,FALSE)</f>
        <v>0</v>
      </c>
      <c r="R194" s="117">
        <f>VLOOKUP(C194,'Talente &amp; Stuff'!IA:JB,16,FALSE)</f>
        <v>0</v>
      </c>
      <c r="S194" s="119">
        <f>VLOOKUP(C194,'Talente &amp; Stuff'!IA:JB,17,FALSE)</f>
        <v>0</v>
      </c>
      <c r="T194" s="119">
        <f>VLOOKUP(C194,'Talente &amp; Stuff'!IA:JB,18,FALSE)</f>
        <v>0</v>
      </c>
      <c r="U194" s="89">
        <f>VLOOKUP(C194,'Talente &amp; Stuff'!IA:JB,19,FALSE)</f>
        <v>0</v>
      </c>
      <c r="V194" s="47">
        <f>VLOOKUP(C194,'Talente &amp; Stuff'!IA:JB,20,FALSE)</f>
        <v>0</v>
      </c>
      <c r="W194" s="127">
        <f>VLOOKUP(C194,'Talente &amp; Stuff'!IA:JB,21,FALSE)</f>
        <v>0</v>
      </c>
      <c r="X194" s="127">
        <f>VLOOKUP(C194,'Talente &amp; Stuff'!IA:JB,22,FALSE)</f>
        <v>0</v>
      </c>
      <c r="Y194" s="165">
        <f t="shared" si="18"/>
        <v>0</v>
      </c>
      <c r="Z194" s="44">
        <f t="shared" si="19"/>
        <v>0</v>
      </c>
      <c r="AA194" s="125">
        <f>VLOOKUP(C194,'Talente &amp; Stuff'!IA:JB,25,FALSE)</f>
        <v>0</v>
      </c>
      <c r="AB194" s="160">
        <f>VLOOKUP(C194,'Talente &amp; Stuff'!IA:JB,26,FALSE)</f>
        <v>0</v>
      </c>
      <c r="AC194" s="127">
        <f>VLOOKUP(C194,'Talente &amp; Stuff'!IA:JB,27,FALSE)</f>
        <v>0</v>
      </c>
      <c r="AD194" s="125">
        <f>VLOOKUP(C194,'Talente &amp; Stuff'!IA:JB,28,FALSE)</f>
        <v>0</v>
      </c>
      <c r="AE194" s="28"/>
    </row>
    <row r="195" spans="2:31" ht="15" hidden="1" customHeight="1" outlineLevel="2">
      <c r="B195" s="148">
        <v>43</v>
      </c>
      <c r="C195" s="177" t="str">
        <f>Attribute!C195</f>
        <v>---</v>
      </c>
      <c r="D195" s="125" t="str">
        <f>VLOOKUP(C195,'Talente &amp; Stuff'!IA:JB,2,FALSE)</f>
        <v>--/--/--</v>
      </c>
      <c r="E195" s="127" t="str">
        <f>VLOOKUP(C195,'Talente &amp; Stuff'!IA:JB,3,FALSE)</f>
        <v>-</v>
      </c>
      <c r="F195" s="114">
        <f>VLOOKUP(C195,'Talente &amp; Stuff'!IA:JB,4,FALSE)</f>
        <v>0</v>
      </c>
      <c r="G195" s="113">
        <f>VLOOKUP(C195,'Talente &amp; Stuff'!IA:JB,5,FALSE)</f>
        <v>0</v>
      </c>
      <c r="H195" s="113">
        <f>VLOOKUP(C195,'Talente &amp; Stuff'!IA:JB,6,FALSE)</f>
        <v>0</v>
      </c>
      <c r="I195" s="113">
        <f>VLOOKUP(C195,'Talente &amp; Stuff'!IA:JB,7,FALSE)</f>
        <v>0</v>
      </c>
      <c r="J195" s="113">
        <f>VLOOKUP(C195,'Talente &amp; Stuff'!IA:JB,8,FALSE)</f>
        <v>0</v>
      </c>
      <c r="K195" s="113">
        <f>VLOOKUP(C195,'Talente &amp; Stuff'!IA:JB,9,FALSE)</f>
        <v>0</v>
      </c>
      <c r="L195" s="113">
        <f>VLOOKUP(C195,'Talente &amp; Stuff'!IA:JB,10,FALSE)</f>
        <v>0</v>
      </c>
      <c r="M195" s="119">
        <f>VLOOKUP(C195,'Talente &amp; Stuff'!IA:JB,11,FALSE)</f>
        <v>0</v>
      </c>
      <c r="N195" s="47">
        <f>VLOOKUP(C195,'Talente &amp; Stuff'!IA:JB,12,FALSE)</f>
        <v>0</v>
      </c>
      <c r="O195" s="47">
        <f>VLOOKUP(C195,'Talente &amp; Stuff'!IA:JB,13,FALSE)</f>
        <v>0</v>
      </c>
      <c r="P195" s="119">
        <f>VLOOKUP(C195,'Talente &amp; Stuff'!IA:JB,14,FALSE)</f>
        <v>0</v>
      </c>
      <c r="Q195" s="114">
        <f>VLOOKUP(C195,'Talente &amp; Stuff'!IA:JB,15,FALSE)</f>
        <v>0</v>
      </c>
      <c r="R195" s="113">
        <f>VLOOKUP(C195,'Talente &amp; Stuff'!IA:JB,16,FALSE)</f>
        <v>0</v>
      </c>
      <c r="S195" s="119">
        <f>VLOOKUP(C195,'Talente &amp; Stuff'!IA:JB,17,FALSE)</f>
        <v>0</v>
      </c>
      <c r="T195" s="119">
        <f>VLOOKUP(C195,'Talente &amp; Stuff'!IA:JB,18,FALSE)</f>
        <v>0</v>
      </c>
      <c r="U195" s="89">
        <f>VLOOKUP(C195,'Talente &amp; Stuff'!IA:JB,19,FALSE)</f>
        <v>0</v>
      </c>
      <c r="V195" s="47">
        <f>VLOOKUP(C195,'Talente &amp; Stuff'!IA:JB,20,FALSE)</f>
        <v>0</v>
      </c>
      <c r="W195" s="127">
        <f>VLOOKUP(C195,'Talente &amp; Stuff'!IA:JB,21,FALSE)</f>
        <v>0</v>
      </c>
      <c r="X195" s="127">
        <f>VLOOKUP(C195,'Talente &amp; Stuff'!IA:JB,22,FALSE)</f>
        <v>0</v>
      </c>
      <c r="Y195" s="165">
        <f t="shared" si="18"/>
        <v>0</v>
      </c>
      <c r="Z195" s="44">
        <f t="shared" si="19"/>
        <v>0</v>
      </c>
      <c r="AA195" s="125">
        <f>VLOOKUP(C195,'Talente &amp; Stuff'!IA:JB,25,FALSE)</f>
        <v>0</v>
      </c>
      <c r="AB195" s="160">
        <f>VLOOKUP(C195,'Talente &amp; Stuff'!IA:JB,26,FALSE)</f>
        <v>0</v>
      </c>
      <c r="AC195" s="127">
        <f>VLOOKUP(C195,'Talente &amp; Stuff'!IA:JB,27,FALSE)</f>
        <v>0</v>
      </c>
      <c r="AD195" s="125">
        <f>VLOOKUP(C195,'Talente &amp; Stuff'!IA:JB,28,FALSE)</f>
        <v>0</v>
      </c>
      <c r="AE195" s="28"/>
    </row>
    <row r="196" spans="2:31" ht="15" hidden="1" customHeight="1" outlineLevel="2">
      <c r="B196" s="148">
        <v>44</v>
      </c>
      <c r="C196" s="177" t="str">
        <f>Attribute!C196</f>
        <v>---</v>
      </c>
      <c r="D196" s="86" t="str">
        <f>VLOOKUP(C196,'Talente &amp; Stuff'!IA:JB,2,FALSE)</f>
        <v>--/--/--</v>
      </c>
      <c r="E196" s="167" t="str">
        <f>VLOOKUP(C196,'Talente &amp; Stuff'!IA:JB,3,FALSE)</f>
        <v>-</v>
      </c>
      <c r="F196" s="120">
        <f>VLOOKUP(C196,'Talente &amp; Stuff'!IA:JB,4,FALSE)</f>
        <v>0</v>
      </c>
      <c r="G196" s="117">
        <f>VLOOKUP(C196,'Talente &amp; Stuff'!IA:JB,5,FALSE)</f>
        <v>0</v>
      </c>
      <c r="H196" s="117">
        <f>VLOOKUP(C196,'Talente &amp; Stuff'!IA:JB,6,FALSE)</f>
        <v>0</v>
      </c>
      <c r="I196" s="117">
        <f>VLOOKUP(C196,'Talente &amp; Stuff'!IA:JB,7,FALSE)</f>
        <v>0</v>
      </c>
      <c r="J196" s="117">
        <f>VLOOKUP(C196,'Talente &amp; Stuff'!IA:JB,8,FALSE)</f>
        <v>0</v>
      </c>
      <c r="K196" s="117">
        <f>VLOOKUP(C196,'Talente &amp; Stuff'!IA:JB,9,FALSE)</f>
        <v>0</v>
      </c>
      <c r="L196" s="117">
        <f>VLOOKUP(C196,'Talente &amp; Stuff'!IA:JB,10,FALSE)</f>
        <v>0</v>
      </c>
      <c r="M196" s="121">
        <f>VLOOKUP(C196,'Talente &amp; Stuff'!IA:JB,11,FALSE)</f>
        <v>0</v>
      </c>
      <c r="N196" s="47">
        <f>VLOOKUP(C196,'Talente &amp; Stuff'!IA:JB,12,FALSE)</f>
        <v>0</v>
      </c>
      <c r="O196" s="3">
        <f>VLOOKUP(C196,'Talente &amp; Stuff'!IA:JB,13,FALSE)</f>
        <v>0</v>
      </c>
      <c r="P196" s="174">
        <f>VLOOKUP(C196,'Talente &amp; Stuff'!IA:JB,14,FALSE)</f>
        <v>0</v>
      </c>
      <c r="Q196" s="114">
        <f>VLOOKUP(C196,'Talente &amp; Stuff'!IA:JB,15,FALSE)</f>
        <v>0</v>
      </c>
      <c r="R196" s="117">
        <f>VLOOKUP(C196,'Talente &amp; Stuff'!IA:JB,16,FALSE)</f>
        <v>0</v>
      </c>
      <c r="S196" s="119">
        <f>VLOOKUP(C196,'Talente &amp; Stuff'!IA:JB,17,FALSE)</f>
        <v>0</v>
      </c>
      <c r="T196" s="119">
        <f>VLOOKUP(C196,'Talente &amp; Stuff'!IA:JB,18,FALSE)</f>
        <v>0</v>
      </c>
      <c r="U196" s="89">
        <f>VLOOKUP(C196,'Talente &amp; Stuff'!IA:JB,19,FALSE)</f>
        <v>0</v>
      </c>
      <c r="V196" s="47">
        <f>VLOOKUP(C196,'Talente &amp; Stuff'!IA:JB,20,FALSE)</f>
        <v>0</v>
      </c>
      <c r="W196" s="127">
        <f>VLOOKUP(C196,'Talente &amp; Stuff'!IA:JB,21,FALSE)</f>
        <v>0</v>
      </c>
      <c r="X196" s="127">
        <f>VLOOKUP(C196,'Talente &amp; Stuff'!IA:JB,22,FALSE)</f>
        <v>0</v>
      </c>
      <c r="Y196" s="165">
        <f t="shared" si="18"/>
        <v>0</v>
      </c>
      <c r="Z196" s="44">
        <f t="shared" si="19"/>
        <v>0</v>
      </c>
      <c r="AA196" s="125">
        <f>VLOOKUP(C196,'Talente &amp; Stuff'!IA:JB,25,FALSE)</f>
        <v>0</v>
      </c>
      <c r="AB196" s="160">
        <f>VLOOKUP(C196,'Talente &amp; Stuff'!IA:JB,26,FALSE)</f>
        <v>0</v>
      </c>
      <c r="AC196" s="127">
        <f>VLOOKUP(C196,'Talente &amp; Stuff'!IA:JB,27,FALSE)</f>
        <v>0</v>
      </c>
      <c r="AD196" s="125">
        <f>VLOOKUP(C196,'Talente &amp; Stuff'!IA:JB,28,FALSE)</f>
        <v>0</v>
      </c>
      <c r="AE196" s="28"/>
    </row>
    <row r="197" spans="2:31" ht="15" hidden="1" customHeight="1" outlineLevel="2">
      <c r="B197" s="148">
        <v>45</v>
      </c>
      <c r="C197" s="177" t="str">
        <f>Attribute!C197</f>
        <v>---</v>
      </c>
      <c r="D197" s="86" t="str">
        <f>VLOOKUP(C197,'Talente &amp; Stuff'!IA:JB,2,FALSE)</f>
        <v>--/--/--</v>
      </c>
      <c r="E197" s="167" t="str">
        <f>VLOOKUP(C197,'Talente &amp; Stuff'!IA:JB,3,FALSE)</f>
        <v>-</v>
      </c>
      <c r="F197" s="120">
        <f>VLOOKUP(C197,'Talente &amp; Stuff'!IA:JB,4,FALSE)</f>
        <v>0</v>
      </c>
      <c r="G197" s="117">
        <f>VLOOKUP(C197,'Talente &amp; Stuff'!IA:JB,5,FALSE)</f>
        <v>0</v>
      </c>
      <c r="H197" s="117">
        <f>VLOOKUP(C197,'Talente &amp; Stuff'!IA:JB,6,FALSE)</f>
        <v>0</v>
      </c>
      <c r="I197" s="117">
        <f>VLOOKUP(C197,'Talente &amp; Stuff'!IA:JB,7,FALSE)</f>
        <v>0</v>
      </c>
      <c r="J197" s="117">
        <f>VLOOKUP(C197,'Talente &amp; Stuff'!IA:JB,8,FALSE)</f>
        <v>0</v>
      </c>
      <c r="K197" s="117">
        <f>VLOOKUP(C197,'Talente &amp; Stuff'!IA:JB,9,FALSE)</f>
        <v>0</v>
      </c>
      <c r="L197" s="117">
        <f>VLOOKUP(C197,'Talente &amp; Stuff'!IA:JB,10,FALSE)</f>
        <v>0</v>
      </c>
      <c r="M197" s="121">
        <f>VLOOKUP(C197,'Talente &amp; Stuff'!IA:JB,11,FALSE)</f>
        <v>0</v>
      </c>
      <c r="N197" s="47">
        <f>VLOOKUP(C197,'Talente &amp; Stuff'!IA:JB,12,FALSE)</f>
        <v>0</v>
      </c>
      <c r="O197" s="3">
        <f>VLOOKUP(C197,'Talente &amp; Stuff'!IA:JB,13,FALSE)</f>
        <v>0</v>
      </c>
      <c r="P197" s="174">
        <f>VLOOKUP(C197,'Talente &amp; Stuff'!IA:JB,14,FALSE)</f>
        <v>0</v>
      </c>
      <c r="Q197" s="114">
        <f>VLOOKUP(C197,'Talente &amp; Stuff'!IA:JB,15,FALSE)</f>
        <v>0</v>
      </c>
      <c r="R197" s="117">
        <f>VLOOKUP(C197,'Talente &amp; Stuff'!IA:JB,16,FALSE)</f>
        <v>0</v>
      </c>
      <c r="S197" s="119">
        <f>VLOOKUP(C197,'Talente &amp; Stuff'!IA:JB,17,FALSE)</f>
        <v>0</v>
      </c>
      <c r="T197" s="119">
        <f>VLOOKUP(C197,'Talente &amp; Stuff'!IA:JB,18,FALSE)</f>
        <v>0</v>
      </c>
      <c r="U197" s="89">
        <f>VLOOKUP(C197,'Talente &amp; Stuff'!IA:JB,19,FALSE)</f>
        <v>0</v>
      </c>
      <c r="V197" s="47">
        <f>VLOOKUP(C197,'Talente &amp; Stuff'!IA:JB,20,FALSE)</f>
        <v>0</v>
      </c>
      <c r="W197" s="127">
        <f>VLOOKUP(C197,'Talente &amp; Stuff'!IA:JB,21,FALSE)</f>
        <v>0</v>
      </c>
      <c r="X197" s="127">
        <f>VLOOKUP(C197,'Talente &amp; Stuff'!IA:JB,22,FALSE)</f>
        <v>0</v>
      </c>
      <c r="Y197" s="165">
        <f t="shared" si="18"/>
        <v>0</v>
      </c>
      <c r="Z197" s="44">
        <f t="shared" si="19"/>
        <v>0</v>
      </c>
      <c r="AA197" s="125">
        <f>VLOOKUP(C197,'Talente &amp; Stuff'!IA:JB,25,FALSE)</f>
        <v>0</v>
      </c>
      <c r="AB197" s="160">
        <f>VLOOKUP(C197,'Talente &amp; Stuff'!IA:JB,26,FALSE)</f>
        <v>0</v>
      </c>
      <c r="AC197" s="127">
        <f>VLOOKUP(C197,'Talente &amp; Stuff'!IA:JB,27,FALSE)</f>
        <v>0</v>
      </c>
      <c r="AD197" s="125">
        <f>VLOOKUP(C197,'Talente &amp; Stuff'!IA:JB,28,FALSE)</f>
        <v>0</v>
      </c>
      <c r="AE197" s="28"/>
    </row>
    <row r="198" spans="2:31" ht="15" hidden="1" customHeight="1" outlineLevel="2">
      <c r="B198" s="148">
        <v>46</v>
      </c>
      <c r="C198" s="177" t="str">
        <f>Attribute!C198</f>
        <v>---</v>
      </c>
      <c r="D198" s="86" t="str">
        <f>VLOOKUP(C198,'Talente &amp; Stuff'!IA:JB,2,FALSE)</f>
        <v>--/--/--</v>
      </c>
      <c r="E198" s="167" t="str">
        <f>VLOOKUP(C198,'Talente &amp; Stuff'!IA:JB,3,FALSE)</f>
        <v>-</v>
      </c>
      <c r="F198" s="120">
        <f>VLOOKUP(C198,'Talente &amp; Stuff'!IA:JB,4,FALSE)</f>
        <v>0</v>
      </c>
      <c r="G198" s="117">
        <f>VLOOKUP(C198,'Talente &amp; Stuff'!IA:JB,5,FALSE)</f>
        <v>0</v>
      </c>
      <c r="H198" s="117">
        <f>VLOOKUP(C198,'Talente &amp; Stuff'!IA:JB,6,FALSE)</f>
        <v>0</v>
      </c>
      <c r="I198" s="117">
        <f>VLOOKUP(C198,'Talente &amp; Stuff'!IA:JB,7,FALSE)</f>
        <v>0</v>
      </c>
      <c r="J198" s="117">
        <f>VLOOKUP(C198,'Talente &amp; Stuff'!IA:JB,8,FALSE)</f>
        <v>0</v>
      </c>
      <c r="K198" s="117">
        <f>VLOOKUP(C198,'Talente &amp; Stuff'!IA:JB,9,FALSE)</f>
        <v>0</v>
      </c>
      <c r="L198" s="117">
        <f>VLOOKUP(C198,'Talente &amp; Stuff'!IA:JB,10,FALSE)</f>
        <v>0</v>
      </c>
      <c r="M198" s="121">
        <f>VLOOKUP(C198,'Talente &amp; Stuff'!IA:JB,11,FALSE)</f>
        <v>0</v>
      </c>
      <c r="N198" s="47">
        <f>VLOOKUP(C198,'Talente &amp; Stuff'!IA:JB,12,FALSE)</f>
        <v>0</v>
      </c>
      <c r="O198" s="3">
        <f>VLOOKUP(C198,'Talente &amp; Stuff'!IA:JB,13,FALSE)</f>
        <v>0</v>
      </c>
      <c r="P198" s="174">
        <f>VLOOKUP(C198,'Talente &amp; Stuff'!IA:JB,14,FALSE)</f>
        <v>0</v>
      </c>
      <c r="Q198" s="114">
        <f>VLOOKUP(C198,'Talente &amp; Stuff'!IA:JB,15,FALSE)</f>
        <v>0</v>
      </c>
      <c r="R198" s="117">
        <f>VLOOKUP(C198,'Talente &amp; Stuff'!IA:JB,16,FALSE)</f>
        <v>0</v>
      </c>
      <c r="S198" s="119">
        <f>VLOOKUP(C198,'Talente &amp; Stuff'!IA:JB,17,FALSE)</f>
        <v>0</v>
      </c>
      <c r="T198" s="119">
        <f>VLOOKUP(C198,'Talente &amp; Stuff'!IA:JB,18,FALSE)</f>
        <v>0</v>
      </c>
      <c r="U198" s="89">
        <f>VLOOKUP(C198,'Talente &amp; Stuff'!IA:JB,19,FALSE)</f>
        <v>0</v>
      </c>
      <c r="V198" s="47">
        <f>VLOOKUP(C198,'Talente &amp; Stuff'!IA:JB,20,FALSE)</f>
        <v>0</v>
      </c>
      <c r="W198" s="127">
        <f>VLOOKUP(C198,'Talente &amp; Stuff'!IA:JB,21,FALSE)</f>
        <v>0</v>
      </c>
      <c r="X198" s="127">
        <f>VLOOKUP(C198,'Talente &amp; Stuff'!IA:JB,22,FALSE)</f>
        <v>0</v>
      </c>
      <c r="Y198" s="165">
        <f t="shared" si="18"/>
        <v>0</v>
      </c>
      <c r="Z198" s="44">
        <f t="shared" si="19"/>
        <v>0</v>
      </c>
      <c r="AA198" s="125">
        <f>VLOOKUP(C198,'Talente &amp; Stuff'!IA:JB,25,FALSE)</f>
        <v>0</v>
      </c>
      <c r="AB198" s="160">
        <f>VLOOKUP(C198,'Talente &amp; Stuff'!IA:JB,26,FALSE)</f>
        <v>0</v>
      </c>
      <c r="AC198" s="127">
        <f>VLOOKUP(C198,'Talente &amp; Stuff'!IA:JB,27,FALSE)</f>
        <v>0</v>
      </c>
      <c r="AD198" s="125">
        <f>VLOOKUP(C198,'Talente &amp; Stuff'!IA:JB,28,FALSE)</f>
        <v>0</v>
      </c>
      <c r="AE198" s="28"/>
    </row>
    <row r="199" spans="2:31" ht="15" hidden="1" customHeight="1" outlineLevel="2">
      <c r="B199" s="148">
        <v>47</v>
      </c>
      <c r="C199" s="177" t="str">
        <f>Attribute!C199</f>
        <v>---</v>
      </c>
      <c r="D199" s="125" t="str">
        <f>VLOOKUP(C199,'Talente &amp; Stuff'!IA:JB,2,FALSE)</f>
        <v>--/--/--</v>
      </c>
      <c r="E199" s="127" t="str">
        <f>VLOOKUP(C199,'Talente &amp; Stuff'!IA:JB,3,FALSE)</f>
        <v>-</v>
      </c>
      <c r="F199" s="114">
        <f>VLOOKUP(C199,'Talente &amp; Stuff'!IA:JB,4,FALSE)</f>
        <v>0</v>
      </c>
      <c r="G199" s="113">
        <f>VLOOKUP(C199,'Talente &amp; Stuff'!IA:JB,5,FALSE)</f>
        <v>0</v>
      </c>
      <c r="H199" s="113">
        <f>VLOOKUP(C199,'Talente &amp; Stuff'!IA:JB,6,FALSE)</f>
        <v>0</v>
      </c>
      <c r="I199" s="113">
        <f>VLOOKUP(C199,'Talente &amp; Stuff'!IA:JB,7,FALSE)</f>
        <v>0</v>
      </c>
      <c r="J199" s="113">
        <f>VLOOKUP(C199,'Talente &amp; Stuff'!IA:JB,8,FALSE)</f>
        <v>0</v>
      </c>
      <c r="K199" s="113">
        <f>VLOOKUP(C199,'Talente &amp; Stuff'!IA:JB,9,FALSE)</f>
        <v>0</v>
      </c>
      <c r="L199" s="113">
        <f>VLOOKUP(C199,'Talente &amp; Stuff'!IA:JB,10,FALSE)</f>
        <v>0</v>
      </c>
      <c r="M199" s="119">
        <f>VLOOKUP(C199,'Talente &amp; Stuff'!IA:JB,11,FALSE)</f>
        <v>0</v>
      </c>
      <c r="N199" s="47">
        <f>VLOOKUP(C199,'Talente &amp; Stuff'!IA:JB,12,FALSE)</f>
        <v>0</v>
      </c>
      <c r="O199" s="47">
        <f>VLOOKUP(C199,'Talente &amp; Stuff'!IA:JB,13,FALSE)</f>
        <v>0</v>
      </c>
      <c r="P199" s="119">
        <f>VLOOKUP(C199,'Talente &amp; Stuff'!IA:JB,14,FALSE)</f>
        <v>0</v>
      </c>
      <c r="Q199" s="114">
        <f>VLOOKUP(C199,'Talente &amp; Stuff'!IA:JB,15,FALSE)</f>
        <v>0</v>
      </c>
      <c r="R199" s="113">
        <f>VLOOKUP(C199,'Talente &amp; Stuff'!IA:JB,16,FALSE)</f>
        <v>0</v>
      </c>
      <c r="S199" s="119">
        <f>VLOOKUP(C199,'Talente &amp; Stuff'!IA:JB,17,FALSE)</f>
        <v>0</v>
      </c>
      <c r="T199" s="119">
        <f>VLOOKUP(C199,'Talente &amp; Stuff'!IA:JB,18,FALSE)</f>
        <v>0</v>
      </c>
      <c r="U199" s="89">
        <f>VLOOKUP(C199,'Talente &amp; Stuff'!IA:JB,19,FALSE)</f>
        <v>0</v>
      </c>
      <c r="V199" s="47">
        <f>VLOOKUP(C199,'Talente &amp; Stuff'!IA:JB,20,FALSE)</f>
        <v>0</v>
      </c>
      <c r="W199" s="127">
        <f>VLOOKUP(C199,'Talente &amp; Stuff'!IA:JB,21,FALSE)</f>
        <v>0</v>
      </c>
      <c r="X199" s="127">
        <f>VLOOKUP(C199,'Talente &amp; Stuff'!IA:JB,22,FALSE)</f>
        <v>0</v>
      </c>
      <c r="Y199" s="165">
        <f t="shared" si="18"/>
        <v>0</v>
      </c>
      <c r="Z199" s="44">
        <f t="shared" si="19"/>
        <v>0</v>
      </c>
      <c r="AA199" s="125">
        <f>VLOOKUP(C199,'Talente &amp; Stuff'!IA:JB,25,FALSE)</f>
        <v>0</v>
      </c>
      <c r="AB199" s="160">
        <f>VLOOKUP(C199,'Talente &amp; Stuff'!IA:JB,26,FALSE)</f>
        <v>0</v>
      </c>
      <c r="AC199" s="127">
        <f>VLOOKUP(C199,'Talente &amp; Stuff'!IA:JB,27,FALSE)</f>
        <v>0</v>
      </c>
      <c r="AD199" s="125">
        <f>VLOOKUP(C199,'Talente &amp; Stuff'!IA:JB,28,FALSE)</f>
        <v>0</v>
      </c>
      <c r="AE199" s="28"/>
    </row>
    <row r="200" spans="2:31" ht="15" hidden="1" customHeight="1" outlineLevel="2">
      <c r="B200" s="148">
        <v>48</v>
      </c>
      <c r="C200" s="177" t="str">
        <f>Attribute!C200</f>
        <v>---</v>
      </c>
      <c r="D200" s="86" t="str">
        <f>VLOOKUP(C200,'Talente &amp; Stuff'!IA:JB,2,FALSE)</f>
        <v>--/--/--</v>
      </c>
      <c r="E200" s="167" t="str">
        <f>VLOOKUP(C200,'Talente &amp; Stuff'!IA:JB,3,FALSE)</f>
        <v>-</v>
      </c>
      <c r="F200" s="120">
        <f>VLOOKUP(C200,'Talente &amp; Stuff'!IA:JB,4,FALSE)</f>
        <v>0</v>
      </c>
      <c r="G200" s="117">
        <f>VLOOKUP(C200,'Talente &amp; Stuff'!IA:JB,5,FALSE)</f>
        <v>0</v>
      </c>
      <c r="H200" s="117">
        <f>VLOOKUP(C200,'Talente &amp; Stuff'!IA:JB,6,FALSE)</f>
        <v>0</v>
      </c>
      <c r="I200" s="117">
        <f>VLOOKUP(C200,'Talente &amp; Stuff'!IA:JB,7,FALSE)</f>
        <v>0</v>
      </c>
      <c r="J200" s="117">
        <f>VLOOKUP(C200,'Talente &amp; Stuff'!IA:JB,8,FALSE)</f>
        <v>0</v>
      </c>
      <c r="K200" s="117">
        <f>VLOOKUP(C200,'Talente &amp; Stuff'!IA:JB,9,FALSE)</f>
        <v>0</v>
      </c>
      <c r="L200" s="117">
        <f>VLOOKUP(C200,'Talente &amp; Stuff'!IA:JB,10,FALSE)</f>
        <v>0</v>
      </c>
      <c r="M200" s="121">
        <f>VLOOKUP(C200,'Talente &amp; Stuff'!IA:JB,11,FALSE)</f>
        <v>0</v>
      </c>
      <c r="N200" s="47">
        <f>VLOOKUP(C200,'Talente &amp; Stuff'!IA:JB,12,FALSE)</f>
        <v>0</v>
      </c>
      <c r="O200" s="3">
        <f>VLOOKUP(C200,'Talente &amp; Stuff'!IA:JB,13,FALSE)</f>
        <v>0</v>
      </c>
      <c r="P200" s="174">
        <f>VLOOKUP(C200,'Talente &amp; Stuff'!IA:JB,14,FALSE)</f>
        <v>0</v>
      </c>
      <c r="Q200" s="114">
        <f>VLOOKUP(C200,'Talente &amp; Stuff'!IA:JB,15,FALSE)</f>
        <v>0</v>
      </c>
      <c r="R200" s="117">
        <f>VLOOKUP(C200,'Talente &amp; Stuff'!IA:JB,16,FALSE)</f>
        <v>0</v>
      </c>
      <c r="S200" s="119">
        <f>VLOOKUP(C200,'Talente &amp; Stuff'!IA:JB,17,FALSE)</f>
        <v>0</v>
      </c>
      <c r="T200" s="119">
        <f>VLOOKUP(C200,'Talente &amp; Stuff'!IA:JB,18,FALSE)</f>
        <v>0</v>
      </c>
      <c r="U200" s="89">
        <f>VLOOKUP(C200,'Talente &amp; Stuff'!IA:JB,19,FALSE)</f>
        <v>0</v>
      </c>
      <c r="V200" s="47">
        <f>VLOOKUP(C200,'Talente &amp; Stuff'!IA:JB,20,FALSE)</f>
        <v>0</v>
      </c>
      <c r="W200" s="127">
        <f>VLOOKUP(C200,'Talente &amp; Stuff'!IA:JB,21,FALSE)</f>
        <v>0</v>
      </c>
      <c r="X200" s="127">
        <f>VLOOKUP(C200,'Talente &amp; Stuff'!IA:JB,22,FALSE)</f>
        <v>0</v>
      </c>
      <c r="Y200" s="165">
        <f t="shared" si="18"/>
        <v>0</v>
      </c>
      <c r="Z200" s="44">
        <f t="shared" si="19"/>
        <v>0</v>
      </c>
      <c r="AA200" s="125">
        <f>VLOOKUP(C200,'Talente &amp; Stuff'!IA:JB,25,FALSE)</f>
        <v>0</v>
      </c>
      <c r="AB200" s="160">
        <f>VLOOKUP(C200,'Talente &amp; Stuff'!IA:JB,26,FALSE)</f>
        <v>0</v>
      </c>
      <c r="AC200" s="127">
        <f>VLOOKUP(C200,'Talente &amp; Stuff'!IA:JB,27,FALSE)</f>
        <v>0</v>
      </c>
      <c r="AD200" s="125">
        <f>VLOOKUP(C200,'Talente &amp; Stuff'!IA:JB,28,FALSE)</f>
        <v>0</v>
      </c>
      <c r="AE200" s="28"/>
    </row>
    <row r="201" spans="2:31" ht="15" hidden="1" customHeight="1" outlineLevel="2">
      <c r="B201" s="148">
        <v>49</v>
      </c>
      <c r="C201" s="177" t="str">
        <f>Attribute!C201</f>
        <v>---</v>
      </c>
      <c r="D201" s="125" t="str">
        <f>VLOOKUP(C201,'Talente &amp; Stuff'!IA:JB,2,FALSE)</f>
        <v>--/--/--</v>
      </c>
      <c r="E201" s="127" t="str">
        <f>VLOOKUP(C201,'Talente &amp; Stuff'!IA:JB,3,FALSE)</f>
        <v>-</v>
      </c>
      <c r="F201" s="114">
        <f>VLOOKUP(C201,'Talente &amp; Stuff'!IA:JB,4,FALSE)</f>
        <v>0</v>
      </c>
      <c r="G201" s="113">
        <f>VLOOKUP(C201,'Talente &amp; Stuff'!IA:JB,5,FALSE)</f>
        <v>0</v>
      </c>
      <c r="H201" s="113">
        <f>VLOOKUP(C201,'Talente &amp; Stuff'!IA:JB,6,FALSE)</f>
        <v>0</v>
      </c>
      <c r="I201" s="113">
        <f>VLOOKUP(C201,'Talente &amp; Stuff'!IA:JB,7,FALSE)</f>
        <v>0</v>
      </c>
      <c r="J201" s="113">
        <f>VLOOKUP(C201,'Talente &amp; Stuff'!IA:JB,8,FALSE)</f>
        <v>0</v>
      </c>
      <c r="K201" s="113">
        <f>VLOOKUP(C201,'Talente &amp; Stuff'!IA:JB,9,FALSE)</f>
        <v>0</v>
      </c>
      <c r="L201" s="113">
        <f>VLOOKUP(C201,'Talente &amp; Stuff'!IA:JB,10,FALSE)</f>
        <v>0</v>
      </c>
      <c r="M201" s="119">
        <f>VLOOKUP(C201,'Talente &amp; Stuff'!IA:JB,11,FALSE)</f>
        <v>0</v>
      </c>
      <c r="N201" s="47">
        <f>VLOOKUP(C201,'Talente &amp; Stuff'!IA:JB,12,FALSE)</f>
        <v>0</v>
      </c>
      <c r="O201" s="47">
        <f>VLOOKUP(C201,'Talente &amp; Stuff'!IA:JB,13,FALSE)</f>
        <v>0</v>
      </c>
      <c r="P201" s="119">
        <f>VLOOKUP(C201,'Talente &amp; Stuff'!IA:JB,14,FALSE)</f>
        <v>0</v>
      </c>
      <c r="Q201" s="114">
        <f>VLOOKUP(C201,'Talente &amp; Stuff'!IA:JB,15,FALSE)</f>
        <v>0</v>
      </c>
      <c r="R201" s="113">
        <f>VLOOKUP(C201,'Talente &amp; Stuff'!IA:JB,16,FALSE)</f>
        <v>0</v>
      </c>
      <c r="S201" s="119">
        <f>VLOOKUP(C201,'Talente &amp; Stuff'!IA:JB,17,FALSE)</f>
        <v>0</v>
      </c>
      <c r="T201" s="119">
        <f>VLOOKUP(C201,'Talente &amp; Stuff'!IA:JB,18,FALSE)</f>
        <v>0</v>
      </c>
      <c r="U201" s="89">
        <f>VLOOKUP(C201,'Talente &amp; Stuff'!IA:JB,19,FALSE)</f>
        <v>0</v>
      </c>
      <c r="V201" s="47">
        <f>VLOOKUP(C201,'Talente &amp; Stuff'!IA:JB,20,FALSE)</f>
        <v>0</v>
      </c>
      <c r="W201" s="127">
        <f>VLOOKUP(C201,'Talente &amp; Stuff'!IA:JB,21,FALSE)</f>
        <v>0</v>
      </c>
      <c r="X201" s="127">
        <f>VLOOKUP(C201,'Talente &amp; Stuff'!IA:JB,22,FALSE)</f>
        <v>0</v>
      </c>
      <c r="Y201" s="165">
        <f t="shared" si="18"/>
        <v>0</v>
      </c>
      <c r="Z201" s="44">
        <f t="shared" si="19"/>
        <v>0</v>
      </c>
      <c r="AA201" s="125">
        <f>VLOOKUP(C201,'Talente &amp; Stuff'!IA:JB,25,FALSE)</f>
        <v>0</v>
      </c>
      <c r="AB201" s="160">
        <f>VLOOKUP(C201,'Talente &amp; Stuff'!IA:JB,26,FALSE)</f>
        <v>0</v>
      </c>
      <c r="AC201" s="127">
        <f>VLOOKUP(C201,'Talente &amp; Stuff'!IA:JB,27,FALSE)</f>
        <v>0</v>
      </c>
      <c r="AD201" s="125">
        <f>VLOOKUP(C201,'Talente &amp; Stuff'!IA:JB,28,FALSE)</f>
        <v>0</v>
      </c>
      <c r="AE201" s="28"/>
    </row>
    <row r="202" spans="2:31" ht="15" hidden="1" customHeight="1" outlineLevel="2">
      <c r="B202" s="148">
        <v>50</v>
      </c>
      <c r="C202" s="177" t="str">
        <f>Attribute!C202</f>
        <v>---</v>
      </c>
      <c r="D202" s="125" t="str">
        <f>VLOOKUP(C202,'Talente &amp; Stuff'!IA:JB,2,FALSE)</f>
        <v>--/--/--</v>
      </c>
      <c r="E202" s="127" t="str">
        <f>VLOOKUP(C202,'Talente &amp; Stuff'!IA:JB,3,FALSE)</f>
        <v>-</v>
      </c>
      <c r="F202" s="114">
        <f>VLOOKUP(C202,'Talente &amp; Stuff'!IA:JB,4,FALSE)</f>
        <v>0</v>
      </c>
      <c r="G202" s="113">
        <f>VLOOKUP(C202,'Talente &amp; Stuff'!IA:JB,5,FALSE)</f>
        <v>0</v>
      </c>
      <c r="H202" s="113">
        <f>VLOOKUP(C202,'Talente &amp; Stuff'!IA:JB,6,FALSE)</f>
        <v>0</v>
      </c>
      <c r="I202" s="113">
        <f>VLOOKUP(C202,'Talente &amp; Stuff'!IA:JB,7,FALSE)</f>
        <v>0</v>
      </c>
      <c r="J202" s="113">
        <f>VLOOKUP(C202,'Talente &amp; Stuff'!IA:JB,8,FALSE)</f>
        <v>0</v>
      </c>
      <c r="K202" s="113">
        <f>VLOOKUP(C202,'Talente &amp; Stuff'!IA:JB,9,FALSE)</f>
        <v>0</v>
      </c>
      <c r="L202" s="113">
        <f>VLOOKUP(C202,'Talente &amp; Stuff'!IA:JB,10,FALSE)</f>
        <v>0</v>
      </c>
      <c r="M202" s="119">
        <f>VLOOKUP(C202,'Talente &amp; Stuff'!IA:JB,11,FALSE)</f>
        <v>0</v>
      </c>
      <c r="N202" s="47">
        <f>VLOOKUP(C202,'Talente &amp; Stuff'!IA:JB,12,FALSE)</f>
        <v>0</v>
      </c>
      <c r="O202" s="47">
        <f>VLOOKUP(C202,'Talente &amp; Stuff'!IA:JB,13,FALSE)</f>
        <v>0</v>
      </c>
      <c r="P202" s="119">
        <f>VLOOKUP(C202,'Talente &amp; Stuff'!IA:JB,14,FALSE)</f>
        <v>0</v>
      </c>
      <c r="Q202" s="114">
        <f>VLOOKUP(C202,'Talente &amp; Stuff'!IA:JB,15,FALSE)</f>
        <v>0</v>
      </c>
      <c r="R202" s="113">
        <f>VLOOKUP(C202,'Talente &amp; Stuff'!IA:JB,16,FALSE)</f>
        <v>0</v>
      </c>
      <c r="S202" s="119">
        <f>VLOOKUP(C202,'Talente &amp; Stuff'!IA:JB,17,FALSE)</f>
        <v>0</v>
      </c>
      <c r="T202" s="119">
        <f>VLOOKUP(C202,'Talente &amp; Stuff'!IA:JB,18,FALSE)</f>
        <v>0</v>
      </c>
      <c r="U202" s="89">
        <f>VLOOKUP(C202,'Talente &amp; Stuff'!IA:JB,19,FALSE)</f>
        <v>0</v>
      </c>
      <c r="V202" s="47">
        <f>VLOOKUP(C202,'Talente &amp; Stuff'!IA:JB,20,FALSE)</f>
        <v>0</v>
      </c>
      <c r="W202" s="127">
        <f>VLOOKUP(C202,'Talente &amp; Stuff'!IA:JB,21,FALSE)</f>
        <v>0</v>
      </c>
      <c r="X202" s="127">
        <f>VLOOKUP(C202,'Talente &amp; Stuff'!IA:JB,22,FALSE)</f>
        <v>0</v>
      </c>
      <c r="Y202" s="165">
        <f t="shared" si="18"/>
        <v>0</v>
      </c>
      <c r="Z202" s="44">
        <f t="shared" si="19"/>
        <v>0</v>
      </c>
      <c r="AA202" s="125">
        <f>VLOOKUP(C202,'Talente &amp; Stuff'!IA:JB,25,FALSE)</f>
        <v>0</v>
      </c>
      <c r="AB202" s="160">
        <f>VLOOKUP(C202,'Talente &amp; Stuff'!IA:JB,26,FALSE)</f>
        <v>0</v>
      </c>
      <c r="AC202" s="127">
        <f>VLOOKUP(C202,'Talente &amp; Stuff'!IA:JB,27,FALSE)</f>
        <v>0</v>
      </c>
      <c r="AD202" s="125">
        <f>VLOOKUP(C202,'Talente &amp; Stuff'!IA:JB,28,FALSE)</f>
        <v>0</v>
      </c>
      <c r="AE202" s="28"/>
    </row>
    <row r="203" spans="2:31" ht="15" hidden="1" customHeight="1" outlineLevel="2">
      <c r="B203" s="148">
        <v>51</v>
      </c>
      <c r="C203" s="177" t="str">
        <f>Attribute!C203</f>
        <v>---</v>
      </c>
      <c r="D203" s="86" t="str">
        <f>VLOOKUP(C203,'Talente &amp; Stuff'!IA:JB,2,FALSE)</f>
        <v>--/--/--</v>
      </c>
      <c r="E203" s="167" t="str">
        <f>VLOOKUP(C203,'Talente &amp; Stuff'!IA:JB,3,FALSE)</f>
        <v>-</v>
      </c>
      <c r="F203" s="120">
        <f>VLOOKUP(C203,'Talente &amp; Stuff'!IA:JB,4,FALSE)</f>
        <v>0</v>
      </c>
      <c r="G203" s="117">
        <f>VLOOKUP(C203,'Talente &amp; Stuff'!IA:JB,5,FALSE)</f>
        <v>0</v>
      </c>
      <c r="H203" s="117">
        <f>VLOOKUP(C203,'Talente &amp; Stuff'!IA:JB,6,FALSE)</f>
        <v>0</v>
      </c>
      <c r="I203" s="117">
        <f>VLOOKUP(C203,'Talente &amp; Stuff'!IA:JB,7,FALSE)</f>
        <v>0</v>
      </c>
      <c r="J203" s="117">
        <f>VLOOKUP(C203,'Talente &amp; Stuff'!IA:JB,8,FALSE)</f>
        <v>0</v>
      </c>
      <c r="K203" s="117">
        <f>VLOOKUP(C203,'Talente &amp; Stuff'!IA:JB,9,FALSE)</f>
        <v>0</v>
      </c>
      <c r="L203" s="117">
        <f>VLOOKUP(C203,'Talente &amp; Stuff'!IA:JB,10,FALSE)</f>
        <v>0</v>
      </c>
      <c r="M203" s="121">
        <f>VLOOKUP(C203,'Talente &amp; Stuff'!IA:JB,11,FALSE)</f>
        <v>0</v>
      </c>
      <c r="N203" s="47">
        <f>VLOOKUP(C203,'Talente &amp; Stuff'!IA:JB,12,FALSE)</f>
        <v>0</v>
      </c>
      <c r="O203" s="3">
        <f>VLOOKUP(C203,'Talente &amp; Stuff'!IA:JB,13,FALSE)</f>
        <v>0</v>
      </c>
      <c r="P203" s="174">
        <f>VLOOKUP(C203,'Talente &amp; Stuff'!IA:JB,14,FALSE)</f>
        <v>0</v>
      </c>
      <c r="Q203" s="114">
        <f>VLOOKUP(C203,'Talente &amp; Stuff'!IA:JB,15,FALSE)</f>
        <v>0</v>
      </c>
      <c r="R203" s="117">
        <f>VLOOKUP(C203,'Talente &amp; Stuff'!IA:JB,16,FALSE)</f>
        <v>0</v>
      </c>
      <c r="S203" s="119">
        <f>VLOOKUP(C203,'Talente &amp; Stuff'!IA:JB,17,FALSE)</f>
        <v>0</v>
      </c>
      <c r="T203" s="119">
        <f>VLOOKUP(C203,'Talente &amp; Stuff'!IA:JB,18,FALSE)</f>
        <v>0</v>
      </c>
      <c r="U203" s="89">
        <f>VLOOKUP(C203,'Talente &amp; Stuff'!IA:JB,19,FALSE)</f>
        <v>0</v>
      </c>
      <c r="V203" s="47">
        <f>VLOOKUP(C203,'Talente &amp; Stuff'!IA:JB,20,FALSE)</f>
        <v>0</v>
      </c>
      <c r="W203" s="127">
        <f>VLOOKUP(C203,'Talente &amp; Stuff'!IA:JB,21,FALSE)</f>
        <v>0</v>
      </c>
      <c r="X203" s="127">
        <f>VLOOKUP(C203,'Talente &amp; Stuff'!IA:JB,22,FALSE)</f>
        <v>0</v>
      </c>
      <c r="Y203" s="165">
        <f t="shared" si="18"/>
        <v>0</v>
      </c>
      <c r="Z203" s="44">
        <f t="shared" si="19"/>
        <v>0</v>
      </c>
      <c r="AA203" s="125">
        <f>VLOOKUP(C203,'Talente &amp; Stuff'!IA:JB,25,FALSE)</f>
        <v>0</v>
      </c>
      <c r="AB203" s="160">
        <f>VLOOKUP(C203,'Talente &amp; Stuff'!IA:JB,26,FALSE)</f>
        <v>0</v>
      </c>
      <c r="AC203" s="127">
        <f>VLOOKUP(C203,'Talente &amp; Stuff'!IA:JB,27,FALSE)</f>
        <v>0</v>
      </c>
      <c r="AD203" s="125">
        <f>VLOOKUP(C203,'Talente &amp; Stuff'!IA:JB,28,FALSE)</f>
        <v>0</v>
      </c>
      <c r="AE203" s="28"/>
    </row>
    <row r="204" spans="2:31" ht="15" hidden="1" customHeight="1" outlineLevel="2">
      <c r="B204" s="148">
        <v>52</v>
      </c>
      <c r="C204" s="177" t="str">
        <f>Attribute!C204</f>
        <v>---</v>
      </c>
      <c r="D204" s="125" t="str">
        <f>VLOOKUP(C204,'Talente &amp; Stuff'!IA:JB,2,FALSE)</f>
        <v>--/--/--</v>
      </c>
      <c r="E204" s="127" t="str">
        <f>VLOOKUP(C204,'Talente &amp; Stuff'!IA:JB,3,FALSE)</f>
        <v>-</v>
      </c>
      <c r="F204" s="114">
        <f>VLOOKUP(C204,'Talente &amp; Stuff'!IA:JB,4,FALSE)</f>
        <v>0</v>
      </c>
      <c r="G204" s="113">
        <f>VLOOKUP(C204,'Talente &amp; Stuff'!IA:JB,5,FALSE)</f>
        <v>0</v>
      </c>
      <c r="H204" s="113">
        <f>VLOOKUP(C204,'Talente &amp; Stuff'!IA:JB,6,FALSE)</f>
        <v>0</v>
      </c>
      <c r="I204" s="113">
        <f>VLOOKUP(C204,'Talente &amp; Stuff'!IA:JB,7,FALSE)</f>
        <v>0</v>
      </c>
      <c r="J204" s="113">
        <f>VLOOKUP(C204,'Talente &amp; Stuff'!IA:JB,8,FALSE)</f>
        <v>0</v>
      </c>
      <c r="K204" s="113">
        <f>VLOOKUP(C204,'Talente &amp; Stuff'!IA:JB,9,FALSE)</f>
        <v>0</v>
      </c>
      <c r="L204" s="113">
        <f>VLOOKUP(C204,'Talente &amp; Stuff'!IA:JB,10,FALSE)</f>
        <v>0</v>
      </c>
      <c r="M204" s="119">
        <f>VLOOKUP(C204,'Talente &amp; Stuff'!IA:JB,11,FALSE)</f>
        <v>0</v>
      </c>
      <c r="N204" s="47">
        <f>VLOOKUP(C204,'Talente &amp; Stuff'!IA:JB,12,FALSE)</f>
        <v>0</v>
      </c>
      <c r="O204" s="47">
        <f>VLOOKUP(C204,'Talente &amp; Stuff'!IA:JB,13,FALSE)</f>
        <v>0</v>
      </c>
      <c r="P204" s="119">
        <f>VLOOKUP(C204,'Talente &amp; Stuff'!IA:JB,14,FALSE)</f>
        <v>0</v>
      </c>
      <c r="Q204" s="114">
        <f>VLOOKUP(C204,'Talente &amp; Stuff'!IA:JB,15,FALSE)</f>
        <v>0</v>
      </c>
      <c r="R204" s="113">
        <f>VLOOKUP(C204,'Talente &amp; Stuff'!IA:JB,16,FALSE)</f>
        <v>0</v>
      </c>
      <c r="S204" s="119">
        <f>VLOOKUP(C204,'Talente &amp; Stuff'!IA:JB,17,FALSE)</f>
        <v>0</v>
      </c>
      <c r="T204" s="119">
        <f>VLOOKUP(C204,'Talente &amp; Stuff'!IA:JB,18,FALSE)</f>
        <v>0</v>
      </c>
      <c r="U204" s="89">
        <f>VLOOKUP(C204,'Talente &amp; Stuff'!IA:JB,19,FALSE)</f>
        <v>0</v>
      </c>
      <c r="V204" s="47">
        <f>VLOOKUP(C204,'Talente &amp; Stuff'!IA:JB,20,FALSE)</f>
        <v>0</v>
      </c>
      <c r="W204" s="127">
        <f>VLOOKUP(C204,'Talente &amp; Stuff'!IA:JB,21,FALSE)</f>
        <v>0</v>
      </c>
      <c r="X204" s="127">
        <f>VLOOKUP(C204,'Talente &amp; Stuff'!IA:JB,22,FALSE)</f>
        <v>0</v>
      </c>
      <c r="Y204" s="165">
        <f t="shared" si="18"/>
        <v>0</v>
      </c>
      <c r="Z204" s="44">
        <f t="shared" si="19"/>
        <v>0</v>
      </c>
      <c r="AA204" s="125">
        <f>VLOOKUP(C204,'Talente &amp; Stuff'!IA:JB,25,FALSE)</f>
        <v>0</v>
      </c>
      <c r="AB204" s="160">
        <f>VLOOKUP(C204,'Talente &amp; Stuff'!IA:JB,26,FALSE)</f>
        <v>0</v>
      </c>
      <c r="AC204" s="127">
        <f>VLOOKUP(C204,'Talente &amp; Stuff'!IA:JB,27,FALSE)</f>
        <v>0</v>
      </c>
      <c r="AD204" s="125">
        <f>VLOOKUP(C204,'Talente &amp; Stuff'!IA:JB,28,FALSE)</f>
        <v>0</v>
      </c>
      <c r="AE204" s="28"/>
    </row>
    <row r="205" spans="2:31" ht="15" hidden="1" customHeight="1" outlineLevel="2">
      <c r="B205" s="148">
        <v>53</v>
      </c>
      <c r="C205" s="177" t="str">
        <f>Attribute!C205</f>
        <v>---</v>
      </c>
      <c r="D205" s="86" t="str">
        <f>VLOOKUP(C205,'Talente &amp; Stuff'!IA:JB,2,FALSE)</f>
        <v>--/--/--</v>
      </c>
      <c r="E205" s="127" t="str">
        <f>VLOOKUP(C205,'Talente &amp; Stuff'!IA:JB,3,FALSE)</f>
        <v>-</v>
      </c>
      <c r="F205" s="114">
        <f>VLOOKUP(C205,'Talente &amp; Stuff'!IA:JB,4,FALSE)</f>
        <v>0</v>
      </c>
      <c r="G205" s="113">
        <f>VLOOKUP(C205,'Talente &amp; Stuff'!IA:JB,5,FALSE)</f>
        <v>0</v>
      </c>
      <c r="H205" s="113">
        <f>VLOOKUP(C205,'Talente &amp; Stuff'!IA:JB,6,FALSE)</f>
        <v>0</v>
      </c>
      <c r="I205" s="113">
        <f>VLOOKUP(C205,'Talente &amp; Stuff'!IA:JB,7,FALSE)</f>
        <v>0</v>
      </c>
      <c r="J205" s="113">
        <f>VLOOKUP(C205,'Talente &amp; Stuff'!IA:JB,8,FALSE)</f>
        <v>0</v>
      </c>
      <c r="K205" s="113">
        <f>VLOOKUP(C205,'Talente &amp; Stuff'!IA:JB,9,FALSE)</f>
        <v>0</v>
      </c>
      <c r="L205" s="113">
        <f>VLOOKUP(C205,'Talente &amp; Stuff'!IA:JB,10,FALSE)</f>
        <v>0</v>
      </c>
      <c r="M205" s="119">
        <f>VLOOKUP(C205,'Talente &amp; Stuff'!IA:JB,11,FALSE)</f>
        <v>0</v>
      </c>
      <c r="N205" s="47">
        <f>VLOOKUP(C205,'Talente &amp; Stuff'!IA:JB,12,FALSE)</f>
        <v>0</v>
      </c>
      <c r="O205" s="3">
        <f>VLOOKUP(C205,'Talente &amp; Stuff'!IA:JB,13,FALSE)</f>
        <v>0</v>
      </c>
      <c r="P205" s="174">
        <f>VLOOKUP(C205,'Talente &amp; Stuff'!IA:JB,14,FALSE)</f>
        <v>0</v>
      </c>
      <c r="Q205" s="114">
        <f>VLOOKUP(C205,'Talente &amp; Stuff'!IA:JB,15,FALSE)</f>
        <v>0</v>
      </c>
      <c r="R205" s="117">
        <f>VLOOKUP(C205,'Talente &amp; Stuff'!IA:JB,16,FALSE)</f>
        <v>0</v>
      </c>
      <c r="S205" s="119">
        <f>VLOOKUP(C205,'Talente &amp; Stuff'!IA:JB,17,FALSE)</f>
        <v>0</v>
      </c>
      <c r="T205" s="119">
        <f>VLOOKUP(C205,'Talente &amp; Stuff'!IA:JB,18,FALSE)</f>
        <v>0</v>
      </c>
      <c r="U205" s="89">
        <f>VLOOKUP(C205,'Talente &amp; Stuff'!IA:JB,19,FALSE)</f>
        <v>0</v>
      </c>
      <c r="V205" s="47">
        <f>VLOOKUP(C205,'Talente &amp; Stuff'!IA:JB,20,FALSE)</f>
        <v>0</v>
      </c>
      <c r="W205" s="127">
        <f>VLOOKUP(C205,'Talente &amp; Stuff'!IA:JB,21,FALSE)</f>
        <v>0</v>
      </c>
      <c r="X205" s="127">
        <f>VLOOKUP(C205,'Talente &amp; Stuff'!IA:JB,22,FALSE)</f>
        <v>0</v>
      </c>
      <c r="Y205" s="165">
        <f t="shared" si="18"/>
        <v>0</v>
      </c>
      <c r="Z205" s="44">
        <f t="shared" si="19"/>
        <v>0</v>
      </c>
      <c r="AA205" s="125">
        <f>VLOOKUP(C205,'Talente &amp; Stuff'!IA:JB,25,FALSE)</f>
        <v>0</v>
      </c>
      <c r="AB205" s="160">
        <f>VLOOKUP(C205,'Talente &amp; Stuff'!IA:JB,26,FALSE)</f>
        <v>0</v>
      </c>
      <c r="AC205" s="127">
        <f>VLOOKUP(C205,'Talente &amp; Stuff'!IA:JB,27,FALSE)</f>
        <v>0</v>
      </c>
      <c r="AD205" s="125">
        <f>VLOOKUP(C205,'Talente &amp; Stuff'!IA:JB,28,FALSE)</f>
        <v>0</v>
      </c>
      <c r="AE205" s="28"/>
    </row>
    <row r="206" spans="2:31" ht="15" hidden="1" customHeight="1" outlineLevel="2">
      <c r="B206" s="148">
        <v>54</v>
      </c>
      <c r="C206" s="177" t="str">
        <f>Attribute!C206</f>
        <v>---</v>
      </c>
      <c r="D206" s="125" t="str">
        <f>VLOOKUP(C206,'Talente &amp; Stuff'!IA:JB,2,FALSE)</f>
        <v>--/--/--</v>
      </c>
      <c r="E206" s="127" t="str">
        <f>VLOOKUP(C206,'Talente &amp; Stuff'!IA:JB,3,FALSE)</f>
        <v>-</v>
      </c>
      <c r="F206" s="114">
        <f>VLOOKUP(C206,'Talente &amp; Stuff'!IA:JB,4,FALSE)</f>
        <v>0</v>
      </c>
      <c r="G206" s="113">
        <f>VLOOKUP(C206,'Talente &amp; Stuff'!IA:JB,5,FALSE)</f>
        <v>0</v>
      </c>
      <c r="H206" s="113">
        <f>VLOOKUP(C206,'Talente &amp; Stuff'!IA:JB,6,FALSE)</f>
        <v>0</v>
      </c>
      <c r="I206" s="113">
        <f>VLOOKUP(C206,'Talente &amp; Stuff'!IA:JB,7,FALSE)</f>
        <v>0</v>
      </c>
      <c r="J206" s="113">
        <f>VLOOKUP(C206,'Talente &amp; Stuff'!IA:JB,8,FALSE)</f>
        <v>0</v>
      </c>
      <c r="K206" s="113">
        <f>VLOOKUP(C206,'Talente &amp; Stuff'!IA:JB,9,FALSE)</f>
        <v>0</v>
      </c>
      <c r="L206" s="113">
        <f>VLOOKUP(C206,'Talente &amp; Stuff'!IA:JB,10,FALSE)</f>
        <v>0</v>
      </c>
      <c r="M206" s="119">
        <f>VLOOKUP(C206,'Talente &amp; Stuff'!IA:JB,11,FALSE)</f>
        <v>0</v>
      </c>
      <c r="N206" s="47">
        <f>VLOOKUP(C206,'Talente &amp; Stuff'!IA:JB,12,FALSE)</f>
        <v>0</v>
      </c>
      <c r="O206" s="47">
        <f>VLOOKUP(C206,'Talente &amp; Stuff'!IA:JB,13,FALSE)</f>
        <v>0</v>
      </c>
      <c r="P206" s="119">
        <f>VLOOKUP(C206,'Talente &amp; Stuff'!IA:JB,14,FALSE)</f>
        <v>0</v>
      </c>
      <c r="Q206" s="114">
        <f>VLOOKUP(C206,'Talente &amp; Stuff'!IA:JB,15,FALSE)</f>
        <v>0</v>
      </c>
      <c r="R206" s="113">
        <f>VLOOKUP(C206,'Talente &amp; Stuff'!IA:JB,16,FALSE)</f>
        <v>0</v>
      </c>
      <c r="S206" s="119">
        <f>VLOOKUP(C206,'Talente &amp; Stuff'!IA:JB,17,FALSE)</f>
        <v>0</v>
      </c>
      <c r="T206" s="119">
        <f>VLOOKUP(C206,'Talente &amp; Stuff'!IA:JB,18,FALSE)</f>
        <v>0</v>
      </c>
      <c r="U206" s="89">
        <f>VLOOKUP(C206,'Talente &amp; Stuff'!IA:JB,19,FALSE)</f>
        <v>0</v>
      </c>
      <c r="V206" s="47">
        <f>VLOOKUP(C206,'Talente &amp; Stuff'!IA:JB,20,FALSE)</f>
        <v>0</v>
      </c>
      <c r="W206" s="127">
        <f>VLOOKUP(C206,'Talente &amp; Stuff'!IA:JB,21,FALSE)</f>
        <v>0</v>
      </c>
      <c r="X206" s="127">
        <f>VLOOKUP(C206,'Talente &amp; Stuff'!IA:JB,22,FALSE)</f>
        <v>0</v>
      </c>
      <c r="Y206" s="165">
        <f t="shared" si="18"/>
        <v>0</v>
      </c>
      <c r="Z206" s="44">
        <f t="shared" si="19"/>
        <v>0</v>
      </c>
      <c r="AA206" s="125">
        <f>VLOOKUP(C206,'Talente &amp; Stuff'!IA:JB,25,FALSE)</f>
        <v>0</v>
      </c>
      <c r="AB206" s="160">
        <f>VLOOKUP(C206,'Talente &amp; Stuff'!IA:JB,26,FALSE)</f>
        <v>0</v>
      </c>
      <c r="AC206" s="127">
        <f>VLOOKUP(C206,'Talente &amp; Stuff'!IA:JB,27,FALSE)</f>
        <v>0</v>
      </c>
      <c r="AD206" s="125">
        <f>VLOOKUP(C206,'Talente &amp; Stuff'!IA:JB,28,FALSE)</f>
        <v>0</v>
      </c>
      <c r="AE206" s="28"/>
    </row>
    <row r="207" spans="2:31" ht="15" hidden="1" customHeight="1" outlineLevel="2">
      <c r="B207" s="148">
        <v>55</v>
      </c>
      <c r="C207" s="177" t="str">
        <f>Attribute!C207</f>
        <v>---</v>
      </c>
      <c r="D207" s="125" t="str">
        <f>VLOOKUP(C207,'Talente &amp; Stuff'!IA:JB,2,FALSE)</f>
        <v>--/--/--</v>
      </c>
      <c r="E207" s="127" t="str">
        <f>VLOOKUP(C207,'Talente &amp; Stuff'!IA:JB,3,FALSE)</f>
        <v>-</v>
      </c>
      <c r="F207" s="114">
        <f>VLOOKUP(C207,'Talente &amp; Stuff'!IA:JB,4,FALSE)</f>
        <v>0</v>
      </c>
      <c r="G207" s="113">
        <f>VLOOKUP(C207,'Talente &amp; Stuff'!IA:JB,5,FALSE)</f>
        <v>0</v>
      </c>
      <c r="H207" s="113">
        <f>VLOOKUP(C207,'Talente &amp; Stuff'!IA:JB,6,FALSE)</f>
        <v>0</v>
      </c>
      <c r="I207" s="113">
        <f>VLOOKUP(C207,'Talente &amp; Stuff'!IA:JB,7,FALSE)</f>
        <v>0</v>
      </c>
      <c r="J207" s="113">
        <f>VLOOKUP(C207,'Talente &amp; Stuff'!IA:JB,8,FALSE)</f>
        <v>0</v>
      </c>
      <c r="K207" s="113">
        <f>VLOOKUP(C207,'Talente &amp; Stuff'!IA:JB,9,FALSE)</f>
        <v>0</v>
      </c>
      <c r="L207" s="113">
        <f>VLOOKUP(C207,'Talente &amp; Stuff'!IA:JB,10,FALSE)</f>
        <v>0</v>
      </c>
      <c r="M207" s="119">
        <f>VLOOKUP(C207,'Talente &amp; Stuff'!IA:JB,11,FALSE)</f>
        <v>0</v>
      </c>
      <c r="N207" s="47">
        <f>VLOOKUP(C207,'Talente &amp; Stuff'!IA:JB,12,FALSE)</f>
        <v>0</v>
      </c>
      <c r="O207" s="47">
        <f>VLOOKUP(C207,'Talente &amp; Stuff'!IA:JB,13,FALSE)</f>
        <v>0</v>
      </c>
      <c r="P207" s="119">
        <f>VLOOKUP(C207,'Talente &amp; Stuff'!IA:JB,14,FALSE)</f>
        <v>0</v>
      </c>
      <c r="Q207" s="114">
        <f>VLOOKUP(C207,'Talente &amp; Stuff'!IA:JB,15,FALSE)</f>
        <v>0</v>
      </c>
      <c r="R207" s="113">
        <f>VLOOKUP(C207,'Talente &amp; Stuff'!IA:JB,16,FALSE)</f>
        <v>0</v>
      </c>
      <c r="S207" s="119">
        <f>VLOOKUP(C207,'Talente &amp; Stuff'!IA:JB,17,FALSE)</f>
        <v>0</v>
      </c>
      <c r="T207" s="119">
        <f>VLOOKUP(C207,'Talente &amp; Stuff'!IA:JB,18,FALSE)</f>
        <v>0</v>
      </c>
      <c r="U207" s="89">
        <f>VLOOKUP(C207,'Talente &amp; Stuff'!IA:JB,19,FALSE)</f>
        <v>0</v>
      </c>
      <c r="V207" s="47">
        <f>VLOOKUP(C207,'Talente &amp; Stuff'!IA:JB,20,FALSE)</f>
        <v>0</v>
      </c>
      <c r="W207" s="127">
        <f>VLOOKUP(C207,'Talente &amp; Stuff'!IA:JB,21,FALSE)</f>
        <v>0</v>
      </c>
      <c r="X207" s="127">
        <f>VLOOKUP(C207,'Talente &amp; Stuff'!IA:JB,22,FALSE)</f>
        <v>0</v>
      </c>
      <c r="Y207" s="165">
        <f t="shared" si="18"/>
        <v>0</v>
      </c>
      <c r="Z207" s="44">
        <f t="shared" si="19"/>
        <v>0</v>
      </c>
      <c r="AA207" s="125">
        <f>VLOOKUP(C207,'Talente &amp; Stuff'!IA:JB,25,FALSE)</f>
        <v>0</v>
      </c>
      <c r="AB207" s="160">
        <f>VLOOKUP(C207,'Talente &amp; Stuff'!IA:JB,26,FALSE)</f>
        <v>0</v>
      </c>
      <c r="AC207" s="127">
        <f>VLOOKUP(C207,'Talente &amp; Stuff'!IA:JB,27,FALSE)</f>
        <v>0</v>
      </c>
      <c r="AD207" s="125">
        <f>VLOOKUP(C207,'Talente &amp; Stuff'!IA:JB,28,FALSE)</f>
        <v>0</v>
      </c>
      <c r="AE207" s="28"/>
    </row>
    <row r="208" spans="2:31" ht="15" hidden="1" customHeight="1" outlineLevel="2">
      <c r="B208" s="148">
        <v>56</v>
      </c>
      <c r="C208" s="177" t="str">
        <f>Attribute!C208</f>
        <v>---</v>
      </c>
      <c r="D208" s="125" t="str">
        <f>VLOOKUP(C208,'Talente &amp; Stuff'!IA:JB,2,FALSE)</f>
        <v>--/--/--</v>
      </c>
      <c r="E208" s="127" t="str">
        <f>VLOOKUP(C208,'Talente &amp; Stuff'!IA:JB,3,FALSE)</f>
        <v>-</v>
      </c>
      <c r="F208" s="114">
        <f>VLOOKUP(C208,'Talente &amp; Stuff'!IA:JB,4,FALSE)</f>
        <v>0</v>
      </c>
      <c r="G208" s="113">
        <f>VLOOKUP(C208,'Talente &amp; Stuff'!IA:JB,5,FALSE)</f>
        <v>0</v>
      </c>
      <c r="H208" s="113">
        <f>VLOOKUP(C208,'Talente &amp; Stuff'!IA:JB,6,FALSE)</f>
        <v>0</v>
      </c>
      <c r="I208" s="113">
        <f>VLOOKUP(C208,'Talente &amp; Stuff'!IA:JB,7,FALSE)</f>
        <v>0</v>
      </c>
      <c r="J208" s="113">
        <f>VLOOKUP(C208,'Talente &amp; Stuff'!IA:JB,8,FALSE)</f>
        <v>0</v>
      </c>
      <c r="K208" s="113">
        <f>VLOOKUP(C208,'Talente &amp; Stuff'!IA:JB,9,FALSE)</f>
        <v>0</v>
      </c>
      <c r="L208" s="113">
        <f>VLOOKUP(C208,'Talente &amp; Stuff'!IA:JB,10,FALSE)</f>
        <v>0</v>
      </c>
      <c r="M208" s="119">
        <f>VLOOKUP(C208,'Talente &amp; Stuff'!IA:JB,11,FALSE)</f>
        <v>0</v>
      </c>
      <c r="N208" s="47">
        <f>VLOOKUP(C208,'Talente &amp; Stuff'!IA:JB,12,FALSE)</f>
        <v>0</v>
      </c>
      <c r="O208" s="47">
        <f>VLOOKUP(C208,'Talente &amp; Stuff'!IA:JB,13,FALSE)</f>
        <v>0</v>
      </c>
      <c r="P208" s="119">
        <f>VLOOKUP(C208,'Talente &amp; Stuff'!IA:JB,14,FALSE)</f>
        <v>0</v>
      </c>
      <c r="Q208" s="114">
        <f>VLOOKUP(C208,'Talente &amp; Stuff'!IA:JB,15,FALSE)</f>
        <v>0</v>
      </c>
      <c r="R208" s="113">
        <f>VLOOKUP(C208,'Talente &amp; Stuff'!IA:JB,16,FALSE)</f>
        <v>0</v>
      </c>
      <c r="S208" s="119">
        <f>VLOOKUP(C208,'Talente &amp; Stuff'!IA:JB,17,FALSE)</f>
        <v>0</v>
      </c>
      <c r="T208" s="119">
        <f>VLOOKUP(C208,'Talente &amp; Stuff'!IA:JB,18,FALSE)</f>
        <v>0</v>
      </c>
      <c r="U208" s="89">
        <f>VLOOKUP(C208,'Talente &amp; Stuff'!IA:JB,19,FALSE)</f>
        <v>0</v>
      </c>
      <c r="V208" s="47">
        <f>VLOOKUP(C208,'Talente &amp; Stuff'!IA:JB,20,FALSE)</f>
        <v>0</v>
      </c>
      <c r="W208" s="127">
        <f>VLOOKUP(C208,'Talente &amp; Stuff'!IA:JB,21,FALSE)</f>
        <v>0</v>
      </c>
      <c r="X208" s="127">
        <f>VLOOKUP(C208,'Talente &amp; Stuff'!IA:JB,22,FALSE)</f>
        <v>0</v>
      </c>
      <c r="Y208" s="165">
        <f t="shared" si="18"/>
        <v>0</v>
      </c>
      <c r="Z208" s="44">
        <f t="shared" si="19"/>
        <v>0</v>
      </c>
      <c r="AA208" s="125">
        <f>VLOOKUP(C208,'Talente &amp; Stuff'!IA:JB,25,FALSE)</f>
        <v>0</v>
      </c>
      <c r="AB208" s="160">
        <f>VLOOKUP(C208,'Talente &amp; Stuff'!IA:JB,26,FALSE)</f>
        <v>0</v>
      </c>
      <c r="AC208" s="127">
        <f>VLOOKUP(C208,'Talente &amp; Stuff'!IA:JB,27,FALSE)</f>
        <v>0</v>
      </c>
      <c r="AD208" s="125">
        <f>VLOOKUP(C208,'Talente &amp; Stuff'!IA:JB,28,FALSE)</f>
        <v>0</v>
      </c>
      <c r="AE208" s="28"/>
    </row>
    <row r="209" spans="2:31" ht="15" hidden="1" customHeight="1" outlineLevel="2">
      <c r="B209" s="148">
        <v>57</v>
      </c>
      <c r="C209" s="177" t="str">
        <f>Attribute!C209</f>
        <v>---</v>
      </c>
      <c r="D209" s="125" t="str">
        <f>VLOOKUP(C209,'Talente &amp; Stuff'!IA:JB,2,FALSE)</f>
        <v>--/--/--</v>
      </c>
      <c r="E209" s="127" t="str">
        <f>VLOOKUP(C209,'Talente &amp; Stuff'!IA:JB,3,FALSE)</f>
        <v>-</v>
      </c>
      <c r="F209" s="114">
        <f>VLOOKUP(C209,'Talente &amp; Stuff'!IA:JB,4,FALSE)</f>
        <v>0</v>
      </c>
      <c r="G209" s="113">
        <f>VLOOKUP(C209,'Talente &amp; Stuff'!IA:JB,5,FALSE)</f>
        <v>0</v>
      </c>
      <c r="H209" s="113">
        <f>VLOOKUP(C209,'Talente &amp; Stuff'!IA:JB,6,FALSE)</f>
        <v>0</v>
      </c>
      <c r="I209" s="113">
        <f>VLOOKUP(C209,'Talente &amp; Stuff'!IA:JB,7,FALSE)</f>
        <v>0</v>
      </c>
      <c r="J209" s="113">
        <f>VLOOKUP(C209,'Talente &amp; Stuff'!IA:JB,8,FALSE)</f>
        <v>0</v>
      </c>
      <c r="K209" s="113">
        <f>VLOOKUP(C209,'Talente &amp; Stuff'!IA:JB,9,FALSE)</f>
        <v>0</v>
      </c>
      <c r="L209" s="113">
        <f>VLOOKUP(C209,'Talente &amp; Stuff'!IA:JB,10,FALSE)</f>
        <v>0</v>
      </c>
      <c r="M209" s="119">
        <f>VLOOKUP(C209,'Talente &amp; Stuff'!IA:JB,11,FALSE)</f>
        <v>0</v>
      </c>
      <c r="N209" s="47">
        <f>VLOOKUP(C209,'Talente &amp; Stuff'!IA:JB,12,FALSE)</f>
        <v>0</v>
      </c>
      <c r="O209" s="47">
        <f>VLOOKUP(C209,'Talente &amp; Stuff'!IA:JB,13,FALSE)</f>
        <v>0</v>
      </c>
      <c r="P209" s="119">
        <f>VLOOKUP(C209,'Talente &amp; Stuff'!IA:JB,14,FALSE)</f>
        <v>0</v>
      </c>
      <c r="Q209" s="114">
        <f>VLOOKUP(C209,'Talente &amp; Stuff'!IA:JB,15,FALSE)</f>
        <v>0</v>
      </c>
      <c r="R209" s="113">
        <f>VLOOKUP(C209,'Talente &amp; Stuff'!IA:JB,16,FALSE)</f>
        <v>0</v>
      </c>
      <c r="S209" s="119">
        <f>VLOOKUP(C209,'Talente &amp; Stuff'!IA:JB,17,FALSE)</f>
        <v>0</v>
      </c>
      <c r="T209" s="119">
        <f>VLOOKUP(C209,'Talente &amp; Stuff'!IA:JB,18,FALSE)</f>
        <v>0</v>
      </c>
      <c r="U209" s="89">
        <f>VLOOKUP(C209,'Talente &amp; Stuff'!IA:JB,19,FALSE)</f>
        <v>0</v>
      </c>
      <c r="V209" s="47">
        <f>VLOOKUP(C209,'Talente &amp; Stuff'!IA:JB,20,FALSE)</f>
        <v>0</v>
      </c>
      <c r="W209" s="127">
        <f>VLOOKUP(C209,'Talente &amp; Stuff'!IA:JB,21,FALSE)</f>
        <v>0</v>
      </c>
      <c r="X209" s="127">
        <f>VLOOKUP(C209,'Talente &amp; Stuff'!IA:JB,22,FALSE)</f>
        <v>0</v>
      </c>
      <c r="Y209" s="165">
        <f t="shared" si="18"/>
        <v>0</v>
      </c>
      <c r="Z209" s="44">
        <f t="shared" si="19"/>
        <v>0</v>
      </c>
      <c r="AA209" s="125">
        <f>VLOOKUP(C209,'Talente &amp; Stuff'!IA:JB,25,FALSE)</f>
        <v>0</v>
      </c>
      <c r="AB209" s="160">
        <f>VLOOKUP(C209,'Talente &amp; Stuff'!IA:JB,26,FALSE)</f>
        <v>0</v>
      </c>
      <c r="AC209" s="127">
        <f>VLOOKUP(C209,'Talente &amp; Stuff'!IA:JB,27,FALSE)</f>
        <v>0</v>
      </c>
      <c r="AD209" s="125">
        <f>VLOOKUP(C209,'Talente &amp; Stuff'!IA:JB,28,FALSE)</f>
        <v>0</v>
      </c>
      <c r="AE209" s="28"/>
    </row>
    <row r="210" spans="2:31" ht="15" hidden="1" customHeight="1" outlineLevel="2">
      <c r="B210" s="148">
        <v>58</v>
      </c>
      <c r="C210" s="177" t="str">
        <f>Attribute!C210</f>
        <v>---</v>
      </c>
      <c r="D210" s="125" t="str">
        <f>VLOOKUP(C210,'Talente &amp; Stuff'!IA:JB,2,FALSE)</f>
        <v>--/--/--</v>
      </c>
      <c r="E210" s="127" t="str">
        <f>VLOOKUP(C210,'Talente &amp; Stuff'!IA:JB,3,FALSE)</f>
        <v>-</v>
      </c>
      <c r="F210" s="114">
        <f>VLOOKUP(C210,'Talente &amp; Stuff'!IA:JB,4,FALSE)</f>
        <v>0</v>
      </c>
      <c r="G210" s="113">
        <f>VLOOKUP(C210,'Talente &amp; Stuff'!IA:JB,5,FALSE)</f>
        <v>0</v>
      </c>
      <c r="H210" s="113">
        <f>VLOOKUP(C210,'Talente &amp; Stuff'!IA:JB,6,FALSE)</f>
        <v>0</v>
      </c>
      <c r="I210" s="113">
        <f>VLOOKUP(C210,'Talente &amp; Stuff'!IA:JB,7,FALSE)</f>
        <v>0</v>
      </c>
      <c r="J210" s="113">
        <f>VLOOKUP(C210,'Talente &amp; Stuff'!IA:JB,8,FALSE)</f>
        <v>0</v>
      </c>
      <c r="K210" s="113">
        <f>VLOOKUP(C210,'Talente &amp; Stuff'!IA:JB,9,FALSE)</f>
        <v>0</v>
      </c>
      <c r="L210" s="113">
        <f>VLOOKUP(C210,'Talente &amp; Stuff'!IA:JB,10,FALSE)</f>
        <v>0</v>
      </c>
      <c r="M210" s="119">
        <f>VLOOKUP(C210,'Talente &amp; Stuff'!IA:JB,11,FALSE)</f>
        <v>0</v>
      </c>
      <c r="N210" s="47">
        <f>VLOOKUP(C210,'Talente &amp; Stuff'!IA:JB,12,FALSE)</f>
        <v>0</v>
      </c>
      <c r="O210" s="47">
        <f>VLOOKUP(C210,'Talente &amp; Stuff'!IA:JB,13,FALSE)</f>
        <v>0</v>
      </c>
      <c r="P210" s="119">
        <f>VLOOKUP(C210,'Talente &amp; Stuff'!IA:JB,14,FALSE)</f>
        <v>0</v>
      </c>
      <c r="Q210" s="114">
        <f>VLOOKUP(C210,'Talente &amp; Stuff'!IA:JB,15,FALSE)</f>
        <v>0</v>
      </c>
      <c r="R210" s="113">
        <f>VLOOKUP(C210,'Talente &amp; Stuff'!IA:JB,16,FALSE)</f>
        <v>0</v>
      </c>
      <c r="S210" s="119">
        <f>VLOOKUP(C210,'Talente &amp; Stuff'!IA:JB,17,FALSE)</f>
        <v>0</v>
      </c>
      <c r="T210" s="119">
        <f>VLOOKUP(C210,'Talente &amp; Stuff'!IA:JB,18,FALSE)</f>
        <v>0</v>
      </c>
      <c r="U210" s="89">
        <f>VLOOKUP(C210,'Talente &amp; Stuff'!IA:JB,19,FALSE)</f>
        <v>0</v>
      </c>
      <c r="V210" s="47">
        <f>VLOOKUP(C210,'Talente &amp; Stuff'!IA:JB,20,FALSE)</f>
        <v>0</v>
      </c>
      <c r="W210" s="127">
        <f>VLOOKUP(C210,'Talente &amp; Stuff'!IA:JB,21,FALSE)</f>
        <v>0</v>
      </c>
      <c r="X210" s="127">
        <f>VLOOKUP(C210,'Talente &amp; Stuff'!IA:JB,22,FALSE)</f>
        <v>0</v>
      </c>
      <c r="Y210" s="165">
        <f t="shared" si="18"/>
        <v>0</v>
      </c>
      <c r="Z210" s="44">
        <f t="shared" si="19"/>
        <v>0</v>
      </c>
      <c r="AA210" s="125">
        <f>VLOOKUP(C210,'Talente &amp; Stuff'!IA:JB,25,FALSE)</f>
        <v>0</v>
      </c>
      <c r="AB210" s="160">
        <f>VLOOKUP(C210,'Talente &amp; Stuff'!IA:JB,26,FALSE)</f>
        <v>0</v>
      </c>
      <c r="AC210" s="127">
        <f>VLOOKUP(C210,'Talente &amp; Stuff'!IA:JB,27,FALSE)</f>
        <v>0</v>
      </c>
      <c r="AD210" s="125">
        <f>VLOOKUP(C210,'Talente &amp; Stuff'!IA:JB,28,FALSE)</f>
        <v>0</v>
      </c>
      <c r="AE210" s="28"/>
    </row>
    <row r="211" spans="2:31" ht="15" hidden="1" customHeight="1" outlineLevel="2">
      <c r="B211" s="148">
        <v>59</v>
      </c>
      <c r="C211" s="177" t="str">
        <f>Attribute!C211</f>
        <v>---</v>
      </c>
      <c r="D211" s="159" t="str">
        <f>VLOOKUP(C211,'Talente &amp; Stuff'!IA:JB,2,FALSE)</f>
        <v>--/--/--</v>
      </c>
      <c r="E211" s="128" t="str">
        <f>VLOOKUP(C211,'Talente &amp; Stuff'!IA:JB,3,FALSE)</f>
        <v>-</v>
      </c>
      <c r="F211" s="115">
        <f>VLOOKUP(C211,'Talente &amp; Stuff'!IA:JB,4,FALSE)</f>
        <v>0</v>
      </c>
      <c r="G211" s="122">
        <f>VLOOKUP(C211,'Talente &amp; Stuff'!IA:JB,5,FALSE)</f>
        <v>0</v>
      </c>
      <c r="H211" s="122">
        <f>VLOOKUP(C211,'Talente &amp; Stuff'!IA:JB,6,FALSE)</f>
        <v>0</v>
      </c>
      <c r="I211" s="122">
        <f>VLOOKUP(C211,'Talente &amp; Stuff'!IA:JB,7,FALSE)</f>
        <v>0</v>
      </c>
      <c r="J211" s="122">
        <f>VLOOKUP(C211,'Talente &amp; Stuff'!IA:JB,8,FALSE)</f>
        <v>0</v>
      </c>
      <c r="K211" s="122">
        <f>VLOOKUP(C211,'Talente &amp; Stuff'!IA:JB,9,FALSE)</f>
        <v>0</v>
      </c>
      <c r="L211" s="122">
        <f>VLOOKUP(C211,'Talente &amp; Stuff'!IA:JB,10,FALSE)</f>
        <v>0</v>
      </c>
      <c r="M211" s="123">
        <f>VLOOKUP(C211,'Talente &amp; Stuff'!IA:JB,11,FALSE)</f>
        <v>0</v>
      </c>
      <c r="N211" s="88">
        <f>VLOOKUP(C211,'Talente &amp; Stuff'!IA:JB,12,FALSE)</f>
        <v>0</v>
      </c>
      <c r="O211" s="88">
        <f>VLOOKUP(C211,'Talente &amp; Stuff'!IA:JB,13,FALSE)</f>
        <v>0</v>
      </c>
      <c r="P211" s="123">
        <f>VLOOKUP(C211,'Talente &amp; Stuff'!IA:JB,14,FALSE)</f>
        <v>0</v>
      </c>
      <c r="Q211" s="115">
        <f>VLOOKUP(C211,'Talente &amp; Stuff'!IA:JB,15,FALSE)</f>
        <v>0</v>
      </c>
      <c r="R211" s="122">
        <f>VLOOKUP(C211,'Talente &amp; Stuff'!IA:JB,16,FALSE)</f>
        <v>0</v>
      </c>
      <c r="S211" s="123">
        <f>VLOOKUP(C211,'Talente &amp; Stuff'!IA:JB,17,FALSE)</f>
        <v>0</v>
      </c>
      <c r="T211" s="123">
        <f>VLOOKUP(C211,'Talente &amp; Stuff'!IA:JB,18,FALSE)</f>
        <v>0</v>
      </c>
      <c r="U211" s="90">
        <f>VLOOKUP(C211,'Talente &amp; Stuff'!IA:JB,19,FALSE)</f>
        <v>0</v>
      </c>
      <c r="V211" s="88">
        <f>VLOOKUP(C211,'Talente &amp; Stuff'!IA:JB,20,FALSE)</f>
        <v>0</v>
      </c>
      <c r="W211" s="128">
        <f>VLOOKUP(C211,'Talente &amp; Stuff'!IA:JB,21,FALSE)</f>
        <v>0</v>
      </c>
      <c r="X211" s="128">
        <f>VLOOKUP(C211,'Talente &amp; Stuff'!IA:JB,22,FALSE)</f>
        <v>0</v>
      </c>
      <c r="Y211" s="165">
        <f t="shared" si="18"/>
        <v>0</v>
      </c>
      <c r="Z211" s="44">
        <f t="shared" si="19"/>
        <v>0</v>
      </c>
      <c r="AA211" s="159">
        <f>VLOOKUP(C211,'Talente &amp; Stuff'!IA:JB,25,FALSE)</f>
        <v>0</v>
      </c>
      <c r="AB211" s="161">
        <f>VLOOKUP(C211,'Talente &amp; Stuff'!IA:JB,26,FALSE)</f>
        <v>0</v>
      </c>
      <c r="AC211" s="128">
        <f>VLOOKUP(C211,'Talente &amp; Stuff'!IA:JB,27,FALSE)</f>
        <v>0</v>
      </c>
      <c r="AD211" s="159">
        <f>VLOOKUP(C211,'Talente &amp; Stuff'!IA:JB,28,FALSE)</f>
        <v>0</v>
      </c>
      <c r="AE211" s="28"/>
    </row>
    <row r="212" spans="2:31" ht="15" hidden="1" customHeight="1" outlineLevel="1" collapsed="1">
      <c r="B212" s="134" t="s">
        <v>328</v>
      </c>
      <c r="C212" s="83"/>
      <c r="D212" s="84"/>
      <c r="E212" s="84"/>
    </row>
    <row r="213" spans="2:31" ht="15" hidden="1" customHeight="1" outlineLevel="2">
      <c r="B213" s="148">
        <v>1</v>
      </c>
      <c r="C213" s="177" t="str">
        <f>Attribute!C213</f>
        <v>---</v>
      </c>
      <c r="D213" s="85" t="str">
        <f>VLOOKUP(C213,'Talente &amp; Stuff'!IA:JB,2,FALSE)</f>
        <v>--/--/--</v>
      </c>
      <c r="E213" s="126" t="str">
        <f>VLOOKUP(C213,'Talente &amp; Stuff'!IA:JB,3,FALSE)</f>
        <v>-</v>
      </c>
      <c r="F213" s="191">
        <f>VLOOKUP(C213,'Talente &amp; Stuff'!IA:JB,4,FALSE)</f>
        <v>0</v>
      </c>
      <c r="G213" s="118">
        <f>VLOOKUP(C213,'Talente &amp; Stuff'!IA:JB,5,FALSE)</f>
        <v>0</v>
      </c>
      <c r="H213" s="118">
        <f>VLOOKUP(C213,'Talente &amp; Stuff'!IA:JB,6,FALSE)</f>
        <v>0</v>
      </c>
      <c r="I213" s="118">
        <f>VLOOKUP(C213,'Talente &amp; Stuff'!IA:JB,7,FALSE)</f>
        <v>0</v>
      </c>
      <c r="J213" s="118">
        <f>VLOOKUP(C213,'Talente &amp; Stuff'!IA:JB,8,FALSE)</f>
        <v>0</v>
      </c>
      <c r="K213" s="118">
        <f>VLOOKUP(C213,'Talente &amp; Stuff'!IA:JB,9,FALSE)</f>
        <v>0</v>
      </c>
      <c r="L213" s="118">
        <f>VLOOKUP(C213,'Talente &amp; Stuff'!IA:JB,10,FALSE)</f>
        <v>0</v>
      </c>
      <c r="M213" s="92">
        <f>VLOOKUP(C213,'Talente &amp; Stuff'!IA:JB,11,FALSE)</f>
        <v>0</v>
      </c>
      <c r="N213" s="116">
        <f>VLOOKUP(C213,'Talente &amp; Stuff'!IA:JB,12,FALSE)</f>
        <v>0</v>
      </c>
      <c r="O213" s="194">
        <f>VLOOKUP(C213,'Talente &amp; Stuff'!IA:JB,13,FALSE)</f>
        <v>0</v>
      </c>
      <c r="P213" s="192">
        <f>VLOOKUP(C213,'Talente &amp; Stuff'!IA:JB,14,FALSE)</f>
        <v>0</v>
      </c>
      <c r="Q213" s="191">
        <f>VLOOKUP(C213,'Talente &amp; Stuff'!IA:JB,15,FALSE)</f>
        <v>0</v>
      </c>
      <c r="R213" s="170">
        <f>VLOOKUP(C213,'Talente &amp; Stuff'!IA:JB,16,FALSE)</f>
        <v>0</v>
      </c>
      <c r="S213" s="92">
        <f>VLOOKUP(C213,'Talente &amp; Stuff'!IA:JB,17,FALSE)</f>
        <v>0</v>
      </c>
      <c r="T213" s="92">
        <f>VLOOKUP(C213,'Talente &amp; Stuff'!IA:JB,18,FALSE)</f>
        <v>0</v>
      </c>
      <c r="U213" s="193">
        <f>VLOOKUP(C213,'Talente &amp; Stuff'!IA:JB,19,FALSE)</f>
        <v>0</v>
      </c>
      <c r="V213" s="116">
        <f>VLOOKUP(C213,'Talente &amp; Stuff'!IA:JB,20,FALSE)</f>
        <v>0</v>
      </c>
      <c r="W213" s="126">
        <f>VLOOKUP(C213,'Talente &amp; Stuff'!IA:JB,21,FALSE)</f>
        <v>0</v>
      </c>
      <c r="X213" s="126">
        <f>VLOOKUP(C213,'Talente &amp; Stuff'!IA:JB,22,FALSE)</f>
        <v>0</v>
      </c>
      <c r="Y213" s="165">
        <f t="shared" ref="Y213:Y257" si="20">VLOOKUP(C213,Ausgewählte_Zauber_Hexen,255,FALSE)</f>
        <v>0</v>
      </c>
      <c r="Z213" s="44">
        <f t="shared" ref="Z213:Z257" si="21">VLOOKUP(C213,Ausgewählte_Zauber_Hexen,256,FALSE)</f>
        <v>0</v>
      </c>
      <c r="AA213" s="158">
        <f>VLOOKUP(C213,'Talente &amp; Stuff'!IA:JB,25,FALSE)</f>
        <v>0</v>
      </c>
      <c r="AB213" s="91">
        <f>VLOOKUP(C213,'Talente &amp; Stuff'!IA:JB,26,FALSE)</f>
        <v>0</v>
      </c>
      <c r="AC213" s="126">
        <f>VLOOKUP(C213,'Talente &amp; Stuff'!IA:JB,27,FALSE)</f>
        <v>0</v>
      </c>
      <c r="AD213" s="158">
        <f>VLOOKUP(C213,'Talente &amp; Stuff'!IA:JB,28,FALSE)</f>
        <v>0</v>
      </c>
      <c r="AE213" s="28"/>
    </row>
    <row r="214" spans="2:31" ht="15" hidden="1" customHeight="1" outlineLevel="2">
      <c r="B214" s="148">
        <v>2</v>
      </c>
      <c r="C214" s="177" t="str">
        <f>Attribute!C214</f>
        <v>---</v>
      </c>
      <c r="D214" s="125" t="str">
        <f>VLOOKUP(C214,'Talente &amp; Stuff'!IA:JB,2,FALSE)</f>
        <v>--/--/--</v>
      </c>
      <c r="E214" s="127" t="str">
        <f>VLOOKUP(C214,'Talente &amp; Stuff'!IA:JB,3,FALSE)</f>
        <v>-</v>
      </c>
      <c r="F214" s="114">
        <f>VLOOKUP(C214,'Talente &amp; Stuff'!IA:JB,4,FALSE)</f>
        <v>0</v>
      </c>
      <c r="G214" s="113">
        <f>VLOOKUP(C214,'Talente &amp; Stuff'!IA:JB,5,FALSE)</f>
        <v>0</v>
      </c>
      <c r="H214" s="113">
        <f>VLOOKUP(C214,'Talente &amp; Stuff'!IA:JB,6,FALSE)</f>
        <v>0</v>
      </c>
      <c r="I214" s="113">
        <f>VLOOKUP(C214,'Talente &amp; Stuff'!IA:JB,7,FALSE)</f>
        <v>0</v>
      </c>
      <c r="J214" s="113">
        <f>VLOOKUP(C214,'Talente &amp; Stuff'!IA:JB,8,FALSE)</f>
        <v>0</v>
      </c>
      <c r="K214" s="113">
        <f>VLOOKUP(C214,'Talente &amp; Stuff'!IA:JB,9,FALSE)</f>
        <v>0</v>
      </c>
      <c r="L214" s="113">
        <f>VLOOKUP(C214,'Talente &amp; Stuff'!IA:JB,10,FALSE)</f>
        <v>0</v>
      </c>
      <c r="M214" s="119">
        <f>VLOOKUP(C214,'Talente &amp; Stuff'!IA:JB,11,FALSE)</f>
        <v>0</v>
      </c>
      <c r="N214" s="47">
        <f>VLOOKUP(C214,'Talente &amp; Stuff'!IA:JB,12,FALSE)</f>
        <v>0</v>
      </c>
      <c r="O214" s="47">
        <f>VLOOKUP(C214,'Talente &amp; Stuff'!IA:JB,13,FALSE)</f>
        <v>0</v>
      </c>
      <c r="P214" s="119">
        <f>VLOOKUP(C214,'Talente &amp; Stuff'!IA:JB,14,FALSE)</f>
        <v>0</v>
      </c>
      <c r="Q214" s="114">
        <f>VLOOKUP(C214,'Talente &amp; Stuff'!IA:JB,15,FALSE)</f>
        <v>0</v>
      </c>
      <c r="R214" s="113">
        <f>VLOOKUP(C214,'Talente &amp; Stuff'!IA:JB,16,FALSE)</f>
        <v>0</v>
      </c>
      <c r="S214" s="119">
        <f>VLOOKUP(C214,'Talente &amp; Stuff'!IA:JB,17,FALSE)</f>
        <v>0</v>
      </c>
      <c r="T214" s="119">
        <f>VLOOKUP(C214,'Talente &amp; Stuff'!IA:JB,18,FALSE)</f>
        <v>0</v>
      </c>
      <c r="U214" s="89">
        <f>VLOOKUP(C214,'Talente &amp; Stuff'!IA:JB,19,FALSE)</f>
        <v>0</v>
      </c>
      <c r="V214" s="47">
        <f>VLOOKUP(C214,'Talente &amp; Stuff'!IA:JB,20,FALSE)</f>
        <v>0</v>
      </c>
      <c r="W214" s="127">
        <f>VLOOKUP(C214,'Talente &amp; Stuff'!IA:JB,21,FALSE)</f>
        <v>0</v>
      </c>
      <c r="X214" s="127">
        <f>VLOOKUP(C214,'Talente &amp; Stuff'!IA:JB,22,FALSE)</f>
        <v>0</v>
      </c>
      <c r="Y214" s="165">
        <f t="shared" si="20"/>
        <v>0</v>
      </c>
      <c r="Z214" s="44">
        <f t="shared" si="21"/>
        <v>0</v>
      </c>
      <c r="AA214" s="125">
        <f>VLOOKUP(C214,'Talente &amp; Stuff'!IA:JB,25,FALSE)</f>
        <v>0</v>
      </c>
      <c r="AB214" s="160">
        <f>VLOOKUP(C214,'Talente &amp; Stuff'!IA:JB,26,FALSE)</f>
        <v>0</v>
      </c>
      <c r="AC214" s="127">
        <f>VLOOKUP(C214,'Talente &amp; Stuff'!IA:JB,27,FALSE)</f>
        <v>0</v>
      </c>
      <c r="AD214" s="125">
        <f>VLOOKUP(C214,'Talente &amp; Stuff'!IA:JB,28,FALSE)</f>
        <v>0</v>
      </c>
      <c r="AE214" s="28"/>
    </row>
    <row r="215" spans="2:31" ht="15" hidden="1" customHeight="1" outlineLevel="2">
      <c r="B215" s="148">
        <v>3</v>
      </c>
      <c r="C215" s="177" t="str">
        <f>Attribute!C215</f>
        <v>---</v>
      </c>
      <c r="D215" s="125" t="str">
        <f>VLOOKUP(C215,'Talente &amp; Stuff'!IA:JB,2,FALSE)</f>
        <v>--/--/--</v>
      </c>
      <c r="E215" s="127" t="str">
        <f>VLOOKUP(C215,'Talente &amp; Stuff'!IA:JB,3,FALSE)</f>
        <v>-</v>
      </c>
      <c r="F215" s="114">
        <f>VLOOKUP(C215,'Talente &amp; Stuff'!IA:JB,4,FALSE)</f>
        <v>0</v>
      </c>
      <c r="G215" s="113">
        <f>VLOOKUP(C215,'Talente &amp; Stuff'!IA:JB,5,FALSE)</f>
        <v>0</v>
      </c>
      <c r="H215" s="113">
        <f>VLOOKUP(C215,'Talente &amp; Stuff'!IA:JB,6,FALSE)</f>
        <v>0</v>
      </c>
      <c r="I215" s="113">
        <f>VLOOKUP(C215,'Talente &amp; Stuff'!IA:JB,7,FALSE)</f>
        <v>0</v>
      </c>
      <c r="J215" s="113">
        <f>VLOOKUP(C215,'Talente &amp; Stuff'!IA:JB,8,FALSE)</f>
        <v>0</v>
      </c>
      <c r="K215" s="113">
        <f>VLOOKUP(C215,'Talente &amp; Stuff'!IA:JB,9,FALSE)</f>
        <v>0</v>
      </c>
      <c r="L215" s="113">
        <f>VLOOKUP(C215,'Talente &amp; Stuff'!IA:JB,10,FALSE)</f>
        <v>0</v>
      </c>
      <c r="M215" s="119">
        <f>VLOOKUP(C215,'Talente &amp; Stuff'!IA:JB,11,FALSE)</f>
        <v>0</v>
      </c>
      <c r="N215" s="47">
        <f>VLOOKUP(C215,'Talente &amp; Stuff'!IA:JB,12,FALSE)</f>
        <v>0</v>
      </c>
      <c r="O215" s="47">
        <f>VLOOKUP(C215,'Talente &amp; Stuff'!IA:JB,13,FALSE)</f>
        <v>0</v>
      </c>
      <c r="P215" s="119">
        <f>VLOOKUP(C215,'Talente &amp; Stuff'!IA:JB,14,FALSE)</f>
        <v>0</v>
      </c>
      <c r="Q215" s="114">
        <f>VLOOKUP(C215,'Talente &amp; Stuff'!IA:JB,15,FALSE)</f>
        <v>0</v>
      </c>
      <c r="R215" s="113">
        <f>VLOOKUP(C215,'Talente &amp; Stuff'!IA:JB,16,FALSE)</f>
        <v>0</v>
      </c>
      <c r="S215" s="119">
        <f>VLOOKUP(C215,'Talente &amp; Stuff'!IA:JB,17,FALSE)</f>
        <v>0</v>
      </c>
      <c r="T215" s="119">
        <f>VLOOKUP(C215,'Talente &amp; Stuff'!IA:JB,18,FALSE)</f>
        <v>0</v>
      </c>
      <c r="U215" s="89">
        <f>VLOOKUP(C215,'Talente &amp; Stuff'!IA:JB,19,FALSE)</f>
        <v>0</v>
      </c>
      <c r="V215" s="47">
        <f>VLOOKUP(C215,'Talente &amp; Stuff'!IA:JB,20,FALSE)</f>
        <v>0</v>
      </c>
      <c r="W215" s="127">
        <f>VLOOKUP(C215,'Talente &amp; Stuff'!IA:JB,21,FALSE)</f>
        <v>0</v>
      </c>
      <c r="X215" s="127">
        <f>VLOOKUP(C215,'Talente &amp; Stuff'!IA:JB,22,FALSE)</f>
        <v>0</v>
      </c>
      <c r="Y215" s="165">
        <f t="shared" si="20"/>
        <v>0</v>
      </c>
      <c r="Z215" s="44">
        <f t="shared" si="21"/>
        <v>0</v>
      </c>
      <c r="AA215" s="125">
        <f>VLOOKUP(C215,'Talente &amp; Stuff'!IA:JB,25,FALSE)</f>
        <v>0</v>
      </c>
      <c r="AB215" s="160">
        <f>VLOOKUP(C215,'Talente &amp; Stuff'!IA:JB,26,FALSE)</f>
        <v>0</v>
      </c>
      <c r="AC215" s="127">
        <f>VLOOKUP(C215,'Talente &amp; Stuff'!IA:JB,27,FALSE)</f>
        <v>0</v>
      </c>
      <c r="AD215" s="125">
        <f>VLOOKUP(C215,'Talente &amp; Stuff'!IA:JB,28,FALSE)</f>
        <v>0</v>
      </c>
      <c r="AE215" s="28"/>
    </row>
    <row r="216" spans="2:31" ht="15" hidden="1" customHeight="1" outlineLevel="2">
      <c r="B216" s="148">
        <v>4</v>
      </c>
      <c r="C216" s="177" t="str">
        <f>Attribute!C216</f>
        <v>---</v>
      </c>
      <c r="D216" s="86" t="str">
        <f>VLOOKUP(C216,'Talente &amp; Stuff'!IA:JB,2,FALSE)</f>
        <v>--/--/--</v>
      </c>
      <c r="E216" s="167" t="str">
        <f>VLOOKUP(C216,'Talente &amp; Stuff'!IA:JB,3,FALSE)</f>
        <v>-</v>
      </c>
      <c r="F216" s="120">
        <f>VLOOKUP(C216,'Talente &amp; Stuff'!IA:JB,4,FALSE)</f>
        <v>0</v>
      </c>
      <c r="G216" s="117">
        <f>VLOOKUP(C216,'Talente &amp; Stuff'!IA:JB,5,FALSE)</f>
        <v>0</v>
      </c>
      <c r="H216" s="117">
        <f>VLOOKUP(C216,'Talente &amp; Stuff'!IA:JB,6,FALSE)</f>
        <v>0</v>
      </c>
      <c r="I216" s="117">
        <f>VLOOKUP(C216,'Talente &amp; Stuff'!IA:JB,7,FALSE)</f>
        <v>0</v>
      </c>
      <c r="J216" s="117">
        <f>VLOOKUP(C216,'Talente &amp; Stuff'!IA:JB,8,FALSE)</f>
        <v>0</v>
      </c>
      <c r="K216" s="117">
        <f>VLOOKUP(C216,'Talente &amp; Stuff'!IA:JB,9,FALSE)</f>
        <v>0</v>
      </c>
      <c r="L216" s="117">
        <f>VLOOKUP(C216,'Talente &amp; Stuff'!IA:JB,10,FALSE)</f>
        <v>0</v>
      </c>
      <c r="M216" s="121">
        <f>VLOOKUP(C216,'Talente &amp; Stuff'!IA:JB,11,FALSE)</f>
        <v>0</v>
      </c>
      <c r="N216" s="47">
        <f>VLOOKUP(C216,'Talente &amp; Stuff'!IA:JB,12,FALSE)</f>
        <v>0</v>
      </c>
      <c r="O216" s="3">
        <f>VLOOKUP(C216,'Talente &amp; Stuff'!IA:JB,13,FALSE)</f>
        <v>0</v>
      </c>
      <c r="P216" s="174">
        <f>VLOOKUP(C216,'Talente &amp; Stuff'!IA:JB,14,FALSE)</f>
        <v>0</v>
      </c>
      <c r="Q216" s="114">
        <f>VLOOKUP(C216,'Talente &amp; Stuff'!IA:JB,15,FALSE)</f>
        <v>0</v>
      </c>
      <c r="R216" s="117">
        <f>VLOOKUP(C216,'Talente &amp; Stuff'!IA:JB,16,FALSE)</f>
        <v>0</v>
      </c>
      <c r="S216" s="119">
        <f>VLOOKUP(C216,'Talente &amp; Stuff'!IA:JB,17,FALSE)</f>
        <v>0</v>
      </c>
      <c r="T216" s="119">
        <f>VLOOKUP(C216,'Talente &amp; Stuff'!IA:JB,18,FALSE)</f>
        <v>0</v>
      </c>
      <c r="U216" s="89">
        <f>VLOOKUP(C216,'Talente &amp; Stuff'!IA:JB,19,FALSE)</f>
        <v>0</v>
      </c>
      <c r="V216" s="47">
        <f>VLOOKUP(C216,'Talente &amp; Stuff'!IA:JB,20,FALSE)</f>
        <v>0</v>
      </c>
      <c r="W216" s="127">
        <f>VLOOKUP(C216,'Talente &amp; Stuff'!IA:JB,21,FALSE)</f>
        <v>0</v>
      </c>
      <c r="X216" s="127">
        <f>VLOOKUP(C216,'Talente &amp; Stuff'!IA:JB,22,FALSE)</f>
        <v>0</v>
      </c>
      <c r="Y216" s="165">
        <f t="shared" si="20"/>
        <v>0</v>
      </c>
      <c r="Z216" s="44">
        <f t="shared" si="21"/>
        <v>0</v>
      </c>
      <c r="AA216" s="125">
        <f>VLOOKUP(C216,'Talente &amp; Stuff'!IA:JB,25,FALSE)</f>
        <v>0</v>
      </c>
      <c r="AB216" s="160">
        <f>VLOOKUP(C216,'Talente &amp; Stuff'!IA:JB,26,FALSE)</f>
        <v>0</v>
      </c>
      <c r="AC216" s="127">
        <f>VLOOKUP(C216,'Talente &amp; Stuff'!IA:JB,27,FALSE)</f>
        <v>0</v>
      </c>
      <c r="AD216" s="125">
        <f>VLOOKUP(C216,'Talente &amp; Stuff'!IA:JB,28,FALSE)</f>
        <v>0</v>
      </c>
      <c r="AE216" s="28"/>
    </row>
    <row r="217" spans="2:31" ht="15" hidden="1" customHeight="1" outlineLevel="2">
      <c r="B217" s="148">
        <v>5</v>
      </c>
      <c r="C217" s="177" t="str">
        <f>Attribute!C217</f>
        <v>---</v>
      </c>
      <c r="D217" s="86" t="str">
        <f>VLOOKUP(C217,'Talente &amp; Stuff'!IA:JB,2,FALSE)</f>
        <v>--/--/--</v>
      </c>
      <c r="E217" s="167" t="str">
        <f>VLOOKUP(C217,'Talente &amp; Stuff'!IA:JB,3,FALSE)</f>
        <v>-</v>
      </c>
      <c r="F217" s="120">
        <f>VLOOKUP(C217,'Talente &amp; Stuff'!IA:JB,4,FALSE)</f>
        <v>0</v>
      </c>
      <c r="G217" s="117">
        <f>VLOOKUP(C217,'Talente &amp; Stuff'!IA:JB,5,FALSE)</f>
        <v>0</v>
      </c>
      <c r="H217" s="117">
        <f>VLOOKUP(C217,'Talente &amp; Stuff'!IA:JB,6,FALSE)</f>
        <v>0</v>
      </c>
      <c r="I217" s="117">
        <f>VLOOKUP(C217,'Talente &amp; Stuff'!IA:JB,7,FALSE)</f>
        <v>0</v>
      </c>
      <c r="J217" s="117">
        <f>VLOOKUP(C217,'Talente &amp; Stuff'!IA:JB,8,FALSE)</f>
        <v>0</v>
      </c>
      <c r="K217" s="117">
        <f>VLOOKUP(C217,'Talente &amp; Stuff'!IA:JB,9,FALSE)</f>
        <v>0</v>
      </c>
      <c r="L217" s="117">
        <f>VLOOKUP(C217,'Talente &amp; Stuff'!IA:JB,10,FALSE)</f>
        <v>0</v>
      </c>
      <c r="M217" s="121">
        <f>VLOOKUP(C217,'Talente &amp; Stuff'!IA:JB,11,FALSE)</f>
        <v>0</v>
      </c>
      <c r="N217" s="47">
        <f>VLOOKUP(C217,'Talente &amp; Stuff'!IA:JB,12,FALSE)</f>
        <v>0</v>
      </c>
      <c r="O217" s="3">
        <f>VLOOKUP(C217,'Talente &amp; Stuff'!IA:JB,13,FALSE)</f>
        <v>0</v>
      </c>
      <c r="P217" s="174">
        <f>VLOOKUP(C217,'Talente &amp; Stuff'!IA:JB,14,FALSE)</f>
        <v>0</v>
      </c>
      <c r="Q217" s="114">
        <f>VLOOKUP(C217,'Talente &amp; Stuff'!IA:JB,15,FALSE)</f>
        <v>0</v>
      </c>
      <c r="R217" s="117">
        <f>VLOOKUP(C217,'Talente &amp; Stuff'!IA:JB,16,FALSE)</f>
        <v>0</v>
      </c>
      <c r="S217" s="119">
        <f>VLOOKUP(C217,'Talente &amp; Stuff'!IA:JB,17,FALSE)</f>
        <v>0</v>
      </c>
      <c r="T217" s="119">
        <f>VLOOKUP(C217,'Talente &amp; Stuff'!IA:JB,18,FALSE)</f>
        <v>0</v>
      </c>
      <c r="U217" s="89">
        <f>VLOOKUP(C217,'Talente &amp; Stuff'!IA:JB,19,FALSE)</f>
        <v>0</v>
      </c>
      <c r="V217" s="47">
        <f>VLOOKUP(C217,'Talente &amp; Stuff'!IA:JB,20,FALSE)</f>
        <v>0</v>
      </c>
      <c r="W217" s="127">
        <f>VLOOKUP(C217,'Talente &amp; Stuff'!IA:JB,21,FALSE)</f>
        <v>0</v>
      </c>
      <c r="X217" s="127">
        <f>VLOOKUP(C217,'Talente &amp; Stuff'!IA:JB,22,FALSE)</f>
        <v>0</v>
      </c>
      <c r="Y217" s="165">
        <f t="shared" si="20"/>
        <v>0</v>
      </c>
      <c r="Z217" s="44">
        <f t="shared" si="21"/>
        <v>0</v>
      </c>
      <c r="AA217" s="125">
        <f>VLOOKUP(C217,'Talente &amp; Stuff'!IA:JB,25,FALSE)</f>
        <v>0</v>
      </c>
      <c r="AB217" s="160">
        <f>VLOOKUP(C217,'Talente &amp; Stuff'!IA:JB,26,FALSE)</f>
        <v>0</v>
      </c>
      <c r="AC217" s="127">
        <f>VLOOKUP(C217,'Talente &amp; Stuff'!IA:JB,27,FALSE)</f>
        <v>0</v>
      </c>
      <c r="AD217" s="125">
        <f>VLOOKUP(C217,'Talente &amp; Stuff'!IA:JB,28,FALSE)</f>
        <v>0</v>
      </c>
      <c r="AE217" s="28"/>
    </row>
    <row r="218" spans="2:31" ht="15" hidden="1" customHeight="1" outlineLevel="2">
      <c r="B218" s="148">
        <v>6</v>
      </c>
      <c r="C218" s="177" t="str">
        <f>Attribute!C218</f>
        <v>---</v>
      </c>
      <c r="D218" s="125" t="str">
        <f>VLOOKUP(C218,'Talente &amp; Stuff'!IA:JB,2,FALSE)</f>
        <v>--/--/--</v>
      </c>
      <c r="E218" s="127" t="str">
        <f>VLOOKUP(C218,'Talente &amp; Stuff'!IA:JB,3,FALSE)</f>
        <v>-</v>
      </c>
      <c r="F218" s="114">
        <f>VLOOKUP(C218,'Talente &amp; Stuff'!IA:JB,4,FALSE)</f>
        <v>0</v>
      </c>
      <c r="G218" s="113">
        <f>VLOOKUP(C218,'Talente &amp; Stuff'!IA:JB,5,FALSE)</f>
        <v>0</v>
      </c>
      <c r="H218" s="113">
        <f>VLOOKUP(C218,'Talente &amp; Stuff'!IA:JB,6,FALSE)</f>
        <v>0</v>
      </c>
      <c r="I218" s="113">
        <f>VLOOKUP(C218,'Talente &amp; Stuff'!IA:JB,7,FALSE)</f>
        <v>0</v>
      </c>
      <c r="J218" s="113">
        <f>VLOOKUP(C218,'Talente &amp; Stuff'!IA:JB,8,FALSE)</f>
        <v>0</v>
      </c>
      <c r="K218" s="113">
        <f>VLOOKUP(C218,'Talente &amp; Stuff'!IA:JB,9,FALSE)</f>
        <v>0</v>
      </c>
      <c r="L218" s="113">
        <f>VLOOKUP(C218,'Talente &amp; Stuff'!IA:JB,10,FALSE)</f>
        <v>0</v>
      </c>
      <c r="M218" s="119">
        <f>VLOOKUP(C218,'Talente &amp; Stuff'!IA:JB,11,FALSE)</f>
        <v>0</v>
      </c>
      <c r="N218" s="47">
        <f>VLOOKUP(C218,'Talente &amp; Stuff'!IA:JB,12,FALSE)</f>
        <v>0</v>
      </c>
      <c r="O218" s="47">
        <f>VLOOKUP(C218,'Talente &amp; Stuff'!IA:JB,13,FALSE)</f>
        <v>0</v>
      </c>
      <c r="P218" s="119">
        <f>VLOOKUP(C218,'Talente &amp; Stuff'!IA:JB,14,FALSE)</f>
        <v>0</v>
      </c>
      <c r="Q218" s="114">
        <f>VLOOKUP(C218,'Talente &amp; Stuff'!IA:JB,15,FALSE)</f>
        <v>0</v>
      </c>
      <c r="R218" s="113">
        <f>VLOOKUP(C218,'Talente &amp; Stuff'!IA:JB,16,FALSE)</f>
        <v>0</v>
      </c>
      <c r="S218" s="119">
        <f>VLOOKUP(C218,'Talente &amp; Stuff'!IA:JB,17,FALSE)</f>
        <v>0</v>
      </c>
      <c r="T218" s="119">
        <f>VLOOKUP(C218,'Talente &amp; Stuff'!IA:JB,18,FALSE)</f>
        <v>0</v>
      </c>
      <c r="U218" s="89">
        <f>VLOOKUP(C218,'Talente &amp; Stuff'!IA:JB,19,FALSE)</f>
        <v>0</v>
      </c>
      <c r="V218" s="47">
        <f>VLOOKUP(C218,'Talente &amp; Stuff'!IA:JB,20,FALSE)</f>
        <v>0</v>
      </c>
      <c r="W218" s="127">
        <f>VLOOKUP(C218,'Talente &amp; Stuff'!IA:JB,21,FALSE)</f>
        <v>0</v>
      </c>
      <c r="X218" s="127">
        <f>VLOOKUP(C218,'Talente &amp; Stuff'!IA:JB,22,FALSE)</f>
        <v>0</v>
      </c>
      <c r="Y218" s="165">
        <f t="shared" si="20"/>
        <v>0</v>
      </c>
      <c r="Z218" s="44">
        <f t="shared" si="21"/>
        <v>0</v>
      </c>
      <c r="AA218" s="125">
        <f>VLOOKUP(C218,'Talente &amp; Stuff'!IA:JB,25,FALSE)</f>
        <v>0</v>
      </c>
      <c r="AB218" s="160">
        <f>VLOOKUP(C218,'Talente &amp; Stuff'!IA:JB,26,FALSE)</f>
        <v>0</v>
      </c>
      <c r="AC218" s="127">
        <f>VLOOKUP(C218,'Talente &amp; Stuff'!IA:JB,27,FALSE)</f>
        <v>0</v>
      </c>
      <c r="AD218" s="125">
        <f>VLOOKUP(C218,'Talente &amp; Stuff'!IA:JB,28,FALSE)</f>
        <v>0</v>
      </c>
      <c r="AE218" s="28"/>
    </row>
    <row r="219" spans="2:31" ht="15" hidden="1" customHeight="1" outlineLevel="2">
      <c r="B219" s="148">
        <v>7</v>
      </c>
      <c r="C219" s="177" t="str">
        <f>Attribute!C219</f>
        <v>---</v>
      </c>
      <c r="D219" s="125" t="str">
        <f>VLOOKUP(C219,'Talente &amp; Stuff'!IA:JB,2,FALSE)</f>
        <v>--/--/--</v>
      </c>
      <c r="E219" s="127" t="str">
        <f>VLOOKUP(C219,'Talente &amp; Stuff'!IA:JB,3,FALSE)</f>
        <v>-</v>
      </c>
      <c r="F219" s="114">
        <f>VLOOKUP(C219,'Talente &amp; Stuff'!IA:JB,4,FALSE)</f>
        <v>0</v>
      </c>
      <c r="G219" s="113">
        <f>VLOOKUP(C219,'Talente &amp; Stuff'!IA:JB,5,FALSE)</f>
        <v>0</v>
      </c>
      <c r="H219" s="113">
        <f>VLOOKUP(C219,'Talente &amp; Stuff'!IA:JB,6,FALSE)</f>
        <v>0</v>
      </c>
      <c r="I219" s="113">
        <f>VLOOKUP(C219,'Talente &amp; Stuff'!IA:JB,7,FALSE)</f>
        <v>0</v>
      </c>
      <c r="J219" s="113">
        <f>VLOOKUP(C219,'Talente &amp; Stuff'!IA:JB,8,FALSE)</f>
        <v>0</v>
      </c>
      <c r="K219" s="113">
        <f>VLOOKUP(C219,'Talente &amp; Stuff'!IA:JB,9,FALSE)</f>
        <v>0</v>
      </c>
      <c r="L219" s="113">
        <f>VLOOKUP(C219,'Talente &amp; Stuff'!IA:JB,10,FALSE)</f>
        <v>0</v>
      </c>
      <c r="M219" s="119">
        <f>VLOOKUP(C219,'Talente &amp; Stuff'!IA:JB,11,FALSE)</f>
        <v>0</v>
      </c>
      <c r="N219" s="47">
        <f>VLOOKUP(C219,'Talente &amp; Stuff'!IA:JB,12,FALSE)</f>
        <v>0</v>
      </c>
      <c r="O219" s="47">
        <f>VLOOKUP(C219,'Talente &amp; Stuff'!IA:JB,13,FALSE)</f>
        <v>0</v>
      </c>
      <c r="P219" s="119">
        <f>VLOOKUP(C219,'Talente &amp; Stuff'!IA:JB,14,FALSE)</f>
        <v>0</v>
      </c>
      <c r="Q219" s="114">
        <f>VLOOKUP(C219,'Talente &amp; Stuff'!IA:JB,15,FALSE)</f>
        <v>0</v>
      </c>
      <c r="R219" s="113">
        <f>VLOOKUP(C219,'Talente &amp; Stuff'!IA:JB,16,FALSE)</f>
        <v>0</v>
      </c>
      <c r="S219" s="119">
        <f>VLOOKUP(C219,'Talente &amp; Stuff'!IA:JB,17,FALSE)</f>
        <v>0</v>
      </c>
      <c r="T219" s="119">
        <f>VLOOKUP(C219,'Talente &amp; Stuff'!IA:JB,18,FALSE)</f>
        <v>0</v>
      </c>
      <c r="U219" s="89">
        <f>VLOOKUP(C219,'Talente &amp; Stuff'!IA:JB,19,FALSE)</f>
        <v>0</v>
      </c>
      <c r="V219" s="47">
        <f>VLOOKUP(C219,'Talente &amp; Stuff'!IA:JB,20,FALSE)</f>
        <v>0</v>
      </c>
      <c r="W219" s="127">
        <f>VLOOKUP(C219,'Talente &amp; Stuff'!IA:JB,21,FALSE)</f>
        <v>0</v>
      </c>
      <c r="X219" s="127">
        <f>VLOOKUP(C219,'Talente &amp; Stuff'!IA:JB,22,FALSE)</f>
        <v>0</v>
      </c>
      <c r="Y219" s="165">
        <f t="shared" si="20"/>
        <v>0</v>
      </c>
      <c r="Z219" s="44">
        <f t="shared" si="21"/>
        <v>0</v>
      </c>
      <c r="AA219" s="125">
        <f>VLOOKUP(C219,'Talente &amp; Stuff'!IA:JB,25,FALSE)</f>
        <v>0</v>
      </c>
      <c r="AB219" s="160">
        <f>VLOOKUP(C219,'Talente &amp; Stuff'!IA:JB,26,FALSE)</f>
        <v>0</v>
      </c>
      <c r="AC219" s="127">
        <f>VLOOKUP(C219,'Talente &amp; Stuff'!IA:JB,27,FALSE)</f>
        <v>0</v>
      </c>
      <c r="AD219" s="125">
        <f>VLOOKUP(C219,'Talente &amp; Stuff'!IA:JB,28,FALSE)</f>
        <v>0</v>
      </c>
      <c r="AE219" s="28"/>
    </row>
    <row r="220" spans="2:31" ht="15" hidden="1" customHeight="1" outlineLevel="2">
      <c r="B220" s="148">
        <v>8</v>
      </c>
      <c r="C220" s="177" t="str">
        <f>Attribute!C220</f>
        <v>---</v>
      </c>
      <c r="D220" s="125" t="str">
        <f>VLOOKUP(C220,'Talente &amp; Stuff'!IA:JB,2,FALSE)</f>
        <v>--/--/--</v>
      </c>
      <c r="E220" s="127" t="str">
        <f>VLOOKUP(C220,'Talente &amp; Stuff'!IA:JB,3,FALSE)</f>
        <v>-</v>
      </c>
      <c r="F220" s="114">
        <f>VLOOKUP(C220,'Talente &amp; Stuff'!IA:JB,4,FALSE)</f>
        <v>0</v>
      </c>
      <c r="G220" s="113">
        <f>VLOOKUP(C220,'Talente &amp; Stuff'!IA:JB,5,FALSE)</f>
        <v>0</v>
      </c>
      <c r="H220" s="113">
        <f>VLOOKUP(C220,'Talente &amp; Stuff'!IA:JB,6,FALSE)</f>
        <v>0</v>
      </c>
      <c r="I220" s="113">
        <f>VLOOKUP(C220,'Talente &amp; Stuff'!IA:JB,7,FALSE)</f>
        <v>0</v>
      </c>
      <c r="J220" s="113">
        <f>VLOOKUP(C220,'Talente &amp; Stuff'!IA:JB,8,FALSE)</f>
        <v>0</v>
      </c>
      <c r="K220" s="113">
        <f>VLOOKUP(C220,'Talente &amp; Stuff'!IA:JB,9,FALSE)</f>
        <v>0</v>
      </c>
      <c r="L220" s="113">
        <f>VLOOKUP(C220,'Talente &amp; Stuff'!IA:JB,10,FALSE)</f>
        <v>0</v>
      </c>
      <c r="M220" s="119">
        <f>VLOOKUP(C220,'Talente &amp; Stuff'!IA:JB,11,FALSE)</f>
        <v>0</v>
      </c>
      <c r="N220" s="47">
        <f>VLOOKUP(C220,'Talente &amp; Stuff'!IA:JB,12,FALSE)</f>
        <v>0</v>
      </c>
      <c r="O220" s="47">
        <f>VLOOKUP(C220,'Talente &amp; Stuff'!IA:JB,13,FALSE)</f>
        <v>0</v>
      </c>
      <c r="P220" s="119">
        <f>VLOOKUP(C220,'Talente &amp; Stuff'!IA:JB,14,FALSE)</f>
        <v>0</v>
      </c>
      <c r="Q220" s="114">
        <f>VLOOKUP(C220,'Talente &amp; Stuff'!IA:JB,15,FALSE)</f>
        <v>0</v>
      </c>
      <c r="R220" s="113">
        <f>VLOOKUP(C220,'Talente &amp; Stuff'!IA:JB,16,FALSE)</f>
        <v>0</v>
      </c>
      <c r="S220" s="119">
        <f>VLOOKUP(C220,'Talente &amp; Stuff'!IA:JB,17,FALSE)</f>
        <v>0</v>
      </c>
      <c r="T220" s="119">
        <f>VLOOKUP(C220,'Talente &amp; Stuff'!IA:JB,18,FALSE)</f>
        <v>0</v>
      </c>
      <c r="U220" s="89">
        <f>VLOOKUP(C220,'Talente &amp; Stuff'!IA:JB,19,FALSE)</f>
        <v>0</v>
      </c>
      <c r="V220" s="47">
        <f>VLOOKUP(C220,'Talente &amp; Stuff'!IA:JB,20,FALSE)</f>
        <v>0</v>
      </c>
      <c r="W220" s="127">
        <f>VLOOKUP(C220,'Talente &amp; Stuff'!IA:JB,21,FALSE)</f>
        <v>0</v>
      </c>
      <c r="X220" s="127">
        <f>VLOOKUP(C220,'Talente &amp; Stuff'!IA:JB,22,FALSE)</f>
        <v>0</v>
      </c>
      <c r="Y220" s="165">
        <f t="shared" si="20"/>
        <v>0</v>
      </c>
      <c r="Z220" s="44">
        <f t="shared" si="21"/>
        <v>0</v>
      </c>
      <c r="AA220" s="125">
        <f>VLOOKUP(C220,'Talente &amp; Stuff'!IA:JB,25,FALSE)</f>
        <v>0</v>
      </c>
      <c r="AB220" s="160">
        <f>VLOOKUP(C220,'Talente &amp; Stuff'!IA:JB,26,FALSE)</f>
        <v>0</v>
      </c>
      <c r="AC220" s="127">
        <f>VLOOKUP(C220,'Talente &amp; Stuff'!IA:JB,27,FALSE)</f>
        <v>0</v>
      </c>
      <c r="AD220" s="125">
        <f>VLOOKUP(C220,'Talente &amp; Stuff'!IA:JB,28,FALSE)</f>
        <v>0</v>
      </c>
      <c r="AE220" s="28"/>
    </row>
    <row r="221" spans="2:31" ht="15" hidden="1" customHeight="1" outlineLevel="2">
      <c r="B221" s="148">
        <v>9</v>
      </c>
      <c r="C221" s="177" t="str">
        <f>Attribute!C221</f>
        <v>---</v>
      </c>
      <c r="D221" s="125" t="str">
        <f>VLOOKUP(C221,'Talente &amp; Stuff'!IA:JB,2,FALSE)</f>
        <v>--/--/--</v>
      </c>
      <c r="E221" s="127" t="str">
        <f>VLOOKUP(C221,'Talente &amp; Stuff'!IA:JB,3,FALSE)</f>
        <v>-</v>
      </c>
      <c r="F221" s="114">
        <f>VLOOKUP(C221,'Talente &amp; Stuff'!IA:JB,4,FALSE)</f>
        <v>0</v>
      </c>
      <c r="G221" s="113">
        <f>VLOOKUP(C221,'Talente &amp; Stuff'!IA:JB,5,FALSE)</f>
        <v>0</v>
      </c>
      <c r="H221" s="113">
        <f>VLOOKUP(C221,'Talente &amp; Stuff'!IA:JB,6,FALSE)</f>
        <v>0</v>
      </c>
      <c r="I221" s="113">
        <f>VLOOKUP(C221,'Talente &amp; Stuff'!IA:JB,7,FALSE)</f>
        <v>0</v>
      </c>
      <c r="J221" s="113">
        <f>VLOOKUP(C221,'Talente &amp; Stuff'!IA:JB,8,FALSE)</f>
        <v>0</v>
      </c>
      <c r="K221" s="113">
        <f>VLOOKUP(C221,'Talente &amp; Stuff'!IA:JB,9,FALSE)</f>
        <v>0</v>
      </c>
      <c r="L221" s="113">
        <f>VLOOKUP(C221,'Talente &amp; Stuff'!IA:JB,10,FALSE)</f>
        <v>0</v>
      </c>
      <c r="M221" s="119">
        <f>VLOOKUP(C221,'Talente &amp; Stuff'!IA:JB,11,FALSE)</f>
        <v>0</v>
      </c>
      <c r="N221" s="47">
        <f>VLOOKUP(C221,'Talente &amp; Stuff'!IA:JB,12,FALSE)</f>
        <v>0</v>
      </c>
      <c r="O221" s="47">
        <f>VLOOKUP(C221,'Talente &amp; Stuff'!IA:JB,13,FALSE)</f>
        <v>0</v>
      </c>
      <c r="P221" s="119">
        <f>VLOOKUP(C221,'Talente &amp; Stuff'!IA:JB,14,FALSE)</f>
        <v>0</v>
      </c>
      <c r="Q221" s="114">
        <f>VLOOKUP(C221,'Talente &amp; Stuff'!IA:JB,15,FALSE)</f>
        <v>0</v>
      </c>
      <c r="R221" s="113">
        <f>VLOOKUP(C221,'Talente &amp; Stuff'!IA:JB,16,FALSE)</f>
        <v>0</v>
      </c>
      <c r="S221" s="119">
        <f>VLOOKUP(C221,'Talente &amp; Stuff'!IA:JB,17,FALSE)</f>
        <v>0</v>
      </c>
      <c r="T221" s="119">
        <f>VLOOKUP(C221,'Talente &amp; Stuff'!IA:JB,18,FALSE)</f>
        <v>0</v>
      </c>
      <c r="U221" s="89">
        <f>VLOOKUP(C221,'Talente &amp; Stuff'!IA:JB,19,FALSE)</f>
        <v>0</v>
      </c>
      <c r="V221" s="47">
        <f>VLOOKUP(C221,'Talente &amp; Stuff'!IA:JB,20,FALSE)</f>
        <v>0</v>
      </c>
      <c r="W221" s="127">
        <f>VLOOKUP(C221,'Talente &amp; Stuff'!IA:JB,21,FALSE)</f>
        <v>0</v>
      </c>
      <c r="X221" s="127">
        <f>VLOOKUP(C221,'Talente &amp; Stuff'!IA:JB,22,FALSE)</f>
        <v>0</v>
      </c>
      <c r="Y221" s="165">
        <f t="shared" si="20"/>
        <v>0</v>
      </c>
      <c r="Z221" s="44">
        <f t="shared" si="21"/>
        <v>0</v>
      </c>
      <c r="AA221" s="125">
        <f>VLOOKUP(C221,'Talente &amp; Stuff'!IA:JB,25,FALSE)</f>
        <v>0</v>
      </c>
      <c r="AB221" s="160">
        <f>VLOOKUP(C221,'Talente &amp; Stuff'!IA:JB,26,FALSE)</f>
        <v>0</v>
      </c>
      <c r="AC221" s="127">
        <f>VLOOKUP(C221,'Talente &amp; Stuff'!IA:JB,27,FALSE)</f>
        <v>0</v>
      </c>
      <c r="AD221" s="125">
        <f>VLOOKUP(C221,'Talente &amp; Stuff'!IA:JB,28,FALSE)</f>
        <v>0</v>
      </c>
      <c r="AE221" s="28"/>
    </row>
    <row r="222" spans="2:31" ht="15" hidden="1" customHeight="1" outlineLevel="2">
      <c r="B222" s="148">
        <v>10</v>
      </c>
      <c r="C222" s="177" t="str">
        <f>Attribute!C222</f>
        <v>---</v>
      </c>
      <c r="D222" s="86" t="str">
        <f>VLOOKUP(C222,'Talente &amp; Stuff'!IA:JB,2,FALSE)</f>
        <v>--/--/--</v>
      </c>
      <c r="E222" s="167" t="str">
        <f>VLOOKUP(C222,'Talente &amp; Stuff'!IA:JB,3,FALSE)</f>
        <v>-</v>
      </c>
      <c r="F222" s="120">
        <f>VLOOKUP(C222,'Talente &amp; Stuff'!IA:JB,4,FALSE)</f>
        <v>0</v>
      </c>
      <c r="G222" s="117">
        <f>VLOOKUP(C222,'Talente &amp; Stuff'!IA:JB,5,FALSE)</f>
        <v>0</v>
      </c>
      <c r="H222" s="117">
        <f>VLOOKUP(C222,'Talente &amp; Stuff'!IA:JB,6,FALSE)</f>
        <v>0</v>
      </c>
      <c r="I222" s="117">
        <f>VLOOKUP(C222,'Talente &amp; Stuff'!IA:JB,7,FALSE)</f>
        <v>0</v>
      </c>
      <c r="J222" s="117">
        <f>VLOOKUP(C222,'Talente &amp; Stuff'!IA:JB,8,FALSE)</f>
        <v>0</v>
      </c>
      <c r="K222" s="117">
        <f>VLOOKUP(C222,'Talente &amp; Stuff'!IA:JB,9,FALSE)</f>
        <v>0</v>
      </c>
      <c r="L222" s="117">
        <f>VLOOKUP(C222,'Talente &amp; Stuff'!IA:JB,10,FALSE)</f>
        <v>0</v>
      </c>
      <c r="M222" s="121">
        <f>VLOOKUP(C222,'Talente &amp; Stuff'!IA:JB,11,FALSE)</f>
        <v>0</v>
      </c>
      <c r="N222" s="47">
        <f>VLOOKUP(C222,'Talente &amp; Stuff'!IA:JB,12,FALSE)</f>
        <v>0</v>
      </c>
      <c r="O222" s="3">
        <f>VLOOKUP(C222,'Talente &amp; Stuff'!IA:JB,13,FALSE)</f>
        <v>0</v>
      </c>
      <c r="P222" s="174">
        <f>VLOOKUP(C222,'Talente &amp; Stuff'!IA:JB,14,FALSE)</f>
        <v>0</v>
      </c>
      <c r="Q222" s="114">
        <f>VLOOKUP(C222,'Talente &amp; Stuff'!IA:JB,15,FALSE)</f>
        <v>0</v>
      </c>
      <c r="R222" s="117">
        <f>VLOOKUP(C222,'Talente &amp; Stuff'!IA:JB,16,FALSE)</f>
        <v>0</v>
      </c>
      <c r="S222" s="119">
        <f>VLOOKUP(C222,'Talente &amp; Stuff'!IA:JB,17,FALSE)</f>
        <v>0</v>
      </c>
      <c r="T222" s="119">
        <f>VLOOKUP(C222,'Talente &amp; Stuff'!IA:JB,18,FALSE)</f>
        <v>0</v>
      </c>
      <c r="U222" s="89">
        <f>VLOOKUP(C222,'Talente &amp; Stuff'!IA:JB,19,FALSE)</f>
        <v>0</v>
      </c>
      <c r="V222" s="47">
        <f>VLOOKUP(C222,'Talente &amp; Stuff'!IA:JB,20,FALSE)</f>
        <v>0</v>
      </c>
      <c r="W222" s="127">
        <f>VLOOKUP(C222,'Talente &amp; Stuff'!IA:JB,21,FALSE)</f>
        <v>0</v>
      </c>
      <c r="X222" s="127">
        <f>VLOOKUP(C222,'Talente &amp; Stuff'!IA:JB,22,FALSE)</f>
        <v>0</v>
      </c>
      <c r="Y222" s="165">
        <f t="shared" si="20"/>
        <v>0</v>
      </c>
      <c r="Z222" s="44">
        <f t="shared" si="21"/>
        <v>0</v>
      </c>
      <c r="AA222" s="125">
        <f>VLOOKUP(C222,'Talente &amp; Stuff'!IA:JB,25,FALSE)</f>
        <v>0</v>
      </c>
      <c r="AB222" s="160">
        <f>VLOOKUP(C222,'Talente &amp; Stuff'!IA:JB,26,FALSE)</f>
        <v>0</v>
      </c>
      <c r="AC222" s="127">
        <f>VLOOKUP(C222,'Talente &amp; Stuff'!IA:JB,27,FALSE)</f>
        <v>0</v>
      </c>
      <c r="AD222" s="125">
        <f>VLOOKUP(C222,'Talente &amp; Stuff'!IA:JB,28,FALSE)</f>
        <v>0</v>
      </c>
      <c r="AE222" s="28"/>
    </row>
    <row r="223" spans="2:31" ht="15" hidden="1" customHeight="1" outlineLevel="2">
      <c r="B223" s="148">
        <v>11</v>
      </c>
      <c r="C223" s="177" t="str">
        <f>Attribute!C223</f>
        <v>---</v>
      </c>
      <c r="D223" s="86" t="str">
        <f>VLOOKUP(C223,'Talente &amp; Stuff'!IA:JB,2,FALSE)</f>
        <v>--/--/--</v>
      </c>
      <c r="E223" s="167" t="str">
        <f>VLOOKUP(C223,'Talente &amp; Stuff'!IA:JB,3,FALSE)</f>
        <v>-</v>
      </c>
      <c r="F223" s="120">
        <f>VLOOKUP(C223,'Talente &amp; Stuff'!IA:JB,4,FALSE)</f>
        <v>0</v>
      </c>
      <c r="G223" s="117">
        <f>VLOOKUP(C223,'Talente &amp; Stuff'!IA:JB,5,FALSE)</f>
        <v>0</v>
      </c>
      <c r="H223" s="117">
        <f>VLOOKUP(C223,'Talente &amp; Stuff'!IA:JB,6,FALSE)</f>
        <v>0</v>
      </c>
      <c r="I223" s="117">
        <f>VLOOKUP(C223,'Talente &amp; Stuff'!IA:JB,7,FALSE)</f>
        <v>0</v>
      </c>
      <c r="J223" s="117">
        <f>VLOOKUP(C223,'Talente &amp; Stuff'!IA:JB,8,FALSE)</f>
        <v>0</v>
      </c>
      <c r="K223" s="117">
        <f>VLOOKUP(C223,'Talente &amp; Stuff'!IA:JB,9,FALSE)</f>
        <v>0</v>
      </c>
      <c r="L223" s="117">
        <f>VLOOKUP(C223,'Talente &amp; Stuff'!IA:JB,10,FALSE)</f>
        <v>0</v>
      </c>
      <c r="M223" s="121">
        <f>VLOOKUP(C223,'Talente &amp; Stuff'!IA:JB,11,FALSE)</f>
        <v>0</v>
      </c>
      <c r="N223" s="47">
        <f>VLOOKUP(C223,'Talente &amp; Stuff'!IA:JB,12,FALSE)</f>
        <v>0</v>
      </c>
      <c r="O223" s="3">
        <f>VLOOKUP(C223,'Talente &amp; Stuff'!IA:JB,13,FALSE)</f>
        <v>0</v>
      </c>
      <c r="P223" s="174">
        <f>VLOOKUP(C223,'Talente &amp; Stuff'!IA:JB,14,FALSE)</f>
        <v>0</v>
      </c>
      <c r="Q223" s="114">
        <f>VLOOKUP(C223,'Talente &amp; Stuff'!IA:JB,15,FALSE)</f>
        <v>0</v>
      </c>
      <c r="R223" s="117">
        <f>VLOOKUP(C223,'Talente &amp; Stuff'!IA:JB,16,FALSE)</f>
        <v>0</v>
      </c>
      <c r="S223" s="119">
        <f>VLOOKUP(C223,'Talente &amp; Stuff'!IA:JB,17,FALSE)</f>
        <v>0</v>
      </c>
      <c r="T223" s="119">
        <f>VLOOKUP(C223,'Talente &amp; Stuff'!IA:JB,18,FALSE)</f>
        <v>0</v>
      </c>
      <c r="U223" s="89">
        <f>VLOOKUP(C223,'Talente &amp; Stuff'!IA:JB,19,FALSE)</f>
        <v>0</v>
      </c>
      <c r="V223" s="47">
        <f>VLOOKUP(C223,'Talente &amp; Stuff'!IA:JB,20,FALSE)</f>
        <v>0</v>
      </c>
      <c r="W223" s="127">
        <f>VLOOKUP(C223,'Talente &amp; Stuff'!IA:JB,21,FALSE)</f>
        <v>0</v>
      </c>
      <c r="X223" s="127">
        <f>VLOOKUP(C223,'Talente &amp; Stuff'!IA:JB,22,FALSE)</f>
        <v>0</v>
      </c>
      <c r="Y223" s="165">
        <f t="shared" si="20"/>
        <v>0</v>
      </c>
      <c r="Z223" s="44">
        <f t="shared" si="21"/>
        <v>0</v>
      </c>
      <c r="AA223" s="125">
        <f>VLOOKUP(C223,'Talente &amp; Stuff'!IA:JB,25,FALSE)</f>
        <v>0</v>
      </c>
      <c r="AB223" s="160">
        <f>VLOOKUP(C223,'Talente &amp; Stuff'!IA:JB,26,FALSE)</f>
        <v>0</v>
      </c>
      <c r="AC223" s="127">
        <f>VLOOKUP(C223,'Talente &amp; Stuff'!IA:JB,27,FALSE)</f>
        <v>0</v>
      </c>
      <c r="AD223" s="125">
        <f>VLOOKUP(C223,'Talente &amp; Stuff'!IA:JB,28,FALSE)</f>
        <v>0</v>
      </c>
      <c r="AE223" s="28"/>
    </row>
    <row r="224" spans="2:31" ht="15" hidden="1" customHeight="1" outlineLevel="2">
      <c r="B224" s="148">
        <v>12</v>
      </c>
      <c r="C224" s="177" t="str">
        <f>Attribute!C224</f>
        <v>---</v>
      </c>
      <c r="D224" s="86" t="str">
        <f>VLOOKUP(C224,'Talente &amp; Stuff'!IA:JB,2,FALSE)</f>
        <v>--/--/--</v>
      </c>
      <c r="E224" s="167" t="str">
        <f>VLOOKUP(C224,'Talente &amp; Stuff'!IA:JB,3,FALSE)</f>
        <v>-</v>
      </c>
      <c r="F224" s="120">
        <f>VLOOKUP(C224,'Talente &amp; Stuff'!IA:JB,4,FALSE)</f>
        <v>0</v>
      </c>
      <c r="G224" s="117">
        <f>VLOOKUP(C224,'Talente &amp; Stuff'!IA:JB,5,FALSE)</f>
        <v>0</v>
      </c>
      <c r="H224" s="117">
        <f>VLOOKUP(C224,'Talente &amp; Stuff'!IA:JB,6,FALSE)</f>
        <v>0</v>
      </c>
      <c r="I224" s="117">
        <f>VLOOKUP(C224,'Talente &amp; Stuff'!IA:JB,7,FALSE)</f>
        <v>0</v>
      </c>
      <c r="J224" s="117">
        <f>VLOOKUP(C224,'Talente &amp; Stuff'!IA:JB,8,FALSE)</f>
        <v>0</v>
      </c>
      <c r="K224" s="117">
        <f>VLOOKUP(C224,'Talente &amp; Stuff'!IA:JB,9,FALSE)</f>
        <v>0</v>
      </c>
      <c r="L224" s="117">
        <f>VLOOKUP(C224,'Talente &amp; Stuff'!IA:JB,10,FALSE)</f>
        <v>0</v>
      </c>
      <c r="M224" s="121">
        <f>VLOOKUP(C224,'Talente &amp; Stuff'!IA:JB,11,FALSE)</f>
        <v>0</v>
      </c>
      <c r="N224" s="47">
        <f>VLOOKUP(C224,'Talente &amp; Stuff'!IA:JB,12,FALSE)</f>
        <v>0</v>
      </c>
      <c r="O224" s="3">
        <f>VLOOKUP(C224,'Talente &amp; Stuff'!IA:JB,13,FALSE)</f>
        <v>0</v>
      </c>
      <c r="P224" s="174">
        <f>VLOOKUP(C224,'Talente &amp; Stuff'!IA:JB,14,FALSE)</f>
        <v>0</v>
      </c>
      <c r="Q224" s="114">
        <f>VLOOKUP(C224,'Talente &amp; Stuff'!IA:JB,15,FALSE)</f>
        <v>0</v>
      </c>
      <c r="R224" s="117">
        <f>VLOOKUP(C224,'Talente &amp; Stuff'!IA:JB,16,FALSE)</f>
        <v>0</v>
      </c>
      <c r="S224" s="119">
        <f>VLOOKUP(C224,'Talente &amp; Stuff'!IA:JB,17,FALSE)</f>
        <v>0</v>
      </c>
      <c r="T224" s="119">
        <f>VLOOKUP(C224,'Talente &amp; Stuff'!IA:JB,18,FALSE)</f>
        <v>0</v>
      </c>
      <c r="U224" s="89">
        <f>VLOOKUP(C224,'Talente &amp; Stuff'!IA:JB,19,FALSE)</f>
        <v>0</v>
      </c>
      <c r="V224" s="47">
        <f>VLOOKUP(C224,'Talente &amp; Stuff'!IA:JB,20,FALSE)</f>
        <v>0</v>
      </c>
      <c r="W224" s="127">
        <f>VLOOKUP(C224,'Talente &amp; Stuff'!IA:JB,21,FALSE)</f>
        <v>0</v>
      </c>
      <c r="X224" s="127">
        <f>VLOOKUP(C224,'Talente &amp; Stuff'!IA:JB,22,FALSE)</f>
        <v>0</v>
      </c>
      <c r="Y224" s="165">
        <f t="shared" si="20"/>
        <v>0</v>
      </c>
      <c r="Z224" s="44">
        <f t="shared" si="21"/>
        <v>0</v>
      </c>
      <c r="AA224" s="125">
        <f>VLOOKUP(C224,'Talente &amp; Stuff'!IA:JB,25,FALSE)</f>
        <v>0</v>
      </c>
      <c r="AB224" s="160">
        <f>VLOOKUP(C224,'Talente &amp; Stuff'!IA:JB,26,FALSE)</f>
        <v>0</v>
      </c>
      <c r="AC224" s="127">
        <f>VLOOKUP(C224,'Talente &amp; Stuff'!IA:JB,27,FALSE)</f>
        <v>0</v>
      </c>
      <c r="AD224" s="125">
        <f>VLOOKUP(C224,'Talente &amp; Stuff'!IA:JB,28,FALSE)</f>
        <v>0</v>
      </c>
      <c r="AE224" s="28"/>
    </row>
    <row r="225" spans="2:31" ht="15" hidden="1" customHeight="1" outlineLevel="2">
      <c r="B225" s="148">
        <v>13</v>
      </c>
      <c r="C225" s="177" t="str">
        <f>Attribute!C225</f>
        <v>---</v>
      </c>
      <c r="D225" s="86" t="str">
        <f>VLOOKUP(C225,'Talente &amp; Stuff'!IA:JB,2,FALSE)</f>
        <v>--/--/--</v>
      </c>
      <c r="E225" s="167" t="str">
        <f>VLOOKUP(C225,'Talente &amp; Stuff'!IA:JB,3,FALSE)</f>
        <v>-</v>
      </c>
      <c r="F225" s="120">
        <f>VLOOKUP(C225,'Talente &amp; Stuff'!IA:JB,4,FALSE)</f>
        <v>0</v>
      </c>
      <c r="G225" s="117">
        <f>VLOOKUP(C225,'Talente &amp; Stuff'!IA:JB,5,FALSE)</f>
        <v>0</v>
      </c>
      <c r="H225" s="117">
        <f>VLOOKUP(C225,'Talente &amp; Stuff'!IA:JB,6,FALSE)</f>
        <v>0</v>
      </c>
      <c r="I225" s="117">
        <f>VLOOKUP(C225,'Talente &amp; Stuff'!IA:JB,7,FALSE)</f>
        <v>0</v>
      </c>
      <c r="J225" s="117">
        <f>VLOOKUP(C225,'Talente &amp; Stuff'!IA:JB,8,FALSE)</f>
        <v>0</v>
      </c>
      <c r="K225" s="117">
        <f>VLOOKUP(C225,'Talente &amp; Stuff'!IA:JB,9,FALSE)</f>
        <v>0</v>
      </c>
      <c r="L225" s="117">
        <f>VLOOKUP(C225,'Talente &amp; Stuff'!IA:JB,10,FALSE)</f>
        <v>0</v>
      </c>
      <c r="M225" s="121">
        <f>VLOOKUP(C225,'Talente &amp; Stuff'!IA:JB,11,FALSE)</f>
        <v>0</v>
      </c>
      <c r="N225" s="47">
        <f>VLOOKUP(C225,'Talente &amp; Stuff'!IA:JB,12,FALSE)</f>
        <v>0</v>
      </c>
      <c r="O225" s="3">
        <f>VLOOKUP(C225,'Talente &amp; Stuff'!IA:JB,13,FALSE)</f>
        <v>0</v>
      </c>
      <c r="P225" s="174">
        <f>VLOOKUP(C225,'Talente &amp; Stuff'!IA:JB,14,FALSE)</f>
        <v>0</v>
      </c>
      <c r="Q225" s="114">
        <f>VLOOKUP(C225,'Talente &amp; Stuff'!IA:JB,15,FALSE)</f>
        <v>0</v>
      </c>
      <c r="R225" s="117">
        <f>VLOOKUP(C225,'Talente &amp; Stuff'!IA:JB,16,FALSE)</f>
        <v>0</v>
      </c>
      <c r="S225" s="119">
        <f>VLOOKUP(C225,'Talente &amp; Stuff'!IA:JB,17,FALSE)</f>
        <v>0</v>
      </c>
      <c r="T225" s="119">
        <f>VLOOKUP(C225,'Talente &amp; Stuff'!IA:JB,18,FALSE)</f>
        <v>0</v>
      </c>
      <c r="U225" s="89">
        <f>VLOOKUP(C225,'Talente &amp; Stuff'!IA:JB,19,FALSE)</f>
        <v>0</v>
      </c>
      <c r="V225" s="47">
        <f>VLOOKUP(C225,'Talente &amp; Stuff'!IA:JB,20,FALSE)</f>
        <v>0</v>
      </c>
      <c r="W225" s="127">
        <f>VLOOKUP(C225,'Talente &amp; Stuff'!IA:JB,21,FALSE)</f>
        <v>0</v>
      </c>
      <c r="X225" s="127">
        <f>VLOOKUP(C225,'Talente &amp; Stuff'!IA:JB,22,FALSE)</f>
        <v>0</v>
      </c>
      <c r="Y225" s="165">
        <f t="shared" si="20"/>
        <v>0</v>
      </c>
      <c r="Z225" s="44">
        <f t="shared" si="21"/>
        <v>0</v>
      </c>
      <c r="AA225" s="125">
        <f>VLOOKUP(C225,'Talente &amp; Stuff'!IA:JB,25,FALSE)</f>
        <v>0</v>
      </c>
      <c r="AB225" s="160">
        <f>VLOOKUP(C225,'Talente &amp; Stuff'!IA:JB,26,FALSE)</f>
        <v>0</v>
      </c>
      <c r="AC225" s="127">
        <f>VLOOKUP(C225,'Talente &amp; Stuff'!IA:JB,27,FALSE)</f>
        <v>0</v>
      </c>
      <c r="AD225" s="125">
        <f>VLOOKUP(C225,'Talente &amp; Stuff'!IA:JB,28,FALSE)</f>
        <v>0</v>
      </c>
      <c r="AE225" s="28"/>
    </row>
    <row r="226" spans="2:31" ht="15" hidden="1" customHeight="1" outlineLevel="2">
      <c r="B226" s="148">
        <v>14</v>
      </c>
      <c r="C226" s="177" t="str">
        <f>Attribute!C226</f>
        <v>---</v>
      </c>
      <c r="D226" s="86" t="str">
        <f>VLOOKUP(C226,'Talente &amp; Stuff'!IA:JB,2,FALSE)</f>
        <v>--/--/--</v>
      </c>
      <c r="E226" s="167" t="str">
        <f>VLOOKUP(C226,'Talente &amp; Stuff'!IA:JB,3,FALSE)</f>
        <v>-</v>
      </c>
      <c r="F226" s="120">
        <f>VLOOKUP(C226,'Talente &amp; Stuff'!IA:JB,4,FALSE)</f>
        <v>0</v>
      </c>
      <c r="G226" s="117">
        <f>VLOOKUP(C226,'Talente &amp; Stuff'!IA:JB,5,FALSE)</f>
        <v>0</v>
      </c>
      <c r="H226" s="117">
        <f>VLOOKUP(C226,'Talente &amp; Stuff'!IA:JB,6,FALSE)</f>
        <v>0</v>
      </c>
      <c r="I226" s="117">
        <f>VLOOKUP(C226,'Talente &amp; Stuff'!IA:JB,7,FALSE)</f>
        <v>0</v>
      </c>
      <c r="J226" s="117">
        <f>VLOOKUP(C226,'Talente &amp; Stuff'!IA:JB,8,FALSE)</f>
        <v>0</v>
      </c>
      <c r="K226" s="117">
        <f>VLOOKUP(C226,'Talente &amp; Stuff'!IA:JB,9,FALSE)</f>
        <v>0</v>
      </c>
      <c r="L226" s="117">
        <f>VLOOKUP(C226,'Talente &amp; Stuff'!IA:JB,10,FALSE)</f>
        <v>0</v>
      </c>
      <c r="M226" s="121">
        <f>VLOOKUP(C226,'Talente &amp; Stuff'!IA:JB,11,FALSE)</f>
        <v>0</v>
      </c>
      <c r="N226" s="47">
        <f>VLOOKUP(C226,'Talente &amp; Stuff'!IA:JB,12,FALSE)</f>
        <v>0</v>
      </c>
      <c r="O226" s="3">
        <f>VLOOKUP(C226,'Talente &amp; Stuff'!IA:JB,13,FALSE)</f>
        <v>0</v>
      </c>
      <c r="P226" s="174">
        <f>VLOOKUP(C226,'Talente &amp; Stuff'!IA:JB,14,FALSE)</f>
        <v>0</v>
      </c>
      <c r="Q226" s="114">
        <f>VLOOKUP(C226,'Talente &amp; Stuff'!IA:JB,15,FALSE)</f>
        <v>0</v>
      </c>
      <c r="R226" s="117">
        <f>VLOOKUP(C226,'Talente &amp; Stuff'!IA:JB,16,FALSE)</f>
        <v>0</v>
      </c>
      <c r="S226" s="119">
        <f>VLOOKUP(C226,'Talente &amp; Stuff'!IA:JB,17,FALSE)</f>
        <v>0</v>
      </c>
      <c r="T226" s="119">
        <f>VLOOKUP(C226,'Talente &amp; Stuff'!IA:JB,18,FALSE)</f>
        <v>0</v>
      </c>
      <c r="U226" s="89">
        <f>VLOOKUP(C226,'Talente &amp; Stuff'!IA:JB,19,FALSE)</f>
        <v>0</v>
      </c>
      <c r="V226" s="47">
        <f>VLOOKUP(C226,'Talente &amp; Stuff'!IA:JB,20,FALSE)</f>
        <v>0</v>
      </c>
      <c r="W226" s="127">
        <f>VLOOKUP(C226,'Talente &amp; Stuff'!IA:JB,21,FALSE)</f>
        <v>0</v>
      </c>
      <c r="X226" s="127">
        <f>VLOOKUP(C226,'Talente &amp; Stuff'!IA:JB,22,FALSE)</f>
        <v>0</v>
      </c>
      <c r="Y226" s="165">
        <f t="shared" si="20"/>
        <v>0</v>
      </c>
      <c r="Z226" s="44">
        <f t="shared" si="21"/>
        <v>0</v>
      </c>
      <c r="AA226" s="125">
        <f>VLOOKUP(C226,'Talente &amp; Stuff'!IA:JB,25,FALSE)</f>
        <v>0</v>
      </c>
      <c r="AB226" s="160">
        <f>VLOOKUP(C226,'Talente &amp; Stuff'!IA:JB,26,FALSE)</f>
        <v>0</v>
      </c>
      <c r="AC226" s="127">
        <f>VLOOKUP(C226,'Talente &amp; Stuff'!IA:JB,27,FALSE)</f>
        <v>0</v>
      </c>
      <c r="AD226" s="125">
        <f>VLOOKUP(C226,'Talente &amp; Stuff'!IA:JB,28,FALSE)</f>
        <v>0</v>
      </c>
      <c r="AE226" s="28"/>
    </row>
    <row r="227" spans="2:31" ht="15" hidden="1" customHeight="1" outlineLevel="2">
      <c r="B227" s="148">
        <v>15</v>
      </c>
      <c r="C227" s="177" t="str">
        <f>Attribute!C227</f>
        <v>---</v>
      </c>
      <c r="D227" s="86" t="str">
        <f>VLOOKUP(C227,'Talente &amp; Stuff'!IA:JB,2,FALSE)</f>
        <v>--/--/--</v>
      </c>
      <c r="E227" s="167" t="str">
        <f>VLOOKUP(C227,'Talente &amp; Stuff'!IA:JB,3,FALSE)</f>
        <v>-</v>
      </c>
      <c r="F227" s="120">
        <f>VLOOKUP(C227,'Talente &amp; Stuff'!IA:JB,4,FALSE)</f>
        <v>0</v>
      </c>
      <c r="G227" s="117">
        <f>VLOOKUP(C227,'Talente &amp; Stuff'!IA:JB,5,FALSE)</f>
        <v>0</v>
      </c>
      <c r="H227" s="117">
        <f>VLOOKUP(C227,'Talente &amp; Stuff'!IA:JB,6,FALSE)</f>
        <v>0</v>
      </c>
      <c r="I227" s="117">
        <f>VLOOKUP(C227,'Talente &amp; Stuff'!IA:JB,7,FALSE)</f>
        <v>0</v>
      </c>
      <c r="J227" s="117">
        <f>VLOOKUP(C227,'Talente &amp; Stuff'!IA:JB,8,FALSE)</f>
        <v>0</v>
      </c>
      <c r="K227" s="117">
        <f>VLOOKUP(C227,'Talente &amp; Stuff'!IA:JB,9,FALSE)</f>
        <v>0</v>
      </c>
      <c r="L227" s="117">
        <f>VLOOKUP(C227,'Talente &amp; Stuff'!IA:JB,10,FALSE)</f>
        <v>0</v>
      </c>
      <c r="M227" s="121">
        <f>VLOOKUP(C227,'Talente &amp; Stuff'!IA:JB,11,FALSE)</f>
        <v>0</v>
      </c>
      <c r="N227" s="47">
        <f>VLOOKUP(C227,'Talente &amp; Stuff'!IA:JB,12,FALSE)</f>
        <v>0</v>
      </c>
      <c r="O227" s="3">
        <f>VLOOKUP(C227,'Talente &amp; Stuff'!IA:JB,13,FALSE)</f>
        <v>0</v>
      </c>
      <c r="P227" s="174">
        <f>VLOOKUP(C227,'Talente &amp; Stuff'!IA:JB,14,FALSE)</f>
        <v>0</v>
      </c>
      <c r="Q227" s="114">
        <f>VLOOKUP(C227,'Talente &amp; Stuff'!IA:JB,15,FALSE)</f>
        <v>0</v>
      </c>
      <c r="R227" s="117">
        <f>VLOOKUP(C227,'Talente &amp; Stuff'!IA:JB,16,FALSE)</f>
        <v>0</v>
      </c>
      <c r="S227" s="119">
        <f>VLOOKUP(C227,'Talente &amp; Stuff'!IA:JB,17,FALSE)</f>
        <v>0</v>
      </c>
      <c r="T227" s="119">
        <f>VLOOKUP(C227,'Talente &amp; Stuff'!IA:JB,18,FALSE)</f>
        <v>0</v>
      </c>
      <c r="U227" s="89">
        <f>VLOOKUP(C227,'Talente &amp; Stuff'!IA:JB,19,FALSE)</f>
        <v>0</v>
      </c>
      <c r="V227" s="47">
        <f>VLOOKUP(C227,'Talente &amp; Stuff'!IA:JB,20,FALSE)</f>
        <v>0</v>
      </c>
      <c r="W227" s="127">
        <f>VLOOKUP(C227,'Talente &amp; Stuff'!IA:JB,21,FALSE)</f>
        <v>0</v>
      </c>
      <c r="X227" s="127">
        <f>VLOOKUP(C227,'Talente &amp; Stuff'!IA:JB,22,FALSE)</f>
        <v>0</v>
      </c>
      <c r="Y227" s="165">
        <f t="shared" si="20"/>
        <v>0</v>
      </c>
      <c r="Z227" s="44">
        <f t="shared" si="21"/>
        <v>0</v>
      </c>
      <c r="AA227" s="125">
        <f>VLOOKUP(C227,'Talente &amp; Stuff'!IA:JB,25,FALSE)</f>
        <v>0</v>
      </c>
      <c r="AB227" s="160">
        <f>VLOOKUP(C227,'Talente &amp; Stuff'!IA:JB,26,FALSE)</f>
        <v>0</v>
      </c>
      <c r="AC227" s="127">
        <f>VLOOKUP(C227,'Talente &amp; Stuff'!IA:JB,27,FALSE)</f>
        <v>0</v>
      </c>
      <c r="AD227" s="125">
        <f>VLOOKUP(C227,'Talente &amp; Stuff'!IA:JB,28,FALSE)</f>
        <v>0</v>
      </c>
      <c r="AE227" s="28"/>
    </row>
    <row r="228" spans="2:31" ht="15" hidden="1" customHeight="1" outlineLevel="2">
      <c r="B228" s="148">
        <v>16</v>
      </c>
      <c r="C228" s="177" t="str">
        <f>Attribute!C228</f>
        <v>---</v>
      </c>
      <c r="D228" s="86" t="str">
        <f>VLOOKUP(C228,'Talente &amp; Stuff'!IA:JB,2,FALSE)</f>
        <v>--/--/--</v>
      </c>
      <c r="E228" s="167" t="str">
        <f>VLOOKUP(C228,'Talente &amp; Stuff'!IA:JB,3,FALSE)</f>
        <v>-</v>
      </c>
      <c r="F228" s="120">
        <f>VLOOKUP(C228,'Talente &amp; Stuff'!IA:JB,4,FALSE)</f>
        <v>0</v>
      </c>
      <c r="G228" s="117">
        <f>VLOOKUP(C228,'Talente &amp; Stuff'!IA:JB,5,FALSE)</f>
        <v>0</v>
      </c>
      <c r="H228" s="117">
        <f>VLOOKUP(C228,'Talente &amp; Stuff'!IA:JB,6,FALSE)</f>
        <v>0</v>
      </c>
      <c r="I228" s="117">
        <f>VLOOKUP(C228,'Talente &amp; Stuff'!IA:JB,7,FALSE)</f>
        <v>0</v>
      </c>
      <c r="J228" s="117">
        <f>VLOOKUP(C228,'Talente &amp; Stuff'!IA:JB,8,FALSE)</f>
        <v>0</v>
      </c>
      <c r="K228" s="117">
        <f>VLOOKUP(C228,'Talente &amp; Stuff'!IA:JB,9,FALSE)</f>
        <v>0</v>
      </c>
      <c r="L228" s="117">
        <f>VLOOKUP(C228,'Talente &amp; Stuff'!IA:JB,10,FALSE)</f>
        <v>0</v>
      </c>
      <c r="M228" s="121">
        <f>VLOOKUP(C228,'Talente &amp; Stuff'!IA:JB,11,FALSE)</f>
        <v>0</v>
      </c>
      <c r="N228" s="47">
        <f>VLOOKUP(C228,'Talente &amp; Stuff'!IA:JB,12,FALSE)</f>
        <v>0</v>
      </c>
      <c r="O228" s="3">
        <f>VLOOKUP(C228,'Talente &amp; Stuff'!IA:JB,13,FALSE)</f>
        <v>0</v>
      </c>
      <c r="P228" s="174">
        <f>VLOOKUP(C228,'Talente &amp; Stuff'!IA:JB,14,FALSE)</f>
        <v>0</v>
      </c>
      <c r="Q228" s="114">
        <f>VLOOKUP(C228,'Talente &amp; Stuff'!IA:JB,15,FALSE)</f>
        <v>0</v>
      </c>
      <c r="R228" s="117">
        <f>VLOOKUP(C228,'Talente &amp; Stuff'!IA:JB,16,FALSE)</f>
        <v>0</v>
      </c>
      <c r="S228" s="119">
        <f>VLOOKUP(C228,'Talente &amp; Stuff'!IA:JB,17,FALSE)</f>
        <v>0</v>
      </c>
      <c r="T228" s="119">
        <f>VLOOKUP(C228,'Talente &amp; Stuff'!IA:JB,18,FALSE)</f>
        <v>0</v>
      </c>
      <c r="U228" s="89">
        <f>VLOOKUP(C228,'Talente &amp; Stuff'!IA:JB,19,FALSE)</f>
        <v>0</v>
      </c>
      <c r="V228" s="47">
        <f>VLOOKUP(C228,'Talente &amp; Stuff'!IA:JB,20,FALSE)</f>
        <v>0</v>
      </c>
      <c r="W228" s="127">
        <f>VLOOKUP(C228,'Talente &amp; Stuff'!IA:JB,21,FALSE)</f>
        <v>0</v>
      </c>
      <c r="X228" s="127">
        <f>VLOOKUP(C228,'Talente &amp; Stuff'!IA:JB,22,FALSE)</f>
        <v>0</v>
      </c>
      <c r="Y228" s="165">
        <f t="shared" si="20"/>
        <v>0</v>
      </c>
      <c r="Z228" s="44">
        <f t="shared" si="21"/>
        <v>0</v>
      </c>
      <c r="AA228" s="125">
        <f>VLOOKUP(C228,'Talente &amp; Stuff'!IA:JB,25,FALSE)</f>
        <v>0</v>
      </c>
      <c r="AB228" s="160">
        <f>VLOOKUP(C228,'Talente &amp; Stuff'!IA:JB,26,FALSE)</f>
        <v>0</v>
      </c>
      <c r="AC228" s="127">
        <f>VLOOKUP(C228,'Talente &amp; Stuff'!IA:JB,27,FALSE)</f>
        <v>0</v>
      </c>
      <c r="AD228" s="125">
        <f>VLOOKUP(C228,'Talente &amp; Stuff'!IA:JB,28,FALSE)</f>
        <v>0</v>
      </c>
      <c r="AE228" s="28"/>
    </row>
    <row r="229" spans="2:31" ht="15" hidden="1" customHeight="1" outlineLevel="2">
      <c r="B229" s="148">
        <v>17</v>
      </c>
      <c r="C229" s="177" t="str">
        <f>Attribute!C229</f>
        <v>---</v>
      </c>
      <c r="D229" s="86" t="str">
        <f>VLOOKUP(C229,'Talente &amp; Stuff'!IA:JB,2,FALSE)</f>
        <v>--/--/--</v>
      </c>
      <c r="E229" s="167" t="str">
        <f>VLOOKUP(C229,'Talente &amp; Stuff'!IA:JB,3,FALSE)</f>
        <v>-</v>
      </c>
      <c r="F229" s="120">
        <f>VLOOKUP(C229,'Talente &amp; Stuff'!IA:JB,4,FALSE)</f>
        <v>0</v>
      </c>
      <c r="G229" s="117">
        <f>VLOOKUP(C229,'Talente &amp; Stuff'!IA:JB,5,FALSE)</f>
        <v>0</v>
      </c>
      <c r="H229" s="117">
        <f>VLOOKUP(C229,'Talente &amp; Stuff'!IA:JB,6,FALSE)</f>
        <v>0</v>
      </c>
      <c r="I229" s="117">
        <f>VLOOKUP(C229,'Talente &amp; Stuff'!IA:JB,7,FALSE)</f>
        <v>0</v>
      </c>
      <c r="J229" s="117">
        <f>VLOOKUP(C229,'Talente &amp; Stuff'!IA:JB,8,FALSE)</f>
        <v>0</v>
      </c>
      <c r="K229" s="117">
        <f>VLOOKUP(C229,'Talente &amp; Stuff'!IA:JB,9,FALSE)</f>
        <v>0</v>
      </c>
      <c r="L229" s="117">
        <f>VLOOKUP(C229,'Talente &amp; Stuff'!IA:JB,10,FALSE)</f>
        <v>0</v>
      </c>
      <c r="M229" s="121">
        <f>VLOOKUP(C229,'Talente &amp; Stuff'!IA:JB,11,FALSE)</f>
        <v>0</v>
      </c>
      <c r="N229" s="47">
        <f>VLOOKUP(C229,'Talente &amp; Stuff'!IA:JB,12,FALSE)</f>
        <v>0</v>
      </c>
      <c r="O229" s="3">
        <f>VLOOKUP(C229,'Talente &amp; Stuff'!IA:JB,13,FALSE)</f>
        <v>0</v>
      </c>
      <c r="P229" s="174">
        <f>VLOOKUP(C229,'Talente &amp; Stuff'!IA:JB,14,FALSE)</f>
        <v>0</v>
      </c>
      <c r="Q229" s="114">
        <f>VLOOKUP(C229,'Talente &amp; Stuff'!IA:JB,15,FALSE)</f>
        <v>0</v>
      </c>
      <c r="R229" s="117">
        <f>VLOOKUP(C229,'Talente &amp; Stuff'!IA:JB,16,FALSE)</f>
        <v>0</v>
      </c>
      <c r="S229" s="119">
        <f>VLOOKUP(C229,'Talente &amp; Stuff'!IA:JB,17,FALSE)</f>
        <v>0</v>
      </c>
      <c r="T229" s="119">
        <f>VLOOKUP(C229,'Talente &amp; Stuff'!IA:JB,18,FALSE)</f>
        <v>0</v>
      </c>
      <c r="U229" s="89">
        <f>VLOOKUP(C229,'Talente &amp; Stuff'!IA:JB,19,FALSE)</f>
        <v>0</v>
      </c>
      <c r="V229" s="47">
        <f>VLOOKUP(C229,'Talente &amp; Stuff'!IA:JB,20,FALSE)</f>
        <v>0</v>
      </c>
      <c r="W229" s="127">
        <f>VLOOKUP(C229,'Talente &amp; Stuff'!IA:JB,21,FALSE)</f>
        <v>0</v>
      </c>
      <c r="X229" s="127">
        <f>VLOOKUP(C229,'Talente &amp; Stuff'!IA:JB,22,FALSE)</f>
        <v>0</v>
      </c>
      <c r="Y229" s="165">
        <f t="shared" si="20"/>
        <v>0</v>
      </c>
      <c r="Z229" s="44">
        <f t="shared" si="21"/>
        <v>0</v>
      </c>
      <c r="AA229" s="125">
        <f>VLOOKUP(C229,'Talente &amp; Stuff'!IA:JB,25,FALSE)</f>
        <v>0</v>
      </c>
      <c r="AB229" s="160">
        <f>VLOOKUP(C229,'Talente &amp; Stuff'!IA:JB,26,FALSE)</f>
        <v>0</v>
      </c>
      <c r="AC229" s="127">
        <f>VLOOKUP(C229,'Talente &amp; Stuff'!IA:JB,27,FALSE)</f>
        <v>0</v>
      </c>
      <c r="AD229" s="125">
        <f>VLOOKUP(C229,'Talente &amp; Stuff'!IA:JB,28,FALSE)</f>
        <v>0</v>
      </c>
      <c r="AE229" s="28"/>
    </row>
    <row r="230" spans="2:31" ht="15" hidden="1" customHeight="1" outlineLevel="2">
      <c r="B230" s="148">
        <v>18</v>
      </c>
      <c r="C230" s="177" t="str">
        <f>Attribute!C230</f>
        <v>---</v>
      </c>
      <c r="D230" s="86" t="str">
        <f>VLOOKUP(C230,'Talente &amp; Stuff'!IA:JB,2,FALSE)</f>
        <v>--/--/--</v>
      </c>
      <c r="E230" s="167" t="str">
        <f>VLOOKUP(C230,'Talente &amp; Stuff'!IA:JB,3,FALSE)</f>
        <v>-</v>
      </c>
      <c r="F230" s="120">
        <f>VLOOKUP(C230,'Talente &amp; Stuff'!IA:JB,4,FALSE)</f>
        <v>0</v>
      </c>
      <c r="G230" s="117">
        <f>VLOOKUP(C230,'Talente &amp; Stuff'!IA:JB,5,FALSE)</f>
        <v>0</v>
      </c>
      <c r="H230" s="117">
        <f>VLOOKUP(C230,'Talente &amp; Stuff'!IA:JB,6,FALSE)</f>
        <v>0</v>
      </c>
      <c r="I230" s="117">
        <f>VLOOKUP(C230,'Talente &amp; Stuff'!IA:JB,7,FALSE)</f>
        <v>0</v>
      </c>
      <c r="J230" s="117">
        <f>VLOOKUP(C230,'Talente &amp; Stuff'!IA:JB,8,FALSE)</f>
        <v>0</v>
      </c>
      <c r="K230" s="117">
        <f>VLOOKUP(C230,'Talente &amp; Stuff'!IA:JB,9,FALSE)</f>
        <v>0</v>
      </c>
      <c r="L230" s="117">
        <f>VLOOKUP(C230,'Talente &amp; Stuff'!IA:JB,10,FALSE)</f>
        <v>0</v>
      </c>
      <c r="M230" s="121">
        <f>VLOOKUP(C230,'Talente &amp; Stuff'!IA:JB,11,FALSE)</f>
        <v>0</v>
      </c>
      <c r="N230" s="47">
        <f>VLOOKUP(C230,'Talente &amp; Stuff'!IA:JB,12,FALSE)</f>
        <v>0</v>
      </c>
      <c r="O230" s="3">
        <f>VLOOKUP(C230,'Talente &amp; Stuff'!IA:JB,13,FALSE)</f>
        <v>0</v>
      </c>
      <c r="P230" s="174">
        <f>VLOOKUP(C230,'Talente &amp; Stuff'!IA:JB,14,FALSE)</f>
        <v>0</v>
      </c>
      <c r="Q230" s="114">
        <f>VLOOKUP(C230,'Talente &amp; Stuff'!IA:JB,15,FALSE)</f>
        <v>0</v>
      </c>
      <c r="R230" s="117">
        <f>VLOOKUP(C230,'Talente &amp; Stuff'!IA:JB,16,FALSE)</f>
        <v>0</v>
      </c>
      <c r="S230" s="119">
        <f>VLOOKUP(C230,'Talente &amp; Stuff'!IA:JB,17,FALSE)</f>
        <v>0</v>
      </c>
      <c r="T230" s="119">
        <f>VLOOKUP(C230,'Talente &amp; Stuff'!IA:JB,18,FALSE)</f>
        <v>0</v>
      </c>
      <c r="U230" s="89">
        <f>VLOOKUP(C230,'Talente &amp; Stuff'!IA:JB,19,FALSE)</f>
        <v>0</v>
      </c>
      <c r="V230" s="47">
        <f>VLOOKUP(C230,'Talente &amp; Stuff'!IA:JB,20,FALSE)</f>
        <v>0</v>
      </c>
      <c r="W230" s="127">
        <f>VLOOKUP(C230,'Talente &amp; Stuff'!IA:JB,21,FALSE)</f>
        <v>0</v>
      </c>
      <c r="X230" s="127">
        <f>VLOOKUP(C230,'Talente &amp; Stuff'!IA:JB,22,FALSE)</f>
        <v>0</v>
      </c>
      <c r="Y230" s="165">
        <f t="shared" si="20"/>
        <v>0</v>
      </c>
      <c r="Z230" s="44">
        <f t="shared" si="21"/>
        <v>0</v>
      </c>
      <c r="AA230" s="125">
        <f>VLOOKUP(C230,'Talente &amp; Stuff'!IA:JB,25,FALSE)</f>
        <v>0</v>
      </c>
      <c r="AB230" s="160">
        <f>VLOOKUP(C230,'Talente &amp; Stuff'!IA:JB,26,FALSE)</f>
        <v>0</v>
      </c>
      <c r="AC230" s="127">
        <f>VLOOKUP(C230,'Talente &amp; Stuff'!IA:JB,27,FALSE)</f>
        <v>0</v>
      </c>
      <c r="AD230" s="125">
        <f>VLOOKUP(C230,'Talente &amp; Stuff'!IA:JB,28,FALSE)</f>
        <v>0</v>
      </c>
      <c r="AE230" s="28"/>
    </row>
    <row r="231" spans="2:31" ht="15" hidden="1" customHeight="1" outlineLevel="2">
      <c r="B231" s="148">
        <v>19</v>
      </c>
      <c r="C231" s="177" t="str">
        <f>Attribute!C231</f>
        <v>---</v>
      </c>
      <c r="D231" s="86" t="str">
        <f>VLOOKUP(C231,'Talente &amp; Stuff'!IA:JB,2,FALSE)</f>
        <v>--/--/--</v>
      </c>
      <c r="E231" s="167" t="str">
        <f>VLOOKUP(C231,'Talente &amp; Stuff'!IA:JB,3,FALSE)</f>
        <v>-</v>
      </c>
      <c r="F231" s="120">
        <f>VLOOKUP(C231,'Talente &amp; Stuff'!IA:JB,4,FALSE)</f>
        <v>0</v>
      </c>
      <c r="G231" s="117">
        <f>VLOOKUP(C231,'Talente &amp; Stuff'!IA:JB,5,FALSE)</f>
        <v>0</v>
      </c>
      <c r="H231" s="117">
        <f>VLOOKUP(C231,'Talente &amp; Stuff'!IA:JB,6,FALSE)</f>
        <v>0</v>
      </c>
      <c r="I231" s="117">
        <f>VLOOKUP(C231,'Talente &amp; Stuff'!IA:JB,7,FALSE)</f>
        <v>0</v>
      </c>
      <c r="J231" s="117">
        <f>VLOOKUP(C231,'Talente &amp; Stuff'!IA:JB,8,FALSE)</f>
        <v>0</v>
      </c>
      <c r="K231" s="117">
        <f>VLOOKUP(C231,'Talente &amp; Stuff'!IA:JB,9,FALSE)</f>
        <v>0</v>
      </c>
      <c r="L231" s="117">
        <f>VLOOKUP(C231,'Talente &amp; Stuff'!IA:JB,10,FALSE)</f>
        <v>0</v>
      </c>
      <c r="M231" s="121">
        <f>VLOOKUP(C231,'Talente &amp; Stuff'!IA:JB,11,FALSE)</f>
        <v>0</v>
      </c>
      <c r="N231" s="47">
        <f>VLOOKUP(C231,'Talente &amp; Stuff'!IA:JB,12,FALSE)</f>
        <v>0</v>
      </c>
      <c r="O231" s="3">
        <f>VLOOKUP(C231,'Talente &amp; Stuff'!IA:JB,13,FALSE)</f>
        <v>0</v>
      </c>
      <c r="P231" s="174">
        <f>VLOOKUP(C231,'Talente &amp; Stuff'!IA:JB,14,FALSE)</f>
        <v>0</v>
      </c>
      <c r="Q231" s="114">
        <f>VLOOKUP(C231,'Talente &amp; Stuff'!IA:JB,15,FALSE)</f>
        <v>0</v>
      </c>
      <c r="R231" s="117">
        <f>VLOOKUP(C231,'Talente &amp; Stuff'!IA:JB,16,FALSE)</f>
        <v>0</v>
      </c>
      <c r="S231" s="119">
        <f>VLOOKUP(C231,'Talente &amp; Stuff'!IA:JB,17,FALSE)</f>
        <v>0</v>
      </c>
      <c r="T231" s="119">
        <f>VLOOKUP(C231,'Talente &amp; Stuff'!IA:JB,18,FALSE)</f>
        <v>0</v>
      </c>
      <c r="U231" s="89">
        <f>VLOOKUP(C231,'Talente &amp; Stuff'!IA:JB,19,FALSE)</f>
        <v>0</v>
      </c>
      <c r="V231" s="47">
        <f>VLOOKUP(C231,'Talente &amp; Stuff'!IA:JB,20,FALSE)</f>
        <v>0</v>
      </c>
      <c r="W231" s="127">
        <f>VLOOKUP(C231,'Talente &amp; Stuff'!IA:JB,21,FALSE)</f>
        <v>0</v>
      </c>
      <c r="X231" s="127">
        <f>VLOOKUP(C231,'Talente &amp; Stuff'!IA:JB,22,FALSE)</f>
        <v>0</v>
      </c>
      <c r="Y231" s="165">
        <f t="shared" si="20"/>
        <v>0</v>
      </c>
      <c r="Z231" s="44">
        <f t="shared" si="21"/>
        <v>0</v>
      </c>
      <c r="AA231" s="125">
        <f>VLOOKUP(C231,'Talente &amp; Stuff'!IA:JB,25,FALSE)</f>
        <v>0</v>
      </c>
      <c r="AB231" s="160">
        <f>VLOOKUP(C231,'Talente &amp; Stuff'!IA:JB,26,FALSE)</f>
        <v>0</v>
      </c>
      <c r="AC231" s="127">
        <f>VLOOKUP(C231,'Talente &amp; Stuff'!IA:JB,27,FALSE)</f>
        <v>0</v>
      </c>
      <c r="AD231" s="125">
        <f>VLOOKUP(C231,'Talente &amp; Stuff'!IA:JB,28,FALSE)</f>
        <v>0</v>
      </c>
      <c r="AE231" s="28"/>
    </row>
    <row r="232" spans="2:31" ht="15" hidden="1" customHeight="1" outlineLevel="2">
      <c r="B232" s="148">
        <v>20</v>
      </c>
      <c r="C232" s="177" t="str">
        <f>Attribute!C232</f>
        <v>---</v>
      </c>
      <c r="D232" s="86" t="str">
        <f>VLOOKUP(C232,'Talente &amp; Stuff'!IA:JB,2,FALSE)</f>
        <v>--/--/--</v>
      </c>
      <c r="E232" s="167" t="str">
        <f>VLOOKUP(C232,'Talente &amp; Stuff'!IA:JB,3,FALSE)</f>
        <v>-</v>
      </c>
      <c r="F232" s="120">
        <f>VLOOKUP(C232,'Talente &amp; Stuff'!IA:JB,4,FALSE)</f>
        <v>0</v>
      </c>
      <c r="G232" s="117">
        <f>VLOOKUP(C232,'Talente &amp; Stuff'!IA:JB,5,FALSE)</f>
        <v>0</v>
      </c>
      <c r="H232" s="117">
        <f>VLOOKUP(C232,'Talente &amp; Stuff'!IA:JB,6,FALSE)</f>
        <v>0</v>
      </c>
      <c r="I232" s="117">
        <f>VLOOKUP(C232,'Talente &amp; Stuff'!IA:JB,7,FALSE)</f>
        <v>0</v>
      </c>
      <c r="J232" s="117">
        <f>VLOOKUP(C232,'Talente &amp; Stuff'!IA:JB,8,FALSE)</f>
        <v>0</v>
      </c>
      <c r="K232" s="117">
        <f>VLOOKUP(C232,'Talente &amp; Stuff'!IA:JB,9,FALSE)</f>
        <v>0</v>
      </c>
      <c r="L232" s="117">
        <f>VLOOKUP(C232,'Talente &amp; Stuff'!IA:JB,10,FALSE)</f>
        <v>0</v>
      </c>
      <c r="M232" s="121">
        <f>VLOOKUP(C232,'Talente &amp; Stuff'!IA:JB,11,FALSE)</f>
        <v>0</v>
      </c>
      <c r="N232" s="47">
        <f>VLOOKUP(C232,'Talente &amp; Stuff'!IA:JB,12,FALSE)</f>
        <v>0</v>
      </c>
      <c r="O232" s="3">
        <f>VLOOKUP(C232,'Talente &amp; Stuff'!IA:JB,13,FALSE)</f>
        <v>0</v>
      </c>
      <c r="P232" s="174">
        <f>VLOOKUP(C232,'Talente &amp; Stuff'!IA:JB,14,FALSE)</f>
        <v>0</v>
      </c>
      <c r="Q232" s="114">
        <f>VLOOKUP(C232,'Talente &amp; Stuff'!IA:JB,15,FALSE)</f>
        <v>0</v>
      </c>
      <c r="R232" s="117">
        <f>VLOOKUP(C232,'Talente &amp; Stuff'!IA:JB,16,FALSE)</f>
        <v>0</v>
      </c>
      <c r="S232" s="119">
        <f>VLOOKUP(C232,'Talente &amp; Stuff'!IA:JB,17,FALSE)</f>
        <v>0</v>
      </c>
      <c r="T232" s="119">
        <f>VLOOKUP(C232,'Talente &amp; Stuff'!IA:JB,18,FALSE)</f>
        <v>0</v>
      </c>
      <c r="U232" s="89">
        <f>VLOOKUP(C232,'Talente &amp; Stuff'!IA:JB,19,FALSE)</f>
        <v>0</v>
      </c>
      <c r="V232" s="47">
        <f>VLOOKUP(C232,'Talente &amp; Stuff'!IA:JB,20,FALSE)</f>
        <v>0</v>
      </c>
      <c r="W232" s="127">
        <f>VLOOKUP(C232,'Talente &amp; Stuff'!IA:JB,21,FALSE)</f>
        <v>0</v>
      </c>
      <c r="X232" s="127">
        <f>VLOOKUP(C232,'Talente &amp; Stuff'!IA:JB,22,FALSE)</f>
        <v>0</v>
      </c>
      <c r="Y232" s="165">
        <f t="shared" si="20"/>
        <v>0</v>
      </c>
      <c r="Z232" s="44">
        <f t="shared" si="21"/>
        <v>0</v>
      </c>
      <c r="AA232" s="125">
        <f>VLOOKUP(C232,'Talente &amp; Stuff'!IA:JB,25,FALSE)</f>
        <v>0</v>
      </c>
      <c r="AB232" s="160">
        <f>VLOOKUP(C232,'Talente &amp; Stuff'!IA:JB,26,FALSE)</f>
        <v>0</v>
      </c>
      <c r="AC232" s="127">
        <f>VLOOKUP(C232,'Talente &amp; Stuff'!IA:JB,27,FALSE)</f>
        <v>0</v>
      </c>
      <c r="AD232" s="125">
        <f>VLOOKUP(C232,'Talente &amp; Stuff'!IA:JB,28,FALSE)</f>
        <v>0</v>
      </c>
      <c r="AE232" s="28"/>
    </row>
    <row r="233" spans="2:31" ht="15" hidden="1" customHeight="1" outlineLevel="2">
      <c r="B233" s="148">
        <v>21</v>
      </c>
      <c r="C233" s="177" t="str">
        <f>Attribute!C233</f>
        <v>---</v>
      </c>
      <c r="D233" s="86" t="str">
        <f>VLOOKUP(C233,'Talente &amp; Stuff'!IA:JB,2,FALSE)</f>
        <v>--/--/--</v>
      </c>
      <c r="E233" s="167" t="str">
        <f>VLOOKUP(C233,'Talente &amp; Stuff'!IA:JB,3,FALSE)</f>
        <v>-</v>
      </c>
      <c r="F233" s="120">
        <f>VLOOKUP(C233,'Talente &amp; Stuff'!IA:JB,4,FALSE)</f>
        <v>0</v>
      </c>
      <c r="G233" s="117">
        <f>VLOOKUP(C233,'Talente &amp; Stuff'!IA:JB,5,FALSE)</f>
        <v>0</v>
      </c>
      <c r="H233" s="117">
        <f>VLOOKUP(C233,'Talente &amp; Stuff'!IA:JB,6,FALSE)</f>
        <v>0</v>
      </c>
      <c r="I233" s="117">
        <f>VLOOKUP(C233,'Talente &amp; Stuff'!IA:JB,7,FALSE)</f>
        <v>0</v>
      </c>
      <c r="J233" s="117">
        <f>VLOOKUP(C233,'Talente &amp; Stuff'!IA:JB,8,FALSE)</f>
        <v>0</v>
      </c>
      <c r="K233" s="117">
        <f>VLOOKUP(C233,'Talente &amp; Stuff'!IA:JB,9,FALSE)</f>
        <v>0</v>
      </c>
      <c r="L233" s="117">
        <f>VLOOKUP(C233,'Talente &amp; Stuff'!IA:JB,10,FALSE)</f>
        <v>0</v>
      </c>
      <c r="M233" s="121">
        <f>VLOOKUP(C233,'Talente &amp; Stuff'!IA:JB,11,FALSE)</f>
        <v>0</v>
      </c>
      <c r="N233" s="47">
        <f>VLOOKUP(C233,'Talente &amp; Stuff'!IA:JB,12,FALSE)</f>
        <v>0</v>
      </c>
      <c r="O233" s="3">
        <f>VLOOKUP(C233,'Talente &amp; Stuff'!IA:JB,13,FALSE)</f>
        <v>0</v>
      </c>
      <c r="P233" s="174">
        <f>VLOOKUP(C233,'Talente &amp; Stuff'!IA:JB,14,FALSE)</f>
        <v>0</v>
      </c>
      <c r="Q233" s="114">
        <f>VLOOKUP(C233,'Talente &amp; Stuff'!IA:JB,15,FALSE)</f>
        <v>0</v>
      </c>
      <c r="R233" s="117">
        <f>VLOOKUP(C233,'Talente &amp; Stuff'!IA:JB,16,FALSE)</f>
        <v>0</v>
      </c>
      <c r="S233" s="119">
        <f>VLOOKUP(C233,'Talente &amp; Stuff'!IA:JB,17,FALSE)</f>
        <v>0</v>
      </c>
      <c r="T233" s="119">
        <f>VLOOKUP(C233,'Talente &amp; Stuff'!IA:JB,18,FALSE)</f>
        <v>0</v>
      </c>
      <c r="U233" s="89">
        <f>VLOOKUP(C233,'Talente &amp; Stuff'!IA:JB,19,FALSE)</f>
        <v>0</v>
      </c>
      <c r="V233" s="47">
        <f>VLOOKUP(C233,'Talente &amp; Stuff'!IA:JB,20,FALSE)</f>
        <v>0</v>
      </c>
      <c r="W233" s="127">
        <f>VLOOKUP(C233,'Talente &amp; Stuff'!IA:JB,21,FALSE)</f>
        <v>0</v>
      </c>
      <c r="X233" s="127">
        <f>VLOOKUP(C233,'Talente &amp; Stuff'!IA:JB,22,FALSE)</f>
        <v>0</v>
      </c>
      <c r="Y233" s="165">
        <f t="shared" si="20"/>
        <v>0</v>
      </c>
      <c r="Z233" s="44">
        <f t="shared" si="21"/>
        <v>0</v>
      </c>
      <c r="AA233" s="125">
        <f>VLOOKUP(C233,'Talente &amp; Stuff'!IA:JB,25,FALSE)</f>
        <v>0</v>
      </c>
      <c r="AB233" s="160">
        <f>VLOOKUP(C233,'Talente &amp; Stuff'!IA:JB,26,FALSE)</f>
        <v>0</v>
      </c>
      <c r="AC233" s="127">
        <f>VLOOKUP(C233,'Talente &amp; Stuff'!IA:JB,27,FALSE)</f>
        <v>0</v>
      </c>
      <c r="AD233" s="125">
        <f>VLOOKUP(C233,'Talente &amp; Stuff'!IA:JB,28,FALSE)</f>
        <v>0</v>
      </c>
      <c r="AE233" s="28"/>
    </row>
    <row r="234" spans="2:31" ht="15" hidden="1" customHeight="1" outlineLevel="2">
      <c r="B234" s="148">
        <v>22</v>
      </c>
      <c r="C234" s="177" t="str">
        <f>Attribute!C234</f>
        <v>---</v>
      </c>
      <c r="D234" s="86" t="str">
        <f>VLOOKUP(C234,'Talente &amp; Stuff'!IA:JB,2,FALSE)</f>
        <v>--/--/--</v>
      </c>
      <c r="E234" s="167" t="str">
        <f>VLOOKUP(C234,'Talente &amp; Stuff'!IA:JB,3,FALSE)</f>
        <v>-</v>
      </c>
      <c r="F234" s="120">
        <f>VLOOKUP(C234,'Talente &amp; Stuff'!IA:JB,4,FALSE)</f>
        <v>0</v>
      </c>
      <c r="G234" s="117">
        <f>VLOOKUP(C234,'Talente &amp; Stuff'!IA:JB,5,FALSE)</f>
        <v>0</v>
      </c>
      <c r="H234" s="117">
        <f>VLOOKUP(C234,'Talente &amp; Stuff'!IA:JB,6,FALSE)</f>
        <v>0</v>
      </c>
      <c r="I234" s="117">
        <f>VLOOKUP(C234,'Talente &amp; Stuff'!IA:JB,7,FALSE)</f>
        <v>0</v>
      </c>
      <c r="J234" s="117">
        <f>VLOOKUP(C234,'Talente &amp; Stuff'!IA:JB,8,FALSE)</f>
        <v>0</v>
      </c>
      <c r="K234" s="117">
        <f>VLOOKUP(C234,'Talente &amp; Stuff'!IA:JB,9,FALSE)</f>
        <v>0</v>
      </c>
      <c r="L234" s="117">
        <f>VLOOKUP(C234,'Talente &amp; Stuff'!IA:JB,10,FALSE)</f>
        <v>0</v>
      </c>
      <c r="M234" s="121">
        <f>VLOOKUP(C234,'Talente &amp; Stuff'!IA:JB,11,FALSE)</f>
        <v>0</v>
      </c>
      <c r="N234" s="47">
        <f>VLOOKUP(C234,'Talente &amp; Stuff'!IA:JB,12,FALSE)</f>
        <v>0</v>
      </c>
      <c r="O234" s="3">
        <f>VLOOKUP(C234,'Talente &amp; Stuff'!IA:JB,13,FALSE)</f>
        <v>0</v>
      </c>
      <c r="P234" s="174">
        <f>VLOOKUP(C234,'Talente &amp; Stuff'!IA:JB,14,FALSE)</f>
        <v>0</v>
      </c>
      <c r="Q234" s="114">
        <f>VLOOKUP(C234,'Talente &amp; Stuff'!IA:JB,15,FALSE)</f>
        <v>0</v>
      </c>
      <c r="R234" s="117">
        <f>VLOOKUP(C234,'Talente &amp; Stuff'!IA:JB,16,FALSE)</f>
        <v>0</v>
      </c>
      <c r="S234" s="119">
        <f>VLOOKUP(C234,'Talente &amp; Stuff'!IA:JB,17,FALSE)</f>
        <v>0</v>
      </c>
      <c r="T234" s="119">
        <f>VLOOKUP(C234,'Talente &amp; Stuff'!IA:JB,18,FALSE)</f>
        <v>0</v>
      </c>
      <c r="U234" s="89">
        <f>VLOOKUP(C234,'Talente &amp; Stuff'!IA:JB,19,FALSE)</f>
        <v>0</v>
      </c>
      <c r="V234" s="47">
        <f>VLOOKUP(C234,'Talente &amp; Stuff'!IA:JB,20,FALSE)</f>
        <v>0</v>
      </c>
      <c r="W234" s="127">
        <f>VLOOKUP(C234,'Talente &amp; Stuff'!IA:JB,21,FALSE)</f>
        <v>0</v>
      </c>
      <c r="X234" s="127">
        <f>VLOOKUP(C234,'Talente &amp; Stuff'!IA:JB,22,FALSE)</f>
        <v>0</v>
      </c>
      <c r="Y234" s="165">
        <f t="shared" si="20"/>
        <v>0</v>
      </c>
      <c r="Z234" s="44">
        <f t="shared" si="21"/>
        <v>0</v>
      </c>
      <c r="AA234" s="125">
        <f>VLOOKUP(C234,'Talente &amp; Stuff'!IA:JB,25,FALSE)</f>
        <v>0</v>
      </c>
      <c r="AB234" s="160">
        <f>VLOOKUP(C234,'Talente &amp; Stuff'!IA:JB,26,FALSE)</f>
        <v>0</v>
      </c>
      <c r="AC234" s="127">
        <f>VLOOKUP(C234,'Talente &amp; Stuff'!IA:JB,27,FALSE)</f>
        <v>0</v>
      </c>
      <c r="AD234" s="125">
        <f>VLOOKUP(C234,'Talente &amp; Stuff'!IA:JB,28,FALSE)</f>
        <v>0</v>
      </c>
      <c r="AE234" s="28"/>
    </row>
    <row r="235" spans="2:31" ht="15" hidden="1" customHeight="1" outlineLevel="2">
      <c r="B235" s="148">
        <v>23</v>
      </c>
      <c r="C235" s="177" t="str">
        <f>Attribute!C235</f>
        <v>---</v>
      </c>
      <c r="D235" s="86" t="str">
        <f>VLOOKUP(C235,'Talente &amp; Stuff'!IA:JB,2,FALSE)</f>
        <v>--/--/--</v>
      </c>
      <c r="E235" s="167" t="str">
        <f>VLOOKUP(C235,'Talente &amp; Stuff'!IA:JB,3,FALSE)</f>
        <v>-</v>
      </c>
      <c r="F235" s="120">
        <f>VLOOKUP(C235,'Talente &amp; Stuff'!IA:JB,4,FALSE)</f>
        <v>0</v>
      </c>
      <c r="G235" s="117">
        <f>VLOOKUP(C235,'Talente &amp; Stuff'!IA:JB,5,FALSE)</f>
        <v>0</v>
      </c>
      <c r="H235" s="117">
        <f>VLOOKUP(C235,'Talente &amp; Stuff'!IA:JB,6,FALSE)</f>
        <v>0</v>
      </c>
      <c r="I235" s="117">
        <f>VLOOKUP(C235,'Talente &amp; Stuff'!IA:JB,7,FALSE)</f>
        <v>0</v>
      </c>
      <c r="J235" s="117">
        <f>VLOOKUP(C235,'Talente &amp; Stuff'!IA:JB,8,FALSE)</f>
        <v>0</v>
      </c>
      <c r="K235" s="117">
        <f>VLOOKUP(C235,'Talente &amp; Stuff'!IA:JB,9,FALSE)</f>
        <v>0</v>
      </c>
      <c r="L235" s="117">
        <f>VLOOKUP(C235,'Talente &amp; Stuff'!IA:JB,10,FALSE)</f>
        <v>0</v>
      </c>
      <c r="M235" s="121">
        <f>VLOOKUP(C235,'Talente &amp; Stuff'!IA:JB,11,FALSE)</f>
        <v>0</v>
      </c>
      <c r="N235" s="47">
        <f>VLOOKUP(C235,'Talente &amp; Stuff'!IA:JB,12,FALSE)</f>
        <v>0</v>
      </c>
      <c r="O235" s="3">
        <f>VLOOKUP(C235,'Talente &amp; Stuff'!IA:JB,13,FALSE)</f>
        <v>0</v>
      </c>
      <c r="P235" s="174">
        <f>VLOOKUP(C235,'Talente &amp; Stuff'!IA:JB,14,FALSE)</f>
        <v>0</v>
      </c>
      <c r="Q235" s="114">
        <f>VLOOKUP(C235,'Talente &amp; Stuff'!IA:JB,15,FALSE)</f>
        <v>0</v>
      </c>
      <c r="R235" s="117">
        <f>VLOOKUP(C235,'Talente &amp; Stuff'!IA:JB,16,FALSE)</f>
        <v>0</v>
      </c>
      <c r="S235" s="119">
        <f>VLOOKUP(C235,'Talente &amp; Stuff'!IA:JB,17,FALSE)</f>
        <v>0</v>
      </c>
      <c r="T235" s="119">
        <f>VLOOKUP(C235,'Talente &amp; Stuff'!IA:JB,18,FALSE)</f>
        <v>0</v>
      </c>
      <c r="U235" s="89">
        <f>VLOOKUP(C235,'Talente &amp; Stuff'!IA:JB,19,FALSE)</f>
        <v>0</v>
      </c>
      <c r="V235" s="47">
        <f>VLOOKUP(C235,'Talente &amp; Stuff'!IA:JB,20,FALSE)</f>
        <v>0</v>
      </c>
      <c r="W235" s="127">
        <f>VLOOKUP(C235,'Talente &amp; Stuff'!IA:JB,21,FALSE)</f>
        <v>0</v>
      </c>
      <c r="X235" s="127">
        <f>VLOOKUP(C235,'Talente &amp; Stuff'!IA:JB,22,FALSE)</f>
        <v>0</v>
      </c>
      <c r="Y235" s="165">
        <f t="shared" si="20"/>
        <v>0</v>
      </c>
      <c r="Z235" s="44">
        <f t="shared" si="21"/>
        <v>0</v>
      </c>
      <c r="AA235" s="125">
        <f>VLOOKUP(C235,'Talente &amp; Stuff'!IA:JB,25,FALSE)</f>
        <v>0</v>
      </c>
      <c r="AB235" s="160">
        <f>VLOOKUP(C235,'Talente &amp; Stuff'!IA:JB,26,FALSE)</f>
        <v>0</v>
      </c>
      <c r="AC235" s="127">
        <f>VLOOKUP(C235,'Talente &amp; Stuff'!IA:JB,27,FALSE)</f>
        <v>0</v>
      </c>
      <c r="AD235" s="125">
        <f>VLOOKUP(C235,'Talente &amp; Stuff'!IA:JB,28,FALSE)</f>
        <v>0</v>
      </c>
      <c r="AE235" s="28"/>
    </row>
    <row r="236" spans="2:31" ht="15" hidden="1" customHeight="1" outlineLevel="2">
      <c r="B236" s="148">
        <v>24</v>
      </c>
      <c r="C236" s="177" t="str">
        <f>Attribute!C236</f>
        <v>---</v>
      </c>
      <c r="D236" s="86" t="str">
        <f>VLOOKUP(C236,'Talente &amp; Stuff'!IA:JB,2,FALSE)</f>
        <v>--/--/--</v>
      </c>
      <c r="E236" s="167" t="str">
        <f>VLOOKUP(C236,'Talente &amp; Stuff'!IA:JB,3,FALSE)</f>
        <v>-</v>
      </c>
      <c r="F236" s="120">
        <f>VLOOKUP(C236,'Talente &amp; Stuff'!IA:JB,4,FALSE)</f>
        <v>0</v>
      </c>
      <c r="G236" s="117">
        <f>VLOOKUP(C236,'Talente &amp; Stuff'!IA:JB,5,FALSE)</f>
        <v>0</v>
      </c>
      <c r="H236" s="117">
        <f>VLOOKUP(C236,'Talente &amp; Stuff'!IA:JB,6,FALSE)</f>
        <v>0</v>
      </c>
      <c r="I236" s="117">
        <f>VLOOKUP(C236,'Talente &amp; Stuff'!IA:JB,7,FALSE)</f>
        <v>0</v>
      </c>
      <c r="J236" s="117">
        <f>VLOOKUP(C236,'Talente &amp; Stuff'!IA:JB,8,FALSE)</f>
        <v>0</v>
      </c>
      <c r="K236" s="117">
        <f>VLOOKUP(C236,'Talente &amp; Stuff'!IA:JB,9,FALSE)</f>
        <v>0</v>
      </c>
      <c r="L236" s="117">
        <f>VLOOKUP(C236,'Talente &amp; Stuff'!IA:JB,10,FALSE)</f>
        <v>0</v>
      </c>
      <c r="M236" s="121">
        <f>VLOOKUP(C236,'Talente &amp; Stuff'!IA:JB,11,FALSE)</f>
        <v>0</v>
      </c>
      <c r="N236" s="47">
        <f>VLOOKUP(C236,'Talente &amp; Stuff'!IA:JB,12,FALSE)</f>
        <v>0</v>
      </c>
      <c r="O236" s="3">
        <f>VLOOKUP(C236,'Talente &amp; Stuff'!IA:JB,13,FALSE)</f>
        <v>0</v>
      </c>
      <c r="P236" s="174">
        <f>VLOOKUP(C236,'Talente &amp; Stuff'!IA:JB,14,FALSE)</f>
        <v>0</v>
      </c>
      <c r="Q236" s="114">
        <f>VLOOKUP(C236,'Talente &amp; Stuff'!IA:JB,15,FALSE)</f>
        <v>0</v>
      </c>
      <c r="R236" s="117">
        <f>VLOOKUP(C236,'Talente &amp; Stuff'!IA:JB,16,FALSE)</f>
        <v>0</v>
      </c>
      <c r="S236" s="119">
        <f>VLOOKUP(C236,'Talente &amp; Stuff'!IA:JB,17,FALSE)</f>
        <v>0</v>
      </c>
      <c r="T236" s="119">
        <f>VLOOKUP(C236,'Talente &amp; Stuff'!IA:JB,18,FALSE)</f>
        <v>0</v>
      </c>
      <c r="U236" s="89">
        <f>VLOOKUP(C236,'Talente &amp; Stuff'!IA:JB,19,FALSE)</f>
        <v>0</v>
      </c>
      <c r="V236" s="47">
        <f>VLOOKUP(C236,'Talente &amp; Stuff'!IA:JB,20,FALSE)</f>
        <v>0</v>
      </c>
      <c r="W236" s="127">
        <f>VLOOKUP(C236,'Talente &amp; Stuff'!IA:JB,21,FALSE)</f>
        <v>0</v>
      </c>
      <c r="X236" s="127">
        <f>VLOOKUP(C236,'Talente &amp; Stuff'!IA:JB,22,FALSE)</f>
        <v>0</v>
      </c>
      <c r="Y236" s="165">
        <f t="shared" si="20"/>
        <v>0</v>
      </c>
      <c r="Z236" s="44">
        <f t="shared" si="21"/>
        <v>0</v>
      </c>
      <c r="AA236" s="125">
        <f>VLOOKUP(C236,'Talente &amp; Stuff'!IA:JB,25,FALSE)</f>
        <v>0</v>
      </c>
      <c r="AB236" s="160">
        <f>VLOOKUP(C236,'Talente &amp; Stuff'!IA:JB,26,FALSE)</f>
        <v>0</v>
      </c>
      <c r="AC236" s="127">
        <f>VLOOKUP(C236,'Talente &amp; Stuff'!IA:JB,27,FALSE)</f>
        <v>0</v>
      </c>
      <c r="AD236" s="125">
        <f>VLOOKUP(C236,'Talente &amp; Stuff'!IA:JB,28,FALSE)</f>
        <v>0</v>
      </c>
      <c r="AE236" s="28"/>
    </row>
    <row r="237" spans="2:31" ht="15" hidden="1" customHeight="1" outlineLevel="2">
      <c r="B237" s="148">
        <v>25</v>
      </c>
      <c r="C237" s="177" t="str">
        <f>Attribute!C237</f>
        <v>---</v>
      </c>
      <c r="D237" s="86" t="str">
        <f>VLOOKUP(C237,'Talente &amp; Stuff'!IA:JB,2,FALSE)</f>
        <v>--/--/--</v>
      </c>
      <c r="E237" s="167" t="str">
        <f>VLOOKUP(C237,'Talente &amp; Stuff'!IA:JB,3,FALSE)</f>
        <v>-</v>
      </c>
      <c r="F237" s="120">
        <f>VLOOKUP(C237,'Talente &amp; Stuff'!IA:JB,4,FALSE)</f>
        <v>0</v>
      </c>
      <c r="G237" s="117">
        <f>VLOOKUP(C237,'Talente &amp; Stuff'!IA:JB,5,FALSE)</f>
        <v>0</v>
      </c>
      <c r="H237" s="117">
        <f>VLOOKUP(C237,'Talente &amp; Stuff'!IA:JB,6,FALSE)</f>
        <v>0</v>
      </c>
      <c r="I237" s="117">
        <f>VLOOKUP(C237,'Talente &amp; Stuff'!IA:JB,7,FALSE)</f>
        <v>0</v>
      </c>
      <c r="J237" s="117">
        <f>VLOOKUP(C237,'Talente &amp; Stuff'!IA:JB,8,FALSE)</f>
        <v>0</v>
      </c>
      <c r="K237" s="117">
        <f>VLOOKUP(C237,'Talente &amp; Stuff'!IA:JB,9,FALSE)</f>
        <v>0</v>
      </c>
      <c r="L237" s="117">
        <f>VLOOKUP(C237,'Talente &amp; Stuff'!IA:JB,10,FALSE)</f>
        <v>0</v>
      </c>
      <c r="M237" s="121">
        <f>VLOOKUP(C237,'Talente &amp; Stuff'!IA:JB,11,FALSE)</f>
        <v>0</v>
      </c>
      <c r="N237" s="47">
        <f>VLOOKUP(C237,'Talente &amp; Stuff'!IA:JB,12,FALSE)</f>
        <v>0</v>
      </c>
      <c r="O237" s="3">
        <f>VLOOKUP(C237,'Talente &amp; Stuff'!IA:JB,13,FALSE)</f>
        <v>0</v>
      </c>
      <c r="P237" s="174">
        <f>VLOOKUP(C237,'Talente &amp; Stuff'!IA:JB,14,FALSE)</f>
        <v>0</v>
      </c>
      <c r="Q237" s="114">
        <f>VLOOKUP(C237,'Talente &amp; Stuff'!IA:JB,15,FALSE)</f>
        <v>0</v>
      </c>
      <c r="R237" s="117">
        <f>VLOOKUP(C237,'Talente &amp; Stuff'!IA:JB,16,FALSE)</f>
        <v>0</v>
      </c>
      <c r="S237" s="119">
        <f>VLOOKUP(C237,'Talente &amp; Stuff'!IA:JB,17,FALSE)</f>
        <v>0</v>
      </c>
      <c r="T237" s="119">
        <f>VLOOKUP(C237,'Talente &amp; Stuff'!IA:JB,18,FALSE)</f>
        <v>0</v>
      </c>
      <c r="U237" s="89">
        <f>VLOOKUP(C237,'Talente &amp; Stuff'!IA:JB,19,FALSE)</f>
        <v>0</v>
      </c>
      <c r="V237" s="47">
        <f>VLOOKUP(C237,'Talente &amp; Stuff'!IA:JB,20,FALSE)</f>
        <v>0</v>
      </c>
      <c r="W237" s="127">
        <f>VLOOKUP(C237,'Talente &amp; Stuff'!IA:JB,21,FALSE)</f>
        <v>0</v>
      </c>
      <c r="X237" s="127">
        <f>VLOOKUP(C237,'Talente &amp; Stuff'!IA:JB,22,FALSE)</f>
        <v>0</v>
      </c>
      <c r="Y237" s="165">
        <f t="shared" si="20"/>
        <v>0</v>
      </c>
      <c r="Z237" s="44">
        <f t="shared" si="21"/>
        <v>0</v>
      </c>
      <c r="AA237" s="125">
        <f>VLOOKUP(C237,'Talente &amp; Stuff'!IA:JB,25,FALSE)</f>
        <v>0</v>
      </c>
      <c r="AB237" s="160">
        <f>VLOOKUP(C237,'Talente &amp; Stuff'!IA:JB,26,FALSE)</f>
        <v>0</v>
      </c>
      <c r="AC237" s="127">
        <f>VLOOKUP(C237,'Talente &amp; Stuff'!IA:JB,27,FALSE)</f>
        <v>0</v>
      </c>
      <c r="AD237" s="125">
        <f>VLOOKUP(C237,'Talente &amp; Stuff'!IA:JB,28,FALSE)</f>
        <v>0</v>
      </c>
      <c r="AE237" s="28"/>
    </row>
    <row r="238" spans="2:31" ht="15" hidden="1" customHeight="1" outlineLevel="2">
      <c r="B238" s="148">
        <v>26</v>
      </c>
      <c r="C238" s="177" t="str">
        <f>Attribute!C238</f>
        <v>---</v>
      </c>
      <c r="D238" s="86" t="str">
        <f>VLOOKUP(C238,'Talente &amp; Stuff'!IA:JB,2,FALSE)</f>
        <v>--/--/--</v>
      </c>
      <c r="E238" s="167" t="str">
        <f>VLOOKUP(C238,'Talente &amp; Stuff'!IA:JB,3,FALSE)</f>
        <v>-</v>
      </c>
      <c r="F238" s="120">
        <f>VLOOKUP(C238,'Talente &amp; Stuff'!IA:JB,4,FALSE)</f>
        <v>0</v>
      </c>
      <c r="G238" s="117">
        <f>VLOOKUP(C238,'Talente &amp; Stuff'!IA:JB,5,FALSE)</f>
        <v>0</v>
      </c>
      <c r="H238" s="117">
        <f>VLOOKUP(C238,'Talente &amp; Stuff'!IA:JB,6,FALSE)</f>
        <v>0</v>
      </c>
      <c r="I238" s="117">
        <f>VLOOKUP(C238,'Talente &amp; Stuff'!IA:JB,7,FALSE)</f>
        <v>0</v>
      </c>
      <c r="J238" s="117">
        <f>VLOOKUP(C238,'Talente &amp; Stuff'!IA:JB,8,FALSE)</f>
        <v>0</v>
      </c>
      <c r="K238" s="117">
        <f>VLOOKUP(C238,'Talente &amp; Stuff'!IA:JB,9,FALSE)</f>
        <v>0</v>
      </c>
      <c r="L238" s="117">
        <f>VLOOKUP(C238,'Talente &amp; Stuff'!IA:JB,10,FALSE)</f>
        <v>0</v>
      </c>
      <c r="M238" s="121">
        <f>VLOOKUP(C238,'Talente &amp; Stuff'!IA:JB,11,FALSE)</f>
        <v>0</v>
      </c>
      <c r="N238" s="47">
        <f>VLOOKUP(C238,'Talente &amp; Stuff'!IA:JB,12,FALSE)</f>
        <v>0</v>
      </c>
      <c r="O238" s="3">
        <f>VLOOKUP(C238,'Talente &amp; Stuff'!IA:JB,13,FALSE)</f>
        <v>0</v>
      </c>
      <c r="P238" s="174">
        <f>VLOOKUP(C238,'Talente &amp; Stuff'!IA:JB,14,FALSE)</f>
        <v>0</v>
      </c>
      <c r="Q238" s="114">
        <f>VLOOKUP(C238,'Talente &amp; Stuff'!IA:JB,15,FALSE)</f>
        <v>0</v>
      </c>
      <c r="R238" s="117">
        <f>VLOOKUP(C238,'Talente &amp; Stuff'!IA:JB,16,FALSE)</f>
        <v>0</v>
      </c>
      <c r="S238" s="119">
        <f>VLOOKUP(C238,'Talente &amp; Stuff'!IA:JB,17,FALSE)</f>
        <v>0</v>
      </c>
      <c r="T238" s="119">
        <f>VLOOKUP(C238,'Talente &amp; Stuff'!IA:JB,18,FALSE)</f>
        <v>0</v>
      </c>
      <c r="U238" s="89">
        <f>VLOOKUP(C238,'Talente &amp; Stuff'!IA:JB,19,FALSE)</f>
        <v>0</v>
      </c>
      <c r="V238" s="47">
        <f>VLOOKUP(C238,'Talente &amp; Stuff'!IA:JB,20,FALSE)</f>
        <v>0</v>
      </c>
      <c r="W238" s="127">
        <f>VLOOKUP(C238,'Talente &amp; Stuff'!IA:JB,21,FALSE)</f>
        <v>0</v>
      </c>
      <c r="X238" s="127">
        <f>VLOOKUP(C238,'Talente &amp; Stuff'!IA:JB,22,FALSE)</f>
        <v>0</v>
      </c>
      <c r="Y238" s="165">
        <f t="shared" si="20"/>
        <v>0</v>
      </c>
      <c r="Z238" s="44">
        <f t="shared" si="21"/>
        <v>0</v>
      </c>
      <c r="AA238" s="125">
        <f>VLOOKUP(C238,'Talente &amp; Stuff'!IA:JB,25,FALSE)</f>
        <v>0</v>
      </c>
      <c r="AB238" s="160">
        <f>VLOOKUP(C238,'Talente &amp; Stuff'!IA:JB,26,FALSE)</f>
        <v>0</v>
      </c>
      <c r="AC238" s="127">
        <f>VLOOKUP(C238,'Talente &amp; Stuff'!IA:JB,27,FALSE)</f>
        <v>0</v>
      </c>
      <c r="AD238" s="125">
        <f>VLOOKUP(C238,'Talente &amp; Stuff'!IA:JB,28,FALSE)</f>
        <v>0</v>
      </c>
      <c r="AE238" s="28"/>
    </row>
    <row r="239" spans="2:31" ht="15" hidden="1" customHeight="1" outlineLevel="2">
      <c r="B239" s="148">
        <v>27</v>
      </c>
      <c r="C239" s="177" t="str">
        <f>Attribute!C239</f>
        <v>---</v>
      </c>
      <c r="D239" s="86" t="str">
        <f>VLOOKUP(C239,'Talente &amp; Stuff'!IA:JB,2,FALSE)</f>
        <v>--/--/--</v>
      </c>
      <c r="E239" s="167" t="str">
        <f>VLOOKUP(C239,'Talente &amp; Stuff'!IA:JB,3,FALSE)</f>
        <v>-</v>
      </c>
      <c r="F239" s="120">
        <f>VLOOKUP(C239,'Talente &amp; Stuff'!IA:JB,4,FALSE)</f>
        <v>0</v>
      </c>
      <c r="G239" s="117">
        <f>VLOOKUP(C239,'Talente &amp; Stuff'!IA:JB,5,FALSE)</f>
        <v>0</v>
      </c>
      <c r="H239" s="117">
        <f>VLOOKUP(C239,'Talente &amp; Stuff'!IA:JB,6,FALSE)</f>
        <v>0</v>
      </c>
      <c r="I239" s="117">
        <f>VLOOKUP(C239,'Talente &amp; Stuff'!IA:JB,7,FALSE)</f>
        <v>0</v>
      </c>
      <c r="J239" s="117">
        <f>VLOOKUP(C239,'Talente &amp; Stuff'!IA:JB,8,FALSE)</f>
        <v>0</v>
      </c>
      <c r="K239" s="117">
        <f>VLOOKUP(C239,'Talente &amp; Stuff'!IA:JB,9,FALSE)</f>
        <v>0</v>
      </c>
      <c r="L239" s="117">
        <f>VLOOKUP(C239,'Talente &amp; Stuff'!IA:JB,10,FALSE)</f>
        <v>0</v>
      </c>
      <c r="M239" s="121">
        <f>VLOOKUP(C239,'Talente &amp; Stuff'!IA:JB,11,FALSE)</f>
        <v>0</v>
      </c>
      <c r="N239" s="47">
        <f>VLOOKUP(C239,'Talente &amp; Stuff'!IA:JB,12,FALSE)</f>
        <v>0</v>
      </c>
      <c r="O239" s="3">
        <f>VLOOKUP(C239,'Talente &amp; Stuff'!IA:JB,13,FALSE)</f>
        <v>0</v>
      </c>
      <c r="P239" s="174">
        <f>VLOOKUP(C239,'Talente &amp; Stuff'!IA:JB,14,FALSE)</f>
        <v>0</v>
      </c>
      <c r="Q239" s="114">
        <f>VLOOKUP(C239,'Talente &amp; Stuff'!IA:JB,15,FALSE)</f>
        <v>0</v>
      </c>
      <c r="R239" s="117">
        <f>VLOOKUP(C239,'Talente &amp; Stuff'!IA:JB,16,FALSE)</f>
        <v>0</v>
      </c>
      <c r="S239" s="119">
        <f>VLOOKUP(C239,'Talente &amp; Stuff'!IA:JB,17,FALSE)</f>
        <v>0</v>
      </c>
      <c r="T239" s="119">
        <f>VLOOKUP(C239,'Talente &amp; Stuff'!IA:JB,18,FALSE)</f>
        <v>0</v>
      </c>
      <c r="U239" s="89">
        <f>VLOOKUP(C239,'Talente &amp; Stuff'!IA:JB,19,FALSE)</f>
        <v>0</v>
      </c>
      <c r="V239" s="47">
        <f>VLOOKUP(C239,'Talente &amp; Stuff'!IA:JB,20,FALSE)</f>
        <v>0</v>
      </c>
      <c r="W239" s="127">
        <f>VLOOKUP(C239,'Talente &amp; Stuff'!IA:JB,21,FALSE)</f>
        <v>0</v>
      </c>
      <c r="X239" s="127">
        <f>VLOOKUP(C239,'Talente &amp; Stuff'!IA:JB,22,FALSE)</f>
        <v>0</v>
      </c>
      <c r="Y239" s="165">
        <f t="shared" si="20"/>
        <v>0</v>
      </c>
      <c r="Z239" s="44">
        <f t="shared" si="21"/>
        <v>0</v>
      </c>
      <c r="AA239" s="125">
        <f>VLOOKUP(C239,'Talente &amp; Stuff'!IA:JB,25,FALSE)</f>
        <v>0</v>
      </c>
      <c r="AB239" s="160">
        <f>VLOOKUP(C239,'Talente &amp; Stuff'!IA:JB,26,FALSE)</f>
        <v>0</v>
      </c>
      <c r="AC239" s="127">
        <f>VLOOKUP(C239,'Talente &amp; Stuff'!IA:JB,27,FALSE)</f>
        <v>0</v>
      </c>
      <c r="AD239" s="125">
        <f>VLOOKUP(C239,'Talente &amp; Stuff'!IA:JB,28,FALSE)</f>
        <v>0</v>
      </c>
      <c r="AE239" s="28"/>
    </row>
    <row r="240" spans="2:31" ht="15" hidden="1" customHeight="1" outlineLevel="2">
      <c r="B240" s="148">
        <v>28</v>
      </c>
      <c r="C240" s="177" t="str">
        <f>Attribute!C240</f>
        <v>---</v>
      </c>
      <c r="D240" s="86" t="str">
        <f>VLOOKUP(C240,'Talente &amp; Stuff'!IA:JB,2,FALSE)</f>
        <v>--/--/--</v>
      </c>
      <c r="E240" s="167" t="str">
        <f>VLOOKUP(C240,'Talente &amp; Stuff'!IA:JB,3,FALSE)</f>
        <v>-</v>
      </c>
      <c r="F240" s="120">
        <f>VLOOKUP(C240,'Talente &amp; Stuff'!IA:JB,4,FALSE)</f>
        <v>0</v>
      </c>
      <c r="G240" s="117">
        <f>VLOOKUP(C240,'Talente &amp; Stuff'!IA:JB,5,FALSE)</f>
        <v>0</v>
      </c>
      <c r="H240" s="117">
        <f>VLOOKUP(C240,'Talente &amp; Stuff'!IA:JB,6,FALSE)</f>
        <v>0</v>
      </c>
      <c r="I240" s="117">
        <f>VLOOKUP(C240,'Talente &amp; Stuff'!IA:JB,7,FALSE)</f>
        <v>0</v>
      </c>
      <c r="J240" s="117">
        <f>VLOOKUP(C240,'Talente &amp; Stuff'!IA:JB,8,FALSE)</f>
        <v>0</v>
      </c>
      <c r="K240" s="117">
        <f>VLOOKUP(C240,'Talente &amp; Stuff'!IA:JB,9,FALSE)</f>
        <v>0</v>
      </c>
      <c r="L240" s="117">
        <f>VLOOKUP(C240,'Talente &amp; Stuff'!IA:JB,10,FALSE)</f>
        <v>0</v>
      </c>
      <c r="M240" s="121">
        <f>VLOOKUP(C240,'Talente &amp; Stuff'!IA:JB,11,FALSE)</f>
        <v>0</v>
      </c>
      <c r="N240" s="47">
        <f>VLOOKUP(C240,'Talente &amp; Stuff'!IA:JB,12,FALSE)</f>
        <v>0</v>
      </c>
      <c r="O240" s="3">
        <f>VLOOKUP(C240,'Talente &amp; Stuff'!IA:JB,13,FALSE)</f>
        <v>0</v>
      </c>
      <c r="P240" s="174">
        <f>VLOOKUP(C240,'Talente &amp; Stuff'!IA:JB,14,FALSE)</f>
        <v>0</v>
      </c>
      <c r="Q240" s="114">
        <f>VLOOKUP(C240,'Talente &amp; Stuff'!IA:JB,15,FALSE)</f>
        <v>0</v>
      </c>
      <c r="R240" s="117">
        <f>VLOOKUP(C240,'Talente &amp; Stuff'!IA:JB,16,FALSE)</f>
        <v>0</v>
      </c>
      <c r="S240" s="119">
        <f>VLOOKUP(C240,'Talente &amp; Stuff'!IA:JB,17,FALSE)</f>
        <v>0</v>
      </c>
      <c r="T240" s="119">
        <f>VLOOKUP(C240,'Talente &amp; Stuff'!IA:JB,18,FALSE)</f>
        <v>0</v>
      </c>
      <c r="U240" s="89">
        <f>VLOOKUP(C240,'Talente &amp; Stuff'!IA:JB,19,FALSE)</f>
        <v>0</v>
      </c>
      <c r="V240" s="47">
        <f>VLOOKUP(C240,'Talente &amp; Stuff'!IA:JB,20,FALSE)</f>
        <v>0</v>
      </c>
      <c r="W240" s="127">
        <f>VLOOKUP(C240,'Talente &amp; Stuff'!IA:JB,21,FALSE)</f>
        <v>0</v>
      </c>
      <c r="X240" s="127">
        <f>VLOOKUP(C240,'Talente &amp; Stuff'!IA:JB,22,FALSE)</f>
        <v>0</v>
      </c>
      <c r="Y240" s="165">
        <f t="shared" si="20"/>
        <v>0</v>
      </c>
      <c r="Z240" s="44">
        <f t="shared" si="21"/>
        <v>0</v>
      </c>
      <c r="AA240" s="125">
        <f>VLOOKUP(C240,'Talente &amp; Stuff'!IA:JB,25,FALSE)</f>
        <v>0</v>
      </c>
      <c r="AB240" s="160">
        <f>VLOOKUP(C240,'Talente &amp; Stuff'!IA:JB,26,FALSE)</f>
        <v>0</v>
      </c>
      <c r="AC240" s="127">
        <f>VLOOKUP(C240,'Talente &amp; Stuff'!IA:JB,27,FALSE)</f>
        <v>0</v>
      </c>
      <c r="AD240" s="125">
        <f>VLOOKUP(C240,'Talente &amp; Stuff'!IA:JB,28,FALSE)</f>
        <v>0</v>
      </c>
      <c r="AE240" s="28"/>
    </row>
    <row r="241" spans="2:31" ht="15" hidden="1" customHeight="1" outlineLevel="2">
      <c r="B241" s="148">
        <v>29</v>
      </c>
      <c r="C241" s="177" t="str">
        <f>Attribute!C241</f>
        <v>---</v>
      </c>
      <c r="D241" s="125" t="str">
        <f>VLOOKUP(C241,'Talente &amp; Stuff'!IA:JB,2,FALSE)</f>
        <v>--/--/--</v>
      </c>
      <c r="E241" s="127" t="str">
        <f>VLOOKUP(C241,'Talente &amp; Stuff'!IA:JB,3,FALSE)</f>
        <v>-</v>
      </c>
      <c r="F241" s="114">
        <f>VLOOKUP(C241,'Talente &amp; Stuff'!IA:JB,4,FALSE)</f>
        <v>0</v>
      </c>
      <c r="G241" s="113">
        <f>VLOOKUP(C241,'Talente &amp; Stuff'!IA:JB,5,FALSE)</f>
        <v>0</v>
      </c>
      <c r="H241" s="113">
        <f>VLOOKUP(C241,'Talente &amp; Stuff'!IA:JB,6,FALSE)</f>
        <v>0</v>
      </c>
      <c r="I241" s="113">
        <f>VLOOKUP(C241,'Talente &amp; Stuff'!IA:JB,7,FALSE)</f>
        <v>0</v>
      </c>
      <c r="J241" s="113">
        <f>VLOOKUP(C241,'Talente &amp; Stuff'!IA:JB,8,FALSE)</f>
        <v>0</v>
      </c>
      <c r="K241" s="113">
        <f>VLOOKUP(C241,'Talente &amp; Stuff'!IA:JB,9,FALSE)</f>
        <v>0</v>
      </c>
      <c r="L241" s="113">
        <f>VLOOKUP(C241,'Talente &amp; Stuff'!IA:JB,10,FALSE)</f>
        <v>0</v>
      </c>
      <c r="M241" s="119">
        <f>VLOOKUP(C241,'Talente &amp; Stuff'!IA:JB,11,FALSE)</f>
        <v>0</v>
      </c>
      <c r="N241" s="47">
        <f>VLOOKUP(C241,'Talente &amp; Stuff'!IA:JB,12,FALSE)</f>
        <v>0</v>
      </c>
      <c r="O241" s="47">
        <f>VLOOKUP(C241,'Talente &amp; Stuff'!IA:JB,13,FALSE)</f>
        <v>0</v>
      </c>
      <c r="P241" s="119">
        <f>VLOOKUP(C241,'Talente &amp; Stuff'!IA:JB,14,FALSE)</f>
        <v>0</v>
      </c>
      <c r="Q241" s="114">
        <f>VLOOKUP(C241,'Talente &amp; Stuff'!IA:JB,15,FALSE)</f>
        <v>0</v>
      </c>
      <c r="R241" s="113">
        <f>VLOOKUP(C241,'Talente &amp; Stuff'!IA:JB,16,FALSE)</f>
        <v>0</v>
      </c>
      <c r="S241" s="119">
        <f>VLOOKUP(C241,'Talente &amp; Stuff'!IA:JB,17,FALSE)</f>
        <v>0</v>
      </c>
      <c r="T241" s="119">
        <f>VLOOKUP(C241,'Talente &amp; Stuff'!IA:JB,18,FALSE)</f>
        <v>0</v>
      </c>
      <c r="U241" s="89">
        <f>VLOOKUP(C241,'Talente &amp; Stuff'!IA:JB,19,FALSE)</f>
        <v>0</v>
      </c>
      <c r="V241" s="47">
        <f>VLOOKUP(C241,'Talente &amp; Stuff'!IA:JB,20,FALSE)</f>
        <v>0</v>
      </c>
      <c r="W241" s="127">
        <f>VLOOKUP(C241,'Talente &amp; Stuff'!IA:JB,21,FALSE)</f>
        <v>0</v>
      </c>
      <c r="X241" s="127">
        <f>VLOOKUP(C241,'Talente &amp; Stuff'!IA:JB,22,FALSE)</f>
        <v>0</v>
      </c>
      <c r="Y241" s="165">
        <f t="shared" si="20"/>
        <v>0</v>
      </c>
      <c r="Z241" s="44">
        <f t="shared" si="21"/>
        <v>0</v>
      </c>
      <c r="AA241" s="125">
        <f>VLOOKUP(C241,'Talente &amp; Stuff'!IA:JB,25,FALSE)</f>
        <v>0</v>
      </c>
      <c r="AB241" s="160">
        <f>VLOOKUP(C241,'Talente &amp; Stuff'!IA:JB,26,FALSE)</f>
        <v>0</v>
      </c>
      <c r="AC241" s="127">
        <f>VLOOKUP(C241,'Talente &amp; Stuff'!IA:JB,27,FALSE)</f>
        <v>0</v>
      </c>
      <c r="AD241" s="125">
        <f>VLOOKUP(C241,'Talente &amp; Stuff'!IA:JB,28,FALSE)</f>
        <v>0</v>
      </c>
      <c r="AE241" s="28"/>
    </row>
    <row r="242" spans="2:31" ht="15" hidden="1" customHeight="1" outlineLevel="2">
      <c r="B242" s="148">
        <v>30</v>
      </c>
      <c r="C242" s="177" t="str">
        <f>Attribute!C242</f>
        <v>---</v>
      </c>
      <c r="D242" s="125" t="str">
        <f>VLOOKUP(C242,'Talente &amp; Stuff'!IA:JB,2,FALSE)</f>
        <v>--/--/--</v>
      </c>
      <c r="E242" s="127" t="str">
        <f>VLOOKUP(C242,'Talente &amp; Stuff'!IA:JB,3,FALSE)</f>
        <v>-</v>
      </c>
      <c r="F242" s="114">
        <f>VLOOKUP(C242,'Talente &amp; Stuff'!IA:JB,4,FALSE)</f>
        <v>0</v>
      </c>
      <c r="G242" s="113">
        <f>VLOOKUP(C242,'Talente &amp; Stuff'!IA:JB,5,FALSE)</f>
        <v>0</v>
      </c>
      <c r="H242" s="113">
        <f>VLOOKUP(C242,'Talente &amp; Stuff'!IA:JB,6,FALSE)</f>
        <v>0</v>
      </c>
      <c r="I242" s="113">
        <f>VLOOKUP(C242,'Talente &amp; Stuff'!IA:JB,7,FALSE)</f>
        <v>0</v>
      </c>
      <c r="J242" s="113">
        <f>VLOOKUP(C242,'Talente &amp; Stuff'!IA:JB,8,FALSE)</f>
        <v>0</v>
      </c>
      <c r="K242" s="113">
        <f>VLOOKUP(C242,'Talente &amp; Stuff'!IA:JB,9,FALSE)</f>
        <v>0</v>
      </c>
      <c r="L242" s="113">
        <f>VLOOKUP(C242,'Talente &amp; Stuff'!IA:JB,10,FALSE)</f>
        <v>0</v>
      </c>
      <c r="M242" s="119">
        <f>VLOOKUP(C242,'Talente &amp; Stuff'!IA:JB,11,FALSE)</f>
        <v>0</v>
      </c>
      <c r="N242" s="47">
        <f>VLOOKUP(C242,'Talente &amp; Stuff'!IA:JB,12,FALSE)</f>
        <v>0</v>
      </c>
      <c r="O242" s="47">
        <f>VLOOKUP(C242,'Talente &amp; Stuff'!IA:JB,13,FALSE)</f>
        <v>0</v>
      </c>
      <c r="P242" s="119">
        <f>VLOOKUP(C242,'Talente &amp; Stuff'!IA:JB,14,FALSE)</f>
        <v>0</v>
      </c>
      <c r="Q242" s="114">
        <f>VLOOKUP(C242,'Talente &amp; Stuff'!IA:JB,15,FALSE)</f>
        <v>0</v>
      </c>
      <c r="R242" s="113">
        <f>VLOOKUP(C242,'Talente &amp; Stuff'!IA:JB,16,FALSE)</f>
        <v>0</v>
      </c>
      <c r="S242" s="119">
        <f>VLOOKUP(C242,'Talente &amp; Stuff'!IA:JB,17,FALSE)</f>
        <v>0</v>
      </c>
      <c r="T242" s="119">
        <f>VLOOKUP(C242,'Talente &amp; Stuff'!IA:JB,18,FALSE)</f>
        <v>0</v>
      </c>
      <c r="U242" s="89">
        <f>VLOOKUP(C242,'Talente &amp; Stuff'!IA:JB,19,FALSE)</f>
        <v>0</v>
      </c>
      <c r="V242" s="47">
        <f>VLOOKUP(C242,'Talente &amp; Stuff'!IA:JB,20,FALSE)</f>
        <v>0</v>
      </c>
      <c r="W242" s="127">
        <f>VLOOKUP(C242,'Talente &amp; Stuff'!IA:JB,21,FALSE)</f>
        <v>0</v>
      </c>
      <c r="X242" s="127">
        <f>VLOOKUP(C242,'Talente &amp; Stuff'!IA:JB,22,FALSE)</f>
        <v>0</v>
      </c>
      <c r="Y242" s="165">
        <f t="shared" si="20"/>
        <v>0</v>
      </c>
      <c r="Z242" s="44">
        <f t="shared" si="21"/>
        <v>0</v>
      </c>
      <c r="AA242" s="125">
        <f>VLOOKUP(C242,'Talente &amp; Stuff'!IA:JB,25,FALSE)</f>
        <v>0</v>
      </c>
      <c r="AB242" s="160">
        <f>VLOOKUP(C242,'Talente &amp; Stuff'!IA:JB,26,FALSE)</f>
        <v>0</v>
      </c>
      <c r="AC242" s="127">
        <f>VLOOKUP(C242,'Talente &amp; Stuff'!IA:JB,27,FALSE)</f>
        <v>0</v>
      </c>
      <c r="AD242" s="125">
        <f>VLOOKUP(C242,'Talente &amp; Stuff'!IA:JB,28,FALSE)</f>
        <v>0</v>
      </c>
      <c r="AE242" s="28"/>
    </row>
    <row r="243" spans="2:31" ht="15" hidden="1" customHeight="1" outlineLevel="2">
      <c r="B243" s="148">
        <v>31</v>
      </c>
      <c r="C243" s="177" t="str">
        <f>Attribute!C243</f>
        <v>---</v>
      </c>
      <c r="D243" s="125" t="str">
        <f>VLOOKUP(C243,'Talente &amp; Stuff'!IA:JB,2,FALSE)</f>
        <v>--/--/--</v>
      </c>
      <c r="E243" s="127" t="str">
        <f>VLOOKUP(C243,'Talente &amp; Stuff'!IA:JB,3,FALSE)</f>
        <v>-</v>
      </c>
      <c r="F243" s="114">
        <f>VLOOKUP(C243,'Talente &amp; Stuff'!IA:JB,4,FALSE)</f>
        <v>0</v>
      </c>
      <c r="G243" s="113">
        <f>VLOOKUP(C243,'Talente &amp; Stuff'!IA:JB,5,FALSE)</f>
        <v>0</v>
      </c>
      <c r="H243" s="113">
        <f>VLOOKUP(C243,'Talente &amp; Stuff'!IA:JB,6,FALSE)</f>
        <v>0</v>
      </c>
      <c r="I243" s="113">
        <f>VLOOKUP(C243,'Talente &amp; Stuff'!IA:JB,7,FALSE)</f>
        <v>0</v>
      </c>
      <c r="J243" s="113">
        <f>VLOOKUP(C243,'Talente &amp; Stuff'!IA:JB,8,FALSE)</f>
        <v>0</v>
      </c>
      <c r="K243" s="113">
        <f>VLOOKUP(C243,'Talente &amp; Stuff'!IA:JB,9,FALSE)</f>
        <v>0</v>
      </c>
      <c r="L243" s="113">
        <f>VLOOKUP(C243,'Talente &amp; Stuff'!IA:JB,10,FALSE)</f>
        <v>0</v>
      </c>
      <c r="M243" s="119">
        <f>VLOOKUP(C243,'Talente &amp; Stuff'!IA:JB,11,FALSE)</f>
        <v>0</v>
      </c>
      <c r="N243" s="47">
        <f>VLOOKUP(C243,'Talente &amp; Stuff'!IA:JB,12,FALSE)</f>
        <v>0</v>
      </c>
      <c r="O243" s="47">
        <f>VLOOKUP(C243,'Talente &amp; Stuff'!IA:JB,13,FALSE)</f>
        <v>0</v>
      </c>
      <c r="P243" s="119">
        <f>VLOOKUP(C243,'Talente &amp; Stuff'!IA:JB,14,FALSE)</f>
        <v>0</v>
      </c>
      <c r="Q243" s="114">
        <f>VLOOKUP(C243,'Talente &amp; Stuff'!IA:JB,15,FALSE)</f>
        <v>0</v>
      </c>
      <c r="R243" s="113">
        <f>VLOOKUP(C243,'Talente &amp; Stuff'!IA:JB,16,FALSE)</f>
        <v>0</v>
      </c>
      <c r="S243" s="119">
        <f>VLOOKUP(C243,'Talente &amp; Stuff'!IA:JB,17,FALSE)</f>
        <v>0</v>
      </c>
      <c r="T243" s="119">
        <f>VLOOKUP(C243,'Talente &amp; Stuff'!IA:JB,18,FALSE)</f>
        <v>0</v>
      </c>
      <c r="U243" s="89">
        <f>VLOOKUP(C243,'Talente &amp; Stuff'!IA:JB,19,FALSE)</f>
        <v>0</v>
      </c>
      <c r="V243" s="47">
        <f>VLOOKUP(C243,'Talente &amp; Stuff'!IA:JB,20,FALSE)</f>
        <v>0</v>
      </c>
      <c r="W243" s="127">
        <f>VLOOKUP(C243,'Talente &amp; Stuff'!IA:JB,21,FALSE)</f>
        <v>0</v>
      </c>
      <c r="X243" s="127">
        <f>VLOOKUP(C243,'Talente &amp; Stuff'!IA:JB,22,FALSE)</f>
        <v>0</v>
      </c>
      <c r="Y243" s="165">
        <f t="shared" si="20"/>
        <v>0</v>
      </c>
      <c r="Z243" s="44">
        <f t="shared" si="21"/>
        <v>0</v>
      </c>
      <c r="AA243" s="125">
        <f>VLOOKUP(C243,'Talente &amp; Stuff'!IA:JB,25,FALSE)</f>
        <v>0</v>
      </c>
      <c r="AB243" s="160">
        <f>VLOOKUP(C243,'Talente &amp; Stuff'!IA:JB,26,FALSE)</f>
        <v>0</v>
      </c>
      <c r="AC243" s="127">
        <f>VLOOKUP(C243,'Talente &amp; Stuff'!IA:JB,27,FALSE)</f>
        <v>0</v>
      </c>
      <c r="AD243" s="125">
        <f>VLOOKUP(C243,'Talente &amp; Stuff'!IA:JB,28,FALSE)</f>
        <v>0</v>
      </c>
      <c r="AE243" s="28"/>
    </row>
    <row r="244" spans="2:31" ht="15" hidden="1" customHeight="1" outlineLevel="2">
      <c r="B244" s="148">
        <v>32</v>
      </c>
      <c r="C244" s="177" t="str">
        <f>Attribute!C244</f>
        <v>---</v>
      </c>
      <c r="D244" s="125" t="str">
        <f>VLOOKUP(C244,'Talente &amp; Stuff'!IA:JB,2,FALSE)</f>
        <v>--/--/--</v>
      </c>
      <c r="E244" s="127" t="str">
        <f>VLOOKUP(C244,'Talente &amp; Stuff'!IA:JB,3,FALSE)</f>
        <v>-</v>
      </c>
      <c r="F244" s="114">
        <f>VLOOKUP(C244,'Talente &amp; Stuff'!IA:JB,4,FALSE)</f>
        <v>0</v>
      </c>
      <c r="G244" s="113">
        <f>VLOOKUP(C244,'Talente &amp; Stuff'!IA:JB,5,FALSE)</f>
        <v>0</v>
      </c>
      <c r="H244" s="113">
        <f>VLOOKUP(C244,'Talente &amp; Stuff'!IA:JB,6,FALSE)</f>
        <v>0</v>
      </c>
      <c r="I244" s="113">
        <f>VLOOKUP(C244,'Talente &amp; Stuff'!IA:JB,7,FALSE)</f>
        <v>0</v>
      </c>
      <c r="J244" s="113">
        <f>VLOOKUP(C244,'Talente &amp; Stuff'!IA:JB,8,FALSE)</f>
        <v>0</v>
      </c>
      <c r="K244" s="113">
        <f>VLOOKUP(C244,'Talente &amp; Stuff'!IA:JB,9,FALSE)</f>
        <v>0</v>
      </c>
      <c r="L244" s="113">
        <f>VLOOKUP(C244,'Talente &amp; Stuff'!IA:JB,10,FALSE)</f>
        <v>0</v>
      </c>
      <c r="M244" s="119">
        <f>VLOOKUP(C244,'Talente &amp; Stuff'!IA:JB,11,FALSE)</f>
        <v>0</v>
      </c>
      <c r="N244" s="47">
        <f>VLOOKUP(C244,'Talente &amp; Stuff'!IA:JB,12,FALSE)</f>
        <v>0</v>
      </c>
      <c r="O244" s="47">
        <f>VLOOKUP(C244,'Talente &amp; Stuff'!IA:JB,13,FALSE)</f>
        <v>0</v>
      </c>
      <c r="P244" s="119">
        <f>VLOOKUP(C244,'Talente &amp; Stuff'!IA:JB,14,FALSE)</f>
        <v>0</v>
      </c>
      <c r="Q244" s="114">
        <f>VLOOKUP(C244,'Talente &amp; Stuff'!IA:JB,15,FALSE)</f>
        <v>0</v>
      </c>
      <c r="R244" s="113">
        <f>VLOOKUP(C244,'Talente &amp; Stuff'!IA:JB,16,FALSE)</f>
        <v>0</v>
      </c>
      <c r="S244" s="119">
        <f>VLOOKUP(C244,'Talente &amp; Stuff'!IA:JB,17,FALSE)</f>
        <v>0</v>
      </c>
      <c r="T244" s="119">
        <f>VLOOKUP(C244,'Talente &amp; Stuff'!IA:JB,18,FALSE)</f>
        <v>0</v>
      </c>
      <c r="U244" s="89">
        <f>VLOOKUP(C244,'Talente &amp; Stuff'!IA:JB,19,FALSE)</f>
        <v>0</v>
      </c>
      <c r="V244" s="47">
        <f>VLOOKUP(C244,'Talente &amp; Stuff'!IA:JB,20,FALSE)</f>
        <v>0</v>
      </c>
      <c r="W244" s="127">
        <f>VLOOKUP(C244,'Talente &amp; Stuff'!IA:JB,21,FALSE)</f>
        <v>0</v>
      </c>
      <c r="X244" s="127">
        <f>VLOOKUP(C244,'Talente &amp; Stuff'!IA:JB,22,FALSE)</f>
        <v>0</v>
      </c>
      <c r="Y244" s="165">
        <f t="shared" si="20"/>
        <v>0</v>
      </c>
      <c r="Z244" s="44">
        <f t="shared" si="21"/>
        <v>0</v>
      </c>
      <c r="AA244" s="125">
        <f>VLOOKUP(C244,'Talente &amp; Stuff'!IA:JB,25,FALSE)</f>
        <v>0</v>
      </c>
      <c r="AB244" s="160">
        <f>VLOOKUP(C244,'Talente &amp; Stuff'!IA:JB,26,FALSE)</f>
        <v>0</v>
      </c>
      <c r="AC244" s="127">
        <f>VLOOKUP(C244,'Talente &amp; Stuff'!IA:JB,27,FALSE)</f>
        <v>0</v>
      </c>
      <c r="AD244" s="125">
        <f>VLOOKUP(C244,'Talente &amp; Stuff'!IA:JB,28,FALSE)</f>
        <v>0</v>
      </c>
      <c r="AE244" s="28"/>
    </row>
    <row r="245" spans="2:31" ht="15" hidden="1" customHeight="1" outlineLevel="2">
      <c r="B245" s="148">
        <v>33</v>
      </c>
      <c r="C245" s="177" t="str">
        <f>Attribute!C245</f>
        <v>---</v>
      </c>
      <c r="D245" s="125" t="str">
        <f>VLOOKUP(C245,'Talente &amp; Stuff'!IA:JB,2,FALSE)</f>
        <v>--/--/--</v>
      </c>
      <c r="E245" s="127" t="str">
        <f>VLOOKUP(C245,'Talente &amp; Stuff'!IA:JB,3,FALSE)</f>
        <v>-</v>
      </c>
      <c r="F245" s="114">
        <f>VLOOKUP(C245,'Talente &amp; Stuff'!IA:JB,4,FALSE)</f>
        <v>0</v>
      </c>
      <c r="G245" s="113">
        <f>VLOOKUP(C245,'Talente &amp; Stuff'!IA:JB,5,FALSE)</f>
        <v>0</v>
      </c>
      <c r="H245" s="113">
        <f>VLOOKUP(C245,'Talente &amp; Stuff'!IA:JB,6,FALSE)</f>
        <v>0</v>
      </c>
      <c r="I245" s="113">
        <f>VLOOKUP(C245,'Talente &amp; Stuff'!IA:JB,7,FALSE)</f>
        <v>0</v>
      </c>
      <c r="J245" s="113">
        <f>VLOOKUP(C245,'Talente &amp; Stuff'!IA:JB,8,FALSE)</f>
        <v>0</v>
      </c>
      <c r="K245" s="113">
        <f>VLOOKUP(C245,'Talente &amp; Stuff'!IA:JB,9,FALSE)</f>
        <v>0</v>
      </c>
      <c r="L245" s="113">
        <f>VLOOKUP(C245,'Talente &amp; Stuff'!IA:JB,10,FALSE)</f>
        <v>0</v>
      </c>
      <c r="M245" s="119">
        <f>VLOOKUP(C245,'Talente &amp; Stuff'!IA:JB,11,FALSE)</f>
        <v>0</v>
      </c>
      <c r="N245" s="47">
        <f>VLOOKUP(C245,'Talente &amp; Stuff'!IA:JB,12,FALSE)</f>
        <v>0</v>
      </c>
      <c r="O245" s="47">
        <f>VLOOKUP(C245,'Talente &amp; Stuff'!IA:JB,13,FALSE)</f>
        <v>0</v>
      </c>
      <c r="P245" s="119">
        <f>VLOOKUP(C245,'Talente &amp; Stuff'!IA:JB,14,FALSE)</f>
        <v>0</v>
      </c>
      <c r="Q245" s="114">
        <f>VLOOKUP(C245,'Talente &amp; Stuff'!IA:JB,15,FALSE)</f>
        <v>0</v>
      </c>
      <c r="R245" s="113">
        <f>VLOOKUP(C245,'Talente &amp; Stuff'!IA:JB,16,FALSE)</f>
        <v>0</v>
      </c>
      <c r="S245" s="119">
        <f>VLOOKUP(C245,'Talente &amp; Stuff'!IA:JB,17,FALSE)</f>
        <v>0</v>
      </c>
      <c r="T245" s="119">
        <f>VLOOKUP(C245,'Talente &amp; Stuff'!IA:JB,18,FALSE)</f>
        <v>0</v>
      </c>
      <c r="U245" s="89">
        <f>VLOOKUP(C245,'Talente &amp; Stuff'!IA:JB,19,FALSE)</f>
        <v>0</v>
      </c>
      <c r="V245" s="47">
        <f>VLOOKUP(C245,'Talente &amp; Stuff'!IA:JB,20,FALSE)</f>
        <v>0</v>
      </c>
      <c r="W245" s="127">
        <f>VLOOKUP(C245,'Talente &amp; Stuff'!IA:JB,21,FALSE)</f>
        <v>0</v>
      </c>
      <c r="X245" s="127">
        <f>VLOOKUP(C245,'Talente &amp; Stuff'!IA:JB,22,FALSE)</f>
        <v>0</v>
      </c>
      <c r="Y245" s="165">
        <f t="shared" si="20"/>
        <v>0</v>
      </c>
      <c r="Z245" s="44">
        <f t="shared" si="21"/>
        <v>0</v>
      </c>
      <c r="AA245" s="125">
        <f>VLOOKUP(C245,'Talente &amp; Stuff'!IA:JB,25,FALSE)</f>
        <v>0</v>
      </c>
      <c r="AB245" s="160">
        <f>VLOOKUP(C245,'Talente &amp; Stuff'!IA:JB,26,FALSE)</f>
        <v>0</v>
      </c>
      <c r="AC245" s="127">
        <f>VLOOKUP(C245,'Talente &amp; Stuff'!IA:JB,27,FALSE)</f>
        <v>0</v>
      </c>
      <c r="AD245" s="125">
        <f>VLOOKUP(C245,'Talente &amp; Stuff'!IA:JB,28,FALSE)</f>
        <v>0</v>
      </c>
      <c r="AE245" s="28"/>
    </row>
    <row r="246" spans="2:31" ht="15" hidden="1" customHeight="1" outlineLevel="2">
      <c r="B246" s="148">
        <v>34</v>
      </c>
      <c r="C246" s="177" t="str">
        <f>Attribute!C246</f>
        <v>---</v>
      </c>
      <c r="D246" s="125" t="str">
        <f>VLOOKUP(C246,'Talente &amp; Stuff'!IA:JB,2,FALSE)</f>
        <v>--/--/--</v>
      </c>
      <c r="E246" s="127" t="str">
        <f>VLOOKUP(C246,'Talente &amp; Stuff'!IA:JB,3,FALSE)</f>
        <v>-</v>
      </c>
      <c r="F246" s="114">
        <f>VLOOKUP(C246,'Talente &amp; Stuff'!IA:JB,4,FALSE)</f>
        <v>0</v>
      </c>
      <c r="G246" s="113">
        <f>VLOOKUP(C246,'Talente &amp; Stuff'!IA:JB,5,FALSE)</f>
        <v>0</v>
      </c>
      <c r="H246" s="113">
        <f>VLOOKUP(C246,'Talente &amp; Stuff'!IA:JB,6,FALSE)</f>
        <v>0</v>
      </c>
      <c r="I246" s="113">
        <f>VLOOKUP(C246,'Talente &amp; Stuff'!IA:JB,7,FALSE)</f>
        <v>0</v>
      </c>
      <c r="J246" s="113">
        <f>VLOOKUP(C246,'Talente &amp; Stuff'!IA:JB,8,FALSE)</f>
        <v>0</v>
      </c>
      <c r="K246" s="113">
        <f>VLOOKUP(C246,'Talente &amp; Stuff'!IA:JB,9,FALSE)</f>
        <v>0</v>
      </c>
      <c r="L246" s="113">
        <f>VLOOKUP(C246,'Talente &amp; Stuff'!IA:JB,10,FALSE)</f>
        <v>0</v>
      </c>
      <c r="M246" s="119">
        <f>VLOOKUP(C246,'Talente &amp; Stuff'!IA:JB,11,FALSE)</f>
        <v>0</v>
      </c>
      <c r="N246" s="47">
        <f>VLOOKUP(C246,'Talente &amp; Stuff'!IA:JB,12,FALSE)</f>
        <v>0</v>
      </c>
      <c r="O246" s="47">
        <f>VLOOKUP(C246,'Talente &amp; Stuff'!IA:JB,13,FALSE)</f>
        <v>0</v>
      </c>
      <c r="P246" s="119">
        <f>VLOOKUP(C246,'Talente &amp; Stuff'!IA:JB,14,FALSE)</f>
        <v>0</v>
      </c>
      <c r="Q246" s="114">
        <f>VLOOKUP(C246,'Talente &amp; Stuff'!IA:JB,15,FALSE)</f>
        <v>0</v>
      </c>
      <c r="R246" s="113">
        <f>VLOOKUP(C246,'Talente &amp; Stuff'!IA:JB,16,FALSE)</f>
        <v>0</v>
      </c>
      <c r="S246" s="119">
        <f>VLOOKUP(C246,'Talente &amp; Stuff'!IA:JB,17,FALSE)</f>
        <v>0</v>
      </c>
      <c r="T246" s="119">
        <f>VLOOKUP(C246,'Talente &amp; Stuff'!IA:JB,18,FALSE)</f>
        <v>0</v>
      </c>
      <c r="U246" s="89">
        <f>VLOOKUP(C246,'Talente &amp; Stuff'!IA:JB,19,FALSE)</f>
        <v>0</v>
      </c>
      <c r="V246" s="47">
        <f>VLOOKUP(C246,'Talente &amp; Stuff'!IA:JB,20,FALSE)</f>
        <v>0</v>
      </c>
      <c r="W246" s="127">
        <f>VLOOKUP(C246,'Talente &amp; Stuff'!IA:JB,21,FALSE)</f>
        <v>0</v>
      </c>
      <c r="X246" s="127">
        <f>VLOOKUP(C246,'Talente &amp; Stuff'!IA:JB,22,FALSE)</f>
        <v>0</v>
      </c>
      <c r="Y246" s="165">
        <f t="shared" si="20"/>
        <v>0</v>
      </c>
      <c r="Z246" s="44">
        <f t="shared" si="21"/>
        <v>0</v>
      </c>
      <c r="AA246" s="125">
        <f>VLOOKUP(C246,'Talente &amp; Stuff'!IA:JB,25,FALSE)</f>
        <v>0</v>
      </c>
      <c r="AB246" s="160">
        <f>VLOOKUP(C246,'Talente &amp; Stuff'!IA:JB,26,FALSE)</f>
        <v>0</v>
      </c>
      <c r="AC246" s="127">
        <f>VLOOKUP(C246,'Talente &amp; Stuff'!IA:JB,27,FALSE)</f>
        <v>0</v>
      </c>
      <c r="AD246" s="125">
        <f>VLOOKUP(C246,'Talente &amp; Stuff'!IA:JB,28,FALSE)</f>
        <v>0</v>
      </c>
      <c r="AE246" s="28"/>
    </row>
    <row r="247" spans="2:31" ht="15" hidden="1" customHeight="1" outlineLevel="2">
      <c r="B247" s="148">
        <v>35</v>
      </c>
      <c r="C247" s="177" t="str">
        <f>Attribute!C247</f>
        <v>---</v>
      </c>
      <c r="D247" s="125" t="str">
        <f>VLOOKUP(C247,'Talente &amp; Stuff'!IA:JB,2,FALSE)</f>
        <v>--/--/--</v>
      </c>
      <c r="E247" s="127" t="str">
        <f>VLOOKUP(C247,'Talente &amp; Stuff'!IA:JB,3,FALSE)</f>
        <v>-</v>
      </c>
      <c r="F247" s="114">
        <f>VLOOKUP(C247,'Talente &amp; Stuff'!IA:JB,4,FALSE)</f>
        <v>0</v>
      </c>
      <c r="G247" s="113">
        <f>VLOOKUP(C247,'Talente &amp; Stuff'!IA:JB,5,FALSE)</f>
        <v>0</v>
      </c>
      <c r="H247" s="113">
        <f>VLOOKUP(C247,'Talente &amp; Stuff'!IA:JB,6,FALSE)</f>
        <v>0</v>
      </c>
      <c r="I247" s="113">
        <f>VLOOKUP(C247,'Talente &amp; Stuff'!IA:JB,7,FALSE)</f>
        <v>0</v>
      </c>
      <c r="J247" s="113">
        <f>VLOOKUP(C247,'Talente &amp; Stuff'!IA:JB,8,FALSE)</f>
        <v>0</v>
      </c>
      <c r="K247" s="113">
        <f>VLOOKUP(C247,'Talente &amp; Stuff'!IA:JB,9,FALSE)</f>
        <v>0</v>
      </c>
      <c r="L247" s="113">
        <f>VLOOKUP(C247,'Talente &amp; Stuff'!IA:JB,10,FALSE)</f>
        <v>0</v>
      </c>
      <c r="M247" s="119">
        <f>VLOOKUP(C247,'Talente &amp; Stuff'!IA:JB,11,FALSE)</f>
        <v>0</v>
      </c>
      <c r="N247" s="47">
        <f>VLOOKUP(C247,'Talente &amp; Stuff'!IA:JB,12,FALSE)</f>
        <v>0</v>
      </c>
      <c r="O247" s="47">
        <f>VLOOKUP(C247,'Talente &amp; Stuff'!IA:JB,13,FALSE)</f>
        <v>0</v>
      </c>
      <c r="P247" s="119">
        <f>VLOOKUP(C247,'Talente &amp; Stuff'!IA:JB,14,FALSE)</f>
        <v>0</v>
      </c>
      <c r="Q247" s="114">
        <f>VLOOKUP(C247,'Talente &amp; Stuff'!IA:JB,15,FALSE)</f>
        <v>0</v>
      </c>
      <c r="R247" s="113">
        <f>VLOOKUP(C247,'Talente &amp; Stuff'!IA:JB,16,FALSE)</f>
        <v>0</v>
      </c>
      <c r="S247" s="119">
        <f>VLOOKUP(C247,'Talente &amp; Stuff'!IA:JB,17,FALSE)</f>
        <v>0</v>
      </c>
      <c r="T247" s="119">
        <f>VLOOKUP(C247,'Talente &amp; Stuff'!IA:JB,18,FALSE)</f>
        <v>0</v>
      </c>
      <c r="U247" s="89">
        <f>VLOOKUP(C247,'Talente &amp; Stuff'!IA:JB,19,FALSE)</f>
        <v>0</v>
      </c>
      <c r="V247" s="47">
        <f>VLOOKUP(C247,'Talente &amp; Stuff'!IA:JB,20,FALSE)</f>
        <v>0</v>
      </c>
      <c r="W247" s="127">
        <f>VLOOKUP(C247,'Talente &amp; Stuff'!IA:JB,21,FALSE)</f>
        <v>0</v>
      </c>
      <c r="X247" s="127">
        <f>VLOOKUP(C247,'Talente &amp; Stuff'!IA:JB,22,FALSE)</f>
        <v>0</v>
      </c>
      <c r="Y247" s="165">
        <f t="shared" si="20"/>
        <v>0</v>
      </c>
      <c r="Z247" s="44">
        <f t="shared" si="21"/>
        <v>0</v>
      </c>
      <c r="AA247" s="125">
        <f>VLOOKUP(C247,'Talente &amp; Stuff'!IA:JB,25,FALSE)</f>
        <v>0</v>
      </c>
      <c r="AB247" s="160">
        <f>VLOOKUP(C247,'Talente &amp; Stuff'!IA:JB,26,FALSE)</f>
        <v>0</v>
      </c>
      <c r="AC247" s="127">
        <f>VLOOKUP(C247,'Talente &amp; Stuff'!IA:JB,27,FALSE)</f>
        <v>0</v>
      </c>
      <c r="AD247" s="125">
        <f>VLOOKUP(C247,'Talente &amp; Stuff'!IA:JB,28,FALSE)</f>
        <v>0</v>
      </c>
      <c r="AE247" s="28"/>
    </row>
    <row r="248" spans="2:31" ht="15" hidden="1" customHeight="1" outlineLevel="2">
      <c r="B248" s="148">
        <v>36</v>
      </c>
      <c r="C248" s="177" t="str">
        <f>Attribute!C248</f>
        <v>---</v>
      </c>
      <c r="D248" s="125" t="str">
        <f>VLOOKUP(C248,'Talente &amp; Stuff'!IA:JB,2,FALSE)</f>
        <v>--/--/--</v>
      </c>
      <c r="E248" s="127" t="str">
        <f>VLOOKUP(C248,'Talente &amp; Stuff'!IA:JB,3,FALSE)</f>
        <v>-</v>
      </c>
      <c r="F248" s="114">
        <f>VLOOKUP(C248,'Talente &amp; Stuff'!IA:JB,4,FALSE)</f>
        <v>0</v>
      </c>
      <c r="G248" s="113">
        <f>VLOOKUP(C248,'Talente &amp; Stuff'!IA:JB,5,FALSE)</f>
        <v>0</v>
      </c>
      <c r="H248" s="113">
        <f>VLOOKUP(C248,'Talente &amp; Stuff'!IA:JB,6,FALSE)</f>
        <v>0</v>
      </c>
      <c r="I248" s="113">
        <f>VLOOKUP(C248,'Talente &amp; Stuff'!IA:JB,7,FALSE)</f>
        <v>0</v>
      </c>
      <c r="J248" s="113">
        <f>VLOOKUP(C248,'Talente &amp; Stuff'!IA:JB,8,FALSE)</f>
        <v>0</v>
      </c>
      <c r="K248" s="113">
        <f>VLOOKUP(C248,'Talente &amp; Stuff'!IA:JB,9,FALSE)</f>
        <v>0</v>
      </c>
      <c r="L248" s="113">
        <f>VLOOKUP(C248,'Talente &amp; Stuff'!IA:JB,10,FALSE)</f>
        <v>0</v>
      </c>
      <c r="M248" s="119">
        <f>VLOOKUP(C248,'Talente &amp; Stuff'!IA:JB,11,FALSE)</f>
        <v>0</v>
      </c>
      <c r="N248" s="47">
        <f>VLOOKUP(C248,'Talente &amp; Stuff'!IA:JB,12,FALSE)</f>
        <v>0</v>
      </c>
      <c r="O248" s="47">
        <f>VLOOKUP(C248,'Talente &amp; Stuff'!IA:JB,13,FALSE)</f>
        <v>0</v>
      </c>
      <c r="P248" s="119">
        <f>VLOOKUP(C248,'Talente &amp; Stuff'!IA:JB,14,FALSE)</f>
        <v>0</v>
      </c>
      <c r="Q248" s="114">
        <f>VLOOKUP(C248,'Talente &amp; Stuff'!IA:JB,15,FALSE)</f>
        <v>0</v>
      </c>
      <c r="R248" s="113">
        <f>VLOOKUP(C248,'Talente &amp; Stuff'!IA:JB,16,FALSE)</f>
        <v>0</v>
      </c>
      <c r="S248" s="119">
        <f>VLOOKUP(C248,'Talente &amp; Stuff'!IA:JB,17,FALSE)</f>
        <v>0</v>
      </c>
      <c r="T248" s="119">
        <f>VLOOKUP(C248,'Talente &amp; Stuff'!IA:JB,18,FALSE)</f>
        <v>0</v>
      </c>
      <c r="U248" s="89">
        <f>VLOOKUP(C248,'Talente &amp; Stuff'!IA:JB,19,FALSE)</f>
        <v>0</v>
      </c>
      <c r="V248" s="47">
        <f>VLOOKUP(C248,'Talente &amp; Stuff'!IA:JB,20,FALSE)</f>
        <v>0</v>
      </c>
      <c r="W248" s="127">
        <f>VLOOKUP(C248,'Talente &amp; Stuff'!IA:JB,21,FALSE)</f>
        <v>0</v>
      </c>
      <c r="X248" s="127">
        <f>VLOOKUP(C248,'Talente &amp; Stuff'!IA:JB,22,FALSE)</f>
        <v>0</v>
      </c>
      <c r="Y248" s="165">
        <f t="shared" si="20"/>
        <v>0</v>
      </c>
      <c r="Z248" s="44">
        <f t="shared" si="21"/>
        <v>0</v>
      </c>
      <c r="AA248" s="125">
        <f>VLOOKUP(C248,'Talente &amp; Stuff'!IA:JB,25,FALSE)</f>
        <v>0</v>
      </c>
      <c r="AB248" s="160">
        <f>VLOOKUP(C248,'Talente &amp; Stuff'!IA:JB,26,FALSE)</f>
        <v>0</v>
      </c>
      <c r="AC248" s="127">
        <f>VLOOKUP(C248,'Talente &amp; Stuff'!IA:JB,27,FALSE)</f>
        <v>0</v>
      </c>
      <c r="AD248" s="125">
        <f>VLOOKUP(C248,'Talente &amp; Stuff'!IA:JB,28,FALSE)</f>
        <v>0</v>
      </c>
      <c r="AE248" s="28"/>
    </row>
    <row r="249" spans="2:31" ht="15" hidden="1" customHeight="1" outlineLevel="2">
      <c r="B249" s="148">
        <v>37</v>
      </c>
      <c r="C249" s="177" t="str">
        <f>Attribute!C249</f>
        <v>---</v>
      </c>
      <c r="D249" s="125" t="str">
        <f>VLOOKUP(C249,'Talente &amp; Stuff'!IA:JB,2,FALSE)</f>
        <v>--/--/--</v>
      </c>
      <c r="E249" s="127" t="str">
        <f>VLOOKUP(C249,'Talente &amp; Stuff'!IA:JB,3,FALSE)</f>
        <v>-</v>
      </c>
      <c r="F249" s="114">
        <f>VLOOKUP(C249,'Talente &amp; Stuff'!IA:JB,4,FALSE)</f>
        <v>0</v>
      </c>
      <c r="G249" s="113">
        <f>VLOOKUP(C249,'Talente &amp; Stuff'!IA:JB,5,FALSE)</f>
        <v>0</v>
      </c>
      <c r="H249" s="113">
        <f>VLOOKUP(C249,'Talente &amp; Stuff'!IA:JB,6,FALSE)</f>
        <v>0</v>
      </c>
      <c r="I249" s="113">
        <f>VLOOKUP(C249,'Talente &amp; Stuff'!IA:JB,7,FALSE)</f>
        <v>0</v>
      </c>
      <c r="J249" s="113">
        <f>VLOOKUP(C249,'Talente &amp; Stuff'!IA:JB,8,FALSE)</f>
        <v>0</v>
      </c>
      <c r="K249" s="113">
        <f>VLOOKUP(C249,'Talente &amp; Stuff'!IA:JB,9,FALSE)</f>
        <v>0</v>
      </c>
      <c r="L249" s="113">
        <f>VLOOKUP(C249,'Talente &amp; Stuff'!IA:JB,10,FALSE)</f>
        <v>0</v>
      </c>
      <c r="M249" s="119">
        <f>VLOOKUP(C249,'Talente &amp; Stuff'!IA:JB,11,FALSE)</f>
        <v>0</v>
      </c>
      <c r="N249" s="47">
        <f>VLOOKUP(C249,'Talente &amp; Stuff'!IA:JB,12,FALSE)</f>
        <v>0</v>
      </c>
      <c r="O249" s="47">
        <f>VLOOKUP(C249,'Talente &amp; Stuff'!IA:JB,13,FALSE)</f>
        <v>0</v>
      </c>
      <c r="P249" s="119">
        <f>VLOOKUP(C249,'Talente &amp; Stuff'!IA:JB,14,FALSE)</f>
        <v>0</v>
      </c>
      <c r="Q249" s="114">
        <f>VLOOKUP(C249,'Talente &amp; Stuff'!IA:JB,15,FALSE)</f>
        <v>0</v>
      </c>
      <c r="R249" s="113">
        <f>VLOOKUP(C249,'Talente &amp; Stuff'!IA:JB,16,FALSE)</f>
        <v>0</v>
      </c>
      <c r="S249" s="119">
        <f>VLOOKUP(C249,'Talente &amp; Stuff'!IA:JB,17,FALSE)</f>
        <v>0</v>
      </c>
      <c r="T249" s="119">
        <f>VLOOKUP(C249,'Talente &amp; Stuff'!IA:JB,18,FALSE)</f>
        <v>0</v>
      </c>
      <c r="U249" s="89">
        <f>VLOOKUP(C249,'Talente &amp; Stuff'!IA:JB,19,FALSE)</f>
        <v>0</v>
      </c>
      <c r="V249" s="47">
        <f>VLOOKUP(C249,'Talente &amp; Stuff'!IA:JB,20,FALSE)</f>
        <v>0</v>
      </c>
      <c r="W249" s="127">
        <f>VLOOKUP(C249,'Talente &amp; Stuff'!IA:JB,21,FALSE)</f>
        <v>0</v>
      </c>
      <c r="X249" s="127">
        <f>VLOOKUP(C249,'Talente &amp; Stuff'!IA:JB,22,FALSE)</f>
        <v>0</v>
      </c>
      <c r="Y249" s="165">
        <f t="shared" si="20"/>
        <v>0</v>
      </c>
      <c r="Z249" s="44">
        <f t="shared" si="21"/>
        <v>0</v>
      </c>
      <c r="AA249" s="125">
        <f>VLOOKUP(C249,'Talente &amp; Stuff'!IA:JB,25,FALSE)</f>
        <v>0</v>
      </c>
      <c r="AB249" s="160">
        <f>VLOOKUP(C249,'Talente &amp; Stuff'!IA:JB,26,FALSE)</f>
        <v>0</v>
      </c>
      <c r="AC249" s="127">
        <f>VLOOKUP(C249,'Talente &amp; Stuff'!IA:JB,27,FALSE)</f>
        <v>0</v>
      </c>
      <c r="AD249" s="125">
        <f>VLOOKUP(C249,'Talente &amp; Stuff'!IA:JB,28,FALSE)</f>
        <v>0</v>
      </c>
      <c r="AE249" s="28"/>
    </row>
    <row r="250" spans="2:31" ht="15" hidden="1" customHeight="1" outlineLevel="2">
      <c r="B250" s="148">
        <v>38</v>
      </c>
      <c r="C250" s="177" t="str">
        <f>Attribute!C250</f>
        <v>---</v>
      </c>
      <c r="D250" s="125" t="str">
        <f>VLOOKUP(C250,'Talente &amp; Stuff'!IA:JB,2,FALSE)</f>
        <v>--/--/--</v>
      </c>
      <c r="E250" s="127" t="str">
        <f>VLOOKUP(C250,'Talente &amp; Stuff'!IA:JB,3,FALSE)</f>
        <v>-</v>
      </c>
      <c r="F250" s="114">
        <f>VLOOKUP(C250,'Talente &amp; Stuff'!IA:JB,4,FALSE)</f>
        <v>0</v>
      </c>
      <c r="G250" s="113">
        <f>VLOOKUP(C250,'Talente &amp; Stuff'!IA:JB,5,FALSE)</f>
        <v>0</v>
      </c>
      <c r="H250" s="113">
        <f>VLOOKUP(C250,'Talente &amp; Stuff'!IA:JB,6,FALSE)</f>
        <v>0</v>
      </c>
      <c r="I250" s="113">
        <f>VLOOKUP(C250,'Talente &amp; Stuff'!IA:JB,7,FALSE)</f>
        <v>0</v>
      </c>
      <c r="J250" s="113">
        <f>VLOOKUP(C250,'Talente &amp; Stuff'!IA:JB,8,FALSE)</f>
        <v>0</v>
      </c>
      <c r="K250" s="113">
        <f>VLOOKUP(C250,'Talente &amp; Stuff'!IA:JB,9,FALSE)</f>
        <v>0</v>
      </c>
      <c r="L250" s="113">
        <f>VLOOKUP(C250,'Talente &amp; Stuff'!IA:JB,10,FALSE)</f>
        <v>0</v>
      </c>
      <c r="M250" s="119">
        <f>VLOOKUP(C250,'Talente &amp; Stuff'!IA:JB,11,FALSE)</f>
        <v>0</v>
      </c>
      <c r="N250" s="47">
        <f>VLOOKUP(C250,'Talente &amp; Stuff'!IA:JB,12,FALSE)</f>
        <v>0</v>
      </c>
      <c r="O250" s="47">
        <f>VLOOKUP(C250,'Talente &amp; Stuff'!IA:JB,13,FALSE)</f>
        <v>0</v>
      </c>
      <c r="P250" s="119">
        <f>VLOOKUP(C250,'Talente &amp; Stuff'!IA:JB,14,FALSE)</f>
        <v>0</v>
      </c>
      <c r="Q250" s="114">
        <f>VLOOKUP(C250,'Talente &amp; Stuff'!IA:JB,15,FALSE)</f>
        <v>0</v>
      </c>
      <c r="R250" s="113">
        <f>VLOOKUP(C250,'Talente &amp; Stuff'!IA:JB,16,FALSE)</f>
        <v>0</v>
      </c>
      <c r="S250" s="119">
        <f>VLOOKUP(C250,'Talente &amp; Stuff'!IA:JB,17,FALSE)</f>
        <v>0</v>
      </c>
      <c r="T250" s="119">
        <f>VLOOKUP(C250,'Talente &amp; Stuff'!IA:JB,18,FALSE)</f>
        <v>0</v>
      </c>
      <c r="U250" s="89">
        <f>VLOOKUP(C250,'Talente &amp; Stuff'!IA:JB,19,FALSE)</f>
        <v>0</v>
      </c>
      <c r="V250" s="47">
        <f>VLOOKUP(C250,'Talente &amp; Stuff'!IA:JB,20,FALSE)</f>
        <v>0</v>
      </c>
      <c r="W250" s="127">
        <f>VLOOKUP(C250,'Talente &amp; Stuff'!IA:JB,21,FALSE)</f>
        <v>0</v>
      </c>
      <c r="X250" s="127">
        <f>VLOOKUP(C250,'Talente &amp; Stuff'!IA:JB,22,FALSE)</f>
        <v>0</v>
      </c>
      <c r="Y250" s="165">
        <f t="shared" si="20"/>
        <v>0</v>
      </c>
      <c r="Z250" s="44">
        <f t="shared" si="21"/>
        <v>0</v>
      </c>
      <c r="AA250" s="125">
        <f>VLOOKUP(C250,'Talente &amp; Stuff'!IA:JB,25,FALSE)</f>
        <v>0</v>
      </c>
      <c r="AB250" s="160">
        <f>VLOOKUP(C250,'Talente &amp; Stuff'!IA:JB,26,FALSE)</f>
        <v>0</v>
      </c>
      <c r="AC250" s="127">
        <f>VLOOKUP(C250,'Talente &amp; Stuff'!IA:JB,27,FALSE)</f>
        <v>0</v>
      </c>
      <c r="AD250" s="125">
        <f>VLOOKUP(C250,'Talente &amp; Stuff'!IA:JB,28,FALSE)</f>
        <v>0</v>
      </c>
      <c r="AE250" s="28"/>
    </row>
    <row r="251" spans="2:31" ht="15" hidden="1" customHeight="1" outlineLevel="2">
      <c r="B251" s="148">
        <v>39</v>
      </c>
      <c r="C251" s="177" t="str">
        <f>Attribute!C251</f>
        <v>---</v>
      </c>
      <c r="D251" s="125" t="str">
        <f>VLOOKUP(C251,'Talente &amp; Stuff'!IA:JB,2,FALSE)</f>
        <v>--/--/--</v>
      </c>
      <c r="E251" s="127" t="str">
        <f>VLOOKUP(C251,'Talente &amp; Stuff'!IA:JB,3,FALSE)</f>
        <v>-</v>
      </c>
      <c r="F251" s="114">
        <f>VLOOKUP(C251,'Talente &amp; Stuff'!IA:JB,4,FALSE)</f>
        <v>0</v>
      </c>
      <c r="G251" s="113">
        <f>VLOOKUP(C251,'Talente &amp; Stuff'!IA:JB,5,FALSE)</f>
        <v>0</v>
      </c>
      <c r="H251" s="113">
        <f>VLOOKUP(C251,'Talente &amp; Stuff'!IA:JB,6,FALSE)</f>
        <v>0</v>
      </c>
      <c r="I251" s="113">
        <f>VLOOKUP(C251,'Talente &amp; Stuff'!IA:JB,7,FALSE)</f>
        <v>0</v>
      </c>
      <c r="J251" s="113">
        <f>VLOOKUP(C251,'Talente &amp; Stuff'!IA:JB,8,FALSE)</f>
        <v>0</v>
      </c>
      <c r="K251" s="113">
        <f>VLOOKUP(C251,'Talente &amp; Stuff'!IA:JB,9,FALSE)</f>
        <v>0</v>
      </c>
      <c r="L251" s="113">
        <f>VLOOKUP(C251,'Talente &amp; Stuff'!IA:JB,10,FALSE)</f>
        <v>0</v>
      </c>
      <c r="M251" s="119">
        <f>VLOOKUP(C251,'Talente &amp; Stuff'!IA:JB,11,FALSE)</f>
        <v>0</v>
      </c>
      <c r="N251" s="47">
        <f>VLOOKUP(C251,'Talente &amp; Stuff'!IA:JB,12,FALSE)</f>
        <v>0</v>
      </c>
      <c r="O251" s="47">
        <f>VLOOKUP(C251,'Talente &amp; Stuff'!IA:JB,13,FALSE)</f>
        <v>0</v>
      </c>
      <c r="P251" s="119">
        <f>VLOOKUP(C251,'Talente &amp; Stuff'!IA:JB,14,FALSE)</f>
        <v>0</v>
      </c>
      <c r="Q251" s="114">
        <f>VLOOKUP(C251,'Talente &amp; Stuff'!IA:JB,15,FALSE)</f>
        <v>0</v>
      </c>
      <c r="R251" s="113">
        <f>VLOOKUP(C251,'Talente &amp; Stuff'!IA:JB,16,FALSE)</f>
        <v>0</v>
      </c>
      <c r="S251" s="119">
        <f>VLOOKUP(C251,'Talente &amp; Stuff'!IA:JB,17,FALSE)</f>
        <v>0</v>
      </c>
      <c r="T251" s="119">
        <f>VLOOKUP(C251,'Talente &amp; Stuff'!IA:JB,18,FALSE)</f>
        <v>0</v>
      </c>
      <c r="U251" s="89">
        <f>VLOOKUP(C251,'Talente &amp; Stuff'!IA:JB,19,FALSE)</f>
        <v>0</v>
      </c>
      <c r="V251" s="47">
        <f>VLOOKUP(C251,'Talente &amp; Stuff'!IA:JB,20,FALSE)</f>
        <v>0</v>
      </c>
      <c r="W251" s="127">
        <f>VLOOKUP(C251,'Talente &amp; Stuff'!IA:JB,21,FALSE)</f>
        <v>0</v>
      </c>
      <c r="X251" s="127">
        <f>VLOOKUP(C251,'Talente &amp; Stuff'!IA:JB,22,FALSE)</f>
        <v>0</v>
      </c>
      <c r="Y251" s="165">
        <f t="shared" si="20"/>
        <v>0</v>
      </c>
      <c r="Z251" s="44">
        <f t="shared" si="21"/>
        <v>0</v>
      </c>
      <c r="AA251" s="125">
        <f>VLOOKUP(C251,'Talente &amp; Stuff'!IA:JB,25,FALSE)</f>
        <v>0</v>
      </c>
      <c r="AB251" s="160">
        <f>VLOOKUP(C251,'Talente &amp; Stuff'!IA:JB,26,FALSE)</f>
        <v>0</v>
      </c>
      <c r="AC251" s="127">
        <f>VLOOKUP(C251,'Talente &amp; Stuff'!IA:JB,27,FALSE)</f>
        <v>0</v>
      </c>
      <c r="AD251" s="125">
        <f>VLOOKUP(C251,'Talente &amp; Stuff'!IA:JB,28,FALSE)</f>
        <v>0</v>
      </c>
      <c r="AE251" s="28"/>
    </row>
    <row r="252" spans="2:31" ht="15" hidden="1" customHeight="1" outlineLevel="2">
      <c r="B252" s="148">
        <v>40</v>
      </c>
      <c r="C252" s="177" t="str">
        <f>Attribute!C252</f>
        <v>---</v>
      </c>
      <c r="D252" s="86" t="str">
        <f>VLOOKUP(C252,'Talente &amp; Stuff'!IA:JB,2,FALSE)</f>
        <v>--/--/--</v>
      </c>
      <c r="E252" s="127" t="str">
        <f>VLOOKUP(C252,'Talente &amp; Stuff'!IA:JB,3,FALSE)</f>
        <v>-</v>
      </c>
      <c r="F252" s="114">
        <f>VLOOKUP(C252,'Talente &amp; Stuff'!IA:JB,4,FALSE)</f>
        <v>0</v>
      </c>
      <c r="G252" s="113">
        <f>VLOOKUP(C252,'Talente &amp; Stuff'!IA:JB,5,FALSE)</f>
        <v>0</v>
      </c>
      <c r="H252" s="113">
        <f>VLOOKUP(C252,'Talente &amp; Stuff'!IA:JB,6,FALSE)</f>
        <v>0</v>
      </c>
      <c r="I252" s="113">
        <f>VLOOKUP(C252,'Talente &amp; Stuff'!IA:JB,7,FALSE)</f>
        <v>0</v>
      </c>
      <c r="J252" s="113">
        <f>VLOOKUP(C252,'Talente &amp; Stuff'!IA:JB,8,FALSE)</f>
        <v>0</v>
      </c>
      <c r="K252" s="113">
        <f>VLOOKUP(C252,'Talente &amp; Stuff'!IA:JB,9,FALSE)</f>
        <v>0</v>
      </c>
      <c r="L252" s="113">
        <f>VLOOKUP(C252,'Talente &amp; Stuff'!IA:JB,10,FALSE)</f>
        <v>0</v>
      </c>
      <c r="M252" s="119">
        <f>VLOOKUP(C252,'Talente &amp; Stuff'!IA:JB,11,FALSE)</f>
        <v>0</v>
      </c>
      <c r="N252" s="47">
        <f>VLOOKUP(C252,'Talente &amp; Stuff'!IA:JB,12,FALSE)</f>
        <v>0</v>
      </c>
      <c r="O252" s="3">
        <f>VLOOKUP(C252,'Talente &amp; Stuff'!IA:JB,13,FALSE)</f>
        <v>0</v>
      </c>
      <c r="P252" s="174">
        <f>VLOOKUP(C252,'Talente &amp; Stuff'!IA:JB,14,FALSE)</f>
        <v>0</v>
      </c>
      <c r="Q252" s="114">
        <f>VLOOKUP(C252,'Talente &amp; Stuff'!IA:JB,15,FALSE)</f>
        <v>0</v>
      </c>
      <c r="R252" s="113">
        <f>VLOOKUP(C252,'Talente &amp; Stuff'!IA:JB,16,FALSE)</f>
        <v>0</v>
      </c>
      <c r="S252" s="119">
        <f>VLOOKUP(C252,'Talente &amp; Stuff'!IA:JB,17,FALSE)</f>
        <v>0</v>
      </c>
      <c r="T252" s="119">
        <f>VLOOKUP(C252,'Talente &amp; Stuff'!IA:JB,18,FALSE)</f>
        <v>0</v>
      </c>
      <c r="U252" s="89">
        <f>VLOOKUP(C252,'Talente &amp; Stuff'!IA:JB,19,FALSE)</f>
        <v>0</v>
      </c>
      <c r="V252" s="47">
        <f>VLOOKUP(C252,'Talente &amp; Stuff'!IA:JB,20,FALSE)</f>
        <v>0</v>
      </c>
      <c r="W252" s="127">
        <f>VLOOKUP(C252,'Talente &amp; Stuff'!IA:JB,21,FALSE)</f>
        <v>0</v>
      </c>
      <c r="X252" s="127">
        <f>VLOOKUP(C252,'Talente &amp; Stuff'!IA:JB,22,FALSE)</f>
        <v>0</v>
      </c>
      <c r="Y252" s="165">
        <f t="shared" si="20"/>
        <v>0</v>
      </c>
      <c r="Z252" s="44">
        <f t="shared" si="21"/>
        <v>0</v>
      </c>
      <c r="AA252" s="125">
        <f>VLOOKUP(C252,'Talente &amp; Stuff'!IA:JB,25,FALSE)</f>
        <v>0</v>
      </c>
      <c r="AB252" s="160">
        <f>VLOOKUP(C252,'Talente &amp; Stuff'!IA:JB,26,FALSE)</f>
        <v>0</v>
      </c>
      <c r="AC252" s="127">
        <f>VLOOKUP(C252,'Talente &amp; Stuff'!IA:JB,27,FALSE)</f>
        <v>0</v>
      </c>
      <c r="AD252" s="125">
        <f>VLOOKUP(C252,'Talente &amp; Stuff'!IA:JB,28,FALSE)</f>
        <v>0</v>
      </c>
      <c r="AE252" s="28"/>
    </row>
    <row r="253" spans="2:31" ht="15" hidden="1" customHeight="1" outlineLevel="2">
      <c r="B253" s="148">
        <v>41</v>
      </c>
      <c r="C253" s="177" t="str">
        <f>Attribute!C253</f>
        <v>---</v>
      </c>
      <c r="D253" s="125" t="str">
        <f>VLOOKUP(C253,'Talente &amp; Stuff'!IA:JB,2,FALSE)</f>
        <v>--/--/--</v>
      </c>
      <c r="E253" s="127" t="str">
        <f>VLOOKUP(C253,'Talente &amp; Stuff'!IA:JB,3,FALSE)</f>
        <v>-</v>
      </c>
      <c r="F253" s="114">
        <f>VLOOKUP(C253,'Talente &amp; Stuff'!IA:JB,4,FALSE)</f>
        <v>0</v>
      </c>
      <c r="G253" s="113">
        <f>VLOOKUP(C253,'Talente &amp; Stuff'!IA:JB,5,FALSE)</f>
        <v>0</v>
      </c>
      <c r="H253" s="113">
        <f>VLOOKUP(C253,'Talente &amp; Stuff'!IA:JB,6,FALSE)</f>
        <v>0</v>
      </c>
      <c r="I253" s="113">
        <f>VLOOKUP(C253,'Talente &amp; Stuff'!IA:JB,7,FALSE)</f>
        <v>0</v>
      </c>
      <c r="J253" s="113">
        <f>VLOOKUP(C253,'Talente &amp; Stuff'!IA:JB,8,FALSE)</f>
        <v>0</v>
      </c>
      <c r="K253" s="113">
        <f>VLOOKUP(C253,'Talente &amp; Stuff'!IA:JB,9,FALSE)</f>
        <v>0</v>
      </c>
      <c r="L253" s="113">
        <f>VLOOKUP(C253,'Talente &amp; Stuff'!IA:JB,10,FALSE)</f>
        <v>0</v>
      </c>
      <c r="M253" s="119">
        <f>VLOOKUP(C253,'Talente &amp; Stuff'!IA:JB,11,FALSE)</f>
        <v>0</v>
      </c>
      <c r="N253" s="47">
        <f>VLOOKUP(C253,'Talente &amp; Stuff'!IA:JB,12,FALSE)</f>
        <v>0</v>
      </c>
      <c r="O253" s="47">
        <f>VLOOKUP(C253,'Talente &amp; Stuff'!IA:JB,13,FALSE)</f>
        <v>0</v>
      </c>
      <c r="P253" s="119">
        <f>VLOOKUP(C253,'Talente &amp; Stuff'!IA:JB,14,FALSE)</f>
        <v>0</v>
      </c>
      <c r="Q253" s="114">
        <f>VLOOKUP(C253,'Talente &amp; Stuff'!IA:JB,15,FALSE)</f>
        <v>0</v>
      </c>
      <c r="R253" s="113">
        <f>VLOOKUP(C253,'Talente &amp; Stuff'!IA:JB,16,FALSE)</f>
        <v>0</v>
      </c>
      <c r="S253" s="119">
        <f>VLOOKUP(C253,'Talente &amp; Stuff'!IA:JB,17,FALSE)</f>
        <v>0</v>
      </c>
      <c r="T253" s="119">
        <f>VLOOKUP(C253,'Talente &amp; Stuff'!IA:JB,18,FALSE)</f>
        <v>0</v>
      </c>
      <c r="U253" s="89">
        <f>VLOOKUP(C253,'Talente &amp; Stuff'!IA:JB,19,FALSE)</f>
        <v>0</v>
      </c>
      <c r="V253" s="47">
        <f>VLOOKUP(C253,'Talente &amp; Stuff'!IA:JB,20,FALSE)</f>
        <v>0</v>
      </c>
      <c r="W253" s="127">
        <f>VLOOKUP(C253,'Talente &amp; Stuff'!IA:JB,21,FALSE)</f>
        <v>0</v>
      </c>
      <c r="X253" s="127">
        <f>VLOOKUP(C253,'Talente &amp; Stuff'!IA:JB,22,FALSE)</f>
        <v>0</v>
      </c>
      <c r="Y253" s="165">
        <f t="shared" si="20"/>
        <v>0</v>
      </c>
      <c r="Z253" s="44">
        <f t="shared" si="21"/>
        <v>0</v>
      </c>
      <c r="AA253" s="125">
        <f>VLOOKUP(C253,'Talente &amp; Stuff'!IA:JB,25,FALSE)</f>
        <v>0</v>
      </c>
      <c r="AB253" s="160">
        <f>VLOOKUP(C253,'Talente &amp; Stuff'!IA:JB,26,FALSE)</f>
        <v>0</v>
      </c>
      <c r="AC253" s="127">
        <f>VLOOKUP(C253,'Talente &amp; Stuff'!IA:JB,27,FALSE)</f>
        <v>0</v>
      </c>
      <c r="AD253" s="125">
        <f>VLOOKUP(C253,'Talente &amp; Stuff'!IA:JB,28,FALSE)</f>
        <v>0</v>
      </c>
      <c r="AE253" s="28"/>
    </row>
    <row r="254" spans="2:31" ht="15" hidden="1" customHeight="1" outlineLevel="2">
      <c r="B254" s="148">
        <v>42</v>
      </c>
      <c r="C254" s="177" t="str">
        <f>Attribute!C254</f>
        <v>---</v>
      </c>
      <c r="D254" s="125" t="str">
        <f>VLOOKUP(C254,'Talente &amp; Stuff'!IA:JB,2,FALSE)</f>
        <v>--/--/--</v>
      </c>
      <c r="E254" s="127" t="str">
        <f>VLOOKUP(C254,'Talente &amp; Stuff'!IA:JB,3,FALSE)</f>
        <v>-</v>
      </c>
      <c r="F254" s="114">
        <f>VLOOKUP(C254,'Talente &amp; Stuff'!IA:JB,4,FALSE)</f>
        <v>0</v>
      </c>
      <c r="G254" s="113">
        <f>VLOOKUP(C254,'Talente &amp; Stuff'!IA:JB,5,FALSE)</f>
        <v>0</v>
      </c>
      <c r="H254" s="113">
        <f>VLOOKUP(C254,'Talente &amp; Stuff'!IA:JB,6,FALSE)</f>
        <v>0</v>
      </c>
      <c r="I254" s="113">
        <f>VLOOKUP(C254,'Talente &amp; Stuff'!IA:JB,7,FALSE)</f>
        <v>0</v>
      </c>
      <c r="J254" s="113">
        <f>VLOOKUP(C254,'Talente &amp; Stuff'!IA:JB,8,FALSE)</f>
        <v>0</v>
      </c>
      <c r="K254" s="113">
        <f>VLOOKUP(C254,'Talente &amp; Stuff'!IA:JB,9,FALSE)</f>
        <v>0</v>
      </c>
      <c r="L254" s="113">
        <f>VLOOKUP(C254,'Talente &amp; Stuff'!IA:JB,10,FALSE)</f>
        <v>0</v>
      </c>
      <c r="M254" s="119">
        <f>VLOOKUP(C254,'Talente &amp; Stuff'!IA:JB,11,FALSE)</f>
        <v>0</v>
      </c>
      <c r="N254" s="47">
        <f>VLOOKUP(C254,'Talente &amp; Stuff'!IA:JB,12,FALSE)</f>
        <v>0</v>
      </c>
      <c r="O254" s="47">
        <f>VLOOKUP(C254,'Talente &amp; Stuff'!IA:JB,13,FALSE)</f>
        <v>0</v>
      </c>
      <c r="P254" s="119">
        <f>VLOOKUP(C254,'Talente &amp; Stuff'!IA:JB,14,FALSE)</f>
        <v>0</v>
      </c>
      <c r="Q254" s="114">
        <f>VLOOKUP(C254,'Talente &amp; Stuff'!IA:JB,15,FALSE)</f>
        <v>0</v>
      </c>
      <c r="R254" s="113">
        <f>VLOOKUP(C254,'Talente &amp; Stuff'!IA:JB,16,FALSE)</f>
        <v>0</v>
      </c>
      <c r="S254" s="119">
        <f>VLOOKUP(C254,'Talente &amp; Stuff'!IA:JB,17,FALSE)</f>
        <v>0</v>
      </c>
      <c r="T254" s="119">
        <f>VLOOKUP(C254,'Talente &amp; Stuff'!IA:JB,18,FALSE)</f>
        <v>0</v>
      </c>
      <c r="U254" s="89">
        <f>VLOOKUP(C254,'Talente &amp; Stuff'!IA:JB,19,FALSE)</f>
        <v>0</v>
      </c>
      <c r="V254" s="47">
        <f>VLOOKUP(C254,'Talente &amp; Stuff'!IA:JB,20,FALSE)</f>
        <v>0</v>
      </c>
      <c r="W254" s="127">
        <f>VLOOKUP(C254,'Talente &amp; Stuff'!IA:JB,21,FALSE)</f>
        <v>0</v>
      </c>
      <c r="X254" s="127">
        <f>VLOOKUP(C254,'Talente &amp; Stuff'!IA:JB,22,FALSE)</f>
        <v>0</v>
      </c>
      <c r="Y254" s="165">
        <f t="shared" si="20"/>
        <v>0</v>
      </c>
      <c r="Z254" s="44">
        <f t="shared" si="21"/>
        <v>0</v>
      </c>
      <c r="AA254" s="125">
        <f>VLOOKUP(C254,'Talente &amp; Stuff'!IA:JB,25,FALSE)</f>
        <v>0</v>
      </c>
      <c r="AB254" s="160">
        <f>VLOOKUP(C254,'Talente &amp; Stuff'!IA:JB,26,FALSE)</f>
        <v>0</v>
      </c>
      <c r="AC254" s="127">
        <f>VLOOKUP(C254,'Talente &amp; Stuff'!IA:JB,27,FALSE)</f>
        <v>0</v>
      </c>
      <c r="AD254" s="125">
        <f>VLOOKUP(C254,'Talente &amp; Stuff'!IA:JB,28,FALSE)</f>
        <v>0</v>
      </c>
      <c r="AE254" s="28"/>
    </row>
    <row r="255" spans="2:31" ht="15" hidden="1" customHeight="1" outlineLevel="2">
      <c r="B255" s="148">
        <v>43</v>
      </c>
      <c r="C255" s="177" t="str">
        <f>Attribute!C255</f>
        <v>---</v>
      </c>
      <c r="D255" s="86" t="str">
        <f>VLOOKUP(C255,'Talente &amp; Stuff'!IA:JB,2,FALSE)</f>
        <v>--/--/--</v>
      </c>
      <c r="E255" s="127" t="str">
        <f>VLOOKUP(C255,'Talente &amp; Stuff'!IA:JB,3,FALSE)</f>
        <v>-</v>
      </c>
      <c r="F255" s="114">
        <f>VLOOKUP(C255,'Talente &amp; Stuff'!IA:JB,4,FALSE)</f>
        <v>0</v>
      </c>
      <c r="G255" s="113">
        <f>VLOOKUP(C255,'Talente &amp; Stuff'!IA:JB,5,FALSE)</f>
        <v>0</v>
      </c>
      <c r="H255" s="113">
        <f>VLOOKUP(C255,'Talente &amp; Stuff'!IA:JB,6,FALSE)</f>
        <v>0</v>
      </c>
      <c r="I255" s="113">
        <f>VLOOKUP(C255,'Talente &amp; Stuff'!IA:JB,7,FALSE)</f>
        <v>0</v>
      </c>
      <c r="J255" s="113">
        <f>VLOOKUP(C255,'Talente &amp; Stuff'!IA:JB,8,FALSE)</f>
        <v>0</v>
      </c>
      <c r="K255" s="113">
        <f>VLOOKUP(C255,'Talente &amp; Stuff'!IA:JB,9,FALSE)</f>
        <v>0</v>
      </c>
      <c r="L255" s="113">
        <f>VLOOKUP(C255,'Talente &amp; Stuff'!IA:JB,10,FALSE)</f>
        <v>0</v>
      </c>
      <c r="M255" s="119">
        <f>VLOOKUP(C255,'Talente &amp; Stuff'!IA:JB,11,FALSE)</f>
        <v>0</v>
      </c>
      <c r="N255" s="47">
        <f>VLOOKUP(C255,'Talente &amp; Stuff'!IA:JB,12,FALSE)</f>
        <v>0</v>
      </c>
      <c r="O255" s="3">
        <f>VLOOKUP(C255,'Talente &amp; Stuff'!IA:JB,13,FALSE)</f>
        <v>0</v>
      </c>
      <c r="P255" s="174">
        <f>VLOOKUP(C255,'Talente &amp; Stuff'!IA:JB,14,FALSE)</f>
        <v>0</v>
      </c>
      <c r="Q255" s="114">
        <f>VLOOKUP(C255,'Talente &amp; Stuff'!IA:JB,15,FALSE)</f>
        <v>0</v>
      </c>
      <c r="R255" s="113">
        <f>VLOOKUP(C255,'Talente &amp; Stuff'!IA:JB,16,FALSE)</f>
        <v>0</v>
      </c>
      <c r="S255" s="119">
        <f>VLOOKUP(C255,'Talente &amp; Stuff'!IA:JB,17,FALSE)</f>
        <v>0</v>
      </c>
      <c r="T255" s="119">
        <f>VLOOKUP(C255,'Talente &amp; Stuff'!IA:JB,18,FALSE)</f>
        <v>0</v>
      </c>
      <c r="U255" s="89">
        <f>VLOOKUP(C255,'Talente &amp; Stuff'!IA:JB,19,FALSE)</f>
        <v>0</v>
      </c>
      <c r="V255" s="47">
        <f>VLOOKUP(C255,'Talente &amp; Stuff'!IA:JB,20,FALSE)</f>
        <v>0</v>
      </c>
      <c r="W255" s="127">
        <f>VLOOKUP(C255,'Talente &amp; Stuff'!IA:JB,21,FALSE)</f>
        <v>0</v>
      </c>
      <c r="X255" s="127">
        <f>VLOOKUP(C255,'Talente &amp; Stuff'!IA:JB,22,FALSE)</f>
        <v>0</v>
      </c>
      <c r="Y255" s="165">
        <f t="shared" si="20"/>
        <v>0</v>
      </c>
      <c r="Z255" s="44">
        <f t="shared" si="21"/>
        <v>0</v>
      </c>
      <c r="AA255" s="125">
        <f>VLOOKUP(C255,'Talente &amp; Stuff'!IA:JB,25,FALSE)</f>
        <v>0</v>
      </c>
      <c r="AB255" s="160">
        <f>VLOOKUP(C255,'Talente &amp; Stuff'!IA:JB,26,FALSE)</f>
        <v>0</v>
      </c>
      <c r="AC255" s="127">
        <f>VLOOKUP(C255,'Talente &amp; Stuff'!IA:JB,27,FALSE)</f>
        <v>0</v>
      </c>
      <c r="AD255" s="125">
        <f>VLOOKUP(C255,'Talente &amp; Stuff'!IA:JB,28,FALSE)</f>
        <v>0</v>
      </c>
      <c r="AE255" s="28"/>
    </row>
    <row r="256" spans="2:31" ht="15" hidden="1" customHeight="1" outlineLevel="2">
      <c r="B256" s="148">
        <v>44</v>
      </c>
      <c r="C256" s="177" t="str">
        <f>Attribute!C256</f>
        <v>---</v>
      </c>
      <c r="D256" s="125" t="str">
        <f>VLOOKUP(C256,'Talente &amp; Stuff'!IA:JB,2,FALSE)</f>
        <v>--/--/--</v>
      </c>
      <c r="E256" s="127" t="str">
        <f>VLOOKUP(C256,'Talente &amp; Stuff'!IA:JB,3,FALSE)</f>
        <v>-</v>
      </c>
      <c r="F256" s="114">
        <f>VLOOKUP(C256,'Talente &amp; Stuff'!IA:JB,4,FALSE)</f>
        <v>0</v>
      </c>
      <c r="G256" s="113">
        <f>VLOOKUP(C256,'Talente &amp; Stuff'!IA:JB,5,FALSE)</f>
        <v>0</v>
      </c>
      <c r="H256" s="113">
        <f>VLOOKUP(C256,'Talente &amp; Stuff'!IA:JB,6,FALSE)</f>
        <v>0</v>
      </c>
      <c r="I256" s="113">
        <f>VLOOKUP(C256,'Talente &amp; Stuff'!IA:JB,7,FALSE)</f>
        <v>0</v>
      </c>
      <c r="J256" s="113">
        <f>VLOOKUP(C256,'Talente &amp; Stuff'!IA:JB,8,FALSE)</f>
        <v>0</v>
      </c>
      <c r="K256" s="113">
        <f>VLOOKUP(C256,'Talente &amp; Stuff'!IA:JB,9,FALSE)</f>
        <v>0</v>
      </c>
      <c r="L256" s="113">
        <f>VLOOKUP(C256,'Talente &amp; Stuff'!IA:JB,10,FALSE)</f>
        <v>0</v>
      </c>
      <c r="M256" s="119">
        <f>VLOOKUP(C256,'Talente &amp; Stuff'!IA:JB,11,FALSE)</f>
        <v>0</v>
      </c>
      <c r="N256" s="47">
        <f>VLOOKUP(C256,'Talente &amp; Stuff'!IA:JB,12,FALSE)</f>
        <v>0</v>
      </c>
      <c r="O256" s="47">
        <f>VLOOKUP(C256,'Talente &amp; Stuff'!IA:JB,13,FALSE)</f>
        <v>0</v>
      </c>
      <c r="P256" s="119">
        <f>VLOOKUP(C256,'Talente &amp; Stuff'!IA:JB,14,FALSE)</f>
        <v>0</v>
      </c>
      <c r="Q256" s="114">
        <f>VLOOKUP(C256,'Talente &amp; Stuff'!IA:JB,15,FALSE)</f>
        <v>0</v>
      </c>
      <c r="R256" s="113">
        <f>VLOOKUP(C256,'Talente &amp; Stuff'!IA:JB,16,FALSE)</f>
        <v>0</v>
      </c>
      <c r="S256" s="119">
        <f>VLOOKUP(C256,'Talente &amp; Stuff'!IA:JB,17,FALSE)</f>
        <v>0</v>
      </c>
      <c r="T256" s="119">
        <f>VLOOKUP(C256,'Talente &amp; Stuff'!IA:JB,18,FALSE)</f>
        <v>0</v>
      </c>
      <c r="U256" s="89">
        <f>VLOOKUP(C256,'Talente &amp; Stuff'!IA:JB,19,FALSE)</f>
        <v>0</v>
      </c>
      <c r="V256" s="47">
        <f>VLOOKUP(C256,'Talente &amp; Stuff'!IA:JB,20,FALSE)</f>
        <v>0</v>
      </c>
      <c r="W256" s="127">
        <f>VLOOKUP(C256,'Talente &amp; Stuff'!IA:JB,21,FALSE)</f>
        <v>0</v>
      </c>
      <c r="X256" s="127">
        <f>VLOOKUP(C256,'Talente &amp; Stuff'!IA:JB,22,FALSE)</f>
        <v>0</v>
      </c>
      <c r="Y256" s="165">
        <f t="shared" si="20"/>
        <v>0</v>
      </c>
      <c r="Z256" s="44">
        <f t="shared" si="21"/>
        <v>0</v>
      </c>
      <c r="AA256" s="125">
        <f>VLOOKUP(C256,'Talente &amp; Stuff'!IA:JB,25,FALSE)</f>
        <v>0</v>
      </c>
      <c r="AB256" s="160">
        <f>VLOOKUP(C256,'Talente &amp; Stuff'!IA:JB,26,FALSE)</f>
        <v>0</v>
      </c>
      <c r="AC256" s="127">
        <f>VLOOKUP(C256,'Talente &amp; Stuff'!IA:JB,27,FALSE)</f>
        <v>0</v>
      </c>
      <c r="AD256" s="125">
        <f>VLOOKUP(C256,'Talente &amp; Stuff'!IA:JB,28,FALSE)</f>
        <v>0</v>
      </c>
      <c r="AE256" s="28"/>
    </row>
    <row r="257" spans="2:31" ht="15" hidden="1" customHeight="1" outlineLevel="2">
      <c r="B257" s="148">
        <v>45</v>
      </c>
      <c r="C257" s="178" t="str">
        <f>Attribute!C257</f>
        <v>---</v>
      </c>
      <c r="D257" s="159" t="str">
        <f>VLOOKUP(C257,'Talente &amp; Stuff'!IA:JB,2,FALSE)</f>
        <v>--/--/--</v>
      </c>
      <c r="E257" s="128" t="str">
        <f>VLOOKUP(C257,'Talente &amp; Stuff'!IA:JB,3,FALSE)</f>
        <v>-</v>
      </c>
      <c r="F257" s="115">
        <f>VLOOKUP(C257,'Talente &amp; Stuff'!IA:JB,4,FALSE)</f>
        <v>0</v>
      </c>
      <c r="G257" s="122">
        <f>VLOOKUP(C257,'Talente &amp; Stuff'!IA:JB,5,FALSE)</f>
        <v>0</v>
      </c>
      <c r="H257" s="122">
        <f>VLOOKUP(C257,'Talente &amp; Stuff'!IA:JB,6,FALSE)</f>
        <v>0</v>
      </c>
      <c r="I257" s="122">
        <f>VLOOKUP(C257,'Talente &amp; Stuff'!IA:JB,7,FALSE)</f>
        <v>0</v>
      </c>
      <c r="J257" s="122">
        <f>VLOOKUP(C257,'Talente &amp; Stuff'!IA:JB,8,FALSE)</f>
        <v>0</v>
      </c>
      <c r="K257" s="122">
        <f>VLOOKUP(C257,'Talente &amp; Stuff'!IA:JB,9,FALSE)</f>
        <v>0</v>
      </c>
      <c r="L257" s="122">
        <f>VLOOKUP(C257,'Talente &amp; Stuff'!IA:JB,10,FALSE)</f>
        <v>0</v>
      </c>
      <c r="M257" s="123">
        <f>VLOOKUP(C257,'Talente &amp; Stuff'!IA:JB,11,FALSE)</f>
        <v>0</v>
      </c>
      <c r="N257" s="88">
        <f>VLOOKUP(C257,'Talente &amp; Stuff'!IA:JB,12,FALSE)</f>
        <v>0</v>
      </c>
      <c r="O257" s="88">
        <f>VLOOKUP(C257,'Talente &amp; Stuff'!IA:JB,13,FALSE)</f>
        <v>0</v>
      </c>
      <c r="P257" s="123">
        <f>VLOOKUP(C257,'Talente &amp; Stuff'!IA:JB,14,FALSE)</f>
        <v>0</v>
      </c>
      <c r="Q257" s="115">
        <f>VLOOKUP(C257,'Talente &amp; Stuff'!IA:JB,15,FALSE)</f>
        <v>0</v>
      </c>
      <c r="R257" s="122">
        <f>VLOOKUP(C257,'Talente &amp; Stuff'!IA:JB,16,FALSE)</f>
        <v>0</v>
      </c>
      <c r="S257" s="123">
        <f>VLOOKUP(C257,'Talente &amp; Stuff'!IA:JB,17,FALSE)</f>
        <v>0</v>
      </c>
      <c r="T257" s="123">
        <f>VLOOKUP(C257,'Talente &amp; Stuff'!IA:JB,18,FALSE)</f>
        <v>0</v>
      </c>
      <c r="U257" s="90">
        <f>VLOOKUP(C257,'Talente &amp; Stuff'!IA:JB,19,FALSE)</f>
        <v>0</v>
      </c>
      <c r="V257" s="88">
        <f>VLOOKUP(C257,'Talente &amp; Stuff'!IA:JB,20,FALSE)</f>
        <v>0</v>
      </c>
      <c r="W257" s="128">
        <f>VLOOKUP(C257,'Talente &amp; Stuff'!IA:JB,21,FALSE)</f>
        <v>0</v>
      </c>
      <c r="X257" s="128">
        <f>VLOOKUP(C257,'Talente &amp; Stuff'!IA:JB,22,FALSE)</f>
        <v>0</v>
      </c>
      <c r="Y257" s="165">
        <f t="shared" si="20"/>
        <v>0</v>
      </c>
      <c r="Z257" s="44">
        <f t="shared" si="21"/>
        <v>0</v>
      </c>
      <c r="AA257" s="159">
        <f>VLOOKUP(C257,'Talente &amp; Stuff'!IA:JB,25,FALSE)</f>
        <v>0</v>
      </c>
      <c r="AB257" s="161">
        <f>VLOOKUP(C257,'Talente &amp; Stuff'!IA:JB,26,FALSE)</f>
        <v>0</v>
      </c>
      <c r="AC257" s="128">
        <f>VLOOKUP(C257,'Talente &amp; Stuff'!IA:JB,27,FALSE)</f>
        <v>0</v>
      </c>
      <c r="AD257" s="159">
        <f>VLOOKUP(C257,'Talente &amp; Stuff'!IA:JB,28,FALSE)</f>
        <v>0</v>
      </c>
      <c r="AE257" s="28"/>
    </row>
    <row r="258" spans="2:31" ht="15" hidden="1" customHeight="1" outlineLevel="1" collapsed="1">
      <c r="B258" s="134" t="s">
        <v>407</v>
      </c>
      <c r="C258" s="83"/>
      <c r="D258" s="84"/>
      <c r="E258" s="84"/>
    </row>
    <row r="259" spans="2:31" ht="15" hidden="1" customHeight="1" outlineLevel="2">
      <c r="B259" s="148">
        <v>1</v>
      </c>
      <c r="C259" s="200" t="str">
        <f>Attribute!C259</f>
        <v>---</v>
      </c>
      <c r="D259" s="186" t="str">
        <f>VLOOKUP(C259,'Talente &amp; Stuff'!IA:JB,2,FALSE)</f>
        <v>--/--/--</v>
      </c>
      <c r="E259" s="40" t="str">
        <f>VLOOKUP(C259,'Talente &amp; Stuff'!IA:JB,3,FALSE)</f>
        <v>-</v>
      </c>
      <c r="F259" s="17">
        <f>VLOOKUP(C259,'Talente &amp; Stuff'!IA:JB,4,FALSE)</f>
        <v>0</v>
      </c>
      <c r="G259" s="183">
        <f>VLOOKUP(C259,'Talente &amp; Stuff'!IA:JB,5,FALSE)</f>
        <v>0</v>
      </c>
      <c r="H259" s="183">
        <f>VLOOKUP(C259,'Talente &amp; Stuff'!IA:JB,6,FALSE)</f>
        <v>0</v>
      </c>
      <c r="I259" s="183">
        <f>VLOOKUP(C259,'Talente &amp; Stuff'!IA:JB,7,FALSE)</f>
        <v>0</v>
      </c>
      <c r="J259" s="183">
        <f>VLOOKUP(C259,'Talente &amp; Stuff'!IA:JB,8,FALSE)</f>
        <v>0</v>
      </c>
      <c r="K259" s="183">
        <f>VLOOKUP(C259,'Talente &amp; Stuff'!IA:JB,9,FALSE)</f>
        <v>0</v>
      </c>
      <c r="L259" s="183">
        <f>VLOOKUP(C259,'Talente &amp; Stuff'!IA:JB,10,FALSE)</f>
        <v>0</v>
      </c>
      <c r="M259" s="180">
        <f>VLOOKUP(C259,'Talente &amp; Stuff'!IA:JB,11,FALSE)</f>
        <v>0</v>
      </c>
      <c r="N259" s="166">
        <f>VLOOKUP(C259,'Talente &amp; Stuff'!IA:JB,12,FALSE)</f>
        <v>0</v>
      </c>
      <c r="O259" s="32">
        <f>VLOOKUP(C259,'Talente &amp; Stuff'!IA:JB,13,FALSE)</f>
        <v>0</v>
      </c>
      <c r="P259" s="187">
        <f>VLOOKUP(C259,'Talente &amp; Stuff'!IA:JB,14,FALSE)</f>
        <v>0</v>
      </c>
      <c r="Q259" s="17">
        <f>VLOOKUP(C259,'Talente &amp; Stuff'!IA:JB,15,FALSE)</f>
        <v>0</v>
      </c>
      <c r="R259" s="188">
        <f>VLOOKUP(C259,'Talente &amp; Stuff'!IA:JB,16,FALSE)</f>
        <v>0</v>
      </c>
      <c r="S259" s="180">
        <f>VLOOKUP(C259,'Talente &amp; Stuff'!IA:JB,17,FALSE)</f>
        <v>0</v>
      </c>
      <c r="T259" s="189">
        <f>VLOOKUP(C259,'Talente &amp; Stuff'!IA:JB,18,FALSE)</f>
        <v>0</v>
      </c>
      <c r="U259" s="166">
        <f>VLOOKUP(C259,'Talente &amp; Stuff'!IA:JB,19,FALSE)</f>
        <v>0</v>
      </c>
      <c r="V259" s="179">
        <f>VLOOKUP(C259,'Talente &amp; Stuff'!IA:JB,20,FALSE)</f>
        <v>0</v>
      </c>
      <c r="W259" s="182">
        <f>VLOOKUP(C259,'Talente &amp; Stuff'!IA:JB,21,FALSE)</f>
        <v>0</v>
      </c>
      <c r="X259" s="182">
        <f>VLOOKUP(C259,'Talente &amp; Stuff'!IA:JB,22,FALSE)</f>
        <v>0</v>
      </c>
      <c r="Y259" s="165">
        <f>VLOOKUP(C259,Ausgewählte_Zauber_Kristallomanten,255,FALSE)</f>
        <v>0</v>
      </c>
      <c r="Z259" s="44">
        <f>VLOOKUP(C259,Ausgewählte_Zauber_Kristallomanten,256,FALSE)</f>
        <v>0</v>
      </c>
      <c r="AA259" s="40">
        <f>VLOOKUP(C259,'Talente &amp; Stuff'!IA:JB,25,FALSE)</f>
        <v>0</v>
      </c>
      <c r="AB259" s="189">
        <f>VLOOKUP(C259,'Talente &amp; Stuff'!IA:JB,26,FALSE)</f>
        <v>0</v>
      </c>
      <c r="AC259" s="182">
        <f>VLOOKUP(C259,'Talente &amp; Stuff'!IA:JB,27,FALSE)</f>
        <v>0</v>
      </c>
      <c r="AD259" s="40">
        <f>VLOOKUP(C259,'Talente &amp; Stuff'!IA:JB,28,FALSE)</f>
        <v>0</v>
      </c>
      <c r="AE259" s="28"/>
    </row>
    <row r="260" spans="2:31" ht="15" hidden="1" customHeight="1" outlineLevel="1" collapsed="1">
      <c r="B260" s="134" t="s">
        <v>408</v>
      </c>
      <c r="C260" s="83"/>
      <c r="D260" s="84"/>
      <c r="E260" s="84"/>
    </row>
    <row r="261" spans="2:31" ht="15" hidden="1" customHeight="1" outlineLevel="2">
      <c r="B261" s="148">
        <v>1</v>
      </c>
      <c r="C261" s="162" t="str">
        <f>Attribute!C261</f>
        <v>---</v>
      </c>
      <c r="D261" s="85" t="str">
        <f>VLOOKUP(C261,'Talente &amp; Stuff'!IA:JB,2,FALSE)</f>
        <v>--/--/--</v>
      </c>
      <c r="E261" s="126" t="str">
        <f>VLOOKUP(C261,'Talente &amp; Stuff'!IA:JB,3,FALSE)</f>
        <v>-</v>
      </c>
      <c r="F261" s="191">
        <f>VLOOKUP(C261,'Talente &amp; Stuff'!IA:JB,4,FALSE)</f>
        <v>0</v>
      </c>
      <c r="G261" s="118">
        <f>VLOOKUP(C261,'Talente &amp; Stuff'!IA:JB,5,FALSE)</f>
        <v>0</v>
      </c>
      <c r="H261" s="118">
        <f>VLOOKUP(C261,'Talente &amp; Stuff'!IA:JB,6,FALSE)</f>
        <v>0</v>
      </c>
      <c r="I261" s="118">
        <f>VLOOKUP(C261,'Talente &amp; Stuff'!IA:JB,7,FALSE)</f>
        <v>0</v>
      </c>
      <c r="J261" s="118">
        <f>VLOOKUP(C261,'Talente &amp; Stuff'!IA:JB,8,FALSE)</f>
        <v>0</v>
      </c>
      <c r="K261" s="118">
        <f>VLOOKUP(C261,'Talente &amp; Stuff'!IA:JB,9,FALSE)</f>
        <v>0</v>
      </c>
      <c r="L261" s="118">
        <f>VLOOKUP(C261,'Talente &amp; Stuff'!IA:JB,10,FALSE)</f>
        <v>0</v>
      </c>
      <c r="M261" s="92">
        <f>VLOOKUP(C261,'Talente &amp; Stuff'!IA:JB,11,FALSE)</f>
        <v>0</v>
      </c>
      <c r="N261" s="116">
        <f>VLOOKUP(C261,'Talente &amp; Stuff'!IA:JB,12,FALSE)</f>
        <v>0</v>
      </c>
      <c r="O261" s="194">
        <f>VLOOKUP(C261,'Talente &amp; Stuff'!IA:JB,13,FALSE)</f>
        <v>0</v>
      </c>
      <c r="P261" s="192">
        <f>VLOOKUP(C261,'Talente &amp; Stuff'!IA:JB,14,FALSE)</f>
        <v>0</v>
      </c>
      <c r="Q261" s="191">
        <f>VLOOKUP(C261,'Talente &amp; Stuff'!IA:JB,15,FALSE)</f>
        <v>0</v>
      </c>
      <c r="R261" s="170">
        <f>VLOOKUP(C261,'Talente &amp; Stuff'!IA:JB,16,FALSE)</f>
        <v>0</v>
      </c>
      <c r="S261" s="92">
        <f>VLOOKUP(C261,'Talente &amp; Stuff'!IA:JB,17,FALSE)</f>
        <v>0</v>
      </c>
      <c r="T261" s="92">
        <f>VLOOKUP(C261,'Talente &amp; Stuff'!IA:JB,18,FALSE)</f>
        <v>0</v>
      </c>
      <c r="U261" s="193">
        <f>VLOOKUP(C261,'Talente &amp; Stuff'!IA:JB,19,FALSE)</f>
        <v>0</v>
      </c>
      <c r="V261" s="116">
        <f>VLOOKUP(C261,'Talente &amp; Stuff'!IA:JB,20,FALSE)</f>
        <v>0</v>
      </c>
      <c r="W261" s="126">
        <f>VLOOKUP(C261,'Talente &amp; Stuff'!IA:JB,21,FALSE)</f>
        <v>0</v>
      </c>
      <c r="X261" s="126">
        <f>VLOOKUP(C261,'Talente &amp; Stuff'!IA:JB,22,FALSE)</f>
        <v>0</v>
      </c>
      <c r="Y261" s="165">
        <f t="shared" ref="Y261:Y296" si="22">VLOOKUP(C261,Ausgewählte_Zauber_Scharlatane,255,FALSE)</f>
        <v>0</v>
      </c>
      <c r="Z261" s="44">
        <f t="shared" ref="Z261:Z296" si="23">VLOOKUP(C261,Ausgewählte_Zauber_Scharlatane,256,FALSE)</f>
        <v>0</v>
      </c>
      <c r="AA261" s="158">
        <f>VLOOKUP(C261,'Talente &amp; Stuff'!IA:JB,25,FALSE)</f>
        <v>0</v>
      </c>
      <c r="AB261" s="91">
        <f>VLOOKUP(C261,'Talente &amp; Stuff'!IA:JB,26,FALSE)</f>
        <v>0</v>
      </c>
      <c r="AC261" s="126">
        <f>VLOOKUP(C261,'Talente &amp; Stuff'!IA:JB,27,FALSE)</f>
        <v>0</v>
      </c>
      <c r="AD261" s="158">
        <f>VLOOKUP(C261,'Talente &amp; Stuff'!IA:JB,28,FALSE)</f>
        <v>0</v>
      </c>
      <c r="AE261" s="28"/>
    </row>
    <row r="262" spans="2:31" ht="15" hidden="1" customHeight="1" outlineLevel="2">
      <c r="B262" s="148">
        <v>2</v>
      </c>
      <c r="C262" s="163" t="str">
        <f>Attribute!C262</f>
        <v>---</v>
      </c>
      <c r="D262" s="125" t="str">
        <f>VLOOKUP(C262,'Talente &amp; Stuff'!IA:JB,2,FALSE)</f>
        <v>--/--/--</v>
      </c>
      <c r="E262" s="127" t="str">
        <f>VLOOKUP(C262,'Talente &amp; Stuff'!IA:JB,3,FALSE)</f>
        <v>-</v>
      </c>
      <c r="F262" s="114">
        <f>VLOOKUP(C262,'Talente &amp; Stuff'!IA:JB,4,FALSE)</f>
        <v>0</v>
      </c>
      <c r="G262" s="113">
        <f>VLOOKUP(C262,'Talente &amp; Stuff'!IA:JB,5,FALSE)</f>
        <v>0</v>
      </c>
      <c r="H262" s="113">
        <f>VLOOKUP(C262,'Talente &amp; Stuff'!IA:JB,6,FALSE)</f>
        <v>0</v>
      </c>
      <c r="I262" s="113">
        <f>VLOOKUP(C262,'Talente &amp; Stuff'!IA:JB,7,FALSE)</f>
        <v>0</v>
      </c>
      <c r="J262" s="113">
        <f>VLOOKUP(C262,'Talente &amp; Stuff'!IA:JB,8,FALSE)</f>
        <v>0</v>
      </c>
      <c r="K262" s="113">
        <f>VLOOKUP(C262,'Talente &amp; Stuff'!IA:JB,9,FALSE)</f>
        <v>0</v>
      </c>
      <c r="L262" s="113">
        <f>VLOOKUP(C262,'Talente &amp; Stuff'!IA:JB,10,FALSE)</f>
        <v>0</v>
      </c>
      <c r="M262" s="119">
        <f>VLOOKUP(C262,'Talente &amp; Stuff'!IA:JB,11,FALSE)</f>
        <v>0</v>
      </c>
      <c r="N262" s="47">
        <f>VLOOKUP(C262,'Talente &amp; Stuff'!IA:JB,12,FALSE)</f>
        <v>0</v>
      </c>
      <c r="O262" s="47">
        <f>VLOOKUP(C262,'Talente &amp; Stuff'!IA:JB,13,FALSE)</f>
        <v>0</v>
      </c>
      <c r="P262" s="119">
        <f>VLOOKUP(C262,'Talente &amp; Stuff'!IA:JB,14,FALSE)</f>
        <v>0</v>
      </c>
      <c r="Q262" s="114">
        <f>VLOOKUP(C262,'Talente &amp; Stuff'!IA:JB,15,FALSE)</f>
        <v>0</v>
      </c>
      <c r="R262" s="113">
        <f>VLOOKUP(C262,'Talente &amp; Stuff'!IA:JB,16,FALSE)</f>
        <v>0</v>
      </c>
      <c r="S262" s="119">
        <f>VLOOKUP(C262,'Talente &amp; Stuff'!IA:JB,17,FALSE)</f>
        <v>0</v>
      </c>
      <c r="T262" s="119">
        <f>VLOOKUP(C262,'Talente &amp; Stuff'!IA:JB,18,FALSE)</f>
        <v>0</v>
      </c>
      <c r="U262" s="89">
        <f>VLOOKUP(C262,'Talente &amp; Stuff'!IA:JB,19,FALSE)</f>
        <v>0</v>
      </c>
      <c r="V262" s="47">
        <f>VLOOKUP(C262,'Talente &amp; Stuff'!IA:JB,20,FALSE)</f>
        <v>0</v>
      </c>
      <c r="W262" s="127">
        <f>VLOOKUP(C262,'Talente &amp; Stuff'!IA:JB,21,FALSE)</f>
        <v>0</v>
      </c>
      <c r="X262" s="127">
        <f>VLOOKUP(C262,'Talente &amp; Stuff'!IA:JB,22,FALSE)</f>
        <v>0</v>
      </c>
      <c r="Y262" s="165">
        <f t="shared" si="22"/>
        <v>0</v>
      </c>
      <c r="Z262" s="44">
        <f t="shared" si="23"/>
        <v>0</v>
      </c>
      <c r="AA262" s="125">
        <f>VLOOKUP(C262,'Talente &amp; Stuff'!IA:JB,25,FALSE)</f>
        <v>0</v>
      </c>
      <c r="AB262" s="160">
        <f>VLOOKUP(C262,'Talente &amp; Stuff'!IA:JB,26,FALSE)</f>
        <v>0</v>
      </c>
      <c r="AC262" s="127">
        <f>VLOOKUP(C262,'Talente &amp; Stuff'!IA:JB,27,FALSE)</f>
        <v>0</v>
      </c>
      <c r="AD262" s="125">
        <f>VLOOKUP(C262,'Talente &amp; Stuff'!IA:JB,28,FALSE)</f>
        <v>0</v>
      </c>
      <c r="AE262" s="28"/>
    </row>
    <row r="263" spans="2:31" ht="15" hidden="1" customHeight="1" outlineLevel="2">
      <c r="B263" s="148">
        <v>3</v>
      </c>
      <c r="C263" s="163" t="str">
        <f>Attribute!C263</f>
        <v>---</v>
      </c>
      <c r="D263" s="125" t="str">
        <f>VLOOKUP(C263,'Talente &amp; Stuff'!IA:JB,2,FALSE)</f>
        <v>--/--/--</v>
      </c>
      <c r="E263" s="127" t="str">
        <f>VLOOKUP(C263,'Talente &amp; Stuff'!IA:JB,3,FALSE)</f>
        <v>-</v>
      </c>
      <c r="F263" s="114">
        <f>VLOOKUP(C263,'Talente &amp; Stuff'!IA:JB,4,FALSE)</f>
        <v>0</v>
      </c>
      <c r="G263" s="113">
        <f>VLOOKUP(C263,'Talente &amp; Stuff'!IA:JB,5,FALSE)</f>
        <v>0</v>
      </c>
      <c r="H263" s="113">
        <f>VLOOKUP(C263,'Talente &amp; Stuff'!IA:JB,6,FALSE)</f>
        <v>0</v>
      </c>
      <c r="I263" s="113">
        <f>VLOOKUP(C263,'Talente &amp; Stuff'!IA:JB,7,FALSE)</f>
        <v>0</v>
      </c>
      <c r="J263" s="113">
        <f>VLOOKUP(C263,'Talente &amp; Stuff'!IA:JB,8,FALSE)</f>
        <v>0</v>
      </c>
      <c r="K263" s="113">
        <f>VLOOKUP(C263,'Talente &amp; Stuff'!IA:JB,9,FALSE)</f>
        <v>0</v>
      </c>
      <c r="L263" s="113">
        <f>VLOOKUP(C263,'Talente &amp; Stuff'!IA:JB,10,FALSE)</f>
        <v>0</v>
      </c>
      <c r="M263" s="119">
        <f>VLOOKUP(C263,'Talente &amp; Stuff'!IA:JB,11,FALSE)</f>
        <v>0</v>
      </c>
      <c r="N263" s="47">
        <f>VLOOKUP(C263,'Talente &amp; Stuff'!IA:JB,12,FALSE)</f>
        <v>0</v>
      </c>
      <c r="O263" s="47">
        <f>VLOOKUP(C263,'Talente &amp; Stuff'!IA:JB,13,FALSE)</f>
        <v>0</v>
      </c>
      <c r="P263" s="119">
        <f>VLOOKUP(C263,'Talente &amp; Stuff'!IA:JB,14,FALSE)</f>
        <v>0</v>
      </c>
      <c r="Q263" s="114">
        <f>VLOOKUP(C263,'Talente &amp; Stuff'!IA:JB,15,FALSE)</f>
        <v>0</v>
      </c>
      <c r="R263" s="113">
        <f>VLOOKUP(C263,'Talente &amp; Stuff'!IA:JB,16,FALSE)</f>
        <v>0</v>
      </c>
      <c r="S263" s="119">
        <f>VLOOKUP(C263,'Talente &amp; Stuff'!IA:JB,17,FALSE)</f>
        <v>0</v>
      </c>
      <c r="T263" s="119">
        <f>VLOOKUP(C263,'Talente &amp; Stuff'!IA:JB,18,FALSE)</f>
        <v>0</v>
      </c>
      <c r="U263" s="89">
        <f>VLOOKUP(C263,'Talente &amp; Stuff'!IA:JB,19,FALSE)</f>
        <v>0</v>
      </c>
      <c r="V263" s="47">
        <f>VLOOKUP(C263,'Talente &amp; Stuff'!IA:JB,20,FALSE)</f>
        <v>0</v>
      </c>
      <c r="W263" s="127">
        <f>VLOOKUP(C263,'Talente &amp; Stuff'!IA:JB,21,FALSE)</f>
        <v>0</v>
      </c>
      <c r="X263" s="127">
        <f>VLOOKUP(C263,'Talente &amp; Stuff'!IA:JB,22,FALSE)</f>
        <v>0</v>
      </c>
      <c r="Y263" s="165">
        <f t="shared" si="22"/>
        <v>0</v>
      </c>
      <c r="Z263" s="44">
        <f t="shared" si="23"/>
        <v>0</v>
      </c>
      <c r="AA263" s="125">
        <f>VLOOKUP(C263,'Talente &amp; Stuff'!IA:JB,25,FALSE)</f>
        <v>0</v>
      </c>
      <c r="AB263" s="160">
        <f>VLOOKUP(C263,'Talente &amp; Stuff'!IA:JB,26,FALSE)</f>
        <v>0</v>
      </c>
      <c r="AC263" s="127">
        <f>VLOOKUP(C263,'Talente &amp; Stuff'!IA:JB,27,FALSE)</f>
        <v>0</v>
      </c>
      <c r="AD263" s="125">
        <f>VLOOKUP(C263,'Talente &amp; Stuff'!IA:JB,28,FALSE)</f>
        <v>0</v>
      </c>
      <c r="AE263" s="28"/>
    </row>
    <row r="264" spans="2:31" ht="15" hidden="1" customHeight="1" outlineLevel="2">
      <c r="B264" s="148">
        <v>4</v>
      </c>
      <c r="C264" s="163" t="str">
        <f>Attribute!C264</f>
        <v>---</v>
      </c>
      <c r="D264" s="86" t="str">
        <f>VLOOKUP(C264,'Talente &amp; Stuff'!IA:JB,2,FALSE)</f>
        <v>--/--/--</v>
      </c>
      <c r="E264" s="167" t="str">
        <f>VLOOKUP(C264,'Talente &amp; Stuff'!IA:JB,3,FALSE)</f>
        <v>-</v>
      </c>
      <c r="F264" s="120">
        <f>VLOOKUP(C264,'Talente &amp; Stuff'!IA:JB,4,FALSE)</f>
        <v>0</v>
      </c>
      <c r="G264" s="117">
        <f>VLOOKUP(C264,'Talente &amp; Stuff'!IA:JB,5,FALSE)</f>
        <v>0</v>
      </c>
      <c r="H264" s="117">
        <f>VLOOKUP(C264,'Talente &amp; Stuff'!IA:JB,6,FALSE)</f>
        <v>0</v>
      </c>
      <c r="I264" s="117">
        <f>VLOOKUP(C264,'Talente &amp; Stuff'!IA:JB,7,FALSE)</f>
        <v>0</v>
      </c>
      <c r="J264" s="117">
        <f>VLOOKUP(C264,'Talente &amp; Stuff'!IA:JB,8,FALSE)</f>
        <v>0</v>
      </c>
      <c r="K264" s="117">
        <f>VLOOKUP(C264,'Talente &amp; Stuff'!IA:JB,9,FALSE)</f>
        <v>0</v>
      </c>
      <c r="L264" s="117">
        <f>VLOOKUP(C264,'Talente &amp; Stuff'!IA:JB,10,FALSE)</f>
        <v>0</v>
      </c>
      <c r="M264" s="121">
        <f>VLOOKUP(C264,'Talente &amp; Stuff'!IA:JB,11,FALSE)</f>
        <v>0</v>
      </c>
      <c r="N264" s="47">
        <f>VLOOKUP(C264,'Talente &amp; Stuff'!IA:JB,12,FALSE)</f>
        <v>0</v>
      </c>
      <c r="O264" s="3">
        <f>VLOOKUP(C264,'Talente &amp; Stuff'!IA:JB,13,FALSE)</f>
        <v>0</v>
      </c>
      <c r="P264" s="174">
        <f>VLOOKUP(C264,'Talente &amp; Stuff'!IA:JB,14,FALSE)</f>
        <v>0</v>
      </c>
      <c r="Q264" s="114">
        <f>VLOOKUP(C264,'Talente &amp; Stuff'!IA:JB,15,FALSE)</f>
        <v>0</v>
      </c>
      <c r="R264" s="117">
        <f>VLOOKUP(C264,'Talente &amp; Stuff'!IA:JB,16,FALSE)</f>
        <v>0</v>
      </c>
      <c r="S264" s="119">
        <f>VLOOKUP(C264,'Talente &amp; Stuff'!IA:JB,17,FALSE)</f>
        <v>0</v>
      </c>
      <c r="T264" s="119">
        <f>VLOOKUP(C264,'Talente &amp; Stuff'!IA:JB,18,FALSE)</f>
        <v>0</v>
      </c>
      <c r="U264" s="89">
        <f>VLOOKUP(C264,'Talente &amp; Stuff'!IA:JB,19,FALSE)</f>
        <v>0</v>
      </c>
      <c r="V264" s="47">
        <f>VLOOKUP(C264,'Talente &amp; Stuff'!IA:JB,20,FALSE)</f>
        <v>0</v>
      </c>
      <c r="W264" s="127">
        <f>VLOOKUP(C264,'Talente &amp; Stuff'!IA:JB,21,FALSE)</f>
        <v>0</v>
      </c>
      <c r="X264" s="127">
        <f>VLOOKUP(C264,'Talente &amp; Stuff'!IA:JB,22,FALSE)</f>
        <v>0</v>
      </c>
      <c r="Y264" s="165">
        <f t="shared" si="22"/>
        <v>0</v>
      </c>
      <c r="Z264" s="44">
        <f t="shared" si="23"/>
        <v>0</v>
      </c>
      <c r="AA264" s="125">
        <f>VLOOKUP(C264,'Talente &amp; Stuff'!IA:JB,25,FALSE)</f>
        <v>0</v>
      </c>
      <c r="AB264" s="160">
        <f>VLOOKUP(C264,'Talente &amp; Stuff'!IA:JB,26,FALSE)</f>
        <v>0</v>
      </c>
      <c r="AC264" s="127">
        <f>VLOOKUP(C264,'Talente &amp; Stuff'!IA:JB,27,FALSE)</f>
        <v>0</v>
      </c>
      <c r="AD264" s="125">
        <f>VLOOKUP(C264,'Talente &amp; Stuff'!IA:JB,28,FALSE)</f>
        <v>0</v>
      </c>
      <c r="AE264" s="28"/>
    </row>
    <row r="265" spans="2:31" ht="15" hidden="1" customHeight="1" outlineLevel="2">
      <c r="B265" s="148">
        <v>5</v>
      </c>
      <c r="C265" s="163" t="str">
        <f>Attribute!C265</f>
        <v>---</v>
      </c>
      <c r="D265" s="86" t="str">
        <f>VLOOKUP(C265,'Talente &amp; Stuff'!IA:JB,2,FALSE)</f>
        <v>--/--/--</v>
      </c>
      <c r="E265" s="167" t="str">
        <f>VLOOKUP(C265,'Talente &amp; Stuff'!IA:JB,3,FALSE)</f>
        <v>-</v>
      </c>
      <c r="F265" s="120">
        <f>VLOOKUP(C265,'Talente &amp; Stuff'!IA:JB,4,FALSE)</f>
        <v>0</v>
      </c>
      <c r="G265" s="117">
        <f>VLOOKUP(C265,'Talente &amp; Stuff'!IA:JB,5,FALSE)</f>
        <v>0</v>
      </c>
      <c r="H265" s="117">
        <f>VLOOKUP(C265,'Talente &amp; Stuff'!IA:JB,6,FALSE)</f>
        <v>0</v>
      </c>
      <c r="I265" s="117">
        <f>VLOOKUP(C265,'Talente &amp; Stuff'!IA:JB,7,FALSE)</f>
        <v>0</v>
      </c>
      <c r="J265" s="117">
        <f>VLOOKUP(C265,'Talente &amp; Stuff'!IA:JB,8,FALSE)</f>
        <v>0</v>
      </c>
      <c r="K265" s="117">
        <f>VLOOKUP(C265,'Talente &amp; Stuff'!IA:JB,9,FALSE)</f>
        <v>0</v>
      </c>
      <c r="L265" s="117">
        <f>VLOOKUP(C265,'Talente &amp; Stuff'!IA:JB,10,FALSE)</f>
        <v>0</v>
      </c>
      <c r="M265" s="121">
        <f>VLOOKUP(C265,'Talente &amp; Stuff'!IA:JB,11,FALSE)</f>
        <v>0</v>
      </c>
      <c r="N265" s="47">
        <f>VLOOKUP(C265,'Talente &amp; Stuff'!IA:JB,12,FALSE)</f>
        <v>0</v>
      </c>
      <c r="O265" s="3">
        <f>VLOOKUP(C265,'Talente &amp; Stuff'!IA:JB,13,FALSE)</f>
        <v>0</v>
      </c>
      <c r="P265" s="174">
        <f>VLOOKUP(C265,'Talente &amp; Stuff'!IA:JB,14,FALSE)</f>
        <v>0</v>
      </c>
      <c r="Q265" s="114">
        <f>VLOOKUP(C265,'Talente &amp; Stuff'!IA:JB,15,FALSE)</f>
        <v>0</v>
      </c>
      <c r="R265" s="117">
        <f>VLOOKUP(C265,'Talente &amp; Stuff'!IA:JB,16,FALSE)</f>
        <v>0</v>
      </c>
      <c r="S265" s="119">
        <f>VLOOKUP(C265,'Talente &amp; Stuff'!IA:JB,17,FALSE)</f>
        <v>0</v>
      </c>
      <c r="T265" s="119">
        <f>VLOOKUP(C265,'Talente &amp; Stuff'!IA:JB,18,FALSE)</f>
        <v>0</v>
      </c>
      <c r="U265" s="89">
        <f>VLOOKUP(C265,'Talente &amp; Stuff'!IA:JB,19,FALSE)</f>
        <v>0</v>
      </c>
      <c r="V265" s="47">
        <f>VLOOKUP(C265,'Talente &amp; Stuff'!IA:JB,20,FALSE)</f>
        <v>0</v>
      </c>
      <c r="W265" s="127">
        <f>VLOOKUP(C265,'Talente &amp; Stuff'!IA:JB,21,FALSE)</f>
        <v>0</v>
      </c>
      <c r="X265" s="127">
        <f>VLOOKUP(C265,'Talente &amp; Stuff'!IA:JB,22,FALSE)</f>
        <v>0</v>
      </c>
      <c r="Y265" s="165">
        <f t="shared" si="22"/>
        <v>0</v>
      </c>
      <c r="Z265" s="44">
        <f t="shared" si="23"/>
        <v>0</v>
      </c>
      <c r="AA265" s="125">
        <f>VLOOKUP(C265,'Talente &amp; Stuff'!IA:JB,25,FALSE)</f>
        <v>0</v>
      </c>
      <c r="AB265" s="160">
        <f>VLOOKUP(C265,'Talente &amp; Stuff'!IA:JB,26,FALSE)</f>
        <v>0</v>
      </c>
      <c r="AC265" s="127">
        <f>VLOOKUP(C265,'Talente &amp; Stuff'!IA:JB,27,FALSE)</f>
        <v>0</v>
      </c>
      <c r="AD265" s="125">
        <f>VLOOKUP(C265,'Talente &amp; Stuff'!IA:JB,28,FALSE)</f>
        <v>0</v>
      </c>
      <c r="AE265" s="28"/>
    </row>
    <row r="266" spans="2:31" ht="15" hidden="1" customHeight="1" outlineLevel="2">
      <c r="B266" s="148">
        <v>6</v>
      </c>
      <c r="C266" s="163" t="str">
        <f>Attribute!C266</f>
        <v>---</v>
      </c>
      <c r="D266" s="125" t="str">
        <f>VLOOKUP(C266,'Talente &amp; Stuff'!IA:JB,2,FALSE)</f>
        <v>--/--/--</v>
      </c>
      <c r="E266" s="127" t="str">
        <f>VLOOKUP(C266,'Talente &amp; Stuff'!IA:JB,3,FALSE)</f>
        <v>-</v>
      </c>
      <c r="F266" s="114">
        <f>VLOOKUP(C266,'Talente &amp; Stuff'!IA:JB,4,FALSE)</f>
        <v>0</v>
      </c>
      <c r="G266" s="113">
        <f>VLOOKUP(C266,'Talente &amp; Stuff'!IA:JB,5,FALSE)</f>
        <v>0</v>
      </c>
      <c r="H266" s="113">
        <f>VLOOKUP(C266,'Talente &amp; Stuff'!IA:JB,6,FALSE)</f>
        <v>0</v>
      </c>
      <c r="I266" s="113">
        <f>VLOOKUP(C266,'Talente &amp; Stuff'!IA:JB,7,FALSE)</f>
        <v>0</v>
      </c>
      <c r="J266" s="113">
        <f>VLOOKUP(C266,'Talente &amp; Stuff'!IA:JB,8,FALSE)</f>
        <v>0</v>
      </c>
      <c r="K266" s="113">
        <f>VLOOKUP(C266,'Talente &amp; Stuff'!IA:JB,9,FALSE)</f>
        <v>0</v>
      </c>
      <c r="L266" s="113">
        <f>VLOOKUP(C266,'Talente &amp; Stuff'!IA:JB,10,FALSE)</f>
        <v>0</v>
      </c>
      <c r="M266" s="119">
        <f>VLOOKUP(C266,'Talente &amp; Stuff'!IA:JB,11,FALSE)</f>
        <v>0</v>
      </c>
      <c r="N266" s="47">
        <f>VLOOKUP(C266,'Talente &amp; Stuff'!IA:JB,12,FALSE)</f>
        <v>0</v>
      </c>
      <c r="O266" s="47">
        <f>VLOOKUP(C266,'Talente &amp; Stuff'!IA:JB,13,FALSE)</f>
        <v>0</v>
      </c>
      <c r="P266" s="119">
        <f>VLOOKUP(C266,'Talente &amp; Stuff'!IA:JB,14,FALSE)</f>
        <v>0</v>
      </c>
      <c r="Q266" s="114">
        <f>VLOOKUP(C266,'Talente &amp; Stuff'!IA:JB,15,FALSE)</f>
        <v>0</v>
      </c>
      <c r="R266" s="113">
        <f>VLOOKUP(C266,'Talente &amp; Stuff'!IA:JB,16,FALSE)</f>
        <v>0</v>
      </c>
      <c r="S266" s="119">
        <f>VLOOKUP(C266,'Talente &amp; Stuff'!IA:JB,17,FALSE)</f>
        <v>0</v>
      </c>
      <c r="T266" s="119">
        <f>VLOOKUP(C266,'Talente &amp; Stuff'!IA:JB,18,FALSE)</f>
        <v>0</v>
      </c>
      <c r="U266" s="89">
        <f>VLOOKUP(C266,'Talente &amp; Stuff'!IA:JB,19,FALSE)</f>
        <v>0</v>
      </c>
      <c r="V266" s="47">
        <f>VLOOKUP(C266,'Talente &amp; Stuff'!IA:JB,20,FALSE)</f>
        <v>0</v>
      </c>
      <c r="W266" s="127">
        <f>VLOOKUP(C266,'Talente &amp; Stuff'!IA:JB,21,FALSE)</f>
        <v>0</v>
      </c>
      <c r="X266" s="127">
        <f>VLOOKUP(C266,'Talente &amp; Stuff'!IA:JB,22,FALSE)</f>
        <v>0</v>
      </c>
      <c r="Y266" s="165">
        <f t="shared" si="22"/>
        <v>0</v>
      </c>
      <c r="Z266" s="44">
        <f t="shared" si="23"/>
        <v>0</v>
      </c>
      <c r="AA266" s="125">
        <f>VLOOKUP(C266,'Talente &amp; Stuff'!IA:JB,25,FALSE)</f>
        <v>0</v>
      </c>
      <c r="AB266" s="160">
        <f>VLOOKUP(C266,'Talente &amp; Stuff'!IA:JB,26,FALSE)</f>
        <v>0</v>
      </c>
      <c r="AC266" s="127">
        <f>VLOOKUP(C266,'Talente &amp; Stuff'!IA:JB,27,FALSE)</f>
        <v>0</v>
      </c>
      <c r="AD266" s="125">
        <f>VLOOKUP(C266,'Talente &amp; Stuff'!IA:JB,28,FALSE)</f>
        <v>0</v>
      </c>
      <c r="AE266" s="28"/>
    </row>
    <row r="267" spans="2:31" ht="15" hidden="1" customHeight="1" outlineLevel="2">
      <c r="B267" s="148">
        <v>7</v>
      </c>
      <c r="C267" s="163" t="str">
        <f>Attribute!C267</f>
        <v>---</v>
      </c>
      <c r="D267" s="125" t="str">
        <f>VLOOKUP(C267,'Talente &amp; Stuff'!IA:JB,2,FALSE)</f>
        <v>--/--/--</v>
      </c>
      <c r="E267" s="127" t="str">
        <f>VLOOKUP(C267,'Talente &amp; Stuff'!IA:JB,3,FALSE)</f>
        <v>-</v>
      </c>
      <c r="F267" s="114">
        <f>VLOOKUP(C267,'Talente &amp; Stuff'!IA:JB,4,FALSE)</f>
        <v>0</v>
      </c>
      <c r="G267" s="113">
        <f>VLOOKUP(C267,'Talente &amp; Stuff'!IA:JB,5,FALSE)</f>
        <v>0</v>
      </c>
      <c r="H267" s="113">
        <f>VLOOKUP(C267,'Talente &amp; Stuff'!IA:JB,6,FALSE)</f>
        <v>0</v>
      </c>
      <c r="I267" s="113">
        <f>VLOOKUP(C267,'Talente &amp; Stuff'!IA:JB,7,FALSE)</f>
        <v>0</v>
      </c>
      <c r="J267" s="113">
        <f>VLOOKUP(C267,'Talente &amp; Stuff'!IA:JB,8,FALSE)</f>
        <v>0</v>
      </c>
      <c r="K267" s="113">
        <f>VLOOKUP(C267,'Talente &amp; Stuff'!IA:JB,9,FALSE)</f>
        <v>0</v>
      </c>
      <c r="L267" s="113">
        <f>VLOOKUP(C267,'Talente &amp; Stuff'!IA:JB,10,FALSE)</f>
        <v>0</v>
      </c>
      <c r="M267" s="119">
        <f>VLOOKUP(C267,'Talente &amp; Stuff'!IA:JB,11,FALSE)</f>
        <v>0</v>
      </c>
      <c r="N267" s="47">
        <f>VLOOKUP(C267,'Talente &amp; Stuff'!IA:JB,12,FALSE)</f>
        <v>0</v>
      </c>
      <c r="O267" s="47">
        <f>VLOOKUP(C267,'Talente &amp; Stuff'!IA:JB,13,FALSE)</f>
        <v>0</v>
      </c>
      <c r="P267" s="119">
        <f>VLOOKUP(C267,'Talente &amp; Stuff'!IA:JB,14,FALSE)</f>
        <v>0</v>
      </c>
      <c r="Q267" s="114">
        <f>VLOOKUP(C267,'Talente &amp; Stuff'!IA:JB,15,FALSE)</f>
        <v>0</v>
      </c>
      <c r="R267" s="113">
        <f>VLOOKUP(C267,'Talente &amp; Stuff'!IA:JB,16,FALSE)</f>
        <v>0</v>
      </c>
      <c r="S267" s="119">
        <f>VLOOKUP(C267,'Talente &amp; Stuff'!IA:JB,17,FALSE)</f>
        <v>0</v>
      </c>
      <c r="T267" s="119">
        <f>VLOOKUP(C267,'Talente &amp; Stuff'!IA:JB,18,FALSE)</f>
        <v>0</v>
      </c>
      <c r="U267" s="89">
        <f>VLOOKUP(C267,'Talente &amp; Stuff'!IA:JB,19,FALSE)</f>
        <v>0</v>
      </c>
      <c r="V267" s="47">
        <f>VLOOKUP(C267,'Talente &amp; Stuff'!IA:JB,20,FALSE)</f>
        <v>0</v>
      </c>
      <c r="W267" s="127">
        <f>VLOOKUP(C267,'Talente &amp; Stuff'!IA:JB,21,FALSE)</f>
        <v>0</v>
      </c>
      <c r="X267" s="127">
        <f>VLOOKUP(C267,'Talente &amp; Stuff'!IA:JB,22,FALSE)</f>
        <v>0</v>
      </c>
      <c r="Y267" s="165">
        <f t="shared" si="22"/>
        <v>0</v>
      </c>
      <c r="Z267" s="44">
        <f t="shared" si="23"/>
        <v>0</v>
      </c>
      <c r="AA267" s="125">
        <f>VLOOKUP(C267,'Talente &amp; Stuff'!IA:JB,25,FALSE)</f>
        <v>0</v>
      </c>
      <c r="AB267" s="160">
        <f>VLOOKUP(C267,'Talente &amp; Stuff'!IA:JB,26,FALSE)</f>
        <v>0</v>
      </c>
      <c r="AC267" s="127">
        <f>VLOOKUP(C267,'Talente &amp; Stuff'!IA:JB,27,FALSE)</f>
        <v>0</v>
      </c>
      <c r="AD267" s="125">
        <f>VLOOKUP(C267,'Talente &amp; Stuff'!IA:JB,28,FALSE)</f>
        <v>0</v>
      </c>
      <c r="AE267" s="28"/>
    </row>
    <row r="268" spans="2:31" ht="15" hidden="1" customHeight="1" outlineLevel="2">
      <c r="B268" s="148">
        <v>8</v>
      </c>
      <c r="C268" s="163" t="str">
        <f>Attribute!C268</f>
        <v>---</v>
      </c>
      <c r="D268" s="125" t="str">
        <f>VLOOKUP(C268,'Talente &amp; Stuff'!IA:JB,2,FALSE)</f>
        <v>--/--/--</v>
      </c>
      <c r="E268" s="127" t="str">
        <f>VLOOKUP(C268,'Talente &amp; Stuff'!IA:JB,3,FALSE)</f>
        <v>-</v>
      </c>
      <c r="F268" s="114">
        <f>VLOOKUP(C268,'Talente &amp; Stuff'!IA:JB,4,FALSE)</f>
        <v>0</v>
      </c>
      <c r="G268" s="113">
        <f>VLOOKUP(C268,'Talente &amp; Stuff'!IA:JB,5,FALSE)</f>
        <v>0</v>
      </c>
      <c r="H268" s="113">
        <f>VLOOKUP(C268,'Talente &amp; Stuff'!IA:JB,6,FALSE)</f>
        <v>0</v>
      </c>
      <c r="I268" s="113">
        <f>VLOOKUP(C268,'Talente &amp; Stuff'!IA:JB,7,FALSE)</f>
        <v>0</v>
      </c>
      <c r="J268" s="113">
        <f>VLOOKUP(C268,'Talente &amp; Stuff'!IA:JB,8,FALSE)</f>
        <v>0</v>
      </c>
      <c r="K268" s="113">
        <f>VLOOKUP(C268,'Talente &amp; Stuff'!IA:JB,9,FALSE)</f>
        <v>0</v>
      </c>
      <c r="L268" s="113">
        <f>VLOOKUP(C268,'Talente &amp; Stuff'!IA:JB,10,FALSE)</f>
        <v>0</v>
      </c>
      <c r="M268" s="119">
        <f>VLOOKUP(C268,'Talente &amp; Stuff'!IA:JB,11,FALSE)</f>
        <v>0</v>
      </c>
      <c r="N268" s="47">
        <f>VLOOKUP(C268,'Talente &amp; Stuff'!IA:JB,12,FALSE)</f>
        <v>0</v>
      </c>
      <c r="O268" s="47">
        <f>VLOOKUP(C268,'Talente &amp; Stuff'!IA:JB,13,FALSE)</f>
        <v>0</v>
      </c>
      <c r="P268" s="119">
        <f>VLOOKUP(C268,'Talente &amp; Stuff'!IA:JB,14,FALSE)</f>
        <v>0</v>
      </c>
      <c r="Q268" s="114">
        <f>VLOOKUP(C268,'Talente &amp; Stuff'!IA:JB,15,FALSE)</f>
        <v>0</v>
      </c>
      <c r="R268" s="113">
        <f>VLOOKUP(C268,'Talente &amp; Stuff'!IA:JB,16,FALSE)</f>
        <v>0</v>
      </c>
      <c r="S268" s="119">
        <f>VLOOKUP(C268,'Talente &amp; Stuff'!IA:JB,17,FALSE)</f>
        <v>0</v>
      </c>
      <c r="T268" s="119">
        <f>VLOOKUP(C268,'Talente &amp; Stuff'!IA:JB,18,FALSE)</f>
        <v>0</v>
      </c>
      <c r="U268" s="89">
        <f>VLOOKUP(C268,'Talente &amp; Stuff'!IA:JB,19,FALSE)</f>
        <v>0</v>
      </c>
      <c r="V268" s="47">
        <f>VLOOKUP(C268,'Talente &amp; Stuff'!IA:JB,20,FALSE)</f>
        <v>0</v>
      </c>
      <c r="W268" s="127">
        <f>VLOOKUP(C268,'Talente &amp; Stuff'!IA:JB,21,FALSE)</f>
        <v>0</v>
      </c>
      <c r="X268" s="127">
        <f>VLOOKUP(C268,'Talente &amp; Stuff'!IA:JB,22,FALSE)</f>
        <v>0</v>
      </c>
      <c r="Y268" s="165">
        <f t="shared" si="22"/>
        <v>0</v>
      </c>
      <c r="Z268" s="44">
        <f t="shared" si="23"/>
        <v>0</v>
      </c>
      <c r="AA268" s="125">
        <f>VLOOKUP(C268,'Talente &amp; Stuff'!IA:JB,25,FALSE)</f>
        <v>0</v>
      </c>
      <c r="AB268" s="160">
        <f>VLOOKUP(C268,'Talente &amp; Stuff'!IA:JB,26,FALSE)</f>
        <v>0</v>
      </c>
      <c r="AC268" s="127">
        <f>VLOOKUP(C268,'Talente &amp; Stuff'!IA:JB,27,FALSE)</f>
        <v>0</v>
      </c>
      <c r="AD268" s="125">
        <f>VLOOKUP(C268,'Talente &amp; Stuff'!IA:JB,28,FALSE)</f>
        <v>0</v>
      </c>
      <c r="AE268" s="28"/>
    </row>
    <row r="269" spans="2:31" ht="15" hidden="1" customHeight="1" outlineLevel="2">
      <c r="B269" s="148">
        <v>9</v>
      </c>
      <c r="C269" s="163" t="str">
        <f>Attribute!C269</f>
        <v>---</v>
      </c>
      <c r="D269" s="125" t="str">
        <f>VLOOKUP(C269,'Talente &amp; Stuff'!IA:JB,2,FALSE)</f>
        <v>--/--/--</v>
      </c>
      <c r="E269" s="127" t="str">
        <f>VLOOKUP(C269,'Talente &amp; Stuff'!IA:JB,3,FALSE)</f>
        <v>-</v>
      </c>
      <c r="F269" s="114">
        <f>VLOOKUP(C269,'Talente &amp; Stuff'!IA:JB,4,FALSE)</f>
        <v>0</v>
      </c>
      <c r="G269" s="113">
        <f>VLOOKUP(C269,'Talente &amp; Stuff'!IA:JB,5,FALSE)</f>
        <v>0</v>
      </c>
      <c r="H269" s="113">
        <f>VLOOKUP(C269,'Talente &amp; Stuff'!IA:JB,6,FALSE)</f>
        <v>0</v>
      </c>
      <c r="I269" s="113">
        <f>VLOOKUP(C269,'Talente &amp; Stuff'!IA:JB,7,FALSE)</f>
        <v>0</v>
      </c>
      <c r="J269" s="113">
        <f>VLOOKUP(C269,'Talente &amp; Stuff'!IA:JB,8,FALSE)</f>
        <v>0</v>
      </c>
      <c r="K269" s="113">
        <f>VLOOKUP(C269,'Talente &amp; Stuff'!IA:JB,9,FALSE)</f>
        <v>0</v>
      </c>
      <c r="L269" s="113">
        <f>VLOOKUP(C269,'Talente &amp; Stuff'!IA:JB,10,FALSE)</f>
        <v>0</v>
      </c>
      <c r="M269" s="119">
        <f>VLOOKUP(C269,'Talente &amp; Stuff'!IA:JB,11,FALSE)</f>
        <v>0</v>
      </c>
      <c r="N269" s="47">
        <f>VLOOKUP(C269,'Talente &amp; Stuff'!IA:JB,12,FALSE)</f>
        <v>0</v>
      </c>
      <c r="O269" s="47">
        <f>VLOOKUP(C269,'Talente &amp; Stuff'!IA:JB,13,FALSE)</f>
        <v>0</v>
      </c>
      <c r="P269" s="119">
        <f>VLOOKUP(C269,'Talente &amp; Stuff'!IA:JB,14,FALSE)</f>
        <v>0</v>
      </c>
      <c r="Q269" s="114">
        <f>VLOOKUP(C269,'Talente &amp; Stuff'!IA:JB,15,FALSE)</f>
        <v>0</v>
      </c>
      <c r="R269" s="113">
        <f>VLOOKUP(C269,'Talente &amp; Stuff'!IA:JB,16,FALSE)</f>
        <v>0</v>
      </c>
      <c r="S269" s="119">
        <f>VLOOKUP(C269,'Talente &amp; Stuff'!IA:JB,17,FALSE)</f>
        <v>0</v>
      </c>
      <c r="T269" s="119">
        <f>VLOOKUP(C269,'Talente &amp; Stuff'!IA:JB,18,FALSE)</f>
        <v>0</v>
      </c>
      <c r="U269" s="89">
        <f>VLOOKUP(C269,'Talente &amp; Stuff'!IA:JB,19,FALSE)</f>
        <v>0</v>
      </c>
      <c r="V269" s="47">
        <f>VLOOKUP(C269,'Talente &amp; Stuff'!IA:JB,20,FALSE)</f>
        <v>0</v>
      </c>
      <c r="W269" s="127">
        <f>VLOOKUP(C269,'Talente &amp; Stuff'!IA:JB,21,FALSE)</f>
        <v>0</v>
      </c>
      <c r="X269" s="127">
        <f>VLOOKUP(C269,'Talente &amp; Stuff'!IA:JB,22,FALSE)</f>
        <v>0</v>
      </c>
      <c r="Y269" s="165">
        <f t="shared" si="22"/>
        <v>0</v>
      </c>
      <c r="Z269" s="44">
        <f t="shared" si="23"/>
        <v>0</v>
      </c>
      <c r="AA269" s="125">
        <f>VLOOKUP(C269,'Talente &amp; Stuff'!IA:JB,25,FALSE)</f>
        <v>0</v>
      </c>
      <c r="AB269" s="160">
        <f>VLOOKUP(C269,'Talente &amp; Stuff'!IA:JB,26,FALSE)</f>
        <v>0</v>
      </c>
      <c r="AC269" s="127">
        <f>VLOOKUP(C269,'Talente &amp; Stuff'!IA:JB,27,FALSE)</f>
        <v>0</v>
      </c>
      <c r="AD269" s="125">
        <f>VLOOKUP(C269,'Talente &amp; Stuff'!IA:JB,28,FALSE)</f>
        <v>0</v>
      </c>
      <c r="AE269" s="28"/>
    </row>
    <row r="270" spans="2:31" ht="15" hidden="1" customHeight="1" outlineLevel="2">
      <c r="B270" s="148">
        <v>10</v>
      </c>
      <c r="C270" s="163" t="str">
        <f>Attribute!C270</f>
        <v>---</v>
      </c>
      <c r="D270" s="86" t="str">
        <f>VLOOKUP(C270,'Talente &amp; Stuff'!IA:JB,2,FALSE)</f>
        <v>--/--/--</v>
      </c>
      <c r="E270" s="167" t="str">
        <f>VLOOKUP(C270,'Talente &amp; Stuff'!IA:JB,3,FALSE)</f>
        <v>-</v>
      </c>
      <c r="F270" s="120">
        <f>VLOOKUP(C270,'Talente &amp; Stuff'!IA:JB,4,FALSE)</f>
        <v>0</v>
      </c>
      <c r="G270" s="117">
        <f>VLOOKUP(C270,'Talente &amp; Stuff'!IA:JB,5,FALSE)</f>
        <v>0</v>
      </c>
      <c r="H270" s="117">
        <f>VLOOKUP(C270,'Talente &amp; Stuff'!IA:JB,6,FALSE)</f>
        <v>0</v>
      </c>
      <c r="I270" s="117">
        <f>VLOOKUP(C270,'Talente &amp; Stuff'!IA:JB,7,FALSE)</f>
        <v>0</v>
      </c>
      <c r="J270" s="117">
        <f>VLOOKUP(C270,'Talente &amp; Stuff'!IA:JB,8,FALSE)</f>
        <v>0</v>
      </c>
      <c r="K270" s="117">
        <f>VLOOKUP(C270,'Talente &amp; Stuff'!IA:JB,9,FALSE)</f>
        <v>0</v>
      </c>
      <c r="L270" s="117">
        <f>VLOOKUP(C270,'Talente &amp; Stuff'!IA:JB,10,FALSE)</f>
        <v>0</v>
      </c>
      <c r="M270" s="121">
        <f>VLOOKUP(C270,'Talente &amp; Stuff'!IA:JB,11,FALSE)</f>
        <v>0</v>
      </c>
      <c r="N270" s="47">
        <f>VLOOKUP(C270,'Talente &amp; Stuff'!IA:JB,12,FALSE)</f>
        <v>0</v>
      </c>
      <c r="O270" s="3">
        <f>VLOOKUP(C270,'Talente &amp; Stuff'!IA:JB,13,FALSE)</f>
        <v>0</v>
      </c>
      <c r="P270" s="174">
        <f>VLOOKUP(C270,'Talente &amp; Stuff'!IA:JB,14,FALSE)</f>
        <v>0</v>
      </c>
      <c r="Q270" s="114">
        <f>VLOOKUP(C270,'Talente &amp; Stuff'!IA:JB,15,FALSE)</f>
        <v>0</v>
      </c>
      <c r="R270" s="117">
        <f>VLOOKUP(C270,'Talente &amp; Stuff'!IA:JB,16,FALSE)</f>
        <v>0</v>
      </c>
      <c r="S270" s="119">
        <f>VLOOKUP(C270,'Talente &amp; Stuff'!IA:JB,17,FALSE)</f>
        <v>0</v>
      </c>
      <c r="T270" s="119">
        <f>VLOOKUP(C270,'Talente &amp; Stuff'!IA:JB,18,FALSE)</f>
        <v>0</v>
      </c>
      <c r="U270" s="89">
        <f>VLOOKUP(C270,'Talente &amp; Stuff'!IA:JB,19,FALSE)</f>
        <v>0</v>
      </c>
      <c r="V270" s="47">
        <f>VLOOKUP(C270,'Talente &amp; Stuff'!IA:JB,20,FALSE)</f>
        <v>0</v>
      </c>
      <c r="W270" s="127">
        <f>VLOOKUP(C270,'Talente &amp; Stuff'!IA:JB,21,FALSE)</f>
        <v>0</v>
      </c>
      <c r="X270" s="127">
        <f>VLOOKUP(C270,'Talente &amp; Stuff'!IA:JB,22,FALSE)</f>
        <v>0</v>
      </c>
      <c r="Y270" s="165">
        <f t="shared" si="22"/>
        <v>0</v>
      </c>
      <c r="Z270" s="44">
        <f t="shared" si="23"/>
        <v>0</v>
      </c>
      <c r="AA270" s="125">
        <f>VLOOKUP(C270,'Talente &amp; Stuff'!IA:JB,25,FALSE)</f>
        <v>0</v>
      </c>
      <c r="AB270" s="160">
        <f>VLOOKUP(C270,'Talente &amp; Stuff'!IA:JB,26,FALSE)</f>
        <v>0</v>
      </c>
      <c r="AC270" s="127">
        <f>VLOOKUP(C270,'Talente &amp; Stuff'!IA:JB,27,FALSE)</f>
        <v>0</v>
      </c>
      <c r="AD270" s="125">
        <f>VLOOKUP(C270,'Talente &amp; Stuff'!IA:JB,28,FALSE)</f>
        <v>0</v>
      </c>
      <c r="AE270" s="28"/>
    </row>
    <row r="271" spans="2:31" ht="15" hidden="1" customHeight="1" outlineLevel="2">
      <c r="B271" s="148">
        <v>11</v>
      </c>
      <c r="C271" s="163" t="str">
        <f>Attribute!C271</f>
        <v>---</v>
      </c>
      <c r="D271" s="86" t="str">
        <f>VLOOKUP(C271,'Talente &amp; Stuff'!IA:JB,2,FALSE)</f>
        <v>--/--/--</v>
      </c>
      <c r="E271" s="167" t="str">
        <f>VLOOKUP(C271,'Talente &amp; Stuff'!IA:JB,3,FALSE)</f>
        <v>-</v>
      </c>
      <c r="F271" s="120">
        <f>VLOOKUP(C271,'Talente &amp; Stuff'!IA:JB,4,FALSE)</f>
        <v>0</v>
      </c>
      <c r="G271" s="117">
        <f>VLOOKUP(C271,'Talente &amp; Stuff'!IA:JB,5,FALSE)</f>
        <v>0</v>
      </c>
      <c r="H271" s="117">
        <f>VLOOKUP(C271,'Talente &amp; Stuff'!IA:JB,6,FALSE)</f>
        <v>0</v>
      </c>
      <c r="I271" s="117">
        <f>VLOOKUP(C271,'Talente &amp; Stuff'!IA:JB,7,FALSE)</f>
        <v>0</v>
      </c>
      <c r="J271" s="117">
        <f>VLOOKUP(C271,'Talente &amp; Stuff'!IA:JB,8,FALSE)</f>
        <v>0</v>
      </c>
      <c r="K271" s="117">
        <f>VLOOKUP(C271,'Talente &amp; Stuff'!IA:JB,9,FALSE)</f>
        <v>0</v>
      </c>
      <c r="L271" s="117">
        <f>VLOOKUP(C271,'Talente &amp; Stuff'!IA:JB,10,FALSE)</f>
        <v>0</v>
      </c>
      <c r="M271" s="121">
        <f>VLOOKUP(C271,'Talente &amp; Stuff'!IA:JB,11,FALSE)</f>
        <v>0</v>
      </c>
      <c r="N271" s="47">
        <f>VLOOKUP(C271,'Talente &amp; Stuff'!IA:JB,12,FALSE)</f>
        <v>0</v>
      </c>
      <c r="O271" s="3">
        <f>VLOOKUP(C271,'Talente &amp; Stuff'!IA:JB,13,FALSE)</f>
        <v>0</v>
      </c>
      <c r="P271" s="174">
        <f>VLOOKUP(C271,'Talente &amp; Stuff'!IA:JB,14,FALSE)</f>
        <v>0</v>
      </c>
      <c r="Q271" s="114">
        <f>VLOOKUP(C271,'Talente &amp; Stuff'!IA:JB,15,FALSE)</f>
        <v>0</v>
      </c>
      <c r="R271" s="117">
        <f>VLOOKUP(C271,'Talente &amp; Stuff'!IA:JB,16,FALSE)</f>
        <v>0</v>
      </c>
      <c r="S271" s="119">
        <f>VLOOKUP(C271,'Talente &amp; Stuff'!IA:JB,17,FALSE)</f>
        <v>0</v>
      </c>
      <c r="T271" s="119">
        <f>VLOOKUP(C271,'Talente &amp; Stuff'!IA:JB,18,FALSE)</f>
        <v>0</v>
      </c>
      <c r="U271" s="89">
        <f>VLOOKUP(C271,'Talente &amp; Stuff'!IA:JB,19,FALSE)</f>
        <v>0</v>
      </c>
      <c r="V271" s="47">
        <f>VLOOKUP(C271,'Talente &amp; Stuff'!IA:JB,20,FALSE)</f>
        <v>0</v>
      </c>
      <c r="W271" s="127">
        <f>VLOOKUP(C271,'Talente &amp; Stuff'!IA:JB,21,FALSE)</f>
        <v>0</v>
      </c>
      <c r="X271" s="127">
        <f>VLOOKUP(C271,'Talente &amp; Stuff'!IA:JB,22,FALSE)</f>
        <v>0</v>
      </c>
      <c r="Y271" s="165">
        <f t="shared" si="22"/>
        <v>0</v>
      </c>
      <c r="Z271" s="44">
        <f t="shared" si="23"/>
        <v>0</v>
      </c>
      <c r="AA271" s="125">
        <f>VLOOKUP(C271,'Talente &amp; Stuff'!IA:JB,25,FALSE)</f>
        <v>0</v>
      </c>
      <c r="AB271" s="160">
        <f>VLOOKUP(C271,'Talente &amp; Stuff'!IA:JB,26,FALSE)</f>
        <v>0</v>
      </c>
      <c r="AC271" s="127">
        <f>VLOOKUP(C271,'Talente &amp; Stuff'!IA:JB,27,FALSE)</f>
        <v>0</v>
      </c>
      <c r="AD271" s="125">
        <f>VLOOKUP(C271,'Talente &amp; Stuff'!IA:JB,28,FALSE)</f>
        <v>0</v>
      </c>
      <c r="AE271" s="28"/>
    </row>
    <row r="272" spans="2:31" ht="15" hidden="1" customHeight="1" outlineLevel="2">
      <c r="B272" s="148">
        <v>12</v>
      </c>
      <c r="C272" s="163" t="str">
        <f>Attribute!C272</f>
        <v>---</v>
      </c>
      <c r="D272" s="86" t="str">
        <f>VLOOKUP(C272,'Talente &amp; Stuff'!IA:JB,2,FALSE)</f>
        <v>--/--/--</v>
      </c>
      <c r="E272" s="167" t="str">
        <f>VLOOKUP(C272,'Talente &amp; Stuff'!IA:JB,3,FALSE)</f>
        <v>-</v>
      </c>
      <c r="F272" s="120">
        <f>VLOOKUP(C272,'Talente &amp; Stuff'!IA:JB,4,FALSE)</f>
        <v>0</v>
      </c>
      <c r="G272" s="117">
        <f>VLOOKUP(C272,'Talente &amp; Stuff'!IA:JB,5,FALSE)</f>
        <v>0</v>
      </c>
      <c r="H272" s="117">
        <f>VLOOKUP(C272,'Talente &amp; Stuff'!IA:JB,6,FALSE)</f>
        <v>0</v>
      </c>
      <c r="I272" s="117">
        <f>VLOOKUP(C272,'Talente &amp; Stuff'!IA:JB,7,FALSE)</f>
        <v>0</v>
      </c>
      <c r="J272" s="117">
        <f>VLOOKUP(C272,'Talente &amp; Stuff'!IA:JB,8,FALSE)</f>
        <v>0</v>
      </c>
      <c r="K272" s="117">
        <f>VLOOKUP(C272,'Talente &amp; Stuff'!IA:JB,9,FALSE)</f>
        <v>0</v>
      </c>
      <c r="L272" s="117">
        <f>VLOOKUP(C272,'Talente &amp; Stuff'!IA:JB,10,FALSE)</f>
        <v>0</v>
      </c>
      <c r="M272" s="121">
        <f>VLOOKUP(C272,'Talente &amp; Stuff'!IA:JB,11,FALSE)</f>
        <v>0</v>
      </c>
      <c r="N272" s="47">
        <f>VLOOKUP(C272,'Talente &amp; Stuff'!IA:JB,12,FALSE)</f>
        <v>0</v>
      </c>
      <c r="O272" s="3">
        <f>VLOOKUP(C272,'Talente &amp; Stuff'!IA:JB,13,FALSE)</f>
        <v>0</v>
      </c>
      <c r="P272" s="174">
        <f>VLOOKUP(C272,'Talente &amp; Stuff'!IA:JB,14,FALSE)</f>
        <v>0</v>
      </c>
      <c r="Q272" s="114">
        <f>VLOOKUP(C272,'Talente &amp; Stuff'!IA:JB,15,FALSE)</f>
        <v>0</v>
      </c>
      <c r="R272" s="117">
        <f>VLOOKUP(C272,'Talente &amp; Stuff'!IA:JB,16,FALSE)</f>
        <v>0</v>
      </c>
      <c r="S272" s="119">
        <f>VLOOKUP(C272,'Talente &amp; Stuff'!IA:JB,17,FALSE)</f>
        <v>0</v>
      </c>
      <c r="T272" s="119">
        <f>VLOOKUP(C272,'Talente &amp; Stuff'!IA:JB,18,FALSE)</f>
        <v>0</v>
      </c>
      <c r="U272" s="89">
        <f>VLOOKUP(C272,'Talente &amp; Stuff'!IA:JB,19,FALSE)</f>
        <v>0</v>
      </c>
      <c r="V272" s="47">
        <f>VLOOKUP(C272,'Talente &amp; Stuff'!IA:JB,20,FALSE)</f>
        <v>0</v>
      </c>
      <c r="W272" s="127">
        <f>VLOOKUP(C272,'Talente &amp; Stuff'!IA:JB,21,FALSE)</f>
        <v>0</v>
      </c>
      <c r="X272" s="127">
        <f>VLOOKUP(C272,'Talente &amp; Stuff'!IA:JB,22,FALSE)</f>
        <v>0</v>
      </c>
      <c r="Y272" s="165">
        <f t="shared" si="22"/>
        <v>0</v>
      </c>
      <c r="Z272" s="44">
        <f t="shared" si="23"/>
        <v>0</v>
      </c>
      <c r="AA272" s="125">
        <f>VLOOKUP(C272,'Talente &amp; Stuff'!IA:JB,25,FALSE)</f>
        <v>0</v>
      </c>
      <c r="AB272" s="160">
        <f>VLOOKUP(C272,'Talente &amp; Stuff'!IA:JB,26,FALSE)</f>
        <v>0</v>
      </c>
      <c r="AC272" s="127">
        <f>VLOOKUP(C272,'Talente &amp; Stuff'!IA:JB,27,FALSE)</f>
        <v>0</v>
      </c>
      <c r="AD272" s="125">
        <f>VLOOKUP(C272,'Talente &amp; Stuff'!IA:JB,28,FALSE)</f>
        <v>0</v>
      </c>
      <c r="AE272" s="28"/>
    </row>
    <row r="273" spans="2:31" ht="15" hidden="1" customHeight="1" outlineLevel="2">
      <c r="B273" s="148">
        <v>13</v>
      </c>
      <c r="C273" s="163" t="str">
        <f>Attribute!C273</f>
        <v>---</v>
      </c>
      <c r="D273" s="86" t="str">
        <f>VLOOKUP(C273,'Talente &amp; Stuff'!IA:JB,2,FALSE)</f>
        <v>--/--/--</v>
      </c>
      <c r="E273" s="167" t="str">
        <f>VLOOKUP(C273,'Talente &amp; Stuff'!IA:JB,3,FALSE)</f>
        <v>-</v>
      </c>
      <c r="F273" s="120">
        <f>VLOOKUP(C273,'Talente &amp; Stuff'!IA:JB,4,FALSE)</f>
        <v>0</v>
      </c>
      <c r="G273" s="117">
        <f>VLOOKUP(C273,'Talente &amp; Stuff'!IA:JB,5,FALSE)</f>
        <v>0</v>
      </c>
      <c r="H273" s="117">
        <f>VLOOKUP(C273,'Talente &amp; Stuff'!IA:JB,6,FALSE)</f>
        <v>0</v>
      </c>
      <c r="I273" s="117">
        <f>VLOOKUP(C273,'Talente &amp; Stuff'!IA:JB,7,FALSE)</f>
        <v>0</v>
      </c>
      <c r="J273" s="117">
        <f>VLOOKUP(C273,'Talente &amp; Stuff'!IA:JB,8,FALSE)</f>
        <v>0</v>
      </c>
      <c r="K273" s="117">
        <f>VLOOKUP(C273,'Talente &amp; Stuff'!IA:JB,9,FALSE)</f>
        <v>0</v>
      </c>
      <c r="L273" s="117">
        <f>VLOOKUP(C273,'Talente &amp; Stuff'!IA:JB,10,FALSE)</f>
        <v>0</v>
      </c>
      <c r="M273" s="121">
        <f>VLOOKUP(C273,'Talente &amp; Stuff'!IA:JB,11,FALSE)</f>
        <v>0</v>
      </c>
      <c r="N273" s="47">
        <f>VLOOKUP(C273,'Talente &amp; Stuff'!IA:JB,12,FALSE)</f>
        <v>0</v>
      </c>
      <c r="O273" s="3">
        <f>VLOOKUP(C273,'Talente &amp; Stuff'!IA:JB,13,FALSE)</f>
        <v>0</v>
      </c>
      <c r="P273" s="174">
        <f>VLOOKUP(C273,'Talente &amp; Stuff'!IA:JB,14,FALSE)</f>
        <v>0</v>
      </c>
      <c r="Q273" s="114">
        <f>VLOOKUP(C273,'Talente &amp; Stuff'!IA:JB,15,FALSE)</f>
        <v>0</v>
      </c>
      <c r="R273" s="117">
        <f>VLOOKUP(C273,'Talente &amp; Stuff'!IA:JB,16,FALSE)</f>
        <v>0</v>
      </c>
      <c r="S273" s="119">
        <f>VLOOKUP(C273,'Talente &amp; Stuff'!IA:JB,17,FALSE)</f>
        <v>0</v>
      </c>
      <c r="T273" s="119">
        <f>VLOOKUP(C273,'Talente &amp; Stuff'!IA:JB,18,FALSE)</f>
        <v>0</v>
      </c>
      <c r="U273" s="89">
        <f>VLOOKUP(C273,'Talente &amp; Stuff'!IA:JB,19,FALSE)</f>
        <v>0</v>
      </c>
      <c r="V273" s="47">
        <f>VLOOKUP(C273,'Talente &amp; Stuff'!IA:JB,20,FALSE)</f>
        <v>0</v>
      </c>
      <c r="W273" s="127">
        <f>VLOOKUP(C273,'Talente &amp; Stuff'!IA:JB,21,FALSE)</f>
        <v>0</v>
      </c>
      <c r="X273" s="127">
        <f>VLOOKUP(C273,'Talente &amp; Stuff'!IA:JB,22,FALSE)</f>
        <v>0</v>
      </c>
      <c r="Y273" s="165">
        <f t="shared" si="22"/>
        <v>0</v>
      </c>
      <c r="Z273" s="44">
        <f t="shared" si="23"/>
        <v>0</v>
      </c>
      <c r="AA273" s="125">
        <f>VLOOKUP(C273,'Talente &amp; Stuff'!IA:JB,25,FALSE)</f>
        <v>0</v>
      </c>
      <c r="AB273" s="160">
        <f>VLOOKUP(C273,'Talente &amp; Stuff'!IA:JB,26,FALSE)</f>
        <v>0</v>
      </c>
      <c r="AC273" s="127">
        <f>VLOOKUP(C273,'Talente &amp; Stuff'!IA:JB,27,FALSE)</f>
        <v>0</v>
      </c>
      <c r="AD273" s="125">
        <f>VLOOKUP(C273,'Talente &amp; Stuff'!IA:JB,28,FALSE)</f>
        <v>0</v>
      </c>
      <c r="AE273" s="28"/>
    </row>
    <row r="274" spans="2:31" ht="15" hidden="1" customHeight="1" outlineLevel="2">
      <c r="B274" s="148">
        <v>14</v>
      </c>
      <c r="C274" s="163" t="str">
        <f>Attribute!C274</f>
        <v>---</v>
      </c>
      <c r="D274" s="86" t="str">
        <f>VLOOKUP(C274,'Talente &amp; Stuff'!IA:JB,2,FALSE)</f>
        <v>--/--/--</v>
      </c>
      <c r="E274" s="167" t="str">
        <f>VLOOKUP(C274,'Talente &amp; Stuff'!IA:JB,3,FALSE)</f>
        <v>-</v>
      </c>
      <c r="F274" s="120">
        <f>VLOOKUP(C274,'Talente &amp; Stuff'!IA:JB,4,FALSE)</f>
        <v>0</v>
      </c>
      <c r="G274" s="117">
        <f>VLOOKUP(C274,'Talente &amp; Stuff'!IA:JB,5,FALSE)</f>
        <v>0</v>
      </c>
      <c r="H274" s="117">
        <f>VLOOKUP(C274,'Talente &amp; Stuff'!IA:JB,6,FALSE)</f>
        <v>0</v>
      </c>
      <c r="I274" s="117">
        <f>VLOOKUP(C274,'Talente &amp; Stuff'!IA:JB,7,FALSE)</f>
        <v>0</v>
      </c>
      <c r="J274" s="117">
        <f>VLOOKUP(C274,'Talente &amp; Stuff'!IA:JB,8,FALSE)</f>
        <v>0</v>
      </c>
      <c r="K274" s="117">
        <f>VLOOKUP(C274,'Talente &amp; Stuff'!IA:JB,9,FALSE)</f>
        <v>0</v>
      </c>
      <c r="L274" s="117">
        <f>VLOOKUP(C274,'Talente &amp; Stuff'!IA:JB,10,FALSE)</f>
        <v>0</v>
      </c>
      <c r="M274" s="121">
        <f>VLOOKUP(C274,'Talente &amp; Stuff'!IA:JB,11,FALSE)</f>
        <v>0</v>
      </c>
      <c r="N274" s="47">
        <f>VLOOKUP(C274,'Talente &amp; Stuff'!IA:JB,12,FALSE)</f>
        <v>0</v>
      </c>
      <c r="O274" s="3">
        <f>VLOOKUP(C274,'Talente &amp; Stuff'!IA:JB,13,FALSE)</f>
        <v>0</v>
      </c>
      <c r="P274" s="174">
        <f>VLOOKUP(C274,'Talente &amp; Stuff'!IA:JB,14,FALSE)</f>
        <v>0</v>
      </c>
      <c r="Q274" s="114">
        <f>VLOOKUP(C274,'Talente &amp; Stuff'!IA:JB,15,FALSE)</f>
        <v>0</v>
      </c>
      <c r="R274" s="117">
        <f>VLOOKUP(C274,'Talente &amp; Stuff'!IA:JB,16,FALSE)</f>
        <v>0</v>
      </c>
      <c r="S274" s="119">
        <f>VLOOKUP(C274,'Talente &amp; Stuff'!IA:JB,17,FALSE)</f>
        <v>0</v>
      </c>
      <c r="T274" s="119">
        <f>VLOOKUP(C274,'Talente &amp; Stuff'!IA:JB,18,FALSE)</f>
        <v>0</v>
      </c>
      <c r="U274" s="89">
        <f>VLOOKUP(C274,'Talente &amp; Stuff'!IA:JB,19,FALSE)</f>
        <v>0</v>
      </c>
      <c r="V274" s="47">
        <f>VLOOKUP(C274,'Talente &amp; Stuff'!IA:JB,20,FALSE)</f>
        <v>0</v>
      </c>
      <c r="W274" s="127">
        <f>VLOOKUP(C274,'Talente &amp; Stuff'!IA:JB,21,FALSE)</f>
        <v>0</v>
      </c>
      <c r="X274" s="127">
        <f>VLOOKUP(C274,'Talente &amp; Stuff'!IA:JB,22,FALSE)</f>
        <v>0</v>
      </c>
      <c r="Y274" s="165">
        <f t="shared" si="22"/>
        <v>0</v>
      </c>
      <c r="Z274" s="44">
        <f t="shared" si="23"/>
        <v>0</v>
      </c>
      <c r="AA274" s="125">
        <f>VLOOKUP(C274,'Talente &amp; Stuff'!IA:JB,25,FALSE)</f>
        <v>0</v>
      </c>
      <c r="AB274" s="160">
        <f>VLOOKUP(C274,'Talente &amp; Stuff'!IA:JB,26,FALSE)</f>
        <v>0</v>
      </c>
      <c r="AC274" s="127">
        <f>VLOOKUP(C274,'Talente &amp; Stuff'!IA:JB,27,FALSE)</f>
        <v>0</v>
      </c>
      <c r="AD274" s="125">
        <f>VLOOKUP(C274,'Talente &amp; Stuff'!IA:JB,28,FALSE)</f>
        <v>0</v>
      </c>
      <c r="AE274" s="28"/>
    </row>
    <row r="275" spans="2:31" ht="15" hidden="1" customHeight="1" outlineLevel="2">
      <c r="B275" s="148">
        <v>15</v>
      </c>
      <c r="C275" s="163" t="str">
        <f>Attribute!C275</f>
        <v>---</v>
      </c>
      <c r="D275" s="86" t="str">
        <f>VLOOKUP(C275,'Talente &amp; Stuff'!IA:JB,2,FALSE)</f>
        <v>--/--/--</v>
      </c>
      <c r="E275" s="167" t="str">
        <f>VLOOKUP(C275,'Talente &amp; Stuff'!IA:JB,3,FALSE)</f>
        <v>-</v>
      </c>
      <c r="F275" s="120">
        <f>VLOOKUP(C275,'Talente &amp; Stuff'!IA:JB,4,FALSE)</f>
        <v>0</v>
      </c>
      <c r="G275" s="117">
        <f>VLOOKUP(C275,'Talente &amp; Stuff'!IA:JB,5,FALSE)</f>
        <v>0</v>
      </c>
      <c r="H275" s="117">
        <f>VLOOKUP(C275,'Talente &amp; Stuff'!IA:JB,6,FALSE)</f>
        <v>0</v>
      </c>
      <c r="I275" s="117">
        <f>VLOOKUP(C275,'Talente &amp; Stuff'!IA:JB,7,FALSE)</f>
        <v>0</v>
      </c>
      <c r="J275" s="117">
        <f>VLOOKUP(C275,'Talente &amp; Stuff'!IA:JB,8,FALSE)</f>
        <v>0</v>
      </c>
      <c r="K275" s="117">
        <f>VLOOKUP(C275,'Talente &amp; Stuff'!IA:JB,9,FALSE)</f>
        <v>0</v>
      </c>
      <c r="L275" s="117">
        <f>VLOOKUP(C275,'Talente &amp; Stuff'!IA:JB,10,FALSE)</f>
        <v>0</v>
      </c>
      <c r="M275" s="121">
        <f>VLOOKUP(C275,'Talente &amp; Stuff'!IA:JB,11,FALSE)</f>
        <v>0</v>
      </c>
      <c r="N275" s="47">
        <f>VLOOKUP(C275,'Talente &amp; Stuff'!IA:JB,12,FALSE)</f>
        <v>0</v>
      </c>
      <c r="O275" s="3">
        <f>VLOOKUP(C275,'Talente &amp; Stuff'!IA:JB,13,FALSE)</f>
        <v>0</v>
      </c>
      <c r="P275" s="174">
        <f>VLOOKUP(C275,'Talente &amp; Stuff'!IA:JB,14,FALSE)</f>
        <v>0</v>
      </c>
      <c r="Q275" s="114">
        <f>VLOOKUP(C275,'Talente &amp; Stuff'!IA:JB,15,FALSE)</f>
        <v>0</v>
      </c>
      <c r="R275" s="117">
        <f>VLOOKUP(C275,'Talente &amp; Stuff'!IA:JB,16,FALSE)</f>
        <v>0</v>
      </c>
      <c r="S275" s="119">
        <f>VLOOKUP(C275,'Talente &amp; Stuff'!IA:JB,17,FALSE)</f>
        <v>0</v>
      </c>
      <c r="T275" s="119">
        <f>VLOOKUP(C275,'Talente &amp; Stuff'!IA:JB,18,FALSE)</f>
        <v>0</v>
      </c>
      <c r="U275" s="89">
        <f>VLOOKUP(C275,'Talente &amp; Stuff'!IA:JB,19,FALSE)</f>
        <v>0</v>
      </c>
      <c r="V275" s="47">
        <f>VLOOKUP(C275,'Talente &amp; Stuff'!IA:JB,20,FALSE)</f>
        <v>0</v>
      </c>
      <c r="W275" s="127">
        <f>VLOOKUP(C275,'Talente &amp; Stuff'!IA:JB,21,FALSE)</f>
        <v>0</v>
      </c>
      <c r="X275" s="127">
        <f>VLOOKUP(C275,'Talente &amp; Stuff'!IA:JB,22,FALSE)</f>
        <v>0</v>
      </c>
      <c r="Y275" s="165">
        <f t="shared" si="22"/>
        <v>0</v>
      </c>
      <c r="Z275" s="44">
        <f t="shared" si="23"/>
        <v>0</v>
      </c>
      <c r="AA275" s="125">
        <f>VLOOKUP(C275,'Talente &amp; Stuff'!IA:JB,25,FALSE)</f>
        <v>0</v>
      </c>
      <c r="AB275" s="160">
        <f>VLOOKUP(C275,'Talente &amp; Stuff'!IA:JB,26,FALSE)</f>
        <v>0</v>
      </c>
      <c r="AC275" s="127">
        <f>VLOOKUP(C275,'Talente &amp; Stuff'!IA:JB,27,FALSE)</f>
        <v>0</v>
      </c>
      <c r="AD275" s="125">
        <f>VLOOKUP(C275,'Talente &amp; Stuff'!IA:JB,28,FALSE)</f>
        <v>0</v>
      </c>
      <c r="AE275" s="28"/>
    </row>
    <row r="276" spans="2:31" ht="15" hidden="1" customHeight="1" outlineLevel="2">
      <c r="B276" s="148">
        <v>16</v>
      </c>
      <c r="C276" s="163" t="str">
        <f>Attribute!C276</f>
        <v>---</v>
      </c>
      <c r="D276" s="86" t="str">
        <f>VLOOKUP(C276,'Talente &amp; Stuff'!IA:JB,2,FALSE)</f>
        <v>--/--/--</v>
      </c>
      <c r="E276" s="167" t="str">
        <f>VLOOKUP(C276,'Talente &amp; Stuff'!IA:JB,3,FALSE)</f>
        <v>-</v>
      </c>
      <c r="F276" s="120">
        <f>VLOOKUP(C276,'Talente &amp; Stuff'!IA:JB,4,FALSE)</f>
        <v>0</v>
      </c>
      <c r="G276" s="117">
        <f>VLOOKUP(C276,'Talente &amp; Stuff'!IA:JB,5,FALSE)</f>
        <v>0</v>
      </c>
      <c r="H276" s="117">
        <f>VLOOKUP(C276,'Talente &amp; Stuff'!IA:JB,6,FALSE)</f>
        <v>0</v>
      </c>
      <c r="I276" s="117">
        <f>VLOOKUP(C276,'Talente &amp; Stuff'!IA:JB,7,FALSE)</f>
        <v>0</v>
      </c>
      <c r="J276" s="117">
        <f>VLOOKUP(C276,'Talente &amp; Stuff'!IA:JB,8,FALSE)</f>
        <v>0</v>
      </c>
      <c r="K276" s="117">
        <f>VLOOKUP(C276,'Talente &amp; Stuff'!IA:JB,9,FALSE)</f>
        <v>0</v>
      </c>
      <c r="L276" s="117">
        <f>VLOOKUP(C276,'Talente &amp; Stuff'!IA:JB,10,FALSE)</f>
        <v>0</v>
      </c>
      <c r="M276" s="121">
        <f>VLOOKUP(C276,'Talente &amp; Stuff'!IA:JB,11,FALSE)</f>
        <v>0</v>
      </c>
      <c r="N276" s="47">
        <f>VLOOKUP(C276,'Talente &amp; Stuff'!IA:JB,12,FALSE)</f>
        <v>0</v>
      </c>
      <c r="O276" s="3">
        <f>VLOOKUP(C276,'Talente &amp; Stuff'!IA:JB,13,FALSE)</f>
        <v>0</v>
      </c>
      <c r="P276" s="174">
        <f>VLOOKUP(C276,'Talente &amp; Stuff'!IA:JB,14,FALSE)</f>
        <v>0</v>
      </c>
      <c r="Q276" s="114">
        <f>VLOOKUP(C276,'Talente &amp; Stuff'!IA:JB,15,FALSE)</f>
        <v>0</v>
      </c>
      <c r="R276" s="117">
        <f>VLOOKUP(C276,'Talente &amp; Stuff'!IA:JB,16,FALSE)</f>
        <v>0</v>
      </c>
      <c r="S276" s="119">
        <f>VLOOKUP(C276,'Talente &amp; Stuff'!IA:JB,17,FALSE)</f>
        <v>0</v>
      </c>
      <c r="T276" s="119">
        <f>VLOOKUP(C276,'Talente &amp; Stuff'!IA:JB,18,FALSE)</f>
        <v>0</v>
      </c>
      <c r="U276" s="89">
        <f>VLOOKUP(C276,'Talente &amp; Stuff'!IA:JB,19,FALSE)</f>
        <v>0</v>
      </c>
      <c r="V276" s="47">
        <f>VLOOKUP(C276,'Talente &amp; Stuff'!IA:JB,20,FALSE)</f>
        <v>0</v>
      </c>
      <c r="W276" s="127">
        <f>VLOOKUP(C276,'Talente &amp; Stuff'!IA:JB,21,FALSE)</f>
        <v>0</v>
      </c>
      <c r="X276" s="127">
        <f>VLOOKUP(C276,'Talente &amp; Stuff'!IA:JB,22,FALSE)</f>
        <v>0</v>
      </c>
      <c r="Y276" s="165">
        <f t="shared" si="22"/>
        <v>0</v>
      </c>
      <c r="Z276" s="44">
        <f t="shared" si="23"/>
        <v>0</v>
      </c>
      <c r="AA276" s="125">
        <f>VLOOKUP(C276,'Talente &amp; Stuff'!IA:JB,25,FALSE)</f>
        <v>0</v>
      </c>
      <c r="AB276" s="160">
        <f>VLOOKUP(C276,'Talente &amp; Stuff'!IA:JB,26,FALSE)</f>
        <v>0</v>
      </c>
      <c r="AC276" s="127">
        <f>VLOOKUP(C276,'Talente &amp; Stuff'!IA:JB,27,FALSE)</f>
        <v>0</v>
      </c>
      <c r="AD276" s="125">
        <f>VLOOKUP(C276,'Talente &amp; Stuff'!IA:JB,28,FALSE)</f>
        <v>0</v>
      </c>
      <c r="AE276" s="28"/>
    </row>
    <row r="277" spans="2:31" ht="15" hidden="1" customHeight="1" outlineLevel="2">
      <c r="B277" s="148">
        <v>17</v>
      </c>
      <c r="C277" s="163" t="str">
        <f>Attribute!C277</f>
        <v>---</v>
      </c>
      <c r="D277" s="86" t="str">
        <f>VLOOKUP(C277,'Talente &amp; Stuff'!IA:JB,2,FALSE)</f>
        <v>--/--/--</v>
      </c>
      <c r="E277" s="167" t="str">
        <f>VLOOKUP(C277,'Talente &amp; Stuff'!IA:JB,3,FALSE)</f>
        <v>-</v>
      </c>
      <c r="F277" s="120">
        <f>VLOOKUP(C277,'Talente &amp; Stuff'!IA:JB,4,FALSE)</f>
        <v>0</v>
      </c>
      <c r="G277" s="117">
        <f>VLOOKUP(C277,'Talente &amp; Stuff'!IA:JB,5,FALSE)</f>
        <v>0</v>
      </c>
      <c r="H277" s="117">
        <f>VLOOKUP(C277,'Talente &amp; Stuff'!IA:JB,6,FALSE)</f>
        <v>0</v>
      </c>
      <c r="I277" s="117">
        <f>VLOOKUP(C277,'Talente &amp; Stuff'!IA:JB,7,FALSE)</f>
        <v>0</v>
      </c>
      <c r="J277" s="117">
        <f>VLOOKUP(C277,'Talente &amp; Stuff'!IA:JB,8,FALSE)</f>
        <v>0</v>
      </c>
      <c r="K277" s="117">
        <f>VLOOKUP(C277,'Talente &amp; Stuff'!IA:JB,9,FALSE)</f>
        <v>0</v>
      </c>
      <c r="L277" s="117">
        <f>VLOOKUP(C277,'Talente &amp; Stuff'!IA:JB,10,FALSE)</f>
        <v>0</v>
      </c>
      <c r="M277" s="121">
        <f>VLOOKUP(C277,'Talente &amp; Stuff'!IA:JB,11,FALSE)</f>
        <v>0</v>
      </c>
      <c r="N277" s="47">
        <f>VLOOKUP(C277,'Talente &amp; Stuff'!IA:JB,12,FALSE)</f>
        <v>0</v>
      </c>
      <c r="O277" s="3">
        <f>VLOOKUP(C277,'Talente &amp; Stuff'!IA:JB,13,FALSE)</f>
        <v>0</v>
      </c>
      <c r="P277" s="174">
        <f>VLOOKUP(C277,'Talente &amp; Stuff'!IA:JB,14,FALSE)</f>
        <v>0</v>
      </c>
      <c r="Q277" s="114">
        <f>VLOOKUP(C277,'Talente &amp; Stuff'!IA:JB,15,FALSE)</f>
        <v>0</v>
      </c>
      <c r="R277" s="117">
        <f>VLOOKUP(C277,'Talente &amp; Stuff'!IA:JB,16,FALSE)</f>
        <v>0</v>
      </c>
      <c r="S277" s="119">
        <f>VLOOKUP(C277,'Talente &amp; Stuff'!IA:JB,17,FALSE)</f>
        <v>0</v>
      </c>
      <c r="T277" s="119">
        <f>VLOOKUP(C277,'Talente &amp; Stuff'!IA:JB,18,FALSE)</f>
        <v>0</v>
      </c>
      <c r="U277" s="89">
        <f>VLOOKUP(C277,'Talente &amp; Stuff'!IA:JB,19,FALSE)</f>
        <v>0</v>
      </c>
      <c r="V277" s="47">
        <f>VLOOKUP(C277,'Talente &amp; Stuff'!IA:JB,20,FALSE)</f>
        <v>0</v>
      </c>
      <c r="W277" s="127">
        <f>VLOOKUP(C277,'Talente &amp; Stuff'!IA:JB,21,FALSE)</f>
        <v>0</v>
      </c>
      <c r="X277" s="127">
        <f>VLOOKUP(C277,'Talente &amp; Stuff'!IA:JB,22,FALSE)</f>
        <v>0</v>
      </c>
      <c r="Y277" s="165">
        <f t="shared" si="22"/>
        <v>0</v>
      </c>
      <c r="Z277" s="44">
        <f t="shared" si="23"/>
        <v>0</v>
      </c>
      <c r="AA277" s="125">
        <f>VLOOKUP(C277,'Talente &amp; Stuff'!IA:JB,25,FALSE)</f>
        <v>0</v>
      </c>
      <c r="AB277" s="160">
        <f>VLOOKUP(C277,'Talente &amp; Stuff'!IA:JB,26,FALSE)</f>
        <v>0</v>
      </c>
      <c r="AC277" s="127">
        <f>VLOOKUP(C277,'Talente &amp; Stuff'!IA:JB,27,FALSE)</f>
        <v>0</v>
      </c>
      <c r="AD277" s="125">
        <f>VLOOKUP(C277,'Talente &amp; Stuff'!IA:JB,28,FALSE)</f>
        <v>0</v>
      </c>
      <c r="AE277" s="28"/>
    </row>
    <row r="278" spans="2:31" ht="15" hidden="1" customHeight="1" outlineLevel="2">
      <c r="B278" s="148">
        <v>18</v>
      </c>
      <c r="C278" s="163" t="str">
        <f>Attribute!C278</f>
        <v>---</v>
      </c>
      <c r="D278" s="86" t="str">
        <f>VLOOKUP(C278,'Talente &amp; Stuff'!IA:JB,2,FALSE)</f>
        <v>--/--/--</v>
      </c>
      <c r="E278" s="167" t="str">
        <f>VLOOKUP(C278,'Talente &amp; Stuff'!IA:JB,3,FALSE)</f>
        <v>-</v>
      </c>
      <c r="F278" s="120">
        <f>VLOOKUP(C278,'Talente &amp; Stuff'!IA:JB,4,FALSE)</f>
        <v>0</v>
      </c>
      <c r="G278" s="117">
        <f>VLOOKUP(C278,'Talente &amp; Stuff'!IA:JB,5,FALSE)</f>
        <v>0</v>
      </c>
      <c r="H278" s="117">
        <f>VLOOKUP(C278,'Talente &amp; Stuff'!IA:JB,6,FALSE)</f>
        <v>0</v>
      </c>
      <c r="I278" s="117">
        <f>VLOOKUP(C278,'Talente &amp; Stuff'!IA:JB,7,FALSE)</f>
        <v>0</v>
      </c>
      <c r="J278" s="117">
        <f>VLOOKUP(C278,'Talente &amp; Stuff'!IA:JB,8,FALSE)</f>
        <v>0</v>
      </c>
      <c r="K278" s="117">
        <f>VLOOKUP(C278,'Talente &amp; Stuff'!IA:JB,9,FALSE)</f>
        <v>0</v>
      </c>
      <c r="L278" s="117">
        <f>VLOOKUP(C278,'Talente &amp; Stuff'!IA:JB,10,FALSE)</f>
        <v>0</v>
      </c>
      <c r="M278" s="121">
        <f>VLOOKUP(C278,'Talente &amp; Stuff'!IA:JB,11,FALSE)</f>
        <v>0</v>
      </c>
      <c r="N278" s="47">
        <f>VLOOKUP(C278,'Talente &amp; Stuff'!IA:JB,12,FALSE)</f>
        <v>0</v>
      </c>
      <c r="O278" s="3">
        <f>VLOOKUP(C278,'Talente &amp; Stuff'!IA:JB,13,FALSE)</f>
        <v>0</v>
      </c>
      <c r="P278" s="174">
        <f>VLOOKUP(C278,'Talente &amp; Stuff'!IA:JB,14,FALSE)</f>
        <v>0</v>
      </c>
      <c r="Q278" s="114">
        <f>VLOOKUP(C278,'Talente &amp; Stuff'!IA:JB,15,FALSE)</f>
        <v>0</v>
      </c>
      <c r="R278" s="117">
        <f>VLOOKUP(C278,'Talente &amp; Stuff'!IA:JB,16,FALSE)</f>
        <v>0</v>
      </c>
      <c r="S278" s="119">
        <f>VLOOKUP(C278,'Talente &amp; Stuff'!IA:JB,17,FALSE)</f>
        <v>0</v>
      </c>
      <c r="T278" s="119">
        <f>VLOOKUP(C278,'Talente &amp; Stuff'!IA:JB,18,FALSE)</f>
        <v>0</v>
      </c>
      <c r="U278" s="89">
        <f>VLOOKUP(C278,'Talente &amp; Stuff'!IA:JB,19,FALSE)</f>
        <v>0</v>
      </c>
      <c r="V278" s="47">
        <f>VLOOKUP(C278,'Talente &amp; Stuff'!IA:JB,20,FALSE)</f>
        <v>0</v>
      </c>
      <c r="W278" s="127">
        <f>VLOOKUP(C278,'Talente &amp; Stuff'!IA:JB,21,FALSE)</f>
        <v>0</v>
      </c>
      <c r="X278" s="127">
        <f>VLOOKUP(C278,'Talente &amp; Stuff'!IA:JB,22,FALSE)</f>
        <v>0</v>
      </c>
      <c r="Y278" s="165">
        <f t="shared" si="22"/>
        <v>0</v>
      </c>
      <c r="Z278" s="44">
        <f t="shared" si="23"/>
        <v>0</v>
      </c>
      <c r="AA278" s="125">
        <f>VLOOKUP(C278,'Talente &amp; Stuff'!IA:JB,25,FALSE)</f>
        <v>0</v>
      </c>
      <c r="AB278" s="160">
        <f>VLOOKUP(C278,'Talente &amp; Stuff'!IA:JB,26,FALSE)</f>
        <v>0</v>
      </c>
      <c r="AC278" s="127">
        <f>VLOOKUP(C278,'Talente &amp; Stuff'!IA:JB,27,FALSE)</f>
        <v>0</v>
      </c>
      <c r="AD278" s="125">
        <f>VLOOKUP(C278,'Talente &amp; Stuff'!IA:JB,28,FALSE)</f>
        <v>0</v>
      </c>
      <c r="AE278" s="28"/>
    </row>
    <row r="279" spans="2:31" ht="15" hidden="1" customHeight="1" outlineLevel="2">
      <c r="B279" s="148">
        <v>19</v>
      </c>
      <c r="C279" s="163" t="str">
        <f>Attribute!C279</f>
        <v>---</v>
      </c>
      <c r="D279" s="86" t="str">
        <f>VLOOKUP(C279,'Talente &amp; Stuff'!IA:JB,2,FALSE)</f>
        <v>--/--/--</v>
      </c>
      <c r="E279" s="167" t="str">
        <f>VLOOKUP(C279,'Talente &amp; Stuff'!IA:JB,3,FALSE)</f>
        <v>-</v>
      </c>
      <c r="F279" s="120">
        <f>VLOOKUP(C279,'Talente &amp; Stuff'!IA:JB,4,FALSE)</f>
        <v>0</v>
      </c>
      <c r="G279" s="117">
        <f>VLOOKUP(C279,'Talente &amp; Stuff'!IA:JB,5,FALSE)</f>
        <v>0</v>
      </c>
      <c r="H279" s="117">
        <f>VLOOKUP(C279,'Talente &amp; Stuff'!IA:JB,6,FALSE)</f>
        <v>0</v>
      </c>
      <c r="I279" s="117">
        <f>VLOOKUP(C279,'Talente &amp; Stuff'!IA:JB,7,FALSE)</f>
        <v>0</v>
      </c>
      <c r="J279" s="117">
        <f>VLOOKUP(C279,'Talente &amp; Stuff'!IA:JB,8,FALSE)</f>
        <v>0</v>
      </c>
      <c r="K279" s="117">
        <f>VLOOKUP(C279,'Talente &amp; Stuff'!IA:JB,9,FALSE)</f>
        <v>0</v>
      </c>
      <c r="L279" s="117">
        <f>VLOOKUP(C279,'Talente &amp; Stuff'!IA:JB,10,FALSE)</f>
        <v>0</v>
      </c>
      <c r="M279" s="121">
        <f>VLOOKUP(C279,'Talente &amp; Stuff'!IA:JB,11,FALSE)</f>
        <v>0</v>
      </c>
      <c r="N279" s="47">
        <f>VLOOKUP(C279,'Talente &amp; Stuff'!IA:JB,12,FALSE)</f>
        <v>0</v>
      </c>
      <c r="O279" s="3">
        <f>VLOOKUP(C279,'Talente &amp; Stuff'!IA:JB,13,FALSE)</f>
        <v>0</v>
      </c>
      <c r="P279" s="174">
        <f>VLOOKUP(C279,'Talente &amp; Stuff'!IA:JB,14,FALSE)</f>
        <v>0</v>
      </c>
      <c r="Q279" s="114">
        <f>VLOOKUP(C279,'Talente &amp; Stuff'!IA:JB,15,FALSE)</f>
        <v>0</v>
      </c>
      <c r="R279" s="117">
        <f>VLOOKUP(C279,'Talente &amp; Stuff'!IA:JB,16,FALSE)</f>
        <v>0</v>
      </c>
      <c r="S279" s="119">
        <f>VLOOKUP(C279,'Talente &amp; Stuff'!IA:JB,17,FALSE)</f>
        <v>0</v>
      </c>
      <c r="T279" s="119">
        <f>VLOOKUP(C279,'Talente &amp; Stuff'!IA:JB,18,FALSE)</f>
        <v>0</v>
      </c>
      <c r="U279" s="89">
        <f>VLOOKUP(C279,'Talente &amp; Stuff'!IA:JB,19,FALSE)</f>
        <v>0</v>
      </c>
      <c r="V279" s="47">
        <f>VLOOKUP(C279,'Talente &amp; Stuff'!IA:JB,20,FALSE)</f>
        <v>0</v>
      </c>
      <c r="W279" s="127">
        <f>VLOOKUP(C279,'Talente &amp; Stuff'!IA:JB,21,FALSE)</f>
        <v>0</v>
      </c>
      <c r="X279" s="127">
        <f>VLOOKUP(C279,'Talente &amp; Stuff'!IA:JB,22,FALSE)</f>
        <v>0</v>
      </c>
      <c r="Y279" s="165">
        <f t="shared" si="22"/>
        <v>0</v>
      </c>
      <c r="Z279" s="44">
        <f t="shared" si="23"/>
        <v>0</v>
      </c>
      <c r="AA279" s="125">
        <f>VLOOKUP(C279,'Talente &amp; Stuff'!IA:JB,25,FALSE)</f>
        <v>0</v>
      </c>
      <c r="AB279" s="160">
        <f>VLOOKUP(C279,'Talente &amp; Stuff'!IA:JB,26,FALSE)</f>
        <v>0</v>
      </c>
      <c r="AC279" s="127">
        <f>VLOOKUP(C279,'Talente &amp; Stuff'!IA:JB,27,FALSE)</f>
        <v>0</v>
      </c>
      <c r="AD279" s="125">
        <f>VLOOKUP(C279,'Talente &amp; Stuff'!IA:JB,28,FALSE)</f>
        <v>0</v>
      </c>
      <c r="AE279" s="28"/>
    </row>
    <row r="280" spans="2:31" ht="15" hidden="1" customHeight="1" outlineLevel="2">
      <c r="B280" s="148">
        <v>20</v>
      </c>
      <c r="C280" s="163" t="str">
        <f>Attribute!C280</f>
        <v>---</v>
      </c>
      <c r="D280" s="86" t="str">
        <f>VLOOKUP(C280,'Talente &amp; Stuff'!IA:JB,2,FALSE)</f>
        <v>--/--/--</v>
      </c>
      <c r="E280" s="167" t="str">
        <f>VLOOKUP(C280,'Talente &amp; Stuff'!IA:JB,3,FALSE)</f>
        <v>-</v>
      </c>
      <c r="F280" s="120">
        <f>VLOOKUP(C280,'Talente &amp; Stuff'!IA:JB,4,FALSE)</f>
        <v>0</v>
      </c>
      <c r="G280" s="117">
        <f>VLOOKUP(C280,'Talente &amp; Stuff'!IA:JB,5,FALSE)</f>
        <v>0</v>
      </c>
      <c r="H280" s="117">
        <f>VLOOKUP(C280,'Talente &amp; Stuff'!IA:JB,6,FALSE)</f>
        <v>0</v>
      </c>
      <c r="I280" s="117">
        <f>VLOOKUP(C280,'Talente &amp; Stuff'!IA:JB,7,FALSE)</f>
        <v>0</v>
      </c>
      <c r="J280" s="117">
        <f>VLOOKUP(C280,'Talente &amp; Stuff'!IA:JB,8,FALSE)</f>
        <v>0</v>
      </c>
      <c r="K280" s="117">
        <f>VLOOKUP(C280,'Talente &amp; Stuff'!IA:JB,9,FALSE)</f>
        <v>0</v>
      </c>
      <c r="L280" s="117">
        <f>VLOOKUP(C280,'Talente &amp; Stuff'!IA:JB,10,FALSE)</f>
        <v>0</v>
      </c>
      <c r="M280" s="121">
        <f>VLOOKUP(C280,'Talente &amp; Stuff'!IA:JB,11,FALSE)</f>
        <v>0</v>
      </c>
      <c r="N280" s="47">
        <f>VLOOKUP(C280,'Talente &amp; Stuff'!IA:JB,12,FALSE)</f>
        <v>0</v>
      </c>
      <c r="O280" s="3">
        <f>VLOOKUP(C280,'Talente &amp; Stuff'!IA:JB,13,FALSE)</f>
        <v>0</v>
      </c>
      <c r="P280" s="174">
        <f>VLOOKUP(C280,'Talente &amp; Stuff'!IA:JB,14,FALSE)</f>
        <v>0</v>
      </c>
      <c r="Q280" s="114">
        <f>VLOOKUP(C280,'Talente &amp; Stuff'!IA:JB,15,FALSE)</f>
        <v>0</v>
      </c>
      <c r="R280" s="117">
        <f>VLOOKUP(C280,'Talente &amp; Stuff'!IA:JB,16,FALSE)</f>
        <v>0</v>
      </c>
      <c r="S280" s="119">
        <f>VLOOKUP(C280,'Talente &amp; Stuff'!IA:JB,17,FALSE)</f>
        <v>0</v>
      </c>
      <c r="T280" s="119">
        <f>VLOOKUP(C280,'Talente &amp; Stuff'!IA:JB,18,FALSE)</f>
        <v>0</v>
      </c>
      <c r="U280" s="89">
        <f>VLOOKUP(C280,'Talente &amp; Stuff'!IA:JB,19,FALSE)</f>
        <v>0</v>
      </c>
      <c r="V280" s="47">
        <f>VLOOKUP(C280,'Talente &amp; Stuff'!IA:JB,20,FALSE)</f>
        <v>0</v>
      </c>
      <c r="W280" s="127">
        <f>VLOOKUP(C280,'Talente &amp; Stuff'!IA:JB,21,FALSE)</f>
        <v>0</v>
      </c>
      <c r="X280" s="127">
        <f>VLOOKUP(C280,'Talente &amp; Stuff'!IA:JB,22,FALSE)</f>
        <v>0</v>
      </c>
      <c r="Y280" s="165">
        <f t="shared" si="22"/>
        <v>0</v>
      </c>
      <c r="Z280" s="44">
        <f t="shared" si="23"/>
        <v>0</v>
      </c>
      <c r="AA280" s="125">
        <f>VLOOKUP(C280,'Talente &amp; Stuff'!IA:JB,25,FALSE)</f>
        <v>0</v>
      </c>
      <c r="AB280" s="160">
        <f>VLOOKUP(C280,'Talente &amp; Stuff'!IA:JB,26,FALSE)</f>
        <v>0</v>
      </c>
      <c r="AC280" s="127">
        <f>VLOOKUP(C280,'Talente &amp; Stuff'!IA:JB,27,FALSE)</f>
        <v>0</v>
      </c>
      <c r="AD280" s="125">
        <f>VLOOKUP(C280,'Talente &amp; Stuff'!IA:JB,28,FALSE)</f>
        <v>0</v>
      </c>
      <c r="AE280" s="28"/>
    </row>
    <row r="281" spans="2:31" ht="15" hidden="1" customHeight="1" outlineLevel="2">
      <c r="B281" s="148">
        <v>21</v>
      </c>
      <c r="C281" s="163" t="str">
        <f>Attribute!C281</f>
        <v>---</v>
      </c>
      <c r="D281" s="86" t="str">
        <f>VLOOKUP(C281,'Talente &amp; Stuff'!IA:JB,2,FALSE)</f>
        <v>--/--/--</v>
      </c>
      <c r="E281" s="167" t="str">
        <f>VLOOKUP(C281,'Talente &amp; Stuff'!IA:JB,3,FALSE)</f>
        <v>-</v>
      </c>
      <c r="F281" s="120">
        <f>VLOOKUP(C281,'Talente &amp; Stuff'!IA:JB,4,FALSE)</f>
        <v>0</v>
      </c>
      <c r="G281" s="117">
        <f>VLOOKUP(C281,'Talente &amp; Stuff'!IA:JB,5,FALSE)</f>
        <v>0</v>
      </c>
      <c r="H281" s="117">
        <f>VLOOKUP(C281,'Talente &amp; Stuff'!IA:JB,6,FALSE)</f>
        <v>0</v>
      </c>
      <c r="I281" s="117">
        <f>VLOOKUP(C281,'Talente &amp; Stuff'!IA:JB,7,FALSE)</f>
        <v>0</v>
      </c>
      <c r="J281" s="117">
        <f>VLOOKUP(C281,'Talente &amp; Stuff'!IA:JB,8,FALSE)</f>
        <v>0</v>
      </c>
      <c r="K281" s="117">
        <f>VLOOKUP(C281,'Talente &amp; Stuff'!IA:JB,9,FALSE)</f>
        <v>0</v>
      </c>
      <c r="L281" s="117">
        <f>VLOOKUP(C281,'Talente &amp; Stuff'!IA:JB,10,FALSE)</f>
        <v>0</v>
      </c>
      <c r="M281" s="121">
        <f>VLOOKUP(C281,'Talente &amp; Stuff'!IA:JB,11,FALSE)</f>
        <v>0</v>
      </c>
      <c r="N281" s="47">
        <f>VLOOKUP(C281,'Talente &amp; Stuff'!IA:JB,12,FALSE)</f>
        <v>0</v>
      </c>
      <c r="O281" s="3">
        <f>VLOOKUP(C281,'Talente &amp; Stuff'!IA:JB,13,FALSE)</f>
        <v>0</v>
      </c>
      <c r="P281" s="174">
        <f>VLOOKUP(C281,'Talente &amp; Stuff'!IA:JB,14,FALSE)</f>
        <v>0</v>
      </c>
      <c r="Q281" s="114">
        <f>VLOOKUP(C281,'Talente &amp; Stuff'!IA:JB,15,FALSE)</f>
        <v>0</v>
      </c>
      <c r="R281" s="117">
        <f>VLOOKUP(C281,'Talente &amp; Stuff'!IA:JB,16,FALSE)</f>
        <v>0</v>
      </c>
      <c r="S281" s="119">
        <f>VLOOKUP(C281,'Talente &amp; Stuff'!IA:JB,17,FALSE)</f>
        <v>0</v>
      </c>
      <c r="T281" s="119">
        <f>VLOOKUP(C281,'Talente &amp; Stuff'!IA:JB,18,FALSE)</f>
        <v>0</v>
      </c>
      <c r="U281" s="89">
        <f>VLOOKUP(C281,'Talente &amp; Stuff'!IA:JB,19,FALSE)</f>
        <v>0</v>
      </c>
      <c r="V281" s="47">
        <f>VLOOKUP(C281,'Talente &amp; Stuff'!IA:JB,20,FALSE)</f>
        <v>0</v>
      </c>
      <c r="W281" s="127">
        <f>VLOOKUP(C281,'Talente &amp; Stuff'!IA:JB,21,FALSE)</f>
        <v>0</v>
      </c>
      <c r="X281" s="127">
        <f>VLOOKUP(C281,'Talente &amp; Stuff'!IA:JB,22,FALSE)</f>
        <v>0</v>
      </c>
      <c r="Y281" s="165">
        <f t="shared" si="22"/>
        <v>0</v>
      </c>
      <c r="Z281" s="44">
        <f t="shared" si="23"/>
        <v>0</v>
      </c>
      <c r="AA281" s="125">
        <f>VLOOKUP(C281,'Talente &amp; Stuff'!IA:JB,25,FALSE)</f>
        <v>0</v>
      </c>
      <c r="AB281" s="160">
        <f>VLOOKUP(C281,'Talente &amp; Stuff'!IA:JB,26,FALSE)</f>
        <v>0</v>
      </c>
      <c r="AC281" s="127">
        <f>VLOOKUP(C281,'Talente &amp; Stuff'!IA:JB,27,FALSE)</f>
        <v>0</v>
      </c>
      <c r="AD281" s="125">
        <f>VLOOKUP(C281,'Talente &amp; Stuff'!IA:JB,28,FALSE)</f>
        <v>0</v>
      </c>
      <c r="AE281" s="28"/>
    </row>
    <row r="282" spans="2:31" ht="15" hidden="1" customHeight="1" outlineLevel="2">
      <c r="B282" s="148">
        <v>22</v>
      </c>
      <c r="C282" s="163" t="str">
        <f>Attribute!C282</f>
        <v>---</v>
      </c>
      <c r="D282" s="86" t="str">
        <f>VLOOKUP(C282,'Talente &amp; Stuff'!IA:JB,2,FALSE)</f>
        <v>--/--/--</v>
      </c>
      <c r="E282" s="167" t="str">
        <f>VLOOKUP(C282,'Talente &amp; Stuff'!IA:JB,3,FALSE)</f>
        <v>-</v>
      </c>
      <c r="F282" s="120">
        <f>VLOOKUP(C282,'Talente &amp; Stuff'!IA:JB,4,FALSE)</f>
        <v>0</v>
      </c>
      <c r="G282" s="117">
        <f>VLOOKUP(C282,'Talente &amp; Stuff'!IA:JB,5,FALSE)</f>
        <v>0</v>
      </c>
      <c r="H282" s="117">
        <f>VLOOKUP(C282,'Talente &amp; Stuff'!IA:JB,6,FALSE)</f>
        <v>0</v>
      </c>
      <c r="I282" s="117">
        <f>VLOOKUP(C282,'Talente &amp; Stuff'!IA:JB,7,FALSE)</f>
        <v>0</v>
      </c>
      <c r="J282" s="117">
        <f>VLOOKUP(C282,'Talente &amp; Stuff'!IA:JB,8,FALSE)</f>
        <v>0</v>
      </c>
      <c r="K282" s="117">
        <f>VLOOKUP(C282,'Talente &amp; Stuff'!IA:JB,9,FALSE)</f>
        <v>0</v>
      </c>
      <c r="L282" s="117">
        <f>VLOOKUP(C282,'Talente &amp; Stuff'!IA:JB,10,FALSE)</f>
        <v>0</v>
      </c>
      <c r="M282" s="121">
        <f>VLOOKUP(C282,'Talente &amp; Stuff'!IA:JB,11,FALSE)</f>
        <v>0</v>
      </c>
      <c r="N282" s="47">
        <f>VLOOKUP(C282,'Talente &amp; Stuff'!IA:JB,12,FALSE)</f>
        <v>0</v>
      </c>
      <c r="O282" s="3">
        <f>VLOOKUP(C282,'Talente &amp; Stuff'!IA:JB,13,FALSE)</f>
        <v>0</v>
      </c>
      <c r="P282" s="174">
        <f>VLOOKUP(C282,'Talente &amp; Stuff'!IA:JB,14,FALSE)</f>
        <v>0</v>
      </c>
      <c r="Q282" s="114">
        <f>VLOOKUP(C282,'Talente &amp; Stuff'!IA:JB,15,FALSE)</f>
        <v>0</v>
      </c>
      <c r="R282" s="117">
        <f>VLOOKUP(C282,'Talente &amp; Stuff'!IA:JB,16,FALSE)</f>
        <v>0</v>
      </c>
      <c r="S282" s="119">
        <f>VLOOKUP(C282,'Talente &amp; Stuff'!IA:JB,17,FALSE)</f>
        <v>0</v>
      </c>
      <c r="T282" s="119">
        <f>VLOOKUP(C282,'Talente &amp; Stuff'!IA:JB,18,FALSE)</f>
        <v>0</v>
      </c>
      <c r="U282" s="89">
        <f>VLOOKUP(C282,'Talente &amp; Stuff'!IA:JB,19,FALSE)</f>
        <v>0</v>
      </c>
      <c r="V282" s="47">
        <f>VLOOKUP(C282,'Talente &amp; Stuff'!IA:JB,20,FALSE)</f>
        <v>0</v>
      </c>
      <c r="W282" s="127">
        <f>VLOOKUP(C282,'Talente &amp; Stuff'!IA:JB,21,FALSE)</f>
        <v>0</v>
      </c>
      <c r="X282" s="127">
        <f>VLOOKUP(C282,'Talente &amp; Stuff'!IA:JB,22,FALSE)</f>
        <v>0</v>
      </c>
      <c r="Y282" s="165">
        <f t="shared" si="22"/>
        <v>0</v>
      </c>
      <c r="Z282" s="44">
        <f t="shared" si="23"/>
        <v>0</v>
      </c>
      <c r="AA282" s="125">
        <f>VLOOKUP(C282,'Talente &amp; Stuff'!IA:JB,25,FALSE)</f>
        <v>0</v>
      </c>
      <c r="AB282" s="160">
        <f>VLOOKUP(C282,'Talente &amp; Stuff'!IA:JB,26,FALSE)</f>
        <v>0</v>
      </c>
      <c r="AC282" s="127">
        <f>VLOOKUP(C282,'Talente &amp; Stuff'!IA:JB,27,FALSE)</f>
        <v>0</v>
      </c>
      <c r="AD282" s="125">
        <f>VLOOKUP(C282,'Talente &amp; Stuff'!IA:JB,28,FALSE)</f>
        <v>0</v>
      </c>
      <c r="AE282" s="28"/>
    </row>
    <row r="283" spans="2:31" ht="15" hidden="1" customHeight="1" outlineLevel="2">
      <c r="B283" s="148">
        <v>23</v>
      </c>
      <c r="C283" s="163" t="str">
        <f>Attribute!C283</f>
        <v>---</v>
      </c>
      <c r="D283" s="86" t="str">
        <f>VLOOKUP(C283,'Talente &amp; Stuff'!IA:JB,2,FALSE)</f>
        <v>--/--/--</v>
      </c>
      <c r="E283" s="167" t="str">
        <f>VLOOKUP(C283,'Talente &amp; Stuff'!IA:JB,3,FALSE)</f>
        <v>-</v>
      </c>
      <c r="F283" s="120">
        <f>VLOOKUP(C283,'Talente &amp; Stuff'!IA:JB,4,FALSE)</f>
        <v>0</v>
      </c>
      <c r="G283" s="117">
        <f>VLOOKUP(C283,'Talente &amp; Stuff'!IA:JB,5,FALSE)</f>
        <v>0</v>
      </c>
      <c r="H283" s="117">
        <f>VLOOKUP(C283,'Talente &amp; Stuff'!IA:JB,6,FALSE)</f>
        <v>0</v>
      </c>
      <c r="I283" s="117">
        <f>VLOOKUP(C283,'Talente &amp; Stuff'!IA:JB,7,FALSE)</f>
        <v>0</v>
      </c>
      <c r="J283" s="117">
        <f>VLOOKUP(C283,'Talente &amp; Stuff'!IA:JB,8,FALSE)</f>
        <v>0</v>
      </c>
      <c r="K283" s="117">
        <f>VLOOKUP(C283,'Talente &amp; Stuff'!IA:JB,9,FALSE)</f>
        <v>0</v>
      </c>
      <c r="L283" s="117">
        <f>VLOOKUP(C283,'Talente &amp; Stuff'!IA:JB,10,FALSE)</f>
        <v>0</v>
      </c>
      <c r="M283" s="121">
        <f>VLOOKUP(C283,'Talente &amp; Stuff'!IA:JB,11,FALSE)</f>
        <v>0</v>
      </c>
      <c r="N283" s="47">
        <f>VLOOKUP(C283,'Talente &amp; Stuff'!IA:JB,12,FALSE)</f>
        <v>0</v>
      </c>
      <c r="O283" s="3">
        <f>VLOOKUP(C283,'Talente &amp; Stuff'!IA:JB,13,FALSE)</f>
        <v>0</v>
      </c>
      <c r="P283" s="174">
        <f>VLOOKUP(C283,'Talente &amp; Stuff'!IA:JB,14,FALSE)</f>
        <v>0</v>
      </c>
      <c r="Q283" s="114">
        <f>VLOOKUP(C283,'Talente &amp; Stuff'!IA:JB,15,FALSE)</f>
        <v>0</v>
      </c>
      <c r="R283" s="117">
        <f>VLOOKUP(C283,'Talente &amp; Stuff'!IA:JB,16,FALSE)</f>
        <v>0</v>
      </c>
      <c r="S283" s="119">
        <f>VLOOKUP(C283,'Talente &amp; Stuff'!IA:JB,17,FALSE)</f>
        <v>0</v>
      </c>
      <c r="T283" s="119">
        <f>VLOOKUP(C283,'Talente &amp; Stuff'!IA:JB,18,FALSE)</f>
        <v>0</v>
      </c>
      <c r="U283" s="89">
        <f>VLOOKUP(C283,'Talente &amp; Stuff'!IA:JB,19,FALSE)</f>
        <v>0</v>
      </c>
      <c r="V283" s="47">
        <f>VLOOKUP(C283,'Talente &amp; Stuff'!IA:JB,20,FALSE)</f>
        <v>0</v>
      </c>
      <c r="W283" s="127">
        <f>VLOOKUP(C283,'Talente &amp; Stuff'!IA:JB,21,FALSE)</f>
        <v>0</v>
      </c>
      <c r="X283" s="127">
        <f>VLOOKUP(C283,'Talente &amp; Stuff'!IA:JB,22,FALSE)</f>
        <v>0</v>
      </c>
      <c r="Y283" s="165">
        <f t="shared" si="22"/>
        <v>0</v>
      </c>
      <c r="Z283" s="44">
        <f t="shared" si="23"/>
        <v>0</v>
      </c>
      <c r="AA283" s="125">
        <f>VLOOKUP(C283,'Talente &amp; Stuff'!IA:JB,25,FALSE)</f>
        <v>0</v>
      </c>
      <c r="AB283" s="160">
        <f>VLOOKUP(C283,'Talente &amp; Stuff'!IA:JB,26,FALSE)</f>
        <v>0</v>
      </c>
      <c r="AC283" s="127">
        <f>VLOOKUP(C283,'Talente &amp; Stuff'!IA:JB,27,FALSE)</f>
        <v>0</v>
      </c>
      <c r="AD283" s="125">
        <f>VLOOKUP(C283,'Talente &amp; Stuff'!IA:JB,28,FALSE)</f>
        <v>0</v>
      </c>
      <c r="AE283" s="28"/>
    </row>
    <row r="284" spans="2:31" ht="15" hidden="1" customHeight="1" outlineLevel="2">
      <c r="B284" s="148">
        <v>24</v>
      </c>
      <c r="C284" s="163" t="str">
        <f>Attribute!C284</f>
        <v>---</v>
      </c>
      <c r="D284" s="86" t="str">
        <f>VLOOKUP(C284,'Talente &amp; Stuff'!IA:JB,2,FALSE)</f>
        <v>--/--/--</v>
      </c>
      <c r="E284" s="167" t="str">
        <f>VLOOKUP(C284,'Talente &amp; Stuff'!IA:JB,3,FALSE)</f>
        <v>-</v>
      </c>
      <c r="F284" s="120">
        <f>VLOOKUP(C284,'Talente &amp; Stuff'!IA:JB,4,FALSE)</f>
        <v>0</v>
      </c>
      <c r="G284" s="117">
        <f>VLOOKUP(C284,'Talente &amp; Stuff'!IA:JB,5,FALSE)</f>
        <v>0</v>
      </c>
      <c r="H284" s="117">
        <f>VLOOKUP(C284,'Talente &amp; Stuff'!IA:JB,6,FALSE)</f>
        <v>0</v>
      </c>
      <c r="I284" s="117">
        <f>VLOOKUP(C284,'Talente &amp; Stuff'!IA:JB,7,FALSE)</f>
        <v>0</v>
      </c>
      <c r="J284" s="117">
        <f>VLOOKUP(C284,'Talente &amp; Stuff'!IA:JB,8,FALSE)</f>
        <v>0</v>
      </c>
      <c r="K284" s="117">
        <f>VLOOKUP(C284,'Talente &amp; Stuff'!IA:JB,9,FALSE)</f>
        <v>0</v>
      </c>
      <c r="L284" s="117">
        <f>VLOOKUP(C284,'Talente &amp; Stuff'!IA:JB,10,FALSE)</f>
        <v>0</v>
      </c>
      <c r="M284" s="121">
        <f>VLOOKUP(C284,'Talente &amp; Stuff'!IA:JB,11,FALSE)</f>
        <v>0</v>
      </c>
      <c r="N284" s="47">
        <f>VLOOKUP(C284,'Talente &amp; Stuff'!IA:JB,12,FALSE)</f>
        <v>0</v>
      </c>
      <c r="O284" s="3">
        <f>VLOOKUP(C284,'Talente &amp; Stuff'!IA:JB,13,FALSE)</f>
        <v>0</v>
      </c>
      <c r="P284" s="174">
        <f>VLOOKUP(C284,'Talente &amp; Stuff'!IA:JB,14,FALSE)</f>
        <v>0</v>
      </c>
      <c r="Q284" s="114">
        <f>VLOOKUP(C284,'Talente &amp; Stuff'!IA:JB,15,FALSE)</f>
        <v>0</v>
      </c>
      <c r="R284" s="117">
        <f>VLOOKUP(C284,'Talente &amp; Stuff'!IA:JB,16,FALSE)</f>
        <v>0</v>
      </c>
      <c r="S284" s="119">
        <f>VLOOKUP(C284,'Talente &amp; Stuff'!IA:JB,17,FALSE)</f>
        <v>0</v>
      </c>
      <c r="T284" s="119">
        <f>VLOOKUP(C284,'Talente &amp; Stuff'!IA:JB,18,FALSE)</f>
        <v>0</v>
      </c>
      <c r="U284" s="89">
        <f>VLOOKUP(C284,'Talente &amp; Stuff'!IA:JB,19,FALSE)</f>
        <v>0</v>
      </c>
      <c r="V284" s="47">
        <f>VLOOKUP(C284,'Talente &amp; Stuff'!IA:JB,20,FALSE)</f>
        <v>0</v>
      </c>
      <c r="W284" s="127">
        <f>VLOOKUP(C284,'Talente &amp; Stuff'!IA:JB,21,FALSE)</f>
        <v>0</v>
      </c>
      <c r="X284" s="127">
        <f>VLOOKUP(C284,'Talente &amp; Stuff'!IA:JB,22,FALSE)</f>
        <v>0</v>
      </c>
      <c r="Y284" s="165">
        <f t="shared" si="22"/>
        <v>0</v>
      </c>
      <c r="Z284" s="44">
        <f t="shared" si="23"/>
        <v>0</v>
      </c>
      <c r="AA284" s="125">
        <f>VLOOKUP(C284,'Talente &amp; Stuff'!IA:JB,25,FALSE)</f>
        <v>0</v>
      </c>
      <c r="AB284" s="160">
        <f>VLOOKUP(C284,'Talente &amp; Stuff'!IA:JB,26,FALSE)</f>
        <v>0</v>
      </c>
      <c r="AC284" s="127">
        <f>VLOOKUP(C284,'Talente &amp; Stuff'!IA:JB,27,FALSE)</f>
        <v>0</v>
      </c>
      <c r="AD284" s="125">
        <f>VLOOKUP(C284,'Talente &amp; Stuff'!IA:JB,28,FALSE)</f>
        <v>0</v>
      </c>
      <c r="AE284" s="28"/>
    </row>
    <row r="285" spans="2:31" ht="15" hidden="1" customHeight="1" outlineLevel="2">
      <c r="B285" s="148">
        <v>25</v>
      </c>
      <c r="C285" s="163" t="str">
        <f>Attribute!C285</f>
        <v>---</v>
      </c>
      <c r="D285" s="86" t="str">
        <f>VLOOKUP(C285,'Talente &amp; Stuff'!IA:JB,2,FALSE)</f>
        <v>--/--/--</v>
      </c>
      <c r="E285" s="167" t="str">
        <f>VLOOKUP(C285,'Talente &amp; Stuff'!IA:JB,3,FALSE)</f>
        <v>-</v>
      </c>
      <c r="F285" s="120">
        <f>VLOOKUP(C285,'Talente &amp; Stuff'!IA:JB,4,FALSE)</f>
        <v>0</v>
      </c>
      <c r="G285" s="117">
        <f>VLOOKUP(C285,'Talente &amp; Stuff'!IA:JB,5,FALSE)</f>
        <v>0</v>
      </c>
      <c r="H285" s="117">
        <f>VLOOKUP(C285,'Talente &amp; Stuff'!IA:JB,6,FALSE)</f>
        <v>0</v>
      </c>
      <c r="I285" s="117">
        <f>VLOOKUP(C285,'Talente &amp; Stuff'!IA:JB,7,FALSE)</f>
        <v>0</v>
      </c>
      <c r="J285" s="117">
        <f>VLOOKUP(C285,'Talente &amp; Stuff'!IA:JB,8,FALSE)</f>
        <v>0</v>
      </c>
      <c r="K285" s="117">
        <f>VLOOKUP(C285,'Talente &amp; Stuff'!IA:JB,9,FALSE)</f>
        <v>0</v>
      </c>
      <c r="L285" s="117">
        <f>VLOOKUP(C285,'Talente &amp; Stuff'!IA:JB,10,FALSE)</f>
        <v>0</v>
      </c>
      <c r="M285" s="121">
        <f>VLOOKUP(C285,'Talente &amp; Stuff'!IA:JB,11,FALSE)</f>
        <v>0</v>
      </c>
      <c r="N285" s="47">
        <f>VLOOKUP(C285,'Talente &amp; Stuff'!IA:JB,12,FALSE)</f>
        <v>0</v>
      </c>
      <c r="O285" s="3">
        <f>VLOOKUP(C285,'Talente &amp; Stuff'!IA:JB,13,FALSE)</f>
        <v>0</v>
      </c>
      <c r="P285" s="174">
        <f>VLOOKUP(C285,'Talente &amp; Stuff'!IA:JB,14,FALSE)</f>
        <v>0</v>
      </c>
      <c r="Q285" s="114">
        <f>VLOOKUP(C285,'Talente &amp; Stuff'!IA:JB,15,FALSE)</f>
        <v>0</v>
      </c>
      <c r="R285" s="117">
        <f>VLOOKUP(C285,'Talente &amp; Stuff'!IA:JB,16,FALSE)</f>
        <v>0</v>
      </c>
      <c r="S285" s="119">
        <f>VLOOKUP(C285,'Talente &amp; Stuff'!IA:JB,17,FALSE)</f>
        <v>0</v>
      </c>
      <c r="T285" s="119">
        <f>VLOOKUP(C285,'Talente &amp; Stuff'!IA:JB,18,FALSE)</f>
        <v>0</v>
      </c>
      <c r="U285" s="89">
        <f>VLOOKUP(C285,'Talente &amp; Stuff'!IA:JB,19,FALSE)</f>
        <v>0</v>
      </c>
      <c r="V285" s="47">
        <f>VLOOKUP(C285,'Talente &amp; Stuff'!IA:JB,20,FALSE)</f>
        <v>0</v>
      </c>
      <c r="W285" s="127">
        <f>VLOOKUP(C285,'Talente &amp; Stuff'!IA:JB,21,FALSE)</f>
        <v>0</v>
      </c>
      <c r="X285" s="127">
        <f>VLOOKUP(C285,'Talente &amp; Stuff'!IA:JB,22,FALSE)</f>
        <v>0</v>
      </c>
      <c r="Y285" s="165">
        <f t="shared" si="22"/>
        <v>0</v>
      </c>
      <c r="Z285" s="44">
        <f t="shared" si="23"/>
        <v>0</v>
      </c>
      <c r="AA285" s="125">
        <f>VLOOKUP(C285,'Talente &amp; Stuff'!IA:JB,25,FALSE)</f>
        <v>0</v>
      </c>
      <c r="AB285" s="160">
        <f>VLOOKUP(C285,'Talente &amp; Stuff'!IA:JB,26,FALSE)</f>
        <v>0</v>
      </c>
      <c r="AC285" s="127">
        <f>VLOOKUP(C285,'Talente &amp; Stuff'!IA:JB,27,FALSE)</f>
        <v>0</v>
      </c>
      <c r="AD285" s="125">
        <f>VLOOKUP(C285,'Talente &amp; Stuff'!IA:JB,28,FALSE)</f>
        <v>0</v>
      </c>
      <c r="AE285" s="28"/>
    </row>
    <row r="286" spans="2:31" ht="15" hidden="1" customHeight="1" outlineLevel="2">
      <c r="B286" s="148">
        <v>26</v>
      </c>
      <c r="C286" s="163" t="str">
        <f>Attribute!C286</f>
        <v>---</v>
      </c>
      <c r="D286" s="86" t="str">
        <f>VLOOKUP(C286,'Talente &amp; Stuff'!IA:JB,2,FALSE)</f>
        <v>--/--/--</v>
      </c>
      <c r="E286" s="167" t="str">
        <f>VLOOKUP(C286,'Talente &amp; Stuff'!IA:JB,3,FALSE)</f>
        <v>-</v>
      </c>
      <c r="F286" s="120">
        <f>VLOOKUP(C286,'Talente &amp; Stuff'!IA:JB,4,FALSE)</f>
        <v>0</v>
      </c>
      <c r="G286" s="117">
        <f>VLOOKUP(C286,'Talente &amp; Stuff'!IA:JB,5,FALSE)</f>
        <v>0</v>
      </c>
      <c r="H286" s="117">
        <f>VLOOKUP(C286,'Talente &amp; Stuff'!IA:JB,6,FALSE)</f>
        <v>0</v>
      </c>
      <c r="I286" s="117">
        <f>VLOOKUP(C286,'Talente &amp; Stuff'!IA:JB,7,FALSE)</f>
        <v>0</v>
      </c>
      <c r="J286" s="117">
        <f>VLOOKUP(C286,'Talente &amp; Stuff'!IA:JB,8,FALSE)</f>
        <v>0</v>
      </c>
      <c r="K286" s="117">
        <f>VLOOKUP(C286,'Talente &amp; Stuff'!IA:JB,9,FALSE)</f>
        <v>0</v>
      </c>
      <c r="L286" s="117">
        <f>VLOOKUP(C286,'Talente &amp; Stuff'!IA:JB,10,FALSE)</f>
        <v>0</v>
      </c>
      <c r="M286" s="121">
        <f>VLOOKUP(C286,'Talente &amp; Stuff'!IA:JB,11,FALSE)</f>
        <v>0</v>
      </c>
      <c r="N286" s="47">
        <f>VLOOKUP(C286,'Talente &amp; Stuff'!IA:JB,12,FALSE)</f>
        <v>0</v>
      </c>
      <c r="O286" s="3">
        <f>VLOOKUP(C286,'Talente &amp; Stuff'!IA:JB,13,FALSE)</f>
        <v>0</v>
      </c>
      <c r="P286" s="174">
        <f>VLOOKUP(C286,'Talente &amp; Stuff'!IA:JB,14,FALSE)</f>
        <v>0</v>
      </c>
      <c r="Q286" s="114">
        <f>VLOOKUP(C286,'Talente &amp; Stuff'!IA:JB,15,FALSE)</f>
        <v>0</v>
      </c>
      <c r="R286" s="117">
        <f>VLOOKUP(C286,'Talente &amp; Stuff'!IA:JB,16,FALSE)</f>
        <v>0</v>
      </c>
      <c r="S286" s="119">
        <f>VLOOKUP(C286,'Talente &amp; Stuff'!IA:JB,17,FALSE)</f>
        <v>0</v>
      </c>
      <c r="T286" s="119">
        <f>VLOOKUP(C286,'Talente &amp; Stuff'!IA:JB,18,FALSE)</f>
        <v>0</v>
      </c>
      <c r="U286" s="89">
        <f>VLOOKUP(C286,'Talente &amp; Stuff'!IA:JB,19,FALSE)</f>
        <v>0</v>
      </c>
      <c r="V286" s="47">
        <f>VLOOKUP(C286,'Talente &amp; Stuff'!IA:JB,20,FALSE)</f>
        <v>0</v>
      </c>
      <c r="W286" s="127">
        <f>VLOOKUP(C286,'Talente &amp; Stuff'!IA:JB,21,FALSE)</f>
        <v>0</v>
      </c>
      <c r="X286" s="127">
        <f>VLOOKUP(C286,'Talente &amp; Stuff'!IA:JB,22,FALSE)</f>
        <v>0</v>
      </c>
      <c r="Y286" s="165">
        <f t="shared" si="22"/>
        <v>0</v>
      </c>
      <c r="Z286" s="44">
        <f t="shared" si="23"/>
        <v>0</v>
      </c>
      <c r="AA286" s="125">
        <f>VLOOKUP(C286,'Talente &amp; Stuff'!IA:JB,25,FALSE)</f>
        <v>0</v>
      </c>
      <c r="AB286" s="160">
        <f>VLOOKUP(C286,'Talente &amp; Stuff'!IA:JB,26,FALSE)</f>
        <v>0</v>
      </c>
      <c r="AC286" s="127">
        <f>VLOOKUP(C286,'Talente &amp; Stuff'!IA:JB,27,FALSE)</f>
        <v>0</v>
      </c>
      <c r="AD286" s="125">
        <f>VLOOKUP(C286,'Talente &amp; Stuff'!IA:JB,28,FALSE)</f>
        <v>0</v>
      </c>
      <c r="AE286" s="28"/>
    </row>
    <row r="287" spans="2:31" ht="15" hidden="1" customHeight="1" outlineLevel="2">
      <c r="B287" s="148">
        <v>27</v>
      </c>
      <c r="C287" s="163" t="str">
        <f>Attribute!C287</f>
        <v>---</v>
      </c>
      <c r="D287" s="86" t="str">
        <f>VLOOKUP(C287,'Talente &amp; Stuff'!IA:JB,2,FALSE)</f>
        <v>--/--/--</v>
      </c>
      <c r="E287" s="167" t="str">
        <f>VLOOKUP(C287,'Talente &amp; Stuff'!IA:JB,3,FALSE)</f>
        <v>-</v>
      </c>
      <c r="F287" s="120">
        <f>VLOOKUP(C287,'Talente &amp; Stuff'!IA:JB,4,FALSE)</f>
        <v>0</v>
      </c>
      <c r="G287" s="117">
        <f>VLOOKUP(C287,'Talente &amp; Stuff'!IA:JB,5,FALSE)</f>
        <v>0</v>
      </c>
      <c r="H287" s="117">
        <f>VLOOKUP(C287,'Talente &amp; Stuff'!IA:JB,6,FALSE)</f>
        <v>0</v>
      </c>
      <c r="I287" s="117">
        <f>VLOOKUP(C287,'Talente &amp; Stuff'!IA:JB,7,FALSE)</f>
        <v>0</v>
      </c>
      <c r="J287" s="117">
        <f>VLOOKUP(C287,'Talente &amp; Stuff'!IA:JB,8,FALSE)</f>
        <v>0</v>
      </c>
      <c r="K287" s="117">
        <f>VLOOKUP(C287,'Talente &amp; Stuff'!IA:JB,9,FALSE)</f>
        <v>0</v>
      </c>
      <c r="L287" s="117">
        <f>VLOOKUP(C287,'Talente &amp; Stuff'!IA:JB,10,FALSE)</f>
        <v>0</v>
      </c>
      <c r="M287" s="121">
        <f>VLOOKUP(C287,'Talente &amp; Stuff'!IA:JB,11,FALSE)</f>
        <v>0</v>
      </c>
      <c r="N287" s="47">
        <f>VLOOKUP(C287,'Talente &amp; Stuff'!IA:JB,12,FALSE)</f>
        <v>0</v>
      </c>
      <c r="O287" s="3">
        <f>VLOOKUP(C287,'Talente &amp; Stuff'!IA:JB,13,FALSE)</f>
        <v>0</v>
      </c>
      <c r="P287" s="174">
        <f>VLOOKUP(C287,'Talente &amp; Stuff'!IA:JB,14,FALSE)</f>
        <v>0</v>
      </c>
      <c r="Q287" s="114">
        <f>VLOOKUP(C287,'Talente &amp; Stuff'!IA:JB,15,FALSE)</f>
        <v>0</v>
      </c>
      <c r="R287" s="117">
        <f>VLOOKUP(C287,'Talente &amp; Stuff'!IA:JB,16,FALSE)</f>
        <v>0</v>
      </c>
      <c r="S287" s="119">
        <f>VLOOKUP(C287,'Talente &amp; Stuff'!IA:JB,17,FALSE)</f>
        <v>0</v>
      </c>
      <c r="T287" s="119">
        <f>VLOOKUP(C287,'Talente &amp; Stuff'!IA:JB,18,FALSE)</f>
        <v>0</v>
      </c>
      <c r="U287" s="89">
        <f>VLOOKUP(C287,'Talente &amp; Stuff'!IA:JB,19,FALSE)</f>
        <v>0</v>
      </c>
      <c r="V287" s="47">
        <f>VLOOKUP(C287,'Talente &amp; Stuff'!IA:JB,20,FALSE)</f>
        <v>0</v>
      </c>
      <c r="W287" s="127">
        <f>VLOOKUP(C287,'Talente &amp; Stuff'!IA:JB,21,FALSE)</f>
        <v>0</v>
      </c>
      <c r="X287" s="127">
        <f>VLOOKUP(C287,'Talente &amp; Stuff'!IA:JB,22,FALSE)</f>
        <v>0</v>
      </c>
      <c r="Y287" s="165">
        <f t="shared" si="22"/>
        <v>0</v>
      </c>
      <c r="Z287" s="44">
        <f t="shared" si="23"/>
        <v>0</v>
      </c>
      <c r="AA287" s="125">
        <f>VLOOKUP(C287,'Talente &amp; Stuff'!IA:JB,25,FALSE)</f>
        <v>0</v>
      </c>
      <c r="AB287" s="160">
        <f>VLOOKUP(C287,'Talente &amp; Stuff'!IA:JB,26,FALSE)</f>
        <v>0</v>
      </c>
      <c r="AC287" s="127">
        <f>VLOOKUP(C287,'Talente &amp; Stuff'!IA:JB,27,FALSE)</f>
        <v>0</v>
      </c>
      <c r="AD287" s="125">
        <f>VLOOKUP(C287,'Talente &amp; Stuff'!IA:JB,28,FALSE)</f>
        <v>0</v>
      </c>
      <c r="AE287" s="28"/>
    </row>
    <row r="288" spans="2:31" ht="15" hidden="1" customHeight="1" outlineLevel="2">
      <c r="B288" s="148">
        <v>28</v>
      </c>
      <c r="C288" s="163" t="str">
        <f>Attribute!C288</f>
        <v>---</v>
      </c>
      <c r="D288" s="86" t="str">
        <f>VLOOKUP(C288,'Talente &amp; Stuff'!IA:JB,2,FALSE)</f>
        <v>--/--/--</v>
      </c>
      <c r="E288" s="167" t="str">
        <f>VLOOKUP(C288,'Talente &amp; Stuff'!IA:JB,3,FALSE)</f>
        <v>-</v>
      </c>
      <c r="F288" s="120">
        <f>VLOOKUP(C288,'Talente &amp; Stuff'!IA:JB,4,FALSE)</f>
        <v>0</v>
      </c>
      <c r="G288" s="117">
        <f>VLOOKUP(C288,'Talente &amp; Stuff'!IA:JB,5,FALSE)</f>
        <v>0</v>
      </c>
      <c r="H288" s="117">
        <f>VLOOKUP(C288,'Talente &amp; Stuff'!IA:JB,6,FALSE)</f>
        <v>0</v>
      </c>
      <c r="I288" s="117">
        <f>VLOOKUP(C288,'Talente &amp; Stuff'!IA:JB,7,FALSE)</f>
        <v>0</v>
      </c>
      <c r="J288" s="117">
        <f>VLOOKUP(C288,'Talente &amp; Stuff'!IA:JB,8,FALSE)</f>
        <v>0</v>
      </c>
      <c r="K288" s="117">
        <f>VLOOKUP(C288,'Talente &amp; Stuff'!IA:JB,9,FALSE)</f>
        <v>0</v>
      </c>
      <c r="L288" s="117">
        <f>VLOOKUP(C288,'Talente &amp; Stuff'!IA:JB,10,FALSE)</f>
        <v>0</v>
      </c>
      <c r="M288" s="121">
        <f>VLOOKUP(C288,'Talente &amp; Stuff'!IA:JB,11,FALSE)</f>
        <v>0</v>
      </c>
      <c r="N288" s="47">
        <f>VLOOKUP(C288,'Talente &amp; Stuff'!IA:JB,12,FALSE)</f>
        <v>0</v>
      </c>
      <c r="O288" s="3">
        <f>VLOOKUP(C288,'Talente &amp; Stuff'!IA:JB,13,FALSE)</f>
        <v>0</v>
      </c>
      <c r="P288" s="174">
        <f>VLOOKUP(C288,'Talente &amp; Stuff'!IA:JB,14,FALSE)</f>
        <v>0</v>
      </c>
      <c r="Q288" s="114">
        <f>VLOOKUP(C288,'Talente &amp; Stuff'!IA:JB,15,FALSE)</f>
        <v>0</v>
      </c>
      <c r="R288" s="117">
        <f>VLOOKUP(C288,'Talente &amp; Stuff'!IA:JB,16,FALSE)</f>
        <v>0</v>
      </c>
      <c r="S288" s="119">
        <f>VLOOKUP(C288,'Talente &amp; Stuff'!IA:JB,17,FALSE)</f>
        <v>0</v>
      </c>
      <c r="T288" s="119">
        <f>VLOOKUP(C288,'Talente &amp; Stuff'!IA:JB,18,FALSE)</f>
        <v>0</v>
      </c>
      <c r="U288" s="89">
        <f>VLOOKUP(C288,'Talente &amp; Stuff'!IA:JB,19,FALSE)</f>
        <v>0</v>
      </c>
      <c r="V288" s="47">
        <f>VLOOKUP(C288,'Talente &amp; Stuff'!IA:JB,20,FALSE)</f>
        <v>0</v>
      </c>
      <c r="W288" s="127">
        <f>VLOOKUP(C288,'Talente &amp; Stuff'!IA:JB,21,FALSE)</f>
        <v>0</v>
      </c>
      <c r="X288" s="127">
        <f>VLOOKUP(C288,'Talente &amp; Stuff'!IA:JB,22,FALSE)</f>
        <v>0</v>
      </c>
      <c r="Y288" s="165">
        <f t="shared" si="22"/>
        <v>0</v>
      </c>
      <c r="Z288" s="44">
        <f t="shared" si="23"/>
        <v>0</v>
      </c>
      <c r="AA288" s="125">
        <f>VLOOKUP(C288,'Talente &amp; Stuff'!IA:JB,25,FALSE)</f>
        <v>0</v>
      </c>
      <c r="AB288" s="160">
        <f>VLOOKUP(C288,'Talente &amp; Stuff'!IA:JB,26,FALSE)</f>
        <v>0</v>
      </c>
      <c r="AC288" s="127">
        <f>VLOOKUP(C288,'Talente &amp; Stuff'!IA:JB,27,FALSE)</f>
        <v>0</v>
      </c>
      <c r="AD288" s="125">
        <f>VLOOKUP(C288,'Talente &amp; Stuff'!IA:JB,28,FALSE)</f>
        <v>0</v>
      </c>
      <c r="AE288" s="28"/>
    </row>
    <row r="289" spans="1:31" ht="15" hidden="1" customHeight="1" outlineLevel="2">
      <c r="B289" s="148">
        <v>29</v>
      </c>
      <c r="C289" s="163" t="str">
        <f>Attribute!C289</f>
        <v>---</v>
      </c>
      <c r="D289" s="125" t="str">
        <f>VLOOKUP(C289,'Talente &amp; Stuff'!IA:JB,2,FALSE)</f>
        <v>--/--/--</v>
      </c>
      <c r="E289" s="127" t="str">
        <f>VLOOKUP(C289,'Talente &amp; Stuff'!IA:JB,3,FALSE)</f>
        <v>-</v>
      </c>
      <c r="F289" s="114">
        <f>VLOOKUP(C289,'Talente &amp; Stuff'!IA:JB,4,FALSE)</f>
        <v>0</v>
      </c>
      <c r="G289" s="113">
        <f>VLOOKUP(C289,'Talente &amp; Stuff'!IA:JB,5,FALSE)</f>
        <v>0</v>
      </c>
      <c r="H289" s="113">
        <f>VLOOKUP(C289,'Talente &amp; Stuff'!IA:JB,6,FALSE)</f>
        <v>0</v>
      </c>
      <c r="I289" s="113">
        <f>VLOOKUP(C289,'Talente &amp; Stuff'!IA:JB,7,FALSE)</f>
        <v>0</v>
      </c>
      <c r="J289" s="113">
        <f>VLOOKUP(C289,'Talente &amp; Stuff'!IA:JB,8,FALSE)</f>
        <v>0</v>
      </c>
      <c r="K289" s="113">
        <f>VLOOKUP(C289,'Talente &amp; Stuff'!IA:JB,9,FALSE)</f>
        <v>0</v>
      </c>
      <c r="L289" s="113">
        <f>VLOOKUP(C289,'Talente &amp; Stuff'!IA:JB,10,FALSE)</f>
        <v>0</v>
      </c>
      <c r="M289" s="119">
        <f>VLOOKUP(C289,'Talente &amp; Stuff'!IA:JB,11,FALSE)</f>
        <v>0</v>
      </c>
      <c r="N289" s="47">
        <f>VLOOKUP(C289,'Talente &amp; Stuff'!IA:JB,12,FALSE)</f>
        <v>0</v>
      </c>
      <c r="O289" s="47">
        <f>VLOOKUP(C289,'Talente &amp; Stuff'!IA:JB,13,FALSE)</f>
        <v>0</v>
      </c>
      <c r="P289" s="119">
        <f>VLOOKUP(C289,'Talente &amp; Stuff'!IA:JB,14,FALSE)</f>
        <v>0</v>
      </c>
      <c r="Q289" s="114">
        <f>VLOOKUP(C289,'Talente &amp; Stuff'!IA:JB,15,FALSE)</f>
        <v>0</v>
      </c>
      <c r="R289" s="113">
        <f>VLOOKUP(C289,'Talente &amp; Stuff'!IA:JB,16,FALSE)</f>
        <v>0</v>
      </c>
      <c r="S289" s="119">
        <f>VLOOKUP(C289,'Talente &amp; Stuff'!IA:JB,17,FALSE)</f>
        <v>0</v>
      </c>
      <c r="T289" s="119">
        <f>VLOOKUP(C289,'Talente &amp; Stuff'!IA:JB,18,FALSE)</f>
        <v>0</v>
      </c>
      <c r="U289" s="89">
        <f>VLOOKUP(C289,'Talente &amp; Stuff'!IA:JB,19,FALSE)</f>
        <v>0</v>
      </c>
      <c r="V289" s="47">
        <f>VLOOKUP(C289,'Talente &amp; Stuff'!IA:JB,20,FALSE)</f>
        <v>0</v>
      </c>
      <c r="W289" s="127">
        <f>VLOOKUP(C289,'Talente &amp; Stuff'!IA:JB,21,FALSE)</f>
        <v>0</v>
      </c>
      <c r="X289" s="127">
        <f>VLOOKUP(C289,'Talente &amp; Stuff'!IA:JB,22,FALSE)</f>
        <v>0</v>
      </c>
      <c r="Y289" s="165">
        <f t="shared" si="22"/>
        <v>0</v>
      </c>
      <c r="Z289" s="44">
        <f t="shared" si="23"/>
        <v>0</v>
      </c>
      <c r="AA289" s="125">
        <f>VLOOKUP(C289,'Talente &amp; Stuff'!IA:JB,25,FALSE)</f>
        <v>0</v>
      </c>
      <c r="AB289" s="160">
        <f>VLOOKUP(C289,'Talente &amp; Stuff'!IA:JB,26,FALSE)</f>
        <v>0</v>
      </c>
      <c r="AC289" s="127">
        <f>VLOOKUP(C289,'Talente &amp; Stuff'!IA:JB,27,FALSE)</f>
        <v>0</v>
      </c>
      <c r="AD289" s="125">
        <f>VLOOKUP(C289,'Talente &amp; Stuff'!IA:JB,28,FALSE)</f>
        <v>0</v>
      </c>
      <c r="AE289" s="28"/>
    </row>
    <row r="290" spans="1:31" ht="15" hidden="1" customHeight="1" outlineLevel="2">
      <c r="B290" s="148">
        <v>30</v>
      </c>
      <c r="C290" s="163" t="str">
        <f>Attribute!C290</f>
        <v>---</v>
      </c>
      <c r="D290" s="125" t="str">
        <f>VLOOKUP(C290,'Talente &amp; Stuff'!IA:JB,2,FALSE)</f>
        <v>--/--/--</v>
      </c>
      <c r="E290" s="127" t="str">
        <f>VLOOKUP(C290,'Talente &amp; Stuff'!IA:JB,3,FALSE)</f>
        <v>-</v>
      </c>
      <c r="F290" s="114">
        <f>VLOOKUP(C290,'Talente &amp; Stuff'!IA:JB,4,FALSE)</f>
        <v>0</v>
      </c>
      <c r="G290" s="113">
        <f>VLOOKUP(C290,'Talente &amp; Stuff'!IA:JB,5,FALSE)</f>
        <v>0</v>
      </c>
      <c r="H290" s="113">
        <f>VLOOKUP(C290,'Talente &amp; Stuff'!IA:JB,6,FALSE)</f>
        <v>0</v>
      </c>
      <c r="I290" s="113">
        <f>VLOOKUP(C290,'Talente &amp; Stuff'!IA:JB,7,FALSE)</f>
        <v>0</v>
      </c>
      <c r="J290" s="113">
        <f>VLOOKUP(C290,'Talente &amp; Stuff'!IA:JB,8,FALSE)</f>
        <v>0</v>
      </c>
      <c r="K290" s="113">
        <f>VLOOKUP(C290,'Talente &amp; Stuff'!IA:JB,9,FALSE)</f>
        <v>0</v>
      </c>
      <c r="L290" s="113">
        <f>VLOOKUP(C290,'Talente &amp; Stuff'!IA:JB,10,FALSE)</f>
        <v>0</v>
      </c>
      <c r="M290" s="119">
        <f>VLOOKUP(C290,'Talente &amp; Stuff'!IA:JB,11,FALSE)</f>
        <v>0</v>
      </c>
      <c r="N290" s="47">
        <f>VLOOKUP(C290,'Talente &amp; Stuff'!IA:JB,12,FALSE)</f>
        <v>0</v>
      </c>
      <c r="O290" s="47">
        <f>VLOOKUP(C290,'Talente &amp; Stuff'!IA:JB,13,FALSE)</f>
        <v>0</v>
      </c>
      <c r="P290" s="119">
        <f>VLOOKUP(C290,'Talente &amp; Stuff'!IA:JB,14,FALSE)</f>
        <v>0</v>
      </c>
      <c r="Q290" s="114">
        <f>VLOOKUP(C290,'Talente &amp; Stuff'!IA:JB,15,FALSE)</f>
        <v>0</v>
      </c>
      <c r="R290" s="113">
        <f>VLOOKUP(C290,'Talente &amp; Stuff'!IA:JB,16,FALSE)</f>
        <v>0</v>
      </c>
      <c r="S290" s="119">
        <f>VLOOKUP(C290,'Talente &amp; Stuff'!IA:JB,17,FALSE)</f>
        <v>0</v>
      </c>
      <c r="T290" s="119">
        <f>VLOOKUP(C290,'Talente &amp; Stuff'!IA:JB,18,FALSE)</f>
        <v>0</v>
      </c>
      <c r="U290" s="89">
        <f>VLOOKUP(C290,'Talente &amp; Stuff'!IA:JB,19,FALSE)</f>
        <v>0</v>
      </c>
      <c r="V290" s="47">
        <f>VLOOKUP(C290,'Talente &amp; Stuff'!IA:JB,20,FALSE)</f>
        <v>0</v>
      </c>
      <c r="W290" s="127">
        <f>VLOOKUP(C290,'Talente &amp; Stuff'!IA:JB,21,FALSE)</f>
        <v>0</v>
      </c>
      <c r="X290" s="127">
        <f>VLOOKUP(C290,'Talente &amp; Stuff'!IA:JB,22,FALSE)</f>
        <v>0</v>
      </c>
      <c r="Y290" s="165">
        <f t="shared" si="22"/>
        <v>0</v>
      </c>
      <c r="Z290" s="44">
        <f t="shared" si="23"/>
        <v>0</v>
      </c>
      <c r="AA290" s="125">
        <f>VLOOKUP(C290,'Talente &amp; Stuff'!IA:JB,25,FALSE)</f>
        <v>0</v>
      </c>
      <c r="AB290" s="160">
        <f>VLOOKUP(C290,'Talente &amp; Stuff'!IA:JB,26,FALSE)</f>
        <v>0</v>
      </c>
      <c r="AC290" s="127">
        <f>VLOOKUP(C290,'Talente &amp; Stuff'!IA:JB,27,FALSE)</f>
        <v>0</v>
      </c>
      <c r="AD290" s="125">
        <f>VLOOKUP(C290,'Talente &amp; Stuff'!IA:JB,28,FALSE)</f>
        <v>0</v>
      </c>
      <c r="AE290" s="28"/>
    </row>
    <row r="291" spans="1:31" ht="15" hidden="1" customHeight="1" outlineLevel="2">
      <c r="B291" s="148">
        <v>31</v>
      </c>
      <c r="C291" s="163" t="str">
        <f>Attribute!C291</f>
        <v>---</v>
      </c>
      <c r="D291" s="125" t="str">
        <f>VLOOKUP(C291,'Talente &amp; Stuff'!IA:JB,2,FALSE)</f>
        <v>--/--/--</v>
      </c>
      <c r="E291" s="127" t="str">
        <f>VLOOKUP(C291,'Talente &amp; Stuff'!IA:JB,3,FALSE)</f>
        <v>-</v>
      </c>
      <c r="F291" s="114">
        <f>VLOOKUP(C291,'Talente &amp; Stuff'!IA:JB,4,FALSE)</f>
        <v>0</v>
      </c>
      <c r="G291" s="113">
        <f>VLOOKUP(C291,'Talente &amp; Stuff'!IA:JB,5,FALSE)</f>
        <v>0</v>
      </c>
      <c r="H291" s="113">
        <f>VLOOKUP(C291,'Talente &amp; Stuff'!IA:JB,6,FALSE)</f>
        <v>0</v>
      </c>
      <c r="I291" s="113">
        <f>VLOOKUP(C291,'Talente &amp; Stuff'!IA:JB,7,FALSE)</f>
        <v>0</v>
      </c>
      <c r="J291" s="113">
        <f>VLOOKUP(C291,'Talente &amp; Stuff'!IA:JB,8,FALSE)</f>
        <v>0</v>
      </c>
      <c r="K291" s="113">
        <f>VLOOKUP(C291,'Talente &amp; Stuff'!IA:JB,9,FALSE)</f>
        <v>0</v>
      </c>
      <c r="L291" s="113">
        <f>VLOOKUP(C291,'Talente &amp; Stuff'!IA:JB,10,FALSE)</f>
        <v>0</v>
      </c>
      <c r="M291" s="119">
        <f>VLOOKUP(C291,'Talente &amp; Stuff'!IA:JB,11,FALSE)</f>
        <v>0</v>
      </c>
      <c r="N291" s="47">
        <f>VLOOKUP(C291,'Talente &amp; Stuff'!IA:JB,12,FALSE)</f>
        <v>0</v>
      </c>
      <c r="O291" s="47">
        <f>VLOOKUP(C291,'Talente &amp; Stuff'!IA:JB,13,FALSE)</f>
        <v>0</v>
      </c>
      <c r="P291" s="119">
        <f>VLOOKUP(C291,'Talente &amp; Stuff'!IA:JB,14,FALSE)</f>
        <v>0</v>
      </c>
      <c r="Q291" s="114">
        <f>VLOOKUP(C291,'Talente &amp; Stuff'!IA:JB,15,FALSE)</f>
        <v>0</v>
      </c>
      <c r="R291" s="113">
        <f>VLOOKUP(C291,'Talente &amp; Stuff'!IA:JB,16,FALSE)</f>
        <v>0</v>
      </c>
      <c r="S291" s="119">
        <f>VLOOKUP(C291,'Talente &amp; Stuff'!IA:JB,17,FALSE)</f>
        <v>0</v>
      </c>
      <c r="T291" s="119">
        <f>VLOOKUP(C291,'Talente &amp; Stuff'!IA:JB,18,FALSE)</f>
        <v>0</v>
      </c>
      <c r="U291" s="89">
        <f>VLOOKUP(C291,'Talente &amp; Stuff'!IA:JB,19,FALSE)</f>
        <v>0</v>
      </c>
      <c r="V291" s="47">
        <f>VLOOKUP(C291,'Talente &amp; Stuff'!IA:JB,20,FALSE)</f>
        <v>0</v>
      </c>
      <c r="W291" s="127">
        <f>VLOOKUP(C291,'Talente &amp; Stuff'!IA:JB,21,FALSE)</f>
        <v>0</v>
      </c>
      <c r="X291" s="127">
        <f>VLOOKUP(C291,'Talente &amp; Stuff'!IA:JB,22,FALSE)</f>
        <v>0</v>
      </c>
      <c r="Y291" s="165">
        <f t="shared" si="22"/>
        <v>0</v>
      </c>
      <c r="Z291" s="44">
        <f t="shared" si="23"/>
        <v>0</v>
      </c>
      <c r="AA291" s="125">
        <f>VLOOKUP(C291,'Talente &amp; Stuff'!IA:JB,25,FALSE)</f>
        <v>0</v>
      </c>
      <c r="AB291" s="160">
        <f>VLOOKUP(C291,'Talente &amp; Stuff'!IA:JB,26,FALSE)</f>
        <v>0</v>
      </c>
      <c r="AC291" s="127">
        <f>VLOOKUP(C291,'Talente &amp; Stuff'!IA:JB,27,FALSE)</f>
        <v>0</v>
      </c>
      <c r="AD291" s="125">
        <f>VLOOKUP(C291,'Talente &amp; Stuff'!IA:JB,28,FALSE)</f>
        <v>0</v>
      </c>
      <c r="AE291" s="28"/>
    </row>
    <row r="292" spans="1:31" ht="15" hidden="1" customHeight="1" outlineLevel="2">
      <c r="B292" s="148">
        <v>32</v>
      </c>
      <c r="C292" s="163" t="str">
        <f>Attribute!C292</f>
        <v>---</v>
      </c>
      <c r="D292" s="125" t="str">
        <f>VLOOKUP(C292,'Talente &amp; Stuff'!IA:JB,2,FALSE)</f>
        <v>--/--/--</v>
      </c>
      <c r="E292" s="127" t="str">
        <f>VLOOKUP(C292,'Talente &amp; Stuff'!IA:JB,3,FALSE)</f>
        <v>-</v>
      </c>
      <c r="F292" s="114">
        <f>VLOOKUP(C292,'Talente &amp; Stuff'!IA:JB,4,FALSE)</f>
        <v>0</v>
      </c>
      <c r="G292" s="113">
        <f>VLOOKUP(C292,'Talente &amp; Stuff'!IA:JB,5,FALSE)</f>
        <v>0</v>
      </c>
      <c r="H292" s="113">
        <f>VLOOKUP(C292,'Talente &amp; Stuff'!IA:JB,6,FALSE)</f>
        <v>0</v>
      </c>
      <c r="I292" s="113">
        <f>VLOOKUP(C292,'Talente &amp; Stuff'!IA:JB,7,FALSE)</f>
        <v>0</v>
      </c>
      <c r="J292" s="113">
        <f>VLOOKUP(C292,'Talente &amp; Stuff'!IA:JB,8,FALSE)</f>
        <v>0</v>
      </c>
      <c r="K292" s="113">
        <f>VLOOKUP(C292,'Talente &amp; Stuff'!IA:JB,9,FALSE)</f>
        <v>0</v>
      </c>
      <c r="L292" s="113">
        <f>VLOOKUP(C292,'Talente &amp; Stuff'!IA:JB,10,FALSE)</f>
        <v>0</v>
      </c>
      <c r="M292" s="119">
        <f>VLOOKUP(C292,'Talente &amp; Stuff'!IA:JB,11,FALSE)</f>
        <v>0</v>
      </c>
      <c r="N292" s="47">
        <f>VLOOKUP(C292,'Talente &amp; Stuff'!IA:JB,12,FALSE)</f>
        <v>0</v>
      </c>
      <c r="O292" s="47">
        <f>VLOOKUP(C292,'Talente &amp; Stuff'!IA:JB,13,FALSE)</f>
        <v>0</v>
      </c>
      <c r="P292" s="119">
        <f>VLOOKUP(C292,'Talente &amp; Stuff'!IA:JB,14,FALSE)</f>
        <v>0</v>
      </c>
      <c r="Q292" s="114">
        <f>VLOOKUP(C292,'Talente &amp; Stuff'!IA:JB,15,FALSE)</f>
        <v>0</v>
      </c>
      <c r="R292" s="113">
        <f>VLOOKUP(C292,'Talente &amp; Stuff'!IA:JB,16,FALSE)</f>
        <v>0</v>
      </c>
      <c r="S292" s="119">
        <f>VLOOKUP(C292,'Talente &amp; Stuff'!IA:JB,17,FALSE)</f>
        <v>0</v>
      </c>
      <c r="T292" s="119">
        <f>VLOOKUP(C292,'Talente &amp; Stuff'!IA:JB,18,FALSE)</f>
        <v>0</v>
      </c>
      <c r="U292" s="89">
        <f>VLOOKUP(C292,'Talente &amp; Stuff'!IA:JB,19,FALSE)</f>
        <v>0</v>
      </c>
      <c r="V292" s="47">
        <f>VLOOKUP(C292,'Talente &amp; Stuff'!IA:JB,20,FALSE)</f>
        <v>0</v>
      </c>
      <c r="W292" s="127">
        <f>VLOOKUP(C292,'Talente &amp; Stuff'!IA:JB,21,FALSE)</f>
        <v>0</v>
      </c>
      <c r="X292" s="127">
        <f>VLOOKUP(C292,'Talente &amp; Stuff'!IA:JB,22,FALSE)</f>
        <v>0</v>
      </c>
      <c r="Y292" s="165">
        <f t="shared" si="22"/>
        <v>0</v>
      </c>
      <c r="Z292" s="44">
        <f t="shared" si="23"/>
        <v>0</v>
      </c>
      <c r="AA292" s="125">
        <f>VLOOKUP(C292,'Talente &amp; Stuff'!IA:JB,25,FALSE)</f>
        <v>0</v>
      </c>
      <c r="AB292" s="160">
        <f>VLOOKUP(C292,'Talente &amp; Stuff'!IA:JB,26,FALSE)</f>
        <v>0</v>
      </c>
      <c r="AC292" s="127">
        <f>VLOOKUP(C292,'Talente &amp; Stuff'!IA:JB,27,FALSE)</f>
        <v>0</v>
      </c>
      <c r="AD292" s="125">
        <f>VLOOKUP(C292,'Talente &amp; Stuff'!IA:JB,28,FALSE)</f>
        <v>0</v>
      </c>
      <c r="AE292" s="28"/>
    </row>
    <row r="293" spans="1:31" ht="15" hidden="1" customHeight="1" outlineLevel="2">
      <c r="B293" s="148">
        <v>33</v>
      </c>
      <c r="C293" s="163" t="str">
        <f>Attribute!C293</f>
        <v>---</v>
      </c>
      <c r="D293" s="125" t="str">
        <f>VLOOKUP(C293,'Talente &amp; Stuff'!IA:JB,2,FALSE)</f>
        <v>--/--/--</v>
      </c>
      <c r="E293" s="127" t="str">
        <f>VLOOKUP(C293,'Talente &amp; Stuff'!IA:JB,3,FALSE)</f>
        <v>-</v>
      </c>
      <c r="F293" s="114">
        <f>VLOOKUP(C293,'Talente &amp; Stuff'!IA:JB,4,FALSE)</f>
        <v>0</v>
      </c>
      <c r="G293" s="113">
        <f>VLOOKUP(C293,'Talente &amp; Stuff'!IA:JB,5,FALSE)</f>
        <v>0</v>
      </c>
      <c r="H293" s="113">
        <f>VLOOKUP(C293,'Talente &amp; Stuff'!IA:JB,6,FALSE)</f>
        <v>0</v>
      </c>
      <c r="I293" s="113">
        <f>VLOOKUP(C293,'Talente &amp; Stuff'!IA:JB,7,FALSE)</f>
        <v>0</v>
      </c>
      <c r="J293" s="113">
        <f>VLOOKUP(C293,'Talente &amp; Stuff'!IA:JB,8,FALSE)</f>
        <v>0</v>
      </c>
      <c r="K293" s="113">
        <f>VLOOKUP(C293,'Talente &amp; Stuff'!IA:JB,9,FALSE)</f>
        <v>0</v>
      </c>
      <c r="L293" s="113">
        <f>VLOOKUP(C293,'Talente &amp; Stuff'!IA:JB,10,FALSE)</f>
        <v>0</v>
      </c>
      <c r="M293" s="119">
        <f>VLOOKUP(C293,'Talente &amp; Stuff'!IA:JB,11,FALSE)</f>
        <v>0</v>
      </c>
      <c r="N293" s="47">
        <f>VLOOKUP(C293,'Talente &amp; Stuff'!IA:JB,12,FALSE)</f>
        <v>0</v>
      </c>
      <c r="O293" s="47">
        <f>VLOOKUP(C293,'Talente &amp; Stuff'!IA:JB,13,FALSE)</f>
        <v>0</v>
      </c>
      <c r="P293" s="119">
        <f>VLOOKUP(C293,'Talente &amp; Stuff'!IA:JB,14,FALSE)</f>
        <v>0</v>
      </c>
      <c r="Q293" s="114">
        <f>VLOOKUP(C293,'Talente &amp; Stuff'!IA:JB,15,FALSE)</f>
        <v>0</v>
      </c>
      <c r="R293" s="113">
        <f>VLOOKUP(C293,'Talente &amp; Stuff'!IA:JB,16,FALSE)</f>
        <v>0</v>
      </c>
      <c r="S293" s="119">
        <f>VLOOKUP(C293,'Talente &amp; Stuff'!IA:JB,17,FALSE)</f>
        <v>0</v>
      </c>
      <c r="T293" s="119">
        <f>VLOOKUP(C293,'Talente &amp; Stuff'!IA:JB,18,FALSE)</f>
        <v>0</v>
      </c>
      <c r="U293" s="89">
        <f>VLOOKUP(C293,'Talente &amp; Stuff'!IA:JB,19,FALSE)</f>
        <v>0</v>
      </c>
      <c r="V293" s="47">
        <f>VLOOKUP(C293,'Talente &amp; Stuff'!IA:JB,20,FALSE)</f>
        <v>0</v>
      </c>
      <c r="W293" s="127">
        <f>VLOOKUP(C293,'Talente &amp; Stuff'!IA:JB,21,FALSE)</f>
        <v>0</v>
      </c>
      <c r="X293" s="127">
        <f>VLOOKUP(C293,'Talente &amp; Stuff'!IA:JB,22,FALSE)</f>
        <v>0</v>
      </c>
      <c r="Y293" s="165">
        <f t="shared" si="22"/>
        <v>0</v>
      </c>
      <c r="Z293" s="44">
        <f t="shared" si="23"/>
        <v>0</v>
      </c>
      <c r="AA293" s="125">
        <f>VLOOKUP(C293,'Talente &amp; Stuff'!IA:JB,25,FALSE)</f>
        <v>0</v>
      </c>
      <c r="AB293" s="160">
        <f>VLOOKUP(C293,'Talente &amp; Stuff'!IA:JB,26,FALSE)</f>
        <v>0</v>
      </c>
      <c r="AC293" s="127">
        <f>VLOOKUP(C293,'Talente &amp; Stuff'!IA:JB,27,FALSE)</f>
        <v>0</v>
      </c>
      <c r="AD293" s="125">
        <f>VLOOKUP(C293,'Talente &amp; Stuff'!IA:JB,28,FALSE)</f>
        <v>0</v>
      </c>
      <c r="AE293" s="28"/>
    </row>
    <row r="294" spans="1:31" ht="15" hidden="1" customHeight="1" outlineLevel="2">
      <c r="B294" s="148">
        <v>34</v>
      </c>
      <c r="C294" s="163" t="str">
        <f>Attribute!C294</f>
        <v>---</v>
      </c>
      <c r="D294" s="125" t="str">
        <f>VLOOKUP(C294,'Talente &amp; Stuff'!IA:JB,2,FALSE)</f>
        <v>--/--/--</v>
      </c>
      <c r="E294" s="127" t="str">
        <f>VLOOKUP(C294,'Talente &amp; Stuff'!IA:JB,3,FALSE)</f>
        <v>-</v>
      </c>
      <c r="F294" s="114">
        <f>VLOOKUP(C294,'Talente &amp; Stuff'!IA:JB,4,FALSE)</f>
        <v>0</v>
      </c>
      <c r="G294" s="113">
        <f>VLOOKUP(C294,'Talente &amp; Stuff'!IA:JB,5,FALSE)</f>
        <v>0</v>
      </c>
      <c r="H294" s="113">
        <f>VLOOKUP(C294,'Talente &amp; Stuff'!IA:JB,6,FALSE)</f>
        <v>0</v>
      </c>
      <c r="I294" s="113">
        <f>VLOOKUP(C294,'Talente &amp; Stuff'!IA:JB,7,FALSE)</f>
        <v>0</v>
      </c>
      <c r="J294" s="113">
        <f>VLOOKUP(C294,'Talente &amp; Stuff'!IA:JB,8,FALSE)</f>
        <v>0</v>
      </c>
      <c r="K294" s="113">
        <f>VLOOKUP(C294,'Talente &amp; Stuff'!IA:JB,9,FALSE)</f>
        <v>0</v>
      </c>
      <c r="L294" s="113">
        <f>VLOOKUP(C294,'Talente &amp; Stuff'!IA:JB,10,FALSE)</f>
        <v>0</v>
      </c>
      <c r="M294" s="119">
        <f>VLOOKUP(C294,'Talente &amp; Stuff'!IA:JB,11,FALSE)</f>
        <v>0</v>
      </c>
      <c r="N294" s="47">
        <f>VLOOKUP(C294,'Talente &amp; Stuff'!IA:JB,12,FALSE)</f>
        <v>0</v>
      </c>
      <c r="O294" s="47">
        <f>VLOOKUP(C294,'Talente &amp; Stuff'!IA:JB,13,FALSE)</f>
        <v>0</v>
      </c>
      <c r="P294" s="119">
        <f>VLOOKUP(C294,'Talente &amp; Stuff'!IA:JB,14,FALSE)</f>
        <v>0</v>
      </c>
      <c r="Q294" s="114">
        <f>VLOOKUP(C294,'Talente &amp; Stuff'!IA:JB,15,FALSE)</f>
        <v>0</v>
      </c>
      <c r="R294" s="113">
        <f>VLOOKUP(C294,'Talente &amp; Stuff'!IA:JB,16,FALSE)</f>
        <v>0</v>
      </c>
      <c r="S294" s="119">
        <f>VLOOKUP(C294,'Talente &amp; Stuff'!IA:JB,17,FALSE)</f>
        <v>0</v>
      </c>
      <c r="T294" s="119">
        <f>VLOOKUP(C294,'Talente &amp; Stuff'!IA:JB,18,FALSE)</f>
        <v>0</v>
      </c>
      <c r="U294" s="89">
        <f>VLOOKUP(C294,'Talente &amp; Stuff'!IA:JB,19,FALSE)</f>
        <v>0</v>
      </c>
      <c r="V294" s="47">
        <f>VLOOKUP(C294,'Talente &amp; Stuff'!IA:JB,20,FALSE)</f>
        <v>0</v>
      </c>
      <c r="W294" s="127">
        <f>VLOOKUP(C294,'Talente &amp; Stuff'!IA:JB,21,FALSE)</f>
        <v>0</v>
      </c>
      <c r="X294" s="127">
        <f>VLOOKUP(C294,'Talente &amp; Stuff'!IA:JB,22,FALSE)</f>
        <v>0</v>
      </c>
      <c r="Y294" s="165">
        <f t="shared" si="22"/>
        <v>0</v>
      </c>
      <c r="Z294" s="44">
        <f t="shared" si="23"/>
        <v>0</v>
      </c>
      <c r="AA294" s="125">
        <f>VLOOKUP(C294,'Talente &amp; Stuff'!IA:JB,25,FALSE)</f>
        <v>0</v>
      </c>
      <c r="AB294" s="160">
        <f>VLOOKUP(C294,'Talente &amp; Stuff'!IA:JB,26,FALSE)</f>
        <v>0</v>
      </c>
      <c r="AC294" s="127">
        <f>VLOOKUP(C294,'Talente &amp; Stuff'!IA:JB,27,FALSE)</f>
        <v>0</v>
      </c>
      <c r="AD294" s="125">
        <f>VLOOKUP(C294,'Talente &amp; Stuff'!IA:JB,28,FALSE)</f>
        <v>0</v>
      </c>
      <c r="AE294" s="28"/>
    </row>
    <row r="295" spans="1:31" ht="15" hidden="1" customHeight="1" outlineLevel="2">
      <c r="B295" s="148">
        <v>35</v>
      </c>
      <c r="C295" s="163" t="str">
        <f>Attribute!C295</f>
        <v>---</v>
      </c>
      <c r="D295" s="125" t="str">
        <f>VLOOKUP(C295,'Talente &amp; Stuff'!IA:JB,2,FALSE)</f>
        <v>--/--/--</v>
      </c>
      <c r="E295" s="127" t="str">
        <f>VLOOKUP(C295,'Talente &amp; Stuff'!IA:JB,3,FALSE)</f>
        <v>-</v>
      </c>
      <c r="F295" s="114">
        <f>VLOOKUP(C295,'Talente &amp; Stuff'!IA:JB,4,FALSE)</f>
        <v>0</v>
      </c>
      <c r="G295" s="113">
        <f>VLOOKUP(C295,'Talente &amp; Stuff'!IA:JB,5,FALSE)</f>
        <v>0</v>
      </c>
      <c r="H295" s="113">
        <f>VLOOKUP(C295,'Talente &amp; Stuff'!IA:JB,6,FALSE)</f>
        <v>0</v>
      </c>
      <c r="I295" s="113">
        <f>VLOOKUP(C295,'Talente &amp; Stuff'!IA:JB,7,FALSE)</f>
        <v>0</v>
      </c>
      <c r="J295" s="113">
        <f>VLOOKUP(C295,'Talente &amp; Stuff'!IA:JB,8,FALSE)</f>
        <v>0</v>
      </c>
      <c r="K295" s="113">
        <f>VLOOKUP(C295,'Talente &amp; Stuff'!IA:JB,9,FALSE)</f>
        <v>0</v>
      </c>
      <c r="L295" s="113">
        <f>VLOOKUP(C295,'Talente &amp; Stuff'!IA:JB,10,FALSE)</f>
        <v>0</v>
      </c>
      <c r="M295" s="119">
        <f>VLOOKUP(C295,'Talente &amp; Stuff'!IA:JB,11,FALSE)</f>
        <v>0</v>
      </c>
      <c r="N295" s="47">
        <f>VLOOKUP(C295,'Talente &amp; Stuff'!IA:JB,12,FALSE)</f>
        <v>0</v>
      </c>
      <c r="O295" s="47">
        <f>VLOOKUP(C295,'Talente &amp; Stuff'!IA:JB,13,FALSE)</f>
        <v>0</v>
      </c>
      <c r="P295" s="119">
        <f>VLOOKUP(C295,'Talente &amp; Stuff'!IA:JB,14,FALSE)</f>
        <v>0</v>
      </c>
      <c r="Q295" s="114">
        <f>VLOOKUP(C295,'Talente &amp; Stuff'!IA:JB,15,FALSE)</f>
        <v>0</v>
      </c>
      <c r="R295" s="113">
        <f>VLOOKUP(C295,'Talente &amp; Stuff'!IA:JB,16,FALSE)</f>
        <v>0</v>
      </c>
      <c r="S295" s="119">
        <f>VLOOKUP(C295,'Talente &amp; Stuff'!IA:JB,17,FALSE)</f>
        <v>0</v>
      </c>
      <c r="T295" s="119">
        <f>VLOOKUP(C295,'Talente &amp; Stuff'!IA:JB,18,FALSE)</f>
        <v>0</v>
      </c>
      <c r="U295" s="89">
        <f>VLOOKUP(C295,'Talente &amp; Stuff'!IA:JB,19,FALSE)</f>
        <v>0</v>
      </c>
      <c r="V295" s="47">
        <f>VLOOKUP(C295,'Talente &amp; Stuff'!IA:JB,20,FALSE)</f>
        <v>0</v>
      </c>
      <c r="W295" s="127">
        <f>VLOOKUP(C295,'Talente &amp; Stuff'!IA:JB,21,FALSE)</f>
        <v>0</v>
      </c>
      <c r="X295" s="127">
        <f>VLOOKUP(C295,'Talente &amp; Stuff'!IA:JB,22,FALSE)</f>
        <v>0</v>
      </c>
      <c r="Y295" s="165">
        <f t="shared" si="22"/>
        <v>0</v>
      </c>
      <c r="Z295" s="44">
        <f t="shared" si="23"/>
        <v>0</v>
      </c>
      <c r="AA295" s="125">
        <f>VLOOKUP(C295,'Talente &amp; Stuff'!IA:JB,25,FALSE)</f>
        <v>0</v>
      </c>
      <c r="AB295" s="160">
        <f>VLOOKUP(C295,'Talente &amp; Stuff'!IA:JB,26,FALSE)</f>
        <v>0</v>
      </c>
      <c r="AC295" s="127">
        <f>VLOOKUP(C295,'Talente &amp; Stuff'!IA:JB,27,FALSE)</f>
        <v>0</v>
      </c>
      <c r="AD295" s="125">
        <f>VLOOKUP(C295,'Talente &amp; Stuff'!IA:JB,28,FALSE)</f>
        <v>0</v>
      </c>
      <c r="AE295" s="28"/>
    </row>
    <row r="296" spans="1:31" ht="15" hidden="1" customHeight="1" outlineLevel="2">
      <c r="B296" s="148">
        <v>36</v>
      </c>
      <c r="C296" s="164" t="str">
        <f>Attribute!C296</f>
        <v>---</v>
      </c>
      <c r="D296" s="159" t="str">
        <f>VLOOKUP(C296,'Talente &amp; Stuff'!IA:JB,2,FALSE)</f>
        <v>--/--/--</v>
      </c>
      <c r="E296" s="128" t="str">
        <f>VLOOKUP(C296,'Talente &amp; Stuff'!IA:JB,3,FALSE)</f>
        <v>-</v>
      </c>
      <c r="F296" s="115">
        <f>VLOOKUP(C296,'Talente &amp; Stuff'!IA:JB,4,FALSE)</f>
        <v>0</v>
      </c>
      <c r="G296" s="122">
        <f>VLOOKUP(C296,'Talente &amp; Stuff'!IA:JB,5,FALSE)</f>
        <v>0</v>
      </c>
      <c r="H296" s="122">
        <f>VLOOKUP(C296,'Talente &amp; Stuff'!IA:JB,6,FALSE)</f>
        <v>0</v>
      </c>
      <c r="I296" s="122">
        <f>VLOOKUP(C296,'Talente &amp; Stuff'!IA:JB,7,FALSE)</f>
        <v>0</v>
      </c>
      <c r="J296" s="122">
        <f>VLOOKUP(C296,'Talente &amp; Stuff'!IA:JB,8,FALSE)</f>
        <v>0</v>
      </c>
      <c r="K296" s="122">
        <f>VLOOKUP(C296,'Talente &amp; Stuff'!IA:JB,9,FALSE)</f>
        <v>0</v>
      </c>
      <c r="L296" s="122">
        <f>VLOOKUP(C296,'Talente &amp; Stuff'!IA:JB,10,FALSE)</f>
        <v>0</v>
      </c>
      <c r="M296" s="123">
        <f>VLOOKUP(C296,'Talente &amp; Stuff'!IA:JB,11,FALSE)</f>
        <v>0</v>
      </c>
      <c r="N296" s="88">
        <f>VLOOKUP(C296,'Talente &amp; Stuff'!IA:JB,12,FALSE)</f>
        <v>0</v>
      </c>
      <c r="O296" s="88">
        <f>VLOOKUP(C296,'Talente &amp; Stuff'!IA:JB,13,FALSE)</f>
        <v>0</v>
      </c>
      <c r="P296" s="123">
        <f>VLOOKUP(C296,'Talente &amp; Stuff'!IA:JB,14,FALSE)</f>
        <v>0</v>
      </c>
      <c r="Q296" s="115">
        <f>VLOOKUP(C296,'Talente &amp; Stuff'!IA:JB,15,FALSE)</f>
        <v>0</v>
      </c>
      <c r="R296" s="122">
        <f>VLOOKUP(C296,'Talente &amp; Stuff'!IA:JB,16,FALSE)</f>
        <v>0</v>
      </c>
      <c r="S296" s="123">
        <f>VLOOKUP(C296,'Talente &amp; Stuff'!IA:JB,17,FALSE)</f>
        <v>0</v>
      </c>
      <c r="T296" s="123">
        <f>VLOOKUP(C296,'Talente &amp; Stuff'!IA:JB,18,FALSE)</f>
        <v>0</v>
      </c>
      <c r="U296" s="90">
        <f>VLOOKUP(C296,'Talente &amp; Stuff'!IA:JB,19,FALSE)</f>
        <v>0</v>
      </c>
      <c r="V296" s="88">
        <f>VLOOKUP(C296,'Talente &amp; Stuff'!IA:JB,20,FALSE)</f>
        <v>0</v>
      </c>
      <c r="W296" s="128">
        <f>VLOOKUP(C296,'Talente &amp; Stuff'!IA:JB,21,FALSE)</f>
        <v>0</v>
      </c>
      <c r="X296" s="128">
        <f>VLOOKUP(C296,'Talente &amp; Stuff'!IA:JB,22,FALSE)</f>
        <v>0</v>
      </c>
      <c r="Y296" s="165">
        <f t="shared" si="22"/>
        <v>0</v>
      </c>
      <c r="Z296" s="44">
        <f t="shared" si="23"/>
        <v>0</v>
      </c>
      <c r="AA296" s="159">
        <f>VLOOKUP(C296,'Talente &amp; Stuff'!IA:JB,25,FALSE)</f>
        <v>0</v>
      </c>
      <c r="AB296" s="161">
        <f>VLOOKUP(C296,'Talente &amp; Stuff'!IA:JB,26,FALSE)</f>
        <v>0</v>
      </c>
      <c r="AC296" s="128">
        <f>VLOOKUP(C296,'Talente &amp; Stuff'!IA:JB,27,FALSE)</f>
        <v>0</v>
      </c>
      <c r="AD296" s="159">
        <f>VLOOKUP(C296,'Talente &amp; Stuff'!IA:JB,28,FALSE)</f>
        <v>0</v>
      </c>
      <c r="AE296" s="28"/>
    </row>
    <row r="297" spans="1:31" s="217" customFormat="1" hidden="1" outlineLevel="1" collapsed="1">
      <c r="A297" s="185"/>
      <c r="B297" s="216" t="s">
        <v>445</v>
      </c>
      <c r="C297" s="307"/>
      <c r="D297" s="308"/>
      <c r="E297" s="308"/>
      <c r="Y297" s="251"/>
      <c r="Z297" s="251"/>
    </row>
    <row r="298" spans="1:31" s="217" customFormat="1" hidden="1" outlineLevel="2">
      <c r="A298" s="185"/>
      <c r="B298" s="217">
        <v>1</v>
      </c>
      <c r="C298" s="302" t="str">
        <f>Attribute!C298</f>
        <v>---</v>
      </c>
      <c r="D298" s="42" t="str">
        <f>VLOOKUP(C298,'Talente &amp; Stuff'!IA:JB,2,FALSE)</f>
        <v>--/--/--</v>
      </c>
      <c r="E298" s="241" t="str">
        <f>VLOOKUP(C298,'Talente &amp; Stuff'!IA:JB,3,FALSE)</f>
        <v>-</v>
      </c>
      <c r="F298" s="236">
        <f>VLOOKUP(C298,'Talente &amp; Stuff'!IA:JB,4,FALSE)</f>
        <v>0</v>
      </c>
      <c r="G298" s="233">
        <f>VLOOKUP(C298,'Talente &amp; Stuff'!IA:JB,5,FALSE)</f>
        <v>0</v>
      </c>
      <c r="H298" s="233">
        <f>VLOOKUP(C298,'Talente &amp; Stuff'!IA:JB,6,FALSE)</f>
        <v>0</v>
      </c>
      <c r="I298" s="233">
        <f>VLOOKUP(C298,'Talente &amp; Stuff'!IA:JB,7,FALSE)</f>
        <v>0</v>
      </c>
      <c r="J298" s="233">
        <f>VLOOKUP(C298,'Talente &amp; Stuff'!IA:JB,8,FALSE)</f>
        <v>0</v>
      </c>
      <c r="K298" s="233">
        <f>VLOOKUP(C298,'Talente &amp; Stuff'!IA:JB,9,FALSE)</f>
        <v>0</v>
      </c>
      <c r="L298" s="233">
        <f>VLOOKUP(C298,'Talente &amp; Stuff'!IA:JB,10,FALSE)</f>
        <v>0</v>
      </c>
      <c r="M298" s="221">
        <f>VLOOKUP(C298,'Talente &amp; Stuff'!IA:JB,11,FALSE)</f>
        <v>0</v>
      </c>
      <c r="N298" s="220">
        <f>VLOOKUP(C298,'Talente &amp; Stuff'!IA:JB,12,FALSE)</f>
        <v>0</v>
      </c>
      <c r="O298" s="220">
        <f>VLOOKUP(C298,'Talente &amp; Stuff'!IA:JB,13,FALSE)</f>
        <v>0</v>
      </c>
      <c r="P298" s="221">
        <f>VLOOKUP(C298,'Talente &amp; Stuff'!IA:JB,14,FALSE)</f>
        <v>0</v>
      </c>
      <c r="Q298" s="236">
        <f>VLOOKUP(C298,'Talente &amp; Stuff'!IA:JB,15,FALSE)</f>
        <v>0</v>
      </c>
      <c r="R298" s="233">
        <f>VLOOKUP(C298,'Talente &amp; Stuff'!IA:JB,16,FALSE)</f>
        <v>0</v>
      </c>
      <c r="S298" s="221">
        <f>VLOOKUP(C298,'Talente &amp; Stuff'!IA:JB,17,FALSE)</f>
        <v>0</v>
      </c>
      <c r="T298" s="221">
        <f>VLOOKUP(C298,'Talente &amp; Stuff'!IA:JB,18,FALSE)</f>
        <v>0</v>
      </c>
      <c r="U298" s="219">
        <f>VLOOKUP(C298,'Talente &amp; Stuff'!IA:JB,19,FALSE)</f>
        <v>0</v>
      </c>
      <c r="V298" s="220">
        <f>VLOOKUP(C298,'Talente &amp; Stuff'!IA:JB,20,FALSE)</f>
        <v>0</v>
      </c>
      <c r="W298" s="241">
        <f>VLOOKUP(C298,'Talente &amp; Stuff'!IA:JB,21,FALSE)</f>
        <v>0</v>
      </c>
      <c r="X298" s="241">
        <f>VLOOKUP(C298,'Talente &amp; Stuff'!IA:JB,22,FALSE)</f>
        <v>0</v>
      </c>
      <c r="Y298" s="252">
        <f>VLOOKUP(C298,Ausgewählte_Zauber_Zauberbarden,255,FALSE)</f>
        <v>0</v>
      </c>
      <c r="Z298" s="309">
        <f>VLOOKUP(C298,Ausgewählte_Zauber_Zauberbarden,256,FALSE)</f>
        <v>0</v>
      </c>
      <c r="AA298" s="42">
        <f>VLOOKUP(C298,'Talente &amp; Stuff'!IA:JB,25,FALSE)</f>
        <v>0</v>
      </c>
      <c r="AB298" s="78">
        <f>VLOOKUP(C298,'Talente &amp; Stuff'!IA:JB,26,FALSE)</f>
        <v>0</v>
      </c>
      <c r="AC298" s="241">
        <f>VLOOKUP(C298,'Talente &amp; Stuff'!IA:JB,27,FALSE)</f>
        <v>0</v>
      </c>
      <c r="AD298" s="42">
        <f>VLOOKUP(C298,'Talente &amp; Stuff'!IA:JB,28,FALSE)</f>
        <v>0</v>
      </c>
      <c r="AE298" s="343"/>
    </row>
    <row r="299" spans="1:31" s="217" customFormat="1" hidden="1" outlineLevel="2">
      <c r="A299" s="185"/>
      <c r="B299" s="217">
        <v>2</v>
      </c>
      <c r="C299" s="303" t="str">
        <f>Attribute!C299</f>
        <v>---</v>
      </c>
      <c r="D299" s="218" t="str">
        <f>VLOOKUP(C299,'Talente &amp; Stuff'!IA:JB,2,FALSE)</f>
        <v>--/--/--</v>
      </c>
      <c r="E299" s="243" t="str">
        <f>VLOOKUP(C299,'Talente &amp; Stuff'!IA:JB,3,FALSE)</f>
        <v>-</v>
      </c>
      <c r="F299" s="237">
        <f>VLOOKUP(C299,'Talente &amp; Stuff'!IA:JB,4,FALSE)</f>
        <v>0</v>
      </c>
      <c r="G299" s="234">
        <f>VLOOKUP(C299,'Talente &amp; Stuff'!IA:JB,5,FALSE)</f>
        <v>0</v>
      </c>
      <c r="H299" s="234">
        <f>VLOOKUP(C299,'Talente &amp; Stuff'!IA:JB,6,FALSE)</f>
        <v>0</v>
      </c>
      <c r="I299" s="234">
        <f>VLOOKUP(C299,'Talente &amp; Stuff'!IA:JB,7,FALSE)</f>
        <v>0</v>
      </c>
      <c r="J299" s="234">
        <f>VLOOKUP(C299,'Talente &amp; Stuff'!IA:JB,8,FALSE)</f>
        <v>0</v>
      </c>
      <c r="K299" s="234">
        <f>VLOOKUP(C299,'Talente &amp; Stuff'!IA:JB,9,FALSE)</f>
        <v>0</v>
      </c>
      <c r="L299" s="234">
        <f>VLOOKUP(C299,'Talente &amp; Stuff'!IA:JB,10,FALSE)</f>
        <v>0</v>
      </c>
      <c r="M299" s="224">
        <f>VLOOKUP(C299,'Talente &amp; Stuff'!IA:JB,11,FALSE)</f>
        <v>0</v>
      </c>
      <c r="N299" s="223">
        <f>VLOOKUP(C299,'Talente &amp; Stuff'!IA:JB,12,FALSE)</f>
        <v>0</v>
      </c>
      <c r="O299" s="223">
        <f>VLOOKUP(C299,'Talente &amp; Stuff'!IA:JB,13,FALSE)</f>
        <v>0</v>
      </c>
      <c r="P299" s="224">
        <f>VLOOKUP(C299,'Talente &amp; Stuff'!IA:JB,14,FALSE)</f>
        <v>0</v>
      </c>
      <c r="Q299" s="237">
        <f>VLOOKUP(C299,'Talente &amp; Stuff'!IA:JB,15,FALSE)</f>
        <v>0</v>
      </c>
      <c r="R299" s="234">
        <f>VLOOKUP(C299,'Talente &amp; Stuff'!IA:JB,16,FALSE)</f>
        <v>0</v>
      </c>
      <c r="S299" s="224">
        <f>VLOOKUP(C299,'Talente &amp; Stuff'!IA:JB,17,FALSE)</f>
        <v>0</v>
      </c>
      <c r="T299" s="224">
        <f>VLOOKUP(C299,'Talente &amp; Stuff'!IA:JB,18,FALSE)</f>
        <v>0</v>
      </c>
      <c r="U299" s="222">
        <f>VLOOKUP(C299,'Talente &amp; Stuff'!IA:JB,19,FALSE)</f>
        <v>0</v>
      </c>
      <c r="V299" s="223">
        <f>VLOOKUP(C299,'Talente &amp; Stuff'!IA:JB,20,FALSE)</f>
        <v>0</v>
      </c>
      <c r="W299" s="243">
        <f>VLOOKUP(C299,'Talente &amp; Stuff'!IA:JB,21,FALSE)</f>
        <v>0</v>
      </c>
      <c r="X299" s="243">
        <f>VLOOKUP(C299,'Talente &amp; Stuff'!IA:JB,22,FALSE)</f>
        <v>0</v>
      </c>
      <c r="Y299" s="252">
        <f>VLOOKUP(C299,Ausgewählte_Zauber_Zauberbarden,255,FALSE)</f>
        <v>0</v>
      </c>
      <c r="Z299" s="309">
        <f>VLOOKUP(C299,Ausgewählte_Zauber_Zauberbarden,256,FALSE)</f>
        <v>0</v>
      </c>
      <c r="AA299" s="218">
        <f>VLOOKUP(C299,'Talente &amp; Stuff'!IA:JB,25,FALSE)</f>
        <v>0</v>
      </c>
      <c r="AB299" s="242">
        <f>VLOOKUP(C299,'Talente &amp; Stuff'!IA:JB,26,FALSE)</f>
        <v>0</v>
      </c>
      <c r="AC299" s="243">
        <f>VLOOKUP(C299,'Talente &amp; Stuff'!IA:JB,27,FALSE)</f>
        <v>0</v>
      </c>
      <c r="AD299" s="218">
        <f>VLOOKUP(C299,'Talente &amp; Stuff'!IA:JB,28,FALSE)</f>
        <v>0</v>
      </c>
      <c r="AE299" s="343"/>
    </row>
    <row r="300" spans="1:31" s="217" customFormat="1" hidden="1" outlineLevel="2">
      <c r="A300" s="185"/>
      <c r="B300" s="217">
        <v>3</v>
      </c>
      <c r="C300" s="303" t="str">
        <f>Attribute!C300</f>
        <v>---</v>
      </c>
      <c r="D300" s="218" t="str">
        <f>VLOOKUP(C300,'Talente &amp; Stuff'!IA:JB,2,FALSE)</f>
        <v>--/--/--</v>
      </c>
      <c r="E300" s="243" t="str">
        <f>VLOOKUP(C300,'Talente &amp; Stuff'!IA:JB,3,FALSE)</f>
        <v>-</v>
      </c>
      <c r="F300" s="237">
        <f>VLOOKUP(C300,'Talente &amp; Stuff'!IA:JB,4,FALSE)</f>
        <v>0</v>
      </c>
      <c r="G300" s="234">
        <f>VLOOKUP(C300,'Talente &amp; Stuff'!IA:JB,5,FALSE)</f>
        <v>0</v>
      </c>
      <c r="H300" s="234">
        <f>VLOOKUP(C300,'Talente &amp; Stuff'!IA:JB,6,FALSE)</f>
        <v>0</v>
      </c>
      <c r="I300" s="234">
        <f>VLOOKUP(C300,'Talente &amp; Stuff'!IA:JB,7,FALSE)</f>
        <v>0</v>
      </c>
      <c r="J300" s="234">
        <f>VLOOKUP(C300,'Talente &amp; Stuff'!IA:JB,8,FALSE)</f>
        <v>0</v>
      </c>
      <c r="K300" s="234">
        <f>VLOOKUP(C300,'Talente &amp; Stuff'!IA:JB,9,FALSE)</f>
        <v>0</v>
      </c>
      <c r="L300" s="234">
        <f>VLOOKUP(C300,'Talente &amp; Stuff'!IA:JB,10,FALSE)</f>
        <v>0</v>
      </c>
      <c r="M300" s="224">
        <f>VLOOKUP(C300,'Talente &amp; Stuff'!IA:JB,11,FALSE)</f>
        <v>0</v>
      </c>
      <c r="N300" s="223">
        <f>VLOOKUP(C300,'Talente &amp; Stuff'!IA:JB,12,FALSE)</f>
        <v>0</v>
      </c>
      <c r="O300" s="223">
        <f>VLOOKUP(C300,'Talente &amp; Stuff'!IA:JB,13,FALSE)</f>
        <v>0</v>
      </c>
      <c r="P300" s="224">
        <f>VLOOKUP(C300,'Talente &amp; Stuff'!IA:JB,14,FALSE)</f>
        <v>0</v>
      </c>
      <c r="Q300" s="237">
        <f>VLOOKUP(C300,'Talente &amp; Stuff'!IA:JB,15,FALSE)</f>
        <v>0</v>
      </c>
      <c r="R300" s="234">
        <f>VLOOKUP(C300,'Talente &amp; Stuff'!IA:JB,16,FALSE)</f>
        <v>0</v>
      </c>
      <c r="S300" s="224">
        <f>VLOOKUP(C300,'Talente &amp; Stuff'!IA:JB,17,FALSE)</f>
        <v>0</v>
      </c>
      <c r="T300" s="224">
        <f>VLOOKUP(C300,'Talente &amp; Stuff'!IA:JB,18,FALSE)</f>
        <v>0</v>
      </c>
      <c r="U300" s="222">
        <f>VLOOKUP(C300,'Talente &amp; Stuff'!IA:JB,19,FALSE)</f>
        <v>0</v>
      </c>
      <c r="V300" s="223">
        <f>VLOOKUP(C300,'Talente &amp; Stuff'!IA:JB,20,FALSE)</f>
        <v>0</v>
      </c>
      <c r="W300" s="243">
        <f>VLOOKUP(C300,'Talente &amp; Stuff'!IA:JB,21,FALSE)</f>
        <v>0</v>
      </c>
      <c r="X300" s="243">
        <f>VLOOKUP(C300,'Talente &amp; Stuff'!IA:JB,22,FALSE)</f>
        <v>0</v>
      </c>
      <c r="Y300" s="252">
        <f>VLOOKUP(C300,Ausgewählte_Zauber_Zauberbarden,255,FALSE)</f>
        <v>0</v>
      </c>
      <c r="Z300" s="309">
        <f>VLOOKUP(C300,Ausgewählte_Zauber_Zauberbarden,256,FALSE)</f>
        <v>0</v>
      </c>
      <c r="AA300" s="218">
        <f>VLOOKUP(C300,'Talente &amp; Stuff'!IA:JB,25,FALSE)</f>
        <v>0</v>
      </c>
      <c r="AB300" s="242">
        <f>VLOOKUP(C300,'Talente &amp; Stuff'!IA:JB,26,FALSE)</f>
        <v>0</v>
      </c>
      <c r="AC300" s="243">
        <f>VLOOKUP(C300,'Talente &amp; Stuff'!IA:JB,27,FALSE)</f>
        <v>0</v>
      </c>
      <c r="AD300" s="218">
        <f>VLOOKUP(C300,'Talente &amp; Stuff'!IA:JB,28,FALSE)</f>
        <v>0</v>
      </c>
      <c r="AE300" s="343"/>
    </row>
    <row r="301" spans="1:31" s="217" customFormat="1" hidden="1" outlineLevel="2">
      <c r="A301" s="185"/>
      <c r="B301" s="217">
        <v>4</v>
      </c>
      <c r="C301" s="303" t="str">
        <f>Attribute!C301</f>
        <v>---</v>
      </c>
      <c r="D301" s="218" t="str">
        <f>VLOOKUP(C301,'Talente &amp; Stuff'!IA:JB,2,FALSE)</f>
        <v>--/--/--</v>
      </c>
      <c r="E301" s="243" t="str">
        <f>VLOOKUP(C301,'Talente &amp; Stuff'!IA:JB,3,FALSE)</f>
        <v>-</v>
      </c>
      <c r="F301" s="237">
        <f>VLOOKUP(C301,'Talente &amp; Stuff'!IA:JB,4,FALSE)</f>
        <v>0</v>
      </c>
      <c r="G301" s="234">
        <f>VLOOKUP(C301,'Talente &amp; Stuff'!IA:JB,5,FALSE)</f>
        <v>0</v>
      </c>
      <c r="H301" s="234">
        <f>VLOOKUP(C301,'Talente &amp; Stuff'!IA:JB,6,FALSE)</f>
        <v>0</v>
      </c>
      <c r="I301" s="234">
        <f>VLOOKUP(C301,'Talente &amp; Stuff'!IA:JB,7,FALSE)</f>
        <v>0</v>
      </c>
      <c r="J301" s="234">
        <f>VLOOKUP(C301,'Talente &amp; Stuff'!IA:JB,8,FALSE)</f>
        <v>0</v>
      </c>
      <c r="K301" s="234">
        <f>VLOOKUP(C301,'Talente &amp; Stuff'!IA:JB,9,FALSE)</f>
        <v>0</v>
      </c>
      <c r="L301" s="234">
        <f>VLOOKUP(C301,'Talente &amp; Stuff'!IA:JB,10,FALSE)</f>
        <v>0</v>
      </c>
      <c r="M301" s="224">
        <f>VLOOKUP(C301,'Talente &amp; Stuff'!IA:JB,11,FALSE)</f>
        <v>0</v>
      </c>
      <c r="N301" s="223">
        <f>VLOOKUP(C301,'Talente &amp; Stuff'!IA:JB,12,FALSE)</f>
        <v>0</v>
      </c>
      <c r="O301" s="223">
        <f>VLOOKUP(C301,'Talente &amp; Stuff'!IA:JB,13,FALSE)</f>
        <v>0</v>
      </c>
      <c r="P301" s="224">
        <f>VLOOKUP(C301,'Talente &amp; Stuff'!IA:JB,14,FALSE)</f>
        <v>0</v>
      </c>
      <c r="Q301" s="237">
        <f>VLOOKUP(C301,'Talente &amp; Stuff'!IA:JB,15,FALSE)</f>
        <v>0</v>
      </c>
      <c r="R301" s="234">
        <f>VLOOKUP(C301,'Talente &amp; Stuff'!IA:JB,16,FALSE)</f>
        <v>0</v>
      </c>
      <c r="S301" s="224">
        <f>VLOOKUP(C301,'Talente &amp; Stuff'!IA:JB,17,FALSE)</f>
        <v>0</v>
      </c>
      <c r="T301" s="224">
        <f>VLOOKUP(C301,'Talente &amp; Stuff'!IA:JB,18,FALSE)</f>
        <v>0</v>
      </c>
      <c r="U301" s="222">
        <f>VLOOKUP(C301,'Talente &amp; Stuff'!IA:JB,19,FALSE)</f>
        <v>0</v>
      </c>
      <c r="V301" s="223">
        <f>VLOOKUP(C301,'Talente &amp; Stuff'!IA:JB,20,FALSE)</f>
        <v>0</v>
      </c>
      <c r="W301" s="243">
        <f>VLOOKUP(C301,'Talente &amp; Stuff'!IA:JB,21,FALSE)</f>
        <v>0</v>
      </c>
      <c r="X301" s="243">
        <f>VLOOKUP(C301,'Talente &amp; Stuff'!IA:JB,22,FALSE)</f>
        <v>0</v>
      </c>
      <c r="Y301" s="252">
        <f>VLOOKUP(C301,Ausgewählte_Zauber_Zauberbarden,255,FALSE)</f>
        <v>0</v>
      </c>
      <c r="Z301" s="309">
        <f>VLOOKUP(C301,Ausgewählte_Zauber_Zauberbarden,256,FALSE)</f>
        <v>0</v>
      </c>
      <c r="AA301" s="218">
        <f>VLOOKUP(C301,'Talente &amp; Stuff'!IA:JB,25,FALSE)</f>
        <v>0</v>
      </c>
      <c r="AB301" s="242">
        <f>VLOOKUP(C301,'Talente &amp; Stuff'!IA:JB,26,FALSE)</f>
        <v>0</v>
      </c>
      <c r="AC301" s="243">
        <f>VLOOKUP(C301,'Talente &amp; Stuff'!IA:JB,27,FALSE)</f>
        <v>0</v>
      </c>
      <c r="AD301" s="218">
        <f>VLOOKUP(C301,'Talente &amp; Stuff'!IA:JB,28,FALSE)</f>
        <v>0</v>
      </c>
      <c r="AE301" s="343"/>
    </row>
    <row r="302" spans="1:31" s="217" customFormat="1" hidden="1" outlineLevel="2">
      <c r="A302" s="185"/>
      <c r="B302" s="217">
        <v>5</v>
      </c>
      <c r="C302" s="303" t="str">
        <f>Attribute!C302</f>
        <v>---</v>
      </c>
      <c r="D302" s="218" t="str">
        <f>VLOOKUP(C302,'Talente &amp; Stuff'!IA:JB,2,FALSE)</f>
        <v>--/--/--</v>
      </c>
      <c r="E302" s="243" t="str">
        <f>VLOOKUP(C302,'Talente &amp; Stuff'!IA:JB,3,FALSE)</f>
        <v>-</v>
      </c>
      <c r="F302" s="237">
        <f>VLOOKUP(C302,'Talente &amp; Stuff'!IA:JB,4,FALSE)</f>
        <v>0</v>
      </c>
      <c r="G302" s="234">
        <f>VLOOKUP(C302,'Talente &amp; Stuff'!IA:JB,5,FALSE)</f>
        <v>0</v>
      </c>
      <c r="H302" s="234">
        <f>VLOOKUP(C302,'Talente &amp; Stuff'!IA:JB,6,FALSE)</f>
        <v>0</v>
      </c>
      <c r="I302" s="234">
        <f>VLOOKUP(C302,'Talente &amp; Stuff'!IA:JB,7,FALSE)</f>
        <v>0</v>
      </c>
      <c r="J302" s="234">
        <f>VLOOKUP(C302,'Talente &amp; Stuff'!IA:JB,8,FALSE)</f>
        <v>0</v>
      </c>
      <c r="K302" s="234">
        <f>VLOOKUP(C302,'Talente &amp; Stuff'!IA:JB,9,FALSE)</f>
        <v>0</v>
      </c>
      <c r="L302" s="234">
        <f>VLOOKUP(C302,'Talente &amp; Stuff'!IA:JB,10,FALSE)</f>
        <v>0</v>
      </c>
      <c r="M302" s="224">
        <f>VLOOKUP(C302,'Talente &amp; Stuff'!IA:JB,11,FALSE)</f>
        <v>0</v>
      </c>
      <c r="N302" s="223">
        <f>VLOOKUP(C302,'Talente &amp; Stuff'!IA:JB,12,FALSE)</f>
        <v>0</v>
      </c>
      <c r="O302" s="223">
        <f>VLOOKUP(C302,'Talente &amp; Stuff'!IA:JB,13,FALSE)</f>
        <v>0</v>
      </c>
      <c r="P302" s="224">
        <f>VLOOKUP(C302,'Talente &amp; Stuff'!IA:JB,14,FALSE)</f>
        <v>0</v>
      </c>
      <c r="Q302" s="237">
        <f>VLOOKUP(C302,'Talente &amp; Stuff'!IA:JB,15,FALSE)</f>
        <v>0</v>
      </c>
      <c r="R302" s="234">
        <f>VLOOKUP(C302,'Talente &amp; Stuff'!IA:JB,16,FALSE)</f>
        <v>0</v>
      </c>
      <c r="S302" s="224">
        <f>VLOOKUP(C302,'Talente &amp; Stuff'!IA:JB,17,FALSE)</f>
        <v>0</v>
      </c>
      <c r="T302" s="224">
        <f>VLOOKUP(C302,'Talente &amp; Stuff'!IA:JB,18,FALSE)</f>
        <v>0</v>
      </c>
      <c r="U302" s="222">
        <f>VLOOKUP(C302,'Talente &amp; Stuff'!IA:JB,19,FALSE)</f>
        <v>0</v>
      </c>
      <c r="V302" s="223">
        <f>VLOOKUP(C302,'Talente &amp; Stuff'!IA:JB,20,FALSE)</f>
        <v>0</v>
      </c>
      <c r="W302" s="243">
        <f>VLOOKUP(C302,'Talente &amp; Stuff'!IA:JB,21,FALSE)</f>
        <v>0</v>
      </c>
      <c r="X302" s="243">
        <f>VLOOKUP(C302,'Talente &amp; Stuff'!IA:JB,22,FALSE)</f>
        <v>0</v>
      </c>
      <c r="Y302" s="252">
        <f>VLOOKUP(C302,Ausgewählte_Zauber_Zauberbarden,255,FALSE)</f>
        <v>0</v>
      </c>
      <c r="Z302" s="309">
        <f>VLOOKUP(C302,Ausgewählte_Zauber_Zauberbarden,256,FALSE)</f>
        <v>0</v>
      </c>
      <c r="AA302" s="218">
        <f>VLOOKUP(C302,'Talente &amp; Stuff'!IA:JB,25,FALSE)</f>
        <v>0</v>
      </c>
      <c r="AB302" s="242">
        <f>VLOOKUP(C302,'Talente &amp; Stuff'!IA:JB,26,FALSE)</f>
        <v>0</v>
      </c>
      <c r="AC302" s="243">
        <f>VLOOKUP(C302,'Talente &amp; Stuff'!IA:JB,27,FALSE)</f>
        <v>0</v>
      </c>
      <c r="AD302" s="218">
        <f>VLOOKUP(C302,'Talente &amp; Stuff'!IA:JB,28,FALSE)</f>
        <v>0</v>
      </c>
      <c r="AE302" s="343"/>
    </row>
    <row r="303" spans="1:31" s="217" customFormat="1" hidden="1" outlineLevel="2">
      <c r="A303" s="185"/>
      <c r="B303" s="217">
        <v>6</v>
      </c>
      <c r="C303" s="303" t="str">
        <f>Attribute!C303</f>
        <v>---</v>
      </c>
      <c r="D303" s="218" t="str">
        <f>VLOOKUP(C303,'Talente &amp; Stuff'!IA:JB,2,FALSE)</f>
        <v>--/--/--</v>
      </c>
      <c r="E303" s="243" t="str">
        <f>VLOOKUP(C303,'Talente &amp; Stuff'!IA:JB,3,FALSE)</f>
        <v>-</v>
      </c>
      <c r="F303" s="237">
        <f>VLOOKUP(C303,'Talente &amp; Stuff'!IA:JB,4,FALSE)</f>
        <v>0</v>
      </c>
      <c r="G303" s="234">
        <f>VLOOKUP(C303,'Talente &amp; Stuff'!IA:JB,5,FALSE)</f>
        <v>0</v>
      </c>
      <c r="H303" s="234">
        <f>VLOOKUP(C303,'Talente &amp; Stuff'!IA:JB,6,FALSE)</f>
        <v>0</v>
      </c>
      <c r="I303" s="234">
        <f>VLOOKUP(C303,'Talente &amp; Stuff'!IA:JB,7,FALSE)</f>
        <v>0</v>
      </c>
      <c r="J303" s="234">
        <f>VLOOKUP(C303,'Talente &amp; Stuff'!IA:JB,8,FALSE)</f>
        <v>0</v>
      </c>
      <c r="K303" s="234">
        <f>VLOOKUP(C303,'Talente &amp; Stuff'!IA:JB,9,FALSE)</f>
        <v>0</v>
      </c>
      <c r="L303" s="234">
        <f>VLOOKUP(C303,'Talente &amp; Stuff'!IA:JB,10,FALSE)</f>
        <v>0</v>
      </c>
      <c r="M303" s="224">
        <f>VLOOKUP(C303,'Talente &amp; Stuff'!IA:JB,11,FALSE)</f>
        <v>0</v>
      </c>
      <c r="N303" s="223">
        <f>VLOOKUP(C303,'Talente &amp; Stuff'!IA:JB,12,FALSE)</f>
        <v>0</v>
      </c>
      <c r="O303" s="223">
        <f>VLOOKUP(C303,'Talente &amp; Stuff'!IA:JB,13,FALSE)</f>
        <v>0</v>
      </c>
      <c r="P303" s="224">
        <f>VLOOKUP(C303,'Talente &amp; Stuff'!IA:JB,14,FALSE)</f>
        <v>0</v>
      </c>
      <c r="Q303" s="237">
        <f>VLOOKUP(C303,'Talente &amp; Stuff'!IA:JB,15,FALSE)</f>
        <v>0</v>
      </c>
      <c r="R303" s="234">
        <f>VLOOKUP(C303,'Talente &amp; Stuff'!IA:JB,16,FALSE)</f>
        <v>0</v>
      </c>
      <c r="S303" s="224">
        <f>VLOOKUP(C303,'Talente &amp; Stuff'!IA:JB,17,FALSE)</f>
        <v>0</v>
      </c>
      <c r="T303" s="224">
        <f>VLOOKUP(C303,'Talente &amp; Stuff'!IA:JB,18,FALSE)</f>
        <v>0</v>
      </c>
      <c r="U303" s="222">
        <f>VLOOKUP(C303,'Talente &amp; Stuff'!IA:JB,19,FALSE)</f>
        <v>0</v>
      </c>
      <c r="V303" s="223">
        <f>VLOOKUP(C303,'Talente &amp; Stuff'!IA:JB,20,FALSE)</f>
        <v>0</v>
      </c>
      <c r="W303" s="243">
        <f>VLOOKUP(C303,'Talente &amp; Stuff'!IA:JB,21,FALSE)</f>
        <v>0</v>
      </c>
      <c r="X303" s="243">
        <f>VLOOKUP(C303,'Talente &amp; Stuff'!IA:JB,22,FALSE)</f>
        <v>0</v>
      </c>
      <c r="Y303" s="252">
        <f>VLOOKUP(C303,Ausgewählte_Zauber_Zauberbarden,255,FALSE)</f>
        <v>0</v>
      </c>
      <c r="Z303" s="309">
        <f>VLOOKUP(C303,Ausgewählte_Zauber_Zauberbarden,256,FALSE)</f>
        <v>0</v>
      </c>
      <c r="AA303" s="218">
        <f>VLOOKUP(C303,'Talente &amp; Stuff'!IA:JB,25,FALSE)</f>
        <v>0</v>
      </c>
      <c r="AB303" s="242">
        <f>VLOOKUP(C303,'Talente &amp; Stuff'!IA:JB,26,FALSE)</f>
        <v>0</v>
      </c>
      <c r="AC303" s="243">
        <f>VLOOKUP(C303,'Talente &amp; Stuff'!IA:JB,27,FALSE)</f>
        <v>0</v>
      </c>
      <c r="AD303" s="218">
        <f>VLOOKUP(C303,'Talente &amp; Stuff'!IA:JB,28,FALSE)</f>
        <v>0</v>
      </c>
      <c r="AE303" s="343"/>
    </row>
    <row r="304" spans="1:31" s="217" customFormat="1" hidden="1" outlineLevel="2">
      <c r="A304" s="185"/>
      <c r="B304" s="217">
        <v>7</v>
      </c>
      <c r="C304" s="303" t="str">
        <f>Attribute!C304</f>
        <v>---</v>
      </c>
      <c r="D304" s="218" t="str">
        <f>VLOOKUP(C304,'Talente &amp; Stuff'!IA:JB,2,FALSE)</f>
        <v>--/--/--</v>
      </c>
      <c r="E304" s="243" t="str">
        <f>VLOOKUP(C304,'Talente &amp; Stuff'!IA:JB,3,FALSE)</f>
        <v>-</v>
      </c>
      <c r="F304" s="237">
        <f>VLOOKUP(C304,'Talente &amp; Stuff'!IA:JB,4,FALSE)</f>
        <v>0</v>
      </c>
      <c r="G304" s="234">
        <f>VLOOKUP(C304,'Talente &amp; Stuff'!IA:JB,5,FALSE)</f>
        <v>0</v>
      </c>
      <c r="H304" s="234">
        <f>VLOOKUP(C304,'Talente &amp; Stuff'!IA:JB,6,FALSE)</f>
        <v>0</v>
      </c>
      <c r="I304" s="234">
        <f>VLOOKUP(C304,'Talente &amp; Stuff'!IA:JB,7,FALSE)</f>
        <v>0</v>
      </c>
      <c r="J304" s="234">
        <f>VLOOKUP(C304,'Talente &amp; Stuff'!IA:JB,8,FALSE)</f>
        <v>0</v>
      </c>
      <c r="K304" s="234">
        <f>VLOOKUP(C304,'Talente &amp; Stuff'!IA:JB,9,FALSE)</f>
        <v>0</v>
      </c>
      <c r="L304" s="234">
        <f>VLOOKUP(C304,'Talente &amp; Stuff'!IA:JB,10,FALSE)</f>
        <v>0</v>
      </c>
      <c r="M304" s="224">
        <f>VLOOKUP(C304,'Talente &amp; Stuff'!IA:JB,11,FALSE)</f>
        <v>0</v>
      </c>
      <c r="N304" s="223">
        <f>VLOOKUP(C304,'Talente &amp; Stuff'!IA:JB,12,FALSE)</f>
        <v>0</v>
      </c>
      <c r="O304" s="223">
        <f>VLOOKUP(C304,'Talente &amp; Stuff'!IA:JB,13,FALSE)</f>
        <v>0</v>
      </c>
      <c r="P304" s="224">
        <f>VLOOKUP(C304,'Talente &amp; Stuff'!IA:JB,14,FALSE)</f>
        <v>0</v>
      </c>
      <c r="Q304" s="237">
        <f>VLOOKUP(C304,'Talente &amp; Stuff'!IA:JB,15,FALSE)</f>
        <v>0</v>
      </c>
      <c r="R304" s="234">
        <f>VLOOKUP(C304,'Talente &amp; Stuff'!IA:JB,16,FALSE)</f>
        <v>0</v>
      </c>
      <c r="S304" s="224">
        <f>VLOOKUP(C304,'Talente &amp; Stuff'!IA:JB,17,FALSE)</f>
        <v>0</v>
      </c>
      <c r="T304" s="224">
        <f>VLOOKUP(C304,'Talente &amp; Stuff'!IA:JB,18,FALSE)</f>
        <v>0</v>
      </c>
      <c r="U304" s="222">
        <f>VLOOKUP(C304,'Talente &amp; Stuff'!IA:JB,19,FALSE)</f>
        <v>0</v>
      </c>
      <c r="V304" s="223">
        <f>VLOOKUP(C304,'Talente &amp; Stuff'!IA:JB,20,FALSE)</f>
        <v>0</v>
      </c>
      <c r="W304" s="243">
        <f>VLOOKUP(C304,'Talente &amp; Stuff'!IA:JB,21,FALSE)</f>
        <v>0</v>
      </c>
      <c r="X304" s="243">
        <f>VLOOKUP(C304,'Talente &amp; Stuff'!IA:JB,22,FALSE)</f>
        <v>0</v>
      </c>
      <c r="Y304" s="252">
        <f>VLOOKUP(C304,Ausgewählte_Zauber_Zauberbarden,255,FALSE)</f>
        <v>0</v>
      </c>
      <c r="Z304" s="309">
        <f>VLOOKUP(C304,Ausgewählte_Zauber_Zauberbarden,256,FALSE)</f>
        <v>0</v>
      </c>
      <c r="AA304" s="218">
        <f>VLOOKUP(C304,'Talente &amp; Stuff'!IA:JB,25,FALSE)</f>
        <v>0</v>
      </c>
      <c r="AB304" s="242">
        <f>VLOOKUP(C304,'Talente &amp; Stuff'!IA:JB,26,FALSE)</f>
        <v>0</v>
      </c>
      <c r="AC304" s="243">
        <f>VLOOKUP(C304,'Talente &amp; Stuff'!IA:JB,27,FALSE)</f>
        <v>0</v>
      </c>
      <c r="AD304" s="218">
        <f>VLOOKUP(C304,'Talente &amp; Stuff'!IA:JB,28,FALSE)</f>
        <v>0</v>
      </c>
      <c r="AE304" s="343"/>
    </row>
    <row r="305" spans="1:31" s="217" customFormat="1" hidden="1" outlineLevel="2">
      <c r="A305" s="185"/>
      <c r="B305" s="217">
        <v>8</v>
      </c>
      <c r="C305" s="303" t="str">
        <f>Attribute!C305</f>
        <v>---</v>
      </c>
      <c r="D305" s="218" t="str">
        <f>VLOOKUP(C305,'Talente &amp; Stuff'!IA:JB,2,FALSE)</f>
        <v>--/--/--</v>
      </c>
      <c r="E305" s="243" t="str">
        <f>VLOOKUP(C305,'Talente &amp; Stuff'!IA:JB,3,FALSE)</f>
        <v>-</v>
      </c>
      <c r="F305" s="237">
        <f>VLOOKUP(C305,'Talente &amp; Stuff'!IA:JB,4,FALSE)</f>
        <v>0</v>
      </c>
      <c r="G305" s="234">
        <f>VLOOKUP(C305,'Talente &amp; Stuff'!IA:JB,5,FALSE)</f>
        <v>0</v>
      </c>
      <c r="H305" s="234">
        <f>VLOOKUP(C305,'Talente &amp; Stuff'!IA:JB,6,FALSE)</f>
        <v>0</v>
      </c>
      <c r="I305" s="234">
        <f>VLOOKUP(C305,'Talente &amp; Stuff'!IA:JB,7,FALSE)</f>
        <v>0</v>
      </c>
      <c r="J305" s="234">
        <f>VLOOKUP(C305,'Talente &amp; Stuff'!IA:JB,8,FALSE)</f>
        <v>0</v>
      </c>
      <c r="K305" s="234">
        <f>VLOOKUP(C305,'Talente &amp; Stuff'!IA:JB,9,FALSE)</f>
        <v>0</v>
      </c>
      <c r="L305" s="234">
        <f>VLOOKUP(C305,'Talente &amp; Stuff'!IA:JB,10,FALSE)</f>
        <v>0</v>
      </c>
      <c r="M305" s="224">
        <f>VLOOKUP(C305,'Talente &amp; Stuff'!IA:JB,11,FALSE)</f>
        <v>0</v>
      </c>
      <c r="N305" s="223">
        <f>VLOOKUP(C305,'Talente &amp; Stuff'!IA:JB,12,FALSE)</f>
        <v>0</v>
      </c>
      <c r="O305" s="223">
        <f>VLOOKUP(C305,'Talente &amp; Stuff'!IA:JB,13,FALSE)</f>
        <v>0</v>
      </c>
      <c r="P305" s="224">
        <f>VLOOKUP(C305,'Talente &amp; Stuff'!IA:JB,14,FALSE)</f>
        <v>0</v>
      </c>
      <c r="Q305" s="237">
        <f>VLOOKUP(C305,'Talente &amp; Stuff'!IA:JB,15,FALSE)</f>
        <v>0</v>
      </c>
      <c r="R305" s="234">
        <f>VLOOKUP(C305,'Talente &amp; Stuff'!IA:JB,16,FALSE)</f>
        <v>0</v>
      </c>
      <c r="S305" s="224">
        <f>VLOOKUP(C305,'Talente &amp; Stuff'!IA:JB,17,FALSE)</f>
        <v>0</v>
      </c>
      <c r="T305" s="224">
        <f>VLOOKUP(C305,'Talente &amp; Stuff'!IA:JB,18,FALSE)</f>
        <v>0</v>
      </c>
      <c r="U305" s="222">
        <f>VLOOKUP(C305,'Talente &amp; Stuff'!IA:JB,19,FALSE)</f>
        <v>0</v>
      </c>
      <c r="V305" s="223">
        <f>VLOOKUP(C305,'Talente &amp; Stuff'!IA:JB,20,FALSE)</f>
        <v>0</v>
      </c>
      <c r="W305" s="243">
        <f>VLOOKUP(C305,'Talente &amp; Stuff'!IA:JB,21,FALSE)</f>
        <v>0</v>
      </c>
      <c r="X305" s="243">
        <f>VLOOKUP(C305,'Talente &amp; Stuff'!IA:JB,22,FALSE)</f>
        <v>0</v>
      </c>
      <c r="Y305" s="252">
        <f>VLOOKUP(C305,Ausgewählte_Zauber_Zauberbarden,255,FALSE)</f>
        <v>0</v>
      </c>
      <c r="Z305" s="309">
        <f>VLOOKUP(C305,Ausgewählte_Zauber_Zauberbarden,256,FALSE)</f>
        <v>0</v>
      </c>
      <c r="AA305" s="218">
        <f>VLOOKUP(C305,'Talente &amp; Stuff'!IA:JB,25,FALSE)</f>
        <v>0</v>
      </c>
      <c r="AB305" s="242">
        <f>VLOOKUP(C305,'Talente &amp; Stuff'!IA:JB,26,FALSE)</f>
        <v>0</v>
      </c>
      <c r="AC305" s="243">
        <f>VLOOKUP(C305,'Talente &amp; Stuff'!IA:JB,27,FALSE)</f>
        <v>0</v>
      </c>
      <c r="AD305" s="218">
        <f>VLOOKUP(C305,'Talente &amp; Stuff'!IA:JB,28,FALSE)</f>
        <v>0</v>
      </c>
      <c r="AE305" s="343"/>
    </row>
    <row r="306" spans="1:31" s="217" customFormat="1" hidden="1" outlineLevel="2">
      <c r="A306" s="185"/>
      <c r="B306" s="217">
        <v>9</v>
      </c>
      <c r="C306" s="303" t="str">
        <f>Attribute!C306</f>
        <v>---</v>
      </c>
      <c r="D306" s="218" t="str">
        <f>VLOOKUP(C306,'Talente &amp; Stuff'!IA:JB,2,FALSE)</f>
        <v>--/--/--</v>
      </c>
      <c r="E306" s="243" t="str">
        <f>VLOOKUP(C306,'Talente &amp; Stuff'!IA:JB,3,FALSE)</f>
        <v>-</v>
      </c>
      <c r="F306" s="237">
        <f>VLOOKUP(C306,'Talente &amp; Stuff'!IA:JB,4,FALSE)</f>
        <v>0</v>
      </c>
      <c r="G306" s="234">
        <f>VLOOKUP(C306,'Talente &amp; Stuff'!IA:JB,5,FALSE)</f>
        <v>0</v>
      </c>
      <c r="H306" s="234">
        <f>VLOOKUP(C306,'Talente &amp; Stuff'!IA:JB,6,FALSE)</f>
        <v>0</v>
      </c>
      <c r="I306" s="234">
        <f>VLOOKUP(C306,'Talente &amp; Stuff'!IA:JB,7,FALSE)</f>
        <v>0</v>
      </c>
      <c r="J306" s="234">
        <f>VLOOKUP(C306,'Talente &amp; Stuff'!IA:JB,8,FALSE)</f>
        <v>0</v>
      </c>
      <c r="K306" s="234">
        <f>VLOOKUP(C306,'Talente &amp; Stuff'!IA:JB,9,FALSE)</f>
        <v>0</v>
      </c>
      <c r="L306" s="234">
        <f>VLOOKUP(C306,'Talente &amp; Stuff'!IA:JB,10,FALSE)</f>
        <v>0</v>
      </c>
      <c r="M306" s="224">
        <f>VLOOKUP(C306,'Talente &amp; Stuff'!IA:JB,11,FALSE)</f>
        <v>0</v>
      </c>
      <c r="N306" s="223">
        <f>VLOOKUP(C306,'Talente &amp; Stuff'!IA:JB,12,FALSE)</f>
        <v>0</v>
      </c>
      <c r="O306" s="223">
        <f>VLOOKUP(C306,'Talente &amp; Stuff'!IA:JB,13,FALSE)</f>
        <v>0</v>
      </c>
      <c r="P306" s="224">
        <f>VLOOKUP(C306,'Talente &amp; Stuff'!IA:JB,14,FALSE)</f>
        <v>0</v>
      </c>
      <c r="Q306" s="237">
        <f>VLOOKUP(C306,'Talente &amp; Stuff'!IA:JB,15,FALSE)</f>
        <v>0</v>
      </c>
      <c r="R306" s="234">
        <f>VLOOKUP(C306,'Talente &amp; Stuff'!IA:JB,16,FALSE)</f>
        <v>0</v>
      </c>
      <c r="S306" s="224">
        <f>VLOOKUP(C306,'Talente &amp; Stuff'!IA:JB,17,FALSE)</f>
        <v>0</v>
      </c>
      <c r="T306" s="224">
        <f>VLOOKUP(C306,'Talente &amp; Stuff'!IA:JB,18,FALSE)</f>
        <v>0</v>
      </c>
      <c r="U306" s="222">
        <f>VLOOKUP(C306,'Talente &amp; Stuff'!IA:JB,19,FALSE)</f>
        <v>0</v>
      </c>
      <c r="V306" s="223">
        <f>VLOOKUP(C306,'Talente &amp; Stuff'!IA:JB,20,FALSE)</f>
        <v>0</v>
      </c>
      <c r="W306" s="243">
        <f>VLOOKUP(C306,'Talente &amp; Stuff'!IA:JB,21,FALSE)</f>
        <v>0</v>
      </c>
      <c r="X306" s="243">
        <f>VLOOKUP(C306,'Talente &amp; Stuff'!IA:JB,22,FALSE)</f>
        <v>0</v>
      </c>
      <c r="Y306" s="252">
        <f>VLOOKUP(C306,Ausgewählte_Zauber_Zauberbarden,255,FALSE)</f>
        <v>0</v>
      </c>
      <c r="Z306" s="309">
        <f>VLOOKUP(C306,Ausgewählte_Zauber_Zauberbarden,256,FALSE)</f>
        <v>0</v>
      </c>
      <c r="AA306" s="218">
        <f>VLOOKUP(C306,'Talente &amp; Stuff'!IA:JB,25,FALSE)</f>
        <v>0</v>
      </c>
      <c r="AB306" s="242">
        <f>VLOOKUP(C306,'Talente &amp; Stuff'!IA:JB,26,FALSE)</f>
        <v>0</v>
      </c>
      <c r="AC306" s="243">
        <f>VLOOKUP(C306,'Talente &amp; Stuff'!IA:JB,27,FALSE)</f>
        <v>0</v>
      </c>
      <c r="AD306" s="218">
        <f>VLOOKUP(C306,'Talente &amp; Stuff'!IA:JB,28,FALSE)</f>
        <v>0</v>
      </c>
      <c r="AE306" s="343"/>
    </row>
    <row r="307" spans="1:31" s="217" customFormat="1" hidden="1" outlineLevel="2">
      <c r="A307" s="185"/>
      <c r="B307" s="217">
        <v>10</v>
      </c>
      <c r="C307" s="303" t="str">
        <f>Attribute!C307</f>
        <v>---</v>
      </c>
      <c r="D307" s="218" t="str">
        <f>VLOOKUP(C307,'Talente &amp; Stuff'!IA:JB,2,FALSE)</f>
        <v>--/--/--</v>
      </c>
      <c r="E307" s="243" t="str">
        <f>VLOOKUP(C307,'Talente &amp; Stuff'!IA:JB,3,FALSE)</f>
        <v>-</v>
      </c>
      <c r="F307" s="237">
        <f>VLOOKUP(C307,'Talente &amp; Stuff'!IA:JB,4,FALSE)</f>
        <v>0</v>
      </c>
      <c r="G307" s="234">
        <f>VLOOKUP(C307,'Talente &amp; Stuff'!IA:JB,5,FALSE)</f>
        <v>0</v>
      </c>
      <c r="H307" s="234">
        <f>VLOOKUP(C307,'Talente &amp; Stuff'!IA:JB,6,FALSE)</f>
        <v>0</v>
      </c>
      <c r="I307" s="234">
        <f>VLOOKUP(C307,'Talente &amp; Stuff'!IA:JB,7,FALSE)</f>
        <v>0</v>
      </c>
      <c r="J307" s="234">
        <f>VLOOKUP(C307,'Talente &amp; Stuff'!IA:JB,8,FALSE)</f>
        <v>0</v>
      </c>
      <c r="K307" s="234">
        <f>VLOOKUP(C307,'Talente &amp; Stuff'!IA:JB,9,FALSE)</f>
        <v>0</v>
      </c>
      <c r="L307" s="234">
        <f>VLOOKUP(C307,'Talente &amp; Stuff'!IA:JB,10,FALSE)</f>
        <v>0</v>
      </c>
      <c r="M307" s="224">
        <f>VLOOKUP(C307,'Talente &amp; Stuff'!IA:JB,11,FALSE)</f>
        <v>0</v>
      </c>
      <c r="N307" s="223">
        <f>VLOOKUP(C307,'Talente &amp; Stuff'!IA:JB,12,FALSE)</f>
        <v>0</v>
      </c>
      <c r="O307" s="223">
        <f>VLOOKUP(C307,'Talente &amp; Stuff'!IA:JB,13,FALSE)</f>
        <v>0</v>
      </c>
      <c r="P307" s="224">
        <f>VLOOKUP(C307,'Talente &amp; Stuff'!IA:JB,14,FALSE)</f>
        <v>0</v>
      </c>
      <c r="Q307" s="237">
        <f>VLOOKUP(C307,'Talente &amp; Stuff'!IA:JB,15,FALSE)</f>
        <v>0</v>
      </c>
      <c r="R307" s="234">
        <f>VLOOKUP(C307,'Talente &amp; Stuff'!IA:JB,16,FALSE)</f>
        <v>0</v>
      </c>
      <c r="S307" s="224">
        <f>VLOOKUP(C307,'Talente &amp; Stuff'!IA:JB,17,FALSE)</f>
        <v>0</v>
      </c>
      <c r="T307" s="224">
        <f>VLOOKUP(C307,'Talente &amp; Stuff'!IA:JB,18,FALSE)</f>
        <v>0</v>
      </c>
      <c r="U307" s="222">
        <f>VLOOKUP(C307,'Talente &amp; Stuff'!IA:JB,19,FALSE)</f>
        <v>0</v>
      </c>
      <c r="V307" s="223">
        <f>VLOOKUP(C307,'Talente &amp; Stuff'!IA:JB,20,FALSE)</f>
        <v>0</v>
      </c>
      <c r="W307" s="243">
        <f>VLOOKUP(C307,'Talente &amp; Stuff'!IA:JB,21,FALSE)</f>
        <v>0</v>
      </c>
      <c r="X307" s="243">
        <f>VLOOKUP(C307,'Talente &amp; Stuff'!IA:JB,22,FALSE)</f>
        <v>0</v>
      </c>
      <c r="Y307" s="252">
        <f>VLOOKUP(C307,Ausgewählte_Zauber_Zauberbarden,255,FALSE)</f>
        <v>0</v>
      </c>
      <c r="Z307" s="309">
        <f>VLOOKUP(C307,Ausgewählte_Zauber_Zauberbarden,256,FALSE)</f>
        <v>0</v>
      </c>
      <c r="AA307" s="218">
        <f>VLOOKUP(C307,'Talente &amp; Stuff'!IA:JB,25,FALSE)</f>
        <v>0</v>
      </c>
      <c r="AB307" s="242">
        <f>VLOOKUP(C307,'Talente &amp; Stuff'!IA:JB,26,FALSE)</f>
        <v>0</v>
      </c>
      <c r="AC307" s="243">
        <f>VLOOKUP(C307,'Talente &amp; Stuff'!IA:JB,27,FALSE)</f>
        <v>0</v>
      </c>
      <c r="AD307" s="218">
        <f>VLOOKUP(C307,'Talente &amp; Stuff'!IA:JB,28,FALSE)</f>
        <v>0</v>
      </c>
      <c r="AE307" s="343"/>
    </row>
    <row r="308" spans="1:31" s="217" customFormat="1" hidden="1" outlineLevel="2">
      <c r="A308" s="185"/>
      <c r="B308" s="217">
        <v>11</v>
      </c>
      <c r="C308" s="303" t="str">
        <f>Attribute!C308</f>
        <v>---</v>
      </c>
      <c r="D308" s="218" t="str">
        <f>VLOOKUP(C308,'Talente &amp; Stuff'!IA:JB,2,FALSE)</f>
        <v>--/--/--</v>
      </c>
      <c r="E308" s="243" t="str">
        <f>VLOOKUP(C308,'Talente &amp; Stuff'!IA:JB,3,FALSE)</f>
        <v>-</v>
      </c>
      <c r="F308" s="237">
        <f>VLOOKUP(C308,'Talente &amp; Stuff'!IA:JB,4,FALSE)</f>
        <v>0</v>
      </c>
      <c r="G308" s="234">
        <f>VLOOKUP(C308,'Talente &amp; Stuff'!IA:JB,5,FALSE)</f>
        <v>0</v>
      </c>
      <c r="H308" s="234">
        <f>VLOOKUP(C308,'Talente &amp; Stuff'!IA:JB,6,FALSE)</f>
        <v>0</v>
      </c>
      <c r="I308" s="234">
        <f>VLOOKUP(C308,'Talente &amp; Stuff'!IA:JB,7,FALSE)</f>
        <v>0</v>
      </c>
      <c r="J308" s="234">
        <f>VLOOKUP(C308,'Talente &amp; Stuff'!IA:JB,8,FALSE)</f>
        <v>0</v>
      </c>
      <c r="K308" s="234">
        <f>VLOOKUP(C308,'Talente &amp; Stuff'!IA:JB,9,FALSE)</f>
        <v>0</v>
      </c>
      <c r="L308" s="234">
        <f>VLOOKUP(C308,'Talente &amp; Stuff'!IA:JB,10,FALSE)</f>
        <v>0</v>
      </c>
      <c r="M308" s="224">
        <f>VLOOKUP(C308,'Talente &amp; Stuff'!IA:JB,11,FALSE)</f>
        <v>0</v>
      </c>
      <c r="N308" s="223">
        <f>VLOOKUP(C308,'Talente &amp; Stuff'!IA:JB,12,FALSE)</f>
        <v>0</v>
      </c>
      <c r="O308" s="223">
        <f>VLOOKUP(C308,'Talente &amp; Stuff'!IA:JB,13,FALSE)</f>
        <v>0</v>
      </c>
      <c r="P308" s="224">
        <f>VLOOKUP(C308,'Talente &amp; Stuff'!IA:JB,14,FALSE)</f>
        <v>0</v>
      </c>
      <c r="Q308" s="237">
        <f>VLOOKUP(C308,'Talente &amp; Stuff'!IA:JB,15,FALSE)</f>
        <v>0</v>
      </c>
      <c r="R308" s="234">
        <f>VLOOKUP(C308,'Talente &amp; Stuff'!IA:JB,16,FALSE)</f>
        <v>0</v>
      </c>
      <c r="S308" s="224">
        <f>VLOOKUP(C308,'Talente &amp; Stuff'!IA:JB,17,FALSE)</f>
        <v>0</v>
      </c>
      <c r="T308" s="224">
        <f>VLOOKUP(C308,'Talente &amp; Stuff'!IA:JB,18,FALSE)</f>
        <v>0</v>
      </c>
      <c r="U308" s="222">
        <f>VLOOKUP(C308,'Talente &amp; Stuff'!IA:JB,19,FALSE)</f>
        <v>0</v>
      </c>
      <c r="V308" s="223">
        <f>VLOOKUP(C308,'Talente &amp; Stuff'!IA:JB,20,FALSE)</f>
        <v>0</v>
      </c>
      <c r="W308" s="243">
        <f>VLOOKUP(C308,'Talente &amp; Stuff'!IA:JB,21,FALSE)</f>
        <v>0</v>
      </c>
      <c r="X308" s="243">
        <f>VLOOKUP(C308,'Talente &amp; Stuff'!IA:JB,22,FALSE)</f>
        <v>0</v>
      </c>
      <c r="Y308" s="252">
        <f>VLOOKUP(C308,Ausgewählte_Zauber_Zauberbarden,255,FALSE)</f>
        <v>0</v>
      </c>
      <c r="Z308" s="309">
        <f>VLOOKUP(C308,Ausgewählte_Zauber_Zauberbarden,256,FALSE)</f>
        <v>0</v>
      </c>
      <c r="AA308" s="218">
        <f>VLOOKUP(C308,'Talente &amp; Stuff'!IA:JB,25,FALSE)</f>
        <v>0</v>
      </c>
      <c r="AB308" s="242">
        <f>VLOOKUP(C308,'Talente &amp; Stuff'!IA:JB,26,FALSE)</f>
        <v>0</v>
      </c>
      <c r="AC308" s="243">
        <f>VLOOKUP(C308,'Talente &amp; Stuff'!IA:JB,27,FALSE)</f>
        <v>0</v>
      </c>
      <c r="AD308" s="218">
        <f>VLOOKUP(C308,'Talente &amp; Stuff'!IA:JB,28,FALSE)</f>
        <v>0</v>
      </c>
      <c r="AE308" s="343"/>
    </row>
    <row r="309" spans="1:31" s="217" customFormat="1" hidden="1" outlineLevel="2">
      <c r="A309" s="185"/>
      <c r="B309" s="217">
        <v>12</v>
      </c>
      <c r="C309" s="303" t="str">
        <f>Attribute!C309</f>
        <v>---</v>
      </c>
      <c r="D309" s="218" t="str">
        <f>VLOOKUP(C309,'Talente &amp; Stuff'!IA:JB,2,FALSE)</f>
        <v>--/--/--</v>
      </c>
      <c r="E309" s="243" t="str">
        <f>VLOOKUP(C309,'Talente &amp; Stuff'!IA:JB,3,FALSE)</f>
        <v>-</v>
      </c>
      <c r="F309" s="237">
        <f>VLOOKUP(C309,'Talente &amp; Stuff'!IA:JB,4,FALSE)</f>
        <v>0</v>
      </c>
      <c r="G309" s="234">
        <f>VLOOKUP(C309,'Talente &amp; Stuff'!IA:JB,5,FALSE)</f>
        <v>0</v>
      </c>
      <c r="H309" s="234">
        <f>VLOOKUP(C309,'Talente &amp; Stuff'!IA:JB,6,FALSE)</f>
        <v>0</v>
      </c>
      <c r="I309" s="234">
        <f>VLOOKUP(C309,'Talente &amp; Stuff'!IA:JB,7,FALSE)</f>
        <v>0</v>
      </c>
      <c r="J309" s="234">
        <f>VLOOKUP(C309,'Talente &amp; Stuff'!IA:JB,8,FALSE)</f>
        <v>0</v>
      </c>
      <c r="K309" s="234">
        <f>VLOOKUP(C309,'Talente &amp; Stuff'!IA:JB,9,FALSE)</f>
        <v>0</v>
      </c>
      <c r="L309" s="234">
        <f>VLOOKUP(C309,'Talente &amp; Stuff'!IA:JB,10,FALSE)</f>
        <v>0</v>
      </c>
      <c r="M309" s="224">
        <f>VLOOKUP(C309,'Talente &amp; Stuff'!IA:JB,11,FALSE)</f>
        <v>0</v>
      </c>
      <c r="N309" s="223">
        <f>VLOOKUP(C309,'Talente &amp; Stuff'!IA:JB,12,FALSE)</f>
        <v>0</v>
      </c>
      <c r="O309" s="223">
        <f>VLOOKUP(C309,'Talente &amp; Stuff'!IA:JB,13,FALSE)</f>
        <v>0</v>
      </c>
      <c r="P309" s="224">
        <f>VLOOKUP(C309,'Talente &amp; Stuff'!IA:JB,14,FALSE)</f>
        <v>0</v>
      </c>
      <c r="Q309" s="237">
        <f>VLOOKUP(C309,'Talente &amp; Stuff'!IA:JB,15,FALSE)</f>
        <v>0</v>
      </c>
      <c r="R309" s="234">
        <f>VLOOKUP(C309,'Talente &amp; Stuff'!IA:JB,16,FALSE)</f>
        <v>0</v>
      </c>
      <c r="S309" s="224">
        <f>VLOOKUP(C309,'Talente &amp; Stuff'!IA:JB,17,FALSE)</f>
        <v>0</v>
      </c>
      <c r="T309" s="224">
        <f>VLOOKUP(C309,'Talente &amp; Stuff'!IA:JB,18,FALSE)</f>
        <v>0</v>
      </c>
      <c r="U309" s="222">
        <f>VLOOKUP(C309,'Talente &amp; Stuff'!IA:JB,19,FALSE)</f>
        <v>0</v>
      </c>
      <c r="V309" s="223">
        <f>VLOOKUP(C309,'Talente &amp; Stuff'!IA:JB,20,FALSE)</f>
        <v>0</v>
      </c>
      <c r="W309" s="243">
        <f>VLOOKUP(C309,'Talente &amp; Stuff'!IA:JB,21,FALSE)</f>
        <v>0</v>
      </c>
      <c r="X309" s="243">
        <f>VLOOKUP(C309,'Talente &amp; Stuff'!IA:JB,22,FALSE)</f>
        <v>0</v>
      </c>
      <c r="Y309" s="252">
        <f>VLOOKUP(C309,Ausgewählte_Zauber_Zauberbarden,255,FALSE)</f>
        <v>0</v>
      </c>
      <c r="Z309" s="309">
        <f>VLOOKUP(C309,Ausgewählte_Zauber_Zauberbarden,256,FALSE)</f>
        <v>0</v>
      </c>
      <c r="AA309" s="218">
        <f>VLOOKUP(C309,'Talente &amp; Stuff'!IA:JB,25,FALSE)</f>
        <v>0</v>
      </c>
      <c r="AB309" s="242">
        <f>VLOOKUP(C309,'Talente &amp; Stuff'!IA:JB,26,FALSE)</f>
        <v>0</v>
      </c>
      <c r="AC309" s="243">
        <f>VLOOKUP(C309,'Talente &amp; Stuff'!IA:JB,27,FALSE)</f>
        <v>0</v>
      </c>
      <c r="AD309" s="218">
        <f>VLOOKUP(C309,'Talente &amp; Stuff'!IA:JB,28,FALSE)</f>
        <v>0</v>
      </c>
      <c r="AE309" s="343"/>
    </row>
    <row r="310" spans="1:31" s="217" customFormat="1" hidden="1" outlineLevel="2">
      <c r="A310" s="185"/>
      <c r="B310" s="217">
        <v>13</v>
      </c>
      <c r="C310" s="303" t="str">
        <f>Attribute!C310</f>
        <v>---</v>
      </c>
      <c r="D310" s="218" t="str">
        <f>VLOOKUP(C310,'Talente &amp; Stuff'!IA:JB,2,FALSE)</f>
        <v>--/--/--</v>
      </c>
      <c r="E310" s="243" t="str">
        <f>VLOOKUP(C310,'Talente &amp; Stuff'!IA:JB,3,FALSE)</f>
        <v>-</v>
      </c>
      <c r="F310" s="237">
        <f>VLOOKUP(C310,'Talente &amp; Stuff'!IA:JB,4,FALSE)</f>
        <v>0</v>
      </c>
      <c r="G310" s="234">
        <f>VLOOKUP(C310,'Talente &amp; Stuff'!IA:JB,5,FALSE)</f>
        <v>0</v>
      </c>
      <c r="H310" s="234">
        <f>VLOOKUP(C310,'Talente &amp; Stuff'!IA:JB,6,FALSE)</f>
        <v>0</v>
      </c>
      <c r="I310" s="234">
        <f>VLOOKUP(C310,'Talente &amp; Stuff'!IA:JB,7,FALSE)</f>
        <v>0</v>
      </c>
      <c r="J310" s="234">
        <f>VLOOKUP(C310,'Talente &amp; Stuff'!IA:JB,8,FALSE)</f>
        <v>0</v>
      </c>
      <c r="K310" s="234">
        <f>VLOOKUP(C310,'Talente &amp; Stuff'!IA:JB,9,FALSE)</f>
        <v>0</v>
      </c>
      <c r="L310" s="234">
        <f>VLOOKUP(C310,'Talente &amp; Stuff'!IA:JB,10,FALSE)</f>
        <v>0</v>
      </c>
      <c r="M310" s="224">
        <f>VLOOKUP(C310,'Talente &amp; Stuff'!IA:JB,11,FALSE)</f>
        <v>0</v>
      </c>
      <c r="N310" s="223">
        <f>VLOOKUP(C310,'Talente &amp; Stuff'!IA:JB,12,FALSE)</f>
        <v>0</v>
      </c>
      <c r="O310" s="223">
        <f>VLOOKUP(C310,'Talente &amp; Stuff'!IA:JB,13,FALSE)</f>
        <v>0</v>
      </c>
      <c r="P310" s="224">
        <f>VLOOKUP(C310,'Talente &amp; Stuff'!IA:JB,14,FALSE)</f>
        <v>0</v>
      </c>
      <c r="Q310" s="237">
        <f>VLOOKUP(C310,'Talente &amp; Stuff'!IA:JB,15,FALSE)</f>
        <v>0</v>
      </c>
      <c r="R310" s="234">
        <f>VLOOKUP(C310,'Talente &amp; Stuff'!IA:JB,16,FALSE)</f>
        <v>0</v>
      </c>
      <c r="S310" s="224">
        <f>VLOOKUP(C310,'Talente &amp; Stuff'!IA:JB,17,FALSE)</f>
        <v>0</v>
      </c>
      <c r="T310" s="224">
        <f>VLOOKUP(C310,'Talente &amp; Stuff'!IA:JB,18,FALSE)</f>
        <v>0</v>
      </c>
      <c r="U310" s="222">
        <f>VLOOKUP(C310,'Talente &amp; Stuff'!IA:JB,19,FALSE)</f>
        <v>0</v>
      </c>
      <c r="V310" s="223">
        <f>VLOOKUP(C310,'Talente &amp; Stuff'!IA:JB,20,FALSE)</f>
        <v>0</v>
      </c>
      <c r="W310" s="243">
        <f>VLOOKUP(C310,'Talente &amp; Stuff'!IA:JB,21,FALSE)</f>
        <v>0</v>
      </c>
      <c r="X310" s="243">
        <f>VLOOKUP(C310,'Talente &amp; Stuff'!IA:JB,22,FALSE)</f>
        <v>0</v>
      </c>
      <c r="Y310" s="252">
        <f>VLOOKUP(C310,Ausgewählte_Zauber_Zauberbarden,255,FALSE)</f>
        <v>0</v>
      </c>
      <c r="Z310" s="309">
        <f>VLOOKUP(C310,Ausgewählte_Zauber_Zauberbarden,256,FALSE)</f>
        <v>0</v>
      </c>
      <c r="AA310" s="218">
        <f>VLOOKUP(C310,'Talente &amp; Stuff'!IA:JB,25,FALSE)</f>
        <v>0</v>
      </c>
      <c r="AB310" s="242">
        <f>VLOOKUP(C310,'Talente &amp; Stuff'!IA:JB,26,FALSE)</f>
        <v>0</v>
      </c>
      <c r="AC310" s="243">
        <f>VLOOKUP(C310,'Talente &amp; Stuff'!IA:JB,27,FALSE)</f>
        <v>0</v>
      </c>
      <c r="AD310" s="218">
        <f>VLOOKUP(C310,'Talente &amp; Stuff'!IA:JB,28,FALSE)</f>
        <v>0</v>
      </c>
      <c r="AE310" s="343"/>
    </row>
    <row r="311" spans="1:31" s="217" customFormat="1" hidden="1" outlineLevel="2">
      <c r="A311" s="185"/>
      <c r="B311" s="217">
        <v>14</v>
      </c>
      <c r="C311" s="303" t="str">
        <f>Attribute!C311</f>
        <v>---</v>
      </c>
      <c r="D311" s="218" t="str">
        <f>VLOOKUP(C311,'Talente &amp; Stuff'!IA:JB,2,FALSE)</f>
        <v>--/--/--</v>
      </c>
      <c r="E311" s="243" t="str">
        <f>VLOOKUP(C311,'Talente &amp; Stuff'!IA:JB,3,FALSE)</f>
        <v>-</v>
      </c>
      <c r="F311" s="237">
        <f>VLOOKUP(C311,'Talente &amp; Stuff'!IA:JB,4,FALSE)</f>
        <v>0</v>
      </c>
      <c r="G311" s="234">
        <f>VLOOKUP(C311,'Talente &amp; Stuff'!IA:JB,5,FALSE)</f>
        <v>0</v>
      </c>
      <c r="H311" s="234">
        <f>VLOOKUP(C311,'Talente &amp; Stuff'!IA:JB,6,FALSE)</f>
        <v>0</v>
      </c>
      <c r="I311" s="234">
        <f>VLOOKUP(C311,'Talente &amp; Stuff'!IA:JB,7,FALSE)</f>
        <v>0</v>
      </c>
      <c r="J311" s="234">
        <f>VLOOKUP(C311,'Talente &amp; Stuff'!IA:JB,8,FALSE)</f>
        <v>0</v>
      </c>
      <c r="K311" s="234">
        <f>VLOOKUP(C311,'Talente &amp; Stuff'!IA:JB,9,FALSE)</f>
        <v>0</v>
      </c>
      <c r="L311" s="234">
        <f>VLOOKUP(C311,'Talente &amp; Stuff'!IA:JB,10,FALSE)</f>
        <v>0</v>
      </c>
      <c r="M311" s="224">
        <f>VLOOKUP(C311,'Talente &amp; Stuff'!IA:JB,11,FALSE)</f>
        <v>0</v>
      </c>
      <c r="N311" s="223">
        <f>VLOOKUP(C311,'Talente &amp; Stuff'!IA:JB,12,FALSE)</f>
        <v>0</v>
      </c>
      <c r="O311" s="223">
        <f>VLOOKUP(C311,'Talente &amp; Stuff'!IA:JB,13,FALSE)</f>
        <v>0</v>
      </c>
      <c r="P311" s="224">
        <f>VLOOKUP(C311,'Talente &amp; Stuff'!IA:JB,14,FALSE)</f>
        <v>0</v>
      </c>
      <c r="Q311" s="237">
        <f>VLOOKUP(C311,'Talente &amp; Stuff'!IA:JB,15,FALSE)</f>
        <v>0</v>
      </c>
      <c r="R311" s="234">
        <f>VLOOKUP(C311,'Talente &amp; Stuff'!IA:JB,16,FALSE)</f>
        <v>0</v>
      </c>
      <c r="S311" s="224">
        <f>VLOOKUP(C311,'Talente &amp; Stuff'!IA:JB,17,FALSE)</f>
        <v>0</v>
      </c>
      <c r="T311" s="224">
        <f>VLOOKUP(C311,'Talente &amp; Stuff'!IA:JB,18,FALSE)</f>
        <v>0</v>
      </c>
      <c r="U311" s="222">
        <f>VLOOKUP(C311,'Talente &amp; Stuff'!IA:JB,19,FALSE)</f>
        <v>0</v>
      </c>
      <c r="V311" s="223">
        <f>VLOOKUP(C311,'Talente &amp; Stuff'!IA:JB,20,FALSE)</f>
        <v>0</v>
      </c>
      <c r="W311" s="243">
        <f>VLOOKUP(C311,'Talente &amp; Stuff'!IA:JB,21,FALSE)</f>
        <v>0</v>
      </c>
      <c r="X311" s="243">
        <f>VLOOKUP(C311,'Talente &amp; Stuff'!IA:JB,22,FALSE)</f>
        <v>0</v>
      </c>
      <c r="Y311" s="252">
        <f>VLOOKUP(C311,Ausgewählte_Zauber_Zauberbarden,255,FALSE)</f>
        <v>0</v>
      </c>
      <c r="Z311" s="309">
        <f>VLOOKUP(C311,Ausgewählte_Zauber_Zauberbarden,256,FALSE)</f>
        <v>0</v>
      </c>
      <c r="AA311" s="218">
        <f>VLOOKUP(C311,'Talente &amp; Stuff'!IA:JB,25,FALSE)</f>
        <v>0</v>
      </c>
      <c r="AB311" s="242">
        <f>VLOOKUP(C311,'Talente &amp; Stuff'!IA:JB,26,FALSE)</f>
        <v>0</v>
      </c>
      <c r="AC311" s="243">
        <f>VLOOKUP(C311,'Talente &amp; Stuff'!IA:JB,27,FALSE)</f>
        <v>0</v>
      </c>
      <c r="AD311" s="218">
        <f>VLOOKUP(C311,'Talente &amp; Stuff'!IA:JB,28,FALSE)</f>
        <v>0</v>
      </c>
      <c r="AE311" s="343"/>
    </row>
    <row r="312" spans="1:31" s="217" customFormat="1" hidden="1" outlineLevel="2">
      <c r="A312" s="185"/>
      <c r="B312" s="217">
        <v>15</v>
      </c>
      <c r="C312" s="303" t="str">
        <f>Attribute!C312</f>
        <v>---</v>
      </c>
      <c r="D312" s="218" t="str">
        <f>VLOOKUP(C312,'Talente &amp; Stuff'!IA:JB,2,FALSE)</f>
        <v>--/--/--</v>
      </c>
      <c r="E312" s="243" t="str">
        <f>VLOOKUP(C312,'Talente &amp; Stuff'!IA:JB,3,FALSE)</f>
        <v>-</v>
      </c>
      <c r="F312" s="237">
        <f>VLOOKUP(C312,'Talente &amp; Stuff'!IA:JB,4,FALSE)</f>
        <v>0</v>
      </c>
      <c r="G312" s="234">
        <f>VLOOKUP(C312,'Talente &amp; Stuff'!IA:JB,5,FALSE)</f>
        <v>0</v>
      </c>
      <c r="H312" s="234">
        <f>VLOOKUP(C312,'Talente &amp; Stuff'!IA:JB,6,FALSE)</f>
        <v>0</v>
      </c>
      <c r="I312" s="234">
        <f>VLOOKUP(C312,'Talente &amp; Stuff'!IA:JB,7,FALSE)</f>
        <v>0</v>
      </c>
      <c r="J312" s="234">
        <f>VLOOKUP(C312,'Talente &amp; Stuff'!IA:JB,8,FALSE)</f>
        <v>0</v>
      </c>
      <c r="K312" s="234">
        <f>VLOOKUP(C312,'Talente &amp; Stuff'!IA:JB,9,FALSE)</f>
        <v>0</v>
      </c>
      <c r="L312" s="234">
        <f>VLOOKUP(C312,'Talente &amp; Stuff'!IA:JB,10,FALSE)</f>
        <v>0</v>
      </c>
      <c r="M312" s="224">
        <f>VLOOKUP(C312,'Talente &amp; Stuff'!IA:JB,11,FALSE)</f>
        <v>0</v>
      </c>
      <c r="N312" s="223">
        <f>VLOOKUP(C312,'Talente &amp; Stuff'!IA:JB,12,FALSE)</f>
        <v>0</v>
      </c>
      <c r="O312" s="223">
        <f>VLOOKUP(C312,'Talente &amp; Stuff'!IA:JB,13,FALSE)</f>
        <v>0</v>
      </c>
      <c r="P312" s="224">
        <f>VLOOKUP(C312,'Talente &amp; Stuff'!IA:JB,14,FALSE)</f>
        <v>0</v>
      </c>
      <c r="Q312" s="237">
        <f>VLOOKUP(C312,'Talente &amp; Stuff'!IA:JB,15,FALSE)</f>
        <v>0</v>
      </c>
      <c r="R312" s="234">
        <f>VLOOKUP(C312,'Talente &amp; Stuff'!IA:JB,16,FALSE)</f>
        <v>0</v>
      </c>
      <c r="S312" s="224">
        <f>VLOOKUP(C312,'Talente &amp; Stuff'!IA:JB,17,FALSE)</f>
        <v>0</v>
      </c>
      <c r="T312" s="224">
        <f>VLOOKUP(C312,'Talente &amp; Stuff'!IA:JB,18,FALSE)</f>
        <v>0</v>
      </c>
      <c r="U312" s="222">
        <f>VLOOKUP(C312,'Talente &amp; Stuff'!IA:JB,19,FALSE)</f>
        <v>0</v>
      </c>
      <c r="V312" s="223">
        <f>VLOOKUP(C312,'Talente &amp; Stuff'!IA:JB,20,FALSE)</f>
        <v>0</v>
      </c>
      <c r="W312" s="243">
        <f>VLOOKUP(C312,'Talente &amp; Stuff'!IA:JB,21,FALSE)</f>
        <v>0</v>
      </c>
      <c r="X312" s="243">
        <f>VLOOKUP(C312,'Talente &amp; Stuff'!IA:JB,22,FALSE)</f>
        <v>0</v>
      </c>
      <c r="Y312" s="252">
        <f>VLOOKUP(C312,Ausgewählte_Zauber_Zauberbarden,255,FALSE)</f>
        <v>0</v>
      </c>
      <c r="Z312" s="309">
        <f>VLOOKUP(C312,Ausgewählte_Zauber_Zauberbarden,256,FALSE)</f>
        <v>0</v>
      </c>
      <c r="AA312" s="218">
        <f>VLOOKUP(C312,'Talente &amp; Stuff'!IA:JB,25,FALSE)</f>
        <v>0</v>
      </c>
      <c r="AB312" s="242">
        <f>VLOOKUP(C312,'Talente &amp; Stuff'!IA:JB,26,FALSE)</f>
        <v>0</v>
      </c>
      <c r="AC312" s="243">
        <f>VLOOKUP(C312,'Talente &amp; Stuff'!IA:JB,27,FALSE)</f>
        <v>0</v>
      </c>
      <c r="AD312" s="218">
        <f>VLOOKUP(C312,'Talente &amp; Stuff'!IA:JB,28,FALSE)</f>
        <v>0</v>
      </c>
      <c r="AE312" s="343"/>
    </row>
    <row r="313" spans="1:31" s="217" customFormat="1" hidden="1" outlineLevel="2">
      <c r="A313" s="185"/>
      <c r="B313" s="217">
        <v>16</v>
      </c>
      <c r="C313" s="303" t="str">
        <f>Attribute!C313</f>
        <v>---</v>
      </c>
      <c r="D313" s="304" t="str">
        <f>VLOOKUP(C313,'Talente &amp; Stuff'!IA:JB,2,FALSE)</f>
        <v>--/--/--</v>
      </c>
      <c r="E313" s="305" t="str">
        <f>VLOOKUP(C313,'Talente &amp; Stuff'!IA:JB,3,FALSE)</f>
        <v>-</v>
      </c>
      <c r="F313" s="317">
        <f>VLOOKUP(C313,'Talente &amp; Stuff'!IA:JB,4,FALSE)</f>
        <v>0</v>
      </c>
      <c r="G313" s="254">
        <f>VLOOKUP(C313,'Talente &amp; Stuff'!IA:JB,5,FALSE)</f>
        <v>0</v>
      </c>
      <c r="H313" s="254">
        <f>VLOOKUP(C313,'Talente &amp; Stuff'!IA:JB,6,FALSE)</f>
        <v>0</v>
      </c>
      <c r="I313" s="254">
        <f>VLOOKUP(C313,'Talente &amp; Stuff'!IA:JB,7,FALSE)</f>
        <v>0</v>
      </c>
      <c r="J313" s="254">
        <f>VLOOKUP(C313,'Talente &amp; Stuff'!IA:JB,8,FALSE)</f>
        <v>0</v>
      </c>
      <c r="K313" s="254">
        <f>VLOOKUP(C313,'Talente &amp; Stuff'!IA:JB,9,FALSE)</f>
        <v>0</v>
      </c>
      <c r="L313" s="254">
        <f>VLOOKUP(C313,'Talente &amp; Stuff'!IA:JB,10,FALSE)</f>
        <v>0</v>
      </c>
      <c r="M313" s="318">
        <f>VLOOKUP(C313,'Talente &amp; Stuff'!IA:JB,11,FALSE)</f>
        <v>0</v>
      </c>
      <c r="N313" s="223">
        <f>VLOOKUP(C313,'Talente &amp; Stuff'!IA:JB,12,FALSE)</f>
        <v>0</v>
      </c>
      <c r="O313" s="223">
        <f>VLOOKUP(C313,'Talente &amp; Stuff'!IA:JB,13,FALSE)</f>
        <v>0</v>
      </c>
      <c r="P313" s="224">
        <f>VLOOKUP(C313,'Talente &amp; Stuff'!IA:JB,14,FALSE)</f>
        <v>0</v>
      </c>
      <c r="Q313" s="237">
        <f>VLOOKUP(C313,'Talente &amp; Stuff'!IA:JB,15,FALSE)</f>
        <v>0</v>
      </c>
      <c r="R313" s="254">
        <f>VLOOKUP(C313,'Talente &amp; Stuff'!IA:JB,16,FALSE)</f>
        <v>0</v>
      </c>
      <c r="S313" s="224">
        <f>VLOOKUP(C313,'Talente &amp; Stuff'!IA:JB,17,FALSE)</f>
        <v>0</v>
      </c>
      <c r="T313" s="224">
        <f>VLOOKUP(C313,'Talente &amp; Stuff'!IA:JB,18,FALSE)</f>
        <v>0</v>
      </c>
      <c r="U313" s="222">
        <f>VLOOKUP(C313,'Talente &amp; Stuff'!IA:JB,19,FALSE)</f>
        <v>0</v>
      </c>
      <c r="V313" s="223">
        <f>VLOOKUP(C313,'Talente &amp; Stuff'!IA:JB,20,FALSE)</f>
        <v>0</v>
      </c>
      <c r="W313" s="243">
        <f>VLOOKUP(C313,'Talente &amp; Stuff'!IA:JB,21,FALSE)</f>
        <v>0</v>
      </c>
      <c r="X313" s="243">
        <f>VLOOKUP(C313,'Talente &amp; Stuff'!IA:JB,22,FALSE)</f>
        <v>0</v>
      </c>
      <c r="Y313" s="252">
        <f>VLOOKUP(C313,Ausgewählte_Zauber_Zauberbarden,255,FALSE)</f>
        <v>0</v>
      </c>
      <c r="Z313" s="309">
        <f>VLOOKUP(C313,Ausgewählte_Zauber_Zauberbarden,256,FALSE)</f>
        <v>0</v>
      </c>
      <c r="AA313" s="218">
        <f>VLOOKUP(C313,'Talente &amp; Stuff'!IA:JB,25,FALSE)</f>
        <v>0</v>
      </c>
      <c r="AB313" s="242">
        <f>VLOOKUP(C313,'Talente &amp; Stuff'!IA:JB,26,FALSE)</f>
        <v>0</v>
      </c>
      <c r="AC313" s="243">
        <f>VLOOKUP(C313,'Talente &amp; Stuff'!IA:JB,27,FALSE)</f>
        <v>0</v>
      </c>
      <c r="AD313" s="218">
        <f>VLOOKUP(C313,'Talente &amp; Stuff'!IA:JB,28,FALSE)</f>
        <v>0</v>
      </c>
      <c r="AE313" s="343"/>
    </row>
    <row r="314" spans="1:31" s="217" customFormat="1" hidden="1" outlineLevel="2">
      <c r="A314" s="185"/>
      <c r="B314" s="217">
        <v>17</v>
      </c>
      <c r="C314" s="303" t="str">
        <f>Attribute!C314</f>
        <v>---</v>
      </c>
      <c r="D314" s="218" t="str">
        <f>VLOOKUP(C314,'Talente &amp; Stuff'!IA:JB,2,FALSE)</f>
        <v>--/--/--</v>
      </c>
      <c r="E314" s="243" t="str">
        <f>VLOOKUP(C314,'Talente &amp; Stuff'!IA:JB,3,FALSE)</f>
        <v>-</v>
      </c>
      <c r="F314" s="237">
        <f>VLOOKUP(C314,'Talente &amp; Stuff'!IA:JB,4,FALSE)</f>
        <v>0</v>
      </c>
      <c r="G314" s="234">
        <f>VLOOKUP(C314,'Talente &amp; Stuff'!IA:JB,5,FALSE)</f>
        <v>0</v>
      </c>
      <c r="H314" s="234">
        <f>VLOOKUP(C314,'Talente &amp; Stuff'!IA:JB,6,FALSE)</f>
        <v>0</v>
      </c>
      <c r="I314" s="234">
        <f>VLOOKUP(C314,'Talente &amp; Stuff'!IA:JB,7,FALSE)</f>
        <v>0</v>
      </c>
      <c r="J314" s="234">
        <f>VLOOKUP(C314,'Talente &amp; Stuff'!IA:JB,8,FALSE)</f>
        <v>0</v>
      </c>
      <c r="K314" s="234">
        <f>VLOOKUP(C314,'Talente &amp; Stuff'!IA:JB,9,FALSE)</f>
        <v>0</v>
      </c>
      <c r="L314" s="234">
        <f>VLOOKUP(C314,'Talente &amp; Stuff'!IA:JB,10,FALSE)</f>
        <v>0</v>
      </c>
      <c r="M314" s="224">
        <f>VLOOKUP(C314,'Talente &amp; Stuff'!IA:JB,11,FALSE)</f>
        <v>0</v>
      </c>
      <c r="N314" s="223">
        <f>VLOOKUP(C314,'Talente &amp; Stuff'!IA:JB,12,FALSE)</f>
        <v>0</v>
      </c>
      <c r="O314" s="223">
        <f>VLOOKUP(C314,'Talente &amp; Stuff'!IA:JB,13,FALSE)</f>
        <v>0</v>
      </c>
      <c r="P314" s="224">
        <f>VLOOKUP(C314,'Talente &amp; Stuff'!IA:JB,14,FALSE)</f>
        <v>0</v>
      </c>
      <c r="Q314" s="237">
        <f>VLOOKUP(C314,'Talente &amp; Stuff'!IA:JB,15,FALSE)</f>
        <v>0</v>
      </c>
      <c r="R314" s="234">
        <f>VLOOKUP(C314,'Talente &amp; Stuff'!IA:JB,16,FALSE)</f>
        <v>0</v>
      </c>
      <c r="S314" s="224">
        <f>VLOOKUP(C314,'Talente &amp; Stuff'!IA:JB,17,FALSE)</f>
        <v>0</v>
      </c>
      <c r="T314" s="224">
        <f>VLOOKUP(C314,'Talente &amp; Stuff'!IA:JB,18,FALSE)</f>
        <v>0</v>
      </c>
      <c r="U314" s="222">
        <f>VLOOKUP(C314,'Talente &amp; Stuff'!IA:JB,19,FALSE)</f>
        <v>0</v>
      </c>
      <c r="V314" s="223">
        <f>VLOOKUP(C314,'Talente &amp; Stuff'!IA:JB,20,FALSE)</f>
        <v>0</v>
      </c>
      <c r="W314" s="243">
        <f>VLOOKUP(C314,'Talente &amp; Stuff'!IA:JB,21,FALSE)</f>
        <v>0</v>
      </c>
      <c r="X314" s="243">
        <f>VLOOKUP(C314,'Talente &amp; Stuff'!IA:JB,22,FALSE)</f>
        <v>0</v>
      </c>
      <c r="Y314" s="252">
        <f>VLOOKUP(C314,Ausgewählte_Zauber_Zauberbarden,255,FALSE)</f>
        <v>0</v>
      </c>
      <c r="Z314" s="309">
        <f>VLOOKUP(C314,Ausgewählte_Zauber_Zauberbarden,256,FALSE)</f>
        <v>0</v>
      </c>
      <c r="AA314" s="218">
        <f>VLOOKUP(C314,'Talente &amp; Stuff'!IA:JB,25,FALSE)</f>
        <v>0</v>
      </c>
      <c r="AB314" s="242">
        <f>VLOOKUP(C314,'Talente &amp; Stuff'!IA:JB,26,FALSE)</f>
        <v>0</v>
      </c>
      <c r="AC314" s="243">
        <f>VLOOKUP(C314,'Talente &amp; Stuff'!IA:JB,27,FALSE)</f>
        <v>0</v>
      </c>
      <c r="AD314" s="218">
        <f>VLOOKUP(C314,'Talente &amp; Stuff'!IA:JB,28,FALSE)</f>
        <v>0</v>
      </c>
      <c r="AE314" s="343"/>
    </row>
    <row r="315" spans="1:31" s="217" customFormat="1" hidden="1" outlineLevel="2">
      <c r="A315" s="185"/>
      <c r="B315" s="217">
        <v>18</v>
      </c>
      <c r="C315" s="303" t="str">
        <f>Attribute!C315</f>
        <v>---</v>
      </c>
      <c r="D315" s="218" t="str">
        <f>VLOOKUP(C315,'Talente &amp; Stuff'!IA:JB,2,FALSE)</f>
        <v>--/--/--</v>
      </c>
      <c r="E315" s="243" t="str">
        <f>VLOOKUP(C315,'Talente &amp; Stuff'!IA:JB,3,FALSE)</f>
        <v>-</v>
      </c>
      <c r="F315" s="237">
        <f>VLOOKUP(C315,'Talente &amp; Stuff'!IA:JB,4,FALSE)</f>
        <v>0</v>
      </c>
      <c r="G315" s="234">
        <f>VLOOKUP(C315,'Talente &amp; Stuff'!IA:JB,5,FALSE)</f>
        <v>0</v>
      </c>
      <c r="H315" s="234">
        <f>VLOOKUP(C315,'Talente &amp; Stuff'!IA:JB,6,FALSE)</f>
        <v>0</v>
      </c>
      <c r="I315" s="234">
        <f>VLOOKUP(C315,'Talente &amp; Stuff'!IA:JB,7,FALSE)</f>
        <v>0</v>
      </c>
      <c r="J315" s="234">
        <f>VLOOKUP(C315,'Talente &amp; Stuff'!IA:JB,8,FALSE)</f>
        <v>0</v>
      </c>
      <c r="K315" s="234">
        <f>VLOOKUP(C315,'Talente &amp; Stuff'!IA:JB,9,FALSE)</f>
        <v>0</v>
      </c>
      <c r="L315" s="234">
        <f>VLOOKUP(C315,'Talente &amp; Stuff'!IA:JB,10,FALSE)</f>
        <v>0</v>
      </c>
      <c r="M315" s="224">
        <f>VLOOKUP(C315,'Talente &amp; Stuff'!IA:JB,11,FALSE)</f>
        <v>0</v>
      </c>
      <c r="N315" s="223">
        <f>VLOOKUP(C315,'Talente &amp; Stuff'!IA:JB,12,FALSE)</f>
        <v>0</v>
      </c>
      <c r="O315" s="223">
        <f>VLOOKUP(C315,'Talente &amp; Stuff'!IA:JB,13,FALSE)</f>
        <v>0</v>
      </c>
      <c r="P315" s="224">
        <f>VLOOKUP(C315,'Talente &amp; Stuff'!IA:JB,14,FALSE)</f>
        <v>0</v>
      </c>
      <c r="Q315" s="237">
        <f>VLOOKUP(C315,'Talente &amp; Stuff'!IA:JB,15,FALSE)</f>
        <v>0</v>
      </c>
      <c r="R315" s="234">
        <f>VLOOKUP(C315,'Talente &amp; Stuff'!IA:JB,16,FALSE)</f>
        <v>0</v>
      </c>
      <c r="S315" s="224">
        <f>VLOOKUP(C315,'Talente &amp; Stuff'!IA:JB,17,FALSE)</f>
        <v>0</v>
      </c>
      <c r="T315" s="224">
        <f>VLOOKUP(C315,'Talente &amp; Stuff'!IA:JB,18,FALSE)</f>
        <v>0</v>
      </c>
      <c r="U315" s="222">
        <f>VLOOKUP(C315,'Talente &amp; Stuff'!IA:JB,19,FALSE)</f>
        <v>0</v>
      </c>
      <c r="V315" s="223">
        <f>VLOOKUP(C315,'Talente &amp; Stuff'!IA:JB,20,FALSE)</f>
        <v>0</v>
      </c>
      <c r="W315" s="243">
        <f>VLOOKUP(C315,'Talente &amp; Stuff'!IA:JB,21,FALSE)</f>
        <v>0</v>
      </c>
      <c r="X315" s="243">
        <f>VLOOKUP(C315,'Talente &amp; Stuff'!IA:JB,22,FALSE)</f>
        <v>0</v>
      </c>
      <c r="Y315" s="252">
        <f>VLOOKUP(C315,Ausgewählte_Zauber_Zauberbarden,255,FALSE)</f>
        <v>0</v>
      </c>
      <c r="Z315" s="309">
        <f>VLOOKUP(C315,Ausgewählte_Zauber_Zauberbarden,256,FALSE)</f>
        <v>0</v>
      </c>
      <c r="AA315" s="218">
        <f>VLOOKUP(C315,'Talente &amp; Stuff'!IA:JB,25,FALSE)</f>
        <v>0</v>
      </c>
      <c r="AB315" s="242">
        <f>VLOOKUP(C315,'Talente &amp; Stuff'!IA:JB,26,FALSE)</f>
        <v>0</v>
      </c>
      <c r="AC315" s="243">
        <f>VLOOKUP(C315,'Talente &amp; Stuff'!IA:JB,27,FALSE)</f>
        <v>0</v>
      </c>
      <c r="AD315" s="218">
        <f>VLOOKUP(C315,'Talente &amp; Stuff'!IA:JB,28,FALSE)</f>
        <v>0</v>
      </c>
      <c r="AE315" s="343"/>
    </row>
    <row r="316" spans="1:31" s="217" customFormat="1" hidden="1" outlineLevel="2">
      <c r="A316" s="185"/>
      <c r="B316" s="217">
        <v>19</v>
      </c>
      <c r="C316" s="303" t="str">
        <f>Attribute!C316</f>
        <v>---</v>
      </c>
      <c r="D316" s="218" t="str">
        <f>VLOOKUP(C316,'Talente &amp; Stuff'!IA:JB,2,FALSE)</f>
        <v>--/--/--</v>
      </c>
      <c r="E316" s="243" t="str">
        <f>VLOOKUP(C316,'Talente &amp; Stuff'!IA:JB,3,FALSE)</f>
        <v>-</v>
      </c>
      <c r="F316" s="237">
        <f>VLOOKUP(C316,'Talente &amp; Stuff'!IA:JB,4,FALSE)</f>
        <v>0</v>
      </c>
      <c r="G316" s="234">
        <f>VLOOKUP(C316,'Talente &amp; Stuff'!IA:JB,5,FALSE)</f>
        <v>0</v>
      </c>
      <c r="H316" s="234">
        <f>VLOOKUP(C316,'Talente &amp; Stuff'!IA:JB,6,FALSE)</f>
        <v>0</v>
      </c>
      <c r="I316" s="234">
        <f>VLOOKUP(C316,'Talente &amp; Stuff'!IA:JB,7,FALSE)</f>
        <v>0</v>
      </c>
      <c r="J316" s="234">
        <f>VLOOKUP(C316,'Talente &amp; Stuff'!IA:JB,8,FALSE)</f>
        <v>0</v>
      </c>
      <c r="K316" s="234">
        <f>VLOOKUP(C316,'Talente &amp; Stuff'!IA:JB,9,FALSE)</f>
        <v>0</v>
      </c>
      <c r="L316" s="234">
        <f>VLOOKUP(C316,'Talente &amp; Stuff'!IA:JB,10,FALSE)</f>
        <v>0</v>
      </c>
      <c r="M316" s="224">
        <f>VLOOKUP(C316,'Talente &amp; Stuff'!IA:JB,11,FALSE)</f>
        <v>0</v>
      </c>
      <c r="N316" s="223">
        <f>VLOOKUP(C316,'Talente &amp; Stuff'!IA:JB,12,FALSE)</f>
        <v>0</v>
      </c>
      <c r="O316" s="223">
        <f>VLOOKUP(C316,'Talente &amp; Stuff'!IA:JB,13,FALSE)</f>
        <v>0</v>
      </c>
      <c r="P316" s="224">
        <f>VLOOKUP(C316,'Talente &amp; Stuff'!IA:JB,14,FALSE)</f>
        <v>0</v>
      </c>
      <c r="Q316" s="237">
        <f>VLOOKUP(C316,'Talente &amp; Stuff'!IA:JB,15,FALSE)</f>
        <v>0</v>
      </c>
      <c r="R316" s="234">
        <f>VLOOKUP(C316,'Talente &amp; Stuff'!IA:JB,16,FALSE)</f>
        <v>0</v>
      </c>
      <c r="S316" s="224">
        <f>VLOOKUP(C316,'Talente &amp; Stuff'!IA:JB,17,FALSE)</f>
        <v>0</v>
      </c>
      <c r="T316" s="224">
        <f>VLOOKUP(C316,'Talente &amp; Stuff'!IA:JB,18,FALSE)</f>
        <v>0</v>
      </c>
      <c r="U316" s="222">
        <f>VLOOKUP(C316,'Talente &amp; Stuff'!IA:JB,19,FALSE)</f>
        <v>0</v>
      </c>
      <c r="V316" s="223">
        <f>VLOOKUP(C316,'Talente &amp; Stuff'!IA:JB,20,FALSE)</f>
        <v>0</v>
      </c>
      <c r="W316" s="243">
        <f>VLOOKUP(C316,'Talente &amp; Stuff'!IA:JB,21,FALSE)</f>
        <v>0</v>
      </c>
      <c r="X316" s="243">
        <f>VLOOKUP(C316,'Talente &amp; Stuff'!IA:JB,22,FALSE)</f>
        <v>0</v>
      </c>
      <c r="Y316" s="252">
        <f>VLOOKUP(C316,Ausgewählte_Zauber_Zauberbarden,255,FALSE)</f>
        <v>0</v>
      </c>
      <c r="Z316" s="309">
        <f>VLOOKUP(C316,Ausgewählte_Zauber_Zauberbarden,256,FALSE)</f>
        <v>0</v>
      </c>
      <c r="AA316" s="218">
        <f>VLOOKUP(C316,'Talente &amp; Stuff'!IA:JB,25,FALSE)</f>
        <v>0</v>
      </c>
      <c r="AB316" s="242">
        <f>VLOOKUP(C316,'Talente &amp; Stuff'!IA:JB,26,FALSE)</f>
        <v>0</v>
      </c>
      <c r="AC316" s="243">
        <f>VLOOKUP(C316,'Talente &amp; Stuff'!IA:JB,27,FALSE)</f>
        <v>0</v>
      </c>
      <c r="AD316" s="218">
        <f>VLOOKUP(C316,'Talente &amp; Stuff'!IA:JB,28,FALSE)</f>
        <v>0</v>
      </c>
      <c r="AE316" s="343"/>
    </row>
    <row r="317" spans="1:31" s="217" customFormat="1" hidden="1" outlineLevel="2">
      <c r="A317" s="185"/>
      <c r="B317" s="217">
        <v>20</v>
      </c>
      <c r="C317" s="303" t="str">
        <f>Attribute!C317</f>
        <v>---</v>
      </c>
      <c r="D317" s="218" t="str">
        <f>VLOOKUP(C317,'Talente &amp; Stuff'!IA:JB,2,FALSE)</f>
        <v>--/--/--</v>
      </c>
      <c r="E317" s="243" t="str">
        <f>VLOOKUP(C317,'Talente &amp; Stuff'!IA:JB,3,FALSE)</f>
        <v>-</v>
      </c>
      <c r="F317" s="237">
        <f>VLOOKUP(C317,'Talente &amp; Stuff'!IA:JB,4,FALSE)</f>
        <v>0</v>
      </c>
      <c r="G317" s="234">
        <f>VLOOKUP(C317,'Talente &amp; Stuff'!IA:JB,5,FALSE)</f>
        <v>0</v>
      </c>
      <c r="H317" s="234">
        <f>VLOOKUP(C317,'Talente &amp; Stuff'!IA:JB,6,FALSE)</f>
        <v>0</v>
      </c>
      <c r="I317" s="234">
        <f>VLOOKUP(C317,'Talente &amp; Stuff'!IA:JB,7,FALSE)</f>
        <v>0</v>
      </c>
      <c r="J317" s="234">
        <f>VLOOKUP(C317,'Talente &amp; Stuff'!IA:JB,8,FALSE)</f>
        <v>0</v>
      </c>
      <c r="K317" s="234">
        <f>VLOOKUP(C317,'Talente &amp; Stuff'!IA:JB,9,FALSE)</f>
        <v>0</v>
      </c>
      <c r="L317" s="234">
        <f>VLOOKUP(C317,'Talente &amp; Stuff'!IA:JB,10,FALSE)</f>
        <v>0</v>
      </c>
      <c r="M317" s="224">
        <f>VLOOKUP(C317,'Talente &amp; Stuff'!IA:JB,11,FALSE)</f>
        <v>0</v>
      </c>
      <c r="N317" s="223">
        <f>VLOOKUP(C317,'Talente &amp; Stuff'!IA:JB,12,FALSE)</f>
        <v>0</v>
      </c>
      <c r="O317" s="223">
        <f>VLOOKUP(C317,'Talente &amp; Stuff'!IA:JB,13,FALSE)</f>
        <v>0</v>
      </c>
      <c r="P317" s="224">
        <f>VLOOKUP(C317,'Talente &amp; Stuff'!IA:JB,14,FALSE)</f>
        <v>0</v>
      </c>
      <c r="Q317" s="237">
        <f>VLOOKUP(C317,'Talente &amp; Stuff'!IA:JB,15,FALSE)</f>
        <v>0</v>
      </c>
      <c r="R317" s="234">
        <f>VLOOKUP(C317,'Talente &amp; Stuff'!IA:JB,16,FALSE)</f>
        <v>0</v>
      </c>
      <c r="S317" s="224">
        <f>VLOOKUP(C317,'Talente &amp; Stuff'!IA:JB,17,FALSE)</f>
        <v>0</v>
      </c>
      <c r="T317" s="224">
        <f>VLOOKUP(C317,'Talente &amp; Stuff'!IA:JB,18,FALSE)</f>
        <v>0</v>
      </c>
      <c r="U317" s="222">
        <f>VLOOKUP(C317,'Talente &amp; Stuff'!IA:JB,19,FALSE)</f>
        <v>0</v>
      </c>
      <c r="V317" s="223">
        <f>VLOOKUP(C317,'Talente &amp; Stuff'!IA:JB,20,FALSE)</f>
        <v>0</v>
      </c>
      <c r="W317" s="243">
        <f>VLOOKUP(C317,'Talente &amp; Stuff'!IA:JB,21,FALSE)</f>
        <v>0</v>
      </c>
      <c r="X317" s="243">
        <f>VLOOKUP(C317,'Talente &amp; Stuff'!IA:JB,22,FALSE)</f>
        <v>0</v>
      </c>
      <c r="Y317" s="252">
        <f>VLOOKUP(C317,Ausgewählte_Zauber_Zauberbarden,255,FALSE)</f>
        <v>0</v>
      </c>
      <c r="Z317" s="309">
        <f>VLOOKUP(C317,Ausgewählte_Zauber_Zauberbarden,256,FALSE)</f>
        <v>0</v>
      </c>
      <c r="AA317" s="218">
        <f>VLOOKUP(C317,'Talente &amp; Stuff'!IA:JB,25,FALSE)</f>
        <v>0</v>
      </c>
      <c r="AB317" s="242">
        <f>VLOOKUP(C317,'Talente &amp; Stuff'!IA:JB,26,FALSE)</f>
        <v>0</v>
      </c>
      <c r="AC317" s="243">
        <f>VLOOKUP(C317,'Talente &amp; Stuff'!IA:JB,27,FALSE)</f>
        <v>0</v>
      </c>
      <c r="AD317" s="218">
        <f>VLOOKUP(C317,'Talente &amp; Stuff'!IA:JB,28,FALSE)</f>
        <v>0</v>
      </c>
      <c r="AE317" s="343"/>
    </row>
    <row r="318" spans="1:31" s="217" customFormat="1" hidden="1" outlineLevel="2">
      <c r="A318" s="185"/>
      <c r="B318" s="217">
        <v>21</v>
      </c>
      <c r="C318" s="303" t="str">
        <f>Attribute!C318</f>
        <v>---</v>
      </c>
      <c r="D318" s="218" t="str">
        <f>VLOOKUP(C318,'Talente &amp; Stuff'!IA:JB,2,FALSE)</f>
        <v>--/--/--</v>
      </c>
      <c r="E318" s="243" t="str">
        <f>VLOOKUP(C318,'Talente &amp; Stuff'!IA:JB,3,FALSE)</f>
        <v>-</v>
      </c>
      <c r="F318" s="237">
        <f>VLOOKUP(C318,'Talente &amp; Stuff'!IA:JB,4,FALSE)</f>
        <v>0</v>
      </c>
      <c r="G318" s="234">
        <f>VLOOKUP(C318,'Talente &amp; Stuff'!IA:JB,5,FALSE)</f>
        <v>0</v>
      </c>
      <c r="H318" s="234">
        <f>VLOOKUP(C318,'Talente &amp; Stuff'!IA:JB,6,FALSE)</f>
        <v>0</v>
      </c>
      <c r="I318" s="234">
        <f>VLOOKUP(C318,'Talente &amp; Stuff'!IA:JB,7,FALSE)</f>
        <v>0</v>
      </c>
      <c r="J318" s="234">
        <f>VLOOKUP(C318,'Talente &amp; Stuff'!IA:JB,8,FALSE)</f>
        <v>0</v>
      </c>
      <c r="K318" s="234">
        <f>VLOOKUP(C318,'Talente &amp; Stuff'!IA:JB,9,FALSE)</f>
        <v>0</v>
      </c>
      <c r="L318" s="234">
        <f>VLOOKUP(C318,'Talente &amp; Stuff'!IA:JB,10,FALSE)</f>
        <v>0</v>
      </c>
      <c r="M318" s="224">
        <f>VLOOKUP(C318,'Talente &amp; Stuff'!IA:JB,11,FALSE)</f>
        <v>0</v>
      </c>
      <c r="N318" s="223">
        <f>VLOOKUP(C318,'Talente &amp; Stuff'!IA:JB,12,FALSE)</f>
        <v>0</v>
      </c>
      <c r="O318" s="223">
        <f>VLOOKUP(C318,'Talente &amp; Stuff'!IA:JB,13,FALSE)</f>
        <v>0</v>
      </c>
      <c r="P318" s="224">
        <f>VLOOKUP(C318,'Talente &amp; Stuff'!IA:JB,14,FALSE)</f>
        <v>0</v>
      </c>
      <c r="Q318" s="237">
        <f>VLOOKUP(C318,'Talente &amp; Stuff'!IA:JB,15,FALSE)</f>
        <v>0</v>
      </c>
      <c r="R318" s="234">
        <f>VLOOKUP(C318,'Talente &amp; Stuff'!IA:JB,16,FALSE)</f>
        <v>0</v>
      </c>
      <c r="S318" s="224">
        <f>VLOOKUP(C318,'Talente &amp; Stuff'!IA:JB,17,FALSE)</f>
        <v>0</v>
      </c>
      <c r="T318" s="224">
        <f>VLOOKUP(C318,'Talente &amp; Stuff'!IA:JB,18,FALSE)</f>
        <v>0</v>
      </c>
      <c r="U318" s="222">
        <f>VLOOKUP(C318,'Talente &amp; Stuff'!IA:JB,19,FALSE)</f>
        <v>0</v>
      </c>
      <c r="V318" s="223">
        <f>VLOOKUP(C318,'Talente &amp; Stuff'!IA:JB,20,FALSE)</f>
        <v>0</v>
      </c>
      <c r="W318" s="243">
        <f>VLOOKUP(C318,'Talente &amp; Stuff'!IA:JB,21,FALSE)</f>
        <v>0</v>
      </c>
      <c r="X318" s="243">
        <f>VLOOKUP(C318,'Talente &amp; Stuff'!IA:JB,22,FALSE)</f>
        <v>0</v>
      </c>
      <c r="Y318" s="252">
        <f>VLOOKUP(C318,Ausgewählte_Zauber_Zauberbarden,255,FALSE)</f>
        <v>0</v>
      </c>
      <c r="Z318" s="309">
        <f>VLOOKUP(C318,Ausgewählte_Zauber_Zauberbarden,256,FALSE)</f>
        <v>0</v>
      </c>
      <c r="AA318" s="218">
        <f>VLOOKUP(C318,'Talente &amp; Stuff'!IA:JB,25,FALSE)</f>
        <v>0</v>
      </c>
      <c r="AB318" s="242">
        <f>VLOOKUP(C318,'Talente &amp; Stuff'!IA:JB,26,FALSE)</f>
        <v>0</v>
      </c>
      <c r="AC318" s="243">
        <f>VLOOKUP(C318,'Talente &amp; Stuff'!IA:JB,27,FALSE)</f>
        <v>0</v>
      </c>
      <c r="AD318" s="218">
        <f>VLOOKUP(C318,'Talente &amp; Stuff'!IA:JB,28,FALSE)</f>
        <v>0</v>
      </c>
      <c r="AE318" s="343"/>
    </row>
    <row r="319" spans="1:31" s="217" customFormat="1" hidden="1" outlineLevel="2">
      <c r="A319" s="185"/>
      <c r="B319" s="217">
        <v>22</v>
      </c>
      <c r="C319" s="303" t="str">
        <f>Attribute!C319</f>
        <v>---</v>
      </c>
      <c r="D319" s="218" t="str">
        <f>VLOOKUP(C319,'Talente &amp; Stuff'!IA:JB,2,FALSE)</f>
        <v>--/--/--</v>
      </c>
      <c r="E319" s="243" t="str">
        <f>VLOOKUP(C319,'Talente &amp; Stuff'!IA:JB,3,FALSE)</f>
        <v>-</v>
      </c>
      <c r="F319" s="237">
        <f>VLOOKUP(C319,'Talente &amp; Stuff'!IA:JB,4,FALSE)</f>
        <v>0</v>
      </c>
      <c r="G319" s="234">
        <f>VLOOKUP(C319,'Talente &amp; Stuff'!IA:JB,5,FALSE)</f>
        <v>0</v>
      </c>
      <c r="H319" s="234">
        <f>VLOOKUP(C319,'Talente &amp; Stuff'!IA:JB,6,FALSE)</f>
        <v>0</v>
      </c>
      <c r="I319" s="234">
        <f>VLOOKUP(C319,'Talente &amp; Stuff'!IA:JB,7,FALSE)</f>
        <v>0</v>
      </c>
      <c r="J319" s="234">
        <f>VLOOKUP(C319,'Talente &amp; Stuff'!IA:JB,8,FALSE)</f>
        <v>0</v>
      </c>
      <c r="K319" s="234">
        <f>VLOOKUP(C319,'Talente &amp; Stuff'!IA:JB,9,FALSE)</f>
        <v>0</v>
      </c>
      <c r="L319" s="234">
        <f>VLOOKUP(C319,'Talente &amp; Stuff'!IA:JB,10,FALSE)</f>
        <v>0</v>
      </c>
      <c r="M319" s="224">
        <f>VLOOKUP(C319,'Talente &amp; Stuff'!IA:JB,11,FALSE)</f>
        <v>0</v>
      </c>
      <c r="N319" s="223">
        <f>VLOOKUP(C319,'Talente &amp; Stuff'!IA:JB,12,FALSE)</f>
        <v>0</v>
      </c>
      <c r="O319" s="223">
        <f>VLOOKUP(C319,'Talente &amp; Stuff'!IA:JB,13,FALSE)</f>
        <v>0</v>
      </c>
      <c r="P319" s="224">
        <f>VLOOKUP(C319,'Talente &amp; Stuff'!IA:JB,14,FALSE)</f>
        <v>0</v>
      </c>
      <c r="Q319" s="237">
        <f>VLOOKUP(C319,'Talente &amp; Stuff'!IA:JB,15,FALSE)</f>
        <v>0</v>
      </c>
      <c r="R319" s="234">
        <f>VLOOKUP(C319,'Talente &amp; Stuff'!IA:JB,16,FALSE)</f>
        <v>0</v>
      </c>
      <c r="S319" s="224">
        <f>VLOOKUP(C319,'Talente &amp; Stuff'!IA:JB,17,FALSE)</f>
        <v>0</v>
      </c>
      <c r="T319" s="224">
        <f>VLOOKUP(C319,'Talente &amp; Stuff'!IA:JB,18,FALSE)</f>
        <v>0</v>
      </c>
      <c r="U319" s="222">
        <f>VLOOKUP(C319,'Talente &amp; Stuff'!IA:JB,19,FALSE)</f>
        <v>0</v>
      </c>
      <c r="V319" s="223">
        <f>VLOOKUP(C319,'Talente &amp; Stuff'!IA:JB,20,FALSE)</f>
        <v>0</v>
      </c>
      <c r="W319" s="243">
        <f>VLOOKUP(C319,'Talente &amp; Stuff'!IA:JB,21,FALSE)</f>
        <v>0</v>
      </c>
      <c r="X319" s="243">
        <f>VLOOKUP(C319,'Talente &amp; Stuff'!IA:JB,22,FALSE)</f>
        <v>0</v>
      </c>
      <c r="Y319" s="252">
        <f>VLOOKUP(C319,Ausgewählte_Zauber_Zauberbarden,255,FALSE)</f>
        <v>0</v>
      </c>
      <c r="Z319" s="309">
        <f>VLOOKUP(C319,Ausgewählte_Zauber_Zauberbarden,256,FALSE)</f>
        <v>0</v>
      </c>
      <c r="AA319" s="218">
        <f>VLOOKUP(C319,'Talente &amp; Stuff'!IA:JB,25,FALSE)</f>
        <v>0</v>
      </c>
      <c r="AB319" s="242">
        <f>VLOOKUP(C319,'Talente &amp; Stuff'!IA:JB,26,FALSE)</f>
        <v>0</v>
      </c>
      <c r="AC319" s="243">
        <f>VLOOKUP(C319,'Talente &amp; Stuff'!IA:JB,27,FALSE)</f>
        <v>0</v>
      </c>
      <c r="AD319" s="218">
        <f>VLOOKUP(C319,'Talente &amp; Stuff'!IA:JB,28,FALSE)</f>
        <v>0</v>
      </c>
      <c r="AE319" s="343"/>
    </row>
    <row r="320" spans="1:31" s="217" customFormat="1" hidden="1" outlineLevel="2">
      <c r="A320" s="185"/>
      <c r="B320" s="217">
        <v>23</v>
      </c>
      <c r="C320" s="303" t="str">
        <f>Attribute!C320</f>
        <v>---</v>
      </c>
      <c r="D320" s="218" t="str">
        <f>VLOOKUP(C320,'Talente &amp; Stuff'!IA:JB,2,FALSE)</f>
        <v>--/--/--</v>
      </c>
      <c r="E320" s="243" t="str">
        <f>VLOOKUP(C320,'Talente &amp; Stuff'!IA:JB,3,FALSE)</f>
        <v>-</v>
      </c>
      <c r="F320" s="237">
        <f>VLOOKUP(C320,'Talente &amp; Stuff'!IA:JB,4,FALSE)</f>
        <v>0</v>
      </c>
      <c r="G320" s="234">
        <f>VLOOKUP(C320,'Talente &amp; Stuff'!IA:JB,5,FALSE)</f>
        <v>0</v>
      </c>
      <c r="H320" s="234">
        <f>VLOOKUP(C320,'Talente &amp; Stuff'!IA:JB,6,FALSE)</f>
        <v>0</v>
      </c>
      <c r="I320" s="234">
        <f>VLOOKUP(C320,'Talente &amp; Stuff'!IA:JB,7,FALSE)</f>
        <v>0</v>
      </c>
      <c r="J320" s="234">
        <f>VLOOKUP(C320,'Talente &amp; Stuff'!IA:JB,8,FALSE)</f>
        <v>0</v>
      </c>
      <c r="K320" s="234">
        <f>VLOOKUP(C320,'Talente &amp; Stuff'!IA:JB,9,FALSE)</f>
        <v>0</v>
      </c>
      <c r="L320" s="234">
        <f>VLOOKUP(C320,'Talente &amp; Stuff'!IA:JB,10,FALSE)</f>
        <v>0</v>
      </c>
      <c r="M320" s="224">
        <f>VLOOKUP(C320,'Talente &amp; Stuff'!IA:JB,11,FALSE)</f>
        <v>0</v>
      </c>
      <c r="N320" s="223">
        <f>VLOOKUP(C320,'Talente &amp; Stuff'!IA:JB,12,FALSE)</f>
        <v>0</v>
      </c>
      <c r="O320" s="223">
        <f>VLOOKUP(C320,'Talente &amp; Stuff'!IA:JB,13,FALSE)</f>
        <v>0</v>
      </c>
      <c r="P320" s="224">
        <f>VLOOKUP(C320,'Talente &amp; Stuff'!IA:JB,14,FALSE)</f>
        <v>0</v>
      </c>
      <c r="Q320" s="237">
        <f>VLOOKUP(C320,'Talente &amp; Stuff'!IA:JB,15,FALSE)</f>
        <v>0</v>
      </c>
      <c r="R320" s="234">
        <f>VLOOKUP(C320,'Talente &amp; Stuff'!IA:JB,16,FALSE)</f>
        <v>0</v>
      </c>
      <c r="S320" s="224">
        <f>VLOOKUP(C320,'Talente &amp; Stuff'!IA:JB,17,FALSE)</f>
        <v>0</v>
      </c>
      <c r="T320" s="224">
        <f>VLOOKUP(C320,'Talente &amp; Stuff'!IA:JB,18,FALSE)</f>
        <v>0</v>
      </c>
      <c r="U320" s="222">
        <f>VLOOKUP(C320,'Talente &amp; Stuff'!IA:JB,19,FALSE)</f>
        <v>0</v>
      </c>
      <c r="V320" s="223">
        <f>VLOOKUP(C320,'Talente &amp; Stuff'!IA:JB,20,FALSE)</f>
        <v>0</v>
      </c>
      <c r="W320" s="243">
        <f>VLOOKUP(C320,'Talente &amp; Stuff'!IA:JB,21,FALSE)</f>
        <v>0</v>
      </c>
      <c r="X320" s="243">
        <f>VLOOKUP(C320,'Talente &amp; Stuff'!IA:JB,22,FALSE)</f>
        <v>0</v>
      </c>
      <c r="Y320" s="252">
        <f>VLOOKUP(C320,Ausgewählte_Zauber_Zauberbarden,255,FALSE)</f>
        <v>0</v>
      </c>
      <c r="Z320" s="309">
        <f>VLOOKUP(C320,Ausgewählte_Zauber_Zauberbarden,256,FALSE)</f>
        <v>0</v>
      </c>
      <c r="AA320" s="218">
        <f>VLOOKUP(C320,'Talente &amp; Stuff'!IA:JB,25,FALSE)</f>
        <v>0</v>
      </c>
      <c r="AB320" s="242">
        <f>VLOOKUP(C320,'Talente &amp; Stuff'!IA:JB,26,FALSE)</f>
        <v>0</v>
      </c>
      <c r="AC320" s="243">
        <f>VLOOKUP(C320,'Talente &amp; Stuff'!IA:JB,27,FALSE)</f>
        <v>0</v>
      </c>
      <c r="AD320" s="218">
        <f>VLOOKUP(C320,'Talente &amp; Stuff'!IA:JB,28,FALSE)</f>
        <v>0</v>
      </c>
      <c r="AE320" s="343"/>
    </row>
    <row r="321" spans="1:31" s="217" customFormat="1" hidden="1" outlineLevel="2">
      <c r="A321" s="185"/>
      <c r="B321" s="217">
        <v>24</v>
      </c>
      <c r="C321" s="306" t="str">
        <f>Attribute!C321</f>
        <v>---</v>
      </c>
      <c r="D321" s="246" t="str">
        <f>VLOOKUP(C321,'Talente &amp; Stuff'!IA:JB,2,FALSE)</f>
        <v>--/--/--</v>
      </c>
      <c r="E321" s="245" t="str">
        <f>VLOOKUP(C321,'Talente &amp; Stuff'!IA:JB,3,FALSE)</f>
        <v>-</v>
      </c>
      <c r="F321" s="238">
        <f>VLOOKUP(C321,'Talente &amp; Stuff'!IA:JB,4,FALSE)</f>
        <v>0</v>
      </c>
      <c r="G321" s="235">
        <f>VLOOKUP(C321,'Talente &amp; Stuff'!IA:JB,5,FALSE)</f>
        <v>0</v>
      </c>
      <c r="H321" s="235">
        <f>VLOOKUP(C321,'Talente &amp; Stuff'!IA:JB,6,FALSE)</f>
        <v>0</v>
      </c>
      <c r="I321" s="235">
        <f>VLOOKUP(C321,'Talente &amp; Stuff'!IA:JB,7,FALSE)</f>
        <v>0</v>
      </c>
      <c r="J321" s="235">
        <f>VLOOKUP(C321,'Talente &amp; Stuff'!IA:JB,8,FALSE)</f>
        <v>0</v>
      </c>
      <c r="K321" s="235">
        <f>VLOOKUP(C321,'Talente &amp; Stuff'!IA:JB,9,FALSE)</f>
        <v>0</v>
      </c>
      <c r="L321" s="235">
        <f>VLOOKUP(C321,'Talente &amp; Stuff'!IA:JB,10,FALSE)</f>
        <v>0</v>
      </c>
      <c r="M321" s="227">
        <f>VLOOKUP(C321,'Talente &amp; Stuff'!IA:JB,11,FALSE)</f>
        <v>0</v>
      </c>
      <c r="N321" s="226">
        <f>VLOOKUP(C321,'Talente &amp; Stuff'!IA:JB,12,FALSE)</f>
        <v>0</v>
      </c>
      <c r="O321" s="226">
        <f>VLOOKUP(C321,'Talente &amp; Stuff'!IA:JB,13,FALSE)</f>
        <v>0</v>
      </c>
      <c r="P321" s="227">
        <f>VLOOKUP(C321,'Talente &amp; Stuff'!IA:JB,14,FALSE)</f>
        <v>0</v>
      </c>
      <c r="Q321" s="238">
        <f>VLOOKUP(C321,'Talente &amp; Stuff'!IA:JB,15,FALSE)</f>
        <v>0</v>
      </c>
      <c r="R321" s="235">
        <f>VLOOKUP(C321,'Talente &amp; Stuff'!IA:JB,16,FALSE)</f>
        <v>0</v>
      </c>
      <c r="S321" s="227">
        <f>VLOOKUP(C321,'Talente &amp; Stuff'!IA:JB,17,FALSE)</f>
        <v>0</v>
      </c>
      <c r="T321" s="227">
        <f>VLOOKUP(C321,'Talente &amp; Stuff'!IA:JB,18,FALSE)</f>
        <v>0</v>
      </c>
      <c r="U321" s="225">
        <f>VLOOKUP(C321,'Talente &amp; Stuff'!IA:JB,19,FALSE)</f>
        <v>0</v>
      </c>
      <c r="V321" s="226">
        <f>VLOOKUP(C321,'Talente &amp; Stuff'!IA:JB,20,FALSE)</f>
        <v>0</v>
      </c>
      <c r="W321" s="245">
        <f>VLOOKUP(C321,'Talente &amp; Stuff'!IA:JB,21,FALSE)</f>
        <v>0</v>
      </c>
      <c r="X321" s="245">
        <f>VLOOKUP(C321,'Talente &amp; Stuff'!IA:JB,22,FALSE)</f>
        <v>0</v>
      </c>
      <c r="Y321" s="252">
        <f>VLOOKUP(C321,Ausgewählte_Zauber_Zauberbarden,255,FALSE)</f>
        <v>0</v>
      </c>
      <c r="Z321" s="309">
        <f>VLOOKUP(C321,Ausgewählte_Zauber_Zauberbarden,256,FALSE)</f>
        <v>0</v>
      </c>
      <c r="AA321" s="246">
        <f>VLOOKUP(C321,'Talente &amp; Stuff'!IA:JB,25,FALSE)</f>
        <v>0</v>
      </c>
      <c r="AB321" s="244">
        <f>VLOOKUP(C321,'Talente &amp; Stuff'!IA:JB,26,FALSE)</f>
        <v>0</v>
      </c>
      <c r="AC321" s="245">
        <f>VLOOKUP(C321,'Talente &amp; Stuff'!IA:JB,27,FALSE)</f>
        <v>0</v>
      </c>
      <c r="AD321" s="246">
        <f>VLOOKUP(C321,'Talente &amp; Stuff'!IA:JB,28,FALSE)</f>
        <v>0</v>
      </c>
      <c r="AE321" s="343"/>
    </row>
    <row r="322" spans="1:31" s="217" customFormat="1" hidden="1" outlineLevel="1" collapsed="1">
      <c r="A322" s="185"/>
      <c r="B322" s="216" t="s">
        <v>446</v>
      </c>
      <c r="C322" s="307"/>
      <c r="D322" s="308"/>
      <c r="E322" s="308"/>
      <c r="Y322" s="251"/>
      <c r="Z322" s="251"/>
    </row>
    <row r="323" spans="1:31" s="217" customFormat="1" hidden="1" outlineLevel="2">
      <c r="A323" s="185"/>
      <c r="B323" s="217">
        <v>1</v>
      </c>
      <c r="C323" s="302" t="str">
        <f>Attribute!C323</f>
        <v>---</v>
      </c>
      <c r="D323" s="43" t="str">
        <f>VLOOKUP(C323,'Talente &amp; Stuff'!IA:JB,2,FALSE)</f>
        <v>--/--/--</v>
      </c>
      <c r="E323" s="42" t="str">
        <f>VLOOKUP(C323,'Talente &amp; Stuff'!IA:JB,3,FALSE)</f>
        <v>-</v>
      </c>
      <c r="F323" s="236">
        <f>VLOOKUP(C323,'Talente &amp; Stuff'!IA:JB,4,FALSE)</f>
        <v>0</v>
      </c>
      <c r="G323" s="233">
        <f>VLOOKUP(C323,'Talente &amp; Stuff'!IA:JB,5,FALSE)</f>
        <v>0</v>
      </c>
      <c r="H323" s="233">
        <f>VLOOKUP(C323,'Talente &amp; Stuff'!IA:JB,6,FALSE)</f>
        <v>0</v>
      </c>
      <c r="I323" s="233">
        <f>VLOOKUP(C323,'Talente &amp; Stuff'!IA:JB,7,FALSE)</f>
        <v>0</v>
      </c>
      <c r="J323" s="233">
        <f>VLOOKUP(C323,'Talente &amp; Stuff'!IA:JB,8,FALSE)</f>
        <v>0</v>
      </c>
      <c r="K323" s="233">
        <f>VLOOKUP(C323,'Talente &amp; Stuff'!IA:JB,9,FALSE)</f>
        <v>0</v>
      </c>
      <c r="L323" s="233">
        <f>VLOOKUP(C323,'Talente &amp; Stuff'!IA:JB,10,FALSE)</f>
        <v>0</v>
      </c>
      <c r="M323" s="221">
        <f>VLOOKUP(C323,'Talente &amp; Stuff'!IA:JB,11,FALSE)</f>
        <v>0</v>
      </c>
      <c r="N323" s="219">
        <f>VLOOKUP(C323,'Talente &amp; Stuff'!IA:JB,12,FALSE)</f>
        <v>0</v>
      </c>
      <c r="O323" s="220">
        <f>VLOOKUP(C323,'Talente &amp; Stuff'!IA:JB,13,FALSE)</f>
        <v>0</v>
      </c>
      <c r="P323" s="221">
        <f>VLOOKUP(C323,'Talente &amp; Stuff'!IA:JB,14,FALSE)</f>
        <v>0</v>
      </c>
      <c r="Q323" s="236">
        <f>VLOOKUP(C323,'Talente &amp; Stuff'!IA:JB,15,FALSE)</f>
        <v>0</v>
      </c>
      <c r="R323" s="316">
        <f>VLOOKUP(C323,'Talente &amp; Stuff'!IA:JB,16,FALSE)</f>
        <v>0</v>
      </c>
      <c r="S323" s="221">
        <f>VLOOKUP(C323,'Talente &amp; Stuff'!IA:JB,17,FALSE)</f>
        <v>0</v>
      </c>
      <c r="T323" s="78">
        <f>VLOOKUP(C323,'Talente &amp; Stuff'!IA:JB,18,FALSE)</f>
        <v>0</v>
      </c>
      <c r="U323" s="219">
        <f>VLOOKUP(C323,'Talente &amp; Stuff'!IA:JB,19,FALSE)</f>
        <v>0</v>
      </c>
      <c r="V323" s="220">
        <f>VLOOKUP(C323,'Talente &amp; Stuff'!IA:JB,20,FALSE)</f>
        <v>0</v>
      </c>
      <c r="W323" s="241">
        <f>VLOOKUP(C323,'Talente &amp; Stuff'!IA:JB,21,FALSE)</f>
        <v>0</v>
      </c>
      <c r="X323" s="42">
        <f>VLOOKUP(C323,'Talente &amp; Stuff'!IA:JB,22,FALSE)</f>
        <v>0</v>
      </c>
      <c r="Y323" s="252">
        <f>VLOOKUP(C323,Ausgewählte_Zauber_Zaubertänzer,255,FALSE)</f>
        <v>0</v>
      </c>
      <c r="Z323" s="309">
        <f>VLOOKUP(C323,Ausgewählte_Zauber_Zaubertänzer,256,FALSE)</f>
        <v>0</v>
      </c>
      <c r="AA323" s="42">
        <f>VLOOKUP(C323,'Talente &amp; Stuff'!IA:JB,25,FALSE)</f>
        <v>0</v>
      </c>
      <c r="AB323" s="78">
        <f>VLOOKUP(C323,'Talente &amp; Stuff'!IA:JB,26,FALSE)</f>
        <v>0</v>
      </c>
      <c r="AC323" s="42">
        <f>VLOOKUP(C323,'Talente &amp; Stuff'!IA:JB,27,FALSE)</f>
        <v>0</v>
      </c>
      <c r="AD323" s="42">
        <f>VLOOKUP(C323,'Talente &amp; Stuff'!IA:JB,28,FALSE)</f>
        <v>0</v>
      </c>
      <c r="AE323" s="343"/>
    </row>
    <row r="324" spans="1:31" s="217" customFormat="1" hidden="1" outlineLevel="2">
      <c r="A324" s="185"/>
      <c r="B324" s="217">
        <v>2</v>
      </c>
      <c r="C324" s="303" t="str">
        <f>Attribute!C324</f>
        <v>---</v>
      </c>
      <c r="D324" s="304" t="str">
        <f>VLOOKUP(C324,'Talente &amp; Stuff'!IA:JB,2,FALSE)</f>
        <v>--/--/--</v>
      </c>
      <c r="E324" s="304" t="str">
        <f>VLOOKUP(C324,'Talente &amp; Stuff'!IA:JB,3,FALSE)</f>
        <v>-</v>
      </c>
      <c r="F324" s="317">
        <f>VLOOKUP(C324,'Talente &amp; Stuff'!IA:JB,4,FALSE)</f>
        <v>0</v>
      </c>
      <c r="G324" s="254">
        <f>VLOOKUP(C324,'Talente &amp; Stuff'!IA:JB,5,FALSE)</f>
        <v>0</v>
      </c>
      <c r="H324" s="254">
        <f>VLOOKUP(C324,'Talente &amp; Stuff'!IA:JB,6,FALSE)</f>
        <v>0</v>
      </c>
      <c r="I324" s="254">
        <f>VLOOKUP(C324,'Talente &amp; Stuff'!IA:JB,7,FALSE)</f>
        <v>0</v>
      </c>
      <c r="J324" s="254">
        <f>VLOOKUP(C324,'Talente &amp; Stuff'!IA:JB,8,FALSE)</f>
        <v>0</v>
      </c>
      <c r="K324" s="254">
        <f>VLOOKUP(C324,'Talente &amp; Stuff'!IA:JB,9,FALSE)</f>
        <v>0</v>
      </c>
      <c r="L324" s="254">
        <f>VLOOKUP(C324,'Talente &amp; Stuff'!IA:JB,10,FALSE)</f>
        <v>0</v>
      </c>
      <c r="M324" s="318">
        <f>VLOOKUP(C324,'Talente &amp; Stuff'!IA:JB,11,FALSE)</f>
        <v>0</v>
      </c>
      <c r="N324" s="222">
        <f>VLOOKUP(C324,'Talente &amp; Stuff'!IA:JB,12,FALSE)</f>
        <v>0</v>
      </c>
      <c r="O324" s="223">
        <f>VLOOKUP(C324,'Talente &amp; Stuff'!IA:JB,13,FALSE)</f>
        <v>0</v>
      </c>
      <c r="P324" s="224">
        <f>VLOOKUP(C324,'Talente &amp; Stuff'!IA:JB,14,FALSE)</f>
        <v>0</v>
      </c>
      <c r="Q324" s="237">
        <f>VLOOKUP(C324,'Talente &amp; Stuff'!IA:JB,15,FALSE)</f>
        <v>0</v>
      </c>
      <c r="R324" s="254">
        <f>VLOOKUP(C324,'Talente &amp; Stuff'!IA:JB,16,FALSE)</f>
        <v>0</v>
      </c>
      <c r="S324" s="224">
        <f>VLOOKUP(C324,'Talente &amp; Stuff'!IA:JB,17,FALSE)</f>
        <v>0</v>
      </c>
      <c r="T324" s="242">
        <f>VLOOKUP(C324,'Talente &amp; Stuff'!IA:JB,18,FALSE)</f>
        <v>0</v>
      </c>
      <c r="U324" s="222">
        <f>VLOOKUP(C324,'Talente &amp; Stuff'!IA:JB,19,FALSE)</f>
        <v>0</v>
      </c>
      <c r="V324" s="223">
        <f>VLOOKUP(C324,'Talente &amp; Stuff'!IA:JB,20,FALSE)</f>
        <v>0</v>
      </c>
      <c r="W324" s="243">
        <f>VLOOKUP(C324,'Talente &amp; Stuff'!IA:JB,21,FALSE)</f>
        <v>0</v>
      </c>
      <c r="X324" s="218">
        <f>VLOOKUP(C324,'Talente &amp; Stuff'!IA:JB,22,FALSE)</f>
        <v>0</v>
      </c>
      <c r="Y324" s="252">
        <f>VLOOKUP(C324,Ausgewählte_Zauber_Zaubertänzer,255,FALSE)</f>
        <v>0</v>
      </c>
      <c r="Z324" s="309">
        <f>VLOOKUP(C324,Ausgewählte_Zauber_Zaubertänzer,256,FALSE)</f>
        <v>0</v>
      </c>
      <c r="AA324" s="218">
        <f>VLOOKUP(C324,'Talente &amp; Stuff'!IA:JB,25,FALSE)</f>
        <v>0</v>
      </c>
      <c r="AB324" s="242">
        <f>VLOOKUP(C324,'Talente &amp; Stuff'!IA:JB,26,FALSE)</f>
        <v>0</v>
      </c>
      <c r="AC324" s="218">
        <f>VLOOKUP(C324,'Talente &amp; Stuff'!IA:JB,27,FALSE)</f>
        <v>0</v>
      </c>
      <c r="AD324" s="218">
        <f>VLOOKUP(C324,'Talente &amp; Stuff'!IA:JB,28,FALSE)</f>
        <v>0</v>
      </c>
      <c r="AE324" s="343"/>
    </row>
    <row r="325" spans="1:31" s="217" customFormat="1" hidden="1" outlineLevel="2">
      <c r="A325" s="185"/>
      <c r="B325" s="217">
        <v>3</v>
      </c>
      <c r="C325" s="303" t="str">
        <f>Attribute!C325</f>
        <v>---</v>
      </c>
      <c r="D325" s="304" t="str">
        <f>VLOOKUP(C325,'Talente &amp; Stuff'!IA:JB,2,FALSE)</f>
        <v>--/--/--</v>
      </c>
      <c r="E325" s="304" t="str">
        <f>VLOOKUP(C325,'Talente &amp; Stuff'!IA:JB,3,FALSE)</f>
        <v>-</v>
      </c>
      <c r="F325" s="317">
        <f>VLOOKUP(C325,'Talente &amp; Stuff'!IA:JB,4,FALSE)</f>
        <v>0</v>
      </c>
      <c r="G325" s="254">
        <f>VLOOKUP(C325,'Talente &amp; Stuff'!IA:JB,5,FALSE)</f>
        <v>0</v>
      </c>
      <c r="H325" s="254">
        <f>VLOOKUP(C325,'Talente &amp; Stuff'!IA:JB,6,FALSE)</f>
        <v>0</v>
      </c>
      <c r="I325" s="254">
        <f>VLOOKUP(C325,'Talente &amp; Stuff'!IA:JB,7,FALSE)</f>
        <v>0</v>
      </c>
      <c r="J325" s="254">
        <f>VLOOKUP(C325,'Talente &amp; Stuff'!IA:JB,8,FALSE)</f>
        <v>0</v>
      </c>
      <c r="K325" s="254">
        <f>VLOOKUP(C325,'Talente &amp; Stuff'!IA:JB,9,FALSE)</f>
        <v>0</v>
      </c>
      <c r="L325" s="254">
        <f>VLOOKUP(C325,'Talente &amp; Stuff'!IA:JB,10,FALSE)</f>
        <v>0</v>
      </c>
      <c r="M325" s="318">
        <f>VLOOKUP(C325,'Talente &amp; Stuff'!IA:JB,11,FALSE)</f>
        <v>0</v>
      </c>
      <c r="N325" s="222">
        <f>VLOOKUP(C325,'Talente &amp; Stuff'!IA:JB,12,FALSE)</f>
        <v>0</v>
      </c>
      <c r="O325" s="223">
        <f>VLOOKUP(C325,'Talente &amp; Stuff'!IA:JB,13,FALSE)</f>
        <v>0</v>
      </c>
      <c r="P325" s="224">
        <f>VLOOKUP(C325,'Talente &amp; Stuff'!IA:JB,14,FALSE)</f>
        <v>0</v>
      </c>
      <c r="Q325" s="237">
        <f>VLOOKUP(C325,'Talente &amp; Stuff'!IA:JB,15,FALSE)</f>
        <v>0</v>
      </c>
      <c r="R325" s="254">
        <f>VLOOKUP(C325,'Talente &amp; Stuff'!IA:JB,16,FALSE)</f>
        <v>0</v>
      </c>
      <c r="S325" s="224">
        <f>VLOOKUP(C325,'Talente &amp; Stuff'!IA:JB,17,FALSE)</f>
        <v>0</v>
      </c>
      <c r="T325" s="242">
        <f>VLOOKUP(C325,'Talente &amp; Stuff'!IA:JB,18,FALSE)</f>
        <v>0</v>
      </c>
      <c r="U325" s="222">
        <f>VLOOKUP(C325,'Talente &amp; Stuff'!IA:JB,19,FALSE)</f>
        <v>0</v>
      </c>
      <c r="V325" s="223">
        <f>VLOOKUP(C325,'Talente &amp; Stuff'!IA:JB,20,FALSE)</f>
        <v>0</v>
      </c>
      <c r="W325" s="243">
        <f>VLOOKUP(C325,'Talente &amp; Stuff'!IA:JB,21,FALSE)</f>
        <v>0</v>
      </c>
      <c r="X325" s="218">
        <f>VLOOKUP(C325,'Talente &amp; Stuff'!IA:JB,22,FALSE)</f>
        <v>0</v>
      </c>
      <c r="Y325" s="252">
        <f>VLOOKUP(C325,Ausgewählte_Zauber_Zaubertänzer,255,FALSE)</f>
        <v>0</v>
      </c>
      <c r="Z325" s="309">
        <f>VLOOKUP(C325,Ausgewählte_Zauber_Zaubertänzer,256,FALSE)</f>
        <v>0</v>
      </c>
      <c r="AA325" s="218">
        <f>VLOOKUP(C325,'Talente &amp; Stuff'!IA:JB,25,FALSE)</f>
        <v>0</v>
      </c>
      <c r="AB325" s="242">
        <f>VLOOKUP(C325,'Talente &amp; Stuff'!IA:JB,26,FALSE)</f>
        <v>0</v>
      </c>
      <c r="AC325" s="218">
        <f>VLOOKUP(C325,'Talente &amp; Stuff'!IA:JB,27,FALSE)</f>
        <v>0</v>
      </c>
      <c r="AD325" s="218">
        <f>VLOOKUP(C325,'Talente &amp; Stuff'!IA:JB,28,FALSE)</f>
        <v>0</v>
      </c>
      <c r="AE325" s="343"/>
    </row>
    <row r="326" spans="1:31" s="217" customFormat="1" hidden="1" outlineLevel="2">
      <c r="A326" s="185"/>
      <c r="B326" s="217">
        <v>4</v>
      </c>
      <c r="C326" s="303" t="str">
        <f>Attribute!C326</f>
        <v>---</v>
      </c>
      <c r="D326" s="304" t="str">
        <f>VLOOKUP(C326,'Talente &amp; Stuff'!IA:JB,2,FALSE)</f>
        <v>--/--/--</v>
      </c>
      <c r="E326" s="304" t="str">
        <f>VLOOKUP(C326,'Talente &amp; Stuff'!IA:JB,3,FALSE)</f>
        <v>-</v>
      </c>
      <c r="F326" s="317">
        <f>VLOOKUP(C326,'Talente &amp; Stuff'!IA:JB,4,FALSE)</f>
        <v>0</v>
      </c>
      <c r="G326" s="254">
        <f>VLOOKUP(C326,'Talente &amp; Stuff'!IA:JB,5,FALSE)</f>
        <v>0</v>
      </c>
      <c r="H326" s="254">
        <f>VLOOKUP(C326,'Talente &amp; Stuff'!IA:JB,6,FALSE)</f>
        <v>0</v>
      </c>
      <c r="I326" s="254">
        <f>VLOOKUP(C326,'Talente &amp; Stuff'!IA:JB,7,FALSE)</f>
        <v>0</v>
      </c>
      <c r="J326" s="254">
        <f>VLOOKUP(C326,'Talente &amp; Stuff'!IA:JB,8,FALSE)</f>
        <v>0</v>
      </c>
      <c r="K326" s="254">
        <f>VLOOKUP(C326,'Talente &amp; Stuff'!IA:JB,9,FALSE)</f>
        <v>0</v>
      </c>
      <c r="L326" s="254">
        <f>VLOOKUP(C326,'Talente &amp; Stuff'!IA:JB,10,FALSE)</f>
        <v>0</v>
      </c>
      <c r="M326" s="318">
        <f>VLOOKUP(C326,'Talente &amp; Stuff'!IA:JB,11,FALSE)</f>
        <v>0</v>
      </c>
      <c r="N326" s="222">
        <f>VLOOKUP(C326,'Talente &amp; Stuff'!IA:JB,12,FALSE)</f>
        <v>0</v>
      </c>
      <c r="O326" s="223">
        <f>VLOOKUP(C326,'Talente &amp; Stuff'!IA:JB,13,FALSE)</f>
        <v>0</v>
      </c>
      <c r="P326" s="224">
        <f>VLOOKUP(C326,'Talente &amp; Stuff'!IA:JB,14,FALSE)</f>
        <v>0</v>
      </c>
      <c r="Q326" s="237">
        <f>VLOOKUP(C326,'Talente &amp; Stuff'!IA:JB,15,FALSE)</f>
        <v>0</v>
      </c>
      <c r="R326" s="254">
        <f>VLOOKUP(C326,'Talente &amp; Stuff'!IA:JB,16,FALSE)</f>
        <v>0</v>
      </c>
      <c r="S326" s="224">
        <f>VLOOKUP(C326,'Talente &amp; Stuff'!IA:JB,17,FALSE)</f>
        <v>0</v>
      </c>
      <c r="T326" s="242">
        <f>VLOOKUP(C326,'Talente &amp; Stuff'!IA:JB,18,FALSE)</f>
        <v>0</v>
      </c>
      <c r="U326" s="222">
        <f>VLOOKUP(C326,'Talente &amp; Stuff'!IA:JB,19,FALSE)</f>
        <v>0</v>
      </c>
      <c r="V326" s="223">
        <f>VLOOKUP(C326,'Talente &amp; Stuff'!IA:JB,20,FALSE)</f>
        <v>0</v>
      </c>
      <c r="W326" s="243">
        <f>VLOOKUP(C326,'Talente &amp; Stuff'!IA:JB,21,FALSE)</f>
        <v>0</v>
      </c>
      <c r="X326" s="218">
        <f>VLOOKUP(C326,'Talente &amp; Stuff'!IA:JB,22,FALSE)</f>
        <v>0</v>
      </c>
      <c r="Y326" s="252">
        <f>VLOOKUP(C326,Ausgewählte_Zauber_Zaubertänzer,255,FALSE)</f>
        <v>0</v>
      </c>
      <c r="Z326" s="309">
        <f>VLOOKUP(C326,Ausgewählte_Zauber_Zaubertänzer,256,FALSE)</f>
        <v>0</v>
      </c>
      <c r="AA326" s="218">
        <f>VLOOKUP(C326,'Talente &amp; Stuff'!IA:JB,25,FALSE)</f>
        <v>0</v>
      </c>
      <c r="AB326" s="242">
        <f>VLOOKUP(C326,'Talente &amp; Stuff'!IA:JB,26,FALSE)</f>
        <v>0</v>
      </c>
      <c r="AC326" s="218">
        <f>VLOOKUP(C326,'Talente &amp; Stuff'!IA:JB,27,FALSE)</f>
        <v>0</v>
      </c>
      <c r="AD326" s="218">
        <f>VLOOKUP(C326,'Talente &amp; Stuff'!IA:JB,28,FALSE)</f>
        <v>0</v>
      </c>
      <c r="AE326" s="343"/>
    </row>
    <row r="327" spans="1:31" s="217" customFormat="1" hidden="1" outlineLevel="2">
      <c r="A327" s="185"/>
      <c r="B327" s="217">
        <v>5</v>
      </c>
      <c r="C327" s="303" t="str">
        <f>Attribute!C327</f>
        <v>---</v>
      </c>
      <c r="D327" s="304" t="str">
        <f>VLOOKUP(C327,'Talente &amp; Stuff'!IA:JB,2,FALSE)</f>
        <v>--/--/--</v>
      </c>
      <c r="E327" s="304" t="str">
        <f>VLOOKUP(C327,'Talente &amp; Stuff'!IA:JB,3,FALSE)</f>
        <v>-</v>
      </c>
      <c r="F327" s="317">
        <f>VLOOKUP(C327,'Talente &amp; Stuff'!IA:JB,4,FALSE)</f>
        <v>0</v>
      </c>
      <c r="G327" s="254">
        <f>VLOOKUP(C327,'Talente &amp; Stuff'!IA:JB,5,FALSE)</f>
        <v>0</v>
      </c>
      <c r="H327" s="254">
        <f>VLOOKUP(C327,'Talente &amp; Stuff'!IA:JB,6,FALSE)</f>
        <v>0</v>
      </c>
      <c r="I327" s="254">
        <f>VLOOKUP(C327,'Talente &amp; Stuff'!IA:JB,7,FALSE)</f>
        <v>0</v>
      </c>
      <c r="J327" s="254">
        <f>VLOOKUP(C327,'Talente &amp; Stuff'!IA:JB,8,FALSE)</f>
        <v>0</v>
      </c>
      <c r="K327" s="254">
        <f>VLOOKUP(C327,'Talente &amp; Stuff'!IA:JB,9,FALSE)</f>
        <v>0</v>
      </c>
      <c r="L327" s="254">
        <f>VLOOKUP(C327,'Talente &amp; Stuff'!IA:JB,10,FALSE)</f>
        <v>0</v>
      </c>
      <c r="M327" s="318">
        <f>VLOOKUP(C327,'Talente &amp; Stuff'!IA:JB,11,FALSE)</f>
        <v>0</v>
      </c>
      <c r="N327" s="222">
        <f>VLOOKUP(C327,'Talente &amp; Stuff'!IA:JB,12,FALSE)</f>
        <v>0</v>
      </c>
      <c r="O327" s="223">
        <f>VLOOKUP(C327,'Talente &amp; Stuff'!IA:JB,13,FALSE)</f>
        <v>0</v>
      </c>
      <c r="P327" s="224">
        <f>VLOOKUP(C327,'Talente &amp; Stuff'!IA:JB,14,FALSE)</f>
        <v>0</v>
      </c>
      <c r="Q327" s="237">
        <f>VLOOKUP(C327,'Talente &amp; Stuff'!IA:JB,15,FALSE)</f>
        <v>0</v>
      </c>
      <c r="R327" s="254">
        <f>VLOOKUP(C327,'Talente &amp; Stuff'!IA:JB,16,FALSE)</f>
        <v>0</v>
      </c>
      <c r="S327" s="224">
        <f>VLOOKUP(C327,'Talente &amp; Stuff'!IA:JB,17,FALSE)</f>
        <v>0</v>
      </c>
      <c r="T327" s="242">
        <f>VLOOKUP(C327,'Talente &amp; Stuff'!IA:JB,18,FALSE)</f>
        <v>0</v>
      </c>
      <c r="U327" s="222">
        <f>VLOOKUP(C327,'Talente &amp; Stuff'!IA:JB,19,FALSE)</f>
        <v>0</v>
      </c>
      <c r="V327" s="223">
        <f>VLOOKUP(C327,'Talente &amp; Stuff'!IA:JB,20,FALSE)</f>
        <v>0</v>
      </c>
      <c r="W327" s="243">
        <f>VLOOKUP(C327,'Talente &amp; Stuff'!IA:JB,21,FALSE)</f>
        <v>0</v>
      </c>
      <c r="X327" s="218">
        <f>VLOOKUP(C327,'Talente &amp; Stuff'!IA:JB,22,FALSE)</f>
        <v>0</v>
      </c>
      <c r="Y327" s="252">
        <f>VLOOKUP(C327,Ausgewählte_Zauber_Zaubertänzer,255,FALSE)</f>
        <v>0</v>
      </c>
      <c r="Z327" s="309">
        <f>VLOOKUP(C327,Ausgewählte_Zauber_Zaubertänzer,256,FALSE)</f>
        <v>0</v>
      </c>
      <c r="AA327" s="218">
        <f>VLOOKUP(C327,'Talente &amp; Stuff'!IA:JB,25,FALSE)</f>
        <v>0</v>
      </c>
      <c r="AB327" s="242">
        <f>VLOOKUP(C327,'Talente &amp; Stuff'!IA:JB,26,FALSE)</f>
        <v>0</v>
      </c>
      <c r="AC327" s="218">
        <f>VLOOKUP(C327,'Talente &amp; Stuff'!IA:JB,27,FALSE)</f>
        <v>0</v>
      </c>
      <c r="AD327" s="218">
        <f>VLOOKUP(C327,'Talente &amp; Stuff'!IA:JB,28,FALSE)</f>
        <v>0</v>
      </c>
      <c r="AE327" s="343"/>
    </row>
    <row r="328" spans="1:31" s="217" customFormat="1" hidden="1" outlineLevel="2">
      <c r="A328" s="185"/>
      <c r="B328" s="217">
        <v>6</v>
      </c>
      <c r="C328" s="303" t="str">
        <f>Attribute!C328</f>
        <v>---</v>
      </c>
      <c r="D328" s="304" t="str">
        <f>VLOOKUP(C328,'Talente &amp; Stuff'!IA:JB,2,FALSE)</f>
        <v>--/--/--</v>
      </c>
      <c r="E328" s="304" t="str">
        <f>VLOOKUP(C328,'Talente &amp; Stuff'!IA:JB,3,FALSE)</f>
        <v>-</v>
      </c>
      <c r="F328" s="317">
        <f>VLOOKUP(C328,'Talente &amp; Stuff'!IA:JB,4,FALSE)</f>
        <v>0</v>
      </c>
      <c r="G328" s="254">
        <f>VLOOKUP(C328,'Talente &amp; Stuff'!IA:JB,5,FALSE)</f>
        <v>0</v>
      </c>
      <c r="H328" s="254">
        <f>VLOOKUP(C328,'Talente &amp; Stuff'!IA:JB,6,FALSE)</f>
        <v>0</v>
      </c>
      <c r="I328" s="254">
        <f>VLOOKUP(C328,'Talente &amp; Stuff'!IA:JB,7,FALSE)</f>
        <v>0</v>
      </c>
      <c r="J328" s="254">
        <f>VLOOKUP(C328,'Talente &amp; Stuff'!IA:JB,8,FALSE)</f>
        <v>0</v>
      </c>
      <c r="K328" s="254">
        <f>VLOOKUP(C328,'Talente &amp; Stuff'!IA:JB,9,FALSE)</f>
        <v>0</v>
      </c>
      <c r="L328" s="254">
        <f>VLOOKUP(C328,'Talente &amp; Stuff'!IA:JB,10,FALSE)</f>
        <v>0</v>
      </c>
      <c r="M328" s="318">
        <f>VLOOKUP(C328,'Talente &amp; Stuff'!IA:JB,11,FALSE)</f>
        <v>0</v>
      </c>
      <c r="N328" s="222">
        <f>VLOOKUP(C328,'Talente &amp; Stuff'!IA:JB,12,FALSE)</f>
        <v>0</v>
      </c>
      <c r="O328" s="223">
        <f>VLOOKUP(C328,'Talente &amp; Stuff'!IA:JB,13,FALSE)</f>
        <v>0</v>
      </c>
      <c r="P328" s="224">
        <f>VLOOKUP(C328,'Talente &amp; Stuff'!IA:JB,14,FALSE)</f>
        <v>0</v>
      </c>
      <c r="Q328" s="237">
        <f>VLOOKUP(C328,'Talente &amp; Stuff'!IA:JB,15,FALSE)</f>
        <v>0</v>
      </c>
      <c r="R328" s="254">
        <f>VLOOKUP(C328,'Talente &amp; Stuff'!IA:JB,16,FALSE)</f>
        <v>0</v>
      </c>
      <c r="S328" s="224">
        <f>VLOOKUP(C328,'Talente &amp; Stuff'!IA:JB,17,FALSE)</f>
        <v>0</v>
      </c>
      <c r="T328" s="242">
        <f>VLOOKUP(C328,'Talente &amp; Stuff'!IA:JB,18,FALSE)</f>
        <v>0</v>
      </c>
      <c r="U328" s="222">
        <f>VLOOKUP(C328,'Talente &amp; Stuff'!IA:JB,19,FALSE)</f>
        <v>0</v>
      </c>
      <c r="V328" s="223">
        <f>VLOOKUP(C328,'Talente &amp; Stuff'!IA:JB,20,FALSE)</f>
        <v>0</v>
      </c>
      <c r="W328" s="243">
        <f>VLOOKUP(C328,'Talente &amp; Stuff'!IA:JB,21,FALSE)</f>
        <v>0</v>
      </c>
      <c r="X328" s="218">
        <f>VLOOKUP(C328,'Talente &amp; Stuff'!IA:JB,22,FALSE)</f>
        <v>0</v>
      </c>
      <c r="Y328" s="252">
        <f>VLOOKUP(C328,Ausgewählte_Zauber_Zaubertänzer,255,FALSE)</f>
        <v>0</v>
      </c>
      <c r="Z328" s="309">
        <f>VLOOKUP(C328,Ausgewählte_Zauber_Zaubertänzer,256,FALSE)</f>
        <v>0</v>
      </c>
      <c r="AA328" s="218">
        <f>VLOOKUP(C328,'Talente &amp; Stuff'!IA:JB,25,FALSE)</f>
        <v>0</v>
      </c>
      <c r="AB328" s="242">
        <f>VLOOKUP(C328,'Talente &amp; Stuff'!IA:JB,26,FALSE)</f>
        <v>0</v>
      </c>
      <c r="AC328" s="218">
        <f>VLOOKUP(C328,'Talente &amp; Stuff'!IA:JB,27,FALSE)</f>
        <v>0</v>
      </c>
      <c r="AD328" s="218">
        <f>VLOOKUP(C328,'Talente &amp; Stuff'!IA:JB,28,FALSE)</f>
        <v>0</v>
      </c>
      <c r="AE328" s="343"/>
    </row>
    <row r="329" spans="1:31" s="217" customFormat="1" hidden="1" outlineLevel="2">
      <c r="A329" s="185"/>
      <c r="B329" s="217">
        <v>7</v>
      </c>
      <c r="C329" s="303" t="str">
        <f>Attribute!C329</f>
        <v>---</v>
      </c>
      <c r="D329" s="304" t="str">
        <f>VLOOKUP(C329,'Talente &amp; Stuff'!IA:JB,2,FALSE)</f>
        <v>--/--/--</v>
      </c>
      <c r="E329" s="304" t="str">
        <f>VLOOKUP(C329,'Talente &amp; Stuff'!IA:JB,3,FALSE)</f>
        <v>-</v>
      </c>
      <c r="F329" s="317">
        <f>VLOOKUP(C329,'Talente &amp; Stuff'!IA:JB,4,FALSE)</f>
        <v>0</v>
      </c>
      <c r="G329" s="254">
        <f>VLOOKUP(C329,'Talente &amp; Stuff'!IA:JB,5,FALSE)</f>
        <v>0</v>
      </c>
      <c r="H329" s="254">
        <f>VLOOKUP(C329,'Talente &amp; Stuff'!IA:JB,6,FALSE)</f>
        <v>0</v>
      </c>
      <c r="I329" s="254">
        <f>VLOOKUP(C329,'Talente &amp; Stuff'!IA:JB,7,FALSE)</f>
        <v>0</v>
      </c>
      <c r="J329" s="254">
        <f>VLOOKUP(C329,'Talente &amp; Stuff'!IA:JB,8,FALSE)</f>
        <v>0</v>
      </c>
      <c r="K329" s="254">
        <f>VLOOKUP(C329,'Talente &amp; Stuff'!IA:JB,9,FALSE)</f>
        <v>0</v>
      </c>
      <c r="L329" s="254">
        <f>VLOOKUP(C329,'Talente &amp; Stuff'!IA:JB,10,FALSE)</f>
        <v>0</v>
      </c>
      <c r="M329" s="318">
        <f>VLOOKUP(C329,'Talente &amp; Stuff'!IA:JB,11,FALSE)</f>
        <v>0</v>
      </c>
      <c r="N329" s="222">
        <f>VLOOKUP(C329,'Talente &amp; Stuff'!IA:JB,12,FALSE)</f>
        <v>0</v>
      </c>
      <c r="O329" s="223">
        <f>VLOOKUP(C329,'Talente &amp; Stuff'!IA:JB,13,FALSE)</f>
        <v>0</v>
      </c>
      <c r="P329" s="224">
        <f>VLOOKUP(C329,'Talente &amp; Stuff'!IA:JB,14,FALSE)</f>
        <v>0</v>
      </c>
      <c r="Q329" s="237">
        <f>VLOOKUP(C329,'Talente &amp; Stuff'!IA:JB,15,FALSE)</f>
        <v>0</v>
      </c>
      <c r="R329" s="254">
        <f>VLOOKUP(C329,'Talente &amp; Stuff'!IA:JB,16,FALSE)</f>
        <v>0</v>
      </c>
      <c r="S329" s="224">
        <f>VLOOKUP(C329,'Talente &amp; Stuff'!IA:JB,17,FALSE)</f>
        <v>0</v>
      </c>
      <c r="T329" s="242">
        <f>VLOOKUP(C329,'Talente &amp; Stuff'!IA:JB,18,FALSE)</f>
        <v>0</v>
      </c>
      <c r="U329" s="222">
        <f>VLOOKUP(C329,'Talente &amp; Stuff'!IA:JB,19,FALSE)</f>
        <v>0</v>
      </c>
      <c r="V329" s="223">
        <f>VLOOKUP(C329,'Talente &amp; Stuff'!IA:JB,20,FALSE)</f>
        <v>0</v>
      </c>
      <c r="W329" s="243">
        <f>VLOOKUP(C329,'Talente &amp; Stuff'!IA:JB,21,FALSE)</f>
        <v>0</v>
      </c>
      <c r="X329" s="218">
        <f>VLOOKUP(C329,'Talente &amp; Stuff'!IA:JB,22,FALSE)</f>
        <v>0</v>
      </c>
      <c r="Y329" s="252">
        <f>VLOOKUP(C329,Ausgewählte_Zauber_Zaubertänzer,255,FALSE)</f>
        <v>0</v>
      </c>
      <c r="Z329" s="309">
        <f>VLOOKUP(C329,Ausgewählte_Zauber_Zaubertänzer,256,FALSE)</f>
        <v>0</v>
      </c>
      <c r="AA329" s="218">
        <f>VLOOKUP(C329,'Talente &amp; Stuff'!IA:JB,25,FALSE)</f>
        <v>0</v>
      </c>
      <c r="AB329" s="242">
        <f>VLOOKUP(C329,'Talente &amp; Stuff'!IA:JB,26,FALSE)</f>
        <v>0</v>
      </c>
      <c r="AC329" s="218">
        <f>VLOOKUP(C329,'Talente &amp; Stuff'!IA:JB,27,FALSE)</f>
        <v>0</v>
      </c>
      <c r="AD329" s="218">
        <f>VLOOKUP(C329,'Talente &amp; Stuff'!IA:JB,28,FALSE)</f>
        <v>0</v>
      </c>
      <c r="AE329" s="343"/>
    </row>
    <row r="330" spans="1:31" s="217" customFormat="1" hidden="1" outlineLevel="2">
      <c r="A330" s="185"/>
      <c r="B330" s="217">
        <v>8</v>
      </c>
      <c r="C330" s="303" t="str">
        <f>Attribute!C330</f>
        <v>---</v>
      </c>
      <c r="D330" s="304" t="str">
        <f>VLOOKUP(C330,'Talente &amp; Stuff'!IA:JB,2,FALSE)</f>
        <v>--/--/--</v>
      </c>
      <c r="E330" s="304" t="str">
        <f>VLOOKUP(C330,'Talente &amp; Stuff'!IA:JB,3,FALSE)</f>
        <v>-</v>
      </c>
      <c r="F330" s="317">
        <f>VLOOKUP(C330,'Talente &amp; Stuff'!IA:JB,4,FALSE)</f>
        <v>0</v>
      </c>
      <c r="G330" s="254">
        <f>VLOOKUP(C330,'Talente &amp; Stuff'!IA:JB,5,FALSE)</f>
        <v>0</v>
      </c>
      <c r="H330" s="254">
        <f>VLOOKUP(C330,'Talente &amp; Stuff'!IA:JB,6,FALSE)</f>
        <v>0</v>
      </c>
      <c r="I330" s="254">
        <f>VLOOKUP(C330,'Talente &amp; Stuff'!IA:JB,7,FALSE)</f>
        <v>0</v>
      </c>
      <c r="J330" s="254">
        <f>VLOOKUP(C330,'Talente &amp; Stuff'!IA:JB,8,FALSE)</f>
        <v>0</v>
      </c>
      <c r="K330" s="254">
        <f>VLOOKUP(C330,'Talente &amp; Stuff'!IA:JB,9,FALSE)</f>
        <v>0</v>
      </c>
      <c r="L330" s="254">
        <f>VLOOKUP(C330,'Talente &amp; Stuff'!IA:JB,10,FALSE)</f>
        <v>0</v>
      </c>
      <c r="M330" s="318">
        <f>VLOOKUP(C330,'Talente &amp; Stuff'!IA:JB,11,FALSE)</f>
        <v>0</v>
      </c>
      <c r="N330" s="222">
        <f>VLOOKUP(C330,'Talente &amp; Stuff'!IA:JB,12,FALSE)</f>
        <v>0</v>
      </c>
      <c r="O330" s="223">
        <f>VLOOKUP(C330,'Talente &amp; Stuff'!IA:JB,13,FALSE)</f>
        <v>0</v>
      </c>
      <c r="P330" s="224">
        <f>VLOOKUP(C330,'Talente &amp; Stuff'!IA:JB,14,FALSE)</f>
        <v>0</v>
      </c>
      <c r="Q330" s="237">
        <f>VLOOKUP(C330,'Talente &amp; Stuff'!IA:JB,15,FALSE)</f>
        <v>0</v>
      </c>
      <c r="R330" s="254">
        <f>VLOOKUP(C330,'Talente &amp; Stuff'!IA:JB,16,FALSE)</f>
        <v>0</v>
      </c>
      <c r="S330" s="224">
        <f>VLOOKUP(C330,'Talente &amp; Stuff'!IA:JB,17,FALSE)</f>
        <v>0</v>
      </c>
      <c r="T330" s="242">
        <f>VLOOKUP(C330,'Talente &amp; Stuff'!IA:JB,18,FALSE)</f>
        <v>0</v>
      </c>
      <c r="U330" s="222">
        <f>VLOOKUP(C330,'Talente &amp; Stuff'!IA:JB,19,FALSE)</f>
        <v>0</v>
      </c>
      <c r="V330" s="223">
        <f>VLOOKUP(C330,'Talente &amp; Stuff'!IA:JB,20,FALSE)</f>
        <v>0</v>
      </c>
      <c r="W330" s="243">
        <f>VLOOKUP(C330,'Talente &amp; Stuff'!IA:JB,21,FALSE)</f>
        <v>0</v>
      </c>
      <c r="X330" s="218">
        <f>VLOOKUP(C330,'Talente &amp; Stuff'!IA:JB,22,FALSE)</f>
        <v>0</v>
      </c>
      <c r="Y330" s="252">
        <f>VLOOKUP(C330,Ausgewählte_Zauber_Zaubertänzer,255,FALSE)</f>
        <v>0</v>
      </c>
      <c r="Z330" s="309">
        <f>VLOOKUP(C330,Ausgewählte_Zauber_Zaubertänzer,256,FALSE)</f>
        <v>0</v>
      </c>
      <c r="AA330" s="218">
        <f>VLOOKUP(C330,'Talente &amp; Stuff'!IA:JB,25,FALSE)</f>
        <v>0</v>
      </c>
      <c r="AB330" s="242">
        <f>VLOOKUP(C330,'Talente &amp; Stuff'!IA:JB,26,FALSE)</f>
        <v>0</v>
      </c>
      <c r="AC330" s="218">
        <f>VLOOKUP(C330,'Talente &amp; Stuff'!IA:JB,27,FALSE)</f>
        <v>0</v>
      </c>
      <c r="AD330" s="218">
        <f>VLOOKUP(C330,'Talente &amp; Stuff'!IA:JB,28,FALSE)</f>
        <v>0</v>
      </c>
      <c r="AE330" s="343"/>
    </row>
    <row r="331" spans="1:31" s="217" customFormat="1" hidden="1" outlineLevel="2">
      <c r="A331" s="185"/>
      <c r="B331" s="217">
        <v>9</v>
      </c>
      <c r="C331" s="303" t="str">
        <f>Attribute!C331</f>
        <v>---</v>
      </c>
      <c r="D331" s="304" t="str">
        <f>VLOOKUP(C331,'Talente &amp; Stuff'!IA:JB,2,FALSE)</f>
        <v>--/--/--</v>
      </c>
      <c r="E331" s="304" t="str">
        <f>VLOOKUP(C331,'Talente &amp; Stuff'!IA:JB,3,FALSE)</f>
        <v>-</v>
      </c>
      <c r="F331" s="317">
        <f>VLOOKUP(C331,'Talente &amp; Stuff'!IA:JB,4,FALSE)</f>
        <v>0</v>
      </c>
      <c r="G331" s="254">
        <f>VLOOKUP(C331,'Talente &amp; Stuff'!IA:JB,5,FALSE)</f>
        <v>0</v>
      </c>
      <c r="H331" s="254">
        <f>VLOOKUP(C331,'Talente &amp; Stuff'!IA:JB,6,FALSE)</f>
        <v>0</v>
      </c>
      <c r="I331" s="254">
        <f>VLOOKUP(C331,'Talente &amp; Stuff'!IA:JB,7,FALSE)</f>
        <v>0</v>
      </c>
      <c r="J331" s="254">
        <f>VLOOKUP(C331,'Talente &amp; Stuff'!IA:JB,8,FALSE)</f>
        <v>0</v>
      </c>
      <c r="K331" s="254">
        <f>VLOOKUP(C331,'Talente &amp; Stuff'!IA:JB,9,FALSE)</f>
        <v>0</v>
      </c>
      <c r="L331" s="254">
        <f>VLOOKUP(C331,'Talente &amp; Stuff'!IA:JB,10,FALSE)</f>
        <v>0</v>
      </c>
      <c r="M331" s="318">
        <f>VLOOKUP(C331,'Talente &amp; Stuff'!IA:JB,11,FALSE)</f>
        <v>0</v>
      </c>
      <c r="N331" s="222">
        <f>VLOOKUP(C331,'Talente &amp; Stuff'!IA:JB,12,FALSE)</f>
        <v>0</v>
      </c>
      <c r="O331" s="223">
        <f>VLOOKUP(C331,'Talente &amp; Stuff'!IA:JB,13,FALSE)</f>
        <v>0</v>
      </c>
      <c r="P331" s="224">
        <f>VLOOKUP(C331,'Talente &amp; Stuff'!IA:JB,14,FALSE)</f>
        <v>0</v>
      </c>
      <c r="Q331" s="237">
        <f>VLOOKUP(C331,'Talente &amp; Stuff'!IA:JB,15,FALSE)</f>
        <v>0</v>
      </c>
      <c r="R331" s="254">
        <f>VLOOKUP(C331,'Talente &amp; Stuff'!IA:JB,16,FALSE)</f>
        <v>0</v>
      </c>
      <c r="S331" s="224">
        <f>VLOOKUP(C331,'Talente &amp; Stuff'!IA:JB,17,FALSE)</f>
        <v>0</v>
      </c>
      <c r="T331" s="242">
        <f>VLOOKUP(C331,'Talente &amp; Stuff'!IA:JB,18,FALSE)</f>
        <v>0</v>
      </c>
      <c r="U331" s="222">
        <f>VLOOKUP(C331,'Talente &amp; Stuff'!IA:JB,19,FALSE)</f>
        <v>0</v>
      </c>
      <c r="V331" s="223">
        <f>VLOOKUP(C331,'Talente &amp; Stuff'!IA:JB,20,FALSE)</f>
        <v>0</v>
      </c>
      <c r="W331" s="243">
        <f>VLOOKUP(C331,'Talente &amp; Stuff'!IA:JB,21,FALSE)</f>
        <v>0</v>
      </c>
      <c r="X331" s="218">
        <f>VLOOKUP(C331,'Talente &amp; Stuff'!IA:JB,22,FALSE)</f>
        <v>0</v>
      </c>
      <c r="Y331" s="252">
        <f>VLOOKUP(C331,Ausgewählte_Zauber_Zaubertänzer,255,FALSE)</f>
        <v>0</v>
      </c>
      <c r="Z331" s="309">
        <f>VLOOKUP(C331,Ausgewählte_Zauber_Zaubertänzer,256,FALSE)</f>
        <v>0</v>
      </c>
      <c r="AA331" s="218">
        <f>VLOOKUP(C331,'Talente &amp; Stuff'!IA:JB,25,FALSE)</f>
        <v>0</v>
      </c>
      <c r="AB331" s="242">
        <f>VLOOKUP(C331,'Talente &amp; Stuff'!IA:JB,26,FALSE)</f>
        <v>0</v>
      </c>
      <c r="AC331" s="218">
        <f>VLOOKUP(C331,'Talente &amp; Stuff'!IA:JB,27,FALSE)</f>
        <v>0</v>
      </c>
      <c r="AD331" s="218">
        <f>VLOOKUP(C331,'Talente &amp; Stuff'!IA:JB,28,FALSE)</f>
        <v>0</v>
      </c>
      <c r="AE331" s="343"/>
    </row>
    <row r="332" spans="1:31" s="217" customFormat="1" hidden="1" outlineLevel="2">
      <c r="A332" s="185"/>
      <c r="B332" s="217">
        <v>10</v>
      </c>
      <c r="C332" s="303" t="str">
        <f>Attribute!C332</f>
        <v>---</v>
      </c>
      <c r="D332" s="304" t="str">
        <f>VLOOKUP(C332,'Talente &amp; Stuff'!IA:JB,2,FALSE)</f>
        <v>--/--/--</v>
      </c>
      <c r="E332" s="304" t="str">
        <f>VLOOKUP(C332,'Talente &amp; Stuff'!IA:JB,3,FALSE)</f>
        <v>-</v>
      </c>
      <c r="F332" s="317">
        <f>VLOOKUP(C332,'Talente &amp; Stuff'!IA:JB,4,FALSE)</f>
        <v>0</v>
      </c>
      <c r="G332" s="254">
        <f>VLOOKUP(C332,'Talente &amp; Stuff'!IA:JB,5,FALSE)</f>
        <v>0</v>
      </c>
      <c r="H332" s="254">
        <f>VLOOKUP(C332,'Talente &amp; Stuff'!IA:JB,6,FALSE)</f>
        <v>0</v>
      </c>
      <c r="I332" s="254">
        <f>VLOOKUP(C332,'Talente &amp; Stuff'!IA:JB,7,FALSE)</f>
        <v>0</v>
      </c>
      <c r="J332" s="254">
        <f>VLOOKUP(C332,'Talente &amp; Stuff'!IA:JB,8,FALSE)</f>
        <v>0</v>
      </c>
      <c r="K332" s="254">
        <f>VLOOKUP(C332,'Talente &amp; Stuff'!IA:JB,9,FALSE)</f>
        <v>0</v>
      </c>
      <c r="L332" s="254">
        <f>VLOOKUP(C332,'Talente &amp; Stuff'!IA:JB,10,FALSE)</f>
        <v>0</v>
      </c>
      <c r="M332" s="318">
        <f>VLOOKUP(C332,'Talente &amp; Stuff'!IA:JB,11,FALSE)</f>
        <v>0</v>
      </c>
      <c r="N332" s="222">
        <f>VLOOKUP(C332,'Talente &amp; Stuff'!IA:JB,12,FALSE)</f>
        <v>0</v>
      </c>
      <c r="O332" s="223">
        <f>VLOOKUP(C332,'Talente &amp; Stuff'!IA:JB,13,FALSE)</f>
        <v>0</v>
      </c>
      <c r="P332" s="224">
        <f>VLOOKUP(C332,'Talente &amp; Stuff'!IA:JB,14,FALSE)</f>
        <v>0</v>
      </c>
      <c r="Q332" s="237">
        <f>VLOOKUP(C332,'Talente &amp; Stuff'!IA:JB,15,FALSE)</f>
        <v>0</v>
      </c>
      <c r="R332" s="254">
        <f>VLOOKUP(C332,'Talente &amp; Stuff'!IA:JB,16,FALSE)</f>
        <v>0</v>
      </c>
      <c r="S332" s="224">
        <f>VLOOKUP(C332,'Talente &amp; Stuff'!IA:JB,17,FALSE)</f>
        <v>0</v>
      </c>
      <c r="T332" s="242">
        <f>VLOOKUP(C332,'Talente &amp; Stuff'!IA:JB,18,FALSE)</f>
        <v>0</v>
      </c>
      <c r="U332" s="222">
        <f>VLOOKUP(C332,'Talente &amp; Stuff'!IA:JB,19,FALSE)</f>
        <v>0</v>
      </c>
      <c r="V332" s="223">
        <f>VLOOKUP(C332,'Talente &amp; Stuff'!IA:JB,20,FALSE)</f>
        <v>0</v>
      </c>
      <c r="W332" s="243">
        <f>VLOOKUP(C332,'Talente &amp; Stuff'!IA:JB,21,FALSE)</f>
        <v>0</v>
      </c>
      <c r="X332" s="218">
        <f>VLOOKUP(C332,'Talente &amp; Stuff'!IA:JB,22,FALSE)</f>
        <v>0</v>
      </c>
      <c r="Y332" s="252">
        <f>VLOOKUP(C332,Ausgewählte_Zauber_Zaubertänzer,255,FALSE)</f>
        <v>0</v>
      </c>
      <c r="Z332" s="309">
        <f>VLOOKUP(C332,Ausgewählte_Zauber_Zaubertänzer,256,FALSE)</f>
        <v>0</v>
      </c>
      <c r="AA332" s="218">
        <f>VLOOKUP(C332,'Talente &amp; Stuff'!IA:JB,25,FALSE)</f>
        <v>0</v>
      </c>
      <c r="AB332" s="242">
        <f>VLOOKUP(C332,'Talente &amp; Stuff'!IA:JB,26,FALSE)</f>
        <v>0</v>
      </c>
      <c r="AC332" s="218">
        <f>VLOOKUP(C332,'Talente &amp; Stuff'!IA:JB,27,FALSE)</f>
        <v>0</v>
      </c>
      <c r="AD332" s="218">
        <f>VLOOKUP(C332,'Talente &amp; Stuff'!IA:JB,28,FALSE)</f>
        <v>0</v>
      </c>
      <c r="AE332" s="343"/>
    </row>
    <row r="333" spans="1:31" s="217" customFormat="1" hidden="1" outlineLevel="2">
      <c r="A333" s="185"/>
      <c r="B333" s="217">
        <v>11</v>
      </c>
      <c r="C333" s="303" t="str">
        <f>Attribute!C333</f>
        <v>---</v>
      </c>
      <c r="D333" s="304" t="str">
        <f>VLOOKUP(C333,'Talente &amp; Stuff'!IA:JB,2,FALSE)</f>
        <v>--/--/--</v>
      </c>
      <c r="E333" s="304" t="str">
        <f>VLOOKUP(C333,'Talente &amp; Stuff'!IA:JB,3,FALSE)</f>
        <v>-</v>
      </c>
      <c r="F333" s="317">
        <f>VLOOKUP(C333,'Talente &amp; Stuff'!IA:JB,4,FALSE)</f>
        <v>0</v>
      </c>
      <c r="G333" s="254">
        <f>VLOOKUP(C333,'Talente &amp; Stuff'!IA:JB,5,FALSE)</f>
        <v>0</v>
      </c>
      <c r="H333" s="254">
        <f>VLOOKUP(C333,'Talente &amp; Stuff'!IA:JB,6,FALSE)</f>
        <v>0</v>
      </c>
      <c r="I333" s="254">
        <f>VLOOKUP(C333,'Talente &amp; Stuff'!IA:JB,7,FALSE)</f>
        <v>0</v>
      </c>
      <c r="J333" s="254">
        <f>VLOOKUP(C333,'Talente &amp; Stuff'!IA:JB,8,FALSE)</f>
        <v>0</v>
      </c>
      <c r="K333" s="254">
        <f>VLOOKUP(C333,'Talente &amp; Stuff'!IA:JB,9,FALSE)</f>
        <v>0</v>
      </c>
      <c r="L333" s="254">
        <f>VLOOKUP(C333,'Talente &amp; Stuff'!IA:JB,10,FALSE)</f>
        <v>0</v>
      </c>
      <c r="M333" s="318">
        <f>VLOOKUP(C333,'Talente &amp; Stuff'!IA:JB,11,FALSE)</f>
        <v>0</v>
      </c>
      <c r="N333" s="222">
        <f>VLOOKUP(C333,'Talente &amp; Stuff'!IA:JB,12,FALSE)</f>
        <v>0</v>
      </c>
      <c r="O333" s="223">
        <f>VLOOKUP(C333,'Talente &amp; Stuff'!IA:JB,13,FALSE)</f>
        <v>0</v>
      </c>
      <c r="P333" s="224">
        <f>VLOOKUP(C333,'Talente &amp; Stuff'!IA:JB,14,FALSE)</f>
        <v>0</v>
      </c>
      <c r="Q333" s="237">
        <f>VLOOKUP(C333,'Talente &amp; Stuff'!IA:JB,15,FALSE)</f>
        <v>0</v>
      </c>
      <c r="R333" s="254">
        <f>VLOOKUP(C333,'Talente &amp; Stuff'!IA:JB,16,FALSE)</f>
        <v>0</v>
      </c>
      <c r="S333" s="224">
        <f>VLOOKUP(C333,'Talente &amp; Stuff'!IA:JB,17,FALSE)</f>
        <v>0</v>
      </c>
      <c r="T333" s="242">
        <f>VLOOKUP(C333,'Talente &amp; Stuff'!IA:JB,18,FALSE)</f>
        <v>0</v>
      </c>
      <c r="U333" s="222">
        <f>VLOOKUP(C333,'Talente &amp; Stuff'!IA:JB,19,FALSE)</f>
        <v>0</v>
      </c>
      <c r="V333" s="223">
        <f>VLOOKUP(C333,'Talente &amp; Stuff'!IA:JB,20,FALSE)</f>
        <v>0</v>
      </c>
      <c r="W333" s="243">
        <f>VLOOKUP(C333,'Talente &amp; Stuff'!IA:JB,21,FALSE)</f>
        <v>0</v>
      </c>
      <c r="X333" s="218">
        <f>VLOOKUP(C333,'Talente &amp; Stuff'!IA:JB,22,FALSE)</f>
        <v>0</v>
      </c>
      <c r="Y333" s="252">
        <f>VLOOKUP(C333,Ausgewählte_Zauber_Zaubertänzer,255,FALSE)</f>
        <v>0</v>
      </c>
      <c r="Z333" s="309">
        <f>VLOOKUP(C333,Ausgewählte_Zauber_Zaubertänzer,256,FALSE)</f>
        <v>0</v>
      </c>
      <c r="AA333" s="218">
        <f>VLOOKUP(C333,'Talente &amp; Stuff'!IA:JB,25,FALSE)</f>
        <v>0</v>
      </c>
      <c r="AB333" s="242">
        <f>VLOOKUP(C333,'Talente &amp; Stuff'!IA:JB,26,FALSE)</f>
        <v>0</v>
      </c>
      <c r="AC333" s="218">
        <f>VLOOKUP(C333,'Talente &amp; Stuff'!IA:JB,27,FALSE)</f>
        <v>0</v>
      </c>
      <c r="AD333" s="218">
        <f>VLOOKUP(C333,'Talente &amp; Stuff'!IA:JB,28,FALSE)</f>
        <v>0</v>
      </c>
      <c r="AE333" s="343"/>
    </row>
    <row r="334" spans="1:31" s="217" customFormat="1" hidden="1" outlineLevel="2">
      <c r="A334" s="185"/>
      <c r="B334" s="217">
        <v>12</v>
      </c>
      <c r="C334" s="303" t="str">
        <f>Attribute!C334</f>
        <v>---</v>
      </c>
      <c r="D334" s="304" t="str">
        <f>VLOOKUP(C334,'Talente &amp; Stuff'!IA:JB,2,FALSE)</f>
        <v>--/--/--</v>
      </c>
      <c r="E334" s="304" t="str">
        <f>VLOOKUP(C334,'Talente &amp; Stuff'!IA:JB,3,FALSE)</f>
        <v>-</v>
      </c>
      <c r="F334" s="317">
        <f>VLOOKUP(C334,'Talente &amp; Stuff'!IA:JB,4,FALSE)</f>
        <v>0</v>
      </c>
      <c r="G334" s="254">
        <f>VLOOKUP(C334,'Talente &amp; Stuff'!IA:JB,5,FALSE)</f>
        <v>0</v>
      </c>
      <c r="H334" s="254">
        <f>VLOOKUP(C334,'Talente &amp; Stuff'!IA:JB,6,FALSE)</f>
        <v>0</v>
      </c>
      <c r="I334" s="254">
        <f>VLOOKUP(C334,'Talente &amp; Stuff'!IA:JB,7,FALSE)</f>
        <v>0</v>
      </c>
      <c r="J334" s="254">
        <f>VLOOKUP(C334,'Talente &amp; Stuff'!IA:JB,8,FALSE)</f>
        <v>0</v>
      </c>
      <c r="K334" s="254">
        <f>VLOOKUP(C334,'Talente &amp; Stuff'!IA:JB,9,FALSE)</f>
        <v>0</v>
      </c>
      <c r="L334" s="254">
        <f>VLOOKUP(C334,'Talente &amp; Stuff'!IA:JB,10,FALSE)</f>
        <v>0</v>
      </c>
      <c r="M334" s="318">
        <f>VLOOKUP(C334,'Talente &amp; Stuff'!IA:JB,11,FALSE)</f>
        <v>0</v>
      </c>
      <c r="N334" s="222">
        <f>VLOOKUP(C334,'Talente &amp; Stuff'!IA:JB,12,FALSE)</f>
        <v>0</v>
      </c>
      <c r="O334" s="223">
        <f>VLOOKUP(C334,'Talente &amp; Stuff'!IA:JB,13,FALSE)</f>
        <v>0</v>
      </c>
      <c r="P334" s="224">
        <f>VLOOKUP(C334,'Talente &amp; Stuff'!IA:JB,14,FALSE)</f>
        <v>0</v>
      </c>
      <c r="Q334" s="237">
        <f>VLOOKUP(C334,'Talente &amp; Stuff'!IA:JB,15,FALSE)</f>
        <v>0</v>
      </c>
      <c r="R334" s="254">
        <f>VLOOKUP(C334,'Talente &amp; Stuff'!IA:JB,16,FALSE)</f>
        <v>0</v>
      </c>
      <c r="S334" s="224">
        <f>VLOOKUP(C334,'Talente &amp; Stuff'!IA:JB,17,FALSE)</f>
        <v>0</v>
      </c>
      <c r="T334" s="242">
        <f>VLOOKUP(C334,'Talente &amp; Stuff'!IA:JB,18,FALSE)</f>
        <v>0</v>
      </c>
      <c r="U334" s="222">
        <f>VLOOKUP(C334,'Talente &amp; Stuff'!IA:JB,19,FALSE)</f>
        <v>0</v>
      </c>
      <c r="V334" s="223">
        <f>VLOOKUP(C334,'Talente &amp; Stuff'!IA:JB,20,FALSE)</f>
        <v>0</v>
      </c>
      <c r="W334" s="243">
        <f>VLOOKUP(C334,'Talente &amp; Stuff'!IA:JB,21,FALSE)</f>
        <v>0</v>
      </c>
      <c r="X334" s="218">
        <f>VLOOKUP(C334,'Talente &amp; Stuff'!IA:JB,22,FALSE)</f>
        <v>0</v>
      </c>
      <c r="Y334" s="252">
        <f>VLOOKUP(C334,Ausgewählte_Zauber_Zaubertänzer,255,FALSE)</f>
        <v>0</v>
      </c>
      <c r="Z334" s="309">
        <f>VLOOKUP(C334,Ausgewählte_Zauber_Zaubertänzer,256,FALSE)</f>
        <v>0</v>
      </c>
      <c r="AA334" s="218">
        <f>VLOOKUP(C334,'Talente &amp; Stuff'!IA:JB,25,FALSE)</f>
        <v>0</v>
      </c>
      <c r="AB334" s="242">
        <f>VLOOKUP(C334,'Talente &amp; Stuff'!IA:JB,26,FALSE)</f>
        <v>0</v>
      </c>
      <c r="AC334" s="218">
        <f>VLOOKUP(C334,'Talente &amp; Stuff'!IA:JB,27,FALSE)</f>
        <v>0</v>
      </c>
      <c r="AD334" s="218">
        <f>VLOOKUP(C334,'Talente &amp; Stuff'!IA:JB,28,FALSE)</f>
        <v>0</v>
      </c>
      <c r="AE334" s="343"/>
    </row>
    <row r="335" spans="1:31" s="217" customFormat="1" hidden="1" outlineLevel="2">
      <c r="A335" s="185"/>
      <c r="B335" s="217">
        <v>13</v>
      </c>
      <c r="C335" s="303" t="str">
        <f>Attribute!C335</f>
        <v>---</v>
      </c>
      <c r="D335" s="304" t="str">
        <f>VLOOKUP(C335,'Talente &amp; Stuff'!IA:JB,2,FALSE)</f>
        <v>--/--/--</v>
      </c>
      <c r="E335" s="304" t="str">
        <f>VLOOKUP(C335,'Talente &amp; Stuff'!IA:JB,3,FALSE)</f>
        <v>-</v>
      </c>
      <c r="F335" s="317">
        <f>VLOOKUP(C335,'Talente &amp; Stuff'!IA:JB,4,FALSE)</f>
        <v>0</v>
      </c>
      <c r="G335" s="254">
        <f>VLOOKUP(C335,'Talente &amp; Stuff'!IA:JB,5,FALSE)</f>
        <v>0</v>
      </c>
      <c r="H335" s="254">
        <f>VLOOKUP(C335,'Talente &amp; Stuff'!IA:JB,6,FALSE)</f>
        <v>0</v>
      </c>
      <c r="I335" s="254">
        <f>VLOOKUP(C335,'Talente &amp; Stuff'!IA:JB,7,FALSE)</f>
        <v>0</v>
      </c>
      <c r="J335" s="254">
        <f>VLOOKUP(C335,'Talente &amp; Stuff'!IA:JB,8,FALSE)</f>
        <v>0</v>
      </c>
      <c r="K335" s="254">
        <f>VLOOKUP(C335,'Talente &amp; Stuff'!IA:JB,9,FALSE)</f>
        <v>0</v>
      </c>
      <c r="L335" s="254">
        <f>VLOOKUP(C335,'Talente &amp; Stuff'!IA:JB,10,FALSE)</f>
        <v>0</v>
      </c>
      <c r="M335" s="318">
        <f>VLOOKUP(C335,'Talente &amp; Stuff'!IA:JB,11,FALSE)</f>
        <v>0</v>
      </c>
      <c r="N335" s="222">
        <f>VLOOKUP(C335,'Talente &amp; Stuff'!IA:JB,12,FALSE)</f>
        <v>0</v>
      </c>
      <c r="O335" s="223">
        <f>VLOOKUP(C335,'Talente &amp; Stuff'!IA:JB,13,FALSE)</f>
        <v>0</v>
      </c>
      <c r="P335" s="224">
        <f>VLOOKUP(C335,'Talente &amp; Stuff'!IA:JB,14,FALSE)</f>
        <v>0</v>
      </c>
      <c r="Q335" s="237">
        <f>VLOOKUP(C335,'Talente &amp; Stuff'!IA:JB,15,FALSE)</f>
        <v>0</v>
      </c>
      <c r="R335" s="254">
        <f>VLOOKUP(C335,'Talente &amp; Stuff'!IA:JB,16,FALSE)</f>
        <v>0</v>
      </c>
      <c r="S335" s="224">
        <f>VLOOKUP(C335,'Talente &amp; Stuff'!IA:JB,17,FALSE)</f>
        <v>0</v>
      </c>
      <c r="T335" s="242">
        <f>VLOOKUP(C335,'Talente &amp; Stuff'!IA:JB,18,FALSE)</f>
        <v>0</v>
      </c>
      <c r="U335" s="222">
        <f>VLOOKUP(C335,'Talente &amp; Stuff'!IA:JB,19,FALSE)</f>
        <v>0</v>
      </c>
      <c r="V335" s="223">
        <f>VLOOKUP(C335,'Talente &amp; Stuff'!IA:JB,20,FALSE)</f>
        <v>0</v>
      </c>
      <c r="W335" s="243">
        <f>VLOOKUP(C335,'Talente &amp; Stuff'!IA:JB,21,FALSE)</f>
        <v>0</v>
      </c>
      <c r="X335" s="218">
        <f>VLOOKUP(C335,'Talente &amp; Stuff'!IA:JB,22,FALSE)</f>
        <v>0</v>
      </c>
      <c r="Y335" s="252">
        <f>VLOOKUP(C335,Ausgewählte_Zauber_Zaubertänzer,255,FALSE)</f>
        <v>0</v>
      </c>
      <c r="Z335" s="309">
        <f>VLOOKUP(C335,Ausgewählte_Zauber_Zaubertänzer,256,FALSE)</f>
        <v>0</v>
      </c>
      <c r="AA335" s="218">
        <f>VLOOKUP(C335,'Talente &amp; Stuff'!IA:JB,25,FALSE)</f>
        <v>0</v>
      </c>
      <c r="AB335" s="242">
        <f>VLOOKUP(C335,'Talente &amp; Stuff'!IA:JB,26,FALSE)</f>
        <v>0</v>
      </c>
      <c r="AC335" s="218">
        <f>VLOOKUP(C335,'Talente &amp; Stuff'!IA:JB,27,FALSE)</f>
        <v>0</v>
      </c>
      <c r="AD335" s="218">
        <f>VLOOKUP(C335,'Talente &amp; Stuff'!IA:JB,28,FALSE)</f>
        <v>0</v>
      </c>
      <c r="AE335" s="343"/>
    </row>
    <row r="336" spans="1:31" s="217" customFormat="1" hidden="1" outlineLevel="2">
      <c r="A336" s="185"/>
      <c r="B336" s="217">
        <v>14</v>
      </c>
      <c r="C336" s="303" t="str">
        <f>Attribute!C336</f>
        <v>---</v>
      </c>
      <c r="D336" s="304" t="str">
        <f>VLOOKUP(C336,'Talente &amp; Stuff'!IA:JB,2,FALSE)</f>
        <v>--/--/--</v>
      </c>
      <c r="E336" s="304" t="str">
        <f>VLOOKUP(C336,'Talente &amp; Stuff'!IA:JB,3,FALSE)</f>
        <v>-</v>
      </c>
      <c r="F336" s="317">
        <f>VLOOKUP(C336,'Talente &amp; Stuff'!IA:JB,4,FALSE)</f>
        <v>0</v>
      </c>
      <c r="G336" s="254">
        <f>VLOOKUP(C336,'Talente &amp; Stuff'!IA:JB,5,FALSE)</f>
        <v>0</v>
      </c>
      <c r="H336" s="254">
        <f>VLOOKUP(C336,'Talente &amp; Stuff'!IA:JB,6,FALSE)</f>
        <v>0</v>
      </c>
      <c r="I336" s="254">
        <f>VLOOKUP(C336,'Talente &amp; Stuff'!IA:JB,7,FALSE)</f>
        <v>0</v>
      </c>
      <c r="J336" s="254">
        <f>VLOOKUP(C336,'Talente &amp; Stuff'!IA:JB,8,FALSE)</f>
        <v>0</v>
      </c>
      <c r="K336" s="254">
        <f>VLOOKUP(C336,'Talente &amp; Stuff'!IA:JB,9,FALSE)</f>
        <v>0</v>
      </c>
      <c r="L336" s="254">
        <f>VLOOKUP(C336,'Talente &amp; Stuff'!IA:JB,10,FALSE)</f>
        <v>0</v>
      </c>
      <c r="M336" s="318">
        <f>VLOOKUP(C336,'Talente &amp; Stuff'!IA:JB,11,FALSE)</f>
        <v>0</v>
      </c>
      <c r="N336" s="222">
        <f>VLOOKUP(C336,'Talente &amp; Stuff'!IA:JB,12,FALSE)</f>
        <v>0</v>
      </c>
      <c r="O336" s="223">
        <f>VLOOKUP(C336,'Talente &amp; Stuff'!IA:JB,13,FALSE)</f>
        <v>0</v>
      </c>
      <c r="P336" s="224">
        <f>VLOOKUP(C336,'Talente &amp; Stuff'!IA:JB,14,FALSE)</f>
        <v>0</v>
      </c>
      <c r="Q336" s="237">
        <f>VLOOKUP(C336,'Talente &amp; Stuff'!IA:JB,15,FALSE)</f>
        <v>0</v>
      </c>
      <c r="R336" s="254">
        <f>VLOOKUP(C336,'Talente &amp; Stuff'!IA:JB,16,FALSE)</f>
        <v>0</v>
      </c>
      <c r="S336" s="224">
        <f>VLOOKUP(C336,'Talente &amp; Stuff'!IA:JB,17,FALSE)</f>
        <v>0</v>
      </c>
      <c r="T336" s="242">
        <f>VLOOKUP(C336,'Talente &amp; Stuff'!IA:JB,18,FALSE)</f>
        <v>0</v>
      </c>
      <c r="U336" s="222">
        <f>VLOOKUP(C336,'Talente &amp; Stuff'!IA:JB,19,FALSE)</f>
        <v>0</v>
      </c>
      <c r="V336" s="223">
        <f>VLOOKUP(C336,'Talente &amp; Stuff'!IA:JB,20,FALSE)</f>
        <v>0</v>
      </c>
      <c r="W336" s="243">
        <f>VLOOKUP(C336,'Talente &amp; Stuff'!IA:JB,21,FALSE)</f>
        <v>0</v>
      </c>
      <c r="X336" s="218">
        <f>VLOOKUP(C336,'Talente &amp; Stuff'!IA:JB,22,FALSE)</f>
        <v>0</v>
      </c>
      <c r="Y336" s="252">
        <f>VLOOKUP(C336,Ausgewählte_Zauber_Zaubertänzer,255,FALSE)</f>
        <v>0</v>
      </c>
      <c r="Z336" s="309">
        <f>VLOOKUP(C336,Ausgewählte_Zauber_Zaubertänzer,256,FALSE)</f>
        <v>0</v>
      </c>
      <c r="AA336" s="218">
        <f>VLOOKUP(C336,'Talente &amp; Stuff'!IA:JB,25,FALSE)</f>
        <v>0</v>
      </c>
      <c r="AB336" s="242">
        <f>VLOOKUP(C336,'Talente &amp; Stuff'!IA:JB,26,FALSE)</f>
        <v>0</v>
      </c>
      <c r="AC336" s="218">
        <f>VLOOKUP(C336,'Talente &amp; Stuff'!IA:JB,27,FALSE)</f>
        <v>0</v>
      </c>
      <c r="AD336" s="218">
        <f>VLOOKUP(C336,'Talente &amp; Stuff'!IA:JB,28,FALSE)</f>
        <v>0</v>
      </c>
      <c r="AE336" s="343"/>
    </row>
    <row r="337" spans="1:31" s="217" customFormat="1" hidden="1" outlineLevel="2">
      <c r="A337" s="185"/>
      <c r="B337" s="217">
        <v>15</v>
      </c>
      <c r="C337" s="303" t="str">
        <f>Attribute!C337</f>
        <v>---</v>
      </c>
      <c r="D337" s="304" t="str">
        <f>VLOOKUP(C337,'Talente &amp; Stuff'!IA:JB,2,FALSE)</f>
        <v>--/--/--</v>
      </c>
      <c r="E337" s="304" t="str">
        <f>VLOOKUP(C337,'Talente &amp; Stuff'!IA:JB,3,FALSE)</f>
        <v>-</v>
      </c>
      <c r="F337" s="317">
        <f>VLOOKUP(C337,'Talente &amp; Stuff'!IA:JB,4,FALSE)</f>
        <v>0</v>
      </c>
      <c r="G337" s="254">
        <f>VLOOKUP(C337,'Talente &amp; Stuff'!IA:JB,5,FALSE)</f>
        <v>0</v>
      </c>
      <c r="H337" s="254">
        <f>VLOOKUP(C337,'Talente &amp; Stuff'!IA:JB,6,FALSE)</f>
        <v>0</v>
      </c>
      <c r="I337" s="254">
        <f>VLOOKUP(C337,'Talente &amp; Stuff'!IA:JB,7,FALSE)</f>
        <v>0</v>
      </c>
      <c r="J337" s="254">
        <f>VLOOKUP(C337,'Talente &amp; Stuff'!IA:JB,8,FALSE)</f>
        <v>0</v>
      </c>
      <c r="K337" s="254">
        <f>VLOOKUP(C337,'Talente &amp; Stuff'!IA:JB,9,FALSE)</f>
        <v>0</v>
      </c>
      <c r="L337" s="254">
        <f>VLOOKUP(C337,'Talente &amp; Stuff'!IA:JB,10,FALSE)</f>
        <v>0</v>
      </c>
      <c r="M337" s="318">
        <f>VLOOKUP(C337,'Talente &amp; Stuff'!IA:JB,11,FALSE)</f>
        <v>0</v>
      </c>
      <c r="N337" s="222">
        <f>VLOOKUP(C337,'Talente &amp; Stuff'!IA:JB,12,FALSE)</f>
        <v>0</v>
      </c>
      <c r="O337" s="223">
        <f>VLOOKUP(C337,'Talente &amp; Stuff'!IA:JB,13,FALSE)</f>
        <v>0</v>
      </c>
      <c r="P337" s="224">
        <f>VLOOKUP(C337,'Talente &amp; Stuff'!IA:JB,14,FALSE)</f>
        <v>0</v>
      </c>
      <c r="Q337" s="237">
        <f>VLOOKUP(C337,'Talente &amp; Stuff'!IA:JB,15,FALSE)</f>
        <v>0</v>
      </c>
      <c r="R337" s="254">
        <f>VLOOKUP(C337,'Talente &amp; Stuff'!IA:JB,16,FALSE)</f>
        <v>0</v>
      </c>
      <c r="S337" s="224">
        <f>VLOOKUP(C337,'Talente &amp; Stuff'!IA:JB,17,FALSE)</f>
        <v>0</v>
      </c>
      <c r="T337" s="242">
        <f>VLOOKUP(C337,'Talente &amp; Stuff'!IA:JB,18,FALSE)</f>
        <v>0</v>
      </c>
      <c r="U337" s="222">
        <f>VLOOKUP(C337,'Talente &amp; Stuff'!IA:JB,19,FALSE)</f>
        <v>0</v>
      </c>
      <c r="V337" s="223">
        <f>VLOOKUP(C337,'Talente &amp; Stuff'!IA:JB,20,FALSE)</f>
        <v>0</v>
      </c>
      <c r="W337" s="243">
        <f>VLOOKUP(C337,'Talente &amp; Stuff'!IA:JB,21,FALSE)</f>
        <v>0</v>
      </c>
      <c r="X337" s="218">
        <f>VLOOKUP(C337,'Talente &amp; Stuff'!IA:JB,22,FALSE)</f>
        <v>0</v>
      </c>
      <c r="Y337" s="252">
        <f>VLOOKUP(C337,Ausgewählte_Zauber_Zaubertänzer,255,FALSE)</f>
        <v>0</v>
      </c>
      <c r="Z337" s="309">
        <f>VLOOKUP(C337,Ausgewählte_Zauber_Zaubertänzer,256,FALSE)</f>
        <v>0</v>
      </c>
      <c r="AA337" s="218">
        <f>VLOOKUP(C337,'Talente &amp; Stuff'!IA:JB,25,FALSE)</f>
        <v>0</v>
      </c>
      <c r="AB337" s="242">
        <f>VLOOKUP(C337,'Talente &amp; Stuff'!IA:JB,26,FALSE)</f>
        <v>0</v>
      </c>
      <c r="AC337" s="218">
        <f>VLOOKUP(C337,'Talente &amp; Stuff'!IA:JB,27,FALSE)</f>
        <v>0</v>
      </c>
      <c r="AD337" s="218">
        <f>VLOOKUP(C337,'Talente &amp; Stuff'!IA:JB,28,FALSE)</f>
        <v>0</v>
      </c>
      <c r="AE337" s="343"/>
    </row>
    <row r="338" spans="1:31" s="217" customFormat="1" hidden="1" outlineLevel="2">
      <c r="A338" s="185"/>
      <c r="B338" s="217">
        <v>16</v>
      </c>
      <c r="C338" s="303" t="str">
        <f>Attribute!C338</f>
        <v>---</v>
      </c>
      <c r="D338" s="304" t="str">
        <f>VLOOKUP(C338,'Talente &amp; Stuff'!IA:JB,2,FALSE)</f>
        <v>--/--/--</v>
      </c>
      <c r="E338" s="304" t="str">
        <f>VLOOKUP(C338,'Talente &amp; Stuff'!IA:JB,3,FALSE)</f>
        <v>-</v>
      </c>
      <c r="F338" s="317">
        <f>VLOOKUP(C338,'Talente &amp; Stuff'!IA:JB,4,FALSE)</f>
        <v>0</v>
      </c>
      <c r="G338" s="254">
        <f>VLOOKUP(C338,'Talente &amp; Stuff'!IA:JB,5,FALSE)</f>
        <v>0</v>
      </c>
      <c r="H338" s="254">
        <f>VLOOKUP(C338,'Talente &amp; Stuff'!IA:JB,6,FALSE)</f>
        <v>0</v>
      </c>
      <c r="I338" s="254">
        <f>VLOOKUP(C338,'Talente &amp; Stuff'!IA:JB,7,FALSE)</f>
        <v>0</v>
      </c>
      <c r="J338" s="254">
        <f>VLOOKUP(C338,'Talente &amp; Stuff'!IA:JB,8,FALSE)</f>
        <v>0</v>
      </c>
      <c r="K338" s="254">
        <f>VLOOKUP(C338,'Talente &amp; Stuff'!IA:JB,9,FALSE)</f>
        <v>0</v>
      </c>
      <c r="L338" s="254">
        <f>VLOOKUP(C338,'Talente &amp; Stuff'!IA:JB,10,FALSE)</f>
        <v>0</v>
      </c>
      <c r="M338" s="318">
        <f>VLOOKUP(C338,'Talente &amp; Stuff'!IA:JB,11,FALSE)</f>
        <v>0</v>
      </c>
      <c r="N338" s="222">
        <f>VLOOKUP(C338,'Talente &amp; Stuff'!IA:JB,12,FALSE)</f>
        <v>0</v>
      </c>
      <c r="O338" s="223">
        <f>VLOOKUP(C338,'Talente &amp; Stuff'!IA:JB,13,FALSE)</f>
        <v>0</v>
      </c>
      <c r="P338" s="224">
        <f>VLOOKUP(C338,'Talente &amp; Stuff'!IA:JB,14,FALSE)</f>
        <v>0</v>
      </c>
      <c r="Q338" s="237">
        <f>VLOOKUP(C338,'Talente &amp; Stuff'!IA:JB,15,FALSE)</f>
        <v>0</v>
      </c>
      <c r="R338" s="254">
        <f>VLOOKUP(C338,'Talente &amp; Stuff'!IA:JB,16,FALSE)</f>
        <v>0</v>
      </c>
      <c r="S338" s="224">
        <f>VLOOKUP(C338,'Talente &amp; Stuff'!IA:JB,17,FALSE)</f>
        <v>0</v>
      </c>
      <c r="T338" s="242">
        <f>VLOOKUP(C338,'Talente &amp; Stuff'!IA:JB,18,FALSE)</f>
        <v>0</v>
      </c>
      <c r="U338" s="222">
        <f>VLOOKUP(C338,'Talente &amp; Stuff'!IA:JB,19,FALSE)</f>
        <v>0</v>
      </c>
      <c r="V338" s="223">
        <f>VLOOKUP(C338,'Talente &amp; Stuff'!IA:JB,20,FALSE)</f>
        <v>0</v>
      </c>
      <c r="W338" s="243">
        <f>VLOOKUP(C338,'Talente &amp; Stuff'!IA:JB,21,FALSE)</f>
        <v>0</v>
      </c>
      <c r="X338" s="218">
        <f>VLOOKUP(C338,'Talente &amp; Stuff'!IA:JB,22,FALSE)</f>
        <v>0</v>
      </c>
      <c r="Y338" s="252">
        <f>VLOOKUP(C338,Ausgewählte_Zauber_Zaubertänzer,255,FALSE)</f>
        <v>0</v>
      </c>
      <c r="Z338" s="309">
        <f>VLOOKUP(C338,Ausgewählte_Zauber_Zaubertänzer,256,FALSE)</f>
        <v>0</v>
      </c>
      <c r="AA338" s="218">
        <f>VLOOKUP(C338,'Talente &amp; Stuff'!IA:JB,25,FALSE)</f>
        <v>0</v>
      </c>
      <c r="AB338" s="242">
        <f>VLOOKUP(C338,'Talente &amp; Stuff'!IA:JB,26,FALSE)</f>
        <v>0</v>
      </c>
      <c r="AC338" s="218">
        <f>VLOOKUP(C338,'Talente &amp; Stuff'!IA:JB,27,FALSE)</f>
        <v>0</v>
      </c>
      <c r="AD338" s="218">
        <f>VLOOKUP(C338,'Talente &amp; Stuff'!IA:JB,28,FALSE)</f>
        <v>0</v>
      </c>
      <c r="AE338" s="343"/>
    </row>
    <row r="339" spans="1:31" s="217" customFormat="1" hidden="1" outlineLevel="2">
      <c r="A339" s="185"/>
      <c r="B339" s="217">
        <v>17</v>
      </c>
      <c r="C339" s="303" t="str">
        <f>Attribute!C339</f>
        <v>---</v>
      </c>
      <c r="D339" s="304" t="str">
        <f>VLOOKUP(C339,'Talente &amp; Stuff'!IA:JB,2,FALSE)</f>
        <v>--/--/--</v>
      </c>
      <c r="E339" s="304" t="str">
        <f>VLOOKUP(C339,'Talente &amp; Stuff'!IA:JB,3,FALSE)</f>
        <v>-</v>
      </c>
      <c r="F339" s="317">
        <f>VLOOKUP(C339,'Talente &amp; Stuff'!IA:JB,4,FALSE)</f>
        <v>0</v>
      </c>
      <c r="G339" s="254">
        <f>VLOOKUP(C339,'Talente &amp; Stuff'!IA:JB,5,FALSE)</f>
        <v>0</v>
      </c>
      <c r="H339" s="254">
        <f>VLOOKUP(C339,'Talente &amp; Stuff'!IA:JB,6,FALSE)</f>
        <v>0</v>
      </c>
      <c r="I339" s="254">
        <f>VLOOKUP(C339,'Talente &amp; Stuff'!IA:JB,7,FALSE)</f>
        <v>0</v>
      </c>
      <c r="J339" s="254">
        <f>VLOOKUP(C339,'Talente &amp; Stuff'!IA:JB,8,FALSE)</f>
        <v>0</v>
      </c>
      <c r="K339" s="254">
        <f>VLOOKUP(C339,'Talente &amp; Stuff'!IA:JB,9,FALSE)</f>
        <v>0</v>
      </c>
      <c r="L339" s="254">
        <f>VLOOKUP(C339,'Talente &amp; Stuff'!IA:JB,10,FALSE)</f>
        <v>0</v>
      </c>
      <c r="M339" s="318">
        <f>VLOOKUP(C339,'Talente &amp; Stuff'!IA:JB,11,FALSE)</f>
        <v>0</v>
      </c>
      <c r="N339" s="222">
        <f>VLOOKUP(C339,'Talente &amp; Stuff'!IA:JB,12,FALSE)</f>
        <v>0</v>
      </c>
      <c r="O339" s="223">
        <f>VLOOKUP(C339,'Talente &amp; Stuff'!IA:JB,13,FALSE)</f>
        <v>0</v>
      </c>
      <c r="P339" s="224">
        <f>VLOOKUP(C339,'Talente &amp; Stuff'!IA:JB,14,FALSE)</f>
        <v>0</v>
      </c>
      <c r="Q339" s="237">
        <f>VLOOKUP(C339,'Talente &amp; Stuff'!IA:JB,15,FALSE)</f>
        <v>0</v>
      </c>
      <c r="R339" s="254">
        <f>VLOOKUP(C339,'Talente &amp; Stuff'!IA:JB,16,FALSE)</f>
        <v>0</v>
      </c>
      <c r="S339" s="224">
        <f>VLOOKUP(C339,'Talente &amp; Stuff'!IA:JB,17,FALSE)</f>
        <v>0</v>
      </c>
      <c r="T339" s="242">
        <f>VLOOKUP(C339,'Talente &amp; Stuff'!IA:JB,18,FALSE)</f>
        <v>0</v>
      </c>
      <c r="U339" s="222">
        <f>VLOOKUP(C339,'Talente &amp; Stuff'!IA:JB,19,FALSE)</f>
        <v>0</v>
      </c>
      <c r="V339" s="223">
        <f>VLOOKUP(C339,'Talente &amp; Stuff'!IA:JB,20,FALSE)</f>
        <v>0</v>
      </c>
      <c r="W339" s="243">
        <f>VLOOKUP(C339,'Talente &amp; Stuff'!IA:JB,21,FALSE)</f>
        <v>0</v>
      </c>
      <c r="X339" s="218">
        <f>VLOOKUP(C339,'Talente &amp; Stuff'!IA:JB,22,FALSE)</f>
        <v>0</v>
      </c>
      <c r="Y339" s="252">
        <f>VLOOKUP(C339,Ausgewählte_Zauber_Zaubertänzer,255,FALSE)</f>
        <v>0</v>
      </c>
      <c r="Z339" s="309">
        <f>VLOOKUP(C339,Ausgewählte_Zauber_Zaubertänzer,256,FALSE)</f>
        <v>0</v>
      </c>
      <c r="AA339" s="218">
        <f>VLOOKUP(C339,'Talente &amp; Stuff'!IA:JB,25,FALSE)</f>
        <v>0</v>
      </c>
      <c r="AB339" s="242">
        <f>VLOOKUP(C339,'Talente &amp; Stuff'!IA:JB,26,FALSE)</f>
        <v>0</v>
      </c>
      <c r="AC339" s="218">
        <f>VLOOKUP(C339,'Talente &amp; Stuff'!IA:JB,27,FALSE)</f>
        <v>0</v>
      </c>
      <c r="AD339" s="218">
        <f>VLOOKUP(C339,'Talente &amp; Stuff'!IA:JB,28,FALSE)</f>
        <v>0</v>
      </c>
      <c r="AE339" s="343"/>
    </row>
    <row r="340" spans="1:31" s="217" customFormat="1" hidden="1" outlineLevel="2">
      <c r="A340" s="185"/>
      <c r="B340" s="217">
        <v>18</v>
      </c>
      <c r="C340" s="303" t="str">
        <f>Attribute!C340</f>
        <v>---</v>
      </c>
      <c r="D340" s="304" t="str">
        <f>VLOOKUP(C340,'Talente &amp; Stuff'!IA:JB,2,FALSE)</f>
        <v>--/--/--</v>
      </c>
      <c r="E340" s="304" t="str">
        <f>VLOOKUP(C340,'Talente &amp; Stuff'!IA:JB,3,FALSE)</f>
        <v>-</v>
      </c>
      <c r="F340" s="317">
        <f>VLOOKUP(C340,'Talente &amp; Stuff'!IA:JB,4,FALSE)</f>
        <v>0</v>
      </c>
      <c r="G340" s="254">
        <f>VLOOKUP(C340,'Talente &amp; Stuff'!IA:JB,5,FALSE)</f>
        <v>0</v>
      </c>
      <c r="H340" s="254">
        <f>VLOOKUP(C340,'Talente &amp; Stuff'!IA:JB,6,FALSE)</f>
        <v>0</v>
      </c>
      <c r="I340" s="254">
        <f>VLOOKUP(C340,'Talente &amp; Stuff'!IA:JB,7,FALSE)</f>
        <v>0</v>
      </c>
      <c r="J340" s="254">
        <f>VLOOKUP(C340,'Talente &amp; Stuff'!IA:JB,8,FALSE)</f>
        <v>0</v>
      </c>
      <c r="K340" s="254">
        <f>VLOOKUP(C340,'Talente &amp; Stuff'!IA:JB,9,FALSE)</f>
        <v>0</v>
      </c>
      <c r="L340" s="254">
        <f>VLOOKUP(C340,'Talente &amp; Stuff'!IA:JB,10,FALSE)</f>
        <v>0</v>
      </c>
      <c r="M340" s="318">
        <f>VLOOKUP(C340,'Talente &amp; Stuff'!IA:JB,11,FALSE)</f>
        <v>0</v>
      </c>
      <c r="N340" s="222">
        <f>VLOOKUP(C340,'Talente &amp; Stuff'!IA:JB,12,FALSE)</f>
        <v>0</v>
      </c>
      <c r="O340" s="223">
        <f>VLOOKUP(C340,'Talente &amp; Stuff'!IA:JB,13,FALSE)</f>
        <v>0</v>
      </c>
      <c r="P340" s="224">
        <f>VLOOKUP(C340,'Talente &amp; Stuff'!IA:JB,14,FALSE)</f>
        <v>0</v>
      </c>
      <c r="Q340" s="237">
        <f>VLOOKUP(C340,'Talente &amp; Stuff'!IA:JB,15,FALSE)</f>
        <v>0</v>
      </c>
      <c r="R340" s="254">
        <f>VLOOKUP(C340,'Talente &amp; Stuff'!IA:JB,16,FALSE)</f>
        <v>0</v>
      </c>
      <c r="S340" s="224">
        <f>VLOOKUP(C340,'Talente &amp; Stuff'!IA:JB,17,FALSE)</f>
        <v>0</v>
      </c>
      <c r="T340" s="242">
        <f>VLOOKUP(C340,'Talente &amp; Stuff'!IA:JB,18,FALSE)</f>
        <v>0</v>
      </c>
      <c r="U340" s="222">
        <f>VLOOKUP(C340,'Talente &amp; Stuff'!IA:JB,19,FALSE)</f>
        <v>0</v>
      </c>
      <c r="V340" s="223">
        <f>VLOOKUP(C340,'Talente &amp; Stuff'!IA:JB,20,FALSE)</f>
        <v>0</v>
      </c>
      <c r="W340" s="243">
        <f>VLOOKUP(C340,'Talente &amp; Stuff'!IA:JB,21,FALSE)</f>
        <v>0</v>
      </c>
      <c r="X340" s="218">
        <f>VLOOKUP(C340,'Talente &amp; Stuff'!IA:JB,22,FALSE)</f>
        <v>0</v>
      </c>
      <c r="Y340" s="252">
        <f>VLOOKUP(C340,Ausgewählte_Zauber_Zaubertänzer,255,FALSE)</f>
        <v>0</v>
      </c>
      <c r="Z340" s="309">
        <f>VLOOKUP(C340,Ausgewählte_Zauber_Zaubertänzer,256,FALSE)</f>
        <v>0</v>
      </c>
      <c r="AA340" s="218">
        <f>VLOOKUP(C340,'Talente &amp; Stuff'!IA:JB,25,FALSE)</f>
        <v>0</v>
      </c>
      <c r="AB340" s="242">
        <f>VLOOKUP(C340,'Talente &amp; Stuff'!IA:JB,26,FALSE)</f>
        <v>0</v>
      </c>
      <c r="AC340" s="218">
        <f>VLOOKUP(C340,'Talente &amp; Stuff'!IA:JB,27,FALSE)</f>
        <v>0</v>
      </c>
      <c r="AD340" s="218">
        <f>VLOOKUP(C340,'Talente &amp; Stuff'!IA:JB,28,FALSE)</f>
        <v>0</v>
      </c>
      <c r="AE340" s="343"/>
    </row>
    <row r="341" spans="1:31" s="217" customFormat="1" hidden="1" outlineLevel="2">
      <c r="A341" s="185"/>
      <c r="B341" s="217">
        <v>19</v>
      </c>
      <c r="C341" s="303" t="str">
        <f>Attribute!C341</f>
        <v>---</v>
      </c>
      <c r="D341" s="304" t="str">
        <f>VLOOKUP(C341,'Talente &amp; Stuff'!IA:JB,2,FALSE)</f>
        <v>--/--/--</v>
      </c>
      <c r="E341" s="304" t="str">
        <f>VLOOKUP(C341,'Talente &amp; Stuff'!IA:JB,3,FALSE)</f>
        <v>-</v>
      </c>
      <c r="F341" s="317">
        <f>VLOOKUP(C341,'Talente &amp; Stuff'!IA:JB,4,FALSE)</f>
        <v>0</v>
      </c>
      <c r="G341" s="254">
        <f>VLOOKUP(C341,'Talente &amp; Stuff'!IA:JB,5,FALSE)</f>
        <v>0</v>
      </c>
      <c r="H341" s="254">
        <f>VLOOKUP(C341,'Talente &amp; Stuff'!IA:JB,6,FALSE)</f>
        <v>0</v>
      </c>
      <c r="I341" s="254">
        <f>VLOOKUP(C341,'Talente &amp; Stuff'!IA:JB,7,FALSE)</f>
        <v>0</v>
      </c>
      <c r="J341" s="254">
        <f>VLOOKUP(C341,'Talente &amp; Stuff'!IA:JB,8,FALSE)</f>
        <v>0</v>
      </c>
      <c r="K341" s="254">
        <f>VLOOKUP(C341,'Talente &amp; Stuff'!IA:JB,9,FALSE)</f>
        <v>0</v>
      </c>
      <c r="L341" s="254">
        <f>VLOOKUP(C341,'Talente &amp; Stuff'!IA:JB,10,FALSE)</f>
        <v>0</v>
      </c>
      <c r="M341" s="318">
        <f>VLOOKUP(C341,'Talente &amp; Stuff'!IA:JB,11,FALSE)</f>
        <v>0</v>
      </c>
      <c r="N341" s="222">
        <f>VLOOKUP(C341,'Talente &amp; Stuff'!IA:JB,12,FALSE)</f>
        <v>0</v>
      </c>
      <c r="O341" s="223">
        <f>VLOOKUP(C341,'Talente &amp; Stuff'!IA:JB,13,FALSE)</f>
        <v>0</v>
      </c>
      <c r="P341" s="224">
        <f>VLOOKUP(C341,'Talente &amp; Stuff'!IA:JB,14,FALSE)</f>
        <v>0</v>
      </c>
      <c r="Q341" s="237">
        <f>VLOOKUP(C341,'Talente &amp; Stuff'!IA:JB,15,FALSE)</f>
        <v>0</v>
      </c>
      <c r="R341" s="254">
        <f>VLOOKUP(C341,'Talente &amp; Stuff'!IA:JB,16,FALSE)</f>
        <v>0</v>
      </c>
      <c r="S341" s="224">
        <f>VLOOKUP(C341,'Talente &amp; Stuff'!IA:JB,17,FALSE)</f>
        <v>0</v>
      </c>
      <c r="T341" s="242">
        <f>VLOOKUP(C341,'Talente &amp; Stuff'!IA:JB,18,FALSE)</f>
        <v>0</v>
      </c>
      <c r="U341" s="222">
        <f>VLOOKUP(C341,'Talente &amp; Stuff'!IA:JB,19,FALSE)</f>
        <v>0</v>
      </c>
      <c r="V341" s="223">
        <f>VLOOKUP(C341,'Talente &amp; Stuff'!IA:JB,20,FALSE)</f>
        <v>0</v>
      </c>
      <c r="W341" s="243">
        <f>VLOOKUP(C341,'Talente &amp; Stuff'!IA:JB,21,FALSE)</f>
        <v>0</v>
      </c>
      <c r="X341" s="218">
        <f>VLOOKUP(C341,'Talente &amp; Stuff'!IA:JB,22,FALSE)</f>
        <v>0</v>
      </c>
      <c r="Y341" s="252">
        <f>VLOOKUP(C341,Ausgewählte_Zauber_Zaubertänzer,255,FALSE)</f>
        <v>0</v>
      </c>
      <c r="Z341" s="309">
        <f>VLOOKUP(C341,Ausgewählte_Zauber_Zaubertänzer,256,FALSE)</f>
        <v>0</v>
      </c>
      <c r="AA341" s="218">
        <f>VLOOKUP(C341,'Talente &amp; Stuff'!IA:JB,25,FALSE)</f>
        <v>0</v>
      </c>
      <c r="AB341" s="242">
        <f>VLOOKUP(C341,'Talente &amp; Stuff'!IA:JB,26,FALSE)</f>
        <v>0</v>
      </c>
      <c r="AC341" s="218">
        <f>VLOOKUP(C341,'Talente &amp; Stuff'!IA:JB,27,FALSE)</f>
        <v>0</v>
      </c>
      <c r="AD341" s="218">
        <f>VLOOKUP(C341,'Talente &amp; Stuff'!IA:JB,28,FALSE)</f>
        <v>0</v>
      </c>
      <c r="AE341" s="343"/>
    </row>
    <row r="342" spans="1:31" s="217" customFormat="1" hidden="1" outlineLevel="2">
      <c r="A342" s="185"/>
      <c r="B342" s="217">
        <v>20</v>
      </c>
      <c r="C342" s="303" t="str">
        <f>Attribute!C342</f>
        <v>---</v>
      </c>
      <c r="D342" s="304" t="str">
        <f>VLOOKUP(C342,'Talente &amp; Stuff'!IA:JB,2,FALSE)</f>
        <v>--/--/--</v>
      </c>
      <c r="E342" s="304" t="str">
        <f>VLOOKUP(C342,'Talente &amp; Stuff'!IA:JB,3,FALSE)</f>
        <v>-</v>
      </c>
      <c r="F342" s="317">
        <f>VLOOKUP(C342,'Talente &amp; Stuff'!IA:JB,4,FALSE)</f>
        <v>0</v>
      </c>
      <c r="G342" s="254">
        <f>VLOOKUP(C342,'Talente &amp; Stuff'!IA:JB,5,FALSE)</f>
        <v>0</v>
      </c>
      <c r="H342" s="254">
        <f>VLOOKUP(C342,'Talente &amp; Stuff'!IA:JB,6,FALSE)</f>
        <v>0</v>
      </c>
      <c r="I342" s="254">
        <f>VLOOKUP(C342,'Talente &amp; Stuff'!IA:JB,7,FALSE)</f>
        <v>0</v>
      </c>
      <c r="J342" s="254">
        <f>VLOOKUP(C342,'Talente &amp; Stuff'!IA:JB,8,FALSE)</f>
        <v>0</v>
      </c>
      <c r="K342" s="254">
        <f>VLOOKUP(C342,'Talente &amp; Stuff'!IA:JB,9,FALSE)</f>
        <v>0</v>
      </c>
      <c r="L342" s="254">
        <f>VLOOKUP(C342,'Talente &amp; Stuff'!IA:JB,10,FALSE)</f>
        <v>0</v>
      </c>
      <c r="M342" s="318">
        <f>VLOOKUP(C342,'Talente &amp; Stuff'!IA:JB,11,FALSE)</f>
        <v>0</v>
      </c>
      <c r="N342" s="222">
        <f>VLOOKUP(C342,'Talente &amp; Stuff'!IA:JB,12,FALSE)</f>
        <v>0</v>
      </c>
      <c r="O342" s="223">
        <f>VLOOKUP(C342,'Talente &amp; Stuff'!IA:JB,13,FALSE)</f>
        <v>0</v>
      </c>
      <c r="P342" s="224">
        <f>VLOOKUP(C342,'Talente &amp; Stuff'!IA:JB,14,FALSE)</f>
        <v>0</v>
      </c>
      <c r="Q342" s="237">
        <f>VLOOKUP(C342,'Talente &amp; Stuff'!IA:JB,15,FALSE)</f>
        <v>0</v>
      </c>
      <c r="R342" s="254">
        <f>VLOOKUP(C342,'Talente &amp; Stuff'!IA:JB,16,FALSE)</f>
        <v>0</v>
      </c>
      <c r="S342" s="224">
        <f>VLOOKUP(C342,'Talente &amp; Stuff'!IA:JB,17,FALSE)</f>
        <v>0</v>
      </c>
      <c r="T342" s="242">
        <f>VLOOKUP(C342,'Talente &amp; Stuff'!IA:JB,18,FALSE)</f>
        <v>0</v>
      </c>
      <c r="U342" s="222">
        <f>VLOOKUP(C342,'Talente &amp; Stuff'!IA:JB,19,FALSE)</f>
        <v>0</v>
      </c>
      <c r="V342" s="223">
        <f>VLOOKUP(C342,'Talente &amp; Stuff'!IA:JB,20,FALSE)</f>
        <v>0</v>
      </c>
      <c r="W342" s="243">
        <f>VLOOKUP(C342,'Talente &amp; Stuff'!IA:JB,21,FALSE)</f>
        <v>0</v>
      </c>
      <c r="X342" s="218">
        <f>VLOOKUP(C342,'Talente &amp; Stuff'!IA:JB,22,FALSE)</f>
        <v>0</v>
      </c>
      <c r="Y342" s="252">
        <f>VLOOKUP(C342,Ausgewählte_Zauber_Zaubertänzer,255,FALSE)</f>
        <v>0</v>
      </c>
      <c r="Z342" s="309">
        <f>VLOOKUP(C342,Ausgewählte_Zauber_Zaubertänzer,256,FALSE)</f>
        <v>0</v>
      </c>
      <c r="AA342" s="218">
        <f>VLOOKUP(C342,'Talente &amp; Stuff'!IA:JB,25,FALSE)</f>
        <v>0</v>
      </c>
      <c r="AB342" s="242">
        <f>VLOOKUP(C342,'Talente &amp; Stuff'!IA:JB,26,FALSE)</f>
        <v>0</v>
      </c>
      <c r="AC342" s="218">
        <f>VLOOKUP(C342,'Talente &amp; Stuff'!IA:JB,27,FALSE)</f>
        <v>0</v>
      </c>
      <c r="AD342" s="218">
        <f>VLOOKUP(C342,'Talente &amp; Stuff'!IA:JB,28,FALSE)</f>
        <v>0</v>
      </c>
      <c r="AE342" s="343"/>
    </row>
    <row r="343" spans="1:31" s="217" customFormat="1" hidden="1" outlineLevel="2">
      <c r="A343" s="185"/>
      <c r="B343" s="217">
        <v>21</v>
      </c>
      <c r="C343" s="303" t="str">
        <f>Attribute!C343</f>
        <v>---</v>
      </c>
      <c r="D343" s="304" t="str">
        <f>VLOOKUP(C343,'Talente &amp; Stuff'!IA:JB,2,FALSE)</f>
        <v>--/--/--</v>
      </c>
      <c r="E343" s="304" t="str">
        <f>VLOOKUP(C343,'Talente &amp; Stuff'!IA:JB,3,FALSE)</f>
        <v>-</v>
      </c>
      <c r="F343" s="317">
        <f>VLOOKUP(C343,'Talente &amp; Stuff'!IA:JB,4,FALSE)</f>
        <v>0</v>
      </c>
      <c r="G343" s="254">
        <f>VLOOKUP(C343,'Talente &amp; Stuff'!IA:JB,5,FALSE)</f>
        <v>0</v>
      </c>
      <c r="H343" s="254">
        <f>VLOOKUP(C343,'Talente &amp; Stuff'!IA:JB,6,FALSE)</f>
        <v>0</v>
      </c>
      <c r="I343" s="254">
        <f>VLOOKUP(C343,'Talente &amp; Stuff'!IA:JB,7,FALSE)</f>
        <v>0</v>
      </c>
      <c r="J343" s="254">
        <f>VLOOKUP(C343,'Talente &amp; Stuff'!IA:JB,8,FALSE)</f>
        <v>0</v>
      </c>
      <c r="K343" s="254">
        <f>VLOOKUP(C343,'Talente &amp; Stuff'!IA:JB,9,FALSE)</f>
        <v>0</v>
      </c>
      <c r="L343" s="254">
        <f>VLOOKUP(C343,'Talente &amp; Stuff'!IA:JB,10,FALSE)</f>
        <v>0</v>
      </c>
      <c r="M343" s="318">
        <f>VLOOKUP(C343,'Talente &amp; Stuff'!IA:JB,11,FALSE)</f>
        <v>0</v>
      </c>
      <c r="N343" s="222">
        <f>VLOOKUP(C343,'Talente &amp; Stuff'!IA:JB,12,FALSE)</f>
        <v>0</v>
      </c>
      <c r="O343" s="223">
        <f>VLOOKUP(C343,'Talente &amp; Stuff'!IA:JB,13,FALSE)</f>
        <v>0</v>
      </c>
      <c r="P343" s="224">
        <f>VLOOKUP(C343,'Talente &amp; Stuff'!IA:JB,14,FALSE)</f>
        <v>0</v>
      </c>
      <c r="Q343" s="237">
        <f>VLOOKUP(C343,'Talente &amp; Stuff'!IA:JB,15,FALSE)</f>
        <v>0</v>
      </c>
      <c r="R343" s="254">
        <f>VLOOKUP(C343,'Talente &amp; Stuff'!IA:JB,16,FALSE)</f>
        <v>0</v>
      </c>
      <c r="S343" s="224">
        <f>VLOOKUP(C343,'Talente &amp; Stuff'!IA:JB,17,FALSE)</f>
        <v>0</v>
      </c>
      <c r="T343" s="242">
        <f>VLOOKUP(C343,'Talente &amp; Stuff'!IA:JB,18,FALSE)</f>
        <v>0</v>
      </c>
      <c r="U343" s="222">
        <f>VLOOKUP(C343,'Talente &amp; Stuff'!IA:JB,19,FALSE)</f>
        <v>0</v>
      </c>
      <c r="V343" s="223">
        <f>VLOOKUP(C343,'Talente &amp; Stuff'!IA:JB,20,FALSE)</f>
        <v>0</v>
      </c>
      <c r="W343" s="243">
        <f>VLOOKUP(C343,'Talente &amp; Stuff'!IA:JB,21,FALSE)</f>
        <v>0</v>
      </c>
      <c r="X343" s="218">
        <f>VLOOKUP(C343,'Talente &amp; Stuff'!IA:JB,22,FALSE)</f>
        <v>0</v>
      </c>
      <c r="Y343" s="252">
        <f>VLOOKUP(C343,Ausgewählte_Zauber_Zaubertänzer,255,FALSE)</f>
        <v>0</v>
      </c>
      <c r="Z343" s="309">
        <f>VLOOKUP(C343,Ausgewählte_Zauber_Zaubertänzer,256,FALSE)</f>
        <v>0</v>
      </c>
      <c r="AA343" s="218">
        <f>VLOOKUP(C343,'Talente &amp; Stuff'!IA:JB,25,FALSE)</f>
        <v>0</v>
      </c>
      <c r="AB343" s="242">
        <f>VLOOKUP(C343,'Talente &amp; Stuff'!IA:JB,26,FALSE)</f>
        <v>0</v>
      </c>
      <c r="AC343" s="218">
        <f>VLOOKUP(C343,'Talente &amp; Stuff'!IA:JB,27,FALSE)</f>
        <v>0</v>
      </c>
      <c r="AD343" s="218">
        <f>VLOOKUP(C343,'Talente &amp; Stuff'!IA:JB,28,FALSE)</f>
        <v>0</v>
      </c>
      <c r="AE343" s="343"/>
    </row>
    <row r="344" spans="1:31" s="217" customFormat="1" hidden="1" outlineLevel="2">
      <c r="A344" s="185"/>
      <c r="B344" s="217">
        <v>22</v>
      </c>
      <c r="C344" s="303" t="str">
        <f>Attribute!C344</f>
        <v>---</v>
      </c>
      <c r="D344" s="304" t="str">
        <f>VLOOKUP(C344,'Talente &amp; Stuff'!IA:JB,2,FALSE)</f>
        <v>--/--/--</v>
      </c>
      <c r="E344" s="304" t="str">
        <f>VLOOKUP(C344,'Talente &amp; Stuff'!IA:JB,3,FALSE)</f>
        <v>-</v>
      </c>
      <c r="F344" s="317">
        <f>VLOOKUP(C344,'Talente &amp; Stuff'!IA:JB,4,FALSE)</f>
        <v>0</v>
      </c>
      <c r="G344" s="254">
        <f>VLOOKUP(C344,'Talente &amp; Stuff'!IA:JB,5,FALSE)</f>
        <v>0</v>
      </c>
      <c r="H344" s="254">
        <f>VLOOKUP(C344,'Talente &amp; Stuff'!IA:JB,6,FALSE)</f>
        <v>0</v>
      </c>
      <c r="I344" s="254">
        <f>VLOOKUP(C344,'Talente &amp; Stuff'!IA:JB,7,FALSE)</f>
        <v>0</v>
      </c>
      <c r="J344" s="254">
        <f>VLOOKUP(C344,'Talente &amp; Stuff'!IA:JB,8,FALSE)</f>
        <v>0</v>
      </c>
      <c r="K344" s="254">
        <f>VLOOKUP(C344,'Talente &amp; Stuff'!IA:JB,9,FALSE)</f>
        <v>0</v>
      </c>
      <c r="L344" s="254">
        <f>VLOOKUP(C344,'Talente &amp; Stuff'!IA:JB,10,FALSE)</f>
        <v>0</v>
      </c>
      <c r="M344" s="318">
        <f>VLOOKUP(C344,'Talente &amp; Stuff'!IA:JB,11,FALSE)</f>
        <v>0</v>
      </c>
      <c r="N344" s="222">
        <f>VLOOKUP(C344,'Talente &amp; Stuff'!IA:JB,12,FALSE)</f>
        <v>0</v>
      </c>
      <c r="O344" s="223">
        <f>VLOOKUP(C344,'Talente &amp; Stuff'!IA:JB,13,FALSE)</f>
        <v>0</v>
      </c>
      <c r="P344" s="224">
        <f>VLOOKUP(C344,'Talente &amp; Stuff'!IA:JB,14,FALSE)</f>
        <v>0</v>
      </c>
      <c r="Q344" s="237">
        <f>VLOOKUP(C344,'Talente &amp; Stuff'!IA:JB,15,FALSE)</f>
        <v>0</v>
      </c>
      <c r="R344" s="254">
        <f>VLOOKUP(C344,'Talente &amp; Stuff'!IA:JB,16,FALSE)</f>
        <v>0</v>
      </c>
      <c r="S344" s="224">
        <f>VLOOKUP(C344,'Talente &amp; Stuff'!IA:JB,17,FALSE)</f>
        <v>0</v>
      </c>
      <c r="T344" s="242">
        <f>VLOOKUP(C344,'Talente &amp; Stuff'!IA:JB,18,FALSE)</f>
        <v>0</v>
      </c>
      <c r="U344" s="222">
        <f>VLOOKUP(C344,'Talente &amp; Stuff'!IA:JB,19,FALSE)</f>
        <v>0</v>
      </c>
      <c r="V344" s="223">
        <f>VLOOKUP(C344,'Talente &amp; Stuff'!IA:JB,20,FALSE)</f>
        <v>0</v>
      </c>
      <c r="W344" s="243">
        <f>VLOOKUP(C344,'Talente &amp; Stuff'!IA:JB,21,FALSE)</f>
        <v>0</v>
      </c>
      <c r="X344" s="218">
        <f>VLOOKUP(C344,'Talente &amp; Stuff'!IA:JB,22,FALSE)</f>
        <v>0</v>
      </c>
      <c r="Y344" s="252">
        <f>VLOOKUP(C344,Ausgewählte_Zauber_Zaubertänzer,255,FALSE)</f>
        <v>0</v>
      </c>
      <c r="Z344" s="309">
        <f>VLOOKUP(C344,Ausgewählte_Zauber_Zaubertänzer,256,FALSE)</f>
        <v>0</v>
      </c>
      <c r="AA344" s="218">
        <f>VLOOKUP(C344,'Talente &amp; Stuff'!IA:JB,25,FALSE)</f>
        <v>0</v>
      </c>
      <c r="AB344" s="242">
        <f>VLOOKUP(C344,'Talente &amp; Stuff'!IA:JB,26,FALSE)</f>
        <v>0</v>
      </c>
      <c r="AC344" s="218">
        <f>VLOOKUP(C344,'Talente &amp; Stuff'!IA:JB,27,FALSE)</f>
        <v>0</v>
      </c>
      <c r="AD344" s="218">
        <f>VLOOKUP(C344,'Talente &amp; Stuff'!IA:JB,28,FALSE)</f>
        <v>0</v>
      </c>
      <c r="AE344" s="343"/>
    </row>
    <row r="345" spans="1:31" s="217" customFormat="1" hidden="1" outlineLevel="2">
      <c r="A345" s="185"/>
      <c r="B345" s="217">
        <v>23</v>
      </c>
      <c r="C345" s="303" t="str">
        <f>Attribute!C345</f>
        <v>---</v>
      </c>
      <c r="D345" s="304" t="str">
        <f>VLOOKUP(C345,'Talente &amp; Stuff'!IA:JB,2,FALSE)</f>
        <v>--/--/--</v>
      </c>
      <c r="E345" s="218" t="str">
        <f>VLOOKUP(C345,'Talente &amp; Stuff'!IA:JB,3,FALSE)</f>
        <v>-</v>
      </c>
      <c r="F345" s="237">
        <f>VLOOKUP(C345,'Talente &amp; Stuff'!IA:JB,4,FALSE)</f>
        <v>0</v>
      </c>
      <c r="G345" s="234">
        <f>VLOOKUP(C345,'Talente &amp; Stuff'!IA:JB,5,FALSE)</f>
        <v>0</v>
      </c>
      <c r="H345" s="234">
        <f>VLOOKUP(C345,'Talente &amp; Stuff'!IA:JB,6,FALSE)</f>
        <v>0</v>
      </c>
      <c r="I345" s="234">
        <f>VLOOKUP(C345,'Talente &amp; Stuff'!IA:JB,7,FALSE)</f>
        <v>0</v>
      </c>
      <c r="J345" s="234">
        <f>VLOOKUP(C345,'Talente &amp; Stuff'!IA:JB,8,FALSE)</f>
        <v>0</v>
      </c>
      <c r="K345" s="234">
        <f>VLOOKUP(C345,'Talente &amp; Stuff'!IA:JB,9,FALSE)</f>
        <v>0</v>
      </c>
      <c r="L345" s="234">
        <f>VLOOKUP(C345,'Talente &amp; Stuff'!IA:JB,10,FALSE)</f>
        <v>0</v>
      </c>
      <c r="M345" s="224">
        <f>VLOOKUP(C345,'Talente &amp; Stuff'!IA:JB,11,FALSE)</f>
        <v>0</v>
      </c>
      <c r="N345" s="222">
        <f>VLOOKUP(C345,'Talente &amp; Stuff'!IA:JB,12,FALSE)</f>
        <v>0</v>
      </c>
      <c r="O345" s="223">
        <f>VLOOKUP(C345,'Talente &amp; Stuff'!IA:JB,13,FALSE)</f>
        <v>0</v>
      </c>
      <c r="P345" s="224">
        <f>VLOOKUP(C345,'Talente &amp; Stuff'!IA:JB,14,FALSE)</f>
        <v>0</v>
      </c>
      <c r="Q345" s="237">
        <f>VLOOKUP(C345,'Talente &amp; Stuff'!IA:JB,15,FALSE)</f>
        <v>0</v>
      </c>
      <c r="R345" s="254">
        <f>VLOOKUP(C345,'Talente &amp; Stuff'!IA:JB,16,FALSE)</f>
        <v>0</v>
      </c>
      <c r="S345" s="224">
        <f>VLOOKUP(C345,'Talente &amp; Stuff'!IA:JB,17,FALSE)</f>
        <v>0</v>
      </c>
      <c r="T345" s="242">
        <f>VLOOKUP(C345,'Talente &amp; Stuff'!IA:JB,18,FALSE)</f>
        <v>0</v>
      </c>
      <c r="U345" s="222">
        <f>VLOOKUP(C345,'Talente &amp; Stuff'!IA:JB,19,FALSE)</f>
        <v>0</v>
      </c>
      <c r="V345" s="223">
        <f>VLOOKUP(C345,'Talente &amp; Stuff'!IA:JB,20,FALSE)</f>
        <v>0</v>
      </c>
      <c r="W345" s="243">
        <f>VLOOKUP(C345,'Talente &amp; Stuff'!IA:JB,21,FALSE)</f>
        <v>0</v>
      </c>
      <c r="X345" s="218">
        <f>VLOOKUP(C345,'Talente &amp; Stuff'!IA:JB,22,FALSE)</f>
        <v>0</v>
      </c>
      <c r="Y345" s="252">
        <f>VLOOKUP(C345,Ausgewählte_Zauber_Zaubertänzer,255,FALSE)</f>
        <v>0</v>
      </c>
      <c r="Z345" s="309">
        <f>VLOOKUP(C345,Ausgewählte_Zauber_Zaubertänzer,256,FALSE)</f>
        <v>0</v>
      </c>
      <c r="AA345" s="218">
        <f>VLOOKUP(C345,'Talente &amp; Stuff'!IA:JB,25,FALSE)</f>
        <v>0</v>
      </c>
      <c r="AB345" s="242">
        <f>VLOOKUP(C345,'Talente &amp; Stuff'!IA:JB,26,FALSE)</f>
        <v>0</v>
      </c>
      <c r="AC345" s="218">
        <f>VLOOKUP(C345,'Talente &amp; Stuff'!IA:JB,27,FALSE)</f>
        <v>0</v>
      </c>
      <c r="AD345" s="218">
        <f>VLOOKUP(C345,'Talente &amp; Stuff'!IA:JB,28,FALSE)</f>
        <v>0</v>
      </c>
      <c r="AE345" s="343"/>
    </row>
    <row r="346" spans="1:31" s="217" customFormat="1" hidden="1" outlineLevel="2">
      <c r="A346" s="185"/>
      <c r="B346" s="217">
        <v>24</v>
      </c>
      <c r="C346" s="303" t="str">
        <f>Attribute!C346</f>
        <v>---</v>
      </c>
      <c r="D346" s="304" t="str">
        <f>VLOOKUP(C346,'Talente &amp; Stuff'!IA:JB,2,FALSE)</f>
        <v>--/--/--</v>
      </c>
      <c r="E346" s="218" t="str">
        <f>VLOOKUP(C346,'Talente &amp; Stuff'!IA:JB,3,FALSE)</f>
        <v>-</v>
      </c>
      <c r="F346" s="237">
        <f>VLOOKUP(C346,'Talente &amp; Stuff'!IA:JB,4,FALSE)</f>
        <v>0</v>
      </c>
      <c r="G346" s="234">
        <f>VLOOKUP(C346,'Talente &amp; Stuff'!IA:JB,5,FALSE)</f>
        <v>0</v>
      </c>
      <c r="H346" s="234">
        <f>VLOOKUP(C346,'Talente &amp; Stuff'!IA:JB,6,FALSE)</f>
        <v>0</v>
      </c>
      <c r="I346" s="234">
        <f>VLOOKUP(C346,'Talente &amp; Stuff'!IA:JB,7,FALSE)</f>
        <v>0</v>
      </c>
      <c r="J346" s="234">
        <f>VLOOKUP(C346,'Talente &amp; Stuff'!IA:JB,8,FALSE)</f>
        <v>0</v>
      </c>
      <c r="K346" s="234">
        <f>VLOOKUP(C346,'Talente &amp; Stuff'!IA:JB,9,FALSE)</f>
        <v>0</v>
      </c>
      <c r="L346" s="234">
        <f>VLOOKUP(C346,'Talente &amp; Stuff'!IA:JB,10,FALSE)</f>
        <v>0</v>
      </c>
      <c r="M346" s="224">
        <f>VLOOKUP(C346,'Talente &amp; Stuff'!IA:JB,11,FALSE)</f>
        <v>0</v>
      </c>
      <c r="N346" s="222">
        <f>VLOOKUP(C346,'Talente &amp; Stuff'!IA:JB,12,FALSE)</f>
        <v>0</v>
      </c>
      <c r="O346" s="223">
        <f>VLOOKUP(C346,'Talente &amp; Stuff'!IA:JB,13,FALSE)</f>
        <v>0</v>
      </c>
      <c r="P346" s="224">
        <f>VLOOKUP(C346,'Talente &amp; Stuff'!IA:JB,14,FALSE)</f>
        <v>0</v>
      </c>
      <c r="Q346" s="237">
        <f>VLOOKUP(C346,'Talente &amp; Stuff'!IA:JB,15,FALSE)</f>
        <v>0</v>
      </c>
      <c r="R346" s="254">
        <f>VLOOKUP(C346,'Talente &amp; Stuff'!IA:JB,16,FALSE)</f>
        <v>0</v>
      </c>
      <c r="S346" s="224">
        <f>VLOOKUP(C346,'Talente &amp; Stuff'!IA:JB,17,FALSE)</f>
        <v>0</v>
      </c>
      <c r="T346" s="242">
        <f>VLOOKUP(C346,'Talente &amp; Stuff'!IA:JB,18,FALSE)</f>
        <v>0</v>
      </c>
      <c r="U346" s="222">
        <f>VLOOKUP(C346,'Talente &amp; Stuff'!IA:JB,19,FALSE)</f>
        <v>0</v>
      </c>
      <c r="V346" s="223">
        <f>VLOOKUP(C346,'Talente &amp; Stuff'!IA:JB,20,FALSE)</f>
        <v>0</v>
      </c>
      <c r="W346" s="243">
        <f>VLOOKUP(C346,'Talente &amp; Stuff'!IA:JB,21,FALSE)</f>
        <v>0</v>
      </c>
      <c r="X346" s="218">
        <f>VLOOKUP(C346,'Talente &amp; Stuff'!IA:JB,22,FALSE)</f>
        <v>0</v>
      </c>
      <c r="Y346" s="252">
        <f>VLOOKUP(C346,Ausgewählte_Zauber_Zaubertänzer,255,FALSE)</f>
        <v>0</v>
      </c>
      <c r="Z346" s="309">
        <f>VLOOKUP(C346,Ausgewählte_Zauber_Zaubertänzer,256,FALSE)</f>
        <v>0</v>
      </c>
      <c r="AA346" s="218">
        <f>VLOOKUP(C346,'Talente &amp; Stuff'!IA:JB,25,FALSE)</f>
        <v>0</v>
      </c>
      <c r="AB346" s="242">
        <f>VLOOKUP(C346,'Talente &amp; Stuff'!IA:JB,26,FALSE)</f>
        <v>0</v>
      </c>
      <c r="AC346" s="218">
        <f>VLOOKUP(C346,'Talente &amp; Stuff'!IA:JB,27,FALSE)</f>
        <v>0</v>
      </c>
      <c r="AD346" s="218">
        <f>VLOOKUP(C346,'Talente &amp; Stuff'!IA:JB,28,FALSE)</f>
        <v>0</v>
      </c>
      <c r="AE346" s="343"/>
    </row>
    <row r="347" spans="1:31" s="217" customFormat="1" hidden="1" outlineLevel="2">
      <c r="A347" s="185"/>
      <c r="B347" s="217">
        <v>25</v>
      </c>
      <c r="C347" s="303" t="str">
        <f>Attribute!C347</f>
        <v>---</v>
      </c>
      <c r="D347" s="304" t="str">
        <f>VLOOKUP(C347,'Talente &amp; Stuff'!IA:JB,2,FALSE)</f>
        <v>--/--/--</v>
      </c>
      <c r="E347" s="218" t="str">
        <f>VLOOKUP(C347,'Talente &amp; Stuff'!IA:JB,3,FALSE)</f>
        <v>-</v>
      </c>
      <c r="F347" s="237">
        <f>VLOOKUP(C347,'Talente &amp; Stuff'!IA:JB,4,FALSE)</f>
        <v>0</v>
      </c>
      <c r="G347" s="234">
        <f>VLOOKUP(C347,'Talente &amp; Stuff'!IA:JB,5,FALSE)</f>
        <v>0</v>
      </c>
      <c r="H347" s="234">
        <f>VLOOKUP(C347,'Talente &amp; Stuff'!IA:JB,6,FALSE)</f>
        <v>0</v>
      </c>
      <c r="I347" s="234">
        <f>VLOOKUP(C347,'Talente &amp; Stuff'!IA:JB,7,FALSE)</f>
        <v>0</v>
      </c>
      <c r="J347" s="234">
        <f>VLOOKUP(C347,'Talente &amp; Stuff'!IA:JB,8,FALSE)</f>
        <v>0</v>
      </c>
      <c r="K347" s="234">
        <f>VLOOKUP(C347,'Talente &amp; Stuff'!IA:JB,9,FALSE)</f>
        <v>0</v>
      </c>
      <c r="L347" s="234">
        <f>VLOOKUP(C347,'Talente &amp; Stuff'!IA:JB,10,FALSE)</f>
        <v>0</v>
      </c>
      <c r="M347" s="224">
        <f>VLOOKUP(C347,'Talente &amp; Stuff'!IA:JB,11,FALSE)</f>
        <v>0</v>
      </c>
      <c r="N347" s="222">
        <f>VLOOKUP(C347,'Talente &amp; Stuff'!IA:JB,12,FALSE)</f>
        <v>0</v>
      </c>
      <c r="O347" s="223">
        <f>VLOOKUP(C347,'Talente &amp; Stuff'!IA:JB,13,FALSE)</f>
        <v>0</v>
      </c>
      <c r="P347" s="224">
        <f>VLOOKUP(C347,'Talente &amp; Stuff'!IA:JB,14,FALSE)</f>
        <v>0</v>
      </c>
      <c r="Q347" s="237">
        <f>VLOOKUP(C347,'Talente &amp; Stuff'!IA:JB,15,FALSE)</f>
        <v>0</v>
      </c>
      <c r="R347" s="254">
        <f>VLOOKUP(C347,'Talente &amp; Stuff'!IA:JB,16,FALSE)</f>
        <v>0</v>
      </c>
      <c r="S347" s="224">
        <f>VLOOKUP(C347,'Talente &amp; Stuff'!IA:JB,17,FALSE)</f>
        <v>0</v>
      </c>
      <c r="T347" s="242">
        <f>VLOOKUP(C347,'Talente &amp; Stuff'!IA:JB,18,FALSE)</f>
        <v>0</v>
      </c>
      <c r="U347" s="222">
        <f>VLOOKUP(C347,'Talente &amp; Stuff'!IA:JB,19,FALSE)</f>
        <v>0</v>
      </c>
      <c r="V347" s="223">
        <f>VLOOKUP(C347,'Talente &amp; Stuff'!IA:JB,20,FALSE)</f>
        <v>0</v>
      </c>
      <c r="W347" s="243">
        <f>VLOOKUP(C347,'Talente &amp; Stuff'!IA:JB,21,FALSE)</f>
        <v>0</v>
      </c>
      <c r="X347" s="218">
        <f>VLOOKUP(C347,'Talente &amp; Stuff'!IA:JB,22,FALSE)</f>
        <v>0</v>
      </c>
      <c r="Y347" s="252">
        <f>VLOOKUP(C347,Ausgewählte_Zauber_Zaubertänzer,255,FALSE)</f>
        <v>0</v>
      </c>
      <c r="Z347" s="309">
        <f>VLOOKUP(C347,Ausgewählte_Zauber_Zaubertänzer,256,FALSE)</f>
        <v>0</v>
      </c>
      <c r="AA347" s="218">
        <f>VLOOKUP(C347,'Talente &amp; Stuff'!IA:JB,25,FALSE)</f>
        <v>0</v>
      </c>
      <c r="AB347" s="242">
        <f>VLOOKUP(C347,'Talente &amp; Stuff'!IA:JB,26,FALSE)</f>
        <v>0</v>
      </c>
      <c r="AC347" s="218">
        <f>VLOOKUP(C347,'Talente &amp; Stuff'!IA:JB,27,FALSE)</f>
        <v>0</v>
      </c>
      <c r="AD347" s="218">
        <f>VLOOKUP(C347,'Talente &amp; Stuff'!IA:JB,28,FALSE)</f>
        <v>0</v>
      </c>
      <c r="AE347" s="343"/>
    </row>
    <row r="348" spans="1:31" s="217" customFormat="1" hidden="1" outlineLevel="2">
      <c r="A348" s="185"/>
      <c r="B348" s="217">
        <v>26</v>
      </c>
      <c r="C348" s="306" t="str">
        <f>Attribute!C348</f>
        <v>---</v>
      </c>
      <c r="D348" s="314" t="str">
        <f>VLOOKUP(C348,'Talente &amp; Stuff'!IA:JB,2,FALSE)</f>
        <v>--/--/--</v>
      </c>
      <c r="E348" s="246" t="str">
        <f>VLOOKUP(C348,'Talente &amp; Stuff'!IA:JB,3,FALSE)</f>
        <v>-</v>
      </c>
      <c r="F348" s="238">
        <f>VLOOKUP(C348,'Talente &amp; Stuff'!IA:JB,4,FALSE)</f>
        <v>0</v>
      </c>
      <c r="G348" s="235">
        <f>VLOOKUP(C348,'Talente &amp; Stuff'!IA:JB,5,FALSE)</f>
        <v>0</v>
      </c>
      <c r="H348" s="235">
        <f>VLOOKUP(C348,'Talente &amp; Stuff'!IA:JB,6,FALSE)</f>
        <v>0</v>
      </c>
      <c r="I348" s="235">
        <f>VLOOKUP(C348,'Talente &amp; Stuff'!IA:JB,7,FALSE)</f>
        <v>0</v>
      </c>
      <c r="J348" s="235">
        <f>VLOOKUP(C348,'Talente &amp; Stuff'!IA:JB,8,FALSE)</f>
        <v>0</v>
      </c>
      <c r="K348" s="235">
        <f>VLOOKUP(C348,'Talente &amp; Stuff'!IA:JB,9,FALSE)</f>
        <v>0</v>
      </c>
      <c r="L348" s="235">
        <f>VLOOKUP(C348,'Talente &amp; Stuff'!IA:JB,10,FALSE)</f>
        <v>0</v>
      </c>
      <c r="M348" s="227">
        <f>VLOOKUP(C348,'Talente &amp; Stuff'!IA:JB,11,FALSE)</f>
        <v>0</v>
      </c>
      <c r="N348" s="225">
        <f>VLOOKUP(C348,'Talente &amp; Stuff'!IA:JB,12,FALSE)</f>
        <v>0</v>
      </c>
      <c r="O348" s="226">
        <f>VLOOKUP(C348,'Talente &amp; Stuff'!IA:JB,13,FALSE)</f>
        <v>0</v>
      </c>
      <c r="P348" s="227">
        <f>VLOOKUP(C348,'Talente &amp; Stuff'!IA:JB,14,FALSE)</f>
        <v>0</v>
      </c>
      <c r="Q348" s="238">
        <f>VLOOKUP(C348,'Talente &amp; Stuff'!IA:JB,15,FALSE)</f>
        <v>0</v>
      </c>
      <c r="R348" s="315">
        <f>VLOOKUP(C348,'Talente &amp; Stuff'!IA:JB,16,FALSE)</f>
        <v>0</v>
      </c>
      <c r="S348" s="227">
        <f>VLOOKUP(C348,'Talente &amp; Stuff'!IA:JB,17,FALSE)</f>
        <v>0</v>
      </c>
      <c r="T348" s="244">
        <f>VLOOKUP(C348,'Talente &amp; Stuff'!IA:JB,18,FALSE)</f>
        <v>0</v>
      </c>
      <c r="U348" s="225">
        <f>VLOOKUP(C348,'Talente &amp; Stuff'!IA:JB,19,FALSE)</f>
        <v>0</v>
      </c>
      <c r="V348" s="226">
        <f>VLOOKUP(C348,'Talente &amp; Stuff'!IA:JB,20,FALSE)</f>
        <v>0</v>
      </c>
      <c r="W348" s="245">
        <f>VLOOKUP(C348,'Talente &amp; Stuff'!IA:JB,21,FALSE)</f>
        <v>0</v>
      </c>
      <c r="X348" s="246">
        <f>VLOOKUP(C348,'Talente &amp; Stuff'!IA:JB,22,FALSE)</f>
        <v>0</v>
      </c>
      <c r="Y348" s="252">
        <f>VLOOKUP(C348,Ausgewählte_Zauber_Zaubertänzer,255,FALSE)</f>
        <v>0</v>
      </c>
      <c r="Z348" s="309">
        <f>VLOOKUP(C348,Ausgewählte_Zauber_Zaubertänzer,256,FALSE)</f>
        <v>0</v>
      </c>
      <c r="AA348" s="246">
        <f>VLOOKUP(C348,'Talente &amp; Stuff'!IA:JB,25,FALSE)</f>
        <v>0</v>
      </c>
      <c r="AB348" s="244">
        <f>VLOOKUP(C348,'Talente &amp; Stuff'!IA:JB,26,FALSE)</f>
        <v>0</v>
      </c>
      <c r="AC348" s="246">
        <f>VLOOKUP(C348,'Talente &amp; Stuff'!IA:JB,27,FALSE)</f>
        <v>0</v>
      </c>
      <c r="AD348" s="246">
        <f>VLOOKUP(C348,'Talente &amp; Stuff'!IA:JB,28,FALSE)</f>
        <v>0</v>
      </c>
      <c r="AE348" s="343"/>
    </row>
    <row r="349" spans="1:31" ht="15.75" hidden="1" customHeight="1" outlineLevel="1" collapsed="1" thickBot="1"/>
    <row r="350" spans="1:31" ht="15.75" collapsed="1" thickBot="1">
      <c r="A350" s="135" t="s">
        <v>311</v>
      </c>
    </row>
    <row r="351" spans="1:31" ht="15" hidden="1" customHeight="1" outlineLevel="1">
      <c r="B351" s="134" t="s">
        <v>327</v>
      </c>
    </row>
    <row r="352" spans="1:31" ht="15" hidden="1" customHeight="1" outlineLevel="2">
      <c r="B352" s="148">
        <v>1</v>
      </c>
      <c r="C352" s="176" t="str">
        <f>Attribute!C352</f>
        <v>---</v>
      </c>
      <c r="D352" s="85" t="str">
        <f>VLOOKUP(C352,'Talente &amp; Stuff'!IA:JB,2,FALSE)</f>
        <v>--/--/--</v>
      </c>
      <c r="E352" s="158" t="str">
        <f>VLOOKUP(C352,'Talente &amp; Stuff'!IA:JB,3,FALSE)</f>
        <v>-</v>
      </c>
      <c r="F352" s="118">
        <f>VLOOKUP(C352,'Talente &amp; Stuff'!IA:JB,4,FALSE)</f>
        <v>0</v>
      </c>
      <c r="G352" s="118">
        <f>VLOOKUP(C352,'Talente &amp; Stuff'!IA:JB,5,FALSE)</f>
        <v>0</v>
      </c>
      <c r="H352" s="118">
        <f>VLOOKUP(C352,'Talente &amp; Stuff'!IA:JB,6,FALSE)</f>
        <v>0</v>
      </c>
      <c r="I352" s="118">
        <f>VLOOKUP(C352,'Talente &amp; Stuff'!IA:JB,7,FALSE)</f>
        <v>0</v>
      </c>
      <c r="J352" s="118">
        <f>VLOOKUP(C352,'Talente &amp; Stuff'!IA:JB,8,FALSE)</f>
        <v>0</v>
      </c>
      <c r="K352" s="118">
        <f>VLOOKUP(C352,'Talente &amp; Stuff'!IA:JB,9,FALSE)</f>
        <v>0</v>
      </c>
      <c r="L352" s="118">
        <f>VLOOKUP(C352,'Talente &amp; Stuff'!IA:JB,10,FALSE)</f>
        <v>0</v>
      </c>
      <c r="M352" s="118">
        <f>VLOOKUP(C352,'Talente &amp; Stuff'!IA:JB,11,FALSE)</f>
        <v>0</v>
      </c>
      <c r="N352" s="193">
        <f>VLOOKUP(C352,'Talente &amp; Stuff'!IA:JB,12,FALSE)</f>
        <v>0</v>
      </c>
      <c r="O352" s="116">
        <f>VLOOKUP(C352,'Talente &amp; Stuff'!IA:JB,13,FALSE)</f>
        <v>0</v>
      </c>
      <c r="P352" s="92">
        <f>VLOOKUP(C352,'Talente &amp; Stuff'!IA:JB,14,FALSE)</f>
        <v>0</v>
      </c>
      <c r="Q352" s="118">
        <f>VLOOKUP(C352,'Talente &amp; Stuff'!IA:JB,15,FALSE)</f>
        <v>0</v>
      </c>
      <c r="R352" s="118">
        <f>VLOOKUP(C352,'Talente &amp; Stuff'!IA:JB,16,FALSE)</f>
        <v>0</v>
      </c>
      <c r="S352" s="118">
        <f>VLOOKUP(C352,'Talente &amp; Stuff'!IA:JB,17,FALSE)</f>
        <v>0</v>
      </c>
      <c r="T352" s="91">
        <f>VLOOKUP(C352,'Talente &amp; Stuff'!IA:JB,18,FALSE)</f>
        <v>0</v>
      </c>
      <c r="U352" s="116">
        <f>VLOOKUP(C352,'Talente &amp; Stuff'!IA:JB,19,FALSE)</f>
        <v>0</v>
      </c>
      <c r="V352" s="116">
        <f>VLOOKUP(C352,'Talente &amp; Stuff'!IA:JB,20,FALSE)</f>
        <v>0</v>
      </c>
      <c r="W352" s="116">
        <f>VLOOKUP(C352,'Talente &amp; Stuff'!IA:JB,21,FALSE)</f>
        <v>0</v>
      </c>
      <c r="X352" s="158">
        <f>VLOOKUP(C352,'Talente &amp; Stuff'!IA:JB,22,FALSE)</f>
        <v>0</v>
      </c>
      <c r="Y352" s="165">
        <f>VLOOKUP(C352,Ausgewählte_Rituale_Allgemein,255,FALSE)</f>
        <v>0</v>
      </c>
      <c r="Z352" s="44">
        <f>VLOOKUP(C352,Ausgewählte_Rituale_Allgemein,256,FALSE)</f>
        <v>0</v>
      </c>
      <c r="AA352" s="158">
        <f>VLOOKUP(C352,'Talente &amp; Stuff'!IA:JB,25,FALSE)</f>
        <v>0</v>
      </c>
      <c r="AB352" s="91">
        <f>VLOOKUP(C352,'Talente &amp; Stuff'!IA:JB,26,FALSE)</f>
        <v>0</v>
      </c>
      <c r="AC352" s="126">
        <f>VLOOKUP(C352,'Talente &amp; Stuff'!IA:JB,27,FALSE)</f>
        <v>0</v>
      </c>
      <c r="AD352" s="158">
        <f>VLOOKUP(C352,'Talente &amp; Stuff'!IA:JB,28,FALSE)</f>
        <v>0</v>
      </c>
      <c r="AE352" s="28"/>
    </row>
    <row r="353" spans="2:31" ht="15" hidden="1" customHeight="1" outlineLevel="2">
      <c r="B353" s="148">
        <v>2</v>
      </c>
      <c r="C353" s="177" t="str">
        <f>Attribute!C353</f>
        <v>---</v>
      </c>
      <c r="D353" s="86" t="str">
        <f>VLOOKUP(C353,'Talente &amp; Stuff'!IA:JB,2,FALSE)</f>
        <v>--/--/--</v>
      </c>
      <c r="E353" s="125" t="str">
        <f>VLOOKUP(C353,'Talente &amp; Stuff'!IA:JB,3,FALSE)</f>
        <v>-</v>
      </c>
      <c r="F353" s="113">
        <f>VLOOKUP(C353,'Talente &amp; Stuff'!IA:JB,4,FALSE)</f>
        <v>0</v>
      </c>
      <c r="G353" s="113">
        <f>VLOOKUP(C353,'Talente &amp; Stuff'!IA:JB,5,FALSE)</f>
        <v>0</v>
      </c>
      <c r="H353" s="113">
        <f>VLOOKUP(C353,'Talente &amp; Stuff'!IA:JB,6,FALSE)</f>
        <v>0</v>
      </c>
      <c r="I353" s="113">
        <f>VLOOKUP(C353,'Talente &amp; Stuff'!IA:JB,7,FALSE)</f>
        <v>0</v>
      </c>
      <c r="J353" s="113">
        <f>VLOOKUP(C353,'Talente &amp; Stuff'!IA:JB,8,FALSE)</f>
        <v>0</v>
      </c>
      <c r="K353" s="113">
        <f>VLOOKUP(C353,'Talente &amp; Stuff'!IA:JB,9,FALSE)</f>
        <v>0</v>
      </c>
      <c r="L353" s="113">
        <f>VLOOKUP(C353,'Talente &amp; Stuff'!IA:JB,10,FALSE)</f>
        <v>0</v>
      </c>
      <c r="M353" s="113">
        <f>VLOOKUP(C353,'Talente &amp; Stuff'!IA:JB,11,FALSE)</f>
        <v>0</v>
      </c>
      <c r="N353" s="89">
        <f>VLOOKUP(C353,'Talente &amp; Stuff'!IA:JB,12,FALSE)</f>
        <v>0</v>
      </c>
      <c r="O353" s="47">
        <f>VLOOKUP(C353,'Talente &amp; Stuff'!IA:JB,13,FALSE)</f>
        <v>0</v>
      </c>
      <c r="P353" s="119">
        <f>VLOOKUP(C353,'Talente &amp; Stuff'!IA:JB,14,FALSE)</f>
        <v>0</v>
      </c>
      <c r="Q353" s="113">
        <f>VLOOKUP(C353,'Talente &amp; Stuff'!IA:JB,15,FALSE)</f>
        <v>0</v>
      </c>
      <c r="R353" s="113">
        <f>VLOOKUP(C353,'Talente &amp; Stuff'!IA:JB,16,FALSE)</f>
        <v>0</v>
      </c>
      <c r="S353" s="113">
        <f>VLOOKUP(C353,'Talente &amp; Stuff'!IA:JB,17,FALSE)</f>
        <v>0</v>
      </c>
      <c r="T353" s="160">
        <f>VLOOKUP(C353,'Talente &amp; Stuff'!IA:JB,18,FALSE)</f>
        <v>0</v>
      </c>
      <c r="U353" s="47">
        <f>VLOOKUP(C353,'Talente &amp; Stuff'!IA:JB,19,FALSE)</f>
        <v>0</v>
      </c>
      <c r="V353" s="47">
        <f>VLOOKUP(C353,'Talente &amp; Stuff'!IA:JB,20,FALSE)</f>
        <v>0</v>
      </c>
      <c r="W353" s="47">
        <f>VLOOKUP(C353,'Talente &amp; Stuff'!IA:JB,21,FALSE)</f>
        <v>0</v>
      </c>
      <c r="X353" s="125">
        <f>VLOOKUP(C353,'Talente &amp; Stuff'!IA:JB,22,FALSE)</f>
        <v>0</v>
      </c>
      <c r="Y353" s="165">
        <f>VLOOKUP(C353,Ausgewählte_Rituale_Allgemein,255,FALSE)</f>
        <v>0</v>
      </c>
      <c r="Z353" s="44">
        <f>VLOOKUP(C353,Ausgewählte_Rituale_Allgemein,256,FALSE)</f>
        <v>0</v>
      </c>
      <c r="AA353" s="125">
        <f>VLOOKUP(C353,'Talente &amp; Stuff'!IA:JB,25,FALSE)</f>
        <v>0</v>
      </c>
      <c r="AB353" s="160">
        <f>VLOOKUP(C353,'Talente &amp; Stuff'!IA:JB,26,FALSE)</f>
        <v>0</v>
      </c>
      <c r="AC353" s="127">
        <f>VLOOKUP(C353,'Talente &amp; Stuff'!IA:JB,27,FALSE)</f>
        <v>0</v>
      </c>
      <c r="AD353" s="125">
        <f>VLOOKUP(C353,'Talente &amp; Stuff'!IA:JB,28,FALSE)</f>
        <v>0</v>
      </c>
      <c r="AE353" s="28"/>
    </row>
    <row r="354" spans="2:31" ht="15" hidden="1" customHeight="1" outlineLevel="2">
      <c r="B354" s="148">
        <v>3</v>
      </c>
      <c r="C354" s="177" t="str">
        <f>Attribute!C354</f>
        <v>---</v>
      </c>
      <c r="D354" s="86" t="str">
        <f>VLOOKUP(C354,'Talente &amp; Stuff'!IA:JB,2,FALSE)</f>
        <v>--/--/--</v>
      </c>
      <c r="E354" s="125" t="str">
        <f>VLOOKUP(C354,'Talente &amp; Stuff'!IA:JB,3,FALSE)</f>
        <v>-</v>
      </c>
      <c r="F354" s="113">
        <f>VLOOKUP(C354,'Talente &amp; Stuff'!IA:JB,4,FALSE)</f>
        <v>0</v>
      </c>
      <c r="G354" s="113">
        <f>VLOOKUP(C354,'Talente &amp; Stuff'!IA:JB,5,FALSE)</f>
        <v>0</v>
      </c>
      <c r="H354" s="113">
        <f>VLOOKUP(C354,'Talente &amp; Stuff'!IA:JB,6,FALSE)</f>
        <v>0</v>
      </c>
      <c r="I354" s="113">
        <f>VLOOKUP(C354,'Talente &amp; Stuff'!IA:JB,7,FALSE)</f>
        <v>0</v>
      </c>
      <c r="J354" s="113">
        <f>VLOOKUP(C354,'Talente &amp; Stuff'!IA:JB,8,FALSE)</f>
        <v>0</v>
      </c>
      <c r="K354" s="113">
        <f>VLOOKUP(C354,'Talente &amp; Stuff'!IA:JB,9,FALSE)</f>
        <v>0</v>
      </c>
      <c r="L354" s="113">
        <f>VLOOKUP(C354,'Talente &amp; Stuff'!IA:JB,10,FALSE)</f>
        <v>0</v>
      </c>
      <c r="M354" s="113">
        <f>VLOOKUP(C354,'Talente &amp; Stuff'!IA:JB,11,FALSE)</f>
        <v>0</v>
      </c>
      <c r="N354" s="89">
        <f>VLOOKUP(C354,'Talente &amp; Stuff'!IA:JB,12,FALSE)</f>
        <v>0</v>
      </c>
      <c r="O354" s="47">
        <f>VLOOKUP(C354,'Talente &amp; Stuff'!IA:JB,13,FALSE)</f>
        <v>0</v>
      </c>
      <c r="P354" s="119">
        <f>VLOOKUP(C354,'Talente &amp; Stuff'!IA:JB,14,FALSE)</f>
        <v>0</v>
      </c>
      <c r="Q354" s="113">
        <f>VLOOKUP(C354,'Talente &amp; Stuff'!IA:JB,15,FALSE)</f>
        <v>0</v>
      </c>
      <c r="R354" s="113">
        <f>VLOOKUP(C354,'Talente &amp; Stuff'!IA:JB,16,FALSE)</f>
        <v>0</v>
      </c>
      <c r="S354" s="113">
        <f>VLOOKUP(C354,'Talente &amp; Stuff'!IA:JB,17,FALSE)</f>
        <v>0</v>
      </c>
      <c r="T354" s="160">
        <f>VLOOKUP(C354,'Talente &amp; Stuff'!IA:JB,18,FALSE)</f>
        <v>0</v>
      </c>
      <c r="U354" s="47">
        <f>VLOOKUP(C354,'Talente &amp; Stuff'!IA:JB,19,FALSE)</f>
        <v>0</v>
      </c>
      <c r="V354" s="47">
        <f>VLOOKUP(C354,'Talente &amp; Stuff'!IA:JB,20,FALSE)</f>
        <v>0</v>
      </c>
      <c r="W354" s="47">
        <f>VLOOKUP(C354,'Talente &amp; Stuff'!IA:JB,21,FALSE)</f>
        <v>0</v>
      </c>
      <c r="X354" s="125">
        <f>VLOOKUP(C354,'Talente &amp; Stuff'!IA:JB,22,FALSE)</f>
        <v>0</v>
      </c>
      <c r="Y354" s="165">
        <f>VLOOKUP(C354,Ausgewählte_Rituale_Allgemein,255,FALSE)</f>
        <v>0</v>
      </c>
      <c r="Z354" s="44">
        <f>VLOOKUP(C354,Ausgewählte_Rituale_Allgemein,256,FALSE)</f>
        <v>0</v>
      </c>
      <c r="AA354" s="125">
        <f>VLOOKUP(C354,'Talente &amp; Stuff'!IA:JB,25,FALSE)</f>
        <v>0</v>
      </c>
      <c r="AB354" s="160">
        <f>VLOOKUP(C354,'Talente &amp; Stuff'!IA:JB,26,FALSE)</f>
        <v>0</v>
      </c>
      <c r="AC354" s="127">
        <f>VLOOKUP(C354,'Talente &amp; Stuff'!IA:JB,27,FALSE)</f>
        <v>0</v>
      </c>
      <c r="AD354" s="125">
        <f>VLOOKUP(C354,'Talente &amp; Stuff'!IA:JB,28,FALSE)</f>
        <v>0</v>
      </c>
      <c r="AE354" s="28"/>
    </row>
    <row r="355" spans="2:31" ht="15" hidden="1" customHeight="1" outlineLevel="2">
      <c r="B355" s="148">
        <v>4</v>
      </c>
      <c r="C355" s="178" t="str">
        <f>Attribute!C355</f>
        <v>---</v>
      </c>
      <c r="D355" s="23" t="str">
        <f>VLOOKUP(C355,'Talente &amp; Stuff'!IA:JB,2,FALSE)</f>
        <v>--/--/--</v>
      </c>
      <c r="E355" s="159" t="str">
        <f>VLOOKUP(C355,'Talente &amp; Stuff'!IA:JB,3,FALSE)</f>
        <v>-</v>
      </c>
      <c r="F355" s="122">
        <f>VLOOKUP(C355,'Talente &amp; Stuff'!IA:JB,4,FALSE)</f>
        <v>0</v>
      </c>
      <c r="G355" s="122">
        <f>VLOOKUP(C355,'Talente &amp; Stuff'!IA:JB,5,FALSE)</f>
        <v>0</v>
      </c>
      <c r="H355" s="122">
        <f>VLOOKUP(C355,'Talente &amp; Stuff'!IA:JB,6,FALSE)</f>
        <v>0</v>
      </c>
      <c r="I355" s="122">
        <f>VLOOKUP(C355,'Talente &amp; Stuff'!IA:JB,7,FALSE)</f>
        <v>0</v>
      </c>
      <c r="J355" s="122">
        <f>VLOOKUP(C355,'Talente &amp; Stuff'!IA:JB,8,FALSE)</f>
        <v>0</v>
      </c>
      <c r="K355" s="122">
        <f>VLOOKUP(C355,'Talente &amp; Stuff'!IA:JB,9,FALSE)</f>
        <v>0</v>
      </c>
      <c r="L355" s="122">
        <f>VLOOKUP(C355,'Talente &amp; Stuff'!IA:JB,10,FALSE)</f>
        <v>0</v>
      </c>
      <c r="M355" s="122">
        <f>VLOOKUP(C355,'Talente &amp; Stuff'!IA:JB,11,FALSE)</f>
        <v>0</v>
      </c>
      <c r="N355" s="90">
        <f>VLOOKUP(C355,'Talente &amp; Stuff'!IA:JB,12,FALSE)</f>
        <v>0</v>
      </c>
      <c r="O355" s="88">
        <f>VLOOKUP(C355,'Talente &amp; Stuff'!IA:JB,13,FALSE)</f>
        <v>0</v>
      </c>
      <c r="P355" s="123">
        <f>VLOOKUP(C355,'Talente &amp; Stuff'!IA:JB,14,FALSE)</f>
        <v>0</v>
      </c>
      <c r="Q355" s="122">
        <f>VLOOKUP(C355,'Talente &amp; Stuff'!IA:JB,15,FALSE)</f>
        <v>0</v>
      </c>
      <c r="R355" s="122">
        <f>VLOOKUP(C355,'Talente &amp; Stuff'!IA:JB,16,FALSE)</f>
        <v>0</v>
      </c>
      <c r="S355" s="122">
        <f>VLOOKUP(C355,'Talente &amp; Stuff'!IA:JB,17,FALSE)</f>
        <v>0</v>
      </c>
      <c r="T355" s="161">
        <f>VLOOKUP(C355,'Talente &amp; Stuff'!IA:JB,18,FALSE)</f>
        <v>0</v>
      </c>
      <c r="U355" s="88">
        <f>VLOOKUP(C355,'Talente &amp; Stuff'!IA:JB,19,FALSE)</f>
        <v>0</v>
      </c>
      <c r="V355" s="88">
        <f>VLOOKUP(C355,'Talente &amp; Stuff'!IA:JB,20,FALSE)</f>
        <v>0</v>
      </c>
      <c r="W355" s="88">
        <f>VLOOKUP(C355,'Talente &amp; Stuff'!IA:JB,21,FALSE)</f>
        <v>0</v>
      </c>
      <c r="X355" s="159">
        <f>VLOOKUP(C355,'Talente &amp; Stuff'!IA:JB,22,FALSE)</f>
        <v>0</v>
      </c>
      <c r="Y355" s="165">
        <f>VLOOKUP(C355,Ausgewählte_Rituale_Allgemein,255,FALSE)</f>
        <v>0</v>
      </c>
      <c r="Z355" s="44">
        <f>VLOOKUP(C355,Ausgewählte_Rituale_Allgemein,256,FALSE)</f>
        <v>0</v>
      </c>
      <c r="AA355" s="159">
        <f>VLOOKUP(C355,'Talente &amp; Stuff'!IA:JB,25,FALSE)</f>
        <v>0</v>
      </c>
      <c r="AB355" s="161">
        <f>VLOOKUP(C355,'Talente &amp; Stuff'!IA:JB,26,FALSE)</f>
        <v>0</v>
      </c>
      <c r="AC355" s="128">
        <f>VLOOKUP(C355,'Talente &amp; Stuff'!IA:JB,27,FALSE)</f>
        <v>0</v>
      </c>
      <c r="AD355" s="159">
        <f>VLOOKUP(C355,'Talente &amp; Stuff'!IA:JB,28,FALSE)</f>
        <v>0</v>
      </c>
      <c r="AE355" s="28"/>
    </row>
    <row r="356" spans="2:31" ht="15" hidden="1" customHeight="1" outlineLevel="1" collapsed="1">
      <c r="B356" s="134" t="s">
        <v>331</v>
      </c>
      <c r="C356" s="83"/>
      <c r="D356" s="84"/>
      <c r="E356" s="84"/>
    </row>
    <row r="357" spans="2:31" ht="15" hidden="1" customHeight="1" outlineLevel="2">
      <c r="B357" s="148">
        <v>1</v>
      </c>
      <c r="C357" s="176" t="str">
        <f>Attribute!C357</f>
        <v>---</v>
      </c>
      <c r="D357" s="85" t="str">
        <f>VLOOKUP(C357,'Talente &amp; Stuff'!IA:JB,2,FALSE)</f>
        <v>--/--/--</v>
      </c>
      <c r="E357" s="158" t="str">
        <f>VLOOKUP(C357,'Talente &amp; Stuff'!IA:JB,3,FALSE)</f>
        <v>-</v>
      </c>
      <c r="F357" s="118">
        <f>VLOOKUP(C357,'Talente &amp; Stuff'!IA:JB,4,FALSE)</f>
        <v>0</v>
      </c>
      <c r="G357" s="118">
        <f>VLOOKUP(C357,'Talente &amp; Stuff'!IA:JB,5,FALSE)</f>
        <v>0</v>
      </c>
      <c r="H357" s="118">
        <f>VLOOKUP(C357,'Talente &amp; Stuff'!IA:JB,6,FALSE)</f>
        <v>0</v>
      </c>
      <c r="I357" s="118">
        <f>VLOOKUP(C357,'Talente &amp; Stuff'!IA:JB,7,FALSE)</f>
        <v>0</v>
      </c>
      <c r="J357" s="118">
        <f>VLOOKUP(C357,'Talente &amp; Stuff'!IA:JB,8,FALSE)</f>
        <v>0</v>
      </c>
      <c r="K357" s="118">
        <f>VLOOKUP(C357,'Talente &amp; Stuff'!IA:JB,9,FALSE)</f>
        <v>0</v>
      </c>
      <c r="L357" s="118">
        <f>VLOOKUP(C357,'Talente &amp; Stuff'!IA:JB,10,FALSE)</f>
        <v>0</v>
      </c>
      <c r="M357" s="118">
        <f>VLOOKUP(C357,'Talente &amp; Stuff'!IA:JB,11,FALSE)</f>
        <v>0</v>
      </c>
      <c r="N357" s="193">
        <f>VLOOKUP(C357,'Talente &amp; Stuff'!IA:JB,12,FALSE)</f>
        <v>0</v>
      </c>
      <c r="O357" s="116">
        <f>VLOOKUP(C357,'Talente &amp; Stuff'!IA:JB,13,FALSE)</f>
        <v>0</v>
      </c>
      <c r="P357" s="92">
        <f>VLOOKUP(C357,'Talente &amp; Stuff'!IA:JB,14,FALSE)</f>
        <v>0</v>
      </c>
      <c r="Q357" s="118">
        <f>VLOOKUP(C357,'Talente &amp; Stuff'!IA:JB,15,FALSE)</f>
        <v>0</v>
      </c>
      <c r="R357" s="118">
        <f>VLOOKUP(C357,'Talente &amp; Stuff'!IA:JB,16,FALSE)</f>
        <v>0</v>
      </c>
      <c r="S357" s="118">
        <f>VLOOKUP(C357,'Talente &amp; Stuff'!IA:JB,17,FALSE)</f>
        <v>0</v>
      </c>
      <c r="T357" s="91">
        <f>VLOOKUP(C357,'Talente &amp; Stuff'!IA:JB,18,FALSE)</f>
        <v>0</v>
      </c>
      <c r="U357" s="116">
        <f>VLOOKUP(C357,'Talente &amp; Stuff'!IA:JB,19,FALSE)</f>
        <v>0</v>
      </c>
      <c r="V357" s="116">
        <f>VLOOKUP(C357,'Talente &amp; Stuff'!IA:JB,20,FALSE)</f>
        <v>0</v>
      </c>
      <c r="W357" s="116">
        <f>VLOOKUP(C357,'Talente &amp; Stuff'!IA:JB,21,FALSE)</f>
        <v>0</v>
      </c>
      <c r="X357" s="158">
        <f>VLOOKUP(C357,'Talente &amp; Stuff'!IA:JB,22,FALSE)</f>
        <v>0</v>
      </c>
      <c r="Y357" s="165">
        <f t="shared" ref="Y357:Y365" si="24">VLOOKUP(C357,Ausgewählte_Rituale_Druiden,255,FALSE)</f>
        <v>0</v>
      </c>
      <c r="Z357" s="44">
        <f t="shared" ref="Z357:Z365" si="25">VLOOKUP(C357,Ausgewählte_Rituale_Druiden,256,FALSE)</f>
        <v>0</v>
      </c>
      <c r="AA357" s="158">
        <f>VLOOKUP(C357,'Talente &amp; Stuff'!IA:JB,25,FALSE)</f>
        <v>0</v>
      </c>
      <c r="AB357" s="91">
        <f>VLOOKUP(C357,'Talente &amp; Stuff'!IA:JB,26,FALSE)</f>
        <v>0</v>
      </c>
      <c r="AC357" s="126">
        <f>VLOOKUP(C357,'Talente &amp; Stuff'!IA:JB,27,FALSE)</f>
        <v>0</v>
      </c>
      <c r="AD357" s="158">
        <f>VLOOKUP(C357,'Talente &amp; Stuff'!IA:JB,28,FALSE)</f>
        <v>0</v>
      </c>
      <c r="AE357" s="28"/>
    </row>
    <row r="358" spans="2:31" ht="15" hidden="1" customHeight="1" outlineLevel="2">
      <c r="B358" s="148">
        <v>2</v>
      </c>
      <c r="C358" s="177" t="str">
        <f>Attribute!C358</f>
        <v>---</v>
      </c>
      <c r="D358" s="86" t="str">
        <f>VLOOKUP(C358,'Talente &amp; Stuff'!IA:JB,2,FALSE)</f>
        <v>--/--/--</v>
      </c>
      <c r="E358" s="125" t="str">
        <f>VLOOKUP(C358,'Talente &amp; Stuff'!IA:JB,3,FALSE)</f>
        <v>-</v>
      </c>
      <c r="F358" s="113">
        <f>VLOOKUP(C358,'Talente &amp; Stuff'!IA:JB,4,FALSE)</f>
        <v>0</v>
      </c>
      <c r="G358" s="113">
        <f>VLOOKUP(C358,'Talente &amp; Stuff'!IA:JB,5,FALSE)</f>
        <v>0</v>
      </c>
      <c r="H358" s="113">
        <f>VLOOKUP(C358,'Talente &amp; Stuff'!IA:JB,6,FALSE)</f>
        <v>0</v>
      </c>
      <c r="I358" s="113">
        <f>VLOOKUP(C358,'Talente &amp; Stuff'!IA:JB,7,FALSE)</f>
        <v>0</v>
      </c>
      <c r="J358" s="113">
        <f>VLOOKUP(C358,'Talente &amp; Stuff'!IA:JB,8,FALSE)</f>
        <v>0</v>
      </c>
      <c r="K358" s="113">
        <f>VLOOKUP(C358,'Talente &amp; Stuff'!IA:JB,9,FALSE)</f>
        <v>0</v>
      </c>
      <c r="L358" s="113">
        <f>VLOOKUP(C358,'Talente &amp; Stuff'!IA:JB,10,FALSE)</f>
        <v>0</v>
      </c>
      <c r="M358" s="113">
        <f>VLOOKUP(C358,'Talente &amp; Stuff'!IA:JB,11,FALSE)</f>
        <v>0</v>
      </c>
      <c r="N358" s="89">
        <f>VLOOKUP(C358,'Talente &amp; Stuff'!IA:JB,12,FALSE)</f>
        <v>0</v>
      </c>
      <c r="O358" s="47">
        <f>VLOOKUP(C358,'Talente &amp; Stuff'!IA:JB,13,FALSE)</f>
        <v>0</v>
      </c>
      <c r="P358" s="119">
        <f>VLOOKUP(C358,'Talente &amp; Stuff'!IA:JB,14,FALSE)</f>
        <v>0</v>
      </c>
      <c r="Q358" s="113">
        <f>VLOOKUP(C358,'Talente &amp; Stuff'!IA:JB,15,FALSE)</f>
        <v>0</v>
      </c>
      <c r="R358" s="113">
        <f>VLOOKUP(C358,'Talente &amp; Stuff'!IA:JB,16,FALSE)</f>
        <v>0</v>
      </c>
      <c r="S358" s="113">
        <f>VLOOKUP(C358,'Talente &amp; Stuff'!IA:JB,17,FALSE)</f>
        <v>0</v>
      </c>
      <c r="T358" s="160">
        <f>VLOOKUP(C358,'Talente &amp; Stuff'!IA:JB,18,FALSE)</f>
        <v>0</v>
      </c>
      <c r="U358" s="47">
        <f>VLOOKUP(C358,'Talente &amp; Stuff'!IA:JB,19,FALSE)</f>
        <v>0</v>
      </c>
      <c r="V358" s="47">
        <f>VLOOKUP(C358,'Talente &amp; Stuff'!IA:JB,20,FALSE)</f>
        <v>0</v>
      </c>
      <c r="W358" s="47">
        <f>VLOOKUP(C358,'Talente &amp; Stuff'!IA:JB,21,FALSE)</f>
        <v>0</v>
      </c>
      <c r="X358" s="125">
        <f>VLOOKUP(C358,'Talente &amp; Stuff'!IA:JB,22,FALSE)</f>
        <v>0</v>
      </c>
      <c r="Y358" s="165">
        <f t="shared" si="24"/>
        <v>0</v>
      </c>
      <c r="Z358" s="44">
        <f t="shared" si="25"/>
        <v>0</v>
      </c>
      <c r="AA358" s="125">
        <f>VLOOKUP(C358,'Talente &amp; Stuff'!IA:JB,25,FALSE)</f>
        <v>0</v>
      </c>
      <c r="AB358" s="160">
        <f>VLOOKUP(C358,'Talente &amp; Stuff'!IA:JB,26,FALSE)</f>
        <v>0</v>
      </c>
      <c r="AC358" s="127">
        <f>VLOOKUP(C358,'Talente &amp; Stuff'!IA:JB,27,FALSE)</f>
        <v>0</v>
      </c>
      <c r="AD358" s="125">
        <f>VLOOKUP(C358,'Talente &amp; Stuff'!IA:JB,28,FALSE)</f>
        <v>0</v>
      </c>
      <c r="AE358" s="28"/>
    </row>
    <row r="359" spans="2:31" ht="15" hidden="1" customHeight="1" outlineLevel="2">
      <c r="B359" s="148">
        <v>3</v>
      </c>
      <c r="C359" s="177" t="str">
        <f>Attribute!C359</f>
        <v>---</v>
      </c>
      <c r="D359" s="86" t="str">
        <f>VLOOKUP(C359,'Talente &amp; Stuff'!IA:JB,2,FALSE)</f>
        <v>--/--/--</v>
      </c>
      <c r="E359" s="125" t="str">
        <f>VLOOKUP(C359,'Talente &amp; Stuff'!IA:JB,3,FALSE)</f>
        <v>-</v>
      </c>
      <c r="F359" s="113">
        <f>VLOOKUP(C359,'Talente &amp; Stuff'!IA:JB,4,FALSE)</f>
        <v>0</v>
      </c>
      <c r="G359" s="113">
        <f>VLOOKUP(C359,'Talente &amp; Stuff'!IA:JB,5,FALSE)</f>
        <v>0</v>
      </c>
      <c r="H359" s="113">
        <f>VLOOKUP(C359,'Talente &amp; Stuff'!IA:JB,6,FALSE)</f>
        <v>0</v>
      </c>
      <c r="I359" s="113">
        <f>VLOOKUP(C359,'Talente &amp; Stuff'!IA:JB,7,FALSE)</f>
        <v>0</v>
      </c>
      <c r="J359" s="113">
        <f>VLOOKUP(C359,'Talente &amp; Stuff'!IA:JB,8,FALSE)</f>
        <v>0</v>
      </c>
      <c r="K359" s="113">
        <f>VLOOKUP(C359,'Talente &amp; Stuff'!IA:JB,9,FALSE)</f>
        <v>0</v>
      </c>
      <c r="L359" s="113">
        <f>VLOOKUP(C359,'Talente &amp; Stuff'!IA:JB,10,FALSE)</f>
        <v>0</v>
      </c>
      <c r="M359" s="113">
        <f>VLOOKUP(C359,'Talente &amp; Stuff'!IA:JB,11,FALSE)</f>
        <v>0</v>
      </c>
      <c r="N359" s="89">
        <f>VLOOKUP(C359,'Talente &amp; Stuff'!IA:JB,12,FALSE)</f>
        <v>0</v>
      </c>
      <c r="O359" s="47">
        <f>VLOOKUP(C359,'Talente &amp; Stuff'!IA:JB,13,FALSE)</f>
        <v>0</v>
      </c>
      <c r="P359" s="119">
        <f>VLOOKUP(C359,'Talente &amp; Stuff'!IA:JB,14,FALSE)</f>
        <v>0</v>
      </c>
      <c r="Q359" s="113">
        <f>VLOOKUP(C359,'Talente &amp; Stuff'!IA:JB,15,FALSE)</f>
        <v>0</v>
      </c>
      <c r="R359" s="113">
        <f>VLOOKUP(C359,'Talente &amp; Stuff'!IA:JB,16,FALSE)</f>
        <v>0</v>
      </c>
      <c r="S359" s="113">
        <f>VLOOKUP(C359,'Talente &amp; Stuff'!IA:JB,17,FALSE)</f>
        <v>0</v>
      </c>
      <c r="T359" s="160">
        <f>VLOOKUP(C359,'Talente &amp; Stuff'!IA:JB,18,FALSE)</f>
        <v>0</v>
      </c>
      <c r="U359" s="47">
        <f>VLOOKUP(C359,'Talente &amp; Stuff'!IA:JB,19,FALSE)</f>
        <v>0</v>
      </c>
      <c r="V359" s="47">
        <f>VLOOKUP(C359,'Talente &amp; Stuff'!IA:JB,20,FALSE)</f>
        <v>0</v>
      </c>
      <c r="W359" s="47">
        <f>VLOOKUP(C359,'Talente &amp; Stuff'!IA:JB,21,FALSE)</f>
        <v>0</v>
      </c>
      <c r="X359" s="125">
        <f>VLOOKUP(C359,'Talente &amp; Stuff'!IA:JB,22,FALSE)</f>
        <v>0</v>
      </c>
      <c r="Y359" s="165">
        <f t="shared" si="24"/>
        <v>0</v>
      </c>
      <c r="Z359" s="44">
        <f t="shared" si="25"/>
        <v>0</v>
      </c>
      <c r="AA359" s="125">
        <f>VLOOKUP(C359,'Talente &amp; Stuff'!IA:JB,25,FALSE)</f>
        <v>0</v>
      </c>
      <c r="AB359" s="160">
        <f>VLOOKUP(C359,'Talente &amp; Stuff'!IA:JB,26,FALSE)</f>
        <v>0</v>
      </c>
      <c r="AC359" s="127">
        <f>VLOOKUP(C359,'Talente &amp; Stuff'!IA:JB,27,FALSE)</f>
        <v>0</v>
      </c>
      <c r="AD359" s="125">
        <f>VLOOKUP(C359,'Talente &amp; Stuff'!IA:JB,28,FALSE)</f>
        <v>0</v>
      </c>
      <c r="AE359" s="28"/>
    </row>
    <row r="360" spans="2:31" ht="15" hidden="1" customHeight="1" outlineLevel="2">
      <c r="B360" s="148">
        <v>4</v>
      </c>
      <c r="C360" s="177" t="str">
        <f>Attribute!C360</f>
        <v>---</v>
      </c>
      <c r="D360" s="86" t="str">
        <f>VLOOKUP(C360,'Talente &amp; Stuff'!IA:JB,2,FALSE)</f>
        <v>--/--/--</v>
      </c>
      <c r="E360" s="125" t="str">
        <f>VLOOKUP(C360,'Talente &amp; Stuff'!IA:JB,3,FALSE)</f>
        <v>-</v>
      </c>
      <c r="F360" s="113">
        <f>VLOOKUP(C360,'Talente &amp; Stuff'!IA:JB,4,FALSE)</f>
        <v>0</v>
      </c>
      <c r="G360" s="113">
        <f>VLOOKUP(C360,'Talente &amp; Stuff'!IA:JB,5,FALSE)</f>
        <v>0</v>
      </c>
      <c r="H360" s="113">
        <f>VLOOKUP(C360,'Talente &amp; Stuff'!IA:JB,6,FALSE)</f>
        <v>0</v>
      </c>
      <c r="I360" s="113">
        <f>VLOOKUP(C360,'Talente &amp; Stuff'!IA:JB,7,FALSE)</f>
        <v>0</v>
      </c>
      <c r="J360" s="113">
        <f>VLOOKUP(C360,'Talente &amp; Stuff'!IA:JB,8,FALSE)</f>
        <v>0</v>
      </c>
      <c r="K360" s="113">
        <f>VLOOKUP(C360,'Talente &amp; Stuff'!IA:JB,9,FALSE)</f>
        <v>0</v>
      </c>
      <c r="L360" s="113">
        <f>VLOOKUP(C360,'Talente &amp; Stuff'!IA:JB,10,FALSE)</f>
        <v>0</v>
      </c>
      <c r="M360" s="113">
        <f>VLOOKUP(C360,'Talente &amp; Stuff'!IA:JB,11,FALSE)</f>
        <v>0</v>
      </c>
      <c r="N360" s="89">
        <f>VLOOKUP(C360,'Talente &amp; Stuff'!IA:JB,12,FALSE)</f>
        <v>0</v>
      </c>
      <c r="O360" s="47">
        <f>VLOOKUP(C360,'Talente &amp; Stuff'!IA:JB,13,FALSE)</f>
        <v>0</v>
      </c>
      <c r="P360" s="119">
        <f>VLOOKUP(C360,'Talente &amp; Stuff'!IA:JB,14,FALSE)</f>
        <v>0</v>
      </c>
      <c r="Q360" s="113">
        <f>VLOOKUP(C360,'Talente &amp; Stuff'!IA:JB,15,FALSE)</f>
        <v>0</v>
      </c>
      <c r="R360" s="113">
        <f>VLOOKUP(C360,'Talente &amp; Stuff'!IA:JB,16,FALSE)</f>
        <v>0</v>
      </c>
      <c r="S360" s="113">
        <f>VLOOKUP(C360,'Talente &amp; Stuff'!IA:JB,17,FALSE)</f>
        <v>0</v>
      </c>
      <c r="T360" s="160">
        <f>VLOOKUP(C360,'Talente &amp; Stuff'!IA:JB,18,FALSE)</f>
        <v>0</v>
      </c>
      <c r="U360" s="47">
        <f>VLOOKUP(C360,'Talente &amp; Stuff'!IA:JB,19,FALSE)</f>
        <v>0</v>
      </c>
      <c r="V360" s="47">
        <f>VLOOKUP(C360,'Talente &amp; Stuff'!IA:JB,20,FALSE)</f>
        <v>0</v>
      </c>
      <c r="W360" s="47">
        <f>VLOOKUP(C360,'Talente &amp; Stuff'!IA:JB,21,FALSE)</f>
        <v>0</v>
      </c>
      <c r="X360" s="125">
        <f>VLOOKUP(C360,'Talente &amp; Stuff'!IA:JB,22,FALSE)</f>
        <v>0</v>
      </c>
      <c r="Y360" s="165">
        <f t="shared" si="24"/>
        <v>0</v>
      </c>
      <c r="Z360" s="44">
        <f t="shared" si="25"/>
        <v>0</v>
      </c>
      <c r="AA360" s="125">
        <f>VLOOKUP(C360,'Talente &amp; Stuff'!IA:JB,25,FALSE)</f>
        <v>0</v>
      </c>
      <c r="AB360" s="160">
        <f>VLOOKUP(C360,'Talente &amp; Stuff'!IA:JB,26,FALSE)</f>
        <v>0</v>
      </c>
      <c r="AC360" s="127">
        <f>VLOOKUP(C360,'Talente &amp; Stuff'!IA:JB,27,FALSE)</f>
        <v>0</v>
      </c>
      <c r="AD360" s="125">
        <f>VLOOKUP(C360,'Talente &amp; Stuff'!IA:JB,28,FALSE)</f>
        <v>0</v>
      </c>
      <c r="AE360" s="28"/>
    </row>
    <row r="361" spans="2:31" ht="15" hidden="1" customHeight="1" outlineLevel="2">
      <c r="B361" s="148">
        <v>5</v>
      </c>
      <c r="C361" s="177" t="str">
        <f>Attribute!C361</f>
        <v>---</v>
      </c>
      <c r="D361" s="86" t="str">
        <f>VLOOKUP(C361,'Talente &amp; Stuff'!IA:JB,2,FALSE)</f>
        <v>--/--/--</v>
      </c>
      <c r="E361" s="125" t="str">
        <f>VLOOKUP(C361,'Talente &amp; Stuff'!IA:JB,3,FALSE)</f>
        <v>-</v>
      </c>
      <c r="F361" s="113">
        <f>VLOOKUP(C361,'Talente &amp; Stuff'!IA:JB,4,FALSE)</f>
        <v>0</v>
      </c>
      <c r="G361" s="113">
        <f>VLOOKUP(C361,'Talente &amp; Stuff'!IA:JB,5,FALSE)</f>
        <v>0</v>
      </c>
      <c r="H361" s="113">
        <f>VLOOKUP(C361,'Talente &amp; Stuff'!IA:JB,6,FALSE)</f>
        <v>0</v>
      </c>
      <c r="I361" s="113">
        <f>VLOOKUP(C361,'Talente &amp; Stuff'!IA:JB,7,FALSE)</f>
        <v>0</v>
      </c>
      <c r="J361" s="113">
        <f>VLOOKUP(C361,'Talente &amp; Stuff'!IA:JB,8,FALSE)</f>
        <v>0</v>
      </c>
      <c r="K361" s="113">
        <f>VLOOKUP(C361,'Talente &amp; Stuff'!IA:JB,9,FALSE)</f>
        <v>0</v>
      </c>
      <c r="L361" s="113">
        <f>VLOOKUP(C361,'Talente &amp; Stuff'!IA:JB,10,FALSE)</f>
        <v>0</v>
      </c>
      <c r="M361" s="113">
        <f>VLOOKUP(C361,'Talente &amp; Stuff'!IA:JB,11,FALSE)</f>
        <v>0</v>
      </c>
      <c r="N361" s="89">
        <f>VLOOKUP(C361,'Talente &amp; Stuff'!IA:JB,12,FALSE)</f>
        <v>0</v>
      </c>
      <c r="O361" s="47">
        <f>VLOOKUP(C361,'Talente &amp; Stuff'!IA:JB,13,FALSE)</f>
        <v>0</v>
      </c>
      <c r="P361" s="119">
        <f>VLOOKUP(C361,'Talente &amp; Stuff'!IA:JB,14,FALSE)</f>
        <v>0</v>
      </c>
      <c r="Q361" s="113">
        <f>VLOOKUP(C361,'Talente &amp; Stuff'!IA:JB,15,FALSE)</f>
        <v>0</v>
      </c>
      <c r="R361" s="113">
        <f>VLOOKUP(C361,'Talente &amp; Stuff'!IA:JB,16,FALSE)</f>
        <v>0</v>
      </c>
      <c r="S361" s="113">
        <f>VLOOKUP(C361,'Talente &amp; Stuff'!IA:JB,17,FALSE)</f>
        <v>0</v>
      </c>
      <c r="T361" s="160">
        <f>VLOOKUP(C361,'Talente &amp; Stuff'!IA:JB,18,FALSE)</f>
        <v>0</v>
      </c>
      <c r="U361" s="47">
        <f>VLOOKUP(C361,'Talente &amp; Stuff'!IA:JB,19,FALSE)</f>
        <v>0</v>
      </c>
      <c r="V361" s="47">
        <f>VLOOKUP(C361,'Talente &amp; Stuff'!IA:JB,20,FALSE)</f>
        <v>0</v>
      </c>
      <c r="W361" s="47">
        <f>VLOOKUP(C361,'Talente &amp; Stuff'!IA:JB,21,FALSE)</f>
        <v>0</v>
      </c>
      <c r="X361" s="125">
        <f>VLOOKUP(C361,'Talente &amp; Stuff'!IA:JB,22,FALSE)</f>
        <v>0</v>
      </c>
      <c r="Y361" s="165">
        <f t="shared" si="24"/>
        <v>0</v>
      </c>
      <c r="Z361" s="44">
        <f t="shared" si="25"/>
        <v>0</v>
      </c>
      <c r="AA361" s="125">
        <f>VLOOKUP(C361,'Talente &amp; Stuff'!IA:JB,25,FALSE)</f>
        <v>0</v>
      </c>
      <c r="AB361" s="160">
        <f>VLOOKUP(C361,'Talente &amp; Stuff'!IA:JB,26,FALSE)</f>
        <v>0</v>
      </c>
      <c r="AC361" s="127">
        <f>VLOOKUP(C361,'Talente &amp; Stuff'!IA:JB,27,FALSE)</f>
        <v>0</v>
      </c>
      <c r="AD361" s="125">
        <f>VLOOKUP(C361,'Talente &amp; Stuff'!IA:JB,28,FALSE)</f>
        <v>0</v>
      </c>
      <c r="AE361" s="28"/>
    </row>
    <row r="362" spans="2:31" ht="15" hidden="1" customHeight="1" outlineLevel="2">
      <c r="B362" s="148">
        <v>6</v>
      </c>
      <c r="C362" s="177" t="str">
        <f>Attribute!C362</f>
        <v>---</v>
      </c>
      <c r="D362" s="86" t="str">
        <f>VLOOKUP(C362,'Talente &amp; Stuff'!IA:JB,2,FALSE)</f>
        <v>--/--/--</v>
      </c>
      <c r="E362" s="125" t="str">
        <f>VLOOKUP(C362,'Talente &amp; Stuff'!IA:JB,3,FALSE)</f>
        <v>-</v>
      </c>
      <c r="F362" s="113">
        <f>VLOOKUP(C362,'Talente &amp; Stuff'!IA:JB,4,FALSE)</f>
        <v>0</v>
      </c>
      <c r="G362" s="113">
        <f>VLOOKUP(C362,'Talente &amp; Stuff'!IA:JB,5,FALSE)</f>
        <v>0</v>
      </c>
      <c r="H362" s="113">
        <f>VLOOKUP(C362,'Talente &amp; Stuff'!IA:JB,6,FALSE)</f>
        <v>0</v>
      </c>
      <c r="I362" s="113">
        <f>VLOOKUP(C362,'Talente &amp; Stuff'!IA:JB,7,FALSE)</f>
        <v>0</v>
      </c>
      <c r="J362" s="113">
        <f>VLOOKUP(C362,'Talente &amp; Stuff'!IA:JB,8,FALSE)</f>
        <v>0</v>
      </c>
      <c r="K362" s="113">
        <f>VLOOKUP(C362,'Talente &amp; Stuff'!IA:JB,9,FALSE)</f>
        <v>0</v>
      </c>
      <c r="L362" s="113">
        <f>VLOOKUP(C362,'Talente &amp; Stuff'!IA:JB,10,FALSE)</f>
        <v>0</v>
      </c>
      <c r="M362" s="113">
        <f>VLOOKUP(C362,'Talente &amp; Stuff'!IA:JB,11,FALSE)</f>
        <v>0</v>
      </c>
      <c r="N362" s="89">
        <f>VLOOKUP(C362,'Talente &amp; Stuff'!IA:JB,12,FALSE)</f>
        <v>0</v>
      </c>
      <c r="O362" s="47">
        <f>VLOOKUP(C362,'Talente &amp; Stuff'!IA:JB,13,FALSE)</f>
        <v>0</v>
      </c>
      <c r="P362" s="119">
        <f>VLOOKUP(C362,'Talente &amp; Stuff'!IA:JB,14,FALSE)</f>
        <v>0</v>
      </c>
      <c r="Q362" s="113">
        <f>VLOOKUP(C362,'Talente &amp; Stuff'!IA:JB,15,FALSE)</f>
        <v>0</v>
      </c>
      <c r="R362" s="113">
        <f>VLOOKUP(C362,'Talente &amp; Stuff'!IA:JB,16,FALSE)</f>
        <v>0</v>
      </c>
      <c r="S362" s="113">
        <f>VLOOKUP(C362,'Talente &amp; Stuff'!IA:JB,17,FALSE)</f>
        <v>0</v>
      </c>
      <c r="T362" s="160">
        <f>VLOOKUP(C362,'Talente &amp; Stuff'!IA:JB,18,FALSE)</f>
        <v>0</v>
      </c>
      <c r="U362" s="47">
        <f>VLOOKUP(C362,'Talente &amp; Stuff'!IA:JB,19,FALSE)</f>
        <v>0</v>
      </c>
      <c r="V362" s="47">
        <f>VLOOKUP(C362,'Talente &amp; Stuff'!IA:JB,20,FALSE)</f>
        <v>0</v>
      </c>
      <c r="W362" s="47">
        <f>VLOOKUP(C362,'Talente &amp; Stuff'!IA:JB,21,FALSE)</f>
        <v>0</v>
      </c>
      <c r="X362" s="125">
        <f>VLOOKUP(C362,'Talente &amp; Stuff'!IA:JB,22,FALSE)</f>
        <v>0</v>
      </c>
      <c r="Y362" s="165">
        <f t="shared" si="24"/>
        <v>0</v>
      </c>
      <c r="Z362" s="44">
        <f t="shared" si="25"/>
        <v>0</v>
      </c>
      <c r="AA362" s="125">
        <f>VLOOKUP(C362,'Talente &amp; Stuff'!IA:JB,25,FALSE)</f>
        <v>0</v>
      </c>
      <c r="AB362" s="160">
        <f>VLOOKUP(C362,'Talente &amp; Stuff'!IA:JB,26,FALSE)</f>
        <v>0</v>
      </c>
      <c r="AC362" s="127">
        <f>VLOOKUP(C362,'Talente &amp; Stuff'!IA:JB,27,FALSE)</f>
        <v>0</v>
      </c>
      <c r="AD362" s="125">
        <f>VLOOKUP(C362,'Talente &amp; Stuff'!IA:JB,28,FALSE)</f>
        <v>0</v>
      </c>
      <c r="AE362" s="28"/>
    </row>
    <row r="363" spans="2:31" ht="15" hidden="1" customHeight="1" outlineLevel="2">
      <c r="B363" s="148">
        <v>7</v>
      </c>
      <c r="C363" s="177" t="str">
        <f>Attribute!C363</f>
        <v>---</v>
      </c>
      <c r="D363" s="86" t="str">
        <f>VLOOKUP(C363,'Talente &amp; Stuff'!IA:JB,2,FALSE)</f>
        <v>--/--/--</v>
      </c>
      <c r="E363" s="125" t="str">
        <f>VLOOKUP(C363,'Talente &amp; Stuff'!IA:JB,3,FALSE)</f>
        <v>-</v>
      </c>
      <c r="F363" s="113">
        <f>VLOOKUP(C363,'Talente &amp; Stuff'!IA:JB,4,FALSE)</f>
        <v>0</v>
      </c>
      <c r="G363" s="113">
        <f>VLOOKUP(C363,'Talente &amp; Stuff'!IA:JB,5,FALSE)</f>
        <v>0</v>
      </c>
      <c r="H363" s="113">
        <f>VLOOKUP(C363,'Talente &amp; Stuff'!IA:JB,6,FALSE)</f>
        <v>0</v>
      </c>
      <c r="I363" s="113">
        <f>VLOOKUP(C363,'Talente &amp; Stuff'!IA:JB,7,FALSE)</f>
        <v>0</v>
      </c>
      <c r="J363" s="113">
        <f>VLOOKUP(C363,'Talente &amp; Stuff'!IA:JB,8,FALSE)</f>
        <v>0</v>
      </c>
      <c r="K363" s="113">
        <f>VLOOKUP(C363,'Talente &amp; Stuff'!IA:JB,9,FALSE)</f>
        <v>0</v>
      </c>
      <c r="L363" s="113">
        <f>VLOOKUP(C363,'Talente &amp; Stuff'!IA:JB,10,FALSE)</f>
        <v>0</v>
      </c>
      <c r="M363" s="113">
        <f>VLOOKUP(C363,'Talente &amp; Stuff'!IA:JB,11,FALSE)</f>
        <v>0</v>
      </c>
      <c r="N363" s="89">
        <f>VLOOKUP(C363,'Talente &amp; Stuff'!IA:JB,12,FALSE)</f>
        <v>0</v>
      </c>
      <c r="O363" s="47">
        <f>VLOOKUP(C363,'Talente &amp; Stuff'!IA:JB,13,FALSE)</f>
        <v>0</v>
      </c>
      <c r="P363" s="119">
        <f>VLOOKUP(C363,'Talente &amp; Stuff'!IA:JB,14,FALSE)</f>
        <v>0</v>
      </c>
      <c r="Q363" s="113">
        <f>VLOOKUP(C363,'Talente &amp; Stuff'!IA:JB,15,FALSE)</f>
        <v>0</v>
      </c>
      <c r="R363" s="113">
        <f>VLOOKUP(C363,'Talente &amp; Stuff'!IA:JB,16,FALSE)</f>
        <v>0</v>
      </c>
      <c r="S363" s="113">
        <f>VLOOKUP(C363,'Talente &amp; Stuff'!IA:JB,17,FALSE)</f>
        <v>0</v>
      </c>
      <c r="T363" s="160">
        <f>VLOOKUP(C363,'Talente &amp; Stuff'!IA:JB,18,FALSE)</f>
        <v>0</v>
      </c>
      <c r="U363" s="47">
        <f>VLOOKUP(C363,'Talente &amp; Stuff'!IA:JB,19,FALSE)</f>
        <v>0</v>
      </c>
      <c r="V363" s="47">
        <f>VLOOKUP(C363,'Talente &amp; Stuff'!IA:JB,20,FALSE)</f>
        <v>0</v>
      </c>
      <c r="W363" s="47">
        <f>VLOOKUP(C363,'Talente &amp; Stuff'!IA:JB,21,FALSE)</f>
        <v>0</v>
      </c>
      <c r="X363" s="125">
        <f>VLOOKUP(C363,'Talente &amp; Stuff'!IA:JB,22,FALSE)</f>
        <v>0</v>
      </c>
      <c r="Y363" s="165">
        <f t="shared" si="24"/>
        <v>0</v>
      </c>
      <c r="Z363" s="44">
        <f t="shared" si="25"/>
        <v>0</v>
      </c>
      <c r="AA363" s="125">
        <f>VLOOKUP(C363,'Talente &amp; Stuff'!IA:JB,25,FALSE)</f>
        <v>0</v>
      </c>
      <c r="AB363" s="160">
        <f>VLOOKUP(C363,'Talente &amp; Stuff'!IA:JB,26,FALSE)</f>
        <v>0</v>
      </c>
      <c r="AC363" s="127">
        <f>VLOOKUP(C363,'Talente &amp; Stuff'!IA:JB,27,FALSE)</f>
        <v>0</v>
      </c>
      <c r="AD363" s="125">
        <f>VLOOKUP(C363,'Talente &amp; Stuff'!IA:JB,28,FALSE)</f>
        <v>0</v>
      </c>
      <c r="AE363" s="28"/>
    </row>
    <row r="364" spans="2:31" ht="15" hidden="1" customHeight="1" outlineLevel="2">
      <c r="B364" s="148">
        <v>8</v>
      </c>
      <c r="C364" s="177" t="str">
        <f>Attribute!C364</f>
        <v>---</v>
      </c>
      <c r="D364" s="86" t="str">
        <f>VLOOKUP(C364,'Talente &amp; Stuff'!IA:JB,2,FALSE)</f>
        <v>--/--/--</v>
      </c>
      <c r="E364" s="125" t="str">
        <f>VLOOKUP(C364,'Talente &amp; Stuff'!IA:JB,3,FALSE)</f>
        <v>-</v>
      </c>
      <c r="F364" s="113">
        <f>VLOOKUP(C364,'Talente &amp; Stuff'!IA:JB,4,FALSE)</f>
        <v>0</v>
      </c>
      <c r="G364" s="113">
        <f>VLOOKUP(C364,'Talente &amp; Stuff'!IA:JB,5,FALSE)</f>
        <v>0</v>
      </c>
      <c r="H364" s="113">
        <f>VLOOKUP(C364,'Talente &amp; Stuff'!IA:JB,6,FALSE)</f>
        <v>0</v>
      </c>
      <c r="I364" s="113">
        <f>VLOOKUP(C364,'Talente &amp; Stuff'!IA:JB,7,FALSE)</f>
        <v>0</v>
      </c>
      <c r="J364" s="113">
        <f>VLOOKUP(C364,'Talente &amp; Stuff'!IA:JB,8,FALSE)</f>
        <v>0</v>
      </c>
      <c r="K364" s="113">
        <f>VLOOKUP(C364,'Talente &amp; Stuff'!IA:JB,9,FALSE)</f>
        <v>0</v>
      </c>
      <c r="L364" s="113">
        <f>VLOOKUP(C364,'Talente &amp; Stuff'!IA:JB,10,FALSE)</f>
        <v>0</v>
      </c>
      <c r="M364" s="113">
        <f>VLOOKUP(C364,'Talente &amp; Stuff'!IA:JB,11,FALSE)</f>
        <v>0</v>
      </c>
      <c r="N364" s="89">
        <f>VLOOKUP(C364,'Talente &amp; Stuff'!IA:JB,12,FALSE)</f>
        <v>0</v>
      </c>
      <c r="O364" s="47">
        <f>VLOOKUP(C364,'Talente &amp; Stuff'!IA:JB,13,FALSE)</f>
        <v>0</v>
      </c>
      <c r="P364" s="119">
        <f>VLOOKUP(C364,'Talente &amp; Stuff'!IA:JB,14,FALSE)</f>
        <v>0</v>
      </c>
      <c r="Q364" s="113">
        <f>VLOOKUP(C364,'Talente &amp; Stuff'!IA:JB,15,FALSE)</f>
        <v>0</v>
      </c>
      <c r="R364" s="113">
        <f>VLOOKUP(C364,'Talente &amp; Stuff'!IA:JB,16,FALSE)</f>
        <v>0</v>
      </c>
      <c r="S364" s="113">
        <f>VLOOKUP(C364,'Talente &amp; Stuff'!IA:JB,17,FALSE)</f>
        <v>0</v>
      </c>
      <c r="T364" s="160">
        <f>VLOOKUP(C364,'Talente &amp; Stuff'!IA:JB,18,FALSE)</f>
        <v>0</v>
      </c>
      <c r="U364" s="47">
        <f>VLOOKUP(C364,'Talente &amp; Stuff'!IA:JB,19,FALSE)</f>
        <v>0</v>
      </c>
      <c r="V364" s="47">
        <f>VLOOKUP(C364,'Talente &amp; Stuff'!IA:JB,20,FALSE)</f>
        <v>0</v>
      </c>
      <c r="W364" s="47">
        <f>VLOOKUP(C364,'Talente &amp; Stuff'!IA:JB,21,FALSE)</f>
        <v>0</v>
      </c>
      <c r="X364" s="125">
        <f>VLOOKUP(C364,'Talente &amp; Stuff'!IA:JB,22,FALSE)</f>
        <v>0</v>
      </c>
      <c r="Y364" s="165">
        <f t="shared" si="24"/>
        <v>0</v>
      </c>
      <c r="Z364" s="44">
        <f t="shared" si="25"/>
        <v>0</v>
      </c>
      <c r="AA364" s="125">
        <f>VLOOKUP(C364,'Talente &amp; Stuff'!IA:JB,25,FALSE)</f>
        <v>0</v>
      </c>
      <c r="AB364" s="160">
        <f>VLOOKUP(C364,'Talente &amp; Stuff'!IA:JB,26,FALSE)</f>
        <v>0</v>
      </c>
      <c r="AC364" s="127">
        <f>VLOOKUP(C364,'Talente &amp; Stuff'!IA:JB,27,FALSE)</f>
        <v>0</v>
      </c>
      <c r="AD364" s="125">
        <f>VLOOKUP(C364,'Talente &amp; Stuff'!IA:JB,28,FALSE)</f>
        <v>0</v>
      </c>
      <c r="AE364" s="28"/>
    </row>
    <row r="365" spans="2:31" ht="15" hidden="1" customHeight="1" outlineLevel="2">
      <c r="B365" s="148">
        <v>9</v>
      </c>
      <c r="C365" s="178" t="str">
        <f>Attribute!C365</f>
        <v>---</v>
      </c>
      <c r="D365" s="87" t="str">
        <f>VLOOKUP(C365,'Talente &amp; Stuff'!IA:JB,2,FALSE)</f>
        <v>--/--/--</v>
      </c>
      <c r="E365" s="159" t="str">
        <f>VLOOKUP(C365,'Talente &amp; Stuff'!IA:JB,3,FALSE)</f>
        <v>-</v>
      </c>
      <c r="F365" s="122">
        <f>VLOOKUP(C365,'Talente &amp; Stuff'!IA:JB,4,FALSE)</f>
        <v>0</v>
      </c>
      <c r="G365" s="122">
        <f>VLOOKUP(C365,'Talente &amp; Stuff'!IA:JB,5,FALSE)</f>
        <v>0</v>
      </c>
      <c r="H365" s="122">
        <f>VLOOKUP(C365,'Talente &amp; Stuff'!IA:JB,6,FALSE)</f>
        <v>0</v>
      </c>
      <c r="I365" s="122">
        <f>VLOOKUP(C365,'Talente &amp; Stuff'!IA:JB,7,FALSE)</f>
        <v>0</v>
      </c>
      <c r="J365" s="122">
        <f>VLOOKUP(C365,'Talente &amp; Stuff'!IA:JB,8,FALSE)</f>
        <v>0</v>
      </c>
      <c r="K365" s="122">
        <f>VLOOKUP(C365,'Talente &amp; Stuff'!IA:JB,9,FALSE)</f>
        <v>0</v>
      </c>
      <c r="L365" s="122">
        <f>VLOOKUP(C365,'Talente &amp; Stuff'!IA:JB,10,FALSE)</f>
        <v>0</v>
      </c>
      <c r="M365" s="122">
        <f>VLOOKUP(C365,'Talente &amp; Stuff'!IA:JB,11,FALSE)</f>
        <v>0</v>
      </c>
      <c r="N365" s="90">
        <f>VLOOKUP(C365,'Talente &amp; Stuff'!IA:JB,12,FALSE)</f>
        <v>0</v>
      </c>
      <c r="O365" s="88">
        <f>VLOOKUP(C365,'Talente &amp; Stuff'!IA:JB,13,FALSE)</f>
        <v>0</v>
      </c>
      <c r="P365" s="123">
        <f>VLOOKUP(C365,'Talente &amp; Stuff'!IA:JB,14,FALSE)</f>
        <v>0</v>
      </c>
      <c r="Q365" s="122">
        <f>VLOOKUP(C365,'Talente &amp; Stuff'!IA:JB,15,FALSE)</f>
        <v>0</v>
      </c>
      <c r="R365" s="122">
        <f>VLOOKUP(C365,'Talente &amp; Stuff'!IA:JB,16,FALSE)</f>
        <v>0</v>
      </c>
      <c r="S365" s="122">
        <f>VLOOKUP(C365,'Talente &amp; Stuff'!IA:JB,17,FALSE)</f>
        <v>0</v>
      </c>
      <c r="T365" s="161">
        <f>VLOOKUP(C365,'Talente &amp; Stuff'!IA:JB,18,FALSE)</f>
        <v>0</v>
      </c>
      <c r="U365" s="88">
        <f>VLOOKUP(C365,'Talente &amp; Stuff'!IA:JB,19,FALSE)</f>
        <v>0</v>
      </c>
      <c r="V365" s="88">
        <f>VLOOKUP(C365,'Talente &amp; Stuff'!IA:JB,20,FALSE)</f>
        <v>0</v>
      </c>
      <c r="W365" s="88">
        <f>VLOOKUP(C365,'Talente &amp; Stuff'!IA:JB,21,FALSE)</f>
        <v>0</v>
      </c>
      <c r="X365" s="159">
        <f>VLOOKUP(C365,'Talente &amp; Stuff'!IA:JB,22,FALSE)</f>
        <v>0</v>
      </c>
      <c r="Y365" s="165">
        <f t="shared" si="24"/>
        <v>0</v>
      </c>
      <c r="Z365" s="44">
        <f t="shared" si="25"/>
        <v>0</v>
      </c>
      <c r="AA365" s="159">
        <f>VLOOKUP(C365,'Talente &amp; Stuff'!IA:JB,25,FALSE)</f>
        <v>0</v>
      </c>
      <c r="AB365" s="161">
        <f>VLOOKUP(C365,'Talente &amp; Stuff'!IA:JB,26,FALSE)</f>
        <v>0</v>
      </c>
      <c r="AC365" s="128">
        <f>VLOOKUP(C365,'Talente &amp; Stuff'!IA:JB,27,FALSE)</f>
        <v>0</v>
      </c>
      <c r="AD365" s="159">
        <f>VLOOKUP(C365,'Talente &amp; Stuff'!IA:JB,28,FALSE)</f>
        <v>0</v>
      </c>
      <c r="AE365" s="28"/>
    </row>
    <row r="366" spans="2:31" ht="15" hidden="1" customHeight="1" outlineLevel="1" collapsed="1">
      <c r="B366" s="134" t="s">
        <v>330</v>
      </c>
      <c r="C366" s="83"/>
      <c r="D366" s="84"/>
      <c r="E366" s="84"/>
    </row>
    <row r="367" spans="2:31" ht="15" hidden="1" customHeight="1" outlineLevel="2">
      <c r="B367" s="148">
        <v>1</v>
      </c>
      <c r="C367" s="176" t="str">
        <f>Attribute!C367</f>
        <v>---</v>
      </c>
      <c r="D367" s="158" t="str">
        <f>VLOOKUP(C367,'Talente &amp; Stuff'!IA:JB,2,FALSE)</f>
        <v>--/--/--</v>
      </c>
      <c r="E367" s="158" t="str">
        <f>VLOOKUP(C367,'Talente &amp; Stuff'!IA:JB,3,FALSE)</f>
        <v>-</v>
      </c>
      <c r="F367" s="118">
        <f>VLOOKUP(C367,'Talente &amp; Stuff'!IA:JB,4,FALSE)</f>
        <v>0</v>
      </c>
      <c r="G367" s="118">
        <f>VLOOKUP(C367,'Talente &amp; Stuff'!IA:JB,5,FALSE)</f>
        <v>0</v>
      </c>
      <c r="H367" s="118">
        <f>VLOOKUP(C367,'Talente &amp; Stuff'!IA:JB,6,FALSE)</f>
        <v>0</v>
      </c>
      <c r="I367" s="118">
        <f>VLOOKUP(C367,'Talente &amp; Stuff'!IA:JB,7,FALSE)</f>
        <v>0</v>
      </c>
      <c r="J367" s="118">
        <f>VLOOKUP(C367,'Talente &amp; Stuff'!IA:JB,8,FALSE)</f>
        <v>0</v>
      </c>
      <c r="K367" s="118">
        <f>VLOOKUP(C367,'Talente &amp; Stuff'!IA:JB,9,FALSE)</f>
        <v>0</v>
      </c>
      <c r="L367" s="118">
        <f>VLOOKUP(C367,'Talente &amp; Stuff'!IA:JB,10,FALSE)</f>
        <v>0</v>
      </c>
      <c r="M367" s="118">
        <f>VLOOKUP(C367,'Talente &amp; Stuff'!IA:JB,11,FALSE)</f>
        <v>0</v>
      </c>
      <c r="N367" s="193">
        <f>VLOOKUP(C367,'Talente &amp; Stuff'!IA:JB,12,FALSE)</f>
        <v>0</v>
      </c>
      <c r="O367" s="116">
        <f>VLOOKUP(C367,'Talente &amp; Stuff'!IA:JB,13,FALSE)</f>
        <v>0</v>
      </c>
      <c r="P367" s="92">
        <f>VLOOKUP(C367,'Talente &amp; Stuff'!IA:JB,14,FALSE)</f>
        <v>0</v>
      </c>
      <c r="Q367" s="118">
        <f>VLOOKUP(C367,'Talente &amp; Stuff'!IA:JB,15,FALSE)</f>
        <v>0</v>
      </c>
      <c r="R367" s="118">
        <f>VLOOKUP(C367,'Talente &amp; Stuff'!IA:JB,16,FALSE)</f>
        <v>0</v>
      </c>
      <c r="S367" s="118">
        <f>VLOOKUP(C367,'Talente &amp; Stuff'!IA:JB,17,FALSE)</f>
        <v>0</v>
      </c>
      <c r="T367" s="91">
        <f>VLOOKUP(C367,'Talente &amp; Stuff'!IA:JB,18,FALSE)</f>
        <v>0</v>
      </c>
      <c r="U367" s="116">
        <f>VLOOKUP(C367,'Talente &amp; Stuff'!IA:JB,19,FALSE)</f>
        <v>0</v>
      </c>
      <c r="V367" s="116">
        <f>VLOOKUP(C367,'Talente &amp; Stuff'!IA:JB,20,FALSE)</f>
        <v>0</v>
      </c>
      <c r="W367" s="116">
        <f>VLOOKUP(C367,'Talente &amp; Stuff'!IA:JB,21,FALSE)</f>
        <v>0</v>
      </c>
      <c r="X367" s="158">
        <f>VLOOKUP(C367,'Talente &amp; Stuff'!IA:JB,22,FALSE)</f>
        <v>0</v>
      </c>
      <c r="Y367" s="165">
        <f t="shared" ref="Y367:Y374" si="26">VLOOKUP(C367,Ausgewählte_Rituale_Elfen,255,FALSE)</f>
        <v>0</v>
      </c>
      <c r="Z367" s="44">
        <f t="shared" ref="Z367:Z374" si="27">VLOOKUP(C367,Ausgewählte_Rituale_Elfen,256,FALSE)</f>
        <v>0</v>
      </c>
      <c r="AA367" s="158">
        <f>VLOOKUP(C367,'Talente &amp; Stuff'!IA:JB,25,FALSE)</f>
        <v>0</v>
      </c>
      <c r="AB367" s="91">
        <f>VLOOKUP(C367,'Talente &amp; Stuff'!IA:JB,26,FALSE)</f>
        <v>0</v>
      </c>
      <c r="AC367" s="126">
        <f>VLOOKUP(C367,'Talente &amp; Stuff'!IA:JB,27,FALSE)</f>
        <v>0</v>
      </c>
      <c r="AD367" s="158">
        <f>VLOOKUP(C367,'Talente &amp; Stuff'!IA:JB,28,FALSE)</f>
        <v>0</v>
      </c>
      <c r="AE367" s="28"/>
    </row>
    <row r="368" spans="2:31" ht="15" hidden="1" customHeight="1" outlineLevel="2">
      <c r="B368" s="148">
        <v>2</v>
      </c>
      <c r="C368" s="177" t="str">
        <f>Attribute!C368</f>
        <v>---</v>
      </c>
      <c r="D368" s="125" t="str">
        <f>VLOOKUP(C368,'Talente &amp; Stuff'!IA:JB,2,FALSE)</f>
        <v>--/--/--</v>
      </c>
      <c r="E368" s="125" t="str">
        <f>VLOOKUP(C368,'Talente &amp; Stuff'!IA:JB,3,FALSE)</f>
        <v>-</v>
      </c>
      <c r="F368" s="113">
        <f>VLOOKUP(C368,'Talente &amp; Stuff'!IA:JB,4,FALSE)</f>
        <v>0</v>
      </c>
      <c r="G368" s="113">
        <f>VLOOKUP(C368,'Talente &amp; Stuff'!IA:JB,5,FALSE)</f>
        <v>0</v>
      </c>
      <c r="H368" s="113">
        <f>VLOOKUP(C368,'Talente &amp; Stuff'!IA:JB,6,FALSE)</f>
        <v>0</v>
      </c>
      <c r="I368" s="113">
        <f>VLOOKUP(C368,'Talente &amp; Stuff'!IA:JB,7,FALSE)</f>
        <v>0</v>
      </c>
      <c r="J368" s="113">
        <f>VLOOKUP(C368,'Talente &amp; Stuff'!IA:JB,8,FALSE)</f>
        <v>0</v>
      </c>
      <c r="K368" s="113">
        <f>VLOOKUP(C368,'Talente &amp; Stuff'!IA:JB,9,FALSE)</f>
        <v>0</v>
      </c>
      <c r="L368" s="113">
        <f>VLOOKUP(C368,'Talente &amp; Stuff'!IA:JB,10,FALSE)</f>
        <v>0</v>
      </c>
      <c r="M368" s="113">
        <f>VLOOKUP(C368,'Talente &amp; Stuff'!IA:JB,11,FALSE)</f>
        <v>0</v>
      </c>
      <c r="N368" s="89">
        <f>VLOOKUP(C368,'Talente &amp; Stuff'!IA:JB,12,FALSE)</f>
        <v>0</v>
      </c>
      <c r="O368" s="47">
        <f>VLOOKUP(C368,'Talente &amp; Stuff'!IA:JB,13,FALSE)</f>
        <v>0</v>
      </c>
      <c r="P368" s="119">
        <f>VLOOKUP(C368,'Talente &amp; Stuff'!IA:JB,14,FALSE)</f>
        <v>0</v>
      </c>
      <c r="Q368" s="113">
        <f>VLOOKUP(C368,'Talente &amp; Stuff'!IA:JB,15,FALSE)</f>
        <v>0</v>
      </c>
      <c r="R368" s="113">
        <f>VLOOKUP(C368,'Talente &amp; Stuff'!IA:JB,16,FALSE)</f>
        <v>0</v>
      </c>
      <c r="S368" s="113">
        <f>VLOOKUP(C368,'Talente &amp; Stuff'!IA:JB,17,FALSE)</f>
        <v>0</v>
      </c>
      <c r="T368" s="160">
        <f>VLOOKUP(C368,'Talente &amp; Stuff'!IA:JB,18,FALSE)</f>
        <v>0</v>
      </c>
      <c r="U368" s="47">
        <f>VLOOKUP(C368,'Talente &amp; Stuff'!IA:JB,19,FALSE)</f>
        <v>0</v>
      </c>
      <c r="V368" s="47">
        <f>VLOOKUP(C368,'Talente &amp; Stuff'!IA:JB,20,FALSE)</f>
        <v>0</v>
      </c>
      <c r="W368" s="47">
        <f>VLOOKUP(C368,'Talente &amp; Stuff'!IA:JB,21,FALSE)</f>
        <v>0</v>
      </c>
      <c r="X368" s="125">
        <f>VLOOKUP(C368,'Talente &amp; Stuff'!IA:JB,22,FALSE)</f>
        <v>0</v>
      </c>
      <c r="Y368" s="165">
        <f t="shared" si="26"/>
        <v>0</v>
      </c>
      <c r="Z368" s="44">
        <f t="shared" si="27"/>
        <v>0</v>
      </c>
      <c r="AA368" s="125">
        <f>VLOOKUP(C368,'Talente &amp; Stuff'!IA:JB,25,FALSE)</f>
        <v>0</v>
      </c>
      <c r="AB368" s="160">
        <f>VLOOKUP(C368,'Talente &amp; Stuff'!IA:JB,26,FALSE)</f>
        <v>0</v>
      </c>
      <c r="AC368" s="127">
        <f>VLOOKUP(C368,'Talente &amp; Stuff'!IA:JB,27,FALSE)</f>
        <v>0</v>
      </c>
      <c r="AD368" s="125">
        <f>VLOOKUP(C368,'Talente &amp; Stuff'!IA:JB,28,FALSE)</f>
        <v>0</v>
      </c>
      <c r="AE368" s="28"/>
    </row>
    <row r="369" spans="2:31" ht="15" hidden="1" customHeight="1" outlineLevel="2">
      <c r="B369" s="148">
        <v>3</v>
      </c>
      <c r="C369" s="177" t="str">
        <f>Attribute!C369</f>
        <v>---</v>
      </c>
      <c r="D369" s="125" t="str">
        <f>VLOOKUP(C369,'Talente &amp; Stuff'!IA:JB,2,FALSE)</f>
        <v>--/--/--</v>
      </c>
      <c r="E369" s="125" t="str">
        <f>VLOOKUP(C369,'Talente &amp; Stuff'!IA:JB,3,FALSE)</f>
        <v>-</v>
      </c>
      <c r="F369" s="113">
        <f>VLOOKUP(C369,'Talente &amp; Stuff'!IA:JB,4,FALSE)</f>
        <v>0</v>
      </c>
      <c r="G369" s="113">
        <f>VLOOKUP(C369,'Talente &amp; Stuff'!IA:JB,5,FALSE)</f>
        <v>0</v>
      </c>
      <c r="H369" s="113">
        <f>VLOOKUP(C369,'Talente &amp; Stuff'!IA:JB,6,FALSE)</f>
        <v>0</v>
      </c>
      <c r="I369" s="113">
        <f>VLOOKUP(C369,'Talente &amp; Stuff'!IA:JB,7,FALSE)</f>
        <v>0</v>
      </c>
      <c r="J369" s="113">
        <f>VLOOKUP(C369,'Talente &amp; Stuff'!IA:JB,8,FALSE)</f>
        <v>0</v>
      </c>
      <c r="K369" s="113">
        <f>VLOOKUP(C369,'Talente &amp; Stuff'!IA:JB,9,FALSE)</f>
        <v>0</v>
      </c>
      <c r="L369" s="113">
        <f>VLOOKUP(C369,'Talente &amp; Stuff'!IA:JB,10,FALSE)</f>
        <v>0</v>
      </c>
      <c r="M369" s="113">
        <f>VLOOKUP(C369,'Talente &amp; Stuff'!IA:JB,11,FALSE)</f>
        <v>0</v>
      </c>
      <c r="N369" s="89">
        <f>VLOOKUP(C369,'Talente &amp; Stuff'!IA:JB,12,FALSE)</f>
        <v>0</v>
      </c>
      <c r="O369" s="47">
        <f>VLOOKUP(C369,'Talente &amp; Stuff'!IA:JB,13,FALSE)</f>
        <v>0</v>
      </c>
      <c r="P369" s="119">
        <f>VLOOKUP(C369,'Talente &amp; Stuff'!IA:JB,14,FALSE)</f>
        <v>0</v>
      </c>
      <c r="Q369" s="113">
        <f>VLOOKUP(C369,'Talente &amp; Stuff'!IA:JB,15,FALSE)</f>
        <v>0</v>
      </c>
      <c r="R369" s="113">
        <f>VLOOKUP(C369,'Talente &amp; Stuff'!IA:JB,16,FALSE)</f>
        <v>0</v>
      </c>
      <c r="S369" s="113">
        <f>VLOOKUP(C369,'Talente &amp; Stuff'!IA:JB,17,FALSE)</f>
        <v>0</v>
      </c>
      <c r="T369" s="160">
        <f>VLOOKUP(C369,'Talente &amp; Stuff'!IA:JB,18,FALSE)</f>
        <v>0</v>
      </c>
      <c r="U369" s="47">
        <f>VLOOKUP(C369,'Talente &amp; Stuff'!IA:JB,19,FALSE)</f>
        <v>0</v>
      </c>
      <c r="V369" s="47">
        <f>VLOOKUP(C369,'Talente &amp; Stuff'!IA:JB,20,FALSE)</f>
        <v>0</v>
      </c>
      <c r="W369" s="47">
        <f>VLOOKUP(C369,'Talente &amp; Stuff'!IA:JB,21,FALSE)</f>
        <v>0</v>
      </c>
      <c r="X369" s="125">
        <f>VLOOKUP(C369,'Talente &amp; Stuff'!IA:JB,22,FALSE)</f>
        <v>0</v>
      </c>
      <c r="Y369" s="165">
        <f t="shared" si="26"/>
        <v>0</v>
      </c>
      <c r="Z369" s="44">
        <f t="shared" si="27"/>
        <v>0</v>
      </c>
      <c r="AA369" s="125">
        <f>VLOOKUP(C369,'Talente &amp; Stuff'!IA:JB,25,FALSE)</f>
        <v>0</v>
      </c>
      <c r="AB369" s="160">
        <f>VLOOKUP(C369,'Talente &amp; Stuff'!IA:JB,26,FALSE)</f>
        <v>0</v>
      </c>
      <c r="AC369" s="127">
        <f>VLOOKUP(C369,'Talente &amp; Stuff'!IA:JB,27,FALSE)</f>
        <v>0</v>
      </c>
      <c r="AD369" s="125">
        <f>VLOOKUP(C369,'Talente &amp; Stuff'!IA:JB,28,FALSE)</f>
        <v>0</v>
      </c>
      <c r="AE369" s="28"/>
    </row>
    <row r="370" spans="2:31" ht="15" hidden="1" customHeight="1" outlineLevel="2">
      <c r="B370" s="148">
        <v>4</v>
      </c>
      <c r="C370" s="177" t="str">
        <f>Attribute!C370</f>
        <v>---</v>
      </c>
      <c r="D370" s="125" t="str">
        <f>VLOOKUP(C370,'Talente &amp; Stuff'!IA:JB,2,FALSE)</f>
        <v>--/--/--</v>
      </c>
      <c r="E370" s="125" t="str">
        <f>VLOOKUP(C370,'Talente &amp; Stuff'!IA:JB,3,FALSE)</f>
        <v>-</v>
      </c>
      <c r="F370" s="113">
        <f>VLOOKUP(C370,'Talente &amp; Stuff'!IA:JB,4,FALSE)</f>
        <v>0</v>
      </c>
      <c r="G370" s="113">
        <f>VLOOKUP(C370,'Talente &amp; Stuff'!IA:JB,5,FALSE)</f>
        <v>0</v>
      </c>
      <c r="H370" s="113">
        <f>VLOOKUP(C370,'Talente &amp; Stuff'!IA:JB,6,FALSE)</f>
        <v>0</v>
      </c>
      <c r="I370" s="113">
        <f>VLOOKUP(C370,'Talente &amp; Stuff'!IA:JB,7,FALSE)</f>
        <v>0</v>
      </c>
      <c r="J370" s="113">
        <f>VLOOKUP(C370,'Talente &amp; Stuff'!IA:JB,8,FALSE)</f>
        <v>0</v>
      </c>
      <c r="K370" s="113">
        <f>VLOOKUP(C370,'Talente &amp; Stuff'!IA:JB,9,FALSE)</f>
        <v>0</v>
      </c>
      <c r="L370" s="113">
        <f>VLOOKUP(C370,'Talente &amp; Stuff'!IA:JB,10,FALSE)</f>
        <v>0</v>
      </c>
      <c r="M370" s="113">
        <f>VLOOKUP(C370,'Talente &amp; Stuff'!IA:JB,11,FALSE)</f>
        <v>0</v>
      </c>
      <c r="N370" s="89">
        <f>VLOOKUP(C370,'Talente &amp; Stuff'!IA:JB,12,FALSE)</f>
        <v>0</v>
      </c>
      <c r="O370" s="47">
        <f>VLOOKUP(C370,'Talente &amp; Stuff'!IA:JB,13,FALSE)</f>
        <v>0</v>
      </c>
      <c r="P370" s="119">
        <f>VLOOKUP(C370,'Talente &amp; Stuff'!IA:JB,14,FALSE)</f>
        <v>0</v>
      </c>
      <c r="Q370" s="113">
        <f>VLOOKUP(C370,'Talente &amp; Stuff'!IA:JB,15,FALSE)</f>
        <v>0</v>
      </c>
      <c r="R370" s="113">
        <f>VLOOKUP(C370,'Talente &amp; Stuff'!IA:JB,16,FALSE)</f>
        <v>0</v>
      </c>
      <c r="S370" s="113">
        <f>VLOOKUP(C370,'Talente &amp; Stuff'!IA:JB,17,FALSE)</f>
        <v>0</v>
      </c>
      <c r="T370" s="160">
        <f>VLOOKUP(C370,'Talente &amp; Stuff'!IA:JB,18,FALSE)</f>
        <v>0</v>
      </c>
      <c r="U370" s="47">
        <f>VLOOKUP(C370,'Talente &amp; Stuff'!IA:JB,19,FALSE)</f>
        <v>0</v>
      </c>
      <c r="V370" s="47">
        <f>VLOOKUP(C370,'Talente &amp; Stuff'!IA:JB,20,FALSE)</f>
        <v>0</v>
      </c>
      <c r="W370" s="47">
        <f>VLOOKUP(C370,'Talente &amp; Stuff'!IA:JB,21,FALSE)</f>
        <v>0</v>
      </c>
      <c r="X370" s="125">
        <f>VLOOKUP(C370,'Talente &amp; Stuff'!IA:JB,22,FALSE)</f>
        <v>0</v>
      </c>
      <c r="Y370" s="165">
        <f t="shared" si="26"/>
        <v>0</v>
      </c>
      <c r="Z370" s="44">
        <f t="shared" si="27"/>
        <v>0</v>
      </c>
      <c r="AA370" s="125">
        <f>VLOOKUP(C370,'Talente &amp; Stuff'!IA:JB,25,FALSE)</f>
        <v>0</v>
      </c>
      <c r="AB370" s="160">
        <f>VLOOKUP(C370,'Talente &amp; Stuff'!IA:JB,26,FALSE)</f>
        <v>0</v>
      </c>
      <c r="AC370" s="127">
        <f>VLOOKUP(C370,'Talente &amp; Stuff'!IA:JB,27,FALSE)</f>
        <v>0</v>
      </c>
      <c r="AD370" s="125">
        <f>VLOOKUP(C370,'Talente &amp; Stuff'!IA:JB,28,FALSE)</f>
        <v>0</v>
      </c>
      <c r="AE370" s="28"/>
    </row>
    <row r="371" spans="2:31" ht="15" hidden="1" customHeight="1" outlineLevel="2">
      <c r="B371" s="148">
        <v>5</v>
      </c>
      <c r="C371" s="177" t="str">
        <f>Attribute!C371</f>
        <v>---</v>
      </c>
      <c r="D371" s="125" t="str">
        <f>VLOOKUP(C371,'Talente &amp; Stuff'!IA:JB,2,FALSE)</f>
        <v>--/--/--</v>
      </c>
      <c r="E371" s="125" t="str">
        <f>VLOOKUP(C371,'Talente &amp; Stuff'!IA:JB,3,FALSE)</f>
        <v>-</v>
      </c>
      <c r="F371" s="113">
        <f>VLOOKUP(C371,'Talente &amp; Stuff'!IA:JB,4,FALSE)</f>
        <v>0</v>
      </c>
      <c r="G371" s="113">
        <f>VLOOKUP(C371,'Talente &amp; Stuff'!IA:JB,5,FALSE)</f>
        <v>0</v>
      </c>
      <c r="H371" s="113">
        <f>VLOOKUP(C371,'Talente &amp; Stuff'!IA:JB,6,FALSE)</f>
        <v>0</v>
      </c>
      <c r="I371" s="113">
        <f>VLOOKUP(C371,'Talente &amp; Stuff'!IA:JB,7,FALSE)</f>
        <v>0</v>
      </c>
      <c r="J371" s="113">
        <f>VLOOKUP(C371,'Talente &amp; Stuff'!IA:JB,8,FALSE)</f>
        <v>0</v>
      </c>
      <c r="K371" s="113">
        <f>VLOOKUP(C371,'Talente &amp; Stuff'!IA:JB,9,FALSE)</f>
        <v>0</v>
      </c>
      <c r="L371" s="113">
        <f>VLOOKUP(C371,'Talente &amp; Stuff'!IA:JB,10,FALSE)</f>
        <v>0</v>
      </c>
      <c r="M371" s="113">
        <f>VLOOKUP(C371,'Talente &amp; Stuff'!IA:JB,11,FALSE)</f>
        <v>0</v>
      </c>
      <c r="N371" s="89">
        <f>VLOOKUP(C371,'Talente &amp; Stuff'!IA:JB,12,FALSE)</f>
        <v>0</v>
      </c>
      <c r="O371" s="47">
        <f>VLOOKUP(C371,'Talente &amp; Stuff'!IA:JB,13,FALSE)</f>
        <v>0</v>
      </c>
      <c r="P371" s="119">
        <f>VLOOKUP(C371,'Talente &amp; Stuff'!IA:JB,14,FALSE)</f>
        <v>0</v>
      </c>
      <c r="Q371" s="113">
        <f>VLOOKUP(C371,'Talente &amp; Stuff'!IA:JB,15,FALSE)</f>
        <v>0</v>
      </c>
      <c r="R371" s="113">
        <f>VLOOKUP(C371,'Talente &amp; Stuff'!IA:JB,16,FALSE)</f>
        <v>0</v>
      </c>
      <c r="S371" s="113">
        <f>VLOOKUP(C371,'Talente &amp; Stuff'!IA:JB,17,FALSE)</f>
        <v>0</v>
      </c>
      <c r="T371" s="160">
        <f>VLOOKUP(C371,'Talente &amp; Stuff'!IA:JB,18,FALSE)</f>
        <v>0</v>
      </c>
      <c r="U371" s="47">
        <f>VLOOKUP(C371,'Talente &amp; Stuff'!IA:JB,19,FALSE)</f>
        <v>0</v>
      </c>
      <c r="V371" s="47">
        <f>VLOOKUP(C371,'Talente &amp; Stuff'!IA:JB,20,FALSE)</f>
        <v>0</v>
      </c>
      <c r="W371" s="47">
        <f>VLOOKUP(C371,'Talente &amp; Stuff'!IA:JB,21,FALSE)</f>
        <v>0</v>
      </c>
      <c r="X371" s="125">
        <f>VLOOKUP(C371,'Talente &amp; Stuff'!IA:JB,22,FALSE)</f>
        <v>0</v>
      </c>
      <c r="Y371" s="165">
        <f t="shared" si="26"/>
        <v>0</v>
      </c>
      <c r="Z371" s="44">
        <f t="shared" si="27"/>
        <v>0</v>
      </c>
      <c r="AA371" s="125">
        <f>VLOOKUP(C371,'Talente &amp; Stuff'!IA:JB,25,FALSE)</f>
        <v>0</v>
      </c>
      <c r="AB371" s="160">
        <f>VLOOKUP(C371,'Talente &amp; Stuff'!IA:JB,26,FALSE)</f>
        <v>0</v>
      </c>
      <c r="AC371" s="127">
        <f>VLOOKUP(C371,'Talente &amp; Stuff'!IA:JB,27,FALSE)</f>
        <v>0</v>
      </c>
      <c r="AD371" s="125">
        <f>VLOOKUP(C371,'Talente &amp; Stuff'!IA:JB,28,FALSE)</f>
        <v>0</v>
      </c>
      <c r="AE371" s="28"/>
    </row>
    <row r="372" spans="2:31" ht="15" hidden="1" customHeight="1" outlineLevel="2">
      <c r="B372" s="148">
        <v>6</v>
      </c>
      <c r="C372" s="177" t="str">
        <f>Attribute!C372</f>
        <v>---</v>
      </c>
      <c r="D372" s="125" t="str">
        <f>VLOOKUP(C372,'Talente &amp; Stuff'!IA:JB,2,FALSE)</f>
        <v>--/--/--</v>
      </c>
      <c r="E372" s="125" t="str">
        <f>VLOOKUP(C372,'Talente &amp; Stuff'!IA:JB,3,FALSE)</f>
        <v>-</v>
      </c>
      <c r="F372" s="113">
        <f>VLOOKUP(C372,'Talente &amp; Stuff'!IA:JB,4,FALSE)</f>
        <v>0</v>
      </c>
      <c r="G372" s="113">
        <f>VLOOKUP(C372,'Talente &amp; Stuff'!IA:JB,5,FALSE)</f>
        <v>0</v>
      </c>
      <c r="H372" s="113">
        <f>VLOOKUP(C372,'Talente &amp; Stuff'!IA:JB,6,FALSE)</f>
        <v>0</v>
      </c>
      <c r="I372" s="113">
        <f>VLOOKUP(C372,'Talente &amp; Stuff'!IA:JB,7,FALSE)</f>
        <v>0</v>
      </c>
      <c r="J372" s="113">
        <f>VLOOKUP(C372,'Talente &amp; Stuff'!IA:JB,8,FALSE)</f>
        <v>0</v>
      </c>
      <c r="K372" s="113">
        <f>VLOOKUP(C372,'Talente &amp; Stuff'!IA:JB,9,FALSE)</f>
        <v>0</v>
      </c>
      <c r="L372" s="113">
        <f>VLOOKUP(C372,'Talente &amp; Stuff'!IA:JB,10,FALSE)</f>
        <v>0</v>
      </c>
      <c r="M372" s="113">
        <f>VLOOKUP(C372,'Talente &amp; Stuff'!IA:JB,11,FALSE)</f>
        <v>0</v>
      </c>
      <c r="N372" s="89">
        <f>VLOOKUP(C372,'Talente &amp; Stuff'!IA:JB,12,FALSE)</f>
        <v>0</v>
      </c>
      <c r="O372" s="47">
        <f>VLOOKUP(C372,'Talente &amp; Stuff'!IA:JB,13,FALSE)</f>
        <v>0</v>
      </c>
      <c r="P372" s="119">
        <f>VLOOKUP(C372,'Talente &amp; Stuff'!IA:JB,14,FALSE)</f>
        <v>0</v>
      </c>
      <c r="Q372" s="113">
        <f>VLOOKUP(C372,'Talente &amp; Stuff'!IA:JB,15,FALSE)</f>
        <v>0</v>
      </c>
      <c r="R372" s="113">
        <f>VLOOKUP(C372,'Talente &amp; Stuff'!IA:JB,16,FALSE)</f>
        <v>0</v>
      </c>
      <c r="S372" s="113">
        <f>VLOOKUP(C372,'Talente &amp; Stuff'!IA:JB,17,FALSE)</f>
        <v>0</v>
      </c>
      <c r="T372" s="160">
        <f>VLOOKUP(C372,'Talente &amp; Stuff'!IA:JB,18,FALSE)</f>
        <v>0</v>
      </c>
      <c r="U372" s="47">
        <f>VLOOKUP(C372,'Talente &amp; Stuff'!IA:JB,19,FALSE)</f>
        <v>0</v>
      </c>
      <c r="V372" s="47">
        <f>VLOOKUP(C372,'Talente &amp; Stuff'!IA:JB,20,FALSE)</f>
        <v>0</v>
      </c>
      <c r="W372" s="47">
        <f>VLOOKUP(C372,'Talente &amp; Stuff'!IA:JB,21,FALSE)</f>
        <v>0</v>
      </c>
      <c r="X372" s="125">
        <f>VLOOKUP(C372,'Talente &amp; Stuff'!IA:JB,22,FALSE)</f>
        <v>0</v>
      </c>
      <c r="Y372" s="165">
        <f t="shared" si="26"/>
        <v>0</v>
      </c>
      <c r="Z372" s="44">
        <f t="shared" si="27"/>
        <v>0</v>
      </c>
      <c r="AA372" s="125">
        <f>VLOOKUP(C372,'Talente &amp; Stuff'!IA:JB,25,FALSE)</f>
        <v>0</v>
      </c>
      <c r="AB372" s="160">
        <f>VLOOKUP(C372,'Talente &amp; Stuff'!IA:JB,26,FALSE)</f>
        <v>0</v>
      </c>
      <c r="AC372" s="127">
        <f>VLOOKUP(C372,'Talente &amp; Stuff'!IA:JB,27,FALSE)</f>
        <v>0</v>
      </c>
      <c r="AD372" s="125">
        <f>VLOOKUP(C372,'Talente &amp; Stuff'!IA:JB,28,FALSE)</f>
        <v>0</v>
      </c>
      <c r="AE372" s="28"/>
    </row>
    <row r="373" spans="2:31" ht="15" hidden="1" customHeight="1" outlineLevel="2">
      <c r="B373" s="148">
        <v>7</v>
      </c>
      <c r="C373" s="177" t="str">
        <f>Attribute!C373</f>
        <v>---</v>
      </c>
      <c r="D373" s="125" t="str">
        <f>VLOOKUP(C373,'Talente &amp; Stuff'!IA:JB,2,FALSE)</f>
        <v>--/--/--</v>
      </c>
      <c r="E373" s="125" t="str">
        <f>VLOOKUP(C373,'Talente &amp; Stuff'!IA:JB,3,FALSE)</f>
        <v>-</v>
      </c>
      <c r="F373" s="113">
        <f>VLOOKUP(C373,'Talente &amp; Stuff'!IA:JB,4,FALSE)</f>
        <v>0</v>
      </c>
      <c r="G373" s="113">
        <f>VLOOKUP(C373,'Talente &amp; Stuff'!IA:JB,5,FALSE)</f>
        <v>0</v>
      </c>
      <c r="H373" s="113">
        <f>VLOOKUP(C373,'Talente &amp; Stuff'!IA:JB,6,FALSE)</f>
        <v>0</v>
      </c>
      <c r="I373" s="113">
        <f>VLOOKUP(C373,'Talente &amp; Stuff'!IA:JB,7,FALSE)</f>
        <v>0</v>
      </c>
      <c r="J373" s="113">
        <f>VLOOKUP(C373,'Talente &amp; Stuff'!IA:JB,8,FALSE)</f>
        <v>0</v>
      </c>
      <c r="K373" s="113">
        <f>VLOOKUP(C373,'Talente &amp; Stuff'!IA:JB,9,FALSE)</f>
        <v>0</v>
      </c>
      <c r="L373" s="113">
        <f>VLOOKUP(C373,'Talente &amp; Stuff'!IA:JB,10,FALSE)</f>
        <v>0</v>
      </c>
      <c r="M373" s="113">
        <f>VLOOKUP(C373,'Talente &amp; Stuff'!IA:JB,11,FALSE)</f>
        <v>0</v>
      </c>
      <c r="N373" s="89">
        <f>VLOOKUP(C373,'Talente &amp; Stuff'!IA:JB,12,FALSE)</f>
        <v>0</v>
      </c>
      <c r="O373" s="47">
        <f>VLOOKUP(C373,'Talente &amp; Stuff'!IA:JB,13,FALSE)</f>
        <v>0</v>
      </c>
      <c r="P373" s="119">
        <f>VLOOKUP(C373,'Talente &amp; Stuff'!IA:JB,14,FALSE)</f>
        <v>0</v>
      </c>
      <c r="Q373" s="113">
        <f>VLOOKUP(C373,'Talente &amp; Stuff'!IA:JB,15,FALSE)</f>
        <v>0</v>
      </c>
      <c r="R373" s="113">
        <f>VLOOKUP(C373,'Talente &amp; Stuff'!IA:JB,16,FALSE)</f>
        <v>0</v>
      </c>
      <c r="S373" s="113">
        <f>VLOOKUP(C373,'Talente &amp; Stuff'!IA:JB,17,FALSE)</f>
        <v>0</v>
      </c>
      <c r="T373" s="160">
        <f>VLOOKUP(C373,'Talente &amp; Stuff'!IA:JB,18,FALSE)</f>
        <v>0</v>
      </c>
      <c r="U373" s="47">
        <f>VLOOKUP(C373,'Talente &amp; Stuff'!IA:JB,19,FALSE)</f>
        <v>0</v>
      </c>
      <c r="V373" s="47">
        <f>VLOOKUP(C373,'Talente &amp; Stuff'!IA:JB,20,FALSE)</f>
        <v>0</v>
      </c>
      <c r="W373" s="47">
        <f>VLOOKUP(C373,'Talente &amp; Stuff'!IA:JB,21,FALSE)</f>
        <v>0</v>
      </c>
      <c r="X373" s="125">
        <f>VLOOKUP(C373,'Talente &amp; Stuff'!IA:JB,22,FALSE)</f>
        <v>0</v>
      </c>
      <c r="Y373" s="165">
        <f t="shared" si="26"/>
        <v>0</v>
      </c>
      <c r="Z373" s="44">
        <f t="shared" si="27"/>
        <v>0</v>
      </c>
      <c r="AA373" s="125">
        <f>VLOOKUP(C373,'Talente &amp; Stuff'!IA:JB,25,FALSE)</f>
        <v>0</v>
      </c>
      <c r="AB373" s="160">
        <f>VLOOKUP(C373,'Talente &amp; Stuff'!IA:JB,26,FALSE)</f>
        <v>0</v>
      </c>
      <c r="AC373" s="127">
        <f>VLOOKUP(C373,'Talente &amp; Stuff'!IA:JB,27,FALSE)</f>
        <v>0</v>
      </c>
      <c r="AD373" s="125">
        <f>VLOOKUP(C373,'Talente &amp; Stuff'!IA:JB,28,FALSE)</f>
        <v>0</v>
      </c>
      <c r="AE373" s="28"/>
    </row>
    <row r="374" spans="2:31" ht="15" hidden="1" customHeight="1" outlineLevel="2">
      <c r="B374" s="148">
        <v>8</v>
      </c>
      <c r="C374" s="178" t="str">
        <f>Attribute!C374</f>
        <v>---</v>
      </c>
      <c r="D374" s="159" t="str">
        <f>VLOOKUP(C374,'Talente &amp; Stuff'!IA:JB,2,FALSE)</f>
        <v>--/--/--</v>
      </c>
      <c r="E374" s="159" t="str">
        <f>VLOOKUP(C374,'Talente &amp; Stuff'!IA:JB,3,FALSE)</f>
        <v>-</v>
      </c>
      <c r="F374" s="122">
        <f>VLOOKUP(C374,'Talente &amp; Stuff'!IA:JB,4,FALSE)</f>
        <v>0</v>
      </c>
      <c r="G374" s="122">
        <f>VLOOKUP(C374,'Talente &amp; Stuff'!IA:JB,5,FALSE)</f>
        <v>0</v>
      </c>
      <c r="H374" s="122">
        <f>VLOOKUP(C374,'Talente &amp; Stuff'!IA:JB,6,FALSE)</f>
        <v>0</v>
      </c>
      <c r="I374" s="122">
        <f>VLOOKUP(C374,'Talente &amp; Stuff'!IA:JB,7,FALSE)</f>
        <v>0</v>
      </c>
      <c r="J374" s="122">
        <f>VLOOKUP(C374,'Talente &amp; Stuff'!IA:JB,8,FALSE)</f>
        <v>0</v>
      </c>
      <c r="K374" s="122">
        <f>VLOOKUP(C374,'Talente &amp; Stuff'!IA:JB,9,FALSE)</f>
        <v>0</v>
      </c>
      <c r="L374" s="122">
        <f>VLOOKUP(C374,'Talente &amp; Stuff'!IA:JB,10,FALSE)</f>
        <v>0</v>
      </c>
      <c r="M374" s="122">
        <f>VLOOKUP(C374,'Talente &amp; Stuff'!IA:JB,11,FALSE)</f>
        <v>0</v>
      </c>
      <c r="N374" s="90">
        <f>VLOOKUP(C374,'Talente &amp; Stuff'!IA:JB,12,FALSE)</f>
        <v>0</v>
      </c>
      <c r="O374" s="88">
        <f>VLOOKUP(C374,'Talente &amp; Stuff'!IA:JB,13,FALSE)</f>
        <v>0</v>
      </c>
      <c r="P374" s="123">
        <f>VLOOKUP(C374,'Talente &amp; Stuff'!IA:JB,14,FALSE)</f>
        <v>0</v>
      </c>
      <c r="Q374" s="122">
        <f>VLOOKUP(C374,'Talente &amp; Stuff'!IA:JB,15,FALSE)</f>
        <v>0</v>
      </c>
      <c r="R374" s="122">
        <f>VLOOKUP(C374,'Talente &amp; Stuff'!IA:JB,16,FALSE)</f>
        <v>0</v>
      </c>
      <c r="S374" s="122">
        <f>VLOOKUP(C374,'Talente &amp; Stuff'!IA:JB,17,FALSE)</f>
        <v>0</v>
      </c>
      <c r="T374" s="161">
        <f>VLOOKUP(C374,'Talente &amp; Stuff'!IA:JB,18,FALSE)</f>
        <v>0</v>
      </c>
      <c r="U374" s="88">
        <f>VLOOKUP(C374,'Talente &amp; Stuff'!IA:JB,19,FALSE)</f>
        <v>0</v>
      </c>
      <c r="V374" s="88">
        <f>VLOOKUP(C374,'Talente &amp; Stuff'!IA:JB,20,FALSE)</f>
        <v>0</v>
      </c>
      <c r="W374" s="88">
        <f>VLOOKUP(C374,'Talente &amp; Stuff'!IA:JB,21,FALSE)</f>
        <v>0</v>
      </c>
      <c r="X374" s="159">
        <f>VLOOKUP(C374,'Talente &amp; Stuff'!IA:JB,22,FALSE)</f>
        <v>0</v>
      </c>
      <c r="Y374" s="165">
        <f t="shared" si="26"/>
        <v>0</v>
      </c>
      <c r="Z374" s="44">
        <f t="shared" si="27"/>
        <v>0</v>
      </c>
      <c r="AA374" s="159">
        <f>VLOOKUP(C374,'Talente &amp; Stuff'!IA:JB,25,FALSE)</f>
        <v>0</v>
      </c>
      <c r="AB374" s="161">
        <f>VLOOKUP(C374,'Talente &amp; Stuff'!IA:JB,26,FALSE)</f>
        <v>0</v>
      </c>
      <c r="AC374" s="128">
        <f>VLOOKUP(C374,'Talente &amp; Stuff'!IA:JB,27,FALSE)</f>
        <v>0</v>
      </c>
      <c r="AD374" s="159">
        <f>VLOOKUP(C374,'Talente &amp; Stuff'!IA:JB,28,FALSE)</f>
        <v>0</v>
      </c>
      <c r="AE374" s="28"/>
    </row>
    <row r="375" spans="2:31" ht="15" hidden="1" customHeight="1" outlineLevel="1" collapsed="1">
      <c r="B375" s="134" t="s">
        <v>329</v>
      </c>
      <c r="C375" s="83"/>
      <c r="D375" s="84"/>
      <c r="E375" s="84"/>
    </row>
    <row r="376" spans="2:31" ht="15" hidden="1" customHeight="1" outlineLevel="2">
      <c r="B376" s="148">
        <v>1</v>
      </c>
      <c r="C376" s="176" t="str">
        <f>Attribute!C376</f>
        <v>---</v>
      </c>
      <c r="D376" s="85" t="str">
        <f>VLOOKUP(C376,'Talente &amp; Stuff'!IA:JB,2,FALSE)</f>
        <v>--/--/--</v>
      </c>
      <c r="E376" s="158" t="str">
        <f>VLOOKUP(C376,'Talente &amp; Stuff'!IA:JB,3,FALSE)</f>
        <v>-</v>
      </c>
      <c r="F376" s="118">
        <f>VLOOKUP(C376,'Talente &amp; Stuff'!IA:JB,4,FALSE)</f>
        <v>0</v>
      </c>
      <c r="G376" s="118">
        <f>VLOOKUP(C376,'Talente &amp; Stuff'!IA:JB,5,FALSE)</f>
        <v>0</v>
      </c>
      <c r="H376" s="118">
        <f>VLOOKUP(C376,'Talente &amp; Stuff'!IA:JB,6,FALSE)</f>
        <v>0</v>
      </c>
      <c r="I376" s="118">
        <f>VLOOKUP(C376,'Talente &amp; Stuff'!IA:JB,7,FALSE)</f>
        <v>0</v>
      </c>
      <c r="J376" s="118">
        <f>VLOOKUP(C376,'Talente &amp; Stuff'!IA:JB,8,FALSE)</f>
        <v>0</v>
      </c>
      <c r="K376" s="118">
        <f>VLOOKUP(C376,'Talente &amp; Stuff'!IA:JB,9,FALSE)</f>
        <v>0</v>
      </c>
      <c r="L376" s="118">
        <f>VLOOKUP(C376,'Talente &amp; Stuff'!IA:JB,10,FALSE)</f>
        <v>0</v>
      </c>
      <c r="M376" s="118">
        <f>VLOOKUP(C376,'Talente &amp; Stuff'!IA:JB,11,FALSE)</f>
        <v>0</v>
      </c>
      <c r="N376" s="193">
        <f>VLOOKUP(C376,'Talente &amp; Stuff'!IA:JB,12,FALSE)</f>
        <v>0</v>
      </c>
      <c r="O376" s="116">
        <f>VLOOKUP(C376,'Talente &amp; Stuff'!IA:JB,13,FALSE)</f>
        <v>0</v>
      </c>
      <c r="P376" s="92">
        <f>VLOOKUP(C376,'Talente &amp; Stuff'!IA:JB,14,FALSE)</f>
        <v>0</v>
      </c>
      <c r="Q376" s="118">
        <f>VLOOKUP(C376,'Talente &amp; Stuff'!IA:JB,15,FALSE)</f>
        <v>0</v>
      </c>
      <c r="R376" s="118">
        <f>VLOOKUP(C376,'Talente &amp; Stuff'!IA:JB,16,FALSE)</f>
        <v>0</v>
      </c>
      <c r="S376" s="118">
        <f>VLOOKUP(C376,'Talente &amp; Stuff'!IA:JB,17,FALSE)</f>
        <v>0</v>
      </c>
      <c r="T376" s="91">
        <f>VLOOKUP(C376,'Talente &amp; Stuff'!IA:JB,18,FALSE)</f>
        <v>0</v>
      </c>
      <c r="U376" s="116">
        <f>VLOOKUP(C376,'Talente &amp; Stuff'!IA:JB,19,FALSE)</f>
        <v>0</v>
      </c>
      <c r="V376" s="116">
        <f>VLOOKUP(C376,'Talente &amp; Stuff'!IA:JB,20,FALSE)</f>
        <v>0</v>
      </c>
      <c r="W376" s="116">
        <f>VLOOKUP(C376,'Talente &amp; Stuff'!IA:JB,21,FALSE)</f>
        <v>0</v>
      </c>
      <c r="X376" s="158">
        <f>VLOOKUP(C376,'Talente &amp; Stuff'!IA:JB,22,FALSE)</f>
        <v>0</v>
      </c>
      <c r="Y376" s="165">
        <f t="shared" ref="Y376:Y386" si="28">VLOOKUP(C376,Ausgewählte_Rituale_Gildenmagier,255,FALSE)</f>
        <v>0</v>
      </c>
      <c r="Z376" s="44">
        <f t="shared" ref="Z376:Z386" si="29">VLOOKUP(C376,Ausgewählte_Rituale_Gildenmagier,256,FALSE)</f>
        <v>0</v>
      </c>
      <c r="AA376" s="158">
        <f>VLOOKUP(C376,'Talente &amp; Stuff'!IA:JB,25,FALSE)</f>
        <v>0</v>
      </c>
      <c r="AB376" s="91">
        <f>VLOOKUP(C376,'Talente &amp; Stuff'!IA:JB,26,FALSE)</f>
        <v>0</v>
      </c>
      <c r="AC376" s="126">
        <f>VLOOKUP(C376,'Talente &amp; Stuff'!IA:JB,27,FALSE)</f>
        <v>0</v>
      </c>
      <c r="AD376" s="158">
        <f>VLOOKUP(C376,'Talente &amp; Stuff'!IA:JB,28,FALSE)</f>
        <v>0</v>
      </c>
      <c r="AE376" s="28"/>
    </row>
    <row r="377" spans="2:31" ht="15" hidden="1" customHeight="1" outlineLevel="2">
      <c r="B377" s="148">
        <v>2</v>
      </c>
      <c r="C377" s="177" t="str">
        <f>Attribute!C377</f>
        <v>---</v>
      </c>
      <c r="D377" s="86" t="str">
        <f>VLOOKUP(C377,'Talente &amp; Stuff'!IA:JB,2,FALSE)</f>
        <v>--/--/--</v>
      </c>
      <c r="E377" s="125" t="str">
        <f>VLOOKUP(C377,'Talente &amp; Stuff'!IA:JB,3,FALSE)</f>
        <v>-</v>
      </c>
      <c r="F377" s="113">
        <f>VLOOKUP(C377,'Talente &amp; Stuff'!IA:JB,4,FALSE)</f>
        <v>0</v>
      </c>
      <c r="G377" s="113">
        <f>VLOOKUP(C377,'Talente &amp; Stuff'!IA:JB,5,FALSE)</f>
        <v>0</v>
      </c>
      <c r="H377" s="113">
        <f>VLOOKUP(C377,'Talente &amp; Stuff'!IA:JB,6,FALSE)</f>
        <v>0</v>
      </c>
      <c r="I377" s="113">
        <f>VLOOKUP(C377,'Talente &amp; Stuff'!IA:JB,7,FALSE)</f>
        <v>0</v>
      </c>
      <c r="J377" s="113">
        <f>VLOOKUP(C377,'Talente &amp; Stuff'!IA:JB,8,FALSE)</f>
        <v>0</v>
      </c>
      <c r="K377" s="113">
        <f>VLOOKUP(C377,'Talente &amp; Stuff'!IA:JB,9,FALSE)</f>
        <v>0</v>
      </c>
      <c r="L377" s="113">
        <f>VLOOKUP(C377,'Talente &amp; Stuff'!IA:JB,10,FALSE)</f>
        <v>0</v>
      </c>
      <c r="M377" s="113">
        <f>VLOOKUP(C377,'Talente &amp; Stuff'!IA:JB,11,FALSE)</f>
        <v>0</v>
      </c>
      <c r="N377" s="89">
        <f>VLOOKUP(C377,'Talente &amp; Stuff'!IA:JB,12,FALSE)</f>
        <v>0</v>
      </c>
      <c r="O377" s="47">
        <f>VLOOKUP(C377,'Talente &amp; Stuff'!IA:JB,13,FALSE)</f>
        <v>0</v>
      </c>
      <c r="P377" s="119">
        <f>VLOOKUP(C377,'Talente &amp; Stuff'!IA:JB,14,FALSE)</f>
        <v>0</v>
      </c>
      <c r="Q377" s="113">
        <f>VLOOKUP(C377,'Talente &amp; Stuff'!IA:JB,15,FALSE)</f>
        <v>0</v>
      </c>
      <c r="R377" s="113">
        <f>VLOOKUP(C377,'Talente &amp; Stuff'!IA:JB,16,FALSE)</f>
        <v>0</v>
      </c>
      <c r="S377" s="113">
        <f>VLOOKUP(C377,'Talente &amp; Stuff'!IA:JB,17,FALSE)</f>
        <v>0</v>
      </c>
      <c r="T377" s="160">
        <f>VLOOKUP(C377,'Talente &amp; Stuff'!IA:JB,18,FALSE)</f>
        <v>0</v>
      </c>
      <c r="U377" s="47">
        <f>VLOOKUP(C377,'Talente &amp; Stuff'!IA:JB,19,FALSE)</f>
        <v>0</v>
      </c>
      <c r="V377" s="47">
        <f>VLOOKUP(C377,'Talente &amp; Stuff'!IA:JB,20,FALSE)</f>
        <v>0</v>
      </c>
      <c r="W377" s="47">
        <f>VLOOKUP(C377,'Talente &amp; Stuff'!IA:JB,21,FALSE)</f>
        <v>0</v>
      </c>
      <c r="X377" s="125">
        <f>VLOOKUP(C377,'Talente &amp; Stuff'!IA:JB,22,FALSE)</f>
        <v>0</v>
      </c>
      <c r="Y377" s="165">
        <f t="shared" si="28"/>
        <v>0</v>
      </c>
      <c r="Z377" s="44">
        <f t="shared" si="29"/>
        <v>0</v>
      </c>
      <c r="AA377" s="125">
        <f>VLOOKUP(C377,'Talente &amp; Stuff'!IA:JB,25,FALSE)</f>
        <v>0</v>
      </c>
      <c r="AB377" s="160">
        <f>VLOOKUP(C377,'Talente &amp; Stuff'!IA:JB,26,FALSE)</f>
        <v>0</v>
      </c>
      <c r="AC377" s="127">
        <f>VLOOKUP(C377,'Talente &amp; Stuff'!IA:JB,27,FALSE)</f>
        <v>0</v>
      </c>
      <c r="AD377" s="125">
        <f>VLOOKUP(C377,'Talente &amp; Stuff'!IA:JB,28,FALSE)</f>
        <v>0</v>
      </c>
      <c r="AE377" s="28"/>
    </row>
    <row r="378" spans="2:31" ht="15" hidden="1" customHeight="1" outlineLevel="2">
      <c r="B378" s="148">
        <v>3</v>
      </c>
      <c r="C378" s="177" t="str">
        <f>Attribute!C378</f>
        <v>---</v>
      </c>
      <c r="D378" s="86" t="str">
        <f>VLOOKUP(C378,'Talente &amp; Stuff'!IA:JB,2,FALSE)</f>
        <v>--/--/--</v>
      </c>
      <c r="E378" s="125" t="str">
        <f>VLOOKUP(C378,'Talente &amp; Stuff'!IA:JB,3,FALSE)</f>
        <v>-</v>
      </c>
      <c r="F378" s="113">
        <f>VLOOKUP(C378,'Talente &amp; Stuff'!IA:JB,4,FALSE)</f>
        <v>0</v>
      </c>
      <c r="G378" s="113">
        <f>VLOOKUP(C378,'Talente &amp; Stuff'!IA:JB,5,FALSE)</f>
        <v>0</v>
      </c>
      <c r="H378" s="113">
        <f>VLOOKUP(C378,'Talente &amp; Stuff'!IA:JB,6,FALSE)</f>
        <v>0</v>
      </c>
      <c r="I378" s="113">
        <f>VLOOKUP(C378,'Talente &amp; Stuff'!IA:JB,7,FALSE)</f>
        <v>0</v>
      </c>
      <c r="J378" s="113">
        <f>VLOOKUP(C378,'Talente &amp; Stuff'!IA:JB,8,FALSE)</f>
        <v>0</v>
      </c>
      <c r="K378" s="113">
        <f>VLOOKUP(C378,'Talente &amp; Stuff'!IA:JB,9,FALSE)</f>
        <v>0</v>
      </c>
      <c r="L378" s="113">
        <f>VLOOKUP(C378,'Talente &amp; Stuff'!IA:JB,10,FALSE)</f>
        <v>0</v>
      </c>
      <c r="M378" s="113">
        <f>VLOOKUP(C378,'Talente &amp; Stuff'!IA:JB,11,FALSE)</f>
        <v>0</v>
      </c>
      <c r="N378" s="89">
        <f>VLOOKUP(C378,'Talente &amp; Stuff'!IA:JB,12,FALSE)</f>
        <v>0</v>
      </c>
      <c r="O378" s="47">
        <f>VLOOKUP(C378,'Talente &amp; Stuff'!IA:JB,13,FALSE)</f>
        <v>0</v>
      </c>
      <c r="P378" s="119">
        <f>VLOOKUP(C378,'Talente &amp; Stuff'!IA:JB,14,FALSE)</f>
        <v>0</v>
      </c>
      <c r="Q378" s="113">
        <f>VLOOKUP(C378,'Talente &amp; Stuff'!IA:JB,15,FALSE)</f>
        <v>0</v>
      </c>
      <c r="R378" s="113">
        <f>VLOOKUP(C378,'Talente &amp; Stuff'!IA:JB,16,FALSE)</f>
        <v>0</v>
      </c>
      <c r="S378" s="113">
        <f>VLOOKUP(C378,'Talente &amp; Stuff'!IA:JB,17,FALSE)</f>
        <v>0</v>
      </c>
      <c r="T378" s="160">
        <f>VLOOKUP(C378,'Talente &amp; Stuff'!IA:JB,18,FALSE)</f>
        <v>0</v>
      </c>
      <c r="U378" s="47">
        <f>VLOOKUP(C378,'Talente &amp; Stuff'!IA:JB,19,FALSE)</f>
        <v>0</v>
      </c>
      <c r="V378" s="47">
        <f>VLOOKUP(C378,'Talente &amp; Stuff'!IA:JB,20,FALSE)</f>
        <v>0</v>
      </c>
      <c r="W378" s="47">
        <f>VLOOKUP(C378,'Talente &amp; Stuff'!IA:JB,21,FALSE)</f>
        <v>0</v>
      </c>
      <c r="X378" s="125">
        <f>VLOOKUP(C378,'Talente &amp; Stuff'!IA:JB,22,FALSE)</f>
        <v>0</v>
      </c>
      <c r="Y378" s="165">
        <f t="shared" si="28"/>
        <v>0</v>
      </c>
      <c r="Z378" s="44">
        <f t="shared" si="29"/>
        <v>0</v>
      </c>
      <c r="AA378" s="125">
        <f>VLOOKUP(C378,'Talente &amp; Stuff'!IA:JB,25,FALSE)</f>
        <v>0</v>
      </c>
      <c r="AB378" s="160">
        <f>VLOOKUP(C378,'Talente &amp; Stuff'!IA:JB,26,FALSE)</f>
        <v>0</v>
      </c>
      <c r="AC378" s="127">
        <f>VLOOKUP(C378,'Talente &amp; Stuff'!IA:JB,27,FALSE)</f>
        <v>0</v>
      </c>
      <c r="AD378" s="125">
        <f>VLOOKUP(C378,'Talente &amp; Stuff'!IA:JB,28,FALSE)</f>
        <v>0</v>
      </c>
      <c r="AE378" s="28"/>
    </row>
    <row r="379" spans="2:31" ht="15" hidden="1" customHeight="1" outlineLevel="2">
      <c r="B379" s="148">
        <v>4</v>
      </c>
      <c r="C379" s="177" t="str">
        <f>Attribute!C379</f>
        <v>---</v>
      </c>
      <c r="D379" s="86" t="str">
        <f>VLOOKUP(C379,'Talente &amp; Stuff'!IA:JB,2,FALSE)</f>
        <v>--/--/--</v>
      </c>
      <c r="E379" s="125" t="str">
        <f>VLOOKUP(C379,'Talente &amp; Stuff'!IA:JB,3,FALSE)</f>
        <v>-</v>
      </c>
      <c r="F379" s="113">
        <f>VLOOKUP(C379,'Talente &amp; Stuff'!IA:JB,4,FALSE)</f>
        <v>0</v>
      </c>
      <c r="G379" s="113">
        <f>VLOOKUP(C379,'Talente &amp; Stuff'!IA:JB,5,FALSE)</f>
        <v>0</v>
      </c>
      <c r="H379" s="113">
        <f>VLOOKUP(C379,'Talente &amp; Stuff'!IA:JB,6,FALSE)</f>
        <v>0</v>
      </c>
      <c r="I379" s="113">
        <f>VLOOKUP(C379,'Talente &amp; Stuff'!IA:JB,7,FALSE)</f>
        <v>0</v>
      </c>
      <c r="J379" s="113">
        <f>VLOOKUP(C379,'Talente &amp; Stuff'!IA:JB,8,FALSE)</f>
        <v>0</v>
      </c>
      <c r="K379" s="113">
        <f>VLOOKUP(C379,'Talente &amp; Stuff'!IA:JB,9,FALSE)</f>
        <v>0</v>
      </c>
      <c r="L379" s="113">
        <f>VLOOKUP(C379,'Talente &amp; Stuff'!IA:JB,10,FALSE)</f>
        <v>0</v>
      </c>
      <c r="M379" s="113">
        <f>VLOOKUP(C379,'Talente &amp; Stuff'!IA:JB,11,FALSE)</f>
        <v>0</v>
      </c>
      <c r="N379" s="89">
        <f>VLOOKUP(C379,'Talente &amp; Stuff'!IA:JB,12,FALSE)</f>
        <v>0</v>
      </c>
      <c r="O379" s="47">
        <f>VLOOKUP(C379,'Talente &amp; Stuff'!IA:JB,13,FALSE)</f>
        <v>0</v>
      </c>
      <c r="P379" s="119">
        <f>VLOOKUP(C379,'Talente &amp; Stuff'!IA:JB,14,FALSE)</f>
        <v>0</v>
      </c>
      <c r="Q379" s="113">
        <f>VLOOKUP(C379,'Talente &amp; Stuff'!IA:JB,15,FALSE)</f>
        <v>0</v>
      </c>
      <c r="R379" s="113">
        <f>VLOOKUP(C379,'Talente &amp; Stuff'!IA:JB,16,FALSE)</f>
        <v>0</v>
      </c>
      <c r="S379" s="113">
        <f>VLOOKUP(C379,'Talente &amp; Stuff'!IA:JB,17,FALSE)</f>
        <v>0</v>
      </c>
      <c r="T379" s="160">
        <f>VLOOKUP(C379,'Talente &amp; Stuff'!IA:JB,18,FALSE)</f>
        <v>0</v>
      </c>
      <c r="U379" s="47">
        <f>VLOOKUP(C379,'Talente &amp; Stuff'!IA:JB,19,FALSE)</f>
        <v>0</v>
      </c>
      <c r="V379" s="47">
        <f>VLOOKUP(C379,'Talente &amp; Stuff'!IA:JB,20,FALSE)</f>
        <v>0</v>
      </c>
      <c r="W379" s="47">
        <f>VLOOKUP(C379,'Talente &amp; Stuff'!IA:JB,21,FALSE)</f>
        <v>0</v>
      </c>
      <c r="X379" s="125">
        <f>VLOOKUP(C379,'Talente &amp; Stuff'!IA:JB,22,FALSE)</f>
        <v>0</v>
      </c>
      <c r="Y379" s="165">
        <f t="shared" si="28"/>
        <v>0</v>
      </c>
      <c r="Z379" s="44">
        <f t="shared" si="29"/>
        <v>0</v>
      </c>
      <c r="AA379" s="125">
        <f>VLOOKUP(C379,'Talente &amp; Stuff'!IA:JB,25,FALSE)</f>
        <v>0</v>
      </c>
      <c r="AB379" s="160">
        <f>VLOOKUP(C379,'Talente &amp; Stuff'!IA:JB,26,FALSE)</f>
        <v>0</v>
      </c>
      <c r="AC379" s="127">
        <f>VLOOKUP(C379,'Talente &amp; Stuff'!IA:JB,27,FALSE)</f>
        <v>0</v>
      </c>
      <c r="AD379" s="125">
        <f>VLOOKUP(C379,'Talente &amp; Stuff'!IA:JB,28,FALSE)</f>
        <v>0</v>
      </c>
      <c r="AE379" s="28"/>
    </row>
    <row r="380" spans="2:31" ht="15" hidden="1" customHeight="1" outlineLevel="2">
      <c r="B380" s="148">
        <v>5</v>
      </c>
      <c r="C380" s="177" t="str">
        <f>Attribute!C380</f>
        <v>---</v>
      </c>
      <c r="D380" s="86" t="str">
        <f>VLOOKUP(C380,'Talente &amp; Stuff'!IA:JB,2,FALSE)</f>
        <v>--/--/--</v>
      </c>
      <c r="E380" s="125" t="str">
        <f>VLOOKUP(C380,'Talente &amp; Stuff'!IA:JB,3,FALSE)</f>
        <v>-</v>
      </c>
      <c r="F380" s="113">
        <f>VLOOKUP(C380,'Talente &amp; Stuff'!IA:JB,4,FALSE)</f>
        <v>0</v>
      </c>
      <c r="G380" s="113">
        <f>VLOOKUP(C380,'Talente &amp; Stuff'!IA:JB,5,FALSE)</f>
        <v>0</v>
      </c>
      <c r="H380" s="113">
        <f>VLOOKUP(C380,'Talente &amp; Stuff'!IA:JB,6,FALSE)</f>
        <v>0</v>
      </c>
      <c r="I380" s="113">
        <f>VLOOKUP(C380,'Talente &amp; Stuff'!IA:JB,7,FALSE)</f>
        <v>0</v>
      </c>
      <c r="J380" s="113">
        <f>VLOOKUP(C380,'Talente &amp; Stuff'!IA:JB,8,FALSE)</f>
        <v>0</v>
      </c>
      <c r="K380" s="113">
        <f>VLOOKUP(C380,'Talente &amp; Stuff'!IA:JB,9,FALSE)</f>
        <v>0</v>
      </c>
      <c r="L380" s="113">
        <f>VLOOKUP(C380,'Talente &amp; Stuff'!IA:JB,10,FALSE)</f>
        <v>0</v>
      </c>
      <c r="M380" s="113">
        <f>VLOOKUP(C380,'Talente &amp; Stuff'!IA:JB,11,FALSE)</f>
        <v>0</v>
      </c>
      <c r="N380" s="89">
        <f>VLOOKUP(C380,'Talente &amp; Stuff'!IA:JB,12,FALSE)</f>
        <v>0</v>
      </c>
      <c r="O380" s="47">
        <f>VLOOKUP(C380,'Talente &amp; Stuff'!IA:JB,13,FALSE)</f>
        <v>0</v>
      </c>
      <c r="P380" s="119">
        <f>VLOOKUP(C380,'Talente &amp; Stuff'!IA:JB,14,FALSE)</f>
        <v>0</v>
      </c>
      <c r="Q380" s="113">
        <f>VLOOKUP(C380,'Talente &amp; Stuff'!IA:JB,15,FALSE)</f>
        <v>0</v>
      </c>
      <c r="R380" s="113">
        <f>VLOOKUP(C380,'Talente &amp; Stuff'!IA:JB,16,FALSE)</f>
        <v>0</v>
      </c>
      <c r="S380" s="113">
        <f>VLOOKUP(C380,'Talente &amp; Stuff'!IA:JB,17,FALSE)</f>
        <v>0</v>
      </c>
      <c r="T380" s="160">
        <f>VLOOKUP(C380,'Talente &amp; Stuff'!IA:JB,18,FALSE)</f>
        <v>0</v>
      </c>
      <c r="U380" s="47">
        <f>VLOOKUP(C380,'Talente &amp; Stuff'!IA:JB,19,FALSE)</f>
        <v>0</v>
      </c>
      <c r="V380" s="47">
        <f>VLOOKUP(C380,'Talente &amp; Stuff'!IA:JB,20,FALSE)</f>
        <v>0</v>
      </c>
      <c r="W380" s="47">
        <f>VLOOKUP(C380,'Talente &amp; Stuff'!IA:JB,21,FALSE)</f>
        <v>0</v>
      </c>
      <c r="X380" s="125">
        <f>VLOOKUP(C380,'Talente &amp; Stuff'!IA:JB,22,FALSE)</f>
        <v>0</v>
      </c>
      <c r="Y380" s="165">
        <f t="shared" si="28"/>
        <v>0</v>
      </c>
      <c r="Z380" s="44">
        <f t="shared" si="29"/>
        <v>0</v>
      </c>
      <c r="AA380" s="125">
        <f>VLOOKUP(C380,'Talente &amp; Stuff'!IA:JB,25,FALSE)</f>
        <v>0</v>
      </c>
      <c r="AB380" s="160">
        <f>VLOOKUP(C380,'Talente &amp; Stuff'!IA:JB,26,FALSE)</f>
        <v>0</v>
      </c>
      <c r="AC380" s="127">
        <f>VLOOKUP(C380,'Talente &amp; Stuff'!IA:JB,27,FALSE)</f>
        <v>0</v>
      </c>
      <c r="AD380" s="125">
        <f>VLOOKUP(C380,'Talente &amp; Stuff'!IA:JB,28,FALSE)</f>
        <v>0</v>
      </c>
      <c r="AE380" s="28"/>
    </row>
    <row r="381" spans="2:31" ht="15" hidden="1" customHeight="1" outlineLevel="2">
      <c r="B381" s="148">
        <v>6</v>
      </c>
      <c r="C381" s="177" t="str">
        <f>Attribute!C381</f>
        <v>---</v>
      </c>
      <c r="D381" s="86" t="str">
        <f>VLOOKUP(C381,'Talente &amp; Stuff'!IA:JB,2,FALSE)</f>
        <v>--/--/--</v>
      </c>
      <c r="E381" s="125" t="str">
        <f>VLOOKUP(C381,'Talente &amp; Stuff'!IA:JB,3,FALSE)</f>
        <v>-</v>
      </c>
      <c r="F381" s="113">
        <f>VLOOKUP(C381,'Talente &amp; Stuff'!IA:JB,4,FALSE)</f>
        <v>0</v>
      </c>
      <c r="G381" s="113">
        <f>VLOOKUP(C381,'Talente &amp; Stuff'!IA:JB,5,FALSE)</f>
        <v>0</v>
      </c>
      <c r="H381" s="113">
        <f>VLOOKUP(C381,'Talente &amp; Stuff'!IA:JB,6,FALSE)</f>
        <v>0</v>
      </c>
      <c r="I381" s="113">
        <f>VLOOKUP(C381,'Talente &amp; Stuff'!IA:JB,7,FALSE)</f>
        <v>0</v>
      </c>
      <c r="J381" s="113">
        <f>VLOOKUP(C381,'Talente &amp; Stuff'!IA:JB,8,FALSE)</f>
        <v>0</v>
      </c>
      <c r="K381" s="113">
        <f>VLOOKUP(C381,'Talente &amp; Stuff'!IA:JB,9,FALSE)</f>
        <v>0</v>
      </c>
      <c r="L381" s="113">
        <f>VLOOKUP(C381,'Talente &amp; Stuff'!IA:JB,10,FALSE)</f>
        <v>0</v>
      </c>
      <c r="M381" s="113">
        <f>VLOOKUP(C381,'Talente &amp; Stuff'!IA:JB,11,FALSE)</f>
        <v>0</v>
      </c>
      <c r="N381" s="89">
        <f>VLOOKUP(C381,'Talente &amp; Stuff'!IA:JB,12,FALSE)</f>
        <v>0</v>
      </c>
      <c r="O381" s="47">
        <f>VLOOKUP(C381,'Talente &amp; Stuff'!IA:JB,13,FALSE)</f>
        <v>0</v>
      </c>
      <c r="P381" s="119">
        <f>VLOOKUP(C381,'Talente &amp; Stuff'!IA:JB,14,FALSE)</f>
        <v>0</v>
      </c>
      <c r="Q381" s="113">
        <f>VLOOKUP(C381,'Talente &amp; Stuff'!IA:JB,15,FALSE)</f>
        <v>0</v>
      </c>
      <c r="R381" s="113">
        <f>VLOOKUP(C381,'Talente &amp; Stuff'!IA:JB,16,FALSE)</f>
        <v>0</v>
      </c>
      <c r="S381" s="113">
        <f>VLOOKUP(C381,'Talente &amp; Stuff'!IA:JB,17,FALSE)</f>
        <v>0</v>
      </c>
      <c r="T381" s="160">
        <f>VLOOKUP(C381,'Talente &amp; Stuff'!IA:JB,18,FALSE)</f>
        <v>0</v>
      </c>
      <c r="U381" s="47">
        <f>VLOOKUP(C381,'Talente &amp; Stuff'!IA:JB,19,FALSE)</f>
        <v>0</v>
      </c>
      <c r="V381" s="47">
        <f>VLOOKUP(C381,'Talente &amp; Stuff'!IA:JB,20,FALSE)</f>
        <v>0</v>
      </c>
      <c r="W381" s="47">
        <f>VLOOKUP(C381,'Talente &amp; Stuff'!IA:JB,21,FALSE)</f>
        <v>0</v>
      </c>
      <c r="X381" s="125">
        <f>VLOOKUP(C381,'Talente &amp; Stuff'!IA:JB,22,FALSE)</f>
        <v>0</v>
      </c>
      <c r="Y381" s="165">
        <f t="shared" si="28"/>
        <v>0</v>
      </c>
      <c r="Z381" s="44">
        <f t="shared" si="29"/>
        <v>0</v>
      </c>
      <c r="AA381" s="125">
        <f>VLOOKUP(C381,'Talente &amp; Stuff'!IA:JB,25,FALSE)</f>
        <v>0</v>
      </c>
      <c r="AB381" s="160">
        <f>VLOOKUP(C381,'Talente &amp; Stuff'!IA:JB,26,FALSE)</f>
        <v>0</v>
      </c>
      <c r="AC381" s="127">
        <f>VLOOKUP(C381,'Talente &amp; Stuff'!IA:JB,27,FALSE)</f>
        <v>0</v>
      </c>
      <c r="AD381" s="125">
        <f>VLOOKUP(C381,'Talente &amp; Stuff'!IA:JB,28,FALSE)</f>
        <v>0</v>
      </c>
      <c r="AE381" s="28"/>
    </row>
    <row r="382" spans="2:31" ht="15" hidden="1" customHeight="1" outlineLevel="2">
      <c r="B382" s="148">
        <v>7</v>
      </c>
      <c r="C382" s="177" t="str">
        <f>Attribute!C382</f>
        <v>---</v>
      </c>
      <c r="D382" s="86" t="str">
        <f>VLOOKUP(C382,'Talente &amp; Stuff'!IA:JB,2,FALSE)</f>
        <v>--/--/--</v>
      </c>
      <c r="E382" s="125" t="str">
        <f>VLOOKUP(C382,'Talente &amp; Stuff'!IA:JB,3,FALSE)</f>
        <v>-</v>
      </c>
      <c r="F382" s="113">
        <f>VLOOKUP(C382,'Talente &amp; Stuff'!IA:JB,4,FALSE)</f>
        <v>0</v>
      </c>
      <c r="G382" s="113">
        <f>VLOOKUP(C382,'Talente &amp; Stuff'!IA:JB,5,FALSE)</f>
        <v>0</v>
      </c>
      <c r="H382" s="113">
        <f>VLOOKUP(C382,'Talente &amp; Stuff'!IA:JB,6,FALSE)</f>
        <v>0</v>
      </c>
      <c r="I382" s="113">
        <f>VLOOKUP(C382,'Talente &amp; Stuff'!IA:JB,7,FALSE)</f>
        <v>0</v>
      </c>
      <c r="J382" s="113">
        <f>VLOOKUP(C382,'Talente &amp; Stuff'!IA:JB,8,FALSE)</f>
        <v>0</v>
      </c>
      <c r="K382" s="113">
        <f>VLOOKUP(C382,'Talente &amp; Stuff'!IA:JB,9,FALSE)</f>
        <v>0</v>
      </c>
      <c r="L382" s="113">
        <f>VLOOKUP(C382,'Talente &amp; Stuff'!IA:JB,10,FALSE)</f>
        <v>0</v>
      </c>
      <c r="M382" s="113">
        <f>VLOOKUP(C382,'Talente &amp; Stuff'!IA:JB,11,FALSE)</f>
        <v>0</v>
      </c>
      <c r="N382" s="89">
        <f>VLOOKUP(C382,'Talente &amp; Stuff'!IA:JB,12,FALSE)</f>
        <v>0</v>
      </c>
      <c r="O382" s="47">
        <f>VLOOKUP(C382,'Talente &amp; Stuff'!IA:JB,13,FALSE)</f>
        <v>0</v>
      </c>
      <c r="P382" s="119">
        <f>VLOOKUP(C382,'Talente &amp; Stuff'!IA:JB,14,FALSE)</f>
        <v>0</v>
      </c>
      <c r="Q382" s="113">
        <f>VLOOKUP(C382,'Talente &amp; Stuff'!IA:JB,15,FALSE)</f>
        <v>0</v>
      </c>
      <c r="R382" s="113">
        <f>VLOOKUP(C382,'Talente &amp; Stuff'!IA:JB,16,FALSE)</f>
        <v>0</v>
      </c>
      <c r="S382" s="113">
        <f>VLOOKUP(C382,'Talente &amp; Stuff'!IA:JB,17,FALSE)</f>
        <v>0</v>
      </c>
      <c r="T382" s="160">
        <f>VLOOKUP(C382,'Talente &amp; Stuff'!IA:JB,18,FALSE)</f>
        <v>0</v>
      </c>
      <c r="U382" s="47">
        <f>VLOOKUP(C382,'Talente &amp; Stuff'!IA:JB,19,FALSE)</f>
        <v>0</v>
      </c>
      <c r="V382" s="47">
        <f>VLOOKUP(C382,'Talente &amp; Stuff'!IA:JB,20,FALSE)</f>
        <v>0</v>
      </c>
      <c r="W382" s="47">
        <f>VLOOKUP(C382,'Talente &amp; Stuff'!IA:JB,21,FALSE)</f>
        <v>0</v>
      </c>
      <c r="X382" s="125">
        <f>VLOOKUP(C382,'Talente &amp; Stuff'!IA:JB,22,FALSE)</f>
        <v>0</v>
      </c>
      <c r="Y382" s="165">
        <f t="shared" si="28"/>
        <v>0</v>
      </c>
      <c r="Z382" s="44">
        <f t="shared" si="29"/>
        <v>0</v>
      </c>
      <c r="AA382" s="125">
        <f>VLOOKUP(C382,'Talente &amp; Stuff'!IA:JB,25,FALSE)</f>
        <v>0</v>
      </c>
      <c r="AB382" s="160">
        <f>VLOOKUP(C382,'Talente &amp; Stuff'!IA:JB,26,FALSE)</f>
        <v>0</v>
      </c>
      <c r="AC382" s="127">
        <f>VLOOKUP(C382,'Talente &amp; Stuff'!IA:JB,27,FALSE)</f>
        <v>0</v>
      </c>
      <c r="AD382" s="125">
        <f>VLOOKUP(C382,'Talente &amp; Stuff'!IA:JB,28,FALSE)</f>
        <v>0</v>
      </c>
      <c r="AE382" s="28"/>
    </row>
    <row r="383" spans="2:31" ht="15" hidden="1" customHeight="1" outlineLevel="2">
      <c r="B383" s="148">
        <v>8</v>
      </c>
      <c r="C383" s="177" t="str">
        <f>Attribute!C383</f>
        <v>---</v>
      </c>
      <c r="D383" s="86" t="str">
        <f>VLOOKUP(C383,'Talente &amp; Stuff'!IA:JB,2,FALSE)</f>
        <v>--/--/--</v>
      </c>
      <c r="E383" s="125" t="str">
        <f>VLOOKUP(C383,'Talente &amp; Stuff'!IA:JB,3,FALSE)</f>
        <v>-</v>
      </c>
      <c r="F383" s="113">
        <f>VLOOKUP(C383,'Talente &amp; Stuff'!IA:JB,4,FALSE)</f>
        <v>0</v>
      </c>
      <c r="G383" s="113">
        <f>VLOOKUP(C383,'Talente &amp; Stuff'!IA:JB,5,FALSE)</f>
        <v>0</v>
      </c>
      <c r="H383" s="113">
        <f>VLOOKUP(C383,'Talente &amp; Stuff'!IA:JB,6,FALSE)</f>
        <v>0</v>
      </c>
      <c r="I383" s="113">
        <f>VLOOKUP(C383,'Talente &amp; Stuff'!IA:JB,7,FALSE)</f>
        <v>0</v>
      </c>
      <c r="J383" s="113">
        <f>VLOOKUP(C383,'Talente &amp; Stuff'!IA:JB,8,FALSE)</f>
        <v>0</v>
      </c>
      <c r="K383" s="113">
        <f>VLOOKUP(C383,'Talente &amp; Stuff'!IA:JB,9,FALSE)</f>
        <v>0</v>
      </c>
      <c r="L383" s="113">
        <f>VLOOKUP(C383,'Talente &amp; Stuff'!IA:JB,10,FALSE)</f>
        <v>0</v>
      </c>
      <c r="M383" s="113">
        <f>VLOOKUP(C383,'Talente &amp; Stuff'!IA:JB,11,FALSE)</f>
        <v>0</v>
      </c>
      <c r="N383" s="89">
        <f>VLOOKUP(C383,'Talente &amp; Stuff'!IA:JB,12,FALSE)</f>
        <v>0</v>
      </c>
      <c r="O383" s="47">
        <f>VLOOKUP(C383,'Talente &amp; Stuff'!IA:JB,13,FALSE)</f>
        <v>0</v>
      </c>
      <c r="P383" s="119">
        <f>VLOOKUP(C383,'Talente &amp; Stuff'!IA:JB,14,FALSE)</f>
        <v>0</v>
      </c>
      <c r="Q383" s="113">
        <f>VLOOKUP(C383,'Talente &amp; Stuff'!IA:JB,15,FALSE)</f>
        <v>0</v>
      </c>
      <c r="R383" s="113">
        <f>VLOOKUP(C383,'Talente &amp; Stuff'!IA:JB,16,FALSE)</f>
        <v>0</v>
      </c>
      <c r="S383" s="113">
        <f>VLOOKUP(C383,'Talente &amp; Stuff'!IA:JB,17,FALSE)</f>
        <v>0</v>
      </c>
      <c r="T383" s="160">
        <f>VLOOKUP(C383,'Talente &amp; Stuff'!IA:JB,18,FALSE)</f>
        <v>0</v>
      </c>
      <c r="U383" s="47">
        <f>VLOOKUP(C383,'Talente &amp; Stuff'!IA:JB,19,FALSE)</f>
        <v>0</v>
      </c>
      <c r="V383" s="47">
        <f>VLOOKUP(C383,'Talente &amp; Stuff'!IA:JB,20,FALSE)</f>
        <v>0</v>
      </c>
      <c r="W383" s="47">
        <f>VLOOKUP(C383,'Talente &amp; Stuff'!IA:JB,21,FALSE)</f>
        <v>0</v>
      </c>
      <c r="X383" s="125">
        <f>VLOOKUP(C383,'Talente &amp; Stuff'!IA:JB,22,FALSE)</f>
        <v>0</v>
      </c>
      <c r="Y383" s="165">
        <f t="shared" si="28"/>
        <v>0</v>
      </c>
      <c r="Z383" s="44">
        <f t="shared" si="29"/>
        <v>0</v>
      </c>
      <c r="AA383" s="125">
        <f>VLOOKUP(C383,'Talente &amp; Stuff'!IA:JB,25,FALSE)</f>
        <v>0</v>
      </c>
      <c r="AB383" s="160">
        <f>VLOOKUP(C383,'Talente &amp; Stuff'!IA:JB,26,FALSE)</f>
        <v>0</v>
      </c>
      <c r="AC383" s="127">
        <f>VLOOKUP(C383,'Talente &amp; Stuff'!IA:JB,27,FALSE)</f>
        <v>0</v>
      </c>
      <c r="AD383" s="125">
        <f>VLOOKUP(C383,'Talente &amp; Stuff'!IA:JB,28,FALSE)</f>
        <v>0</v>
      </c>
      <c r="AE383" s="28"/>
    </row>
    <row r="384" spans="2:31" ht="15" hidden="1" customHeight="1" outlineLevel="2">
      <c r="B384" s="148">
        <v>9</v>
      </c>
      <c r="C384" s="177" t="str">
        <f>Attribute!C384</f>
        <v>---</v>
      </c>
      <c r="D384" s="86" t="str">
        <f>VLOOKUP(C384,'Talente &amp; Stuff'!IA:JB,2,FALSE)</f>
        <v>--/--/--</v>
      </c>
      <c r="E384" s="125" t="str">
        <f>VLOOKUP(C384,'Talente &amp; Stuff'!IA:JB,3,FALSE)</f>
        <v>-</v>
      </c>
      <c r="F384" s="113">
        <f>VLOOKUP(C384,'Talente &amp; Stuff'!IA:JB,4,FALSE)</f>
        <v>0</v>
      </c>
      <c r="G384" s="113">
        <f>VLOOKUP(C384,'Talente &amp; Stuff'!IA:JB,5,FALSE)</f>
        <v>0</v>
      </c>
      <c r="H384" s="113">
        <f>VLOOKUP(C384,'Talente &amp; Stuff'!IA:JB,6,FALSE)</f>
        <v>0</v>
      </c>
      <c r="I384" s="113">
        <f>VLOOKUP(C384,'Talente &amp; Stuff'!IA:JB,7,FALSE)</f>
        <v>0</v>
      </c>
      <c r="J384" s="113">
        <f>VLOOKUP(C384,'Talente &amp; Stuff'!IA:JB,8,FALSE)</f>
        <v>0</v>
      </c>
      <c r="K384" s="113">
        <f>VLOOKUP(C384,'Talente &amp; Stuff'!IA:JB,9,FALSE)</f>
        <v>0</v>
      </c>
      <c r="L384" s="113">
        <f>VLOOKUP(C384,'Talente &amp; Stuff'!IA:JB,10,FALSE)</f>
        <v>0</v>
      </c>
      <c r="M384" s="113">
        <f>VLOOKUP(C384,'Talente &amp; Stuff'!IA:JB,11,FALSE)</f>
        <v>0</v>
      </c>
      <c r="N384" s="89">
        <f>VLOOKUP(C384,'Talente &amp; Stuff'!IA:JB,12,FALSE)</f>
        <v>0</v>
      </c>
      <c r="O384" s="47">
        <f>VLOOKUP(C384,'Talente &amp; Stuff'!IA:JB,13,FALSE)</f>
        <v>0</v>
      </c>
      <c r="P384" s="119">
        <f>VLOOKUP(C384,'Talente &amp; Stuff'!IA:JB,14,FALSE)</f>
        <v>0</v>
      </c>
      <c r="Q384" s="113">
        <f>VLOOKUP(C384,'Talente &amp; Stuff'!IA:JB,15,FALSE)</f>
        <v>0</v>
      </c>
      <c r="R384" s="113">
        <f>VLOOKUP(C384,'Talente &amp; Stuff'!IA:JB,16,FALSE)</f>
        <v>0</v>
      </c>
      <c r="S384" s="113">
        <f>VLOOKUP(C384,'Talente &amp; Stuff'!IA:JB,17,FALSE)</f>
        <v>0</v>
      </c>
      <c r="T384" s="160">
        <f>VLOOKUP(C384,'Talente &amp; Stuff'!IA:JB,18,FALSE)</f>
        <v>0</v>
      </c>
      <c r="U384" s="47">
        <f>VLOOKUP(C384,'Talente &amp; Stuff'!IA:JB,19,FALSE)</f>
        <v>0</v>
      </c>
      <c r="V384" s="47">
        <f>VLOOKUP(C384,'Talente &amp; Stuff'!IA:JB,20,FALSE)</f>
        <v>0</v>
      </c>
      <c r="W384" s="47">
        <f>VLOOKUP(C384,'Talente &amp; Stuff'!IA:JB,21,FALSE)</f>
        <v>0</v>
      </c>
      <c r="X384" s="125">
        <f>VLOOKUP(C384,'Talente &amp; Stuff'!IA:JB,22,FALSE)</f>
        <v>0</v>
      </c>
      <c r="Y384" s="165">
        <f t="shared" si="28"/>
        <v>0</v>
      </c>
      <c r="Z384" s="44">
        <f t="shared" si="29"/>
        <v>0</v>
      </c>
      <c r="AA384" s="125">
        <f>VLOOKUP(C384,'Talente &amp; Stuff'!IA:JB,25,FALSE)</f>
        <v>0</v>
      </c>
      <c r="AB384" s="160">
        <f>VLOOKUP(C384,'Talente &amp; Stuff'!IA:JB,26,FALSE)</f>
        <v>0</v>
      </c>
      <c r="AC384" s="127">
        <f>VLOOKUP(C384,'Talente &amp; Stuff'!IA:JB,27,FALSE)</f>
        <v>0</v>
      </c>
      <c r="AD384" s="125">
        <f>VLOOKUP(C384,'Talente &amp; Stuff'!IA:JB,28,FALSE)</f>
        <v>0</v>
      </c>
      <c r="AE384" s="28"/>
    </row>
    <row r="385" spans="1:31" ht="15" hidden="1" customHeight="1" outlineLevel="2">
      <c r="B385" s="148">
        <v>10</v>
      </c>
      <c r="C385" s="177" t="str">
        <f>Attribute!C385</f>
        <v>---</v>
      </c>
      <c r="D385" s="86" t="str">
        <f>VLOOKUP(C385,'Talente &amp; Stuff'!IA:JB,2,FALSE)</f>
        <v>--/--/--</v>
      </c>
      <c r="E385" s="125" t="str">
        <f>VLOOKUP(C385,'Talente &amp; Stuff'!IA:JB,3,FALSE)</f>
        <v>-</v>
      </c>
      <c r="F385" s="113">
        <f>VLOOKUP(C385,'Talente &amp; Stuff'!IA:JB,4,FALSE)</f>
        <v>0</v>
      </c>
      <c r="G385" s="113">
        <f>VLOOKUP(C385,'Talente &amp; Stuff'!IA:JB,5,FALSE)</f>
        <v>0</v>
      </c>
      <c r="H385" s="113">
        <f>VLOOKUP(C385,'Talente &amp; Stuff'!IA:JB,6,FALSE)</f>
        <v>0</v>
      </c>
      <c r="I385" s="113">
        <f>VLOOKUP(C385,'Talente &amp; Stuff'!IA:JB,7,FALSE)</f>
        <v>0</v>
      </c>
      <c r="J385" s="113">
        <f>VLOOKUP(C385,'Talente &amp; Stuff'!IA:JB,8,FALSE)</f>
        <v>0</v>
      </c>
      <c r="K385" s="113">
        <f>VLOOKUP(C385,'Talente &amp; Stuff'!IA:JB,9,FALSE)</f>
        <v>0</v>
      </c>
      <c r="L385" s="113">
        <f>VLOOKUP(C385,'Talente &amp; Stuff'!IA:JB,10,FALSE)</f>
        <v>0</v>
      </c>
      <c r="M385" s="113">
        <f>VLOOKUP(C385,'Talente &amp; Stuff'!IA:JB,11,FALSE)</f>
        <v>0</v>
      </c>
      <c r="N385" s="89">
        <f>VLOOKUP(C385,'Talente &amp; Stuff'!IA:JB,12,FALSE)</f>
        <v>0</v>
      </c>
      <c r="O385" s="47">
        <f>VLOOKUP(C385,'Talente &amp; Stuff'!IA:JB,13,FALSE)</f>
        <v>0</v>
      </c>
      <c r="P385" s="119">
        <f>VLOOKUP(C385,'Talente &amp; Stuff'!IA:JB,14,FALSE)</f>
        <v>0</v>
      </c>
      <c r="Q385" s="113">
        <f>VLOOKUP(C385,'Talente &amp; Stuff'!IA:JB,15,FALSE)</f>
        <v>0</v>
      </c>
      <c r="R385" s="113">
        <f>VLOOKUP(C385,'Talente &amp; Stuff'!IA:JB,16,FALSE)</f>
        <v>0</v>
      </c>
      <c r="S385" s="113">
        <f>VLOOKUP(C385,'Talente &amp; Stuff'!IA:JB,17,FALSE)</f>
        <v>0</v>
      </c>
      <c r="T385" s="160">
        <f>VLOOKUP(C385,'Talente &amp; Stuff'!IA:JB,18,FALSE)</f>
        <v>0</v>
      </c>
      <c r="U385" s="47">
        <f>VLOOKUP(C385,'Talente &amp; Stuff'!IA:JB,19,FALSE)</f>
        <v>0</v>
      </c>
      <c r="V385" s="47">
        <f>VLOOKUP(C385,'Talente &amp; Stuff'!IA:JB,20,FALSE)</f>
        <v>0</v>
      </c>
      <c r="W385" s="47">
        <f>VLOOKUP(C385,'Talente &amp; Stuff'!IA:JB,21,FALSE)</f>
        <v>0</v>
      </c>
      <c r="X385" s="125">
        <f>VLOOKUP(C385,'Talente &amp; Stuff'!IA:JB,22,FALSE)</f>
        <v>0</v>
      </c>
      <c r="Y385" s="165">
        <f t="shared" si="28"/>
        <v>0</v>
      </c>
      <c r="Z385" s="44">
        <f t="shared" si="29"/>
        <v>0</v>
      </c>
      <c r="AA385" s="125">
        <f>VLOOKUP(C385,'Talente &amp; Stuff'!IA:JB,25,FALSE)</f>
        <v>0</v>
      </c>
      <c r="AB385" s="160">
        <f>VLOOKUP(C385,'Talente &amp; Stuff'!IA:JB,26,FALSE)</f>
        <v>0</v>
      </c>
      <c r="AC385" s="127">
        <f>VLOOKUP(C385,'Talente &amp; Stuff'!IA:JB,27,FALSE)</f>
        <v>0</v>
      </c>
      <c r="AD385" s="125">
        <f>VLOOKUP(C385,'Talente &amp; Stuff'!IA:JB,28,FALSE)</f>
        <v>0</v>
      </c>
      <c r="AE385" s="28"/>
    </row>
    <row r="386" spans="1:31" ht="15" hidden="1" customHeight="1" outlineLevel="2">
      <c r="B386" s="148">
        <v>11</v>
      </c>
      <c r="C386" s="177" t="str">
        <f>Attribute!C386</f>
        <v>---</v>
      </c>
      <c r="D386" s="87" t="str">
        <f>VLOOKUP(C386,'Talente &amp; Stuff'!IA:JB,2,FALSE)</f>
        <v>--/--/--</v>
      </c>
      <c r="E386" s="159" t="str">
        <f>VLOOKUP(C386,'Talente &amp; Stuff'!IA:JB,3,FALSE)</f>
        <v>-</v>
      </c>
      <c r="F386" s="122">
        <f>VLOOKUP(C386,'Talente &amp; Stuff'!IA:JB,4,FALSE)</f>
        <v>0</v>
      </c>
      <c r="G386" s="122">
        <f>VLOOKUP(C386,'Talente &amp; Stuff'!IA:JB,5,FALSE)</f>
        <v>0</v>
      </c>
      <c r="H386" s="122">
        <f>VLOOKUP(C386,'Talente &amp; Stuff'!IA:JB,6,FALSE)</f>
        <v>0</v>
      </c>
      <c r="I386" s="122">
        <f>VLOOKUP(C386,'Talente &amp; Stuff'!IA:JB,7,FALSE)</f>
        <v>0</v>
      </c>
      <c r="J386" s="122">
        <f>VLOOKUP(C386,'Talente &amp; Stuff'!IA:JB,8,FALSE)</f>
        <v>0</v>
      </c>
      <c r="K386" s="122">
        <f>VLOOKUP(C386,'Talente &amp; Stuff'!IA:JB,9,FALSE)</f>
        <v>0</v>
      </c>
      <c r="L386" s="122">
        <f>VLOOKUP(C386,'Talente &amp; Stuff'!IA:JB,10,FALSE)</f>
        <v>0</v>
      </c>
      <c r="M386" s="122">
        <f>VLOOKUP(C386,'Talente &amp; Stuff'!IA:JB,11,FALSE)</f>
        <v>0</v>
      </c>
      <c r="N386" s="90">
        <f>VLOOKUP(C386,'Talente &amp; Stuff'!IA:JB,12,FALSE)</f>
        <v>0</v>
      </c>
      <c r="O386" s="88">
        <f>VLOOKUP(C386,'Talente &amp; Stuff'!IA:JB,13,FALSE)</f>
        <v>0</v>
      </c>
      <c r="P386" s="123">
        <f>VLOOKUP(C386,'Talente &amp; Stuff'!IA:JB,14,FALSE)</f>
        <v>0</v>
      </c>
      <c r="Q386" s="122">
        <f>VLOOKUP(C386,'Talente &amp; Stuff'!IA:JB,15,FALSE)</f>
        <v>0</v>
      </c>
      <c r="R386" s="122">
        <f>VLOOKUP(C386,'Talente &amp; Stuff'!IA:JB,16,FALSE)</f>
        <v>0</v>
      </c>
      <c r="S386" s="122">
        <f>VLOOKUP(C386,'Talente &amp; Stuff'!IA:JB,17,FALSE)</f>
        <v>0</v>
      </c>
      <c r="T386" s="161">
        <f>VLOOKUP(C386,'Talente &amp; Stuff'!IA:JB,18,FALSE)</f>
        <v>0</v>
      </c>
      <c r="U386" s="88">
        <f>VLOOKUP(C386,'Talente &amp; Stuff'!IA:JB,19,FALSE)</f>
        <v>0</v>
      </c>
      <c r="V386" s="88">
        <f>VLOOKUP(C386,'Talente &amp; Stuff'!IA:JB,20,FALSE)</f>
        <v>0</v>
      </c>
      <c r="W386" s="88">
        <f>VLOOKUP(C386,'Talente &amp; Stuff'!IA:JB,21,FALSE)</f>
        <v>0</v>
      </c>
      <c r="X386" s="159">
        <f>VLOOKUP(C386,'Talente &amp; Stuff'!IA:JB,22,FALSE)</f>
        <v>0</v>
      </c>
      <c r="Y386" s="165">
        <f t="shared" si="28"/>
        <v>0</v>
      </c>
      <c r="Z386" s="44">
        <f t="shared" si="29"/>
        <v>0</v>
      </c>
      <c r="AA386" s="159">
        <f>VLOOKUP(C386,'Talente &amp; Stuff'!IA:JB,25,FALSE)</f>
        <v>0</v>
      </c>
      <c r="AB386" s="161">
        <f>VLOOKUP(C386,'Talente &amp; Stuff'!IA:JB,26,FALSE)</f>
        <v>0</v>
      </c>
      <c r="AC386" s="128">
        <f>VLOOKUP(C386,'Talente &amp; Stuff'!IA:JB,27,FALSE)</f>
        <v>0</v>
      </c>
      <c r="AD386" s="159">
        <f>VLOOKUP(C386,'Talente &amp; Stuff'!IA:JB,28,FALSE)</f>
        <v>0</v>
      </c>
      <c r="AE386" s="28"/>
    </row>
    <row r="387" spans="1:31" ht="15" hidden="1" customHeight="1" outlineLevel="1" collapsed="1">
      <c r="B387" s="134" t="s">
        <v>328</v>
      </c>
      <c r="C387" s="83"/>
      <c r="D387" s="84"/>
      <c r="E387" s="84"/>
    </row>
    <row r="388" spans="1:31" ht="15" hidden="1" customHeight="1" outlineLevel="2">
      <c r="B388" s="148">
        <v>1</v>
      </c>
      <c r="C388" s="176" t="str">
        <f>Attribute!C388</f>
        <v>---</v>
      </c>
      <c r="D388" s="85" t="str">
        <f>VLOOKUP(C388,'Talente &amp; Stuff'!IA:JB,2,FALSE)</f>
        <v>--/--/--</v>
      </c>
      <c r="E388" s="158" t="str">
        <f>VLOOKUP(C388,'Talente &amp; Stuff'!IA:JB,3,FALSE)</f>
        <v>-</v>
      </c>
      <c r="F388" s="118">
        <f>VLOOKUP(C388,'Talente &amp; Stuff'!IA:JB,4,FALSE)</f>
        <v>0</v>
      </c>
      <c r="G388" s="118">
        <f>VLOOKUP(C388,'Talente &amp; Stuff'!IA:JB,5,FALSE)</f>
        <v>0</v>
      </c>
      <c r="H388" s="118">
        <f>VLOOKUP(C388,'Talente &amp; Stuff'!IA:JB,6,FALSE)</f>
        <v>0</v>
      </c>
      <c r="I388" s="118">
        <f>VLOOKUP(C388,'Talente &amp; Stuff'!IA:JB,7,FALSE)</f>
        <v>0</v>
      </c>
      <c r="J388" s="118">
        <f>VLOOKUP(C388,'Talente &amp; Stuff'!IA:JB,8,FALSE)</f>
        <v>0</v>
      </c>
      <c r="K388" s="118">
        <f>VLOOKUP(C388,'Talente &amp; Stuff'!IA:JB,9,FALSE)</f>
        <v>0</v>
      </c>
      <c r="L388" s="118">
        <f>VLOOKUP(C388,'Talente &amp; Stuff'!IA:JB,10,FALSE)</f>
        <v>0</v>
      </c>
      <c r="M388" s="118">
        <f>VLOOKUP(C388,'Talente &amp; Stuff'!IA:JB,11,FALSE)</f>
        <v>0</v>
      </c>
      <c r="N388" s="193">
        <f>VLOOKUP(C388,'Talente &amp; Stuff'!IA:JB,12,FALSE)</f>
        <v>0</v>
      </c>
      <c r="O388" s="116">
        <f>VLOOKUP(C388,'Talente &amp; Stuff'!IA:JB,13,FALSE)</f>
        <v>0</v>
      </c>
      <c r="P388" s="92">
        <f>VLOOKUP(C388,'Talente &amp; Stuff'!IA:JB,14,FALSE)</f>
        <v>0</v>
      </c>
      <c r="Q388" s="118">
        <f>VLOOKUP(C388,'Talente &amp; Stuff'!IA:JB,15,FALSE)</f>
        <v>0</v>
      </c>
      <c r="R388" s="118">
        <f>VLOOKUP(C388,'Talente &amp; Stuff'!IA:JB,16,FALSE)</f>
        <v>0</v>
      </c>
      <c r="S388" s="118">
        <f>VLOOKUP(C388,'Talente &amp; Stuff'!IA:JB,17,FALSE)</f>
        <v>0</v>
      </c>
      <c r="T388" s="91">
        <f>VLOOKUP(C388,'Talente &amp; Stuff'!IA:JB,18,FALSE)</f>
        <v>0</v>
      </c>
      <c r="U388" s="116">
        <f>VLOOKUP(C388,'Talente &amp; Stuff'!IA:JB,19,FALSE)</f>
        <v>0</v>
      </c>
      <c r="V388" s="116">
        <f>VLOOKUP(C388,'Talente &amp; Stuff'!IA:JB,20,FALSE)</f>
        <v>0</v>
      </c>
      <c r="W388" s="116">
        <f>VLOOKUP(C388,'Talente &amp; Stuff'!IA:JB,21,FALSE)</f>
        <v>0</v>
      </c>
      <c r="X388" s="158">
        <f>VLOOKUP(C388,'Talente &amp; Stuff'!IA:JB,22,FALSE)</f>
        <v>0</v>
      </c>
      <c r="Y388" s="165">
        <f>VLOOKUP(C388,Ausgewählte_Rituale_Hexen,255,FALSE)</f>
        <v>0</v>
      </c>
      <c r="Z388" s="44">
        <f>VLOOKUP(C388,Ausgewählte_Rituale_Hexen,256,FALSE)</f>
        <v>0</v>
      </c>
      <c r="AA388" s="158">
        <f>VLOOKUP(C388,'Talente &amp; Stuff'!IA:JB,25,FALSE)</f>
        <v>0</v>
      </c>
      <c r="AB388" s="91">
        <f>VLOOKUP(C388,'Talente &amp; Stuff'!IA:JB,26,FALSE)</f>
        <v>0</v>
      </c>
      <c r="AC388" s="126">
        <f>VLOOKUP(C388,'Talente &amp; Stuff'!IA:JB,27,FALSE)</f>
        <v>0</v>
      </c>
      <c r="AD388" s="158">
        <f>VLOOKUP(C388,'Talente &amp; Stuff'!IA:JB,28,FALSE)</f>
        <v>0</v>
      </c>
      <c r="AE388" s="28"/>
    </row>
    <row r="389" spans="1:31" ht="15" hidden="1" customHeight="1" outlineLevel="2">
      <c r="B389" s="148">
        <v>2</v>
      </c>
      <c r="C389" s="178" t="str">
        <f>Attribute!C389</f>
        <v>---</v>
      </c>
      <c r="D389" s="87" t="str">
        <f>VLOOKUP(C389,'Talente &amp; Stuff'!IA:JB,2,FALSE)</f>
        <v>--/--/--</v>
      </c>
      <c r="E389" s="159" t="str">
        <f>VLOOKUP(C389,'Talente &amp; Stuff'!IA:JB,3,FALSE)</f>
        <v>-</v>
      </c>
      <c r="F389" s="122">
        <f>VLOOKUP(C389,'Talente &amp; Stuff'!IA:JB,4,FALSE)</f>
        <v>0</v>
      </c>
      <c r="G389" s="122">
        <f>VLOOKUP(C389,'Talente &amp; Stuff'!IA:JB,5,FALSE)</f>
        <v>0</v>
      </c>
      <c r="H389" s="122">
        <f>VLOOKUP(C389,'Talente &amp; Stuff'!IA:JB,6,FALSE)</f>
        <v>0</v>
      </c>
      <c r="I389" s="122">
        <f>VLOOKUP(C389,'Talente &amp; Stuff'!IA:JB,7,FALSE)</f>
        <v>0</v>
      </c>
      <c r="J389" s="122">
        <f>VLOOKUP(C389,'Talente &amp; Stuff'!IA:JB,8,FALSE)</f>
        <v>0</v>
      </c>
      <c r="K389" s="122">
        <f>VLOOKUP(C389,'Talente &amp; Stuff'!IA:JB,9,FALSE)</f>
        <v>0</v>
      </c>
      <c r="L389" s="122">
        <f>VLOOKUP(C389,'Talente &amp; Stuff'!IA:JB,10,FALSE)</f>
        <v>0</v>
      </c>
      <c r="M389" s="122">
        <f>VLOOKUP(C389,'Talente &amp; Stuff'!IA:JB,11,FALSE)</f>
        <v>0</v>
      </c>
      <c r="N389" s="90">
        <f>VLOOKUP(C389,'Talente &amp; Stuff'!IA:JB,12,FALSE)</f>
        <v>0</v>
      </c>
      <c r="O389" s="88">
        <f>VLOOKUP(C389,'Talente &amp; Stuff'!IA:JB,13,FALSE)</f>
        <v>0</v>
      </c>
      <c r="P389" s="123">
        <f>VLOOKUP(C389,'Talente &amp; Stuff'!IA:JB,14,FALSE)</f>
        <v>0</v>
      </c>
      <c r="Q389" s="122">
        <f>VLOOKUP(C389,'Talente &amp; Stuff'!IA:JB,15,FALSE)</f>
        <v>0</v>
      </c>
      <c r="R389" s="122">
        <f>VLOOKUP(C389,'Talente &amp; Stuff'!IA:JB,16,FALSE)</f>
        <v>0</v>
      </c>
      <c r="S389" s="122">
        <f>VLOOKUP(C389,'Talente &amp; Stuff'!IA:JB,17,FALSE)</f>
        <v>0</v>
      </c>
      <c r="T389" s="161">
        <f>VLOOKUP(C389,'Talente &amp; Stuff'!IA:JB,18,FALSE)</f>
        <v>0</v>
      </c>
      <c r="U389" s="88">
        <f>VLOOKUP(C389,'Talente &amp; Stuff'!IA:JB,19,FALSE)</f>
        <v>0</v>
      </c>
      <c r="V389" s="88">
        <f>VLOOKUP(C389,'Talente &amp; Stuff'!IA:JB,20,FALSE)</f>
        <v>0</v>
      </c>
      <c r="W389" s="88">
        <f>VLOOKUP(C389,'Talente &amp; Stuff'!IA:JB,21,FALSE)</f>
        <v>0</v>
      </c>
      <c r="X389" s="159">
        <f>VLOOKUP(C389,'Talente &amp; Stuff'!IA:JB,22,FALSE)</f>
        <v>0</v>
      </c>
      <c r="Y389" s="165">
        <f>VLOOKUP(C389,Ausgewählte_Rituale_Hexen,255,FALSE)</f>
        <v>0</v>
      </c>
      <c r="Z389" s="44">
        <f>VLOOKUP(C389,Ausgewählte_Rituale_Hexen,256,FALSE)</f>
        <v>0</v>
      </c>
      <c r="AA389" s="159">
        <f>VLOOKUP(C389,'Talente &amp; Stuff'!IA:JB,25,FALSE)</f>
        <v>0</v>
      </c>
      <c r="AB389" s="161">
        <f>VLOOKUP(C389,'Talente &amp; Stuff'!IA:JB,26,FALSE)</f>
        <v>0</v>
      </c>
      <c r="AC389" s="128">
        <f>VLOOKUP(C389,'Talente &amp; Stuff'!IA:JB,27,FALSE)</f>
        <v>0</v>
      </c>
      <c r="AD389" s="159">
        <f>VLOOKUP(C389,'Talente &amp; Stuff'!IA:JB,28,FALSE)</f>
        <v>0</v>
      </c>
      <c r="AE389" s="28"/>
    </row>
    <row r="390" spans="1:31" ht="15" hidden="1" customHeight="1" outlineLevel="1" collapsed="1">
      <c r="B390" s="134" t="s">
        <v>407</v>
      </c>
      <c r="C390" s="83"/>
      <c r="D390" s="84"/>
      <c r="E390" s="84"/>
    </row>
    <row r="391" spans="1:31" ht="15" hidden="1" customHeight="1" outlineLevel="2">
      <c r="B391" s="148">
        <v>1</v>
      </c>
      <c r="C391" s="176" t="str">
        <f>Attribute!C391</f>
        <v>---</v>
      </c>
      <c r="D391" s="186" t="str">
        <f>VLOOKUP(C391,'Talente &amp; Stuff'!IA:JB,2,FALSE)</f>
        <v>--/--/--</v>
      </c>
      <c r="E391" s="40" t="str">
        <f>VLOOKUP(C391,'Talente &amp; Stuff'!IA:JB,3,FALSE)</f>
        <v>-</v>
      </c>
      <c r="F391" s="183">
        <f>VLOOKUP(C391,'Talente &amp; Stuff'!IA:JB,4,FALSE)</f>
        <v>0</v>
      </c>
      <c r="G391" s="183">
        <f>VLOOKUP(C391,'Talente &amp; Stuff'!IA:JB,5,FALSE)</f>
        <v>0</v>
      </c>
      <c r="H391" s="183">
        <f>VLOOKUP(C391,'Talente &amp; Stuff'!IA:JB,6,FALSE)</f>
        <v>0</v>
      </c>
      <c r="I391" s="183">
        <f>VLOOKUP(C391,'Talente &amp; Stuff'!IA:JB,7,FALSE)</f>
        <v>0</v>
      </c>
      <c r="J391" s="183">
        <f>VLOOKUP(C391,'Talente &amp; Stuff'!IA:JB,8,FALSE)</f>
        <v>0</v>
      </c>
      <c r="K391" s="183">
        <f>VLOOKUP(C391,'Talente &amp; Stuff'!IA:JB,9,FALSE)</f>
        <v>0</v>
      </c>
      <c r="L391" s="183">
        <f>VLOOKUP(C391,'Talente &amp; Stuff'!IA:JB,10,FALSE)</f>
        <v>0</v>
      </c>
      <c r="M391" s="183">
        <f>VLOOKUP(C391,'Talente &amp; Stuff'!IA:JB,11,FALSE)</f>
        <v>0</v>
      </c>
      <c r="N391" s="166">
        <f>VLOOKUP(C391,'Talente &amp; Stuff'!IA:JB,12,FALSE)</f>
        <v>0</v>
      </c>
      <c r="O391" s="179">
        <f>VLOOKUP(C391,'Talente &amp; Stuff'!IA:JB,13,FALSE)</f>
        <v>0</v>
      </c>
      <c r="P391" s="180">
        <f>VLOOKUP(C391,'Talente &amp; Stuff'!IA:JB,14,FALSE)</f>
        <v>0</v>
      </c>
      <c r="Q391" s="183">
        <f>VLOOKUP(C391,'Talente &amp; Stuff'!IA:JB,15,FALSE)</f>
        <v>0</v>
      </c>
      <c r="R391" s="183">
        <f>VLOOKUP(C391,'Talente &amp; Stuff'!IA:JB,16,FALSE)</f>
        <v>0</v>
      </c>
      <c r="S391" s="183">
        <f>VLOOKUP(C391,'Talente &amp; Stuff'!IA:JB,17,FALSE)</f>
        <v>0</v>
      </c>
      <c r="T391" s="189">
        <f>VLOOKUP(C391,'Talente &amp; Stuff'!IA:JB,18,FALSE)</f>
        <v>0</v>
      </c>
      <c r="U391" s="179">
        <f>VLOOKUP(C391,'Talente &amp; Stuff'!IA:JB,19,FALSE)</f>
        <v>0</v>
      </c>
      <c r="V391" s="179">
        <f>VLOOKUP(C391,'Talente &amp; Stuff'!IA:JB,20,FALSE)</f>
        <v>0</v>
      </c>
      <c r="W391" s="179">
        <f>VLOOKUP(C391,'Talente &amp; Stuff'!IA:JB,21,FALSE)</f>
        <v>0</v>
      </c>
      <c r="X391" s="40">
        <f>VLOOKUP(C391,'Talente &amp; Stuff'!IA:JB,22,FALSE)</f>
        <v>0</v>
      </c>
      <c r="Y391" s="165">
        <f>VLOOKUP(C391,Ausgewählte_Rituale_Kristallomanten,255,FALSE)</f>
        <v>0</v>
      </c>
      <c r="Z391" s="44">
        <f>VLOOKUP(C391,Ausgewählte_Rituale_Kristallomanten,256,FALSE)</f>
        <v>0</v>
      </c>
      <c r="AA391" s="40">
        <f>VLOOKUP(C391,'Talente &amp; Stuff'!IA:JB,25,FALSE)</f>
        <v>0</v>
      </c>
      <c r="AB391" s="189">
        <f>VLOOKUP(C391,'Talente &amp; Stuff'!IA:JB,26,FALSE)</f>
        <v>0</v>
      </c>
      <c r="AC391" s="182">
        <f>VLOOKUP(C391,'Talente &amp; Stuff'!IA:JB,27,FALSE)</f>
        <v>0</v>
      </c>
      <c r="AD391" s="40">
        <f>VLOOKUP(C391,'Talente &amp; Stuff'!IA:JB,28,FALSE)</f>
        <v>0</v>
      </c>
      <c r="AE391" s="28"/>
    </row>
    <row r="392" spans="1:31" ht="15" hidden="1" customHeight="1" outlineLevel="1" collapsed="1">
      <c r="B392" s="134" t="s">
        <v>408</v>
      </c>
      <c r="C392" s="83"/>
      <c r="D392" s="84"/>
      <c r="E392" s="84"/>
    </row>
    <row r="393" spans="1:31" ht="15" hidden="1" customHeight="1" outlineLevel="2">
      <c r="B393" s="148">
        <v>1</v>
      </c>
      <c r="C393" s="176" t="str">
        <f>Attribute!C393</f>
        <v>---</v>
      </c>
      <c r="D393" s="85" t="str">
        <f>VLOOKUP(C393,'Talente &amp; Stuff'!IA:JB,2,FALSE)</f>
        <v>--/--/--</v>
      </c>
      <c r="E393" s="193" t="str">
        <f>VLOOKUP(C393,'Talente &amp; Stuff'!IA:JB,3,FALSE)</f>
        <v>-</v>
      </c>
      <c r="F393" s="191">
        <f>VLOOKUP(C393,'Talente &amp; Stuff'!IA:JB,4,FALSE)</f>
        <v>0</v>
      </c>
      <c r="G393" s="118">
        <f>VLOOKUP(C393,'Talente &amp; Stuff'!IA:JB,5,FALSE)</f>
        <v>0</v>
      </c>
      <c r="H393" s="118">
        <f>VLOOKUP(C393,'Talente &amp; Stuff'!IA:JB,6,FALSE)</f>
        <v>0</v>
      </c>
      <c r="I393" s="118">
        <f>VLOOKUP(C393,'Talente &amp; Stuff'!IA:JB,7,FALSE)</f>
        <v>0</v>
      </c>
      <c r="J393" s="118">
        <f>VLOOKUP(C393,'Talente &amp; Stuff'!IA:JB,8,FALSE)</f>
        <v>0</v>
      </c>
      <c r="K393" s="118">
        <f>VLOOKUP(C393,'Talente &amp; Stuff'!IA:JB,9,FALSE)</f>
        <v>0</v>
      </c>
      <c r="L393" s="118">
        <f>VLOOKUP(C393,'Talente &amp; Stuff'!IA:JB,10,FALSE)</f>
        <v>0</v>
      </c>
      <c r="M393" s="92">
        <f>VLOOKUP(C393,'Talente &amp; Stuff'!IA:JB,11,FALSE)</f>
        <v>0</v>
      </c>
      <c r="N393" s="193">
        <f>VLOOKUP(C393,'Talente &amp; Stuff'!IA:JB,12,FALSE)</f>
        <v>0</v>
      </c>
      <c r="O393" s="116">
        <f>VLOOKUP(C393,'Talente &amp; Stuff'!IA:JB,13,FALSE)</f>
        <v>0</v>
      </c>
      <c r="P393" s="92">
        <f>VLOOKUP(C393,'Talente &amp; Stuff'!IA:JB,14,FALSE)</f>
        <v>0</v>
      </c>
      <c r="Q393" s="191">
        <f>VLOOKUP(C393,'Talente &amp; Stuff'!IA:JB,15,FALSE)</f>
        <v>0</v>
      </c>
      <c r="R393" s="118">
        <f>VLOOKUP(C393,'Talente &amp; Stuff'!IA:JB,16,FALSE)</f>
        <v>0</v>
      </c>
      <c r="S393" s="92">
        <f>VLOOKUP(C393,'Talente &amp; Stuff'!IA:JB,17,FALSE)</f>
        <v>0</v>
      </c>
      <c r="T393" s="92">
        <f>VLOOKUP(C393,'Talente &amp; Stuff'!IA:JB,18,FALSE)</f>
        <v>0</v>
      </c>
      <c r="U393" s="193">
        <f>VLOOKUP(C393,'Talente &amp; Stuff'!IA:JB,19,FALSE)</f>
        <v>0</v>
      </c>
      <c r="V393" s="116">
        <f>VLOOKUP(C393,'Talente &amp; Stuff'!IA:JB,20,FALSE)</f>
        <v>0</v>
      </c>
      <c r="W393" s="126">
        <f>VLOOKUP(C393,'Talente &amp; Stuff'!IA:JB,21,FALSE)</f>
        <v>0</v>
      </c>
      <c r="X393" s="158">
        <f>VLOOKUP(C393,'Talente &amp; Stuff'!IA:JB,22,FALSE)</f>
        <v>0</v>
      </c>
      <c r="Y393" s="165">
        <f>VLOOKUP(C393,Ausgewählte_Rituale_Scharlatane,255,FALSE)</f>
        <v>0</v>
      </c>
      <c r="Z393" s="44">
        <f>VLOOKUP(C393,Ausgewählte_Rituale_Scharlatane,256,FALSE)</f>
        <v>0</v>
      </c>
      <c r="AA393" s="158">
        <f>VLOOKUP(C393,'Talente &amp; Stuff'!IA:JB,25,FALSE)</f>
        <v>0</v>
      </c>
      <c r="AB393" s="191">
        <f>VLOOKUP(C393,'Talente &amp; Stuff'!IA:JB,26,FALSE)</f>
        <v>0</v>
      </c>
      <c r="AC393" s="158">
        <f>VLOOKUP(C393,'Talente &amp; Stuff'!IA:JB,27,FALSE)</f>
        <v>0</v>
      </c>
      <c r="AD393" s="158">
        <f>VLOOKUP(C393,'Talente &amp; Stuff'!IA:JB,28,FALSE)</f>
        <v>0</v>
      </c>
      <c r="AE393" s="28"/>
    </row>
    <row r="394" spans="1:31" ht="15" hidden="1" customHeight="1" outlineLevel="2">
      <c r="B394" s="148">
        <v>2</v>
      </c>
      <c r="C394" s="177" t="str">
        <f>Attribute!C394</f>
        <v>---</v>
      </c>
      <c r="D394" s="86" t="str">
        <f>VLOOKUP(C394,'Talente &amp; Stuff'!IA:JB,2,FALSE)</f>
        <v>--/--/--</v>
      </c>
      <c r="E394" s="89" t="str">
        <f>VLOOKUP(C394,'Talente &amp; Stuff'!IA:JB,3,FALSE)</f>
        <v>-</v>
      </c>
      <c r="F394" s="114">
        <f>VLOOKUP(C394,'Talente &amp; Stuff'!IA:JB,4,FALSE)</f>
        <v>0</v>
      </c>
      <c r="G394" s="113">
        <f>VLOOKUP(C394,'Talente &amp; Stuff'!IA:JB,5,FALSE)</f>
        <v>0</v>
      </c>
      <c r="H394" s="113">
        <f>VLOOKUP(C394,'Talente &amp; Stuff'!IA:JB,6,FALSE)</f>
        <v>0</v>
      </c>
      <c r="I394" s="113">
        <f>VLOOKUP(C394,'Talente &amp; Stuff'!IA:JB,7,FALSE)</f>
        <v>0</v>
      </c>
      <c r="J394" s="113">
        <f>VLOOKUP(C394,'Talente &amp; Stuff'!IA:JB,8,FALSE)</f>
        <v>0</v>
      </c>
      <c r="K394" s="113">
        <f>VLOOKUP(C394,'Talente &amp; Stuff'!IA:JB,9,FALSE)</f>
        <v>0</v>
      </c>
      <c r="L394" s="113">
        <f>VLOOKUP(C394,'Talente &amp; Stuff'!IA:JB,10,FALSE)</f>
        <v>0</v>
      </c>
      <c r="M394" s="119">
        <f>VLOOKUP(C394,'Talente &amp; Stuff'!IA:JB,11,FALSE)</f>
        <v>0</v>
      </c>
      <c r="N394" s="89">
        <f>VLOOKUP(C394,'Talente &amp; Stuff'!IA:JB,12,FALSE)</f>
        <v>0</v>
      </c>
      <c r="O394" s="47">
        <f>VLOOKUP(C394,'Talente &amp; Stuff'!IA:JB,13,FALSE)</f>
        <v>0</v>
      </c>
      <c r="P394" s="119">
        <f>VLOOKUP(C394,'Talente &amp; Stuff'!IA:JB,14,FALSE)</f>
        <v>0</v>
      </c>
      <c r="Q394" s="114">
        <f>VLOOKUP(C394,'Talente &amp; Stuff'!IA:JB,15,FALSE)</f>
        <v>0</v>
      </c>
      <c r="R394" s="113">
        <f>VLOOKUP(C394,'Talente &amp; Stuff'!IA:JB,16,FALSE)</f>
        <v>0</v>
      </c>
      <c r="S394" s="119">
        <f>VLOOKUP(C394,'Talente &amp; Stuff'!IA:JB,17,FALSE)</f>
        <v>0</v>
      </c>
      <c r="T394" s="119">
        <f>VLOOKUP(C394,'Talente &amp; Stuff'!IA:JB,18,FALSE)</f>
        <v>0</v>
      </c>
      <c r="U394" s="89">
        <f>VLOOKUP(C394,'Talente &amp; Stuff'!IA:JB,19,FALSE)</f>
        <v>0</v>
      </c>
      <c r="V394" s="47">
        <f>VLOOKUP(C394,'Talente &amp; Stuff'!IA:JB,20,FALSE)</f>
        <v>0</v>
      </c>
      <c r="W394" s="127">
        <f>VLOOKUP(C394,'Talente &amp; Stuff'!IA:JB,21,FALSE)</f>
        <v>0</v>
      </c>
      <c r="X394" s="125">
        <f>VLOOKUP(C394,'Talente &amp; Stuff'!IA:JB,22,FALSE)</f>
        <v>0</v>
      </c>
      <c r="Y394" s="165">
        <f>VLOOKUP(C394,Ausgewählte_Rituale_Scharlatane,255,FALSE)</f>
        <v>0</v>
      </c>
      <c r="Z394" s="44">
        <f>VLOOKUP(C394,Ausgewählte_Rituale_Scharlatane,256,FALSE)</f>
        <v>0</v>
      </c>
      <c r="AA394" s="125">
        <f>VLOOKUP(C394,'Talente &amp; Stuff'!IA:JB,25,FALSE)</f>
        <v>0</v>
      </c>
      <c r="AB394" s="114">
        <f>VLOOKUP(C394,'Talente &amp; Stuff'!IA:JB,26,FALSE)</f>
        <v>0</v>
      </c>
      <c r="AC394" s="125">
        <f>VLOOKUP(C394,'Talente &amp; Stuff'!IA:JB,27,FALSE)</f>
        <v>0</v>
      </c>
      <c r="AD394" s="125">
        <f>VLOOKUP(C394,'Talente &amp; Stuff'!IA:JB,28,FALSE)</f>
        <v>0</v>
      </c>
      <c r="AE394" s="28"/>
    </row>
    <row r="395" spans="1:31" ht="15" hidden="1" customHeight="1" outlineLevel="2">
      <c r="B395" s="148">
        <v>3</v>
      </c>
      <c r="C395" s="177" t="str">
        <f>Attribute!C395</f>
        <v>---</v>
      </c>
      <c r="D395" s="87" t="str">
        <f>VLOOKUP(C395,'Talente &amp; Stuff'!IA:JB,2,FALSE)</f>
        <v>--/--/--</v>
      </c>
      <c r="E395" s="90" t="str">
        <f>VLOOKUP(C395,'Talente &amp; Stuff'!IA:JB,3,FALSE)</f>
        <v>-</v>
      </c>
      <c r="F395" s="115">
        <f>VLOOKUP(C395,'Talente &amp; Stuff'!IA:JB,4,FALSE)</f>
        <v>0</v>
      </c>
      <c r="G395" s="122">
        <f>VLOOKUP(C395,'Talente &amp; Stuff'!IA:JB,5,FALSE)</f>
        <v>0</v>
      </c>
      <c r="H395" s="122">
        <f>VLOOKUP(C395,'Talente &amp; Stuff'!IA:JB,6,FALSE)</f>
        <v>0</v>
      </c>
      <c r="I395" s="122">
        <f>VLOOKUP(C395,'Talente &amp; Stuff'!IA:JB,7,FALSE)</f>
        <v>0</v>
      </c>
      <c r="J395" s="122">
        <f>VLOOKUP(C395,'Talente &amp; Stuff'!IA:JB,8,FALSE)</f>
        <v>0</v>
      </c>
      <c r="K395" s="122">
        <f>VLOOKUP(C395,'Talente &amp; Stuff'!IA:JB,9,FALSE)</f>
        <v>0</v>
      </c>
      <c r="L395" s="122">
        <f>VLOOKUP(C395,'Talente &amp; Stuff'!IA:JB,10,FALSE)</f>
        <v>0</v>
      </c>
      <c r="M395" s="123">
        <f>VLOOKUP(C395,'Talente &amp; Stuff'!IA:JB,11,FALSE)</f>
        <v>0</v>
      </c>
      <c r="N395" s="90">
        <f>VLOOKUP(C395,'Talente &amp; Stuff'!IA:JB,12,FALSE)</f>
        <v>0</v>
      </c>
      <c r="O395" s="88">
        <f>VLOOKUP(C395,'Talente &amp; Stuff'!IA:JB,13,FALSE)</f>
        <v>0</v>
      </c>
      <c r="P395" s="123">
        <f>VLOOKUP(C395,'Talente &amp; Stuff'!IA:JB,14,FALSE)</f>
        <v>0</v>
      </c>
      <c r="Q395" s="115">
        <f>VLOOKUP(C395,'Talente &amp; Stuff'!IA:JB,15,FALSE)</f>
        <v>0</v>
      </c>
      <c r="R395" s="122">
        <f>VLOOKUP(C395,'Talente &amp; Stuff'!IA:JB,16,FALSE)</f>
        <v>0</v>
      </c>
      <c r="S395" s="123">
        <f>VLOOKUP(C395,'Talente &amp; Stuff'!IA:JB,17,FALSE)</f>
        <v>0</v>
      </c>
      <c r="T395" s="123">
        <f>VLOOKUP(C395,'Talente &amp; Stuff'!IA:JB,18,FALSE)</f>
        <v>0</v>
      </c>
      <c r="U395" s="90">
        <f>VLOOKUP(C395,'Talente &amp; Stuff'!IA:JB,19,FALSE)</f>
        <v>0</v>
      </c>
      <c r="V395" s="88">
        <f>VLOOKUP(C395,'Talente &amp; Stuff'!IA:JB,20,FALSE)</f>
        <v>0</v>
      </c>
      <c r="W395" s="128">
        <f>VLOOKUP(C395,'Talente &amp; Stuff'!IA:JB,21,FALSE)</f>
        <v>0</v>
      </c>
      <c r="X395" s="159">
        <f>VLOOKUP(C395,'Talente &amp; Stuff'!IA:JB,22,FALSE)</f>
        <v>0</v>
      </c>
      <c r="Y395" s="165">
        <f>VLOOKUP(C395,Ausgewählte_Rituale_Scharlatane,255,FALSE)</f>
        <v>0</v>
      </c>
      <c r="Z395" s="44">
        <f>VLOOKUP(C395,Ausgewählte_Rituale_Scharlatane,256,FALSE)</f>
        <v>0</v>
      </c>
      <c r="AA395" s="159">
        <f>VLOOKUP(C395,'Talente &amp; Stuff'!IA:JB,25,FALSE)</f>
        <v>0</v>
      </c>
      <c r="AB395" s="115">
        <f>VLOOKUP(C395,'Talente &amp; Stuff'!IA:JB,26,FALSE)</f>
        <v>0</v>
      </c>
      <c r="AC395" s="159">
        <f>VLOOKUP(C395,'Talente &amp; Stuff'!IA:JB,27,FALSE)</f>
        <v>0</v>
      </c>
      <c r="AD395" s="159">
        <f>VLOOKUP(C395,'Talente &amp; Stuff'!IA:JB,28,FALSE)</f>
        <v>0</v>
      </c>
      <c r="AE395" s="28"/>
    </row>
    <row r="396" spans="1:31" ht="15" hidden="1" customHeight="1" outlineLevel="1" collapsed="1"/>
    <row r="397" spans="1:31" ht="15.75" collapsed="1" thickBot="1"/>
    <row r="398" spans="1:31" ht="15.75" thickBot="1">
      <c r="A398" s="135" t="s">
        <v>234</v>
      </c>
    </row>
    <row r="399" spans="1:31" ht="15" hidden="1" customHeight="1" outlineLevel="1">
      <c r="B399" s="134" t="s">
        <v>327</v>
      </c>
    </row>
    <row r="400" spans="1:31" ht="15" hidden="1" customHeight="1" outlineLevel="2">
      <c r="B400" s="148">
        <v>1</v>
      </c>
      <c r="C400" s="176" t="str">
        <f>Attribute!C400</f>
        <v>---</v>
      </c>
      <c r="D400" s="158" t="str">
        <f>VLOOKUP(C400,'Talente &amp; Stuff'!IA:JB,2,FALSE)</f>
        <v>--/--/--</v>
      </c>
      <c r="E400" s="116" t="str">
        <f>VLOOKUP(C400,'Talente &amp; Stuff'!IA:JB,3,FALSE)</f>
        <v>-</v>
      </c>
      <c r="F400" s="191">
        <f>VLOOKUP(C400,'Talente &amp; Stuff'!IA:JB,4,FALSE)</f>
        <v>0</v>
      </c>
      <c r="G400" s="118">
        <f>VLOOKUP(C400,'Talente &amp; Stuff'!IA:JB,5,FALSE)</f>
        <v>0</v>
      </c>
      <c r="H400" s="118">
        <f>VLOOKUP(C400,'Talente &amp; Stuff'!IA:JB,6,FALSE)</f>
        <v>0</v>
      </c>
      <c r="I400" s="118">
        <f>VLOOKUP(C400,'Talente &amp; Stuff'!IA:JB,7,FALSE)</f>
        <v>0</v>
      </c>
      <c r="J400" s="118">
        <f>VLOOKUP(C400,'Talente &amp; Stuff'!IA:JB,8,FALSE)</f>
        <v>0</v>
      </c>
      <c r="K400" s="118">
        <f>VLOOKUP(C400,'Talente &amp; Stuff'!IA:JB,9,FALSE)</f>
        <v>0</v>
      </c>
      <c r="L400" s="118">
        <f>VLOOKUP(C400,'Talente &amp; Stuff'!IA:JB,10,FALSE)</f>
        <v>0</v>
      </c>
      <c r="M400" s="92">
        <f>VLOOKUP(C400,'Talente &amp; Stuff'!IA:JB,11,FALSE)</f>
        <v>0</v>
      </c>
      <c r="N400" s="116">
        <f>VLOOKUP(C400,'Talente &amp; Stuff'!IA:JB,12,FALSE)</f>
        <v>0</v>
      </c>
      <c r="O400" s="116">
        <f>VLOOKUP(C400,'Talente &amp; Stuff'!IA:JB,13,FALSE)</f>
        <v>0</v>
      </c>
      <c r="P400" s="118">
        <f>VLOOKUP(C400,'Talente &amp; Stuff'!IA:JB,14,FALSE)</f>
        <v>0</v>
      </c>
      <c r="Q400" s="191">
        <f>VLOOKUP(C400,'Talente &amp; Stuff'!IA:JB,15,FALSE)</f>
        <v>0</v>
      </c>
      <c r="R400" s="118">
        <f>VLOOKUP(C400,'Talente &amp; Stuff'!IA:JB,16,FALSE)</f>
        <v>0</v>
      </c>
      <c r="S400" s="92">
        <f>VLOOKUP(C400,'Talente &amp; Stuff'!IA:JB,17,FALSE)</f>
        <v>0</v>
      </c>
      <c r="T400" s="91">
        <f>VLOOKUP(C400,'Talente &amp; Stuff'!IA:JB,18,FALSE)</f>
        <v>0</v>
      </c>
      <c r="U400" s="193">
        <f>VLOOKUP(C400,'Talente &amp; Stuff'!IA:JB,19,FALSE)</f>
        <v>0</v>
      </c>
      <c r="V400" s="116">
        <f>VLOOKUP(C400,'Talente &amp; Stuff'!IA:JB,20,FALSE)</f>
        <v>0</v>
      </c>
      <c r="W400" s="126">
        <f>VLOOKUP(C400,'Talente &amp; Stuff'!IA:JB,21,FALSE)</f>
        <v>0</v>
      </c>
      <c r="X400" s="126">
        <f>VLOOKUP(C400,'Talente &amp; Stuff'!IA:JB,22,FALSE)</f>
        <v>0</v>
      </c>
      <c r="Y400" s="165">
        <f>VLOOKUP(C400,Ausgewählte_Liturgien_Allgemein,255,FALSE)</f>
        <v>0</v>
      </c>
      <c r="Z400" s="44">
        <f>VLOOKUP(C400,Ausgewählte_Liturgien_Allgemein,256,FALSE)</f>
        <v>0</v>
      </c>
      <c r="AA400" s="158">
        <f>VLOOKUP(C400,'Talente &amp; Stuff'!IA:JB,25,FALSE)</f>
        <v>0</v>
      </c>
      <c r="AB400" s="91">
        <f>VLOOKUP(C400,'Talente &amp; Stuff'!IA:JB,26,FALSE)</f>
        <v>0</v>
      </c>
      <c r="AC400" s="126">
        <f>VLOOKUP(C400,'Talente &amp; Stuff'!IA:JB,27,FALSE)</f>
        <v>0</v>
      </c>
      <c r="AD400" s="158">
        <f>VLOOKUP(C400,'Talente &amp; Stuff'!IA:JB,28,FALSE)</f>
        <v>0</v>
      </c>
      <c r="AE400" s="28"/>
    </row>
    <row r="401" spans="2:31" ht="15" hidden="1" customHeight="1" outlineLevel="2">
      <c r="B401" s="148">
        <v>2</v>
      </c>
      <c r="C401" s="177" t="str">
        <f>Attribute!C401</f>
        <v>---</v>
      </c>
      <c r="D401" s="125" t="str">
        <f>VLOOKUP(C401,'Talente &amp; Stuff'!IA:JB,2,FALSE)</f>
        <v>--/--/--</v>
      </c>
      <c r="E401" s="47" t="str">
        <f>VLOOKUP(C401,'Talente &amp; Stuff'!IA:JB,3,FALSE)</f>
        <v>-</v>
      </c>
      <c r="F401" s="114">
        <f>VLOOKUP(C401,'Talente &amp; Stuff'!IA:JB,4,FALSE)</f>
        <v>0</v>
      </c>
      <c r="G401" s="113">
        <f>VLOOKUP(C401,'Talente &amp; Stuff'!IA:JB,5,FALSE)</f>
        <v>0</v>
      </c>
      <c r="H401" s="113">
        <f>VLOOKUP(C401,'Talente &amp; Stuff'!IA:JB,6,FALSE)</f>
        <v>0</v>
      </c>
      <c r="I401" s="113">
        <f>VLOOKUP(C401,'Talente &amp; Stuff'!IA:JB,7,FALSE)</f>
        <v>0</v>
      </c>
      <c r="J401" s="113">
        <f>VLOOKUP(C401,'Talente &amp; Stuff'!IA:JB,8,FALSE)</f>
        <v>0</v>
      </c>
      <c r="K401" s="113">
        <f>VLOOKUP(C401,'Talente &amp; Stuff'!IA:JB,9,FALSE)</f>
        <v>0</v>
      </c>
      <c r="L401" s="113">
        <f>VLOOKUP(C401,'Talente &amp; Stuff'!IA:JB,10,FALSE)</f>
        <v>0</v>
      </c>
      <c r="M401" s="119">
        <f>VLOOKUP(C401,'Talente &amp; Stuff'!IA:JB,11,FALSE)</f>
        <v>0</v>
      </c>
      <c r="N401" s="47">
        <f>VLOOKUP(C401,'Talente &amp; Stuff'!IA:JB,12,FALSE)</f>
        <v>0</v>
      </c>
      <c r="O401" s="47">
        <f>VLOOKUP(C401,'Talente &amp; Stuff'!IA:JB,13,FALSE)</f>
        <v>0</v>
      </c>
      <c r="P401" s="113">
        <f>VLOOKUP(C401,'Talente &amp; Stuff'!IA:JB,14,FALSE)</f>
        <v>0</v>
      </c>
      <c r="Q401" s="114">
        <f>VLOOKUP(C401,'Talente &amp; Stuff'!IA:JB,15,FALSE)</f>
        <v>0</v>
      </c>
      <c r="R401" s="113">
        <f>VLOOKUP(C401,'Talente &amp; Stuff'!IA:JB,16,FALSE)</f>
        <v>0</v>
      </c>
      <c r="S401" s="119">
        <f>VLOOKUP(C401,'Talente &amp; Stuff'!IA:JB,17,FALSE)</f>
        <v>0</v>
      </c>
      <c r="T401" s="160">
        <f>VLOOKUP(C401,'Talente &amp; Stuff'!IA:JB,18,FALSE)</f>
        <v>0</v>
      </c>
      <c r="U401" s="89">
        <f>VLOOKUP(C401,'Talente &amp; Stuff'!IA:JB,19,FALSE)</f>
        <v>0</v>
      </c>
      <c r="V401" s="47">
        <f>VLOOKUP(C401,'Talente &amp; Stuff'!IA:JB,20,FALSE)</f>
        <v>0</v>
      </c>
      <c r="W401" s="127">
        <f>VLOOKUP(C401,'Talente &amp; Stuff'!IA:JB,21,FALSE)</f>
        <v>0</v>
      </c>
      <c r="X401" s="127">
        <f>VLOOKUP(C401,'Talente &amp; Stuff'!IA:JB,22,FALSE)</f>
        <v>0</v>
      </c>
      <c r="Y401" s="165">
        <f>VLOOKUP(C401,Ausgewählte_Liturgien_Allgemein,255,FALSE)</f>
        <v>0</v>
      </c>
      <c r="Z401" s="44">
        <f>VLOOKUP(C401,Ausgewählte_Liturgien_Allgemein,256,FALSE)</f>
        <v>0</v>
      </c>
      <c r="AA401" s="125">
        <f>VLOOKUP(C401,'Talente &amp; Stuff'!IA:JB,25,FALSE)</f>
        <v>0</v>
      </c>
      <c r="AB401" s="160">
        <f>VLOOKUP(C401,'Talente &amp; Stuff'!IA:JB,26,FALSE)</f>
        <v>0</v>
      </c>
      <c r="AC401" s="127">
        <f>VLOOKUP(C401,'Talente &amp; Stuff'!IA:JB,27,FALSE)</f>
        <v>0</v>
      </c>
      <c r="AD401" s="125">
        <f>VLOOKUP(C401,'Talente &amp; Stuff'!IA:JB,28,FALSE)</f>
        <v>0</v>
      </c>
      <c r="AE401" s="28"/>
    </row>
    <row r="402" spans="2:31" ht="15" hidden="1" customHeight="1" outlineLevel="2">
      <c r="B402" s="148">
        <v>3</v>
      </c>
      <c r="C402" s="178" t="str">
        <f>Attribute!C402</f>
        <v>---</v>
      </c>
      <c r="D402" s="159" t="str">
        <f>VLOOKUP(C402,'Talente &amp; Stuff'!IA:JB,2,FALSE)</f>
        <v>--/--/--</v>
      </c>
      <c r="E402" s="88" t="str">
        <f>VLOOKUP(C402,'Talente &amp; Stuff'!IA:JB,3,FALSE)</f>
        <v>-</v>
      </c>
      <c r="F402" s="115">
        <f>VLOOKUP(C402,'Talente &amp; Stuff'!IA:JB,4,FALSE)</f>
        <v>0</v>
      </c>
      <c r="G402" s="122">
        <f>VLOOKUP(C402,'Talente &amp; Stuff'!IA:JB,5,FALSE)</f>
        <v>0</v>
      </c>
      <c r="H402" s="122">
        <f>VLOOKUP(C402,'Talente &amp; Stuff'!IA:JB,6,FALSE)</f>
        <v>0</v>
      </c>
      <c r="I402" s="122">
        <f>VLOOKUP(C402,'Talente &amp; Stuff'!IA:JB,7,FALSE)</f>
        <v>0</v>
      </c>
      <c r="J402" s="122">
        <f>VLOOKUP(C402,'Talente &amp; Stuff'!IA:JB,8,FALSE)</f>
        <v>0</v>
      </c>
      <c r="K402" s="122">
        <f>VLOOKUP(C402,'Talente &amp; Stuff'!IA:JB,9,FALSE)</f>
        <v>0</v>
      </c>
      <c r="L402" s="122">
        <f>VLOOKUP(C402,'Talente &amp; Stuff'!IA:JB,10,FALSE)</f>
        <v>0</v>
      </c>
      <c r="M402" s="123">
        <f>VLOOKUP(C402,'Talente &amp; Stuff'!IA:JB,11,FALSE)</f>
        <v>0</v>
      </c>
      <c r="N402" s="88">
        <f>VLOOKUP(C402,'Talente &amp; Stuff'!IA:JB,12,FALSE)</f>
        <v>0</v>
      </c>
      <c r="O402" s="88">
        <f>VLOOKUP(C402,'Talente &amp; Stuff'!IA:JB,13,FALSE)</f>
        <v>0</v>
      </c>
      <c r="P402" s="122">
        <f>VLOOKUP(C402,'Talente &amp; Stuff'!IA:JB,14,FALSE)</f>
        <v>0</v>
      </c>
      <c r="Q402" s="115">
        <f>VLOOKUP(C402,'Talente &amp; Stuff'!IA:JB,15,FALSE)</f>
        <v>0</v>
      </c>
      <c r="R402" s="122">
        <f>VLOOKUP(C402,'Talente &amp; Stuff'!IA:JB,16,FALSE)</f>
        <v>0</v>
      </c>
      <c r="S402" s="123">
        <f>VLOOKUP(C402,'Talente &amp; Stuff'!IA:JB,17,FALSE)</f>
        <v>0</v>
      </c>
      <c r="T402" s="161">
        <f>VLOOKUP(C402,'Talente &amp; Stuff'!IA:JB,18,FALSE)</f>
        <v>0</v>
      </c>
      <c r="U402" s="90">
        <f>VLOOKUP(C402,'Talente &amp; Stuff'!IA:JB,19,FALSE)</f>
        <v>0</v>
      </c>
      <c r="V402" s="88">
        <f>VLOOKUP(C402,'Talente &amp; Stuff'!IA:JB,20,FALSE)</f>
        <v>0</v>
      </c>
      <c r="W402" s="128">
        <f>VLOOKUP(C402,'Talente &amp; Stuff'!IA:JB,21,FALSE)</f>
        <v>0</v>
      </c>
      <c r="X402" s="128">
        <f>VLOOKUP(C402,'Talente &amp; Stuff'!IA:JB,22,FALSE)</f>
        <v>0</v>
      </c>
      <c r="Y402" s="165">
        <f>VLOOKUP(C402,Ausgewählte_Liturgien_Allgemein,255,FALSE)</f>
        <v>0</v>
      </c>
      <c r="Z402" s="44">
        <f>VLOOKUP(C402,Ausgewählte_Liturgien_Allgemein,256,FALSE)</f>
        <v>0</v>
      </c>
      <c r="AA402" s="159">
        <f>VLOOKUP(C402,'Talente &amp; Stuff'!IA:JB,25,FALSE)</f>
        <v>0</v>
      </c>
      <c r="AB402" s="161">
        <f>VLOOKUP(C402,'Talente &amp; Stuff'!IA:JB,26,FALSE)</f>
        <v>0</v>
      </c>
      <c r="AC402" s="128">
        <f>VLOOKUP(C402,'Talente &amp; Stuff'!IA:JB,27,FALSE)</f>
        <v>0</v>
      </c>
      <c r="AD402" s="159">
        <f>VLOOKUP(C402,'Talente &amp; Stuff'!IA:JB,28,FALSE)</f>
        <v>0</v>
      </c>
      <c r="AE402" s="28"/>
    </row>
    <row r="403" spans="2:31" ht="15" hidden="1" customHeight="1" outlineLevel="1" collapsed="1">
      <c r="B403" s="134" t="s">
        <v>326</v>
      </c>
      <c r="C403" s="83"/>
      <c r="D403" s="84"/>
      <c r="E403" s="84"/>
    </row>
    <row r="404" spans="2:31" ht="15" hidden="1" customHeight="1" outlineLevel="2">
      <c r="B404" s="148">
        <v>1</v>
      </c>
      <c r="C404" s="176" t="str">
        <f>Attribute!C404</f>
        <v>---</v>
      </c>
      <c r="D404" s="158" t="str">
        <f>VLOOKUP(C404,'Talente &amp; Stuff'!IA:JB,2,FALSE)</f>
        <v>--/--/--</v>
      </c>
      <c r="E404" s="116" t="str">
        <f>VLOOKUP(C404,'Talente &amp; Stuff'!IA:JB,3,FALSE)</f>
        <v>-</v>
      </c>
      <c r="F404" s="191">
        <f>VLOOKUP(C404,'Talente &amp; Stuff'!IA:JB,4,FALSE)</f>
        <v>0</v>
      </c>
      <c r="G404" s="118">
        <f>VLOOKUP(C404,'Talente &amp; Stuff'!IA:JB,5,FALSE)</f>
        <v>0</v>
      </c>
      <c r="H404" s="118">
        <f>VLOOKUP(C404,'Talente &amp; Stuff'!IA:JB,6,FALSE)</f>
        <v>0</v>
      </c>
      <c r="I404" s="118">
        <f>VLOOKUP(C404,'Talente &amp; Stuff'!IA:JB,7,FALSE)</f>
        <v>0</v>
      </c>
      <c r="J404" s="118">
        <f>VLOOKUP(C404,'Talente &amp; Stuff'!IA:JB,8,FALSE)</f>
        <v>0</v>
      </c>
      <c r="K404" s="118">
        <f>VLOOKUP(C404,'Talente &amp; Stuff'!IA:JB,9,FALSE)</f>
        <v>0</v>
      </c>
      <c r="L404" s="118">
        <f>VLOOKUP(C404,'Talente &amp; Stuff'!IA:JB,10,FALSE)</f>
        <v>0</v>
      </c>
      <c r="M404" s="92">
        <f>VLOOKUP(C404,'Talente &amp; Stuff'!IA:JB,11,FALSE)</f>
        <v>0</v>
      </c>
      <c r="N404" s="116">
        <f>VLOOKUP(C404,'Talente &amp; Stuff'!IA:JB,12,FALSE)</f>
        <v>0</v>
      </c>
      <c r="O404" s="116">
        <f>VLOOKUP(C404,'Talente &amp; Stuff'!IA:JB,13,FALSE)</f>
        <v>0</v>
      </c>
      <c r="P404" s="118">
        <f>VLOOKUP(C404,'Talente &amp; Stuff'!IA:JB,14,FALSE)</f>
        <v>0</v>
      </c>
      <c r="Q404" s="191">
        <f>VLOOKUP(C404,'Talente &amp; Stuff'!IA:JB,15,FALSE)</f>
        <v>0</v>
      </c>
      <c r="R404" s="118">
        <f>VLOOKUP(C404,'Talente &amp; Stuff'!IA:JB,16,FALSE)</f>
        <v>0</v>
      </c>
      <c r="S404" s="92">
        <f>VLOOKUP(C404,'Talente &amp; Stuff'!IA:JB,17,FALSE)</f>
        <v>0</v>
      </c>
      <c r="T404" s="91">
        <f>VLOOKUP(C404,'Talente &amp; Stuff'!IA:JB,18,FALSE)</f>
        <v>0</v>
      </c>
      <c r="U404" s="193">
        <f>VLOOKUP(C404,'Talente &amp; Stuff'!IA:JB,19,FALSE)</f>
        <v>0</v>
      </c>
      <c r="V404" s="116">
        <f>VLOOKUP(C404,'Talente &amp; Stuff'!IA:JB,20,FALSE)</f>
        <v>0</v>
      </c>
      <c r="W404" s="126">
        <f>VLOOKUP(C404,'Talente &amp; Stuff'!IA:JB,21,FALSE)</f>
        <v>0</v>
      </c>
      <c r="X404" s="126">
        <f>VLOOKUP(C404,'Talente &amp; Stuff'!IA:JB,22,FALSE)</f>
        <v>0</v>
      </c>
      <c r="Y404" s="165">
        <f t="shared" ref="Y404:Y409" si="30">VLOOKUP(C404,Ausgewählte_Liturgien_Boron,255,FALSE)</f>
        <v>0</v>
      </c>
      <c r="Z404" s="44">
        <f t="shared" ref="Z404:Z409" si="31">VLOOKUP(C404,Ausgewählte_Liturgien_Boron,256,FALSE)</f>
        <v>0</v>
      </c>
      <c r="AA404" s="158">
        <f>VLOOKUP(C404,'Talente &amp; Stuff'!IA:JB,25,FALSE)</f>
        <v>0</v>
      </c>
      <c r="AB404" s="91">
        <f>VLOOKUP(C404,'Talente &amp; Stuff'!IA:JB,26,FALSE)</f>
        <v>0</v>
      </c>
      <c r="AC404" s="126">
        <f>VLOOKUP(C404,'Talente &amp; Stuff'!IA:JB,27,FALSE)</f>
        <v>0</v>
      </c>
      <c r="AD404" s="158">
        <f>VLOOKUP(C404,'Talente &amp; Stuff'!IA:JB,28,FALSE)</f>
        <v>0</v>
      </c>
      <c r="AE404" s="28"/>
    </row>
    <row r="405" spans="2:31" ht="15" hidden="1" customHeight="1" outlineLevel="2">
      <c r="B405" s="148">
        <v>2</v>
      </c>
      <c r="C405" s="177" t="str">
        <f>Attribute!C405</f>
        <v>---</v>
      </c>
      <c r="D405" s="125" t="str">
        <f>VLOOKUP(C405,'Talente &amp; Stuff'!IA:JB,2,FALSE)</f>
        <v>--/--/--</v>
      </c>
      <c r="E405" s="47" t="str">
        <f>VLOOKUP(C405,'Talente &amp; Stuff'!IA:JB,3,FALSE)</f>
        <v>-</v>
      </c>
      <c r="F405" s="114">
        <f>VLOOKUP(C405,'Talente &amp; Stuff'!IA:JB,4,FALSE)</f>
        <v>0</v>
      </c>
      <c r="G405" s="113">
        <f>VLOOKUP(C405,'Talente &amp; Stuff'!IA:JB,5,FALSE)</f>
        <v>0</v>
      </c>
      <c r="H405" s="113">
        <f>VLOOKUP(C405,'Talente &amp; Stuff'!IA:JB,6,FALSE)</f>
        <v>0</v>
      </c>
      <c r="I405" s="113">
        <f>VLOOKUP(C405,'Talente &amp; Stuff'!IA:JB,7,FALSE)</f>
        <v>0</v>
      </c>
      <c r="J405" s="113">
        <f>VLOOKUP(C405,'Talente &amp; Stuff'!IA:JB,8,FALSE)</f>
        <v>0</v>
      </c>
      <c r="K405" s="113">
        <f>VLOOKUP(C405,'Talente &amp; Stuff'!IA:JB,9,FALSE)</f>
        <v>0</v>
      </c>
      <c r="L405" s="113">
        <f>VLOOKUP(C405,'Talente &amp; Stuff'!IA:JB,10,FALSE)</f>
        <v>0</v>
      </c>
      <c r="M405" s="119">
        <f>VLOOKUP(C405,'Talente &amp; Stuff'!IA:JB,11,FALSE)</f>
        <v>0</v>
      </c>
      <c r="N405" s="47">
        <f>VLOOKUP(C405,'Talente &amp; Stuff'!IA:JB,12,FALSE)</f>
        <v>0</v>
      </c>
      <c r="O405" s="47">
        <f>VLOOKUP(C405,'Talente &amp; Stuff'!IA:JB,13,FALSE)</f>
        <v>0</v>
      </c>
      <c r="P405" s="113">
        <f>VLOOKUP(C405,'Talente &amp; Stuff'!IA:JB,14,FALSE)</f>
        <v>0</v>
      </c>
      <c r="Q405" s="114">
        <f>VLOOKUP(C405,'Talente &amp; Stuff'!IA:JB,15,FALSE)</f>
        <v>0</v>
      </c>
      <c r="R405" s="113">
        <f>VLOOKUP(C405,'Talente &amp; Stuff'!IA:JB,16,FALSE)</f>
        <v>0</v>
      </c>
      <c r="S405" s="119">
        <f>VLOOKUP(C405,'Talente &amp; Stuff'!IA:JB,17,FALSE)</f>
        <v>0</v>
      </c>
      <c r="T405" s="160">
        <f>VLOOKUP(C405,'Talente &amp; Stuff'!IA:JB,18,FALSE)</f>
        <v>0</v>
      </c>
      <c r="U405" s="89">
        <f>VLOOKUP(C405,'Talente &amp; Stuff'!IA:JB,19,FALSE)</f>
        <v>0</v>
      </c>
      <c r="V405" s="47">
        <f>VLOOKUP(C405,'Talente &amp; Stuff'!IA:JB,20,FALSE)</f>
        <v>0</v>
      </c>
      <c r="W405" s="127">
        <f>VLOOKUP(C405,'Talente &amp; Stuff'!IA:JB,21,FALSE)</f>
        <v>0</v>
      </c>
      <c r="X405" s="127">
        <f>VLOOKUP(C405,'Talente &amp; Stuff'!IA:JB,22,FALSE)</f>
        <v>0</v>
      </c>
      <c r="Y405" s="165">
        <f t="shared" si="30"/>
        <v>0</v>
      </c>
      <c r="Z405" s="44">
        <f t="shared" si="31"/>
        <v>0</v>
      </c>
      <c r="AA405" s="125">
        <f>VLOOKUP(C405,'Talente &amp; Stuff'!IA:JB,25,FALSE)</f>
        <v>0</v>
      </c>
      <c r="AB405" s="160">
        <f>VLOOKUP(C405,'Talente &amp; Stuff'!IA:JB,26,FALSE)</f>
        <v>0</v>
      </c>
      <c r="AC405" s="127">
        <f>VLOOKUP(C405,'Talente &amp; Stuff'!IA:JB,27,FALSE)</f>
        <v>0</v>
      </c>
      <c r="AD405" s="125">
        <f>VLOOKUP(C405,'Talente &amp; Stuff'!IA:JB,28,FALSE)</f>
        <v>0</v>
      </c>
      <c r="AE405" s="28"/>
    </row>
    <row r="406" spans="2:31" ht="15" hidden="1" customHeight="1" outlineLevel="2">
      <c r="B406" s="148">
        <v>3</v>
      </c>
      <c r="C406" s="177" t="str">
        <f>Attribute!C406</f>
        <v>---</v>
      </c>
      <c r="D406" s="125" t="str">
        <f>VLOOKUP(C406,'Talente &amp; Stuff'!IA:JB,2,FALSE)</f>
        <v>--/--/--</v>
      </c>
      <c r="E406" s="47" t="str">
        <f>VLOOKUP(C406,'Talente &amp; Stuff'!IA:JB,3,FALSE)</f>
        <v>-</v>
      </c>
      <c r="F406" s="114">
        <f>VLOOKUP(C406,'Talente &amp; Stuff'!IA:JB,4,FALSE)</f>
        <v>0</v>
      </c>
      <c r="G406" s="113">
        <f>VLOOKUP(C406,'Talente &amp; Stuff'!IA:JB,5,FALSE)</f>
        <v>0</v>
      </c>
      <c r="H406" s="113">
        <f>VLOOKUP(C406,'Talente &amp; Stuff'!IA:JB,6,FALSE)</f>
        <v>0</v>
      </c>
      <c r="I406" s="113">
        <f>VLOOKUP(C406,'Talente &amp; Stuff'!IA:JB,7,FALSE)</f>
        <v>0</v>
      </c>
      <c r="J406" s="113">
        <f>VLOOKUP(C406,'Talente &amp; Stuff'!IA:JB,8,FALSE)</f>
        <v>0</v>
      </c>
      <c r="K406" s="113">
        <f>VLOOKUP(C406,'Talente &amp; Stuff'!IA:JB,9,FALSE)</f>
        <v>0</v>
      </c>
      <c r="L406" s="113">
        <f>VLOOKUP(C406,'Talente &amp; Stuff'!IA:JB,10,FALSE)</f>
        <v>0</v>
      </c>
      <c r="M406" s="119">
        <f>VLOOKUP(C406,'Talente &amp; Stuff'!IA:JB,11,FALSE)</f>
        <v>0</v>
      </c>
      <c r="N406" s="47">
        <f>VLOOKUP(C406,'Talente &amp; Stuff'!IA:JB,12,FALSE)</f>
        <v>0</v>
      </c>
      <c r="O406" s="47">
        <f>VLOOKUP(C406,'Talente &amp; Stuff'!IA:JB,13,FALSE)</f>
        <v>0</v>
      </c>
      <c r="P406" s="113">
        <f>VLOOKUP(C406,'Talente &amp; Stuff'!IA:JB,14,FALSE)</f>
        <v>0</v>
      </c>
      <c r="Q406" s="114">
        <f>VLOOKUP(C406,'Talente &amp; Stuff'!IA:JB,15,FALSE)</f>
        <v>0</v>
      </c>
      <c r="R406" s="113">
        <f>VLOOKUP(C406,'Talente &amp; Stuff'!IA:JB,16,FALSE)</f>
        <v>0</v>
      </c>
      <c r="S406" s="119">
        <f>VLOOKUP(C406,'Talente &amp; Stuff'!IA:JB,17,FALSE)</f>
        <v>0</v>
      </c>
      <c r="T406" s="160">
        <f>VLOOKUP(C406,'Talente &amp; Stuff'!IA:JB,18,FALSE)</f>
        <v>0</v>
      </c>
      <c r="U406" s="89">
        <f>VLOOKUP(C406,'Talente &amp; Stuff'!IA:JB,19,FALSE)</f>
        <v>0</v>
      </c>
      <c r="V406" s="47">
        <f>VLOOKUP(C406,'Talente &amp; Stuff'!IA:JB,20,FALSE)</f>
        <v>0</v>
      </c>
      <c r="W406" s="127">
        <f>VLOOKUP(C406,'Talente &amp; Stuff'!IA:JB,21,FALSE)</f>
        <v>0</v>
      </c>
      <c r="X406" s="127">
        <f>VLOOKUP(C406,'Talente &amp; Stuff'!IA:JB,22,FALSE)</f>
        <v>0</v>
      </c>
      <c r="Y406" s="165">
        <f t="shared" si="30"/>
        <v>0</v>
      </c>
      <c r="Z406" s="44">
        <f t="shared" si="31"/>
        <v>0</v>
      </c>
      <c r="AA406" s="125">
        <f>VLOOKUP(C406,'Talente &amp; Stuff'!IA:JB,25,FALSE)</f>
        <v>0</v>
      </c>
      <c r="AB406" s="160">
        <f>VLOOKUP(C406,'Talente &amp; Stuff'!IA:JB,26,FALSE)</f>
        <v>0</v>
      </c>
      <c r="AC406" s="127">
        <f>VLOOKUP(C406,'Talente &amp; Stuff'!IA:JB,27,FALSE)</f>
        <v>0</v>
      </c>
      <c r="AD406" s="125">
        <f>VLOOKUP(C406,'Talente &amp; Stuff'!IA:JB,28,FALSE)</f>
        <v>0</v>
      </c>
      <c r="AE406" s="28"/>
    </row>
    <row r="407" spans="2:31" ht="15" hidden="1" customHeight="1" outlineLevel="2">
      <c r="B407" s="148">
        <v>4</v>
      </c>
      <c r="C407" s="177" t="str">
        <f>Attribute!C407</f>
        <v>---</v>
      </c>
      <c r="D407" s="125" t="str">
        <f>VLOOKUP(C407,'Talente &amp; Stuff'!IA:JB,2,FALSE)</f>
        <v>--/--/--</v>
      </c>
      <c r="E407" s="47" t="str">
        <f>VLOOKUP(C407,'Talente &amp; Stuff'!IA:JB,3,FALSE)</f>
        <v>-</v>
      </c>
      <c r="F407" s="114">
        <f>VLOOKUP(C407,'Talente &amp; Stuff'!IA:JB,4,FALSE)</f>
        <v>0</v>
      </c>
      <c r="G407" s="113">
        <f>VLOOKUP(C407,'Talente &amp; Stuff'!IA:JB,5,FALSE)</f>
        <v>0</v>
      </c>
      <c r="H407" s="113">
        <f>VLOOKUP(C407,'Talente &amp; Stuff'!IA:JB,6,FALSE)</f>
        <v>0</v>
      </c>
      <c r="I407" s="113">
        <f>VLOOKUP(C407,'Talente &amp; Stuff'!IA:JB,7,FALSE)</f>
        <v>0</v>
      </c>
      <c r="J407" s="113">
        <f>VLOOKUP(C407,'Talente &amp; Stuff'!IA:JB,8,FALSE)</f>
        <v>0</v>
      </c>
      <c r="K407" s="113">
        <f>VLOOKUP(C407,'Talente &amp; Stuff'!IA:JB,9,FALSE)</f>
        <v>0</v>
      </c>
      <c r="L407" s="113">
        <f>VLOOKUP(C407,'Talente &amp; Stuff'!IA:JB,10,FALSE)</f>
        <v>0</v>
      </c>
      <c r="M407" s="119">
        <f>VLOOKUP(C407,'Talente &amp; Stuff'!IA:JB,11,FALSE)</f>
        <v>0</v>
      </c>
      <c r="N407" s="47">
        <f>VLOOKUP(C407,'Talente &amp; Stuff'!IA:JB,12,FALSE)</f>
        <v>0</v>
      </c>
      <c r="O407" s="47">
        <f>VLOOKUP(C407,'Talente &amp; Stuff'!IA:JB,13,FALSE)</f>
        <v>0</v>
      </c>
      <c r="P407" s="113">
        <f>VLOOKUP(C407,'Talente &amp; Stuff'!IA:JB,14,FALSE)</f>
        <v>0</v>
      </c>
      <c r="Q407" s="114">
        <f>VLOOKUP(C407,'Talente &amp; Stuff'!IA:JB,15,FALSE)</f>
        <v>0</v>
      </c>
      <c r="R407" s="113">
        <f>VLOOKUP(C407,'Talente &amp; Stuff'!IA:JB,16,FALSE)</f>
        <v>0</v>
      </c>
      <c r="S407" s="119">
        <f>VLOOKUP(C407,'Talente &amp; Stuff'!IA:JB,17,FALSE)</f>
        <v>0</v>
      </c>
      <c r="T407" s="160">
        <f>VLOOKUP(C407,'Talente &amp; Stuff'!IA:JB,18,FALSE)</f>
        <v>0</v>
      </c>
      <c r="U407" s="89">
        <f>VLOOKUP(C407,'Talente &amp; Stuff'!IA:JB,19,FALSE)</f>
        <v>0</v>
      </c>
      <c r="V407" s="47">
        <f>VLOOKUP(C407,'Talente &amp; Stuff'!IA:JB,20,FALSE)</f>
        <v>0</v>
      </c>
      <c r="W407" s="127">
        <f>VLOOKUP(C407,'Talente &amp; Stuff'!IA:JB,21,FALSE)</f>
        <v>0</v>
      </c>
      <c r="X407" s="127">
        <f>VLOOKUP(C407,'Talente &amp; Stuff'!IA:JB,22,FALSE)</f>
        <v>0</v>
      </c>
      <c r="Y407" s="165">
        <f t="shared" si="30"/>
        <v>0</v>
      </c>
      <c r="Z407" s="44">
        <f t="shared" si="31"/>
        <v>0</v>
      </c>
      <c r="AA407" s="125">
        <f>VLOOKUP(C407,'Talente &amp; Stuff'!IA:JB,25,FALSE)</f>
        <v>0</v>
      </c>
      <c r="AB407" s="160">
        <f>VLOOKUP(C407,'Talente &amp; Stuff'!IA:JB,26,FALSE)</f>
        <v>0</v>
      </c>
      <c r="AC407" s="127">
        <f>VLOOKUP(C407,'Talente &amp; Stuff'!IA:JB,27,FALSE)</f>
        <v>0</v>
      </c>
      <c r="AD407" s="125">
        <f>VLOOKUP(C407,'Talente &amp; Stuff'!IA:JB,28,FALSE)</f>
        <v>0</v>
      </c>
      <c r="AE407" s="28"/>
    </row>
    <row r="408" spans="2:31" ht="15" hidden="1" customHeight="1" outlineLevel="2">
      <c r="B408" s="148">
        <v>5</v>
      </c>
      <c r="C408" s="177" t="str">
        <f>Attribute!C408</f>
        <v>---</v>
      </c>
      <c r="D408" s="125" t="str">
        <f>VLOOKUP(C408,'Talente &amp; Stuff'!IA:JB,2,FALSE)</f>
        <v>--/--/--</v>
      </c>
      <c r="E408" s="47" t="str">
        <f>VLOOKUP(C408,'Talente &amp; Stuff'!IA:JB,3,FALSE)</f>
        <v>-</v>
      </c>
      <c r="F408" s="114">
        <f>VLOOKUP(C408,'Talente &amp; Stuff'!IA:JB,4,FALSE)</f>
        <v>0</v>
      </c>
      <c r="G408" s="113">
        <f>VLOOKUP(C408,'Talente &amp; Stuff'!IA:JB,5,FALSE)</f>
        <v>0</v>
      </c>
      <c r="H408" s="113">
        <f>VLOOKUP(C408,'Talente &amp; Stuff'!IA:JB,6,FALSE)</f>
        <v>0</v>
      </c>
      <c r="I408" s="113">
        <f>VLOOKUP(C408,'Talente &amp; Stuff'!IA:JB,7,FALSE)</f>
        <v>0</v>
      </c>
      <c r="J408" s="113">
        <f>VLOOKUP(C408,'Talente &amp; Stuff'!IA:JB,8,FALSE)</f>
        <v>0</v>
      </c>
      <c r="K408" s="113">
        <f>VLOOKUP(C408,'Talente &amp; Stuff'!IA:JB,9,FALSE)</f>
        <v>0</v>
      </c>
      <c r="L408" s="113">
        <f>VLOOKUP(C408,'Talente &amp; Stuff'!IA:JB,10,FALSE)</f>
        <v>0</v>
      </c>
      <c r="M408" s="119">
        <f>VLOOKUP(C408,'Talente &amp; Stuff'!IA:JB,11,FALSE)</f>
        <v>0</v>
      </c>
      <c r="N408" s="47">
        <f>VLOOKUP(C408,'Talente &amp; Stuff'!IA:JB,12,FALSE)</f>
        <v>0</v>
      </c>
      <c r="O408" s="47">
        <f>VLOOKUP(C408,'Talente &amp; Stuff'!IA:JB,13,FALSE)</f>
        <v>0</v>
      </c>
      <c r="P408" s="113">
        <f>VLOOKUP(C408,'Talente &amp; Stuff'!IA:JB,14,FALSE)</f>
        <v>0</v>
      </c>
      <c r="Q408" s="114">
        <f>VLOOKUP(C408,'Talente &amp; Stuff'!IA:JB,15,FALSE)</f>
        <v>0</v>
      </c>
      <c r="R408" s="113">
        <f>VLOOKUP(C408,'Talente &amp; Stuff'!IA:JB,16,FALSE)</f>
        <v>0</v>
      </c>
      <c r="S408" s="119">
        <f>VLOOKUP(C408,'Talente &amp; Stuff'!IA:JB,17,FALSE)</f>
        <v>0</v>
      </c>
      <c r="T408" s="160">
        <f>VLOOKUP(C408,'Talente &amp; Stuff'!IA:JB,18,FALSE)</f>
        <v>0</v>
      </c>
      <c r="U408" s="89">
        <f>VLOOKUP(C408,'Talente &amp; Stuff'!IA:JB,19,FALSE)</f>
        <v>0</v>
      </c>
      <c r="V408" s="47">
        <f>VLOOKUP(C408,'Talente &amp; Stuff'!IA:JB,20,FALSE)</f>
        <v>0</v>
      </c>
      <c r="W408" s="127">
        <f>VLOOKUP(C408,'Talente &amp; Stuff'!IA:JB,21,FALSE)</f>
        <v>0</v>
      </c>
      <c r="X408" s="127">
        <f>VLOOKUP(C408,'Talente &amp; Stuff'!IA:JB,22,FALSE)</f>
        <v>0</v>
      </c>
      <c r="Y408" s="165">
        <f t="shared" si="30"/>
        <v>0</v>
      </c>
      <c r="Z408" s="44">
        <f t="shared" si="31"/>
        <v>0</v>
      </c>
      <c r="AA408" s="125">
        <f>VLOOKUP(C408,'Talente &amp; Stuff'!IA:JB,25,FALSE)</f>
        <v>0</v>
      </c>
      <c r="AB408" s="160">
        <f>VLOOKUP(C408,'Talente &amp; Stuff'!IA:JB,26,FALSE)</f>
        <v>0</v>
      </c>
      <c r="AC408" s="127">
        <f>VLOOKUP(C408,'Talente &amp; Stuff'!IA:JB,27,FALSE)</f>
        <v>0</v>
      </c>
      <c r="AD408" s="125">
        <f>VLOOKUP(C408,'Talente &amp; Stuff'!IA:JB,28,FALSE)</f>
        <v>0</v>
      </c>
      <c r="AE408" s="28"/>
    </row>
    <row r="409" spans="2:31" ht="15" hidden="1" customHeight="1" outlineLevel="2">
      <c r="B409" s="148">
        <v>6</v>
      </c>
      <c r="C409" s="178" t="str">
        <f>Attribute!C409</f>
        <v>---</v>
      </c>
      <c r="D409" s="159" t="str">
        <f>VLOOKUP(C409,'Talente &amp; Stuff'!IA:JB,2,FALSE)</f>
        <v>--/--/--</v>
      </c>
      <c r="E409" s="88" t="str">
        <f>VLOOKUP(C409,'Talente &amp; Stuff'!IA:JB,3,FALSE)</f>
        <v>-</v>
      </c>
      <c r="F409" s="115">
        <f>VLOOKUP(C409,'Talente &amp; Stuff'!IA:JB,4,FALSE)</f>
        <v>0</v>
      </c>
      <c r="G409" s="122">
        <f>VLOOKUP(C409,'Talente &amp; Stuff'!IA:JB,5,FALSE)</f>
        <v>0</v>
      </c>
      <c r="H409" s="122">
        <f>VLOOKUP(C409,'Talente &amp; Stuff'!IA:JB,6,FALSE)</f>
        <v>0</v>
      </c>
      <c r="I409" s="122">
        <f>VLOOKUP(C409,'Talente &amp; Stuff'!IA:JB,7,FALSE)</f>
        <v>0</v>
      </c>
      <c r="J409" s="122">
        <f>VLOOKUP(C409,'Talente &amp; Stuff'!IA:JB,8,FALSE)</f>
        <v>0</v>
      </c>
      <c r="K409" s="122">
        <f>VLOOKUP(C409,'Talente &amp; Stuff'!IA:JB,9,FALSE)</f>
        <v>0</v>
      </c>
      <c r="L409" s="122">
        <f>VLOOKUP(C409,'Talente &amp; Stuff'!IA:JB,10,FALSE)</f>
        <v>0</v>
      </c>
      <c r="M409" s="123">
        <f>VLOOKUP(C409,'Talente &amp; Stuff'!IA:JB,11,FALSE)</f>
        <v>0</v>
      </c>
      <c r="N409" s="88">
        <f>VLOOKUP(C409,'Talente &amp; Stuff'!IA:JB,12,FALSE)</f>
        <v>0</v>
      </c>
      <c r="O409" s="88">
        <f>VLOOKUP(C409,'Talente &amp; Stuff'!IA:JB,13,FALSE)</f>
        <v>0</v>
      </c>
      <c r="P409" s="122">
        <f>VLOOKUP(C409,'Talente &amp; Stuff'!IA:JB,14,FALSE)</f>
        <v>0</v>
      </c>
      <c r="Q409" s="115">
        <f>VLOOKUP(C409,'Talente &amp; Stuff'!IA:JB,15,FALSE)</f>
        <v>0</v>
      </c>
      <c r="R409" s="122">
        <f>VLOOKUP(C409,'Talente &amp; Stuff'!IA:JB,16,FALSE)</f>
        <v>0</v>
      </c>
      <c r="S409" s="123">
        <f>VLOOKUP(C409,'Talente &amp; Stuff'!IA:JB,17,FALSE)</f>
        <v>0</v>
      </c>
      <c r="T409" s="161">
        <f>VLOOKUP(C409,'Talente &amp; Stuff'!IA:JB,18,FALSE)</f>
        <v>0</v>
      </c>
      <c r="U409" s="90">
        <f>VLOOKUP(C409,'Talente &amp; Stuff'!IA:JB,19,FALSE)</f>
        <v>0</v>
      </c>
      <c r="V409" s="88">
        <f>VLOOKUP(C409,'Talente &amp; Stuff'!IA:JB,20,FALSE)</f>
        <v>0</v>
      </c>
      <c r="W409" s="128">
        <f>VLOOKUP(C409,'Talente &amp; Stuff'!IA:JB,21,FALSE)</f>
        <v>0</v>
      </c>
      <c r="X409" s="128">
        <f>VLOOKUP(C409,'Talente &amp; Stuff'!IA:JB,22,FALSE)</f>
        <v>0</v>
      </c>
      <c r="Y409" s="165">
        <f t="shared" si="30"/>
        <v>0</v>
      </c>
      <c r="Z409" s="44">
        <f t="shared" si="31"/>
        <v>0</v>
      </c>
      <c r="AA409" s="159">
        <f>VLOOKUP(C409,'Talente &amp; Stuff'!IA:JB,25,FALSE)</f>
        <v>0</v>
      </c>
      <c r="AB409" s="161">
        <f>VLOOKUP(C409,'Talente &amp; Stuff'!IA:JB,26,FALSE)</f>
        <v>0</v>
      </c>
      <c r="AC409" s="128">
        <f>VLOOKUP(C409,'Talente &amp; Stuff'!IA:JB,27,FALSE)</f>
        <v>0</v>
      </c>
      <c r="AD409" s="159">
        <f>VLOOKUP(C409,'Talente &amp; Stuff'!IA:JB,28,FALSE)</f>
        <v>0</v>
      </c>
      <c r="AE409" s="28"/>
    </row>
    <row r="410" spans="2:31" ht="15" hidden="1" customHeight="1" outlineLevel="1" collapsed="1">
      <c r="B410" s="134" t="s">
        <v>325</v>
      </c>
      <c r="C410" s="83"/>
      <c r="D410" s="84"/>
      <c r="E410" s="84"/>
    </row>
    <row r="411" spans="2:31" ht="15" hidden="1" customHeight="1" outlineLevel="2">
      <c r="B411" s="148">
        <v>1</v>
      </c>
      <c r="C411" s="176" t="str">
        <f>Attribute!C411</f>
        <v>---</v>
      </c>
      <c r="D411" s="158" t="str">
        <f>VLOOKUP(C411,'Talente &amp; Stuff'!IA:JB,2,FALSE)</f>
        <v>--/--/--</v>
      </c>
      <c r="E411" s="116" t="str">
        <f>VLOOKUP(C411,'Talente &amp; Stuff'!IA:JB,3,FALSE)</f>
        <v>-</v>
      </c>
      <c r="F411" s="191">
        <f>VLOOKUP(C411,'Talente &amp; Stuff'!IA:JB,4,FALSE)</f>
        <v>0</v>
      </c>
      <c r="G411" s="118">
        <f>VLOOKUP(C411,'Talente &amp; Stuff'!IA:JB,5,FALSE)</f>
        <v>0</v>
      </c>
      <c r="H411" s="118">
        <f>VLOOKUP(C411,'Talente &amp; Stuff'!IA:JB,6,FALSE)</f>
        <v>0</v>
      </c>
      <c r="I411" s="118">
        <f>VLOOKUP(C411,'Talente &amp; Stuff'!IA:JB,7,FALSE)</f>
        <v>0</v>
      </c>
      <c r="J411" s="118">
        <f>VLOOKUP(C411,'Talente &amp; Stuff'!IA:JB,8,FALSE)</f>
        <v>0</v>
      </c>
      <c r="K411" s="118">
        <f>VLOOKUP(C411,'Talente &amp; Stuff'!IA:JB,9,FALSE)</f>
        <v>0</v>
      </c>
      <c r="L411" s="118">
        <f>VLOOKUP(C411,'Talente &amp; Stuff'!IA:JB,10,FALSE)</f>
        <v>0</v>
      </c>
      <c r="M411" s="92">
        <f>VLOOKUP(C411,'Talente &amp; Stuff'!IA:JB,11,FALSE)</f>
        <v>0</v>
      </c>
      <c r="N411" s="116">
        <f>VLOOKUP(C411,'Talente &amp; Stuff'!IA:JB,12,FALSE)</f>
        <v>0</v>
      </c>
      <c r="O411" s="116">
        <f>VLOOKUP(C411,'Talente &amp; Stuff'!IA:JB,13,FALSE)</f>
        <v>0</v>
      </c>
      <c r="P411" s="118">
        <f>VLOOKUP(C411,'Talente &amp; Stuff'!IA:JB,14,FALSE)</f>
        <v>0</v>
      </c>
      <c r="Q411" s="191">
        <f>VLOOKUP(C411,'Talente &amp; Stuff'!IA:JB,15,FALSE)</f>
        <v>0</v>
      </c>
      <c r="R411" s="118">
        <f>VLOOKUP(C411,'Talente &amp; Stuff'!IA:JB,16,FALSE)</f>
        <v>0</v>
      </c>
      <c r="S411" s="92">
        <f>VLOOKUP(C411,'Talente &amp; Stuff'!IA:JB,17,FALSE)</f>
        <v>0</v>
      </c>
      <c r="T411" s="91">
        <f>VLOOKUP(C411,'Talente &amp; Stuff'!IA:JB,18,FALSE)</f>
        <v>0</v>
      </c>
      <c r="U411" s="193">
        <f>VLOOKUP(C411,'Talente &amp; Stuff'!IA:JB,19,FALSE)</f>
        <v>0</v>
      </c>
      <c r="V411" s="116">
        <f>VLOOKUP(C411,'Talente &amp; Stuff'!IA:JB,20,FALSE)</f>
        <v>0</v>
      </c>
      <c r="W411" s="126">
        <f>VLOOKUP(C411,'Talente &amp; Stuff'!IA:JB,21,FALSE)</f>
        <v>0</v>
      </c>
      <c r="X411" s="126">
        <f>VLOOKUP(C411,'Talente &amp; Stuff'!IA:JB,22,FALSE)</f>
        <v>0</v>
      </c>
      <c r="Y411" s="165">
        <f t="shared" ref="Y411:Y417" si="32">VLOOKUP(C411,Ausgewählte_Liturgien_Hesinde,255,FALSE)</f>
        <v>0</v>
      </c>
      <c r="Z411" s="44">
        <f t="shared" ref="Z411:Z417" si="33">VLOOKUP(C411,Ausgewählte_Liturgien_Hesinde,256,FALSE)</f>
        <v>0</v>
      </c>
      <c r="AA411" s="158">
        <f>VLOOKUP(C411,'Talente &amp; Stuff'!IA:JB,25,FALSE)</f>
        <v>0</v>
      </c>
      <c r="AB411" s="91">
        <f>VLOOKUP(C411,'Talente &amp; Stuff'!IA:JB,26,FALSE)</f>
        <v>0</v>
      </c>
      <c r="AC411" s="126">
        <f>VLOOKUP(C411,'Talente &amp; Stuff'!IA:JB,27,FALSE)</f>
        <v>0</v>
      </c>
      <c r="AD411" s="158">
        <f>VLOOKUP(C411,'Talente &amp; Stuff'!IA:JB,28,FALSE)</f>
        <v>0</v>
      </c>
      <c r="AE411" s="28"/>
    </row>
    <row r="412" spans="2:31" ht="15" hidden="1" customHeight="1" outlineLevel="2">
      <c r="B412" s="148">
        <v>2</v>
      </c>
      <c r="C412" s="177" t="str">
        <f>Attribute!C412</f>
        <v>---</v>
      </c>
      <c r="D412" s="125" t="str">
        <f>VLOOKUP(C412,'Talente &amp; Stuff'!IA:JB,2,FALSE)</f>
        <v>--/--/--</v>
      </c>
      <c r="E412" s="47" t="str">
        <f>VLOOKUP(C412,'Talente &amp; Stuff'!IA:JB,3,FALSE)</f>
        <v>-</v>
      </c>
      <c r="F412" s="114">
        <f>VLOOKUP(C412,'Talente &amp; Stuff'!IA:JB,4,FALSE)</f>
        <v>0</v>
      </c>
      <c r="G412" s="113">
        <f>VLOOKUP(C412,'Talente &amp; Stuff'!IA:JB,5,FALSE)</f>
        <v>0</v>
      </c>
      <c r="H412" s="113">
        <f>VLOOKUP(C412,'Talente &amp; Stuff'!IA:JB,6,FALSE)</f>
        <v>0</v>
      </c>
      <c r="I412" s="113">
        <f>VLOOKUP(C412,'Talente &amp; Stuff'!IA:JB,7,FALSE)</f>
        <v>0</v>
      </c>
      <c r="J412" s="113">
        <f>VLOOKUP(C412,'Talente &amp; Stuff'!IA:JB,8,FALSE)</f>
        <v>0</v>
      </c>
      <c r="K412" s="113">
        <f>VLOOKUP(C412,'Talente &amp; Stuff'!IA:JB,9,FALSE)</f>
        <v>0</v>
      </c>
      <c r="L412" s="113">
        <f>VLOOKUP(C412,'Talente &amp; Stuff'!IA:JB,10,FALSE)</f>
        <v>0</v>
      </c>
      <c r="M412" s="119">
        <f>VLOOKUP(C412,'Talente &amp; Stuff'!IA:JB,11,FALSE)</f>
        <v>0</v>
      </c>
      <c r="N412" s="47">
        <f>VLOOKUP(C412,'Talente &amp; Stuff'!IA:JB,12,FALSE)</f>
        <v>0</v>
      </c>
      <c r="O412" s="47">
        <f>VLOOKUP(C412,'Talente &amp; Stuff'!IA:JB,13,FALSE)</f>
        <v>0</v>
      </c>
      <c r="P412" s="113">
        <f>VLOOKUP(C412,'Talente &amp; Stuff'!IA:JB,14,FALSE)</f>
        <v>0</v>
      </c>
      <c r="Q412" s="114">
        <f>VLOOKUP(C412,'Talente &amp; Stuff'!IA:JB,15,FALSE)</f>
        <v>0</v>
      </c>
      <c r="R412" s="113">
        <f>VLOOKUP(C412,'Talente &amp; Stuff'!IA:JB,16,FALSE)</f>
        <v>0</v>
      </c>
      <c r="S412" s="119">
        <f>VLOOKUP(C412,'Talente &amp; Stuff'!IA:JB,17,FALSE)</f>
        <v>0</v>
      </c>
      <c r="T412" s="160">
        <f>VLOOKUP(C412,'Talente &amp; Stuff'!IA:JB,18,FALSE)</f>
        <v>0</v>
      </c>
      <c r="U412" s="89">
        <f>VLOOKUP(C412,'Talente &amp; Stuff'!IA:JB,19,FALSE)</f>
        <v>0</v>
      </c>
      <c r="V412" s="47">
        <f>VLOOKUP(C412,'Talente &amp; Stuff'!IA:JB,20,FALSE)</f>
        <v>0</v>
      </c>
      <c r="W412" s="127">
        <f>VLOOKUP(C412,'Talente &amp; Stuff'!IA:JB,21,FALSE)</f>
        <v>0</v>
      </c>
      <c r="X412" s="127">
        <f>VLOOKUP(C412,'Talente &amp; Stuff'!IA:JB,22,FALSE)</f>
        <v>0</v>
      </c>
      <c r="Y412" s="165">
        <f t="shared" si="32"/>
        <v>0</v>
      </c>
      <c r="Z412" s="44">
        <f t="shared" si="33"/>
        <v>0</v>
      </c>
      <c r="AA412" s="125">
        <f>VLOOKUP(C412,'Talente &amp; Stuff'!IA:JB,25,FALSE)</f>
        <v>0</v>
      </c>
      <c r="AB412" s="160">
        <f>VLOOKUP(C412,'Talente &amp; Stuff'!IA:JB,26,FALSE)</f>
        <v>0</v>
      </c>
      <c r="AC412" s="127">
        <f>VLOOKUP(C412,'Talente &amp; Stuff'!IA:JB,27,FALSE)</f>
        <v>0</v>
      </c>
      <c r="AD412" s="125">
        <f>VLOOKUP(C412,'Talente &amp; Stuff'!IA:JB,28,FALSE)</f>
        <v>0</v>
      </c>
      <c r="AE412" s="28"/>
    </row>
    <row r="413" spans="2:31" ht="15" hidden="1" customHeight="1" outlineLevel="2">
      <c r="B413" s="148">
        <v>3</v>
      </c>
      <c r="C413" s="177" t="str">
        <f>Attribute!C413</f>
        <v>---</v>
      </c>
      <c r="D413" s="125" t="str">
        <f>VLOOKUP(C413,'Talente &amp; Stuff'!IA:JB,2,FALSE)</f>
        <v>--/--/--</v>
      </c>
      <c r="E413" s="47" t="str">
        <f>VLOOKUP(C413,'Talente &amp; Stuff'!IA:JB,3,FALSE)</f>
        <v>-</v>
      </c>
      <c r="F413" s="114">
        <f>VLOOKUP(C413,'Talente &amp; Stuff'!IA:JB,4,FALSE)</f>
        <v>0</v>
      </c>
      <c r="G413" s="113">
        <f>VLOOKUP(C413,'Talente &amp; Stuff'!IA:JB,5,FALSE)</f>
        <v>0</v>
      </c>
      <c r="H413" s="113">
        <f>VLOOKUP(C413,'Talente &amp; Stuff'!IA:JB,6,FALSE)</f>
        <v>0</v>
      </c>
      <c r="I413" s="113">
        <f>VLOOKUP(C413,'Talente &amp; Stuff'!IA:JB,7,FALSE)</f>
        <v>0</v>
      </c>
      <c r="J413" s="113">
        <f>VLOOKUP(C413,'Talente &amp; Stuff'!IA:JB,8,FALSE)</f>
        <v>0</v>
      </c>
      <c r="K413" s="113">
        <f>VLOOKUP(C413,'Talente &amp; Stuff'!IA:JB,9,FALSE)</f>
        <v>0</v>
      </c>
      <c r="L413" s="113">
        <f>VLOOKUP(C413,'Talente &amp; Stuff'!IA:JB,10,FALSE)</f>
        <v>0</v>
      </c>
      <c r="M413" s="119">
        <f>VLOOKUP(C413,'Talente &amp; Stuff'!IA:JB,11,FALSE)</f>
        <v>0</v>
      </c>
      <c r="N413" s="47">
        <f>VLOOKUP(C413,'Talente &amp; Stuff'!IA:JB,12,FALSE)</f>
        <v>0</v>
      </c>
      <c r="O413" s="47">
        <f>VLOOKUP(C413,'Talente &amp; Stuff'!IA:JB,13,FALSE)</f>
        <v>0</v>
      </c>
      <c r="P413" s="113">
        <f>VLOOKUP(C413,'Talente &amp; Stuff'!IA:JB,14,FALSE)</f>
        <v>0</v>
      </c>
      <c r="Q413" s="114">
        <f>VLOOKUP(C413,'Talente &amp; Stuff'!IA:JB,15,FALSE)</f>
        <v>0</v>
      </c>
      <c r="R413" s="113">
        <f>VLOOKUP(C413,'Talente &amp; Stuff'!IA:JB,16,FALSE)</f>
        <v>0</v>
      </c>
      <c r="S413" s="119">
        <f>VLOOKUP(C413,'Talente &amp; Stuff'!IA:JB,17,FALSE)</f>
        <v>0</v>
      </c>
      <c r="T413" s="160">
        <f>VLOOKUP(C413,'Talente &amp; Stuff'!IA:JB,18,FALSE)</f>
        <v>0</v>
      </c>
      <c r="U413" s="89">
        <f>VLOOKUP(C413,'Talente &amp; Stuff'!IA:JB,19,FALSE)</f>
        <v>0</v>
      </c>
      <c r="V413" s="47">
        <f>VLOOKUP(C413,'Talente &amp; Stuff'!IA:JB,20,FALSE)</f>
        <v>0</v>
      </c>
      <c r="W413" s="127">
        <f>VLOOKUP(C413,'Talente &amp; Stuff'!IA:JB,21,FALSE)</f>
        <v>0</v>
      </c>
      <c r="X413" s="127">
        <f>VLOOKUP(C413,'Talente &amp; Stuff'!IA:JB,22,FALSE)</f>
        <v>0</v>
      </c>
      <c r="Y413" s="165">
        <f t="shared" si="32"/>
        <v>0</v>
      </c>
      <c r="Z413" s="44">
        <f t="shared" si="33"/>
        <v>0</v>
      </c>
      <c r="AA413" s="125">
        <f>VLOOKUP(C413,'Talente &amp; Stuff'!IA:JB,25,FALSE)</f>
        <v>0</v>
      </c>
      <c r="AB413" s="160">
        <f>VLOOKUP(C413,'Talente &amp; Stuff'!IA:JB,26,FALSE)</f>
        <v>0</v>
      </c>
      <c r="AC413" s="127">
        <f>VLOOKUP(C413,'Talente &amp; Stuff'!IA:JB,27,FALSE)</f>
        <v>0</v>
      </c>
      <c r="AD413" s="125">
        <f>VLOOKUP(C413,'Talente &amp; Stuff'!IA:JB,28,FALSE)</f>
        <v>0</v>
      </c>
      <c r="AE413" s="28"/>
    </row>
    <row r="414" spans="2:31" ht="15" hidden="1" customHeight="1" outlineLevel="2">
      <c r="B414" s="148">
        <v>4</v>
      </c>
      <c r="C414" s="177" t="str">
        <f>Attribute!C414</f>
        <v>---</v>
      </c>
      <c r="D414" s="125" t="str">
        <f>VLOOKUP(C414,'Talente &amp; Stuff'!IA:JB,2,FALSE)</f>
        <v>--/--/--</v>
      </c>
      <c r="E414" s="47" t="str">
        <f>VLOOKUP(C414,'Talente &amp; Stuff'!IA:JB,3,FALSE)</f>
        <v>-</v>
      </c>
      <c r="F414" s="114">
        <f>VLOOKUP(C414,'Talente &amp; Stuff'!IA:JB,4,FALSE)</f>
        <v>0</v>
      </c>
      <c r="G414" s="113">
        <f>VLOOKUP(C414,'Talente &amp; Stuff'!IA:JB,5,FALSE)</f>
        <v>0</v>
      </c>
      <c r="H414" s="113">
        <f>VLOOKUP(C414,'Talente &amp; Stuff'!IA:JB,6,FALSE)</f>
        <v>0</v>
      </c>
      <c r="I414" s="113">
        <f>VLOOKUP(C414,'Talente &amp; Stuff'!IA:JB,7,FALSE)</f>
        <v>0</v>
      </c>
      <c r="J414" s="113">
        <f>VLOOKUP(C414,'Talente &amp; Stuff'!IA:JB,8,FALSE)</f>
        <v>0</v>
      </c>
      <c r="K414" s="113">
        <f>VLOOKUP(C414,'Talente &amp; Stuff'!IA:JB,9,FALSE)</f>
        <v>0</v>
      </c>
      <c r="L414" s="113">
        <f>VLOOKUP(C414,'Talente &amp; Stuff'!IA:JB,10,FALSE)</f>
        <v>0</v>
      </c>
      <c r="M414" s="119">
        <f>VLOOKUP(C414,'Talente &amp; Stuff'!IA:JB,11,FALSE)</f>
        <v>0</v>
      </c>
      <c r="N414" s="47">
        <f>VLOOKUP(C414,'Talente &amp; Stuff'!IA:JB,12,FALSE)</f>
        <v>0</v>
      </c>
      <c r="O414" s="47">
        <f>VLOOKUP(C414,'Talente &amp; Stuff'!IA:JB,13,FALSE)</f>
        <v>0</v>
      </c>
      <c r="P414" s="113">
        <f>VLOOKUP(C414,'Talente &amp; Stuff'!IA:JB,14,FALSE)</f>
        <v>0</v>
      </c>
      <c r="Q414" s="114">
        <f>VLOOKUP(C414,'Talente &amp; Stuff'!IA:JB,15,FALSE)</f>
        <v>0</v>
      </c>
      <c r="R414" s="113">
        <f>VLOOKUP(C414,'Talente &amp; Stuff'!IA:JB,16,FALSE)</f>
        <v>0</v>
      </c>
      <c r="S414" s="119">
        <f>VLOOKUP(C414,'Talente &amp; Stuff'!IA:JB,17,FALSE)</f>
        <v>0</v>
      </c>
      <c r="T414" s="160">
        <f>VLOOKUP(C414,'Talente &amp; Stuff'!IA:JB,18,FALSE)</f>
        <v>0</v>
      </c>
      <c r="U414" s="89">
        <f>VLOOKUP(C414,'Talente &amp; Stuff'!IA:JB,19,FALSE)</f>
        <v>0</v>
      </c>
      <c r="V414" s="47">
        <f>VLOOKUP(C414,'Talente &amp; Stuff'!IA:JB,20,FALSE)</f>
        <v>0</v>
      </c>
      <c r="W414" s="127">
        <f>VLOOKUP(C414,'Talente &amp; Stuff'!IA:JB,21,FALSE)</f>
        <v>0</v>
      </c>
      <c r="X414" s="127">
        <f>VLOOKUP(C414,'Talente &amp; Stuff'!IA:JB,22,FALSE)</f>
        <v>0</v>
      </c>
      <c r="Y414" s="165">
        <f t="shared" si="32"/>
        <v>0</v>
      </c>
      <c r="Z414" s="44">
        <f t="shared" si="33"/>
        <v>0</v>
      </c>
      <c r="AA414" s="125">
        <f>VLOOKUP(C414,'Talente &amp; Stuff'!IA:JB,25,FALSE)</f>
        <v>0</v>
      </c>
      <c r="AB414" s="160">
        <f>VLOOKUP(C414,'Talente &amp; Stuff'!IA:JB,26,FALSE)</f>
        <v>0</v>
      </c>
      <c r="AC414" s="127">
        <f>VLOOKUP(C414,'Talente &amp; Stuff'!IA:JB,27,FALSE)</f>
        <v>0</v>
      </c>
      <c r="AD414" s="125">
        <f>VLOOKUP(C414,'Talente &amp; Stuff'!IA:JB,28,FALSE)</f>
        <v>0</v>
      </c>
      <c r="AE414" s="28"/>
    </row>
    <row r="415" spans="2:31" ht="15" hidden="1" customHeight="1" outlineLevel="2">
      <c r="B415" s="148">
        <v>5</v>
      </c>
      <c r="C415" s="177" t="str">
        <f>Attribute!C415</f>
        <v>---</v>
      </c>
      <c r="D415" s="125" t="str">
        <f>VLOOKUP(C415,'Talente &amp; Stuff'!IA:JB,2,FALSE)</f>
        <v>--/--/--</v>
      </c>
      <c r="E415" s="47" t="str">
        <f>VLOOKUP(C415,'Talente &amp; Stuff'!IA:JB,3,FALSE)</f>
        <v>-</v>
      </c>
      <c r="F415" s="114">
        <f>VLOOKUP(C415,'Talente &amp; Stuff'!IA:JB,4,FALSE)</f>
        <v>0</v>
      </c>
      <c r="G415" s="113">
        <f>VLOOKUP(C415,'Talente &amp; Stuff'!IA:JB,5,FALSE)</f>
        <v>0</v>
      </c>
      <c r="H415" s="113">
        <f>VLOOKUP(C415,'Talente &amp; Stuff'!IA:JB,6,FALSE)</f>
        <v>0</v>
      </c>
      <c r="I415" s="113">
        <f>VLOOKUP(C415,'Talente &amp; Stuff'!IA:JB,7,FALSE)</f>
        <v>0</v>
      </c>
      <c r="J415" s="113">
        <f>VLOOKUP(C415,'Talente &amp; Stuff'!IA:JB,8,FALSE)</f>
        <v>0</v>
      </c>
      <c r="K415" s="113">
        <f>VLOOKUP(C415,'Talente &amp; Stuff'!IA:JB,9,FALSE)</f>
        <v>0</v>
      </c>
      <c r="L415" s="113">
        <f>VLOOKUP(C415,'Talente &amp; Stuff'!IA:JB,10,FALSE)</f>
        <v>0</v>
      </c>
      <c r="M415" s="119">
        <f>VLOOKUP(C415,'Talente &amp; Stuff'!IA:JB,11,FALSE)</f>
        <v>0</v>
      </c>
      <c r="N415" s="47">
        <f>VLOOKUP(C415,'Talente &amp; Stuff'!IA:JB,12,FALSE)</f>
        <v>0</v>
      </c>
      <c r="O415" s="47">
        <f>VLOOKUP(C415,'Talente &amp; Stuff'!IA:JB,13,FALSE)</f>
        <v>0</v>
      </c>
      <c r="P415" s="113">
        <f>VLOOKUP(C415,'Talente &amp; Stuff'!IA:JB,14,FALSE)</f>
        <v>0</v>
      </c>
      <c r="Q415" s="114">
        <f>VLOOKUP(C415,'Talente &amp; Stuff'!IA:JB,15,FALSE)</f>
        <v>0</v>
      </c>
      <c r="R415" s="113">
        <f>VLOOKUP(C415,'Talente &amp; Stuff'!IA:JB,16,FALSE)</f>
        <v>0</v>
      </c>
      <c r="S415" s="119">
        <f>VLOOKUP(C415,'Talente &amp; Stuff'!IA:JB,17,FALSE)</f>
        <v>0</v>
      </c>
      <c r="T415" s="160">
        <f>VLOOKUP(C415,'Talente &amp; Stuff'!IA:JB,18,FALSE)</f>
        <v>0</v>
      </c>
      <c r="U415" s="89">
        <f>VLOOKUP(C415,'Talente &amp; Stuff'!IA:JB,19,FALSE)</f>
        <v>0</v>
      </c>
      <c r="V415" s="47">
        <f>VLOOKUP(C415,'Talente &amp; Stuff'!IA:JB,20,FALSE)</f>
        <v>0</v>
      </c>
      <c r="W415" s="127">
        <f>VLOOKUP(C415,'Talente &amp; Stuff'!IA:JB,21,FALSE)</f>
        <v>0</v>
      </c>
      <c r="X415" s="127">
        <f>VLOOKUP(C415,'Talente &amp; Stuff'!IA:JB,22,FALSE)</f>
        <v>0</v>
      </c>
      <c r="Y415" s="165">
        <f t="shared" si="32"/>
        <v>0</v>
      </c>
      <c r="Z415" s="44">
        <f t="shared" si="33"/>
        <v>0</v>
      </c>
      <c r="AA415" s="125">
        <f>VLOOKUP(C415,'Talente &amp; Stuff'!IA:JB,25,FALSE)</f>
        <v>0</v>
      </c>
      <c r="AB415" s="160">
        <f>VLOOKUP(C415,'Talente &amp; Stuff'!IA:JB,26,FALSE)</f>
        <v>0</v>
      </c>
      <c r="AC415" s="127">
        <f>VLOOKUP(C415,'Talente &amp; Stuff'!IA:JB,27,FALSE)</f>
        <v>0</v>
      </c>
      <c r="AD415" s="125">
        <f>VLOOKUP(C415,'Talente &amp; Stuff'!IA:JB,28,FALSE)</f>
        <v>0</v>
      </c>
      <c r="AE415" s="28"/>
    </row>
    <row r="416" spans="2:31" ht="15" hidden="1" customHeight="1" outlineLevel="2">
      <c r="B416" s="148">
        <v>6</v>
      </c>
      <c r="C416" s="177" t="str">
        <f>Attribute!C416</f>
        <v>---</v>
      </c>
      <c r="D416" s="125" t="str">
        <f>VLOOKUP(C416,'Talente &amp; Stuff'!IA:JB,2,FALSE)</f>
        <v>--/--/--</v>
      </c>
      <c r="E416" s="47" t="str">
        <f>VLOOKUP(C416,'Talente &amp; Stuff'!IA:JB,3,FALSE)</f>
        <v>-</v>
      </c>
      <c r="F416" s="114">
        <f>VLOOKUP(C416,'Talente &amp; Stuff'!IA:JB,4,FALSE)</f>
        <v>0</v>
      </c>
      <c r="G416" s="113">
        <f>VLOOKUP(C416,'Talente &amp; Stuff'!IA:JB,5,FALSE)</f>
        <v>0</v>
      </c>
      <c r="H416" s="113">
        <f>VLOOKUP(C416,'Talente &amp; Stuff'!IA:JB,6,FALSE)</f>
        <v>0</v>
      </c>
      <c r="I416" s="113">
        <f>VLOOKUP(C416,'Talente &amp; Stuff'!IA:JB,7,FALSE)</f>
        <v>0</v>
      </c>
      <c r="J416" s="113">
        <f>VLOOKUP(C416,'Talente &amp; Stuff'!IA:JB,8,FALSE)</f>
        <v>0</v>
      </c>
      <c r="K416" s="113">
        <f>VLOOKUP(C416,'Talente &amp; Stuff'!IA:JB,9,FALSE)</f>
        <v>0</v>
      </c>
      <c r="L416" s="113">
        <f>VLOOKUP(C416,'Talente &amp; Stuff'!IA:JB,10,FALSE)</f>
        <v>0</v>
      </c>
      <c r="M416" s="119">
        <f>VLOOKUP(C416,'Talente &amp; Stuff'!IA:JB,11,FALSE)</f>
        <v>0</v>
      </c>
      <c r="N416" s="47">
        <f>VLOOKUP(C416,'Talente &amp; Stuff'!IA:JB,12,FALSE)</f>
        <v>0</v>
      </c>
      <c r="O416" s="47">
        <f>VLOOKUP(C416,'Talente &amp; Stuff'!IA:JB,13,FALSE)</f>
        <v>0</v>
      </c>
      <c r="P416" s="113">
        <f>VLOOKUP(C416,'Talente &amp; Stuff'!IA:JB,14,FALSE)</f>
        <v>0</v>
      </c>
      <c r="Q416" s="114">
        <f>VLOOKUP(C416,'Talente &amp; Stuff'!IA:JB,15,FALSE)</f>
        <v>0</v>
      </c>
      <c r="R416" s="113">
        <f>VLOOKUP(C416,'Talente &amp; Stuff'!IA:JB,16,FALSE)</f>
        <v>0</v>
      </c>
      <c r="S416" s="119">
        <f>VLOOKUP(C416,'Talente &amp; Stuff'!IA:JB,17,FALSE)</f>
        <v>0</v>
      </c>
      <c r="T416" s="160">
        <f>VLOOKUP(C416,'Talente &amp; Stuff'!IA:JB,18,FALSE)</f>
        <v>0</v>
      </c>
      <c r="U416" s="89">
        <f>VLOOKUP(C416,'Talente &amp; Stuff'!IA:JB,19,FALSE)</f>
        <v>0</v>
      </c>
      <c r="V416" s="47">
        <f>VLOOKUP(C416,'Talente &amp; Stuff'!IA:JB,20,FALSE)</f>
        <v>0</v>
      </c>
      <c r="W416" s="127">
        <f>VLOOKUP(C416,'Talente &amp; Stuff'!IA:JB,21,FALSE)</f>
        <v>0</v>
      </c>
      <c r="X416" s="127">
        <f>VLOOKUP(C416,'Talente &amp; Stuff'!IA:JB,22,FALSE)</f>
        <v>0</v>
      </c>
      <c r="Y416" s="165">
        <f t="shared" si="32"/>
        <v>0</v>
      </c>
      <c r="Z416" s="44">
        <f t="shared" si="33"/>
        <v>0</v>
      </c>
      <c r="AA416" s="125">
        <f>VLOOKUP(C416,'Talente &amp; Stuff'!IA:JB,25,FALSE)</f>
        <v>0</v>
      </c>
      <c r="AB416" s="160">
        <f>VLOOKUP(C416,'Talente &amp; Stuff'!IA:JB,26,FALSE)</f>
        <v>0</v>
      </c>
      <c r="AC416" s="127">
        <f>VLOOKUP(C416,'Talente &amp; Stuff'!IA:JB,27,FALSE)</f>
        <v>0</v>
      </c>
      <c r="AD416" s="125">
        <f>VLOOKUP(C416,'Talente &amp; Stuff'!IA:JB,28,FALSE)</f>
        <v>0</v>
      </c>
      <c r="AE416" s="28"/>
    </row>
    <row r="417" spans="2:31" ht="15" hidden="1" customHeight="1" outlineLevel="2">
      <c r="B417" s="148">
        <v>7</v>
      </c>
      <c r="C417" s="178" t="str">
        <f>Attribute!C417</f>
        <v>---</v>
      </c>
      <c r="D417" s="159" t="str">
        <f>VLOOKUP(C417,'Talente &amp; Stuff'!IA:JB,2,FALSE)</f>
        <v>--/--/--</v>
      </c>
      <c r="E417" s="88" t="str">
        <f>VLOOKUP(C417,'Talente &amp; Stuff'!IA:JB,3,FALSE)</f>
        <v>-</v>
      </c>
      <c r="F417" s="115">
        <f>VLOOKUP(C417,'Talente &amp; Stuff'!IA:JB,4,FALSE)</f>
        <v>0</v>
      </c>
      <c r="G417" s="122">
        <f>VLOOKUP(C417,'Talente &amp; Stuff'!IA:JB,5,FALSE)</f>
        <v>0</v>
      </c>
      <c r="H417" s="122">
        <f>VLOOKUP(C417,'Talente &amp; Stuff'!IA:JB,6,FALSE)</f>
        <v>0</v>
      </c>
      <c r="I417" s="122">
        <f>VLOOKUP(C417,'Talente &amp; Stuff'!IA:JB,7,FALSE)</f>
        <v>0</v>
      </c>
      <c r="J417" s="122">
        <f>VLOOKUP(C417,'Talente &amp; Stuff'!IA:JB,8,FALSE)</f>
        <v>0</v>
      </c>
      <c r="K417" s="122">
        <f>VLOOKUP(C417,'Talente &amp; Stuff'!IA:JB,9,FALSE)</f>
        <v>0</v>
      </c>
      <c r="L417" s="122">
        <f>VLOOKUP(C417,'Talente &amp; Stuff'!IA:JB,10,FALSE)</f>
        <v>0</v>
      </c>
      <c r="M417" s="123">
        <f>VLOOKUP(C417,'Talente &amp; Stuff'!IA:JB,11,FALSE)</f>
        <v>0</v>
      </c>
      <c r="N417" s="88">
        <f>VLOOKUP(C417,'Talente &amp; Stuff'!IA:JB,12,FALSE)</f>
        <v>0</v>
      </c>
      <c r="O417" s="88">
        <f>VLOOKUP(C417,'Talente &amp; Stuff'!IA:JB,13,FALSE)</f>
        <v>0</v>
      </c>
      <c r="P417" s="122">
        <f>VLOOKUP(C417,'Talente &amp; Stuff'!IA:JB,14,FALSE)</f>
        <v>0</v>
      </c>
      <c r="Q417" s="115">
        <f>VLOOKUP(C417,'Talente &amp; Stuff'!IA:JB,15,FALSE)</f>
        <v>0</v>
      </c>
      <c r="R417" s="122">
        <f>VLOOKUP(C417,'Talente &amp; Stuff'!IA:JB,16,FALSE)</f>
        <v>0</v>
      </c>
      <c r="S417" s="123">
        <f>VLOOKUP(C417,'Talente &amp; Stuff'!IA:JB,17,FALSE)</f>
        <v>0</v>
      </c>
      <c r="T417" s="161">
        <f>VLOOKUP(C417,'Talente &amp; Stuff'!IA:JB,18,FALSE)</f>
        <v>0</v>
      </c>
      <c r="U417" s="90">
        <f>VLOOKUP(C417,'Talente &amp; Stuff'!IA:JB,19,FALSE)</f>
        <v>0</v>
      </c>
      <c r="V417" s="88">
        <f>VLOOKUP(C417,'Talente &amp; Stuff'!IA:JB,20,FALSE)</f>
        <v>0</v>
      </c>
      <c r="W417" s="128">
        <f>VLOOKUP(C417,'Talente &amp; Stuff'!IA:JB,21,FALSE)</f>
        <v>0</v>
      </c>
      <c r="X417" s="128">
        <f>VLOOKUP(C417,'Talente &amp; Stuff'!IA:JB,22,FALSE)</f>
        <v>0</v>
      </c>
      <c r="Y417" s="165">
        <f t="shared" si="32"/>
        <v>0</v>
      </c>
      <c r="Z417" s="44">
        <f t="shared" si="33"/>
        <v>0</v>
      </c>
      <c r="AA417" s="159">
        <f>VLOOKUP(C417,'Talente &amp; Stuff'!IA:JB,25,FALSE)</f>
        <v>0</v>
      </c>
      <c r="AB417" s="161">
        <f>VLOOKUP(C417,'Talente &amp; Stuff'!IA:JB,26,FALSE)</f>
        <v>0</v>
      </c>
      <c r="AC417" s="128">
        <f>VLOOKUP(C417,'Talente &amp; Stuff'!IA:JB,27,FALSE)</f>
        <v>0</v>
      </c>
      <c r="AD417" s="159">
        <f>VLOOKUP(C417,'Talente &amp; Stuff'!IA:JB,28,FALSE)</f>
        <v>0</v>
      </c>
      <c r="AE417" s="28"/>
    </row>
    <row r="418" spans="2:31" ht="15" hidden="1" customHeight="1" outlineLevel="1" collapsed="1">
      <c r="B418" s="134" t="s">
        <v>324</v>
      </c>
      <c r="C418" s="83"/>
      <c r="D418" s="84"/>
      <c r="E418" s="84"/>
    </row>
    <row r="419" spans="2:31" ht="15" hidden="1" customHeight="1" outlineLevel="2">
      <c r="B419" s="148">
        <v>1</v>
      </c>
      <c r="C419" s="176" t="str">
        <f>Attribute!C419</f>
        <v>---</v>
      </c>
      <c r="D419" s="158" t="str">
        <f>VLOOKUP(C419,'Talente &amp; Stuff'!IA:JB,2,FALSE)</f>
        <v>--/--/--</v>
      </c>
      <c r="E419" s="116" t="str">
        <f>VLOOKUP(C419,'Talente &amp; Stuff'!IA:JB,3,FALSE)</f>
        <v>-</v>
      </c>
      <c r="F419" s="191">
        <f>VLOOKUP(C419,'Talente &amp; Stuff'!IA:JB,4,FALSE)</f>
        <v>0</v>
      </c>
      <c r="G419" s="118">
        <f>VLOOKUP(C419,'Talente &amp; Stuff'!IA:JB,5,FALSE)</f>
        <v>0</v>
      </c>
      <c r="H419" s="118">
        <f>VLOOKUP(C419,'Talente &amp; Stuff'!IA:JB,6,FALSE)</f>
        <v>0</v>
      </c>
      <c r="I419" s="118">
        <f>VLOOKUP(C419,'Talente &amp; Stuff'!IA:JB,7,FALSE)</f>
        <v>0</v>
      </c>
      <c r="J419" s="118">
        <f>VLOOKUP(C419,'Talente &amp; Stuff'!IA:JB,8,FALSE)</f>
        <v>0</v>
      </c>
      <c r="K419" s="118">
        <f>VLOOKUP(C419,'Talente &amp; Stuff'!IA:JB,9,FALSE)</f>
        <v>0</v>
      </c>
      <c r="L419" s="118">
        <f>VLOOKUP(C419,'Talente &amp; Stuff'!IA:JB,10,FALSE)</f>
        <v>0</v>
      </c>
      <c r="M419" s="92">
        <f>VLOOKUP(C419,'Talente &amp; Stuff'!IA:JB,11,FALSE)</f>
        <v>0</v>
      </c>
      <c r="N419" s="116">
        <f>VLOOKUP(C419,'Talente &amp; Stuff'!IA:JB,12,FALSE)</f>
        <v>0</v>
      </c>
      <c r="O419" s="116">
        <f>VLOOKUP(C419,'Talente &amp; Stuff'!IA:JB,13,FALSE)</f>
        <v>0</v>
      </c>
      <c r="P419" s="118">
        <f>VLOOKUP(C419,'Talente &amp; Stuff'!IA:JB,14,FALSE)</f>
        <v>0</v>
      </c>
      <c r="Q419" s="191">
        <f>VLOOKUP(C419,'Talente &amp; Stuff'!IA:JB,15,FALSE)</f>
        <v>0</v>
      </c>
      <c r="R419" s="118">
        <f>VLOOKUP(C419,'Talente &amp; Stuff'!IA:JB,16,FALSE)</f>
        <v>0</v>
      </c>
      <c r="S419" s="92">
        <f>VLOOKUP(C419,'Talente &amp; Stuff'!IA:JB,17,FALSE)</f>
        <v>0</v>
      </c>
      <c r="T419" s="91">
        <f>VLOOKUP(C419,'Talente &amp; Stuff'!IA:JB,18,FALSE)</f>
        <v>0</v>
      </c>
      <c r="U419" s="193">
        <f>VLOOKUP(C419,'Talente &amp; Stuff'!IA:JB,19,FALSE)</f>
        <v>0</v>
      </c>
      <c r="V419" s="116">
        <f>VLOOKUP(C419,'Talente &amp; Stuff'!IA:JB,20,FALSE)</f>
        <v>0</v>
      </c>
      <c r="W419" s="126">
        <f>VLOOKUP(C419,'Talente &amp; Stuff'!IA:JB,21,FALSE)</f>
        <v>0</v>
      </c>
      <c r="X419" s="126">
        <f>VLOOKUP(C419,'Talente &amp; Stuff'!IA:JB,22,FALSE)</f>
        <v>0</v>
      </c>
      <c r="Y419" s="165">
        <f>VLOOKUP(C419,Ausgewählte_Liturgien_Peraine,255,FALSE)</f>
        <v>0</v>
      </c>
      <c r="Z419" s="44">
        <f>VLOOKUP(C419,Ausgewählte_Liturgien_Peraine,256,FALSE)</f>
        <v>0</v>
      </c>
      <c r="AA419" s="158">
        <f>VLOOKUP(C419,'Talente &amp; Stuff'!IA:JB,25,FALSE)</f>
        <v>0</v>
      </c>
      <c r="AB419" s="91">
        <f>VLOOKUP(C419,'Talente &amp; Stuff'!IA:JB,26,FALSE)</f>
        <v>0</v>
      </c>
      <c r="AC419" s="126">
        <f>VLOOKUP(C419,'Talente &amp; Stuff'!IA:JB,27,FALSE)</f>
        <v>0</v>
      </c>
      <c r="AD419" s="158">
        <f>VLOOKUP(C419,'Talente &amp; Stuff'!IA:JB,28,FALSE)</f>
        <v>0</v>
      </c>
      <c r="AE419" s="28"/>
    </row>
    <row r="420" spans="2:31" ht="15" hidden="1" customHeight="1" outlineLevel="2">
      <c r="B420" s="148">
        <v>2</v>
      </c>
      <c r="C420" s="177" t="str">
        <f>Attribute!C420</f>
        <v>---</v>
      </c>
      <c r="D420" s="125" t="str">
        <f>VLOOKUP(C420,'Talente &amp; Stuff'!IA:JB,2,FALSE)</f>
        <v>--/--/--</v>
      </c>
      <c r="E420" s="47" t="str">
        <f>VLOOKUP(C420,'Talente &amp; Stuff'!IA:JB,3,FALSE)</f>
        <v>-</v>
      </c>
      <c r="F420" s="114">
        <f>VLOOKUP(C420,'Talente &amp; Stuff'!IA:JB,4,FALSE)</f>
        <v>0</v>
      </c>
      <c r="G420" s="113">
        <f>VLOOKUP(C420,'Talente &amp; Stuff'!IA:JB,5,FALSE)</f>
        <v>0</v>
      </c>
      <c r="H420" s="113">
        <f>VLOOKUP(C420,'Talente &amp; Stuff'!IA:JB,6,FALSE)</f>
        <v>0</v>
      </c>
      <c r="I420" s="113">
        <f>VLOOKUP(C420,'Talente &amp; Stuff'!IA:JB,7,FALSE)</f>
        <v>0</v>
      </c>
      <c r="J420" s="113">
        <f>VLOOKUP(C420,'Talente &amp; Stuff'!IA:JB,8,FALSE)</f>
        <v>0</v>
      </c>
      <c r="K420" s="113">
        <f>VLOOKUP(C420,'Talente &amp; Stuff'!IA:JB,9,FALSE)</f>
        <v>0</v>
      </c>
      <c r="L420" s="113">
        <f>VLOOKUP(C420,'Talente &amp; Stuff'!IA:JB,10,FALSE)</f>
        <v>0</v>
      </c>
      <c r="M420" s="119">
        <f>VLOOKUP(C420,'Talente &amp; Stuff'!IA:JB,11,FALSE)</f>
        <v>0</v>
      </c>
      <c r="N420" s="47">
        <f>VLOOKUP(C420,'Talente &amp; Stuff'!IA:JB,12,FALSE)</f>
        <v>0</v>
      </c>
      <c r="O420" s="47">
        <f>VLOOKUP(C420,'Talente &amp; Stuff'!IA:JB,13,FALSE)</f>
        <v>0</v>
      </c>
      <c r="P420" s="113">
        <f>VLOOKUP(C420,'Talente &amp; Stuff'!IA:JB,14,FALSE)</f>
        <v>0</v>
      </c>
      <c r="Q420" s="114">
        <f>VLOOKUP(C420,'Talente &amp; Stuff'!IA:JB,15,FALSE)</f>
        <v>0</v>
      </c>
      <c r="R420" s="113">
        <f>VLOOKUP(C420,'Talente &amp; Stuff'!IA:JB,16,FALSE)</f>
        <v>0</v>
      </c>
      <c r="S420" s="119">
        <f>VLOOKUP(C420,'Talente &amp; Stuff'!IA:JB,17,FALSE)</f>
        <v>0</v>
      </c>
      <c r="T420" s="160">
        <f>VLOOKUP(C420,'Talente &amp; Stuff'!IA:JB,18,FALSE)</f>
        <v>0</v>
      </c>
      <c r="U420" s="89">
        <f>VLOOKUP(C420,'Talente &amp; Stuff'!IA:JB,19,FALSE)</f>
        <v>0</v>
      </c>
      <c r="V420" s="47">
        <f>VLOOKUP(C420,'Talente &amp; Stuff'!IA:JB,20,FALSE)</f>
        <v>0</v>
      </c>
      <c r="W420" s="127">
        <f>VLOOKUP(C420,'Talente &amp; Stuff'!IA:JB,21,FALSE)</f>
        <v>0</v>
      </c>
      <c r="X420" s="127">
        <f>VLOOKUP(C420,'Talente &amp; Stuff'!IA:JB,22,FALSE)</f>
        <v>0</v>
      </c>
      <c r="Y420" s="165">
        <f>VLOOKUP(C420,Ausgewählte_Liturgien_Peraine,255,FALSE)</f>
        <v>0</v>
      </c>
      <c r="Z420" s="44">
        <f>VLOOKUP(C420,Ausgewählte_Liturgien_Peraine,256,FALSE)</f>
        <v>0</v>
      </c>
      <c r="AA420" s="125">
        <f>VLOOKUP(C420,'Talente &amp; Stuff'!IA:JB,25,FALSE)</f>
        <v>0</v>
      </c>
      <c r="AB420" s="160">
        <f>VLOOKUP(C420,'Talente &amp; Stuff'!IA:JB,26,FALSE)</f>
        <v>0</v>
      </c>
      <c r="AC420" s="127">
        <f>VLOOKUP(C420,'Talente &amp; Stuff'!IA:JB,27,FALSE)</f>
        <v>0</v>
      </c>
      <c r="AD420" s="125">
        <f>VLOOKUP(C420,'Talente &amp; Stuff'!IA:JB,28,FALSE)</f>
        <v>0</v>
      </c>
      <c r="AE420" s="28"/>
    </row>
    <row r="421" spans="2:31" ht="15" hidden="1" customHeight="1" outlineLevel="2">
      <c r="B421" s="148">
        <v>3</v>
      </c>
      <c r="C421" s="177" t="str">
        <f>Attribute!C421</f>
        <v>---</v>
      </c>
      <c r="D421" s="125" t="str">
        <f>VLOOKUP(C421,'Talente &amp; Stuff'!IA:JB,2,FALSE)</f>
        <v>--/--/--</v>
      </c>
      <c r="E421" s="47" t="str">
        <f>VLOOKUP(C421,'Talente &amp; Stuff'!IA:JB,3,FALSE)</f>
        <v>-</v>
      </c>
      <c r="F421" s="114">
        <f>VLOOKUP(C421,'Talente &amp; Stuff'!IA:JB,4,FALSE)</f>
        <v>0</v>
      </c>
      <c r="G421" s="113">
        <f>VLOOKUP(C421,'Talente &amp; Stuff'!IA:JB,5,FALSE)</f>
        <v>0</v>
      </c>
      <c r="H421" s="113">
        <f>VLOOKUP(C421,'Talente &amp; Stuff'!IA:JB,6,FALSE)</f>
        <v>0</v>
      </c>
      <c r="I421" s="113">
        <f>VLOOKUP(C421,'Talente &amp; Stuff'!IA:JB,7,FALSE)</f>
        <v>0</v>
      </c>
      <c r="J421" s="113">
        <f>VLOOKUP(C421,'Talente &amp; Stuff'!IA:JB,8,FALSE)</f>
        <v>0</v>
      </c>
      <c r="K421" s="113">
        <f>VLOOKUP(C421,'Talente &amp; Stuff'!IA:JB,9,FALSE)</f>
        <v>0</v>
      </c>
      <c r="L421" s="113">
        <f>VLOOKUP(C421,'Talente &amp; Stuff'!IA:JB,10,FALSE)</f>
        <v>0</v>
      </c>
      <c r="M421" s="119">
        <f>VLOOKUP(C421,'Talente &amp; Stuff'!IA:JB,11,FALSE)</f>
        <v>0</v>
      </c>
      <c r="N421" s="47">
        <f>VLOOKUP(C421,'Talente &amp; Stuff'!IA:JB,12,FALSE)</f>
        <v>0</v>
      </c>
      <c r="O421" s="47">
        <f>VLOOKUP(C421,'Talente &amp; Stuff'!IA:JB,13,FALSE)</f>
        <v>0</v>
      </c>
      <c r="P421" s="113">
        <f>VLOOKUP(C421,'Talente &amp; Stuff'!IA:JB,14,FALSE)</f>
        <v>0</v>
      </c>
      <c r="Q421" s="114">
        <f>VLOOKUP(C421,'Talente &amp; Stuff'!IA:JB,15,FALSE)</f>
        <v>0</v>
      </c>
      <c r="R421" s="113">
        <f>VLOOKUP(C421,'Talente &amp; Stuff'!IA:JB,16,FALSE)</f>
        <v>0</v>
      </c>
      <c r="S421" s="119">
        <f>VLOOKUP(C421,'Talente &amp; Stuff'!IA:JB,17,FALSE)</f>
        <v>0</v>
      </c>
      <c r="T421" s="160">
        <f>VLOOKUP(C421,'Talente &amp; Stuff'!IA:JB,18,FALSE)</f>
        <v>0</v>
      </c>
      <c r="U421" s="89">
        <f>VLOOKUP(C421,'Talente &amp; Stuff'!IA:JB,19,FALSE)</f>
        <v>0</v>
      </c>
      <c r="V421" s="47">
        <f>VLOOKUP(C421,'Talente &amp; Stuff'!IA:JB,20,FALSE)</f>
        <v>0</v>
      </c>
      <c r="W421" s="127">
        <f>VLOOKUP(C421,'Talente &amp; Stuff'!IA:JB,21,FALSE)</f>
        <v>0</v>
      </c>
      <c r="X421" s="127">
        <f>VLOOKUP(C421,'Talente &amp; Stuff'!IA:JB,22,FALSE)</f>
        <v>0</v>
      </c>
      <c r="Y421" s="165">
        <f>VLOOKUP(C421,Ausgewählte_Liturgien_Peraine,255,FALSE)</f>
        <v>0</v>
      </c>
      <c r="Z421" s="44">
        <f>VLOOKUP(C421,Ausgewählte_Liturgien_Peraine,256,FALSE)</f>
        <v>0</v>
      </c>
      <c r="AA421" s="125">
        <f>VLOOKUP(C421,'Talente &amp; Stuff'!IA:JB,25,FALSE)</f>
        <v>0</v>
      </c>
      <c r="AB421" s="160">
        <f>VLOOKUP(C421,'Talente &amp; Stuff'!IA:JB,26,FALSE)</f>
        <v>0</v>
      </c>
      <c r="AC421" s="127">
        <f>VLOOKUP(C421,'Talente &amp; Stuff'!IA:JB,27,FALSE)</f>
        <v>0</v>
      </c>
      <c r="AD421" s="125">
        <f>VLOOKUP(C421,'Talente &amp; Stuff'!IA:JB,28,FALSE)</f>
        <v>0</v>
      </c>
      <c r="AE421" s="28"/>
    </row>
    <row r="422" spans="2:31" ht="15" hidden="1" customHeight="1" outlineLevel="2">
      <c r="B422" s="148">
        <v>4</v>
      </c>
      <c r="C422" s="177" t="str">
        <f>Attribute!C422</f>
        <v>---</v>
      </c>
      <c r="D422" s="125" t="str">
        <f>VLOOKUP(C422,'Talente &amp; Stuff'!IA:JB,2,FALSE)</f>
        <v>--/--/--</v>
      </c>
      <c r="E422" s="47" t="str">
        <f>VLOOKUP(C422,'Talente &amp; Stuff'!IA:JB,3,FALSE)</f>
        <v>-</v>
      </c>
      <c r="F422" s="114">
        <f>VLOOKUP(C422,'Talente &amp; Stuff'!IA:JB,4,FALSE)</f>
        <v>0</v>
      </c>
      <c r="G422" s="113">
        <f>VLOOKUP(C422,'Talente &amp; Stuff'!IA:JB,5,FALSE)</f>
        <v>0</v>
      </c>
      <c r="H422" s="113">
        <f>VLOOKUP(C422,'Talente &amp; Stuff'!IA:JB,6,FALSE)</f>
        <v>0</v>
      </c>
      <c r="I422" s="113">
        <f>VLOOKUP(C422,'Talente &amp; Stuff'!IA:JB,7,FALSE)</f>
        <v>0</v>
      </c>
      <c r="J422" s="113">
        <f>VLOOKUP(C422,'Talente &amp; Stuff'!IA:JB,8,FALSE)</f>
        <v>0</v>
      </c>
      <c r="K422" s="113">
        <f>VLOOKUP(C422,'Talente &amp; Stuff'!IA:JB,9,FALSE)</f>
        <v>0</v>
      </c>
      <c r="L422" s="113">
        <f>VLOOKUP(C422,'Talente &amp; Stuff'!IA:JB,10,FALSE)</f>
        <v>0</v>
      </c>
      <c r="M422" s="119">
        <f>VLOOKUP(C422,'Talente &amp; Stuff'!IA:JB,11,FALSE)</f>
        <v>0</v>
      </c>
      <c r="N422" s="47">
        <f>VLOOKUP(C422,'Talente &amp; Stuff'!IA:JB,12,FALSE)</f>
        <v>0</v>
      </c>
      <c r="O422" s="47">
        <f>VLOOKUP(C422,'Talente &amp; Stuff'!IA:JB,13,FALSE)</f>
        <v>0</v>
      </c>
      <c r="P422" s="113">
        <f>VLOOKUP(C422,'Talente &amp; Stuff'!IA:JB,14,FALSE)</f>
        <v>0</v>
      </c>
      <c r="Q422" s="114">
        <f>VLOOKUP(C422,'Talente &amp; Stuff'!IA:JB,15,FALSE)</f>
        <v>0</v>
      </c>
      <c r="R422" s="113">
        <f>VLOOKUP(C422,'Talente &amp; Stuff'!IA:JB,16,FALSE)</f>
        <v>0</v>
      </c>
      <c r="S422" s="119">
        <f>VLOOKUP(C422,'Talente &amp; Stuff'!IA:JB,17,FALSE)</f>
        <v>0</v>
      </c>
      <c r="T422" s="160">
        <f>VLOOKUP(C422,'Talente &amp; Stuff'!IA:JB,18,FALSE)</f>
        <v>0</v>
      </c>
      <c r="U422" s="89">
        <f>VLOOKUP(C422,'Talente &amp; Stuff'!IA:JB,19,FALSE)</f>
        <v>0</v>
      </c>
      <c r="V422" s="47">
        <f>VLOOKUP(C422,'Talente &amp; Stuff'!IA:JB,20,FALSE)</f>
        <v>0</v>
      </c>
      <c r="W422" s="127">
        <f>VLOOKUP(C422,'Talente &amp; Stuff'!IA:JB,21,FALSE)</f>
        <v>0</v>
      </c>
      <c r="X422" s="127">
        <f>VLOOKUP(C422,'Talente &amp; Stuff'!IA:JB,22,FALSE)</f>
        <v>0</v>
      </c>
      <c r="Y422" s="165">
        <f>VLOOKUP(C422,Ausgewählte_Liturgien_Peraine,255,FALSE)</f>
        <v>0</v>
      </c>
      <c r="Z422" s="44">
        <f>VLOOKUP(C422,Ausgewählte_Liturgien_Peraine,256,FALSE)</f>
        <v>0</v>
      </c>
      <c r="AA422" s="125">
        <f>VLOOKUP(C422,'Talente &amp; Stuff'!IA:JB,25,FALSE)</f>
        <v>0</v>
      </c>
      <c r="AB422" s="160">
        <f>VLOOKUP(C422,'Talente &amp; Stuff'!IA:JB,26,FALSE)</f>
        <v>0</v>
      </c>
      <c r="AC422" s="127">
        <f>VLOOKUP(C422,'Talente &amp; Stuff'!IA:JB,27,FALSE)</f>
        <v>0</v>
      </c>
      <c r="AD422" s="125">
        <f>VLOOKUP(C422,'Talente &amp; Stuff'!IA:JB,28,FALSE)</f>
        <v>0</v>
      </c>
      <c r="AE422" s="28"/>
    </row>
    <row r="423" spans="2:31" ht="15" hidden="1" customHeight="1" outlineLevel="2">
      <c r="B423" s="137">
        <v>5</v>
      </c>
      <c r="C423" s="178" t="str">
        <f>Attribute!C423</f>
        <v>---</v>
      </c>
      <c r="D423" s="159" t="str">
        <f>VLOOKUP(C423,'Talente &amp; Stuff'!IA:JB,2,FALSE)</f>
        <v>--/--/--</v>
      </c>
      <c r="E423" s="88" t="str">
        <f>VLOOKUP(C423,'Talente &amp; Stuff'!IA:JB,3,FALSE)</f>
        <v>-</v>
      </c>
      <c r="F423" s="115">
        <f>VLOOKUP(C423,'Talente &amp; Stuff'!IA:JB,4,FALSE)</f>
        <v>0</v>
      </c>
      <c r="G423" s="122">
        <f>VLOOKUP(C423,'Talente &amp; Stuff'!IA:JB,5,FALSE)</f>
        <v>0</v>
      </c>
      <c r="H423" s="122">
        <f>VLOOKUP(C423,'Talente &amp; Stuff'!IA:JB,6,FALSE)</f>
        <v>0</v>
      </c>
      <c r="I423" s="122">
        <f>VLOOKUP(C423,'Talente &amp; Stuff'!IA:JB,7,FALSE)</f>
        <v>0</v>
      </c>
      <c r="J423" s="122">
        <f>VLOOKUP(C423,'Talente &amp; Stuff'!IA:JB,8,FALSE)</f>
        <v>0</v>
      </c>
      <c r="K423" s="122">
        <f>VLOOKUP(C423,'Talente &amp; Stuff'!IA:JB,9,FALSE)</f>
        <v>0</v>
      </c>
      <c r="L423" s="122">
        <f>VLOOKUP(C423,'Talente &amp; Stuff'!IA:JB,10,FALSE)</f>
        <v>0</v>
      </c>
      <c r="M423" s="123">
        <f>VLOOKUP(C423,'Talente &amp; Stuff'!IA:JB,11,FALSE)</f>
        <v>0</v>
      </c>
      <c r="N423" s="88">
        <f>VLOOKUP(C423,'Talente &amp; Stuff'!IA:JB,12,FALSE)</f>
        <v>0</v>
      </c>
      <c r="O423" s="88">
        <f>VLOOKUP(C423,'Talente &amp; Stuff'!IA:JB,13,FALSE)</f>
        <v>0</v>
      </c>
      <c r="P423" s="122">
        <f>VLOOKUP(C423,'Talente &amp; Stuff'!IA:JB,14,FALSE)</f>
        <v>0</v>
      </c>
      <c r="Q423" s="115">
        <f>VLOOKUP(C423,'Talente &amp; Stuff'!IA:JB,15,FALSE)</f>
        <v>0</v>
      </c>
      <c r="R423" s="122">
        <f>VLOOKUP(C423,'Talente &amp; Stuff'!IA:JB,16,FALSE)</f>
        <v>0</v>
      </c>
      <c r="S423" s="123">
        <f>VLOOKUP(C423,'Talente &amp; Stuff'!IA:JB,17,FALSE)</f>
        <v>0</v>
      </c>
      <c r="T423" s="161">
        <f>VLOOKUP(C423,'Talente &amp; Stuff'!IA:JB,18,FALSE)</f>
        <v>0</v>
      </c>
      <c r="U423" s="90">
        <f>VLOOKUP(C423,'Talente &amp; Stuff'!IA:JB,19,FALSE)</f>
        <v>0</v>
      </c>
      <c r="V423" s="88">
        <f>VLOOKUP(C423,'Talente &amp; Stuff'!IA:JB,20,FALSE)</f>
        <v>0</v>
      </c>
      <c r="W423" s="128">
        <f>VLOOKUP(C423,'Talente &amp; Stuff'!IA:JB,21,FALSE)</f>
        <v>0</v>
      </c>
      <c r="X423" s="128">
        <f>VLOOKUP(C423,'Talente &amp; Stuff'!IA:JB,22,FALSE)</f>
        <v>0</v>
      </c>
      <c r="Y423" s="165">
        <f>VLOOKUP(C423,Ausgewählte_Liturgien_Peraine,255,FALSE)</f>
        <v>0</v>
      </c>
      <c r="Z423" s="44">
        <f>VLOOKUP(C423,Ausgewählte_Liturgien_Peraine,256,FALSE)</f>
        <v>0</v>
      </c>
      <c r="AA423" s="159">
        <f>VLOOKUP(C423,'Talente &amp; Stuff'!IA:JB,25,FALSE)</f>
        <v>0</v>
      </c>
      <c r="AB423" s="161">
        <f>VLOOKUP(C423,'Talente &amp; Stuff'!IA:JB,26,FALSE)</f>
        <v>0</v>
      </c>
      <c r="AC423" s="128">
        <f>VLOOKUP(C423,'Talente &amp; Stuff'!IA:JB,27,FALSE)</f>
        <v>0</v>
      </c>
      <c r="AD423" s="159">
        <f>VLOOKUP(C423,'Talente &amp; Stuff'!IA:JB,28,FALSE)</f>
        <v>0</v>
      </c>
      <c r="AE423" s="28"/>
    </row>
    <row r="424" spans="2:31" ht="15" hidden="1" customHeight="1" outlineLevel="1" collapsed="1">
      <c r="B424" s="134" t="s">
        <v>323</v>
      </c>
      <c r="C424" s="83"/>
      <c r="D424" s="84"/>
      <c r="E424" s="84"/>
    </row>
    <row r="425" spans="2:31" ht="15" hidden="1" customHeight="1" outlineLevel="2">
      <c r="B425" s="148">
        <v>1</v>
      </c>
      <c r="C425" s="176" t="str">
        <f>Attribute!C425</f>
        <v>---</v>
      </c>
      <c r="D425" s="158" t="str">
        <f>VLOOKUP(C425,'Talente &amp; Stuff'!IA:JB,2,FALSE)</f>
        <v>--/--/--</v>
      </c>
      <c r="E425" s="116" t="str">
        <f>VLOOKUP(C425,'Talente &amp; Stuff'!IA:JB,3,FALSE)</f>
        <v>-</v>
      </c>
      <c r="F425" s="191">
        <f>VLOOKUP(C425,'Talente &amp; Stuff'!IA:JB,4,FALSE)</f>
        <v>0</v>
      </c>
      <c r="G425" s="118">
        <f>VLOOKUP(C425,'Talente &amp; Stuff'!IA:JB,5,FALSE)</f>
        <v>0</v>
      </c>
      <c r="H425" s="118">
        <f>VLOOKUP(C425,'Talente &amp; Stuff'!IA:JB,6,FALSE)</f>
        <v>0</v>
      </c>
      <c r="I425" s="118">
        <f>VLOOKUP(C425,'Talente &amp; Stuff'!IA:JB,7,FALSE)</f>
        <v>0</v>
      </c>
      <c r="J425" s="118">
        <f>VLOOKUP(C425,'Talente &amp; Stuff'!IA:JB,8,FALSE)</f>
        <v>0</v>
      </c>
      <c r="K425" s="118">
        <f>VLOOKUP(C425,'Talente &amp; Stuff'!IA:JB,9,FALSE)</f>
        <v>0</v>
      </c>
      <c r="L425" s="118">
        <f>VLOOKUP(C425,'Talente &amp; Stuff'!IA:JB,10,FALSE)</f>
        <v>0</v>
      </c>
      <c r="M425" s="92">
        <f>VLOOKUP(C425,'Talente &amp; Stuff'!IA:JB,11,FALSE)</f>
        <v>0</v>
      </c>
      <c r="N425" s="116">
        <f>VLOOKUP(C425,'Talente &amp; Stuff'!IA:JB,12,FALSE)</f>
        <v>0</v>
      </c>
      <c r="O425" s="116">
        <f>VLOOKUP(C425,'Talente &amp; Stuff'!IA:JB,13,FALSE)</f>
        <v>0</v>
      </c>
      <c r="P425" s="118">
        <f>VLOOKUP(C425,'Talente &amp; Stuff'!IA:JB,14,FALSE)</f>
        <v>0</v>
      </c>
      <c r="Q425" s="191">
        <f>VLOOKUP(C425,'Talente &amp; Stuff'!IA:JB,15,FALSE)</f>
        <v>0</v>
      </c>
      <c r="R425" s="118">
        <f>VLOOKUP(C425,'Talente &amp; Stuff'!IA:JB,16,FALSE)</f>
        <v>0</v>
      </c>
      <c r="S425" s="92">
        <f>VLOOKUP(C425,'Talente &amp; Stuff'!IA:JB,17,FALSE)</f>
        <v>0</v>
      </c>
      <c r="T425" s="91">
        <f>VLOOKUP(C425,'Talente &amp; Stuff'!IA:JB,18,FALSE)</f>
        <v>0</v>
      </c>
      <c r="U425" s="193">
        <f>VLOOKUP(C425,'Talente &amp; Stuff'!IA:JB,19,FALSE)</f>
        <v>0</v>
      </c>
      <c r="V425" s="116">
        <f>VLOOKUP(C425,'Talente &amp; Stuff'!IA:JB,20,FALSE)</f>
        <v>0</v>
      </c>
      <c r="W425" s="126">
        <f>VLOOKUP(C425,'Talente &amp; Stuff'!IA:JB,21,FALSE)</f>
        <v>0</v>
      </c>
      <c r="X425" s="126">
        <f>VLOOKUP(C425,'Talente &amp; Stuff'!IA:JB,22,FALSE)</f>
        <v>0</v>
      </c>
      <c r="Y425" s="165">
        <f t="shared" ref="Y425:Y432" si="34">VLOOKUP(C425,Ausgewählte_Liturgien_Phex,255,FALSE)</f>
        <v>0</v>
      </c>
      <c r="Z425" s="44">
        <f t="shared" ref="Z425:Z432" si="35">VLOOKUP(C425,Ausgewählte_Liturgien_Phex,256,FALSE)</f>
        <v>0</v>
      </c>
      <c r="AA425" s="158">
        <f>VLOOKUP(C425,'Talente &amp; Stuff'!IA:JB,25,FALSE)</f>
        <v>0</v>
      </c>
      <c r="AB425" s="91">
        <f>VLOOKUP(C425,'Talente &amp; Stuff'!IA:JB,26,FALSE)</f>
        <v>0</v>
      </c>
      <c r="AC425" s="126">
        <f>VLOOKUP(C425,'Talente &amp; Stuff'!IA:JB,27,FALSE)</f>
        <v>0</v>
      </c>
      <c r="AD425" s="158">
        <f>VLOOKUP(C425,'Talente &amp; Stuff'!IA:JB,28,FALSE)</f>
        <v>0</v>
      </c>
      <c r="AE425" s="28"/>
    </row>
    <row r="426" spans="2:31" ht="15" hidden="1" customHeight="1" outlineLevel="2">
      <c r="B426" s="148">
        <v>2</v>
      </c>
      <c r="C426" s="177" t="str">
        <f>Attribute!C426</f>
        <v>---</v>
      </c>
      <c r="D426" s="125" t="str">
        <f>VLOOKUP(C426,'Talente &amp; Stuff'!IA:JB,2,FALSE)</f>
        <v>--/--/--</v>
      </c>
      <c r="E426" s="47" t="str">
        <f>VLOOKUP(C426,'Talente &amp; Stuff'!IA:JB,3,FALSE)</f>
        <v>-</v>
      </c>
      <c r="F426" s="114">
        <f>VLOOKUP(C426,'Talente &amp; Stuff'!IA:JB,4,FALSE)</f>
        <v>0</v>
      </c>
      <c r="G426" s="113">
        <f>VLOOKUP(C426,'Talente &amp; Stuff'!IA:JB,5,FALSE)</f>
        <v>0</v>
      </c>
      <c r="H426" s="113">
        <f>VLOOKUP(C426,'Talente &amp; Stuff'!IA:JB,6,FALSE)</f>
        <v>0</v>
      </c>
      <c r="I426" s="113">
        <f>VLOOKUP(C426,'Talente &amp; Stuff'!IA:JB,7,FALSE)</f>
        <v>0</v>
      </c>
      <c r="J426" s="113">
        <f>VLOOKUP(C426,'Talente &amp; Stuff'!IA:JB,8,FALSE)</f>
        <v>0</v>
      </c>
      <c r="K426" s="113">
        <f>VLOOKUP(C426,'Talente &amp; Stuff'!IA:JB,9,FALSE)</f>
        <v>0</v>
      </c>
      <c r="L426" s="113">
        <f>VLOOKUP(C426,'Talente &amp; Stuff'!IA:JB,10,FALSE)</f>
        <v>0</v>
      </c>
      <c r="M426" s="119">
        <f>VLOOKUP(C426,'Talente &amp; Stuff'!IA:JB,11,FALSE)</f>
        <v>0</v>
      </c>
      <c r="N426" s="47">
        <f>VLOOKUP(C426,'Talente &amp; Stuff'!IA:JB,12,FALSE)</f>
        <v>0</v>
      </c>
      <c r="O426" s="47">
        <f>VLOOKUP(C426,'Talente &amp; Stuff'!IA:JB,13,FALSE)</f>
        <v>0</v>
      </c>
      <c r="P426" s="113">
        <f>VLOOKUP(C426,'Talente &amp; Stuff'!IA:JB,14,FALSE)</f>
        <v>0</v>
      </c>
      <c r="Q426" s="114">
        <f>VLOOKUP(C426,'Talente &amp; Stuff'!IA:JB,15,FALSE)</f>
        <v>0</v>
      </c>
      <c r="R426" s="113">
        <f>VLOOKUP(C426,'Talente &amp; Stuff'!IA:JB,16,FALSE)</f>
        <v>0</v>
      </c>
      <c r="S426" s="119">
        <f>VLOOKUP(C426,'Talente &amp; Stuff'!IA:JB,17,FALSE)</f>
        <v>0</v>
      </c>
      <c r="T426" s="160">
        <f>VLOOKUP(C426,'Talente &amp; Stuff'!IA:JB,18,FALSE)</f>
        <v>0</v>
      </c>
      <c r="U426" s="89">
        <f>VLOOKUP(C426,'Talente &amp; Stuff'!IA:JB,19,FALSE)</f>
        <v>0</v>
      </c>
      <c r="V426" s="47">
        <f>VLOOKUP(C426,'Talente &amp; Stuff'!IA:JB,20,FALSE)</f>
        <v>0</v>
      </c>
      <c r="W426" s="127">
        <f>VLOOKUP(C426,'Talente &amp; Stuff'!IA:JB,21,FALSE)</f>
        <v>0</v>
      </c>
      <c r="X426" s="127">
        <f>VLOOKUP(C426,'Talente &amp; Stuff'!IA:JB,22,FALSE)</f>
        <v>0</v>
      </c>
      <c r="Y426" s="165">
        <f t="shared" si="34"/>
        <v>0</v>
      </c>
      <c r="Z426" s="44">
        <f t="shared" si="35"/>
        <v>0</v>
      </c>
      <c r="AA426" s="125">
        <f>VLOOKUP(C426,'Talente &amp; Stuff'!IA:JB,25,FALSE)</f>
        <v>0</v>
      </c>
      <c r="AB426" s="160">
        <f>VLOOKUP(C426,'Talente &amp; Stuff'!IA:JB,26,FALSE)</f>
        <v>0</v>
      </c>
      <c r="AC426" s="127">
        <f>VLOOKUP(C426,'Talente &amp; Stuff'!IA:JB,27,FALSE)</f>
        <v>0</v>
      </c>
      <c r="AD426" s="125">
        <f>VLOOKUP(C426,'Talente &amp; Stuff'!IA:JB,28,FALSE)</f>
        <v>0</v>
      </c>
      <c r="AE426" s="28"/>
    </row>
    <row r="427" spans="2:31" ht="15" hidden="1" customHeight="1" outlineLevel="2">
      <c r="B427" s="148">
        <v>3</v>
      </c>
      <c r="C427" s="177" t="str">
        <f>Attribute!C427</f>
        <v>---</v>
      </c>
      <c r="D427" s="125" t="str">
        <f>VLOOKUP(C427,'Talente &amp; Stuff'!IA:JB,2,FALSE)</f>
        <v>--/--/--</v>
      </c>
      <c r="E427" s="47" t="str">
        <f>VLOOKUP(C427,'Talente &amp; Stuff'!IA:JB,3,FALSE)</f>
        <v>-</v>
      </c>
      <c r="F427" s="114">
        <f>VLOOKUP(C427,'Talente &amp; Stuff'!IA:JB,4,FALSE)</f>
        <v>0</v>
      </c>
      <c r="G427" s="113">
        <f>VLOOKUP(C427,'Talente &amp; Stuff'!IA:JB,5,FALSE)</f>
        <v>0</v>
      </c>
      <c r="H427" s="113">
        <f>VLOOKUP(C427,'Talente &amp; Stuff'!IA:JB,6,FALSE)</f>
        <v>0</v>
      </c>
      <c r="I427" s="113">
        <f>VLOOKUP(C427,'Talente &amp; Stuff'!IA:JB,7,FALSE)</f>
        <v>0</v>
      </c>
      <c r="J427" s="113">
        <f>VLOOKUP(C427,'Talente &amp; Stuff'!IA:JB,8,FALSE)</f>
        <v>0</v>
      </c>
      <c r="K427" s="113">
        <f>VLOOKUP(C427,'Talente &amp; Stuff'!IA:JB,9,FALSE)</f>
        <v>0</v>
      </c>
      <c r="L427" s="113">
        <f>VLOOKUP(C427,'Talente &amp; Stuff'!IA:JB,10,FALSE)</f>
        <v>0</v>
      </c>
      <c r="M427" s="119">
        <f>VLOOKUP(C427,'Talente &amp; Stuff'!IA:JB,11,FALSE)</f>
        <v>0</v>
      </c>
      <c r="N427" s="47">
        <f>VLOOKUP(C427,'Talente &amp; Stuff'!IA:JB,12,FALSE)</f>
        <v>0</v>
      </c>
      <c r="O427" s="47">
        <f>VLOOKUP(C427,'Talente &amp; Stuff'!IA:JB,13,FALSE)</f>
        <v>0</v>
      </c>
      <c r="P427" s="113">
        <f>VLOOKUP(C427,'Talente &amp; Stuff'!IA:JB,14,FALSE)</f>
        <v>0</v>
      </c>
      <c r="Q427" s="114">
        <f>VLOOKUP(C427,'Talente &amp; Stuff'!IA:JB,15,FALSE)</f>
        <v>0</v>
      </c>
      <c r="R427" s="113">
        <f>VLOOKUP(C427,'Talente &amp; Stuff'!IA:JB,16,FALSE)</f>
        <v>0</v>
      </c>
      <c r="S427" s="119">
        <f>VLOOKUP(C427,'Talente &amp; Stuff'!IA:JB,17,FALSE)</f>
        <v>0</v>
      </c>
      <c r="T427" s="160">
        <f>VLOOKUP(C427,'Talente &amp; Stuff'!IA:JB,18,FALSE)</f>
        <v>0</v>
      </c>
      <c r="U427" s="89">
        <f>VLOOKUP(C427,'Talente &amp; Stuff'!IA:JB,19,FALSE)</f>
        <v>0</v>
      </c>
      <c r="V427" s="47">
        <f>VLOOKUP(C427,'Talente &amp; Stuff'!IA:JB,20,FALSE)</f>
        <v>0</v>
      </c>
      <c r="W427" s="127">
        <f>VLOOKUP(C427,'Talente &amp; Stuff'!IA:JB,21,FALSE)</f>
        <v>0</v>
      </c>
      <c r="X427" s="127">
        <f>VLOOKUP(C427,'Talente &amp; Stuff'!IA:JB,22,FALSE)</f>
        <v>0</v>
      </c>
      <c r="Y427" s="165">
        <f t="shared" si="34"/>
        <v>0</v>
      </c>
      <c r="Z427" s="44">
        <f t="shared" si="35"/>
        <v>0</v>
      </c>
      <c r="AA427" s="125">
        <f>VLOOKUP(C427,'Talente &amp; Stuff'!IA:JB,25,FALSE)</f>
        <v>0</v>
      </c>
      <c r="AB427" s="160">
        <f>VLOOKUP(C427,'Talente &amp; Stuff'!IA:JB,26,FALSE)</f>
        <v>0</v>
      </c>
      <c r="AC427" s="127">
        <f>VLOOKUP(C427,'Talente &amp; Stuff'!IA:JB,27,FALSE)</f>
        <v>0</v>
      </c>
      <c r="AD427" s="125">
        <f>VLOOKUP(C427,'Talente &amp; Stuff'!IA:JB,28,FALSE)</f>
        <v>0</v>
      </c>
      <c r="AE427" s="28"/>
    </row>
    <row r="428" spans="2:31" ht="15" hidden="1" customHeight="1" outlineLevel="2">
      <c r="B428" s="148">
        <v>4</v>
      </c>
      <c r="C428" s="177" t="str">
        <f>Attribute!C428</f>
        <v>---</v>
      </c>
      <c r="D428" s="125" t="str">
        <f>VLOOKUP(C428,'Talente &amp; Stuff'!IA:JB,2,FALSE)</f>
        <v>--/--/--</v>
      </c>
      <c r="E428" s="47" t="str">
        <f>VLOOKUP(C428,'Talente &amp; Stuff'!IA:JB,3,FALSE)</f>
        <v>-</v>
      </c>
      <c r="F428" s="114">
        <f>VLOOKUP(C428,'Talente &amp; Stuff'!IA:JB,4,FALSE)</f>
        <v>0</v>
      </c>
      <c r="G428" s="113">
        <f>VLOOKUP(C428,'Talente &amp; Stuff'!IA:JB,5,FALSE)</f>
        <v>0</v>
      </c>
      <c r="H428" s="113">
        <f>VLOOKUP(C428,'Talente &amp; Stuff'!IA:JB,6,FALSE)</f>
        <v>0</v>
      </c>
      <c r="I428" s="113">
        <f>VLOOKUP(C428,'Talente &amp; Stuff'!IA:JB,7,FALSE)</f>
        <v>0</v>
      </c>
      <c r="J428" s="113">
        <f>VLOOKUP(C428,'Talente &amp; Stuff'!IA:JB,8,FALSE)</f>
        <v>0</v>
      </c>
      <c r="K428" s="113">
        <f>VLOOKUP(C428,'Talente &amp; Stuff'!IA:JB,9,FALSE)</f>
        <v>0</v>
      </c>
      <c r="L428" s="113">
        <f>VLOOKUP(C428,'Talente &amp; Stuff'!IA:JB,10,FALSE)</f>
        <v>0</v>
      </c>
      <c r="M428" s="119">
        <f>VLOOKUP(C428,'Talente &amp; Stuff'!IA:JB,11,FALSE)</f>
        <v>0</v>
      </c>
      <c r="N428" s="47">
        <f>VLOOKUP(C428,'Talente &amp; Stuff'!IA:JB,12,FALSE)</f>
        <v>0</v>
      </c>
      <c r="O428" s="47">
        <f>VLOOKUP(C428,'Talente &amp; Stuff'!IA:JB,13,FALSE)</f>
        <v>0</v>
      </c>
      <c r="P428" s="113">
        <f>VLOOKUP(C428,'Talente &amp; Stuff'!IA:JB,14,FALSE)</f>
        <v>0</v>
      </c>
      <c r="Q428" s="114">
        <f>VLOOKUP(C428,'Talente &amp; Stuff'!IA:JB,15,FALSE)</f>
        <v>0</v>
      </c>
      <c r="R428" s="113">
        <f>VLOOKUP(C428,'Talente &amp; Stuff'!IA:JB,16,FALSE)</f>
        <v>0</v>
      </c>
      <c r="S428" s="119">
        <f>VLOOKUP(C428,'Talente &amp; Stuff'!IA:JB,17,FALSE)</f>
        <v>0</v>
      </c>
      <c r="T428" s="160">
        <f>VLOOKUP(C428,'Talente &amp; Stuff'!IA:JB,18,FALSE)</f>
        <v>0</v>
      </c>
      <c r="U428" s="89">
        <f>VLOOKUP(C428,'Talente &amp; Stuff'!IA:JB,19,FALSE)</f>
        <v>0</v>
      </c>
      <c r="V428" s="47">
        <f>VLOOKUP(C428,'Talente &amp; Stuff'!IA:JB,20,FALSE)</f>
        <v>0</v>
      </c>
      <c r="W428" s="127">
        <f>VLOOKUP(C428,'Talente &amp; Stuff'!IA:JB,21,FALSE)</f>
        <v>0</v>
      </c>
      <c r="X428" s="127">
        <f>VLOOKUP(C428,'Talente &amp; Stuff'!IA:JB,22,FALSE)</f>
        <v>0</v>
      </c>
      <c r="Y428" s="165">
        <f t="shared" si="34"/>
        <v>0</v>
      </c>
      <c r="Z428" s="44">
        <f t="shared" si="35"/>
        <v>0</v>
      </c>
      <c r="AA428" s="125">
        <f>VLOOKUP(C428,'Talente &amp; Stuff'!IA:JB,25,FALSE)</f>
        <v>0</v>
      </c>
      <c r="AB428" s="160">
        <f>VLOOKUP(C428,'Talente &amp; Stuff'!IA:JB,26,FALSE)</f>
        <v>0</v>
      </c>
      <c r="AC428" s="127">
        <f>VLOOKUP(C428,'Talente &amp; Stuff'!IA:JB,27,FALSE)</f>
        <v>0</v>
      </c>
      <c r="AD428" s="125">
        <f>VLOOKUP(C428,'Talente &amp; Stuff'!IA:JB,28,FALSE)</f>
        <v>0</v>
      </c>
      <c r="AE428" s="28"/>
    </row>
    <row r="429" spans="2:31" ht="15" hidden="1" customHeight="1" outlineLevel="2">
      <c r="B429" s="148">
        <v>5</v>
      </c>
      <c r="C429" s="177" t="str">
        <f>Attribute!C429</f>
        <v>---</v>
      </c>
      <c r="D429" s="125" t="str">
        <f>VLOOKUP(C429,'Talente &amp; Stuff'!IA:JB,2,FALSE)</f>
        <v>--/--/--</v>
      </c>
      <c r="E429" s="47" t="str">
        <f>VLOOKUP(C429,'Talente &amp; Stuff'!IA:JB,3,FALSE)</f>
        <v>-</v>
      </c>
      <c r="F429" s="114">
        <f>VLOOKUP(C429,'Talente &amp; Stuff'!IA:JB,4,FALSE)</f>
        <v>0</v>
      </c>
      <c r="G429" s="113">
        <f>VLOOKUP(C429,'Talente &amp; Stuff'!IA:JB,5,FALSE)</f>
        <v>0</v>
      </c>
      <c r="H429" s="113">
        <f>VLOOKUP(C429,'Talente &amp; Stuff'!IA:JB,6,FALSE)</f>
        <v>0</v>
      </c>
      <c r="I429" s="113">
        <f>VLOOKUP(C429,'Talente &amp; Stuff'!IA:JB,7,FALSE)</f>
        <v>0</v>
      </c>
      <c r="J429" s="113">
        <f>VLOOKUP(C429,'Talente &amp; Stuff'!IA:JB,8,FALSE)</f>
        <v>0</v>
      </c>
      <c r="K429" s="113">
        <f>VLOOKUP(C429,'Talente &amp; Stuff'!IA:JB,9,FALSE)</f>
        <v>0</v>
      </c>
      <c r="L429" s="113">
        <f>VLOOKUP(C429,'Talente &amp; Stuff'!IA:JB,10,FALSE)</f>
        <v>0</v>
      </c>
      <c r="M429" s="119">
        <f>VLOOKUP(C429,'Talente &amp; Stuff'!IA:JB,11,FALSE)</f>
        <v>0</v>
      </c>
      <c r="N429" s="47">
        <f>VLOOKUP(C429,'Talente &amp; Stuff'!IA:JB,12,FALSE)</f>
        <v>0</v>
      </c>
      <c r="O429" s="47">
        <f>VLOOKUP(C429,'Talente &amp; Stuff'!IA:JB,13,FALSE)</f>
        <v>0</v>
      </c>
      <c r="P429" s="113">
        <f>VLOOKUP(C429,'Talente &amp; Stuff'!IA:JB,14,FALSE)</f>
        <v>0</v>
      </c>
      <c r="Q429" s="114">
        <f>VLOOKUP(C429,'Talente &amp; Stuff'!IA:JB,15,FALSE)</f>
        <v>0</v>
      </c>
      <c r="R429" s="113">
        <f>VLOOKUP(C429,'Talente &amp; Stuff'!IA:JB,16,FALSE)</f>
        <v>0</v>
      </c>
      <c r="S429" s="119">
        <f>VLOOKUP(C429,'Talente &amp; Stuff'!IA:JB,17,FALSE)</f>
        <v>0</v>
      </c>
      <c r="T429" s="160">
        <f>VLOOKUP(C429,'Talente &amp; Stuff'!IA:JB,18,FALSE)</f>
        <v>0</v>
      </c>
      <c r="U429" s="89">
        <f>VLOOKUP(C429,'Talente &amp; Stuff'!IA:JB,19,FALSE)</f>
        <v>0</v>
      </c>
      <c r="V429" s="47">
        <f>VLOOKUP(C429,'Talente &amp; Stuff'!IA:JB,20,FALSE)</f>
        <v>0</v>
      </c>
      <c r="W429" s="127">
        <f>VLOOKUP(C429,'Talente &amp; Stuff'!IA:JB,21,FALSE)</f>
        <v>0</v>
      </c>
      <c r="X429" s="127">
        <f>VLOOKUP(C429,'Talente &amp; Stuff'!IA:JB,22,FALSE)</f>
        <v>0</v>
      </c>
      <c r="Y429" s="165">
        <f t="shared" si="34"/>
        <v>0</v>
      </c>
      <c r="Z429" s="44">
        <f t="shared" si="35"/>
        <v>0</v>
      </c>
      <c r="AA429" s="125">
        <f>VLOOKUP(C429,'Talente &amp; Stuff'!IA:JB,25,FALSE)</f>
        <v>0</v>
      </c>
      <c r="AB429" s="160">
        <f>VLOOKUP(C429,'Talente &amp; Stuff'!IA:JB,26,FALSE)</f>
        <v>0</v>
      </c>
      <c r="AC429" s="127">
        <f>VLOOKUP(C429,'Talente &amp; Stuff'!IA:JB,27,FALSE)</f>
        <v>0</v>
      </c>
      <c r="AD429" s="125">
        <f>VLOOKUP(C429,'Talente &amp; Stuff'!IA:JB,28,FALSE)</f>
        <v>0</v>
      </c>
      <c r="AE429" s="28"/>
    </row>
    <row r="430" spans="2:31" ht="15" hidden="1" customHeight="1" outlineLevel="2">
      <c r="B430" s="148">
        <v>6</v>
      </c>
      <c r="C430" s="177" t="str">
        <f>Attribute!C430</f>
        <v>---</v>
      </c>
      <c r="D430" s="125" t="str">
        <f>VLOOKUP(C430,'Talente &amp; Stuff'!IA:JB,2,FALSE)</f>
        <v>--/--/--</v>
      </c>
      <c r="E430" s="47" t="str">
        <f>VLOOKUP(C430,'Talente &amp; Stuff'!IA:JB,3,FALSE)</f>
        <v>-</v>
      </c>
      <c r="F430" s="114">
        <f>VLOOKUP(C430,'Talente &amp; Stuff'!IA:JB,4,FALSE)</f>
        <v>0</v>
      </c>
      <c r="G430" s="113">
        <f>VLOOKUP(C430,'Talente &amp; Stuff'!IA:JB,5,FALSE)</f>
        <v>0</v>
      </c>
      <c r="H430" s="113">
        <f>VLOOKUP(C430,'Talente &amp; Stuff'!IA:JB,6,FALSE)</f>
        <v>0</v>
      </c>
      <c r="I430" s="113">
        <f>VLOOKUP(C430,'Talente &amp; Stuff'!IA:JB,7,FALSE)</f>
        <v>0</v>
      </c>
      <c r="J430" s="113">
        <f>VLOOKUP(C430,'Talente &amp; Stuff'!IA:JB,8,FALSE)</f>
        <v>0</v>
      </c>
      <c r="K430" s="113">
        <f>VLOOKUP(C430,'Talente &amp; Stuff'!IA:JB,9,FALSE)</f>
        <v>0</v>
      </c>
      <c r="L430" s="113">
        <f>VLOOKUP(C430,'Talente &amp; Stuff'!IA:JB,10,FALSE)</f>
        <v>0</v>
      </c>
      <c r="M430" s="119">
        <f>VLOOKUP(C430,'Talente &amp; Stuff'!IA:JB,11,FALSE)</f>
        <v>0</v>
      </c>
      <c r="N430" s="47">
        <f>VLOOKUP(C430,'Talente &amp; Stuff'!IA:JB,12,FALSE)</f>
        <v>0</v>
      </c>
      <c r="O430" s="47">
        <f>VLOOKUP(C430,'Talente &amp; Stuff'!IA:JB,13,FALSE)</f>
        <v>0</v>
      </c>
      <c r="P430" s="113">
        <f>VLOOKUP(C430,'Talente &amp; Stuff'!IA:JB,14,FALSE)</f>
        <v>0</v>
      </c>
      <c r="Q430" s="114">
        <f>VLOOKUP(C430,'Talente &amp; Stuff'!IA:JB,15,FALSE)</f>
        <v>0</v>
      </c>
      <c r="R430" s="113">
        <f>VLOOKUP(C430,'Talente &amp; Stuff'!IA:JB,16,FALSE)</f>
        <v>0</v>
      </c>
      <c r="S430" s="119">
        <f>VLOOKUP(C430,'Talente &amp; Stuff'!IA:JB,17,FALSE)</f>
        <v>0</v>
      </c>
      <c r="T430" s="160">
        <f>VLOOKUP(C430,'Talente &amp; Stuff'!IA:JB,18,FALSE)</f>
        <v>0</v>
      </c>
      <c r="U430" s="89">
        <f>VLOOKUP(C430,'Talente &amp; Stuff'!IA:JB,19,FALSE)</f>
        <v>0</v>
      </c>
      <c r="V430" s="47">
        <f>VLOOKUP(C430,'Talente &amp; Stuff'!IA:JB,20,FALSE)</f>
        <v>0</v>
      </c>
      <c r="W430" s="127">
        <f>VLOOKUP(C430,'Talente &amp; Stuff'!IA:JB,21,FALSE)</f>
        <v>0</v>
      </c>
      <c r="X430" s="127">
        <f>VLOOKUP(C430,'Talente &amp; Stuff'!IA:JB,22,FALSE)</f>
        <v>0</v>
      </c>
      <c r="Y430" s="165">
        <f t="shared" si="34"/>
        <v>0</v>
      </c>
      <c r="Z430" s="44">
        <f t="shared" si="35"/>
        <v>0</v>
      </c>
      <c r="AA430" s="125">
        <f>VLOOKUP(C430,'Talente &amp; Stuff'!IA:JB,25,FALSE)</f>
        <v>0</v>
      </c>
      <c r="AB430" s="160">
        <f>VLOOKUP(C430,'Talente &amp; Stuff'!IA:JB,26,FALSE)</f>
        <v>0</v>
      </c>
      <c r="AC430" s="127">
        <f>VLOOKUP(C430,'Talente &amp; Stuff'!IA:JB,27,FALSE)</f>
        <v>0</v>
      </c>
      <c r="AD430" s="125">
        <f>VLOOKUP(C430,'Talente &amp; Stuff'!IA:JB,28,FALSE)</f>
        <v>0</v>
      </c>
      <c r="AE430" s="28"/>
    </row>
    <row r="431" spans="2:31" ht="15" hidden="1" customHeight="1" outlineLevel="2">
      <c r="B431" s="148">
        <v>7</v>
      </c>
      <c r="C431" s="177" t="str">
        <f>Attribute!C431</f>
        <v>---</v>
      </c>
      <c r="D431" s="125" t="str">
        <f>VLOOKUP(C431,'Talente &amp; Stuff'!IA:JB,2,FALSE)</f>
        <v>--/--/--</v>
      </c>
      <c r="E431" s="47" t="str">
        <f>VLOOKUP(C431,'Talente &amp; Stuff'!IA:JB,3,FALSE)</f>
        <v>-</v>
      </c>
      <c r="F431" s="114">
        <f>VLOOKUP(C431,'Talente &amp; Stuff'!IA:JB,4,FALSE)</f>
        <v>0</v>
      </c>
      <c r="G431" s="113">
        <f>VLOOKUP(C431,'Talente &amp; Stuff'!IA:JB,5,FALSE)</f>
        <v>0</v>
      </c>
      <c r="H431" s="113">
        <f>VLOOKUP(C431,'Talente &amp; Stuff'!IA:JB,6,FALSE)</f>
        <v>0</v>
      </c>
      <c r="I431" s="113">
        <f>VLOOKUP(C431,'Talente &amp; Stuff'!IA:JB,7,FALSE)</f>
        <v>0</v>
      </c>
      <c r="J431" s="113">
        <f>VLOOKUP(C431,'Talente &amp; Stuff'!IA:JB,8,FALSE)</f>
        <v>0</v>
      </c>
      <c r="K431" s="113">
        <f>VLOOKUP(C431,'Talente &amp; Stuff'!IA:JB,9,FALSE)</f>
        <v>0</v>
      </c>
      <c r="L431" s="113">
        <f>VLOOKUP(C431,'Talente &amp; Stuff'!IA:JB,10,FALSE)</f>
        <v>0</v>
      </c>
      <c r="M431" s="119">
        <f>VLOOKUP(C431,'Talente &amp; Stuff'!IA:JB,11,FALSE)</f>
        <v>0</v>
      </c>
      <c r="N431" s="47">
        <f>VLOOKUP(C431,'Talente &amp; Stuff'!IA:JB,12,FALSE)</f>
        <v>0</v>
      </c>
      <c r="O431" s="47">
        <f>VLOOKUP(C431,'Talente &amp; Stuff'!IA:JB,13,FALSE)</f>
        <v>0</v>
      </c>
      <c r="P431" s="113">
        <f>VLOOKUP(C431,'Talente &amp; Stuff'!IA:JB,14,FALSE)</f>
        <v>0</v>
      </c>
      <c r="Q431" s="114">
        <f>VLOOKUP(C431,'Talente &amp; Stuff'!IA:JB,15,FALSE)</f>
        <v>0</v>
      </c>
      <c r="R431" s="113">
        <f>VLOOKUP(C431,'Talente &amp; Stuff'!IA:JB,16,FALSE)</f>
        <v>0</v>
      </c>
      <c r="S431" s="119">
        <f>VLOOKUP(C431,'Talente &amp; Stuff'!IA:JB,17,FALSE)</f>
        <v>0</v>
      </c>
      <c r="T431" s="160">
        <f>VLOOKUP(C431,'Talente &amp; Stuff'!IA:JB,18,FALSE)</f>
        <v>0</v>
      </c>
      <c r="U431" s="89">
        <f>VLOOKUP(C431,'Talente &amp; Stuff'!IA:JB,19,FALSE)</f>
        <v>0</v>
      </c>
      <c r="V431" s="47">
        <f>VLOOKUP(C431,'Talente &amp; Stuff'!IA:JB,20,FALSE)</f>
        <v>0</v>
      </c>
      <c r="W431" s="127">
        <f>VLOOKUP(C431,'Talente &amp; Stuff'!IA:JB,21,FALSE)</f>
        <v>0</v>
      </c>
      <c r="X431" s="127">
        <f>VLOOKUP(C431,'Talente &amp; Stuff'!IA:JB,22,FALSE)</f>
        <v>0</v>
      </c>
      <c r="Y431" s="165">
        <f t="shared" si="34"/>
        <v>0</v>
      </c>
      <c r="Z431" s="44">
        <f t="shared" si="35"/>
        <v>0</v>
      </c>
      <c r="AA431" s="125">
        <f>VLOOKUP(C431,'Talente &amp; Stuff'!IA:JB,25,FALSE)</f>
        <v>0</v>
      </c>
      <c r="AB431" s="160">
        <f>VLOOKUP(C431,'Talente &amp; Stuff'!IA:JB,26,FALSE)</f>
        <v>0</v>
      </c>
      <c r="AC431" s="127">
        <f>VLOOKUP(C431,'Talente &amp; Stuff'!IA:JB,27,FALSE)</f>
        <v>0</v>
      </c>
      <c r="AD431" s="125">
        <f>VLOOKUP(C431,'Talente &amp; Stuff'!IA:JB,28,FALSE)</f>
        <v>0</v>
      </c>
      <c r="AE431" s="28"/>
    </row>
    <row r="432" spans="2:31" ht="15" hidden="1" customHeight="1" outlineLevel="2">
      <c r="B432" s="148">
        <v>8</v>
      </c>
      <c r="C432" s="178" t="str">
        <f>Attribute!C432</f>
        <v>---</v>
      </c>
      <c r="D432" s="159" t="str">
        <f>VLOOKUP(C432,'Talente &amp; Stuff'!IA:JB,2,FALSE)</f>
        <v>--/--/--</v>
      </c>
      <c r="E432" s="88" t="str">
        <f>VLOOKUP(C432,'Talente &amp; Stuff'!IA:JB,3,FALSE)</f>
        <v>-</v>
      </c>
      <c r="F432" s="115">
        <f>VLOOKUP(C432,'Talente &amp; Stuff'!IA:JB,4,FALSE)</f>
        <v>0</v>
      </c>
      <c r="G432" s="122">
        <f>VLOOKUP(C432,'Talente &amp; Stuff'!IA:JB,5,FALSE)</f>
        <v>0</v>
      </c>
      <c r="H432" s="122">
        <f>VLOOKUP(C432,'Talente &amp; Stuff'!IA:JB,6,FALSE)</f>
        <v>0</v>
      </c>
      <c r="I432" s="122">
        <f>VLOOKUP(C432,'Talente &amp; Stuff'!IA:JB,7,FALSE)</f>
        <v>0</v>
      </c>
      <c r="J432" s="122">
        <f>VLOOKUP(C432,'Talente &amp; Stuff'!IA:JB,8,FALSE)</f>
        <v>0</v>
      </c>
      <c r="K432" s="122">
        <f>VLOOKUP(C432,'Talente &amp; Stuff'!IA:JB,9,FALSE)</f>
        <v>0</v>
      </c>
      <c r="L432" s="122">
        <f>VLOOKUP(C432,'Talente &amp; Stuff'!IA:JB,10,FALSE)</f>
        <v>0</v>
      </c>
      <c r="M432" s="123">
        <f>VLOOKUP(C432,'Talente &amp; Stuff'!IA:JB,11,FALSE)</f>
        <v>0</v>
      </c>
      <c r="N432" s="88">
        <f>VLOOKUP(C432,'Talente &amp; Stuff'!IA:JB,12,FALSE)</f>
        <v>0</v>
      </c>
      <c r="O432" s="88">
        <f>VLOOKUP(C432,'Talente &amp; Stuff'!IA:JB,13,FALSE)</f>
        <v>0</v>
      </c>
      <c r="P432" s="122">
        <f>VLOOKUP(C432,'Talente &amp; Stuff'!IA:JB,14,FALSE)</f>
        <v>0</v>
      </c>
      <c r="Q432" s="115">
        <f>VLOOKUP(C432,'Talente &amp; Stuff'!IA:JB,15,FALSE)</f>
        <v>0</v>
      </c>
      <c r="R432" s="122">
        <f>VLOOKUP(C432,'Talente &amp; Stuff'!IA:JB,16,FALSE)</f>
        <v>0</v>
      </c>
      <c r="S432" s="123">
        <f>VLOOKUP(C432,'Talente &amp; Stuff'!IA:JB,17,FALSE)</f>
        <v>0</v>
      </c>
      <c r="T432" s="161">
        <f>VLOOKUP(C432,'Talente &amp; Stuff'!IA:JB,18,FALSE)</f>
        <v>0</v>
      </c>
      <c r="U432" s="90">
        <f>VLOOKUP(C432,'Talente &amp; Stuff'!IA:JB,19,FALSE)</f>
        <v>0</v>
      </c>
      <c r="V432" s="88">
        <f>VLOOKUP(C432,'Talente &amp; Stuff'!IA:JB,20,FALSE)</f>
        <v>0</v>
      </c>
      <c r="W432" s="128">
        <f>VLOOKUP(C432,'Talente &amp; Stuff'!IA:JB,21,FALSE)</f>
        <v>0</v>
      </c>
      <c r="X432" s="128">
        <f>VLOOKUP(C432,'Talente &amp; Stuff'!IA:JB,22,FALSE)</f>
        <v>0</v>
      </c>
      <c r="Y432" s="165">
        <f t="shared" si="34"/>
        <v>0</v>
      </c>
      <c r="Z432" s="44">
        <f t="shared" si="35"/>
        <v>0</v>
      </c>
      <c r="AA432" s="159">
        <f>VLOOKUP(C432,'Talente &amp; Stuff'!IA:JB,25,FALSE)</f>
        <v>0</v>
      </c>
      <c r="AB432" s="161">
        <f>VLOOKUP(C432,'Talente &amp; Stuff'!IA:JB,26,FALSE)</f>
        <v>0</v>
      </c>
      <c r="AC432" s="128">
        <f>VLOOKUP(C432,'Talente &amp; Stuff'!IA:JB,27,FALSE)</f>
        <v>0</v>
      </c>
      <c r="AD432" s="159">
        <f>VLOOKUP(C432,'Talente &amp; Stuff'!IA:JB,28,FALSE)</f>
        <v>0</v>
      </c>
      <c r="AE432" s="28"/>
    </row>
    <row r="433" spans="1:31" ht="15" hidden="1" customHeight="1" outlineLevel="1" collapsed="1">
      <c r="B433" s="134" t="s">
        <v>322</v>
      </c>
      <c r="C433" s="83"/>
      <c r="D433" s="84"/>
      <c r="E433" s="84"/>
    </row>
    <row r="434" spans="1:31" ht="15" hidden="1" customHeight="1" outlineLevel="2">
      <c r="B434" s="148">
        <v>1</v>
      </c>
      <c r="C434" s="176" t="str">
        <f>Attribute!C434</f>
        <v>---</v>
      </c>
      <c r="D434" s="158" t="str">
        <f>VLOOKUP(C434,'Talente &amp; Stuff'!IA:JB,2,FALSE)</f>
        <v>--/--/--</v>
      </c>
      <c r="E434" s="116" t="str">
        <f>VLOOKUP(C434,'Talente &amp; Stuff'!IA:JB,3,FALSE)</f>
        <v>-</v>
      </c>
      <c r="F434" s="191">
        <f>VLOOKUP(C434,'Talente &amp; Stuff'!IA:JB,4,FALSE)</f>
        <v>0</v>
      </c>
      <c r="G434" s="118">
        <f>VLOOKUP(C434,'Talente &amp; Stuff'!IA:JB,5,FALSE)</f>
        <v>0</v>
      </c>
      <c r="H434" s="118">
        <f>VLOOKUP(C434,'Talente &amp; Stuff'!IA:JB,6,FALSE)</f>
        <v>0</v>
      </c>
      <c r="I434" s="118">
        <f>VLOOKUP(C434,'Talente &amp; Stuff'!IA:JB,7,FALSE)</f>
        <v>0</v>
      </c>
      <c r="J434" s="118">
        <f>VLOOKUP(C434,'Talente &amp; Stuff'!IA:JB,8,FALSE)</f>
        <v>0</v>
      </c>
      <c r="K434" s="118">
        <f>VLOOKUP(C434,'Talente &amp; Stuff'!IA:JB,9,FALSE)</f>
        <v>0</v>
      </c>
      <c r="L434" s="118">
        <f>VLOOKUP(C434,'Talente &amp; Stuff'!IA:JB,10,FALSE)</f>
        <v>0</v>
      </c>
      <c r="M434" s="92">
        <f>VLOOKUP(C434,'Talente &amp; Stuff'!IA:JB,11,FALSE)</f>
        <v>0</v>
      </c>
      <c r="N434" s="116">
        <f>VLOOKUP(C434,'Talente &amp; Stuff'!IA:JB,12,FALSE)</f>
        <v>0</v>
      </c>
      <c r="O434" s="116">
        <f>VLOOKUP(C434,'Talente &amp; Stuff'!IA:JB,13,FALSE)</f>
        <v>0</v>
      </c>
      <c r="P434" s="118">
        <f>VLOOKUP(C434,'Talente &amp; Stuff'!IA:JB,14,FALSE)</f>
        <v>0</v>
      </c>
      <c r="Q434" s="191">
        <f>VLOOKUP(C434,'Talente &amp; Stuff'!IA:JB,15,FALSE)</f>
        <v>0</v>
      </c>
      <c r="R434" s="118">
        <f>VLOOKUP(C434,'Talente &amp; Stuff'!IA:JB,16,FALSE)</f>
        <v>0</v>
      </c>
      <c r="S434" s="92">
        <f>VLOOKUP(C434,'Talente &amp; Stuff'!IA:JB,17,FALSE)</f>
        <v>0</v>
      </c>
      <c r="T434" s="91">
        <f>VLOOKUP(C434,'Talente &amp; Stuff'!IA:JB,18,FALSE)</f>
        <v>0</v>
      </c>
      <c r="U434" s="193">
        <f>VLOOKUP(C434,'Talente &amp; Stuff'!IA:JB,19,FALSE)</f>
        <v>0</v>
      </c>
      <c r="V434" s="116">
        <f>VLOOKUP(C434,'Talente &amp; Stuff'!IA:JB,20,FALSE)</f>
        <v>0</v>
      </c>
      <c r="W434" s="126">
        <f>VLOOKUP(C434,'Talente &amp; Stuff'!IA:JB,21,FALSE)</f>
        <v>0</v>
      </c>
      <c r="X434" s="126">
        <f>VLOOKUP(C434,'Talente &amp; Stuff'!IA:JB,22,FALSE)</f>
        <v>0</v>
      </c>
      <c r="Y434" s="175">
        <f t="shared" ref="Y434:Y439" si="36">VLOOKUP(C434,Ausgewählte_Liturgien_Praios,255,FALSE)</f>
        <v>0</v>
      </c>
      <c r="Z434" s="198">
        <f t="shared" ref="Z434:Z439" si="37">VLOOKUP(C434,Ausgewählte_Liturgien_Praios,256,FALSE)</f>
        <v>0</v>
      </c>
      <c r="AA434" s="158">
        <f>VLOOKUP(C434,'Talente &amp; Stuff'!IA:JB,25,FALSE)</f>
        <v>0</v>
      </c>
      <c r="AB434" s="91">
        <f>VLOOKUP(C434,'Talente &amp; Stuff'!IA:JB,26,FALSE)</f>
        <v>0</v>
      </c>
      <c r="AC434" s="126">
        <f>VLOOKUP(C434,'Talente &amp; Stuff'!IA:JB,27,FALSE)</f>
        <v>0</v>
      </c>
      <c r="AD434" s="158">
        <f>VLOOKUP(C434,'Talente &amp; Stuff'!IA:JB,28,FALSE)</f>
        <v>0</v>
      </c>
      <c r="AE434" s="28"/>
    </row>
    <row r="435" spans="1:31" ht="15" hidden="1" customHeight="1" outlineLevel="2">
      <c r="B435" s="148">
        <v>2</v>
      </c>
      <c r="C435" s="177" t="str">
        <f>Attribute!C435</f>
        <v>---</v>
      </c>
      <c r="D435" s="125" t="str">
        <f>VLOOKUP(C435,'Talente &amp; Stuff'!IA:JB,2,FALSE)</f>
        <v>--/--/--</v>
      </c>
      <c r="E435" s="47" t="str">
        <f>VLOOKUP(C435,'Talente &amp; Stuff'!IA:JB,3,FALSE)</f>
        <v>-</v>
      </c>
      <c r="F435" s="114">
        <f>VLOOKUP(C435,'Talente &amp; Stuff'!IA:JB,4,FALSE)</f>
        <v>0</v>
      </c>
      <c r="G435" s="113">
        <f>VLOOKUP(C435,'Talente &amp; Stuff'!IA:JB,5,FALSE)</f>
        <v>0</v>
      </c>
      <c r="H435" s="113">
        <f>VLOOKUP(C435,'Talente &amp; Stuff'!IA:JB,6,FALSE)</f>
        <v>0</v>
      </c>
      <c r="I435" s="113">
        <f>VLOOKUP(C435,'Talente &amp; Stuff'!IA:JB,7,FALSE)</f>
        <v>0</v>
      </c>
      <c r="J435" s="113">
        <f>VLOOKUP(C435,'Talente &amp; Stuff'!IA:JB,8,FALSE)</f>
        <v>0</v>
      </c>
      <c r="K435" s="113">
        <f>VLOOKUP(C435,'Talente &amp; Stuff'!IA:JB,9,FALSE)</f>
        <v>0</v>
      </c>
      <c r="L435" s="113">
        <f>VLOOKUP(C435,'Talente &amp; Stuff'!IA:JB,10,FALSE)</f>
        <v>0</v>
      </c>
      <c r="M435" s="119">
        <f>VLOOKUP(C435,'Talente &amp; Stuff'!IA:JB,11,FALSE)</f>
        <v>0</v>
      </c>
      <c r="N435" s="47">
        <f>VLOOKUP(C435,'Talente &amp; Stuff'!IA:JB,12,FALSE)</f>
        <v>0</v>
      </c>
      <c r="O435" s="47">
        <f>VLOOKUP(C435,'Talente &amp; Stuff'!IA:JB,13,FALSE)</f>
        <v>0</v>
      </c>
      <c r="P435" s="113">
        <f>VLOOKUP(C435,'Talente &amp; Stuff'!IA:JB,14,FALSE)</f>
        <v>0</v>
      </c>
      <c r="Q435" s="114">
        <f>VLOOKUP(C435,'Talente &amp; Stuff'!IA:JB,15,FALSE)</f>
        <v>0</v>
      </c>
      <c r="R435" s="113">
        <f>VLOOKUP(C435,'Talente &amp; Stuff'!IA:JB,16,FALSE)</f>
        <v>0</v>
      </c>
      <c r="S435" s="119">
        <f>VLOOKUP(C435,'Talente &amp; Stuff'!IA:JB,17,FALSE)</f>
        <v>0</v>
      </c>
      <c r="T435" s="160">
        <f>VLOOKUP(C435,'Talente &amp; Stuff'!IA:JB,18,FALSE)</f>
        <v>0</v>
      </c>
      <c r="U435" s="89">
        <f>VLOOKUP(C435,'Talente &amp; Stuff'!IA:JB,19,FALSE)</f>
        <v>0</v>
      </c>
      <c r="V435" s="47">
        <f>VLOOKUP(C435,'Talente &amp; Stuff'!IA:JB,20,FALSE)</f>
        <v>0</v>
      </c>
      <c r="W435" s="127">
        <f>VLOOKUP(C435,'Talente &amp; Stuff'!IA:JB,21,FALSE)</f>
        <v>0</v>
      </c>
      <c r="X435" s="127">
        <f>VLOOKUP(C435,'Talente &amp; Stuff'!IA:JB,22,FALSE)</f>
        <v>0</v>
      </c>
      <c r="Y435" s="175">
        <f t="shared" si="36"/>
        <v>0</v>
      </c>
      <c r="Z435" s="198">
        <f t="shared" si="37"/>
        <v>0</v>
      </c>
      <c r="AA435" s="125">
        <f>VLOOKUP(C435,'Talente &amp; Stuff'!IA:JB,25,FALSE)</f>
        <v>0</v>
      </c>
      <c r="AB435" s="160">
        <f>VLOOKUP(C435,'Talente &amp; Stuff'!IA:JB,26,FALSE)</f>
        <v>0</v>
      </c>
      <c r="AC435" s="127">
        <f>VLOOKUP(C435,'Talente &amp; Stuff'!IA:JB,27,FALSE)</f>
        <v>0</v>
      </c>
      <c r="AD435" s="125">
        <f>VLOOKUP(C435,'Talente &amp; Stuff'!IA:JB,28,FALSE)</f>
        <v>0</v>
      </c>
      <c r="AE435" s="28"/>
    </row>
    <row r="436" spans="1:31" ht="15" hidden="1" customHeight="1" outlineLevel="2">
      <c r="B436" s="148">
        <v>3</v>
      </c>
      <c r="C436" s="177" t="str">
        <f>Attribute!C436</f>
        <v>---</v>
      </c>
      <c r="D436" s="125" t="str">
        <f>VLOOKUP(C436,'Talente &amp; Stuff'!IA:JB,2,FALSE)</f>
        <v>--/--/--</v>
      </c>
      <c r="E436" s="47" t="str">
        <f>VLOOKUP(C436,'Talente &amp; Stuff'!IA:JB,3,FALSE)</f>
        <v>-</v>
      </c>
      <c r="F436" s="114">
        <f>VLOOKUP(C436,'Talente &amp; Stuff'!IA:JB,4,FALSE)</f>
        <v>0</v>
      </c>
      <c r="G436" s="113">
        <f>VLOOKUP(C436,'Talente &amp; Stuff'!IA:JB,5,FALSE)</f>
        <v>0</v>
      </c>
      <c r="H436" s="113">
        <f>VLOOKUP(C436,'Talente &amp; Stuff'!IA:JB,6,FALSE)</f>
        <v>0</v>
      </c>
      <c r="I436" s="113">
        <f>VLOOKUP(C436,'Talente &amp; Stuff'!IA:JB,7,FALSE)</f>
        <v>0</v>
      </c>
      <c r="J436" s="113">
        <f>VLOOKUP(C436,'Talente &amp; Stuff'!IA:JB,8,FALSE)</f>
        <v>0</v>
      </c>
      <c r="K436" s="113">
        <f>VLOOKUP(C436,'Talente &amp; Stuff'!IA:JB,9,FALSE)</f>
        <v>0</v>
      </c>
      <c r="L436" s="113">
        <f>VLOOKUP(C436,'Talente &amp; Stuff'!IA:JB,10,FALSE)</f>
        <v>0</v>
      </c>
      <c r="M436" s="119">
        <f>VLOOKUP(C436,'Talente &amp; Stuff'!IA:JB,11,FALSE)</f>
        <v>0</v>
      </c>
      <c r="N436" s="47">
        <f>VLOOKUP(C436,'Talente &amp; Stuff'!IA:JB,12,FALSE)</f>
        <v>0</v>
      </c>
      <c r="O436" s="47">
        <f>VLOOKUP(C436,'Talente &amp; Stuff'!IA:JB,13,FALSE)</f>
        <v>0</v>
      </c>
      <c r="P436" s="113">
        <f>VLOOKUP(C436,'Talente &amp; Stuff'!IA:JB,14,FALSE)</f>
        <v>0</v>
      </c>
      <c r="Q436" s="114">
        <f>VLOOKUP(C436,'Talente &amp; Stuff'!IA:JB,15,FALSE)</f>
        <v>0</v>
      </c>
      <c r="R436" s="113">
        <f>VLOOKUP(C436,'Talente &amp; Stuff'!IA:JB,16,FALSE)</f>
        <v>0</v>
      </c>
      <c r="S436" s="119">
        <f>VLOOKUP(C436,'Talente &amp; Stuff'!IA:JB,17,FALSE)</f>
        <v>0</v>
      </c>
      <c r="T436" s="160">
        <f>VLOOKUP(C436,'Talente &amp; Stuff'!IA:JB,18,FALSE)</f>
        <v>0</v>
      </c>
      <c r="U436" s="89">
        <f>VLOOKUP(C436,'Talente &amp; Stuff'!IA:JB,19,FALSE)</f>
        <v>0</v>
      </c>
      <c r="V436" s="47">
        <f>VLOOKUP(C436,'Talente &amp; Stuff'!IA:JB,20,FALSE)</f>
        <v>0</v>
      </c>
      <c r="W436" s="127">
        <f>VLOOKUP(C436,'Talente &amp; Stuff'!IA:JB,21,FALSE)</f>
        <v>0</v>
      </c>
      <c r="X436" s="127">
        <f>VLOOKUP(C436,'Talente &amp; Stuff'!IA:JB,22,FALSE)</f>
        <v>0</v>
      </c>
      <c r="Y436" s="175">
        <f t="shared" si="36"/>
        <v>0</v>
      </c>
      <c r="Z436" s="198">
        <f t="shared" si="37"/>
        <v>0</v>
      </c>
      <c r="AA436" s="125">
        <f>VLOOKUP(C436,'Talente &amp; Stuff'!IA:JB,25,FALSE)</f>
        <v>0</v>
      </c>
      <c r="AB436" s="160">
        <f>VLOOKUP(C436,'Talente &amp; Stuff'!IA:JB,26,FALSE)</f>
        <v>0</v>
      </c>
      <c r="AC436" s="127">
        <f>VLOOKUP(C436,'Talente &amp; Stuff'!IA:JB,27,FALSE)</f>
        <v>0</v>
      </c>
      <c r="AD436" s="125">
        <f>VLOOKUP(C436,'Talente &amp; Stuff'!IA:JB,28,FALSE)</f>
        <v>0</v>
      </c>
      <c r="AE436" s="28"/>
    </row>
    <row r="437" spans="1:31" ht="15" hidden="1" customHeight="1" outlineLevel="2">
      <c r="B437" s="148">
        <v>4</v>
      </c>
      <c r="C437" s="177" t="str">
        <f>Attribute!C437</f>
        <v>---</v>
      </c>
      <c r="D437" s="125" t="str">
        <f>VLOOKUP(C437,'Talente &amp; Stuff'!IA:JB,2,FALSE)</f>
        <v>--/--/--</v>
      </c>
      <c r="E437" s="47" t="str">
        <f>VLOOKUP(C437,'Talente &amp; Stuff'!IA:JB,3,FALSE)</f>
        <v>-</v>
      </c>
      <c r="F437" s="114">
        <f>VLOOKUP(C437,'Talente &amp; Stuff'!IA:JB,4,FALSE)</f>
        <v>0</v>
      </c>
      <c r="G437" s="113">
        <f>VLOOKUP(C437,'Talente &amp; Stuff'!IA:JB,5,FALSE)</f>
        <v>0</v>
      </c>
      <c r="H437" s="113">
        <f>VLOOKUP(C437,'Talente &amp; Stuff'!IA:JB,6,FALSE)</f>
        <v>0</v>
      </c>
      <c r="I437" s="113">
        <f>VLOOKUP(C437,'Talente &amp; Stuff'!IA:JB,7,FALSE)</f>
        <v>0</v>
      </c>
      <c r="J437" s="113">
        <f>VLOOKUP(C437,'Talente &amp; Stuff'!IA:JB,8,FALSE)</f>
        <v>0</v>
      </c>
      <c r="K437" s="113">
        <f>VLOOKUP(C437,'Talente &amp; Stuff'!IA:JB,9,FALSE)</f>
        <v>0</v>
      </c>
      <c r="L437" s="113">
        <f>VLOOKUP(C437,'Talente &amp; Stuff'!IA:JB,10,FALSE)</f>
        <v>0</v>
      </c>
      <c r="M437" s="119">
        <f>VLOOKUP(C437,'Talente &amp; Stuff'!IA:JB,11,FALSE)</f>
        <v>0</v>
      </c>
      <c r="N437" s="47">
        <f>VLOOKUP(C437,'Talente &amp; Stuff'!IA:JB,12,FALSE)</f>
        <v>0</v>
      </c>
      <c r="O437" s="47">
        <f>VLOOKUP(C437,'Talente &amp; Stuff'!IA:JB,13,FALSE)</f>
        <v>0</v>
      </c>
      <c r="P437" s="113">
        <f>VLOOKUP(C437,'Talente &amp; Stuff'!IA:JB,14,FALSE)</f>
        <v>0</v>
      </c>
      <c r="Q437" s="114">
        <f>VLOOKUP(C437,'Talente &amp; Stuff'!IA:JB,15,FALSE)</f>
        <v>0</v>
      </c>
      <c r="R437" s="113">
        <f>VLOOKUP(C437,'Talente &amp; Stuff'!IA:JB,16,FALSE)</f>
        <v>0</v>
      </c>
      <c r="S437" s="119">
        <f>VLOOKUP(C437,'Talente &amp; Stuff'!IA:JB,17,FALSE)</f>
        <v>0</v>
      </c>
      <c r="T437" s="160">
        <f>VLOOKUP(C437,'Talente &amp; Stuff'!IA:JB,18,FALSE)</f>
        <v>0</v>
      </c>
      <c r="U437" s="89">
        <f>VLOOKUP(C437,'Talente &amp; Stuff'!IA:JB,19,FALSE)</f>
        <v>0</v>
      </c>
      <c r="V437" s="47">
        <f>VLOOKUP(C437,'Talente &amp; Stuff'!IA:JB,20,FALSE)</f>
        <v>0</v>
      </c>
      <c r="W437" s="127">
        <f>VLOOKUP(C437,'Talente &amp; Stuff'!IA:JB,21,FALSE)</f>
        <v>0</v>
      </c>
      <c r="X437" s="127">
        <f>VLOOKUP(C437,'Talente &amp; Stuff'!IA:JB,22,FALSE)</f>
        <v>0</v>
      </c>
      <c r="Y437" s="175">
        <f t="shared" si="36"/>
        <v>0</v>
      </c>
      <c r="Z437" s="198">
        <f t="shared" si="37"/>
        <v>0</v>
      </c>
      <c r="AA437" s="125">
        <f>VLOOKUP(C437,'Talente &amp; Stuff'!IA:JB,25,FALSE)</f>
        <v>0</v>
      </c>
      <c r="AB437" s="160">
        <f>VLOOKUP(C437,'Talente &amp; Stuff'!IA:JB,26,FALSE)</f>
        <v>0</v>
      </c>
      <c r="AC437" s="127">
        <f>VLOOKUP(C437,'Talente &amp; Stuff'!IA:JB,27,FALSE)</f>
        <v>0</v>
      </c>
      <c r="AD437" s="125">
        <f>VLOOKUP(C437,'Talente &amp; Stuff'!IA:JB,28,FALSE)</f>
        <v>0</v>
      </c>
      <c r="AE437" s="28"/>
    </row>
    <row r="438" spans="1:31" ht="15" hidden="1" customHeight="1" outlineLevel="2">
      <c r="B438" s="148">
        <v>5</v>
      </c>
      <c r="C438" s="177" t="str">
        <f>Attribute!C438</f>
        <v>---</v>
      </c>
      <c r="D438" s="125" t="str">
        <f>VLOOKUP(C438,'Talente &amp; Stuff'!IA:JB,2,FALSE)</f>
        <v>--/--/--</v>
      </c>
      <c r="E438" s="47" t="str">
        <f>VLOOKUP(C438,'Talente &amp; Stuff'!IA:JB,3,FALSE)</f>
        <v>-</v>
      </c>
      <c r="F438" s="114">
        <f>VLOOKUP(C438,'Talente &amp; Stuff'!IA:JB,4,FALSE)</f>
        <v>0</v>
      </c>
      <c r="G438" s="113">
        <f>VLOOKUP(C438,'Talente &amp; Stuff'!IA:JB,5,FALSE)</f>
        <v>0</v>
      </c>
      <c r="H438" s="113">
        <f>VLOOKUP(C438,'Talente &amp; Stuff'!IA:JB,6,FALSE)</f>
        <v>0</v>
      </c>
      <c r="I438" s="113">
        <f>VLOOKUP(C438,'Talente &amp; Stuff'!IA:JB,7,FALSE)</f>
        <v>0</v>
      </c>
      <c r="J438" s="113">
        <f>VLOOKUP(C438,'Talente &amp; Stuff'!IA:JB,8,FALSE)</f>
        <v>0</v>
      </c>
      <c r="K438" s="113">
        <f>VLOOKUP(C438,'Talente &amp; Stuff'!IA:JB,9,FALSE)</f>
        <v>0</v>
      </c>
      <c r="L438" s="113">
        <f>VLOOKUP(C438,'Talente &amp; Stuff'!IA:JB,10,FALSE)</f>
        <v>0</v>
      </c>
      <c r="M438" s="119">
        <f>VLOOKUP(C438,'Talente &amp; Stuff'!IA:JB,11,FALSE)</f>
        <v>0</v>
      </c>
      <c r="N438" s="47">
        <f>VLOOKUP(C438,'Talente &amp; Stuff'!IA:JB,12,FALSE)</f>
        <v>0</v>
      </c>
      <c r="O438" s="47">
        <f>VLOOKUP(C438,'Talente &amp; Stuff'!IA:JB,13,FALSE)</f>
        <v>0</v>
      </c>
      <c r="P438" s="113">
        <f>VLOOKUP(C438,'Talente &amp; Stuff'!IA:JB,14,FALSE)</f>
        <v>0</v>
      </c>
      <c r="Q438" s="114">
        <f>VLOOKUP(C438,'Talente &amp; Stuff'!IA:JB,15,FALSE)</f>
        <v>0</v>
      </c>
      <c r="R438" s="113">
        <f>VLOOKUP(C438,'Talente &amp; Stuff'!IA:JB,16,FALSE)</f>
        <v>0</v>
      </c>
      <c r="S438" s="119">
        <f>VLOOKUP(C438,'Talente &amp; Stuff'!IA:JB,17,FALSE)</f>
        <v>0</v>
      </c>
      <c r="T438" s="160">
        <f>VLOOKUP(C438,'Talente &amp; Stuff'!IA:JB,18,FALSE)</f>
        <v>0</v>
      </c>
      <c r="U438" s="89">
        <f>VLOOKUP(C438,'Talente &amp; Stuff'!IA:JB,19,FALSE)</f>
        <v>0</v>
      </c>
      <c r="V438" s="47">
        <f>VLOOKUP(C438,'Talente &amp; Stuff'!IA:JB,20,FALSE)</f>
        <v>0</v>
      </c>
      <c r="W438" s="127">
        <f>VLOOKUP(C438,'Talente &amp; Stuff'!IA:JB,21,FALSE)</f>
        <v>0</v>
      </c>
      <c r="X438" s="127">
        <f>VLOOKUP(C438,'Talente &amp; Stuff'!IA:JB,22,FALSE)</f>
        <v>0</v>
      </c>
      <c r="Y438" s="175">
        <f t="shared" si="36"/>
        <v>0</v>
      </c>
      <c r="Z438" s="198">
        <f t="shared" si="37"/>
        <v>0</v>
      </c>
      <c r="AA438" s="125">
        <f>VLOOKUP(C438,'Talente &amp; Stuff'!IA:JB,25,FALSE)</f>
        <v>0</v>
      </c>
      <c r="AB438" s="160">
        <f>VLOOKUP(C438,'Talente &amp; Stuff'!IA:JB,26,FALSE)</f>
        <v>0</v>
      </c>
      <c r="AC438" s="127">
        <f>VLOOKUP(C438,'Talente &amp; Stuff'!IA:JB,27,FALSE)</f>
        <v>0</v>
      </c>
      <c r="AD438" s="125">
        <f>VLOOKUP(C438,'Talente &amp; Stuff'!IA:JB,28,FALSE)</f>
        <v>0</v>
      </c>
      <c r="AE438" s="28"/>
    </row>
    <row r="439" spans="1:31" ht="15" hidden="1" customHeight="1" outlineLevel="2">
      <c r="B439" s="148">
        <v>6</v>
      </c>
      <c r="C439" s="178" t="str">
        <f>Attribute!C439</f>
        <v>---</v>
      </c>
      <c r="D439" s="159" t="str">
        <f>VLOOKUP(C439,'Talente &amp; Stuff'!IA:JB,2,FALSE)</f>
        <v>--/--/--</v>
      </c>
      <c r="E439" s="88" t="str">
        <f>VLOOKUP(C439,'Talente &amp; Stuff'!IA:JB,3,FALSE)</f>
        <v>-</v>
      </c>
      <c r="F439" s="115">
        <f>VLOOKUP(C439,'Talente &amp; Stuff'!IA:JB,4,FALSE)</f>
        <v>0</v>
      </c>
      <c r="G439" s="122">
        <f>VLOOKUP(C439,'Talente &amp; Stuff'!IA:JB,5,FALSE)</f>
        <v>0</v>
      </c>
      <c r="H439" s="122">
        <f>VLOOKUP(C439,'Talente &amp; Stuff'!IA:JB,6,FALSE)</f>
        <v>0</v>
      </c>
      <c r="I439" s="122">
        <f>VLOOKUP(C439,'Talente &amp; Stuff'!IA:JB,7,FALSE)</f>
        <v>0</v>
      </c>
      <c r="J439" s="122">
        <f>VLOOKUP(C439,'Talente &amp; Stuff'!IA:JB,8,FALSE)</f>
        <v>0</v>
      </c>
      <c r="K439" s="122">
        <f>VLOOKUP(C439,'Talente &amp; Stuff'!IA:JB,9,FALSE)</f>
        <v>0</v>
      </c>
      <c r="L439" s="122">
        <f>VLOOKUP(C439,'Talente &amp; Stuff'!IA:JB,10,FALSE)</f>
        <v>0</v>
      </c>
      <c r="M439" s="123">
        <f>VLOOKUP(C439,'Talente &amp; Stuff'!IA:JB,11,FALSE)</f>
        <v>0</v>
      </c>
      <c r="N439" s="88">
        <f>VLOOKUP(C439,'Talente &amp; Stuff'!IA:JB,12,FALSE)</f>
        <v>0</v>
      </c>
      <c r="O439" s="88">
        <f>VLOOKUP(C439,'Talente &amp; Stuff'!IA:JB,13,FALSE)</f>
        <v>0</v>
      </c>
      <c r="P439" s="122">
        <f>VLOOKUP(C439,'Talente &amp; Stuff'!IA:JB,14,FALSE)</f>
        <v>0</v>
      </c>
      <c r="Q439" s="115">
        <f>VLOOKUP(C439,'Talente &amp; Stuff'!IA:JB,15,FALSE)</f>
        <v>0</v>
      </c>
      <c r="R439" s="122">
        <f>VLOOKUP(C439,'Talente &amp; Stuff'!IA:JB,16,FALSE)</f>
        <v>0</v>
      </c>
      <c r="S439" s="123">
        <f>VLOOKUP(C439,'Talente &amp; Stuff'!IA:JB,17,FALSE)</f>
        <v>0</v>
      </c>
      <c r="T439" s="161">
        <f>VLOOKUP(C439,'Talente &amp; Stuff'!IA:JB,18,FALSE)</f>
        <v>0</v>
      </c>
      <c r="U439" s="90">
        <f>VLOOKUP(C439,'Talente &amp; Stuff'!IA:JB,19,FALSE)</f>
        <v>0</v>
      </c>
      <c r="V439" s="88">
        <f>VLOOKUP(C439,'Talente &amp; Stuff'!IA:JB,20,FALSE)</f>
        <v>0</v>
      </c>
      <c r="W439" s="128">
        <f>VLOOKUP(C439,'Talente &amp; Stuff'!IA:JB,21,FALSE)</f>
        <v>0</v>
      </c>
      <c r="X439" s="128">
        <f>VLOOKUP(C439,'Talente &amp; Stuff'!IA:JB,22,FALSE)</f>
        <v>0</v>
      </c>
      <c r="Y439" s="175">
        <f t="shared" si="36"/>
        <v>0</v>
      </c>
      <c r="Z439" s="198">
        <f t="shared" si="37"/>
        <v>0</v>
      </c>
      <c r="AA439" s="159">
        <f>VLOOKUP(C439,'Talente &amp; Stuff'!IA:JB,25,FALSE)</f>
        <v>0</v>
      </c>
      <c r="AB439" s="161">
        <f>VLOOKUP(C439,'Talente &amp; Stuff'!IA:JB,26,FALSE)</f>
        <v>0</v>
      </c>
      <c r="AC439" s="128">
        <f>VLOOKUP(C439,'Talente &amp; Stuff'!IA:JB,27,FALSE)</f>
        <v>0</v>
      </c>
      <c r="AD439" s="159">
        <f>VLOOKUP(C439,'Talente &amp; Stuff'!IA:JB,28,FALSE)</f>
        <v>0</v>
      </c>
      <c r="AE439" s="28"/>
    </row>
    <row r="440" spans="1:31" ht="15" hidden="1" customHeight="1" outlineLevel="1" collapsed="1">
      <c r="B440" s="134" t="s">
        <v>321</v>
      </c>
      <c r="C440" s="83"/>
      <c r="D440" s="84"/>
      <c r="E440" s="84"/>
    </row>
    <row r="441" spans="1:31" ht="15" hidden="1" customHeight="1" outlineLevel="2">
      <c r="B441" s="148">
        <v>1</v>
      </c>
      <c r="C441" s="176" t="str">
        <f>Attribute!C441</f>
        <v>---</v>
      </c>
      <c r="D441" s="158" t="str">
        <f>VLOOKUP(C441,'Talente &amp; Stuff'!IA:JB,2,FALSE)</f>
        <v>--/--/--</v>
      </c>
      <c r="E441" s="116" t="str">
        <f>VLOOKUP(C441,'Talente &amp; Stuff'!IA:JB,3,FALSE)</f>
        <v>-</v>
      </c>
      <c r="F441" s="191">
        <f>VLOOKUP(C441,'Talente &amp; Stuff'!IA:JB,4,FALSE)</f>
        <v>0</v>
      </c>
      <c r="G441" s="118">
        <f>VLOOKUP(C441,'Talente &amp; Stuff'!IA:JB,5,FALSE)</f>
        <v>0</v>
      </c>
      <c r="H441" s="118">
        <f>VLOOKUP(C441,'Talente &amp; Stuff'!IA:JB,6,FALSE)</f>
        <v>0</v>
      </c>
      <c r="I441" s="118">
        <f>VLOOKUP(C441,'Talente &amp; Stuff'!IA:JB,7,FALSE)</f>
        <v>0</v>
      </c>
      <c r="J441" s="118">
        <f>VLOOKUP(C441,'Talente &amp; Stuff'!IA:JB,8,FALSE)</f>
        <v>0</v>
      </c>
      <c r="K441" s="118">
        <f>VLOOKUP(C441,'Talente &amp; Stuff'!IA:JB,9,FALSE)</f>
        <v>0</v>
      </c>
      <c r="L441" s="118">
        <f>VLOOKUP(C441,'Talente &amp; Stuff'!IA:JB,10,FALSE)</f>
        <v>0</v>
      </c>
      <c r="M441" s="92">
        <f>VLOOKUP(C441,'Talente &amp; Stuff'!IA:JB,11,FALSE)</f>
        <v>0</v>
      </c>
      <c r="N441" s="116">
        <f>VLOOKUP(C441,'Talente &amp; Stuff'!IA:JB,12,FALSE)</f>
        <v>0</v>
      </c>
      <c r="O441" s="116">
        <f>VLOOKUP(C441,'Talente &amp; Stuff'!IA:JB,13,FALSE)</f>
        <v>0</v>
      </c>
      <c r="P441" s="118">
        <f>VLOOKUP(C441,'Talente &amp; Stuff'!IA:JB,14,FALSE)</f>
        <v>0</v>
      </c>
      <c r="Q441" s="191">
        <f>VLOOKUP(C441,'Talente &amp; Stuff'!IA:JB,15,FALSE)</f>
        <v>0</v>
      </c>
      <c r="R441" s="118">
        <f>VLOOKUP(C441,'Talente &amp; Stuff'!IA:JB,16,FALSE)</f>
        <v>0</v>
      </c>
      <c r="S441" s="92">
        <f>VLOOKUP(C441,'Talente &amp; Stuff'!IA:JB,17,FALSE)</f>
        <v>0</v>
      </c>
      <c r="T441" s="91">
        <f>VLOOKUP(C441,'Talente &amp; Stuff'!IA:JB,18,FALSE)</f>
        <v>0</v>
      </c>
      <c r="U441" s="193">
        <f>VLOOKUP(C441,'Talente &amp; Stuff'!IA:JB,19,FALSE)</f>
        <v>0</v>
      </c>
      <c r="V441" s="116">
        <f>VLOOKUP(C441,'Talente &amp; Stuff'!IA:JB,20,FALSE)</f>
        <v>0</v>
      </c>
      <c r="W441" s="126">
        <f>VLOOKUP(C441,'Talente &amp; Stuff'!IA:JB,21,FALSE)</f>
        <v>0</v>
      </c>
      <c r="X441" s="126">
        <f>VLOOKUP(C441,'Talente &amp; Stuff'!IA:JB,22,FALSE)</f>
        <v>0</v>
      </c>
      <c r="Y441" s="165">
        <f>VLOOKUP(C441,Ausgewählte_Liturgien_Rondra,255,FALSE)</f>
        <v>0</v>
      </c>
      <c r="Z441" s="44">
        <f>VLOOKUP(C441,Ausgewählte_Liturgien_Rondra,256,FALSE)</f>
        <v>0</v>
      </c>
      <c r="AA441" s="158">
        <f>VLOOKUP(C441,'Talente &amp; Stuff'!IA:JB,25,FALSE)</f>
        <v>0</v>
      </c>
      <c r="AB441" s="91">
        <f>VLOOKUP(C441,'Talente &amp; Stuff'!IA:JB,26,FALSE)</f>
        <v>0</v>
      </c>
      <c r="AC441" s="126">
        <f>VLOOKUP(C441,'Talente &amp; Stuff'!IA:JB,27,FALSE)</f>
        <v>0</v>
      </c>
      <c r="AD441" s="158">
        <f>VLOOKUP(C441,'Talente &amp; Stuff'!IA:JB,28,FALSE)</f>
        <v>0</v>
      </c>
      <c r="AE441" s="28"/>
    </row>
    <row r="442" spans="1:31" ht="15" hidden="1" customHeight="1" outlineLevel="2">
      <c r="B442" s="148">
        <v>2</v>
      </c>
      <c r="C442" s="177" t="str">
        <f>Attribute!C442</f>
        <v>---</v>
      </c>
      <c r="D442" s="125" t="str">
        <f>VLOOKUP(C442,'Talente &amp; Stuff'!IA:JB,2,FALSE)</f>
        <v>--/--/--</v>
      </c>
      <c r="E442" s="47" t="str">
        <f>VLOOKUP(C442,'Talente &amp; Stuff'!IA:JB,3,FALSE)</f>
        <v>-</v>
      </c>
      <c r="F442" s="114">
        <f>VLOOKUP(C442,'Talente &amp; Stuff'!IA:JB,4,FALSE)</f>
        <v>0</v>
      </c>
      <c r="G442" s="113">
        <f>VLOOKUP(C442,'Talente &amp; Stuff'!IA:JB,5,FALSE)</f>
        <v>0</v>
      </c>
      <c r="H442" s="113">
        <f>VLOOKUP(C442,'Talente &amp; Stuff'!IA:JB,6,FALSE)</f>
        <v>0</v>
      </c>
      <c r="I442" s="113">
        <f>VLOOKUP(C442,'Talente &amp; Stuff'!IA:JB,7,FALSE)</f>
        <v>0</v>
      </c>
      <c r="J442" s="113">
        <f>VLOOKUP(C442,'Talente &amp; Stuff'!IA:JB,8,FALSE)</f>
        <v>0</v>
      </c>
      <c r="K442" s="113">
        <f>VLOOKUP(C442,'Talente &amp; Stuff'!IA:JB,9,FALSE)</f>
        <v>0</v>
      </c>
      <c r="L442" s="113">
        <f>VLOOKUP(C442,'Talente &amp; Stuff'!IA:JB,10,FALSE)</f>
        <v>0</v>
      </c>
      <c r="M442" s="119">
        <f>VLOOKUP(C442,'Talente &amp; Stuff'!IA:JB,11,FALSE)</f>
        <v>0</v>
      </c>
      <c r="N442" s="47">
        <f>VLOOKUP(C442,'Talente &amp; Stuff'!IA:JB,12,FALSE)</f>
        <v>0</v>
      </c>
      <c r="O442" s="47">
        <f>VLOOKUP(C442,'Talente &amp; Stuff'!IA:JB,13,FALSE)</f>
        <v>0</v>
      </c>
      <c r="P442" s="113">
        <f>VLOOKUP(C442,'Talente &amp; Stuff'!IA:JB,14,FALSE)</f>
        <v>0</v>
      </c>
      <c r="Q442" s="114">
        <f>VLOOKUP(C442,'Talente &amp; Stuff'!IA:JB,15,FALSE)</f>
        <v>0</v>
      </c>
      <c r="R442" s="113">
        <f>VLOOKUP(C442,'Talente &amp; Stuff'!IA:JB,16,FALSE)</f>
        <v>0</v>
      </c>
      <c r="S442" s="119">
        <f>VLOOKUP(C442,'Talente &amp; Stuff'!IA:JB,17,FALSE)</f>
        <v>0</v>
      </c>
      <c r="T442" s="160">
        <f>VLOOKUP(C442,'Talente &amp; Stuff'!IA:JB,18,FALSE)</f>
        <v>0</v>
      </c>
      <c r="U442" s="89">
        <f>VLOOKUP(C442,'Talente &amp; Stuff'!IA:JB,19,FALSE)</f>
        <v>0</v>
      </c>
      <c r="V442" s="47">
        <f>VLOOKUP(C442,'Talente &amp; Stuff'!IA:JB,20,FALSE)</f>
        <v>0</v>
      </c>
      <c r="W442" s="127">
        <f>VLOOKUP(C442,'Talente &amp; Stuff'!IA:JB,21,FALSE)</f>
        <v>0</v>
      </c>
      <c r="X442" s="127">
        <f>VLOOKUP(C442,'Talente &amp; Stuff'!IA:JB,22,FALSE)</f>
        <v>0</v>
      </c>
      <c r="Y442" s="165">
        <f>VLOOKUP(C442,Ausgewählte_Liturgien_Rondra,255,FALSE)</f>
        <v>0</v>
      </c>
      <c r="Z442" s="44">
        <f>VLOOKUP(C442,Ausgewählte_Liturgien_Rondra,256,FALSE)</f>
        <v>0</v>
      </c>
      <c r="AA442" s="125">
        <f>VLOOKUP(C442,'Talente &amp; Stuff'!IA:JB,25,FALSE)</f>
        <v>0</v>
      </c>
      <c r="AB442" s="160">
        <f>VLOOKUP(C442,'Talente &amp; Stuff'!IA:JB,26,FALSE)</f>
        <v>0</v>
      </c>
      <c r="AC442" s="127">
        <f>VLOOKUP(C442,'Talente &amp; Stuff'!IA:JB,27,FALSE)</f>
        <v>0</v>
      </c>
      <c r="AD442" s="125">
        <f>VLOOKUP(C442,'Talente &amp; Stuff'!IA:JB,28,FALSE)</f>
        <v>0</v>
      </c>
      <c r="AE442" s="28"/>
    </row>
    <row r="443" spans="1:31" ht="15" hidden="1" customHeight="1" outlineLevel="2">
      <c r="B443" s="137">
        <v>3</v>
      </c>
      <c r="C443" s="177" t="str">
        <f>Attribute!C443</f>
        <v>---</v>
      </c>
      <c r="D443" s="125" t="str">
        <f>VLOOKUP(C443,'Talente &amp; Stuff'!IA:JB,2,FALSE)</f>
        <v>--/--/--</v>
      </c>
      <c r="E443" s="47" t="str">
        <f>VLOOKUP(C443,'Talente &amp; Stuff'!IA:JB,3,FALSE)</f>
        <v>-</v>
      </c>
      <c r="F443" s="114">
        <f>VLOOKUP(C443,'Talente &amp; Stuff'!IA:JB,4,FALSE)</f>
        <v>0</v>
      </c>
      <c r="G443" s="113">
        <f>VLOOKUP(C443,'Talente &amp; Stuff'!IA:JB,5,FALSE)</f>
        <v>0</v>
      </c>
      <c r="H443" s="113">
        <f>VLOOKUP(C443,'Talente &amp; Stuff'!IA:JB,6,FALSE)</f>
        <v>0</v>
      </c>
      <c r="I443" s="113">
        <f>VLOOKUP(C443,'Talente &amp; Stuff'!IA:JB,7,FALSE)</f>
        <v>0</v>
      </c>
      <c r="J443" s="113">
        <f>VLOOKUP(C443,'Talente &amp; Stuff'!IA:JB,8,FALSE)</f>
        <v>0</v>
      </c>
      <c r="K443" s="113">
        <f>VLOOKUP(C443,'Talente &amp; Stuff'!IA:JB,9,FALSE)</f>
        <v>0</v>
      </c>
      <c r="L443" s="113">
        <f>VLOOKUP(C443,'Talente &amp; Stuff'!IA:JB,10,FALSE)</f>
        <v>0</v>
      </c>
      <c r="M443" s="119">
        <f>VLOOKUP(C443,'Talente &amp; Stuff'!IA:JB,11,FALSE)</f>
        <v>0</v>
      </c>
      <c r="N443" s="47">
        <f>VLOOKUP(C443,'Talente &amp; Stuff'!IA:JB,12,FALSE)</f>
        <v>0</v>
      </c>
      <c r="O443" s="47">
        <f>VLOOKUP(C443,'Talente &amp; Stuff'!IA:JB,13,FALSE)</f>
        <v>0</v>
      </c>
      <c r="P443" s="113">
        <f>VLOOKUP(C443,'Talente &amp; Stuff'!IA:JB,14,FALSE)</f>
        <v>0</v>
      </c>
      <c r="Q443" s="114">
        <f>VLOOKUP(C443,'Talente &amp; Stuff'!IA:JB,15,FALSE)</f>
        <v>0</v>
      </c>
      <c r="R443" s="113">
        <f>VLOOKUP(C443,'Talente &amp; Stuff'!IA:JB,16,FALSE)</f>
        <v>0</v>
      </c>
      <c r="S443" s="119">
        <f>VLOOKUP(C443,'Talente &amp; Stuff'!IA:JB,17,FALSE)</f>
        <v>0</v>
      </c>
      <c r="T443" s="160">
        <f>VLOOKUP(C443,'Talente &amp; Stuff'!IA:JB,18,FALSE)</f>
        <v>0</v>
      </c>
      <c r="U443" s="89">
        <f>VLOOKUP(C443,'Talente &amp; Stuff'!IA:JB,19,FALSE)</f>
        <v>0</v>
      </c>
      <c r="V443" s="47">
        <f>VLOOKUP(C443,'Talente &amp; Stuff'!IA:JB,20,FALSE)</f>
        <v>0</v>
      </c>
      <c r="W443" s="127">
        <f>VLOOKUP(C443,'Talente &amp; Stuff'!IA:JB,21,FALSE)</f>
        <v>0</v>
      </c>
      <c r="X443" s="127">
        <f>VLOOKUP(C443,'Talente &amp; Stuff'!IA:JB,22,FALSE)</f>
        <v>0</v>
      </c>
      <c r="Y443" s="165">
        <f>VLOOKUP(C443,Ausgewählte_Liturgien_Rondra,255,FALSE)</f>
        <v>0</v>
      </c>
      <c r="Z443" s="44">
        <f>VLOOKUP(C443,Ausgewählte_Liturgien_Rondra,256,FALSE)</f>
        <v>0</v>
      </c>
      <c r="AA443" s="125">
        <f>VLOOKUP(C443,'Talente &amp; Stuff'!IA:JB,25,FALSE)</f>
        <v>0</v>
      </c>
      <c r="AB443" s="160">
        <f>VLOOKUP(C443,'Talente &amp; Stuff'!IA:JB,26,FALSE)</f>
        <v>0</v>
      </c>
      <c r="AC443" s="127">
        <f>VLOOKUP(C443,'Talente &amp; Stuff'!IA:JB,27,FALSE)</f>
        <v>0</v>
      </c>
      <c r="AD443" s="125">
        <f>VLOOKUP(C443,'Talente &amp; Stuff'!IA:JB,28,FALSE)</f>
        <v>0</v>
      </c>
      <c r="AE443" s="28"/>
    </row>
    <row r="444" spans="1:31" ht="15" hidden="1" customHeight="1" outlineLevel="2">
      <c r="B444" s="148">
        <v>4</v>
      </c>
      <c r="C444" s="178" t="str">
        <f>Attribute!C444</f>
        <v>---</v>
      </c>
      <c r="D444" s="159" t="str">
        <f>VLOOKUP(C444,'Talente &amp; Stuff'!IA:JB,2,FALSE)</f>
        <v>--/--/--</v>
      </c>
      <c r="E444" s="88" t="str">
        <f>VLOOKUP(C444,'Talente &amp; Stuff'!IA:JB,3,FALSE)</f>
        <v>-</v>
      </c>
      <c r="F444" s="115">
        <f>VLOOKUP(C444,'Talente &amp; Stuff'!IA:JB,4,FALSE)</f>
        <v>0</v>
      </c>
      <c r="G444" s="122">
        <f>VLOOKUP(C444,'Talente &amp; Stuff'!IA:JB,5,FALSE)</f>
        <v>0</v>
      </c>
      <c r="H444" s="122">
        <f>VLOOKUP(C444,'Talente &amp; Stuff'!IA:JB,6,FALSE)</f>
        <v>0</v>
      </c>
      <c r="I444" s="122">
        <f>VLOOKUP(C444,'Talente &amp; Stuff'!IA:JB,7,FALSE)</f>
        <v>0</v>
      </c>
      <c r="J444" s="122">
        <f>VLOOKUP(C444,'Talente &amp; Stuff'!IA:JB,8,FALSE)</f>
        <v>0</v>
      </c>
      <c r="K444" s="122">
        <f>VLOOKUP(C444,'Talente &amp; Stuff'!IA:JB,9,FALSE)</f>
        <v>0</v>
      </c>
      <c r="L444" s="122">
        <f>VLOOKUP(C444,'Talente &amp; Stuff'!IA:JB,10,FALSE)</f>
        <v>0</v>
      </c>
      <c r="M444" s="123">
        <f>VLOOKUP(C444,'Talente &amp; Stuff'!IA:JB,11,FALSE)</f>
        <v>0</v>
      </c>
      <c r="N444" s="88">
        <f>VLOOKUP(C444,'Talente &amp; Stuff'!IA:JB,12,FALSE)</f>
        <v>0</v>
      </c>
      <c r="O444" s="88">
        <f>VLOOKUP(C444,'Talente &amp; Stuff'!IA:JB,13,FALSE)</f>
        <v>0</v>
      </c>
      <c r="P444" s="122">
        <f>VLOOKUP(C444,'Talente &amp; Stuff'!IA:JB,14,FALSE)</f>
        <v>0</v>
      </c>
      <c r="Q444" s="115">
        <f>VLOOKUP(C444,'Talente &amp; Stuff'!IA:JB,15,FALSE)</f>
        <v>0</v>
      </c>
      <c r="R444" s="122">
        <f>VLOOKUP(C444,'Talente &amp; Stuff'!IA:JB,16,FALSE)</f>
        <v>0</v>
      </c>
      <c r="S444" s="123">
        <f>VLOOKUP(C444,'Talente &amp; Stuff'!IA:JB,17,FALSE)</f>
        <v>0</v>
      </c>
      <c r="T444" s="161">
        <f>VLOOKUP(C444,'Talente &amp; Stuff'!IA:JB,18,FALSE)</f>
        <v>0</v>
      </c>
      <c r="U444" s="90">
        <f>VLOOKUP(C444,'Talente &amp; Stuff'!IA:JB,19,FALSE)</f>
        <v>0</v>
      </c>
      <c r="V444" s="88">
        <f>VLOOKUP(C444,'Talente &amp; Stuff'!IA:JB,20,FALSE)</f>
        <v>0</v>
      </c>
      <c r="W444" s="128">
        <f>VLOOKUP(C444,'Talente &amp; Stuff'!IA:JB,21,FALSE)</f>
        <v>0</v>
      </c>
      <c r="X444" s="128">
        <f>VLOOKUP(C444,'Talente &amp; Stuff'!IA:JB,22,FALSE)</f>
        <v>0</v>
      </c>
      <c r="Y444" s="165">
        <f>VLOOKUP(C444,Ausgewählte_Liturgien_Rondra,255,FALSE)</f>
        <v>0</v>
      </c>
      <c r="Z444" s="44">
        <f>VLOOKUP(C444,Ausgewählte_Liturgien_Rondra,256,FALSE)</f>
        <v>0</v>
      </c>
      <c r="AA444" s="159">
        <f>VLOOKUP(C444,'Talente &amp; Stuff'!IA:JB,25,FALSE)</f>
        <v>0</v>
      </c>
      <c r="AB444" s="161">
        <f>VLOOKUP(C444,'Talente &amp; Stuff'!IA:JB,26,FALSE)</f>
        <v>0</v>
      </c>
      <c r="AC444" s="128">
        <f>VLOOKUP(C444,'Talente &amp; Stuff'!IA:JB,27,FALSE)</f>
        <v>0</v>
      </c>
      <c r="AD444" s="159">
        <f>VLOOKUP(C444,'Talente &amp; Stuff'!IA:JB,28,FALSE)</f>
        <v>0</v>
      </c>
      <c r="AE444" s="28"/>
    </row>
    <row r="445" spans="1:31" ht="15.75" hidden="1" customHeight="1" outlineLevel="1" collapsed="1" thickBot="1"/>
    <row r="446" spans="1:31" ht="15.75" collapsed="1" thickBot="1">
      <c r="A446" s="135" t="s">
        <v>269</v>
      </c>
      <c r="X446" s="140"/>
    </row>
    <row r="447" spans="1:31" ht="15" hidden="1" customHeight="1" outlineLevel="1">
      <c r="B447" s="134" t="s">
        <v>327</v>
      </c>
    </row>
    <row r="448" spans="1:31" ht="15" hidden="1" customHeight="1" outlineLevel="2">
      <c r="B448" s="148">
        <v>1</v>
      </c>
      <c r="C448" s="176" t="str">
        <f>Attribute!C448</f>
        <v>---</v>
      </c>
      <c r="D448" s="158" t="str">
        <f>VLOOKUP(C448,'Talente &amp; Stuff'!IA:JB,2,FALSE)</f>
        <v>--/--/--</v>
      </c>
      <c r="E448" s="126" t="str">
        <f>VLOOKUP(C448,'Talente &amp; Stuff'!IA:JB,3,FALSE)</f>
        <v>-</v>
      </c>
      <c r="F448" s="191">
        <f>VLOOKUP(C448,'Talente &amp; Stuff'!IA:JB,4,FALSE)</f>
        <v>0</v>
      </c>
      <c r="G448" s="118">
        <f>VLOOKUP(C448,'Talente &amp; Stuff'!IA:JB,5,FALSE)</f>
        <v>0</v>
      </c>
      <c r="H448" s="118">
        <f>VLOOKUP(C448,'Talente &amp; Stuff'!IA:JB,6,FALSE)</f>
        <v>0</v>
      </c>
      <c r="I448" s="118">
        <f>VLOOKUP(C448,'Talente &amp; Stuff'!IA:JB,7,FALSE)</f>
        <v>0</v>
      </c>
      <c r="J448" s="118">
        <f>VLOOKUP(C448,'Talente &amp; Stuff'!IA:JB,8,FALSE)</f>
        <v>0</v>
      </c>
      <c r="K448" s="118">
        <f>VLOOKUP(C448,'Talente &amp; Stuff'!IA:JB,9,FALSE)</f>
        <v>0</v>
      </c>
      <c r="L448" s="118">
        <f>VLOOKUP(C448,'Talente &amp; Stuff'!IA:JB,10,FALSE)</f>
        <v>0</v>
      </c>
      <c r="M448" s="92">
        <f>VLOOKUP(C448,'Talente &amp; Stuff'!IA:JB,11,FALSE)</f>
        <v>0</v>
      </c>
      <c r="N448" s="116">
        <f>VLOOKUP(C448,'Talente &amp; Stuff'!IA:JB,12,FALSE)</f>
        <v>0</v>
      </c>
      <c r="O448" s="116">
        <f>VLOOKUP(C448,'Talente &amp; Stuff'!IA:JB,13,FALSE)</f>
        <v>0</v>
      </c>
      <c r="P448" s="92">
        <f>VLOOKUP(C448,'Talente &amp; Stuff'!IA:JB,14,FALSE)</f>
        <v>0</v>
      </c>
      <c r="Q448" s="191">
        <f>VLOOKUP(C448,'Talente &amp; Stuff'!IA:JB,15,FALSE)</f>
        <v>0</v>
      </c>
      <c r="R448" s="118">
        <f>VLOOKUP(C448,'Talente &amp; Stuff'!IA:JB,16,FALSE)</f>
        <v>0</v>
      </c>
      <c r="S448" s="92">
        <f>VLOOKUP(C448,'Talente &amp; Stuff'!IA:JB,17,FALSE)</f>
        <v>0</v>
      </c>
      <c r="T448" s="92">
        <f>VLOOKUP(C448,'Talente &amp; Stuff'!IA:JB,18,FALSE)</f>
        <v>0</v>
      </c>
      <c r="U448" s="193">
        <f>VLOOKUP(C448,'Talente &amp; Stuff'!IA:JB,19,FALSE)</f>
        <v>0</v>
      </c>
      <c r="V448" s="116">
        <f>VLOOKUP(C448,'Talente &amp; Stuff'!IA:JB,20,FALSE)</f>
        <v>0</v>
      </c>
      <c r="W448" s="126">
        <f>VLOOKUP(C448,'Talente &amp; Stuff'!IA:JB,21,FALSE)</f>
        <v>0</v>
      </c>
      <c r="X448" s="126">
        <f>VLOOKUP(C448,'Talente &amp; Stuff'!IA:JB,22,FALSE)</f>
        <v>0</v>
      </c>
      <c r="Y448" s="165">
        <f>VLOOKUP(C448,Ausgewählte_Zeremonien_Allgemein,255,FALSE)</f>
        <v>0</v>
      </c>
      <c r="Z448" s="44">
        <f>VLOOKUP(C448,Ausgewählte_Zeremonien_Allgemein,256,FALSE)</f>
        <v>0</v>
      </c>
      <c r="AA448" s="158">
        <f>VLOOKUP(C448,'Talente &amp; Stuff'!IA:JB,25,FALSE)</f>
        <v>0</v>
      </c>
      <c r="AB448" s="91">
        <f>VLOOKUP(C448,'Talente &amp; Stuff'!IA:JB,26,FALSE)</f>
        <v>0</v>
      </c>
      <c r="AC448" s="126">
        <f>VLOOKUP(C448,'Talente &amp; Stuff'!IA:JB,27,FALSE)</f>
        <v>0</v>
      </c>
      <c r="AD448" s="158">
        <f>VLOOKUP(C448,'Talente &amp; Stuff'!IA:JB,28,FALSE)</f>
        <v>0</v>
      </c>
      <c r="AE448" s="28"/>
    </row>
    <row r="449" spans="2:31" ht="15" hidden="1" customHeight="1" outlineLevel="2">
      <c r="B449" s="148">
        <v>2</v>
      </c>
      <c r="C449" s="178" t="str">
        <f>Attribute!C449</f>
        <v>---</v>
      </c>
      <c r="D449" s="159" t="str">
        <f>VLOOKUP(C449,'Talente &amp; Stuff'!IA:JB,2,FALSE)</f>
        <v>--/--/--</v>
      </c>
      <c r="E449" s="128" t="str">
        <f>VLOOKUP(C449,'Talente &amp; Stuff'!IA:JB,3,FALSE)</f>
        <v>-</v>
      </c>
      <c r="F449" s="115">
        <f>VLOOKUP(C449,'Talente &amp; Stuff'!IA:JB,4,FALSE)</f>
        <v>0</v>
      </c>
      <c r="G449" s="122">
        <f>VLOOKUP(C449,'Talente &amp; Stuff'!IA:JB,5,FALSE)</f>
        <v>0</v>
      </c>
      <c r="H449" s="122">
        <f>VLOOKUP(C449,'Talente &amp; Stuff'!IA:JB,6,FALSE)</f>
        <v>0</v>
      </c>
      <c r="I449" s="122">
        <f>VLOOKUP(C449,'Talente &amp; Stuff'!IA:JB,7,FALSE)</f>
        <v>0</v>
      </c>
      <c r="J449" s="122">
        <f>VLOOKUP(C449,'Talente &amp; Stuff'!IA:JB,8,FALSE)</f>
        <v>0</v>
      </c>
      <c r="K449" s="122">
        <f>VLOOKUP(C449,'Talente &amp; Stuff'!IA:JB,9,FALSE)</f>
        <v>0</v>
      </c>
      <c r="L449" s="122">
        <f>VLOOKUP(C449,'Talente &amp; Stuff'!IA:JB,10,FALSE)</f>
        <v>0</v>
      </c>
      <c r="M449" s="123">
        <f>VLOOKUP(C449,'Talente &amp; Stuff'!IA:JB,11,FALSE)</f>
        <v>0</v>
      </c>
      <c r="N449" s="88">
        <f>VLOOKUP(C449,'Talente &amp; Stuff'!IA:JB,12,FALSE)</f>
        <v>0</v>
      </c>
      <c r="O449" s="88">
        <f>VLOOKUP(C449,'Talente &amp; Stuff'!IA:JB,13,FALSE)</f>
        <v>0</v>
      </c>
      <c r="P449" s="123">
        <f>VLOOKUP(C449,'Talente &amp; Stuff'!IA:JB,14,FALSE)</f>
        <v>0</v>
      </c>
      <c r="Q449" s="115">
        <f>VLOOKUP(C449,'Talente &amp; Stuff'!IA:JB,15,FALSE)</f>
        <v>0</v>
      </c>
      <c r="R449" s="122">
        <f>VLOOKUP(C449,'Talente &amp; Stuff'!IA:JB,16,FALSE)</f>
        <v>0</v>
      </c>
      <c r="S449" s="123">
        <f>VLOOKUP(C449,'Talente &amp; Stuff'!IA:JB,17,FALSE)</f>
        <v>0</v>
      </c>
      <c r="T449" s="123">
        <f>VLOOKUP(C449,'Talente &amp; Stuff'!IA:JB,18,FALSE)</f>
        <v>0</v>
      </c>
      <c r="U449" s="90">
        <f>VLOOKUP(C449,'Talente &amp; Stuff'!IA:JB,19,FALSE)</f>
        <v>0</v>
      </c>
      <c r="V449" s="88">
        <f>VLOOKUP(C449,'Talente &amp; Stuff'!IA:JB,20,FALSE)</f>
        <v>0</v>
      </c>
      <c r="W449" s="128">
        <f>VLOOKUP(C449,'Talente &amp; Stuff'!IA:JB,21,FALSE)</f>
        <v>0</v>
      </c>
      <c r="X449" s="128">
        <f>VLOOKUP(C449,'Talente &amp; Stuff'!IA:JB,22,FALSE)</f>
        <v>0</v>
      </c>
      <c r="Y449" s="165">
        <f>VLOOKUP(C449,Ausgewählte_Zeremonien_Allgemein,255,FALSE)</f>
        <v>0</v>
      </c>
      <c r="Z449" s="44">
        <f>VLOOKUP(C449,Ausgewählte_Zeremonien_Allgemein,256,FALSE)</f>
        <v>0</v>
      </c>
      <c r="AA449" s="159">
        <f>VLOOKUP(C449,'Talente &amp; Stuff'!IA:JB,25,FALSE)</f>
        <v>0</v>
      </c>
      <c r="AB449" s="161">
        <f>VLOOKUP(C449,'Talente &amp; Stuff'!IA:JB,26,FALSE)</f>
        <v>0</v>
      </c>
      <c r="AC449" s="128">
        <f>VLOOKUP(C449,'Talente &amp; Stuff'!IA:JB,27,FALSE)</f>
        <v>0</v>
      </c>
      <c r="AD449" s="159">
        <f>VLOOKUP(C449,'Talente &amp; Stuff'!IA:JB,28,FALSE)</f>
        <v>0</v>
      </c>
      <c r="AE449" s="28"/>
    </row>
    <row r="450" spans="2:31" ht="15" hidden="1" customHeight="1" outlineLevel="1" collapsed="1">
      <c r="B450" s="134" t="s">
        <v>326</v>
      </c>
      <c r="C450" s="83"/>
      <c r="D450" s="84"/>
      <c r="E450" s="84"/>
    </row>
    <row r="451" spans="2:31" ht="15" hidden="1" customHeight="1" outlineLevel="2">
      <c r="B451" s="148">
        <v>0</v>
      </c>
      <c r="C451" s="134"/>
      <c r="D451" s="40"/>
      <c r="E451" s="182"/>
      <c r="F451" s="17"/>
      <c r="G451" s="183"/>
      <c r="H451" s="183"/>
      <c r="I451" s="183"/>
      <c r="J451" s="183"/>
      <c r="K451" s="183"/>
      <c r="L451" s="183"/>
      <c r="M451" s="180"/>
      <c r="N451" s="179"/>
      <c r="O451" s="179"/>
      <c r="P451" s="180"/>
      <c r="Q451" s="17"/>
      <c r="R451" s="183"/>
      <c r="S451" s="180"/>
      <c r="T451" s="180"/>
      <c r="U451" s="166"/>
      <c r="V451" s="179"/>
      <c r="W451" s="182"/>
      <c r="X451" s="182"/>
      <c r="Y451" s="134"/>
      <c r="Z451" s="44"/>
      <c r="AA451" s="40"/>
      <c r="AB451" s="189"/>
      <c r="AC451" s="182"/>
      <c r="AD451" s="40"/>
    </row>
    <row r="452" spans="2:31" ht="15" hidden="1" customHeight="1" outlineLevel="1" collapsed="1">
      <c r="B452" s="134" t="s">
        <v>325</v>
      </c>
      <c r="C452" s="83"/>
      <c r="D452" s="84"/>
      <c r="E452" s="84"/>
    </row>
    <row r="453" spans="2:31" ht="15" hidden="1" customHeight="1" outlineLevel="2">
      <c r="B453" s="148">
        <v>0</v>
      </c>
      <c r="C453" s="134"/>
      <c r="D453" s="40"/>
      <c r="E453" s="182"/>
      <c r="F453" s="17"/>
      <c r="G453" s="183"/>
      <c r="H453" s="183"/>
      <c r="I453" s="183"/>
      <c r="J453" s="183"/>
      <c r="K453" s="183"/>
      <c r="L453" s="183"/>
      <c r="M453" s="180"/>
      <c r="N453" s="179"/>
      <c r="O453" s="179"/>
      <c r="P453" s="180"/>
      <c r="Q453" s="17"/>
      <c r="R453" s="183"/>
      <c r="S453" s="180"/>
      <c r="T453" s="180"/>
      <c r="U453" s="166"/>
      <c r="V453" s="179"/>
      <c r="W453" s="182"/>
      <c r="X453" s="182"/>
      <c r="Y453" s="134"/>
      <c r="Z453" s="44"/>
      <c r="AA453" s="40"/>
      <c r="AB453" s="189"/>
      <c r="AC453" s="182"/>
      <c r="AD453" s="40"/>
    </row>
    <row r="454" spans="2:31" ht="15" hidden="1" customHeight="1" outlineLevel="1" collapsed="1">
      <c r="B454" s="134" t="s">
        <v>324</v>
      </c>
      <c r="C454" s="83"/>
      <c r="D454" s="84"/>
      <c r="E454" s="84"/>
    </row>
    <row r="455" spans="2:31" ht="15" hidden="1" customHeight="1" outlineLevel="2">
      <c r="B455" s="148">
        <v>1</v>
      </c>
      <c r="C455" s="200" t="str">
        <f>Attribute!C455</f>
        <v>---</v>
      </c>
      <c r="D455" s="40" t="str">
        <f>VLOOKUP(C455,'Talente &amp; Stuff'!IA:JB,2,FALSE)</f>
        <v>--/--/--</v>
      </c>
      <c r="E455" s="182" t="str">
        <f>VLOOKUP(C455,'Talente &amp; Stuff'!IA:JB,3,FALSE)</f>
        <v>-</v>
      </c>
      <c r="F455" s="17">
        <f>VLOOKUP(C455,'Talente &amp; Stuff'!IA:JB,4,FALSE)</f>
        <v>0</v>
      </c>
      <c r="G455" s="183">
        <f>VLOOKUP(C455,'Talente &amp; Stuff'!IA:JB,5,FALSE)</f>
        <v>0</v>
      </c>
      <c r="H455" s="183">
        <f>VLOOKUP(C455,'Talente &amp; Stuff'!IA:JB,6,FALSE)</f>
        <v>0</v>
      </c>
      <c r="I455" s="183">
        <f>VLOOKUP(C455,'Talente &amp; Stuff'!IA:JB,7,FALSE)</f>
        <v>0</v>
      </c>
      <c r="J455" s="183">
        <f>VLOOKUP(C455,'Talente &amp; Stuff'!IA:JB,8,FALSE)</f>
        <v>0</v>
      </c>
      <c r="K455" s="183">
        <f>VLOOKUP(C455,'Talente &amp; Stuff'!IA:JB,9,FALSE)</f>
        <v>0</v>
      </c>
      <c r="L455" s="183">
        <f>VLOOKUP(C455,'Talente &amp; Stuff'!IA:JB,10,FALSE)</f>
        <v>0</v>
      </c>
      <c r="M455" s="180">
        <f>VLOOKUP(C455,'Talente &amp; Stuff'!IA:JB,11,FALSE)</f>
        <v>0</v>
      </c>
      <c r="N455" s="179">
        <f>VLOOKUP(C455,'Talente &amp; Stuff'!IA:JB,12,FALSE)</f>
        <v>0</v>
      </c>
      <c r="O455" s="179">
        <f>VLOOKUP(C455,'Talente &amp; Stuff'!IA:JB,13,FALSE)</f>
        <v>0</v>
      </c>
      <c r="P455" s="180">
        <f>VLOOKUP(C455,'Talente &amp; Stuff'!IA:JB,14,FALSE)</f>
        <v>0</v>
      </c>
      <c r="Q455" s="17">
        <f>VLOOKUP(C455,'Talente &amp; Stuff'!IA:JB,15,FALSE)</f>
        <v>0</v>
      </c>
      <c r="R455" s="183">
        <f>VLOOKUP(C455,'Talente &amp; Stuff'!IA:JB,16,FALSE)</f>
        <v>0</v>
      </c>
      <c r="S455" s="180">
        <f>VLOOKUP(C455,'Talente &amp; Stuff'!IA:JB,17,FALSE)</f>
        <v>0</v>
      </c>
      <c r="T455" s="180">
        <f>VLOOKUP(C455,'Talente &amp; Stuff'!IA:JB,18,FALSE)</f>
        <v>0</v>
      </c>
      <c r="U455" s="166">
        <f>VLOOKUP(C455,'Talente &amp; Stuff'!IA:JB,19,FALSE)</f>
        <v>0</v>
      </c>
      <c r="V455" s="179">
        <f>VLOOKUP(C455,'Talente &amp; Stuff'!IA:JB,20,FALSE)</f>
        <v>0</v>
      </c>
      <c r="W455" s="182">
        <f>VLOOKUP(C455,'Talente &amp; Stuff'!IA:JB,21,FALSE)</f>
        <v>0</v>
      </c>
      <c r="X455" s="182">
        <f>VLOOKUP(C455,'Talente &amp; Stuff'!IA:JB,22,FALSE)</f>
        <v>0</v>
      </c>
      <c r="Y455" s="165">
        <f>VLOOKUP(C455,Ausgewählte_Zeremonien_Peraine,255,FALSE)</f>
        <v>0</v>
      </c>
      <c r="Z455" s="44">
        <f>VLOOKUP(C455,Ausgewählte_Zeremonien_Peraine,256,FALSE)</f>
        <v>0</v>
      </c>
      <c r="AA455" s="40">
        <f>VLOOKUP(C455,'Talente &amp; Stuff'!IA:JB,25,FALSE)</f>
        <v>0</v>
      </c>
      <c r="AB455" s="189">
        <f>VLOOKUP(C455,'Talente &amp; Stuff'!IA:JB,26,FALSE)</f>
        <v>0</v>
      </c>
      <c r="AC455" s="182">
        <f>VLOOKUP(C455,'Talente &amp; Stuff'!IA:JB,27,FALSE)</f>
        <v>0</v>
      </c>
      <c r="AD455" s="40">
        <f>VLOOKUP(C455,'Talente &amp; Stuff'!IA:JB,28,FALSE)</f>
        <v>0</v>
      </c>
      <c r="AE455" s="28"/>
    </row>
    <row r="456" spans="2:31" ht="15" hidden="1" customHeight="1" outlineLevel="1" collapsed="1">
      <c r="B456" s="134" t="s">
        <v>323</v>
      </c>
      <c r="C456" s="83"/>
      <c r="D456" s="84"/>
      <c r="E456" s="84"/>
    </row>
    <row r="457" spans="2:31" ht="15" hidden="1" customHeight="1" outlineLevel="2">
      <c r="B457" s="148">
        <v>1</v>
      </c>
      <c r="C457" s="200" t="str">
        <f>Attribute!C457</f>
        <v>---</v>
      </c>
      <c r="D457" s="40" t="str">
        <f>VLOOKUP(C457,'Talente &amp; Stuff'!IA:JB,2,FALSE)</f>
        <v>--/--/--</v>
      </c>
      <c r="E457" s="182" t="str">
        <f>VLOOKUP(C457,'Talente &amp; Stuff'!IA:JB,3,FALSE)</f>
        <v>-</v>
      </c>
      <c r="F457" s="17">
        <f>VLOOKUP(C457,'Talente &amp; Stuff'!IA:JB,4,FALSE)</f>
        <v>0</v>
      </c>
      <c r="G457" s="183">
        <f>VLOOKUP(C457,'Talente &amp; Stuff'!IA:JB,5,FALSE)</f>
        <v>0</v>
      </c>
      <c r="H457" s="183">
        <f>VLOOKUP(C457,'Talente &amp; Stuff'!IA:JB,6,FALSE)</f>
        <v>0</v>
      </c>
      <c r="I457" s="183">
        <f>VLOOKUP(C457,'Talente &amp; Stuff'!IA:JB,7,FALSE)</f>
        <v>0</v>
      </c>
      <c r="J457" s="183">
        <f>VLOOKUP(C457,'Talente &amp; Stuff'!IA:JB,8,FALSE)</f>
        <v>0</v>
      </c>
      <c r="K457" s="183">
        <f>VLOOKUP(C457,'Talente &amp; Stuff'!IA:JB,9,FALSE)</f>
        <v>0</v>
      </c>
      <c r="L457" s="183">
        <f>VLOOKUP(C457,'Talente &amp; Stuff'!IA:JB,10,FALSE)</f>
        <v>0</v>
      </c>
      <c r="M457" s="180">
        <f>VLOOKUP(C457,'Talente &amp; Stuff'!IA:JB,11,FALSE)</f>
        <v>0</v>
      </c>
      <c r="N457" s="179">
        <f>VLOOKUP(C457,'Talente &amp; Stuff'!IA:JB,12,FALSE)</f>
        <v>0</v>
      </c>
      <c r="O457" s="179">
        <f>VLOOKUP(C457,'Talente &amp; Stuff'!IA:JB,13,FALSE)</f>
        <v>0</v>
      </c>
      <c r="P457" s="180">
        <f>VLOOKUP(C457,'Talente &amp; Stuff'!IA:JB,14,FALSE)</f>
        <v>0</v>
      </c>
      <c r="Q457" s="17">
        <f>VLOOKUP(C457,'Talente &amp; Stuff'!IA:JB,15,FALSE)</f>
        <v>0</v>
      </c>
      <c r="R457" s="183">
        <f>VLOOKUP(C457,'Talente &amp; Stuff'!IA:JB,16,FALSE)</f>
        <v>0</v>
      </c>
      <c r="S457" s="180">
        <f>VLOOKUP(C457,'Talente &amp; Stuff'!IA:JB,17,FALSE)</f>
        <v>0</v>
      </c>
      <c r="T457" s="180">
        <f>VLOOKUP(C457,'Talente &amp; Stuff'!IA:JB,18,FALSE)</f>
        <v>0</v>
      </c>
      <c r="U457" s="166">
        <f>VLOOKUP(C457,'Talente &amp; Stuff'!IA:JB,19,FALSE)</f>
        <v>0</v>
      </c>
      <c r="V457" s="179">
        <f>VLOOKUP(C457,'Talente &amp; Stuff'!IA:JB,20,FALSE)</f>
        <v>0</v>
      </c>
      <c r="W457" s="182">
        <f>VLOOKUP(C457,'Talente &amp; Stuff'!IA:JB,21,FALSE)</f>
        <v>0</v>
      </c>
      <c r="X457" s="182">
        <f>VLOOKUP(C457,'Talente &amp; Stuff'!IA:JB,22,FALSE)</f>
        <v>0</v>
      </c>
      <c r="Y457" s="165">
        <f>VLOOKUP(C457,Ausgewählte_Zeremonien_Phex,255,FALSE)</f>
        <v>0</v>
      </c>
      <c r="Z457" s="44">
        <f>VLOOKUP(C457,Ausgewählte_Zeremonien_Phex,256,FALSE)</f>
        <v>0</v>
      </c>
      <c r="AA457" s="40">
        <f>VLOOKUP(C457,'Talente &amp; Stuff'!IA:JB,25,FALSE)</f>
        <v>0</v>
      </c>
      <c r="AB457" s="189">
        <f>VLOOKUP(C457,'Talente &amp; Stuff'!IA:JB,26,FALSE)</f>
        <v>0</v>
      </c>
      <c r="AC457" s="182">
        <f>VLOOKUP(C457,'Talente &amp; Stuff'!IA:JB,27,FALSE)</f>
        <v>0</v>
      </c>
      <c r="AD457" s="40">
        <f>VLOOKUP(C457,'Talente &amp; Stuff'!IA:JB,28,FALSE)</f>
        <v>0</v>
      </c>
      <c r="AE457" s="28"/>
    </row>
    <row r="458" spans="2:31" ht="15" hidden="1" customHeight="1" outlineLevel="1" collapsed="1">
      <c r="B458" s="134" t="s">
        <v>322</v>
      </c>
      <c r="C458" s="83"/>
      <c r="D458" s="84"/>
      <c r="E458" s="84"/>
    </row>
    <row r="459" spans="2:31" ht="15" hidden="1" customHeight="1" outlineLevel="2">
      <c r="B459" s="148">
        <v>0</v>
      </c>
      <c r="C459" s="134"/>
      <c r="D459" s="40"/>
      <c r="E459" s="182"/>
      <c r="F459" s="17"/>
      <c r="G459" s="183"/>
      <c r="H459" s="183"/>
      <c r="I459" s="183"/>
      <c r="J459" s="183"/>
      <c r="K459" s="183"/>
      <c r="L459" s="183"/>
      <c r="M459" s="180"/>
      <c r="N459" s="179"/>
      <c r="O459" s="179"/>
      <c r="P459" s="180"/>
      <c r="Q459" s="17"/>
      <c r="R459" s="183"/>
      <c r="S459" s="180"/>
      <c r="T459" s="180"/>
      <c r="U459" s="166"/>
      <c r="V459" s="179"/>
      <c r="W459" s="182"/>
      <c r="X459" s="182"/>
      <c r="Y459" s="134"/>
      <c r="Z459" s="44"/>
      <c r="AA459" s="40"/>
      <c r="AB459" s="189"/>
      <c r="AC459" s="182"/>
      <c r="AD459" s="40"/>
    </row>
    <row r="460" spans="2:31" ht="15" hidden="1" customHeight="1" outlineLevel="1" collapsed="1">
      <c r="B460" s="134" t="s">
        <v>321</v>
      </c>
      <c r="C460" s="83"/>
      <c r="D460" s="84"/>
      <c r="E460" s="84"/>
    </row>
    <row r="461" spans="2:31" ht="15" hidden="1" customHeight="1" outlineLevel="2">
      <c r="B461" s="148">
        <v>1</v>
      </c>
      <c r="C461" s="176" t="str">
        <f>Attribute!C461</f>
        <v>---</v>
      </c>
      <c r="D461" s="158" t="str">
        <f>VLOOKUP(C461,'Talente &amp; Stuff'!IA:JB,2,FALSE)</f>
        <v>--/--/--</v>
      </c>
      <c r="E461" s="126" t="str">
        <f>VLOOKUP(C461,'Talente &amp; Stuff'!IA:JB,3,FALSE)</f>
        <v>-</v>
      </c>
      <c r="F461" s="191">
        <f>VLOOKUP(C461,'Talente &amp; Stuff'!IA:JB,4,FALSE)</f>
        <v>0</v>
      </c>
      <c r="G461" s="118">
        <f>VLOOKUP(C461,'Talente &amp; Stuff'!IA:JB,5,FALSE)</f>
        <v>0</v>
      </c>
      <c r="H461" s="118">
        <f>VLOOKUP(C461,'Talente &amp; Stuff'!IA:JB,6,FALSE)</f>
        <v>0</v>
      </c>
      <c r="I461" s="118">
        <f>VLOOKUP(C461,'Talente &amp; Stuff'!IA:JB,7,FALSE)</f>
        <v>0</v>
      </c>
      <c r="J461" s="118">
        <f>VLOOKUP(C461,'Talente &amp; Stuff'!IA:JB,8,FALSE)</f>
        <v>0</v>
      </c>
      <c r="K461" s="118">
        <f>VLOOKUP(C461,'Talente &amp; Stuff'!IA:JB,9,FALSE)</f>
        <v>0</v>
      </c>
      <c r="L461" s="118">
        <f>VLOOKUP(C461,'Talente &amp; Stuff'!IA:JB,10,FALSE)</f>
        <v>0</v>
      </c>
      <c r="M461" s="92">
        <f>VLOOKUP(C461,'Talente &amp; Stuff'!IA:JB,11,FALSE)</f>
        <v>0</v>
      </c>
      <c r="N461" s="116">
        <f>VLOOKUP(C461,'Talente &amp; Stuff'!IA:JB,12,FALSE)</f>
        <v>0</v>
      </c>
      <c r="O461" s="116">
        <f>VLOOKUP(C461,'Talente &amp; Stuff'!IA:JB,13,FALSE)</f>
        <v>0</v>
      </c>
      <c r="P461" s="92">
        <f>VLOOKUP(C461,'Talente &amp; Stuff'!IA:JB,14,FALSE)</f>
        <v>0</v>
      </c>
      <c r="Q461" s="191">
        <f>VLOOKUP(C461,'Talente &amp; Stuff'!IA:JB,15,FALSE)</f>
        <v>0</v>
      </c>
      <c r="R461" s="118">
        <f>VLOOKUP(C461,'Talente &amp; Stuff'!IA:JB,16,FALSE)</f>
        <v>0</v>
      </c>
      <c r="S461" s="92">
        <f>VLOOKUP(C461,'Talente &amp; Stuff'!IA:JB,17,FALSE)</f>
        <v>0</v>
      </c>
      <c r="T461" s="92">
        <f>VLOOKUP(C461,'Talente &amp; Stuff'!IA:JB,18,FALSE)</f>
        <v>0</v>
      </c>
      <c r="U461" s="193">
        <f>VLOOKUP(C461,'Talente &amp; Stuff'!IA:JB,19,FALSE)</f>
        <v>0</v>
      </c>
      <c r="V461" s="116">
        <f>VLOOKUP(C461,'Talente &amp; Stuff'!IA:JB,20,FALSE)</f>
        <v>0</v>
      </c>
      <c r="W461" s="126">
        <f>VLOOKUP(C461,'Talente &amp; Stuff'!IA:JB,21,FALSE)</f>
        <v>0</v>
      </c>
      <c r="X461" s="126">
        <f>VLOOKUP(C461,'Talente &amp; Stuff'!IA:JB,22,FALSE)</f>
        <v>0</v>
      </c>
      <c r="Y461" s="165">
        <f>VLOOKUP(C461,Ausgewählte_Zeremonien_Rondra,255,FALSE)</f>
        <v>0</v>
      </c>
      <c r="Z461" s="44">
        <f>VLOOKUP(C461,Ausgewählte_Zeremonien_Rondra,256,FALSE)</f>
        <v>0</v>
      </c>
      <c r="AA461" s="158">
        <f>VLOOKUP(C461,'Talente &amp; Stuff'!IA:JB,25,FALSE)</f>
        <v>0</v>
      </c>
      <c r="AB461" s="91">
        <f>VLOOKUP(C461,'Talente &amp; Stuff'!IA:JB,26,FALSE)</f>
        <v>0</v>
      </c>
      <c r="AC461" s="126">
        <f>VLOOKUP(C461,'Talente &amp; Stuff'!IA:JB,27,FALSE)</f>
        <v>0</v>
      </c>
      <c r="AD461" s="158">
        <f>VLOOKUP(C461,'Talente &amp; Stuff'!IA:JB,28,FALSE)</f>
        <v>0</v>
      </c>
      <c r="AE461" s="28"/>
    </row>
    <row r="462" spans="2:31" ht="15" hidden="1" customHeight="1" outlineLevel="2">
      <c r="B462" s="148">
        <v>2</v>
      </c>
      <c r="C462" s="178" t="str">
        <f>Attribute!C462</f>
        <v>---</v>
      </c>
      <c r="D462" s="159" t="str">
        <f>VLOOKUP(C462,'Talente &amp; Stuff'!IA:JB,2,FALSE)</f>
        <v>--/--/--</v>
      </c>
      <c r="E462" s="128" t="str">
        <f>VLOOKUP(C462,'Talente &amp; Stuff'!IA:JB,3,FALSE)</f>
        <v>-</v>
      </c>
      <c r="F462" s="115">
        <f>VLOOKUP(C462,'Talente &amp; Stuff'!IA:JB,4,FALSE)</f>
        <v>0</v>
      </c>
      <c r="G462" s="122">
        <f>VLOOKUP(C462,'Talente &amp; Stuff'!IA:JB,5,FALSE)</f>
        <v>0</v>
      </c>
      <c r="H462" s="122">
        <f>VLOOKUP(C462,'Talente &amp; Stuff'!IA:JB,6,FALSE)</f>
        <v>0</v>
      </c>
      <c r="I462" s="122">
        <f>VLOOKUP(C462,'Talente &amp; Stuff'!IA:JB,7,FALSE)</f>
        <v>0</v>
      </c>
      <c r="J462" s="122">
        <f>VLOOKUP(C462,'Talente &amp; Stuff'!IA:JB,8,FALSE)</f>
        <v>0</v>
      </c>
      <c r="K462" s="122">
        <f>VLOOKUP(C462,'Talente &amp; Stuff'!IA:JB,9,FALSE)</f>
        <v>0</v>
      </c>
      <c r="L462" s="122">
        <f>VLOOKUP(C462,'Talente &amp; Stuff'!IA:JB,10,FALSE)</f>
        <v>0</v>
      </c>
      <c r="M462" s="123">
        <f>VLOOKUP(C462,'Talente &amp; Stuff'!IA:JB,11,FALSE)</f>
        <v>0</v>
      </c>
      <c r="N462" s="88">
        <f>VLOOKUP(C462,'Talente &amp; Stuff'!IA:JB,12,FALSE)</f>
        <v>0</v>
      </c>
      <c r="O462" s="88">
        <f>VLOOKUP(C462,'Talente &amp; Stuff'!IA:JB,13,FALSE)</f>
        <v>0</v>
      </c>
      <c r="P462" s="123">
        <f>VLOOKUP(C462,'Talente &amp; Stuff'!IA:JB,14,FALSE)</f>
        <v>0</v>
      </c>
      <c r="Q462" s="115">
        <f>VLOOKUP(C462,'Talente &amp; Stuff'!IA:JB,15,FALSE)</f>
        <v>0</v>
      </c>
      <c r="R462" s="122">
        <f>VLOOKUP(C462,'Talente &amp; Stuff'!IA:JB,16,FALSE)</f>
        <v>0</v>
      </c>
      <c r="S462" s="123">
        <f>VLOOKUP(C462,'Talente &amp; Stuff'!IA:JB,17,FALSE)</f>
        <v>0</v>
      </c>
      <c r="T462" s="123">
        <f>VLOOKUP(C462,'Talente &amp; Stuff'!IA:JB,18,FALSE)</f>
        <v>0</v>
      </c>
      <c r="U462" s="90">
        <f>VLOOKUP(C462,'Talente &amp; Stuff'!IA:JB,19,FALSE)</f>
        <v>0</v>
      </c>
      <c r="V462" s="88">
        <f>VLOOKUP(C462,'Talente &amp; Stuff'!IA:JB,20,FALSE)</f>
        <v>0</v>
      </c>
      <c r="W462" s="128">
        <f>VLOOKUP(C462,'Talente &amp; Stuff'!IA:JB,21,FALSE)</f>
        <v>0</v>
      </c>
      <c r="X462" s="128">
        <f>VLOOKUP(C462,'Talente &amp; Stuff'!IA:JB,22,FALSE)</f>
        <v>0</v>
      </c>
      <c r="Y462" s="165">
        <f>VLOOKUP(C462,Ausgewählte_Zeremonien_Rondra,255,FALSE)</f>
        <v>0</v>
      </c>
      <c r="Z462" s="44">
        <f>VLOOKUP(C462,Ausgewählte_Zeremonien_Rondra,256,FALSE)</f>
        <v>0</v>
      </c>
      <c r="AA462" s="159">
        <f>VLOOKUP(C462,'Talente &amp; Stuff'!IA:JB,25,FALSE)</f>
        <v>0</v>
      </c>
      <c r="AB462" s="161">
        <f>VLOOKUP(C462,'Talente &amp; Stuff'!IA:JB,26,FALSE)</f>
        <v>0</v>
      </c>
      <c r="AC462" s="128">
        <f>VLOOKUP(C462,'Talente &amp; Stuff'!IA:JB,27,FALSE)</f>
        <v>0</v>
      </c>
      <c r="AD462" s="159">
        <f>VLOOKUP(C462,'Talente &amp; Stuff'!IA:JB,28,FALSE)</f>
        <v>0</v>
      </c>
      <c r="AE462" s="28"/>
    </row>
    <row r="463" spans="2:31" ht="15" hidden="1" customHeight="1" outlineLevel="1" collapsed="1"/>
    <row r="464" spans="2:31" collapsed="1"/>
    <row r="465" spans="3:31" ht="15.75" thickBot="1">
      <c r="C465" s="196"/>
      <c r="D465" s="4"/>
      <c r="E465" s="4"/>
      <c r="F465" s="6"/>
      <c r="G465" s="6"/>
      <c r="H465" s="6"/>
      <c r="I465" s="6"/>
      <c r="J465" s="6"/>
      <c r="K465" s="6"/>
      <c r="L465" s="6"/>
      <c r="M465" s="6"/>
      <c r="N465" s="4"/>
      <c r="O465" s="48"/>
      <c r="P465" s="6"/>
      <c r="Q465" s="101">
        <f>IFERROR(SUM(Q11:Q463)/COUNTIF(Q11:Q463,"&gt;0"),0)</f>
        <v>0</v>
      </c>
      <c r="R465" s="101">
        <f>IFERROR(SUM(R11:R463)/COUNTIF(R11:R463,"&gt;0"),0)</f>
        <v>0</v>
      </c>
      <c r="S465" s="101">
        <f>IFERROR(SUM(S11:S463)/COUNTIF(S11:S463,"&gt;0"),0)</f>
        <v>0</v>
      </c>
      <c r="T465" s="101">
        <f>Q465+R465+S465</f>
        <v>0</v>
      </c>
      <c r="U465" s="4"/>
      <c r="V465" s="4"/>
      <c r="W465" s="4"/>
      <c r="X465" s="4"/>
      <c r="Y465" s="74"/>
      <c r="Z465" s="1"/>
      <c r="AA465" s="4"/>
      <c r="AB465" s="6"/>
      <c r="AC465" s="4"/>
      <c r="AD465" s="27"/>
      <c r="AE465" s="28"/>
    </row>
    <row r="466" spans="3:31" ht="15.75" thickBot="1">
      <c r="C466" s="196"/>
      <c r="D466" s="4"/>
      <c r="E466" s="4"/>
      <c r="F466" s="274" t="s">
        <v>117</v>
      </c>
      <c r="G466" s="275"/>
      <c r="H466" s="275"/>
      <c r="I466" s="275"/>
      <c r="J466" s="275"/>
      <c r="K466" s="275"/>
      <c r="L466" s="276">
        <f>AVERAGE(F468:M468)</f>
        <v>0</v>
      </c>
      <c r="M466" s="277"/>
      <c r="N466" s="4"/>
      <c r="O466" s="4"/>
      <c r="P466" s="6"/>
      <c r="Q466" s="102" t="s">
        <v>113</v>
      </c>
      <c r="R466" s="102" t="s">
        <v>113</v>
      </c>
      <c r="S466" s="102" t="s">
        <v>113</v>
      </c>
      <c r="T466" s="102" t="s">
        <v>113</v>
      </c>
      <c r="U466" s="4"/>
      <c r="V466" s="4"/>
      <c r="W466" s="20" t="s">
        <v>117</v>
      </c>
      <c r="X466" s="19">
        <f>IFERROR(X468/COUNTIF(X11:X463,"&gt;0"),0)</f>
        <v>0</v>
      </c>
      <c r="Y466" s="204">
        <f>IFERROR(Y468/COUNTIF(Y11:Y463,"&gt;0"),0)</f>
        <v>0</v>
      </c>
      <c r="Z466" s="13">
        <f>IFERROR(Z468/COUNTIF(Z11:Z463,"&gt;0"),0)</f>
        <v>0</v>
      </c>
      <c r="AA466" s="19">
        <f>IFERROR(AA468/COUNTIF(AA11:AA463,"&gt;0"),0)</f>
        <v>0</v>
      </c>
      <c r="AB466" s="19">
        <f>IFERROR(SUM(AB11:AB464)/COUNTIF(AB11:AB464,"&gt;0"),0)</f>
        <v>0</v>
      </c>
      <c r="AC466" s="19">
        <f>IFERROR(SUM(AC11:AC464)/COUNTIF(AC11:AC464,"&gt;0"),0)</f>
        <v>0</v>
      </c>
      <c r="AD466" s="24">
        <f>IFERROR(SUM(AD11:AD464)/COUNTIF(AD11:AD464,"&gt;0"),0)</f>
        <v>0</v>
      </c>
      <c r="AE466" s="28"/>
    </row>
    <row r="467" spans="3:31" ht="15.75" thickBot="1">
      <c r="C467" s="196"/>
      <c r="D467" s="4"/>
      <c r="E467" s="4"/>
      <c r="F467" s="65"/>
      <c r="G467" s="65"/>
      <c r="H467" s="65"/>
      <c r="I467" s="65"/>
      <c r="J467" s="65"/>
      <c r="K467" s="65"/>
      <c r="L467" s="65"/>
      <c r="M467" s="65"/>
      <c r="N467" s="4"/>
      <c r="O467" s="4"/>
      <c r="P467" s="6"/>
      <c r="Q467" s="103">
        <f>Konvention_1master^3</f>
        <v>8000</v>
      </c>
      <c r="R467" s="103">
        <f>Konvention_1master^3</f>
        <v>8000</v>
      </c>
      <c r="S467" s="103">
        <f>Konvention_1master^3</f>
        <v>8000</v>
      </c>
      <c r="T467" s="103">
        <f>Konvention_1master^3</f>
        <v>8000</v>
      </c>
      <c r="U467" s="4"/>
      <c r="V467" s="4"/>
      <c r="W467" s="4"/>
      <c r="X467" s="1"/>
      <c r="Y467" s="74"/>
      <c r="Z467" s="1"/>
      <c r="AA467" s="35"/>
      <c r="AB467" s="22"/>
      <c r="AC467" s="35"/>
      <c r="AD467" s="36"/>
      <c r="AE467" s="28"/>
    </row>
    <row r="468" spans="3:31">
      <c r="C468" s="196"/>
      <c r="D468" s="4"/>
      <c r="E468" s="4"/>
      <c r="F468" s="66">
        <f t="shared" ref="F468:P468" si="38">SUM(F11:F463)</f>
        <v>0</v>
      </c>
      <c r="G468" s="66">
        <f t="shared" si="38"/>
        <v>0</v>
      </c>
      <c r="H468" s="66">
        <f t="shared" si="38"/>
        <v>0</v>
      </c>
      <c r="I468" s="66">
        <f t="shared" si="38"/>
        <v>0</v>
      </c>
      <c r="J468" s="66">
        <f t="shared" si="38"/>
        <v>0</v>
      </c>
      <c r="K468" s="66">
        <f t="shared" si="38"/>
        <v>0</v>
      </c>
      <c r="L468" s="66">
        <f t="shared" si="38"/>
        <v>0</v>
      </c>
      <c r="M468" s="66">
        <f t="shared" si="38"/>
        <v>0</v>
      </c>
      <c r="N468" s="10">
        <f t="shared" si="38"/>
        <v>0</v>
      </c>
      <c r="O468" s="11">
        <f t="shared" si="38"/>
        <v>0</v>
      </c>
      <c r="P468" s="104">
        <f t="shared" si="38"/>
        <v>0</v>
      </c>
      <c r="Q468" s="143">
        <f>Q465/Q467</f>
        <v>0</v>
      </c>
      <c r="R468" s="144">
        <f>R465/R467</f>
        <v>0</v>
      </c>
      <c r="S468" s="145">
        <f>S465/S467</f>
        <v>0</v>
      </c>
      <c r="T468" s="146">
        <f>Q468+R468+S468</f>
        <v>0</v>
      </c>
      <c r="U468" s="7">
        <f>IFERROR(N468*Q465/T465,0)</f>
        <v>0</v>
      </c>
      <c r="V468" s="8">
        <f>IFERROR(O468*R465/T465,0)</f>
        <v>0</v>
      </c>
      <c r="W468" s="9">
        <f>IFERROR(P468*S465/T465,0)</f>
        <v>0</v>
      </c>
      <c r="X468" s="7">
        <f>SUMIF(X11:X463,"&gt;0")</f>
        <v>0</v>
      </c>
      <c r="Y468" s="25">
        <f>SUM(Y11:Y463)</f>
        <v>0</v>
      </c>
      <c r="Z468" s="21">
        <f>SUM(Z11:Z463)</f>
        <v>0</v>
      </c>
      <c r="AA468" s="12">
        <f>IFERROR(SUMIF(AA11:AA463,"&gt;0"),0)</f>
        <v>0</v>
      </c>
      <c r="AB468" s="16">
        <f>SUM(AB11:AB463)</f>
        <v>0</v>
      </c>
      <c r="AC468" s="15">
        <f>SUM(AC11:AC463)</f>
        <v>0</v>
      </c>
      <c r="AD468" s="15">
        <f>IFERROR(SUMIF(AD11:AD463,"&gt;0"),0)</f>
        <v>0</v>
      </c>
      <c r="AE468" s="28"/>
    </row>
    <row r="469" spans="3:31" ht="15.75" thickBot="1">
      <c r="C469" s="196"/>
      <c r="D469" s="4"/>
      <c r="E469" s="4"/>
      <c r="F469" s="278" t="s">
        <v>118</v>
      </c>
      <c r="G469" s="279"/>
      <c r="H469" s="279"/>
      <c r="I469" s="279"/>
      <c r="J469" s="279"/>
      <c r="K469" s="279"/>
      <c r="L469" s="279"/>
      <c r="M469" s="280"/>
      <c r="N469" s="281" t="s">
        <v>116</v>
      </c>
      <c r="O469" s="282"/>
      <c r="P469" s="283"/>
      <c r="Q469" s="284" t="s">
        <v>112</v>
      </c>
      <c r="R469" s="285"/>
      <c r="S469" s="286"/>
      <c r="T469" s="80" t="s">
        <v>145</v>
      </c>
      <c r="U469" s="263" t="s">
        <v>123</v>
      </c>
      <c r="V469" s="264"/>
      <c r="W469" s="265"/>
      <c r="X469" s="195" t="s">
        <v>121</v>
      </c>
      <c r="Y469" s="75" t="s">
        <v>122</v>
      </c>
      <c r="Z469" s="49" t="s">
        <v>124</v>
      </c>
      <c r="AA469" s="50" t="s">
        <v>131</v>
      </c>
      <c r="AB469" s="80" t="s">
        <v>154</v>
      </c>
      <c r="AC469" s="50" t="s">
        <v>156</v>
      </c>
      <c r="AD469" s="51" t="s">
        <v>136</v>
      </c>
      <c r="AE469" s="28"/>
    </row>
    <row r="470" spans="3:31">
      <c r="C470" s="196"/>
      <c r="Y470" s="76"/>
      <c r="Z470" s="1"/>
    </row>
    <row r="471" spans="3:31">
      <c r="C471" s="196"/>
      <c r="Y471" s="76"/>
      <c r="Z471" s="1"/>
    </row>
    <row r="472" spans="3:31">
      <c r="C472" s="196"/>
      <c r="Y472" s="76"/>
      <c r="Z472" s="1"/>
    </row>
    <row r="473" spans="3:31">
      <c r="C473" s="196"/>
      <c r="Y473" s="76"/>
      <c r="Z473" s="1"/>
    </row>
    <row r="474" spans="3:31">
      <c r="C474" s="196"/>
      <c r="Y474" s="76"/>
      <c r="Z474" s="1"/>
    </row>
    <row r="475" spans="3:31">
      <c r="C475" s="196"/>
      <c r="Y475" s="76"/>
      <c r="Z475" s="1"/>
    </row>
    <row r="476" spans="3:31">
      <c r="C476" s="148"/>
      <c r="Y476" s="76"/>
      <c r="Z476" s="1"/>
    </row>
    <row r="477" spans="3:31">
      <c r="C477" s="148"/>
      <c r="Y477" s="76"/>
      <c r="Z477" s="1"/>
    </row>
    <row r="478" spans="3:31">
      <c r="C478" s="148"/>
      <c r="Y478" s="77"/>
      <c r="Z478" s="1"/>
    </row>
    <row r="479" spans="3:31">
      <c r="C479" s="148"/>
      <c r="Y479" s="70"/>
      <c r="Z479" s="1"/>
    </row>
    <row r="480" spans="3:31">
      <c r="C480" s="148"/>
      <c r="Y480" s="65"/>
      <c r="Z480" s="1"/>
    </row>
    <row r="481" spans="3:26">
      <c r="C481" s="196"/>
      <c r="Y481" s="65"/>
      <c r="Z481" s="1"/>
    </row>
    <row r="482" spans="3:26">
      <c r="Y482" s="65"/>
      <c r="Z482" s="1"/>
    </row>
    <row r="483" spans="3:26">
      <c r="Y483" s="65"/>
      <c r="Z483" s="1"/>
    </row>
    <row r="484" spans="3:26">
      <c r="Y484" s="65"/>
      <c r="Z484" s="1"/>
    </row>
    <row r="485" spans="3:26">
      <c r="Y485" s="65"/>
      <c r="Z485" s="1"/>
    </row>
    <row r="486" spans="3:26">
      <c r="Y486" s="65"/>
      <c r="Z486" s="1"/>
    </row>
    <row r="487" spans="3:26">
      <c r="Y487" s="65"/>
      <c r="Z487" s="1"/>
    </row>
    <row r="488" spans="3:26">
      <c r="Y488" s="65"/>
      <c r="Z488" s="1"/>
    </row>
    <row r="489" spans="3:26">
      <c r="Y489" s="65"/>
      <c r="Z489" s="1"/>
    </row>
    <row r="490" spans="3:26">
      <c r="Y490" s="65"/>
      <c r="Z490" s="1"/>
    </row>
    <row r="491" spans="3:26">
      <c r="Y491" s="65"/>
      <c r="Z491" s="1"/>
    </row>
    <row r="492" spans="3:26">
      <c r="Y492" s="65"/>
      <c r="Z492" s="1"/>
    </row>
    <row r="493" spans="3:26">
      <c r="Y493" s="65"/>
      <c r="Z493" s="1"/>
    </row>
    <row r="494" spans="3:26">
      <c r="Y494" s="199"/>
      <c r="Z494" s="199"/>
    </row>
    <row r="495" spans="3:26">
      <c r="Y495" s="199"/>
      <c r="Z495" s="199"/>
    </row>
    <row r="496" spans="3:26">
      <c r="Y496" s="199"/>
      <c r="Z496" s="199"/>
    </row>
    <row r="497" spans="25:26">
      <c r="Y497" s="199"/>
      <c r="Z497" s="199"/>
    </row>
    <row r="498" spans="25:26">
      <c r="Y498" s="199"/>
      <c r="Z498" s="199"/>
    </row>
    <row r="499" spans="25:26">
      <c r="Y499" s="65"/>
      <c r="Z499" s="1"/>
    </row>
  </sheetData>
  <mergeCells count="11">
    <mergeCell ref="U469:W469"/>
    <mergeCell ref="F466:K466"/>
    <mergeCell ref="L466:M466"/>
    <mergeCell ref="F469:M469"/>
    <mergeCell ref="N469:P469"/>
    <mergeCell ref="Q469:S469"/>
    <mergeCell ref="F4:M4"/>
    <mergeCell ref="F7:M7"/>
    <mergeCell ref="N7:P7"/>
    <mergeCell ref="Q7:S7"/>
    <mergeCell ref="U7:W7"/>
  </mergeCells>
  <conditionalFormatting sqref="C11:C24 C26:C34 C36:C42 C44:C55 C57:C73 C78:C98 C100:C126 C128:C151 C153:C211 C213:C257 C259 C461:C462 C352:C355 C357:C365 C367:C374 C376:C386 C388:C389 C391 C393:C395 C400:C402 C404:C409 C411:C417 C419:C423 C425:C432 C434:C439 C441:C444 C448:C449 C455 C457 C323:C348 C261:C296 C298:C321">
    <cfRule type="notContainsErrors" dxfId="7" priority="22">
      <formula>NOT(ISERROR(C11))</formula>
    </cfRule>
  </conditionalFormatting>
  <conditionalFormatting sqref="R5">
    <cfRule type="colorScale" priority="16">
      <colorScale>
        <cfvo type="min" val="0"/>
        <cfvo type="num" val="0"/>
        <cfvo type="max" val="0"/>
        <color rgb="FFFF0000"/>
        <color rgb="FFFFFF00"/>
        <color rgb="FF00B050"/>
      </colorScale>
    </cfRule>
  </conditionalFormatting>
  <conditionalFormatting sqref="F468:M468 L466">
    <cfRule type="colorScale" priority="15">
      <colorScale>
        <cfvo type="min" val="0"/>
        <cfvo type="num" val="$L$466"/>
        <cfvo type="max" val="0"/>
        <color rgb="FF63BE7B"/>
        <color rgb="FFFFEB84"/>
        <color rgb="FFF8696B"/>
      </colorScale>
    </cfRule>
  </conditionalFormatting>
  <conditionalFormatting sqref="Z11:Z466">
    <cfRule type="colorScale" priority="14">
      <colorScale>
        <cfvo type="min" val="0"/>
        <cfvo type="formula" val="noch_benötigte_Punkte_Avg/2"/>
        <cfvo type="max" val="0"/>
        <color rgb="FF00B050"/>
        <color rgb="FFFFFF00"/>
        <color rgb="FFFF0000"/>
      </colorScale>
    </cfRule>
  </conditionalFormatting>
  <conditionalFormatting sqref="AC11:AC466">
    <cfRule type="colorScale" priority="13">
      <colorScale>
        <cfvo type="min" val="0"/>
        <cfvo type="formula" val="AP_noch_Avg/2"/>
        <cfvo type="max" val="0"/>
        <color rgb="FF63BE7B"/>
        <color rgb="FFFFEB84"/>
        <color rgb="FFF8696B"/>
      </colorScale>
    </cfRule>
  </conditionalFormatting>
  <conditionalFormatting sqref="AD11:AD466">
    <cfRule type="colorScale" priority="12">
      <colorScale>
        <cfvo type="num" val="0.01"/>
        <cfvo type="max" val="0"/>
        <color rgb="FF63BE7B"/>
        <color rgb="FFF8696B"/>
      </colorScale>
    </cfRule>
  </conditionalFormatting>
  <conditionalFormatting sqref="C298:C321 C323:C348">
    <cfRule type="notContainsErrors" dxfId="6" priority="10">
      <formula>NOT(ISERROR(C298))</formula>
    </cfRule>
  </conditionalFormatting>
  <conditionalFormatting sqref="C298:C321 C323:C348">
    <cfRule type="notContainsErrors" dxfId="5" priority="6">
      <formula>NOT(ISERROR(C298))</formula>
    </cfRule>
  </conditionalFormatting>
  <conditionalFormatting sqref="C298:C321 C323:C348">
    <cfRule type="notContainsErrors" dxfId="4" priority="5">
      <formula>NOT(ISERROR(C298))</formula>
    </cfRule>
  </conditionalFormatting>
  <conditionalFormatting sqref="C261:C296 C298:C321 C323:C348">
    <cfRule type="notContainsErrors" dxfId="3" priority="4">
      <formula>NOT(ISERROR(C261))</formula>
    </cfRule>
  </conditionalFormatting>
  <conditionalFormatting sqref="C298:C321 C323:C348">
    <cfRule type="notContainsErrors" dxfId="2" priority="3">
      <formula>NOT(ISERROR(C298))</formula>
    </cfRule>
  </conditionalFormatting>
  <conditionalFormatting sqref="C298:C321 C323:C348">
    <cfRule type="notContainsErrors" dxfId="1" priority="2">
      <formula>NOT(ISERROR(C298))</formula>
    </cfRule>
  </conditionalFormatting>
  <conditionalFormatting sqref="C298:C321 C323:C348">
    <cfRule type="notContainsErrors" dxfId="0" priority="1">
      <formula>NOT(ISERROR(C298))</formula>
    </cfRule>
  </conditionalFormatting>
  <dataValidations count="5">
    <dataValidation type="list" allowBlank="1" showInputMessage="1" showErrorMessage="1" sqref="C357:C365 C213:C257 C393:C395 C352:C355 C57:C73 C400:C402 C404:C409 C411:C417 C419:C423 C425:C432 C434:C439 C441:C444 C448:C449 C455 C457 C461:C462 C128:C151 C259 C78:C98 C100:C126 C367:C374 C376:C386 C388:C389 C391 C153:C211 C261:C296 C298:C321 C323:C348">
      <formula1>Talente_Handwerkstalente</formula1>
    </dataValidation>
    <dataValidation type="list" allowBlank="1" showInputMessage="1" showErrorMessage="1" sqref="C11:C24">
      <formula1>Talente_Körpertalente</formula1>
    </dataValidation>
    <dataValidation type="list" allowBlank="1" showInputMessage="1" showErrorMessage="1" sqref="C26:C34">
      <formula1>Talente_Gesellschaftstalente</formula1>
    </dataValidation>
    <dataValidation type="list" allowBlank="1" showInputMessage="1" showErrorMessage="1" sqref="C36:C42">
      <formula1>Talente_Naturtalente</formula1>
    </dataValidation>
    <dataValidation type="list" allowBlank="1" showInputMessage="1" showErrorMessage="1" sqref="C44:C55">
      <formula1>Talente_Wissenstalente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FFFF"/>
  </sheetPr>
  <dimension ref="A7:JE466"/>
  <sheetViews>
    <sheetView zoomScaleNormal="100" workbookViewId="0"/>
  </sheetViews>
  <sheetFormatPr baseColWidth="10" defaultColWidth="9.140625" defaultRowHeight="15" outlineLevelRow="2" outlineLevelCol="1"/>
  <cols>
    <col min="1" max="1" width="11.85546875" style="148" customWidth="1"/>
    <col min="2" max="2" width="19.28515625" style="148" bestFit="1" customWidth="1"/>
    <col min="3" max="3" width="31.7109375" style="217" customWidth="1"/>
    <col min="4" max="4" width="13.140625" style="201" customWidth="1"/>
    <col min="5" max="5" width="2.28515625" style="201" customWidth="1"/>
    <col min="6" max="13" width="9.28515625" style="148" customWidth="1"/>
    <col min="14" max="16" width="15.42578125" style="217" hidden="1" customWidth="1" outlineLevel="1"/>
    <col min="17" max="17" width="12.42578125" style="217" hidden="1" customWidth="1" outlineLevel="1"/>
    <col min="18" max="18" width="12.42578125" style="148" hidden="1" customWidth="1" outlineLevel="1"/>
    <col min="19" max="19" width="12.42578125" style="217" hidden="1" customWidth="1" outlineLevel="1"/>
    <col min="20" max="20" width="23.5703125" style="217" hidden="1" customWidth="1" outlineLevel="1"/>
    <col min="21" max="23" width="13" style="217" hidden="1" customWidth="1" outlineLevel="1"/>
    <col min="24" max="24" width="24" style="217" hidden="1" customWidth="1" outlineLevel="1"/>
    <col min="25" max="25" width="18.42578125" style="217" customWidth="1" collapsed="1"/>
    <col min="26" max="26" width="21.5703125" style="148" customWidth="1"/>
    <col min="27" max="27" width="11.85546875" style="148" bestFit="1" customWidth="1"/>
    <col min="28" max="28" width="11" style="148" bestFit="1" customWidth="1"/>
    <col min="29" max="29" width="13.42578125" style="148" customWidth="1"/>
    <col min="30" max="30" width="14.42578125" style="148" customWidth="1"/>
    <col min="31" max="31" width="17.42578125" style="148" customWidth="1"/>
    <col min="32" max="32" width="31.7109375" style="148" hidden="1" customWidth="1" outlineLevel="1"/>
    <col min="33" max="33" width="11.28515625" style="148" hidden="1" customWidth="1" outlineLevel="1"/>
    <col min="34" max="34" width="2.28515625" style="148" hidden="1" customWidth="1" outlineLevel="1"/>
    <col min="35" max="42" width="3" style="148" hidden="1" customWidth="1" outlineLevel="1"/>
    <col min="43" max="44" width="5.5703125" style="148" hidden="1" customWidth="1" outlineLevel="1"/>
    <col min="45" max="45" width="3" style="148" hidden="1" customWidth="1" outlineLevel="1"/>
    <col min="46" max="49" width="5" style="148" hidden="1" customWidth="1" outlineLevel="1"/>
    <col min="50" max="50" width="4.5703125" style="148" hidden="1" customWidth="1" outlineLevel="1"/>
    <col min="51" max="51" width="5.5703125" style="148" hidden="1" customWidth="1" outlineLevel="1"/>
    <col min="52" max="52" width="4.5703125" style="148" hidden="1" customWidth="1" outlineLevel="1"/>
    <col min="53" max="53" width="5.5703125" style="148" hidden="1" customWidth="1" outlineLevel="1"/>
    <col min="54" max="54" width="3" style="148" hidden="1" customWidth="1" outlineLevel="1"/>
    <col min="55" max="55" width="5.5703125" style="148" hidden="1" customWidth="1" outlineLevel="1"/>
    <col min="56" max="56" width="6.5703125" style="148" hidden="1" customWidth="1" outlineLevel="1"/>
    <col min="57" max="57" width="4" style="148" hidden="1" customWidth="1" outlineLevel="1"/>
    <col min="58" max="58" width="6.5703125" style="217" hidden="1" customWidth="1" outlineLevel="1"/>
    <col min="59" max="59" width="4.5703125" style="217" hidden="1" customWidth="1" outlineLevel="1"/>
    <col min="60" max="60" width="9.140625" style="217" hidden="1" customWidth="1" outlineLevel="1"/>
    <col min="61" max="61" width="31.7109375" style="217" hidden="1" customWidth="1" outlineLevel="1"/>
    <col min="62" max="62" width="11.28515625" style="217" hidden="1" customWidth="1" outlineLevel="1"/>
    <col min="63" max="63" width="2.28515625" style="217" hidden="1" customWidth="1" outlineLevel="1"/>
    <col min="64" max="71" width="3" style="217" hidden="1" customWidth="1" outlineLevel="1"/>
    <col min="72" max="73" width="5.5703125" style="217" hidden="1" customWidth="1" outlineLevel="1"/>
    <col min="74" max="74" width="3" style="217" hidden="1" customWidth="1" outlineLevel="1"/>
    <col min="75" max="78" width="5" style="217" hidden="1" customWidth="1" outlineLevel="1"/>
    <col min="79" max="79" width="4.5703125" style="217" hidden="1" customWidth="1" outlineLevel="1"/>
    <col min="80" max="80" width="5.5703125" style="217" hidden="1" customWidth="1" outlineLevel="1"/>
    <col min="81" max="81" width="4.5703125" style="217" hidden="1" customWidth="1" outlineLevel="1"/>
    <col min="82" max="82" width="5.5703125" style="217" hidden="1" customWidth="1" outlineLevel="1"/>
    <col min="83" max="83" width="3" style="217" hidden="1" customWidth="1" outlineLevel="1"/>
    <col min="84" max="84" width="5.5703125" style="217" hidden="1" customWidth="1" outlineLevel="1"/>
    <col min="85" max="85" width="6.5703125" style="217" hidden="1" customWidth="1" outlineLevel="1"/>
    <col min="86" max="86" width="4" style="217" hidden="1" customWidth="1" outlineLevel="1"/>
    <col min="87" max="87" width="6.5703125" style="217" hidden="1" customWidth="1" outlineLevel="1"/>
    <col min="88" max="88" width="4.5703125" style="217" hidden="1" customWidth="1" outlineLevel="1"/>
    <col min="89" max="89" width="9.140625" style="217" hidden="1" customWidth="1" outlineLevel="1"/>
    <col min="90" max="90" width="31.7109375" style="217" hidden="1" customWidth="1" outlineLevel="1"/>
    <col min="91" max="91" width="11.28515625" style="217" hidden="1" customWidth="1" outlineLevel="1"/>
    <col min="92" max="92" width="2.28515625" style="217" hidden="1" customWidth="1" outlineLevel="1"/>
    <col min="93" max="100" width="3" style="217" hidden="1" customWidth="1" outlineLevel="1"/>
    <col min="101" max="102" width="5.5703125" style="217" hidden="1" customWidth="1" outlineLevel="1"/>
    <col min="103" max="103" width="3" style="217" hidden="1" customWidth="1" outlineLevel="1"/>
    <col min="104" max="107" width="5" style="217" hidden="1" customWidth="1" outlineLevel="1"/>
    <col min="108" max="108" width="4.5703125" style="217" hidden="1" customWidth="1" outlineLevel="1"/>
    <col min="109" max="109" width="5.5703125" style="217" hidden="1" customWidth="1" outlineLevel="1"/>
    <col min="110" max="110" width="4.5703125" style="217" hidden="1" customWidth="1" outlineLevel="1"/>
    <col min="111" max="111" width="5.5703125" style="217" hidden="1" customWidth="1" outlineLevel="1"/>
    <col min="112" max="112" width="3" style="217" hidden="1" customWidth="1" outlineLevel="1"/>
    <col min="113" max="113" width="5.5703125" style="217" hidden="1" customWidth="1" outlineLevel="1"/>
    <col min="114" max="114" width="6.5703125" style="217" hidden="1" customWidth="1" outlineLevel="1"/>
    <col min="115" max="115" width="4" style="217" hidden="1" customWidth="1" outlineLevel="1"/>
    <col min="116" max="116" width="6.5703125" style="217" hidden="1" customWidth="1" outlineLevel="1"/>
    <col min="117" max="117" width="4.5703125" style="217" hidden="1" customWidth="1" outlineLevel="1"/>
    <col min="118" max="118" width="9.140625" style="217" hidden="1" customWidth="1" outlineLevel="1"/>
    <col min="119" max="119" width="31.7109375" style="217" hidden="1" customWidth="1" outlineLevel="1"/>
    <col min="120" max="120" width="11.28515625" style="217" hidden="1" customWidth="1" outlineLevel="1"/>
    <col min="121" max="121" width="2.28515625" style="217" hidden="1" customWidth="1" outlineLevel="1"/>
    <col min="122" max="129" width="3" style="217" hidden="1" customWidth="1" outlineLevel="1"/>
    <col min="130" max="131" width="5.5703125" style="217" hidden="1" customWidth="1" outlineLevel="1"/>
    <col min="132" max="132" width="3" style="217" hidden="1" customWidth="1" outlineLevel="1"/>
    <col min="133" max="136" width="5" style="217" hidden="1" customWidth="1" outlineLevel="1"/>
    <col min="137" max="137" width="4.5703125" style="217" hidden="1" customWidth="1" outlineLevel="1"/>
    <col min="138" max="138" width="5.5703125" style="217" hidden="1" customWidth="1" outlineLevel="1"/>
    <col min="139" max="139" width="4.5703125" style="217" hidden="1" customWidth="1" outlineLevel="1"/>
    <col min="140" max="140" width="5.5703125" style="217" hidden="1" customWidth="1" outlineLevel="1"/>
    <col min="141" max="141" width="3" style="217" hidden="1" customWidth="1" outlineLevel="1"/>
    <col min="142" max="142" width="5.5703125" style="217" hidden="1" customWidth="1" outlineLevel="1"/>
    <col min="143" max="143" width="6.5703125" style="217" hidden="1" customWidth="1" outlineLevel="1"/>
    <col min="144" max="144" width="4" style="217" hidden="1" customWidth="1" outlineLevel="1"/>
    <col min="145" max="145" width="6.5703125" style="217" hidden="1" customWidth="1" outlineLevel="1"/>
    <col min="146" max="146" width="4.5703125" style="217" hidden="1" customWidth="1" outlineLevel="1"/>
    <col min="147" max="147" width="9.140625" style="217" hidden="1" customWidth="1" outlineLevel="1"/>
    <col min="148" max="148" width="31.7109375" style="217" hidden="1" customWidth="1" outlineLevel="1"/>
    <col min="149" max="149" width="11.28515625" style="217" hidden="1" customWidth="1" outlineLevel="1"/>
    <col min="150" max="150" width="2.28515625" style="217" hidden="1" customWidth="1" outlineLevel="1"/>
    <col min="151" max="158" width="3" style="217" hidden="1" customWidth="1" outlineLevel="1"/>
    <col min="159" max="160" width="5.5703125" style="217" hidden="1" customWidth="1" outlineLevel="1"/>
    <col min="161" max="161" width="3" style="217" hidden="1" customWidth="1" outlineLevel="1"/>
    <col min="162" max="165" width="5" style="217" hidden="1" customWidth="1" outlineLevel="1"/>
    <col min="166" max="166" width="4.5703125" style="217" hidden="1" customWidth="1" outlineLevel="1"/>
    <col min="167" max="167" width="5.5703125" style="217" hidden="1" customWidth="1" outlineLevel="1"/>
    <col min="168" max="168" width="4.5703125" style="217" hidden="1" customWidth="1" outlineLevel="1"/>
    <col min="169" max="169" width="5.5703125" style="217" hidden="1" customWidth="1" outlineLevel="1"/>
    <col min="170" max="170" width="3" style="217" hidden="1" customWidth="1" outlineLevel="1"/>
    <col min="171" max="171" width="5.5703125" style="217" hidden="1" customWidth="1" outlineLevel="1"/>
    <col min="172" max="172" width="6.5703125" style="217" hidden="1" customWidth="1" outlineLevel="1"/>
    <col min="173" max="173" width="4" style="217" hidden="1" customWidth="1" outlineLevel="1"/>
    <col min="174" max="174" width="6.5703125" style="217" hidden="1" customWidth="1" outlineLevel="1"/>
    <col min="175" max="175" width="4.5703125" style="217" hidden="1" customWidth="1" outlineLevel="1"/>
    <col min="176" max="176" width="9.140625" style="217" hidden="1" customWidth="1" outlineLevel="1"/>
    <col min="177" max="177" width="31.7109375" style="217" hidden="1" customWidth="1" outlineLevel="1"/>
    <col min="178" max="178" width="11.28515625" style="217" hidden="1" customWidth="1" outlineLevel="1"/>
    <col min="179" max="179" width="2.28515625" style="217" hidden="1" customWidth="1" outlineLevel="1"/>
    <col min="180" max="187" width="3" style="217" hidden="1" customWidth="1" outlineLevel="1"/>
    <col min="188" max="189" width="5.5703125" style="217" hidden="1" customWidth="1" outlineLevel="1"/>
    <col min="190" max="190" width="3" style="217" hidden="1" customWidth="1" outlineLevel="1"/>
    <col min="191" max="194" width="5" style="217" hidden="1" customWidth="1" outlineLevel="1"/>
    <col min="195" max="195" width="4.5703125" style="217" hidden="1" customWidth="1" outlineLevel="1"/>
    <col min="196" max="196" width="5.5703125" style="217" hidden="1" customWidth="1" outlineLevel="1"/>
    <col min="197" max="197" width="4.5703125" style="217" hidden="1" customWidth="1" outlineLevel="1"/>
    <col min="198" max="198" width="5.5703125" style="217" hidden="1" customWidth="1" outlineLevel="1"/>
    <col min="199" max="199" width="3" style="217" hidden="1" customWidth="1" outlineLevel="1"/>
    <col min="200" max="200" width="5.5703125" style="217" hidden="1" customWidth="1" outlineLevel="1"/>
    <col min="201" max="201" width="6.5703125" style="217" hidden="1" customWidth="1" outlineLevel="1"/>
    <col min="202" max="202" width="4" style="217" hidden="1" customWidth="1" outlineLevel="1"/>
    <col min="203" max="203" width="6.5703125" style="217" hidden="1" customWidth="1" outlineLevel="1"/>
    <col min="204" max="204" width="4.5703125" style="217" hidden="1" customWidth="1" outlineLevel="1"/>
    <col min="205" max="205" width="9.140625" style="217" hidden="1" customWidth="1" outlineLevel="1"/>
    <col min="206" max="206" width="31.7109375" style="217" hidden="1" customWidth="1" outlineLevel="1"/>
    <col min="207" max="207" width="11.28515625" style="217" hidden="1" customWidth="1" outlineLevel="1"/>
    <col min="208" max="208" width="2.28515625" style="217" hidden="1" customWidth="1" outlineLevel="1"/>
    <col min="209" max="216" width="3" style="217" hidden="1" customWidth="1" outlineLevel="1"/>
    <col min="217" max="218" width="5.5703125" style="217" hidden="1" customWidth="1" outlineLevel="1"/>
    <col min="219" max="219" width="3" style="217" hidden="1" customWidth="1" outlineLevel="1"/>
    <col min="220" max="223" width="5" style="217" hidden="1" customWidth="1" outlineLevel="1"/>
    <col min="224" max="224" width="4.5703125" style="217" hidden="1" customWidth="1" outlineLevel="1"/>
    <col min="225" max="225" width="5.5703125" style="217" hidden="1" customWidth="1" outlineLevel="1"/>
    <col min="226" max="226" width="4.5703125" style="217" hidden="1" customWidth="1" outlineLevel="1"/>
    <col min="227" max="227" width="5.5703125" style="217" hidden="1" customWidth="1" outlineLevel="1"/>
    <col min="228" max="228" width="3" style="217" hidden="1" customWidth="1" outlineLevel="1"/>
    <col min="229" max="229" width="5.5703125" style="217" hidden="1" customWidth="1" outlineLevel="1"/>
    <col min="230" max="230" width="6.5703125" style="217" hidden="1" customWidth="1" outlineLevel="1"/>
    <col min="231" max="231" width="4" style="217" hidden="1" customWidth="1" outlineLevel="1"/>
    <col min="232" max="232" width="6.5703125" style="217" hidden="1" customWidth="1" outlineLevel="1"/>
    <col min="233" max="233" width="4.5703125" style="217" hidden="1" customWidth="1" outlineLevel="1"/>
    <col min="234" max="234" width="9.140625" style="217" hidden="1" customWidth="1" outlineLevel="1"/>
    <col min="235" max="235" width="31.7109375" style="217" hidden="1" customWidth="1" outlineLevel="1"/>
    <col min="236" max="236" width="11.28515625" style="217" hidden="1" customWidth="1" outlineLevel="1"/>
    <col min="237" max="237" width="2.28515625" style="217" hidden="1" customWidth="1" outlineLevel="1"/>
    <col min="238" max="245" width="3" style="217" hidden="1" customWidth="1" outlineLevel="1"/>
    <col min="246" max="247" width="5.5703125" style="217" hidden="1" customWidth="1" outlineLevel="1"/>
    <col min="248" max="248" width="3" style="217" hidden="1" customWidth="1" outlineLevel="1"/>
    <col min="249" max="252" width="5" style="217" hidden="1" customWidth="1" outlineLevel="1"/>
    <col min="253" max="253" width="4.5703125" style="217" hidden="1" customWidth="1" outlineLevel="1"/>
    <col min="254" max="254" width="5.5703125" style="217" hidden="1" customWidth="1" outlineLevel="1"/>
    <col min="255" max="255" width="4.5703125" style="217" hidden="1" customWidth="1" outlineLevel="1"/>
    <col min="256" max="256" width="5.5703125" style="217" hidden="1" customWidth="1" outlineLevel="1"/>
    <col min="257" max="257" width="3" style="217" hidden="1" customWidth="1" outlineLevel="1"/>
    <col min="258" max="258" width="5.5703125" style="217" hidden="1" customWidth="1" outlineLevel="1"/>
    <col min="259" max="259" width="6.5703125" style="217" hidden="1" customWidth="1" outlineLevel="1"/>
    <col min="260" max="260" width="4" style="217" hidden="1" customWidth="1" outlineLevel="1"/>
    <col min="261" max="261" width="6.5703125" style="217" hidden="1" customWidth="1" outlineLevel="1"/>
    <col min="262" max="262" width="4.5703125" style="217" hidden="1" customWidth="1" outlineLevel="1"/>
    <col min="263" max="263" width="9.140625" style="148" customWidth="1" collapsed="1"/>
    <col min="264" max="264" width="9.140625" style="148"/>
    <col min="265" max="265" width="9.140625" style="185"/>
    <col min="266" max="16384" width="9.140625" style="148"/>
  </cols>
  <sheetData>
    <row r="7" spans="1:265">
      <c r="A7" s="196"/>
      <c r="B7" s="4"/>
      <c r="C7" s="223"/>
      <c r="D7" s="4"/>
      <c r="E7" s="4"/>
      <c r="F7" s="289" t="s">
        <v>126</v>
      </c>
      <c r="G7" s="290"/>
      <c r="H7" s="290"/>
      <c r="I7" s="290"/>
      <c r="J7" s="290"/>
      <c r="K7" s="290"/>
      <c r="L7" s="290"/>
      <c r="M7" s="291"/>
      <c r="N7" s="295" t="s">
        <v>151</v>
      </c>
      <c r="O7" s="296"/>
      <c r="P7" s="297"/>
      <c r="Q7" s="289" t="s">
        <v>150</v>
      </c>
      <c r="R7" s="290"/>
      <c r="S7" s="291"/>
      <c r="T7" s="78" t="s">
        <v>114</v>
      </c>
      <c r="U7" s="295" t="s">
        <v>152</v>
      </c>
      <c r="V7" s="296"/>
      <c r="W7" s="297"/>
      <c r="X7" s="42" t="s">
        <v>153</v>
      </c>
      <c r="Y7" s="249" t="s">
        <v>138</v>
      </c>
      <c r="Z7" s="41" t="s">
        <v>120</v>
      </c>
      <c r="AA7" s="42" t="s">
        <v>130</v>
      </c>
      <c r="AB7" s="78" t="s">
        <v>130</v>
      </c>
      <c r="AC7" s="42" t="s">
        <v>130</v>
      </c>
      <c r="AD7" s="43" t="s">
        <v>130</v>
      </c>
      <c r="AZ7" s="140"/>
      <c r="BA7" s="140"/>
      <c r="BB7" s="202"/>
      <c r="BC7" s="140"/>
      <c r="BD7" s="140"/>
      <c r="BE7" s="140"/>
      <c r="BF7" s="248"/>
      <c r="BG7" s="248"/>
      <c r="BH7" s="248"/>
      <c r="BI7" s="248"/>
      <c r="BJ7" s="248"/>
      <c r="BK7" s="248"/>
      <c r="BL7" s="248"/>
      <c r="BM7" s="248"/>
      <c r="BN7" s="248"/>
      <c r="BO7" s="248"/>
      <c r="BP7" s="248"/>
      <c r="BQ7" s="248"/>
      <c r="BR7" s="248"/>
      <c r="BS7" s="248"/>
      <c r="BT7" s="248"/>
      <c r="BU7" s="248"/>
      <c r="BV7" s="248"/>
      <c r="BW7" s="248"/>
      <c r="BX7" s="248"/>
      <c r="BY7" s="248"/>
      <c r="BZ7" s="248"/>
      <c r="CA7" s="248"/>
      <c r="CB7" s="248"/>
      <c r="CC7" s="248"/>
      <c r="CD7" s="248"/>
      <c r="CE7" s="313"/>
      <c r="CF7" s="248"/>
      <c r="CG7" s="248"/>
      <c r="CH7" s="248"/>
      <c r="CI7" s="248"/>
      <c r="CJ7" s="248"/>
      <c r="CK7" s="248"/>
      <c r="CL7" s="248"/>
      <c r="CM7" s="248"/>
      <c r="CN7" s="248"/>
      <c r="CO7" s="248"/>
      <c r="CP7" s="248"/>
      <c r="CQ7" s="248"/>
      <c r="CR7" s="248"/>
      <c r="CS7" s="248"/>
      <c r="CT7" s="248"/>
      <c r="CU7" s="248"/>
      <c r="CV7" s="248"/>
      <c r="CW7" s="248"/>
      <c r="CX7" s="248"/>
      <c r="CY7" s="248"/>
      <c r="CZ7" s="248"/>
      <c r="DA7" s="248"/>
      <c r="DB7" s="248"/>
      <c r="DC7" s="248"/>
      <c r="DD7" s="248"/>
      <c r="DE7" s="248"/>
      <c r="DF7" s="248"/>
      <c r="DG7" s="248"/>
      <c r="DH7" s="313"/>
      <c r="DI7" s="248"/>
      <c r="DJ7" s="248"/>
      <c r="DK7" s="248"/>
      <c r="DL7" s="248"/>
      <c r="DM7" s="248"/>
      <c r="DN7" s="248"/>
      <c r="DO7" s="248"/>
      <c r="DP7" s="248"/>
      <c r="DQ7" s="248"/>
      <c r="DR7" s="248"/>
      <c r="DS7" s="248"/>
      <c r="DT7" s="248"/>
      <c r="DU7" s="248"/>
      <c r="DV7" s="248"/>
      <c r="DW7" s="248"/>
      <c r="DX7" s="248"/>
      <c r="DY7" s="248"/>
      <c r="DZ7" s="248"/>
      <c r="EA7" s="248"/>
      <c r="EB7" s="248"/>
      <c r="EC7" s="248"/>
      <c r="ED7" s="248"/>
      <c r="EE7" s="248"/>
      <c r="EF7" s="248"/>
      <c r="EG7" s="248"/>
      <c r="EH7" s="248"/>
      <c r="EI7" s="248"/>
      <c r="EJ7" s="248"/>
      <c r="EK7" s="313"/>
      <c r="EL7" s="248"/>
      <c r="EM7" s="248"/>
      <c r="EN7" s="248"/>
      <c r="EO7" s="248"/>
      <c r="EP7" s="248"/>
      <c r="EQ7" s="248"/>
      <c r="ER7" s="248"/>
      <c r="ES7" s="248"/>
      <c r="ET7" s="248"/>
      <c r="EU7" s="248"/>
      <c r="EV7" s="248"/>
      <c r="EW7" s="248"/>
      <c r="EX7" s="248"/>
      <c r="EY7" s="248"/>
      <c r="EZ7" s="248"/>
      <c r="FA7" s="248"/>
      <c r="FB7" s="248"/>
      <c r="FC7" s="248"/>
      <c r="FD7" s="248"/>
      <c r="FE7" s="248"/>
      <c r="FF7" s="248"/>
      <c r="FG7" s="248"/>
      <c r="FH7" s="248"/>
      <c r="FI7" s="248"/>
      <c r="FJ7" s="248"/>
      <c r="FK7" s="248"/>
      <c r="FL7" s="248"/>
      <c r="FM7" s="248"/>
      <c r="FN7" s="313"/>
      <c r="FO7" s="248"/>
      <c r="FP7" s="248"/>
      <c r="FQ7" s="248"/>
      <c r="FR7" s="248"/>
      <c r="FS7" s="248"/>
      <c r="FT7" s="248"/>
      <c r="FU7" s="248"/>
      <c r="FV7" s="248"/>
      <c r="FW7" s="248"/>
      <c r="FX7" s="248"/>
      <c r="FY7" s="248"/>
      <c r="FZ7" s="248"/>
      <c r="GA7" s="248"/>
      <c r="GB7" s="248"/>
      <c r="GC7" s="248"/>
      <c r="GD7" s="248"/>
      <c r="GE7" s="248"/>
      <c r="GF7" s="248"/>
      <c r="GG7" s="248"/>
      <c r="GH7" s="248"/>
      <c r="GI7" s="248"/>
      <c r="GJ7" s="248"/>
      <c r="GK7" s="248"/>
      <c r="GL7" s="248"/>
      <c r="GM7" s="248"/>
      <c r="GN7" s="248"/>
      <c r="GO7" s="248"/>
      <c r="GP7" s="248"/>
      <c r="GQ7" s="313"/>
      <c r="GR7" s="248"/>
      <c r="GS7" s="248"/>
      <c r="GT7" s="248"/>
      <c r="GU7" s="248"/>
      <c r="GV7" s="248"/>
      <c r="GW7" s="248"/>
      <c r="GX7" s="248"/>
      <c r="GY7" s="248"/>
      <c r="GZ7" s="248"/>
      <c r="HA7" s="248"/>
      <c r="HB7" s="248"/>
      <c r="HC7" s="248"/>
      <c r="HD7" s="248"/>
      <c r="HE7" s="248"/>
      <c r="HF7" s="248"/>
      <c r="HG7" s="248"/>
      <c r="HH7" s="248"/>
      <c r="HI7" s="248"/>
      <c r="HJ7" s="248"/>
      <c r="HK7" s="248"/>
      <c r="HL7" s="248"/>
      <c r="HM7" s="248"/>
      <c r="HN7" s="248"/>
      <c r="HO7" s="248"/>
      <c r="HP7" s="248"/>
      <c r="HQ7" s="248"/>
      <c r="HR7" s="248"/>
      <c r="HS7" s="248"/>
      <c r="HT7" s="313"/>
      <c r="HU7" s="248"/>
      <c r="HV7" s="248"/>
      <c r="HW7" s="248"/>
      <c r="HX7" s="248"/>
      <c r="HY7" s="248"/>
      <c r="HZ7" s="248"/>
      <c r="IA7" s="248"/>
      <c r="IB7" s="248"/>
      <c r="IC7" s="248"/>
      <c r="ID7" s="248"/>
      <c r="IE7" s="248"/>
      <c r="IF7" s="248"/>
      <c r="IG7" s="248"/>
      <c r="IH7" s="248"/>
      <c r="II7" s="248"/>
      <c r="IJ7" s="248"/>
      <c r="IK7" s="248"/>
      <c r="IL7" s="248"/>
      <c r="IM7" s="248"/>
      <c r="IN7" s="248"/>
      <c r="IO7" s="248"/>
      <c r="IP7" s="248"/>
      <c r="IQ7" s="248"/>
      <c r="IR7" s="248"/>
      <c r="IS7" s="248"/>
      <c r="IT7" s="248"/>
      <c r="IU7" s="248"/>
      <c r="IV7" s="248"/>
      <c r="IW7" s="313"/>
      <c r="IX7" s="248"/>
      <c r="IY7" s="248"/>
      <c r="IZ7" s="248"/>
      <c r="JA7" s="248"/>
      <c r="JE7" s="148"/>
    </row>
    <row r="8" spans="1:265" ht="15.75" thickBot="1">
      <c r="A8" s="196"/>
      <c r="B8" s="3"/>
      <c r="C8" s="223"/>
      <c r="D8" s="3"/>
      <c r="E8" s="4"/>
      <c r="F8" s="190" t="s">
        <v>0</v>
      </c>
      <c r="G8" s="190" t="s">
        <v>1</v>
      </c>
      <c r="H8" s="190" t="s">
        <v>2</v>
      </c>
      <c r="I8" s="190" t="s">
        <v>3</v>
      </c>
      <c r="J8" s="190" t="s">
        <v>4</v>
      </c>
      <c r="K8" s="190" t="s">
        <v>5</v>
      </c>
      <c r="L8" s="190" t="s">
        <v>6</v>
      </c>
      <c r="M8" s="190" t="s">
        <v>7</v>
      </c>
      <c r="N8" s="45" t="s">
        <v>109</v>
      </c>
      <c r="O8" s="45" t="s">
        <v>110</v>
      </c>
      <c r="P8" s="79" t="s">
        <v>111</v>
      </c>
      <c r="Q8" s="79" t="s">
        <v>106</v>
      </c>
      <c r="R8" s="190" t="s">
        <v>107</v>
      </c>
      <c r="S8" s="79" t="s">
        <v>108</v>
      </c>
      <c r="T8" s="79" t="s">
        <v>115</v>
      </c>
      <c r="U8" s="45" t="s">
        <v>127</v>
      </c>
      <c r="V8" s="45" t="s">
        <v>128</v>
      </c>
      <c r="W8" s="45" t="s">
        <v>129</v>
      </c>
      <c r="X8" s="45" t="s">
        <v>119</v>
      </c>
      <c r="Y8" s="250" t="s">
        <v>125</v>
      </c>
      <c r="Z8" s="44" t="s">
        <v>343</v>
      </c>
      <c r="AA8" s="45" t="s">
        <v>157</v>
      </c>
      <c r="AB8" s="79" t="s">
        <v>159</v>
      </c>
      <c r="AC8" s="45" t="s">
        <v>155</v>
      </c>
      <c r="AD8" s="46" t="s">
        <v>137</v>
      </c>
      <c r="AZ8" s="140"/>
      <c r="BA8" s="140"/>
      <c r="BB8" s="202"/>
      <c r="BC8" s="140"/>
      <c r="BD8" s="140"/>
      <c r="BE8" s="140"/>
      <c r="BF8" s="248"/>
      <c r="BG8" s="248"/>
      <c r="BH8" s="248"/>
      <c r="BI8" s="248"/>
      <c r="BJ8" s="248"/>
      <c r="BK8" s="248"/>
      <c r="BL8" s="248"/>
      <c r="BM8" s="248"/>
      <c r="BN8" s="248"/>
      <c r="BO8" s="248"/>
      <c r="BP8" s="248"/>
      <c r="BQ8" s="248"/>
      <c r="BR8" s="248"/>
      <c r="BS8" s="248"/>
      <c r="BT8" s="248"/>
      <c r="BU8" s="248"/>
      <c r="BV8" s="248"/>
      <c r="BW8" s="248"/>
      <c r="BX8" s="248"/>
      <c r="BY8" s="248"/>
      <c r="BZ8" s="248"/>
      <c r="CA8" s="248"/>
      <c r="CB8" s="248"/>
      <c r="CC8" s="248"/>
      <c r="CD8" s="248"/>
      <c r="CE8" s="313"/>
      <c r="CF8" s="248"/>
      <c r="CG8" s="248"/>
      <c r="CH8" s="248"/>
      <c r="CI8" s="248"/>
      <c r="CJ8" s="248"/>
      <c r="CK8" s="248"/>
      <c r="CL8" s="248"/>
      <c r="CM8" s="248"/>
      <c r="CN8" s="248"/>
      <c r="CO8" s="248"/>
      <c r="CP8" s="248"/>
      <c r="CQ8" s="248"/>
      <c r="CR8" s="248"/>
      <c r="CS8" s="248"/>
      <c r="CT8" s="248"/>
      <c r="CU8" s="248"/>
      <c r="CV8" s="248"/>
      <c r="CW8" s="248"/>
      <c r="CX8" s="248"/>
      <c r="CY8" s="248"/>
      <c r="CZ8" s="248"/>
      <c r="DA8" s="248"/>
      <c r="DB8" s="248"/>
      <c r="DC8" s="248"/>
      <c r="DD8" s="248"/>
      <c r="DE8" s="248"/>
      <c r="DF8" s="248"/>
      <c r="DG8" s="248"/>
      <c r="DH8" s="313"/>
      <c r="DI8" s="248"/>
      <c r="DJ8" s="248"/>
      <c r="DK8" s="248"/>
      <c r="DL8" s="248"/>
      <c r="DM8" s="248"/>
      <c r="DN8" s="248"/>
      <c r="DO8" s="248"/>
      <c r="DP8" s="248"/>
      <c r="DQ8" s="248"/>
      <c r="DR8" s="248"/>
      <c r="DS8" s="248"/>
      <c r="DT8" s="248"/>
      <c r="DU8" s="248"/>
      <c r="DV8" s="248"/>
      <c r="DW8" s="248"/>
      <c r="DX8" s="248"/>
      <c r="DY8" s="248"/>
      <c r="DZ8" s="248"/>
      <c r="EA8" s="248"/>
      <c r="EB8" s="248"/>
      <c r="EC8" s="248"/>
      <c r="ED8" s="248"/>
      <c r="EE8" s="248"/>
      <c r="EF8" s="248"/>
      <c r="EG8" s="248"/>
      <c r="EH8" s="248"/>
      <c r="EI8" s="248"/>
      <c r="EJ8" s="248"/>
      <c r="EK8" s="313"/>
      <c r="EL8" s="248"/>
      <c r="EM8" s="248"/>
      <c r="EN8" s="248"/>
      <c r="EO8" s="248"/>
      <c r="EP8" s="248"/>
      <c r="EQ8" s="248"/>
      <c r="ER8" s="248"/>
      <c r="ES8" s="248"/>
      <c r="ET8" s="248"/>
      <c r="EU8" s="248"/>
      <c r="EV8" s="248"/>
      <c r="EW8" s="248"/>
      <c r="EX8" s="248"/>
      <c r="EY8" s="248"/>
      <c r="EZ8" s="248"/>
      <c r="FA8" s="248"/>
      <c r="FB8" s="248"/>
      <c r="FC8" s="248"/>
      <c r="FD8" s="248"/>
      <c r="FE8" s="248"/>
      <c r="FF8" s="248"/>
      <c r="FG8" s="248"/>
      <c r="FH8" s="248"/>
      <c r="FI8" s="248"/>
      <c r="FJ8" s="248"/>
      <c r="FK8" s="248"/>
      <c r="FL8" s="248"/>
      <c r="FM8" s="248"/>
      <c r="FN8" s="313"/>
      <c r="FO8" s="248"/>
      <c r="FP8" s="248"/>
      <c r="FQ8" s="248"/>
      <c r="FR8" s="248"/>
      <c r="FS8" s="248"/>
      <c r="FT8" s="248"/>
      <c r="FU8" s="248"/>
      <c r="FV8" s="248"/>
      <c r="FW8" s="248"/>
      <c r="FX8" s="248"/>
      <c r="FY8" s="248"/>
      <c r="FZ8" s="248"/>
      <c r="GA8" s="248"/>
      <c r="GB8" s="248"/>
      <c r="GC8" s="248"/>
      <c r="GD8" s="248"/>
      <c r="GE8" s="248"/>
      <c r="GF8" s="248"/>
      <c r="GG8" s="248"/>
      <c r="GH8" s="248"/>
      <c r="GI8" s="248"/>
      <c r="GJ8" s="248"/>
      <c r="GK8" s="248"/>
      <c r="GL8" s="248"/>
      <c r="GM8" s="248"/>
      <c r="GN8" s="248"/>
      <c r="GO8" s="248"/>
      <c r="GP8" s="248"/>
      <c r="GQ8" s="313"/>
      <c r="GR8" s="248"/>
      <c r="GS8" s="248"/>
      <c r="GT8" s="248"/>
      <c r="GU8" s="248"/>
      <c r="GV8" s="248"/>
      <c r="GW8" s="248"/>
      <c r="GX8" s="248"/>
      <c r="GY8" s="248"/>
      <c r="GZ8" s="248"/>
      <c r="HA8" s="248"/>
      <c r="HB8" s="248"/>
      <c r="HC8" s="248"/>
      <c r="HD8" s="248"/>
      <c r="HE8" s="248"/>
      <c r="HF8" s="248"/>
      <c r="HG8" s="248"/>
      <c r="HH8" s="248"/>
      <c r="HI8" s="248"/>
      <c r="HJ8" s="248"/>
      <c r="HK8" s="248"/>
      <c r="HL8" s="248"/>
      <c r="HM8" s="248"/>
      <c r="HN8" s="248"/>
      <c r="HO8" s="248"/>
      <c r="HP8" s="248"/>
      <c r="HQ8" s="248"/>
      <c r="HR8" s="248"/>
      <c r="HS8" s="248"/>
      <c r="HT8" s="313"/>
      <c r="HU8" s="248"/>
      <c r="HV8" s="248"/>
      <c r="HW8" s="248"/>
      <c r="HX8" s="248"/>
      <c r="HY8" s="248"/>
      <c r="HZ8" s="248"/>
      <c r="IA8" s="248"/>
      <c r="IB8" s="248"/>
      <c r="IC8" s="248"/>
      <c r="ID8" s="248"/>
      <c r="IE8" s="248"/>
      <c r="IF8" s="248"/>
      <c r="IG8" s="248"/>
      <c r="IH8" s="248"/>
      <c r="II8" s="248"/>
      <c r="IJ8" s="248"/>
      <c r="IK8" s="248"/>
      <c r="IL8" s="248"/>
      <c r="IM8" s="248"/>
      <c r="IN8" s="248"/>
      <c r="IO8" s="248"/>
      <c r="IP8" s="248"/>
      <c r="IQ8" s="248"/>
      <c r="IR8" s="248"/>
      <c r="IS8" s="248"/>
      <c r="IT8" s="248"/>
      <c r="IU8" s="248"/>
      <c r="IV8" s="248"/>
      <c r="IW8" s="313"/>
      <c r="IX8" s="248"/>
      <c r="IY8" s="248"/>
      <c r="IZ8" s="248"/>
      <c r="JA8" s="248"/>
      <c r="JE8" s="148"/>
    </row>
    <row r="9" spans="1:265" ht="15.75" thickBot="1">
      <c r="A9" s="135" t="s">
        <v>333</v>
      </c>
      <c r="C9" s="248"/>
      <c r="Y9" s="251"/>
      <c r="Z9" s="197"/>
      <c r="BB9" s="197"/>
      <c r="CE9" s="251"/>
      <c r="DH9" s="251"/>
      <c r="EK9" s="251"/>
      <c r="FN9" s="251"/>
      <c r="GQ9" s="251"/>
      <c r="HT9" s="251"/>
      <c r="IW9" s="251"/>
      <c r="JE9" s="148"/>
    </row>
    <row r="10" spans="1:265" hidden="1" outlineLevel="1">
      <c r="B10" s="134" t="s">
        <v>68</v>
      </c>
      <c r="C10" s="248" t="s">
        <v>281</v>
      </c>
      <c r="D10" s="201" t="s">
        <v>279</v>
      </c>
      <c r="E10" s="201" t="s">
        <v>280</v>
      </c>
      <c r="Y10" s="251"/>
      <c r="Z10" s="197"/>
      <c r="AF10" s="140" t="s">
        <v>281</v>
      </c>
      <c r="AG10" s="148" t="s">
        <v>279</v>
      </c>
      <c r="AH10" s="148" t="s">
        <v>280</v>
      </c>
      <c r="BB10" s="197"/>
      <c r="BC10" s="197"/>
      <c r="BI10" s="248" t="s">
        <v>281</v>
      </c>
      <c r="BJ10" s="217" t="s">
        <v>279</v>
      </c>
      <c r="BK10" s="217" t="s">
        <v>280</v>
      </c>
      <c r="CE10" s="251"/>
      <c r="CF10" s="251"/>
      <c r="CL10" s="248" t="s">
        <v>281</v>
      </c>
      <c r="CM10" s="217" t="s">
        <v>279</v>
      </c>
      <c r="CN10" s="217" t="s">
        <v>280</v>
      </c>
      <c r="DH10" s="251"/>
      <c r="DI10" s="251"/>
      <c r="DO10" s="248" t="s">
        <v>281</v>
      </c>
      <c r="DP10" s="217" t="s">
        <v>279</v>
      </c>
      <c r="DQ10" s="217" t="s">
        <v>280</v>
      </c>
      <c r="EK10" s="251"/>
      <c r="EL10" s="251"/>
      <c r="ER10" s="248" t="s">
        <v>281</v>
      </c>
      <c r="ES10" s="217" t="s">
        <v>279</v>
      </c>
      <c r="ET10" s="217" t="s">
        <v>280</v>
      </c>
      <c r="FN10" s="251"/>
      <c r="FO10" s="251"/>
      <c r="FU10" s="248" t="s">
        <v>281</v>
      </c>
      <c r="FV10" s="217" t="s">
        <v>279</v>
      </c>
      <c r="FW10" s="217" t="s">
        <v>280</v>
      </c>
      <c r="GQ10" s="251"/>
      <c r="GR10" s="251"/>
      <c r="GX10" s="248" t="s">
        <v>281</v>
      </c>
      <c r="GY10" s="217" t="s">
        <v>279</v>
      </c>
      <c r="GZ10" s="217" t="s">
        <v>280</v>
      </c>
      <c r="HT10" s="251"/>
      <c r="HU10" s="251"/>
      <c r="IA10" s="248" t="s">
        <v>281</v>
      </c>
      <c r="IB10" s="217" t="s">
        <v>279</v>
      </c>
      <c r="IC10" s="217" t="s">
        <v>280</v>
      </c>
      <c r="IW10" s="251"/>
      <c r="IX10" s="251"/>
      <c r="JE10" s="148"/>
    </row>
    <row r="11" spans="1:265" hidden="1" outlineLevel="2">
      <c r="B11" s="148">
        <v>1</v>
      </c>
      <c r="C11" s="302" t="e">
        <f>VLOOKUP(AF11,Attribute!C:T,1,FALSE)</f>
        <v>#N/A</v>
      </c>
      <c r="D11" s="168" t="s">
        <v>8</v>
      </c>
      <c r="E11" s="158" t="s">
        <v>132</v>
      </c>
      <c r="F11" s="191">
        <f>Konvention_1master-MUmaster</f>
        <v>12</v>
      </c>
      <c r="G11" s="118"/>
      <c r="H11" s="118">
        <f>Konvention_1master-INmaster</f>
        <v>12</v>
      </c>
      <c r="I11" s="118"/>
      <c r="J11" s="118"/>
      <c r="K11" s="118">
        <f>Konvention_1master-GEmaster</f>
        <v>12</v>
      </c>
      <c r="L11" s="118"/>
      <c r="M11" s="92"/>
      <c r="N11" s="219">
        <f>(F11+G11+H11+I11+J11+K11+L11+M11)/3</f>
        <v>12</v>
      </c>
      <c r="O11" s="220">
        <f>2*N11</f>
        <v>24</v>
      </c>
      <c r="P11" s="221">
        <f>3*N11</f>
        <v>36</v>
      </c>
      <c r="Q11" s="236">
        <f>F11*POWER(KLmaster,SIGN(G11))*POWER(INmaster,SIGN(H11))*POWER(CHmaster,SIGN(I11))*POWER(FFmaster,SIGN(J11))*POWER(GEmaster,SIGN(K11))*POWER(KOmaster,SIGN(L11))*POWER(KKmaster,SIGN(M11))+G11*POWER(MUmaster,SIGN(F11))*POWER(INmaster,SIGN(H11))*POWER(CHmaster,SIGN(I11))*POWER(FFmaster,SIGN(J11))*POWER(GEmaster,SIGN(K11))*POWER(KOmaster,SIGN(L11))*POWER(KKmaster,SIGN(M11))+H11*POWER(MUmaster,SIGN(F11))*POWER(KLmaster,SIGN(G11))*POWER(CHmaster,SIGN(I11))*POWER(FFmaster,SIGN(J11))*POWER(GEmaster,SIGN(K11))*POWER(KOmaster,SIGN(L11))*POWER(KKmaster,SIGN(M11))+I11*POWER(MUmaster,SIGN(F11))*POWER(KLmaster,SIGN(G11))*POWER(INmaster,SIGN(H11))*POWER(FFmaster,SIGN(J11))*POWER(GEmaster,SIGN(K11))*POWER(KOmaster,SIGN(L11))*POWER(KKmaster,SIGN(M11))+J11*POWER(MUmaster,SIGN(F11))*POWER(KLmaster,SIGN(G11))*POWER(INmaster,SIGN(H11))*POWER(CHmaster,SIGN(I11))*POWER(GEmaster,SIGN(K11))*POWER(KOmaster,SIGN(L11))*POWER(KKmaster,SIGN(M11))+K11*POWER(MUmaster,SIGN(F11))*POWER(KLmaster,SIGN(G11))*POWER(INmaster,SIGN(H11))*POWER(CHmaster,SIGN(I11))*POWER(FFmaster,SIGN(J11))*POWER(KOmaster,SIGN(L11))*POWER(KKmaster,SIGN(M11))+L11*POWER(MUmaster,SIGN(F11))*POWER(KLmaster,SIGN(G11))*POWER(INmaster,SIGN(H11))*POWER(CHmaster,SIGN(I11))*POWER(FFmaster,SIGN(J11))*POWER(GEmaster,SIGN(K11))*POWER(KKmaster,SIGN(M11))+M11*POWER(MUmaster,SIGN(F11))*POWER(KLmaster,SIGN(G11))*POWER(INmaster,SIGN(H11))*POWER(CHmaster,SIGN(I11))*POWER(FFmaster,SIGN(J11))*POWER(GEmaster,SIGN(K11))*POWER(KOmaster,SIGN(L11))</f>
        <v>2304</v>
      </c>
      <c r="R11" s="118">
        <f>F11*H11*GEmaster+F11*INmaster*K11+MUmaster*H11*K11</f>
        <v>3456</v>
      </c>
      <c r="S11" s="221">
        <f>IFERROR(F11^SIGN(F11),1)*IFERROR(G11^SIGN(G11),1)*IFERROR(H11^SIGN(H11),1)*IFERROR(I11^SIGN(I11),1)*IFERROR(J11^SIGN(J11),1)*IFERROR(K11^SIGN(K11),1)*IFERROR(L11^SIGN(L11),1)*IFERROR(M11^SIGN(M11),1)</f>
        <v>1728</v>
      </c>
      <c r="T11" s="78">
        <f>SUM(Q11:S11)</f>
        <v>7488</v>
      </c>
      <c r="U11" s="219">
        <f>N11*Q11/T11</f>
        <v>3.6923076923076925</v>
      </c>
      <c r="V11" s="220">
        <f>O11*R11/T11</f>
        <v>11.076923076923077</v>
      </c>
      <c r="W11" s="241">
        <f>P11*S11/T11</f>
        <v>8.3076923076923084</v>
      </c>
      <c r="X11" s="42">
        <f>SUM(U11:W11)</f>
        <v>23.07692307692308</v>
      </c>
      <c r="Y11" s="252">
        <v>0</v>
      </c>
      <c r="Z11" s="198">
        <f>X11-Y11</f>
        <v>23.07692307692308</v>
      </c>
      <c r="AA11" s="158">
        <f>IF(X11&gt;0,X11,0)*2+IF(X11&gt;12,X11-12,0)*2+IF(X11&gt;13,X11-13,0)*2+IF(X11&gt;14,X11-14,0)*2+IF(X11&gt;15,X11-15,0)*2+IF(X11&gt;16,X11-16,0)*2+IF(X11&gt;17,X11-17,0)*2+IF(X11&gt;18,X11-18,0)*2+IF(X11&gt;19,X11-19,0)*2+IF(X11&gt;20,X11-20,0)*2</f>
        <v>173.5384615384616</v>
      </c>
      <c r="AB11" s="91">
        <f>IF(Y11&gt;0,Y11,0)*2+IF(Y11&gt;12,Y11-12,0)*2+IF(Y11&gt;13,Y11-13,0)*2+IF(Y11&gt;14,Y11-14,0)*2+IF(Y11&gt;15,Y11-15,0)*2+IF(Y11&gt;16,Y11-16,0)*2+IF(Y11&gt;17,Y11-17,0)*2+IF(Y11&gt;18,Y11-18,0)*2+IF(Y11&gt;19,Y11-19,0)*2+IF(Y11&gt;20,Y11-20,0)*2</f>
        <v>0</v>
      </c>
      <c r="AC11" s="126">
        <f t="shared" ref="AC11:AC24" si="0">IF((AA11-AB11)&gt;0,AA11-AB11,0)</f>
        <v>173.5384615384616</v>
      </c>
      <c r="AD11" s="158">
        <f>IF((AB11-AA11)&gt;0,AB11-AA11,0)</f>
        <v>0</v>
      </c>
      <c r="AF11" s="162" t="s">
        <v>9</v>
      </c>
      <c r="AG11" s="126" t="s">
        <v>8</v>
      </c>
      <c r="AH11" s="158" t="s">
        <v>132</v>
      </c>
      <c r="AI11" s="191">
        <f>Konvention_1slave-MUslave_MU</f>
        <v>11</v>
      </c>
      <c r="AJ11" s="118"/>
      <c r="AK11" s="118">
        <f>Konvention_1slave-INslave</f>
        <v>12</v>
      </c>
      <c r="AL11" s="118"/>
      <c r="AM11" s="118"/>
      <c r="AN11" s="118">
        <f>Konvention_1slave-GEslave</f>
        <v>12</v>
      </c>
      <c r="AO11" s="118"/>
      <c r="AP11" s="92"/>
      <c r="AQ11" s="193">
        <f>(AI11+AJ11+AK11+AL11+AM11+AN11+AO11+AP11)/3</f>
        <v>11.666666666666666</v>
      </c>
      <c r="AR11" s="116">
        <f>2*AQ11</f>
        <v>23.333333333333332</v>
      </c>
      <c r="AS11" s="92">
        <f>3*AQ11</f>
        <v>35</v>
      </c>
      <c r="AT11" s="191">
        <f>AI11*POWER(KLslave,SIGN(AJ11))*POWER(INslave,SIGN(AK11))*POWER(CHslave,SIGN(AL11))*POWER(FFslave,SIGN(AM11))*POWER(GEslave,SIGN(AN11))*POWER(KOslave,SIGN(AO11))*POWER(KKslave,SIGN(AP11))+AJ11*POWER(MUslave_MU,SIGN(AI11))*POWER(INslave,SIGN(AK11))*POWER(CHslave,SIGN(AL11))*POWER(FFslave,SIGN(AM11))*POWER(GEslave,SIGN(AN11))*POWER(KOslave,SIGN(AO11))*POWER(KKslave,SIGN(AP11))+AK11*POWER(MUslave_MU,SIGN(AI11))*POWER(KLslave,SIGN(AJ11))*POWER(CHslave,SIGN(AL11))*POWER(FFslave,SIGN(AM11))*POWER(GEslave,SIGN(AN11))*POWER(KOslave,SIGN(AO11))*POWER(KKslave,SIGN(AP11))+AL11*POWER(MUslave_MU,SIGN(AI11))*POWER(KLslave,SIGN(AJ11))*POWER(INslave,SIGN(AK11))*POWER(FFslave,SIGN(AM11))*POWER(GEslave,SIGN(AN11))*POWER(KOslave,SIGN(AO11))*POWER(KKslave,SIGN(AP11))+AM11*POWER(MUslave_MU,SIGN(AI11))*POWER(KLslave,SIGN(AJ11))*POWER(INslave,SIGN(AK11))*POWER(CHslave,SIGN(AL11))*POWER(GEslave,SIGN(AN11))*POWER(KOslave,SIGN(AO11))*POWER(KKslave,SIGN(AP11))+AN11*POWER(MUslave_MU,SIGN(AI11))*POWER(KLslave,SIGN(AJ11))*POWER(INslave,SIGN(AK11))*POWER(CHslave,SIGN(AL11))*POWER(FFslave,SIGN(AM11))*POWER(KOslave,SIGN(AO11))*POWER(KKslave,SIGN(AP11))+AO11*POWER(MUslave_MU,SIGN(AI11))*POWER(KLslave,SIGN(AJ11))*POWER(INslave,SIGN(AK11))*POWER(CHslave,SIGN(AL11))*POWER(FFslave,SIGN(AM11))*POWER(GEslave,SIGN(AN11))*POWER(KKslave,SIGN(AP11))+AP11*POWER(MUslave_MU,SIGN(AI11))*POWER(KLslave,SIGN(AJ11))*POWER(INslave,SIGN(AK11))*POWER(CHslave,SIGN(AL11))*POWER(FFslave,SIGN(AM11))*POWER(GEslave,SIGN(AN11))*POWER(KOslave,SIGN(AO11))</f>
        <v>2432</v>
      </c>
      <c r="AU11" s="118">
        <f>AI11*AK11*GEslave+AI11*INslave*AN11+MUslave_MU*AK11*AN11</f>
        <v>3408</v>
      </c>
      <c r="AV11" s="92">
        <f>IFERROR(AI11^SIGN(AI11),1)*IFERROR(AJ11^SIGN(AJ11),1)*IFERROR(AK11^SIGN(AK11),1)*IFERROR(AL11^SIGN(AL11),1)*IFERROR(AM11^SIGN(AM11),1)*IFERROR(AN11^SIGN(AN11),1)*IFERROR(AO11^SIGN(AO11),1)*IFERROR(AP11^SIGN(AP11),1)</f>
        <v>1584</v>
      </c>
      <c r="AW11" s="91">
        <f>SUM(AT11:AV11)</f>
        <v>7424</v>
      </c>
      <c r="AX11" s="193">
        <f>AQ11*AT11/AW11</f>
        <v>3.8218390804597702</v>
      </c>
      <c r="AY11" s="116">
        <f>AR11*AU11/AW11</f>
        <v>10.711206896551724</v>
      </c>
      <c r="AZ11" s="126">
        <f>AS11*AV11/AW11</f>
        <v>7.4676724137931032</v>
      </c>
      <c r="BA11" s="158">
        <f>SUM(AX11:AZ11)</f>
        <v>22.000718390804597</v>
      </c>
      <c r="BB11" s="165">
        <f>Y11</f>
        <v>0</v>
      </c>
      <c r="BC11" s="198">
        <f>BA11-BB11</f>
        <v>22.000718390804597</v>
      </c>
      <c r="BD11" s="158">
        <f>IF(BA11&gt;0,BA11,0)*2+IF(BA11&gt;12,BA11-12,0)*2+IF(BA11&gt;13,BA11-13,0)*2+IF(BA11&gt;14,BA11-14,0)*2+IF(BA11&gt;15,BA11-15,0)*2+IF(BA11&gt;16,BA11-16,0)*2+IF(BA11&gt;17,BA11-17,0)*2+IF(BA11&gt;18,BA11-18,0)*2+IF(BA11&gt;19,BA11-19,0)*2+IF(BA11&gt;20,BA11-20,0)*2</f>
        <v>152.01436781609189</v>
      </c>
      <c r="BE11" s="91">
        <f>IF(BB11&gt;0,BB11,0)*2+IF(BB11&gt;12,BB11-12,0)*2+IF(BB11&gt;13,BB11-13,0)*2+IF(BB11&gt;14,BB11-14,0)*2+IF(BB11&gt;15,BB11-15,0)*2+IF(BB11&gt;16,BB11-16,0)*2+IF(BB11&gt;17,BB11-17,0)*2+IF(BB11&gt;18,BB11-18,0)*2+IF(BB11&gt;19,BB11-19,0)*2+IF(BB11&gt;20,BB11-20,0)*2</f>
        <v>0</v>
      </c>
      <c r="BF11" s="241">
        <f t="shared" ref="BF11:BF24" si="1">IF((BD11-BE11)&gt;0,BD11-BE11,0)</f>
        <v>152.01436781609189</v>
      </c>
      <c r="BG11" s="42">
        <f>IF((BE11-BD11)&gt;0,BE11-BD11,0)</f>
        <v>0</v>
      </c>
      <c r="BI11" s="302" t="s">
        <v>9</v>
      </c>
      <c r="BJ11" s="241" t="s">
        <v>8</v>
      </c>
      <c r="BK11" s="42" t="s">
        <v>132</v>
      </c>
      <c r="BL11" s="236">
        <f>Konvention_1slave-MUslave</f>
        <v>12</v>
      </c>
      <c r="BM11" s="233"/>
      <c r="BN11" s="233">
        <f>Konvention_1slave-INslave</f>
        <v>12</v>
      </c>
      <c r="BO11" s="233"/>
      <c r="BP11" s="233"/>
      <c r="BQ11" s="233">
        <f>Konvention_1slave-GEslave</f>
        <v>12</v>
      </c>
      <c r="BR11" s="233"/>
      <c r="BS11" s="221"/>
      <c r="BT11" s="219">
        <f>(BL11+BM11+BN11+BO11+BP11+BQ11+BR11+BS11)/3</f>
        <v>12</v>
      </c>
      <c r="BU11" s="220">
        <f>2*BT11</f>
        <v>24</v>
      </c>
      <c r="BV11" s="221">
        <f>3*BT11</f>
        <v>36</v>
      </c>
      <c r="BW11" s="236">
        <f>BL11*POWER(KLslave_KL,SIGN(BM11))*POWER(INslave,SIGN(BN11))*POWER(CHslave,SIGN(BO11))*POWER(FFslave,SIGN(BP11))*POWER(GEslave,SIGN(BQ11))*POWER(KOslave,SIGN(BR11))*POWER(KKslave,SIGN(BS11))+BM11*POWER(MUslave,SIGN(BL11))*POWER(INslave,SIGN(BN11))*POWER(CHslave,SIGN(BO11))*POWER(FFslave,SIGN(BP11))*POWER(GEslave,SIGN(BQ11))*POWER(KOslave,SIGN(BR11))*POWER(KKslave,SIGN(BS11))+BN11*POWER(MUslave,SIGN(BL11))*POWER(KLslave_KL,SIGN(BM11))*POWER(CHslave,SIGN(BO11))*POWER(FFslave,SIGN(BP11))*POWER(GEslave,SIGN(BQ11))*POWER(KOslave,SIGN(BR11))*POWER(KKslave,SIGN(BS11))+BO11*POWER(MUslave,SIGN(BL11))*POWER(KLslave_KL,SIGN(BM11))*POWER(INslave,SIGN(BN11))*POWER(FFslave,SIGN(BP11))*POWER(GEslave,SIGN(BQ11))*POWER(KOslave,SIGN(BR11))*POWER(KKslave,SIGN(BS11))+BP11*POWER(MUslave,SIGN(BL11))*POWER(KLslave_KL,SIGN(BM11))*POWER(INslave,SIGN(BN11))*POWER(CHslave,SIGN(BO11))*POWER(GEslave,SIGN(BQ11))*POWER(KOslave,SIGN(BR11))*POWER(KKslave,SIGN(BS11))+BQ11*POWER(MUslave,SIGN(BL11))*POWER(KLslave_KL,SIGN(BM11))*POWER(INslave,SIGN(BN11))*POWER(CHslave,SIGN(BO11))*POWER(FFslave,SIGN(BP11))*POWER(KOslave,SIGN(BR11))*POWER(KKslave,SIGN(BS11))+BR11*POWER(MUslave,SIGN(BL11))*POWER(KLslave_KL,SIGN(BM11))*POWER(INslave,SIGN(BN11))*POWER(CHslave,SIGN(BO11))*POWER(FFslave,SIGN(BP11))*POWER(GEslave,SIGN(BQ11))*POWER(KKslave,SIGN(BS11))+BS11*POWER(MUslave,SIGN(BL11))*POWER(KLslave_KL,SIGN(BM11))*POWER(INslave,SIGN(BN11))*POWER(CHslave,SIGN(BO11))*POWER(FFslave,SIGN(BP11))*POWER(GEslave,SIGN(BQ11))*POWER(KOslave,SIGN(BR11))</f>
        <v>2304</v>
      </c>
      <c r="BX11" s="233">
        <f>BL11*BN11*GEslave+BL11*INslave*BQ11+MUslave*BN11*BQ11</f>
        <v>3456</v>
      </c>
      <c r="BY11" s="221">
        <f>IFERROR(BL11^SIGN(BL11),1)*IFERROR(BM11^SIGN(BM11),1)*IFERROR(BN11^SIGN(BN11),1)*IFERROR(BO11^SIGN(BO11),1)*IFERROR(BP11^SIGN(BP11),1)*IFERROR(BQ11^SIGN(BQ11),1)*IFERROR(BR11^SIGN(BR11),1)*IFERROR(BS11^SIGN(BS11),1)</f>
        <v>1728</v>
      </c>
      <c r="BZ11" s="78">
        <f>SUM(BW11:BY11)</f>
        <v>7488</v>
      </c>
      <c r="CA11" s="219">
        <f>BT11*BW11/BZ11</f>
        <v>3.6923076923076925</v>
      </c>
      <c r="CB11" s="220">
        <f>BU11*BX11/BZ11</f>
        <v>11.076923076923077</v>
      </c>
      <c r="CC11" s="241">
        <f>BV11*BY11/BZ11</f>
        <v>8.3076923076923084</v>
      </c>
      <c r="CD11" s="42">
        <f>SUM(CA11:CC11)</f>
        <v>23.07692307692308</v>
      </c>
      <c r="CE11" s="252">
        <f>BB11</f>
        <v>0</v>
      </c>
      <c r="CF11" s="309">
        <f>CD11-CE11</f>
        <v>23.07692307692308</v>
      </c>
      <c r="CG11" s="42">
        <f>IF(CD11&gt;0,CD11,0)*2+IF(CD11&gt;12,CD11-12,0)*2+IF(CD11&gt;13,CD11-13,0)*2+IF(CD11&gt;14,CD11-14,0)*2+IF(CD11&gt;15,CD11-15,0)*2+IF(CD11&gt;16,CD11-16,0)*2+IF(CD11&gt;17,CD11-17,0)*2+IF(CD11&gt;18,CD11-18,0)*2+IF(CD11&gt;19,CD11-19,0)*2+IF(CD11&gt;20,CD11-20,0)*2</f>
        <v>173.5384615384616</v>
      </c>
      <c r="CH11" s="78">
        <f>IF(CE11&gt;0,CE11,0)*2+IF(CE11&gt;12,CE11-12,0)*2+IF(CE11&gt;13,CE11-13,0)*2+IF(CE11&gt;14,CE11-14,0)*2+IF(CE11&gt;15,CE11-15,0)*2+IF(CE11&gt;16,CE11-16,0)*2+IF(CE11&gt;17,CE11-17,0)*2+IF(CE11&gt;18,CE11-18,0)*2+IF(CE11&gt;19,CE11-19,0)*2+IF(CE11&gt;20,CE11-20,0)*2</f>
        <v>0</v>
      </c>
      <c r="CI11" s="241">
        <f t="shared" ref="CI11:CI24" si="2">IF((CG11-CH11)&gt;0,CG11-CH11,0)</f>
        <v>173.5384615384616</v>
      </c>
      <c r="CJ11" s="42">
        <f>IF((CH11-CG11)&gt;0,CH11-CG11,0)</f>
        <v>0</v>
      </c>
      <c r="CL11" s="302" t="s">
        <v>9</v>
      </c>
      <c r="CM11" s="241" t="s">
        <v>8</v>
      </c>
      <c r="CN11" s="42" t="s">
        <v>132</v>
      </c>
      <c r="CO11" s="236">
        <f>Konvention_1slave-MUslave</f>
        <v>12</v>
      </c>
      <c r="CP11" s="233"/>
      <c r="CQ11" s="233">
        <f>Konvention_1slave-INslave_IN</f>
        <v>11</v>
      </c>
      <c r="CR11" s="233"/>
      <c r="CS11" s="233"/>
      <c r="CT11" s="233">
        <f>Konvention_1slave-GEslave</f>
        <v>12</v>
      </c>
      <c r="CU11" s="233"/>
      <c r="CV11" s="221"/>
      <c r="CW11" s="219">
        <f>(CO11+CP11+CQ11+CR11+CS11+CT11+CU11+CV11)/3</f>
        <v>11.666666666666666</v>
      </c>
      <c r="CX11" s="220">
        <f>2*CW11</f>
        <v>23.333333333333332</v>
      </c>
      <c r="CY11" s="221">
        <f>3*CW11</f>
        <v>35</v>
      </c>
      <c r="CZ11" s="236">
        <f>CO11*POWER(KLslave,SIGN(CP11))*POWER(INslave_IN,SIGN(CQ11))*POWER(CHslave,SIGN(CR11))*POWER(FFslave,SIGN(CS11))*POWER(GEslave,SIGN(CT11))*POWER(KOslave,SIGN(CU11))*POWER(KKslave,SIGN(CV11))+CP11*POWER(MUslave,SIGN(CO11))*POWER(INslave_IN,SIGN(CQ11))*POWER(CHslave,SIGN(CR11))*POWER(FFslave,SIGN(CS11))*POWER(GEslave,SIGN(CT11))*POWER(KOslave,SIGN(CU11))*POWER(KKslave,SIGN(CV11))+CQ11*POWER(MUslave,SIGN(CO11))*POWER(KLslave,SIGN(CP11))*POWER(CHslave,SIGN(CR11))*POWER(FFslave,SIGN(CS11))*POWER(GEslave,SIGN(CT11))*POWER(KOslave,SIGN(CU11))*POWER(KKslave,SIGN(CV11))+CR11*POWER(MUslave,SIGN(CO11))*POWER(KLslave,SIGN(CP11))*POWER(INslave_IN,SIGN(CQ11))*POWER(FFslave,SIGN(CS11))*POWER(GEslave,SIGN(CT11))*POWER(KOslave,SIGN(CU11))*POWER(KKslave,SIGN(CV11))+CS11*POWER(MUslave,SIGN(CO11))*POWER(KLslave,SIGN(CP11))*POWER(INslave_IN,SIGN(CQ11))*POWER(CHslave,SIGN(CR11))*POWER(GEslave,SIGN(CT11))*POWER(KOslave,SIGN(CU11))*POWER(KKslave,SIGN(CV11))+CT11*POWER(MUslave,SIGN(CO11))*POWER(KLslave,SIGN(CP11))*POWER(INslave_IN,SIGN(CQ11))*POWER(CHslave,SIGN(CR11))*POWER(FFslave,SIGN(CS11))*POWER(KOslave,SIGN(CU11))*POWER(KKslave,SIGN(CV11))+CU11*POWER(MUslave,SIGN(CO11))*POWER(KLslave,SIGN(CP11))*POWER(INslave_IN,SIGN(CQ11))*POWER(CHslave,SIGN(CR11))*POWER(FFslave,SIGN(CS11))*POWER(GEslave,SIGN(CT11))*POWER(KKslave,SIGN(CV11))+CV11*POWER(MUslave,SIGN(CO11))*POWER(KLslave,SIGN(CP11))*POWER(INslave_IN,SIGN(CQ11))*POWER(CHslave,SIGN(CR11))*POWER(FFslave,SIGN(CS11))*POWER(GEslave,SIGN(CT11))*POWER(KOslave,SIGN(CU11))</f>
        <v>2432</v>
      </c>
      <c r="DA11" s="233">
        <f>CO11*CQ11*GEslave+CO11*INslave_IN*CT11+MUslave*CQ11*CT11</f>
        <v>3408</v>
      </c>
      <c r="DB11" s="221">
        <f>IFERROR(CO11^SIGN(CO11),1)*IFERROR(CP11^SIGN(CP11),1)*IFERROR(CQ11^SIGN(CQ11),1)*IFERROR(CR11^SIGN(CR11),1)*IFERROR(CS11^SIGN(CS11),1)*IFERROR(CT11^SIGN(CT11),1)*IFERROR(CU11^SIGN(CU11),1)*IFERROR(CV11^SIGN(CV11),1)</f>
        <v>1584</v>
      </c>
      <c r="DC11" s="78">
        <f>SUM(CZ11:DB11)</f>
        <v>7424</v>
      </c>
      <c r="DD11" s="219">
        <f>CW11*CZ11/DC11</f>
        <v>3.8218390804597702</v>
      </c>
      <c r="DE11" s="220">
        <f>CX11*DA11/DC11</f>
        <v>10.711206896551724</v>
      </c>
      <c r="DF11" s="241">
        <f>CY11*DB11/DC11</f>
        <v>7.4676724137931032</v>
      </c>
      <c r="DG11" s="42">
        <f>SUM(DD11:DF11)</f>
        <v>22.000718390804597</v>
      </c>
      <c r="DH11" s="252">
        <f>CE11</f>
        <v>0</v>
      </c>
      <c r="DI11" s="309">
        <f>DG11-DH11</f>
        <v>22.000718390804597</v>
      </c>
      <c r="DJ11" s="42">
        <f>IF(DG11&gt;0,DG11,0)*2+IF(DG11&gt;12,DG11-12,0)*2+IF(DG11&gt;13,DG11-13,0)*2+IF(DG11&gt;14,DG11-14,0)*2+IF(DG11&gt;15,DG11-15,0)*2+IF(DG11&gt;16,DG11-16,0)*2+IF(DG11&gt;17,DG11-17,0)*2+IF(DG11&gt;18,DG11-18,0)*2+IF(DG11&gt;19,DG11-19,0)*2+IF(DG11&gt;20,DG11-20,0)*2</f>
        <v>152.01436781609189</v>
      </c>
      <c r="DK11" s="78">
        <f>IF(DH11&gt;0,DH11,0)*2+IF(DH11&gt;12,DH11-12,0)*2+IF(DH11&gt;13,DH11-13,0)*2+IF(DH11&gt;14,DH11-14,0)*2+IF(DH11&gt;15,DH11-15,0)*2+IF(DH11&gt;16,DH11-16,0)*2+IF(DH11&gt;17,DH11-17,0)*2+IF(DH11&gt;18,DH11-18,0)*2+IF(DH11&gt;19,DH11-19,0)*2+IF(DH11&gt;20,DH11-20,0)*2</f>
        <v>0</v>
      </c>
      <c r="DL11" s="241">
        <f t="shared" ref="DL11:DL24" si="3">IF((DJ11-DK11)&gt;0,DJ11-DK11,0)</f>
        <v>152.01436781609189</v>
      </c>
      <c r="DM11" s="42">
        <f>IF((DK11-DJ11)&gt;0,DK11-DJ11,0)</f>
        <v>0</v>
      </c>
      <c r="DO11" s="302" t="s">
        <v>9</v>
      </c>
      <c r="DP11" s="241" t="s">
        <v>8</v>
      </c>
      <c r="DQ11" s="42" t="s">
        <v>132</v>
      </c>
      <c r="DR11" s="236">
        <f>Konvention_1slave-MUslave</f>
        <v>12</v>
      </c>
      <c r="DS11" s="233"/>
      <c r="DT11" s="233">
        <f>Konvention_1slave-INslave</f>
        <v>12</v>
      </c>
      <c r="DU11" s="233"/>
      <c r="DV11" s="233"/>
      <c r="DW11" s="233">
        <f>Konvention_1slave-GEslave</f>
        <v>12</v>
      </c>
      <c r="DX11" s="233"/>
      <c r="DY11" s="221"/>
      <c r="DZ11" s="219">
        <f>(DR11+DS11+DT11+DU11+DV11+DW11+DX11+DY11)/3</f>
        <v>12</v>
      </c>
      <c r="EA11" s="220">
        <f>2*DZ11</f>
        <v>24</v>
      </c>
      <c r="EB11" s="221">
        <f>3*DZ11</f>
        <v>36</v>
      </c>
      <c r="EC11" s="236">
        <f>DR11*POWER(KLslave,SIGN(DS11))*POWER(INslave,SIGN(DT11))*POWER(CHslave_CH,SIGN(DU11))*POWER(FFslave,SIGN(DV11))*POWER(GEslave,SIGN(DW11))*POWER(KOslave,SIGN(DX11))*POWER(KKslave,SIGN(DY11))+DS11*POWER(MUslave,SIGN(DR11))*POWER(INslave,SIGN(DT11))*POWER(CHslave_CH,SIGN(DU11))*POWER(FFslave,SIGN(DV11))*POWER(GEslave,SIGN(DW11))*POWER(KOslave,SIGN(DX11))*POWER(KKslave,SIGN(DY11))+DT11*POWER(MUslave,SIGN(DR11))*POWER(KLslave,SIGN(DS11))*POWER(CHslave_CH,SIGN(DU11))*POWER(FFslave,SIGN(DV11))*POWER(GEslave,SIGN(DW11))*POWER(KOslave,SIGN(DX11))*POWER(KKslave,SIGN(DY11))+DU11*POWER(MUslave,SIGN(DR11))*POWER(KLslave,SIGN(DS11))*POWER(INslave,SIGN(DT11))*POWER(FFslave,SIGN(DV11))*POWER(GEslave,SIGN(DW11))*POWER(KOslave,SIGN(DX11))*POWER(KKslave,SIGN(DY11))+DV11*POWER(MUslave,SIGN(DR11))*POWER(KLslave,SIGN(DS11))*POWER(INslave,SIGN(DT11))*POWER(CHslave_CH,SIGN(DU11))*POWER(GEslave,SIGN(DW11))*POWER(KOslave,SIGN(DX11))*POWER(KKslave,SIGN(DY11))+DW11*POWER(MUslave,SIGN(DR11))*POWER(KLslave,SIGN(DS11))*POWER(INslave,SIGN(DT11))*POWER(CHslave_CH,SIGN(DU11))*POWER(FFslave,SIGN(DV11))*POWER(KOslave,SIGN(DX11))*POWER(KKslave,SIGN(DY11))+DX11*POWER(MUslave,SIGN(DR11))*POWER(KLslave,SIGN(DS11))*POWER(INslave,SIGN(DT11))*POWER(CHslave_CH,SIGN(DU11))*POWER(FFslave,SIGN(DV11))*POWER(GEslave,SIGN(DW11))*POWER(KKslave,SIGN(DY11))+DY11*POWER(MUslave,SIGN(DR11))*POWER(KLslave,SIGN(DS11))*POWER(INslave,SIGN(DT11))*POWER(CHslave_CH,SIGN(DU11))*POWER(FFslave,SIGN(DV11))*POWER(GEslave,SIGN(DW11))*POWER(KOslave,SIGN(DX11))</f>
        <v>2304</v>
      </c>
      <c r="ED11" s="233">
        <f>DR11*DT11*GEslave+DR11*INslave*DW11+MUslave*DT11*DW11</f>
        <v>3456</v>
      </c>
      <c r="EE11" s="221">
        <f>IFERROR(DR11^SIGN(DR11),1)*IFERROR(DS11^SIGN(DS11),1)*IFERROR(DT11^SIGN(DT11),1)*IFERROR(DU11^SIGN(DU11),1)*IFERROR(DV11^SIGN(DV11),1)*IFERROR(DW11^SIGN(DW11),1)*IFERROR(DX11^SIGN(DX11),1)*IFERROR(DY11^SIGN(DY11),1)</f>
        <v>1728</v>
      </c>
      <c r="EF11" s="78">
        <f>SUM(EC11:EE11)</f>
        <v>7488</v>
      </c>
      <c r="EG11" s="219">
        <f>DZ11*EC11/EF11</f>
        <v>3.6923076923076925</v>
      </c>
      <c r="EH11" s="220">
        <f>EA11*ED11/EF11</f>
        <v>11.076923076923077</v>
      </c>
      <c r="EI11" s="241">
        <f>EB11*EE11/EF11</f>
        <v>8.3076923076923084</v>
      </c>
      <c r="EJ11" s="42">
        <f>SUM(EG11:EI11)</f>
        <v>23.07692307692308</v>
      </c>
      <c r="EK11" s="252">
        <f>DH11</f>
        <v>0</v>
      </c>
      <c r="EL11" s="309">
        <f>EJ11-EK11</f>
        <v>23.07692307692308</v>
      </c>
      <c r="EM11" s="42">
        <f>IF(EJ11&gt;0,EJ11,0)*2+IF(EJ11&gt;12,EJ11-12,0)*2+IF(EJ11&gt;13,EJ11-13,0)*2+IF(EJ11&gt;14,EJ11-14,0)*2+IF(EJ11&gt;15,EJ11-15,0)*2+IF(EJ11&gt;16,EJ11-16,0)*2+IF(EJ11&gt;17,EJ11-17,0)*2+IF(EJ11&gt;18,EJ11-18,0)*2+IF(EJ11&gt;19,EJ11-19,0)*2+IF(EJ11&gt;20,EJ11-20,0)*2</f>
        <v>173.5384615384616</v>
      </c>
      <c r="EN11" s="78">
        <f>IF(EK11&gt;0,EK11,0)*2+IF(EK11&gt;12,EK11-12,0)*2+IF(EK11&gt;13,EK11-13,0)*2+IF(EK11&gt;14,EK11-14,0)*2+IF(EK11&gt;15,EK11-15,0)*2+IF(EK11&gt;16,EK11-16,0)*2+IF(EK11&gt;17,EK11-17,0)*2+IF(EK11&gt;18,EK11-18,0)*2+IF(EK11&gt;19,EK11-19,0)*2+IF(EK11&gt;20,EK11-20,0)*2</f>
        <v>0</v>
      </c>
      <c r="EO11" s="241">
        <f t="shared" ref="EO11:EO24" si="4">IF((EM11-EN11)&gt;0,EM11-EN11,0)</f>
        <v>173.5384615384616</v>
      </c>
      <c r="EP11" s="42">
        <f>IF((EN11-EM11)&gt;0,EN11-EM11,0)</f>
        <v>0</v>
      </c>
      <c r="ER11" s="302" t="s">
        <v>9</v>
      </c>
      <c r="ES11" s="241" t="s">
        <v>8</v>
      </c>
      <c r="ET11" s="42" t="s">
        <v>132</v>
      </c>
      <c r="EU11" s="236">
        <f>Konvention_1slave-MUslave</f>
        <v>12</v>
      </c>
      <c r="EV11" s="233"/>
      <c r="EW11" s="233">
        <f>Konvention_1slave-INslave</f>
        <v>12</v>
      </c>
      <c r="EX11" s="233"/>
      <c r="EY11" s="233"/>
      <c r="EZ11" s="233">
        <f>Konvention_1slave-GEslave</f>
        <v>12</v>
      </c>
      <c r="FA11" s="233"/>
      <c r="FB11" s="221"/>
      <c r="FC11" s="219">
        <f>(EU11+EV11+EW11+EX11+EY11+EZ11+FA11+FB11)/3</f>
        <v>12</v>
      </c>
      <c r="FD11" s="220">
        <f>2*FC11</f>
        <v>24</v>
      </c>
      <c r="FE11" s="221">
        <f>3*FC11</f>
        <v>36</v>
      </c>
      <c r="FF11" s="236">
        <f>EU11*POWER(KLslave,SIGN(EV11))*POWER(INslave,SIGN(EW11))*POWER(CHslave,SIGN(EX11))*POWER(FFslave_FF,SIGN(EY11))*POWER(GEslave,SIGN(EZ11))*POWER(KOslave,SIGN(FA11))*POWER(KKslave,SIGN(FB11))+EV11*POWER(MUslave,SIGN(EU11))*POWER(INslave,SIGN(EW11))*POWER(CHslave,SIGN(EX11))*POWER(FFslave_FF,SIGN(EY11))*POWER(GEslave,SIGN(EZ11))*POWER(KOslave,SIGN(FA11))*POWER(KKslave,SIGN(FB11))+EW11*POWER(MUslave,SIGN(EU11))*POWER(KLslave,SIGN(EV11))*POWER(CHslave,SIGN(EX11))*POWER(FFslave_FF,SIGN(EY11))*POWER(GEslave,SIGN(EZ11))*POWER(KOslave,SIGN(FA11))*POWER(KKslave,SIGN(FB11))+EX11*POWER(MUslave,SIGN(EU11))*POWER(KLslave,SIGN(EV11))*POWER(INslave,SIGN(EW11))*POWER(FFslave_FF,SIGN(EY11))*POWER(GEslave,SIGN(EZ11))*POWER(KOslave,SIGN(FA11))*POWER(KKslave,SIGN(FB11))+EY11*POWER(MUslave,SIGN(EU11))*POWER(KLslave,SIGN(EV11))*POWER(INslave,SIGN(EW11))*POWER(CHslave,SIGN(EX11))*POWER(GEslave,SIGN(EZ11))*POWER(KOslave,SIGN(FA11))*POWER(KKslave,SIGN(FB11))+EZ11*POWER(MUslave,SIGN(EU11))*POWER(KLslave,SIGN(EV11))*POWER(INslave,SIGN(EW11))*POWER(CHslave,SIGN(EX11))*POWER(FFslave_FF,SIGN(EY11))*POWER(KOslave,SIGN(FA11))*POWER(KKslave,SIGN(FB11))+FA11*POWER(MUslave,SIGN(EU11))*POWER(KLslave,SIGN(EV11))*POWER(INslave,SIGN(EW11))*POWER(CHslave,SIGN(EX11))*POWER(FFslave_FF,SIGN(EY11))*POWER(GEslave,SIGN(EZ11))*POWER(KKslave,SIGN(FB11))+FB11*POWER(MUslave,SIGN(EU11))*POWER(KLslave,SIGN(EV11))*POWER(INslave,SIGN(EW11))*POWER(CHslave,SIGN(EX11))*POWER(FFslave_FF,SIGN(EY11))*POWER(GEslave,SIGN(EZ11))*POWER(KOslave,SIGN(FA11))</f>
        <v>2304</v>
      </c>
      <c r="FG11" s="233">
        <f>EU11*EW11*GEslave+EU11*INslave*EZ11+MUslave*EW11*EZ11</f>
        <v>3456</v>
      </c>
      <c r="FH11" s="221">
        <f>IFERROR(EU11^SIGN(EU11),1)*IFERROR(EV11^SIGN(EV11),1)*IFERROR(EW11^SIGN(EW11),1)*IFERROR(EX11^SIGN(EX11),1)*IFERROR(EY11^SIGN(EY11),1)*IFERROR(EZ11^SIGN(EZ11),1)*IFERROR(FA11^SIGN(FA11),1)*IFERROR(FB11^SIGN(FB11),1)</f>
        <v>1728</v>
      </c>
      <c r="FI11" s="78">
        <f>SUM(FF11:FH11)</f>
        <v>7488</v>
      </c>
      <c r="FJ11" s="219">
        <f>FC11*FF11/FI11</f>
        <v>3.6923076923076925</v>
      </c>
      <c r="FK11" s="220">
        <f>FD11*FG11/FI11</f>
        <v>11.076923076923077</v>
      </c>
      <c r="FL11" s="241">
        <f>FE11*FH11/FI11</f>
        <v>8.3076923076923084</v>
      </c>
      <c r="FM11" s="42">
        <f>SUM(FJ11:FL11)</f>
        <v>23.07692307692308</v>
      </c>
      <c r="FN11" s="252">
        <f>EK11</f>
        <v>0</v>
      </c>
      <c r="FO11" s="309">
        <f>FM11-FN11</f>
        <v>23.07692307692308</v>
      </c>
      <c r="FP11" s="42">
        <f>IF(FM11&gt;0,FM11,0)*2+IF(FM11&gt;12,FM11-12,0)*2+IF(FM11&gt;13,FM11-13,0)*2+IF(FM11&gt;14,FM11-14,0)*2+IF(FM11&gt;15,FM11-15,0)*2+IF(FM11&gt;16,FM11-16,0)*2+IF(FM11&gt;17,FM11-17,0)*2+IF(FM11&gt;18,FM11-18,0)*2+IF(FM11&gt;19,FM11-19,0)*2+IF(FM11&gt;20,FM11-20,0)*2</f>
        <v>173.5384615384616</v>
      </c>
      <c r="FQ11" s="78">
        <f>IF(FN11&gt;0,FN11,0)*2+IF(FN11&gt;12,FN11-12,0)*2+IF(FN11&gt;13,FN11-13,0)*2+IF(FN11&gt;14,FN11-14,0)*2+IF(FN11&gt;15,FN11-15,0)*2+IF(FN11&gt;16,FN11-16,0)*2+IF(FN11&gt;17,FN11-17,0)*2+IF(FN11&gt;18,FN11-18,0)*2+IF(FN11&gt;19,FN11-19,0)*2+IF(FN11&gt;20,FN11-20,0)*2</f>
        <v>0</v>
      </c>
      <c r="FR11" s="241">
        <f t="shared" ref="FR11:FR24" si="5">IF((FP11-FQ11)&gt;0,FP11-FQ11,0)</f>
        <v>173.5384615384616</v>
      </c>
      <c r="FS11" s="42">
        <f>IF((FQ11-FP11)&gt;0,FQ11-FP11,0)</f>
        <v>0</v>
      </c>
      <c r="FU11" s="302" t="s">
        <v>9</v>
      </c>
      <c r="FV11" s="241" t="s">
        <v>8</v>
      </c>
      <c r="FW11" s="42" t="s">
        <v>132</v>
      </c>
      <c r="FX11" s="236">
        <f>Konvention_1slave-MUslave</f>
        <v>12</v>
      </c>
      <c r="FY11" s="233"/>
      <c r="FZ11" s="233">
        <f>Konvention_1slave-INslave</f>
        <v>12</v>
      </c>
      <c r="GA11" s="233"/>
      <c r="GB11" s="233"/>
      <c r="GC11" s="233">
        <f>Konvention_1slave-GEslave_GE</f>
        <v>11</v>
      </c>
      <c r="GD11" s="233"/>
      <c r="GE11" s="221"/>
      <c r="GF11" s="219">
        <f>(FX11+FY11+FZ11+GA11+GB11+GC11+GD11+GE11)/3</f>
        <v>11.666666666666666</v>
      </c>
      <c r="GG11" s="220">
        <f>2*GF11</f>
        <v>23.333333333333332</v>
      </c>
      <c r="GH11" s="221">
        <f>3*GF11</f>
        <v>35</v>
      </c>
      <c r="GI11" s="236">
        <f>FX11*POWER(KLslave,SIGN(FY11))*POWER(INslave,SIGN(FZ11))*POWER(CHslave,SIGN(GA11))*POWER(FFslave,SIGN(GB11))*POWER(GEslave_GE,SIGN(GC11))*POWER(KOslave,SIGN(GD11))*POWER(KKslave,SIGN(GE11))+FY11*POWER(MUslave,SIGN(FX11))*POWER(INslave,SIGN(FZ11))*POWER(CHslave,SIGN(GA11))*POWER(FFslave,SIGN(GB11))*POWER(GEslave_GE,SIGN(GC11))*POWER(KOslave,SIGN(GD11))*POWER(KKslave,SIGN(GE11))+FZ11*POWER(MUslave,SIGN(FX11))*POWER(KLslave,SIGN(FY11))*POWER(CHslave,SIGN(GA11))*POWER(FFslave,SIGN(GB11))*POWER(GEslave_GE,SIGN(GC11))*POWER(KOslave,SIGN(GD11))*POWER(KKslave,SIGN(GE11))+GA11*POWER(MUslave,SIGN(FX11))*POWER(KLslave,SIGN(FY11))*POWER(INslave,SIGN(FZ11))*POWER(FFslave,SIGN(GB11))*POWER(GEslave_GE,SIGN(GC11))*POWER(KOslave,SIGN(GD11))*POWER(KKslave,SIGN(GE11))+GB11*POWER(MUslave,SIGN(FX11))*POWER(KLslave,SIGN(FY11))*POWER(INslave,SIGN(FZ11))*POWER(CHslave,SIGN(GA11))*POWER(GEslave_GE,SIGN(GC11))*POWER(KOslave,SIGN(GD11))*POWER(KKslave,SIGN(GE11))+GC11*POWER(MUslave,SIGN(FX11))*POWER(KLslave,SIGN(FY11))*POWER(INslave,SIGN(FZ11))*POWER(CHslave,SIGN(GA11))*POWER(FFslave,SIGN(GB11))*POWER(KOslave,SIGN(GD11))*POWER(KKslave,SIGN(GE11))+GD11*POWER(MUslave,SIGN(FX11))*POWER(KLslave,SIGN(FY11))*POWER(INslave,SIGN(FZ11))*POWER(CHslave,SIGN(GA11))*POWER(FFslave,SIGN(GB11))*POWER(GEslave_GE,SIGN(GC11))*POWER(KKslave,SIGN(GE11))+GE11*POWER(MUslave,SIGN(FX11))*POWER(KLslave,SIGN(FY11))*POWER(INslave,SIGN(FZ11))*POWER(CHslave,SIGN(GA11))*POWER(FFslave,SIGN(GB11))*POWER(GEslave_GE,SIGN(GC11))*POWER(KOslave,SIGN(GD11))</f>
        <v>2432</v>
      </c>
      <c r="GJ11" s="233">
        <f>FX11*FZ11*GEslave_GE+FX11*INslave*GC11+MUslave*FZ11*GC11</f>
        <v>3408</v>
      </c>
      <c r="GK11" s="221">
        <f>IFERROR(FX11^SIGN(FX11),1)*IFERROR(FY11^SIGN(FY11),1)*IFERROR(FZ11^SIGN(FZ11),1)*IFERROR(GA11^SIGN(GA11),1)*IFERROR(GB11^SIGN(GB11),1)*IFERROR(GC11^SIGN(GC11),1)*IFERROR(GD11^SIGN(GD11),1)*IFERROR(GE11^SIGN(GE11),1)</f>
        <v>1584</v>
      </c>
      <c r="GL11" s="78">
        <f>SUM(GI11:GK11)</f>
        <v>7424</v>
      </c>
      <c r="GM11" s="219">
        <f>GF11*GI11/GL11</f>
        <v>3.8218390804597702</v>
      </c>
      <c r="GN11" s="220">
        <f>GG11*GJ11/GL11</f>
        <v>10.711206896551724</v>
      </c>
      <c r="GO11" s="241">
        <f>GH11*GK11/GL11</f>
        <v>7.4676724137931032</v>
      </c>
      <c r="GP11" s="42">
        <f>SUM(GM11:GO11)</f>
        <v>22.000718390804597</v>
      </c>
      <c r="GQ11" s="252">
        <f>FN11</f>
        <v>0</v>
      </c>
      <c r="GR11" s="309">
        <f>GP11-GQ11</f>
        <v>22.000718390804597</v>
      </c>
      <c r="GS11" s="42">
        <f>IF(GP11&gt;0,GP11,0)*2+IF(GP11&gt;12,GP11-12,0)*2+IF(GP11&gt;13,GP11-13,0)*2+IF(GP11&gt;14,GP11-14,0)*2+IF(GP11&gt;15,GP11-15,0)*2+IF(GP11&gt;16,GP11-16,0)*2+IF(GP11&gt;17,GP11-17,0)*2+IF(GP11&gt;18,GP11-18,0)*2+IF(GP11&gt;19,GP11-19,0)*2+IF(GP11&gt;20,GP11-20,0)*2</f>
        <v>152.01436781609189</v>
      </c>
      <c r="GT11" s="78">
        <f>IF(GQ11&gt;0,GQ11,0)*2+IF(GQ11&gt;12,GQ11-12,0)*2+IF(GQ11&gt;13,GQ11-13,0)*2+IF(GQ11&gt;14,GQ11-14,0)*2+IF(GQ11&gt;15,GQ11-15,0)*2+IF(GQ11&gt;16,GQ11-16,0)*2+IF(GQ11&gt;17,GQ11-17,0)*2+IF(GQ11&gt;18,GQ11-18,0)*2+IF(GQ11&gt;19,GQ11-19,0)*2+IF(GQ11&gt;20,GQ11-20,0)*2</f>
        <v>0</v>
      </c>
      <c r="GU11" s="241">
        <f t="shared" ref="GU11:GU24" si="6">IF((GS11-GT11)&gt;0,GS11-GT11,0)</f>
        <v>152.01436781609189</v>
      </c>
      <c r="GV11" s="42">
        <f>IF((GT11-GS11)&gt;0,GT11-GS11,0)</f>
        <v>0</v>
      </c>
      <c r="GX11" s="302" t="s">
        <v>9</v>
      </c>
      <c r="GY11" s="241" t="s">
        <v>8</v>
      </c>
      <c r="GZ11" s="42" t="s">
        <v>132</v>
      </c>
      <c r="HA11" s="236">
        <f>Konvention_1slave-MUslave</f>
        <v>12</v>
      </c>
      <c r="HB11" s="233"/>
      <c r="HC11" s="233">
        <f>Konvention_1slave-INslave</f>
        <v>12</v>
      </c>
      <c r="HD11" s="233"/>
      <c r="HE11" s="233"/>
      <c r="HF11" s="233">
        <f>Konvention_1slave-GEslave</f>
        <v>12</v>
      </c>
      <c r="HG11" s="233"/>
      <c r="HH11" s="221"/>
      <c r="HI11" s="219">
        <f>(HA11+HB11+HC11+HD11+HE11+HF11+HG11+HH11)/3</f>
        <v>12</v>
      </c>
      <c r="HJ11" s="220">
        <f>2*HI11</f>
        <v>24</v>
      </c>
      <c r="HK11" s="221">
        <f>3*HI11</f>
        <v>36</v>
      </c>
      <c r="HL11" s="236">
        <f>HA11*POWER(KLslave,SIGN(HB11))*POWER(INslave,SIGN(HC11))*POWER(CHslave,SIGN(HD11))*POWER(FFslave,SIGN(HE11))*POWER(GEslave,SIGN(HF11))*POWER(KOslave_KO,SIGN(HG11))*POWER(KKslave,SIGN(HH11))+HB11*POWER(MUslave,SIGN(HA11))*POWER(INslave,SIGN(HC11))*POWER(CHslave,SIGN(HD11))*POWER(FFslave,SIGN(HE11))*POWER(GEslave,SIGN(HF11))*POWER(KOslave_KO,SIGN(HG11))*POWER(KKslave,SIGN(HH11))+HC11*POWER(MUslave,SIGN(HA11))*POWER(KLslave,SIGN(HB11))*POWER(CHslave,SIGN(HD11))*POWER(FFslave,SIGN(HE11))*POWER(GEslave,SIGN(HF11))*POWER(KOslave_KO,SIGN(HG11))*POWER(KKslave,SIGN(HH11))+HD11*POWER(MUslave,SIGN(HA11))*POWER(KLslave,SIGN(HB11))*POWER(INslave,SIGN(HC11))*POWER(FFslave,SIGN(HE11))*POWER(GEslave,SIGN(HF11))*POWER(KOslave_KO,SIGN(HG11))*POWER(KKslave,SIGN(HH11))+HE11*POWER(MUslave,SIGN(HA11))*POWER(KLslave,SIGN(HB11))*POWER(INslave,SIGN(HC11))*POWER(CHslave,SIGN(HD11))*POWER(GEslave,SIGN(HF11))*POWER(KOslave_KO,SIGN(HG11))*POWER(KKslave,SIGN(HH11))+HF11*POWER(MUslave,SIGN(HA11))*POWER(KLslave,SIGN(HB11))*POWER(INslave,SIGN(HC11))*POWER(CHslave,SIGN(HD11))*POWER(FFslave,SIGN(HE11))*POWER(KOslave_KO,SIGN(HG11))*POWER(KKslave,SIGN(HH11))+HG11*POWER(MUslave,SIGN(HA11))*POWER(KLslave,SIGN(HB11))*POWER(INslave,SIGN(HC11))*POWER(CHslave,SIGN(HD11))*POWER(FFslave,SIGN(HE11))*POWER(GEslave,SIGN(HF11))*POWER(KKslave,SIGN(HH11))+HH11*POWER(MUslave,SIGN(HA11))*POWER(KLslave,SIGN(HB11))*POWER(INslave,SIGN(HC11))*POWER(CHslave,SIGN(HD11))*POWER(FFslave,SIGN(HE11))*POWER(GEslave,SIGN(HF11))*POWER(KOslave_KO,SIGN(HG11))</f>
        <v>2304</v>
      </c>
      <c r="HM11" s="233">
        <f>HA11*HC11*GEslave+HA11*INslave*HF11+MUslave*HC11*HF11</f>
        <v>3456</v>
      </c>
      <c r="HN11" s="221">
        <f>IFERROR(HA11^SIGN(HA11),1)*IFERROR(HB11^SIGN(HB11),1)*IFERROR(HC11^SIGN(HC11),1)*IFERROR(HD11^SIGN(HD11),1)*IFERROR(HE11^SIGN(HE11),1)*IFERROR(HF11^SIGN(HF11),1)*IFERROR(HG11^SIGN(HG11),1)*IFERROR(HH11^SIGN(HH11),1)</f>
        <v>1728</v>
      </c>
      <c r="HO11" s="78">
        <f>SUM(HL11:HN11)</f>
        <v>7488</v>
      </c>
      <c r="HP11" s="219">
        <f>HI11*HL11/HO11</f>
        <v>3.6923076923076925</v>
      </c>
      <c r="HQ11" s="220">
        <f>HJ11*HM11/HO11</f>
        <v>11.076923076923077</v>
      </c>
      <c r="HR11" s="241">
        <f>HK11*HN11/HO11</f>
        <v>8.3076923076923084</v>
      </c>
      <c r="HS11" s="42">
        <f>SUM(HP11:HR11)</f>
        <v>23.07692307692308</v>
      </c>
      <c r="HT11" s="252">
        <f>GQ11</f>
        <v>0</v>
      </c>
      <c r="HU11" s="309">
        <f>HS11-HT11</f>
        <v>23.07692307692308</v>
      </c>
      <c r="HV11" s="42">
        <f>IF(HS11&gt;0,HS11,0)*2+IF(HS11&gt;12,HS11-12,0)*2+IF(HS11&gt;13,HS11-13,0)*2+IF(HS11&gt;14,HS11-14,0)*2+IF(HS11&gt;15,HS11-15,0)*2+IF(HS11&gt;16,HS11-16,0)*2+IF(HS11&gt;17,HS11-17,0)*2+IF(HS11&gt;18,HS11-18,0)*2+IF(HS11&gt;19,HS11-19,0)*2+IF(HS11&gt;20,HS11-20,0)*2</f>
        <v>173.5384615384616</v>
      </c>
      <c r="HW11" s="78">
        <f>IF(HT11&gt;0,HT11,0)*2+IF(HT11&gt;12,HT11-12,0)*2+IF(HT11&gt;13,HT11-13,0)*2+IF(HT11&gt;14,HT11-14,0)*2+IF(HT11&gt;15,HT11-15,0)*2+IF(HT11&gt;16,HT11-16,0)*2+IF(HT11&gt;17,HT11-17,0)*2+IF(HT11&gt;18,HT11-18,0)*2+IF(HT11&gt;19,HT11-19,0)*2+IF(HT11&gt;20,HT11-20,0)*2</f>
        <v>0</v>
      </c>
      <c r="HX11" s="241">
        <f t="shared" ref="HX11:HX24" si="7">IF((HV11-HW11)&gt;0,HV11-HW11,0)</f>
        <v>173.5384615384616</v>
      </c>
      <c r="HY11" s="42">
        <f>IF((HW11-HV11)&gt;0,HW11-HV11,0)</f>
        <v>0</v>
      </c>
      <c r="IA11" s="302" t="s">
        <v>9</v>
      </c>
      <c r="IB11" s="241" t="s">
        <v>8</v>
      </c>
      <c r="IC11" s="42" t="s">
        <v>132</v>
      </c>
      <c r="ID11" s="236">
        <f>Konvention_1slave-MUslave</f>
        <v>12</v>
      </c>
      <c r="IE11" s="233"/>
      <c r="IF11" s="233">
        <f>Konvention_1slave-INslave</f>
        <v>12</v>
      </c>
      <c r="IG11" s="233"/>
      <c r="IH11" s="233"/>
      <c r="II11" s="233">
        <f>Konvention_1slave-GEslave</f>
        <v>12</v>
      </c>
      <c r="IJ11" s="233"/>
      <c r="IK11" s="221"/>
      <c r="IL11" s="219">
        <f>(ID11+IE11+IF11+IG11+IH11+II11+IJ11+IK11)/3</f>
        <v>12</v>
      </c>
      <c r="IM11" s="220">
        <f>2*IL11</f>
        <v>24</v>
      </c>
      <c r="IN11" s="221">
        <f>3*IL11</f>
        <v>36</v>
      </c>
      <c r="IO11" s="236">
        <f>ID11*POWER(KLslave,SIGN(IE11))*POWER(INslave,SIGN(IF11))*POWER(CHslave,SIGN(IG11))*POWER(FFslave,SIGN(IH11))*POWER(GEslave,SIGN(II11))*POWER(KOslave,SIGN(IJ11))*POWER(KKslave_KK,SIGN(IK11))+IE11*POWER(MUslave,SIGN(ID11))*POWER(INslave,SIGN(IF11))*POWER(CHslave,SIGN(IG11))*POWER(FFslave,SIGN(IH11))*POWER(GEslave,SIGN(II11))*POWER(KOslave,SIGN(IJ11))*POWER(KKslave_KK,SIGN(IK11))+IF11*POWER(MUslave,SIGN(ID11))*POWER(KLslave,SIGN(IE11))*POWER(CHslave,SIGN(IG11))*POWER(FFslave,SIGN(IH11))*POWER(GEslave,SIGN(II11))*POWER(KOslave,SIGN(IJ11))*POWER(KKslave_KK,SIGN(IK11))+IG11*POWER(MUslave,SIGN(ID11))*POWER(KLslave,SIGN(IE11))*POWER(INslave,SIGN(IF11))*POWER(FFslave,SIGN(IH11))*POWER(GEslave,SIGN(II11))*POWER(KOslave,SIGN(IJ11))*POWER(KKslave_KK,SIGN(IK11))+IH11*POWER(MUslave,SIGN(ID11))*POWER(KLslave,SIGN(IE11))*POWER(INslave,SIGN(IF11))*POWER(CHslave,SIGN(IG11))*POWER(GEslave,SIGN(II11))*POWER(KOslave,SIGN(IJ11))*POWER(KKslave_KK,SIGN(IK11))+II11*POWER(MUslave,SIGN(ID11))*POWER(KLslave,SIGN(IE11))*POWER(INslave,SIGN(IF11))*POWER(CHslave,SIGN(IG11))*POWER(FFslave,SIGN(IH11))*POWER(KOslave,SIGN(IJ11))*POWER(KKslave_KK,SIGN(IK11))+IJ11*POWER(MUslave,SIGN(ID11))*POWER(KLslave,SIGN(IE11))*POWER(INslave,SIGN(IF11))*POWER(CHslave,SIGN(IG11))*POWER(FFslave,SIGN(IH11))*POWER(GEslave,SIGN(II11))*POWER(KKslave_KK,SIGN(IK11))+IK11*POWER(MUslave,SIGN(ID11))*POWER(KLslave,SIGN(IE11))*POWER(INslave,SIGN(IF11))*POWER(CHslave,SIGN(IG11))*POWER(FFslave,SIGN(IH11))*POWER(GEslave,SIGN(II11))*POWER(KOslave,SIGN(IJ11))</f>
        <v>2304</v>
      </c>
      <c r="IP11" s="233">
        <f>ID11*IF11*GEslave+ID11*INslave*II11+MUslave*IF11*II11</f>
        <v>3456</v>
      </c>
      <c r="IQ11" s="221">
        <f>IFERROR(ID11^SIGN(ID11),1)*IFERROR(IE11^SIGN(IE11),1)*IFERROR(IF11^SIGN(IF11),1)*IFERROR(IG11^SIGN(IG11),1)*IFERROR(IH11^SIGN(IH11),1)*IFERROR(II11^SIGN(II11),1)*IFERROR(IJ11^SIGN(IJ11),1)*IFERROR(IK11^SIGN(IK11),1)</f>
        <v>1728</v>
      </c>
      <c r="IR11" s="78">
        <f>SUM(IO11:IQ11)</f>
        <v>7488</v>
      </c>
      <c r="IS11" s="219">
        <f>IL11*IO11/IR11</f>
        <v>3.6923076923076925</v>
      </c>
      <c r="IT11" s="220">
        <f>IM11*IP11/IR11</f>
        <v>11.076923076923077</v>
      </c>
      <c r="IU11" s="241">
        <f>IN11*IQ11/IR11</f>
        <v>8.3076923076923084</v>
      </c>
      <c r="IV11" s="42">
        <f>SUM(IS11:IU11)</f>
        <v>23.07692307692308</v>
      </c>
      <c r="IW11" s="252">
        <f>HT11</f>
        <v>0</v>
      </c>
      <c r="IX11" s="309">
        <f>IV11-IW11</f>
        <v>23.07692307692308</v>
      </c>
      <c r="IY11" s="42">
        <f>IF(IV11&gt;0,IV11,0)*2+IF(IV11&gt;12,IV11-12,0)*2+IF(IV11&gt;13,IV11-13,0)*2+IF(IV11&gt;14,IV11-14,0)*2+IF(IV11&gt;15,IV11-15,0)*2+IF(IV11&gt;16,IV11-16,0)*2+IF(IV11&gt;17,IV11-17,0)*2+IF(IV11&gt;18,IV11-18,0)*2+IF(IV11&gt;19,IV11-19,0)*2+IF(IV11&gt;20,IV11-20,0)*2</f>
        <v>173.5384615384616</v>
      </c>
      <c r="IZ11" s="78">
        <f>IF(IW11&gt;0,IW11,0)*2+IF(IW11&gt;12,IW11-12,0)*2+IF(IW11&gt;13,IW11-13,0)*2+IF(IW11&gt;14,IW11-14,0)*2+IF(IW11&gt;15,IW11-15,0)*2+IF(IW11&gt;16,IW11-16,0)*2+IF(IW11&gt;17,IW11-17,0)*2+IF(IW11&gt;18,IW11-18,0)*2+IF(IW11&gt;19,IW11-19,0)*2+IF(IW11&gt;20,IW11-20,0)*2</f>
        <v>0</v>
      </c>
      <c r="JA11" s="241">
        <f t="shared" ref="JA11:JA24" si="8">IF((IY11-IZ11)&gt;0,IY11-IZ11,0)</f>
        <v>173.5384615384616</v>
      </c>
      <c r="JB11" s="42">
        <f>IF((IZ11-IY11)&gt;0,IZ11-IY11,0)</f>
        <v>0</v>
      </c>
      <c r="JE11" s="148"/>
    </row>
    <row r="12" spans="1:265" hidden="1" outlineLevel="2">
      <c r="B12" s="148">
        <v>2</v>
      </c>
      <c r="C12" s="303" t="e">
        <f>VLOOKUP(AF12,Attribute!C:T,1,FALSE)</f>
        <v>#N/A</v>
      </c>
      <c r="D12" s="127" t="s">
        <v>72</v>
      </c>
      <c r="E12" s="125" t="s">
        <v>133</v>
      </c>
      <c r="F12" s="114">
        <f>Konvention_1master-MUmaster</f>
        <v>12</v>
      </c>
      <c r="G12" s="113"/>
      <c r="H12" s="113"/>
      <c r="I12" s="113">
        <f>Konvention_1master-CHmaster</f>
        <v>12</v>
      </c>
      <c r="J12" s="113">
        <f>Konvention_1master-FFmaster</f>
        <v>12</v>
      </c>
      <c r="K12" s="113"/>
      <c r="L12" s="113"/>
      <c r="M12" s="119"/>
      <c r="N12" s="222">
        <f>(F12+G12+H12+I12+J12+K12+L12+M12)/3</f>
        <v>12</v>
      </c>
      <c r="O12" s="223">
        <f t="shared" ref="O12:O24" si="9">2*N12</f>
        <v>24</v>
      </c>
      <c r="P12" s="224">
        <f t="shared" ref="P12:P24" si="10">3*N12</f>
        <v>36</v>
      </c>
      <c r="Q12" s="237">
        <f>F12*POWER(KLmaster,SIGN(G12))*POWER(INmaster,SIGN(H12))*POWER(CHmaster,SIGN(I12))*POWER(FFmaster,SIGN(J12))*POWER(GEmaster,SIGN(K12))*POWER(KOmaster,SIGN(L12))*POWER(KKmaster,SIGN(M12))+G12*POWER(MUmaster,SIGN(F12))*POWER(INmaster,SIGN(H12))*POWER(CHmaster,SIGN(I12))*POWER(FFmaster,SIGN(J12))*POWER(GEmaster,SIGN(K12))*POWER(KOmaster,SIGN(L12))*POWER(KKmaster,SIGN(M12))+H12*POWER(MUmaster,SIGN(F12))*POWER(KLmaster,SIGN(G12))*POWER(CHmaster,SIGN(I12))*POWER(FFmaster,SIGN(J12))*POWER(GEmaster,SIGN(K12))*POWER(KOmaster,SIGN(L12))*POWER(KKmaster,SIGN(M12))+I12*POWER(MUmaster,SIGN(F12))*POWER(KLmaster,SIGN(G12))*POWER(INmaster,SIGN(H12))*POWER(FFmaster,SIGN(J12))*POWER(GEmaster,SIGN(K12))*POWER(KOmaster,SIGN(L12))*POWER(KKmaster,SIGN(M12))+J12*POWER(MUmaster,SIGN(F12))*POWER(KLmaster,SIGN(G12))*POWER(INmaster,SIGN(H12))*POWER(CHmaster,SIGN(I12))*POWER(GEmaster,SIGN(K12))*POWER(KOmaster,SIGN(L12))*POWER(KKmaster,SIGN(M12))+K12*POWER(MUmaster,SIGN(F12))*POWER(KLmaster,SIGN(G12))*POWER(INmaster,SIGN(H12))*POWER(CHmaster,SIGN(I12))*POWER(FFmaster,SIGN(J12))*POWER(KOmaster,SIGN(L12))*POWER(KKmaster,SIGN(M12))+L12*POWER(MUmaster,SIGN(F12))*POWER(KLmaster,SIGN(G12))*POWER(INmaster,SIGN(H12))*POWER(CHmaster,SIGN(I12))*POWER(FFmaster,SIGN(J12))*POWER(GEmaster,SIGN(K12))*POWER(KKmaster,SIGN(M12))+M12*POWER(MUmaster,SIGN(F12))*POWER(KLmaster,SIGN(G12))*POWER(INmaster,SIGN(H12))*POWER(CHmaster,SIGN(I12))*POWER(FFmaster,SIGN(J12))*POWER(GEmaster,SIGN(K12))*POWER(KOmaster,SIGN(L12))</f>
        <v>2304</v>
      </c>
      <c r="R12" s="113">
        <f>F12*I12*FFmaster+F12*CHmaster*J12+MUmaster*I12*J12</f>
        <v>3456</v>
      </c>
      <c r="S12" s="224">
        <f t="shared" ref="S12:S24" si="11">IFERROR(F12^SIGN(F12),1)*IFERROR(G12^SIGN(G12),1)*IFERROR(H12^SIGN(H12),1)*IFERROR(I12^SIGN(I12),1)*IFERROR(J12^SIGN(J12),1)*IFERROR(K12^SIGN(K12),1)*IFERROR(L12^SIGN(L12),1)*IFERROR(M12^SIGN(M12),1)</f>
        <v>1728</v>
      </c>
      <c r="T12" s="242">
        <f>SUM(Q12:S12)</f>
        <v>7488</v>
      </c>
      <c r="U12" s="222">
        <f t="shared" ref="U12:U24" si="12">N12*Q12/T12</f>
        <v>3.6923076923076925</v>
      </c>
      <c r="V12" s="223">
        <f t="shared" ref="V12:V24" si="13">O12*R12/T12</f>
        <v>11.076923076923077</v>
      </c>
      <c r="W12" s="243">
        <f t="shared" ref="W12:W24" si="14">P12*S12/T12</f>
        <v>8.3076923076923084</v>
      </c>
      <c r="X12" s="218">
        <f t="shared" ref="X12:X24" si="15">SUM(U12:W12)</f>
        <v>23.07692307692308</v>
      </c>
      <c r="Y12" s="252">
        <v>0</v>
      </c>
      <c r="Z12" s="198">
        <f t="shared" ref="Z12:Z24" si="16">X12-Y12</f>
        <v>23.07692307692308</v>
      </c>
      <c r="AA12" s="125">
        <f>IF(X12&gt;0,X12,0)*1+IF(X12&gt;12,X12-12,0)*1+IF(X12&gt;13,X12-13,0)*1+IF(X12&gt;14,X12-14,0)*1+IF(X12&gt;15,X12-15,0)*1+IF(X12&gt;16,X12-16,0)*1+IF(X12&gt;17,X12-17,0)*1+IF(X12&gt;18,X12-18,0)*1+IF(X12&gt;19,X12-19,0)*1+IF(X12&gt;20,X12-20,0)*1</f>
        <v>86.769230769230802</v>
      </c>
      <c r="AB12" s="160">
        <f>IF(Y12&gt;0,Y12,0)*1+IF(Y12&gt;12,Y12-12,0)*1+IF(Y12&gt;13,Y12-13,0)*1+IF(Y12&gt;14,Y12-14,0)*1+IF(Y12&gt;15,Y12-15,0)*1+IF(Y12&gt;16,Y12-16,0)*1+IF(Y12&gt;17,Y12-17,0)*1+IF(Y12&gt;18,Y12-18,0)*1+IF(Y12&gt;19,Y12-19,0)*1+IF(Y12&gt;20,Y12-20,0)*1</f>
        <v>0</v>
      </c>
      <c r="AC12" s="127">
        <f t="shared" si="0"/>
        <v>86.769230769230802</v>
      </c>
      <c r="AD12" s="125">
        <f t="shared" ref="AD12:AD24" si="17">IF((AB12-AA12)&gt;0,AB12-AA12,0)</f>
        <v>0</v>
      </c>
      <c r="AF12" s="163" t="s">
        <v>10</v>
      </c>
      <c r="AG12" s="127" t="s">
        <v>72</v>
      </c>
      <c r="AH12" s="125" t="s">
        <v>133</v>
      </c>
      <c r="AI12" s="114">
        <f>Konvention_1slave-MUslave_MU</f>
        <v>11</v>
      </c>
      <c r="AJ12" s="113"/>
      <c r="AK12" s="113"/>
      <c r="AL12" s="113">
        <f>Konvention_1slave-CHslave</f>
        <v>12</v>
      </c>
      <c r="AM12" s="113">
        <f>Konvention_1slave-FFslave</f>
        <v>12</v>
      </c>
      <c r="AN12" s="113"/>
      <c r="AO12" s="113"/>
      <c r="AP12" s="119"/>
      <c r="AQ12" s="89">
        <f>(AI12+AJ12+AK12+AL12+AM12+AN12+AO12+AP12)/3</f>
        <v>11.666666666666666</v>
      </c>
      <c r="AR12" s="47">
        <f t="shared" ref="AR12:AR24" si="18">2*AQ12</f>
        <v>23.333333333333332</v>
      </c>
      <c r="AS12" s="119">
        <f t="shared" ref="AS12:AS24" si="19">3*AQ12</f>
        <v>35</v>
      </c>
      <c r="AT12" s="114">
        <f>AI12*POWER(KLslave,SIGN(AJ12))*POWER(INslave,SIGN(AK12))*POWER(CHslave,SIGN(AL12))*POWER(FFslave,SIGN(AM12))*POWER(GEslave,SIGN(AN12))*POWER(KOslave,SIGN(AO12))*POWER(KKslave,SIGN(AP12))+AJ12*POWER(MUslave_MU,SIGN(AI12))*POWER(INslave,SIGN(AK12))*POWER(CHslave,SIGN(AL12))*POWER(FFslave,SIGN(AM12))*POWER(GEslave,SIGN(AN12))*POWER(KOslave,SIGN(AO12))*POWER(KKslave,SIGN(AP12))+AK12*POWER(MUslave_MU,SIGN(AI12))*POWER(KLslave,SIGN(AJ12))*POWER(CHslave,SIGN(AL12))*POWER(FFslave,SIGN(AM12))*POWER(GEslave,SIGN(AN12))*POWER(KOslave,SIGN(AO12))*POWER(KKslave,SIGN(AP12))+AL12*POWER(MUslave_MU,SIGN(AI12))*POWER(KLslave,SIGN(AJ12))*POWER(INslave,SIGN(AK12))*POWER(FFslave,SIGN(AM12))*POWER(GEslave,SIGN(AN12))*POWER(KOslave,SIGN(AO12))*POWER(KKslave,SIGN(AP12))+AM12*POWER(MUslave_MU,SIGN(AI12))*POWER(KLslave,SIGN(AJ12))*POWER(INslave,SIGN(AK12))*POWER(CHslave,SIGN(AL12))*POWER(GEslave,SIGN(AN12))*POWER(KOslave,SIGN(AO12))*POWER(KKslave,SIGN(AP12))+AN12*POWER(MUslave_MU,SIGN(AI12))*POWER(KLslave,SIGN(AJ12))*POWER(INslave,SIGN(AK12))*POWER(CHslave,SIGN(AL12))*POWER(FFslave,SIGN(AM12))*POWER(KOslave,SIGN(AO12))*POWER(KKslave,SIGN(AP12))+AO12*POWER(MUslave_MU,SIGN(AI12))*POWER(KLslave,SIGN(AJ12))*POWER(INslave,SIGN(AK12))*POWER(CHslave,SIGN(AL12))*POWER(FFslave,SIGN(AM12))*POWER(GEslave,SIGN(AN12))*POWER(KKslave,SIGN(AP12))+AP12*POWER(MUslave_MU,SIGN(AI12))*POWER(KLslave,SIGN(AJ12))*POWER(INslave,SIGN(AK12))*POWER(CHslave,SIGN(AL12))*POWER(FFslave,SIGN(AM12))*POWER(GEslave,SIGN(AN12))*POWER(KOslave,SIGN(AO12))</f>
        <v>2432</v>
      </c>
      <c r="AU12" s="113">
        <f>AI12*AL12*FFslave+AI12*CHslave*AM12+MUslave_MU*AL12*AM12</f>
        <v>3408</v>
      </c>
      <c r="AV12" s="119">
        <f t="shared" ref="AV12:AV24" si="20">IFERROR(AI12^SIGN(AI12),1)*IFERROR(AJ12^SIGN(AJ12),1)*IFERROR(AK12^SIGN(AK12),1)*IFERROR(AL12^SIGN(AL12),1)*IFERROR(AM12^SIGN(AM12),1)*IFERROR(AN12^SIGN(AN12),1)*IFERROR(AO12^SIGN(AO12),1)*IFERROR(AP12^SIGN(AP12),1)</f>
        <v>1584</v>
      </c>
      <c r="AW12" s="160">
        <f>SUM(AT12:AV12)</f>
        <v>7424</v>
      </c>
      <c r="AX12" s="89">
        <f t="shared" ref="AX12:AX24" si="21">AQ12*AT12/AW12</f>
        <v>3.8218390804597702</v>
      </c>
      <c r="AY12" s="47">
        <f t="shared" ref="AY12:AY24" si="22">AR12*AU12/AW12</f>
        <v>10.711206896551724</v>
      </c>
      <c r="AZ12" s="127">
        <f t="shared" ref="AZ12:AZ24" si="23">AS12*AV12/AW12</f>
        <v>7.4676724137931032</v>
      </c>
      <c r="BA12" s="125">
        <f t="shared" ref="BA12:BA24" si="24">SUM(AX12:AZ12)</f>
        <v>22.000718390804597</v>
      </c>
      <c r="BB12" s="165">
        <f t="shared" ref="BB12:BB24" si="25">Y12</f>
        <v>0</v>
      </c>
      <c r="BC12" s="198">
        <f t="shared" ref="BC12:BC24" si="26">BA12-BB12</f>
        <v>22.000718390804597</v>
      </c>
      <c r="BD12" s="125">
        <f>IF(BA12&gt;0,BA12,0)*1+IF(BA12&gt;12,BA12-12,0)*1+IF(BA12&gt;13,BA12-13,0)*1+IF(BA12&gt;14,BA12-14,0)*1+IF(BA12&gt;15,BA12-15,0)*1+IF(BA12&gt;16,BA12-16,0)*1+IF(BA12&gt;17,BA12-17,0)*1+IF(BA12&gt;18,BA12-18,0)*1+IF(BA12&gt;19,BA12-19,0)*1+IF(BA12&gt;20,BA12-20,0)*1</f>
        <v>76.007183908045945</v>
      </c>
      <c r="BE12" s="160">
        <f>IF(BB12&gt;0,BB12,0)*1+IF(BB12&gt;12,BB12-12,0)*1+IF(BB12&gt;13,BB12-13,0)*1+IF(BB12&gt;14,BB12-14,0)*1+IF(BB12&gt;15,BB12-15,0)*1+IF(BB12&gt;16,BB12-16,0)*1+IF(BB12&gt;17,BB12-17,0)*1+IF(BB12&gt;18,BB12-18,0)*1+IF(BB12&gt;19,BB12-19,0)*1+IF(BB12&gt;20,BB12-20,0)*1</f>
        <v>0</v>
      </c>
      <c r="BF12" s="243">
        <f t="shared" si="1"/>
        <v>76.007183908045945</v>
      </c>
      <c r="BG12" s="218">
        <f t="shared" ref="BG12:BG24" si="27">IF((BE12-BD12)&gt;0,BE12-BD12,0)</f>
        <v>0</v>
      </c>
      <c r="BI12" s="303" t="s">
        <v>10</v>
      </c>
      <c r="BJ12" s="243" t="s">
        <v>72</v>
      </c>
      <c r="BK12" s="218" t="s">
        <v>133</v>
      </c>
      <c r="BL12" s="237">
        <f>Konvention_1slave-MUslave</f>
        <v>12</v>
      </c>
      <c r="BM12" s="234"/>
      <c r="BN12" s="234"/>
      <c r="BO12" s="234">
        <f>Konvention_1slave-CHslave</f>
        <v>12</v>
      </c>
      <c r="BP12" s="234">
        <f>Konvention_1slave-FFslave</f>
        <v>12</v>
      </c>
      <c r="BQ12" s="234"/>
      <c r="BR12" s="234"/>
      <c r="BS12" s="224"/>
      <c r="BT12" s="222">
        <f>(BL12+BM12+BN12+BO12+BP12+BQ12+BR12+BS12)/3</f>
        <v>12</v>
      </c>
      <c r="BU12" s="223">
        <f t="shared" ref="BU12:BU24" si="28">2*BT12</f>
        <v>24</v>
      </c>
      <c r="BV12" s="224">
        <f t="shared" ref="BV12:BV24" si="29">3*BT12</f>
        <v>36</v>
      </c>
      <c r="BW12" s="237">
        <f>BL12*POWER(KLslave_KL,SIGN(BM12))*POWER(INslave,SIGN(BN12))*POWER(CHslave,SIGN(BO12))*POWER(FFslave,SIGN(BP12))*POWER(GEslave,SIGN(BQ12))*POWER(KOslave,SIGN(BR12))*POWER(KKslave,SIGN(BS12))+BM12*POWER(MUslave,SIGN(BL12))*POWER(INslave,SIGN(BN12))*POWER(CHslave,SIGN(BO12))*POWER(FFslave,SIGN(BP12))*POWER(GEslave,SIGN(BQ12))*POWER(KOslave,SIGN(BR12))*POWER(KKslave,SIGN(BS12))+BN12*POWER(MUslave,SIGN(BL12))*POWER(KLslave_KL,SIGN(BM12))*POWER(CHslave,SIGN(BO12))*POWER(FFslave,SIGN(BP12))*POWER(GEslave,SIGN(BQ12))*POWER(KOslave,SIGN(BR12))*POWER(KKslave,SIGN(BS12))+BO12*POWER(MUslave,SIGN(BL12))*POWER(KLslave_KL,SIGN(BM12))*POWER(INslave,SIGN(BN12))*POWER(FFslave,SIGN(BP12))*POWER(GEslave,SIGN(BQ12))*POWER(KOslave,SIGN(BR12))*POWER(KKslave,SIGN(BS12))+BP12*POWER(MUslave,SIGN(BL12))*POWER(KLslave_KL,SIGN(BM12))*POWER(INslave,SIGN(BN12))*POWER(CHslave,SIGN(BO12))*POWER(GEslave,SIGN(BQ12))*POWER(KOslave,SIGN(BR12))*POWER(KKslave,SIGN(BS12))+BQ12*POWER(MUslave,SIGN(BL12))*POWER(KLslave_KL,SIGN(BM12))*POWER(INslave,SIGN(BN12))*POWER(CHslave,SIGN(BO12))*POWER(FFslave,SIGN(BP12))*POWER(KOslave,SIGN(BR12))*POWER(KKslave,SIGN(BS12))+BR12*POWER(MUslave,SIGN(BL12))*POWER(KLslave_KL,SIGN(BM12))*POWER(INslave,SIGN(BN12))*POWER(CHslave,SIGN(BO12))*POWER(FFslave,SIGN(BP12))*POWER(GEslave,SIGN(BQ12))*POWER(KKslave,SIGN(BS12))+BS12*POWER(MUslave,SIGN(BL12))*POWER(KLslave_KL,SIGN(BM12))*POWER(INslave,SIGN(BN12))*POWER(CHslave,SIGN(BO12))*POWER(FFslave,SIGN(BP12))*POWER(GEslave,SIGN(BQ12))*POWER(KOslave,SIGN(BR12))</f>
        <v>2304</v>
      </c>
      <c r="BX12" s="234">
        <f>BL12*BO12*FFslave+BL12*CHslave*BP12+MUslave*BO12*BP12</f>
        <v>3456</v>
      </c>
      <c r="BY12" s="224">
        <f t="shared" ref="BY12:BY24" si="30">IFERROR(BL12^SIGN(BL12),1)*IFERROR(BM12^SIGN(BM12),1)*IFERROR(BN12^SIGN(BN12),1)*IFERROR(BO12^SIGN(BO12),1)*IFERROR(BP12^SIGN(BP12),1)*IFERROR(BQ12^SIGN(BQ12),1)*IFERROR(BR12^SIGN(BR12),1)*IFERROR(BS12^SIGN(BS12),1)</f>
        <v>1728</v>
      </c>
      <c r="BZ12" s="242">
        <f>SUM(BW12:BY12)</f>
        <v>7488</v>
      </c>
      <c r="CA12" s="222">
        <f t="shared" ref="CA12:CA24" si="31">BT12*BW12/BZ12</f>
        <v>3.6923076923076925</v>
      </c>
      <c r="CB12" s="223">
        <f t="shared" ref="CB12:CB24" si="32">BU12*BX12/BZ12</f>
        <v>11.076923076923077</v>
      </c>
      <c r="CC12" s="243">
        <f t="shared" ref="CC12:CC24" si="33">BV12*BY12/BZ12</f>
        <v>8.3076923076923084</v>
      </c>
      <c r="CD12" s="218">
        <f t="shared" ref="CD12:CD24" si="34">SUM(CA12:CC12)</f>
        <v>23.07692307692308</v>
      </c>
      <c r="CE12" s="252">
        <f t="shared" ref="CE12:CE24" si="35">BB12</f>
        <v>0</v>
      </c>
      <c r="CF12" s="309">
        <f t="shared" ref="CF12:CF24" si="36">CD12-CE12</f>
        <v>23.07692307692308</v>
      </c>
      <c r="CG12" s="218">
        <f>IF(CD12&gt;0,CD12,0)*1+IF(CD12&gt;12,CD12-12,0)*1+IF(CD12&gt;13,CD12-13,0)*1+IF(CD12&gt;14,CD12-14,0)*1+IF(CD12&gt;15,CD12-15,0)*1+IF(CD12&gt;16,CD12-16,0)*1+IF(CD12&gt;17,CD12-17,0)*1+IF(CD12&gt;18,CD12-18,0)*1+IF(CD12&gt;19,CD12-19,0)*1+IF(CD12&gt;20,CD12-20,0)*1</f>
        <v>86.769230769230802</v>
      </c>
      <c r="CH12" s="242">
        <f>IF(CE12&gt;0,CE12,0)*1+IF(CE12&gt;12,CE12-12,0)*1+IF(CE12&gt;13,CE12-13,0)*1+IF(CE12&gt;14,CE12-14,0)*1+IF(CE12&gt;15,CE12-15,0)*1+IF(CE12&gt;16,CE12-16,0)*1+IF(CE12&gt;17,CE12-17,0)*1+IF(CE12&gt;18,CE12-18,0)*1+IF(CE12&gt;19,CE12-19,0)*1+IF(CE12&gt;20,CE12-20,0)*1</f>
        <v>0</v>
      </c>
      <c r="CI12" s="243">
        <f t="shared" si="2"/>
        <v>86.769230769230802</v>
      </c>
      <c r="CJ12" s="218">
        <f t="shared" ref="CJ12:CJ24" si="37">IF((CH12-CG12)&gt;0,CH12-CG12,0)</f>
        <v>0</v>
      </c>
      <c r="CL12" s="303" t="s">
        <v>10</v>
      </c>
      <c r="CM12" s="243" t="s">
        <v>72</v>
      </c>
      <c r="CN12" s="218" t="s">
        <v>133</v>
      </c>
      <c r="CO12" s="237">
        <f>Konvention_1slave-MUslave</f>
        <v>12</v>
      </c>
      <c r="CP12" s="234"/>
      <c r="CQ12" s="234"/>
      <c r="CR12" s="234">
        <f>Konvention_1slave-CHslave</f>
        <v>12</v>
      </c>
      <c r="CS12" s="234">
        <f>Konvention_1slave-FFslave</f>
        <v>12</v>
      </c>
      <c r="CT12" s="234"/>
      <c r="CU12" s="234"/>
      <c r="CV12" s="224"/>
      <c r="CW12" s="222">
        <f>(CO12+CP12+CQ12+CR12+CS12+CT12+CU12+CV12)/3</f>
        <v>12</v>
      </c>
      <c r="CX12" s="223">
        <f t="shared" ref="CX12:CX24" si="38">2*CW12</f>
        <v>24</v>
      </c>
      <c r="CY12" s="224">
        <f t="shared" ref="CY12:CY24" si="39">3*CW12</f>
        <v>36</v>
      </c>
      <c r="CZ12" s="237">
        <f>CO12*POWER(KLslave,SIGN(CP12))*POWER(INslave_IN,SIGN(CQ12))*POWER(CHslave,SIGN(CR12))*POWER(FFslave,SIGN(CS12))*POWER(GEslave,SIGN(CT12))*POWER(KOslave,SIGN(CU12))*POWER(KKslave,SIGN(CV12))+CP12*POWER(MUslave,SIGN(CO12))*POWER(INslave_IN,SIGN(CQ12))*POWER(CHslave,SIGN(CR12))*POWER(FFslave,SIGN(CS12))*POWER(GEslave,SIGN(CT12))*POWER(KOslave,SIGN(CU12))*POWER(KKslave,SIGN(CV12))+CQ12*POWER(MUslave,SIGN(CO12))*POWER(KLslave,SIGN(CP12))*POWER(CHslave,SIGN(CR12))*POWER(FFslave,SIGN(CS12))*POWER(GEslave,SIGN(CT12))*POWER(KOslave,SIGN(CU12))*POWER(KKslave,SIGN(CV12))+CR12*POWER(MUslave,SIGN(CO12))*POWER(KLslave,SIGN(CP12))*POWER(INslave_IN,SIGN(CQ12))*POWER(FFslave,SIGN(CS12))*POWER(GEslave,SIGN(CT12))*POWER(KOslave,SIGN(CU12))*POWER(KKslave,SIGN(CV12))+CS12*POWER(MUslave,SIGN(CO12))*POWER(KLslave,SIGN(CP12))*POWER(INslave_IN,SIGN(CQ12))*POWER(CHslave,SIGN(CR12))*POWER(GEslave,SIGN(CT12))*POWER(KOslave,SIGN(CU12))*POWER(KKslave,SIGN(CV12))+CT12*POWER(MUslave,SIGN(CO12))*POWER(KLslave,SIGN(CP12))*POWER(INslave_IN,SIGN(CQ12))*POWER(CHslave,SIGN(CR12))*POWER(FFslave,SIGN(CS12))*POWER(KOslave,SIGN(CU12))*POWER(KKslave,SIGN(CV12))+CU12*POWER(MUslave,SIGN(CO12))*POWER(KLslave,SIGN(CP12))*POWER(INslave_IN,SIGN(CQ12))*POWER(CHslave,SIGN(CR12))*POWER(FFslave,SIGN(CS12))*POWER(GEslave,SIGN(CT12))*POWER(KKslave,SIGN(CV12))+CV12*POWER(MUslave,SIGN(CO12))*POWER(KLslave,SIGN(CP12))*POWER(INslave_IN,SIGN(CQ12))*POWER(CHslave,SIGN(CR12))*POWER(FFslave,SIGN(CS12))*POWER(GEslave,SIGN(CT12))*POWER(KOslave,SIGN(CU12))</f>
        <v>2304</v>
      </c>
      <c r="DA12" s="234">
        <f>CO12*CR12*FFslave+CO12*CHslave*CS12+MUslave*CR12*CS12</f>
        <v>3456</v>
      </c>
      <c r="DB12" s="224">
        <f t="shared" ref="DB12:DB24" si="40">IFERROR(CO12^SIGN(CO12),1)*IFERROR(CP12^SIGN(CP12),1)*IFERROR(CQ12^SIGN(CQ12),1)*IFERROR(CR12^SIGN(CR12),1)*IFERROR(CS12^SIGN(CS12),1)*IFERROR(CT12^SIGN(CT12),1)*IFERROR(CU12^SIGN(CU12),1)*IFERROR(CV12^SIGN(CV12),1)</f>
        <v>1728</v>
      </c>
      <c r="DC12" s="242">
        <f>SUM(CZ12:DB12)</f>
        <v>7488</v>
      </c>
      <c r="DD12" s="222">
        <f t="shared" ref="DD12:DD24" si="41">CW12*CZ12/DC12</f>
        <v>3.6923076923076925</v>
      </c>
      <c r="DE12" s="223">
        <f t="shared" ref="DE12:DE24" si="42">CX12*DA12/DC12</f>
        <v>11.076923076923077</v>
      </c>
      <c r="DF12" s="243">
        <f t="shared" ref="DF12:DF24" si="43">CY12*DB12/DC12</f>
        <v>8.3076923076923084</v>
      </c>
      <c r="DG12" s="218">
        <f t="shared" ref="DG12:DG24" si="44">SUM(DD12:DF12)</f>
        <v>23.07692307692308</v>
      </c>
      <c r="DH12" s="252">
        <f t="shared" ref="DH12:DH24" si="45">CE12</f>
        <v>0</v>
      </c>
      <c r="DI12" s="309">
        <f t="shared" ref="DI12:DI24" si="46">DG12-DH12</f>
        <v>23.07692307692308</v>
      </c>
      <c r="DJ12" s="218">
        <f>IF(DG12&gt;0,DG12,0)*1+IF(DG12&gt;12,DG12-12,0)*1+IF(DG12&gt;13,DG12-13,0)*1+IF(DG12&gt;14,DG12-14,0)*1+IF(DG12&gt;15,DG12-15,0)*1+IF(DG12&gt;16,DG12-16,0)*1+IF(DG12&gt;17,DG12-17,0)*1+IF(DG12&gt;18,DG12-18,0)*1+IF(DG12&gt;19,DG12-19,0)*1+IF(DG12&gt;20,DG12-20,0)*1</f>
        <v>86.769230769230802</v>
      </c>
      <c r="DK12" s="242">
        <f>IF(DH12&gt;0,DH12,0)*1+IF(DH12&gt;12,DH12-12,0)*1+IF(DH12&gt;13,DH12-13,0)*1+IF(DH12&gt;14,DH12-14,0)*1+IF(DH12&gt;15,DH12-15,0)*1+IF(DH12&gt;16,DH12-16,0)*1+IF(DH12&gt;17,DH12-17,0)*1+IF(DH12&gt;18,DH12-18,0)*1+IF(DH12&gt;19,DH12-19,0)*1+IF(DH12&gt;20,DH12-20,0)*1</f>
        <v>0</v>
      </c>
      <c r="DL12" s="243">
        <f t="shared" si="3"/>
        <v>86.769230769230802</v>
      </c>
      <c r="DM12" s="218">
        <f t="shared" ref="DM12:DM24" si="47">IF((DK12-DJ12)&gt;0,DK12-DJ12,0)</f>
        <v>0</v>
      </c>
      <c r="DO12" s="303" t="s">
        <v>10</v>
      </c>
      <c r="DP12" s="243" t="s">
        <v>72</v>
      </c>
      <c r="DQ12" s="218" t="s">
        <v>133</v>
      </c>
      <c r="DR12" s="237">
        <f>Konvention_1slave-MUslave</f>
        <v>12</v>
      </c>
      <c r="DS12" s="234"/>
      <c r="DT12" s="234"/>
      <c r="DU12" s="234">
        <f>Konvention_1slave-CHslave_CH</f>
        <v>11</v>
      </c>
      <c r="DV12" s="234">
        <f>Konvention_1slave-FFslave</f>
        <v>12</v>
      </c>
      <c r="DW12" s="234"/>
      <c r="DX12" s="234"/>
      <c r="DY12" s="224"/>
      <c r="DZ12" s="222">
        <f>(DR12+DS12+DT12+DU12+DV12+DW12+DX12+DY12)/3</f>
        <v>11.666666666666666</v>
      </c>
      <c r="EA12" s="223">
        <f t="shared" ref="EA12:EA24" si="48">2*DZ12</f>
        <v>23.333333333333332</v>
      </c>
      <c r="EB12" s="224">
        <f t="shared" ref="EB12:EB24" si="49">3*DZ12</f>
        <v>35</v>
      </c>
      <c r="EC12" s="237">
        <f>DR12*POWER(KLslave,SIGN(DS12))*POWER(INslave,SIGN(DT12))*POWER(CHslave_CH,SIGN(DU12))*POWER(FFslave,SIGN(DV12))*POWER(GEslave,SIGN(DW12))*POWER(KOslave,SIGN(DX12))*POWER(KKslave,SIGN(DY12))+DS12*POWER(MUslave,SIGN(DR12))*POWER(INslave,SIGN(DT12))*POWER(CHslave_CH,SIGN(DU12))*POWER(FFslave,SIGN(DV12))*POWER(GEslave,SIGN(DW12))*POWER(KOslave,SIGN(DX12))*POWER(KKslave,SIGN(DY12))+DT12*POWER(MUslave,SIGN(DR12))*POWER(KLslave,SIGN(DS12))*POWER(CHslave_CH,SIGN(DU12))*POWER(FFslave,SIGN(DV12))*POWER(GEslave,SIGN(DW12))*POWER(KOslave,SIGN(DX12))*POWER(KKslave,SIGN(DY12))+DU12*POWER(MUslave,SIGN(DR12))*POWER(KLslave,SIGN(DS12))*POWER(INslave,SIGN(DT12))*POWER(FFslave,SIGN(DV12))*POWER(GEslave,SIGN(DW12))*POWER(KOslave,SIGN(DX12))*POWER(KKslave,SIGN(DY12))+DV12*POWER(MUslave,SIGN(DR12))*POWER(KLslave,SIGN(DS12))*POWER(INslave,SIGN(DT12))*POWER(CHslave_CH,SIGN(DU12))*POWER(GEslave,SIGN(DW12))*POWER(KOslave,SIGN(DX12))*POWER(KKslave,SIGN(DY12))+DW12*POWER(MUslave,SIGN(DR12))*POWER(KLslave,SIGN(DS12))*POWER(INslave,SIGN(DT12))*POWER(CHslave_CH,SIGN(DU12))*POWER(FFslave,SIGN(DV12))*POWER(KOslave,SIGN(DX12))*POWER(KKslave,SIGN(DY12))+DX12*POWER(MUslave,SIGN(DR12))*POWER(KLslave,SIGN(DS12))*POWER(INslave,SIGN(DT12))*POWER(CHslave_CH,SIGN(DU12))*POWER(FFslave,SIGN(DV12))*POWER(GEslave,SIGN(DW12))*POWER(KKslave,SIGN(DY12))+DY12*POWER(MUslave,SIGN(DR12))*POWER(KLslave,SIGN(DS12))*POWER(INslave,SIGN(DT12))*POWER(CHslave_CH,SIGN(DU12))*POWER(FFslave,SIGN(DV12))*POWER(GEslave,SIGN(DW12))*POWER(KOslave,SIGN(DX12))</f>
        <v>2432</v>
      </c>
      <c r="ED12" s="234">
        <f>DR12*DU12*FFslave+DR12*CHslave_CH*DV12+MUslave*DU12*DV12</f>
        <v>3408</v>
      </c>
      <c r="EE12" s="224">
        <f t="shared" ref="EE12:EE24" si="50">IFERROR(DR12^SIGN(DR12),1)*IFERROR(DS12^SIGN(DS12),1)*IFERROR(DT12^SIGN(DT12),1)*IFERROR(DU12^SIGN(DU12),1)*IFERROR(DV12^SIGN(DV12),1)*IFERROR(DW12^SIGN(DW12),1)*IFERROR(DX12^SIGN(DX12),1)*IFERROR(DY12^SIGN(DY12),1)</f>
        <v>1584</v>
      </c>
      <c r="EF12" s="242">
        <f>SUM(EC12:EE12)</f>
        <v>7424</v>
      </c>
      <c r="EG12" s="222">
        <f t="shared" ref="EG12:EG24" si="51">DZ12*EC12/EF12</f>
        <v>3.8218390804597702</v>
      </c>
      <c r="EH12" s="223">
        <f t="shared" ref="EH12:EH24" si="52">EA12*ED12/EF12</f>
        <v>10.711206896551724</v>
      </c>
      <c r="EI12" s="243">
        <f t="shared" ref="EI12:EI24" si="53">EB12*EE12/EF12</f>
        <v>7.4676724137931032</v>
      </c>
      <c r="EJ12" s="218">
        <f t="shared" ref="EJ12:EJ24" si="54">SUM(EG12:EI12)</f>
        <v>22.000718390804597</v>
      </c>
      <c r="EK12" s="252">
        <f t="shared" ref="EK12:EK24" si="55">DH12</f>
        <v>0</v>
      </c>
      <c r="EL12" s="309">
        <f t="shared" ref="EL12:EL24" si="56">EJ12-EK12</f>
        <v>22.000718390804597</v>
      </c>
      <c r="EM12" s="218">
        <f>IF(EJ12&gt;0,EJ12,0)*1+IF(EJ12&gt;12,EJ12-12,0)*1+IF(EJ12&gt;13,EJ12-13,0)*1+IF(EJ12&gt;14,EJ12-14,0)*1+IF(EJ12&gt;15,EJ12-15,0)*1+IF(EJ12&gt;16,EJ12-16,0)*1+IF(EJ12&gt;17,EJ12-17,0)*1+IF(EJ12&gt;18,EJ12-18,0)*1+IF(EJ12&gt;19,EJ12-19,0)*1+IF(EJ12&gt;20,EJ12-20,0)*1</f>
        <v>76.007183908045945</v>
      </c>
      <c r="EN12" s="242">
        <f>IF(EK12&gt;0,EK12,0)*1+IF(EK12&gt;12,EK12-12,0)*1+IF(EK12&gt;13,EK12-13,0)*1+IF(EK12&gt;14,EK12-14,0)*1+IF(EK12&gt;15,EK12-15,0)*1+IF(EK12&gt;16,EK12-16,0)*1+IF(EK12&gt;17,EK12-17,0)*1+IF(EK12&gt;18,EK12-18,0)*1+IF(EK12&gt;19,EK12-19,0)*1+IF(EK12&gt;20,EK12-20,0)*1</f>
        <v>0</v>
      </c>
      <c r="EO12" s="243">
        <f t="shared" si="4"/>
        <v>76.007183908045945</v>
      </c>
      <c r="EP12" s="218">
        <f t="shared" ref="EP12:EP24" si="57">IF((EN12-EM12)&gt;0,EN12-EM12,0)</f>
        <v>0</v>
      </c>
      <c r="ER12" s="303" t="s">
        <v>10</v>
      </c>
      <c r="ES12" s="243" t="s">
        <v>72</v>
      </c>
      <c r="ET12" s="218" t="s">
        <v>133</v>
      </c>
      <c r="EU12" s="237">
        <f>Konvention_1slave-MUslave</f>
        <v>12</v>
      </c>
      <c r="EV12" s="234"/>
      <c r="EW12" s="234"/>
      <c r="EX12" s="234">
        <f>Konvention_1slave-CHslave</f>
        <v>12</v>
      </c>
      <c r="EY12" s="234">
        <f>Konvention_1slave-FFslave_FF</f>
        <v>11</v>
      </c>
      <c r="EZ12" s="234"/>
      <c r="FA12" s="234"/>
      <c r="FB12" s="224"/>
      <c r="FC12" s="222">
        <f>(EU12+EV12+EW12+EX12+EY12+EZ12+FA12+FB12)/3</f>
        <v>11.666666666666666</v>
      </c>
      <c r="FD12" s="223">
        <f t="shared" ref="FD12:FD24" si="58">2*FC12</f>
        <v>23.333333333333332</v>
      </c>
      <c r="FE12" s="224">
        <f t="shared" ref="FE12:FE24" si="59">3*FC12</f>
        <v>35</v>
      </c>
      <c r="FF12" s="237">
        <f>EU12*POWER(KLslave,SIGN(EV12))*POWER(INslave,SIGN(EW12))*POWER(CHslave,SIGN(EX12))*POWER(FFslave_FF,SIGN(EY12))*POWER(GEslave,SIGN(EZ12))*POWER(KOslave,SIGN(FA12))*POWER(KKslave,SIGN(FB12))+EV12*POWER(MUslave,SIGN(EU12))*POWER(INslave,SIGN(EW12))*POWER(CHslave,SIGN(EX12))*POWER(FFslave_FF,SIGN(EY12))*POWER(GEslave,SIGN(EZ12))*POWER(KOslave,SIGN(FA12))*POWER(KKslave,SIGN(FB12))+EW12*POWER(MUslave,SIGN(EU12))*POWER(KLslave,SIGN(EV12))*POWER(CHslave,SIGN(EX12))*POWER(FFslave_FF,SIGN(EY12))*POWER(GEslave,SIGN(EZ12))*POWER(KOslave,SIGN(FA12))*POWER(KKslave,SIGN(FB12))+EX12*POWER(MUslave,SIGN(EU12))*POWER(KLslave,SIGN(EV12))*POWER(INslave,SIGN(EW12))*POWER(FFslave_FF,SIGN(EY12))*POWER(GEslave,SIGN(EZ12))*POWER(KOslave,SIGN(FA12))*POWER(KKslave,SIGN(FB12))+EY12*POWER(MUslave,SIGN(EU12))*POWER(KLslave,SIGN(EV12))*POWER(INslave,SIGN(EW12))*POWER(CHslave,SIGN(EX12))*POWER(GEslave,SIGN(EZ12))*POWER(KOslave,SIGN(FA12))*POWER(KKslave,SIGN(FB12))+EZ12*POWER(MUslave,SIGN(EU12))*POWER(KLslave,SIGN(EV12))*POWER(INslave,SIGN(EW12))*POWER(CHslave,SIGN(EX12))*POWER(FFslave_FF,SIGN(EY12))*POWER(KOslave,SIGN(FA12))*POWER(KKslave,SIGN(FB12))+FA12*POWER(MUslave,SIGN(EU12))*POWER(KLslave,SIGN(EV12))*POWER(INslave,SIGN(EW12))*POWER(CHslave,SIGN(EX12))*POWER(FFslave_FF,SIGN(EY12))*POWER(GEslave,SIGN(EZ12))*POWER(KKslave,SIGN(FB12))+FB12*POWER(MUslave,SIGN(EU12))*POWER(KLslave,SIGN(EV12))*POWER(INslave,SIGN(EW12))*POWER(CHslave,SIGN(EX12))*POWER(FFslave_FF,SIGN(EY12))*POWER(GEslave,SIGN(EZ12))*POWER(KOslave,SIGN(FA12))</f>
        <v>2432</v>
      </c>
      <c r="FG12" s="234">
        <f>EU12*EX12*FFslave_FF+EU12*CHslave*EY12+MUslave*EX12*EY12</f>
        <v>3408</v>
      </c>
      <c r="FH12" s="224">
        <f t="shared" ref="FH12:FH24" si="60">IFERROR(EU12^SIGN(EU12),1)*IFERROR(EV12^SIGN(EV12),1)*IFERROR(EW12^SIGN(EW12),1)*IFERROR(EX12^SIGN(EX12),1)*IFERROR(EY12^SIGN(EY12),1)*IFERROR(EZ12^SIGN(EZ12),1)*IFERROR(FA12^SIGN(FA12),1)*IFERROR(FB12^SIGN(FB12),1)</f>
        <v>1584</v>
      </c>
      <c r="FI12" s="242">
        <f>SUM(FF12:FH12)</f>
        <v>7424</v>
      </c>
      <c r="FJ12" s="222">
        <f t="shared" ref="FJ12:FJ24" si="61">FC12*FF12/FI12</f>
        <v>3.8218390804597702</v>
      </c>
      <c r="FK12" s="223">
        <f t="shared" ref="FK12:FK24" si="62">FD12*FG12/FI12</f>
        <v>10.711206896551724</v>
      </c>
      <c r="FL12" s="243">
        <f t="shared" ref="FL12:FL24" si="63">FE12*FH12/FI12</f>
        <v>7.4676724137931032</v>
      </c>
      <c r="FM12" s="218">
        <f t="shared" ref="FM12:FM24" si="64">SUM(FJ12:FL12)</f>
        <v>22.000718390804597</v>
      </c>
      <c r="FN12" s="252">
        <f t="shared" ref="FN12:FN24" si="65">EK12</f>
        <v>0</v>
      </c>
      <c r="FO12" s="309">
        <f t="shared" ref="FO12:FO24" si="66">FM12-FN12</f>
        <v>22.000718390804597</v>
      </c>
      <c r="FP12" s="218">
        <f>IF(FM12&gt;0,FM12,0)*1+IF(FM12&gt;12,FM12-12,0)*1+IF(FM12&gt;13,FM12-13,0)*1+IF(FM12&gt;14,FM12-14,0)*1+IF(FM12&gt;15,FM12-15,0)*1+IF(FM12&gt;16,FM12-16,0)*1+IF(FM12&gt;17,FM12-17,0)*1+IF(FM12&gt;18,FM12-18,0)*1+IF(FM12&gt;19,FM12-19,0)*1+IF(FM12&gt;20,FM12-20,0)*1</f>
        <v>76.007183908045945</v>
      </c>
      <c r="FQ12" s="242">
        <f>IF(FN12&gt;0,FN12,0)*1+IF(FN12&gt;12,FN12-12,0)*1+IF(FN12&gt;13,FN12-13,0)*1+IF(FN12&gt;14,FN12-14,0)*1+IF(FN12&gt;15,FN12-15,0)*1+IF(FN12&gt;16,FN12-16,0)*1+IF(FN12&gt;17,FN12-17,0)*1+IF(FN12&gt;18,FN12-18,0)*1+IF(FN12&gt;19,FN12-19,0)*1+IF(FN12&gt;20,FN12-20,0)*1</f>
        <v>0</v>
      </c>
      <c r="FR12" s="243">
        <f t="shared" si="5"/>
        <v>76.007183908045945</v>
      </c>
      <c r="FS12" s="218">
        <f t="shared" ref="FS12:FS24" si="67">IF((FQ12-FP12)&gt;0,FQ12-FP12,0)</f>
        <v>0</v>
      </c>
      <c r="FU12" s="303" t="s">
        <v>10</v>
      </c>
      <c r="FV12" s="243" t="s">
        <v>72</v>
      </c>
      <c r="FW12" s="218" t="s">
        <v>133</v>
      </c>
      <c r="FX12" s="237">
        <f>Konvention_1slave-MUslave</f>
        <v>12</v>
      </c>
      <c r="FY12" s="234"/>
      <c r="FZ12" s="234"/>
      <c r="GA12" s="234">
        <f>Konvention_1slave-CHslave</f>
        <v>12</v>
      </c>
      <c r="GB12" s="234">
        <f>Konvention_1slave-FFslave</f>
        <v>12</v>
      </c>
      <c r="GC12" s="234"/>
      <c r="GD12" s="234"/>
      <c r="GE12" s="224"/>
      <c r="GF12" s="222">
        <f>(FX12+FY12+FZ12+GA12+GB12+GC12+GD12+GE12)/3</f>
        <v>12</v>
      </c>
      <c r="GG12" s="223">
        <f t="shared" ref="GG12:GG24" si="68">2*GF12</f>
        <v>24</v>
      </c>
      <c r="GH12" s="224">
        <f t="shared" ref="GH12:GH24" si="69">3*GF12</f>
        <v>36</v>
      </c>
      <c r="GI12" s="237">
        <f>FX12*POWER(KLslave,SIGN(FY12))*POWER(INslave,SIGN(FZ12))*POWER(CHslave,SIGN(GA12))*POWER(FFslave,SIGN(GB12))*POWER(GEslave_GE,SIGN(GC12))*POWER(KOslave,SIGN(GD12))*POWER(KKslave,SIGN(GE12))+FY12*POWER(MUslave,SIGN(FX12))*POWER(INslave,SIGN(FZ12))*POWER(CHslave,SIGN(GA12))*POWER(FFslave,SIGN(GB12))*POWER(GEslave_GE,SIGN(GC12))*POWER(KOslave,SIGN(GD12))*POWER(KKslave,SIGN(GE12))+FZ12*POWER(MUslave,SIGN(FX12))*POWER(KLslave,SIGN(FY12))*POWER(CHslave,SIGN(GA12))*POWER(FFslave,SIGN(GB12))*POWER(GEslave_GE,SIGN(GC12))*POWER(KOslave,SIGN(GD12))*POWER(KKslave,SIGN(GE12))+GA12*POWER(MUslave,SIGN(FX12))*POWER(KLslave,SIGN(FY12))*POWER(INslave,SIGN(FZ12))*POWER(FFslave,SIGN(GB12))*POWER(GEslave_GE,SIGN(GC12))*POWER(KOslave,SIGN(GD12))*POWER(KKslave,SIGN(GE12))+GB12*POWER(MUslave,SIGN(FX12))*POWER(KLslave,SIGN(FY12))*POWER(INslave,SIGN(FZ12))*POWER(CHslave,SIGN(GA12))*POWER(GEslave_GE,SIGN(GC12))*POWER(KOslave,SIGN(GD12))*POWER(KKslave,SIGN(GE12))+GC12*POWER(MUslave,SIGN(FX12))*POWER(KLslave,SIGN(FY12))*POWER(INslave,SIGN(FZ12))*POWER(CHslave,SIGN(GA12))*POWER(FFslave,SIGN(GB12))*POWER(KOslave,SIGN(GD12))*POWER(KKslave,SIGN(GE12))+GD12*POWER(MUslave,SIGN(FX12))*POWER(KLslave,SIGN(FY12))*POWER(INslave,SIGN(FZ12))*POWER(CHslave,SIGN(GA12))*POWER(FFslave,SIGN(GB12))*POWER(GEslave_GE,SIGN(GC12))*POWER(KKslave,SIGN(GE12))+GE12*POWER(MUslave,SIGN(FX12))*POWER(KLslave,SIGN(FY12))*POWER(INslave,SIGN(FZ12))*POWER(CHslave,SIGN(GA12))*POWER(FFslave,SIGN(GB12))*POWER(GEslave_GE,SIGN(GC12))*POWER(KOslave,SIGN(GD12))</f>
        <v>2304</v>
      </c>
      <c r="GJ12" s="234">
        <f>FX12*GA12*FFslave+FX12*CHslave*GB12+MUslave*GA12*GB12</f>
        <v>3456</v>
      </c>
      <c r="GK12" s="224">
        <f t="shared" ref="GK12:GK24" si="70">IFERROR(FX12^SIGN(FX12),1)*IFERROR(FY12^SIGN(FY12),1)*IFERROR(FZ12^SIGN(FZ12),1)*IFERROR(GA12^SIGN(GA12),1)*IFERROR(GB12^SIGN(GB12),1)*IFERROR(GC12^SIGN(GC12),1)*IFERROR(GD12^SIGN(GD12),1)*IFERROR(GE12^SIGN(GE12),1)</f>
        <v>1728</v>
      </c>
      <c r="GL12" s="242">
        <f>SUM(GI12:GK12)</f>
        <v>7488</v>
      </c>
      <c r="GM12" s="222">
        <f t="shared" ref="GM12:GM24" si="71">GF12*GI12/GL12</f>
        <v>3.6923076923076925</v>
      </c>
      <c r="GN12" s="223">
        <f t="shared" ref="GN12:GN24" si="72">GG12*GJ12/GL12</f>
        <v>11.076923076923077</v>
      </c>
      <c r="GO12" s="243">
        <f t="shared" ref="GO12:GO24" si="73">GH12*GK12/GL12</f>
        <v>8.3076923076923084</v>
      </c>
      <c r="GP12" s="218">
        <f t="shared" ref="GP12:GP24" si="74">SUM(GM12:GO12)</f>
        <v>23.07692307692308</v>
      </c>
      <c r="GQ12" s="252">
        <f t="shared" ref="GQ12:GQ24" si="75">FN12</f>
        <v>0</v>
      </c>
      <c r="GR12" s="309">
        <f t="shared" ref="GR12:GR24" si="76">GP12-GQ12</f>
        <v>23.07692307692308</v>
      </c>
      <c r="GS12" s="218">
        <f>IF(GP12&gt;0,GP12,0)*1+IF(GP12&gt;12,GP12-12,0)*1+IF(GP12&gt;13,GP12-13,0)*1+IF(GP12&gt;14,GP12-14,0)*1+IF(GP12&gt;15,GP12-15,0)*1+IF(GP12&gt;16,GP12-16,0)*1+IF(GP12&gt;17,GP12-17,0)*1+IF(GP12&gt;18,GP12-18,0)*1+IF(GP12&gt;19,GP12-19,0)*1+IF(GP12&gt;20,GP12-20,0)*1</f>
        <v>86.769230769230802</v>
      </c>
      <c r="GT12" s="242">
        <f>IF(GQ12&gt;0,GQ12,0)*1+IF(GQ12&gt;12,GQ12-12,0)*1+IF(GQ12&gt;13,GQ12-13,0)*1+IF(GQ12&gt;14,GQ12-14,0)*1+IF(GQ12&gt;15,GQ12-15,0)*1+IF(GQ12&gt;16,GQ12-16,0)*1+IF(GQ12&gt;17,GQ12-17,0)*1+IF(GQ12&gt;18,GQ12-18,0)*1+IF(GQ12&gt;19,GQ12-19,0)*1+IF(GQ12&gt;20,GQ12-20,0)*1</f>
        <v>0</v>
      </c>
      <c r="GU12" s="243">
        <f t="shared" si="6"/>
        <v>86.769230769230802</v>
      </c>
      <c r="GV12" s="218">
        <f t="shared" ref="GV12:GV24" si="77">IF((GT12-GS12)&gt;0,GT12-GS12,0)</f>
        <v>0</v>
      </c>
      <c r="GX12" s="303" t="s">
        <v>10</v>
      </c>
      <c r="GY12" s="243" t="s">
        <v>72</v>
      </c>
      <c r="GZ12" s="218" t="s">
        <v>133</v>
      </c>
      <c r="HA12" s="237">
        <f>Konvention_1slave-MUslave</f>
        <v>12</v>
      </c>
      <c r="HB12" s="234"/>
      <c r="HC12" s="234"/>
      <c r="HD12" s="234">
        <f>Konvention_1slave-CHslave</f>
        <v>12</v>
      </c>
      <c r="HE12" s="234">
        <f>Konvention_1slave-FFslave</f>
        <v>12</v>
      </c>
      <c r="HF12" s="234"/>
      <c r="HG12" s="234"/>
      <c r="HH12" s="224"/>
      <c r="HI12" s="222">
        <f>(HA12+HB12+HC12+HD12+HE12+HF12+HG12+HH12)/3</f>
        <v>12</v>
      </c>
      <c r="HJ12" s="223">
        <f t="shared" ref="HJ12:HJ24" si="78">2*HI12</f>
        <v>24</v>
      </c>
      <c r="HK12" s="224">
        <f t="shared" ref="HK12:HK24" si="79">3*HI12</f>
        <v>36</v>
      </c>
      <c r="HL12" s="237">
        <f>HA12*POWER(KLslave,SIGN(HB12))*POWER(INslave,SIGN(HC12))*POWER(CHslave,SIGN(HD12))*POWER(FFslave,SIGN(HE12))*POWER(GEslave,SIGN(HF12))*POWER(KOslave_KO,SIGN(HG12))*POWER(KKslave,SIGN(HH12))+HB12*POWER(MUslave,SIGN(HA12))*POWER(INslave,SIGN(HC12))*POWER(CHslave,SIGN(HD12))*POWER(FFslave,SIGN(HE12))*POWER(GEslave,SIGN(HF12))*POWER(KOslave_KO,SIGN(HG12))*POWER(KKslave,SIGN(HH12))+HC12*POWER(MUslave,SIGN(HA12))*POWER(KLslave,SIGN(HB12))*POWER(CHslave,SIGN(HD12))*POWER(FFslave,SIGN(HE12))*POWER(GEslave,SIGN(HF12))*POWER(KOslave_KO,SIGN(HG12))*POWER(KKslave,SIGN(HH12))+HD12*POWER(MUslave,SIGN(HA12))*POWER(KLslave,SIGN(HB12))*POWER(INslave,SIGN(HC12))*POWER(FFslave,SIGN(HE12))*POWER(GEslave,SIGN(HF12))*POWER(KOslave_KO,SIGN(HG12))*POWER(KKslave,SIGN(HH12))+HE12*POWER(MUslave,SIGN(HA12))*POWER(KLslave,SIGN(HB12))*POWER(INslave,SIGN(HC12))*POWER(CHslave,SIGN(HD12))*POWER(GEslave,SIGN(HF12))*POWER(KOslave_KO,SIGN(HG12))*POWER(KKslave,SIGN(HH12))+HF12*POWER(MUslave,SIGN(HA12))*POWER(KLslave,SIGN(HB12))*POWER(INslave,SIGN(HC12))*POWER(CHslave,SIGN(HD12))*POWER(FFslave,SIGN(HE12))*POWER(KOslave_KO,SIGN(HG12))*POWER(KKslave,SIGN(HH12))+HG12*POWER(MUslave,SIGN(HA12))*POWER(KLslave,SIGN(HB12))*POWER(INslave,SIGN(HC12))*POWER(CHslave,SIGN(HD12))*POWER(FFslave,SIGN(HE12))*POWER(GEslave,SIGN(HF12))*POWER(KKslave,SIGN(HH12))+HH12*POWER(MUslave,SIGN(HA12))*POWER(KLslave,SIGN(HB12))*POWER(INslave,SIGN(HC12))*POWER(CHslave,SIGN(HD12))*POWER(FFslave,SIGN(HE12))*POWER(GEslave,SIGN(HF12))*POWER(KOslave_KO,SIGN(HG12))</f>
        <v>2304</v>
      </c>
      <c r="HM12" s="234">
        <f>HA12*HD12*FFslave+HA12*CHslave*HE12+MUslave*HD12*HE12</f>
        <v>3456</v>
      </c>
      <c r="HN12" s="224">
        <f t="shared" ref="HN12:HN24" si="80">IFERROR(HA12^SIGN(HA12),1)*IFERROR(HB12^SIGN(HB12),1)*IFERROR(HC12^SIGN(HC12),1)*IFERROR(HD12^SIGN(HD12),1)*IFERROR(HE12^SIGN(HE12),1)*IFERROR(HF12^SIGN(HF12),1)*IFERROR(HG12^SIGN(HG12),1)*IFERROR(HH12^SIGN(HH12),1)</f>
        <v>1728</v>
      </c>
      <c r="HO12" s="242">
        <f>SUM(HL12:HN12)</f>
        <v>7488</v>
      </c>
      <c r="HP12" s="222">
        <f t="shared" ref="HP12:HP24" si="81">HI12*HL12/HO12</f>
        <v>3.6923076923076925</v>
      </c>
      <c r="HQ12" s="223">
        <f t="shared" ref="HQ12:HQ24" si="82">HJ12*HM12/HO12</f>
        <v>11.076923076923077</v>
      </c>
      <c r="HR12" s="243">
        <f t="shared" ref="HR12:HR24" si="83">HK12*HN12/HO12</f>
        <v>8.3076923076923084</v>
      </c>
      <c r="HS12" s="218">
        <f t="shared" ref="HS12:HS24" si="84">SUM(HP12:HR12)</f>
        <v>23.07692307692308</v>
      </c>
      <c r="HT12" s="252">
        <f t="shared" ref="HT12:HT24" si="85">GQ12</f>
        <v>0</v>
      </c>
      <c r="HU12" s="309">
        <f t="shared" ref="HU12:HU24" si="86">HS12-HT12</f>
        <v>23.07692307692308</v>
      </c>
      <c r="HV12" s="218">
        <f>IF(HS12&gt;0,HS12,0)*1+IF(HS12&gt;12,HS12-12,0)*1+IF(HS12&gt;13,HS12-13,0)*1+IF(HS12&gt;14,HS12-14,0)*1+IF(HS12&gt;15,HS12-15,0)*1+IF(HS12&gt;16,HS12-16,0)*1+IF(HS12&gt;17,HS12-17,0)*1+IF(HS12&gt;18,HS12-18,0)*1+IF(HS12&gt;19,HS12-19,0)*1+IF(HS12&gt;20,HS12-20,0)*1</f>
        <v>86.769230769230802</v>
      </c>
      <c r="HW12" s="242">
        <f>IF(HT12&gt;0,HT12,0)*1+IF(HT12&gt;12,HT12-12,0)*1+IF(HT12&gt;13,HT12-13,0)*1+IF(HT12&gt;14,HT12-14,0)*1+IF(HT12&gt;15,HT12-15,0)*1+IF(HT12&gt;16,HT12-16,0)*1+IF(HT12&gt;17,HT12-17,0)*1+IF(HT12&gt;18,HT12-18,0)*1+IF(HT12&gt;19,HT12-19,0)*1+IF(HT12&gt;20,HT12-20,0)*1</f>
        <v>0</v>
      </c>
      <c r="HX12" s="243">
        <f t="shared" si="7"/>
        <v>86.769230769230802</v>
      </c>
      <c r="HY12" s="218">
        <f t="shared" ref="HY12:HY24" si="87">IF((HW12-HV12)&gt;0,HW12-HV12,0)</f>
        <v>0</v>
      </c>
      <c r="IA12" s="303" t="s">
        <v>10</v>
      </c>
      <c r="IB12" s="243" t="s">
        <v>72</v>
      </c>
      <c r="IC12" s="218" t="s">
        <v>133</v>
      </c>
      <c r="ID12" s="237">
        <f>Konvention_1slave-MUslave</f>
        <v>12</v>
      </c>
      <c r="IE12" s="234"/>
      <c r="IF12" s="234"/>
      <c r="IG12" s="234">
        <f>Konvention_1slave-CHslave</f>
        <v>12</v>
      </c>
      <c r="IH12" s="234">
        <f>Konvention_1slave-FFslave</f>
        <v>12</v>
      </c>
      <c r="II12" s="234"/>
      <c r="IJ12" s="234"/>
      <c r="IK12" s="224"/>
      <c r="IL12" s="222">
        <f>(ID12+IE12+IF12+IG12+IH12+II12+IJ12+IK12)/3</f>
        <v>12</v>
      </c>
      <c r="IM12" s="223">
        <f t="shared" ref="IM12:IM24" si="88">2*IL12</f>
        <v>24</v>
      </c>
      <c r="IN12" s="224">
        <f t="shared" ref="IN12:IN24" si="89">3*IL12</f>
        <v>36</v>
      </c>
      <c r="IO12" s="237">
        <f>ID12*POWER(KLslave,SIGN(IE12))*POWER(INslave,SIGN(IF12))*POWER(CHslave,SIGN(IG12))*POWER(FFslave,SIGN(IH12))*POWER(GEslave,SIGN(II12))*POWER(KOslave,SIGN(IJ12))*POWER(KKslave_KK,SIGN(IK12))+IE12*POWER(MUslave,SIGN(ID12))*POWER(INslave,SIGN(IF12))*POWER(CHslave,SIGN(IG12))*POWER(FFslave,SIGN(IH12))*POWER(GEslave,SIGN(II12))*POWER(KOslave,SIGN(IJ12))*POWER(KKslave_KK,SIGN(IK12))+IF12*POWER(MUslave,SIGN(ID12))*POWER(KLslave,SIGN(IE12))*POWER(CHslave,SIGN(IG12))*POWER(FFslave,SIGN(IH12))*POWER(GEslave,SIGN(II12))*POWER(KOslave,SIGN(IJ12))*POWER(KKslave_KK,SIGN(IK12))+IG12*POWER(MUslave,SIGN(ID12))*POWER(KLslave,SIGN(IE12))*POWER(INslave,SIGN(IF12))*POWER(FFslave,SIGN(IH12))*POWER(GEslave,SIGN(II12))*POWER(KOslave,SIGN(IJ12))*POWER(KKslave_KK,SIGN(IK12))+IH12*POWER(MUslave,SIGN(ID12))*POWER(KLslave,SIGN(IE12))*POWER(INslave,SIGN(IF12))*POWER(CHslave,SIGN(IG12))*POWER(GEslave,SIGN(II12))*POWER(KOslave,SIGN(IJ12))*POWER(KKslave_KK,SIGN(IK12))+II12*POWER(MUslave,SIGN(ID12))*POWER(KLslave,SIGN(IE12))*POWER(INslave,SIGN(IF12))*POWER(CHslave,SIGN(IG12))*POWER(FFslave,SIGN(IH12))*POWER(KOslave,SIGN(IJ12))*POWER(KKslave_KK,SIGN(IK12))+IJ12*POWER(MUslave,SIGN(ID12))*POWER(KLslave,SIGN(IE12))*POWER(INslave,SIGN(IF12))*POWER(CHslave,SIGN(IG12))*POWER(FFslave,SIGN(IH12))*POWER(GEslave,SIGN(II12))*POWER(KKslave_KK,SIGN(IK12))+IK12*POWER(MUslave,SIGN(ID12))*POWER(KLslave,SIGN(IE12))*POWER(INslave,SIGN(IF12))*POWER(CHslave,SIGN(IG12))*POWER(FFslave,SIGN(IH12))*POWER(GEslave,SIGN(II12))*POWER(KOslave,SIGN(IJ12))</f>
        <v>2304</v>
      </c>
      <c r="IP12" s="234">
        <f>ID12*IG12*FFslave+ID12*CHslave*IH12+MUslave*IG12*IH12</f>
        <v>3456</v>
      </c>
      <c r="IQ12" s="224">
        <f t="shared" ref="IQ12:IQ24" si="90">IFERROR(ID12^SIGN(ID12),1)*IFERROR(IE12^SIGN(IE12),1)*IFERROR(IF12^SIGN(IF12),1)*IFERROR(IG12^SIGN(IG12),1)*IFERROR(IH12^SIGN(IH12),1)*IFERROR(II12^SIGN(II12),1)*IFERROR(IJ12^SIGN(IJ12),1)*IFERROR(IK12^SIGN(IK12),1)</f>
        <v>1728</v>
      </c>
      <c r="IR12" s="242">
        <f>SUM(IO12:IQ12)</f>
        <v>7488</v>
      </c>
      <c r="IS12" s="222">
        <f t="shared" ref="IS12:IS24" si="91">IL12*IO12/IR12</f>
        <v>3.6923076923076925</v>
      </c>
      <c r="IT12" s="223">
        <f t="shared" ref="IT12:IT24" si="92">IM12*IP12/IR12</f>
        <v>11.076923076923077</v>
      </c>
      <c r="IU12" s="243">
        <f t="shared" ref="IU12:IU24" si="93">IN12*IQ12/IR12</f>
        <v>8.3076923076923084</v>
      </c>
      <c r="IV12" s="218">
        <f t="shared" ref="IV12:IV24" si="94">SUM(IS12:IU12)</f>
        <v>23.07692307692308</v>
      </c>
      <c r="IW12" s="252">
        <f t="shared" ref="IW12:IW24" si="95">HT12</f>
        <v>0</v>
      </c>
      <c r="IX12" s="309">
        <f t="shared" ref="IX12:IX24" si="96">IV12-IW12</f>
        <v>23.07692307692308</v>
      </c>
      <c r="IY12" s="218">
        <f>IF(IV12&gt;0,IV12,0)*1+IF(IV12&gt;12,IV12-12,0)*1+IF(IV12&gt;13,IV12-13,0)*1+IF(IV12&gt;14,IV12-14,0)*1+IF(IV12&gt;15,IV12-15,0)*1+IF(IV12&gt;16,IV12-16,0)*1+IF(IV12&gt;17,IV12-17,0)*1+IF(IV12&gt;18,IV12-18,0)*1+IF(IV12&gt;19,IV12-19,0)*1+IF(IV12&gt;20,IV12-20,0)*1</f>
        <v>86.769230769230802</v>
      </c>
      <c r="IZ12" s="242">
        <f>IF(IW12&gt;0,IW12,0)*1+IF(IW12&gt;12,IW12-12,0)*1+IF(IW12&gt;13,IW12-13,0)*1+IF(IW12&gt;14,IW12-14,0)*1+IF(IW12&gt;15,IW12-15,0)*1+IF(IW12&gt;16,IW12-16,0)*1+IF(IW12&gt;17,IW12-17,0)*1+IF(IW12&gt;18,IW12-18,0)*1+IF(IW12&gt;19,IW12-19,0)*1+IF(IW12&gt;20,IW12-20,0)*1</f>
        <v>0</v>
      </c>
      <c r="JA12" s="243">
        <f t="shared" si="8"/>
        <v>86.769230769230802</v>
      </c>
      <c r="JB12" s="218">
        <f t="shared" ref="JB12:JB24" si="97">IF((IZ12-IY12)&gt;0,IZ12-IY12,0)</f>
        <v>0</v>
      </c>
      <c r="JE12" s="148"/>
    </row>
    <row r="13" spans="1:265" hidden="1" outlineLevel="2">
      <c r="B13" s="148">
        <v>3</v>
      </c>
      <c r="C13" s="303" t="e">
        <f>VLOOKUP(AF13,Attribute!C:T,1,FALSE)</f>
        <v>#N/A</v>
      </c>
      <c r="D13" s="127" t="s">
        <v>73</v>
      </c>
      <c r="E13" s="125" t="s">
        <v>132</v>
      </c>
      <c r="F13" s="114">
        <f>Konvention_1master-MUmaster</f>
        <v>12</v>
      </c>
      <c r="G13" s="113"/>
      <c r="H13" s="113"/>
      <c r="I13" s="113"/>
      <c r="J13" s="113"/>
      <c r="K13" s="113">
        <f>Konvention_1master-GEmaster</f>
        <v>12</v>
      </c>
      <c r="L13" s="113"/>
      <c r="M13" s="119">
        <f>Konvention_1master-KKmaster</f>
        <v>12</v>
      </c>
      <c r="N13" s="222">
        <f>(F13+G13+H13+I13+J13+K13+L13+M13)/3</f>
        <v>12</v>
      </c>
      <c r="O13" s="223">
        <f t="shared" si="9"/>
        <v>24</v>
      </c>
      <c r="P13" s="224">
        <f t="shared" si="10"/>
        <v>36</v>
      </c>
      <c r="Q13" s="237">
        <f>F13*POWER(KLmaster,SIGN(G13))*POWER(INmaster,SIGN(H13))*POWER(CHmaster,SIGN(I13))*POWER(FFmaster,SIGN(J13))*POWER(GEmaster,SIGN(K13))*POWER(KOmaster,SIGN(L13))*POWER(KKmaster,SIGN(M13))+G13*POWER(MUmaster,SIGN(F13))*POWER(INmaster,SIGN(H13))*POWER(CHmaster,SIGN(I13))*POWER(FFmaster,SIGN(J13))*POWER(GEmaster,SIGN(K13))*POWER(KOmaster,SIGN(L13))*POWER(KKmaster,SIGN(M13))+H13*POWER(MUmaster,SIGN(F13))*POWER(KLmaster,SIGN(G13))*POWER(CHmaster,SIGN(I13))*POWER(FFmaster,SIGN(J13))*POWER(GEmaster,SIGN(K13))*POWER(KOmaster,SIGN(L13))*POWER(KKmaster,SIGN(M13))+I13*POWER(MUmaster,SIGN(F13))*POWER(KLmaster,SIGN(G13))*POWER(INmaster,SIGN(H13))*POWER(FFmaster,SIGN(J13))*POWER(GEmaster,SIGN(K13))*POWER(KOmaster,SIGN(L13))*POWER(KKmaster,SIGN(M13))+J13*POWER(MUmaster,SIGN(F13))*POWER(KLmaster,SIGN(G13))*POWER(INmaster,SIGN(H13))*POWER(CHmaster,SIGN(I13))*POWER(GEmaster,SIGN(K13))*POWER(KOmaster,SIGN(L13))*POWER(KKmaster,SIGN(M13))+K13*POWER(MUmaster,SIGN(F13))*POWER(KLmaster,SIGN(G13))*POWER(INmaster,SIGN(H13))*POWER(CHmaster,SIGN(I13))*POWER(FFmaster,SIGN(J13))*POWER(KOmaster,SIGN(L13))*POWER(KKmaster,SIGN(M13))+L13*POWER(MUmaster,SIGN(F13))*POWER(KLmaster,SIGN(G13))*POWER(INmaster,SIGN(H13))*POWER(CHmaster,SIGN(I13))*POWER(FFmaster,SIGN(J13))*POWER(GEmaster,SIGN(K13))*POWER(KKmaster,SIGN(M13))+M13*POWER(MUmaster,SIGN(F13))*POWER(KLmaster,SIGN(G13))*POWER(INmaster,SIGN(H13))*POWER(CHmaster,SIGN(I13))*POWER(FFmaster,SIGN(J13))*POWER(GEmaster,SIGN(K13))*POWER(KOmaster,SIGN(L13))</f>
        <v>2304</v>
      </c>
      <c r="R13" s="113">
        <f>F13*K13*KKmaster+F13*GEmaster*M13+MUmaster*K13*M13</f>
        <v>3456</v>
      </c>
      <c r="S13" s="224">
        <f t="shared" si="11"/>
        <v>1728</v>
      </c>
      <c r="T13" s="242">
        <f t="shared" ref="T13:T23" si="98">SUM(Q13:S13)</f>
        <v>7488</v>
      </c>
      <c r="U13" s="222">
        <f t="shared" si="12"/>
        <v>3.6923076923076925</v>
      </c>
      <c r="V13" s="223">
        <f t="shared" si="13"/>
        <v>11.076923076923077</v>
      </c>
      <c r="W13" s="243">
        <f t="shared" si="14"/>
        <v>8.3076923076923084</v>
      </c>
      <c r="X13" s="218">
        <f t="shared" si="15"/>
        <v>23.07692307692308</v>
      </c>
      <c r="Y13" s="252">
        <v>0</v>
      </c>
      <c r="Z13" s="198">
        <f t="shared" si="16"/>
        <v>23.07692307692308</v>
      </c>
      <c r="AA13" s="125">
        <f>IF(X13&gt;0,X13,0)*2+IF(X13&gt;12,X13-12,0)*2+IF(X13&gt;13,X13-13,0)*2+IF(X13&gt;14,X13-14,0)*2+IF(X13&gt;15,X13-15,0)*2+IF(X13&gt;16,X13-16,0)*2+IF(X13&gt;17,X13-17,0)*2+IF(X13&gt;18,X13-18,0)*2+IF(X13&gt;19,X13-19,0)*2+IF(X13&gt;20,X13-20,0)*2</f>
        <v>173.5384615384616</v>
      </c>
      <c r="AB13" s="160">
        <f>IF(Y13&gt;0,Y13,0)*2+IF(Y13&gt;12,Y13-12,0)*2+IF(Y13&gt;13,Y13-13,0)*2+IF(Y13&gt;14,Y13-14,0)*2+IF(Y13&gt;15,Y13-15,0)*2+IF(Y13&gt;16,Y13-16,0)*2+IF(Y13&gt;17,Y13-17,0)*2+IF(Y13&gt;18,Y13-18,0)*2+IF(Y13&gt;19,Y13-19,0)*2+IF(Y13&gt;20,Y13-20,0)*2</f>
        <v>0</v>
      </c>
      <c r="AC13" s="127">
        <f t="shared" si="0"/>
        <v>173.5384615384616</v>
      </c>
      <c r="AD13" s="125">
        <f t="shared" si="17"/>
        <v>0</v>
      </c>
      <c r="AF13" s="163" t="s">
        <v>11</v>
      </c>
      <c r="AG13" s="127" t="s">
        <v>73</v>
      </c>
      <c r="AH13" s="125" t="s">
        <v>132</v>
      </c>
      <c r="AI13" s="114">
        <f>Konvention_1slave-MUslave_MU</f>
        <v>11</v>
      </c>
      <c r="AJ13" s="113"/>
      <c r="AK13" s="113"/>
      <c r="AL13" s="113"/>
      <c r="AM13" s="113"/>
      <c r="AN13" s="113">
        <f>Konvention_1slave-GEslave</f>
        <v>12</v>
      </c>
      <c r="AO13" s="113"/>
      <c r="AP13" s="119">
        <f>Konvention_1slave-KKslave</f>
        <v>12</v>
      </c>
      <c r="AQ13" s="89">
        <f>(AI13+AJ13+AK13+AL13+AM13+AN13+AO13+AP13)/3</f>
        <v>11.666666666666666</v>
      </c>
      <c r="AR13" s="47">
        <f t="shared" si="18"/>
        <v>23.333333333333332</v>
      </c>
      <c r="AS13" s="119">
        <f t="shared" si="19"/>
        <v>35</v>
      </c>
      <c r="AT13" s="114">
        <f>AI13*POWER(KLslave,SIGN(AJ13))*POWER(INslave,SIGN(AK13))*POWER(CHslave,SIGN(AL13))*POWER(FFslave,SIGN(AM13))*POWER(GEslave,SIGN(AN13))*POWER(KOslave,SIGN(AO13))*POWER(KKslave,SIGN(AP13))+AJ13*POWER(MUslave_MU,SIGN(AI13))*POWER(INslave,SIGN(AK13))*POWER(CHslave,SIGN(AL13))*POWER(FFslave,SIGN(AM13))*POWER(GEslave,SIGN(AN13))*POWER(KOslave,SIGN(AO13))*POWER(KKslave,SIGN(AP13))+AK13*POWER(MUslave_MU,SIGN(AI13))*POWER(KLslave,SIGN(AJ13))*POWER(CHslave,SIGN(AL13))*POWER(FFslave,SIGN(AM13))*POWER(GEslave,SIGN(AN13))*POWER(KOslave,SIGN(AO13))*POWER(KKslave,SIGN(AP13))+AL13*POWER(MUslave_MU,SIGN(AI13))*POWER(KLslave,SIGN(AJ13))*POWER(INslave,SIGN(AK13))*POWER(FFslave,SIGN(AM13))*POWER(GEslave,SIGN(AN13))*POWER(KOslave,SIGN(AO13))*POWER(KKslave,SIGN(AP13))+AM13*POWER(MUslave_MU,SIGN(AI13))*POWER(KLslave,SIGN(AJ13))*POWER(INslave,SIGN(AK13))*POWER(CHslave,SIGN(AL13))*POWER(GEslave,SIGN(AN13))*POWER(KOslave,SIGN(AO13))*POWER(KKslave,SIGN(AP13))+AN13*POWER(MUslave_MU,SIGN(AI13))*POWER(KLslave,SIGN(AJ13))*POWER(INslave,SIGN(AK13))*POWER(CHslave,SIGN(AL13))*POWER(FFslave,SIGN(AM13))*POWER(KOslave,SIGN(AO13))*POWER(KKslave,SIGN(AP13))+AO13*POWER(MUslave_MU,SIGN(AI13))*POWER(KLslave,SIGN(AJ13))*POWER(INslave,SIGN(AK13))*POWER(CHslave,SIGN(AL13))*POWER(FFslave,SIGN(AM13))*POWER(GEslave,SIGN(AN13))*POWER(KKslave,SIGN(AP13))+AP13*POWER(MUslave_MU,SIGN(AI13))*POWER(KLslave,SIGN(AJ13))*POWER(INslave,SIGN(AK13))*POWER(CHslave,SIGN(AL13))*POWER(FFslave,SIGN(AM13))*POWER(GEslave,SIGN(AN13))*POWER(KOslave,SIGN(AO13))</f>
        <v>2432</v>
      </c>
      <c r="AU13" s="113">
        <f>AI13*AN13*KKslave+AI13*GEslave*AP13+MUslave_MU*AN13*AP13</f>
        <v>3408</v>
      </c>
      <c r="AV13" s="119">
        <f t="shared" si="20"/>
        <v>1584</v>
      </c>
      <c r="AW13" s="160">
        <f t="shared" ref="AW13:AW23" si="99">SUM(AT13:AV13)</f>
        <v>7424</v>
      </c>
      <c r="AX13" s="89">
        <f t="shared" si="21"/>
        <v>3.8218390804597702</v>
      </c>
      <c r="AY13" s="47">
        <f t="shared" si="22"/>
        <v>10.711206896551724</v>
      </c>
      <c r="AZ13" s="127">
        <f t="shared" si="23"/>
        <v>7.4676724137931032</v>
      </c>
      <c r="BA13" s="125">
        <f t="shared" si="24"/>
        <v>22.000718390804597</v>
      </c>
      <c r="BB13" s="165">
        <f t="shared" si="25"/>
        <v>0</v>
      </c>
      <c r="BC13" s="198">
        <f t="shared" si="26"/>
        <v>22.000718390804597</v>
      </c>
      <c r="BD13" s="125">
        <f>IF(BA13&gt;0,BA13,0)*2+IF(BA13&gt;12,BA13-12,0)*2+IF(BA13&gt;13,BA13-13,0)*2+IF(BA13&gt;14,BA13-14,0)*2+IF(BA13&gt;15,BA13-15,0)*2+IF(BA13&gt;16,BA13-16,0)*2+IF(BA13&gt;17,BA13-17,0)*2+IF(BA13&gt;18,BA13-18,0)*2+IF(BA13&gt;19,BA13-19,0)*2+IF(BA13&gt;20,BA13-20,0)*2</f>
        <v>152.01436781609189</v>
      </c>
      <c r="BE13" s="160">
        <f>IF(BB13&gt;0,BB13,0)*2+IF(BB13&gt;12,BB13-12,0)*2+IF(BB13&gt;13,BB13-13,0)*2+IF(BB13&gt;14,BB13-14,0)*2+IF(BB13&gt;15,BB13-15,0)*2+IF(BB13&gt;16,BB13-16,0)*2+IF(BB13&gt;17,BB13-17,0)*2+IF(BB13&gt;18,BB13-18,0)*2+IF(BB13&gt;19,BB13-19,0)*2+IF(BB13&gt;20,BB13-20,0)*2</f>
        <v>0</v>
      </c>
      <c r="BF13" s="243">
        <f t="shared" si="1"/>
        <v>152.01436781609189</v>
      </c>
      <c r="BG13" s="218">
        <f t="shared" si="27"/>
        <v>0</v>
      </c>
      <c r="BI13" s="303" t="s">
        <v>11</v>
      </c>
      <c r="BJ13" s="243" t="s">
        <v>73</v>
      </c>
      <c r="BK13" s="218" t="s">
        <v>132</v>
      </c>
      <c r="BL13" s="237">
        <f>Konvention_1slave-MUslave</f>
        <v>12</v>
      </c>
      <c r="BM13" s="234"/>
      <c r="BN13" s="234"/>
      <c r="BO13" s="234"/>
      <c r="BP13" s="234"/>
      <c r="BQ13" s="234">
        <f>Konvention_1slave-GEslave</f>
        <v>12</v>
      </c>
      <c r="BR13" s="234"/>
      <c r="BS13" s="224">
        <f>Konvention_1slave-KKslave</f>
        <v>12</v>
      </c>
      <c r="BT13" s="222">
        <f>(BL13+BM13+BN13+BO13+BP13+BQ13+BR13+BS13)/3</f>
        <v>12</v>
      </c>
      <c r="BU13" s="223">
        <f t="shared" si="28"/>
        <v>24</v>
      </c>
      <c r="BV13" s="224">
        <f t="shared" si="29"/>
        <v>36</v>
      </c>
      <c r="BW13" s="237">
        <f>BL13*POWER(KLslave_KL,SIGN(BM13))*POWER(INslave,SIGN(BN13))*POWER(CHslave,SIGN(BO13))*POWER(FFslave,SIGN(BP13))*POWER(GEslave,SIGN(BQ13))*POWER(KOslave,SIGN(BR13))*POWER(KKslave,SIGN(BS13))+BM13*POWER(MUslave,SIGN(BL13))*POWER(INslave,SIGN(BN13))*POWER(CHslave,SIGN(BO13))*POWER(FFslave,SIGN(BP13))*POWER(GEslave,SIGN(BQ13))*POWER(KOslave,SIGN(BR13))*POWER(KKslave,SIGN(BS13))+BN13*POWER(MUslave,SIGN(BL13))*POWER(KLslave_KL,SIGN(BM13))*POWER(CHslave,SIGN(BO13))*POWER(FFslave,SIGN(BP13))*POWER(GEslave,SIGN(BQ13))*POWER(KOslave,SIGN(BR13))*POWER(KKslave,SIGN(BS13))+BO13*POWER(MUslave,SIGN(BL13))*POWER(KLslave_KL,SIGN(BM13))*POWER(INslave,SIGN(BN13))*POWER(FFslave,SIGN(BP13))*POWER(GEslave,SIGN(BQ13))*POWER(KOslave,SIGN(BR13))*POWER(KKslave,SIGN(BS13))+BP13*POWER(MUslave,SIGN(BL13))*POWER(KLslave_KL,SIGN(BM13))*POWER(INslave,SIGN(BN13))*POWER(CHslave,SIGN(BO13))*POWER(GEslave,SIGN(BQ13))*POWER(KOslave,SIGN(BR13))*POWER(KKslave,SIGN(BS13))+BQ13*POWER(MUslave,SIGN(BL13))*POWER(KLslave_KL,SIGN(BM13))*POWER(INslave,SIGN(BN13))*POWER(CHslave,SIGN(BO13))*POWER(FFslave,SIGN(BP13))*POWER(KOslave,SIGN(BR13))*POWER(KKslave,SIGN(BS13))+BR13*POWER(MUslave,SIGN(BL13))*POWER(KLslave_KL,SIGN(BM13))*POWER(INslave,SIGN(BN13))*POWER(CHslave,SIGN(BO13))*POWER(FFslave,SIGN(BP13))*POWER(GEslave,SIGN(BQ13))*POWER(KKslave,SIGN(BS13))+BS13*POWER(MUslave,SIGN(BL13))*POWER(KLslave_KL,SIGN(BM13))*POWER(INslave,SIGN(BN13))*POWER(CHslave,SIGN(BO13))*POWER(FFslave,SIGN(BP13))*POWER(GEslave,SIGN(BQ13))*POWER(KOslave,SIGN(BR13))</f>
        <v>2304</v>
      </c>
      <c r="BX13" s="234">
        <f>BL13*BQ13*KKslave+BL13*GEslave*BS13+MUslave*BQ13*BS13</f>
        <v>3456</v>
      </c>
      <c r="BY13" s="224">
        <f t="shared" si="30"/>
        <v>1728</v>
      </c>
      <c r="BZ13" s="242">
        <f t="shared" ref="BZ13:BZ23" si="100">SUM(BW13:BY13)</f>
        <v>7488</v>
      </c>
      <c r="CA13" s="222">
        <f t="shared" si="31"/>
        <v>3.6923076923076925</v>
      </c>
      <c r="CB13" s="223">
        <f t="shared" si="32"/>
        <v>11.076923076923077</v>
      </c>
      <c r="CC13" s="243">
        <f t="shared" si="33"/>
        <v>8.3076923076923084</v>
      </c>
      <c r="CD13" s="218">
        <f t="shared" si="34"/>
        <v>23.07692307692308</v>
      </c>
      <c r="CE13" s="252">
        <f t="shared" si="35"/>
        <v>0</v>
      </c>
      <c r="CF13" s="309">
        <f t="shared" si="36"/>
        <v>23.07692307692308</v>
      </c>
      <c r="CG13" s="218">
        <f>IF(CD13&gt;0,CD13,0)*2+IF(CD13&gt;12,CD13-12,0)*2+IF(CD13&gt;13,CD13-13,0)*2+IF(CD13&gt;14,CD13-14,0)*2+IF(CD13&gt;15,CD13-15,0)*2+IF(CD13&gt;16,CD13-16,0)*2+IF(CD13&gt;17,CD13-17,0)*2+IF(CD13&gt;18,CD13-18,0)*2+IF(CD13&gt;19,CD13-19,0)*2+IF(CD13&gt;20,CD13-20,0)*2</f>
        <v>173.5384615384616</v>
      </c>
      <c r="CH13" s="242">
        <f>IF(CE13&gt;0,CE13,0)*2+IF(CE13&gt;12,CE13-12,0)*2+IF(CE13&gt;13,CE13-13,0)*2+IF(CE13&gt;14,CE13-14,0)*2+IF(CE13&gt;15,CE13-15,0)*2+IF(CE13&gt;16,CE13-16,0)*2+IF(CE13&gt;17,CE13-17,0)*2+IF(CE13&gt;18,CE13-18,0)*2+IF(CE13&gt;19,CE13-19,0)*2+IF(CE13&gt;20,CE13-20,0)*2</f>
        <v>0</v>
      </c>
      <c r="CI13" s="243">
        <f t="shared" si="2"/>
        <v>173.5384615384616</v>
      </c>
      <c r="CJ13" s="218">
        <f t="shared" si="37"/>
        <v>0</v>
      </c>
      <c r="CL13" s="303" t="s">
        <v>11</v>
      </c>
      <c r="CM13" s="243" t="s">
        <v>73</v>
      </c>
      <c r="CN13" s="218" t="s">
        <v>132</v>
      </c>
      <c r="CO13" s="237">
        <f>Konvention_1slave-MUslave</f>
        <v>12</v>
      </c>
      <c r="CP13" s="234"/>
      <c r="CQ13" s="234"/>
      <c r="CR13" s="234"/>
      <c r="CS13" s="234"/>
      <c r="CT13" s="234">
        <f>Konvention_1slave-GEslave</f>
        <v>12</v>
      </c>
      <c r="CU13" s="234"/>
      <c r="CV13" s="224">
        <f>Konvention_1slave-KKslave</f>
        <v>12</v>
      </c>
      <c r="CW13" s="222">
        <f>(CO13+CP13+CQ13+CR13+CS13+CT13+CU13+CV13)/3</f>
        <v>12</v>
      </c>
      <c r="CX13" s="223">
        <f t="shared" si="38"/>
        <v>24</v>
      </c>
      <c r="CY13" s="224">
        <f t="shared" si="39"/>
        <v>36</v>
      </c>
      <c r="CZ13" s="237">
        <f>CO13*POWER(KLslave,SIGN(CP13))*POWER(INslave_IN,SIGN(CQ13))*POWER(CHslave,SIGN(CR13))*POWER(FFslave,SIGN(CS13))*POWER(GEslave,SIGN(CT13))*POWER(KOslave,SIGN(CU13))*POWER(KKslave,SIGN(CV13))+CP13*POWER(MUslave,SIGN(CO13))*POWER(INslave_IN,SIGN(CQ13))*POWER(CHslave,SIGN(CR13))*POWER(FFslave,SIGN(CS13))*POWER(GEslave,SIGN(CT13))*POWER(KOslave,SIGN(CU13))*POWER(KKslave,SIGN(CV13))+CQ13*POWER(MUslave,SIGN(CO13))*POWER(KLslave,SIGN(CP13))*POWER(CHslave,SIGN(CR13))*POWER(FFslave,SIGN(CS13))*POWER(GEslave,SIGN(CT13))*POWER(KOslave,SIGN(CU13))*POWER(KKslave,SIGN(CV13))+CR13*POWER(MUslave,SIGN(CO13))*POWER(KLslave,SIGN(CP13))*POWER(INslave_IN,SIGN(CQ13))*POWER(FFslave,SIGN(CS13))*POWER(GEslave,SIGN(CT13))*POWER(KOslave,SIGN(CU13))*POWER(KKslave,SIGN(CV13))+CS13*POWER(MUslave,SIGN(CO13))*POWER(KLslave,SIGN(CP13))*POWER(INslave_IN,SIGN(CQ13))*POWER(CHslave,SIGN(CR13))*POWER(GEslave,SIGN(CT13))*POWER(KOslave,SIGN(CU13))*POWER(KKslave,SIGN(CV13))+CT13*POWER(MUslave,SIGN(CO13))*POWER(KLslave,SIGN(CP13))*POWER(INslave_IN,SIGN(CQ13))*POWER(CHslave,SIGN(CR13))*POWER(FFslave,SIGN(CS13))*POWER(KOslave,SIGN(CU13))*POWER(KKslave,SIGN(CV13))+CU13*POWER(MUslave,SIGN(CO13))*POWER(KLslave,SIGN(CP13))*POWER(INslave_IN,SIGN(CQ13))*POWER(CHslave,SIGN(CR13))*POWER(FFslave,SIGN(CS13))*POWER(GEslave,SIGN(CT13))*POWER(KKslave,SIGN(CV13))+CV13*POWER(MUslave,SIGN(CO13))*POWER(KLslave,SIGN(CP13))*POWER(INslave_IN,SIGN(CQ13))*POWER(CHslave,SIGN(CR13))*POWER(FFslave,SIGN(CS13))*POWER(GEslave,SIGN(CT13))*POWER(KOslave,SIGN(CU13))</f>
        <v>2304</v>
      </c>
      <c r="DA13" s="234">
        <f>CO13*CT13*KKslave+CO13*GEslave*CV13+MUslave*CT13*CV13</f>
        <v>3456</v>
      </c>
      <c r="DB13" s="224">
        <f t="shared" si="40"/>
        <v>1728</v>
      </c>
      <c r="DC13" s="242">
        <f t="shared" ref="DC13:DC23" si="101">SUM(CZ13:DB13)</f>
        <v>7488</v>
      </c>
      <c r="DD13" s="222">
        <f t="shared" si="41"/>
        <v>3.6923076923076925</v>
      </c>
      <c r="DE13" s="223">
        <f t="shared" si="42"/>
        <v>11.076923076923077</v>
      </c>
      <c r="DF13" s="243">
        <f t="shared" si="43"/>
        <v>8.3076923076923084</v>
      </c>
      <c r="DG13" s="218">
        <f t="shared" si="44"/>
        <v>23.07692307692308</v>
      </c>
      <c r="DH13" s="252">
        <f t="shared" si="45"/>
        <v>0</v>
      </c>
      <c r="DI13" s="309">
        <f t="shared" si="46"/>
        <v>23.07692307692308</v>
      </c>
      <c r="DJ13" s="218">
        <f>IF(DG13&gt;0,DG13,0)*2+IF(DG13&gt;12,DG13-12,0)*2+IF(DG13&gt;13,DG13-13,0)*2+IF(DG13&gt;14,DG13-14,0)*2+IF(DG13&gt;15,DG13-15,0)*2+IF(DG13&gt;16,DG13-16,0)*2+IF(DG13&gt;17,DG13-17,0)*2+IF(DG13&gt;18,DG13-18,0)*2+IF(DG13&gt;19,DG13-19,0)*2+IF(DG13&gt;20,DG13-20,0)*2</f>
        <v>173.5384615384616</v>
      </c>
      <c r="DK13" s="242">
        <f>IF(DH13&gt;0,DH13,0)*2+IF(DH13&gt;12,DH13-12,0)*2+IF(DH13&gt;13,DH13-13,0)*2+IF(DH13&gt;14,DH13-14,0)*2+IF(DH13&gt;15,DH13-15,0)*2+IF(DH13&gt;16,DH13-16,0)*2+IF(DH13&gt;17,DH13-17,0)*2+IF(DH13&gt;18,DH13-18,0)*2+IF(DH13&gt;19,DH13-19,0)*2+IF(DH13&gt;20,DH13-20,0)*2</f>
        <v>0</v>
      </c>
      <c r="DL13" s="243">
        <f t="shared" si="3"/>
        <v>173.5384615384616</v>
      </c>
      <c r="DM13" s="218">
        <f t="shared" si="47"/>
        <v>0</v>
      </c>
      <c r="DO13" s="303" t="s">
        <v>11</v>
      </c>
      <c r="DP13" s="243" t="s">
        <v>73</v>
      </c>
      <c r="DQ13" s="218" t="s">
        <v>132</v>
      </c>
      <c r="DR13" s="237">
        <f>Konvention_1slave-MUslave</f>
        <v>12</v>
      </c>
      <c r="DS13" s="234"/>
      <c r="DT13" s="234"/>
      <c r="DU13" s="234"/>
      <c r="DV13" s="234"/>
      <c r="DW13" s="234">
        <f>Konvention_1slave-GEslave</f>
        <v>12</v>
      </c>
      <c r="DX13" s="234"/>
      <c r="DY13" s="224">
        <f>Konvention_1slave-KKslave</f>
        <v>12</v>
      </c>
      <c r="DZ13" s="222">
        <f>(DR13+DS13+DT13+DU13+DV13+DW13+DX13+DY13)/3</f>
        <v>12</v>
      </c>
      <c r="EA13" s="223">
        <f t="shared" si="48"/>
        <v>24</v>
      </c>
      <c r="EB13" s="224">
        <f t="shared" si="49"/>
        <v>36</v>
      </c>
      <c r="EC13" s="237">
        <f>DR13*POWER(KLslave,SIGN(DS13))*POWER(INslave,SIGN(DT13))*POWER(CHslave_CH,SIGN(DU13))*POWER(FFslave,SIGN(DV13))*POWER(GEslave,SIGN(DW13))*POWER(KOslave,SIGN(DX13))*POWER(KKslave,SIGN(DY13))+DS13*POWER(MUslave,SIGN(DR13))*POWER(INslave,SIGN(DT13))*POWER(CHslave_CH,SIGN(DU13))*POWER(FFslave,SIGN(DV13))*POWER(GEslave,SIGN(DW13))*POWER(KOslave,SIGN(DX13))*POWER(KKslave,SIGN(DY13))+DT13*POWER(MUslave,SIGN(DR13))*POWER(KLslave,SIGN(DS13))*POWER(CHslave_CH,SIGN(DU13))*POWER(FFslave,SIGN(DV13))*POWER(GEslave,SIGN(DW13))*POWER(KOslave,SIGN(DX13))*POWER(KKslave,SIGN(DY13))+DU13*POWER(MUslave,SIGN(DR13))*POWER(KLslave,SIGN(DS13))*POWER(INslave,SIGN(DT13))*POWER(FFslave,SIGN(DV13))*POWER(GEslave,SIGN(DW13))*POWER(KOslave,SIGN(DX13))*POWER(KKslave,SIGN(DY13))+DV13*POWER(MUslave,SIGN(DR13))*POWER(KLslave,SIGN(DS13))*POWER(INslave,SIGN(DT13))*POWER(CHslave_CH,SIGN(DU13))*POWER(GEslave,SIGN(DW13))*POWER(KOslave,SIGN(DX13))*POWER(KKslave,SIGN(DY13))+DW13*POWER(MUslave,SIGN(DR13))*POWER(KLslave,SIGN(DS13))*POWER(INslave,SIGN(DT13))*POWER(CHslave_CH,SIGN(DU13))*POWER(FFslave,SIGN(DV13))*POWER(KOslave,SIGN(DX13))*POWER(KKslave,SIGN(DY13))+DX13*POWER(MUslave,SIGN(DR13))*POWER(KLslave,SIGN(DS13))*POWER(INslave,SIGN(DT13))*POWER(CHslave_CH,SIGN(DU13))*POWER(FFslave,SIGN(DV13))*POWER(GEslave,SIGN(DW13))*POWER(KKslave,SIGN(DY13))+DY13*POWER(MUslave,SIGN(DR13))*POWER(KLslave,SIGN(DS13))*POWER(INslave,SIGN(DT13))*POWER(CHslave_CH,SIGN(DU13))*POWER(FFslave,SIGN(DV13))*POWER(GEslave,SIGN(DW13))*POWER(KOslave,SIGN(DX13))</f>
        <v>2304</v>
      </c>
      <c r="ED13" s="234">
        <f>DR13*DW13*KKslave+DR13*GEslave*DY13+MUslave*DW13*DY13</f>
        <v>3456</v>
      </c>
      <c r="EE13" s="224">
        <f t="shared" si="50"/>
        <v>1728</v>
      </c>
      <c r="EF13" s="242">
        <f t="shared" ref="EF13:EF23" si="102">SUM(EC13:EE13)</f>
        <v>7488</v>
      </c>
      <c r="EG13" s="222">
        <f t="shared" si="51"/>
        <v>3.6923076923076925</v>
      </c>
      <c r="EH13" s="223">
        <f t="shared" si="52"/>
        <v>11.076923076923077</v>
      </c>
      <c r="EI13" s="243">
        <f t="shared" si="53"/>
        <v>8.3076923076923084</v>
      </c>
      <c r="EJ13" s="218">
        <f t="shared" si="54"/>
        <v>23.07692307692308</v>
      </c>
      <c r="EK13" s="252">
        <f t="shared" si="55"/>
        <v>0</v>
      </c>
      <c r="EL13" s="309">
        <f t="shared" si="56"/>
        <v>23.07692307692308</v>
      </c>
      <c r="EM13" s="218">
        <f>IF(EJ13&gt;0,EJ13,0)*2+IF(EJ13&gt;12,EJ13-12,0)*2+IF(EJ13&gt;13,EJ13-13,0)*2+IF(EJ13&gt;14,EJ13-14,0)*2+IF(EJ13&gt;15,EJ13-15,0)*2+IF(EJ13&gt;16,EJ13-16,0)*2+IF(EJ13&gt;17,EJ13-17,0)*2+IF(EJ13&gt;18,EJ13-18,0)*2+IF(EJ13&gt;19,EJ13-19,0)*2+IF(EJ13&gt;20,EJ13-20,0)*2</f>
        <v>173.5384615384616</v>
      </c>
      <c r="EN13" s="242">
        <f>IF(EK13&gt;0,EK13,0)*2+IF(EK13&gt;12,EK13-12,0)*2+IF(EK13&gt;13,EK13-13,0)*2+IF(EK13&gt;14,EK13-14,0)*2+IF(EK13&gt;15,EK13-15,0)*2+IF(EK13&gt;16,EK13-16,0)*2+IF(EK13&gt;17,EK13-17,0)*2+IF(EK13&gt;18,EK13-18,0)*2+IF(EK13&gt;19,EK13-19,0)*2+IF(EK13&gt;20,EK13-20,0)*2</f>
        <v>0</v>
      </c>
      <c r="EO13" s="243">
        <f t="shared" si="4"/>
        <v>173.5384615384616</v>
      </c>
      <c r="EP13" s="218">
        <f t="shared" si="57"/>
        <v>0</v>
      </c>
      <c r="ER13" s="303" t="s">
        <v>11</v>
      </c>
      <c r="ES13" s="243" t="s">
        <v>73</v>
      </c>
      <c r="ET13" s="218" t="s">
        <v>132</v>
      </c>
      <c r="EU13" s="237">
        <f>Konvention_1slave-MUslave</f>
        <v>12</v>
      </c>
      <c r="EV13" s="234"/>
      <c r="EW13" s="234"/>
      <c r="EX13" s="234"/>
      <c r="EY13" s="234"/>
      <c r="EZ13" s="234">
        <f>Konvention_1slave-GEslave</f>
        <v>12</v>
      </c>
      <c r="FA13" s="234"/>
      <c r="FB13" s="224">
        <f>Konvention_1slave-KKslave</f>
        <v>12</v>
      </c>
      <c r="FC13" s="222">
        <f>(EU13+EV13+EW13+EX13+EY13+EZ13+FA13+FB13)/3</f>
        <v>12</v>
      </c>
      <c r="FD13" s="223">
        <f t="shared" si="58"/>
        <v>24</v>
      </c>
      <c r="FE13" s="224">
        <f t="shared" si="59"/>
        <v>36</v>
      </c>
      <c r="FF13" s="237">
        <f>EU13*POWER(KLslave,SIGN(EV13))*POWER(INslave,SIGN(EW13))*POWER(CHslave,SIGN(EX13))*POWER(FFslave_FF,SIGN(EY13))*POWER(GEslave,SIGN(EZ13))*POWER(KOslave,SIGN(FA13))*POWER(KKslave,SIGN(FB13))+EV13*POWER(MUslave,SIGN(EU13))*POWER(INslave,SIGN(EW13))*POWER(CHslave,SIGN(EX13))*POWER(FFslave_FF,SIGN(EY13))*POWER(GEslave,SIGN(EZ13))*POWER(KOslave,SIGN(FA13))*POWER(KKslave,SIGN(FB13))+EW13*POWER(MUslave,SIGN(EU13))*POWER(KLslave,SIGN(EV13))*POWER(CHslave,SIGN(EX13))*POWER(FFslave_FF,SIGN(EY13))*POWER(GEslave,SIGN(EZ13))*POWER(KOslave,SIGN(FA13))*POWER(KKslave,SIGN(FB13))+EX13*POWER(MUslave,SIGN(EU13))*POWER(KLslave,SIGN(EV13))*POWER(INslave,SIGN(EW13))*POWER(FFslave_FF,SIGN(EY13))*POWER(GEslave,SIGN(EZ13))*POWER(KOslave,SIGN(FA13))*POWER(KKslave,SIGN(FB13))+EY13*POWER(MUslave,SIGN(EU13))*POWER(KLslave,SIGN(EV13))*POWER(INslave,SIGN(EW13))*POWER(CHslave,SIGN(EX13))*POWER(GEslave,SIGN(EZ13))*POWER(KOslave,SIGN(FA13))*POWER(KKslave,SIGN(FB13))+EZ13*POWER(MUslave,SIGN(EU13))*POWER(KLslave,SIGN(EV13))*POWER(INslave,SIGN(EW13))*POWER(CHslave,SIGN(EX13))*POWER(FFslave_FF,SIGN(EY13))*POWER(KOslave,SIGN(FA13))*POWER(KKslave,SIGN(FB13))+FA13*POWER(MUslave,SIGN(EU13))*POWER(KLslave,SIGN(EV13))*POWER(INslave,SIGN(EW13))*POWER(CHslave,SIGN(EX13))*POWER(FFslave_FF,SIGN(EY13))*POWER(GEslave,SIGN(EZ13))*POWER(KKslave,SIGN(FB13))+FB13*POWER(MUslave,SIGN(EU13))*POWER(KLslave,SIGN(EV13))*POWER(INslave,SIGN(EW13))*POWER(CHslave,SIGN(EX13))*POWER(FFslave_FF,SIGN(EY13))*POWER(GEslave,SIGN(EZ13))*POWER(KOslave,SIGN(FA13))</f>
        <v>2304</v>
      </c>
      <c r="FG13" s="234">
        <f>EU13*EZ13*KKslave+EU13*GEslave*FB13+MUslave*EZ13*FB13</f>
        <v>3456</v>
      </c>
      <c r="FH13" s="224">
        <f t="shared" si="60"/>
        <v>1728</v>
      </c>
      <c r="FI13" s="242">
        <f t="shared" ref="FI13:FI23" si="103">SUM(FF13:FH13)</f>
        <v>7488</v>
      </c>
      <c r="FJ13" s="222">
        <f t="shared" si="61"/>
        <v>3.6923076923076925</v>
      </c>
      <c r="FK13" s="223">
        <f t="shared" si="62"/>
        <v>11.076923076923077</v>
      </c>
      <c r="FL13" s="243">
        <f t="shared" si="63"/>
        <v>8.3076923076923084</v>
      </c>
      <c r="FM13" s="218">
        <f t="shared" si="64"/>
        <v>23.07692307692308</v>
      </c>
      <c r="FN13" s="252">
        <f t="shared" si="65"/>
        <v>0</v>
      </c>
      <c r="FO13" s="309">
        <f t="shared" si="66"/>
        <v>23.07692307692308</v>
      </c>
      <c r="FP13" s="218">
        <f>IF(FM13&gt;0,FM13,0)*2+IF(FM13&gt;12,FM13-12,0)*2+IF(FM13&gt;13,FM13-13,0)*2+IF(FM13&gt;14,FM13-14,0)*2+IF(FM13&gt;15,FM13-15,0)*2+IF(FM13&gt;16,FM13-16,0)*2+IF(FM13&gt;17,FM13-17,0)*2+IF(FM13&gt;18,FM13-18,0)*2+IF(FM13&gt;19,FM13-19,0)*2+IF(FM13&gt;20,FM13-20,0)*2</f>
        <v>173.5384615384616</v>
      </c>
      <c r="FQ13" s="242">
        <f>IF(FN13&gt;0,FN13,0)*2+IF(FN13&gt;12,FN13-12,0)*2+IF(FN13&gt;13,FN13-13,0)*2+IF(FN13&gt;14,FN13-14,0)*2+IF(FN13&gt;15,FN13-15,0)*2+IF(FN13&gt;16,FN13-16,0)*2+IF(FN13&gt;17,FN13-17,0)*2+IF(FN13&gt;18,FN13-18,0)*2+IF(FN13&gt;19,FN13-19,0)*2+IF(FN13&gt;20,FN13-20,0)*2</f>
        <v>0</v>
      </c>
      <c r="FR13" s="243">
        <f t="shared" si="5"/>
        <v>173.5384615384616</v>
      </c>
      <c r="FS13" s="218">
        <f t="shared" si="67"/>
        <v>0</v>
      </c>
      <c r="FU13" s="303" t="s">
        <v>11</v>
      </c>
      <c r="FV13" s="243" t="s">
        <v>73</v>
      </c>
      <c r="FW13" s="218" t="s">
        <v>132</v>
      </c>
      <c r="FX13" s="237">
        <f>Konvention_1slave-MUslave</f>
        <v>12</v>
      </c>
      <c r="FY13" s="234"/>
      <c r="FZ13" s="234"/>
      <c r="GA13" s="234"/>
      <c r="GB13" s="234"/>
      <c r="GC13" s="234">
        <f>Konvention_1slave-GEslave_GE</f>
        <v>11</v>
      </c>
      <c r="GD13" s="234"/>
      <c r="GE13" s="224">
        <f>Konvention_1slave-KKslave</f>
        <v>12</v>
      </c>
      <c r="GF13" s="222">
        <f>(FX13+FY13+FZ13+GA13+GB13+GC13+GD13+GE13)/3</f>
        <v>11.666666666666666</v>
      </c>
      <c r="GG13" s="223">
        <f t="shared" si="68"/>
        <v>23.333333333333332</v>
      </c>
      <c r="GH13" s="224">
        <f t="shared" si="69"/>
        <v>35</v>
      </c>
      <c r="GI13" s="237">
        <f>FX13*POWER(KLslave,SIGN(FY13))*POWER(INslave,SIGN(FZ13))*POWER(CHslave,SIGN(GA13))*POWER(FFslave,SIGN(GB13))*POWER(GEslave_GE,SIGN(GC13))*POWER(KOslave,SIGN(GD13))*POWER(KKslave,SIGN(GE13))+FY13*POWER(MUslave,SIGN(FX13))*POWER(INslave,SIGN(FZ13))*POWER(CHslave,SIGN(GA13))*POWER(FFslave,SIGN(GB13))*POWER(GEslave_GE,SIGN(GC13))*POWER(KOslave,SIGN(GD13))*POWER(KKslave,SIGN(GE13))+FZ13*POWER(MUslave,SIGN(FX13))*POWER(KLslave,SIGN(FY13))*POWER(CHslave,SIGN(GA13))*POWER(FFslave,SIGN(GB13))*POWER(GEslave_GE,SIGN(GC13))*POWER(KOslave,SIGN(GD13))*POWER(KKslave,SIGN(GE13))+GA13*POWER(MUslave,SIGN(FX13))*POWER(KLslave,SIGN(FY13))*POWER(INslave,SIGN(FZ13))*POWER(FFslave,SIGN(GB13))*POWER(GEslave_GE,SIGN(GC13))*POWER(KOslave,SIGN(GD13))*POWER(KKslave,SIGN(GE13))+GB13*POWER(MUslave,SIGN(FX13))*POWER(KLslave,SIGN(FY13))*POWER(INslave,SIGN(FZ13))*POWER(CHslave,SIGN(GA13))*POWER(GEslave_GE,SIGN(GC13))*POWER(KOslave,SIGN(GD13))*POWER(KKslave,SIGN(GE13))+GC13*POWER(MUslave,SIGN(FX13))*POWER(KLslave,SIGN(FY13))*POWER(INslave,SIGN(FZ13))*POWER(CHslave,SIGN(GA13))*POWER(FFslave,SIGN(GB13))*POWER(KOslave,SIGN(GD13))*POWER(KKslave,SIGN(GE13))+GD13*POWER(MUslave,SIGN(FX13))*POWER(KLslave,SIGN(FY13))*POWER(INslave,SIGN(FZ13))*POWER(CHslave,SIGN(GA13))*POWER(FFslave,SIGN(GB13))*POWER(GEslave_GE,SIGN(GC13))*POWER(KKslave,SIGN(GE13))+GE13*POWER(MUslave,SIGN(FX13))*POWER(KLslave,SIGN(FY13))*POWER(INslave,SIGN(FZ13))*POWER(CHslave,SIGN(GA13))*POWER(FFslave,SIGN(GB13))*POWER(GEslave_GE,SIGN(GC13))*POWER(KOslave,SIGN(GD13))</f>
        <v>2432</v>
      </c>
      <c r="GJ13" s="234">
        <f>FX13*GC13*KKslave+FX13*GEslave_GE*GE13+MUslave*GC13*GE13</f>
        <v>3408</v>
      </c>
      <c r="GK13" s="224">
        <f t="shared" si="70"/>
        <v>1584</v>
      </c>
      <c r="GL13" s="242">
        <f t="shared" ref="GL13:GL23" si="104">SUM(GI13:GK13)</f>
        <v>7424</v>
      </c>
      <c r="GM13" s="222">
        <f t="shared" si="71"/>
        <v>3.8218390804597702</v>
      </c>
      <c r="GN13" s="223">
        <f t="shared" si="72"/>
        <v>10.711206896551724</v>
      </c>
      <c r="GO13" s="243">
        <f t="shared" si="73"/>
        <v>7.4676724137931032</v>
      </c>
      <c r="GP13" s="218">
        <f t="shared" si="74"/>
        <v>22.000718390804597</v>
      </c>
      <c r="GQ13" s="252">
        <f t="shared" si="75"/>
        <v>0</v>
      </c>
      <c r="GR13" s="309">
        <f t="shared" si="76"/>
        <v>22.000718390804597</v>
      </c>
      <c r="GS13" s="218">
        <f>IF(GP13&gt;0,GP13,0)*2+IF(GP13&gt;12,GP13-12,0)*2+IF(GP13&gt;13,GP13-13,0)*2+IF(GP13&gt;14,GP13-14,0)*2+IF(GP13&gt;15,GP13-15,0)*2+IF(GP13&gt;16,GP13-16,0)*2+IF(GP13&gt;17,GP13-17,0)*2+IF(GP13&gt;18,GP13-18,0)*2+IF(GP13&gt;19,GP13-19,0)*2+IF(GP13&gt;20,GP13-20,0)*2</f>
        <v>152.01436781609189</v>
      </c>
      <c r="GT13" s="242">
        <f>IF(GQ13&gt;0,GQ13,0)*2+IF(GQ13&gt;12,GQ13-12,0)*2+IF(GQ13&gt;13,GQ13-13,0)*2+IF(GQ13&gt;14,GQ13-14,0)*2+IF(GQ13&gt;15,GQ13-15,0)*2+IF(GQ13&gt;16,GQ13-16,0)*2+IF(GQ13&gt;17,GQ13-17,0)*2+IF(GQ13&gt;18,GQ13-18,0)*2+IF(GQ13&gt;19,GQ13-19,0)*2+IF(GQ13&gt;20,GQ13-20,0)*2</f>
        <v>0</v>
      </c>
      <c r="GU13" s="243">
        <f t="shared" si="6"/>
        <v>152.01436781609189</v>
      </c>
      <c r="GV13" s="218">
        <f t="shared" si="77"/>
        <v>0</v>
      </c>
      <c r="GX13" s="303" t="s">
        <v>11</v>
      </c>
      <c r="GY13" s="243" t="s">
        <v>73</v>
      </c>
      <c r="GZ13" s="218" t="s">
        <v>132</v>
      </c>
      <c r="HA13" s="237">
        <f>Konvention_1slave-MUslave</f>
        <v>12</v>
      </c>
      <c r="HB13" s="234"/>
      <c r="HC13" s="234"/>
      <c r="HD13" s="234"/>
      <c r="HE13" s="234"/>
      <c r="HF13" s="234">
        <f>Konvention_1slave-GEslave</f>
        <v>12</v>
      </c>
      <c r="HG13" s="234"/>
      <c r="HH13" s="224">
        <f>Konvention_1slave-KKslave</f>
        <v>12</v>
      </c>
      <c r="HI13" s="222">
        <f>(HA13+HB13+HC13+HD13+HE13+HF13+HG13+HH13)/3</f>
        <v>12</v>
      </c>
      <c r="HJ13" s="223">
        <f t="shared" si="78"/>
        <v>24</v>
      </c>
      <c r="HK13" s="224">
        <f t="shared" si="79"/>
        <v>36</v>
      </c>
      <c r="HL13" s="237">
        <f>HA13*POWER(KLslave,SIGN(HB13))*POWER(INslave,SIGN(HC13))*POWER(CHslave,SIGN(HD13))*POWER(FFslave,SIGN(HE13))*POWER(GEslave,SIGN(HF13))*POWER(KOslave_KO,SIGN(HG13))*POWER(KKslave,SIGN(HH13))+HB13*POWER(MUslave,SIGN(HA13))*POWER(INslave,SIGN(HC13))*POWER(CHslave,SIGN(HD13))*POWER(FFslave,SIGN(HE13))*POWER(GEslave,SIGN(HF13))*POWER(KOslave_KO,SIGN(HG13))*POWER(KKslave,SIGN(HH13))+HC13*POWER(MUslave,SIGN(HA13))*POWER(KLslave,SIGN(HB13))*POWER(CHslave,SIGN(HD13))*POWER(FFslave,SIGN(HE13))*POWER(GEslave,SIGN(HF13))*POWER(KOslave_KO,SIGN(HG13))*POWER(KKslave,SIGN(HH13))+HD13*POWER(MUslave,SIGN(HA13))*POWER(KLslave,SIGN(HB13))*POWER(INslave,SIGN(HC13))*POWER(FFslave,SIGN(HE13))*POWER(GEslave,SIGN(HF13))*POWER(KOslave_KO,SIGN(HG13))*POWER(KKslave,SIGN(HH13))+HE13*POWER(MUslave,SIGN(HA13))*POWER(KLslave,SIGN(HB13))*POWER(INslave,SIGN(HC13))*POWER(CHslave,SIGN(HD13))*POWER(GEslave,SIGN(HF13))*POWER(KOslave_KO,SIGN(HG13))*POWER(KKslave,SIGN(HH13))+HF13*POWER(MUslave,SIGN(HA13))*POWER(KLslave,SIGN(HB13))*POWER(INslave,SIGN(HC13))*POWER(CHslave,SIGN(HD13))*POWER(FFslave,SIGN(HE13))*POWER(KOslave_KO,SIGN(HG13))*POWER(KKslave,SIGN(HH13))+HG13*POWER(MUslave,SIGN(HA13))*POWER(KLslave,SIGN(HB13))*POWER(INslave,SIGN(HC13))*POWER(CHslave,SIGN(HD13))*POWER(FFslave,SIGN(HE13))*POWER(GEslave,SIGN(HF13))*POWER(KKslave,SIGN(HH13))+HH13*POWER(MUslave,SIGN(HA13))*POWER(KLslave,SIGN(HB13))*POWER(INslave,SIGN(HC13))*POWER(CHslave,SIGN(HD13))*POWER(FFslave,SIGN(HE13))*POWER(GEslave,SIGN(HF13))*POWER(KOslave_KO,SIGN(HG13))</f>
        <v>2304</v>
      </c>
      <c r="HM13" s="234">
        <f>HA13*HF13*KKslave+HA13*GEslave*HH13+MUslave*HF13*HH13</f>
        <v>3456</v>
      </c>
      <c r="HN13" s="224">
        <f t="shared" si="80"/>
        <v>1728</v>
      </c>
      <c r="HO13" s="242">
        <f t="shared" ref="HO13:HO23" si="105">SUM(HL13:HN13)</f>
        <v>7488</v>
      </c>
      <c r="HP13" s="222">
        <f t="shared" si="81"/>
        <v>3.6923076923076925</v>
      </c>
      <c r="HQ13" s="223">
        <f t="shared" si="82"/>
        <v>11.076923076923077</v>
      </c>
      <c r="HR13" s="243">
        <f t="shared" si="83"/>
        <v>8.3076923076923084</v>
      </c>
      <c r="HS13" s="218">
        <f t="shared" si="84"/>
        <v>23.07692307692308</v>
      </c>
      <c r="HT13" s="252">
        <f t="shared" si="85"/>
        <v>0</v>
      </c>
      <c r="HU13" s="309">
        <f t="shared" si="86"/>
        <v>23.07692307692308</v>
      </c>
      <c r="HV13" s="218">
        <f>IF(HS13&gt;0,HS13,0)*2+IF(HS13&gt;12,HS13-12,0)*2+IF(HS13&gt;13,HS13-13,0)*2+IF(HS13&gt;14,HS13-14,0)*2+IF(HS13&gt;15,HS13-15,0)*2+IF(HS13&gt;16,HS13-16,0)*2+IF(HS13&gt;17,HS13-17,0)*2+IF(HS13&gt;18,HS13-18,0)*2+IF(HS13&gt;19,HS13-19,0)*2+IF(HS13&gt;20,HS13-20,0)*2</f>
        <v>173.5384615384616</v>
      </c>
      <c r="HW13" s="242">
        <f>IF(HT13&gt;0,HT13,0)*2+IF(HT13&gt;12,HT13-12,0)*2+IF(HT13&gt;13,HT13-13,0)*2+IF(HT13&gt;14,HT13-14,0)*2+IF(HT13&gt;15,HT13-15,0)*2+IF(HT13&gt;16,HT13-16,0)*2+IF(HT13&gt;17,HT13-17,0)*2+IF(HT13&gt;18,HT13-18,0)*2+IF(HT13&gt;19,HT13-19,0)*2+IF(HT13&gt;20,HT13-20,0)*2</f>
        <v>0</v>
      </c>
      <c r="HX13" s="243">
        <f t="shared" si="7"/>
        <v>173.5384615384616</v>
      </c>
      <c r="HY13" s="218">
        <f t="shared" si="87"/>
        <v>0</v>
      </c>
      <c r="IA13" s="303" t="s">
        <v>11</v>
      </c>
      <c r="IB13" s="243" t="s">
        <v>73</v>
      </c>
      <c r="IC13" s="218" t="s">
        <v>132</v>
      </c>
      <c r="ID13" s="237">
        <f>Konvention_1slave-MUslave</f>
        <v>12</v>
      </c>
      <c r="IE13" s="234"/>
      <c r="IF13" s="234"/>
      <c r="IG13" s="234"/>
      <c r="IH13" s="234"/>
      <c r="II13" s="234">
        <f>Konvention_1slave-GEslave</f>
        <v>12</v>
      </c>
      <c r="IJ13" s="234"/>
      <c r="IK13" s="224">
        <f>Konvention_1slave-KKslave_KK</f>
        <v>11</v>
      </c>
      <c r="IL13" s="222">
        <f>(ID13+IE13+IF13+IG13+IH13+II13+IJ13+IK13)/3</f>
        <v>11.666666666666666</v>
      </c>
      <c r="IM13" s="223">
        <f t="shared" si="88"/>
        <v>23.333333333333332</v>
      </c>
      <c r="IN13" s="224">
        <f t="shared" si="89"/>
        <v>35</v>
      </c>
      <c r="IO13" s="237">
        <f>ID13*POWER(KLslave,SIGN(IE13))*POWER(INslave,SIGN(IF13))*POWER(CHslave,SIGN(IG13))*POWER(FFslave,SIGN(IH13))*POWER(GEslave,SIGN(II13))*POWER(KOslave,SIGN(IJ13))*POWER(KKslave_KK,SIGN(IK13))+IE13*POWER(MUslave,SIGN(ID13))*POWER(INslave,SIGN(IF13))*POWER(CHslave,SIGN(IG13))*POWER(FFslave,SIGN(IH13))*POWER(GEslave,SIGN(II13))*POWER(KOslave,SIGN(IJ13))*POWER(KKslave_KK,SIGN(IK13))+IF13*POWER(MUslave,SIGN(ID13))*POWER(KLslave,SIGN(IE13))*POWER(CHslave,SIGN(IG13))*POWER(FFslave,SIGN(IH13))*POWER(GEslave,SIGN(II13))*POWER(KOslave,SIGN(IJ13))*POWER(KKslave_KK,SIGN(IK13))+IG13*POWER(MUslave,SIGN(ID13))*POWER(KLslave,SIGN(IE13))*POWER(INslave,SIGN(IF13))*POWER(FFslave,SIGN(IH13))*POWER(GEslave,SIGN(II13))*POWER(KOslave,SIGN(IJ13))*POWER(KKslave_KK,SIGN(IK13))+IH13*POWER(MUslave,SIGN(ID13))*POWER(KLslave,SIGN(IE13))*POWER(INslave,SIGN(IF13))*POWER(CHslave,SIGN(IG13))*POWER(GEslave,SIGN(II13))*POWER(KOslave,SIGN(IJ13))*POWER(KKslave_KK,SIGN(IK13))+II13*POWER(MUslave,SIGN(ID13))*POWER(KLslave,SIGN(IE13))*POWER(INslave,SIGN(IF13))*POWER(CHslave,SIGN(IG13))*POWER(FFslave,SIGN(IH13))*POWER(KOslave,SIGN(IJ13))*POWER(KKslave_KK,SIGN(IK13))+IJ13*POWER(MUslave,SIGN(ID13))*POWER(KLslave,SIGN(IE13))*POWER(INslave,SIGN(IF13))*POWER(CHslave,SIGN(IG13))*POWER(FFslave,SIGN(IH13))*POWER(GEslave,SIGN(II13))*POWER(KKslave_KK,SIGN(IK13))+IK13*POWER(MUslave,SIGN(ID13))*POWER(KLslave,SIGN(IE13))*POWER(INslave,SIGN(IF13))*POWER(CHslave,SIGN(IG13))*POWER(FFslave,SIGN(IH13))*POWER(GEslave,SIGN(II13))*POWER(KOslave,SIGN(IJ13))</f>
        <v>2432</v>
      </c>
      <c r="IP13" s="234">
        <f>ID13*II13*KKslave_KK+ID13*GEslave*IK13+MUslave*II13*IK13</f>
        <v>3408</v>
      </c>
      <c r="IQ13" s="224">
        <f t="shared" si="90"/>
        <v>1584</v>
      </c>
      <c r="IR13" s="242">
        <f t="shared" ref="IR13:IR23" si="106">SUM(IO13:IQ13)</f>
        <v>7424</v>
      </c>
      <c r="IS13" s="222">
        <f t="shared" si="91"/>
        <v>3.8218390804597702</v>
      </c>
      <c r="IT13" s="223">
        <f t="shared" si="92"/>
        <v>10.711206896551724</v>
      </c>
      <c r="IU13" s="243">
        <f t="shared" si="93"/>
        <v>7.4676724137931032</v>
      </c>
      <c r="IV13" s="218">
        <f t="shared" si="94"/>
        <v>22.000718390804597</v>
      </c>
      <c r="IW13" s="252">
        <f t="shared" si="95"/>
        <v>0</v>
      </c>
      <c r="IX13" s="309">
        <f t="shared" si="96"/>
        <v>22.000718390804597</v>
      </c>
      <c r="IY13" s="218">
        <f>IF(IV13&gt;0,IV13,0)*2+IF(IV13&gt;12,IV13-12,0)*2+IF(IV13&gt;13,IV13-13,0)*2+IF(IV13&gt;14,IV13-14,0)*2+IF(IV13&gt;15,IV13-15,0)*2+IF(IV13&gt;16,IV13-16,0)*2+IF(IV13&gt;17,IV13-17,0)*2+IF(IV13&gt;18,IV13-18,0)*2+IF(IV13&gt;19,IV13-19,0)*2+IF(IV13&gt;20,IV13-20,0)*2</f>
        <v>152.01436781609189</v>
      </c>
      <c r="IZ13" s="242">
        <f>IF(IW13&gt;0,IW13,0)*2+IF(IW13&gt;12,IW13-12,0)*2+IF(IW13&gt;13,IW13-13,0)*2+IF(IW13&gt;14,IW13-14,0)*2+IF(IW13&gt;15,IW13-15,0)*2+IF(IW13&gt;16,IW13-16,0)*2+IF(IW13&gt;17,IW13-17,0)*2+IF(IW13&gt;18,IW13-18,0)*2+IF(IW13&gt;19,IW13-19,0)*2+IF(IW13&gt;20,IW13-20,0)*2</f>
        <v>0</v>
      </c>
      <c r="JA13" s="243">
        <f t="shared" si="8"/>
        <v>152.01436781609189</v>
      </c>
      <c r="JB13" s="218">
        <f t="shared" si="97"/>
        <v>0</v>
      </c>
      <c r="JE13" s="148"/>
    </row>
    <row r="14" spans="1:265" hidden="1" outlineLevel="2">
      <c r="B14" s="148">
        <v>4</v>
      </c>
      <c r="C14" s="303" t="e">
        <f>VLOOKUP(AF14,Attribute!C:T,1,FALSE)</f>
        <v>#N/A</v>
      </c>
      <c r="D14" s="127" t="s">
        <v>74</v>
      </c>
      <c r="E14" s="125" t="s">
        <v>134</v>
      </c>
      <c r="F14" s="114"/>
      <c r="G14" s="113"/>
      <c r="H14" s="113"/>
      <c r="I14" s="113"/>
      <c r="J14" s="113"/>
      <c r="K14" s="113">
        <f>Konvention_1master-GEmaster</f>
        <v>12</v>
      </c>
      <c r="L14" s="113">
        <f>Konvention_1master-KOmaster</f>
        <v>12</v>
      </c>
      <c r="M14" s="119"/>
      <c r="N14" s="222">
        <f>(K14+K14+L14)/3</f>
        <v>12</v>
      </c>
      <c r="O14" s="223">
        <f t="shared" si="9"/>
        <v>24</v>
      </c>
      <c r="P14" s="224">
        <f t="shared" si="10"/>
        <v>36</v>
      </c>
      <c r="Q14" s="237">
        <f>K14*POWER(KOmaster,SIGN(L14))*POWER(GEmaster,SIGN(K14))+K14*POWER(KOmaster,SIGN(L14))*POWER(GEmaster,SIGN(K14))+L14*POWER(GEmaster,SIGN(K14))*POWER(GEmaster,SIGN(K14))</f>
        <v>2304</v>
      </c>
      <c r="R14" s="113">
        <f>K14*K14*KOmaster+K14*GEmaster*L14+GEmaster*K14*L14</f>
        <v>3456</v>
      </c>
      <c r="S14" s="224">
        <f>K14*K14*L14</f>
        <v>1728</v>
      </c>
      <c r="T14" s="242">
        <f t="shared" si="98"/>
        <v>7488</v>
      </c>
      <c r="U14" s="222">
        <f t="shared" si="12"/>
        <v>3.6923076923076925</v>
      </c>
      <c r="V14" s="223">
        <f t="shared" si="13"/>
        <v>11.076923076923077</v>
      </c>
      <c r="W14" s="243">
        <f t="shared" si="14"/>
        <v>8.3076923076923084</v>
      </c>
      <c r="X14" s="218">
        <f t="shared" si="15"/>
        <v>23.07692307692308</v>
      </c>
      <c r="Y14" s="252">
        <v>0</v>
      </c>
      <c r="Z14" s="198">
        <f t="shared" si="16"/>
        <v>23.07692307692308</v>
      </c>
      <c r="AA14" s="125">
        <f>IF(X14&gt;0,X14,0)*4+IF(X14&gt;12,X14-12,0)*4+IF(X14&gt;13,X14-13,0)*4+IF(X14&gt;14,X14-14,0)*4+IF(X14&gt;15,X14-15,0)*4+IF(X14&gt;16,X14-16,0)*4+IF(X14&gt;17,X14-17,0)*4+IF(X14&gt;18,X14-18,0)*4+IF(X14&gt;19,X14-19,0)*4+IF(X14&gt;20,X14-20,0)*4</f>
        <v>347.07692307692321</v>
      </c>
      <c r="AB14" s="160">
        <f>IF(Y14&gt;0,Y14,0)*4+IF(Y14&gt;12,Y14-12,0)*4+IF(Y14&gt;13,Y14-13,0)*4+IF(Y14&gt;14,Y14-14,0)*4+IF(Y14&gt;15,Y14-15,0)*4+IF(Y14&gt;16,Y14-16,0)*4+IF(Y14&gt;17,Y14-17,0)*4+IF(Y14&gt;18,Y14-18,0)*4+IF(Y14&gt;19,Y14-19,0)*4+IF(Y14&gt;20,Y14-20,0)*4</f>
        <v>0</v>
      </c>
      <c r="AC14" s="127">
        <f t="shared" si="0"/>
        <v>347.07692307692321</v>
      </c>
      <c r="AD14" s="125">
        <f t="shared" si="17"/>
        <v>0</v>
      </c>
      <c r="AF14" s="163" t="s">
        <v>12</v>
      </c>
      <c r="AG14" s="127" t="s">
        <v>74</v>
      </c>
      <c r="AH14" s="125" t="s">
        <v>134</v>
      </c>
      <c r="AI14" s="114"/>
      <c r="AJ14" s="113"/>
      <c r="AK14" s="113"/>
      <c r="AL14" s="113"/>
      <c r="AM14" s="113"/>
      <c r="AN14" s="113">
        <f>Konvention_1slave-GEslave</f>
        <v>12</v>
      </c>
      <c r="AO14" s="113">
        <f>Konvention_1slave-KOslave</f>
        <v>12</v>
      </c>
      <c r="AP14" s="119"/>
      <c r="AQ14" s="89">
        <f>(AN14+AN14+AO14)/3</f>
        <v>12</v>
      </c>
      <c r="AR14" s="47">
        <f t="shared" si="18"/>
        <v>24</v>
      </c>
      <c r="AS14" s="119">
        <f t="shared" si="19"/>
        <v>36</v>
      </c>
      <c r="AT14" s="114">
        <f>AN14*POWER(KOslave,SIGN(AO14))*POWER(GEslave,SIGN(AN14))+AN14*POWER(KOslave,SIGN(AO14))*POWER(GEslave,SIGN(AN14))+AO14*POWER(GEslave,SIGN(AN14))*POWER(GEslave,SIGN(AN14))</f>
        <v>2304</v>
      </c>
      <c r="AU14" s="113">
        <f>AN14*AN14*KOslave+AN14*GEslave*AO14+GEslave*AN14*AO14</f>
        <v>3456</v>
      </c>
      <c r="AV14" s="119">
        <f>AN14*AN14*AO14</f>
        <v>1728</v>
      </c>
      <c r="AW14" s="160">
        <f t="shared" si="99"/>
        <v>7488</v>
      </c>
      <c r="AX14" s="89">
        <f t="shared" si="21"/>
        <v>3.6923076923076925</v>
      </c>
      <c r="AY14" s="47">
        <f t="shared" si="22"/>
        <v>11.076923076923077</v>
      </c>
      <c r="AZ14" s="127">
        <f t="shared" si="23"/>
        <v>8.3076923076923084</v>
      </c>
      <c r="BA14" s="125">
        <f t="shared" si="24"/>
        <v>23.07692307692308</v>
      </c>
      <c r="BB14" s="165">
        <f t="shared" si="25"/>
        <v>0</v>
      </c>
      <c r="BC14" s="198">
        <f t="shared" si="26"/>
        <v>23.07692307692308</v>
      </c>
      <c r="BD14" s="125">
        <f>IF(BA14&gt;0,BA14,0)*4+IF(BA14&gt;12,BA14-12,0)*4+IF(BA14&gt;13,BA14-13,0)*4+IF(BA14&gt;14,BA14-14,0)*4+IF(BA14&gt;15,BA14-15,0)*4+IF(BA14&gt;16,BA14-16,0)*4+IF(BA14&gt;17,BA14-17,0)*4+IF(BA14&gt;18,BA14-18,0)*4+IF(BA14&gt;19,BA14-19,0)*4+IF(BA14&gt;20,BA14-20,0)*4</f>
        <v>347.07692307692321</v>
      </c>
      <c r="BE14" s="160">
        <f>IF(BB14&gt;0,BB14,0)*4+IF(BB14&gt;12,BB14-12,0)*4+IF(BB14&gt;13,BB14-13,0)*4+IF(BB14&gt;14,BB14-14,0)*4+IF(BB14&gt;15,BB14-15,0)*4+IF(BB14&gt;16,BB14-16,0)*4+IF(BB14&gt;17,BB14-17,0)*4+IF(BB14&gt;18,BB14-18,0)*4+IF(BB14&gt;19,BB14-19,0)*4+IF(BB14&gt;20,BB14-20,0)*4</f>
        <v>0</v>
      </c>
      <c r="BF14" s="243">
        <f t="shared" si="1"/>
        <v>347.07692307692321</v>
      </c>
      <c r="BG14" s="218">
        <f t="shared" si="27"/>
        <v>0</v>
      </c>
      <c r="BI14" s="303" t="s">
        <v>12</v>
      </c>
      <c r="BJ14" s="243" t="s">
        <v>74</v>
      </c>
      <c r="BK14" s="218" t="s">
        <v>134</v>
      </c>
      <c r="BL14" s="237"/>
      <c r="BM14" s="234"/>
      <c r="BN14" s="234"/>
      <c r="BO14" s="234"/>
      <c r="BP14" s="234"/>
      <c r="BQ14" s="234">
        <f>Konvention_1slave-GEslave</f>
        <v>12</v>
      </c>
      <c r="BR14" s="234">
        <f>Konvention_1slave-KOslave</f>
        <v>12</v>
      </c>
      <c r="BS14" s="224"/>
      <c r="BT14" s="222">
        <f>(BQ14+BQ14+BR14)/3</f>
        <v>12</v>
      </c>
      <c r="BU14" s="223">
        <f t="shared" si="28"/>
        <v>24</v>
      </c>
      <c r="BV14" s="224">
        <f t="shared" si="29"/>
        <v>36</v>
      </c>
      <c r="BW14" s="237">
        <f>BQ14*POWER(KOslave,SIGN(BR14))*POWER(GEslave,SIGN(BQ14))+BQ14*POWER(KOslave,SIGN(BR14))*POWER(GEslave,SIGN(BQ14))+BR14*POWER(GEslave,SIGN(BQ14))*POWER(GEslave,SIGN(BQ14))</f>
        <v>2304</v>
      </c>
      <c r="BX14" s="234">
        <f>BQ14*BQ14*KOslave+BQ14*GEslave*BR14+GEslave*BQ14*BR14</f>
        <v>3456</v>
      </c>
      <c r="BY14" s="224">
        <f>BQ14*BQ14*BR14</f>
        <v>1728</v>
      </c>
      <c r="BZ14" s="242">
        <f t="shared" si="100"/>
        <v>7488</v>
      </c>
      <c r="CA14" s="222">
        <f t="shared" si="31"/>
        <v>3.6923076923076925</v>
      </c>
      <c r="CB14" s="223">
        <f t="shared" si="32"/>
        <v>11.076923076923077</v>
      </c>
      <c r="CC14" s="243">
        <f t="shared" si="33"/>
        <v>8.3076923076923084</v>
      </c>
      <c r="CD14" s="218">
        <f t="shared" si="34"/>
        <v>23.07692307692308</v>
      </c>
      <c r="CE14" s="252">
        <f t="shared" si="35"/>
        <v>0</v>
      </c>
      <c r="CF14" s="309">
        <f t="shared" si="36"/>
        <v>23.07692307692308</v>
      </c>
      <c r="CG14" s="218">
        <f>IF(CD14&gt;0,CD14,0)*4+IF(CD14&gt;12,CD14-12,0)*4+IF(CD14&gt;13,CD14-13,0)*4+IF(CD14&gt;14,CD14-14,0)*4+IF(CD14&gt;15,CD14-15,0)*4+IF(CD14&gt;16,CD14-16,0)*4+IF(CD14&gt;17,CD14-17,0)*4+IF(CD14&gt;18,CD14-18,0)*4+IF(CD14&gt;19,CD14-19,0)*4+IF(CD14&gt;20,CD14-20,0)*4</f>
        <v>347.07692307692321</v>
      </c>
      <c r="CH14" s="242">
        <f>IF(CE14&gt;0,CE14,0)*4+IF(CE14&gt;12,CE14-12,0)*4+IF(CE14&gt;13,CE14-13,0)*4+IF(CE14&gt;14,CE14-14,0)*4+IF(CE14&gt;15,CE14-15,0)*4+IF(CE14&gt;16,CE14-16,0)*4+IF(CE14&gt;17,CE14-17,0)*4+IF(CE14&gt;18,CE14-18,0)*4+IF(CE14&gt;19,CE14-19,0)*4+IF(CE14&gt;20,CE14-20,0)*4</f>
        <v>0</v>
      </c>
      <c r="CI14" s="243">
        <f t="shared" si="2"/>
        <v>347.07692307692321</v>
      </c>
      <c r="CJ14" s="218">
        <f t="shared" si="37"/>
        <v>0</v>
      </c>
      <c r="CL14" s="303" t="s">
        <v>12</v>
      </c>
      <c r="CM14" s="243" t="s">
        <v>74</v>
      </c>
      <c r="CN14" s="218" t="s">
        <v>134</v>
      </c>
      <c r="CO14" s="237"/>
      <c r="CP14" s="234"/>
      <c r="CQ14" s="234"/>
      <c r="CR14" s="234"/>
      <c r="CS14" s="234"/>
      <c r="CT14" s="234">
        <f>Konvention_1slave-GEslave</f>
        <v>12</v>
      </c>
      <c r="CU14" s="234">
        <f>Konvention_1slave-KOslave</f>
        <v>12</v>
      </c>
      <c r="CV14" s="224"/>
      <c r="CW14" s="222">
        <f>(CT14+CT14+CU14)/3</f>
        <v>12</v>
      </c>
      <c r="CX14" s="223">
        <f t="shared" si="38"/>
        <v>24</v>
      </c>
      <c r="CY14" s="224">
        <f t="shared" si="39"/>
        <v>36</v>
      </c>
      <c r="CZ14" s="237">
        <f>CT14*POWER(KOslave,SIGN(CU14))*POWER(GEslave,SIGN(CT14))+CT14*POWER(KOslave,SIGN(CU14))*POWER(GEslave,SIGN(CT14))+CU14*POWER(GEslave,SIGN(CT14))*POWER(GEslave,SIGN(CT14))</f>
        <v>2304</v>
      </c>
      <c r="DA14" s="234">
        <f>CT14*CT14*KOslave+CT14*GEslave*CU14+GEslave*CT14*CU14</f>
        <v>3456</v>
      </c>
      <c r="DB14" s="224">
        <f>CT14*CT14*CU14</f>
        <v>1728</v>
      </c>
      <c r="DC14" s="242">
        <f t="shared" si="101"/>
        <v>7488</v>
      </c>
      <c r="DD14" s="222">
        <f t="shared" si="41"/>
        <v>3.6923076923076925</v>
      </c>
      <c r="DE14" s="223">
        <f t="shared" si="42"/>
        <v>11.076923076923077</v>
      </c>
      <c r="DF14" s="243">
        <f t="shared" si="43"/>
        <v>8.3076923076923084</v>
      </c>
      <c r="DG14" s="218">
        <f t="shared" si="44"/>
        <v>23.07692307692308</v>
      </c>
      <c r="DH14" s="252">
        <f t="shared" si="45"/>
        <v>0</v>
      </c>
      <c r="DI14" s="309">
        <f t="shared" si="46"/>
        <v>23.07692307692308</v>
      </c>
      <c r="DJ14" s="218">
        <f>IF(DG14&gt;0,DG14,0)*4+IF(DG14&gt;12,DG14-12,0)*4+IF(DG14&gt;13,DG14-13,0)*4+IF(DG14&gt;14,DG14-14,0)*4+IF(DG14&gt;15,DG14-15,0)*4+IF(DG14&gt;16,DG14-16,0)*4+IF(DG14&gt;17,DG14-17,0)*4+IF(DG14&gt;18,DG14-18,0)*4+IF(DG14&gt;19,DG14-19,0)*4+IF(DG14&gt;20,DG14-20,0)*4</f>
        <v>347.07692307692321</v>
      </c>
      <c r="DK14" s="242">
        <f>IF(DH14&gt;0,DH14,0)*4+IF(DH14&gt;12,DH14-12,0)*4+IF(DH14&gt;13,DH14-13,0)*4+IF(DH14&gt;14,DH14-14,0)*4+IF(DH14&gt;15,DH14-15,0)*4+IF(DH14&gt;16,DH14-16,0)*4+IF(DH14&gt;17,DH14-17,0)*4+IF(DH14&gt;18,DH14-18,0)*4+IF(DH14&gt;19,DH14-19,0)*4+IF(DH14&gt;20,DH14-20,0)*4</f>
        <v>0</v>
      </c>
      <c r="DL14" s="243">
        <f t="shared" si="3"/>
        <v>347.07692307692321</v>
      </c>
      <c r="DM14" s="218">
        <f t="shared" si="47"/>
        <v>0</v>
      </c>
      <c r="DO14" s="303" t="s">
        <v>12</v>
      </c>
      <c r="DP14" s="243" t="s">
        <v>74</v>
      </c>
      <c r="DQ14" s="218" t="s">
        <v>134</v>
      </c>
      <c r="DR14" s="237"/>
      <c r="DS14" s="234"/>
      <c r="DT14" s="234"/>
      <c r="DU14" s="234"/>
      <c r="DV14" s="234"/>
      <c r="DW14" s="234">
        <f>Konvention_1slave-GEslave</f>
        <v>12</v>
      </c>
      <c r="DX14" s="234">
        <f>Konvention_1slave-KOslave</f>
        <v>12</v>
      </c>
      <c r="DY14" s="224"/>
      <c r="DZ14" s="222">
        <f>(DW14+DW14+DX14)/3</f>
        <v>12</v>
      </c>
      <c r="EA14" s="223">
        <f t="shared" si="48"/>
        <v>24</v>
      </c>
      <c r="EB14" s="224">
        <f t="shared" si="49"/>
        <v>36</v>
      </c>
      <c r="EC14" s="237">
        <f>DW14*POWER(KOslave,SIGN(DX14))*POWER(GEslave,SIGN(DW14))+DW14*POWER(KOslave,SIGN(DX14))*POWER(GEslave,SIGN(DW14))+DX14*POWER(GEslave,SIGN(DW14))*POWER(GEslave,SIGN(DW14))</f>
        <v>2304</v>
      </c>
      <c r="ED14" s="234">
        <f>DW14*DW14*KOslave+DW14*GEslave*DX14+GEslave*DW14*DX14</f>
        <v>3456</v>
      </c>
      <c r="EE14" s="224">
        <f>DW14*DW14*DX14</f>
        <v>1728</v>
      </c>
      <c r="EF14" s="242">
        <f t="shared" si="102"/>
        <v>7488</v>
      </c>
      <c r="EG14" s="222">
        <f t="shared" si="51"/>
        <v>3.6923076923076925</v>
      </c>
      <c r="EH14" s="223">
        <f t="shared" si="52"/>
        <v>11.076923076923077</v>
      </c>
      <c r="EI14" s="243">
        <f t="shared" si="53"/>
        <v>8.3076923076923084</v>
      </c>
      <c r="EJ14" s="218">
        <f t="shared" si="54"/>
        <v>23.07692307692308</v>
      </c>
      <c r="EK14" s="252">
        <f t="shared" si="55"/>
        <v>0</v>
      </c>
      <c r="EL14" s="309">
        <f t="shared" si="56"/>
        <v>23.07692307692308</v>
      </c>
      <c r="EM14" s="218">
        <f>IF(EJ14&gt;0,EJ14,0)*4+IF(EJ14&gt;12,EJ14-12,0)*4+IF(EJ14&gt;13,EJ14-13,0)*4+IF(EJ14&gt;14,EJ14-14,0)*4+IF(EJ14&gt;15,EJ14-15,0)*4+IF(EJ14&gt;16,EJ14-16,0)*4+IF(EJ14&gt;17,EJ14-17,0)*4+IF(EJ14&gt;18,EJ14-18,0)*4+IF(EJ14&gt;19,EJ14-19,0)*4+IF(EJ14&gt;20,EJ14-20,0)*4</f>
        <v>347.07692307692321</v>
      </c>
      <c r="EN14" s="242">
        <f>IF(EK14&gt;0,EK14,0)*4+IF(EK14&gt;12,EK14-12,0)*4+IF(EK14&gt;13,EK14-13,0)*4+IF(EK14&gt;14,EK14-14,0)*4+IF(EK14&gt;15,EK14-15,0)*4+IF(EK14&gt;16,EK14-16,0)*4+IF(EK14&gt;17,EK14-17,0)*4+IF(EK14&gt;18,EK14-18,0)*4+IF(EK14&gt;19,EK14-19,0)*4+IF(EK14&gt;20,EK14-20,0)*4</f>
        <v>0</v>
      </c>
      <c r="EO14" s="243">
        <f t="shared" si="4"/>
        <v>347.07692307692321</v>
      </c>
      <c r="EP14" s="218">
        <f t="shared" si="57"/>
        <v>0</v>
      </c>
      <c r="ER14" s="303" t="s">
        <v>12</v>
      </c>
      <c r="ES14" s="243" t="s">
        <v>74</v>
      </c>
      <c r="ET14" s="218" t="s">
        <v>134</v>
      </c>
      <c r="EU14" s="237"/>
      <c r="EV14" s="234"/>
      <c r="EW14" s="234"/>
      <c r="EX14" s="234"/>
      <c r="EY14" s="234"/>
      <c r="EZ14" s="234">
        <f>Konvention_1slave-GEslave</f>
        <v>12</v>
      </c>
      <c r="FA14" s="234">
        <f>Konvention_1slave-KOslave</f>
        <v>12</v>
      </c>
      <c r="FB14" s="224"/>
      <c r="FC14" s="222">
        <f>(EZ14+EZ14+FA14)/3</f>
        <v>12</v>
      </c>
      <c r="FD14" s="223">
        <f t="shared" si="58"/>
        <v>24</v>
      </c>
      <c r="FE14" s="224">
        <f t="shared" si="59"/>
        <v>36</v>
      </c>
      <c r="FF14" s="237">
        <f>EZ14*POWER(KOslave,SIGN(FA14))*POWER(GEslave,SIGN(EZ14))+EZ14*POWER(KOslave,SIGN(FA14))*POWER(GEslave,SIGN(EZ14))+FA14*POWER(GEslave,SIGN(EZ14))*POWER(GEslave,SIGN(EZ14))</f>
        <v>2304</v>
      </c>
      <c r="FG14" s="234">
        <f>EZ14*EZ14*KOslave+EZ14*GEslave*FA14+GEslave*EZ14*FA14</f>
        <v>3456</v>
      </c>
      <c r="FH14" s="224">
        <f>EZ14*EZ14*FA14</f>
        <v>1728</v>
      </c>
      <c r="FI14" s="242">
        <f t="shared" si="103"/>
        <v>7488</v>
      </c>
      <c r="FJ14" s="222">
        <f t="shared" si="61"/>
        <v>3.6923076923076925</v>
      </c>
      <c r="FK14" s="223">
        <f t="shared" si="62"/>
        <v>11.076923076923077</v>
      </c>
      <c r="FL14" s="243">
        <f t="shared" si="63"/>
        <v>8.3076923076923084</v>
      </c>
      <c r="FM14" s="218">
        <f t="shared" si="64"/>
        <v>23.07692307692308</v>
      </c>
      <c r="FN14" s="252">
        <f t="shared" si="65"/>
        <v>0</v>
      </c>
      <c r="FO14" s="309">
        <f t="shared" si="66"/>
        <v>23.07692307692308</v>
      </c>
      <c r="FP14" s="218">
        <f>IF(FM14&gt;0,FM14,0)*4+IF(FM14&gt;12,FM14-12,0)*4+IF(FM14&gt;13,FM14-13,0)*4+IF(FM14&gt;14,FM14-14,0)*4+IF(FM14&gt;15,FM14-15,0)*4+IF(FM14&gt;16,FM14-16,0)*4+IF(FM14&gt;17,FM14-17,0)*4+IF(FM14&gt;18,FM14-18,0)*4+IF(FM14&gt;19,FM14-19,0)*4+IF(FM14&gt;20,FM14-20,0)*4</f>
        <v>347.07692307692321</v>
      </c>
      <c r="FQ14" s="242">
        <f>IF(FN14&gt;0,FN14,0)*4+IF(FN14&gt;12,FN14-12,0)*4+IF(FN14&gt;13,FN14-13,0)*4+IF(FN14&gt;14,FN14-14,0)*4+IF(FN14&gt;15,FN14-15,0)*4+IF(FN14&gt;16,FN14-16,0)*4+IF(FN14&gt;17,FN14-17,0)*4+IF(FN14&gt;18,FN14-18,0)*4+IF(FN14&gt;19,FN14-19,0)*4+IF(FN14&gt;20,FN14-20,0)*4</f>
        <v>0</v>
      </c>
      <c r="FR14" s="243">
        <f t="shared" si="5"/>
        <v>347.07692307692321</v>
      </c>
      <c r="FS14" s="218">
        <f t="shared" si="67"/>
        <v>0</v>
      </c>
      <c r="FU14" s="303" t="s">
        <v>12</v>
      </c>
      <c r="FV14" s="243" t="s">
        <v>74</v>
      </c>
      <c r="FW14" s="218" t="s">
        <v>134</v>
      </c>
      <c r="FX14" s="237"/>
      <c r="FY14" s="234"/>
      <c r="FZ14" s="234"/>
      <c r="GA14" s="234"/>
      <c r="GB14" s="234"/>
      <c r="GC14" s="234">
        <f>Konvention_1slave-GEslave_GE</f>
        <v>11</v>
      </c>
      <c r="GD14" s="234">
        <f>Konvention_1slave-KOslave</f>
        <v>12</v>
      </c>
      <c r="GE14" s="224"/>
      <c r="GF14" s="222">
        <f>(GC14+GC14+GD14)/3</f>
        <v>11.333333333333334</v>
      </c>
      <c r="GG14" s="223">
        <f t="shared" si="68"/>
        <v>22.666666666666668</v>
      </c>
      <c r="GH14" s="224">
        <f t="shared" si="69"/>
        <v>34</v>
      </c>
      <c r="GI14" s="237">
        <f>GC14*POWER(KOslave,SIGN(GD14))*POWER(GEslave_GE,SIGN(GC14))+GC14*POWER(KOslave,SIGN(GD14))*POWER(GEslave_GE,SIGN(GC14))+GD14*POWER(GEslave_GE,SIGN(GC14))*POWER(GEslave_GE,SIGN(GC14))</f>
        <v>2556</v>
      </c>
      <c r="GJ14" s="234">
        <f>GC14*GC14*KOslave+GC14*GEslave_GE*GD14+GEslave_GE*GC14*GD14</f>
        <v>3344</v>
      </c>
      <c r="GK14" s="224">
        <f>GC14*GC14*GD14</f>
        <v>1452</v>
      </c>
      <c r="GL14" s="242">
        <f t="shared" si="104"/>
        <v>7352</v>
      </c>
      <c r="GM14" s="222">
        <f t="shared" si="71"/>
        <v>3.940152339499456</v>
      </c>
      <c r="GN14" s="223">
        <f t="shared" si="72"/>
        <v>10.309756982227059</v>
      </c>
      <c r="GO14" s="243">
        <f t="shared" si="73"/>
        <v>6.714907508161045</v>
      </c>
      <c r="GP14" s="218">
        <f t="shared" si="74"/>
        <v>20.96481682988756</v>
      </c>
      <c r="GQ14" s="252">
        <f t="shared" si="75"/>
        <v>0</v>
      </c>
      <c r="GR14" s="309">
        <f t="shared" si="76"/>
        <v>20.96481682988756</v>
      </c>
      <c r="GS14" s="218">
        <f>IF(GP14&gt;0,GP14,0)*4+IF(GP14&gt;12,GP14-12,0)*4+IF(GP14&gt;13,GP14-13,0)*4+IF(GP14&gt;14,GP14-14,0)*4+IF(GP14&gt;15,GP14-15,0)*4+IF(GP14&gt;16,GP14-16,0)*4+IF(GP14&gt;17,GP14-17,0)*4+IF(GP14&gt;18,GP14-18,0)*4+IF(GP14&gt;19,GP14-19,0)*4+IF(GP14&gt;20,GP14-20,0)*4</f>
        <v>262.59267319550236</v>
      </c>
      <c r="GT14" s="242">
        <f>IF(GQ14&gt;0,GQ14,0)*4+IF(GQ14&gt;12,GQ14-12,0)*4+IF(GQ14&gt;13,GQ14-13,0)*4+IF(GQ14&gt;14,GQ14-14,0)*4+IF(GQ14&gt;15,GQ14-15,0)*4+IF(GQ14&gt;16,GQ14-16,0)*4+IF(GQ14&gt;17,GQ14-17,0)*4+IF(GQ14&gt;18,GQ14-18,0)*4+IF(GQ14&gt;19,GQ14-19,0)*4+IF(GQ14&gt;20,GQ14-20,0)*4</f>
        <v>0</v>
      </c>
      <c r="GU14" s="243">
        <f t="shared" si="6"/>
        <v>262.59267319550236</v>
      </c>
      <c r="GV14" s="218">
        <f t="shared" si="77"/>
        <v>0</v>
      </c>
      <c r="GX14" s="303" t="s">
        <v>12</v>
      </c>
      <c r="GY14" s="243" t="s">
        <v>74</v>
      </c>
      <c r="GZ14" s="218" t="s">
        <v>134</v>
      </c>
      <c r="HA14" s="237"/>
      <c r="HB14" s="234"/>
      <c r="HC14" s="234"/>
      <c r="HD14" s="234"/>
      <c r="HE14" s="234"/>
      <c r="HF14" s="234">
        <f>Konvention_1slave-GEslave</f>
        <v>12</v>
      </c>
      <c r="HG14" s="234">
        <f>Konvention_1slave-KOslave_KO</f>
        <v>11</v>
      </c>
      <c r="HH14" s="224"/>
      <c r="HI14" s="222">
        <f>(HF14+HF14+HG14)/3</f>
        <v>11.666666666666666</v>
      </c>
      <c r="HJ14" s="223">
        <f t="shared" si="78"/>
        <v>23.333333333333332</v>
      </c>
      <c r="HK14" s="224">
        <f t="shared" si="79"/>
        <v>35</v>
      </c>
      <c r="HL14" s="237">
        <f>HF14*POWER(KOslave_KO,SIGN(HG14))*POWER(GEslave,SIGN(HF14))+HF14*POWER(KOslave_KO,SIGN(HG14))*POWER(GEslave,SIGN(HF14))+HG14*POWER(GEslave,SIGN(HF14))*POWER(GEslave,SIGN(HF14))</f>
        <v>2432</v>
      </c>
      <c r="HM14" s="234">
        <f>HF14*HF14*KOslave_KO+HF14*GEslave*HG14+GEslave*HF14*HG14</f>
        <v>3408</v>
      </c>
      <c r="HN14" s="224">
        <f>HF14*HF14*HG14</f>
        <v>1584</v>
      </c>
      <c r="HO14" s="242">
        <f t="shared" si="105"/>
        <v>7424</v>
      </c>
      <c r="HP14" s="222">
        <f t="shared" si="81"/>
        <v>3.8218390804597702</v>
      </c>
      <c r="HQ14" s="223">
        <f t="shared" si="82"/>
        <v>10.711206896551724</v>
      </c>
      <c r="HR14" s="243">
        <f t="shared" si="83"/>
        <v>7.4676724137931032</v>
      </c>
      <c r="HS14" s="218">
        <f t="shared" si="84"/>
        <v>22.000718390804597</v>
      </c>
      <c r="HT14" s="252">
        <f t="shared" si="85"/>
        <v>0</v>
      </c>
      <c r="HU14" s="309">
        <f t="shared" si="86"/>
        <v>22.000718390804597</v>
      </c>
      <c r="HV14" s="218">
        <f>IF(HS14&gt;0,HS14,0)*4+IF(HS14&gt;12,HS14-12,0)*4+IF(HS14&gt;13,HS14-13,0)*4+IF(HS14&gt;14,HS14-14,0)*4+IF(HS14&gt;15,HS14-15,0)*4+IF(HS14&gt;16,HS14-16,0)*4+IF(HS14&gt;17,HS14-17,0)*4+IF(HS14&gt;18,HS14-18,0)*4+IF(HS14&gt;19,HS14-19,0)*4+IF(HS14&gt;20,HS14-20,0)*4</f>
        <v>304.02873563218378</v>
      </c>
      <c r="HW14" s="242">
        <f>IF(HT14&gt;0,HT14,0)*4+IF(HT14&gt;12,HT14-12,0)*4+IF(HT14&gt;13,HT14-13,0)*4+IF(HT14&gt;14,HT14-14,0)*4+IF(HT14&gt;15,HT14-15,0)*4+IF(HT14&gt;16,HT14-16,0)*4+IF(HT14&gt;17,HT14-17,0)*4+IF(HT14&gt;18,HT14-18,0)*4+IF(HT14&gt;19,HT14-19,0)*4+IF(HT14&gt;20,HT14-20,0)*4</f>
        <v>0</v>
      </c>
      <c r="HX14" s="243">
        <f t="shared" si="7"/>
        <v>304.02873563218378</v>
      </c>
      <c r="HY14" s="218">
        <f t="shared" si="87"/>
        <v>0</v>
      </c>
      <c r="IA14" s="303" t="s">
        <v>12</v>
      </c>
      <c r="IB14" s="243" t="s">
        <v>74</v>
      </c>
      <c r="IC14" s="218" t="s">
        <v>134</v>
      </c>
      <c r="ID14" s="237"/>
      <c r="IE14" s="234"/>
      <c r="IF14" s="234"/>
      <c r="IG14" s="234"/>
      <c r="IH14" s="234"/>
      <c r="II14" s="234">
        <f>Konvention_1slave-GEslave</f>
        <v>12</v>
      </c>
      <c r="IJ14" s="234">
        <f>Konvention_1slave-KOslave</f>
        <v>12</v>
      </c>
      <c r="IK14" s="224"/>
      <c r="IL14" s="222">
        <f>(II14+II14+IJ14)/3</f>
        <v>12</v>
      </c>
      <c r="IM14" s="223">
        <f t="shared" si="88"/>
        <v>24</v>
      </c>
      <c r="IN14" s="224">
        <f t="shared" si="89"/>
        <v>36</v>
      </c>
      <c r="IO14" s="237">
        <f>II14*POWER(KOslave,SIGN(IJ14))*POWER(GEslave,SIGN(II14))+II14*POWER(KOslave,SIGN(IJ14))*POWER(GEslave,SIGN(II14))+IJ14*POWER(GEslave,SIGN(II14))*POWER(GEslave,SIGN(II14))</f>
        <v>2304</v>
      </c>
      <c r="IP14" s="234">
        <f>II14*II14*KOslave+II14*GEslave*IJ14+GEslave*II14*IJ14</f>
        <v>3456</v>
      </c>
      <c r="IQ14" s="224">
        <f>II14*II14*IJ14</f>
        <v>1728</v>
      </c>
      <c r="IR14" s="242">
        <f t="shared" si="106"/>
        <v>7488</v>
      </c>
      <c r="IS14" s="222">
        <f t="shared" si="91"/>
        <v>3.6923076923076925</v>
      </c>
      <c r="IT14" s="223">
        <f t="shared" si="92"/>
        <v>11.076923076923077</v>
      </c>
      <c r="IU14" s="243">
        <f t="shared" si="93"/>
        <v>8.3076923076923084</v>
      </c>
      <c r="IV14" s="218">
        <f t="shared" si="94"/>
        <v>23.07692307692308</v>
      </c>
      <c r="IW14" s="252">
        <f t="shared" si="95"/>
        <v>0</v>
      </c>
      <c r="IX14" s="309">
        <f t="shared" si="96"/>
        <v>23.07692307692308</v>
      </c>
      <c r="IY14" s="218">
        <f>IF(IV14&gt;0,IV14,0)*4+IF(IV14&gt;12,IV14-12,0)*4+IF(IV14&gt;13,IV14-13,0)*4+IF(IV14&gt;14,IV14-14,0)*4+IF(IV14&gt;15,IV14-15,0)*4+IF(IV14&gt;16,IV14-16,0)*4+IF(IV14&gt;17,IV14-17,0)*4+IF(IV14&gt;18,IV14-18,0)*4+IF(IV14&gt;19,IV14-19,0)*4+IF(IV14&gt;20,IV14-20,0)*4</f>
        <v>347.07692307692321</v>
      </c>
      <c r="IZ14" s="242">
        <f>IF(IW14&gt;0,IW14,0)*4+IF(IW14&gt;12,IW14-12,0)*4+IF(IW14&gt;13,IW14-13,0)*4+IF(IW14&gt;14,IW14-14,0)*4+IF(IW14&gt;15,IW14-15,0)*4+IF(IW14&gt;16,IW14-16,0)*4+IF(IW14&gt;17,IW14-17,0)*4+IF(IW14&gt;18,IW14-18,0)*4+IF(IW14&gt;19,IW14-19,0)*4+IF(IW14&gt;20,IW14-20,0)*4</f>
        <v>0</v>
      </c>
      <c r="JA14" s="243">
        <f t="shared" si="8"/>
        <v>347.07692307692321</v>
      </c>
      <c r="JB14" s="218">
        <f t="shared" si="97"/>
        <v>0</v>
      </c>
      <c r="JE14" s="148"/>
    </row>
    <row r="15" spans="1:265" hidden="1" outlineLevel="2">
      <c r="B15" s="148">
        <v>5</v>
      </c>
      <c r="C15" s="303" t="e">
        <f>VLOOKUP(AF15,Attribute!C:T,1,FALSE)</f>
        <v>#N/A</v>
      </c>
      <c r="D15" s="127" t="s">
        <v>75</v>
      </c>
      <c r="E15" s="125" t="s">
        <v>132</v>
      </c>
      <c r="F15" s="114"/>
      <c r="G15" s="113"/>
      <c r="H15" s="113"/>
      <c r="I15" s="113"/>
      <c r="J15" s="113"/>
      <c r="K15" s="113"/>
      <c r="L15" s="113">
        <f>Konvention_1master-KOmaster</f>
        <v>12</v>
      </c>
      <c r="M15" s="119">
        <f>Konvention_1master-KKmaster</f>
        <v>12</v>
      </c>
      <c r="N15" s="222">
        <f>(L15+M15+M15)/3</f>
        <v>12</v>
      </c>
      <c r="O15" s="223">
        <f t="shared" si="9"/>
        <v>24</v>
      </c>
      <c r="P15" s="224">
        <f t="shared" si="10"/>
        <v>36</v>
      </c>
      <c r="Q15" s="237">
        <f>M15*POWER(KOmaster,SIGN(L15))*POWER(KKmaster,SIGN(M15))+M15*POWER(KOmaster,SIGN(L15))*POWER(KKmaster,SIGN(M15))+L15*POWER(KKmaster,SIGN(M15))*POWER(KKmaster,SIGN(M15))</f>
        <v>2304</v>
      </c>
      <c r="R15" s="113">
        <f>L15*M15*KKmaster+L15*KKmaster*M15+KOmaster*M15*M15</f>
        <v>3456</v>
      </c>
      <c r="S15" s="224">
        <f>L15*M15*M15</f>
        <v>1728</v>
      </c>
      <c r="T15" s="242">
        <f t="shared" si="98"/>
        <v>7488</v>
      </c>
      <c r="U15" s="222">
        <f t="shared" si="12"/>
        <v>3.6923076923076925</v>
      </c>
      <c r="V15" s="223">
        <f t="shared" si="13"/>
        <v>11.076923076923077</v>
      </c>
      <c r="W15" s="243">
        <f t="shared" si="14"/>
        <v>8.3076923076923084</v>
      </c>
      <c r="X15" s="218">
        <f t="shared" si="15"/>
        <v>23.07692307692308</v>
      </c>
      <c r="Y15" s="252">
        <v>0</v>
      </c>
      <c r="Z15" s="198">
        <f t="shared" si="16"/>
        <v>23.07692307692308</v>
      </c>
      <c r="AA15" s="125">
        <f t="shared" ref="AA15:AB17" si="107">IF(X15&gt;0,X15,0)*2+IF(X15&gt;12,X15-12,0)*2+IF(X15&gt;13,X15-13,0)*2+IF(X15&gt;14,X15-14,0)*2+IF(X15&gt;15,X15-15,0)*2+IF(X15&gt;16,X15-16,0)*2+IF(X15&gt;17,X15-17,0)*2+IF(X15&gt;18,X15-18,0)*2+IF(X15&gt;19,X15-19,0)*2+IF(X15&gt;20,X15-20,0)*2</f>
        <v>173.5384615384616</v>
      </c>
      <c r="AB15" s="160">
        <f t="shared" si="107"/>
        <v>0</v>
      </c>
      <c r="AC15" s="127">
        <f t="shared" si="0"/>
        <v>173.5384615384616</v>
      </c>
      <c r="AD15" s="125">
        <f t="shared" si="17"/>
        <v>0</v>
      </c>
      <c r="AF15" s="163" t="s">
        <v>13</v>
      </c>
      <c r="AG15" s="127" t="s">
        <v>75</v>
      </c>
      <c r="AH15" s="125" t="s">
        <v>132</v>
      </c>
      <c r="AI15" s="114"/>
      <c r="AJ15" s="113"/>
      <c r="AK15" s="113"/>
      <c r="AL15" s="113"/>
      <c r="AM15" s="113"/>
      <c r="AN15" s="113"/>
      <c r="AO15" s="113">
        <f>Konvention_1slave-KOslave</f>
        <v>12</v>
      </c>
      <c r="AP15" s="119">
        <f>Konvention_1slave-KKslave</f>
        <v>12</v>
      </c>
      <c r="AQ15" s="89">
        <f>(AO15+AP15+AP15)/3</f>
        <v>12</v>
      </c>
      <c r="AR15" s="47">
        <f t="shared" si="18"/>
        <v>24</v>
      </c>
      <c r="AS15" s="119">
        <f t="shared" si="19"/>
        <v>36</v>
      </c>
      <c r="AT15" s="114">
        <f>AP15*POWER(KOslave,SIGN(AO15))*POWER(KKslave,SIGN(AP15))+AP15*POWER(KOslave,SIGN(AO15))*POWER(KKslave,SIGN(AP15))+AO15*POWER(KKslave,SIGN(AP15))*POWER(KKslave,SIGN(AP15))</f>
        <v>2304</v>
      </c>
      <c r="AU15" s="113">
        <f>AO15*AP15*KKslave+AO15*KKslave*AP15+KOslave*AP15*AP15</f>
        <v>3456</v>
      </c>
      <c r="AV15" s="119">
        <f>AO15*AP15*AP15</f>
        <v>1728</v>
      </c>
      <c r="AW15" s="160">
        <f t="shared" si="99"/>
        <v>7488</v>
      </c>
      <c r="AX15" s="89">
        <f t="shared" si="21"/>
        <v>3.6923076923076925</v>
      </c>
      <c r="AY15" s="47">
        <f t="shared" si="22"/>
        <v>11.076923076923077</v>
      </c>
      <c r="AZ15" s="127">
        <f t="shared" si="23"/>
        <v>8.3076923076923084</v>
      </c>
      <c r="BA15" s="125">
        <f t="shared" si="24"/>
        <v>23.07692307692308</v>
      </c>
      <c r="BB15" s="165">
        <f t="shared" si="25"/>
        <v>0</v>
      </c>
      <c r="BC15" s="198">
        <f t="shared" si="26"/>
        <v>23.07692307692308</v>
      </c>
      <c r="BD15" s="125">
        <f t="shared" ref="BD15:BE17" si="108">IF(BA15&gt;0,BA15,0)*2+IF(BA15&gt;12,BA15-12,0)*2+IF(BA15&gt;13,BA15-13,0)*2+IF(BA15&gt;14,BA15-14,0)*2+IF(BA15&gt;15,BA15-15,0)*2+IF(BA15&gt;16,BA15-16,0)*2+IF(BA15&gt;17,BA15-17,0)*2+IF(BA15&gt;18,BA15-18,0)*2+IF(BA15&gt;19,BA15-19,0)*2+IF(BA15&gt;20,BA15-20,0)*2</f>
        <v>173.5384615384616</v>
      </c>
      <c r="BE15" s="160">
        <f t="shared" si="108"/>
        <v>0</v>
      </c>
      <c r="BF15" s="243">
        <f t="shared" si="1"/>
        <v>173.5384615384616</v>
      </c>
      <c r="BG15" s="218">
        <f t="shared" si="27"/>
        <v>0</v>
      </c>
      <c r="BI15" s="303" t="s">
        <v>13</v>
      </c>
      <c r="BJ15" s="243" t="s">
        <v>75</v>
      </c>
      <c r="BK15" s="218" t="s">
        <v>132</v>
      </c>
      <c r="BL15" s="237"/>
      <c r="BM15" s="234"/>
      <c r="BN15" s="234"/>
      <c r="BO15" s="234"/>
      <c r="BP15" s="234"/>
      <c r="BQ15" s="234"/>
      <c r="BR15" s="234">
        <f>Konvention_1slave-KOslave</f>
        <v>12</v>
      </c>
      <c r="BS15" s="224">
        <f>Konvention_1slave-KKslave</f>
        <v>12</v>
      </c>
      <c r="BT15" s="222">
        <f>(BR15+BS15+BS15)/3</f>
        <v>12</v>
      </c>
      <c r="BU15" s="223">
        <f t="shared" si="28"/>
        <v>24</v>
      </c>
      <c r="BV15" s="224">
        <f t="shared" si="29"/>
        <v>36</v>
      </c>
      <c r="BW15" s="237">
        <f>BS15*POWER(KOslave,SIGN(BR15))*POWER(KKslave,SIGN(BS15))+BS15*POWER(KOslave,SIGN(BR15))*POWER(KKslave,SIGN(BS15))+BR15*POWER(KKslave,SIGN(BS15))*POWER(KKslave,SIGN(BS15))</f>
        <v>2304</v>
      </c>
      <c r="BX15" s="234">
        <f>BR15*BS15*KKslave+BR15*KKslave*BS15+KOslave*BS15*BS15</f>
        <v>3456</v>
      </c>
      <c r="BY15" s="224">
        <f>BR15*BS15*BS15</f>
        <v>1728</v>
      </c>
      <c r="BZ15" s="242">
        <f t="shared" si="100"/>
        <v>7488</v>
      </c>
      <c r="CA15" s="222">
        <f t="shared" si="31"/>
        <v>3.6923076923076925</v>
      </c>
      <c r="CB15" s="223">
        <f t="shared" si="32"/>
        <v>11.076923076923077</v>
      </c>
      <c r="CC15" s="243">
        <f t="shared" si="33"/>
        <v>8.3076923076923084</v>
      </c>
      <c r="CD15" s="218">
        <f t="shared" si="34"/>
        <v>23.07692307692308</v>
      </c>
      <c r="CE15" s="252">
        <f t="shared" si="35"/>
        <v>0</v>
      </c>
      <c r="CF15" s="309">
        <f t="shared" si="36"/>
        <v>23.07692307692308</v>
      </c>
      <c r="CG15" s="218">
        <f t="shared" ref="CG15:CH17" si="109">IF(CD15&gt;0,CD15,0)*2+IF(CD15&gt;12,CD15-12,0)*2+IF(CD15&gt;13,CD15-13,0)*2+IF(CD15&gt;14,CD15-14,0)*2+IF(CD15&gt;15,CD15-15,0)*2+IF(CD15&gt;16,CD15-16,0)*2+IF(CD15&gt;17,CD15-17,0)*2+IF(CD15&gt;18,CD15-18,0)*2+IF(CD15&gt;19,CD15-19,0)*2+IF(CD15&gt;20,CD15-20,0)*2</f>
        <v>173.5384615384616</v>
      </c>
      <c r="CH15" s="242">
        <f t="shared" si="109"/>
        <v>0</v>
      </c>
      <c r="CI15" s="243">
        <f t="shared" si="2"/>
        <v>173.5384615384616</v>
      </c>
      <c r="CJ15" s="218">
        <f t="shared" si="37"/>
        <v>0</v>
      </c>
      <c r="CL15" s="303" t="s">
        <v>13</v>
      </c>
      <c r="CM15" s="243" t="s">
        <v>75</v>
      </c>
      <c r="CN15" s="218" t="s">
        <v>132</v>
      </c>
      <c r="CO15" s="237"/>
      <c r="CP15" s="234"/>
      <c r="CQ15" s="234"/>
      <c r="CR15" s="234"/>
      <c r="CS15" s="234"/>
      <c r="CT15" s="234"/>
      <c r="CU15" s="234">
        <f>Konvention_1slave-KOslave</f>
        <v>12</v>
      </c>
      <c r="CV15" s="224">
        <f>Konvention_1slave-KKslave</f>
        <v>12</v>
      </c>
      <c r="CW15" s="222">
        <f>(CU15+CV15+CV15)/3</f>
        <v>12</v>
      </c>
      <c r="CX15" s="223">
        <f t="shared" si="38"/>
        <v>24</v>
      </c>
      <c r="CY15" s="224">
        <f t="shared" si="39"/>
        <v>36</v>
      </c>
      <c r="CZ15" s="237">
        <f>CV15*POWER(KOslave,SIGN(CU15))*POWER(KKslave,SIGN(CV15))+CV15*POWER(KOslave,SIGN(CU15))*POWER(KKslave,SIGN(CV15))+CU15*POWER(KKslave,SIGN(CV15))*POWER(KKslave,SIGN(CV15))</f>
        <v>2304</v>
      </c>
      <c r="DA15" s="234">
        <f>CU15*CV15*KKslave+CU15*KKslave*CV15+KOslave*CV15*CV15</f>
        <v>3456</v>
      </c>
      <c r="DB15" s="224">
        <f>CU15*CV15*CV15</f>
        <v>1728</v>
      </c>
      <c r="DC15" s="242">
        <f t="shared" si="101"/>
        <v>7488</v>
      </c>
      <c r="DD15" s="222">
        <f t="shared" si="41"/>
        <v>3.6923076923076925</v>
      </c>
      <c r="DE15" s="223">
        <f t="shared" si="42"/>
        <v>11.076923076923077</v>
      </c>
      <c r="DF15" s="243">
        <f t="shared" si="43"/>
        <v>8.3076923076923084</v>
      </c>
      <c r="DG15" s="218">
        <f t="shared" si="44"/>
        <v>23.07692307692308</v>
      </c>
      <c r="DH15" s="252">
        <f t="shared" si="45"/>
        <v>0</v>
      </c>
      <c r="DI15" s="309">
        <f t="shared" si="46"/>
        <v>23.07692307692308</v>
      </c>
      <c r="DJ15" s="218">
        <f t="shared" ref="DJ15:DK17" si="110">IF(DG15&gt;0,DG15,0)*2+IF(DG15&gt;12,DG15-12,0)*2+IF(DG15&gt;13,DG15-13,0)*2+IF(DG15&gt;14,DG15-14,0)*2+IF(DG15&gt;15,DG15-15,0)*2+IF(DG15&gt;16,DG15-16,0)*2+IF(DG15&gt;17,DG15-17,0)*2+IF(DG15&gt;18,DG15-18,0)*2+IF(DG15&gt;19,DG15-19,0)*2+IF(DG15&gt;20,DG15-20,0)*2</f>
        <v>173.5384615384616</v>
      </c>
      <c r="DK15" s="242">
        <f t="shared" si="110"/>
        <v>0</v>
      </c>
      <c r="DL15" s="243">
        <f t="shared" si="3"/>
        <v>173.5384615384616</v>
      </c>
      <c r="DM15" s="218">
        <f t="shared" si="47"/>
        <v>0</v>
      </c>
      <c r="DO15" s="303" t="s">
        <v>13</v>
      </c>
      <c r="DP15" s="243" t="s">
        <v>75</v>
      </c>
      <c r="DQ15" s="218" t="s">
        <v>132</v>
      </c>
      <c r="DR15" s="237"/>
      <c r="DS15" s="234"/>
      <c r="DT15" s="234"/>
      <c r="DU15" s="234"/>
      <c r="DV15" s="234"/>
      <c r="DW15" s="234"/>
      <c r="DX15" s="234">
        <f>Konvention_1slave-KOslave</f>
        <v>12</v>
      </c>
      <c r="DY15" s="224">
        <f>Konvention_1slave-KKslave</f>
        <v>12</v>
      </c>
      <c r="DZ15" s="222">
        <f>(DX15+DY15+DY15)/3</f>
        <v>12</v>
      </c>
      <c r="EA15" s="223">
        <f t="shared" si="48"/>
        <v>24</v>
      </c>
      <c r="EB15" s="224">
        <f t="shared" si="49"/>
        <v>36</v>
      </c>
      <c r="EC15" s="237">
        <f>DY15*POWER(KOslave,SIGN(DX15))*POWER(KKslave,SIGN(DY15))+DY15*POWER(KOslave,SIGN(DX15))*POWER(KKslave,SIGN(DY15))+DX15*POWER(KKslave,SIGN(DY15))*POWER(KKslave,SIGN(DY15))</f>
        <v>2304</v>
      </c>
      <c r="ED15" s="234">
        <f>DX15*DY15*KKslave+DX15*KKslave*DY15+KOslave*DY15*DY15</f>
        <v>3456</v>
      </c>
      <c r="EE15" s="224">
        <f>DX15*DY15*DY15</f>
        <v>1728</v>
      </c>
      <c r="EF15" s="242">
        <f t="shared" si="102"/>
        <v>7488</v>
      </c>
      <c r="EG15" s="222">
        <f t="shared" si="51"/>
        <v>3.6923076923076925</v>
      </c>
      <c r="EH15" s="223">
        <f t="shared" si="52"/>
        <v>11.076923076923077</v>
      </c>
      <c r="EI15" s="243">
        <f t="shared" si="53"/>
        <v>8.3076923076923084</v>
      </c>
      <c r="EJ15" s="218">
        <f t="shared" si="54"/>
        <v>23.07692307692308</v>
      </c>
      <c r="EK15" s="252">
        <f t="shared" si="55"/>
        <v>0</v>
      </c>
      <c r="EL15" s="309">
        <f t="shared" si="56"/>
        <v>23.07692307692308</v>
      </c>
      <c r="EM15" s="218">
        <f t="shared" ref="EM15:EN17" si="111">IF(EJ15&gt;0,EJ15,0)*2+IF(EJ15&gt;12,EJ15-12,0)*2+IF(EJ15&gt;13,EJ15-13,0)*2+IF(EJ15&gt;14,EJ15-14,0)*2+IF(EJ15&gt;15,EJ15-15,0)*2+IF(EJ15&gt;16,EJ15-16,0)*2+IF(EJ15&gt;17,EJ15-17,0)*2+IF(EJ15&gt;18,EJ15-18,0)*2+IF(EJ15&gt;19,EJ15-19,0)*2+IF(EJ15&gt;20,EJ15-20,0)*2</f>
        <v>173.5384615384616</v>
      </c>
      <c r="EN15" s="242">
        <f t="shared" si="111"/>
        <v>0</v>
      </c>
      <c r="EO15" s="243">
        <f t="shared" si="4"/>
        <v>173.5384615384616</v>
      </c>
      <c r="EP15" s="218">
        <f t="shared" si="57"/>
        <v>0</v>
      </c>
      <c r="ER15" s="303" t="s">
        <v>13</v>
      </c>
      <c r="ES15" s="243" t="s">
        <v>75</v>
      </c>
      <c r="ET15" s="218" t="s">
        <v>132</v>
      </c>
      <c r="EU15" s="237"/>
      <c r="EV15" s="234"/>
      <c r="EW15" s="234"/>
      <c r="EX15" s="234"/>
      <c r="EY15" s="234"/>
      <c r="EZ15" s="234"/>
      <c r="FA15" s="234">
        <f>Konvention_1slave-KOslave</f>
        <v>12</v>
      </c>
      <c r="FB15" s="224">
        <f>Konvention_1slave-KKslave</f>
        <v>12</v>
      </c>
      <c r="FC15" s="222">
        <f>(FA15+FB15+FB15)/3</f>
        <v>12</v>
      </c>
      <c r="FD15" s="223">
        <f t="shared" si="58"/>
        <v>24</v>
      </c>
      <c r="FE15" s="224">
        <f t="shared" si="59"/>
        <v>36</v>
      </c>
      <c r="FF15" s="237">
        <f>FB15*POWER(KOslave,SIGN(FA15))*POWER(KKslave,SIGN(FB15))+FB15*POWER(KOslave,SIGN(FA15))*POWER(KKslave,SIGN(FB15))+FA15*POWER(KKslave,SIGN(FB15))*POWER(KKslave,SIGN(FB15))</f>
        <v>2304</v>
      </c>
      <c r="FG15" s="234">
        <f>FA15*FB15*KKslave+FA15*KKslave*FB15+KOslave*FB15*FB15</f>
        <v>3456</v>
      </c>
      <c r="FH15" s="224">
        <f>FA15*FB15*FB15</f>
        <v>1728</v>
      </c>
      <c r="FI15" s="242">
        <f t="shared" si="103"/>
        <v>7488</v>
      </c>
      <c r="FJ15" s="222">
        <f t="shared" si="61"/>
        <v>3.6923076923076925</v>
      </c>
      <c r="FK15" s="223">
        <f t="shared" si="62"/>
        <v>11.076923076923077</v>
      </c>
      <c r="FL15" s="243">
        <f t="shared" si="63"/>
        <v>8.3076923076923084</v>
      </c>
      <c r="FM15" s="218">
        <f t="shared" si="64"/>
        <v>23.07692307692308</v>
      </c>
      <c r="FN15" s="252">
        <f t="shared" si="65"/>
        <v>0</v>
      </c>
      <c r="FO15" s="309">
        <f t="shared" si="66"/>
        <v>23.07692307692308</v>
      </c>
      <c r="FP15" s="218">
        <f t="shared" ref="FP15:FQ17" si="112">IF(FM15&gt;0,FM15,0)*2+IF(FM15&gt;12,FM15-12,0)*2+IF(FM15&gt;13,FM15-13,0)*2+IF(FM15&gt;14,FM15-14,0)*2+IF(FM15&gt;15,FM15-15,0)*2+IF(FM15&gt;16,FM15-16,0)*2+IF(FM15&gt;17,FM15-17,0)*2+IF(FM15&gt;18,FM15-18,0)*2+IF(FM15&gt;19,FM15-19,0)*2+IF(FM15&gt;20,FM15-20,0)*2</f>
        <v>173.5384615384616</v>
      </c>
      <c r="FQ15" s="242">
        <f t="shared" si="112"/>
        <v>0</v>
      </c>
      <c r="FR15" s="243">
        <f t="shared" si="5"/>
        <v>173.5384615384616</v>
      </c>
      <c r="FS15" s="218">
        <f t="shared" si="67"/>
        <v>0</v>
      </c>
      <c r="FU15" s="303" t="s">
        <v>13</v>
      </c>
      <c r="FV15" s="243" t="s">
        <v>75</v>
      </c>
      <c r="FW15" s="218" t="s">
        <v>132</v>
      </c>
      <c r="FX15" s="237"/>
      <c r="FY15" s="234"/>
      <c r="FZ15" s="234"/>
      <c r="GA15" s="234"/>
      <c r="GB15" s="234"/>
      <c r="GC15" s="234"/>
      <c r="GD15" s="234">
        <f>Konvention_1slave-KOslave</f>
        <v>12</v>
      </c>
      <c r="GE15" s="224">
        <f>Konvention_1slave-KKslave</f>
        <v>12</v>
      </c>
      <c r="GF15" s="222">
        <f>(GD15+GE15+GE15)/3</f>
        <v>12</v>
      </c>
      <c r="GG15" s="223">
        <f t="shared" si="68"/>
        <v>24</v>
      </c>
      <c r="GH15" s="224">
        <f t="shared" si="69"/>
        <v>36</v>
      </c>
      <c r="GI15" s="237">
        <f>GE15*POWER(KOslave,SIGN(GD15))*POWER(KKslave,SIGN(GE15))+GE15*POWER(KOslave,SIGN(GD15))*POWER(KKslave,SIGN(GE15))+GD15*POWER(KKslave,SIGN(GE15))*POWER(KKslave,SIGN(GE15))</f>
        <v>2304</v>
      </c>
      <c r="GJ15" s="234">
        <f>GD15*GE15*KKslave+GD15*KKslave*GE15+KOslave*GE15*GE15</f>
        <v>3456</v>
      </c>
      <c r="GK15" s="224">
        <f>GD15*GE15*GE15</f>
        <v>1728</v>
      </c>
      <c r="GL15" s="242">
        <f t="shared" si="104"/>
        <v>7488</v>
      </c>
      <c r="GM15" s="222">
        <f t="shared" si="71"/>
        <v>3.6923076923076925</v>
      </c>
      <c r="GN15" s="223">
        <f t="shared" si="72"/>
        <v>11.076923076923077</v>
      </c>
      <c r="GO15" s="243">
        <f t="shared" si="73"/>
        <v>8.3076923076923084</v>
      </c>
      <c r="GP15" s="218">
        <f t="shared" si="74"/>
        <v>23.07692307692308</v>
      </c>
      <c r="GQ15" s="252">
        <f t="shared" si="75"/>
        <v>0</v>
      </c>
      <c r="GR15" s="309">
        <f t="shared" si="76"/>
        <v>23.07692307692308</v>
      </c>
      <c r="GS15" s="218">
        <f t="shared" ref="GS15:GT17" si="113">IF(GP15&gt;0,GP15,0)*2+IF(GP15&gt;12,GP15-12,0)*2+IF(GP15&gt;13,GP15-13,0)*2+IF(GP15&gt;14,GP15-14,0)*2+IF(GP15&gt;15,GP15-15,0)*2+IF(GP15&gt;16,GP15-16,0)*2+IF(GP15&gt;17,GP15-17,0)*2+IF(GP15&gt;18,GP15-18,0)*2+IF(GP15&gt;19,GP15-19,0)*2+IF(GP15&gt;20,GP15-20,0)*2</f>
        <v>173.5384615384616</v>
      </c>
      <c r="GT15" s="242">
        <f t="shared" si="113"/>
        <v>0</v>
      </c>
      <c r="GU15" s="243">
        <f t="shared" si="6"/>
        <v>173.5384615384616</v>
      </c>
      <c r="GV15" s="218">
        <f t="shared" si="77"/>
        <v>0</v>
      </c>
      <c r="GX15" s="303" t="s">
        <v>13</v>
      </c>
      <c r="GY15" s="243" t="s">
        <v>75</v>
      </c>
      <c r="GZ15" s="218" t="s">
        <v>132</v>
      </c>
      <c r="HA15" s="237"/>
      <c r="HB15" s="234"/>
      <c r="HC15" s="234"/>
      <c r="HD15" s="234"/>
      <c r="HE15" s="234"/>
      <c r="HF15" s="234"/>
      <c r="HG15" s="234">
        <f>Konvention_1slave-KOslave_KO</f>
        <v>11</v>
      </c>
      <c r="HH15" s="224">
        <f>Konvention_1slave-KKslave</f>
        <v>12</v>
      </c>
      <c r="HI15" s="222">
        <f>(HG15+HH15+HH15)/3</f>
        <v>11.666666666666666</v>
      </c>
      <c r="HJ15" s="223">
        <f t="shared" si="78"/>
        <v>23.333333333333332</v>
      </c>
      <c r="HK15" s="224">
        <f t="shared" si="79"/>
        <v>35</v>
      </c>
      <c r="HL15" s="237">
        <f>HH15*POWER(KOslave_KO,SIGN(HG15))*POWER(KKslave,SIGN(HH15))+HH15*POWER(KOslave_KO,SIGN(HG15))*POWER(KKslave,SIGN(HH15))+HG15*POWER(KKslave,SIGN(HH15))*POWER(KKslave,SIGN(HH15))</f>
        <v>2432</v>
      </c>
      <c r="HM15" s="234">
        <f>HG15*HH15*KKslave+HG15*KKslave*HH15+KOslave_KO*HH15*HH15</f>
        <v>3408</v>
      </c>
      <c r="HN15" s="224">
        <f>HG15*HH15*HH15</f>
        <v>1584</v>
      </c>
      <c r="HO15" s="242">
        <f t="shared" si="105"/>
        <v>7424</v>
      </c>
      <c r="HP15" s="222">
        <f t="shared" si="81"/>
        <v>3.8218390804597702</v>
      </c>
      <c r="HQ15" s="223">
        <f t="shared" si="82"/>
        <v>10.711206896551724</v>
      </c>
      <c r="HR15" s="243">
        <f t="shared" si="83"/>
        <v>7.4676724137931032</v>
      </c>
      <c r="HS15" s="218">
        <f t="shared" si="84"/>
        <v>22.000718390804597</v>
      </c>
      <c r="HT15" s="252">
        <f t="shared" si="85"/>
        <v>0</v>
      </c>
      <c r="HU15" s="309">
        <f t="shared" si="86"/>
        <v>22.000718390804597</v>
      </c>
      <c r="HV15" s="218">
        <f t="shared" ref="HV15:HW17" si="114">IF(HS15&gt;0,HS15,0)*2+IF(HS15&gt;12,HS15-12,0)*2+IF(HS15&gt;13,HS15-13,0)*2+IF(HS15&gt;14,HS15-14,0)*2+IF(HS15&gt;15,HS15-15,0)*2+IF(HS15&gt;16,HS15-16,0)*2+IF(HS15&gt;17,HS15-17,0)*2+IF(HS15&gt;18,HS15-18,0)*2+IF(HS15&gt;19,HS15-19,0)*2+IF(HS15&gt;20,HS15-20,0)*2</f>
        <v>152.01436781609189</v>
      </c>
      <c r="HW15" s="242">
        <f t="shared" si="114"/>
        <v>0</v>
      </c>
      <c r="HX15" s="243">
        <f t="shared" si="7"/>
        <v>152.01436781609189</v>
      </c>
      <c r="HY15" s="218">
        <f t="shared" si="87"/>
        <v>0</v>
      </c>
      <c r="IA15" s="303" t="s">
        <v>13</v>
      </c>
      <c r="IB15" s="243" t="s">
        <v>75</v>
      </c>
      <c r="IC15" s="218" t="s">
        <v>132</v>
      </c>
      <c r="ID15" s="237"/>
      <c r="IE15" s="234"/>
      <c r="IF15" s="234"/>
      <c r="IG15" s="234"/>
      <c r="IH15" s="234"/>
      <c r="II15" s="234"/>
      <c r="IJ15" s="234">
        <f>Konvention_1slave-KOslave</f>
        <v>12</v>
      </c>
      <c r="IK15" s="224">
        <f>Konvention_1slave-KKslave_KK</f>
        <v>11</v>
      </c>
      <c r="IL15" s="222">
        <f>(IJ15+IK15+IK15)/3</f>
        <v>11.333333333333334</v>
      </c>
      <c r="IM15" s="223">
        <f t="shared" si="88"/>
        <v>22.666666666666668</v>
      </c>
      <c r="IN15" s="224">
        <f t="shared" si="89"/>
        <v>34</v>
      </c>
      <c r="IO15" s="237">
        <f>IK15*POWER(KOslave,SIGN(IJ15))*POWER(KKslave_KK,SIGN(IK15))+IK15*POWER(KOslave,SIGN(IJ15))*POWER(KKslave_KK,SIGN(IK15))+IJ15*POWER(KKslave_KK,SIGN(IK15))*POWER(KKslave_KK,SIGN(IK15))</f>
        <v>2556</v>
      </c>
      <c r="IP15" s="234">
        <f>IJ15*IK15*KKslave_KK+IJ15*KKslave_KK*IK15+KOslave*IK15*IK15</f>
        <v>3344</v>
      </c>
      <c r="IQ15" s="224">
        <f>IJ15*IK15*IK15</f>
        <v>1452</v>
      </c>
      <c r="IR15" s="242">
        <f t="shared" si="106"/>
        <v>7352</v>
      </c>
      <c r="IS15" s="222">
        <f t="shared" si="91"/>
        <v>3.940152339499456</v>
      </c>
      <c r="IT15" s="223">
        <f t="shared" si="92"/>
        <v>10.309756982227059</v>
      </c>
      <c r="IU15" s="243">
        <f t="shared" si="93"/>
        <v>6.714907508161045</v>
      </c>
      <c r="IV15" s="218">
        <f t="shared" si="94"/>
        <v>20.96481682988756</v>
      </c>
      <c r="IW15" s="252">
        <f t="shared" si="95"/>
        <v>0</v>
      </c>
      <c r="IX15" s="309">
        <f t="shared" si="96"/>
        <v>20.96481682988756</v>
      </c>
      <c r="IY15" s="218">
        <f t="shared" ref="IY15:IZ17" si="115">IF(IV15&gt;0,IV15,0)*2+IF(IV15&gt;12,IV15-12,0)*2+IF(IV15&gt;13,IV15-13,0)*2+IF(IV15&gt;14,IV15-14,0)*2+IF(IV15&gt;15,IV15-15,0)*2+IF(IV15&gt;16,IV15-16,0)*2+IF(IV15&gt;17,IV15-17,0)*2+IF(IV15&gt;18,IV15-18,0)*2+IF(IV15&gt;19,IV15-19,0)*2+IF(IV15&gt;20,IV15-20,0)*2</f>
        <v>131.29633659775118</v>
      </c>
      <c r="IZ15" s="242">
        <f t="shared" si="115"/>
        <v>0</v>
      </c>
      <c r="JA15" s="243">
        <f t="shared" si="8"/>
        <v>131.29633659775118</v>
      </c>
      <c r="JB15" s="218">
        <f t="shared" si="97"/>
        <v>0</v>
      </c>
      <c r="JE15" s="148"/>
    </row>
    <row r="16" spans="1:265" hidden="1" outlineLevel="2">
      <c r="B16" s="148">
        <v>6</v>
      </c>
      <c r="C16" s="303" t="e">
        <f>VLOOKUP(AF16,Attribute!C:T,1,FALSE)</f>
        <v>#N/A</v>
      </c>
      <c r="D16" s="127" t="s">
        <v>76</v>
      </c>
      <c r="E16" s="125" t="s">
        <v>132</v>
      </c>
      <c r="F16" s="114"/>
      <c r="G16" s="113"/>
      <c r="H16" s="113"/>
      <c r="I16" s="113">
        <f>Konvention_1master-CHmaster</f>
        <v>12</v>
      </c>
      <c r="J16" s="113"/>
      <c r="K16" s="113">
        <f>Konvention_1master-GEmaster</f>
        <v>12</v>
      </c>
      <c r="L16" s="113"/>
      <c r="M16" s="119">
        <f>Konvention_1master-KKmaster</f>
        <v>12</v>
      </c>
      <c r="N16" s="222">
        <f>(F16+G16+H16+I16+J16+K16+L16+M16)/3</f>
        <v>12</v>
      </c>
      <c r="O16" s="223">
        <f t="shared" si="9"/>
        <v>24</v>
      </c>
      <c r="P16" s="224">
        <f t="shared" si="10"/>
        <v>36</v>
      </c>
      <c r="Q16" s="237">
        <f>F16*POWER(KLmaster,SIGN(G16))*POWER(INmaster,SIGN(H16))*POWER(CHmaster,SIGN(I16))*POWER(FFmaster,SIGN(J16))*POWER(GEmaster,SIGN(K16))*POWER(KOmaster,SIGN(L16))*POWER(KKmaster,SIGN(M16))+G16*POWER(MUmaster,SIGN(F16))*POWER(INmaster,SIGN(H16))*POWER(CHmaster,SIGN(I16))*POWER(FFmaster,SIGN(J16))*POWER(GEmaster,SIGN(K16))*POWER(KOmaster,SIGN(L16))*POWER(KKmaster,SIGN(M16))+H16*POWER(MUmaster,SIGN(F16))*POWER(KLmaster,SIGN(G16))*POWER(CHmaster,SIGN(I16))*POWER(FFmaster,SIGN(J16))*POWER(GEmaster,SIGN(K16))*POWER(KOmaster,SIGN(L16))*POWER(KKmaster,SIGN(M16))+I16*POWER(MUmaster,SIGN(F16))*POWER(KLmaster,SIGN(G16))*POWER(INmaster,SIGN(H16))*POWER(FFmaster,SIGN(J16))*POWER(GEmaster,SIGN(K16))*POWER(KOmaster,SIGN(L16))*POWER(KKmaster,SIGN(M16))+J16*POWER(MUmaster,SIGN(F16))*POWER(KLmaster,SIGN(G16))*POWER(INmaster,SIGN(H16))*POWER(CHmaster,SIGN(I16))*POWER(GEmaster,SIGN(K16))*POWER(KOmaster,SIGN(L16))*POWER(KKmaster,SIGN(M16))+K16*POWER(MUmaster,SIGN(F16))*POWER(KLmaster,SIGN(G16))*POWER(INmaster,SIGN(H16))*POWER(CHmaster,SIGN(I16))*POWER(FFmaster,SIGN(J16))*POWER(KOmaster,SIGN(L16))*POWER(KKmaster,SIGN(M16))+L16*POWER(MUmaster,SIGN(F16))*POWER(KLmaster,SIGN(G16))*POWER(INmaster,SIGN(H16))*POWER(CHmaster,SIGN(I16))*POWER(FFmaster,SIGN(J16))*POWER(GEmaster,SIGN(K16))*POWER(KKmaster,SIGN(M16))+M16*POWER(MUmaster,SIGN(F16))*POWER(KLmaster,SIGN(G16))*POWER(INmaster,SIGN(H16))*POWER(CHmaster,SIGN(I16))*POWER(FFmaster,SIGN(J16))*POWER(GEmaster,SIGN(K16))*POWER(KOmaster,SIGN(L16))</f>
        <v>2304</v>
      </c>
      <c r="R16" s="113">
        <f>I16*K16*KKmaster+I16*GEmaster*M16+CHmaster*K16*M16</f>
        <v>3456</v>
      </c>
      <c r="S16" s="224">
        <f t="shared" si="11"/>
        <v>1728</v>
      </c>
      <c r="T16" s="242">
        <f t="shared" si="98"/>
        <v>7488</v>
      </c>
      <c r="U16" s="222">
        <f t="shared" si="12"/>
        <v>3.6923076923076925</v>
      </c>
      <c r="V16" s="223">
        <f t="shared" si="13"/>
        <v>11.076923076923077</v>
      </c>
      <c r="W16" s="243">
        <f t="shared" si="14"/>
        <v>8.3076923076923084</v>
      </c>
      <c r="X16" s="218">
        <f t="shared" si="15"/>
        <v>23.07692307692308</v>
      </c>
      <c r="Y16" s="252">
        <v>0</v>
      </c>
      <c r="Z16" s="198">
        <f t="shared" si="16"/>
        <v>23.07692307692308</v>
      </c>
      <c r="AA16" s="125">
        <f t="shared" si="107"/>
        <v>173.5384615384616</v>
      </c>
      <c r="AB16" s="160">
        <f t="shared" si="107"/>
        <v>0</v>
      </c>
      <c r="AC16" s="127">
        <f t="shared" si="0"/>
        <v>173.5384615384616</v>
      </c>
      <c r="AD16" s="125">
        <f t="shared" si="17"/>
        <v>0</v>
      </c>
      <c r="AF16" s="163" t="s">
        <v>14</v>
      </c>
      <c r="AG16" s="127" t="s">
        <v>76</v>
      </c>
      <c r="AH16" s="125" t="s">
        <v>132</v>
      </c>
      <c r="AI16" s="114"/>
      <c r="AJ16" s="113"/>
      <c r="AK16" s="113"/>
      <c r="AL16" s="113">
        <f>Konvention_1slave-CHslave</f>
        <v>12</v>
      </c>
      <c r="AM16" s="113"/>
      <c r="AN16" s="113">
        <f>Konvention_1slave-GEslave</f>
        <v>12</v>
      </c>
      <c r="AO16" s="113"/>
      <c r="AP16" s="119">
        <f>Konvention_1slave-KKslave</f>
        <v>12</v>
      </c>
      <c r="AQ16" s="89">
        <f>(AI16+AJ16+AK16+AL16+AM16+AN16+AO16+AP16)/3</f>
        <v>12</v>
      </c>
      <c r="AR16" s="47">
        <f t="shared" si="18"/>
        <v>24</v>
      </c>
      <c r="AS16" s="119">
        <f t="shared" si="19"/>
        <v>36</v>
      </c>
      <c r="AT16" s="114">
        <f>AI16*POWER(KLslave,SIGN(AJ16))*POWER(INslave,SIGN(AK16))*POWER(CHslave,SIGN(AL16))*POWER(FFslave,SIGN(AM16))*POWER(GEslave,SIGN(AN16))*POWER(KOslave,SIGN(AO16))*POWER(KKslave,SIGN(AP16))+AJ16*POWER(MUslave_MU,SIGN(AI16))*POWER(INslave,SIGN(AK16))*POWER(CHslave,SIGN(AL16))*POWER(FFslave,SIGN(AM16))*POWER(GEslave,SIGN(AN16))*POWER(KOslave,SIGN(AO16))*POWER(KKslave,SIGN(AP16))+AK16*POWER(MUslave_MU,SIGN(AI16))*POWER(KLslave,SIGN(AJ16))*POWER(CHslave,SIGN(AL16))*POWER(FFslave,SIGN(AM16))*POWER(GEslave,SIGN(AN16))*POWER(KOslave,SIGN(AO16))*POWER(KKslave,SIGN(AP16))+AL16*POWER(MUslave_MU,SIGN(AI16))*POWER(KLslave,SIGN(AJ16))*POWER(INslave,SIGN(AK16))*POWER(FFslave,SIGN(AM16))*POWER(GEslave,SIGN(AN16))*POWER(KOslave,SIGN(AO16))*POWER(KKslave,SIGN(AP16))+AM16*POWER(MUslave_MU,SIGN(AI16))*POWER(KLslave,SIGN(AJ16))*POWER(INslave,SIGN(AK16))*POWER(CHslave,SIGN(AL16))*POWER(GEslave,SIGN(AN16))*POWER(KOslave,SIGN(AO16))*POWER(KKslave,SIGN(AP16))+AN16*POWER(MUslave_MU,SIGN(AI16))*POWER(KLslave,SIGN(AJ16))*POWER(INslave,SIGN(AK16))*POWER(CHslave,SIGN(AL16))*POWER(FFslave,SIGN(AM16))*POWER(KOslave,SIGN(AO16))*POWER(KKslave,SIGN(AP16))+AO16*POWER(MUslave_MU,SIGN(AI16))*POWER(KLslave,SIGN(AJ16))*POWER(INslave,SIGN(AK16))*POWER(CHslave,SIGN(AL16))*POWER(FFslave,SIGN(AM16))*POWER(GEslave,SIGN(AN16))*POWER(KKslave,SIGN(AP16))+AP16*POWER(MUslave_MU,SIGN(AI16))*POWER(KLslave,SIGN(AJ16))*POWER(INslave,SIGN(AK16))*POWER(CHslave,SIGN(AL16))*POWER(FFslave,SIGN(AM16))*POWER(GEslave,SIGN(AN16))*POWER(KOslave,SIGN(AO16))</f>
        <v>2304</v>
      </c>
      <c r="AU16" s="113">
        <f>AL16*AN16*KKslave+AL16*GEslave*AP16+CHslave*AN16*AP16</f>
        <v>3456</v>
      </c>
      <c r="AV16" s="119">
        <f t="shared" si="20"/>
        <v>1728</v>
      </c>
      <c r="AW16" s="160">
        <f t="shared" si="99"/>
        <v>7488</v>
      </c>
      <c r="AX16" s="89">
        <f t="shared" si="21"/>
        <v>3.6923076923076925</v>
      </c>
      <c r="AY16" s="47">
        <f t="shared" si="22"/>
        <v>11.076923076923077</v>
      </c>
      <c r="AZ16" s="127">
        <f t="shared" si="23"/>
        <v>8.3076923076923084</v>
      </c>
      <c r="BA16" s="125">
        <f t="shared" si="24"/>
        <v>23.07692307692308</v>
      </c>
      <c r="BB16" s="165">
        <f t="shared" si="25"/>
        <v>0</v>
      </c>
      <c r="BC16" s="198">
        <f t="shared" si="26"/>
        <v>23.07692307692308</v>
      </c>
      <c r="BD16" s="125">
        <f t="shared" si="108"/>
        <v>173.5384615384616</v>
      </c>
      <c r="BE16" s="160">
        <f t="shared" si="108"/>
        <v>0</v>
      </c>
      <c r="BF16" s="243">
        <f t="shared" si="1"/>
        <v>173.5384615384616</v>
      </c>
      <c r="BG16" s="218">
        <f t="shared" si="27"/>
        <v>0</v>
      </c>
      <c r="BI16" s="303" t="s">
        <v>14</v>
      </c>
      <c r="BJ16" s="243" t="s">
        <v>76</v>
      </c>
      <c r="BK16" s="218" t="s">
        <v>132</v>
      </c>
      <c r="BL16" s="237"/>
      <c r="BM16" s="234"/>
      <c r="BN16" s="234"/>
      <c r="BO16" s="234">
        <f>Konvention_1slave-CHslave</f>
        <v>12</v>
      </c>
      <c r="BP16" s="234"/>
      <c r="BQ16" s="234">
        <f>Konvention_1slave-GEslave</f>
        <v>12</v>
      </c>
      <c r="BR16" s="234"/>
      <c r="BS16" s="224">
        <f>Konvention_1slave-KKslave</f>
        <v>12</v>
      </c>
      <c r="BT16" s="222">
        <f>(BL16+BM16+BN16+BO16+BP16+BQ16+BR16+BS16)/3</f>
        <v>12</v>
      </c>
      <c r="BU16" s="223">
        <f t="shared" si="28"/>
        <v>24</v>
      </c>
      <c r="BV16" s="224">
        <f t="shared" si="29"/>
        <v>36</v>
      </c>
      <c r="BW16" s="237">
        <f>BL16*POWER(KLslave_KL,SIGN(BM16))*POWER(INslave,SIGN(BN16))*POWER(CHslave,SIGN(BO16))*POWER(FFslave,SIGN(BP16))*POWER(GEslave,SIGN(BQ16))*POWER(KOslave,SIGN(BR16))*POWER(KKslave,SIGN(BS16))+BM16*POWER(MUslave,SIGN(BL16))*POWER(INslave,SIGN(BN16))*POWER(CHslave,SIGN(BO16))*POWER(FFslave,SIGN(BP16))*POWER(GEslave,SIGN(BQ16))*POWER(KOslave,SIGN(BR16))*POWER(KKslave,SIGN(BS16))+BN16*POWER(MUslave,SIGN(BL16))*POWER(KLslave_KL,SIGN(BM16))*POWER(CHslave,SIGN(BO16))*POWER(FFslave,SIGN(BP16))*POWER(GEslave,SIGN(BQ16))*POWER(KOslave,SIGN(BR16))*POWER(KKslave,SIGN(BS16))+BO16*POWER(MUslave,SIGN(BL16))*POWER(KLslave_KL,SIGN(BM16))*POWER(INslave,SIGN(BN16))*POWER(FFslave,SIGN(BP16))*POWER(GEslave,SIGN(BQ16))*POWER(KOslave,SIGN(BR16))*POWER(KKslave,SIGN(BS16))+BP16*POWER(MUslave,SIGN(BL16))*POWER(KLslave_KL,SIGN(BM16))*POWER(INslave,SIGN(BN16))*POWER(CHslave,SIGN(BO16))*POWER(GEslave,SIGN(BQ16))*POWER(KOslave,SIGN(BR16))*POWER(KKslave,SIGN(BS16))+BQ16*POWER(MUslave,SIGN(BL16))*POWER(KLslave_KL,SIGN(BM16))*POWER(INslave,SIGN(BN16))*POWER(CHslave,SIGN(BO16))*POWER(FFslave,SIGN(BP16))*POWER(KOslave,SIGN(BR16))*POWER(KKslave,SIGN(BS16))+BR16*POWER(MUslave,SIGN(BL16))*POWER(KLslave_KL,SIGN(BM16))*POWER(INslave,SIGN(BN16))*POWER(CHslave,SIGN(BO16))*POWER(FFslave,SIGN(BP16))*POWER(GEslave,SIGN(BQ16))*POWER(KKslave,SIGN(BS16))+BS16*POWER(MUslave,SIGN(BL16))*POWER(KLslave_KL,SIGN(BM16))*POWER(INslave,SIGN(BN16))*POWER(CHslave,SIGN(BO16))*POWER(FFslave,SIGN(BP16))*POWER(GEslave,SIGN(BQ16))*POWER(KOslave,SIGN(BR16))</f>
        <v>2304</v>
      </c>
      <c r="BX16" s="234">
        <f>BO16*BQ16*KKslave+BO16*GEslave*BS16+CHslave*BQ16*BS16</f>
        <v>3456</v>
      </c>
      <c r="BY16" s="224">
        <f t="shared" si="30"/>
        <v>1728</v>
      </c>
      <c r="BZ16" s="242">
        <f t="shared" si="100"/>
        <v>7488</v>
      </c>
      <c r="CA16" s="222">
        <f t="shared" si="31"/>
        <v>3.6923076923076925</v>
      </c>
      <c r="CB16" s="223">
        <f t="shared" si="32"/>
        <v>11.076923076923077</v>
      </c>
      <c r="CC16" s="243">
        <f t="shared" si="33"/>
        <v>8.3076923076923084</v>
      </c>
      <c r="CD16" s="218">
        <f t="shared" si="34"/>
        <v>23.07692307692308</v>
      </c>
      <c r="CE16" s="252">
        <f t="shared" si="35"/>
        <v>0</v>
      </c>
      <c r="CF16" s="309">
        <f t="shared" si="36"/>
        <v>23.07692307692308</v>
      </c>
      <c r="CG16" s="218">
        <f t="shared" si="109"/>
        <v>173.5384615384616</v>
      </c>
      <c r="CH16" s="242">
        <f t="shared" si="109"/>
        <v>0</v>
      </c>
      <c r="CI16" s="243">
        <f t="shared" si="2"/>
        <v>173.5384615384616</v>
      </c>
      <c r="CJ16" s="218">
        <f t="shared" si="37"/>
        <v>0</v>
      </c>
      <c r="CL16" s="303" t="s">
        <v>14</v>
      </c>
      <c r="CM16" s="243" t="s">
        <v>76</v>
      </c>
      <c r="CN16" s="218" t="s">
        <v>132</v>
      </c>
      <c r="CO16" s="237"/>
      <c r="CP16" s="234"/>
      <c r="CQ16" s="234"/>
      <c r="CR16" s="234">
        <f>Konvention_1slave-CHslave</f>
        <v>12</v>
      </c>
      <c r="CS16" s="234"/>
      <c r="CT16" s="234">
        <f>Konvention_1slave-GEslave</f>
        <v>12</v>
      </c>
      <c r="CU16" s="234"/>
      <c r="CV16" s="224">
        <f>Konvention_1slave-KKslave</f>
        <v>12</v>
      </c>
      <c r="CW16" s="222">
        <f>(CO16+CP16+CQ16+CR16+CS16+CT16+CU16+CV16)/3</f>
        <v>12</v>
      </c>
      <c r="CX16" s="223">
        <f t="shared" si="38"/>
        <v>24</v>
      </c>
      <c r="CY16" s="224">
        <f t="shared" si="39"/>
        <v>36</v>
      </c>
      <c r="CZ16" s="237">
        <f>CO16*POWER(KLslave,SIGN(CP16))*POWER(INslave_IN,SIGN(CQ16))*POWER(CHslave,SIGN(CR16))*POWER(FFslave,SIGN(CS16))*POWER(GEslave,SIGN(CT16))*POWER(KOslave,SIGN(CU16))*POWER(KKslave,SIGN(CV16))+CP16*POWER(MUslave,SIGN(CO16))*POWER(INslave_IN,SIGN(CQ16))*POWER(CHslave,SIGN(CR16))*POWER(FFslave,SIGN(CS16))*POWER(GEslave,SIGN(CT16))*POWER(KOslave,SIGN(CU16))*POWER(KKslave,SIGN(CV16))+CQ16*POWER(MUslave,SIGN(CO16))*POWER(KLslave,SIGN(CP16))*POWER(CHslave,SIGN(CR16))*POWER(FFslave,SIGN(CS16))*POWER(GEslave,SIGN(CT16))*POWER(KOslave,SIGN(CU16))*POWER(KKslave,SIGN(CV16))+CR16*POWER(MUslave,SIGN(CO16))*POWER(KLslave,SIGN(CP16))*POWER(INslave_IN,SIGN(CQ16))*POWER(FFslave,SIGN(CS16))*POWER(GEslave,SIGN(CT16))*POWER(KOslave,SIGN(CU16))*POWER(KKslave,SIGN(CV16))+CS16*POWER(MUslave,SIGN(CO16))*POWER(KLslave,SIGN(CP16))*POWER(INslave_IN,SIGN(CQ16))*POWER(CHslave,SIGN(CR16))*POWER(GEslave,SIGN(CT16))*POWER(KOslave,SIGN(CU16))*POWER(KKslave,SIGN(CV16))+CT16*POWER(MUslave,SIGN(CO16))*POWER(KLslave,SIGN(CP16))*POWER(INslave_IN,SIGN(CQ16))*POWER(CHslave,SIGN(CR16))*POWER(FFslave,SIGN(CS16))*POWER(KOslave,SIGN(CU16))*POWER(KKslave,SIGN(CV16))+CU16*POWER(MUslave,SIGN(CO16))*POWER(KLslave,SIGN(CP16))*POWER(INslave_IN,SIGN(CQ16))*POWER(CHslave,SIGN(CR16))*POWER(FFslave,SIGN(CS16))*POWER(GEslave,SIGN(CT16))*POWER(KKslave,SIGN(CV16))+CV16*POWER(MUslave,SIGN(CO16))*POWER(KLslave,SIGN(CP16))*POWER(INslave_IN,SIGN(CQ16))*POWER(CHslave,SIGN(CR16))*POWER(FFslave,SIGN(CS16))*POWER(GEslave,SIGN(CT16))*POWER(KOslave,SIGN(CU16))</f>
        <v>2304</v>
      </c>
      <c r="DA16" s="234">
        <f>CR16*CT16*KKslave+CR16*GEslave*CV16+CHslave*CT16*CV16</f>
        <v>3456</v>
      </c>
      <c r="DB16" s="224">
        <f t="shared" si="40"/>
        <v>1728</v>
      </c>
      <c r="DC16" s="242">
        <f t="shared" si="101"/>
        <v>7488</v>
      </c>
      <c r="DD16" s="222">
        <f t="shared" si="41"/>
        <v>3.6923076923076925</v>
      </c>
      <c r="DE16" s="223">
        <f t="shared" si="42"/>
        <v>11.076923076923077</v>
      </c>
      <c r="DF16" s="243">
        <f t="shared" si="43"/>
        <v>8.3076923076923084</v>
      </c>
      <c r="DG16" s="218">
        <f t="shared" si="44"/>
        <v>23.07692307692308</v>
      </c>
      <c r="DH16" s="252">
        <f t="shared" si="45"/>
        <v>0</v>
      </c>
      <c r="DI16" s="309">
        <f t="shared" si="46"/>
        <v>23.07692307692308</v>
      </c>
      <c r="DJ16" s="218">
        <f t="shared" si="110"/>
        <v>173.5384615384616</v>
      </c>
      <c r="DK16" s="242">
        <f t="shared" si="110"/>
        <v>0</v>
      </c>
      <c r="DL16" s="243">
        <f t="shared" si="3"/>
        <v>173.5384615384616</v>
      </c>
      <c r="DM16" s="218">
        <f t="shared" si="47"/>
        <v>0</v>
      </c>
      <c r="DO16" s="303" t="s">
        <v>14</v>
      </c>
      <c r="DP16" s="243" t="s">
        <v>76</v>
      </c>
      <c r="DQ16" s="218" t="s">
        <v>132</v>
      </c>
      <c r="DR16" s="237"/>
      <c r="DS16" s="234"/>
      <c r="DT16" s="234"/>
      <c r="DU16" s="234">
        <f>Konvention_1slave-CHslave_CH</f>
        <v>11</v>
      </c>
      <c r="DV16" s="234"/>
      <c r="DW16" s="234">
        <f>Konvention_1slave-GEslave</f>
        <v>12</v>
      </c>
      <c r="DX16" s="234"/>
      <c r="DY16" s="224">
        <f>Konvention_1slave-KKslave</f>
        <v>12</v>
      </c>
      <c r="DZ16" s="222">
        <f>(DR16+DS16+DT16+DU16+DV16+DW16+DX16+DY16)/3</f>
        <v>11.666666666666666</v>
      </c>
      <c r="EA16" s="223">
        <f t="shared" si="48"/>
        <v>23.333333333333332</v>
      </c>
      <c r="EB16" s="224">
        <f t="shared" si="49"/>
        <v>35</v>
      </c>
      <c r="EC16" s="237">
        <f>DR16*POWER(KLslave,SIGN(DS16))*POWER(INslave,SIGN(DT16))*POWER(CHslave_CH,SIGN(DU16))*POWER(FFslave,SIGN(DV16))*POWER(GEslave,SIGN(DW16))*POWER(KOslave,SIGN(DX16))*POWER(KKslave,SIGN(DY16))+DS16*POWER(MUslave,SIGN(DR16))*POWER(INslave,SIGN(DT16))*POWER(CHslave_CH,SIGN(DU16))*POWER(FFslave,SIGN(DV16))*POWER(GEslave,SIGN(DW16))*POWER(KOslave,SIGN(DX16))*POWER(KKslave,SIGN(DY16))+DT16*POWER(MUslave,SIGN(DR16))*POWER(KLslave,SIGN(DS16))*POWER(CHslave_CH,SIGN(DU16))*POWER(FFslave,SIGN(DV16))*POWER(GEslave,SIGN(DW16))*POWER(KOslave,SIGN(DX16))*POWER(KKslave,SIGN(DY16))+DU16*POWER(MUslave,SIGN(DR16))*POWER(KLslave,SIGN(DS16))*POWER(INslave,SIGN(DT16))*POWER(FFslave,SIGN(DV16))*POWER(GEslave,SIGN(DW16))*POWER(KOslave,SIGN(DX16))*POWER(KKslave,SIGN(DY16))+DV16*POWER(MUslave,SIGN(DR16))*POWER(KLslave,SIGN(DS16))*POWER(INslave,SIGN(DT16))*POWER(CHslave_CH,SIGN(DU16))*POWER(GEslave,SIGN(DW16))*POWER(KOslave,SIGN(DX16))*POWER(KKslave,SIGN(DY16))+DW16*POWER(MUslave,SIGN(DR16))*POWER(KLslave,SIGN(DS16))*POWER(INslave,SIGN(DT16))*POWER(CHslave_CH,SIGN(DU16))*POWER(FFslave,SIGN(DV16))*POWER(KOslave,SIGN(DX16))*POWER(KKslave,SIGN(DY16))+DX16*POWER(MUslave,SIGN(DR16))*POWER(KLslave,SIGN(DS16))*POWER(INslave,SIGN(DT16))*POWER(CHslave_CH,SIGN(DU16))*POWER(FFslave,SIGN(DV16))*POWER(GEslave,SIGN(DW16))*POWER(KKslave,SIGN(DY16))+DY16*POWER(MUslave,SIGN(DR16))*POWER(KLslave,SIGN(DS16))*POWER(INslave,SIGN(DT16))*POWER(CHslave_CH,SIGN(DU16))*POWER(FFslave,SIGN(DV16))*POWER(GEslave,SIGN(DW16))*POWER(KOslave,SIGN(DX16))</f>
        <v>2432</v>
      </c>
      <c r="ED16" s="234">
        <f>DU16*DW16*KKslave+DU16*GEslave*DY16+CHslave_CH*DW16*DY16</f>
        <v>3408</v>
      </c>
      <c r="EE16" s="224">
        <f t="shared" si="50"/>
        <v>1584</v>
      </c>
      <c r="EF16" s="242">
        <f t="shared" si="102"/>
        <v>7424</v>
      </c>
      <c r="EG16" s="222">
        <f t="shared" si="51"/>
        <v>3.8218390804597702</v>
      </c>
      <c r="EH16" s="223">
        <f t="shared" si="52"/>
        <v>10.711206896551724</v>
      </c>
      <c r="EI16" s="243">
        <f t="shared" si="53"/>
        <v>7.4676724137931032</v>
      </c>
      <c r="EJ16" s="218">
        <f t="shared" si="54"/>
        <v>22.000718390804597</v>
      </c>
      <c r="EK16" s="252">
        <f t="shared" si="55"/>
        <v>0</v>
      </c>
      <c r="EL16" s="309">
        <f t="shared" si="56"/>
        <v>22.000718390804597</v>
      </c>
      <c r="EM16" s="218">
        <f t="shared" si="111"/>
        <v>152.01436781609189</v>
      </c>
      <c r="EN16" s="242">
        <f t="shared" si="111"/>
        <v>0</v>
      </c>
      <c r="EO16" s="243">
        <f t="shared" si="4"/>
        <v>152.01436781609189</v>
      </c>
      <c r="EP16" s="218">
        <f t="shared" si="57"/>
        <v>0</v>
      </c>
      <c r="ER16" s="303" t="s">
        <v>14</v>
      </c>
      <c r="ES16" s="243" t="s">
        <v>76</v>
      </c>
      <c r="ET16" s="218" t="s">
        <v>132</v>
      </c>
      <c r="EU16" s="237"/>
      <c r="EV16" s="234"/>
      <c r="EW16" s="234"/>
      <c r="EX16" s="234">
        <f>Konvention_1slave-CHslave</f>
        <v>12</v>
      </c>
      <c r="EY16" s="234"/>
      <c r="EZ16" s="234">
        <f>Konvention_1slave-GEslave</f>
        <v>12</v>
      </c>
      <c r="FA16" s="234"/>
      <c r="FB16" s="224">
        <f>Konvention_1slave-KKslave</f>
        <v>12</v>
      </c>
      <c r="FC16" s="222">
        <f>(EU16+EV16+EW16+EX16+EY16+EZ16+FA16+FB16)/3</f>
        <v>12</v>
      </c>
      <c r="FD16" s="223">
        <f t="shared" si="58"/>
        <v>24</v>
      </c>
      <c r="FE16" s="224">
        <f t="shared" si="59"/>
        <v>36</v>
      </c>
      <c r="FF16" s="237">
        <f>EU16*POWER(KLslave,SIGN(EV16))*POWER(INslave,SIGN(EW16))*POWER(CHslave,SIGN(EX16))*POWER(FFslave_FF,SIGN(EY16))*POWER(GEslave,SIGN(EZ16))*POWER(KOslave,SIGN(FA16))*POWER(KKslave,SIGN(FB16))+EV16*POWER(MUslave,SIGN(EU16))*POWER(INslave,SIGN(EW16))*POWER(CHslave,SIGN(EX16))*POWER(FFslave_FF,SIGN(EY16))*POWER(GEslave,SIGN(EZ16))*POWER(KOslave,SIGN(FA16))*POWER(KKslave,SIGN(FB16))+EW16*POWER(MUslave,SIGN(EU16))*POWER(KLslave,SIGN(EV16))*POWER(CHslave,SIGN(EX16))*POWER(FFslave_FF,SIGN(EY16))*POWER(GEslave,SIGN(EZ16))*POWER(KOslave,SIGN(FA16))*POWER(KKslave,SIGN(FB16))+EX16*POWER(MUslave,SIGN(EU16))*POWER(KLslave,SIGN(EV16))*POWER(INslave,SIGN(EW16))*POWER(FFslave_FF,SIGN(EY16))*POWER(GEslave,SIGN(EZ16))*POWER(KOslave,SIGN(FA16))*POWER(KKslave,SIGN(FB16))+EY16*POWER(MUslave,SIGN(EU16))*POWER(KLslave,SIGN(EV16))*POWER(INslave,SIGN(EW16))*POWER(CHslave,SIGN(EX16))*POWER(GEslave,SIGN(EZ16))*POWER(KOslave,SIGN(FA16))*POWER(KKslave,SIGN(FB16))+EZ16*POWER(MUslave,SIGN(EU16))*POWER(KLslave,SIGN(EV16))*POWER(INslave,SIGN(EW16))*POWER(CHslave,SIGN(EX16))*POWER(FFslave_FF,SIGN(EY16))*POWER(KOslave,SIGN(FA16))*POWER(KKslave,SIGN(FB16))+FA16*POWER(MUslave,SIGN(EU16))*POWER(KLslave,SIGN(EV16))*POWER(INslave,SIGN(EW16))*POWER(CHslave,SIGN(EX16))*POWER(FFslave_FF,SIGN(EY16))*POWER(GEslave,SIGN(EZ16))*POWER(KKslave,SIGN(FB16))+FB16*POWER(MUslave,SIGN(EU16))*POWER(KLslave,SIGN(EV16))*POWER(INslave,SIGN(EW16))*POWER(CHslave,SIGN(EX16))*POWER(FFslave_FF,SIGN(EY16))*POWER(GEslave,SIGN(EZ16))*POWER(KOslave,SIGN(FA16))</f>
        <v>2304</v>
      </c>
      <c r="FG16" s="234">
        <f>EX16*EZ16*KKslave+EX16*GEslave*FB16+CHslave*EZ16*FB16</f>
        <v>3456</v>
      </c>
      <c r="FH16" s="224">
        <f t="shared" si="60"/>
        <v>1728</v>
      </c>
      <c r="FI16" s="242">
        <f t="shared" si="103"/>
        <v>7488</v>
      </c>
      <c r="FJ16" s="222">
        <f t="shared" si="61"/>
        <v>3.6923076923076925</v>
      </c>
      <c r="FK16" s="223">
        <f t="shared" si="62"/>
        <v>11.076923076923077</v>
      </c>
      <c r="FL16" s="243">
        <f t="shared" si="63"/>
        <v>8.3076923076923084</v>
      </c>
      <c r="FM16" s="218">
        <f t="shared" si="64"/>
        <v>23.07692307692308</v>
      </c>
      <c r="FN16" s="252">
        <f t="shared" si="65"/>
        <v>0</v>
      </c>
      <c r="FO16" s="309">
        <f t="shared" si="66"/>
        <v>23.07692307692308</v>
      </c>
      <c r="FP16" s="218">
        <f t="shared" si="112"/>
        <v>173.5384615384616</v>
      </c>
      <c r="FQ16" s="242">
        <f t="shared" si="112"/>
        <v>0</v>
      </c>
      <c r="FR16" s="243">
        <f t="shared" si="5"/>
        <v>173.5384615384616</v>
      </c>
      <c r="FS16" s="218">
        <f t="shared" si="67"/>
        <v>0</v>
      </c>
      <c r="FU16" s="303" t="s">
        <v>14</v>
      </c>
      <c r="FV16" s="243" t="s">
        <v>76</v>
      </c>
      <c r="FW16" s="218" t="s">
        <v>132</v>
      </c>
      <c r="FX16" s="237"/>
      <c r="FY16" s="234"/>
      <c r="FZ16" s="234"/>
      <c r="GA16" s="234">
        <f>Konvention_1slave-CHslave</f>
        <v>12</v>
      </c>
      <c r="GB16" s="234"/>
      <c r="GC16" s="234">
        <f>Konvention_1slave-GEslave_GE</f>
        <v>11</v>
      </c>
      <c r="GD16" s="234"/>
      <c r="GE16" s="224">
        <f>Konvention_1slave-KKslave</f>
        <v>12</v>
      </c>
      <c r="GF16" s="222">
        <f>(FX16+FY16+FZ16+GA16+GB16+GC16+GD16+GE16)/3</f>
        <v>11.666666666666666</v>
      </c>
      <c r="GG16" s="223">
        <f t="shared" si="68"/>
        <v>23.333333333333332</v>
      </c>
      <c r="GH16" s="224">
        <f t="shared" si="69"/>
        <v>35</v>
      </c>
      <c r="GI16" s="237">
        <f>FX16*POWER(KLslave,SIGN(FY16))*POWER(INslave,SIGN(FZ16))*POWER(CHslave,SIGN(GA16))*POWER(FFslave,SIGN(GB16))*POWER(GEslave_GE,SIGN(GC16))*POWER(KOslave,SIGN(GD16))*POWER(KKslave,SIGN(GE16))+FY16*POWER(MUslave,SIGN(FX16))*POWER(INslave,SIGN(FZ16))*POWER(CHslave,SIGN(GA16))*POWER(FFslave,SIGN(GB16))*POWER(GEslave_GE,SIGN(GC16))*POWER(KOslave,SIGN(GD16))*POWER(KKslave,SIGN(GE16))+FZ16*POWER(MUslave,SIGN(FX16))*POWER(KLslave,SIGN(FY16))*POWER(CHslave,SIGN(GA16))*POWER(FFslave,SIGN(GB16))*POWER(GEslave_GE,SIGN(GC16))*POWER(KOslave,SIGN(GD16))*POWER(KKslave,SIGN(GE16))+GA16*POWER(MUslave,SIGN(FX16))*POWER(KLslave,SIGN(FY16))*POWER(INslave,SIGN(FZ16))*POWER(FFslave,SIGN(GB16))*POWER(GEslave_GE,SIGN(GC16))*POWER(KOslave,SIGN(GD16))*POWER(KKslave,SIGN(GE16))+GB16*POWER(MUslave,SIGN(FX16))*POWER(KLslave,SIGN(FY16))*POWER(INslave,SIGN(FZ16))*POWER(CHslave,SIGN(GA16))*POWER(GEslave_GE,SIGN(GC16))*POWER(KOslave,SIGN(GD16))*POWER(KKslave,SIGN(GE16))+GC16*POWER(MUslave,SIGN(FX16))*POWER(KLslave,SIGN(FY16))*POWER(INslave,SIGN(FZ16))*POWER(CHslave,SIGN(GA16))*POWER(FFslave,SIGN(GB16))*POWER(KOslave,SIGN(GD16))*POWER(KKslave,SIGN(GE16))+GD16*POWER(MUslave,SIGN(FX16))*POWER(KLslave,SIGN(FY16))*POWER(INslave,SIGN(FZ16))*POWER(CHslave,SIGN(GA16))*POWER(FFslave,SIGN(GB16))*POWER(GEslave_GE,SIGN(GC16))*POWER(KKslave,SIGN(GE16))+GE16*POWER(MUslave,SIGN(FX16))*POWER(KLslave,SIGN(FY16))*POWER(INslave,SIGN(FZ16))*POWER(CHslave,SIGN(GA16))*POWER(FFslave,SIGN(GB16))*POWER(GEslave_GE,SIGN(GC16))*POWER(KOslave,SIGN(GD16))</f>
        <v>2432</v>
      </c>
      <c r="GJ16" s="234">
        <f>GA16*GC16*KKslave+GA16*GEslave_GE*GE16+CHslave*GC16*GE16</f>
        <v>3408</v>
      </c>
      <c r="GK16" s="224">
        <f t="shared" si="70"/>
        <v>1584</v>
      </c>
      <c r="GL16" s="242">
        <f t="shared" si="104"/>
        <v>7424</v>
      </c>
      <c r="GM16" s="222">
        <f t="shared" si="71"/>
        <v>3.8218390804597702</v>
      </c>
      <c r="GN16" s="223">
        <f t="shared" si="72"/>
        <v>10.711206896551724</v>
      </c>
      <c r="GO16" s="243">
        <f t="shared" si="73"/>
        <v>7.4676724137931032</v>
      </c>
      <c r="GP16" s="218">
        <f t="shared" si="74"/>
        <v>22.000718390804597</v>
      </c>
      <c r="GQ16" s="252">
        <f t="shared" si="75"/>
        <v>0</v>
      </c>
      <c r="GR16" s="309">
        <f t="shared" si="76"/>
        <v>22.000718390804597</v>
      </c>
      <c r="GS16" s="218">
        <f t="shared" si="113"/>
        <v>152.01436781609189</v>
      </c>
      <c r="GT16" s="242">
        <f t="shared" si="113"/>
        <v>0</v>
      </c>
      <c r="GU16" s="243">
        <f t="shared" si="6"/>
        <v>152.01436781609189</v>
      </c>
      <c r="GV16" s="218">
        <f t="shared" si="77"/>
        <v>0</v>
      </c>
      <c r="GX16" s="303" t="s">
        <v>14</v>
      </c>
      <c r="GY16" s="243" t="s">
        <v>76</v>
      </c>
      <c r="GZ16" s="218" t="s">
        <v>132</v>
      </c>
      <c r="HA16" s="237"/>
      <c r="HB16" s="234"/>
      <c r="HC16" s="234"/>
      <c r="HD16" s="234">
        <f>Konvention_1slave-CHslave</f>
        <v>12</v>
      </c>
      <c r="HE16" s="234"/>
      <c r="HF16" s="234">
        <f>Konvention_1slave-GEslave</f>
        <v>12</v>
      </c>
      <c r="HG16" s="234"/>
      <c r="HH16" s="224">
        <f>Konvention_1slave-KKslave</f>
        <v>12</v>
      </c>
      <c r="HI16" s="222">
        <f>(HA16+HB16+HC16+HD16+HE16+HF16+HG16+HH16)/3</f>
        <v>12</v>
      </c>
      <c r="HJ16" s="223">
        <f t="shared" si="78"/>
        <v>24</v>
      </c>
      <c r="HK16" s="224">
        <f t="shared" si="79"/>
        <v>36</v>
      </c>
      <c r="HL16" s="237">
        <f>HA16*POWER(KLslave,SIGN(HB16))*POWER(INslave,SIGN(HC16))*POWER(CHslave,SIGN(HD16))*POWER(FFslave,SIGN(HE16))*POWER(GEslave,SIGN(HF16))*POWER(KOslave_KO,SIGN(HG16))*POWER(KKslave,SIGN(HH16))+HB16*POWER(MUslave,SIGN(HA16))*POWER(INslave,SIGN(HC16))*POWER(CHslave,SIGN(HD16))*POWER(FFslave,SIGN(HE16))*POWER(GEslave,SIGN(HF16))*POWER(KOslave_KO,SIGN(HG16))*POWER(KKslave,SIGN(HH16))+HC16*POWER(MUslave,SIGN(HA16))*POWER(KLslave,SIGN(HB16))*POWER(CHslave,SIGN(HD16))*POWER(FFslave,SIGN(HE16))*POWER(GEslave,SIGN(HF16))*POWER(KOslave_KO,SIGN(HG16))*POWER(KKslave,SIGN(HH16))+HD16*POWER(MUslave,SIGN(HA16))*POWER(KLslave,SIGN(HB16))*POWER(INslave,SIGN(HC16))*POWER(FFslave,SIGN(HE16))*POWER(GEslave,SIGN(HF16))*POWER(KOslave_KO,SIGN(HG16))*POWER(KKslave,SIGN(HH16))+HE16*POWER(MUslave,SIGN(HA16))*POWER(KLslave,SIGN(HB16))*POWER(INslave,SIGN(HC16))*POWER(CHslave,SIGN(HD16))*POWER(GEslave,SIGN(HF16))*POWER(KOslave_KO,SIGN(HG16))*POWER(KKslave,SIGN(HH16))+HF16*POWER(MUslave,SIGN(HA16))*POWER(KLslave,SIGN(HB16))*POWER(INslave,SIGN(HC16))*POWER(CHslave,SIGN(HD16))*POWER(FFslave,SIGN(HE16))*POWER(KOslave_KO,SIGN(HG16))*POWER(KKslave,SIGN(HH16))+HG16*POWER(MUslave,SIGN(HA16))*POWER(KLslave,SIGN(HB16))*POWER(INslave,SIGN(HC16))*POWER(CHslave,SIGN(HD16))*POWER(FFslave,SIGN(HE16))*POWER(GEslave,SIGN(HF16))*POWER(KKslave,SIGN(HH16))+HH16*POWER(MUslave,SIGN(HA16))*POWER(KLslave,SIGN(HB16))*POWER(INslave,SIGN(HC16))*POWER(CHslave,SIGN(HD16))*POWER(FFslave,SIGN(HE16))*POWER(GEslave,SIGN(HF16))*POWER(KOslave_KO,SIGN(HG16))</f>
        <v>2304</v>
      </c>
      <c r="HM16" s="234">
        <f>HD16*HF16*KKslave+HD16*GEslave*HH16+CHslave*HF16*HH16</f>
        <v>3456</v>
      </c>
      <c r="HN16" s="224">
        <f t="shared" si="80"/>
        <v>1728</v>
      </c>
      <c r="HO16" s="242">
        <f t="shared" si="105"/>
        <v>7488</v>
      </c>
      <c r="HP16" s="222">
        <f t="shared" si="81"/>
        <v>3.6923076923076925</v>
      </c>
      <c r="HQ16" s="223">
        <f t="shared" si="82"/>
        <v>11.076923076923077</v>
      </c>
      <c r="HR16" s="243">
        <f t="shared" si="83"/>
        <v>8.3076923076923084</v>
      </c>
      <c r="HS16" s="218">
        <f t="shared" si="84"/>
        <v>23.07692307692308</v>
      </c>
      <c r="HT16" s="252">
        <f t="shared" si="85"/>
        <v>0</v>
      </c>
      <c r="HU16" s="309">
        <f t="shared" si="86"/>
        <v>23.07692307692308</v>
      </c>
      <c r="HV16" s="218">
        <f t="shared" si="114"/>
        <v>173.5384615384616</v>
      </c>
      <c r="HW16" s="242">
        <f t="shared" si="114"/>
        <v>0</v>
      </c>
      <c r="HX16" s="243">
        <f t="shared" si="7"/>
        <v>173.5384615384616</v>
      </c>
      <c r="HY16" s="218">
        <f t="shared" si="87"/>
        <v>0</v>
      </c>
      <c r="IA16" s="303" t="s">
        <v>14</v>
      </c>
      <c r="IB16" s="243" t="s">
        <v>76</v>
      </c>
      <c r="IC16" s="218" t="s">
        <v>132</v>
      </c>
      <c r="ID16" s="237"/>
      <c r="IE16" s="234"/>
      <c r="IF16" s="234"/>
      <c r="IG16" s="234">
        <f>Konvention_1slave-CHslave</f>
        <v>12</v>
      </c>
      <c r="IH16" s="234"/>
      <c r="II16" s="234">
        <f>Konvention_1slave-GEslave</f>
        <v>12</v>
      </c>
      <c r="IJ16" s="234"/>
      <c r="IK16" s="224">
        <f>Konvention_1slave-KKslave_KK</f>
        <v>11</v>
      </c>
      <c r="IL16" s="222">
        <f>(ID16+IE16+IF16+IG16+IH16+II16+IJ16+IK16)/3</f>
        <v>11.666666666666666</v>
      </c>
      <c r="IM16" s="223">
        <f t="shared" si="88"/>
        <v>23.333333333333332</v>
      </c>
      <c r="IN16" s="224">
        <f t="shared" si="89"/>
        <v>35</v>
      </c>
      <c r="IO16" s="237">
        <f>ID16*POWER(KLslave,SIGN(IE16))*POWER(INslave,SIGN(IF16))*POWER(CHslave,SIGN(IG16))*POWER(FFslave,SIGN(IH16))*POWER(GEslave,SIGN(II16))*POWER(KOslave,SIGN(IJ16))*POWER(KKslave_KK,SIGN(IK16))+IE16*POWER(MUslave,SIGN(ID16))*POWER(INslave,SIGN(IF16))*POWER(CHslave,SIGN(IG16))*POWER(FFslave,SIGN(IH16))*POWER(GEslave,SIGN(II16))*POWER(KOslave,SIGN(IJ16))*POWER(KKslave_KK,SIGN(IK16))+IF16*POWER(MUslave,SIGN(ID16))*POWER(KLslave,SIGN(IE16))*POWER(CHslave,SIGN(IG16))*POWER(FFslave,SIGN(IH16))*POWER(GEslave,SIGN(II16))*POWER(KOslave,SIGN(IJ16))*POWER(KKslave_KK,SIGN(IK16))+IG16*POWER(MUslave,SIGN(ID16))*POWER(KLslave,SIGN(IE16))*POWER(INslave,SIGN(IF16))*POWER(FFslave,SIGN(IH16))*POWER(GEslave,SIGN(II16))*POWER(KOslave,SIGN(IJ16))*POWER(KKslave_KK,SIGN(IK16))+IH16*POWER(MUslave,SIGN(ID16))*POWER(KLslave,SIGN(IE16))*POWER(INslave,SIGN(IF16))*POWER(CHslave,SIGN(IG16))*POWER(GEslave,SIGN(II16))*POWER(KOslave,SIGN(IJ16))*POWER(KKslave_KK,SIGN(IK16))+II16*POWER(MUslave,SIGN(ID16))*POWER(KLslave,SIGN(IE16))*POWER(INslave,SIGN(IF16))*POWER(CHslave,SIGN(IG16))*POWER(FFslave,SIGN(IH16))*POWER(KOslave,SIGN(IJ16))*POWER(KKslave_KK,SIGN(IK16))+IJ16*POWER(MUslave,SIGN(ID16))*POWER(KLslave,SIGN(IE16))*POWER(INslave,SIGN(IF16))*POWER(CHslave,SIGN(IG16))*POWER(FFslave,SIGN(IH16))*POWER(GEslave,SIGN(II16))*POWER(KKslave_KK,SIGN(IK16))+IK16*POWER(MUslave,SIGN(ID16))*POWER(KLslave,SIGN(IE16))*POWER(INslave,SIGN(IF16))*POWER(CHslave,SIGN(IG16))*POWER(FFslave,SIGN(IH16))*POWER(GEslave,SIGN(II16))*POWER(KOslave,SIGN(IJ16))</f>
        <v>2432</v>
      </c>
      <c r="IP16" s="234">
        <f>IG16*II16*KKslave_KK+IG16*GEslave*IK16+CHslave*II16*IK16</f>
        <v>3408</v>
      </c>
      <c r="IQ16" s="224">
        <f t="shared" si="90"/>
        <v>1584</v>
      </c>
      <c r="IR16" s="242">
        <f t="shared" si="106"/>
        <v>7424</v>
      </c>
      <c r="IS16" s="222">
        <f t="shared" si="91"/>
        <v>3.8218390804597702</v>
      </c>
      <c r="IT16" s="223">
        <f t="shared" si="92"/>
        <v>10.711206896551724</v>
      </c>
      <c r="IU16" s="243">
        <f t="shared" si="93"/>
        <v>7.4676724137931032</v>
      </c>
      <c r="IV16" s="218">
        <f t="shared" si="94"/>
        <v>22.000718390804597</v>
      </c>
      <c r="IW16" s="252">
        <f t="shared" si="95"/>
        <v>0</v>
      </c>
      <c r="IX16" s="309">
        <f t="shared" si="96"/>
        <v>22.000718390804597</v>
      </c>
      <c r="IY16" s="218">
        <f t="shared" si="115"/>
        <v>152.01436781609189</v>
      </c>
      <c r="IZ16" s="242">
        <f t="shared" si="115"/>
        <v>0</v>
      </c>
      <c r="JA16" s="243">
        <f t="shared" si="8"/>
        <v>152.01436781609189</v>
      </c>
      <c r="JB16" s="218">
        <f t="shared" si="97"/>
        <v>0</v>
      </c>
      <c r="JE16" s="148"/>
    </row>
    <row r="17" spans="2:265" hidden="1" outlineLevel="2">
      <c r="B17" s="148">
        <v>7</v>
      </c>
      <c r="C17" s="303" t="e">
        <f>VLOOKUP(AF17,Attribute!C:T,1,FALSE)</f>
        <v>#N/A</v>
      </c>
      <c r="D17" s="167" t="s">
        <v>77</v>
      </c>
      <c r="E17" s="125" t="s">
        <v>132</v>
      </c>
      <c r="F17" s="114"/>
      <c r="G17" s="113"/>
      <c r="H17" s="113"/>
      <c r="I17" s="113"/>
      <c r="J17" s="113"/>
      <c r="K17" s="113">
        <f>Konvention_1master-GEmaster</f>
        <v>12</v>
      </c>
      <c r="L17" s="113">
        <f>Konvention_1master-KOmaster</f>
        <v>12</v>
      </c>
      <c r="M17" s="119">
        <f>Konvention_1master-KKmaster</f>
        <v>12</v>
      </c>
      <c r="N17" s="222">
        <f>(F17+G17+H17+I17+J17+K17+L17+M17)/3</f>
        <v>12</v>
      </c>
      <c r="O17" s="223">
        <f t="shared" si="9"/>
        <v>24</v>
      </c>
      <c r="P17" s="224">
        <f t="shared" si="10"/>
        <v>36</v>
      </c>
      <c r="Q17" s="237">
        <f>F17*POWER(KLmaster,SIGN(G17))*POWER(INmaster,SIGN(H17))*POWER(CHmaster,SIGN(I17))*POWER(FFmaster,SIGN(J17))*POWER(GEmaster,SIGN(K17))*POWER(KOmaster,SIGN(L17))*POWER(KKmaster,SIGN(M17))+G17*POWER(MUmaster,SIGN(F17))*POWER(INmaster,SIGN(H17))*POWER(CHmaster,SIGN(I17))*POWER(FFmaster,SIGN(J17))*POWER(GEmaster,SIGN(K17))*POWER(KOmaster,SIGN(L17))*POWER(KKmaster,SIGN(M17))+H17*POWER(MUmaster,SIGN(F17))*POWER(KLmaster,SIGN(G17))*POWER(CHmaster,SIGN(I17))*POWER(FFmaster,SIGN(J17))*POWER(GEmaster,SIGN(K17))*POWER(KOmaster,SIGN(L17))*POWER(KKmaster,SIGN(M17))+I17*POWER(MUmaster,SIGN(F17))*POWER(KLmaster,SIGN(G17))*POWER(INmaster,SIGN(H17))*POWER(FFmaster,SIGN(J17))*POWER(GEmaster,SIGN(K17))*POWER(KOmaster,SIGN(L17))*POWER(KKmaster,SIGN(M17))+J17*POWER(MUmaster,SIGN(F17))*POWER(KLmaster,SIGN(G17))*POWER(INmaster,SIGN(H17))*POWER(CHmaster,SIGN(I17))*POWER(GEmaster,SIGN(K17))*POWER(KOmaster,SIGN(L17))*POWER(KKmaster,SIGN(M17))+K17*POWER(MUmaster,SIGN(F17))*POWER(KLmaster,SIGN(G17))*POWER(INmaster,SIGN(H17))*POWER(CHmaster,SIGN(I17))*POWER(FFmaster,SIGN(J17))*POWER(KOmaster,SIGN(L17))*POWER(KKmaster,SIGN(M17))+L17*POWER(MUmaster,SIGN(F17))*POWER(KLmaster,SIGN(G17))*POWER(INmaster,SIGN(H17))*POWER(CHmaster,SIGN(I17))*POWER(FFmaster,SIGN(J17))*POWER(GEmaster,SIGN(K17))*POWER(KKmaster,SIGN(M17))+M17*POWER(MUmaster,SIGN(F17))*POWER(KLmaster,SIGN(G17))*POWER(INmaster,SIGN(H17))*POWER(CHmaster,SIGN(I17))*POWER(FFmaster,SIGN(J17))*POWER(GEmaster,SIGN(K17))*POWER(KOmaster,SIGN(L17))</f>
        <v>2304</v>
      </c>
      <c r="R17" s="113">
        <f>K17*L17*KKmaster+K17*KOmaster*M17+GEmaster*L17*M17</f>
        <v>3456</v>
      </c>
      <c r="S17" s="224">
        <f t="shared" si="11"/>
        <v>1728</v>
      </c>
      <c r="T17" s="242">
        <f t="shared" si="98"/>
        <v>7488</v>
      </c>
      <c r="U17" s="222">
        <f t="shared" si="12"/>
        <v>3.6923076923076925</v>
      </c>
      <c r="V17" s="223">
        <f t="shared" si="13"/>
        <v>11.076923076923077</v>
      </c>
      <c r="W17" s="243">
        <f t="shared" si="14"/>
        <v>8.3076923076923084</v>
      </c>
      <c r="X17" s="218">
        <f t="shared" si="15"/>
        <v>23.07692307692308</v>
      </c>
      <c r="Y17" s="252">
        <v>0</v>
      </c>
      <c r="Z17" s="198">
        <f t="shared" si="16"/>
        <v>23.07692307692308</v>
      </c>
      <c r="AA17" s="125">
        <f t="shared" si="107"/>
        <v>173.5384615384616</v>
      </c>
      <c r="AB17" s="160">
        <f t="shared" si="107"/>
        <v>0</v>
      </c>
      <c r="AC17" s="127">
        <f t="shared" si="0"/>
        <v>173.5384615384616</v>
      </c>
      <c r="AD17" s="125">
        <f t="shared" si="17"/>
        <v>0</v>
      </c>
      <c r="AF17" s="163" t="s">
        <v>15</v>
      </c>
      <c r="AG17" s="127" t="s">
        <v>77</v>
      </c>
      <c r="AH17" s="125" t="s">
        <v>132</v>
      </c>
      <c r="AI17" s="114"/>
      <c r="AJ17" s="113"/>
      <c r="AK17" s="113"/>
      <c r="AL17" s="113"/>
      <c r="AM17" s="113"/>
      <c r="AN17" s="113">
        <f>Konvention_1slave-GEslave</f>
        <v>12</v>
      </c>
      <c r="AO17" s="113">
        <f>Konvention_1slave-KOslave</f>
        <v>12</v>
      </c>
      <c r="AP17" s="119">
        <f>Konvention_1slave-KKslave</f>
        <v>12</v>
      </c>
      <c r="AQ17" s="89">
        <f>(AI17+AJ17+AK17+AL17+AM17+AN17+AO17+AP17)/3</f>
        <v>12</v>
      </c>
      <c r="AR17" s="47">
        <f t="shared" si="18"/>
        <v>24</v>
      </c>
      <c r="AS17" s="119">
        <f t="shared" si="19"/>
        <v>36</v>
      </c>
      <c r="AT17" s="114">
        <f>AI17*POWER(KLslave,SIGN(AJ17))*POWER(INslave,SIGN(AK17))*POWER(CHslave,SIGN(AL17))*POWER(FFslave,SIGN(AM17))*POWER(GEslave,SIGN(AN17))*POWER(KOslave,SIGN(AO17))*POWER(KKslave,SIGN(AP17))+AJ17*POWER(MUslave_MU,SIGN(AI17))*POWER(INslave,SIGN(AK17))*POWER(CHslave,SIGN(AL17))*POWER(FFslave,SIGN(AM17))*POWER(GEslave,SIGN(AN17))*POWER(KOslave,SIGN(AO17))*POWER(KKslave,SIGN(AP17))+AK17*POWER(MUslave_MU,SIGN(AI17))*POWER(KLslave,SIGN(AJ17))*POWER(CHslave,SIGN(AL17))*POWER(FFslave,SIGN(AM17))*POWER(GEslave,SIGN(AN17))*POWER(KOslave,SIGN(AO17))*POWER(KKslave,SIGN(AP17))+AL17*POWER(MUslave_MU,SIGN(AI17))*POWER(KLslave,SIGN(AJ17))*POWER(INslave,SIGN(AK17))*POWER(FFslave,SIGN(AM17))*POWER(GEslave,SIGN(AN17))*POWER(KOslave,SIGN(AO17))*POWER(KKslave,SIGN(AP17))+AM17*POWER(MUslave_MU,SIGN(AI17))*POWER(KLslave,SIGN(AJ17))*POWER(INslave,SIGN(AK17))*POWER(CHslave,SIGN(AL17))*POWER(GEslave,SIGN(AN17))*POWER(KOslave,SIGN(AO17))*POWER(KKslave,SIGN(AP17))+AN17*POWER(MUslave_MU,SIGN(AI17))*POWER(KLslave,SIGN(AJ17))*POWER(INslave,SIGN(AK17))*POWER(CHslave,SIGN(AL17))*POWER(FFslave,SIGN(AM17))*POWER(KOslave,SIGN(AO17))*POWER(KKslave,SIGN(AP17))+AO17*POWER(MUslave_MU,SIGN(AI17))*POWER(KLslave,SIGN(AJ17))*POWER(INslave,SIGN(AK17))*POWER(CHslave,SIGN(AL17))*POWER(FFslave,SIGN(AM17))*POWER(GEslave,SIGN(AN17))*POWER(KKslave,SIGN(AP17))+AP17*POWER(MUslave_MU,SIGN(AI17))*POWER(KLslave,SIGN(AJ17))*POWER(INslave,SIGN(AK17))*POWER(CHslave,SIGN(AL17))*POWER(FFslave,SIGN(AM17))*POWER(GEslave,SIGN(AN17))*POWER(KOslave,SIGN(AO17))</f>
        <v>2304</v>
      </c>
      <c r="AU17" s="113">
        <f>AN17*AO17*KKslave+AN17*KOslave*AP17+GEslave*AO17*AP17</f>
        <v>3456</v>
      </c>
      <c r="AV17" s="119">
        <f t="shared" si="20"/>
        <v>1728</v>
      </c>
      <c r="AW17" s="160">
        <f t="shared" si="99"/>
        <v>7488</v>
      </c>
      <c r="AX17" s="89">
        <f t="shared" si="21"/>
        <v>3.6923076923076925</v>
      </c>
      <c r="AY17" s="47">
        <f t="shared" si="22"/>
        <v>11.076923076923077</v>
      </c>
      <c r="AZ17" s="127">
        <f t="shared" si="23"/>
        <v>8.3076923076923084</v>
      </c>
      <c r="BA17" s="125">
        <f t="shared" si="24"/>
        <v>23.07692307692308</v>
      </c>
      <c r="BB17" s="165">
        <f t="shared" si="25"/>
        <v>0</v>
      </c>
      <c r="BC17" s="198">
        <f t="shared" si="26"/>
        <v>23.07692307692308</v>
      </c>
      <c r="BD17" s="125">
        <f t="shared" si="108"/>
        <v>173.5384615384616</v>
      </c>
      <c r="BE17" s="160">
        <f t="shared" si="108"/>
        <v>0</v>
      </c>
      <c r="BF17" s="243">
        <f t="shared" si="1"/>
        <v>173.5384615384616</v>
      </c>
      <c r="BG17" s="218">
        <f t="shared" si="27"/>
        <v>0</v>
      </c>
      <c r="BI17" s="303" t="s">
        <v>15</v>
      </c>
      <c r="BJ17" s="243" t="s">
        <v>77</v>
      </c>
      <c r="BK17" s="218" t="s">
        <v>132</v>
      </c>
      <c r="BL17" s="237"/>
      <c r="BM17" s="234"/>
      <c r="BN17" s="234"/>
      <c r="BO17" s="234"/>
      <c r="BP17" s="234"/>
      <c r="BQ17" s="234">
        <f>Konvention_1slave-GEslave</f>
        <v>12</v>
      </c>
      <c r="BR17" s="234">
        <f>Konvention_1slave-KOslave</f>
        <v>12</v>
      </c>
      <c r="BS17" s="224">
        <f>Konvention_1slave-KKslave</f>
        <v>12</v>
      </c>
      <c r="BT17" s="222">
        <f>(BL17+BM17+BN17+BO17+BP17+BQ17+BR17+BS17)/3</f>
        <v>12</v>
      </c>
      <c r="BU17" s="223">
        <f t="shared" si="28"/>
        <v>24</v>
      </c>
      <c r="BV17" s="224">
        <f t="shared" si="29"/>
        <v>36</v>
      </c>
      <c r="BW17" s="237">
        <f>BL17*POWER(KLslave_KL,SIGN(BM17))*POWER(INslave,SIGN(BN17))*POWER(CHslave,SIGN(BO17))*POWER(FFslave,SIGN(BP17))*POWER(GEslave,SIGN(BQ17))*POWER(KOslave,SIGN(BR17))*POWER(KKslave,SIGN(BS17))+BM17*POWER(MUslave,SIGN(BL17))*POWER(INslave,SIGN(BN17))*POWER(CHslave,SIGN(BO17))*POWER(FFslave,SIGN(BP17))*POWER(GEslave,SIGN(BQ17))*POWER(KOslave,SIGN(BR17))*POWER(KKslave,SIGN(BS17))+BN17*POWER(MUslave,SIGN(BL17))*POWER(KLslave_KL,SIGN(BM17))*POWER(CHslave,SIGN(BO17))*POWER(FFslave,SIGN(BP17))*POWER(GEslave,SIGN(BQ17))*POWER(KOslave,SIGN(BR17))*POWER(KKslave,SIGN(BS17))+BO17*POWER(MUslave,SIGN(BL17))*POWER(KLslave_KL,SIGN(BM17))*POWER(INslave,SIGN(BN17))*POWER(FFslave,SIGN(BP17))*POWER(GEslave,SIGN(BQ17))*POWER(KOslave,SIGN(BR17))*POWER(KKslave,SIGN(BS17))+BP17*POWER(MUslave,SIGN(BL17))*POWER(KLslave_KL,SIGN(BM17))*POWER(INslave,SIGN(BN17))*POWER(CHslave,SIGN(BO17))*POWER(GEslave,SIGN(BQ17))*POWER(KOslave,SIGN(BR17))*POWER(KKslave,SIGN(BS17))+BQ17*POWER(MUslave,SIGN(BL17))*POWER(KLslave_KL,SIGN(BM17))*POWER(INslave,SIGN(BN17))*POWER(CHslave,SIGN(BO17))*POWER(FFslave,SIGN(BP17))*POWER(KOslave,SIGN(BR17))*POWER(KKslave,SIGN(BS17))+BR17*POWER(MUslave,SIGN(BL17))*POWER(KLslave_KL,SIGN(BM17))*POWER(INslave,SIGN(BN17))*POWER(CHslave,SIGN(BO17))*POWER(FFslave,SIGN(BP17))*POWER(GEslave,SIGN(BQ17))*POWER(KKslave,SIGN(BS17))+BS17*POWER(MUslave,SIGN(BL17))*POWER(KLslave_KL,SIGN(BM17))*POWER(INslave,SIGN(BN17))*POWER(CHslave,SIGN(BO17))*POWER(FFslave,SIGN(BP17))*POWER(GEslave,SIGN(BQ17))*POWER(KOslave,SIGN(BR17))</f>
        <v>2304</v>
      </c>
      <c r="BX17" s="234">
        <f>BQ17*BR17*KKslave+BQ17*KOslave*BS17+GEslave*BR17*BS17</f>
        <v>3456</v>
      </c>
      <c r="BY17" s="224">
        <f t="shared" si="30"/>
        <v>1728</v>
      </c>
      <c r="BZ17" s="242">
        <f t="shared" si="100"/>
        <v>7488</v>
      </c>
      <c r="CA17" s="222">
        <f t="shared" si="31"/>
        <v>3.6923076923076925</v>
      </c>
      <c r="CB17" s="223">
        <f t="shared" si="32"/>
        <v>11.076923076923077</v>
      </c>
      <c r="CC17" s="243">
        <f t="shared" si="33"/>
        <v>8.3076923076923084</v>
      </c>
      <c r="CD17" s="218">
        <f t="shared" si="34"/>
        <v>23.07692307692308</v>
      </c>
      <c r="CE17" s="252">
        <f t="shared" si="35"/>
        <v>0</v>
      </c>
      <c r="CF17" s="309">
        <f t="shared" si="36"/>
        <v>23.07692307692308</v>
      </c>
      <c r="CG17" s="218">
        <f t="shared" si="109"/>
        <v>173.5384615384616</v>
      </c>
      <c r="CH17" s="242">
        <f t="shared" si="109"/>
        <v>0</v>
      </c>
      <c r="CI17" s="243">
        <f t="shared" si="2"/>
        <v>173.5384615384616</v>
      </c>
      <c r="CJ17" s="218">
        <f t="shared" si="37"/>
        <v>0</v>
      </c>
      <c r="CL17" s="303" t="s">
        <v>15</v>
      </c>
      <c r="CM17" s="243" t="s">
        <v>77</v>
      </c>
      <c r="CN17" s="218" t="s">
        <v>132</v>
      </c>
      <c r="CO17" s="237"/>
      <c r="CP17" s="234"/>
      <c r="CQ17" s="234"/>
      <c r="CR17" s="234"/>
      <c r="CS17" s="234"/>
      <c r="CT17" s="234">
        <f>Konvention_1slave-GEslave</f>
        <v>12</v>
      </c>
      <c r="CU17" s="234">
        <f>Konvention_1slave-KOslave</f>
        <v>12</v>
      </c>
      <c r="CV17" s="224">
        <f>Konvention_1slave-KKslave</f>
        <v>12</v>
      </c>
      <c r="CW17" s="222">
        <f>(CO17+CP17+CQ17+CR17+CS17+CT17+CU17+CV17)/3</f>
        <v>12</v>
      </c>
      <c r="CX17" s="223">
        <f t="shared" si="38"/>
        <v>24</v>
      </c>
      <c r="CY17" s="224">
        <f t="shared" si="39"/>
        <v>36</v>
      </c>
      <c r="CZ17" s="237">
        <f>CO17*POWER(KLslave,SIGN(CP17))*POWER(INslave_IN,SIGN(CQ17))*POWER(CHslave,SIGN(CR17))*POWER(FFslave,SIGN(CS17))*POWER(GEslave,SIGN(CT17))*POWER(KOslave,SIGN(CU17))*POWER(KKslave,SIGN(CV17))+CP17*POWER(MUslave,SIGN(CO17))*POWER(INslave_IN,SIGN(CQ17))*POWER(CHslave,SIGN(CR17))*POWER(FFslave,SIGN(CS17))*POWER(GEslave,SIGN(CT17))*POWER(KOslave,SIGN(CU17))*POWER(KKslave,SIGN(CV17))+CQ17*POWER(MUslave,SIGN(CO17))*POWER(KLslave,SIGN(CP17))*POWER(CHslave,SIGN(CR17))*POWER(FFslave,SIGN(CS17))*POWER(GEslave,SIGN(CT17))*POWER(KOslave,SIGN(CU17))*POWER(KKslave,SIGN(CV17))+CR17*POWER(MUslave,SIGN(CO17))*POWER(KLslave,SIGN(CP17))*POWER(INslave_IN,SIGN(CQ17))*POWER(FFslave,SIGN(CS17))*POWER(GEslave,SIGN(CT17))*POWER(KOslave,SIGN(CU17))*POWER(KKslave,SIGN(CV17))+CS17*POWER(MUslave,SIGN(CO17))*POWER(KLslave,SIGN(CP17))*POWER(INslave_IN,SIGN(CQ17))*POWER(CHslave,SIGN(CR17))*POWER(GEslave,SIGN(CT17))*POWER(KOslave,SIGN(CU17))*POWER(KKslave,SIGN(CV17))+CT17*POWER(MUslave,SIGN(CO17))*POWER(KLslave,SIGN(CP17))*POWER(INslave_IN,SIGN(CQ17))*POWER(CHslave,SIGN(CR17))*POWER(FFslave,SIGN(CS17))*POWER(KOslave,SIGN(CU17))*POWER(KKslave,SIGN(CV17))+CU17*POWER(MUslave,SIGN(CO17))*POWER(KLslave,SIGN(CP17))*POWER(INslave_IN,SIGN(CQ17))*POWER(CHslave,SIGN(CR17))*POWER(FFslave,SIGN(CS17))*POWER(GEslave,SIGN(CT17))*POWER(KKslave,SIGN(CV17))+CV17*POWER(MUslave,SIGN(CO17))*POWER(KLslave,SIGN(CP17))*POWER(INslave_IN,SIGN(CQ17))*POWER(CHslave,SIGN(CR17))*POWER(FFslave,SIGN(CS17))*POWER(GEslave,SIGN(CT17))*POWER(KOslave,SIGN(CU17))</f>
        <v>2304</v>
      </c>
      <c r="DA17" s="234">
        <f>CT17*CU17*KKslave+CT17*KOslave*CV17+GEslave*CU17*CV17</f>
        <v>3456</v>
      </c>
      <c r="DB17" s="224">
        <f t="shared" si="40"/>
        <v>1728</v>
      </c>
      <c r="DC17" s="242">
        <f t="shared" si="101"/>
        <v>7488</v>
      </c>
      <c r="DD17" s="222">
        <f t="shared" si="41"/>
        <v>3.6923076923076925</v>
      </c>
      <c r="DE17" s="223">
        <f t="shared" si="42"/>
        <v>11.076923076923077</v>
      </c>
      <c r="DF17" s="243">
        <f t="shared" si="43"/>
        <v>8.3076923076923084</v>
      </c>
      <c r="DG17" s="218">
        <f t="shared" si="44"/>
        <v>23.07692307692308</v>
      </c>
      <c r="DH17" s="252">
        <f t="shared" si="45"/>
        <v>0</v>
      </c>
      <c r="DI17" s="309">
        <f t="shared" si="46"/>
        <v>23.07692307692308</v>
      </c>
      <c r="DJ17" s="218">
        <f t="shared" si="110"/>
        <v>173.5384615384616</v>
      </c>
      <c r="DK17" s="242">
        <f t="shared" si="110"/>
        <v>0</v>
      </c>
      <c r="DL17" s="243">
        <f t="shared" si="3"/>
        <v>173.5384615384616</v>
      </c>
      <c r="DM17" s="218">
        <f t="shared" si="47"/>
        <v>0</v>
      </c>
      <c r="DO17" s="303" t="s">
        <v>15</v>
      </c>
      <c r="DP17" s="243" t="s">
        <v>77</v>
      </c>
      <c r="DQ17" s="218" t="s">
        <v>132</v>
      </c>
      <c r="DR17" s="237"/>
      <c r="DS17" s="234"/>
      <c r="DT17" s="234"/>
      <c r="DU17" s="234"/>
      <c r="DV17" s="234"/>
      <c r="DW17" s="234">
        <f>Konvention_1slave-GEslave</f>
        <v>12</v>
      </c>
      <c r="DX17" s="234">
        <f>Konvention_1slave-KOslave</f>
        <v>12</v>
      </c>
      <c r="DY17" s="224">
        <f>Konvention_1slave-KKslave</f>
        <v>12</v>
      </c>
      <c r="DZ17" s="222">
        <f>(DR17+DS17+DT17+DU17+DV17+DW17+DX17+DY17)/3</f>
        <v>12</v>
      </c>
      <c r="EA17" s="223">
        <f t="shared" si="48"/>
        <v>24</v>
      </c>
      <c r="EB17" s="224">
        <f t="shared" si="49"/>
        <v>36</v>
      </c>
      <c r="EC17" s="237">
        <f>DR17*POWER(KLslave,SIGN(DS17))*POWER(INslave,SIGN(DT17))*POWER(CHslave_CH,SIGN(DU17))*POWER(FFslave,SIGN(DV17))*POWER(GEslave,SIGN(DW17))*POWER(KOslave,SIGN(DX17))*POWER(KKslave,SIGN(DY17))+DS17*POWER(MUslave,SIGN(DR17))*POWER(INslave,SIGN(DT17))*POWER(CHslave_CH,SIGN(DU17))*POWER(FFslave,SIGN(DV17))*POWER(GEslave,SIGN(DW17))*POWER(KOslave,SIGN(DX17))*POWER(KKslave,SIGN(DY17))+DT17*POWER(MUslave,SIGN(DR17))*POWER(KLslave,SIGN(DS17))*POWER(CHslave_CH,SIGN(DU17))*POWER(FFslave,SIGN(DV17))*POWER(GEslave,SIGN(DW17))*POWER(KOslave,SIGN(DX17))*POWER(KKslave,SIGN(DY17))+DU17*POWER(MUslave,SIGN(DR17))*POWER(KLslave,SIGN(DS17))*POWER(INslave,SIGN(DT17))*POWER(FFslave,SIGN(DV17))*POWER(GEslave,SIGN(DW17))*POWER(KOslave,SIGN(DX17))*POWER(KKslave,SIGN(DY17))+DV17*POWER(MUslave,SIGN(DR17))*POWER(KLslave,SIGN(DS17))*POWER(INslave,SIGN(DT17))*POWER(CHslave_CH,SIGN(DU17))*POWER(GEslave,SIGN(DW17))*POWER(KOslave,SIGN(DX17))*POWER(KKslave,SIGN(DY17))+DW17*POWER(MUslave,SIGN(DR17))*POWER(KLslave,SIGN(DS17))*POWER(INslave,SIGN(DT17))*POWER(CHslave_CH,SIGN(DU17))*POWER(FFslave,SIGN(DV17))*POWER(KOslave,SIGN(DX17))*POWER(KKslave,SIGN(DY17))+DX17*POWER(MUslave,SIGN(DR17))*POWER(KLslave,SIGN(DS17))*POWER(INslave,SIGN(DT17))*POWER(CHslave_CH,SIGN(DU17))*POWER(FFslave,SIGN(DV17))*POWER(GEslave,SIGN(DW17))*POWER(KKslave,SIGN(DY17))+DY17*POWER(MUslave,SIGN(DR17))*POWER(KLslave,SIGN(DS17))*POWER(INslave,SIGN(DT17))*POWER(CHslave_CH,SIGN(DU17))*POWER(FFslave,SIGN(DV17))*POWER(GEslave,SIGN(DW17))*POWER(KOslave,SIGN(DX17))</f>
        <v>2304</v>
      </c>
      <c r="ED17" s="234">
        <f>DW17*DX17*KKslave+DW17*KOslave*DY17+GEslave*DX17*DY17</f>
        <v>3456</v>
      </c>
      <c r="EE17" s="224">
        <f t="shared" si="50"/>
        <v>1728</v>
      </c>
      <c r="EF17" s="242">
        <f t="shared" si="102"/>
        <v>7488</v>
      </c>
      <c r="EG17" s="222">
        <f t="shared" si="51"/>
        <v>3.6923076923076925</v>
      </c>
      <c r="EH17" s="223">
        <f t="shared" si="52"/>
        <v>11.076923076923077</v>
      </c>
      <c r="EI17" s="243">
        <f t="shared" si="53"/>
        <v>8.3076923076923084</v>
      </c>
      <c r="EJ17" s="218">
        <f t="shared" si="54"/>
        <v>23.07692307692308</v>
      </c>
      <c r="EK17" s="252">
        <f t="shared" si="55"/>
        <v>0</v>
      </c>
      <c r="EL17" s="309">
        <f t="shared" si="56"/>
        <v>23.07692307692308</v>
      </c>
      <c r="EM17" s="218">
        <f t="shared" si="111"/>
        <v>173.5384615384616</v>
      </c>
      <c r="EN17" s="242">
        <f t="shared" si="111"/>
        <v>0</v>
      </c>
      <c r="EO17" s="243">
        <f t="shared" si="4"/>
        <v>173.5384615384616</v>
      </c>
      <c r="EP17" s="218">
        <f t="shared" si="57"/>
        <v>0</v>
      </c>
      <c r="ER17" s="303" t="s">
        <v>15</v>
      </c>
      <c r="ES17" s="243" t="s">
        <v>77</v>
      </c>
      <c r="ET17" s="218" t="s">
        <v>132</v>
      </c>
      <c r="EU17" s="237"/>
      <c r="EV17" s="234"/>
      <c r="EW17" s="234"/>
      <c r="EX17" s="234"/>
      <c r="EY17" s="234"/>
      <c r="EZ17" s="234">
        <f>Konvention_1slave-GEslave</f>
        <v>12</v>
      </c>
      <c r="FA17" s="234">
        <f>Konvention_1slave-KOslave</f>
        <v>12</v>
      </c>
      <c r="FB17" s="224">
        <f>Konvention_1slave-KKslave</f>
        <v>12</v>
      </c>
      <c r="FC17" s="222">
        <f>(EU17+EV17+EW17+EX17+EY17+EZ17+FA17+FB17)/3</f>
        <v>12</v>
      </c>
      <c r="FD17" s="223">
        <f t="shared" si="58"/>
        <v>24</v>
      </c>
      <c r="FE17" s="224">
        <f t="shared" si="59"/>
        <v>36</v>
      </c>
      <c r="FF17" s="237">
        <f>EU17*POWER(KLslave,SIGN(EV17))*POWER(INslave,SIGN(EW17))*POWER(CHslave,SIGN(EX17))*POWER(FFslave_FF,SIGN(EY17))*POWER(GEslave,SIGN(EZ17))*POWER(KOslave,SIGN(FA17))*POWER(KKslave,SIGN(FB17))+EV17*POWER(MUslave,SIGN(EU17))*POWER(INslave,SIGN(EW17))*POWER(CHslave,SIGN(EX17))*POWER(FFslave_FF,SIGN(EY17))*POWER(GEslave,SIGN(EZ17))*POWER(KOslave,SIGN(FA17))*POWER(KKslave,SIGN(FB17))+EW17*POWER(MUslave,SIGN(EU17))*POWER(KLslave,SIGN(EV17))*POWER(CHslave,SIGN(EX17))*POWER(FFslave_FF,SIGN(EY17))*POWER(GEslave,SIGN(EZ17))*POWER(KOslave,SIGN(FA17))*POWER(KKslave,SIGN(FB17))+EX17*POWER(MUslave,SIGN(EU17))*POWER(KLslave,SIGN(EV17))*POWER(INslave,SIGN(EW17))*POWER(FFslave_FF,SIGN(EY17))*POWER(GEslave,SIGN(EZ17))*POWER(KOslave,SIGN(FA17))*POWER(KKslave,SIGN(FB17))+EY17*POWER(MUslave,SIGN(EU17))*POWER(KLslave,SIGN(EV17))*POWER(INslave,SIGN(EW17))*POWER(CHslave,SIGN(EX17))*POWER(GEslave,SIGN(EZ17))*POWER(KOslave,SIGN(FA17))*POWER(KKslave,SIGN(FB17))+EZ17*POWER(MUslave,SIGN(EU17))*POWER(KLslave,SIGN(EV17))*POWER(INslave,SIGN(EW17))*POWER(CHslave,SIGN(EX17))*POWER(FFslave_FF,SIGN(EY17))*POWER(KOslave,SIGN(FA17))*POWER(KKslave,SIGN(FB17))+FA17*POWER(MUslave,SIGN(EU17))*POWER(KLslave,SIGN(EV17))*POWER(INslave,SIGN(EW17))*POWER(CHslave,SIGN(EX17))*POWER(FFslave_FF,SIGN(EY17))*POWER(GEslave,SIGN(EZ17))*POWER(KKslave,SIGN(FB17))+FB17*POWER(MUslave,SIGN(EU17))*POWER(KLslave,SIGN(EV17))*POWER(INslave,SIGN(EW17))*POWER(CHslave,SIGN(EX17))*POWER(FFslave_FF,SIGN(EY17))*POWER(GEslave,SIGN(EZ17))*POWER(KOslave,SIGN(FA17))</f>
        <v>2304</v>
      </c>
      <c r="FG17" s="234">
        <f>EZ17*FA17*KKslave+EZ17*KOslave*FB17+GEslave*FA17*FB17</f>
        <v>3456</v>
      </c>
      <c r="FH17" s="224">
        <f t="shared" si="60"/>
        <v>1728</v>
      </c>
      <c r="FI17" s="242">
        <f t="shared" si="103"/>
        <v>7488</v>
      </c>
      <c r="FJ17" s="222">
        <f t="shared" si="61"/>
        <v>3.6923076923076925</v>
      </c>
      <c r="FK17" s="223">
        <f t="shared" si="62"/>
        <v>11.076923076923077</v>
      </c>
      <c r="FL17" s="243">
        <f t="shared" si="63"/>
        <v>8.3076923076923084</v>
      </c>
      <c r="FM17" s="218">
        <f t="shared" si="64"/>
        <v>23.07692307692308</v>
      </c>
      <c r="FN17" s="252">
        <f t="shared" si="65"/>
        <v>0</v>
      </c>
      <c r="FO17" s="309">
        <f t="shared" si="66"/>
        <v>23.07692307692308</v>
      </c>
      <c r="FP17" s="218">
        <f t="shared" si="112"/>
        <v>173.5384615384616</v>
      </c>
      <c r="FQ17" s="242">
        <f t="shared" si="112"/>
        <v>0</v>
      </c>
      <c r="FR17" s="243">
        <f t="shared" si="5"/>
        <v>173.5384615384616</v>
      </c>
      <c r="FS17" s="218">
        <f t="shared" si="67"/>
        <v>0</v>
      </c>
      <c r="FU17" s="303" t="s">
        <v>15</v>
      </c>
      <c r="FV17" s="243" t="s">
        <v>77</v>
      </c>
      <c r="FW17" s="218" t="s">
        <v>132</v>
      </c>
      <c r="FX17" s="237"/>
      <c r="FY17" s="234"/>
      <c r="FZ17" s="234"/>
      <c r="GA17" s="234"/>
      <c r="GB17" s="234"/>
      <c r="GC17" s="234">
        <f>Konvention_1slave-GEslave_GE</f>
        <v>11</v>
      </c>
      <c r="GD17" s="234">
        <f>Konvention_1slave-KOslave</f>
        <v>12</v>
      </c>
      <c r="GE17" s="224">
        <f>Konvention_1slave-KKslave</f>
        <v>12</v>
      </c>
      <c r="GF17" s="222">
        <f>(FX17+FY17+FZ17+GA17+GB17+GC17+GD17+GE17)/3</f>
        <v>11.666666666666666</v>
      </c>
      <c r="GG17" s="223">
        <f t="shared" si="68"/>
        <v>23.333333333333332</v>
      </c>
      <c r="GH17" s="224">
        <f t="shared" si="69"/>
        <v>35</v>
      </c>
      <c r="GI17" s="237">
        <f>FX17*POWER(KLslave,SIGN(FY17))*POWER(INslave,SIGN(FZ17))*POWER(CHslave,SIGN(GA17))*POWER(FFslave,SIGN(GB17))*POWER(GEslave_GE,SIGN(GC17))*POWER(KOslave,SIGN(GD17))*POWER(KKslave,SIGN(GE17))+FY17*POWER(MUslave,SIGN(FX17))*POWER(INslave,SIGN(FZ17))*POWER(CHslave,SIGN(GA17))*POWER(FFslave,SIGN(GB17))*POWER(GEslave_GE,SIGN(GC17))*POWER(KOslave,SIGN(GD17))*POWER(KKslave,SIGN(GE17))+FZ17*POWER(MUslave,SIGN(FX17))*POWER(KLslave,SIGN(FY17))*POWER(CHslave,SIGN(GA17))*POWER(FFslave,SIGN(GB17))*POWER(GEslave_GE,SIGN(GC17))*POWER(KOslave,SIGN(GD17))*POWER(KKslave,SIGN(GE17))+GA17*POWER(MUslave,SIGN(FX17))*POWER(KLslave,SIGN(FY17))*POWER(INslave,SIGN(FZ17))*POWER(FFslave,SIGN(GB17))*POWER(GEslave_GE,SIGN(GC17))*POWER(KOslave,SIGN(GD17))*POWER(KKslave,SIGN(GE17))+GB17*POWER(MUslave,SIGN(FX17))*POWER(KLslave,SIGN(FY17))*POWER(INslave,SIGN(FZ17))*POWER(CHslave,SIGN(GA17))*POWER(GEslave_GE,SIGN(GC17))*POWER(KOslave,SIGN(GD17))*POWER(KKslave,SIGN(GE17))+GC17*POWER(MUslave,SIGN(FX17))*POWER(KLslave,SIGN(FY17))*POWER(INslave,SIGN(FZ17))*POWER(CHslave,SIGN(GA17))*POWER(FFslave,SIGN(GB17))*POWER(KOslave,SIGN(GD17))*POWER(KKslave,SIGN(GE17))+GD17*POWER(MUslave,SIGN(FX17))*POWER(KLslave,SIGN(FY17))*POWER(INslave,SIGN(FZ17))*POWER(CHslave,SIGN(GA17))*POWER(FFslave,SIGN(GB17))*POWER(GEslave_GE,SIGN(GC17))*POWER(KKslave,SIGN(GE17))+GE17*POWER(MUslave,SIGN(FX17))*POWER(KLslave,SIGN(FY17))*POWER(INslave,SIGN(FZ17))*POWER(CHslave,SIGN(GA17))*POWER(FFslave,SIGN(GB17))*POWER(GEslave_GE,SIGN(GC17))*POWER(KOslave,SIGN(GD17))</f>
        <v>2432</v>
      </c>
      <c r="GJ17" s="234">
        <f>GC17*GD17*KKslave+GC17*KOslave*GE17+GEslave_GE*GD17*GE17</f>
        <v>3408</v>
      </c>
      <c r="GK17" s="224">
        <f t="shared" si="70"/>
        <v>1584</v>
      </c>
      <c r="GL17" s="242">
        <f t="shared" si="104"/>
        <v>7424</v>
      </c>
      <c r="GM17" s="222">
        <f t="shared" si="71"/>
        <v>3.8218390804597702</v>
      </c>
      <c r="GN17" s="223">
        <f t="shared" si="72"/>
        <v>10.711206896551724</v>
      </c>
      <c r="GO17" s="243">
        <f t="shared" si="73"/>
        <v>7.4676724137931032</v>
      </c>
      <c r="GP17" s="218">
        <f t="shared" si="74"/>
        <v>22.000718390804597</v>
      </c>
      <c r="GQ17" s="252">
        <f t="shared" si="75"/>
        <v>0</v>
      </c>
      <c r="GR17" s="309">
        <f t="shared" si="76"/>
        <v>22.000718390804597</v>
      </c>
      <c r="GS17" s="218">
        <f t="shared" si="113"/>
        <v>152.01436781609189</v>
      </c>
      <c r="GT17" s="242">
        <f t="shared" si="113"/>
        <v>0</v>
      </c>
      <c r="GU17" s="243">
        <f t="shared" si="6"/>
        <v>152.01436781609189</v>
      </c>
      <c r="GV17" s="218">
        <f t="shared" si="77"/>
        <v>0</v>
      </c>
      <c r="GX17" s="303" t="s">
        <v>15</v>
      </c>
      <c r="GY17" s="243" t="s">
        <v>77</v>
      </c>
      <c r="GZ17" s="218" t="s">
        <v>132</v>
      </c>
      <c r="HA17" s="237"/>
      <c r="HB17" s="234"/>
      <c r="HC17" s="234"/>
      <c r="HD17" s="234"/>
      <c r="HE17" s="234"/>
      <c r="HF17" s="234">
        <f>Konvention_1slave-GEslave</f>
        <v>12</v>
      </c>
      <c r="HG17" s="234">
        <f>Konvention_1slave-KOslave_KO</f>
        <v>11</v>
      </c>
      <c r="HH17" s="224">
        <f>Konvention_1slave-KKslave</f>
        <v>12</v>
      </c>
      <c r="HI17" s="222">
        <f>(HA17+HB17+HC17+HD17+HE17+HF17+HG17+HH17)/3</f>
        <v>11.666666666666666</v>
      </c>
      <c r="HJ17" s="223">
        <f t="shared" si="78"/>
        <v>23.333333333333332</v>
      </c>
      <c r="HK17" s="224">
        <f t="shared" si="79"/>
        <v>35</v>
      </c>
      <c r="HL17" s="237">
        <f>HA17*POWER(KLslave,SIGN(HB17))*POWER(INslave,SIGN(HC17))*POWER(CHslave,SIGN(HD17))*POWER(FFslave,SIGN(HE17))*POWER(GEslave,SIGN(HF17))*POWER(KOslave_KO,SIGN(HG17))*POWER(KKslave,SIGN(HH17))+HB17*POWER(MUslave,SIGN(HA17))*POWER(INslave,SIGN(HC17))*POWER(CHslave,SIGN(HD17))*POWER(FFslave,SIGN(HE17))*POWER(GEslave,SIGN(HF17))*POWER(KOslave_KO,SIGN(HG17))*POWER(KKslave,SIGN(HH17))+HC17*POWER(MUslave,SIGN(HA17))*POWER(KLslave,SIGN(HB17))*POWER(CHslave,SIGN(HD17))*POWER(FFslave,SIGN(HE17))*POWER(GEslave,SIGN(HF17))*POWER(KOslave_KO,SIGN(HG17))*POWER(KKslave,SIGN(HH17))+HD17*POWER(MUslave,SIGN(HA17))*POWER(KLslave,SIGN(HB17))*POWER(INslave,SIGN(HC17))*POWER(FFslave,SIGN(HE17))*POWER(GEslave,SIGN(HF17))*POWER(KOslave_KO,SIGN(HG17))*POWER(KKslave,SIGN(HH17))+HE17*POWER(MUslave,SIGN(HA17))*POWER(KLslave,SIGN(HB17))*POWER(INslave,SIGN(HC17))*POWER(CHslave,SIGN(HD17))*POWER(GEslave,SIGN(HF17))*POWER(KOslave_KO,SIGN(HG17))*POWER(KKslave,SIGN(HH17))+HF17*POWER(MUslave,SIGN(HA17))*POWER(KLslave,SIGN(HB17))*POWER(INslave,SIGN(HC17))*POWER(CHslave,SIGN(HD17))*POWER(FFslave,SIGN(HE17))*POWER(KOslave_KO,SIGN(HG17))*POWER(KKslave,SIGN(HH17))+HG17*POWER(MUslave,SIGN(HA17))*POWER(KLslave,SIGN(HB17))*POWER(INslave,SIGN(HC17))*POWER(CHslave,SIGN(HD17))*POWER(FFslave,SIGN(HE17))*POWER(GEslave,SIGN(HF17))*POWER(KKslave,SIGN(HH17))+HH17*POWER(MUslave,SIGN(HA17))*POWER(KLslave,SIGN(HB17))*POWER(INslave,SIGN(HC17))*POWER(CHslave,SIGN(HD17))*POWER(FFslave,SIGN(HE17))*POWER(GEslave,SIGN(HF17))*POWER(KOslave_KO,SIGN(HG17))</f>
        <v>2432</v>
      </c>
      <c r="HM17" s="234">
        <f>HF17*HG17*KKslave+HF17*KOslave_KO*HH17+GEslave*HG17*HH17</f>
        <v>3408</v>
      </c>
      <c r="HN17" s="224">
        <f t="shared" si="80"/>
        <v>1584</v>
      </c>
      <c r="HO17" s="242">
        <f t="shared" si="105"/>
        <v>7424</v>
      </c>
      <c r="HP17" s="222">
        <f t="shared" si="81"/>
        <v>3.8218390804597702</v>
      </c>
      <c r="HQ17" s="223">
        <f t="shared" si="82"/>
        <v>10.711206896551724</v>
      </c>
      <c r="HR17" s="243">
        <f t="shared" si="83"/>
        <v>7.4676724137931032</v>
      </c>
      <c r="HS17" s="218">
        <f t="shared" si="84"/>
        <v>22.000718390804597</v>
      </c>
      <c r="HT17" s="252">
        <f t="shared" si="85"/>
        <v>0</v>
      </c>
      <c r="HU17" s="309">
        <f t="shared" si="86"/>
        <v>22.000718390804597</v>
      </c>
      <c r="HV17" s="218">
        <f t="shared" si="114"/>
        <v>152.01436781609189</v>
      </c>
      <c r="HW17" s="242">
        <f t="shared" si="114"/>
        <v>0</v>
      </c>
      <c r="HX17" s="243">
        <f t="shared" si="7"/>
        <v>152.01436781609189</v>
      </c>
      <c r="HY17" s="218">
        <f t="shared" si="87"/>
        <v>0</v>
      </c>
      <c r="IA17" s="303" t="s">
        <v>15</v>
      </c>
      <c r="IB17" s="243" t="s">
        <v>77</v>
      </c>
      <c r="IC17" s="218" t="s">
        <v>132</v>
      </c>
      <c r="ID17" s="237"/>
      <c r="IE17" s="234"/>
      <c r="IF17" s="234"/>
      <c r="IG17" s="234"/>
      <c r="IH17" s="234"/>
      <c r="II17" s="234">
        <f>Konvention_1slave-GEslave</f>
        <v>12</v>
      </c>
      <c r="IJ17" s="234">
        <f>Konvention_1slave-KOslave</f>
        <v>12</v>
      </c>
      <c r="IK17" s="224">
        <f>Konvention_1slave-KKslave_KK</f>
        <v>11</v>
      </c>
      <c r="IL17" s="222">
        <f>(ID17+IE17+IF17+IG17+IH17+II17+IJ17+IK17)/3</f>
        <v>11.666666666666666</v>
      </c>
      <c r="IM17" s="223">
        <f t="shared" si="88"/>
        <v>23.333333333333332</v>
      </c>
      <c r="IN17" s="224">
        <f t="shared" si="89"/>
        <v>35</v>
      </c>
      <c r="IO17" s="237">
        <f>ID17*POWER(KLslave,SIGN(IE17))*POWER(INslave,SIGN(IF17))*POWER(CHslave,SIGN(IG17))*POWER(FFslave,SIGN(IH17))*POWER(GEslave,SIGN(II17))*POWER(KOslave,SIGN(IJ17))*POWER(KKslave_KK,SIGN(IK17))+IE17*POWER(MUslave,SIGN(ID17))*POWER(INslave,SIGN(IF17))*POWER(CHslave,SIGN(IG17))*POWER(FFslave,SIGN(IH17))*POWER(GEslave,SIGN(II17))*POWER(KOslave,SIGN(IJ17))*POWER(KKslave_KK,SIGN(IK17))+IF17*POWER(MUslave,SIGN(ID17))*POWER(KLslave,SIGN(IE17))*POWER(CHslave,SIGN(IG17))*POWER(FFslave,SIGN(IH17))*POWER(GEslave,SIGN(II17))*POWER(KOslave,SIGN(IJ17))*POWER(KKslave_KK,SIGN(IK17))+IG17*POWER(MUslave,SIGN(ID17))*POWER(KLslave,SIGN(IE17))*POWER(INslave,SIGN(IF17))*POWER(FFslave,SIGN(IH17))*POWER(GEslave,SIGN(II17))*POWER(KOslave,SIGN(IJ17))*POWER(KKslave_KK,SIGN(IK17))+IH17*POWER(MUslave,SIGN(ID17))*POWER(KLslave,SIGN(IE17))*POWER(INslave,SIGN(IF17))*POWER(CHslave,SIGN(IG17))*POWER(GEslave,SIGN(II17))*POWER(KOslave,SIGN(IJ17))*POWER(KKslave_KK,SIGN(IK17))+II17*POWER(MUslave,SIGN(ID17))*POWER(KLslave,SIGN(IE17))*POWER(INslave,SIGN(IF17))*POWER(CHslave,SIGN(IG17))*POWER(FFslave,SIGN(IH17))*POWER(KOslave,SIGN(IJ17))*POWER(KKslave_KK,SIGN(IK17))+IJ17*POWER(MUslave,SIGN(ID17))*POWER(KLslave,SIGN(IE17))*POWER(INslave,SIGN(IF17))*POWER(CHslave,SIGN(IG17))*POWER(FFslave,SIGN(IH17))*POWER(GEslave,SIGN(II17))*POWER(KKslave_KK,SIGN(IK17))+IK17*POWER(MUslave,SIGN(ID17))*POWER(KLslave,SIGN(IE17))*POWER(INslave,SIGN(IF17))*POWER(CHslave,SIGN(IG17))*POWER(FFslave,SIGN(IH17))*POWER(GEslave,SIGN(II17))*POWER(KOslave,SIGN(IJ17))</f>
        <v>2432</v>
      </c>
      <c r="IP17" s="234">
        <f>II17*IJ17*KKslave_KK+II17*KOslave*IK17+GEslave*IJ17*IK17</f>
        <v>3408</v>
      </c>
      <c r="IQ17" s="224">
        <f t="shared" si="90"/>
        <v>1584</v>
      </c>
      <c r="IR17" s="242">
        <f t="shared" si="106"/>
        <v>7424</v>
      </c>
      <c r="IS17" s="222">
        <f t="shared" si="91"/>
        <v>3.8218390804597702</v>
      </c>
      <c r="IT17" s="223">
        <f t="shared" si="92"/>
        <v>10.711206896551724</v>
      </c>
      <c r="IU17" s="243">
        <f t="shared" si="93"/>
        <v>7.4676724137931032</v>
      </c>
      <c r="IV17" s="218">
        <f t="shared" si="94"/>
        <v>22.000718390804597</v>
      </c>
      <c r="IW17" s="252">
        <f t="shared" si="95"/>
        <v>0</v>
      </c>
      <c r="IX17" s="309">
        <f t="shared" si="96"/>
        <v>22.000718390804597</v>
      </c>
      <c r="IY17" s="218">
        <f t="shared" si="115"/>
        <v>152.01436781609189</v>
      </c>
      <c r="IZ17" s="242">
        <f t="shared" si="115"/>
        <v>0</v>
      </c>
      <c r="JA17" s="243">
        <f t="shared" si="8"/>
        <v>152.01436781609189</v>
      </c>
      <c r="JB17" s="218">
        <f t="shared" si="97"/>
        <v>0</v>
      </c>
      <c r="JE17" s="148"/>
    </row>
    <row r="18" spans="2:265" hidden="1" outlineLevel="2">
      <c r="B18" s="148">
        <v>8</v>
      </c>
      <c r="C18" s="303" t="e">
        <f>VLOOKUP(AF18,Attribute!C:T,1,FALSE)</f>
        <v>#N/A</v>
      </c>
      <c r="D18" s="127" t="s">
        <v>78</v>
      </c>
      <c r="E18" s="125" t="s">
        <v>134</v>
      </c>
      <c r="F18" s="114">
        <f>Konvention_1master-MUmaster</f>
        <v>12</v>
      </c>
      <c r="G18" s="113"/>
      <c r="H18" s="113"/>
      <c r="I18" s="113"/>
      <c r="J18" s="113"/>
      <c r="K18" s="113"/>
      <c r="L18" s="113">
        <f>Konvention_1master-KOmaster</f>
        <v>12</v>
      </c>
      <c r="M18" s="119"/>
      <c r="N18" s="222">
        <f>(F18+F18+L18)/3</f>
        <v>12</v>
      </c>
      <c r="O18" s="223">
        <f t="shared" si="9"/>
        <v>24</v>
      </c>
      <c r="P18" s="224">
        <f t="shared" si="10"/>
        <v>36</v>
      </c>
      <c r="Q18" s="237">
        <f>F18*POWER(KOmaster,SIGN(L18))*POWER(MUmaster,SIGN(F18))+F18*POWER(KOmaster,SIGN(L18))*POWER(MUmaster,SIGN(F18))+L18*POWER(MUmaster,SIGN(F18))*POWER(MUmaster,SIGN(F18))</f>
        <v>2304</v>
      </c>
      <c r="R18" s="113">
        <f>F18*F18*KOmaster+F18*MUmaster*L18+MUmaster*F18*L18</f>
        <v>3456</v>
      </c>
      <c r="S18" s="224">
        <f>F18*F18*L18</f>
        <v>1728</v>
      </c>
      <c r="T18" s="242">
        <f t="shared" si="98"/>
        <v>7488</v>
      </c>
      <c r="U18" s="222">
        <f t="shared" si="12"/>
        <v>3.6923076923076925</v>
      </c>
      <c r="V18" s="223">
        <f t="shared" si="13"/>
        <v>11.076923076923077</v>
      </c>
      <c r="W18" s="243">
        <f t="shared" si="14"/>
        <v>8.3076923076923084</v>
      </c>
      <c r="X18" s="218">
        <f t="shared" si="15"/>
        <v>23.07692307692308</v>
      </c>
      <c r="Y18" s="252">
        <v>0</v>
      </c>
      <c r="Z18" s="198">
        <f t="shared" si="16"/>
        <v>23.07692307692308</v>
      </c>
      <c r="AA18" s="125">
        <f>IF(X18&gt;0,X18,0)*4+IF(X18&gt;12,X18-12,0)*4+IF(X18&gt;13,X18-13,0)*4+IF(X18&gt;14,X18-14,0)*4+IF(X18&gt;15,X18-15,0)*4+IF(X18&gt;16,X18-16,0)*4+IF(X18&gt;17,X18-17,0)*4+IF(X18&gt;18,X18-18,0)*4+IF(X18&gt;19,X18-19,0)*4+IF(X18&gt;20,X18-20,0)*4</f>
        <v>347.07692307692321</v>
      </c>
      <c r="AB18" s="160">
        <f>IF(Y18&gt;0,Y18,0)*4+IF(Y18&gt;12,Y18-12,0)*4+IF(Y18&gt;13,Y18-13,0)*4+IF(Y18&gt;14,Y18-14,0)*4+IF(Y18&gt;15,Y18-15,0)*4+IF(Y18&gt;16,Y18-16,0)*4+IF(Y18&gt;17,Y18-17,0)*4+IF(Y18&gt;18,Y18-18,0)*4+IF(Y18&gt;19,Y18-19,0)*4+IF(Y18&gt;20,Y18-20,0)*4</f>
        <v>0</v>
      </c>
      <c r="AC18" s="127">
        <f t="shared" si="0"/>
        <v>347.07692307692321</v>
      </c>
      <c r="AD18" s="125">
        <f t="shared" si="17"/>
        <v>0</v>
      </c>
      <c r="AF18" s="163" t="s">
        <v>16</v>
      </c>
      <c r="AG18" s="127" t="s">
        <v>78</v>
      </c>
      <c r="AH18" s="125" t="s">
        <v>134</v>
      </c>
      <c r="AI18" s="114">
        <f>Konvention_1slave-MUslave_MU</f>
        <v>11</v>
      </c>
      <c r="AJ18" s="113"/>
      <c r="AK18" s="113"/>
      <c r="AL18" s="113"/>
      <c r="AM18" s="113"/>
      <c r="AN18" s="113"/>
      <c r="AO18" s="113">
        <f>Konvention_1slave-KOslave</f>
        <v>12</v>
      </c>
      <c r="AP18" s="119"/>
      <c r="AQ18" s="89">
        <f>(AI18+AI18+AO18)/3</f>
        <v>11.333333333333334</v>
      </c>
      <c r="AR18" s="47">
        <f t="shared" si="18"/>
        <v>22.666666666666668</v>
      </c>
      <c r="AS18" s="119">
        <f t="shared" si="19"/>
        <v>34</v>
      </c>
      <c r="AT18" s="114">
        <f>AI18*POWER(KOslave,SIGN(AO18))*POWER(MUslave_MU,SIGN(AI18))+AI18*POWER(KOslave,SIGN(AO18))*POWER(MUslave_MU,SIGN(AI18))+AO18*POWER(MUslave_MU,SIGN(AI18))*POWER(MUslave_MU,SIGN(AI18))</f>
        <v>2556</v>
      </c>
      <c r="AU18" s="113">
        <f>AI18*AI18*KOslave+AI18*MUslave_MU*AO18+MUslave_MU*AI18*AO18</f>
        <v>3344</v>
      </c>
      <c r="AV18" s="119">
        <f>AI18*AI18*AO18</f>
        <v>1452</v>
      </c>
      <c r="AW18" s="160">
        <f t="shared" si="99"/>
        <v>7352</v>
      </c>
      <c r="AX18" s="89">
        <f t="shared" si="21"/>
        <v>3.940152339499456</v>
      </c>
      <c r="AY18" s="47">
        <f t="shared" si="22"/>
        <v>10.309756982227059</v>
      </c>
      <c r="AZ18" s="127">
        <f t="shared" si="23"/>
        <v>6.714907508161045</v>
      </c>
      <c r="BA18" s="125">
        <f t="shared" si="24"/>
        <v>20.96481682988756</v>
      </c>
      <c r="BB18" s="165">
        <f t="shared" si="25"/>
        <v>0</v>
      </c>
      <c r="BC18" s="198">
        <f t="shared" si="26"/>
        <v>20.96481682988756</v>
      </c>
      <c r="BD18" s="125">
        <f>IF(BA18&gt;0,BA18,0)*4+IF(BA18&gt;12,BA18-12,0)*4+IF(BA18&gt;13,BA18-13,0)*4+IF(BA18&gt;14,BA18-14,0)*4+IF(BA18&gt;15,BA18-15,0)*4+IF(BA18&gt;16,BA18-16,0)*4+IF(BA18&gt;17,BA18-17,0)*4+IF(BA18&gt;18,BA18-18,0)*4+IF(BA18&gt;19,BA18-19,0)*4+IF(BA18&gt;20,BA18-20,0)*4</f>
        <v>262.59267319550236</v>
      </c>
      <c r="BE18" s="160">
        <f>IF(BB18&gt;0,BB18,0)*4+IF(BB18&gt;12,BB18-12,0)*4+IF(BB18&gt;13,BB18-13,0)*4+IF(BB18&gt;14,BB18-14,0)*4+IF(BB18&gt;15,BB18-15,0)*4+IF(BB18&gt;16,BB18-16,0)*4+IF(BB18&gt;17,BB18-17,0)*4+IF(BB18&gt;18,BB18-18,0)*4+IF(BB18&gt;19,BB18-19,0)*4+IF(BB18&gt;20,BB18-20,0)*4</f>
        <v>0</v>
      </c>
      <c r="BF18" s="243">
        <f t="shared" si="1"/>
        <v>262.59267319550236</v>
      </c>
      <c r="BG18" s="218">
        <f t="shared" si="27"/>
        <v>0</v>
      </c>
      <c r="BI18" s="303" t="s">
        <v>16</v>
      </c>
      <c r="BJ18" s="243" t="s">
        <v>78</v>
      </c>
      <c r="BK18" s="218" t="s">
        <v>134</v>
      </c>
      <c r="BL18" s="237">
        <f>Konvention_1slave-MUslave</f>
        <v>12</v>
      </c>
      <c r="BM18" s="234"/>
      <c r="BN18" s="234"/>
      <c r="BO18" s="234"/>
      <c r="BP18" s="234"/>
      <c r="BQ18" s="234"/>
      <c r="BR18" s="234">
        <f>Konvention_1slave-KOslave</f>
        <v>12</v>
      </c>
      <c r="BS18" s="224"/>
      <c r="BT18" s="222">
        <f>(BL18+BL18+BR18)/3</f>
        <v>12</v>
      </c>
      <c r="BU18" s="223">
        <f t="shared" si="28"/>
        <v>24</v>
      </c>
      <c r="BV18" s="224">
        <f t="shared" si="29"/>
        <v>36</v>
      </c>
      <c r="BW18" s="237">
        <f>BL18*POWER(KOslave,SIGN(BR18))*POWER(MUslave,SIGN(BL18))+BL18*POWER(KOslave,SIGN(BR18))*POWER(MUslave,SIGN(BL18))+BR18*POWER(MUslave,SIGN(BL18))*POWER(MUslave,SIGN(BL18))</f>
        <v>2304</v>
      </c>
      <c r="BX18" s="234">
        <f>BL18*BL18*KOslave+BL18*MUslave*BR18+MUslave*BL18*BR18</f>
        <v>3456</v>
      </c>
      <c r="BY18" s="224">
        <f>BL18*BL18*BR18</f>
        <v>1728</v>
      </c>
      <c r="BZ18" s="242">
        <f t="shared" si="100"/>
        <v>7488</v>
      </c>
      <c r="CA18" s="222">
        <f t="shared" si="31"/>
        <v>3.6923076923076925</v>
      </c>
      <c r="CB18" s="223">
        <f t="shared" si="32"/>
        <v>11.076923076923077</v>
      </c>
      <c r="CC18" s="243">
        <f t="shared" si="33"/>
        <v>8.3076923076923084</v>
      </c>
      <c r="CD18" s="218">
        <f t="shared" si="34"/>
        <v>23.07692307692308</v>
      </c>
      <c r="CE18" s="252">
        <f t="shared" si="35"/>
        <v>0</v>
      </c>
      <c r="CF18" s="309">
        <f t="shared" si="36"/>
        <v>23.07692307692308</v>
      </c>
      <c r="CG18" s="218">
        <f>IF(CD18&gt;0,CD18,0)*4+IF(CD18&gt;12,CD18-12,0)*4+IF(CD18&gt;13,CD18-13,0)*4+IF(CD18&gt;14,CD18-14,0)*4+IF(CD18&gt;15,CD18-15,0)*4+IF(CD18&gt;16,CD18-16,0)*4+IF(CD18&gt;17,CD18-17,0)*4+IF(CD18&gt;18,CD18-18,0)*4+IF(CD18&gt;19,CD18-19,0)*4+IF(CD18&gt;20,CD18-20,0)*4</f>
        <v>347.07692307692321</v>
      </c>
      <c r="CH18" s="242">
        <f>IF(CE18&gt;0,CE18,0)*4+IF(CE18&gt;12,CE18-12,0)*4+IF(CE18&gt;13,CE18-13,0)*4+IF(CE18&gt;14,CE18-14,0)*4+IF(CE18&gt;15,CE18-15,0)*4+IF(CE18&gt;16,CE18-16,0)*4+IF(CE18&gt;17,CE18-17,0)*4+IF(CE18&gt;18,CE18-18,0)*4+IF(CE18&gt;19,CE18-19,0)*4+IF(CE18&gt;20,CE18-20,0)*4</f>
        <v>0</v>
      </c>
      <c r="CI18" s="243">
        <f t="shared" si="2"/>
        <v>347.07692307692321</v>
      </c>
      <c r="CJ18" s="218">
        <f t="shared" si="37"/>
        <v>0</v>
      </c>
      <c r="CL18" s="303" t="s">
        <v>16</v>
      </c>
      <c r="CM18" s="243" t="s">
        <v>78</v>
      </c>
      <c r="CN18" s="218" t="s">
        <v>134</v>
      </c>
      <c r="CO18" s="237">
        <f>Konvention_1slave-MUslave</f>
        <v>12</v>
      </c>
      <c r="CP18" s="234"/>
      <c r="CQ18" s="234"/>
      <c r="CR18" s="234"/>
      <c r="CS18" s="234"/>
      <c r="CT18" s="234"/>
      <c r="CU18" s="234">
        <f>Konvention_1slave-KOslave</f>
        <v>12</v>
      </c>
      <c r="CV18" s="224"/>
      <c r="CW18" s="222">
        <f>(CO18+CO18+CU18)/3</f>
        <v>12</v>
      </c>
      <c r="CX18" s="223">
        <f t="shared" si="38"/>
        <v>24</v>
      </c>
      <c r="CY18" s="224">
        <f t="shared" si="39"/>
        <v>36</v>
      </c>
      <c r="CZ18" s="237">
        <f>CO18*POWER(KOslave,SIGN(CU18))*POWER(MUslave,SIGN(CO18))+CO18*POWER(KOslave,SIGN(CU18))*POWER(MUslave,SIGN(CO18))+CU18*POWER(MUslave,SIGN(CO18))*POWER(MUslave,SIGN(CO18))</f>
        <v>2304</v>
      </c>
      <c r="DA18" s="234">
        <f>CO18*CO18*KOslave+CO18*MUslave*CU18+MUslave*CO18*CU18</f>
        <v>3456</v>
      </c>
      <c r="DB18" s="224">
        <f>CO18*CO18*CU18</f>
        <v>1728</v>
      </c>
      <c r="DC18" s="242">
        <f t="shared" si="101"/>
        <v>7488</v>
      </c>
      <c r="DD18" s="222">
        <f t="shared" si="41"/>
        <v>3.6923076923076925</v>
      </c>
      <c r="DE18" s="223">
        <f t="shared" si="42"/>
        <v>11.076923076923077</v>
      </c>
      <c r="DF18" s="243">
        <f t="shared" si="43"/>
        <v>8.3076923076923084</v>
      </c>
      <c r="DG18" s="218">
        <f t="shared" si="44"/>
        <v>23.07692307692308</v>
      </c>
      <c r="DH18" s="252">
        <f t="shared" si="45"/>
        <v>0</v>
      </c>
      <c r="DI18" s="309">
        <f t="shared" si="46"/>
        <v>23.07692307692308</v>
      </c>
      <c r="DJ18" s="218">
        <f>IF(DG18&gt;0,DG18,0)*4+IF(DG18&gt;12,DG18-12,0)*4+IF(DG18&gt;13,DG18-13,0)*4+IF(DG18&gt;14,DG18-14,0)*4+IF(DG18&gt;15,DG18-15,0)*4+IF(DG18&gt;16,DG18-16,0)*4+IF(DG18&gt;17,DG18-17,0)*4+IF(DG18&gt;18,DG18-18,0)*4+IF(DG18&gt;19,DG18-19,0)*4+IF(DG18&gt;20,DG18-20,0)*4</f>
        <v>347.07692307692321</v>
      </c>
      <c r="DK18" s="242">
        <f>IF(DH18&gt;0,DH18,0)*4+IF(DH18&gt;12,DH18-12,0)*4+IF(DH18&gt;13,DH18-13,0)*4+IF(DH18&gt;14,DH18-14,0)*4+IF(DH18&gt;15,DH18-15,0)*4+IF(DH18&gt;16,DH18-16,0)*4+IF(DH18&gt;17,DH18-17,0)*4+IF(DH18&gt;18,DH18-18,0)*4+IF(DH18&gt;19,DH18-19,0)*4+IF(DH18&gt;20,DH18-20,0)*4</f>
        <v>0</v>
      </c>
      <c r="DL18" s="243">
        <f t="shared" si="3"/>
        <v>347.07692307692321</v>
      </c>
      <c r="DM18" s="218">
        <f t="shared" si="47"/>
        <v>0</v>
      </c>
      <c r="DO18" s="303" t="s">
        <v>16</v>
      </c>
      <c r="DP18" s="243" t="s">
        <v>78</v>
      </c>
      <c r="DQ18" s="218" t="s">
        <v>134</v>
      </c>
      <c r="DR18" s="237">
        <f>Konvention_1slave-MUslave</f>
        <v>12</v>
      </c>
      <c r="DS18" s="234"/>
      <c r="DT18" s="234"/>
      <c r="DU18" s="234"/>
      <c r="DV18" s="234"/>
      <c r="DW18" s="234"/>
      <c r="DX18" s="234">
        <f>Konvention_1slave-KOslave</f>
        <v>12</v>
      </c>
      <c r="DY18" s="224"/>
      <c r="DZ18" s="222">
        <f>(DR18+DR18+DX18)/3</f>
        <v>12</v>
      </c>
      <c r="EA18" s="223">
        <f t="shared" si="48"/>
        <v>24</v>
      </c>
      <c r="EB18" s="224">
        <f t="shared" si="49"/>
        <v>36</v>
      </c>
      <c r="EC18" s="237">
        <f>DR18*POWER(KOslave,SIGN(DX18))*POWER(MUslave,SIGN(DR18))+DR18*POWER(KOslave,SIGN(DX18))*POWER(MUslave,SIGN(DR18))+DX18*POWER(MUslave,SIGN(DR18))*POWER(MUslave,SIGN(DR18))</f>
        <v>2304</v>
      </c>
      <c r="ED18" s="234">
        <f>DR18*DR18*KOslave+DR18*MUslave*DX18+MUslave*DR18*DX18</f>
        <v>3456</v>
      </c>
      <c r="EE18" s="224">
        <f>DR18*DR18*DX18</f>
        <v>1728</v>
      </c>
      <c r="EF18" s="242">
        <f t="shared" si="102"/>
        <v>7488</v>
      </c>
      <c r="EG18" s="222">
        <f t="shared" si="51"/>
        <v>3.6923076923076925</v>
      </c>
      <c r="EH18" s="223">
        <f t="shared" si="52"/>
        <v>11.076923076923077</v>
      </c>
      <c r="EI18" s="243">
        <f t="shared" si="53"/>
        <v>8.3076923076923084</v>
      </c>
      <c r="EJ18" s="218">
        <f t="shared" si="54"/>
        <v>23.07692307692308</v>
      </c>
      <c r="EK18" s="252">
        <f t="shared" si="55"/>
        <v>0</v>
      </c>
      <c r="EL18" s="309">
        <f t="shared" si="56"/>
        <v>23.07692307692308</v>
      </c>
      <c r="EM18" s="218">
        <f>IF(EJ18&gt;0,EJ18,0)*4+IF(EJ18&gt;12,EJ18-12,0)*4+IF(EJ18&gt;13,EJ18-13,0)*4+IF(EJ18&gt;14,EJ18-14,0)*4+IF(EJ18&gt;15,EJ18-15,0)*4+IF(EJ18&gt;16,EJ18-16,0)*4+IF(EJ18&gt;17,EJ18-17,0)*4+IF(EJ18&gt;18,EJ18-18,0)*4+IF(EJ18&gt;19,EJ18-19,0)*4+IF(EJ18&gt;20,EJ18-20,0)*4</f>
        <v>347.07692307692321</v>
      </c>
      <c r="EN18" s="242">
        <f>IF(EK18&gt;0,EK18,0)*4+IF(EK18&gt;12,EK18-12,0)*4+IF(EK18&gt;13,EK18-13,0)*4+IF(EK18&gt;14,EK18-14,0)*4+IF(EK18&gt;15,EK18-15,0)*4+IF(EK18&gt;16,EK18-16,0)*4+IF(EK18&gt;17,EK18-17,0)*4+IF(EK18&gt;18,EK18-18,0)*4+IF(EK18&gt;19,EK18-19,0)*4+IF(EK18&gt;20,EK18-20,0)*4</f>
        <v>0</v>
      </c>
      <c r="EO18" s="243">
        <f t="shared" si="4"/>
        <v>347.07692307692321</v>
      </c>
      <c r="EP18" s="218">
        <f t="shared" si="57"/>
        <v>0</v>
      </c>
      <c r="ER18" s="303" t="s">
        <v>16</v>
      </c>
      <c r="ES18" s="243" t="s">
        <v>78</v>
      </c>
      <c r="ET18" s="218" t="s">
        <v>134</v>
      </c>
      <c r="EU18" s="237">
        <f>Konvention_1slave-MUslave</f>
        <v>12</v>
      </c>
      <c r="EV18" s="234"/>
      <c r="EW18" s="234"/>
      <c r="EX18" s="234"/>
      <c r="EY18" s="234"/>
      <c r="EZ18" s="234"/>
      <c r="FA18" s="234">
        <f>Konvention_1slave-KOslave</f>
        <v>12</v>
      </c>
      <c r="FB18" s="224"/>
      <c r="FC18" s="222">
        <f>(EU18+EU18+FA18)/3</f>
        <v>12</v>
      </c>
      <c r="FD18" s="223">
        <f t="shared" si="58"/>
        <v>24</v>
      </c>
      <c r="FE18" s="224">
        <f t="shared" si="59"/>
        <v>36</v>
      </c>
      <c r="FF18" s="237">
        <f>EU18*POWER(KOslave,SIGN(FA18))*POWER(MUslave,SIGN(EU18))+EU18*POWER(KOslave,SIGN(FA18))*POWER(MUslave,SIGN(EU18))+FA18*POWER(MUslave,SIGN(EU18))*POWER(MUslave,SIGN(EU18))</f>
        <v>2304</v>
      </c>
      <c r="FG18" s="234">
        <f>EU18*EU18*KOslave+EU18*MUslave*FA18+MUslave*EU18*FA18</f>
        <v>3456</v>
      </c>
      <c r="FH18" s="224">
        <f>EU18*EU18*FA18</f>
        <v>1728</v>
      </c>
      <c r="FI18" s="242">
        <f t="shared" si="103"/>
        <v>7488</v>
      </c>
      <c r="FJ18" s="222">
        <f t="shared" si="61"/>
        <v>3.6923076923076925</v>
      </c>
      <c r="FK18" s="223">
        <f t="shared" si="62"/>
        <v>11.076923076923077</v>
      </c>
      <c r="FL18" s="243">
        <f t="shared" si="63"/>
        <v>8.3076923076923084</v>
      </c>
      <c r="FM18" s="218">
        <f t="shared" si="64"/>
        <v>23.07692307692308</v>
      </c>
      <c r="FN18" s="252">
        <f t="shared" si="65"/>
        <v>0</v>
      </c>
      <c r="FO18" s="309">
        <f t="shared" si="66"/>
        <v>23.07692307692308</v>
      </c>
      <c r="FP18" s="218">
        <f>IF(FM18&gt;0,FM18,0)*4+IF(FM18&gt;12,FM18-12,0)*4+IF(FM18&gt;13,FM18-13,0)*4+IF(FM18&gt;14,FM18-14,0)*4+IF(FM18&gt;15,FM18-15,0)*4+IF(FM18&gt;16,FM18-16,0)*4+IF(FM18&gt;17,FM18-17,0)*4+IF(FM18&gt;18,FM18-18,0)*4+IF(FM18&gt;19,FM18-19,0)*4+IF(FM18&gt;20,FM18-20,0)*4</f>
        <v>347.07692307692321</v>
      </c>
      <c r="FQ18" s="242">
        <f>IF(FN18&gt;0,FN18,0)*4+IF(FN18&gt;12,FN18-12,0)*4+IF(FN18&gt;13,FN18-13,0)*4+IF(FN18&gt;14,FN18-14,0)*4+IF(FN18&gt;15,FN18-15,0)*4+IF(FN18&gt;16,FN18-16,0)*4+IF(FN18&gt;17,FN18-17,0)*4+IF(FN18&gt;18,FN18-18,0)*4+IF(FN18&gt;19,FN18-19,0)*4+IF(FN18&gt;20,FN18-20,0)*4</f>
        <v>0</v>
      </c>
      <c r="FR18" s="243">
        <f t="shared" si="5"/>
        <v>347.07692307692321</v>
      </c>
      <c r="FS18" s="218">
        <f t="shared" si="67"/>
        <v>0</v>
      </c>
      <c r="FU18" s="303" t="s">
        <v>16</v>
      </c>
      <c r="FV18" s="243" t="s">
        <v>78</v>
      </c>
      <c r="FW18" s="218" t="s">
        <v>134</v>
      </c>
      <c r="FX18" s="237">
        <f>Konvention_1slave-MUslave</f>
        <v>12</v>
      </c>
      <c r="FY18" s="234"/>
      <c r="FZ18" s="234"/>
      <c r="GA18" s="234"/>
      <c r="GB18" s="234"/>
      <c r="GC18" s="234"/>
      <c r="GD18" s="234">
        <f>Konvention_1slave-KOslave</f>
        <v>12</v>
      </c>
      <c r="GE18" s="224"/>
      <c r="GF18" s="222">
        <f>(FX18+FX18+GD18)/3</f>
        <v>12</v>
      </c>
      <c r="GG18" s="223">
        <f t="shared" si="68"/>
        <v>24</v>
      </c>
      <c r="GH18" s="224">
        <f t="shared" si="69"/>
        <v>36</v>
      </c>
      <c r="GI18" s="237">
        <f>FX18*POWER(KOslave,SIGN(GD18))*POWER(MUslave,SIGN(FX18))+FX18*POWER(KOslave,SIGN(GD18))*POWER(MUslave,SIGN(FX18))+GD18*POWER(MUslave,SIGN(FX18))*POWER(MUslave,SIGN(FX18))</f>
        <v>2304</v>
      </c>
      <c r="GJ18" s="234">
        <f>FX18*FX18*KOslave+FX18*MUslave*GD18+MUslave*FX18*GD18</f>
        <v>3456</v>
      </c>
      <c r="GK18" s="224">
        <f>FX18*FX18*GD18</f>
        <v>1728</v>
      </c>
      <c r="GL18" s="242">
        <f t="shared" si="104"/>
        <v>7488</v>
      </c>
      <c r="GM18" s="222">
        <f t="shared" si="71"/>
        <v>3.6923076923076925</v>
      </c>
      <c r="GN18" s="223">
        <f t="shared" si="72"/>
        <v>11.076923076923077</v>
      </c>
      <c r="GO18" s="243">
        <f t="shared" si="73"/>
        <v>8.3076923076923084</v>
      </c>
      <c r="GP18" s="218">
        <f t="shared" si="74"/>
        <v>23.07692307692308</v>
      </c>
      <c r="GQ18" s="252">
        <f t="shared" si="75"/>
        <v>0</v>
      </c>
      <c r="GR18" s="309">
        <f t="shared" si="76"/>
        <v>23.07692307692308</v>
      </c>
      <c r="GS18" s="218">
        <f>IF(GP18&gt;0,GP18,0)*4+IF(GP18&gt;12,GP18-12,0)*4+IF(GP18&gt;13,GP18-13,0)*4+IF(GP18&gt;14,GP18-14,0)*4+IF(GP18&gt;15,GP18-15,0)*4+IF(GP18&gt;16,GP18-16,0)*4+IF(GP18&gt;17,GP18-17,0)*4+IF(GP18&gt;18,GP18-18,0)*4+IF(GP18&gt;19,GP18-19,0)*4+IF(GP18&gt;20,GP18-20,0)*4</f>
        <v>347.07692307692321</v>
      </c>
      <c r="GT18" s="242">
        <f>IF(GQ18&gt;0,GQ18,0)*4+IF(GQ18&gt;12,GQ18-12,0)*4+IF(GQ18&gt;13,GQ18-13,0)*4+IF(GQ18&gt;14,GQ18-14,0)*4+IF(GQ18&gt;15,GQ18-15,0)*4+IF(GQ18&gt;16,GQ18-16,0)*4+IF(GQ18&gt;17,GQ18-17,0)*4+IF(GQ18&gt;18,GQ18-18,0)*4+IF(GQ18&gt;19,GQ18-19,0)*4+IF(GQ18&gt;20,GQ18-20,0)*4</f>
        <v>0</v>
      </c>
      <c r="GU18" s="243">
        <f t="shared" si="6"/>
        <v>347.07692307692321</v>
      </c>
      <c r="GV18" s="218">
        <f t="shared" si="77"/>
        <v>0</v>
      </c>
      <c r="GX18" s="303" t="s">
        <v>16</v>
      </c>
      <c r="GY18" s="243" t="s">
        <v>78</v>
      </c>
      <c r="GZ18" s="218" t="s">
        <v>134</v>
      </c>
      <c r="HA18" s="237">
        <f>Konvention_1slave-MUslave</f>
        <v>12</v>
      </c>
      <c r="HB18" s="234"/>
      <c r="HC18" s="234"/>
      <c r="HD18" s="234"/>
      <c r="HE18" s="234"/>
      <c r="HF18" s="234"/>
      <c r="HG18" s="234">
        <f>Konvention_1slave-KOslave_KO</f>
        <v>11</v>
      </c>
      <c r="HH18" s="224"/>
      <c r="HI18" s="222">
        <f>(HA18+HA18+HG18)/3</f>
        <v>11.666666666666666</v>
      </c>
      <c r="HJ18" s="223">
        <f t="shared" si="78"/>
        <v>23.333333333333332</v>
      </c>
      <c r="HK18" s="224">
        <f t="shared" si="79"/>
        <v>35</v>
      </c>
      <c r="HL18" s="237">
        <f>HA18*POWER(KOslave_KO,SIGN(HG18))*POWER(MUslave,SIGN(HA18))+HA18*POWER(KOslave_KO,SIGN(HG18))*POWER(MUslave,SIGN(HA18))+HG18*POWER(MUslave,SIGN(HA18))*POWER(MUslave,SIGN(HA18))</f>
        <v>2432</v>
      </c>
      <c r="HM18" s="234">
        <f>HA18*HA18*KOslave_KO+HA18*MUslave*HG18+MUslave*HA18*HG18</f>
        <v>3408</v>
      </c>
      <c r="HN18" s="224">
        <f>HA18*HA18*HG18</f>
        <v>1584</v>
      </c>
      <c r="HO18" s="242">
        <f t="shared" si="105"/>
        <v>7424</v>
      </c>
      <c r="HP18" s="222">
        <f t="shared" si="81"/>
        <v>3.8218390804597702</v>
      </c>
      <c r="HQ18" s="223">
        <f t="shared" si="82"/>
        <v>10.711206896551724</v>
      </c>
      <c r="HR18" s="243">
        <f t="shared" si="83"/>
        <v>7.4676724137931032</v>
      </c>
      <c r="HS18" s="218">
        <f t="shared" si="84"/>
        <v>22.000718390804597</v>
      </c>
      <c r="HT18" s="252">
        <f t="shared" si="85"/>
        <v>0</v>
      </c>
      <c r="HU18" s="309">
        <f t="shared" si="86"/>
        <v>22.000718390804597</v>
      </c>
      <c r="HV18" s="218">
        <f>IF(HS18&gt;0,HS18,0)*4+IF(HS18&gt;12,HS18-12,0)*4+IF(HS18&gt;13,HS18-13,0)*4+IF(HS18&gt;14,HS18-14,0)*4+IF(HS18&gt;15,HS18-15,0)*4+IF(HS18&gt;16,HS18-16,0)*4+IF(HS18&gt;17,HS18-17,0)*4+IF(HS18&gt;18,HS18-18,0)*4+IF(HS18&gt;19,HS18-19,0)*4+IF(HS18&gt;20,HS18-20,0)*4</f>
        <v>304.02873563218378</v>
      </c>
      <c r="HW18" s="242">
        <f>IF(HT18&gt;0,HT18,0)*4+IF(HT18&gt;12,HT18-12,0)*4+IF(HT18&gt;13,HT18-13,0)*4+IF(HT18&gt;14,HT18-14,0)*4+IF(HT18&gt;15,HT18-15,0)*4+IF(HT18&gt;16,HT18-16,0)*4+IF(HT18&gt;17,HT18-17,0)*4+IF(HT18&gt;18,HT18-18,0)*4+IF(HT18&gt;19,HT18-19,0)*4+IF(HT18&gt;20,HT18-20,0)*4</f>
        <v>0</v>
      </c>
      <c r="HX18" s="243">
        <f t="shared" si="7"/>
        <v>304.02873563218378</v>
      </c>
      <c r="HY18" s="218">
        <f t="shared" si="87"/>
        <v>0</v>
      </c>
      <c r="IA18" s="303" t="s">
        <v>16</v>
      </c>
      <c r="IB18" s="243" t="s">
        <v>78</v>
      </c>
      <c r="IC18" s="218" t="s">
        <v>134</v>
      </c>
      <c r="ID18" s="237">
        <f>Konvention_1slave-MUslave</f>
        <v>12</v>
      </c>
      <c r="IE18" s="234"/>
      <c r="IF18" s="234"/>
      <c r="IG18" s="234"/>
      <c r="IH18" s="234"/>
      <c r="II18" s="234"/>
      <c r="IJ18" s="234">
        <f>Konvention_1slave-KOslave</f>
        <v>12</v>
      </c>
      <c r="IK18" s="224"/>
      <c r="IL18" s="222">
        <f>(ID18+ID18+IJ18)/3</f>
        <v>12</v>
      </c>
      <c r="IM18" s="223">
        <f t="shared" si="88"/>
        <v>24</v>
      </c>
      <c r="IN18" s="224">
        <f t="shared" si="89"/>
        <v>36</v>
      </c>
      <c r="IO18" s="237">
        <f>ID18*POWER(KOslave,SIGN(IJ18))*POWER(MUslave,SIGN(ID18))+ID18*POWER(KOslave,SIGN(IJ18))*POWER(MUslave,SIGN(ID18))+IJ18*POWER(MUslave,SIGN(ID18))*POWER(MUslave,SIGN(ID18))</f>
        <v>2304</v>
      </c>
      <c r="IP18" s="234">
        <f>ID18*ID18*KOslave+ID18*MUslave*IJ18+MUslave*ID18*IJ18</f>
        <v>3456</v>
      </c>
      <c r="IQ18" s="224">
        <f>ID18*ID18*IJ18</f>
        <v>1728</v>
      </c>
      <c r="IR18" s="242">
        <f t="shared" si="106"/>
        <v>7488</v>
      </c>
      <c r="IS18" s="222">
        <f t="shared" si="91"/>
        <v>3.6923076923076925</v>
      </c>
      <c r="IT18" s="223">
        <f t="shared" si="92"/>
        <v>11.076923076923077</v>
      </c>
      <c r="IU18" s="243">
        <f t="shared" si="93"/>
        <v>8.3076923076923084</v>
      </c>
      <c r="IV18" s="218">
        <f t="shared" si="94"/>
        <v>23.07692307692308</v>
      </c>
      <c r="IW18" s="252">
        <f t="shared" si="95"/>
        <v>0</v>
      </c>
      <c r="IX18" s="309">
        <f t="shared" si="96"/>
        <v>23.07692307692308</v>
      </c>
      <c r="IY18" s="218">
        <f>IF(IV18&gt;0,IV18,0)*4+IF(IV18&gt;12,IV18-12,0)*4+IF(IV18&gt;13,IV18-13,0)*4+IF(IV18&gt;14,IV18-14,0)*4+IF(IV18&gt;15,IV18-15,0)*4+IF(IV18&gt;16,IV18-16,0)*4+IF(IV18&gt;17,IV18-17,0)*4+IF(IV18&gt;18,IV18-18,0)*4+IF(IV18&gt;19,IV18-19,0)*4+IF(IV18&gt;20,IV18-20,0)*4</f>
        <v>347.07692307692321</v>
      </c>
      <c r="IZ18" s="242">
        <f>IF(IW18&gt;0,IW18,0)*4+IF(IW18&gt;12,IW18-12,0)*4+IF(IW18&gt;13,IW18-13,0)*4+IF(IW18&gt;14,IW18-14,0)*4+IF(IW18&gt;15,IW18-15,0)*4+IF(IW18&gt;16,IW18-16,0)*4+IF(IW18&gt;17,IW18-17,0)*4+IF(IW18&gt;18,IW18-18,0)*4+IF(IW18&gt;19,IW18-19,0)*4+IF(IW18&gt;20,IW18-20,0)*4</f>
        <v>0</v>
      </c>
      <c r="JA18" s="243">
        <f t="shared" si="8"/>
        <v>347.07692307692321</v>
      </c>
      <c r="JB18" s="218">
        <f t="shared" si="97"/>
        <v>0</v>
      </c>
      <c r="JE18" s="148"/>
    </row>
    <row r="19" spans="2:265" hidden="1" outlineLevel="2">
      <c r="B19" s="148">
        <v>9</v>
      </c>
      <c r="C19" s="303" t="e">
        <f>VLOOKUP(AF19,Attribute!C:T,1,FALSE)</f>
        <v>#N/A</v>
      </c>
      <c r="D19" s="127" t="s">
        <v>79</v>
      </c>
      <c r="E19" s="125" t="s">
        <v>133</v>
      </c>
      <c r="F19" s="114"/>
      <c r="G19" s="113">
        <f>Konvention_1master-KLmaster</f>
        <v>12</v>
      </c>
      <c r="H19" s="113"/>
      <c r="I19" s="113">
        <f>Konvention_1master-CHmaster</f>
        <v>12</v>
      </c>
      <c r="J19" s="113"/>
      <c r="K19" s="113"/>
      <c r="L19" s="113">
        <f>Konvention_1master-KOmaster</f>
        <v>12</v>
      </c>
      <c r="M19" s="119"/>
      <c r="N19" s="222">
        <f>(F19+G19+H19+I19+J19+K19+L19+M19)/3</f>
        <v>12</v>
      </c>
      <c r="O19" s="223">
        <f t="shared" si="9"/>
        <v>24</v>
      </c>
      <c r="P19" s="224">
        <f t="shared" si="10"/>
        <v>36</v>
      </c>
      <c r="Q19" s="237">
        <f>F19*POWER(KLmaster,SIGN(G19))*POWER(INmaster,SIGN(H19))*POWER(CHmaster,SIGN(I19))*POWER(FFmaster,SIGN(J19))*POWER(GEmaster,SIGN(K19))*POWER(KOmaster,SIGN(L19))*POWER(KKmaster,SIGN(M19))+G19*POWER(MUmaster,SIGN(F19))*POWER(INmaster,SIGN(H19))*POWER(CHmaster,SIGN(I19))*POWER(FFmaster,SIGN(J19))*POWER(GEmaster,SIGN(K19))*POWER(KOmaster,SIGN(L19))*POWER(KKmaster,SIGN(M19))+H19*POWER(MUmaster,SIGN(F19))*POWER(KLmaster,SIGN(G19))*POWER(CHmaster,SIGN(I19))*POWER(FFmaster,SIGN(J19))*POWER(GEmaster,SIGN(K19))*POWER(KOmaster,SIGN(L19))*POWER(KKmaster,SIGN(M19))+I19*POWER(MUmaster,SIGN(F19))*POWER(KLmaster,SIGN(G19))*POWER(INmaster,SIGN(H19))*POWER(FFmaster,SIGN(J19))*POWER(GEmaster,SIGN(K19))*POWER(KOmaster,SIGN(L19))*POWER(KKmaster,SIGN(M19))+J19*POWER(MUmaster,SIGN(F19))*POWER(KLmaster,SIGN(G19))*POWER(INmaster,SIGN(H19))*POWER(CHmaster,SIGN(I19))*POWER(GEmaster,SIGN(K19))*POWER(KOmaster,SIGN(L19))*POWER(KKmaster,SIGN(M19))+K19*POWER(MUmaster,SIGN(F19))*POWER(KLmaster,SIGN(G19))*POWER(INmaster,SIGN(H19))*POWER(CHmaster,SIGN(I19))*POWER(FFmaster,SIGN(J19))*POWER(KOmaster,SIGN(L19))*POWER(KKmaster,SIGN(M19))+L19*POWER(MUmaster,SIGN(F19))*POWER(KLmaster,SIGN(G19))*POWER(INmaster,SIGN(H19))*POWER(CHmaster,SIGN(I19))*POWER(FFmaster,SIGN(J19))*POWER(GEmaster,SIGN(K19))*POWER(KKmaster,SIGN(M19))+M19*POWER(MUmaster,SIGN(F19))*POWER(KLmaster,SIGN(G19))*POWER(INmaster,SIGN(H19))*POWER(CHmaster,SIGN(I19))*POWER(FFmaster,SIGN(J19))*POWER(GEmaster,SIGN(K19))*POWER(KOmaster,SIGN(L19))</f>
        <v>2304</v>
      </c>
      <c r="R19" s="113">
        <f>G19*I19*KOmaster+G19*CHmaster*L19+KLmaster*I19*L19</f>
        <v>3456</v>
      </c>
      <c r="S19" s="224">
        <f t="shared" si="11"/>
        <v>1728</v>
      </c>
      <c r="T19" s="242">
        <f t="shared" si="98"/>
        <v>7488</v>
      </c>
      <c r="U19" s="222">
        <f t="shared" si="12"/>
        <v>3.6923076923076925</v>
      </c>
      <c r="V19" s="223">
        <f t="shared" si="13"/>
        <v>11.076923076923077</v>
      </c>
      <c r="W19" s="243">
        <f t="shared" si="14"/>
        <v>8.3076923076923084</v>
      </c>
      <c r="X19" s="218">
        <f t="shared" si="15"/>
        <v>23.07692307692308</v>
      </c>
      <c r="Y19" s="252">
        <v>0</v>
      </c>
      <c r="Z19" s="198">
        <f t="shared" si="16"/>
        <v>23.07692307692308</v>
      </c>
      <c r="AA19" s="125">
        <f>IF(X19&gt;0,X19,0)*1+IF(X19&gt;12,X19-12,0)*1+IF(X19&gt;13,X19-13,0)*1+IF(X19&gt;14,X19-14,0)*1+IF(X19&gt;15,X19-15,0)*1+IF(X19&gt;16,X19-16,0)*1+IF(X19&gt;17,X19-17,0)*1+IF(X19&gt;18,X19-18,0)*1+IF(X19&gt;19,X19-19,0)*1+IF(X19&gt;20,X19-20,0)*1</f>
        <v>86.769230769230802</v>
      </c>
      <c r="AB19" s="160">
        <f>IF(Y19&gt;0,Y19,0)*1+IF(Y19&gt;12,Y19-12,0)*1+IF(Y19&gt;13,Y19-13,0)*1+IF(Y19&gt;14,Y19-14,0)*1+IF(Y19&gt;15,Y19-15,0)*1+IF(Y19&gt;16,Y19-16,0)*1+IF(Y19&gt;17,Y19-17,0)*1+IF(Y19&gt;18,Y19-18,0)*1+IF(Y19&gt;19,Y19-19,0)*1+IF(Y19&gt;20,Y19-20,0)*1</f>
        <v>0</v>
      </c>
      <c r="AC19" s="127">
        <f t="shared" si="0"/>
        <v>86.769230769230802</v>
      </c>
      <c r="AD19" s="125">
        <f t="shared" si="17"/>
        <v>0</v>
      </c>
      <c r="AF19" s="163" t="s">
        <v>17</v>
      </c>
      <c r="AG19" s="127" t="s">
        <v>79</v>
      </c>
      <c r="AH19" s="125" t="s">
        <v>133</v>
      </c>
      <c r="AI19" s="114"/>
      <c r="AJ19" s="113">
        <f>Konvention_1slave-KLslave</f>
        <v>12</v>
      </c>
      <c r="AK19" s="113"/>
      <c r="AL19" s="113">
        <f>Konvention_1slave-CHslave</f>
        <v>12</v>
      </c>
      <c r="AM19" s="113"/>
      <c r="AN19" s="113"/>
      <c r="AO19" s="113">
        <f>Konvention_1slave-KOslave</f>
        <v>12</v>
      </c>
      <c r="AP19" s="119"/>
      <c r="AQ19" s="89">
        <f>(AI19+AJ19+AK19+AL19+AM19+AN19+AO19+AP19)/3</f>
        <v>12</v>
      </c>
      <c r="AR19" s="47">
        <f t="shared" si="18"/>
        <v>24</v>
      </c>
      <c r="AS19" s="119">
        <f t="shared" si="19"/>
        <v>36</v>
      </c>
      <c r="AT19" s="114">
        <f>AI19*POWER(KLslave,SIGN(AJ19))*POWER(INslave,SIGN(AK19))*POWER(CHslave,SIGN(AL19))*POWER(FFslave,SIGN(AM19))*POWER(GEslave,SIGN(AN19))*POWER(KOslave,SIGN(AO19))*POWER(KKslave,SIGN(AP19))+AJ19*POWER(MUslave_MU,SIGN(AI19))*POWER(INslave,SIGN(AK19))*POWER(CHslave,SIGN(AL19))*POWER(FFslave,SIGN(AM19))*POWER(GEslave,SIGN(AN19))*POWER(KOslave,SIGN(AO19))*POWER(KKslave,SIGN(AP19))+AK19*POWER(MUslave_MU,SIGN(AI19))*POWER(KLslave,SIGN(AJ19))*POWER(CHslave,SIGN(AL19))*POWER(FFslave,SIGN(AM19))*POWER(GEslave,SIGN(AN19))*POWER(KOslave,SIGN(AO19))*POWER(KKslave,SIGN(AP19))+AL19*POWER(MUslave_MU,SIGN(AI19))*POWER(KLslave,SIGN(AJ19))*POWER(INslave,SIGN(AK19))*POWER(FFslave,SIGN(AM19))*POWER(GEslave,SIGN(AN19))*POWER(KOslave,SIGN(AO19))*POWER(KKslave,SIGN(AP19))+AM19*POWER(MUslave_MU,SIGN(AI19))*POWER(KLslave,SIGN(AJ19))*POWER(INslave,SIGN(AK19))*POWER(CHslave,SIGN(AL19))*POWER(GEslave,SIGN(AN19))*POWER(KOslave,SIGN(AO19))*POWER(KKslave,SIGN(AP19))+AN19*POWER(MUslave_MU,SIGN(AI19))*POWER(KLslave,SIGN(AJ19))*POWER(INslave,SIGN(AK19))*POWER(CHslave,SIGN(AL19))*POWER(FFslave,SIGN(AM19))*POWER(KOslave,SIGN(AO19))*POWER(KKslave,SIGN(AP19))+AO19*POWER(MUslave_MU,SIGN(AI19))*POWER(KLslave,SIGN(AJ19))*POWER(INslave,SIGN(AK19))*POWER(CHslave,SIGN(AL19))*POWER(FFslave,SIGN(AM19))*POWER(GEslave,SIGN(AN19))*POWER(KKslave,SIGN(AP19))+AP19*POWER(MUslave_MU,SIGN(AI19))*POWER(KLslave,SIGN(AJ19))*POWER(INslave,SIGN(AK19))*POWER(CHslave,SIGN(AL19))*POWER(FFslave,SIGN(AM19))*POWER(GEslave,SIGN(AN19))*POWER(KOslave,SIGN(AO19))</f>
        <v>2304</v>
      </c>
      <c r="AU19" s="113">
        <f>AJ19*AL19*KOslave+AJ19*CHslave*AO19+KLslave*AL19*AO19</f>
        <v>3456</v>
      </c>
      <c r="AV19" s="119">
        <f t="shared" si="20"/>
        <v>1728</v>
      </c>
      <c r="AW19" s="160">
        <f t="shared" si="99"/>
        <v>7488</v>
      </c>
      <c r="AX19" s="89">
        <f t="shared" si="21"/>
        <v>3.6923076923076925</v>
      </c>
      <c r="AY19" s="47">
        <f t="shared" si="22"/>
        <v>11.076923076923077</v>
      </c>
      <c r="AZ19" s="127">
        <f t="shared" si="23"/>
        <v>8.3076923076923084</v>
      </c>
      <c r="BA19" s="125">
        <f t="shared" si="24"/>
        <v>23.07692307692308</v>
      </c>
      <c r="BB19" s="165">
        <f t="shared" si="25"/>
        <v>0</v>
      </c>
      <c r="BC19" s="198">
        <f t="shared" si="26"/>
        <v>23.07692307692308</v>
      </c>
      <c r="BD19" s="125">
        <f>IF(BA19&gt;0,BA19,0)*1+IF(BA19&gt;12,BA19-12,0)*1+IF(BA19&gt;13,BA19-13,0)*1+IF(BA19&gt;14,BA19-14,0)*1+IF(BA19&gt;15,BA19-15,0)*1+IF(BA19&gt;16,BA19-16,0)*1+IF(BA19&gt;17,BA19-17,0)*1+IF(BA19&gt;18,BA19-18,0)*1+IF(BA19&gt;19,BA19-19,0)*1+IF(BA19&gt;20,BA19-20,0)*1</f>
        <v>86.769230769230802</v>
      </c>
      <c r="BE19" s="160">
        <f>IF(BB19&gt;0,BB19,0)*1+IF(BB19&gt;12,BB19-12,0)*1+IF(BB19&gt;13,BB19-13,0)*1+IF(BB19&gt;14,BB19-14,0)*1+IF(BB19&gt;15,BB19-15,0)*1+IF(BB19&gt;16,BB19-16,0)*1+IF(BB19&gt;17,BB19-17,0)*1+IF(BB19&gt;18,BB19-18,0)*1+IF(BB19&gt;19,BB19-19,0)*1+IF(BB19&gt;20,BB19-20,0)*1</f>
        <v>0</v>
      </c>
      <c r="BF19" s="243">
        <f t="shared" si="1"/>
        <v>86.769230769230802</v>
      </c>
      <c r="BG19" s="218">
        <f t="shared" si="27"/>
        <v>0</v>
      </c>
      <c r="BI19" s="303" t="s">
        <v>17</v>
      </c>
      <c r="BJ19" s="243" t="s">
        <v>79</v>
      </c>
      <c r="BK19" s="218" t="s">
        <v>133</v>
      </c>
      <c r="BL19" s="237"/>
      <c r="BM19" s="234">
        <f>Konvention_1slave-KLslave_KL</f>
        <v>11</v>
      </c>
      <c r="BN19" s="234"/>
      <c r="BO19" s="234">
        <f>Konvention_1slave-CHslave</f>
        <v>12</v>
      </c>
      <c r="BP19" s="234"/>
      <c r="BQ19" s="234"/>
      <c r="BR19" s="234">
        <f>Konvention_1slave-KOslave</f>
        <v>12</v>
      </c>
      <c r="BS19" s="224"/>
      <c r="BT19" s="222">
        <f>(BL19+BM19+BN19+BO19+BP19+BQ19+BR19+BS19)/3</f>
        <v>11.666666666666666</v>
      </c>
      <c r="BU19" s="223">
        <f t="shared" si="28"/>
        <v>23.333333333333332</v>
      </c>
      <c r="BV19" s="224">
        <f t="shared" si="29"/>
        <v>35</v>
      </c>
      <c r="BW19" s="237">
        <f>BL19*POWER(KLslave_KL,SIGN(BM19))*POWER(INslave,SIGN(BN19))*POWER(CHslave,SIGN(BO19))*POWER(FFslave,SIGN(BP19))*POWER(GEslave,SIGN(BQ19))*POWER(KOslave,SIGN(BR19))*POWER(KKslave,SIGN(BS19))+BM19*POWER(MUslave,SIGN(BL19))*POWER(INslave,SIGN(BN19))*POWER(CHslave,SIGN(BO19))*POWER(FFslave,SIGN(BP19))*POWER(GEslave,SIGN(BQ19))*POWER(KOslave,SIGN(BR19))*POWER(KKslave,SIGN(BS19))+BN19*POWER(MUslave,SIGN(BL19))*POWER(KLslave_KL,SIGN(BM19))*POWER(CHslave,SIGN(BO19))*POWER(FFslave,SIGN(BP19))*POWER(GEslave,SIGN(BQ19))*POWER(KOslave,SIGN(BR19))*POWER(KKslave,SIGN(BS19))+BO19*POWER(MUslave,SIGN(BL19))*POWER(KLslave_KL,SIGN(BM19))*POWER(INslave,SIGN(BN19))*POWER(FFslave,SIGN(BP19))*POWER(GEslave,SIGN(BQ19))*POWER(KOslave,SIGN(BR19))*POWER(KKslave,SIGN(BS19))+BP19*POWER(MUslave,SIGN(BL19))*POWER(KLslave_KL,SIGN(BM19))*POWER(INslave,SIGN(BN19))*POWER(CHslave,SIGN(BO19))*POWER(GEslave,SIGN(BQ19))*POWER(KOslave,SIGN(BR19))*POWER(KKslave,SIGN(BS19))+BQ19*POWER(MUslave,SIGN(BL19))*POWER(KLslave_KL,SIGN(BM19))*POWER(INslave,SIGN(BN19))*POWER(CHslave,SIGN(BO19))*POWER(FFslave,SIGN(BP19))*POWER(KOslave,SIGN(BR19))*POWER(KKslave,SIGN(BS19))+BR19*POWER(MUslave,SIGN(BL19))*POWER(KLslave_KL,SIGN(BM19))*POWER(INslave,SIGN(BN19))*POWER(CHslave,SIGN(BO19))*POWER(FFslave,SIGN(BP19))*POWER(GEslave,SIGN(BQ19))*POWER(KKslave,SIGN(BS19))+BS19*POWER(MUslave,SIGN(BL19))*POWER(KLslave_KL,SIGN(BM19))*POWER(INslave,SIGN(BN19))*POWER(CHslave,SIGN(BO19))*POWER(FFslave,SIGN(BP19))*POWER(GEslave,SIGN(BQ19))*POWER(KOslave,SIGN(BR19))</f>
        <v>2432</v>
      </c>
      <c r="BX19" s="234">
        <f>BM19*BO19*KOslave+BM19*CHslave*BR19+KLslave_KL*BO19*BR19</f>
        <v>3408</v>
      </c>
      <c r="BY19" s="224">
        <f t="shared" si="30"/>
        <v>1584</v>
      </c>
      <c r="BZ19" s="242">
        <f t="shared" si="100"/>
        <v>7424</v>
      </c>
      <c r="CA19" s="222">
        <f t="shared" si="31"/>
        <v>3.8218390804597702</v>
      </c>
      <c r="CB19" s="223">
        <f t="shared" si="32"/>
        <v>10.711206896551724</v>
      </c>
      <c r="CC19" s="243">
        <f t="shared" si="33"/>
        <v>7.4676724137931032</v>
      </c>
      <c r="CD19" s="218">
        <f t="shared" si="34"/>
        <v>22.000718390804597</v>
      </c>
      <c r="CE19" s="252">
        <f t="shared" si="35"/>
        <v>0</v>
      </c>
      <c r="CF19" s="309">
        <f t="shared" si="36"/>
        <v>22.000718390804597</v>
      </c>
      <c r="CG19" s="218">
        <f>IF(CD19&gt;0,CD19,0)*1+IF(CD19&gt;12,CD19-12,0)*1+IF(CD19&gt;13,CD19-13,0)*1+IF(CD19&gt;14,CD19-14,0)*1+IF(CD19&gt;15,CD19-15,0)*1+IF(CD19&gt;16,CD19-16,0)*1+IF(CD19&gt;17,CD19-17,0)*1+IF(CD19&gt;18,CD19-18,0)*1+IF(CD19&gt;19,CD19-19,0)*1+IF(CD19&gt;20,CD19-20,0)*1</f>
        <v>76.007183908045945</v>
      </c>
      <c r="CH19" s="242">
        <f>IF(CE19&gt;0,CE19,0)*1+IF(CE19&gt;12,CE19-12,0)*1+IF(CE19&gt;13,CE19-13,0)*1+IF(CE19&gt;14,CE19-14,0)*1+IF(CE19&gt;15,CE19-15,0)*1+IF(CE19&gt;16,CE19-16,0)*1+IF(CE19&gt;17,CE19-17,0)*1+IF(CE19&gt;18,CE19-18,0)*1+IF(CE19&gt;19,CE19-19,0)*1+IF(CE19&gt;20,CE19-20,0)*1</f>
        <v>0</v>
      </c>
      <c r="CI19" s="243">
        <f t="shared" si="2"/>
        <v>76.007183908045945</v>
      </c>
      <c r="CJ19" s="218">
        <f t="shared" si="37"/>
        <v>0</v>
      </c>
      <c r="CL19" s="303" t="s">
        <v>17</v>
      </c>
      <c r="CM19" s="243" t="s">
        <v>79</v>
      </c>
      <c r="CN19" s="218" t="s">
        <v>133</v>
      </c>
      <c r="CO19" s="237"/>
      <c r="CP19" s="234">
        <f>Konvention_1slave-KLslave</f>
        <v>12</v>
      </c>
      <c r="CQ19" s="234"/>
      <c r="CR19" s="234">
        <f>Konvention_1slave-CHslave</f>
        <v>12</v>
      </c>
      <c r="CS19" s="234"/>
      <c r="CT19" s="234"/>
      <c r="CU19" s="234">
        <f>Konvention_1slave-KOslave</f>
        <v>12</v>
      </c>
      <c r="CV19" s="224"/>
      <c r="CW19" s="222">
        <f>(CO19+CP19+CQ19+CR19+CS19+CT19+CU19+CV19)/3</f>
        <v>12</v>
      </c>
      <c r="CX19" s="223">
        <f t="shared" si="38"/>
        <v>24</v>
      </c>
      <c r="CY19" s="224">
        <f t="shared" si="39"/>
        <v>36</v>
      </c>
      <c r="CZ19" s="237">
        <f>CO19*POWER(KLslave,SIGN(CP19))*POWER(INslave_IN,SIGN(CQ19))*POWER(CHslave,SIGN(CR19))*POWER(FFslave,SIGN(CS19))*POWER(GEslave,SIGN(CT19))*POWER(KOslave,SIGN(CU19))*POWER(KKslave,SIGN(CV19))+CP19*POWER(MUslave,SIGN(CO19))*POWER(INslave_IN,SIGN(CQ19))*POWER(CHslave,SIGN(CR19))*POWER(FFslave,SIGN(CS19))*POWER(GEslave,SIGN(CT19))*POWER(KOslave,SIGN(CU19))*POWER(KKslave,SIGN(CV19))+CQ19*POWER(MUslave,SIGN(CO19))*POWER(KLslave,SIGN(CP19))*POWER(CHslave,SIGN(CR19))*POWER(FFslave,SIGN(CS19))*POWER(GEslave,SIGN(CT19))*POWER(KOslave,SIGN(CU19))*POWER(KKslave,SIGN(CV19))+CR19*POWER(MUslave,SIGN(CO19))*POWER(KLslave,SIGN(CP19))*POWER(INslave_IN,SIGN(CQ19))*POWER(FFslave,SIGN(CS19))*POWER(GEslave,SIGN(CT19))*POWER(KOslave,SIGN(CU19))*POWER(KKslave,SIGN(CV19))+CS19*POWER(MUslave,SIGN(CO19))*POWER(KLslave,SIGN(CP19))*POWER(INslave_IN,SIGN(CQ19))*POWER(CHslave,SIGN(CR19))*POWER(GEslave,SIGN(CT19))*POWER(KOslave,SIGN(CU19))*POWER(KKslave,SIGN(CV19))+CT19*POWER(MUslave,SIGN(CO19))*POWER(KLslave,SIGN(CP19))*POWER(INslave_IN,SIGN(CQ19))*POWER(CHslave,SIGN(CR19))*POWER(FFslave,SIGN(CS19))*POWER(KOslave,SIGN(CU19))*POWER(KKslave,SIGN(CV19))+CU19*POWER(MUslave,SIGN(CO19))*POWER(KLslave,SIGN(CP19))*POWER(INslave_IN,SIGN(CQ19))*POWER(CHslave,SIGN(CR19))*POWER(FFslave,SIGN(CS19))*POWER(GEslave,SIGN(CT19))*POWER(KKslave,SIGN(CV19))+CV19*POWER(MUslave,SIGN(CO19))*POWER(KLslave,SIGN(CP19))*POWER(INslave_IN,SIGN(CQ19))*POWER(CHslave,SIGN(CR19))*POWER(FFslave,SIGN(CS19))*POWER(GEslave,SIGN(CT19))*POWER(KOslave,SIGN(CU19))</f>
        <v>2304</v>
      </c>
      <c r="DA19" s="234">
        <f>CP19*CR19*KOslave+CP19*CHslave*CU19+KLslave*CR19*CU19</f>
        <v>3456</v>
      </c>
      <c r="DB19" s="224">
        <f t="shared" si="40"/>
        <v>1728</v>
      </c>
      <c r="DC19" s="242">
        <f t="shared" si="101"/>
        <v>7488</v>
      </c>
      <c r="DD19" s="222">
        <f t="shared" si="41"/>
        <v>3.6923076923076925</v>
      </c>
      <c r="DE19" s="223">
        <f t="shared" si="42"/>
        <v>11.076923076923077</v>
      </c>
      <c r="DF19" s="243">
        <f t="shared" si="43"/>
        <v>8.3076923076923084</v>
      </c>
      <c r="DG19" s="218">
        <f t="shared" si="44"/>
        <v>23.07692307692308</v>
      </c>
      <c r="DH19" s="252">
        <f t="shared" si="45"/>
        <v>0</v>
      </c>
      <c r="DI19" s="309">
        <f t="shared" si="46"/>
        <v>23.07692307692308</v>
      </c>
      <c r="DJ19" s="218">
        <f>IF(DG19&gt;0,DG19,0)*1+IF(DG19&gt;12,DG19-12,0)*1+IF(DG19&gt;13,DG19-13,0)*1+IF(DG19&gt;14,DG19-14,0)*1+IF(DG19&gt;15,DG19-15,0)*1+IF(DG19&gt;16,DG19-16,0)*1+IF(DG19&gt;17,DG19-17,0)*1+IF(DG19&gt;18,DG19-18,0)*1+IF(DG19&gt;19,DG19-19,0)*1+IF(DG19&gt;20,DG19-20,0)*1</f>
        <v>86.769230769230802</v>
      </c>
      <c r="DK19" s="242">
        <f>IF(DH19&gt;0,DH19,0)*1+IF(DH19&gt;12,DH19-12,0)*1+IF(DH19&gt;13,DH19-13,0)*1+IF(DH19&gt;14,DH19-14,0)*1+IF(DH19&gt;15,DH19-15,0)*1+IF(DH19&gt;16,DH19-16,0)*1+IF(DH19&gt;17,DH19-17,0)*1+IF(DH19&gt;18,DH19-18,0)*1+IF(DH19&gt;19,DH19-19,0)*1+IF(DH19&gt;20,DH19-20,0)*1</f>
        <v>0</v>
      </c>
      <c r="DL19" s="243">
        <f t="shared" si="3"/>
        <v>86.769230769230802</v>
      </c>
      <c r="DM19" s="218">
        <f t="shared" si="47"/>
        <v>0</v>
      </c>
      <c r="DO19" s="303" t="s">
        <v>17</v>
      </c>
      <c r="DP19" s="243" t="s">
        <v>79</v>
      </c>
      <c r="DQ19" s="218" t="s">
        <v>133</v>
      </c>
      <c r="DR19" s="237"/>
      <c r="DS19" s="234">
        <f>Konvention_1slave-KLslave</f>
        <v>12</v>
      </c>
      <c r="DT19" s="234"/>
      <c r="DU19" s="234">
        <f>Konvention_1slave-CHslave_CH</f>
        <v>11</v>
      </c>
      <c r="DV19" s="234"/>
      <c r="DW19" s="234"/>
      <c r="DX19" s="234">
        <f>Konvention_1slave-KOslave</f>
        <v>12</v>
      </c>
      <c r="DY19" s="224"/>
      <c r="DZ19" s="222">
        <f>(DR19+DS19+DT19+DU19+DV19+DW19+DX19+DY19)/3</f>
        <v>11.666666666666666</v>
      </c>
      <c r="EA19" s="223">
        <f t="shared" si="48"/>
        <v>23.333333333333332</v>
      </c>
      <c r="EB19" s="224">
        <f t="shared" si="49"/>
        <v>35</v>
      </c>
      <c r="EC19" s="237">
        <f>DR19*POWER(KLslave,SIGN(DS19))*POWER(INslave,SIGN(DT19))*POWER(CHslave_CH,SIGN(DU19))*POWER(FFslave,SIGN(DV19))*POWER(GEslave,SIGN(DW19))*POWER(KOslave,SIGN(DX19))*POWER(KKslave,SIGN(DY19))+DS19*POWER(MUslave,SIGN(DR19))*POWER(INslave,SIGN(DT19))*POWER(CHslave_CH,SIGN(DU19))*POWER(FFslave,SIGN(DV19))*POWER(GEslave,SIGN(DW19))*POWER(KOslave,SIGN(DX19))*POWER(KKslave,SIGN(DY19))+DT19*POWER(MUslave,SIGN(DR19))*POWER(KLslave,SIGN(DS19))*POWER(CHslave_CH,SIGN(DU19))*POWER(FFslave,SIGN(DV19))*POWER(GEslave,SIGN(DW19))*POWER(KOslave,SIGN(DX19))*POWER(KKslave,SIGN(DY19))+DU19*POWER(MUslave,SIGN(DR19))*POWER(KLslave,SIGN(DS19))*POWER(INslave,SIGN(DT19))*POWER(FFslave,SIGN(DV19))*POWER(GEslave,SIGN(DW19))*POWER(KOslave,SIGN(DX19))*POWER(KKslave,SIGN(DY19))+DV19*POWER(MUslave,SIGN(DR19))*POWER(KLslave,SIGN(DS19))*POWER(INslave,SIGN(DT19))*POWER(CHslave_CH,SIGN(DU19))*POWER(GEslave,SIGN(DW19))*POWER(KOslave,SIGN(DX19))*POWER(KKslave,SIGN(DY19))+DW19*POWER(MUslave,SIGN(DR19))*POWER(KLslave,SIGN(DS19))*POWER(INslave,SIGN(DT19))*POWER(CHslave_CH,SIGN(DU19))*POWER(FFslave,SIGN(DV19))*POWER(KOslave,SIGN(DX19))*POWER(KKslave,SIGN(DY19))+DX19*POWER(MUslave,SIGN(DR19))*POWER(KLslave,SIGN(DS19))*POWER(INslave,SIGN(DT19))*POWER(CHslave_CH,SIGN(DU19))*POWER(FFslave,SIGN(DV19))*POWER(GEslave,SIGN(DW19))*POWER(KKslave,SIGN(DY19))+DY19*POWER(MUslave,SIGN(DR19))*POWER(KLslave,SIGN(DS19))*POWER(INslave,SIGN(DT19))*POWER(CHslave_CH,SIGN(DU19))*POWER(FFslave,SIGN(DV19))*POWER(GEslave,SIGN(DW19))*POWER(KOslave,SIGN(DX19))</f>
        <v>2432</v>
      </c>
      <c r="ED19" s="234">
        <f>DS19*DU19*KOslave+DS19*CHslave_CH*DX19+KLslave*DU19*DX19</f>
        <v>3408</v>
      </c>
      <c r="EE19" s="224">
        <f t="shared" si="50"/>
        <v>1584</v>
      </c>
      <c r="EF19" s="242">
        <f t="shared" si="102"/>
        <v>7424</v>
      </c>
      <c r="EG19" s="222">
        <f t="shared" si="51"/>
        <v>3.8218390804597702</v>
      </c>
      <c r="EH19" s="223">
        <f t="shared" si="52"/>
        <v>10.711206896551724</v>
      </c>
      <c r="EI19" s="243">
        <f t="shared" si="53"/>
        <v>7.4676724137931032</v>
      </c>
      <c r="EJ19" s="218">
        <f t="shared" si="54"/>
        <v>22.000718390804597</v>
      </c>
      <c r="EK19" s="252">
        <f t="shared" si="55"/>
        <v>0</v>
      </c>
      <c r="EL19" s="309">
        <f t="shared" si="56"/>
        <v>22.000718390804597</v>
      </c>
      <c r="EM19" s="218">
        <f>IF(EJ19&gt;0,EJ19,0)*1+IF(EJ19&gt;12,EJ19-12,0)*1+IF(EJ19&gt;13,EJ19-13,0)*1+IF(EJ19&gt;14,EJ19-14,0)*1+IF(EJ19&gt;15,EJ19-15,0)*1+IF(EJ19&gt;16,EJ19-16,0)*1+IF(EJ19&gt;17,EJ19-17,0)*1+IF(EJ19&gt;18,EJ19-18,0)*1+IF(EJ19&gt;19,EJ19-19,0)*1+IF(EJ19&gt;20,EJ19-20,0)*1</f>
        <v>76.007183908045945</v>
      </c>
      <c r="EN19" s="242">
        <f>IF(EK19&gt;0,EK19,0)*1+IF(EK19&gt;12,EK19-12,0)*1+IF(EK19&gt;13,EK19-13,0)*1+IF(EK19&gt;14,EK19-14,0)*1+IF(EK19&gt;15,EK19-15,0)*1+IF(EK19&gt;16,EK19-16,0)*1+IF(EK19&gt;17,EK19-17,0)*1+IF(EK19&gt;18,EK19-18,0)*1+IF(EK19&gt;19,EK19-19,0)*1+IF(EK19&gt;20,EK19-20,0)*1</f>
        <v>0</v>
      </c>
      <c r="EO19" s="243">
        <f t="shared" si="4"/>
        <v>76.007183908045945</v>
      </c>
      <c r="EP19" s="218">
        <f t="shared" si="57"/>
        <v>0</v>
      </c>
      <c r="ER19" s="303" t="s">
        <v>17</v>
      </c>
      <c r="ES19" s="243" t="s">
        <v>79</v>
      </c>
      <c r="ET19" s="218" t="s">
        <v>133</v>
      </c>
      <c r="EU19" s="237"/>
      <c r="EV19" s="234">
        <f>Konvention_1slave-KLslave</f>
        <v>12</v>
      </c>
      <c r="EW19" s="234"/>
      <c r="EX19" s="234">
        <f>Konvention_1slave-CHslave</f>
        <v>12</v>
      </c>
      <c r="EY19" s="234"/>
      <c r="EZ19" s="234"/>
      <c r="FA19" s="234">
        <f>Konvention_1slave-KOslave</f>
        <v>12</v>
      </c>
      <c r="FB19" s="224"/>
      <c r="FC19" s="222">
        <f>(EU19+EV19+EW19+EX19+EY19+EZ19+FA19+FB19)/3</f>
        <v>12</v>
      </c>
      <c r="FD19" s="223">
        <f t="shared" si="58"/>
        <v>24</v>
      </c>
      <c r="FE19" s="224">
        <f t="shared" si="59"/>
        <v>36</v>
      </c>
      <c r="FF19" s="237">
        <f>EU19*POWER(KLslave,SIGN(EV19))*POWER(INslave,SIGN(EW19))*POWER(CHslave,SIGN(EX19))*POWER(FFslave_FF,SIGN(EY19))*POWER(GEslave,SIGN(EZ19))*POWER(KOslave,SIGN(FA19))*POWER(KKslave,SIGN(FB19))+EV19*POWER(MUslave,SIGN(EU19))*POWER(INslave,SIGN(EW19))*POWER(CHslave,SIGN(EX19))*POWER(FFslave_FF,SIGN(EY19))*POWER(GEslave,SIGN(EZ19))*POWER(KOslave,SIGN(FA19))*POWER(KKslave,SIGN(FB19))+EW19*POWER(MUslave,SIGN(EU19))*POWER(KLslave,SIGN(EV19))*POWER(CHslave,SIGN(EX19))*POWER(FFslave_FF,SIGN(EY19))*POWER(GEslave,SIGN(EZ19))*POWER(KOslave,SIGN(FA19))*POWER(KKslave,SIGN(FB19))+EX19*POWER(MUslave,SIGN(EU19))*POWER(KLslave,SIGN(EV19))*POWER(INslave,SIGN(EW19))*POWER(FFslave_FF,SIGN(EY19))*POWER(GEslave,SIGN(EZ19))*POWER(KOslave,SIGN(FA19))*POWER(KKslave,SIGN(FB19))+EY19*POWER(MUslave,SIGN(EU19))*POWER(KLslave,SIGN(EV19))*POWER(INslave,SIGN(EW19))*POWER(CHslave,SIGN(EX19))*POWER(GEslave,SIGN(EZ19))*POWER(KOslave,SIGN(FA19))*POWER(KKslave,SIGN(FB19))+EZ19*POWER(MUslave,SIGN(EU19))*POWER(KLslave,SIGN(EV19))*POWER(INslave,SIGN(EW19))*POWER(CHslave,SIGN(EX19))*POWER(FFslave_FF,SIGN(EY19))*POWER(KOslave,SIGN(FA19))*POWER(KKslave,SIGN(FB19))+FA19*POWER(MUslave,SIGN(EU19))*POWER(KLslave,SIGN(EV19))*POWER(INslave,SIGN(EW19))*POWER(CHslave,SIGN(EX19))*POWER(FFslave_FF,SIGN(EY19))*POWER(GEslave,SIGN(EZ19))*POWER(KKslave,SIGN(FB19))+FB19*POWER(MUslave,SIGN(EU19))*POWER(KLslave,SIGN(EV19))*POWER(INslave,SIGN(EW19))*POWER(CHslave,SIGN(EX19))*POWER(FFslave_FF,SIGN(EY19))*POWER(GEslave,SIGN(EZ19))*POWER(KOslave,SIGN(FA19))</f>
        <v>2304</v>
      </c>
      <c r="FG19" s="234">
        <f>EV19*EX19*KOslave+EV19*CHslave*FA19+KLslave*EX19*FA19</f>
        <v>3456</v>
      </c>
      <c r="FH19" s="224">
        <f t="shared" si="60"/>
        <v>1728</v>
      </c>
      <c r="FI19" s="242">
        <f t="shared" si="103"/>
        <v>7488</v>
      </c>
      <c r="FJ19" s="222">
        <f t="shared" si="61"/>
        <v>3.6923076923076925</v>
      </c>
      <c r="FK19" s="223">
        <f t="shared" si="62"/>
        <v>11.076923076923077</v>
      </c>
      <c r="FL19" s="243">
        <f t="shared" si="63"/>
        <v>8.3076923076923084</v>
      </c>
      <c r="FM19" s="218">
        <f t="shared" si="64"/>
        <v>23.07692307692308</v>
      </c>
      <c r="FN19" s="252">
        <f t="shared" si="65"/>
        <v>0</v>
      </c>
      <c r="FO19" s="309">
        <f t="shared" si="66"/>
        <v>23.07692307692308</v>
      </c>
      <c r="FP19" s="218">
        <f>IF(FM19&gt;0,FM19,0)*1+IF(FM19&gt;12,FM19-12,0)*1+IF(FM19&gt;13,FM19-13,0)*1+IF(FM19&gt;14,FM19-14,0)*1+IF(FM19&gt;15,FM19-15,0)*1+IF(FM19&gt;16,FM19-16,0)*1+IF(FM19&gt;17,FM19-17,0)*1+IF(FM19&gt;18,FM19-18,0)*1+IF(FM19&gt;19,FM19-19,0)*1+IF(FM19&gt;20,FM19-20,0)*1</f>
        <v>86.769230769230802</v>
      </c>
      <c r="FQ19" s="242">
        <f>IF(FN19&gt;0,FN19,0)*1+IF(FN19&gt;12,FN19-12,0)*1+IF(FN19&gt;13,FN19-13,0)*1+IF(FN19&gt;14,FN19-14,0)*1+IF(FN19&gt;15,FN19-15,0)*1+IF(FN19&gt;16,FN19-16,0)*1+IF(FN19&gt;17,FN19-17,0)*1+IF(FN19&gt;18,FN19-18,0)*1+IF(FN19&gt;19,FN19-19,0)*1+IF(FN19&gt;20,FN19-20,0)*1</f>
        <v>0</v>
      </c>
      <c r="FR19" s="243">
        <f t="shared" si="5"/>
        <v>86.769230769230802</v>
      </c>
      <c r="FS19" s="218">
        <f t="shared" si="67"/>
        <v>0</v>
      </c>
      <c r="FU19" s="303" t="s">
        <v>17</v>
      </c>
      <c r="FV19" s="243" t="s">
        <v>79</v>
      </c>
      <c r="FW19" s="218" t="s">
        <v>133</v>
      </c>
      <c r="FX19" s="237"/>
      <c r="FY19" s="234">
        <f>Konvention_1slave-KLslave</f>
        <v>12</v>
      </c>
      <c r="FZ19" s="234"/>
      <c r="GA19" s="234">
        <f>Konvention_1slave-CHslave</f>
        <v>12</v>
      </c>
      <c r="GB19" s="234"/>
      <c r="GC19" s="234"/>
      <c r="GD19" s="234">
        <f>Konvention_1slave-KOslave</f>
        <v>12</v>
      </c>
      <c r="GE19" s="224"/>
      <c r="GF19" s="222">
        <f>(FX19+FY19+FZ19+GA19+GB19+GC19+GD19+GE19)/3</f>
        <v>12</v>
      </c>
      <c r="GG19" s="223">
        <f t="shared" si="68"/>
        <v>24</v>
      </c>
      <c r="GH19" s="224">
        <f t="shared" si="69"/>
        <v>36</v>
      </c>
      <c r="GI19" s="237">
        <f>FX19*POWER(KLslave,SIGN(FY19))*POWER(INslave,SIGN(FZ19))*POWER(CHslave,SIGN(GA19))*POWER(FFslave,SIGN(GB19))*POWER(GEslave_GE,SIGN(GC19))*POWER(KOslave,SIGN(GD19))*POWER(KKslave,SIGN(GE19))+FY19*POWER(MUslave,SIGN(FX19))*POWER(INslave,SIGN(FZ19))*POWER(CHslave,SIGN(GA19))*POWER(FFslave,SIGN(GB19))*POWER(GEslave_GE,SIGN(GC19))*POWER(KOslave,SIGN(GD19))*POWER(KKslave,SIGN(GE19))+FZ19*POWER(MUslave,SIGN(FX19))*POWER(KLslave,SIGN(FY19))*POWER(CHslave,SIGN(GA19))*POWER(FFslave,SIGN(GB19))*POWER(GEslave_GE,SIGN(GC19))*POWER(KOslave,SIGN(GD19))*POWER(KKslave,SIGN(GE19))+GA19*POWER(MUslave,SIGN(FX19))*POWER(KLslave,SIGN(FY19))*POWER(INslave,SIGN(FZ19))*POWER(FFslave,SIGN(GB19))*POWER(GEslave_GE,SIGN(GC19))*POWER(KOslave,SIGN(GD19))*POWER(KKslave,SIGN(GE19))+GB19*POWER(MUslave,SIGN(FX19))*POWER(KLslave,SIGN(FY19))*POWER(INslave,SIGN(FZ19))*POWER(CHslave,SIGN(GA19))*POWER(GEslave_GE,SIGN(GC19))*POWER(KOslave,SIGN(GD19))*POWER(KKslave,SIGN(GE19))+GC19*POWER(MUslave,SIGN(FX19))*POWER(KLslave,SIGN(FY19))*POWER(INslave,SIGN(FZ19))*POWER(CHslave,SIGN(GA19))*POWER(FFslave,SIGN(GB19))*POWER(KOslave,SIGN(GD19))*POWER(KKslave,SIGN(GE19))+GD19*POWER(MUslave,SIGN(FX19))*POWER(KLslave,SIGN(FY19))*POWER(INslave,SIGN(FZ19))*POWER(CHslave,SIGN(GA19))*POWER(FFslave,SIGN(GB19))*POWER(GEslave_GE,SIGN(GC19))*POWER(KKslave,SIGN(GE19))+GE19*POWER(MUslave,SIGN(FX19))*POWER(KLslave,SIGN(FY19))*POWER(INslave,SIGN(FZ19))*POWER(CHslave,SIGN(GA19))*POWER(FFslave,SIGN(GB19))*POWER(GEslave_GE,SIGN(GC19))*POWER(KOslave,SIGN(GD19))</f>
        <v>2304</v>
      </c>
      <c r="GJ19" s="234">
        <f>FY19*GA19*KOslave+FY19*CHslave*GD19+KLslave*GA19*GD19</f>
        <v>3456</v>
      </c>
      <c r="GK19" s="224">
        <f t="shared" si="70"/>
        <v>1728</v>
      </c>
      <c r="GL19" s="242">
        <f t="shared" si="104"/>
        <v>7488</v>
      </c>
      <c r="GM19" s="222">
        <f t="shared" si="71"/>
        <v>3.6923076923076925</v>
      </c>
      <c r="GN19" s="223">
        <f t="shared" si="72"/>
        <v>11.076923076923077</v>
      </c>
      <c r="GO19" s="243">
        <f t="shared" si="73"/>
        <v>8.3076923076923084</v>
      </c>
      <c r="GP19" s="218">
        <f t="shared" si="74"/>
        <v>23.07692307692308</v>
      </c>
      <c r="GQ19" s="252">
        <f t="shared" si="75"/>
        <v>0</v>
      </c>
      <c r="GR19" s="309">
        <f t="shared" si="76"/>
        <v>23.07692307692308</v>
      </c>
      <c r="GS19" s="218">
        <f>IF(GP19&gt;0,GP19,0)*1+IF(GP19&gt;12,GP19-12,0)*1+IF(GP19&gt;13,GP19-13,0)*1+IF(GP19&gt;14,GP19-14,0)*1+IF(GP19&gt;15,GP19-15,0)*1+IF(GP19&gt;16,GP19-16,0)*1+IF(GP19&gt;17,GP19-17,0)*1+IF(GP19&gt;18,GP19-18,0)*1+IF(GP19&gt;19,GP19-19,0)*1+IF(GP19&gt;20,GP19-20,0)*1</f>
        <v>86.769230769230802</v>
      </c>
      <c r="GT19" s="242">
        <f>IF(GQ19&gt;0,GQ19,0)*1+IF(GQ19&gt;12,GQ19-12,0)*1+IF(GQ19&gt;13,GQ19-13,0)*1+IF(GQ19&gt;14,GQ19-14,0)*1+IF(GQ19&gt;15,GQ19-15,0)*1+IF(GQ19&gt;16,GQ19-16,0)*1+IF(GQ19&gt;17,GQ19-17,0)*1+IF(GQ19&gt;18,GQ19-18,0)*1+IF(GQ19&gt;19,GQ19-19,0)*1+IF(GQ19&gt;20,GQ19-20,0)*1</f>
        <v>0</v>
      </c>
      <c r="GU19" s="243">
        <f t="shared" si="6"/>
        <v>86.769230769230802</v>
      </c>
      <c r="GV19" s="218">
        <f t="shared" si="77"/>
        <v>0</v>
      </c>
      <c r="GX19" s="303" t="s">
        <v>17</v>
      </c>
      <c r="GY19" s="243" t="s">
        <v>79</v>
      </c>
      <c r="GZ19" s="218" t="s">
        <v>133</v>
      </c>
      <c r="HA19" s="237"/>
      <c r="HB19" s="234">
        <f>Konvention_1slave-KLslave</f>
        <v>12</v>
      </c>
      <c r="HC19" s="234"/>
      <c r="HD19" s="234">
        <f>Konvention_1slave-CHslave</f>
        <v>12</v>
      </c>
      <c r="HE19" s="234"/>
      <c r="HF19" s="234"/>
      <c r="HG19" s="234">
        <f>Konvention_1slave-KOslave_KO</f>
        <v>11</v>
      </c>
      <c r="HH19" s="224"/>
      <c r="HI19" s="222">
        <f>(HA19+HB19+HC19+HD19+HE19+HF19+HG19+HH19)/3</f>
        <v>11.666666666666666</v>
      </c>
      <c r="HJ19" s="223">
        <f t="shared" si="78"/>
        <v>23.333333333333332</v>
      </c>
      <c r="HK19" s="224">
        <f t="shared" si="79"/>
        <v>35</v>
      </c>
      <c r="HL19" s="237">
        <f>HA19*POWER(KLslave,SIGN(HB19))*POWER(INslave,SIGN(HC19))*POWER(CHslave,SIGN(HD19))*POWER(FFslave,SIGN(HE19))*POWER(GEslave,SIGN(HF19))*POWER(KOslave_KO,SIGN(HG19))*POWER(KKslave,SIGN(HH19))+HB19*POWER(MUslave,SIGN(HA19))*POWER(INslave,SIGN(HC19))*POWER(CHslave,SIGN(HD19))*POWER(FFslave,SIGN(HE19))*POWER(GEslave,SIGN(HF19))*POWER(KOslave_KO,SIGN(HG19))*POWER(KKslave,SIGN(HH19))+HC19*POWER(MUslave,SIGN(HA19))*POWER(KLslave,SIGN(HB19))*POWER(CHslave,SIGN(HD19))*POWER(FFslave,SIGN(HE19))*POWER(GEslave,SIGN(HF19))*POWER(KOslave_KO,SIGN(HG19))*POWER(KKslave,SIGN(HH19))+HD19*POWER(MUslave,SIGN(HA19))*POWER(KLslave,SIGN(HB19))*POWER(INslave,SIGN(HC19))*POWER(FFslave,SIGN(HE19))*POWER(GEslave,SIGN(HF19))*POWER(KOslave_KO,SIGN(HG19))*POWER(KKslave,SIGN(HH19))+HE19*POWER(MUslave,SIGN(HA19))*POWER(KLslave,SIGN(HB19))*POWER(INslave,SIGN(HC19))*POWER(CHslave,SIGN(HD19))*POWER(GEslave,SIGN(HF19))*POWER(KOslave_KO,SIGN(HG19))*POWER(KKslave,SIGN(HH19))+HF19*POWER(MUslave,SIGN(HA19))*POWER(KLslave,SIGN(HB19))*POWER(INslave,SIGN(HC19))*POWER(CHslave,SIGN(HD19))*POWER(FFslave,SIGN(HE19))*POWER(KOslave_KO,SIGN(HG19))*POWER(KKslave,SIGN(HH19))+HG19*POWER(MUslave,SIGN(HA19))*POWER(KLslave,SIGN(HB19))*POWER(INslave,SIGN(HC19))*POWER(CHslave,SIGN(HD19))*POWER(FFslave,SIGN(HE19))*POWER(GEslave,SIGN(HF19))*POWER(KKslave,SIGN(HH19))+HH19*POWER(MUslave,SIGN(HA19))*POWER(KLslave,SIGN(HB19))*POWER(INslave,SIGN(HC19))*POWER(CHslave,SIGN(HD19))*POWER(FFslave,SIGN(HE19))*POWER(GEslave,SIGN(HF19))*POWER(KOslave_KO,SIGN(HG19))</f>
        <v>2432</v>
      </c>
      <c r="HM19" s="234">
        <f>HB19*HD19*KOslave_KO+HB19*CHslave*HG19+KLslave*HD19*HG19</f>
        <v>3408</v>
      </c>
      <c r="HN19" s="224">
        <f t="shared" si="80"/>
        <v>1584</v>
      </c>
      <c r="HO19" s="242">
        <f t="shared" si="105"/>
        <v>7424</v>
      </c>
      <c r="HP19" s="222">
        <f t="shared" si="81"/>
        <v>3.8218390804597702</v>
      </c>
      <c r="HQ19" s="223">
        <f t="shared" si="82"/>
        <v>10.711206896551724</v>
      </c>
      <c r="HR19" s="243">
        <f t="shared" si="83"/>
        <v>7.4676724137931032</v>
      </c>
      <c r="HS19" s="218">
        <f t="shared" si="84"/>
        <v>22.000718390804597</v>
      </c>
      <c r="HT19" s="252">
        <f t="shared" si="85"/>
        <v>0</v>
      </c>
      <c r="HU19" s="309">
        <f t="shared" si="86"/>
        <v>22.000718390804597</v>
      </c>
      <c r="HV19" s="218">
        <f>IF(HS19&gt;0,HS19,0)*1+IF(HS19&gt;12,HS19-12,0)*1+IF(HS19&gt;13,HS19-13,0)*1+IF(HS19&gt;14,HS19-14,0)*1+IF(HS19&gt;15,HS19-15,0)*1+IF(HS19&gt;16,HS19-16,0)*1+IF(HS19&gt;17,HS19-17,0)*1+IF(HS19&gt;18,HS19-18,0)*1+IF(HS19&gt;19,HS19-19,0)*1+IF(HS19&gt;20,HS19-20,0)*1</f>
        <v>76.007183908045945</v>
      </c>
      <c r="HW19" s="242">
        <f>IF(HT19&gt;0,HT19,0)*1+IF(HT19&gt;12,HT19-12,0)*1+IF(HT19&gt;13,HT19-13,0)*1+IF(HT19&gt;14,HT19-14,0)*1+IF(HT19&gt;15,HT19-15,0)*1+IF(HT19&gt;16,HT19-16,0)*1+IF(HT19&gt;17,HT19-17,0)*1+IF(HT19&gt;18,HT19-18,0)*1+IF(HT19&gt;19,HT19-19,0)*1+IF(HT19&gt;20,HT19-20,0)*1</f>
        <v>0</v>
      </c>
      <c r="HX19" s="243">
        <f t="shared" si="7"/>
        <v>76.007183908045945</v>
      </c>
      <c r="HY19" s="218">
        <f t="shared" si="87"/>
        <v>0</v>
      </c>
      <c r="IA19" s="303" t="s">
        <v>17</v>
      </c>
      <c r="IB19" s="243" t="s">
        <v>79</v>
      </c>
      <c r="IC19" s="218" t="s">
        <v>133</v>
      </c>
      <c r="ID19" s="237"/>
      <c r="IE19" s="234">
        <f>Konvention_1slave-KLslave</f>
        <v>12</v>
      </c>
      <c r="IF19" s="234"/>
      <c r="IG19" s="234">
        <f>Konvention_1slave-CHslave</f>
        <v>12</v>
      </c>
      <c r="IH19" s="234"/>
      <c r="II19" s="234"/>
      <c r="IJ19" s="234">
        <f>Konvention_1slave-KOslave</f>
        <v>12</v>
      </c>
      <c r="IK19" s="224"/>
      <c r="IL19" s="222">
        <f>(ID19+IE19+IF19+IG19+IH19+II19+IJ19+IK19)/3</f>
        <v>12</v>
      </c>
      <c r="IM19" s="223">
        <f t="shared" si="88"/>
        <v>24</v>
      </c>
      <c r="IN19" s="224">
        <f t="shared" si="89"/>
        <v>36</v>
      </c>
      <c r="IO19" s="237">
        <f>ID19*POWER(KLslave,SIGN(IE19))*POWER(INslave,SIGN(IF19))*POWER(CHslave,SIGN(IG19))*POWER(FFslave,SIGN(IH19))*POWER(GEslave,SIGN(II19))*POWER(KOslave,SIGN(IJ19))*POWER(KKslave_KK,SIGN(IK19))+IE19*POWER(MUslave,SIGN(ID19))*POWER(INslave,SIGN(IF19))*POWER(CHslave,SIGN(IG19))*POWER(FFslave,SIGN(IH19))*POWER(GEslave,SIGN(II19))*POWER(KOslave,SIGN(IJ19))*POWER(KKslave_KK,SIGN(IK19))+IF19*POWER(MUslave,SIGN(ID19))*POWER(KLslave,SIGN(IE19))*POWER(CHslave,SIGN(IG19))*POWER(FFslave,SIGN(IH19))*POWER(GEslave,SIGN(II19))*POWER(KOslave,SIGN(IJ19))*POWER(KKslave_KK,SIGN(IK19))+IG19*POWER(MUslave,SIGN(ID19))*POWER(KLslave,SIGN(IE19))*POWER(INslave,SIGN(IF19))*POWER(FFslave,SIGN(IH19))*POWER(GEslave,SIGN(II19))*POWER(KOslave,SIGN(IJ19))*POWER(KKslave_KK,SIGN(IK19))+IH19*POWER(MUslave,SIGN(ID19))*POWER(KLslave,SIGN(IE19))*POWER(INslave,SIGN(IF19))*POWER(CHslave,SIGN(IG19))*POWER(GEslave,SIGN(II19))*POWER(KOslave,SIGN(IJ19))*POWER(KKslave_KK,SIGN(IK19))+II19*POWER(MUslave,SIGN(ID19))*POWER(KLslave,SIGN(IE19))*POWER(INslave,SIGN(IF19))*POWER(CHslave,SIGN(IG19))*POWER(FFslave,SIGN(IH19))*POWER(KOslave,SIGN(IJ19))*POWER(KKslave_KK,SIGN(IK19))+IJ19*POWER(MUslave,SIGN(ID19))*POWER(KLslave,SIGN(IE19))*POWER(INslave,SIGN(IF19))*POWER(CHslave,SIGN(IG19))*POWER(FFslave,SIGN(IH19))*POWER(GEslave,SIGN(II19))*POWER(KKslave_KK,SIGN(IK19))+IK19*POWER(MUslave,SIGN(ID19))*POWER(KLslave,SIGN(IE19))*POWER(INslave,SIGN(IF19))*POWER(CHslave,SIGN(IG19))*POWER(FFslave,SIGN(IH19))*POWER(GEslave,SIGN(II19))*POWER(KOslave,SIGN(IJ19))</f>
        <v>2304</v>
      </c>
      <c r="IP19" s="234">
        <f>IE19*IG19*KOslave+IE19*CHslave*IJ19+KLslave*IG19*IJ19</f>
        <v>3456</v>
      </c>
      <c r="IQ19" s="224">
        <f t="shared" si="90"/>
        <v>1728</v>
      </c>
      <c r="IR19" s="242">
        <f t="shared" si="106"/>
        <v>7488</v>
      </c>
      <c r="IS19" s="222">
        <f t="shared" si="91"/>
        <v>3.6923076923076925</v>
      </c>
      <c r="IT19" s="223">
        <f t="shared" si="92"/>
        <v>11.076923076923077</v>
      </c>
      <c r="IU19" s="243">
        <f t="shared" si="93"/>
        <v>8.3076923076923084</v>
      </c>
      <c r="IV19" s="218">
        <f t="shared" si="94"/>
        <v>23.07692307692308</v>
      </c>
      <c r="IW19" s="252">
        <f t="shared" si="95"/>
        <v>0</v>
      </c>
      <c r="IX19" s="309">
        <f t="shared" si="96"/>
        <v>23.07692307692308</v>
      </c>
      <c r="IY19" s="218">
        <f>IF(IV19&gt;0,IV19,0)*1+IF(IV19&gt;12,IV19-12,0)*1+IF(IV19&gt;13,IV19-13,0)*1+IF(IV19&gt;14,IV19-14,0)*1+IF(IV19&gt;15,IV19-15,0)*1+IF(IV19&gt;16,IV19-16,0)*1+IF(IV19&gt;17,IV19-17,0)*1+IF(IV19&gt;18,IV19-18,0)*1+IF(IV19&gt;19,IV19-19,0)*1+IF(IV19&gt;20,IV19-20,0)*1</f>
        <v>86.769230769230802</v>
      </c>
      <c r="IZ19" s="242">
        <f>IF(IW19&gt;0,IW19,0)*1+IF(IW19&gt;12,IW19-12,0)*1+IF(IW19&gt;13,IW19-13,0)*1+IF(IW19&gt;14,IW19-14,0)*1+IF(IW19&gt;15,IW19-15,0)*1+IF(IW19&gt;16,IW19-16,0)*1+IF(IW19&gt;17,IW19-17,0)*1+IF(IW19&gt;18,IW19-18,0)*1+IF(IW19&gt;19,IW19-19,0)*1+IF(IW19&gt;20,IW19-20,0)*1</f>
        <v>0</v>
      </c>
      <c r="JA19" s="243">
        <f t="shared" si="8"/>
        <v>86.769230769230802</v>
      </c>
      <c r="JB19" s="218">
        <f t="shared" si="97"/>
        <v>0</v>
      </c>
      <c r="JE19" s="148"/>
    </row>
    <row r="20" spans="2:265" hidden="1" outlineLevel="2">
      <c r="B20" s="148">
        <v>10</v>
      </c>
      <c r="C20" s="303" t="e">
        <f>VLOOKUP(AF20,Attribute!C:T,1,FALSE)</f>
        <v>#N/A</v>
      </c>
      <c r="D20" s="127" t="s">
        <v>80</v>
      </c>
      <c r="E20" s="125" t="s">
        <v>134</v>
      </c>
      <c r="F20" s="114"/>
      <c r="G20" s="113">
        <f>Konvention_1master-KLmaster</f>
        <v>12</v>
      </c>
      <c r="H20" s="113">
        <f>Konvention_1master-INmaster</f>
        <v>12</v>
      </c>
      <c r="I20" s="113"/>
      <c r="J20" s="113"/>
      <c r="K20" s="113"/>
      <c r="L20" s="113"/>
      <c r="M20" s="119"/>
      <c r="N20" s="222">
        <f>(G20+H20+H20)/3</f>
        <v>12</v>
      </c>
      <c r="O20" s="223">
        <f t="shared" si="9"/>
        <v>24</v>
      </c>
      <c r="P20" s="224">
        <f t="shared" si="10"/>
        <v>36</v>
      </c>
      <c r="Q20" s="237">
        <f>H20*POWER(KLmaster,SIGN(G20))*POWER(INmaster,SIGN(H20))+H20*POWER(KLmaster,SIGN(G20))*POWER(INmaster,SIGN(H20))+G20*POWER(INmaster,SIGN(H20))*POWER(INmaster,SIGN(H20))</f>
        <v>2304</v>
      </c>
      <c r="R20" s="113">
        <f>G20*H20*INmaster+G20*INmaster*H20+KLmaster*H20*H20</f>
        <v>3456</v>
      </c>
      <c r="S20" s="224">
        <f>G20*H20*H20</f>
        <v>1728</v>
      </c>
      <c r="T20" s="242">
        <f t="shared" si="98"/>
        <v>7488</v>
      </c>
      <c r="U20" s="222">
        <f t="shared" si="12"/>
        <v>3.6923076923076925</v>
      </c>
      <c r="V20" s="223">
        <f t="shared" si="13"/>
        <v>11.076923076923077</v>
      </c>
      <c r="W20" s="243">
        <f t="shared" si="14"/>
        <v>8.3076923076923084</v>
      </c>
      <c r="X20" s="218">
        <f t="shared" si="15"/>
        <v>23.07692307692308</v>
      </c>
      <c r="Y20" s="252">
        <v>0</v>
      </c>
      <c r="Z20" s="198">
        <f t="shared" si="16"/>
        <v>23.07692307692308</v>
      </c>
      <c r="AA20" s="125">
        <f>IF(X20&gt;0,X20,0)*4+IF(X20&gt;12,X20-12,0)*4+IF(X20&gt;13,X20-13,0)*4+IF(X20&gt;14,X20-14,0)*4+IF(X20&gt;15,X20-15,0)*4+IF(X20&gt;16,X20-16,0)*4+IF(X20&gt;17,X20-17,0)*4+IF(X20&gt;18,X20-18,0)*4+IF(X20&gt;19,X20-19,0)*4+IF(X20&gt;20,X20-20,0)*4</f>
        <v>347.07692307692321</v>
      </c>
      <c r="AB20" s="160">
        <f>IF(Y20&gt;0,Y20,0)*4+IF(Y20&gt;12,Y20-12,0)*4+IF(Y20&gt;13,Y20-13,0)*4+IF(Y20&gt;14,Y20-14,0)*4+IF(Y20&gt;15,Y20-15,0)*4+IF(Y20&gt;16,Y20-16,0)*4+IF(Y20&gt;17,Y20-17,0)*4+IF(Y20&gt;18,Y20-18,0)*4+IF(Y20&gt;19,Y20-19,0)*4+IF(Y20&gt;20,Y20-20,0)*4</f>
        <v>0</v>
      </c>
      <c r="AC20" s="127">
        <f t="shared" si="0"/>
        <v>347.07692307692321</v>
      </c>
      <c r="AD20" s="125">
        <f t="shared" si="17"/>
        <v>0</v>
      </c>
      <c r="AF20" s="163" t="s">
        <v>18</v>
      </c>
      <c r="AG20" s="127" t="s">
        <v>80</v>
      </c>
      <c r="AH20" s="125" t="s">
        <v>134</v>
      </c>
      <c r="AI20" s="114"/>
      <c r="AJ20" s="113">
        <f>Konvention_1slave-KLslave</f>
        <v>12</v>
      </c>
      <c r="AK20" s="113">
        <f>Konvention_1slave-INslave</f>
        <v>12</v>
      </c>
      <c r="AL20" s="113"/>
      <c r="AM20" s="113"/>
      <c r="AN20" s="113"/>
      <c r="AO20" s="113"/>
      <c r="AP20" s="119"/>
      <c r="AQ20" s="89">
        <f>(AJ20+AK20+AK20)/3</f>
        <v>12</v>
      </c>
      <c r="AR20" s="47">
        <f t="shared" si="18"/>
        <v>24</v>
      </c>
      <c r="AS20" s="119">
        <f t="shared" si="19"/>
        <v>36</v>
      </c>
      <c r="AT20" s="114">
        <f>AK20*POWER(KLslave,SIGN(AJ20))*POWER(INslave,SIGN(AK20))+AK20*POWER(KLslave,SIGN(AJ20))*POWER(INslave,SIGN(AK20))+AJ20*POWER(INslave,SIGN(AK20))*POWER(INslave,SIGN(AK20))</f>
        <v>2304</v>
      </c>
      <c r="AU20" s="113">
        <f>AJ20*AK20*INslave+AJ20*INslave*AK20+KLslave*AK20*AK20</f>
        <v>3456</v>
      </c>
      <c r="AV20" s="119">
        <f>AJ20*AK20*AK20</f>
        <v>1728</v>
      </c>
      <c r="AW20" s="160">
        <f t="shared" si="99"/>
        <v>7488</v>
      </c>
      <c r="AX20" s="89">
        <f t="shared" si="21"/>
        <v>3.6923076923076925</v>
      </c>
      <c r="AY20" s="47">
        <f t="shared" si="22"/>
        <v>11.076923076923077</v>
      </c>
      <c r="AZ20" s="127">
        <f t="shared" si="23"/>
        <v>8.3076923076923084</v>
      </c>
      <c r="BA20" s="125">
        <f t="shared" si="24"/>
        <v>23.07692307692308</v>
      </c>
      <c r="BB20" s="165">
        <f t="shared" si="25"/>
        <v>0</v>
      </c>
      <c r="BC20" s="198">
        <f t="shared" si="26"/>
        <v>23.07692307692308</v>
      </c>
      <c r="BD20" s="125">
        <f>IF(BA20&gt;0,BA20,0)*4+IF(BA20&gt;12,BA20-12,0)*4+IF(BA20&gt;13,BA20-13,0)*4+IF(BA20&gt;14,BA20-14,0)*4+IF(BA20&gt;15,BA20-15,0)*4+IF(BA20&gt;16,BA20-16,0)*4+IF(BA20&gt;17,BA20-17,0)*4+IF(BA20&gt;18,BA20-18,0)*4+IF(BA20&gt;19,BA20-19,0)*4+IF(BA20&gt;20,BA20-20,0)*4</f>
        <v>347.07692307692321</v>
      </c>
      <c r="BE20" s="160">
        <f>IF(BB20&gt;0,BB20,0)*4+IF(BB20&gt;12,BB20-12,0)*4+IF(BB20&gt;13,BB20-13,0)*4+IF(BB20&gt;14,BB20-14,0)*4+IF(BB20&gt;15,BB20-15,0)*4+IF(BB20&gt;16,BB20-16,0)*4+IF(BB20&gt;17,BB20-17,0)*4+IF(BB20&gt;18,BB20-18,0)*4+IF(BB20&gt;19,BB20-19,0)*4+IF(BB20&gt;20,BB20-20,0)*4</f>
        <v>0</v>
      </c>
      <c r="BF20" s="243">
        <f t="shared" si="1"/>
        <v>347.07692307692321</v>
      </c>
      <c r="BG20" s="218">
        <f t="shared" si="27"/>
        <v>0</v>
      </c>
      <c r="BI20" s="303" t="s">
        <v>18</v>
      </c>
      <c r="BJ20" s="243" t="s">
        <v>80</v>
      </c>
      <c r="BK20" s="218" t="s">
        <v>134</v>
      </c>
      <c r="BL20" s="237"/>
      <c r="BM20" s="234">
        <f>Konvention_1slave-KLslave_KL</f>
        <v>11</v>
      </c>
      <c r="BN20" s="234">
        <f>Konvention_1slave-INslave</f>
        <v>12</v>
      </c>
      <c r="BO20" s="234"/>
      <c r="BP20" s="234"/>
      <c r="BQ20" s="234"/>
      <c r="BR20" s="234"/>
      <c r="BS20" s="224"/>
      <c r="BT20" s="222">
        <f>(BM20+BN20+BN20)/3</f>
        <v>11.666666666666666</v>
      </c>
      <c r="BU20" s="223">
        <f t="shared" si="28"/>
        <v>23.333333333333332</v>
      </c>
      <c r="BV20" s="224">
        <f t="shared" si="29"/>
        <v>35</v>
      </c>
      <c r="BW20" s="237">
        <f>BN20*POWER(KLslave_KL,SIGN(BM20))*POWER(INslave,SIGN(BN20))+BN20*POWER(KLslave_KL,SIGN(BM20))*POWER(INslave,SIGN(BN20))+BM20*POWER(INslave,SIGN(BN20))*POWER(INslave,SIGN(BN20))</f>
        <v>2432</v>
      </c>
      <c r="BX20" s="234">
        <f>BM20*BN20*INslave+BM20*INslave*BN20+KLslave_KL*BN20*BN20</f>
        <v>3408</v>
      </c>
      <c r="BY20" s="224">
        <f>BM20*BN20*BN20</f>
        <v>1584</v>
      </c>
      <c r="BZ20" s="242">
        <f t="shared" si="100"/>
        <v>7424</v>
      </c>
      <c r="CA20" s="222">
        <f t="shared" si="31"/>
        <v>3.8218390804597702</v>
      </c>
      <c r="CB20" s="223">
        <f t="shared" si="32"/>
        <v>10.711206896551724</v>
      </c>
      <c r="CC20" s="243">
        <f t="shared" si="33"/>
        <v>7.4676724137931032</v>
      </c>
      <c r="CD20" s="218">
        <f t="shared" si="34"/>
        <v>22.000718390804597</v>
      </c>
      <c r="CE20" s="252">
        <f t="shared" si="35"/>
        <v>0</v>
      </c>
      <c r="CF20" s="309">
        <f t="shared" si="36"/>
        <v>22.000718390804597</v>
      </c>
      <c r="CG20" s="218">
        <f>IF(CD20&gt;0,CD20,0)*4+IF(CD20&gt;12,CD20-12,0)*4+IF(CD20&gt;13,CD20-13,0)*4+IF(CD20&gt;14,CD20-14,0)*4+IF(CD20&gt;15,CD20-15,0)*4+IF(CD20&gt;16,CD20-16,0)*4+IF(CD20&gt;17,CD20-17,0)*4+IF(CD20&gt;18,CD20-18,0)*4+IF(CD20&gt;19,CD20-19,0)*4+IF(CD20&gt;20,CD20-20,0)*4</f>
        <v>304.02873563218378</v>
      </c>
      <c r="CH20" s="242">
        <f>IF(CE20&gt;0,CE20,0)*4+IF(CE20&gt;12,CE20-12,0)*4+IF(CE20&gt;13,CE20-13,0)*4+IF(CE20&gt;14,CE20-14,0)*4+IF(CE20&gt;15,CE20-15,0)*4+IF(CE20&gt;16,CE20-16,0)*4+IF(CE20&gt;17,CE20-17,0)*4+IF(CE20&gt;18,CE20-18,0)*4+IF(CE20&gt;19,CE20-19,0)*4+IF(CE20&gt;20,CE20-20,0)*4</f>
        <v>0</v>
      </c>
      <c r="CI20" s="243">
        <f t="shared" si="2"/>
        <v>304.02873563218378</v>
      </c>
      <c r="CJ20" s="218">
        <f t="shared" si="37"/>
        <v>0</v>
      </c>
      <c r="CL20" s="303" t="s">
        <v>18</v>
      </c>
      <c r="CM20" s="243" t="s">
        <v>80</v>
      </c>
      <c r="CN20" s="218" t="s">
        <v>134</v>
      </c>
      <c r="CO20" s="237"/>
      <c r="CP20" s="234">
        <f>Konvention_1slave-KLslave</f>
        <v>12</v>
      </c>
      <c r="CQ20" s="234">
        <f>Konvention_1slave-INslave_IN</f>
        <v>11</v>
      </c>
      <c r="CR20" s="234"/>
      <c r="CS20" s="234"/>
      <c r="CT20" s="234"/>
      <c r="CU20" s="234"/>
      <c r="CV20" s="224"/>
      <c r="CW20" s="222">
        <f>(CP20+CQ20+CQ20)/3</f>
        <v>11.333333333333334</v>
      </c>
      <c r="CX20" s="223">
        <f t="shared" si="38"/>
        <v>22.666666666666668</v>
      </c>
      <c r="CY20" s="224">
        <f t="shared" si="39"/>
        <v>34</v>
      </c>
      <c r="CZ20" s="237">
        <f>CQ20*POWER(KLslave,SIGN(CP20))*POWER(INslave_IN,SIGN(CQ20))+CQ20*POWER(KLslave,SIGN(CP20))*POWER(INslave_IN,SIGN(CQ20))+CP20*POWER(INslave_IN,SIGN(CQ20))*POWER(INslave_IN,SIGN(CQ20))</f>
        <v>2556</v>
      </c>
      <c r="DA20" s="234">
        <f>CP20*CQ20*INslave_IN+CP20*INslave_IN*CQ20+KLslave*CQ20*CQ20</f>
        <v>3344</v>
      </c>
      <c r="DB20" s="224">
        <f>CP20*CQ20*CQ20</f>
        <v>1452</v>
      </c>
      <c r="DC20" s="242">
        <f t="shared" si="101"/>
        <v>7352</v>
      </c>
      <c r="DD20" s="222">
        <f t="shared" si="41"/>
        <v>3.940152339499456</v>
      </c>
      <c r="DE20" s="223">
        <f t="shared" si="42"/>
        <v>10.309756982227059</v>
      </c>
      <c r="DF20" s="243">
        <f t="shared" si="43"/>
        <v>6.714907508161045</v>
      </c>
      <c r="DG20" s="218">
        <f t="shared" si="44"/>
        <v>20.96481682988756</v>
      </c>
      <c r="DH20" s="252">
        <f t="shared" si="45"/>
        <v>0</v>
      </c>
      <c r="DI20" s="309">
        <f t="shared" si="46"/>
        <v>20.96481682988756</v>
      </c>
      <c r="DJ20" s="218">
        <f>IF(DG20&gt;0,DG20,0)*4+IF(DG20&gt;12,DG20-12,0)*4+IF(DG20&gt;13,DG20-13,0)*4+IF(DG20&gt;14,DG20-14,0)*4+IF(DG20&gt;15,DG20-15,0)*4+IF(DG20&gt;16,DG20-16,0)*4+IF(DG20&gt;17,DG20-17,0)*4+IF(DG20&gt;18,DG20-18,0)*4+IF(DG20&gt;19,DG20-19,0)*4+IF(DG20&gt;20,DG20-20,0)*4</f>
        <v>262.59267319550236</v>
      </c>
      <c r="DK20" s="242">
        <f>IF(DH20&gt;0,DH20,0)*4+IF(DH20&gt;12,DH20-12,0)*4+IF(DH20&gt;13,DH20-13,0)*4+IF(DH20&gt;14,DH20-14,0)*4+IF(DH20&gt;15,DH20-15,0)*4+IF(DH20&gt;16,DH20-16,0)*4+IF(DH20&gt;17,DH20-17,0)*4+IF(DH20&gt;18,DH20-18,0)*4+IF(DH20&gt;19,DH20-19,0)*4+IF(DH20&gt;20,DH20-20,0)*4</f>
        <v>0</v>
      </c>
      <c r="DL20" s="243">
        <f t="shared" si="3"/>
        <v>262.59267319550236</v>
      </c>
      <c r="DM20" s="218">
        <f t="shared" si="47"/>
        <v>0</v>
      </c>
      <c r="DO20" s="303" t="s">
        <v>18</v>
      </c>
      <c r="DP20" s="243" t="s">
        <v>80</v>
      </c>
      <c r="DQ20" s="218" t="s">
        <v>134</v>
      </c>
      <c r="DR20" s="237"/>
      <c r="DS20" s="234">
        <f>Konvention_1slave-KLslave</f>
        <v>12</v>
      </c>
      <c r="DT20" s="234">
        <f>Konvention_1slave-INslave</f>
        <v>12</v>
      </c>
      <c r="DU20" s="234"/>
      <c r="DV20" s="234"/>
      <c r="DW20" s="234"/>
      <c r="DX20" s="234"/>
      <c r="DY20" s="224"/>
      <c r="DZ20" s="222">
        <f>(DS20+DT20+DT20)/3</f>
        <v>12</v>
      </c>
      <c r="EA20" s="223">
        <f t="shared" si="48"/>
        <v>24</v>
      </c>
      <c r="EB20" s="224">
        <f t="shared" si="49"/>
        <v>36</v>
      </c>
      <c r="EC20" s="237">
        <f>DT20*POWER(KLslave,SIGN(DS20))*POWER(INslave,SIGN(DT20))+DT20*POWER(KLslave,SIGN(DS20))*POWER(INslave,SIGN(DT20))+DS20*POWER(INslave,SIGN(DT20))*POWER(INslave,SIGN(DT20))</f>
        <v>2304</v>
      </c>
      <c r="ED20" s="234">
        <f>DS20*DT20*INslave+DS20*INslave*DT20+KLslave*DT20*DT20</f>
        <v>3456</v>
      </c>
      <c r="EE20" s="224">
        <f>DS20*DT20*DT20</f>
        <v>1728</v>
      </c>
      <c r="EF20" s="242">
        <f t="shared" si="102"/>
        <v>7488</v>
      </c>
      <c r="EG20" s="222">
        <f t="shared" si="51"/>
        <v>3.6923076923076925</v>
      </c>
      <c r="EH20" s="223">
        <f t="shared" si="52"/>
        <v>11.076923076923077</v>
      </c>
      <c r="EI20" s="243">
        <f t="shared" si="53"/>
        <v>8.3076923076923084</v>
      </c>
      <c r="EJ20" s="218">
        <f t="shared" si="54"/>
        <v>23.07692307692308</v>
      </c>
      <c r="EK20" s="252">
        <f t="shared" si="55"/>
        <v>0</v>
      </c>
      <c r="EL20" s="309">
        <f t="shared" si="56"/>
        <v>23.07692307692308</v>
      </c>
      <c r="EM20" s="218">
        <f>IF(EJ20&gt;0,EJ20,0)*4+IF(EJ20&gt;12,EJ20-12,0)*4+IF(EJ20&gt;13,EJ20-13,0)*4+IF(EJ20&gt;14,EJ20-14,0)*4+IF(EJ20&gt;15,EJ20-15,0)*4+IF(EJ20&gt;16,EJ20-16,0)*4+IF(EJ20&gt;17,EJ20-17,0)*4+IF(EJ20&gt;18,EJ20-18,0)*4+IF(EJ20&gt;19,EJ20-19,0)*4+IF(EJ20&gt;20,EJ20-20,0)*4</f>
        <v>347.07692307692321</v>
      </c>
      <c r="EN20" s="242">
        <f>IF(EK20&gt;0,EK20,0)*4+IF(EK20&gt;12,EK20-12,0)*4+IF(EK20&gt;13,EK20-13,0)*4+IF(EK20&gt;14,EK20-14,0)*4+IF(EK20&gt;15,EK20-15,0)*4+IF(EK20&gt;16,EK20-16,0)*4+IF(EK20&gt;17,EK20-17,0)*4+IF(EK20&gt;18,EK20-18,0)*4+IF(EK20&gt;19,EK20-19,0)*4+IF(EK20&gt;20,EK20-20,0)*4</f>
        <v>0</v>
      </c>
      <c r="EO20" s="243">
        <f t="shared" si="4"/>
        <v>347.07692307692321</v>
      </c>
      <c r="EP20" s="218">
        <f t="shared" si="57"/>
        <v>0</v>
      </c>
      <c r="ER20" s="303" t="s">
        <v>18</v>
      </c>
      <c r="ES20" s="243" t="s">
        <v>80</v>
      </c>
      <c r="ET20" s="218" t="s">
        <v>134</v>
      </c>
      <c r="EU20" s="237"/>
      <c r="EV20" s="234">
        <f>Konvention_1slave-KLslave</f>
        <v>12</v>
      </c>
      <c r="EW20" s="234">
        <f>Konvention_1slave-INslave</f>
        <v>12</v>
      </c>
      <c r="EX20" s="234"/>
      <c r="EY20" s="234"/>
      <c r="EZ20" s="234"/>
      <c r="FA20" s="234"/>
      <c r="FB20" s="224"/>
      <c r="FC20" s="222">
        <f>(EV20+EW20+EW20)/3</f>
        <v>12</v>
      </c>
      <c r="FD20" s="223">
        <f t="shared" si="58"/>
        <v>24</v>
      </c>
      <c r="FE20" s="224">
        <f t="shared" si="59"/>
        <v>36</v>
      </c>
      <c r="FF20" s="237">
        <f>EW20*POWER(KLslave,SIGN(EV20))*POWER(INslave,SIGN(EW20))+EW20*POWER(KLslave,SIGN(EV20))*POWER(INslave,SIGN(EW20))+EV20*POWER(INslave,SIGN(EW20))*POWER(INslave,SIGN(EW20))</f>
        <v>2304</v>
      </c>
      <c r="FG20" s="234">
        <f>EV20*EW20*INslave+EV20*INslave*EW20+KLslave*EW20*EW20</f>
        <v>3456</v>
      </c>
      <c r="FH20" s="224">
        <f>EV20*EW20*EW20</f>
        <v>1728</v>
      </c>
      <c r="FI20" s="242">
        <f t="shared" si="103"/>
        <v>7488</v>
      </c>
      <c r="FJ20" s="222">
        <f t="shared" si="61"/>
        <v>3.6923076923076925</v>
      </c>
      <c r="FK20" s="223">
        <f t="shared" si="62"/>
        <v>11.076923076923077</v>
      </c>
      <c r="FL20" s="243">
        <f t="shared" si="63"/>
        <v>8.3076923076923084</v>
      </c>
      <c r="FM20" s="218">
        <f t="shared" si="64"/>
        <v>23.07692307692308</v>
      </c>
      <c r="FN20" s="252">
        <f t="shared" si="65"/>
        <v>0</v>
      </c>
      <c r="FO20" s="309">
        <f t="shared" si="66"/>
        <v>23.07692307692308</v>
      </c>
      <c r="FP20" s="218">
        <f>IF(FM20&gt;0,FM20,0)*4+IF(FM20&gt;12,FM20-12,0)*4+IF(FM20&gt;13,FM20-13,0)*4+IF(FM20&gt;14,FM20-14,0)*4+IF(FM20&gt;15,FM20-15,0)*4+IF(FM20&gt;16,FM20-16,0)*4+IF(FM20&gt;17,FM20-17,0)*4+IF(FM20&gt;18,FM20-18,0)*4+IF(FM20&gt;19,FM20-19,0)*4+IF(FM20&gt;20,FM20-20,0)*4</f>
        <v>347.07692307692321</v>
      </c>
      <c r="FQ20" s="242">
        <f>IF(FN20&gt;0,FN20,0)*4+IF(FN20&gt;12,FN20-12,0)*4+IF(FN20&gt;13,FN20-13,0)*4+IF(FN20&gt;14,FN20-14,0)*4+IF(FN20&gt;15,FN20-15,0)*4+IF(FN20&gt;16,FN20-16,0)*4+IF(FN20&gt;17,FN20-17,0)*4+IF(FN20&gt;18,FN20-18,0)*4+IF(FN20&gt;19,FN20-19,0)*4+IF(FN20&gt;20,FN20-20,0)*4</f>
        <v>0</v>
      </c>
      <c r="FR20" s="243">
        <f t="shared" si="5"/>
        <v>347.07692307692321</v>
      </c>
      <c r="FS20" s="218">
        <f t="shared" si="67"/>
        <v>0</v>
      </c>
      <c r="FU20" s="303" t="s">
        <v>18</v>
      </c>
      <c r="FV20" s="243" t="s">
        <v>80</v>
      </c>
      <c r="FW20" s="218" t="s">
        <v>134</v>
      </c>
      <c r="FX20" s="237"/>
      <c r="FY20" s="234">
        <f>Konvention_1slave-KLslave</f>
        <v>12</v>
      </c>
      <c r="FZ20" s="234">
        <f>Konvention_1slave-INslave</f>
        <v>12</v>
      </c>
      <c r="GA20" s="234"/>
      <c r="GB20" s="234"/>
      <c r="GC20" s="234"/>
      <c r="GD20" s="234"/>
      <c r="GE20" s="224"/>
      <c r="GF20" s="222">
        <f>(FY20+FZ20+FZ20)/3</f>
        <v>12</v>
      </c>
      <c r="GG20" s="223">
        <f t="shared" si="68"/>
        <v>24</v>
      </c>
      <c r="GH20" s="224">
        <f t="shared" si="69"/>
        <v>36</v>
      </c>
      <c r="GI20" s="237">
        <f>FZ20*POWER(KLslave,SIGN(FY20))*POWER(INslave,SIGN(FZ20))+FZ20*POWER(KLslave,SIGN(FY20))*POWER(INslave,SIGN(FZ20))+FY20*POWER(INslave,SIGN(FZ20))*POWER(INslave,SIGN(FZ20))</f>
        <v>2304</v>
      </c>
      <c r="GJ20" s="234">
        <f>FY20*FZ20*INslave+FY20*INslave*FZ20+KLslave*FZ20*FZ20</f>
        <v>3456</v>
      </c>
      <c r="GK20" s="224">
        <f>FY20*FZ20*FZ20</f>
        <v>1728</v>
      </c>
      <c r="GL20" s="242">
        <f t="shared" si="104"/>
        <v>7488</v>
      </c>
      <c r="GM20" s="222">
        <f t="shared" si="71"/>
        <v>3.6923076923076925</v>
      </c>
      <c r="GN20" s="223">
        <f t="shared" si="72"/>
        <v>11.076923076923077</v>
      </c>
      <c r="GO20" s="243">
        <f t="shared" si="73"/>
        <v>8.3076923076923084</v>
      </c>
      <c r="GP20" s="218">
        <f t="shared" si="74"/>
        <v>23.07692307692308</v>
      </c>
      <c r="GQ20" s="252">
        <f t="shared" si="75"/>
        <v>0</v>
      </c>
      <c r="GR20" s="309">
        <f t="shared" si="76"/>
        <v>23.07692307692308</v>
      </c>
      <c r="GS20" s="218">
        <f>IF(GP20&gt;0,GP20,0)*4+IF(GP20&gt;12,GP20-12,0)*4+IF(GP20&gt;13,GP20-13,0)*4+IF(GP20&gt;14,GP20-14,0)*4+IF(GP20&gt;15,GP20-15,0)*4+IF(GP20&gt;16,GP20-16,0)*4+IF(GP20&gt;17,GP20-17,0)*4+IF(GP20&gt;18,GP20-18,0)*4+IF(GP20&gt;19,GP20-19,0)*4+IF(GP20&gt;20,GP20-20,0)*4</f>
        <v>347.07692307692321</v>
      </c>
      <c r="GT20" s="242">
        <f>IF(GQ20&gt;0,GQ20,0)*4+IF(GQ20&gt;12,GQ20-12,0)*4+IF(GQ20&gt;13,GQ20-13,0)*4+IF(GQ20&gt;14,GQ20-14,0)*4+IF(GQ20&gt;15,GQ20-15,0)*4+IF(GQ20&gt;16,GQ20-16,0)*4+IF(GQ20&gt;17,GQ20-17,0)*4+IF(GQ20&gt;18,GQ20-18,0)*4+IF(GQ20&gt;19,GQ20-19,0)*4+IF(GQ20&gt;20,GQ20-20,0)*4</f>
        <v>0</v>
      </c>
      <c r="GU20" s="243">
        <f t="shared" si="6"/>
        <v>347.07692307692321</v>
      </c>
      <c r="GV20" s="218">
        <f t="shared" si="77"/>
        <v>0</v>
      </c>
      <c r="GX20" s="303" t="s">
        <v>18</v>
      </c>
      <c r="GY20" s="243" t="s">
        <v>80</v>
      </c>
      <c r="GZ20" s="218" t="s">
        <v>134</v>
      </c>
      <c r="HA20" s="237"/>
      <c r="HB20" s="234">
        <f>Konvention_1slave-KLslave</f>
        <v>12</v>
      </c>
      <c r="HC20" s="234">
        <f>Konvention_1slave-INslave</f>
        <v>12</v>
      </c>
      <c r="HD20" s="234"/>
      <c r="HE20" s="234"/>
      <c r="HF20" s="234"/>
      <c r="HG20" s="234"/>
      <c r="HH20" s="224"/>
      <c r="HI20" s="222">
        <f>(HB20+HC20+HC20)/3</f>
        <v>12</v>
      </c>
      <c r="HJ20" s="223">
        <f t="shared" si="78"/>
        <v>24</v>
      </c>
      <c r="HK20" s="224">
        <f t="shared" si="79"/>
        <v>36</v>
      </c>
      <c r="HL20" s="237">
        <f>HC20*POWER(KLslave,SIGN(HB20))*POWER(INslave,SIGN(HC20))+HC20*POWER(KLslave,SIGN(HB20))*POWER(INslave,SIGN(HC20))+HB20*POWER(INslave,SIGN(HC20))*POWER(INslave,SIGN(HC20))</f>
        <v>2304</v>
      </c>
      <c r="HM20" s="234">
        <f>HB20*HC20*INslave+HB20*INslave*HC20+KLslave*HC20*HC20</f>
        <v>3456</v>
      </c>
      <c r="HN20" s="224">
        <f>HB20*HC20*HC20</f>
        <v>1728</v>
      </c>
      <c r="HO20" s="242">
        <f t="shared" si="105"/>
        <v>7488</v>
      </c>
      <c r="HP20" s="222">
        <f t="shared" si="81"/>
        <v>3.6923076923076925</v>
      </c>
      <c r="HQ20" s="223">
        <f t="shared" si="82"/>
        <v>11.076923076923077</v>
      </c>
      <c r="HR20" s="243">
        <f t="shared" si="83"/>
        <v>8.3076923076923084</v>
      </c>
      <c r="HS20" s="218">
        <f t="shared" si="84"/>
        <v>23.07692307692308</v>
      </c>
      <c r="HT20" s="252">
        <f t="shared" si="85"/>
        <v>0</v>
      </c>
      <c r="HU20" s="309">
        <f t="shared" si="86"/>
        <v>23.07692307692308</v>
      </c>
      <c r="HV20" s="218">
        <f>IF(HS20&gt;0,HS20,0)*4+IF(HS20&gt;12,HS20-12,0)*4+IF(HS20&gt;13,HS20-13,0)*4+IF(HS20&gt;14,HS20-14,0)*4+IF(HS20&gt;15,HS20-15,0)*4+IF(HS20&gt;16,HS20-16,0)*4+IF(HS20&gt;17,HS20-17,0)*4+IF(HS20&gt;18,HS20-18,0)*4+IF(HS20&gt;19,HS20-19,0)*4+IF(HS20&gt;20,HS20-20,0)*4</f>
        <v>347.07692307692321</v>
      </c>
      <c r="HW20" s="242">
        <f>IF(HT20&gt;0,HT20,0)*4+IF(HT20&gt;12,HT20-12,0)*4+IF(HT20&gt;13,HT20-13,0)*4+IF(HT20&gt;14,HT20-14,0)*4+IF(HT20&gt;15,HT20-15,0)*4+IF(HT20&gt;16,HT20-16,0)*4+IF(HT20&gt;17,HT20-17,0)*4+IF(HT20&gt;18,HT20-18,0)*4+IF(HT20&gt;19,HT20-19,0)*4+IF(HT20&gt;20,HT20-20,0)*4</f>
        <v>0</v>
      </c>
      <c r="HX20" s="243">
        <f t="shared" si="7"/>
        <v>347.07692307692321</v>
      </c>
      <c r="HY20" s="218">
        <f t="shared" si="87"/>
        <v>0</v>
      </c>
      <c r="IA20" s="303" t="s">
        <v>18</v>
      </c>
      <c r="IB20" s="243" t="s">
        <v>80</v>
      </c>
      <c r="IC20" s="218" t="s">
        <v>134</v>
      </c>
      <c r="ID20" s="237"/>
      <c r="IE20" s="234">
        <f>Konvention_1slave-KLslave</f>
        <v>12</v>
      </c>
      <c r="IF20" s="234">
        <f>Konvention_1slave-INslave</f>
        <v>12</v>
      </c>
      <c r="IG20" s="234"/>
      <c r="IH20" s="234"/>
      <c r="II20" s="234"/>
      <c r="IJ20" s="234"/>
      <c r="IK20" s="224"/>
      <c r="IL20" s="222">
        <f>(IE20+IF20+IF20)/3</f>
        <v>12</v>
      </c>
      <c r="IM20" s="223">
        <f t="shared" si="88"/>
        <v>24</v>
      </c>
      <c r="IN20" s="224">
        <f t="shared" si="89"/>
        <v>36</v>
      </c>
      <c r="IO20" s="237">
        <f>IF20*POWER(KLslave,SIGN(IE20))*POWER(INslave,SIGN(IF20))+IF20*POWER(KLslave,SIGN(IE20))*POWER(INslave,SIGN(IF20))+IE20*POWER(INslave,SIGN(IF20))*POWER(INslave,SIGN(IF20))</f>
        <v>2304</v>
      </c>
      <c r="IP20" s="234">
        <f>IE20*IF20*INslave+IE20*INslave*IF20+KLslave*IF20*IF20</f>
        <v>3456</v>
      </c>
      <c r="IQ20" s="224">
        <f>IE20*IF20*IF20</f>
        <v>1728</v>
      </c>
      <c r="IR20" s="242">
        <f t="shared" si="106"/>
        <v>7488</v>
      </c>
      <c r="IS20" s="222">
        <f t="shared" si="91"/>
        <v>3.6923076923076925</v>
      </c>
      <c r="IT20" s="223">
        <f t="shared" si="92"/>
        <v>11.076923076923077</v>
      </c>
      <c r="IU20" s="243">
        <f t="shared" si="93"/>
        <v>8.3076923076923084</v>
      </c>
      <c r="IV20" s="218">
        <f t="shared" si="94"/>
        <v>23.07692307692308</v>
      </c>
      <c r="IW20" s="252">
        <f t="shared" si="95"/>
        <v>0</v>
      </c>
      <c r="IX20" s="309">
        <f t="shared" si="96"/>
        <v>23.07692307692308</v>
      </c>
      <c r="IY20" s="218">
        <f>IF(IV20&gt;0,IV20,0)*4+IF(IV20&gt;12,IV20-12,0)*4+IF(IV20&gt;13,IV20-13,0)*4+IF(IV20&gt;14,IV20-14,0)*4+IF(IV20&gt;15,IV20-15,0)*4+IF(IV20&gt;16,IV20-16,0)*4+IF(IV20&gt;17,IV20-17,0)*4+IF(IV20&gt;18,IV20-18,0)*4+IF(IV20&gt;19,IV20-19,0)*4+IF(IV20&gt;20,IV20-20,0)*4</f>
        <v>347.07692307692321</v>
      </c>
      <c r="IZ20" s="242">
        <f>IF(IW20&gt;0,IW20,0)*4+IF(IW20&gt;12,IW20-12,0)*4+IF(IW20&gt;13,IW20-13,0)*4+IF(IW20&gt;14,IW20-14,0)*4+IF(IW20&gt;15,IW20-15,0)*4+IF(IW20&gt;16,IW20-16,0)*4+IF(IW20&gt;17,IW20-17,0)*4+IF(IW20&gt;18,IW20-18,0)*4+IF(IW20&gt;19,IW20-19,0)*4+IF(IW20&gt;20,IW20-20,0)*4</f>
        <v>0</v>
      </c>
      <c r="JA20" s="243">
        <f t="shared" si="8"/>
        <v>347.07692307692321</v>
      </c>
      <c r="JB20" s="218">
        <f t="shared" si="97"/>
        <v>0</v>
      </c>
      <c r="JE20" s="148"/>
    </row>
    <row r="21" spans="2:265" hidden="1" outlineLevel="2">
      <c r="B21" s="148">
        <v>11</v>
      </c>
      <c r="C21" s="303" t="e">
        <f>VLOOKUP(AF21,Attribute!C:T,1,FALSE)</f>
        <v>#N/A</v>
      </c>
      <c r="D21" s="167" t="s">
        <v>81</v>
      </c>
      <c r="E21" s="125" t="s">
        <v>133</v>
      </c>
      <c r="F21" s="114"/>
      <c r="G21" s="113">
        <f>Konvention_1master-KLmaster</f>
        <v>12</v>
      </c>
      <c r="H21" s="113"/>
      <c r="I21" s="113">
        <f>Konvention_1master-CHmaster</f>
        <v>12</v>
      </c>
      <c r="J21" s="113"/>
      <c r="K21" s="113">
        <f>Konvention_1master-GEmaster</f>
        <v>12</v>
      </c>
      <c r="L21" s="113"/>
      <c r="M21" s="119"/>
      <c r="N21" s="222">
        <f>(F21+G21+H21+I21+J21+K21+L21+M21)/3</f>
        <v>12</v>
      </c>
      <c r="O21" s="223">
        <f t="shared" si="9"/>
        <v>24</v>
      </c>
      <c r="P21" s="224">
        <f t="shared" si="10"/>
        <v>36</v>
      </c>
      <c r="Q21" s="237">
        <f>F21*POWER(KLmaster,SIGN(G21))*POWER(INmaster,SIGN(H21))*POWER(CHmaster,SIGN(I21))*POWER(FFmaster,SIGN(J21))*POWER(GEmaster,SIGN(K21))*POWER(KOmaster,SIGN(L21))*POWER(KKmaster,SIGN(M21))+G21*POWER(MUmaster,SIGN(F21))*POWER(INmaster,SIGN(H21))*POWER(CHmaster,SIGN(I21))*POWER(FFmaster,SIGN(J21))*POWER(GEmaster,SIGN(K21))*POWER(KOmaster,SIGN(L21))*POWER(KKmaster,SIGN(M21))+H21*POWER(MUmaster,SIGN(F21))*POWER(KLmaster,SIGN(G21))*POWER(CHmaster,SIGN(I21))*POWER(FFmaster,SIGN(J21))*POWER(GEmaster,SIGN(K21))*POWER(KOmaster,SIGN(L21))*POWER(KKmaster,SIGN(M21))+I21*POWER(MUmaster,SIGN(F21))*POWER(KLmaster,SIGN(G21))*POWER(INmaster,SIGN(H21))*POWER(FFmaster,SIGN(J21))*POWER(GEmaster,SIGN(K21))*POWER(KOmaster,SIGN(L21))*POWER(KKmaster,SIGN(M21))+J21*POWER(MUmaster,SIGN(F21))*POWER(KLmaster,SIGN(G21))*POWER(INmaster,SIGN(H21))*POWER(CHmaster,SIGN(I21))*POWER(GEmaster,SIGN(K21))*POWER(KOmaster,SIGN(L21))*POWER(KKmaster,SIGN(M21))+K21*POWER(MUmaster,SIGN(F21))*POWER(KLmaster,SIGN(G21))*POWER(INmaster,SIGN(H21))*POWER(CHmaster,SIGN(I21))*POWER(FFmaster,SIGN(J21))*POWER(KOmaster,SIGN(L21))*POWER(KKmaster,SIGN(M21))+L21*POWER(MUmaster,SIGN(F21))*POWER(KLmaster,SIGN(G21))*POWER(INmaster,SIGN(H21))*POWER(CHmaster,SIGN(I21))*POWER(FFmaster,SIGN(J21))*POWER(GEmaster,SIGN(K21))*POWER(KKmaster,SIGN(M21))+M21*POWER(MUmaster,SIGN(F21))*POWER(KLmaster,SIGN(G21))*POWER(INmaster,SIGN(H21))*POWER(CHmaster,SIGN(I21))*POWER(FFmaster,SIGN(J21))*POWER(GEmaster,SIGN(K21))*POWER(KOmaster,SIGN(L21))</f>
        <v>2304</v>
      </c>
      <c r="R21" s="113">
        <f>G21*I21*GEmaster+G21*CHmaster*K21+KLmaster*I21*K21</f>
        <v>3456</v>
      </c>
      <c r="S21" s="224">
        <f t="shared" si="11"/>
        <v>1728</v>
      </c>
      <c r="T21" s="242">
        <f t="shared" si="98"/>
        <v>7488</v>
      </c>
      <c r="U21" s="222">
        <f t="shared" si="12"/>
        <v>3.6923076923076925</v>
      </c>
      <c r="V21" s="223">
        <f t="shared" si="13"/>
        <v>11.076923076923077</v>
      </c>
      <c r="W21" s="243">
        <f t="shared" si="14"/>
        <v>8.3076923076923084</v>
      </c>
      <c r="X21" s="218">
        <f t="shared" si="15"/>
        <v>23.07692307692308</v>
      </c>
      <c r="Y21" s="252">
        <v>0</v>
      </c>
      <c r="Z21" s="198">
        <f t="shared" si="16"/>
        <v>23.07692307692308</v>
      </c>
      <c r="AA21" s="125">
        <f>IF(X21&gt;0,X21,0)*1+IF(X21&gt;12,X21-12,0)*1+IF(X21&gt;13,X21-13,0)*1+IF(X21&gt;14,X21-14,0)*1+IF(X21&gt;15,X21-15,0)*1+IF(X21&gt;16,X21-16,0)*1+IF(X21&gt;17,X21-17,0)*1+IF(X21&gt;18,X21-18,0)*1+IF(X21&gt;19,X21-19,0)*1+IF(X21&gt;20,X21-20,0)*1</f>
        <v>86.769230769230802</v>
      </c>
      <c r="AB21" s="160">
        <f>IF(Y21&gt;0,Y21,0)*1+IF(Y21&gt;12,Y21-12,0)*1+IF(Y21&gt;13,Y21-13,0)*1+IF(Y21&gt;14,Y21-14,0)*1+IF(Y21&gt;15,Y21-15,0)*1+IF(Y21&gt;16,Y21-16,0)*1+IF(Y21&gt;17,Y21-17,0)*1+IF(Y21&gt;18,Y21-18,0)*1+IF(Y21&gt;19,Y21-19,0)*1+IF(Y21&gt;20,Y21-20,0)*1</f>
        <v>0</v>
      </c>
      <c r="AC21" s="127">
        <f t="shared" si="0"/>
        <v>86.769230769230802</v>
      </c>
      <c r="AD21" s="125">
        <f t="shared" si="17"/>
        <v>0</v>
      </c>
      <c r="AF21" s="163" t="s">
        <v>19</v>
      </c>
      <c r="AG21" s="127" t="s">
        <v>81</v>
      </c>
      <c r="AH21" s="125" t="s">
        <v>133</v>
      </c>
      <c r="AI21" s="114"/>
      <c r="AJ21" s="113">
        <f>Konvention_1slave-KLslave</f>
        <v>12</v>
      </c>
      <c r="AK21" s="113"/>
      <c r="AL21" s="113">
        <f>Konvention_1slave-CHslave</f>
        <v>12</v>
      </c>
      <c r="AM21" s="113"/>
      <c r="AN21" s="113">
        <f>Konvention_1slave-GEslave</f>
        <v>12</v>
      </c>
      <c r="AO21" s="113"/>
      <c r="AP21" s="119"/>
      <c r="AQ21" s="89">
        <f>(AI21+AJ21+AK21+AL21+AM21+AN21+AO21+AP21)/3</f>
        <v>12</v>
      </c>
      <c r="AR21" s="47">
        <f t="shared" si="18"/>
        <v>24</v>
      </c>
      <c r="AS21" s="119">
        <f t="shared" si="19"/>
        <v>36</v>
      </c>
      <c r="AT21" s="114">
        <f>AI21*POWER(KLslave,SIGN(AJ21))*POWER(INslave,SIGN(AK21))*POWER(CHslave,SIGN(AL21))*POWER(FFslave,SIGN(AM21))*POWER(GEslave,SIGN(AN21))*POWER(KOslave,SIGN(AO21))*POWER(KKslave,SIGN(AP21))+AJ21*POWER(MUslave_MU,SIGN(AI21))*POWER(INslave,SIGN(AK21))*POWER(CHslave,SIGN(AL21))*POWER(FFslave,SIGN(AM21))*POWER(GEslave,SIGN(AN21))*POWER(KOslave,SIGN(AO21))*POWER(KKslave,SIGN(AP21))+AK21*POWER(MUslave_MU,SIGN(AI21))*POWER(KLslave,SIGN(AJ21))*POWER(CHslave,SIGN(AL21))*POWER(FFslave,SIGN(AM21))*POWER(GEslave,SIGN(AN21))*POWER(KOslave,SIGN(AO21))*POWER(KKslave,SIGN(AP21))+AL21*POWER(MUslave_MU,SIGN(AI21))*POWER(KLslave,SIGN(AJ21))*POWER(INslave,SIGN(AK21))*POWER(FFslave,SIGN(AM21))*POWER(GEslave,SIGN(AN21))*POWER(KOslave,SIGN(AO21))*POWER(KKslave,SIGN(AP21))+AM21*POWER(MUslave_MU,SIGN(AI21))*POWER(KLslave,SIGN(AJ21))*POWER(INslave,SIGN(AK21))*POWER(CHslave,SIGN(AL21))*POWER(GEslave,SIGN(AN21))*POWER(KOslave,SIGN(AO21))*POWER(KKslave,SIGN(AP21))+AN21*POWER(MUslave_MU,SIGN(AI21))*POWER(KLslave,SIGN(AJ21))*POWER(INslave,SIGN(AK21))*POWER(CHslave,SIGN(AL21))*POWER(FFslave,SIGN(AM21))*POWER(KOslave,SIGN(AO21))*POWER(KKslave,SIGN(AP21))+AO21*POWER(MUslave_MU,SIGN(AI21))*POWER(KLslave,SIGN(AJ21))*POWER(INslave,SIGN(AK21))*POWER(CHslave,SIGN(AL21))*POWER(FFslave,SIGN(AM21))*POWER(GEslave,SIGN(AN21))*POWER(KKslave,SIGN(AP21))+AP21*POWER(MUslave_MU,SIGN(AI21))*POWER(KLslave,SIGN(AJ21))*POWER(INslave,SIGN(AK21))*POWER(CHslave,SIGN(AL21))*POWER(FFslave,SIGN(AM21))*POWER(GEslave,SIGN(AN21))*POWER(KOslave,SIGN(AO21))</f>
        <v>2304</v>
      </c>
      <c r="AU21" s="113">
        <f>AJ21*AL21*GEslave+AJ21*CHslave*AN21+KLslave*AL21*AN21</f>
        <v>3456</v>
      </c>
      <c r="AV21" s="119">
        <f t="shared" si="20"/>
        <v>1728</v>
      </c>
      <c r="AW21" s="160">
        <f t="shared" si="99"/>
        <v>7488</v>
      </c>
      <c r="AX21" s="89">
        <f t="shared" si="21"/>
        <v>3.6923076923076925</v>
      </c>
      <c r="AY21" s="47">
        <f t="shared" si="22"/>
        <v>11.076923076923077</v>
      </c>
      <c r="AZ21" s="127">
        <f t="shared" si="23"/>
        <v>8.3076923076923084</v>
      </c>
      <c r="BA21" s="125">
        <f t="shared" si="24"/>
        <v>23.07692307692308</v>
      </c>
      <c r="BB21" s="165">
        <f t="shared" si="25"/>
        <v>0</v>
      </c>
      <c r="BC21" s="198">
        <f t="shared" si="26"/>
        <v>23.07692307692308</v>
      </c>
      <c r="BD21" s="125">
        <f>IF(BA21&gt;0,BA21,0)*1+IF(BA21&gt;12,BA21-12,0)*1+IF(BA21&gt;13,BA21-13,0)*1+IF(BA21&gt;14,BA21-14,0)*1+IF(BA21&gt;15,BA21-15,0)*1+IF(BA21&gt;16,BA21-16,0)*1+IF(BA21&gt;17,BA21-17,0)*1+IF(BA21&gt;18,BA21-18,0)*1+IF(BA21&gt;19,BA21-19,0)*1+IF(BA21&gt;20,BA21-20,0)*1</f>
        <v>86.769230769230802</v>
      </c>
      <c r="BE21" s="160">
        <f>IF(BB21&gt;0,BB21,0)*1+IF(BB21&gt;12,BB21-12,0)*1+IF(BB21&gt;13,BB21-13,0)*1+IF(BB21&gt;14,BB21-14,0)*1+IF(BB21&gt;15,BB21-15,0)*1+IF(BB21&gt;16,BB21-16,0)*1+IF(BB21&gt;17,BB21-17,0)*1+IF(BB21&gt;18,BB21-18,0)*1+IF(BB21&gt;19,BB21-19,0)*1+IF(BB21&gt;20,BB21-20,0)*1</f>
        <v>0</v>
      </c>
      <c r="BF21" s="243">
        <f t="shared" si="1"/>
        <v>86.769230769230802</v>
      </c>
      <c r="BG21" s="218">
        <f t="shared" si="27"/>
        <v>0</v>
      </c>
      <c r="BI21" s="303" t="s">
        <v>19</v>
      </c>
      <c r="BJ21" s="243" t="s">
        <v>81</v>
      </c>
      <c r="BK21" s="218" t="s">
        <v>133</v>
      </c>
      <c r="BL21" s="237"/>
      <c r="BM21" s="234">
        <f>Konvention_1slave-KLslave_KL</f>
        <v>11</v>
      </c>
      <c r="BN21" s="234"/>
      <c r="BO21" s="234">
        <f>Konvention_1slave-CHslave</f>
        <v>12</v>
      </c>
      <c r="BP21" s="234"/>
      <c r="BQ21" s="234">
        <f>Konvention_1slave-GEslave</f>
        <v>12</v>
      </c>
      <c r="BR21" s="234"/>
      <c r="BS21" s="224"/>
      <c r="BT21" s="222">
        <f>(BL21+BM21+BN21+BO21+BP21+BQ21+BR21+BS21)/3</f>
        <v>11.666666666666666</v>
      </c>
      <c r="BU21" s="223">
        <f t="shared" si="28"/>
        <v>23.333333333333332</v>
      </c>
      <c r="BV21" s="224">
        <f t="shared" si="29"/>
        <v>35</v>
      </c>
      <c r="BW21" s="237">
        <f>BL21*POWER(KLslave_KL,SIGN(BM21))*POWER(INslave,SIGN(BN21))*POWER(CHslave,SIGN(BO21))*POWER(FFslave,SIGN(BP21))*POWER(GEslave,SIGN(BQ21))*POWER(KOslave,SIGN(BR21))*POWER(KKslave,SIGN(BS21))+BM21*POWER(MUslave,SIGN(BL21))*POWER(INslave,SIGN(BN21))*POWER(CHslave,SIGN(BO21))*POWER(FFslave,SIGN(BP21))*POWER(GEslave,SIGN(BQ21))*POWER(KOslave,SIGN(BR21))*POWER(KKslave,SIGN(BS21))+BN21*POWER(MUslave,SIGN(BL21))*POWER(KLslave_KL,SIGN(BM21))*POWER(CHslave,SIGN(BO21))*POWER(FFslave,SIGN(BP21))*POWER(GEslave,SIGN(BQ21))*POWER(KOslave,SIGN(BR21))*POWER(KKslave,SIGN(BS21))+BO21*POWER(MUslave,SIGN(BL21))*POWER(KLslave_KL,SIGN(BM21))*POWER(INslave,SIGN(BN21))*POWER(FFslave,SIGN(BP21))*POWER(GEslave,SIGN(BQ21))*POWER(KOslave,SIGN(BR21))*POWER(KKslave,SIGN(BS21))+BP21*POWER(MUslave,SIGN(BL21))*POWER(KLslave_KL,SIGN(BM21))*POWER(INslave,SIGN(BN21))*POWER(CHslave,SIGN(BO21))*POWER(GEslave,SIGN(BQ21))*POWER(KOslave,SIGN(BR21))*POWER(KKslave,SIGN(BS21))+BQ21*POWER(MUslave,SIGN(BL21))*POWER(KLslave_KL,SIGN(BM21))*POWER(INslave,SIGN(BN21))*POWER(CHslave,SIGN(BO21))*POWER(FFslave,SIGN(BP21))*POWER(KOslave,SIGN(BR21))*POWER(KKslave,SIGN(BS21))+BR21*POWER(MUslave,SIGN(BL21))*POWER(KLslave_KL,SIGN(BM21))*POWER(INslave,SIGN(BN21))*POWER(CHslave,SIGN(BO21))*POWER(FFslave,SIGN(BP21))*POWER(GEslave,SIGN(BQ21))*POWER(KKslave,SIGN(BS21))+BS21*POWER(MUslave,SIGN(BL21))*POWER(KLslave_KL,SIGN(BM21))*POWER(INslave,SIGN(BN21))*POWER(CHslave,SIGN(BO21))*POWER(FFslave,SIGN(BP21))*POWER(GEslave,SIGN(BQ21))*POWER(KOslave,SIGN(BR21))</f>
        <v>2432</v>
      </c>
      <c r="BX21" s="234">
        <f>BM21*BO21*GEslave+BM21*CHslave*BQ21+KLslave_KL*BO21*BQ21</f>
        <v>3408</v>
      </c>
      <c r="BY21" s="224">
        <f t="shared" si="30"/>
        <v>1584</v>
      </c>
      <c r="BZ21" s="242">
        <f t="shared" si="100"/>
        <v>7424</v>
      </c>
      <c r="CA21" s="222">
        <f t="shared" si="31"/>
        <v>3.8218390804597702</v>
      </c>
      <c r="CB21" s="223">
        <f t="shared" si="32"/>
        <v>10.711206896551724</v>
      </c>
      <c r="CC21" s="243">
        <f t="shared" si="33"/>
        <v>7.4676724137931032</v>
      </c>
      <c r="CD21" s="218">
        <f t="shared" si="34"/>
        <v>22.000718390804597</v>
      </c>
      <c r="CE21" s="252">
        <f t="shared" si="35"/>
        <v>0</v>
      </c>
      <c r="CF21" s="309">
        <f t="shared" si="36"/>
        <v>22.000718390804597</v>
      </c>
      <c r="CG21" s="218">
        <f>IF(CD21&gt;0,CD21,0)*1+IF(CD21&gt;12,CD21-12,0)*1+IF(CD21&gt;13,CD21-13,0)*1+IF(CD21&gt;14,CD21-14,0)*1+IF(CD21&gt;15,CD21-15,0)*1+IF(CD21&gt;16,CD21-16,0)*1+IF(CD21&gt;17,CD21-17,0)*1+IF(CD21&gt;18,CD21-18,0)*1+IF(CD21&gt;19,CD21-19,0)*1+IF(CD21&gt;20,CD21-20,0)*1</f>
        <v>76.007183908045945</v>
      </c>
      <c r="CH21" s="242">
        <f>IF(CE21&gt;0,CE21,0)*1+IF(CE21&gt;12,CE21-12,0)*1+IF(CE21&gt;13,CE21-13,0)*1+IF(CE21&gt;14,CE21-14,0)*1+IF(CE21&gt;15,CE21-15,0)*1+IF(CE21&gt;16,CE21-16,0)*1+IF(CE21&gt;17,CE21-17,0)*1+IF(CE21&gt;18,CE21-18,0)*1+IF(CE21&gt;19,CE21-19,0)*1+IF(CE21&gt;20,CE21-20,0)*1</f>
        <v>0</v>
      </c>
      <c r="CI21" s="243">
        <f t="shared" si="2"/>
        <v>76.007183908045945</v>
      </c>
      <c r="CJ21" s="218">
        <f t="shared" si="37"/>
        <v>0</v>
      </c>
      <c r="CL21" s="303" t="s">
        <v>19</v>
      </c>
      <c r="CM21" s="243" t="s">
        <v>81</v>
      </c>
      <c r="CN21" s="218" t="s">
        <v>133</v>
      </c>
      <c r="CO21" s="237"/>
      <c r="CP21" s="234">
        <f>Konvention_1slave-KLslave</f>
        <v>12</v>
      </c>
      <c r="CQ21" s="234"/>
      <c r="CR21" s="234">
        <f>Konvention_1slave-CHslave</f>
        <v>12</v>
      </c>
      <c r="CS21" s="234"/>
      <c r="CT21" s="234">
        <f>Konvention_1slave-GEslave</f>
        <v>12</v>
      </c>
      <c r="CU21" s="234"/>
      <c r="CV21" s="224"/>
      <c r="CW21" s="222">
        <f>(CO21+CP21+CQ21+CR21+CS21+CT21+CU21+CV21)/3</f>
        <v>12</v>
      </c>
      <c r="CX21" s="223">
        <f t="shared" si="38"/>
        <v>24</v>
      </c>
      <c r="CY21" s="224">
        <f t="shared" si="39"/>
        <v>36</v>
      </c>
      <c r="CZ21" s="237">
        <f>CO21*POWER(KLslave,SIGN(CP21))*POWER(INslave_IN,SIGN(CQ21))*POWER(CHslave,SIGN(CR21))*POWER(FFslave,SIGN(CS21))*POWER(GEslave,SIGN(CT21))*POWER(KOslave,SIGN(CU21))*POWER(KKslave,SIGN(CV21))+CP21*POWER(MUslave,SIGN(CO21))*POWER(INslave_IN,SIGN(CQ21))*POWER(CHslave,SIGN(CR21))*POWER(FFslave,SIGN(CS21))*POWER(GEslave,SIGN(CT21))*POWER(KOslave,SIGN(CU21))*POWER(KKslave,SIGN(CV21))+CQ21*POWER(MUslave,SIGN(CO21))*POWER(KLslave,SIGN(CP21))*POWER(CHslave,SIGN(CR21))*POWER(FFslave,SIGN(CS21))*POWER(GEslave,SIGN(CT21))*POWER(KOslave,SIGN(CU21))*POWER(KKslave,SIGN(CV21))+CR21*POWER(MUslave,SIGN(CO21))*POWER(KLslave,SIGN(CP21))*POWER(INslave_IN,SIGN(CQ21))*POWER(FFslave,SIGN(CS21))*POWER(GEslave,SIGN(CT21))*POWER(KOslave,SIGN(CU21))*POWER(KKslave,SIGN(CV21))+CS21*POWER(MUslave,SIGN(CO21))*POWER(KLslave,SIGN(CP21))*POWER(INslave_IN,SIGN(CQ21))*POWER(CHslave,SIGN(CR21))*POWER(GEslave,SIGN(CT21))*POWER(KOslave,SIGN(CU21))*POWER(KKslave,SIGN(CV21))+CT21*POWER(MUslave,SIGN(CO21))*POWER(KLslave,SIGN(CP21))*POWER(INslave_IN,SIGN(CQ21))*POWER(CHslave,SIGN(CR21))*POWER(FFslave,SIGN(CS21))*POWER(KOslave,SIGN(CU21))*POWER(KKslave,SIGN(CV21))+CU21*POWER(MUslave,SIGN(CO21))*POWER(KLslave,SIGN(CP21))*POWER(INslave_IN,SIGN(CQ21))*POWER(CHslave,SIGN(CR21))*POWER(FFslave,SIGN(CS21))*POWER(GEslave,SIGN(CT21))*POWER(KKslave,SIGN(CV21))+CV21*POWER(MUslave,SIGN(CO21))*POWER(KLslave,SIGN(CP21))*POWER(INslave_IN,SIGN(CQ21))*POWER(CHslave,SIGN(CR21))*POWER(FFslave,SIGN(CS21))*POWER(GEslave,SIGN(CT21))*POWER(KOslave,SIGN(CU21))</f>
        <v>2304</v>
      </c>
      <c r="DA21" s="234">
        <f>CP21*CR21*GEslave+CP21*CHslave*CT21+KLslave*CR21*CT21</f>
        <v>3456</v>
      </c>
      <c r="DB21" s="224">
        <f t="shared" si="40"/>
        <v>1728</v>
      </c>
      <c r="DC21" s="242">
        <f t="shared" si="101"/>
        <v>7488</v>
      </c>
      <c r="DD21" s="222">
        <f t="shared" si="41"/>
        <v>3.6923076923076925</v>
      </c>
      <c r="DE21" s="223">
        <f t="shared" si="42"/>
        <v>11.076923076923077</v>
      </c>
      <c r="DF21" s="243">
        <f t="shared" si="43"/>
        <v>8.3076923076923084</v>
      </c>
      <c r="DG21" s="218">
        <f t="shared" si="44"/>
        <v>23.07692307692308</v>
      </c>
      <c r="DH21" s="252">
        <f t="shared" si="45"/>
        <v>0</v>
      </c>
      <c r="DI21" s="309">
        <f t="shared" si="46"/>
        <v>23.07692307692308</v>
      </c>
      <c r="DJ21" s="218">
        <f>IF(DG21&gt;0,DG21,0)*1+IF(DG21&gt;12,DG21-12,0)*1+IF(DG21&gt;13,DG21-13,0)*1+IF(DG21&gt;14,DG21-14,0)*1+IF(DG21&gt;15,DG21-15,0)*1+IF(DG21&gt;16,DG21-16,0)*1+IF(DG21&gt;17,DG21-17,0)*1+IF(DG21&gt;18,DG21-18,0)*1+IF(DG21&gt;19,DG21-19,0)*1+IF(DG21&gt;20,DG21-20,0)*1</f>
        <v>86.769230769230802</v>
      </c>
      <c r="DK21" s="242">
        <f>IF(DH21&gt;0,DH21,0)*1+IF(DH21&gt;12,DH21-12,0)*1+IF(DH21&gt;13,DH21-13,0)*1+IF(DH21&gt;14,DH21-14,0)*1+IF(DH21&gt;15,DH21-15,0)*1+IF(DH21&gt;16,DH21-16,0)*1+IF(DH21&gt;17,DH21-17,0)*1+IF(DH21&gt;18,DH21-18,0)*1+IF(DH21&gt;19,DH21-19,0)*1+IF(DH21&gt;20,DH21-20,0)*1</f>
        <v>0</v>
      </c>
      <c r="DL21" s="243">
        <f t="shared" si="3"/>
        <v>86.769230769230802</v>
      </c>
      <c r="DM21" s="218">
        <f t="shared" si="47"/>
        <v>0</v>
      </c>
      <c r="DO21" s="303" t="s">
        <v>19</v>
      </c>
      <c r="DP21" s="243" t="s">
        <v>81</v>
      </c>
      <c r="DQ21" s="218" t="s">
        <v>133</v>
      </c>
      <c r="DR21" s="237"/>
      <c r="DS21" s="234">
        <f>Konvention_1slave-KLslave</f>
        <v>12</v>
      </c>
      <c r="DT21" s="234"/>
      <c r="DU21" s="234">
        <f>Konvention_1slave-CHslave_CH</f>
        <v>11</v>
      </c>
      <c r="DV21" s="234"/>
      <c r="DW21" s="234">
        <f>Konvention_1slave-GEslave</f>
        <v>12</v>
      </c>
      <c r="DX21" s="234"/>
      <c r="DY21" s="224"/>
      <c r="DZ21" s="222">
        <f>(DR21+DS21+DT21+DU21+DV21+DW21+DX21+DY21)/3</f>
        <v>11.666666666666666</v>
      </c>
      <c r="EA21" s="223">
        <f t="shared" si="48"/>
        <v>23.333333333333332</v>
      </c>
      <c r="EB21" s="224">
        <f t="shared" si="49"/>
        <v>35</v>
      </c>
      <c r="EC21" s="237">
        <f>DR21*POWER(KLslave,SIGN(DS21))*POWER(INslave,SIGN(DT21))*POWER(CHslave_CH,SIGN(DU21))*POWER(FFslave,SIGN(DV21))*POWER(GEslave,SIGN(DW21))*POWER(KOslave,SIGN(DX21))*POWER(KKslave,SIGN(DY21))+DS21*POWER(MUslave,SIGN(DR21))*POWER(INslave,SIGN(DT21))*POWER(CHslave_CH,SIGN(DU21))*POWER(FFslave,SIGN(DV21))*POWER(GEslave,SIGN(DW21))*POWER(KOslave,SIGN(DX21))*POWER(KKslave,SIGN(DY21))+DT21*POWER(MUslave,SIGN(DR21))*POWER(KLslave,SIGN(DS21))*POWER(CHslave_CH,SIGN(DU21))*POWER(FFslave,SIGN(DV21))*POWER(GEslave,SIGN(DW21))*POWER(KOslave,SIGN(DX21))*POWER(KKslave,SIGN(DY21))+DU21*POWER(MUslave,SIGN(DR21))*POWER(KLslave,SIGN(DS21))*POWER(INslave,SIGN(DT21))*POWER(FFslave,SIGN(DV21))*POWER(GEslave,SIGN(DW21))*POWER(KOslave,SIGN(DX21))*POWER(KKslave,SIGN(DY21))+DV21*POWER(MUslave,SIGN(DR21))*POWER(KLslave,SIGN(DS21))*POWER(INslave,SIGN(DT21))*POWER(CHslave_CH,SIGN(DU21))*POWER(GEslave,SIGN(DW21))*POWER(KOslave,SIGN(DX21))*POWER(KKslave,SIGN(DY21))+DW21*POWER(MUslave,SIGN(DR21))*POWER(KLslave,SIGN(DS21))*POWER(INslave,SIGN(DT21))*POWER(CHslave_CH,SIGN(DU21))*POWER(FFslave,SIGN(DV21))*POWER(KOslave,SIGN(DX21))*POWER(KKslave,SIGN(DY21))+DX21*POWER(MUslave,SIGN(DR21))*POWER(KLslave,SIGN(DS21))*POWER(INslave,SIGN(DT21))*POWER(CHslave_CH,SIGN(DU21))*POWER(FFslave,SIGN(DV21))*POWER(GEslave,SIGN(DW21))*POWER(KKslave,SIGN(DY21))+DY21*POWER(MUslave,SIGN(DR21))*POWER(KLslave,SIGN(DS21))*POWER(INslave,SIGN(DT21))*POWER(CHslave_CH,SIGN(DU21))*POWER(FFslave,SIGN(DV21))*POWER(GEslave,SIGN(DW21))*POWER(KOslave,SIGN(DX21))</f>
        <v>2432</v>
      </c>
      <c r="ED21" s="234">
        <f>DS21*DU21*GEslave+DS21*CHslave_CH*DW21+KLslave*DU21*DW21</f>
        <v>3408</v>
      </c>
      <c r="EE21" s="224">
        <f t="shared" si="50"/>
        <v>1584</v>
      </c>
      <c r="EF21" s="242">
        <f t="shared" si="102"/>
        <v>7424</v>
      </c>
      <c r="EG21" s="222">
        <f t="shared" si="51"/>
        <v>3.8218390804597702</v>
      </c>
      <c r="EH21" s="223">
        <f t="shared" si="52"/>
        <v>10.711206896551724</v>
      </c>
      <c r="EI21" s="243">
        <f t="shared" si="53"/>
        <v>7.4676724137931032</v>
      </c>
      <c r="EJ21" s="218">
        <f t="shared" si="54"/>
        <v>22.000718390804597</v>
      </c>
      <c r="EK21" s="252">
        <f t="shared" si="55"/>
        <v>0</v>
      </c>
      <c r="EL21" s="309">
        <f t="shared" si="56"/>
        <v>22.000718390804597</v>
      </c>
      <c r="EM21" s="218">
        <f>IF(EJ21&gt;0,EJ21,0)*1+IF(EJ21&gt;12,EJ21-12,0)*1+IF(EJ21&gt;13,EJ21-13,0)*1+IF(EJ21&gt;14,EJ21-14,0)*1+IF(EJ21&gt;15,EJ21-15,0)*1+IF(EJ21&gt;16,EJ21-16,0)*1+IF(EJ21&gt;17,EJ21-17,0)*1+IF(EJ21&gt;18,EJ21-18,0)*1+IF(EJ21&gt;19,EJ21-19,0)*1+IF(EJ21&gt;20,EJ21-20,0)*1</f>
        <v>76.007183908045945</v>
      </c>
      <c r="EN21" s="242">
        <f>IF(EK21&gt;0,EK21,0)*1+IF(EK21&gt;12,EK21-12,0)*1+IF(EK21&gt;13,EK21-13,0)*1+IF(EK21&gt;14,EK21-14,0)*1+IF(EK21&gt;15,EK21-15,0)*1+IF(EK21&gt;16,EK21-16,0)*1+IF(EK21&gt;17,EK21-17,0)*1+IF(EK21&gt;18,EK21-18,0)*1+IF(EK21&gt;19,EK21-19,0)*1+IF(EK21&gt;20,EK21-20,0)*1</f>
        <v>0</v>
      </c>
      <c r="EO21" s="243">
        <f t="shared" si="4"/>
        <v>76.007183908045945</v>
      </c>
      <c r="EP21" s="218">
        <f t="shared" si="57"/>
        <v>0</v>
      </c>
      <c r="ER21" s="303" t="s">
        <v>19</v>
      </c>
      <c r="ES21" s="243" t="s">
        <v>81</v>
      </c>
      <c r="ET21" s="218" t="s">
        <v>133</v>
      </c>
      <c r="EU21" s="237"/>
      <c r="EV21" s="234">
        <f>Konvention_1slave-KLslave</f>
        <v>12</v>
      </c>
      <c r="EW21" s="234"/>
      <c r="EX21" s="234">
        <f>Konvention_1slave-CHslave</f>
        <v>12</v>
      </c>
      <c r="EY21" s="234"/>
      <c r="EZ21" s="234">
        <f>Konvention_1slave-GEslave</f>
        <v>12</v>
      </c>
      <c r="FA21" s="234"/>
      <c r="FB21" s="224"/>
      <c r="FC21" s="222">
        <f>(EU21+EV21+EW21+EX21+EY21+EZ21+FA21+FB21)/3</f>
        <v>12</v>
      </c>
      <c r="FD21" s="223">
        <f t="shared" si="58"/>
        <v>24</v>
      </c>
      <c r="FE21" s="224">
        <f t="shared" si="59"/>
        <v>36</v>
      </c>
      <c r="FF21" s="237">
        <f>EU21*POWER(KLslave,SIGN(EV21))*POWER(INslave,SIGN(EW21))*POWER(CHslave,SIGN(EX21))*POWER(FFslave_FF,SIGN(EY21))*POWER(GEslave,SIGN(EZ21))*POWER(KOslave,SIGN(FA21))*POWER(KKslave,SIGN(FB21))+EV21*POWER(MUslave,SIGN(EU21))*POWER(INslave,SIGN(EW21))*POWER(CHslave,SIGN(EX21))*POWER(FFslave_FF,SIGN(EY21))*POWER(GEslave,SIGN(EZ21))*POWER(KOslave,SIGN(FA21))*POWER(KKslave,SIGN(FB21))+EW21*POWER(MUslave,SIGN(EU21))*POWER(KLslave,SIGN(EV21))*POWER(CHslave,SIGN(EX21))*POWER(FFslave_FF,SIGN(EY21))*POWER(GEslave,SIGN(EZ21))*POWER(KOslave,SIGN(FA21))*POWER(KKslave,SIGN(FB21))+EX21*POWER(MUslave,SIGN(EU21))*POWER(KLslave,SIGN(EV21))*POWER(INslave,SIGN(EW21))*POWER(FFslave_FF,SIGN(EY21))*POWER(GEslave,SIGN(EZ21))*POWER(KOslave,SIGN(FA21))*POWER(KKslave,SIGN(FB21))+EY21*POWER(MUslave,SIGN(EU21))*POWER(KLslave,SIGN(EV21))*POWER(INslave,SIGN(EW21))*POWER(CHslave,SIGN(EX21))*POWER(GEslave,SIGN(EZ21))*POWER(KOslave,SIGN(FA21))*POWER(KKslave,SIGN(FB21))+EZ21*POWER(MUslave,SIGN(EU21))*POWER(KLslave,SIGN(EV21))*POWER(INslave,SIGN(EW21))*POWER(CHslave,SIGN(EX21))*POWER(FFslave_FF,SIGN(EY21))*POWER(KOslave,SIGN(FA21))*POWER(KKslave,SIGN(FB21))+FA21*POWER(MUslave,SIGN(EU21))*POWER(KLslave,SIGN(EV21))*POWER(INslave,SIGN(EW21))*POWER(CHslave,SIGN(EX21))*POWER(FFslave_FF,SIGN(EY21))*POWER(GEslave,SIGN(EZ21))*POWER(KKslave,SIGN(FB21))+FB21*POWER(MUslave,SIGN(EU21))*POWER(KLslave,SIGN(EV21))*POWER(INslave,SIGN(EW21))*POWER(CHslave,SIGN(EX21))*POWER(FFslave_FF,SIGN(EY21))*POWER(GEslave,SIGN(EZ21))*POWER(KOslave,SIGN(FA21))</f>
        <v>2304</v>
      </c>
      <c r="FG21" s="234">
        <f>EV21*EX21*GEslave+EV21*CHslave*EZ21+KLslave*EX21*EZ21</f>
        <v>3456</v>
      </c>
      <c r="FH21" s="224">
        <f t="shared" si="60"/>
        <v>1728</v>
      </c>
      <c r="FI21" s="242">
        <f t="shared" si="103"/>
        <v>7488</v>
      </c>
      <c r="FJ21" s="222">
        <f t="shared" si="61"/>
        <v>3.6923076923076925</v>
      </c>
      <c r="FK21" s="223">
        <f t="shared" si="62"/>
        <v>11.076923076923077</v>
      </c>
      <c r="FL21" s="243">
        <f t="shared" si="63"/>
        <v>8.3076923076923084</v>
      </c>
      <c r="FM21" s="218">
        <f t="shared" si="64"/>
        <v>23.07692307692308</v>
      </c>
      <c r="FN21" s="252">
        <f t="shared" si="65"/>
        <v>0</v>
      </c>
      <c r="FO21" s="309">
        <f t="shared" si="66"/>
        <v>23.07692307692308</v>
      </c>
      <c r="FP21" s="218">
        <f>IF(FM21&gt;0,FM21,0)*1+IF(FM21&gt;12,FM21-12,0)*1+IF(FM21&gt;13,FM21-13,0)*1+IF(FM21&gt;14,FM21-14,0)*1+IF(FM21&gt;15,FM21-15,0)*1+IF(FM21&gt;16,FM21-16,0)*1+IF(FM21&gt;17,FM21-17,0)*1+IF(FM21&gt;18,FM21-18,0)*1+IF(FM21&gt;19,FM21-19,0)*1+IF(FM21&gt;20,FM21-20,0)*1</f>
        <v>86.769230769230802</v>
      </c>
      <c r="FQ21" s="242">
        <f>IF(FN21&gt;0,FN21,0)*1+IF(FN21&gt;12,FN21-12,0)*1+IF(FN21&gt;13,FN21-13,0)*1+IF(FN21&gt;14,FN21-14,0)*1+IF(FN21&gt;15,FN21-15,0)*1+IF(FN21&gt;16,FN21-16,0)*1+IF(FN21&gt;17,FN21-17,0)*1+IF(FN21&gt;18,FN21-18,0)*1+IF(FN21&gt;19,FN21-19,0)*1+IF(FN21&gt;20,FN21-20,0)*1</f>
        <v>0</v>
      </c>
      <c r="FR21" s="243">
        <f t="shared" si="5"/>
        <v>86.769230769230802</v>
      </c>
      <c r="FS21" s="218">
        <f t="shared" si="67"/>
        <v>0</v>
      </c>
      <c r="FU21" s="303" t="s">
        <v>19</v>
      </c>
      <c r="FV21" s="243" t="s">
        <v>81</v>
      </c>
      <c r="FW21" s="218" t="s">
        <v>133</v>
      </c>
      <c r="FX21" s="237"/>
      <c r="FY21" s="234">
        <f>Konvention_1slave-KLslave</f>
        <v>12</v>
      </c>
      <c r="FZ21" s="234"/>
      <c r="GA21" s="234">
        <f>Konvention_1slave-CHslave</f>
        <v>12</v>
      </c>
      <c r="GB21" s="234"/>
      <c r="GC21" s="234">
        <f>Konvention_1slave-GEslave_GE</f>
        <v>11</v>
      </c>
      <c r="GD21" s="234"/>
      <c r="GE21" s="224"/>
      <c r="GF21" s="222">
        <f>(FX21+FY21+FZ21+GA21+GB21+GC21+GD21+GE21)/3</f>
        <v>11.666666666666666</v>
      </c>
      <c r="GG21" s="223">
        <f t="shared" si="68"/>
        <v>23.333333333333332</v>
      </c>
      <c r="GH21" s="224">
        <f t="shared" si="69"/>
        <v>35</v>
      </c>
      <c r="GI21" s="237">
        <f>FX21*POWER(KLslave,SIGN(FY21))*POWER(INslave,SIGN(FZ21))*POWER(CHslave,SIGN(GA21))*POWER(FFslave,SIGN(GB21))*POWER(GEslave_GE,SIGN(GC21))*POWER(KOslave,SIGN(GD21))*POWER(KKslave,SIGN(GE21))+FY21*POWER(MUslave,SIGN(FX21))*POWER(INslave,SIGN(FZ21))*POWER(CHslave,SIGN(GA21))*POWER(FFslave,SIGN(GB21))*POWER(GEslave_GE,SIGN(GC21))*POWER(KOslave,SIGN(GD21))*POWER(KKslave,SIGN(GE21))+FZ21*POWER(MUslave,SIGN(FX21))*POWER(KLslave,SIGN(FY21))*POWER(CHslave,SIGN(GA21))*POWER(FFslave,SIGN(GB21))*POWER(GEslave_GE,SIGN(GC21))*POWER(KOslave,SIGN(GD21))*POWER(KKslave,SIGN(GE21))+GA21*POWER(MUslave,SIGN(FX21))*POWER(KLslave,SIGN(FY21))*POWER(INslave,SIGN(FZ21))*POWER(FFslave,SIGN(GB21))*POWER(GEslave_GE,SIGN(GC21))*POWER(KOslave,SIGN(GD21))*POWER(KKslave,SIGN(GE21))+GB21*POWER(MUslave,SIGN(FX21))*POWER(KLslave,SIGN(FY21))*POWER(INslave,SIGN(FZ21))*POWER(CHslave,SIGN(GA21))*POWER(GEslave_GE,SIGN(GC21))*POWER(KOslave,SIGN(GD21))*POWER(KKslave,SIGN(GE21))+GC21*POWER(MUslave,SIGN(FX21))*POWER(KLslave,SIGN(FY21))*POWER(INslave,SIGN(FZ21))*POWER(CHslave,SIGN(GA21))*POWER(FFslave,SIGN(GB21))*POWER(KOslave,SIGN(GD21))*POWER(KKslave,SIGN(GE21))+GD21*POWER(MUslave,SIGN(FX21))*POWER(KLslave,SIGN(FY21))*POWER(INslave,SIGN(FZ21))*POWER(CHslave,SIGN(GA21))*POWER(FFslave,SIGN(GB21))*POWER(GEslave_GE,SIGN(GC21))*POWER(KKslave,SIGN(GE21))+GE21*POWER(MUslave,SIGN(FX21))*POWER(KLslave,SIGN(FY21))*POWER(INslave,SIGN(FZ21))*POWER(CHslave,SIGN(GA21))*POWER(FFslave,SIGN(GB21))*POWER(GEslave_GE,SIGN(GC21))*POWER(KOslave,SIGN(GD21))</f>
        <v>2432</v>
      </c>
      <c r="GJ21" s="234">
        <f>FY21*GA21*GEslave_GE+FY21*CHslave*GC21+KLslave*GA21*GC21</f>
        <v>3408</v>
      </c>
      <c r="GK21" s="224">
        <f t="shared" si="70"/>
        <v>1584</v>
      </c>
      <c r="GL21" s="242">
        <f t="shared" si="104"/>
        <v>7424</v>
      </c>
      <c r="GM21" s="222">
        <f t="shared" si="71"/>
        <v>3.8218390804597702</v>
      </c>
      <c r="GN21" s="223">
        <f t="shared" si="72"/>
        <v>10.711206896551724</v>
      </c>
      <c r="GO21" s="243">
        <f t="shared" si="73"/>
        <v>7.4676724137931032</v>
      </c>
      <c r="GP21" s="218">
        <f t="shared" si="74"/>
        <v>22.000718390804597</v>
      </c>
      <c r="GQ21" s="252">
        <f t="shared" si="75"/>
        <v>0</v>
      </c>
      <c r="GR21" s="309">
        <f t="shared" si="76"/>
        <v>22.000718390804597</v>
      </c>
      <c r="GS21" s="218">
        <f>IF(GP21&gt;0,GP21,0)*1+IF(GP21&gt;12,GP21-12,0)*1+IF(GP21&gt;13,GP21-13,0)*1+IF(GP21&gt;14,GP21-14,0)*1+IF(GP21&gt;15,GP21-15,0)*1+IF(GP21&gt;16,GP21-16,0)*1+IF(GP21&gt;17,GP21-17,0)*1+IF(GP21&gt;18,GP21-18,0)*1+IF(GP21&gt;19,GP21-19,0)*1+IF(GP21&gt;20,GP21-20,0)*1</f>
        <v>76.007183908045945</v>
      </c>
      <c r="GT21" s="242">
        <f>IF(GQ21&gt;0,GQ21,0)*1+IF(GQ21&gt;12,GQ21-12,0)*1+IF(GQ21&gt;13,GQ21-13,0)*1+IF(GQ21&gt;14,GQ21-14,0)*1+IF(GQ21&gt;15,GQ21-15,0)*1+IF(GQ21&gt;16,GQ21-16,0)*1+IF(GQ21&gt;17,GQ21-17,0)*1+IF(GQ21&gt;18,GQ21-18,0)*1+IF(GQ21&gt;19,GQ21-19,0)*1+IF(GQ21&gt;20,GQ21-20,0)*1</f>
        <v>0</v>
      </c>
      <c r="GU21" s="243">
        <f t="shared" si="6"/>
        <v>76.007183908045945</v>
      </c>
      <c r="GV21" s="218">
        <f t="shared" si="77"/>
        <v>0</v>
      </c>
      <c r="GX21" s="303" t="s">
        <v>19</v>
      </c>
      <c r="GY21" s="243" t="s">
        <v>81</v>
      </c>
      <c r="GZ21" s="218" t="s">
        <v>133</v>
      </c>
      <c r="HA21" s="237"/>
      <c r="HB21" s="234">
        <f>Konvention_1slave-KLslave</f>
        <v>12</v>
      </c>
      <c r="HC21" s="234"/>
      <c r="HD21" s="234">
        <f>Konvention_1slave-CHslave</f>
        <v>12</v>
      </c>
      <c r="HE21" s="234"/>
      <c r="HF21" s="234">
        <f>Konvention_1slave-GEslave</f>
        <v>12</v>
      </c>
      <c r="HG21" s="234"/>
      <c r="HH21" s="224"/>
      <c r="HI21" s="222">
        <f>(HA21+HB21+HC21+HD21+HE21+HF21+HG21+HH21)/3</f>
        <v>12</v>
      </c>
      <c r="HJ21" s="223">
        <f t="shared" si="78"/>
        <v>24</v>
      </c>
      <c r="HK21" s="224">
        <f t="shared" si="79"/>
        <v>36</v>
      </c>
      <c r="HL21" s="237">
        <f>HA21*POWER(KLslave,SIGN(HB21))*POWER(INslave,SIGN(HC21))*POWER(CHslave,SIGN(HD21))*POWER(FFslave,SIGN(HE21))*POWER(GEslave,SIGN(HF21))*POWER(KOslave_KO,SIGN(HG21))*POWER(KKslave,SIGN(HH21))+HB21*POWER(MUslave,SIGN(HA21))*POWER(INslave,SIGN(HC21))*POWER(CHslave,SIGN(HD21))*POWER(FFslave,SIGN(HE21))*POWER(GEslave,SIGN(HF21))*POWER(KOslave_KO,SIGN(HG21))*POWER(KKslave,SIGN(HH21))+HC21*POWER(MUslave,SIGN(HA21))*POWER(KLslave,SIGN(HB21))*POWER(CHslave,SIGN(HD21))*POWER(FFslave,SIGN(HE21))*POWER(GEslave,SIGN(HF21))*POWER(KOslave_KO,SIGN(HG21))*POWER(KKslave,SIGN(HH21))+HD21*POWER(MUslave,SIGN(HA21))*POWER(KLslave,SIGN(HB21))*POWER(INslave,SIGN(HC21))*POWER(FFslave,SIGN(HE21))*POWER(GEslave,SIGN(HF21))*POWER(KOslave_KO,SIGN(HG21))*POWER(KKslave,SIGN(HH21))+HE21*POWER(MUslave,SIGN(HA21))*POWER(KLslave,SIGN(HB21))*POWER(INslave,SIGN(HC21))*POWER(CHslave,SIGN(HD21))*POWER(GEslave,SIGN(HF21))*POWER(KOslave_KO,SIGN(HG21))*POWER(KKslave,SIGN(HH21))+HF21*POWER(MUslave,SIGN(HA21))*POWER(KLslave,SIGN(HB21))*POWER(INslave,SIGN(HC21))*POWER(CHslave,SIGN(HD21))*POWER(FFslave,SIGN(HE21))*POWER(KOslave_KO,SIGN(HG21))*POWER(KKslave,SIGN(HH21))+HG21*POWER(MUslave,SIGN(HA21))*POWER(KLslave,SIGN(HB21))*POWER(INslave,SIGN(HC21))*POWER(CHslave,SIGN(HD21))*POWER(FFslave,SIGN(HE21))*POWER(GEslave,SIGN(HF21))*POWER(KKslave,SIGN(HH21))+HH21*POWER(MUslave,SIGN(HA21))*POWER(KLslave,SIGN(HB21))*POWER(INslave,SIGN(HC21))*POWER(CHslave,SIGN(HD21))*POWER(FFslave,SIGN(HE21))*POWER(GEslave,SIGN(HF21))*POWER(KOslave_KO,SIGN(HG21))</f>
        <v>2304</v>
      </c>
      <c r="HM21" s="234">
        <f>HB21*HD21*GEslave+HB21*CHslave*HF21+KLslave*HD21*HF21</f>
        <v>3456</v>
      </c>
      <c r="HN21" s="224">
        <f t="shared" si="80"/>
        <v>1728</v>
      </c>
      <c r="HO21" s="242">
        <f t="shared" si="105"/>
        <v>7488</v>
      </c>
      <c r="HP21" s="222">
        <f t="shared" si="81"/>
        <v>3.6923076923076925</v>
      </c>
      <c r="HQ21" s="223">
        <f t="shared" si="82"/>
        <v>11.076923076923077</v>
      </c>
      <c r="HR21" s="243">
        <f t="shared" si="83"/>
        <v>8.3076923076923084</v>
      </c>
      <c r="HS21" s="218">
        <f t="shared" si="84"/>
        <v>23.07692307692308</v>
      </c>
      <c r="HT21" s="252">
        <f t="shared" si="85"/>
        <v>0</v>
      </c>
      <c r="HU21" s="309">
        <f t="shared" si="86"/>
        <v>23.07692307692308</v>
      </c>
      <c r="HV21" s="218">
        <f>IF(HS21&gt;0,HS21,0)*1+IF(HS21&gt;12,HS21-12,0)*1+IF(HS21&gt;13,HS21-13,0)*1+IF(HS21&gt;14,HS21-14,0)*1+IF(HS21&gt;15,HS21-15,0)*1+IF(HS21&gt;16,HS21-16,0)*1+IF(HS21&gt;17,HS21-17,0)*1+IF(HS21&gt;18,HS21-18,0)*1+IF(HS21&gt;19,HS21-19,0)*1+IF(HS21&gt;20,HS21-20,0)*1</f>
        <v>86.769230769230802</v>
      </c>
      <c r="HW21" s="242">
        <f>IF(HT21&gt;0,HT21,0)*1+IF(HT21&gt;12,HT21-12,0)*1+IF(HT21&gt;13,HT21-13,0)*1+IF(HT21&gt;14,HT21-14,0)*1+IF(HT21&gt;15,HT21-15,0)*1+IF(HT21&gt;16,HT21-16,0)*1+IF(HT21&gt;17,HT21-17,0)*1+IF(HT21&gt;18,HT21-18,0)*1+IF(HT21&gt;19,HT21-19,0)*1+IF(HT21&gt;20,HT21-20,0)*1</f>
        <v>0</v>
      </c>
      <c r="HX21" s="243">
        <f t="shared" si="7"/>
        <v>86.769230769230802</v>
      </c>
      <c r="HY21" s="218">
        <f t="shared" si="87"/>
        <v>0</v>
      </c>
      <c r="IA21" s="303" t="s">
        <v>19</v>
      </c>
      <c r="IB21" s="243" t="s">
        <v>81</v>
      </c>
      <c r="IC21" s="218" t="s">
        <v>133</v>
      </c>
      <c r="ID21" s="237"/>
      <c r="IE21" s="234">
        <f>Konvention_1slave-KLslave</f>
        <v>12</v>
      </c>
      <c r="IF21" s="234"/>
      <c r="IG21" s="234">
        <f>Konvention_1slave-CHslave</f>
        <v>12</v>
      </c>
      <c r="IH21" s="234"/>
      <c r="II21" s="234">
        <f>Konvention_1slave-GEslave</f>
        <v>12</v>
      </c>
      <c r="IJ21" s="234"/>
      <c r="IK21" s="224"/>
      <c r="IL21" s="222">
        <f>(ID21+IE21+IF21+IG21+IH21+II21+IJ21+IK21)/3</f>
        <v>12</v>
      </c>
      <c r="IM21" s="223">
        <f t="shared" si="88"/>
        <v>24</v>
      </c>
      <c r="IN21" s="224">
        <f t="shared" si="89"/>
        <v>36</v>
      </c>
      <c r="IO21" s="237">
        <f>ID21*POWER(KLslave,SIGN(IE21))*POWER(INslave,SIGN(IF21))*POWER(CHslave,SIGN(IG21))*POWER(FFslave,SIGN(IH21))*POWER(GEslave,SIGN(II21))*POWER(KOslave,SIGN(IJ21))*POWER(KKslave_KK,SIGN(IK21))+IE21*POWER(MUslave,SIGN(ID21))*POWER(INslave,SIGN(IF21))*POWER(CHslave,SIGN(IG21))*POWER(FFslave,SIGN(IH21))*POWER(GEslave,SIGN(II21))*POWER(KOslave,SIGN(IJ21))*POWER(KKslave_KK,SIGN(IK21))+IF21*POWER(MUslave,SIGN(ID21))*POWER(KLslave,SIGN(IE21))*POWER(CHslave,SIGN(IG21))*POWER(FFslave,SIGN(IH21))*POWER(GEslave,SIGN(II21))*POWER(KOslave,SIGN(IJ21))*POWER(KKslave_KK,SIGN(IK21))+IG21*POWER(MUslave,SIGN(ID21))*POWER(KLslave,SIGN(IE21))*POWER(INslave,SIGN(IF21))*POWER(FFslave,SIGN(IH21))*POWER(GEslave,SIGN(II21))*POWER(KOslave,SIGN(IJ21))*POWER(KKslave_KK,SIGN(IK21))+IH21*POWER(MUslave,SIGN(ID21))*POWER(KLslave,SIGN(IE21))*POWER(INslave,SIGN(IF21))*POWER(CHslave,SIGN(IG21))*POWER(GEslave,SIGN(II21))*POWER(KOslave,SIGN(IJ21))*POWER(KKslave_KK,SIGN(IK21))+II21*POWER(MUslave,SIGN(ID21))*POWER(KLslave,SIGN(IE21))*POWER(INslave,SIGN(IF21))*POWER(CHslave,SIGN(IG21))*POWER(FFslave,SIGN(IH21))*POWER(KOslave,SIGN(IJ21))*POWER(KKslave_KK,SIGN(IK21))+IJ21*POWER(MUslave,SIGN(ID21))*POWER(KLslave,SIGN(IE21))*POWER(INslave,SIGN(IF21))*POWER(CHslave,SIGN(IG21))*POWER(FFslave,SIGN(IH21))*POWER(GEslave,SIGN(II21))*POWER(KKslave_KK,SIGN(IK21))+IK21*POWER(MUslave,SIGN(ID21))*POWER(KLslave,SIGN(IE21))*POWER(INslave,SIGN(IF21))*POWER(CHslave,SIGN(IG21))*POWER(FFslave,SIGN(IH21))*POWER(GEslave,SIGN(II21))*POWER(KOslave,SIGN(IJ21))</f>
        <v>2304</v>
      </c>
      <c r="IP21" s="234">
        <f>IE21*IG21*GEslave+IE21*CHslave*II21+KLslave*IG21*II21</f>
        <v>3456</v>
      </c>
      <c r="IQ21" s="224">
        <f t="shared" si="90"/>
        <v>1728</v>
      </c>
      <c r="IR21" s="242">
        <f t="shared" si="106"/>
        <v>7488</v>
      </c>
      <c r="IS21" s="222">
        <f t="shared" si="91"/>
        <v>3.6923076923076925</v>
      </c>
      <c r="IT21" s="223">
        <f t="shared" si="92"/>
        <v>11.076923076923077</v>
      </c>
      <c r="IU21" s="243">
        <f t="shared" si="93"/>
        <v>8.3076923076923084</v>
      </c>
      <c r="IV21" s="218">
        <f t="shared" si="94"/>
        <v>23.07692307692308</v>
      </c>
      <c r="IW21" s="252">
        <f t="shared" si="95"/>
        <v>0</v>
      </c>
      <c r="IX21" s="309">
        <f t="shared" si="96"/>
        <v>23.07692307692308</v>
      </c>
      <c r="IY21" s="218">
        <f>IF(IV21&gt;0,IV21,0)*1+IF(IV21&gt;12,IV21-12,0)*1+IF(IV21&gt;13,IV21-13,0)*1+IF(IV21&gt;14,IV21-14,0)*1+IF(IV21&gt;15,IV21-15,0)*1+IF(IV21&gt;16,IV21-16,0)*1+IF(IV21&gt;17,IV21-17,0)*1+IF(IV21&gt;18,IV21-18,0)*1+IF(IV21&gt;19,IV21-19,0)*1+IF(IV21&gt;20,IV21-20,0)*1</f>
        <v>86.769230769230802</v>
      </c>
      <c r="IZ21" s="242">
        <f>IF(IW21&gt;0,IW21,0)*1+IF(IW21&gt;12,IW21-12,0)*1+IF(IW21&gt;13,IW21-13,0)*1+IF(IW21&gt;14,IW21-14,0)*1+IF(IW21&gt;15,IW21-15,0)*1+IF(IW21&gt;16,IW21-16,0)*1+IF(IW21&gt;17,IW21-17,0)*1+IF(IW21&gt;18,IW21-18,0)*1+IF(IW21&gt;19,IW21-19,0)*1+IF(IW21&gt;20,IW21-20,0)*1</f>
        <v>0</v>
      </c>
      <c r="JA21" s="243">
        <f t="shared" si="8"/>
        <v>86.769230769230802</v>
      </c>
      <c r="JB21" s="218">
        <f t="shared" si="97"/>
        <v>0</v>
      </c>
      <c r="JE21" s="148"/>
    </row>
    <row r="22" spans="2:265" hidden="1" outlineLevel="2">
      <c r="B22" s="148">
        <v>12</v>
      </c>
      <c r="C22" s="303" t="e">
        <f>VLOOKUP(AF22,Attribute!C:T,1,FALSE)</f>
        <v>#N/A</v>
      </c>
      <c r="D22" s="127" t="s">
        <v>82</v>
      </c>
      <c r="E22" s="125" t="s">
        <v>132</v>
      </c>
      <c r="F22" s="114">
        <f>Konvention_1master-MUmaster</f>
        <v>12</v>
      </c>
      <c r="G22" s="113"/>
      <c r="H22" s="113"/>
      <c r="I22" s="113"/>
      <c r="J22" s="113">
        <f>Konvention_1master-FFmaster</f>
        <v>12</v>
      </c>
      <c r="K22" s="113">
        <f>Konvention_1master-GEmaster</f>
        <v>12</v>
      </c>
      <c r="L22" s="113"/>
      <c r="M22" s="119"/>
      <c r="N22" s="222">
        <f>(F22+G22+H22+I22+J22+K22+L22+M22)/3</f>
        <v>12</v>
      </c>
      <c r="O22" s="223">
        <f t="shared" si="9"/>
        <v>24</v>
      </c>
      <c r="P22" s="224">
        <f t="shared" si="10"/>
        <v>36</v>
      </c>
      <c r="Q22" s="237">
        <f>F22*POWER(KLmaster,SIGN(G22))*POWER(INmaster,SIGN(H22))*POWER(CHmaster,SIGN(I22))*POWER(FFmaster,SIGN(J22))*POWER(GEmaster,SIGN(K22))*POWER(KOmaster,SIGN(L22))*POWER(KKmaster,SIGN(M22))+G22*POWER(MUmaster,SIGN(F22))*POWER(INmaster,SIGN(H22))*POWER(CHmaster,SIGN(I22))*POWER(FFmaster,SIGN(J22))*POWER(GEmaster,SIGN(K22))*POWER(KOmaster,SIGN(L22))*POWER(KKmaster,SIGN(M22))+H22*POWER(MUmaster,SIGN(F22))*POWER(KLmaster,SIGN(G22))*POWER(CHmaster,SIGN(I22))*POWER(FFmaster,SIGN(J22))*POWER(GEmaster,SIGN(K22))*POWER(KOmaster,SIGN(L22))*POWER(KKmaster,SIGN(M22))+I22*POWER(MUmaster,SIGN(F22))*POWER(KLmaster,SIGN(G22))*POWER(INmaster,SIGN(H22))*POWER(FFmaster,SIGN(J22))*POWER(GEmaster,SIGN(K22))*POWER(KOmaster,SIGN(L22))*POWER(KKmaster,SIGN(M22))+J22*POWER(MUmaster,SIGN(F22))*POWER(KLmaster,SIGN(G22))*POWER(INmaster,SIGN(H22))*POWER(CHmaster,SIGN(I22))*POWER(GEmaster,SIGN(K22))*POWER(KOmaster,SIGN(L22))*POWER(KKmaster,SIGN(M22))+K22*POWER(MUmaster,SIGN(F22))*POWER(KLmaster,SIGN(G22))*POWER(INmaster,SIGN(H22))*POWER(CHmaster,SIGN(I22))*POWER(FFmaster,SIGN(J22))*POWER(KOmaster,SIGN(L22))*POWER(KKmaster,SIGN(M22))+L22*POWER(MUmaster,SIGN(F22))*POWER(KLmaster,SIGN(G22))*POWER(INmaster,SIGN(H22))*POWER(CHmaster,SIGN(I22))*POWER(FFmaster,SIGN(J22))*POWER(GEmaster,SIGN(K22))*POWER(KKmaster,SIGN(M22))+M22*POWER(MUmaster,SIGN(F22))*POWER(KLmaster,SIGN(G22))*POWER(INmaster,SIGN(H22))*POWER(CHmaster,SIGN(I22))*POWER(FFmaster,SIGN(J22))*POWER(GEmaster,SIGN(K22))*POWER(KOmaster,SIGN(L22))</f>
        <v>2304</v>
      </c>
      <c r="R22" s="113">
        <f>F22*J22*GEmaster+F22*FFmaster*K22+MUmaster*J22*K22</f>
        <v>3456</v>
      </c>
      <c r="S22" s="224">
        <f t="shared" si="11"/>
        <v>1728</v>
      </c>
      <c r="T22" s="242">
        <f t="shared" si="98"/>
        <v>7488</v>
      </c>
      <c r="U22" s="222">
        <f t="shared" si="12"/>
        <v>3.6923076923076925</v>
      </c>
      <c r="V22" s="223">
        <f t="shared" si="13"/>
        <v>11.076923076923077</v>
      </c>
      <c r="W22" s="243">
        <f t="shared" si="14"/>
        <v>8.3076923076923084</v>
      </c>
      <c r="X22" s="218">
        <f t="shared" si="15"/>
        <v>23.07692307692308</v>
      </c>
      <c r="Y22" s="252">
        <v>0</v>
      </c>
      <c r="Z22" s="198">
        <f t="shared" si="16"/>
        <v>23.07692307692308</v>
      </c>
      <c r="AA22" s="125">
        <f>IF(X22&gt;0,X22,0)*2+IF(X22&gt;12,X22-12,0)*2+IF(X22&gt;13,X22-13,0)*2+IF(X22&gt;14,X22-14,0)*2+IF(X22&gt;15,X22-15,0)*2+IF(X22&gt;16,X22-16,0)*2+IF(X22&gt;17,X22-17,0)*2+IF(X22&gt;18,X22-18,0)*2+IF(X22&gt;19,X22-19,0)*2+IF(X22&gt;20,X22-20,0)*2</f>
        <v>173.5384615384616</v>
      </c>
      <c r="AB22" s="160">
        <f>IF(Y22&gt;0,Y22,0)*2+IF(Y22&gt;12,Y22-12,0)*2+IF(Y22&gt;13,Y22-13,0)*2+IF(Y22&gt;14,Y22-14,0)*2+IF(Y22&gt;15,Y22-15,0)*2+IF(Y22&gt;16,Y22-16,0)*2+IF(Y22&gt;17,Y22-17,0)*2+IF(Y22&gt;18,Y22-18,0)*2+IF(Y22&gt;19,Y22-19,0)*2+IF(Y22&gt;20,Y22-20,0)*2</f>
        <v>0</v>
      </c>
      <c r="AC22" s="127">
        <f t="shared" si="0"/>
        <v>173.5384615384616</v>
      </c>
      <c r="AD22" s="125">
        <f t="shared" si="17"/>
        <v>0</v>
      </c>
      <c r="AF22" s="163" t="s">
        <v>20</v>
      </c>
      <c r="AG22" s="127" t="s">
        <v>82</v>
      </c>
      <c r="AH22" s="125" t="s">
        <v>132</v>
      </c>
      <c r="AI22" s="114">
        <f>Konvention_1slave-MUslave_MU</f>
        <v>11</v>
      </c>
      <c r="AJ22" s="113"/>
      <c r="AK22" s="113"/>
      <c r="AL22" s="113"/>
      <c r="AM22" s="113">
        <f>Konvention_1slave-FFslave</f>
        <v>12</v>
      </c>
      <c r="AN22" s="113">
        <f>Konvention_1slave-GEslave</f>
        <v>12</v>
      </c>
      <c r="AO22" s="113"/>
      <c r="AP22" s="119"/>
      <c r="AQ22" s="89">
        <f>(AI22+AJ22+AK22+AL22+AM22+AN22+AO22+AP22)/3</f>
        <v>11.666666666666666</v>
      </c>
      <c r="AR22" s="47">
        <f t="shared" si="18"/>
        <v>23.333333333333332</v>
      </c>
      <c r="AS22" s="119">
        <f t="shared" si="19"/>
        <v>35</v>
      </c>
      <c r="AT22" s="114">
        <f>AI22*POWER(KLslave,SIGN(AJ22))*POWER(INslave,SIGN(AK22))*POWER(CHslave,SIGN(AL22))*POWER(FFslave,SIGN(AM22))*POWER(GEslave,SIGN(AN22))*POWER(KOslave,SIGN(AO22))*POWER(KKslave,SIGN(AP22))+AJ22*POWER(MUslave_MU,SIGN(AI22))*POWER(INslave,SIGN(AK22))*POWER(CHslave,SIGN(AL22))*POWER(FFslave,SIGN(AM22))*POWER(GEslave,SIGN(AN22))*POWER(KOslave,SIGN(AO22))*POWER(KKslave,SIGN(AP22))+AK22*POWER(MUslave_MU,SIGN(AI22))*POWER(KLslave,SIGN(AJ22))*POWER(CHslave,SIGN(AL22))*POWER(FFslave,SIGN(AM22))*POWER(GEslave,SIGN(AN22))*POWER(KOslave,SIGN(AO22))*POWER(KKslave,SIGN(AP22))+AL22*POWER(MUslave_MU,SIGN(AI22))*POWER(KLslave,SIGN(AJ22))*POWER(INslave,SIGN(AK22))*POWER(FFslave,SIGN(AM22))*POWER(GEslave,SIGN(AN22))*POWER(KOslave,SIGN(AO22))*POWER(KKslave,SIGN(AP22))+AM22*POWER(MUslave_MU,SIGN(AI22))*POWER(KLslave,SIGN(AJ22))*POWER(INslave,SIGN(AK22))*POWER(CHslave,SIGN(AL22))*POWER(GEslave,SIGN(AN22))*POWER(KOslave,SIGN(AO22))*POWER(KKslave,SIGN(AP22))+AN22*POWER(MUslave_MU,SIGN(AI22))*POWER(KLslave,SIGN(AJ22))*POWER(INslave,SIGN(AK22))*POWER(CHslave,SIGN(AL22))*POWER(FFslave,SIGN(AM22))*POWER(KOslave,SIGN(AO22))*POWER(KKslave,SIGN(AP22))+AO22*POWER(MUslave_MU,SIGN(AI22))*POWER(KLslave,SIGN(AJ22))*POWER(INslave,SIGN(AK22))*POWER(CHslave,SIGN(AL22))*POWER(FFslave,SIGN(AM22))*POWER(GEslave,SIGN(AN22))*POWER(KKslave,SIGN(AP22))+AP22*POWER(MUslave_MU,SIGN(AI22))*POWER(KLslave,SIGN(AJ22))*POWER(INslave,SIGN(AK22))*POWER(CHslave,SIGN(AL22))*POWER(FFslave,SIGN(AM22))*POWER(GEslave,SIGN(AN22))*POWER(KOslave,SIGN(AO22))</f>
        <v>2432</v>
      </c>
      <c r="AU22" s="113">
        <f>AI22*AM22*GEslave+AI22*FFslave*AN22+MUslave_MU*AM22*AN22</f>
        <v>3408</v>
      </c>
      <c r="AV22" s="119">
        <f t="shared" si="20"/>
        <v>1584</v>
      </c>
      <c r="AW22" s="160">
        <f t="shared" si="99"/>
        <v>7424</v>
      </c>
      <c r="AX22" s="89">
        <f t="shared" si="21"/>
        <v>3.8218390804597702</v>
      </c>
      <c r="AY22" s="47">
        <f t="shared" si="22"/>
        <v>10.711206896551724</v>
      </c>
      <c r="AZ22" s="127">
        <f t="shared" si="23"/>
        <v>7.4676724137931032</v>
      </c>
      <c r="BA22" s="125">
        <f t="shared" si="24"/>
        <v>22.000718390804597</v>
      </c>
      <c r="BB22" s="165">
        <f t="shared" si="25"/>
        <v>0</v>
      </c>
      <c r="BC22" s="198">
        <f t="shared" si="26"/>
        <v>22.000718390804597</v>
      </c>
      <c r="BD22" s="125">
        <f>IF(BA22&gt;0,BA22,0)*2+IF(BA22&gt;12,BA22-12,0)*2+IF(BA22&gt;13,BA22-13,0)*2+IF(BA22&gt;14,BA22-14,0)*2+IF(BA22&gt;15,BA22-15,0)*2+IF(BA22&gt;16,BA22-16,0)*2+IF(BA22&gt;17,BA22-17,0)*2+IF(BA22&gt;18,BA22-18,0)*2+IF(BA22&gt;19,BA22-19,0)*2+IF(BA22&gt;20,BA22-20,0)*2</f>
        <v>152.01436781609189</v>
      </c>
      <c r="BE22" s="160">
        <f>IF(BB22&gt;0,BB22,0)*2+IF(BB22&gt;12,BB22-12,0)*2+IF(BB22&gt;13,BB22-13,0)*2+IF(BB22&gt;14,BB22-14,0)*2+IF(BB22&gt;15,BB22-15,0)*2+IF(BB22&gt;16,BB22-16,0)*2+IF(BB22&gt;17,BB22-17,0)*2+IF(BB22&gt;18,BB22-18,0)*2+IF(BB22&gt;19,BB22-19,0)*2+IF(BB22&gt;20,BB22-20,0)*2</f>
        <v>0</v>
      </c>
      <c r="BF22" s="243">
        <f t="shared" si="1"/>
        <v>152.01436781609189</v>
      </c>
      <c r="BG22" s="218">
        <f t="shared" si="27"/>
        <v>0</v>
      </c>
      <c r="BI22" s="303" t="s">
        <v>20</v>
      </c>
      <c r="BJ22" s="243" t="s">
        <v>82</v>
      </c>
      <c r="BK22" s="218" t="s">
        <v>132</v>
      </c>
      <c r="BL22" s="237">
        <f>Konvention_1slave-MUslave</f>
        <v>12</v>
      </c>
      <c r="BM22" s="234"/>
      <c r="BN22" s="234"/>
      <c r="BO22" s="234"/>
      <c r="BP22" s="234">
        <f>Konvention_1slave-FFslave</f>
        <v>12</v>
      </c>
      <c r="BQ22" s="234">
        <f>Konvention_1slave-GEslave</f>
        <v>12</v>
      </c>
      <c r="BR22" s="234"/>
      <c r="BS22" s="224"/>
      <c r="BT22" s="222">
        <f>(BL22+BM22+BN22+BO22+BP22+BQ22+BR22+BS22)/3</f>
        <v>12</v>
      </c>
      <c r="BU22" s="223">
        <f t="shared" si="28"/>
        <v>24</v>
      </c>
      <c r="BV22" s="224">
        <f t="shared" si="29"/>
        <v>36</v>
      </c>
      <c r="BW22" s="237">
        <f>BL22*POWER(KLslave_KL,SIGN(BM22))*POWER(INslave,SIGN(BN22))*POWER(CHslave,SIGN(BO22))*POWER(FFslave,SIGN(BP22))*POWER(GEslave,SIGN(BQ22))*POWER(KOslave,SIGN(BR22))*POWER(KKslave,SIGN(BS22))+BM22*POWER(MUslave,SIGN(BL22))*POWER(INslave,SIGN(BN22))*POWER(CHslave,SIGN(BO22))*POWER(FFslave,SIGN(BP22))*POWER(GEslave,SIGN(BQ22))*POWER(KOslave,SIGN(BR22))*POWER(KKslave,SIGN(BS22))+BN22*POWER(MUslave,SIGN(BL22))*POWER(KLslave_KL,SIGN(BM22))*POWER(CHslave,SIGN(BO22))*POWER(FFslave,SIGN(BP22))*POWER(GEslave,SIGN(BQ22))*POWER(KOslave,SIGN(BR22))*POWER(KKslave,SIGN(BS22))+BO22*POWER(MUslave,SIGN(BL22))*POWER(KLslave_KL,SIGN(BM22))*POWER(INslave,SIGN(BN22))*POWER(FFslave,SIGN(BP22))*POWER(GEslave,SIGN(BQ22))*POWER(KOslave,SIGN(BR22))*POWER(KKslave,SIGN(BS22))+BP22*POWER(MUslave,SIGN(BL22))*POWER(KLslave_KL,SIGN(BM22))*POWER(INslave,SIGN(BN22))*POWER(CHslave,SIGN(BO22))*POWER(GEslave,SIGN(BQ22))*POWER(KOslave,SIGN(BR22))*POWER(KKslave,SIGN(BS22))+BQ22*POWER(MUslave,SIGN(BL22))*POWER(KLslave_KL,SIGN(BM22))*POWER(INslave,SIGN(BN22))*POWER(CHslave,SIGN(BO22))*POWER(FFslave,SIGN(BP22))*POWER(KOslave,SIGN(BR22))*POWER(KKslave,SIGN(BS22))+BR22*POWER(MUslave,SIGN(BL22))*POWER(KLslave_KL,SIGN(BM22))*POWER(INslave,SIGN(BN22))*POWER(CHslave,SIGN(BO22))*POWER(FFslave,SIGN(BP22))*POWER(GEslave,SIGN(BQ22))*POWER(KKslave,SIGN(BS22))+BS22*POWER(MUslave,SIGN(BL22))*POWER(KLslave_KL,SIGN(BM22))*POWER(INslave,SIGN(BN22))*POWER(CHslave,SIGN(BO22))*POWER(FFslave,SIGN(BP22))*POWER(GEslave,SIGN(BQ22))*POWER(KOslave,SIGN(BR22))</f>
        <v>2304</v>
      </c>
      <c r="BX22" s="234">
        <f>BL22*BP22*GEslave+BL22*FFslave*BQ22+MUslave*BP22*BQ22</f>
        <v>3456</v>
      </c>
      <c r="BY22" s="224">
        <f t="shared" si="30"/>
        <v>1728</v>
      </c>
      <c r="BZ22" s="242">
        <f t="shared" si="100"/>
        <v>7488</v>
      </c>
      <c r="CA22" s="222">
        <f t="shared" si="31"/>
        <v>3.6923076923076925</v>
      </c>
      <c r="CB22" s="223">
        <f t="shared" si="32"/>
        <v>11.076923076923077</v>
      </c>
      <c r="CC22" s="243">
        <f t="shared" si="33"/>
        <v>8.3076923076923084</v>
      </c>
      <c r="CD22" s="218">
        <f t="shared" si="34"/>
        <v>23.07692307692308</v>
      </c>
      <c r="CE22" s="252">
        <f t="shared" si="35"/>
        <v>0</v>
      </c>
      <c r="CF22" s="309">
        <f t="shared" si="36"/>
        <v>23.07692307692308</v>
      </c>
      <c r="CG22" s="218">
        <f>IF(CD22&gt;0,CD22,0)*2+IF(CD22&gt;12,CD22-12,0)*2+IF(CD22&gt;13,CD22-13,0)*2+IF(CD22&gt;14,CD22-14,0)*2+IF(CD22&gt;15,CD22-15,0)*2+IF(CD22&gt;16,CD22-16,0)*2+IF(CD22&gt;17,CD22-17,0)*2+IF(CD22&gt;18,CD22-18,0)*2+IF(CD22&gt;19,CD22-19,0)*2+IF(CD22&gt;20,CD22-20,0)*2</f>
        <v>173.5384615384616</v>
      </c>
      <c r="CH22" s="242">
        <f>IF(CE22&gt;0,CE22,0)*2+IF(CE22&gt;12,CE22-12,0)*2+IF(CE22&gt;13,CE22-13,0)*2+IF(CE22&gt;14,CE22-14,0)*2+IF(CE22&gt;15,CE22-15,0)*2+IF(CE22&gt;16,CE22-16,0)*2+IF(CE22&gt;17,CE22-17,0)*2+IF(CE22&gt;18,CE22-18,0)*2+IF(CE22&gt;19,CE22-19,0)*2+IF(CE22&gt;20,CE22-20,0)*2</f>
        <v>0</v>
      </c>
      <c r="CI22" s="243">
        <f t="shared" si="2"/>
        <v>173.5384615384616</v>
      </c>
      <c r="CJ22" s="218">
        <f t="shared" si="37"/>
        <v>0</v>
      </c>
      <c r="CL22" s="303" t="s">
        <v>20</v>
      </c>
      <c r="CM22" s="243" t="s">
        <v>82</v>
      </c>
      <c r="CN22" s="218" t="s">
        <v>132</v>
      </c>
      <c r="CO22" s="237">
        <f>Konvention_1slave-MUslave</f>
        <v>12</v>
      </c>
      <c r="CP22" s="234"/>
      <c r="CQ22" s="234"/>
      <c r="CR22" s="234"/>
      <c r="CS22" s="234">
        <f>Konvention_1slave-FFslave</f>
        <v>12</v>
      </c>
      <c r="CT22" s="234">
        <f>Konvention_1slave-GEslave</f>
        <v>12</v>
      </c>
      <c r="CU22" s="234"/>
      <c r="CV22" s="224"/>
      <c r="CW22" s="222">
        <f>(CO22+CP22+CQ22+CR22+CS22+CT22+CU22+CV22)/3</f>
        <v>12</v>
      </c>
      <c r="CX22" s="223">
        <f t="shared" si="38"/>
        <v>24</v>
      </c>
      <c r="CY22" s="224">
        <f t="shared" si="39"/>
        <v>36</v>
      </c>
      <c r="CZ22" s="237">
        <f>CO22*POWER(KLslave,SIGN(CP22))*POWER(INslave_IN,SIGN(CQ22))*POWER(CHslave,SIGN(CR22))*POWER(FFslave,SIGN(CS22))*POWER(GEslave,SIGN(CT22))*POWER(KOslave,SIGN(CU22))*POWER(KKslave,SIGN(CV22))+CP22*POWER(MUslave,SIGN(CO22))*POWER(INslave_IN,SIGN(CQ22))*POWER(CHslave,SIGN(CR22))*POWER(FFslave,SIGN(CS22))*POWER(GEslave,SIGN(CT22))*POWER(KOslave,SIGN(CU22))*POWER(KKslave,SIGN(CV22))+CQ22*POWER(MUslave,SIGN(CO22))*POWER(KLslave,SIGN(CP22))*POWER(CHslave,SIGN(CR22))*POWER(FFslave,SIGN(CS22))*POWER(GEslave,SIGN(CT22))*POWER(KOslave,SIGN(CU22))*POWER(KKslave,SIGN(CV22))+CR22*POWER(MUslave,SIGN(CO22))*POWER(KLslave,SIGN(CP22))*POWER(INslave_IN,SIGN(CQ22))*POWER(FFslave,SIGN(CS22))*POWER(GEslave,SIGN(CT22))*POWER(KOslave,SIGN(CU22))*POWER(KKslave,SIGN(CV22))+CS22*POWER(MUslave,SIGN(CO22))*POWER(KLslave,SIGN(CP22))*POWER(INslave_IN,SIGN(CQ22))*POWER(CHslave,SIGN(CR22))*POWER(GEslave,SIGN(CT22))*POWER(KOslave,SIGN(CU22))*POWER(KKslave,SIGN(CV22))+CT22*POWER(MUslave,SIGN(CO22))*POWER(KLslave,SIGN(CP22))*POWER(INslave_IN,SIGN(CQ22))*POWER(CHslave,SIGN(CR22))*POWER(FFslave,SIGN(CS22))*POWER(KOslave,SIGN(CU22))*POWER(KKslave,SIGN(CV22))+CU22*POWER(MUslave,SIGN(CO22))*POWER(KLslave,SIGN(CP22))*POWER(INslave_IN,SIGN(CQ22))*POWER(CHslave,SIGN(CR22))*POWER(FFslave,SIGN(CS22))*POWER(GEslave,SIGN(CT22))*POWER(KKslave,SIGN(CV22))+CV22*POWER(MUslave,SIGN(CO22))*POWER(KLslave,SIGN(CP22))*POWER(INslave_IN,SIGN(CQ22))*POWER(CHslave,SIGN(CR22))*POWER(FFslave,SIGN(CS22))*POWER(GEslave,SIGN(CT22))*POWER(KOslave,SIGN(CU22))</f>
        <v>2304</v>
      </c>
      <c r="DA22" s="234">
        <f>CO22*CS22*GEslave+CO22*FFslave*CT22+MUslave*CS22*CT22</f>
        <v>3456</v>
      </c>
      <c r="DB22" s="224">
        <f t="shared" si="40"/>
        <v>1728</v>
      </c>
      <c r="DC22" s="242">
        <f t="shared" si="101"/>
        <v>7488</v>
      </c>
      <c r="DD22" s="222">
        <f t="shared" si="41"/>
        <v>3.6923076923076925</v>
      </c>
      <c r="DE22" s="223">
        <f t="shared" si="42"/>
        <v>11.076923076923077</v>
      </c>
      <c r="DF22" s="243">
        <f t="shared" si="43"/>
        <v>8.3076923076923084</v>
      </c>
      <c r="DG22" s="218">
        <f t="shared" si="44"/>
        <v>23.07692307692308</v>
      </c>
      <c r="DH22" s="252">
        <f t="shared" si="45"/>
        <v>0</v>
      </c>
      <c r="DI22" s="309">
        <f t="shared" si="46"/>
        <v>23.07692307692308</v>
      </c>
      <c r="DJ22" s="218">
        <f>IF(DG22&gt;0,DG22,0)*2+IF(DG22&gt;12,DG22-12,0)*2+IF(DG22&gt;13,DG22-13,0)*2+IF(DG22&gt;14,DG22-14,0)*2+IF(DG22&gt;15,DG22-15,0)*2+IF(DG22&gt;16,DG22-16,0)*2+IF(DG22&gt;17,DG22-17,0)*2+IF(DG22&gt;18,DG22-18,0)*2+IF(DG22&gt;19,DG22-19,0)*2+IF(DG22&gt;20,DG22-20,0)*2</f>
        <v>173.5384615384616</v>
      </c>
      <c r="DK22" s="242">
        <f>IF(DH22&gt;0,DH22,0)*2+IF(DH22&gt;12,DH22-12,0)*2+IF(DH22&gt;13,DH22-13,0)*2+IF(DH22&gt;14,DH22-14,0)*2+IF(DH22&gt;15,DH22-15,0)*2+IF(DH22&gt;16,DH22-16,0)*2+IF(DH22&gt;17,DH22-17,0)*2+IF(DH22&gt;18,DH22-18,0)*2+IF(DH22&gt;19,DH22-19,0)*2+IF(DH22&gt;20,DH22-20,0)*2</f>
        <v>0</v>
      </c>
      <c r="DL22" s="243">
        <f t="shared" si="3"/>
        <v>173.5384615384616</v>
      </c>
      <c r="DM22" s="218">
        <f t="shared" si="47"/>
        <v>0</v>
      </c>
      <c r="DO22" s="303" t="s">
        <v>20</v>
      </c>
      <c r="DP22" s="243" t="s">
        <v>82</v>
      </c>
      <c r="DQ22" s="218" t="s">
        <v>132</v>
      </c>
      <c r="DR22" s="237">
        <f>Konvention_1slave-MUslave</f>
        <v>12</v>
      </c>
      <c r="DS22" s="234"/>
      <c r="DT22" s="234"/>
      <c r="DU22" s="234"/>
      <c r="DV22" s="234">
        <f>Konvention_1slave-FFslave</f>
        <v>12</v>
      </c>
      <c r="DW22" s="234">
        <f>Konvention_1slave-GEslave</f>
        <v>12</v>
      </c>
      <c r="DX22" s="234"/>
      <c r="DY22" s="224"/>
      <c r="DZ22" s="222">
        <f>(DR22+DS22+DT22+DU22+DV22+DW22+DX22+DY22)/3</f>
        <v>12</v>
      </c>
      <c r="EA22" s="223">
        <f t="shared" si="48"/>
        <v>24</v>
      </c>
      <c r="EB22" s="224">
        <f t="shared" si="49"/>
        <v>36</v>
      </c>
      <c r="EC22" s="237">
        <f>DR22*POWER(KLslave,SIGN(DS22))*POWER(INslave,SIGN(DT22))*POWER(CHslave_CH,SIGN(DU22))*POWER(FFslave,SIGN(DV22))*POWER(GEslave,SIGN(DW22))*POWER(KOslave,SIGN(DX22))*POWER(KKslave,SIGN(DY22))+DS22*POWER(MUslave,SIGN(DR22))*POWER(INslave,SIGN(DT22))*POWER(CHslave_CH,SIGN(DU22))*POWER(FFslave,SIGN(DV22))*POWER(GEslave,SIGN(DW22))*POWER(KOslave,SIGN(DX22))*POWER(KKslave,SIGN(DY22))+DT22*POWER(MUslave,SIGN(DR22))*POWER(KLslave,SIGN(DS22))*POWER(CHslave_CH,SIGN(DU22))*POWER(FFslave,SIGN(DV22))*POWER(GEslave,SIGN(DW22))*POWER(KOslave,SIGN(DX22))*POWER(KKslave,SIGN(DY22))+DU22*POWER(MUslave,SIGN(DR22))*POWER(KLslave,SIGN(DS22))*POWER(INslave,SIGN(DT22))*POWER(FFslave,SIGN(DV22))*POWER(GEslave,SIGN(DW22))*POWER(KOslave,SIGN(DX22))*POWER(KKslave,SIGN(DY22))+DV22*POWER(MUslave,SIGN(DR22))*POWER(KLslave,SIGN(DS22))*POWER(INslave,SIGN(DT22))*POWER(CHslave_CH,SIGN(DU22))*POWER(GEslave,SIGN(DW22))*POWER(KOslave,SIGN(DX22))*POWER(KKslave,SIGN(DY22))+DW22*POWER(MUslave,SIGN(DR22))*POWER(KLslave,SIGN(DS22))*POWER(INslave,SIGN(DT22))*POWER(CHslave_CH,SIGN(DU22))*POWER(FFslave,SIGN(DV22))*POWER(KOslave,SIGN(DX22))*POWER(KKslave,SIGN(DY22))+DX22*POWER(MUslave,SIGN(DR22))*POWER(KLslave,SIGN(DS22))*POWER(INslave,SIGN(DT22))*POWER(CHslave_CH,SIGN(DU22))*POWER(FFslave,SIGN(DV22))*POWER(GEslave,SIGN(DW22))*POWER(KKslave,SIGN(DY22))+DY22*POWER(MUslave,SIGN(DR22))*POWER(KLslave,SIGN(DS22))*POWER(INslave,SIGN(DT22))*POWER(CHslave_CH,SIGN(DU22))*POWER(FFslave,SIGN(DV22))*POWER(GEslave,SIGN(DW22))*POWER(KOslave,SIGN(DX22))</f>
        <v>2304</v>
      </c>
      <c r="ED22" s="234">
        <f>DR22*DV22*GEslave+DR22*FFslave*DW22+MUslave*DV22*DW22</f>
        <v>3456</v>
      </c>
      <c r="EE22" s="224">
        <f t="shared" si="50"/>
        <v>1728</v>
      </c>
      <c r="EF22" s="242">
        <f t="shared" si="102"/>
        <v>7488</v>
      </c>
      <c r="EG22" s="222">
        <f t="shared" si="51"/>
        <v>3.6923076923076925</v>
      </c>
      <c r="EH22" s="223">
        <f t="shared" si="52"/>
        <v>11.076923076923077</v>
      </c>
      <c r="EI22" s="243">
        <f t="shared" si="53"/>
        <v>8.3076923076923084</v>
      </c>
      <c r="EJ22" s="218">
        <f t="shared" si="54"/>
        <v>23.07692307692308</v>
      </c>
      <c r="EK22" s="252">
        <f t="shared" si="55"/>
        <v>0</v>
      </c>
      <c r="EL22" s="309">
        <f t="shared" si="56"/>
        <v>23.07692307692308</v>
      </c>
      <c r="EM22" s="218">
        <f>IF(EJ22&gt;0,EJ22,0)*2+IF(EJ22&gt;12,EJ22-12,0)*2+IF(EJ22&gt;13,EJ22-13,0)*2+IF(EJ22&gt;14,EJ22-14,0)*2+IF(EJ22&gt;15,EJ22-15,0)*2+IF(EJ22&gt;16,EJ22-16,0)*2+IF(EJ22&gt;17,EJ22-17,0)*2+IF(EJ22&gt;18,EJ22-18,0)*2+IF(EJ22&gt;19,EJ22-19,0)*2+IF(EJ22&gt;20,EJ22-20,0)*2</f>
        <v>173.5384615384616</v>
      </c>
      <c r="EN22" s="242">
        <f>IF(EK22&gt;0,EK22,0)*2+IF(EK22&gt;12,EK22-12,0)*2+IF(EK22&gt;13,EK22-13,0)*2+IF(EK22&gt;14,EK22-14,0)*2+IF(EK22&gt;15,EK22-15,0)*2+IF(EK22&gt;16,EK22-16,0)*2+IF(EK22&gt;17,EK22-17,0)*2+IF(EK22&gt;18,EK22-18,0)*2+IF(EK22&gt;19,EK22-19,0)*2+IF(EK22&gt;20,EK22-20,0)*2</f>
        <v>0</v>
      </c>
      <c r="EO22" s="243">
        <f t="shared" si="4"/>
        <v>173.5384615384616</v>
      </c>
      <c r="EP22" s="218">
        <f t="shared" si="57"/>
        <v>0</v>
      </c>
      <c r="ER22" s="303" t="s">
        <v>20</v>
      </c>
      <c r="ES22" s="243" t="s">
        <v>82</v>
      </c>
      <c r="ET22" s="218" t="s">
        <v>132</v>
      </c>
      <c r="EU22" s="237">
        <f>Konvention_1slave-MUslave</f>
        <v>12</v>
      </c>
      <c r="EV22" s="234"/>
      <c r="EW22" s="234"/>
      <c r="EX22" s="234"/>
      <c r="EY22" s="234">
        <f>Konvention_1slave-FFslave_FF</f>
        <v>11</v>
      </c>
      <c r="EZ22" s="234">
        <f>Konvention_1slave-GEslave</f>
        <v>12</v>
      </c>
      <c r="FA22" s="234"/>
      <c r="FB22" s="224"/>
      <c r="FC22" s="222">
        <f>(EU22+EV22+EW22+EX22+EY22+EZ22+FA22+FB22)/3</f>
        <v>11.666666666666666</v>
      </c>
      <c r="FD22" s="223">
        <f t="shared" si="58"/>
        <v>23.333333333333332</v>
      </c>
      <c r="FE22" s="224">
        <f t="shared" si="59"/>
        <v>35</v>
      </c>
      <c r="FF22" s="237">
        <f>EU22*POWER(KLslave,SIGN(EV22))*POWER(INslave,SIGN(EW22))*POWER(CHslave,SIGN(EX22))*POWER(FFslave_FF,SIGN(EY22))*POWER(GEslave,SIGN(EZ22))*POWER(KOslave,SIGN(FA22))*POWER(KKslave,SIGN(FB22))+EV22*POWER(MUslave,SIGN(EU22))*POWER(INslave,SIGN(EW22))*POWER(CHslave,SIGN(EX22))*POWER(FFslave_FF,SIGN(EY22))*POWER(GEslave,SIGN(EZ22))*POWER(KOslave,SIGN(FA22))*POWER(KKslave,SIGN(FB22))+EW22*POWER(MUslave,SIGN(EU22))*POWER(KLslave,SIGN(EV22))*POWER(CHslave,SIGN(EX22))*POWER(FFslave_FF,SIGN(EY22))*POWER(GEslave,SIGN(EZ22))*POWER(KOslave,SIGN(FA22))*POWER(KKslave,SIGN(FB22))+EX22*POWER(MUslave,SIGN(EU22))*POWER(KLslave,SIGN(EV22))*POWER(INslave,SIGN(EW22))*POWER(FFslave_FF,SIGN(EY22))*POWER(GEslave,SIGN(EZ22))*POWER(KOslave,SIGN(FA22))*POWER(KKslave,SIGN(FB22))+EY22*POWER(MUslave,SIGN(EU22))*POWER(KLslave,SIGN(EV22))*POWER(INslave,SIGN(EW22))*POWER(CHslave,SIGN(EX22))*POWER(GEslave,SIGN(EZ22))*POWER(KOslave,SIGN(FA22))*POWER(KKslave,SIGN(FB22))+EZ22*POWER(MUslave,SIGN(EU22))*POWER(KLslave,SIGN(EV22))*POWER(INslave,SIGN(EW22))*POWER(CHslave,SIGN(EX22))*POWER(FFslave_FF,SIGN(EY22))*POWER(KOslave,SIGN(FA22))*POWER(KKslave,SIGN(FB22))+FA22*POWER(MUslave,SIGN(EU22))*POWER(KLslave,SIGN(EV22))*POWER(INslave,SIGN(EW22))*POWER(CHslave,SIGN(EX22))*POWER(FFslave_FF,SIGN(EY22))*POWER(GEslave,SIGN(EZ22))*POWER(KKslave,SIGN(FB22))+FB22*POWER(MUslave,SIGN(EU22))*POWER(KLslave,SIGN(EV22))*POWER(INslave,SIGN(EW22))*POWER(CHslave,SIGN(EX22))*POWER(FFslave_FF,SIGN(EY22))*POWER(GEslave,SIGN(EZ22))*POWER(KOslave,SIGN(FA22))</f>
        <v>2432</v>
      </c>
      <c r="FG22" s="234">
        <f>EU22*EY22*GEslave+EU22*FFslave_FF*EZ22+MUslave*EY22*EZ22</f>
        <v>3408</v>
      </c>
      <c r="FH22" s="224">
        <f t="shared" si="60"/>
        <v>1584</v>
      </c>
      <c r="FI22" s="242">
        <f t="shared" si="103"/>
        <v>7424</v>
      </c>
      <c r="FJ22" s="222">
        <f t="shared" si="61"/>
        <v>3.8218390804597702</v>
      </c>
      <c r="FK22" s="223">
        <f t="shared" si="62"/>
        <v>10.711206896551724</v>
      </c>
      <c r="FL22" s="243">
        <f t="shared" si="63"/>
        <v>7.4676724137931032</v>
      </c>
      <c r="FM22" s="218">
        <f t="shared" si="64"/>
        <v>22.000718390804597</v>
      </c>
      <c r="FN22" s="252">
        <f t="shared" si="65"/>
        <v>0</v>
      </c>
      <c r="FO22" s="309">
        <f t="shared" si="66"/>
        <v>22.000718390804597</v>
      </c>
      <c r="FP22" s="218">
        <f>IF(FM22&gt;0,FM22,0)*2+IF(FM22&gt;12,FM22-12,0)*2+IF(FM22&gt;13,FM22-13,0)*2+IF(FM22&gt;14,FM22-14,0)*2+IF(FM22&gt;15,FM22-15,0)*2+IF(FM22&gt;16,FM22-16,0)*2+IF(FM22&gt;17,FM22-17,0)*2+IF(FM22&gt;18,FM22-18,0)*2+IF(FM22&gt;19,FM22-19,0)*2+IF(FM22&gt;20,FM22-20,0)*2</f>
        <v>152.01436781609189</v>
      </c>
      <c r="FQ22" s="242">
        <f>IF(FN22&gt;0,FN22,0)*2+IF(FN22&gt;12,FN22-12,0)*2+IF(FN22&gt;13,FN22-13,0)*2+IF(FN22&gt;14,FN22-14,0)*2+IF(FN22&gt;15,FN22-15,0)*2+IF(FN22&gt;16,FN22-16,0)*2+IF(FN22&gt;17,FN22-17,0)*2+IF(FN22&gt;18,FN22-18,0)*2+IF(FN22&gt;19,FN22-19,0)*2+IF(FN22&gt;20,FN22-20,0)*2</f>
        <v>0</v>
      </c>
      <c r="FR22" s="243">
        <f t="shared" si="5"/>
        <v>152.01436781609189</v>
      </c>
      <c r="FS22" s="218">
        <f t="shared" si="67"/>
        <v>0</v>
      </c>
      <c r="FU22" s="303" t="s">
        <v>20</v>
      </c>
      <c r="FV22" s="243" t="s">
        <v>82</v>
      </c>
      <c r="FW22" s="218" t="s">
        <v>132</v>
      </c>
      <c r="FX22" s="237">
        <f>Konvention_1slave-MUslave</f>
        <v>12</v>
      </c>
      <c r="FY22" s="234"/>
      <c r="FZ22" s="234"/>
      <c r="GA22" s="234"/>
      <c r="GB22" s="234">
        <f>Konvention_1slave-FFslave</f>
        <v>12</v>
      </c>
      <c r="GC22" s="234">
        <f>Konvention_1slave-GEslave_GE</f>
        <v>11</v>
      </c>
      <c r="GD22" s="234"/>
      <c r="GE22" s="224"/>
      <c r="GF22" s="222">
        <f>(FX22+FY22+FZ22+GA22+GB22+GC22+GD22+GE22)/3</f>
        <v>11.666666666666666</v>
      </c>
      <c r="GG22" s="223">
        <f t="shared" si="68"/>
        <v>23.333333333333332</v>
      </c>
      <c r="GH22" s="224">
        <f t="shared" si="69"/>
        <v>35</v>
      </c>
      <c r="GI22" s="237">
        <f>FX22*POWER(KLslave,SIGN(FY22))*POWER(INslave,SIGN(FZ22))*POWER(CHslave,SIGN(GA22))*POWER(FFslave,SIGN(GB22))*POWER(GEslave_GE,SIGN(GC22))*POWER(KOslave,SIGN(GD22))*POWER(KKslave,SIGN(GE22))+FY22*POWER(MUslave,SIGN(FX22))*POWER(INslave,SIGN(FZ22))*POWER(CHslave,SIGN(GA22))*POWER(FFslave,SIGN(GB22))*POWER(GEslave_GE,SIGN(GC22))*POWER(KOslave,SIGN(GD22))*POWER(KKslave,SIGN(GE22))+FZ22*POWER(MUslave,SIGN(FX22))*POWER(KLslave,SIGN(FY22))*POWER(CHslave,SIGN(GA22))*POWER(FFslave,SIGN(GB22))*POWER(GEslave_GE,SIGN(GC22))*POWER(KOslave,SIGN(GD22))*POWER(KKslave,SIGN(GE22))+GA22*POWER(MUslave,SIGN(FX22))*POWER(KLslave,SIGN(FY22))*POWER(INslave,SIGN(FZ22))*POWER(FFslave,SIGN(GB22))*POWER(GEslave_GE,SIGN(GC22))*POWER(KOslave,SIGN(GD22))*POWER(KKslave,SIGN(GE22))+GB22*POWER(MUslave,SIGN(FX22))*POWER(KLslave,SIGN(FY22))*POWER(INslave,SIGN(FZ22))*POWER(CHslave,SIGN(GA22))*POWER(GEslave_GE,SIGN(GC22))*POWER(KOslave,SIGN(GD22))*POWER(KKslave,SIGN(GE22))+GC22*POWER(MUslave,SIGN(FX22))*POWER(KLslave,SIGN(FY22))*POWER(INslave,SIGN(FZ22))*POWER(CHslave,SIGN(GA22))*POWER(FFslave,SIGN(GB22))*POWER(KOslave,SIGN(GD22))*POWER(KKslave,SIGN(GE22))+GD22*POWER(MUslave,SIGN(FX22))*POWER(KLslave,SIGN(FY22))*POWER(INslave,SIGN(FZ22))*POWER(CHslave,SIGN(GA22))*POWER(FFslave,SIGN(GB22))*POWER(GEslave_GE,SIGN(GC22))*POWER(KKslave,SIGN(GE22))+GE22*POWER(MUslave,SIGN(FX22))*POWER(KLslave,SIGN(FY22))*POWER(INslave,SIGN(FZ22))*POWER(CHslave,SIGN(GA22))*POWER(FFslave,SIGN(GB22))*POWER(GEslave_GE,SIGN(GC22))*POWER(KOslave,SIGN(GD22))</f>
        <v>2432</v>
      </c>
      <c r="GJ22" s="234">
        <f>FX22*GB22*GEslave_GE+FX22*FFslave*GC22+MUslave*GB22*GC22</f>
        <v>3408</v>
      </c>
      <c r="GK22" s="224">
        <f t="shared" si="70"/>
        <v>1584</v>
      </c>
      <c r="GL22" s="242">
        <f t="shared" si="104"/>
        <v>7424</v>
      </c>
      <c r="GM22" s="222">
        <f t="shared" si="71"/>
        <v>3.8218390804597702</v>
      </c>
      <c r="GN22" s="223">
        <f t="shared" si="72"/>
        <v>10.711206896551724</v>
      </c>
      <c r="GO22" s="243">
        <f t="shared" si="73"/>
        <v>7.4676724137931032</v>
      </c>
      <c r="GP22" s="218">
        <f t="shared" si="74"/>
        <v>22.000718390804597</v>
      </c>
      <c r="GQ22" s="252">
        <f t="shared" si="75"/>
        <v>0</v>
      </c>
      <c r="GR22" s="309">
        <f t="shared" si="76"/>
        <v>22.000718390804597</v>
      </c>
      <c r="GS22" s="218">
        <f>IF(GP22&gt;0,GP22,0)*2+IF(GP22&gt;12,GP22-12,0)*2+IF(GP22&gt;13,GP22-13,0)*2+IF(GP22&gt;14,GP22-14,0)*2+IF(GP22&gt;15,GP22-15,0)*2+IF(GP22&gt;16,GP22-16,0)*2+IF(GP22&gt;17,GP22-17,0)*2+IF(GP22&gt;18,GP22-18,0)*2+IF(GP22&gt;19,GP22-19,0)*2+IF(GP22&gt;20,GP22-20,0)*2</f>
        <v>152.01436781609189</v>
      </c>
      <c r="GT22" s="242">
        <f>IF(GQ22&gt;0,GQ22,0)*2+IF(GQ22&gt;12,GQ22-12,0)*2+IF(GQ22&gt;13,GQ22-13,0)*2+IF(GQ22&gt;14,GQ22-14,0)*2+IF(GQ22&gt;15,GQ22-15,0)*2+IF(GQ22&gt;16,GQ22-16,0)*2+IF(GQ22&gt;17,GQ22-17,0)*2+IF(GQ22&gt;18,GQ22-18,0)*2+IF(GQ22&gt;19,GQ22-19,0)*2+IF(GQ22&gt;20,GQ22-20,0)*2</f>
        <v>0</v>
      </c>
      <c r="GU22" s="243">
        <f t="shared" si="6"/>
        <v>152.01436781609189</v>
      </c>
      <c r="GV22" s="218">
        <f t="shared" si="77"/>
        <v>0</v>
      </c>
      <c r="GX22" s="303" t="s">
        <v>20</v>
      </c>
      <c r="GY22" s="243" t="s">
        <v>82</v>
      </c>
      <c r="GZ22" s="218" t="s">
        <v>132</v>
      </c>
      <c r="HA22" s="237">
        <f>Konvention_1slave-MUslave</f>
        <v>12</v>
      </c>
      <c r="HB22" s="234"/>
      <c r="HC22" s="234"/>
      <c r="HD22" s="234"/>
      <c r="HE22" s="234">
        <f>Konvention_1slave-FFslave</f>
        <v>12</v>
      </c>
      <c r="HF22" s="234">
        <f>Konvention_1slave-GEslave</f>
        <v>12</v>
      </c>
      <c r="HG22" s="234"/>
      <c r="HH22" s="224"/>
      <c r="HI22" s="222">
        <f>(HA22+HB22+HC22+HD22+HE22+HF22+HG22+HH22)/3</f>
        <v>12</v>
      </c>
      <c r="HJ22" s="223">
        <f t="shared" si="78"/>
        <v>24</v>
      </c>
      <c r="HK22" s="224">
        <f t="shared" si="79"/>
        <v>36</v>
      </c>
      <c r="HL22" s="237">
        <f>HA22*POWER(KLslave,SIGN(HB22))*POWER(INslave,SIGN(HC22))*POWER(CHslave,SIGN(HD22))*POWER(FFslave,SIGN(HE22))*POWER(GEslave,SIGN(HF22))*POWER(KOslave_KO,SIGN(HG22))*POWER(KKslave,SIGN(HH22))+HB22*POWER(MUslave,SIGN(HA22))*POWER(INslave,SIGN(HC22))*POWER(CHslave,SIGN(HD22))*POWER(FFslave,SIGN(HE22))*POWER(GEslave,SIGN(HF22))*POWER(KOslave_KO,SIGN(HG22))*POWER(KKslave,SIGN(HH22))+HC22*POWER(MUslave,SIGN(HA22))*POWER(KLslave,SIGN(HB22))*POWER(CHslave,SIGN(HD22))*POWER(FFslave,SIGN(HE22))*POWER(GEslave,SIGN(HF22))*POWER(KOslave_KO,SIGN(HG22))*POWER(KKslave,SIGN(HH22))+HD22*POWER(MUslave,SIGN(HA22))*POWER(KLslave,SIGN(HB22))*POWER(INslave,SIGN(HC22))*POWER(FFslave,SIGN(HE22))*POWER(GEslave,SIGN(HF22))*POWER(KOslave_KO,SIGN(HG22))*POWER(KKslave,SIGN(HH22))+HE22*POWER(MUslave,SIGN(HA22))*POWER(KLslave,SIGN(HB22))*POWER(INslave,SIGN(HC22))*POWER(CHslave,SIGN(HD22))*POWER(GEslave,SIGN(HF22))*POWER(KOslave_KO,SIGN(HG22))*POWER(KKslave,SIGN(HH22))+HF22*POWER(MUslave,SIGN(HA22))*POWER(KLslave,SIGN(HB22))*POWER(INslave,SIGN(HC22))*POWER(CHslave,SIGN(HD22))*POWER(FFslave,SIGN(HE22))*POWER(KOslave_KO,SIGN(HG22))*POWER(KKslave,SIGN(HH22))+HG22*POWER(MUslave,SIGN(HA22))*POWER(KLslave,SIGN(HB22))*POWER(INslave,SIGN(HC22))*POWER(CHslave,SIGN(HD22))*POWER(FFslave,SIGN(HE22))*POWER(GEslave,SIGN(HF22))*POWER(KKslave,SIGN(HH22))+HH22*POWER(MUslave,SIGN(HA22))*POWER(KLslave,SIGN(HB22))*POWER(INslave,SIGN(HC22))*POWER(CHslave,SIGN(HD22))*POWER(FFslave,SIGN(HE22))*POWER(GEslave,SIGN(HF22))*POWER(KOslave_KO,SIGN(HG22))</f>
        <v>2304</v>
      </c>
      <c r="HM22" s="234">
        <f>HA22*HE22*GEslave+HA22*FFslave*HF22+MUslave*HE22*HF22</f>
        <v>3456</v>
      </c>
      <c r="HN22" s="224">
        <f t="shared" si="80"/>
        <v>1728</v>
      </c>
      <c r="HO22" s="242">
        <f t="shared" si="105"/>
        <v>7488</v>
      </c>
      <c r="HP22" s="222">
        <f t="shared" si="81"/>
        <v>3.6923076923076925</v>
      </c>
      <c r="HQ22" s="223">
        <f t="shared" si="82"/>
        <v>11.076923076923077</v>
      </c>
      <c r="HR22" s="243">
        <f t="shared" si="83"/>
        <v>8.3076923076923084</v>
      </c>
      <c r="HS22" s="218">
        <f t="shared" si="84"/>
        <v>23.07692307692308</v>
      </c>
      <c r="HT22" s="252">
        <f t="shared" si="85"/>
        <v>0</v>
      </c>
      <c r="HU22" s="309">
        <f t="shared" si="86"/>
        <v>23.07692307692308</v>
      </c>
      <c r="HV22" s="218">
        <f>IF(HS22&gt;0,HS22,0)*2+IF(HS22&gt;12,HS22-12,0)*2+IF(HS22&gt;13,HS22-13,0)*2+IF(HS22&gt;14,HS22-14,0)*2+IF(HS22&gt;15,HS22-15,0)*2+IF(HS22&gt;16,HS22-16,0)*2+IF(HS22&gt;17,HS22-17,0)*2+IF(HS22&gt;18,HS22-18,0)*2+IF(HS22&gt;19,HS22-19,0)*2+IF(HS22&gt;20,HS22-20,0)*2</f>
        <v>173.5384615384616</v>
      </c>
      <c r="HW22" s="242">
        <f>IF(HT22&gt;0,HT22,0)*2+IF(HT22&gt;12,HT22-12,0)*2+IF(HT22&gt;13,HT22-13,0)*2+IF(HT22&gt;14,HT22-14,0)*2+IF(HT22&gt;15,HT22-15,0)*2+IF(HT22&gt;16,HT22-16,0)*2+IF(HT22&gt;17,HT22-17,0)*2+IF(HT22&gt;18,HT22-18,0)*2+IF(HT22&gt;19,HT22-19,0)*2+IF(HT22&gt;20,HT22-20,0)*2</f>
        <v>0</v>
      </c>
      <c r="HX22" s="243">
        <f t="shared" si="7"/>
        <v>173.5384615384616</v>
      </c>
      <c r="HY22" s="218">
        <f t="shared" si="87"/>
        <v>0</v>
      </c>
      <c r="IA22" s="303" t="s">
        <v>20</v>
      </c>
      <c r="IB22" s="243" t="s">
        <v>82</v>
      </c>
      <c r="IC22" s="218" t="s">
        <v>132</v>
      </c>
      <c r="ID22" s="237">
        <f>Konvention_1slave-MUslave</f>
        <v>12</v>
      </c>
      <c r="IE22" s="234"/>
      <c r="IF22" s="234"/>
      <c r="IG22" s="234"/>
      <c r="IH22" s="234">
        <f>Konvention_1slave-FFslave</f>
        <v>12</v>
      </c>
      <c r="II22" s="234">
        <f>Konvention_1slave-GEslave</f>
        <v>12</v>
      </c>
      <c r="IJ22" s="234"/>
      <c r="IK22" s="224"/>
      <c r="IL22" s="222">
        <f>(ID22+IE22+IF22+IG22+IH22+II22+IJ22+IK22)/3</f>
        <v>12</v>
      </c>
      <c r="IM22" s="223">
        <f t="shared" si="88"/>
        <v>24</v>
      </c>
      <c r="IN22" s="224">
        <f t="shared" si="89"/>
        <v>36</v>
      </c>
      <c r="IO22" s="237">
        <f>ID22*POWER(KLslave,SIGN(IE22))*POWER(INslave,SIGN(IF22))*POWER(CHslave,SIGN(IG22))*POWER(FFslave,SIGN(IH22))*POWER(GEslave,SIGN(II22))*POWER(KOslave,SIGN(IJ22))*POWER(KKslave_KK,SIGN(IK22))+IE22*POWER(MUslave,SIGN(ID22))*POWER(INslave,SIGN(IF22))*POWER(CHslave,SIGN(IG22))*POWER(FFslave,SIGN(IH22))*POWER(GEslave,SIGN(II22))*POWER(KOslave,SIGN(IJ22))*POWER(KKslave_KK,SIGN(IK22))+IF22*POWER(MUslave,SIGN(ID22))*POWER(KLslave,SIGN(IE22))*POWER(CHslave,SIGN(IG22))*POWER(FFslave,SIGN(IH22))*POWER(GEslave,SIGN(II22))*POWER(KOslave,SIGN(IJ22))*POWER(KKslave_KK,SIGN(IK22))+IG22*POWER(MUslave,SIGN(ID22))*POWER(KLslave,SIGN(IE22))*POWER(INslave,SIGN(IF22))*POWER(FFslave,SIGN(IH22))*POWER(GEslave,SIGN(II22))*POWER(KOslave,SIGN(IJ22))*POWER(KKslave_KK,SIGN(IK22))+IH22*POWER(MUslave,SIGN(ID22))*POWER(KLslave,SIGN(IE22))*POWER(INslave,SIGN(IF22))*POWER(CHslave,SIGN(IG22))*POWER(GEslave,SIGN(II22))*POWER(KOslave,SIGN(IJ22))*POWER(KKslave_KK,SIGN(IK22))+II22*POWER(MUslave,SIGN(ID22))*POWER(KLslave,SIGN(IE22))*POWER(INslave,SIGN(IF22))*POWER(CHslave,SIGN(IG22))*POWER(FFslave,SIGN(IH22))*POWER(KOslave,SIGN(IJ22))*POWER(KKslave_KK,SIGN(IK22))+IJ22*POWER(MUslave,SIGN(ID22))*POWER(KLslave,SIGN(IE22))*POWER(INslave,SIGN(IF22))*POWER(CHslave,SIGN(IG22))*POWER(FFslave,SIGN(IH22))*POWER(GEslave,SIGN(II22))*POWER(KKslave_KK,SIGN(IK22))+IK22*POWER(MUslave,SIGN(ID22))*POWER(KLslave,SIGN(IE22))*POWER(INslave,SIGN(IF22))*POWER(CHslave,SIGN(IG22))*POWER(FFslave,SIGN(IH22))*POWER(GEslave,SIGN(II22))*POWER(KOslave,SIGN(IJ22))</f>
        <v>2304</v>
      </c>
      <c r="IP22" s="234">
        <f>ID22*IH22*GEslave+ID22*FFslave*II22+MUslave*IH22*II22</f>
        <v>3456</v>
      </c>
      <c r="IQ22" s="224">
        <f t="shared" si="90"/>
        <v>1728</v>
      </c>
      <c r="IR22" s="242">
        <f t="shared" si="106"/>
        <v>7488</v>
      </c>
      <c r="IS22" s="222">
        <f t="shared" si="91"/>
        <v>3.6923076923076925</v>
      </c>
      <c r="IT22" s="223">
        <f t="shared" si="92"/>
        <v>11.076923076923077</v>
      </c>
      <c r="IU22" s="243">
        <f t="shared" si="93"/>
        <v>8.3076923076923084</v>
      </c>
      <c r="IV22" s="218">
        <f t="shared" si="94"/>
        <v>23.07692307692308</v>
      </c>
      <c r="IW22" s="252">
        <f t="shared" si="95"/>
        <v>0</v>
      </c>
      <c r="IX22" s="309">
        <f t="shared" si="96"/>
        <v>23.07692307692308</v>
      </c>
      <c r="IY22" s="218">
        <f>IF(IV22&gt;0,IV22,0)*2+IF(IV22&gt;12,IV22-12,0)*2+IF(IV22&gt;13,IV22-13,0)*2+IF(IV22&gt;14,IV22-14,0)*2+IF(IV22&gt;15,IV22-15,0)*2+IF(IV22&gt;16,IV22-16,0)*2+IF(IV22&gt;17,IV22-17,0)*2+IF(IV22&gt;18,IV22-18,0)*2+IF(IV22&gt;19,IV22-19,0)*2+IF(IV22&gt;20,IV22-20,0)*2</f>
        <v>173.5384615384616</v>
      </c>
      <c r="IZ22" s="242">
        <f>IF(IW22&gt;0,IW22,0)*2+IF(IW22&gt;12,IW22-12,0)*2+IF(IW22&gt;13,IW22-13,0)*2+IF(IW22&gt;14,IW22-14,0)*2+IF(IW22&gt;15,IW22-15,0)*2+IF(IW22&gt;16,IW22-16,0)*2+IF(IW22&gt;17,IW22-17,0)*2+IF(IW22&gt;18,IW22-18,0)*2+IF(IW22&gt;19,IW22-19,0)*2+IF(IW22&gt;20,IW22-20,0)*2</f>
        <v>0</v>
      </c>
      <c r="JA22" s="243">
        <f t="shared" si="8"/>
        <v>173.5384615384616</v>
      </c>
      <c r="JB22" s="218">
        <f t="shared" si="97"/>
        <v>0</v>
      </c>
      <c r="JE22" s="148"/>
    </row>
    <row r="23" spans="2:265" hidden="1" outlineLevel="2">
      <c r="B23" s="148">
        <v>13</v>
      </c>
      <c r="C23" s="303" t="e">
        <f>VLOOKUP(AF23,Attribute!C:T,1,FALSE)</f>
        <v>#N/A</v>
      </c>
      <c r="D23" s="167" t="s">
        <v>8</v>
      </c>
      <c r="E23" s="125" t="s">
        <v>135</v>
      </c>
      <c r="F23" s="114">
        <f>Konvention_1master-MUmaster</f>
        <v>12</v>
      </c>
      <c r="G23" s="113"/>
      <c r="H23" s="113">
        <f>Konvention_1master-INmaster</f>
        <v>12</v>
      </c>
      <c r="I23" s="113"/>
      <c r="J23" s="113"/>
      <c r="K23" s="113">
        <f>Konvention_1master-GEmaster</f>
        <v>12</v>
      </c>
      <c r="L23" s="113"/>
      <c r="M23" s="119"/>
      <c r="N23" s="222">
        <f>(F23+G23+H23+I23+J23+K23+L23+M23)/3</f>
        <v>12</v>
      </c>
      <c r="O23" s="223">
        <f t="shared" si="9"/>
        <v>24</v>
      </c>
      <c r="P23" s="224">
        <f t="shared" si="10"/>
        <v>36</v>
      </c>
      <c r="Q23" s="237">
        <f>F23*POWER(KLmaster,SIGN(G23))*POWER(INmaster,SIGN(H23))*POWER(CHmaster,SIGN(I23))*POWER(FFmaster,SIGN(J23))*POWER(GEmaster,SIGN(K23))*POWER(KOmaster,SIGN(L23))*POWER(KKmaster,SIGN(M23))+G23*POWER(MUmaster,SIGN(F23))*POWER(INmaster,SIGN(H23))*POWER(CHmaster,SIGN(I23))*POWER(FFmaster,SIGN(J23))*POWER(GEmaster,SIGN(K23))*POWER(KOmaster,SIGN(L23))*POWER(KKmaster,SIGN(M23))+H23*POWER(MUmaster,SIGN(F23))*POWER(KLmaster,SIGN(G23))*POWER(CHmaster,SIGN(I23))*POWER(FFmaster,SIGN(J23))*POWER(GEmaster,SIGN(K23))*POWER(KOmaster,SIGN(L23))*POWER(KKmaster,SIGN(M23))+I23*POWER(MUmaster,SIGN(F23))*POWER(KLmaster,SIGN(G23))*POWER(INmaster,SIGN(H23))*POWER(FFmaster,SIGN(J23))*POWER(GEmaster,SIGN(K23))*POWER(KOmaster,SIGN(L23))*POWER(KKmaster,SIGN(M23))+J23*POWER(MUmaster,SIGN(F23))*POWER(KLmaster,SIGN(G23))*POWER(INmaster,SIGN(H23))*POWER(CHmaster,SIGN(I23))*POWER(GEmaster,SIGN(K23))*POWER(KOmaster,SIGN(L23))*POWER(KKmaster,SIGN(M23))+K23*POWER(MUmaster,SIGN(F23))*POWER(KLmaster,SIGN(G23))*POWER(INmaster,SIGN(H23))*POWER(CHmaster,SIGN(I23))*POWER(FFmaster,SIGN(J23))*POWER(KOmaster,SIGN(L23))*POWER(KKmaster,SIGN(M23))+L23*POWER(MUmaster,SIGN(F23))*POWER(KLmaster,SIGN(G23))*POWER(INmaster,SIGN(H23))*POWER(CHmaster,SIGN(I23))*POWER(FFmaster,SIGN(J23))*POWER(GEmaster,SIGN(K23))*POWER(KKmaster,SIGN(M23))+M23*POWER(MUmaster,SIGN(F23))*POWER(KLmaster,SIGN(G23))*POWER(INmaster,SIGN(H23))*POWER(CHmaster,SIGN(I23))*POWER(FFmaster,SIGN(J23))*POWER(GEmaster,SIGN(K23))*POWER(KOmaster,SIGN(L23))</f>
        <v>2304</v>
      </c>
      <c r="R23" s="113">
        <f>F23*H23*GEmaster+F23*INmaster*K23+MUmaster*H23*K23</f>
        <v>3456</v>
      </c>
      <c r="S23" s="224">
        <f t="shared" si="11"/>
        <v>1728</v>
      </c>
      <c r="T23" s="242">
        <f t="shared" si="98"/>
        <v>7488</v>
      </c>
      <c r="U23" s="222">
        <f t="shared" si="12"/>
        <v>3.6923076923076925</v>
      </c>
      <c r="V23" s="223">
        <f t="shared" si="13"/>
        <v>11.076923076923077</v>
      </c>
      <c r="W23" s="243">
        <f t="shared" si="14"/>
        <v>8.3076923076923084</v>
      </c>
      <c r="X23" s="218">
        <f t="shared" si="15"/>
        <v>23.07692307692308</v>
      </c>
      <c r="Y23" s="252">
        <v>0</v>
      </c>
      <c r="Z23" s="198">
        <f t="shared" si="16"/>
        <v>23.07692307692308</v>
      </c>
      <c r="AA23" s="125">
        <f>IF(X23&gt;0,X23,0)*3+IF(X23&gt;12,X23-12,0)*3+IF(X23&gt;13,X23-13,0)*3+IF(X23&gt;14,X23-14,0)*3+IF(X23&gt;15,X23-15,0)*3+IF(X23&gt;16,X23-16,0)*3+IF(X23&gt;17,X23-17,0)*3+IF(X23&gt;18,X23-18,0)*3+IF(X23&gt;19,X23-19,0)*3+IF(X23&gt;20,X23-20,0)*3</f>
        <v>260.30769230769232</v>
      </c>
      <c r="AB23" s="160">
        <f>IF(Y23&gt;0,Y23,0)*3+IF(Y23&gt;12,Y23-12,0)*3+IF(Y23&gt;13,Y23-13,0)*3+IF(Y23&gt;14,Y23-14,0)*3+IF(Y23&gt;15,Y23-15,0)*3+IF(Y23&gt;16,Y23-16,0)*3+IF(Y23&gt;17,Y23-17,0)*3+IF(Y23&gt;18,Y23-18,0)*3+IF(Y23&gt;19,Y23-19,0)*3+IF(Y23&gt;20,Y23-20,0)*3</f>
        <v>0</v>
      </c>
      <c r="AC23" s="127">
        <f t="shared" si="0"/>
        <v>260.30769230769232</v>
      </c>
      <c r="AD23" s="125">
        <f t="shared" si="17"/>
        <v>0</v>
      </c>
      <c r="AF23" s="163" t="s">
        <v>21</v>
      </c>
      <c r="AG23" s="127" t="s">
        <v>8</v>
      </c>
      <c r="AH23" s="125" t="s">
        <v>135</v>
      </c>
      <c r="AI23" s="114">
        <f>Konvention_1slave-MUslave_MU</f>
        <v>11</v>
      </c>
      <c r="AJ23" s="113"/>
      <c r="AK23" s="113">
        <f>Konvention_1slave-INslave</f>
        <v>12</v>
      </c>
      <c r="AL23" s="113"/>
      <c r="AM23" s="113"/>
      <c r="AN23" s="113">
        <f>Konvention_1slave-GEslave</f>
        <v>12</v>
      </c>
      <c r="AO23" s="113"/>
      <c r="AP23" s="119"/>
      <c r="AQ23" s="89">
        <f>(AI23+AJ23+AK23+AL23+AM23+AN23+AO23+AP23)/3</f>
        <v>11.666666666666666</v>
      </c>
      <c r="AR23" s="47">
        <f t="shared" si="18"/>
        <v>23.333333333333332</v>
      </c>
      <c r="AS23" s="119">
        <f t="shared" si="19"/>
        <v>35</v>
      </c>
      <c r="AT23" s="114">
        <f>AI23*POWER(KLslave,SIGN(AJ23))*POWER(INslave,SIGN(AK23))*POWER(CHslave,SIGN(AL23))*POWER(FFslave,SIGN(AM23))*POWER(GEslave,SIGN(AN23))*POWER(KOslave,SIGN(AO23))*POWER(KKslave,SIGN(AP23))+AJ23*POWER(MUslave_MU,SIGN(AI23))*POWER(INslave,SIGN(AK23))*POWER(CHslave,SIGN(AL23))*POWER(FFslave,SIGN(AM23))*POWER(GEslave,SIGN(AN23))*POWER(KOslave,SIGN(AO23))*POWER(KKslave,SIGN(AP23))+AK23*POWER(MUslave_MU,SIGN(AI23))*POWER(KLslave,SIGN(AJ23))*POWER(CHslave,SIGN(AL23))*POWER(FFslave,SIGN(AM23))*POWER(GEslave,SIGN(AN23))*POWER(KOslave,SIGN(AO23))*POWER(KKslave,SIGN(AP23))+AL23*POWER(MUslave_MU,SIGN(AI23))*POWER(KLslave,SIGN(AJ23))*POWER(INslave,SIGN(AK23))*POWER(FFslave,SIGN(AM23))*POWER(GEslave,SIGN(AN23))*POWER(KOslave,SIGN(AO23))*POWER(KKslave,SIGN(AP23))+AM23*POWER(MUslave_MU,SIGN(AI23))*POWER(KLslave,SIGN(AJ23))*POWER(INslave,SIGN(AK23))*POWER(CHslave,SIGN(AL23))*POWER(GEslave,SIGN(AN23))*POWER(KOslave,SIGN(AO23))*POWER(KKslave,SIGN(AP23))+AN23*POWER(MUslave_MU,SIGN(AI23))*POWER(KLslave,SIGN(AJ23))*POWER(INslave,SIGN(AK23))*POWER(CHslave,SIGN(AL23))*POWER(FFslave,SIGN(AM23))*POWER(KOslave,SIGN(AO23))*POWER(KKslave,SIGN(AP23))+AO23*POWER(MUslave_MU,SIGN(AI23))*POWER(KLslave,SIGN(AJ23))*POWER(INslave,SIGN(AK23))*POWER(CHslave,SIGN(AL23))*POWER(FFslave,SIGN(AM23))*POWER(GEslave,SIGN(AN23))*POWER(KKslave,SIGN(AP23))+AP23*POWER(MUslave_MU,SIGN(AI23))*POWER(KLslave,SIGN(AJ23))*POWER(INslave,SIGN(AK23))*POWER(CHslave,SIGN(AL23))*POWER(FFslave,SIGN(AM23))*POWER(GEslave,SIGN(AN23))*POWER(KOslave,SIGN(AO23))</f>
        <v>2432</v>
      </c>
      <c r="AU23" s="113">
        <f>AI23*AK23*GEslave+AI23*INslave*AN23+MUslave_MU*AK23*AN23</f>
        <v>3408</v>
      </c>
      <c r="AV23" s="119">
        <f t="shared" si="20"/>
        <v>1584</v>
      </c>
      <c r="AW23" s="160">
        <f t="shared" si="99"/>
        <v>7424</v>
      </c>
      <c r="AX23" s="89">
        <f t="shared" si="21"/>
        <v>3.8218390804597702</v>
      </c>
      <c r="AY23" s="47">
        <f t="shared" si="22"/>
        <v>10.711206896551724</v>
      </c>
      <c r="AZ23" s="127">
        <f t="shared" si="23"/>
        <v>7.4676724137931032</v>
      </c>
      <c r="BA23" s="125">
        <f t="shared" si="24"/>
        <v>22.000718390804597</v>
      </c>
      <c r="BB23" s="165">
        <f t="shared" si="25"/>
        <v>0</v>
      </c>
      <c r="BC23" s="198">
        <f t="shared" si="26"/>
        <v>22.000718390804597</v>
      </c>
      <c r="BD23" s="125">
        <f>IF(BA23&gt;0,BA23,0)*3+IF(BA23&gt;12,BA23-12,0)*3+IF(BA23&gt;13,BA23-13,0)*3+IF(BA23&gt;14,BA23-14,0)*3+IF(BA23&gt;15,BA23-15,0)*3+IF(BA23&gt;16,BA23-16,0)*3+IF(BA23&gt;17,BA23-17,0)*3+IF(BA23&gt;18,BA23-18,0)*3+IF(BA23&gt;19,BA23-19,0)*3+IF(BA23&gt;20,BA23-20,0)*3</f>
        <v>228.02155172413785</v>
      </c>
      <c r="BE23" s="160">
        <f>IF(BB23&gt;0,BB23,0)*3+IF(BB23&gt;12,BB23-12,0)*3+IF(BB23&gt;13,BB23-13,0)*3+IF(BB23&gt;14,BB23-14,0)*3+IF(BB23&gt;15,BB23-15,0)*3+IF(BB23&gt;16,BB23-16,0)*3+IF(BB23&gt;17,BB23-17,0)*3+IF(BB23&gt;18,BB23-18,0)*3+IF(BB23&gt;19,BB23-19,0)*3+IF(BB23&gt;20,BB23-20,0)*3</f>
        <v>0</v>
      </c>
      <c r="BF23" s="243">
        <f t="shared" si="1"/>
        <v>228.02155172413785</v>
      </c>
      <c r="BG23" s="218">
        <f t="shared" si="27"/>
        <v>0</v>
      </c>
      <c r="BI23" s="303" t="s">
        <v>21</v>
      </c>
      <c r="BJ23" s="243" t="s">
        <v>8</v>
      </c>
      <c r="BK23" s="218" t="s">
        <v>135</v>
      </c>
      <c r="BL23" s="237">
        <f>Konvention_1slave-MUslave</f>
        <v>12</v>
      </c>
      <c r="BM23" s="234"/>
      <c r="BN23" s="234">
        <f>Konvention_1slave-INslave</f>
        <v>12</v>
      </c>
      <c r="BO23" s="234"/>
      <c r="BP23" s="234"/>
      <c r="BQ23" s="234">
        <f>Konvention_1slave-GEslave</f>
        <v>12</v>
      </c>
      <c r="BR23" s="234"/>
      <c r="BS23" s="224"/>
      <c r="BT23" s="222">
        <f>(BL23+BM23+BN23+BO23+BP23+BQ23+BR23+BS23)/3</f>
        <v>12</v>
      </c>
      <c r="BU23" s="223">
        <f t="shared" si="28"/>
        <v>24</v>
      </c>
      <c r="BV23" s="224">
        <f t="shared" si="29"/>
        <v>36</v>
      </c>
      <c r="BW23" s="237">
        <f>BL23*POWER(KLslave_KL,SIGN(BM23))*POWER(INslave,SIGN(BN23))*POWER(CHslave,SIGN(BO23))*POWER(FFslave,SIGN(BP23))*POWER(GEslave,SIGN(BQ23))*POWER(KOslave,SIGN(BR23))*POWER(KKslave,SIGN(BS23))+BM23*POWER(MUslave,SIGN(BL23))*POWER(INslave,SIGN(BN23))*POWER(CHslave,SIGN(BO23))*POWER(FFslave,SIGN(BP23))*POWER(GEslave,SIGN(BQ23))*POWER(KOslave,SIGN(BR23))*POWER(KKslave,SIGN(BS23))+BN23*POWER(MUslave,SIGN(BL23))*POWER(KLslave_KL,SIGN(BM23))*POWER(CHslave,SIGN(BO23))*POWER(FFslave,SIGN(BP23))*POWER(GEslave,SIGN(BQ23))*POWER(KOslave,SIGN(BR23))*POWER(KKslave,SIGN(BS23))+BO23*POWER(MUslave,SIGN(BL23))*POWER(KLslave_KL,SIGN(BM23))*POWER(INslave,SIGN(BN23))*POWER(FFslave,SIGN(BP23))*POWER(GEslave,SIGN(BQ23))*POWER(KOslave,SIGN(BR23))*POWER(KKslave,SIGN(BS23))+BP23*POWER(MUslave,SIGN(BL23))*POWER(KLslave_KL,SIGN(BM23))*POWER(INslave,SIGN(BN23))*POWER(CHslave,SIGN(BO23))*POWER(GEslave,SIGN(BQ23))*POWER(KOslave,SIGN(BR23))*POWER(KKslave,SIGN(BS23))+BQ23*POWER(MUslave,SIGN(BL23))*POWER(KLslave_KL,SIGN(BM23))*POWER(INslave,SIGN(BN23))*POWER(CHslave,SIGN(BO23))*POWER(FFslave,SIGN(BP23))*POWER(KOslave,SIGN(BR23))*POWER(KKslave,SIGN(BS23))+BR23*POWER(MUslave,SIGN(BL23))*POWER(KLslave_KL,SIGN(BM23))*POWER(INslave,SIGN(BN23))*POWER(CHslave,SIGN(BO23))*POWER(FFslave,SIGN(BP23))*POWER(GEslave,SIGN(BQ23))*POWER(KKslave,SIGN(BS23))+BS23*POWER(MUslave,SIGN(BL23))*POWER(KLslave_KL,SIGN(BM23))*POWER(INslave,SIGN(BN23))*POWER(CHslave,SIGN(BO23))*POWER(FFslave,SIGN(BP23))*POWER(GEslave,SIGN(BQ23))*POWER(KOslave,SIGN(BR23))</f>
        <v>2304</v>
      </c>
      <c r="BX23" s="234">
        <f>BL23*BN23*GEslave+BL23*INslave*BQ23+MUslave*BN23*BQ23</f>
        <v>3456</v>
      </c>
      <c r="BY23" s="224">
        <f t="shared" si="30"/>
        <v>1728</v>
      </c>
      <c r="BZ23" s="242">
        <f t="shared" si="100"/>
        <v>7488</v>
      </c>
      <c r="CA23" s="222">
        <f t="shared" si="31"/>
        <v>3.6923076923076925</v>
      </c>
      <c r="CB23" s="223">
        <f t="shared" si="32"/>
        <v>11.076923076923077</v>
      </c>
      <c r="CC23" s="243">
        <f t="shared" si="33"/>
        <v>8.3076923076923084</v>
      </c>
      <c r="CD23" s="218">
        <f t="shared" si="34"/>
        <v>23.07692307692308</v>
      </c>
      <c r="CE23" s="252">
        <f t="shared" si="35"/>
        <v>0</v>
      </c>
      <c r="CF23" s="309">
        <f t="shared" si="36"/>
        <v>23.07692307692308</v>
      </c>
      <c r="CG23" s="218">
        <f>IF(CD23&gt;0,CD23,0)*3+IF(CD23&gt;12,CD23-12,0)*3+IF(CD23&gt;13,CD23-13,0)*3+IF(CD23&gt;14,CD23-14,0)*3+IF(CD23&gt;15,CD23-15,0)*3+IF(CD23&gt;16,CD23-16,0)*3+IF(CD23&gt;17,CD23-17,0)*3+IF(CD23&gt;18,CD23-18,0)*3+IF(CD23&gt;19,CD23-19,0)*3+IF(CD23&gt;20,CD23-20,0)*3</f>
        <v>260.30769230769232</v>
      </c>
      <c r="CH23" s="242">
        <f>IF(CE23&gt;0,CE23,0)*3+IF(CE23&gt;12,CE23-12,0)*3+IF(CE23&gt;13,CE23-13,0)*3+IF(CE23&gt;14,CE23-14,0)*3+IF(CE23&gt;15,CE23-15,0)*3+IF(CE23&gt;16,CE23-16,0)*3+IF(CE23&gt;17,CE23-17,0)*3+IF(CE23&gt;18,CE23-18,0)*3+IF(CE23&gt;19,CE23-19,0)*3+IF(CE23&gt;20,CE23-20,0)*3</f>
        <v>0</v>
      </c>
      <c r="CI23" s="243">
        <f t="shared" si="2"/>
        <v>260.30769230769232</v>
      </c>
      <c r="CJ23" s="218">
        <f t="shared" si="37"/>
        <v>0</v>
      </c>
      <c r="CL23" s="303" t="s">
        <v>21</v>
      </c>
      <c r="CM23" s="243" t="s">
        <v>8</v>
      </c>
      <c r="CN23" s="218" t="s">
        <v>135</v>
      </c>
      <c r="CO23" s="237">
        <f>Konvention_1slave-MUslave</f>
        <v>12</v>
      </c>
      <c r="CP23" s="234"/>
      <c r="CQ23" s="234">
        <f>Konvention_1slave-INslave_IN</f>
        <v>11</v>
      </c>
      <c r="CR23" s="234"/>
      <c r="CS23" s="234"/>
      <c r="CT23" s="234">
        <f>Konvention_1slave-GEslave</f>
        <v>12</v>
      </c>
      <c r="CU23" s="234"/>
      <c r="CV23" s="224"/>
      <c r="CW23" s="222">
        <f>(CO23+CP23+CQ23+CR23+CS23+CT23+CU23+CV23)/3</f>
        <v>11.666666666666666</v>
      </c>
      <c r="CX23" s="223">
        <f t="shared" si="38"/>
        <v>23.333333333333332</v>
      </c>
      <c r="CY23" s="224">
        <f t="shared" si="39"/>
        <v>35</v>
      </c>
      <c r="CZ23" s="237">
        <f>CO23*POWER(KLslave,SIGN(CP23))*POWER(INslave_IN,SIGN(CQ23))*POWER(CHslave,SIGN(CR23))*POWER(FFslave,SIGN(CS23))*POWER(GEslave,SIGN(CT23))*POWER(KOslave,SIGN(CU23))*POWER(KKslave,SIGN(CV23))+CP23*POWER(MUslave,SIGN(CO23))*POWER(INslave_IN,SIGN(CQ23))*POWER(CHslave,SIGN(CR23))*POWER(FFslave,SIGN(CS23))*POWER(GEslave,SIGN(CT23))*POWER(KOslave,SIGN(CU23))*POWER(KKslave,SIGN(CV23))+CQ23*POWER(MUslave,SIGN(CO23))*POWER(KLslave,SIGN(CP23))*POWER(CHslave,SIGN(CR23))*POWER(FFslave,SIGN(CS23))*POWER(GEslave,SIGN(CT23))*POWER(KOslave,SIGN(CU23))*POWER(KKslave,SIGN(CV23))+CR23*POWER(MUslave,SIGN(CO23))*POWER(KLslave,SIGN(CP23))*POWER(INslave_IN,SIGN(CQ23))*POWER(FFslave,SIGN(CS23))*POWER(GEslave,SIGN(CT23))*POWER(KOslave,SIGN(CU23))*POWER(KKslave,SIGN(CV23))+CS23*POWER(MUslave,SIGN(CO23))*POWER(KLslave,SIGN(CP23))*POWER(INslave_IN,SIGN(CQ23))*POWER(CHslave,SIGN(CR23))*POWER(GEslave,SIGN(CT23))*POWER(KOslave,SIGN(CU23))*POWER(KKslave,SIGN(CV23))+CT23*POWER(MUslave,SIGN(CO23))*POWER(KLslave,SIGN(CP23))*POWER(INslave_IN,SIGN(CQ23))*POWER(CHslave,SIGN(CR23))*POWER(FFslave,SIGN(CS23))*POWER(KOslave,SIGN(CU23))*POWER(KKslave,SIGN(CV23))+CU23*POWER(MUslave,SIGN(CO23))*POWER(KLslave,SIGN(CP23))*POWER(INslave_IN,SIGN(CQ23))*POWER(CHslave,SIGN(CR23))*POWER(FFslave,SIGN(CS23))*POWER(GEslave,SIGN(CT23))*POWER(KKslave,SIGN(CV23))+CV23*POWER(MUslave,SIGN(CO23))*POWER(KLslave,SIGN(CP23))*POWER(INslave_IN,SIGN(CQ23))*POWER(CHslave,SIGN(CR23))*POWER(FFslave,SIGN(CS23))*POWER(GEslave,SIGN(CT23))*POWER(KOslave,SIGN(CU23))</f>
        <v>2432</v>
      </c>
      <c r="DA23" s="234">
        <f>CO23*CQ23*GEslave+CO23*INslave_IN*CT23+MUslave*CQ23*CT23</f>
        <v>3408</v>
      </c>
      <c r="DB23" s="224">
        <f t="shared" si="40"/>
        <v>1584</v>
      </c>
      <c r="DC23" s="242">
        <f t="shared" si="101"/>
        <v>7424</v>
      </c>
      <c r="DD23" s="222">
        <f t="shared" si="41"/>
        <v>3.8218390804597702</v>
      </c>
      <c r="DE23" s="223">
        <f t="shared" si="42"/>
        <v>10.711206896551724</v>
      </c>
      <c r="DF23" s="243">
        <f t="shared" si="43"/>
        <v>7.4676724137931032</v>
      </c>
      <c r="DG23" s="218">
        <f t="shared" si="44"/>
        <v>22.000718390804597</v>
      </c>
      <c r="DH23" s="252">
        <f t="shared" si="45"/>
        <v>0</v>
      </c>
      <c r="DI23" s="309">
        <f t="shared" si="46"/>
        <v>22.000718390804597</v>
      </c>
      <c r="DJ23" s="218">
        <f>IF(DG23&gt;0,DG23,0)*3+IF(DG23&gt;12,DG23-12,0)*3+IF(DG23&gt;13,DG23-13,0)*3+IF(DG23&gt;14,DG23-14,0)*3+IF(DG23&gt;15,DG23-15,0)*3+IF(DG23&gt;16,DG23-16,0)*3+IF(DG23&gt;17,DG23-17,0)*3+IF(DG23&gt;18,DG23-18,0)*3+IF(DG23&gt;19,DG23-19,0)*3+IF(DG23&gt;20,DG23-20,0)*3</f>
        <v>228.02155172413785</v>
      </c>
      <c r="DK23" s="242">
        <f>IF(DH23&gt;0,DH23,0)*3+IF(DH23&gt;12,DH23-12,0)*3+IF(DH23&gt;13,DH23-13,0)*3+IF(DH23&gt;14,DH23-14,0)*3+IF(DH23&gt;15,DH23-15,0)*3+IF(DH23&gt;16,DH23-16,0)*3+IF(DH23&gt;17,DH23-17,0)*3+IF(DH23&gt;18,DH23-18,0)*3+IF(DH23&gt;19,DH23-19,0)*3+IF(DH23&gt;20,DH23-20,0)*3</f>
        <v>0</v>
      </c>
      <c r="DL23" s="243">
        <f t="shared" si="3"/>
        <v>228.02155172413785</v>
      </c>
      <c r="DM23" s="218">
        <f t="shared" si="47"/>
        <v>0</v>
      </c>
      <c r="DO23" s="303" t="s">
        <v>21</v>
      </c>
      <c r="DP23" s="243" t="s">
        <v>8</v>
      </c>
      <c r="DQ23" s="218" t="s">
        <v>135</v>
      </c>
      <c r="DR23" s="237">
        <f>Konvention_1slave-MUslave</f>
        <v>12</v>
      </c>
      <c r="DS23" s="234"/>
      <c r="DT23" s="234">
        <f>Konvention_1slave-INslave</f>
        <v>12</v>
      </c>
      <c r="DU23" s="234"/>
      <c r="DV23" s="234"/>
      <c r="DW23" s="234">
        <f>Konvention_1slave-GEslave</f>
        <v>12</v>
      </c>
      <c r="DX23" s="234"/>
      <c r="DY23" s="224"/>
      <c r="DZ23" s="222">
        <f>(DR23+DS23+DT23+DU23+DV23+DW23+DX23+DY23)/3</f>
        <v>12</v>
      </c>
      <c r="EA23" s="223">
        <f t="shared" si="48"/>
        <v>24</v>
      </c>
      <c r="EB23" s="224">
        <f t="shared" si="49"/>
        <v>36</v>
      </c>
      <c r="EC23" s="237">
        <f>DR23*POWER(KLslave,SIGN(DS23))*POWER(INslave,SIGN(DT23))*POWER(CHslave_CH,SIGN(DU23))*POWER(FFslave,SIGN(DV23))*POWER(GEslave,SIGN(DW23))*POWER(KOslave,SIGN(DX23))*POWER(KKslave,SIGN(DY23))+DS23*POWER(MUslave,SIGN(DR23))*POWER(INslave,SIGN(DT23))*POWER(CHslave_CH,SIGN(DU23))*POWER(FFslave,SIGN(DV23))*POWER(GEslave,SIGN(DW23))*POWER(KOslave,SIGN(DX23))*POWER(KKslave,SIGN(DY23))+DT23*POWER(MUslave,SIGN(DR23))*POWER(KLslave,SIGN(DS23))*POWER(CHslave_CH,SIGN(DU23))*POWER(FFslave,SIGN(DV23))*POWER(GEslave,SIGN(DW23))*POWER(KOslave,SIGN(DX23))*POWER(KKslave,SIGN(DY23))+DU23*POWER(MUslave,SIGN(DR23))*POWER(KLslave,SIGN(DS23))*POWER(INslave,SIGN(DT23))*POWER(FFslave,SIGN(DV23))*POWER(GEslave,SIGN(DW23))*POWER(KOslave,SIGN(DX23))*POWER(KKslave,SIGN(DY23))+DV23*POWER(MUslave,SIGN(DR23))*POWER(KLslave,SIGN(DS23))*POWER(INslave,SIGN(DT23))*POWER(CHslave_CH,SIGN(DU23))*POWER(GEslave,SIGN(DW23))*POWER(KOslave,SIGN(DX23))*POWER(KKslave,SIGN(DY23))+DW23*POWER(MUslave,SIGN(DR23))*POWER(KLslave,SIGN(DS23))*POWER(INslave,SIGN(DT23))*POWER(CHslave_CH,SIGN(DU23))*POWER(FFslave,SIGN(DV23))*POWER(KOslave,SIGN(DX23))*POWER(KKslave,SIGN(DY23))+DX23*POWER(MUslave,SIGN(DR23))*POWER(KLslave,SIGN(DS23))*POWER(INslave,SIGN(DT23))*POWER(CHslave_CH,SIGN(DU23))*POWER(FFslave,SIGN(DV23))*POWER(GEslave,SIGN(DW23))*POWER(KKslave,SIGN(DY23))+DY23*POWER(MUslave,SIGN(DR23))*POWER(KLslave,SIGN(DS23))*POWER(INslave,SIGN(DT23))*POWER(CHslave_CH,SIGN(DU23))*POWER(FFslave,SIGN(DV23))*POWER(GEslave,SIGN(DW23))*POWER(KOslave,SIGN(DX23))</f>
        <v>2304</v>
      </c>
      <c r="ED23" s="234">
        <f>DR23*DT23*GEslave+DR23*INslave*DW23+MUslave*DT23*DW23</f>
        <v>3456</v>
      </c>
      <c r="EE23" s="224">
        <f t="shared" si="50"/>
        <v>1728</v>
      </c>
      <c r="EF23" s="242">
        <f t="shared" si="102"/>
        <v>7488</v>
      </c>
      <c r="EG23" s="222">
        <f t="shared" si="51"/>
        <v>3.6923076923076925</v>
      </c>
      <c r="EH23" s="223">
        <f t="shared" si="52"/>
        <v>11.076923076923077</v>
      </c>
      <c r="EI23" s="243">
        <f t="shared" si="53"/>
        <v>8.3076923076923084</v>
      </c>
      <c r="EJ23" s="218">
        <f t="shared" si="54"/>
        <v>23.07692307692308</v>
      </c>
      <c r="EK23" s="252">
        <f t="shared" si="55"/>
        <v>0</v>
      </c>
      <c r="EL23" s="309">
        <f t="shared" si="56"/>
        <v>23.07692307692308</v>
      </c>
      <c r="EM23" s="218">
        <f>IF(EJ23&gt;0,EJ23,0)*3+IF(EJ23&gt;12,EJ23-12,0)*3+IF(EJ23&gt;13,EJ23-13,0)*3+IF(EJ23&gt;14,EJ23-14,0)*3+IF(EJ23&gt;15,EJ23-15,0)*3+IF(EJ23&gt;16,EJ23-16,0)*3+IF(EJ23&gt;17,EJ23-17,0)*3+IF(EJ23&gt;18,EJ23-18,0)*3+IF(EJ23&gt;19,EJ23-19,0)*3+IF(EJ23&gt;20,EJ23-20,0)*3</f>
        <v>260.30769230769232</v>
      </c>
      <c r="EN23" s="242">
        <f>IF(EK23&gt;0,EK23,0)*3+IF(EK23&gt;12,EK23-12,0)*3+IF(EK23&gt;13,EK23-13,0)*3+IF(EK23&gt;14,EK23-14,0)*3+IF(EK23&gt;15,EK23-15,0)*3+IF(EK23&gt;16,EK23-16,0)*3+IF(EK23&gt;17,EK23-17,0)*3+IF(EK23&gt;18,EK23-18,0)*3+IF(EK23&gt;19,EK23-19,0)*3+IF(EK23&gt;20,EK23-20,0)*3</f>
        <v>0</v>
      </c>
      <c r="EO23" s="243">
        <f t="shared" si="4"/>
        <v>260.30769230769232</v>
      </c>
      <c r="EP23" s="218">
        <f t="shared" si="57"/>
        <v>0</v>
      </c>
      <c r="ER23" s="303" t="s">
        <v>21</v>
      </c>
      <c r="ES23" s="243" t="s">
        <v>8</v>
      </c>
      <c r="ET23" s="218" t="s">
        <v>135</v>
      </c>
      <c r="EU23" s="237">
        <f>Konvention_1slave-MUslave</f>
        <v>12</v>
      </c>
      <c r="EV23" s="234"/>
      <c r="EW23" s="234">
        <f>Konvention_1slave-INslave</f>
        <v>12</v>
      </c>
      <c r="EX23" s="234"/>
      <c r="EY23" s="234"/>
      <c r="EZ23" s="234">
        <f>Konvention_1slave-GEslave</f>
        <v>12</v>
      </c>
      <c r="FA23" s="234"/>
      <c r="FB23" s="224"/>
      <c r="FC23" s="222">
        <f>(EU23+EV23+EW23+EX23+EY23+EZ23+FA23+FB23)/3</f>
        <v>12</v>
      </c>
      <c r="FD23" s="223">
        <f t="shared" si="58"/>
        <v>24</v>
      </c>
      <c r="FE23" s="224">
        <f t="shared" si="59"/>
        <v>36</v>
      </c>
      <c r="FF23" s="237">
        <f>EU23*POWER(KLslave,SIGN(EV23))*POWER(INslave,SIGN(EW23))*POWER(CHslave,SIGN(EX23))*POWER(FFslave_FF,SIGN(EY23))*POWER(GEslave,SIGN(EZ23))*POWER(KOslave,SIGN(FA23))*POWER(KKslave,SIGN(FB23))+EV23*POWER(MUslave,SIGN(EU23))*POWER(INslave,SIGN(EW23))*POWER(CHslave,SIGN(EX23))*POWER(FFslave_FF,SIGN(EY23))*POWER(GEslave,SIGN(EZ23))*POWER(KOslave,SIGN(FA23))*POWER(KKslave,SIGN(FB23))+EW23*POWER(MUslave,SIGN(EU23))*POWER(KLslave,SIGN(EV23))*POWER(CHslave,SIGN(EX23))*POWER(FFslave_FF,SIGN(EY23))*POWER(GEslave,SIGN(EZ23))*POWER(KOslave,SIGN(FA23))*POWER(KKslave,SIGN(FB23))+EX23*POWER(MUslave,SIGN(EU23))*POWER(KLslave,SIGN(EV23))*POWER(INslave,SIGN(EW23))*POWER(FFslave_FF,SIGN(EY23))*POWER(GEslave,SIGN(EZ23))*POWER(KOslave,SIGN(FA23))*POWER(KKslave,SIGN(FB23))+EY23*POWER(MUslave,SIGN(EU23))*POWER(KLslave,SIGN(EV23))*POWER(INslave,SIGN(EW23))*POWER(CHslave,SIGN(EX23))*POWER(GEslave,SIGN(EZ23))*POWER(KOslave,SIGN(FA23))*POWER(KKslave,SIGN(FB23))+EZ23*POWER(MUslave,SIGN(EU23))*POWER(KLslave,SIGN(EV23))*POWER(INslave,SIGN(EW23))*POWER(CHslave,SIGN(EX23))*POWER(FFslave_FF,SIGN(EY23))*POWER(KOslave,SIGN(FA23))*POWER(KKslave,SIGN(FB23))+FA23*POWER(MUslave,SIGN(EU23))*POWER(KLslave,SIGN(EV23))*POWER(INslave,SIGN(EW23))*POWER(CHslave,SIGN(EX23))*POWER(FFslave_FF,SIGN(EY23))*POWER(GEslave,SIGN(EZ23))*POWER(KKslave,SIGN(FB23))+FB23*POWER(MUslave,SIGN(EU23))*POWER(KLslave,SIGN(EV23))*POWER(INslave,SIGN(EW23))*POWER(CHslave,SIGN(EX23))*POWER(FFslave_FF,SIGN(EY23))*POWER(GEslave,SIGN(EZ23))*POWER(KOslave,SIGN(FA23))</f>
        <v>2304</v>
      </c>
      <c r="FG23" s="234">
        <f>EU23*EW23*GEslave+EU23*INslave*EZ23+MUslave*EW23*EZ23</f>
        <v>3456</v>
      </c>
      <c r="FH23" s="224">
        <f t="shared" si="60"/>
        <v>1728</v>
      </c>
      <c r="FI23" s="242">
        <f t="shared" si="103"/>
        <v>7488</v>
      </c>
      <c r="FJ23" s="222">
        <f t="shared" si="61"/>
        <v>3.6923076923076925</v>
      </c>
      <c r="FK23" s="223">
        <f t="shared" si="62"/>
        <v>11.076923076923077</v>
      </c>
      <c r="FL23" s="243">
        <f t="shared" si="63"/>
        <v>8.3076923076923084</v>
      </c>
      <c r="FM23" s="218">
        <f t="shared" si="64"/>
        <v>23.07692307692308</v>
      </c>
      <c r="FN23" s="252">
        <f t="shared" si="65"/>
        <v>0</v>
      </c>
      <c r="FO23" s="309">
        <f t="shared" si="66"/>
        <v>23.07692307692308</v>
      </c>
      <c r="FP23" s="218">
        <f>IF(FM23&gt;0,FM23,0)*3+IF(FM23&gt;12,FM23-12,0)*3+IF(FM23&gt;13,FM23-13,0)*3+IF(FM23&gt;14,FM23-14,0)*3+IF(FM23&gt;15,FM23-15,0)*3+IF(FM23&gt;16,FM23-16,0)*3+IF(FM23&gt;17,FM23-17,0)*3+IF(FM23&gt;18,FM23-18,0)*3+IF(FM23&gt;19,FM23-19,0)*3+IF(FM23&gt;20,FM23-20,0)*3</f>
        <v>260.30769230769232</v>
      </c>
      <c r="FQ23" s="242">
        <f>IF(FN23&gt;0,FN23,0)*3+IF(FN23&gt;12,FN23-12,0)*3+IF(FN23&gt;13,FN23-13,0)*3+IF(FN23&gt;14,FN23-14,0)*3+IF(FN23&gt;15,FN23-15,0)*3+IF(FN23&gt;16,FN23-16,0)*3+IF(FN23&gt;17,FN23-17,0)*3+IF(FN23&gt;18,FN23-18,0)*3+IF(FN23&gt;19,FN23-19,0)*3+IF(FN23&gt;20,FN23-20,0)*3</f>
        <v>0</v>
      </c>
      <c r="FR23" s="243">
        <f t="shared" si="5"/>
        <v>260.30769230769232</v>
      </c>
      <c r="FS23" s="218">
        <f t="shared" si="67"/>
        <v>0</v>
      </c>
      <c r="FU23" s="303" t="s">
        <v>21</v>
      </c>
      <c r="FV23" s="243" t="s">
        <v>8</v>
      </c>
      <c r="FW23" s="218" t="s">
        <v>135</v>
      </c>
      <c r="FX23" s="237">
        <f>Konvention_1slave-MUslave</f>
        <v>12</v>
      </c>
      <c r="FY23" s="234"/>
      <c r="FZ23" s="234">
        <f>Konvention_1slave-INslave</f>
        <v>12</v>
      </c>
      <c r="GA23" s="234"/>
      <c r="GB23" s="234"/>
      <c r="GC23" s="234">
        <f>Konvention_1slave-GEslave_GE</f>
        <v>11</v>
      </c>
      <c r="GD23" s="234"/>
      <c r="GE23" s="224"/>
      <c r="GF23" s="222">
        <f>(FX23+FY23+FZ23+GA23+GB23+GC23+GD23+GE23)/3</f>
        <v>11.666666666666666</v>
      </c>
      <c r="GG23" s="223">
        <f t="shared" si="68"/>
        <v>23.333333333333332</v>
      </c>
      <c r="GH23" s="224">
        <f t="shared" si="69"/>
        <v>35</v>
      </c>
      <c r="GI23" s="237">
        <f>FX23*POWER(KLslave,SIGN(FY23))*POWER(INslave,SIGN(FZ23))*POWER(CHslave,SIGN(GA23))*POWER(FFslave,SIGN(GB23))*POWER(GEslave_GE,SIGN(GC23))*POWER(KOslave,SIGN(GD23))*POWER(KKslave,SIGN(GE23))+FY23*POWER(MUslave,SIGN(FX23))*POWER(INslave,SIGN(FZ23))*POWER(CHslave,SIGN(GA23))*POWER(FFslave,SIGN(GB23))*POWER(GEslave_GE,SIGN(GC23))*POWER(KOslave,SIGN(GD23))*POWER(KKslave,SIGN(GE23))+FZ23*POWER(MUslave,SIGN(FX23))*POWER(KLslave,SIGN(FY23))*POWER(CHslave,SIGN(GA23))*POWER(FFslave,SIGN(GB23))*POWER(GEslave_GE,SIGN(GC23))*POWER(KOslave,SIGN(GD23))*POWER(KKslave,SIGN(GE23))+GA23*POWER(MUslave,SIGN(FX23))*POWER(KLslave,SIGN(FY23))*POWER(INslave,SIGN(FZ23))*POWER(FFslave,SIGN(GB23))*POWER(GEslave_GE,SIGN(GC23))*POWER(KOslave,SIGN(GD23))*POWER(KKslave,SIGN(GE23))+GB23*POWER(MUslave,SIGN(FX23))*POWER(KLslave,SIGN(FY23))*POWER(INslave,SIGN(FZ23))*POWER(CHslave,SIGN(GA23))*POWER(GEslave_GE,SIGN(GC23))*POWER(KOslave,SIGN(GD23))*POWER(KKslave,SIGN(GE23))+GC23*POWER(MUslave,SIGN(FX23))*POWER(KLslave,SIGN(FY23))*POWER(INslave,SIGN(FZ23))*POWER(CHslave,SIGN(GA23))*POWER(FFslave,SIGN(GB23))*POWER(KOslave,SIGN(GD23))*POWER(KKslave,SIGN(GE23))+GD23*POWER(MUslave,SIGN(FX23))*POWER(KLslave,SIGN(FY23))*POWER(INslave,SIGN(FZ23))*POWER(CHslave,SIGN(GA23))*POWER(FFslave,SIGN(GB23))*POWER(GEslave_GE,SIGN(GC23))*POWER(KKslave,SIGN(GE23))+GE23*POWER(MUslave,SIGN(FX23))*POWER(KLslave,SIGN(FY23))*POWER(INslave,SIGN(FZ23))*POWER(CHslave,SIGN(GA23))*POWER(FFslave,SIGN(GB23))*POWER(GEslave_GE,SIGN(GC23))*POWER(KOslave,SIGN(GD23))</f>
        <v>2432</v>
      </c>
      <c r="GJ23" s="234">
        <f>FX23*FZ23*GEslave_GE+FX23*INslave*GC23+MUslave*FZ23*GC23</f>
        <v>3408</v>
      </c>
      <c r="GK23" s="224">
        <f t="shared" si="70"/>
        <v>1584</v>
      </c>
      <c r="GL23" s="242">
        <f t="shared" si="104"/>
        <v>7424</v>
      </c>
      <c r="GM23" s="222">
        <f t="shared" si="71"/>
        <v>3.8218390804597702</v>
      </c>
      <c r="GN23" s="223">
        <f t="shared" si="72"/>
        <v>10.711206896551724</v>
      </c>
      <c r="GO23" s="243">
        <f t="shared" si="73"/>
        <v>7.4676724137931032</v>
      </c>
      <c r="GP23" s="218">
        <f t="shared" si="74"/>
        <v>22.000718390804597</v>
      </c>
      <c r="GQ23" s="252">
        <f t="shared" si="75"/>
        <v>0</v>
      </c>
      <c r="GR23" s="309">
        <f t="shared" si="76"/>
        <v>22.000718390804597</v>
      </c>
      <c r="GS23" s="218">
        <f>IF(GP23&gt;0,GP23,0)*3+IF(GP23&gt;12,GP23-12,0)*3+IF(GP23&gt;13,GP23-13,0)*3+IF(GP23&gt;14,GP23-14,0)*3+IF(GP23&gt;15,GP23-15,0)*3+IF(GP23&gt;16,GP23-16,0)*3+IF(GP23&gt;17,GP23-17,0)*3+IF(GP23&gt;18,GP23-18,0)*3+IF(GP23&gt;19,GP23-19,0)*3+IF(GP23&gt;20,GP23-20,0)*3</f>
        <v>228.02155172413785</v>
      </c>
      <c r="GT23" s="242">
        <f>IF(GQ23&gt;0,GQ23,0)*3+IF(GQ23&gt;12,GQ23-12,0)*3+IF(GQ23&gt;13,GQ23-13,0)*3+IF(GQ23&gt;14,GQ23-14,0)*3+IF(GQ23&gt;15,GQ23-15,0)*3+IF(GQ23&gt;16,GQ23-16,0)*3+IF(GQ23&gt;17,GQ23-17,0)*3+IF(GQ23&gt;18,GQ23-18,0)*3+IF(GQ23&gt;19,GQ23-19,0)*3+IF(GQ23&gt;20,GQ23-20,0)*3</f>
        <v>0</v>
      </c>
      <c r="GU23" s="243">
        <f t="shared" si="6"/>
        <v>228.02155172413785</v>
      </c>
      <c r="GV23" s="218">
        <f t="shared" si="77"/>
        <v>0</v>
      </c>
      <c r="GX23" s="303" t="s">
        <v>21</v>
      </c>
      <c r="GY23" s="243" t="s">
        <v>8</v>
      </c>
      <c r="GZ23" s="218" t="s">
        <v>135</v>
      </c>
      <c r="HA23" s="237">
        <f>Konvention_1slave-MUslave</f>
        <v>12</v>
      </c>
      <c r="HB23" s="234"/>
      <c r="HC23" s="234">
        <f>Konvention_1slave-INslave</f>
        <v>12</v>
      </c>
      <c r="HD23" s="234"/>
      <c r="HE23" s="234"/>
      <c r="HF23" s="234">
        <f>Konvention_1slave-GEslave</f>
        <v>12</v>
      </c>
      <c r="HG23" s="234"/>
      <c r="HH23" s="224"/>
      <c r="HI23" s="222">
        <f>(HA23+HB23+HC23+HD23+HE23+HF23+HG23+HH23)/3</f>
        <v>12</v>
      </c>
      <c r="HJ23" s="223">
        <f t="shared" si="78"/>
        <v>24</v>
      </c>
      <c r="HK23" s="224">
        <f t="shared" si="79"/>
        <v>36</v>
      </c>
      <c r="HL23" s="237">
        <f>HA23*POWER(KLslave,SIGN(HB23))*POWER(INslave,SIGN(HC23))*POWER(CHslave,SIGN(HD23))*POWER(FFslave,SIGN(HE23))*POWER(GEslave,SIGN(HF23))*POWER(KOslave_KO,SIGN(HG23))*POWER(KKslave,SIGN(HH23))+HB23*POWER(MUslave,SIGN(HA23))*POWER(INslave,SIGN(HC23))*POWER(CHslave,SIGN(HD23))*POWER(FFslave,SIGN(HE23))*POWER(GEslave,SIGN(HF23))*POWER(KOslave_KO,SIGN(HG23))*POWER(KKslave,SIGN(HH23))+HC23*POWER(MUslave,SIGN(HA23))*POWER(KLslave,SIGN(HB23))*POWER(CHslave,SIGN(HD23))*POWER(FFslave,SIGN(HE23))*POWER(GEslave,SIGN(HF23))*POWER(KOslave_KO,SIGN(HG23))*POWER(KKslave,SIGN(HH23))+HD23*POWER(MUslave,SIGN(HA23))*POWER(KLslave,SIGN(HB23))*POWER(INslave,SIGN(HC23))*POWER(FFslave,SIGN(HE23))*POWER(GEslave,SIGN(HF23))*POWER(KOslave_KO,SIGN(HG23))*POWER(KKslave,SIGN(HH23))+HE23*POWER(MUslave,SIGN(HA23))*POWER(KLslave,SIGN(HB23))*POWER(INslave,SIGN(HC23))*POWER(CHslave,SIGN(HD23))*POWER(GEslave,SIGN(HF23))*POWER(KOslave_KO,SIGN(HG23))*POWER(KKslave,SIGN(HH23))+HF23*POWER(MUslave,SIGN(HA23))*POWER(KLslave,SIGN(HB23))*POWER(INslave,SIGN(HC23))*POWER(CHslave,SIGN(HD23))*POWER(FFslave,SIGN(HE23))*POWER(KOslave_KO,SIGN(HG23))*POWER(KKslave,SIGN(HH23))+HG23*POWER(MUslave,SIGN(HA23))*POWER(KLslave,SIGN(HB23))*POWER(INslave,SIGN(HC23))*POWER(CHslave,SIGN(HD23))*POWER(FFslave,SIGN(HE23))*POWER(GEslave,SIGN(HF23))*POWER(KKslave,SIGN(HH23))+HH23*POWER(MUslave,SIGN(HA23))*POWER(KLslave,SIGN(HB23))*POWER(INslave,SIGN(HC23))*POWER(CHslave,SIGN(HD23))*POWER(FFslave,SIGN(HE23))*POWER(GEslave,SIGN(HF23))*POWER(KOslave_KO,SIGN(HG23))</f>
        <v>2304</v>
      </c>
      <c r="HM23" s="234">
        <f>HA23*HC23*GEslave+HA23*INslave*HF23+MUslave*HC23*HF23</f>
        <v>3456</v>
      </c>
      <c r="HN23" s="224">
        <f t="shared" si="80"/>
        <v>1728</v>
      </c>
      <c r="HO23" s="242">
        <f t="shared" si="105"/>
        <v>7488</v>
      </c>
      <c r="HP23" s="222">
        <f t="shared" si="81"/>
        <v>3.6923076923076925</v>
      </c>
      <c r="HQ23" s="223">
        <f t="shared" si="82"/>
        <v>11.076923076923077</v>
      </c>
      <c r="HR23" s="243">
        <f t="shared" si="83"/>
        <v>8.3076923076923084</v>
      </c>
      <c r="HS23" s="218">
        <f t="shared" si="84"/>
        <v>23.07692307692308</v>
      </c>
      <c r="HT23" s="252">
        <f t="shared" si="85"/>
        <v>0</v>
      </c>
      <c r="HU23" s="309">
        <f t="shared" si="86"/>
        <v>23.07692307692308</v>
      </c>
      <c r="HV23" s="218">
        <f>IF(HS23&gt;0,HS23,0)*3+IF(HS23&gt;12,HS23-12,0)*3+IF(HS23&gt;13,HS23-13,0)*3+IF(HS23&gt;14,HS23-14,0)*3+IF(HS23&gt;15,HS23-15,0)*3+IF(HS23&gt;16,HS23-16,0)*3+IF(HS23&gt;17,HS23-17,0)*3+IF(HS23&gt;18,HS23-18,0)*3+IF(HS23&gt;19,HS23-19,0)*3+IF(HS23&gt;20,HS23-20,0)*3</f>
        <v>260.30769230769232</v>
      </c>
      <c r="HW23" s="242">
        <f>IF(HT23&gt;0,HT23,0)*3+IF(HT23&gt;12,HT23-12,0)*3+IF(HT23&gt;13,HT23-13,0)*3+IF(HT23&gt;14,HT23-14,0)*3+IF(HT23&gt;15,HT23-15,0)*3+IF(HT23&gt;16,HT23-16,0)*3+IF(HT23&gt;17,HT23-17,0)*3+IF(HT23&gt;18,HT23-18,0)*3+IF(HT23&gt;19,HT23-19,0)*3+IF(HT23&gt;20,HT23-20,0)*3</f>
        <v>0</v>
      </c>
      <c r="HX23" s="243">
        <f t="shared" si="7"/>
        <v>260.30769230769232</v>
      </c>
      <c r="HY23" s="218">
        <f t="shared" si="87"/>
        <v>0</v>
      </c>
      <c r="IA23" s="303" t="s">
        <v>21</v>
      </c>
      <c r="IB23" s="243" t="s">
        <v>8</v>
      </c>
      <c r="IC23" s="218" t="s">
        <v>135</v>
      </c>
      <c r="ID23" s="237">
        <f>Konvention_1slave-MUslave</f>
        <v>12</v>
      </c>
      <c r="IE23" s="234"/>
      <c r="IF23" s="234">
        <f>Konvention_1slave-INslave</f>
        <v>12</v>
      </c>
      <c r="IG23" s="234"/>
      <c r="IH23" s="234"/>
      <c r="II23" s="234">
        <f>Konvention_1slave-GEslave</f>
        <v>12</v>
      </c>
      <c r="IJ23" s="234"/>
      <c r="IK23" s="224"/>
      <c r="IL23" s="222">
        <f>(ID23+IE23+IF23+IG23+IH23+II23+IJ23+IK23)/3</f>
        <v>12</v>
      </c>
      <c r="IM23" s="223">
        <f t="shared" si="88"/>
        <v>24</v>
      </c>
      <c r="IN23" s="224">
        <f t="shared" si="89"/>
        <v>36</v>
      </c>
      <c r="IO23" s="237">
        <f>ID23*POWER(KLslave,SIGN(IE23))*POWER(INslave,SIGN(IF23))*POWER(CHslave,SIGN(IG23))*POWER(FFslave,SIGN(IH23))*POWER(GEslave,SIGN(II23))*POWER(KOslave,SIGN(IJ23))*POWER(KKslave_KK,SIGN(IK23))+IE23*POWER(MUslave,SIGN(ID23))*POWER(INslave,SIGN(IF23))*POWER(CHslave,SIGN(IG23))*POWER(FFslave,SIGN(IH23))*POWER(GEslave,SIGN(II23))*POWER(KOslave,SIGN(IJ23))*POWER(KKslave_KK,SIGN(IK23))+IF23*POWER(MUslave,SIGN(ID23))*POWER(KLslave,SIGN(IE23))*POWER(CHslave,SIGN(IG23))*POWER(FFslave,SIGN(IH23))*POWER(GEslave,SIGN(II23))*POWER(KOslave,SIGN(IJ23))*POWER(KKslave_KK,SIGN(IK23))+IG23*POWER(MUslave,SIGN(ID23))*POWER(KLslave,SIGN(IE23))*POWER(INslave,SIGN(IF23))*POWER(FFslave,SIGN(IH23))*POWER(GEslave,SIGN(II23))*POWER(KOslave,SIGN(IJ23))*POWER(KKslave_KK,SIGN(IK23))+IH23*POWER(MUslave,SIGN(ID23))*POWER(KLslave,SIGN(IE23))*POWER(INslave,SIGN(IF23))*POWER(CHslave,SIGN(IG23))*POWER(GEslave,SIGN(II23))*POWER(KOslave,SIGN(IJ23))*POWER(KKslave_KK,SIGN(IK23))+II23*POWER(MUslave,SIGN(ID23))*POWER(KLslave,SIGN(IE23))*POWER(INslave,SIGN(IF23))*POWER(CHslave,SIGN(IG23))*POWER(FFslave,SIGN(IH23))*POWER(KOslave,SIGN(IJ23))*POWER(KKslave_KK,SIGN(IK23))+IJ23*POWER(MUslave,SIGN(ID23))*POWER(KLslave,SIGN(IE23))*POWER(INslave,SIGN(IF23))*POWER(CHslave,SIGN(IG23))*POWER(FFslave,SIGN(IH23))*POWER(GEslave,SIGN(II23))*POWER(KKslave_KK,SIGN(IK23))+IK23*POWER(MUslave,SIGN(ID23))*POWER(KLslave,SIGN(IE23))*POWER(INslave,SIGN(IF23))*POWER(CHslave,SIGN(IG23))*POWER(FFslave,SIGN(IH23))*POWER(GEslave,SIGN(II23))*POWER(KOslave,SIGN(IJ23))</f>
        <v>2304</v>
      </c>
      <c r="IP23" s="234">
        <f>ID23*IF23*GEslave+ID23*INslave*II23+MUslave*IF23*II23</f>
        <v>3456</v>
      </c>
      <c r="IQ23" s="224">
        <f t="shared" si="90"/>
        <v>1728</v>
      </c>
      <c r="IR23" s="242">
        <f t="shared" si="106"/>
        <v>7488</v>
      </c>
      <c r="IS23" s="222">
        <f t="shared" si="91"/>
        <v>3.6923076923076925</v>
      </c>
      <c r="IT23" s="223">
        <f t="shared" si="92"/>
        <v>11.076923076923077</v>
      </c>
      <c r="IU23" s="243">
        <f t="shared" si="93"/>
        <v>8.3076923076923084</v>
      </c>
      <c r="IV23" s="218">
        <f t="shared" si="94"/>
        <v>23.07692307692308</v>
      </c>
      <c r="IW23" s="252">
        <f t="shared" si="95"/>
        <v>0</v>
      </c>
      <c r="IX23" s="309">
        <f t="shared" si="96"/>
        <v>23.07692307692308</v>
      </c>
      <c r="IY23" s="218">
        <f>IF(IV23&gt;0,IV23,0)*3+IF(IV23&gt;12,IV23-12,0)*3+IF(IV23&gt;13,IV23-13,0)*3+IF(IV23&gt;14,IV23-14,0)*3+IF(IV23&gt;15,IV23-15,0)*3+IF(IV23&gt;16,IV23-16,0)*3+IF(IV23&gt;17,IV23-17,0)*3+IF(IV23&gt;18,IV23-18,0)*3+IF(IV23&gt;19,IV23-19,0)*3+IF(IV23&gt;20,IV23-20,0)*3</f>
        <v>260.30769230769232</v>
      </c>
      <c r="IZ23" s="242">
        <f>IF(IW23&gt;0,IW23,0)*3+IF(IW23&gt;12,IW23-12,0)*3+IF(IW23&gt;13,IW23-13,0)*3+IF(IW23&gt;14,IW23-14,0)*3+IF(IW23&gt;15,IW23-15,0)*3+IF(IW23&gt;16,IW23-16,0)*3+IF(IW23&gt;17,IW23-17,0)*3+IF(IW23&gt;18,IW23-18,0)*3+IF(IW23&gt;19,IW23-19,0)*3+IF(IW23&gt;20,IW23-20,0)*3</f>
        <v>0</v>
      </c>
      <c r="JA23" s="243">
        <f t="shared" si="8"/>
        <v>260.30769230769232</v>
      </c>
      <c r="JB23" s="218">
        <f t="shared" si="97"/>
        <v>0</v>
      </c>
      <c r="JE23" s="148"/>
    </row>
    <row r="24" spans="2:265" hidden="1" outlineLevel="2">
      <c r="B24" s="148">
        <v>14</v>
      </c>
      <c r="C24" s="306" t="e">
        <f>VLOOKUP(AF24,Attribute!C:T,1,FALSE)</f>
        <v>#N/A</v>
      </c>
      <c r="D24" s="128" t="s">
        <v>83</v>
      </c>
      <c r="E24" s="159" t="s">
        <v>133</v>
      </c>
      <c r="F24" s="115"/>
      <c r="G24" s="122">
        <f>Konvention_1master-KLmaster</f>
        <v>12</v>
      </c>
      <c r="H24" s="122"/>
      <c r="I24" s="122"/>
      <c r="J24" s="122"/>
      <c r="K24" s="122"/>
      <c r="L24" s="122">
        <f>Konvention_1master-KOmaster</f>
        <v>12</v>
      </c>
      <c r="M24" s="123">
        <f>Konvention_1master-KKmaster</f>
        <v>12</v>
      </c>
      <c r="N24" s="225">
        <f>(F24+G24+H24+I24+J24+K24+L24+M24)/3</f>
        <v>12</v>
      </c>
      <c r="O24" s="226">
        <f t="shared" si="9"/>
        <v>24</v>
      </c>
      <c r="P24" s="227">
        <f t="shared" si="10"/>
        <v>36</v>
      </c>
      <c r="Q24" s="238">
        <f>F24*POWER(KLmaster,SIGN(G24))*POWER(INmaster,SIGN(H24))*POWER(CHmaster,SIGN(I24))*POWER(FFmaster,SIGN(J24))*POWER(GEmaster,SIGN(K24))*POWER(KOmaster,SIGN(L24))*POWER(KKmaster,SIGN(M24))+G24*POWER(MUmaster,SIGN(F24))*POWER(INmaster,SIGN(H24))*POWER(CHmaster,SIGN(I24))*POWER(FFmaster,SIGN(J24))*POWER(GEmaster,SIGN(K24))*POWER(KOmaster,SIGN(L24))*POWER(KKmaster,SIGN(M24))+H24*POWER(MUmaster,SIGN(F24))*POWER(KLmaster,SIGN(G24))*POWER(CHmaster,SIGN(I24))*POWER(FFmaster,SIGN(J24))*POWER(GEmaster,SIGN(K24))*POWER(KOmaster,SIGN(L24))*POWER(KKmaster,SIGN(M24))+I24*POWER(MUmaster,SIGN(F24))*POWER(KLmaster,SIGN(G24))*POWER(INmaster,SIGN(H24))*POWER(FFmaster,SIGN(J24))*POWER(GEmaster,SIGN(K24))*POWER(KOmaster,SIGN(L24))*POWER(KKmaster,SIGN(M24))+J24*POWER(MUmaster,SIGN(F24))*POWER(KLmaster,SIGN(G24))*POWER(INmaster,SIGN(H24))*POWER(CHmaster,SIGN(I24))*POWER(GEmaster,SIGN(K24))*POWER(KOmaster,SIGN(L24))*POWER(KKmaster,SIGN(M24))+K24*POWER(MUmaster,SIGN(F24))*POWER(KLmaster,SIGN(G24))*POWER(INmaster,SIGN(H24))*POWER(CHmaster,SIGN(I24))*POWER(FFmaster,SIGN(J24))*POWER(KOmaster,SIGN(L24))*POWER(KKmaster,SIGN(M24))+L24*POWER(MUmaster,SIGN(F24))*POWER(KLmaster,SIGN(G24))*POWER(INmaster,SIGN(H24))*POWER(CHmaster,SIGN(I24))*POWER(FFmaster,SIGN(J24))*POWER(GEmaster,SIGN(K24))*POWER(KKmaster,SIGN(M24))+M24*POWER(MUmaster,SIGN(F24))*POWER(KLmaster,SIGN(G24))*POWER(INmaster,SIGN(H24))*POWER(CHmaster,SIGN(I24))*POWER(FFmaster,SIGN(J24))*POWER(GEmaster,SIGN(K24))*POWER(KOmaster,SIGN(L24))</f>
        <v>2304</v>
      </c>
      <c r="R24" s="122">
        <f>G24*L24*KKmaster+G24*KOmaster*M24+KLmaster*L24*M24</f>
        <v>3456</v>
      </c>
      <c r="S24" s="227">
        <f t="shared" si="11"/>
        <v>1728</v>
      </c>
      <c r="T24" s="244">
        <f>SUM(Q24:S24)</f>
        <v>7488</v>
      </c>
      <c r="U24" s="225">
        <f t="shared" si="12"/>
        <v>3.6923076923076925</v>
      </c>
      <c r="V24" s="226">
        <f t="shared" si="13"/>
        <v>11.076923076923077</v>
      </c>
      <c r="W24" s="245">
        <f t="shared" si="14"/>
        <v>8.3076923076923084</v>
      </c>
      <c r="X24" s="246">
        <f t="shared" si="15"/>
        <v>23.07692307692308</v>
      </c>
      <c r="Y24" s="252">
        <v>0</v>
      </c>
      <c r="Z24" s="198">
        <f t="shared" si="16"/>
        <v>23.07692307692308</v>
      </c>
      <c r="AA24" s="159">
        <f>IF(X24&gt;0,X24,0)*1+IF(X24&gt;12,X24-12,0)*1+IF(X24&gt;13,X24-13,0)*1+IF(X24&gt;14,X24-14,0)*1+IF(X24&gt;15,X24-15,0)*1+IF(X24&gt;16,X24-16,0)*1+IF(X24&gt;17,X24-17,0)*1+IF(X24&gt;18,X24-18,0)*1+IF(X24&gt;19,X24-19,0)*1+IF(X24&gt;20,X24-20,0)*1</f>
        <v>86.769230769230802</v>
      </c>
      <c r="AB24" s="161">
        <f>IF(Y24&gt;0,Y24,0)*1+IF(Y24&gt;12,Y24-12,0)*1+IF(Y24&gt;13,Y24-13,0)*1+IF(Y24&gt;14,Y24-14,0)*1+IF(Y24&gt;15,Y24-15,0)*1+IF(Y24&gt;16,Y24-16,0)*1+IF(Y24&gt;17,Y24-17,0)*1+IF(Y24&gt;18,Y24-18,0)*1+IF(Y24&gt;19,Y24-19,0)*1+IF(Y24&gt;20,Y24-20,0)*1</f>
        <v>0</v>
      </c>
      <c r="AC24" s="128">
        <f t="shared" si="0"/>
        <v>86.769230769230802</v>
      </c>
      <c r="AD24" s="159">
        <f t="shared" si="17"/>
        <v>0</v>
      </c>
      <c r="AF24" s="164" t="s">
        <v>22</v>
      </c>
      <c r="AG24" s="128" t="s">
        <v>83</v>
      </c>
      <c r="AH24" s="159" t="s">
        <v>133</v>
      </c>
      <c r="AI24" s="115"/>
      <c r="AJ24" s="122">
        <f>Konvention_1slave-KLslave</f>
        <v>12</v>
      </c>
      <c r="AK24" s="122"/>
      <c r="AL24" s="122"/>
      <c r="AM24" s="122"/>
      <c r="AN24" s="122"/>
      <c r="AO24" s="122">
        <f>Konvention_1slave-KOslave</f>
        <v>12</v>
      </c>
      <c r="AP24" s="123">
        <f>Konvention_1slave-KKslave</f>
        <v>12</v>
      </c>
      <c r="AQ24" s="90">
        <f>(AI24+AJ24+AK24+AL24+AM24+AN24+AO24+AP24)/3</f>
        <v>12</v>
      </c>
      <c r="AR24" s="88">
        <f t="shared" si="18"/>
        <v>24</v>
      </c>
      <c r="AS24" s="123">
        <f t="shared" si="19"/>
        <v>36</v>
      </c>
      <c r="AT24" s="115">
        <f>AI24*POWER(KLslave,SIGN(AJ24))*POWER(INslave,SIGN(AK24))*POWER(CHslave,SIGN(AL24))*POWER(FFslave,SIGN(AM24))*POWER(GEslave,SIGN(AN24))*POWER(KOslave,SIGN(AO24))*POWER(KKslave,SIGN(AP24))+AJ24*POWER(MUslave_MU,SIGN(AI24))*POWER(INslave,SIGN(AK24))*POWER(CHslave,SIGN(AL24))*POWER(FFslave,SIGN(AM24))*POWER(GEslave,SIGN(AN24))*POWER(KOslave,SIGN(AO24))*POWER(KKslave,SIGN(AP24))+AK24*POWER(MUslave_MU,SIGN(AI24))*POWER(KLslave,SIGN(AJ24))*POWER(CHslave,SIGN(AL24))*POWER(FFslave,SIGN(AM24))*POWER(GEslave,SIGN(AN24))*POWER(KOslave,SIGN(AO24))*POWER(KKslave,SIGN(AP24))+AL24*POWER(MUslave_MU,SIGN(AI24))*POWER(KLslave,SIGN(AJ24))*POWER(INslave,SIGN(AK24))*POWER(FFslave,SIGN(AM24))*POWER(GEslave,SIGN(AN24))*POWER(KOslave,SIGN(AO24))*POWER(KKslave,SIGN(AP24))+AM24*POWER(MUslave_MU,SIGN(AI24))*POWER(KLslave,SIGN(AJ24))*POWER(INslave,SIGN(AK24))*POWER(CHslave,SIGN(AL24))*POWER(GEslave,SIGN(AN24))*POWER(KOslave,SIGN(AO24))*POWER(KKslave,SIGN(AP24))+AN24*POWER(MUslave_MU,SIGN(AI24))*POWER(KLslave,SIGN(AJ24))*POWER(INslave,SIGN(AK24))*POWER(CHslave,SIGN(AL24))*POWER(FFslave,SIGN(AM24))*POWER(KOslave,SIGN(AO24))*POWER(KKslave,SIGN(AP24))+AO24*POWER(MUslave_MU,SIGN(AI24))*POWER(KLslave,SIGN(AJ24))*POWER(INslave,SIGN(AK24))*POWER(CHslave,SIGN(AL24))*POWER(FFslave,SIGN(AM24))*POWER(GEslave,SIGN(AN24))*POWER(KKslave,SIGN(AP24))+AP24*POWER(MUslave_MU,SIGN(AI24))*POWER(KLslave,SIGN(AJ24))*POWER(INslave,SIGN(AK24))*POWER(CHslave,SIGN(AL24))*POWER(FFslave,SIGN(AM24))*POWER(GEslave,SIGN(AN24))*POWER(KOslave,SIGN(AO24))</f>
        <v>2304</v>
      </c>
      <c r="AU24" s="122">
        <f>AJ24*AO24*KKslave+AJ24*KOslave*AP24+KLslave*AO24*AP24</f>
        <v>3456</v>
      </c>
      <c r="AV24" s="123">
        <f t="shared" si="20"/>
        <v>1728</v>
      </c>
      <c r="AW24" s="161">
        <f>SUM(AT24:AV24)</f>
        <v>7488</v>
      </c>
      <c r="AX24" s="90">
        <f t="shared" si="21"/>
        <v>3.6923076923076925</v>
      </c>
      <c r="AY24" s="88">
        <f t="shared" si="22"/>
        <v>11.076923076923077</v>
      </c>
      <c r="AZ24" s="128">
        <f t="shared" si="23"/>
        <v>8.3076923076923084</v>
      </c>
      <c r="BA24" s="159">
        <f t="shared" si="24"/>
        <v>23.07692307692308</v>
      </c>
      <c r="BB24" s="165">
        <f t="shared" si="25"/>
        <v>0</v>
      </c>
      <c r="BC24" s="198">
        <f t="shared" si="26"/>
        <v>23.07692307692308</v>
      </c>
      <c r="BD24" s="159">
        <f>IF(BA24&gt;0,BA24,0)*1+IF(BA24&gt;12,BA24-12,0)*1+IF(BA24&gt;13,BA24-13,0)*1+IF(BA24&gt;14,BA24-14,0)*1+IF(BA24&gt;15,BA24-15,0)*1+IF(BA24&gt;16,BA24-16,0)*1+IF(BA24&gt;17,BA24-17,0)*1+IF(BA24&gt;18,BA24-18,0)*1+IF(BA24&gt;19,BA24-19,0)*1+IF(BA24&gt;20,BA24-20,0)*1</f>
        <v>86.769230769230802</v>
      </c>
      <c r="BE24" s="161">
        <f>IF(BB24&gt;0,BB24,0)*1+IF(BB24&gt;12,BB24-12,0)*1+IF(BB24&gt;13,BB24-13,0)*1+IF(BB24&gt;14,BB24-14,0)*1+IF(BB24&gt;15,BB24-15,0)*1+IF(BB24&gt;16,BB24-16,0)*1+IF(BB24&gt;17,BB24-17,0)*1+IF(BB24&gt;18,BB24-18,0)*1+IF(BB24&gt;19,BB24-19,0)*1+IF(BB24&gt;20,BB24-20,0)*1</f>
        <v>0</v>
      </c>
      <c r="BF24" s="245">
        <f t="shared" si="1"/>
        <v>86.769230769230802</v>
      </c>
      <c r="BG24" s="246">
        <f t="shared" si="27"/>
        <v>0</v>
      </c>
      <c r="BI24" s="306" t="s">
        <v>22</v>
      </c>
      <c r="BJ24" s="245" t="s">
        <v>83</v>
      </c>
      <c r="BK24" s="246" t="s">
        <v>133</v>
      </c>
      <c r="BL24" s="238"/>
      <c r="BM24" s="235">
        <f>Konvention_1slave-KLslave_KL</f>
        <v>11</v>
      </c>
      <c r="BN24" s="235"/>
      <c r="BO24" s="235"/>
      <c r="BP24" s="235"/>
      <c r="BQ24" s="235"/>
      <c r="BR24" s="235">
        <f>Konvention_1slave-KOslave</f>
        <v>12</v>
      </c>
      <c r="BS24" s="227">
        <f>Konvention_1slave-KKslave</f>
        <v>12</v>
      </c>
      <c r="BT24" s="225">
        <f>(BL24+BM24+BN24+BO24+BP24+BQ24+BR24+BS24)/3</f>
        <v>11.666666666666666</v>
      </c>
      <c r="BU24" s="226">
        <f t="shared" si="28"/>
        <v>23.333333333333332</v>
      </c>
      <c r="BV24" s="227">
        <f t="shared" si="29"/>
        <v>35</v>
      </c>
      <c r="BW24" s="238">
        <f>BL24*POWER(KLslave_KL,SIGN(BM24))*POWER(INslave,SIGN(BN24))*POWER(CHslave,SIGN(BO24))*POWER(FFslave,SIGN(BP24))*POWER(GEslave,SIGN(BQ24))*POWER(KOslave,SIGN(BR24))*POWER(KKslave,SIGN(BS24))+BM24*POWER(MUslave,SIGN(BL24))*POWER(INslave,SIGN(BN24))*POWER(CHslave,SIGN(BO24))*POWER(FFslave,SIGN(BP24))*POWER(GEslave,SIGN(BQ24))*POWER(KOslave,SIGN(BR24))*POWER(KKslave,SIGN(BS24))+BN24*POWER(MUslave,SIGN(BL24))*POWER(KLslave_KL,SIGN(BM24))*POWER(CHslave,SIGN(BO24))*POWER(FFslave,SIGN(BP24))*POWER(GEslave,SIGN(BQ24))*POWER(KOslave,SIGN(BR24))*POWER(KKslave,SIGN(BS24))+BO24*POWER(MUslave,SIGN(BL24))*POWER(KLslave_KL,SIGN(BM24))*POWER(INslave,SIGN(BN24))*POWER(FFslave,SIGN(BP24))*POWER(GEslave,SIGN(BQ24))*POWER(KOslave,SIGN(BR24))*POWER(KKslave,SIGN(BS24))+BP24*POWER(MUslave,SIGN(BL24))*POWER(KLslave_KL,SIGN(BM24))*POWER(INslave,SIGN(BN24))*POWER(CHslave,SIGN(BO24))*POWER(GEslave,SIGN(BQ24))*POWER(KOslave,SIGN(BR24))*POWER(KKslave,SIGN(BS24))+BQ24*POWER(MUslave,SIGN(BL24))*POWER(KLslave_KL,SIGN(BM24))*POWER(INslave,SIGN(BN24))*POWER(CHslave,SIGN(BO24))*POWER(FFslave,SIGN(BP24))*POWER(KOslave,SIGN(BR24))*POWER(KKslave,SIGN(BS24))+BR24*POWER(MUslave,SIGN(BL24))*POWER(KLslave_KL,SIGN(BM24))*POWER(INslave,SIGN(BN24))*POWER(CHslave,SIGN(BO24))*POWER(FFslave,SIGN(BP24))*POWER(GEslave,SIGN(BQ24))*POWER(KKslave,SIGN(BS24))+BS24*POWER(MUslave,SIGN(BL24))*POWER(KLslave_KL,SIGN(BM24))*POWER(INslave,SIGN(BN24))*POWER(CHslave,SIGN(BO24))*POWER(FFslave,SIGN(BP24))*POWER(GEslave,SIGN(BQ24))*POWER(KOslave,SIGN(BR24))</f>
        <v>2432</v>
      </c>
      <c r="BX24" s="235">
        <f>BM24*BR24*KKslave+BM24*KOslave*BS24+KLslave_KL*BR24*BS24</f>
        <v>3408</v>
      </c>
      <c r="BY24" s="227">
        <f t="shared" si="30"/>
        <v>1584</v>
      </c>
      <c r="BZ24" s="244">
        <f>SUM(BW24:BY24)</f>
        <v>7424</v>
      </c>
      <c r="CA24" s="225">
        <f t="shared" si="31"/>
        <v>3.8218390804597702</v>
      </c>
      <c r="CB24" s="226">
        <f t="shared" si="32"/>
        <v>10.711206896551724</v>
      </c>
      <c r="CC24" s="245">
        <f t="shared" si="33"/>
        <v>7.4676724137931032</v>
      </c>
      <c r="CD24" s="246">
        <f t="shared" si="34"/>
        <v>22.000718390804597</v>
      </c>
      <c r="CE24" s="252">
        <f t="shared" si="35"/>
        <v>0</v>
      </c>
      <c r="CF24" s="309">
        <f t="shared" si="36"/>
        <v>22.000718390804597</v>
      </c>
      <c r="CG24" s="246">
        <f>IF(CD24&gt;0,CD24,0)*1+IF(CD24&gt;12,CD24-12,0)*1+IF(CD24&gt;13,CD24-13,0)*1+IF(CD24&gt;14,CD24-14,0)*1+IF(CD24&gt;15,CD24-15,0)*1+IF(CD24&gt;16,CD24-16,0)*1+IF(CD24&gt;17,CD24-17,0)*1+IF(CD24&gt;18,CD24-18,0)*1+IF(CD24&gt;19,CD24-19,0)*1+IF(CD24&gt;20,CD24-20,0)*1</f>
        <v>76.007183908045945</v>
      </c>
      <c r="CH24" s="244">
        <f>IF(CE24&gt;0,CE24,0)*1+IF(CE24&gt;12,CE24-12,0)*1+IF(CE24&gt;13,CE24-13,0)*1+IF(CE24&gt;14,CE24-14,0)*1+IF(CE24&gt;15,CE24-15,0)*1+IF(CE24&gt;16,CE24-16,0)*1+IF(CE24&gt;17,CE24-17,0)*1+IF(CE24&gt;18,CE24-18,0)*1+IF(CE24&gt;19,CE24-19,0)*1+IF(CE24&gt;20,CE24-20,0)*1</f>
        <v>0</v>
      </c>
      <c r="CI24" s="245">
        <f t="shared" si="2"/>
        <v>76.007183908045945</v>
      </c>
      <c r="CJ24" s="246">
        <f t="shared" si="37"/>
        <v>0</v>
      </c>
      <c r="CL24" s="306" t="s">
        <v>22</v>
      </c>
      <c r="CM24" s="245" t="s">
        <v>83</v>
      </c>
      <c r="CN24" s="246" t="s">
        <v>133</v>
      </c>
      <c r="CO24" s="238"/>
      <c r="CP24" s="235">
        <f>Konvention_1slave-KLslave</f>
        <v>12</v>
      </c>
      <c r="CQ24" s="235"/>
      <c r="CR24" s="235"/>
      <c r="CS24" s="235"/>
      <c r="CT24" s="235"/>
      <c r="CU24" s="235">
        <f>Konvention_1slave-KOslave</f>
        <v>12</v>
      </c>
      <c r="CV24" s="227">
        <f>Konvention_1slave-KKslave</f>
        <v>12</v>
      </c>
      <c r="CW24" s="225">
        <f>(CO24+CP24+CQ24+CR24+CS24+CT24+CU24+CV24)/3</f>
        <v>12</v>
      </c>
      <c r="CX24" s="226">
        <f t="shared" si="38"/>
        <v>24</v>
      </c>
      <c r="CY24" s="227">
        <f t="shared" si="39"/>
        <v>36</v>
      </c>
      <c r="CZ24" s="238">
        <f>CO24*POWER(KLslave,SIGN(CP24))*POWER(INslave_IN,SIGN(CQ24))*POWER(CHslave,SIGN(CR24))*POWER(FFslave,SIGN(CS24))*POWER(GEslave,SIGN(CT24))*POWER(KOslave,SIGN(CU24))*POWER(KKslave,SIGN(CV24))+CP24*POWER(MUslave,SIGN(CO24))*POWER(INslave_IN,SIGN(CQ24))*POWER(CHslave,SIGN(CR24))*POWER(FFslave,SIGN(CS24))*POWER(GEslave,SIGN(CT24))*POWER(KOslave,SIGN(CU24))*POWER(KKslave,SIGN(CV24))+CQ24*POWER(MUslave,SIGN(CO24))*POWER(KLslave,SIGN(CP24))*POWER(CHslave,SIGN(CR24))*POWER(FFslave,SIGN(CS24))*POWER(GEslave,SIGN(CT24))*POWER(KOslave,SIGN(CU24))*POWER(KKslave,SIGN(CV24))+CR24*POWER(MUslave,SIGN(CO24))*POWER(KLslave,SIGN(CP24))*POWER(INslave_IN,SIGN(CQ24))*POWER(FFslave,SIGN(CS24))*POWER(GEslave,SIGN(CT24))*POWER(KOslave,SIGN(CU24))*POWER(KKslave,SIGN(CV24))+CS24*POWER(MUslave,SIGN(CO24))*POWER(KLslave,SIGN(CP24))*POWER(INslave_IN,SIGN(CQ24))*POWER(CHslave,SIGN(CR24))*POWER(GEslave,SIGN(CT24))*POWER(KOslave,SIGN(CU24))*POWER(KKslave,SIGN(CV24))+CT24*POWER(MUslave,SIGN(CO24))*POWER(KLslave,SIGN(CP24))*POWER(INslave_IN,SIGN(CQ24))*POWER(CHslave,SIGN(CR24))*POWER(FFslave,SIGN(CS24))*POWER(KOslave,SIGN(CU24))*POWER(KKslave,SIGN(CV24))+CU24*POWER(MUslave,SIGN(CO24))*POWER(KLslave,SIGN(CP24))*POWER(INslave_IN,SIGN(CQ24))*POWER(CHslave,SIGN(CR24))*POWER(FFslave,SIGN(CS24))*POWER(GEslave,SIGN(CT24))*POWER(KKslave,SIGN(CV24))+CV24*POWER(MUslave,SIGN(CO24))*POWER(KLslave,SIGN(CP24))*POWER(INslave_IN,SIGN(CQ24))*POWER(CHslave,SIGN(CR24))*POWER(FFslave,SIGN(CS24))*POWER(GEslave,SIGN(CT24))*POWER(KOslave,SIGN(CU24))</f>
        <v>2304</v>
      </c>
      <c r="DA24" s="235">
        <f>CP24*CU24*KKslave+CP24*KOslave*CV24+KLslave*CU24*CV24</f>
        <v>3456</v>
      </c>
      <c r="DB24" s="227">
        <f t="shared" si="40"/>
        <v>1728</v>
      </c>
      <c r="DC24" s="244">
        <f>SUM(CZ24:DB24)</f>
        <v>7488</v>
      </c>
      <c r="DD24" s="225">
        <f t="shared" si="41"/>
        <v>3.6923076923076925</v>
      </c>
      <c r="DE24" s="226">
        <f t="shared" si="42"/>
        <v>11.076923076923077</v>
      </c>
      <c r="DF24" s="245">
        <f t="shared" si="43"/>
        <v>8.3076923076923084</v>
      </c>
      <c r="DG24" s="246">
        <f t="shared" si="44"/>
        <v>23.07692307692308</v>
      </c>
      <c r="DH24" s="252">
        <f t="shared" si="45"/>
        <v>0</v>
      </c>
      <c r="DI24" s="309">
        <f t="shared" si="46"/>
        <v>23.07692307692308</v>
      </c>
      <c r="DJ24" s="246">
        <f>IF(DG24&gt;0,DG24,0)*1+IF(DG24&gt;12,DG24-12,0)*1+IF(DG24&gt;13,DG24-13,0)*1+IF(DG24&gt;14,DG24-14,0)*1+IF(DG24&gt;15,DG24-15,0)*1+IF(DG24&gt;16,DG24-16,0)*1+IF(DG24&gt;17,DG24-17,0)*1+IF(DG24&gt;18,DG24-18,0)*1+IF(DG24&gt;19,DG24-19,0)*1+IF(DG24&gt;20,DG24-20,0)*1</f>
        <v>86.769230769230802</v>
      </c>
      <c r="DK24" s="244">
        <f>IF(DH24&gt;0,DH24,0)*1+IF(DH24&gt;12,DH24-12,0)*1+IF(DH24&gt;13,DH24-13,0)*1+IF(DH24&gt;14,DH24-14,0)*1+IF(DH24&gt;15,DH24-15,0)*1+IF(DH24&gt;16,DH24-16,0)*1+IF(DH24&gt;17,DH24-17,0)*1+IF(DH24&gt;18,DH24-18,0)*1+IF(DH24&gt;19,DH24-19,0)*1+IF(DH24&gt;20,DH24-20,0)*1</f>
        <v>0</v>
      </c>
      <c r="DL24" s="245">
        <f t="shared" si="3"/>
        <v>86.769230769230802</v>
      </c>
      <c r="DM24" s="246">
        <f t="shared" si="47"/>
        <v>0</v>
      </c>
      <c r="DO24" s="306" t="s">
        <v>22</v>
      </c>
      <c r="DP24" s="245" t="s">
        <v>83</v>
      </c>
      <c r="DQ24" s="246" t="s">
        <v>133</v>
      </c>
      <c r="DR24" s="238"/>
      <c r="DS24" s="235">
        <f>Konvention_1slave-KLslave</f>
        <v>12</v>
      </c>
      <c r="DT24" s="235"/>
      <c r="DU24" s="235"/>
      <c r="DV24" s="235"/>
      <c r="DW24" s="235"/>
      <c r="DX24" s="235">
        <f>Konvention_1slave-KOslave</f>
        <v>12</v>
      </c>
      <c r="DY24" s="227">
        <f>Konvention_1slave-KKslave</f>
        <v>12</v>
      </c>
      <c r="DZ24" s="225">
        <f>(DR24+DS24+DT24+DU24+DV24+DW24+DX24+DY24)/3</f>
        <v>12</v>
      </c>
      <c r="EA24" s="226">
        <f t="shared" si="48"/>
        <v>24</v>
      </c>
      <c r="EB24" s="227">
        <f t="shared" si="49"/>
        <v>36</v>
      </c>
      <c r="EC24" s="238">
        <f>DR24*POWER(KLslave,SIGN(DS24))*POWER(INslave,SIGN(DT24))*POWER(CHslave_CH,SIGN(DU24))*POWER(FFslave,SIGN(DV24))*POWER(GEslave,SIGN(DW24))*POWER(KOslave,SIGN(DX24))*POWER(KKslave,SIGN(DY24))+DS24*POWER(MUslave,SIGN(DR24))*POWER(INslave,SIGN(DT24))*POWER(CHslave_CH,SIGN(DU24))*POWER(FFslave,SIGN(DV24))*POWER(GEslave,SIGN(DW24))*POWER(KOslave,SIGN(DX24))*POWER(KKslave,SIGN(DY24))+DT24*POWER(MUslave,SIGN(DR24))*POWER(KLslave,SIGN(DS24))*POWER(CHslave_CH,SIGN(DU24))*POWER(FFslave,SIGN(DV24))*POWER(GEslave,SIGN(DW24))*POWER(KOslave,SIGN(DX24))*POWER(KKslave,SIGN(DY24))+DU24*POWER(MUslave,SIGN(DR24))*POWER(KLslave,SIGN(DS24))*POWER(INslave,SIGN(DT24))*POWER(FFslave,SIGN(DV24))*POWER(GEslave,SIGN(DW24))*POWER(KOslave,SIGN(DX24))*POWER(KKslave,SIGN(DY24))+DV24*POWER(MUslave,SIGN(DR24))*POWER(KLslave,SIGN(DS24))*POWER(INslave,SIGN(DT24))*POWER(CHslave_CH,SIGN(DU24))*POWER(GEslave,SIGN(DW24))*POWER(KOslave,SIGN(DX24))*POWER(KKslave,SIGN(DY24))+DW24*POWER(MUslave,SIGN(DR24))*POWER(KLslave,SIGN(DS24))*POWER(INslave,SIGN(DT24))*POWER(CHslave_CH,SIGN(DU24))*POWER(FFslave,SIGN(DV24))*POWER(KOslave,SIGN(DX24))*POWER(KKslave,SIGN(DY24))+DX24*POWER(MUslave,SIGN(DR24))*POWER(KLslave,SIGN(DS24))*POWER(INslave,SIGN(DT24))*POWER(CHslave_CH,SIGN(DU24))*POWER(FFslave,SIGN(DV24))*POWER(GEslave,SIGN(DW24))*POWER(KKslave,SIGN(DY24))+DY24*POWER(MUslave,SIGN(DR24))*POWER(KLslave,SIGN(DS24))*POWER(INslave,SIGN(DT24))*POWER(CHslave_CH,SIGN(DU24))*POWER(FFslave,SIGN(DV24))*POWER(GEslave,SIGN(DW24))*POWER(KOslave,SIGN(DX24))</f>
        <v>2304</v>
      </c>
      <c r="ED24" s="235">
        <f>DS24*DX24*KKslave+DS24*KOslave*DY24+KLslave*DX24*DY24</f>
        <v>3456</v>
      </c>
      <c r="EE24" s="227">
        <f t="shared" si="50"/>
        <v>1728</v>
      </c>
      <c r="EF24" s="244">
        <f>SUM(EC24:EE24)</f>
        <v>7488</v>
      </c>
      <c r="EG24" s="225">
        <f t="shared" si="51"/>
        <v>3.6923076923076925</v>
      </c>
      <c r="EH24" s="226">
        <f t="shared" si="52"/>
        <v>11.076923076923077</v>
      </c>
      <c r="EI24" s="245">
        <f t="shared" si="53"/>
        <v>8.3076923076923084</v>
      </c>
      <c r="EJ24" s="246">
        <f t="shared" si="54"/>
        <v>23.07692307692308</v>
      </c>
      <c r="EK24" s="252">
        <f t="shared" si="55"/>
        <v>0</v>
      </c>
      <c r="EL24" s="309">
        <f t="shared" si="56"/>
        <v>23.07692307692308</v>
      </c>
      <c r="EM24" s="246">
        <f>IF(EJ24&gt;0,EJ24,0)*1+IF(EJ24&gt;12,EJ24-12,0)*1+IF(EJ24&gt;13,EJ24-13,0)*1+IF(EJ24&gt;14,EJ24-14,0)*1+IF(EJ24&gt;15,EJ24-15,0)*1+IF(EJ24&gt;16,EJ24-16,0)*1+IF(EJ24&gt;17,EJ24-17,0)*1+IF(EJ24&gt;18,EJ24-18,0)*1+IF(EJ24&gt;19,EJ24-19,0)*1+IF(EJ24&gt;20,EJ24-20,0)*1</f>
        <v>86.769230769230802</v>
      </c>
      <c r="EN24" s="244">
        <f>IF(EK24&gt;0,EK24,0)*1+IF(EK24&gt;12,EK24-12,0)*1+IF(EK24&gt;13,EK24-13,0)*1+IF(EK24&gt;14,EK24-14,0)*1+IF(EK24&gt;15,EK24-15,0)*1+IF(EK24&gt;16,EK24-16,0)*1+IF(EK24&gt;17,EK24-17,0)*1+IF(EK24&gt;18,EK24-18,0)*1+IF(EK24&gt;19,EK24-19,0)*1+IF(EK24&gt;20,EK24-20,0)*1</f>
        <v>0</v>
      </c>
      <c r="EO24" s="245">
        <f t="shared" si="4"/>
        <v>86.769230769230802</v>
      </c>
      <c r="EP24" s="246">
        <f t="shared" si="57"/>
        <v>0</v>
      </c>
      <c r="ER24" s="306" t="s">
        <v>22</v>
      </c>
      <c r="ES24" s="245" t="s">
        <v>83</v>
      </c>
      <c r="ET24" s="246" t="s">
        <v>133</v>
      </c>
      <c r="EU24" s="238"/>
      <c r="EV24" s="235">
        <f>Konvention_1slave-KLslave</f>
        <v>12</v>
      </c>
      <c r="EW24" s="235"/>
      <c r="EX24" s="235"/>
      <c r="EY24" s="235"/>
      <c r="EZ24" s="235"/>
      <c r="FA24" s="235">
        <f>Konvention_1slave-KOslave</f>
        <v>12</v>
      </c>
      <c r="FB24" s="227">
        <f>Konvention_1slave-KKslave</f>
        <v>12</v>
      </c>
      <c r="FC24" s="225">
        <f>(EU24+EV24+EW24+EX24+EY24+EZ24+FA24+FB24)/3</f>
        <v>12</v>
      </c>
      <c r="FD24" s="226">
        <f t="shared" si="58"/>
        <v>24</v>
      </c>
      <c r="FE24" s="227">
        <f t="shared" si="59"/>
        <v>36</v>
      </c>
      <c r="FF24" s="238">
        <f>EU24*POWER(KLslave,SIGN(EV24))*POWER(INslave,SIGN(EW24))*POWER(CHslave,SIGN(EX24))*POWER(FFslave_FF,SIGN(EY24))*POWER(GEslave,SIGN(EZ24))*POWER(KOslave,SIGN(FA24))*POWER(KKslave,SIGN(FB24))+EV24*POWER(MUslave,SIGN(EU24))*POWER(INslave,SIGN(EW24))*POWER(CHslave,SIGN(EX24))*POWER(FFslave_FF,SIGN(EY24))*POWER(GEslave,SIGN(EZ24))*POWER(KOslave,SIGN(FA24))*POWER(KKslave,SIGN(FB24))+EW24*POWER(MUslave,SIGN(EU24))*POWER(KLslave,SIGN(EV24))*POWER(CHslave,SIGN(EX24))*POWER(FFslave_FF,SIGN(EY24))*POWER(GEslave,SIGN(EZ24))*POWER(KOslave,SIGN(FA24))*POWER(KKslave,SIGN(FB24))+EX24*POWER(MUslave,SIGN(EU24))*POWER(KLslave,SIGN(EV24))*POWER(INslave,SIGN(EW24))*POWER(FFslave_FF,SIGN(EY24))*POWER(GEslave,SIGN(EZ24))*POWER(KOslave,SIGN(FA24))*POWER(KKslave,SIGN(FB24))+EY24*POWER(MUslave,SIGN(EU24))*POWER(KLslave,SIGN(EV24))*POWER(INslave,SIGN(EW24))*POWER(CHslave,SIGN(EX24))*POWER(GEslave,SIGN(EZ24))*POWER(KOslave,SIGN(FA24))*POWER(KKslave,SIGN(FB24))+EZ24*POWER(MUslave,SIGN(EU24))*POWER(KLslave,SIGN(EV24))*POWER(INslave,SIGN(EW24))*POWER(CHslave,SIGN(EX24))*POWER(FFslave_FF,SIGN(EY24))*POWER(KOslave,SIGN(FA24))*POWER(KKslave,SIGN(FB24))+FA24*POWER(MUslave,SIGN(EU24))*POWER(KLslave,SIGN(EV24))*POWER(INslave,SIGN(EW24))*POWER(CHslave,SIGN(EX24))*POWER(FFslave_FF,SIGN(EY24))*POWER(GEslave,SIGN(EZ24))*POWER(KKslave,SIGN(FB24))+FB24*POWER(MUslave,SIGN(EU24))*POWER(KLslave,SIGN(EV24))*POWER(INslave,SIGN(EW24))*POWER(CHslave,SIGN(EX24))*POWER(FFslave_FF,SIGN(EY24))*POWER(GEslave,SIGN(EZ24))*POWER(KOslave,SIGN(FA24))</f>
        <v>2304</v>
      </c>
      <c r="FG24" s="235">
        <f>EV24*FA24*KKslave+EV24*KOslave*FB24+KLslave*FA24*FB24</f>
        <v>3456</v>
      </c>
      <c r="FH24" s="227">
        <f t="shared" si="60"/>
        <v>1728</v>
      </c>
      <c r="FI24" s="244">
        <f>SUM(FF24:FH24)</f>
        <v>7488</v>
      </c>
      <c r="FJ24" s="225">
        <f t="shared" si="61"/>
        <v>3.6923076923076925</v>
      </c>
      <c r="FK24" s="226">
        <f t="shared" si="62"/>
        <v>11.076923076923077</v>
      </c>
      <c r="FL24" s="245">
        <f t="shared" si="63"/>
        <v>8.3076923076923084</v>
      </c>
      <c r="FM24" s="246">
        <f t="shared" si="64"/>
        <v>23.07692307692308</v>
      </c>
      <c r="FN24" s="252">
        <f t="shared" si="65"/>
        <v>0</v>
      </c>
      <c r="FO24" s="309">
        <f t="shared" si="66"/>
        <v>23.07692307692308</v>
      </c>
      <c r="FP24" s="246">
        <f>IF(FM24&gt;0,FM24,0)*1+IF(FM24&gt;12,FM24-12,0)*1+IF(FM24&gt;13,FM24-13,0)*1+IF(FM24&gt;14,FM24-14,0)*1+IF(FM24&gt;15,FM24-15,0)*1+IF(FM24&gt;16,FM24-16,0)*1+IF(FM24&gt;17,FM24-17,0)*1+IF(FM24&gt;18,FM24-18,0)*1+IF(FM24&gt;19,FM24-19,0)*1+IF(FM24&gt;20,FM24-20,0)*1</f>
        <v>86.769230769230802</v>
      </c>
      <c r="FQ24" s="244">
        <f>IF(FN24&gt;0,FN24,0)*1+IF(FN24&gt;12,FN24-12,0)*1+IF(FN24&gt;13,FN24-13,0)*1+IF(FN24&gt;14,FN24-14,0)*1+IF(FN24&gt;15,FN24-15,0)*1+IF(FN24&gt;16,FN24-16,0)*1+IF(FN24&gt;17,FN24-17,0)*1+IF(FN24&gt;18,FN24-18,0)*1+IF(FN24&gt;19,FN24-19,0)*1+IF(FN24&gt;20,FN24-20,0)*1</f>
        <v>0</v>
      </c>
      <c r="FR24" s="245">
        <f t="shared" si="5"/>
        <v>86.769230769230802</v>
      </c>
      <c r="FS24" s="246">
        <f t="shared" si="67"/>
        <v>0</v>
      </c>
      <c r="FU24" s="306" t="s">
        <v>22</v>
      </c>
      <c r="FV24" s="245" t="s">
        <v>83</v>
      </c>
      <c r="FW24" s="246" t="s">
        <v>133</v>
      </c>
      <c r="FX24" s="238"/>
      <c r="FY24" s="235">
        <f>Konvention_1slave-KLslave</f>
        <v>12</v>
      </c>
      <c r="FZ24" s="235"/>
      <c r="GA24" s="235"/>
      <c r="GB24" s="235"/>
      <c r="GC24" s="235"/>
      <c r="GD24" s="235">
        <f>Konvention_1slave-KOslave</f>
        <v>12</v>
      </c>
      <c r="GE24" s="227">
        <f>Konvention_1slave-KKslave</f>
        <v>12</v>
      </c>
      <c r="GF24" s="225">
        <f>(FX24+FY24+FZ24+GA24+GB24+GC24+GD24+GE24)/3</f>
        <v>12</v>
      </c>
      <c r="GG24" s="226">
        <f t="shared" si="68"/>
        <v>24</v>
      </c>
      <c r="GH24" s="227">
        <f t="shared" si="69"/>
        <v>36</v>
      </c>
      <c r="GI24" s="238">
        <f>FX24*POWER(KLslave,SIGN(FY24))*POWER(INslave,SIGN(FZ24))*POWER(CHslave,SIGN(GA24))*POWER(FFslave,SIGN(GB24))*POWER(GEslave_GE,SIGN(GC24))*POWER(KOslave,SIGN(GD24))*POWER(KKslave,SIGN(GE24))+FY24*POWER(MUslave,SIGN(FX24))*POWER(INslave,SIGN(FZ24))*POWER(CHslave,SIGN(GA24))*POWER(FFslave,SIGN(GB24))*POWER(GEslave_GE,SIGN(GC24))*POWER(KOslave,SIGN(GD24))*POWER(KKslave,SIGN(GE24))+FZ24*POWER(MUslave,SIGN(FX24))*POWER(KLslave,SIGN(FY24))*POWER(CHslave,SIGN(GA24))*POWER(FFslave,SIGN(GB24))*POWER(GEslave_GE,SIGN(GC24))*POWER(KOslave,SIGN(GD24))*POWER(KKslave,SIGN(GE24))+GA24*POWER(MUslave,SIGN(FX24))*POWER(KLslave,SIGN(FY24))*POWER(INslave,SIGN(FZ24))*POWER(FFslave,SIGN(GB24))*POWER(GEslave_GE,SIGN(GC24))*POWER(KOslave,SIGN(GD24))*POWER(KKslave,SIGN(GE24))+GB24*POWER(MUslave,SIGN(FX24))*POWER(KLslave,SIGN(FY24))*POWER(INslave,SIGN(FZ24))*POWER(CHslave,SIGN(GA24))*POWER(GEslave_GE,SIGN(GC24))*POWER(KOslave,SIGN(GD24))*POWER(KKslave,SIGN(GE24))+GC24*POWER(MUslave,SIGN(FX24))*POWER(KLslave,SIGN(FY24))*POWER(INslave,SIGN(FZ24))*POWER(CHslave,SIGN(GA24))*POWER(FFslave,SIGN(GB24))*POWER(KOslave,SIGN(GD24))*POWER(KKslave,SIGN(GE24))+GD24*POWER(MUslave,SIGN(FX24))*POWER(KLslave,SIGN(FY24))*POWER(INslave,SIGN(FZ24))*POWER(CHslave,SIGN(GA24))*POWER(FFslave,SIGN(GB24))*POWER(GEslave_GE,SIGN(GC24))*POWER(KKslave,SIGN(GE24))+GE24*POWER(MUslave,SIGN(FX24))*POWER(KLslave,SIGN(FY24))*POWER(INslave,SIGN(FZ24))*POWER(CHslave,SIGN(GA24))*POWER(FFslave,SIGN(GB24))*POWER(GEslave_GE,SIGN(GC24))*POWER(KOslave,SIGN(GD24))</f>
        <v>2304</v>
      </c>
      <c r="GJ24" s="235">
        <f>FY24*GD24*KKslave+FY24*KOslave*GE24+KLslave*GD24*GE24</f>
        <v>3456</v>
      </c>
      <c r="GK24" s="227">
        <f t="shared" si="70"/>
        <v>1728</v>
      </c>
      <c r="GL24" s="244">
        <f>SUM(GI24:GK24)</f>
        <v>7488</v>
      </c>
      <c r="GM24" s="225">
        <f t="shared" si="71"/>
        <v>3.6923076923076925</v>
      </c>
      <c r="GN24" s="226">
        <f t="shared" si="72"/>
        <v>11.076923076923077</v>
      </c>
      <c r="GO24" s="245">
        <f t="shared" si="73"/>
        <v>8.3076923076923084</v>
      </c>
      <c r="GP24" s="246">
        <f t="shared" si="74"/>
        <v>23.07692307692308</v>
      </c>
      <c r="GQ24" s="252">
        <f t="shared" si="75"/>
        <v>0</v>
      </c>
      <c r="GR24" s="309">
        <f t="shared" si="76"/>
        <v>23.07692307692308</v>
      </c>
      <c r="GS24" s="246">
        <f>IF(GP24&gt;0,GP24,0)*1+IF(GP24&gt;12,GP24-12,0)*1+IF(GP24&gt;13,GP24-13,0)*1+IF(GP24&gt;14,GP24-14,0)*1+IF(GP24&gt;15,GP24-15,0)*1+IF(GP24&gt;16,GP24-16,0)*1+IF(GP24&gt;17,GP24-17,0)*1+IF(GP24&gt;18,GP24-18,0)*1+IF(GP24&gt;19,GP24-19,0)*1+IF(GP24&gt;20,GP24-20,0)*1</f>
        <v>86.769230769230802</v>
      </c>
      <c r="GT24" s="244">
        <f>IF(GQ24&gt;0,GQ24,0)*1+IF(GQ24&gt;12,GQ24-12,0)*1+IF(GQ24&gt;13,GQ24-13,0)*1+IF(GQ24&gt;14,GQ24-14,0)*1+IF(GQ24&gt;15,GQ24-15,0)*1+IF(GQ24&gt;16,GQ24-16,0)*1+IF(GQ24&gt;17,GQ24-17,0)*1+IF(GQ24&gt;18,GQ24-18,0)*1+IF(GQ24&gt;19,GQ24-19,0)*1+IF(GQ24&gt;20,GQ24-20,0)*1</f>
        <v>0</v>
      </c>
      <c r="GU24" s="245">
        <f t="shared" si="6"/>
        <v>86.769230769230802</v>
      </c>
      <c r="GV24" s="246">
        <f t="shared" si="77"/>
        <v>0</v>
      </c>
      <c r="GX24" s="306" t="s">
        <v>22</v>
      </c>
      <c r="GY24" s="245" t="s">
        <v>83</v>
      </c>
      <c r="GZ24" s="246" t="s">
        <v>133</v>
      </c>
      <c r="HA24" s="238"/>
      <c r="HB24" s="235">
        <f>Konvention_1slave-KLslave</f>
        <v>12</v>
      </c>
      <c r="HC24" s="235"/>
      <c r="HD24" s="235"/>
      <c r="HE24" s="235"/>
      <c r="HF24" s="235"/>
      <c r="HG24" s="235">
        <f>Konvention_1slave-KOslave_KO</f>
        <v>11</v>
      </c>
      <c r="HH24" s="227">
        <f>Konvention_1slave-KKslave</f>
        <v>12</v>
      </c>
      <c r="HI24" s="225">
        <f>(HA24+HB24+HC24+HD24+HE24+HF24+HG24+HH24)/3</f>
        <v>11.666666666666666</v>
      </c>
      <c r="HJ24" s="226">
        <f t="shared" si="78"/>
        <v>23.333333333333332</v>
      </c>
      <c r="HK24" s="227">
        <f t="shared" si="79"/>
        <v>35</v>
      </c>
      <c r="HL24" s="238">
        <f>HA24*POWER(KLslave,SIGN(HB24))*POWER(INslave,SIGN(HC24))*POWER(CHslave,SIGN(HD24))*POWER(FFslave,SIGN(HE24))*POWER(GEslave,SIGN(HF24))*POWER(KOslave_KO,SIGN(HG24))*POWER(KKslave,SIGN(HH24))+HB24*POWER(MUslave,SIGN(HA24))*POWER(INslave,SIGN(HC24))*POWER(CHslave,SIGN(HD24))*POWER(FFslave,SIGN(HE24))*POWER(GEslave,SIGN(HF24))*POWER(KOslave_KO,SIGN(HG24))*POWER(KKslave,SIGN(HH24))+HC24*POWER(MUslave,SIGN(HA24))*POWER(KLslave,SIGN(HB24))*POWER(CHslave,SIGN(HD24))*POWER(FFslave,SIGN(HE24))*POWER(GEslave,SIGN(HF24))*POWER(KOslave_KO,SIGN(HG24))*POWER(KKslave,SIGN(HH24))+HD24*POWER(MUslave,SIGN(HA24))*POWER(KLslave,SIGN(HB24))*POWER(INslave,SIGN(HC24))*POWER(FFslave,SIGN(HE24))*POWER(GEslave,SIGN(HF24))*POWER(KOslave_KO,SIGN(HG24))*POWER(KKslave,SIGN(HH24))+HE24*POWER(MUslave,SIGN(HA24))*POWER(KLslave,SIGN(HB24))*POWER(INslave,SIGN(HC24))*POWER(CHslave,SIGN(HD24))*POWER(GEslave,SIGN(HF24))*POWER(KOslave_KO,SIGN(HG24))*POWER(KKslave,SIGN(HH24))+HF24*POWER(MUslave,SIGN(HA24))*POWER(KLslave,SIGN(HB24))*POWER(INslave,SIGN(HC24))*POWER(CHslave,SIGN(HD24))*POWER(FFslave,SIGN(HE24))*POWER(KOslave_KO,SIGN(HG24))*POWER(KKslave,SIGN(HH24))+HG24*POWER(MUslave,SIGN(HA24))*POWER(KLslave,SIGN(HB24))*POWER(INslave,SIGN(HC24))*POWER(CHslave,SIGN(HD24))*POWER(FFslave,SIGN(HE24))*POWER(GEslave,SIGN(HF24))*POWER(KKslave,SIGN(HH24))+HH24*POWER(MUslave,SIGN(HA24))*POWER(KLslave,SIGN(HB24))*POWER(INslave,SIGN(HC24))*POWER(CHslave,SIGN(HD24))*POWER(FFslave,SIGN(HE24))*POWER(GEslave,SIGN(HF24))*POWER(KOslave_KO,SIGN(HG24))</f>
        <v>2432</v>
      </c>
      <c r="HM24" s="235">
        <f>HB24*HG24*KKslave+HB24*KOslave_KO*HH24+KLslave*HG24*HH24</f>
        <v>3408</v>
      </c>
      <c r="HN24" s="227">
        <f t="shared" si="80"/>
        <v>1584</v>
      </c>
      <c r="HO24" s="244">
        <f>SUM(HL24:HN24)</f>
        <v>7424</v>
      </c>
      <c r="HP24" s="225">
        <f t="shared" si="81"/>
        <v>3.8218390804597702</v>
      </c>
      <c r="HQ24" s="226">
        <f t="shared" si="82"/>
        <v>10.711206896551724</v>
      </c>
      <c r="HR24" s="245">
        <f t="shared" si="83"/>
        <v>7.4676724137931032</v>
      </c>
      <c r="HS24" s="246">
        <f t="shared" si="84"/>
        <v>22.000718390804597</v>
      </c>
      <c r="HT24" s="252">
        <f t="shared" si="85"/>
        <v>0</v>
      </c>
      <c r="HU24" s="309">
        <f t="shared" si="86"/>
        <v>22.000718390804597</v>
      </c>
      <c r="HV24" s="246">
        <f>IF(HS24&gt;0,HS24,0)*1+IF(HS24&gt;12,HS24-12,0)*1+IF(HS24&gt;13,HS24-13,0)*1+IF(HS24&gt;14,HS24-14,0)*1+IF(HS24&gt;15,HS24-15,0)*1+IF(HS24&gt;16,HS24-16,0)*1+IF(HS24&gt;17,HS24-17,0)*1+IF(HS24&gt;18,HS24-18,0)*1+IF(HS24&gt;19,HS24-19,0)*1+IF(HS24&gt;20,HS24-20,0)*1</f>
        <v>76.007183908045945</v>
      </c>
      <c r="HW24" s="244">
        <f>IF(HT24&gt;0,HT24,0)*1+IF(HT24&gt;12,HT24-12,0)*1+IF(HT24&gt;13,HT24-13,0)*1+IF(HT24&gt;14,HT24-14,0)*1+IF(HT24&gt;15,HT24-15,0)*1+IF(HT24&gt;16,HT24-16,0)*1+IF(HT24&gt;17,HT24-17,0)*1+IF(HT24&gt;18,HT24-18,0)*1+IF(HT24&gt;19,HT24-19,0)*1+IF(HT24&gt;20,HT24-20,0)*1</f>
        <v>0</v>
      </c>
      <c r="HX24" s="245">
        <f t="shared" si="7"/>
        <v>76.007183908045945</v>
      </c>
      <c r="HY24" s="246">
        <f t="shared" si="87"/>
        <v>0</v>
      </c>
      <c r="IA24" s="306" t="s">
        <v>22</v>
      </c>
      <c r="IB24" s="245" t="s">
        <v>83</v>
      </c>
      <c r="IC24" s="246" t="s">
        <v>133</v>
      </c>
      <c r="ID24" s="238"/>
      <c r="IE24" s="235">
        <f>Konvention_1slave-KLslave</f>
        <v>12</v>
      </c>
      <c r="IF24" s="235"/>
      <c r="IG24" s="235"/>
      <c r="IH24" s="235"/>
      <c r="II24" s="235"/>
      <c r="IJ24" s="235">
        <f>Konvention_1slave-KOslave</f>
        <v>12</v>
      </c>
      <c r="IK24" s="227">
        <f>Konvention_1slave-KKslave_KK</f>
        <v>11</v>
      </c>
      <c r="IL24" s="225">
        <f>(ID24+IE24+IF24+IG24+IH24+II24+IJ24+IK24)/3</f>
        <v>11.666666666666666</v>
      </c>
      <c r="IM24" s="226">
        <f t="shared" si="88"/>
        <v>23.333333333333332</v>
      </c>
      <c r="IN24" s="227">
        <f t="shared" si="89"/>
        <v>35</v>
      </c>
      <c r="IO24" s="238">
        <f>ID24*POWER(KLslave,SIGN(IE24))*POWER(INslave,SIGN(IF24))*POWER(CHslave,SIGN(IG24))*POWER(FFslave,SIGN(IH24))*POWER(GEslave,SIGN(II24))*POWER(KOslave,SIGN(IJ24))*POWER(KKslave_KK,SIGN(IK24))+IE24*POWER(MUslave,SIGN(ID24))*POWER(INslave,SIGN(IF24))*POWER(CHslave,SIGN(IG24))*POWER(FFslave,SIGN(IH24))*POWER(GEslave,SIGN(II24))*POWER(KOslave,SIGN(IJ24))*POWER(KKslave_KK,SIGN(IK24))+IF24*POWER(MUslave,SIGN(ID24))*POWER(KLslave,SIGN(IE24))*POWER(CHslave,SIGN(IG24))*POWER(FFslave,SIGN(IH24))*POWER(GEslave,SIGN(II24))*POWER(KOslave,SIGN(IJ24))*POWER(KKslave_KK,SIGN(IK24))+IG24*POWER(MUslave,SIGN(ID24))*POWER(KLslave,SIGN(IE24))*POWER(INslave,SIGN(IF24))*POWER(FFslave,SIGN(IH24))*POWER(GEslave,SIGN(II24))*POWER(KOslave,SIGN(IJ24))*POWER(KKslave_KK,SIGN(IK24))+IH24*POWER(MUslave,SIGN(ID24))*POWER(KLslave,SIGN(IE24))*POWER(INslave,SIGN(IF24))*POWER(CHslave,SIGN(IG24))*POWER(GEslave,SIGN(II24))*POWER(KOslave,SIGN(IJ24))*POWER(KKslave_KK,SIGN(IK24))+II24*POWER(MUslave,SIGN(ID24))*POWER(KLslave,SIGN(IE24))*POWER(INslave,SIGN(IF24))*POWER(CHslave,SIGN(IG24))*POWER(FFslave,SIGN(IH24))*POWER(KOslave,SIGN(IJ24))*POWER(KKslave_KK,SIGN(IK24))+IJ24*POWER(MUslave,SIGN(ID24))*POWER(KLslave,SIGN(IE24))*POWER(INslave,SIGN(IF24))*POWER(CHslave,SIGN(IG24))*POWER(FFslave,SIGN(IH24))*POWER(GEslave,SIGN(II24))*POWER(KKslave_KK,SIGN(IK24))+IK24*POWER(MUslave,SIGN(ID24))*POWER(KLslave,SIGN(IE24))*POWER(INslave,SIGN(IF24))*POWER(CHslave,SIGN(IG24))*POWER(FFslave,SIGN(IH24))*POWER(GEslave,SIGN(II24))*POWER(KOslave,SIGN(IJ24))</f>
        <v>2432</v>
      </c>
      <c r="IP24" s="235">
        <f>IE24*IJ24*KKslave_KK+IE24*KOslave*IK24+KLslave*IJ24*IK24</f>
        <v>3408</v>
      </c>
      <c r="IQ24" s="227">
        <f t="shared" si="90"/>
        <v>1584</v>
      </c>
      <c r="IR24" s="244">
        <f>SUM(IO24:IQ24)</f>
        <v>7424</v>
      </c>
      <c r="IS24" s="225">
        <f t="shared" si="91"/>
        <v>3.8218390804597702</v>
      </c>
      <c r="IT24" s="226">
        <f t="shared" si="92"/>
        <v>10.711206896551724</v>
      </c>
      <c r="IU24" s="245">
        <f t="shared" si="93"/>
        <v>7.4676724137931032</v>
      </c>
      <c r="IV24" s="246">
        <f t="shared" si="94"/>
        <v>22.000718390804597</v>
      </c>
      <c r="IW24" s="252">
        <f t="shared" si="95"/>
        <v>0</v>
      </c>
      <c r="IX24" s="309">
        <f t="shared" si="96"/>
        <v>22.000718390804597</v>
      </c>
      <c r="IY24" s="246">
        <f>IF(IV24&gt;0,IV24,0)*1+IF(IV24&gt;12,IV24-12,0)*1+IF(IV24&gt;13,IV24-13,0)*1+IF(IV24&gt;14,IV24-14,0)*1+IF(IV24&gt;15,IV24-15,0)*1+IF(IV24&gt;16,IV24-16,0)*1+IF(IV24&gt;17,IV24-17,0)*1+IF(IV24&gt;18,IV24-18,0)*1+IF(IV24&gt;19,IV24-19,0)*1+IF(IV24&gt;20,IV24-20,0)*1</f>
        <v>76.007183908045945</v>
      </c>
      <c r="IZ24" s="244">
        <f>IF(IW24&gt;0,IW24,0)*1+IF(IW24&gt;12,IW24-12,0)*1+IF(IW24&gt;13,IW24-13,0)*1+IF(IW24&gt;14,IW24-14,0)*1+IF(IW24&gt;15,IW24-15,0)*1+IF(IW24&gt;16,IW24-16,0)*1+IF(IW24&gt;17,IW24-17,0)*1+IF(IW24&gt;18,IW24-18,0)*1+IF(IW24&gt;19,IW24-19,0)*1+IF(IW24&gt;20,IW24-20,0)*1</f>
        <v>0</v>
      </c>
      <c r="JA24" s="245">
        <f t="shared" si="8"/>
        <v>76.007183908045945</v>
      </c>
      <c r="JB24" s="246">
        <f t="shared" si="97"/>
        <v>0</v>
      </c>
      <c r="JE24" s="148"/>
    </row>
    <row r="25" spans="2:265" hidden="1" outlineLevel="1" collapsed="1">
      <c r="B25" s="134" t="s">
        <v>278</v>
      </c>
      <c r="C25" s="307" t="s">
        <v>281</v>
      </c>
      <c r="D25" s="84" t="s">
        <v>279</v>
      </c>
      <c r="E25" s="84" t="s">
        <v>280</v>
      </c>
      <c r="F25" s="30"/>
      <c r="G25" s="30"/>
      <c r="H25" s="30"/>
      <c r="I25" s="30"/>
      <c r="J25" s="30"/>
      <c r="K25" s="30"/>
      <c r="L25" s="30"/>
      <c r="M25" s="30"/>
      <c r="N25" s="228"/>
      <c r="O25" s="228"/>
      <c r="P25" s="229"/>
      <c r="Q25" s="229"/>
      <c r="R25" s="30"/>
      <c r="S25" s="229"/>
      <c r="T25" s="229"/>
      <c r="U25" s="228"/>
      <c r="V25" s="228"/>
      <c r="W25" s="228"/>
      <c r="X25" s="228"/>
      <c r="Y25" s="253"/>
      <c r="Z25" s="197"/>
      <c r="AF25" s="83" t="s">
        <v>281</v>
      </c>
      <c r="AG25" s="84" t="s">
        <v>279</v>
      </c>
      <c r="AH25" s="84" t="s">
        <v>280</v>
      </c>
      <c r="AI25" s="30"/>
      <c r="AJ25" s="30"/>
      <c r="AK25" s="30"/>
      <c r="AL25" s="30"/>
      <c r="AM25" s="30"/>
      <c r="AN25" s="30"/>
      <c r="AO25" s="30"/>
      <c r="AP25" s="30"/>
      <c r="AQ25" s="31"/>
      <c r="AR25" s="31"/>
      <c r="AS25" s="30"/>
      <c r="AT25" s="30"/>
      <c r="AU25" s="30"/>
      <c r="AV25" s="30"/>
      <c r="AW25" s="30"/>
      <c r="AX25" s="31"/>
      <c r="AY25" s="31"/>
      <c r="AZ25" s="31"/>
      <c r="BA25" s="31"/>
      <c r="BB25" s="65"/>
      <c r="BC25" s="197"/>
      <c r="BI25" s="307" t="s">
        <v>281</v>
      </c>
      <c r="BJ25" s="308" t="s">
        <v>279</v>
      </c>
      <c r="BK25" s="308" t="s">
        <v>280</v>
      </c>
      <c r="BL25" s="229"/>
      <c r="BM25" s="229"/>
      <c r="BN25" s="229"/>
      <c r="BO25" s="229"/>
      <c r="BP25" s="229"/>
      <c r="BQ25" s="229"/>
      <c r="BR25" s="229"/>
      <c r="BS25" s="229"/>
      <c r="BT25" s="228"/>
      <c r="BU25" s="228"/>
      <c r="BV25" s="229"/>
      <c r="BW25" s="229"/>
      <c r="BX25" s="229"/>
      <c r="BY25" s="229"/>
      <c r="BZ25" s="229"/>
      <c r="CA25" s="228"/>
      <c r="CB25" s="228"/>
      <c r="CC25" s="228"/>
      <c r="CD25" s="228"/>
      <c r="CE25" s="253"/>
      <c r="CF25" s="251"/>
      <c r="CL25" s="307" t="s">
        <v>281</v>
      </c>
      <c r="CM25" s="308" t="s">
        <v>279</v>
      </c>
      <c r="CN25" s="308" t="s">
        <v>280</v>
      </c>
      <c r="CO25" s="229"/>
      <c r="CP25" s="229"/>
      <c r="CQ25" s="229"/>
      <c r="CR25" s="229"/>
      <c r="CS25" s="229"/>
      <c r="CT25" s="229"/>
      <c r="CU25" s="229"/>
      <c r="CV25" s="229"/>
      <c r="CW25" s="228"/>
      <c r="CX25" s="228"/>
      <c r="CY25" s="229"/>
      <c r="CZ25" s="229"/>
      <c r="DA25" s="229"/>
      <c r="DB25" s="229"/>
      <c r="DC25" s="229"/>
      <c r="DD25" s="228"/>
      <c r="DE25" s="228"/>
      <c r="DF25" s="228"/>
      <c r="DG25" s="228"/>
      <c r="DH25" s="253"/>
      <c r="DI25" s="251"/>
      <c r="DO25" s="307" t="s">
        <v>281</v>
      </c>
      <c r="DP25" s="308" t="s">
        <v>279</v>
      </c>
      <c r="DQ25" s="308" t="s">
        <v>280</v>
      </c>
      <c r="DR25" s="229"/>
      <c r="DS25" s="229"/>
      <c r="DT25" s="229"/>
      <c r="DU25" s="229"/>
      <c r="DV25" s="229"/>
      <c r="DW25" s="229"/>
      <c r="DX25" s="229"/>
      <c r="DY25" s="229"/>
      <c r="DZ25" s="228"/>
      <c r="EA25" s="228"/>
      <c r="EB25" s="229"/>
      <c r="EC25" s="229"/>
      <c r="ED25" s="229"/>
      <c r="EE25" s="229"/>
      <c r="EF25" s="229"/>
      <c r="EG25" s="228"/>
      <c r="EH25" s="228"/>
      <c r="EI25" s="228"/>
      <c r="EJ25" s="228"/>
      <c r="EK25" s="253"/>
      <c r="EL25" s="251"/>
      <c r="ER25" s="307" t="s">
        <v>281</v>
      </c>
      <c r="ES25" s="308" t="s">
        <v>279</v>
      </c>
      <c r="ET25" s="308" t="s">
        <v>280</v>
      </c>
      <c r="EU25" s="229"/>
      <c r="EV25" s="229"/>
      <c r="EW25" s="229"/>
      <c r="EX25" s="229"/>
      <c r="EY25" s="229"/>
      <c r="EZ25" s="229"/>
      <c r="FA25" s="229"/>
      <c r="FB25" s="229"/>
      <c r="FC25" s="228"/>
      <c r="FD25" s="228"/>
      <c r="FE25" s="229"/>
      <c r="FF25" s="229"/>
      <c r="FG25" s="229"/>
      <c r="FH25" s="229"/>
      <c r="FI25" s="229"/>
      <c r="FJ25" s="228"/>
      <c r="FK25" s="228"/>
      <c r="FL25" s="228"/>
      <c r="FM25" s="228"/>
      <c r="FN25" s="253"/>
      <c r="FO25" s="251"/>
      <c r="FU25" s="307" t="s">
        <v>281</v>
      </c>
      <c r="FV25" s="308" t="s">
        <v>279</v>
      </c>
      <c r="FW25" s="308" t="s">
        <v>280</v>
      </c>
      <c r="FX25" s="229"/>
      <c r="FY25" s="229"/>
      <c r="FZ25" s="229"/>
      <c r="GA25" s="229"/>
      <c r="GB25" s="229"/>
      <c r="GC25" s="229"/>
      <c r="GD25" s="229"/>
      <c r="GE25" s="229"/>
      <c r="GF25" s="228"/>
      <c r="GG25" s="228"/>
      <c r="GH25" s="229"/>
      <c r="GI25" s="229"/>
      <c r="GJ25" s="229"/>
      <c r="GK25" s="229"/>
      <c r="GL25" s="229"/>
      <c r="GM25" s="228"/>
      <c r="GN25" s="228"/>
      <c r="GO25" s="228"/>
      <c r="GP25" s="228"/>
      <c r="GQ25" s="253"/>
      <c r="GR25" s="251"/>
      <c r="GX25" s="307" t="s">
        <v>281</v>
      </c>
      <c r="GY25" s="308" t="s">
        <v>279</v>
      </c>
      <c r="GZ25" s="308" t="s">
        <v>280</v>
      </c>
      <c r="HA25" s="229"/>
      <c r="HB25" s="229"/>
      <c r="HC25" s="229"/>
      <c r="HD25" s="229"/>
      <c r="HE25" s="229"/>
      <c r="HF25" s="229"/>
      <c r="HG25" s="229"/>
      <c r="HH25" s="229"/>
      <c r="HI25" s="228"/>
      <c r="HJ25" s="228"/>
      <c r="HK25" s="229"/>
      <c r="HL25" s="229"/>
      <c r="HM25" s="229"/>
      <c r="HN25" s="229"/>
      <c r="HO25" s="229"/>
      <c r="HP25" s="228"/>
      <c r="HQ25" s="228"/>
      <c r="HR25" s="228"/>
      <c r="HS25" s="228"/>
      <c r="HT25" s="253"/>
      <c r="HU25" s="251"/>
      <c r="IA25" s="307" t="s">
        <v>281</v>
      </c>
      <c r="IB25" s="308" t="s">
        <v>279</v>
      </c>
      <c r="IC25" s="308" t="s">
        <v>280</v>
      </c>
      <c r="ID25" s="229"/>
      <c r="IE25" s="229"/>
      <c r="IF25" s="229"/>
      <c r="IG25" s="229"/>
      <c r="IH25" s="229"/>
      <c r="II25" s="229"/>
      <c r="IJ25" s="229"/>
      <c r="IK25" s="229"/>
      <c r="IL25" s="228"/>
      <c r="IM25" s="228"/>
      <c r="IN25" s="229"/>
      <c r="IO25" s="229"/>
      <c r="IP25" s="229"/>
      <c r="IQ25" s="229"/>
      <c r="IR25" s="229"/>
      <c r="IS25" s="228"/>
      <c r="IT25" s="228"/>
      <c r="IU25" s="228"/>
      <c r="IV25" s="228"/>
      <c r="IW25" s="253"/>
      <c r="IX25" s="251"/>
      <c r="JE25" s="148"/>
    </row>
    <row r="26" spans="2:265" hidden="1" outlineLevel="2">
      <c r="B26" s="148">
        <v>1</v>
      </c>
      <c r="C26" s="302" t="e">
        <f>VLOOKUP(AF26,Attribute!C:T,1,FALSE)</f>
        <v>#N/A</v>
      </c>
      <c r="D26" s="126" t="s">
        <v>84</v>
      </c>
      <c r="E26" s="158" t="s">
        <v>132</v>
      </c>
      <c r="F26" s="191">
        <f>Konvention_1master-MUmaster</f>
        <v>12</v>
      </c>
      <c r="G26" s="118">
        <f>Konvention_1master-KLmaster</f>
        <v>12</v>
      </c>
      <c r="H26" s="118"/>
      <c r="I26" s="118">
        <f t="shared" ref="I26:I34" si="116">Konvention_1master-CHmaster</f>
        <v>12</v>
      </c>
      <c r="J26" s="118"/>
      <c r="K26" s="118"/>
      <c r="L26" s="118"/>
      <c r="M26" s="92"/>
      <c r="N26" s="219">
        <f>(F26+G26+H26+I26+J26+K26+L26+M26)/3</f>
        <v>12</v>
      </c>
      <c r="O26" s="220">
        <f t="shared" ref="O26:O34" si="117">2*N26</f>
        <v>24</v>
      </c>
      <c r="P26" s="221">
        <f t="shared" ref="P26:P34" si="118">3*N26</f>
        <v>36</v>
      </c>
      <c r="Q26" s="236">
        <f>F26*POWER(KLmaster,SIGN(G26))*POWER(INmaster,SIGN(H26))*POWER(CHmaster,SIGN(I26))*POWER(FFmaster,SIGN(J26))*POWER(GEmaster,SIGN(K26))*POWER(KOmaster,SIGN(L26))*POWER(KKmaster,SIGN(M26))+G26*POWER(MUmaster,SIGN(F26))*POWER(INmaster,SIGN(H26))*POWER(CHmaster,SIGN(I26))*POWER(FFmaster,SIGN(J26))*POWER(GEmaster,SIGN(K26))*POWER(KOmaster,SIGN(L26))*POWER(KKmaster,SIGN(M26))+H26*POWER(MUmaster,SIGN(F26))*POWER(KLmaster,SIGN(G26))*POWER(CHmaster,SIGN(I26))*POWER(FFmaster,SIGN(J26))*POWER(GEmaster,SIGN(K26))*POWER(KOmaster,SIGN(L26))*POWER(KKmaster,SIGN(M26))+I26*POWER(MUmaster,SIGN(F26))*POWER(KLmaster,SIGN(G26))*POWER(INmaster,SIGN(H26))*POWER(FFmaster,SIGN(J26))*POWER(GEmaster,SIGN(K26))*POWER(KOmaster,SIGN(L26))*POWER(KKmaster,SIGN(M26))+J26*POWER(MUmaster,SIGN(F26))*POWER(KLmaster,SIGN(G26))*POWER(INmaster,SIGN(H26))*POWER(CHmaster,SIGN(I26))*POWER(GEmaster,SIGN(K26))*POWER(KOmaster,SIGN(L26))*POWER(KKmaster,SIGN(M26))+K26*POWER(MUmaster,SIGN(F26))*POWER(KLmaster,SIGN(G26))*POWER(INmaster,SIGN(H26))*POWER(CHmaster,SIGN(I26))*POWER(FFmaster,SIGN(J26))*POWER(KOmaster,SIGN(L26))*POWER(KKmaster,SIGN(M26))+L26*POWER(MUmaster,SIGN(F26))*POWER(KLmaster,SIGN(G26))*POWER(INmaster,SIGN(H26))*POWER(CHmaster,SIGN(I26))*POWER(FFmaster,SIGN(J26))*POWER(GEmaster,SIGN(K26))*POWER(KKmaster,SIGN(M26))+M26*POWER(MUmaster,SIGN(F26))*POWER(KLmaster,SIGN(G26))*POWER(INmaster,SIGN(H26))*POWER(CHmaster,SIGN(I26))*POWER(FFmaster,SIGN(J26))*POWER(GEmaster,SIGN(K26))*POWER(KOmaster,SIGN(L26))</f>
        <v>2304</v>
      </c>
      <c r="R26" s="118">
        <f>F26*G26*CHmaster+F26*KLmaster*I26+MUmaster*G26*I26</f>
        <v>3456</v>
      </c>
      <c r="S26" s="221">
        <f t="shared" ref="S26:S34" si="119">IFERROR(F26^SIGN(F26),1)*IFERROR(G26^SIGN(G26),1)*IFERROR(H26^SIGN(H26),1)*IFERROR(I26^SIGN(I26),1)*IFERROR(J26^SIGN(J26),1)*IFERROR(K26^SIGN(K26),1)*IFERROR(L26^SIGN(L26),1)*IFERROR(M26^SIGN(M26),1)</f>
        <v>1728</v>
      </c>
      <c r="T26" s="78">
        <f>SUM(Q26:S26)</f>
        <v>7488</v>
      </c>
      <c r="U26" s="219">
        <f t="shared" ref="U26:U34" si="120">N26*Q26/T26</f>
        <v>3.6923076923076925</v>
      </c>
      <c r="V26" s="220">
        <f t="shared" ref="V26:V34" si="121">O26*R26/T26</f>
        <v>11.076923076923077</v>
      </c>
      <c r="W26" s="241">
        <f t="shared" ref="W26:W34" si="122">P26*S26/T26</f>
        <v>8.3076923076923084</v>
      </c>
      <c r="X26" s="42">
        <f t="shared" ref="X26:X34" si="123">SUM(U26:W26)</f>
        <v>23.07692307692308</v>
      </c>
      <c r="Y26" s="252">
        <v>0</v>
      </c>
      <c r="Z26" s="198">
        <f t="shared" ref="Z26:Z34" si="124">X26-Y26</f>
        <v>23.07692307692308</v>
      </c>
      <c r="AA26" s="158">
        <f t="shared" ref="AA26:AB29" si="125">IF(X26&gt;0,X26,0)*2+IF(X26&gt;12,X26-12,0)*2+IF(X26&gt;13,X26-13,0)*2+IF(X26&gt;14,X26-14,0)*2+IF(X26&gt;15,X26-15,0)*2+IF(X26&gt;16,X26-16,0)*2+IF(X26&gt;17,X26-17,0)*2+IF(X26&gt;18,X26-18,0)*2+IF(X26&gt;19,X26-19,0)*2+IF(X26&gt;20,X26-20,0)*2</f>
        <v>173.5384615384616</v>
      </c>
      <c r="AB26" s="91">
        <f t="shared" si="125"/>
        <v>0</v>
      </c>
      <c r="AC26" s="126">
        <f t="shared" ref="AC26:AC34" si="126">IF((AA26-AB26)&gt;0,AA26-AB26,0)</f>
        <v>173.5384615384616</v>
      </c>
      <c r="AD26" s="158">
        <f t="shared" ref="AD26:AD34" si="127">IF((AB26-AA26)&gt;0,AB26-AA26,0)</f>
        <v>0</v>
      </c>
      <c r="AF26" s="162" t="s">
        <v>23</v>
      </c>
      <c r="AG26" s="126" t="s">
        <v>84</v>
      </c>
      <c r="AH26" s="158" t="s">
        <v>132</v>
      </c>
      <c r="AI26" s="191">
        <f>Konvention_1slave-MUslave_MU</f>
        <v>11</v>
      </c>
      <c r="AJ26" s="118">
        <f>Konvention_1slave-KLslave</f>
        <v>12</v>
      </c>
      <c r="AK26" s="118"/>
      <c r="AL26" s="118">
        <f t="shared" ref="AL26:AL34" si="128">Konvention_1slave-CHslave</f>
        <v>12</v>
      </c>
      <c r="AM26" s="118"/>
      <c r="AN26" s="118"/>
      <c r="AO26" s="118"/>
      <c r="AP26" s="92"/>
      <c r="AQ26" s="193">
        <f>(AI26+AJ26+AK26+AL26+AM26+AN26+AO26+AP26)/3</f>
        <v>11.666666666666666</v>
      </c>
      <c r="AR26" s="116">
        <f t="shared" ref="AR26:AR34" si="129">2*AQ26</f>
        <v>23.333333333333332</v>
      </c>
      <c r="AS26" s="92">
        <f t="shared" ref="AS26:AS34" si="130">3*AQ26</f>
        <v>35</v>
      </c>
      <c r="AT26" s="191">
        <f>AI26*POWER(KLslave,SIGN(AJ26))*POWER(INslave,SIGN(AK26))*POWER(CHslave,SIGN(AL26))*POWER(FFslave,SIGN(AM26))*POWER(GEslave,SIGN(AN26))*POWER(KOslave,SIGN(AO26))*POWER(KKslave,SIGN(AP26))+AJ26*POWER(MUslave_MU,SIGN(AI26))*POWER(INslave,SIGN(AK26))*POWER(CHslave,SIGN(AL26))*POWER(FFslave,SIGN(AM26))*POWER(GEslave,SIGN(AN26))*POWER(KOslave,SIGN(AO26))*POWER(KKslave,SIGN(AP26))+AK26*POWER(MUslave_MU,SIGN(AI26))*POWER(KLslave,SIGN(AJ26))*POWER(CHslave,SIGN(AL26))*POWER(FFslave,SIGN(AM26))*POWER(GEslave,SIGN(AN26))*POWER(KOslave,SIGN(AO26))*POWER(KKslave,SIGN(AP26))+AL26*POWER(MUslave_MU,SIGN(AI26))*POWER(KLslave,SIGN(AJ26))*POWER(INslave,SIGN(AK26))*POWER(FFslave,SIGN(AM26))*POWER(GEslave,SIGN(AN26))*POWER(KOslave,SIGN(AO26))*POWER(KKslave,SIGN(AP26))+AM26*POWER(MUslave_MU,SIGN(AI26))*POWER(KLslave,SIGN(AJ26))*POWER(INslave,SIGN(AK26))*POWER(CHslave,SIGN(AL26))*POWER(GEslave,SIGN(AN26))*POWER(KOslave,SIGN(AO26))*POWER(KKslave,SIGN(AP26))+AN26*POWER(MUslave_MU,SIGN(AI26))*POWER(KLslave,SIGN(AJ26))*POWER(INslave,SIGN(AK26))*POWER(CHslave,SIGN(AL26))*POWER(FFslave,SIGN(AM26))*POWER(KOslave,SIGN(AO26))*POWER(KKslave,SIGN(AP26))+AO26*POWER(MUslave_MU,SIGN(AI26))*POWER(KLslave,SIGN(AJ26))*POWER(INslave,SIGN(AK26))*POWER(CHslave,SIGN(AL26))*POWER(FFslave,SIGN(AM26))*POWER(GEslave,SIGN(AN26))*POWER(KKslave,SIGN(AP26))+AP26*POWER(MUslave_MU,SIGN(AI26))*POWER(KLslave,SIGN(AJ26))*POWER(INslave,SIGN(AK26))*POWER(CHslave,SIGN(AL26))*POWER(FFslave,SIGN(AM26))*POWER(GEslave,SIGN(AN26))*POWER(KOslave,SIGN(AO26))</f>
        <v>2432</v>
      </c>
      <c r="AU26" s="118">
        <f>AI26*AJ26*CHslave+AI26*KLslave*AL26+MUslave_MU*AJ26*AL26</f>
        <v>3408</v>
      </c>
      <c r="AV26" s="92">
        <f t="shared" ref="AV26:AV34" si="131">IFERROR(AI26^SIGN(AI26),1)*IFERROR(AJ26^SIGN(AJ26),1)*IFERROR(AK26^SIGN(AK26),1)*IFERROR(AL26^SIGN(AL26),1)*IFERROR(AM26^SIGN(AM26),1)*IFERROR(AN26^SIGN(AN26),1)*IFERROR(AO26^SIGN(AO26),1)*IFERROR(AP26^SIGN(AP26),1)</f>
        <v>1584</v>
      </c>
      <c r="AW26" s="91">
        <f>SUM(AT26:AV26)</f>
        <v>7424</v>
      </c>
      <c r="AX26" s="193">
        <f t="shared" ref="AX26:AX34" si="132">AQ26*AT26/AW26</f>
        <v>3.8218390804597702</v>
      </c>
      <c r="AY26" s="116">
        <f t="shared" ref="AY26:AY34" si="133">AR26*AU26/AW26</f>
        <v>10.711206896551724</v>
      </c>
      <c r="AZ26" s="126">
        <f t="shared" ref="AZ26:AZ34" si="134">AS26*AV26/AW26</f>
        <v>7.4676724137931032</v>
      </c>
      <c r="BA26" s="158">
        <f t="shared" ref="BA26:BA34" si="135">SUM(AX26:AZ26)</f>
        <v>22.000718390804597</v>
      </c>
      <c r="BB26" s="165">
        <f t="shared" ref="BB26:BB34" si="136">Y26</f>
        <v>0</v>
      </c>
      <c r="BC26" s="198">
        <f t="shared" ref="BC26:BC34" si="137">BA26-BB26</f>
        <v>22.000718390804597</v>
      </c>
      <c r="BD26" s="158">
        <f t="shared" ref="BD26:BE29" si="138">IF(BA26&gt;0,BA26,0)*2+IF(BA26&gt;12,BA26-12,0)*2+IF(BA26&gt;13,BA26-13,0)*2+IF(BA26&gt;14,BA26-14,0)*2+IF(BA26&gt;15,BA26-15,0)*2+IF(BA26&gt;16,BA26-16,0)*2+IF(BA26&gt;17,BA26-17,0)*2+IF(BA26&gt;18,BA26-18,0)*2+IF(BA26&gt;19,BA26-19,0)*2+IF(BA26&gt;20,BA26-20,0)*2</f>
        <v>152.01436781609189</v>
      </c>
      <c r="BE26" s="91">
        <f t="shared" si="138"/>
        <v>0</v>
      </c>
      <c r="BF26" s="241">
        <f t="shared" ref="BF26:BF34" si="139">IF((BD26-BE26)&gt;0,BD26-BE26,0)</f>
        <v>152.01436781609189</v>
      </c>
      <c r="BG26" s="42">
        <f t="shared" ref="BG26:BG34" si="140">IF((BE26-BD26)&gt;0,BE26-BD26,0)</f>
        <v>0</v>
      </c>
      <c r="BI26" s="302" t="s">
        <v>23</v>
      </c>
      <c r="BJ26" s="241" t="s">
        <v>84</v>
      </c>
      <c r="BK26" s="42" t="s">
        <v>132</v>
      </c>
      <c r="BL26" s="236">
        <f>Konvention_1slave-MUslave</f>
        <v>12</v>
      </c>
      <c r="BM26" s="233">
        <f>Konvention_1slave-KLslave_KL</f>
        <v>11</v>
      </c>
      <c r="BN26" s="233"/>
      <c r="BO26" s="233">
        <f t="shared" ref="BO26:BO34" si="141">Konvention_1slave-CHslave</f>
        <v>12</v>
      </c>
      <c r="BP26" s="233"/>
      <c r="BQ26" s="233"/>
      <c r="BR26" s="233"/>
      <c r="BS26" s="221"/>
      <c r="BT26" s="219">
        <f>(BL26+BM26+BN26+BO26+BP26+BQ26+BR26+BS26)/3</f>
        <v>11.666666666666666</v>
      </c>
      <c r="BU26" s="220">
        <f t="shared" ref="BU26:BU34" si="142">2*BT26</f>
        <v>23.333333333333332</v>
      </c>
      <c r="BV26" s="221">
        <f t="shared" ref="BV26:BV34" si="143">3*BT26</f>
        <v>35</v>
      </c>
      <c r="BW26" s="236">
        <f>BL26*POWER(KLslave_KL,SIGN(BM26))*POWER(INslave,SIGN(BN26))*POWER(CHslave,SIGN(BO26))*POWER(FFslave,SIGN(BP26))*POWER(GEslave,SIGN(BQ26))*POWER(KOslave,SIGN(BR26))*POWER(KKslave,SIGN(BS26))+BM26*POWER(MUslave,SIGN(BL26))*POWER(INslave,SIGN(BN26))*POWER(CHslave,SIGN(BO26))*POWER(FFslave,SIGN(BP26))*POWER(GEslave,SIGN(BQ26))*POWER(KOslave,SIGN(BR26))*POWER(KKslave,SIGN(BS26))+BN26*POWER(MUslave,SIGN(BL26))*POWER(KLslave_KL,SIGN(BM26))*POWER(CHslave,SIGN(BO26))*POWER(FFslave,SIGN(BP26))*POWER(GEslave,SIGN(BQ26))*POWER(KOslave,SIGN(BR26))*POWER(KKslave,SIGN(BS26))+BO26*POWER(MUslave,SIGN(BL26))*POWER(KLslave_KL,SIGN(BM26))*POWER(INslave,SIGN(BN26))*POWER(FFslave,SIGN(BP26))*POWER(GEslave,SIGN(BQ26))*POWER(KOslave,SIGN(BR26))*POWER(KKslave,SIGN(BS26))+BP26*POWER(MUslave,SIGN(BL26))*POWER(KLslave_KL,SIGN(BM26))*POWER(INslave,SIGN(BN26))*POWER(CHslave,SIGN(BO26))*POWER(GEslave,SIGN(BQ26))*POWER(KOslave,SIGN(BR26))*POWER(KKslave,SIGN(BS26))+BQ26*POWER(MUslave,SIGN(BL26))*POWER(KLslave_KL,SIGN(BM26))*POWER(INslave,SIGN(BN26))*POWER(CHslave,SIGN(BO26))*POWER(FFslave,SIGN(BP26))*POWER(KOslave,SIGN(BR26))*POWER(KKslave,SIGN(BS26))+BR26*POWER(MUslave,SIGN(BL26))*POWER(KLslave_KL,SIGN(BM26))*POWER(INslave,SIGN(BN26))*POWER(CHslave,SIGN(BO26))*POWER(FFslave,SIGN(BP26))*POWER(GEslave,SIGN(BQ26))*POWER(KKslave,SIGN(BS26))+BS26*POWER(MUslave,SIGN(BL26))*POWER(KLslave_KL,SIGN(BM26))*POWER(INslave,SIGN(BN26))*POWER(CHslave,SIGN(BO26))*POWER(FFslave,SIGN(BP26))*POWER(GEslave,SIGN(BQ26))*POWER(KOslave,SIGN(BR26))</f>
        <v>2432</v>
      </c>
      <c r="BX26" s="233">
        <f>BL26*BM26*CHslave+BL26*KLslave_KL*BO26+MUslave*BM26*BO26</f>
        <v>3408</v>
      </c>
      <c r="BY26" s="221">
        <f t="shared" ref="BY26:BY34" si="144">IFERROR(BL26^SIGN(BL26),1)*IFERROR(BM26^SIGN(BM26),1)*IFERROR(BN26^SIGN(BN26),1)*IFERROR(BO26^SIGN(BO26),1)*IFERROR(BP26^SIGN(BP26),1)*IFERROR(BQ26^SIGN(BQ26),1)*IFERROR(BR26^SIGN(BR26),1)*IFERROR(BS26^SIGN(BS26),1)</f>
        <v>1584</v>
      </c>
      <c r="BZ26" s="78">
        <f>SUM(BW26:BY26)</f>
        <v>7424</v>
      </c>
      <c r="CA26" s="219">
        <f t="shared" ref="CA26:CA34" si="145">BT26*BW26/BZ26</f>
        <v>3.8218390804597702</v>
      </c>
      <c r="CB26" s="220">
        <f t="shared" ref="CB26:CB34" si="146">BU26*BX26/BZ26</f>
        <v>10.711206896551724</v>
      </c>
      <c r="CC26" s="241">
        <f t="shared" ref="CC26:CC34" si="147">BV26*BY26/BZ26</f>
        <v>7.4676724137931032</v>
      </c>
      <c r="CD26" s="42">
        <f t="shared" ref="CD26:CD34" si="148">SUM(CA26:CC26)</f>
        <v>22.000718390804597</v>
      </c>
      <c r="CE26" s="252">
        <f t="shared" ref="CE26:CE34" si="149">BB26</f>
        <v>0</v>
      </c>
      <c r="CF26" s="309">
        <f t="shared" ref="CF26:CF34" si="150">CD26-CE26</f>
        <v>22.000718390804597</v>
      </c>
      <c r="CG26" s="42">
        <f t="shared" ref="CG26:CH29" si="151">IF(CD26&gt;0,CD26,0)*2+IF(CD26&gt;12,CD26-12,0)*2+IF(CD26&gt;13,CD26-13,0)*2+IF(CD26&gt;14,CD26-14,0)*2+IF(CD26&gt;15,CD26-15,0)*2+IF(CD26&gt;16,CD26-16,0)*2+IF(CD26&gt;17,CD26-17,0)*2+IF(CD26&gt;18,CD26-18,0)*2+IF(CD26&gt;19,CD26-19,0)*2+IF(CD26&gt;20,CD26-20,0)*2</f>
        <v>152.01436781609189</v>
      </c>
      <c r="CH26" s="78">
        <f t="shared" si="151"/>
        <v>0</v>
      </c>
      <c r="CI26" s="241">
        <f t="shared" ref="CI26:CI34" si="152">IF((CG26-CH26)&gt;0,CG26-CH26,0)</f>
        <v>152.01436781609189</v>
      </c>
      <c r="CJ26" s="42">
        <f t="shared" ref="CJ26:CJ34" si="153">IF((CH26-CG26)&gt;0,CH26-CG26,0)</f>
        <v>0</v>
      </c>
      <c r="CL26" s="302" t="s">
        <v>23</v>
      </c>
      <c r="CM26" s="241" t="s">
        <v>84</v>
      </c>
      <c r="CN26" s="42" t="s">
        <v>132</v>
      </c>
      <c r="CO26" s="236">
        <f>Konvention_1slave-MUslave</f>
        <v>12</v>
      </c>
      <c r="CP26" s="233">
        <f>Konvention_1slave-KLslave</f>
        <v>12</v>
      </c>
      <c r="CQ26" s="233"/>
      <c r="CR26" s="233">
        <f t="shared" ref="CR26:CR34" si="154">Konvention_1slave-CHslave</f>
        <v>12</v>
      </c>
      <c r="CS26" s="233"/>
      <c r="CT26" s="233"/>
      <c r="CU26" s="233"/>
      <c r="CV26" s="221"/>
      <c r="CW26" s="219">
        <f>(CO26+CP26+CQ26+CR26+CS26+CT26+CU26+CV26)/3</f>
        <v>12</v>
      </c>
      <c r="CX26" s="220">
        <f t="shared" ref="CX26:CX34" si="155">2*CW26</f>
        <v>24</v>
      </c>
      <c r="CY26" s="221">
        <f t="shared" ref="CY26:CY34" si="156">3*CW26</f>
        <v>36</v>
      </c>
      <c r="CZ26" s="236">
        <f>CO26*POWER(KLslave,SIGN(CP26))*POWER(INslave_IN,SIGN(CQ26))*POWER(CHslave,SIGN(CR26))*POWER(FFslave,SIGN(CS26))*POWER(GEslave,SIGN(CT26))*POWER(KOslave,SIGN(CU26))*POWER(KKslave,SIGN(CV26))+CP26*POWER(MUslave,SIGN(CO26))*POWER(INslave_IN,SIGN(CQ26))*POWER(CHslave,SIGN(CR26))*POWER(FFslave,SIGN(CS26))*POWER(GEslave,SIGN(CT26))*POWER(KOslave,SIGN(CU26))*POWER(KKslave,SIGN(CV26))+CQ26*POWER(MUslave,SIGN(CO26))*POWER(KLslave,SIGN(CP26))*POWER(CHslave,SIGN(CR26))*POWER(FFslave,SIGN(CS26))*POWER(GEslave,SIGN(CT26))*POWER(KOslave,SIGN(CU26))*POWER(KKslave,SIGN(CV26))+CR26*POWER(MUslave,SIGN(CO26))*POWER(KLslave,SIGN(CP26))*POWER(INslave_IN,SIGN(CQ26))*POWER(FFslave,SIGN(CS26))*POWER(GEslave,SIGN(CT26))*POWER(KOslave,SIGN(CU26))*POWER(KKslave,SIGN(CV26))+CS26*POWER(MUslave,SIGN(CO26))*POWER(KLslave,SIGN(CP26))*POWER(INslave_IN,SIGN(CQ26))*POWER(CHslave,SIGN(CR26))*POWER(GEslave,SIGN(CT26))*POWER(KOslave,SIGN(CU26))*POWER(KKslave,SIGN(CV26))+CT26*POWER(MUslave,SIGN(CO26))*POWER(KLslave,SIGN(CP26))*POWER(INslave_IN,SIGN(CQ26))*POWER(CHslave,SIGN(CR26))*POWER(FFslave,SIGN(CS26))*POWER(KOslave,SIGN(CU26))*POWER(KKslave,SIGN(CV26))+CU26*POWER(MUslave,SIGN(CO26))*POWER(KLslave,SIGN(CP26))*POWER(INslave_IN,SIGN(CQ26))*POWER(CHslave,SIGN(CR26))*POWER(FFslave,SIGN(CS26))*POWER(GEslave,SIGN(CT26))*POWER(KKslave,SIGN(CV26))+CV26*POWER(MUslave,SIGN(CO26))*POWER(KLslave,SIGN(CP26))*POWER(INslave_IN,SIGN(CQ26))*POWER(CHslave,SIGN(CR26))*POWER(FFslave,SIGN(CS26))*POWER(GEslave,SIGN(CT26))*POWER(KOslave,SIGN(CU26))</f>
        <v>2304</v>
      </c>
      <c r="DA26" s="233">
        <f>CO26*CP26*CHslave+CO26*KLslave*CR26+MUslave*CP26*CR26</f>
        <v>3456</v>
      </c>
      <c r="DB26" s="221">
        <f t="shared" ref="DB26:DB34" si="157">IFERROR(CO26^SIGN(CO26),1)*IFERROR(CP26^SIGN(CP26),1)*IFERROR(CQ26^SIGN(CQ26),1)*IFERROR(CR26^SIGN(CR26),1)*IFERROR(CS26^SIGN(CS26),1)*IFERROR(CT26^SIGN(CT26),1)*IFERROR(CU26^SIGN(CU26),1)*IFERROR(CV26^SIGN(CV26),1)</f>
        <v>1728</v>
      </c>
      <c r="DC26" s="78">
        <f>SUM(CZ26:DB26)</f>
        <v>7488</v>
      </c>
      <c r="DD26" s="219">
        <f t="shared" ref="DD26:DD34" si="158">CW26*CZ26/DC26</f>
        <v>3.6923076923076925</v>
      </c>
      <c r="DE26" s="220">
        <f t="shared" ref="DE26:DE34" si="159">CX26*DA26/DC26</f>
        <v>11.076923076923077</v>
      </c>
      <c r="DF26" s="241">
        <f t="shared" ref="DF26:DF34" si="160">CY26*DB26/DC26</f>
        <v>8.3076923076923084</v>
      </c>
      <c r="DG26" s="42">
        <f t="shared" ref="DG26:DG34" si="161">SUM(DD26:DF26)</f>
        <v>23.07692307692308</v>
      </c>
      <c r="DH26" s="252">
        <f t="shared" ref="DH26:DH34" si="162">CE26</f>
        <v>0</v>
      </c>
      <c r="DI26" s="309">
        <f t="shared" ref="DI26:DI34" si="163">DG26-DH26</f>
        <v>23.07692307692308</v>
      </c>
      <c r="DJ26" s="42">
        <f t="shared" ref="DJ26:DK29" si="164">IF(DG26&gt;0,DG26,0)*2+IF(DG26&gt;12,DG26-12,0)*2+IF(DG26&gt;13,DG26-13,0)*2+IF(DG26&gt;14,DG26-14,0)*2+IF(DG26&gt;15,DG26-15,0)*2+IF(DG26&gt;16,DG26-16,0)*2+IF(DG26&gt;17,DG26-17,0)*2+IF(DG26&gt;18,DG26-18,0)*2+IF(DG26&gt;19,DG26-19,0)*2+IF(DG26&gt;20,DG26-20,0)*2</f>
        <v>173.5384615384616</v>
      </c>
      <c r="DK26" s="78">
        <f t="shared" si="164"/>
        <v>0</v>
      </c>
      <c r="DL26" s="241">
        <f t="shared" ref="DL26:DL34" si="165">IF((DJ26-DK26)&gt;0,DJ26-DK26,0)</f>
        <v>173.5384615384616</v>
      </c>
      <c r="DM26" s="42">
        <f t="shared" ref="DM26:DM34" si="166">IF((DK26-DJ26)&gt;0,DK26-DJ26,0)</f>
        <v>0</v>
      </c>
      <c r="DO26" s="302" t="s">
        <v>23</v>
      </c>
      <c r="DP26" s="241" t="s">
        <v>84</v>
      </c>
      <c r="DQ26" s="42" t="s">
        <v>132</v>
      </c>
      <c r="DR26" s="236">
        <f>Konvention_1slave-MUslave</f>
        <v>12</v>
      </c>
      <c r="DS26" s="233">
        <f>Konvention_1slave-KLslave</f>
        <v>12</v>
      </c>
      <c r="DT26" s="233"/>
      <c r="DU26" s="233">
        <f t="shared" ref="DU26:DU34" si="167">Konvention_1slave-CHslave_CH</f>
        <v>11</v>
      </c>
      <c r="DV26" s="233"/>
      <c r="DW26" s="233"/>
      <c r="DX26" s="233"/>
      <c r="DY26" s="221"/>
      <c r="DZ26" s="219">
        <f>(DR26+DS26+DT26+DU26+DV26+DW26+DX26+DY26)/3</f>
        <v>11.666666666666666</v>
      </c>
      <c r="EA26" s="220">
        <f t="shared" ref="EA26:EA34" si="168">2*DZ26</f>
        <v>23.333333333333332</v>
      </c>
      <c r="EB26" s="221">
        <f t="shared" ref="EB26:EB34" si="169">3*DZ26</f>
        <v>35</v>
      </c>
      <c r="EC26" s="236">
        <f>DR26*POWER(KLslave,SIGN(DS26))*POWER(INslave,SIGN(DT26))*POWER(CHslave_CH,SIGN(DU26))*POWER(FFslave,SIGN(DV26))*POWER(GEslave,SIGN(DW26))*POWER(KOslave,SIGN(DX26))*POWER(KKslave,SIGN(DY26))+DS26*POWER(MUslave,SIGN(DR26))*POWER(INslave,SIGN(DT26))*POWER(CHslave_CH,SIGN(DU26))*POWER(FFslave,SIGN(DV26))*POWER(GEslave,SIGN(DW26))*POWER(KOslave,SIGN(DX26))*POWER(KKslave,SIGN(DY26))+DT26*POWER(MUslave,SIGN(DR26))*POWER(KLslave,SIGN(DS26))*POWER(CHslave_CH,SIGN(DU26))*POWER(FFslave,SIGN(DV26))*POWER(GEslave,SIGN(DW26))*POWER(KOslave,SIGN(DX26))*POWER(KKslave,SIGN(DY26))+DU26*POWER(MUslave,SIGN(DR26))*POWER(KLslave,SIGN(DS26))*POWER(INslave,SIGN(DT26))*POWER(FFslave,SIGN(DV26))*POWER(GEslave,SIGN(DW26))*POWER(KOslave,SIGN(DX26))*POWER(KKslave,SIGN(DY26))+DV26*POWER(MUslave,SIGN(DR26))*POWER(KLslave,SIGN(DS26))*POWER(INslave,SIGN(DT26))*POWER(CHslave_CH,SIGN(DU26))*POWER(GEslave,SIGN(DW26))*POWER(KOslave,SIGN(DX26))*POWER(KKslave,SIGN(DY26))+DW26*POWER(MUslave,SIGN(DR26))*POWER(KLslave,SIGN(DS26))*POWER(INslave,SIGN(DT26))*POWER(CHslave_CH,SIGN(DU26))*POWER(FFslave,SIGN(DV26))*POWER(KOslave,SIGN(DX26))*POWER(KKslave,SIGN(DY26))+DX26*POWER(MUslave,SIGN(DR26))*POWER(KLslave,SIGN(DS26))*POWER(INslave,SIGN(DT26))*POWER(CHslave_CH,SIGN(DU26))*POWER(FFslave,SIGN(DV26))*POWER(GEslave,SIGN(DW26))*POWER(KKslave,SIGN(DY26))+DY26*POWER(MUslave,SIGN(DR26))*POWER(KLslave,SIGN(DS26))*POWER(INslave,SIGN(DT26))*POWER(CHslave_CH,SIGN(DU26))*POWER(FFslave,SIGN(DV26))*POWER(GEslave,SIGN(DW26))*POWER(KOslave,SIGN(DX26))</f>
        <v>2432</v>
      </c>
      <c r="ED26" s="233">
        <f>DR26*DS26*CHslave_CH+DR26*KLslave*DU26+MUslave*DS26*DU26</f>
        <v>3408</v>
      </c>
      <c r="EE26" s="221">
        <f t="shared" ref="EE26:EE34" si="170">IFERROR(DR26^SIGN(DR26),1)*IFERROR(DS26^SIGN(DS26),1)*IFERROR(DT26^SIGN(DT26),1)*IFERROR(DU26^SIGN(DU26),1)*IFERROR(DV26^SIGN(DV26),1)*IFERROR(DW26^SIGN(DW26),1)*IFERROR(DX26^SIGN(DX26),1)*IFERROR(DY26^SIGN(DY26),1)</f>
        <v>1584</v>
      </c>
      <c r="EF26" s="78">
        <f>SUM(EC26:EE26)</f>
        <v>7424</v>
      </c>
      <c r="EG26" s="219">
        <f t="shared" ref="EG26:EG34" si="171">DZ26*EC26/EF26</f>
        <v>3.8218390804597702</v>
      </c>
      <c r="EH26" s="220">
        <f t="shared" ref="EH26:EH34" si="172">EA26*ED26/EF26</f>
        <v>10.711206896551724</v>
      </c>
      <c r="EI26" s="241">
        <f t="shared" ref="EI26:EI34" si="173">EB26*EE26/EF26</f>
        <v>7.4676724137931032</v>
      </c>
      <c r="EJ26" s="42">
        <f t="shared" ref="EJ26:EJ34" si="174">SUM(EG26:EI26)</f>
        <v>22.000718390804597</v>
      </c>
      <c r="EK26" s="252">
        <f t="shared" ref="EK26:EK34" si="175">DH26</f>
        <v>0</v>
      </c>
      <c r="EL26" s="309">
        <f t="shared" ref="EL26:EL34" si="176">EJ26-EK26</f>
        <v>22.000718390804597</v>
      </c>
      <c r="EM26" s="42">
        <f t="shared" ref="EM26:EN29" si="177">IF(EJ26&gt;0,EJ26,0)*2+IF(EJ26&gt;12,EJ26-12,0)*2+IF(EJ26&gt;13,EJ26-13,0)*2+IF(EJ26&gt;14,EJ26-14,0)*2+IF(EJ26&gt;15,EJ26-15,0)*2+IF(EJ26&gt;16,EJ26-16,0)*2+IF(EJ26&gt;17,EJ26-17,0)*2+IF(EJ26&gt;18,EJ26-18,0)*2+IF(EJ26&gt;19,EJ26-19,0)*2+IF(EJ26&gt;20,EJ26-20,0)*2</f>
        <v>152.01436781609189</v>
      </c>
      <c r="EN26" s="78">
        <f t="shared" si="177"/>
        <v>0</v>
      </c>
      <c r="EO26" s="241">
        <f t="shared" ref="EO26:EO34" si="178">IF((EM26-EN26)&gt;0,EM26-EN26,0)</f>
        <v>152.01436781609189</v>
      </c>
      <c r="EP26" s="42">
        <f t="shared" ref="EP26:EP34" si="179">IF((EN26-EM26)&gt;0,EN26-EM26,0)</f>
        <v>0</v>
      </c>
      <c r="ER26" s="302" t="s">
        <v>23</v>
      </c>
      <c r="ES26" s="241" t="s">
        <v>84</v>
      </c>
      <c r="ET26" s="42" t="s">
        <v>132</v>
      </c>
      <c r="EU26" s="236">
        <f>Konvention_1slave-MUslave</f>
        <v>12</v>
      </c>
      <c r="EV26" s="233">
        <f>Konvention_1slave-KLslave</f>
        <v>12</v>
      </c>
      <c r="EW26" s="233"/>
      <c r="EX26" s="233">
        <f t="shared" ref="EX26:EX34" si="180">Konvention_1slave-CHslave</f>
        <v>12</v>
      </c>
      <c r="EY26" s="233"/>
      <c r="EZ26" s="233"/>
      <c r="FA26" s="233"/>
      <c r="FB26" s="221"/>
      <c r="FC26" s="219">
        <f>(EU26+EV26+EW26+EX26+EY26+EZ26+FA26+FB26)/3</f>
        <v>12</v>
      </c>
      <c r="FD26" s="220">
        <f t="shared" ref="FD26:FD34" si="181">2*FC26</f>
        <v>24</v>
      </c>
      <c r="FE26" s="221">
        <f t="shared" ref="FE26:FE34" si="182">3*FC26</f>
        <v>36</v>
      </c>
      <c r="FF26" s="236">
        <f>EU26*POWER(KLslave,SIGN(EV26))*POWER(INslave,SIGN(EW26))*POWER(CHslave,SIGN(EX26))*POWER(FFslave_FF,SIGN(EY26))*POWER(GEslave,SIGN(EZ26))*POWER(KOslave,SIGN(FA26))*POWER(KKslave,SIGN(FB26))+EV26*POWER(MUslave,SIGN(EU26))*POWER(INslave,SIGN(EW26))*POWER(CHslave,SIGN(EX26))*POWER(FFslave_FF,SIGN(EY26))*POWER(GEslave,SIGN(EZ26))*POWER(KOslave,SIGN(FA26))*POWER(KKslave,SIGN(FB26))+EW26*POWER(MUslave,SIGN(EU26))*POWER(KLslave,SIGN(EV26))*POWER(CHslave,SIGN(EX26))*POWER(FFslave_FF,SIGN(EY26))*POWER(GEslave,SIGN(EZ26))*POWER(KOslave,SIGN(FA26))*POWER(KKslave,SIGN(FB26))+EX26*POWER(MUslave,SIGN(EU26))*POWER(KLslave,SIGN(EV26))*POWER(INslave,SIGN(EW26))*POWER(FFslave_FF,SIGN(EY26))*POWER(GEslave,SIGN(EZ26))*POWER(KOslave,SIGN(FA26))*POWER(KKslave,SIGN(FB26))+EY26*POWER(MUslave,SIGN(EU26))*POWER(KLslave,SIGN(EV26))*POWER(INslave,SIGN(EW26))*POWER(CHslave,SIGN(EX26))*POWER(GEslave,SIGN(EZ26))*POWER(KOslave,SIGN(FA26))*POWER(KKslave,SIGN(FB26))+EZ26*POWER(MUslave,SIGN(EU26))*POWER(KLslave,SIGN(EV26))*POWER(INslave,SIGN(EW26))*POWER(CHslave,SIGN(EX26))*POWER(FFslave_FF,SIGN(EY26))*POWER(KOslave,SIGN(FA26))*POWER(KKslave,SIGN(FB26))+FA26*POWER(MUslave,SIGN(EU26))*POWER(KLslave,SIGN(EV26))*POWER(INslave,SIGN(EW26))*POWER(CHslave,SIGN(EX26))*POWER(FFslave_FF,SIGN(EY26))*POWER(GEslave,SIGN(EZ26))*POWER(KKslave,SIGN(FB26))+FB26*POWER(MUslave,SIGN(EU26))*POWER(KLslave,SIGN(EV26))*POWER(INslave,SIGN(EW26))*POWER(CHslave,SIGN(EX26))*POWER(FFslave_FF,SIGN(EY26))*POWER(GEslave,SIGN(EZ26))*POWER(KOslave,SIGN(FA26))</f>
        <v>2304</v>
      </c>
      <c r="FG26" s="233">
        <f>EU26*EV26*CHslave+EU26*KLslave*EX26+MUslave*EV26*EX26</f>
        <v>3456</v>
      </c>
      <c r="FH26" s="221">
        <f t="shared" ref="FH26:FH34" si="183">IFERROR(EU26^SIGN(EU26),1)*IFERROR(EV26^SIGN(EV26),1)*IFERROR(EW26^SIGN(EW26),1)*IFERROR(EX26^SIGN(EX26),1)*IFERROR(EY26^SIGN(EY26),1)*IFERROR(EZ26^SIGN(EZ26),1)*IFERROR(FA26^SIGN(FA26),1)*IFERROR(FB26^SIGN(FB26),1)</f>
        <v>1728</v>
      </c>
      <c r="FI26" s="78">
        <f>SUM(FF26:FH26)</f>
        <v>7488</v>
      </c>
      <c r="FJ26" s="219">
        <f t="shared" ref="FJ26:FJ34" si="184">FC26*FF26/FI26</f>
        <v>3.6923076923076925</v>
      </c>
      <c r="FK26" s="220">
        <f t="shared" ref="FK26:FK34" si="185">FD26*FG26/FI26</f>
        <v>11.076923076923077</v>
      </c>
      <c r="FL26" s="241">
        <f t="shared" ref="FL26:FL34" si="186">FE26*FH26/FI26</f>
        <v>8.3076923076923084</v>
      </c>
      <c r="FM26" s="42">
        <f t="shared" ref="FM26:FM34" si="187">SUM(FJ26:FL26)</f>
        <v>23.07692307692308</v>
      </c>
      <c r="FN26" s="252">
        <f t="shared" ref="FN26:FN34" si="188">EK26</f>
        <v>0</v>
      </c>
      <c r="FO26" s="309">
        <f t="shared" ref="FO26:FO34" si="189">FM26-FN26</f>
        <v>23.07692307692308</v>
      </c>
      <c r="FP26" s="42">
        <f t="shared" ref="FP26:FQ29" si="190">IF(FM26&gt;0,FM26,0)*2+IF(FM26&gt;12,FM26-12,0)*2+IF(FM26&gt;13,FM26-13,0)*2+IF(FM26&gt;14,FM26-14,0)*2+IF(FM26&gt;15,FM26-15,0)*2+IF(FM26&gt;16,FM26-16,0)*2+IF(FM26&gt;17,FM26-17,0)*2+IF(FM26&gt;18,FM26-18,0)*2+IF(FM26&gt;19,FM26-19,0)*2+IF(FM26&gt;20,FM26-20,0)*2</f>
        <v>173.5384615384616</v>
      </c>
      <c r="FQ26" s="78">
        <f t="shared" si="190"/>
        <v>0</v>
      </c>
      <c r="FR26" s="241">
        <f t="shared" ref="FR26:FR34" si="191">IF((FP26-FQ26)&gt;0,FP26-FQ26,0)</f>
        <v>173.5384615384616</v>
      </c>
      <c r="FS26" s="42">
        <f t="shared" ref="FS26:FS34" si="192">IF((FQ26-FP26)&gt;0,FQ26-FP26,0)</f>
        <v>0</v>
      </c>
      <c r="FU26" s="302" t="s">
        <v>23</v>
      </c>
      <c r="FV26" s="241" t="s">
        <v>84</v>
      </c>
      <c r="FW26" s="42" t="s">
        <v>132</v>
      </c>
      <c r="FX26" s="236">
        <f>Konvention_1slave-MUslave</f>
        <v>12</v>
      </c>
      <c r="FY26" s="233">
        <f>Konvention_1slave-KLslave</f>
        <v>12</v>
      </c>
      <c r="FZ26" s="233"/>
      <c r="GA26" s="233">
        <f t="shared" ref="GA26:GA34" si="193">Konvention_1slave-CHslave</f>
        <v>12</v>
      </c>
      <c r="GB26" s="233"/>
      <c r="GC26" s="233"/>
      <c r="GD26" s="233"/>
      <c r="GE26" s="221"/>
      <c r="GF26" s="219">
        <f>(FX26+FY26+FZ26+GA26+GB26+GC26+GD26+GE26)/3</f>
        <v>12</v>
      </c>
      <c r="GG26" s="220">
        <f t="shared" ref="GG26:GG34" si="194">2*GF26</f>
        <v>24</v>
      </c>
      <c r="GH26" s="221">
        <f t="shared" ref="GH26:GH34" si="195">3*GF26</f>
        <v>36</v>
      </c>
      <c r="GI26" s="236">
        <f>FX26*POWER(KLslave,SIGN(FY26))*POWER(INslave,SIGN(FZ26))*POWER(CHslave,SIGN(GA26))*POWER(FFslave,SIGN(GB26))*POWER(GEslave_GE,SIGN(GC26))*POWER(KOslave,SIGN(GD26))*POWER(KKslave,SIGN(GE26))+FY26*POWER(MUslave,SIGN(FX26))*POWER(INslave,SIGN(FZ26))*POWER(CHslave,SIGN(GA26))*POWER(FFslave,SIGN(GB26))*POWER(GEslave_GE,SIGN(GC26))*POWER(KOslave,SIGN(GD26))*POWER(KKslave,SIGN(GE26))+FZ26*POWER(MUslave,SIGN(FX26))*POWER(KLslave,SIGN(FY26))*POWER(CHslave,SIGN(GA26))*POWER(FFslave,SIGN(GB26))*POWER(GEslave_GE,SIGN(GC26))*POWER(KOslave,SIGN(GD26))*POWER(KKslave,SIGN(GE26))+GA26*POWER(MUslave,SIGN(FX26))*POWER(KLslave,SIGN(FY26))*POWER(INslave,SIGN(FZ26))*POWER(FFslave,SIGN(GB26))*POWER(GEslave_GE,SIGN(GC26))*POWER(KOslave,SIGN(GD26))*POWER(KKslave,SIGN(GE26))+GB26*POWER(MUslave,SIGN(FX26))*POWER(KLslave,SIGN(FY26))*POWER(INslave,SIGN(FZ26))*POWER(CHslave,SIGN(GA26))*POWER(GEslave_GE,SIGN(GC26))*POWER(KOslave,SIGN(GD26))*POWER(KKslave,SIGN(GE26))+GC26*POWER(MUslave,SIGN(FX26))*POWER(KLslave,SIGN(FY26))*POWER(INslave,SIGN(FZ26))*POWER(CHslave,SIGN(GA26))*POWER(FFslave,SIGN(GB26))*POWER(KOslave,SIGN(GD26))*POWER(KKslave,SIGN(GE26))+GD26*POWER(MUslave,SIGN(FX26))*POWER(KLslave,SIGN(FY26))*POWER(INslave,SIGN(FZ26))*POWER(CHslave,SIGN(GA26))*POWER(FFslave,SIGN(GB26))*POWER(GEslave_GE,SIGN(GC26))*POWER(KKslave,SIGN(GE26))+GE26*POWER(MUslave,SIGN(FX26))*POWER(KLslave,SIGN(FY26))*POWER(INslave,SIGN(FZ26))*POWER(CHslave,SIGN(GA26))*POWER(FFslave,SIGN(GB26))*POWER(GEslave_GE,SIGN(GC26))*POWER(KOslave,SIGN(GD26))</f>
        <v>2304</v>
      </c>
      <c r="GJ26" s="233">
        <f>FX26*FY26*CHslave+FX26*KLslave*GA26+MUslave*FY26*GA26</f>
        <v>3456</v>
      </c>
      <c r="GK26" s="221">
        <f t="shared" ref="GK26:GK34" si="196">IFERROR(FX26^SIGN(FX26),1)*IFERROR(FY26^SIGN(FY26),1)*IFERROR(FZ26^SIGN(FZ26),1)*IFERROR(GA26^SIGN(GA26),1)*IFERROR(GB26^SIGN(GB26),1)*IFERROR(GC26^SIGN(GC26),1)*IFERROR(GD26^SIGN(GD26),1)*IFERROR(GE26^SIGN(GE26),1)</f>
        <v>1728</v>
      </c>
      <c r="GL26" s="78">
        <f>SUM(GI26:GK26)</f>
        <v>7488</v>
      </c>
      <c r="GM26" s="219">
        <f t="shared" ref="GM26:GM34" si="197">GF26*GI26/GL26</f>
        <v>3.6923076923076925</v>
      </c>
      <c r="GN26" s="220">
        <f t="shared" ref="GN26:GN34" si="198">GG26*GJ26/GL26</f>
        <v>11.076923076923077</v>
      </c>
      <c r="GO26" s="241">
        <f t="shared" ref="GO26:GO34" si="199">GH26*GK26/GL26</f>
        <v>8.3076923076923084</v>
      </c>
      <c r="GP26" s="42">
        <f t="shared" ref="GP26:GP34" si="200">SUM(GM26:GO26)</f>
        <v>23.07692307692308</v>
      </c>
      <c r="GQ26" s="252">
        <f t="shared" ref="GQ26:GQ34" si="201">FN26</f>
        <v>0</v>
      </c>
      <c r="GR26" s="309">
        <f t="shared" ref="GR26:GR34" si="202">GP26-GQ26</f>
        <v>23.07692307692308</v>
      </c>
      <c r="GS26" s="42">
        <f t="shared" ref="GS26:GT29" si="203">IF(GP26&gt;0,GP26,0)*2+IF(GP26&gt;12,GP26-12,0)*2+IF(GP26&gt;13,GP26-13,0)*2+IF(GP26&gt;14,GP26-14,0)*2+IF(GP26&gt;15,GP26-15,0)*2+IF(GP26&gt;16,GP26-16,0)*2+IF(GP26&gt;17,GP26-17,0)*2+IF(GP26&gt;18,GP26-18,0)*2+IF(GP26&gt;19,GP26-19,0)*2+IF(GP26&gt;20,GP26-20,0)*2</f>
        <v>173.5384615384616</v>
      </c>
      <c r="GT26" s="78">
        <f t="shared" si="203"/>
        <v>0</v>
      </c>
      <c r="GU26" s="241">
        <f t="shared" ref="GU26:GU34" si="204">IF((GS26-GT26)&gt;0,GS26-GT26,0)</f>
        <v>173.5384615384616</v>
      </c>
      <c r="GV26" s="42">
        <f t="shared" ref="GV26:GV34" si="205">IF((GT26-GS26)&gt;0,GT26-GS26,0)</f>
        <v>0</v>
      </c>
      <c r="GX26" s="302" t="s">
        <v>23</v>
      </c>
      <c r="GY26" s="241" t="s">
        <v>84</v>
      </c>
      <c r="GZ26" s="42" t="s">
        <v>132</v>
      </c>
      <c r="HA26" s="236">
        <f>Konvention_1slave-MUslave</f>
        <v>12</v>
      </c>
      <c r="HB26" s="233">
        <f>Konvention_1slave-KLslave</f>
        <v>12</v>
      </c>
      <c r="HC26" s="233"/>
      <c r="HD26" s="233">
        <f t="shared" ref="HD26:HD34" si="206">Konvention_1slave-CHslave</f>
        <v>12</v>
      </c>
      <c r="HE26" s="233"/>
      <c r="HF26" s="233"/>
      <c r="HG26" s="233"/>
      <c r="HH26" s="221"/>
      <c r="HI26" s="219">
        <f>(HA26+HB26+HC26+HD26+HE26+HF26+HG26+HH26)/3</f>
        <v>12</v>
      </c>
      <c r="HJ26" s="220">
        <f t="shared" ref="HJ26:HJ34" si="207">2*HI26</f>
        <v>24</v>
      </c>
      <c r="HK26" s="221">
        <f t="shared" ref="HK26:HK34" si="208">3*HI26</f>
        <v>36</v>
      </c>
      <c r="HL26" s="236">
        <f>HA26*POWER(KLslave,SIGN(HB26))*POWER(INslave,SIGN(HC26))*POWER(CHslave,SIGN(HD26))*POWER(FFslave,SIGN(HE26))*POWER(GEslave,SIGN(HF26))*POWER(KOslave_KO,SIGN(HG26))*POWER(KKslave,SIGN(HH26))+HB26*POWER(MUslave,SIGN(HA26))*POWER(INslave,SIGN(HC26))*POWER(CHslave,SIGN(HD26))*POWER(FFslave,SIGN(HE26))*POWER(GEslave,SIGN(HF26))*POWER(KOslave_KO,SIGN(HG26))*POWER(KKslave,SIGN(HH26))+HC26*POWER(MUslave,SIGN(HA26))*POWER(KLslave,SIGN(HB26))*POWER(CHslave,SIGN(HD26))*POWER(FFslave,SIGN(HE26))*POWER(GEslave,SIGN(HF26))*POWER(KOslave_KO,SIGN(HG26))*POWER(KKslave,SIGN(HH26))+HD26*POWER(MUslave,SIGN(HA26))*POWER(KLslave,SIGN(HB26))*POWER(INslave,SIGN(HC26))*POWER(FFslave,SIGN(HE26))*POWER(GEslave,SIGN(HF26))*POWER(KOslave_KO,SIGN(HG26))*POWER(KKslave,SIGN(HH26))+HE26*POWER(MUslave,SIGN(HA26))*POWER(KLslave,SIGN(HB26))*POWER(INslave,SIGN(HC26))*POWER(CHslave,SIGN(HD26))*POWER(GEslave,SIGN(HF26))*POWER(KOslave_KO,SIGN(HG26))*POWER(KKslave,SIGN(HH26))+HF26*POWER(MUslave,SIGN(HA26))*POWER(KLslave,SIGN(HB26))*POWER(INslave,SIGN(HC26))*POWER(CHslave,SIGN(HD26))*POWER(FFslave,SIGN(HE26))*POWER(KOslave_KO,SIGN(HG26))*POWER(KKslave,SIGN(HH26))+HG26*POWER(MUslave,SIGN(HA26))*POWER(KLslave,SIGN(HB26))*POWER(INslave,SIGN(HC26))*POWER(CHslave,SIGN(HD26))*POWER(FFslave,SIGN(HE26))*POWER(GEslave,SIGN(HF26))*POWER(KKslave,SIGN(HH26))+HH26*POWER(MUslave,SIGN(HA26))*POWER(KLslave,SIGN(HB26))*POWER(INslave,SIGN(HC26))*POWER(CHslave,SIGN(HD26))*POWER(FFslave,SIGN(HE26))*POWER(GEslave,SIGN(HF26))*POWER(KOslave_KO,SIGN(HG26))</f>
        <v>2304</v>
      </c>
      <c r="HM26" s="233">
        <f>HA26*HB26*CHslave+HA26*KLslave*HD26+MUslave*HB26*HD26</f>
        <v>3456</v>
      </c>
      <c r="HN26" s="221">
        <f t="shared" ref="HN26:HN34" si="209">IFERROR(HA26^SIGN(HA26),1)*IFERROR(HB26^SIGN(HB26),1)*IFERROR(HC26^SIGN(HC26),1)*IFERROR(HD26^SIGN(HD26),1)*IFERROR(HE26^SIGN(HE26),1)*IFERROR(HF26^SIGN(HF26),1)*IFERROR(HG26^SIGN(HG26),1)*IFERROR(HH26^SIGN(HH26),1)</f>
        <v>1728</v>
      </c>
      <c r="HO26" s="78">
        <f>SUM(HL26:HN26)</f>
        <v>7488</v>
      </c>
      <c r="HP26" s="219">
        <f t="shared" ref="HP26:HP34" si="210">HI26*HL26/HO26</f>
        <v>3.6923076923076925</v>
      </c>
      <c r="HQ26" s="220">
        <f t="shared" ref="HQ26:HQ34" si="211">HJ26*HM26/HO26</f>
        <v>11.076923076923077</v>
      </c>
      <c r="HR26" s="241">
        <f t="shared" ref="HR26:HR34" si="212">HK26*HN26/HO26</f>
        <v>8.3076923076923084</v>
      </c>
      <c r="HS26" s="42">
        <f t="shared" ref="HS26:HS34" si="213">SUM(HP26:HR26)</f>
        <v>23.07692307692308</v>
      </c>
      <c r="HT26" s="252">
        <f t="shared" ref="HT26:HT34" si="214">GQ26</f>
        <v>0</v>
      </c>
      <c r="HU26" s="309">
        <f t="shared" ref="HU26:HU34" si="215">HS26-HT26</f>
        <v>23.07692307692308</v>
      </c>
      <c r="HV26" s="42">
        <f t="shared" ref="HV26:HW29" si="216">IF(HS26&gt;0,HS26,0)*2+IF(HS26&gt;12,HS26-12,0)*2+IF(HS26&gt;13,HS26-13,0)*2+IF(HS26&gt;14,HS26-14,0)*2+IF(HS26&gt;15,HS26-15,0)*2+IF(HS26&gt;16,HS26-16,0)*2+IF(HS26&gt;17,HS26-17,0)*2+IF(HS26&gt;18,HS26-18,0)*2+IF(HS26&gt;19,HS26-19,0)*2+IF(HS26&gt;20,HS26-20,0)*2</f>
        <v>173.5384615384616</v>
      </c>
      <c r="HW26" s="78">
        <f t="shared" si="216"/>
        <v>0</v>
      </c>
      <c r="HX26" s="241">
        <f t="shared" ref="HX26:HX34" si="217">IF((HV26-HW26)&gt;0,HV26-HW26,0)</f>
        <v>173.5384615384616</v>
      </c>
      <c r="HY26" s="42">
        <f t="shared" ref="HY26:HY34" si="218">IF((HW26-HV26)&gt;0,HW26-HV26,0)</f>
        <v>0</v>
      </c>
      <c r="IA26" s="302" t="s">
        <v>23</v>
      </c>
      <c r="IB26" s="241" t="s">
        <v>84</v>
      </c>
      <c r="IC26" s="42" t="s">
        <v>132</v>
      </c>
      <c r="ID26" s="236">
        <f>Konvention_1slave-MUslave</f>
        <v>12</v>
      </c>
      <c r="IE26" s="233">
        <f>Konvention_1slave-KLslave</f>
        <v>12</v>
      </c>
      <c r="IF26" s="233"/>
      <c r="IG26" s="233">
        <f t="shared" ref="IG26:IG34" si="219">Konvention_1slave-CHslave</f>
        <v>12</v>
      </c>
      <c r="IH26" s="233"/>
      <c r="II26" s="233"/>
      <c r="IJ26" s="233"/>
      <c r="IK26" s="221"/>
      <c r="IL26" s="219">
        <f>(ID26+IE26+IF26+IG26+IH26+II26+IJ26+IK26)/3</f>
        <v>12</v>
      </c>
      <c r="IM26" s="220">
        <f t="shared" ref="IM26:IM34" si="220">2*IL26</f>
        <v>24</v>
      </c>
      <c r="IN26" s="221">
        <f t="shared" ref="IN26:IN34" si="221">3*IL26</f>
        <v>36</v>
      </c>
      <c r="IO26" s="236">
        <f>ID26*POWER(KLslave,SIGN(IE26))*POWER(INslave,SIGN(IF26))*POWER(CHslave,SIGN(IG26))*POWER(FFslave,SIGN(IH26))*POWER(GEslave,SIGN(II26))*POWER(KOslave,SIGN(IJ26))*POWER(KKslave_KK,SIGN(IK26))+IE26*POWER(MUslave,SIGN(ID26))*POWER(INslave,SIGN(IF26))*POWER(CHslave,SIGN(IG26))*POWER(FFslave,SIGN(IH26))*POWER(GEslave,SIGN(II26))*POWER(KOslave,SIGN(IJ26))*POWER(KKslave_KK,SIGN(IK26))+IF26*POWER(MUslave,SIGN(ID26))*POWER(KLslave,SIGN(IE26))*POWER(CHslave,SIGN(IG26))*POWER(FFslave,SIGN(IH26))*POWER(GEslave,SIGN(II26))*POWER(KOslave,SIGN(IJ26))*POWER(KKslave_KK,SIGN(IK26))+IG26*POWER(MUslave,SIGN(ID26))*POWER(KLslave,SIGN(IE26))*POWER(INslave,SIGN(IF26))*POWER(FFslave,SIGN(IH26))*POWER(GEslave,SIGN(II26))*POWER(KOslave,SIGN(IJ26))*POWER(KKslave_KK,SIGN(IK26))+IH26*POWER(MUslave,SIGN(ID26))*POWER(KLslave,SIGN(IE26))*POWER(INslave,SIGN(IF26))*POWER(CHslave,SIGN(IG26))*POWER(GEslave,SIGN(II26))*POWER(KOslave,SIGN(IJ26))*POWER(KKslave_KK,SIGN(IK26))+II26*POWER(MUslave,SIGN(ID26))*POWER(KLslave,SIGN(IE26))*POWER(INslave,SIGN(IF26))*POWER(CHslave,SIGN(IG26))*POWER(FFslave,SIGN(IH26))*POWER(KOslave,SIGN(IJ26))*POWER(KKslave_KK,SIGN(IK26))+IJ26*POWER(MUslave,SIGN(ID26))*POWER(KLslave,SIGN(IE26))*POWER(INslave,SIGN(IF26))*POWER(CHslave,SIGN(IG26))*POWER(FFslave,SIGN(IH26))*POWER(GEslave,SIGN(II26))*POWER(KKslave_KK,SIGN(IK26))+IK26*POWER(MUslave,SIGN(ID26))*POWER(KLslave,SIGN(IE26))*POWER(INslave,SIGN(IF26))*POWER(CHslave,SIGN(IG26))*POWER(FFslave,SIGN(IH26))*POWER(GEslave,SIGN(II26))*POWER(KOslave,SIGN(IJ26))</f>
        <v>2304</v>
      </c>
      <c r="IP26" s="233">
        <f>ID26*IE26*CHslave+ID26*KLslave*IG26+MUslave*IE26*IG26</f>
        <v>3456</v>
      </c>
      <c r="IQ26" s="221">
        <f t="shared" ref="IQ26:IQ34" si="222">IFERROR(ID26^SIGN(ID26),1)*IFERROR(IE26^SIGN(IE26),1)*IFERROR(IF26^SIGN(IF26),1)*IFERROR(IG26^SIGN(IG26),1)*IFERROR(IH26^SIGN(IH26),1)*IFERROR(II26^SIGN(II26),1)*IFERROR(IJ26^SIGN(IJ26),1)*IFERROR(IK26^SIGN(IK26),1)</f>
        <v>1728</v>
      </c>
      <c r="IR26" s="78">
        <f>SUM(IO26:IQ26)</f>
        <v>7488</v>
      </c>
      <c r="IS26" s="219">
        <f t="shared" ref="IS26:IS34" si="223">IL26*IO26/IR26</f>
        <v>3.6923076923076925</v>
      </c>
      <c r="IT26" s="220">
        <f t="shared" ref="IT26:IT34" si="224">IM26*IP26/IR26</f>
        <v>11.076923076923077</v>
      </c>
      <c r="IU26" s="241">
        <f t="shared" ref="IU26:IU34" si="225">IN26*IQ26/IR26</f>
        <v>8.3076923076923084</v>
      </c>
      <c r="IV26" s="42">
        <f t="shared" ref="IV26:IV34" si="226">SUM(IS26:IU26)</f>
        <v>23.07692307692308</v>
      </c>
      <c r="IW26" s="252">
        <f t="shared" ref="IW26:IW34" si="227">HT26</f>
        <v>0</v>
      </c>
      <c r="IX26" s="309">
        <f t="shared" ref="IX26:IX34" si="228">IV26-IW26</f>
        <v>23.07692307692308</v>
      </c>
      <c r="IY26" s="42">
        <f t="shared" ref="IY26:IZ29" si="229">IF(IV26&gt;0,IV26,0)*2+IF(IV26&gt;12,IV26-12,0)*2+IF(IV26&gt;13,IV26-13,0)*2+IF(IV26&gt;14,IV26-14,0)*2+IF(IV26&gt;15,IV26-15,0)*2+IF(IV26&gt;16,IV26-16,0)*2+IF(IV26&gt;17,IV26-17,0)*2+IF(IV26&gt;18,IV26-18,0)*2+IF(IV26&gt;19,IV26-19,0)*2+IF(IV26&gt;20,IV26-20,0)*2</f>
        <v>173.5384615384616</v>
      </c>
      <c r="IZ26" s="78">
        <f t="shared" si="229"/>
        <v>0</v>
      </c>
      <c r="JA26" s="241">
        <f t="shared" ref="JA26:JA34" si="230">IF((IY26-IZ26)&gt;0,IY26-IZ26,0)</f>
        <v>173.5384615384616</v>
      </c>
      <c r="JB26" s="42">
        <f t="shared" ref="JB26:JB34" si="231">IF((IZ26-IY26)&gt;0,IZ26-IY26,0)</f>
        <v>0</v>
      </c>
      <c r="JE26" s="148"/>
    </row>
    <row r="27" spans="2:265" hidden="1" outlineLevel="2">
      <c r="B27" s="148">
        <v>2</v>
      </c>
      <c r="C27" s="303" t="e">
        <f>VLOOKUP(AF27,Attribute!C:T,1,FALSE)</f>
        <v>#N/A</v>
      </c>
      <c r="D27" s="127" t="s">
        <v>85</v>
      </c>
      <c r="E27" s="125" t="s">
        <v>132</v>
      </c>
      <c r="F27" s="114">
        <f>Konvention_1master-MUmaster</f>
        <v>12</v>
      </c>
      <c r="G27" s="113"/>
      <c r="H27" s="113"/>
      <c r="I27" s="113">
        <f t="shared" si="116"/>
        <v>12</v>
      </c>
      <c r="J27" s="113"/>
      <c r="K27" s="113"/>
      <c r="L27" s="113"/>
      <c r="M27" s="119"/>
      <c r="N27" s="222">
        <f>(F27+I27+I27)/3</f>
        <v>12</v>
      </c>
      <c r="O27" s="223">
        <f t="shared" si="117"/>
        <v>24</v>
      </c>
      <c r="P27" s="224">
        <f t="shared" si="118"/>
        <v>36</v>
      </c>
      <c r="Q27" s="237">
        <f>I27*POWER(MUmaster,SIGN(F27))*POWER(CHmaster,SIGN(I27))+I27*POWER(MUmaster,SIGN(F27))*POWER(CHmaster,SIGN(I27))+F27*POWER(CHmaster,SIGN(I27))*POWER(CHmaster,SIGN(I27))</f>
        <v>2304</v>
      </c>
      <c r="R27" s="113">
        <f>F27*I27*CHmaster+F27*CHmaster*I27+MUmaster*I27*I27</f>
        <v>3456</v>
      </c>
      <c r="S27" s="224">
        <f>F27*I27*I27</f>
        <v>1728</v>
      </c>
      <c r="T27" s="242">
        <f t="shared" ref="T27:T33" si="232">SUM(Q27:S27)</f>
        <v>7488</v>
      </c>
      <c r="U27" s="222">
        <f t="shared" si="120"/>
        <v>3.6923076923076925</v>
      </c>
      <c r="V27" s="223">
        <f t="shared" si="121"/>
        <v>11.076923076923077</v>
      </c>
      <c r="W27" s="243">
        <f t="shared" si="122"/>
        <v>8.3076923076923084</v>
      </c>
      <c r="X27" s="218">
        <f t="shared" si="123"/>
        <v>23.07692307692308</v>
      </c>
      <c r="Y27" s="252">
        <v>0</v>
      </c>
      <c r="Z27" s="198">
        <f t="shared" si="124"/>
        <v>23.07692307692308</v>
      </c>
      <c r="AA27" s="125">
        <f t="shared" si="125"/>
        <v>173.5384615384616</v>
      </c>
      <c r="AB27" s="160">
        <f t="shared" si="125"/>
        <v>0</v>
      </c>
      <c r="AC27" s="127">
        <f t="shared" si="126"/>
        <v>173.5384615384616</v>
      </c>
      <c r="AD27" s="125">
        <f t="shared" si="127"/>
        <v>0</v>
      </c>
      <c r="AF27" s="163" t="s">
        <v>24</v>
      </c>
      <c r="AG27" s="127" t="s">
        <v>85</v>
      </c>
      <c r="AH27" s="125" t="s">
        <v>132</v>
      </c>
      <c r="AI27" s="114">
        <f>Konvention_1slave-MUslave_MU</f>
        <v>11</v>
      </c>
      <c r="AJ27" s="113"/>
      <c r="AK27" s="113"/>
      <c r="AL27" s="113">
        <f t="shared" si="128"/>
        <v>12</v>
      </c>
      <c r="AM27" s="113"/>
      <c r="AN27" s="113"/>
      <c r="AO27" s="113"/>
      <c r="AP27" s="119"/>
      <c r="AQ27" s="89">
        <f>(AI27+AL27+AL27)/3</f>
        <v>11.666666666666666</v>
      </c>
      <c r="AR27" s="47">
        <f t="shared" si="129"/>
        <v>23.333333333333332</v>
      </c>
      <c r="AS27" s="119">
        <f t="shared" si="130"/>
        <v>35</v>
      </c>
      <c r="AT27" s="114">
        <f>AL27*POWER(MUslave_MU,SIGN(AI27))*POWER(CHslave,SIGN(AL27))+AL27*POWER(MUslave_MU,SIGN(AI27))*POWER(CHslave,SIGN(AL27))+AI27*POWER(CHslave,SIGN(AL27))*POWER(CHslave,SIGN(AL27))</f>
        <v>2432</v>
      </c>
      <c r="AU27" s="113">
        <f>AI27*AL27*CHslave+AI27*CHslave*AL27+MUslave_MU*AL27*AL27</f>
        <v>3408</v>
      </c>
      <c r="AV27" s="119">
        <f>AI27*AL27*AL27</f>
        <v>1584</v>
      </c>
      <c r="AW27" s="160">
        <f t="shared" ref="AW27:AW33" si="233">SUM(AT27:AV27)</f>
        <v>7424</v>
      </c>
      <c r="AX27" s="89">
        <f t="shared" si="132"/>
        <v>3.8218390804597702</v>
      </c>
      <c r="AY27" s="47">
        <f t="shared" si="133"/>
        <v>10.711206896551724</v>
      </c>
      <c r="AZ27" s="127">
        <f t="shared" si="134"/>
        <v>7.4676724137931032</v>
      </c>
      <c r="BA27" s="125">
        <f t="shared" si="135"/>
        <v>22.000718390804597</v>
      </c>
      <c r="BB27" s="165">
        <f t="shared" si="136"/>
        <v>0</v>
      </c>
      <c r="BC27" s="198">
        <f t="shared" si="137"/>
        <v>22.000718390804597</v>
      </c>
      <c r="BD27" s="125">
        <f t="shared" si="138"/>
        <v>152.01436781609189</v>
      </c>
      <c r="BE27" s="160">
        <f t="shared" si="138"/>
        <v>0</v>
      </c>
      <c r="BF27" s="243">
        <f t="shared" si="139"/>
        <v>152.01436781609189</v>
      </c>
      <c r="BG27" s="218">
        <f t="shared" si="140"/>
        <v>0</v>
      </c>
      <c r="BI27" s="303" t="s">
        <v>24</v>
      </c>
      <c r="BJ27" s="243" t="s">
        <v>85</v>
      </c>
      <c r="BK27" s="218" t="s">
        <v>132</v>
      </c>
      <c r="BL27" s="237">
        <f>Konvention_1slave-MUslave</f>
        <v>12</v>
      </c>
      <c r="BM27" s="234"/>
      <c r="BN27" s="234"/>
      <c r="BO27" s="234">
        <f t="shared" si="141"/>
        <v>12</v>
      </c>
      <c r="BP27" s="234"/>
      <c r="BQ27" s="234"/>
      <c r="BR27" s="234"/>
      <c r="BS27" s="224"/>
      <c r="BT27" s="222">
        <f>(BL27+BO27+BO27)/3</f>
        <v>12</v>
      </c>
      <c r="BU27" s="223">
        <f t="shared" si="142"/>
        <v>24</v>
      </c>
      <c r="BV27" s="224">
        <f t="shared" si="143"/>
        <v>36</v>
      </c>
      <c r="BW27" s="237">
        <f>BO27*POWER(MUslave,SIGN(BL27))*POWER(CHslave,SIGN(BO27))+BO27*POWER(MUslave,SIGN(BL27))*POWER(CHslave,SIGN(BO27))+BL27*POWER(CHslave,SIGN(BO27))*POWER(CHslave,SIGN(BO27))</f>
        <v>2304</v>
      </c>
      <c r="BX27" s="234">
        <f>BL27*BO27*CHslave+BL27*CHslave*BO27+MUslave*BO27*BO27</f>
        <v>3456</v>
      </c>
      <c r="BY27" s="224">
        <f>BL27*BO27*BO27</f>
        <v>1728</v>
      </c>
      <c r="BZ27" s="242">
        <f t="shared" ref="BZ27:BZ33" si="234">SUM(BW27:BY27)</f>
        <v>7488</v>
      </c>
      <c r="CA27" s="222">
        <f t="shared" si="145"/>
        <v>3.6923076923076925</v>
      </c>
      <c r="CB27" s="223">
        <f t="shared" si="146"/>
        <v>11.076923076923077</v>
      </c>
      <c r="CC27" s="243">
        <f t="shared" si="147"/>
        <v>8.3076923076923084</v>
      </c>
      <c r="CD27" s="218">
        <f t="shared" si="148"/>
        <v>23.07692307692308</v>
      </c>
      <c r="CE27" s="252">
        <f t="shared" si="149"/>
        <v>0</v>
      </c>
      <c r="CF27" s="309">
        <f t="shared" si="150"/>
        <v>23.07692307692308</v>
      </c>
      <c r="CG27" s="218">
        <f t="shared" si="151"/>
        <v>173.5384615384616</v>
      </c>
      <c r="CH27" s="242">
        <f t="shared" si="151"/>
        <v>0</v>
      </c>
      <c r="CI27" s="243">
        <f t="shared" si="152"/>
        <v>173.5384615384616</v>
      </c>
      <c r="CJ27" s="218">
        <f t="shared" si="153"/>
        <v>0</v>
      </c>
      <c r="CL27" s="303" t="s">
        <v>24</v>
      </c>
      <c r="CM27" s="243" t="s">
        <v>85</v>
      </c>
      <c r="CN27" s="218" t="s">
        <v>132</v>
      </c>
      <c r="CO27" s="237">
        <f>Konvention_1slave-MUslave</f>
        <v>12</v>
      </c>
      <c r="CP27" s="234"/>
      <c r="CQ27" s="234"/>
      <c r="CR27" s="234">
        <f t="shared" si="154"/>
        <v>12</v>
      </c>
      <c r="CS27" s="234"/>
      <c r="CT27" s="234"/>
      <c r="CU27" s="234"/>
      <c r="CV27" s="224"/>
      <c r="CW27" s="222">
        <f>(CO27+CR27+CR27)/3</f>
        <v>12</v>
      </c>
      <c r="CX27" s="223">
        <f t="shared" si="155"/>
        <v>24</v>
      </c>
      <c r="CY27" s="224">
        <f t="shared" si="156"/>
        <v>36</v>
      </c>
      <c r="CZ27" s="237">
        <f>CR27*POWER(MUslave,SIGN(CO27))*POWER(CHslave,SIGN(CR27))+CR27*POWER(MUslave,SIGN(CO27))*POWER(CHslave,SIGN(CR27))+CO27*POWER(CHslave,SIGN(CR27))*POWER(CHslave,SIGN(CR27))</f>
        <v>2304</v>
      </c>
      <c r="DA27" s="234">
        <f>CO27*CR27*CHslave+CO27*CHslave*CR27+MUslave*CR27*CR27</f>
        <v>3456</v>
      </c>
      <c r="DB27" s="224">
        <f>CO27*CR27*CR27</f>
        <v>1728</v>
      </c>
      <c r="DC27" s="242">
        <f t="shared" ref="DC27:DC33" si="235">SUM(CZ27:DB27)</f>
        <v>7488</v>
      </c>
      <c r="DD27" s="222">
        <f t="shared" si="158"/>
        <v>3.6923076923076925</v>
      </c>
      <c r="DE27" s="223">
        <f t="shared" si="159"/>
        <v>11.076923076923077</v>
      </c>
      <c r="DF27" s="243">
        <f t="shared" si="160"/>
        <v>8.3076923076923084</v>
      </c>
      <c r="DG27" s="218">
        <f t="shared" si="161"/>
        <v>23.07692307692308</v>
      </c>
      <c r="DH27" s="252">
        <f t="shared" si="162"/>
        <v>0</v>
      </c>
      <c r="DI27" s="309">
        <f t="shared" si="163"/>
        <v>23.07692307692308</v>
      </c>
      <c r="DJ27" s="218">
        <f t="shared" si="164"/>
        <v>173.5384615384616</v>
      </c>
      <c r="DK27" s="242">
        <f t="shared" si="164"/>
        <v>0</v>
      </c>
      <c r="DL27" s="243">
        <f t="shared" si="165"/>
        <v>173.5384615384616</v>
      </c>
      <c r="DM27" s="218">
        <f t="shared" si="166"/>
        <v>0</v>
      </c>
      <c r="DO27" s="303" t="s">
        <v>24</v>
      </c>
      <c r="DP27" s="243" t="s">
        <v>85</v>
      </c>
      <c r="DQ27" s="218" t="s">
        <v>132</v>
      </c>
      <c r="DR27" s="237">
        <f>Konvention_1slave-MUslave</f>
        <v>12</v>
      </c>
      <c r="DS27" s="234"/>
      <c r="DT27" s="234"/>
      <c r="DU27" s="234">
        <f t="shared" si="167"/>
        <v>11</v>
      </c>
      <c r="DV27" s="234"/>
      <c r="DW27" s="234"/>
      <c r="DX27" s="234"/>
      <c r="DY27" s="224"/>
      <c r="DZ27" s="222">
        <f>(DR27+DU27+DU27)/3</f>
        <v>11.333333333333334</v>
      </c>
      <c r="EA27" s="223">
        <f t="shared" si="168"/>
        <v>22.666666666666668</v>
      </c>
      <c r="EB27" s="224">
        <f t="shared" si="169"/>
        <v>34</v>
      </c>
      <c r="EC27" s="237">
        <f>DU27*POWER(MUslave,SIGN(DR27))*POWER(CHslave_CH,SIGN(DU27))+DU27*POWER(MUslave,SIGN(DR27))*POWER(CHslave_CH,SIGN(DU27))+DR27*POWER(CHslave_CH,SIGN(DU27))*POWER(CHslave_CH,SIGN(DU27))</f>
        <v>2556</v>
      </c>
      <c r="ED27" s="234">
        <f>DR27*DU27*CHslave_CH+DR27*CHslave_CH*DU27+MUslave*DU27*DU27</f>
        <v>3344</v>
      </c>
      <c r="EE27" s="224">
        <f>DR27*DU27*DU27</f>
        <v>1452</v>
      </c>
      <c r="EF27" s="242">
        <f t="shared" ref="EF27:EF33" si="236">SUM(EC27:EE27)</f>
        <v>7352</v>
      </c>
      <c r="EG27" s="222">
        <f t="shared" si="171"/>
        <v>3.940152339499456</v>
      </c>
      <c r="EH27" s="223">
        <f t="shared" si="172"/>
        <v>10.309756982227059</v>
      </c>
      <c r="EI27" s="243">
        <f t="shared" si="173"/>
        <v>6.714907508161045</v>
      </c>
      <c r="EJ27" s="218">
        <f t="shared" si="174"/>
        <v>20.96481682988756</v>
      </c>
      <c r="EK27" s="252">
        <f t="shared" si="175"/>
        <v>0</v>
      </c>
      <c r="EL27" s="309">
        <f t="shared" si="176"/>
        <v>20.96481682988756</v>
      </c>
      <c r="EM27" s="218">
        <f t="shared" si="177"/>
        <v>131.29633659775118</v>
      </c>
      <c r="EN27" s="242">
        <f t="shared" si="177"/>
        <v>0</v>
      </c>
      <c r="EO27" s="243">
        <f t="shared" si="178"/>
        <v>131.29633659775118</v>
      </c>
      <c r="EP27" s="218">
        <f t="shared" si="179"/>
        <v>0</v>
      </c>
      <c r="ER27" s="303" t="s">
        <v>24</v>
      </c>
      <c r="ES27" s="243" t="s">
        <v>85</v>
      </c>
      <c r="ET27" s="218" t="s">
        <v>132</v>
      </c>
      <c r="EU27" s="237">
        <f>Konvention_1slave-MUslave</f>
        <v>12</v>
      </c>
      <c r="EV27" s="234"/>
      <c r="EW27" s="234"/>
      <c r="EX27" s="234">
        <f t="shared" si="180"/>
        <v>12</v>
      </c>
      <c r="EY27" s="234"/>
      <c r="EZ27" s="234"/>
      <c r="FA27" s="234"/>
      <c r="FB27" s="224"/>
      <c r="FC27" s="222">
        <f>(EU27+EX27+EX27)/3</f>
        <v>12</v>
      </c>
      <c r="FD27" s="223">
        <f t="shared" si="181"/>
        <v>24</v>
      </c>
      <c r="FE27" s="224">
        <f t="shared" si="182"/>
        <v>36</v>
      </c>
      <c r="FF27" s="237">
        <f>EX27*POWER(MUslave,SIGN(EU27))*POWER(CHslave,SIGN(EX27))+EX27*POWER(MUslave,SIGN(EU27))*POWER(CHslave,SIGN(EX27))+EU27*POWER(CHslave,SIGN(EX27))*POWER(CHslave,SIGN(EX27))</f>
        <v>2304</v>
      </c>
      <c r="FG27" s="234">
        <f>EU27*EX27*CHslave+EU27*CHslave*EX27+MUslave*EX27*EX27</f>
        <v>3456</v>
      </c>
      <c r="FH27" s="224">
        <f>EU27*EX27*EX27</f>
        <v>1728</v>
      </c>
      <c r="FI27" s="242">
        <f t="shared" ref="FI27:FI33" si="237">SUM(FF27:FH27)</f>
        <v>7488</v>
      </c>
      <c r="FJ27" s="222">
        <f t="shared" si="184"/>
        <v>3.6923076923076925</v>
      </c>
      <c r="FK27" s="223">
        <f t="shared" si="185"/>
        <v>11.076923076923077</v>
      </c>
      <c r="FL27" s="243">
        <f t="shared" si="186"/>
        <v>8.3076923076923084</v>
      </c>
      <c r="FM27" s="218">
        <f t="shared" si="187"/>
        <v>23.07692307692308</v>
      </c>
      <c r="FN27" s="252">
        <f t="shared" si="188"/>
        <v>0</v>
      </c>
      <c r="FO27" s="309">
        <f t="shared" si="189"/>
        <v>23.07692307692308</v>
      </c>
      <c r="FP27" s="218">
        <f t="shared" si="190"/>
        <v>173.5384615384616</v>
      </c>
      <c r="FQ27" s="242">
        <f t="shared" si="190"/>
        <v>0</v>
      </c>
      <c r="FR27" s="243">
        <f t="shared" si="191"/>
        <v>173.5384615384616</v>
      </c>
      <c r="FS27" s="218">
        <f t="shared" si="192"/>
        <v>0</v>
      </c>
      <c r="FU27" s="303" t="s">
        <v>24</v>
      </c>
      <c r="FV27" s="243" t="s">
        <v>85</v>
      </c>
      <c r="FW27" s="218" t="s">
        <v>132</v>
      </c>
      <c r="FX27" s="237">
        <f>Konvention_1slave-MUslave</f>
        <v>12</v>
      </c>
      <c r="FY27" s="234"/>
      <c r="FZ27" s="234"/>
      <c r="GA27" s="234">
        <f t="shared" si="193"/>
        <v>12</v>
      </c>
      <c r="GB27" s="234"/>
      <c r="GC27" s="234"/>
      <c r="GD27" s="234"/>
      <c r="GE27" s="224"/>
      <c r="GF27" s="222">
        <f>(FX27+GA27+GA27)/3</f>
        <v>12</v>
      </c>
      <c r="GG27" s="223">
        <f t="shared" si="194"/>
        <v>24</v>
      </c>
      <c r="GH27" s="224">
        <f t="shared" si="195"/>
        <v>36</v>
      </c>
      <c r="GI27" s="237">
        <f>GA27*POWER(MUslave,SIGN(FX27))*POWER(CHslave,SIGN(GA27))+GA27*POWER(MUslave,SIGN(FX27))*POWER(CHslave,SIGN(GA27))+FX27*POWER(CHslave,SIGN(GA27))*POWER(CHslave,SIGN(GA27))</f>
        <v>2304</v>
      </c>
      <c r="GJ27" s="234">
        <f>FX27*GA27*CHslave+FX27*CHslave*GA27+MUslave*GA27*GA27</f>
        <v>3456</v>
      </c>
      <c r="GK27" s="224">
        <f>FX27*GA27*GA27</f>
        <v>1728</v>
      </c>
      <c r="GL27" s="242">
        <f t="shared" ref="GL27:GL33" si="238">SUM(GI27:GK27)</f>
        <v>7488</v>
      </c>
      <c r="GM27" s="222">
        <f t="shared" si="197"/>
        <v>3.6923076923076925</v>
      </c>
      <c r="GN27" s="223">
        <f t="shared" si="198"/>
        <v>11.076923076923077</v>
      </c>
      <c r="GO27" s="243">
        <f t="shared" si="199"/>
        <v>8.3076923076923084</v>
      </c>
      <c r="GP27" s="218">
        <f t="shared" si="200"/>
        <v>23.07692307692308</v>
      </c>
      <c r="GQ27" s="252">
        <f t="shared" si="201"/>
        <v>0</v>
      </c>
      <c r="GR27" s="309">
        <f t="shared" si="202"/>
        <v>23.07692307692308</v>
      </c>
      <c r="GS27" s="218">
        <f t="shared" si="203"/>
        <v>173.5384615384616</v>
      </c>
      <c r="GT27" s="242">
        <f t="shared" si="203"/>
        <v>0</v>
      </c>
      <c r="GU27" s="243">
        <f t="shared" si="204"/>
        <v>173.5384615384616</v>
      </c>
      <c r="GV27" s="218">
        <f t="shared" si="205"/>
        <v>0</v>
      </c>
      <c r="GX27" s="303" t="s">
        <v>24</v>
      </c>
      <c r="GY27" s="243" t="s">
        <v>85</v>
      </c>
      <c r="GZ27" s="218" t="s">
        <v>132</v>
      </c>
      <c r="HA27" s="237">
        <f>Konvention_1slave-MUslave</f>
        <v>12</v>
      </c>
      <c r="HB27" s="234"/>
      <c r="HC27" s="234"/>
      <c r="HD27" s="234">
        <f t="shared" si="206"/>
        <v>12</v>
      </c>
      <c r="HE27" s="234"/>
      <c r="HF27" s="234"/>
      <c r="HG27" s="234"/>
      <c r="HH27" s="224"/>
      <c r="HI27" s="222">
        <f>(HA27+HD27+HD27)/3</f>
        <v>12</v>
      </c>
      <c r="HJ27" s="223">
        <f t="shared" si="207"/>
        <v>24</v>
      </c>
      <c r="HK27" s="224">
        <f t="shared" si="208"/>
        <v>36</v>
      </c>
      <c r="HL27" s="237">
        <f>HD27*POWER(MUslave,SIGN(HA27))*POWER(CHslave,SIGN(HD27))+HD27*POWER(MUslave,SIGN(HA27))*POWER(CHslave,SIGN(HD27))+HA27*POWER(CHslave,SIGN(HD27))*POWER(CHslave,SIGN(HD27))</f>
        <v>2304</v>
      </c>
      <c r="HM27" s="234">
        <f>HA27*HD27*CHslave+HA27*CHslave*HD27+MUslave*HD27*HD27</f>
        <v>3456</v>
      </c>
      <c r="HN27" s="224">
        <f>HA27*HD27*HD27</f>
        <v>1728</v>
      </c>
      <c r="HO27" s="242">
        <f t="shared" ref="HO27:HO33" si="239">SUM(HL27:HN27)</f>
        <v>7488</v>
      </c>
      <c r="HP27" s="222">
        <f t="shared" si="210"/>
        <v>3.6923076923076925</v>
      </c>
      <c r="HQ27" s="223">
        <f t="shared" si="211"/>
        <v>11.076923076923077</v>
      </c>
      <c r="HR27" s="243">
        <f t="shared" si="212"/>
        <v>8.3076923076923084</v>
      </c>
      <c r="HS27" s="218">
        <f t="shared" si="213"/>
        <v>23.07692307692308</v>
      </c>
      <c r="HT27" s="252">
        <f t="shared" si="214"/>
        <v>0</v>
      </c>
      <c r="HU27" s="309">
        <f t="shared" si="215"/>
        <v>23.07692307692308</v>
      </c>
      <c r="HV27" s="218">
        <f t="shared" si="216"/>
        <v>173.5384615384616</v>
      </c>
      <c r="HW27" s="242">
        <f t="shared" si="216"/>
        <v>0</v>
      </c>
      <c r="HX27" s="243">
        <f t="shared" si="217"/>
        <v>173.5384615384616</v>
      </c>
      <c r="HY27" s="218">
        <f t="shared" si="218"/>
        <v>0</v>
      </c>
      <c r="IA27" s="303" t="s">
        <v>24</v>
      </c>
      <c r="IB27" s="243" t="s">
        <v>85</v>
      </c>
      <c r="IC27" s="218" t="s">
        <v>132</v>
      </c>
      <c r="ID27" s="237">
        <f>Konvention_1slave-MUslave</f>
        <v>12</v>
      </c>
      <c r="IE27" s="234"/>
      <c r="IF27" s="234"/>
      <c r="IG27" s="234">
        <f t="shared" si="219"/>
        <v>12</v>
      </c>
      <c r="IH27" s="234"/>
      <c r="II27" s="234"/>
      <c r="IJ27" s="234"/>
      <c r="IK27" s="224"/>
      <c r="IL27" s="222">
        <f>(ID27+IG27+IG27)/3</f>
        <v>12</v>
      </c>
      <c r="IM27" s="223">
        <f t="shared" si="220"/>
        <v>24</v>
      </c>
      <c r="IN27" s="224">
        <f t="shared" si="221"/>
        <v>36</v>
      </c>
      <c r="IO27" s="237">
        <f>IG27*POWER(MUslave,SIGN(ID27))*POWER(CHslave,SIGN(IG27))+IG27*POWER(MUslave,SIGN(ID27))*POWER(CHslave,SIGN(IG27))+ID27*POWER(CHslave,SIGN(IG27))*POWER(CHslave,SIGN(IG27))</f>
        <v>2304</v>
      </c>
      <c r="IP27" s="234">
        <f>ID27*IG27*CHslave+ID27*CHslave*IG27+MUslave*IG27*IG27</f>
        <v>3456</v>
      </c>
      <c r="IQ27" s="224">
        <f>ID27*IG27*IG27</f>
        <v>1728</v>
      </c>
      <c r="IR27" s="242">
        <f t="shared" ref="IR27:IR33" si="240">SUM(IO27:IQ27)</f>
        <v>7488</v>
      </c>
      <c r="IS27" s="222">
        <f t="shared" si="223"/>
        <v>3.6923076923076925</v>
      </c>
      <c r="IT27" s="223">
        <f t="shared" si="224"/>
        <v>11.076923076923077</v>
      </c>
      <c r="IU27" s="243">
        <f t="shared" si="225"/>
        <v>8.3076923076923084</v>
      </c>
      <c r="IV27" s="218">
        <f t="shared" si="226"/>
        <v>23.07692307692308</v>
      </c>
      <c r="IW27" s="252">
        <f t="shared" si="227"/>
        <v>0</v>
      </c>
      <c r="IX27" s="309">
        <f t="shared" si="228"/>
        <v>23.07692307692308</v>
      </c>
      <c r="IY27" s="218">
        <f t="shared" si="229"/>
        <v>173.5384615384616</v>
      </c>
      <c r="IZ27" s="242">
        <f t="shared" si="229"/>
        <v>0</v>
      </c>
      <c r="JA27" s="243">
        <f t="shared" si="230"/>
        <v>173.5384615384616</v>
      </c>
      <c r="JB27" s="218">
        <f t="shared" si="231"/>
        <v>0</v>
      </c>
      <c r="JE27" s="148"/>
    </row>
    <row r="28" spans="2:265" hidden="1" outlineLevel="2">
      <c r="B28" s="148">
        <v>3</v>
      </c>
      <c r="C28" s="303" t="e">
        <f>VLOOKUP(AF28,Attribute!C:T,1,FALSE)</f>
        <v>#N/A</v>
      </c>
      <c r="D28" s="167" t="s">
        <v>86</v>
      </c>
      <c r="E28" s="125" t="s">
        <v>132</v>
      </c>
      <c r="F28" s="114">
        <f>Konvention_1master-MUmaster</f>
        <v>12</v>
      </c>
      <c r="G28" s="113"/>
      <c r="H28" s="113">
        <f t="shared" ref="H28:H34" si="241">Konvention_1master-INmaster</f>
        <v>12</v>
      </c>
      <c r="I28" s="113">
        <f t="shared" si="116"/>
        <v>12</v>
      </c>
      <c r="J28" s="113"/>
      <c r="K28" s="113"/>
      <c r="L28" s="113"/>
      <c r="M28" s="119"/>
      <c r="N28" s="222">
        <f t="shared" ref="N28:N34" si="242">(F28+G28+H28+I28+J28+K28+L28+M28)/3</f>
        <v>12</v>
      </c>
      <c r="O28" s="223">
        <f t="shared" si="117"/>
        <v>24</v>
      </c>
      <c r="P28" s="224">
        <f t="shared" si="118"/>
        <v>36</v>
      </c>
      <c r="Q28" s="237">
        <f t="shared" ref="Q28:Q34" si="243">F28*POWER(KLmaster,SIGN(G28))*POWER(INmaster,SIGN(H28))*POWER(CHmaster,SIGN(I28))*POWER(FFmaster,SIGN(J28))*POWER(GEmaster,SIGN(K28))*POWER(KOmaster,SIGN(L28))*POWER(KKmaster,SIGN(M28))+G28*POWER(MUmaster,SIGN(F28))*POWER(INmaster,SIGN(H28))*POWER(CHmaster,SIGN(I28))*POWER(FFmaster,SIGN(J28))*POWER(GEmaster,SIGN(K28))*POWER(KOmaster,SIGN(L28))*POWER(KKmaster,SIGN(M28))+H28*POWER(MUmaster,SIGN(F28))*POWER(KLmaster,SIGN(G28))*POWER(CHmaster,SIGN(I28))*POWER(FFmaster,SIGN(J28))*POWER(GEmaster,SIGN(K28))*POWER(KOmaster,SIGN(L28))*POWER(KKmaster,SIGN(M28))+I28*POWER(MUmaster,SIGN(F28))*POWER(KLmaster,SIGN(G28))*POWER(INmaster,SIGN(H28))*POWER(FFmaster,SIGN(J28))*POWER(GEmaster,SIGN(K28))*POWER(KOmaster,SIGN(L28))*POWER(KKmaster,SIGN(M28))+J28*POWER(MUmaster,SIGN(F28))*POWER(KLmaster,SIGN(G28))*POWER(INmaster,SIGN(H28))*POWER(CHmaster,SIGN(I28))*POWER(GEmaster,SIGN(K28))*POWER(KOmaster,SIGN(L28))*POWER(KKmaster,SIGN(M28))+K28*POWER(MUmaster,SIGN(F28))*POWER(KLmaster,SIGN(G28))*POWER(INmaster,SIGN(H28))*POWER(CHmaster,SIGN(I28))*POWER(FFmaster,SIGN(J28))*POWER(KOmaster,SIGN(L28))*POWER(KKmaster,SIGN(M28))+L28*POWER(MUmaster,SIGN(F28))*POWER(KLmaster,SIGN(G28))*POWER(INmaster,SIGN(H28))*POWER(CHmaster,SIGN(I28))*POWER(FFmaster,SIGN(J28))*POWER(GEmaster,SIGN(K28))*POWER(KKmaster,SIGN(M28))+M28*POWER(MUmaster,SIGN(F28))*POWER(KLmaster,SIGN(G28))*POWER(INmaster,SIGN(H28))*POWER(CHmaster,SIGN(I28))*POWER(FFmaster,SIGN(J28))*POWER(GEmaster,SIGN(K28))*POWER(KOmaster,SIGN(L28))</f>
        <v>2304</v>
      </c>
      <c r="R28" s="113">
        <f>F28*H28*CHmaster+F28*INmaster*I28+MUmaster*H28*I28</f>
        <v>3456</v>
      </c>
      <c r="S28" s="224">
        <f t="shared" si="119"/>
        <v>1728</v>
      </c>
      <c r="T28" s="242">
        <f t="shared" si="232"/>
        <v>7488</v>
      </c>
      <c r="U28" s="222">
        <f t="shared" si="120"/>
        <v>3.6923076923076925</v>
      </c>
      <c r="V28" s="223">
        <f t="shared" si="121"/>
        <v>11.076923076923077</v>
      </c>
      <c r="W28" s="243">
        <f t="shared" si="122"/>
        <v>8.3076923076923084</v>
      </c>
      <c r="X28" s="218">
        <f t="shared" si="123"/>
        <v>23.07692307692308</v>
      </c>
      <c r="Y28" s="252">
        <v>0</v>
      </c>
      <c r="Z28" s="198">
        <f t="shared" si="124"/>
        <v>23.07692307692308</v>
      </c>
      <c r="AA28" s="125">
        <f t="shared" si="125"/>
        <v>173.5384615384616</v>
      </c>
      <c r="AB28" s="160">
        <f t="shared" si="125"/>
        <v>0</v>
      </c>
      <c r="AC28" s="127">
        <f t="shared" si="126"/>
        <v>173.5384615384616</v>
      </c>
      <c r="AD28" s="125">
        <f t="shared" si="127"/>
        <v>0</v>
      </c>
      <c r="AF28" s="163" t="s">
        <v>25</v>
      </c>
      <c r="AG28" s="127" t="s">
        <v>86</v>
      </c>
      <c r="AH28" s="125" t="s">
        <v>132</v>
      </c>
      <c r="AI28" s="114">
        <f>Konvention_1slave-MUslave_MU</f>
        <v>11</v>
      </c>
      <c r="AJ28" s="113"/>
      <c r="AK28" s="113">
        <f t="shared" ref="AK28:AK34" si="244">Konvention_1slave-INslave</f>
        <v>12</v>
      </c>
      <c r="AL28" s="113">
        <f t="shared" si="128"/>
        <v>12</v>
      </c>
      <c r="AM28" s="113"/>
      <c r="AN28" s="113"/>
      <c r="AO28" s="113"/>
      <c r="AP28" s="119"/>
      <c r="AQ28" s="89">
        <f t="shared" ref="AQ28:AQ34" si="245">(AI28+AJ28+AK28+AL28+AM28+AN28+AO28+AP28)/3</f>
        <v>11.666666666666666</v>
      </c>
      <c r="AR28" s="47">
        <f t="shared" si="129"/>
        <v>23.333333333333332</v>
      </c>
      <c r="AS28" s="119">
        <f t="shared" si="130"/>
        <v>35</v>
      </c>
      <c r="AT28" s="114">
        <f t="shared" ref="AT28:AT34" si="246">AI28*POWER(KLslave,SIGN(AJ28))*POWER(INslave,SIGN(AK28))*POWER(CHslave,SIGN(AL28))*POWER(FFslave,SIGN(AM28))*POWER(GEslave,SIGN(AN28))*POWER(KOslave,SIGN(AO28))*POWER(KKslave,SIGN(AP28))+AJ28*POWER(MUslave_MU,SIGN(AI28))*POWER(INslave,SIGN(AK28))*POWER(CHslave,SIGN(AL28))*POWER(FFslave,SIGN(AM28))*POWER(GEslave,SIGN(AN28))*POWER(KOslave,SIGN(AO28))*POWER(KKslave,SIGN(AP28))+AK28*POWER(MUslave_MU,SIGN(AI28))*POWER(KLslave,SIGN(AJ28))*POWER(CHslave,SIGN(AL28))*POWER(FFslave,SIGN(AM28))*POWER(GEslave,SIGN(AN28))*POWER(KOslave,SIGN(AO28))*POWER(KKslave,SIGN(AP28))+AL28*POWER(MUslave_MU,SIGN(AI28))*POWER(KLslave,SIGN(AJ28))*POWER(INslave,SIGN(AK28))*POWER(FFslave,SIGN(AM28))*POWER(GEslave,SIGN(AN28))*POWER(KOslave,SIGN(AO28))*POWER(KKslave,SIGN(AP28))+AM28*POWER(MUslave_MU,SIGN(AI28))*POWER(KLslave,SIGN(AJ28))*POWER(INslave,SIGN(AK28))*POWER(CHslave,SIGN(AL28))*POWER(GEslave,SIGN(AN28))*POWER(KOslave,SIGN(AO28))*POWER(KKslave,SIGN(AP28))+AN28*POWER(MUslave_MU,SIGN(AI28))*POWER(KLslave,SIGN(AJ28))*POWER(INslave,SIGN(AK28))*POWER(CHslave,SIGN(AL28))*POWER(FFslave,SIGN(AM28))*POWER(KOslave,SIGN(AO28))*POWER(KKslave,SIGN(AP28))+AO28*POWER(MUslave_MU,SIGN(AI28))*POWER(KLslave,SIGN(AJ28))*POWER(INslave,SIGN(AK28))*POWER(CHslave,SIGN(AL28))*POWER(FFslave,SIGN(AM28))*POWER(GEslave,SIGN(AN28))*POWER(KKslave,SIGN(AP28))+AP28*POWER(MUslave_MU,SIGN(AI28))*POWER(KLslave,SIGN(AJ28))*POWER(INslave,SIGN(AK28))*POWER(CHslave,SIGN(AL28))*POWER(FFslave,SIGN(AM28))*POWER(GEslave,SIGN(AN28))*POWER(KOslave,SIGN(AO28))</f>
        <v>2432</v>
      </c>
      <c r="AU28" s="113">
        <f>AI28*AK28*CHslave+AI28*INslave*AL28+MUslave_MU*AK28*AL28</f>
        <v>3408</v>
      </c>
      <c r="AV28" s="119">
        <f t="shared" si="131"/>
        <v>1584</v>
      </c>
      <c r="AW28" s="160">
        <f t="shared" si="233"/>
        <v>7424</v>
      </c>
      <c r="AX28" s="89">
        <f t="shared" si="132"/>
        <v>3.8218390804597702</v>
      </c>
      <c r="AY28" s="47">
        <f t="shared" si="133"/>
        <v>10.711206896551724</v>
      </c>
      <c r="AZ28" s="127">
        <f t="shared" si="134"/>
        <v>7.4676724137931032</v>
      </c>
      <c r="BA28" s="125">
        <f t="shared" si="135"/>
        <v>22.000718390804597</v>
      </c>
      <c r="BB28" s="165">
        <f t="shared" si="136"/>
        <v>0</v>
      </c>
      <c r="BC28" s="198">
        <f t="shared" si="137"/>
        <v>22.000718390804597</v>
      </c>
      <c r="BD28" s="125">
        <f t="shared" si="138"/>
        <v>152.01436781609189</v>
      </c>
      <c r="BE28" s="160">
        <f t="shared" si="138"/>
        <v>0</v>
      </c>
      <c r="BF28" s="243">
        <f t="shared" si="139"/>
        <v>152.01436781609189</v>
      </c>
      <c r="BG28" s="218">
        <f t="shared" si="140"/>
        <v>0</v>
      </c>
      <c r="BI28" s="303" t="s">
        <v>25</v>
      </c>
      <c r="BJ28" s="243" t="s">
        <v>86</v>
      </c>
      <c r="BK28" s="218" t="s">
        <v>132</v>
      </c>
      <c r="BL28" s="237">
        <f>Konvention_1slave-MUslave</f>
        <v>12</v>
      </c>
      <c r="BM28" s="234"/>
      <c r="BN28" s="234">
        <f t="shared" ref="BN28:BN34" si="247">Konvention_1slave-INslave</f>
        <v>12</v>
      </c>
      <c r="BO28" s="234">
        <f t="shared" si="141"/>
        <v>12</v>
      </c>
      <c r="BP28" s="234"/>
      <c r="BQ28" s="234"/>
      <c r="BR28" s="234"/>
      <c r="BS28" s="224"/>
      <c r="BT28" s="222">
        <f t="shared" ref="BT28:BT34" si="248">(BL28+BM28+BN28+BO28+BP28+BQ28+BR28+BS28)/3</f>
        <v>12</v>
      </c>
      <c r="BU28" s="223">
        <f t="shared" si="142"/>
        <v>24</v>
      </c>
      <c r="BV28" s="224">
        <f t="shared" si="143"/>
        <v>36</v>
      </c>
      <c r="BW28" s="237">
        <f t="shared" ref="BW28:BW34" si="249">BL28*POWER(KLslave_KL,SIGN(BM28))*POWER(INslave,SIGN(BN28))*POWER(CHslave,SIGN(BO28))*POWER(FFslave,SIGN(BP28))*POWER(GEslave,SIGN(BQ28))*POWER(KOslave,SIGN(BR28))*POWER(KKslave,SIGN(BS28))+BM28*POWER(MUslave,SIGN(BL28))*POWER(INslave,SIGN(BN28))*POWER(CHslave,SIGN(BO28))*POWER(FFslave,SIGN(BP28))*POWER(GEslave,SIGN(BQ28))*POWER(KOslave,SIGN(BR28))*POWER(KKslave,SIGN(BS28))+BN28*POWER(MUslave,SIGN(BL28))*POWER(KLslave_KL,SIGN(BM28))*POWER(CHslave,SIGN(BO28))*POWER(FFslave,SIGN(BP28))*POWER(GEslave,SIGN(BQ28))*POWER(KOslave,SIGN(BR28))*POWER(KKslave,SIGN(BS28))+BO28*POWER(MUslave,SIGN(BL28))*POWER(KLslave_KL,SIGN(BM28))*POWER(INslave,SIGN(BN28))*POWER(FFslave,SIGN(BP28))*POWER(GEslave,SIGN(BQ28))*POWER(KOslave,SIGN(BR28))*POWER(KKslave,SIGN(BS28))+BP28*POWER(MUslave,SIGN(BL28))*POWER(KLslave_KL,SIGN(BM28))*POWER(INslave,SIGN(BN28))*POWER(CHslave,SIGN(BO28))*POWER(GEslave,SIGN(BQ28))*POWER(KOslave,SIGN(BR28))*POWER(KKslave,SIGN(BS28))+BQ28*POWER(MUslave,SIGN(BL28))*POWER(KLslave_KL,SIGN(BM28))*POWER(INslave,SIGN(BN28))*POWER(CHslave,SIGN(BO28))*POWER(FFslave,SIGN(BP28))*POWER(KOslave,SIGN(BR28))*POWER(KKslave,SIGN(BS28))+BR28*POWER(MUslave,SIGN(BL28))*POWER(KLslave_KL,SIGN(BM28))*POWER(INslave,SIGN(BN28))*POWER(CHslave,SIGN(BO28))*POWER(FFslave,SIGN(BP28))*POWER(GEslave,SIGN(BQ28))*POWER(KKslave,SIGN(BS28))+BS28*POWER(MUslave,SIGN(BL28))*POWER(KLslave_KL,SIGN(BM28))*POWER(INslave,SIGN(BN28))*POWER(CHslave,SIGN(BO28))*POWER(FFslave,SIGN(BP28))*POWER(GEslave,SIGN(BQ28))*POWER(KOslave,SIGN(BR28))</f>
        <v>2304</v>
      </c>
      <c r="BX28" s="234">
        <f>BL28*BN28*CHslave+BL28*INslave*BO28+MUslave*BN28*BO28</f>
        <v>3456</v>
      </c>
      <c r="BY28" s="224">
        <f t="shared" si="144"/>
        <v>1728</v>
      </c>
      <c r="BZ28" s="242">
        <f t="shared" si="234"/>
        <v>7488</v>
      </c>
      <c r="CA28" s="222">
        <f t="shared" si="145"/>
        <v>3.6923076923076925</v>
      </c>
      <c r="CB28" s="223">
        <f t="shared" si="146"/>
        <v>11.076923076923077</v>
      </c>
      <c r="CC28" s="243">
        <f t="shared" si="147"/>
        <v>8.3076923076923084</v>
      </c>
      <c r="CD28" s="218">
        <f t="shared" si="148"/>
        <v>23.07692307692308</v>
      </c>
      <c r="CE28" s="252">
        <f t="shared" si="149"/>
        <v>0</v>
      </c>
      <c r="CF28" s="309">
        <f t="shared" si="150"/>
        <v>23.07692307692308</v>
      </c>
      <c r="CG28" s="218">
        <f t="shared" si="151"/>
        <v>173.5384615384616</v>
      </c>
      <c r="CH28" s="242">
        <f t="shared" si="151"/>
        <v>0</v>
      </c>
      <c r="CI28" s="243">
        <f t="shared" si="152"/>
        <v>173.5384615384616</v>
      </c>
      <c r="CJ28" s="218">
        <f t="shared" si="153"/>
        <v>0</v>
      </c>
      <c r="CL28" s="303" t="s">
        <v>25</v>
      </c>
      <c r="CM28" s="243" t="s">
        <v>86</v>
      </c>
      <c r="CN28" s="218" t="s">
        <v>132</v>
      </c>
      <c r="CO28" s="237">
        <f>Konvention_1slave-MUslave</f>
        <v>12</v>
      </c>
      <c r="CP28" s="234"/>
      <c r="CQ28" s="234">
        <f t="shared" ref="CQ28:CQ34" si="250">Konvention_1slave-INslave_IN</f>
        <v>11</v>
      </c>
      <c r="CR28" s="234">
        <f t="shared" si="154"/>
        <v>12</v>
      </c>
      <c r="CS28" s="234"/>
      <c r="CT28" s="234"/>
      <c r="CU28" s="234"/>
      <c r="CV28" s="224"/>
      <c r="CW28" s="222">
        <f t="shared" ref="CW28:CW34" si="251">(CO28+CP28+CQ28+CR28+CS28+CT28+CU28+CV28)/3</f>
        <v>11.666666666666666</v>
      </c>
      <c r="CX28" s="223">
        <f t="shared" si="155"/>
        <v>23.333333333333332</v>
      </c>
      <c r="CY28" s="224">
        <f t="shared" si="156"/>
        <v>35</v>
      </c>
      <c r="CZ28" s="237">
        <f t="shared" ref="CZ28:CZ34" si="252">CO28*POWER(KLslave,SIGN(CP28))*POWER(INslave_IN,SIGN(CQ28))*POWER(CHslave,SIGN(CR28))*POWER(FFslave,SIGN(CS28))*POWER(GEslave,SIGN(CT28))*POWER(KOslave,SIGN(CU28))*POWER(KKslave,SIGN(CV28))+CP28*POWER(MUslave,SIGN(CO28))*POWER(INslave_IN,SIGN(CQ28))*POWER(CHslave,SIGN(CR28))*POWER(FFslave,SIGN(CS28))*POWER(GEslave,SIGN(CT28))*POWER(KOslave,SIGN(CU28))*POWER(KKslave,SIGN(CV28))+CQ28*POWER(MUslave,SIGN(CO28))*POWER(KLslave,SIGN(CP28))*POWER(CHslave,SIGN(CR28))*POWER(FFslave,SIGN(CS28))*POWER(GEslave,SIGN(CT28))*POWER(KOslave,SIGN(CU28))*POWER(KKslave,SIGN(CV28))+CR28*POWER(MUslave,SIGN(CO28))*POWER(KLslave,SIGN(CP28))*POWER(INslave_IN,SIGN(CQ28))*POWER(FFslave,SIGN(CS28))*POWER(GEslave,SIGN(CT28))*POWER(KOslave,SIGN(CU28))*POWER(KKslave,SIGN(CV28))+CS28*POWER(MUslave,SIGN(CO28))*POWER(KLslave,SIGN(CP28))*POWER(INslave_IN,SIGN(CQ28))*POWER(CHslave,SIGN(CR28))*POWER(GEslave,SIGN(CT28))*POWER(KOslave,SIGN(CU28))*POWER(KKslave,SIGN(CV28))+CT28*POWER(MUslave,SIGN(CO28))*POWER(KLslave,SIGN(CP28))*POWER(INslave_IN,SIGN(CQ28))*POWER(CHslave,SIGN(CR28))*POWER(FFslave,SIGN(CS28))*POWER(KOslave,SIGN(CU28))*POWER(KKslave,SIGN(CV28))+CU28*POWER(MUslave,SIGN(CO28))*POWER(KLslave,SIGN(CP28))*POWER(INslave_IN,SIGN(CQ28))*POWER(CHslave,SIGN(CR28))*POWER(FFslave,SIGN(CS28))*POWER(GEslave,SIGN(CT28))*POWER(KKslave,SIGN(CV28))+CV28*POWER(MUslave,SIGN(CO28))*POWER(KLslave,SIGN(CP28))*POWER(INslave_IN,SIGN(CQ28))*POWER(CHslave,SIGN(CR28))*POWER(FFslave,SIGN(CS28))*POWER(GEslave,SIGN(CT28))*POWER(KOslave,SIGN(CU28))</f>
        <v>2432</v>
      </c>
      <c r="DA28" s="234">
        <f>CO28*CQ28*CHslave+CO28*INslave_IN*CR28+MUslave*CQ28*CR28</f>
        <v>3408</v>
      </c>
      <c r="DB28" s="224">
        <f t="shared" si="157"/>
        <v>1584</v>
      </c>
      <c r="DC28" s="242">
        <f t="shared" si="235"/>
        <v>7424</v>
      </c>
      <c r="DD28" s="222">
        <f t="shared" si="158"/>
        <v>3.8218390804597702</v>
      </c>
      <c r="DE28" s="223">
        <f t="shared" si="159"/>
        <v>10.711206896551724</v>
      </c>
      <c r="DF28" s="243">
        <f t="shared" si="160"/>
        <v>7.4676724137931032</v>
      </c>
      <c r="DG28" s="218">
        <f t="shared" si="161"/>
        <v>22.000718390804597</v>
      </c>
      <c r="DH28" s="252">
        <f t="shared" si="162"/>
        <v>0</v>
      </c>
      <c r="DI28" s="309">
        <f t="shared" si="163"/>
        <v>22.000718390804597</v>
      </c>
      <c r="DJ28" s="218">
        <f t="shared" si="164"/>
        <v>152.01436781609189</v>
      </c>
      <c r="DK28" s="242">
        <f t="shared" si="164"/>
        <v>0</v>
      </c>
      <c r="DL28" s="243">
        <f t="shared" si="165"/>
        <v>152.01436781609189</v>
      </c>
      <c r="DM28" s="218">
        <f t="shared" si="166"/>
        <v>0</v>
      </c>
      <c r="DO28" s="303" t="s">
        <v>25</v>
      </c>
      <c r="DP28" s="243" t="s">
        <v>86</v>
      </c>
      <c r="DQ28" s="218" t="s">
        <v>132</v>
      </c>
      <c r="DR28" s="237">
        <f>Konvention_1slave-MUslave</f>
        <v>12</v>
      </c>
      <c r="DS28" s="234"/>
      <c r="DT28" s="234">
        <f t="shared" ref="DT28:DT34" si="253">Konvention_1slave-INslave</f>
        <v>12</v>
      </c>
      <c r="DU28" s="234">
        <f t="shared" si="167"/>
        <v>11</v>
      </c>
      <c r="DV28" s="234"/>
      <c r="DW28" s="234"/>
      <c r="DX28" s="234"/>
      <c r="DY28" s="224"/>
      <c r="DZ28" s="222">
        <f t="shared" ref="DZ28:DZ34" si="254">(DR28+DS28+DT28+DU28+DV28+DW28+DX28+DY28)/3</f>
        <v>11.666666666666666</v>
      </c>
      <c r="EA28" s="223">
        <f t="shared" si="168"/>
        <v>23.333333333333332</v>
      </c>
      <c r="EB28" s="224">
        <f t="shared" si="169"/>
        <v>35</v>
      </c>
      <c r="EC28" s="237">
        <f t="shared" ref="EC28:EC34" si="255">DR28*POWER(KLslave,SIGN(DS28))*POWER(INslave,SIGN(DT28))*POWER(CHslave_CH,SIGN(DU28))*POWER(FFslave,SIGN(DV28))*POWER(GEslave,SIGN(DW28))*POWER(KOslave,SIGN(DX28))*POWER(KKslave,SIGN(DY28))+DS28*POWER(MUslave,SIGN(DR28))*POWER(INslave,SIGN(DT28))*POWER(CHslave_CH,SIGN(DU28))*POWER(FFslave,SIGN(DV28))*POWER(GEslave,SIGN(DW28))*POWER(KOslave,SIGN(DX28))*POWER(KKslave,SIGN(DY28))+DT28*POWER(MUslave,SIGN(DR28))*POWER(KLslave,SIGN(DS28))*POWER(CHslave_CH,SIGN(DU28))*POWER(FFslave,SIGN(DV28))*POWER(GEslave,SIGN(DW28))*POWER(KOslave,SIGN(DX28))*POWER(KKslave,SIGN(DY28))+DU28*POWER(MUslave,SIGN(DR28))*POWER(KLslave,SIGN(DS28))*POWER(INslave,SIGN(DT28))*POWER(FFslave,SIGN(DV28))*POWER(GEslave,SIGN(DW28))*POWER(KOslave,SIGN(DX28))*POWER(KKslave,SIGN(DY28))+DV28*POWER(MUslave,SIGN(DR28))*POWER(KLslave,SIGN(DS28))*POWER(INslave,SIGN(DT28))*POWER(CHslave_CH,SIGN(DU28))*POWER(GEslave,SIGN(DW28))*POWER(KOslave,SIGN(DX28))*POWER(KKslave,SIGN(DY28))+DW28*POWER(MUslave,SIGN(DR28))*POWER(KLslave,SIGN(DS28))*POWER(INslave,SIGN(DT28))*POWER(CHslave_CH,SIGN(DU28))*POWER(FFslave,SIGN(DV28))*POWER(KOslave,SIGN(DX28))*POWER(KKslave,SIGN(DY28))+DX28*POWER(MUslave,SIGN(DR28))*POWER(KLslave,SIGN(DS28))*POWER(INslave,SIGN(DT28))*POWER(CHslave_CH,SIGN(DU28))*POWER(FFslave,SIGN(DV28))*POWER(GEslave,SIGN(DW28))*POWER(KKslave,SIGN(DY28))+DY28*POWER(MUslave,SIGN(DR28))*POWER(KLslave,SIGN(DS28))*POWER(INslave,SIGN(DT28))*POWER(CHslave_CH,SIGN(DU28))*POWER(FFslave,SIGN(DV28))*POWER(GEslave,SIGN(DW28))*POWER(KOslave,SIGN(DX28))</f>
        <v>2432</v>
      </c>
      <c r="ED28" s="234">
        <f>DR28*DT28*CHslave_CH+DR28*INslave*DU28+MUslave*DT28*DU28</f>
        <v>3408</v>
      </c>
      <c r="EE28" s="224">
        <f t="shared" si="170"/>
        <v>1584</v>
      </c>
      <c r="EF28" s="242">
        <f t="shared" si="236"/>
        <v>7424</v>
      </c>
      <c r="EG28" s="222">
        <f t="shared" si="171"/>
        <v>3.8218390804597702</v>
      </c>
      <c r="EH28" s="223">
        <f t="shared" si="172"/>
        <v>10.711206896551724</v>
      </c>
      <c r="EI28" s="243">
        <f t="shared" si="173"/>
        <v>7.4676724137931032</v>
      </c>
      <c r="EJ28" s="218">
        <f t="shared" si="174"/>
        <v>22.000718390804597</v>
      </c>
      <c r="EK28" s="252">
        <f t="shared" si="175"/>
        <v>0</v>
      </c>
      <c r="EL28" s="309">
        <f t="shared" si="176"/>
        <v>22.000718390804597</v>
      </c>
      <c r="EM28" s="218">
        <f t="shared" si="177"/>
        <v>152.01436781609189</v>
      </c>
      <c r="EN28" s="242">
        <f t="shared" si="177"/>
        <v>0</v>
      </c>
      <c r="EO28" s="243">
        <f t="shared" si="178"/>
        <v>152.01436781609189</v>
      </c>
      <c r="EP28" s="218">
        <f t="shared" si="179"/>
        <v>0</v>
      </c>
      <c r="ER28" s="303" t="s">
        <v>25</v>
      </c>
      <c r="ES28" s="243" t="s">
        <v>86</v>
      </c>
      <c r="ET28" s="218" t="s">
        <v>132</v>
      </c>
      <c r="EU28" s="237">
        <f>Konvention_1slave-MUslave</f>
        <v>12</v>
      </c>
      <c r="EV28" s="234"/>
      <c r="EW28" s="234">
        <f t="shared" ref="EW28:EW34" si="256">Konvention_1slave-INslave</f>
        <v>12</v>
      </c>
      <c r="EX28" s="234">
        <f t="shared" si="180"/>
        <v>12</v>
      </c>
      <c r="EY28" s="234"/>
      <c r="EZ28" s="234"/>
      <c r="FA28" s="234"/>
      <c r="FB28" s="224"/>
      <c r="FC28" s="222">
        <f t="shared" ref="FC28:FC34" si="257">(EU28+EV28+EW28+EX28+EY28+EZ28+FA28+FB28)/3</f>
        <v>12</v>
      </c>
      <c r="FD28" s="223">
        <f t="shared" si="181"/>
        <v>24</v>
      </c>
      <c r="FE28" s="224">
        <f t="shared" si="182"/>
        <v>36</v>
      </c>
      <c r="FF28" s="237">
        <f t="shared" ref="FF28:FF34" si="258">EU28*POWER(KLslave,SIGN(EV28))*POWER(INslave,SIGN(EW28))*POWER(CHslave,SIGN(EX28))*POWER(FFslave_FF,SIGN(EY28))*POWER(GEslave,SIGN(EZ28))*POWER(KOslave,SIGN(FA28))*POWER(KKslave,SIGN(FB28))+EV28*POWER(MUslave,SIGN(EU28))*POWER(INslave,SIGN(EW28))*POWER(CHslave,SIGN(EX28))*POWER(FFslave_FF,SIGN(EY28))*POWER(GEslave,SIGN(EZ28))*POWER(KOslave,SIGN(FA28))*POWER(KKslave,SIGN(FB28))+EW28*POWER(MUslave,SIGN(EU28))*POWER(KLslave,SIGN(EV28))*POWER(CHslave,SIGN(EX28))*POWER(FFslave_FF,SIGN(EY28))*POWER(GEslave,SIGN(EZ28))*POWER(KOslave,SIGN(FA28))*POWER(KKslave,SIGN(FB28))+EX28*POWER(MUslave,SIGN(EU28))*POWER(KLslave,SIGN(EV28))*POWER(INslave,SIGN(EW28))*POWER(FFslave_FF,SIGN(EY28))*POWER(GEslave,SIGN(EZ28))*POWER(KOslave,SIGN(FA28))*POWER(KKslave,SIGN(FB28))+EY28*POWER(MUslave,SIGN(EU28))*POWER(KLslave,SIGN(EV28))*POWER(INslave,SIGN(EW28))*POWER(CHslave,SIGN(EX28))*POWER(GEslave,SIGN(EZ28))*POWER(KOslave,SIGN(FA28))*POWER(KKslave,SIGN(FB28))+EZ28*POWER(MUslave,SIGN(EU28))*POWER(KLslave,SIGN(EV28))*POWER(INslave,SIGN(EW28))*POWER(CHslave,SIGN(EX28))*POWER(FFslave_FF,SIGN(EY28))*POWER(KOslave,SIGN(FA28))*POWER(KKslave,SIGN(FB28))+FA28*POWER(MUslave,SIGN(EU28))*POWER(KLslave,SIGN(EV28))*POWER(INslave,SIGN(EW28))*POWER(CHslave,SIGN(EX28))*POWER(FFslave_FF,SIGN(EY28))*POWER(GEslave,SIGN(EZ28))*POWER(KKslave,SIGN(FB28))+FB28*POWER(MUslave,SIGN(EU28))*POWER(KLslave,SIGN(EV28))*POWER(INslave,SIGN(EW28))*POWER(CHslave,SIGN(EX28))*POWER(FFslave_FF,SIGN(EY28))*POWER(GEslave,SIGN(EZ28))*POWER(KOslave,SIGN(FA28))</f>
        <v>2304</v>
      </c>
      <c r="FG28" s="234">
        <f>EU28*EW28*CHslave+EU28*INslave*EX28+MUslave*EW28*EX28</f>
        <v>3456</v>
      </c>
      <c r="FH28" s="224">
        <f t="shared" si="183"/>
        <v>1728</v>
      </c>
      <c r="FI28" s="242">
        <f t="shared" si="237"/>
        <v>7488</v>
      </c>
      <c r="FJ28" s="222">
        <f t="shared" si="184"/>
        <v>3.6923076923076925</v>
      </c>
      <c r="FK28" s="223">
        <f t="shared" si="185"/>
        <v>11.076923076923077</v>
      </c>
      <c r="FL28" s="243">
        <f t="shared" si="186"/>
        <v>8.3076923076923084</v>
      </c>
      <c r="FM28" s="218">
        <f t="shared" si="187"/>
        <v>23.07692307692308</v>
      </c>
      <c r="FN28" s="252">
        <f t="shared" si="188"/>
        <v>0</v>
      </c>
      <c r="FO28" s="309">
        <f t="shared" si="189"/>
        <v>23.07692307692308</v>
      </c>
      <c r="FP28" s="218">
        <f t="shared" si="190"/>
        <v>173.5384615384616</v>
      </c>
      <c r="FQ28" s="242">
        <f t="shared" si="190"/>
        <v>0</v>
      </c>
      <c r="FR28" s="243">
        <f t="shared" si="191"/>
        <v>173.5384615384616</v>
      </c>
      <c r="FS28" s="218">
        <f t="shared" si="192"/>
        <v>0</v>
      </c>
      <c r="FU28" s="303" t="s">
        <v>25</v>
      </c>
      <c r="FV28" s="243" t="s">
        <v>86</v>
      </c>
      <c r="FW28" s="218" t="s">
        <v>132</v>
      </c>
      <c r="FX28" s="237">
        <f>Konvention_1slave-MUslave</f>
        <v>12</v>
      </c>
      <c r="FY28" s="234"/>
      <c r="FZ28" s="234">
        <f t="shared" ref="FZ28:FZ34" si="259">Konvention_1slave-INslave</f>
        <v>12</v>
      </c>
      <c r="GA28" s="234">
        <f t="shared" si="193"/>
        <v>12</v>
      </c>
      <c r="GB28" s="234"/>
      <c r="GC28" s="234"/>
      <c r="GD28" s="234"/>
      <c r="GE28" s="224"/>
      <c r="GF28" s="222">
        <f t="shared" ref="GF28:GF34" si="260">(FX28+FY28+FZ28+GA28+GB28+GC28+GD28+GE28)/3</f>
        <v>12</v>
      </c>
      <c r="GG28" s="223">
        <f t="shared" si="194"/>
        <v>24</v>
      </c>
      <c r="GH28" s="224">
        <f t="shared" si="195"/>
        <v>36</v>
      </c>
      <c r="GI28" s="237">
        <f t="shared" ref="GI28:GI34" si="261">FX28*POWER(KLslave,SIGN(FY28))*POWER(INslave,SIGN(FZ28))*POWER(CHslave,SIGN(GA28))*POWER(FFslave,SIGN(GB28))*POWER(GEslave_GE,SIGN(GC28))*POWER(KOslave,SIGN(GD28))*POWER(KKslave,SIGN(GE28))+FY28*POWER(MUslave,SIGN(FX28))*POWER(INslave,SIGN(FZ28))*POWER(CHslave,SIGN(GA28))*POWER(FFslave,SIGN(GB28))*POWER(GEslave_GE,SIGN(GC28))*POWER(KOslave,SIGN(GD28))*POWER(KKslave,SIGN(GE28))+FZ28*POWER(MUslave,SIGN(FX28))*POWER(KLslave,SIGN(FY28))*POWER(CHslave,SIGN(GA28))*POWER(FFslave,SIGN(GB28))*POWER(GEslave_GE,SIGN(GC28))*POWER(KOslave,SIGN(GD28))*POWER(KKslave,SIGN(GE28))+GA28*POWER(MUslave,SIGN(FX28))*POWER(KLslave,SIGN(FY28))*POWER(INslave,SIGN(FZ28))*POWER(FFslave,SIGN(GB28))*POWER(GEslave_GE,SIGN(GC28))*POWER(KOslave,SIGN(GD28))*POWER(KKslave,SIGN(GE28))+GB28*POWER(MUslave,SIGN(FX28))*POWER(KLslave,SIGN(FY28))*POWER(INslave,SIGN(FZ28))*POWER(CHslave,SIGN(GA28))*POWER(GEslave_GE,SIGN(GC28))*POWER(KOslave,SIGN(GD28))*POWER(KKslave,SIGN(GE28))+GC28*POWER(MUslave,SIGN(FX28))*POWER(KLslave,SIGN(FY28))*POWER(INslave,SIGN(FZ28))*POWER(CHslave,SIGN(GA28))*POWER(FFslave,SIGN(GB28))*POWER(KOslave,SIGN(GD28))*POWER(KKslave,SIGN(GE28))+GD28*POWER(MUslave,SIGN(FX28))*POWER(KLslave,SIGN(FY28))*POWER(INslave,SIGN(FZ28))*POWER(CHslave,SIGN(GA28))*POWER(FFslave,SIGN(GB28))*POWER(GEslave_GE,SIGN(GC28))*POWER(KKslave,SIGN(GE28))+GE28*POWER(MUslave,SIGN(FX28))*POWER(KLslave,SIGN(FY28))*POWER(INslave,SIGN(FZ28))*POWER(CHslave,SIGN(GA28))*POWER(FFslave,SIGN(GB28))*POWER(GEslave_GE,SIGN(GC28))*POWER(KOslave,SIGN(GD28))</f>
        <v>2304</v>
      </c>
      <c r="GJ28" s="234">
        <f>FX28*FZ28*CHslave+FX28*INslave*GA28+MUslave*FZ28*GA28</f>
        <v>3456</v>
      </c>
      <c r="GK28" s="224">
        <f t="shared" si="196"/>
        <v>1728</v>
      </c>
      <c r="GL28" s="242">
        <f t="shared" si="238"/>
        <v>7488</v>
      </c>
      <c r="GM28" s="222">
        <f t="shared" si="197"/>
        <v>3.6923076923076925</v>
      </c>
      <c r="GN28" s="223">
        <f t="shared" si="198"/>
        <v>11.076923076923077</v>
      </c>
      <c r="GO28" s="243">
        <f t="shared" si="199"/>
        <v>8.3076923076923084</v>
      </c>
      <c r="GP28" s="218">
        <f t="shared" si="200"/>
        <v>23.07692307692308</v>
      </c>
      <c r="GQ28" s="252">
        <f t="shared" si="201"/>
        <v>0</v>
      </c>
      <c r="GR28" s="309">
        <f t="shared" si="202"/>
        <v>23.07692307692308</v>
      </c>
      <c r="GS28" s="218">
        <f t="shared" si="203"/>
        <v>173.5384615384616</v>
      </c>
      <c r="GT28" s="242">
        <f t="shared" si="203"/>
        <v>0</v>
      </c>
      <c r="GU28" s="243">
        <f t="shared" si="204"/>
        <v>173.5384615384616</v>
      </c>
      <c r="GV28" s="218">
        <f t="shared" si="205"/>
        <v>0</v>
      </c>
      <c r="GX28" s="303" t="s">
        <v>25</v>
      </c>
      <c r="GY28" s="243" t="s">
        <v>86</v>
      </c>
      <c r="GZ28" s="218" t="s">
        <v>132</v>
      </c>
      <c r="HA28" s="237">
        <f>Konvention_1slave-MUslave</f>
        <v>12</v>
      </c>
      <c r="HB28" s="234"/>
      <c r="HC28" s="234">
        <f t="shared" ref="HC28:HC34" si="262">Konvention_1slave-INslave</f>
        <v>12</v>
      </c>
      <c r="HD28" s="234">
        <f t="shared" si="206"/>
        <v>12</v>
      </c>
      <c r="HE28" s="234"/>
      <c r="HF28" s="234"/>
      <c r="HG28" s="234"/>
      <c r="HH28" s="224"/>
      <c r="HI28" s="222">
        <f t="shared" ref="HI28:HI34" si="263">(HA28+HB28+HC28+HD28+HE28+HF28+HG28+HH28)/3</f>
        <v>12</v>
      </c>
      <c r="HJ28" s="223">
        <f t="shared" si="207"/>
        <v>24</v>
      </c>
      <c r="HK28" s="224">
        <f t="shared" si="208"/>
        <v>36</v>
      </c>
      <c r="HL28" s="237">
        <f t="shared" ref="HL28:HL34" si="264">HA28*POWER(KLslave,SIGN(HB28))*POWER(INslave,SIGN(HC28))*POWER(CHslave,SIGN(HD28))*POWER(FFslave,SIGN(HE28))*POWER(GEslave,SIGN(HF28))*POWER(KOslave_KO,SIGN(HG28))*POWER(KKslave,SIGN(HH28))+HB28*POWER(MUslave,SIGN(HA28))*POWER(INslave,SIGN(HC28))*POWER(CHslave,SIGN(HD28))*POWER(FFslave,SIGN(HE28))*POWER(GEslave,SIGN(HF28))*POWER(KOslave_KO,SIGN(HG28))*POWER(KKslave,SIGN(HH28))+HC28*POWER(MUslave,SIGN(HA28))*POWER(KLslave,SIGN(HB28))*POWER(CHslave,SIGN(HD28))*POWER(FFslave,SIGN(HE28))*POWER(GEslave,SIGN(HF28))*POWER(KOslave_KO,SIGN(HG28))*POWER(KKslave,SIGN(HH28))+HD28*POWER(MUslave,SIGN(HA28))*POWER(KLslave,SIGN(HB28))*POWER(INslave,SIGN(HC28))*POWER(FFslave,SIGN(HE28))*POWER(GEslave,SIGN(HF28))*POWER(KOslave_KO,SIGN(HG28))*POWER(KKslave,SIGN(HH28))+HE28*POWER(MUslave,SIGN(HA28))*POWER(KLslave,SIGN(HB28))*POWER(INslave,SIGN(HC28))*POWER(CHslave,SIGN(HD28))*POWER(GEslave,SIGN(HF28))*POWER(KOslave_KO,SIGN(HG28))*POWER(KKslave,SIGN(HH28))+HF28*POWER(MUslave,SIGN(HA28))*POWER(KLslave,SIGN(HB28))*POWER(INslave,SIGN(HC28))*POWER(CHslave,SIGN(HD28))*POWER(FFslave,SIGN(HE28))*POWER(KOslave_KO,SIGN(HG28))*POWER(KKslave,SIGN(HH28))+HG28*POWER(MUslave,SIGN(HA28))*POWER(KLslave,SIGN(HB28))*POWER(INslave,SIGN(HC28))*POWER(CHslave,SIGN(HD28))*POWER(FFslave,SIGN(HE28))*POWER(GEslave,SIGN(HF28))*POWER(KKslave,SIGN(HH28))+HH28*POWER(MUslave,SIGN(HA28))*POWER(KLslave,SIGN(HB28))*POWER(INslave,SIGN(HC28))*POWER(CHslave,SIGN(HD28))*POWER(FFslave,SIGN(HE28))*POWER(GEslave,SIGN(HF28))*POWER(KOslave_KO,SIGN(HG28))</f>
        <v>2304</v>
      </c>
      <c r="HM28" s="234">
        <f>HA28*HC28*CHslave+HA28*INslave*HD28+MUslave*HC28*HD28</f>
        <v>3456</v>
      </c>
      <c r="HN28" s="224">
        <f t="shared" si="209"/>
        <v>1728</v>
      </c>
      <c r="HO28" s="242">
        <f t="shared" si="239"/>
        <v>7488</v>
      </c>
      <c r="HP28" s="222">
        <f t="shared" si="210"/>
        <v>3.6923076923076925</v>
      </c>
      <c r="HQ28" s="223">
        <f t="shared" si="211"/>
        <v>11.076923076923077</v>
      </c>
      <c r="HR28" s="243">
        <f t="shared" si="212"/>
        <v>8.3076923076923084</v>
      </c>
      <c r="HS28" s="218">
        <f t="shared" si="213"/>
        <v>23.07692307692308</v>
      </c>
      <c r="HT28" s="252">
        <f t="shared" si="214"/>
        <v>0</v>
      </c>
      <c r="HU28" s="309">
        <f t="shared" si="215"/>
        <v>23.07692307692308</v>
      </c>
      <c r="HV28" s="218">
        <f t="shared" si="216"/>
        <v>173.5384615384616</v>
      </c>
      <c r="HW28" s="242">
        <f t="shared" si="216"/>
        <v>0</v>
      </c>
      <c r="HX28" s="243">
        <f t="shared" si="217"/>
        <v>173.5384615384616</v>
      </c>
      <c r="HY28" s="218">
        <f t="shared" si="218"/>
        <v>0</v>
      </c>
      <c r="IA28" s="303" t="s">
        <v>25</v>
      </c>
      <c r="IB28" s="243" t="s">
        <v>86</v>
      </c>
      <c r="IC28" s="218" t="s">
        <v>132</v>
      </c>
      <c r="ID28" s="237">
        <f>Konvention_1slave-MUslave</f>
        <v>12</v>
      </c>
      <c r="IE28" s="234"/>
      <c r="IF28" s="234">
        <f t="shared" ref="IF28:IF34" si="265">Konvention_1slave-INslave</f>
        <v>12</v>
      </c>
      <c r="IG28" s="234">
        <f t="shared" si="219"/>
        <v>12</v>
      </c>
      <c r="IH28" s="234"/>
      <c r="II28" s="234"/>
      <c r="IJ28" s="234"/>
      <c r="IK28" s="224"/>
      <c r="IL28" s="222">
        <f t="shared" ref="IL28:IL34" si="266">(ID28+IE28+IF28+IG28+IH28+II28+IJ28+IK28)/3</f>
        <v>12</v>
      </c>
      <c r="IM28" s="223">
        <f t="shared" si="220"/>
        <v>24</v>
      </c>
      <c r="IN28" s="224">
        <f t="shared" si="221"/>
        <v>36</v>
      </c>
      <c r="IO28" s="237">
        <f t="shared" ref="IO28:IO34" si="267">ID28*POWER(KLslave,SIGN(IE28))*POWER(INslave,SIGN(IF28))*POWER(CHslave,SIGN(IG28))*POWER(FFslave,SIGN(IH28))*POWER(GEslave,SIGN(II28))*POWER(KOslave,SIGN(IJ28))*POWER(KKslave_KK,SIGN(IK28))+IE28*POWER(MUslave,SIGN(ID28))*POWER(INslave,SIGN(IF28))*POWER(CHslave,SIGN(IG28))*POWER(FFslave,SIGN(IH28))*POWER(GEslave,SIGN(II28))*POWER(KOslave,SIGN(IJ28))*POWER(KKslave_KK,SIGN(IK28))+IF28*POWER(MUslave,SIGN(ID28))*POWER(KLslave,SIGN(IE28))*POWER(CHslave,SIGN(IG28))*POWER(FFslave,SIGN(IH28))*POWER(GEslave,SIGN(II28))*POWER(KOslave,SIGN(IJ28))*POWER(KKslave_KK,SIGN(IK28))+IG28*POWER(MUslave,SIGN(ID28))*POWER(KLslave,SIGN(IE28))*POWER(INslave,SIGN(IF28))*POWER(FFslave,SIGN(IH28))*POWER(GEslave,SIGN(II28))*POWER(KOslave,SIGN(IJ28))*POWER(KKslave_KK,SIGN(IK28))+IH28*POWER(MUslave,SIGN(ID28))*POWER(KLslave,SIGN(IE28))*POWER(INslave,SIGN(IF28))*POWER(CHslave,SIGN(IG28))*POWER(GEslave,SIGN(II28))*POWER(KOslave,SIGN(IJ28))*POWER(KKslave_KK,SIGN(IK28))+II28*POWER(MUslave,SIGN(ID28))*POWER(KLslave,SIGN(IE28))*POWER(INslave,SIGN(IF28))*POWER(CHslave,SIGN(IG28))*POWER(FFslave,SIGN(IH28))*POWER(KOslave,SIGN(IJ28))*POWER(KKslave_KK,SIGN(IK28))+IJ28*POWER(MUslave,SIGN(ID28))*POWER(KLslave,SIGN(IE28))*POWER(INslave,SIGN(IF28))*POWER(CHslave,SIGN(IG28))*POWER(FFslave,SIGN(IH28))*POWER(GEslave,SIGN(II28))*POWER(KKslave_KK,SIGN(IK28))+IK28*POWER(MUslave,SIGN(ID28))*POWER(KLslave,SIGN(IE28))*POWER(INslave,SIGN(IF28))*POWER(CHslave,SIGN(IG28))*POWER(FFslave,SIGN(IH28))*POWER(GEslave,SIGN(II28))*POWER(KOslave,SIGN(IJ28))</f>
        <v>2304</v>
      </c>
      <c r="IP28" s="234">
        <f>ID28*IF28*CHslave+ID28*INslave*IG28+MUslave*IF28*IG28</f>
        <v>3456</v>
      </c>
      <c r="IQ28" s="224">
        <f t="shared" si="222"/>
        <v>1728</v>
      </c>
      <c r="IR28" s="242">
        <f t="shared" si="240"/>
        <v>7488</v>
      </c>
      <c r="IS28" s="222">
        <f t="shared" si="223"/>
        <v>3.6923076923076925</v>
      </c>
      <c r="IT28" s="223">
        <f t="shared" si="224"/>
        <v>11.076923076923077</v>
      </c>
      <c r="IU28" s="243">
        <f t="shared" si="225"/>
        <v>8.3076923076923084</v>
      </c>
      <c r="IV28" s="218">
        <f t="shared" si="226"/>
        <v>23.07692307692308</v>
      </c>
      <c r="IW28" s="252">
        <f t="shared" si="227"/>
        <v>0</v>
      </c>
      <c r="IX28" s="309">
        <f t="shared" si="228"/>
        <v>23.07692307692308</v>
      </c>
      <c r="IY28" s="218">
        <f t="shared" si="229"/>
        <v>173.5384615384616</v>
      </c>
      <c r="IZ28" s="242">
        <f t="shared" si="229"/>
        <v>0</v>
      </c>
      <c r="JA28" s="243">
        <f t="shared" si="230"/>
        <v>173.5384615384616</v>
      </c>
      <c r="JB28" s="218">
        <f t="shared" si="231"/>
        <v>0</v>
      </c>
      <c r="JE28" s="148"/>
    </row>
    <row r="29" spans="2:265" hidden="1" outlineLevel="2">
      <c r="B29" s="148">
        <v>4</v>
      </c>
      <c r="C29" s="303" t="e">
        <f>VLOOKUP(AF29,Attribute!C:T,1,FALSE)</f>
        <v>#N/A</v>
      </c>
      <c r="D29" s="167" t="s">
        <v>87</v>
      </c>
      <c r="E29" s="125" t="s">
        <v>132</v>
      </c>
      <c r="F29" s="114"/>
      <c r="G29" s="113">
        <f>Konvention_1master-KLmaster</f>
        <v>12</v>
      </c>
      <c r="H29" s="113">
        <f t="shared" si="241"/>
        <v>12</v>
      </c>
      <c r="I29" s="113">
        <f t="shared" si="116"/>
        <v>12</v>
      </c>
      <c r="J29" s="113"/>
      <c r="K29" s="113"/>
      <c r="L29" s="113"/>
      <c r="M29" s="119"/>
      <c r="N29" s="222">
        <f t="shared" si="242"/>
        <v>12</v>
      </c>
      <c r="O29" s="223">
        <f t="shared" si="117"/>
        <v>24</v>
      </c>
      <c r="P29" s="224">
        <f t="shared" si="118"/>
        <v>36</v>
      </c>
      <c r="Q29" s="237">
        <f t="shared" si="243"/>
        <v>2304</v>
      </c>
      <c r="R29" s="113">
        <f>G29*H29*CHmaster+G29*INmaster*I29+KLmaster*H29*I29</f>
        <v>3456</v>
      </c>
      <c r="S29" s="224">
        <f t="shared" si="119"/>
        <v>1728</v>
      </c>
      <c r="T29" s="242">
        <f t="shared" si="232"/>
        <v>7488</v>
      </c>
      <c r="U29" s="222">
        <f t="shared" si="120"/>
        <v>3.6923076923076925</v>
      </c>
      <c r="V29" s="223">
        <f t="shared" si="121"/>
        <v>11.076923076923077</v>
      </c>
      <c r="W29" s="243">
        <f t="shared" si="122"/>
        <v>8.3076923076923084</v>
      </c>
      <c r="X29" s="218">
        <f t="shared" si="123"/>
        <v>23.07692307692308</v>
      </c>
      <c r="Y29" s="252">
        <v>0</v>
      </c>
      <c r="Z29" s="198">
        <f t="shared" si="124"/>
        <v>23.07692307692308</v>
      </c>
      <c r="AA29" s="125">
        <f t="shared" si="125"/>
        <v>173.5384615384616</v>
      </c>
      <c r="AB29" s="160">
        <f t="shared" si="125"/>
        <v>0</v>
      </c>
      <c r="AC29" s="127">
        <f t="shared" si="126"/>
        <v>173.5384615384616</v>
      </c>
      <c r="AD29" s="125">
        <f t="shared" si="127"/>
        <v>0</v>
      </c>
      <c r="AF29" s="163" t="s">
        <v>26</v>
      </c>
      <c r="AG29" s="127" t="s">
        <v>87</v>
      </c>
      <c r="AH29" s="125" t="s">
        <v>132</v>
      </c>
      <c r="AI29" s="114"/>
      <c r="AJ29" s="113">
        <f>Konvention_1slave-KLslave</f>
        <v>12</v>
      </c>
      <c r="AK29" s="113">
        <f t="shared" si="244"/>
        <v>12</v>
      </c>
      <c r="AL29" s="113">
        <f t="shared" si="128"/>
        <v>12</v>
      </c>
      <c r="AM29" s="113"/>
      <c r="AN29" s="113"/>
      <c r="AO29" s="113"/>
      <c r="AP29" s="119"/>
      <c r="AQ29" s="89">
        <f t="shared" si="245"/>
        <v>12</v>
      </c>
      <c r="AR29" s="47">
        <f t="shared" si="129"/>
        <v>24</v>
      </c>
      <c r="AS29" s="119">
        <f t="shared" si="130"/>
        <v>36</v>
      </c>
      <c r="AT29" s="114">
        <f t="shared" si="246"/>
        <v>2304</v>
      </c>
      <c r="AU29" s="113">
        <f>AJ29*AK29*CHslave+AJ29*INslave*AL29+KLslave*AK29*AL29</f>
        <v>3456</v>
      </c>
      <c r="AV29" s="119">
        <f t="shared" si="131"/>
        <v>1728</v>
      </c>
      <c r="AW29" s="160">
        <f t="shared" si="233"/>
        <v>7488</v>
      </c>
      <c r="AX29" s="89">
        <f t="shared" si="132"/>
        <v>3.6923076923076925</v>
      </c>
      <c r="AY29" s="47">
        <f t="shared" si="133"/>
        <v>11.076923076923077</v>
      </c>
      <c r="AZ29" s="127">
        <f t="shared" si="134"/>
        <v>8.3076923076923084</v>
      </c>
      <c r="BA29" s="125">
        <f t="shared" si="135"/>
        <v>23.07692307692308</v>
      </c>
      <c r="BB29" s="165">
        <f t="shared" si="136"/>
        <v>0</v>
      </c>
      <c r="BC29" s="198">
        <f t="shared" si="137"/>
        <v>23.07692307692308</v>
      </c>
      <c r="BD29" s="125">
        <f t="shared" si="138"/>
        <v>173.5384615384616</v>
      </c>
      <c r="BE29" s="160">
        <f t="shared" si="138"/>
        <v>0</v>
      </c>
      <c r="BF29" s="243">
        <f t="shared" si="139"/>
        <v>173.5384615384616</v>
      </c>
      <c r="BG29" s="218">
        <f t="shared" si="140"/>
        <v>0</v>
      </c>
      <c r="BI29" s="303" t="s">
        <v>26</v>
      </c>
      <c r="BJ29" s="243" t="s">
        <v>87</v>
      </c>
      <c r="BK29" s="218" t="s">
        <v>132</v>
      </c>
      <c r="BL29" s="237"/>
      <c r="BM29" s="234">
        <f>Konvention_1slave-KLslave_KL</f>
        <v>11</v>
      </c>
      <c r="BN29" s="234">
        <f t="shared" si="247"/>
        <v>12</v>
      </c>
      <c r="BO29" s="234">
        <f t="shared" si="141"/>
        <v>12</v>
      </c>
      <c r="BP29" s="234"/>
      <c r="BQ29" s="234"/>
      <c r="BR29" s="234"/>
      <c r="BS29" s="224"/>
      <c r="BT29" s="222">
        <f t="shared" si="248"/>
        <v>11.666666666666666</v>
      </c>
      <c r="BU29" s="223">
        <f t="shared" si="142"/>
        <v>23.333333333333332</v>
      </c>
      <c r="BV29" s="224">
        <f t="shared" si="143"/>
        <v>35</v>
      </c>
      <c r="BW29" s="237">
        <f t="shared" si="249"/>
        <v>2432</v>
      </c>
      <c r="BX29" s="234">
        <f>BM29*BN29*CHslave+BM29*INslave*BO29+KLslave_KL*BN29*BO29</f>
        <v>3408</v>
      </c>
      <c r="BY29" s="224">
        <f t="shared" si="144"/>
        <v>1584</v>
      </c>
      <c r="BZ29" s="242">
        <f t="shared" si="234"/>
        <v>7424</v>
      </c>
      <c r="CA29" s="222">
        <f t="shared" si="145"/>
        <v>3.8218390804597702</v>
      </c>
      <c r="CB29" s="223">
        <f t="shared" si="146"/>
        <v>10.711206896551724</v>
      </c>
      <c r="CC29" s="243">
        <f t="shared" si="147"/>
        <v>7.4676724137931032</v>
      </c>
      <c r="CD29" s="218">
        <f t="shared" si="148"/>
        <v>22.000718390804597</v>
      </c>
      <c r="CE29" s="252">
        <f t="shared" si="149"/>
        <v>0</v>
      </c>
      <c r="CF29" s="309">
        <f t="shared" si="150"/>
        <v>22.000718390804597</v>
      </c>
      <c r="CG29" s="218">
        <f t="shared" si="151"/>
        <v>152.01436781609189</v>
      </c>
      <c r="CH29" s="242">
        <f t="shared" si="151"/>
        <v>0</v>
      </c>
      <c r="CI29" s="243">
        <f t="shared" si="152"/>
        <v>152.01436781609189</v>
      </c>
      <c r="CJ29" s="218">
        <f t="shared" si="153"/>
        <v>0</v>
      </c>
      <c r="CL29" s="303" t="s">
        <v>26</v>
      </c>
      <c r="CM29" s="243" t="s">
        <v>87</v>
      </c>
      <c r="CN29" s="218" t="s">
        <v>132</v>
      </c>
      <c r="CO29" s="237"/>
      <c r="CP29" s="234">
        <f>Konvention_1slave-KLslave</f>
        <v>12</v>
      </c>
      <c r="CQ29" s="234">
        <f t="shared" si="250"/>
        <v>11</v>
      </c>
      <c r="CR29" s="234">
        <f t="shared" si="154"/>
        <v>12</v>
      </c>
      <c r="CS29" s="234"/>
      <c r="CT29" s="234"/>
      <c r="CU29" s="234"/>
      <c r="CV29" s="224"/>
      <c r="CW29" s="222">
        <f t="shared" si="251"/>
        <v>11.666666666666666</v>
      </c>
      <c r="CX29" s="223">
        <f t="shared" si="155"/>
        <v>23.333333333333332</v>
      </c>
      <c r="CY29" s="224">
        <f t="shared" si="156"/>
        <v>35</v>
      </c>
      <c r="CZ29" s="237">
        <f t="shared" si="252"/>
        <v>2432</v>
      </c>
      <c r="DA29" s="234">
        <f>CP29*CQ29*CHslave+CP29*INslave_IN*CR29+KLslave*CQ29*CR29</f>
        <v>3408</v>
      </c>
      <c r="DB29" s="224">
        <f t="shared" si="157"/>
        <v>1584</v>
      </c>
      <c r="DC29" s="242">
        <f t="shared" si="235"/>
        <v>7424</v>
      </c>
      <c r="DD29" s="222">
        <f t="shared" si="158"/>
        <v>3.8218390804597702</v>
      </c>
      <c r="DE29" s="223">
        <f t="shared" si="159"/>
        <v>10.711206896551724</v>
      </c>
      <c r="DF29" s="243">
        <f t="shared" si="160"/>
        <v>7.4676724137931032</v>
      </c>
      <c r="DG29" s="218">
        <f t="shared" si="161"/>
        <v>22.000718390804597</v>
      </c>
      <c r="DH29" s="252">
        <f t="shared" si="162"/>
        <v>0</v>
      </c>
      <c r="DI29" s="309">
        <f t="shared" si="163"/>
        <v>22.000718390804597</v>
      </c>
      <c r="DJ29" s="218">
        <f t="shared" si="164"/>
        <v>152.01436781609189</v>
      </c>
      <c r="DK29" s="242">
        <f t="shared" si="164"/>
        <v>0</v>
      </c>
      <c r="DL29" s="243">
        <f t="shared" si="165"/>
        <v>152.01436781609189</v>
      </c>
      <c r="DM29" s="218">
        <f t="shared" si="166"/>
        <v>0</v>
      </c>
      <c r="DO29" s="303" t="s">
        <v>26</v>
      </c>
      <c r="DP29" s="243" t="s">
        <v>87</v>
      </c>
      <c r="DQ29" s="218" t="s">
        <v>132</v>
      </c>
      <c r="DR29" s="237"/>
      <c r="DS29" s="234">
        <f>Konvention_1slave-KLslave</f>
        <v>12</v>
      </c>
      <c r="DT29" s="234">
        <f t="shared" si="253"/>
        <v>12</v>
      </c>
      <c r="DU29" s="234">
        <f t="shared" si="167"/>
        <v>11</v>
      </c>
      <c r="DV29" s="234"/>
      <c r="DW29" s="234"/>
      <c r="DX29" s="234"/>
      <c r="DY29" s="224"/>
      <c r="DZ29" s="222">
        <f t="shared" si="254"/>
        <v>11.666666666666666</v>
      </c>
      <c r="EA29" s="223">
        <f t="shared" si="168"/>
        <v>23.333333333333332</v>
      </c>
      <c r="EB29" s="224">
        <f t="shared" si="169"/>
        <v>35</v>
      </c>
      <c r="EC29" s="237">
        <f t="shared" si="255"/>
        <v>2432</v>
      </c>
      <c r="ED29" s="234">
        <f>DS29*DT29*CHslave_CH+DS29*INslave*DU29+KLslave*DT29*DU29</f>
        <v>3408</v>
      </c>
      <c r="EE29" s="224">
        <f t="shared" si="170"/>
        <v>1584</v>
      </c>
      <c r="EF29" s="242">
        <f t="shared" si="236"/>
        <v>7424</v>
      </c>
      <c r="EG29" s="222">
        <f t="shared" si="171"/>
        <v>3.8218390804597702</v>
      </c>
      <c r="EH29" s="223">
        <f t="shared" si="172"/>
        <v>10.711206896551724</v>
      </c>
      <c r="EI29" s="243">
        <f t="shared" si="173"/>
        <v>7.4676724137931032</v>
      </c>
      <c r="EJ29" s="218">
        <f t="shared" si="174"/>
        <v>22.000718390804597</v>
      </c>
      <c r="EK29" s="252">
        <f t="shared" si="175"/>
        <v>0</v>
      </c>
      <c r="EL29" s="309">
        <f t="shared" si="176"/>
        <v>22.000718390804597</v>
      </c>
      <c r="EM29" s="218">
        <f t="shared" si="177"/>
        <v>152.01436781609189</v>
      </c>
      <c r="EN29" s="242">
        <f t="shared" si="177"/>
        <v>0</v>
      </c>
      <c r="EO29" s="243">
        <f t="shared" si="178"/>
        <v>152.01436781609189</v>
      </c>
      <c r="EP29" s="218">
        <f t="shared" si="179"/>
        <v>0</v>
      </c>
      <c r="ER29" s="303" t="s">
        <v>26</v>
      </c>
      <c r="ES29" s="243" t="s">
        <v>87</v>
      </c>
      <c r="ET29" s="218" t="s">
        <v>132</v>
      </c>
      <c r="EU29" s="237"/>
      <c r="EV29" s="234">
        <f>Konvention_1slave-KLslave</f>
        <v>12</v>
      </c>
      <c r="EW29" s="234">
        <f t="shared" si="256"/>
        <v>12</v>
      </c>
      <c r="EX29" s="234">
        <f t="shared" si="180"/>
        <v>12</v>
      </c>
      <c r="EY29" s="234"/>
      <c r="EZ29" s="234"/>
      <c r="FA29" s="234"/>
      <c r="FB29" s="224"/>
      <c r="FC29" s="222">
        <f t="shared" si="257"/>
        <v>12</v>
      </c>
      <c r="FD29" s="223">
        <f t="shared" si="181"/>
        <v>24</v>
      </c>
      <c r="FE29" s="224">
        <f t="shared" si="182"/>
        <v>36</v>
      </c>
      <c r="FF29" s="237">
        <f t="shared" si="258"/>
        <v>2304</v>
      </c>
      <c r="FG29" s="234">
        <f>EV29*EW29*CHslave+EV29*INslave*EX29+KLslave*EW29*EX29</f>
        <v>3456</v>
      </c>
      <c r="FH29" s="224">
        <f t="shared" si="183"/>
        <v>1728</v>
      </c>
      <c r="FI29" s="242">
        <f t="shared" si="237"/>
        <v>7488</v>
      </c>
      <c r="FJ29" s="222">
        <f t="shared" si="184"/>
        <v>3.6923076923076925</v>
      </c>
      <c r="FK29" s="223">
        <f t="shared" si="185"/>
        <v>11.076923076923077</v>
      </c>
      <c r="FL29" s="243">
        <f t="shared" si="186"/>
        <v>8.3076923076923084</v>
      </c>
      <c r="FM29" s="218">
        <f t="shared" si="187"/>
        <v>23.07692307692308</v>
      </c>
      <c r="FN29" s="252">
        <f t="shared" si="188"/>
        <v>0</v>
      </c>
      <c r="FO29" s="309">
        <f t="shared" si="189"/>
        <v>23.07692307692308</v>
      </c>
      <c r="FP29" s="218">
        <f t="shared" si="190"/>
        <v>173.5384615384616</v>
      </c>
      <c r="FQ29" s="242">
        <f t="shared" si="190"/>
        <v>0</v>
      </c>
      <c r="FR29" s="243">
        <f t="shared" si="191"/>
        <v>173.5384615384616</v>
      </c>
      <c r="FS29" s="218">
        <f t="shared" si="192"/>
        <v>0</v>
      </c>
      <c r="FU29" s="303" t="s">
        <v>26</v>
      </c>
      <c r="FV29" s="243" t="s">
        <v>87</v>
      </c>
      <c r="FW29" s="218" t="s">
        <v>132</v>
      </c>
      <c r="FX29" s="237"/>
      <c r="FY29" s="234">
        <f>Konvention_1slave-KLslave</f>
        <v>12</v>
      </c>
      <c r="FZ29" s="234">
        <f t="shared" si="259"/>
        <v>12</v>
      </c>
      <c r="GA29" s="234">
        <f t="shared" si="193"/>
        <v>12</v>
      </c>
      <c r="GB29" s="234"/>
      <c r="GC29" s="234"/>
      <c r="GD29" s="234"/>
      <c r="GE29" s="224"/>
      <c r="GF29" s="222">
        <f t="shared" si="260"/>
        <v>12</v>
      </c>
      <c r="GG29" s="223">
        <f t="shared" si="194"/>
        <v>24</v>
      </c>
      <c r="GH29" s="224">
        <f t="shared" si="195"/>
        <v>36</v>
      </c>
      <c r="GI29" s="237">
        <f t="shared" si="261"/>
        <v>2304</v>
      </c>
      <c r="GJ29" s="234">
        <f>FY29*FZ29*CHslave+FY29*INslave*GA29+KLslave*FZ29*GA29</f>
        <v>3456</v>
      </c>
      <c r="GK29" s="224">
        <f t="shared" si="196"/>
        <v>1728</v>
      </c>
      <c r="GL29" s="242">
        <f t="shared" si="238"/>
        <v>7488</v>
      </c>
      <c r="GM29" s="222">
        <f t="shared" si="197"/>
        <v>3.6923076923076925</v>
      </c>
      <c r="GN29" s="223">
        <f t="shared" si="198"/>
        <v>11.076923076923077</v>
      </c>
      <c r="GO29" s="243">
        <f t="shared" si="199"/>
        <v>8.3076923076923084</v>
      </c>
      <c r="GP29" s="218">
        <f t="shared" si="200"/>
        <v>23.07692307692308</v>
      </c>
      <c r="GQ29" s="252">
        <f t="shared" si="201"/>
        <v>0</v>
      </c>
      <c r="GR29" s="309">
        <f t="shared" si="202"/>
        <v>23.07692307692308</v>
      </c>
      <c r="GS29" s="218">
        <f t="shared" si="203"/>
        <v>173.5384615384616</v>
      </c>
      <c r="GT29" s="242">
        <f t="shared" si="203"/>
        <v>0</v>
      </c>
      <c r="GU29" s="243">
        <f t="shared" si="204"/>
        <v>173.5384615384616</v>
      </c>
      <c r="GV29" s="218">
        <f t="shared" si="205"/>
        <v>0</v>
      </c>
      <c r="GX29" s="303" t="s">
        <v>26</v>
      </c>
      <c r="GY29" s="243" t="s">
        <v>87</v>
      </c>
      <c r="GZ29" s="218" t="s">
        <v>132</v>
      </c>
      <c r="HA29" s="237"/>
      <c r="HB29" s="234">
        <f>Konvention_1slave-KLslave</f>
        <v>12</v>
      </c>
      <c r="HC29" s="234">
        <f t="shared" si="262"/>
        <v>12</v>
      </c>
      <c r="HD29" s="234">
        <f t="shared" si="206"/>
        <v>12</v>
      </c>
      <c r="HE29" s="234"/>
      <c r="HF29" s="234"/>
      <c r="HG29" s="234"/>
      <c r="HH29" s="224"/>
      <c r="HI29" s="222">
        <f t="shared" si="263"/>
        <v>12</v>
      </c>
      <c r="HJ29" s="223">
        <f t="shared" si="207"/>
        <v>24</v>
      </c>
      <c r="HK29" s="224">
        <f t="shared" si="208"/>
        <v>36</v>
      </c>
      <c r="HL29" s="237">
        <f t="shared" si="264"/>
        <v>2304</v>
      </c>
      <c r="HM29" s="234">
        <f>HB29*HC29*CHslave+HB29*INslave*HD29+KLslave*HC29*HD29</f>
        <v>3456</v>
      </c>
      <c r="HN29" s="224">
        <f t="shared" si="209"/>
        <v>1728</v>
      </c>
      <c r="HO29" s="242">
        <f t="shared" si="239"/>
        <v>7488</v>
      </c>
      <c r="HP29" s="222">
        <f t="shared" si="210"/>
        <v>3.6923076923076925</v>
      </c>
      <c r="HQ29" s="223">
        <f t="shared" si="211"/>
        <v>11.076923076923077</v>
      </c>
      <c r="HR29" s="243">
        <f t="shared" si="212"/>
        <v>8.3076923076923084</v>
      </c>
      <c r="HS29" s="218">
        <f t="shared" si="213"/>
        <v>23.07692307692308</v>
      </c>
      <c r="HT29" s="252">
        <f t="shared" si="214"/>
        <v>0</v>
      </c>
      <c r="HU29" s="309">
        <f t="shared" si="215"/>
        <v>23.07692307692308</v>
      </c>
      <c r="HV29" s="218">
        <f t="shared" si="216"/>
        <v>173.5384615384616</v>
      </c>
      <c r="HW29" s="242">
        <f t="shared" si="216"/>
        <v>0</v>
      </c>
      <c r="HX29" s="243">
        <f t="shared" si="217"/>
        <v>173.5384615384616</v>
      </c>
      <c r="HY29" s="218">
        <f t="shared" si="218"/>
        <v>0</v>
      </c>
      <c r="IA29" s="303" t="s">
        <v>26</v>
      </c>
      <c r="IB29" s="243" t="s">
        <v>87</v>
      </c>
      <c r="IC29" s="218" t="s">
        <v>132</v>
      </c>
      <c r="ID29" s="237"/>
      <c r="IE29" s="234">
        <f>Konvention_1slave-KLslave</f>
        <v>12</v>
      </c>
      <c r="IF29" s="234">
        <f t="shared" si="265"/>
        <v>12</v>
      </c>
      <c r="IG29" s="234">
        <f t="shared" si="219"/>
        <v>12</v>
      </c>
      <c r="IH29" s="234"/>
      <c r="II29" s="234"/>
      <c r="IJ29" s="234"/>
      <c r="IK29" s="224"/>
      <c r="IL29" s="222">
        <f t="shared" si="266"/>
        <v>12</v>
      </c>
      <c r="IM29" s="223">
        <f t="shared" si="220"/>
        <v>24</v>
      </c>
      <c r="IN29" s="224">
        <f t="shared" si="221"/>
        <v>36</v>
      </c>
      <c r="IO29" s="237">
        <f t="shared" si="267"/>
        <v>2304</v>
      </c>
      <c r="IP29" s="234">
        <f>IE29*IF29*CHslave+IE29*INslave*IG29+KLslave*IF29*IG29</f>
        <v>3456</v>
      </c>
      <c r="IQ29" s="224">
        <f t="shared" si="222"/>
        <v>1728</v>
      </c>
      <c r="IR29" s="242">
        <f t="shared" si="240"/>
        <v>7488</v>
      </c>
      <c r="IS29" s="222">
        <f t="shared" si="223"/>
        <v>3.6923076923076925</v>
      </c>
      <c r="IT29" s="223">
        <f t="shared" si="224"/>
        <v>11.076923076923077</v>
      </c>
      <c r="IU29" s="243">
        <f t="shared" si="225"/>
        <v>8.3076923076923084</v>
      </c>
      <c r="IV29" s="218">
        <f t="shared" si="226"/>
        <v>23.07692307692308</v>
      </c>
      <c r="IW29" s="252">
        <f t="shared" si="227"/>
        <v>0</v>
      </c>
      <c r="IX29" s="309">
        <f t="shared" si="228"/>
        <v>23.07692307692308</v>
      </c>
      <c r="IY29" s="218">
        <f t="shared" si="229"/>
        <v>173.5384615384616</v>
      </c>
      <c r="IZ29" s="242">
        <f t="shared" si="229"/>
        <v>0</v>
      </c>
      <c r="JA29" s="243">
        <f t="shared" si="230"/>
        <v>173.5384615384616</v>
      </c>
      <c r="JB29" s="218">
        <f t="shared" si="231"/>
        <v>0</v>
      </c>
      <c r="JE29" s="148"/>
    </row>
    <row r="30" spans="2:265" hidden="1" outlineLevel="2">
      <c r="B30" s="148">
        <v>5</v>
      </c>
      <c r="C30" s="303" t="e">
        <f>VLOOKUP(AF30,Attribute!C:T,1,FALSE)</f>
        <v>#N/A</v>
      </c>
      <c r="D30" s="167" t="s">
        <v>87</v>
      </c>
      <c r="E30" s="125" t="s">
        <v>135</v>
      </c>
      <c r="F30" s="114"/>
      <c r="G30" s="113">
        <f>Konvention_1master-KLmaster</f>
        <v>12</v>
      </c>
      <c r="H30" s="113">
        <f t="shared" si="241"/>
        <v>12</v>
      </c>
      <c r="I30" s="113">
        <f t="shared" si="116"/>
        <v>12</v>
      </c>
      <c r="J30" s="113"/>
      <c r="K30" s="113"/>
      <c r="L30" s="113"/>
      <c r="M30" s="119"/>
      <c r="N30" s="222">
        <f t="shared" si="242"/>
        <v>12</v>
      </c>
      <c r="O30" s="223">
        <f t="shared" si="117"/>
        <v>24</v>
      </c>
      <c r="P30" s="224">
        <f t="shared" si="118"/>
        <v>36</v>
      </c>
      <c r="Q30" s="237">
        <f t="shared" si="243"/>
        <v>2304</v>
      </c>
      <c r="R30" s="113">
        <f>G30*H30*CHmaster+G30*INmaster*I30+KLmaster*H30*I30</f>
        <v>3456</v>
      </c>
      <c r="S30" s="224">
        <f t="shared" si="119"/>
        <v>1728</v>
      </c>
      <c r="T30" s="242">
        <f t="shared" si="232"/>
        <v>7488</v>
      </c>
      <c r="U30" s="222">
        <f t="shared" si="120"/>
        <v>3.6923076923076925</v>
      </c>
      <c r="V30" s="223">
        <f t="shared" si="121"/>
        <v>11.076923076923077</v>
      </c>
      <c r="W30" s="243">
        <f t="shared" si="122"/>
        <v>8.3076923076923084</v>
      </c>
      <c r="X30" s="218">
        <f t="shared" si="123"/>
        <v>23.07692307692308</v>
      </c>
      <c r="Y30" s="252">
        <v>0</v>
      </c>
      <c r="Z30" s="198">
        <f t="shared" si="124"/>
        <v>23.07692307692308</v>
      </c>
      <c r="AA30" s="125">
        <f t="shared" ref="AA30:AB32" si="268">IF(X30&gt;0,X30,0)*3+IF(X30&gt;12,X30-12,0)*3+IF(X30&gt;13,X30-13,0)*3+IF(X30&gt;14,X30-14,0)*3+IF(X30&gt;15,X30-15,0)*3+IF(X30&gt;16,X30-16,0)*3+IF(X30&gt;17,X30-17,0)*3+IF(X30&gt;18,X30-18,0)*3+IF(X30&gt;19,X30-19,0)*3+IF(X30&gt;20,X30-20,0)*3</f>
        <v>260.30769230769232</v>
      </c>
      <c r="AB30" s="160">
        <f t="shared" si="268"/>
        <v>0</v>
      </c>
      <c r="AC30" s="127">
        <f t="shared" si="126"/>
        <v>260.30769230769232</v>
      </c>
      <c r="AD30" s="125">
        <f t="shared" si="127"/>
        <v>0</v>
      </c>
      <c r="AF30" s="163" t="s">
        <v>27</v>
      </c>
      <c r="AG30" s="127" t="s">
        <v>87</v>
      </c>
      <c r="AH30" s="125" t="s">
        <v>135</v>
      </c>
      <c r="AI30" s="114"/>
      <c r="AJ30" s="113">
        <f>Konvention_1slave-KLslave</f>
        <v>12</v>
      </c>
      <c r="AK30" s="113">
        <f t="shared" si="244"/>
        <v>12</v>
      </c>
      <c r="AL30" s="113">
        <f t="shared" si="128"/>
        <v>12</v>
      </c>
      <c r="AM30" s="113"/>
      <c r="AN30" s="113"/>
      <c r="AO30" s="113"/>
      <c r="AP30" s="119"/>
      <c r="AQ30" s="89">
        <f t="shared" si="245"/>
        <v>12</v>
      </c>
      <c r="AR30" s="47">
        <f t="shared" si="129"/>
        <v>24</v>
      </c>
      <c r="AS30" s="119">
        <f t="shared" si="130"/>
        <v>36</v>
      </c>
      <c r="AT30" s="114">
        <f t="shared" si="246"/>
        <v>2304</v>
      </c>
      <c r="AU30" s="113">
        <f>AJ30*AK30*CHslave+AJ30*INslave*AL30+KLslave*AK30*AL30</f>
        <v>3456</v>
      </c>
      <c r="AV30" s="119">
        <f t="shared" si="131"/>
        <v>1728</v>
      </c>
      <c r="AW30" s="160">
        <f t="shared" si="233"/>
        <v>7488</v>
      </c>
      <c r="AX30" s="89">
        <f t="shared" si="132"/>
        <v>3.6923076923076925</v>
      </c>
      <c r="AY30" s="47">
        <f t="shared" si="133"/>
        <v>11.076923076923077</v>
      </c>
      <c r="AZ30" s="127">
        <f t="shared" si="134"/>
        <v>8.3076923076923084</v>
      </c>
      <c r="BA30" s="125">
        <f t="shared" si="135"/>
        <v>23.07692307692308</v>
      </c>
      <c r="BB30" s="165">
        <f t="shared" si="136"/>
        <v>0</v>
      </c>
      <c r="BC30" s="198">
        <f t="shared" si="137"/>
        <v>23.07692307692308</v>
      </c>
      <c r="BD30" s="125">
        <f t="shared" ref="BD30:BE32" si="269">IF(BA30&gt;0,BA30,0)*3+IF(BA30&gt;12,BA30-12,0)*3+IF(BA30&gt;13,BA30-13,0)*3+IF(BA30&gt;14,BA30-14,0)*3+IF(BA30&gt;15,BA30-15,0)*3+IF(BA30&gt;16,BA30-16,0)*3+IF(BA30&gt;17,BA30-17,0)*3+IF(BA30&gt;18,BA30-18,0)*3+IF(BA30&gt;19,BA30-19,0)*3+IF(BA30&gt;20,BA30-20,0)*3</f>
        <v>260.30769230769232</v>
      </c>
      <c r="BE30" s="160">
        <f t="shared" si="269"/>
        <v>0</v>
      </c>
      <c r="BF30" s="243">
        <f t="shared" si="139"/>
        <v>260.30769230769232</v>
      </c>
      <c r="BG30" s="218">
        <f t="shared" si="140"/>
        <v>0</v>
      </c>
      <c r="BI30" s="303" t="s">
        <v>27</v>
      </c>
      <c r="BJ30" s="243" t="s">
        <v>87</v>
      </c>
      <c r="BK30" s="218" t="s">
        <v>135</v>
      </c>
      <c r="BL30" s="237"/>
      <c r="BM30" s="234">
        <f>Konvention_1slave-KLslave_KL</f>
        <v>11</v>
      </c>
      <c r="BN30" s="234">
        <f t="shared" si="247"/>
        <v>12</v>
      </c>
      <c r="BO30" s="234">
        <f t="shared" si="141"/>
        <v>12</v>
      </c>
      <c r="BP30" s="234"/>
      <c r="BQ30" s="234"/>
      <c r="BR30" s="234"/>
      <c r="BS30" s="224"/>
      <c r="BT30" s="222">
        <f t="shared" si="248"/>
        <v>11.666666666666666</v>
      </c>
      <c r="BU30" s="223">
        <f t="shared" si="142"/>
        <v>23.333333333333332</v>
      </c>
      <c r="BV30" s="224">
        <f t="shared" si="143"/>
        <v>35</v>
      </c>
      <c r="BW30" s="237">
        <f t="shared" si="249"/>
        <v>2432</v>
      </c>
      <c r="BX30" s="234">
        <f>BM30*BN30*CHslave+BM30*INslave*BO30+KLslave_KL*BN30*BO30</f>
        <v>3408</v>
      </c>
      <c r="BY30" s="224">
        <f t="shared" si="144"/>
        <v>1584</v>
      </c>
      <c r="BZ30" s="242">
        <f t="shared" si="234"/>
        <v>7424</v>
      </c>
      <c r="CA30" s="222">
        <f t="shared" si="145"/>
        <v>3.8218390804597702</v>
      </c>
      <c r="CB30" s="223">
        <f t="shared" si="146"/>
        <v>10.711206896551724</v>
      </c>
      <c r="CC30" s="243">
        <f t="shared" si="147"/>
        <v>7.4676724137931032</v>
      </c>
      <c r="CD30" s="218">
        <f t="shared" si="148"/>
        <v>22.000718390804597</v>
      </c>
      <c r="CE30" s="252">
        <f t="shared" si="149"/>
        <v>0</v>
      </c>
      <c r="CF30" s="309">
        <f t="shared" si="150"/>
        <v>22.000718390804597</v>
      </c>
      <c r="CG30" s="218">
        <f t="shared" ref="CG30:CH32" si="270">IF(CD30&gt;0,CD30,0)*3+IF(CD30&gt;12,CD30-12,0)*3+IF(CD30&gt;13,CD30-13,0)*3+IF(CD30&gt;14,CD30-14,0)*3+IF(CD30&gt;15,CD30-15,0)*3+IF(CD30&gt;16,CD30-16,0)*3+IF(CD30&gt;17,CD30-17,0)*3+IF(CD30&gt;18,CD30-18,0)*3+IF(CD30&gt;19,CD30-19,0)*3+IF(CD30&gt;20,CD30-20,0)*3</f>
        <v>228.02155172413785</v>
      </c>
      <c r="CH30" s="242">
        <f t="shared" si="270"/>
        <v>0</v>
      </c>
      <c r="CI30" s="243">
        <f t="shared" si="152"/>
        <v>228.02155172413785</v>
      </c>
      <c r="CJ30" s="218">
        <f t="shared" si="153"/>
        <v>0</v>
      </c>
      <c r="CL30" s="303" t="s">
        <v>27</v>
      </c>
      <c r="CM30" s="243" t="s">
        <v>87</v>
      </c>
      <c r="CN30" s="218" t="s">
        <v>135</v>
      </c>
      <c r="CO30" s="237"/>
      <c r="CP30" s="234">
        <f>Konvention_1slave-KLslave</f>
        <v>12</v>
      </c>
      <c r="CQ30" s="234">
        <f t="shared" si="250"/>
        <v>11</v>
      </c>
      <c r="CR30" s="234">
        <f t="shared" si="154"/>
        <v>12</v>
      </c>
      <c r="CS30" s="234"/>
      <c r="CT30" s="234"/>
      <c r="CU30" s="234"/>
      <c r="CV30" s="224"/>
      <c r="CW30" s="222">
        <f t="shared" si="251"/>
        <v>11.666666666666666</v>
      </c>
      <c r="CX30" s="223">
        <f t="shared" si="155"/>
        <v>23.333333333333332</v>
      </c>
      <c r="CY30" s="224">
        <f t="shared" si="156"/>
        <v>35</v>
      </c>
      <c r="CZ30" s="237">
        <f t="shared" si="252"/>
        <v>2432</v>
      </c>
      <c r="DA30" s="234">
        <f>CP30*CQ30*CHslave+CP30*INslave_IN*CR30+KLslave*CQ30*CR30</f>
        <v>3408</v>
      </c>
      <c r="DB30" s="224">
        <f t="shared" si="157"/>
        <v>1584</v>
      </c>
      <c r="DC30" s="242">
        <f t="shared" si="235"/>
        <v>7424</v>
      </c>
      <c r="DD30" s="222">
        <f t="shared" si="158"/>
        <v>3.8218390804597702</v>
      </c>
      <c r="DE30" s="223">
        <f t="shared" si="159"/>
        <v>10.711206896551724</v>
      </c>
      <c r="DF30" s="243">
        <f t="shared" si="160"/>
        <v>7.4676724137931032</v>
      </c>
      <c r="DG30" s="218">
        <f t="shared" si="161"/>
        <v>22.000718390804597</v>
      </c>
      <c r="DH30" s="252">
        <f t="shared" si="162"/>
        <v>0</v>
      </c>
      <c r="DI30" s="309">
        <f t="shared" si="163"/>
        <v>22.000718390804597</v>
      </c>
      <c r="DJ30" s="218">
        <f t="shared" ref="DJ30:DK32" si="271">IF(DG30&gt;0,DG30,0)*3+IF(DG30&gt;12,DG30-12,0)*3+IF(DG30&gt;13,DG30-13,0)*3+IF(DG30&gt;14,DG30-14,0)*3+IF(DG30&gt;15,DG30-15,0)*3+IF(DG30&gt;16,DG30-16,0)*3+IF(DG30&gt;17,DG30-17,0)*3+IF(DG30&gt;18,DG30-18,0)*3+IF(DG30&gt;19,DG30-19,0)*3+IF(DG30&gt;20,DG30-20,0)*3</f>
        <v>228.02155172413785</v>
      </c>
      <c r="DK30" s="242">
        <f t="shared" si="271"/>
        <v>0</v>
      </c>
      <c r="DL30" s="243">
        <f t="shared" si="165"/>
        <v>228.02155172413785</v>
      </c>
      <c r="DM30" s="218">
        <f t="shared" si="166"/>
        <v>0</v>
      </c>
      <c r="DO30" s="303" t="s">
        <v>27</v>
      </c>
      <c r="DP30" s="243" t="s">
        <v>87</v>
      </c>
      <c r="DQ30" s="218" t="s">
        <v>135</v>
      </c>
      <c r="DR30" s="237"/>
      <c r="DS30" s="234">
        <f>Konvention_1slave-KLslave</f>
        <v>12</v>
      </c>
      <c r="DT30" s="234">
        <f t="shared" si="253"/>
        <v>12</v>
      </c>
      <c r="DU30" s="234">
        <f t="shared" si="167"/>
        <v>11</v>
      </c>
      <c r="DV30" s="234"/>
      <c r="DW30" s="234"/>
      <c r="DX30" s="234"/>
      <c r="DY30" s="224"/>
      <c r="DZ30" s="222">
        <f t="shared" si="254"/>
        <v>11.666666666666666</v>
      </c>
      <c r="EA30" s="223">
        <f t="shared" si="168"/>
        <v>23.333333333333332</v>
      </c>
      <c r="EB30" s="224">
        <f t="shared" si="169"/>
        <v>35</v>
      </c>
      <c r="EC30" s="237">
        <f t="shared" si="255"/>
        <v>2432</v>
      </c>
      <c r="ED30" s="234">
        <f>DS30*DT30*CHslave_CH+DS30*INslave*DU30+KLslave*DT30*DU30</f>
        <v>3408</v>
      </c>
      <c r="EE30" s="224">
        <f t="shared" si="170"/>
        <v>1584</v>
      </c>
      <c r="EF30" s="242">
        <f t="shared" si="236"/>
        <v>7424</v>
      </c>
      <c r="EG30" s="222">
        <f t="shared" si="171"/>
        <v>3.8218390804597702</v>
      </c>
      <c r="EH30" s="223">
        <f t="shared" si="172"/>
        <v>10.711206896551724</v>
      </c>
      <c r="EI30" s="243">
        <f t="shared" si="173"/>
        <v>7.4676724137931032</v>
      </c>
      <c r="EJ30" s="218">
        <f t="shared" si="174"/>
        <v>22.000718390804597</v>
      </c>
      <c r="EK30" s="252">
        <f t="shared" si="175"/>
        <v>0</v>
      </c>
      <c r="EL30" s="309">
        <f t="shared" si="176"/>
        <v>22.000718390804597</v>
      </c>
      <c r="EM30" s="218">
        <f t="shared" ref="EM30:EN32" si="272">IF(EJ30&gt;0,EJ30,0)*3+IF(EJ30&gt;12,EJ30-12,0)*3+IF(EJ30&gt;13,EJ30-13,0)*3+IF(EJ30&gt;14,EJ30-14,0)*3+IF(EJ30&gt;15,EJ30-15,0)*3+IF(EJ30&gt;16,EJ30-16,0)*3+IF(EJ30&gt;17,EJ30-17,0)*3+IF(EJ30&gt;18,EJ30-18,0)*3+IF(EJ30&gt;19,EJ30-19,0)*3+IF(EJ30&gt;20,EJ30-20,0)*3</f>
        <v>228.02155172413785</v>
      </c>
      <c r="EN30" s="242">
        <f t="shared" si="272"/>
        <v>0</v>
      </c>
      <c r="EO30" s="243">
        <f t="shared" si="178"/>
        <v>228.02155172413785</v>
      </c>
      <c r="EP30" s="218">
        <f t="shared" si="179"/>
        <v>0</v>
      </c>
      <c r="ER30" s="303" t="s">
        <v>27</v>
      </c>
      <c r="ES30" s="243" t="s">
        <v>87</v>
      </c>
      <c r="ET30" s="218" t="s">
        <v>135</v>
      </c>
      <c r="EU30" s="237"/>
      <c r="EV30" s="234">
        <f>Konvention_1slave-KLslave</f>
        <v>12</v>
      </c>
      <c r="EW30" s="234">
        <f t="shared" si="256"/>
        <v>12</v>
      </c>
      <c r="EX30" s="234">
        <f t="shared" si="180"/>
        <v>12</v>
      </c>
      <c r="EY30" s="234"/>
      <c r="EZ30" s="234"/>
      <c r="FA30" s="234"/>
      <c r="FB30" s="224"/>
      <c r="FC30" s="222">
        <f t="shared" si="257"/>
        <v>12</v>
      </c>
      <c r="FD30" s="223">
        <f t="shared" si="181"/>
        <v>24</v>
      </c>
      <c r="FE30" s="224">
        <f t="shared" si="182"/>
        <v>36</v>
      </c>
      <c r="FF30" s="237">
        <f t="shared" si="258"/>
        <v>2304</v>
      </c>
      <c r="FG30" s="234">
        <f>EV30*EW30*CHslave+EV30*INslave*EX30+KLslave*EW30*EX30</f>
        <v>3456</v>
      </c>
      <c r="FH30" s="224">
        <f t="shared" si="183"/>
        <v>1728</v>
      </c>
      <c r="FI30" s="242">
        <f t="shared" si="237"/>
        <v>7488</v>
      </c>
      <c r="FJ30" s="222">
        <f t="shared" si="184"/>
        <v>3.6923076923076925</v>
      </c>
      <c r="FK30" s="223">
        <f t="shared" si="185"/>
        <v>11.076923076923077</v>
      </c>
      <c r="FL30" s="243">
        <f t="shared" si="186"/>
        <v>8.3076923076923084</v>
      </c>
      <c r="FM30" s="218">
        <f t="shared" si="187"/>
        <v>23.07692307692308</v>
      </c>
      <c r="FN30" s="252">
        <f t="shared" si="188"/>
        <v>0</v>
      </c>
      <c r="FO30" s="309">
        <f t="shared" si="189"/>
        <v>23.07692307692308</v>
      </c>
      <c r="FP30" s="218">
        <f t="shared" ref="FP30:FQ32" si="273">IF(FM30&gt;0,FM30,0)*3+IF(FM30&gt;12,FM30-12,0)*3+IF(FM30&gt;13,FM30-13,0)*3+IF(FM30&gt;14,FM30-14,0)*3+IF(FM30&gt;15,FM30-15,0)*3+IF(FM30&gt;16,FM30-16,0)*3+IF(FM30&gt;17,FM30-17,0)*3+IF(FM30&gt;18,FM30-18,0)*3+IF(FM30&gt;19,FM30-19,0)*3+IF(FM30&gt;20,FM30-20,0)*3</f>
        <v>260.30769230769232</v>
      </c>
      <c r="FQ30" s="242">
        <f t="shared" si="273"/>
        <v>0</v>
      </c>
      <c r="FR30" s="243">
        <f t="shared" si="191"/>
        <v>260.30769230769232</v>
      </c>
      <c r="FS30" s="218">
        <f t="shared" si="192"/>
        <v>0</v>
      </c>
      <c r="FU30" s="303" t="s">
        <v>27</v>
      </c>
      <c r="FV30" s="243" t="s">
        <v>87</v>
      </c>
      <c r="FW30" s="218" t="s">
        <v>135</v>
      </c>
      <c r="FX30" s="237"/>
      <c r="FY30" s="234">
        <f>Konvention_1slave-KLslave</f>
        <v>12</v>
      </c>
      <c r="FZ30" s="234">
        <f t="shared" si="259"/>
        <v>12</v>
      </c>
      <c r="GA30" s="234">
        <f t="shared" si="193"/>
        <v>12</v>
      </c>
      <c r="GB30" s="234"/>
      <c r="GC30" s="234"/>
      <c r="GD30" s="234"/>
      <c r="GE30" s="224"/>
      <c r="GF30" s="222">
        <f t="shared" si="260"/>
        <v>12</v>
      </c>
      <c r="GG30" s="223">
        <f t="shared" si="194"/>
        <v>24</v>
      </c>
      <c r="GH30" s="224">
        <f t="shared" si="195"/>
        <v>36</v>
      </c>
      <c r="GI30" s="237">
        <f t="shared" si="261"/>
        <v>2304</v>
      </c>
      <c r="GJ30" s="234">
        <f>FY30*FZ30*CHslave+FY30*INslave*GA30+KLslave*FZ30*GA30</f>
        <v>3456</v>
      </c>
      <c r="GK30" s="224">
        <f t="shared" si="196"/>
        <v>1728</v>
      </c>
      <c r="GL30" s="242">
        <f t="shared" si="238"/>
        <v>7488</v>
      </c>
      <c r="GM30" s="222">
        <f t="shared" si="197"/>
        <v>3.6923076923076925</v>
      </c>
      <c r="GN30" s="223">
        <f t="shared" si="198"/>
        <v>11.076923076923077</v>
      </c>
      <c r="GO30" s="243">
        <f t="shared" si="199"/>
        <v>8.3076923076923084</v>
      </c>
      <c r="GP30" s="218">
        <f t="shared" si="200"/>
        <v>23.07692307692308</v>
      </c>
      <c r="GQ30" s="252">
        <f t="shared" si="201"/>
        <v>0</v>
      </c>
      <c r="GR30" s="309">
        <f t="shared" si="202"/>
        <v>23.07692307692308</v>
      </c>
      <c r="GS30" s="218">
        <f t="shared" ref="GS30:GT32" si="274">IF(GP30&gt;0,GP30,0)*3+IF(GP30&gt;12,GP30-12,0)*3+IF(GP30&gt;13,GP30-13,0)*3+IF(GP30&gt;14,GP30-14,0)*3+IF(GP30&gt;15,GP30-15,0)*3+IF(GP30&gt;16,GP30-16,0)*3+IF(GP30&gt;17,GP30-17,0)*3+IF(GP30&gt;18,GP30-18,0)*3+IF(GP30&gt;19,GP30-19,0)*3+IF(GP30&gt;20,GP30-20,0)*3</f>
        <v>260.30769230769232</v>
      </c>
      <c r="GT30" s="242">
        <f t="shared" si="274"/>
        <v>0</v>
      </c>
      <c r="GU30" s="243">
        <f t="shared" si="204"/>
        <v>260.30769230769232</v>
      </c>
      <c r="GV30" s="218">
        <f t="shared" si="205"/>
        <v>0</v>
      </c>
      <c r="GX30" s="303" t="s">
        <v>27</v>
      </c>
      <c r="GY30" s="243" t="s">
        <v>87</v>
      </c>
      <c r="GZ30" s="218" t="s">
        <v>135</v>
      </c>
      <c r="HA30" s="237"/>
      <c r="HB30" s="234">
        <f>Konvention_1slave-KLslave</f>
        <v>12</v>
      </c>
      <c r="HC30" s="234">
        <f t="shared" si="262"/>
        <v>12</v>
      </c>
      <c r="HD30" s="234">
        <f t="shared" si="206"/>
        <v>12</v>
      </c>
      <c r="HE30" s="234"/>
      <c r="HF30" s="234"/>
      <c r="HG30" s="234"/>
      <c r="HH30" s="224"/>
      <c r="HI30" s="222">
        <f t="shared" si="263"/>
        <v>12</v>
      </c>
      <c r="HJ30" s="223">
        <f t="shared" si="207"/>
        <v>24</v>
      </c>
      <c r="HK30" s="224">
        <f t="shared" si="208"/>
        <v>36</v>
      </c>
      <c r="HL30" s="237">
        <f t="shared" si="264"/>
        <v>2304</v>
      </c>
      <c r="HM30" s="234">
        <f>HB30*HC30*CHslave+HB30*INslave*HD30+KLslave*HC30*HD30</f>
        <v>3456</v>
      </c>
      <c r="HN30" s="224">
        <f t="shared" si="209"/>
        <v>1728</v>
      </c>
      <c r="HO30" s="242">
        <f t="shared" si="239"/>
        <v>7488</v>
      </c>
      <c r="HP30" s="222">
        <f t="shared" si="210"/>
        <v>3.6923076923076925</v>
      </c>
      <c r="HQ30" s="223">
        <f t="shared" si="211"/>
        <v>11.076923076923077</v>
      </c>
      <c r="HR30" s="243">
        <f t="shared" si="212"/>
        <v>8.3076923076923084</v>
      </c>
      <c r="HS30" s="218">
        <f t="shared" si="213"/>
        <v>23.07692307692308</v>
      </c>
      <c r="HT30" s="252">
        <f t="shared" si="214"/>
        <v>0</v>
      </c>
      <c r="HU30" s="309">
        <f t="shared" si="215"/>
        <v>23.07692307692308</v>
      </c>
      <c r="HV30" s="218">
        <f t="shared" ref="HV30:HW32" si="275">IF(HS30&gt;0,HS30,0)*3+IF(HS30&gt;12,HS30-12,0)*3+IF(HS30&gt;13,HS30-13,0)*3+IF(HS30&gt;14,HS30-14,0)*3+IF(HS30&gt;15,HS30-15,0)*3+IF(HS30&gt;16,HS30-16,0)*3+IF(HS30&gt;17,HS30-17,0)*3+IF(HS30&gt;18,HS30-18,0)*3+IF(HS30&gt;19,HS30-19,0)*3+IF(HS30&gt;20,HS30-20,0)*3</f>
        <v>260.30769230769232</v>
      </c>
      <c r="HW30" s="242">
        <f t="shared" si="275"/>
        <v>0</v>
      </c>
      <c r="HX30" s="243">
        <f t="shared" si="217"/>
        <v>260.30769230769232</v>
      </c>
      <c r="HY30" s="218">
        <f t="shared" si="218"/>
        <v>0</v>
      </c>
      <c r="IA30" s="303" t="s">
        <v>27</v>
      </c>
      <c r="IB30" s="243" t="s">
        <v>87</v>
      </c>
      <c r="IC30" s="218" t="s">
        <v>135</v>
      </c>
      <c r="ID30" s="237"/>
      <c r="IE30" s="234">
        <f>Konvention_1slave-KLslave</f>
        <v>12</v>
      </c>
      <c r="IF30" s="234">
        <f t="shared" si="265"/>
        <v>12</v>
      </c>
      <c r="IG30" s="234">
        <f t="shared" si="219"/>
        <v>12</v>
      </c>
      <c r="IH30" s="234"/>
      <c r="II30" s="234"/>
      <c r="IJ30" s="234"/>
      <c r="IK30" s="224"/>
      <c r="IL30" s="222">
        <f t="shared" si="266"/>
        <v>12</v>
      </c>
      <c r="IM30" s="223">
        <f t="shared" si="220"/>
        <v>24</v>
      </c>
      <c r="IN30" s="224">
        <f t="shared" si="221"/>
        <v>36</v>
      </c>
      <c r="IO30" s="237">
        <f t="shared" si="267"/>
        <v>2304</v>
      </c>
      <c r="IP30" s="234">
        <f>IE30*IF30*CHslave+IE30*INslave*IG30+KLslave*IF30*IG30</f>
        <v>3456</v>
      </c>
      <c r="IQ30" s="224">
        <f t="shared" si="222"/>
        <v>1728</v>
      </c>
      <c r="IR30" s="242">
        <f t="shared" si="240"/>
        <v>7488</v>
      </c>
      <c r="IS30" s="222">
        <f t="shared" si="223"/>
        <v>3.6923076923076925</v>
      </c>
      <c r="IT30" s="223">
        <f t="shared" si="224"/>
        <v>11.076923076923077</v>
      </c>
      <c r="IU30" s="243">
        <f t="shared" si="225"/>
        <v>8.3076923076923084</v>
      </c>
      <c r="IV30" s="218">
        <f t="shared" si="226"/>
        <v>23.07692307692308</v>
      </c>
      <c r="IW30" s="252">
        <f t="shared" si="227"/>
        <v>0</v>
      </c>
      <c r="IX30" s="309">
        <f t="shared" si="228"/>
        <v>23.07692307692308</v>
      </c>
      <c r="IY30" s="218">
        <f t="shared" ref="IY30:IZ32" si="276">IF(IV30&gt;0,IV30,0)*3+IF(IV30&gt;12,IV30-12,0)*3+IF(IV30&gt;13,IV30-13,0)*3+IF(IV30&gt;14,IV30-14,0)*3+IF(IV30&gt;15,IV30-15,0)*3+IF(IV30&gt;16,IV30-16,0)*3+IF(IV30&gt;17,IV30-17,0)*3+IF(IV30&gt;18,IV30-18,0)*3+IF(IV30&gt;19,IV30-19,0)*3+IF(IV30&gt;20,IV30-20,0)*3</f>
        <v>260.30769230769232</v>
      </c>
      <c r="IZ30" s="242">
        <f t="shared" si="276"/>
        <v>0</v>
      </c>
      <c r="JA30" s="243">
        <f t="shared" si="230"/>
        <v>260.30769230769232</v>
      </c>
      <c r="JB30" s="218">
        <f t="shared" si="231"/>
        <v>0</v>
      </c>
      <c r="JE30" s="148"/>
    </row>
    <row r="31" spans="2:265" hidden="1" outlineLevel="2">
      <c r="B31" s="148">
        <v>6</v>
      </c>
      <c r="C31" s="303" t="e">
        <f>VLOOKUP(AF31,Attribute!C:T,1,FALSE)</f>
        <v>#N/A</v>
      </c>
      <c r="D31" s="167" t="s">
        <v>87</v>
      </c>
      <c r="E31" s="125" t="s">
        <v>135</v>
      </c>
      <c r="F31" s="114"/>
      <c r="G31" s="113">
        <f>Konvention_1master-KLmaster</f>
        <v>12</v>
      </c>
      <c r="H31" s="113">
        <f t="shared" si="241"/>
        <v>12</v>
      </c>
      <c r="I31" s="113">
        <f t="shared" si="116"/>
        <v>12</v>
      </c>
      <c r="J31" s="113"/>
      <c r="K31" s="113"/>
      <c r="L31" s="113"/>
      <c r="M31" s="119"/>
      <c r="N31" s="222">
        <f t="shared" si="242"/>
        <v>12</v>
      </c>
      <c r="O31" s="223">
        <f t="shared" si="117"/>
        <v>24</v>
      </c>
      <c r="P31" s="224">
        <f t="shared" si="118"/>
        <v>36</v>
      </c>
      <c r="Q31" s="237">
        <f t="shared" si="243"/>
        <v>2304</v>
      </c>
      <c r="R31" s="113">
        <f>G31*H31*CHmaster+G31*INmaster*I31+KLmaster*H31*I31</f>
        <v>3456</v>
      </c>
      <c r="S31" s="224">
        <f t="shared" si="119"/>
        <v>1728</v>
      </c>
      <c r="T31" s="242">
        <f t="shared" si="232"/>
        <v>7488</v>
      </c>
      <c r="U31" s="222">
        <f t="shared" si="120"/>
        <v>3.6923076923076925</v>
      </c>
      <c r="V31" s="223">
        <f t="shared" si="121"/>
        <v>11.076923076923077</v>
      </c>
      <c r="W31" s="243">
        <f t="shared" si="122"/>
        <v>8.3076923076923084</v>
      </c>
      <c r="X31" s="218">
        <f t="shared" si="123"/>
        <v>23.07692307692308</v>
      </c>
      <c r="Y31" s="252">
        <v>0</v>
      </c>
      <c r="Z31" s="198">
        <f t="shared" si="124"/>
        <v>23.07692307692308</v>
      </c>
      <c r="AA31" s="125">
        <f t="shared" si="268"/>
        <v>260.30769230769232</v>
      </c>
      <c r="AB31" s="160">
        <f t="shared" si="268"/>
        <v>0</v>
      </c>
      <c r="AC31" s="127">
        <f t="shared" si="126"/>
        <v>260.30769230769232</v>
      </c>
      <c r="AD31" s="125">
        <f t="shared" si="127"/>
        <v>0</v>
      </c>
      <c r="AF31" s="163" t="s">
        <v>28</v>
      </c>
      <c r="AG31" s="127" t="s">
        <v>87</v>
      </c>
      <c r="AH31" s="125" t="s">
        <v>135</v>
      </c>
      <c r="AI31" s="114"/>
      <c r="AJ31" s="113">
        <f>Konvention_1slave-KLslave</f>
        <v>12</v>
      </c>
      <c r="AK31" s="113">
        <f t="shared" si="244"/>
        <v>12</v>
      </c>
      <c r="AL31" s="113">
        <f t="shared" si="128"/>
        <v>12</v>
      </c>
      <c r="AM31" s="113"/>
      <c r="AN31" s="113"/>
      <c r="AO31" s="113"/>
      <c r="AP31" s="119"/>
      <c r="AQ31" s="89">
        <f t="shared" si="245"/>
        <v>12</v>
      </c>
      <c r="AR31" s="47">
        <f t="shared" si="129"/>
        <v>24</v>
      </c>
      <c r="AS31" s="119">
        <f t="shared" si="130"/>
        <v>36</v>
      </c>
      <c r="AT31" s="114">
        <f t="shared" si="246"/>
        <v>2304</v>
      </c>
      <c r="AU31" s="113">
        <f>AJ31*AK31*CHslave+AJ31*INslave*AL31+KLslave*AK31*AL31</f>
        <v>3456</v>
      </c>
      <c r="AV31" s="119">
        <f t="shared" si="131"/>
        <v>1728</v>
      </c>
      <c r="AW31" s="160">
        <f t="shared" si="233"/>
        <v>7488</v>
      </c>
      <c r="AX31" s="89">
        <f t="shared" si="132"/>
        <v>3.6923076923076925</v>
      </c>
      <c r="AY31" s="47">
        <f t="shared" si="133"/>
        <v>11.076923076923077</v>
      </c>
      <c r="AZ31" s="127">
        <f t="shared" si="134"/>
        <v>8.3076923076923084</v>
      </c>
      <c r="BA31" s="125">
        <f t="shared" si="135"/>
        <v>23.07692307692308</v>
      </c>
      <c r="BB31" s="165">
        <f t="shared" si="136"/>
        <v>0</v>
      </c>
      <c r="BC31" s="198">
        <f t="shared" si="137"/>
        <v>23.07692307692308</v>
      </c>
      <c r="BD31" s="125">
        <f t="shared" si="269"/>
        <v>260.30769230769232</v>
      </c>
      <c r="BE31" s="160">
        <f t="shared" si="269"/>
        <v>0</v>
      </c>
      <c r="BF31" s="243">
        <f t="shared" si="139"/>
        <v>260.30769230769232</v>
      </c>
      <c r="BG31" s="218">
        <f t="shared" si="140"/>
        <v>0</v>
      </c>
      <c r="BI31" s="303" t="s">
        <v>28</v>
      </c>
      <c r="BJ31" s="243" t="s">
        <v>87</v>
      </c>
      <c r="BK31" s="218" t="s">
        <v>135</v>
      </c>
      <c r="BL31" s="237"/>
      <c r="BM31" s="234">
        <f>Konvention_1slave-KLslave_KL</f>
        <v>11</v>
      </c>
      <c r="BN31" s="234">
        <f t="shared" si="247"/>
        <v>12</v>
      </c>
      <c r="BO31" s="234">
        <f t="shared" si="141"/>
        <v>12</v>
      </c>
      <c r="BP31" s="234"/>
      <c r="BQ31" s="234"/>
      <c r="BR31" s="234"/>
      <c r="BS31" s="224"/>
      <c r="BT31" s="222">
        <f t="shared" si="248"/>
        <v>11.666666666666666</v>
      </c>
      <c r="BU31" s="223">
        <f t="shared" si="142"/>
        <v>23.333333333333332</v>
      </c>
      <c r="BV31" s="224">
        <f t="shared" si="143"/>
        <v>35</v>
      </c>
      <c r="BW31" s="237">
        <f t="shared" si="249"/>
        <v>2432</v>
      </c>
      <c r="BX31" s="234">
        <f>BM31*BN31*CHslave+BM31*INslave*BO31+KLslave_KL*BN31*BO31</f>
        <v>3408</v>
      </c>
      <c r="BY31" s="224">
        <f t="shared" si="144"/>
        <v>1584</v>
      </c>
      <c r="BZ31" s="242">
        <f t="shared" si="234"/>
        <v>7424</v>
      </c>
      <c r="CA31" s="222">
        <f t="shared" si="145"/>
        <v>3.8218390804597702</v>
      </c>
      <c r="CB31" s="223">
        <f t="shared" si="146"/>
        <v>10.711206896551724</v>
      </c>
      <c r="CC31" s="243">
        <f t="shared" si="147"/>
        <v>7.4676724137931032</v>
      </c>
      <c r="CD31" s="218">
        <f t="shared" si="148"/>
        <v>22.000718390804597</v>
      </c>
      <c r="CE31" s="252">
        <f t="shared" si="149"/>
        <v>0</v>
      </c>
      <c r="CF31" s="309">
        <f t="shared" si="150"/>
        <v>22.000718390804597</v>
      </c>
      <c r="CG31" s="218">
        <f t="shared" si="270"/>
        <v>228.02155172413785</v>
      </c>
      <c r="CH31" s="242">
        <f t="shared" si="270"/>
        <v>0</v>
      </c>
      <c r="CI31" s="243">
        <f t="shared" si="152"/>
        <v>228.02155172413785</v>
      </c>
      <c r="CJ31" s="218">
        <f t="shared" si="153"/>
        <v>0</v>
      </c>
      <c r="CL31" s="303" t="s">
        <v>28</v>
      </c>
      <c r="CM31" s="243" t="s">
        <v>87</v>
      </c>
      <c r="CN31" s="218" t="s">
        <v>135</v>
      </c>
      <c r="CO31" s="237"/>
      <c r="CP31" s="234">
        <f>Konvention_1slave-KLslave</f>
        <v>12</v>
      </c>
      <c r="CQ31" s="234">
        <f t="shared" si="250"/>
        <v>11</v>
      </c>
      <c r="CR31" s="234">
        <f t="shared" si="154"/>
        <v>12</v>
      </c>
      <c r="CS31" s="234"/>
      <c r="CT31" s="234"/>
      <c r="CU31" s="234"/>
      <c r="CV31" s="224"/>
      <c r="CW31" s="222">
        <f t="shared" si="251"/>
        <v>11.666666666666666</v>
      </c>
      <c r="CX31" s="223">
        <f t="shared" si="155"/>
        <v>23.333333333333332</v>
      </c>
      <c r="CY31" s="224">
        <f t="shared" si="156"/>
        <v>35</v>
      </c>
      <c r="CZ31" s="237">
        <f t="shared" si="252"/>
        <v>2432</v>
      </c>
      <c r="DA31" s="234">
        <f>CP31*CQ31*CHslave+CP31*INslave_IN*CR31+KLslave*CQ31*CR31</f>
        <v>3408</v>
      </c>
      <c r="DB31" s="224">
        <f t="shared" si="157"/>
        <v>1584</v>
      </c>
      <c r="DC31" s="242">
        <f t="shared" si="235"/>
        <v>7424</v>
      </c>
      <c r="DD31" s="222">
        <f t="shared" si="158"/>
        <v>3.8218390804597702</v>
      </c>
      <c r="DE31" s="223">
        <f t="shared" si="159"/>
        <v>10.711206896551724</v>
      </c>
      <c r="DF31" s="243">
        <f t="shared" si="160"/>
        <v>7.4676724137931032</v>
      </c>
      <c r="DG31" s="218">
        <f t="shared" si="161"/>
        <v>22.000718390804597</v>
      </c>
      <c r="DH31" s="252">
        <f t="shared" si="162"/>
        <v>0</v>
      </c>
      <c r="DI31" s="309">
        <f t="shared" si="163"/>
        <v>22.000718390804597</v>
      </c>
      <c r="DJ31" s="218">
        <f t="shared" si="271"/>
        <v>228.02155172413785</v>
      </c>
      <c r="DK31" s="242">
        <f t="shared" si="271"/>
        <v>0</v>
      </c>
      <c r="DL31" s="243">
        <f t="shared" si="165"/>
        <v>228.02155172413785</v>
      </c>
      <c r="DM31" s="218">
        <f t="shared" si="166"/>
        <v>0</v>
      </c>
      <c r="DO31" s="303" t="s">
        <v>28</v>
      </c>
      <c r="DP31" s="243" t="s">
        <v>87</v>
      </c>
      <c r="DQ31" s="218" t="s">
        <v>135</v>
      </c>
      <c r="DR31" s="237"/>
      <c r="DS31" s="234">
        <f>Konvention_1slave-KLslave</f>
        <v>12</v>
      </c>
      <c r="DT31" s="234">
        <f t="shared" si="253"/>
        <v>12</v>
      </c>
      <c r="DU31" s="234">
        <f t="shared" si="167"/>
        <v>11</v>
      </c>
      <c r="DV31" s="234"/>
      <c r="DW31" s="234"/>
      <c r="DX31" s="234"/>
      <c r="DY31" s="224"/>
      <c r="DZ31" s="222">
        <f t="shared" si="254"/>
        <v>11.666666666666666</v>
      </c>
      <c r="EA31" s="223">
        <f t="shared" si="168"/>
        <v>23.333333333333332</v>
      </c>
      <c r="EB31" s="224">
        <f t="shared" si="169"/>
        <v>35</v>
      </c>
      <c r="EC31" s="237">
        <f t="shared" si="255"/>
        <v>2432</v>
      </c>
      <c r="ED31" s="234">
        <f>DS31*DT31*CHslave_CH+DS31*INslave*DU31+KLslave*DT31*DU31</f>
        <v>3408</v>
      </c>
      <c r="EE31" s="224">
        <f t="shared" si="170"/>
        <v>1584</v>
      </c>
      <c r="EF31" s="242">
        <f t="shared" si="236"/>
        <v>7424</v>
      </c>
      <c r="EG31" s="222">
        <f t="shared" si="171"/>
        <v>3.8218390804597702</v>
      </c>
      <c r="EH31" s="223">
        <f t="shared" si="172"/>
        <v>10.711206896551724</v>
      </c>
      <c r="EI31" s="243">
        <f t="shared" si="173"/>
        <v>7.4676724137931032</v>
      </c>
      <c r="EJ31" s="218">
        <f t="shared" si="174"/>
        <v>22.000718390804597</v>
      </c>
      <c r="EK31" s="252">
        <f t="shared" si="175"/>
        <v>0</v>
      </c>
      <c r="EL31" s="309">
        <f t="shared" si="176"/>
        <v>22.000718390804597</v>
      </c>
      <c r="EM31" s="218">
        <f t="shared" si="272"/>
        <v>228.02155172413785</v>
      </c>
      <c r="EN31" s="242">
        <f t="shared" si="272"/>
        <v>0</v>
      </c>
      <c r="EO31" s="243">
        <f t="shared" si="178"/>
        <v>228.02155172413785</v>
      </c>
      <c r="EP31" s="218">
        <f t="shared" si="179"/>
        <v>0</v>
      </c>
      <c r="ER31" s="303" t="s">
        <v>28</v>
      </c>
      <c r="ES31" s="243" t="s">
        <v>87</v>
      </c>
      <c r="ET31" s="218" t="s">
        <v>135</v>
      </c>
      <c r="EU31" s="237"/>
      <c r="EV31" s="234">
        <f>Konvention_1slave-KLslave</f>
        <v>12</v>
      </c>
      <c r="EW31" s="234">
        <f t="shared" si="256"/>
        <v>12</v>
      </c>
      <c r="EX31" s="234">
        <f t="shared" si="180"/>
        <v>12</v>
      </c>
      <c r="EY31" s="234"/>
      <c r="EZ31" s="234"/>
      <c r="FA31" s="234"/>
      <c r="FB31" s="224"/>
      <c r="FC31" s="222">
        <f t="shared" si="257"/>
        <v>12</v>
      </c>
      <c r="FD31" s="223">
        <f t="shared" si="181"/>
        <v>24</v>
      </c>
      <c r="FE31" s="224">
        <f t="shared" si="182"/>
        <v>36</v>
      </c>
      <c r="FF31" s="237">
        <f t="shared" si="258"/>
        <v>2304</v>
      </c>
      <c r="FG31" s="234">
        <f>EV31*EW31*CHslave+EV31*INslave*EX31+KLslave*EW31*EX31</f>
        <v>3456</v>
      </c>
      <c r="FH31" s="224">
        <f t="shared" si="183"/>
        <v>1728</v>
      </c>
      <c r="FI31" s="242">
        <f t="shared" si="237"/>
        <v>7488</v>
      </c>
      <c r="FJ31" s="222">
        <f t="shared" si="184"/>
        <v>3.6923076923076925</v>
      </c>
      <c r="FK31" s="223">
        <f t="shared" si="185"/>
        <v>11.076923076923077</v>
      </c>
      <c r="FL31" s="243">
        <f t="shared" si="186"/>
        <v>8.3076923076923084</v>
      </c>
      <c r="FM31" s="218">
        <f t="shared" si="187"/>
        <v>23.07692307692308</v>
      </c>
      <c r="FN31" s="252">
        <f t="shared" si="188"/>
        <v>0</v>
      </c>
      <c r="FO31" s="309">
        <f t="shared" si="189"/>
        <v>23.07692307692308</v>
      </c>
      <c r="FP31" s="218">
        <f t="shared" si="273"/>
        <v>260.30769230769232</v>
      </c>
      <c r="FQ31" s="242">
        <f t="shared" si="273"/>
        <v>0</v>
      </c>
      <c r="FR31" s="243">
        <f t="shared" si="191"/>
        <v>260.30769230769232</v>
      </c>
      <c r="FS31" s="218">
        <f t="shared" si="192"/>
        <v>0</v>
      </c>
      <c r="FU31" s="303" t="s">
        <v>28</v>
      </c>
      <c r="FV31" s="243" t="s">
        <v>87</v>
      </c>
      <c r="FW31" s="218" t="s">
        <v>135</v>
      </c>
      <c r="FX31" s="237"/>
      <c r="FY31" s="234">
        <f>Konvention_1slave-KLslave</f>
        <v>12</v>
      </c>
      <c r="FZ31" s="234">
        <f t="shared" si="259"/>
        <v>12</v>
      </c>
      <c r="GA31" s="234">
        <f t="shared" si="193"/>
        <v>12</v>
      </c>
      <c r="GB31" s="234"/>
      <c r="GC31" s="234"/>
      <c r="GD31" s="234"/>
      <c r="GE31" s="224"/>
      <c r="GF31" s="222">
        <f t="shared" si="260"/>
        <v>12</v>
      </c>
      <c r="GG31" s="223">
        <f t="shared" si="194"/>
        <v>24</v>
      </c>
      <c r="GH31" s="224">
        <f t="shared" si="195"/>
        <v>36</v>
      </c>
      <c r="GI31" s="237">
        <f t="shared" si="261"/>
        <v>2304</v>
      </c>
      <c r="GJ31" s="234">
        <f>FY31*FZ31*CHslave+FY31*INslave*GA31+KLslave*FZ31*GA31</f>
        <v>3456</v>
      </c>
      <c r="GK31" s="224">
        <f t="shared" si="196"/>
        <v>1728</v>
      </c>
      <c r="GL31" s="242">
        <f t="shared" si="238"/>
        <v>7488</v>
      </c>
      <c r="GM31" s="222">
        <f t="shared" si="197"/>
        <v>3.6923076923076925</v>
      </c>
      <c r="GN31" s="223">
        <f t="shared" si="198"/>
        <v>11.076923076923077</v>
      </c>
      <c r="GO31" s="243">
        <f t="shared" si="199"/>
        <v>8.3076923076923084</v>
      </c>
      <c r="GP31" s="218">
        <f t="shared" si="200"/>
        <v>23.07692307692308</v>
      </c>
      <c r="GQ31" s="252">
        <f t="shared" si="201"/>
        <v>0</v>
      </c>
      <c r="GR31" s="309">
        <f t="shared" si="202"/>
        <v>23.07692307692308</v>
      </c>
      <c r="GS31" s="218">
        <f t="shared" si="274"/>
        <v>260.30769230769232</v>
      </c>
      <c r="GT31" s="242">
        <f t="shared" si="274"/>
        <v>0</v>
      </c>
      <c r="GU31" s="243">
        <f t="shared" si="204"/>
        <v>260.30769230769232</v>
      </c>
      <c r="GV31" s="218">
        <f t="shared" si="205"/>
        <v>0</v>
      </c>
      <c r="GX31" s="303" t="s">
        <v>28</v>
      </c>
      <c r="GY31" s="243" t="s">
        <v>87</v>
      </c>
      <c r="GZ31" s="218" t="s">
        <v>135</v>
      </c>
      <c r="HA31" s="237"/>
      <c r="HB31" s="234">
        <f>Konvention_1slave-KLslave</f>
        <v>12</v>
      </c>
      <c r="HC31" s="234">
        <f t="shared" si="262"/>
        <v>12</v>
      </c>
      <c r="HD31" s="234">
        <f t="shared" si="206"/>
        <v>12</v>
      </c>
      <c r="HE31" s="234"/>
      <c r="HF31" s="234"/>
      <c r="HG31" s="234"/>
      <c r="HH31" s="224"/>
      <c r="HI31" s="222">
        <f t="shared" si="263"/>
        <v>12</v>
      </c>
      <c r="HJ31" s="223">
        <f t="shared" si="207"/>
        <v>24</v>
      </c>
      <c r="HK31" s="224">
        <f t="shared" si="208"/>
        <v>36</v>
      </c>
      <c r="HL31" s="237">
        <f t="shared" si="264"/>
        <v>2304</v>
      </c>
      <c r="HM31" s="234">
        <f>HB31*HC31*CHslave+HB31*INslave*HD31+KLslave*HC31*HD31</f>
        <v>3456</v>
      </c>
      <c r="HN31" s="224">
        <f t="shared" si="209"/>
        <v>1728</v>
      </c>
      <c r="HO31" s="242">
        <f t="shared" si="239"/>
        <v>7488</v>
      </c>
      <c r="HP31" s="222">
        <f t="shared" si="210"/>
        <v>3.6923076923076925</v>
      </c>
      <c r="HQ31" s="223">
        <f t="shared" si="211"/>
        <v>11.076923076923077</v>
      </c>
      <c r="HR31" s="243">
        <f t="shared" si="212"/>
        <v>8.3076923076923084</v>
      </c>
      <c r="HS31" s="218">
        <f t="shared" si="213"/>
        <v>23.07692307692308</v>
      </c>
      <c r="HT31" s="252">
        <f t="shared" si="214"/>
        <v>0</v>
      </c>
      <c r="HU31" s="309">
        <f t="shared" si="215"/>
        <v>23.07692307692308</v>
      </c>
      <c r="HV31" s="218">
        <f t="shared" si="275"/>
        <v>260.30769230769232</v>
      </c>
      <c r="HW31" s="242">
        <f t="shared" si="275"/>
        <v>0</v>
      </c>
      <c r="HX31" s="243">
        <f t="shared" si="217"/>
        <v>260.30769230769232</v>
      </c>
      <c r="HY31" s="218">
        <f t="shared" si="218"/>
        <v>0</v>
      </c>
      <c r="IA31" s="303" t="s">
        <v>28</v>
      </c>
      <c r="IB31" s="243" t="s">
        <v>87</v>
      </c>
      <c r="IC31" s="218" t="s">
        <v>135</v>
      </c>
      <c r="ID31" s="237"/>
      <c r="IE31" s="234">
        <f>Konvention_1slave-KLslave</f>
        <v>12</v>
      </c>
      <c r="IF31" s="234">
        <f t="shared" si="265"/>
        <v>12</v>
      </c>
      <c r="IG31" s="234">
        <f t="shared" si="219"/>
        <v>12</v>
      </c>
      <c r="IH31" s="234"/>
      <c r="II31" s="234"/>
      <c r="IJ31" s="234"/>
      <c r="IK31" s="224"/>
      <c r="IL31" s="222">
        <f t="shared" si="266"/>
        <v>12</v>
      </c>
      <c r="IM31" s="223">
        <f t="shared" si="220"/>
        <v>24</v>
      </c>
      <c r="IN31" s="224">
        <f t="shared" si="221"/>
        <v>36</v>
      </c>
      <c r="IO31" s="237">
        <f t="shared" si="267"/>
        <v>2304</v>
      </c>
      <c r="IP31" s="234">
        <f>IE31*IF31*CHslave+IE31*INslave*IG31+KLslave*IF31*IG31</f>
        <v>3456</v>
      </c>
      <c r="IQ31" s="224">
        <f t="shared" si="222"/>
        <v>1728</v>
      </c>
      <c r="IR31" s="242">
        <f t="shared" si="240"/>
        <v>7488</v>
      </c>
      <c r="IS31" s="222">
        <f t="shared" si="223"/>
        <v>3.6923076923076925</v>
      </c>
      <c r="IT31" s="223">
        <f t="shared" si="224"/>
        <v>11.076923076923077</v>
      </c>
      <c r="IU31" s="243">
        <f t="shared" si="225"/>
        <v>8.3076923076923084</v>
      </c>
      <c r="IV31" s="218">
        <f t="shared" si="226"/>
        <v>23.07692307692308</v>
      </c>
      <c r="IW31" s="252">
        <f t="shared" si="227"/>
        <v>0</v>
      </c>
      <c r="IX31" s="309">
        <f t="shared" si="228"/>
        <v>23.07692307692308</v>
      </c>
      <c r="IY31" s="218">
        <f t="shared" si="276"/>
        <v>260.30769230769232</v>
      </c>
      <c r="IZ31" s="242">
        <f t="shared" si="276"/>
        <v>0</v>
      </c>
      <c r="JA31" s="243">
        <f t="shared" si="230"/>
        <v>260.30769230769232</v>
      </c>
      <c r="JB31" s="218">
        <f t="shared" si="231"/>
        <v>0</v>
      </c>
      <c r="JE31" s="148"/>
    </row>
    <row r="32" spans="2:265" hidden="1" outlineLevel="2">
      <c r="B32" s="148">
        <v>7</v>
      </c>
      <c r="C32" s="303" t="e">
        <f>VLOOKUP(AF32,Attribute!C:T,1,FALSE)</f>
        <v>#N/A</v>
      </c>
      <c r="D32" s="167" t="s">
        <v>86</v>
      </c>
      <c r="E32" s="125" t="s">
        <v>135</v>
      </c>
      <c r="F32" s="114">
        <f>Konvention_1master-MUmaster</f>
        <v>12</v>
      </c>
      <c r="G32" s="113"/>
      <c r="H32" s="113">
        <f t="shared" si="241"/>
        <v>12</v>
      </c>
      <c r="I32" s="113">
        <f t="shared" si="116"/>
        <v>12</v>
      </c>
      <c r="J32" s="113"/>
      <c r="K32" s="113"/>
      <c r="L32" s="113"/>
      <c r="M32" s="119"/>
      <c r="N32" s="222">
        <f t="shared" si="242"/>
        <v>12</v>
      </c>
      <c r="O32" s="223">
        <f t="shared" si="117"/>
        <v>24</v>
      </c>
      <c r="P32" s="224">
        <f t="shared" si="118"/>
        <v>36</v>
      </c>
      <c r="Q32" s="237">
        <f t="shared" si="243"/>
        <v>2304</v>
      </c>
      <c r="R32" s="113">
        <f>F32*H32*CHmaster+F32*INmaster*I32+MUmaster*H32*I32</f>
        <v>3456</v>
      </c>
      <c r="S32" s="224">
        <f t="shared" si="119"/>
        <v>1728</v>
      </c>
      <c r="T32" s="242">
        <f t="shared" si="232"/>
        <v>7488</v>
      </c>
      <c r="U32" s="222">
        <f t="shared" si="120"/>
        <v>3.6923076923076925</v>
      </c>
      <c r="V32" s="223">
        <f t="shared" si="121"/>
        <v>11.076923076923077</v>
      </c>
      <c r="W32" s="243">
        <f t="shared" si="122"/>
        <v>8.3076923076923084</v>
      </c>
      <c r="X32" s="218">
        <f t="shared" si="123"/>
        <v>23.07692307692308</v>
      </c>
      <c r="Y32" s="252">
        <v>0</v>
      </c>
      <c r="Z32" s="198">
        <f t="shared" si="124"/>
        <v>23.07692307692308</v>
      </c>
      <c r="AA32" s="125">
        <f t="shared" si="268"/>
        <v>260.30769230769232</v>
      </c>
      <c r="AB32" s="160">
        <f t="shared" si="268"/>
        <v>0</v>
      </c>
      <c r="AC32" s="127">
        <f t="shared" si="126"/>
        <v>260.30769230769232</v>
      </c>
      <c r="AD32" s="125">
        <f t="shared" si="127"/>
        <v>0</v>
      </c>
      <c r="AF32" s="163" t="s">
        <v>29</v>
      </c>
      <c r="AG32" s="127" t="s">
        <v>86</v>
      </c>
      <c r="AH32" s="125" t="s">
        <v>135</v>
      </c>
      <c r="AI32" s="114">
        <f>Konvention_1slave-MUslave_MU</f>
        <v>11</v>
      </c>
      <c r="AJ32" s="113"/>
      <c r="AK32" s="113">
        <f t="shared" si="244"/>
        <v>12</v>
      </c>
      <c r="AL32" s="113">
        <f t="shared" si="128"/>
        <v>12</v>
      </c>
      <c r="AM32" s="113"/>
      <c r="AN32" s="113"/>
      <c r="AO32" s="113"/>
      <c r="AP32" s="119"/>
      <c r="AQ32" s="89">
        <f t="shared" si="245"/>
        <v>11.666666666666666</v>
      </c>
      <c r="AR32" s="47">
        <f t="shared" si="129"/>
        <v>23.333333333333332</v>
      </c>
      <c r="AS32" s="119">
        <f t="shared" si="130"/>
        <v>35</v>
      </c>
      <c r="AT32" s="114">
        <f t="shared" si="246"/>
        <v>2432</v>
      </c>
      <c r="AU32" s="113">
        <f>AI32*AK32*CHslave+AI32*INslave*AL32+MUslave_MU*AK32*AL32</f>
        <v>3408</v>
      </c>
      <c r="AV32" s="119">
        <f t="shared" si="131"/>
        <v>1584</v>
      </c>
      <c r="AW32" s="160">
        <f t="shared" si="233"/>
        <v>7424</v>
      </c>
      <c r="AX32" s="89">
        <f t="shared" si="132"/>
        <v>3.8218390804597702</v>
      </c>
      <c r="AY32" s="47">
        <f t="shared" si="133"/>
        <v>10.711206896551724</v>
      </c>
      <c r="AZ32" s="127">
        <f t="shared" si="134"/>
        <v>7.4676724137931032</v>
      </c>
      <c r="BA32" s="125">
        <f t="shared" si="135"/>
        <v>22.000718390804597</v>
      </c>
      <c r="BB32" s="165">
        <f t="shared" si="136"/>
        <v>0</v>
      </c>
      <c r="BC32" s="198">
        <f t="shared" si="137"/>
        <v>22.000718390804597</v>
      </c>
      <c r="BD32" s="125">
        <f t="shared" si="269"/>
        <v>228.02155172413785</v>
      </c>
      <c r="BE32" s="160">
        <f t="shared" si="269"/>
        <v>0</v>
      </c>
      <c r="BF32" s="243">
        <f t="shared" si="139"/>
        <v>228.02155172413785</v>
      </c>
      <c r="BG32" s="218">
        <f t="shared" si="140"/>
        <v>0</v>
      </c>
      <c r="BI32" s="303" t="s">
        <v>29</v>
      </c>
      <c r="BJ32" s="243" t="s">
        <v>86</v>
      </c>
      <c r="BK32" s="218" t="s">
        <v>135</v>
      </c>
      <c r="BL32" s="237">
        <f>Konvention_1slave-MUslave</f>
        <v>12</v>
      </c>
      <c r="BM32" s="234"/>
      <c r="BN32" s="234">
        <f t="shared" si="247"/>
        <v>12</v>
      </c>
      <c r="BO32" s="234">
        <f t="shared" si="141"/>
        <v>12</v>
      </c>
      <c r="BP32" s="234"/>
      <c r="BQ32" s="234"/>
      <c r="BR32" s="234"/>
      <c r="BS32" s="224"/>
      <c r="BT32" s="222">
        <f t="shared" si="248"/>
        <v>12</v>
      </c>
      <c r="BU32" s="223">
        <f t="shared" si="142"/>
        <v>24</v>
      </c>
      <c r="BV32" s="224">
        <f t="shared" si="143"/>
        <v>36</v>
      </c>
      <c r="BW32" s="237">
        <f t="shared" si="249"/>
        <v>2304</v>
      </c>
      <c r="BX32" s="234">
        <f>BL32*BN32*CHslave+BL32*INslave*BO32+MUslave*BN32*BO32</f>
        <v>3456</v>
      </c>
      <c r="BY32" s="224">
        <f t="shared" si="144"/>
        <v>1728</v>
      </c>
      <c r="BZ32" s="242">
        <f t="shared" si="234"/>
        <v>7488</v>
      </c>
      <c r="CA32" s="222">
        <f t="shared" si="145"/>
        <v>3.6923076923076925</v>
      </c>
      <c r="CB32" s="223">
        <f t="shared" si="146"/>
        <v>11.076923076923077</v>
      </c>
      <c r="CC32" s="243">
        <f t="shared" si="147"/>
        <v>8.3076923076923084</v>
      </c>
      <c r="CD32" s="218">
        <f t="shared" si="148"/>
        <v>23.07692307692308</v>
      </c>
      <c r="CE32" s="252">
        <f t="shared" si="149"/>
        <v>0</v>
      </c>
      <c r="CF32" s="309">
        <f t="shared" si="150"/>
        <v>23.07692307692308</v>
      </c>
      <c r="CG32" s="218">
        <f t="shared" si="270"/>
        <v>260.30769230769232</v>
      </c>
      <c r="CH32" s="242">
        <f t="shared" si="270"/>
        <v>0</v>
      </c>
      <c r="CI32" s="243">
        <f t="shared" si="152"/>
        <v>260.30769230769232</v>
      </c>
      <c r="CJ32" s="218">
        <f t="shared" si="153"/>
        <v>0</v>
      </c>
      <c r="CL32" s="303" t="s">
        <v>29</v>
      </c>
      <c r="CM32" s="243" t="s">
        <v>86</v>
      </c>
      <c r="CN32" s="218" t="s">
        <v>135</v>
      </c>
      <c r="CO32" s="237">
        <f>Konvention_1slave-MUslave</f>
        <v>12</v>
      </c>
      <c r="CP32" s="234"/>
      <c r="CQ32" s="234">
        <f t="shared" si="250"/>
        <v>11</v>
      </c>
      <c r="CR32" s="234">
        <f t="shared" si="154"/>
        <v>12</v>
      </c>
      <c r="CS32" s="234"/>
      <c r="CT32" s="234"/>
      <c r="CU32" s="234"/>
      <c r="CV32" s="224"/>
      <c r="CW32" s="222">
        <f t="shared" si="251"/>
        <v>11.666666666666666</v>
      </c>
      <c r="CX32" s="223">
        <f t="shared" si="155"/>
        <v>23.333333333333332</v>
      </c>
      <c r="CY32" s="224">
        <f t="shared" si="156"/>
        <v>35</v>
      </c>
      <c r="CZ32" s="237">
        <f t="shared" si="252"/>
        <v>2432</v>
      </c>
      <c r="DA32" s="234">
        <f>CO32*CQ32*CHslave+CO32*INslave_IN*CR32+MUslave*CQ32*CR32</f>
        <v>3408</v>
      </c>
      <c r="DB32" s="224">
        <f t="shared" si="157"/>
        <v>1584</v>
      </c>
      <c r="DC32" s="242">
        <f t="shared" si="235"/>
        <v>7424</v>
      </c>
      <c r="DD32" s="222">
        <f t="shared" si="158"/>
        <v>3.8218390804597702</v>
      </c>
      <c r="DE32" s="223">
        <f t="shared" si="159"/>
        <v>10.711206896551724</v>
      </c>
      <c r="DF32" s="243">
        <f t="shared" si="160"/>
        <v>7.4676724137931032</v>
      </c>
      <c r="DG32" s="218">
        <f t="shared" si="161"/>
        <v>22.000718390804597</v>
      </c>
      <c r="DH32" s="252">
        <f t="shared" si="162"/>
        <v>0</v>
      </c>
      <c r="DI32" s="309">
        <f t="shared" si="163"/>
        <v>22.000718390804597</v>
      </c>
      <c r="DJ32" s="218">
        <f t="shared" si="271"/>
        <v>228.02155172413785</v>
      </c>
      <c r="DK32" s="242">
        <f t="shared" si="271"/>
        <v>0</v>
      </c>
      <c r="DL32" s="243">
        <f t="shared" si="165"/>
        <v>228.02155172413785</v>
      </c>
      <c r="DM32" s="218">
        <f t="shared" si="166"/>
        <v>0</v>
      </c>
      <c r="DO32" s="303" t="s">
        <v>29</v>
      </c>
      <c r="DP32" s="243" t="s">
        <v>86</v>
      </c>
      <c r="DQ32" s="218" t="s">
        <v>135</v>
      </c>
      <c r="DR32" s="237">
        <f>Konvention_1slave-MUslave</f>
        <v>12</v>
      </c>
      <c r="DS32" s="234"/>
      <c r="DT32" s="234">
        <f t="shared" si="253"/>
        <v>12</v>
      </c>
      <c r="DU32" s="234">
        <f t="shared" si="167"/>
        <v>11</v>
      </c>
      <c r="DV32" s="234"/>
      <c r="DW32" s="234"/>
      <c r="DX32" s="234"/>
      <c r="DY32" s="224"/>
      <c r="DZ32" s="222">
        <f t="shared" si="254"/>
        <v>11.666666666666666</v>
      </c>
      <c r="EA32" s="223">
        <f t="shared" si="168"/>
        <v>23.333333333333332</v>
      </c>
      <c r="EB32" s="224">
        <f t="shared" si="169"/>
        <v>35</v>
      </c>
      <c r="EC32" s="237">
        <f t="shared" si="255"/>
        <v>2432</v>
      </c>
      <c r="ED32" s="234">
        <f>DR32*DT32*CHslave_CH+DR32*INslave*DU32+MUslave*DT32*DU32</f>
        <v>3408</v>
      </c>
      <c r="EE32" s="224">
        <f t="shared" si="170"/>
        <v>1584</v>
      </c>
      <c r="EF32" s="242">
        <f t="shared" si="236"/>
        <v>7424</v>
      </c>
      <c r="EG32" s="222">
        <f t="shared" si="171"/>
        <v>3.8218390804597702</v>
      </c>
      <c r="EH32" s="223">
        <f t="shared" si="172"/>
        <v>10.711206896551724</v>
      </c>
      <c r="EI32" s="243">
        <f t="shared" si="173"/>
        <v>7.4676724137931032</v>
      </c>
      <c r="EJ32" s="218">
        <f t="shared" si="174"/>
        <v>22.000718390804597</v>
      </c>
      <c r="EK32" s="252">
        <f t="shared" si="175"/>
        <v>0</v>
      </c>
      <c r="EL32" s="309">
        <f t="shared" si="176"/>
        <v>22.000718390804597</v>
      </c>
      <c r="EM32" s="218">
        <f t="shared" si="272"/>
        <v>228.02155172413785</v>
      </c>
      <c r="EN32" s="242">
        <f t="shared" si="272"/>
        <v>0</v>
      </c>
      <c r="EO32" s="243">
        <f t="shared" si="178"/>
        <v>228.02155172413785</v>
      </c>
      <c r="EP32" s="218">
        <f t="shared" si="179"/>
        <v>0</v>
      </c>
      <c r="ER32" s="303" t="s">
        <v>29</v>
      </c>
      <c r="ES32" s="243" t="s">
        <v>86</v>
      </c>
      <c r="ET32" s="218" t="s">
        <v>135</v>
      </c>
      <c r="EU32" s="237">
        <f>Konvention_1slave-MUslave</f>
        <v>12</v>
      </c>
      <c r="EV32" s="234"/>
      <c r="EW32" s="234">
        <f t="shared" si="256"/>
        <v>12</v>
      </c>
      <c r="EX32" s="234">
        <f t="shared" si="180"/>
        <v>12</v>
      </c>
      <c r="EY32" s="234"/>
      <c r="EZ32" s="234"/>
      <c r="FA32" s="234"/>
      <c r="FB32" s="224"/>
      <c r="FC32" s="222">
        <f t="shared" si="257"/>
        <v>12</v>
      </c>
      <c r="FD32" s="223">
        <f t="shared" si="181"/>
        <v>24</v>
      </c>
      <c r="FE32" s="224">
        <f t="shared" si="182"/>
        <v>36</v>
      </c>
      <c r="FF32" s="237">
        <f t="shared" si="258"/>
        <v>2304</v>
      </c>
      <c r="FG32" s="234">
        <f>EU32*EW32*CHslave+EU32*INslave*EX32+MUslave*EW32*EX32</f>
        <v>3456</v>
      </c>
      <c r="FH32" s="224">
        <f t="shared" si="183"/>
        <v>1728</v>
      </c>
      <c r="FI32" s="242">
        <f t="shared" si="237"/>
        <v>7488</v>
      </c>
      <c r="FJ32" s="222">
        <f t="shared" si="184"/>
        <v>3.6923076923076925</v>
      </c>
      <c r="FK32" s="223">
        <f t="shared" si="185"/>
        <v>11.076923076923077</v>
      </c>
      <c r="FL32" s="243">
        <f t="shared" si="186"/>
        <v>8.3076923076923084</v>
      </c>
      <c r="FM32" s="218">
        <f t="shared" si="187"/>
        <v>23.07692307692308</v>
      </c>
      <c r="FN32" s="252">
        <f t="shared" si="188"/>
        <v>0</v>
      </c>
      <c r="FO32" s="309">
        <f t="shared" si="189"/>
        <v>23.07692307692308</v>
      </c>
      <c r="FP32" s="218">
        <f t="shared" si="273"/>
        <v>260.30769230769232</v>
      </c>
      <c r="FQ32" s="242">
        <f t="shared" si="273"/>
        <v>0</v>
      </c>
      <c r="FR32" s="243">
        <f t="shared" si="191"/>
        <v>260.30769230769232</v>
      </c>
      <c r="FS32" s="218">
        <f t="shared" si="192"/>
        <v>0</v>
      </c>
      <c r="FU32" s="303" t="s">
        <v>29</v>
      </c>
      <c r="FV32" s="243" t="s">
        <v>86</v>
      </c>
      <c r="FW32" s="218" t="s">
        <v>135</v>
      </c>
      <c r="FX32" s="237">
        <f>Konvention_1slave-MUslave</f>
        <v>12</v>
      </c>
      <c r="FY32" s="234"/>
      <c r="FZ32" s="234">
        <f t="shared" si="259"/>
        <v>12</v>
      </c>
      <c r="GA32" s="234">
        <f t="shared" si="193"/>
        <v>12</v>
      </c>
      <c r="GB32" s="234"/>
      <c r="GC32" s="234"/>
      <c r="GD32" s="234"/>
      <c r="GE32" s="224"/>
      <c r="GF32" s="222">
        <f t="shared" si="260"/>
        <v>12</v>
      </c>
      <c r="GG32" s="223">
        <f t="shared" si="194"/>
        <v>24</v>
      </c>
      <c r="GH32" s="224">
        <f t="shared" si="195"/>
        <v>36</v>
      </c>
      <c r="GI32" s="237">
        <f t="shared" si="261"/>
        <v>2304</v>
      </c>
      <c r="GJ32" s="234">
        <f>FX32*FZ32*CHslave+FX32*INslave*GA32+MUslave*FZ32*GA32</f>
        <v>3456</v>
      </c>
      <c r="GK32" s="224">
        <f t="shared" si="196"/>
        <v>1728</v>
      </c>
      <c r="GL32" s="242">
        <f t="shared" si="238"/>
        <v>7488</v>
      </c>
      <c r="GM32" s="222">
        <f t="shared" si="197"/>
        <v>3.6923076923076925</v>
      </c>
      <c r="GN32" s="223">
        <f t="shared" si="198"/>
        <v>11.076923076923077</v>
      </c>
      <c r="GO32" s="243">
        <f t="shared" si="199"/>
        <v>8.3076923076923084</v>
      </c>
      <c r="GP32" s="218">
        <f t="shared" si="200"/>
        <v>23.07692307692308</v>
      </c>
      <c r="GQ32" s="252">
        <f t="shared" si="201"/>
        <v>0</v>
      </c>
      <c r="GR32" s="309">
        <f t="shared" si="202"/>
        <v>23.07692307692308</v>
      </c>
      <c r="GS32" s="218">
        <f t="shared" si="274"/>
        <v>260.30769230769232</v>
      </c>
      <c r="GT32" s="242">
        <f t="shared" si="274"/>
        <v>0</v>
      </c>
      <c r="GU32" s="243">
        <f t="shared" si="204"/>
        <v>260.30769230769232</v>
      </c>
      <c r="GV32" s="218">
        <f t="shared" si="205"/>
        <v>0</v>
      </c>
      <c r="GX32" s="303" t="s">
        <v>29</v>
      </c>
      <c r="GY32" s="243" t="s">
        <v>86</v>
      </c>
      <c r="GZ32" s="218" t="s">
        <v>135</v>
      </c>
      <c r="HA32" s="237">
        <f>Konvention_1slave-MUslave</f>
        <v>12</v>
      </c>
      <c r="HB32" s="234"/>
      <c r="HC32" s="234">
        <f t="shared" si="262"/>
        <v>12</v>
      </c>
      <c r="HD32" s="234">
        <f t="shared" si="206"/>
        <v>12</v>
      </c>
      <c r="HE32" s="234"/>
      <c r="HF32" s="234"/>
      <c r="HG32" s="234"/>
      <c r="HH32" s="224"/>
      <c r="HI32" s="222">
        <f t="shared" si="263"/>
        <v>12</v>
      </c>
      <c r="HJ32" s="223">
        <f t="shared" si="207"/>
        <v>24</v>
      </c>
      <c r="HK32" s="224">
        <f t="shared" si="208"/>
        <v>36</v>
      </c>
      <c r="HL32" s="237">
        <f t="shared" si="264"/>
        <v>2304</v>
      </c>
      <c r="HM32" s="234">
        <f>HA32*HC32*CHslave+HA32*INslave*HD32+MUslave*HC32*HD32</f>
        <v>3456</v>
      </c>
      <c r="HN32" s="224">
        <f t="shared" si="209"/>
        <v>1728</v>
      </c>
      <c r="HO32" s="242">
        <f t="shared" si="239"/>
        <v>7488</v>
      </c>
      <c r="HP32" s="222">
        <f t="shared" si="210"/>
        <v>3.6923076923076925</v>
      </c>
      <c r="HQ32" s="223">
        <f t="shared" si="211"/>
        <v>11.076923076923077</v>
      </c>
      <c r="HR32" s="243">
        <f t="shared" si="212"/>
        <v>8.3076923076923084</v>
      </c>
      <c r="HS32" s="218">
        <f t="shared" si="213"/>
        <v>23.07692307692308</v>
      </c>
      <c r="HT32" s="252">
        <f t="shared" si="214"/>
        <v>0</v>
      </c>
      <c r="HU32" s="309">
        <f t="shared" si="215"/>
        <v>23.07692307692308</v>
      </c>
      <c r="HV32" s="218">
        <f t="shared" si="275"/>
        <v>260.30769230769232</v>
      </c>
      <c r="HW32" s="242">
        <f t="shared" si="275"/>
        <v>0</v>
      </c>
      <c r="HX32" s="243">
        <f t="shared" si="217"/>
        <v>260.30769230769232</v>
      </c>
      <c r="HY32" s="218">
        <f t="shared" si="218"/>
        <v>0</v>
      </c>
      <c r="IA32" s="303" t="s">
        <v>29</v>
      </c>
      <c r="IB32" s="243" t="s">
        <v>86</v>
      </c>
      <c r="IC32" s="218" t="s">
        <v>135</v>
      </c>
      <c r="ID32" s="237">
        <f>Konvention_1slave-MUslave</f>
        <v>12</v>
      </c>
      <c r="IE32" s="234"/>
      <c r="IF32" s="234">
        <f t="shared" si="265"/>
        <v>12</v>
      </c>
      <c r="IG32" s="234">
        <f t="shared" si="219"/>
        <v>12</v>
      </c>
      <c r="IH32" s="234"/>
      <c r="II32" s="234"/>
      <c r="IJ32" s="234"/>
      <c r="IK32" s="224"/>
      <c r="IL32" s="222">
        <f t="shared" si="266"/>
        <v>12</v>
      </c>
      <c r="IM32" s="223">
        <f t="shared" si="220"/>
        <v>24</v>
      </c>
      <c r="IN32" s="224">
        <f t="shared" si="221"/>
        <v>36</v>
      </c>
      <c r="IO32" s="237">
        <f t="shared" si="267"/>
        <v>2304</v>
      </c>
      <c r="IP32" s="234">
        <f>ID32*IF32*CHslave+ID32*INslave*IG32+MUslave*IF32*IG32</f>
        <v>3456</v>
      </c>
      <c r="IQ32" s="224">
        <f t="shared" si="222"/>
        <v>1728</v>
      </c>
      <c r="IR32" s="242">
        <f t="shared" si="240"/>
        <v>7488</v>
      </c>
      <c r="IS32" s="222">
        <f t="shared" si="223"/>
        <v>3.6923076923076925</v>
      </c>
      <c r="IT32" s="223">
        <f t="shared" si="224"/>
        <v>11.076923076923077</v>
      </c>
      <c r="IU32" s="243">
        <f t="shared" si="225"/>
        <v>8.3076923076923084</v>
      </c>
      <c r="IV32" s="218">
        <f t="shared" si="226"/>
        <v>23.07692307692308</v>
      </c>
      <c r="IW32" s="252">
        <f t="shared" si="227"/>
        <v>0</v>
      </c>
      <c r="IX32" s="309">
        <f t="shared" si="228"/>
        <v>23.07692307692308</v>
      </c>
      <c r="IY32" s="218">
        <f t="shared" si="276"/>
        <v>260.30769230769232</v>
      </c>
      <c r="IZ32" s="242">
        <f t="shared" si="276"/>
        <v>0</v>
      </c>
      <c r="JA32" s="243">
        <f t="shared" si="230"/>
        <v>260.30769230769232</v>
      </c>
      <c r="JB32" s="218">
        <f t="shared" si="231"/>
        <v>0</v>
      </c>
      <c r="JE32" s="148"/>
    </row>
    <row r="33" spans="2:265" hidden="1" outlineLevel="2">
      <c r="B33" s="148">
        <v>8</v>
      </c>
      <c r="C33" s="303" t="e">
        <f>VLOOKUP(AF33,Attribute!C:T,1,FALSE)</f>
        <v>#N/A</v>
      </c>
      <c r="D33" s="167" t="s">
        <v>88</v>
      </c>
      <c r="E33" s="125" t="s">
        <v>132</v>
      </c>
      <c r="F33" s="114"/>
      <c r="G33" s="113"/>
      <c r="H33" s="113">
        <f t="shared" si="241"/>
        <v>12</v>
      </c>
      <c r="I33" s="113">
        <f t="shared" si="116"/>
        <v>12</v>
      </c>
      <c r="J33" s="113"/>
      <c r="K33" s="113">
        <f>Konvention_1master-GEmaster</f>
        <v>12</v>
      </c>
      <c r="L33" s="113"/>
      <c r="M33" s="119"/>
      <c r="N33" s="222">
        <f t="shared" si="242"/>
        <v>12</v>
      </c>
      <c r="O33" s="223">
        <f t="shared" si="117"/>
        <v>24</v>
      </c>
      <c r="P33" s="224">
        <f t="shared" si="118"/>
        <v>36</v>
      </c>
      <c r="Q33" s="237">
        <f t="shared" si="243"/>
        <v>2304</v>
      </c>
      <c r="R33" s="113">
        <f>H33*I33*GEmaster+H33*CHmaster*K33+INmaster*I33*K33</f>
        <v>3456</v>
      </c>
      <c r="S33" s="224">
        <f t="shared" si="119"/>
        <v>1728</v>
      </c>
      <c r="T33" s="242">
        <f t="shared" si="232"/>
        <v>7488</v>
      </c>
      <c r="U33" s="222">
        <f t="shared" si="120"/>
        <v>3.6923076923076925</v>
      </c>
      <c r="V33" s="223">
        <f t="shared" si="121"/>
        <v>11.076923076923077</v>
      </c>
      <c r="W33" s="243">
        <f t="shared" si="122"/>
        <v>8.3076923076923084</v>
      </c>
      <c r="X33" s="218">
        <f t="shared" si="123"/>
        <v>23.07692307692308</v>
      </c>
      <c r="Y33" s="252">
        <v>0</v>
      </c>
      <c r="Z33" s="198">
        <f t="shared" si="124"/>
        <v>23.07692307692308</v>
      </c>
      <c r="AA33" s="125">
        <f>IF(X33&gt;0,X33,0)*2+IF(X33&gt;12,X33-12,0)*2+IF(X33&gt;13,X33-13,0)*2+IF(X33&gt;14,X33-14,0)*2+IF(X33&gt;15,X33-15,0)*2+IF(X33&gt;16,X33-16,0)*2+IF(X33&gt;17,X33-17,0)*2+IF(X33&gt;18,X33-18,0)*2+IF(X33&gt;19,X33-19,0)*2+IF(X33&gt;20,X33-20,0)*2</f>
        <v>173.5384615384616</v>
      </c>
      <c r="AB33" s="160">
        <f>IF(Y33&gt;0,Y33,0)*2+IF(Y33&gt;12,Y33-12,0)*2+IF(Y33&gt;13,Y33-13,0)*2+IF(Y33&gt;14,Y33-14,0)*2+IF(Y33&gt;15,Y33-15,0)*2+IF(Y33&gt;16,Y33-16,0)*2+IF(Y33&gt;17,Y33-17,0)*2+IF(Y33&gt;18,Y33-18,0)*2+IF(Y33&gt;19,Y33-19,0)*2+IF(Y33&gt;20,Y33-20,0)*2</f>
        <v>0</v>
      </c>
      <c r="AC33" s="127">
        <f t="shared" si="126"/>
        <v>173.5384615384616</v>
      </c>
      <c r="AD33" s="125">
        <f t="shared" si="127"/>
        <v>0</v>
      </c>
      <c r="AF33" s="163" t="s">
        <v>30</v>
      </c>
      <c r="AG33" s="127" t="s">
        <v>88</v>
      </c>
      <c r="AH33" s="125" t="s">
        <v>132</v>
      </c>
      <c r="AI33" s="114"/>
      <c r="AJ33" s="113"/>
      <c r="AK33" s="113">
        <f t="shared" si="244"/>
        <v>12</v>
      </c>
      <c r="AL33" s="113">
        <f t="shared" si="128"/>
        <v>12</v>
      </c>
      <c r="AM33" s="113"/>
      <c r="AN33" s="113">
        <f>Konvention_1slave-GEslave</f>
        <v>12</v>
      </c>
      <c r="AO33" s="113"/>
      <c r="AP33" s="119"/>
      <c r="AQ33" s="89">
        <f t="shared" si="245"/>
        <v>12</v>
      </c>
      <c r="AR33" s="47">
        <f t="shared" si="129"/>
        <v>24</v>
      </c>
      <c r="AS33" s="119">
        <f t="shared" si="130"/>
        <v>36</v>
      </c>
      <c r="AT33" s="114">
        <f t="shared" si="246"/>
        <v>2304</v>
      </c>
      <c r="AU33" s="113">
        <f>AK33*AL33*GEslave+AK33*CHslave*AN33+INslave*AL33*AN33</f>
        <v>3456</v>
      </c>
      <c r="AV33" s="119">
        <f t="shared" si="131"/>
        <v>1728</v>
      </c>
      <c r="AW33" s="160">
        <f t="shared" si="233"/>
        <v>7488</v>
      </c>
      <c r="AX33" s="89">
        <f t="shared" si="132"/>
        <v>3.6923076923076925</v>
      </c>
      <c r="AY33" s="47">
        <f t="shared" si="133"/>
        <v>11.076923076923077</v>
      </c>
      <c r="AZ33" s="127">
        <f t="shared" si="134"/>
        <v>8.3076923076923084</v>
      </c>
      <c r="BA33" s="125">
        <f t="shared" si="135"/>
        <v>23.07692307692308</v>
      </c>
      <c r="BB33" s="165">
        <f t="shared" si="136"/>
        <v>0</v>
      </c>
      <c r="BC33" s="198">
        <f t="shared" si="137"/>
        <v>23.07692307692308</v>
      </c>
      <c r="BD33" s="125">
        <f>IF(BA33&gt;0,BA33,0)*2+IF(BA33&gt;12,BA33-12,0)*2+IF(BA33&gt;13,BA33-13,0)*2+IF(BA33&gt;14,BA33-14,0)*2+IF(BA33&gt;15,BA33-15,0)*2+IF(BA33&gt;16,BA33-16,0)*2+IF(BA33&gt;17,BA33-17,0)*2+IF(BA33&gt;18,BA33-18,0)*2+IF(BA33&gt;19,BA33-19,0)*2+IF(BA33&gt;20,BA33-20,0)*2</f>
        <v>173.5384615384616</v>
      </c>
      <c r="BE33" s="160">
        <f>IF(BB33&gt;0,BB33,0)*2+IF(BB33&gt;12,BB33-12,0)*2+IF(BB33&gt;13,BB33-13,0)*2+IF(BB33&gt;14,BB33-14,0)*2+IF(BB33&gt;15,BB33-15,0)*2+IF(BB33&gt;16,BB33-16,0)*2+IF(BB33&gt;17,BB33-17,0)*2+IF(BB33&gt;18,BB33-18,0)*2+IF(BB33&gt;19,BB33-19,0)*2+IF(BB33&gt;20,BB33-20,0)*2</f>
        <v>0</v>
      </c>
      <c r="BF33" s="243">
        <f t="shared" si="139"/>
        <v>173.5384615384616</v>
      </c>
      <c r="BG33" s="218">
        <f t="shared" si="140"/>
        <v>0</v>
      </c>
      <c r="BI33" s="303" t="s">
        <v>30</v>
      </c>
      <c r="BJ33" s="243" t="s">
        <v>88</v>
      </c>
      <c r="BK33" s="218" t="s">
        <v>132</v>
      </c>
      <c r="BL33" s="237"/>
      <c r="BM33" s="234"/>
      <c r="BN33" s="234">
        <f t="shared" si="247"/>
        <v>12</v>
      </c>
      <c r="BO33" s="234">
        <f t="shared" si="141"/>
        <v>12</v>
      </c>
      <c r="BP33" s="234"/>
      <c r="BQ33" s="234">
        <f>Konvention_1slave-GEslave</f>
        <v>12</v>
      </c>
      <c r="BR33" s="234"/>
      <c r="BS33" s="224"/>
      <c r="BT33" s="222">
        <f t="shared" si="248"/>
        <v>12</v>
      </c>
      <c r="BU33" s="223">
        <f t="shared" si="142"/>
        <v>24</v>
      </c>
      <c r="BV33" s="224">
        <f t="shared" si="143"/>
        <v>36</v>
      </c>
      <c r="BW33" s="237">
        <f t="shared" si="249"/>
        <v>2304</v>
      </c>
      <c r="BX33" s="234">
        <f>BN33*BO33*GEslave+BN33*CHslave*BQ33+INslave*BO33*BQ33</f>
        <v>3456</v>
      </c>
      <c r="BY33" s="224">
        <f t="shared" si="144"/>
        <v>1728</v>
      </c>
      <c r="BZ33" s="242">
        <f t="shared" si="234"/>
        <v>7488</v>
      </c>
      <c r="CA33" s="222">
        <f t="shared" si="145"/>
        <v>3.6923076923076925</v>
      </c>
      <c r="CB33" s="223">
        <f t="shared" si="146"/>
        <v>11.076923076923077</v>
      </c>
      <c r="CC33" s="243">
        <f t="shared" si="147"/>
        <v>8.3076923076923084</v>
      </c>
      <c r="CD33" s="218">
        <f t="shared" si="148"/>
        <v>23.07692307692308</v>
      </c>
      <c r="CE33" s="252">
        <f t="shared" si="149"/>
        <v>0</v>
      </c>
      <c r="CF33" s="309">
        <f t="shared" si="150"/>
        <v>23.07692307692308</v>
      </c>
      <c r="CG33" s="218">
        <f>IF(CD33&gt;0,CD33,0)*2+IF(CD33&gt;12,CD33-12,0)*2+IF(CD33&gt;13,CD33-13,0)*2+IF(CD33&gt;14,CD33-14,0)*2+IF(CD33&gt;15,CD33-15,0)*2+IF(CD33&gt;16,CD33-16,0)*2+IF(CD33&gt;17,CD33-17,0)*2+IF(CD33&gt;18,CD33-18,0)*2+IF(CD33&gt;19,CD33-19,0)*2+IF(CD33&gt;20,CD33-20,0)*2</f>
        <v>173.5384615384616</v>
      </c>
      <c r="CH33" s="242">
        <f>IF(CE33&gt;0,CE33,0)*2+IF(CE33&gt;12,CE33-12,0)*2+IF(CE33&gt;13,CE33-13,0)*2+IF(CE33&gt;14,CE33-14,0)*2+IF(CE33&gt;15,CE33-15,0)*2+IF(CE33&gt;16,CE33-16,0)*2+IF(CE33&gt;17,CE33-17,0)*2+IF(CE33&gt;18,CE33-18,0)*2+IF(CE33&gt;19,CE33-19,0)*2+IF(CE33&gt;20,CE33-20,0)*2</f>
        <v>0</v>
      </c>
      <c r="CI33" s="243">
        <f t="shared" si="152"/>
        <v>173.5384615384616</v>
      </c>
      <c r="CJ33" s="218">
        <f t="shared" si="153"/>
        <v>0</v>
      </c>
      <c r="CL33" s="303" t="s">
        <v>30</v>
      </c>
      <c r="CM33" s="243" t="s">
        <v>88</v>
      </c>
      <c r="CN33" s="218" t="s">
        <v>132</v>
      </c>
      <c r="CO33" s="237"/>
      <c r="CP33" s="234"/>
      <c r="CQ33" s="234">
        <f t="shared" si="250"/>
        <v>11</v>
      </c>
      <c r="CR33" s="234">
        <f t="shared" si="154"/>
        <v>12</v>
      </c>
      <c r="CS33" s="234"/>
      <c r="CT33" s="234">
        <f>Konvention_1slave-GEslave</f>
        <v>12</v>
      </c>
      <c r="CU33" s="234"/>
      <c r="CV33" s="224"/>
      <c r="CW33" s="222">
        <f t="shared" si="251"/>
        <v>11.666666666666666</v>
      </c>
      <c r="CX33" s="223">
        <f t="shared" si="155"/>
        <v>23.333333333333332</v>
      </c>
      <c r="CY33" s="224">
        <f t="shared" si="156"/>
        <v>35</v>
      </c>
      <c r="CZ33" s="237">
        <f t="shared" si="252"/>
        <v>2432</v>
      </c>
      <c r="DA33" s="234">
        <f>CQ33*CR33*GEslave+CQ33*CHslave*CT33+INslave_IN*CR33*CT33</f>
        <v>3408</v>
      </c>
      <c r="DB33" s="224">
        <f t="shared" si="157"/>
        <v>1584</v>
      </c>
      <c r="DC33" s="242">
        <f t="shared" si="235"/>
        <v>7424</v>
      </c>
      <c r="DD33" s="222">
        <f t="shared" si="158"/>
        <v>3.8218390804597702</v>
      </c>
      <c r="DE33" s="223">
        <f t="shared" si="159"/>
        <v>10.711206896551724</v>
      </c>
      <c r="DF33" s="243">
        <f t="shared" si="160"/>
        <v>7.4676724137931032</v>
      </c>
      <c r="DG33" s="218">
        <f t="shared" si="161"/>
        <v>22.000718390804597</v>
      </c>
      <c r="DH33" s="252">
        <f t="shared" si="162"/>
        <v>0</v>
      </c>
      <c r="DI33" s="309">
        <f t="shared" si="163"/>
        <v>22.000718390804597</v>
      </c>
      <c r="DJ33" s="218">
        <f>IF(DG33&gt;0,DG33,0)*2+IF(DG33&gt;12,DG33-12,0)*2+IF(DG33&gt;13,DG33-13,0)*2+IF(DG33&gt;14,DG33-14,0)*2+IF(DG33&gt;15,DG33-15,0)*2+IF(DG33&gt;16,DG33-16,0)*2+IF(DG33&gt;17,DG33-17,0)*2+IF(DG33&gt;18,DG33-18,0)*2+IF(DG33&gt;19,DG33-19,0)*2+IF(DG33&gt;20,DG33-20,0)*2</f>
        <v>152.01436781609189</v>
      </c>
      <c r="DK33" s="242">
        <f>IF(DH33&gt;0,DH33,0)*2+IF(DH33&gt;12,DH33-12,0)*2+IF(DH33&gt;13,DH33-13,0)*2+IF(DH33&gt;14,DH33-14,0)*2+IF(DH33&gt;15,DH33-15,0)*2+IF(DH33&gt;16,DH33-16,0)*2+IF(DH33&gt;17,DH33-17,0)*2+IF(DH33&gt;18,DH33-18,0)*2+IF(DH33&gt;19,DH33-19,0)*2+IF(DH33&gt;20,DH33-20,0)*2</f>
        <v>0</v>
      </c>
      <c r="DL33" s="243">
        <f t="shared" si="165"/>
        <v>152.01436781609189</v>
      </c>
      <c r="DM33" s="218">
        <f t="shared" si="166"/>
        <v>0</v>
      </c>
      <c r="DO33" s="303" t="s">
        <v>30</v>
      </c>
      <c r="DP33" s="243" t="s">
        <v>88</v>
      </c>
      <c r="DQ33" s="218" t="s">
        <v>132</v>
      </c>
      <c r="DR33" s="237"/>
      <c r="DS33" s="234"/>
      <c r="DT33" s="234">
        <f t="shared" si="253"/>
        <v>12</v>
      </c>
      <c r="DU33" s="234">
        <f t="shared" si="167"/>
        <v>11</v>
      </c>
      <c r="DV33" s="234"/>
      <c r="DW33" s="234">
        <f>Konvention_1slave-GEslave</f>
        <v>12</v>
      </c>
      <c r="DX33" s="234"/>
      <c r="DY33" s="224"/>
      <c r="DZ33" s="222">
        <f t="shared" si="254"/>
        <v>11.666666666666666</v>
      </c>
      <c r="EA33" s="223">
        <f t="shared" si="168"/>
        <v>23.333333333333332</v>
      </c>
      <c r="EB33" s="224">
        <f t="shared" si="169"/>
        <v>35</v>
      </c>
      <c r="EC33" s="237">
        <f t="shared" si="255"/>
        <v>2432</v>
      </c>
      <c r="ED33" s="234">
        <f>DT33*DU33*GEslave+DT33*CHslave_CH*DW33+INslave*DU33*DW33</f>
        <v>3408</v>
      </c>
      <c r="EE33" s="224">
        <f t="shared" si="170"/>
        <v>1584</v>
      </c>
      <c r="EF33" s="242">
        <f t="shared" si="236"/>
        <v>7424</v>
      </c>
      <c r="EG33" s="222">
        <f t="shared" si="171"/>
        <v>3.8218390804597702</v>
      </c>
      <c r="EH33" s="223">
        <f t="shared" si="172"/>
        <v>10.711206896551724</v>
      </c>
      <c r="EI33" s="243">
        <f t="shared" si="173"/>
        <v>7.4676724137931032</v>
      </c>
      <c r="EJ33" s="218">
        <f t="shared" si="174"/>
        <v>22.000718390804597</v>
      </c>
      <c r="EK33" s="252">
        <f t="shared" si="175"/>
        <v>0</v>
      </c>
      <c r="EL33" s="309">
        <f t="shared" si="176"/>
        <v>22.000718390804597</v>
      </c>
      <c r="EM33" s="218">
        <f>IF(EJ33&gt;0,EJ33,0)*2+IF(EJ33&gt;12,EJ33-12,0)*2+IF(EJ33&gt;13,EJ33-13,0)*2+IF(EJ33&gt;14,EJ33-14,0)*2+IF(EJ33&gt;15,EJ33-15,0)*2+IF(EJ33&gt;16,EJ33-16,0)*2+IF(EJ33&gt;17,EJ33-17,0)*2+IF(EJ33&gt;18,EJ33-18,0)*2+IF(EJ33&gt;19,EJ33-19,0)*2+IF(EJ33&gt;20,EJ33-20,0)*2</f>
        <v>152.01436781609189</v>
      </c>
      <c r="EN33" s="242">
        <f>IF(EK33&gt;0,EK33,0)*2+IF(EK33&gt;12,EK33-12,0)*2+IF(EK33&gt;13,EK33-13,0)*2+IF(EK33&gt;14,EK33-14,0)*2+IF(EK33&gt;15,EK33-15,0)*2+IF(EK33&gt;16,EK33-16,0)*2+IF(EK33&gt;17,EK33-17,0)*2+IF(EK33&gt;18,EK33-18,0)*2+IF(EK33&gt;19,EK33-19,0)*2+IF(EK33&gt;20,EK33-20,0)*2</f>
        <v>0</v>
      </c>
      <c r="EO33" s="243">
        <f t="shared" si="178"/>
        <v>152.01436781609189</v>
      </c>
      <c r="EP33" s="218">
        <f t="shared" si="179"/>
        <v>0</v>
      </c>
      <c r="ER33" s="303" t="s">
        <v>30</v>
      </c>
      <c r="ES33" s="243" t="s">
        <v>88</v>
      </c>
      <c r="ET33" s="218" t="s">
        <v>132</v>
      </c>
      <c r="EU33" s="237"/>
      <c r="EV33" s="234"/>
      <c r="EW33" s="234">
        <f t="shared" si="256"/>
        <v>12</v>
      </c>
      <c r="EX33" s="234">
        <f t="shared" si="180"/>
        <v>12</v>
      </c>
      <c r="EY33" s="234"/>
      <c r="EZ33" s="234">
        <f>Konvention_1slave-GEslave</f>
        <v>12</v>
      </c>
      <c r="FA33" s="234"/>
      <c r="FB33" s="224"/>
      <c r="FC33" s="222">
        <f t="shared" si="257"/>
        <v>12</v>
      </c>
      <c r="FD33" s="223">
        <f t="shared" si="181"/>
        <v>24</v>
      </c>
      <c r="FE33" s="224">
        <f t="shared" si="182"/>
        <v>36</v>
      </c>
      <c r="FF33" s="237">
        <f t="shared" si="258"/>
        <v>2304</v>
      </c>
      <c r="FG33" s="234">
        <f>EW33*EX33*GEslave+EW33*CHslave*EZ33+INslave*EX33*EZ33</f>
        <v>3456</v>
      </c>
      <c r="FH33" s="224">
        <f t="shared" si="183"/>
        <v>1728</v>
      </c>
      <c r="FI33" s="242">
        <f t="shared" si="237"/>
        <v>7488</v>
      </c>
      <c r="FJ33" s="222">
        <f t="shared" si="184"/>
        <v>3.6923076923076925</v>
      </c>
      <c r="FK33" s="223">
        <f t="shared" si="185"/>
        <v>11.076923076923077</v>
      </c>
      <c r="FL33" s="243">
        <f t="shared" si="186"/>
        <v>8.3076923076923084</v>
      </c>
      <c r="FM33" s="218">
        <f t="shared" si="187"/>
        <v>23.07692307692308</v>
      </c>
      <c r="FN33" s="252">
        <f t="shared" si="188"/>
        <v>0</v>
      </c>
      <c r="FO33" s="309">
        <f t="shared" si="189"/>
        <v>23.07692307692308</v>
      </c>
      <c r="FP33" s="218">
        <f>IF(FM33&gt;0,FM33,0)*2+IF(FM33&gt;12,FM33-12,0)*2+IF(FM33&gt;13,FM33-13,0)*2+IF(FM33&gt;14,FM33-14,0)*2+IF(FM33&gt;15,FM33-15,0)*2+IF(FM33&gt;16,FM33-16,0)*2+IF(FM33&gt;17,FM33-17,0)*2+IF(FM33&gt;18,FM33-18,0)*2+IF(FM33&gt;19,FM33-19,0)*2+IF(FM33&gt;20,FM33-20,0)*2</f>
        <v>173.5384615384616</v>
      </c>
      <c r="FQ33" s="242">
        <f>IF(FN33&gt;0,FN33,0)*2+IF(FN33&gt;12,FN33-12,0)*2+IF(FN33&gt;13,FN33-13,0)*2+IF(FN33&gt;14,FN33-14,0)*2+IF(FN33&gt;15,FN33-15,0)*2+IF(FN33&gt;16,FN33-16,0)*2+IF(FN33&gt;17,FN33-17,0)*2+IF(FN33&gt;18,FN33-18,0)*2+IF(FN33&gt;19,FN33-19,0)*2+IF(FN33&gt;20,FN33-20,0)*2</f>
        <v>0</v>
      </c>
      <c r="FR33" s="243">
        <f t="shared" si="191"/>
        <v>173.5384615384616</v>
      </c>
      <c r="FS33" s="218">
        <f t="shared" si="192"/>
        <v>0</v>
      </c>
      <c r="FU33" s="303" t="s">
        <v>30</v>
      </c>
      <c r="FV33" s="243" t="s">
        <v>88</v>
      </c>
      <c r="FW33" s="218" t="s">
        <v>132</v>
      </c>
      <c r="FX33" s="237"/>
      <c r="FY33" s="234"/>
      <c r="FZ33" s="234">
        <f t="shared" si="259"/>
        <v>12</v>
      </c>
      <c r="GA33" s="234">
        <f t="shared" si="193"/>
        <v>12</v>
      </c>
      <c r="GB33" s="234"/>
      <c r="GC33" s="234">
        <f>Konvention_1slave-GEslave_GE</f>
        <v>11</v>
      </c>
      <c r="GD33" s="234"/>
      <c r="GE33" s="224"/>
      <c r="GF33" s="222">
        <f t="shared" si="260"/>
        <v>11.666666666666666</v>
      </c>
      <c r="GG33" s="223">
        <f t="shared" si="194"/>
        <v>23.333333333333332</v>
      </c>
      <c r="GH33" s="224">
        <f t="shared" si="195"/>
        <v>35</v>
      </c>
      <c r="GI33" s="237">
        <f t="shared" si="261"/>
        <v>2432</v>
      </c>
      <c r="GJ33" s="234">
        <f>FZ33*GA33*GEslave_GE+FZ33*CHslave*GC33+INslave*GA33*GC33</f>
        <v>3408</v>
      </c>
      <c r="GK33" s="224">
        <f t="shared" si="196"/>
        <v>1584</v>
      </c>
      <c r="GL33" s="242">
        <f t="shared" si="238"/>
        <v>7424</v>
      </c>
      <c r="GM33" s="222">
        <f t="shared" si="197"/>
        <v>3.8218390804597702</v>
      </c>
      <c r="GN33" s="223">
        <f t="shared" si="198"/>
        <v>10.711206896551724</v>
      </c>
      <c r="GO33" s="243">
        <f t="shared" si="199"/>
        <v>7.4676724137931032</v>
      </c>
      <c r="GP33" s="218">
        <f t="shared" si="200"/>
        <v>22.000718390804597</v>
      </c>
      <c r="GQ33" s="252">
        <f t="shared" si="201"/>
        <v>0</v>
      </c>
      <c r="GR33" s="309">
        <f t="shared" si="202"/>
        <v>22.000718390804597</v>
      </c>
      <c r="GS33" s="218">
        <f>IF(GP33&gt;0,GP33,0)*2+IF(GP33&gt;12,GP33-12,0)*2+IF(GP33&gt;13,GP33-13,0)*2+IF(GP33&gt;14,GP33-14,0)*2+IF(GP33&gt;15,GP33-15,0)*2+IF(GP33&gt;16,GP33-16,0)*2+IF(GP33&gt;17,GP33-17,0)*2+IF(GP33&gt;18,GP33-18,0)*2+IF(GP33&gt;19,GP33-19,0)*2+IF(GP33&gt;20,GP33-20,0)*2</f>
        <v>152.01436781609189</v>
      </c>
      <c r="GT33" s="242">
        <f>IF(GQ33&gt;0,GQ33,0)*2+IF(GQ33&gt;12,GQ33-12,0)*2+IF(GQ33&gt;13,GQ33-13,0)*2+IF(GQ33&gt;14,GQ33-14,0)*2+IF(GQ33&gt;15,GQ33-15,0)*2+IF(GQ33&gt;16,GQ33-16,0)*2+IF(GQ33&gt;17,GQ33-17,0)*2+IF(GQ33&gt;18,GQ33-18,0)*2+IF(GQ33&gt;19,GQ33-19,0)*2+IF(GQ33&gt;20,GQ33-20,0)*2</f>
        <v>0</v>
      </c>
      <c r="GU33" s="243">
        <f t="shared" si="204"/>
        <v>152.01436781609189</v>
      </c>
      <c r="GV33" s="218">
        <f t="shared" si="205"/>
        <v>0</v>
      </c>
      <c r="GX33" s="303" t="s">
        <v>30</v>
      </c>
      <c r="GY33" s="243" t="s">
        <v>88</v>
      </c>
      <c r="GZ33" s="218" t="s">
        <v>132</v>
      </c>
      <c r="HA33" s="237"/>
      <c r="HB33" s="234"/>
      <c r="HC33" s="234">
        <f t="shared" si="262"/>
        <v>12</v>
      </c>
      <c r="HD33" s="234">
        <f t="shared" si="206"/>
        <v>12</v>
      </c>
      <c r="HE33" s="234"/>
      <c r="HF33" s="234">
        <f>Konvention_1slave-GEslave</f>
        <v>12</v>
      </c>
      <c r="HG33" s="234"/>
      <c r="HH33" s="224"/>
      <c r="HI33" s="222">
        <f t="shared" si="263"/>
        <v>12</v>
      </c>
      <c r="HJ33" s="223">
        <f t="shared" si="207"/>
        <v>24</v>
      </c>
      <c r="HK33" s="224">
        <f t="shared" si="208"/>
        <v>36</v>
      </c>
      <c r="HL33" s="237">
        <f t="shared" si="264"/>
        <v>2304</v>
      </c>
      <c r="HM33" s="234">
        <f>HC33*HD33*GEslave+HC33*CHslave*HF33+INslave*HD33*HF33</f>
        <v>3456</v>
      </c>
      <c r="HN33" s="224">
        <f t="shared" si="209"/>
        <v>1728</v>
      </c>
      <c r="HO33" s="242">
        <f t="shared" si="239"/>
        <v>7488</v>
      </c>
      <c r="HP33" s="222">
        <f t="shared" si="210"/>
        <v>3.6923076923076925</v>
      </c>
      <c r="HQ33" s="223">
        <f t="shared" si="211"/>
        <v>11.076923076923077</v>
      </c>
      <c r="HR33" s="243">
        <f t="shared" si="212"/>
        <v>8.3076923076923084</v>
      </c>
      <c r="HS33" s="218">
        <f t="shared" si="213"/>
        <v>23.07692307692308</v>
      </c>
      <c r="HT33" s="252">
        <f t="shared" si="214"/>
        <v>0</v>
      </c>
      <c r="HU33" s="309">
        <f t="shared" si="215"/>
        <v>23.07692307692308</v>
      </c>
      <c r="HV33" s="218">
        <f>IF(HS33&gt;0,HS33,0)*2+IF(HS33&gt;12,HS33-12,0)*2+IF(HS33&gt;13,HS33-13,0)*2+IF(HS33&gt;14,HS33-14,0)*2+IF(HS33&gt;15,HS33-15,0)*2+IF(HS33&gt;16,HS33-16,0)*2+IF(HS33&gt;17,HS33-17,0)*2+IF(HS33&gt;18,HS33-18,0)*2+IF(HS33&gt;19,HS33-19,0)*2+IF(HS33&gt;20,HS33-20,0)*2</f>
        <v>173.5384615384616</v>
      </c>
      <c r="HW33" s="242">
        <f>IF(HT33&gt;0,HT33,0)*2+IF(HT33&gt;12,HT33-12,0)*2+IF(HT33&gt;13,HT33-13,0)*2+IF(HT33&gt;14,HT33-14,0)*2+IF(HT33&gt;15,HT33-15,0)*2+IF(HT33&gt;16,HT33-16,0)*2+IF(HT33&gt;17,HT33-17,0)*2+IF(HT33&gt;18,HT33-18,0)*2+IF(HT33&gt;19,HT33-19,0)*2+IF(HT33&gt;20,HT33-20,0)*2</f>
        <v>0</v>
      </c>
      <c r="HX33" s="243">
        <f t="shared" si="217"/>
        <v>173.5384615384616</v>
      </c>
      <c r="HY33" s="218">
        <f t="shared" si="218"/>
        <v>0</v>
      </c>
      <c r="IA33" s="303" t="s">
        <v>30</v>
      </c>
      <c r="IB33" s="243" t="s">
        <v>88</v>
      </c>
      <c r="IC33" s="218" t="s">
        <v>132</v>
      </c>
      <c r="ID33" s="237"/>
      <c r="IE33" s="234"/>
      <c r="IF33" s="234">
        <f t="shared" si="265"/>
        <v>12</v>
      </c>
      <c r="IG33" s="234">
        <f t="shared" si="219"/>
        <v>12</v>
      </c>
      <c r="IH33" s="234"/>
      <c r="II33" s="234">
        <f>Konvention_1slave-GEslave</f>
        <v>12</v>
      </c>
      <c r="IJ33" s="234"/>
      <c r="IK33" s="224"/>
      <c r="IL33" s="222">
        <f t="shared" si="266"/>
        <v>12</v>
      </c>
      <c r="IM33" s="223">
        <f t="shared" si="220"/>
        <v>24</v>
      </c>
      <c r="IN33" s="224">
        <f t="shared" si="221"/>
        <v>36</v>
      </c>
      <c r="IO33" s="237">
        <f t="shared" si="267"/>
        <v>2304</v>
      </c>
      <c r="IP33" s="234">
        <f>IF33*IG33*GEslave+IF33*CHslave*II33+INslave*IG33*II33</f>
        <v>3456</v>
      </c>
      <c r="IQ33" s="224">
        <f t="shared" si="222"/>
        <v>1728</v>
      </c>
      <c r="IR33" s="242">
        <f t="shared" si="240"/>
        <v>7488</v>
      </c>
      <c r="IS33" s="222">
        <f t="shared" si="223"/>
        <v>3.6923076923076925</v>
      </c>
      <c r="IT33" s="223">
        <f t="shared" si="224"/>
        <v>11.076923076923077</v>
      </c>
      <c r="IU33" s="243">
        <f t="shared" si="225"/>
        <v>8.3076923076923084</v>
      </c>
      <c r="IV33" s="218">
        <f t="shared" si="226"/>
        <v>23.07692307692308</v>
      </c>
      <c r="IW33" s="252">
        <f t="shared" si="227"/>
        <v>0</v>
      </c>
      <c r="IX33" s="309">
        <f t="shared" si="228"/>
        <v>23.07692307692308</v>
      </c>
      <c r="IY33" s="218">
        <f>IF(IV33&gt;0,IV33,0)*2+IF(IV33&gt;12,IV33-12,0)*2+IF(IV33&gt;13,IV33-13,0)*2+IF(IV33&gt;14,IV33-14,0)*2+IF(IV33&gt;15,IV33-15,0)*2+IF(IV33&gt;16,IV33-16,0)*2+IF(IV33&gt;17,IV33-17,0)*2+IF(IV33&gt;18,IV33-18,0)*2+IF(IV33&gt;19,IV33-19,0)*2+IF(IV33&gt;20,IV33-20,0)*2</f>
        <v>173.5384615384616</v>
      </c>
      <c r="IZ33" s="242">
        <f>IF(IW33&gt;0,IW33,0)*2+IF(IW33&gt;12,IW33-12,0)*2+IF(IW33&gt;13,IW33-13,0)*2+IF(IW33&gt;14,IW33-14,0)*2+IF(IW33&gt;15,IW33-15,0)*2+IF(IW33&gt;16,IW33-16,0)*2+IF(IW33&gt;17,IW33-17,0)*2+IF(IW33&gt;18,IW33-18,0)*2+IF(IW33&gt;19,IW33-19,0)*2+IF(IW33&gt;20,IW33-20,0)*2</f>
        <v>0</v>
      </c>
      <c r="JA33" s="243">
        <f t="shared" si="230"/>
        <v>173.5384615384616</v>
      </c>
      <c r="JB33" s="218">
        <f t="shared" si="231"/>
        <v>0</v>
      </c>
      <c r="JE33" s="148"/>
    </row>
    <row r="34" spans="2:265" hidden="1" outlineLevel="2">
      <c r="B34" s="148">
        <v>9</v>
      </c>
      <c r="C34" s="306" t="e">
        <f>VLOOKUP(AF34,Attribute!C:T,1,FALSE)</f>
        <v>#N/A</v>
      </c>
      <c r="D34" s="298" t="s">
        <v>86</v>
      </c>
      <c r="E34" s="159" t="s">
        <v>134</v>
      </c>
      <c r="F34" s="115">
        <f>Konvention_1master-MUmaster</f>
        <v>12</v>
      </c>
      <c r="G34" s="122"/>
      <c r="H34" s="122">
        <f t="shared" si="241"/>
        <v>12</v>
      </c>
      <c r="I34" s="122">
        <f t="shared" si="116"/>
        <v>12</v>
      </c>
      <c r="J34" s="122"/>
      <c r="K34" s="122"/>
      <c r="L34" s="122"/>
      <c r="M34" s="123"/>
      <c r="N34" s="225">
        <f t="shared" si="242"/>
        <v>12</v>
      </c>
      <c r="O34" s="226">
        <f t="shared" si="117"/>
        <v>24</v>
      </c>
      <c r="P34" s="227">
        <f t="shared" si="118"/>
        <v>36</v>
      </c>
      <c r="Q34" s="238">
        <f t="shared" si="243"/>
        <v>2304</v>
      </c>
      <c r="R34" s="122">
        <f>F34*H34*CHmaster+F34*INmaster*I34+MUmaster*H34*I34</f>
        <v>3456</v>
      </c>
      <c r="S34" s="227">
        <f t="shared" si="119"/>
        <v>1728</v>
      </c>
      <c r="T34" s="244">
        <f>SUM(Q34:S34)</f>
        <v>7488</v>
      </c>
      <c r="U34" s="225">
        <f t="shared" si="120"/>
        <v>3.6923076923076925</v>
      </c>
      <c r="V34" s="226">
        <f t="shared" si="121"/>
        <v>11.076923076923077</v>
      </c>
      <c r="W34" s="245">
        <f t="shared" si="122"/>
        <v>8.3076923076923084</v>
      </c>
      <c r="X34" s="246">
        <f t="shared" si="123"/>
        <v>23.07692307692308</v>
      </c>
      <c r="Y34" s="252">
        <v>0</v>
      </c>
      <c r="Z34" s="198">
        <f t="shared" si="124"/>
        <v>23.07692307692308</v>
      </c>
      <c r="AA34" s="159">
        <f>IF(X34&gt;0,X34,0)*4+IF(X34&gt;12,X34-12,0)*4+IF(X34&gt;13,X34-13,0)*4+IF(X34&gt;14,X34-14,0)*4+IF(X34&gt;15,X34-15,0)*4+IF(X34&gt;16,X34-16,0)*4+IF(X34&gt;17,X34-17,0)*4+IF(X34&gt;18,X34-18,0)*4+IF(X34&gt;19,X34-19,0)*4+IF(X34&gt;20,X34-20,0)*4</f>
        <v>347.07692307692321</v>
      </c>
      <c r="AB34" s="161">
        <f>IF(Y34&gt;0,Y34,0)*4+IF(Y34&gt;12,Y34-12,0)*4+IF(Y34&gt;13,Y34-13,0)*4+IF(Y34&gt;14,Y34-14,0)*4+IF(Y34&gt;15,Y34-15,0)*4+IF(Y34&gt;16,Y34-16,0)*4+IF(Y34&gt;17,Y34-17,0)*4+IF(Y34&gt;18,Y34-18,0)*4+IF(Y34&gt;19,Y34-19,0)*4+IF(Y34&gt;20,Y34-20,0)*4</f>
        <v>0</v>
      </c>
      <c r="AC34" s="128">
        <f t="shared" si="126"/>
        <v>347.07692307692321</v>
      </c>
      <c r="AD34" s="159">
        <f t="shared" si="127"/>
        <v>0</v>
      </c>
      <c r="AF34" s="164" t="s">
        <v>37</v>
      </c>
      <c r="AG34" s="128" t="s">
        <v>86</v>
      </c>
      <c r="AH34" s="159" t="s">
        <v>134</v>
      </c>
      <c r="AI34" s="115">
        <f>Konvention_1slave-MUslave_MU</f>
        <v>11</v>
      </c>
      <c r="AJ34" s="122"/>
      <c r="AK34" s="122">
        <f t="shared" si="244"/>
        <v>12</v>
      </c>
      <c r="AL34" s="122">
        <f t="shared" si="128"/>
        <v>12</v>
      </c>
      <c r="AM34" s="122"/>
      <c r="AN34" s="122"/>
      <c r="AO34" s="122"/>
      <c r="AP34" s="123"/>
      <c r="AQ34" s="90">
        <f t="shared" si="245"/>
        <v>11.666666666666666</v>
      </c>
      <c r="AR34" s="88">
        <f t="shared" si="129"/>
        <v>23.333333333333332</v>
      </c>
      <c r="AS34" s="123">
        <f t="shared" si="130"/>
        <v>35</v>
      </c>
      <c r="AT34" s="115">
        <f t="shared" si="246"/>
        <v>2432</v>
      </c>
      <c r="AU34" s="122">
        <f>AI34*AK34*CHslave+AI34*INslave*AL34+MUslave_MU*AK34*AL34</f>
        <v>3408</v>
      </c>
      <c r="AV34" s="123">
        <f t="shared" si="131"/>
        <v>1584</v>
      </c>
      <c r="AW34" s="161">
        <f>SUM(AT34:AV34)</f>
        <v>7424</v>
      </c>
      <c r="AX34" s="90">
        <f t="shared" si="132"/>
        <v>3.8218390804597702</v>
      </c>
      <c r="AY34" s="88">
        <f t="shared" si="133"/>
        <v>10.711206896551724</v>
      </c>
      <c r="AZ34" s="128">
        <f t="shared" si="134"/>
        <v>7.4676724137931032</v>
      </c>
      <c r="BA34" s="159">
        <f t="shared" si="135"/>
        <v>22.000718390804597</v>
      </c>
      <c r="BB34" s="165">
        <f t="shared" si="136"/>
        <v>0</v>
      </c>
      <c r="BC34" s="198">
        <f t="shared" si="137"/>
        <v>22.000718390804597</v>
      </c>
      <c r="BD34" s="159">
        <f>IF(BA34&gt;0,BA34,0)*4+IF(BA34&gt;12,BA34-12,0)*4+IF(BA34&gt;13,BA34-13,0)*4+IF(BA34&gt;14,BA34-14,0)*4+IF(BA34&gt;15,BA34-15,0)*4+IF(BA34&gt;16,BA34-16,0)*4+IF(BA34&gt;17,BA34-17,0)*4+IF(BA34&gt;18,BA34-18,0)*4+IF(BA34&gt;19,BA34-19,0)*4+IF(BA34&gt;20,BA34-20,0)*4</f>
        <v>304.02873563218378</v>
      </c>
      <c r="BE34" s="161">
        <f>IF(BB34&gt;0,BB34,0)*4+IF(BB34&gt;12,BB34-12,0)*4+IF(BB34&gt;13,BB34-13,0)*4+IF(BB34&gt;14,BB34-14,0)*4+IF(BB34&gt;15,BB34-15,0)*4+IF(BB34&gt;16,BB34-16,0)*4+IF(BB34&gt;17,BB34-17,0)*4+IF(BB34&gt;18,BB34-18,0)*4+IF(BB34&gt;19,BB34-19,0)*4+IF(BB34&gt;20,BB34-20,0)*4</f>
        <v>0</v>
      </c>
      <c r="BF34" s="245">
        <f t="shared" si="139"/>
        <v>304.02873563218378</v>
      </c>
      <c r="BG34" s="246">
        <f t="shared" si="140"/>
        <v>0</v>
      </c>
      <c r="BI34" s="306" t="s">
        <v>37</v>
      </c>
      <c r="BJ34" s="245" t="s">
        <v>86</v>
      </c>
      <c r="BK34" s="246" t="s">
        <v>134</v>
      </c>
      <c r="BL34" s="238">
        <f>Konvention_1slave-MUslave</f>
        <v>12</v>
      </c>
      <c r="BM34" s="235"/>
      <c r="BN34" s="235">
        <f t="shared" si="247"/>
        <v>12</v>
      </c>
      <c r="BO34" s="235">
        <f t="shared" si="141"/>
        <v>12</v>
      </c>
      <c r="BP34" s="235"/>
      <c r="BQ34" s="235"/>
      <c r="BR34" s="235"/>
      <c r="BS34" s="227"/>
      <c r="BT34" s="225">
        <f t="shared" si="248"/>
        <v>12</v>
      </c>
      <c r="BU34" s="226">
        <f t="shared" si="142"/>
        <v>24</v>
      </c>
      <c r="BV34" s="227">
        <f t="shared" si="143"/>
        <v>36</v>
      </c>
      <c r="BW34" s="238">
        <f t="shared" si="249"/>
        <v>2304</v>
      </c>
      <c r="BX34" s="235">
        <f>BL34*BN34*CHslave+BL34*INslave*BO34+MUslave*BN34*BO34</f>
        <v>3456</v>
      </c>
      <c r="BY34" s="227">
        <f t="shared" si="144"/>
        <v>1728</v>
      </c>
      <c r="BZ34" s="244">
        <f>SUM(BW34:BY34)</f>
        <v>7488</v>
      </c>
      <c r="CA34" s="225">
        <f t="shared" si="145"/>
        <v>3.6923076923076925</v>
      </c>
      <c r="CB34" s="226">
        <f t="shared" si="146"/>
        <v>11.076923076923077</v>
      </c>
      <c r="CC34" s="245">
        <f t="shared" si="147"/>
        <v>8.3076923076923084</v>
      </c>
      <c r="CD34" s="246">
        <f t="shared" si="148"/>
        <v>23.07692307692308</v>
      </c>
      <c r="CE34" s="252">
        <f t="shared" si="149"/>
        <v>0</v>
      </c>
      <c r="CF34" s="309">
        <f t="shared" si="150"/>
        <v>23.07692307692308</v>
      </c>
      <c r="CG34" s="246">
        <f>IF(CD34&gt;0,CD34,0)*4+IF(CD34&gt;12,CD34-12,0)*4+IF(CD34&gt;13,CD34-13,0)*4+IF(CD34&gt;14,CD34-14,0)*4+IF(CD34&gt;15,CD34-15,0)*4+IF(CD34&gt;16,CD34-16,0)*4+IF(CD34&gt;17,CD34-17,0)*4+IF(CD34&gt;18,CD34-18,0)*4+IF(CD34&gt;19,CD34-19,0)*4+IF(CD34&gt;20,CD34-20,0)*4</f>
        <v>347.07692307692321</v>
      </c>
      <c r="CH34" s="244">
        <f>IF(CE34&gt;0,CE34,0)*4+IF(CE34&gt;12,CE34-12,0)*4+IF(CE34&gt;13,CE34-13,0)*4+IF(CE34&gt;14,CE34-14,0)*4+IF(CE34&gt;15,CE34-15,0)*4+IF(CE34&gt;16,CE34-16,0)*4+IF(CE34&gt;17,CE34-17,0)*4+IF(CE34&gt;18,CE34-18,0)*4+IF(CE34&gt;19,CE34-19,0)*4+IF(CE34&gt;20,CE34-20,0)*4</f>
        <v>0</v>
      </c>
      <c r="CI34" s="245">
        <f t="shared" si="152"/>
        <v>347.07692307692321</v>
      </c>
      <c r="CJ34" s="246">
        <f t="shared" si="153"/>
        <v>0</v>
      </c>
      <c r="CL34" s="306" t="s">
        <v>37</v>
      </c>
      <c r="CM34" s="245" t="s">
        <v>86</v>
      </c>
      <c r="CN34" s="246" t="s">
        <v>134</v>
      </c>
      <c r="CO34" s="238">
        <f>Konvention_1slave-MUslave</f>
        <v>12</v>
      </c>
      <c r="CP34" s="235"/>
      <c r="CQ34" s="235">
        <f t="shared" si="250"/>
        <v>11</v>
      </c>
      <c r="CR34" s="235">
        <f t="shared" si="154"/>
        <v>12</v>
      </c>
      <c r="CS34" s="235"/>
      <c r="CT34" s="235"/>
      <c r="CU34" s="235"/>
      <c r="CV34" s="227"/>
      <c r="CW34" s="225">
        <f t="shared" si="251"/>
        <v>11.666666666666666</v>
      </c>
      <c r="CX34" s="226">
        <f t="shared" si="155"/>
        <v>23.333333333333332</v>
      </c>
      <c r="CY34" s="227">
        <f t="shared" si="156"/>
        <v>35</v>
      </c>
      <c r="CZ34" s="238">
        <f t="shared" si="252"/>
        <v>2432</v>
      </c>
      <c r="DA34" s="235">
        <f>CO34*CQ34*CHslave+CO34*INslave_IN*CR34+MUslave*CQ34*CR34</f>
        <v>3408</v>
      </c>
      <c r="DB34" s="227">
        <f t="shared" si="157"/>
        <v>1584</v>
      </c>
      <c r="DC34" s="244">
        <f>SUM(CZ34:DB34)</f>
        <v>7424</v>
      </c>
      <c r="DD34" s="225">
        <f t="shared" si="158"/>
        <v>3.8218390804597702</v>
      </c>
      <c r="DE34" s="226">
        <f t="shared" si="159"/>
        <v>10.711206896551724</v>
      </c>
      <c r="DF34" s="245">
        <f t="shared" si="160"/>
        <v>7.4676724137931032</v>
      </c>
      <c r="DG34" s="246">
        <f t="shared" si="161"/>
        <v>22.000718390804597</v>
      </c>
      <c r="DH34" s="252">
        <f t="shared" si="162"/>
        <v>0</v>
      </c>
      <c r="DI34" s="309">
        <f t="shared" si="163"/>
        <v>22.000718390804597</v>
      </c>
      <c r="DJ34" s="246">
        <f>IF(DG34&gt;0,DG34,0)*4+IF(DG34&gt;12,DG34-12,0)*4+IF(DG34&gt;13,DG34-13,0)*4+IF(DG34&gt;14,DG34-14,0)*4+IF(DG34&gt;15,DG34-15,0)*4+IF(DG34&gt;16,DG34-16,0)*4+IF(DG34&gt;17,DG34-17,0)*4+IF(DG34&gt;18,DG34-18,0)*4+IF(DG34&gt;19,DG34-19,0)*4+IF(DG34&gt;20,DG34-20,0)*4</f>
        <v>304.02873563218378</v>
      </c>
      <c r="DK34" s="244">
        <f>IF(DH34&gt;0,DH34,0)*4+IF(DH34&gt;12,DH34-12,0)*4+IF(DH34&gt;13,DH34-13,0)*4+IF(DH34&gt;14,DH34-14,0)*4+IF(DH34&gt;15,DH34-15,0)*4+IF(DH34&gt;16,DH34-16,0)*4+IF(DH34&gt;17,DH34-17,0)*4+IF(DH34&gt;18,DH34-18,0)*4+IF(DH34&gt;19,DH34-19,0)*4+IF(DH34&gt;20,DH34-20,0)*4</f>
        <v>0</v>
      </c>
      <c r="DL34" s="245">
        <f t="shared" si="165"/>
        <v>304.02873563218378</v>
      </c>
      <c r="DM34" s="246">
        <f t="shared" si="166"/>
        <v>0</v>
      </c>
      <c r="DO34" s="306" t="s">
        <v>37</v>
      </c>
      <c r="DP34" s="245" t="s">
        <v>86</v>
      </c>
      <c r="DQ34" s="246" t="s">
        <v>134</v>
      </c>
      <c r="DR34" s="238">
        <f>Konvention_1slave-MUslave</f>
        <v>12</v>
      </c>
      <c r="DS34" s="235"/>
      <c r="DT34" s="235">
        <f t="shared" si="253"/>
        <v>12</v>
      </c>
      <c r="DU34" s="235">
        <f t="shared" si="167"/>
        <v>11</v>
      </c>
      <c r="DV34" s="235"/>
      <c r="DW34" s="235"/>
      <c r="DX34" s="235"/>
      <c r="DY34" s="227"/>
      <c r="DZ34" s="225">
        <f t="shared" si="254"/>
        <v>11.666666666666666</v>
      </c>
      <c r="EA34" s="226">
        <f t="shared" si="168"/>
        <v>23.333333333333332</v>
      </c>
      <c r="EB34" s="227">
        <f t="shared" si="169"/>
        <v>35</v>
      </c>
      <c r="EC34" s="238">
        <f t="shared" si="255"/>
        <v>2432</v>
      </c>
      <c r="ED34" s="235">
        <f>DR34*DT34*CHslave_CH+DR34*INslave*DU34+MUslave*DT34*DU34</f>
        <v>3408</v>
      </c>
      <c r="EE34" s="227">
        <f t="shared" si="170"/>
        <v>1584</v>
      </c>
      <c r="EF34" s="244">
        <f>SUM(EC34:EE34)</f>
        <v>7424</v>
      </c>
      <c r="EG34" s="225">
        <f t="shared" si="171"/>
        <v>3.8218390804597702</v>
      </c>
      <c r="EH34" s="226">
        <f t="shared" si="172"/>
        <v>10.711206896551724</v>
      </c>
      <c r="EI34" s="245">
        <f t="shared" si="173"/>
        <v>7.4676724137931032</v>
      </c>
      <c r="EJ34" s="246">
        <f t="shared" si="174"/>
        <v>22.000718390804597</v>
      </c>
      <c r="EK34" s="252">
        <f t="shared" si="175"/>
        <v>0</v>
      </c>
      <c r="EL34" s="309">
        <f t="shared" si="176"/>
        <v>22.000718390804597</v>
      </c>
      <c r="EM34" s="246">
        <f>IF(EJ34&gt;0,EJ34,0)*4+IF(EJ34&gt;12,EJ34-12,0)*4+IF(EJ34&gt;13,EJ34-13,0)*4+IF(EJ34&gt;14,EJ34-14,0)*4+IF(EJ34&gt;15,EJ34-15,0)*4+IF(EJ34&gt;16,EJ34-16,0)*4+IF(EJ34&gt;17,EJ34-17,0)*4+IF(EJ34&gt;18,EJ34-18,0)*4+IF(EJ34&gt;19,EJ34-19,0)*4+IF(EJ34&gt;20,EJ34-20,0)*4</f>
        <v>304.02873563218378</v>
      </c>
      <c r="EN34" s="244">
        <f>IF(EK34&gt;0,EK34,0)*4+IF(EK34&gt;12,EK34-12,0)*4+IF(EK34&gt;13,EK34-13,0)*4+IF(EK34&gt;14,EK34-14,0)*4+IF(EK34&gt;15,EK34-15,0)*4+IF(EK34&gt;16,EK34-16,0)*4+IF(EK34&gt;17,EK34-17,0)*4+IF(EK34&gt;18,EK34-18,0)*4+IF(EK34&gt;19,EK34-19,0)*4+IF(EK34&gt;20,EK34-20,0)*4</f>
        <v>0</v>
      </c>
      <c r="EO34" s="245">
        <f t="shared" si="178"/>
        <v>304.02873563218378</v>
      </c>
      <c r="EP34" s="246">
        <f t="shared" si="179"/>
        <v>0</v>
      </c>
      <c r="ER34" s="306" t="s">
        <v>37</v>
      </c>
      <c r="ES34" s="245" t="s">
        <v>86</v>
      </c>
      <c r="ET34" s="246" t="s">
        <v>134</v>
      </c>
      <c r="EU34" s="238">
        <f>Konvention_1slave-MUslave</f>
        <v>12</v>
      </c>
      <c r="EV34" s="235"/>
      <c r="EW34" s="235">
        <f t="shared" si="256"/>
        <v>12</v>
      </c>
      <c r="EX34" s="235">
        <f t="shared" si="180"/>
        <v>12</v>
      </c>
      <c r="EY34" s="235"/>
      <c r="EZ34" s="235"/>
      <c r="FA34" s="235"/>
      <c r="FB34" s="227"/>
      <c r="FC34" s="225">
        <f t="shared" si="257"/>
        <v>12</v>
      </c>
      <c r="FD34" s="226">
        <f t="shared" si="181"/>
        <v>24</v>
      </c>
      <c r="FE34" s="227">
        <f t="shared" si="182"/>
        <v>36</v>
      </c>
      <c r="FF34" s="238">
        <f t="shared" si="258"/>
        <v>2304</v>
      </c>
      <c r="FG34" s="235">
        <f>EU34*EW34*CHslave+EU34*INslave*EX34+MUslave*EW34*EX34</f>
        <v>3456</v>
      </c>
      <c r="FH34" s="227">
        <f t="shared" si="183"/>
        <v>1728</v>
      </c>
      <c r="FI34" s="244">
        <f>SUM(FF34:FH34)</f>
        <v>7488</v>
      </c>
      <c r="FJ34" s="225">
        <f t="shared" si="184"/>
        <v>3.6923076923076925</v>
      </c>
      <c r="FK34" s="226">
        <f t="shared" si="185"/>
        <v>11.076923076923077</v>
      </c>
      <c r="FL34" s="245">
        <f t="shared" si="186"/>
        <v>8.3076923076923084</v>
      </c>
      <c r="FM34" s="246">
        <f t="shared" si="187"/>
        <v>23.07692307692308</v>
      </c>
      <c r="FN34" s="252">
        <f t="shared" si="188"/>
        <v>0</v>
      </c>
      <c r="FO34" s="309">
        <f t="shared" si="189"/>
        <v>23.07692307692308</v>
      </c>
      <c r="FP34" s="246">
        <f>IF(FM34&gt;0,FM34,0)*4+IF(FM34&gt;12,FM34-12,0)*4+IF(FM34&gt;13,FM34-13,0)*4+IF(FM34&gt;14,FM34-14,0)*4+IF(FM34&gt;15,FM34-15,0)*4+IF(FM34&gt;16,FM34-16,0)*4+IF(FM34&gt;17,FM34-17,0)*4+IF(FM34&gt;18,FM34-18,0)*4+IF(FM34&gt;19,FM34-19,0)*4+IF(FM34&gt;20,FM34-20,0)*4</f>
        <v>347.07692307692321</v>
      </c>
      <c r="FQ34" s="244">
        <f>IF(FN34&gt;0,FN34,0)*4+IF(FN34&gt;12,FN34-12,0)*4+IF(FN34&gt;13,FN34-13,0)*4+IF(FN34&gt;14,FN34-14,0)*4+IF(FN34&gt;15,FN34-15,0)*4+IF(FN34&gt;16,FN34-16,0)*4+IF(FN34&gt;17,FN34-17,0)*4+IF(FN34&gt;18,FN34-18,0)*4+IF(FN34&gt;19,FN34-19,0)*4+IF(FN34&gt;20,FN34-20,0)*4</f>
        <v>0</v>
      </c>
      <c r="FR34" s="245">
        <f t="shared" si="191"/>
        <v>347.07692307692321</v>
      </c>
      <c r="FS34" s="246">
        <f t="shared" si="192"/>
        <v>0</v>
      </c>
      <c r="FU34" s="306" t="s">
        <v>37</v>
      </c>
      <c r="FV34" s="245" t="s">
        <v>86</v>
      </c>
      <c r="FW34" s="246" t="s">
        <v>134</v>
      </c>
      <c r="FX34" s="238">
        <f>Konvention_1slave-MUslave</f>
        <v>12</v>
      </c>
      <c r="FY34" s="235"/>
      <c r="FZ34" s="235">
        <f t="shared" si="259"/>
        <v>12</v>
      </c>
      <c r="GA34" s="235">
        <f t="shared" si="193"/>
        <v>12</v>
      </c>
      <c r="GB34" s="235"/>
      <c r="GC34" s="235"/>
      <c r="GD34" s="235"/>
      <c r="GE34" s="227"/>
      <c r="GF34" s="225">
        <f t="shared" si="260"/>
        <v>12</v>
      </c>
      <c r="GG34" s="226">
        <f t="shared" si="194"/>
        <v>24</v>
      </c>
      <c r="GH34" s="227">
        <f t="shared" si="195"/>
        <v>36</v>
      </c>
      <c r="GI34" s="238">
        <f t="shared" si="261"/>
        <v>2304</v>
      </c>
      <c r="GJ34" s="235">
        <f>FX34*FZ34*CHslave+FX34*INslave*GA34+MUslave*FZ34*GA34</f>
        <v>3456</v>
      </c>
      <c r="GK34" s="227">
        <f t="shared" si="196"/>
        <v>1728</v>
      </c>
      <c r="GL34" s="244">
        <f>SUM(GI34:GK34)</f>
        <v>7488</v>
      </c>
      <c r="GM34" s="225">
        <f t="shared" si="197"/>
        <v>3.6923076923076925</v>
      </c>
      <c r="GN34" s="226">
        <f t="shared" si="198"/>
        <v>11.076923076923077</v>
      </c>
      <c r="GO34" s="245">
        <f t="shared" si="199"/>
        <v>8.3076923076923084</v>
      </c>
      <c r="GP34" s="246">
        <f t="shared" si="200"/>
        <v>23.07692307692308</v>
      </c>
      <c r="GQ34" s="252">
        <f t="shared" si="201"/>
        <v>0</v>
      </c>
      <c r="GR34" s="309">
        <f t="shared" si="202"/>
        <v>23.07692307692308</v>
      </c>
      <c r="GS34" s="246">
        <f>IF(GP34&gt;0,GP34,0)*4+IF(GP34&gt;12,GP34-12,0)*4+IF(GP34&gt;13,GP34-13,0)*4+IF(GP34&gt;14,GP34-14,0)*4+IF(GP34&gt;15,GP34-15,0)*4+IF(GP34&gt;16,GP34-16,0)*4+IF(GP34&gt;17,GP34-17,0)*4+IF(GP34&gt;18,GP34-18,0)*4+IF(GP34&gt;19,GP34-19,0)*4+IF(GP34&gt;20,GP34-20,0)*4</f>
        <v>347.07692307692321</v>
      </c>
      <c r="GT34" s="244">
        <f>IF(GQ34&gt;0,GQ34,0)*4+IF(GQ34&gt;12,GQ34-12,0)*4+IF(GQ34&gt;13,GQ34-13,0)*4+IF(GQ34&gt;14,GQ34-14,0)*4+IF(GQ34&gt;15,GQ34-15,0)*4+IF(GQ34&gt;16,GQ34-16,0)*4+IF(GQ34&gt;17,GQ34-17,0)*4+IF(GQ34&gt;18,GQ34-18,0)*4+IF(GQ34&gt;19,GQ34-19,0)*4+IF(GQ34&gt;20,GQ34-20,0)*4</f>
        <v>0</v>
      </c>
      <c r="GU34" s="245">
        <f t="shared" si="204"/>
        <v>347.07692307692321</v>
      </c>
      <c r="GV34" s="246">
        <f t="shared" si="205"/>
        <v>0</v>
      </c>
      <c r="GX34" s="306" t="s">
        <v>37</v>
      </c>
      <c r="GY34" s="245" t="s">
        <v>86</v>
      </c>
      <c r="GZ34" s="246" t="s">
        <v>134</v>
      </c>
      <c r="HA34" s="238">
        <f>Konvention_1slave-MUslave</f>
        <v>12</v>
      </c>
      <c r="HB34" s="235"/>
      <c r="HC34" s="235">
        <f t="shared" si="262"/>
        <v>12</v>
      </c>
      <c r="HD34" s="235">
        <f t="shared" si="206"/>
        <v>12</v>
      </c>
      <c r="HE34" s="235"/>
      <c r="HF34" s="235"/>
      <c r="HG34" s="235"/>
      <c r="HH34" s="227"/>
      <c r="HI34" s="225">
        <f t="shared" si="263"/>
        <v>12</v>
      </c>
      <c r="HJ34" s="226">
        <f t="shared" si="207"/>
        <v>24</v>
      </c>
      <c r="HK34" s="227">
        <f t="shared" si="208"/>
        <v>36</v>
      </c>
      <c r="HL34" s="238">
        <f t="shared" si="264"/>
        <v>2304</v>
      </c>
      <c r="HM34" s="235">
        <f>HA34*HC34*CHslave+HA34*INslave*HD34+MUslave*HC34*HD34</f>
        <v>3456</v>
      </c>
      <c r="HN34" s="227">
        <f t="shared" si="209"/>
        <v>1728</v>
      </c>
      <c r="HO34" s="244">
        <f>SUM(HL34:HN34)</f>
        <v>7488</v>
      </c>
      <c r="HP34" s="225">
        <f t="shared" si="210"/>
        <v>3.6923076923076925</v>
      </c>
      <c r="HQ34" s="226">
        <f t="shared" si="211"/>
        <v>11.076923076923077</v>
      </c>
      <c r="HR34" s="245">
        <f t="shared" si="212"/>
        <v>8.3076923076923084</v>
      </c>
      <c r="HS34" s="246">
        <f t="shared" si="213"/>
        <v>23.07692307692308</v>
      </c>
      <c r="HT34" s="252">
        <f t="shared" si="214"/>
        <v>0</v>
      </c>
      <c r="HU34" s="309">
        <f t="shared" si="215"/>
        <v>23.07692307692308</v>
      </c>
      <c r="HV34" s="246">
        <f>IF(HS34&gt;0,HS34,0)*4+IF(HS34&gt;12,HS34-12,0)*4+IF(HS34&gt;13,HS34-13,0)*4+IF(HS34&gt;14,HS34-14,0)*4+IF(HS34&gt;15,HS34-15,0)*4+IF(HS34&gt;16,HS34-16,0)*4+IF(HS34&gt;17,HS34-17,0)*4+IF(HS34&gt;18,HS34-18,0)*4+IF(HS34&gt;19,HS34-19,0)*4+IF(HS34&gt;20,HS34-20,0)*4</f>
        <v>347.07692307692321</v>
      </c>
      <c r="HW34" s="244">
        <f>IF(HT34&gt;0,HT34,0)*4+IF(HT34&gt;12,HT34-12,0)*4+IF(HT34&gt;13,HT34-13,0)*4+IF(HT34&gt;14,HT34-14,0)*4+IF(HT34&gt;15,HT34-15,0)*4+IF(HT34&gt;16,HT34-16,0)*4+IF(HT34&gt;17,HT34-17,0)*4+IF(HT34&gt;18,HT34-18,0)*4+IF(HT34&gt;19,HT34-19,0)*4+IF(HT34&gt;20,HT34-20,0)*4</f>
        <v>0</v>
      </c>
      <c r="HX34" s="245">
        <f t="shared" si="217"/>
        <v>347.07692307692321</v>
      </c>
      <c r="HY34" s="246">
        <f t="shared" si="218"/>
        <v>0</v>
      </c>
      <c r="IA34" s="306" t="s">
        <v>37</v>
      </c>
      <c r="IB34" s="245" t="s">
        <v>86</v>
      </c>
      <c r="IC34" s="246" t="s">
        <v>134</v>
      </c>
      <c r="ID34" s="238">
        <f>Konvention_1slave-MUslave</f>
        <v>12</v>
      </c>
      <c r="IE34" s="235"/>
      <c r="IF34" s="235">
        <f t="shared" si="265"/>
        <v>12</v>
      </c>
      <c r="IG34" s="235">
        <f t="shared" si="219"/>
        <v>12</v>
      </c>
      <c r="IH34" s="235"/>
      <c r="II34" s="235"/>
      <c r="IJ34" s="235"/>
      <c r="IK34" s="227"/>
      <c r="IL34" s="225">
        <f t="shared" si="266"/>
        <v>12</v>
      </c>
      <c r="IM34" s="226">
        <f t="shared" si="220"/>
        <v>24</v>
      </c>
      <c r="IN34" s="227">
        <f t="shared" si="221"/>
        <v>36</v>
      </c>
      <c r="IO34" s="238">
        <f t="shared" si="267"/>
        <v>2304</v>
      </c>
      <c r="IP34" s="235">
        <f>ID34*IF34*CHslave+ID34*INslave*IG34+MUslave*IF34*IG34</f>
        <v>3456</v>
      </c>
      <c r="IQ34" s="227">
        <f t="shared" si="222"/>
        <v>1728</v>
      </c>
      <c r="IR34" s="244">
        <f>SUM(IO34:IQ34)</f>
        <v>7488</v>
      </c>
      <c r="IS34" s="225">
        <f t="shared" si="223"/>
        <v>3.6923076923076925</v>
      </c>
      <c r="IT34" s="226">
        <f t="shared" si="224"/>
        <v>11.076923076923077</v>
      </c>
      <c r="IU34" s="245">
        <f t="shared" si="225"/>
        <v>8.3076923076923084</v>
      </c>
      <c r="IV34" s="246">
        <f t="shared" si="226"/>
        <v>23.07692307692308</v>
      </c>
      <c r="IW34" s="252">
        <f t="shared" si="227"/>
        <v>0</v>
      </c>
      <c r="IX34" s="309">
        <f t="shared" si="228"/>
        <v>23.07692307692308</v>
      </c>
      <c r="IY34" s="246">
        <f>IF(IV34&gt;0,IV34,0)*4+IF(IV34&gt;12,IV34-12,0)*4+IF(IV34&gt;13,IV34-13,0)*4+IF(IV34&gt;14,IV34-14,0)*4+IF(IV34&gt;15,IV34-15,0)*4+IF(IV34&gt;16,IV34-16,0)*4+IF(IV34&gt;17,IV34-17,0)*4+IF(IV34&gt;18,IV34-18,0)*4+IF(IV34&gt;19,IV34-19,0)*4+IF(IV34&gt;20,IV34-20,0)*4</f>
        <v>347.07692307692321</v>
      </c>
      <c r="IZ34" s="244">
        <f>IF(IW34&gt;0,IW34,0)*4+IF(IW34&gt;12,IW34-12,0)*4+IF(IW34&gt;13,IW34-13,0)*4+IF(IW34&gt;14,IW34-14,0)*4+IF(IW34&gt;15,IW34-15,0)*4+IF(IW34&gt;16,IW34-16,0)*4+IF(IW34&gt;17,IW34-17,0)*4+IF(IW34&gt;18,IW34-18,0)*4+IF(IW34&gt;19,IW34-19,0)*4+IF(IW34&gt;20,IW34-20,0)*4</f>
        <v>0</v>
      </c>
      <c r="JA34" s="245">
        <f t="shared" si="230"/>
        <v>347.07692307692321</v>
      </c>
      <c r="JB34" s="246">
        <f t="shared" si="231"/>
        <v>0</v>
      </c>
      <c r="JE34" s="148"/>
    </row>
    <row r="35" spans="2:265" hidden="1" outlineLevel="1" collapsed="1">
      <c r="B35" s="134" t="s">
        <v>69</v>
      </c>
      <c r="C35" s="307" t="s">
        <v>281</v>
      </c>
      <c r="D35" s="84" t="s">
        <v>279</v>
      </c>
      <c r="E35" s="84" t="s">
        <v>280</v>
      </c>
      <c r="F35" s="30"/>
      <c r="G35" s="30"/>
      <c r="H35" s="30"/>
      <c r="I35" s="30"/>
      <c r="J35" s="30"/>
      <c r="K35" s="30"/>
      <c r="L35" s="30"/>
      <c r="M35" s="30"/>
      <c r="N35" s="228"/>
      <c r="O35" s="228"/>
      <c r="P35" s="229"/>
      <c r="Q35" s="229"/>
      <c r="R35" s="30"/>
      <c r="S35" s="229"/>
      <c r="T35" s="229"/>
      <c r="U35" s="228"/>
      <c r="V35" s="228"/>
      <c r="W35" s="228"/>
      <c r="X35" s="228"/>
      <c r="Y35" s="253"/>
      <c r="Z35" s="197"/>
      <c r="AF35" s="83" t="s">
        <v>281</v>
      </c>
      <c r="AG35" s="84" t="s">
        <v>279</v>
      </c>
      <c r="AH35" s="84" t="s">
        <v>280</v>
      </c>
      <c r="AI35" s="30"/>
      <c r="AJ35" s="30"/>
      <c r="AK35" s="30"/>
      <c r="AL35" s="30"/>
      <c r="AM35" s="30"/>
      <c r="AN35" s="30"/>
      <c r="AO35" s="30"/>
      <c r="AP35" s="30"/>
      <c r="AQ35" s="31"/>
      <c r="AR35" s="31"/>
      <c r="AS35" s="30"/>
      <c r="AT35" s="30"/>
      <c r="AU35" s="30"/>
      <c r="AV35" s="30"/>
      <c r="AW35" s="30"/>
      <c r="AX35" s="31"/>
      <c r="AY35" s="31"/>
      <c r="AZ35" s="31"/>
      <c r="BA35" s="31"/>
      <c r="BB35" s="65"/>
      <c r="BC35" s="197"/>
      <c r="BI35" s="307" t="s">
        <v>281</v>
      </c>
      <c r="BJ35" s="308" t="s">
        <v>279</v>
      </c>
      <c r="BK35" s="308" t="s">
        <v>280</v>
      </c>
      <c r="BL35" s="229"/>
      <c r="BM35" s="229"/>
      <c r="BN35" s="229"/>
      <c r="BO35" s="229"/>
      <c r="BP35" s="229"/>
      <c r="BQ35" s="229"/>
      <c r="BR35" s="229"/>
      <c r="BS35" s="229"/>
      <c r="BT35" s="228"/>
      <c r="BU35" s="228"/>
      <c r="BV35" s="229"/>
      <c r="BW35" s="229"/>
      <c r="BX35" s="229"/>
      <c r="BY35" s="229"/>
      <c r="BZ35" s="229"/>
      <c r="CA35" s="228"/>
      <c r="CB35" s="228"/>
      <c r="CC35" s="228"/>
      <c r="CD35" s="228"/>
      <c r="CE35" s="253"/>
      <c r="CF35" s="251"/>
      <c r="CL35" s="307" t="s">
        <v>281</v>
      </c>
      <c r="CM35" s="308" t="s">
        <v>279</v>
      </c>
      <c r="CN35" s="308" t="s">
        <v>280</v>
      </c>
      <c r="CO35" s="229"/>
      <c r="CP35" s="229"/>
      <c r="CQ35" s="229"/>
      <c r="CR35" s="229"/>
      <c r="CS35" s="229"/>
      <c r="CT35" s="229"/>
      <c r="CU35" s="229"/>
      <c r="CV35" s="229"/>
      <c r="CW35" s="228"/>
      <c r="CX35" s="228"/>
      <c r="CY35" s="229"/>
      <c r="CZ35" s="229"/>
      <c r="DA35" s="229"/>
      <c r="DB35" s="229"/>
      <c r="DC35" s="229"/>
      <c r="DD35" s="228"/>
      <c r="DE35" s="228"/>
      <c r="DF35" s="228"/>
      <c r="DG35" s="228"/>
      <c r="DH35" s="253"/>
      <c r="DI35" s="251"/>
      <c r="DO35" s="307" t="s">
        <v>281</v>
      </c>
      <c r="DP35" s="308" t="s">
        <v>279</v>
      </c>
      <c r="DQ35" s="308" t="s">
        <v>280</v>
      </c>
      <c r="DR35" s="229"/>
      <c r="DS35" s="229"/>
      <c r="DT35" s="229"/>
      <c r="DU35" s="229"/>
      <c r="DV35" s="229"/>
      <c r="DW35" s="229"/>
      <c r="DX35" s="229"/>
      <c r="DY35" s="229"/>
      <c r="DZ35" s="228"/>
      <c r="EA35" s="228"/>
      <c r="EB35" s="229"/>
      <c r="EC35" s="229"/>
      <c r="ED35" s="229"/>
      <c r="EE35" s="229"/>
      <c r="EF35" s="229"/>
      <c r="EG35" s="228"/>
      <c r="EH35" s="228"/>
      <c r="EI35" s="228"/>
      <c r="EJ35" s="228"/>
      <c r="EK35" s="253"/>
      <c r="EL35" s="251"/>
      <c r="ER35" s="307" t="s">
        <v>281</v>
      </c>
      <c r="ES35" s="308" t="s">
        <v>279</v>
      </c>
      <c r="ET35" s="308" t="s">
        <v>280</v>
      </c>
      <c r="EU35" s="229"/>
      <c r="EV35" s="229"/>
      <c r="EW35" s="229"/>
      <c r="EX35" s="229"/>
      <c r="EY35" s="229"/>
      <c r="EZ35" s="229"/>
      <c r="FA35" s="229"/>
      <c r="FB35" s="229"/>
      <c r="FC35" s="228"/>
      <c r="FD35" s="228"/>
      <c r="FE35" s="229"/>
      <c r="FF35" s="229"/>
      <c r="FG35" s="229"/>
      <c r="FH35" s="229"/>
      <c r="FI35" s="229"/>
      <c r="FJ35" s="228"/>
      <c r="FK35" s="228"/>
      <c r="FL35" s="228"/>
      <c r="FM35" s="228"/>
      <c r="FN35" s="253"/>
      <c r="FO35" s="251"/>
      <c r="FU35" s="307" t="s">
        <v>281</v>
      </c>
      <c r="FV35" s="308" t="s">
        <v>279</v>
      </c>
      <c r="FW35" s="308" t="s">
        <v>280</v>
      </c>
      <c r="FX35" s="229"/>
      <c r="FY35" s="229"/>
      <c r="FZ35" s="229"/>
      <c r="GA35" s="229"/>
      <c r="GB35" s="229"/>
      <c r="GC35" s="229"/>
      <c r="GD35" s="229"/>
      <c r="GE35" s="229"/>
      <c r="GF35" s="228"/>
      <c r="GG35" s="228"/>
      <c r="GH35" s="229"/>
      <c r="GI35" s="229"/>
      <c r="GJ35" s="229"/>
      <c r="GK35" s="229"/>
      <c r="GL35" s="229"/>
      <c r="GM35" s="228"/>
      <c r="GN35" s="228"/>
      <c r="GO35" s="228"/>
      <c r="GP35" s="228"/>
      <c r="GQ35" s="253"/>
      <c r="GR35" s="251"/>
      <c r="GX35" s="307" t="s">
        <v>281</v>
      </c>
      <c r="GY35" s="308" t="s">
        <v>279</v>
      </c>
      <c r="GZ35" s="308" t="s">
        <v>280</v>
      </c>
      <c r="HA35" s="229"/>
      <c r="HB35" s="229"/>
      <c r="HC35" s="229"/>
      <c r="HD35" s="229"/>
      <c r="HE35" s="229"/>
      <c r="HF35" s="229"/>
      <c r="HG35" s="229"/>
      <c r="HH35" s="229"/>
      <c r="HI35" s="228"/>
      <c r="HJ35" s="228"/>
      <c r="HK35" s="229"/>
      <c r="HL35" s="229"/>
      <c r="HM35" s="229"/>
      <c r="HN35" s="229"/>
      <c r="HO35" s="229"/>
      <c r="HP35" s="228"/>
      <c r="HQ35" s="228"/>
      <c r="HR35" s="228"/>
      <c r="HS35" s="228"/>
      <c r="HT35" s="253"/>
      <c r="HU35" s="251"/>
      <c r="IA35" s="307" t="s">
        <v>281</v>
      </c>
      <c r="IB35" s="308" t="s">
        <v>279</v>
      </c>
      <c r="IC35" s="308" t="s">
        <v>280</v>
      </c>
      <c r="ID35" s="229"/>
      <c r="IE35" s="229"/>
      <c r="IF35" s="229"/>
      <c r="IG35" s="229"/>
      <c r="IH35" s="229"/>
      <c r="II35" s="229"/>
      <c r="IJ35" s="229"/>
      <c r="IK35" s="229"/>
      <c r="IL35" s="228"/>
      <c r="IM35" s="228"/>
      <c r="IN35" s="229"/>
      <c r="IO35" s="229"/>
      <c r="IP35" s="229"/>
      <c r="IQ35" s="229"/>
      <c r="IR35" s="229"/>
      <c r="IS35" s="228"/>
      <c r="IT35" s="228"/>
      <c r="IU35" s="228"/>
      <c r="IV35" s="228"/>
      <c r="IW35" s="253"/>
      <c r="IX35" s="251"/>
      <c r="JE35" s="148"/>
    </row>
    <row r="36" spans="2:265" hidden="1" outlineLevel="2">
      <c r="B36" s="148">
        <v>1</v>
      </c>
      <c r="C36" s="302" t="e">
        <f>VLOOKUP(AF36,Attribute!C:T,1,FALSE)</f>
        <v>#N/A</v>
      </c>
      <c r="D36" s="168" t="s">
        <v>8</v>
      </c>
      <c r="E36" s="158" t="s">
        <v>135</v>
      </c>
      <c r="F36" s="191">
        <f>Konvention_1master-MUmaster</f>
        <v>12</v>
      </c>
      <c r="G36" s="118"/>
      <c r="H36" s="118">
        <f>Konvention_1master-INmaster</f>
        <v>12</v>
      </c>
      <c r="I36" s="118"/>
      <c r="J36" s="118"/>
      <c r="K36" s="118">
        <f>Konvention_1master-GEmaster</f>
        <v>12</v>
      </c>
      <c r="L36" s="118"/>
      <c r="M36" s="92"/>
      <c r="N36" s="219">
        <f>(F36+G36+H36+I36+J36+K36+L36+M36)/3</f>
        <v>12</v>
      </c>
      <c r="O36" s="220">
        <f t="shared" ref="O36:O42" si="277">2*N36</f>
        <v>24</v>
      </c>
      <c r="P36" s="221">
        <f t="shared" ref="P36:P42" si="278">3*N36</f>
        <v>36</v>
      </c>
      <c r="Q36" s="236">
        <f>F36*POWER(KLmaster,SIGN(G36))*POWER(INmaster,SIGN(H36))*POWER(CHmaster,SIGN(I36))*POWER(FFmaster,SIGN(J36))*POWER(GEmaster,SIGN(K36))*POWER(KOmaster,SIGN(L36))*POWER(KKmaster,SIGN(M36))+G36*POWER(MUmaster,SIGN(F36))*POWER(INmaster,SIGN(H36))*POWER(CHmaster,SIGN(I36))*POWER(FFmaster,SIGN(J36))*POWER(GEmaster,SIGN(K36))*POWER(KOmaster,SIGN(L36))*POWER(KKmaster,SIGN(M36))+H36*POWER(MUmaster,SIGN(F36))*POWER(KLmaster,SIGN(G36))*POWER(CHmaster,SIGN(I36))*POWER(FFmaster,SIGN(J36))*POWER(GEmaster,SIGN(K36))*POWER(KOmaster,SIGN(L36))*POWER(KKmaster,SIGN(M36))+I36*POWER(MUmaster,SIGN(F36))*POWER(KLmaster,SIGN(G36))*POWER(INmaster,SIGN(H36))*POWER(FFmaster,SIGN(J36))*POWER(GEmaster,SIGN(K36))*POWER(KOmaster,SIGN(L36))*POWER(KKmaster,SIGN(M36))+J36*POWER(MUmaster,SIGN(F36))*POWER(KLmaster,SIGN(G36))*POWER(INmaster,SIGN(H36))*POWER(CHmaster,SIGN(I36))*POWER(GEmaster,SIGN(K36))*POWER(KOmaster,SIGN(L36))*POWER(KKmaster,SIGN(M36))+K36*POWER(MUmaster,SIGN(F36))*POWER(KLmaster,SIGN(G36))*POWER(INmaster,SIGN(H36))*POWER(CHmaster,SIGN(I36))*POWER(FFmaster,SIGN(J36))*POWER(KOmaster,SIGN(L36))*POWER(KKmaster,SIGN(M36))+L36*POWER(MUmaster,SIGN(F36))*POWER(KLmaster,SIGN(G36))*POWER(INmaster,SIGN(H36))*POWER(CHmaster,SIGN(I36))*POWER(FFmaster,SIGN(J36))*POWER(GEmaster,SIGN(K36))*POWER(KKmaster,SIGN(M36))+M36*POWER(MUmaster,SIGN(F36))*POWER(KLmaster,SIGN(G36))*POWER(INmaster,SIGN(H36))*POWER(CHmaster,SIGN(I36))*POWER(FFmaster,SIGN(J36))*POWER(GEmaster,SIGN(K36))*POWER(KOmaster,SIGN(L36))</f>
        <v>2304</v>
      </c>
      <c r="R36" s="118">
        <f>F36*H36*GEmaster+F36*INmaster*K36+MUmaster*H36*K36</f>
        <v>3456</v>
      </c>
      <c r="S36" s="221">
        <f t="shared" ref="S36:S42" si="279">IFERROR(F36^SIGN(F36),1)*IFERROR(G36^SIGN(G36),1)*IFERROR(H36^SIGN(H36),1)*IFERROR(I36^SIGN(I36),1)*IFERROR(J36^SIGN(J36),1)*IFERROR(K36^SIGN(K36),1)*IFERROR(L36^SIGN(L36),1)*IFERROR(M36^SIGN(M36),1)</f>
        <v>1728</v>
      </c>
      <c r="T36" s="78">
        <f t="shared" ref="T36:T42" si="280">SUM(Q36:S36)</f>
        <v>7488</v>
      </c>
      <c r="U36" s="219">
        <f t="shared" ref="U36:U42" si="281">N36*Q36/T36</f>
        <v>3.6923076923076925</v>
      </c>
      <c r="V36" s="220">
        <f t="shared" ref="V36:V42" si="282">O36*R36/T36</f>
        <v>11.076923076923077</v>
      </c>
      <c r="W36" s="241">
        <f t="shared" ref="W36:W42" si="283">P36*S36/T36</f>
        <v>8.3076923076923084</v>
      </c>
      <c r="X36" s="42">
        <f t="shared" ref="X36:X42" si="284">SUM(U36:W36)</f>
        <v>23.07692307692308</v>
      </c>
      <c r="Y36" s="252">
        <v>0</v>
      </c>
      <c r="Z36" s="198">
        <f t="shared" ref="Z36:Z42" si="285">X36-Y36</f>
        <v>23.07692307692308</v>
      </c>
      <c r="AA36" s="158">
        <f>IF(X36&gt;0,X36,0)*3+IF(X36&gt;12,X36-12,0)*3+IF(X36&gt;13,X36-13,0)*3+IF(X36&gt;14,X36-14,0)*3+IF(X36&gt;15,X36-15,0)*3+IF(X36&gt;16,X36-16,0)*3+IF(X36&gt;17,X36-17,0)*3+IF(X36&gt;18,X36-18,0)*3+IF(X36&gt;19,X36-19,0)*3+IF(X36&gt;20,X36-20,0)*3</f>
        <v>260.30769230769232</v>
      </c>
      <c r="AB36" s="91">
        <f>IF(Y36&gt;0,Y36,0)*3+IF(Y36&gt;12,Y36-12,0)*3+IF(Y36&gt;13,Y36-13,0)*3+IF(Y36&gt;14,Y36-14,0)*3+IF(Y36&gt;15,Y36-15,0)*3+IF(Y36&gt;16,Y36-16,0)*3+IF(Y36&gt;17,Y36-17,0)*3+IF(Y36&gt;18,Y36-18,0)*3+IF(Y36&gt;19,Y36-19,0)*3+IF(Y36&gt;20,Y36-20,0)*3</f>
        <v>0</v>
      </c>
      <c r="AC36" s="126">
        <f t="shared" ref="AC36:AC42" si="286">IF((AA36-AB36)&gt;0,AA36-AB36,0)</f>
        <v>260.30769230769232</v>
      </c>
      <c r="AD36" s="158">
        <f t="shared" ref="AD36:AD42" si="287">IF((AB36-AA36)&gt;0,AB36-AA36,0)</f>
        <v>0</v>
      </c>
      <c r="AF36" s="162" t="s">
        <v>31</v>
      </c>
      <c r="AG36" s="126" t="s">
        <v>8</v>
      </c>
      <c r="AH36" s="158" t="s">
        <v>135</v>
      </c>
      <c r="AI36" s="191">
        <f>Konvention_1slave-MUslave_MU</f>
        <v>11</v>
      </c>
      <c r="AJ36" s="118"/>
      <c r="AK36" s="118">
        <f>Konvention_1slave-INslave</f>
        <v>12</v>
      </c>
      <c r="AL36" s="118"/>
      <c r="AM36" s="118"/>
      <c r="AN36" s="118">
        <f>Konvention_1slave-GEslave</f>
        <v>12</v>
      </c>
      <c r="AO36" s="118"/>
      <c r="AP36" s="92"/>
      <c r="AQ36" s="193">
        <f>(AI36+AJ36+AK36+AL36+AM36+AN36+AO36+AP36)/3</f>
        <v>11.666666666666666</v>
      </c>
      <c r="AR36" s="116">
        <f t="shared" ref="AR36:AR42" si="288">2*AQ36</f>
        <v>23.333333333333332</v>
      </c>
      <c r="AS36" s="92">
        <f t="shared" ref="AS36:AS42" si="289">3*AQ36</f>
        <v>35</v>
      </c>
      <c r="AT36" s="191">
        <f>AI36*POWER(KLslave,SIGN(AJ36))*POWER(INslave,SIGN(AK36))*POWER(CHslave,SIGN(AL36))*POWER(FFslave,SIGN(AM36))*POWER(GEslave,SIGN(AN36))*POWER(KOslave,SIGN(AO36))*POWER(KKslave,SIGN(AP36))+AJ36*POWER(MUslave_MU,SIGN(AI36))*POWER(INslave,SIGN(AK36))*POWER(CHslave,SIGN(AL36))*POWER(FFslave,SIGN(AM36))*POWER(GEslave,SIGN(AN36))*POWER(KOslave,SIGN(AO36))*POWER(KKslave,SIGN(AP36))+AK36*POWER(MUslave_MU,SIGN(AI36))*POWER(KLslave,SIGN(AJ36))*POWER(CHslave,SIGN(AL36))*POWER(FFslave,SIGN(AM36))*POWER(GEslave,SIGN(AN36))*POWER(KOslave,SIGN(AO36))*POWER(KKslave,SIGN(AP36))+AL36*POWER(MUslave_MU,SIGN(AI36))*POWER(KLslave,SIGN(AJ36))*POWER(INslave,SIGN(AK36))*POWER(FFslave,SIGN(AM36))*POWER(GEslave,SIGN(AN36))*POWER(KOslave,SIGN(AO36))*POWER(KKslave,SIGN(AP36))+AM36*POWER(MUslave_MU,SIGN(AI36))*POWER(KLslave,SIGN(AJ36))*POWER(INslave,SIGN(AK36))*POWER(CHslave,SIGN(AL36))*POWER(GEslave,SIGN(AN36))*POWER(KOslave,SIGN(AO36))*POWER(KKslave,SIGN(AP36))+AN36*POWER(MUslave_MU,SIGN(AI36))*POWER(KLslave,SIGN(AJ36))*POWER(INslave,SIGN(AK36))*POWER(CHslave,SIGN(AL36))*POWER(FFslave,SIGN(AM36))*POWER(KOslave,SIGN(AO36))*POWER(KKslave,SIGN(AP36))+AO36*POWER(MUslave_MU,SIGN(AI36))*POWER(KLslave,SIGN(AJ36))*POWER(INslave,SIGN(AK36))*POWER(CHslave,SIGN(AL36))*POWER(FFslave,SIGN(AM36))*POWER(GEslave,SIGN(AN36))*POWER(KKslave,SIGN(AP36))+AP36*POWER(MUslave_MU,SIGN(AI36))*POWER(KLslave,SIGN(AJ36))*POWER(INslave,SIGN(AK36))*POWER(CHslave,SIGN(AL36))*POWER(FFslave,SIGN(AM36))*POWER(GEslave,SIGN(AN36))*POWER(KOslave,SIGN(AO36))</f>
        <v>2432</v>
      </c>
      <c r="AU36" s="118">
        <f>AI36*AK36*GEslave+AI36*INslave*AN36+MUslave_MU*AK36*AN36</f>
        <v>3408</v>
      </c>
      <c r="AV36" s="92">
        <f t="shared" ref="AV36:AV42" si="290">IFERROR(AI36^SIGN(AI36),1)*IFERROR(AJ36^SIGN(AJ36),1)*IFERROR(AK36^SIGN(AK36),1)*IFERROR(AL36^SIGN(AL36),1)*IFERROR(AM36^SIGN(AM36),1)*IFERROR(AN36^SIGN(AN36),1)*IFERROR(AO36^SIGN(AO36),1)*IFERROR(AP36^SIGN(AP36),1)</f>
        <v>1584</v>
      </c>
      <c r="AW36" s="91">
        <f t="shared" ref="AW36:AW42" si="291">SUM(AT36:AV36)</f>
        <v>7424</v>
      </c>
      <c r="AX36" s="193">
        <f t="shared" ref="AX36:AX42" si="292">AQ36*AT36/AW36</f>
        <v>3.8218390804597702</v>
      </c>
      <c r="AY36" s="116">
        <f t="shared" ref="AY36:AY42" si="293">AR36*AU36/AW36</f>
        <v>10.711206896551724</v>
      </c>
      <c r="AZ36" s="126">
        <f t="shared" ref="AZ36:AZ42" si="294">AS36*AV36/AW36</f>
        <v>7.4676724137931032</v>
      </c>
      <c r="BA36" s="158">
        <f t="shared" ref="BA36:BA42" si="295">SUM(AX36:AZ36)</f>
        <v>22.000718390804597</v>
      </c>
      <c r="BB36" s="165">
        <f t="shared" ref="BB36:BB42" si="296">Y36</f>
        <v>0</v>
      </c>
      <c r="BC36" s="198">
        <f t="shared" ref="BC36:BC42" si="297">BA36-BB36</f>
        <v>22.000718390804597</v>
      </c>
      <c r="BD36" s="158">
        <f>IF(BA36&gt;0,BA36,0)*3+IF(BA36&gt;12,BA36-12,0)*3+IF(BA36&gt;13,BA36-13,0)*3+IF(BA36&gt;14,BA36-14,0)*3+IF(BA36&gt;15,BA36-15,0)*3+IF(BA36&gt;16,BA36-16,0)*3+IF(BA36&gt;17,BA36-17,0)*3+IF(BA36&gt;18,BA36-18,0)*3+IF(BA36&gt;19,BA36-19,0)*3+IF(BA36&gt;20,BA36-20,0)*3</f>
        <v>228.02155172413785</v>
      </c>
      <c r="BE36" s="91">
        <f>IF(BB36&gt;0,BB36,0)*3+IF(BB36&gt;12,BB36-12,0)*3+IF(BB36&gt;13,BB36-13,0)*3+IF(BB36&gt;14,BB36-14,0)*3+IF(BB36&gt;15,BB36-15,0)*3+IF(BB36&gt;16,BB36-16,0)*3+IF(BB36&gt;17,BB36-17,0)*3+IF(BB36&gt;18,BB36-18,0)*3+IF(BB36&gt;19,BB36-19,0)*3+IF(BB36&gt;20,BB36-20,0)*3</f>
        <v>0</v>
      </c>
      <c r="BF36" s="241">
        <f t="shared" ref="BF36:BF42" si="298">IF((BD36-BE36)&gt;0,BD36-BE36,0)</f>
        <v>228.02155172413785</v>
      </c>
      <c r="BG36" s="42">
        <f t="shared" ref="BG36:BG42" si="299">IF((BE36-BD36)&gt;0,BE36-BD36,0)</f>
        <v>0</v>
      </c>
      <c r="BI36" s="302" t="s">
        <v>31</v>
      </c>
      <c r="BJ36" s="241" t="s">
        <v>8</v>
      </c>
      <c r="BK36" s="42" t="s">
        <v>135</v>
      </c>
      <c r="BL36" s="236">
        <f>Konvention_1slave-MUslave</f>
        <v>12</v>
      </c>
      <c r="BM36" s="233"/>
      <c r="BN36" s="233">
        <f>Konvention_1slave-INslave</f>
        <v>12</v>
      </c>
      <c r="BO36" s="233"/>
      <c r="BP36" s="233"/>
      <c r="BQ36" s="233">
        <f>Konvention_1slave-GEslave</f>
        <v>12</v>
      </c>
      <c r="BR36" s="233"/>
      <c r="BS36" s="221"/>
      <c r="BT36" s="219">
        <f>(BL36+BM36+BN36+BO36+BP36+BQ36+BR36+BS36)/3</f>
        <v>12</v>
      </c>
      <c r="BU36" s="220">
        <f t="shared" ref="BU36:BU42" si="300">2*BT36</f>
        <v>24</v>
      </c>
      <c r="BV36" s="221">
        <f t="shared" ref="BV36:BV42" si="301">3*BT36</f>
        <v>36</v>
      </c>
      <c r="BW36" s="236">
        <f>BL36*POWER(KLslave_KL,SIGN(BM36))*POWER(INslave,SIGN(BN36))*POWER(CHslave,SIGN(BO36))*POWER(FFslave,SIGN(BP36))*POWER(GEslave,SIGN(BQ36))*POWER(KOslave,SIGN(BR36))*POWER(KKslave,SIGN(BS36))+BM36*POWER(MUslave,SIGN(BL36))*POWER(INslave,SIGN(BN36))*POWER(CHslave,SIGN(BO36))*POWER(FFslave,SIGN(BP36))*POWER(GEslave,SIGN(BQ36))*POWER(KOslave,SIGN(BR36))*POWER(KKslave,SIGN(BS36))+BN36*POWER(MUslave,SIGN(BL36))*POWER(KLslave_KL,SIGN(BM36))*POWER(CHslave,SIGN(BO36))*POWER(FFslave,SIGN(BP36))*POWER(GEslave,SIGN(BQ36))*POWER(KOslave,SIGN(BR36))*POWER(KKslave,SIGN(BS36))+BO36*POWER(MUslave,SIGN(BL36))*POWER(KLslave_KL,SIGN(BM36))*POWER(INslave,SIGN(BN36))*POWER(FFslave,SIGN(BP36))*POWER(GEslave,SIGN(BQ36))*POWER(KOslave,SIGN(BR36))*POWER(KKslave,SIGN(BS36))+BP36*POWER(MUslave,SIGN(BL36))*POWER(KLslave_KL,SIGN(BM36))*POWER(INslave,SIGN(BN36))*POWER(CHslave,SIGN(BO36))*POWER(GEslave,SIGN(BQ36))*POWER(KOslave,SIGN(BR36))*POWER(KKslave,SIGN(BS36))+BQ36*POWER(MUslave,SIGN(BL36))*POWER(KLslave_KL,SIGN(BM36))*POWER(INslave,SIGN(BN36))*POWER(CHslave,SIGN(BO36))*POWER(FFslave,SIGN(BP36))*POWER(KOslave,SIGN(BR36))*POWER(KKslave,SIGN(BS36))+BR36*POWER(MUslave,SIGN(BL36))*POWER(KLslave_KL,SIGN(BM36))*POWER(INslave,SIGN(BN36))*POWER(CHslave,SIGN(BO36))*POWER(FFslave,SIGN(BP36))*POWER(GEslave,SIGN(BQ36))*POWER(KKslave,SIGN(BS36))+BS36*POWER(MUslave,SIGN(BL36))*POWER(KLslave_KL,SIGN(BM36))*POWER(INslave,SIGN(BN36))*POWER(CHslave,SIGN(BO36))*POWER(FFslave,SIGN(BP36))*POWER(GEslave,SIGN(BQ36))*POWER(KOslave,SIGN(BR36))</f>
        <v>2304</v>
      </c>
      <c r="BX36" s="233">
        <f>BL36*BN36*GEslave+BL36*INslave*BQ36+MUslave*BN36*BQ36</f>
        <v>3456</v>
      </c>
      <c r="BY36" s="221">
        <f t="shared" ref="BY36:BY42" si="302">IFERROR(BL36^SIGN(BL36),1)*IFERROR(BM36^SIGN(BM36),1)*IFERROR(BN36^SIGN(BN36),1)*IFERROR(BO36^SIGN(BO36),1)*IFERROR(BP36^SIGN(BP36),1)*IFERROR(BQ36^SIGN(BQ36),1)*IFERROR(BR36^SIGN(BR36),1)*IFERROR(BS36^SIGN(BS36),1)</f>
        <v>1728</v>
      </c>
      <c r="BZ36" s="78">
        <f t="shared" ref="BZ36:BZ42" si="303">SUM(BW36:BY36)</f>
        <v>7488</v>
      </c>
      <c r="CA36" s="219">
        <f t="shared" ref="CA36:CA42" si="304">BT36*BW36/BZ36</f>
        <v>3.6923076923076925</v>
      </c>
      <c r="CB36" s="220">
        <f t="shared" ref="CB36:CB42" si="305">BU36*BX36/BZ36</f>
        <v>11.076923076923077</v>
      </c>
      <c r="CC36" s="241">
        <f t="shared" ref="CC36:CC42" si="306">BV36*BY36/BZ36</f>
        <v>8.3076923076923084</v>
      </c>
      <c r="CD36" s="42">
        <f t="shared" ref="CD36:CD42" si="307">SUM(CA36:CC36)</f>
        <v>23.07692307692308</v>
      </c>
      <c r="CE36" s="252">
        <f t="shared" ref="CE36:CE42" si="308">BB36</f>
        <v>0</v>
      </c>
      <c r="CF36" s="309">
        <f t="shared" ref="CF36:CF42" si="309">CD36-CE36</f>
        <v>23.07692307692308</v>
      </c>
      <c r="CG36" s="42">
        <f>IF(CD36&gt;0,CD36,0)*3+IF(CD36&gt;12,CD36-12,0)*3+IF(CD36&gt;13,CD36-13,0)*3+IF(CD36&gt;14,CD36-14,0)*3+IF(CD36&gt;15,CD36-15,0)*3+IF(CD36&gt;16,CD36-16,0)*3+IF(CD36&gt;17,CD36-17,0)*3+IF(CD36&gt;18,CD36-18,0)*3+IF(CD36&gt;19,CD36-19,0)*3+IF(CD36&gt;20,CD36-20,0)*3</f>
        <v>260.30769230769232</v>
      </c>
      <c r="CH36" s="78">
        <f>IF(CE36&gt;0,CE36,0)*3+IF(CE36&gt;12,CE36-12,0)*3+IF(CE36&gt;13,CE36-13,0)*3+IF(CE36&gt;14,CE36-14,0)*3+IF(CE36&gt;15,CE36-15,0)*3+IF(CE36&gt;16,CE36-16,0)*3+IF(CE36&gt;17,CE36-17,0)*3+IF(CE36&gt;18,CE36-18,0)*3+IF(CE36&gt;19,CE36-19,0)*3+IF(CE36&gt;20,CE36-20,0)*3</f>
        <v>0</v>
      </c>
      <c r="CI36" s="241">
        <f t="shared" ref="CI36:CI42" si="310">IF((CG36-CH36)&gt;0,CG36-CH36,0)</f>
        <v>260.30769230769232</v>
      </c>
      <c r="CJ36" s="42">
        <f t="shared" ref="CJ36:CJ42" si="311">IF((CH36-CG36)&gt;0,CH36-CG36,0)</f>
        <v>0</v>
      </c>
      <c r="CL36" s="302" t="s">
        <v>31</v>
      </c>
      <c r="CM36" s="241" t="s">
        <v>8</v>
      </c>
      <c r="CN36" s="42" t="s">
        <v>135</v>
      </c>
      <c r="CO36" s="236">
        <f>Konvention_1slave-MUslave</f>
        <v>12</v>
      </c>
      <c r="CP36" s="233"/>
      <c r="CQ36" s="233">
        <f>Konvention_1slave-INslave_IN</f>
        <v>11</v>
      </c>
      <c r="CR36" s="233"/>
      <c r="CS36" s="233"/>
      <c r="CT36" s="233">
        <f>Konvention_1slave-GEslave</f>
        <v>12</v>
      </c>
      <c r="CU36" s="233"/>
      <c r="CV36" s="221"/>
      <c r="CW36" s="219">
        <f>(CO36+CP36+CQ36+CR36+CS36+CT36+CU36+CV36)/3</f>
        <v>11.666666666666666</v>
      </c>
      <c r="CX36" s="220">
        <f t="shared" ref="CX36:CX42" si="312">2*CW36</f>
        <v>23.333333333333332</v>
      </c>
      <c r="CY36" s="221">
        <f t="shared" ref="CY36:CY42" si="313">3*CW36</f>
        <v>35</v>
      </c>
      <c r="CZ36" s="236">
        <f>CO36*POWER(KLslave,SIGN(CP36))*POWER(INslave_IN,SIGN(CQ36))*POWER(CHslave,SIGN(CR36))*POWER(FFslave,SIGN(CS36))*POWER(GEslave,SIGN(CT36))*POWER(KOslave,SIGN(CU36))*POWER(KKslave,SIGN(CV36))+CP36*POWER(MUslave,SIGN(CO36))*POWER(INslave_IN,SIGN(CQ36))*POWER(CHslave,SIGN(CR36))*POWER(FFslave,SIGN(CS36))*POWER(GEslave,SIGN(CT36))*POWER(KOslave,SIGN(CU36))*POWER(KKslave,SIGN(CV36))+CQ36*POWER(MUslave,SIGN(CO36))*POWER(KLslave,SIGN(CP36))*POWER(CHslave,SIGN(CR36))*POWER(FFslave,SIGN(CS36))*POWER(GEslave,SIGN(CT36))*POWER(KOslave,SIGN(CU36))*POWER(KKslave,SIGN(CV36))+CR36*POWER(MUslave,SIGN(CO36))*POWER(KLslave,SIGN(CP36))*POWER(INslave_IN,SIGN(CQ36))*POWER(FFslave,SIGN(CS36))*POWER(GEslave,SIGN(CT36))*POWER(KOslave,SIGN(CU36))*POWER(KKslave,SIGN(CV36))+CS36*POWER(MUslave,SIGN(CO36))*POWER(KLslave,SIGN(CP36))*POWER(INslave_IN,SIGN(CQ36))*POWER(CHslave,SIGN(CR36))*POWER(GEslave,SIGN(CT36))*POWER(KOslave,SIGN(CU36))*POWER(KKslave,SIGN(CV36))+CT36*POWER(MUslave,SIGN(CO36))*POWER(KLslave,SIGN(CP36))*POWER(INslave_IN,SIGN(CQ36))*POWER(CHslave,SIGN(CR36))*POWER(FFslave,SIGN(CS36))*POWER(KOslave,SIGN(CU36))*POWER(KKslave,SIGN(CV36))+CU36*POWER(MUslave,SIGN(CO36))*POWER(KLslave,SIGN(CP36))*POWER(INslave_IN,SIGN(CQ36))*POWER(CHslave,SIGN(CR36))*POWER(FFslave,SIGN(CS36))*POWER(GEslave,SIGN(CT36))*POWER(KKslave,SIGN(CV36))+CV36*POWER(MUslave,SIGN(CO36))*POWER(KLslave,SIGN(CP36))*POWER(INslave_IN,SIGN(CQ36))*POWER(CHslave,SIGN(CR36))*POWER(FFslave,SIGN(CS36))*POWER(GEslave,SIGN(CT36))*POWER(KOslave,SIGN(CU36))</f>
        <v>2432</v>
      </c>
      <c r="DA36" s="233">
        <f>CO36*CQ36*GEslave+CO36*INslave_IN*CT36+MUslave*CQ36*CT36</f>
        <v>3408</v>
      </c>
      <c r="DB36" s="221">
        <f t="shared" ref="DB36:DB42" si="314">IFERROR(CO36^SIGN(CO36),1)*IFERROR(CP36^SIGN(CP36),1)*IFERROR(CQ36^SIGN(CQ36),1)*IFERROR(CR36^SIGN(CR36),1)*IFERROR(CS36^SIGN(CS36),1)*IFERROR(CT36^SIGN(CT36),1)*IFERROR(CU36^SIGN(CU36),1)*IFERROR(CV36^SIGN(CV36),1)</f>
        <v>1584</v>
      </c>
      <c r="DC36" s="78">
        <f t="shared" ref="DC36:DC42" si="315">SUM(CZ36:DB36)</f>
        <v>7424</v>
      </c>
      <c r="DD36" s="219">
        <f t="shared" ref="DD36:DD42" si="316">CW36*CZ36/DC36</f>
        <v>3.8218390804597702</v>
      </c>
      <c r="DE36" s="220">
        <f t="shared" ref="DE36:DE42" si="317">CX36*DA36/DC36</f>
        <v>10.711206896551724</v>
      </c>
      <c r="DF36" s="241">
        <f t="shared" ref="DF36:DF42" si="318">CY36*DB36/DC36</f>
        <v>7.4676724137931032</v>
      </c>
      <c r="DG36" s="42">
        <f t="shared" ref="DG36:DG42" si="319">SUM(DD36:DF36)</f>
        <v>22.000718390804597</v>
      </c>
      <c r="DH36" s="252">
        <f t="shared" ref="DH36:DH42" si="320">CE36</f>
        <v>0</v>
      </c>
      <c r="DI36" s="309">
        <f t="shared" ref="DI36:DI42" si="321">DG36-DH36</f>
        <v>22.000718390804597</v>
      </c>
      <c r="DJ36" s="42">
        <f>IF(DG36&gt;0,DG36,0)*3+IF(DG36&gt;12,DG36-12,0)*3+IF(DG36&gt;13,DG36-13,0)*3+IF(DG36&gt;14,DG36-14,0)*3+IF(DG36&gt;15,DG36-15,0)*3+IF(DG36&gt;16,DG36-16,0)*3+IF(DG36&gt;17,DG36-17,0)*3+IF(DG36&gt;18,DG36-18,0)*3+IF(DG36&gt;19,DG36-19,0)*3+IF(DG36&gt;20,DG36-20,0)*3</f>
        <v>228.02155172413785</v>
      </c>
      <c r="DK36" s="78">
        <f>IF(DH36&gt;0,DH36,0)*3+IF(DH36&gt;12,DH36-12,0)*3+IF(DH36&gt;13,DH36-13,0)*3+IF(DH36&gt;14,DH36-14,0)*3+IF(DH36&gt;15,DH36-15,0)*3+IF(DH36&gt;16,DH36-16,0)*3+IF(DH36&gt;17,DH36-17,0)*3+IF(DH36&gt;18,DH36-18,0)*3+IF(DH36&gt;19,DH36-19,0)*3+IF(DH36&gt;20,DH36-20,0)*3</f>
        <v>0</v>
      </c>
      <c r="DL36" s="241">
        <f t="shared" ref="DL36:DL42" si="322">IF((DJ36-DK36)&gt;0,DJ36-DK36,0)</f>
        <v>228.02155172413785</v>
      </c>
      <c r="DM36" s="42">
        <f t="shared" ref="DM36:DM42" si="323">IF((DK36-DJ36)&gt;0,DK36-DJ36,0)</f>
        <v>0</v>
      </c>
      <c r="DO36" s="302" t="s">
        <v>31</v>
      </c>
      <c r="DP36" s="241" t="s">
        <v>8</v>
      </c>
      <c r="DQ36" s="42" t="s">
        <v>135</v>
      </c>
      <c r="DR36" s="236">
        <f>Konvention_1slave-MUslave</f>
        <v>12</v>
      </c>
      <c r="DS36" s="233"/>
      <c r="DT36" s="233">
        <f>Konvention_1slave-INslave</f>
        <v>12</v>
      </c>
      <c r="DU36" s="233"/>
      <c r="DV36" s="233"/>
      <c r="DW36" s="233">
        <f>Konvention_1slave-GEslave</f>
        <v>12</v>
      </c>
      <c r="DX36" s="233"/>
      <c r="DY36" s="221"/>
      <c r="DZ36" s="219">
        <f>(DR36+DS36+DT36+DU36+DV36+DW36+DX36+DY36)/3</f>
        <v>12</v>
      </c>
      <c r="EA36" s="220">
        <f t="shared" ref="EA36:EA42" si="324">2*DZ36</f>
        <v>24</v>
      </c>
      <c r="EB36" s="221">
        <f t="shared" ref="EB36:EB42" si="325">3*DZ36</f>
        <v>36</v>
      </c>
      <c r="EC36" s="236">
        <f>DR36*POWER(KLslave,SIGN(DS36))*POWER(INslave,SIGN(DT36))*POWER(CHslave_CH,SIGN(DU36))*POWER(FFslave,SIGN(DV36))*POWER(GEslave,SIGN(DW36))*POWER(KOslave,SIGN(DX36))*POWER(KKslave,SIGN(DY36))+DS36*POWER(MUslave,SIGN(DR36))*POWER(INslave,SIGN(DT36))*POWER(CHslave_CH,SIGN(DU36))*POWER(FFslave,SIGN(DV36))*POWER(GEslave,SIGN(DW36))*POWER(KOslave,SIGN(DX36))*POWER(KKslave,SIGN(DY36))+DT36*POWER(MUslave,SIGN(DR36))*POWER(KLslave,SIGN(DS36))*POWER(CHslave_CH,SIGN(DU36))*POWER(FFslave,SIGN(DV36))*POWER(GEslave,SIGN(DW36))*POWER(KOslave,SIGN(DX36))*POWER(KKslave,SIGN(DY36))+DU36*POWER(MUslave,SIGN(DR36))*POWER(KLslave,SIGN(DS36))*POWER(INslave,SIGN(DT36))*POWER(FFslave,SIGN(DV36))*POWER(GEslave,SIGN(DW36))*POWER(KOslave,SIGN(DX36))*POWER(KKslave,SIGN(DY36))+DV36*POWER(MUslave,SIGN(DR36))*POWER(KLslave,SIGN(DS36))*POWER(INslave,SIGN(DT36))*POWER(CHslave_CH,SIGN(DU36))*POWER(GEslave,SIGN(DW36))*POWER(KOslave,SIGN(DX36))*POWER(KKslave,SIGN(DY36))+DW36*POWER(MUslave,SIGN(DR36))*POWER(KLslave,SIGN(DS36))*POWER(INslave,SIGN(DT36))*POWER(CHslave_CH,SIGN(DU36))*POWER(FFslave,SIGN(DV36))*POWER(KOslave,SIGN(DX36))*POWER(KKslave,SIGN(DY36))+DX36*POWER(MUslave,SIGN(DR36))*POWER(KLslave,SIGN(DS36))*POWER(INslave,SIGN(DT36))*POWER(CHslave_CH,SIGN(DU36))*POWER(FFslave,SIGN(DV36))*POWER(GEslave,SIGN(DW36))*POWER(KKslave,SIGN(DY36))+DY36*POWER(MUslave,SIGN(DR36))*POWER(KLslave,SIGN(DS36))*POWER(INslave,SIGN(DT36))*POWER(CHslave_CH,SIGN(DU36))*POWER(FFslave,SIGN(DV36))*POWER(GEslave,SIGN(DW36))*POWER(KOslave,SIGN(DX36))</f>
        <v>2304</v>
      </c>
      <c r="ED36" s="233">
        <f>DR36*DT36*GEslave+DR36*INslave*DW36+MUslave*DT36*DW36</f>
        <v>3456</v>
      </c>
      <c r="EE36" s="221">
        <f t="shared" ref="EE36:EE42" si="326">IFERROR(DR36^SIGN(DR36),1)*IFERROR(DS36^SIGN(DS36),1)*IFERROR(DT36^SIGN(DT36),1)*IFERROR(DU36^SIGN(DU36),1)*IFERROR(DV36^SIGN(DV36),1)*IFERROR(DW36^SIGN(DW36),1)*IFERROR(DX36^SIGN(DX36),1)*IFERROR(DY36^SIGN(DY36),1)</f>
        <v>1728</v>
      </c>
      <c r="EF36" s="78">
        <f t="shared" ref="EF36:EF42" si="327">SUM(EC36:EE36)</f>
        <v>7488</v>
      </c>
      <c r="EG36" s="219">
        <f t="shared" ref="EG36:EG42" si="328">DZ36*EC36/EF36</f>
        <v>3.6923076923076925</v>
      </c>
      <c r="EH36" s="220">
        <f t="shared" ref="EH36:EH42" si="329">EA36*ED36/EF36</f>
        <v>11.076923076923077</v>
      </c>
      <c r="EI36" s="241">
        <f t="shared" ref="EI36:EI42" si="330">EB36*EE36/EF36</f>
        <v>8.3076923076923084</v>
      </c>
      <c r="EJ36" s="42">
        <f t="shared" ref="EJ36:EJ42" si="331">SUM(EG36:EI36)</f>
        <v>23.07692307692308</v>
      </c>
      <c r="EK36" s="252">
        <f t="shared" ref="EK36:EK42" si="332">DH36</f>
        <v>0</v>
      </c>
      <c r="EL36" s="309">
        <f t="shared" ref="EL36:EL42" si="333">EJ36-EK36</f>
        <v>23.07692307692308</v>
      </c>
      <c r="EM36" s="42">
        <f>IF(EJ36&gt;0,EJ36,0)*3+IF(EJ36&gt;12,EJ36-12,0)*3+IF(EJ36&gt;13,EJ36-13,0)*3+IF(EJ36&gt;14,EJ36-14,0)*3+IF(EJ36&gt;15,EJ36-15,0)*3+IF(EJ36&gt;16,EJ36-16,0)*3+IF(EJ36&gt;17,EJ36-17,0)*3+IF(EJ36&gt;18,EJ36-18,0)*3+IF(EJ36&gt;19,EJ36-19,0)*3+IF(EJ36&gt;20,EJ36-20,0)*3</f>
        <v>260.30769230769232</v>
      </c>
      <c r="EN36" s="78">
        <f>IF(EK36&gt;0,EK36,0)*3+IF(EK36&gt;12,EK36-12,0)*3+IF(EK36&gt;13,EK36-13,0)*3+IF(EK36&gt;14,EK36-14,0)*3+IF(EK36&gt;15,EK36-15,0)*3+IF(EK36&gt;16,EK36-16,0)*3+IF(EK36&gt;17,EK36-17,0)*3+IF(EK36&gt;18,EK36-18,0)*3+IF(EK36&gt;19,EK36-19,0)*3+IF(EK36&gt;20,EK36-20,0)*3</f>
        <v>0</v>
      </c>
      <c r="EO36" s="241">
        <f t="shared" ref="EO36:EO42" si="334">IF((EM36-EN36)&gt;0,EM36-EN36,0)</f>
        <v>260.30769230769232</v>
      </c>
      <c r="EP36" s="42">
        <f t="shared" ref="EP36:EP42" si="335">IF((EN36-EM36)&gt;0,EN36-EM36,0)</f>
        <v>0</v>
      </c>
      <c r="ER36" s="302" t="s">
        <v>31</v>
      </c>
      <c r="ES36" s="241" t="s">
        <v>8</v>
      </c>
      <c r="ET36" s="42" t="s">
        <v>135</v>
      </c>
      <c r="EU36" s="236">
        <f>Konvention_1slave-MUslave</f>
        <v>12</v>
      </c>
      <c r="EV36" s="233"/>
      <c r="EW36" s="233">
        <f>Konvention_1slave-INslave</f>
        <v>12</v>
      </c>
      <c r="EX36" s="233"/>
      <c r="EY36" s="233"/>
      <c r="EZ36" s="233">
        <f>Konvention_1slave-GEslave</f>
        <v>12</v>
      </c>
      <c r="FA36" s="233"/>
      <c r="FB36" s="221"/>
      <c r="FC36" s="219">
        <f>(EU36+EV36+EW36+EX36+EY36+EZ36+FA36+FB36)/3</f>
        <v>12</v>
      </c>
      <c r="FD36" s="220">
        <f t="shared" ref="FD36:FD42" si="336">2*FC36</f>
        <v>24</v>
      </c>
      <c r="FE36" s="221">
        <f t="shared" ref="FE36:FE42" si="337">3*FC36</f>
        <v>36</v>
      </c>
      <c r="FF36" s="236">
        <f>EU36*POWER(KLslave,SIGN(EV36))*POWER(INslave,SIGN(EW36))*POWER(CHslave,SIGN(EX36))*POWER(FFslave_FF,SIGN(EY36))*POWER(GEslave,SIGN(EZ36))*POWER(KOslave,SIGN(FA36))*POWER(KKslave,SIGN(FB36))+EV36*POWER(MUslave,SIGN(EU36))*POWER(INslave,SIGN(EW36))*POWER(CHslave,SIGN(EX36))*POWER(FFslave_FF,SIGN(EY36))*POWER(GEslave,SIGN(EZ36))*POWER(KOslave,SIGN(FA36))*POWER(KKslave,SIGN(FB36))+EW36*POWER(MUslave,SIGN(EU36))*POWER(KLslave,SIGN(EV36))*POWER(CHslave,SIGN(EX36))*POWER(FFslave_FF,SIGN(EY36))*POWER(GEslave,SIGN(EZ36))*POWER(KOslave,SIGN(FA36))*POWER(KKslave,SIGN(FB36))+EX36*POWER(MUslave,SIGN(EU36))*POWER(KLslave,SIGN(EV36))*POWER(INslave,SIGN(EW36))*POWER(FFslave_FF,SIGN(EY36))*POWER(GEslave,SIGN(EZ36))*POWER(KOslave,SIGN(FA36))*POWER(KKslave,SIGN(FB36))+EY36*POWER(MUslave,SIGN(EU36))*POWER(KLslave,SIGN(EV36))*POWER(INslave,SIGN(EW36))*POWER(CHslave,SIGN(EX36))*POWER(GEslave,SIGN(EZ36))*POWER(KOslave,SIGN(FA36))*POWER(KKslave,SIGN(FB36))+EZ36*POWER(MUslave,SIGN(EU36))*POWER(KLslave,SIGN(EV36))*POWER(INslave,SIGN(EW36))*POWER(CHslave,SIGN(EX36))*POWER(FFslave_FF,SIGN(EY36))*POWER(KOslave,SIGN(FA36))*POWER(KKslave,SIGN(FB36))+FA36*POWER(MUslave,SIGN(EU36))*POWER(KLslave,SIGN(EV36))*POWER(INslave,SIGN(EW36))*POWER(CHslave,SIGN(EX36))*POWER(FFslave_FF,SIGN(EY36))*POWER(GEslave,SIGN(EZ36))*POWER(KKslave,SIGN(FB36))+FB36*POWER(MUslave,SIGN(EU36))*POWER(KLslave,SIGN(EV36))*POWER(INslave,SIGN(EW36))*POWER(CHslave,SIGN(EX36))*POWER(FFslave_FF,SIGN(EY36))*POWER(GEslave,SIGN(EZ36))*POWER(KOslave,SIGN(FA36))</f>
        <v>2304</v>
      </c>
      <c r="FG36" s="233">
        <f>EU36*EW36*GEslave+EU36*INslave*EZ36+MUslave*EW36*EZ36</f>
        <v>3456</v>
      </c>
      <c r="FH36" s="221">
        <f t="shared" ref="FH36:FH42" si="338">IFERROR(EU36^SIGN(EU36),1)*IFERROR(EV36^SIGN(EV36),1)*IFERROR(EW36^SIGN(EW36),1)*IFERROR(EX36^SIGN(EX36),1)*IFERROR(EY36^SIGN(EY36),1)*IFERROR(EZ36^SIGN(EZ36),1)*IFERROR(FA36^SIGN(FA36),1)*IFERROR(FB36^SIGN(FB36),1)</f>
        <v>1728</v>
      </c>
      <c r="FI36" s="78">
        <f t="shared" ref="FI36:FI42" si="339">SUM(FF36:FH36)</f>
        <v>7488</v>
      </c>
      <c r="FJ36" s="219">
        <f t="shared" ref="FJ36:FJ42" si="340">FC36*FF36/FI36</f>
        <v>3.6923076923076925</v>
      </c>
      <c r="FK36" s="220">
        <f t="shared" ref="FK36:FK42" si="341">FD36*FG36/FI36</f>
        <v>11.076923076923077</v>
      </c>
      <c r="FL36" s="241">
        <f t="shared" ref="FL36:FL42" si="342">FE36*FH36/FI36</f>
        <v>8.3076923076923084</v>
      </c>
      <c r="FM36" s="42">
        <f t="shared" ref="FM36:FM42" si="343">SUM(FJ36:FL36)</f>
        <v>23.07692307692308</v>
      </c>
      <c r="FN36" s="252">
        <f t="shared" ref="FN36:FN42" si="344">EK36</f>
        <v>0</v>
      </c>
      <c r="FO36" s="309">
        <f t="shared" ref="FO36:FO42" si="345">FM36-FN36</f>
        <v>23.07692307692308</v>
      </c>
      <c r="FP36" s="42">
        <f>IF(FM36&gt;0,FM36,0)*3+IF(FM36&gt;12,FM36-12,0)*3+IF(FM36&gt;13,FM36-13,0)*3+IF(FM36&gt;14,FM36-14,0)*3+IF(FM36&gt;15,FM36-15,0)*3+IF(FM36&gt;16,FM36-16,0)*3+IF(FM36&gt;17,FM36-17,0)*3+IF(FM36&gt;18,FM36-18,0)*3+IF(FM36&gt;19,FM36-19,0)*3+IF(FM36&gt;20,FM36-20,0)*3</f>
        <v>260.30769230769232</v>
      </c>
      <c r="FQ36" s="78">
        <f>IF(FN36&gt;0,FN36,0)*3+IF(FN36&gt;12,FN36-12,0)*3+IF(FN36&gt;13,FN36-13,0)*3+IF(FN36&gt;14,FN36-14,0)*3+IF(FN36&gt;15,FN36-15,0)*3+IF(FN36&gt;16,FN36-16,0)*3+IF(FN36&gt;17,FN36-17,0)*3+IF(FN36&gt;18,FN36-18,0)*3+IF(FN36&gt;19,FN36-19,0)*3+IF(FN36&gt;20,FN36-20,0)*3</f>
        <v>0</v>
      </c>
      <c r="FR36" s="241">
        <f t="shared" ref="FR36:FR42" si="346">IF((FP36-FQ36)&gt;0,FP36-FQ36,0)</f>
        <v>260.30769230769232</v>
      </c>
      <c r="FS36" s="42">
        <f t="shared" ref="FS36:FS42" si="347">IF((FQ36-FP36)&gt;0,FQ36-FP36,0)</f>
        <v>0</v>
      </c>
      <c r="FU36" s="302" t="s">
        <v>31</v>
      </c>
      <c r="FV36" s="241" t="s">
        <v>8</v>
      </c>
      <c r="FW36" s="42" t="s">
        <v>135</v>
      </c>
      <c r="FX36" s="236">
        <f>Konvention_1slave-MUslave</f>
        <v>12</v>
      </c>
      <c r="FY36" s="233"/>
      <c r="FZ36" s="233">
        <f>Konvention_1slave-INslave</f>
        <v>12</v>
      </c>
      <c r="GA36" s="233"/>
      <c r="GB36" s="233"/>
      <c r="GC36" s="233">
        <f>Konvention_1slave-GEslave_GE</f>
        <v>11</v>
      </c>
      <c r="GD36" s="233"/>
      <c r="GE36" s="221"/>
      <c r="GF36" s="219">
        <f>(FX36+FY36+FZ36+GA36+GB36+GC36+GD36+GE36)/3</f>
        <v>11.666666666666666</v>
      </c>
      <c r="GG36" s="220">
        <f t="shared" ref="GG36:GG42" si="348">2*GF36</f>
        <v>23.333333333333332</v>
      </c>
      <c r="GH36" s="221">
        <f t="shared" ref="GH36:GH42" si="349">3*GF36</f>
        <v>35</v>
      </c>
      <c r="GI36" s="236">
        <f>FX36*POWER(KLslave,SIGN(FY36))*POWER(INslave,SIGN(FZ36))*POWER(CHslave,SIGN(GA36))*POWER(FFslave,SIGN(GB36))*POWER(GEslave_GE,SIGN(GC36))*POWER(KOslave,SIGN(GD36))*POWER(KKslave,SIGN(GE36))+FY36*POWER(MUslave,SIGN(FX36))*POWER(INslave,SIGN(FZ36))*POWER(CHslave,SIGN(GA36))*POWER(FFslave,SIGN(GB36))*POWER(GEslave_GE,SIGN(GC36))*POWER(KOslave,SIGN(GD36))*POWER(KKslave,SIGN(GE36))+FZ36*POWER(MUslave,SIGN(FX36))*POWER(KLslave,SIGN(FY36))*POWER(CHslave,SIGN(GA36))*POWER(FFslave,SIGN(GB36))*POWER(GEslave_GE,SIGN(GC36))*POWER(KOslave,SIGN(GD36))*POWER(KKslave,SIGN(GE36))+GA36*POWER(MUslave,SIGN(FX36))*POWER(KLslave,SIGN(FY36))*POWER(INslave,SIGN(FZ36))*POWER(FFslave,SIGN(GB36))*POWER(GEslave_GE,SIGN(GC36))*POWER(KOslave,SIGN(GD36))*POWER(KKslave,SIGN(GE36))+GB36*POWER(MUslave,SIGN(FX36))*POWER(KLslave,SIGN(FY36))*POWER(INslave,SIGN(FZ36))*POWER(CHslave,SIGN(GA36))*POWER(GEslave_GE,SIGN(GC36))*POWER(KOslave,SIGN(GD36))*POWER(KKslave,SIGN(GE36))+GC36*POWER(MUslave,SIGN(FX36))*POWER(KLslave,SIGN(FY36))*POWER(INslave,SIGN(FZ36))*POWER(CHslave,SIGN(GA36))*POWER(FFslave,SIGN(GB36))*POWER(KOslave,SIGN(GD36))*POWER(KKslave,SIGN(GE36))+GD36*POWER(MUslave,SIGN(FX36))*POWER(KLslave,SIGN(FY36))*POWER(INslave,SIGN(FZ36))*POWER(CHslave,SIGN(GA36))*POWER(FFslave,SIGN(GB36))*POWER(GEslave_GE,SIGN(GC36))*POWER(KKslave,SIGN(GE36))+GE36*POWER(MUslave,SIGN(FX36))*POWER(KLslave,SIGN(FY36))*POWER(INslave,SIGN(FZ36))*POWER(CHslave,SIGN(GA36))*POWER(FFslave,SIGN(GB36))*POWER(GEslave_GE,SIGN(GC36))*POWER(KOslave,SIGN(GD36))</f>
        <v>2432</v>
      </c>
      <c r="GJ36" s="233">
        <f>FX36*FZ36*GEslave_GE+FX36*INslave*GC36+MUslave*FZ36*GC36</f>
        <v>3408</v>
      </c>
      <c r="GK36" s="221">
        <f t="shared" ref="GK36:GK42" si="350">IFERROR(FX36^SIGN(FX36),1)*IFERROR(FY36^SIGN(FY36),1)*IFERROR(FZ36^SIGN(FZ36),1)*IFERROR(GA36^SIGN(GA36),1)*IFERROR(GB36^SIGN(GB36),1)*IFERROR(GC36^SIGN(GC36),1)*IFERROR(GD36^SIGN(GD36),1)*IFERROR(GE36^SIGN(GE36),1)</f>
        <v>1584</v>
      </c>
      <c r="GL36" s="78">
        <f t="shared" ref="GL36:GL42" si="351">SUM(GI36:GK36)</f>
        <v>7424</v>
      </c>
      <c r="GM36" s="219">
        <f t="shared" ref="GM36:GM42" si="352">GF36*GI36/GL36</f>
        <v>3.8218390804597702</v>
      </c>
      <c r="GN36" s="220">
        <f t="shared" ref="GN36:GN42" si="353">GG36*GJ36/GL36</f>
        <v>10.711206896551724</v>
      </c>
      <c r="GO36" s="241">
        <f t="shared" ref="GO36:GO42" si="354">GH36*GK36/GL36</f>
        <v>7.4676724137931032</v>
      </c>
      <c r="GP36" s="42">
        <f t="shared" ref="GP36:GP42" si="355">SUM(GM36:GO36)</f>
        <v>22.000718390804597</v>
      </c>
      <c r="GQ36" s="252">
        <f t="shared" ref="GQ36:GQ42" si="356">FN36</f>
        <v>0</v>
      </c>
      <c r="GR36" s="309">
        <f t="shared" ref="GR36:GR42" si="357">GP36-GQ36</f>
        <v>22.000718390804597</v>
      </c>
      <c r="GS36" s="42">
        <f>IF(GP36&gt;0,GP36,0)*3+IF(GP36&gt;12,GP36-12,0)*3+IF(GP36&gt;13,GP36-13,0)*3+IF(GP36&gt;14,GP36-14,0)*3+IF(GP36&gt;15,GP36-15,0)*3+IF(GP36&gt;16,GP36-16,0)*3+IF(GP36&gt;17,GP36-17,0)*3+IF(GP36&gt;18,GP36-18,0)*3+IF(GP36&gt;19,GP36-19,0)*3+IF(GP36&gt;20,GP36-20,0)*3</f>
        <v>228.02155172413785</v>
      </c>
      <c r="GT36" s="78">
        <f>IF(GQ36&gt;0,GQ36,0)*3+IF(GQ36&gt;12,GQ36-12,0)*3+IF(GQ36&gt;13,GQ36-13,0)*3+IF(GQ36&gt;14,GQ36-14,0)*3+IF(GQ36&gt;15,GQ36-15,0)*3+IF(GQ36&gt;16,GQ36-16,0)*3+IF(GQ36&gt;17,GQ36-17,0)*3+IF(GQ36&gt;18,GQ36-18,0)*3+IF(GQ36&gt;19,GQ36-19,0)*3+IF(GQ36&gt;20,GQ36-20,0)*3</f>
        <v>0</v>
      </c>
      <c r="GU36" s="241">
        <f t="shared" ref="GU36:GU42" si="358">IF((GS36-GT36)&gt;0,GS36-GT36,0)</f>
        <v>228.02155172413785</v>
      </c>
      <c r="GV36" s="42">
        <f t="shared" ref="GV36:GV42" si="359">IF((GT36-GS36)&gt;0,GT36-GS36,0)</f>
        <v>0</v>
      </c>
      <c r="GX36" s="302" t="s">
        <v>31</v>
      </c>
      <c r="GY36" s="241" t="s">
        <v>8</v>
      </c>
      <c r="GZ36" s="42" t="s">
        <v>135</v>
      </c>
      <c r="HA36" s="236">
        <f>Konvention_1slave-MUslave</f>
        <v>12</v>
      </c>
      <c r="HB36" s="233"/>
      <c r="HC36" s="233">
        <f>Konvention_1slave-INslave</f>
        <v>12</v>
      </c>
      <c r="HD36" s="233"/>
      <c r="HE36" s="233"/>
      <c r="HF36" s="233">
        <f>Konvention_1slave-GEslave</f>
        <v>12</v>
      </c>
      <c r="HG36" s="233"/>
      <c r="HH36" s="221"/>
      <c r="HI36" s="219">
        <f>(HA36+HB36+HC36+HD36+HE36+HF36+HG36+HH36)/3</f>
        <v>12</v>
      </c>
      <c r="HJ36" s="220">
        <f t="shared" ref="HJ36:HJ42" si="360">2*HI36</f>
        <v>24</v>
      </c>
      <c r="HK36" s="221">
        <f t="shared" ref="HK36:HK42" si="361">3*HI36</f>
        <v>36</v>
      </c>
      <c r="HL36" s="236">
        <f>HA36*POWER(KLslave,SIGN(HB36))*POWER(INslave,SIGN(HC36))*POWER(CHslave,SIGN(HD36))*POWER(FFslave,SIGN(HE36))*POWER(GEslave,SIGN(HF36))*POWER(KOslave_KO,SIGN(HG36))*POWER(KKslave,SIGN(HH36))+HB36*POWER(MUslave,SIGN(HA36))*POWER(INslave,SIGN(HC36))*POWER(CHslave,SIGN(HD36))*POWER(FFslave,SIGN(HE36))*POWER(GEslave,SIGN(HF36))*POWER(KOslave_KO,SIGN(HG36))*POWER(KKslave,SIGN(HH36))+HC36*POWER(MUslave,SIGN(HA36))*POWER(KLslave,SIGN(HB36))*POWER(CHslave,SIGN(HD36))*POWER(FFslave,SIGN(HE36))*POWER(GEslave,SIGN(HF36))*POWER(KOslave_KO,SIGN(HG36))*POWER(KKslave,SIGN(HH36))+HD36*POWER(MUslave,SIGN(HA36))*POWER(KLslave,SIGN(HB36))*POWER(INslave,SIGN(HC36))*POWER(FFslave,SIGN(HE36))*POWER(GEslave,SIGN(HF36))*POWER(KOslave_KO,SIGN(HG36))*POWER(KKslave,SIGN(HH36))+HE36*POWER(MUslave,SIGN(HA36))*POWER(KLslave,SIGN(HB36))*POWER(INslave,SIGN(HC36))*POWER(CHslave,SIGN(HD36))*POWER(GEslave,SIGN(HF36))*POWER(KOslave_KO,SIGN(HG36))*POWER(KKslave,SIGN(HH36))+HF36*POWER(MUslave,SIGN(HA36))*POWER(KLslave,SIGN(HB36))*POWER(INslave,SIGN(HC36))*POWER(CHslave,SIGN(HD36))*POWER(FFslave,SIGN(HE36))*POWER(KOslave_KO,SIGN(HG36))*POWER(KKslave,SIGN(HH36))+HG36*POWER(MUslave,SIGN(HA36))*POWER(KLslave,SIGN(HB36))*POWER(INslave,SIGN(HC36))*POWER(CHslave,SIGN(HD36))*POWER(FFslave,SIGN(HE36))*POWER(GEslave,SIGN(HF36))*POWER(KKslave,SIGN(HH36))+HH36*POWER(MUslave,SIGN(HA36))*POWER(KLslave,SIGN(HB36))*POWER(INslave,SIGN(HC36))*POWER(CHslave,SIGN(HD36))*POWER(FFslave,SIGN(HE36))*POWER(GEslave,SIGN(HF36))*POWER(KOslave_KO,SIGN(HG36))</f>
        <v>2304</v>
      </c>
      <c r="HM36" s="233">
        <f>HA36*HC36*GEslave+HA36*INslave*HF36+MUslave*HC36*HF36</f>
        <v>3456</v>
      </c>
      <c r="HN36" s="221">
        <f t="shared" ref="HN36:HN42" si="362">IFERROR(HA36^SIGN(HA36),1)*IFERROR(HB36^SIGN(HB36),1)*IFERROR(HC36^SIGN(HC36),1)*IFERROR(HD36^SIGN(HD36),1)*IFERROR(HE36^SIGN(HE36),1)*IFERROR(HF36^SIGN(HF36),1)*IFERROR(HG36^SIGN(HG36),1)*IFERROR(HH36^SIGN(HH36),1)</f>
        <v>1728</v>
      </c>
      <c r="HO36" s="78">
        <f t="shared" ref="HO36:HO42" si="363">SUM(HL36:HN36)</f>
        <v>7488</v>
      </c>
      <c r="HP36" s="219">
        <f t="shared" ref="HP36:HP42" si="364">HI36*HL36/HO36</f>
        <v>3.6923076923076925</v>
      </c>
      <c r="HQ36" s="220">
        <f t="shared" ref="HQ36:HQ42" si="365">HJ36*HM36/HO36</f>
        <v>11.076923076923077</v>
      </c>
      <c r="HR36" s="241">
        <f t="shared" ref="HR36:HR42" si="366">HK36*HN36/HO36</f>
        <v>8.3076923076923084</v>
      </c>
      <c r="HS36" s="42">
        <f t="shared" ref="HS36:HS42" si="367">SUM(HP36:HR36)</f>
        <v>23.07692307692308</v>
      </c>
      <c r="HT36" s="252">
        <f t="shared" ref="HT36:HT42" si="368">GQ36</f>
        <v>0</v>
      </c>
      <c r="HU36" s="309">
        <f t="shared" ref="HU36:HU42" si="369">HS36-HT36</f>
        <v>23.07692307692308</v>
      </c>
      <c r="HV36" s="42">
        <f>IF(HS36&gt;0,HS36,0)*3+IF(HS36&gt;12,HS36-12,0)*3+IF(HS36&gt;13,HS36-13,0)*3+IF(HS36&gt;14,HS36-14,0)*3+IF(HS36&gt;15,HS36-15,0)*3+IF(HS36&gt;16,HS36-16,0)*3+IF(HS36&gt;17,HS36-17,0)*3+IF(HS36&gt;18,HS36-18,0)*3+IF(HS36&gt;19,HS36-19,0)*3+IF(HS36&gt;20,HS36-20,0)*3</f>
        <v>260.30769230769232</v>
      </c>
      <c r="HW36" s="78">
        <f>IF(HT36&gt;0,HT36,0)*3+IF(HT36&gt;12,HT36-12,0)*3+IF(HT36&gt;13,HT36-13,0)*3+IF(HT36&gt;14,HT36-14,0)*3+IF(HT36&gt;15,HT36-15,0)*3+IF(HT36&gt;16,HT36-16,0)*3+IF(HT36&gt;17,HT36-17,0)*3+IF(HT36&gt;18,HT36-18,0)*3+IF(HT36&gt;19,HT36-19,0)*3+IF(HT36&gt;20,HT36-20,0)*3</f>
        <v>0</v>
      </c>
      <c r="HX36" s="241">
        <f t="shared" ref="HX36:HX42" si="370">IF((HV36-HW36)&gt;0,HV36-HW36,0)</f>
        <v>260.30769230769232</v>
      </c>
      <c r="HY36" s="42">
        <f t="shared" ref="HY36:HY42" si="371">IF((HW36-HV36)&gt;0,HW36-HV36,0)</f>
        <v>0</v>
      </c>
      <c r="IA36" s="302" t="s">
        <v>31</v>
      </c>
      <c r="IB36" s="241" t="s">
        <v>8</v>
      </c>
      <c r="IC36" s="42" t="s">
        <v>135</v>
      </c>
      <c r="ID36" s="236">
        <f>Konvention_1slave-MUslave</f>
        <v>12</v>
      </c>
      <c r="IE36" s="233"/>
      <c r="IF36" s="233">
        <f>Konvention_1slave-INslave</f>
        <v>12</v>
      </c>
      <c r="IG36" s="233"/>
      <c r="IH36" s="233"/>
      <c r="II36" s="233">
        <f>Konvention_1slave-GEslave</f>
        <v>12</v>
      </c>
      <c r="IJ36" s="233"/>
      <c r="IK36" s="221"/>
      <c r="IL36" s="219">
        <f>(ID36+IE36+IF36+IG36+IH36+II36+IJ36+IK36)/3</f>
        <v>12</v>
      </c>
      <c r="IM36" s="220">
        <f t="shared" ref="IM36:IM42" si="372">2*IL36</f>
        <v>24</v>
      </c>
      <c r="IN36" s="221">
        <f t="shared" ref="IN36:IN42" si="373">3*IL36</f>
        <v>36</v>
      </c>
      <c r="IO36" s="236">
        <f>ID36*POWER(KLslave,SIGN(IE36))*POWER(INslave,SIGN(IF36))*POWER(CHslave,SIGN(IG36))*POWER(FFslave,SIGN(IH36))*POWER(GEslave,SIGN(II36))*POWER(KOslave,SIGN(IJ36))*POWER(KKslave_KK,SIGN(IK36))+IE36*POWER(MUslave,SIGN(ID36))*POWER(INslave,SIGN(IF36))*POWER(CHslave,SIGN(IG36))*POWER(FFslave,SIGN(IH36))*POWER(GEslave,SIGN(II36))*POWER(KOslave,SIGN(IJ36))*POWER(KKslave_KK,SIGN(IK36))+IF36*POWER(MUslave,SIGN(ID36))*POWER(KLslave,SIGN(IE36))*POWER(CHslave,SIGN(IG36))*POWER(FFslave,SIGN(IH36))*POWER(GEslave,SIGN(II36))*POWER(KOslave,SIGN(IJ36))*POWER(KKslave_KK,SIGN(IK36))+IG36*POWER(MUslave,SIGN(ID36))*POWER(KLslave,SIGN(IE36))*POWER(INslave,SIGN(IF36))*POWER(FFslave,SIGN(IH36))*POWER(GEslave,SIGN(II36))*POWER(KOslave,SIGN(IJ36))*POWER(KKslave_KK,SIGN(IK36))+IH36*POWER(MUslave,SIGN(ID36))*POWER(KLslave,SIGN(IE36))*POWER(INslave,SIGN(IF36))*POWER(CHslave,SIGN(IG36))*POWER(GEslave,SIGN(II36))*POWER(KOslave,SIGN(IJ36))*POWER(KKslave_KK,SIGN(IK36))+II36*POWER(MUslave,SIGN(ID36))*POWER(KLslave,SIGN(IE36))*POWER(INslave,SIGN(IF36))*POWER(CHslave,SIGN(IG36))*POWER(FFslave,SIGN(IH36))*POWER(KOslave,SIGN(IJ36))*POWER(KKslave_KK,SIGN(IK36))+IJ36*POWER(MUslave,SIGN(ID36))*POWER(KLslave,SIGN(IE36))*POWER(INslave,SIGN(IF36))*POWER(CHslave,SIGN(IG36))*POWER(FFslave,SIGN(IH36))*POWER(GEslave,SIGN(II36))*POWER(KKslave_KK,SIGN(IK36))+IK36*POWER(MUslave,SIGN(ID36))*POWER(KLslave,SIGN(IE36))*POWER(INslave,SIGN(IF36))*POWER(CHslave,SIGN(IG36))*POWER(FFslave,SIGN(IH36))*POWER(GEslave,SIGN(II36))*POWER(KOslave,SIGN(IJ36))</f>
        <v>2304</v>
      </c>
      <c r="IP36" s="233">
        <f>ID36*IF36*GEslave+ID36*INslave*II36+MUslave*IF36*II36</f>
        <v>3456</v>
      </c>
      <c r="IQ36" s="221">
        <f t="shared" ref="IQ36:IQ42" si="374">IFERROR(ID36^SIGN(ID36),1)*IFERROR(IE36^SIGN(IE36),1)*IFERROR(IF36^SIGN(IF36),1)*IFERROR(IG36^SIGN(IG36),1)*IFERROR(IH36^SIGN(IH36),1)*IFERROR(II36^SIGN(II36),1)*IFERROR(IJ36^SIGN(IJ36),1)*IFERROR(IK36^SIGN(IK36),1)</f>
        <v>1728</v>
      </c>
      <c r="IR36" s="78">
        <f t="shared" ref="IR36:IR42" si="375">SUM(IO36:IQ36)</f>
        <v>7488</v>
      </c>
      <c r="IS36" s="219">
        <f t="shared" ref="IS36:IS42" si="376">IL36*IO36/IR36</f>
        <v>3.6923076923076925</v>
      </c>
      <c r="IT36" s="220">
        <f t="shared" ref="IT36:IT42" si="377">IM36*IP36/IR36</f>
        <v>11.076923076923077</v>
      </c>
      <c r="IU36" s="241">
        <f t="shared" ref="IU36:IU42" si="378">IN36*IQ36/IR36</f>
        <v>8.3076923076923084</v>
      </c>
      <c r="IV36" s="42">
        <f t="shared" ref="IV36:IV42" si="379">SUM(IS36:IU36)</f>
        <v>23.07692307692308</v>
      </c>
      <c r="IW36" s="252">
        <f t="shared" ref="IW36:IW42" si="380">HT36</f>
        <v>0</v>
      </c>
      <c r="IX36" s="309">
        <f t="shared" ref="IX36:IX42" si="381">IV36-IW36</f>
        <v>23.07692307692308</v>
      </c>
      <c r="IY36" s="42">
        <f>IF(IV36&gt;0,IV36,0)*3+IF(IV36&gt;12,IV36-12,0)*3+IF(IV36&gt;13,IV36-13,0)*3+IF(IV36&gt;14,IV36-14,0)*3+IF(IV36&gt;15,IV36-15,0)*3+IF(IV36&gt;16,IV36-16,0)*3+IF(IV36&gt;17,IV36-17,0)*3+IF(IV36&gt;18,IV36-18,0)*3+IF(IV36&gt;19,IV36-19,0)*3+IF(IV36&gt;20,IV36-20,0)*3</f>
        <v>260.30769230769232</v>
      </c>
      <c r="IZ36" s="78">
        <f>IF(IW36&gt;0,IW36,0)*3+IF(IW36&gt;12,IW36-12,0)*3+IF(IW36&gt;13,IW36-13,0)*3+IF(IW36&gt;14,IW36-14,0)*3+IF(IW36&gt;15,IW36-15,0)*3+IF(IW36&gt;16,IW36-16,0)*3+IF(IW36&gt;17,IW36-17,0)*3+IF(IW36&gt;18,IW36-18,0)*3+IF(IW36&gt;19,IW36-19,0)*3+IF(IW36&gt;20,IW36-20,0)*3</f>
        <v>0</v>
      </c>
      <c r="JA36" s="241">
        <f t="shared" ref="JA36:JA42" si="382">IF((IY36-IZ36)&gt;0,IY36-IZ36,0)</f>
        <v>260.30769230769232</v>
      </c>
      <c r="JB36" s="42">
        <f t="shared" ref="JB36:JB42" si="383">IF((IZ36-IY36)&gt;0,IZ36-IY36,0)</f>
        <v>0</v>
      </c>
      <c r="JE36" s="148"/>
    </row>
    <row r="37" spans="2:265" hidden="1" outlineLevel="2">
      <c r="B37" s="148">
        <v>2</v>
      </c>
      <c r="C37" s="303" t="e">
        <f>VLOOKUP(AF37,Attribute!C:T,1,FALSE)</f>
        <v>#N/A</v>
      </c>
      <c r="D37" s="127" t="s">
        <v>89</v>
      </c>
      <c r="E37" s="125" t="s">
        <v>133</v>
      </c>
      <c r="F37" s="114"/>
      <c r="G37" s="113">
        <f>Konvention_1master-KLmaster</f>
        <v>12</v>
      </c>
      <c r="H37" s="113"/>
      <c r="I37" s="113"/>
      <c r="J37" s="113">
        <f>Konvention_1master-FFmaster</f>
        <v>12</v>
      </c>
      <c r="K37" s="113"/>
      <c r="L37" s="113"/>
      <c r="M37" s="119">
        <f>Konvention_1master-KKmaster</f>
        <v>12</v>
      </c>
      <c r="N37" s="222">
        <f>(F37+G37+H37+I37+J37+K37+L37+M37)/3</f>
        <v>12</v>
      </c>
      <c r="O37" s="223">
        <f t="shared" si="277"/>
        <v>24</v>
      </c>
      <c r="P37" s="224">
        <f t="shared" si="278"/>
        <v>36</v>
      </c>
      <c r="Q37" s="237">
        <f>F37*POWER(KLmaster,SIGN(G37))*POWER(INmaster,SIGN(H37))*POWER(CHmaster,SIGN(I37))*POWER(FFmaster,SIGN(J37))*POWER(GEmaster,SIGN(K37))*POWER(KOmaster,SIGN(L37))*POWER(KKmaster,SIGN(M37))+G37*POWER(MUmaster,SIGN(F37))*POWER(INmaster,SIGN(H37))*POWER(CHmaster,SIGN(I37))*POWER(FFmaster,SIGN(J37))*POWER(GEmaster,SIGN(K37))*POWER(KOmaster,SIGN(L37))*POWER(KKmaster,SIGN(M37))+H37*POWER(MUmaster,SIGN(F37))*POWER(KLmaster,SIGN(G37))*POWER(CHmaster,SIGN(I37))*POWER(FFmaster,SIGN(J37))*POWER(GEmaster,SIGN(K37))*POWER(KOmaster,SIGN(L37))*POWER(KKmaster,SIGN(M37))+I37*POWER(MUmaster,SIGN(F37))*POWER(KLmaster,SIGN(G37))*POWER(INmaster,SIGN(H37))*POWER(FFmaster,SIGN(J37))*POWER(GEmaster,SIGN(K37))*POWER(KOmaster,SIGN(L37))*POWER(KKmaster,SIGN(M37))+J37*POWER(MUmaster,SIGN(F37))*POWER(KLmaster,SIGN(G37))*POWER(INmaster,SIGN(H37))*POWER(CHmaster,SIGN(I37))*POWER(GEmaster,SIGN(K37))*POWER(KOmaster,SIGN(L37))*POWER(KKmaster,SIGN(M37))+K37*POWER(MUmaster,SIGN(F37))*POWER(KLmaster,SIGN(G37))*POWER(INmaster,SIGN(H37))*POWER(CHmaster,SIGN(I37))*POWER(FFmaster,SIGN(J37))*POWER(KOmaster,SIGN(L37))*POWER(KKmaster,SIGN(M37))+L37*POWER(MUmaster,SIGN(F37))*POWER(KLmaster,SIGN(G37))*POWER(INmaster,SIGN(H37))*POWER(CHmaster,SIGN(I37))*POWER(FFmaster,SIGN(J37))*POWER(GEmaster,SIGN(K37))*POWER(KKmaster,SIGN(M37))+M37*POWER(MUmaster,SIGN(F37))*POWER(KLmaster,SIGN(G37))*POWER(INmaster,SIGN(H37))*POWER(CHmaster,SIGN(I37))*POWER(FFmaster,SIGN(J37))*POWER(GEmaster,SIGN(K37))*POWER(KOmaster,SIGN(L37))</f>
        <v>2304</v>
      </c>
      <c r="R37" s="113">
        <f>G37*J37*KKmaster+G37*FFmaster*M37+KLmaster*J37*M37</f>
        <v>3456</v>
      </c>
      <c r="S37" s="224">
        <f t="shared" si="279"/>
        <v>1728</v>
      </c>
      <c r="T37" s="242">
        <f t="shared" si="280"/>
        <v>7488</v>
      </c>
      <c r="U37" s="222">
        <f t="shared" si="281"/>
        <v>3.6923076923076925</v>
      </c>
      <c r="V37" s="223">
        <f t="shared" si="282"/>
        <v>11.076923076923077</v>
      </c>
      <c r="W37" s="243">
        <f t="shared" si="283"/>
        <v>8.3076923076923084</v>
      </c>
      <c r="X37" s="218">
        <f t="shared" si="284"/>
        <v>23.07692307692308</v>
      </c>
      <c r="Y37" s="252">
        <v>0</v>
      </c>
      <c r="Z37" s="198">
        <f t="shared" si="285"/>
        <v>23.07692307692308</v>
      </c>
      <c r="AA37" s="125">
        <f>IF(X37&gt;0,X37,0)*1+IF(X37&gt;12,X37-12,0)*1+IF(X37&gt;13,X37-13,0)*1+IF(X37&gt;14,X37-14,0)*1+IF(X37&gt;15,X37-15,0)*1+IF(X37&gt;16,X37-16,0)*1+IF(X37&gt;17,X37-17,0)*1+IF(X37&gt;18,X37-18,0)*1+IF(X37&gt;19,X37-19,0)*1+IF(X37&gt;20,X37-20,0)*1</f>
        <v>86.769230769230802</v>
      </c>
      <c r="AB37" s="160">
        <f>IF(Y37&gt;0,Y37,0)*1+IF(Y37&gt;12,Y37-12,0)*1+IF(Y37&gt;13,Y37-13,0)*1+IF(Y37&gt;14,Y37-14,0)*1+IF(Y37&gt;15,Y37-15,0)*1+IF(Y37&gt;16,Y37-16,0)*1+IF(Y37&gt;17,Y37-17,0)*1+IF(Y37&gt;18,Y37-18,0)*1+IF(Y37&gt;19,Y37-19,0)*1+IF(Y37&gt;20,Y37-20,0)*1</f>
        <v>0</v>
      </c>
      <c r="AC37" s="127">
        <f t="shared" si="286"/>
        <v>86.769230769230802</v>
      </c>
      <c r="AD37" s="125">
        <f t="shared" si="287"/>
        <v>0</v>
      </c>
      <c r="AF37" s="163" t="s">
        <v>32</v>
      </c>
      <c r="AG37" s="127" t="s">
        <v>89</v>
      </c>
      <c r="AH37" s="125" t="s">
        <v>133</v>
      </c>
      <c r="AI37" s="114"/>
      <c r="AJ37" s="113">
        <f>Konvention_1slave-KLslave</f>
        <v>12</v>
      </c>
      <c r="AK37" s="113"/>
      <c r="AL37" s="113"/>
      <c r="AM37" s="113">
        <f>Konvention_1slave-FFslave</f>
        <v>12</v>
      </c>
      <c r="AN37" s="113"/>
      <c r="AO37" s="113"/>
      <c r="AP37" s="119">
        <f>Konvention_1slave-KKslave</f>
        <v>12</v>
      </c>
      <c r="AQ37" s="89">
        <f>(AI37+AJ37+AK37+AL37+AM37+AN37+AO37+AP37)/3</f>
        <v>12</v>
      </c>
      <c r="AR37" s="47">
        <f t="shared" si="288"/>
        <v>24</v>
      </c>
      <c r="AS37" s="119">
        <f t="shared" si="289"/>
        <v>36</v>
      </c>
      <c r="AT37" s="114">
        <f>AI37*POWER(KLslave,SIGN(AJ37))*POWER(INslave,SIGN(AK37))*POWER(CHslave,SIGN(AL37))*POWER(FFslave,SIGN(AM37))*POWER(GEslave,SIGN(AN37))*POWER(KOslave,SIGN(AO37))*POWER(KKslave,SIGN(AP37))+AJ37*POWER(MUslave_MU,SIGN(AI37))*POWER(INslave,SIGN(AK37))*POWER(CHslave,SIGN(AL37))*POWER(FFslave,SIGN(AM37))*POWER(GEslave,SIGN(AN37))*POWER(KOslave,SIGN(AO37))*POWER(KKslave,SIGN(AP37))+AK37*POWER(MUslave_MU,SIGN(AI37))*POWER(KLslave,SIGN(AJ37))*POWER(CHslave,SIGN(AL37))*POWER(FFslave,SIGN(AM37))*POWER(GEslave,SIGN(AN37))*POWER(KOslave,SIGN(AO37))*POWER(KKslave,SIGN(AP37))+AL37*POWER(MUslave_MU,SIGN(AI37))*POWER(KLslave,SIGN(AJ37))*POWER(INslave,SIGN(AK37))*POWER(FFslave,SIGN(AM37))*POWER(GEslave,SIGN(AN37))*POWER(KOslave,SIGN(AO37))*POWER(KKslave,SIGN(AP37))+AM37*POWER(MUslave_MU,SIGN(AI37))*POWER(KLslave,SIGN(AJ37))*POWER(INslave,SIGN(AK37))*POWER(CHslave,SIGN(AL37))*POWER(GEslave,SIGN(AN37))*POWER(KOslave,SIGN(AO37))*POWER(KKslave,SIGN(AP37))+AN37*POWER(MUslave_MU,SIGN(AI37))*POWER(KLslave,SIGN(AJ37))*POWER(INslave,SIGN(AK37))*POWER(CHslave,SIGN(AL37))*POWER(FFslave,SIGN(AM37))*POWER(KOslave,SIGN(AO37))*POWER(KKslave,SIGN(AP37))+AO37*POWER(MUslave_MU,SIGN(AI37))*POWER(KLslave,SIGN(AJ37))*POWER(INslave,SIGN(AK37))*POWER(CHslave,SIGN(AL37))*POWER(FFslave,SIGN(AM37))*POWER(GEslave,SIGN(AN37))*POWER(KKslave,SIGN(AP37))+AP37*POWER(MUslave_MU,SIGN(AI37))*POWER(KLslave,SIGN(AJ37))*POWER(INslave,SIGN(AK37))*POWER(CHslave,SIGN(AL37))*POWER(FFslave,SIGN(AM37))*POWER(GEslave,SIGN(AN37))*POWER(KOslave,SIGN(AO37))</f>
        <v>2304</v>
      </c>
      <c r="AU37" s="113">
        <f>AJ37*AM37*KKslave+AJ37*FFslave*AP37+KLslave*AM37*AP37</f>
        <v>3456</v>
      </c>
      <c r="AV37" s="119">
        <f t="shared" si="290"/>
        <v>1728</v>
      </c>
      <c r="AW37" s="160">
        <f t="shared" si="291"/>
        <v>7488</v>
      </c>
      <c r="AX37" s="89">
        <f t="shared" si="292"/>
        <v>3.6923076923076925</v>
      </c>
      <c r="AY37" s="47">
        <f t="shared" si="293"/>
        <v>11.076923076923077</v>
      </c>
      <c r="AZ37" s="127">
        <f t="shared" si="294"/>
        <v>8.3076923076923084</v>
      </c>
      <c r="BA37" s="125">
        <f t="shared" si="295"/>
        <v>23.07692307692308</v>
      </c>
      <c r="BB37" s="165">
        <f t="shared" si="296"/>
        <v>0</v>
      </c>
      <c r="BC37" s="198">
        <f t="shared" si="297"/>
        <v>23.07692307692308</v>
      </c>
      <c r="BD37" s="125">
        <f>IF(BA37&gt;0,BA37,0)*1+IF(BA37&gt;12,BA37-12,0)*1+IF(BA37&gt;13,BA37-13,0)*1+IF(BA37&gt;14,BA37-14,0)*1+IF(BA37&gt;15,BA37-15,0)*1+IF(BA37&gt;16,BA37-16,0)*1+IF(BA37&gt;17,BA37-17,0)*1+IF(BA37&gt;18,BA37-18,0)*1+IF(BA37&gt;19,BA37-19,0)*1+IF(BA37&gt;20,BA37-20,0)*1</f>
        <v>86.769230769230802</v>
      </c>
      <c r="BE37" s="160">
        <f>IF(BB37&gt;0,BB37,0)*1+IF(BB37&gt;12,BB37-12,0)*1+IF(BB37&gt;13,BB37-13,0)*1+IF(BB37&gt;14,BB37-14,0)*1+IF(BB37&gt;15,BB37-15,0)*1+IF(BB37&gt;16,BB37-16,0)*1+IF(BB37&gt;17,BB37-17,0)*1+IF(BB37&gt;18,BB37-18,0)*1+IF(BB37&gt;19,BB37-19,0)*1+IF(BB37&gt;20,BB37-20,0)*1</f>
        <v>0</v>
      </c>
      <c r="BF37" s="243">
        <f t="shared" si="298"/>
        <v>86.769230769230802</v>
      </c>
      <c r="BG37" s="218">
        <f t="shared" si="299"/>
        <v>0</v>
      </c>
      <c r="BI37" s="303" t="s">
        <v>32</v>
      </c>
      <c r="BJ37" s="243" t="s">
        <v>89</v>
      </c>
      <c r="BK37" s="218" t="s">
        <v>133</v>
      </c>
      <c r="BL37" s="237"/>
      <c r="BM37" s="234">
        <f>Konvention_1slave-KLslave_KL</f>
        <v>11</v>
      </c>
      <c r="BN37" s="234"/>
      <c r="BO37" s="234"/>
      <c r="BP37" s="234">
        <f>Konvention_1slave-FFslave</f>
        <v>12</v>
      </c>
      <c r="BQ37" s="234"/>
      <c r="BR37" s="234"/>
      <c r="BS37" s="224">
        <f>Konvention_1slave-KKslave</f>
        <v>12</v>
      </c>
      <c r="BT37" s="222">
        <f>(BL37+BM37+BN37+BO37+BP37+BQ37+BR37+BS37)/3</f>
        <v>11.666666666666666</v>
      </c>
      <c r="BU37" s="223">
        <f t="shared" si="300"/>
        <v>23.333333333333332</v>
      </c>
      <c r="BV37" s="224">
        <f t="shared" si="301"/>
        <v>35</v>
      </c>
      <c r="BW37" s="237">
        <f>BL37*POWER(KLslave_KL,SIGN(BM37))*POWER(INslave,SIGN(BN37))*POWER(CHslave,SIGN(BO37))*POWER(FFslave,SIGN(BP37))*POWER(GEslave,SIGN(BQ37))*POWER(KOslave,SIGN(BR37))*POWER(KKslave,SIGN(BS37))+BM37*POWER(MUslave,SIGN(BL37))*POWER(INslave,SIGN(BN37))*POWER(CHslave,SIGN(BO37))*POWER(FFslave,SIGN(BP37))*POWER(GEslave,SIGN(BQ37))*POWER(KOslave,SIGN(BR37))*POWER(KKslave,SIGN(BS37))+BN37*POWER(MUslave,SIGN(BL37))*POWER(KLslave_KL,SIGN(BM37))*POWER(CHslave,SIGN(BO37))*POWER(FFslave,SIGN(BP37))*POWER(GEslave,SIGN(BQ37))*POWER(KOslave,SIGN(BR37))*POWER(KKslave,SIGN(BS37))+BO37*POWER(MUslave,SIGN(BL37))*POWER(KLslave_KL,SIGN(BM37))*POWER(INslave,SIGN(BN37))*POWER(FFslave,SIGN(BP37))*POWER(GEslave,SIGN(BQ37))*POWER(KOslave,SIGN(BR37))*POWER(KKslave,SIGN(BS37))+BP37*POWER(MUslave,SIGN(BL37))*POWER(KLslave_KL,SIGN(BM37))*POWER(INslave,SIGN(BN37))*POWER(CHslave,SIGN(BO37))*POWER(GEslave,SIGN(BQ37))*POWER(KOslave,SIGN(BR37))*POWER(KKslave,SIGN(BS37))+BQ37*POWER(MUslave,SIGN(BL37))*POWER(KLslave_KL,SIGN(BM37))*POWER(INslave,SIGN(BN37))*POWER(CHslave,SIGN(BO37))*POWER(FFslave,SIGN(BP37))*POWER(KOslave,SIGN(BR37))*POWER(KKslave,SIGN(BS37))+BR37*POWER(MUslave,SIGN(BL37))*POWER(KLslave_KL,SIGN(BM37))*POWER(INslave,SIGN(BN37))*POWER(CHslave,SIGN(BO37))*POWER(FFslave,SIGN(BP37))*POWER(GEslave,SIGN(BQ37))*POWER(KKslave,SIGN(BS37))+BS37*POWER(MUslave,SIGN(BL37))*POWER(KLslave_KL,SIGN(BM37))*POWER(INslave,SIGN(BN37))*POWER(CHslave,SIGN(BO37))*POWER(FFslave,SIGN(BP37))*POWER(GEslave,SIGN(BQ37))*POWER(KOslave,SIGN(BR37))</f>
        <v>2432</v>
      </c>
      <c r="BX37" s="234">
        <f>BM37*BP37*KKslave+BM37*FFslave*BS37+KLslave_KL*BP37*BS37</f>
        <v>3408</v>
      </c>
      <c r="BY37" s="224">
        <f t="shared" si="302"/>
        <v>1584</v>
      </c>
      <c r="BZ37" s="242">
        <f t="shared" si="303"/>
        <v>7424</v>
      </c>
      <c r="CA37" s="222">
        <f t="shared" si="304"/>
        <v>3.8218390804597702</v>
      </c>
      <c r="CB37" s="223">
        <f t="shared" si="305"/>
        <v>10.711206896551724</v>
      </c>
      <c r="CC37" s="243">
        <f t="shared" si="306"/>
        <v>7.4676724137931032</v>
      </c>
      <c r="CD37" s="218">
        <f t="shared" si="307"/>
        <v>22.000718390804597</v>
      </c>
      <c r="CE37" s="252">
        <f t="shared" si="308"/>
        <v>0</v>
      </c>
      <c r="CF37" s="309">
        <f t="shared" si="309"/>
        <v>22.000718390804597</v>
      </c>
      <c r="CG37" s="218">
        <f>IF(CD37&gt;0,CD37,0)*1+IF(CD37&gt;12,CD37-12,0)*1+IF(CD37&gt;13,CD37-13,0)*1+IF(CD37&gt;14,CD37-14,0)*1+IF(CD37&gt;15,CD37-15,0)*1+IF(CD37&gt;16,CD37-16,0)*1+IF(CD37&gt;17,CD37-17,0)*1+IF(CD37&gt;18,CD37-18,0)*1+IF(CD37&gt;19,CD37-19,0)*1+IF(CD37&gt;20,CD37-20,0)*1</f>
        <v>76.007183908045945</v>
      </c>
      <c r="CH37" s="242">
        <f>IF(CE37&gt;0,CE37,0)*1+IF(CE37&gt;12,CE37-12,0)*1+IF(CE37&gt;13,CE37-13,0)*1+IF(CE37&gt;14,CE37-14,0)*1+IF(CE37&gt;15,CE37-15,0)*1+IF(CE37&gt;16,CE37-16,0)*1+IF(CE37&gt;17,CE37-17,0)*1+IF(CE37&gt;18,CE37-18,0)*1+IF(CE37&gt;19,CE37-19,0)*1+IF(CE37&gt;20,CE37-20,0)*1</f>
        <v>0</v>
      </c>
      <c r="CI37" s="243">
        <f t="shared" si="310"/>
        <v>76.007183908045945</v>
      </c>
      <c r="CJ37" s="218">
        <f t="shared" si="311"/>
        <v>0</v>
      </c>
      <c r="CL37" s="303" t="s">
        <v>32</v>
      </c>
      <c r="CM37" s="243" t="s">
        <v>89</v>
      </c>
      <c r="CN37" s="218" t="s">
        <v>133</v>
      </c>
      <c r="CO37" s="237"/>
      <c r="CP37" s="234">
        <f>Konvention_1slave-KLslave</f>
        <v>12</v>
      </c>
      <c r="CQ37" s="234"/>
      <c r="CR37" s="234"/>
      <c r="CS37" s="234">
        <f>Konvention_1slave-FFslave</f>
        <v>12</v>
      </c>
      <c r="CT37" s="234"/>
      <c r="CU37" s="234"/>
      <c r="CV37" s="224">
        <f>Konvention_1slave-KKslave</f>
        <v>12</v>
      </c>
      <c r="CW37" s="222">
        <f>(CO37+CP37+CQ37+CR37+CS37+CT37+CU37+CV37)/3</f>
        <v>12</v>
      </c>
      <c r="CX37" s="223">
        <f t="shared" si="312"/>
        <v>24</v>
      </c>
      <c r="CY37" s="224">
        <f t="shared" si="313"/>
        <v>36</v>
      </c>
      <c r="CZ37" s="237">
        <f>CO37*POWER(KLslave,SIGN(CP37))*POWER(INslave_IN,SIGN(CQ37))*POWER(CHslave,SIGN(CR37))*POWER(FFslave,SIGN(CS37))*POWER(GEslave,SIGN(CT37))*POWER(KOslave,SIGN(CU37))*POWER(KKslave,SIGN(CV37))+CP37*POWER(MUslave,SIGN(CO37))*POWER(INslave_IN,SIGN(CQ37))*POWER(CHslave,SIGN(CR37))*POWER(FFslave,SIGN(CS37))*POWER(GEslave,SIGN(CT37))*POWER(KOslave,SIGN(CU37))*POWER(KKslave,SIGN(CV37))+CQ37*POWER(MUslave,SIGN(CO37))*POWER(KLslave,SIGN(CP37))*POWER(CHslave,SIGN(CR37))*POWER(FFslave,SIGN(CS37))*POWER(GEslave,SIGN(CT37))*POWER(KOslave,SIGN(CU37))*POWER(KKslave,SIGN(CV37))+CR37*POWER(MUslave,SIGN(CO37))*POWER(KLslave,SIGN(CP37))*POWER(INslave_IN,SIGN(CQ37))*POWER(FFslave,SIGN(CS37))*POWER(GEslave,SIGN(CT37))*POWER(KOslave,SIGN(CU37))*POWER(KKslave,SIGN(CV37))+CS37*POWER(MUslave,SIGN(CO37))*POWER(KLslave,SIGN(CP37))*POWER(INslave_IN,SIGN(CQ37))*POWER(CHslave,SIGN(CR37))*POWER(GEslave,SIGN(CT37))*POWER(KOslave,SIGN(CU37))*POWER(KKslave,SIGN(CV37))+CT37*POWER(MUslave,SIGN(CO37))*POWER(KLslave,SIGN(CP37))*POWER(INslave_IN,SIGN(CQ37))*POWER(CHslave,SIGN(CR37))*POWER(FFslave,SIGN(CS37))*POWER(KOslave,SIGN(CU37))*POWER(KKslave,SIGN(CV37))+CU37*POWER(MUslave,SIGN(CO37))*POWER(KLslave,SIGN(CP37))*POWER(INslave_IN,SIGN(CQ37))*POWER(CHslave,SIGN(CR37))*POWER(FFslave,SIGN(CS37))*POWER(GEslave,SIGN(CT37))*POWER(KKslave,SIGN(CV37))+CV37*POWER(MUslave,SIGN(CO37))*POWER(KLslave,SIGN(CP37))*POWER(INslave_IN,SIGN(CQ37))*POWER(CHslave,SIGN(CR37))*POWER(FFslave,SIGN(CS37))*POWER(GEslave,SIGN(CT37))*POWER(KOslave,SIGN(CU37))</f>
        <v>2304</v>
      </c>
      <c r="DA37" s="234">
        <f>CP37*CS37*KKslave+CP37*FFslave*CV37+KLslave*CS37*CV37</f>
        <v>3456</v>
      </c>
      <c r="DB37" s="224">
        <f t="shared" si="314"/>
        <v>1728</v>
      </c>
      <c r="DC37" s="242">
        <f t="shared" si="315"/>
        <v>7488</v>
      </c>
      <c r="DD37" s="222">
        <f t="shared" si="316"/>
        <v>3.6923076923076925</v>
      </c>
      <c r="DE37" s="223">
        <f t="shared" si="317"/>
        <v>11.076923076923077</v>
      </c>
      <c r="DF37" s="243">
        <f t="shared" si="318"/>
        <v>8.3076923076923084</v>
      </c>
      <c r="DG37" s="218">
        <f t="shared" si="319"/>
        <v>23.07692307692308</v>
      </c>
      <c r="DH37" s="252">
        <f t="shared" si="320"/>
        <v>0</v>
      </c>
      <c r="DI37" s="309">
        <f t="shared" si="321"/>
        <v>23.07692307692308</v>
      </c>
      <c r="DJ37" s="218">
        <f>IF(DG37&gt;0,DG37,0)*1+IF(DG37&gt;12,DG37-12,0)*1+IF(DG37&gt;13,DG37-13,0)*1+IF(DG37&gt;14,DG37-14,0)*1+IF(DG37&gt;15,DG37-15,0)*1+IF(DG37&gt;16,DG37-16,0)*1+IF(DG37&gt;17,DG37-17,0)*1+IF(DG37&gt;18,DG37-18,0)*1+IF(DG37&gt;19,DG37-19,0)*1+IF(DG37&gt;20,DG37-20,0)*1</f>
        <v>86.769230769230802</v>
      </c>
      <c r="DK37" s="242">
        <f>IF(DH37&gt;0,DH37,0)*1+IF(DH37&gt;12,DH37-12,0)*1+IF(DH37&gt;13,DH37-13,0)*1+IF(DH37&gt;14,DH37-14,0)*1+IF(DH37&gt;15,DH37-15,0)*1+IF(DH37&gt;16,DH37-16,0)*1+IF(DH37&gt;17,DH37-17,0)*1+IF(DH37&gt;18,DH37-18,0)*1+IF(DH37&gt;19,DH37-19,0)*1+IF(DH37&gt;20,DH37-20,0)*1</f>
        <v>0</v>
      </c>
      <c r="DL37" s="243">
        <f t="shared" si="322"/>
        <v>86.769230769230802</v>
      </c>
      <c r="DM37" s="218">
        <f t="shared" si="323"/>
        <v>0</v>
      </c>
      <c r="DO37" s="303" t="s">
        <v>32</v>
      </c>
      <c r="DP37" s="243" t="s">
        <v>89</v>
      </c>
      <c r="DQ37" s="218" t="s">
        <v>133</v>
      </c>
      <c r="DR37" s="237"/>
      <c r="DS37" s="234">
        <f>Konvention_1slave-KLslave</f>
        <v>12</v>
      </c>
      <c r="DT37" s="234"/>
      <c r="DU37" s="234"/>
      <c r="DV37" s="234">
        <f>Konvention_1slave-FFslave</f>
        <v>12</v>
      </c>
      <c r="DW37" s="234"/>
      <c r="DX37" s="234"/>
      <c r="DY37" s="224">
        <f>Konvention_1slave-KKslave</f>
        <v>12</v>
      </c>
      <c r="DZ37" s="222">
        <f>(DR37+DS37+DT37+DU37+DV37+DW37+DX37+DY37)/3</f>
        <v>12</v>
      </c>
      <c r="EA37" s="223">
        <f t="shared" si="324"/>
        <v>24</v>
      </c>
      <c r="EB37" s="224">
        <f t="shared" si="325"/>
        <v>36</v>
      </c>
      <c r="EC37" s="237">
        <f>DR37*POWER(KLslave,SIGN(DS37))*POWER(INslave,SIGN(DT37))*POWER(CHslave_CH,SIGN(DU37))*POWER(FFslave,SIGN(DV37))*POWER(GEslave,SIGN(DW37))*POWER(KOslave,SIGN(DX37))*POWER(KKslave,SIGN(DY37))+DS37*POWER(MUslave,SIGN(DR37))*POWER(INslave,SIGN(DT37))*POWER(CHslave_CH,SIGN(DU37))*POWER(FFslave,SIGN(DV37))*POWER(GEslave,SIGN(DW37))*POWER(KOslave,SIGN(DX37))*POWER(KKslave,SIGN(DY37))+DT37*POWER(MUslave,SIGN(DR37))*POWER(KLslave,SIGN(DS37))*POWER(CHslave_CH,SIGN(DU37))*POWER(FFslave,SIGN(DV37))*POWER(GEslave,SIGN(DW37))*POWER(KOslave,SIGN(DX37))*POWER(KKslave,SIGN(DY37))+DU37*POWER(MUslave,SIGN(DR37))*POWER(KLslave,SIGN(DS37))*POWER(INslave,SIGN(DT37))*POWER(FFslave,SIGN(DV37))*POWER(GEslave,SIGN(DW37))*POWER(KOslave,SIGN(DX37))*POWER(KKslave,SIGN(DY37))+DV37*POWER(MUslave,SIGN(DR37))*POWER(KLslave,SIGN(DS37))*POWER(INslave,SIGN(DT37))*POWER(CHslave_CH,SIGN(DU37))*POWER(GEslave,SIGN(DW37))*POWER(KOslave,SIGN(DX37))*POWER(KKslave,SIGN(DY37))+DW37*POWER(MUslave,SIGN(DR37))*POWER(KLslave,SIGN(DS37))*POWER(INslave,SIGN(DT37))*POWER(CHslave_CH,SIGN(DU37))*POWER(FFslave,SIGN(DV37))*POWER(KOslave,SIGN(DX37))*POWER(KKslave,SIGN(DY37))+DX37*POWER(MUslave,SIGN(DR37))*POWER(KLslave,SIGN(DS37))*POWER(INslave,SIGN(DT37))*POWER(CHslave_CH,SIGN(DU37))*POWER(FFslave,SIGN(DV37))*POWER(GEslave,SIGN(DW37))*POWER(KKslave,SIGN(DY37))+DY37*POWER(MUslave,SIGN(DR37))*POWER(KLslave,SIGN(DS37))*POWER(INslave,SIGN(DT37))*POWER(CHslave_CH,SIGN(DU37))*POWER(FFslave,SIGN(DV37))*POWER(GEslave,SIGN(DW37))*POWER(KOslave,SIGN(DX37))</f>
        <v>2304</v>
      </c>
      <c r="ED37" s="234">
        <f>DS37*DV37*KKslave+DS37*FFslave*DY37+KLslave*DV37*DY37</f>
        <v>3456</v>
      </c>
      <c r="EE37" s="224">
        <f t="shared" si="326"/>
        <v>1728</v>
      </c>
      <c r="EF37" s="242">
        <f t="shared" si="327"/>
        <v>7488</v>
      </c>
      <c r="EG37" s="222">
        <f t="shared" si="328"/>
        <v>3.6923076923076925</v>
      </c>
      <c r="EH37" s="223">
        <f t="shared" si="329"/>
        <v>11.076923076923077</v>
      </c>
      <c r="EI37" s="243">
        <f t="shared" si="330"/>
        <v>8.3076923076923084</v>
      </c>
      <c r="EJ37" s="218">
        <f t="shared" si="331"/>
        <v>23.07692307692308</v>
      </c>
      <c r="EK37" s="252">
        <f t="shared" si="332"/>
        <v>0</v>
      </c>
      <c r="EL37" s="309">
        <f t="shared" si="333"/>
        <v>23.07692307692308</v>
      </c>
      <c r="EM37" s="218">
        <f>IF(EJ37&gt;0,EJ37,0)*1+IF(EJ37&gt;12,EJ37-12,0)*1+IF(EJ37&gt;13,EJ37-13,0)*1+IF(EJ37&gt;14,EJ37-14,0)*1+IF(EJ37&gt;15,EJ37-15,0)*1+IF(EJ37&gt;16,EJ37-16,0)*1+IF(EJ37&gt;17,EJ37-17,0)*1+IF(EJ37&gt;18,EJ37-18,0)*1+IF(EJ37&gt;19,EJ37-19,0)*1+IF(EJ37&gt;20,EJ37-20,0)*1</f>
        <v>86.769230769230802</v>
      </c>
      <c r="EN37" s="242">
        <f>IF(EK37&gt;0,EK37,0)*1+IF(EK37&gt;12,EK37-12,0)*1+IF(EK37&gt;13,EK37-13,0)*1+IF(EK37&gt;14,EK37-14,0)*1+IF(EK37&gt;15,EK37-15,0)*1+IF(EK37&gt;16,EK37-16,0)*1+IF(EK37&gt;17,EK37-17,0)*1+IF(EK37&gt;18,EK37-18,0)*1+IF(EK37&gt;19,EK37-19,0)*1+IF(EK37&gt;20,EK37-20,0)*1</f>
        <v>0</v>
      </c>
      <c r="EO37" s="243">
        <f t="shared" si="334"/>
        <v>86.769230769230802</v>
      </c>
      <c r="EP37" s="218">
        <f t="shared" si="335"/>
        <v>0</v>
      </c>
      <c r="ER37" s="303" t="s">
        <v>32</v>
      </c>
      <c r="ES37" s="243" t="s">
        <v>89</v>
      </c>
      <c r="ET37" s="218" t="s">
        <v>133</v>
      </c>
      <c r="EU37" s="237"/>
      <c r="EV37" s="234">
        <f>Konvention_1slave-KLslave</f>
        <v>12</v>
      </c>
      <c r="EW37" s="234"/>
      <c r="EX37" s="234"/>
      <c r="EY37" s="234">
        <f>Konvention_1slave-FFslave_FF</f>
        <v>11</v>
      </c>
      <c r="EZ37" s="234"/>
      <c r="FA37" s="234"/>
      <c r="FB37" s="224">
        <f>Konvention_1slave-KKslave</f>
        <v>12</v>
      </c>
      <c r="FC37" s="222">
        <f>(EU37+EV37+EW37+EX37+EY37+EZ37+FA37+FB37)/3</f>
        <v>11.666666666666666</v>
      </c>
      <c r="FD37" s="223">
        <f t="shared" si="336"/>
        <v>23.333333333333332</v>
      </c>
      <c r="FE37" s="224">
        <f t="shared" si="337"/>
        <v>35</v>
      </c>
      <c r="FF37" s="237">
        <f>EU37*POWER(KLslave,SIGN(EV37))*POWER(INslave,SIGN(EW37))*POWER(CHslave,SIGN(EX37))*POWER(FFslave_FF,SIGN(EY37))*POWER(GEslave,SIGN(EZ37))*POWER(KOslave,SIGN(FA37))*POWER(KKslave,SIGN(FB37))+EV37*POWER(MUslave,SIGN(EU37))*POWER(INslave,SIGN(EW37))*POWER(CHslave,SIGN(EX37))*POWER(FFslave_FF,SIGN(EY37))*POWER(GEslave,SIGN(EZ37))*POWER(KOslave,SIGN(FA37))*POWER(KKslave,SIGN(FB37))+EW37*POWER(MUslave,SIGN(EU37))*POWER(KLslave,SIGN(EV37))*POWER(CHslave,SIGN(EX37))*POWER(FFslave_FF,SIGN(EY37))*POWER(GEslave,SIGN(EZ37))*POWER(KOslave,SIGN(FA37))*POWER(KKslave,SIGN(FB37))+EX37*POWER(MUslave,SIGN(EU37))*POWER(KLslave,SIGN(EV37))*POWER(INslave,SIGN(EW37))*POWER(FFslave_FF,SIGN(EY37))*POWER(GEslave,SIGN(EZ37))*POWER(KOslave,SIGN(FA37))*POWER(KKslave,SIGN(FB37))+EY37*POWER(MUslave,SIGN(EU37))*POWER(KLslave,SIGN(EV37))*POWER(INslave,SIGN(EW37))*POWER(CHslave,SIGN(EX37))*POWER(GEslave,SIGN(EZ37))*POWER(KOslave,SIGN(FA37))*POWER(KKslave,SIGN(FB37))+EZ37*POWER(MUslave,SIGN(EU37))*POWER(KLslave,SIGN(EV37))*POWER(INslave,SIGN(EW37))*POWER(CHslave,SIGN(EX37))*POWER(FFslave_FF,SIGN(EY37))*POWER(KOslave,SIGN(FA37))*POWER(KKslave,SIGN(FB37))+FA37*POWER(MUslave,SIGN(EU37))*POWER(KLslave,SIGN(EV37))*POWER(INslave,SIGN(EW37))*POWER(CHslave,SIGN(EX37))*POWER(FFslave_FF,SIGN(EY37))*POWER(GEslave,SIGN(EZ37))*POWER(KKslave,SIGN(FB37))+FB37*POWER(MUslave,SIGN(EU37))*POWER(KLslave,SIGN(EV37))*POWER(INslave,SIGN(EW37))*POWER(CHslave,SIGN(EX37))*POWER(FFslave_FF,SIGN(EY37))*POWER(GEslave,SIGN(EZ37))*POWER(KOslave,SIGN(FA37))</f>
        <v>2432</v>
      </c>
      <c r="FG37" s="234">
        <f>EV37*EY37*KKslave+EV37*FFslave_FF*FB37+KLslave*EY37*FB37</f>
        <v>3408</v>
      </c>
      <c r="FH37" s="224">
        <f t="shared" si="338"/>
        <v>1584</v>
      </c>
      <c r="FI37" s="242">
        <f t="shared" si="339"/>
        <v>7424</v>
      </c>
      <c r="FJ37" s="222">
        <f t="shared" si="340"/>
        <v>3.8218390804597702</v>
      </c>
      <c r="FK37" s="223">
        <f t="shared" si="341"/>
        <v>10.711206896551724</v>
      </c>
      <c r="FL37" s="243">
        <f t="shared" si="342"/>
        <v>7.4676724137931032</v>
      </c>
      <c r="FM37" s="218">
        <f t="shared" si="343"/>
        <v>22.000718390804597</v>
      </c>
      <c r="FN37" s="252">
        <f t="shared" si="344"/>
        <v>0</v>
      </c>
      <c r="FO37" s="309">
        <f t="shared" si="345"/>
        <v>22.000718390804597</v>
      </c>
      <c r="FP37" s="218">
        <f>IF(FM37&gt;0,FM37,0)*1+IF(FM37&gt;12,FM37-12,0)*1+IF(FM37&gt;13,FM37-13,0)*1+IF(FM37&gt;14,FM37-14,0)*1+IF(FM37&gt;15,FM37-15,0)*1+IF(FM37&gt;16,FM37-16,0)*1+IF(FM37&gt;17,FM37-17,0)*1+IF(FM37&gt;18,FM37-18,0)*1+IF(FM37&gt;19,FM37-19,0)*1+IF(FM37&gt;20,FM37-20,0)*1</f>
        <v>76.007183908045945</v>
      </c>
      <c r="FQ37" s="242">
        <f>IF(FN37&gt;0,FN37,0)*1+IF(FN37&gt;12,FN37-12,0)*1+IF(FN37&gt;13,FN37-13,0)*1+IF(FN37&gt;14,FN37-14,0)*1+IF(FN37&gt;15,FN37-15,0)*1+IF(FN37&gt;16,FN37-16,0)*1+IF(FN37&gt;17,FN37-17,0)*1+IF(FN37&gt;18,FN37-18,0)*1+IF(FN37&gt;19,FN37-19,0)*1+IF(FN37&gt;20,FN37-20,0)*1</f>
        <v>0</v>
      </c>
      <c r="FR37" s="243">
        <f t="shared" si="346"/>
        <v>76.007183908045945</v>
      </c>
      <c r="FS37" s="218">
        <f t="shared" si="347"/>
        <v>0</v>
      </c>
      <c r="FU37" s="303" t="s">
        <v>32</v>
      </c>
      <c r="FV37" s="243" t="s">
        <v>89</v>
      </c>
      <c r="FW37" s="218" t="s">
        <v>133</v>
      </c>
      <c r="FX37" s="237"/>
      <c r="FY37" s="234">
        <f>Konvention_1slave-KLslave</f>
        <v>12</v>
      </c>
      <c r="FZ37" s="234"/>
      <c r="GA37" s="234"/>
      <c r="GB37" s="234">
        <f>Konvention_1slave-FFslave</f>
        <v>12</v>
      </c>
      <c r="GC37" s="234"/>
      <c r="GD37" s="234"/>
      <c r="GE37" s="224">
        <f>Konvention_1slave-KKslave</f>
        <v>12</v>
      </c>
      <c r="GF37" s="222">
        <f>(FX37+FY37+FZ37+GA37+GB37+GC37+GD37+GE37)/3</f>
        <v>12</v>
      </c>
      <c r="GG37" s="223">
        <f t="shared" si="348"/>
        <v>24</v>
      </c>
      <c r="GH37" s="224">
        <f t="shared" si="349"/>
        <v>36</v>
      </c>
      <c r="GI37" s="237">
        <f>FX37*POWER(KLslave,SIGN(FY37))*POWER(INslave,SIGN(FZ37))*POWER(CHslave,SIGN(GA37))*POWER(FFslave,SIGN(GB37))*POWER(GEslave_GE,SIGN(GC37))*POWER(KOslave,SIGN(GD37))*POWER(KKslave,SIGN(GE37))+FY37*POWER(MUslave,SIGN(FX37))*POWER(INslave,SIGN(FZ37))*POWER(CHslave,SIGN(GA37))*POWER(FFslave,SIGN(GB37))*POWER(GEslave_GE,SIGN(GC37))*POWER(KOslave,SIGN(GD37))*POWER(KKslave,SIGN(GE37))+FZ37*POWER(MUslave,SIGN(FX37))*POWER(KLslave,SIGN(FY37))*POWER(CHslave,SIGN(GA37))*POWER(FFslave,SIGN(GB37))*POWER(GEslave_GE,SIGN(GC37))*POWER(KOslave,SIGN(GD37))*POWER(KKslave,SIGN(GE37))+GA37*POWER(MUslave,SIGN(FX37))*POWER(KLslave,SIGN(FY37))*POWER(INslave,SIGN(FZ37))*POWER(FFslave,SIGN(GB37))*POWER(GEslave_GE,SIGN(GC37))*POWER(KOslave,SIGN(GD37))*POWER(KKslave,SIGN(GE37))+GB37*POWER(MUslave,SIGN(FX37))*POWER(KLslave,SIGN(FY37))*POWER(INslave,SIGN(FZ37))*POWER(CHslave,SIGN(GA37))*POWER(GEslave_GE,SIGN(GC37))*POWER(KOslave,SIGN(GD37))*POWER(KKslave,SIGN(GE37))+GC37*POWER(MUslave,SIGN(FX37))*POWER(KLslave,SIGN(FY37))*POWER(INslave,SIGN(FZ37))*POWER(CHslave,SIGN(GA37))*POWER(FFslave,SIGN(GB37))*POWER(KOslave,SIGN(GD37))*POWER(KKslave,SIGN(GE37))+GD37*POWER(MUslave,SIGN(FX37))*POWER(KLslave,SIGN(FY37))*POWER(INslave,SIGN(FZ37))*POWER(CHslave,SIGN(GA37))*POWER(FFslave,SIGN(GB37))*POWER(GEslave_GE,SIGN(GC37))*POWER(KKslave,SIGN(GE37))+GE37*POWER(MUslave,SIGN(FX37))*POWER(KLslave,SIGN(FY37))*POWER(INslave,SIGN(FZ37))*POWER(CHslave,SIGN(GA37))*POWER(FFslave,SIGN(GB37))*POWER(GEslave_GE,SIGN(GC37))*POWER(KOslave,SIGN(GD37))</f>
        <v>2304</v>
      </c>
      <c r="GJ37" s="234">
        <f>FY37*GB37*KKslave+FY37*FFslave*GE37+KLslave*GB37*GE37</f>
        <v>3456</v>
      </c>
      <c r="GK37" s="224">
        <f t="shared" si="350"/>
        <v>1728</v>
      </c>
      <c r="GL37" s="242">
        <f t="shared" si="351"/>
        <v>7488</v>
      </c>
      <c r="GM37" s="222">
        <f t="shared" si="352"/>
        <v>3.6923076923076925</v>
      </c>
      <c r="GN37" s="223">
        <f t="shared" si="353"/>
        <v>11.076923076923077</v>
      </c>
      <c r="GO37" s="243">
        <f t="shared" si="354"/>
        <v>8.3076923076923084</v>
      </c>
      <c r="GP37" s="218">
        <f t="shared" si="355"/>
        <v>23.07692307692308</v>
      </c>
      <c r="GQ37" s="252">
        <f t="shared" si="356"/>
        <v>0</v>
      </c>
      <c r="GR37" s="309">
        <f t="shared" si="357"/>
        <v>23.07692307692308</v>
      </c>
      <c r="GS37" s="218">
        <f>IF(GP37&gt;0,GP37,0)*1+IF(GP37&gt;12,GP37-12,0)*1+IF(GP37&gt;13,GP37-13,0)*1+IF(GP37&gt;14,GP37-14,0)*1+IF(GP37&gt;15,GP37-15,0)*1+IF(GP37&gt;16,GP37-16,0)*1+IF(GP37&gt;17,GP37-17,0)*1+IF(GP37&gt;18,GP37-18,0)*1+IF(GP37&gt;19,GP37-19,0)*1+IF(GP37&gt;20,GP37-20,0)*1</f>
        <v>86.769230769230802</v>
      </c>
      <c r="GT37" s="242">
        <f>IF(GQ37&gt;0,GQ37,0)*1+IF(GQ37&gt;12,GQ37-12,0)*1+IF(GQ37&gt;13,GQ37-13,0)*1+IF(GQ37&gt;14,GQ37-14,0)*1+IF(GQ37&gt;15,GQ37-15,0)*1+IF(GQ37&gt;16,GQ37-16,0)*1+IF(GQ37&gt;17,GQ37-17,0)*1+IF(GQ37&gt;18,GQ37-18,0)*1+IF(GQ37&gt;19,GQ37-19,0)*1+IF(GQ37&gt;20,GQ37-20,0)*1</f>
        <v>0</v>
      </c>
      <c r="GU37" s="243">
        <f t="shared" si="358"/>
        <v>86.769230769230802</v>
      </c>
      <c r="GV37" s="218">
        <f t="shared" si="359"/>
        <v>0</v>
      </c>
      <c r="GX37" s="303" t="s">
        <v>32</v>
      </c>
      <c r="GY37" s="243" t="s">
        <v>89</v>
      </c>
      <c r="GZ37" s="218" t="s">
        <v>133</v>
      </c>
      <c r="HA37" s="237"/>
      <c r="HB37" s="234">
        <f>Konvention_1slave-KLslave</f>
        <v>12</v>
      </c>
      <c r="HC37" s="234"/>
      <c r="HD37" s="234"/>
      <c r="HE37" s="234">
        <f>Konvention_1slave-FFslave</f>
        <v>12</v>
      </c>
      <c r="HF37" s="234"/>
      <c r="HG37" s="234"/>
      <c r="HH37" s="224">
        <f>Konvention_1slave-KKslave</f>
        <v>12</v>
      </c>
      <c r="HI37" s="222">
        <f>(HA37+HB37+HC37+HD37+HE37+HF37+HG37+HH37)/3</f>
        <v>12</v>
      </c>
      <c r="HJ37" s="223">
        <f t="shared" si="360"/>
        <v>24</v>
      </c>
      <c r="HK37" s="224">
        <f t="shared" si="361"/>
        <v>36</v>
      </c>
      <c r="HL37" s="237">
        <f>HA37*POWER(KLslave,SIGN(HB37))*POWER(INslave,SIGN(HC37))*POWER(CHslave,SIGN(HD37))*POWER(FFslave,SIGN(HE37))*POWER(GEslave,SIGN(HF37))*POWER(KOslave_KO,SIGN(HG37))*POWER(KKslave,SIGN(HH37))+HB37*POWER(MUslave,SIGN(HA37))*POWER(INslave,SIGN(HC37))*POWER(CHslave,SIGN(HD37))*POWER(FFslave,SIGN(HE37))*POWER(GEslave,SIGN(HF37))*POWER(KOslave_KO,SIGN(HG37))*POWER(KKslave,SIGN(HH37))+HC37*POWER(MUslave,SIGN(HA37))*POWER(KLslave,SIGN(HB37))*POWER(CHslave,SIGN(HD37))*POWER(FFslave,SIGN(HE37))*POWER(GEslave,SIGN(HF37))*POWER(KOslave_KO,SIGN(HG37))*POWER(KKslave,SIGN(HH37))+HD37*POWER(MUslave,SIGN(HA37))*POWER(KLslave,SIGN(HB37))*POWER(INslave,SIGN(HC37))*POWER(FFslave,SIGN(HE37))*POWER(GEslave,SIGN(HF37))*POWER(KOslave_KO,SIGN(HG37))*POWER(KKslave,SIGN(HH37))+HE37*POWER(MUslave,SIGN(HA37))*POWER(KLslave,SIGN(HB37))*POWER(INslave,SIGN(HC37))*POWER(CHslave,SIGN(HD37))*POWER(GEslave,SIGN(HF37))*POWER(KOslave_KO,SIGN(HG37))*POWER(KKslave,SIGN(HH37))+HF37*POWER(MUslave,SIGN(HA37))*POWER(KLslave,SIGN(HB37))*POWER(INslave,SIGN(HC37))*POWER(CHslave,SIGN(HD37))*POWER(FFslave,SIGN(HE37))*POWER(KOslave_KO,SIGN(HG37))*POWER(KKslave,SIGN(HH37))+HG37*POWER(MUslave,SIGN(HA37))*POWER(KLslave,SIGN(HB37))*POWER(INslave,SIGN(HC37))*POWER(CHslave,SIGN(HD37))*POWER(FFslave,SIGN(HE37))*POWER(GEslave,SIGN(HF37))*POWER(KKslave,SIGN(HH37))+HH37*POWER(MUslave,SIGN(HA37))*POWER(KLslave,SIGN(HB37))*POWER(INslave,SIGN(HC37))*POWER(CHslave,SIGN(HD37))*POWER(FFslave,SIGN(HE37))*POWER(GEslave,SIGN(HF37))*POWER(KOslave_KO,SIGN(HG37))</f>
        <v>2304</v>
      </c>
      <c r="HM37" s="234">
        <f>HB37*HE37*KKslave+HB37*FFslave*HH37+KLslave*HE37*HH37</f>
        <v>3456</v>
      </c>
      <c r="HN37" s="224">
        <f t="shared" si="362"/>
        <v>1728</v>
      </c>
      <c r="HO37" s="242">
        <f t="shared" si="363"/>
        <v>7488</v>
      </c>
      <c r="HP37" s="222">
        <f t="shared" si="364"/>
        <v>3.6923076923076925</v>
      </c>
      <c r="HQ37" s="223">
        <f t="shared" si="365"/>
        <v>11.076923076923077</v>
      </c>
      <c r="HR37" s="243">
        <f t="shared" si="366"/>
        <v>8.3076923076923084</v>
      </c>
      <c r="HS37" s="218">
        <f t="shared" si="367"/>
        <v>23.07692307692308</v>
      </c>
      <c r="HT37" s="252">
        <f t="shared" si="368"/>
        <v>0</v>
      </c>
      <c r="HU37" s="309">
        <f t="shared" si="369"/>
        <v>23.07692307692308</v>
      </c>
      <c r="HV37" s="218">
        <f>IF(HS37&gt;0,HS37,0)*1+IF(HS37&gt;12,HS37-12,0)*1+IF(HS37&gt;13,HS37-13,0)*1+IF(HS37&gt;14,HS37-14,0)*1+IF(HS37&gt;15,HS37-15,0)*1+IF(HS37&gt;16,HS37-16,0)*1+IF(HS37&gt;17,HS37-17,0)*1+IF(HS37&gt;18,HS37-18,0)*1+IF(HS37&gt;19,HS37-19,0)*1+IF(HS37&gt;20,HS37-20,0)*1</f>
        <v>86.769230769230802</v>
      </c>
      <c r="HW37" s="242">
        <f>IF(HT37&gt;0,HT37,0)*1+IF(HT37&gt;12,HT37-12,0)*1+IF(HT37&gt;13,HT37-13,0)*1+IF(HT37&gt;14,HT37-14,0)*1+IF(HT37&gt;15,HT37-15,0)*1+IF(HT37&gt;16,HT37-16,0)*1+IF(HT37&gt;17,HT37-17,0)*1+IF(HT37&gt;18,HT37-18,0)*1+IF(HT37&gt;19,HT37-19,0)*1+IF(HT37&gt;20,HT37-20,0)*1</f>
        <v>0</v>
      </c>
      <c r="HX37" s="243">
        <f t="shared" si="370"/>
        <v>86.769230769230802</v>
      </c>
      <c r="HY37" s="218">
        <f t="shared" si="371"/>
        <v>0</v>
      </c>
      <c r="IA37" s="303" t="s">
        <v>32</v>
      </c>
      <c r="IB37" s="243" t="s">
        <v>89</v>
      </c>
      <c r="IC37" s="218" t="s">
        <v>133</v>
      </c>
      <c r="ID37" s="237"/>
      <c r="IE37" s="234">
        <f>Konvention_1slave-KLslave</f>
        <v>12</v>
      </c>
      <c r="IF37" s="234"/>
      <c r="IG37" s="234"/>
      <c r="IH37" s="234">
        <f>Konvention_1slave-FFslave</f>
        <v>12</v>
      </c>
      <c r="II37" s="234"/>
      <c r="IJ37" s="234"/>
      <c r="IK37" s="224">
        <f>Konvention_1slave-KKslave_KK</f>
        <v>11</v>
      </c>
      <c r="IL37" s="222">
        <f>(ID37+IE37+IF37+IG37+IH37+II37+IJ37+IK37)/3</f>
        <v>11.666666666666666</v>
      </c>
      <c r="IM37" s="223">
        <f t="shared" si="372"/>
        <v>23.333333333333332</v>
      </c>
      <c r="IN37" s="224">
        <f t="shared" si="373"/>
        <v>35</v>
      </c>
      <c r="IO37" s="237">
        <f>ID37*POWER(KLslave,SIGN(IE37))*POWER(INslave,SIGN(IF37))*POWER(CHslave,SIGN(IG37))*POWER(FFslave,SIGN(IH37))*POWER(GEslave,SIGN(II37))*POWER(KOslave,SIGN(IJ37))*POWER(KKslave_KK,SIGN(IK37))+IE37*POWER(MUslave,SIGN(ID37))*POWER(INslave,SIGN(IF37))*POWER(CHslave,SIGN(IG37))*POWER(FFslave,SIGN(IH37))*POWER(GEslave,SIGN(II37))*POWER(KOslave,SIGN(IJ37))*POWER(KKslave_KK,SIGN(IK37))+IF37*POWER(MUslave,SIGN(ID37))*POWER(KLslave,SIGN(IE37))*POWER(CHslave,SIGN(IG37))*POWER(FFslave,SIGN(IH37))*POWER(GEslave,SIGN(II37))*POWER(KOslave,SIGN(IJ37))*POWER(KKslave_KK,SIGN(IK37))+IG37*POWER(MUslave,SIGN(ID37))*POWER(KLslave,SIGN(IE37))*POWER(INslave,SIGN(IF37))*POWER(FFslave,SIGN(IH37))*POWER(GEslave,SIGN(II37))*POWER(KOslave,SIGN(IJ37))*POWER(KKslave_KK,SIGN(IK37))+IH37*POWER(MUslave,SIGN(ID37))*POWER(KLslave,SIGN(IE37))*POWER(INslave,SIGN(IF37))*POWER(CHslave,SIGN(IG37))*POWER(GEslave,SIGN(II37))*POWER(KOslave,SIGN(IJ37))*POWER(KKslave_KK,SIGN(IK37))+II37*POWER(MUslave,SIGN(ID37))*POWER(KLslave,SIGN(IE37))*POWER(INslave,SIGN(IF37))*POWER(CHslave,SIGN(IG37))*POWER(FFslave,SIGN(IH37))*POWER(KOslave,SIGN(IJ37))*POWER(KKslave_KK,SIGN(IK37))+IJ37*POWER(MUslave,SIGN(ID37))*POWER(KLslave,SIGN(IE37))*POWER(INslave,SIGN(IF37))*POWER(CHslave,SIGN(IG37))*POWER(FFslave,SIGN(IH37))*POWER(GEslave,SIGN(II37))*POWER(KKslave_KK,SIGN(IK37))+IK37*POWER(MUslave,SIGN(ID37))*POWER(KLslave,SIGN(IE37))*POWER(INslave,SIGN(IF37))*POWER(CHslave,SIGN(IG37))*POWER(FFslave,SIGN(IH37))*POWER(GEslave,SIGN(II37))*POWER(KOslave,SIGN(IJ37))</f>
        <v>2432</v>
      </c>
      <c r="IP37" s="234">
        <f>IE37*IH37*KKslave_KK+IE37*FFslave*IK37+KLslave*IH37*IK37</f>
        <v>3408</v>
      </c>
      <c r="IQ37" s="224">
        <f t="shared" si="374"/>
        <v>1584</v>
      </c>
      <c r="IR37" s="242">
        <f t="shared" si="375"/>
        <v>7424</v>
      </c>
      <c r="IS37" s="222">
        <f t="shared" si="376"/>
        <v>3.8218390804597702</v>
      </c>
      <c r="IT37" s="223">
        <f t="shared" si="377"/>
        <v>10.711206896551724</v>
      </c>
      <c r="IU37" s="243">
        <f t="shared" si="378"/>
        <v>7.4676724137931032</v>
      </c>
      <c r="IV37" s="218">
        <f t="shared" si="379"/>
        <v>22.000718390804597</v>
      </c>
      <c r="IW37" s="252">
        <f t="shared" si="380"/>
        <v>0</v>
      </c>
      <c r="IX37" s="309">
        <f t="shared" si="381"/>
        <v>22.000718390804597</v>
      </c>
      <c r="IY37" s="218">
        <f>IF(IV37&gt;0,IV37,0)*1+IF(IV37&gt;12,IV37-12,0)*1+IF(IV37&gt;13,IV37-13,0)*1+IF(IV37&gt;14,IV37-14,0)*1+IF(IV37&gt;15,IV37-15,0)*1+IF(IV37&gt;16,IV37-16,0)*1+IF(IV37&gt;17,IV37-17,0)*1+IF(IV37&gt;18,IV37-18,0)*1+IF(IV37&gt;19,IV37-19,0)*1+IF(IV37&gt;20,IV37-20,0)*1</f>
        <v>76.007183908045945</v>
      </c>
      <c r="IZ37" s="242">
        <f>IF(IW37&gt;0,IW37,0)*1+IF(IW37&gt;12,IW37-12,0)*1+IF(IW37&gt;13,IW37-13,0)*1+IF(IW37&gt;14,IW37-14,0)*1+IF(IW37&gt;15,IW37-15,0)*1+IF(IW37&gt;16,IW37-16,0)*1+IF(IW37&gt;17,IW37-17,0)*1+IF(IW37&gt;18,IW37-18,0)*1+IF(IW37&gt;19,IW37-19,0)*1+IF(IW37&gt;20,IW37-20,0)*1</f>
        <v>0</v>
      </c>
      <c r="JA37" s="243">
        <f t="shared" si="382"/>
        <v>76.007183908045945</v>
      </c>
      <c r="JB37" s="218">
        <f t="shared" si="383"/>
        <v>0</v>
      </c>
      <c r="JE37" s="148"/>
    </row>
    <row r="38" spans="2:265" hidden="1" outlineLevel="2">
      <c r="B38" s="148">
        <v>3</v>
      </c>
      <c r="C38" s="303" t="e">
        <f>VLOOKUP(AF38,Attribute!C:T,1,FALSE)</f>
        <v>#N/A</v>
      </c>
      <c r="D38" s="127" t="s">
        <v>90</v>
      </c>
      <c r="E38" s="125" t="s">
        <v>133</v>
      </c>
      <c r="F38" s="114"/>
      <c r="G38" s="113"/>
      <c r="H38" s="113"/>
      <c r="I38" s="113"/>
      <c r="J38" s="113">
        <f>Konvention_1master-FFmaster</f>
        <v>12</v>
      </c>
      <c r="K38" s="113">
        <f>Konvention_1master-GEmaster</f>
        <v>12</v>
      </c>
      <c r="L38" s="113">
        <f>Konvention_1master-KOmaster</f>
        <v>12</v>
      </c>
      <c r="M38" s="119"/>
      <c r="N38" s="222">
        <f>(F38+G38+H38+I38+J38+K38+L38+M38)/3</f>
        <v>12</v>
      </c>
      <c r="O38" s="223">
        <f t="shared" si="277"/>
        <v>24</v>
      </c>
      <c r="P38" s="224">
        <f t="shared" si="278"/>
        <v>36</v>
      </c>
      <c r="Q38" s="237">
        <f>F38*POWER(KLmaster,SIGN(G38))*POWER(INmaster,SIGN(H38))*POWER(CHmaster,SIGN(I38))*POWER(FFmaster,SIGN(J38))*POWER(GEmaster,SIGN(K38))*POWER(KOmaster,SIGN(L38))*POWER(KKmaster,SIGN(M38))+G38*POWER(MUmaster,SIGN(F38))*POWER(INmaster,SIGN(H38))*POWER(CHmaster,SIGN(I38))*POWER(FFmaster,SIGN(J38))*POWER(GEmaster,SIGN(K38))*POWER(KOmaster,SIGN(L38))*POWER(KKmaster,SIGN(M38))+H38*POWER(MUmaster,SIGN(F38))*POWER(KLmaster,SIGN(G38))*POWER(CHmaster,SIGN(I38))*POWER(FFmaster,SIGN(J38))*POWER(GEmaster,SIGN(K38))*POWER(KOmaster,SIGN(L38))*POWER(KKmaster,SIGN(M38))+I38*POWER(MUmaster,SIGN(F38))*POWER(KLmaster,SIGN(G38))*POWER(INmaster,SIGN(H38))*POWER(FFmaster,SIGN(J38))*POWER(GEmaster,SIGN(K38))*POWER(KOmaster,SIGN(L38))*POWER(KKmaster,SIGN(M38))+J38*POWER(MUmaster,SIGN(F38))*POWER(KLmaster,SIGN(G38))*POWER(INmaster,SIGN(H38))*POWER(CHmaster,SIGN(I38))*POWER(GEmaster,SIGN(K38))*POWER(KOmaster,SIGN(L38))*POWER(KKmaster,SIGN(M38))+K38*POWER(MUmaster,SIGN(F38))*POWER(KLmaster,SIGN(G38))*POWER(INmaster,SIGN(H38))*POWER(CHmaster,SIGN(I38))*POWER(FFmaster,SIGN(J38))*POWER(KOmaster,SIGN(L38))*POWER(KKmaster,SIGN(M38))+L38*POWER(MUmaster,SIGN(F38))*POWER(KLmaster,SIGN(G38))*POWER(INmaster,SIGN(H38))*POWER(CHmaster,SIGN(I38))*POWER(FFmaster,SIGN(J38))*POWER(GEmaster,SIGN(K38))*POWER(KKmaster,SIGN(M38))+M38*POWER(MUmaster,SIGN(F38))*POWER(KLmaster,SIGN(G38))*POWER(INmaster,SIGN(H38))*POWER(CHmaster,SIGN(I38))*POWER(FFmaster,SIGN(J38))*POWER(GEmaster,SIGN(K38))*POWER(KOmaster,SIGN(L38))</f>
        <v>2304</v>
      </c>
      <c r="R38" s="113">
        <f>J38*K38*KOmaster+J38*GEmaster*L38+FFmaster*K38*L38</f>
        <v>3456</v>
      </c>
      <c r="S38" s="224">
        <f t="shared" si="279"/>
        <v>1728</v>
      </c>
      <c r="T38" s="242">
        <f t="shared" si="280"/>
        <v>7488</v>
      </c>
      <c r="U38" s="222">
        <f t="shared" si="281"/>
        <v>3.6923076923076925</v>
      </c>
      <c r="V38" s="223">
        <f t="shared" si="282"/>
        <v>11.076923076923077</v>
      </c>
      <c r="W38" s="243">
        <f t="shared" si="283"/>
        <v>8.3076923076923084</v>
      </c>
      <c r="X38" s="218">
        <f t="shared" si="284"/>
        <v>23.07692307692308</v>
      </c>
      <c r="Y38" s="252">
        <v>0</v>
      </c>
      <c r="Z38" s="198">
        <f t="shared" si="285"/>
        <v>23.07692307692308</v>
      </c>
      <c r="AA38" s="125">
        <f>IF(X38&gt;0,X38,0)*1+IF(X38&gt;12,X38-12,0)*1+IF(X38&gt;13,X38-13,0)*1+IF(X38&gt;14,X38-14,0)*1+IF(X38&gt;15,X38-15,0)*1+IF(X38&gt;16,X38-16,0)*1+IF(X38&gt;17,X38-17,0)*1+IF(X38&gt;18,X38-18,0)*1+IF(X38&gt;19,X38-19,0)*1+IF(X38&gt;20,X38-20,0)*1</f>
        <v>86.769230769230802</v>
      </c>
      <c r="AB38" s="160">
        <f>IF(Y38&gt;0,Y38,0)*1+IF(Y38&gt;12,Y38-12,0)*1+IF(Y38&gt;13,Y38-13,0)*1+IF(Y38&gt;14,Y38-14,0)*1+IF(Y38&gt;15,Y38-15,0)*1+IF(Y38&gt;16,Y38-16,0)*1+IF(Y38&gt;17,Y38-17,0)*1+IF(Y38&gt;18,Y38-18,0)*1+IF(Y38&gt;19,Y38-19,0)*1+IF(Y38&gt;20,Y38-20,0)*1</f>
        <v>0</v>
      </c>
      <c r="AC38" s="127">
        <f t="shared" si="286"/>
        <v>86.769230769230802</v>
      </c>
      <c r="AD38" s="125">
        <f t="shared" si="287"/>
        <v>0</v>
      </c>
      <c r="AF38" s="163" t="s">
        <v>33</v>
      </c>
      <c r="AG38" s="127" t="s">
        <v>90</v>
      </c>
      <c r="AH38" s="125" t="s">
        <v>133</v>
      </c>
      <c r="AI38" s="114"/>
      <c r="AJ38" s="113"/>
      <c r="AK38" s="113"/>
      <c r="AL38" s="113"/>
      <c r="AM38" s="113">
        <f>Konvention_1slave-FFslave</f>
        <v>12</v>
      </c>
      <c r="AN38" s="113">
        <f>Konvention_1slave-GEslave</f>
        <v>12</v>
      </c>
      <c r="AO38" s="113">
        <f>Konvention_1slave-KOslave</f>
        <v>12</v>
      </c>
      <c r="AP38" s="119"/>
      <c r="AQ38" s="89">
        <f>(AI38+AJ38+AK38+AL38+AM38+AN38+AO38+AP38)/3</f>
        <v>12</v>
      </c>
      <c r="AR38" s="47">
        <f t="shared" si="288"/>
        <v>24</v>
      </c>
      <c r="AS38" s="119">
        <f t="shared" si="289"/>
        <v>36</v>
      </c>
      <c r="AT38" s="114">
        <f>AI38*POWER(KLslave,SIGN(AJ38))*POWER(INslave,SIGN(AK38))*POWER(CHslave,SIGN(AL38))*POWER(FFslave,SIGN(AM38))*POWER(GEslave,SIGN(AN38))*POWER(KOslave,SIGN(AO38))*POWER(KKslave,SIGN(AP38))+AJ38*POWER(MUslave_MU,SIGN(AI38))*POWER(INslave,SIGN(AK38))*POWER(CHslave,SIGN(AL38))*POWER(FFslave,SIGN(AM38))*POWER(GEslave,SIGN(AN38))*POWER(KOslave,SIGN(AO38))*POWER(KKslave,SIGN(AP38))+AK38*POWER(MUslave_MU,SIGN(AI38))*POWER(KLslave,SIGN(AJ38))*POWER(CHslave,SIGN(AL38))*POWER(FFslave,SIGN(AM38))*POWER(GEslave,SIGN(AN38))*POWER(KOslave,SIGN(AO38))*POWER(KKslave,SIGN(AP38))+AL38*POWER(MUslave_MU,SIGN(AI38))*POWER(KLslave,SIGN(AJ38))*POWER(INslave,SIGN(AK38))*POWER(FFslave,SIGN(AM38))*POWER(GEslave,SIGN(AN38))*POWER(KOslave,SIGN(AO38))*POWER(KKslave,SIGN(AP38))+AM38*POWER(MUslave_MU,SIGN(AI38))*POWER(KLslave,SIGN(AJ38))*POWER(INslave,SIGN(AK38))*POWER(CHslave,SIGN(AL38))*POWER(GEslave,SIGN(AN38))*POWER(KOslave,SIGN(AO38))*POWER(KKslave,SIGN(AP38))+AN38*POWER(MUslave_MU,SIGN(AI38))*POWER(KLslave,SIGN(AJ38))*POWER(INslave,SIGN(AK38))*POWER(CHslave,SIGN(AL38))*POWER(FFslave,SIGN(AM38))*POWER(KOslave,SIGN(AO38))*POWER(KKslave,SIGN(AP38))+AO38*POWER(MUslave_MU,SIGN(AI38))*POWER(KLslave,SIGN(AJ38))*POWER(INslave,SIGN(AK38))*POWER(CHslave,SIGN(AL38))*POWER(FFslave,SIGN(AM38))*POWER(GEslave,SIGN(AN38))*POWER(KKslave,SIGN(AP38))+AP38*POWER(MUslave_MU,SIGN(AI38))*POWER(KLslave,SIGN(AJ38))*POWER(INslave,SIGN(AK38))*POWER(CHslave,SIGN(AL38))*POWER(FFslave,SIGN(AM38))*POWER(GEslave,SIGN(AN38))*POWER(KOslave,SIGN(AO38))</f>
        <v>2304</v>
      </c>
      <c r="AU38" s="113">
        <f>AM38*AN38*KOslave+AM38*GEslave*AO38+FFslave*AN38*AO38</f>
        <v>3456</v>
      </c>
      <c r="AV38" s="119">
        <f t="shared" si="290"/>
        <v>1728</v>
      </c>
      <c r="AW38" s="160">
        <f t="shared" si="291"/>
        <v>7488</v>
      </c>
      <c r="AX38" s="89">
        <f t="shared" si="292"/>
        <v>3.6923076923076925</v>
      </c>
      <c r="AY38" s="47">
        <f t="shared" si="293"/>
        <v>11.076923076923077</v>
      </c>
      <c r="AZ38" s="127">
        <f t="shared" si="294"/>
        <v>8.3076923076923084</v>
      </c>
      <c r="BA38" s="125">
        <f t="shared" si="295"/>
        <v>23.07692307692308</v>
      </c>
      <c r="BB38" s="165">
        <f t="shared" si="296"/>
        <v>0</v>
      </c>
      <c r="BC38" s="198">
        <f t="shared" si="297"/>
        <v>23.07692307692308</v>
      </c>
      <c r="BD38" s="125">
        <f>IF(BA38&gt;0,BA38,0)*1+IF(BA38&gt;12,BA38-12,0)*1+IF(BA38&gt;13,BA38-13,0)*1+IF(BA38&gt;14,BA38-14,0)*1+IF(BA38&gt;15,BA38-15,0)*1+IF(BA38&gt;16,BA38-16,0)*1+IF(BA38&gt;17,BA38-17,0)*1+IF(BA38&gt;18,BA38-18,0)*1+IF(BA38&gt;19,BA38-19,0)*1+IF(BA38&gt;20,BA38-20,0)*1</f>
        <v>86.769230769230802</v>
      </c>
      <c r="BE38" s="160">
        <f>IF(BB38&gt;0,BB38,0)*1+IF(BB38&gt;12,BB38-12,0)*1+IF(BB38&gt;13,BB38-13,0)*1+IF(BB38&gt;14,BB38-14,0)*1+IF(BB38&gt;15,BB38-15,0)*1+IF(BB38&gt;16,BB38-16,0)*1+IF(BB38&gt;17,BB38-17,0)*1+IF(BB38&gt;18,BB38-18,0)*1+IF(BB38&gt;19,BB38-19,0)*1+IF(BB38&gt;20,BB38-20,0)*1</f>
        <v>0</v>
      </c>
      <c r="BF38" s="243">
        <f t="shared" si="298"/>
        <v>86.769230769230802</v>
      </c>
      <c r="BG38" s="218">
        <f t="shared" si="299"/>
        <v>0</v>
      </c>
      <c r="BI38" s="303" t="s">
        <v>33</v>
      </c>
      <c r="BJ38" s="243" t="s">
        <v>90</v>
      </c>
      <c r="BK38" s="218" t="s">
        <v>133</v>
      </c>
      <c r="BL38" s="237"/>
      <c r="BM38" s="234"/>
      <c r="BN38" s="234"/>
      <c r="BO38" s="234"/>
      <c r="BP38" s="234">
        <f>Konvention_1slave-FFslave</f>
        <v>12</v>
      </c>
      <c r="BQ38" s="234">
        <f>Konvention_1slave-GEslave</f>
        <v>12</v>
      </c>
      <c r="BR38" s="234">
        <f>Konvention_1slave-KOslave</f>
        <v>12</v>
      </c>
      <c r="BS38" s="224"/>
      <c r="BT38" s="222">
        <f>(BL38+BM38+BN38+BO38+BP38+BQ38+BR38+BS38)/3</f>
        <v>12</v>
      </c>
      <c r="BU38" s="223">
        <f t="shared" si="300"/>
        <v>24</v>
      </c>
      <c r="BV38" s="224">
        <f t="shared" si="301"/>
        <v>36</v>
      </c>
      <c r="BW38" s="237">
        <f>BL38*POWER(KLslave_KL,SIGN(BM38))*POWER(INslave,SIGN(BN38))*POWER(CHslave,SIGN(BO38))*POWER(FFslave,SIGN(BP38))*POWER(GEslave,SIGN(BQ38))*POWER(KOslave,SIGN(BR38))*POWER(KKslave,SIGN(BS38))+BM38*POWER(MUslave,SIGN(BL38))*POWER(INslave,SIGN(BN38))*POWER(CHslave,SIGN(BO38))*POWER(FFslave,SIGN(BP38))*POWER(GEslave,SIGN(BQ38))*POWER(KOslave,SIGN(BR38))*POWER(KKslave,SIGN(BS38))+BN38*POWER(MUslave,SIGN(BL38))*POWER(KLslave_KL,SIGN(BM38))*POWER(CHslave,SIGN(BO38))*POWER(FFslave,SIGN(BP38))*POWER(GEslave,SIGN(BQ38))*POWER(KOslave,SIGN(BR38))*POWER(KKslave,SIGN(BS38))+BO38*POWER(MUslave,SIGN(BL38))*POWER(KLslave_KL,SIGN(BM38))*POWER(INslave,SIGN(BN38))*POWER(FFslave,SIGN(BP38))*POWER(GEslave,SIGN(BQ38))*POWER(KOslave,SIGN(BR38))*POWER(KKslave,SIGN(BS38))+BP38*POWER(MUslave,SIGN(BL38))*POWER(KLslave_KL,SIGN(BM38))*POWER(INslave,SIGN(BN38))*POWER(CHslave,SIGN(BO38))*POWER(GEslave,SIGN(BQ38))*POWER(KOslave,SIGN(BR38))*POWER(KKslave,SIGN(BS38))+BQ38*POWER(MUslave,SIGN(BL38))*POWER(KLslave_KL,SIGN(BM38))*POWER(INslave,SIGN(BN38))*POWER(CHslave,SIGN(BO38))*POWER(FFslave,SIGN(BP38))*POWER(KOslave,SIGN(BR38))*POWER(KKslave,SIGN(BS38))+BR38*POWER(MUslave,SIGN(BL38))*POWER(KLslave_KL,SIGN(BM38))*POWER(INslave,SIGN(BN38))*POWER(CHslave,SIGN(BO38))*POWER(FFslave,SIGN(BP38))*POWER(GEslave,SIGN(BQ38))*POWER(KKslave,SIGN(BS38))+BS38*POWER(MUslave,SIGN(BL38))*POWER(KLslave_KL,SIGN(BM38))*POWER(INslave,SIGN(BN38))*POWER(CHslave,SIGN(BO38))*POWER(FFslave,SIGN(BP38))*POWER(GEslave,SIGN(BQ38))*POWER(KOslave,SIGN(BR38))</f>
        <v>2304</v>
      </c>
      <c r="BX38" s="234">
        <f>BP38*BQ38*KOslave+BP38*GEslave*BR38+FFslave*BQ38*BR38</f>
        <v>3456</v>
      </c>
      <c r="BY38" s="224">
        <f t="shared" si="302"/>
        <v>1728</v>
      </c>
      <c r="BZ38" s="242">
        <f t="shared" si="303"/>
        <v>7488</v>
      </c>
      <c r="CA38" s="222">
        <f t="shared" si="304"/>
        <v>3.6923076923076925</v>
      </c>
      <c r="CB38" s="223">
        <f t="shared" si="305"/>
        <v>11.076923076923077</v>
      </c>
      <c r="CC38" s="243">
        <f t="shared" si="306"/>
        <v>8.3076923076923084</v>
      </c>
      <c r="CD38" s="218">
        <f t="shared" si="307"/>
        <v>23.07692307692308</v>
      </c>
      <c r="CE38" s="252">
        <f t="shared" si="308"/>
        <v>0</v>
      </c>
      <c r="CF38" s="309">
        <f t="shared" si="309"/>
        <v>23.07692307692308</v>
      </c>
      <c r="CG38" s="218">
        <f>IF(CD38&gt;0,CD38,0)*1+IF(CD38&gt;12,CD38-12,0)*1+IF(CD38&gt;13,CD38-13,0)*1+IF(CD38&gt;14,CD38-14,0)*1+IF(CD38&gt;15,CD38-15,0)*1+IF(CD38&gt;16,CD38-16,0)*1+IF(CD38&gt;17,CD38-17,0)*1+IF(CD38&gt;18,CD38-18,0)*1+IF(CD38&gt;19,CD38-19,0)*1+IF(CD38&gt;20,CD38-20,0)*1</f>
        <v>86.769230769230802</v>
      </c>
      <c r="CH38" s="242">
        <f>IF(CE38&gt;0,CE38,0)*1+IF(CE38&gt;12,CE38-12,0)*1+IF(CE38&gt;13,CE38-13,0)*1+IF(CE38&gt;14,CE38-14,0)*1+IF(CE38&gt;15,CE38-15,0)*1+IF(CE38&gt;16,CE38-16,0)*1+IF(CE38&gt;17,CE38-17,0)*1+IF(CE38&gt;18,CE38-18,0)*1+IF(CE38&gt;19,CE38-19,0)*1+IF(CE38&gt;20,CE38-20,0)*1</f>
        <v>0</v>
      </c>
      <c r="CI38" s="243">
        <f t="shared" si="310"/>
        <v>86.769230769230802</v>
      </c>
      <c r="CJ38" s="218">
        <f t="shared" si="311"/>
        <v>0</v>
      </c>
      <c r="CL38" s="303" t="s">
        <v>33</v>
      </c>
      <c r="CM38" s="243" t="s">
        <v>90</v>
      </c>
      <c r="CN38" s="218" t="s">
        <v>133</v>
      </c>
      <c r="CO38" s="237"/>
      <c r="CP38" s="234"/>
      <c r="CQ38" s="234"/>
      <c r="CR38" s="234"/>
      <c r="CS38" s="234">
        <f>Konvention_1slave-FFslave</f>
        <v>12</v>
      </c>
      <c r="CT38" s="234">
        <f>Konvention_1slave-GEslave</f>
        <v>12</v>
      </c>
      <c r="CU38" s="234">
        <f>Konvention_1slave-KOslave</f>
        <v>12</v>
      </c>
      <c r="CV38" s="224"/>
      <c r="CW38" s="222">
        <f>(CO38+CP38+CQ38+CR38+CS38+CT38+CU38+CV38)/3</f>
        <v>12</v>
      </c>
      <c r="CX38" s="223">
        <f t="shared" si="312"/>
        <v>24</v>
      </c>
      <c r="CY38" s="224">
        <f t="shared" si="313"/>
        <v>36</v>
      </c>
      <c r="CZ38" s="237">
        <f>CO38*POWER(KLslave,SIGN(CP38))*POWER(INslave_IN,SIGN(CQ38))*POWER(CHslave,SIGN(CR38))*POWER(FFslave,SIGN(CS38))*POWER(GEslave,SIGN(CT38))*POWER(KOslave,SIGN(CU38))*POWER(KKslave,SIGN(CV38))+CP38*POWER(MUslave,SIGN(CO38))*POWER(INslave_IN,SIGN(CQ38))*POWER(CHslave,SIGN(CR38))*POWER(FFslave,SIGN(CS38))*POWER(GEslave,SIGN(CT38))*POWER(KOslave,SIGN(CU38))*POWER(KKslave,SIGN(CV38))+CQ38*POWER(MUslave,SIGN(CO38))*POWER(KLslave,SIGN(CP38))*POWER(CHslave,SIGN(CR38))*POWER(FFslave,SIGN(CS38))*POWER(GEslave,SIGN(CT38))*POWER(KOslave,SIGN(CU38))*POWER(KKslave,SIGN(CV38))+CR38*POWER(MUslave,SIGN(CO38))*POWER(KLslave,SIGN(CP38))*POWER(INslave_IN,SIGN(CQ38))*POWER(FFslave,SIGN(CS38))*POWER(GEslave,SIGN(CT38))*POWER(KOslave,SIGN(CU38))*POWER(KKslave,SIGN(CV38))+CS38*POWER(MUslave,SIGN(CO38))*POWER(KLslave,SIGN(CP38))*POWER(INslave_IN,SIGN(CQ38))*POWER(CHslave,SIGN(CR38))*POWER(GEslave,SIGN(CT38))*POWER(KOslave,SIGN(CU38))*POWER(KKslave,SIGN(CV38))+CT38*POWER(MUslave,SIGN(CO38))*POWER(KLslave,SIGN(CP38))*POWER(INslave_IN,SIGN(CQ38))*POWER(CHslave,SIGN(CR38))*POWER(FFslave,SIGN(CS38))*POWER(KOslave,SIGN(CU38))*POWER(KKslave,SIGN(CV38))+CU38*POWER(MUslave,SIGN(CO38))*POWER(KLslave,SIGN(CP38))*POWER(INslave_IN,SIGN(CQ38))*POWER(CHslave,SIGN(CR38))*POWER(FFslave,SIGN(CS38))*POWER(GEslave,SIGN(CT38))*POWER(KKslave,SIGN(CV38))+CV38*POWER(MUslave,SIGN(CO38))*POWER(KLslave,SIGN(CP38))*POWER(INslave_IN,SIGN(CQ38))*POWER(CHslave,SIGN(CR38))*POWER(FFslave,SIGN(CS38))*POWER(GEslave,SIGN(CT38))*POWER(KOslave,SIGN(CU38))</f>
        <v>2304</v>
      </c>
      <c r="DA38" s="234">
        <f>CS38*CT38*KOslave+CS38*GEslave*CU38+FFslave*CT38*CU38</f>
        <v>3456</v>
      </c>
      <c r="DB38" s="224">
        <f t="shared" si="314"/>
        <v>1728</v>
      </c>
      <c r="DC38" s="242">
        <f t="shared" si="315"/>
        <v>7488</v>
      </c>
      <c r="DD38" s="222">
        <f t="shared" si="316"/>
        <v>3.6923076923076925</v>
      </c>
      <c r="DE38" s="223">
        <f t="shared" si="317"/>
        <v>11.076923076923077</v>
      </c>
      <c r="DF38" s="243">
        <f t="shared" si="318"/>
        <v>8.3076923076923084</v>
      </c>
      <c r="DG38" s="218">
        <f t="shared" si="319"/>
        <v>23.07692307692308</v>
      </c>
      <c r="DH38" s="252">
        <f t="shared" si="320"/>
        <v>0</v>
      </c>
      <c r="DI38" s="309">
        <f t="shared" si="321"/>
        <v>23.07692307692308</v>
      </c>
      <c r="DJ38" s="218">
        <f>IF(DG38&gt;0,DG38,0)*1+IF(DG38&gt;12,DG38-12,0)*1+IF(DG38&gt;13,DG38-13,0)*1+IF(DG38&gt;14,DG38-14,0)*1+IF(DG38&gt;15,DG38-15,0)*1+IF(DG38&gt;16,DG38-16,0)*1+IF(DG38&gt;17,DG38-17,0)*1+IF(DG38&gt;18,DG38-18,0)*1+IF(DG38&gt;19,DG38-19,0)*1+IF(DG38&gt;20,DG38-20,0)*1</f>
        <v>86.769230769230802</v>
      </c>
      <c r="DK38" s="242">
        <f>IF(DH38&gt;0,DH38,0)*1+IF(DH38&gt;12,DH38-12,0)*1+IF(DH38&gt;13,DH38-13,0)*1+IF(DH38&gt;14,DH38-14,0)*1+IF(DH38&gt;15,DH38-15,0)*1+IF(DH38&gt;16,DH38-16,0)*1+IF(DH38&gt;17,DH38-17,0)*1+IF(DH38&gt;18,DH38-18,0)*1+IF(DH38&gt;19,DH38-19,0)*1+IF(DH38&gt;20,DH38-20,0)*1</f>
        <v>0</v>
      </c>
      <c r="DL38" s="243">
        <f t="shared" si="322"/>
        <v>86.769230769230802</v>
      </c>
      <c r="DM38" s="218">
        <f t="shared" si="323"/>
        <v>0</v>
      </c>
      <c r="DO38" s="303" t="s">
        <v>33</v>
      </c>
      <c r="DP38" s="243" t="s">
        <v>90</v>
      </c>
      <c r="DQ38" s="218" t="s">
        <v>133</v>
      </c>
      <c r="DR38" s="237"/>
      <c r="DS38" s="234"/>
      <c r="DT38" s="234"/>
      <c r="DU38" s="234"/>
      <c r="DV38" s="234">
        <f>Konvention_1slave-FFslave</f>
        <v>12</v>
      </c>
      <c r="DW38" s="234">
        <f>Konvention_1slave-GEslave</f>
        <v>12</v>
      </c>
      <c r="DX38" s="234">
        <f>Konvention_1slave-KOslave</f>
        <v>12</v>
      </c>
      <c r="DY38" s="224"/>
      <c r="DZ38" s="222">
        <f>(DR38+DS38+DT38+DU38+DV38+DW38+DX38+DY38)/3</f>
        <v>12</v>
      </c>
      <c r="EA38" s="223">
        <f t="shared" si="324"/>
        <v>24</v>
      </c>
      <c r="EB38" s="224">
        <f t="shared" si="325"/>
        <v>36</v>
      </c>
      <c r="EC38" s="237">
        <f>DR38*POWER(KLslave,SIGN(DS38))*POWER(INslave,SIGN(DT38))*POWER(CHslave_CH,SIGN(DU38))*POWER(FFslave,SIGN(DV38))*POWER(GEslave,SIGN(DW38))*POWER(KOslave,SIGN(DX38))*POWER(KKslave,SIGN(DY38))+DS38*POWER(MUslave,SIGN(DR38))*POWER(INslave,SIGN(DT38))*POWER(CHslave_CH,SIGN(DU38))*POWER(FFslave,SIGN(DV38))*POWER(GEslave,SIGN(DW38))*POWER(KOslave,SIGN(DX38))*POWER(KKslave,SIGN(DY38))+DT38*POWER(MUslave,SIGN(DR38))*POWER(KLslave,SIGN(DS38))*POWER(CHslave_CH,SIGN(DU38))*POWER(FFslave,SIGN(DV38))*POWER(GEslave,SIGN(DW38))*POWER(KOslave,SIGN(DX38))*POWER(KKslave,SIGN(DY38))+DU38*POWER(MUslave,SIGN(DR38))*POWER(KLslave,SIGN(DS38))*POWER(INslave,SIGN(DT38))*POWER(FFslave,SIGN(DV38))*POWER(GEslave,SIGN(DW38))*POWER(KOslave,SIGN(DX38))*POWER(KKslave,SIGN(DY38))+DV38*POWER(MUslave,SIGN(DR38))*POWER(KLslave,SIGN(DS38))*POWER(INslave,SIGN(DT38))*POWER(CHslave_CH,SIGN(DU38))*POWER(GEslave,SIGN(DW38))*POWER(KOslave,SIGN(DX38))*POWER(KKslave,SIGN(DY38))+DW38*POWER(MUslave,SIGN(DR38))*POWER(KLslave,SIGN(DS38))*POWER(INslave,SIGN(DT38))*POWER(CHslave_CH,SIGN(DU38))*POWER(FFslave,SIGN(DV38))*POWER(KOslave,SIGN(DX38))*POWER(KKslave,SIGN(DY38))+DX38*POWER(MUslave,SIGN(DR38))*POWER(KLslave,SIGN(DS38))*POWER(INslave,SIGN(DT38))*POWER(CHslave_CH,SIGN(DU38))*POWER(FFslave,SIGN(DV38))*POWER(GEslave,SIGN(DW38))*POWER(KKslave,SIGN(DY38))+DY38*POWER(MUslave,SIGN(DR38))*POWER(KLslave,SIGN(DS38))*POWER(INslave,SIGN(DT38))*POWER(CHslave_CH,SIGN(DU38))*POWER(FFslave,SIGN(DV38))*POWER(GEslave,SIGN(DW38))*POWER(KOslave,SIGN(DX38))</f>
        <v>2304</v>
      </c>
      <c r="ED38" s="234">
        <f>DV38*DW38*KOslave+DV38*GEslave*DX38+FFslave*DW38*DX38</f>
        <v>3456</v>
      </c>
      <c r="EE38" s="224">
        <f t="shared" si="326"/>
        <v>1728</v>
      </c>
      <c r="EF38" s="242">
        <f t="shared" si="327"/>
        <v>7488</v>
      </c>
      <c r="EG38" s="222">
        <f t="shared" si="328"/>
        <v>3.6923076923076925</v>
      </c>
      <c r="EH38" s="223">
        <f t="shared" si="329"/>
        <v>11.076923076923077</v>
      </c>
      <c r="EI38" s="243">
        <f t="shared" si="330"/>
        <v>8.3076923076923084</v>
      </c>
      <c r="EJ38" s="218">
        <f t="shared" si="331"/>
        <v>23.07692307692308</v>
      </c>
      <c r="EK38" s="252">
        <f t="shared" si="332"/>
        <v>0</v>
      </c>
      <c r="EL38" s="309">
        <f t="shared" si="333"/>
        <v>23.07692307692308</v>
      </c>
      <c r="EM38" s="218">
        <f>IF(EJ38&gt;0,EJ38,0)*1+IF(EJ38&gt;12,EJ38-12,0)*1+IF(EJ38&gt;13,EJ38-13,0)*1+IF(EJ38&gt;14,EJ38-14,0)*1+IF(EJ38&gt;15,EJ38-15,0)*1+IF(EJ38&gt;16,EJ38-16,0)*1+IF(EJ38&gt;17,EJ38-17,0)*1+IF(EJ38&gt;18,EJ38-18,0)*1+IF(EJ38&gt;19,EJ38-19,0)*1+IF(EJ38&gt;20,EJ38-20,0)*1</f>
        <v>86.769230769230802</v>
      </c>
      <c r="EN38" s="242">
        <f>IF(EK38&gt;0,EK38,0)*1+IF(EK38&gt;12,EK38-12,0)*1+IF(EK38&gt;13,EK38-13,0)*1+IF(EK38&gt;14,EK38-14,0)*1+IF(EK38&gt;15,EK38-15,0)*1+IF(EK38&gt;16,EK38-16,0)*1+IF(EK38&gt;17,EK38-17,0)*1+IF(EK38&gt;18,EK38-18,0)*1+IF(EK38&gt;19,EK38-19,0)*1+IF(EK38&gt;20,EK38-20,0)*1</f>
        <v>0</v>
      </c>
      <c r="EO38" s="243">
        <f t="shared" si="334"/>
        <v>86.769230769230802</v>
      </c>
      <c r="EP38" s="218">
        <f t="shared" si="335"/>
        <v>0</v>
      </c>
      <c r="ER38" s="303" t="s">
        <v>33</v>
      </c>
      <c r="ES38" s="243" t="s">
        <v>90</v>
      </c>
      <c r="ET38" s="218" t="s">
        <v>133</v>
      </c>
      <c r="EU38" s="237"/>
      <c r="EV38" s="234"/>
      <c r="EW38" s="234"/>
      <c r="EX38" s="234"/>
      <c r="EY38" s="234">
        <f>Konvention_1slave-FFslave_FF</f>
        <v>11</v>
      </c>
      <c r="EZ38" s="234">
        <f>Konvention_1slave-GEslave</f>
        <v>12</v>
      </c>
      <c r="FA38" s="234">
        <f>Konvention_1slave-KOslave</f>
        <v>12</v>
      </c>
      <c r="FB38" s="224"/>
      <c r="FC38" s="222">
        <f>(EU38+EV38+EW38+EX38+EY38+EZ38+FA38+FB38)/3</f>
        <v>11.666666666666666</v>
      </c>
      <c r="FD38" s="223">
        <f t="shared" si="336"/>
        <v>23.333333333333332</v>
      </c>
      <c r="FE38" s="224">
        <f t="shared" si="337"/>
        <v>35</v>
      </c>
      <c r="FF38" s="237">
        <f>EU38*POWER(KLslave,SIGN(EV38))*POWER(INslave,SIGN(EW38))*POWER(CHslave,SIGN(EX38))*POWER(FFslave_FF,SIGN(EY38))*POWER(GEslave,SIGN(EZ38))*POWER(KOslave,SIGN(FA38))*POWER(KKslave,SIGN(FB38))+EV38*POWER(MUslave,SIGN(EU38))*POWER(INslave,SIGN(EW38))*POWER(CHslave,SIGN(EX38))*POWER(FFslave_FF,SIGN(EY38))*POWER(GEslave,SIGN(EZ38))*POWER(KOslave,SIGN(FA38))*POWER(KKslave,SIGN(FB38))+EW38*POWER(MUslave,SIGN(EU38))*POWER(KLslave,SIGN(EV38))*POWER(CHslave,SIGN(EX38))*POWER(FFslave_FF,SIGN(EY38))*POWER(GEslave,SIGN(EZ38))*POWER(KOslave,SIGN(FA38))*POWER(KKslave,SIGN(FB38))+EX38*POWER(MUslave,SIGN(EU38))*POWER(KLslave,SIGN(EV38))*POWER(INslave,SIGN(EW38))*POWER(FFslave_FF,SIGN(EY38))*POWER(GEslave,SIGN(EZ38))*POWER(KOslave,SIGN(FA38))*POWER(KKslave,SIGN(FB38))+EY38*POWER(MUslave,SIGN(EU38))*POWER(KLslave,SIGN(EV38))*POWER(INslave,SIGN(EW38))*POWER(CHslave,SIGN(EX38))*POWER(GEslave,SIGN(EZ38))*POWER(KOslave,SIGN(FA38))*POWER(KKslave,SIGN(FB38))+EZ38*POWER(MUslave,SIGN(EU38))*POWER(KLslave,SIGN(EV38))*POWER(INslave,SIGN(EW38))*POWER(CHslave,SIGN(EX38))*POWER(FFslave_FF,SIGN(EY38))*POWER(KOslave,SIGN(FA38))*POWER(KKslave,SIGN(FB38))+FA38*POWER(MUslave,SIGN(EU38))*POWER(KLslave,SIGN(EV38))*POWER(INslave,SIGN(EW38))*POWER(CHslave,SIGN(EX38))*POWER(FFslave_FF,SIGN(EY38))*POWER(GEslave,SIGN(EZ38))*POWER(KKslave,SIGN(FB38))+FB38*POWER(MUslave,SIGN(EU38))*POWER(KLslave,SIGN(EV38))*POWER(INslave,SIGN(EW38))*POWER(CHslave,SIGN(EX38))*POWER(FFslave_FF,SIGN(EY38))*POWER(GEslave,SIGN(EZ38))*POWER(KOslave,SIGN(FA38))</f>
        <v>2432</v>
      </c>
      <c r="FG38" s="234">
        <f>EY38*EZ38*KOslave+EY38*GEslave*FA38+FFslave_FF*EZ38*FA38</f>
        <v>3408</v>
      </c>
      <c r="FH38" s="224">
        <f t="shared" si="338"/>
        <v>1584</v>
      </c>
      <c r="FI38" s="242">
        <f t="shared" si="339"/>
        <v>7424</v>
      </c>
      <c r="FJ38" s="222">
        <f t="shared" si="340"/>
        <v>3.8218390804597702</v>
      </c>
      <c r="FK38" s="223">
        <f t="shared" si="341"/>
        <v>10.711206896551724</v>
      </c>
      <c r="FL38" s="243">
        <f t="shared" si="342"/>
        <v>7.4676724137931032</v>
      </c>
      <c r="FM38" s="218">
        <f t="shared" si="343"/>
        <v>22.000718390804597</v>
      </c>
      <c r="FN38" s="252">
        <f t="shared" si="344"/>
        <v>0</v>
      </c>
      <c r="FO38" s="309">
        <f t="shared" si="345"/>
        <v>22.000718390804597</v>
      </c>
      <c r="FP38" s="218">
        <f>IF(FM38&gt;0,FM38,0)*1+IF(FM38&gt;12,FM38-12,0)*1+IF(FM38&gt;13,FM38-13,0)*1+IF(FM38&gt;14,FM38-14,0)*1+IF(FM38&gt;15,FM38-15,0)*1+IF(FM38&gt;16,FM38-16,0)*1+IF(FM38&gt;17,FM38-17,0)*1+IF(FM38&gt;18,FM38-18,0)*1+IF(FM38&gt;19,FM38-19,0)*1+IF(FM38&gt;20,FM38-20,0)*1</f>
        <v>76.007183908045945</v>
      </c>
      <c r="FQ38" s="242">
        <f>IF(FN38&gt;0,FN38,0)*1+IF(FN38&gt;12,FN38-12,0)*1+IF(FN38&gt;13,FN38-13,0)*1+IF(FN38&gt;14,FN38-14,0)*1+IF(FN38&gt;15,FN38-15,0)*1+IF(FN38&gt;16,FN38-16,0)*1+IF(FN38&gt;17,FN38-17,0)*1+IF(FN38&gt;18,FN38-18,0)*1+IF(FN38&gt;19,FN38-19,0)*1+IF(FN38&gt;20,FN38-20,0)*1</f>
        <v>0</v>
      </c>
      <c r="FR38" s="243">
        <f t="shared" si="346"/>
        <v>76.007183908045945</v>
      </c>
      <c r="FS38" s="218">
        <f t="shared" si="347"/>
        <v>0</v>
      </c>
      <c r="FU38" s="303" t="s">
        <v>33</v>
      </c>
      <c r="FV38" s="243" t="s">
        <v>90</v>
      </c>
      <c r="FW38" s="218" t="s">
        <v>133</v>
      </c>
      <c r="FX38" s="237"/>
      <c r="FY38" s="234"/>
      <c r="FZ38" s="234"/>
      <c r="GA38" s="234"/>
      <c r="GB38" s="234">
        <f>Konvention_1slave-FFslave</f>
        <v>12</v>
      </c>
      <c r="GC38" s="234">
        <f>Konvention_1slave-GEslave_GE</f>
        <v>11</v>
      </c>
      <c r="GD38" s="234">
        <f>Konvention_1slave-KOslave</f>
        <v>12</v>
      </c>
      <c r="GE38" s="224"/>
      <c r="GF38" s="222">
        <f>(FX38+FY38+FZ38+GA38+GB38+GC38+GD38+GE38)/3</f>
        <v>11.666666666666666</v>
      </c>
      <c r="GG38" s="223">
        <f t="shared" si="348"/>
        <v>23.333333333333332</v>
      </c>
      <c r="GH38" s="224">
        <f t="shared" si="349"/>
        <v>35</v>
      </c>
      <c r="GI38" s="237">
        <f>FX38*POWER(KLslave,SIGN(FY38))*POWER(INslave,SIGN(FZ38))*POWER(CHslave,SIGN(GA38))*POWER(FFslave,SIGN(GB38))*POWER(GEslave_GE,SIGN(GC38))*POWER(KOslave,SIGN(GD38))*POWER(KKslave,SIGN(GE38))+FY38*POWER(MUslave,SIGN(FX38))*POWER(INslave,SIGN(FZ38))*POWER(CHslave,SIGN(GA38))*POWER(FFslave,SIGN(GB38))*POWER(GEslave_GE,SIGN(GC38))*POWER(KOslave,SIGN(GD38))*POWER(KKslave,SIGN(GE38))+FZ38*POWER(MUslave,SIGN(FX38))*POWER(KLslave,SIGN(FY38))*POWER(CHslave,SIGN(GA38))*POWER(FFslave,SIGN(GB38))*POWER(GEslave_GE,SIGN(GC38))*POWER(KOslave,SIGN(GD38))*POWER(KKslave,SIGN(GE38))+GA38*POWER(MUslave,SIGN(FX38))*POWER(KLslave,SIGN(FY38))*POWER(INslave,SIGN(FZ38))*POWER(FFslave,SIGN(GB38))*POWER(GEslave_GE,SIGN(GC38))*POWER(KOslave,SIGN(GD38))*POWER(KKslave,SIGN(GE38))+GB38*POWER(MUslave,SIGN(FX38))*POWER(KLslave,SIGN(FY38))*POWER(INslave,SIGN(FZ38))*POWER(CHslave,SIGN(GA38))*POWER(GEslave_GE,SIGN(GC38))*POWER(KOslave,SIGN(GD38))*POWER(KKslave,SIGN(GE38))+GC38*POWER(MUslave,SIGN(FX38))*POWER(KLslave,SIGN(FY38))*POWER(INslave,SIGN(FZ38))*POWER(CHslave,SIGN(GA38))*POWER(FFslave,SIGN(GB38))*POWER(KOslave,SIGN(GD38))*POWER(KKslave,SIGN(GE38))+GD38*POWER(MUslave,SIGN(FX38))*POWER(KLslave,SIGN(FY38))*POWER(INslave,SIGN(FZ38))*POWER(CHslave,SIGN(GA38))*POWER(FFslave,SIGN(GB38))*POWER(GEslave_GE,SIGN(GC38))*POWER(KKslave,SIGN(GE38))+GE38*POWER(MUslave,SIGN(FX38))*POWER(KLslave,SIGN(FY38))*POWER(INslave,SIGN(FZ38))*POWER(CHslave,SIGN(GA38))*POWER(FFslave,SIGN(GB38))*POWER(GEslave_GE,SIGN(GC38))*POWER(KOslave,SIGN(GD38))</f>
        <v>2432</v>
      </c>
      <c r="GJ38" s="234">
        <f>GB38*GC38*KOslave+GB38*GEslave_GE*GD38+FFslave*GC38*GD38</f>
        <v>3408</v>
      </c>
      <c r="GK38" s="224">
        <f t="shared" si="350"/>
        <v>1584</v>
      </c>
      <c r="GL38" s="242">
        <f t="shared" si="351"/>
        <v>7424</v>
      </c>
      <c r="GM38" s="222">
        <f t="shared" si="352"/>
        <v>3.8218390804597702</v>
      </c>
      <c r="GN38" s="223">
        <f t="shared" si="353"/>
        <v>10.711206896551724</v>
      </c>
      <c r="GO38" s="243">
        <f t="shared" si="354"/>
        <v>7.4676724137931032</v>
      </c>
      <c r="GP38" s="218">
        <f t="shared" si="355"/>
        <v>22.000718390804597</v>
      </c>
      <c r="GQ38" s="252">
        <f t="shared" si="356"/>
        <v>0</v>
      </c>
      <c r="GR38" s="309">
        <f t="shared" si="357"/>
        <v>22.000718390804597</v>
      </c>
      <c r="GS38" s="218">
        <f>IF(GP38&gt;0,GP38,0)*1+IF(GP38&gt;12,GP38-12,0)*1+IF(GP38&gt;13,GP38-13,0)*1+IF(GP38&gt;14,GP38-14,0)*1+IF(GP38&gt;15,GP38-15,0)*1+IF(GP38&gt;16,GP38-16,0)*1+IF(GP38&gt;17,GP38-17,0)*1+IF(GP38&gt;18,GP38-18,0)*1+IF(GP38&gt;19,GP38-19,0)*1+IF(GP38&gt;20,GP38-20,0)*1</f>
        <v>76.007183908045945</v>
      </c>
      <c r="GT38" s="242">
        <f>IF(GQ38&gt;0,GQ38,0)*1+IF(GQ38&gt;12,GQ38-12,0)*1+IF(GQ38&gt;13,GQ38-13,0)*1+IF(GQ38&gt;14,GQ38-14,0)*1+IF(GQ38&gt;15,GQ38-15,0)*1+IF(GQ38&gt;16,GQ38-16,0)*1+IF(GQ38&gt;17,GQ38-17,0)*1+IF(GQ38&gt;18,GQ38-18,0)*1+IF(GQ38&gt;19,GQ38-19,0)*1+IF(GQ38&gt;20,GQ38-20,0)*1</f>
        <v>0</v>
      </c>
      <c r="GU38" s="243">
        <f t="shared" si="358"/>
        <v>76.007183908045945</v>
      </c>
      <c r="GV38" s="218">
        <f t="shared" si="359"/>
        <v>0</v>
      </c>
      <c r="GX38" s="303" t="s">
        <v>33</v>
      </c>
      <c r="GY38" s="243" t="s">
        <v>90</v>
      </c>
      <c r="GZ38" s="218" t="s">
        <v>133</v>
      </c>
      <c r="HA38" s="237"/>
      <c r="HB38" s="234"/>
      <c r="HC38" s="234"/>
      <c r="HD38" s="234"/>
      <c r="HE38" s="234">
        <f>Konvention_1slave-FFslave</f>
        <v>12</v>
      </c>
      <c r="HF38" s="234">
        <f>Konvention_1slave-GEslave</f>
        <v>12</v>
      </c>
      <c r="HG38" s="234">
        <f>Konvention_1slave-KOslave_KO</f>
        <v>11</v>
      </c>
      <c r="HH38" s="224"/>
      <c r="HI38" s="222">
        <f>(HA38+HB38+HC38+HD38+HE38+HF38+HG38+HH38)/3</f>
        <v>11.666666666666666</v>
      </c>
      <c r="HJ38" s="223">
        <f t="shared" si="360"/>
        <v>23.333333333333332</v>
      </c>
      <c r="HK38" s="224">
        <f t="shared" si="361"/>
        <v>35</v>
      </c>
      <c r="HL38" s="237">
        <f>HA38*POWER(KLslave,SIGN(HB38))*POWER(INslave,SIGN(HC38))*POWER(CHslave,SIGN(HD38))*POWER(FFslave,SIGN(HE38))*POWER(GEslave,SIGN(HF38))*POWER(KOslave_KO,SIGN(HG38))*POWER(KKslave,SIGN(HH38))+HB38*POWER(MUslave,SIGN(HA38))*POWER(INslave,SIGN(HC38))*POWER(CHslave,SIGN(HD38))*POWER(FFslave,SIGN(HE38))*POWER(GEslave,SIGN(HF38))*POWER(KOslave_KO,SIGN(HG38))*POWER(KKslave,SIGN(HH38))+HC38*POWER(MUslave,SIGN(HA38))*POWER(KLslave,SIGN(HB38))*POWER(CHslave,SIGN(HD38))*POWER(FFslave,SIGN(HE38))*POWER(GEslave,SIGN(HF38))*POWER(KOslave_KO,SIGN(HG38))*POWER(KKslave,SIGN(HH38))+HD38*POWER(MUslave,SIGN(HA38))*POWER(KLslave,SIGN(HB38))*POWER(INslave,SIGN(HC38))*POWER(FFslave,SIGN(HE38))*POWER(GEslave,SIGN(HF38))*POWER(KOslave_KO,SIGN(HG38))*POWER(KKslave,SIGN(HH38))+HE38*POWER(MUslave,SIGN(HA38))*POWER(KLslave,SIGN(HB38))*POWER(INslave,SIGN(HC38))*POWER(CHslave,SIGN(HD38))*POWER(GEslave,SIGN(HF38))*POWER(KOslave_KO,SIGN(HG38))*POWER(KKslave,SIGN(HH38))+HF38*POWER(MUslave,SIGN(HA38))*POWER(KLslave,SIGN(HB38))*POWER(INslave,SIGN(HC38))*POWER(CHslave,SIGN(HD38))*POWER(FFslave,SIGN(HE38))*POWER(KOslave_KO,SIGN(HG38))*POWER(KKslave,SIGN(HH38))+HG38*POWER(MUslave,SIGN(HA38))*POWER(KLslave,SIGN(HB38))*POWER(INslave,SIGN(HC38))*POWER(CHslave,SIGN(HD38))*POWER(FFslave,SIGN(HE38))*POWER(GEslave,SIGN(HF38))*POWER(KKslave,SIGN(HH38))+HH38*POWER(MUslave,SIGN(HA38))*POWER(KLslave,SIGN(HB38))*POWER(INslave,SIGN(HC38))*POWER(CHslave,SIGN(HD38))*POWER(FFslave,SIGN(HE38))*POWER(GEslave,SIGN(HF38))*POWER(KOslave_KO,SIGN(HG38))</f>
        <v>2432</v>
      </c>
      <c r="HM38" s="234">
        <f>HE38*HF38*KOslave_KO+HE38*GEslave*HG38+FFslave*HF38*HG38</f>
        <v>3408</v>
      </c>
      <c r="HN38" s="224">
        <f t="shared" si="362"/>
        <v>1584</v>
      </c>
      <c r="HO38" s="242">
        <f t="shared" si="363"/>
        <v>7424</v>
      </c>
      <c r="HP38" s="222">
        <f t="shared" si="364"/>
        <v>3.8218390804597702</v>
      </c>
      <c r="HQ38" s="223">
        <f t="shared" si="365"/>
        <v>10.711206896551724</v>
      </c>
      <c r="HR38" s="243">
        <f t="shared" si="366"/>
        <v>7.4676724137931032</v>
      </c>
      <c r="HS38" s="218">
        <f t="shared" si="367"/>
        <v>22.000718390804597</v>
      </c>
      <c r="HT38" s="252">
        <f t="shared" si="368"/>
        <v>0</v>
      </c>
      <c r="HU38" s="309">
        <f t="shared" si="369"/>
        <v>22.000718390804597</v>
      </c>
      <c r="HV38" s="218">
        <f>IF(HS38&gt;0,HS38,0)*1+IF(HS38&gt;12,HS38-12,0)*1+IF(HS38&gt;13,HS38-13,0)*1+IF(HS38&gt;14,HS38-14,0)*1+IF(HS38&gt;15,HS38-15,0)*1+IF(HS38&gt;16,HS38-16,0)*1+IF(HS38&gt;17,HS38-17,0)*1+IF(HS38&gt;18,HS38-18,0)*1+IF(HS38&gt;19,HS38-19,0)*1+IF(HS38&gt;20,HS38-20,0)*1</f>
        <v>76.007183908045945</v>
      </c>
      <c r="HW38" s="242">
        <f>IF(HT38&gt;0,HT38,0)*1+IF(HT38&gt;12,HT38-12,0)*1+IF(HT38&gt;13,HT38-13,0)*1+IF(HT38&gt;14,HT38-14,0)*1+IF(HT38&gt;15,HT38-15,0)*1+IF(HT38&gt;16,HT38-16,0)*1+IF(HT38&gt;17,HT38-17,0)*1+IF(HT38&gt;18,HT38-18,0)*1+IF(HT38&gt;19,HT38-19,0)*1+IF(HT38&gt;20,HT38-20,0)*1</f>
        <v>0</v>
      </c>
      <c r="HX38" s="243">
        <f t="shared" si="370"/>
        <v>76.007183908045945</v>
      </c>
      <c r="HY38" s="218">
        <f t="shared" si="371"/>
        <v>0</v>
      </c>
      <c r="IA38" s="303" t="s">
        <v>33</v>
      </c>
      <c r="IB38" s="243" t="s">
        <v>90</v>
      </c>
      <c r="IC38" s="218" t="s">
        <v>133</v>
      </c>
      <c r="ID38" s="237"/>
      <c r="IE38" s="234"/>
      <c r="IF38" s="234"/>
      <c r="IG38" s="234"/>
      <c r="IH38" s="234">
        <f>Konvention_1slave-FFslave</f>
        <v>12</v>
      </c>
      <c r="II38" s="234">
        <f>Konvention_1slave-GEslave</f>
        <v>12</v>
      </c>
      <c r="IJ38" s="234">
        <f>Konvention_1slave-KOslave</f>
        <v>12</v>
      </c>
      <c r="IK38" s="224"/>
      <c r="IL38" s="222">
        <f>(ID38+IE38+IF38+IG38+IH38+II38+IJ38+IK38)/3</f>
        <v>12</v>
      </c>
      <c r="IM38" s="223">
        <f t="shared" si="372"/>
        <v>24</v>
      </c>
      <c r="IN38" s="224">
        <f t="shared" si="373"/>
        <v>36</v>
      </c>
      <c r="IO38" s="237">
        <f>ID38*POWER(KLslave,SIGN(IE38))*POWER(INslave,SIGN(IF38))*POWER(CHslave,SIGN(IG38))*POWER(FFslave,SIGN(IH38))*POWER(GEslave,SIGN(II38))*POWER(KOslave,SIGN(IJ38))*POWER(KKslave_KK,SIGN(IK38))+IE38*POWER(MUslave,SIGN(ID38))*POWER(INslave,SIGN(IF38))*POWER(CHslave,SIGN(IG38))*POWER(FFslave,SIGN(IH38))*POWER(GEslave,SIGN(II38))*POWER(KOslave,SIGN(IJ38))*POWER(KKslave_KK,SIGN(IK38))+IF38*POWER(MUslave,SIGN(ID38))*POWER(KLslave,SIGN(IE38))*POWER(CHslave,SIGN(IG38))*POWER(FFslave,SIGN(IH38))*POWER(GEslave,SIGN(II38))*POWER(KOslave,SIGN(IJ38))*POWER(KKslave_KK,SIGN(IK38))+IG38*POWER(MUslave,SIGN(ID38))*POWER(KLslave,SIGN(IE38))*POWER(INslave,SIGN(IF38))*POWER(FFslave,SIGN(IH38))*POWER(GEslave,SIGN(II38))*POWER(KOslave,SIGN(IJ38))*POWER(KKslave_KK,SIGN(IK38))+IH38*POWER(MUslave,SIGN(ID38))*POWER(KLslave,SIGN(IE38))*POWER(INslave,SIGN(IF38))*POWER(CHslave,SIGN(IG38))*POWER(GEslave,SIGN(II38))*POWER(KOslave,SIGN(IJ38))*POWER(KKslave_KK,SIGN(IK38))+II38*POWER(MUslave,SIGN(ID38))*POWER(KLslave,SIGN(IE38))*POWER(INslave,SIGN(IF38))*POWER(CHslave,SIGN(IG38))*POWER(FFslave,SIGN(IH38))*POWER(KOslave,SIGN(IJ38))*POWER(KKslave_KK,SIGN(IK38))+IJ38*POWER(MUslave,SIGN(ID38))*POWER(KLslave,SIGN(IE38))*POWER(INslave,SIGN(IF38))*POWER(CHslave,SIGN(IG38))*POWER(FFslave,SIGN(IH38))*POWER(GEslave,SIGN(II38))*POWER(KKslave_KK,SIGN(IK38))+IK38*POWER(MUslave,SIGN(ID38))*POWER(KLslave,SIGN(IE38))*POWER(INslave,SIGN(IF38))*POWER(CHslave,SIGN(IG38))*POWER(FFslave,SIGN(IH38))*POWER(GEslave,SIGN(II38))*POWER(KOslave,SIGN(IJ38))</f>
        <v>2304</v>
      </c>
      <c r="IP38" s="234">
        <f>IH38*II38*KOslave+IH38*GEslave*IJ38+FFslave*II38*IJ38</f>
        <v>3456</v>
      </c>
      <c r="IQ38" s="224">
        <f t="shared" si="374"/>
        <v>1728</v>
      </c>
      <c r="IR38" s="242">
        <f t="shared" si="375"/>
        <v>7488</v>
      </c>
      <c r="IS38" s="222">
        <f t="shared" si="376"/>
        <v>3.6923076923076925</v>
      </c>
      <c r="IT38" s="223">
        <f t="shared" si="377"/>
        <v>11.076923076923077</v>
      </c>
      <c r="IU38" s="243">
        <f t="shared" si="378"/>
        <v>8.3076923076923084</v>
      </c>
      <c r="IV38" s="218">
        <f t="shared" si="379"/>
        <v>23.07692307692308</v>
      </c>
      <c r="IW38" s="252">
        <f t="shared" si="380"/>
        <v>0</v>
      </c>
      <c r="IX38" s="309">
        <f t="shared" si="381"/>
        <v>23.07692307692308</v>
      </c>
      <c r="IY38" s="218">
        <f>IF(IV38&gt;0,IV38,0)*1+IF(IV38&gt;12,IV38-12,0)*1+IF(IV38&gt;13,IV38-13,0)*1+IF(IV38&gt;14,IV38-14,0)*1+IF(IV38&gt;15,IV38-15,0)*1+IF(IV38&gt;16,IV38-16,0)*1+IF(IV38&gt;17,IV38-17,0)*1+IF(IV38&gt;18,IV38-18,0)*1+IF(IV38&gt;19,IV38-19,0)*1+IF(IV38&gt;20,IV38-20,0)*1</f>
        <v>86.769230769230802</v>
      </c>
      <c r="IZ38" s="242">
        <f>IF(IW38&gt;0,IW38,0)*1+IF(IW38&gt;12,IW38-12,0)*1+IF(IW38&gt;13,IW38-13,0)*1+IF(IW38&gt;14,IW38-14,0)*1+IF(IW38&gt;15,IW38-15,0)*1+IF(IW38&gt;16,IW38-16,0)*1+IF(IW38&gt;17,IW38-17,0)*1+IF(IW38&gt;18,IW38-18,0)*1+IF(IW38&gt;19,IW38-19,0)*1+IF(IW38&gt;20,IW38-20,0)*1</f>
        <v>0</v>
      </c>
      <c r="JA38" s="243">
        <f t="shared" si="382"/>
        <v>86.769230769230802</v>
      </c>
      <c r="JB38" s="218">
        <f t="shared" si="383"/>
        <v>0</v>
      </c>
      <c r="JE38" s="148"/>
    </row>
    <row r="39" spans="2:265" hidden="1" outlineLevel="2">
      <c r="B39" s="148">
        <v>4</v>
      </c>
      <c r="C39" s="303" t="e">
        <f>VLOOKUP(AF39,Attribute!C:T,1,FALSE)</f>
        <v>#N/A</v>
      </c>
      <c r="D39" s="127" t="s">
        <v>80</v>
      </c>
      <c r="E39" s="125" t="s">
        <v>132</v>
      </c>
      <c r="F39" s="114"/>
      <c r="G39" s="113">
        <f>Konvention_1master-KLmaster</f>
        <v>12</v>
      </c>
      <c r="H39" s="113">
        <f>Konvention_1master-INmaster</f>
        <v>12</v>
      </c>
      <c r="I39" s="113"/>
      <c r="J39" s="113"/>
      <c r="K39" s="113"/>
      <c r="L39" s="113"/>
      <c r="M39" s="119"/>
      <c r="N39" s="222">
        <f>(G39+H39+H39)/3</f>
        <v>12</v>
      </c>
      <c r="O39" s="223">
        <f t="shared" si="277"/>
        <v>24</v>
      </c>
      <c r="P39" s="224">
        <f t="shared" si="278"/>
        <v>36</v>
      </c>
      <c r="Q39" s="237">
        <f>H39*POWER(KLmaster,SIGN(G39))*POWER(INmaster,SIGN(H39))+H39*POWER(KLmaster,SIGN(G39))*POWER(INmaster,SIGN(H39))+G39*POWER(INmaster,SIGN(H39))*POWER(INmaster,SIGN(H39))</f>
        <v>2304</v>
      </c>
      <c r="R39" s="113">
        <f>G39*H39*INmaster+G39*INmaster*H39+KLmaster*H39*H39</f>
        <v>3456</v>
      </c>
      <c r="S39" s="224">
        <f>G39*H39*H39</f>
        <v>1728</v>
      </c>
      <c r="T39" s="242">
        <f t="shared" si="280"/>
        <v>7488</v>
      </c>
      <c r="U39" s="222">
        <f t="shared" si="281"/>
        <v>3.6923076923076925</v>
      </c>
      <c r="V39" s="223">
        <f t="shared" si="282"/>
        <v>11.076923076923077</v>
      </c>
      <c r="W39" s="243">
        <f t="shared" si="283"/>
        <v>8.3076923076923084</v>
      </c>
      <c r="X39" s="218">
        <f t="shared" si="284"/>
        <v>23.07692307692308</v>
      </c>
      <c r="Y39" s="252">
        <v>0</v>
      </c>
      <c r="Z39" s="198">
        <f t="shared" si="285"/>
        <v>23.07692307692308</v>
      </c>
      <c r="AA39" s="125">
        <f>IF(X39&gt;0,X39,0)*2+IF(X39&gt;12,X39-12,0)*2+IF(X39&gt;13,X39-13,0)*2+IF(X39&gt;14,X39-14,0)*2+IF(X39&gt;15,X39-15,0)*2+IF(X39&gt;16,X39-16,0)*2+IF(X39&gt;17,X39-17,0)*2+IF(X39&gt;18,X39-18,0)*2+IF(X39&gt;19,X39-19,0)*2+IF(X39&gt;20,X39-20,0)*2</f>
        <v>173.5384615384616</v>
      </c>
      <c r="AB39" s="160">
        <f>IF(Y39&gt;0,Y39,0)*2+IF(Y39&gt;12,Y39-12,0)*2+IF(Y39&gt;13,Y39-13,0)*2+IF(Y39&gt;14,Y39-14,0)*2+IF(Y39&gt;15,Y39-15,0)*2+IF(Y39&gt;16,Y39-16,0)*2+IF(Y39&gt;17,Y39-17,0)*2+IF(Y39&gt;18,Y39-18,0)*2+IF(Y39&gt;19,Y39-19,0)*2+IF(Y39&gt;20,Y39-20,0)*2</f>
        <v>0</v>
      </c>
      <c r="AC39" s="127">
        <f t="shared" si="286"/>
        <v>173.5384615384616</v>
      </c>
      <c r="AD39" s="125">
        <f t="shared" si="287"/>
        <v>0</v>
      </c>
      <c r="AF39" s="163" t="s">
        <v>34</v>
      </c>
      <c r="AG39" s="127" t="s">
        <v>80</v>
      </c>
      <c r="AH39" s="125" t="s">
        <v>132</v>
      </c>
      <c r="AI39" s="114"/>
      <c r="AJ39" s="113">
        <f>Konvention_1slave-KLslave</f>
        <v>12</v>
      </c>
      <c r="AK39" s="113">
        <f>Konvention_1slave-INslave</f>
        <v>12</v>
      </c>
      <c r="AL39" s="113"/>
      <c r="AM39" s="113"/>
      <c r="AN39" s="113"/>
      <c r="AO39" s="113"/>
      <c r="AP39" s="119"/>
      <c r="AQ39" s="89">
        <f>(AJ39+AK39+AK39)/3</f>
        <v>12</v>
      </c>
      <c r="AR39" s="47">
        <f t="shared" si="288"/>
        <v>24</v>
      </c>
      <c r="AS39" s="119">
        <f t="shared" si="289"/>
        <v>36</v>
      </c>
      <c r="AT39" s="114">
        <f>AK39*POWER(KLslave,SIGN(AJ39))*POWER(INslave,SIGN(AK39))+AK39*POWER(KLslave,SIGN(AJ39))*POWER(INslave,SIGN(AK39))+AJ39*POWER(INslave,SIGN(AK39))*POWER(INslave,SIGN(AK39))</f>
        <v>2304</v>
      </c>
      <c r="AU39" s="113">
        <f>AJ39*AK39*INslave+AJ39*INslave*AK39+KLslave*AK39*AK39</f>
        <v>3456</v>
      </c>
      <c r="AV39" s="119">
        <f>AJ39*AK39*AK39</f>
        <v>1728</v>
      </c>
      <c r="AW39" s="160">
        <f t="shared" si="291"/>
        <v>7488</v>
      </c>
      <c r="AX39" s="89">
        <f t="shared" si="292"/>
        <v>3.6923076923076925</v>
      </c>
      <c r="AY39" s="47">
        <f t="shared" si="293"/>
        <v>11.076923076923077</v>
      </c>
      <c r="AZ39" s="127">
        <f t="shared" si="294"/>
        <v>8.3076923076923084</v>
      </c>
      <c r="BA39" s="125">
        <f t="shared" si="295"/>
        <v>23.07692307692308</v>
      </c>
      <c r="BB39" s="165">
        <f t="shared" si="296"/>
        <v>0</v>
      </c>
      <c r="BC39" s="198">
        <f t="shared" si="297"/>
        <v>23.07692307692308</v>
      </c>
      <c r="BD39" s="125">
        <f>IF(BA39&gt;0,BA39,0)*2+IF(BA39&gt;12,BA39-12,0)*2+IF(BA39&gt;13,BA39-13,0)*2+IF(BA39&gt;14,BA39-14,0)*2+IF(BA39&gt;15,BA39-15,0)*2+IF(BA39&gt;16,BA39-16,0)*2+IF(BA39&gt;17,BA39-17,0)*2+IF(BA39&gt;18,BA39-18,0)*2+IF(BA39&gt;19,BA39-19,0)*2+IF(BA39&gt;20,BA39-20,0)*2</f>
        <v>173.5384615384616</v>
      </c>
      <c r="BE39" s="160">
        <f>IF(BB39&gt;0,BB39,0)*2+IF(BB39&gt;12,BB39-12,0)*2+IF(BB39&gt;13,BB39-13,0)*2+IF(BB39&gt;14,BB39-14,0)*2+IF(BB39&gt;15,BB39-15,0)*2+IF(BB39&gt;16,BB39-16,0)*2+IF(BB39&gt;17,BB39-17,0)*2+IF(BB39&gt;18,BB39-18,0)*2+IF(BB39&gt;19,BB39-19,0)*2+IF(BB39&gt;20,BB39-20,0)*2</f>
        <v>0</v>
      </c>
      <c r="BF39" s="243">
        <f t="shared" si="298"/>
        <v>173.5384615384616</v>
      </c>
      <c r="BG39" s="218">
        <f t="shared" si="299"/>
        <v>0</v>
      </c>
      <c r="BI39" s="303" t="s">
        <v>34</v>
      </c>
      <c r="BJ39" s="243" t="s">
        <v>80</v>
      </c>
      <c r="BK39" s="218" t="s">
        <v>132</v>
      </c>
      <c r="BL39" s="237"/>
      <c r="BM39" s="234">
        <f>Konvention_1slave-KLslave_KL</f>
        <v>11</v>
      </c>
      <c r="BN39" s="234">
        <f>Konvention_1slave-INslave</f>
        <v>12</v>
      </c>
      <c r="BO39" s="234"/>
      <c r="BP39" s="234"/>
      <c r="BQ39" s="234"/>
      <c r="BR39" s="234"/>
      <c r="BS39" s="224"/>
      <c r="BT39" s="222">
        <f>(BM39+BN39+BN39)/3</f>
        <v>11.666666666666666</v>
      </c>
      <c r="BU39" s="223">
        <f t="shared" si="300"/>
        <v>23.333333333333332</v>
      </c>
      <c r="BV39" s="224">
        <f t="shared" si="301"/>
        <v>35</v>
      </c>
      <c r="BW39" s="237">
        <f>BN39*POWER(KLslave_KL,SIGN(BM39))*POWER(INslave,SIGN(BN39))+BN39*POWER(KLslave_KL,SIGN(BM39))*POWER(INslave,SIGN(BN39))+BM39*POWER(INslave,SIGN(BN39))*POWER(INslave,SIGN(BN39))</f>
        <v>2432</v>
      </c>
      <c r="BX39" s="234">
        <f>BM39*BN39*INslave+BM39*INslave*BN39+KLslave_KL*BN39*BN39</f>
        <v>3408</v>
      </c>
      <c r="BY39" s="224">
        <f>BM39*BN39*BN39</f>
        <v>1584</v>
      </c>
      <c r="BZ39" s="242">
        <f t="shared" si="303"/>
        <v>7424</v>
      </c>
      <c r="CA39" s="222">
        <f t="shared" si="304"/>
        <v>3.8218390804597702</v>
      </c>
      <c r="CB39" s="223">
        <f t="shared" si="305"/>
        <v>10.711206896551724</v>
      </c>
      <c r="CC39" s="243">
        <f t="shared" si="306"/>
        <v>7.4676724137931032</v>
      </c>
      <c r="CD39" s="218">
        <f t="shared" si="307"/>
        <v>22.000718390804597</v>
      </c>
      <c r="CE39" s="252">
        <f t="shared" si="308"/>
        <v>0</v>
      </c>
      <c r="CF39" s="309">
        <f t="shared" si="309"/>
        <v>22.000718390804597</v>
      </c>
      <c r="CG39" s="218">
        <f>IF(CD39&gt;0,CD39,0)*2+IF(CD39&gt;12,CD39-12,0)*2+IF(CD39&gt;13,CD39-13,0)*2+IF(CD39&gt;14,CD39-14,0)*2+IF(CD39&gt;15,CD39-15,0)*2+IF(CD39&gt;16,CD39-16,0)*2+IF(CD39&gt;17,CD39-17,0)*2+IF(CD39&gt;18,CD39-18,0)*2+IF(CD39&gt;19,CD39-19,0)*2+IF(CD39&gt;20,CD39-20,0)*2</f>
        <v>152.01436781609189</v>
      </c>
      <c r="CH39" s="242">
        <f>IF(CE39&gt;0,CE39,0)*2+IF(CE39&gt;12,CE39-12,0)*2+IF(CE39&gt;13,CE39-13,0)*2+IF(CE39&gt;14,CE39-14,0)*2+IF(CE39&gt;15,CE39-15,0)*2+IF(CE39&gt;16,CE39-16,0)*2+IF(CE39&gt;17,CE39-17,0)*2+IF(CE39&gt;18,CE39-18,0)*2+IF(CE39&gt;19,CE39-19,0)*2+IF(CE39&gt;20,CE39-20,0)*2</f>
        <v>0</v>
      </c>
      <c r="CI39" s="243">
        <f t="shared" si="310"/>
        <v>152.01436781609189</v>
      </c>
      <c r="CJ39" s="218">
        <f t="shared" si="311"/>
        <v>0</v>
      </c>
      <c r="CL39" s="303" t="s">
        <v>34</v>
      </c>
      <c r="CM39" s="243" t="s">
        <v>80</v>
      </c>
      <c r="CN39" s="218" t="s">
        <v>132</v>
      </c>
      <c r="CO39" s="237"/>
      <c r="CP39" s="234">
        <f>Konvention_1slave-KLslave</f>
        <v>12</v>
      </c>
      <c r="CQ39" s="234">
        <f>Konvention_1slave-INslave_IN</f>
        <v>11</v>
      </c>
      <c r="CR39" s="234"/>
      <c r="CS39" s="234"/>
      <c r="CT39" s="234"/>
      <c r="CU39" s="234"/>
      <c r="CV39" s="224"/>
      <c r="CW39" s="222">
        <f>(CP39+CQ39+CQ39)/3</f>
        <v>11.333333333333334</v>
      </c>
      <c r="CX39" s="223">
        <f t="shared" si="312"/>
        <v>22.666666666666668</v>
      </c>
      <c r="CY39" s="224">
        <f t="shared" si="313"/>
        <v>34</v>
      </c>
      <c r="CZ39" s="237">
        <f>CQ39*POWER(KLslave,SIGN(CP39))*POWER(INslave_IN,SIGN(CQ39))+CQ39*POWER(KLslave,SIGN(CP39))*POWER(INslave_IN,SIGN(CQ39))+CP39*POWER(INslave_IN,SIGN(CQ39))*POWER(INslave_IN,SIGN(CQ39))</f>
        <v>2556</v>
      </c>
      <c r="DA39" s="234">
        <f>CP39*CQ39*INslave_IN+CP39*INslave_IN*CQ39+KLslave*CQ39*CQ39</f>
        <v>3344</v>
      </c>
      <c r="DB39" s="224">
        <f>CP39*CQ39*CQ39</f>
        <v>1452</v>
      </c>
      <c r="DC39" s="242">
        <f t="shared" si="315"/>
        <v>7352</v>
      </c>
      <c r="DD39" s="222">
        <f t="shared" si="316"/>
        <v>3.940152339499456</v>
      </c>
      <c r="DE39" s="223">
        <f t="shared" si="317"/>
        <v>10.309756982227059</v>
      </c>
      <c r="DF39" s="243">
        <f t="shared" si="318"/>
        <v>6.714907508161045</v>
      </c>
      <c r="DG39" s="218">
        <f t="shared" si="319"/>
        <v>20.96481682988756</v>
      </c>
      <c r="DH39" s="252">
        <f t="shared" si="320"/>
        <v>0</v>
      </c>
      <c r="DI39" s="309">
        <f t="shared" si="321"/>
        <v>20.96481682988756</v>
      </c>
      <c r="DJ39" s="218">
        <f>IF(DG39&gt;0,DG39,0)*2+IF(DG39&gt;12,DG39-12,0)*2+IF(DG39&gt;13,DG39-13,0)*2+IF(DG39&gt;14,DG39-14,0)*2+IF(DG39&gt;15,DG39-15,0)*2+IF(DG39&gt;16,DG39-16,0)*2+IF(DG39&gt;17,DG39-17,0)*2+IF(DG39&gt;18,DG39-18,0)*2+IF(DG39&gt;19,DG39-19,0)*2+IF(DG39&gt;20,DG39-20,0)*2</f>
        <v>131.29633659775118</v>
      </c>
      <c r="DK39" s="242">
        <f>IF(DH39&gt;0,DH39,0)*2+IF(DH39&gt;12,DH39-12,0)*2+IF(DH39&gt;13,DH39-13,0)*2+IF(DH39&gt;14,DH39-14,0)*2+IF(DH39&gt;15,DH39-15,0)*2+IF(DH39&gt;16,DH39-16,0)*2+IF(DH39&gt;17,DH39-17,0)*2+IF(DH39&gt;18,DH39-18,0)*2+IF(DH39&gt;19,DH39-19,0)*2+IF(DH39&gt;20,DH39-20,0)*2</f>
        <v>0</v>
      </c>
      <c r="DL39" s="243">
        <f t="shared" si="322"/>
        <v>131.29633659775118</v>
      </c>
      <c r="DM39" s="218">
        <f t="shared" si="323"/>
        <v>0</v>
      </c>
      <c r="DO39" s="303" t="s">
        <v>34</v>
      </c>
      <c r="DP39" s="243" t="s">
        <v>80</v>
      </c>
      <c r="DQ39" s="218" t="s">
        <v>132</v>
      </c>
      <c r="DR39" s="237"/>
      <c r="DS39" s="234">
        <f>Konvention_1slave-KLslave</f>
        <v>12</v>
      </c>
      <c r="DT39" s="234">
        <f>Konvention_1slave-INslave</f>
        <v>12</v>
      </c>
      <c r="DU39" s="234"/>
      <c r="DV39" s="234"/>
      <c r="DW39" s="234"/>
      <c r="DX39" s="234"/>
      <c r="DY39" s="224"/>
      <c r="DZ39" s="222">
        <f>(DS39+DT39+DT39)/3</f>
        <v>12</v>
      </c>
      <c r="EA39" s="223">
        <f t="shared" si="324"/>
        <v>24</v>
      </c>
      <c r="EB39" s="224">
        <f t="shared" si="325"/>
        <v>36</v>
      </c>
      <c r="EC39" s="237">
        <f>DT39*POWER(KLslave,SIGN(DS39))*POWER(INslave,SIGN(DT39))+DT39*POWER(KLslave,SIGN(DS39))*POWER(INslave,SIGN(DT39))+DS39*POWER(INslave,SIGN(DT39))*POWER(INslave,SIGN(DT39))</f>
        <v>2304</v>
      </c>
      <c r="ED39" s="234">
        <f>DS39*DT39*INslave+DS39*INslave*DT39+KLslave*DT39*DT39</f>
        <v>3456</v>
      </c>
      <c r="EE39" s="224">
        <f>DS39*DT39*DT39</f>
        <v>1728</v>
      </c>
      <c r="EF39" s="242">
        <f t="shared" si="327"/>
        <v>7488</v>
      </c>
      <c r="EG39" s="222">
        <f t="shared" si="328"/>
        <v>3.6923076923076925</v>
      </c>
      <c r="EH39" s="223">
        <f t="shared" si="329"/>
        <v>11.076923076923077</v>
      </c>
      <c r="EI39" s="243">
        <f t="shared" si="330"/>
        <v>8.3076923076923084</v>
      </c>
      <c r="EJ39" s="218">
        <f t="shared" si="331"/>
        <v>23.07692307692308</v>
      </c>
      <c r="EK39" s="252">
        <f t="shared" si="332"/>
        <v>0</v>
      </c>
      <c r="EL39" s="309">
        <f t="shared" si="333"/>
        <v>23.07692307692308</v>
      </c>
      <c r="EM39" s="218">
        <f>IF(EJ39&gt;0,EJ39,0)*2+IF(EJ39&gt;12,EJ39-12,0)*2+IF(EJ39&gt;13,EJ39-13,0)*2+IF(EJ39&gt;14,EJ39-14,0)*2+IF(EJ39&gt;15,EJ39-15,0)*2+IF(EJ39&gt;16,EJ39-16,0)*2+IF(EJ39&gt;17,EJ39-17,0)*2+IF(EJ39&gt;18,EJ39-18,0)*2+IF(EJ39&gt;19,EJ39-19,0)*2+IF(EJ39&gt;20,EJ39-20,0)*2</f>
        <v>173.5384615384616</v>
      </c>
      <c r="EN39" s="242">
        <f>IF(EK39&gt;0,EK39,0)*2+IF(EK39&gt;12,EK39-12,0)*2+IF(EK39&gt;13,EK39-13,0)*2+IF(EK39&gt;14,EK39-14,0)*2+IF(EK39&gt;15,EK39-15,0)*2+IF(EK39&gt;16,EK39-16,0)*2+IF(EK39&gt;17,EK39-17,0)*2+IF(EK39&gt;18,EK39-18,0)*2+IF(EK39&gt;19,EK39-19,0)*2+IF(EK39&gt;20,EK39-20,0)*2</f>
        <v>0</v>
      </c>
      <c r="EO39" s="243">
        <f t="shared" si="334"/>
        <v>173.5384615384616</v>
      </c>
      <c r="EP39" s="218">
        <f t="shared" si="335"/>
        <v>0</v>
      </c>
      <c r="ER39" s="303" t="s">
        <v>34</v>
      </c>
      <c r="ES39" s="243" t="s">
        <v>80</v>
      </c>
      <c r="ET39" s="218" t="s">
        <v>132</v>
      </c>
      <c r="EU39" s="237"/>
      <c r="EV39" s="234">
        <f>Konvention_1slave-KLslave</f>
        <v>12</v>
      </c>
      <c r="EW39" s="234">
        <f>Konvention_1slave-INslave</f>
        <v>12</v>
      </c>
      <c r="EX39" s="234"/>
      <c r="EY39" s="234"/>
      <c r="EZ39" s="234"/>
      <c r="FA39" s="234"/>
      <c r="FB39" s="224"/>
      <c r="FC39" s="222">
        <f>(EV39+EW39+EW39)/3</f>
        <v>12</v>
      </c>
      <c r="FD39" s="223">
        <f t="shared" si="336"/>
        <v>24</v>
      </c>
      <c r="FE39" s="224">
        <f t="shared" si="337"/>
        <v>36</v>
      </c>
      <c r="FF39" s="237">
        <f>EW39*POWER(KLslave,SIGN(EV39))*POWER(INslave,SIGN(EW39))+EW39*POWER(KLslave,SIGN(EV39))*POWER(INslave,SIGN(EW39))+EV39*POWER(INslave,SIGN(EW39))*POWER(INslave,SIGN(EW39))</f>
        <v>2304</v>
      </c>
      <c r="FG39" s="234">
        <f>EV39*EW39*INslave+EV39*INslave*EW39+KLslave*EW39*EW39</f>
        <v>3456</v>
      </c>
      <c r="FH39" s="224">
        <f>EV39*EW39*EW39</f>
        <v>1728</v>
      </c>
      <c r="FI39" s="242">
        <f t="shared" si="339"/>
        <v>7488</v>
      </c>
      <c r="FJ39" s="222">
        <f t="shared" si="340"/>
        <v>3.6923076923076925</v>
      </c>
      <c r="FK39" s="223">
        <f t="shared" si="341"/>
        <v>11.076923076923077</v>
      </c>
      <c r="FL39" s="243">
        <f t="shared" si="342"/>
        <v>8.3076923076923084</v>
      </c>
      <c r="FM39" s="218">
        <f t="shared" si="343"/>
        <v>23.07692307692308</v>
      </c>
      <c r="FN39" s="252">
        <f t="shared" si="344"/>
        <v>0</v>
      </c>
      <c r="FO39" s="309">
        <f t="shared" si="345"/>
        <v>23.07692307692308</v>
      </c>
      <c r="FP39" s="218">
        <f>IF(FM39&gt;0,FM39,0)*2+IF(FM39&gt;12,FM39-12,0)*2+IF(FM39&gt;13,FM39-13,0)*2+IF(FM39&gt;14,FM39-14,0)*2+IF(FM39&gt;15,FM39-15,0)*2+IF(FM39&gt;16,FM39-16,0)*2+IF(FM39&gt;17,FM39-17,0)*2+IF(FM39&gt;18,FM39-18,0)*2+IF(FM39&gt;19,FM39-19,0)*2+IF(FM39&gt;20,FM39-20,0)*2</f>
        <v>173.5384615384616</v>
      </c>
      <c r="FQ39" s="242">
        <f>IF(FN39&gt;0,FN39,0)*2+IF(FN39&gt;12,FN39-12,0)*2+IF(FN39&gt;13,FN39-13,0)*2+IF(FN39&gt;14,FN39-14,0)*2+IF(FN39&gt;15,FN39-15,0)*2+IF(FN39&gt;16,FN39-16,0)*2+IF(FN39&gt;17,FN39-17,0)*2+IF(FN39&gt;18,FN39-18,0)*2+IF(FN39&gt;19,FN39-19,0)*2+IF(FN39&gt;20,FN39-20,0)*2</f>
        <v>0</v>
      </c>
      <c r="FR39" s="243">
        <f t="shared" si="346"/>
        <v>173.5384615384616</v>
      </c>
      <c r="FS39" s="218">
        <f t="shared" si="347"/>
        <v>0</v>
      </c>
      <c r="FU39" s="303" t="s">
        <v>34</v>
      </c>
      <c r="FV39" s="243" t="s">
        <v>80</v>
      </c>
      <c r="FW39" s="218" t="s">
        <v>132</v>
      </c>
      <c r="FX39" s="237"/>
      <c r="FY39" s="234">
        <f>Konvention_1slave-KLslave</f>
        <v>12</v>
      </c>
      <c r="FZ39" s="234">
        <f>Konvention_1slave-INslave</f>
        <v>12</v>
      </c>
      <c r="GA39" s="234"/>
      <c r="GB39" s="234"/>
      <c r="GC39" s="234"/>
      <c r="GD39" s="234"/>
      <c r="GE39" s="224"/>
      <c r="GF39" s="222">
        <f>(FY39+FZ39+FZ39)/3</f>
        <v>12</v>
      </c>
      <c r="GG39" s="223">
        <f t="shared" si="348"/>
        <v>24</v>
      </c>
      <c r="GH39" s="224">
        <f t="shared" si="349"/>
        <v>36</v>
      </c>
      <c r="GI39" s="237">
        <f>FZ39*POWER(KLslave,SIGN(FY39))*POWER(INslave,SIGN(FZ39))+FZ39*POWER(KLslave,SIGN(FY39))*POWER(INslave,SIGN(FZ39))+FY39*POWER(INslave,SIGN(FZ39))*POWER(INslave,SIGN(FZ39))</f>
        <v>2304</v>
      </c>
      <c r="GJ39" s="234">
        <f>FY39*FZ39*INslave+FY39*INslave*FZ39+KLslave*FZ39*FZ39</f>
        <v>3456</v>
      </c>
      <c r="GK39" s="224">
        <f>FY39*FZ39*FZ39</f>
        <v>1728</v>
      </c>
      <c r="GL39" s="242">
        <f t="shared" si="351"/>
        <v>7488</v>
      </c>
      <c r="GM39" s="222">
        <f t="shared" si="352"/>
        <v>3.6923076923076925</v>
      </c>
      <c r="GN39" s="223">
        <f t="shared" si="353"/>
        <v>11.076923076923077</v>
      </c>
      <c r="GO39" s="243">
        <f t="shared" si="354"/>
        <v>8.3076923076923084</v>
      </c>
      <c r="GP39" s="218">
        <f t="shared" si="355"/>
        <v>23.07692307692308</v>
      </c>
      <c r="GQ39" s="252">
        <f t="shared" si="356"/>
        <v>0</v>
      </c>
      <c r="GR39" s="309">
        <f t="shared" si="357"/>
        <v>23.07692307692308</v>
      </c>
      <c r="GS39" s="218">
        <f>IF(GP39&gt;0,GP39,0)*2+IF(GP39&gt;12,GP39-12,0)*2+IF(GP39&gt;13,GP39-13,0)*2+IF(GP39&gt;14,GP39-14,0)*2+IF(GP39&gt;15,GP39-15,0)*2+IF(GP39&gt;16,GP39-16,0)*2+IF(GP39&gt;17,GP39-17,0)*2+IF(GP39&gt;18,GP39-18,0)*2+IF(GP39&gt;19,GP39-19,0)*2+IF(GP39&gt;20,GP39-20,0)*2</f>
        <v>173.5384615384616</v>
      </c>
      <c r="GT39" s="242">
        <f>IF(GQ39&gt;0,GQ39,0)*2+IF(GQ39&gt;12,GQ39-12,0)*2+IF(GQ39&gt;13,GQ39-13,0)*2+IF(GQ39&gt;14,GQ39-14,0)*2+IF(GQ39&gt;15,GQ39-15,0)*2+IF(GQ39&gt;16,GQ39-16,0)*2+IF(GQ39&gt;17,GQ39-17,0)*2+IF(GQ39&gt;18,GQ39-18,0)*2+IF(GQ39&gt;19,GQ39-19,0)*2+IF(GQ39&gt;20,GQ39-20,0)*2</f>
        <v>0</v>
      </c>
      <c r="GU39" s="243">
        <f t="shared" si="358"/>
        <v>173.5384615384616</v>
      </c>
      <c r="GV39" s="218">
        <f t="shared" si="359"/>
        <v>0</v>
      </c>
      <c r="GX39" s="303" t="s">
        <v>34</v>
      </c>
      <c r="GY39" s="243" t="s">
        <v>80</v>
      </c>
      <c r="GZ39" s="218" t="s">
        <v>132</v>
      </c>
      <c r="HA39" s="237"/>
      <c r="HB39" s="234">
        <f>Konvention_1slave-KLslave</f>
        <v>12</v>
      </c>
      <c r="HC39" s="234">
        <f>Konvention_1slave-INslave</f>
        <v>12</v>
      </c>
      <c r="HD39" s="234"/>
      <c r="HE39" s="234"/>
      <c r="HF39" s="234"/>
      <c r="HG39" s="234"/>
      <c r="HH39" s="224"/>
      <c r="HI39" s="222">
        <f>(HB39+HC39+HC39)/3</f>
        <v>12</v>
      </c>
      <c r="HJ39" s="223">
        <f t="shared" si="360"/>
        <v>24</v>
      </c>
      <c r="HK39" s="224">
        <f t="shared" si="361"/>
        <v>36</v>
      </c>
      <c r="HL39" s="237">
        <f>HC39*POWER(KLslave,SIGN(HB39))*POWER(INslave,SIGN(HC39))+HC39*POWER(KLslave,SIGN(HB39))*POWER(INslave,SIGN(HC39))+HB39*POWER(INslave,SIGN(HC39))*POWER(INslave,SIGN(HC39))</f>
        <v>2304</v>
      </c>
      <c r="HM39" s="234">
        <f>HB39*HC39*INslave+HB39*INslave*HC39+KLslave*HC39*HC39</f>
        <v>3456</v>
      </c>
      <c r="HN39" s="224">
        <f>HB39*HC39*HC39</f>
        <v>1728</v>
      </c>
      <c r="HO39" s="242">
        <f t="shared" si="363"/>
        <v>7488</v>
      </c>
      <c r="HP39" s="222">
        <f t="shared" si="364"/>
        <v>3.6923076923076925</v>
      </c>
      <c r="HQ39" s="223">
        <f t="shared" si="365"/>
        <v>11.076923076923077</v>
      </c>
      <c r="HR39" s="243">
        <f t="shared" si="366"/>
        <v>8.3076923076923084</v>
      </c>
      <c r="HS39" s="218">
        <f t="shared" si="367"/>
        <v>23.07692307692308</v>
      </c>
      <c r="HT39" s="252">
        <f t="shared" si="368"/>
        <v>0</v>
      </c>
      <c r="HU39" s="309">
        <f t="shared" si="369"/>
        <v>23.07692307692308</v>
      </c>
      <c r="HV39" s="218">
        <f>IF(HS39&gt;0,HS39,0)*2+IF(HS39&gt;12,HS39-12,0)*2+IF(HS39&gt;13,HS39-13,0)*2+IF(HS39&gt;14,HS39-14,0)*2+IF(HS39&gt;15,HS39-15,0)*2+IF(HS39&gt;16,HS39-16,0)*2+IF(HS39&gt;17,HS39-17,0)*2+IF(HS39&gt;18,HS39-18,0)*2+IF(HS39&gt;19,HS39-19,0)*2+IF(HS39&gt;20,HS39-20,0)*2</f>
        <v>173.5384615384616</v>
      </c>
      <c r="HW39" s="242">
        <f>IF(HT39&gt;0,HT39,0)*2+IF(HT39&gt;12,HT39-12,0)*2+IF(HT39&gt;13,HT39-13,0)*2+IF(HT39&gt;14,HT39-14,0)*2+IF(HT39&gt;15,HT39-15,0)*2+IF(HT39&gt;16,HT39-16,0)*2+IF(HT39&gt;17,HT39-17,0)*2+IF(HT39&gt;18,HT39-18,0)*2+IF(HT39&gt;19,HT39-19,0)*2+IF(HT39&gt;20,HT39-20,0)*2</f>
        <v>0</v>
      </c>
      <c r="HX39" s="243">
        <f t="shared" si="370"/>
        <v>173.5384615384616</v>
      </c>
      <c r="HY39" s="218">
        <f t="shared" si="371"/>
        <v>0</v>
      </c>
      <c r="IA39" s="303" t="s">
        <v>34</v>
      </c>
      <c r="IB39" s="243" t="s">
        <v>80</v>
      </c>
      <c r="IC39" s="218" t="s">
        <v>132</v>
      </c>
      <c r="ID39" s="237"/>
      <c r="IE39" s="234">
        <f>Konvention_1slave-KLslave</f>
        <v>12</v>
      </c>
      <c r="IF39" s="234">
        <f>Konvention_1slave-INslave</f>
        <v>12</v>
      </c>
      <c r="IG39" s="234"/>
      <c r="IH39" s="234"/>
      <c r="II39" s="234"/>
      <c r="IJ39" s="234"/>
      <c r="IK39" s="224"/>
      <c r="IL39" s="222">
        <f>(IE39+IF39+IF39)/3</f>
        <v>12</v>
      </c>
      <c r="IM39" s="223">
        <f t="shared" si="372"/>
        <v>24</v>
      </c>
      <c r="IN39" s="224">
        <f t="shared" si="373"/>
        <v>36</v>
      </c>
      <c r="IO39" s="237">
        <f>IF39*POWER(KLslave,SIGN(IE39))*POWER(INslave,SIGN(IF39))+IF39*POWER(KLslave,SIGN(IE39))*POWER(INslave,SIGN(IF39))+IE39*POWER(INslave,SIGN(IF39))*POWER(INslave,SIGN(IF39))</f>
        <v>2304</v>
      </c>
      <c r="IP39" s="234">
        <f>IE39*IF39*INslave+IE39*INslave*IF39+KLslave*IF39*IF39</f>
        <v>3456</v>
      </c>
      <c r="IQ39" s="224">
        <f>IE39*IF39*IF39</f>
        <v>1728</v>
      </c>
      <c r="IR39" s="242">
        <f t="shared" si="375"/>
        <v>7488</v>
      </c>
      <c r="IS39" s="222">
        <f t="shared" si="376"/>
        <v>3.6923076923076925</v>
      </c>
      <c r="IT39" s="223">
        <f t="shared" si="377"/>
        <v>11.076923076923077</v>
      </c>
      <c r="IU39" s="243">
        <f t="shared" si="378"/>
        <v>8.3076923076923084</v>
      </c>
      <c r="IV39" s="218">
        <f t="shared" si="379"/>
        <v>23.07692307692308</v>
      </c>
      <c r="IW39" s="252">
        <f t="shared" si="380"/>
        <v>0</v>
      </c>
      <c r="IX39" s="309">
        <f t="shared" si="381"/>
        <v>23.07692307692308</v>
      </c>
      <c r="IY39" s="218">
        <f>IF(IV39&gt;0,IV39,0)*2+IF(IV39&gt;12,IV39-12,0)*2+IF(IV39&gt;13,IV39-13,0)*2+IF(IV39&gt;14,IV39-14,0)*2+IF(IV39&gt;15,IV39-15,0)*2+IF(IV39&gt;16,IV39-16,0)*2+IF(IV39&gt;17,IV39-17,0)*2+IF(IV39&gt;18,IV39-18,0)*2+IF(IV39&gt;19,IV39-19,0)*2+IF(IV39&gt;20,IV39-20,0)*2</f>
        <v>173.5384615384616</v>
      </c>
      <c r="IZ39" s="242">
        <f>IF(IW39&gt;0,IW39,0)*2+IF(IW39&gt;12,IW39-12,0)*2+IF(IW39&gt;13,IW39-13,0)*2+IF(IW39&gt;14,IW39-14,0)*2+IF(IW39&gt;15,IW39-15,0)*2+IF(IW39&gt;16,IW39-16,0)*2+IF(IW39&gt;17,IW39-17,0)*2+IF(IW39&gt;18,IW39-18,0)*2+IF(IW39&gt;19,IW39-19,0)*2+IF(IW39&gt;20,IW39-20,0)*2</f>
        <v>0</v>
      </c>
      <c r="JA39" s="243">
        <f t="shared" si="382"/>
        <v>173.5384615384616</v>
      </c>
      <c r="JB39" s="218">
        <f t="shared" si="383"/>
        <v>0</v>
      </c>
      <c r="JE39" s="148"/>
    </row>
    <row r="40" spans="2:265" hidden="1" outlineLevel="2">
      <c r="B40" s="148">
        <v>5</v>
      </c>
      <c r="C40" s="303" t="e">
        <f>VLOOKUP(AF40,Attribute!C:T,1,FALSE)</f>
        <v>#N/A</v>
      </c>
      <c r="D40" s="127" t="s">
        <v>91</v>
      </c>
      <c r="E40" s="125" t="s">
        <v>135</v>
      </c>
      <c r="F40" s="114"/>
      <c r="G40" s="113">
        <f>Konvention_1master-KLmaster</f>
        <v>12</v>
      </c>
      <c r="H40" s="113"/>
      <c r="I40" s="113"/>
      <c r="J40" s="113">
        <f>Konvention_1master-FFmaster</f>
        <v>12</v>
      </c>
      <c r="K40" s="113"/>
      <c r="L40" s="113">
        <f>Konvention_1master-KOmaster</f>
        <v>12</v>
      </c>
      <c r="M40" s="119"/>
      <c r="N40" s="222">
        <f>(F40+G40+H40+I40+J40+K40+L40+M40)/3</f>
        <v>12</v>
      </c>
      <c r="O40" s="223">
        <f t="shared" si="277"/>
        <v>24</v>
      </c>
      <c r="P40" s="224">
        <f t="shared" si="278"/>
        <v>36</v>
      </c>
      <c r="Q40" s="237">
        <f>F40*POWER(KLmaster,SIGN(G40))*POWER(INmaster,SIGN(H40))*POWER(CHmaster,SIGN(I40))*POWER(FFmaster,SIGN(J40))*POWER(GEmaster,SIGN(K40))*POWER(KOmaster,SIGN(L40))*POWER(KKmaster,SIGN(M40))+G40*POWER(MUmaster,SIGN(F40))*POWER(INmaster,SIGN(H40))*POWER(CHmaster,SIGN(I40))*POWER(FFmaster,SIGN(J40))*POWER(GEmaster,SIGN(K40))*POWER(KOmaster,SIGN(L40))*POWER(KKmaster,SIGN(M40))+H40*POWER(MUmaster,SIGN(F40))*POWER(KLmaster,SIGN(G40))*POWER(CHmaster,SIGN(I40))*POWER(FFmaster,SIGN(J40))*POWER(GEmaster,SIGN(K40))*POWER(KOmaster,SIGN(L40))*POWER(KKmaster,SIGN(M40))+I40*POWER(MUmaster,SIGN(F40))*POWER(KLmaster,SIGN(G40))*POWER(INmaster,SIGN(H40))*POWER(FFmaster,SIGN(J40))*POWER(GEmaster,SIGN(K40))*POWER(KOmaster,SIGN(L40))*POWER(KKmaster,SIGN(M40))+J40*POWER(MUmaster,SIGN(F40))*POWER(KLmaster,SIGN(G40))*POWER(INmaster,SIGN(H40))*POWER(CHmaster,SIGN(I40))*POWER(GEmaster,SIGN(K40))*POWER(KOmaster,SIGN(L40))*POWER(KKmaster,SIGN(M40))+K40*POWER(MUmaster,SIGN(F40))*POWER(KLmaster,SIGN(G40))*POWER(INmaster,SIGN(H40))*POWER(CHmaster,SIGN(I40))*POWER(FFmaster,SIGN(J40))*POWER(KOmaster,SIGN(L40))*POWER(KKmaster,SIGN(M40))+L40*POWER(MUmaster,SIGN(F40))*POWER(KLmaster,SIGN(G40))*POWER(INmaster,SIGN(H40))*POWER(CHmaster,SIGN(I40))*POWER(FFmaster,SIGN(J40))*POWER(GEmaster,SIGN(K40))*POWER(KKmaster,SIGN(M40))+M40*POWER(MUmaster,SIGN(F40))*POWER(KLmaster,SIGN(G40))*POWER(INmaster,SIGN(H40))*POWER(CHmaster,SIGN(I40))*POWER(FFmaster,SIGN(J40))*POWER(GEmaster,SIGN(K40))*POWER(KOmaster,SIGN(L40))</f>
        <v>2304</v>
      </c>
      <c r="R40" s="113">
        <f>G40*J40*KOmaster+G40*FFmaster*L40+KLmaster*J40*L40</f>
        <v>3456</v>
      </c>
      <c r="S40" s="224">
        <f>IFERROR(F40^SIGN(F40),1)*IFERROR(G40^SIGN(G40),1)*IFERROR(H40^SIGN(H40),1)*IFERROR(I40^SIGN(I40),1)*IFERROR(J40^SIGN(J40),1)*IFERROR(K40^SIGN(K40),1)*IFERROR(L40^SIGN(L40),1)*IFERROR(M40^SIGN(M40),1)</f>
        <v>1728</v>
      </c>
      <c r="T40" s="242">
        <f t="shared" si="280"/>
        <v>7488</v>
      </c>
      <c r="U40" s="222">
        <f t="shared" si="281"/>
        <v>3.6923076923076925</v>
      </c>
      <c r="V40" s="223">
        <f t="shared" si="282"/>
        <v>11.076923076923077</v>
      </c>
      <c r="W40" s="243">
        <f t="shared" si="283"/>
        <v>8.3076923076923084</v>
      </c>
      <c r="X40" s="218">
        <f t="shared" si="284"/>
        <v>23.07692307692308</v>
      </c>
      <c r="Y40" s="252">
        <v>0</v>
      </c>
      <c r="Z40" s="198">
        <f t="shared" si="285"/>
        <v>23.07692307692308</v>
      </c>
      <c r="AA40" s="125">
        <f t="shared" ref="AA40:AB42" si="384">IF(X40&gt;0,X40,0)*3+IF(X40&gt;12,X40-12,0)*3+IF(X40&gt;13,X40-13,0)*3+IF(X40&gt;14,X40-14,0)*3+IF(X40&gt;15,X40-15,0)*3+IF(X40&gt;16,X40-16,0)*3+IF(X40&gt;17,X40-17,0)*3+IF(X40&gt;18,X40-18,0)*3+IF(X40&gt;19,X40-19,0)*3+IF(X40&gt;20,X40-20,0)*3</f>
        <v>260.30769230769232</v>
      </c>
      <c r="AB40" s="160">
        <f t="shared" si="384"/>
        <v>0</v>
      </c>
      <c r="AC40" s="127">
        <f t="shared" si="286"/>
        <v>260.30769230769232</v>
      </c>
      <c r="AD40" s="125">
        <f t="shared" si="287"/>
        <v>0</v>
      </c>
      <c r="AF40" s="163" t="s">
        <v>67</v>
      </c>
      <c r="AG40" s="127" t="s">
        <v>91</v>
      </c>
      <c r="AH40" s="125" t="s">
        <v>135</v>
      </c>
      <c r="AI40" s="114"/>
      <c r="AJ40" s="113">
        <f>Konvention_1slave-KLslave</f>
        <v>12</v>
      </c>
      <c r="AK40" s="113"/>
      <c r="AL40" s="113"/>
      <c r="AM40" s="113">
        <f>Konvention_1slave-FFslave</f>
        <v>12</v>
      </c>
      <c r="AN40" s="113"/>
      <c r="AO40" s="113">
        <f>Konvention_1slave-KOslave</f>
        <v>12</v>
      </c>
      <c r="AP40" s="119"/>
      <c r="AQ40" s="89">
        <f>(AI40+AJ40+AK40+AL40+AM40+AN40+AO40+AP40)/3</f>
        <v>12</v>
      </c>
      <c r="AR40" s="47">
        <f t="shared" si="288"/>
        <v>24</v>
      </c>
      <c r="AS40" s="119">
        <f t="shared" si="289"/>
        <v>36</v>
      </c>
      <c r="AT40" s="114">
        <f>AI40*POWER(KLslave,SIGN(AJ40))*POWER(INslave,SIGN(AK40))*POWER(CHslave,SIGN(AL40))*POWER(FFslave,SIGN(AM40))*POWER(GEslave,SIGN(AN40))*POWER(KOslave,SIGN(AO40))*POWER(KKslave,SIGN(AP40))+AJ40*POWER(MUslave_MU,SIGN(AI40))*POWER(INslave,SIGN(AK40))*POWER(CHslave,SIGN(AL40))*POWER(FFslave,SIGN(AM40))*POWER(GEslave,SIGN(AN40))*POWER(KOslave,SIGN(AO40))*POWER(KKslave,SIGN(AP40))+AK40*POWER(MUslave_MU,SIGN(AI40))*POWER(KLslave,SIGN(AJ40))*POWER(CHslave,SIGN(AL40))*POWER(FFslave,SIGN(AM40))*POWER(GEslave,SIGN(AN40))*POWER(KOslave,SIGN(AO40))*POWER(KKslave,SIGN(AP40))+AL40*POWER(MUslave_MU,SIGN(AI40))*POWER(KLslave,SIGN(AJ40))*POWER(INslave,SIGN(AK40))*POWER(FFslave,SIGN(AM40))*POWER(GEslave,SIGN(AN40))*POWER(KOslave,SIGN(AO40))*POWER(KKslave,SIGN(AP40))+AM40*POWER(MUslave_MU,SIGN(AI40))*POWER(KLslave,SIGN(AJ40))*POWER(INslave,SIGN(AK40))*POWER(CHslave,SIGN(AL40))*POWER(GEslave,SIGN(AN40))*POWER(KOslave,SIGN(AO40))*POWER(KKslave,SIGN(AP40))+AN40*POWER(MUslave_MU,SIGN(AI40))*POWER(KLslave,SIGN(AJ40))*POWER(INslave,SIGN(AK40))*POWER(CHslave,SIGN(AL40))*POWER(FFslave,SIGN(AM40))*POWER(KOslave,SIGN(AO40))*POWER(KKslave,SIGN(AP40))+AO40*POWER(MUslave_MU,SIGN(AI40))*POWER(KLslave,SIGN(AJ40))*POWER(INslave,SIGN(AK40))*POWER(CHslave,SIGN(AL40))*POWER(FFslave,SIGN(AM40))*POWER(GEslave,SIGN(AN40))*POWER(KKslave,SIGN(AP40))+AP40*POWER(MUslave_MU,SIGN(AI40))*POWER(KLslave,SIGN(AJ40))*POWER(INslave,SIGN(AK40))*POWER(CHslave,SIGN(AL40))*POWER(FFslave,SIGN(AM40))*POWER(GEslave,SIGN(AN40))*POWER(KOslave,SIGN(AO40))</f>
        <v>2304</v>
      </c>
      <c r="AU40" s="113">
        <f>AJ40*AM40*KOslave+AJ40*FFslave*AO40+KLslave*AM40*AO40</f>
        <v>3456</v>
      </c>
      <c r="AV40" s="119">
        <f>IFERROR(AI40^SIGN(AI40),1)*IFERROR(AJ40^SIGN(AJ40),1)*IFERROR(AK40^SIGN(AK40),1)*IFERROR(AL40^SIGN(AL40),1)*IFERROR(AM40^SIGN(AM40),1)*IFERROR(AN40^SIGN(AN40),1)*IFERROR(AO40^SIGN(AO40),1)*IFERROR(AP40^SIGN(AP40),1)</f>
        <v>1728</v>
      </c>
      <c r="AW40" s="160">
        <f t="shared" si="291"/>
        <v>7488</v>
      </c>
      <c r="AX40" s="89">
        <f t="shared" si="292"/>
        <v>3.6923076923076925</v>
      </c>
      <c r="AY40" s="47">
        <f t="shared" si="293"/>
        <v>11.076923076923077</v>
      </c>
      <c r="AZ40" s="127">
        <f t="shared" si="294"/>
        <v>8.3076923076923084</v>
      </c>
      <c r="BA40" s="125">
        <f t="shared" si="295"/>
        <v>23.07692307692308</v>
      </c>
      <c r="BB40" s="165">
        <f t="shared" si="296"/>
        <v>0</v>
      </c>
      <c r="BC40" s="198">
        <f t="shared" si="297"/>
        <v>23.07692307692308</v>
      </c>
      <c r="BD40" s="125">
        <f t="shared" ref="BD40:BE42" si="385">IF(BA40&gt;0,BA40,0)*3+IF(BA40&gt;12,BA40-12,0)*3+IF(BA40&gt;13,BA40-13,0)*3+IF(BA40&gt;14,BA40-14,0)*3+IF(BA40&gt;15,BA40-15,0)*3+IF(BA40&gt;16,BA40-16,0)*3+IF(BA40&gt;17,BA40-17,0)*3+IF(BA40&gt;18,BA40-18,0)*3+IF(BA40&gt;19,BA40-19,0)*3+IF(BA40&gt;20,BA40-20,0)*3</f>
        <v>260.30769230769232</v>
      </c>
      <c r="BE40" s="160">
        <f t="shared" si="385"/>
        <v>0</v>
      </c>
      <c r="BF40" s="243">
        <f t="shared" si="298"/>
        <v>260.30769230769232</v>
      </c>
      <c r="BG40" s="218">
        <f t="shared" si="299"/>
        <v>0</v>
      </c>
      <c r="BI40" s="303" t="s">
        <v>67</v>
      </c>
      <c r="BJ40" s="243" t="s">
        <v>91</v>
      </c>
      <c r="BK40" s="218" t="s">
        <v>135</v>
      </c>
      <c r="BL40" s="237"/>
      <c r="BM40" s="234">
        <f>Konvention_1slave-KLslave_KL</f>
        <v>11</v>
      </c>
      <c r="BN40" s="234"/>
      <c r="BO40" s="234"/>
      <c r="BP40" s="234">
        <f>Konvention_1slave-FFslave</f>
        <v>12</v>
      </c>
      <c r="BQ40" s="234"/>
      <c r="BR40" s="234">
        <f>Konvention_1slave-KOslave</f>
        <v>12</v>
      </c>
      <c r="BS40" s="224"/>
      <c r="BT40" s="222">
        <f>(BL40+BM40+BN40+BO40+BP40+BQ40+BR40+BS40)/3</f>
        <v>11.666666666666666</v>
      </c>
      <c r="BU40" s="223">
        <f t="shared" si="300"/>
        <v>23.333333333333332</v>
      </c>
      <c r="BV40" s="224">
        <f t="shared" si="301"/>
        <v>35</v>
      </c>
      <c r="BW40" s="237">
        <f>BL40*POWER(KLslave_KL,SIGN(BM40))*POWER(INslave,SIGN(BN40))*POWER(CHslave,SIGN(BO40))*POWER(FFslave,SIGN(BP40))*POWER(GEslave,SIGN(BQ40))*POWER(KOslave,SIGN(BR40))*POWER(KKslave,SIGN(BS40))+BM40*POWER(MUslave,SIGN(BL40))*POWER(INslave,SIGN(BN40))*POWER(CHslave,SIGN(BO40))*POWER(FFslave,SIGN(BP40))*POWER(GEslave,SIGN(BQ40))*POWER(KOslave,SIGN(BR40))*POWER(KKslave,SIGN(BS40))+BN40*POWER(MUslave,SIGN(BL40))*POWER(KLslave_KL,SIGN(BM40))*POWER(CHslave,SIGN(BO40))*POWER(FFslave,SIGN(BP40))*POWER(GEslave,SIGN(BQ40))*POWER(KOslave,SIGN(BR40))*POWER(KKslave,SIGN(BS40))+BO40*POWER(MUslave,SIGN(BL40))*POWER(KLslave_KL,SIGN(BM40))*POWER(INslave,SIGN(BN40))*POWER(FFslave,SIGN(BP40))*POWER(GEslave,SIGN(BQ40))*POWER(KOslave,SIGN(BR40))*POWER(KKslave,SIGN(BS40))+BP40*POWER(MUslave,SIGN(BL40))*POWER(KLslave_KL,SIGN(BM40))*POWER(INslave,SIGN(BN40))*POWER(CHslave,SIGN(BO40))*POWER(GEslave,SIGN(BQ40))*POWER(KOslave,SIGN(BR40))*POWER(KKslave,SIGN(BS40))+BQ40*POWER(MUslave,SIGN(BL40))*POWER(KLslave_KL,SIGN(BM40))*POWER(INslave,SIGN(BN40))*POWER(CHslave,SIGN(BO40))*POWER(FFslave,SIGN(BP40))*POWER(KOslave,SIGN(BR40))*POWER(KKslave,SIGN(BS40))+BR40*POWER(MUslave,SIGN(BL40))*POWER(KLslave_KL,SIGN(BM40))*POWER(INslave,SIGN(BN40))*POWER(CHslave,SIGN(BO40))*POWER(FFslave,SIGN(BP40))*POWER(GEslave,SIGN(BQ40))*POWER(KKslave,SIGN(BS40))+BS40*POWER(MUslave,SIGN(BL40))*POWER(KLslave_KL,SIGN(BM40))*POWER(INslave,SIGN(BN40))*POWER(CHslave,SIGN(BO40))*POWER(FFslave,SIGN(BP40))*POWER(GEslave,SIGN(BQ40))*POWER(KOslave,SIGN(BR40))</f>
        <v>2432</v>
      </c>
      <c r="BX40" s="234">
        <f>BM40*BP40*KOslave+BM40*FFslave*BR40+KLslave_KL*BP40*BR40</f>
        <v>3408</v>
      </c>
      <c r="BY40" s="224">
        <f>IFERROR(BL40^SIGN(BL40),1)*IFERROR(BM40^SIGN(BM40),1)*IFERROR(BN40^SIGN(BN40),1)*IFERROR(BO40^SIGN(BO40),1)*IFERROR(BP40^SIGN(BP40),1)*IFERROR(BQ40^SIGN(BQ40),1)*IFERROR(BR40^SIGN(BR40),1)*IFERROR(BS40^SIGN(BS40),1)</f>
        <v>1584</v>
      </c>
      <c r="BZ40" s="242">
        <f t="shared" si="303"/>
        <v>7424</v>
      </c>
      <c r="CA40" s="222">
        <f t="shared" si="304"/>
        <v>3.8218390804597702</v>
      </c>
      <c r="CB40" s="223">
        <f t="shared" si="305"/>
        <v>10.711206896551724</v>
      </c>
      <c r="CC40" s="243">
        <f t="shared" si="306"/>
        <v>7.4676724137931032</v>
      </c>
      <c r="CD40" s="218">
        <f t="shared" si="307"/>
        <v>22.000718390804597</v>
      </c>
      <c r="CE40" s="252">
        <f t="shared" si="308"/>
        <v>0</v>
      </c>
      <c r="CF40" s="309">
        <f t="shared" si="309"/>
        <v>22.000718390804597</v>
      </c>
      <c r="CG40" s="218">
        <f t="shared" ref="CG40:CH42" si="386">IF(CD40&gt;0,CD40,0)*3+IF(CD40&gt;12,CD40-12,0)*3+IF(CD40&gt;13,CD40-13,0)*3+IF(CD40&gt;14,CD40-14,0)*3+IF(CD40&gt;15,CD40-15,0)*3+IF(CD40&gt;16,CD40-16,0)*3+IF(CD40&gt;17,CD40-17,0)*3+IF(CD40&gt;18,CD40-18,0)*3+IF(CD40&gt;19,CD40-19,0)*3+IF(CD40&gt;20,CD40-20,0)*3</f>
        <v>228.02155172413785</v>
      </c>
      <c r="CH40" s="242">
        <f t="shared" si="386"/>
        <v>0</v>
      </c>
      <c r="CI40" s="243">
        <f t="shared" si="310"/>
        <v>228.02155172413785</v>
      </c>
      <c r="CJ40" s="218">
        <f t="shared" si="311"/>
        <v>0</v>
      </c>
      <c r="CL40" s="303" t="s">
        <v>67</v>
      </c>
      <c r="CM40" s="243" t="s">
        <v>91</v>
      </c>
      <c r="CN40" s="218" t="s">
        <v>135</v>
      </c>
      <c r="CO40" s="237"/>
      <c r="CP40" s="234">
        <f>Konvention_1slave-KLslave</f>
        <v>12</v>
      </c>
      <c r="CQ40" s="234"/>
      <c r="CR40" s="234"/>
      <c r="CS40" s="234">
        <f>Konvention_1slave-FFslave</f>
        <v>12</v>
      </c>
      <c r="CT40" s="234"/>
      <c r="CU40" s="234">
        <f>Konvention_1slave-KOslave</f>
        <v>12</v>
      </c>
      <c r="CV40" s="224"/>
      <c r="CW40" s="222">
        <f>(CO40+CP40+CQ40+CR40+CS40+CT40+CU40+CV40)/3</f>
        <v>12</v>
      </c>
      <c r="CX40" s="223">
        <f t="shared" si="312"/>
        <v>24</v>
      </c>
      <c r="CY40" s="224">
        <f t="shared" si="313"/>
        <v>36</v>
      </c>
      <c r="CZ40" s="237">
        <f>CO40*POWER(KLslave,SIGN(CP40))*POWER(INslave_IN,SIGN(CQ40))*POWER(CHslave,SIGN(CR40))*POWER(FFslave,SIGN(CS40))*POWER(GEslave,SIGN(CT40))*POWER(KOslave,SIGN(CU40))*POWER(KKslave,SIGN(CV40))+CP40*POWER(MUslave,SIGN(CO40))*POWER(INslave_IN,SIGN(CQ40))*POWER(CHslave,SIGN(CR40))*POWER(FFslave,SIGN(CS40))*POWER(GEslave,SIGN(CT40))*POWER(KOslave,SIGN(CU40))*POWER(KKslave,SIGN(CV40))+CQ40*POWER(MUslave,SIGN(CO40))*POWER(KLslave,SIGN(CP40))*POWER(CHslave,SIGN(CR40))*POWER(FFslave,SIGN(CS40))*POWER(GEslave,SIGN(CT40))*POWER(KOslave,SIGN(CU40))*POWER(KKslave,SIGN(CV40))+CR40*POWER(MUslave,SIGN(CO40))*POWER(KLslave,SIGN(CP40))*POWER(INslave_IN,SIGN(CQ40))*POWER(FFslave,SIGN(CS40))*POWER(GEslave,SIGN(CT40))*POWER(KOslave,SIGN(CU40))*POWER(KKslave,SIGN(CV40))+CS40*POWER(MUslave,SIGN(CO40))*POWER(KLslave,SIGN(CP40))*POWER(INslave_IN,SIGN(CQ40))*POWER(CHslave,SIGN(CR40))*POWER(GEslave,SIGN(CT40))*POWER(KOslave,SIGN(CU40))*POWER(KKslave,SIGN(CV40))+CT40*POWER(MUslave,SIGN(CO40))*POWER(KLslave,SIGN(CP40))*POWER(INslave_IN,SIGN(CQ40))*POWER(CHslave,SIGN(CR40))*POWER(FFslave,SIGN(CS40))*POWER(KOslave,SIGN(CU40))*POWER(KKslave,SIGN(CV40))+CU40*POWER(MUslave,SIGN(CO40))*POWER(KLslave,SIGN(CP40))*POWER(INslave_IN,SIGN(CQ40))*POWER(CHslave,SIGN(CR40))*POWER(FFslave,SIGN(CS40))*POWER(GEslave,SIGN(CT40))*POWER(KKslave,SIGN(CV40))+CV40*POWER(MUslave,SIGN(CO40))*POWER(KLslave,SIGN(CP40))*POWER(INslave_IN,SIGN(CQ40))*POWER(CHslave,SIGN(CR40))*POWER(FFslave,SIGN(CS40))*POWER(GEslave,SIGN(CT40))*POWER(KOslave,SIGN(CU40))</f>
        <v>2304</v>
      </c>
      <c r="DA40" s="234">
        <f>CP40*CS40*KOslave+CP40*FFslave*CU40+KLslave*CS40*CU40</f>
        <v>3456</v>
      </c>
      <c r="DB40" s="224">
        <f>IFERROR(CO40^SIGN(CO40),1)*IFERROR(CP40^SIGN(CP40),1)*IFERROR(CQ40^SIGN(CQ40),1)*IFERROR(CR40^SIGN(CR40),1)*IFERROR(CS40^SIGN(CS40),1)*IFERROR(CT40^SIGN(CT40),1)*IFERROR(CU40^SIGN(CU40),1)*IFERROR(CV40^SIGN(CV40),1)</f>
        <v>1728</v>
      </c>
      <c r="DC40" s="242">
        <f t="shared" si="315"/>
        <v>7488</v>
      </c>
      <c r="DD40" s="222">
        <f t="shared" si="316"/>
        <v>3.6923076923076925</v>
      </c>
      <c r="DE40" s="223">
        <f t="shared" si="317"/>
        <v>11.076923076923077</v>
      </c>
      <c r="DF40" s="243">
        <f t="shared" si="318"/>
        <v>8.3076923076923084</v>
      </c>
      <c r="DG40" s="218">
        <f t="shared" si="319"/>
        <v>23.07692307692308</v>
      </c>
      <c r="DH40" s="252">
        <f t="shared" si="320"/>
        <v>0</v>
      </c>
      <c r="DI40" s="309">
        <f t="shared" si="321"/>
        <v>23.07692307692308</v>
      </c>
      <c r="DJ40" s="218">
        <f t="shared" ref="DJ40:DK42" si="387">IF(DG40&gt;0,DG40,0)*3+IF(DG40&gt;12,DG40-12,0)*3+IF(DG40&gt;13,DG40-13,0)*3+IF(DG40&gt;14,DG40-14,0)*3+IF(DG40&gt;15,DG40-15,0)*3+IF(DG40&gt;16,DG40-16,0)*3+IF(DG40&gt;17,DG40-17,0)*3+IF(DG40&gt;18,DG40-18,0)*3+IF(DG40&gt;19,DG40-19,0)*3+IF(DG40&gt;20,DG40-20,0)*3</f>
        <v>260.30769230769232</v>
      </c>
      <c r="DK40" s="242">
        <f t="shared" si="387"/>
        <v>0</v>
      </c>
      <c r="DL40" s="243">
        <f t="shared" si="322"/>
        <v>260.30769230769232</v>
      </c>
      <c r="DM40" s="218">
        <f t="shared" si="323"/>
        <v>0</v>
      </c>
      <c r="DO40" s="303" t="s">
        <v>67</v>
      </c>
      <c r="DP40" s="243" t="s">
        <v>91</v>
      </c>
      <c r="DQ40" s="218" t="s">
        <v>135</v>
      </c>
      <c r="DR40" s="237"/>
      <c r="DS40" s="234">
        <f>Konvention_1slave-KLslave</f>
        <v>12</v>
      </c>
      <c r="DT40" s="234"/>
      <c r="DU40" s="234"/>
      <c r="DV40" s="234">
        <f>Konvention_1slave-FFslave</f>
        <v>12</v>
      </c>
      <c r="DW40" s="234"/>
      <c r="DX40" s="234">
        <f>Konvention_1slave-KOslave</f>
        <v>12</v>
      </c>
      <c r="DY40" s="224"/>
      <c r="DZ40" s="222">
        <f>(DR40+DS40+DT40+DU40+DV40+DW40+DX40+DY40)/3</f>
        <v>12</v>
      </c>
      <c r="EA40" s="223">
        <f t="shared" si="324"/>
        <v>24</v>
      </c>
      <c r="EB40" s="224">
        <f t="shared" si="325"/>
        <v>36</v>
      </c>
      <c r="EC40" s="237">
        <f>DR40*POWER(KLslave,SIGN(DS40))*POWER(INslave,SIGN(DT40))*POWER(CHslave_CH,SIGN(DU40))*POWER(FFslave,SIGN(DV40))*POWER(GEslave,SIGN(DW40))*POWER(KOslave,SIGN(DX40))*POWER(KKslave,SIGN(DY40))+DS40*POWER(MUslave,SIGN(DR40))*POWER(INslave,SIGN(DT40))*POWER(CHslave_CH,SIGN(DU40))*POWER(FFslave,SIGN(DV40))*POWER(GEslave,SIGN(DW40))*POWER(KOslave,SIGN(DX40))*POWER(KKslave,SIGN(DY40))+DT40*POWER(MUslave,SIGN(DR40))*POWER(KLslave,SIGN(DS40))*POWER(CHslave_CH,SIGN(DU40))*POWER(FFslave,SIGN(DV40))*POWER(GEslave,SIGN(DW40))*POWER(KOslave,SIGN(DX40))*POWER(KKslave,SIGN(DY40))+DU40*POWER(MUslave,SIGN(DR40))*POWER(KLslave,SIGN(DS40))*POWER(INslave,SIGN(DT40))*POWER(FFslave,SIGN(DV40))*POWER(GEslave,SIGN(DW40))*POWER(KOslave,SIGN(DX40))*POWER(KKslave,SIGN(DY40))+DV40*POWER(MUslave,SIGN(DR40))*POWER(KLslave,SIGN(DS40))*POWER(INslave,SIGN(DT40))*POWER(CHslave_CH,SIGN(DU40))*POWER(GEslave,SIGN(DW40))*POWER(KOslave,SIGN(DX40))*POWER(KKslave,SIGN(DY40))+DW40*POWER(MUslave,SIGN(DR40))*POWER(KLslave,SIGN(DS40))*POWER(INslave,SIGN(DT40))*POWER(CHslave_CH,SIGN(DU40))*POWER(FFslave,SIGN(DV40))*POWER(KOslave,SIGN(DX40))*POWER(KKslave,SIGN(DY40))+DX40*POWER(MUslave,SIGN(DR40))*POWER(KLslave,SIGN(DS40))*POWER(INslave,SIGN(DT40))*POWER(CHslave_CH,SIGN(DU40))*POWER(FFslave,SIGN(DV40))*POWER(GEslave,SIGN(DW40))*POWER(KKslave,SIGN(DY40))+DY40*POWER(MUslave,SIGN(DR40))*POWER(KLslave,SIGN(DS40))*POWER(INslave,SIGN(DT40))*POWER(CHslave_CH,SIGN(DU40))*POWER(FFslave,SIGN(DV40))*POWER(GEslave,SIGN(DW40))*POWER(KOslave,SIGN(DX40))</f>
        <v>2304</v>
      </c>
      <c r="ED40" s="234">
        <f>DS40*DV40*KOslave+DS40*FFslave*DX40+KLslave*DV40*DX40</f>
        <v>3456</v>
      </c>
      <c r="EE40" s="224">
        <f>IFERROR(DR40^SIGN(DR40),1)*IFERROR(DS40^SIGN(DS40),1)*IFERROR(DT40^SIGN(DT40),1)*IFERROR(DU40^SIGN(DU40),1)*IFERROR(DV40^SIGN(DV40),1)*IFERROR(DW40^SIGN(DW40),1)*IFERROR(DX40^SIGN(DX40),1)*IFERROR(DY40^SIGN(DY40),1)</f>
        <v>1728</v>
      </c>
      <c r="EF40" s="242">
        <f t="shared" si="327"/>
        <v>7488</v>
      </c>
      <c r="EG40" s="222">
        <f t="shared" si="328"/>
        <v>3.6923076923076925</v>
      </c>
      <c r="EH40" s="223">
        <f t="shared" si="329"/>
        <v>11.076923076923077</v>
      </c>
      <c r="EI40" s="243">
        <f t="shared" si="330"/>
        <v>8.3076923076923084</v>
      </c>
      <c r="EJ40" s="218">
        <f t="shared" si="331"/>
        <v>23.07692307692308</v>
      </c>
      <c r="EK40" s="252">
        <f t="shared" si="332"/>
        <v>0</v>
      </c>
      <c r="EL40" s="309">
        <f t="shared" si="333"/>
        <v>23.07692307692308</v>
      </c>
      <c r="EM40" s="218">
        <f t="shared" ref="EM40:EN42" si="388">IF(EJ40&gt;0,EJ40,0)*3+IF(EJ40&gt;12,EJ40-12,0)*3+IF(EJ40&gt;13,EJ40-13,0)*3+IF(EJ40&gt;14,EJ40-14,0)*3+IF(EJ40&gt;15,EJ40-15,0)*3+IF(EJ40&gt;16,EJ40-16,0)*3+IF(EJ40&gt;17,EJ40-17,0)*3+IF(EJ40&gt;18,EJ40-18,0)*3+IF(EJ40&gt;19,EJ40-19,0)*3+IF(EJ40&gt;20,EJ40-20,0)*3</f>
        <v>260.30769230769232</v>
      </c>
      <c r="EN40" s="242">
        <f t="shared" si="388"/>
        <v>0</v>
      </c>
      <c r="EO40" s="243">
        <f t="shared" si="334"/>
        <v>260.30769230769232</v>
      </c>
      <c r="EP40" s="218">
        <f t="shared" si="335"/>
        <v>0</v>
      </c>
      <c r="ER40" s="303" t="s">
        <v>67</v>
      </c>
      <c r="ES40" s="243" t="s">
        <v>91</v>
      </c>
      <c r="ET40" s="218" t="s">
        <v>135</v>
      </c>
      <c r="EU40" s="237"/>
      <c r="EV40" s="234">
        <f>Konvention_1slave-KLslave</f>
        <v>12</v>
      </c>
      <c r="EW40" s="234"/>
      <c r="EX40" s="234"/>
      <c r="EY40" s="234">
        <f>Konvention_1slave-FFslave_FF</f>
        <v>11</v>
      </c>
      <c r="EZ40" s="234"/>
      <c r="FA40" s="234">
        <f>Konvention_1slave-KOslave</f>
        <v>12</v>
      </c>
      <c r="FB40" s="224"/>
      <c r="FC40" s="222">
        <f>(EU40+EV40+EW40+EX40+EY40+EZ40+FA40+FB40)/3</f>
        <v>11.666666666666666</v>
      </c>
      <c r="FD40" s="223">
        <f t="shared" si="336"/>
        <v>23.333333333333332</v>
      </c>
      <c r="FE40" s="224">
        <f t="shared" si="337"/>
        <v>35</v>
      </c>
      <c r="FF40" s="237">
        <f>EU40*POWER(KLslave,SIGN(EV40))*POWER(INslave,SIGN(EW40))*POWER(CHslave,SIGN(EX40))*POWER(FFslave_FF,SIGN(EY40))*POWER(GEslave,SIGN(EZ40))*POWER(KOslave,SIGN(FA40))*POWER(KKslave,SIGN(FB40))+EV40*POWER(MUslave,SIGN(EU40))*POWER(INslave,SIGN(EW40))*POWER(CHslave,SIGN(EX40))*POWER(FFslave_FF,SIGN(EY40))*POWER(GEslave,SIGN(EZ40))*POWER(KOslave,SIGN(FA40))*POWER(KKslave,SIGN(FB40))+EW40*POWER(MUslave,SIGN(EU40))*POWER(KLslave,SIGN(EV40))*POWER(CHslave,SIGN(EX40))*POWER(FFslave_FF,SIGN(EY40))*POWER(GEslave,SIGN(EZ40))*POWER(KOslave,SIGN(FA40))*POWER(KKslave,SIGN(FB40))+EX40*POWER(MUslave,SIGN(EU40))*POWER(KLslave,SIGN(EV40))*POWER(INslave,SIGN(EW40))*POWER(FFslave_FF,SIGN(EY40))*POWER(GEslave,SIGN(EZ40))*POWER(KOslave,SIGN(FA40))*POWER(KKslave,SIGN(FB40))+EY40*POWER(MUslave,SIGN(EU40))*POWER(KLslave,SIGN(EV40))*POWER(INslave,SIGN(EW40))*POWER(CHslave,SIGN(EX40))*POWER(GEslave,SIGN(EZ40))*POWER(KOslave,SIGN(FA40))*POWER(KKslave,SIGN(FB40))+EZ40*POWER(MUslave,SIGN(EU40))*POWER(KLslave,SIGN(EV40))*POWER(INslave,SIGN(EW40))*POWER(CHslave,SIGN(EX40))*POWER(FFslave_FF,SIGN(EY40))*POWER(KOslave,SIGN(FA40))*POWER(KKslave,SIGN(FB40))+FA40*POWER(MUslave,SIGN(EU40))*POWER(KLslave,SIGN(EV40))*POWER(INslave,SIGN(EW40))*POWER(CHslave,SIGN(EX40))*POWER(FFslave_FF,SIGN(EY40))*POWER(GEslave,SIGN(EZ40))*POWER(KKslave,SIGN(FB40))+FB40*POWER(MUslave,SIGN(EU40))*POWER(KLslave,SIGN(EV40))*POWER(INslave,SIGN(EW40))*POWER(CHslave,SIGN(EX40))*POWER(FFslave_FF,SIGN(EY40))*POWER(GEslave,SIGN(EZ40))*POWER(KOslave,SIGN(FA40))</f>
        <v>2432</v>
      </c>
      <c r="FG40" s="234">
        <f>EV40*EY40*KOslave+EV40*FFslave_FF*FA40+KLslave*EY40*FA40</f>
        <v>3408</v>
      </c>
      <c r="FH40" s="224">
        <f>IFERROR(EU40^SIGN(EU40),1)*IFERROR(EV40^SIGN(EV40),1)*IFERROR(EW40^SIGN(EW40),1)*IFERROR(EX40^SIGN(EX40),1)*IFERROR(EY40^SIGN(EY40),1)*IFERROR(EZ40^SIGN(EZ40),1)*IFERROR(FA40^SIGN(FA40),1)*IFERROR(FB40^SIGN(FB40),1)</f>
        <v>1584</v>
      </c>
      <c r="FI40" s="242">
        <f t="shared" si="339"/>
        <v>7424</v>
      </c>
      <c r="FJ40" s="222">
        <f t="shared" si="340"/>
        <v>3.8218390804597702</v>
      </c>
      <c r="FK40" s="223">
        <f t="shared" si="341"/>
        <v>10.711206896551724</v>
      </c>
      <c r="FL40" s="243">
        <f t="shared" si="342"/>
        <v>7.4676724137931032</v>
      </c>
      <c r="FM40" s="218">
        <f t="shared" si="343"/>
        <v>22.000718390804597</v>
      </c>
      <c r="FN40" s="252">
        <f t="shared" si="344"/>
        <v>0</v>
      </c>
      <c r="FO40" s="309">
        <f t="shared" si="345"/>
        <v>22.000718390804597</v>
      </c>
      <c r="FP40" s="218">
        <f t="shared" ref="FP40:FQ42" si="389">IF(FM40&gt;0,FM40,0)*3+IF(FM40&gt;12,FM40-12,0)*3+IF(FM40&gt;13,FM40-13,0)*3+IF(FM40&gt;14,FM40-14,0)*3+IF(FM40&gt;15,FM40-15,0)*3+IF(FM40&gt;16,FM40-16,0)*3+IF(FM40&gt;17,FM40-17,0)*3+IF(FM40&gt;18,FM40-18,0)*3+IF(FM40&gt;19,FM40-19,0)*3+IF(FM40&gt;20,FM40-20,0)*3</f>
        <v>228.02155172413785</v>
      </c>
      <c r="FQ40" s="242">
        <f t="shared" si="389"/>
        <v>0</v>
      </c>
      <c r="FR40" s="243">
        <f t="shared" si="346"/>
        <v>228.02155172413785</v>
      </c>
      <c r="FS40" s="218">
        <f t="shared" si="347"/>
        <v>0</v>
      </c>
      <c r="FU40" s="303" t="s">
        <v>67</v>
      </c>
      <c r="FV40" s="243" t="s">
        <v>91</v>
      </c>
      <c r="FW40" s="218" t="s">
        <v>135</v>
      </c>
      <c r="FX40" s="237"/>
      <c r="FY40" s="234">
        <f>Konvention_1slave-KLslave</f>
        <v>12</v>
      </c>
      <c r="FZ40" s="234"/>
      <c r="GA40" s="234"/>
      <c r="GB40" s="234">
        <f>Konvention_1slave-FFslave</f>
        <v>12</v>
      </c>
      <c r="GC40" s="234"/>
      <c r="GD40" s="234">
        <f>Konvention_1slave-KOslave</f>
        <v>12</v>
      </c>
      <c r="GE40" s="224"/>
      <c r="GF40" s="222">
        <f>(FX40+FY40+FZ40+GA40+GB40+GC40+GD40+GE40)/3</f>
        <v>12</v>
      </c>
      <c r="GG40" s="223">
        <f t="shared" si="348"/>
        <v>24</v>
      </c>
      <c r="GH40" s="224">
        <f t="shared" si="349"/>
        <v>36</v>
      </c>
      <c r="GI40" s="237">
        <f>FX40*POWER(KLslave,SIGN(FY40))*POWER(INslave,SIGN(FZ40))*POWER(CHslave,SIGN(GA40))*POWER(FFslave,SIGN(GB40))*POWER(GEslave_GE,SIGN(GC40))*POWER(KOslave,SIGN(GD40))*POWER(KKslave,SIGN(GE40))+FY40*POWER(MUslave,SIGN(FX40))*POWER(INslave,SIGN(FZ40))*POWER(CHslave,SIGN(GA40))*POWER(FFslave,SIGN(GB40))*POWER(GEslave_GE,SIGN(GC40))*POWER(KOslave,SIGN(GD40))*POWER(KKslave,SIGN(GE40))+FZ40*POWER(MUslave,SIGN(FX40))*POWER(KLslave,SIGN(FY40))*POWER(CHslave,SIGN(GA40))*POWER(FFslave,SIGN(GB40))*POWER(GEslave_GE,SIGN(GC40))*POWER(KOslave,SIGN(GD40))*POWER(KKslave,SIGN(GE40))+GA40*POWER(MUslave,SIGN(FX40))*POWER(KLslave,SIGN(FY40))*POWER(INslave,SIGN(FZ40))*POWER(FFslave,SIGN(GB40))*POWER(GEslave_GE,SIGN(GC40))*POWER(KOslave,SIGN(GD40))*POWER(KKslave,SIGN(GE40))+GB40*POWER(MUslave,SIGN(FX40))*POWER(KLslave,SIGN(FY40))*POWER(INslave,SIGN(FZ40))*POWER(CHslave,SIGN(GA40))*POWER(GEslave_GE,SIGN(GC40))*POWER(KOslave,SIGN(GD40))*POWER(KKslave,SIGN(GE40))+GC40*POWER(MUslave,SIGN(FX40))*POWER(KLslave,SIGN(FY40))*POWER(INslave,SIGN(FZ40))*POWER(CHslave,SIGN(GA40))*POWER(FFslave,SIGN(GB40))*POWER(KOslave,SIGN(GD40))*POWER(KKslave,SIGN(GE40))+GD40*POWER(MUslave,SIGN(FX40))*POWER(KLslave,SIGN(FY40))*POWER(INslave,SIGN(FZ40))*POWER(CHslave,SIGN(GA40))*POWER(FFslave,SIGN(GB40))*POWER(GEslave_GE,SIGN(GC40))*POWER(KKslave,SIGN(GE40))+GE40*POWER(MUslave,SIGN(FX40))*POWER(KLslave,SIGN(FY40))*POWER(INslave,SIGN(FZ40))*POWER(CHslave,SIGN(GA40))*POWER(FFslave,SIGN(GB40))*POWER(GEslave_GE,SIGN(GC40))*POWER(KOslave,SIGN(GD40))</f>
        <v>2304</v>
      </c>
      <c r="GJ40" s="234">
        <f>FY40*GB40*KOslave+FY40*FFslave*GD40+KLslave*GB40*GD40</f>
        <v>3456</v>
      </c>
      <c r="GK40" s="224">
        <f>IFERROR(FX40^SIGN(FX40),1)*IFERROR(FY40^SIGN(FY40),1)*IFERROR(FZ40^SIGN(FZ40),1)*IFERROR(GA40^SIGN(GA40),1)*IFERROR(GB40^SIGN(GB40),1)*IFERROR(GC40^SIGN(GC40),1)*IFERROR(GD40^SIGN(GD40),1)*IFERROR(GE40^SIGN(GE40),1)</f>
        <v>1728</v>
      </c>
      <c r="GL40" s="242">
        <f t="shared" si="351"/>
        <v>7488</v>
      </c>
      <c r="GM40" s="222">
        <f t="shared" si="352"/>
        <v>3.6923076923076925</v>
      </c>
      <c r="GN40" s="223">
        <f t="shared" si="353"/>
        <v>11.076923076923077</v>
      </c>
      <c r="GO40" s="243">
        <f t="shared" si="354"/>
        <v>8.3076923076923084</v>
      </c>
      <c r="GP40" s="218">
        <f t="shared" si="355"/>
        <v>23.07692307692308</v>
      </c>
      <c r="GQ40" s="252">
        <f t="shared" si="356"/>
        <v>0</v>
      </c>
      <c r="GR40" s="309">
        <f t="shared" si="357"/>
        <v>23.07692307692308</v>
      </c>
      <c r="GS40" s="218">
        <f t="shared" ref="GS40:GT42" si="390">IF(GP40&gt;0,GP40,0)*3+IF(GP40&gt;12,GP40-12,0)*3+IF(GP40&gt;13,GP40-13,0)*3+IF(GP40&gt;14,GP40-14,0)*3+IF(GP40&gt;15,GP40-15,0)*3+IF(GP40&gt;16,GP40-16,0)*3+IF(GP40&gt;17,GP40-17,0)*3+IF(GP40&gt;18,GP40-18,0)*3+IF(GP40&gt;19,GP40-19,0)*3+IF(GP40&gt;20,GP40-20,0)*3</f>
        <v>260.30769230769232</v>
      </c>
      <c r="GT40" s="242">
        <f t="shared" si="390"/>
        <v>0</v>
      </c>
      <c r="GU40" s="243">
        <f t="shared" si="358"/>
        <v>260.30769230769232</v>
      </c>
      <c r="GV40" s="218">
        <f t="shared" si="359"/>
        <v>0</v>
      </c>
      <c r="GX40" s="303" t="s">
        <v>67</v>
      </c>
      <c r="GY40" s="243" t="s">
        <v>91</v>
      </c>
      <c r="GZ40" s="218" t="s">
        <v>135</v>
      </c>
      <c r="HA40" s="237"/>
      <c r="HB40" s="234">
        <f>Konvention_1slave-KLslave</f>
        <v>12</v>
      </c>
      <c r="HC40" s="234"/>
      <c r="HD40" s="234"/>
      <c r="HE40" s="234">
        <f>Konvention_1slave-FFslave</f>
        <v>12</v>
      </c>
      <c r="HF40" s="234"/>
      <c r="HG40" s="234">
        <f>Konvention_1slave-KOslave_KO</f>
        <v>11</v>
      </c>
      <c r="HH40" s="224"/>
      <c r="HI40" s="222">
        <f>(HA40+HB40+HC40+HD40+HE40+HF40+HG40+HH40)/3</f>
        <v>11.666666666666666</v>
      </c>
      <c r="HJ40" s="223">
        <f t="shared" si="360"/>
        <v>23.333333333333332</v>
      </c>
      <c r="HK40" s="224">
        <f t="shared" si="361"/>
        <v>35</v>
      </c>
      <c r="HL40" s="237">
        <f>HA40*POWER(KLslave,SIGN(HB40))*POWER(INslave,SIGN(HC40))*POWER(CHslave,SIGN(HD40))*POWER(FFslave,SIGN(HE40))*POWER(GEslave,SIGN(HF40))*POWER(KOslave_KO,SIGN(HG40))*POWER(KKslave,SIGN(HH40))+HB40*POWER(MUslave,SIGN(HA40))*POWER(INslave,SIGN(HC40))*POWER(CHslave,SIGN(HD40))*POWER(FFslave,SIGN(HE40))*POWER(GEslave,SIGN(HF40))*POWER(KOslave_KO,SIGN(HG40))*POWER(KKslave,SIGN(HH40))+HC40*POWER(MUslave,SIGN(HA40))*POWER(KLslave,SIGN(HB40))*POWER(CHslave,SIGN(HD40))*POWER(FFslave,SIGN(HE40))*POWER(GEslave,SIGN(HF40))*POWER(KOslave_KO,SIGN(HG40))*POWER(KKslave,SIGN(HH40))+HD40*POWER(MUslave,SIGN(HA40))*POWER(KLslave,SIGN(HB40))*POWER(INslave,SIGN(HC40))*POWER(FFslave,SIGN(HE40))*POWER(GEslave,SIGN(HF40))*POWER(KOslave_KO,SIGN(HG40))*POWER(KKslave,SIGN(HH40))+HE40*POWER(MUslave,SIGN(HA40))*POWER(KLslave,SIGN(HB40))*POWER(INslave,SIGN(HC40))*POWER(CHslave,SIGN(HD40))*POWER(GEslave,SIGN(HF40))*POWER(KOslave_KO,SIGN(HG40))*POWER(KKslave,SIGN(HH40))+HF40*POWER(MUslave,SIGN(HA40))*POWER(KLslave,SIGN(HB40))*POWER(INslave,SIGN(HC40))*POWER(CHslave,SIGN(HD40))*POWER(FFslave,SIGN(HE40))*POWER(KOslave_KO,SIGN(HG40))*POWER(KKslave,SIGN(HH40))+HG40*POWER(MUslave,SIGN(HA40))*POWER(KLslave,SIGN(HB40))*POWER(INslave,SIGN(HC40))*POWER(CHslave,SIGN(HD40))*POWER(FFslave,SIGN(HE40))*POWER(GEslave,SIGN(HF40))*POWER(KKslave,SIGN(HH40))+HH40*POWER(MUslave,SIGN(HA40))*POWER(KLslave,SIGN(HB40))*POWER(INslave,SIGN(HC40))*POWER(CHslave,SIGN(HD40))*POWER(FFslave,SIGN(HE40))*POWER(GEslave,SIGN(HF40))*POWER(KOslave_KO,SIGN(HG40))</f>
        <v>2432</v>
      </c>
      <c r="HM40" s="234">
        <f>HB40*HE40*KOslave_KO+HB40*FFslave*HG40+KLslave*HE40*HG40</f>
        <v>3408</v>
      </c>
      <c r="HN40" s="224">
        <f>IFERROR(HA40^SIGN(HA40),1)*IFERROR(HB40^SIGN(HB40),1)*IFERROR(HC40^SIGN(HC40),1)*IFERROR(HD40^SIGN(HD40),1)*IFERROR(HE40^SIGN(HE40),1)*IFERROR(HF40^SIGN(HF40),1)*IFERROR(HG40^SIGN(HG40),1)*IFERROR(HH40^SIGN(HH40),1)</f>
        <v>1584</v>
      </c>
      <c r="HO40" s="242">
        <f t="shared" si="363"/>
        <v>7424</v>
      </c>
      <c r="HP40" s="222">
        <f t="shared" si="364"/>
        <v>3.8218390804597702</v>
      </c>
      <c r="HQ40" s="223">
        <f t="shared" si="365"/>
        <v>10.711206896551724</v>
      </c>
      <c r="HR40" s="243">
        <f t="shared" si="366"/>
        <v>7.4676724137931032</v>
      </c>
      <c r="HS40" s="218">
        <f t="shared" si="367"/>
        <v>22.000718390804597</v>
      </c>
      <c r="HT40" s="252">
        <f t="shared" si="368"/>
        <v>0</v>
      </c>
      <c r="HU40" s="309">
        <f t="shared" si="369"/>
        <v>22.000718390804597</v>
      </c>
      <c r="HV40" s="218">
        <f t="shared" ref="HV40:HW42" si="391">IF(HS40&gt;0,HS40,0)*3+IF(HS40&gt;12,HS40-12,0)*3+IF(HS40&gt;13,HS40-13,0)*3+IF(HS40&gt;14,HS40-14,0)*3+IF(HS40&gt;15,HS40-15,0)*3+IF(HS40&gt;16,HS40-16,0)*3+IF(HS40&gt;17,HS40-17,0)*3+IF(HS40&gt;18,HS40-18,0)*3+IF(HS40&gt;19,HS40-19,0)*3+IF(HS40&gt;20,HS40-20,0)*3</f>
        <v>228.02155172413785</v>
      </c>
      <c r="HW40" s="242">
        <f t="shared" si="391"/>
        <v>0</v>
      </c>
      <c r="HX40" s="243">
        <f t="shared" si="370"/>
        <v>228.02155172413785</v>
      </c>
      <c r="HY40" s="218">
        <f t="shared" si="371"/>
        <v>0</v>
      </c>
      <c r="IA40" s="303" t="s">
        <v>67</v>
      </c>
      <c r="IB40" s="243" t="s">
        <v>91</v>
      </c>
      <c r="IC40" s="218" t="s">
        <v>135</v>
      </c>
      <c r="ID40" s="237"/>
      <c r="IE40" s="234">
        <f>Konvention_1slave-KLslave</f>
        <v>12</v>
      </c>
      <c r="IF40" s="234"/>
      <c r="IG40" s="234"/>
      <c r="IH40" s="234">
        <f>Konvention_1slave-FFslave</f>
        <v>12</v>
      </c>
      <c r="II40" s="234"/>
      <c r="IJ40" s="234">
        <f>Konvention_1slave-KOslave</f>
        <v>12</v>
      </c>
      <c r="IK40" s="224"/>
      <c r="IL40" s="222">
        <f>(ID40+IE40+IF40+IG40+IH40+II40+IJ40+IK40)/3</f>
        <v>12</v>
      </c>
      <c r="IM40" s="223">
        <f t="shared" si="372"/>
        <v>24</v>
      </c>
      <c r="IN40" s="224">
        <f t="shared" si="373"/>
        <v>36</v>
      </c>
      <c r="IO40" s="237">
        <f>ID40*POWER(KLslave,SIGN(IE40))*POWER(INslave,SIGN(IF40))*POWER(CHslave,SIGN(IG40))*POWER(FFslave,SIGN(IH40))*POWER(GEslave,SIGN(II40))*POWER(KOslave,SIGN(IJ40))*POWER(KKslave_KK,SIGN(IK40))+IE40*POWER(MUslave,SIGN(ID40))*POWER(INslave,SIGN(IF40))*POWER(CHslave,SIGN(IG40))*POWER(FFslave,SIGN(IH40))*POWER(GEslave,SIGN(II40))*POWER(KOslave,SIGN(IJ40))*POWER(KKslave_KK,SIGN(IK40))+IF40*POWER(MUslave,SIGN(ID40))*POWER(KLslave,SIGN(IE40))*POWER(CHslave,SIGN(IG40))*POWER(FFslave,SIGN(IH40))*POWER(GEslave,SIGN(II40))*POWER(KOslave,SIGN(IJ40))*POWER(KKslave_KK,SIGN(IK40))+IG40*POWER(MUslave,SIGN(ID40))*POWER(KLslave,SIGN(IE40))*POWER(INslave,SIGN(IF40))*POWER(FFslave,SIGN(IH40))*POWER(GEslave,SIGN(II40))*POWER(KOslave,SIGN(IJ40))*POWER(KKslave_KK,SIGN(IK40))+IH40*POWER(MUslave,SIGN(ID40))*POWER(KLslave,SIGN(IE40))*POWER(INslave,SIGN(IF40))*POWER(CHslave,SIGN(IG40))*POWER(GEslave,SIGN(II40))*POWER(KOslave,SIGN(IJ40))*POWER(KKslave_KK,SIGN(IK40))+II40*POWER(MUslave,SIGN(ID40))*POWER(KLslave,SIGN(IE40))*POWER(INslave,SIGN(IF40))*POWER(CHslave,SIGN(IG40))*POWER(FFslave,SIGN(IH40))*POWER(KOslave,SIGN(IJ40))*POWER(KKslave_KK,SIGN(IK40))+IJ40*POWER(MUslave,SIGN(ID40))*POWER(KLslave,SIGN(IE40))*POWER(INslave,SIGN(IF40))*POWER(CHslave,SIGN(IG40))*POWER(FFslave,SIGN(IH40))*POWER(GEslave,SIGN(II40))*POWER(KKslave_KK,SIGN(IK40))+IK40*POWER(MUslave,SIGN(ID40))*POWER(KLslave,SIGN(IE40))*POWER(INslave,SIGN(IF40))*POWER(CHslave,SIGN(IG40))*POWER(FFslave,SIGN(IH40))*POWER(GEslave,SIGN(II40))*POWER(KOslave,SIGN(IJ40))</f>
        <v>2304</v>
      </c>
      <c r="IP40" s="234">
        <f>IE40*IH40*KOslave+IE40*FFslave*IJ40+KLslave*IH40*IJ40</f>
        <v>3456</v>
      </c>
      <c r="IQ40" s="224">
        <f>IFERROR(ID40^SIGN(ID40),1)*IFERROR(IE40^SIGN(IE40),1)*IFERROR(IF40^SIGN(IF40),1)*IFERROR(IG40^SIGN(IG40),1)*IFERROR(IH40^SIGN(IH40),1)*IFERROR(II40^SIGN(II40),1)*IFERROR(IJ40^SIGN(IJ40),1)*IFERROR(IK40^SIGN(IK40),1)</f>
        <v>1728</v>
      </c>
      <c r="IR40" s="242">
        <f t="shared" si="375"/>
        <v>7488</v>
      </c>
      <c r="IS40" s="222">
        <f t="shared" si="376"/>
        <v>3.6923076923076925</v>
      </c>
      <c r="IT40" s="223">
        <f t="shared" si="377"/>
        <v>11.076923076923077</v>
      </c>
      <c r="IU40" s="243">
        <f t="shared" si="378"/>
        <v>8.3076923076923084</v>
      </c>
      <c r="IV40" s="218">
        <f t="shared" si="379"/>
        <v>23.07692307692308</v>
      </c>
      <c r="IW40" s="252">
        <f t="shared" si="380"/>
        <v>0</v>
      </c>
      <c r="IX40" s="309">
        <f t="shared" si="381"/>
        <v>23.07692307692308</v>
      </c>
      <c r="IY40" s="218">
        <f t="shared" ref="IY40:IZ42" si="392">IF(IV40&gt;0,IV40,0)*3+IF(IV40&gt;12,IV40-12,0)*3+IF(IV40&gt;13,IV40-13,0)*3+IF(IV40&gt;14,IV40-14,0)*3+IF(IV40&gt;15,IV40-15,0)*3+IF(IV40&gt;16,IV40-16,0)*3+IF(IV40&gt;17,IV40-17,0)*3+IF(IV40&gt;18,IV40-18,0)*3+IF(IV40&gt;19,IV40-19,0)*3+IF(IV40&gt;20,IV40-20,0)*3</f>
        <v>260.30769230769232</v>
      </c>
      <c r="IZ40" s="242">
        <f t="shared" si="392"/>
        <v>0</v>
      </c>
      <c r="JA40" s="243">
        <f t="shared" si="382"/>
        <v>260.30769230769232</v>
      </c>
      <c r="JB40" s="218">
        <f t="shared" si="383"/>
        <v>0</v>
      </c>
      <c r="JE40" s="148"/>
    </row>
    <row r="41" spans="2:265" hidden="1" outlineLevel="2">
      <c r="B41" s="148">
        <v>6</v>
      </c>
      <c r="C41" s="303" t="e">
        <f>VLOOKUP(AF41,Attribute!C:T,1,FALSE)</f>
        <v>#N/A</v>
      </c>
      <c r="D41" s="167" t="s">
        <v>92</v>
      </c>
      <c r="E41" s="125" t="s">
        <v>135</v>
      </c>
      <c r="F41" s="114">
        <f>Konvention_1master-MUmaster</f>
        <v>12</v>
      </c>
      <c r="G41" s="113"/>
      <c r="H41" s="113"/>
      <c r="I41" s="113">
        <f>Konvention_1master-CHmaster</f>
        <v>12</v>
      </c>
      <c r="J41" s="113"/>
      <c r="K41" s="113"/>
      <c r="L41" s="113"/>
      <c r="M41" s="119"/>
      <c r="N41" s="222">
        <f>(F41+F41+I41)/3</f>
        <v>12</v>
      </c>
      <c r="O41" s="223">
        <f t="shared" si="277"/>
        <v>24</v>
      </c>
      <c r="P41" s="224">
        <f t="shared" si="278"/>
        <v>36</v>
      </c>
      <c r="Q41" s="237">
        <f>F41*POWER(CHmaster,SIGN(I41))*POWER(MUmaster,SIGN(F41))+F41*POWER(CHmaster,SIGN(I41))*POWER(MUmaster,SIGN(F41))+I41*POWER(MUmaster,SIGN(F41))*POWER(MUmaster,SIGN(F41))</f>
        <v>2304</v>
      </c>
      <c r="R41" s="113">
        <f>F41*F41*CHmaster+F41*MUmaster*I41+MUmaster*F41*I41</f>
        <v>3456</v>
      </c>
      <c r="S41" s="224">
        <f>F41*F41*I41</f>
        <v>1728</v>
      </c>
      <c r="T41" s="242">
        <f t="shared" si="280"/>
        <v>7488</v>
      </c>
      <c r="U41" s="222">
        <f t="shared" si="281"/>
        <v>3.6923076923076925</v>
      </c>
      <c r="V41" s="223">
        <f t="shared" si="282"/>
        <v>11.076923076923077</v>
      </c>
      <c r="W41" s="243">
        <f t="shared" si="283"/>
        <v>8.3076923076923084</v>
      </c>
      <c r="X41" s="218">
        <f t="shared" si="284"/>
        <v>23.07692307692308</v>
      </c>
      <c r="Y41" s="252">
        <v>0</v>
      </c>
      <c r="Z41" s="198">
        <f t="shared" si="285"/>
        <v>23.07692307692308</v>
      </c>
      <c r="AA41" s="125">
        <f t="shared" si="384"/>
        <v>260.30769230769232</v>
      </c>
      <c r="AB41" s="160">
        <f t="shared" si="384"/>
        <v>0</v>
      </c>
      <c r="AC41" s="127">
        <f t="shared" si="286"/>
        <v>260.30769230769232</v>
      </c>
      <c r="AD41" s="125">
        <f t="shared" si="287"/>
        <v>0</v>
      </c>
      <c r="AF41" s="163" t="s">
        <v>35</v>
      </c>
      <c r="AG41" s="127" t="s">
        <v>92</v>
      </c>
      <c r="AH41" s="125" t="s">
        <v>135</v>
      </c>
      <c r="AI41" s="114">
        <f>Konvention_1slave-MUslave_MU</f>
        <v>11</v>
      </c>
      <c r="AJ41" s="113"/>
      <c r="AK41" s="113"/>
      <c r="AL41" s="113">
        <f>Konvention_1slave-CHslave</f>
        <v>12</v>
      </c>
      <c r="AM41" s="113"/>
      <c r="AN41" s="113"/>
      <c r="AO41" s="113"/>
      <c r="AP41" s="119"/>
      <c r="AQ41" s="89">
        <f>(AI41+AI41+AL41)/3</f>
        <v>11.333333333333334</v>
      </c>
      <c r="AR41" s="47">
        <f t="shared" si="288"/>
        <v>22.666666666666668</v>
      </c>
      <c r="AS41" s="119">
        <f t="shared" si="289"/>
        <v>34</v>
      </c>
      <c r="AT41" s="114">
        <f>AI41*POWER(CHslave,SIGN(AL41))*POWER(MUslave_MU,SIGN(AI41))+AI41*POWER(CHslave,SIGN(AL41))*POWER(MUslave_MU,SIGN(AI41))+AL41*POWER(MUslave_MU,SIGN(AI41))*POWER(MUslave_MU,SIGN(AI41))</f>
        <v>2556</v>
      </c>
      <c r="AU41" s="113">
        <f>AI41*AI41*CHslave+AI41*MUslave_MU*AL41+MUslave_MU*AI41*AL41</f>
        <v>3344</v>
      </c>
      <c r="AV41" s="119">
        <f>AI41*AI41*AL41</f>
        <v>1452</v>
      </c>
      <c r="AW41" s="160">
        <f t="shared" si="291"/>
        <v>7352</v>
      </c>
      <c r="AX41" s="89">
        <f t="shared" si="292"/>
        <v>3.940152339499456</v>
      </c>
      <c r="AY41" s="47">
        <f t="shared" si="293"/>
        <v>10.309756982227059</v>
      </c>
      <c r="AZ41" s="127">
        <f t="shared" si="294"/>
        <v>6.714907508161045</v>
      </c>
      <c r="BA41" s="125">
        <f t="shared" si="295"/>
        <v>20.96481682988756</v>
      </c>
      <c r="BB41" s="165">
        <f t="shared" si="296"/>
        <v>0</v>
      </c>
      <c r="BC41" s="198">
        <f t="shared" si="297"/>
        <v>20.96481682988756</v>
      </c>
      <c r="BD41" s="125">
        <f t="shared" si="385"/>
        <v>196.94450489662685</v>
      </c>
      <c r="BE41" s="160">
        <f t="shared" si="385"/>
        <v>0</v>
      </c>
      <c r="BF41" s="243">
        <f t="shared" si="298"/>
        <v>196.94450489662685</v>
      </c>
      <c r="BG41" s="218">
        <f t="shared" si="299"/>
        <v>0</v>
      </c>
      <c r="BI41" s="303" t="s">
        <v>35</v>
      </c>
      <c r="BJ41" s="243" t="s">
        <v>92</v>
      </c>
      <c r="BK41" s="218" t="s">
        <v>135</v>
      </c>
      <c r="BL41" s="237">
        <f>Konvention_1slave-MUslave</f>
        <v>12</v>
      </c>
      <c r="BM41" s="234"/>
      <c r="BN41" s="234"/>
      <c r="BO41" s="234">
        <f>Konvention_1slave-CHslave</f>
        <v>12</v>
      </c>
      <c r="BP41" s="234"/>
      <c r="BQ41" s="234"/>
      <c r="BR41" s="234"/>
      <c r="BS41" s="224"/>
      <c r="BT41" s="222">
        <f>(BL41+BL41+BO41)/3</f>
        <v>12</v>
      </c>
      <c r="BU41" s="223">
        <f t="shared" si="300"/>
        <v>24</v>
      </c>
      <c r="BV41" s="224">
        <f t="shared" si="301"/>
        <v>36</v>
      </c>
      <c r="BW41" s="237">
        <f>BL41*POWER(CHslave,SIGN(BO41))*POWER(MUslave,SIGN(BL41))+BL41*POWER(CHslave,SIGN(BO41))*POWER(MUslave,SIGN(BL41))+BO41*POWER(MUslave,SIGN(BL41))*POWER(MUslave,SIGN(BL41))</f>
        <v>2304</v>
      </c>
      <c r="BX41" s="234">
        <f>BL41*BL41*CHslave+BL41*MUslave*BO41+MUslave*BL41*BO41</f>
        <v>3456</v>
      </c>
      <c r="BY41" s="224">
        <f>BL41*BL41*BO41</f>
        <v>1728</v>
      </c>
      <c r="BZ41" s="242">
        <f t="shared" si="303"/>
        <v>7488</v>
      </c>
      <c r="CA41" s="222">
        <f t="shared" si="304"/>
        <v>3.6923076923076925</v>
      </c>
      <c r="CB41" s="223">
        <f t="shared" si="305"/>
        <v>11.076923076923077</v>
      </c>
      <c r="CC41" s="243">
        <f t="shared" si="306"/>
        <v>8.3076923076923084</v>
      </c>
      <c r="CD41" s="218">
        <f t="shared" si="307"/>
        <v>23.07692307692308</v>
      </c>
      <c r="CE41" s="252">
        <f t="shared" si="308"/>
        <v>0</v>
      </c>
      <c r="CF41" s="309">
        <f t="shared" si="309"/>
        <v>23.07692307692308</v>
      </c>
      <c r="CG41" s="218">
        <f t="shared" si="386"/>
        <v>260.30769230769232</v>
      </c>
      <c r="CH41" s="242">
        <f t="shared" si="386"/>
        <v>0</v>
      </c>
      <c r="CI41" s="243">
        <f t="shared" si="310"/>
        <v>260.30769230769232</v>
      </c>
      <c r="CJ41" s="218">
        <f t="shared" si="311"/>
        <v>0</v>
      </c>
      <c r="CL41" s="303" t="s">
        <v>35</v>
      </c>
      <c r="CM41" s="243" t="s">
        <v>92</v>
      </c>
      <c r="CN41" s="218" t="s">
        <v>135</v>
      </c>
      <c r="CO41" s="237">
        <f>Konvention_1slave-MUslave</f>
        <v>12</v>
      </c>
      <c r="CP41" s="234"/>
      <c r="CQ41" s="234"/>
      <c r="CR41" s="234">
        <f>Konvention_1slave-CHslave</f>
        <v>12</v>
      </c>
      <c r="CS41" s="234"/>
      <c r="CT41" s="234"/>
      <c r="CU41" s="234"/>
      <c r="CV41" s="224"/>
      <c r="CW41" s="222">
        <f>(CO41+CO41+CR41)/3</f>
        <v>12</v>
      </c>
      <c r="CX41" s="223">
        <f t="shared" si="312"/>
        <v>24</v>
      </c>
      <c r="CY41" s="224">
        <f t="shared" si="313"/>
        <v>36</v>
      </c>
      <c r="CZ41" s="237">
        <f>CO41*POWER(CHslave,SIGN(CR41))*POWER(MUslave,SIGN(CO41))+CO41*POWER(CHslave,SIGN(CR41))*POWER(MUslave,SIGN(CO41))+CR41*POWER(MUslave,SIGN(CO41))*POWER(MUslave,SIGN(CO41))</f>
        <v>2304</v>
      </c>
      <c r="DA41" s="234">
        <f>CO41*CO41*CHslave+CO41*MUslave*CR41+MUslave*CO41*CR41</f>
        <v>3456</v>
      </c>
      <c r="DB41" s="224">
        <f>CO41*CO41*CR41</f>
        <v>1728</v>
      </c>
      <c r="DC41" s="242">
        <f t="shared" si="315"/>
        <v>7488</v>
      </c>
      <c r="DD41" s="222">
        <f t="shared" si="316"/>
        <v>3.6923076923076925</v>
      </c>
      <c r="DE41" s="223">
        <f t="shared" si="317"/>
        <v>11.076923076923077</v>
      </c>
      <c r="DF41" s="243">
        <f t="shared" si="318"/>
        <v>8.3076923076923084</v>
      </c>
      <c r="DG41" s="218">
        <f t="shared" si="319"/>
        <v>23.07692307692308</v>
      </c>
      <c r="DH41" s="252">
        <f t="shared" si="320"/>
        <v>0</v>
      </c>
      <c r="DI41" s="309">
        <f t="shared" si="321"/>
        <v>23.07692307692308</v>
      </c>
      <c r="DJ41" s="218">
        <f t="shared" si="387"/>
        <v>260.30769230769232</v>
      </c>
      <c r="DK41" s="242">
        <f t="shared" si="387"/>
        <v>0</v>
      </c>
      <c r="DL41" s="243">
        <f t="shared" si="322"/>
        <v>260.30769230769232</v>
      </c>
      <c r="DM41" s="218">
        <f t="shared" si="323"/>
        <v>0</v>
      </c>
      <c r="DO41" s="303" t="s">
        <v>35</v>
      </c>
      <c r="DP41" s="243" t="s">
        <v>92</v>
      </c>
      <c r="DQ41" s="218" t="s">
        <v>135</v>
      </c>
      <c r="DR41" s="237">
        <f>Konvention_1slave-MUslave</f>
        <v>12</v>
      </c>
      <c r="DS41" s="234"/>
      <c r="DT41" s="234"/>
      <c r="DU41" s="234">
        <f>Konvention_1slave-CHslave_CH</f>
        <v>11</v>
      </c>
      <c r="DV41" s="234"/>
      <c r="DW41" s="234"/>
      <c r="DX41" s="234"/>
      <c r="DY41" s="224"/>
      <c r="DZ41" s="222">
        <f>(DR41+DR41+DU41)/3</f>
        <v>11.666666666666666</v>
      </c>
      <c r="EA41" s="223">
        <f t="shared" si="324"/>
        <v>23.333333333333332</v>
      </c>
      <c r="EB41" s="224">
        <f t="shared" si="325"/>
        <v>35</v>
      </c>
      <c r="EC41" s="237">
        <f>DR41*POWER(CHslave_CH,SIGN(DU41))*POWER(MUslave,SIGN(DR41))+DR41*POWER(CHslave_CH,SIGN(DU41))*POWER(MUslave,SIGN(DR41))+DU41*POWER(MUslave,SIGN(DR41))*POWER(MUslave,SIGN(DR41))</f>
        <v>2432</v>
      </c>
      <c r="ED41" s="234">
        <f>DR41*DR41*CHslave_CH+DR41*MUslave*DU41+MUslave*DR41*DU41</f>
        <v>3408</v>
      </c>
      <c r="EE41" s="224">
        <f>DR41*DR41*DU41</f>
        <v>1584</v>
      </c>
      <c r="EF41" s="242">
        <f t="shared" si="327"/>
        <v>7424</v>
      </c>
      <c r="EG41" s="222">
        <f t="shared" si="328"/>
        <v>3.8218390804597702</v>
      </c>
      <c r="EH41" s="223">
        <f t="shared" si="329"/>
        <v>10.711206896551724</v>
      </c>
      <c r="EI41" s="243">
        <f t="shared" si="330"/>
        <v>7.4676724137931032</v>
      </c>
      <c r="EJ41" s="218">
        <f t="shared" si="331"/>
        <v>22.000718390804597</v>
      </c>
      <c r="EK41" s="252">
        <f t="shared" si="332"/>
        <v>0</v>
      </c>
      <c r="EL41" s="309">
        <f t="shared" si="333"/>
        <v>22.000718390804597</v>
      </c>
      <c r="EM41" s="218">
        <f t="shared" si="388"/>
        <v>228.02155172413785</v>
      </c>
      <c r="EN41" s="242">
        <f t="shared" si="388"/>
        <v>0</v>
      </c>
      <c r="EO41" s="243">
        <f t="shared" si="334"/>
        <v>228.02155172413785</v>
      </c>
      <c r="EP41" s="218">
        <f t="shared" si="335"/>
        <v>0</v>
      </c>
      <c r="ER41" s="303" t="s">
        <v>35</v>
      </c>
      <c r="ES41" s="243" t="s">
        <v>92</v>
      </c>
      <c r="ET41" s="218" t="s">
        <v>135</v>
      </c>
      <c r="EU41" s="237">
        <f>Konvention_1slave-MUslave</f>
        <v>12</v>
      </c>
      <c r="EV41" s="234"/>
      <c r="EW41" s="234"/>
      <c r="EX41" s="234">
        <f>Konvention_1slave-CHslave</f>
        <v>12</v>
      </c>
      <c r="EY41" s="234"/>
      <c r="EZ41" s="234"/>
      <c r="FA41" s="234"/>
      <c r="FB41" s="224"/>
      <c r="FC41" s="222">
        <f>(EU41+EU41+EX41)/3</f>
        <v>12</v>
      </c>
      <c r="FD41" s="223">
        <f t="shared" si="336"/>
        <v>24</v>
      </c>
      <c r="FE41" s="224">
        <f t="shared" si="337"/>
        <v>36</v>
      </c>
      <c r="FF41" s="237">
        <f>EU41*POWER(CHslave,SIGN(EX41))*POWER(MUslave,SIGN(EU41))+EU41*POWER(CHslave,SIGN(EX41))*POWER(MUslave,SIGN(EU41))+EX41*POWER(MUslave,SIGN(EU41))*POWER(MUslave,SIGN(EU41))</f>
        <v>2304</v>
      </c>
      <c r="FG41" s="234">
        <f>EU41*EU41*CHslave+EU41*MUslave*EX41+MUslave*EU41*EX41</f>
        <v>3456</v>
      </c>
      <c r="FH41" s="224">
        <f>EU41*EU41*EX41</f>
        <v>1728</v>
      </c>
      <c r="FI41" s="242">
        <f t="shared" si="339"/>
        <v>7488</v>
      </c>
      <c r="FJ41" s="222">
        <f t="shared" si="340"/>
        <v>3.6923076923076925</v>
      </c>
      <c r="FK41" s="223">
        <f t="shared" si="341"/>
        <v>11.076923076923077</v>
      </c>
      <c r="FL41" s="243">
        <f t="shared" si="342"/>
        <v>8.3076923076923084</v>
      </c>
      <c r="FM41" s="218">
        <f t="shared" si="343"/>
        <v>23.07692307692308</v>
      </c>
      <c r="FN41" s="252">
        <f t="shared" si="344"/>
        <v>0</v>
      </c>
      <c r="FO41" s="309">
        <f t="shared" si="345"/>
        <v>23.07692307692308</v>
      </c>
      <c r="FP41" s="218">
        <f t="shared" si="389"/>
        <v>260.30769230769232</v>
      </c>
      <c r="FQ41" s="242">
        <f t="shared" si="389"/>
        <v>0</v>
      </c>
      <c r="FR41" s="243">
        <f t="shared" si="346"/>
        <v>260.30769230769232</v>
      </c>
      <c r="FS41" s="218">
        <f t="shared" si="347"/>
        <v>0</v>
      </c>
      <c r="FU41" s="303" t="s">
        <v>35</v>
      </c>
      <c r="FV41" s="243" t="s">
        <v>92</v>
      </c>
      <c r="FW41" s="218" t="s">
        <v>135</v>
      </c>
      <c r="FX41" s="237">
        <f>Konvention_1slave-MUslave</f>
        <v>12</v>
      </c>
      <c r="FY41" s="234"/>
      <c r="FZ41" s="234"/>
      <c r="GA41" s="234">
        <f>Konvention_1slave-CHslave</f>
        <v>12</v>
      </c>
      <c r="GB41" s="234"/>
      <c r="GC41" s="234"/>
      <c r="GD41" s="234"/>
      <c r="GE41" s="224"/>
      <c r="GF41" s="222">
        <f>(FX41+FX41+GA41)/3</f>
        <v>12</v>
      </c>
      <c r="GG41" s="223">
        <f t="shared" si="348"/>
        <v>24</v>
      </c>
      <c r="GH41" s="224">
        <f t="shared" si="349"/>
        <v>36</v>
      </c>
      <c r="GI41" s="237">
        <f>FX41*POWER(CHslave,SIGN(GA41))*POWER(MUslave,SIGN(FX41))+FX41*POWER(CHslave,SIGN(GA41))*POWER(MUslave,SIGN(FX41))+GA41*POWER(MUslave,SIGN(FX41))*POWER(MUslave,SIGN(FX41))</f>
        <v>2304</v>
      </c>
      <c r="GJ41" s="234">
        <f>FX41*FX41*CHslave+FX41*MUslave*GA41+MUslave*FX41*GA41</f>
        <v>3456</v>
      </c>
      <c r="GK41" s="224">
        <f>FX41*FX41*GA41</f>
        <v>1728</v>
      </c>
      <c r="GL41" s="242">
        <f t="shared" si="351"/>
        <v>7488</v>
      </c>
      <c r="GM41" s="222">
        <f t="shared" si="352"/>
        <v>3.6923076923076925</v>
      </c>
      <c r="GN41" s="223">
        <f t="shared" si="353"/>
        <v>11.076923076923077</v>
      </c>
      <c r="GO41" s="243">
        <f t="shared" si="354"/>
        <v>8.3076923076923084</v>
      </c>
      <c r="GP41" s="218">
        <f t="shared" si="355"/>
        <v>23.07692307692308</v>
      </c>
      <c r="GQ41" s="252">
        <f t="shared" si="356"/>
        <v>0</v>
      </c>
      <c r="GR41" s="309">
        <f t="shared" si="357"/>
        <v>23.07692307692308</v>
      </c>
      <c r="GS41" s="218">
        <f t="shared" si="390"/>
        <v>260.30769230769232</v>
      </c>
      <c r="GT41" s="242">
        <f t="shared" si="390"/>
        <v>0</v>
      </c>
      <c r="GU41" s="243">
        <f t="shared" si="358"/>
        <v>260.30769230769232</v>
      </c>
      <c r="GV41" s="218">
        <f t="shared" si="359"/>
        <v>0</v>
      </c>
      <c r="GX41" s="303" t="s">
        <v>35</v>
      </c>
      <c r="GY41" s="243" t="s">
        <v>92</v>
      </c>
      <c r="GZ41" s="218" t="s">
        <v>135</v>
      </c>
      <c r="HA41" s="237">
        <f>Konvention_1slave-MUslave</f>
        <v>12</v>
      </c>
      <c r="HB41" s="234"/>
      <c r="HC41" s="234"/>
      <c r="HD41" s="234">
        <f>Konvention_1slave-CHslave</f>
        <v>12</v>
      </c>
      <c r="HE41" s="234"/>
      <c r="HF41" s="234"/>
      <c r="HG41" s="234"/>
      <c r="HH41" s="224"/>
      <c r="HI41" s="222">
        <f>(HA41+HA41+HD41)/3</f>
        <v>12</v>
      </c>
      <c r="HJ41" s="223">
        <f t="shared" si="360"/>
        <v>24</v>
      </c>
      <c r="HK41" s="224">
        <f t="shared" si="361"/>
        <v>36</v>
      </c>
      <c r="HL41" s="237">
        <f>HA41*POWER(CHslave,SIGN(HD41))*POWER(MUslave,SIGN(HA41))+HA41*POWER(CHslave,SIGN(HD41))*POWER(MUslave,SIGN(HA41))+HD41*POWER(MUslave,SIGN(HA41))*POWER(MUslave,SIGN(HA41))</f>
        <v>2304</v>
      </c>
      <c r="HM41" s="234">
        <f>HA41*HA41*CHslave+HA41*MUslave*HD41+MUslave*HA41*HD41</f>
        <v>3456</v>
      </c>
      <c r="HN41" s="224">
        <f>HA41*HA41*HD41</f>
        <v>1728</v>
      </c>
      <c r="HO41" s="242">
        <f t="shared" si="363"/>
        <v>7488</v>
      </c>
      <c r="HP41" s="222">
        <f t="shared" si="364"/>
        <v>3.6923076923076925</v>
      </c>
      <c r="HQ41" s="223">
        <f t="shared" si="365"/>
        <v>11.076923076923077</v>
      </c>
      <c r="HR41" s="243">
        <f t="shared" si="366"/>
        <v>8.3076923076923084</v>
      </c>
      <c r="HS41" s="218">
        <f t="shared" si="367"/>
        <v>23.07692307692308</v>
      </c>
      <c r="HT41" s="252">
        <f t="shared" si="368"/>
        <v>0</v>
      </c>
      <c r="HU41" s="309">
        <f t="shared" si="369"/>
        <v>23.07692307692308</v>
      </c>
      <c r="HV41" s="218">
        <f t="shared" si="391"/>
        <v>260.30769230769232</v>
      </c>
      <c r="HW41" s="242">
        <f t="shared" si="391"/>
        <v>0</v>
      </c>
      <c r="HX41" s="243">
        <f t="shared" si="370"/>
        <v>260.30769230769232</v>
      </c>
      <c r="HY41" s="218">
        <f t="shared" si="371"/>
        <v>0</v>
      </c>
      <c r="IA41" s="303" t="s">
        <v>35</v>
      </c>
      <c r="IB41" s="243" t="s">
        <v>92</v>
      </c>
      <c r="IC41" s="218" t="s">
        <v>135</v>
      </c>
      <c r="ID41" s="237">
        <f>Konvention_1slave-MUslave</f>
        <v>12</v>
      </c>
      <c r="IE41" s="234"/>
      <c r="IF41" s="234"/>
      <c r="IG41" s="234">
        <f>Konvention_1slave-CHslave</f>
        <v>12</v>
      </c>
      <c r="IH41" s="234"/>
      <c r="II41" s="234"/>
      <c r="IJ41" s="234"/>
      <c r="IK41" s="224"/>
      <c r="IL41" s="222">
        <f>(ID41+ID41+IG41)/3</f>
        <v>12</v>
      </c>
      <c r="IM41" s="223">
        <f t="shared" si="372"/>
        <v>24</v>
      </c>
      <c r="IN41" s="224">
        <f t="shared" si="373"/>
        <v>36</v>
      </c>
      <c r="IO41" s="237">
        <f>ID41*POWER(CHslave,SIGN(IG41))*POWER(MUslave,SIGN(ID41))+ID41*POWER(CHslave,SIGN(IG41))*POWER(MUslave,SIGN(ID41))+IG41*POWER(MUslave,SIGN(ID41))*POWER(MUslave,SIGN(ID41))</f>
        <v>2304</v>
      </c>
      <c r="IP41" s="234">
        <f>ID41*ID41*CHslave+ID41*MUslave*IG41+MUslave*ID41*IG41</f>
        <v>3456</v>
      </c>
      <c r="IQ41" s="224">
        <f>ID41*ID41*IG41</f>
        <v>1728</v>
      </c>
      <c r="IR41" s="242">
        <f t="shared" si="375"/>
        <v>7488</v>
      </c>
      <c r="IS41" s="222">
        <f t="shared" si="376"/>
        <v>3.6923076923076925</v>
      </c>
      <c r="IT41" s="223">
        <f t="shared" si="377"/>
        <v>11.076923076923077</v>
      </c>
      <c r="IU41" s="243">
        <f t="shared" si="378"/>
        <v>8.3076923076923084</v>
      </c>
      <c r="IV41" s="218">
        <f t="shared" si="379"/>
        <v>23.07692307692308</v>
      </c>
      <c r="IW41" s="252">
        <f t="shared" si="380"/>
        <v>0</v>
      </c>
      <c r="IX41" s="309">
        <f t="shared" si="381"/>
        <v>23.07692307692308</v>
      </c>
      <c r="IY41" s="218">
        <f t="shared" si="392"/>
        <v>260.30769230769232</v>
      </c>
      <c r="IZ41" s="242">
        <f t="shared" si="392"/>
        <v>0</v>
      </c>
      <c r="JA41" s="243">
        <f t="shared" si="382"/>
        <v>260.30769230769232</v>
      </c>
      <c r="JB41" s="218">
        <f t="shared" si="383"/>
        <v>0</v>
      </c>
      <c r="JE41" s="148"/>
    </row>
    <row r="42" spans="2:265" hidden="1" outlineLevel="2">
      <c r="B42" s="148">
        <v>7</v>
      </c>
      <c r="C42" s="306" t="e">
        <f>VLOOKUP(AF42,Attribute!C:T,1,FALSE)</f>
        <v>#N/A</v>
      </c>
      <c r="D42" s="128" t="s">
        <v>93</v>
      </c>
      <c r="E42" s="159" t="s">
        <v>135</v>
      </c>
      <c r="F42" s="115">
        <f>Konvention_1master-MUmaster</f>
        <v>12</v>
      </c>
      <c r="G42" s="122"/>
      <c r="H42" s="122"/>
      <c r="I42" s="122"/>
      <c r="J42" s="122"/>
      <c r="K42" s="122">
        <f>Konvention_1master-GEmaster</f>
        <v>12</v>
      </c>
      <c r="L42" s="122">
        <f>Konvention_1master-KOmaster</f>
        <v>12</v>
      </c>
      <c r="M42" s="123"/>
      <c r="N42" s="225">
        <f>(F42+G42+H42+I42+J42+K42+L42+M42)/3</f>
        <v>12</v>
      </c>
      <c r="O42" s="226">
        <f t="shared" si="277"/>
        <v>24</v>
      </c>
      <c r="P42" s="227">
        <f t="shared" si="278"/>
        <v>36</v>
      </c>
      <c r="Q42" s="238">
        <f>F42*POWER(KLmaster,SIGN(G42))*POWER(INmaster,SIGN(H42))*POWER(CHmaster,SIGN(I42))*POWER(FFmaster,SIGN(J42))*POWER(GEmaster,SIGN(K42))*POWER(KOmaster,SIGN(L42))*POWER(KKmaster,SIGN(M42))+G42*POWER(MUmaster,SIGN(F42))*POWER(INmaster,SIGN(H42))*POWER(CHmaster,SIGN(I42))*POWER(FFmaster,SIGN(J42))*POWER(GEmaster,SIGN(K42))*POWER(KOmaster,SIGN(L42))*POWER(KKmaster,SIGN(M42))+H42*POWER(MUmaster,SIGN(F42))*POWER(KLmaster,SIGN(G42))*POWER(CHmaster,SIGN(I42))*POWER(FFmaster,SIGN(J42))*POWER(GEmaster,SIGN(K42))*POWER(KOmaster,SIGN(L42))*POWER(KKmaster,SIGN(M42))+I42*POWER(MUmaster,SIGN(F42))*POWER(KLmaster,SIGN(G42))*POWER(INmaster,SIGN(H42))*POWER(FFmaster,SIGN(J42))*POWER(GEmaster,SIGN(K42))*POWER(KOmaster,SIGN(L42))*POWER(KKmaster,SIGN(M42))+J42*POWER(MUmaster,SIGN(F42))*POWER(KLmaster,SIGN(G42))*POWER(INmaster,SIGN(H42))*POWER(CHmaster,SIGN(I42))*POWER(GEmaster,SIGN(K42))*POWER(KOmaster,SIGN(L42))*POWER(KKmaster,SIGN(M42))+K42*POWER(MUmaster,SIGN(F42))*POWER(KLmaster,SIGN(G42))*POWER(INmaster,SIGN(H42))*POWER(CHmaster,SIGN(I42))*POWER(FFmaster,SIGN(J42))*POWER(KOmaster,SIGN(L42))*POWER(KKmaster,SIGN(M42))+L42*POWER(MUmaster,SIGN(F42))*POWER(KLmaster,SIGN(G42))*POWER(INmaster,SIGN(H42))*POWER(CHmaster,SIGN(I42))*POWER(FFmaster,SIGN(J42))*POWER(GEmaster,SIGN(K42))*POWER(KKmaster,SIGN(M42))+M42*POWER(MUmaster,SIGN(F42))*POWER(KLmaster,SIGN(G42))*POWER(INmaster,SIGN(H42))*POWER(CHmaster,SIGN(I42))*POWER(FFmaster,SIGN(J42))*POWER(GEmaster,SIGN(K42))*POWER(KOmaster,SIGN(L42))</f>
        <v>2304</v>
      </c>
      <c r="R42" s="122">
        <f>F42*K42*KOmaster+F42*GEmaster*L42+MUmaster*K42*L42</f>
        <v>3456</v>
      </c>
      <c r="S42" s="227">
        <f t="shared" si="279"/>
        <v>1728</v>
      </c>
      <c r="T42" s="244">
        <f t="shared" si="280"/>
        <v>7488</v>
      </c>
      <c r="U42" s="225">
        <f t="shared" si="281"/>
        <v>3.6923076923076925</v>
      </c>
      <c r="V42" s="226">
        <f t="shared" si="282"/>
        <v>11.076923076923077</v>
      </c>
      <c r="W42" s="245">
        <f t="shared" si="283"/>
        <v>8.3076923076923084</v>
      </c>
      <c r="X42" s="246">
        <f t="shared" si="284"/>
        <v>23.07692307692308</v>
      </c>
      <c r="Y42" s="252">
        <v>0</v>
      </c>
      <c r="Z42" s="198">
        <f t="shared" si="285"/>
        <v>23.07692307692308</v>
      </c>
      <c r="AA42" s="159">
        <f t="shared" si="384"/>
        <v>260.30769230769232</v>
      </c>
      <c r="AB42" s="161">
        <f t="shared" si="384"/>
        <v>0</v>
      </c>
      <c r="AC42" s="128">
        <f t="shared" si="286"/>
        <v>260.30769230769232</v>
      </c>
      <c r="AD42" s="159">
        <f t="shared" si="287"/>
        <v>0</v>
      </c>
      <c r="AF42" s="164" t="s">
        <v>36</v>
      </c>
      <c r="AG42" s="128" t="s">
        <v>93</v>
      </c>
      <c r="AH42" s="159" t="s">
        <v>135</v>
      </c>
      <c r="AI42" s="115">
        <f>Konvention_1slave-MUslave_MU</f>
        <v>11</v>
      </c>
      <c r="AJ42" s="122"/>
      <c r="AK42" s="122"/>
      <c r="AL42" s="122"/>
      <c r="AM42" s="122"/>
      <c r="AN42" s="122">
        <f>Konvention_1slave-GEslave</f>
        <v>12</v>
      </c>
      <c r="AO42" s="122">
        <f>Konvention_1slave-KOslave</f>
        <v>12</v>
      </c>
      <c r="AP42" s="123"/>
      <c r="AQ42" s="90">
        <f>(AI42+AJ42+AK42+AL42+AM42+AN42+AO42+AP42)/3</f>
        <v>11.666666666666666</v>
      </c>
      <c r="AR42" s="88">
        <f t="shared" si="288"/>
        <v>23.333333333333332</v>
      </c>
      <c r="AS42" s="123">
        <f t="shared" si="289"/>
        <v>35</v>
      </c>
      <c r="AT42" s="115">
        <f>AI42*POWER(KLslave,SIGN(AJ42))*POWER(INslave,SIGN(AK42))*POWER(CHslave,SIGN(AL42))*POWER(FFslave,SIGN(AM42))*POWER(GEslave,SIGN(AN42))*POWER(KOslave,SIGN(AO42))*POWER(KKslave,SIGN(AP42))+AJ42*POWER(MUslave_MU,SIGN(AI42))*POWER(INslave,SIGN(AK42))*POWER(CHslave,SIGN(AL42))*POWER(FFslave,SIGN(AM42))*POWER(GEslave,SIGN(AN42))*POWER(KOslave,SIGN(AO42))*POWER(KKslave,SIGN(AP42))+AK42*POWER(MUslave_MU,SIGN(AI42))*POWER(KLslave,SIGN(AJ42))*POWER(CHslave,SIGN(AL42))*POWER(FFslave,SIGN(AM42))*POWER(GEslave,SIGN(AN42))*POWER(KOslave,SIGN(AO42))*POWER(KKslave,SIGN(AP42))+AL42*POWER(MUslave_MU,SIGN(AI42))*POWER(KLslave,SIGN(AJ42))*POWER(INslave,SIGN(AK42))*POWER(FFslave,SIGN(AM42))*POWER(GEslave,SIGN(AN42))*POWER(KOslave,SIGN(AO42))*POWER(KKslave,SIGN(AP42))+AM42*POWER(MUslave_MU,SIGN(AI42))*POWER(KLslave,SIGN(AJ42))*POWER(INslave,SIGN(AK42))*POWER(CHslave,SIGN(AL42))*POWER(GEslave,SIGN(AN42))*POWER(KOslave,SIGN(AO42))*POWER(KKslave,SIGN(AP42))+AN42*POWER(MUslave_MU,SIGN(AI42))*POWER(KLslave,SIGN(AJ42))*POWER(INslave,SIGN(AK42))*POWER(CHslave,SIGN(AL42))*POWER(FFslave,SIGN(AM42))*POWER(KOslave,SIGN(AO42))*POWER(KKslave,SIGN(AP42))+AO42*POWER(MUslave_MU,SIGN(AI42))*POWER(KLslave,SIGN(AJ42))*POWER(INslave,SIGN(AK42))*POWER(CHslave,SIGN(AL42))*POWER(FFslave,SIGN(AM42))*POWER(GEslave,SIGN(AN42))*POWER(KKslave,SIGN(AP42))+AP42*POWER(MUslave_MU,SIGN(AI42))*POWER(KLslave,SIGN(AJ42))*POWER(INslave,SIGN(AK42))*POWER(CHslave,SIGN(AL42))*POWER(FFslave,SIGN(AM42))*POWER(GEslave,SIGN(AN42))*POWER(KOslave,SIGN(AO42))</f>
        <v>2432</v>
      </c>
      <c r="AU42" s="122">
        <f>AI42*AN42*KOslave+AI42*GEslave*AO42+MUslave_MU*AN42*AO42</f>
        <v>3408</v>
      </c>
      <c r="AV42" s="123">
        <f t="shared" si="290"/>
        <v>1584</v>
      </c>
      <c r="AW42" s="161">
        <f t="shared" si="291"/>
        <v>7424</v>
      </c>
      <c r="AX42" s="90">
        <f t="shared" si="292"/>
        <v>3.8218390804597702</v>
      </c>
      <c r="AY42" s="88">
        <f t="shared" si="293"/>
        <v>10.711206896551724</v>
      </c>
      <c r="AZ42" s="128">
        <f t="shared" si="294"/>
        <v>7.4676724137931032</v>
      </c>
      <c r="BA42" s="159">
        <f t="shared" si="295"/>
        <v>22.000718390804597</v>
      </c>
      <c r="BB42" s="165">
        <f t="shared" si="296"/>
        <v>0</v>
      </c>
      <c r="BC42" s="198">
        <f t="shared" si="297"/>
        <v>22.000718390804597</v>
      </c>
      <c r="BD42" s="159">
        <f t="shared" si="385"/>
        <v>228.02155172413785</v>
      </c>
      <c r="BE42" s="161">
        <f t="shared" si="385"/>
        <v>0</v>
      </c>
      <c r="BF42" s="245">
        <f t="shared" si="298"/>
        <v>228.02155172413785</v>
      </c>
      <c r="BG42" s="246">
        <f t="shared" si="299"/>
        <v>0</v>
      </c>
      <c r="BI42" s="306" t="s">
        <v>36</v>
      </c>
      <c r="BJ42" s="245" t="s">
        <v>93</v>
      </c>
      <c r="BK42" s="246" t="s">
        <v>135</v>
      </c>
      <c r="BL42" s="238">
        <f>Konvention_1slave-MUslave</f>
        <v>12</v>
      </c>
      <c r="BM42" s="235"/>
      <c r="BN42" s="235"/>
      <c r="BO42" s="235"/>
      <c r="BP42" s="235"/>
      <c r="BQ42" s="235">
        <f>Konvention_1slave-GEslave</f>
        <v>12</v>
      </c>
      <c r="BR42" s="235">
        <f>Konvention_1slave-KOslave</f>
        <v>12</v>
      </c>
      <c r="BS42" s="227"/>
      <c r="BT42" s="225">
        <f>(BL42+BM42+BN42+BO42+BP42+BQ42+BR42+BS42)/3</f>
        <v>12</v>
      </c>
      <c r="BU42" s="226">
        <f t="shared" si="300"/>
        <v>24</v>
      </c>
      <c r="BV42" s="227">
        <f t="shared" si="301"/>
        <v>36</v>
      </c>
      <c r="BW42" s="238">
        <f>BL42*POWER(KLslave_KL,SIGN(BM42))*POWER(INslave,SIGN(BN42))*POWER(CHslave,SIGN(BO42))*POWER(FFslave,SIGN(BP42))*POWER(GEslave,SIGN(BQ42))*POWER(KOslave,SIGN(BR42))*POWER(KKslave,SIGN(BS42))+BM42*POWER(MUslave,SIGN(BL42))*POWER(INslave,SIGN(BN42))*POWER(CHslave,SIGN(BO42))*POWER(FFslave,SIGN(BP42))*POWER(GEslave,SIGN(BQ42))*POWER(KOslave,SIGN(BR42))*POWER(KKslave,SIGN(BS42))+BN42*POWER(MUslave,SIGN(BL42))*POWER(KLslave_KL,SIGN(BM42))*POWER(CHslave,SIGN(BO42))*POWER(FFslave,SIGN(BP42))*POWER(GEslave,SIGN(BQ42))*POWER(KOslave,SIGN(BR42))*POWER(KKslave,SIGN(BS42))+BO42*POWER(MUslave,SIGN(BL42))*POWER(KLslave_KL,SIGN(BM42))*POWER(INslave,SIGN(BN42))*POWER(FFslave,SIGN(BP42))*POWER(GEslave,SIGN(BQ42))*POWER(KOslave,SIGN(BR42))*POWER(KKslave,SIGN(BS42))+BP42*POWER(MUslave,SIGN(BL42))*POWER(KLslave_KL,SIGN(BM42))*POWER(INslave,SIGN(BN42))*POWER(CHslave,SIGN(BO42))*POWER(GEslave,SIGN(BQ42))*POWER(KOslave,SIGN(BR42))*POWER(KKslave,SIGN(BS42))+BQ42*POWER(MUslave,SIGN(BL42))*POWER(KLslave_KL,SIGN(BM42))*POWER(INslave,SIGN(BN42))*POWER(CHslave,SIGN(BO42))*POWER(FFslave,SIGN(BP42))*POWER(KOslave,SIGN(BR42))*POWER(KKslave,SIGN(BS42))+BR42*POWER(MUslave,SIGN(BL42))*POWER(KLslave_KL,SIGN(BM42))*POWER(INslave,SIGN(BN42))*POWER(CHslave,SIGN(BO42))*POWER(FFslave,SIGN(BP42))*POWER(GEslave,SIGN(BQ42))*POWER(KKslave,SIGN(BS42))+BS42*POWER(MUslave,SIGN(BL42))*POWER(KLslave_KL,SIGN(BM42))*POWER(INslave,SIGN(BN42))*POWER(CHslave,SIGN(BO42))*POWER(FFslave,SIGN(BP42))*POWER(GEslave,SIGN(BQ42))*POWER(KOslave,SIGN(BR42))</f>
        <v>2304</v>
      </c>
      <c r="BX42" s="235">
        <f>BL42*BQ42*KOslave+BL42*GEslave*BR42+MUslave*BQ42*BR42</f>
        <v>3456</v>
      </c>
      <c r="BY42" s="227">
        <f t="shared" si="302"/>
        <v>1728</v>
      </c>
      <c r="BZ42" s="244">
        <f t="shared" si="303"/>
        <v>7488</v>
      </c>
      <c r="CA42" s="225">
        <f t="shared" si="304"/>
        <v>3.6923076923076925</v>
      </c>
      <c r="CB42" s="226">
        <f t="shared" si="305"/>
        <v>11.076923076923077</v>
      </c>
      <c r="CC42" s="245">
        <f t="shared" si="306"/>
        <v>8.3076923076923084</v>
      </c>
      <c r="CD42" s="246">
        <f t="shared" si="307"/>
        <v>23.07692307692308</v>
      </c>
      <c r="CE42" s="252">
        <f t="shared" si="308"/>
        <v>0</v>
      </c>
      <c r="CF42" s="309">
        <f t="shared" si="309"/>
        <v>23.07692307692308</v>
      </c>
      <c r="CG42" s="246">
        <f t="shared" si="386"/>
        <v>260.30769230769232</v>
      </c>
      <c r="CH42" s="244">
        <f t="shared" si="386"/>
        <v>0</v>
      </c>
      <c r="CI42" s="245">
        <f t="shared" si="310"/>
        <v>260.30769230769232</v>
      </c>
      <c r="CJ42" s="246">
        <f t="shared" si="311"/>
        <v>0</v>
      </c>
      <c r="CL42" s="306" t="s">
        <v>36</v>
      </c>
      <c r="CM42" s="245" t="s">
        <v>93</v>
      </c>
      <c r="CN42" s="246" t="s">
        <v>135</v>
      </c>
      <c r="CO42" s="238">
        <f>Konvention_1slave-MUslave</f>
        <v>12</v>
      </c>
      <c r="CP42" s="235"/>
      <c r="CQ42" s="235"/>
      <c r="CR42" s="235"/>
      <c r="CS42" s="235"/>
      <c r="CT42" s="235">
        <f>Konvention_1slave-GEslave</f>
        <v>12</v>
      </c>
      <c r="CU42" s="235">
        <f>Konvention_1slave-KOslave</f>
        <v>12</v>
      </c>
      <c r="CV42" s="227"/>
      <c r="CW42" s="225">
        <f>(CO42+CP42+CQ42+CR42+CS42+CT42+CU42+CV42)/3</f>
        <v>12</v>
      </c>
      <c r="CX42" s="226">
        <f t="shared" si="312"/>
        <v>24</v>
      </c>
      <c r="CY42" s="227">
        <f t="shared" si="313"/>
        <v>36</v>
      </c>
      <c r="CZ42" s="238">
        <f>CO42*POWER(KLslave,SIGN(CP42))*POWER(INslave_IN,SIGN(CQ42))*POWER(CHslave,SIGN(CR42))*POWER(FFslave,SIGN(CS42))*POWER(GEslave,SIGN(CT42))*POWER(KOslave,SIGN(CU42))*POWER(KKslave,SIGN(CV42))+CP42*POWER(MUslave,SIGN(CO42))*POWER(INslave_IN,SIGN(CQ42))*POWER(CHslave,SIGN(CR42))*POWER(FFslave,SIGN(CS42))*POWER(GEslave,SIGN(CT42))*POWER(KOslave,SIGN(CU42))*POWER(KKslave,SIGN(CV42))+CQ42*POWER(MUslave,SIGN(CO42))*POWER(KLslave,SIGN(CP42))*POWER(CHslave,SIGN(CR42))*POWER(FFslave,SIGN(CS42))*POWER(GEslave,SIGN(CT42))*POWER(KOslave,SIGN(CU42))*POWER(KKslave,SIGN(CV42))+CR42*POWER(MUslave,SIGN(CO42))*POWER(KLslave,SIGN(CP42))*POWER(INslave_IN,SIGN(CQ42))*POWER(FFslave,SIGN(CS42))*POWER(GEslave,SIGN(CT42))*POWER(KOslave,SIGN(CU42))*POWER(KKslave,SIGN(CV42))+CS42*POWER(MUslave,SIGN(CO42))*POWER(KLslave,SIGN(CP42))*POWER(INslave_IN,SIGN(CQ42))*POWER(CHslave,SIGN(CR42))*POWER(GEslave,SIGN(CT42))*POWER(KOslave,SIGN(CU42))*POWER(KKslave,SIGN(CV42))+CT42*POWER(MUslave,SIGN(CO42))*POWER(KLslave,SIGN(CP42))*POWER(INslave_IN,SIGN(CQ42))*POWER(CHslave,SIGN(CR42))*POWER(FFslave,SIGN(CS42))*POWER(KOslave,SIGN(CU42))*POWER(KKslave,SIGN(CV42))+CU42*POWER(MUslave,SIGN(CO42))*POWER(KLslave,SIGN(CP42))*POWER(INslave_IN,SIGN(CQ42))*POWER(CHslave,SIGN(CR42))*POWER(FFslave,SIGN(CS42))*POWER(GEslave,SIGN(CT42))*POWER(KKslave,SIGN(CV42))+CV42*POWER(MUslave,SIGN(CO42))*POWER(KLslave,SIGN(CP42))*POWER(INslave_IN,SIGN(CQ42))*POWER(CHslave,SIGN(CR42))*POWER(FFslave,SIGN(CS42))*POWER(GEslave,SIGN(CT42))*POWER(KOslave,SIGN(CU42))</f>
        <v>2304</v>
      </c>
      <c r="DA42" s="235">
        <f>CO42*CT42*KOslave+CO42*GEslave*CU42+MUslave*CT42*CU42</f>
        <v>3456</v>
      </c>
      <c r="DB42" s="227">
        <f t="shared" si="314"/>
        <v>1728</v>
      </c>
      <c r="DC42" s="244">
        <f t="shared" si="315"/>
        <v>7488</v>
      </c>
      <c r="DD42" s="225">
        <f t="shared" si="316"/>
        <v>3.6923076923076925</v>
      </c>
      <c r="DE42" s="226">
        <f t="shared" si="317"/>
        <v>11.076923076923077</v>
      </c>
      <c r="DF42" s="245">
        <f t="shared" si="318"/>
        <v>8.3076923076923084</v>
      </c>
      <c r="DG42" s="246">
        <f t="shared" si="319"/>
        <v>23.07692307692308</v>
      </c>
      <c r="DH42" s="252">
        <f t="shared" si="320"/>
        <v>0</v>
      </c>
      <c r="DI42" s="309">
        <f t="shared" si="321"/>
        <v>23.07692307692308</v>
      </c>
      <c r="DJ42" s="246">
        <f t="shared" si="387"/>
        <v>260.30769230769232</v>
      </c>
      <c r="DK42" s="244">
        <f t="shared" si="387"/>
        <v>0</v>
      </c>
      <c r="DL42" s="245">
        <f t="shared" si="322"/>
        <v>260.30769230769232</v>
      </c>
      <c r="DM42" s="246">
        <f t="shared" si="323"/>
        <v>0</v>
      </c>
      <c r="DO42" s="306" t="s">
        <v>36</v>
      </c>
      <c r="DP42" s="245" t="s">
        <v>93</v>
      </c>
      <c r="DQ42" s="246" t="s">
        <v>135</v>
      </c>
      <c r="DR42" s="238">
        <f>Konvention_1slave-MUslave</f>
        <v>12</v>
      </c>
      <c r="DS42" s="235"/>
      <c r="DT42" s="235"/>
      <c r="DU42" s="235"/>
      <c r="DV42" s="235"/>
      <c r="DW42" s="235">
        <f>Konvention_1slave-GEslave</f>
        <v>12</v>
      </c>
      <c r="DX42" s="235">
        <f>Konvention_1slave-KOslave</f>
        <v>12</v>
      </c>
      <c r="DY42" s="227"/>
      <c r="DZ42" s="225">
        <f>(DR42+DS42+DT42+DU42+DV42+DW42+DX42+DY42)/3</f>
        <v>12</v>
      </c>
      <c r="EA42" s="226">
        <f t="shared" si="324"/>
        <v>24</v>
      </c>
      <c r="EB42" s="227">
        <f t="shared" si="325"/>
        <v>36</v>
      </c>
      <c r="EC42" s="238">
        <f>DR42*POWER(KLslave,SIGN(DS42))*POWER(INslave,SIGN(DT42))*POWER(CHslave_CH,SIGN(DU42))*POWER(FFslave,SIGN(DV42))*POWER(GEslave,SIGN(DW42))*POWER(KOslave,SIGN(DX42))*POWER(KKslave,SIGN(DY42))+DS42*POWER(MUslave,SIGN(DR42))*POWER(INslave,SIGN(DT42))*POWER(CHslave_CH,SIGN(DU42))*POWER(FFslave,SIGN(DV42))*POWER(GEslave,SIGN(DW42))*POWER(KOslave,SIGN(DX42))*POWER(KKslave,SIGN(DY42))+DT42*POWER(MUslave,SIGN(DR42))*POWER(KLslave,SIGN(DS42))*POWER(CHslave_CH,SIGN(DU42))*POWER(FFslave,SIGN(DV42))*POWER(GEslave,SIGN(DW42))*POWER(KOslave,SIGN(DX42))*POWER(KKslave,SIGN(DY42))+DU42*POWER(MUslave,SIGN(DR42))*POWER(KLslave,SIGN(DS42))*POWER(INslave,SIGN(DT42))*POWER(FFslave,SIGN(DV42))*POWER(GEslave,SIGN(DW42))*POWER(KOslave,SIGN(DX42))*POWER(KKslave,SIGN(DY42))+DV42*POWER(MUslave,SIGN(DR42))*POWER(KLslave,SIGN(DS42))*POWER(INslave,SIGN(DT42))*POWER(CHslave_CH,SIGN(DU42))*POWER(GEslave,SIGN(DW42))*POWER(KOslave,SIGN(DX42))*POWER(KKslave,SIGN(DY42))+DW42*POWER(MUslave,SIGN(DR42))*POWER(KLslave,SIGN(DS42))*POWER(INslave,SIGN(DT42))*POWER(CHslave_CH,SIGN(DU42))*POWER(FFslave,SIGN(DV42))*POWER(KOslave,SIGN(DX42))*POWER(KKslave,SIGN(DY42))+DX42*POWER(MUslave,SIGN(DR42))*POWER(KLslave,SIGN(DS42))*POWER(INslave,SIGN(DT42))*POWER(CHslave_CH,SIGN(DU42))*POWER(FFslave,SIGN(DV42))*POWER(GEslave,SIGN(DW42))*POWER(KKslave,SIGN(DY42))+DY42*POWER(MUslave,SIGN(DR42))*POWER(KLslave,SIGN(DS42))*POWER(INslave,SIGN(DT42))*POWER(CHslave_CH,SIGN(DU42))*POWER(FFslave,SIGN(DV42))*POWER(GEslave,SIGN(DW42))*POWER(KOslave,SIGN(DX42))</f>
        <v>2304</v>
      </c>
      <c r="ED42" s="235">
        <f>DR42*DW42*KOslave+DR42*GEslave*DX42+MUslave*DW42*DX42</f>
        <v>3456</v>
      </c>
      <c r="EE42" s="227">
        <f t="shared" si="326"/>
        <v>1728</v>
      </c>
      <c r="EF42" s="244">
        <f t="shared" si="327"/>
        <v>7488</v>
      </c>
      <c r="EG42" s="225">
        <f t="shared" si="328"/>
        <v>3.6923076923076925</v>
      </c>
      <c r="EH42" s="226">
        <f t="shared" si="329"/>
        <v>11.076923076923077</v>
      </c>
      <c r="EI42" s="245">
        <f t="shared" si="330"/>
        <v>8.3076923076923084</v>
      </c>
      <c r="EJ42" s="246">
        <f t="shared" si="331"/>
        <v>23.07692307692308</v>
      </c>
      <c r="EK42" s="252">
        <f t="shared" si="332"/>
        <v>0</v>
      </c>
      <c r="EL42" s="309">
        <f t="shared" si="333"/>
        <v>23.07692307692308</v>
      </c>
      <c r="EM42" s="246">
        <f t="shared" si="388"/>
        <v>260.30769230769232</v>
      </c>
      <c r="EN42" s="244">
        <f t="shared" si="388"/>
        <v>0</v>
      </c>
      <c r="EO42" s="245">
        <f t="shared" si="334"/>
        <v>260.30769230769232</v>
      </c>
      <c r="EP42" s="246">
        <f t="shared" si="335"/>
        <v>0</v>
      </c>
      <c r="ER42" s="306" t="s">
        <v>36</v>
      </c>
      <c r="ES42" s="245" t="s">
        <v>93</v>
      </c>
      <c r="ET42" s="246" t="s">
        <v>135</v>
      </c>
      <c r="EU42" s="238">
        <f>Konvention_1slave-MUslave</f>
        <v>12</v>
      </c>
      <c r="EV42" s="235"/>
      <c r="EW42" s="235"/>
      <c r="EX42" s="235"/>
      <c r="EY42" s="235"/>
      <c r="EZ42" s="235">
        <f>Konvention_1slave-GEslave</f>
        <v>12</v>
      </c>
      <c r="FA42" s="235">
        <f>Konvention_1slave-KOslave</f>
        <v>12</v>
      </c>
      <c r="FB42" s="227"/>
      <c r="FC42" s="225">
        <f>(EU42+EV42+EW42+EX42+EY42+EZ42+FA42+FB42)/3</f>
        <v>12</v>
      </c>
      <c r="FD42" s="226">
        <f t="shared" si="336"/>
        <v>24</v>
      </c>
      <c r="FE42" s="227">
        <f t="shared" si="337"/>
        <v>36</v>
      </c>
      <c r="FF42" s="238">
        <f>EU42*POWER(KLslave,SIGN(EV42))*POWER(INslave,SIGN(EW42))*POWER(CHslave,SIGN(EX42))*POWER(FFslave_FF,SIGN(EY42))*POWER(GEslave,SIGN(EZ42))*POWER(KOslave,SIGN(FA42))*POWER(KKslave,SIGN(FB42))+EV42*POWER(MUslave,SIGN(EU42))*POWER(INslave,SIGN(EW42))*POWER(CHslave,SIGN(EX42))*POWER(FFslave_FF,SIGN(EY42))*POWER(GEslave,SIGN(EZ42))*POWER(KOslave,SIGN(FA42))*POWER(KKslave,SIGN(FB42))+EW42*POWER(MUslave,SIGN(EU42))*POWER(KLslave,SIGN(EV42))*POWER(CHslave,SIGN(EX42))*POWER(FFslave_FF,SIGN(EY42))*POWER(GEslave,SIGN(EZ42))*POWER(KOslave,SIGN(FA42))*POWER(KKslave,SIGN(FB42))+EX42*POWER(MUslave,SIGN(EU42))*POWER(KLslave,SIGN(EV42))*POWER(INslave,SIGN(EW42))*POWER(FFslave_FF,SIGN(EY42))*POWER(GEslave,SIGN(EZ42))*POWER(KOslave,SIGN(FA42))*POWER(KKslave,SIGN(FB42))+EY42*POWER(MUslave,SIGN(EU42))*POWER(KLslave,SIGN(EV42))*POWER(INslave,SIGN(EW42))*POWER(CHslave,SIGN(EX42))*POWER(GEslave,SIGN(EZ42))*POWER(KOslave,SIGN(FA42))*POWER(KKslave,SIGN(FB42))+EZ42*POWER(MUslave,SIGN(EU42))*POWER(KLslave,SIGN(EV42))*POWER(INslave,SIGN(EW42))*POWER(CHslave,SIGN(EX42))*POWER(FFslave_FF,SIGN(EY42))*POWER(KOslave,SIGN(FA42))*POWER(KKslave,SIGN(FB42))+FA42*POWER(MUslave,SIGN(EU42))*POWER(KLslave,SIGN(EV42))*POWER(INslave,SIGN(EW42))*POWER(CHslave,SIGN(EX42))*POWER(FFslave_FF,SIGN(EY42))*POWER(GEslave,SIGN(EZ42))*POWER(KKslave,SIGN(FB42))+FB42*POWER(MUslave,SIGN(EU42))*POWER(KLslave,SIGN(EV42))*POWER(INslave,SIGN(EW42))*POWER(CHslave,SIGN(EX42))*POWER(FFslave_FF,SIGN(EY42))*POWER(GEslave,SIGN(EZ42))*POWER(KOslave,SIGN(FA42))</f>
        <v>2304</v>
      </c>
      <c r="FG42" s="235">
        <f>EU42*EZ42*KOslave+EU42*GEslave*FA42+MUslave*EZ42*FA42</f>
        <v>3456</v>
      </c>
      <c r="FH42" s="227">
        <f t="shared" si="338"/>
        <v>1728</v>
      </c>
      <c r="FI42" s="244">
        <f t="shared" si="339"/>
        <v>7488</v>
      </c>
      <c r="FJ42" s="225">
        <f t="shared" si="340"/>
        <v>3.6923076923076925</v>
      </c>
      <c r="FK42" s="226">
        <f t="shared" si="341"/>
        <v>11.076923076923077</v>
      </c>
      <c r="FL42" s="245">
        <f t="shared" si="342"/>
        <v>8.3076923076923084</v>
      </c>
      <c r="FM42" s="246">
        <f t="shared" si="343"/>
        <v>23.07692307692308</v>
      </c>
      <c r="FN42" s="252">
        <f t="shared" si="344"/>
        <v>0</v>
      </c>
      <c r="FO42" s="309">
        <f t="shared" si="345"/>
        <v>23.07692307692308</v>
      </c>
      <c r="FP42" s="246">
        <f t="shared" si="389"/>
        <v>260.30769230769232</v>
      </c>
      <c r="FQ42" s="244">
        <f t="shared" si="389"/>
        <v>0</v>
      </c>
      <c r="FR42" s="245">
        <f t="shared" si="346"/>
        <v>260.30769230769232</v>
      </c>
      <c r="FS42" s="246">
        <f t="shared" si="347"/>
        <v>0</v>
      </c>
      <c r="FU42" s="306" t="s">
        <v>36</v>
      </c>
      <c r="FV42" s="245" t="s">
        <v>93</v>
      </c>
      <c r="FW42" s="246" t="s">
        <v>135</v>
      </c>
      <c r="FX42" s="238">
        <f>Konvention_1slave-MUslave</f>
        <v>12</v>
      </c>
      <c r="FY42" s="235"/>
      <c r="FZ42" s="235"/>
      <c r="GA42" s="235"/>
      <c r="GB42" s="235"/>
      <c r="GC42" s="235">
        <f>Konvention_1slave-GEslave_GE</f>
        <v>11</v>
      </c>
      <c r="GD42" s="235">
        <f>Konvention_1slave-KOslave</f>
        <v>12</v>
      </c>
      <c r="GE42" s="227"/>
      <c r="GF42" s="225">
        <f>(FX42+FY42+FZ42+GA42+GB42+GC42+GD42+GE42)/3</f>
        <v>11.666666666666666</v>
      </c>
      <c r="GG42" s="226">
        <f t="shared" si="348"/>
        <v>23.333333333333332</v>
      </c>
      <c r="GH42" s="227">
        <f t="shared" si="349"/>
        <v>35</v>
      </c>
      <c r="GI42" s="238">
        <f>FX42*POWER(KLslave,SIGN(FY42))*POWER(INslave,SIGN(FZ42))*POWER(CHslave,SIGN(GA42))*POWER(FFslave,SIGN(GB42))*POWER(GEslave_GE,SIGN(GC42))*POWER(KOslave,SIGN(GD42))*POWER(KKslave,SIGN(GE42))+FY42*POWER(MUslave,SIGN(FX42))*POWER(INslave,SIGN(FZ42))*POWER(CHslave,SIGN(GA42))*POWER(FFslave,SIGN(GB42))*POWER(GEslave_GE,SIGN(GC42))*POWER(KOslave,SIGN(GD42))*POWER(KKslave,SIGN(GE42))+FZ42*POWER(MUslave,SIGN(FX42))*POWER(KLslave,SIGN(FY42))*POWER(CHslave,SIGN(GA42))*POWER(FFslave,SIGN(GB42))*POWER(GEslave_GE,SIGN(GC42))*POWER(KOslave,SIGN(GD42))*POWER(KKslave,SIGN(GE42))+GA42*POWER(MUslave,SIGN(FX42))*POWER(KLslave,SIGN(FY42))*POWER(INslave,SIGN(FZ42))*POWER(FFslave,SIGN(GB42))*POWER(GEslave_GE,SIGN(GC42))*POWER(KOslave,SIGN(GD42))*POWER(KKslave,SIGN(GE42))+GB42*POWER(MUslave,SIGN(FX42))*POWER(KLslave,SIGN(FY42))*POWER(INslave,SIGN(FZ42))*POWER(CHslave,SIGN(GA42))*POWER(GEslave_GE,SIGN(GC42))*POWER(KOslave,SIGN(GD42))*POWER(KKslave,SIGN(GE42))+GC42*POWER(MUslave,SIGN(FX42))*POWER(KLslave,SIGN(FY42))*POWER(INslave,SIGN(FZ42))*POWER(CHslave,SIGN(GA42))*POWER(FFslave,SIGN(GB42))*POWER(KOslave,SIGN(GD42))*POWER(KKslave,SIGN(GE42))+GD42*POWER(MUslave,SIGN(FX42))*POWER(KLslave,SIGN(FY42))*POWER(INslave,SIGN(FZ42))*POWER(CHslave,SIGN(GA42))*POWER(FFslave,SIGN(GB42))*POWER(GEslave_GE,SIGN(GC42))*POWER(KKslave,SIGN(GE42))+GE42*POWER(MUslave,SIGN(FX42))*POWER(KLslave,SIGN(FY42))*POWER(INslave,SIGN(FZ42))*POWER(CHslave,SIGN(GA42))*POWER(FFslave,SIGN(GB42))*POWER(GEslave_GE,SIGN(GC42))*POWER(KOslave,SIGN(GD42))</f>
        <v>2432</v>
      </c>
      <c r="GJ42" s="235">
        <f>FX42*GC42*KOslave+FX42*GEslave_GE*GD42+MUslave*GC42*GD42</f>
        <v>3408</v>
      </c>
      <c r="GK42" s="227">
        <f t="shared" si="350"/>
        <v>1584</v>
      </c>
      <c r="GL42" s="244">
        <f t="shared" si="351"/>
        <v>7424</v>
      </c>
      <c r="GM42" s="225">
        <f t="shared" si="352"/>
        <v>3.8218390804597702</v>
      </c>
      <c r="GN42" s="226">
        <f t="shared" si="353"/>
        <v>10.711206896551724</v>
      </c>
      <c r="GO42" s="245">
        <f t="shared" si="354"/>
        <v>7.4676724137931032</v>
      </c>
      <c r="GP42" s="246">
        <f t="shared" si="355"/>
        <v>22.000718390804597</v>
      </c>
      <c r="GQ42" s="252">
        <f t="shared" si="356"/>
        <v>0</v>
      </c>
      <c r="GR42" s="309">
        <f t="shared" si="357"/>
        <v>22.000718390804597</v>
      </c>
      <c r="GS42" s="246">
        <f t="shared" si="390"/>
        <v>228.02155172413785</v>
      </c>
      <c r="GT42" s="244">
        <f t="shared" si="390"/>
        <v>0</v>
      </c>
      <c r="GU42" s="245">
        <f t="shared" si="358"/>
        <v>228.02155172413785</v>
      </c>
      <c r="GV42" s="246">
        <f t="shared" si="359"/>
        <v>0</v>
      </c>
      <c r="GX42" s="306" t="s">
        <v>36</v>
      </c>
      <c r="GY42" s="245" t="s">
        <v>93</v>
      </c>
      <c r="GZ42" s="246" t="s">
        <v>135</v>
      </c>
      <c r="HA42" s="238">
        <f>Konvention_1slave-MUslave</f>
        <v>12</v>
      </c>
      <c r="HB42" s="235"/>
      <c r="HC42" s="235"/>
      <c r="HD42" s="235"/>
      <c r="HE42" s="235"/>
      <c r="HF42" s="235">
        <f>Konvention_1slave-GEslave</f>
        <v>12</v>
      </c>
      <c r="HG42" s="235">
        <f>Konvention_1slave-KOslave_KO</f>
        <v>11</v>
      </c>
      <c r="HH42" s="227"/>
      <c r="HI42" s="225">
        <f>(HA42+HB42+HC42+HD42+HE42+HF42+HG42+HH42)/3</f>
        <v>11.666666666666666</v>
      </c>
      <c r="HJ42" s="226">
        <f t="shared" si="360"/>
        <v>23.333333333333332</v>
      </c>
      <c r="HK42" s="227">
        <f t="shared" si="361"/>
        <v>35</v>
      </c>
      <c r="HL42" s="238">
        <f>HA42*POWER(KLslave,SIGN(HB42))*POWER(INslave,SIGN(HC42))*POWER(CHslave,SIGN(HD42))*POWER(FFslave,SIGN(HE42))*POWER(GEslave,SIGN(HF42))*POWER(KOslave_KO,SIGN(HG42))*POWER(KKslave,SIGN(HH42))+HB42*POWER(MUslave,SIGN(HA42))*POWER(INslave,SIGN(HC42))*POWER(CHslave,SIGN(HD42))*POWER(FFslave,SIGN(HE42))*POWER(GEslave,SIGN(HF42))*POWER(KOslave_KO,SIGN(HG42))*POWER(KKslave,SIGN(HH42))+HC42*POWER(MUslave,SIGN(HA42))*POWER(KLslave,SIGN(HB42))*POWER(CHslave,SIGN(HD42))*POWER(FFslave,SIGN(HE42))*POWER(GEslave,SIGN(HF42))*POWER(KOslave_KO,SIGN(HG42))*POWER(KKslave,SIGN(HH42))+HD42*POWER(MUslave,SIGN(HA42))*POWER(KLslave,SIGN(HB42))*POWER(INslave,SIGN(HC42))*POWER(FFslave,SIGN(HE42))*POWER(GEslave,SIGN(HF42))*POWER(KOslave_KO,SIGN(HG42))*POWER(KKslave,SIGN(HH42))+HE42*POWER(MUslave,SIGN(HA42))*POWER(KLslave,SIGN(HB42))*POWER(INslave,SIGN(HC42))*POWER(CHslave,SIGN(HD42))*POWER(GEslave,SIGN(HF42))*POWER(KOslave_KO,SIGN(HG42))*POWER(KKslave,SIGN(HH42))+HF42*POWER(MUslave,SIGN(HA42))*POWER(KLslave,SIGN(HB42))*POWER(INslave,SIGN(HC42))*POWER(CHslave,SIGN(HD42))*POWER(FFslave,SIGN(HE42))*POWER(KOslave_KO,SIGN(HG42))*POWER(KKslave,SIGN(HH42))+HG42*POWER(MUslave,SIGN(HA42))*POWER(KLslave,SIGN(HB42))*POWER(INslave,SIGN(HC42))*POWER(CHslave,SIGN(HD42))*POWER(FFslave,SIGN(HE42))*POWER(GEslave,SIGN(HF42))*POWER(KKslave,SIGN(HH42))+HH42*POWER(MUslave,SIGN(HA42))*POWER(KLslave,SIGN(HB42))*POWER(INslave,SIGN(HC42))*POWER(CHslave,SIGN(HD42))*POWER(FFslave,SIGN(HE42))*POWER(GEslave,SIGN(HF42))*POWER(KOslave_KO,SIGN(HG42))</f>
        <v>2432</v>
      </c>
      <c r="HM42" s="235">
        <f>HA42*HF42*KOslave_KO+HA42*GEslave*HG42+MUslave*HF42*HG42</f>
        <v>3408</v>
      </c>
      <c r="HN42" s="227">
        <f t="shared" si="362"/>
        <v>1584</v>
      </c>
      <c r="HO42" s="244">
        <f t="shared" si="363"/>
        <v>7424</v>
      </c>
      <c r="HP42" s="225">
        <f t="shared" si="364"/>
        <v>3.8218390804597702</v>
      </c>
      <c r="HQ42" s="226">
        <f t="shared" si="365"/>
        <v>10.711206896551724</v>
      </c>
      <c r="HR42" s="245">
        <f t="shared" si="366"/>
        <v>7.4676724137931032</v>
      </c>
      <c r="HS42" s="246">
        <f t="shared" si="367"/>
        <v>22.000718390804597</v>
      </c>
      <c r="HT42" s="252">
        <f t="shared" si="368"/>
        <v>0</v>
      </c>
      <c r="HU42" s="309">
        <f t="shared" si="369"/>
        <v>22.000718390804597</v>
      </c>
      <c r="HV42" s="246">
        <f t="shared" si="391"/>
        <v>228.02155172413785</v>
      </c>
      <c r="HW42" s="244">
        <f t="shared" si="391"/>
        <v>0</v>
      </c>
      <c r="HX42" s="245">
        <f t="shared" si="370"/>
        <v>228.02155172413785</v>
      </c>
      <c r="HY42" s="246">
        <f t="shared" si="371"/>
        <v>0</v>
      </c>
      <c r="IA42" s="306" t="s">
        <v>36</v>
      </c>
      <c r="IB42" s="245" t="s">
        <v>93</v>
      </c>
      <c r="IC42" s="246" t="s">
        <v>135</v>
      </c>
      <c r="ID42" s="238">
        <f>Konvention_1slave-MUslave</f>
        <v>12</v>
      </c>
      <c r="IE42" s="235"/>
      <c r="IF42" s="235"/>
      <c r="IG42" s="235"/>
      <c r="IH42" s="235"/>
      <c r="II42" s="235">
        <f>Konvention_1slave-GEslave</f>
        <v>12</v>
      </c>
      <c r="IJ42" s="235">
        <f>Konvention_1slave-KOslave</f>
        <v>12</v>
      </c>
      <c r="IK42" s="227"/>
      <c r="IL42" s="225">
        <f>(ID42+IE42+IF42+IG42+IH42+II42+IJ42+IK42)/3</f>
        <v>12</v>
      </c>
      <c r="IM42" s="226">
        <f t="shared" si="372"/>
        <v>24</v>
      </c>
      <c r="IN42" s="227">
        <f t="shared" si="373"/>
        <v>36</v>
      </c>
      <c r="IO42" s="238">
        <f>ID42*POWER(KLslave,SIGN(IE42))*POWER(INslave,SIGN(IF42))*POWER(CHslave,SIGN(IG42))*POWER(FFslave,SIGN(IH42))*POWER(GEslave,SIGN(II42))*POWER(KOslave,SIGN(IJ42))*POWER(KKslave_KK,SIGN(IK42))+IE42*POWER(MUslave,SIGN(ID42))*POWER(INslave,SIGN(IF42))*POWER(CHslave,SIGN(IG42))*POWER(FFslave,SIGN(IH42))*POWER(GEslave,SIGN(II42))*POWER(KOslave,SIGN(IJ42))*POWER(KKslave_KK,SIGN(IK42))+IF42*POWER(MUslave,SIGN(ID42))*POWER(KLslave,SIGN(IE42))*POWER(CHslave,SIGN(IG42))*POWER(FFslave,SIGN(IH42))*POWER(GEslave,SIGN(II42))*POWER(KOslave,SIGN(IJ42))*POWER(KKslave_KK,SIGN(IK42))+IG42*POWER(MUslave,SIGN(ID42))*POWER(KLslave,SIGN(IE42))*POWER(INslave,SIGN(IF42))*POWER(FFslave,SIGN(IH42))*POWER(GEslave,SIGN(II42))*POWER(KOslave,SIGN(IJ42))*POWER(KKslave_KK,SIGN(IK42))+IH42*POWER(MUslave,SIGN(ID42))*POWER(KLslave,SIGN(IE42))*POWER(INslave,SIGN(IF42))*POWER(CHslave,SIGN(IG42))*POWER(GEslave,SIGN(II42))*POWER(KOslave,SIGN(IJ42))*POWER(KKslave_KK,SIGN(IK42))+II42*POWER(MUslave,SIGN(ID42))*POWER(KLslave,SIGN(IE42))*POWER(INslave,SIGN(IF42))*POWER(CHslave,SIGN(IG42))*POWER(FFslave,SIGN(IH42))*POWER(KOslave,SIGN(IJ42))*POWER(KKslave_KK,SIGN(IK42))+IJ42*POWER(MUslave,SIGN(ID42))*POWER(KLslave,SIGN(IE42))*POWER(INslave,SIGN(IF42))*POWER(CHslave,SIGN(IG42))*POWER(FFslave,SIGN(IH42))*POWER(GEslave,SIGN(II42))*POWER(KKslave_KK,SIGN(IK42))+IK42*POWER(MUslave,SIGN(ID42))*POWER(KLslave,SIGN(IE42))*POWER(INslave,SIGN(IF42))*POWER(CHslave,SIGN(IG42))*POWER(FFslave,SIGN(IH42))*POWER(GEslave,SIGN(II42))*POWER(KOslave,SIGN(IJ42))</f>
        <v>2304</v>
      </c>
      <c r="IP42" s="235">
        <f>ID42*II42*KOslave+ID42*GEslave*IJ42+MUslave*II42*IJ42</f>
        <v>3456</v>
      </c>
      <c r="IQ42" s="227">
        <f t="shared" si="374"/>
        <v>1728</v>
      </c>
      <c r="IR42" s="244">
        <f t="shared" si="375"/>
        <v>7488</v>
      </c>
      <c r="IS42" s="225">
        <f t="shared" si="376"/>
        <v>3.6923076923076925</v>
      </c>
      <c r="IT42" s="226">
        <f t="shared" si="377"/>
        <v>11.076923076923077</v>
      </c>
      <c r="IU42" s="245">
        <f t="shared" si="378"/>
        <v>8.3076923076923084</v>
      </c>
      <c r="IV42" s="246">
        <f t="shared" si="379"/>
        <v>23.07692307692308</v>
      </c>
      <c r="IW42" s="252">
        <f t="shared" si="380"/>
        <v>0</v>
      </c>
      <c r="IX42" s="309">
        <f t="shared" si="381"/>
        <v>23.07692307692308</v>
      </c>
      <c r="IY42" s="246">
        <f t="shared" si="392"/>
        <v>260.30769230769232</v>
      </c>
      <c r="IZ42" s="244">
        <f t="shared" si="392"/>
        <v>0</v>
      </c>
      <c r="JA42" s="245">
        <f t="shared" si="382"/>
        <v>260.30769230769232</v>
      </c>
      <c r="JB42" s="246">
        <f t="shared" si="383"/>
        <v>0</v>
      </c>
      <c r="JE42" s="148"/>
    </row>
    <row r="43" spans="2:265" hidden="1" outlineLevel="1" collapsed="1">
      <c r="B43" s="134" t="s">
        <v>70</v>
      </c>
      <c r="C43" s="307" t="s">
        <v>281</v>
      </c>
      <c r="D43" s="84" t="s">
        <v>279</v>
      </c>
      <c r="E43" s="84" t="s">
        <v>280</v>
      </c>
      <c r="F43" s="30"/>
      <c r="G43" s="30"/>
      <c r="H43" s="30"/>
      <c r="I43" s="30"/>
      <c r="J43" s="30"/>
      <c r="K43" s="30"/>
      <c r="L43" s="30"/>
      <c r="M43" s="30"/>
      <c r="N43" s="228"/>
      <c r="O43" s="228"/>
      <c r="P43" s="229"/>
      <c r="Q43" s="229"/>
      <c r="R43" s="30"/>
      <c r="S43" s="229"/>
      <c r="T43" s="229"/>
      <c r="U43" s="228"/>
      <c r="V43" s="228"/>
      <c r="W43" s="228"/>
      <c r="X43" s="228"/>
      <c r="Y43" s="253"/>
      <c r="Z43" s="197"/>
      <c r="AF43" s="83" t="s">
        <v>281</v>
      </c>
      <c r="AG43" s="84" t="s">
        <v>279</v>
      </c>
      <c r="AH43" s="84" t="s">
        <v>280</v>
      </c>
      <c r="AI43" s="30"/>
      <c r="AJ43" s="30"/>
      <c r="AK43" s="30"/>
      <c r="AL43" s="30"/>
      <c r="AM43" s="30"/>
      <c r="AN43" s="30"/>
      <c r="AO43" s="30"/>
      <c r="AP43" s="30"/>
      <c r="AQ43" s="31"/>
      <c r="AR43" s="31"/>
      <c r="AS43" s="30"/>
      <c r="AT43" s="30"/>
      <c r="AU43" s="30"/>
      <c r="AV43" s="30"/>
      <c r="AW43" s="30"/>
      <c r="AX43" s="31"/>
      <c r="AY43" s="31"/>
      <c r="AZ43" s="31"/>
      <c r="BA43" s="31"/>
      <c r="BB43" s="65"/>
      <c r="BC43" s="197"/>
      <c r="BI43" s="307" t="s">
        <v>281</v>
      </c>
      <c r="BJ43" s="308" t="s">
        <v>279</v>
      </c>
      <c r="BK43" s="308" t="s">
        <v>280</v>
      </c>
      <c r="BL43" s="229"/>
      <c r="BM43" s="229"/>
      <c r="BN43" s="229"/>
      <c r="BO43" s="229"/>
      <c r="BP43" s="229"/>
      <c r="BQ43" s="229"/>
      <c r="BR43" s="229"/>
      <c r="BS43" s="229"/>
      <c r="BT43" s="228"/>
      <c r="BU43" s="228"/>
      <c r="BV43" s="229"/>
      <c r="BW43" s="229"/>
      <c r="BX43" s="229"/>
      <c r="BY43" s="229"/>
      <c r="BZ43" s="229"/>
      <c r="CA43" s="228"/>
      <c r="CB43" s="228"/>
      <c r="CC43" s="228"/>
      <c r="CD43" s="228"/>
      <c r="CE43" s="253"/>
      <c r="CF43" s="251"/>
      <c r="CL43" s="307" t="s">
        <v>281</v>
      </c>
      <c r="CM43" s="308" t="s">
        <v>279</v>
      </c>
      <c r="CN43" s="308" t="s">
        <v>280</v>
      </c>
      <c r="CO43" s="229"/>
      <c r="CP43" s="229"/>
      <c r="CQ43" s="229"/>
      <c r="CR43" s="229"/>
      <c r="CS43" s="229"/>
      <c r="CT43" s="229"/>
      <c r="CU43" s="229"/>
      <c r="CV43" s="229"/>
      <c r="CW43" s="228"/>
      <c r="CX43" s="228"/>
      <c r="CY43" s="229"/>
      <c r="CZ43" s="229"/>
      <c r="DA43" s="229"/>
      <c r="DB43" s="229"/>
      <c r="DC43" s="229"/>
      <c r="DD43" s="228"/>
      <c r="DE43" s="228"/>
      <c r="DF43" s="228"/>
      <c r="DG43" s="228"/>
      <c r="DH43" s="253"/>
      <c r="DI43" s="251"/>
      <c r="DO43" s="307" t="s">
        <v>281</v>
      </c>
      <c r="DP43" s="308" t="s">
        <v>279</v>
      </c>
      <c r="DQ43" s="308" t="s">
        <v>280</v>
      </c>
      <c r="DR43" s="229"/>
      <c r="DS43" s="229"/>
      <c r="DT43" s="229"/>
      <c r="DU43" s="229"/>
      <c r="DV43" s="229"/>
      <c r="DW43" s="229"/>
      <c r="DX43" s="229"/>
      <c r="DY43" s="229"/>
      <c r="DZ43" s="228"/>
      <c r="EA43" s="228"/>
      <c r="EB43" s="229"/>
      <c r="EC43" s="229"/>
      <c r="ED43" s="229"/>
      <c r="EE43" s="229"/>
      <c r="EF43" s="229"/>
      <c r="EG43" s="228"/>
      <c r="EH43" s="228"/>
      <c r="EI43" s="228"/>
      <c r="EJ43" s="228"/>
      <c r="EK43" s="253"/>
      <c r="EL43" s="251"/>
      <c r="ER43" s="307" t="s">
        <v>281</v>
      </c>
      <c r="ES43" s="308" t="s">
        <v>279</v>
      </c>
      <c r="ET43" s="308" t="s">
        <v>280</v>
      </c>
      <c r="EU43" s="229"/>
      <c r="EV43" s="229"/>
      <c r="EW43" s="229"/>
      <c r="EX43" s="229"/>
      <c r="EY43" s="229"/>
      <c r="EZ43" s="229"/>
      <c r="FA43" s="229"/>
      <c r="FB43" s="229"/>
      <c r="FC43" s="228"/>
      <c r="FD43" s="228"/>
      <c r="FE43" s="229"/>
      <c r="FF43" s="229"/>
      <c r="FG43" s="229"/>
      <c r="FH43" s="229"/>
      <c r="FI43" s="229"/>
      <c r="FJ43" s="228"/>
      <c r="FK43" s="228"/>
      <c r="FL43" s="228"/>
      <c r="FM43" s="228"/>
      <c r="FN43" s="253"/>
      <c r="FO43" s="251"/>
      <c r="FU43" s="307" t="s">
        <v>281</v>
      </c>
      <c r="FV43" s="308" t="s">
        <v>279</v>
      </c>
      <c r="FW43" s="308" t="s">
        <v>280</v>
      </c>
      <c r="FX43" s="229"/>
      <c r="FY43" s="229"/>
      <c r="FZ43" s="229"/>
      <c r="GA43" s="229"/>
      <c r="GB43" s="229"/>
      <c r="GC43" s="229"/>
      <c r="GD43" s="229"/>
      <c r="GE43" s="229"/>
      <c r="GF43" s="228"/>
      <c r="GG43" s="228"/>
      <c r="GH43" s="229"/>
      <c r="GI43" s="229"/>
      <c r="GJ43" s="229"/>
      <c r="GK43" s="229"/>
      <c r="GL43" s="229"/>
      <c r="GM43" s="228"/>
      <c r="GN43" s="228"/>
      <c r="GO43" s="228"/>
      <c r="GP43" s="228"/>
      <c r="GQ43" s="253"/>
      <c r="GR43" s="251"/>
      <c r="GX43" s="307" t="s">
        <v>281</v>
      </c>
      <c r="GY43" s="308" t="s">
        <v>279</v>
      </c>
      <c r="GZ43" s="308" t="s">
        <v>280</v>
      </c>
      <c r="HA43" s="229"/>
      <c r="HB43" s="229"/>
      <c r="HC43" s="229"/>
      <c r="HD43" s="229"/>
      <c r="HE43" s="229"/>
      <c r="HF43" s="229"/>
      <c r="HG43" s="229"/>
      <c r="HH43" s="229"/>
      <c r="HI43" s="228"/>
      <c r="HJ43" s="228"/>
      <c r="HK43" s="229"/>
      <c r="HL43" s="229"/>
      <c r="HM43" s="229"/>
      <c r="HN43" s="229"/>
      <c r="HO43" s="229"/>
      <c r="HP43" s="228"/>
      <c r="HQ43" s="228"/>
      <c r="HR43" s="228"/>
      <c r="HS43" s="228"/>
      <c r="HT43" s="253"/>
      <c r="HU43" s="251"/>
      <c r="IA43" s="307" t="s">
        <v>281</v>
      </c>
      <c r="IB43" s="308" t="s">
        <v>279</v>
      </c>
      <c r="IC43" s="308" t="s">
        <v>280</v>
      </c>
      <c r="ID43" s="229"/>
      <c r="IE43" s="229"/>
      <c r="IF43" s="229"/>
      <c r="IG43" s="229"/>
      <c r="IH43" s="229"/>
      <c r="II43" s="229"/>
      <c r="IJ43" s="229"/>
      <c r="IK43" s="229"/>
      <c r="IL43" s="228"/>
      <c r="IM43" s="228"/>
      <c r="IN43" s="229"/>
      <c r="IO43" s="229"/>
      <c r="IP43" s="229"/>
      <c r="IQ43" s="229"/>
      <c r="IR43" s="229"/>
      <c r="IS43" s="228"/>
      <c r="IT43" s="228"/>
      <c r="IU43" s="228"/>
      <c r="IV43" s="228"/>
      <c r="IW43" s="253"/>
      <c r="IX43" s="251"/>
      <c r="JE43" s="148"/>
    </row>
    <row r="44" spans="2:265" hidden="1" outlineLevel="2">
      <c r="B44" s="148">
        <v>1</v>
      </c>
      <c r="C44" s="302" t="e">
        <f>VLOOKUP(AF44,Attribute!C:T,1,FALSE)</f>
        <v>#N/A</v>
      </c>
      <c r="D44" s="126" t="s">
        <v>94</v>
      </c>
      <c r="E44" s="158" t="s">
        <v>133</v>
      </c>
      <c r="F44" s="191"/>
      <c r="G44" s="118">
        <f t="shared" ref="G44:G55" si="393">Konvention_1master-KLmaster</f>
        <v>12</v>
      </c>
      <c r="H44" s="118">
        <f t="shared" ref="H44:H49" si="394">Konvention_1master-INmaster</f>
        <v>12</v>
      </c>
      <c r="I44" s="118"/>
      <c r="J44" s="118"/>
      <c r="K44" s="118"/>
      <c r="L44" s="118"/>
      <c r="M44" s="92"/>
      <c r="N44" s="219">
        <f>(G44+G44+H44)/3</f>
        <v>12</v>
      </c>
      <c r="O44" s="220">
        <f t="shared" ref="O44:O55" si="395">2*N44</f>
        <v>24</v>
      </c>
      <c r="P44" s="221">
        <f t="shared" ref="P44:P55" si="396">3*N44</f>
        <v>36</v>
      </c>
      <c r="Q44" s="236">
        <f>G44*POWER(INmaster,SIGN(H44))*POWER(KLmaster,SIGN(G44))+G44*POWER(INmaster,SIGN(H44))*POWER(KLmaster,SIGN(G44))+H44*POWER(KLmaster,SIGN(G44))*POWER(KLmaster,SIGN(G44))</f>
        <v>2304</v>
      </c>
      <c r="R44" s="118">
        <f>G44*G44*INmaster+G44*KLmaster*H44+KLmaster*G44*H44</f>
        <v>3456</v>
      </c>
      <c r="S44" s="221">
        <f>G44*G44*H44</f>
        <v>1728</v>
      </c>
      <c r="T44" s="78">
        <f>SUM(Q44:S44)</f>
        <v>7488</v>
      </c>
      <c r="U44" s="219">
        <f t="shared" ref="U44:U55" si="397">N44*Q44/T44</f>
        <v>3.6923076923076925</v>
      </c>
      <c r="V44" s="220">
        <f t="shared" ref="V44:V55" si="398">O44*R44/T44</f>
        <v>11.076923076923077</v>
      </c>
      <c r="W44" s="241">
        <f t="shared" ref="W44:W55" si="399">P44*S44/T44</f>
        <v>8.3076923076923084</v>
      </c>
      <c r="X44" s="42">
        <f t="shared" ref="X44:X55" si="400">SUM(U44:W44)</f>
        <v>23.07692307692308</v>
      </c>
      <c r="Y44" s="252">
        <v>0</v>
      </c>
      <c r="Z44" s="198">
        <f t="shared" ref="Z44:Z55" si="401">X44-Y44</f>
        <v>23.07692307692308</v>
      </c>
      <c r="AA44" s="158">
        <f>IF(X44&gt;0,X44,0)*1+IF(X44&gt;12,X44-12,0)*1+IF(X44&gt;13,X44-13,0)*1+IF(X44&gt;14,X44-14,0)*1+IF(X44&gt;15,X44-15,0)*1+IF(X44&gt;16,X44-16,0)*1+IF(X44&gt;17,X44-17,0)*1+IF(X44&gt;18,X44-18,0)*1+IF(X44&gt;19,X44-19,0)*1+IF(X44&gt;20,X44-20,0)*1</f>
        <v>86.769230769230802</v>
      </c>
      <c r="AB44" s="91">
        <f>IF(Y44&gt;0,Y44,0)*1+IF(Y44&gt;12,Y44-12,0)*1+IF(Y44&gt;13,Y44-13,0)*1+IF(Y44&gt;14,Y44-14,0)*1+IF(Y44&gt;15,Y44-15,0)*1+IF(Y44&gt;16,Y44-16,0)*1+IF(Y44&gt;17,Y44-17,0)*1+IF(Y44&gt;18,Y44-18,0)*1+IF(Y44&gt;19,Y44-19,0)*1+IF(Y44&gt;20,Y44-20,0)*1</f>
        <v>0</v>
      </c>
      <c r="AC44" s="126">
        <f t="shared" ref="AC44:AC55" si="402">IF((AA44-AB44)&gt;0,AA44-AB44,0)</f>
        <v>86.769230769230802</v>
      </c>
      <c r="AD44" s="158">
        <f t="shared" ref="AD44:AD55" si="403">IF((AB44-AA44)&gt;0,AB44-AA44,0)</f>
        <v>0</v>
      </c>
      <c r="AF44" s="162" t="s">
        <v>38</v>
      </c>
      <c r="AG44" s="126" t="s">
        <v>94</v>
      </c>
      <c r="AH44" s="158" t="s">
        <v>133</v>
      </c>
      <c r="AI44" s="191"/>
      <c r="AJ44" s="118">
        <f t="shared" ref="AJ44:AJ55" si="404">Konvention_1slave-KLslave</f>
        <v>12</v>
      </c>
      <c r="AK44" s="118">
        <f t="shared" ref="AK44:AK49" si="405">Konvention_1slave-INslave</f>
        <v>12</v>
      </c>
      <c r="AL44" s="118"/>
      <c r="AM44" s="118"/>
      <c r="AN44" s="118"/>
      <c r="AO44" s="118"/>
      <c r="AP44" s="92"/>
      <c r="AQ44" s="193">
        <f>(AJ44+AJ44+AK44)/3</f>
        <v>12</v>
      </c>
      <c r="AR44" s="116">
        <f t="shared" ref="AR44:AR55" si="406">2*AQ44</f>
        <v>24</v>
      </c>
      <c r="AS44" s="92">
        <f t="shared" ref="AS44:AS55" si="407">3*AQ44</f>
        <v>36</v>
      </c>
      <c r="AT44" s="191">
        <f>AJ44*POWER(INslave,SIGN(AK44))*POWER(KLslave,SIGN(AJ44))+AJ44*POWER(INslave,SIGN(AK44))*POWER(KLslave,SIGN(AJ44))+AK44*POWER(KLslave,SIGN(AJ44))*POWER(KLslave,SIGN(AJ44))</f>
        <v>2304</v>
      </c>
      <c r="AU44" s="118">
        <f>AJ44*AJ44*INslave+AJ44*KLslave*AK44+KLslave*AJ44*AK44</f>
        <v>3456</v>
      </c>
      <c r="AV44" s="92">
        <f>AJ44*AJ44*AK44</f>
        <v>1728</v>
      </c>
      <c r="AW44" s="91">
        <f>SUM(AT44:AV44)</f>
        <v>7488</v>
      </c>
      <c r="AX44" s="193">
        <f t="shared" ref="AX44:AX55" si="408">AQ44*AT44/AW44</f>
        <v>3.6923076923076925</v>
      </c>
      <c r="AY44" s="116">
        <f t="shared" ref="AY44:AY55" si="409">AR44*AU44/AW44</f>
        <v>11.076923076923077</v>
      </c>
      <c r="AZ44" s="126">
        <f t="shared" ref="AZ44:AZ55" si="410">AS44*AV44/AW44</f>
        <v>8.3076923076923084</v>
      </c>
      <c r="BA44" s="158">
        <f t="shared" ref="BA44:BA55" si="411">SUM(AX44:AZ44)</f>
        <v>23.07692307692308</v>
      </c>
      <c r="BB44" s="165">
        <f t="shared" ref="BB44:BB55" si="412">Y44</f>
        <v>0</v>
      </c>
      <c r="BC44" s="198">
        <f t="shared" ref="BC44:BC55" si="413">BA44-BB44</f>
        <v>23.07692307692308</v>
      </c>
      <c r="BD44" s="158">
        <f>IF(BA44&gt;0,BA44,0)*1+IF(BA44&gt;12,BA44-12,0)*1+IF(BA44&gt;13,BA44-13,0)*1+IF(BA44&gt;14,BA44-14,0)*1+IF(BA44&gt;15,BA44-15,0)*1+IF(BA44&gt;16,BA44-16,0)*1+IF(BA44&gt;17,BA44-17,0)*1+IF(BA44&gt;18,BA44-18,0)*1+IF(BA44&gt;19,BA44-19,0)*1+IF(BA44&gt;20,BA44-20,0)*1</f>
        <v>86.769230769230802</v>
      </c>
      <c r="BE44" s="91">
        <f>IF(BB44&gt;0,BB44,0)*1+IF(BB44&gt;12,BB44-12,0)*1+IF(BB44&gt;13,BB44-13,0)*1+IF(BB44&gt;14,BB44-14,0)*1+IF(BB44&gt;15,BB44-15,0)*1+IF(BB44&gt;16,BB44-16,0)*1+IF(BB44&gt;17,BB44-17,0)*1+IF(BB44&gt;18,BB44-18,0)*1+IF(BB44&gt;19,BB44-19,0)*1+IF(BB44&gt;20,BB44-20,0)*1</f>
        <v>0</v>
      </c>
      <c r="BF44" s="241">
        <f t="shared" ref="BF44:BF55" si="414">IF((BD44-BE44)&gt;0,BD44-BE44,0)</f>
        <v>86.769230769230802</v>
      </c>
      <c r="BG44" s="42">
        <f t="shared" ref="BG44:BG55" si="415">IF((BE44-BD44)&gt;0,BE44-BD44,0)</f>
        <v>0</v>
      </c>
      <c r="BI44" s="302" t="s">
        <v>38</v>
      </c>
      <c r="BJ44" s="241" t="s">
        <v>94</v>
      </c>
      <c r="BK44" s="42" t="s">
        <v>133</v>
      </c>
      <c r="BL44" s="236"/>
      <c r="BM44" s="233">
        <f t="shared" ref="BM44:BM55" si="416">Konvention_1slave-KLslave_KL</f>
        <v>11</v>
      </c>
      <c r="BN44" s="233">
        <f t="shared" ref="BN44:BN49" si="417">Konvention_1slave-INslave</f>
        <v>12</v>
      </c>
      <c r="BO44" s="233"/>
      <c r="BP44" s="233"/>
      <c r="BQ44" s="233"/>
      <c r="BR44" s="233"/>
      <c r="BS44" s="221"/>
      <c r="BT44" s="219">
        <f>(BM44+BM44+BN44)/3</f>
        <v>11.333333333333334</v>
      </c>
      <c r="BU44" s="220">
        <f t="shared" ref="BU44:BU55" si="418">2*BT44</f>
        <v>22.666666666666668</v>
      </c>
      <c r="BV44" s="221">
        <f t="shared" ref="BV44:BV55" si="419">3*BT44</f>
        <v>34</v>
      </c>
      <c r="BW44" s="236">
        <f>BM44*POWER(INslave,SIGN(BN44))*POWER(KLslave_KL,SIGN(BM44))+BM44*POWER(INslave,SIGN(BN44))*POWER(KLslave_KL,SIGN(BM44))+BN44*POWER(KLslave_KL,SIGN(BM44))*POWER(KLslave_KL,SIGN(BM44))</f>
        <v>2556</v>
      </c>
      <c r="BX44" s="233">
        <f>BM44*BM44*INslave+BM44*KLslave_KL*BN44+KLslave_KL*BM44*BN44</f>
        <v>3344</v>
      </c>
      <c r="BY44" s="221">
        <f>BM44*BM44*BN44</f>
        <v>1452</v>
      </c>
      <c r="BZ44" s="78">
        <f>SUM(BW44:BY44)</f>
        <v>7352</v>
      </c>
      <c r="CA44" s="219">
        <f t="shared" ref="CA44:CA55" si="420">BT44*BW44/BZ44</f>
        <v>3.940152339499456</v>
      </c>
      <c r="CB44" s="220">
        <f t="shared" ref="CB44:CB55" si="421">BU44*BX44/BZ44</f>
        <v>10.309756982227059</v>
      </c>
      <c r="CC44" s="241">
        <f t="shared" ref="CC44:CC55" si="422">BV44*BY44/BZ44</f>
        <v>6.714907508161045</v>
      </c>
      <c r="CD44" s="42">
        <f t="shared" ref="CD44:CD55" si="423">SUM(CA44:CC44)</f>
        <v>20.96481682988756</v>
      </c>
      <c r="CE44" s="252">
        <f t="shared" ref="CE44:CE55" si="424">BB44</f>
        <v>0</v>
      </c>
      <c r="CF44" s="309">
        <f t="shared" ref="CF44:CF55" si="425">CD44-CE44</f>
        <v>20.96481682988756</v>
      </c>
      <c r="CG44" s="42">
        <f>IF(CD44&gt;0,CD44,0)*1+IF(CD44&gt;12,CD44-12,0)*1+IF(CD44&gt;13,CD44-13,0)*1+IF(CD44&gt;14,CD44-14,0)*1+IF(CD44&gt;15,CD44-15,0)*1+IF(CD44&gt;16,CD44-16,0)*1+IF(CD44&gt;17,CD44-17,0)*1+IF(CD44&gt;18,CD44-18,0)*1+IF(CD44&gt;19,CD44-19,0)*1+IF(CD44&gt;20,CD44-20,0)*1</f>
        <v>65.648168298875589</v>
      </c>
      <c r="CH44" s="78">
        <f>IF(CE44&gt;0,CE44,0)*1+IF(CE44&gt;12,CE44-12,0)*1+IF(CE44&gt;13,CE44-13,0)*1+IF(CE44&gt;14,CE44-14,0)*1+IF(CE44&gt;15,CE44-15,0)*1+IF(CE44&gt;16,CE44-16,0)*1+IF(CE44&gt;17,CE44-17,0)*1+IF(CE44&gt;18,CE44-18,0)*1+IF(CE44&gt;19,CE44-19,0)*1+IF(CE44&gt;20,CE44-20,0)*1</f>
        <v>0</v>
      </c>
      <c r="CI44" s="241">
        <f t="shared" ref="CI44:CI55" si="426">IF((CG44-CH44)&gt;0,CG44-CH44,0)</f>
        <v>65.648168298875589</v>
      </c>
      <c r="CJ44" s="42">
        <f t="shared" ref="CJ44:CJ55" si="427">IF((CH44-CG44)&gt;0,CH44-CG44,0)</f>
        <v>0</v>
      </c>
      <c r="CL44" s="302" t="s">
        <v>38</v>
      </c>
      <c r="CM44" s="241" t="s">
        <v>94</v>
      </c>
      <c r="CN44" s="42" t="s">
        <v>133</v>
      </c>
      <c r="CO44" s="236"/>
      <c r="CP44" s="233">
        <f t="shared" ref="CP44:CP55" si="428">Konvention_1slave-KLslave</f>
        <v>12</v>
      </c>
      <c r="CQ44" s="233">
        <f t="shared" ref="CQ44:CQ49" si="429">Konvention_1slave-INslave_IN</f>
        <v>11</v>
      </c>
      <c r="CR44" s="233"/>
      <c r="CS44" s="233"/>
      <c r="CT44" s="233"/>
      <c r="CU44" s="233"/>
      <c r="CV44" s="221"/>
      <c r="CW44" s="219">
        <f>(CP44+CP44+CQ44)/3</f>
        <v>11.666666666666666</v>
      </c>
      <c r="CX44" s="220">
        <f t="shared" ref="CX44:CX55" si="430">2*CW44</f>
        <v>23.333333333333332</v>
      </c>
      <c r="CY44" s="221">
        <f t="shared" ref="CY44:CY55" si="431">3*CW44</f>
        <v>35</v>
      </c>
      <c r="CZ44" s="236">
        <f>CP44*POWER(INslave_IN,SIGN(CQ44))*POWER(KLslave,SIGN(CP44))+CP44*POWER(INslave_IN,SIGN(CQ44))*POWER(KLslave,SIGN(CP44))+CQ44*POWER(KLslave,SIGN(CP44))*POWER(KLslave,SIGN(CP44))</f>
        <v>2432</v>
      </c>
      <c r="DA44" s="233">
        <f>CP44*CP44*INslave_IN+CP44*KLslave*CQ44+KLslave*CP44*CQ44</f>
        <v>3408</v>
      </c>
      <c r="DB44" s="221">
        <f>CP44*CP44*CQ44</f>
        <v>1584</v>
      </c>
      <c r="DC44" s="78">
        <f>SUM(CZ44:DB44)</f>
        <v>7424</v>
      </c>
      <c r="DD44" s="219">
        <f t="shared" ref="DD44:DD55" si="432">CW44*CZ44/DC44</f>
        <v>3.8218390804597702</v>
      </c>
      <c r="DE44" s="220">
        <f t="shared" ref="DE44:DE55" si="433">CX44*DA44/DC44</f>
        <v>10.711206896551724</v>
      </c>
      <c r="DF44" s="241">
        <f t="shared" ref="DF44:DF55" si="434">CY44*DB44/DC44</f>
        <v>7.4676724137931032</v>
      </c>
      <c r="DG44" s="42">
        <f t="shared" ref="DG44:DG55" si="435">SUM(DD44:DF44)</f>
        <v>22.000718390804597</v>
      </c>
      <c r="DH44" s="252">
        <f t="shared" ref="DH44:DH55" si="436">CE44</f>
        <v>0</v>
      </c>
      <c r="DI44" s="309">
        <f t="shared" ref="DI44:DI55" si="437">DG44-DH44</f>
        <v>22.000718390804597</v>
      </c>
      <c r="DJ44" s="42">
        <f>IF(DG44&gt;0,DG44,0)*1+IF(DG44&gt;12,DG44-12,0)*1+IF(DG44&gt;13,DG44-13,0)*1+IF(DG44&gt;14,DG44-14,0)*1+IF(DG44&gt;15,DG44-15,0)*1+IF(DG44&gt;16,DG44-16,0)*1+IF(DG44&gt;17,DG44-17,0)*1+IF(DG44&gt;18,DG44-18,0)*1+IF(DG44&gt;19,DG44-19,0)*1+IF(DG44&gt;20,DG44-20,0)*1</f>
        <v>76.007183908045945</v>
      </c>
      <c r="DK44" s="78">
        <f>IF(DH44&gt;0,DH44,0)*1+IF(DH44&gt;12,DH44-12,0)*1+IF(DH44&gt;13,DH44-13,0)*1+IF(DH44&gt;14,DH44-14,0)*1+IF(DH44&gt;15,DH44-15,0)*1+IF(DH44&gt;16,DH44-16,0)*1+IF(DH44&gt;17,DH44-17,0)*1+IF(DH44&gt;18,DH44-18,0)*1+IF(DH44&gt;19,DH44-19,0)*1+IF(DH44&gt;20,DH44-20,0)*1</f>
        <v>0</v>
      </c>
      <c r="DL44" s="241">
        <f t="shared" ref="DL44:DL55" si="438">IF((DJ44-DK44)&gt;0,DJ44-DK44,0)</f>
        <v>76.007183908045945</v>
      </c>
      <c r="DM44" s="42">
        <f t="shared" ref="DM44:DM55" si="439">IF((DK44-DJ44)&gt;0,DK44-DJ44,0)</f>
        <v>0</v>
      </c>
      <c r="DO44" s="302" t="s">
        <v>38</v>
      </c>
      <c r="DP44" s="241" t="s">
        <v>94</v>
      </c>
      <c r="DQ44" s="42" t="s">
        <v>133</v>
      </c>
      <c r="DR44" s="236"/>
      <c r="DS44" s="233">
        <f t="shared" ref="DS44:DS55" si="440">Konvention_1slave-KLslave</f>
        <v>12</v>
      </c>
      <c r="DT44" s="233">
        <f t="shared" ref="DT44:DT49" si="441">Konvention_1slave-INslave</f>
        <v>12</v>
      </c>
      <c r="DU44" s="233"/>
      <c r="DV44" s="233"/>
      <c r="DW44" s="233"/>
      <c r="DX44" s="233"/>
      <c r="DY44" s="221"/>
      <c r="DZ44" s="219">
        <f>(DS44+DS44+DT44)/3</f>
        <v>12</v>
      </c>
      <c r="EA44" s="220">
        <f t="shared" ref="EA44:EA55" si="442">2*DZ44</f>
        <v>24</v>
      </c>
      <c r="EB44" s="221">
        <f t="shared" ref="EB44:EB55" si="443">3*DZ44</f>
        <v>36</v>
      </c>
      <c r="EC44" s="236">
        <f>DS44*POWER(INslave,SIGN(DT44))*POWER(KLslave,SIGN(DS44))+DS44*POWER(INslave,SIGN(DT44))*POWER(KLslave,SIGN(DS44))+DT44*POWER(KLslave,SIGN(DS44))*POWER(KLslave,SIGN(DS44))</f>
        <v>2304</v>
      </c>
      <c r="ED44" s="233">
        <f>DS44*DS44*INslave+DS44*KLslave*DT44+KLslave*DS44*DT44</f>
        <v>3456</v>
      </c>
      <c r="EE44" s="221">
        <f>DS44*DS44*DT44</f>
        <v>1728</v>
      </c>
      <c r="EF44" s="78">
        <f>SUM(EC44:EE44)</f>
        <v>7488</v>
      </c>
      <c r="EG44" s="219">
        <f t="shared" ref="EG44:EG55" si="444">DZ44*EC44/EF44</f>
        <v>3.6923076923076925</v>
      </c>
      <c r="EH44" s="220">
        <f t="shared" ref="EH44:EH55" si="445">EA44*ED44/EF44</f>
        <v>11.076923076923077</v>
      </c>
      <c r="EI44" s="241">
        <f t="shared" ref="EI44:EI55" si="446">EB44*EE44/EF44</f>
        <v>8.3076923076923084</v>
      </c>
      <c r="EJ44" s="42">
        <f t="shared" ref="EJ44:EJ55" si="447">SUM(EG44:EI44)</f>
        <v>23.07692307692308</v>
      </c>
      <c r="EK44" s="252">
        <f t="shared" ref="EK44:EK55" si="448">DH44</f>
        <v>0</v>
      </c>
      <c r="EL44" s="309">
        <f t="shared" ref="EL44:EL55" si="449">EJ44-EK44</f>
        <v>23.07692307692308</v>
      </c>
      <c r="EM44" s="42">
        <f>IF(EJ44&gt;0,EJ44,0)*1+IF(EJ44&gt;12,EJ44-12,0)*1+IF(EJ44&gt;13,EJ44-13,0)*1+IF(EJ44&gt;14,EJ44-14,0)*1+IF(EJ44&gt;15,EJ44-15,0)*1+IF(EJ44&gt;16,EJ44-16,0)*1+IF(EJ44&gt;17,EJ44-17,0)*1+IF(EJ44&gt;18,EJ44-18,0)*1+IF(EJ44&gt;19,EJ44-19,0)*1+IF(EJ44&gt;20,EJ44-20,0)*1</f>
        <v>86.769230769230802</v>
      </c>
      <c r="EN44" s="78">
        <f>IF(EK44&gt;0,EK44,0)*1+IF(EK44&gt;12,EK44-12,0)*1+IF(EK44&gt;13,EK44-13,0)*1+IF(EK44&gt;14,EK44-14,0)*1+IF(EK44&gt;15,EK44-15,0)*1+IF(EK44&gt;16,EK44-16,0)*1+IF(EK44&gt;17,EK44-17,0)*1+IF(EK44&gt;18,EK44-18,0)*1+IF(EK44&gt;19,EK44-19,0)*1+IF(EK44&gt;20,EK44-20,0)*1</f>
        <v>0</v>
      </c>
      <c r="EO44" s="241">
        <f t="shared" ref="EO44:EO55" si="450">IF((EM44-EN44)&gt;0,EM44-EN44,0)</f>
        <v>86.769230769230802</v>
      </c>
      <c r="EP44" s="42">
        <f t="shared" ref="EP44:EP55" si="451">IF((EN44-EM44)&gt;0,EN44-EM44,0)</f>
        <v>0</v>
      </c>
      <c r="ER44" s="302" t="s">
        <v>38</v>
      </c>
      <c r="ES44" s="241" t="s">
        <v>94</v>
      </c>
      <c r="ET44" s="42" t="s">
        <v>133</v>
      </c>
      <c r="EU44" s="236"/>
      <c r="EV44" s="233">
        <f t="shared" ref="EV44:EV55" si="452">Konvention_1slave-KLslave</f>
        <v>12</v>
      </c>
      <c r="EW44" s="233">
        <f t="shared" ref="EW44:EW49" si="453">Konvention_1slave-INslave</f>
        <v>12</v>
      </c>
      <c r="EX44" s="233"/>
      <c r="EY44" s="233"/>
      <c r="EZ44" s="233"/>
      <c r="FA44" s="233"/>
      <c r="FB44" s="221"/>
      <c r="FC44" s="219">
        <f>(EV44+EV44+EW44)/3</f>
        <v>12</v>
      </c>
      <c r="FD44" s="220">
        <f t="shared" ref="FD44:FD55" si="454">2*FC44</f>
        <v>24</v>
      </c>
      <c r="FE44" s="221">
        <f t="shared" ref="FE44:FE55" si="455">3*FC44</f>
        <v>36</v>
      </c>
      <c r="FF44" s="236">
        <f>EV44*POWER(INslave,SIGN(EW44))*POWER(KLslave,SIGN(EV44))+EV44*POWER(INslave,SIGN(EW44))*POWER(KLslave,SIGN(EV44))+EW44*POWER(KLslave,SIGN(EV44))*POWER(KLslave,SIGN(EV44))</f>
        <v>2304</v>
      </c>
      <c r="FG44" s="233">
        <f>EV44*EV44*INslave+EV44*KLslave*EW44+KLslave*EV44*EW44</f>
        <v>3456</v>
      </c>
      <c r="FH44" s="221">
        <f>EV44*EV44*EW44</f>
        <v>1728</v>
      </c>
      <c r="FI44" s="78">
        <f>SUM(FF44:FH44)</f>
        <v>7488</v>
      </c>
      <c r="FJ44" s="219">
        <f t="shared" ref="FJ44:FJ55" si="456">FC44*FF44/FI44</f>
        <v>3.6923076923076925</v>
      </c>
      <c r="FK44" s="220">
        <f t="shared" ref="FK44:FK55" si="457">FD44*FG44/FI44</f>
        <v>11.076923076923077</v>
      </c>
      <c r="FL44" s="241">
        <f t="shared" ref="FL44:FL55" si="458">FE44*FH44/FI44</f>
        <v>8.3076923076923084</v>
      </c>
      <c r="FM44" s="42">
        <f t="shared" ref="FM44:FM55" si="459">SUM(FJ44:FL44)</f>
        <v>23.07692307692308</v>
      </c>
      <c r="FN44" s="252">
        <f t="shared" ref="FN44:FN55" si="460">EK44</f>
        <v>0</v>
      </c>
      <c r="FO44" s="309">
        <f t="shared" ref="FO44:FO55" si="461">FM44-FN44</f>
        <v>23.07692307692308</v>
      </c>
      <c r="FP44" s="42">
        <f>IF(FM44&gt;0,FM44,0)*1+IF(FM44&gt;12,FM44-12,0)*1+IF(FM44&gt;13,FM44-13,0)*1+IF(FM44&gt;14,FM44-14,0)*1+IF(FM44&gt;15,FM44-15,0)*1+IF(FM44&gt;16,FM44-16,0)*1+IF(FM44&gt;17,FM44-17,0)*1+IF(FM44&gt;18,FM44-18,0)*1+IF(FM44&gt;19,FM44-19,0)*1+IF(FM44&gt;20,FM44-20,0)*1</f>
        <v>86.769230769230802</v>
      </c>
      <c r="FQ44" s="78">
        <f>IF(FN44&gt;0,FN44,0)*1+IF(FN44&gt;12,FN44-12,0)*1+IF(FN44&gt;13,FN44-13,0)*1+IF(FN44&gt;14,FN44-14,0)*1+IF(FN44&gt;15,FN44-15,0)*1+IF(FN44&gt;16,FN44-16,0)*1+IF(FN44&gt;17,FN44-17,0)*1+IF(FN44&gt;18,FN44-18,0)*1+IF(FN44&gt;19,FN44-19,0)*1+IF(FN44&gt;20,FN44-20,0)*1</f>
        <v>0</v>
      </c>
      <c r="FR44" s="241">
        <f t="shared" ref="FR44:FR55" si="462">IF((FP44-FQ44)&gt;0,FP44-FQ44,0)</f>
        <v>86.769230769230802</v>
      </c>
      <c r="FS44" s="42">
        <f t="shared" ref="FS44:FS55" si="463">IF((FQ44-FP44)&gt;0,FQ44-FP44,0)</f>
        <v>0</v>
      </c>
      <c r="FU44" s="302" t="s">
        <v>38</v>
      </c>
      <c r="FV44" s="241" t="s">
        <v>94</v>
      </c>
      <c r="FW44" s="42" t="s">
        <v>133</v>
      </c>
      <c r="FX44" s="236"/>
      <c r="FY44" s="233">
        <f t="shared" ref="FY44:FY55" si="464">Konvention_1slave-KLslave</f>
        <v>12</v>
      </c>
      <c r="FZ44" s="233">
        <f t="shared" ref="FZ44:FZ49" si="465">Konvention_1slave-INslave</f>
        <v>12</v>
      </c>
      <c r="GA44" s="233"/>
      <c r="GB44" s="233"/>
      <c r="GC44" s="233"/>
      <c r="GD44" s="233"/>
      <c r="GE44" s="221"/>
      <c r="GF44" s="219">
        <f>(FY44+FY44+FZ44)/3</f>
        <v>12</v>
      </c>
      <c r="GG44" s="220">
        <f t="shared" ref="GG44:GG55" si="466">2*GF44</f>
        <v>24</v>
      </c>
      <c r="GH44" s="221">
        <f t="shared" ref="GH44:GH55" si="467">3*GF44</f>
        <v>36</v>
      </c>
      <c r="GI44" s="236">
        <f>FY44*POWER(INslave,SIGN(FZ44))*POWER(KLslave,SIGN(FY44))+FY44*POWER(INslave,SIGN(FZ44))*POWER(KLslave,SIGN(FY44))+FZ44*POWER(KLslave,SIGN(FY44))*POWER(KLslave,SIGN(FY44))</f>
        <v>2304</v>
      </c>
      <c r="GJ44" s="233">
        <f>FY44*FY44*INslave+FY44*KLslave*FZ44+KLslave*FY44*FZ44</f>
        <v>3456</v>
      </c>
      <c r="GK44" s="221">
        <f>FY44*FY44*FZ44</f>
        <v>1728</v>
      </c>
      <c r="GL44" s="78">
        <f>SUM(GI44:GK44)</f>
        <v>7488</v>
      </c>
      <c r="GM44" s="219">
        <f t="shared" ref="GM44:GM55" si="468">GF44*GI44/GL44</f>
        <v>3.6923076923076925</v>
      </c>
      <c r="GN44" s="220">
        <f t="shared" ref="GN44:GN55" si="469">GG44*GJ44/GL44</f>
        <v>11.076923076923077</v>
      </c>
      <c r="GO44" s="241">
        <f t="shared" ref="GO44:GO55" si="470">GH44*GK44/GL44</f>
        <v>8.3076923076923084</v>
      </c>
      <c r="GP44" s="42">
        <f t="shared" ref="GP44:GP55" si="471">SUM(GM44:GO44)</f>
        <v>23.07692307692308</v>
      </c>
      <c r="GQ44" s="252">
        <f t="shared" ref="GQ44:GQ55" si="472">FN44</f>
        <v>0</v>
      </c>
      <c r="GR44" s="309">
        <f t="shared" ref="GR44:GR55" si="473">GP44-GQ44</f>
        <v>23.07692307692308</v>
      </c>
      <c r="GS44" s="42">
        <f>IF(GP44&gt;0,GP44,0)*1+IF(GP44&gt;12,GP44-12,0)*1+IF(GP44&gt;13,GP44-13,0)*1+IF(GP44&gt;14,GP44-14,0)*1+IF(GP44&gt;15,GP44-15,0)*1+IF(GP44&gt;16,GP44-16,0)*1+IF(GP44&gt;17,GP44-17,0)*1+IF(GP44&gt;18,GP44-18,0)*1+IF(GP44&gt;19,GP44-19,0)*1+IF(GP44&gt;20,GP44-20,0)*1</f>
        <v>86.769230769230802</v>
      </c>
      <c r="GT44" s="78">
        <f>IF(GQ44&gt;0,GQ44,0)*1+IF(GQ44&gt;12,GQ44-12,0)*1+IF(GQ44&gt;13,GQ44-13,0)*1+IF(GQ44&gt;14,GQ44-14,0)*1+IF(GQ44&gt;15,GQ44-15,0)*1+IF(GQ44&gt;16,GQ44-16,0)*1+IF(GQ44&gt;17,GQ44-17,0)*1+IF(GQ44&gt;18,GQ44-18,0)*1+IF(GQ44&gt;19,GQ44-19,0)*1+IF(GQ44&gt;20,GQ44-20,0)*1</f>
        <v>0</v>
      </c>
      <c r="GU44" s="241">
        <f t="shared" ref="GU44:GU55" si="474">IF((GS44-GT44)&gt;0,GS44-GT44,0)</f>
        <v>86.769230769230802</v>
      </c>
      <c r="GV44" s="42">
        <f t="shared" ref="GV44:GV55" si="475">IF((GT44-GS44)&gt;0,GT44-GS44,0)</f>
        <v>0</v>
      </c>
      <c r="GX44" s="302" t="s">
        <v>38</v>
      </c>
      <c r="GY44" s="241" t="s">
        <v>94</v>
      </c>
      <c r="GZ44" s="42" t="s">
        <v>133</v>
      </c>
      <c r="HA44" s="236"/>
      <c r="HB44" s="233">
        <f t="shared" ref="HB44:HB55" si="476">Konvention_1slave-KLslave</f>
        <v>12</v>
      </c>
      <c r="HC44" s="233">
        <f t="shared" ref="HC44:HC49" si="477">Konvention_1slave-INslave</f>
        <v>12</v>
      </c>
      <c r="HD44" s="233"/>
      <c r="HE44" s="233"/>
      <c r="HF44" s="233"/>
      <c r="HG44" s="233"/>
      <c r="HH44" s="221"/>
      <c r="HI44" s="219">
        <f>(HB44+HB44+HC44)/3</f>
        <v>12</v>
      </c>
      <c r="HJ44" s="220">
        <f t="shared" ref="HJ44:HJ55" si="478">2*HI44</f>
        <v>24</v>
      </c>
      <c r="HK44" s="221">
        <f t="shared" ref="HK44:HK55" si="479">3*HI44</f>
        <v>36</v>
      </c>
      <c r="HL44" s="236">
        <f>HB44*POWER(INslave,SIGN(HC44))*POWER(KLslave,SIGN(HB44))+HB44*POWER(INslave,SIGN(HC44))*POWER(KLslave,SIGN(HB44))+HC44*POWER(KLslave,SIGN(HB44))*POWER(KLslave,SIGN(HB44))</f>
        <v>2304</v>
      </c>
      <c r="HM44" s="233">
        <f>HB44*HB44*INslave+HB44*KLslave*HC44+KLslave*HB44*HC44</f>
        <v>3456</v>
      </c>
      <c r="HN44" s="221">
        <f>HB44*HB44*HC44</f>
        <v>1728</v>
      </c>
      <c r="HO44" s="78">
        <f>SUM(HL44:HN44)</f>
        <v>7488</v>
      </c>
      <c r="HP44" s="219">
        <f t="shared" ref="HP44:HP55" si="480">HI44*HL44/HO44</f>
        <v>3.6923076923076925</v>
      </c>
      <c r="HQ44" s="220">
        <f t="shared" ref="HQ44:HQ55" si="481">HJ44*HM44/HO44</f>
        <v>11.076923076923077</v>
      </c>
      <c r="HR44" s="241">
        <f t="shared" ref="HR44:HR55" si="482">HK44*HN44/HO44</f>
        <v>8.3076923076923084</v>
      </c>
      <c r="HS44" s="42">
        <f t="shared" ref="HS44:HS55" si="483">SUM(HP44:HR44)</f>
        <v>23.07692307692308</v>
      </c>
      <c r="HT44" s="252">
        <f t="shared" ref="HT44:HT55" si="484">GQ44</f>
        <v>0</v>
      </c>
      <c r="HU44" s="309">
        <f t="shared" ref="HU44:HU55" si="485">HS44-HT44</f>
        <v>23.07692307692308</v>
      </c>
      <c r="HV44" s="42">
        <f>IF(HS44&gt;0,HS44,0)*1+IF(HS44&gt;12,HS44-12,0)*1+IF(HS44&gt;13,HS44-13,0)*1+IF(HS44&gt;14,HS44-14,0)*1+IF(HS44&gt;15,HS44-15,0)*1+IF(HS44&gt;16,HS44-16,0)*1+IF(HS44&gt;17,HS44-17,0)*1+IF(HS44&gt;18,HS44-18,0)*1+IF(HS44&gt;19,HS44-19,0)*1+IF(HS44&gt;20,HS44-20,0)*1</f>
        <v>86.769230769230802</v>
      </c>
      <c r="HW44" s="78">
        <f>IF(HT44&gt;0,HT44,0)*1+IF(HT44&gt;12,HT44-12,0)*1+IF(HT44&gt;13,HT44-13,0)*1+IF(HT44&gt;14,HT44-14,0)*1+IF(HT44&gt;15,HT44-15,0)*1+IF(HT44&gt;16,HT44-16,0)*1+IF(HT44&gt;17,HT44-17,0)*1+IF(HT44&gt;18,HT44-18,0)*1+IF(HT44&gt;19,HT44-19,0)*1+IF(HT44&gt;20,HT44-20,0)*1</f>
        <v>0</v>
      </c>
      <c r="HX44" s="241">
        <f t="shared" ref="HX44:HX55" si="486">IF((HV44-HW44)&gt;0,HV44-HW44,0)</f>
        <v>86.769230769230802</v>
      </c>
      <c r="HY44" s="42">
        <f t="shared" ref="HY44:HY55" si="487">IF((HW44-HV44)&gt;0,HW44-HV44,0)</f>
        <v>0</v>
      </c>
      <c r="IA44" s="302" t="s">
        <v>38</v>
      </c>
      <c r="IB44" s="241" t="s">
        <v>94</v>
      </c>
      <c r="IC44" s="42" t="s">
        <v>133</v>
      </c>
      <c r="ID44" s="236"/>
      <c r="IE44" s="233">
        <f t="shared" ref="IE44:IE55" si="488">Konvention_1slave-KLslave</f>
        <v>12</v>
      </c>
      <c r="IF44" s="233">
        <f t="shared" ref="IF44:IF49" si="489">Konvention_1slave-INslave</f>
        <v>12</v>
      </c>
      <c r="IG44" s="233"/>
      <c r="IH44" s="233"/>
      <c r="II44" s="233"/>
      <c r="IJ44" s="233"/>
      <c r="IK44" s="221"/>
      <c r="IL44" s="219">
        <f>(IE44+IE44+IF44)/3</f>
        <v>12</v>
      </c>
      <c r="IM44" s="220">
        <f t="shared" ref="IM44:IM55" si="490">2*IL44</f>
        <v>24</v>
      </c>
      <c r="IN44" s="221">
        <f t="shared" ref="IN44:IN55" si="491">3*IL44</f>
        <v>36</v>
      </c>
      <c r="IO44" s="236">
        <f>IE44*POWER(INslave,SIGN(IF44))*POWER(KLslave,SIGN(IE44))+IE44*POWER(INslave,SIGN(IF44))*POWER(KLslave,SIGN(IE44))+IF44*POWER(KLslave,SIGN(IE44))*POWER(KLslave,SIGN(IE44))</f>
        <v>2304</v>
      </c>
      <c r="IP44" s="233">
        <f>IE44*IE44*INslave+IE44*KLslave*IF44+KLslave*IE44*IF44</f>
        <v>3456</v>
      </c>
      <c r="IQ44" s="221">
        <f>IE44*IE44*IF44</f>
        <v>1728</v>
      </c>
      <c r="IR44" s="78">
        <f>SUM(IO44:IQ44)</f>
        <v>7488</v>
      </c>
      <c r="IS44" s="219">
        <f t="shared" ref="IS44:IS55" si="492">IL44*IO44/IR44</f>
        <v>3.6923076923076925</v>
      </c>
      <c r="IT44" s="220">
        <f t="shared" ref="IT44:IT55" si="493">IM44*IP44/IR44</f>
        <v>11.076923076923077</v>
      </c>
      <c r="IU44" s="241">
        <f t="shared" ref="IU44:IU55" si="494">IN44*IQ44/IR44</f>
        <v>8.3076923076923084</v>
      </c>
      <c r="IV44" s="42">
        <f t="shared" ref="IV44:IV55" si="495">SUM(IS44:IU44)</f>
        <v>23.07692307692308</v>
      </c>
      <c r="IW44" s="252">
        <f t="shared" ref="IW44:IW55" si="496">HT44</f>
        <v>0</v>
      </c>
      <c r="IX44" s="309">
        <f t="shared" ref="IX44:IX55" si="497">IV44-IW44</f>
        <v>23.07692307692308</v>
      </c>
      <c r="IY44" s="42">
        <f>IF(IV44&gt;0,IV44,0)*1+IF(IV44&gt;12,IV44-12,0)*1+IF(IV44&gt;13,IV44-13,0)*1+IF(IV44&gt;14,IV44-14,0)*1+IF(IV44&gt;15,IV44-15,0)*1+IF(IV44&gt;16,IV44-16,0)*1+IF(IV44&gt;17,IV44-17,0)*1+IF(IV44&gt;18,IV44-18,0)*1+IF(IV44&gt;19,IV44-19,0)*1+IF(IV44&gt;20,IV44-20,0)*1</f>
        <v>86.769230769230802</v>
      </c>
      <c r="IZ44" s="78">
        <f>IF(IW44&gt;0,IW44,0)*1+IF(IW44&gt;12,IW44-12,0)*1+IF(IW44&gt;13,IW44-13,0)*1+IF(IW44&gt;14,IW44-14,0)*1+IF(IW44&gt;15,IW44-15,0)*1+IF(IW44&gt;16,IW44-16,0)*1+IF(IW44&gt;17,IW44-17,0)*1+IF(IW44&gt;18,IW44-18,0)*1+IF(IW44&gt;19,IW44-19,0)*1+IF(IW44&gt;20,IW44-20,0)*1</f>
        <v>0</v>
      </c>
      <c r="JA44" s="241">
        <f t="shared" ref="JA44:JA55" si="498">IF((IY44-IZ44)&gt;0,IY44-IZ44,0)</f>
        <v>86.769230769230802</v>
      </c>
      <c r="JB44" s="42">
        <f t="shared" ref="JB44:JB55" si="499">IF((IZ44-IY44)&gt;0,IZ44-IY44,0)</f>
        <v>0</v>
      </c>
      <c r="JE44" s="148"/>
    </row>
    <row r="45" spans="2:265" hidden="1" outlineLevel="2">
      <c r="B45" s="148">
        <v>2</v>
      </c>
      <c r="C45" s="303" t="e">
        <f>VLOOKUP(AF45,Attribute!C:T,1,FALSE)</f>
        <v>#N/A</v>
      </c>
      <c r="D45" s="127" t="s">
        <v>94</v>
      </c>
      <c r="E45" s="125" t="s">
        <v>132</v>
      </c>
      <c r="F45" s="114"/>
      <c r="G45" s="113">
        <f t="shared" si="393"/>
        <v>12</v>
      </c>
      <c r="H45" s="113">
        <f t="shared" si="394"/>
        <v>12</v>
      </c>
      <c r="I45" s="113"/>
      <c r="J45" s="113"/>
      <c r="K45" s="113"/>
      <c r="L45" s="113"/>
      <c r="M45" s="119"/>
      <c r="N45" s="222">
        <f>(G45+G45+H45)/3</f>
        <v>12</v>
      </c>
      <c r="O45" s="223">
        <f t="shared" si="395"/>
        <v>24</v>
      </c>
      <c r="P45" s="224">
        <f t="shared" si="396"/>
        <v>36</v>
      </c>
      <c r="Q45" s="237">
        <f>G45*POWER(INmaster,SIGN(H45))*POWER(KLmaster,SIGN(G45))+G45*POWER(INmaster,SIGN(H45))*POWER(KLmaster,SIGN(G45))+H45*POWER(KLmaster,SIGN(G45))*POWER(KLmaster,SIGN(G45))</f>
        <v>2304</v>
      </c>
      <c r="R45" s="113">
        <f>G45*G45*INmaster+G45*KLmaster*H45+KLmaster*G45*H45</f>
        <v>3456</v>
      </c>
      <c r="S45" s="224">
        <f>G45*G45*H45</f>
        <v>1728</v>
      </c>
      <c r="T45" s="242">
        <f t="shared" ref="T45:T54" si="500">SUM(Q45:S45)</f>
        <v>7488</v>
      </c>
      <c r="U45" s="222">
        <f t="shared" si="397"/>
        <v>3.6923076923076925</v>
      </c>
      <c r="V45" s="223">
        <f t="shared" si="398"/>
        <v>11.076923076923077</v>
      </c>
      <c r="W45" s="243">
        <f t="shared" si="399"/>
        <v>8.3076923076923084</v>
      </c>
      <c r="X45" s="218">
        <f t="shared" si="400"/>
        <v>23.07692307692308</v>
      </c>
      <c r="Y45" s="252">
        <v>0</v>
      </c>
      <c r="Z45" s="198">
        <f t="shared" si="401"/>
        <v>23.07692307692308</v>
      </c>
      <c r="AA45" s="125">
        <f t="shared" ref="AA45:AB48" si="501">IF(X45&gt;0,X45,0)*2+IF(X45&gt;12,X45-12,0)*2+IF(X45&gt;13,X45-13,0)*2+IF(X45&gt;14,X45-14,0)*2+IF(X45&gt;15,X45-15,0)*2+IF(X45&gt;16,X45-16,0)*2+IF(X45&gt;17,X45-17,0)*2+IF(X45&gt;18,X45-18,0)*2+IF(X45&gt;19,X45-19,0)*2+IF(X45&gt;20,X45-20,0)*2</f>
        <v>173.5384615384616</v>
      </c>
      <c r="AB45" s="160">
        <f t="shared" si="501"/>
        <v>0</v>
      </c>
      <c r="AC45" s="127">
        <f t="shared" si="402"/>
        <v>173.5384615384616</v>
      </c>
      <c r="AD45" s="125">
        <f t="shared" si="403"/>
        <v>0</v>
      </c>
      <c r="AF45" s="163" t="s">
        <v>39</v>
      </c>
      <c r="AG45" s="127" t="s">
        <v>94</v>
      </c>
      <c r="AH45" s="125" t="s">
        <v>132</v>
      </c>
      <c r="AI45" s="114"/>
      <c r="AJ45" s="113">
        <f t="shared" si="404"/>
        <v>12</v>
      </c>
      <c r="AK45" s="113">
        <f t="shared" si="405"/>
        <v>12</v>
      </c>
      <c r="AL45" s="113"/>
      <c r="AM45" s="113"/>
      <c r="AN45" s="113"/>
      <c r="AO45" s="113"/>
      <c r="AP45" s="119"/>
      <c r="AQ45" s="89">
        <f>(AJ45+AJ45+AK45)/3</f>
        <v>12</v>
      </c>
      <c r="AR45" s="47">
        <f t="shared" si="406"/>
        <v>24</v>
      </c>
      <c r="AS45" s="119">
        <f t="shared" si="407"/>
        <v>36</v>
      </c>
      <c r="AT45" s="114">
        <f>AJ45*POWER(INslave,SIGN(AK45))*POWER(KLslave,SIGN(AJ45))+AJ45*POWER(INslave,SIGN(AK45))*POWER(KLslave,SIGN(AJ45))+AK45*POWER(KLslave,SIGN(AJ45))*POWER(KLslave,SIGN(AJ45))</f>
        <v>2304</v>
      </c>
      <c r="AU45" s="113">
        <f>AJ45*AJ45*INslave+AJ45*KLslave*AK45+KLslave*AJ45*AK45</f>
        <v>3456</v>
      </c>
      <c r="AV45" s="119">
        <f>AJ45*AJ45*AK45</f>
        <v>1728</v>
      </c>
      <c r="AW45" s="160">
        <f t="shared" ref="AW45:AW54" si="502">SUM(AT45:AV45)</f>
        <v>7488</v>
      </c>
      <c r="AX45" s="89">
        <f t="shared" si="408"/>
        <v>3.6923076923076925</v>
      </c>
      <c r="AY45" s="47">
        <f t="shared" si="409"/>
        <v>11.076923076923077</v>
      </c>
      <c r="AZ45" s="127">
        <f t="shared" si="410"/>
        <v>8.3076923076923084</v>
      </c>
      <c r="BA45" s="125">
        <f t="shared" si="411"/>
        <v>23.07692307692308</v>
      </c>
      <c r="BB45" s="165">
        <f t="shared" si="412"/>
        <v>0</v>
      </c>
      <c r="BC45" s="198">
        <f t="shared" si="413"/>
        <v>23.07692307692308</v>
      </c>
      <c r="BD45" s="125">
        <f t="shared" ref="BD45:BE48" si="503">IF(BA45&gt;0,BA45,0)*2+IF(BA45&gt;12,BA45-12,0)*2+IF(BA45&gt;13,BA45-13,0)*2+IF(BA45&gt;14,BA45-14,0)*2+IF(BA45&gt;15,BA45-15,0)*2+IF(BA45&gt;16,BA45-16,0)*2+IF(BA45&gt;17,BA45-17,0)*2+IF(BA45&gt;18,BA45-18,0)*2+IF(BA45&gt;19,BA45-19,0)*2+IF(BA45&gt;20,BA45-20,0)*2</f>
        <v>173.5384615384616</v>
      </c>
      <c r="BE45" s="160">
        <f t="shared" si="503"/>
        <v>0</v>
      </c>
      <c r="BF45" s="243">
        <f t="shared" si="414"/>
        <v>173.5384615384616</v>
      </c>
      <c r="BG45" s="218">
        <f t="shared" si="415"/>
        <v>0</v>
      </c>
      <c r="BI45" s="303" t="s">
        <v>39</v>
      </c>
      <c r="BJ45" s="243" t="s">
        <v>94</v>
      </c>
      <c r="BK45" s="218" t="s">
        <v>132</v>
      </c>
      <c r="BL45" s="237"/>
      <c r="BM45" s="234">
        <f t="shared" si="416"/>
        <v>11</v>
      </c>
      <c r="BN45" s="234">
        <f t="shared" si="417"/>
        <v>12</v>
      </c>
      <c r="BO45" s="234"/>
      <c r="BP45" s="234"/>
      <c r="BQ45" s="234"/>
      <c r="BR45" s="234"/>
      <c r="BS45" s="224"/>
      <c r="BT45" s="222">
        <f>(BM45+BM45+BN45)/3</f>
        <v>11.333333333333334</v>
      </c>
      <c r="BU45" s="223">
        <f t="shared" si="418"/>
        <v>22.666666666666668</v>
      </c>
      <c r="BV45" s="224">
        <f t="shared" si="419"/>
        <v>34</v>
      </c>
      <c r="BW45" s="237">
        <f>BM45*POWER(INslave,SIGN(BN45))*POWER(KLslave_KL,SIGN(BM45))+BM45*POWER(INslave,SIGN(BN45))*POWER(KLslave_KL,SIGN(BM45))+BN45*POWER(KLslave_KL,SIGN(BM45))*POWER(KLslave_KL,SIGN(BM45))</f>
        <v>2556</v>
      </c>
      <c r="BX45" s="234">
        <f>BM45*BM45*INslave+BM45*KLslave_KL*BN45+KLslave_KL*BM45*BN45</f>
        <v>3344</v>
      </c>
      <c r="BY45" s="224">
        <f>BM45*BM45*BN45</f>
        <v>1452</v>
      </c>
      <c r="BZ45" s="242">
        <f t="shared" ref="BZ45:BZ54" si="504">SUM(BW45:BY45)</f>
        <v>7352</v>
      </c>
      <c r="CA45" s="222">
        <f t="shared" si="420"/>
        <v>3.940152339499456</v>
      </c>
      <c r="CB45" s="223">
        <f t="shared" si="421"/>
        <v>10.309756982227059</v>
      </c>
      <c r="CC45" s="243">
        <f t="shared" si="422"/>
        <v>6.714907508161045</v>
      </c>
      <c r="CD45" s="218">
        <f t="shared" si="423"/>
        <v>20.96481682988756</v>
      </c>
      <c r="CE45" s="252">
        <f t="shared" si="424"/>
        <v>0</v>
      </c>
      <c r="CF45" s="309">
        <f t="shared" si="425"/>
        <v>20.96481682988756</v>
      </c>
      <c r="CG45" s="218">
        <f t="shared" ref="CG45:CH48" si="505">IF(CD45&gt;0,CD45,0)*2+IF(CD45&gt;12,CD45-12,0)*2+IF(CD45&gt;13,CD45-13,0)*2+IF(CD45&gt;14,CD45-14,0)*2+IF(CD45&gt;15,CD45-15,0)*2+IF(CD45&gt;16,CD45-16,0)*2+IF(CD45&gt;17,CD45-17,0)*2+IF(CD45&gt;18,CD45-18,0)*2+IF(CD45&gt;19,CD45-19,0)*2+IF(CD45&gt;20,CD45-20,0)*2</f>
        <v>131.29633659775118</v>
      </c>
      <c r="CH45" s="242">
        <f t="shared" si="505"/>
        <v>0</v>
      </c>
      <c r="CI45" s="243">
        <f t="shared" si="426"/>
        <v>131.29633659775118</v>
      </c>
      <c r="CJ45" s="218">
        <f t="shared" si="427"/>
        <v>0</v>
      </c>
      <c r="CL45" s="303" t="s">
        <v>39</v>
      </c>
      <c r="CM45" s="243" t="s">
        <v>94</v>
      </c>
      <c r="CN45" s="218" t="s">
        <v>132</v>
      </c>
      <c r="CO45" s="237"/>
      <c r="CP45" s="234">
        <f t="shared" si="428"/>
        <v>12</v>
      </c>
      <c r="CQ45" s="234">
        <f t="shared" si="429"/>
        <v>11</v>
      </c>
      <c r="CR45" s="234"/>
      <c r="CS45" s="234"/>
      <c r="CT45" s="234"/>
      <c r="CU45" s="234"/>
      <c r="CV45" s="224"/>
      <c r="CW45" s="222">
        <f>(CP45+CP45+CQ45)/3</f>
        <v>11.666666666666666</v>
      </c>
      <c r="CX45" s="223">
        <f t="shared" si="430"/>
        <v>23.333333333333332</v>
      </c>
      <c r="CY45" s="224">
        <f t="shared" si="431"/>
        <v>35</v>
      </c>
      <c r="CZ45" s="237">
        <f>CP45*POWER(INslave_IN,SIGN(CQ45))*POWER(KLslave,SIGN(CP45))+CP45*POWER(INslave_IN,SIGN(CQ45))*POWER(KLslave,SIGN(CP45))+CQ45*POWER(KLslave,SIGN(CP45))*POWER(KLslave,SIGN(CP45))</f>
        <v>2432</v>
      </c>
      <c r="DA45" s="234">
        <f>CP45*CP45*INslave_IN+CP45*KLslave*CQ45+KLslave*CP45*CQ45</f>
        <v>3408</v>
      </c>
      <c r="DB45" s="224">
        <f>CP45*CP45*CQ45</f>
        <v>1584</v>
      </c>
      <c r="DC45" s="242">
        <f t="shared" ref="DC45:DC54" si="506">SUM(CZ45:DB45)</f>
        <v>7424</v>
      </c>
      <c r="DD45" s="222">
        <f t="shared" si="432"/>
        <v>3.8218390804597702</v>
      </c>
      <c r="DE45" s="223">
        <f t="shared" si="433"/>
        <v>10.711206896551724</v>
      </c>
      <c r="DF45" s="243">
        <f t="shared" si="434"/>
        <v>7.4676724137931032</v>
      </c>
      <c r="DG45" s="218">
        <f t="shared" si="435"/>
        <v>22.000718390804597</v>
      </c>
      <c r="DH45" s="252">
        <f t="shared" si="436"/>
        <v>0</v>
      </c>
      <c r="DI45" s="309">
        <f t="shared" si="437"/>
        <v>22.000718390804597</v>
      </c>
      <c r="DJ45" s="218">
        <f t="shared" ref="DJ45:DK48" si="507">IF(DG45&gt;0,DG45,0)*2+IF(DG45&gt;12,DG45-12,0)*2+IF(DG45&gt;13,DG45-13,0)*2+IF(DG45&gt;14,DG45-14,0)*2+IF(DG45&gt;15,DG45-15,0)*2+IF(DG45&gt;16,DG45-16,0)*2+IF(DG45&gt;17,DG45-17,0)*2+IF(DG45&gt;18,DG45-18,0)*2+IF(DG45&gt;19,DG45-19,0)*2+IF(DG45&gt;20,DG45-20,0)*2</f>
        <v>152.01436781609189</v>
      </c>
      <c r="DK45" s="242">
        <f t="shared" si="507"/>
        <v>0</v>
      </c>
      <c r="DL45" s="243">
        <f t="shared" si="438"/>
        <v>152.01436781609189</v>
      </c>
      <c r="DM45" s="218">
        <f t="shared" si="439"/>
        <v>0</v>
      </c>
      <c r="DO45" s="303" t="s">
        <v>39</v>
      </c>
      <c r="DP45" s="243" t="s">
        <v>94</v>
      </c>
      <c r="DQ45" s="218" t="s">
        <v>132</v>
      </c>
      <c r="DR45" s="237"/>
      <c r="DS45" s="234">
        <f t="shared" si="440"/>
        <v>12</v>
      </c>
      <c r="DT45" s="234">
        <f t="shared" si="441"/>
        <v>12</v>
      </c>
      <c r="DU45" s="234"/>
      <c r="DV45" s="234"/>
      <c r="DW45" s="234"/>
      <c r="DX45" s="234"/>
      <c r="DY45" s="224"/>
      <c r="DZ45" s="222">
        <f>(DS45+DS45+DT45)/3</f>
        <v>12</v>
      </c>
      <c r="EA45" s="223">
        <f t="shared" si="442"/>
        <v>24</v>
      </c>
      <c r="EB45" s="224">
        <f t="shared" si="443"/>
        <v>36</v>
      </c>
      <c r="EC45" s="237">
        <f>DS45*POWER(INslave,SIGN(DT45))*POWER(KLslave,SIGN(DS45))+DS45*POWER(INslave,SIGN(DT45))*POWER(KLslave,SIGN(DS45))+DT45*POWER(KLslave,SIGN(DS45))*POWER(KLslave,SIGN(DS45))</f>
        <v>2304</v>
      </c>
      <c r="ED45" s="234">
        <f>DS45*DS45*INslave+DS45*KLslave*DT45+KLslave*DS45*DT45</f>
        <v>3456</v>
      </c>
      <c r="EE45" s="224">
        <f>DS45*DS45*DT45</f>
        <v>1728</v>
      </c>
      <c r="EF45" s="242">
        <f t="shared" ref="EF45:EF54" si="508">SUM(EC45:EE45)</f>
        <v>7488</v>
      </c>
      <c r="EG45" s="222">
        <f t="shared" si="444"/>
        <v>3.6923076923076925</v>
      </c>
      <c r="EH45" s="223">
        <f t="shared" si="445"/>
        <v>11.076923076923077</v>
      </c>
      <c r="EI45" s="243">
        <f t="shared" si="446"/>
        <v>8.3076923076923084</v>
      </c>
      <c r="EJ45" s="218">
        <f t="shared" si="447"/>
        <v>23.07692307692308</v>
      </c>
      <c r="EK45" s="252">
        <f t="shared" si="448"/>
        <v>0</v>
      </c>
      <c r="EL45" s="309">
        <f t="shared" si="449"/>
        <v>23.07692307692308</v>
      </c>
      <c r="EM45" s="218">
        <f t="shared" ref="EM45:EN48" si="509">IF(EJ45&gt;0,EJ45,0)*2+IF(EJ45&gt;12,EJ45-12,0)*2+IF(EJ45&gt;13,EJ45-13,0)*2+IF(EJ45&gt;14,EJ45-14,0)*2+IF(EJ45&gt;15,EJ45-15,0)*2+IF(EJ45&gt;16,EJ45-16,0)*2+IF(EJ45&gt;17,EJ45-17,0)*2+IF(EJ45&gt;18,EJ45-18,0)*2+IF(EJ45&gt;19,EJ45-19,0)*2+IF(EJ45&gt;20,EJ45-20,0)*2</f>
        <v>173.5384615384616</v>
      </c>
      <c r="EN45" s="242">
        <f t="shared" si="509"/>
        <v>0</v>
      </c>
      <c r="EO45" s="243">
        <f t="shared" si="450"/>
        <v>173.5384615384616</v>
      </c>
      <c r="EP45" s="218">
        <f t="shared" si="451"/>
        <v>0</v>
      </c>
      <c r="ER45" s="303" t="s">
        <v>39</v>
      </c>
      <c r="ES45" s="243" t="s">
        <v>94</v>
      </c>
      <c r="ET45" s="218" t="s">
        <v>132</v>
      </c>
      <c r="EU45" s="237"/>
      <c r="EV45" s="234">
        <f t="shared" si="452"/>
        <v>12</v>
      </c>
      <c r="EW45" s="234">
        <f t="shared" si="453"/>
        <v>12</v>
      </c>
      <c r="EX45" s="234"/>
      <c r="EY45" s="234"/>
      <c r="EZ45" s="234"/>
      <c r="FA45" s="234"/>
      <c r="FB45" s="224"/>
      <c r="FC45" s="222">
        <f>(EV45+EV45+EW45)/3</f>
        <v>12</v>
      </c>
      <c r="FD45" s="223">
        <f t="shared" si="454"/>
        <v>24</v>
      </c>
      <c r="FE45" s="224">
        <f t="shared" si="455"/>
        <v>36</v>
      </c>
      <c r="FF45" s="237">
        <f>EV45*POWER(INslave,SIGN(EW45))*POWER(KLslave,SIGN(EV45))+EV45*POWER(INslave,SIGN(EW45))*POWER(KLslave,SIGN(EV45))+EW45*POWER(KLslave,SIGN(EV45))*POWER(KLslave,SIGN(EV45))</f>
        <v>2304</v>
      </c>
      <c r="FG45" s="234">
        <f>EV45*EV45*INslave+EV45*KLslave*EW45+KLslave*EV45*EW45</f>
        <v>3456</v>
      </c>
      <c r="FH45" s="224">
        <f>EV45*EV45*EW45</f>
        <v>1728</v>
      </c>
      <c r="FI45" s="242">
        <f t="shared" ref="FI45:FI54" si="510">SUM(FF45:FH45)</f>
        <v>7488</v>
      </c>
      <c r="FJ45" s="222">
        <f t="shared" si="456"/>
        <v>3.6923076923076925</v>
      </c>
      <c r="FK45" s="223">
        <f t="shared" si="457"/>
        <v>11.076923076923077</v>
      </c>
      <c r="FL45" s="243">
        <f t="shared" si="458"/>
        <v>8.3076923076923084</v>
      </c>
      <c r="FM45" s="218">
        <f t="shared" si="459"/>
        <v>23.07692307692308</v>
      </c>
      <c r="FN45" s="252">
        <f t="shared" si="460"/>
        <v>0</v>
      </c>
      <c r="FO45" s="309">
        <f t="shared" si="461"/>
        <v>23.07692307692308</v>
      </c>
      <c r="FP45" s="218">
        <f t="shared" ref="FP45:FQ48" si="511">IF(FM45&gt;0,FM45,0)*2+IF(FM45&gt;12,FM45-12,0)*2+IF(FM45&gt;13,FM45-13,0)*2+IF(FM45&gt;14,FM45-14,0)*2+IF(FM45&gt;15,FM45-15,0)*2+IF(FM45&gt;16,FM45-16,0)*2+IF(FM45&gt;17,FM45-17,0)*2+IF(FM45&gt;18,FM45-18,0)*2+IF(FM45&gt;19,FM45-19,0)*2+IF(FM45&gt;20,FM45-20,0)*2</f>
        <v>173.5384615384616</v>
      </c>
      <c r="FQ45" s="242">
        <f t="shared" si="511"/>
        <v>0</v>
      </c>
      <c r="FR45" s="243">
        <f t="shared" si="462"/>
        <v>173.5384615384616</v>
      </c>
      <c r="FS45" s="218">
        <f t="shared" si="463"/>
        <v>0</v>
      </c>
      <c r="FU45" s="303" t="s">
        <v>39</v>
      </c>
      <c r="FV45" s="243" t="s">
        <v>94</v>
      </c>
      <c r="FW45" s="218" t="s">
        <v>132</v>
      </c>
      <c r="FX45" s="237"/>
      <c r="FY45" s="234">
        <f t="shared" si="464"/>
        <v>12</v>
      </c>
      <c r="FZ45" s="234">
        <f t="shared" si="465"/>
        <v>12</v>
      </c>
      <c r="GA45" s="234"/>
      <c r="GB45" s="234"/>
      <c r="GC45" s="234"/>
      <c r="GD45" s="234"/>
      <c r="GE45" s="224"/>
      <c r="GF45" s="222">
        <f>(FY45+FY45+FZ45)/3</f>
        <v>12</v>
      </c>
      <c r="GG45" s="223">
        <f t="shared" si="466"/>
        <v>24</v>
      </c>
      <c r="GH45" s="224">
        <f t="shared" si="467"/>
        <v>36</v>
      </c>
      <c r="GI45" s="237">
        <f>FY45*POWER(INslave,SIGN(FZ45))*POWER(KLslave,SIGN(FY45))+FY45*POWER(INslave,SIGN(FZ45))*POWER(KLslave,SIGN(FY45))+FZ45*POWER(KLslave,SIGN(FY45))*POWER(KLslave,SIGN(FY45))</f>
        <v>2304</v>
      </c>
      <c r="GJ45" s="234">
        <f>FY45*FY45*INslave+FY45*KLslave*FZ45+KLslave*FY45*FZ45</f>
        <v>3456</v>
      </c>
      <c r="GK45" s="224">
        <f>FY45*FY45*FZ45</f>
        <v>1728</v>
      </c>
      <c r="GL45" s="242">
        <f t="shared" ref="GL45:GL54" si="512">SUM(GI45:GK45)</f>
        <v>7488</v>
      </c>
      <c r="GM45" s="222">
        <f t="shared" si="468"/>
        <v>3.6923076923076925</v>
      </c>
      <c r="GN45" s="223">
        <f t="shared" si="469"/>
        <v>11.076923076923077</v>
      </c>
      <c r="GO45" s="243">
        <f t="shared" si="470"/>
        <v>8.3076923076923084</v>
      </c>
      <c r="GP45" s="218">
        <f t="shared" si="471"/>
        <v>23.07692307692308</v>
      </c>
      <c r="GQ45" s="252">
        <f t="shared" si="472"/>
        <v>0</v>
      </c>
      <c r="GR45" s="309">
        <f t="shared" si="473"/>
        <v>23.07692307692308</v>
      </c>
      <c r="GS45" s="218">
        <f t="shared" ref="GS45:GT48" si="513">IF(GP45&gt;0,GP45,0)*2+IF(GP45&gt;12,GP45-12,0)*2+IF(GP45&gt;13,GP45-13,0)*2+IF(GP45&gt;14,GP45-14,0)*2+IF(GP45&gt;15,GP45-15,0)*2+IF(GP45&gt;16,GP45-16,0)*2+IF(GP45&gt;17,GP45-17,0)*2+IF(GP45&gt;18,GP45-18,0)*2+IF(GP45&gt;19,GP45-19,0)*2+IF(GP45&gt;20,GP45-20,0)*2</f>
        <v>173.5384615384616</v>
      </c>
      <c r="GT45" s="242">
        <f t="shared" si="513"/>
        <v>0</v>
      </c>
      <c r="GU45" s="243">
        <f t="shared" si="474"/>
        <v>173.5384615384616</v>
      </c>
      <c r="GV45" s="218">
        <f t="shared" si="475"/>
        <v>0</v>
      </c>
      <c r="GX45" s="303" t="s">
        <v>39</v>
      </c>
      <c r="GY45" s="243" t="s">
        <v>94</v>
      </c>
      <c r="GZ45" s="218" t="s">
        <v>132</v>
      </c>
      <c r="HA45" s="237"/>
      <c r="HB45" s="234">
        <f t="shared" si="476"/>
        <v>12</v>
      </c>
      <c r="HC45" s="234">
        <f t="shared" si="477"/>
        <v>12</v>
      </c>
      <c r="HD45" s="234"/>
      <c r="HE45" s="234"/>
      <c r="HF45" s="234"/>
      <c r="HG45" s="234"/>
      <c r="HH45" s="224"/>
      <c r="HI45" s="222">
        <f>(HB45+HB45+HC45)/3</f>
        <v>12</v>
      </c>
      <c r="HJ45" s="223">
        <f t="shared" si="478"/>
        <v>24</v>
      </c>
      <c r="HK45" s="224">
        <f t="shared" si="479"/>
        <v>36</v>
      </c>
      <c r="HL45" s="237">
        <f>HB45*POWER(INslave,SIGN(HC45))*POWER(KLslave,SIGN(HB45))+HB45*POWER(INslave,SIGN(HC45))*POWER(KLslave,SIGN(HB45))+HC45*POWER(KLslave,SIGN(HB45))*POWER(KLslave,SIGN(HB45))</f>
        <v>2304</v>
      </c>
      <c r="HM45" s="234">
        <f>HB45*HB45*INslave+HB45*KLslave*HC45+KLslave*HB45*HC45</f>
        <v>3456</v>
      </c>
      <c r="HN45" s="224">
        <f>HB45*HB45*HC45</f>
        <v>1728</v>
      </c>
      <c r="HO45" s="242">
        <f t="shared" ref="HO45:HO54" si="514">SUM(HL45:HN45)</f>
        <v>7488</v>
      </c>
      <c r="HP45" s="222">
        <f t="shared" si="480"/>
        <v>3.6923076923076925</v>
      </c>
      <c r="HQ45" s="223">
        <f t="shared" si="481"/>
        <v>11.076923076923077</v>
      </c>
      <c r="HR45" s="243">
        <f t="shared" si="482"/>
        <v>8.3076923076923084</v>
      </c>
      <c r="HS45" s="218">
        <f t="shared" si="483"/>
        <v>23.07692307692308</v>
      </c>
      <c r="HT45" s="252">
        <f t="shared" si="484"/>
        <v>0</v>
      </c>
      <c r="HU45" s="309">
        <f t="shared" si="485"/>
        <v>23.07692307692308</v>
      </c>
      <c r="HV45" s="218">
        <f t="shared" ref="HV45:HW48" si="515">IF(HS45&gt;0,HS45,0)*2+IF(HS45&gt;12,HS45-12,0)*2+IF(HS45&gt;13,HS45-13,0)*2+IF(HS45&gt;14,HS45-14,0)*2+IF(HS45&gt;15,HS45-15,0)*2+IF(HS45&gt;16,HS45-16,0)*2+IF(HS45&gt;17,HS45-17,0)*2+IF(HS45&gt;18,HS45-18,0)*2+IF(HS45&gt;19,HS45-19,0)*2+IF(HS45&gt;20,HS45-20,0)*2</f>
        <v>173.5384615384616</v>
      </c>
      <c r="HW45" s="242">
        <f t="shared" si="515"/>
        <v>0</v>
      </c>
      <c r="HX45" s="243">
        <f t="shared" si="486"/>
        <v>173.5384615384616</v>
      </c>
      <c r="HY45" s="218">
        <f t="shared" si="487"/>
        <v>0</v>
      </c>
      <c r="IA45" s="303" t="s">
        <v>39</v>
      </c>
      <c r="IB45" s="243" t="s">
        <v>94</v>
      </c>
      <c r="IC45" s="218" t="s">
        <v>132</v>
      </c>
      <c r="ID45" s="237"/>
      <c r="IE45" s="234">
        <f t="shared" si="488"/>
        <v>12</v>
      </c>
      <c r="IF45" s="234">
        <f t="shared" si="489"/>
        <v>12</v>
      </c>
      <c r="IG45" s="234"/>
      <c r="IH45" s="234"/>
      <c r="II45" s="234"/>
      <c r="IJ45" s="234"/>
      <c r="IK45" s="224"/>
      <c r="IL45" s="222">
        <f>(IE45+IE45+IF45)/3</f>
        <v>12</v>
      </c>
      <c r="IM45" s="223">
        <f t="shared" si="490"/>
        <v>24</v>
      </c>
      <c r="IN45" s="224">
        <f t="shared" si="491"/>
        <v>36</v>
      </c>
      <c r="IO45" s="237">
        <f>IE45*POWER(INslave,SIGN(IF45))*POWER(KLslave,SIGN(IE45))+IE45*POWER(INslave,SIGN(IF45))*POWER(KLslave,SIGN(IE45))+IF45*POWER(KLslave,SIGN(IE45))*POWER(KLslave,SIGN(IE45))</f>
        <v>2304</v>
      </c>
      <c r="IP45" s="234">
        <f>IE45*IE45*INslave+IE45*KLslave*IF45+KLslave*IE45*IF45</f>
        <v>3456</v>
      </c>
      <c r="IQ45" s="224">
        <f>IE45*IE45*IF45</f>
        <v>1728</v>
      </c>
      <c r="IR45" s="242">
        <f t="shared" ref="IR45:IR54" si="516">SUM(IO45:IQ45)</f>
        <v>7488</v>
      </c>
      <c r="IS45" s="222">
        <f t="shared" si="492"/>
        <v>3.6923076923076925</v>
      </c>
      <c r="IT45" s="223">
        <f t="shared" si="493"/>
        <v>11.076923076923077</v>
      </c>
      <c r="IU45" s="243">
        <f t="shared" si="494"/>
        <v>8.3076923076923084</v>
      </c>
      <c r="IV45" s="218">
        <f t="shared" si="495"/>
        <v>23.07692307692308</v>
      </c>
      <c r="IW45" s="252">
        <f t="shared" si="496"/>
        <v>0</v>
      </c>
      <c r="IX45" s="309">
        <f t="shared" si="497"/>
        <v>23.07692307692308</v>
      </c>
      <c r="IY45" s="218">
        <f t="shared" ref="IY45:IZ48" si="517">IF(IV45&gt;0,IV45,0)*2+IF(IV45&gt;12,IV45-12,0)*2+IF(IV45&gt;13,IV45-13,0)*2+IF(IV45&gt;14,IV45-14,0)*2+IF(IV45&gt;15,IV45-15,0)*2+IF(IV45&gt;16,IV45-16,0)*2+IF(IV45&gt;17,IV45-17,0)*2+IF(IV45&gt;18,IV45-18,0)*2+IF(IV45&gt;19,IV45-19,0)*2+IF(IV45&gt;20,IV45-20,0)*2</f>
        <v>173.5384615384616</v>
      </c>
      <c r="IZ45" s="242">
        <f t="shared" si="517"/>
        <v>0</v>
      </c>
      <c r="JA45" s="243">
        <f t="shared" si="498"/>
        <v>173.5384615384616</v>
      </c>
      <c r="JB45" s="218">
        <f t="shared" si="499"/>
        <v>0</v>
      </c>
      <c r="JE45" s="148"/>
    </row>
    <row r="46" spans="2:265" hidden="1" outlineLevel="2">
      <c r="B46" s="148">
        <v>3</v>
      </c>
      <c r="C46" s="303" t="e">
        <f>VLOOKUP(AF46,Attribute!C:T,1,FALSE)</f>
        <v>#N/A</v>
      </c>
      <c r="D46" s="127" t="s">
        <v>94</v>
      </c>
      <c r="E46" s="125" t="s">
        <v>132</v>
      </c>
      <c r="F46" s="114"/>
      <c r="G46" s="113">
        <f t="shared" si="393"/>
        <v>12</v>
      </c>
      <c r="H46" s="113">
        <f t="shared" si="394"/>
        <v>12</v>
      </c>
      <c r="I46" s="113"/>
      <c r="J46" s="113"/>
      <c r="K46" s="113"/>
      <c r="L46" s="113"/>
      <c r="M46" s="119"/>
      <c r="N46" s="222">
        <f>(G46+G46+H46)/3</f>
        <v>12</v>
      </c>
      <c r="O46" s="223">
        <f t="shared" si="395"/>
        <v>24</v>
      </c>
      <c r="P46" s="224">
        <f t="shared" si="396"/>
        <v>36</v>
      </c>
      <c r="Q46" s="237">
        <f>G46*POWER(INmaster,SIGN(H46))*POWER(KLmaster,SIGN(G46))+G46*POWER(INmaster,SIGN(H46))*POWER(KLmaster,SIGN(G46))+H46*POWER(KLmaster,SIGN(G46))*POWER(KLmaster,SIGN(G46))</f>
        <v>2304</v>
      </c>
      <c r="R46" s="113">
        <f>G46*G46*INmaster+G46*KLmaster*H46+KLmaster*G46*H46</f>
        <v>3456</v>
      </c>
      <c r="S46" s="224">
        <f>G46*G46*H46</f>
        <v>1728</v>
      </c>
      <c r="T46" s="242">
        <f t="shared" si="500"/>
        <v>7488</v>
      </c>
      <c r="U46" s="222">
        <f t="shared" si="397"/>
        <v>3.6923076923076925</v>
      </c>
      <c r="V46" s="223">
        <f t="shared" si="398"/>
        <v>11.076923076923077</v>
      </c>
      <c r="W46" s="243">
        <f t="shared" si="399"/>
        <v>8.3076923076923084</v>
      </c>
      <c r="X46" s="218">
        <f t="shared" si="400"/>
        <v>23.07692307692308</v>
      </c>
      <c r="Y46" s="252">
        <v>0</v>
      </c>
      <c r="Z46" s="198">
        <f t="shared" si="401"/>
        <v>23.07692307692308</v>
      </c>
      <c r="AA46" s="125">
        <f t="shared" si="501"/>
        <v>173.5384615384616</v>
      </c>
      <c r="AB46" s="160">
        <f t="shared" si="501"/>
        <v>0</v>
      </c>
      <c r="AC46" s="127">
        <f t="shared" si="402"/>
        <v>173.5384615384616</v>
      </c>
      <c r="AD46" s="125">
        <f t="shared" si="403"/>
        <v>0</v>
      </c>
      <c r="AF46" s="163" t="s">
        <v>40</v>
      </c>
      <c r="AG46" s="127" t="s">
        <v>94</v>
      </c>
      <c r="AH46" s="125" t="s">
        <v>132</v>
      </c>
      <c r="AI46" s="114"/>
      <c r="AJ46" s="113">
        <f t="shared" si="404"/>
        <v>12</v>
      </c>
      <c r="AK46" s="113">
        <f t="shared" si="405"/>
        <v>12</v>
      </c>
      <c r="AL46" s="113"/>
      <c r="AM46" s="113"/>
      <c r="AN46" s="113"/>
      <c r="AO46" s="113"/>
      <c r="AP46" s="119"/>
      <c r="AQ46" s="89">
        <f>(AJ46+AJ46+AK46)/3</f>
        <v>12</v>
      </c>
      <c r="AR46" s="47">
        <f t="shared" si="406"/>
        <v>24</v>
      </c>
      <c r="AS46" s="119">
        <f t="shared" si="407"/>
        <v>36</v>
      </c>
      <c r="AT46" s="114">
        <f>AJ46*POWER(INslave,SIGN(AK46))*POWER(KLslave,SIGN(AJ46))+AJ46*POWER(INslave,SIGN(AK46))*POWER(KLslave,SIGN(AJ46))+AK46*POWER(KLslave,SIGN(AJ46))*POWER(KLslave,SIGN(AJ46))</f>
        <v>2304</v>
      </c>
      <c r="AU46" s="113">
        <f>AJ46*AJ46*INslave+AJ46*KLslave*AK46+KLslave*AJ46*AK46</f>
        <v>3456</v>
      </c>
      <c r="AV46" s="119">
        <f>AJ46*AJ46*AK46</f>
        <v>1728</v>
      </c>
      <c r="AW46" s="160">
        <f t="shared" si="502"/>
        <v>7488</v>
      </c>
      <c r="AX46" s="89">
        <f t="shared" si="408"/>
        <v>3.6923076923076925</v>
      </c>
      <c r="AY46" s="47">
        <f t="shared" si="409"/>
        <v>11.076923076923077</v>
      </c>
      <c r="AZ46" s="127">
        <f t="shared" si="410"/>
        <v>8.3076923076923084</v>
      </c>
      <c r="BA46" s="125">
        <f t="shared" si="411"/>
        <v>23.07692307692308</v>
      </c>
      <c r="BB46" s="165">
        <f t="shared" si="412"/>
        <v>0</v>
      </c>
      <c r="BC46" s="198">
        <f t="shared" si="413"/>
        <v>23.07692307692308</v>
      </c>
      <c r="BD46" s="125">
        <f t="shared" si="503"/>
        <v>173.5384615384616</v>
      </c>
      <c r="BE46" s="160">
        <f t="shared" si="503"/>
        <v>0</v>
      </c>
      <c r="BF46" s="243">
        <f t="shared" si="414"/>
        <v>173.5384615384616</v>
      </c>
      <c r="BG46" s="218">
        <f t="shared" si="415"/>
        <v>0</v>
      </c>
      <c r="BI46" s="303" t="s">
        <v>40</v>
      </c>
      <c r="BJ46" s="243" t="s">
        <v>94</v>
      </c>
      <c r="BK46" s="218" t="s">
        <v>132</v>
      </c>
      <c r="BL46" s="237"/>
      <c r="BM46" s="234">
        <f t="shared" si="416"/>
        <v>11</v>
      </c>
      <c r="BN46" s="234">
        <f t="shared" si="417"/>
        <v>12</v>
      </c>
      <c r="BO46" s="234"/>
      <c r="BP46" s="234"/>
      <c r="BQ46" s="234"/>
      <c r="BR46" s="234"/>
      <c r="BS46" s="224"/>
      <c r="BT46" s="222">
        <f>(BM46+BM46+BN46)/3</f>
        <v>11.333333333333334</v>
      </c>
      <c r="BU46" s="223">
        <f t="shared" si="418"/>
        <v>22.666666666666668</v>
      </c>
      <c r="BV46" s="224">
        <f t="shared" si="419"/>
        <v>34</v>
      </c>
      <c r="BW46" s="237">
        <f>BM46*POWER(INslave,SIGN(BN46))*POWER(KLslave_KL,SIGN(BM46))+BM46*POWER(INslave,SIGN(BN46))*POWER(KLslave_KL,SIGN(BM46))+BN46*POWER(KLslave_KL,SIGN(BM46))*POWER(KLslave_KL,SIGN(BM46))</f>
        <v>2556</v>
      </c>
      <c r="BX46" s="234">
        <f>BM46*BM46*INslave+BM46*KLslave_KL*BN46+KLslave_KL*BM46*BN46</f>
        <v>3344</v>
      </c>
      <c r="BY46" s="224">
        <f>BM46*BM46*BN46</f>
        <v>1452</v>
      </c>
      <c r="BZ46" s="242">
        <f t="shared" si="504"/>
        <v>7352</v>
      </c>
      <c r="CA46" s="222">
        <f t="shared" si="420"/>
        <v>3.940152339499456</v>
      </c>
      <c r="CB46" s="223">
        <f t="shared" si="421"/>
        <v>10.309756982227059</v>
      </c>
      <c r="CC46" s="243">
        <f t="shared" si="422"/>
        <v>6.714907508161045</v>
      </c>
      <c r="CD46" s="218">
        <f t="shared" si="423"/>
        <v>20.96481682988756</v>
      </c>
      <c r="CE46" s="252">
        <f t="shared" si="424"/>
        <v>0</v>
      </c>
      <c r="CF46" s="309">
        <f t="shared" si="425"/>
        <v>20.96481682988756</v>
      </c>
      <c r="CG46" s="218">
        <f t="shared" si="505"/>
        <v>131.29633659775118</v>
      </c>
      <c r="CH46" s="242">
        <f t="shared" si="505"/>
        <v>0</v>
      </c>
      <c r="CI46" s="243">
        <f t="shared" si="426"/>
        <v>131.29633659775118</v>
      </c>
      <c r="CJ46" s="218">
        <f t="shared" si="427"/>
        <v>0</v>
      </c>
      <c r="CL46" s="303" t="s">
        <v>40</v>
      </c>
      <c r="CM46" s="243" t="s">
        <v>94</v>
      </c>
      <c r="CN46" s="218" t="s">
        <v>132</v>
      </c>
      <c r="CO46" s="237"/>
      <c r="CP46" s="234">
        <f t="shared" si="428"/>
        <v>12</v>
      </c>
      <c r="CQ46" s="234">
        <f t="shared" si="429"/>
        <v>11</v>
      </c>
      <c r="CR46" s="234"/>
      <c r="CS46" s="234"/>
      <c r="CT46" s="234"/>
      <c r="CU46" s="234"/>
      <c r="CV46" s="224"/>
      <c r="CW46" s="222">
        <f>(CP46+CP46+CQ46)/3</f>
        <v>11.666666666666666</v>
      </c>
      <c r="CX46" s="223">
        <f t="shared" si="430"/>
        <v>23.333333333333332</v>
      </c>
      <c r="CY46" s="224">
        <f t="shared" si="431"/>
        <v>35</v>
      </c>
      <c r="CZ46" s="237">
        <f>CP46*POWER(INslave_IN,SIGN(CQ46))*POWER(KLslave,SIGN(CP46))+CP46*POWER(INslave_IN,SIGN(CQ46))*POWER(KLslave,SIGN(CP46))+CQ46*POWER(KLslave,SIGN(CP46))*POWER(KLslave,SIGN(CP46))</f>
        <v>2432</v>
      </c>
      <c r="DA46" s="234">
        <f>CP46*CP46*INslave_IN+CP46*KLslave*CQ46+KLslave*CP46*CQ46</f>
        <v>3408</v>
      </c>
      <c r="DB46" s="224">
        <f>CP46*CP46*CQ46</f>
        <v>1584</v>
      </c>
      <c r="DC46" s="242">
        <f t="shared" si="506"/>
        <v>7424</v>
      </c>
      <c r="DD46" s="222">
        <f t="shared" si="432"/>
        <v>3.8218390804597702</v>
      </c>
      <c r="DE46" s="223">
        <f t="shared" si="433"/>
        <v>10.711206896551724</v>
      </c>
      <c r="DF46" s="243">
        <f t="shared" si="434"/>
        <v>7.4676724137931032</v>
      </c>
      <c r="DG46" s="218">
        <f t="shared" si="435"/>
        <v>22.000718390804597</v>
      </c>
      <c r="DH46" s="252">
        <f t="shared" si="436"/>
        <v>0</v>
      </c>
      <c r="DI46" s="309">
        <f t="shared" si="437"/>
        <v>22.000718390804597</v>
      </c>
      <c r="DJ46" s="218">
        <f t="shared" si="507"/>
        <v>152.01436781609189</v>
      </c>
      <c r="DK46" s="242">
        <f t="shared" si="507"/>
        <v>0</v>
      </c>
      <c r="DL46" s="243">
        <f t="shared" si="438"/>
        <v>152.01436781609189</v>
      </c>
      <c r="DM46" s="218">
        <f t="shared" si="439"/>
        <v>0</v>
      </c>
      <c r="DO46" s="303" t="s">
        <v>40</v>
      </c>
      <c r="DP46" s="243" t="s">
        <v>94</v>
      </c>
      <c r="DQ46" s="218" t="s">
        <v>132</v>
      </c>
      <c r="DR46" s="237"/>
      <c r="DS46" s="234">
        <f t="shared" si="440"/>
        <v>12</v>
      </c>
      <c r="DT46" s="234">
        <f t="shared" si="441"/>
        <v>12</v>
      </c>
      <c r="DU46" s="234"/>
      <c r="DV46" s="234"/>
      <c r="DW46" s="234"/>
      <c r="DX46" s="234"/>
      <c r="DY46" s="224"/>
      <c r="DZ46" s="222">
        <f>(DS46+DS46+DT46)/3</f>
        <v>12</v>
      </c>
      <c r="EA46" s="223">
        <f t="shared" si="442"/>
        <v>24</v>
      </c>
      <c r="EB46" s="224">
        <f t="shared" si="443"/>
        <v>36</v>
      </c>
      <c r="EC46" s="237">
        <f>DS46*POWER(INslave,SIGN(DT46))*POWER(KLslave,SIGN(DS46))+DS46*POWER(INslave,SIGN(DT46))*POWER(KLslave,SIGN(DS46))+DT46*POWER(KLslave,SIGN(DS46))*POWER(KLslave,SIGN(DS46))</f>
        <v>2304</v>
      </c>
      <c r="ED46" s="234">
        <f>DS46*DS46*INslave+DS46*KLslave*DT46+KLslave*DS46*DT46</f>
        <v>3456</v>
      </c>
      <c r="EE46" s="224">
        <f>DS46*DS46*DT46</f>
        <v>1728</v>
      </c>
      <c r="EF46" s="242">
        <f t="shared" si="508"/>
        <v>7488</v>
      </c>
      <c r="EG46" s="222">
        <f t="shared" si="444"/>
        <v>3.6923076923076925</v>
      </c>
      <c r="EH46" s="223">
        <f t="shared" si="445"/>
        <v>11.076923076923077</v>
      </c>
      <c r="EI46" s="243">
        <f t="shared" si="446"/>
        <v>8.3076923076923084</v>
      </c>
      <c r="EJ46" s="218">
        <f t="shared" si="447"/>
        <v>23.07692307692308</v>
      </c>
      <c r="EK46" s="252">
        <f t="shared" si="448"/>
        <v>0</v>
      </c>
      <c r="EL46" s="309">
        <f t="shared" si="449"/>
        <v>23.07692307692308</v>
      </c>
      <c r="EM46" s="218">
        <f t="shared" si="509"/>
        <v>173.5384615384616</v>
      </c>
      <c r="EN46" s="242">
        <f t="shared" si="509"/>
        <v>0</v>
      </c>
      <c r="EO46" s="243">
        <f t="shared" si="450"/>
        <v>173.5384615384616</v>
      </c>
      <c r="EP46" s="218">
        <f t="shared" si="451"/>
        <v>0</v>
      </c>
      <c r="ER46" s="303" t="s">
        <v>40</v>
      </c>
      <c r="ES46" s="243" t="s">
        <v>94</v>
      </c>
      <c r="ET46" s="218" t="s">
        <v>132</v>
      </c>
      <c r="EU46" s="237"/>
      <c r="EV46" s="234">
        <f t="shared" si="452"/>
        <v>12</v>
      </c>
      <c r="EW46" s="234">
        <f t="shared" si="453"/>
        <v>12</v>
      </c>
      <c r="EX46" s="234"/>
      <c r="EY46" s="234"/>
      <c r="EZ46" s="234"/>
      <c r="FA46" s="234"/>
      <c r="FB46" s="224"/>
      <c r="FC46" s="222">
        <f>(EV46+EV46+EW46)/3</f>
        <v>12</v>
      </c>
      <c r="FD46" s="223">
        <f t="shared" si="454"/>
        <v>24</v>
      </c>
      <c r="FE46" s="224">
        <f t="shared" si="455"/>
        <v>36</v>
      </c>
      <c r="FF46" s="237">
        <f>EV46*POWER(INslave,SIGN(EW46))*POWER(KLslave,SIGN(EV46))+EV46*POWER(INslave,SIGN(EW46))*POWER(KLslave,SIGN(EV46))+EW46*POWER(KLslave,SIGN(EV46))*POWER(KLslave,SIGN(EV46))</f>
        <v>2304</v>
      </c>
      <c r="FG46" s="234">
        <f>EV46*EV46*INslave+EV46*KLslave*EW46+KLslave*EV46*EW46</f>
        <v>3456</v>
      </c>
      <c r="FH46" s="224">
        <f>EV46*EV46*EW46</f>
        <v>1728</v>
      </c>
      <c r="FI46" s="242">
        <f t="shared" si="510"/>
        <v>7488</v>
      </c>
      <c r="FJ46" s="222">
        <f t="shared" si="456"/>
        <v>3.6923076923076925</v>
      </c>
      <c r="FK46" s="223">
        <f t="shared" si="457"/>
        <v>11.076923076923077</v>
      </c>
      <c r="FL46" s="243">
        <f t="shared" si="458"/>
        <v>8.3076923076923084</v>
      </c>
      <c r="FM46" s="218">
        <f t="shared" si="459"/>
        <v>23.07692307692308</v>
      </c>
      <c r="FN46" s="252">
        <f t="shared" si="460"/>
        <v>0</v>
      </c>
      <c r="FO46" s="309">
        <f t="shared" si="461"/>
        <v>23.07692307692308</v>
      </c>
      <c r="FP46" s="218">
        <f t="shared" si="511"/>
        <v>173.5384615384616</v>
      </c>
      <c r="FQ46" s="242">
        <f t="shared" si="511"/>
        <v>0</v>
      </c>
      <c r="FR46" s="243">
        <f t="shared" si="462"/>
        <v>173.5384615384616</v>
      </c>
      <c r="FS46" s="218">
        <f t="shared" si="463"/>
        <v>0</v>
      </c>
      <c r="FU46" s="303" t="s">
        <v>40</v>
      </c>
      <c r="FV46" s="243" t="s">
        <v>94</v>
      </c>
      <c r="FW46" s="218" t="s">
        <v>132</v>
      </c>
      <c r="FX46" s="237"/>
      <c r="FY46" s="234">
        <f t="shared" si="464"/>
        <v>12</v>
      </c>
      <c r="FZ46" s="234">
        <f t="shared" si="465"/>
        <v>12</v>
      </c>
      <c r="GA46" s="234"/>
      <c r="GB46" s="234"/>
      <c r="GC46" s="234"/>
      <c r="GD46" s="234"/>
      <c r="GE46" s="224"/>
      <c r="GF46" s="222">
        <f>(FY46+FY46+FZ46)/3</f>
        <v>12</v>
      </c>
      <c r="GG46" s="223">
        <f t="shared" si="466"/>
        <v>24</v>
      </c>
      <c r="GH46" s="224">
        <f t="shared" si="467"/>
        <v>36</v>
      </c>
      <c r="GI46" s="237">
        <f>FY46*POWER(INslave,SIGN(FZ46))*POWER(KLslave,SIGN(FY46))+FY46*POWER(INslave,SIGN(FZ46))*POWER(KLslave,SIGN(FY46))+FZ46*POWER(KLslave,SIGN(FY46))*POWER(KLslave,SIGN(FY46))</f>
        <v>2304</v>
      </c>
      <c r="GJ46" s="234">
        <f>FY46*FY46*INslave+FY46*KLslave*FZ46+KLslave*FY46*FZ46</f>
        <v>3456</v>
      </c>
      <c r="GK46" s="224">
        <f>FY46*FY46*FZ46</f>
        <v>1728</v>
      </c>
      <c r="GL46" s="242">
        <f t="shared" si="512"/>
        <v>7488</v>
      </c>
      <c r="GM46" s="222">
        <f t="shared" si="468"/>
        <v>3.6923076923076925</v>
      </c>
      <c r="GN46" s="223">
        <f t="shared" si="469"/>
        <v>11.076923076923077</v>
      </c>
      <c r="GO46" s="243">
        <f t="shared" si="470"/>
        <v>8.3076923076923084</v>
      </c>
      <c r="GP46" s="218">
        <f t="shared" si="471"/>
        <v>23.07692307692308</v>
      </c>
      <c r="GQ46" s="252">
        <f t="shared" si="472"/>
        <v>0</v>
      </c>
      <c r="GR46" s="309">
        <f t="shared" si="473"/>
        <v>23.07692307692308</v>
      </c>
      <c r="GS46" s="218">
        <f t="shared" si="513"/>
        <v>173.5384615384616</v>
      </c>
      <c r="GT46" s="242">
        <f t="shared" si="513"/>
        <v>0</v>
      </c>
      <c r="GU46" s="243">
        <f t="shared" si="474"/>
        <v>173.5384615384616</v>
      </c>
      <c r="GV46" s="218">
        <f t="shared" si="475"/>
        <v>0</v>
      </c>
      <c r="GX46" s="303" t="s">
        <v>40</v>
      </c>
      <c r="GY46" s="243" t="s">
        <v>94</v>
      </c>
      <c r="GZ46" s="218" t="s">
        <v>132</v>
      </c>
      <c r="HA46" s="237"/>
      <c r="HB46" s="234">
        <f t="shared" si="476"/>
        <v>12</v>
      </c>
      <c r="HC46" s="234">
        <f t="shared" si="477"/>
        <v>12</v>
      </c>
      <c r="HD46" s="234"/>
      <c r="HE46" s="234"/>
      <c r="HF46" s="234"/>
      <c r="HG46" s="234"/>
      <c r="HH46" s="224"/>
      <c r="HI46" s="222">
        <f>(HB46+HB46+HC46)/3</f>
        <v>12</v>
      </c>
      <c r="HJ46" s="223">
        <f t="shared" si="478"/>
        <v>24</v>
      </c>
      <c r="HK46" s="224">
        <f t="shared" si="479"/>
        <v>36</v>
      </c>
      <c r="HL46" s="237">
        <f>HB46*POWER(INslave,SIGN(HC46))*POWER(KLslave,SIGN(HB46))+HB46*POWER(INslave,SIGN(HC46))*POWER(KLslave,SIGN(HB46))+HC46*POWER(KLslave,SIGN(HB46))*POWER(KLslave,SIGN(HB46))</f>
        <v>2304</v>
      </c>
      <c r="HM46" s="234">
        <f>HB46*HB46*INslave+HB46*KLslave*HC46+KLslave*HB46*HC46</f>
        <v>3456</v>
      </c>
      <c r="HN46" s="224">
        <f>HB46*HB46*HC46</f>
        <v>1728</v>
      </c>
      <c r="HO46" s="242">
        <f t="shared" si="514"/>
        <v>7488</v>
      </c>
      <c r="HP46" s="222">
        <f t="shared" si="480"/>
        <v>3.6923076923076925</v>
      </c>
      <c r="HQ46" s="223">
        <f t="shared" si="481"/>
        <v>11.076923076923077</v>
      </c>
      <c r="HR46" s="243">
        <f t="shared" si="482"/>
        <v>8.3076923076923084</v>
      </c>
      <c r="HS46" s="218">
        <f t="shared" si="483"/>
        <v>23.07692307692308</v>
      </c>
      <c r="HT46" s="252">
        <f t="shared" si="484"/>
        <v>0</v>
      </c>
      <c r="HU46" s="309">
        <f t="shared" si="485"/>
        <v>23.07692307692308</v>
      </c>
      <c r="HV46" s="218">
        <f t="shared" si="515"/>
        <v>173.5384615384616</v>
      </c>
      <c r="HW46" s="242">
        <f t="shared" si="515"/>
        <v>0</v>
      </c>
      <c r="HX46" s="243">
        <f t="shared" si="486"/>
        <v>173.5384615384616</v>
      </c>
      <c r="HY46" s="218">
        <f t="shared" si="487"/>
        <v>0</v>
      </c>
      <c r="IA46" s="303" t="s">
        <v>40</v>
      </c>
      <c r="IB46" s="243" t="s">
        <v>94</v>
      </c>
      <c r="IC46" s="218" t="s">
        <v>132</v>
      </c>
      <c r="ID46" s="237"/>
      <c r="IE46" s="234">
        <f t="shared" si="488"/>
        <v>12</v>
      </c>
      <c r="IF46" s="234">
        <f t="shared" si="489"/>
        <v>12</v>
      </c>
      <c r="IG46" s="234"/>
      <c r="IH46" s="234"/>
      <c r="II46" s="234"/>
      <c r="IJ46" s="234"/>
      <c r="IK46" s="224"/>
      <c r="IL46" s="222">
        <f>(IE46+IE46+IF46)/3</f>
        <v>12</v>
      </c>
      <c r="IM46" s="223">
        <f t="shared" si="490"/>
        <v>24</v>
      </c>
      <c r="IN46" s="224">
        <f t="shared" si="491"/>
        <v>36</v>
      </c>
      <c r="IO46" s="237">
        <f>IE46*POWER(INslave,SIGN(IF46))*POWER(KLslave,SIGN(IE46))+IE46*POWER(INslave,SIGN(IF46))*POWER(KLslave,SIGN(IE46))+IF46*POWER(KLslave,SIGN(IE46))*POWER(KLslave,SIGN(IE46))</f>
        <v>2304</v>
      </c>
      <c r="IP46" s="234">
        <f>IE46*IE46*INslave+IE46*KLslave*IF46+KLslave*IE46*IF46</f>
        <v>3456</v>
      </c>
      <c r="IQ46" s="224">
        <f>IE46*IE46*IF46</f>
        <v>1728</v>
      </c>
      <c r="IR46" s="242">
        <f t="shared" si="516"/>
        <v>7488</v>
      </c>
      <c r="IS46" s="222">
        <f t="shared" si="492"/>
        <v>3.6923076923076925</v>
      </c>
      <c r="IT46" s="223">
        <f t="shared" si="493"/>
        <v>11.076923076923077</v>
      </c>
      <c r="IU46" s="243">
        <f t="shared" si="494"/>
        <v>8.3076923076923084</v>
      </c>
      <c r="IV46" s="218">
        <f t="shared" si="495"/>
        <v>23.07692307692308</v>
      </c>
      <c r="IW46" s="252">
        <f t="shared" si="496"/>
        <v>0</v>
      </c>
      <c r="IX46" s="309">
        <f t="shared" si="497"/>
        <v>23.07692307692308</v>
      </c>
      <c r="IY46" s="218">
        <f t="shared" si="517"/>
        <v>173.5384615384616</v>
      </c>
      <c r="IZ46" s="242">
        <f t="shared" si="517"/>
        <v>0</v>
      </c>
      <c r="JA46" s="243">
        <f t="shared" si="498"/>
        <v>173.5384615384616</v>
      </c>
      <c r="JB46" s="218">
        <f t="shared" si="499"/>
        <v>0</v>
      </c>
      <c r="JE46" s="148"/>
    </row>
    <row r="47" spans="2:265" hidden="1" outlineLevel="2">
      <c r="B47" s="148">
        <v>4</v>
      </c>
      <c r="C47" s="303" t="e">
        <f>VLOOKUP(AF47,Attribute!C:T,1,FALSE)</f>
        <v>#N/A</v>
      </c>
      <c r="D47" s="127" t="s">
        <v>94</v>
      </c>
      <c r="E47" s="125" t="s">
        <v>132</v>
      </c>
      <c r="F47" s="114"/>
      <c r="G47" s="113">
        <f t="shared" si="393"/>
        <v>12</v>
      </c>
      <c r="H47" s="113">
        <f t="shared" si="394"/>
        <v>12</v>
      </c>
      <c r="I47" s="113"/>
      <c r="J47" s="113"/>
      <c r="K47" s="113"/>
      <c r="L47" s="113"/>
      <c r="M47" s="119"/>
      <c r="N47" s="222">
        <f>(G47+G47+H47)/3</f>
        <v>12</v>
      </c>
      <c r="O47" s="223">
        <f t="shared" si="395"/>
        <v>24</v>
      </c>
      <c r="P47" s="224">
        <f t="shared" si="396"/>
        <v>36</v>
      </c>
      <c r="Q47" s="237">
        <f>G47*POWER(INmaster,SIGN(H47))*POWER(KLmaster,SIGN(G47))+G47*POWER(INmaster,SIGN(H47))*POWER(KLmaster,SIGN(G47))+H47*POWER(KLmaster,SIGN(G47))*POWER(KLmaster,SIGN(G47))</f>
        <v>2304</v>
      </c>
      <c r="R47" s="113">
        <f>G47*G47*INmaster+G47*KLmaster*H47+KLmaster*G47*H47</f>
        <v>3456</v>
      </c>
      <c r="S47" s="224">
        <f>G47*G47*H47</f>
        <v>1728</v>
      </c>
      <c r="T47" s="242">
        <f t="shared" si="500"/>
        <v>7488</v>
      </c>
      <c r="U47" s="222">
        <f t="shared" si="397"/>
        <v>3.6923076923076925</v>
      </c>
      <c r="V47" s="223">
        <f t="shared" si="398"/>
        <v>11.076923076923077</v>
      </c>
      <c r="W47" s="243">
        <f t="shared" si="399"/>
        <v>8.3076923076923084</v>
      </c>
      <c r="X47" s="218">
        <f t="shared" si="400"/>
        <v>23.07692307692308</v>
      </c>
      <c r="Y47" s="252">
        <v>0</v>
      </c>
      <c r="Z47" s="198">
        <f t="shared" si="401"/>
        <v>23.07692307692308</v>
      </c>
      <c r="AA47" s="125">
        <f t="shared" si="501"/>
        <v>173.5384615384616</v>
      </c>
      <c r="AB47" s="160">
        <f t="shared" si="501"/>
        <v>0</v>
      </c>
      <c r="AC47" s="127">
        <f t="shared" si="402"/>
        <v>173.5384615384616</v>
      </c>
      <c r="AD47" s="125">
        <f t="shared" si="403"/>
        <v>0</v>
      </c>
      <c r="AF47" s="163" t="s">
        <v>41</v>
      </c>
      <c r="AG47" s="127" t="s">
        <v>94</v>
      </c>
      <c r="AH47" s="125" t="s">
        <v>132</v>
      </c>
      <c r="AI47" s="114"/>
      <c r="AJ47" s="113">
        <f t="shared" si="404"/>
        <v>12</v>
      </c>
      <c r="AK47" s="113">
        <f t="shared" si="405"/>
        <v>12</v>
      </c>
      <c r="AL47" s="113"/>
      <c r="AM47" s="113"/>
      <c r="AN47" s="113"/>
      <c r="AO47" s="113"/>
      <c r="AP47" s="119"/>
      <c r="AQ47" s="89">
        <f>(AJ47+AJ47+AK47)/3</f>
        <v>12</v>
      </c>
      <c r="AR47" s="47">
        <f t="shared" si="406"/>
        <v>24</v>
      </c>
      <c r="AS47" s="119">
        <f t="shared" si="407"/>
        <v>36</v>
      </c>
      <c r="AT47" s="114">
        <f>AJ47*POWER(INslave,SIGN(AK47))*POWER(KLslave,SIGN(AJ47))+AJ47*POWER(INslave,SIGN(AK47))*POWER(KLslave,SIGN(AJ47))+AK47*POWER(KLslave,SIGN(AJ47))*POWER(KLslave,SIGN(AJ47))</f>
        <v>2304</v>
      </c>
      <c r="AU47" s="113">
        <f>AJ47*AJ47*INslave+AJ47*KLslave*AK47+KLslave*AJ47*AK47</f>
        <v>3456</v>
      </c>
      <c r="AV47" s="119">
        <f>AJ47*AJ47*AK47</f>
        <v>1728</v>
      </c>
      <c r="AW47" s="160">
        <f t="shared" si="502"/>
        <v>7488</v>
      </c>
      <c r="AX47" s="89">
        <f t="shared" si="408"/>
        <v>3.6923076923076925</v>
      </c>
      <c r="AY47" s="47">
        <f t="shared" si="409"/>
        <v>11.076923076923077</v>
      </c>
      <c r="AZ47" s="127">
        <f t="shared" si="410"/>
        <v>8.3076923076923084</v>
      </c>
      <c r="BA47" s="125">
        <f t="shared" si="411"/>
        <v>23.07692307692308</v>
      </c>
      <c r="BB47" s="165">
        <f t="shared" si="412"/>
        <v>0</v>
      </c>
      <c r="BC47" s="198">
        <f t="shared" si="413"/>
        <v>23.07692307692308</v>
      </c>
      <c r="BD47" s="125">
        <f t="shared" si="503"/>
        <v>173.5384615384616</v>
      </c>
      <c r="BE47" s="160">
        <f t="shared" si="503"/>
        <v>0</v>
      </c>
      <c r="BF47" s="243">
        <f t="shared" si="414"/>
        <v>173.5384615384616</v>
      </c>
      <c r="BG47" s="218">
        <f t="shared" si="415"/>
        <v>0</v>
      </c>
      <c r="BI47" s="303" t="s">
        <v>41</v>
      </c>
      <c r="BJ47" s="243" t="s">
        <v>94</v>
      </c>
      <c r="BK47" s="218" t="s">
        <v>132</v>
      </c>
      <c r="BL47" s="237"/>
      <c r="BM47" s="234">
        <f t="shared" si="416"/>
        <v>11</v>
      </c>
      <c r="BN47" s="234">
        <f t="shared" si="417"/>
        <v>12</v>
      </c>
      <c r="BO47" s="234"/>
      <c r="BP47" s="234"/>
      <c r="BQ47" s="234"/>
      <c r="BR47" s="234"/>
      <c r="BS47" s="224"/>
      <c r="BT47" s="222">
        <f>(BM47+BM47+BN47)/3</f>
        <v>11.333333333333334</v>
      </c>
      <c r="BU47" s="223">
        <f t="shared" si="418"/>
        <v>22.666666666666668</v>
      </c>
      <c r="BV47" s="224">
        <f t="shared" si="419"/>
        <v>34</v>
      </c>
      <c r="BW47" s="237">
        <f>BM47*POWER(INslave,SIGN(BN47))*POWER(KLslave_KL,SIGN(BM47))+BM47*POWER(INslave,SIGN(BN47))*POWER(KLslave_KL,SIGN(BM47))+BN47*POWER(KLslave_KL,SIGN(BM47))*POWER(KLslave_KL,SIGN(BM47))</f>
        <v>2556</v>
      </c>
      <c r="BX47" s="234">
        <f>BM47*BM47*INslave+BM47*KLslave_KL*BN47+KLslave_KL*BM47*BN47</f>
        <v>3344</v>
      </c>
      <c r="BY47" s="224">
        <f>BM47*BM47*BN47</f>
        <v>1452</v>
      </c>
      <c r="BZ47" s="242">
        <f t="shared" si="504"/>
        <v>7352</v>
      </c>
      <c r="CA47" s="222">
        <f t="shared" si="420"/>
        <v>3.940152339499456</v>
      </c>
      <c r="CB47" s="223">
        <f t="shared" si="421"/>
        <v>10.309756982227059</v>
      </c>
      <c r="CC47" s="243">
        <f t="shared" si="422"/>
        <v>6.714907508161045</v>
      </c>
      <c r="CD47" s="218">
        <f t="shared" si="423"/>
        <v>20.96481682988756</v>
      </c>
      <c r="CE47" s="252">
        <f t="shared" si="424"/>
        <v>0</v>
      </c>
      <c r="CF47" s="309">
        <f t="shared" si="425"/>
        <v>20.96481682988756</v>
      </c>
      <c r="CG47" s="218">
        <f t="shared" si="505"/>
        <v>131.29633659775118</v>
      </c>
      <c r="CH47" s="242">
        <f t="shared" si="505"/>
        <v>0</v>
      </c>
      <c r="CI47" s="243">
        <f t="shared" si="426"/>
        <v>131.29633659775118</v>
      </c>
      <c r="CJ47" s="218">
        <f t="shared" si="427"/>
        <v>0</v>
      </c>
      <c r="CL47" s="303" t="s">
        <v>41</v>
      </c>
      <c r="CM47" s="243" t="s">
        <v>94</v>
      </c>
      <c r="CN47" s="218" t="s">
        <v>132</v>
      </c>
      <c r="CO47" s="237"/>
      <c r="CP47" s="234">
        <f t="shared" si="428"/>
        <v>12</v>
      </c>
      <c r="CQ47" s="234">
        <f t="shared" si="429"/>
        <v>11</v>
      </c>
      <c r="CR47" s="234"/>
      <c r="CS47" s="234"/>
      <c r="CT47" s="234"/>
      <c r="CU47" s="234"/>
      <c r="CV47" s="224"/>
      <c r="CW47" s="222">
        <f>(CP47+CP47+CQ47)/3</f>
        <v>11.666666666666666</v>
      </c>
      <c r="CX47" s="223">
        <f t="shared" si="430"/>
        <v>23.333333333333332</v>
      </c>
      <c r="CY47" s="224">
        <f t="shared" si="431"/>
        <v>35</v>
      </c>
      <c r="CZ47" s="237">
        <f>CP47*POWER(INslave_IN,SIGN(CQ47))*POWER(KLslave,SIGN(CP47))+CP47*POWER(INslave_IN,SIGN(CQ47))*POWER(KLslave,SIGN(CP47))+CQ47*POWER(KLslave,SIGN(CP47))*POWER(KLslave,SIGN(CP47))</f>
        <v>2432</v>
      </c>
      <c r="DA47" s="234">
        <f>CP47*CP47*INslave_IN+CP47*KLslave*CQ47+KLslave*CP47*CQ47</f>
        <v>3408</v>
      </c>
      <c r="DB47" s="224">
        <f>CP47*CP47*CQ47</f>
        <v>1584</v>
      </c>
      <c r="DC47" s="242">
        <f t="shared" si="506"/>
        <v>7424</v>
      </c>
      <c r="DD47" s="222">
        <f t="shared" si="432"/>
        <v>3.8218390804597702</v>
      </c>
      <c r="DE47" s="223">
        <f t="shared" si="433"/>
        <v>10.711206896551724</v>
      </c>
      <c r="DF47" s="243">
        <f t="shared" si="434"/>
        <v>7.4676724137931032</v>
      </c>
      <c r="DG47" s="218">
        <f t="shared" si="435"/>
        <v>22.000718390804597</v>
      </c>
      <c r="DH47" s="252">
        <f t="shared" si="436"/>
        <v>0</v>
      </c>
      <c r="DI47" s="309">
        <f t="shared" si="437"/>
        <v>22.000718390804597</v>
      </c>
      <c r="DJ47" s="218">
        <f t="shared" si="507"/>
        <v>152.01436781609189</v>
      </c>
      <c r="DK47" s="242">
        <f t="shared" si="507"/>
        <v>0</v>
      </c>
      <c r="DL47" s="243">
        <f t="shared" si="438"/>
        <v>152.01436781609189</v>
      </c>
      <c r="DM47" s="218">
        <f t="shared" si="439"/>
        <v>0</v>
      </c>
      <c r="DO47" s="303" t="s">
        <v>41</v>
      </c>
      <c r="DP47" s="243" t="s">
        <v>94</v>
      </c>
      <c r="DQ47" s="218" t="s">
        <v>132</v>
      </c>
      <c r="DR47" s="237"/>
      <c r="DS47" s="234">
        <f t="shared" si="440"/>
        <v>12</v>
      </c>
      <c r="DT47" s="234">
        <f t="shared" si="441"/>
        <v>12</v>
      </c>
      <c r="DU47" s="234"/>
      <c r="DV47" s="234"/>
      <c r="DW47" s="234"/>
      <c r="DX47" s="234"/>
      <c r="DY47" s="224"/>
      <c r="DZ47" s="222">
        <f>(DS47+DS47+DT47)/3</f>
        <v>12</v>
      </c>
      <c r="EA47" s="223">
        <f t="shared" si="442"/>
        <v>24</v>
      </c>
      <c r="EB47" s="224">
        <f t="shared" si="443"/>
        <v>36</v>
      </c>
      <c r="EC47" s="237">
        <f>DS47*POWER(INslave,SIGN(DT47))*POWER(KLslave,SIGN(DS47))+DS47*POWER(INslave,SIGN(DT47))*POWER(KLslave,SIGN(DS47))+DT47*POWER(KLslave,SIGN(DS47))*POWER(KLslave,SIGN(DS47))</f>
        <v>2304</v>
      </c>
      <c r="ED47" s="234">
        <f>DS47*DS47*INslave+DS47*KLslave*DT47+KLslave*DS47*DT47</f>
        <v>3456</v>
      </c>
      <c r="EE47" s="224">
        <f>DS47*DS47*DT47</f>
        <v>1728</v>
      </c>
      <c r="EF47" s="242">
        <f t="shared" si="508"/>
        <v>7488</v>
      </c>
      <c r="EG47" s="222">
        <f t="shared" si="444"/>
        <v>3.6923076923076925</v>
      </c>
      <c r="EH47" s="223">
        <f t="shared" si="445"/>
        <v>11.076923076923077</v>
      </c>
      <c r="EI47" s="243">
        <f t="shared" si="446"/>
        <v>8.3076923076923084</v>
      </c>
      <c r="EJ47" s="218">
        <f t="shared" si="447"/>
        <v>23.07692307692308</v>
      </c>
      <c r="EK47" s="252">
        <f t="shared" si="448"/>
        <v>0</v>
      </c>
      <c r="EL47" s="309">
        <f t="shared" si="449"/>
        <v>23.07692307692308</v>
      </c>
      <c r="EM47" s="218">
        <f t="shared" si="509"/>
        <v>173.5384615384616</v>
      </c>
      <c r="EN47" s="242">
        <f t="shared" si="509"/>
        <v>0</v>
      </c>
      <c r="EO47" s="243">
        <f t="shared" si="450"/>
        <v>173.5384615384616</v>
      </c>
      <c r="EP47" s="218">
        <f t="shared" si="451"/>
        <v>0</v>
      </c>
      <c r="ER47" s="303" t="s">
        <v>41</v>
      </c>
      <c r="ES47" s="243" t="s">
        <v>94</v>
      </c>
      <c r="ET47" s="218" t="s">
        <v>132</v>
      </c>
      <c r="EU47" s="237"/>
      <c r="EV47" s="234">
        <f t="shared" si="452"/>
        <v>12</v>
      </c>
      <c r="EW47" s="234">
        <f t="shared" si="453"/>
        <v>12</v>
      </c>
      <c r="EX47" s="234"/>
      <c r="EY47" s="234"/>
      <c r="EZ47" s="234"/>
      <c r="FA47" s="234"/>
      <c r="FB47" s="224"/>
      <c r="FC47" s="222">
        <f>(EV47+EV47+EW47)/3</f>
        <v>12</v>
      </c>
      <c r="FD47" s="223">
        <f t="shared" si="454"/>
        <v>24</v>
      </c>
      <c r="FE47" s="224">
        <f t="shared" si="455"/>
        <v>36</v>
      </c>
      <c r="FF47" s="237">
        <f>EV47*POWER(INslave,SIGN(EW47))*POWER(KLslave,SIGN(EV47))+EV47*POWER(INslave,SIGN(EW47))*POWER(KLslave,SIGN(EV47))+EW47*POWER(KLslave,SIGN(EV47))*POWER(KLslave,SIGN(EV47))</f>
        <v>2304</v>
      </c>
      <c r="FG47" s="234">
        <f>EV47*EV47*INslave+EV47*KLslave*EW47+KLslave*EV47*EW47</f>
        <v>3456</v>
      </c>
      <c r="FH47" s="224">
        <f>EV47*EV47*EW47</f>
        <v>1728</v>
      </c>
      <c r="FI47" s="242">
        <f t="shared" si="510"/>
        <v>7488</v>
      </c>
      <c r="FJ47" s="222">
        <f t="shared" si="456"/>
        <v>3.6923076923076925</v>
      </c>
      <c r="FK47" s="223">
        <f t="shared" si="457"/>
        <v>11.076923076923077</v>
      </c>
      <c r="FL47" s="243">
        <f t="shared" si="458"/>
        <v>8.3076923076923084</v>
      </c>
      <c r="FM47" s="218">
        <f t="shared" si="459"/>
        <v>23.07692307692308</v>
      </c>
      <c r="FN47" s="252">
        <f t="shared" si="460"/>
        <v>0</v>
      </c>
      <c r="FO47" s="309">
        <f t="shared" si="461"/>
        <v>23.07692307692308</v>
      </c>
      <c r="FP47" s="218">
        <f t="shared" si="511"/>
        <v>173.5384615384616</v>
      </c>
      <c r="FQ47" s="242">
        <f t="shared" si="511"/>
        <v>0</v>
      </c>
      <c r="FR47" s="243">
        <f t="shared" si="462"/>
        <v>173.5384615384616</v>
      </c>
      <c r="FS47" s="218">
        <f t="shared" si="463"/>
        <v>0</v>
      </c>
      <c r="FU47" s="303" t="s">
        <v>41</v>
      </c>
      <c r="FV47" s="243" t="s">
        <v>94</v>
      </c>
      <c r="FW47" s="218" t="s">
        <v>132</v>
      </c>
      <c r="FX47" s="237"/>
      <c r="FY47" s="234">
        <f t="shared" si="464"/>
        <v>12</v>
      </c>
      <c r="FZ47" s="234">
        <f t="shared" si="465"/>
        <v>12</v>
      </c>
      <c r="GA47" s="234"/>
      <c r="GB47" s="234"/>
      <c r="GC47" s="234"/>
      <c r="GD47" s="234"/>
      <c r="GE47" s="224"/>
      <c r="GF47" s="222">
        <f>(FY47+FY47+FZ47)/3</f>
        <v>12</v>
      </c>
      <c r="GG47" s="223">
        <f t="shared" si="466"/>
        <v>24</v>
      </c>
      <c r="GH47" s="224">
        <f t="shared" si="467"/>
        <v>36</v>
      </c>
      <c r="GI47" s="237">
        <f>FY47*POWER(INslave,SIGN(FZ47))*POWER(KLslave,SIGN(FY47))+FY47*POWER(INslave,SIGN(FZ47))*POWER(KLslave,SIGN(FY47))+FZ47*POWER(KLslave,SIGN(FY47))*POWER(KLslave,SIGN(FY47))</f>
        <v>2304</v>
      </c>
      <c r="GJ47" s="234">
        <f>FY47*FY47*INslave+FY47*KLslave*FZ47+KLslave*FY47*FZ47</f>
        <v>3456</v>
      </c>
      <c r="GK47" s="224">
        <f>FY47*FY47*FZ47</f>
        <v>1728</v>
      </c>
      <c r="GL47" s="242">
        <f t="shared" si="512"/>
        <v>7488</v>
      </c>
      <c r="GM47" s="222">
        <f t="shared" si="468"/>
        <v>3.6923076923076925</v>
      </c>
      <c r="GN47" s="223">
        <f t="shared" si="469"/>
        <v>11.076923076923077</v>
      </c>
      <c r="GO47" s="243">
        <f t="shared" si="470"/>
        <v>8.3076923076923084</v>
      </c>
      <c r="GP47" s="218">
        <f t="shared" si="471"/>
        <v>23.07692307692308</v>
      </c>
      <c r="GQ47" s="252">
        <f t="shared" si="472"/>
        <v>0</v>
      </c>
      <c r="GR47" s="309">
        <f t="shared" si="473"/>
        <v>23.07692307692308</v>
      </c>
      <c r="GS47" s="218">
        <f t="shared" si="513"/>
        <v>173.5384615384616</v>
      </c>
      <c r="GT47" s="242">
        <f t="shared" si="513"/>
        <v>0</v>
      </c>
      <c r="GU47" s="243">
        <f t="shared" si="474"/>
        <v>173.5384615384616</v>
      </c>
      <c r="GV47" s="218">
        <f t="shared" si="475"/>
        <v>0</v>
      </c>
      <c r="GX47" s="303" t="s">
        <v>41</v>
      </c>
      <c r="GY47" s="243" t="s">
        <v>94</v>
      </c>
      <c r="GZ47" s="218" t="s">
        <v>132</v>
      </c>
      <c r="HA47" s="237"/>
      <c r="HB47" s="234">
        <f t="shared" si="476"/>
        <v>12</v>
      </c>
      <c r="HC47" s="234">
        <f t="shared" si="477"/>
        <v>12</v>
      </c>
      <c r="HD47" s="234"/>
      <c r="HE47" s="234"/>
      <c r="HF47" s="234"/>
      <c r="HG47" s="234"/>
      <c r="HH47" s="224"/>
      <c r="HI47" s="222">
        <f>(HB47+HB47+HC47)/3</f>
        <v>12</v>
      </c>
      <c r="HJ47" s="223">
        <f t="shared" si="478"/>
        <v>24</v>
      </c>
      <c r="HK47" s="224">
        <f t="shared" si="479"/>
        <v>36</v>
      </c>
      <c r="HL47" s="237">
        <f>HB47*POWER(INslave,SIGN(HC47))*POWER(KLslave,SIGN(HB47))+HB47*POWER(INslave,SIGN(HC47))*POWER(KLslave,SIGN(HB47))+HC47*POWER(KLslave,SIGN(HB47))*POWER(KLslave,SIGN(HB47))</f>
        <v>2304</v>
      </c>
      <c r="HM47" s="234">
        <f>HB47*HB47*INslave+HB47*KLslave*HC47+KLslave*HB47*HC47</f>
        <v>3456</v>
      </c>
      <c r="HN47" s="224">
        <f>HB47*HB47*HC47</f>
        <v>1728</v>
      </c>
      <c r="HO47" s="242">
        <f t="shared" si="514"/>
        <v>7488</v>
      </c>
      <c r="HP47" s="222">
        <f t="shared" si="480"/>
        <v>3.6923076923076925</v>
      </c>
      <c r="HQ47" s="223">
        <f t="shared" si="481"/>
        <v>11.076923076923077</v>
      </c>
      <c r="HR47" s="243">
        <f t="shared" si="482"/>
        <v>8.3076923076923084</v>
      </c>
      <c r="HS47" s="218">
        <f t="shared" si="483"/>
        <v>23.07692307692308</v>
      </c>
      <c r="HT47" s="252">
        <f t="shared" si="484"/>
        <v>0</v>
      </c>
      <c r="HU47" s="309">
        <f t="shared" si="485"/>
        <v>23.07692307692308</v>
      </c>
      <c r="HV47" s="218">
        <f t="shared" si="515"/>
        <v>173.5384615384616</v>
      </c>
      <c r="HW47" s="242">
        <f t="shared" si="515"/>
        <v>0</v>
      </c>
      <c r="HX47" s="243">
        <f t="shared" si="486"/>
        <v>173.5384615384616</v>
      </c>
      <c r="HY47" s="218">
        <f t="shared" si="487"/>
        <v>0</v>
      </c>
      <c r="IA47" s="303" t="s">
        <v>41</v>
      </c>
      <c r="IB47" s="243" t="s">
        <v>94</v>
      </c>
      <c r="IC47" s="218" t="s">
        <v>132</v>
      </c>
      <c r="ID47" s="237"/>
      <c r="IE47" s="234">
        <f t="shared" si="488"/>
        <v>12</v>
      </c>
      <c r="IF47" s="234">
        <f t="shared" si="489"/>
        <v>12</v>
      </c>
      <c r="IG47" s="234"/>
      <c r="IH47" s="234"/>
      <c r="II47" s="234"/>
      <c r="IJ47" s="234"/>
      <c r="IK47" s="224"/>
      <c r="IL47" s="222">
        <f>(IE47+IE47+IF47)/3</f>
        <v>12</v>
      </c>
      <c r="IM47" s="223">
        <f t="shared" si="490"/>
        <v>24</v>
      </c>
      <c r="IN47" s="224">
        <f t="shared" si="491"/>
        <v>36</v>
      </c>
      <c r="IO47" s="237">
        <f>IE47*POWER(INslave,SIGN(IF47))*POWER(KLslave,SIGN(IE47))+IE47*POWER(INslave,SIGN(IF47))*POWER(KLslave,SIGN(IE47))+IF47*POWER(KLslave,SIGN(IE47))*POWER(KLslave,SIGN(IE47))</f>
        <v>2304</v>
      </c>
      <c r="IP47" s="234">
        <f>IE47*IE47*INslave+IE47*KLslave*IF47+KLslave*IE47*IF47</f>
        <v>3456</v>
      </c>
      <c r="IQ47" s="224">
        <f>IE47*IE47*IF47</f>
        <v>1728</v>
      </c>
      <c r="IR47" s="242">
        <f t="shared" si="516"/>
        <v>7488</v>
      </c>
      <c r="IS47" s="222">
        <f t="shared" si="492"/>
        <v>3.6923076923076925</v>
      </c>
      <c r="IT47" s="223">
        <f t="shared" si="493"/>
        <v>11.076923076923077</v>
      </c>
      <c r="IU47" s="243">
        <f t="shared" si="494"/>
        <v>8.3076923076923084</v>
      </c>
      <c r="IV47" s="218">
        <f t="shared" si="495"/>
        <v>23.07692307692308</v>
      </c>
      <c r="IW47" s="252">
        <f t="shared" si="496"/>
        <v>0</v>
      </c>
      <c r="IX47" s="309">
        <f t="shared" si="497"/>
        <v>23.07692307692308</v>
      </c>
      <c r="IY47" s="218">
        <f t="shared" si="517"/>
        <v>173.5384615384616</v>
      </c>
      <c r="IZ47" s="242">
        <f t="shared" si="517"/>
        <v>0</v>
      </c>
      <c r="JA47" s="243">
        <f t="shared" si="498"/>
        <v>173.5384615384616</v>
      </c>
      <c r="JB47" s="218">
        <f t="shared" si="499"/>
        <v>0</v>
      </c>
      <c r="JE47" s="148"/>
    </row>
    <row r="48" spans="2:265" hidden="1" outlineLevel="2">
      <c r="B48" s="148">
        <v>5</v>
      </c>
      <c r="C48" s="303" t="e">
        <f>VLOOKUP(AF48,Attribute!C:T,1,FALSE)</f>
        <v>#N/A</v>
      </c>
      <c r="D48" s="167" t="s">
        <v>95</v>
      </c>
      <c r="E48" s="125" t="s">
        <v>132</v>
      </c>
      <c r="F48" s="114">
        <f>Konvention_1master-MUmaster</f>
        <v>12</v>
      </c>
      <c r="G48" s="113">
        <f t="shared" si="393"/>
        <v>12</v>
      </c>
      <c r="H48" s="113">
        <f t="shared" si="394"/>
        <v>12</v>
      </c>
      <c r="I48" s="113"/>
      <c r="J48" s="113"/>
      <c r="K48" s="113"/>
      <c r="L48" s="113"/>
      <c r="M48" s="119"/>
      <c r="N48" s="222">
        <f>(F48+G48+H48+I48+J48+K48+L48+M48)/3</f>
        <v>12</v>
      </c>
      <c r="O48" s="223">
        <f t="shared" si="395"/>
        <v>24</v>
      </c>
      <c r="P48" s="224">
        <f t="shared" si="396"/>
        <v>36</v>
      </c>
      <c r="Q48" s="237">
        <f>F48*POWER(KLmaster,SIGN(G48))*POWER(INmaster,SIGN(H48))*POWER(CHmaster,SIGN(I48))*POWER(FFmaster,SIGN(J48))*POWER(GEmaster,SIGN(K48))*POWER(KOmaster,SIGN(L48))*POWER(KKmaster,SIGN(M48))+G48*POWER(MUmaster,SIGN(F48))*POWER(INmaster,SIGN(H48))*POWER(CHmaster,SIGN(I48))*POWER(FFmaster,SIGN(J48))*POWER(GEmaster,SIGN(K48))*POWER(KOmaster,SIGN(L48))*POWER(KKmaster,SIGN(M48))+H48*POWER(MUmaster,SIGN(F48))*POWER(KLmaster,SIGN(G48))*POWER(CHmaster,SIGN(I48))*POWER(FFmaster,SIGN(J48))*POWER(GEmaster,SIGN(K48))*POWER(KOmaster,SIGN(L48))*POWER(KKmaster,SIGN(M48))+I48*POWER(MUmaster,SIGN(F48))*POWER(KLmaster,SIGN(G48))*POWER(INmaster,SIGN(H48))*POWER(FFmaster,SIGN(J48))*POWER(GEmaster,SIGN(K48))*POWER(KOmaster,SIGN(L48))*POWER(KKmaster,SIGN(M48))+J48*POWER(MUmaster,SIGN(F48))*POWER(KLmaster,SIGN(G48))*POWER(INmaster,SIGN(H48))*POWER(CHmaster,SIGN(I48))*POWER(GEmaster,SIGN(K48))*POWER(KOmaster,SIGN(L48))*POWER(KKmaster,SIGN(M48))+K48*POWER(MUmaster,SIGN(F48))*POWER(KLmaster,SIGN(G48))*POWER(INmaster,SIGN(H48))*POWER(CHmaster,SIGN(I48))*POWER(FFmaster,SIGN(J48))*POWER(KOmaster,SIGN(L48))*POWER(KKmaster,SIGN(M48))+L48*POWER(MUmaster,SIGN(F48))*POWER(KLmaster,SIGN(G48))*POWER(INmaster,SIGN(H48))*POWER(CHmaster,SIGN(I48))*POWER(FFmaster,SIGN(J48))*POWER(GEmaster,SIGN(K48))*POWER(KKmaster,SIGN(M48))+M48*POWER(MUmaster,SIGN(F48))*POWER(KLmaster,SIGN(G48))*POWER(INmaster,SIGN(H48))*POWER(CHmaster,SIGN(I48))*POWER(FFmaster,SIGN(J48))*POWER(GEmaster,SIGN(K48))*POWER(KOmaster,SIGN(L48))</f>
        <v>2304</v>
      </c>
      <c r="R48" s="113">
        <f>F48*G48*INmaster+F48*KLmaster*H48+MUmaster*G48*H48</f>
        <v>3456</v>
      </c>
      <c r="S48" s="224">
        <f>IFERROR(F48^SIGN(F48),1)*IFERROR(G48^SIGN(G48),1)*IFERROR(H48^SIGN(H48),1)*IFERROR(I48^SIGN(I48),1)*IFERROR(J48^SIGN(J48),1)*IFERROR(K48^SIGN(K48),1)*IFERROR(L48^SIGN(L48),1)*IFERROR(M48^SIGN(M48),1)</f>
        <v>1728</v>
      </c>
      <c r="T48" s="242">
        <f t="shared" si="500"/>
        <v>7488</v>
      </c>
      <c r="U48" s="222">
        <f t="shared" si="397"/>
        <v>3.6923076923076925</v>
      </c>
      <c r="V48" s="223">
        <f t="shared" si="398"/>
        <v>11.076923076923077</v>
      </c>
      <c r="W48" s="243">
        <f t="shared" si="399"/>
        <v>8.3076923076923084</v>
      </c>
      <c r="X48" s="218">
        <f t="shared" si="400"/>
        <v>23.07692307692308</v>
      </c>
      <c r="Y48" s="252">
        <v>0</v>
      </c>
      <c r="Z48" s="198">
        <f t="shared" si="401"/>
        <v>23.07692307692308</v>
      </c>
      <c r="AA48" s="125">
        <f t="shared" si="501"/>
        <v>173.5384615384616</v>
      </c>
      <c r="AB48" s="160">
        <f t="shared" si="501"/>
        <v>0</v>
      </c>
      <c r="AC48" s="127">
        <f t="shared" si="402"/>
        <v>173.5384615384616</v>
      </c>
      <c r="AD48" s="125">
        <f t="shared" si="403"/>
        <v>0</v>
      </c>
      <c r="AF48" s="163" t="s">
        <v>42</v>
      </c>
      <c r="AG48" s="127" t="s">
        <v>95</v>
      </c>
      <c r="AH48" s="125" t="s">
        <v>132</v>
      </c>
      <c r="AI48" s="114">
        <f>Konvention_1slave-MUslave_MU</f>
        <v>11</v>
      </c>
      <c r="AJ48" s="113">
        <f t="shared" si="404"/>
        <v>12</v>
      </c>
      <c r="AK48" s="113">
        <f t="shared" si="405"/>
        <v>12</v>
      </c>
      <c r="AL48" s="113"/>
      <c r="AM48" s="113"/>
      <c r="AN48" s="113"/>
      <c r="AO48" s="113"/>
      <c r="AP48" s="119"/>
      <c r="AQ48" s="89">
        <f>(AI48+AJ48+AK48+AL48+AM48+AN48+AO48+AP48)/3</f>
        <v>11.666666666666666</v>
      </c>
      <c r="AR48" s="47">
        <f t="shared" si="406"/>
        <v>23.333333333333332</v>
      </c>
      <c r="AS48" s="119">
        <f t="shared" si="407"/>
        <v>35</v>
      </c>
      <c r="AT48" s="114">
        <f>AI48*POWER(KLslave,SIGN(AJ48))*POWER(INslave,SIGN(AK48))*POWER(CHslave,SIGN(AL48))*POWER(FFslave,SIGN(AM48))*POWER(GEslave,SIGN(AN48))*POWER(KOslave,SIGN(AO48))*POWER(KKslave,SIGN(AP48))+AJ48*POWER(MUslave_MU,SIGN(AI48))*POWER(INslave,SIGN(AK48))*POWER(CHslave,SIGN(AL48))*POWER(FFslave,SIGN(AM48))*POWER(GEslave,SIGN(AN48))*POWER(KOslave,SIGN(AO48))*POWER(KKslave,SIGN(AP48))+AK48*POWER(MUslave_MU,SIGN(AI48))*POWER(KLslave,SIGN(AJ48))*POWER(CHslave,SIGN(AL48))*POWER(FFslave,SIGN(AM48))*POWER(GEslave,SIGN(AN48))*POWER(KOslave,SIGN(AO48))*POWER(KKslave,SIGN(AP48))+AL48*POWER(MUslave_MU,SIGN(AI48))*POWER(KLslave,SIGN(AJ48))*POWER(INslave,SIGN(AK48))*POWER(FFslave,SIGN(AM48))*POWER(GEslave,SIGN(AN48))*POWER(KOslave,SIGN(AO48))*POWER(KKslave,SIGN(AP48))+AM48*POWER(MUslave_MU,SIGN(AI48))*POWER(KLslave,SIGN(AJ48))*POWER(INslave,SIGN(AK48))*POWER(CHslave,SIGN(AL48))*POWER(GEslave,SIGN(AN48))*POWER(KOslave,SIGN(AO48))*POWER(KKslave,SIGN(AP48))+AN48*POWER(MUslave_MU,SIGN(AI48))*POWER(KLslave,SIGN(AJ48))*POWER(INslave,SIGN(AK48))*POWER(CHslave,SIGN(AL48))*POWER(FFslave,SIGN(AM48))*POWER(KOslave,SIGN(AO48))*POWER(KKslave,SIGN(AP48))+AO48*POWER(MUslave_MU,SIGN(AI48))*POWER(KLslave,SIGN(AJ48))*POWER(INslave,SIGN(AK48))*POWER(CHslave,SIGN(AL48))*POWER(FFslave,SIGN(AM48))*POWER(GEslave,SIGN(AN48))*POWER(KKslave,SIGN(AP48))+AP48*POWER(MUslave_MU,SIGN(AI48))*POWER(KLslave,SIGN(AJ48))*POWER(INslave,SIGN(AK48))*POWER(CHslave,SIGN(AL48))*POWER(FFslave,SIGN(AM48))*POWER(GEslave,SIGN(AN48))*POWER(KOslave,SIGN(AO48))</f>
        <v>2432</v>
      </c>
      <c r="AU48" s="113">
        <f>AI48*AJ48*INslave+AI48*KLslave*AK48+MUslave_MU*AJ48*AK48</f>
        <v>3408</v>
      </c>
      <c r="AV48" s="119">
        <f>IFERROR(AI48^SIGN(AI48),1)*IFERROR(AJ48^SIGN(AJ48),1)*IFERROR(AK48^SIGN(AK48),1)*IFERROR(AL48^SIGN(AL48),1)*IFERROR(AM48^SIGN(AM48),1)*IFERROR(AN48^SIGN(AN48),1)*IFERROR(AO48^SIGN(AO48),1)*IFERROR(AP48^SIGN(AP48),1)</f>
        <v>1584</v>
      </c>
      <c r="AW48" s="160">
        <f t="shared" si="502"/>
        <v>7424</v>
      </c>
      <c r="AX48" s="89">
        <f t="shared" si="408"/>
        <v>3.8218390804597702</v>
      </c>
      <c r="AY48" s="47">
        <f t="shared" si="409"/>
        <v>10.711206896551724</v>
      </c>
      <c r="AZ48" s="127">
        <f t="shared" si="410"/>
        <v>7.4676724137931032</v>
      </c>
      <c r="BA48" s="125">
        <f t="shared" si="411"/>
        <v>22.000718390804597</v>
      </c>
      <c r="BB48" s="165">
        <f t="shared" si="412"/>
        <v>0</v>
      </c>
      <c r="BC48" s="198">
        <f t="shared" si="413"/>
        <v>22.000718390804597</v>
      </c>
      <c r="BD48" s="125">
        <f t="shared" si="503"/>
        <v>152.01436781609189</v>
      </c>
      <c r="BE48" s="160">
        <f t="shared" si="503"/>
        <v>0</v>
      </c>
      <c r="BF48" s="243">
        <f t="shared" si="414"/>
        <v>152.01436781609189</v>
      </c>
      <c r="BG48" s="218">
        <f t="shared" si="415"/>
        <v>0</v>
      </c>
      <c r="BI48" s="303" t="s">
        <v>42</v>
      </c>
      <c r="BJ48" s="243" t="s">
        <v>95</v>
      </c>
      <c r="BK48" s="218" t="s">
        <v>132</v>
      </c>
      <c r="BL48" s="237">
        <f>Konvention_1slave-MUslave</f>
        <v>12</v>
      </c>
      <c r="BM48" s="234">
        <f t="shared" si="416"/>
        <v>11</v>
      </c>
      <c r="BN48" s="234">
        <f t="shared" si="417"/>
        <v>12</v>
      </c>
      <c r="BO48" s="234"/>
      <c r="BP48" s="234"/>
      <c r="BQ48" s="234"/>
      <c r="BR48" s="234"/>
      <c r="BS48" s="224"/>
      <c r="BT48" s="222">
        <f>(BL48+BM48+BN48+BO48+BP48+BQ48+BR48+BS48)/3</f>
        <v>11.666666666666666</v>
      </c>
      <c r="BU48" s="223">
        <f t="shared" si="418"/>
        <v>23.333333333333332</v>
      </c>
      <c r="BV48" s="224">
        <f t="shared" si="419"/>
        <v>35</v>
      </c>
      <c r="BW48" s="237">
        <f>BL48*POWER(KLslave_KL,SIGN(BM48))*POWER(INslave,SIGN(BN48))*POWER(CHslave,SIGN(BO48))*POWER(FFslave,SIGN(BP48))*POWER(GEslave,SIGN(BQ48))*POWER(KOslave,SIGN(BR48))*POWER(KKslave,SIGN(BS48))+BM48*POWER(MUslave,SIGN(BL48))*POWER(INslave,SIGN(BN48))*POWER(CHslave,SIGN(BO48))*POWER(FFslave,SIGN(BP48))*POWER(GEslave,SIGN(BQ48))*POWER(KOslave,SIGN(BR48))*POWER(KKslave,SIGN(BS48))+BN48*POWER(MUslave,SIGN(BL48))*POWER(KLslave_KL,SIGN(BM48))*POWER(CHslave,SIGN(BO48))*POWER(FFslave,SIGN(BP48))*POWER(GEslave,SIGN(BQ48))*POWER(KOslave,SIGN(BR48))*POWER(KKslave,SIGN(BS48))+BO48*POWER(MUslave,SIGN(BL48))*POWER(KLslave_KL,SIGN(BM48))*POWER(INslave,SIGN(BN48))*POWER(FFslave,SIGN(BP48))*POWER(GEslave,SIGN(BQ48))*POWER(KOslave,SIGN(BR48))*POWER(KKslave,SIGN(BS48))+BP48*POWER(MUslave,SIGN(BL48))*POWER(KLslave_KL,SIGN(BM48))*POWER(INslave,SIGN(BN48))*POWER(CHslave,SIGN(BO48))*POWER(GEslave,SIGN(BQ48))*POWER(KOslave,SIGN(BR48))*POWER(KKslave,SIGN(BS48))+BQ48*POWER(MUslave,SIGN(BL48))*POWER(KLslave_KL,SIGN(BM48))*POWER(INslave,SIGN(BN48))*POWER(CHslave,SIGN(BO48))*POWER(FFslave,SIGN(BP48))*POWER(KOslave,SIGN(BR48))*POWER(KKslave,SIGN(BS48))+BR48*POWER(MUslave,SIGN(BL48))*POWER(KLslave_KL,SIGN(BM48))*POWER(INslave,SIGN(BN48))*POWER(CHslave,SIGN(BO48))*POWER(FFslave,SIGN(BP48))*POWER(GEslave,SIGN(BQ48))*POWER(KKslave,SIGN(BS48))+BS48*POWER(MUslave,SIGN(BL48))*POWER(KLslave_KL,SIGN(BM48))*POWER(INslave,SIGN(BN48))*POWER(CHslave,SIGN(BO48))*POWER(FFslave,SIGN(BP48))*POWER(GEslave,SIGN(BQ48))*POWER(KOslave,SIGN(BR48))</f>
        <v>2432</v>
      </c>
      <c r="BX48" s="234">
        <f>BL48*BM48*INslave+BL48*KLslave_KL*BN48+MUslave*BM48*BN48</f>
        <v>3408</v>
      </c>
      <c r="BY48" s="224">
        <f>IFERROR(BL48^SIGN(BL48),1)*IFERROR(BM48^SIGN(BM48),1)*IFERROR(BN48^SIGN(BN48),1)*IFERROR(BO48^SIGN(BO48),1)*IFERROR(BP48^SIGN(BP48),1)*IFERROR(BQ48^SIGN(BQ48),1)*IFERROR(BR48^SIGN(BR48),1)*IFERROR(BS48^SIGN(BS48),1)</f>
        <v>1584</v>
      </c>
      <c r="BZ48" s="242">
        <f t="shared" si="504"/>
        <v>7424</v>
      </c>
      <c r="CA48" s="222">
        <f t="shared" si="420"/>
        <v>3.8218390804597702</v>
      </c>
      <c r="CB48" s="223">
        <f t="shared" si="421"/>
        <v>10.711206896551724</v>
      </c>
      <c r="CC48" s="243">
        <f t="shared" si="422"/>
        <v>7.4676724137931032</v>
      </c>
      <c r="CD48" s="218">
        <f t="shared" si="423"/>
        <v>22.000718390804597</v>
      </c>
      <c r="CE48" s="252">
        <f t="shared" si="424"/>
        <v>0</v>
      </c>
      <c r="CF48" s="309">
        <f t="shared" si="425"/>
        <v>22.000718390804597</v>
      </c>
      <c r="CG48" s="218">
        <f t="shared" si="505"/>
        <v>152.01436781609189</v>
      </c>
      <c r="CH48" s="242">
        <f t="shared" si="505"/>
        <v>0</v>
      </c>
      <c r="CI48" s="243">
        <f t="shared" si="426"/>
        <v>152.01436781609189</v>
      </c>
      <c r="CJ48" s="218">
        <f t="shared" si="427"/>
        <v>0</v>
      </c>
      <c r="CL48" s="303" t="s">
        <v>42</v>
      </c>
      <c r="CM48" s="243" t="s">
        <v>95</v>
      </c>
      <c r="CN48" s="218" t="s">
        <v>132</v>
      </c>
      <c r="CO48" s="237">
        <f>Konvention_1slave-MUslave</f>
        <v>12</v>
      </c>
      <c r="CP48" s="234">
        <f t="shared" si="428"/>
        <v>12</v>
      </c>
      <c r="CQ48" s="234">
        <f t="shared" si="429"/>
        <v>11</v>
      </c>
      <c r="CR48" s="234"/>
      <c r="CS48" s="234"/>
      <c r="CT48" s="234"/>
      <c r="CU48" s="234"/>
      <c r="CV48" s="224"/>
      <c r="CW48" s="222">
        <f>(CO48+CP48+CQ48+CR48+CS48+CT48+CU48+CV48)/3</f>
        <v>11.666666666666666</v>
      </c>
      <c r="CX48" s="223">
        <f t="shared" si="430"/>
        <v>23.333333333333332</v>
      </c>
      <c r="CY48" s="224">
        <f t="shared" si="431"/>
        <v>35</v>
      </c>
      <c r="CZ48" s="237">
        <f>CO48*POWER(KLslave,SIGN(CP48))*POWER(INslave_IN,SIGN(CQ48))*POWER(CHslave,SIGN(CR48))*POWER(FFslave,SIGN(CS48))*POWER(GEslave,SIGN(CT48))*POWER(KOslave,SIGN(CU48))*POWER(KKslave,SIGN(CV48))+CP48*POWER(MUslave,SIGN(CO48))*POWER(INslave_IN,SIGN(CQ48))*POWER(CHslave,SIGN(CR48))*POWER(FFslave,SIGN(CS48))*POWER(GEslave,SIGN(CT48))*POWER(KOslave,SIGN(CU48))*POWER(KKslave,SIGN(CV48))+CQ48*POWER(MUslave,SIGN(CO48))*POWER(KLslave,SIGN(CP48))*POWER(CHslave,SIGN(CR48))*POWER(FFslave,SIGN(CS48))*POWER(GEslave,SIGN(CT48))*POWER(KOslave,SIGN(CU48))*POWER(KKslave,SIGN(CV48))+CR48*POWER(MUslave,SIGN(CO48))*POWER(KLslave,SIGN(CP48))*POWER(INslave_IN,SIGN(CQ48))*POWER(FFslave,SIGN(CS48))*POWER(GEslave,SIGN(CT48))*POWER(KOslave,SIGN(CU48))*POWER(KKslave,SIGN(CV48))+CS48*POWER(MUslave,SIGN(CO48))*POWER(KLslave,SIGN(CP48))*POWER(INslave_IN,SIGN(CQ48))*POWER(CHslave,SIGN(CR48))*POWER(GEslave,SIGN(CT48))*POWER(KOslave,SIGN(CU48))*POWER(KKslave,SIGN(CV48))+CT48*POWER(MUslave,SIGN(CO48))*POWER(KLslave,SIGN(CP48))*POWER(INslave_IN,SIGN(CQ48))*POWER(CHslave,SIGN(CR48))*POWER(FFslave,SIGN(CS48))*POWER(KOslave,SIGN(CU48))*POWER(KKslave,SIGN(CV48))+CU48*POWER(MUslave,SIGN(CO48))*POWER(KLslave,SIGN(CP48))*POWER(INslave_IN,SIGN(CQ48))*POWER(CHslave,SIGN(CR48))*POWER(FFslave,SIGN(CS48))*POWER(GEslave,SIGN(CT48))*POWER(KKslave,SIGN(CV48))+CV48*POWER(MUslave,SIGN(CO48))*POWER(KLslave,SIGN(CP48))*POWER(INslave_IN,SIGN(CQ48))*POWER(CHslave,SIGN(CR48))*POWER(FFslave,SIGN(CS48))*POWER(GEslave,SIGN(CT48))*POWER(KOslave,SIGN(CU48))</f>
        <v>2432</v>
      </c>
      <c r="DA48" s="234">
        <f>CO48*CP48*INslave_IN+CO48*KLslave*CQ48+MUslave*CP48*CQ48</f>
        <v>3408</v>
      </c>
      <c r="DB48" s="224">
        <f>IFERROR(CO48^SIGN(CO48),1)*IFERROR(CP48^SIGN(CP48),1)*IFERROR(CQ48^SIGN(CQ48),1)*IFERROR(CR48^SIGN(CR48),1)*IFERROR(CS48^SIGN(CS48),1)*IFERROR(CT48^SIGN(CT48),1)*IFERROR(CU48^SIGN(CU48),1)*IFERROR(CV48^SIGN(CV48),1)</f>
        <v>1584</v>
      </c>
      <c r="DC48" s="242">
        <f t="shared" si="506"/>
        <v>7424</v>
      </c>
      <c r="DD48" s="222">
        <f t="shared" si="432"/>
        <v>3.8218390804597702</v>
      </c>
      <c r="DE48" s="223">
        <f t="shared" si="433"/>
        <v>10.711206896551724</v>
      </c>
      <c r="DF48" s="243">
        <f t="shared" si="434"/>
        <v>7.4676724137931032</v>
      </c>
      <c r="DG48" s="218">
        <f t="shared" si="435"/>
        <v>22.000718390804597</v>
      </c>
      <c r="DH48" s="252">
        <f t="shared" si="436"/>
        <v>0</v>
      </c>
      <c r="DI48" s="309">
        <f t="shared" si="437"/>
        <v>22.000718390804597</v>
      </c>
      <c r="DJ48" s="218">
        <f t="shared" si="507"/>
        <v>152.01436781609189</v>
      </c>
      <c r="DK48" s="242">
        <f t="shared" si="507"/>
        <v>0</v>
      </c>
      <c r="DL48" s="243">
        <f t="shared" si="438"/>
        <v>152.01436781609189</v>
      </c>
      <c r="DM48" s="218">
        <f t="shared" si="439"/>
        <v>0</v>
      </c>
      <c r="DO48" s="303" t="s">
        <v>42</v>
      </c>
      <c r="DP48" s="243" t="s">
        <v>95</v>
      </c>
      <c r="DQ48" s="218" t="s">
        <v>132</v>
      </c>
      <c r="DR48" s="237">
        <f>Konvention_1slave-MUslave</f>
        <v>12</v>
      </c>
      <c r="DS48" s="234">
        <f t="shared" si="440"/>
        <v>12</v>
      </c>
      <c r="DT48" s="234">
        <f t="shared" si="441"/>
        <v>12</v>
      </c>
      <c r="DU48" s="234"/>
      <c r="DV48" s="234"/>
      <c r="DW48" s="234"/>
      <c r="DX48" s="234"/>
      <c r="DY48" s="224"/>
      <c r="DZ48" s="222">
        <f>(DR48+DS48+DT48+DU48+DV48+DW48+DX48+DY48)/3</f>
        <v>12</v>
      </c>
      <c r="EA48" s="223">
        <f t="shared" si="442"/>
        <v>24</v>
      </c>
      <c r="EB48" s="224">
        <f t="shared" si="443"/>
        <v>36</v>
      </c>
      <c r="EC48" s="237">
        <f>DR48*POWER(KLslave,SIGN(DS48))*POWER(INslave,SIGN(DT48))*POWER(CHslave_CH,SIGN(DU48))*POWER(FFslave,SIGN(DV48))*POWER(GEslave,SIGN(DW48))*POWER(KOslave,SIGN(DX48))*POWER(KKslave,SIGN(DY48))+DS48*POWER(MUslave,SIGN(DR48))*POWER(INslave,SIGN(DT48))*POWER(CHslave_CH,SIGN(DU48))*POWER(FFslave,SIGN(DV48))*POWER(GEslave,SIGN(DW48))*POWER(KOslave,SIGN(DX48))*POWER(KKslave,SIGN(DY48))+DT48*POWER(MUslave,SIGN(DR48))*POWER(KLslave,SIGN(DS48))*POWER(CHslave_CH,SIGN(DU48))*POWER(FFslave,SIGN(DV48))*POWER(GEslave,SIGN(DW48))*POWER(KOslave,SIGN(DX48))*POWER(KKslave,SIGN(DY48))+DU48*POWER(MUslave,SIGN(DR48))*POWER(KLslave,SIGN(DS48))*POWER(INslave,SIGN(DT48))*POWER(FFslave,SIGN(DV48))*POWER(GEslave,SIGN(DW48))*POWER(KOslave,SIGN(DX48))*POWER(KKslave,SIGN(DY48))+DV48*POWER(MUslave,SIGN(DR48))*POWER(KLslave,SIGN(DS48))*POWER(INslave,SIGN(DT48))*POWER(CHslave_CH,SIGN(DU48))*POWER(GEslave,SIGN(DW48))*POWER(KOslave,SIGN(DX48))*POWER(KKslave,SIGN(DY48))+DW48*POWER(MUslave,SIGN(DR48))*POWER(KLslave,SIGN(DS48))*POWER(INslave,SIGN(DT48))*POWER(CHslave_CH,SIGN(DU48))*POWER(FFslave,SIGN(DV48))*POWER(KOslave,SIGN(DX48))*POWER(KKslave,SIGN(DY48))+DX48*POWER(MUslave,SIGN(DR48))*POWER(KLslave,SIGN(DS48))*POWER(INslave,SIGN(DT48))*POWER(CHslave_CH,SIGN(DU48))*POWER(FFslave,SIGN(DV48))*POWER(GEslave,SIGN(DW48))*POWER(KKslave,SIGN(DY48))+DY48*POWER(MUslave,SIGN(DR48))*POWER(KLslave,SIGN(DS48))*POWER(INslave,SIGN(DT48))*POWER(CHslave_CH,SIGN(DU48))*POWER(FFslave,SIGN(DV48))*POWER(GEslave,SIGN(DW48))*POWER(KOslave,SIGN(DX48))</f>
        <v>2304</v>
      </c>
      <c r="ED48" s="234">
        <f>DR48*DS48*INslave+DR48*KLslave*DT48+MUslave*DS48*DT48</f>
        <v>3456</v>
      </c>
      <c r="EE48" s="224">
        <f>IFERROR(DR48^SIGN(DR48),1)*IFERROR(DS48^SIGN(DS48),1)*IFERROR(DT48^SIGN(DT48),1)*IFERROR(DU48^SIGN(DU48),1)*IFERROR(DV48^SIGN(DV48),1)*IFERROR(DW48^SIGN(DW48),1)*IFERROR(DX48^SIGN(DX48),1)*IFERROR(DY48^SIGN(DY48),1)</f>
        <v>1728</v>
      </c>
      <c r="EF48" s="242">
        <f t="shared" si="508"/>
        <v>7488</v>
      </c>
      <c r="EG48" s="222">
        <f t="shared" si="444"/>
        <v>3.6923076923076925</v>
      </c>
      <c r="EH48" s="223">
        <f t="shared" si="445"/>
        <v>11.076923076923077</v>
      </c>
      <c r="EI48" s="243">
        <f t="shared" si="446"/>
        <v>8.3076923076923084</v>
      </c>
      <c r="EJ48" s="218">
        <f t="shared" si="447"/>
        <v>23.07692307692308</v>
      </c>
      <c r="EK48" s="252">
        <f t="shared" si="448"/>
        <v>0</v>
      </c>
      <c r="EL48" s="309">
        <f t="shared" si="449"/>
        <v>23.07692307692308</v>
      </c>
      <c r="EM48" s="218">
        <f t="shared" si="509"/>
        <v>173.5384615384616</v>
      </c>
      <c r="EN48" s="242">
        <f t="shared" si="509"/>
        <v>0</v>
      </c>
      <c r="EO48" s="243">
        <f t="shared" si="450"/>
        <v>173.5384615384616</v>
      </c>
      <c r="EP48" s="218">
        <f t="shared" si="451"/>
        <v>0</v>
      </c>
      <c r="ER48" s="303" t="s">
        <v>42</v>
      </c>
      <c r="ES48" s="243" t="s">
        <v>95</v>
      </c>
      <c r="ET48" s="218" t="s">
        <v>132</v>
      </c>
      <c r="EU48" s="237">
        <f>Konvention_1slave-MUslave</f>
        <v>12</v>
      </c>
      <c r="EV48" s="234">
        <f t="shared" si="452"/>
        <v>12</v>
      </c>
      <c r="EW48" s="234">
        <f t="shared" si="453"/>
        <v>12</v>
      </c>
      <c r="EX48" s="234"/>
      <c r="EY48" s="234"/>
      <c r="EZ48" s="234"/>
      <c r="FA48" s="234"/>
      <c r="FB48" s="224"/>
      <c r="FC48" s="222">
        <f>(EU48+EV48+EW48+EX48+EY48+EZ48+FA48+FB48)/3</f>
        <v>12</v>
      </c>
      <c r="FD48" s="223">
        <f t="shared" si="454"/>
        <v>24</v>
      </c>
      <c r="FE48" s="224">
        <f t="shared" si="455"/>
        <v>36</v>
      </c>
      <c r="FF48" s="237">
        <f>EU48*POWER(KLslave,SIGN(EV48))*POWER(INslave,SIGN(EW48))*POWER(CHslave,SIGN(EX48))*POWER(FFslave_FF,SIGN(EY48))*POWER(GEslave,SIGN(EZ48))*POWER(KOslave,SIGN(FA48))*POWER(KKslave,SIGN(FB48))+EV48*POWER(MUslave,SIGN(EU48))*POWER(INslave,SIGN(EW48))*POWER(CHslave,SIGN(EX48))*POWER(FFslave_FF,SIGN(EY48))*POWER(GEslave,SIGN(EZ48))*POWER(KOslave,SIGN(FA48))*POWER(KKslave,SIGN(FB48))+EW48*POWER(MUslave,SIGN(EU48))*POWER(KLslave,SIGN(EV48))*POWER(CHslave,SIGN(EX48))*POWER(FFslave_FF,SIGN(EY48))*POWER(GEslave,SIGN(EZ48))*POWER(KOslave,SIGN(FA48))*POWER(KKslave,SIGN(FB48))+EX48*POWER(MUslave,SIGN(EU48))*POWER(KLslave,SIGN(EV48))*POWER(INslave,SIGN(EW48))*POWER(FFslave_FF,SIGN(EY48))*POWER(GEslave,SIGN(EZ48))*POWER(KOslave,SIGN(FA48))*POWER(KKslave,SIGN(FB48))+EY48*POWER(MUslave,SIGN(EU48))*POWER(KLslave,SIGN(EV48))*POWER(INslave,SIGN(EW48))*POWER(CHslave,SIGN(EX48))*POWER(GEslave,SIGN(EZ48))*POWER(KOslave,SIGN(FA48))*POWER(KKslave,SIGN(FB48))+EZ48*POWER(MUslave,SIGN(EU48))*POWER(KLslave,SIGN(EV48))*POWER(INslave,SIGN(EW48))*POWER(CHslave,SIGN(EX48))*POWER(FFslave_FF,SIGN(EY48))*POWER(KOslave,SIGN(FA48))*POWER(KKslave,SIGN(FB48))+FA48*POWER(MUslave,SIGN(EU48))*POWER(KLslave,SIGN(EV48))*POWER(INslave,SIGN(EW48))*POWER(CHslave,SIGN(EX48))*POWER(FFslave_FF,SIGN(EY48))*POWER(GEslave,SIGN(EZ48))*POWER(KKslave,SIGN(FB48))+FB48*POWER(MUslave,SIGN(EU48))*POWER(KLslave,SIGN(EV48))*POWER(INslave,SIGN(EW48))*POWER(CHslave,SIGN(EX48))*POWER(FFslave_FF,SIGN(EY48))*POWER(GEslave,SIGN(EZ48))*POWER(KOslave,SIGN(FA48))</f>
        <v>2304</v>
      </c>
      <c r="FG48" s="234">
        <f>EU48*EV48*INslave+EU48*KLslave*EW48+MUslave*EV48*EW48</f>
        <v>3456</v>
      </c>
      <c r="FH48" s="224">
        <f>IFERROR(EU48^SIGN(EU48),1)*IFERROR(EV48^SIGN(EV48),1)*IFERROR(EW48^SIGN(EW48),1)*IFERROR(EX48^SIGN(EX48),1)*IFERROR(EY48^SIGN(EY48),1)*IFERROR(EZ48^SIGN(EZ48),1)*IFERROR(FA48^SIGN(FA48),1)*IFERROR(FB48^SIGN(FB48),1)</f>
        <v>1728</v>
      </c>
      <c r="FI48" s="242">
        <f t="shared" si="510"/>
        <v>7488</v>
      </c>
      <c r="FJ48" s="222">
        <f t="shared" si="456"/>
        <v>3.6923076923076925</v>
      </c>
      <c r="FK48" s="223">
        <f t="shared" si="457"/>
        <v>11.076923076923077</v>
      </c>
      <c r="FL48" s="243">
        <f t="shared" si="458"/>
        <v>8.3076923076923084</v>
      </c>
      <c r="FM48" s="218">
        <f t="shared" si="459"/>
        <v>23.07692307692308</v>
      </c>
      <c r="FN48" s="252">
        <f t="shared" si="460"/>
        <v>0</v>
      </c>
      <c r="FO48" s="309">
        <f t="shared" si="461"/>
        <v>23.07692307692308</v>
      </c>
      <c r="FP48" s="218">
        <f t="shared" si="511"/>
        <v>173.5384615384616</v>
      </c>
      <c r="FQ48" s="242">
        <f t="shared" si="511"/>
        <v>0</v>
      </c>
      <c r="FR48" s="243">
        <f t="shared" si="462"/>
        <v>173.5384615384616</v>
      </c>
      <c r="FS48" s="218">
        <f t="shared" si="463"/>
        <v>0</v>
      </c>
      <c r="FU48" s="303" t="s">
        <v>42</v>
      </c>
      <c r="FV48" s="243" t="s">
        <v>95</v>
      </c>
      <c r="FW48" s="218" t="s">
        <v>132</v>
      </c>
      <c r="FX48" s="237">
        <f>Konvention_1slave-MUslave</f>
        <v>12</v>
      </c>
      <c r="FY48" s="234">
        <f t="shared" si="464"/>
        <v>12</v>
      </c>
      <c r="FZ48" s="234">
        <f t="shared" si="465"/>
        <v>12</v>
      </c>
      <c r="GA48" s="234"/>
      <c r="GB48" s="234"/>
      <c r="GC48" s="234"/>
      <c r="GD48" s="234"/>
      <c r="GE48" s="224"/>
      <c r="GF48" s="222">
        <f>(FX48+FY48+FZ48+GA48+GB48+GC48+GD48+GE48)/3</f>
        <v>12</v>
      </c>
      <c r="GG48" s="223">
        <f t="shared" si="466"/>
        <v>24</v>
      </c>
      <c r="GH48" s="224">
        <f t="shared" si="467"/>
        <v>36</v>
      </c>
      <c r="GI48" s="237">
        <f>FX48*POWER(KLslave,SIGN(FY48))*POWER(INslave,SIGN(FZ48))*POWER(CHslave,SIGN(GA48))*POWER(FFslave,SIGN(GB48))*POWER(GEslave_GE,SIGN(GC48))*POWER(KOslave,SIGN(GD48))*POWER(KKslave,SIGN(GE48))+FY48*POWER(MUslave,SIGN(FX48))*POWER(INslave,SIGN(FZ48))*POWER(CHslave,SIGN(GA48))*POWER(FFslave,SIGN(GB48))*POWER(GEslave_GE,SIGN(GC48))*POWER(KOslave,SIGN(GD48))*POWER(KKslave,SIGN(GE48))+FZ48*POWER(MUslave,SIGN(FX48))*POWER(KLslave,SIGN(FY48))*POWER(CHslave,SIGN(GA48))*POWER(FFslave,SIGN(GB48))*POWER(GEslave_GE,SIGN(GC48))*POWER(KOslave,SIGN(GD48))*POWER(KKslave,SIGN(GE48))+GA48*POWER(MUslave,SIGN(FX48))*POWER(KLslave,SIGN(FY48))*POWER(INslave,SIGN(FZ48))*POWER(FFslave,SIGN(GB48))*POWER(GEslave_GE,SIGN(GC48))*POWER(KOslave,SIGN(GD48))*POWER(KKslave,SIGN(GE48))+GB48*POWER(MUslave,SIGN(FX48))*POWER(KLslave,SIGN(FY48))*POWER(INslave,SIGN(FZ48))*POWER(CHslave,SIGN(GA48))*POWER(GEslave_GE,SIGN(GC48))*POWER(KOslave,SIGN(GD48))*POWER(KKslave,SIGN(GE48))+GC48*POWER(MUslave,SIGN(FX48))*POWER(KLslave,SIGN(FY48))*POWER(INslave,SIGN(FZ48))*POWER(CHslave,SIGN(GA48))*POWER(FFslave,SIGN(GB48))*POWER(KOslave,SIGN(GD48))*POWER(KKslave,SIGN(GE48))+GD48*POWER(MUslave,SIGN(FX48))*POWER(KLslave,SIGN(FY48))*POWER(INslave,SIGN(FZ48))*POWER(CHslave,SIGN(GA48))*POWER(FFslave,SIGN(GB48))*POWER(GEslave_GE,SIGN(GC48))*POWER(KKslave,SIGN(GE48))+GE48*POWER(MUslave,SIGN(FX48))*POWER(KLslave,SIGN(FY48))*POWER(INslave,SIGN(FZ48))*POWER(CHslave,SIGN(GA48))*POWER(FFslave,SIGN(GB48))*POWER(GEslave_GE,SIGN(GC48))*POWER(KOslave,SIGN(GD48))</f>
        <v>2304</v>
      </c>
      <c r="GJ48" s="234">
        <f>FX48*FY48*INslave+FX48*KLslave*FZ48+MUslave*FY48*FZ48</f>
        <v>3456</v>
      </c>
      <c r="GK48" s="224">
        <f>IFERROR(FX48^SIGN(FX48),1)*IFERROR(FY48^SIGN(FY48),1)*IFERROR(FZ48^SIGN(FZ48),1)*IFERROR(GA48^SIGN(GA48),1)*IFERROR(GB48^SIGN(GB48),1)*IFERROR(GC48^SIGN(GC48),1)*IFERROR(GD48^SIGN(GD48),1)*IFERROR(GE48^SIGN(GE48),1)</f>
        <v>1728</v>
      </c>
      <c r="GL48" s="242">
        <f t="shared" si="512"/>
        <v>7488</v>
      </c>
      <c r="GM48" s="222">
        <f t="shared" si="468"/>
        <v>3.6923076923076925</v>
      </c>
      <c r="GN48" s="223">
        <f t="shared" si="469"/>
        <v>11.076923076923077</v>
      </c>
      <c r="GO48" s="243">
        <f t="shared" si="470"/>
        <v>8.3076923076923084</v>
      </c>
      <c r="GP48" s="218">
        <f t="shared" si="471"/>
        <v>23.07692307692308</v>
      </c>
      <c r="GQ48" s="252">
        <f t="shared" si="472"/>
        <v>0</v>
      </c>
      <c r="GR48" s="309">
        <f t="shared" si="473"/>
        <v>23.07692307692308</v>
      </c>
      <c r="GS48" s="218">
        <f t="shared" si="513"/>
        <v>173.5384615384616</v>
      </c>
      <c r="GT48" s="242">
        <f t="shared" si="513"/>
        <v>0</v>
      </c>
      <c r="GU48" s="243">
        <f t="shared" si="474"/>
        <v>173.5384615384616</v>
      </c>
      <c r="GV48" s="218">
        <f t="shared" si="475"/>
        <v>0</v>
      </c>
      <c r="GX48" s="303" t="s">
        <v>42</v>
      </c>
      <c r="GY48" s="243" t="s">
        <v>95</v>
      </c>
      <c r="GZ48" s="218" t="s">
        <v>132</v>
      </c>
      <c r="HA48" s="237">
        <f>Konvention_1slave-MUslave</f>
        <v>12</v>
      </c>
      <c r="HB48" s="234">
        <f t="shared" si="476"/>
        <v>12</v>
      </c>
      <c r="HC48" s="234">
        <f t="shared" si="477"/>
        <v>12</v>
      </c>
      <c r="HD48" s="234"/>
      <c r="HE48" s="234"/>
      <c r="HF48" s="234"/>
      <c r="HG48" s="234"/>
      <c r="HH48" s="224"/>
      <c r="HI48" s="222">
        <f>(HA48+HB48+HC48+HD48+HE48+HF48+HG48+HH48)/3</f>
        <v>12</v>
      </c>
      <c r="HJ48" s="223">
        <f t="shared" si="478"/>
        <v>24</v>
      </c>
      <c r="HK48" s="224">
        <f t="shared" si="479"/>
        <v>36</v>
      </c>
      <c r="HL48" s="237">
        <f>HA48*POWER(KLslave,SIGN(HB48))*POWER(INslave,SIGN(HC48))*POWER(CHslave,SIGN(HD48))*POWER(FFslave,SIGN(HE48))*POWER(GEslave,SIGN(HF48))*POWER(KOslave_KO,SIGN(HG48))*POWER(KKslave,SIGN(HH48))+HB48*POWER(MUslave,SIGN(HA48))*POWER(INslave,SIGN(HC48))*POWER(CHslave,SIGN(HD48))*POWER(FFslave,SIGN(HE48))*POWER(GEslave,SIGN(HF48))*POWER(KOslave_KO,SIGN(HG48))*POWER(KKslave,SIGN(HH48))+HC48*POWER(MUslave,SIGN(HA48))*POWER(KLslave,SIGN(HB48))*POWER(CHslave,SIGN(HD48))*POWER(FFslave,SIGN(HE48))*POWER(GEslave,SIGN(HF48))*POWER(KOslave_KO,SIGN(HG48))*POWER(KKslave,SIGN(HH48))+HD48*POWER(MUslave,SIGN(HA48))*POWER(KLslave,SIGN(HB48))*POWER(INslave,SIGN(HC48))*POWER(FFslave,SIGN(HE48))*POWER(GEslave,SIGN(HF48))*POWER(KOslave_KO,SIGN(HG48))*POWER(KKslave,SIGN(HH48))+HE48*POWER(MUslave,SIGN(HA48))*POWER(KLslave,SIGN(HB48))*POWER(INslave,SIGN(HC48))*POWER(CHslave,SIGN(HD48))*POWER(GEslave,SIGN(HF48))*POWER(KOslave_KO,SIGN(HG48))*POWER(KKslave,SIGN(HH48))+HF48*POWER(MUslave,SIGN(HA48))*POWER(KLslave,SIGN(HB48))*POWER(INslave,SIGN(HC48))*POWER(CHslave,SIGN(HD48))*POWER(FFslave,SIGN(HE48))*POWER(KOslave_KO,SIGN(HG48))*POWER(KKslave,SIGN(HH48))+HG48*POWER(MUslave,SIGN(HA48))*POWER(KLslave,SIGN(HB48))*POWER(INslave,SIGN(HC48))*POWER(CHslave,SIGN(HD48))*POWER(FFslave,SIGN(HE48))*POWER(GEslave,SIGN(HF48))*POWER(KKslave,SIGN(HH48))+HH48*POWER(MUslave,SIGN(HA48))*POWER(KLslave,SIGN(HB48))*POWER(INslave,SIGN(HC48))*POWER(CHslave,SIGN(HD48))*POWER(FFslave,SIGN(HE48))*POWER(GEslave,SIGN(HF48))*POWER(KOslave_KO,SIGN(HG48))</f>
        <v>2304</v>
      </c>
      <c r="HM48" s="234">
        <f>HA48*HB48*INslave+HA48*KLslave*HC48+MUslave*HB48*HC48</f>
        <v>3456</v>
      </c>
      <c r="HN48" s="224">
        <f>IFERROR(HA48^SIGN(HA48),1)*IFERROR(HB48^SIGN(HB48),1)*IFERROR(HC48^SIGN(HC48),1)*IFERROR(HD48^SIGN(HD48),1)*IFERROR(HE48^SIGN(HE48),1)*IFERROR(HF48^SIGN(HF48),1)*IFERROR(HG48^SIGN(HG48),1)*IFERROR(HH48^SIGN(HH48),1)</f>
        <v>1728</v>
      </c>
      <c r="HO48" s="242">
        <f t="shared" si="514"/>
        <v>7488</v>
      </c>
      <c r="HP48" s="222">
        <f t="shared" si="480"/>
        <v>3.6923076923076925</v>
      </c>
      <c r="HQ48" s="223">
        <f t="shared" si="481"/>
        <v>11.076923076923077</v>
      </c>
      <c r="HR48" s="243">
        <f t="shared" si="482"/>
        <v>8.3076923076923084</v>
      </c>
      <c r="HS48" s="218">
        <f t="shared" si="483"/>
        <v>23.07692307692308</v>
      </c>
      <c r="HT48" s="252">
        <f t="shared" si="484"/>
        <v>0</v>
      </c>
      <c r="HU48" s="309">
        <f t="shared" si="485"/>
        <v>23.07692307692308</v>
      </c>
      <c r="HV48" s="218">
        <f t="shared" si="515"/>
        <v>173.5384615384616</v>
      </c>
      <c r="HW48" s="242">
        <f t="shared" si="515"/>
        <v>0</v>
      </c>
      <c r="HX48" s="243">
        <f t="shared" si="486"/>
        <v>173.5384615384616</v>
      </c>
      <c r="HY48" s="218">
        <f t="shared" si="487"/>
        <v>0</v>
      </c>
      <c r="IA48" s="303" t="s">
        <v>42</v>
      </c>
      <c r="IB48" s="243" t="s">
        <v>95</v>
      </c>
      <c r="IC48" s="218" t="s">
        <v>132</v>
      </c>
      <c r="ID48" s="237">
        <f>Konvention_1slave-MUslave</f>
        <v>12</v>
      </c>
      <c r="IE48" s="234">
        <f t="shared" si="488"/>
        <v>12</v>
      </c>
      <c r="IF48" s="234">
        <f t="shared" si="489"/>
        <v>12</v>
      </c>
      <c r="IG48" s="234"/>
      <c r="IH48" s="234"/>
      <c r="II48" s="234"/>
      <c r="IJ48" s="234"/>
      <c r="IK48" s="224"/>
      <c r="IL48" s="222">
        <f>(ID48+IE48+IF48+IG48+IH48+II48+IJ48+IK48)/3</f>
        <v>12</v>
      </c>
      <c r="IM48" s="223">
        <f t="shared" si="490"/>
        <v>24</v>
      </c>
      <c r="IN48" s="224">
        <f t="shared" si="491"/>
        <v>36</v>
      </c>
      <c r="IO48" s="237">
        <f>ID48*POWER(KLslave,SIGN(IE48))*POWER(INslave,SIGN(IF48))*POWER(CHslave,SIGN(IG48))*POWER(FFslave,SIGN(IH48))*POWER(GEslave,SIGN(II48))*POWER(KOslave,SIGN(IJ48))*POWER(KKslave_KK,SIGN(IK48))+IE48*POWER(MUslave,SIGN(ID48))*POWER(INslave,SIGN(IF48))*POWER(CHslave,SIGN(IG48))*POWER(FFslave,SIGN(IH48))*POWER(GEslave,SIGN(II48))*POWER(KOslave,SIGN(IJ48))*POWER(KKslave_KK,SIGN(IK48))+IF48*POWER(MUslave,SIGN(ID48))*POWER(KLslave,SIGN(IE48))*POWER(CHslave,SIGN(IG48))*POWER(FFslave,SIGN(IH48))*POWER(GEslave,SIGN(II48))*POWER(KOslave,SIGN(IJ48))*POWER(KKslave_KK,SIGN(IK48))+IG48*POWER(MUslave,SIGN(ID48))*POWER(KLslave,SIGN(IE48))*POWER(INslave,SIGN(IF48))*POWER(FFslave,SIGN(IH48))*POWER(GEslave,SIGN(II48))*POWER(KOslave,SIGN(IJ48))*POWER(KKslave_KK,SIGN(IK48))+IH48*POWER(MUslave,SIGN(ID48))*POWER(KLslave,SIGN(IE48))*POWER(INslave,SIGN(IF48))*POWER(CHslave,SIGN(IG48))*POWER(GEslave,SIGN(II48))*POWER(KOslave,SIGN(IJ48))*POWER(KKslave_KK,SIGN(IK48))+II48*POWER(MUslave,SIGN(ID48))*POWER(KLslave,SIGN(IE48))*POWER(INslave,SIGN(IF48))*POWER(CHslave,SIGN(IG48))*POWER(FFslave,SIGN(IH48))*POWER(KOslave,SIGN(IJ48))*POWER(KKslave_KK,SIGN(IK48))+IJ48*POWER(MUslave,SIGN(ID48))*POWER(KLslave,SIGN(IE48))*POWER(INslave,SIGN(IF48))*POWER(CHslave,SIGN(IG48))*POWER(FFslave,SIGN(IH48))*POWER(GEslave,SIGN(II48))*POWER(KKslave_KK,SIGN(IK48))+IK48*POWER(MUslave,SIGN(ID48))*POWER(KLslave,SIGN(IE48))*POWER(INslave,SIGN(IF48))*POWER(CHslave,SIGN(IG48))*POWER(FFslave,SIGN(IH48))*POWER(GEslave,SIGN(II48))*POWER(KOslave,SIGN(IJ48))</f>
        <v>2304</v>
      </c>
      <c r="IP48" s="234">
        <f>ID48*IE48*INslave+ID48*KLslave*IF48+MUslave*IE48*IF48</f>
        <v>3456</v>
      </c>
      <c r="IQ48" s="224">
        <f>IFERROR(ID48^SIGN(ID48),1)*IFERROR(IE48^SIGN(IE48),1)*IFERROR(IF48^SIGN(IF48),1)*IFERROR(IG48^SIGN(IG48),1)*IFERROR(IH48^SIGN(IH48),1)*IFERROR(II48^SIGN(II48),1)*IFERROR(IJ48^SIGN(IJ48),1)*IFERROR(IK48^SIGN(IK48),1)</f>
        <v>1728</v>
      </c>
      <c r="IR48" s="242">
        <f t="shared" si="516"/>
        <v>7488</v>
      </c>
      <c r="IS48" s="222">
        <f t="shared" si="492"/>
        <v>3.6923076923076925</v>
      </c>
      <c r="IT48" s="223">
        <f t="shared" si="493"/>
        <v>11.076923076923077</v>
      </c>
      <c r="IU48" s="243">
        <f t="shared" si="494"/>
        <v>8.3076923076923084</v>
      </c>
      <c r="IV48" s="218">
        <f t="shared" si="495"/>
        <v>23.07692307692308</v>
      </c>
      <c r="IW48" s="252">
        <f t="shared" si="496"/>
        <v>0</v>
      </c>
      <c r="IX48" s="309">
        <f t="shared" si="497"/>
        <v>23.07692307692308</v>
      </c>
      <c r="IY48" s="218">
        <f t="shared" si="517"/>
        <v>173.5384615384616</v>
      </c>
      <c r="IZ48" s="242">
        <f t="shared" si="517"/>
        <v>0</v>
      </c>
      <c r="JA48" s="243">
        <f t="shared" si="498"/>
        <v>173.5384615384616</v>
      </c>
      <c r="JB48" s="218">
        <f t="shared" si="499"/>
        <v>0</v>
      </c>
      <c r="JE48" s="148"/>
    </row>
    <row r="49" spans="2:265" hidden="1" outlineLevel="2">
      <c r="B49" s="148">
        <v>6</v>
      </c>
      <c r="C49" s="303" t="e">
        <f>VLOOKUP(AF49,Attribute!C:T,1,FALSE)</f>
        <v>#N/A</v>
      </c>
      <c r="D49" s="127" t="s">
        <v>94</v>
      </c>
      <c r="E49" s="125" t="s">
        <v>135</v>
      </c>
      <c r="F49" s="114"/>
      <c r="G49" s="113">
        <f t="shared" si="393"/>
        <v>12</v>
      </c>
      <c r="H49" s="113">
        <f t="shared" si="394"/>
        <v>12</v>
      </c>
      <c r="I49" s="113"/>
      <c r="J49" s="113"/>
      <c r="K49" s="113"/>
      <c r="L49" s="113"/>
      <c r="M49" s="119"/>
      <c r="N49" s="222">
        <f>(G49+G49+H49)/3</f>
        <v>12</v>
      </c>
      <c r="O49" s="223">
        <f t="shared" si="395"/>
        <v>24</v>
      </c>
      <c r="P49" s="224">
        <f t="shared" si="396"/>
        <v>36</v>
      </c>
      <c r="Q49" s="237">
        <f>G49*POWER(INmaster,SIGN(H49))*POWER(KLmaster,SIGN(G49))+G49*POWER(INmaster,SIGN(H49))*POWER(KLmaster,SIGN(G49))+H49*POWER(KLmaster,SIGN(G49))*POWER(KLmaster,SIGN(G49))</f>
        <v>2304</v>
      </c>
      <c r="R49" s="113">
        <f>G49*G49*INmaster+G49*KLmaster*H49+KLmaster*G49*H49</f>
        <v>3456</v>
      </c>
      <c r="S49" s="224">
        <f>G49*G49*H49</f>
        <v>1728</v>
      </c>
      <c r="T49" s="242">
        <f t="shared" si="500"/>
        <v>7488</v>
      </c>
      <c r="U49" s="222">
        <f t="shared" si="397"/>
        <v>3.6923076923076925</v>
      </c>
      <c r="V49" s="223">
        <f t="shared" si="398"/>
        <v>11.076923076923077</v>
      </c>
      <c r="W49" s="243">
        <f t="shared" si="399"/>
        <v>8.3076923076923084</v>
      </c>
      <c r="X49" s="218">
        <f t="shared" si="400"/>
        <v>23.07692307692308</v>
      </c>
      <c r="Y49" s="252">
        <v>0</v>
      </c>
      <c r="Z49" s="198">
        <f t="shared" si="401"/>
        <v>23.07692307692308</v>
      </c>
      <c r="AA49" s="125">
        <f>IF(X49&gt;0,X49,0)*3+IF(X49&gt;12,X49-12,0)*3+IF(X49&gt;13,X49-13,0)*3+IF(X49&gt;14,X49-14,0)*3+IF(X49&gt;15,X49-15,0)*3+IF(X49&gt;16,X49-16,0)*3+IF(X49&gt;17,X49-17,0)*3+IF(X49&gt;18,X49-18,0)*3+IF(X49&gt;19,X49-19,0)*3+IF(X49&gt;20,X49-20,0)*3</f>
        <v>260.30769230769232</v>
      </c>
      <c r="AB49" s="160">
        <f>IF(Y49&gt;0,Y49,0)*3+IF(Y49&gt;12,Y49-12,0)*3+IF(Y49&gt;13,Y49-13,0)*3+IF(Y49&gt;14,Y49-14,0)*3+IF(Y49&gt;15,Y49-15,0)*3+IF(Y49&gt;16,Y49-16,0)*3+IF(Y49&gt;17,Y49-17,0)*3+IF(Y49&gt;18,Y49-18,0)*3+IF(Y49&gt;19,Y49-19,0)*3+IF(Y49&gt;20,Y49-20,0)*3</f>
        <v>0</v>
      </c>
      <c r="AC49" s="127">
        <f t="shared" si="402"/>
        <v>260.30769230769232</v>
      </c>
      <c r="AD49" s="125">
        <f t="shared" si="403"/>
        <v>0</v>
      </c>
      <c r="AF49" s="163" t="s">
        <v>43</v>
      </c>
      <c r="AG49" s="127" t="s">
        <v>94</v>
      </c>
      <c r="AH49" s="125" t="s">
        <v>135</v>
      </c>
      <c r="AI49" s="114"/>
      <c r="AJ49" s="113">
        <f t="shared" si="404"/>
        <v>12</v>
      </c>
      <c r="AK49" s="113">
        <f t="shared" si="405"/>
        <v>12</v>
      </c>
      <c r="AL49" s="113"/>
      <c r="AM49" s="113"/>
      <c r="AN49" s="113"/>
      <c r="AO49" s="113"/>
      <c r="AP49" s="119"/>
      <c r="AQ49" s="89">
        <f>(AJ49+AJ49+AK49)/3</f>
        <v>12</v>
      </c>
      <c r="AR49" s="47">
        <f t="shared" si="406"/>
        <v>24</v>
      </c>
      <c r="AS49" s="119">
        <f t="shared" si="407"/>
        <v>36</v>
      </c>
      <c r="AT49" s="114">
        <f>AJ49*POWER(INslave,SIGN(AK49))*POWER(KLslave,SIGN(AJ49))+AJ49*POWER(INslave,SIGN(AK49))*POWER(KLslave,SIGN(AJ49))+AK49*POWER(KLslave,SIGN(AJ49))*POWER(KLslave,SIGN(AJ49))</f>
        <v>2304</v>
      </c>
      <c r="AU49" s="113">
        <f>AJ49*AJ49*INslave+AJ49*KLslave*AK49+KLslave*AJ49*AK49</f>
        <v>3456</v>
      </c>
      <c r="AV49" s="119">
        <f>AJ49*AJ49*AK49</f>
        <v>1728</v>
      </c>
      <c r="AW49" s="160">
        <f t="shared" si="502"/>
        <v>7488</v>
      </c>
      <c r="AX49" s="89">
        <f t="shared" si="408"/>
        <v>3.6923076923076925</v>
      </c>
      <c r="AY49" s="47">
        <f t="shared" si="409"/>
        <v>11.076923076923077</v>
      </c>
      <c r="AZ49" s="127">
        <f t="shared" si="410"/>
        <v>8.3076923076923084</v>
      </c>
      <c r="BA49" s="125">
        <f t="shared" si="411"/>
        <v>23.07692307692308</v>
      </c>
      <c r="BB49" s="165">
        <f t="shared" si="412"/>
        <v>0</v>
      </c>
      <c r="BC49" s="198">
        <f t="shared" si="413"/>
        <v>23.07692307692308</v>
      </c>
      <c r="BD49" s="125">
        <f>IF(BA49&gt;0,BA49,0)*3+IF(BA49&gt;12,BA49-12,0)*3+IF(BA49&gt;13,BA49-13,0)*3+IF(BA49&gt;14,BA49-14,0)*3+IF(BA49&gt;15,BA49-15,0)*3+IF(BA49&gt;16,BA49-16,0)*3+IF(BA49&gt;17,BA49-17,0)*3+IF(BA49&gt;18,BA49-18,0)*3+IF(BA49&gt;19,BA49-19,0)*3+IF(BA49&gt;20,BA49-20,0)*3</f>
        <v>260.30769230769232</v>
      </c>
      <c r="BE49" s="160">
        <f>IF(BB49&gt;0,BB49,0)*3+IF(BB49&gt;12,BB49-12,0)*3+IF(BB49&gt;13,BB49-13,0)*3+IF(BB49&gt;14,BB49-14,0)*3+IF(BB49&gt;15,BB49-15,0)*3+IF(BB49&gt;16,BB49-16,0)*3+IF(BB49&gt;17,BB49-17,0)*3+IF(BB49&gt;18,BB49-18,0)*3+IF(BB49&gt;19,BB49-19,0)*3+IF(BB49&gt;20,BB49-20,0)*3</f>
        <v>0</v>
      </c>
      <c r="BF49" s="243">
        <f t="shared" si="414"/>
        <v>260.30769230769232</v>
      </c>
      <c r="BG49" s="218">
        <f t="shared" si="415"/>
        <v>0</v>
      </c>
      <c r="BI49" s="303" t="s">
        <v>43</v>
      </c>
      <c r="BJ49" s="243" t="s">
        <v>94</v>
      </c>
      <c r="BK49" s="218" t="s">
        <v>135</v>
      </c>
      <c r="BL49" s="237"/>
      <c r="BM49" s="234">
        <f t="shared" si="416"/>
        <v>11</v>
      </c>
      <c r="BN49" s="234">
        <f t="shared" si="417"/>
        <v>12</v>
      </c>
      <c r="BO49" s="234"/>
      <c r="BP49" s="234"/>
      <c r="BQ49" s="234"/>
      <c r="BR49" s="234"/>
      <c r="BS49" s="224"/>
      <c r="BT49" s="222">
        <f>(BM49+BM49+BN49)/3</f>
        <v>11.333333333333334</v>
      </c>
      <c r="BU49" s="223">
        <f t="shared" si="418"/>
        <v>22.666666666666668</v>
      </c>
      <c r="BV49" s="224">
        <f t="shared" si="419"/>
        <v>34</v>
      </c>
      <c r="BW49" s="237">
        <f>BM49*POWER(INslave,SIGN(BN49))*POWER(KLslave_KL,SIGN(BM49))+BM49*POWER(INslave,SIGN(BN49))*POWER(KLslave_KL,SIGN(BM49))+BN49*POWER(KLslave_KL,SIGN(BM49))*POWER(KLslave_KL,SIGN(BM49))</f>
        <v>2556</v>
      </c>
      <c r="BX49" s="234">
        <f>BM49*BM49*INslave+BM49*KLslave_KL*BN49+KLslave_KL*BM49*BN49</f>
        <v>3344</v>
      </c>
      <c r="BY49" s="224">
        <f>BM49*BM49*BN49</f>
        <v>1452</v>
      </c>
      <c r="BZ49" s="242">
        <f t="shared" si="504"/>
        <v>7352</v>
      </c>
      <c r="CA49" s="222">
        <f t="shared" si="420"/>
        <v>3.940152339499456</v>
      </c>
      <c r="CB49" s="223">
        <f t="shared" si="421"/>
        <v>10.309756982227059</v>
      </c>
      <c r="CC49" s="243">
        <f t="shared" si="422"/>
        <v>6.714907508161045</v>
      </c>
      <c r="CD49" s="218">
        <f t="shared" si="423"/>
        <v>20.96481682988756</v>
      </c>
      <c r="CE49" s="252">
        <f t="shared" si="424"/>
        <v>0</v>
      </c>
      <c r="CF49" s="309">
        <f t="shared" si="425"/>
        <v>20.96481682988756</v>
      </c>
      <c r="CG49" s="218">
        <f>IF(CD49&gt;0,CD49,0)*3+IF(CD49&gt;12,CD49-12,0)*3+IF(CD49&gt;13,CD49-13,0)*3+IF(CD49&gt;14,CD49-14,0)*3+IF(CD49&gt;15,CD49-15,0)*3+IF(CD49&gt;16,CD49-16,0)*3+IF(CD49&gt;17,CD49-17,0)*3+IF(CD49&gt;18,CD49-18,0)*3+IF(CD49&gt;19,CD49-19,0)*3+IF(CD49&gt;20,CD49-20,0)*3</f>
        <v>196.94450489662685</v>
      </c>
      <c r="CH49" s="242">
        <f>IF(CE49&gt;0,CE49,0)*3+IF(CE49&gt;12,CE49-12,0)*3+IF(CE49&gt;13,CE49-13,0)*3+IF(CE49&gt;14,CE49-14,0)*3+IF(CE49&gt;15,CE49-15,0)*3+IF(CE49&gt;16,CE49-16,0)*3+IF(CE49&gt;17,CE49-17,0)*3+IF(CE49&gt;18,CE49-18,0)*3+IF(CE49&gt;19,CE49-19,0)*3+IF(CE49&gt;20,CE49-20,0)*3</f>
        <v>0</v>
      </c>
      <c r="CI49" s="243">
        <f t="shared" si="426"/>
        <v>196.94450489662685</v>
      </c>
      <c r="CJ49" s="218">
        <f t="shared" si="427"/>
        <v>0</v>
      </c>
      <c r="CL49" s="303" t="s">
        <v>43</v>
      </c>
      <c r="CM49" s="243" t="s">
        <v>94</v>
      </c>
      <c r="CN49" s="218" t="s">
        <v>135</v>
      </c>
      <c r="CO49" s="237"/>
      <c r="CP49" s="234">
        <f t="shared" si="428"/>
        <v>12</v>
      </c>
      <c r="CQ49" s="234">
        <f t="shared" si="429"/>
        <v>11</v>
      </c>
      <c r="CR49" s="234"/>
      <c r="CS49" s="234"/>
      <c r="CT49" s="234"/>
      <c r="CU49" s="234"/>
      <c r="CV49" s="224"/>
      <c r="CW49" s="222">
        <f>(CP49+CP49+CQ49)/3</f>
        <v>11.666666666666666</v>
      </c>
      <c r="CX49" s="223">
        <f t="shared" si="430"/>
        <v>23.333333333333332</v>
      </c>
      <c r="CY49" s="224">
        <f t="shared" si="431"/>
        <v>35</v>
      </c>
      <c r="CZ49" s="237">
        <f>CP49*POWER(INslave_IN,SIGN(CQ49))*POWER(KLslave,SIGN(CP49))+CP49*POWER(INslave_IN,SIGN(CQ49))*POWER(KLslave,SIGN(CP49))+CQ49*POWER(KLslave,SIGN(CP49))*POWER(KLslave,SIGN(CP49))</f>
        <v>2432</v>
      </c>
      <c r="DA49" s="234">
        <f>CP49*CP49*INslave_IN+CP49*KLslave*CQ49+KLslave*CP49*CQ49</f>
        <v>3408</v>
      </c>
      <c r="DB49" s="224">
        <f>CP49*CP49*CQ49</f>
        <v>1584</v>
      </c>
      <c r="DC49" s="242">
        <f t="shared" si="506"/>
        <v>7424</v>
      </c>
      <c r="DD49" s="222">
        <f t="shared" si="432"/>
        <v>3.8218390804597702</v>
      </c>
      <c r="DE49" s="223">
        <f t="shared" si="433"/>
        <v>10.711206896551724</v>
      </c>
      <c r="DF49" s="243">
        <f t="shared" si="434"/>
        <v>7.4676724137931032</v>
      </c>
      <c r="DG49" s="218">
        <f t="shared" si="435"/>
        <v>22.000718390804597</v>
      </c>
      <c r="DH49" s="252">
        <f t="shared" si="436"/>
        <v>0</v>
      </c>
      <c r="DI49" s="309">
        <f t="shared" si="437"/>
        <v>22.000718390804597</v>
      </c>
      <c r="DJ49" s="218">
        <f>IF(DG49&gt;0,DG49,0)*3+IF(DG49&gt;12,DG49-12,0)*3+IF(DG49&gt;13,DG49-13,0)*3+IF(DG49&gt;14,DG49-14,0)*3+IF(DG49&gt;15,DG49-15,0)*3+IF(DG49&gt;16,DG49-16,0)*3+IF(DG49&gt;17,DG49-17,0)*3+IF(DG49&gt;18,DG49-18,0)*3+IF(DG49&gt;19,DG49-19,0)*3+IF(DG49&gt;20,DG49-20,0)*3</f>
        <v>228.02155172413785</v>
      </c>
      <c r="DK49" s="242">
        <f>IF(DH49&gt;0,DH49,0)*3+IF(DH49&gt;12,DH49-12,0)*3+IF(DH49&gt;13,DH49-13,0)*3+IF(DH49&gt;14,DH49-14,0)*3+IF(DH49&gt;15,DH49-15,0)*3+IF(DH49&gt;16,DH49-16,0)*3+IF(DH49&gt;17,DH49-17,0)*3+IF(DH49&gt;18,DH49-18,0)*3+IF(DH49&gt;19,DH49-19,0)*3+IF(DH49&gt;20,DH49-20,0)*3</f>
        <v>0</v>
      </c>
      <c r="DL49" s="243">
        <f t="shared" si="438"/>
        <v>228.02155172413785</v>
      </c>
      <c r="DM49" s="218">
        <f t="shared" si="439"/>
        <v>0</v>
      </c>
      <c r="DO49" s="303" t="s">
        <v>43</v>
      </c>
      <c r="DP49" s="243" t="s">
        <v>94</v>
      </c>
      <c r="DQ49" s="218" t="s">
        <v>135</v>
      </c>
      <c r="DR49" s="237"/>
      <c r="DS49" s="234">
        <f t="shared" si="440"/>
        <v>12</v>
      </c>
      <c r="DT49" s="234">
        <f t="shared" si="441"/>
        <v>12</v>
      </c>
      <c r="DU49" s="234"/>
      <c r="DV49" s="234"/>
      <c r="DW49" s="234"/>
      <c r="DX49" s="234"/>
      <c r="DY49" s="224"/>
      <c r="DZ49" s="222">
        <f>(DS49+DS49+DT49)/3</f>
        <v>12</v>
      </c>
      <c r="EA49" s="223">
        <f t="shared" si="442"/>
        <v>24</v>
      </c>
      <c r="EB49" s="224">
        <f t="shared" si="443"/>
        <v>36</v>
      </c>
      <c r="EC49" s="237">
        <f>DS49*POWER(INslave,SIGN(DT49))*POWER(KLslave,SIGN(DS49))+DS49*POWER(INslave,SIGN(DT49))*POWER(KLslave,SIGN(DS49))+DT49*POWER(KLslave,SIGN(DS49))*POWER(KLslave,SIGN(DS49))</f>
        <v>2304</v>
      </c>
      <c r="ED49" s="234">
        <f>DS49*DS49*INslave+DS49*KLslave*DT49+KLslave*DS49*DT49</f>
        <v>3456</v>
      </c>
      <c r="EE49" s="224">
        <f>DS49*DS49*DT49</f>
        <v>1728</v>
      </c>
      <c r="EF49" s="242">
        <f t="shared" si="508"/>
        <v>7488</v>
      </c>
      <c r="EG49" s="222">
        <f t="shared" si="444"/>
        <v>3.6923076923076925</v>
      </c>
      <c r="EH49" s="223">
        <f t="shared" si="445"/>
        <v>11.076923076923077</v>
      </c>
      <c r="EI49" s="243">
        <f t="shared" si="446"/>
        <v>8.3076923076923084</v>
      </c>
      <c r="EJ49" s="218">
        <f t="shared" si="447"/>
        <v>23.07692307692308</v>
      </c>
      <c r="EK49" s="252">
        <f t="shared" si="448"/>
        <v>0</v>
      </c>
      <c r="EL49" s="309">
        <f t="shared" si="449"/>
        <v>23.07692307692308</v>
      </c>
      <c r="EM49" s="218">
        <f>IF(EJ49&gt;0,EJ49,0)*3+IF(EJ49&gt;12,EJ49-12,0)*3+IF(EJ49&gt;13,EJ49-13,0)*3+IF(EJ49&gt;14,EJ49-14,0)*3+IF(EJ49&gt;15,EJ49-15,0)*3+IF(EJ49&gt;16,EJ49-16,0)*3+IF(EJ49&gt;17,EJ49-17,0)*3+IF(EJ49&gt;18,EJ49-18,0)*3+IF(EJ49&gt;19,EJ49-19,0)*3+IF(EJ49&gt;20,EJ49-20,0)*3</f>
        <v>260.30769230769232</v>
      </c>
      <c r="EN49" s="242">
        <f>IF(EK49&gt;0,EK49,0)*3+IF(EK49&gt;12,EK49-12,0)*3+IF(EK49&gt;13,EK49-13,0)*3+IF(EK49&gt;14,EK49-14,0)*3+IF(EK49&gt;15,EK49-15,0)*3+IF(EK49&gt;16,EK49-16,0)*3+IF(EK49&gt;17,EK49-17,0)*3+IF(EK49&gt;18,EK49-18,0)*3+IF(EK49&gt;19,EK49-19,0)*3+IF(EK49&gt;20,EK49-20,0)*3</f>
        <v>0</v>
      </c>
      <c r="EO49" s="243">
        <f t="shared" si="450"/>
        <v>260.30769230769232</v>
      </c>
      <c r="EP49" s="218">
        <f t="shared" si="451"/>
        <v>0</v>
      </c>
      <c r="ER49" s="303" t="s">
        <v>43</v>
      </c>
      <c r="ES49" s="243" t="s">
        <v>94</v>
      </c>
      <c r="ET49" s="218" t="s">
        <v>135</v>
      </c>
      <c r="EU49" s="237"/>
      <c r="EV49" s="234">
        <f t="shared" si="452"/>
        <v>12</v>
      </c>
      <c r="EW49" s="234">
        <f t="shared" si="453"/>
        <v>12</v>
      </c>
      <c r="EX49" s="234"/>
      <c r="EY49" s="234"/>
      <c r="EZ49" s="234"/>
      <c r="FA49" s="234"/>
      <c r="FB49" s="224"/>
      <c r="FC49" s="222">
        <f>(EV49+EV49+EW49)/3</f>
        <v>12</v>
      </c>
      <c r="FD49" s="223">
        <f t="shared" si="454"/>
        <v>24</v>
      </c>
      <c r="FE49" s="224">
        <f t="shared" si="455"/>
        <v>36</v>
      </c>
      <c r="FF49" s="237">
        <f>EV49*POWER(INslave,SIGN(EW49))*POWER(KLslave,SIGN(EV49))+EV49*POWER(INslave,SIGN(EW49))*POWER(KLslave,SIGN(EV49))+EW49*POWER(KLslave,SIGN(EV49))*POWER(KLslave,SIGN(EV49))</f>
        <v>2304</v>
      </c>
      <c r="FG49" s="234">
        <f>EV49*EV49*INslave+EV49*KLslave*EW49+KLslave*EV49*EW49</f>
        <v>3456</v>
      </c>
      <c r="FH49" s="224">
        <f>EV49*EV49*EW49</f>
        <v>1728</v>
      </c>
      <c r="FI49" s="242">
        <f t="shared" si="510"/>
        <v>7488</v>
      </c>
      <c r="FJ49" s="222">
        <f t="shared" si="456"/>
        <v>3.6923076923076925</v>
      </c>
      <c r="FK49" s="223">
        <f t="shared" si="457"/>
        <v>11.076923076923077</v>
      </c>
      <c r="FL49" s="243">
        <f t="shared" si="458"/>
        <v>8.3076923076923084</v>
      </c>
      <c r="FM49" s="218">
        <f t="shared" si="459"/>
        <v>23.07692307692308</v>
      </c>
      <c r="FN49" s="252">
        <f t="shared" si="460"/>
        <v>0</v>
      </c>
      <c r="FO49" s="309">
        <f t="shared" si="461"/>
        <v>23.07692307692308</v>
      </c>
      <c r="FP49" s="218">
        <f>IF(FM49&gt;0,FM49,0)*3+IF(FM49&gt;12,FM49-12,0)*3+IF(FM49&gt;13,FM49-13,0)*3+IF(FM49&gt;14,FM49-14,0)*3+IF(FM49&gt;15,FM49-15,0)*3+IF(FM49&gt;16,FM49-16,0)*3+IF(FM49&gt;17,FM49-17,0)*3+IF(FM49&gt;18,FM49-18,0)*3+IF(FM49&gt;19,FM49-19,0)*3+IF(FM49&gt;20,FM49-20,0)*3</f>
        <v>260.30769230769232</v>
      </c>
      <c r="FQ49" s="242">
        <f>IF(FN49&gt;0,FN49,0)*3+IF(FN49&gt;12,FN49-12,0)*3+IF(FN49&gt;13,FN49-13,0)*3+IF(FN49&gt;14,FN49-14,0)*3+IF(FN49&gt;15,FN49-15,0)*3+IF(FN49&gt;16,FN49-16,0)*3+IF(FN49&gt;17,FN49-17,0)*3+IF(FN49&gt;18,FN49-18,0)*3+IF(FN49&gt;19,FN49-19,0)*3+IF(FN49&gt;20,FN49-20,0)*3</f>
        <v>0</v>
      </c>
      <c r="FR49" s="243">
        <f t="shared" si="462"/>
        <v>260.30769230769232</v>
      </c>
      <c r="FS49" s="218">
        <f t="shared" si="463"/>
        <v>0</v>
      </c>
      <c r="FU49" s="303" t="s">
        <v>43</v>
      </c>
      <c r="FV49" s="243" t="s">
        <v>94</v>
      </c>
      <c r="FW49" s="218" t="s">
        <v>135</v>
      </c>
      <c r="FX49" s="237"/>
      <c r="FY49" s="234">
        <f t="shared" si="464"/>
        <v>12</v>
      </c>
      <c r="FZ49" s="234">
        <f t="shared" si="465"/>
        <v>12</v>
      </c>
      <c r="GA49" s="234"/>
      <c r="GB49" s="234"/>
      <c r="GC49" s="234"/>
      <c r="GD49" s="234"/>
      <c r="GE49" s="224"/>
      <c r="GF49" s="222">
        <f>(FY49+FY49+FZ49)/3</f>
        <v>12</v>
      </c>
      <c r="GG49" s="223">
        <f t="shared" si="466"/>
        <v>24</v>
      </c>
      <c r="GH49" s="224">
        <f t="shared" si="467"/>
        <v>36</v>
      </c>
      <c r="GI49" s="237">
        <f>FY49*POWER(INslave,SIGN(FZ49))*POWER(KLslave,SIGN(FY49))+FY49*POWER(INslave,SIGN(FZ49))*POWER(KLslave,SIGN(FY49))+FZ49*POWER(KLslave,SIGN(FY49))*POWER(KLslave,SIGN(FY49))</f>
        <v>2304</v>
      </c>
      <c r="GJ49" s="234">
        <f>FY49*FY49*INslave+FY49*KLslave*FZ49+KLslave*FY49*FZ49</f>
        <v>3456</v>
      </c>
      <c r="GK49" s="224">
        <f>FY49*FY49*FZ49</f>
        <v>1728</v>
      </c>
      <c r="GL49" s="242">
        <f t="shared" si="512"/>
        <v>7488</v>
      </c>
      <c r="GM49" s="222">
        <f t="shared" si="468"/>
        <v>3.6923076923076925</v>
      </c>
      <c r="GN49" s="223">
        <f t="shared" si="469"/>
        <v>11.076923076923077</v>
      </c>
      <c r="GO49" s="243">
        <f t="shared" si="470"/>
        <v>8.3076923076923084</v>
      </c>
      <c r="GP49" s="218">
        <f t="shared" si="471"/>
        <v>23.07692307692308</v>
      </c>
      <c r="GQ49" s="252">
        <f t="shared" si="472"/>
        <v>0</v>
      </c>
      <c r="GR49" s="309">
        <f t="shared" si="473"/>
        <v>23.07692307692308</v>
      </c>
      <c r="GS49" s="218">
        <f>IF(GP49&gt;0,GP49,0)*3+IF(GP49&gt;12,GP49-12,0)*3+IF(GP49&gt;13,GP49-13,0)*3+IF(GP49&gt;14,GP49-14,0)*3+IF(GP49&gt;15,GP49-15,0)*3+IF(GP49&gt;16,GP49-16,0)*3+IF(GP49&gt;17,GP49-17,0)*3+IF(GP49&gt;18,GP49-18,0)*3+IF(GP49&gt;19,GP49-19,0)*3+IF(GP49&gt;20,GP49-20,0)*3</f>
        <v>260.30769230769232</v>
      </c>
      <c r="GT49" s="242">
        <f>IF(GQ49&gt;0,GQ49,0)*3+IF(GQ49&gt;12,GQ49-12,0)*3+IF(GQ49&gt;13,GQ49-13,0)*3+IF(GQ49&gt;14,GQ49-14,0)*3+IF(GQ49&gt;15,GQ49-15,0)*3+IF(GQ49&gt;16,GQ49-16,0)*3+IF(GQ49&gt;17,GQ49-17,0)*3+IF(GQ49&gt;18,GQ49-18,0)*3+IF(GQ49&gt;19,GQ49-19,0)*3+IF(GQ49&gt;20,GQ49-20,0)*3</f>
        <v>0</v>
      </c>
      <c r="GU49" s="243">
        <f t="shared" si="474"/>
        <v>260.30769230769232</v>
      </c>
      <c r="GV49" s="218">
        <f t="shared" si="475"/>
        <v>0</v>
      </c>
      <c r="GX49" s="303" t="s">
        <v>43</v>
      </c>
      <c r="GY49" s="243" t="s">
        <v>94</v>
      </c>
      <c r="GZ49" s="218" t="s">
        <v>135</v>
      </c>
      <c r="HA49" s="237"/>
      <c r="HB49" s="234">
        <f t="shared" si="476"/>
        <v>12</v>
      </c>
      <c r="HC49" s="234">
        <f t="shared" si="477"/>
        <v>12</v>
      </c>
      <c r="HD49" s="234"/>
      <c r="HE49" s="234"/>
      <c r="HF49" s="234"/>
      <c r="HG49" s="234"/>
      <c r="HH49" s="224"/>
      <c r="HI49" s="222">
        <f>(HB49+HB49+HC49)/3</f>
        <v>12</v>
      </c>
      <c r="HJ49" s="223">
        <f t="shared" si="478"/>
        <v>24</v>
      </c>
      <c r="HK49" s="224">
        <f t="shared" si="479"/>
        <v>36</v>
      </c>
      <c r="HL49" s="237">
        <f>HB49*POWER(INslave,SIGN(HC49))*POWER(KLslave,SIGN(HB49))+HB49*POWER(INslave,SIGN(HC49))*POWER(KLslave,SIGN(HB49))+HC49*POWER(KLslave,SIGN(HB49))*POWER(KLslave,SIGN(HB49))</f>
        <v>2304</v>
      </c>
      <c r="HM49" s="234">
        <f>HB49*HB49*INslave+HB49*KLslave*HC49+KLslave*HB49*HC49</f>
        <v>3456</v>
      </c>
      <c r="HN49" s="224">
        <f>HB49*HB49*HC49</f>
        <v>1728</v>
      </c>
      <c r="HO49" s="242">
        <f t="shared" si="514"/>
        <v>7488</v>
      </c>
      <c r="HP49" s="222">
        <f t="shared" si="480"/>
        <v>3.6923076923076925</v>
      </c>
      <c r="HQ49" s="223">
        <f t="shared" si="481"/>
        <v>11.076923076923077</v>
      </c>
      <c r="HR49" s="243">
        <f t="shared" si="482"/>
        <v>8.3076923076923084</v>
      </c>
      <c r="HS49" s="218">
        <f t="shared" si="483"/>
        <v>23.07692307692308</v>
      </c>
      <c r="HT49" s="252">
        <f t="shared" si="484"/>
        <v>0</v>
      </c>
      <c r="HU49" s="309">
        <f t="shared" si="485"/>
        <v>23.07692307692308</v>
      </c>
      <c r="HV49" s="218">
        <f>IF(HS49&gt;0,HS49,0)*3+IF(HS49&gt;12,HS49-12,0)*3+IF(HS49&gt;13,HS49-13,0)*3+IF(HS49&gt;14,HS49-14,0)*3+IF(HS49&gt;15,HS49-15,0)*3+IF(HS49&gt;16,HS49-16,0)*3+IF(HS49&gt;17,HS49-17,0)*3+IF(HS49&gt;18,HS49-18,0)*3+IF(HS49&gt;19,HS49-19,0)*3+IF(HS49&gt;20,HS49-20,0)*3</f>
        <v>260.30769230769232</v>
      </c>
      <c r="HW49" s="242">
        <f>IF(HT49&gt;0,HT49,0)*3+IF(HT49&gt;12,HT49-12,0)*3+IF(HT49&gt;13,HT49-13,0)*3+IF(HT49&gt;14,HT49-14,0)*3+IF(HT49&gt;15,HT49-15,0)*3+IF(HT49&gt;16,HT49-16,0)*3+IF(HT49&gt;17,HT49-17,0)*3+IF(HT49&gt;18,HT49-18,0)*3+IF(HT49&gt;19,HT49-19,0)*3+IF(HT49&gt;20,HT49-20,0)*3</f>
        <v>0</v>
      </c>
      <c r="HX49" s="243">
        <f t="shared" si="486"/>
        <v>260.30769230769232</v>
      </c>
      <c r="HY49" s="218">
        <f t="shared" si="487"/>
        <v>0</v>
      </c>
      <c r="IA49" s="303" t="s">
        <v>43</v>
      </c>
      <c r="IB49" s="243" t="s">
        <v>94</v>
      </c>
      <c r="IC49" s="218" t="s">
        <v>135</v>
      </c>
      <c r="ID49" s="237"/>
      <c r="IE49" s="234">
        <f t="shared" si="488"/>
        <v>12</v>
      </c>
      <c r="IF49" s="234">
        <f t="shared" si="489"/>
        <v>12</v>
      </c>
      <c r="IG49" s="234"/>
      <c r="IH49" s="234"/>
      <c r="II49" s="234"/>
      <c r="IJ49" s="234"/>
      <c r="IK49" s="224"/>
      <c r="IL49" s="222">
        <f>(IE49+IE49+IF49)/3</f>
        <v>12</v>
      </c>
      <c r="IM49" s="223">
        <f t="shared" si="490"/>
        <v>24</v>
      </c>
      <c r="IN49" s="224">
        <f t="shared" si="491"/>
        <v>36</v>
      </c>
      <c r="IO49" s="237">
        <f>IE49*POWER(INslave,SIGN(IF49))*POWER(KLslave,SIGN(IE49))+IE49*POWER(INslave,SIGN(IF49))*POWER(KLslave,SIGN(IE49))+IF49*POWER(KLslave,SIGN(IE49))*POWER(KLslave,SIGN(IE49))</f>
        <v>2304</v>
      </c>
      <c r="IP49" s="234">
        <f>IE49*IE49*INslave+IE49*KLslave*IF49+KLslave*IE49*IF49</f>
        <v>3456</v>
      </c>
      <c r="IQ49" s="224">
        <f>IE49*IE49*IF49</f>
        <v>1728</v>
      </c>
      <c r="IR49" s="242">
        <f t="shared" si="516"/>
        <v>7488</v>
      </c>
      <c r="IS49" s="222">
        <f t="shared" si="492"/>
        <v>3.6923076923076925</v>
      </c>
      <c r="IT49" s="223">
        <f t="shared" si="493"/>
        <v>11.076923076923077</v>
      </c>
      <c r="IU49" s="243">
        <f t="shared" si="494"/>
        <v>8.3076923076923084</v>
      </c>
      <c r="IV49" s="218">
        <f t="shared" si="495"/>
        <v>23.07692307692308</v>
      </c>
      <c r="IW49" s="252">
        <f t="shared" si="496"/>
        <v>0</v>
      </c>
      <c r="IX49" s="309">
        <f t="shared" si="497"/>
        <v>23.07692307692308</v>
      </c>
      <c r="IY49" s="218">
        <f>IF(IV49&gt;0,IV49,0)*3+IF(IV49&gt;12,IV49-12,0)*3+IF(IV49&gt;13,IV49-13,0)*3+IF(IV49&gt;14,IV49-14,0)*3+IF(IV49&gt;15,IV49-15,0)*3+IF(IV49&gt;16,IV49-16,0)*3+IF(IV49&gt;17,IV49-17,0)*3+IF(IV49&gt;18,IV49-18,0)*3+IF(IV49&gt;19,IV49-19,0)*3+IF(IV49&gt;20,IV49-20,0)*3</f>
        <v>260.30769230769232</v>
      </c>
      <c r="IZ49" s="242">
        <f>IF(IW49&gt;0,IW49,0)*3+IF(IW49&gt;12,IW49-12,0)*3+IF(IW49&gt;13,IW49-13,0)*3+IF(IW49&gt;14,IW49-14,0)*3+IF(IW49&gt;15,IW49-15,0)*3+IF(IW49&gt;16,IW49-16,0)*3+IF(IW49&gt;17,IW49-17,0)*3+IF(IW49&gt;18,IW49-18,0)*3+IF(IW49&gt;19,IW49-19,0)*3+IF(IW49&gt;20,IW49-20,0)*3</f>
        <v>0</v>
      </c>
      <c r="JA49" s="243">
        <f t="shared" si="498"/>
        <v>260.30769230769232</v>
      </c>
      <c r="JB49" s="218">
        <f t="shared" si="499"/>
        <v>0</v>
      </c>
      <c r="JE49" s="148"/>
    </row>
    <row r="50" spans="2:265" hidden="1" outlineLevel="2">
      <c r="B50" s="148">
        <v>7</v>
      </c>
      <c r="C50" s="303" t="e">
        <f>VLOOKUP(AF50,Attribute!C:T,1,FALSE)</f>
        <v>#N/A</v>
      </c>
      <c r="D50" s="127" t="s">
        <v>96</v>
      </c>
      <c r="E50" s="125" t="s">
        <v>132</v>
      </c>
      <c r="F50" s="114"/>
      <c r="G50" s="113">
        <f t="shared" si="393"/>
        <v>12</v>
      </c>
      <c r="H50" s="113"/>
      <c r="I50" s="113"/>
      <c r="J50" s="113">
        <f>Konvention_1master-FFmaster</f>
        <v>12</v>
      </c>
      <c r="K50" s="113"/>
      <c r="L50" s="113"/>
      <c r="M50" s="119"/>
      <c r="N50" s="222">
        <f>(G50+G50+J50)/3</f>
        <v>12</v>
      </c>
      <c r="O50" s="223">
        <f t="shared" si="395"/>
        <v>24</v>
      </c>
      <c r="P50" s="224">
        <f t="shared" si="396"/>
        <v>36</v>
      </c>
      <c r="Q50" s="237">
        <f>G50*POWER(FFmaster,SIGN(J50))*POWER(KLmaster,SIGN(G50))+G50*POWER(FFmaster,SIGN(J50))*POWER(KLmaster,SIGN(G50))+J50*POWER(KLmaster,SIGN(G50))*POWER(KLmaster,SIGN(G50))</f>
        <v>2304</v>
      </c>
      <c r="R50" s="113">
        <f>G50*G50*FFmaster+G50*KLmaster*J50+KLmaster*G50*J50</f>
        <v>3456</v>
      </c>
      <c r="S50" s="224">
        <f>G50*G50*J50</f>
        <v>1728</v>
      </c>
      <c r="T50" s="242">
        <f t="shared" si="500"/>
        <v>7488</v>
      </c>
      <c r="U50" s="222">
        <f t="shared" si="397"/>
        <v>3.6923076923076925</v>
      </c>
      <c r="V50" s="223">
        <f t="shared" si="398"/>
        <v>11.076923076923077</v>
      </c>
      <c r="W50" s="243">
        <f t="shared" si="399"/>
        <v>8.3076923076923084</v>
      </c>
      <c r="X50" s="218">
        <f t="shared" si="400"/>
        <v>23.07692307692308</v>
      </c>
      <c r="Y50" s="252">
        <v>0</v>
      </c>
      <c r="Z50" s="198">
        <f t="shared" si="401"/>
        <v>23.07692307692308</v>
      </c>
      <c r="AA50" s="125">
        <f>IF(X50&gt;0,X50,0)*2+IF(X50&gt;12,X50-12,0)*2+IF(X50&gt;13,X50-13,0)*2+IF(X50&gt;14,X50-14,0)*2+IF(X50&gt;15,X50-15,0)*2+IF(X50&gt;16,X50-16,0)*2+IF(X50&gt;17,X50-17,0)*2+IF(X50&gt;18,X50-18,0)*2+IF(X50&gt;19,X50-19,0)*2+IF(X50&gt;20,X50-20,0)*2</f>
        <v>173.5384615384616</v>
      </c>
      <c r="AB50" s="160">
        <f>IF(Y50&gt;0,Y50,0)*2+IF(Y50&gt;12,Y50-12,0)*2+IF(Y50&gt;13,Y50-13,0)*2+IF(Y50&gt;14,Y50-14,0)*2+IF(Y50&gt;15,Y50-15,0)*2+IF(Y50&gt;16,Y50-16,0)*2+IF(Y50&gt;17,Y50-17,0)*2+IF(Y50&gt;18,Y50-18,0)*2+IF(Y50&gt;19,Y50-19,0)*2+IF(Y50&gt;20,Y50-20,0)*2</f>
        <v>0</v>
      </c>
      <c r="AC50" s="127">
        <f t="shared" si="402"/>
        <v>173.5384615384616</v>
      </c>
      <c r="AD50" s="125">
        <f t="shared" si="403"/>
        <v>0</v>
      </c>
      <c r="AF50" s="163" t="s">
        <v>44</v>
      </c>
      <c r="AG50" s="127" t="s">
        <v>96</v>
      </c>
      <c r="AH50" s="125" t="s">
        <v>132</v>
      </c>
      <c r="AI50" s="114"/>
      <c r="AJ50" s="113">
        <f t="shared" si="404"/>
        <v>12</v>
      </c>
      <c r="AK50" s="113"/>
      <c r="AL50" s="113"/>
      <c r="AM50" s="113">
        <f>Konvention_1slave-FFslave</f>
        <v>12</v>
      </c>
      <c r="AN50" s="113"/>
      <c r="AO50" s="113"/>
      <c r="AP50" s="119"/>
      <c r="AQ50" s="89">
        <f>(AJ50+AJ50+AM50)/3</f>
        <v>12</v>
      </c>
      <c r="AR50" s="47">
        <f t="shared" si="406"/>
        <v>24</v>
      </c>
      <c r="AS50" s="119">
        <f t="shared" si="407"/>
        <v>36</v>
      </c>
      <c r="AT50" s="114">
        <f>AJ50*POWER(FFslave,SIGN(AM50))*POWER(KLslave,SIGN(AJ50))+AJ50*POWER(FFslave,SIGN(AM50))*POWER(KLslave,SIGN(AJ50))+AM50*POWER(KLslave,SIGN(AJ50))*POWER(KLslave,SIGN(AJ50))</f>
        <v>2304</v>
      </c>
      <c r="AU50" s="113">
        <f>AJ50*AJ50*FFslave+AJ50*KLslave*AM50+KLslave*AJ50*AM50</f>
        <v>3456</v>
      </c>
      <c r="AV50" s="119">
        <f>AJ50*AJ50*AM50</f>
        <v>1728</v>
      </c>
      <c r="AW50" s="160">
        <f t="shared" si="502"/>
        <v>7488</v>
      </c>
      <c r="AX50" s="89">
        <f t="shared" si="408"/>
        <v>3.6923076923076925</v>
      </c>
      <c r="AY50" s="47">
        <f t="shared" si="409"/>
        <v>11.076923076923077</v>
      </c>
      <c r="AZ50" s="127">
        <f t="shared" si="410"/>
        <v>8.3076923076923084</v>
      </c>
      <c r="BA50" s="125">
        <f t="shared" si="411"/>
        <v>23.07692307692308</v>
      </c>
      <c r="BB50" s="165">
        <f t="shared" si="412"/>
        <v>0</v>
      </c>
      <c r="BC50" s="198">
        <f t="shared" si="413"/>
        <v>23.07692307692308</v>
      </c>
      <c r="BD50" s="125">
        <f>IF(BA50&gt;0,BA50,0)*2+IF(BA50&gt;12,BA50-12,0)*2+IF(BA50&gt;13,BA50-13,0)*2+IF(BA50&gt;14,BA50-14,0)*2+IF(BA50&gt;15,BA50-15,0)*2+IF(BA50&gt;16,BA50-16,0)*2+IF(BA50&gt;17,BA50-17,0)*2+IF(BA50&gt;18,BA50-18,0)*2+IF(BA50&gt;19,BA50-19,0)*2+IF(BA50&gt;20,BA50-20,0)*2</f>
        <v>173.5384615384616</v>
      </c>
      <c r="BE50" s="160">
        <f>IF(BB50&gt;0,BB50,0)*2+IF(BB50&gt;12,BB50-12,0)*2+IF(BB50&gt;13,BB50-13,0)*2+IF(BB50&gt;14,BB50-14,0)*2+IF(BB50&gt;15,BB50-15,0)*2+IF(BB50&gt;16,BB50-16,0)*2+IF(BB50&gt;17,BB50-17,0)*2+IF(BB50&gt;18,BB50-18,0)*2+IF(BB50&gt;19,BB50-19,0)*2+IF(BB50&gt;20,BB50-20,0)*2</f>
        <v>0</v>
      </c>
      <c r="BF50" s="243">
        <f t="shared" si="414"/>
        <v>173.5384615384616</v>
      </c>
      <c r="BG50" s="218">
        <f t="shared" si="415"/>
        <v>0</v>
      </c>
      <c r="BI50" s="303" t="s">
        <v>44</v>
      </c>
      <c r="BJ50" s="243" t="s">
        <v>96</v>
      </c>
      <c r="BK50" s="218" t="s">
        <v>132</v>
      </c>
      <c r="BL50" s="237"/>
      <c r="BM50" s="234">
        <f t="shared" si="416"/>
        <v>11</v>
      </c>
      <c r="BN50" s="234"/>
      <c r="BO50" s="234"/>
      <c r="BP50" s="234">
        <f>Konvention_1slave-FFslave</f>
        <v>12</v>
      </c>
      <c r="BQ50" s="234"/>
      <c r="BR50" s="234"/>
      <c r="BS50" s="224"/>
      <c r="BT50" s="222">
        <f>(BM50+BM50+BP50)/3</f>
        <v>11.333333333333334</v>
      </c>
      <c r="BU50" s="223">
        <f t="shared" si="418"/>
        <v>22.666666666666668</v>
      </c>
      <c r="BV50" s="224">
        <f t="shared" si="419"/>
        <v>34</v>
      </c>
      <c r="BW50" s="237">
        <f>BM50*POWER(FFslave,SIGN(BP50))*POWER(KLslave_KL,SIGN(BM50))+BM50*POWER(FFslave,SIGN(BP50))*POWER(KLslave_KL,SIGN(BM50))+BP50*POWER(KLslave_KL,SIGN(BM50))*POWER(KLslave_KL,SIGN(BM50))</f>
        <v>2556</v>
      </c>
      <c r="BX50" s="234">
        <f>BM50*BM50*FFslave+BM50*KLslave_KL*BP50+KLslave_KL*BM50*BP50</f>
        <v>3344</v>
      </c>
      <c r="BY50" s="224">
        <f>BM50*BM50*BP50</f>
        <v>1452</v>
      </c>
      <c r="BZ50" s="242">
        <f t="shared" si="504"/>
        <v>7352</v>
      </c>
      <c r="CA50" s="222">
        <f t="shared" si="420"/>
        <v>3.940152339499456</v>
      </c>
      <c r="CB50" s="223">
        <f t="shared" si="421"/>
        <v>10.309756982227059</v>
      </c>
      <c r="CC50" s="243">
        <f t="shared" si="422"/>
        <v>6.714907508161045</v>
      </c>
      <c r="CD50" s="218">
        <f t="shared" si="423"/>
        <v>20.96481682988756</v>
      </c>
      <c r="CE50" s="252">
        <f t="shared" si="424"/>
        <v>0</v>
      </c>
      <c r="CF50" s="309">
        <f t="shared" si="425"/>
        <v>20.96481682988756</v>
      </c>
      <c r="CG50" s="218">
        <f>IF(CD50&gt;0,CD50,0)*2+IF(CD50&gt;12,CD50-12,0)*2+IF(CD50&gt;13,CD50-13,0)*2+IF(CD50&gt;14,CD50-14,0)*2+IF(CD50&gt;15,CD50-15,0)*2+IF(CD50&gt;16,CD50-16,0)*2+IF(CD50&gt;17,CD50-17,0)*2+IF(CD50&gt;18,CD50-18,0)*2+IF(CD50&gt;19,CD50-19,0)*2+IF(CD50&gt;20,CD50-20,0)*2</f>
        <v>131.29633659775118</v>
      </c>
      <c r="CH50" s="242">
        <f>IF(CE50&gt;0,CE50,0)*2+IF(CE50&gt;12,CE50-12,0)*2+IF(CE50&gt;13,CE50-13,0)*2+IF(CE50&gt;14,CE50-14,0)*2+IF(CE50&gt;15,CE50-15,0)*2+IF(CE50&gt;16,CE50-16,0)*2+IF(CE50&gt;17,CE50-17,0)*2+IF(CE50&gt;18,CE50-18,0)*2+IF(CE50&gt;19,CE50-19,0)*2+IF(CE50&gt;20,CE50-20,0)*2</f>
        <v>0</v>
      </c>
      <c r="CI50" s="243">
        <f t="shared" si="426"/>
        <v>131.29633659775118</v>
      </c>
      <c r="CJ50" s="218">
        <f t="shared" si="427"/>
        <v>0</v>
      </c>
      <c r="CL50" s="303" t="s">
        <v>44</v>
      </c>
      <c r="CM50" s="243" t="s">
        <v>96</v>
      </c>
      <c r="CN50" s="218" t="s">
        <v>132</v>
      </c>
      <c r="CO50" s="237"/>
      <c r="CP50" s="234">
        <f t="shared" si="428"/>
        <v>12</v>
      </c>
      <c r="CQ50" s="234"/>
      <c r="CR50" s="234"/>
      <c r="CS50" s="234">
        <f>Konvention_1slave-FFslave</f>
        <v>12</v>
      </c>
      <c r="CT50" s="234"/>
      <c r="CU50" s="234"/>
      <c r="CV50" s="224"/>
      <c r="CW50" s="222">
        <f>(CP50+CP50+CS50)/3</f>
        <v>12</v>
      </c>
      <c r="CX50" s="223">
        <f t="shared" si="430"/>
        <v>24</v>
      </c>
      <c r="CY50" s="224">
        <f t="shared" si="431"/>
        <v>36</v>
      </c>
      <c r="CZ50" s="237">
        <f>CP50*POWER(FFslave,SIGN(CS50))*POWER(KLslave,SIGN(CP50))+CP50*POWER(FFslave,SIGN(CS50))*POWER(KLslave,SIGN(CP50))+CS50*POWER(KLslave,SIGN(CP50))*POWER(KLslave,SIGN(CP50))</f>
        <v>2304</v>
      </c>
      <c r="DA50" s="234">
        <f>CP50*CP50*FFslave+CP50*KLslave*CS50+KLslave*CP50*CS50</f>
        <v>3456</v>
      </c>
      <c r="DB50" s="224">
        <f>CP50*CP50*CS50</f>
        <v>1728</v>
      </c>
      <c r="DC50" s="242">
        <f t="shared" si="506"/>
        <v>7488</v>
      </c>
      <c r="DD50" s="222">
        <f t="shared" si="432"/>
        <v>3.6923076923076925</v>
      </c>
      <c r="DE50" s="223">
        <f t="shared" si="433"/>
        <v>11.076923076923077</v>
      </c>
      <c r="DF50" s="243">
        <f t="shared" si="434"/>
        <v>8.3076923076923084</v>
      </c>
      <c r="DG50" s="218">
        <f t="shared" si="435"/>
        <v>23.07692307692308</v>
      </c>
      <c r="DH50" s="252">
        <f t="shared" si="436"/>
        <v>0</v>
      </c>
      <c r="DI50" s="309">
        <f t="shared" si="437"/>
        <v>23.07692307692308</v>
      </c>
      <c r="DJ50" s="218">
        <f>IF(DG50&gt;0,DG50,0)*2+IF(DG50&gt;12,DG50-12,0)*2+IF(DG50&gt;13,DG50-13,0)*2+IF(DG50&gt;14,DG50-14,0)*2+IF(DG50&gt;15,DG50-15,0)*2+IF(DG50&gt;16,DG50-16,0)*2+IF(DG50&gt;17,DG50-17,0)*2+IF(DG50&gt;18,DG50-18,0)*2+IF(DG50&gt;19,DG50-19,0)*2+IF(DG50&gt;20,DG50-20,0)*2</f>
        <v>173.5384615384616</v>
      </c>
      <c r="DK50" s="242">
        <f>IF(DH50&gt;0,DH50,0)*2+IF(DH50&gt;12,DH50-12,0)*2+IF(DH50&gt;13,DH50-13,0)*2+IF(DH50&gt;14,DH50-14,0)*2+IF(DH50&gt;15,DH50-15,0)*2+IF(DH50&gt;16,DH50-16,0)*2+IF(DH50&gt;17,DH50-17,0)*2+IF(DH50&gt;18,DH50-18,0)*2+IF(DH50&gt;19,DH50-19,0)*2+IF(DH50&gt;20,DH50-20,0)*2</f>
        <v>0</v>
      </c>
      <c r="DL50" s="243">
        <f t="shared" si="438"/>
        <v>173.5384615384616</v>
      </c>
      <c r="DM50" s="218">
        <f t="shared" si="439"/>
        <v>0</v>
      </c>
      <c r="DO50" s="303" t="s">
        <v>44</v>
      </c>
      <c r="DP50" s="243" t="s">
        <v>96</v>
      </c>
      <c r="DQ50" s="218" t="s">
        <v>132</v>
      </c>
      <c r="DR50" s="237"/>
      <c r="DS50" s="234">
        <f t="shared" si="440"/>
        <v>12</v>
      </c>
      <c r="DT50" s="234"/>
      <c r="DU50" s="234"/>
      <c r="DV50" s="234">
        <f>Konvention_1slave-FFslave</f>
        <v>12</v>
      </c>
      <c r="DW50" s="234"/>
      <c r="DX50" s="234"/>
      <c r="DY50" s="224"/>
      <c r="DZ50" s="222">
        <f>(DS50+DS50+DV50)/3</f>
        <v>12</v>
      </c>
      <c r="EA50" s="223">
        <f t="shared" si="442"/>
        <v>24</v>
      </c>
      <c r="EB50" s="224">
        <f t="shared" si="443"/>
        <v>36</v>
      </c>
      <c r="EC50" s="237">
        <f>DS50*POWER(FFslave,SIGN(DV50))*POWER(KLslave,SIGN(DS50))+DS50*POWER(FFslave,SIGN(DV50))*POWER(KLslave,SIGN(DS50))+DV50*POWER(KLslave,SIGN(DS50))*POWER(KLslave,SIGN(DS50))</f>
        <v>2304</v>
      </c>
      <c r="ED50" s="234">
        <f>DS50*DS50*FFslave+DS50*KLslave*DV50+KLslave*DS50*DV50</f>
        <v>3456</v>
      </c>
      <c r="EE50" s="224">
        <f>DS50*DS50*DV50</f>
        <v>1728</v>
      </c>
      <c r="EF50" s="242">
        <f t="shared" si="508"/>
        <v>7488</v>
      </c>
      <c r="EG50" s="222">
        <f t="shared" si="444"/>
        <v>3.6923076923076925</v>
      </c>
      <c r="EH50" s="223">
        <f t="shared" si="445"/>
        <v>11.076923076923077</v>
      </c>
      <c r="EI50" s="243">
        <f t="shared" si="446"/>
        <v>8.3076923076923084</v>
      </c>
      <c r="EJ50" s="218">
        <f t="shared" si="447"/>
        <v>23.07692307692308</v>
      </c>
      <c r="EK50" s="252">
        <f t="shared" si="448"/>
        <v>0</v>
      </c>
      <c r="EL50" s="309">
        <f t="shared" si="449"/>
        <v>23.07692307692308</v>
      </c>
      <c r="EM50" s="218">
        <f>IF(EJ50&gt;0,EJ50,0)*2+IF(EJ50&gt;12,EJ50-12,0)*2+IF(EJ50&gt;13,EJ50-13,0)*2+IF(EJ50&gt;14,EJ50-14,0)*2+IF(EJ50&gt;15,EJ50-15,0)*2+IF(EJ50&gt;16,EJ50-16,0)*2+IF(EJ50&gt;17,EJ50-17,0)*2+IF(EJ50&gt;18,EJ50-18,0)*2+IF(EJ50&gt;19,EJ50-19,0)*2+IF(EJ50&gt;20,EJ50-20,0)*2</f>
        <v>173.5384615384616</v>
      </c>
      <c r="EN50" s="242">
        <f>IF(EK50&gt;0,EK50,0)*2+IF(EK50&gt;12,EK50-12,0)*2+IF(EK50&gt;13,EK50-13,0)*2+IF(EK50&gt;14,EK50-14,0)*2+IF(EK50&gt;15,EK50-15,0)*2+IF(EK50&gt;16,EK50-16,0)*2+IF(EK50&gt;17,EK50-17,0)*2+IF(EK50&gt;18,EK50-18,0)*2+IF(EK50&gt;19,EK50-19,0)*2+IF(EK50&gt;20,EK50-20,0)*2</f>
        <v>0</v>
      </c>
      <c r="EO50" s="243">
        <f t="shared" si="450"/>
        <v>173.5384615384616</v>
      </c>
      <c r="EP50" s="218">
        <f t="shared" si="451"/>
        <v>0</v>
      </c>
      <c r="ER50" s="303" t="s">
        <v>44</v>
      </c>
      <c r="ES50" s="243" t="s">
        <v>96</v>
      </c>
      <c r="ET50" s="218" t="s">
        <v>132</v>
      </c>
      <c r="EU50" s="237"/>
      <c r="EV50" s="234">
        <f t="shared" si="452"/>
        <v>12</v>
      </c>
      <c r="EW50" s="234"/>
      <c r="EX50" s="234"/>
      <c r="EY50" s="234">
        <f>Konvention_1slave-FFslave_FF</f>
        <v>11</v>
      </c>
      <c r="EZ50" s="234"/>
      <c r="FA50" s="234"/>
      <c r="FB50" s="224"/>
      <c r="FC50" s="222">
        <f>(EV50+EV50+EY50)/3</f>
        <v>11.666666666666666</v>
      </c>
      <c r="FD50" s="223">
        <f t="shared" si="454"/>
        <v>23.333333333333332</v>
      </c>
      <c r="FE50" s="224">
        <f t="shared" si="455"/>
        <v>35</v>
      </c>
      <c r="FF50" s="237">
        <f>EV50*POWER(FFslave_FF,SIGN(EY50))*POWER(KLslave,SIGN(EV50))+EV50*POWER(FFslave_FF,SIGN(EY50))*POWER(KLslave,SIGN(EV50))+EY50*POWER(KLslave,SIGN(EV50))*POWER(KLslave,SIGN(EV50))</f>
        <v>2432</v>
      </c>
      <c r="FG50" s="234">
        <f>EV50*EV50*FFslave_FF+EV50*KLslave*EY50+KLslave*EV50*EY50</f>
        <v>3408</v>
      </c>
      <c r="FH50" s="224">
        <f>EV50*EV50*EY50</f>
        <v>1584</v>
      </c>
      <c r="FI50" s="242">
        <f t="shared" si="510"/>
        <v>7424</v>
      </c>
      <c r="FJ50" s="222">
        <f t="shared" si="456"/>
        <v>3.8218390804597702</v>
      </c>
      <c r="FK50" s="223">
        <f t="shared" si="457"/>
        <v>10.711206896551724</v>
      </c>
      <c r="FL50" s="243">
        <f t="shared" si="458"/>
        <v>7.4676724137931032</v>
      </c>
      <c r="FM50" s="218">
        <f t="shared" si="459"/>
        <v>22.000718390804597</v>
      </c>
      <c r="FN50" s="252">
        <f t="shared" si="460"/>
        <v>0</v>
      </c>
      <c r="FO50" s="309">
        <f t="shared" si="461"/>
        <v>22.000718390804597</v>
      </c>
      <c r="FP50" s="218">
        <f>IF(FM50&gt;0,FM50,0)*2+IF(FM50&gt;12,FM50-12,0)*2+IF(FM50&gt;13,FM50-13,0)*2+IF(FM50&gt;14,FM50-14,0)*2+IF(FM50&gt;15,FM50-15,0)*2+IF(FM50&gt;16,FM50-16,0)*2+IF(FM50&gt;17,FM50-17,0)*2+IF(FM50&gt;18,FM50-18,0)*2+IF(FM50&gt;19,FM50-19,0)*2+IF(FM50&gt;20,FM50-20,0)*2</f>
        <v>152.01436781609189</v>
      </c>
      <c r="FQ50" s="242">
        <f>IF(FN50&gt;0,FN50,0)*2+IF(FN50&gt;12,FN50-12,0)*2+IF(FN50&gt;13,FN50-13,0)*2+IF(FN50&gt;14,FN50-14,0)*2+IF(FN50&gt;15,FN50-15,0)*2+IF(FN50&gt;16,FN50-16,0)*2+IF(FN50&gt;17,FN50-17,0)*2+IF(FN50&gt;18,FN50-18,0)*2+IF(FN50&gt;19,FN50-19,0)*2+IF(FN50&gt;20,FN50-20,0)*2</f>
        <v>0</v>
      </c>
      <c r="FR50" s="243">
        <f t="shared" si="462"/>
        <v>152.01436781609189</v>
      </c>
      <c r="FS50" s="218">
        <f t="shared" si="463"/>
        <v>0</v>
      </c>
      <c r="FU50" s="303" t="s">
        <v>44</v>
      </c>
      <c r="FV50" s="243" t="s">
        <v>96</v>
      </c>
      <c r="FW50" s="218" t="s">
        <v>132</v>
      </c>
      <c r="FX50" s="237"/>
      <c r="FY50" s="234">
        <f t="shared" si="464"/>
        <v>12</v>
      </c>
      <c r="FZ50" s="234"/>
      <c r="GA50" s="234"/>
      <c r="GB50" s="234">
        <f>Konvention_1slave-FFslave</f>
        <v>12</v>
      </c>
      <c r="GC50" s="234"/>
      <c r="GD50" s="234"/>
      <c r="GE50" s="224"/>
      <c r="GF50" s="222">
        <f>(FY50+FY50+GB50)/3</f>
        <v>12</v>
      </c>
      <c r="GG50" s="223">
        <f t="shared" si="466"/>
        <v>24</v>
      </c>
      <c r="GH50" s="224">
        <f t="shared" si="467"/>
        <v>36</v>
      </c>
      <c r="GI50" s="237">
        <f>FY50*POWER(FFslave,SIGN(GB50))*POWER(KLslave,SIGN(FY50))+FY50*POWER(FFslave,SIGN(GB50))*POWER(KLslave,SIGN(FY50))+GB50*POWER(KLslave,SIGN(FY50))*POWER(KLslave,SIGN(FY50))</f>
        <v>2304</v>
      </c>
      <c r="GJ50" s="234">
        <f>FY50*FY50*FFslave+FY50*KLslave*GB50+KLslave*FY50*GB50</f>
        <v>3456</v>
      </c>
      <c r="GK50" s="224">
        <f>FY50*FY50*GB50</f>
        <v>1728</v>
      </c>
      <c r="GL50" s="242">
        <f t="shared" si="512"/>
        <v>7488</v>
      </c>
      <c r="GM50" s="222">
        <f t="shared" si="468"/>
        <v>3.6923076923076925</v>
      </c>
      <c r="GN50" s="223">
        <f t="shared" si="469"/>
        <v>11.076923076923077</v>
      </c>
      <c r="GO50" s="243">
        <f t="shared" si="470"/>
        <v>8.3076923076923084</v>
      </c>
      <c r="GP50" s="218">
        <f t="shared" si="471"/>
        <v>23.07692307692308</v>
      </c>
      <c r="GQ50" s="252">
        <f t="shared" si="472"/>
        <v>0</v>
      </c>
      <c r="GR50" s="309">
        <f t="shared" si="473"/>
        <v>23.07692307692308</v>
      </c>
      <c r="GS50" s="218">
        <f>IF(GP50&gt;0,GP50,0)*2+IF(GP50&gt;12,GP50-12,0)*2+IF(GP50&gt;13,GP50-13,0)*2+IF(GP50&gt;14,GP50-14,0)*2+IF(GP50&gt;15,GP50-15,0)*2+IF(GP50&gt;16,GP50-16,0)*2+IF(GP50&gt;17,GP50-17,0)*2+IF(GP50&gt;18,GP50-18,0)*2+IF(GP50&gt;19,GP50-19,0)*2+IF(GP50&gt;20,GP50-20,0)*2</f>
        <v>173.5384615384616</v>
      </c>
      <c r="GT50" s="242">
        <f>IF(GQ50&gt;0,GQ50,0)*2+IF(GQ50&gt;12,GQ50-12,0)*2+IF(GQ50&gt;13,GQ50-13,0)*2+IF(GQ50&gt;14,GQ50-14,0)*2+IF(GQ50&gt;15,GQ50-15,0)*2+IF(GQ50&gt;16,GQ50-16,0)*2+IF(GQ50&gt;17,GQ50-17,0)*2+IF(GQ50&gt;18,GQ50-18,0)*2+IF(GQ50&gt;19,GQ50-19,0)*2+IF(GQ50&gt;20,GQ50-20,0)*2</f>
        <v>0</v>
      </c>
      <c r="GU50" s="243">
        <f t="shared" si="474"/>
        <v>173.5384615384616</v>
      </c>
      <c r="GV50" s="218">
        <f t="shared" si="475"/>
        <v>0</v>
      </c>
      <c r="GX50" s="303" t="s">
        <v>44</v>
      </c>
      <c r="GY50" s="243" t="s">
        <v>96</v>
      </c>
      <c r="GZ50" s="218" t="s">
        <v>132</v>
      </c>
      <c r="HA50" s="237"/>
      <c r="HB50" s="234">
        <f t="shared" si="476"/>
        <v>12</v>
      </c>
      <c r="HC50" s="234"/>
      <c r="HD50" s="234"/>
      <c r="HE50" s="234">
        <f>Konvention_1slave-FFslave</f>
        <v>12</v>
      </c>
      <c r="HF50" s="234"/>
      <c r="HG50" s="234"/>
      <c r="HH50" s="224"/>
      <c r="HI50" s="222">
        <f>(HB50+HB50+HE50)/3</f>
        <v>12</v>
      </c>
      <c r="HJ50" s="223">
        <f t="shared" si="478"/>
        <v>24</v>
      </c>
      <c r="HK50" s="224">
        <f t="shared" si="479"/>
        <v>36</v>
      </c>
      <c r="HL50" s="237">
        <f>HB50*POWER(FFslave,SIGN(HE50))*POWER(KLslave,SIGN(HB50))+HB50*POWER(FFslave,SIGN(HE50))*POWER(KLslave,SIGN(HB50))+HE50*POWER(KLslave,SIGN(HB50))*POWER(KLslave,SIGN(HB50))</f>
        <v>2304</v>
      </c>
      <c r="HM50" s="234">
        <f>HB50*HB50*FFslave+HB50*KLslave*HE50+KLslave*HB50*HE50</f>
        <v>3456</v>
      </c>
      <c r="HN50" s="224">
        <f>HB50*HB50*HE50</f>
        <v>1728</v>
      </c>
      <c r="HO50" s="242">
        <f t="shared" si="514"/>
        <v>7488</v>
      </c>
      <c r="HP50" s="222">
        <f t="shared" si="480"/>
        <v>3.6923076923076925</v>
      </c>
      <c r="HQ50" s="223">
        <f t="shared" si="481"/>
        <v>11.076923076923077</v>
      </c>
      <c r="HR50" s="243">
        <f t="shared" si="482"/>
        <v>8.3076923076923084</v>
      </c>
      <c r="HS50" s="218">
        <f t="shared" si="483"/>
        <v>23.07692307692308</v>
      </c>
      <c r="HT50" s="252">
        <f t="shared" si="484"/>
        <v>0</v>
      </c>
      <c r="HU50" s="309">
        <f t="shared" si="485"/>
        <v>23.07692307692308</v>
      </c>
      <c r="HV50" s="218">
        <f>IF(HS50&gt;0,HS50,0)*2+IF(HS50&gt;12,HS50-12,0)*2+IF(HS50&gt;13,HS50-13,0)*2+IF(HS50&gt;14,HS50-14,0)*2+IF(HS50&gt;15,HS50-15,0)*2+IF(HS50&gt;16,HS50-16,0)*2+IF(HS50&gt;17,HS50-17,0)*2+IF(HS50&gt;18,HS50-18,0)*2+IF(HS50&gt;19,HS50-19,0)*2+IF(HS50&gt;20,HS50-20,0)*2</f>
        <v>173.5384615384616</v>
      </c>
      <c r="HW50" s="242">
        <f>IF(HT50&gt;0,HT50,0)*2+IF(HT50&gt;12,HT50-12,0)*2+IF(HT50&gt;13,HT50-13,0)*2+IF(HT50&gt;14,HT50-14,0)*2+IF(HT50&gt;15,HT50-15,0)*2+IF(HT50&gt;16,HT50-16,0)*2+IF(HT50&gt;17,HT50-17,0)*2+IF(HT50&gt;18,HT50-18,0)*2+IF(HT50&gt;19,HT50-19,0)*2+IF(HT50&gt;20,HT50-20,0)*2</f>
        <v>0</v>
      </c>
      <c r="HX50" s="243">
        <f t="shared" si="486"/>
        <v>173.5384615384616</v>
      </c>
      <c r="HY50" s="218">
        <f t="shared" si="487"/>
        <v>0</v>
      </c>
      <c r="IA50" s="303" t="s">
        <v>44</v>
      </c>
      <c r="IB50" s="243" t="s">
        <v>96</v>
      </c>
      <c r="IC50" s="218" t="s">
        <v>132</v>
      </c>
      <c r="ID50" s="237"/>
      <c r="IE50" s="234">
        <f t="shared" si="488"/>
        <v>12</v>
      </c>
      <c r="IF50" s="234"/>
      <c r="IG50" s="234"/>
      <c r="IH50" s="234">
        <f>Konvention_1slave-FFslave</f>
        <v>12</v>
      </c>
      <c r="II50" s="234"/>
      <c r="IJ50" s="234"/>
      <c r="IK50" s="224"/>
      <c r="IL50" s="222">
        <f>(IE50+IE50+IH50)/3</f>
        <v>12</v>
      </c>
      <c r="IM50" s="223">
        <f t="shared" si="490"/>
        <v>24</v>
      </c>
      <c r="IN50" s="224">
        <f t="shared" si="491"/>
        <v>36</v>
      </c>
      <c r="IO50" s="237">
        <f>IE50*POWER(FFslave,SIGN(IH50))*POWER(KLslave,SIGN(IE50))+IE50*POWER(FFslave,SIGN(IH50))*POWER(KLslave,SIGN(IE50))+IH50*POWER(KLslave,SIGN(IE50))*POWER(KLslave,SIGN(IE50))</f>
        <v>2304</v>
      </c>
      <c r="IP50" s="234">
        <f>IE50*IE50*FFslave+IE50*KLslave*IH50+KLslave*IE50*IH50</f>
        <v>3456</v>
      </c>
      <c r="IQ50" s="224">
        <f>IE50*IE50*IH50</f>
        <v>1728</v>
      </c>
      <c r="IR50" s="242">
        <f t="shared" si="516"/>
        <v>7488</v>
      </c>
      <c r="IS50" s="222">
        <f t="shared" si="492"/>
        <v>3.6923076923076925</v>
      </c>
      <c r="IT50" s="223">
        <f t="shared" si="493"/>
        <v>11.076923076923077</v>
      </c>
      <c r="IU50" s="243">
        <f t="shared" si="494"/>
        <v>8.3076923076923084</v>
      </c>
      <c r="IV50" s="218">
        <f t="shared" si="495"/>
        <v>23.07692307692308</v>
      </c>
      <c r="IW50" s="252">
        <f t="shared" si="496"/>
        <v>0</v>
      </c>
      <c r="IX50" s="309">
        <f t="shared" si="497"/>
        <v>23.07692307692308</v>
      </c>
      <c r="IY50" s="218">
        <f>IF(IV50&gt;0,IV50,0)*2+IF(IV50&gt;12,IV50-12,0)*2+IF(IV50&gt;13,IV50-13,0)*2+IF(IV50&gt;14,IV50-14,0)*2+IF(IV50&gt;15,IV50-15,0)*2+IF(IV50&gt;16,IV50-16,0)*2+IF(IV50&gt;17,IV50-17,0)*2+IF(IV50&gt;18,IV50-18,0)*2+IF(IV50&gt;19,IV50-19,0)*2+IF(IV50&gt;20,IV50-20,0)*2</f>
        <v>173.5384615384616</v>
      </c>
      <c r="IZ50" s="242">
        <f>IF(IW50&gt;0,IW50,0)*2+IF(IW50&gt;12,IW50-12,0)*2+IF(IW50&gt;13,IW50-13,0)*2+IF(IW50&gt;14,IW50-14,0)*2+IF(IW50&gt;15,IW50-15,0)*2+IF(IW50&gt;16,IW50-16,0)*2+IF(IW50&gt;17,IW50-17,0)*2+IF(IW50&gt;18,IW50-18,0)*2+IF(IW50&gt;19,IW50-19,0)*2+IF(IW50&gt;20,IW50-20,0)*2</f>
        <v>0</v>
      </c>
      <c r="JA50" s="243">
        <f t="shared" si="498"/>
        <v>173.5384615384616</v>
      </c>
      <c r="JB50" s="218">
        <f t="shared" si="499"/>
        <v>0</v>
      </c>
      <c r="JE50" s="148"/>
    </row>
    <row r="51" spans="2:265" hidden="1" outlineLevel="2">
      <c r="B51" s="148">
        <v>8</v>
      </c>
      <c r="C51" s="303" t="e">
        <f>VLOOKUP(AF51,Attribute!C:T,1,FALSE)</f>
        <v>#N/A</v>
      </c>
      <c r="D51" s="127" t="s">
        <v>94</v>
      </c>
      <c r="E51" s="125" t="s">
        <v>133</v>
      </c>
      <c r="F51" s="114"/>
      <c r="G51" s="113">
        <f t="shared" si="393"/>
        <v>12</v>
      </c>
      <c r="H51" s="113">
        <f>Konvention_1master-INmaster</f>
        <v>12</v>
      </c>
      <c r="I51" s="113"/>
      <c r="J51" s="113"/>
      <c r="K51" s="113"/>
      <c r="L51" s="113"/>
      <c r="M51" s="119"/>
      <c r="N51" s="222">
        <f>(G51+G51+H51)/3</f>
        <v>12</v>
      </c>
      <c r="O51" s="223">
        <f t="shared" si="395"/>
        <v>24</v>
      </c>
      <c r="P51" s="224">
        <f t="shared" si="396"/>
        <v>36</v>
      </c>
      <c r="Q51" s="237">
        <f>G51*POWER(INmaster,SIGN(H51))*POWER(KLmaster,SIGN(G51))+G51*POWER(INmaster,SIGN(H51))*POWER(KLmaster,SIGN(G51))+H51*POWER(KLmaster,SIGN(G51))*POWER(KLmaster,SIGN(G51))</f>
        <v>2304</v>
      </c>
      <c r="R51" s="113">
        <f>G51*G51*INmaster+G51*KLmaster*H51+KLmaster*G51*H51</f>
        <v>3456</v>
      </c>
      <c r="S51" s="224">
        <f>G51*G51*H51</f>
        <v>1728</v>
      </c>
      <c r="T51" s="242">
        <f t="shared" si="500"/>
        <v>7488</v>
      </c>
      <c r="U51" s="222">
        <f t="shared" si="397"/>
        <v>3.6923076923076925</v>
      </c>
      <c r="V51" s="223">
        <f t="shared" si="398"/>
        <v>11.076923076923077</v>
      </c>
      <c r="W51" s="243">
        <f t="shared" si="399"/>
        <v>8.3076923076923084</v>
      </c>
      <c r="X51" s="218">
        <f t="shared" si="400"/>
        <v>23.07692307692308</v>
      </c>
      <c r="Y51" s="252">
        <v>0</v>
      </c>
      <c r="Z51" s="198">
        <f t="shared" si="401"/>
        <v>23.07692307692308</v>
      </c>
      <c r="AA51" s="125">
        <f>IF(X51&gt;0,X51,0)*1+IF(X51&gt;12,X51-12,0)*1+IF(X51&gt;13,X51-13,0)*1+IF(X51&gt;14,X51-14,0)*1+IF(X51&gt;15,X51-15,0)*1+IF(X51&gt;16,X51-16,0)*1+IF(X51&gt;17,X51-17,0)*1+IF(X51&gt;18,X51-18,0)*1+IF(X51&gt;19,X51-19,0)*1+IF(X51&gt;20,X51-20,0)*1</f>
        <v>86.769230769230802</v>
      </c>
      <c r="AB51" s="160">
        <f>IF(Y51&gt;0,Y51,0)*1+IF(Y51&gt;12,Y51-12,0)*1+IF(Y51&gt;13,Y51-13,0)*1+IF(Y51&gt;14,Y51-14,0)*1+IF(Y51&gt;15,Y51-15,0)*1+IF(Y51&gt;16,Y51-16,0)*1+IF(Y51&gt;17,Y51-17,0)*1+IF(Y51&gt;18,Y51-18,0)*1+IF(Y51&gt;19,Y51-19,0)*1+IF(Y51&gt;20,Y51-20,0)*1</f>
        <v>0</v>
      </c>
      <c r="AC51" s="127">
        <f t="shared" si="402"/>
        <v>86.769230769230802</v>
      </c>
      <c r="AD51" s="125">
        <f t="shared" si="403"/>
        <v>0</v>
      </c>
      <c r="AF51" s="163" t="s">
        <v>45</v>
      </c>
      <c r="AG51" s="127" t="s">
        <v>94</v>
      </c>
      <c r="AH51" s="125" t="s">
        <v>133</v>
      </c>
      <c r="AI51" s="114"/>
      <c r="AJ51" s="113">
        <f t="shared" si="404"/>
        <v>12</v>
      </c>
      <c r="AK51" s="113">
        <f>Konvention_1slave-INslave</f>
        <v>12</v>
      </c>
      <c r="AL51" s="113"/>
      <c r="AM51" s="113"/>
      <c r="AN51" s="113"/>
      <c r="AO51" s="113"/>
      <c r="AP51" s="119"/>
      <c r="AQ51" s="89">
        <f>(AJ51+AJ51+AK51)/3</f>
        <v>12</v>
      </c>
      <c r="AR51" s="47">
        <f t="shared" si="406"/>
        <v>24</v>
      </c>
      <c r="AS51" s="119">
        <f t="shared" si="407"/>
        <v>36</v>
      </c>
      <c r="AT51" s="114">
        <f>AJ51*POWER(INslave,SIGN(AK51))*POWER(KLslave,SIGN(AJ51))+AJ51*POWER(INslave,SIGN(AK51))*POWER(KLslave,SIGN(AJ51))+AK51*POWER(KLslave,SIGN(AJ51))*POWER(KLslave,SIGN(AJ51))</f>
        <v>2304</v>
      </c>
      <c r="AU51" s="113">
        <f>AJ51*AJ51*INslave+AJ51*KLslave*AK51+KLslave*AJ51*AK51</f>
        <v>3456</v>
      </c>
      <c r="AV51" s="119">
        <f>AJ51*AJ51*AK51</f>
        <v>1728</v>
      </c>
      <c r="AW51" s="160">
        <f t="shared" si="502"/>
        <v>7488</v>
      </c>
      <c r="AX51" s="89">
        <f t="shared" si="408"/>
        <v>3.6923076923076925</v>
      </c>
      <c r="AY51" s="47">
        <f t="shared" si="409"/>
        <v>11.076923076923077</v>
      </c>
      <c r="AZ51" s="127">
        <f t="shared" si="410"/>
        <v>8.3076923076923084</v>
      </c>
      <c r="BA51" s="125">
        <f t="shared" si="411"/>
        <v>23.07692307692308</v>
      </c>
      <c r="BB51" s="165">
        <f t="shared" si="412"/>
        <v>0</v>
      </c>
      <c r="BC51" s="198">
        <f t="shared" si="413"/>
        <v>23.07692307692308</v>
      </c>
      <c r="BD51" s="125">
        <f>IF(BA51&gt;0,BA51,0)*1+IF(BA51&gt;12,BA51-12,0)*1+IF(BA51&gt;13,BA51-13,0)*1+IF(BA51&gt;14,BA51-14,0)*1+IF(BA51&gt;15,BA51-15,0)*1+IF(BA51&gt;16,BA51-16,0)*1+IF(BA51&gt;17,BA51-17,0)*1+IF(BA51&gt;18,BA51-18,0)*1+IF(BA51&gt;19,BA51-19,0)*1+IF(BA51&gt;20,BA51-20,0)*1</f>
        <v>86.769230769230802</v>
      </c>
      <c r="BE51" s="160">
        <f>IF(BB51&gt;0,BB51,0)*1+IF(BB51&gt;12,BB51-12,0)*1+IF(BB51&gt;13,BB51-13,0)*1+IF(BB51&gt;14,BB51-14,0)*1+IF(BB51&gt;15,BB51-15,0)*1+IF(BB51&gt;16,BB51-16,0)*1+IF(BB51&gt;17,BB51-17,0)*1+IF(BB51&gt;18,BB51-18,0)*1+IF(BB51&gt;19,BB51-19,0)*1+IF(BB51&gt;20,BB51-20,0)*1</f>
        <v>0</v>
      </c>
      <c r="BF51" s="243">
        <f t="shared" si="414"/>
        <v>86.769230769230802</v>
      </c>
      <c r="BG51" s="218">
        <f t="shared" si="415"/>
        <v>0</v>
      </c>
      <c r="BI51" s="303" t="s">
        <v>45</v>
      </c>
      <c r="BJ51" s="243" t="s">
        <v>94</v>
      </c>
      <c r="BK51" s="218" t="s">
        <v>133</v>
      </c>
      <c r="BL51" s="237"/>
      <c r="BM51" s="234">
        <f t="shared" si="416"/>
        <v>11</v>
      </c>
      <c r="BN51" s="234">
        <f>Konvention_1slave-INslave</f>
        <v>12</v>
      </c>
      <c r="BO51" s="234"/>
      <c r="BP51" s="234"/>
      <c r="BQ51" s="234"/>
      <c r="BR51" s="234"/>
      <c r="BS51" s="224"/>
      <c r="BT51" s="222">
        <f>(BM51+BM51+BN51)/3</f>
        <v>11.333333333333334</v>
      </c>
      <c r="BU51" s="223">
        <f t="shared" si="418"/>
        <v>22.666666666666668</v>
      </c>
      <c r="BV51" s="224">
        <f t="shared" si="419"/>
        <v>34</v>
      </c>
      <c r="BW51" s="237">
        <f>BM51*POWER(INslave,SIGN(BN51))*POWER(KLslave_KL,SIGN(BM51))+BM51*POWER(INslave,SIGN(BN51))*POWER(KLslave_KL,SIGN(BM51))+BN51*POWER(KLslave_KL,SIGN(BM51))*POWER(KLslave_KL,SIGN(BM51))</f>
        <v>2556</v>
      </c>
      <c r="BX51" s="234">
        <f>BM51*BM51*INslave+BM51*KLslave_KL*BN51+KLslave_KL*BM51*BN51</f>
        <v>3344</v>
      </c>
      <c r="BY51" s="224">
        <f>BM51*BM51*BN51</f>
        <v>1452</v>
      </c>
      <c r="BZ51" s="242">
        <f t="shared" si="504"/>
        <v>7352</v>
      </c>
      <c r="CA51" s="222">
        <f t="shared" si="420"/>
        <v>3.940152339499456</v>
      </c>
      <c r="CB51" s="223">
        <f t="shared" si="421"/>
        <v>10.309756982227059</v>
      </c>
      <c r="CC51" s="243">
        <f t="shared" si="422"/>
        <v>6.714907508161045</v>
      </c>
      <c r="CD51" s="218">
        <f t="shared" si="423"/>
        <v>20.96481682988756</v>
      </c>
      <c r="CE51" s="252">
        <f t="shared" si="424"/>
        <v>0</v>
      </c>
      <c r="CF51" s="309">
        <f t="shared" si="425"/>
        <v>20.96481682988756</v>
      </c>
      <c r="CG51" s="218">
        <f>IF(CD51&gt;0,CD51,0)*1+IF(CD51&gt;12,CD51-12,0)*1+IF(CD51&gt;13,CD51-13,0)*1+IF(CD51&gt;14,CD51-14,0)*1+IF(CD51&gt;15,CD51-15,0)*1+IF(CD51&gt;16,CD51-16,0)*1+IF(CD51&gt;17,CD51-17,0)*1+IF(CD51&gt;18,CD51-18,0)*1+IF(CD51&gt;19,CD51-19,0)*1+IF(CD51&gt;20,CD51-20,0)*1</f>
        <v>65.648168298875589</v>
      </c>
      <c r="CH51" s="242">
        <f>IF(CE51&gt;0,CE51,0)*1+IF(CE51&gt;12,CE51-12,0)*1+IF(CE51&gt;13,CE51-13,0)*1+IF(CE51&gt;14,CE51-14,0)*1+IF(CE51&gt;15,CE51-15,0)*1+IF(CE51&gt;16,CE51-16,0)*1+IF(CE51&gt;17,CE51-17,0)*1+IF(CE51&gt;18,CE51-18,0)*1+IF(CE51&gt;19,CE51-19,0)*1+IF(CE51&gt;20,CE51-20,0)*1</f>
        <v>0</v>
      </c>
      <c r="CI51" s="243">
        <f t="shared" si="426"/>
        <v>65.648168298875589</v>
      </c>
      <c r="CJ51" s="218">
        <f t="shared" si="427"/>
        <v>0</v>
      </c>
      <c r="CL51" s="303" t="s">
        <v>45</v>
      </c>
      <c r="CM51" s="243" t="s">
        <v>94</v>
      </c>
      <c r="CN51" s="218" t="s">
        <v>133</v>
      </c>
      <c r="CO51" s="237"/>
      <c r="CP51" s="234">
        <f t="shared" si="428"/>
        <v>12</v>
      </c>
      <c r="CQ51" s="234">
        <f>Konvention_1slave-INslave_IN</f>
        <v>11</v>
      </c>
      <c r="CR51" s="234"/>
      <c r="CS51" s="234"/>
      <c r="CT51" s="234"/>
      <c r="CU51" s="234"/>
      <c r="CV51" s="224"/>
      <c r="CW51" s="222">
        <f>(CP51+CP51+CQ51)/3</f>
        <v>11.666666666666666</v>
      </c>
      <c r="CX51" s="223">
        <f t="shared" si="430"/>
        <v>23.333333333333332</v>
      </c>
      <c r="CY51" s="224">
        <f t="shared" si="431"/>
        <v>35</v>
      </c>
      <c r="CZ51" s="237">
        <f>CP51*POWER(INslave_IN,SIGN(CQ51))*POWER(KLslave,SIGN(CP51))+CP51*POWER(INslave_IN,SIGN(CQ51))*POWER(KLslave,SIGN(CP51))+CQ51*POWER(KLslave,SIGN(CP51))*POWER(KLslave,SIGN(CP51))</f>
        <v>2432</v>
      </c>
      <c r="DA51" s="234">
        <f>CP51*CP51*INslave_IN+CP51*KLslave*CQ51+KLslave*CP51*CQ51</f>
        <v>3408</v>
      </c>
      <c r="DB51" s="224">
        <f>CP51*CP51*CQ51</f>
        <v>1584</v>
      </c>
      <c r="DC51" s="242">
        <f t="shared" si="506"/>
        <v>7424</v>
      </c>
      <c r="DD51" s="222">
        <f t="shared" si="432"/>
        <v>3.8218390804597702</v>
      </c>
      <c r="DE51" s="223">
        <f t="shared" si="433"/>
        <v>10.711206896551724</v>
      </c>
      <c r="DF51" s="243">
        <f t="shared" si="434"/>
        <v>7.4676724137931032</v>
      </c>
      <c r="DG51" s="218">
        <f t="shared" si="435"/>
        <v>22.000718390804597</v>
      </c>
      <c r="DH51" s="252">
        <f t="shared" si="436"/>
        <v>0</v>
      </c>
      <c r="DI51" s="309">
        <f t="shared" si="437"/>
        <v>22.000718390804597</v>
      </c>
      <c r="DJ51" s="218">
        <f>IF(DG51&gt;0,DG51,0)*1+IF(DG51&gt;12,DG51-12,0)*1+IF(DG51&gt;13,DG51-13,0)*1+IF(DG51&gt;14,DG51-14,0)*1+IF(DG51&gt;15,DG51-15,0)*1+IF(DG51&gt;16,DG51-16,0)*1+IF(DG51&gt;17,DG51-17,0)*1+IF(DG51&gt;18,DG51-18,0)*1+IF(DG51&gt;19,DG51-19,0)*1+IF(DG51&gt;20,DG51-20,0)*1</f>
        <v>76.007183908045945</v>
      </c>
      <c r="DK51" s="242">
        <f>IF(DH51&gt;0,DH51,0)*1+IF(DH51&gt;12,DH51-12,0)*1+IF(DH51&gt;13,DH51-13,0)*1+IF(DH51&gt;14,DH51-14,0)*1+IF(DH51&gt;15,DH51-15,0)*1+IF(DH51&gt;16,DH51-16,0)*1+IF(DH51&gt;17,DH51-17,0)*1+IF(DH51&gt;18,DH51-18,0)*1+IF(DH51&gt;19,DH51-19,0)*1+IF(DH51&gt;20,DH51-20,0)*1</f>
        <v>0</v>
      </c>
      <c r="DL51" s="243">
        <f t="shared" si="438"/>
        <v>76.007183908045945</v>
      </c>
      <c r="DM51" s="218">
        <f t="shared" si="439"/>
        <v>0</v>
      </c>
      <c r="DO51" s="303" t="s">
        <v>45</v>
      </c>
      <c r="DP51" s="243" t="s">
        <v>94</v>
      </c>
      <c r="DQ51" s="218" t="s">
        <v>133</v>
      </c>
      <c r="DR51" s="237"/>
      <c r="DS51" s="234">
        <f t="shared" si="440"/>
        <v>12</v>
      </c>
      <c r="DT51" s="234">
        <f>Konvention_1slave-INslave</f>
        <v>12</v>
      </c>
      <c r="DU51" s="234"/>
      <c r="DV51" s="234"/>
      <c r="DW51" s="234"/>
      <c r="DX51" s="234"/>
      <c r="DY51" s="224"/>
      <c r="DZ51" s="222">
        <f>(DS51+DS51+DT51)/3</f>
        <v>12</v>
      </c>
      <c r="EA51" s="223">
        <f t="shared" si="442"/>
        <v>24</v>
      </c>
      <c r="EB51" s="224">
        <f t="shared" si="443"/>
        <v>36</v>
      </c>
      <c r="EC51" s="237">
        <f>DS51*POWER(INslave,SIGN(DT51))*POWER(KLslave,SIGN(DS51))+DS51*POWER(INslave,SIGN(DT51))*POWER(KLslave,SIGN(DS51))+DT51*POWER(KLslave,SIGN(DS51))*POWER(KLslave,SIGN(DS51))</f>
        <v>2304</v>
      </c>
      <c r="ED51" s="234">
        <f>DS51*DS51*INslave+DS51*KLslave*DT51+KLslave*DS51*DT51</f>
        <v>3456</v>
      </c>
      <c r="EE51" s="224">
        <f>DS51*DS51*DT51</f>
        <v>1728</v>
      </c>
      <c r="EF51" s="242">
        <f t="shared" si="508"/>
        <v>7488</v>
      </c>
      <c r="EG51" s="222">
        <f t="shared" si="444"/>
        <v>3.6923076923076925</v>
      </c>
      <c r="EH51" s="223">
        <f t="shared" si="445"/>
        <v>11.076923076923077</v>
      </c>
      <c r="EI51" s="243">
        <f t="shared" si="446"/>
        <v>8.3076923076923084</v>
      </c>
      <c r="EJ51" s="218">
        <f t="shared" si="447"/>
        <v>23.07692307692308</v>
      </c>
      <c r="EK51" s="252">
        <f t="shared" si="448"/>
        <v>0</v>
      </c>
      <c r="EL51" s="309">
        <f t="shared" si="449"/>
        <v>23.07692307692308</v>
      </c>
      <c r="EM51" s="218">
        <f>IF(EJ51&gt;0,EJ51,0)*1+IF(EJ51&gt;12,EJ51-12,0)*1+IF(EJ51&gt;13,EJ51-13,0)*1+IF(EJ51&gt;14,EJ51-14,0)*1+IF(EJ51&gt;15,EJ51-15,0)*1+IF(EJ51&gt;16,EJ51-16,0)*1+IF(EJ51&gt;17,EJ51-17,0)*1+IF(EJ51&gt;18,EJ51-18,0)*1+IF(EJ51&gt;19,EJ51-19,0)*1+IF(EJ51&gt;20,EJ51-20,0)*1</f>
        <v>86.769230769230802</v>
      </c>
      <c r="EN51" s="242">
        <f>IF(EK51&gt;0,EK51,0)*1+IF(EK51&gt;12,EK51-12,0)*1+IF(EK51&gt;13,EK51-13,0)*1+IF(EK51&gt;14,EK51-14,0)*1+IF(EK51&gt;15,EK51-15,0)*1+IF(EK51&gt;16,EK51-16,0)*1+IF(EK51&gt;17,EK51-17,0)*1+IF(EK51&gt;18,EK51-18,0)*1+IF(EK51&gt;19,EK51-19,0)*1+IF(EK51&gt;20,EK51-20,0)*1</f>
        <v>0</v>
      </c>
      <c r="EO51" s="243">
        <f t="shared" si="450"/>
        <v>86.769230769230802</v>
      </c>
      <c r="EP51" s="218">
        <f t="shared" si="451"/>
        <v>0</v>
      </c>
      <c r="ER51" s="303" t="s">
        <v>45</v>
      </c>
      <c r="ES51" s="243" t="s">
        <v>94</v>
      </c>
      <c r="ET51" s="218" t="s">
        <v>133</v>
      </c>
      <c r="EU51" s="237"/>
      <c r="EV51" s="234">
        <f t="shared" si="452"/>
        <v>12</v>
      </c>
      <c r="EW51" s="234">
        <f>Konvention_1slave-INslave</f>
        <v>12</v>
      </c>
      <c r="EX51" s="234"/>
      <c r="EY51" s="234"/>
      <c r="EZ51" s="234"/>
      <c r="FA51" s="234"/>
      <c r="FB51" s="224"/>
      <c r="FC51" s="222">
        <f>(EV51+EV51+EW51)/3</f>
        <v>12</v>
      </c>
      <c r="FD51" s="223">
        <f t="shared" si="454"/>
        <v>24</v>
      </c>
      <c r="FE51" s="224">
        <f t="shared" si="455"/>
        <v>36</v>
      </c>
      <c r="FF51" s="237">
        <f>EV51*POWER(INslave,SIGN(EW51))*POWER(KLslave,SIGN(EV51))+EV51*POWER(INslave,SIGN(EW51))*POWER(KLslave,SIGN(EV51))+EW51*POWER(KLslave,SIGN(EV51))*POWER(KLslave,SIGN(EV51))</f>
        <v>2304</v>
      </c>
      <c r="FG51" s="234">
        <f>EV51*EV51*INslave+EV51*KLslave*EW51+KLslave*EV51*EW51</f>
        <v>3456</v>
      </c>
      <c r="FH51" s="224">
        <f>EV51*EV51*EW51</f>
        <v>1728</v>
      </c>
      <c r="FI51" s="242">
        <f t="shared" si="510"/>
        <v>7488</v>
      </c>
      <c r="FJ51" s="222">
        <f t="shared" si="456"/>
        <v>3.6923076923076925</v>
      </c>
      <c r="FK51" s="223">
        <f t="shared" si="457"/>
        <v>11.076923076923077</v>
      </c>
      <c r="FL51" s="243">
        <f t="shared" si="458"/>
        <v>8.3076923076923084</v>
      </c>
      <c r="FM51" s="218">
        <f t="shared" si="459"/>
        <v>23.07692307692308</v>
      </c>
      <c r="FN51" s="252">
        <f t="shared" si="460"/>
        <v>0</v>
      </c>
      <c r="FO51" s="309">
        <f t="shared" si="461"/>
        <v>23.07692307692308</v>
      </c>
      <c r="FP51" s="218">
        <f>IF(FM51&gt;0,FM51,0)*1+IF(FM51&gt;12,FM51-12,0)*1+IF(FM51&gt;13,FM51-13,0)*1+IF(FM51&gt;14,FM51-14,0)*1+IF(FM51&gt;15,FM51-15,0)*1+IF(FM51&gt;16,FM51-16,0)*1+IF(FM51&gt;17,FM51-17,0)*1+IF(FM51&gt;18,FM51-18,0)*1+IF(FM51&gt;19,FM51-19,0)*1+IF(FM51&gt;20,FM51-20,0)*1</f>
        <v>86.769230769230802</v>
      </c>
      <c r="FQ51" s="242">
        <f>IF(FN51&gt;0,FN51,0)*1+IF(FN51&gt;12,FN51-12,0)*1+IF(FN51&gt;13,FN51-13,0)*1+IF(FN51&gt;14,FN51-14,0)*1+IF(FN51&gt;15,FN51-15,0)*1+IF(FN51&gt;16,FN51-16,0)*1+IF(FN51&gt;17,FN51-17,0)*1+IF(FN51&gt;18,FN51-18,0)*1+IF(FN51&gt;19,FN51-19,0)*1+IF(FN51&gt;20,FN51-20,0)*1</f>
        <v>0</v>
      </c>
      <c r="FR51" s="243">
        <f t="shared" si="462"/>
        <v>86.769230769230802</v>
      </c>
      <c r="FS51" s="218">
        <f t="shared" si="463"/>
        <v>0</v>
      </c>
      <c r="FU51" s="303" t="s">
        <v>45</v>
      </c>
      <c r="FV51" s="243" t="s">
        <v>94</v>
      </c>
      <c r="FW51" s="218" t="s">
        <v>133</v>
      </c>
      <c r="FX51" s="237"/>
      <c r="FY51" s="234">
        <f t="shared" si="464"/>
        <v>12</v>
      </c>
      <c r="FZ51" s="234">
        <f>Konvention_1slave-INslave</f>
        <v>12</v>
      </c>
      <c r="GA51" s="234"/>
      <c r="GB51" s="234"/>
      <c r="GC51" s="234"/>
      <c r="GD51" s="234"/>
      <c r="GE51" s="224"/>
      <c r="GF51" s="222">
        <f>(FY51+FY51+FZ51)/3</f>
        <v>12</v>
      </c>
      <c r="GG51" s="223">
        <f t="shared" si="466"/>
        <v>24</v>
      </c>
      <c r="GH51" s="224">
        <f t="shared" si="467"/>
        <v>36</v>
      </c>
      <c r="GI51" s="237">
        <f>FY51*POWER(INslave,SIGN(FZ51))*POWER(KLslave,SIGN(FY51))+FY51*POWER(INslave,SIGN(FZ51))*POWER(KLslave,SIGN(FY51))+FZ51*POWER(KLslave,SIGN(FY51))*POWER(KLslave,SIGN(FY51))</f>
        <v>2304</v>
      </c>
      <c r="GJ51" s="234">
        <f>FY51*FY51*INslave+FY51*KLslave*FZ51+KLslave*FY51*FZ51</f>
        <v>3456</v>
      </c>
      <c r="GK51" s="224">
        <f>FY51*FY51*FZ51</f>
        <v>1728</v>
      </c>
      <c r="GL51" s="242">
        <f t="shared" si="512"/>
        <v>7488</v>
      </c>
      <c r="GM51" s="222">
        <f t="shared" si="468"/>
        <v>3.6923076923076925</v>
      </c>
      <c r="GN51" s="223">
        <f t="shared" si="469"/>
        <v>11.076923076923077</v>
      </c>
      <c r="GO51" s="243">
        <f t="shared" si="470"/>
        <v>8.3076923076923084</v>
      </c>
      <c r="GP51" s="218">
        <f t="shared" si="471"/>
        <v>23.07692307692308</v>
      </c>
      <c r="GQ51" s="252">
        <f t="shared" si="472"/>
        <v>0</v>
      </c>
      <c r="GR51" s="309">
        <f t="shared" si="473"/>
        <v>23.07692307692308</v>
      </c>
      <c r="GS51" s="218">
        <f>IF(GP51&gt;0,GP51,0)*1+IF(GP51&gt;12,GP51-12,0)*1+IF(GP51&gt;13,GP51-13,0)*1+IF(GP51&gt;14,GP51-14,0)*1+IF(GP51&gt;15,GP51-15,0)*1+IF(GP51&gt;16,GP51-16,0)*1+IF(GP51&gt;17,GP51-17,0)*1+IF(GP51&gt;18,GP51-18,0)*1+IF(GP51&gt;19,GP51-19,0)*1+IF(GP51&gt;20,GP51-20,0)*1</f>
        <v>86.769230769230802</v>
      </c>
      <c r="GT51" s="242">
        <f>IF(GQ51&gt;0,GQ51,0)*1+IF(GQ51&gt;12,GQ51-12,0)*1+IF(GQ51&gt;13,GQ51-13,0)*1+IF(GQ51&gt;14,GQ51-14,0)*1+IF(GQ51&gt;15,GQ51-15,0)*1+IF(GQ51&gt;16,GQ51-16,0)*1+IF(GQ51&gt;17,GQ51-17,0)*1+IF(GQ51&gt;18,GQ51-18,0)*1+IF(GQ51&gt;19,GQ51-19,0)*1+IF(GQ51&gt;20,GQ51-20,0)*1</f>
        <v>0</v>
      </c>
      <c r="GU51" s="243">
        <f t="shared" si="474"/>
        <v>86.769230769230802</v>
      </c>
      <c r="GV51" s="218">
        <f t="shared" si="475"/>
        <v>0</v>
      </c>
      <c r="GX51" s="303" t="s">
        <v>45</v>
      </c>
      <c r="GY51" s="243" t="s">
        <v>94</v>
      </c>
      <c r="GZ51" s="218" t="s">
        <v>133</v>
      </c>
      <c r="HA51" s="237"/>
      <c r="HB51" s="234">
        <f t="shared" si="476"/>
        <v>12</v>
      </c>
      <c r="HC51" s="234">
        <f>Konvention_1slave-INslave</f>
        <v>12</v>
      </c>
      <c r="HD51" s="234"/>
      <c r="HE51" s="234"/>
      <c r="HF51" s="234"/>
      <c r="HG51" s="234"/>
      <c r="HH51" s="224"/>
      <c r="HI51" s="222">
        <f>(HB51+HB51+HC51)/3</f>
        <v>12</v>
      </c>
      <c r="HJ51" s="223">
        <f t="shared" si="478"/>
        <v>24</v>
      </c>
      <c r="HK51" s="224">
        <f t="shared" si="479"/>
        <v>36</v>
      </c>
      <c r="HL51" s="237">
        <f>HB51*POWER(INslave,SIGN(HC51))*POWER(KLslave,SIGN(HB51))+HB51*POWER(INslave,SIGN(HC51))*POWER(KLslave,SIGN(HB51))+HC51*POWER(KLslave,SIGN(HB51))*POWER(KLslave,SIGN(HB51))</f>
        <v>2304</v>
      </c>
      <c r="HM51" s="234">
        <f>HB51*HB51*INslave+HB51*KLslave*HC51+KLslave*HB51*HC51</f>
        <v>3456</v>
      </c>
      <c r="HN51" s="224">
        <f>HB51*HB51*HC51</f>
        <v>1728</v>
      </c>
      <c r="HO51" s="242">
        <f t="shared" si="514"/>
        <v>7488</v>
      </c>
      <c r="HP51" s="222">
        <f t="shared" si="480"/>
        <v>3.6923076923076925</v>
      </c>
      <c r="HQ51" s="223">
        <f t="shared" si="481"/>
        <v>11.076923076923077</v>
      </c>
      <c r="HR51" s="243">
        <f t="shared" si="482"/>
        <v>8.3076923076923084</v>
      </c>
      <c r="HS51" s="218">
        <f t="shared" si="483"/>
        <v>23.07692307692308</v>
      </c>
      <c r="HT51" s="252">
        <f t="shared" si="484"/>
        <v>0</v>
      </c>
      <c r="HU51" s="309">
        <f t="shared" si="485"/>
        <v>23.07692307692308</v>
      </c>
      <c r="HV51" s="218">
        <f>IF(HS51&gt;0,HS51,0)*1+IF(HS51&gt;12,HS51-12,0)*1+IF(HS51&gt;13,HS51-13,0)*1+IF(HS51&gt;14,HS51-14,0)*1+IF(HS51&gt;15,HS51-15,0)*1+IF(HS51&gt;16,HS51-16,0)*1+IF(HS51&gt;17,HS51-17,0)*1+IF(HS51&gt;18,HS51-18,0)*1+IF(HS51&gt;19,HS51-19,0)*1+IF(HS51&gt;20,HS51-20,0)*1</f>
        <v>86.769230769230802</v>
      </c>
      <c r="HW51" s="242">
        <f>IF(HT51&gt;0,HT51,0)*1+IF(HT51&gt;12,HT51-12,0)*1+IF(HT51&gt;13,HT51-13,0)*1+IF(HT51&gt;14,HT51-14,0)*1+IF(HT51&gt;15,HT51-15,0)*1+IF(HT51&gt;16,HT51-16,0)*1+IF(HT51&gt;17,HT51-17,0)*1+IF(HT51&gt;18,HT51-18,0)*1+IF(HT51&gt;19,HT51-19,0)*1+IF(HT51&gt;20,HT51-20,0)*1</f>
        <v>0</v>
      </c>
      <c r="HX51" s="243">
        <f t="shared" si="486"/>
        <v>86.769230769230802</v>
      </c>
      <c r="HY51" s="218">
        <f t="shared" si="487"/>
        <v>0</v>
      </c>
      <c r="IA51" s="303" t="s">
        <v>45</v>
      </c>
      <c r="IB51" s="243" t="s">
        <v>94</v>
      </c>
      <c r="IC51" s="218" t="s">
        <v>133</v>
      </c>
      <c r="ID51" s="237"/>
      <c r="IE51" s="234">
        <f t="shared" si="488"/>
        <v>12</v>
      </c>
      <c r="IF51" s="234">
        <f>Konvention_1slave-INslave</f>
        <v>12</v>
      </c>
      <c r="IG51" s="234"/>
      <c r="IH51" s="234"/>
      <c r="II51" s="234"/>
      <c r="IJ51" s="234"/>
      <c r="IK51" s="224"/>
      <c r="IL51" s="222">
        <f>(IE51+IE51+IF51)/3</f>
        <v>12</v>
      </c>
      <c r="IM51" s="223">
        <f t="shared" si="490"/>
        <v>24</v>
      </c>
      <c r="IN51" s="224">
        <f t="shared" si="491"/>
        <v>36</v>
      </c>
      <c r="IO51" s="237">
        <f>IE51*POWER(INslave,SIGN(IF51))*POWER(KLslave,SIGN(IE51))+IE51*POWER(INslave,SIGN(IF51))*POWER(KLslave,SIGN(IE51))+IF51*POWER(KLslave,SIGN(IE51))*POWER(KLslave,SIGN(IE51))</f>
        <v>2304</v>
      </c>
      <c r="IP51" s="234">
        <f>IE51*IE51*INslave+IE51*KLslave*IF51+KLslave*IE51*IF51</f>
        <v>3456</v>
      </c>
      <c r="IQ51" s="224">
        <f>IE51*IE51*IF51</f>
        <v>1728</v>
      </c>
      <c r="IR51" s="242">
        <f t="shared" si="516"/>
        <v>7488</v>
      </c>
      <c r="IS51" s="222">
        <f t="shared" si="492"/>
        <v>3.6923076923076925</v>
      </c>
      <c r="IT51" s="223">
        <f t="shared" si="493"/>
        <v>11.076923076923077</v>
      </c>
      <c r="IU51" s="243">
        <f t="shared" si="494"/>
        <v>8.3076923076923084</v>
      </c>
      <c r="IV51" s="218">
        <f t="shared" si="495"/>
        <v>23.07692307692308</v>
      </c>
      <c r="IW51" s="252">
        <f t="shared" si="496"/>
        <v>0</v>
      </c>
      <c r="IX51" s="309">
        <f t="shared" si="497"/>
        <v>23.07692307692308</v>
      </c>
      <c r="IY51" s="218">
        <f>IF(IV51&gt;0,IV51,0)*1+IF(IV51&gt;12,IV51-12,0)*1+IF(IV51&gt;13,IV51-13,0)*1+IF(IV51&gt;14,IV51-14,0)*1+IF(IV51&gt;15,IV51-15,0)*1+IF(IV51&gt;16,IV51-16,0)*1+IF(IV51&gt;17,IV51-17,0)*1+IF(IV51&gt;18,IV51-18,0)*1+IF(IV51&gt;19,IV51-19,0)*1+IF(IV51&gt;20,IV51-20,0)*1</f>
        <v>86.769230769230802</v>
      </c>
      <c r="IZ51" s="242">
        <f>IF(IW51&gt;0,IW51,0)*1+IF(IW51&gt;12,IW51-12,0)*1+IF(IW51&gt;13,IW51-13,0)*1+IF(IW51&gt;14,IW51-14,0)*1+IF(IW51&gt;15,IW51-15,0)*1+IF(IW51&gt;16,IW51-16,0)*1+IF(IW51&gt;17,IW51-17,0)*1+IF(IW51&gt;18,IW51-18,0)*1+IF(IW51&gt;19,IW51-19,0)*1+IF(IW51&gt;20,IW51-20,0)*1</f>
        <v>0</v>
      </c>
      <c r="JA51" s="243">
        <f t="shared" si="498"/>
        <v>86.769230769230802</v>
      </c>
      <c r="JB51" s="218">
        <f t="shared" si="499"/>
        <v>0</v>
      </c>
      <c r="JE51" s="148"/>
    </row>
    <row r="52" spans="2:265" hidden="1" outlineLevel="2">
      <c r="B52" s="148">
        <v>9</v>
      </c>
      <c r="C52" s="303" t="e">
        <f>VLOOKUP(AF52,Attribute!C:T,1,FALSE)</f>
        <v>#N/A</v>
      </c>
      <c r="D52" s="127" t="s">
        <v>94</v>
      </c>
      <c r="E52" s="125" t="s">
        <v>133</v>
      </c>
      <c r="F52" s="114"/>
      <c r="G52" s="113">
        <f t="shared" si="393"/>
        <v>12</v>
      </c>
      <c r="H52" s="113">
        <f>Konvention_1master-INmaster</f>
        <v>12</v>
      </c>
      <c r="I52" s="113"/>
      <c r="J52" s="113"/>
      <c r="K52" s="113"/>
      <c r="L52" s="113"/>
      <c r="M52" s="119"/>
      <c r="N52" s="222">
        <f>(G52+G52+H52)/3</f>
        <v>12</v>
      </c>
      <c r="O52" s="223">
        <f t="shared" si="395"/>
        <v>24</v>
      </c>
      <c r="P52" s="224">
        <f t="shared" si="396"/>
        <v>36</v>
      </c>
      <c r="Q52" s="237">
        <f>G52*POWER(INmaster,SIGN(H52))*POWER(KLmaster,SIGN(G52))+G52*POWER(INmaster,SIGN(H52))*POWER(KLmaster,SIGN(G52))+H52*POWER(KLmaster,SIGN(G52))*POWER(KLmaster,SIGN(G52))</f>
        <v>2304</v>
      </c>
      <c r="R52" s="113">
        <f>G52*G52*INmaster+G52*KLmaster*H52+KLmaster*G52*H52</f>
        <v>3456</v>
      </c>
      <c r="S52" s="224">
        <f>G52*G52*H52</f>
        <v>1728</v>
      </c>
      <c r="T52" s="242">
        <f t="shared" si="500"/>
        <v>7488</v>
      </c>
      <c r="U52" s="222">
        <f t="shared" si="397"/>
        <v>3.6923076923076925</v>
      </c>
      <c r="V52" s="223">
        <f t="shared" si="398"/>
        <v>11.076923076923077</v>
      </c>
      <c r="W52" s="243">
        <f t="shared" si="399"/>
        <v>8.3076923076923084</v>
      </c>
      <c r="X52" s="218">
        <f t="shared" si="400"/>
        <v>23.07692307692308</v>
      </c>
      <c r="Y52" s="252">
        <v>0</v>
      </c>
      <c r="Z52" s="198">
        <f t="shared" si="401"/>
        <v>23.07692307692308</v>
      </c>
      <c r="AA52" s="125">
        <f>IF(X52&gt;0,X52,0)*1+IF(X52&gt;12,X52-12,0)*1+IF(X52&gt;13,X52-13,0)*1+IF(X52&gt;14,X52-14,0)*1+IF(X52&gt;15,X52-15,0)*1+IF(X52&gt;16,X52-16,0)*1+IF(X52&gt;17,X52-17,0)*1+IF(X52&gt;18,X52-18,0)*1+IF(X52&gt;19,X52-19,0)*1+IF(X52&gt;20,X52-20,0)*1</f>
        <v>86.769230769230802</v>
      </c>
      <c r="AB52" s="160">
        <f>IF(Y52&gt;0,Y52,0)*1+IF(Y52&gt;12,Y52-12,0)*1+IF(Y52&gt;13,Y52-13,0)*1+IF(Y52&gt;14,Y52-14,0)*1+IF(Y52&gt;15,Y52-15,0)*1+IF(Y52&gt;16,Y52-16,0)*1+IF(Y52&gt;17,Y52-17,0)*1+IF(Y52&gt;18,Y52-18,0)*1+IF(Y52&gt;19,Y52-19,0)*1+IF(Y52&gt;20,Y52-20,0)*1</f>
        <v>0</v>
      </c>
      <c r="AC52" s="127">
        <f t="shared" si="402"/>
        <v>86.769230769230802</v>
      </c>
      <c r="AD52" s="125">
        <f t="shared" si="403"/>
        <v>0</v>
      </c>
      <c r="AF52" s="163" t="s">
        <v>46</v>
      </c>
      <c r="AG52" s="127" t="s">
        <v>94</v>
      </c>
      <c r="AH52" s="125" t="s">
        <v>133</v>
      </c>
      <c r="AI52" s="114"/>
      <c r="AJ52" s="113">
        <f t="shared" si="404"/>
        <v>12</v>
      </c>
      <c r="AK52" s="113">
        <f>Konvention_1slave-INslave</f>
        <v>12</v>
      </c>
      <c r="AL52" s="113"/>
      <c r="AM52" s="113"/>
      <c r="AN52" s="113"/>
      <c r="AO52" s="113"/>
      <c r="AP52" s="119"/>
      <c r="AQ52" s="89">
        <f>(AJ52+AJ52+AK52)/3</f>
        <v>12</v>
      </c>
      <c r="AR52" s="47">
        <f t="shared" si="406"/>
        <v>24</v>
      </c>
      <c r="AS52" s="119">
        <f t="shared" si="407"/>
        <v>36</v>
      </c>
      <c r="AT52" s="114">
        <f>AJ52*POWER(INslave,SIGN(AK52))*POWER(KLslave,SIGN(AJ52))+AJ52*POWER(INslave,SIGN(AK52))*POWER(KLslave,SIGN(AJ52))+AK52*POWER(KLslave,SIGN(AJ52))*POWER(KLslave,SIGN(AJ52))</f>
        <v>2304</v>
      </c>
      <c r="AU52" s="113">
        <f>AJ52*AJ52*INslave+AJ52*KLslave*AK52+KLslave*AJ52*AK52</f>
        <v>3456</v>
      </c>
      <c r="AV52" s="119">
        <f>AJ52*AJ52*AK52</f>
        <v>1728</v>
      </c>
      <c r="AW52" s="160">
        <f t="shared" si="502"/>
        <v>7488</v>
      </c>
      <c r="AX52" s="89">
        <f t="shared" si="408"/>
        <v>3.6923076923076925</v>
      </c>
      <c r="AY52" s="47">
        <f t="shared" si="409"/>
        <v>11.076923076923077</v>
      </c>
      <c r="AZ52" s="127">
        <f t="shared" si="410"/>
        <v>8.3076923076923084</v>
      </c>
      <c r="BA52" s="125">
        <f t="shared" si="411"/>
        <v>23.07692307692308</v>
      </c>
      <c r="BB52" s="165">
        <f t="shared" si="412"/>
        <v>0</v>
      </c>
      <c r="BC52" s="198">
        <f t="shared" si="413"/>
        <v>23.07692307692308</v>
      </c>
      <c r="BD52" s="125">
        <f>IF(BA52&gt;0,BA52,0)*1+IF(BA52&gt;12,BA52-12,0)*1+IF(BA52&gt;13,BA52-13,0)*1+IF(BA52&gt;14,BA52-14,0)*1+IF(BA52&gt;15,BA52-15,0)*1+IF(BA52&gt;16,BA52-16,0)*1+IF(BA52&gt;17,BA52-17,0)*1+IF(BA52&gt;18,BA52-18,0)*1+IF(BA52&gt;19,BA52-19,0)*1+IF(BA52&gt;20,BA52-20,0)*1</f>
        <v>86.769230769230802</v>
      </c>
      <c r="BE52" s="160">
        <f>IF(BB52&gt;0,BB52,0)*1+IF(BB52&gt;12,BB52-12,0)*1+IF(BB52&gt;13,BB52-13,0)*1+IF(BB52&gt;14,BB52-14,0)*1+IF(BB52&gt;15,BB52-15,0)*1+IF(BB52&gt;16,BB52-16,0)*1+IF(BB52&gt;17,BB52-17,0)*1+IF(BB52&gt;18,BB52-18,0)*1+IF(BB52&gt;19,BB52-19,0)*1+IF(BB52&gt;20,BB52-20,0)*1</f>
        <v>0</v>
      </c>
      <c r="BF52" s="243">
        <f t="shared" si="414"/>
        <v>86.769230769230802</v>
      </c>
      <c r="BG52" s="218">
        <f t="shared" si="415"/>
        <v>0</v>
      </c>
      <c r="BI52" s="303" t="s">
        <v>46</v>
      </c>
      <c r="BJ52" s="243" t="s">
        <v>94</v>
      </c>
      <c r="BK52" s="218" t="s">
        <v>133</v>
      </c>
      <c r="BL52" s="237"/>
      <c r="BM52" s="234">
        <f t="shared" si="416"/>
        <v>11</v>
      </c>
      <c r="BN52" s="234">
        <f>Konvention_1slave-INslave</f>
        <v>12</v>
      </c>
      <c r="BO52" s="234"/>
      <c r="BP52" s="234"/>
      <c r="BQ52" s="234"/>
      <c r="BR52" s="234"/>
      <c r="BS52" s="224"/>
      <c r="BT52" s="222">
        <f>(BM52+BM52+BN52)/3</f>
        <v>11.333333333333334</v>
      </c>
      <c r="BU52" s="223">
        <f t="shared" si="418"/>
        <v>22.666666666666668</v>
      </c>
      <c r="BV52" s="224">
        <f t="shared" si="419"/>
        <v>34</v>
      </c>
      <c r="BW52" s="237">
        <f>BM52*POWER(INslave,SIGN(BN52))*POWER(KLslave_KL,SIGN(BM52))+BM52*POWER(INslave,SIGN(BN52))*POWER(KLslave_KL,SIGN(BM52))+BN52*POWER(KLslave_KL,SIGN(BM52))*POWER(KLslave_KL,SIGN(BM52))</f>
        <v>2556</v>
      </c>
      <c r="BX52" s="234">
        <f>BM52*BM52*INslave+BM52*KLslave_KL*BN52+KLslave_KL*BM52*BN52</f>
        <v>3344</v>
      </c>
      <c r="BY52" s="224">
        <f>BM52*BM52*BN52</f>
        <v>1452</v>
      </c>
      <c r="BZ52" s="242">
        <f t="shared" si="504"/>
        <v>7352</v>
      </c>
      <c r="CA52" s="222">
        <f t="shared" si="420"/>
        <v>3.940152339499456</v>
      </c>
      <c r="CB52" s="223">
        <f t="shared" si="421"/>
        <v>10.309756982227059</v>
      </c>
      <c r="CC52" s="243">
        <f t="shared" si="422"/>
        <v>6.714907508161045</v>
      </c>
      <c r="CD52" s="218">
        <f t="shared" si="423"/>
        <v>20.96481682988756</v>
      </c>
      <c r="CE52" s="252">
        <f t="shared" si="424"/>
        <v>0</v>
      </c>
      <c r="CF52" s="309">
        <f t="shared" si="425"/>
        <v>20.96481682988756</v>
      </c>
      <c r="CG52" s="218">
        <f>IF(CD52&gt;0,CD52,0)*1+IF(CD52&gt;12,CD52-12,0)*1+IF(CD52&gt;13,CD52-13,0)*1+IF(CD52&gt;14,CD52-14,0)*1+IF(CD52&gt;15,CD52-15,0)*1+IF(CD52&gt;16,CD52-16,0)*1+IF(CD52&gt;17,CD52-17,0)*1+IF(CD52&gt;18,CD52-18,0)*1+IF(CD52&gt;19,CD52-19,0)*1+IF(CD52&gt;20,CD52-20,0)*1</f>
        <v>65.648168298875589</v>
      </c>
      <c r="CH52" s="242">
        <f>IF(CE52&gt;0,CE52,0)*1+IF(CE52&gt;12,CE52-12,0)*1+IF(CE52&gt;13,CE52-13,0)*1+IF(CE52&gt;14,CE52-14,0)*1+IF(CE52&gt;15,CE52-15,0)*1+IF(CE52&gt;16,CE52-16,0)*1+IF(CE52&gt;17,CE52-17,0)*1+IF(CE52&gt;18,CE52-18,0)*1+IF(CE52&gt;19,CE52-19,0)*1+IF(CE52&gt;20,CE52-20,0)*1</f>
        <v>0</v>
      </c>
      <c r="CI52" s="243">
        <f t="shared" si="426"/>
        <v>65.648168298875589</v>
      </c>
      <c r="CJ52" s="218">
        <f t="shared" si="427"/>
        <v>0</v>
      </c>
      <c r="CL52" s="303" t="s">
        <v>46</v>
      </c>
      <c r="CM52" s="243" t="s">
        <v>94</v>
      </c>
      <c r="CN52" s="218" t="s">
        <v>133</v>
      </c>
      <c r="CO52" s="237"/>
      <c r="CP52" s="234">
        <f t="shared" si="428"/>
        <v>12</v>
      </c>
      <c r="CQ52" s="234">
        <f>Konvention_1slave-INslave_IN</f>
        <v>11</v>
      </c>
      <c r="CR52" s="234"/>
      <c r="CS52" s="234"/>
      <c r="CT52" s="234"/>
      <c r="CU52" s="234"/>
      <c r="CV52" s="224"/>
      <c r="CW52" s="222">
        <f>(CP52+CP52+CQ52)/3</f>
        <v>11.666666666666666</v>
      </c>
      <c r="CX52" s="223">
        <f t="shared" si="430"/>
        <v>23.333333333333332</v>
      </c>
      <c r="CY52" s="224">
        <f t="shared" si="431"/>
        <v>35</v>
      </c>
      <c r="CZ52" s="237">
        <f>CP52*POWER(INslave_IN,SIGN(CQ52))*POWER(KLslave,SIGN(CP52))+CP52*POWER(INslave_IN,SIGN(CQ52))*POWER(KLslave,SIGN(CP52))+CQ52*POWER(KLslave,SIGN(CP52))*POWER(KLslave,SIGN(CP52))</f>
        <v>2432</v>
      </c>
      <c r="DA52" s="234">
        <f>CP52*CP52*INslave_IN+CP52*KLslave*CQ52+KLslave*CP52*CQ52</f>
        <v>3408</v>
      </c>
      <c r="DB52" s="224">
        <f>CP52*CP52*CQ52</f>
        <v>1584</v>
      </c>
      <c r="DC52" s="242">
        <f t="shared" si="506"/>
        <v>7424</v>
      </c>
      <c r="DD52" s="222">
        <f t="shared" si="432"/>
        <v>3.8218390804597702</v>
      </c>
      <c r="DE52" s="223">
        <f t="shared" si="433"/>
        <v>10.711206896551724</v>
      </c>
      <c r="DF52" s="243">
        <f t="shared" si="434"/>
        <v>7.4676724137931032</v>
      </c>
      <c r="DG52" s="218">
        <f t="shared" si="435"/>
        <v>22.000718390804597</v>
      </c>
      <c r="DH52" s="252">
        <f t="shared" si="436"/>
        <v>0</v>
      </c>
      <c r="DI52" s="309">
        <f t="shared" si="437"/>
        <v>22.000718390804597</v>
      </c>
      <c r="DJ52" s="218">
        <f>IF(DG52&gt;0,DG52,0)*1+IF(DG52&gt;12,DG52-12,0)*1+IF(DG52&gt;13,DG52-13,0)*1+IF(DG52&gt;14,DG52-14,0)*1+IF(DG52&gt;15,DG52-15,0)*1+IF(DG52&gt;16,DG52-16,0)*1+IF(DG52&gt;17,DG52-17,0)*1+IF(DG52&gt;18,DG52-18,0)*1+IF(DG52&gt;19,DG52-19,0)*1+IF(DG52&gt;20,DG52-20,0)*1</f>
        <v>76.007183908045945</v>
      </c>
      <c r="DK52" s="242">
        <f>IF(DH52&gt;0,DH52,0)*1+IF(DH52&gt;12,DH52-12,0)*1+IF(DH52&gt;13,DH52-13,0)*1+IF(DH52&gt;14,DH52-14,0)*1+IF(DH52&gt;15,DH52-15,0)*1+IF(DH52&gt;16,DH52-16,0)*1+IF(DH52&gt;17,DH52-17,0)*1+IF(DH52&gt;18,DH52-18,0)*1+IF(DH52&gt;19,DH52-19,0)*1+IF(DH52&gt;20,DH52-20,0)*1</f>
        <v>0</v>
      </c>
      <c r="DL52" s="243">
        <f t="shared" si="438"/>
        <v>76.007183908045945</v>
      </c>
      <c r="DM52" s="218">
        <f t="shared" si="439"/>
        <v>0</v>
      </c>
      <c r="DO52" s="303" t="s">
        <v>46</v>
      </c>
      <c r="DP52" s="243" t="s">
        <v>94</v>
      </c>
      <c r="DQ52" s="218" t="s">
        <v>133</v>
      </c>
      <c r="DR52" s="237"/>
      <c r="DS52" s="234">
        <f t="shared" si="440"/>
        <v>12</v>
      </c>
      <c r="DT52" s="234">
        <f>Konvention_1slave-INslave</f>
        <v>12</v>
      </c>
      <c r="DU52" s="234"/>
      <c r="DV52" s="234"/>
      <c r="DW52" s="234"/>
      <c r="DX52" s="234"/>
      <c r="DY52" s="224"/>
      <c r="DZ52" s="222">
        <f>(DS52+DS52+DT52)/3</f>
        <v>12</v>
      </c>
      <c r="EA52" s="223">
        <f t="shared" si="442"/>
        <v>24</v>
      </c>
      <c r="EB52" s="224">
        <f t="shared" si="443"/>
        <v>36</v>
      </c>
      <c r="EC52" s="237">
        <f>DS52*POWER(INslave,SIGN(DT52))*POWER(KLslave,SIGN(DS52))+DS52*POWER(INslave,SIGN(DT52))*POWER(KLslave,SIGN(DS52))+DT52*POWER(KLslave,SIGN(DS52))*POWER(KLslave,SIGN(DS52))</f>
        <v>2304</v>
      </c>
      <c r="ED52" s="234">
        <f>DS52*DS52*INslave+DS52*KLslave*DT52+KLslave*DS52*DT52</f>
        <v>3456</v>
      </c>
      <c r="EE52" s="224">
        <f>DS52*DS52*DT52</f>
        <v>1728</v>
      </c>
      <c r="EF52" s="242">
        <f t="shared" si="508"/>
        <v>7488</v>
      </c>
      <c r="EG52" s="222">
        <f t="shared" si="444"/>
        <v>3.6923076923076925</v>
      </c>
      <c r="EH52" s="223">
        <f t="shared" si="445"/>
        <v>11.076923076923077</v>
      </c>
      <c r="EI52" s="243">
        <f t="shared" si="446"/>
        <v>8.3076923076923084</v>
      </c>
      <c r="EJ52" s="218">
        <f t="shared" si="447"/>
        <v>23.07692307692308</v>
      </c>
      <c r="EK52" s="252">
        <f t="shared" si="448"/>
        <v>0</v>
      </c>
      <c r="EL52" s="309">
        <f t="shared" si="449"/>
        <v>23.07692307692308</v>
      </c>
      <c r="EM52" s="218">
        <f>IF(EJ52&gt;0,EJ52,0)*1+IF(EJ52&gt;12,EJ52-12,0)*1+IF(EJ52&gt;13,EJ52-13,0)*1+IF(EJ52&gt;14,EJ52-14,0)*1+IF(EJ52&gt;15,EJ52-15,0)*1+IF(EJ52&gt;16,EJ52-16,0)*1+IF(EJ52&gt;17,EJ52-17,0)*1+IF(EJ52&gt;18,EJ52-18,0)*1+IF(EJ52&gt;19,EJ52-19,0)*1+IF(EJ52&gt;20,EJ52-20,0)*1</f>
        <v>86.769230769230802</v>
      </c>
      <c r="EN52" s="242">
        <f>IF(EK52&gt;0,EK52,0)*1+IF(EK52&gt;12,EK52-12,0)*1+IF(EK52&gt;13,EK52-13,0)*1+IF(EK52&gt;14,EK52-14,0)*1+IF(EK52&gt;15,EK52-15,0)*1+IF(EK52&gt;16,EK52-16,0)*1+IF(EK52&gt;17,EK52-17,0)*1+IF(EK52&gt;18,EK52-18,0)*1+IF(EK52&gt;19,EK52-19,0)*1+IF(EK52&gt;20,EK52-20,0)*1</f>
        <v>0</v>
      </c>
      <c r="EO52" s="243">
        <f t="shared" si="450"/>
        <v>86.769230769230802</v>
      </c>
      <c r="EP52" s="218">
        <f t="shared" si="451"/>
        <v>0</v>
      </c>
      <c r="ER52" s="303" t="s">
        <v>46</v>
      </c>
      <c r="ES52" s="243" t="s">
        <v>94</v>
      </c>
      <c r="ET52" s="218" t="s">
        <v>133</v>
      </c>
      <c r="EU52" s="237"/>
      <c r="EV52" s="234">
        <f t="shared" si="452"/>
        <v>12</v>
      </c>
      <c r="EW52" s="234">
        <f>Konvention_1slave-INslave</f>
        <v>12</v>
      </c>
      <c r="EX52" s="234"/>
      <c r="EY52" s="234"/>
      <c r="EZ52" s="234"/>
      <c r="FA52" s="234"/>
      <c r="FB52" s="224"/>
      <c r="FC52" s="222">
        <f>(EV52+EV52+EW52)/3</f>
        <v>12</v>
      </c>
      <c r="FD52" s="223">
        <f t="shared" si="454"/>
        <v>24</v>
      </c>
      <c r="FE52" s="224">
        <f t="shared" si="455"/>
        <v>36</v>
      </c>
      <c r="FF52" s="237">
        <f>EV52*POWER(INslave,SIGN(EW52))*POWER(KLslave,SIGN(EV52))+EV52*POWER(INslave,SIGN(EW52))*POWER(KLslave,SIGN(EV52))+EW52*POWER(KLslave,SIGN(EV52))*POWER(KLslave,SIGN(EV52))</f>
        <v>2304</v>
      </c>
      <c r="FG52" s="234">
        <f>EV52*EV52*INslave+EV52*KLslave*EW52+KLslave*EV52*EW52</f>
        <v>3456</v>
      </c>
      <c r="FH52" s="224">
        <f>EV52*EV52*EW52</f>
        <v>1728</v>
      </c>
      <c r="FI52" s="242">
        <f t="shared" si="510"/>
        <v>7488</v>
      </c>
      <c r="FJ52" s="222">
        <f t="shared" si="456"/>
        <v>3.6923076923076925</v>
      </c>
      <c r="FK52" s="223">
        <f t="shared" si="457"/>
        <v>11.076923076923077</v>
      </c>
      <c r="FL52" s="243">
        <f t="shared" si="458"/>
        <v>8.3076923076923084</v>
      </c>
      <c r="FM52" s="218">
        <f t="shared" si="459"/>
        <v>23.07692307692308</v>
      </c>
      <c r="FN52" s="252">
        <f t="shared" si="460"/>
        <v>0</v>
      </c>
      <c r="FO52" s="309">
        <f t="shared" si="461"/>
        <v>23.07692307692308</v>
      </c>
      <c r="FP52" s="218">
        <f>IF(FM52&gt;0,FM52,0)*1+IF(FM52&gt;12,FM52-12,0)*1+IF(FM52&gt;13,FM52-13,0)*1+IF(FM52&gt;14,FM52-14,0)*1+IF(FM52&gt;15,FM52-15,0)*1+IF(FM52&gt;16,FM52-16,0)*1+IF(FM52&gt;17,FM52-17,0)*1+IF(FM52&gt;18,FM52-18,0)*1+IF(FM52&gt;19,FM52-19,0)*1+IF(FM52&gt;20,FM52-20,0)*1</f>
        <v>86.769230769230802</v>
      </c>
      <c r="FQ52" s="242">
        <f>IF(FN52&gt;0,FN52,0)*1+IF(FN52&gt;12,FN52-12,0)*1+IF(FN52&gt;13,FN52-13,0)*1+IF(FN52&gt;14,FN52-14,0)*1+IF(FN52&gt;15,FN52-15,0)*1+IF(FN52&gt;16,FN52-16,0)*1+IF(FN52&gt;17,FN52-17,0)*1+IF(FN52&gt;18,FN52-18,0)*1+IF(FN52&gt;19,FN52-19,0)*1+IF(FN52&gt;20,FN52-20,0)*1</f>
        <v>0</v>
      </c>
      <c r="FR52" s="243">
        <f t="shared" si="462"/>
        <v>86.769230769230802</v>
      </c>
      <c r="FS52" s="218">
        <f t="shared" si="463"/>
        <v>0</v>
      </c>
      <c r="FU52" s="303" t="s">
        <v>46</v>
      </c>
      <c r="FV52" s="243" t="s">
        <v>94</v>
      </c>
      <c r="FW52" s="218" t="s">
        <v>133</v>
      </c>
      <c r="FX52" s="237"/>
      <c r="FY52" s="234">
        <f t="shared" si="464"/>
        <v>12</v>
      </c>
      <c r="FZ52" s="234">
        <f>Konvention_1slave-INslave</f>
        <v>12</v>
      </c>
      <c r="GA52" s="234"/>
      <c r="GB52" s="234"/>
      <c r="GC52" s="234"/>
      <c r="GD52" s="234"/>
      <c r="GE52" s="224"/>
      <c r="GF52" s="222">
        <f>(FY52+FY52+FZ52)/3</f>
        <v>12</v>
      </c>
      <c r="GG52" s="223">
        <f t="shared" si="466"/>
        <v>24</v>
      </c>
      <c r="GH52" s="224">
        <f t="shared" si="467"/>
        <v>36</v>
      </c>
      <c r="GI52" s="237">
        <f>FY52*POWER(INslave,SIGN(FZ52))*POWER(KLslave,SIGN(FY52))+FY52*POWER(INslave,SIGN(FZ52))*POWER(KLslave,SIGN(FY52))+FZ52*POWER(KLslave,SIGN(FY52))*POWER(KLslave,SIGN(FY52))</f>
        <v>2304</v>
      </c>
      <c r="GJ52" s="234">
        <f>FY52*FY52*INslave+FY52*KLslave*FZ52+KLslave*FY52*FZ52</f>
        <v>3456</v>
      </c>
      <c r="GK52" s="224">
        <f>FY52*FY52*FZ52</f>
        <v>1728</v>
      </c>
      <c r="GL52" s="242">
        <f t="shared" si="512"/>
        <v>7488</v>
      </c>
      <c r="GM52" s="222">
        <f t="shared" si="468"/>
        <v>3.6923076923076925</v>
      </c>
      <c r="GN52" s="223">
        <f t="shared" si="469"/>
        <v>11.076923076923077</v>
      </c>
      <c r="GO52" s="243">
        <f t="shared" si="470"/>
        <v>8.3076923076923084</v>
      </c>
      <c r="GP52" s="218">
        <f t="shared" si="471"/>
        <v>23.07692307692308</v>
      </c>
      <c r="GQ52" s="252">
        <f t="shared" si="472"/>
        <v>0</v>
      </c>
      <c r="GR52" s="309">
        <f t="shared" si="473"/>
        <v>23.07692307692308</v>
      </c>
      <c r="GS52" s="218">
        <f>IF(GP52&gt;0,GP52,0)*1+IF(GP52&gt;12,GP52-12,0)*1+IF(GP52&gt;13,GP52-13,0)*1+IF(GP52&gt;14,GP52-14,0)*1+IF(GP52&gt;15,GP52-15,0)*1+IF(GP52&gt;16,GP52-16,0)*1+IF(GP52&gt;17,GP52-17,0)*1+IF(GP52&gt;18,GP52-18,0)*1+IF(GP52&gt;19,GP52-19,0)*1+IF(GP52&gt;20,GP52-20,0)*1</f>
        <v>86.769230769230802</v>
      </c>
      <c r="GT52" s="242">
        <f>IF(GQ52&gt;0,GQ52,0)*1+IF(GQ52&gt;12,GQ52-12,0)*1+IF(GQ52&gt;13,GQ52-13,0)*1+IF(GQ52&gt;14,GQ52-14,0)*1+IF(GQ52&gt;15,GQ52-15,0)*1+IF(GQ52&gt;16,GQ52-16,0)*1+IF(GQ52&gt;17,GQ52-17,0)*1+IF(GQ52&gt;18,GQ52-18,0)*1+IF(GQ52&gt;19,GQ52-19,0)*1+IF(GQ52&gt;20,GQ52-20,0)*1</f>
        <v>0</v>
      </c>
      <c r="GU52" s="243">
        <f t="shared" si="474"/>
        <v>86.769230769230802</v>
      </c>
      <c r="GV52" s="218">
        <f t="shared" si="475"/>
        <v>0</v>
      </c>
      <c r="GX52" s="303" t="s">
        <v>46</v>
      </c>
      <c r="GY52" s="243" t="s">
        <v>94</v>
      </c>
      <c r="GZ52" s="218" t="s">
        <v>133</v>
      </c>
      <c r="HA52" s="237"/>
      <c r="HB52" s="234">
        <f t="shared" si="476"/>
        <v>12</v>
      </c>
      <c r="HC52" s="234">
        <f>Konvention_1slave-INslave</f>
        <v>12</v>
      </c>
      <c r="HD52" s="234"/>
      <c r="HE52" s="234"/>
      <c r="HF52" s="234"/>
      <c r="HG52" s="234"/>
      <c r="HH52" s="224"/>
      <c r="HI52" s="222">
        <f>(HB52+HB52+HC52)/3</f>
        <v>12</v>
      </c>
      <c r="HJ52" s="223">
        <f t="shared" si="478"/>
        <v>24</v>
      </c>
      <c r="HK52" s="224">
        <f t="shared" si="479"/>
        <v>36</v>
      </c>
      <c r="HL52" s="237">
        <f>HB52*POWER(INslave,SIGN(HC52))*POWER(KLslave,SIGN(HB52))+HB52*POWER(INslave,SIGN(HC52))*POWER(KLslave,SIGN(HB52))+HC52*POWER(KLslave,SIGN(HB52))*POWER(KLslave,SIGN(HB52))</f>
        <v>2304</v>
      </c>
      <c r="HM52" s="234">
        <f>HB52*HB52*INslave+HB52*KLslave*HC52+KLslave*HB52*HC52</f>
        <v>3456</v>
      </c>
      <c r="HN52" s="224">
        <f>HB52*HB52*HC52</f>
        <v>1728</v>
      </c>
      <c r="HO52" s="242">
        <f t="shared" si="514"/>
        <v>7488</v>
      </c>
      <c r="HP52" s="222">
        <f t="shared" si="480"/>
        <v>3.6923076923076925</v>
      </c>
      <c r="HQ52" s="223">
        <f t="shared" si="481"/>
        <v>11.076923076923077</v>
      </c>
      <c r="HR52" s="243">
        <f t="shared" si="482"/>
        <v>8.3076923076923084</v>
      </c>
      <c r="HS52" s="218">
        <f t="shared" si="483"/>
        <v>23.07692307692308</v>
      </c>
      <c r="HT52" s="252">
        <f t="shared" si="484"/>
        <v>0</v>
      </c>
      <c r="HU52" s="309">
        <f t="shared" si="485"/>
        <v>23.07692307692308</v>
      </c>
      <c r="HV52" s="218">
        <f>IF(HS52&gt;0,HS52,0)*1+IF(HS52&gt;12,HS52-12,0)*1+IF(HS52&gt;13,HS52-13,0)*1+IF(HS52&gt;14,HS52-14,0)*1+IF(HS52&gt;15,HS52-15,0)*1+IF(HS52&gt;16,HS52-16,0)*1+IF(HS52&gt;17,HS52-17,0)*1+IF(HS52&gt;18,HS52-18,0)*1+IF(HS52&gt;19,HS52-19,0)*1+IF(HS52&gt;20,HS52-20,0)*1</f>
        <v>86.769230769230802</v>
      </c>
      <c r="HW52" s="242">
        <f>IF(HT52&gt;0,HT52,0)*1+IF(HT52&gt;12,HT52-12,0)*1+IF(HT52&gt;13,HT52-13,0)*1+IF(HT52&gt;14,HT52-14,0)*1+IF(HT52&gt;15,HT52-15,0)*1+IF(HT52&gt;16,HT52-16,0)*1+IF(HT52&gt;17,HT52-17,0)*1+IF(HT52&gt;18,HT52-18,0)*1+IF(HT52&gt;19,HT52-19,0)*1+IF(HT52&gt;20,HT52-20,0)*1</f>
        <v>0</v>
      </c>
      <c r="HX52" s="243">
        <f t="shared" si="486"/>
        <v>86.769230769230802</v>
      </c>
      <c r="HY52" s="218">
        <f t="shared" si="487"/>
        <v>0</v>
      </c>
      <c r="IA52" s="303" t="s">
        <v>46</v>
      </c>
      <c r="IB52" s="243" t="s">
        <v>94</v>
      </c>
      <c r="IC52" s="218" t="s">
        <v>133</v>
      </c>
      <c r="ID52" s="237"/>
      <c r="IE52" s="234">
        <f t="shared" si="488"/>
        <v>12</v>
      </c>
      <c r="IF52" s="234">
        <f>Konvention_1slave-INslave</f>
        <v>12</v>
      </c>
      <c r="IG52" s="234"/>
      <c r="IH52" s="234"/>
      <c r="II52" s="234"/>
      <c r="IJ52" s="234"/>
      <c r="IK52" s="224"/>
      <c r="IL52" s="222">
        <f>(IE52+IE52+IF52)/3</f>
        <v>12</v>
      </c>
      <c r="IM52" s="223">
        <f t="shared" si="490"/>
        <v>24</v>
      </c>
      <c r="IN52" s="224">
        <f t="shared" si="491"/>
        <v>36</v>
      </c>
      <c r="IO52" s="237">
        <f>IE52*POWER(INslave,SIGN(IF52))*POWER(KLslave,SIGN(IE52))+IE52*POWER(INslave,SIGN(IF52))*POWER(KLslave,SIGN(IE52))+IF52*POWER(KLslave,SIGN(IE52))*POWER(KLslave,SIGN(IE52))</f>
        <v>2304</v>
      </c>
      <c r="IP52" s="234">
        <f>IE52*IE52*INslave+IE52*KLslave*IF52+KLslave*IE52*IF52</f>
        <v>3456</v>
      </c>
      <c r="IQ52" s="224">
        <f>IE52*IE52*IF52</f>
        <v>1728</v>
      </c>
      <c r="IR52" s="242">
        <f t="shared" si="516"/>
        <v>7488</v>
      </c>
      <c r="IS52" s="222">
        <f t="shared" si="492"/>
        <v>3.6923076923076925</v>
      </c>
      <c r="IT52" s="223">
        <f t="shared" si="493"/>
        <v>11.076923076923077</v>
      </c>
      <c r="IU52" s="243">
        <f t="shared" si="494"/>
        <v>8.3076923076923084</v>
      </c>
      <c r="IV52" s="218">
        <f t="shared" si="495"/>
        <v>23.07692307692308</v>
      </c>
      <c r="IW52" s="252">
        <f t="shared" si="496"/>
        <v>0</v>
      </c>
      <c r="IX52" s="309">
        <f t="shared" si="497"/>
        <v>23.07692307692308</v>
      </c>
      <c r="IY52" s="218">
        <f>IF(IV52&gt;0,IV52,0)*1+IF(IV52&gt;12,IV52-12,0)*1+IF(IV52&gt;13,IV52-13,0)*1+IF(IV52&gt;14,IV52-14,0)*1+IF(IV52&gt;15,IV52-15,0)*1+IF(IV52&gt;16,IV52-16,0)*1+IF(IV52&gt;17,IV52-17,0)*1+IF(IV52&gt;18,IV52-18,0)*1+IF(IV52&gt;19,IV52-19,0)*1+IF(IV52&gt;20,IV52-20,0)*1</f>
        <v>86.769230769230802</v>
      </c>
      <c r="IZ52" s="242">
        <f>IF(IW52&gt;0,IW52,0)*1+IF(IW52&gt;12,IW52-12,0)*1+IF(IW52&gt;13,IW52-13,0)*1+IF(IW52&gt;14,IW52-14,0)*1+IF(IW52&gt;15,IW52-15,0)*1+IF(IW52&gt;16,IW52-16,0)*1+IF(IW52&gt;17,IW52-17,0)*1+IF(IW52&gt;18,IW52-18,0)*1+IF(IW52&gt;19,IW52-19,0)*1+IF(IW52&gt;20,IW52-20,0)*1</f>
        <v>0</v>
      </c>
      <c r="JA52" s="243">
        <f t="shared" si="498"/>
        <v>86.769230769230802</v>
      </c>
      <c r="JB52" s="218">
        <f t="shared" si="499"/>
        <v>0</v>
      </c>
      <c r="JE52" s="148"/>
    </row>
    <row r="53" spans="2:265" hidden="1" outlineLevel="2">
      <c r="B53" s="148">
        <v>10</v>
      </c>
      <c r="C53" s="303" t="e">
        <f>VLOOKUP(AF53,Attribute!C:T,1,FALSE)</f>
        <v>#N/A</v>
      </c>
      <c r="D53" s="127" t="s">
        <v>94</v>
      </c>
      <c r="E53" s="125" t="s">
        <v>132</v>
      </c>
      <c r="F53" s="114"/>
      <c r="G53" s="113">
        <f t="shared" si="393"/>
        <v>12</v>
      </c>
      <c r="H53" s="113">
        <f>Konvention_1master-INmaster</f>
        <v>12</v>
      </c>
      <c r="I53" s="113"/>
      <c r="J53" s="113"/>
      <c r="K53" s="113"/>
      <c r="L53" s="113"/>
      <c r="M53" s="119"/>
      <c r="N53" s="222">
        <f>(G53+G53+H53)/3</f>
        <v>12</v>
      </c>
      <c r="O53" s="223">
        <f t="shared" si="395"/>
        <v>24</v>
      </c>
      <c r="P53" s="224">
        <f t="shared" si="396"/>
        <v>36</v>
      </c>
      <c r="Q53" s="237">
        <f>G53*POWER(INmaster,SIGN(H53))*POWER(KLmaster,SIGN(G53))+G53*POWER(INmaster,SIGN(H53))*POWER(KLmaster,SIGN(G53))+H53*POWER(KLmaster,SIGN(G53))*POWER(KLmaster,SIGN(G53))</f>
        <v>2304</v>
      </c>
      <c r="R53" s="113">
        <f>G53*G53*INmaster+G53*KLmaster*H53+KLmaster*G53*H53</f>
        <v>3456</v>
      </c>
      <c r="S53" s="224">
        <f>G53*G53*H53</f>
        <v>1728</v>
      </c>
      <c r="T53" s="242">
        <f t="shared" si="500"/>
        <v>7488</v>
      </c>
      <c r="U53" s="222">
        <f t="shared" si="397"/>
        <v>3.6923076923076925</v>
      </c>
      <c r="V53" s="223">
        <f t="shared" si="398"/>
        <v>11.076923076923077</v>
      </c>
      <c r="W53" s="243">
        <f t="shared" si="399"/>
        <v>8.3076923076923084</v>
      </c>
      <c r="X53" s="218">
        <f t="shared" si="400"/>
        <v>23.07692307692308</v>
      </c>
      <c r="Y53" s="252">
        <v>0</v>
      </c>
      <c r="Z53" s="198">
        <f t="shared" si="401"/>
        <v>23.07692307692308</v>
      </c>
      <c r="AA53" s="125">
        <f>IF(X53&gt;0,X53,0)*2+IF(X53&gt;12,X53-12,0)*2+IF(X53&gt;13,X53-13,0)*2+IF(X53&gt;14,X53-14,0)*2+IF(X53&gt;15,X53-15,0)*2+IF(X53&gt;16,X53-16,0)*2+IF(X53&gt;17,X53-17,0)*2+IF(X53&gt;18,X53-18,0)*2+IF(X53&gt;19,X53-19,0)*2+IF(X53&gt;20,X53-20,0)*2</f>
        <v>173.5384615384616</v>
      </c>
      <c r="AB53" s="160">
        <f>IF(Y53&gt;0,Y53,0)*2+IF(Y53&gt;12,Y53-12,0)*2+IF(Y53&gt;13,Y53-13,0)*2+IF(Y53&gt;14,Y53-14,0)*2+IF(Y53&gt;15,Y53-15,0)*2+IF(Y53&gt;16,Y53-16,0)*2+IF(Y53&gt;17,Y53-17,0)*2+IF(Y53&gt;18,Y53-18,0)*2+IF(Y53&gt;19,Y53-19,0)*2+IF(Y53&gt;20,Y53-20,0)*2</f>
        <v>0</v>
      </c>
      <c r="AC53" s="127">
        <f t="shared" si="402"/>
        <v>173.5384615384616</v>
      </c>
      <c r="AD53" s="125">
        <f t="shared" si="403"/>
        <v>0</v>
      </c>
      <c r="AF53" s="163" t="s">
        <v>47</v>
      </c>
      <c r="AG53" s="127" t="s">
        <v>94</v>
      </c>
      <c r="AH53" s="125" t="s">
        <v>132</v>
      </c>
      <c r="AI53" s="114"/>
      <c r="AJ53" s="113">
        <f t="shared" si="404"/>
        <v>12</v>
      </c>
      <c r="AK53" s="113">
        <f>Konvention_1slave-INslave</f>
        <v>12</v>
      </c>
      <c r="AL53" s="113"/>
      <c r="AM53" s="113"/>
      <c r="AN53" s="113"/>
      <c r="AO53" s="113"/>
      <c r="AP53" s="119"/>
      <c r="AQ53" s="89">
        <f>(AJ53+AJ53+AK53)/3</f>
        <v>12</v>
      </c>
      <c r="AR53" s="47">
        <f t="shared" si="406"/>
        <v>24</v>
      </c>
      <c r="AS53" s="119">
        <f t="shared" si="407"/>
        <v>36</v>
      </c>
      <c r="AT53" s="114">
        <f>AJ53*POWER(INslave,SIGN(AK53))*POWER(KLslave,SIGN(AJ53))+AJ53*POWER(INslave,SIGN(AK53))*POWER(KLslave,SIGN(AJ53))+AK53*POWER(KLslave,SIGN(AJ53))*POWER(KLslave,SIGN(AJ53))</f>
        <v>2304</v>
      </c>
      <c r="AU53" s="113">
        <f>AJ53*AJ53*INslave+AJ53*KLslave*AK53+KLslave*AJ53*AK53</f>
        <v>3456</v>
      </c>
      <c r="AV53" s="119">
        <f>AJ53*AJ53*AK53</f>
        <v>1728</v>
      </c>
      <c r="AW53" s="160">
        <f t="shared" si="502"/>
        <v>7488</v>
      </c>
      <c r="AX53" s="89">
        <f t="shared" si="408"/>
        <v>3.6923076923076925</v>
      </c>
      <c r="AY53" s="47">
        <f t="shared" si="409"/>
        <v>11.076923076923077</v>
      </c>
      <c r="AZ53" s="127">
        <f t="shared" si="410"/>
        <v>8.3076923076923084</v>
      </c>
      <c r="BA53" s="125">
        <f t="shared" si="411"/>
        <v>23.07692307692308</v>
      </c>
      <c r="BB53" s="165">
        <f t="shared" si="412"/>
        <v>0</v>
      </c>
      <c r="BC53" s="198">
        <f t="shared" si="413"/>
        <v>23.07692307692308</v>
      </c>
      <c r="BD53" s="125">
        <f>IF(BA53&gt;0,BA53,0)*2+IF(BA53&gt;12,BA53-12,0)*2+IF(BA53&gt;13,BA53-13,0)*2+IF(BA53&gt;14,BA53-14,0)*2+IF(BA53&gt;15,BA53-15,0)*2+IF(BA53&gt;16,BA53-16,0)*2+IF(BA53&gt;17,BA53-17,0)*2+IF(BA53&gt;18,BA53-18,0)*2+IF(BA53&gt;19,BA53-19,0)*2+IF(BA53&gt;20,BA53-20,0)*2</f>
        <v>173.5384615384616</v>
      </c>
      <c r="BE53" s="160">
        <f>IF(BB53&gt;0,BB53,0)*2+IF(BB53&gt;12,BB53-12,0)*2+IF(BB53&gt;13,BB53-13,0)*2+IF(BB53&gt;14,BB53-14,0)*2+IF(BB53&gt;15,BB53-15,0)*2+IF(BB53&gt;16,BB53-16,0)*2+IF(BB53&gt;17,BB53-17,0)*2+IF(BB53&gt;18,BB53-18,0)*2+IF(BB53&gt;19,BB53-19,0)*2+IF(BB53&gt;20,BB53-20,0)*2</f>
        <v>0</v>
      </c>
      <c r="BF53" s="243">
        <f t="shared" si="414"/>
        <v>173.5384615384616</v>
      </c>
      <c r="BG53" s="218">
        <f t="shared" si="415"/>
        <v>0</v>
      </c>
      <c r="BI53" s="303" t="s">
        <v>47</v>
      </c>
      <c r="BJ53" s="243" t="s">
        <v>94</v>
      </c>
      <c r="BK53" s="218" t="s">
        <v>132</v>
      </c>
      <c r="BL53" s="237"/>
      <c r="BM53" s="234">
        <f t="shared" si="416"/>
        <v>11</v>
      </c>
      <c r="BN53" s="234">
        <f>Konvention_1slave-INslave</f>
        <v>12</v>
      </c>
      <c r="BO53" s="234"/>
      <c r="BP53" s="234"/>
      <c r="BQ53" s="234"/>
      <c r="BR53" s="234"/>
      <c r="BS53" s="224"/>
      <c r="BT53" s="222">
        <f>(BM53+BM53+BN53)/3</f>
        <v>11.333333333333334</v>
      </c>
      <c r="BU53" s="223">
        <f t="shared" si="418"/>
        <v>22.666666666666668</v>
      </c>
      <c r="BV53" s="224">
        <f t="shared" si="419"/>
        <v>34</v>
      </c>
      <c r="BW53" s="237">
        <f>BM53*POWER(INslave,SIGN(BN53))*POWER(KLslave_KL,SIGN(BM53))+BM53*POWER(INslave,SIGN(BN53))*POWER(KLslave_KL,SIGN(BM53))+BN53*POWER(KLslave_KL,SIGN(BM53))*POWER(KLslave_KL,SIGN(BM53))</f>
        <v>2556</v>
      </c>
      <c r="BX53" s="234">
        <f>BM53*BM53*INslave+BM53*KLslave_KL*BN53+KLslave_KL*BM53*BN53</f>
        <v>3344</v>
      </c>
      <c r="BY53" s="224">
        <f>BM53*BM53*BN53</f>
        <v>1452</v>
      </c>
      <c r="BZ53" s="242">
        <f t="shared" si="504"/>
        <v>7352</v>
      </c>
      <c r="CA53" s="222">
        <f t="shared" si="420"/>
        <v>3.940152339499456</v>
      </c>
      <c r="CB53" s="223">
        <f t="shared" si="421"/>
        <v>10.309756982227059</v>
      </c>
      <c r="CC53" s="243">
        <f t="shared" si="422"/>
        <v>6.714907508161045</v>
      </c>
      <c r="CD53" s="218">
        <f t="shared" si="423"/>
        <v>20.96481682988756</v>
      </c>
      <c r="CE53" s="252">
        <f t="shared" si="424"/>
        <v>0</v>
      </c>
      <c r="CF53" s="309">
        <f t="shared" si="425"/>
        <v>20.96481682988756</v>
      </c>
      <c r="CG53" s="218">
        <f>IF(CD53&gt;0,CD53,0)*2+IF(CD53&gt;12,CD53-12,0)*2+IF(CD53&gt;13,CD53-13,0)*2+IF(CD53&gt;14,CD53-14,0)*2+IF(CD53&gt;15,CD53-15,0)*2+IF(CD53&gt;16,CD53-16,0)*2+IF(CD53&gt;17,CD53-17,0)*2+IF(CD53&gt;18,CD53-18,0)*2+IF(CD53&gt;19,CD53-19,0)*2+IF(CD53&gt;20,CD53-20,0)*2</f>
        <v>131.29633659775118</v>
      </c>
      <c r="CH53" s="242">
        <f>IF(CE53&gt;0,CE53,0)*2+IF(CE53&gt;12,CE53-12,0)*2+IF(CE53&gt;13,CE53-13,0)*2+IF(CE53&gt;14,CE53-14,0)*2+IF(CE53&gt;15,CE53-15,0)*2+IF(CE53&gt;16,CE53-16,0)*2+IF(CE53&gt;17,CE53-17,0)*2+IF(CE53&gt;18,CE53-18,0)*2+IF(CE53&gt;19,CE53-19,0)*2+IF(CE53&gt;20,CE53-20,0)*2</f>
        <v>0</v>
      </c>
      <c r="CI53" s="243">
        <f t="shared" si="426"/>
        <v>131.29633659775118</v>
      </c>
      <c r="CJ53" s="218">
        <f t="shared" si="427"/>
        <v>0</v>
      </c>
      <c r="CL53" s="303" t="s">
        <v>47</v>
      </c>
      <c r="CM53" s="243" t="s">
        <v>94</v>
      </c>
      <c r="CN53" s="218" t="s">
        <v>132</v>
      </c>
      <c r="CO53" s="237"/>
      <c r="CP53" s="234">
        <f t="shared" si="428"/>
        <v>12</v>
      </c>
      <c r="CQ53" s="234">
        <f>Konvention_1slave-INslave_IN</f>
        <v>11</v>
      </c>
      <c r="CR53" s="234"/>
      <c r="CS53" s="234"/>
      <c r="CT53" s="234"/>
      <c r="CU53" s="234"/>
      <c r="CV53" s="224"/>
      <c r="CW53" s="222">
        <f>(CP53+CP53+CQ53)/3</f>
        <v>11.666666666666666</v>
      </c>
      <c r="CX53" s="223">
        <f t="shared" si="430"/>
        <v>23.333333333333332</v>
      </c>
      <c r="CY53" s="224">
        <f t="shared" si="431"/>
        <v>35</v>
      </c>
      <c r="CZ53" s="237">
        <f>CP53*POWER(INslave_IN,SIGN(CQ53))*POWER(KLslave,SIGN(CP53))+CP53*POWER(INslave_IN,SIGN(CQ53))*POWER(KLslave,SIGN(CP53))+CQ53*POWER(KLslave,SIGN(CP53))*POWER(KLslave,SIGN(CP53))</f>
        <v>2432</v>
      </c>
      <c r="DA53" s="234">
        <f>CP53*CP53*INslave_IN+CP53*KLslave*CQ53+KLslave*CP53*CQ53</f>
        <v>3408</v>
      </c>
      <c r="DB53" s="224">
        <f>CP53*CP53*CQ53</f>
        <v>1584</v>
      </c>
      <c r="DC53" s="242">
        <f t="shared" si="506"/>
        <v>7424</v>
      </c>
      <c r="DD53" s="222">
        <f t="shared" si="432"/>
        <v>3.8218390804597702</v>
      </c>
      <c r="DE53" s="223">
        <f t="shared" si="433"/>
        <v>10.711206896551724</v>
      </c>
      <c r="DF53" s="243">
        <f t="shared" si="434"/>
        <v>7.4676724137931032</v>
      </c>
      <c r="DG53" s="218">
        <f t="shared" si="435"/>
        <v>22.000718390804597</v>
      </c>
      <c r="DH53" s="252">
        <f t="shared" si="436"/>
        <v>0</v>
      </c>
      <c r="DI53" s="309">
        <f t="shared" si="437"/>
        <v>22.000718390804597</v>
      </c>
      <c r="DJ53" s="218">
        <f>IF(DG53&gt;0,DG53,0)*2+IF(DG53&gt;12,DG53-12,0)*2+IF(DG53&gt;13,DG53-13,0)*2+IF(DG53&gt;14,DG53-14,0)*2+IF(DG53&gt;15,DG53-15,0)*2+IF(DG53&gt;16,DG53-16,0)*2+IF(DG53&gt;17,DG53-17,0)*2+IF(DG53&gt;18,DG53-18,0)*2+IF(DG53&gt;19,DG53-19,0)*2+IF(DG53&gt;20,DG53-20,0)*2</f>
        <v>152.01436781609189</v>
      </c>
      <c r="DK53" s="242">
        <f>IF(DH53&gt;0,DH53,0)*2+IF(DH53&gt;12,DH53-12,0)*2+IF(DH53&gt;13,DH53-13,0)*2+IF(DH53&gt;14,DH53-14,0)*2+IF(DH53&gt;15,DH53-15,0)*2+IF(DH53&gt;16,DH53-16,0)*2+IF(DH53&gt;17,DH53-17,0)*2+IF(DH53&gt;18,DH53-18,0)*2+IF(DH53&gt;19,DH53-19,0)*2+IF(DH53&gt;20,DH53-20,0)*2</f>
        <v>0</v>
      </c>
      <c r="DL53" s="243">
        <f t="shared" si="438"/>
        <v>152.01436781609189</v>
      </c>
      <c r="DM53" s="218">
        <f t="shared" si="439"/>
        <v>0</v>
      </c>
      <c r="DO53" s="303" t="s">
        <v>47</v>
      </c>
      <c r="DP53" s="243" t="s">
        <v>94</v>
      </c>
      <c r="DQ53" s="218" t="s">
        <v>132</v>
      </c>
      <c r="DR53" s="237"/>
      <c r="DS53" s="234">
        <f t="shared" si="440"/>
        <v>12</v>
      </c>
      <c r="DT53" s="234">
        <f>Konvention_1slave-INslave</f>
        <v>12</v>
      </c>
      <c r="DU53" s="234"/>
      <c r="DV53" s="234"/>
      <c r="DW53" s="234"/>
      <c r="DX53" s="234"/>
      <c r="DY53" s="224"/>
      <c r="DZ53" s="222">
        <f>(DS53+DS53+DT53)/3</f>
        <v>12</v>
      </c>
      <c r="EA53" s="223">
        <f t="shared" si="442"/>
        <v>24</v>
      </c>
      <c r="EB53" s="224">
        <f t="shared" si="443"/>
        <v>36</v>
      </c>
      <c r="EC53" s="237">
        <f>DS53*POWER(INslave,SIGN(DT53))*POWER(KLslave,SIGN(DS53))+DS53*POWER(INslave,SIGN(DT53))*POWER(KLslave,SIGN(DS53))+DT53*POWER(KLslave,SIGN(DS53))*POWER(KLslave,SIGN(DS53))</f>
        <v>2304</v>
      </c>
      <c r="ED53" s="234">
        <f>DS53*DS53*INslave+DS53*KLslave*DT53+KLslave*DS53*DT53</f>
        <v>3456</v>
      </c>
      <c r="EE53" s="224">
        <f>DS53*DS53*DT53</f>
        <v>1728</v>
      </c>
      <c r="EF53" s="242">
        <f t="shared" si="508"/>
        <v>7488</v>
      </c>
      <c r="EG53" s="222">
        <f t="shared" si="444"/>
        <v>3.6923076923076925</v>
      </c>
      <c r="EH53" s="223">
        <f t="shared" si="445"/>
        <v>11.076923076923077</v>
      </c>
      <c r="EI53" s="243">
        <f t="shared" si="446"/>
        <v>8.3076923076923084</v>
      </c>
      <c r="EJ53" s="218">
        <f t="shared" si="447"/>
        <v>23.07692307692308</v>
      </c>
      <c r="EK53" s="252">
        <f t="shared" si="448"/>
        <v>0</v>
      </c>
      <c r="EL53" s="309">
        <f t="shared" si="449"/>
        <v>23.07692307692308</v>
      </c>
      <c r="EM53" s="218">
        <f>IF(EJ53&gt;0,EJ53,0)*2+IF(EJ53&gt;12,EJ53-12,0)*2+IF(EJ53&gt;13,EJ53-13,0)*2+IF(EJ53&gt;14,EJ53-14,0)*2+IF(EJ53&gt;15,EJ53-15,0)*2+IF(EJ53&gt;16,EJ53-16,0)*2+IF(EJ53&gt;17,EJ53-17,0)*2+IF(EJ53&gt;18,EJ53-18,0)*2+IF(EJ53&gt;19,EJ53-19,0)*2+IF(EJ53&gt;20,EJ53-20,0)*2</f>
        <v>173.5384615384616</v>
      </c>
      <c r="EN53" s="242">
        <f>IF(EK53&gt;0,EK53,0)*2+IF(EK53&gt;12,EK53-12,0)*2+IF(EK53&gt;13,EK53-13,0)*2+IF(EK53&gt;14,EK53-14,0)*2+IF(EK53&gt;15,EK53-15,0)*2+IF(EK53&gt;16,EK53-16,0)*2+IF(EK53&gt;17,EK53-17,0)*2+IF(EK53&gt;18,EK53-18,0)*2+IF(EK53&gt;19,EK53-19,0)*2+IF(EK53&gt;20,EK53-20,0)*2</f>
        <v>0</v>
      </c>
      <c r="EO53" s="243">
        <f t="shared" si="450"/>
        <v>173.5384615384616</v>
      </c>
      <c r="EP53" s="218">
        <f t="shared" si="451"/>
        <v>0</v>
      </c>
      <c r="ER53" s="303" t="s">
        <v>47</v>
      </c>
      <c r="ES53" s="243" t="s">
        <v>94</v>
      </c>
      <c r="ET53" s="218" t="s">
        <v>132</v>
      </c>
      <c r="EU53" s="237"/>
      <c r="EV53" s="234">
        <f t="shared" si="452"/>
        <v>12</v>
      </c>
      <c r="EW53" s="234">
        <f>Konvention_1slave-INslave</f>
        <v>12</v>
      </c>
      <c r="EX53" s="234"/>
      <c r="EY53" s="234"/>
      <c r="EZ53" s="234"/>
      <c r="FA53" s="234"/>
      <c r="FB53" s="224"/>
      <c r="FC53" s="222">
        <f>(EV53+EV53+EW53)/3</f>
        <v>12</v>
      </c>
      <c r="FD53" s="223">
        <f t="shared" si="454"/>
        <v>24</v>
      </c>
      <c r="FE53" s="224">
        <f t="shared" si="455"/>
        <v>36</v>
      </c>
      <c r="FF53" s="237">
        <f>EV53*POWER(INslave,SIGN(EW53))*POWER(KLslave,SIGN(EV53))+EV53*POWER(INslave,SIGN(EW53))*POWER(KLslave,SIGN(EV53))+EW53*POWER(KLslave,SIGN(EV53))*POWER(KLslave,SIGN(EV53))</f>
        <v>2304</v>
      </c>
      <c r="FG53" s="234">
        <f>EV53*EV53*INslave+EV53*KLslave*EW53+KLslave*EV53*EW53</f>
        <v>3456</v>
      </c>
      <c r="FH53" s="224">
        <f>EV53*EV53*EW53</f>
        <v>1728</v>
      </c>
      <c r="FI53" s="242">
        <f t="shared" si="510"/>
        <v>7488</v>
      </c>
      <c r="FJ53" s="222">
        <f t="shared" si="456"/>
        <v>3.6923076923076925</v>
      </c>
      <c r="FK53" s="223">
        <f t="shared" si="457"/>
        <v>11.076923076923077</v>
      </c>
      <c r="FL53" s="243">
        <f t="shared" si="458"/>
        <v>8.3076923076923084</v>
      </c>
      <c r="FM53" s="218">
        <f t="shared" si="459"/>
        <v>23.07692307692308</v>
      </c>
      <c r="FN53" s="252">
        <f t="shared" si="460"/>
        <v>0</v>
      </c>
      <c r="FO53" s="309">
        <f t="shared" si="461"/>
        <v>23.07692307692308</v>
      </c>
      <c r="FP53" s="218">
        <f>IF(FM53&gt;0,FM53,0)*2+IF(FM53&gt;12,FM53-12,0)*2+IF(FM53&gt;13,FM53-13,0)*2+IF(FM53&gt;14,FM53-14,0)*2+IF(FM53&gt;15,FM53-15,0)*2+IF(FM53&gt;16,FM53-16,0)*2+IF(FM53&gt;17,FM53-17,0)*2+IF(FM53&gt;18,FM53-18,0)*2+IF(FM53&gt;19,FM53-19,0)*2+IF(FM53&gt;20,FM53-20,0)*2</f>
        <v>173.5384615384616</v>
      </c>
      <c r="FQ53" s="242">
        <f>IF(FN53&gt;0,FN53,0)*2+IF(FN53&gt;12,FN53-12,0)*2+IF(FN53&gt;13,FN53-13,0)*2+IF(FN53&gt;14,FN53-14,0)*2+IF(FN53&gt;15,FN53-15,0)*2+IF(FN53&gt;16,FN53-16,0)*2+IF(FN53&gt;17,FN53-17,0)*2+IF(FN53&gt;18,FN53-18,0)*2+IF(FN53&gt;19,FN53-19,0)*2+IF(FN53&gt;20,FN53-20,0)*2</f>
        <v>0</v>
      </c>
      <c r="FR53" s="243">
        <f t="shared" si="462"/>
        <v>173.5384615384616</v>
      </c>
      <c r="FS53" s="218">
        <f t="shared" si="463"/>
        <v>0</v>
      </c>
      <c r="FU53" s="303" t="s">
        <v>47</v>
      </c>
      <c r="FV53" s="243" t="s">
        <v>94</v>
      </c>
      <c r="FW53" s="218" t="s">
        <v>132</v>
      </c>
      <c r="FX53" s="237"/>
      <c r="FY53" s="234">
        <f t="shared" si="464"/>
        <v>12</v>
      </c>
      <c r="FZ53" s="234">
        <f>Konvention_1slave-INslave</f>
        <v>12</v>
      </c>
      <c r="GA53" s="234"/>
      <c r="GB53" s="234"/>
      <c r="GC53" s="234"/>
      <c r="GD53" s="234"/>
      <c r="GE53" s="224"/>
      <c r="GF53" s="222">
        <f>(FY53+FY53+FZ53)/3</f>
        <v>12</v>
      </c>
      <c r="GG53" s="223">
        <f t="shared" si="466"/>
        <v>24</v>
      </c>
      <c r="GH53" s="224">
        <f t="shared" si="467"/>
        <v>36</v>
      </c>
      <c r="GI53" s="237">
        <f>FY53*POWER(INslave,SIGN(FZ53))*POWER(KLslave,SIGN(FY53))+FY53*POWER(INslave,SIGN(FZ53))*POWER(KLslave,SIGN(FY53))+FZ53*POWER(KLslave,SIGN(FY53))*POWER(KLslave,SIGN(FY53))</f>
        <v>2304</v>
      </c>
      <c r="GJ53" s="234">
        <f>FY53*FY53*INslave+FY53*KLslave*FZ53+KLslave*FY53*FZ53</f>
        <v>3456</v>
      </c>
      <c r="GK53" s="224">
        <f>FY53*FY53*FZ53</f>
        <v>1728</v>
      </c>
      <c r="GL53" s="242">
        <f t="shared" si="512"/>
        <v>7488</v>
      </c>
      <c r="GM53" s="222">
        <f t="shared" si="468"/>
        <v>3.6923076923076925</v>
      </c>
      <c r="GN53" s="223">
        <f t="shared" si="469"/>
        <v>11.076923076923077</v>
      </c>
      <c r="GO53" s="243">
        <f t="shared" si="470"/>
        <v>8.3076923076923084</v>
      </c>
      <c r="GP53" s="218">
        <f t="shared" si="471"/>
        <v>23.07692307692308</v>
      </c>
      <c r="GQ53" s="252">
        <f t="shared" si="472"/>
        <v>0</v>
      </c>
      <c r="GR53" s="309">
        <f t="shared" si="473"/>
        <v>23.07692307692308</v>
      </c>
      <c r="GS53" s="218">
        <f>IF(GP53&gt;0,GP53,0)*2+IF(GP53&gt;12,GP53-12,0)*2+IF(GP53&gt;13,GP53-13,0)*2+IF(GP53&gt;14,GP53-14,0)*2+IF(GP53&gt;15,GP53-15,0)*2+IF(GP53&gt;16,GP53-16,0)*2+IF(GP53&gt;17,GP53-17,0)*2+IF(GP53&gt;18,GP53-18,0)*2+IF(GP53&gt;19,GP53-19,0)*2+IF(GP53&gt;20,GP53-20,0)*2</f>
        <v>173.5384615384616</v>
      </c>
      <c r="GT53" s="242">
        <f>IF(GQ53&gt;0,GQ53,0)*2+IF(GQ53&gt;12,GQ53-12,0)*2+IF(GQ53&gt;13,GQ53-13,0)*2+IF(GQ53&gt;14,GQ53-14,0)*2+IF(GQ53&gt;15,GQ53-15,0)*2+IF(GQ53&gt;16,GQ53-16,0)*2+IF(GQ53&gt;17,GQ53-17,0)*2+IF(GQ53&gt;18,GQ53-18,0)*2+IF(GQ53&gt;19,GQ53-19,0)*2+IF(GQ53&gt;20,GQ53-20,0)*2</f>
        <v>0</v>
      </c>
      <c r="GU53" s="243">
        <f t="shared" si="474"/>
        <v>173.5384615384616</v>
      </c>
      <c r="GV53" s="218">
        <f t="shared" si="475"/>
        <v>0</v>
      </c>
      <c r="GX53" s="303" t="s">
        <v>47</v>
      </c>
      <c r="GY53" s="243" t="s">
        <v>94</v>
      </c>
      <c r="GZ53" s="218" t="s">
        <v>132</v>
      </c>
      <c r="HA53" s="237"/>
      <c r="HB53" s="234">
        <f t="shared" si="476"/>
        <v>12</v>
      </c>
      <c r="HC53" s="234">
        <f>Konvention_1slave-INslave</f>
        <v>12</v>
      </c>
      <c r="HD53" s="234"/>
      <c r="HE53" s="234"/>
      <c r="HF53" s="234"/>
      <c r="HG53" s="234"/>
      <c r="HH53" s="224"/>
      <c r="HI53" s="222">
        <f>(HB53+HB53+HC53)/3</f>
        <v>12</v>
      </c>
      <c r="HJ53" s="223">
        <f t="shared" si="478"/>
        <v>24</v>
      </c>
      <c r="HK53" s="224">
        <f t="shared" si="479"/>
        <v>36</v>
      </c>
      <c r="HL53" s="237">
        <f>HB53*POWER(INslave,SIGN(HC53))*POWER(KLslave,SIGN(HB53))+HB53*POWER(INslave,SIGN(HC53))*POWER(KLslave,SIGN(HB53))+HC53*POWER(KLslave,SIGN(HB53))*POWER(KLslave,SIGN(HB53))</f>
        <v>2304</v>
      </c>
      <c r="HM53" s="234">
        <f>HB53*HB53*INslave+HB53*KLslave*HC53+KLslave*HB53*HC53</f>
        <v>3456</v>
      </c>
      <c r="HN53" s="224">
        <f>HB53*HB53*HC53</f>
        <v>1728</v>
      </c>
      <c r="HO53" s="242">
        <f t="shared" si="514"/>
        <v>7488</v>
      </c>
      <c r="HP53" s="222">
        <f t="shared" si="480"/>
        <v>3.6923076923076925</v>
      </c>
      <c r="HQ53" s="223">
        <f t="shared" si="481"/>
        <v>11.076923076923077</v>
      </c>
      <c r="HR53" s="243">
        <f t="shared" si="482"/>
        <v>8.3076923076923084</v>
      </c>
      <c r="HS53" s="218">
        <f t="shared" si="483"/>
        <v>23.07692307692308</v>
      </c>
      <c r="HT53" s="252">
        <f t="shared" si="484"/>
        <v>0</v>
      </c>
      <c r="HU53" s="309">
        <f t="shared" si="485"/>
        <v>23.07692307692308</v>
      </c>
      <c r="HV53" s="218">
        <f>IF(HS53&gt;0,HS53,0)*2+IF(HS53&gt;12,HS53-12,0)*2+IF(HS53&gt;13,HS53-13,0)*2+IF(HS53&gt;14,HS53-14,0)*2+IF(HS53&gt;15,HS53-15,0)*2+IF(HS53&gt;16,HS53-16,0)*2+IF(HS53&gt;17,HS53-17,0)*2+IF(HS53&gt;18,HS53-18,0)*2+IF(HS53&gt;19,HS53-19,0)*2+IF(HS53&gt;20,HS53-20,0)*2</f>
        <v>173.5384615384616</v>
      </c>
      <c r="HW53" s="242">
        <f>IF(HT53&gt;0,HT53,0)*2+IF(HT53&gt;12,HT53-12,0)*2+IF(HT53&gt;13,HT53-13,0)*2+IF(HT53&gt;14,HT53-14,0)*2+IF(HT53&gt;15,HT53-15,0)*2+IF(HT53&gt;16,HT53-16,0)*2+IF(HT53&gt;17,HT53-17,0)*2+IF(HT53&gt;18,HT53-18,0)*2+IF(HT53&gt;19,HT53-19,0)*2+IF(HT53&gt;20,HT53-20,0)*2</f>
        <v>0</v>
      </c>
      <c r="HX53" s="243">
        <f t="shared" si="486"/>
        <v>173.5384615384616</v>
      </c>
      <c r="HY53" s="218">
        <f t="shared" si="487"/>
        <v>0</v>
      </c>
      <c r="IA53" s="303" t="s">
        <v>47</v>
      </c>
      <c r="IB53" s="243" t="s">
        <v>94</v>
      </c>
      <c r="IC53" s="218" t="s">
        <v>132</v>
      </c>
      <c r="ID53" s="237"/>
      <c r="IE53" s="234">
        <f t="shared" si="488"/>
        <v>12</v>
      </c>
      <c r="IF53" s="234">
        <f>Konvention_1slave-INslave</f>
        <v>12</v>
      </c>
      <c r="IG53" s="234"/>
      <c r="IH53" s="234"/>
      <c r="II53" s="234"/>
      <c r="IJ53" s="234"/>
      <c r="IK53" s="224"/>
      <c r="IL53" s="222">
        <f>(IE53+IE53+IF53)/3</f>
        <v>12</v>
      </c>
      <c r="IM53" s="223">
        <f t="shared" si="490"/>
        <v>24</v>
      </c>
      <c r="IN53" s="224">
        <f t="shared" si="491"/>
        <v>36</v>
      </c>
      <c r="IO53" s="237">
        <f>IE53*POWER(INslave,SIGN(IF53))*POWER(KLslave,SIGN(IE53))+IE53*POWER(INslave,SIGN(IF53))*POWER(KLslave,SIGN(IE53))+IF53*POWER(KLslave,SIGN(IE53))*POWER(KLslave,SIGN(IE53))</f>
        <v>2304</v>
      </c>
      <c r="IP53" s="234">
        <f>IE53*IE53*INslave+IE53*KLslave*IF53+KLslave*IE53*IF53</f>
        <v>3456</v>
      </c>
      <c r="IQ53" s="224">
        <f>IE53*IE53*IF53</f>
        <v>1728</v>
      </c>
      <c r="IR53" s="242">
        <f t="shared" si="516"/>
        <v>7488</v>
      </c>
      <c r="IS53" s="222">
        <f t="shared" si="492"/>
        <v>3.6923076923076925</v>
      </c>
      <c r="IT53" s="223">
        <f t="shared" si="493"/>
        <v>11.076923076923077</v>
      </c>
      <c r="IU53" s="243">
        <f t="shared" si="494"/>
        <v>8.3076923076923084</v>
      </c>
      <c r="IV53" s="218">
        <f t="shared" si="495"/>
        <v>23.07692307692308</v>
      </c>
      <c r="IW53" s="252">
        <f t="shared" si="496"/>
        <v>0</v>
      </c>
      <c r="IX53" s="309">
        <f t="shared" si="497"/>
        <v>23.07692307692308</v>
      </c>
      <c r="IY53" s="218">
        <f>IF(IV53&gt;0,IV53,0)*2+IF(IV53&gt;12,IV53-12,0)*2+IF(IV53&gt;13,IV53-13,0)*2+IF(IV53&gt;14,IV53-14,0)*2+IF(IV53&gt;15,IV53-15,0)*2+IF(IV53&gt;16,IV53-16,0)*2+IF(IV53&gt;17,IV53-17,0)*2+IF(IV53&gt;18,IV53-18,0)*2+IF(IV53&gt;19,IV53-19,0)*2+IF(IV53&gt;20,IV53-20,0)*2</f>
        <v>173.5384615384616</v>
      </c>
      <c r="IZ53" s="242">
        <f>IF(IW53&gt;0,IW53,0)*2+IF(IW53&gt;12,IW53-12,0)*2+IF(IW53&gt;13,IW53-13,0)*2+IF(IW53&gt;14,IW53-14,0)*2+IF(IW53&gt;15,IW53-15,0)*2+IF(IW53&gt;16,IW53-16,0)*2+IF(IW53&gt;17,IW53-17,0)*2+IF(IW53&gt;18,IW53-18,0)*2+IF(IW53&gt;19,IW53-19,0)*2+IF(IW53&gt;20,IW53-20,0)*2</f>
        <v>0</v>
      </c>
      <c r="JA53" s="243">
        <f t="shared" si="498"/>
        <v>173.5384615384616</v>
      </c>
      <c r="JB53" s="218">
        <f t="shared" si="499"/>
        <v>0</v>
      </c>
      <c r="JE53" s="148"/>
    </row>
    <row r="54" spans="2:265" hidden="1" outlineLevel="2">
      <c r="B54" s="148">
        <v>11</v>
      </c>
      <c r="C54" s="303" t="e">
        <f>VLOOKUP(AF54,Attribute!C:T,1,FALSE)</f>
        <v>#N/A</v>
      </c>
      <c r="D54" s="127" t="s">
        <v>94</v>
      </c>
      <c r="E54" s="125" t="s">
        <v>132</v>
      </c>
      <c r="F54" s="114"/>
      <c r="G54" s="113">
        <f t="shared" si="393"/>
        <v>12</v>
      </c>
      <c r="H54" s="113">
        <f>Konvention_1master-INmaster</f>
        <v>12</v>
      </c>
      <c r="I54" s="113"/>
      <c r="J54" s="113"/>
      <c r="K54" s="113"/>
      <c r="L54" s="113"/>
      <c r="M54" s="119"/>
      <c r="N54" s="222">
        <f>(G54+G54+H54)/3</f>
        <v>12</v>
      </c>
      <c r="O54" s="223">
        <f t="shared" si="395"/>
        <v>24</v>
      </c>
      <c r="P54" s="224">
        <f t="shared" si="396"/>
        <v>36</v>
      </c>
      <c r="Q54" s="237">
        <f>G54*POWER(INmaster,SIGN(H54))*POWER(KLmaster,SIGN(G54))+G54*POWER(INmaster,SIGN(H54))*POWER(KLmaster,SIGN(G54))+H54*POWER(KLmaster,SIGN(G54))*POWER(KLmaster,SIGN(G54))</f>
        <v>2304</v>
      </c>
      <c r="R54" s="113">
        <f>G54*G54*INmaster+G54*KLmaster*H54+KLmaster*G54*H54</f>
        <v>3456</v>
      </c>
      <c r="S54" s="224">
        <f>G54*G54*H54</f>
        <v>1728</v>
      </c>
      <c r="T54" s="242">
        <f t="shared" si="500"/>
        <v>7488</v>
      </c>
      <c r="U54" s="222">
        <f t="shared" si="397"/>
        <v>3.6923076923076925</v>
      </c>
      <c r="V54" s="223">
        <f t="shared" si="398"/>
        <v>11.076923076923077</v>
      </c>
      <c r="W54" s="243">
        <f t="shared" si="399"/>
        <v>8.3076923076923084</v>
      </c>
      <c r="X54" s="218">
        <f t="shared" si="400"/>
        <v>23.07692307692308</v>
      </c>
      <c r="Y54" s="252">
        <v>0</v>
      </c>
      <c r="Z54" s="198">
        <f t="shared" si="401"/>
        <v>23.07692307692308</v>
      </c>
      <c r="AA54" s="125">
        <f>IF(X54&gt;0,X54,0)*2+IF(X54&gt;12,X54-12,0)*2+IF(X54&gt;13,X54-13,0)*2+IF(X54&gt;14,X54-14,0)*2+IF(X54&gt;15,X54-15,0)*2+IF(X54&gt;16,X54-16,0)*2+IF(X54&gt;17,X54-17,0)*2+IF(X54&gt;18,X54-18,0)*2+IF(X54&gt;19,X54-19,0)*2+IF(X54&gt;20,X54-20,0)*2</f>
        <v>173.5384615384616</v>
      </c>
      <c r="AB54" s="160">
        <f>IF(Y54&gt;0,Y54,0)*2+IF(Y54&gt;12,Y54-12,0)*2+IF(Y54&gt;13,Y54-13,0)*2+IF(Y54&gt;14,Y54-14,0)*2+IF(Y54&gt;15,Y54-15,0)*2+IF(Y54&gt;16,Y54-16,0)*2+IF(Y54&gt;17,Y54-17,0)*2+IF(Y54&gt;18,Y54-18,0)*2+IF(Y54&gt;19,Y54-19,0)*2+IF(Y54&gt;20,Y54-20,0)*2</f>
        <v>0</v>
      </c>
      <c r="AC54" s="127">
        <f t="shared" si="402"/>
        <v>173.5384615384616</v>
      </c>
      <c r="AD54" s="125">
        <f t="shared" si="403"/>
        <v>0</v>
      </c>
      <c r="AF54" s="163" t="s">
        <v>48</v>
      </c>
      <c r="AG54" s="127" t="s">
        <v>94</v>
      </c>
      <c r="AH54" s="125" t="s">
        <v>132</v>
      </c>
      <c r="AI54" s="114"/>
      <c r="AJ54" s="113">
        <f t="shared" si="404"/>
        <v>12</v>
      </c>
      <c r="AK54" s="113">
        <f>Konvention_1slave-INslave</f>
        <v>12</v>
      </c>
      <c r="AL54" s="113"/>
      <c r="AM54" s="113"/>
      <c r="AN54" s="113"/>
      <c r="AO54" s="113"/>
      <c r="AP54" s="119"/>
      <c r="AQ54" s="89">
        <f>(AJ54+AJ54+AK54)/3</f>
        <v>12</v>
      </c>
      <c r="AR54" s="47">
        <f t="shared" si="406"/>
        <v>24</v>
      </c>
      <c r="AS54" s="119">
        <f t="shared" si="407"/>
        <v>36</v>
      </c>
      <c r="AT54" s="114">
        <f>AJ54*POWER(INslave,SIGN(AK54))*POWER(KLslave,SIGN(AJ54))+AJ54*POWER(INslave,SIGN(AK54))*POWER(KLslave,SIGN(AJ54))+AK54*POWER(KLslave,SIGN(AJ54))*POWER(KLslave,SIGN(AJ54))</f>
        <v>2304</v>
      </c>
      <c r="AU54" s="113">
        <f>AJ54*AJ54*INslave+AJ54*KLslave*AK54+KLslave*AJ54*AK54</f>
        <v>3456</v>
      </c>
      <c r="AV54" s="119">
        <f>AJ54*AJ54*AK54</f>
        <v>1728</v>
      </c>
      <c r="AW54" s="160">
        <f t="shared" si="502"/>
        <v>7488</v>
      </c>
      <c r="AX54" s="89">
        <f t="shared" si="408"/>
        <v>3.6923076923076925</v>
      </c>
      <c r="AY54" s="47">
        <f t="shared" si="409"/>
        <v>11.076923076923077</v>
      </c>
      <c r="AZ54" s="127">
        <f t="shared" si="410"/>
        <v>8.3076923076923084</v>
      </c>
      <c r="BA54" s="125">
        <f t="shared" si="411"/>
        <v>23.07692307692308</v>
      </c>
      <c r="BB54" s="165">
        <f t="shared" si="412"/>
        <v>0</v>
      </c>
      <c r="BC54" s="198">
        <f t="shared" si="413"/>
        <v>23.07692307692308</v>
      </c>
      <c r="BD54" s="125">
        <f>IF(BA54&gt;0,BA54,0)*2+IF(BA54&gt;12,BA54-12,0)*2+IF(BA54&gt;13,BA54-13,0)*2+IF(BA54&gt;14,BA54-14,0)*2+IF(BA54&gt;15,BA54-15,0)*2+IF(BA54&gt;16,BA54-16,0)*2+IF(BA54&gt;17,BA54-17,0)*2+IF(BA54&gt;18,BA54-18,0)*2+IF(BA54&gt;19,BA54-19,0)*2+IF(BA54&gt;20,BA54-20,0)*2</f>
        <v>173.5384615384616</v>
      </c>
      <c r="BE54" s="160">
        <f>IF(BB54&gt;0,BB54,0)*2+IF(BB54&gt;12,BB54-12,0)*2+IF(BB54&gt;13,BB54-13,0)*2+IF(BB54&gt;14,BB54-14,0)*2+IF(BB54&gt;15,BB54-15,0)*2+IF(BB54&gt;16,BB54-16,0)*2+IF(BB54&gt;17,BB54-17,0)*2+IF(BB54&gt;18,BB54-18,0)*2+IF(BB54&gt;19,BB54-19,0)*2+IF(BB54&gt;20,BB54-20,0)*2</f>
        <v>0</v>
      </c>
      <c r="BF54" s="243">
        <f t="shared" si="414"/>
        <v>173.5384615384616</v>
      </c>
      <c r="BG54" s="218">
        <f t="shared" si="415"/>
        <v>0</v>
      </c>
      <c r="BI54" s="303" t="s">
        <v>48</v>
      </c>
      <c r="BJ54" s="243" t="s">
        <v>94</v>
      </c>
      <c r="BK54" s="218" t="s">
        <v>132</v>
      </c>
      <c r="BL54" s="237"/>
      <c r="BM54" s="234">
        <f t="shared" si="416"/>
        <v>11</v>
      </c>
      <c r="BN54" s="234">
        <f>Konvention_1slave-INslave</f>
        <v>12</v>
      </c>
      <c r="BO54" s="234"/>
      <c r="BP54" s="234"/>
      <c r="BQ54" s="234"/>
      <c r="BR54" s="234"/>
      <c r="BS54" s="224"/>
      <c r="BT54" s="222">
        <f>(BM54+BM54+BN54)/3</f>
        <v>11.333333333333334</v>
      </c>
      <c r="BU54" s="223">
        <f t="shared" si="418"/>
        <v>22.666666666666668</v>
      </c>
      <c r="BV54" s="224">
        <f t="shared" si="419"/>
        <v>34</v>
      </c>
      <c r="BW54" s="237">
        <f>BM54*POWER(INslave,SIGN(BN54))*POWER(KLslave_KL,SIGN(BM54))+BM54*POWER(INslave,SIGN(BN54))*POWER(KLslave_KL,SIGN(BM54))+BN54*POWER(KLslave_KL,SIGN(BM54))*POWER(KLslave_KL,SIGN(BM54))</f>
        <v>2556</v>
      </c>
      <c r="BX54" s="234">
        <f>BM54*BM54*INslave+BM54*KLslave_KL*BN54+KLslave_KL*BM54*BN54</f>
        <v>3344</v>
      </c>
      <c r="BY54" s="224">
        <f>BM54*BM54*BN54</f>
        <v>1452</v>
      </c>
      <c r="BZ54" s="242">
        <f t="shared" si="504"/>
        <v>7352</v>
      </c>
      <c r="CA54" s="222">
        <f t="shared" si="420"/>
        <v>3.940152339499456</v>
      </c>
      <c r="CB54" s="223">
        <f t="shared" si="421"/>
        <v>10.309756982227059</v>
      </c>
      <c r="CC54" s="243">
        <f t="shared" si="422"/>
        <v>6.714907508161045</v>
      </c>
      <c r="CD54" s="218">
        <f t="shared" si="423"/>
        <v>20.96481682988756</v>
      </c>
      <c r="CE54" s="252">
        <f t="shared" si="424"/>
        <v>0</v>
      </c>
      <c r="CF54" s="309">
        <f t="shared" si="425"/>
        <v>20.96481682988756</v>
      </c>
      <c r="CG54" s="218">
        <f>IF(CD54&gt;0,CD54,0)*2+IF(CD54&gt;12,CD54-12,0)*2+IF(CD54&gt;13,CD54-13,0)*2+IF(CD54&gt;14,CD54-14,0)*2+IF(CD54&gt;15,CD54-15,0)*2+IF(CD54&gt;16,CD54-16,0)*2+IF(CD54&gt;17,CD54-17,0)*2+IF(CD54&gt;18,CD54-18,0)*2+IF(CD54&gt;19,CD54-19,0)*2+IF(CD54&gt;20,CD54-20,0)*2</f>
        <v>131.29633659775118</v>
      </c>
      <c r="CH54" s="242">
        <f>IF(CE54&gt;0,CE54,0)*2+IF(CE54&gt;12,CE54-12,0)*2+IF(CE54&gt;13,CE54-13,0)*2+IF(CE54&gt;14,CE54-14,0)*2+IF(CE54&gt;15,CE54-15,0)*2+IF(CE54&gt;16,CE54-16,0)*2+IF(CE54&gt;17,CE54-17,0)*2+IF(CE54&gt;18,CE54-18,0)*2+IF(CE54&gt;19,CE54-19,0)*2+IF(CE54&gt;20,CE54-20,0)*2</f>
        <v>0</v>
      </c>
      <c r="CI54" s="243">
        <f t="shared" si="426"/>
        <v>131.29633659775118</v>
      </c>
      <c r="CJ54" s="218">
        <f t="shared" si="427"/>
        <v>0</v>
      </c>
      <c r="CL54" s="303" t="s">
        <v>48</v>
      </c>
      <c r="CM54" s="243" t="s">
        <v>94</v>
      </c>
      <c r="CN54" s="218" t="s">
        <v>132</v>
      </c>
      <c r="CO54" s="237"/>
      <c r="CP54" s="234">
        <f t="shared" si="428"/>
        <v>12</v>
      </c>
      <c r="CQ54" s="234">
        <f>Konvention_1slave-INslave_IN</f>
        <v>11</v>
      </c>
      <c r="CR54" s="234"/>
      <c r="CS54" s="234"/>
      <c r="CT54" s="234"/>
      <c r="CU54" s="234"/>
      <c r="CV54" s="224"/>
      <c r="CW54" s="222">
        <f>(CP54+CP54+CQ54)/3</f>
        <v>11.666666666666666</v>
      </c>
      <c r="CX54" s="223">
        <f t="shared" si="430"/>
        <v>23.333333333333332</v>
      </c>
      <c r="CY54" s="224">
        <f t="shared" si="431"/>
        <v>35</v>
      </c>
      <c r="CZ54" s="237">
        <f>CP54*POWER(INslave_IN,SIGN(CQ54))*POWER(KLslave,SIGN(CP54))+CP54*POWER(INslave_IN,SIGN(CQ54))*POWER(KLslave,SIGN(CP54))+CQ54*POWER(KLslave,SIGN(CP54))*POWER(KLslave,SIGN(CP54))</f>
        <v>2432</v>
      </c>
      <c r="DA54" s="234">
        <f>CP54*CP54*INslave_IN+CP54*KLslave*CQ54+KLslave*CP54*CQ54</f>
        <v>3408</v>
      </c>
      <c r="DB54" s="224">
        <f>CP54*CP54*CQ54</f>
        <v>1584</v>
      </c>
      <c r="DC54" s="242">
        <f t="shared" si="506"/>
        <v>7424</v>
      </c>
      <c r="DD54" s="222">
        <f t="shared" si="432"/>
        <v>3.8218390804597702</v>
      </c>
      <c r="DE54" s="223">
        <f t="shared" si="433"/>
        <v>10.711206896551724</v>
      </c>
      <c r="DF54" s="243">
        <f t="shared" si="434"/>
        <v>7.4676724137931032</v>
      </c>
      <c r="DG54" s="218">
        <f t="shared" si="435"/>
        <v>22.000718390804597</v>
      </c>
      <c r="DH54" s="252">
        <f t="shared" si="436"/>
        <v>0</v>
      </c>
      <c r="DI54" s="309">
        <f t="shared" si="437"/>
        <v>22.000718390804597</v>
      </c>
      <c r="DJ54" s="218">
        <f>IF(DG54&gt;0,DG54,0)*2+IF(DG54&gt;12,DG54-12,0)*2+IF(DG54&gt;13,DG54-13,0)*2+IF(DG54&gt;14,DG54-14,0)*2+IF(DG54&gt;15,DG54-15,0)*2+IF(DG54&gt;16,DG54-16,0)*2+IF(DG54&gt;17,DG54-17,0)*2+IF(DG54&gt;18,DG54-18,0)*2+IF(DG54&gt;19,DG54-19,0)*2+IF(DG54&gt;20,DG54-20,0)*2</f>
        <v>152.01436781609189</v>
      </c>
      <c r="DK54" s="242">
        <f>IF(DH54&gt;0,DH54,0)*2+IF(DH54&gt;12,DH54-12,0)*2+IF(DH54&gt;13,DH54-13,0)*2+IF(DH54&gt;14,DH54-14,0)*2+IF(DH54&gt;15,DH54-15,0)*2+IF(DH54&gt;16,DH54-16,0)*2+IF(DH54&gt;17,DH54-17,0)*2+IF(DH54&gt;18,DH54-18,0)*2+IF(DH54&gt;19,DH54-19,0)*2+IF(DH54&gt;20,DH54-20,0)*2</f>
        <v>0</v>
      </c>
      <c r="DL54" s="243">
        <f t="shared" si="438"/>
        <v>152.01436781609189</v>
      </c>
      <c r="DM54" s="218">
        <f t="shared" si="439"/>
        <v>0</v>
      </c>
      <c r="DO54" s="303" t="s">
        <v>48</v>
      </c>
      <c r="DP54" s="243" t="s">
        <v>94</v>
      </c>
      <c r="DQ54" s="218" t="s">
        <v>132</v>
      </c>
      <c r="DR54" s="237"/>
      <c r="DS54" s="234">
        <f t="shared" si="440"/>
        <v>12</v>
      </c>
      <c r="DT54" s="234">
        <f>Konvention_1slave-INslave</f>
        <v>12</v>
      </c>
      <c r="DU54" s="234"/>
      <c r="DV54" s="234"/>
      <c r="DW54" s="234"/>
      <c r="DX54" s="234"/>
      <c r="DY54" s="224"/>
      <c r="DZ54" s="222">
        <f>(DS54+DS54+DT54)/3</f>
        <v>12</v>
      </c>
      <c r="EA54" s="223">
        <f t="shared" si="442"/>
        <v>24</v>
      </c>
      <c r="EB54" s="224">
        <f t="shared" si="443"/>
        <v>36</v>
      </c>
      <c r="EC54" s="237">
        <f>DS54*POWER(INslave,SIGN(DT54))*POWER(KLslave,SIGN(DS54))+DS54*POWER(INslave,SIGN(DT54))*POWER(KLslave,SIGN(DS54))+DT54*POWER(KLslave,SIGN(DS54))*POWER(KLslave,SIGN(DS54))</f>
        <v>2304</v>
      </c>
      <c r="ED54" s="234">
        <f>DS54*DS54*INslave+DS54*KLslave*DT54+KLslave*DS54*DT54</f>
        <v>3456</v>
      </c>
      <c r="EE54" s="224">
        <f>DS54*DS54*DT54</f>
        <v>1728</v>
      </c>
      <c r="EF54" s="242">
        <f t="shared" si="508"/>
        <v>7488</v>
      </c>
      <c r="EG54" s="222">
        <f t="shared" si="444"/>
        <v>3.6923076923076925</v>
      </c>
      <c r="EH54" s="223">
        <f t="shared" si="445"/>
        <v>11.076923076923077</v>
      </c>
      <c r="EI54" s="243">
        <f t="shared" si="446"/>
        <v>8.3076923076923084</v>
      </c>
      <c r="EJ54" s="218">
        <f t="shared" si="447"/>
        <v>23.07692307692308</v>
      </c>
      <c r="EK54" s="252">
        <f t="shared" si="448"/>
        <v>0</v>
      </c>
      <c r="EL54" s="309">
        <f t="shared" si="449"/>
        <v>23.07692307692308</v>
      </c>
      <c r="EM54" s="218">
        <f>IF(EJ54&gt;0,EJ54,0)*2+IF(EJ54&gt;12,EJ54-12,0)*2+IF(EJ54&gt;13,EJ54-13,0)*2+IF(EJ54&gt;14,EJ54-14,0)*2+IF(EJ54&gt;15,EJ54-15,0)*2+IF(EJ54&gt;16,EJ54-16,0)*2+IF(EJ54&gt;17,EJ54-17,0)*2+IF(EJ54&gt;18,EJ54-18,0)*2+IF(EJ54&gt;19,EJ54-19,0)*2+IF(EJ54&gt;20,EJ54-20,0)*2</f>
        <v>173.5384615384616</v>
      </c>
      <c r="EN54" s="242">
        <f>IF(EK54&gt;0,EK54,0)*2+IF(EK54&gt;12,EK54-12,0)*2+IF(EK54&gt;13,EK54-13,0)*2+IF(EK54&gt;14,EK54-14,0)*2+IF(EK54&gt;15,EK54-15,0)*2+IF(EK54&gt;16,EK54-16,0)*2+IF(EK54&gt;17,EK54-17,0)*2+IF(EK54&gt;18,EK54-18,0)*2+IF(EK54&gt;19,EK54-19,0)*2+IF(EK54&gt;20,EK54-20,0)*2</f>
        <v>0</v>
      </c>
      <c r="EO54" s="243">
        <f t="shared" si="450"/>
        <v>173.5384615384616</v>
      </c>
      <c r="EP54" s="218">
        <f t="shared" si="451"/>
        <v>0</v>
      </c>
      <c r="ER54" s="303" t="s">
        <v>48</v>
      </c>
      <c r="ES54" s="243" t="s">
        <v>94</v>
      </c>
      <c r="ET54" s="218" t="s">
        <v>132</v>
      </c>
      <c r="EU54" s="237"/>
      <c r="EV54" s="234">
        <f t="shared" si="452"/>
        <v>12</v>
      </c>
      <c r="EW54" s="234">
        <f>Konvention_1slave-INslave</f>
        <v>12</v>
      </c>
      <c r="EX54" s="234"/>
      <c r="EY54" s="234"/>
      <c r="EZ54" s="234"/>
      <c r="FA54" s="234"/>
      <c r="FB54" s="224"/>
      <c r="FC54" s="222">
        <f>(EV54+EV54+EW54)/3</f>
        <v>12</v>
      </c>
      <c r="FD54" s="223">
        <f t="shared" si="454"/>
        <v>24</v>
      </c>
      <c r="FE54" s="224">
        <f t="shared" si="455"/>
        <v>36</v>
      </c>
      <c r="FF54" s="237">
        <f>EV54*POWER(INslave,SIGN(EW54))*POWER(KLslave,SIGN(EV54))+EV54*POWER(INslave,SIGN(EW54))*POWER(KLslave,SIGN(EV54))+EW54*POWER(KLslave,SIGN(EV54))*POWER(KLslave,SIGN(EV54))</f>
        <v>2304</v>
      </c>
      <c r="FG54" s="234">
        <f>EV54*EV54*INslave+EV54*KLslave*EW54+KLslave*EV54*EW54</f>
        <v>3456</v>
      </c>
      <c r="FH54" s="224">
        <f>EV54*EV54*EW54</f>
        <v>1728</v>
      </c>
      <c r="FI54" s="242">
        <f t="shared" si="510"/>
        <v>7488</v>
      </c>
      <c r="FJ54" s="222">
        <f t="shared" si="456"/>
        <v>3.6923076923076925</v>
      </c>
      <c r="FK54" s="223">
        <f t="shared" si="457"/>
        <v>11.076923076923077</v>
      </c>
      <c r="FL54" s="243">
        <f t="shared" si="458"/>
        <v>8.3076923076923084</v>
      </c>
      <c r="FM54" s="218">
        <f t="shared" si="459"/>
        <v>23.07692307692308</v>
      </c>
      <c r="FN54" s="252">
        <f t="shared" si="460"/>
        <v>0</v>
      </c>
      <c r="FO54" s="309">
        <f t="shared" si="461"/>
        <v>23.07692307692308</v>
      </c>
      <c r="FP54" s="218">
        <f>IF(FM54&gt;0,FM54,0)*2+IF(FM54&gt;12,FM54-12,0)*2+IF(FM54&gt;13,FM54-13,0)*2+IF(FM54&gt;14,FM54-14,0)*2+IF(FM54&gt;15,FM54-15,0)*2+IF(FM54&gt;16,FM54-16,0)*2+IF(FM54&gt;17,FM54-17,0)*2+IF(FM54&gt;18,FM54-18,0)*2+IF(FM54&gt;19,FM54-19,0)*2+IF(FM54&gt;20,FM54-20,0)*2</f>
        <v>173.5384615384616</v>
      </c>
      <c r="FQ54" s="242">
        <f>IF(FN54&gt;0,FN54,0)*2+IF(FN54&gt;12,FN54-12,0)*2+IF(FN54&gt;13,FN54-13,0)*2+IF(FN54&gt;14,FN54-14,0)*2+IF(FN54&gt;15,FN54-15,0)*2+IF(FN54&gt;16,FN54-16,0)*2+IF(FN54&gt;17,FN54-17,0)*2+IF(FN54&gt;18,FN54-18,0)*2+IF(FN54&gt;19,FN54-19,0)*2+IF(FN54&gt;20,FN54-20,0)*2</f>
        <v>0</v>
      </c>
      <c r="FR54" s="243">
        <f t="shared" si="462"/>
        <v>173.5384615384616</v>
      </c>
      <c r="FS54" s="218">
        <f t="shared" si="463"/>
        <v>0</v>
      </c>
      <c r="FU54" s="303" t="s">
        <v>48</v>
      </c>
      <c r="FV54" s="243" t="s">
        <v>94</v>
      </c>
      <c r="FW54" s="218" t="s">
        <v>132</v>
      </c>
      <c r="FX54" s="237"/>
      <c r="FY54" s="234">
        <f t="shared" si="464"/>
        <v>12</v>
      </c>
      <c r="FZ54" s="234">
        <f>Konvention_1slave-INslave</f>
        <v>12</v>
      </c>
      <c r="GA54" s="234"/>
      <c r="GB54" s="234"/>
      <c r="GC54" s="234"/>
      <c r="GD54" s="234"/>
      <c r="GE54" s="224"/>
      <c r="GF54" s="222">
        <f>(FY54+FY54+FZ54)/3</f>
        <v>12</v>
      </c>
      <c r="GG54" s="223">
        <f t="shared" si="466"/>
        <v>24</v>
      </c>
      <c r="GH54" s="224">
        <f t="shared" si="467"/>
        <v>36</v>
      </c>
      <c r="GI54" s="237">
        <f>FY54*POWER(INslave,SIGN(FZ54))*POWER(KLslave,SIGN(FY54))+FY54*POWER(INslave,SIGN(FZ54))*POWER(KLslave,SIGN(FY54))+FZ54*POWER(KLslave,SIGN(FY54))*POWER(KLslave,SIGN(FY54))</f>
        <v>2304</v>
      </c>
      <c r="GJ54" s="234">
        <f>FY54*FY54*INslave+FY54*KLslave*FZ54+KLslave*FY54*FZ54</f>
        <v>3456</v>
      </c>
      <c r="GK54" s="224">
        <f>FY54*FY54*FZ54</f>
        <v>1728</v>
      </c>
      <c r="GL54" s="242">
        <f t="shared" si="512"/>
        <v>7488</v>
      </c>
      <c r="GM54" s="222">
        <f t="shared" si="468"/>
        <v>3.6923076923076925</v>
      </c>
      <c r="GN54" s="223">
        <f t="shared" si="469"/>
        <v>11.076923076923077</v>
      </c>
      <c r="GO54" s="243">
        <f t="shared" si="470"/>
        <v>8.3076923076923084</v>
      </c>
      <c r="GP54" s="218">
        <f t="shared" si="471"/>
        <v>23.07692307692308</v>
      </c>
      <c r="GQ54" s="252">
        <f t="shared" si="472"/>
        <v>0</v>
      </c>
      <c r="GR54" s="309">
        <f t="shared" si="473"/>
        <v>23.07692307692308</v>
      </c>
      <c r="GS54" s="218">
        <f>IF(GP54&gt;0,GP54,0)*2+IF(GP54&gt;12,GP54-12,0)*2+IF(GP54&gt;13,GP54-13,0)*2+IF(GP54&gt;14,GP54-14,0)*2+IF(GP54&gt;15,GP54-15,0)*2+IF(GP54&gt;16,GP54-16,0)*2+IF(GP54&gt;17,GP54-17,0)*2+IF(GP54&gt;18,GP54-18,0)*2+IF(GP54&gt;19,GP54-19,0)*2+IF(GP54&gt;20,GP54-20,0)*2</f>
        <v>173.5384615384616</v>
      </c>
      <c r="GT54" s="242">
        <f>IF(GQ54&gt;0,GQ54,0)*2+IF(GQ54&gt;12,GQ54-12,0)*2+IF(GQ54&gt;13,GQ54-13,0)*2+IF(GQ54&gt;14,GQ54-14,0)*2+IF(GQ54&gt;15,GQ54-15,0)*2+IF(GQ54&gt;16,GQ54-16,0)*2+IF(GQ54&gt;17,GQ54-17,0)*2+IF(GQ54&gt;18,GQ54-18,0)*2+IF(GQ54&gt;19,GQ54-19,0)*2+IF(GQ54&gt;20,GQ54-20,0)*2</f>
        <v>0</v>
      </c>
      <c r="GU54" s="243">
        <f t="shared" si="474"/>
        <v>173.5384615384616</v>
      </c>
      <c r="GV54" s="218">
        <f t="shared" si="475"/>
        <v>0</v>
      </c>
      <c r="GX54" s="303" t="s">
        <v>48</v>
      </c>
      <c r="GY54" s="243" t="s">
        <v>94</v>
      </c>
      <c r="GZ54" s="218" t="s">
        <v>132</v>
      </c>
      <c r="HA54" s="237"/>
      <c r="HB54" s="234">
        <f t="shared" si="476"/>
        <v>12</v>
      </c>
      <c r="HC54" s="234">
        <f>Konvention_1slave-INslave</f>
        <v>12</v>
      </c>
      <c r="HD54" s="234"/>
      <c r="HE54" s="234"/>
      <c r="HF54" s="234"/>
      <c r="HG54" s="234"/>
      <c r="HH54" s="224"/>
      <c r="HI54" s="222">
        <f>(HB54+HB54+HC54)/3</f>
        <v>12</v>
      </c>
      <c r="HJ54" s="223">
        <f t="shared" si="478"/>
        <v>24</v>
      </c>
      <c r="HK54" s="224">
        <f t="shared" si="479"/>
        <v>36</v>
      </c>
      <c r="HL54" s="237">
        <f>HB54*POWER(INslave,SIGN(HC54))*POWER(KLslave,SIGN(HB54))+HB54*POWER(INslave,SIGN(HC54))*POWER(KLslave,SIGN(HB54))+HC54*POWER(KLslave,SIGN(HB54))*POWER(KLslave,SIGN(HB54))</f>
        <v>2304</v>
      </c>
      <c r="HM54" s="234">
        <f>HB54*HB54*INslave+HB54*KLslave*HC54+KLslave*HB54*HC54</f>
        <v>3456</v>
      </c>
      <c r="HN54" s="224">
        <f>HB54*HB54*HC54</f>
        <v>1728</v>
      </c>
      <c r="HO54" s="242">
        <f t="shared" si="514"/>
        <v>7488</v>
      </c>
      <c r="HP54" s="222">
        <f t="shared" si="480"/>
        <v>3.6923076923076925</v>
      </c>
      <c r="HQ54" s="223">
        <f t="shared" si="481"/>
        <v>11.076923076923077</v>
      </c>
      <c r="HR54" s="243">
        <f t="shared" si="482"/>
        <v>8.3076923076923084</v>
      </c>
      <c r="HS54" s="218">
        <f t="shared" si="483"/>
        <v>23.07692307692308</v>
      </c>
      <c r="HT54" s="252">
        <f t="shared" si="484"/>
        <v>0</v>
      </c>
      <c r="HU54" s="309">
        <f t="shared" si="485"/>
        <v>23.07692307692308</v>
      </c>
      <c r="HV54" s="218">
        <f>IF(HS54&gt;0,HS54,0)*2+IF(HS54&gt;12,HS54-12,0)*2+IF(HS54&gt;13,HS54-13,0)*2+IF(HS54&gt;14,HS54-14,0)*2+IF(HS54&gt;15,HS54-15,0)*2+IF(HS54&gt;16,HS54-16,0)*2+IF(HS54&gt;17,HS54-17,0)*2+IF(HS54&gt;18,HS54-18,0)*2+IF(HS54&gt;19,HS54-19,0)*2+IF(HS54&gt;20,HS54-20,0)*2</f>
        <v>173.5384615384616</v>
      </c>
      <c r="HW54" s="242">
        <f>IF(HT54&gt;0,HT54,0)*2+IF(HT54&gt;12,HT54-12,0)*2+IF(HT54&gt;13,HT54-13,0)*2+IF(HT54&gt;14,HT54-14,0)*2+IF(HT54&gt;15,HT54-15,0)*2+IF(HT54&gt;16,HT54-16,0)*2+IF(HT54&gt;17,HT54-17,0)*2+IF(HT54&gt;18,HT54-18,0)*2+IF(HT54&gt;19,HT54-19,0)*2+IF(HT54&gt;20,HT54-20,0)*2</f>
        <v>0</v>
      </c>
      <c r="HX54" s="243">
        <f t="shared" si="486"/>
        <v>173.5384615384616</v>
      </c>
      <c r="HY54" s="218">
        <f t="shared" si="487"/>
        <v>0</v>
      </c>
      <c r="IA54" s="303" t="s">
        <v>48</v>
      </c>
      <c r="IB54" s="243" t="s">
        <v>94</v>
      </c>
      <c r="IC54" s="218" t="s">
        <v>132</v>
      </c>
      <c r="ID54" s="237"/>
      <c r="IE54" s="234">
        <f t="shared" si="488"/>
        <v>12</v>
      </c>
      <c r="IF54" s="234">
        <f>Konvention_1slave-INslave</f>
        <v>12</v>
      </c>
      <c r="IG54" s="234"/>
      <c r="IH54" s="234"/>
      <c r="II54" s="234"/>
      <c r="IJ54" s="234"/>
      <c r="IK54" s="224"/>
      <c r="IL54" s="222">
        <f>(IE54+IE54+IF54)/3</f>
        <v>12</v>
      </c>
      <c r="IM54" s="223">
        <f t="shared" si="490"/>
        <v>24</v>
      </c>
      <c r="IN54" s="224">
        <f t="shared" si="491"/>
        <v>36</v>
      </c>
      <c r="IO54" s="237">
        <f>IE54*POWER(INslave,SIGN(IF54))*POWER(KLslave,SIGN(IE54))+IE54*POWER(INslave,SIGN(IF54))*POWER(KLslave,SIGN(IE54))+IF54*POWER(KLslave,SIGN(IE54))*POWER(KLslave,SIGN(IE54))</f>
        <v>2304</v>
      </c>
      <c r="IP54" s="234">
        <f>IE54*IE54*INslave+IE54*KLslave*IF54+KLslave*IE54*IF54</f>
        <v>3456</v>
      </c>
      <c r="IQ54" s="224">
        <f>IE54*IE54*IF54</f>
        <v>1728</v>
      </c>
      <c r="IR54" s="242">
        <f t="shared" si="516"/>
        <v>7488</v>
      </c>
      <c r="IS54" s="222">
        <f t="shared" si="492"/>
        <v>3.6923076923076925</v>
      </c>
      <c r="IT54" s="223">
        <f t="shared" si="493"/>
        <v>11.076923076923077</v>
      </c>
      <c r="IU54" s="243">
        <f t="shared" si="494"/>
        <v>8.3076923076923084</v>
      </c>
      <c r="IV54" s="218">
        <f t="shared" si="495"/>
        <v>23.07692307692308</v>
      </c>
      <c r="IW54" s="252">
        <f t="shared" si="496"/>
        <v>0</v>
      </c>
      <c r="IX54" s="309">
        <f t="shared" si="497"/>
        <v>23.07692307692308</v>
      </c>
      <c r="IY54" s="218">
        <f>IF(IV54&gt;0,IV54,0)*2+IF(IV54&gt;12,IV54-12,0)*2+IF(IV54&gt;13,IV54-13,0)*2+IF(IV54&gt;14,IV54-14,0)*2+IF(IV54&gt;15,IV54-15,0)*2+IF(IV54&gt;16,IV54-16,0)*2+IF(IV54&gt;17,IV54-17,0)*2+IF(IV54&gt;18,IV54-18,0)*2+IF(IV54&gt;19,IV54-19,0)*2+IF(IV54&gt;20,IV54-20,0)*2</f>
        <v>173.5384615384616</v>
      </c>
      <c r="IZ54" s="242">
        <f>IF(IW54&gt;0,IW54,0)*2+IF(IW54&gt;12,IW54-12,0)*2+IF(IW54&gt;13,IW54-13,0)*2+IF(IW54&gt;14,IW54-14,0)*2+IF(IW54&gt;15,IW54-15,0)*2+IF(IW54&gt;16,IW54-16,0)*2+IF(IW54&gt;17,IW54-17,0)*2+IF(IW54&gt;18,IW54-18,0)*2+IF(IW54&gt;19,IW54-19,0)*2+IF(IW54&gt;20,IW54-20,0)*2</f>
        <v>0</v>
      </c>
      <c r="JA54" s="243">
        <f t="shared" si="498"/>
        <v>173.5384615384616</v>
      </c>
      <c r="JB54" s="218">
        <f t="shared" si="499"/>
        <v>0</v>
      </c>
      <c r="JE54" s="148"/>
    </row>
    <row r="55" spans="2:265" hidden="1" outlineLevel="2">
      <c r="B55" s="148">
        <v>12</v>
      </c>
      <c r="C55" s="306" t="e">
        <f>VLOOKUP(AF55,Attribute!C:T,1,FALSE)</f>
        <v>#N/A</v>
      </c>
      <c r="D55" s="128" t="s">
        <v>94</v>
      </c>
      <c r="E55" s="159" t="s">
        <v>133</v>
      </c>
      <c r="F55" s="115"/>
      <c r="G55" s="122">
        <f t="shared" si="393"/>
        <v>12</v>
      </c>
      <c r="H55" s="122">
        <f>Konvention_1master-INmaster</f>
        <v>12</v>
      </c>
      <c r="I55" s="122"/>
      <c r="J55" s="122"/>
      <c r="K55" s="122"/>
      <c r="L55" s="122"/>
      <c r="M55" s="123"/>
      <c r="N55" s="225">
        <f>(G55+G55+H55)/3</f>
        <v>12</v>
      </c>
      <c r="O55" s="226">
        <f t="shared" si="395"/>
        <v>24</v>
      </c>
      <c r="P55" s="227">
        <f t="shared" si="396"/>
        <v>36</v>
      </c>
      <c r="Q55" s="238">
        <f>G55*POWER(INmaster,SIGN(H55))*POWER(KLmaster,SIGN(G55))+G55*POWER(INmaster,SIGN(H55))*POWER(KLmaster,SIGN(G55))+H55*POWER(KLmaster,SIGN(G55))*POWER(KLmaster,SIGN(G55))</f>
        <v>2304</v>
      </c>
      <c r="R55" s="122">
        <f>G55*G55*INmaster+G55*KLmaster*H55+KLmaster*G55*H55</f>
        <v>3456</v>
      </c>
      <c r="S55" s="227">
        <f>G55*G55*H55</f>
        <v>1728</v>
      </c>
      <c r="T55" s="244">
        <f>SUM(Q55:S55)</f>
        <v>7488</v>
      </c>
      <c r="U55" s="225">
        <f t="shared" si="397"/>
        <v>3.6923076923076925</v>
      </c>
      <c r="V55" s="226">
        <f t="shared" si="398"/>
        <v>11.076923076923077</v>
      </c>
      <c r="W55" s="245">
        <f t="shared" si="399"/>
        <v>8.3076923076923084</v>
      </c>
      <c r="X55" s="246">
        <f t="shared" si="400"/>
        <v>23.07692307692308</v>
      </c>
      <c r="Y55" s="252">
        <v>0</v>
      </c>
      <c r="Z55" s="198">
        <f t="shared" si="401"/>
        <v>23.07692307692308</v>
      </c>
      <c r="AA55" s="159">
        <f>IF(X55&gt;0,X55,0)*1+IF(X55&gt;12,X55-12,0)*1+IF(X55&gt;13,X55-13,0)*1+IF(X55&gt;14,X55-14,0)*1+IF(X55&gt;15,X55-15,0)*1+IF(X55&gt;16,X55-16,0)*1+IF(X55&gt;17,X55-17,0)*1+IF(X55&gt;18,X55-18,0)*1+IF(X55&gt;19,X55-19,0)*1+IF(X55&gt;20,X55-20,0)*1</f>
        <v>86.769230769230802</v>
      </c>
      <c r="AB55" s="161">
        <f>IF(Y55&gt;0,Y55,0)*1+IF(Y55&gt;12,Y55-12,0)*1+IF(Y55&gt;13,Y55-13,0)*1+IF(Y55&gt;14,Y55-14,0)*1+IF(Y55&gt;15,Y55-15,0)*1+IF(Y55&gt;16,Y55-16,0)*1+IF(Y55&gt;17,Y55-17,0)*1+IF(Y55&gt;18,Y55-18,0)*1+IF(Y55&gt;19,Y55-19,0)*1+IF(Y55&gt;20,Y55-20,0)*1</f>
        <v>0</v>
      </c>
      <c r="AC55" s="128">
        <f t="shared" si="402"/>
        <v>86.769230769230802</v>
      </c>
      <c r="AD55" s="159">
        <f t="shared" si="403"/>
        <v>0</v>
      </c>
      <c r="AF55" s="164" t="s">
        <v>49</v>
      </c>
      <c r="AG55" s="128" t="s">
        <v>94</v>
      </c>
      <c r="AH55" s="159" t="s">
        <v>133</v>
      </c>
      <c r="AI55" s="115"/>
      <c r="AJ55" s="122">
        <f t="shared" si="404"/>
        <v>12</v>
      </c>
      <c r="AK55" s="122">
        <f>Konvention_1slave-INslave</f>
        <v>12</v>
      </c>
      <c r="AL55" s="122"/>
      <c r="AM55" s="122"/>
      <c r="AN55" s="122"/>
      <c r="AO55" s="122"/>
      <c r="AP55" s="123"/>
      <c r="AQ55" s="90">
        <f>(AJ55+AJ55+AK55)/3</f>
        <v>12</v>
      </c>
      <c r="AR55" s="88">
        <f t="shared" si="406"/>
        <v>24</v>
      </c>
      <c r="AS55" s="123">
        <f t="shared" si="407"/>
        <v>36</v>
      </c>
      <c r="AT55" s="115">
        <f>AJ55*POWER(INslave,SIGN(AK55))*POWER(KLslave,SIGN(AJ55))+AJ55*POWER(INslave,SIGN(AK55))*POWER(KLslave,SIGN(AJ55))+AK55*POWER(KLslave,SIGN(AJ55))*POWER(KLslave,SIGN(AJ55))</f>
        <v>2304</v>
      </c>
      <c r="AU55" s="122">
        <f>AJ55*AJ55*INslave+AJ55*KLslave*AK55+KLslave*AJ55*AK55</f>
        <v>3456</v>
      </c>
      <c r="AV55" s="123">
        <f>AJ55*AJ55*AK55</f>
        <v>1728</v>
      </c>
      <c r="AW55" s="161">
        <f>SUM(AT55:AV55)</f>
        <v>7488</v>
      </c>
      <c r="AX55" s="90">
        <f t="shared" si="408"/>
        <v>3.6923076923076925</v>
      </c>
      <c r="AY55" s="88">
        <f t="shared" si="409"/>
        <v>11.076923076923077</v>
      </c>
      <c r="AZ55" s="128">
        <f t="shared" si="410"/>
        <v>8.3076923076923084</v>
      </c>
      <c r="BA55" s="159">
        <f t="shared" si="411"/>
        <v>23.07692307692308</v>
      </c>
      <c r="BB55" s="165">
        <f t="shared" si="412"/>
        <v>0</v>
      </c>
      <c r="BC55" s="198">
        <f t="shared" si="413"/>
        <v>23.07692307692308</v>
      </c>
      <c r="BD55" s="159">
        <f>IF(BA55&gt;0,BA55,0)*1+IF(BA55&gt;12,BA55-12,0)*1+IF(BA55&gt;13,BA55-13,0)*1+IF(BA55&gt;14,BA55-14,0)*1+IF(BA55&gt;15,BA55-15,0)*1+IF(BA55&gt;16,BA55-16,0)*1+IF(BA55&gt;17,BA55-17,0)*1+IF(BA55&gt;18,BA55-18,0)*1+IF(BA55&gt;19,BA55-19,0)*1+IF(BA55&gt;20,BA55-20,0)*1</f>
        <v>86.769230769230802</v>
      </c>
      <c r="BE55" s="161">
        <f>IF(BB55&gt;0,BB55,0)*1+IF(BB55&gt;12,BB55-12,0)*1+IF(BB55&gt;13,BB55-13,0)*1+IF(BB55&gt;14,BB55-14,0)*1+IF(BB55&gt;15,BB55-15,0)*1+IF(BB55&gt;16,BB55-16,0)*1+IF(BB55&gt;17,BB55-17,0)*1+IF(BB55&gt;18,BB55-18,0)*1+IF(BB55&gt;19,BB55-19,0)*1+IF(BB55&gt;20,BB55-20,0)*1</f>
        <v>0</v>
      </c>
      <c r="BF55" s="245">
        <f t="shared" si="414"/>
        <v>86.769230769230802</v>
      </c>
      <c r="BG55" s="246">
        <f t="shared" si="415"/>
        <v>0</v>
      </c>
      <c r="BI55" s="306" t="s">
        <v>49</v>
      </c>
      <c r="BJ55" s="245" t="s">
        <v>94</v>
      </c>
      <c r="BK55" s="246" t="s">
        <v>133</v>
      </c>
      <c r="BL55" s="238"/>
      <c r="BM55" s="235">
        <f t="shared" si="416"/>
        <v>11</v>
      </c>
      <c r="BN55" s="235">
        <f>Konvention_1slave-INslave</f>
        <v>12</v>
      </c>
      <c r="BO55" s="235"/>
      <c r="BP55" s="235"/>
      <c r="BQ55" s="235"/>
      <c r="BR55" s="235"/>
      <c r="BS55" s="227"/>
      <c r="BT55" s="225">
        <f>(BM55+BM55+BN55)/3</f>
        <v>11.333333333333334</v>
      </c>
      <c r="BU55" s="226">
        <f t="shared" si="418"/>
        <v>22.666666666666668</v>
      </c>
      <c r="BV55" s="227">
        <f t="shared" si="419"/>
        <v>34</v>
      </c>
      <c r="BW55" s="238">
        <f>BM55*POWER(INslave,SIGN(BN55))*POWER(KLslave_KL,SIGN(BM55))+BM55*POWER(INslave,SIGN(BN55))*POWER(KLslave_KL,SIGN(BM55))+BN55*POWER(KLslave_KL,SIGN(BM55))*POWER(KLslave_KL,SIGN(BM55))</f>
        <v>2556</v>
      </c>
      <c r="BX55" s="235">
        <f>BM55*BM55*INslave+BM55*KLslave_KL*BN55+KLslave_KL*BM55*BN55</f>
        <v>3344</v>
      </c>
      <c r="BY55" s="227">
        <f>BM55*BM55*BN55</f>
        <v>1452</v>
      </c>
      <c r="BZ55" s="244">
        <f>SUM(BW55:BY55)</f>
        <v>7352</v>
      </c>
      <c r="CA55" s="225">
        <f t="shared" si="420"/>
        <v>3.940152339499456</v>
      </c>
      <c r="CB55" s="226">
        <f t="shared" si="421"/>
        <v>10.309756982227059</v>
      </c>
      <c r="CC55" s="245">
        <f t="shared" si="422"/>
        <v>6.714907508161045</v>
      </c>
      <c r="CD55" s="246">
        <f t="shared" si="423"/>
        <v>20.96481682988756</v>
      </c>
      <c r="CE55" s="252">
        <f t="shared" si="424"/>
        <v>0</v>
      </c>
      <c r="CF55" s="309">
        <f t="shared" si="425"/>
        <v>20.96481682988756</v>
      </c>
      <c r="CG55" s="246">
        <f>IF(CD55&gt;0,CD55,0)*1+IF(CD55&gt;12,CD55-12,0)*1+IF(CD55&gt;13,CD55-13,0)*1+IF(CD55&gt;14,CD55-14,0)*1+IF(CD55&gt;15,CD55-15,0)*1+IF(CD55&gt;16,CD55-16,0)*1+IF(CD55&gt;17,CD55-17,0)*1+IF(CD55&gt;18,CD55-18,0)*1+IF(CD55&gt;19,CD55-19,0)*1+IF(CD55&gt;20,CD55-20,0)*1</f>
        <v>65.648168298875589</v>
      </c>
      <c r="CH55" s="244">
        <f>IF(CE55&gt;0,CE55,0)*1+IF(CE55&gt;12,CE55-12,0)*1+IF(CE55&gt;13,CE55-13,0)*1+IF(CE55&gt;14,CE55-14,0)*1+IF(CE55&gt;15,CE55-15,0)*1+IF(CE55&gt;16,CE55-16,0)*1+IF(CE55&gt;17,CE55-17,0)*1+IF(CE55&gt;18,CE55-18,0)*1+IF(CE55&gt;19,CE55-19,0)*1+IF(CE55&gt;20,CE55-20,0)*1</f>
        <v>0</v>
      </c>
      <c r="CI55" s="245">
        <f t="shared" si="426"/>
        <v>65.648168298875589</v>
      </c>
      <c r="CJ55" s="246">
        <f t="shared" si="427"/>
        <v>0</v>
      </c>
      <c r="CL55" s="306" t="s">
        <v>49</v>
      </c>
      <c r="CM55" s="245" t="s">
        <v>94</v>
      </c>
      <c r="CN55" s="246" t="s">
        <v>133</v>
      </c>
      <c r="CO55" s="238"/>
      <c r="CP55" s="235">
        <f t="shared" si="428"/>
        <v>12</v>
      </c>
      <c r="CQ55" s="235">
        <f>Konvention_1slave-INslave_IN</f>
        <v>11</v>
      </c>
      <c r="CR55" s="235"/>
      <c r="CS55" s="235"/>
      <c r="CT55" s="235"/>
      <c r="CU55" s="235"/>
      <c r="CV55" s="227"/>
      <c r="CW55" s="225">
        <f>(CP55+CP55+CQ55)/3</f>
        <v>11.666666666666666</v>
      </c>
      <c r="CX55" s="226">
        <f t="shared" si="430"/>
        <v>23.333333333333332</v>
      </c>
      <c r="CY55" s="227">
        <f t="shared" si="431"/>
        <v>35</v>
      </c>
      <c r="CZ55" s="238">
        <f>CP55*POWER(INslave_IN,SIGN(CQ55))*POWER(KLslave,SIGN(CP55))+CP55*POWER(INslave_IN,SIGN(CQ55))*POWER(KLslave,SIGN(CP55))+CQ55*POWER(KLslave,SIGN(CP55))*POWER(KLslave,SIGN(CP55))</f>
        <v>2432</v>
      </c>
      <c r="DA55" s="235">
        <f>CP55*CP55*INslave_IN+CP55*KLslave*CQ55+KLslave*CP55*CQ55</f>
        <v>3408</v>
      </c>
      <c r="DB55" s="227">
        <f>CP55*CP55*CQ55</f>
        <v>1584</v>
      </c>
      <c r="DC55" s="244">
        <f>SUM(CZ55:DB55)</f>
        <v>7424</v>
      </c>
      <c r="DD55" s="225">
        <f t="shared" si="432"/>
        <v>3.8218390804597702</v>
      </c>
      <c r="DE55" s="226">
        <f t="shared" si="433"/>
        <v>10.711206896551724</v>
      </c>
      <c r="DF55" s="245">
        <f t="shared" si="434"/>
        <v>7.4676724137931032</v>
      </c>
      <c r="DG55" s="246">
        <f t="shared" si="435"/>
        <v>22.000718390804597</v>
      </c>
      <c r="DH55" s="252">
        <f t="shared" si="436"/>
        <v>0</v>
      </c>
      <c r="DI55" s="309">
        <f t="shared" si="437"/>
        <v>22.000718390804597</v>
      </c>
      <c r="DJ55" s="246">
        <f>IF(DG55&gt;0,DG55,0)*1+IF(DG55&gt;12,DG55-12,0)*1+IF(DG55&gt;13,DG55-13,0)*1+IF(DG55&gt;14,DG55-14,0)*1+IF(DG55&gt;15,DG55-15,0)*1+IF(DG55&gt;16,DG55-16,0)*1+IF(DG55&gt;17,DG55-17,0)*1+IF(DG55&gt;18,DG55-18,0)*1+IF(DG55&gt;19,DG55-19,0)*1+IF(DG55&gt;20,DG55-20,0)*1</f>
        <v>76.007183908045945</v>
      </c>
      <c r="DK55" s="244">
        <f>IF(DH55&gt;0,DH55,0)*1+IF(DH55&gt;12,DH55-12,0)*1+IF(DH55&gt;13,DH55-13,0)*1+IF(DH55&gt;14,DH55-14,0)*1+IF(DH55&gt;15,DH55-15,0)*1+IF(DH55&gt;16,DH55-16,0)*1+IF(DH55&gt;17,DH55-17,0)*1+IF(DH55&gt;18,DH55-18,0)*1+IF(DH55&gt;19,DH55-19,0)*1+IF(DH55&gt;20,DH55-20,0)*1</f>
        <v>0</v>
      </c>
      <c r="DL55" s="245">
        <f t="shared" si="438"/>
        <v>76.007183908045945</v>
      </c>
      <c r="DM55" s="246">
        <f t="shared" si="439"/>
        <v>0</v>
      </c>
      <c r="DO55" s="306" t="s">
        <v>49</v>
      </c>
      <c r="DP55" s="245" t="s">
        <v>94</v>
      </c>
      <c r="DQ55" s="246" t="s">
        <v>133</v>
      </c>
      <c r="DR55" s="238"/>
      <c r="DS55" s="235">
        <f t="shared" si="440"/>
        <v>12</v>
      </c>
      <c r="DT55" s="235">
        <f>Konvention_1slave-INslave</f>
        <v>12</v>
      </c>
      <c r="DU55" s="235"/>
      <c r="DV55" s="235"/>
      <c r="DW55" s="235"/>
      <c r="DX55" s="235"/>
      <c r="DY55" s="227"/>
      <c r="DZ55" s="225">
        <f>(DS55+DS55+DT55)/3</f>
        <v>12</v>
      </c>
      <c r="EA55" s="226">
        <f t="shared" si="442"/>
        <v>24</v>
      </c>
      <c r="EB55" s="227">
        <f t="shared" si="443"/>
        <v>36</v>
      </c>
      <c r="EC55" s="238">
        <f>DS55*POWER(INslave,SIGN(DT55))*POWER(KLslave,SIGN(DS55))+DS55*POWER(INslave,SIGN(DT55))*POWER(KLslave,SIGN(DS55))+DT55*POWER(KLslave,SIGN(DS55))*POWER(KLslave,SIGN(DS55))</f>
        <v>2304</v>
      </c>
      <c r="ED55" s="235">
        <f>DS55*DS55*INslave+DS55*KLslave*DT55+KLslave*DS55*DT55</f>
        <v>3456</v>
      </c>
      <c r="EE55" s="227">
        <f>DS55*DS55*DT55</f>
        <v>1728</v>
      </c>
      <c r="EF55" s="244">
        <f>SUM(EC55:EE55)</f>
        <v>7488</v>
      </c>
      <c r="EG55" s="225">
        <f t="shared" si="444"/>
        <v>3.6923076923076925</v>
      </c>
      <c r="EH55" s="226">
        <f t="shared" si="445"/>
        <v>11.076923076923077</v>
      </c>
      <c r="EI55" s="245">
        <f t="shared" si="446"/>
        <v>8.3076923076923084</v>
      </c>
      <c r="EJ55" s="246">
        <f t="shared" si="447"/>
        <v>23.07692307692308</v>
      </c>
      <c r="EK55" s="252">
        <f t="shared" si="448"/>
        <v>0</v>
      </c>
      <c r="EL55" s="309">
        <f t="shared" si="449"/>
        <v>23.07692307692308</v>
      </c>
      <c r="EM55" s="246">
        <f>IF(EJ55&gt;0,EJ55,0)*1+IF(EJ55&gt;12,EJ55-12,0)*1+IF(EJ55&gt;13,EJ55-13,0)*1+IF(EJ55&gt;14,EJ55-14,0)*1+IF(EJ55&gt;15,EJ55-15,0)*1+IF(EJ55&gt;16,EJ55-16,0)*1+IF(EJ55&gt;17,EJ55-17,0)*1+IF(EJ55&gt;18,EJ55-18,0)*1+IF(EJ55&gt;19,EJ55-19,0)*1+IF(EJ55&gt;20,EJ55-20,0)*1</f>
        <v>86.769230769230802</v>
      </c>
      <c r="EN55" s="244">
        <f>IF(EK55&gt;0,EK55,0)*1+IF(EK55&gt;12,EK55-12,0)*1+IF(EK55&gt;13,EK55-13,0)*1+IF(EK55&gt;14,EK55-14,0)*1+IF(EK55&gt;15,EK55-15,0)*1+IF(EK55&gt;16,EK55-16,0)*1+IF(EK55&gt;17,EK55-17,0)*1+IF(EK55&gt;18,EK55-18,0)*1+IF(EK55&gt;19,EK55-19,0)*1+IF(EK55&gt;20,EK55-20,0)*1</f>
        <v>0</v>
      </c>
      <c r="EO55" s="245">
        <f t="shared" si="450"/>
        <v>86.769230769230802</v>
      </c>
      <c r="EP55" s="246">
        <f t="shared" si="451"/>
        <v>0</v>
      </c>
      <c r="ER55" s="306" t="s">
        <v>49</v>
      </c>
      <c r="ES55" s="245" t="s">
        <v>94</v>
      </c>
      <c r="ET55" s="246" t="s">
        <v>133</v>
      </c>
      <c r="EU55" s="238"/>
      <c r="EV55" s="235">
        <f t="shared" si="452"/>
        <v>12</v>
      </c>
      <c r="EW55" s="235">
        <f>Konvention_1slave-INslave</f>
        <v>12</v>
      </c>
      <c r="EX55" s="235"/>
      <c r="EY55" s="235"/>
      <c r="EZ55" s="235"/>
      <c r="FA55" s="235"/>
      <c r="FB55" s="227"/>
      <c r="FC55" s="225">
        <f>(EV55+EV55+EW55)/3</f>
        <v>12</v>
      </c>
      <c r="FD55" s="226">
        <f t="shared" si="454"/>
        <v>24</v>
      </c>
      <c r="FE55" s="227">
        <f t="shared" si="455"/>
        <v>36</v>
      </c>
      <c r="FF55" s="238">
        <f>EV55*POWER(INslave,SIGN(EW55))*POWER(KLslave,SIGN(EV55))+EV55*POWER(INslave,SIGN(EW55))*POWER(KLslave,SIGN(EV55))+EW55*POWER(KLslave,SIGN(EV55))*POWER(KLslave,SIGN(EV55))</f>
        <v>2304</v>
      </c>
      <c r="FG55" s="235">
        <f>EV55*EV55*INslave+EV55*KLslave*EW55+KLslave*EV55*EW55</f>
        <v>3456</v>
      </c>
      <c r="FH55" s="227">
        <f>EV55*EV55*EW55</f>
        <v>1728</v>
      </c>
      <c r="FI55" s="244">
        <f>SUM(FF55:FH55)</f>
        <v>7488</v>
      </c>
      <c r="FJ55" s="225">
        <f t="shared" si="456"/>
        <v>3.6923076923076925</v>
      </c>
      <c r="FK55" s="226">
        <f t="shared" si="457"/>
        <v>11.076923076923077</v>
      </c>
      <c r="FL55" s="245">
        <f t="shared" si="458"/>
        <v>8.3076923076923084</v>
      </c>
      <c r="FM55" s="246">
        <f t="shared" si="459"/>
        <v>23.07692307692308</v>
      </c>
      <c r="FN55" s="252">
        <f t="shared" si="460"/>
        <v>0</v>
      </c>
      <c r="FO55" s="309">
        <f t="shared" si="461"/>
        <v>23.07692307692308</v>
      </c>
      <c r="FP55" s="246">
        <f>IF(FM55&gt;0,FM55,0)*1+IF(FM55&gt;12,FM55-12,0)*1+IF(FM55&gt;13,FM55-13,0)*1+IF(FM55&gt;14,FM55-14,0)*1+IF(FM55&gt;15,FM55-15,0)*1+IF(FM55&gt;16,FM55-16,0)*1+IF(FM55&gt;17,FM55-17,0)*1+IF(FM55&gt;18,FM55-18,0)*1+IF(FM55&gt;19,FM55-19,0)*1+IF(FM55&gt;20,FM55-20,0)*1</f>
        <v>86.769230769230802</v>
      </c>
      <c r="FQ55" s="244">
        <f>IF(FN55&gt;0,FN55,0)*1+IF(FN55&gt;12,FN55-12,0)*1+IF(FN55&gt;13,FN55-13,0)*1+IF(FN55&gt;14,FN55-14,0)*1+IF(FN55&gt;15,FN55-15,0)*1+IF(FN55&gt;16,FN55-16,0)*1+IF(FN55&gt;17,FN55-17,0)*1+IF(FN55&gt;18,FN55-18,0)*1+IF(FN55&gt;19,FN55-19,0)*1+IF(FN55&gt;20,FN55-20,0)*1</f>
        <v>0</v>
      </c>
      <c r="FR55" s="245">
        <f t="shared" si="462"/>
        <v>86.769230769230802</v>
      </c>
      <c r="FS55" s="246">
        <f t="shared" si="463"/>
        <v>0</v>
      </c>
      <c r="FU55" s="306" t="s">
        <v>49</v>
      </c>
      <c r="FV55" s="245" t="s">
        <v>94</v>
      </c>
      <c r="FW55" s="246" t="s">
        <v>133</v>
      </c>
      <c r="FX55" s="238"/>
      <c r="FY55" s="235">
        <f t="shared" si="464"/>
        <v>12</v>
      </c>
      <c r="FZ55" s="235">
        <f>Konvention_1slave-INslave</f>
        <v>12</v>
      </c>
      <c r="GA55" s="235"/>
      <c r="GB55" s="235"/>
      <c r="GC55" s="235"/>
      <c r="GD55" s="235"/>
      <c r="GE55" s="227"/>
      <c r="GF55" s="225">
        <f>(FY55+FY55+FZ55)/3</f>
        <v>12</v>
      </c>
      <c r="GG55" s="226">
        <f t="shared" si="466"/>
        <v>24</v>
      </c>
      <c r="GH55" s="227">
        <f t="shared" si="467"/>
        <v>36</v>
      </c>
      <c r="GI55" s="238">
        <f>FY55*POWER(INslave,SIGN(FZ55))*POWER(KLslave,SIGN(FY55))+FY55*POWER(INslave,SIGN(FZ55))*POWER(KLslave,SIGN(FY55))+FZ55*POWER(KLslave,SIGN(FY55))*POWER(KLslave,SIGN(FY55))</f>
        <v>2304</v>
      </c>
      <c r="GJ55" s="235">
        <f>FY55*FY55*INslave+FY55*KLslave*FZ55+KLslave*FY55*FZ55</f>
        <v>3456</v>
      </c>
      <c r="GK55" s="227">
        <f>FY55*FY55*FZ55</f>
        <v>1728</v>
      </c>
      <c r="GL55" s="244">
        <f>SUM(GI55:GK55)</f>
        <v>7488</v>
      </c>
      <c r="GM55" s="225">
        <f t="shared" si="468"/>
        <v>3.6923076923076925</v>
      </c>
      <c r="GN55" s="226">
        <f t="shared" si="469"/>
        <v>11.076923076923077</v>
      </c>
      <c r="GO55" s="245">
        <f t="shared" si="470"/>
        <v>8.3076923076923084</v>
      </c>
      <c r="GP55" s="246">
        <f t="shared" si="471"/>
        <v>23.07692307692308</v>
      </c>
      <c r="GQ55" s="252">
        <f t="shared" si="472"/>
        <v>0</v>
      </c>
      <c r="GR55" s="309">
        <f t="shared" si="473"/>
        <v>23.07692307692308</v>
      </c>
      <c r="GS55" s="246">
        <f>IF(GP55&gt;0,GP55,0)*1+IF(GP55&gt;12,GP55-12,0)*1+IF(GP55&gt;13,GP55-13,0)*1+IF(GP55&gt;14,GP55-14,0)*1+IF(GP55&gt;15,GP55-15,0)*1+IF(GP55&gt;16,GP55-16,0)*1+IF(GP55&gt;17,GP55-17,0)*1+IF(GP55&gt;18,GP55-18,0)*1+IF(GP55&gt;19,GP55-19,0)*1+IF(GP55&gt;20,GP55-20,0)*1</f>
        <v>86.769230769230802</v>
      </c>
      <c r="GT55" s="244">
        <f>IF(GQ55&gt;0,GQ55,0)*1+IF(GQ55&gt;12,GQ55-12,0)*1+IF(GQ55&gt;13,GQ55-13,0)*1+IF(GQ55&gt;14,GQ55-14,0)*1+IF(GQ55&gt;15,GQ55-15,0)*1+IF(GQ55&gt;16,GQ55-16,0)*1+IF(GQ55&gt;17,GQ55-17,0)*1+IF(GQ55&gt;18,GQ55-18,0)*1+IF(GQ55&gt;19,GQ55-19,0)*1+IF(GQ55&gt;20,GQ55-20,0)*1</f>
        <v>0</v>
      </c>
      <c r="GU55" s="245">
        <f t="shared" si="474"/>
        <v>86.769230769230802</v>
      </c>
      <c r="GV55" s="246">
        <f t="shared" si="475"/>
        <v>0</v>
      </c>
      <c r="GX55" s="306" t="s">
        <v>49</v>
      </c>
      <c r="GY55" s="245" t="s">
        <v>94</v>
      </c>
      <c r="GZ55" s="246" t="s">
        <v>133</v>
      </c>
      <c r="HA55" s="238"/>
      <c r="HB55" s="235">
        <f t="shared" si="476"/>
        <v>12</v>
      </c>
      <c r="HC55" s="235">
        <f>Konvention_1slave-INslave</f>
        <v>12</v>
      </c>
      <c r="HD55" s="235"/>
      <c r="HE55" s="235"/>
      <c r="HF55" s="235"/>
      <c r="HG55" s="235"/>
      <c r="HH55" s="227"/>
      <c r="HI55" s="225">
        <f>(HB55+HB55+HC55)/3</f>
        <v>12</v>
      </c>
      <c r="HJ55" s="226">
        <f t="shared" si="478"/>
        <v>24</v>
      </c>
      <c r="HK55" s="227">
        <f t="shared" si="479"/>
        <v>36</v>
      </c>
      <c r="HL55" s="238">
        <f>HB55*POWER(INslave,SIGN(HC55))*POWER(KLslave,SIGN(HB55))+HB55*POWER(INslave,SIGN(HC55))*POWER(KLslave,SIGN(HB55))+HC55*POWER(KLslave,SIGN(HB55))*POWER(KLslave,SIGN(HB55))</f>
        <v>2304</v>
      </c>
      <c r="HM55" s="235">
        <f>HB55*HB55*INslave+HB55*KLslave*HC55+KLslave*HB55*HC55</f>
        <v>3456</v>
      </c>
      <c r="HN55" s="227">
        <f>HB55*HB55*HC55</f>
        <v>1728</v>
      </c>
      <c r="HO55" s="244">
        <f>SUM(HL55:HN55)</f>
        <v>7488</v>
      </c>
      <c r="HP55" s="225">
        <f t="shared" si="480"/>
        <v>3.6923076923076925</v>
      </c>
      <c r="HQ55" s="226">
        <f t="shared" si="481"/>
        <v>11.076923076923077</v>
      </c>
      <c r="HR55" s="245">
        <f t="shared" si="482"/>
        <v>8.3076923076923084</v>
      </c>
      <c r="HS55" s="246">
        <f t="shared" si="483"/>
        <v>23.07692307692308</v>
      </c>
      <c r="HT55" s="252">
        <f t="shared" si="484"/>
        <v>0</v>
      </c>
      <c r="HU55" s="309">
        <f t="shared" si="485"/>
        <v>23.07692307692308</v>
      </c>
      <c r="HV55" s="246">
        <f>IF(HS55&gt;0,HS55,0)*1+IF(HS55&gt;12,HS55-12,0)*1+IF(HS55&gt;13,HS55-13,0)*1+IF(HS55&gt;14,HS55-14,0)*1+IF(HS55&gt;15,HS55-15,0)*1+IF(HS55&gt;16,HS55-16,0)*1+IF(HS55&gt;17,HS55-17,0)*1+IF(HS55&gt;18,HS55-18,0)*1+IF(HS55&gt;19,HS55-19,0)*1+IF(HS55&gt;20,HS55-20,0)*1</f>
        <v>86.769230769230802</v>
      </c>
      <c r="HW55" s="244">
        <f>IF(HT55&gt;0,HT55,0)*1+IF(HT55&gt;12,HT55-12,0)*1+IF(HT55&gt;13,HT55-13,0)*1+IF(HT55&gt;14,HT55-14,0)*1+IF(HT55&gt;15,HT55-15,0)*1+IF(HT55&gt;16,HT55-16,0)*1+IF(HT55&gt;17,HT55-17,0)*1+IF(HT55&gt;18,HT55-18,0)*1+IF(HT55&gt;19,HT55-19,0)*1+IF(HT55&gt;20,HT55-20,0)*1</f>
        <v>0</v>
      </c>
      <c r="HX55" s="245">
        <f t="shared" si="486"/>
        <v>86.769230769230802</v>
      </c>
      <c r="HY55" s="246">
        <f t="shared" si="487"/>
        <v>0</v>
      </c>
      <c r="IA55" s="306" t="s">
        <v>49</v>
      </c>
      <c r="IB55" s="245" t="s">
        <v>94</v>
      </c>
      <c r="IC55" s="246" t="s">
        <v>133</v>
      </c>
      <c r="ID55" s="238"/>
      <c r="IE55" s="235">
        <f t="shared" si="488"/>
        <v>12</v>
      </c>
      <c r="IF55" s="235">
        <f>Konvention_1slave-INslave</f>
        <v>12</v>
      </c>
      <c r="IG55" s="235"/>
      <c r="IH55" s="235"/>
      <c r="II55" s="235"/>
      <c r="IJ55" s="235"/>
      <c r="IK55" s="227"/>
      <c r="IL55" s="225">
        <f>(IE55+IE55+IF55)/3</f>
        <v>12</v>
      </c>
      <c r="IM55" s="226">
        <f t="shared" si="490"/>
        <v>24</v>
      </c>
      <c r="IN55" s="227">
        <f t="shared" si="491"/>
        <v>36</v>
      </c>
      <c r="IO55" s="238">
        <f>IE55*POWER(INslave,SIGN(IF55))*POWER(KLslave,SIGN(IE55))+IE55*POWER(INslave,SIGN(IF55))*POWER(KLslave,SIGN(IE55))+IF55*POWER(KLslave,SIGN(IE55))*POWER(KLslave,SIGN(IE55))</f>
        <v>2304</v>
      </c>
      <c r="IP55" s="235">
        <f>IE55*IE55*INslave+IE55*KLslave*IF55+KLslave*IE55*IF55</f>
        <v>3456</v>
      </c>
      <c r="IQ55" s="227">
        <f>IE55*IE55*IF55</f>
        <v>1728</v>
      </c>
      <c r="IR55" s="244">
        <f>SUM(IO55:IQ55)</f>
        <v>7488</v>
      </c>
      <c r="IS55" s="225">
        <f t="shared" si="492"/>
        <v>3.6923076923076925</v>
      </c>
      <c r="IT55" s="226">
        <f t="shared" si="493"/>
        <v>11.076923076923077</v>
      </c>
      <c r="IU55" s="245">
        <f t="shared" si="494"/>
        <v>8.3076923076923084</v>
      </c>
      <c r="IV55" s="246">
        <f t="shared" si="495"/>
        <v>23.07692307692308</v>
      </c>
      <c r="IW55" s="252">
        <f t="shared" si="496"/>
        <v>0</v>
      </c>
      <c r="IX55" s="309">
        <f t="shared" si="497"/>
        <v>23.07692307692308</v>
      </c>
      <c r="IY55" s="246">
        <f>IF(IV55&gt;0,IV55,0)*1+IF(IV55&gt;12,IV55-12,0)*1+IF(IV55&gt;13,IV55-13,0)*1+IF(IV55&gt;14,IV55-14,0)*1+IF(IV55&gt;15,IV55-15,0)*1+IF(IV55&gt;16,IV55-16,0)*1+IF(IV55&gt;17,IV55-17,0)*1+IF(IV55&gt;18,IV55-18,0)*1+IF(IV55&gt;19,IV55-19,0)*1+IF(IV55&gt;20,IV55-20,0)*1</f>
        <v>86.769230769230802</v>
      </c>
      <c r="IZ55" s="244">
        <f>IF(IW55&gt;0,IW55,0)*1+IF(IW55&gt;12,IW55-12,0)*1+IF(IW55&gt;13,IW55-13,0)*1+IF(IW55&gt;14,IW55-14,0)*1+IF(IW55&gt;15,IW55-15,0)*1+IF(IW55&gt;16,IW55-16,0)*1+IF(IW55&gt;17,IW55-17,0)*1+IF(IW55&gt;18,IW55-18,0)*1+IF(IW55&gt;19,IW55-19,0)*1+IF(IW55&gt;20,IW55-20,0)*1</f>
        <v>0</v>
      </c>
      <c r="JA55" s="245">
        <f t="shared" si="498"/>
        <v>86.769230769230802</v>
      </c>
      <c r="JB55" s="246">
        <f t="shared" si="499"/>
        <v>0</v>
      </c>
      <c r="JE55" s="148"/>
    </row>
    <row r="56" spans="2:265" hidden="1" outlineLevel="1" collapsed="1">
      <c r="B56" s="134" t="s">
        <v>71</v>
      </c>
      <c r="C56" s="307" t="s">
        <v>281</v>
      </c>
      <c r="D56" s="84" t="s">
        <v>279</v>
      </c>
      <c r="E56" s="84" t="s">
        <v>280</v>
      </c>
      <c r="F56" s="30"/>
      <c r="G56" s="30"/>
      <c r="H56" s="30"/>
      <c r="I56" s="30"/>
      <c r="J56" s="30"/>
      <c r="K56" s="30"/>
      <c r="L56" s="30"/>
      <c r="M56" s="30"/>
      <c r="N56" s="228"/>
      <c r="O56" s="228"/>
      <c r="P56" s="229"/>
      <c r="Q56" s="229"/>
      <c r="R56" s="30"/>
      <c r="S56" s="229"/>
      <c r="T56" s="229"/>
      <c r="U56" s="228"/>
      <c r="V56" s="228"/>
      <c r="W56" s="228"/>
      <c r="X56" s="228"/>
      <c r="Y56" s="253"/>
      <c r="Z56" s="197"/>
      <c r="AF56" s="83" t="s">
        <v>281</v>
      </c>
      <c r="AG56" s="84" t="s">
        <v>279</v>
      </c>
      <c r="AH56" s="84" t="s">
        <v>280</v>
      </c>
      <c r="AI56" s="30"/>
      <c r="AJ56" s="30"/>
      <c r="AK56" s="30"/>
      <c r="AL56" s="30"/>
      <c r="AM56" s="30"/>
      <c r="AN56" s="30"/>
      <c r="AO56" s="30"/>
      <c r="AP56" s="30"/>
      <c r="AQ56" s="31"/>
      <c r="AR56" s="31"/>
      <c r="AS56" s="30"/>
      <c r="AT56" s="30"/>
      <c r="AU56" s="30"/>
      <c r="AV56" s="30"/>
      <c r="AW56" s="30"/>
      <c r="AX56" s="31"/>
      <c r="AY56" s="31"/>
      <c r="AZ56" s="31"/>
      <c r="BA56" s="31"/>
      <c r="BB56" s="65"/>
      <c r="BC56" s="197"/>
      <c r="BI56" s="307" t="s">
        <v>281</v>
      </c>
      <c r="BJ56" s="308" t="s">
        <v>279</v>
      </c>
      <c r="BK56" s="308" t="s">
        <v>280</v>
      </c>
      <c r="BL56" s="229"/>
      <c r="BM56" s="229"/>
      <c r="BN56" s="229"/>
      <c r="BO56" s="229"/>
      <c r="BP56" s="229"/>
      <c r="BQ56" s="229"/>
      <c r="BR56" s="229"/>
      <c r="BS56" s="229"/>
      <c r="BT56" s="228"/>
      <c r="BU56" s="228"/>
      <c r="BV56" s="229"/>
      <c r="BW56" s="229"/>
      <c r="BX56" s="229"/>
      <c r="BY56" s="229"/>
      <c r="BZ56" s="229"/>
      <c r="CA56" s="228"/>
      <c r="CB56" s="228"/>
      <c r="CC56" s="228"/>
      <c r="CD56" s="228"/>
      <c r="CE56" s="253"/>
      <c r="CF56" s="251"/>
      <c r="CL56" s="307" t="s">
        <v>281</v>
      </c>
      <c r="CM56" s="308" t="s">
        <v>279</v>
      </c>
      <c r="CN56" s="308" t="s">
        <v>280</v>
      </c>
      <c r="CO56" s="229"/>
      <c r="CP56" s="229"/>
      <c r="CQ56" s="229"/>
      <c r="CR56" s="229"/>
      <c r="CS56" s="229"/>
      <c r="CT56" s="229"/>
      <c r="CU56" s="229"/>
      <c r="CV56" s="229"/>
      <c r="CW56" s="228"/>
      <c r="CX56" s="228"/>
      <c r="CY56" s="229"/>
      <c r="CZ56" s="229"/>
      <c r="DA56" s="229"/>
      <c r="DB56" s="229"/>
      <c r="DC56" s="229"/>
      <c r="DD56" s="228"/>
      <c r="DE56" s="228"/>
      <c r="DF56" s="228"/>
      <c r="DG56" s="228"/>
      <c r="DH56" s="253"/>
      <c r="DI56" s="251"/>
      <c r="DO56" s="307" t="s">
        <v>281</v>
      </c>
      <c r="DP56" s="308" t="s">
        <v>279</v>
      </c>
      <c r="DQ56" s="308" t="s">
        <v>280</v>
      </c>
      <c r="DR56" s="229"/>
      <c r="DS56" s="229"/>
      <c r="DT56" s="229"/>
      <c r="DU56" s="229"/>
      <c r="DV56" s="229"/>
      <c r="DW56" s="229"/>
      <c r="DX56" s="229"/>
      <c r="DY56" s="229"/>
      <c r="DZ56" s="228"/>
      <c r="EA56" s="228"/>
      <c r="EB56" s="229"/>
      <c r="EC56" s="229"/>
      <c r="ED56" s="229"/>
      <c r="EE56" s="229"/>
      <c r="EF56" s="229"/>
      <c r="EG56" s="228"/>
      <c r="EH56" s="228"/>
      <c r="EI56" s="228"/>
      <c r="EJ56" s="228"/>
      <c r="EK56" s="253"/>
      <c r="EL56" s="251"/>
      <c r="ER56" s="307" t="s">
        <v>281</v>
      </c>
      <c r="ES56" s="308" t="s">
        <v>279</v>
      </c>
      <c r="ET56" s="308" t="s">
        <v>280</v>
      </c>
      <c r="EU56" s="229"/>
      <c r="EV56" s="229"/>
      <c r="EW56" s="229"/>
      <c r="EX56" s="229"/>
      <c r="EY56" s="229"/>
      <c r="EZ56" s="229"/>
      <c r="FA56" s="229"/>
      <c r="FB56" s="229"/>
      <c r="FC56" s="228"/>
      <c r="FD56" s="228"/>
      <c r="FE56" s="229"/>
      <c r="FF56" s="229"/>
      <c r="FG56" s="229"/>
      <c r="FH56" s="229"/>
      <c r="FI56" s="229"/>
      <c r="FJ56" s="228"/>
      <c r="FK56" s="228"/>
      <c r="FL56" s="228"/>
      <c r="FM56" s="228"/>
      <c r="FN56" s="253"/>
      <c r="FO56" s="251"/>
      <c r="FU56" s="307" t="s">
        <v>281</v>
      </c>
      <c r="FV56" s="308" t="s">
        <v>279</v>
      </c>
      <c r="FW56" s="308" t="s">
        <v>280</v>
      </c>
      <c r="FX56" s="229"/>
      <c r="FY56" s="229"/>
      <c r="FZ56" s="229"/>
      <c r="GA56" s="229"/>
      <c r="GB56" s="229"/>
      <c r="GC56" s="229"/>
      <c r="GD56" s="229"/>
      <c r="GE56" s="229"/>
      <c r="GF56" s="228"/>
      <c r="GG56" s="228"/>
      <c r="GH56" s="229"/>
      <c r="GI56" s="229"/>
      <c r="GJ56" s="229"/>
      <c r="GK56" s="229"/>
      <c r="GL56" s="229"/>
      <c r="GM56" s="228"/>
      <c r="GN56" s="228"/>
      <c r="GO56" s="228"/>
      <c r="GP56" s="228"/>
      <c r="GQ56" s="253"/>
      <c r="GR56" s="251"/>
      <c r="GX56" s="307" t="s">
        <v>281</v>
      </c>
      <c r="GY56" s="308" t="s">
        <v>279</v>
      </c>
      <c r="GZ56" s="308" t="s">
        <v>280</v>
      </c>
      <c r="HA56" s="229"/>
      <c r="HB56" s="229"/>
      <c r="HC56" s="229"/>
      <c r="HD56" s="229"/>
      <c r="HE56" s="229"/>
      <c r="HF56" s="229"/>
      <c r="HG56" s="229"/>
      <c r="HH56" s="229"/>
      <c r="HI56" s="228"/>
      <c r="HJ56" s="228"/>
      <c r="HK56" s="229"/>
      <c r="HL56" s="229"/>
      <c r="HM56" s="229"/>
      <c r="HN56" s="229"/>
      <c r="HO56" s="229"/>
      <c r="HP56" s="228"/>
      <c r="HQ56" s="228"/>
      <c r="HR56" s="228"/>
      <c r="HS56" s="228"/>
      <c r="HT56" s="253"/>
      <c r="HU56" s="251"/>
      <c r="IA56" s="307" t="s">
        <v>281</v>
      </c>
      <c r="IB56" s="308" t="s">
        <v>279</v>
      </c>
      <c r="IC56" s="308" t="s">
        <v>280</v>
      </c>
      <c r="ID56" s="229"/>
      <c r="IE56" s="229"/>
      <c r="IF56" s="229"/>
      <c r="IG56" s="229"/>
      <c r="IH56" s="229"/>
      <c r="II56" s="229"/>
      <c r="IJ56" s="229"/>
      <c r="IK56" s="229"/>
      <c r="IL56" s="228"/>
      <c r="IM56" s="228"/>
      <c r="IN56" s="229"/>
      <c r="IO56" s="229"/>
      <c r="IP56" s="229"/>
      <c r="IQ56" s="229"/>
      <c r="IR56" s="229"/>
      <c r="IS56" s="228"/>
      <c r="IT56" s="228"/>
      <c r="IU56" s="228"/>
      <c r="IV56" s="228"/>
      <c r="IW56" s="253"/>
      <c r="IX56" s="251"/>
      <c r="JE56" s="148"/>
    </row>
    <row r="57" spans="2:265" hidden="1" outlineLevel="2">
      <c r="B57" s="148">
        <v>1</v>
      </c>
      <c r="C57" s="302" t="e">
        <f>VLOOKUP(AF57,Attribute!C:T,1,FALSE)</f>
        <v>#N/A</v>
      </c>
      <c r="D57" s="126" t="s">
        <v>97</v>
      </c>
      <c r="E57" s="158" t="s">
        <v>135</v>
      </c>
      <c r="F57" s="191">
        <f>Konvention_1master-MUmaster</f>
        <v>12</v>
      </c>
      <c r="G57" s="118">
        <f>Konvention_1master-KLmaster</f>
        <v>12</v>
      </c>
      <c r="H57" s="118"/>
      <c r="I57" s="118"/>
      <c r="J57" s="118">
        <f>Konvention_1master-FFmaster</f>
        <v>12</v>
      </c>
      <c r="K57" s="118"/>
      <c r="L57" s="118"/>
      <c r="M57" s="92"/>
      <c r="N57" s="219">
        <f t="shared" ref="N57:N63" si="518">(F57+G57+H57+I57+J57+K57+L57+M57)/3</f>
        <v>12</v>
      </c>
      <c r="O57" s="220">
        <f t="shared" ref="O57:O73" si="519">2*N57</f>
        <v>24</v>
      </c>
      <c r="P57" s="221">
        <f t="shared" ref="P57:P73" si="520">3*N57</f>
        <v>36</v>
      </c>
      <c r="Q57" s="236">
        <f t="shared" ref="Q57:Q63" si="521">F57*POWER(KLmaster,SIGN(G57))*POWER(INmaster,SIGN(H57))*POWER(CHmaster,SIGN(I57))*POWER(FFmaster,SIGN(J57))*POWER(GEmaster,SIGN(K57))*POWER(KOmaster,SIGN(L57))*POWER(KKmaster,SIGN(M57))+G57*POWER(MUmaster,SIGN(F57))*POWER(INmaster,SIGN(H57))*POWER(CHmaster,SIGN(I57))*POWER(FFmaster,SIGN(J57))*POWER(GEmaster,SIGN(K57))*POWER(KOmaster,SIGN(L57))*POWER(KKmaster,SIGN(M57))+H57*POWER(MUmaster,SIGN(F57))*POWER(KLmaster,SIGN(G57))*POWER(CHmaster,SIGN(I57))*POWER(FFmaster,SIGN(J57))*POWER(GEmaster,SIGN(K57))*POWER(KOmaster,SIGN(L57))*POWER(KKmaster,SIGN(M57))+I57*POWER(MUmaster,SIGN(F57))*POWER(KLmaster,SIGN(G57))*POWER(INmaster,SIGN(H57))*POWER(FFmaster,SIGN(J57))*POWER(GEmaster,SIGN(K57))*POWER(KOmaster,SIGN(L57))*POWER(KKmaster,SIGN(M57))+J57*POWER(MUmaster,SIGN(F57))*POWER(KLmaster,SIGN(G57))*POWER(INmaster,SIGN(H57))*POWER(CHmaster,SIGN(I57))*POWER(GEmaster,SIGN(K57))*POWER(KOmaster,SIGN(L57))*POWER(KKmaster,SIGN(M57))+K57*POWER(MUmaster,SIGN(F57))*POWER(KLmaster,SIGN(G57))*POWER(INmaster,SIGN(H57))*POWER(CHmaster,SIGN(I57))*POWER(FFmaster,SIGN(J57))*POWER(KOmaster,SIGN(L57))*POWER(KKmaster,SIGN(M57))+L57*POWER(MUmaster,SIGN(F57))*POWER(KLmaster,SIGN(G57))*POWER(INmaster,SIGN(H57))*POWER(CHmaster,SIGN(I57))*POWER(FFmaster,SIGN(J57))*POWER(GEmaster,SIGN(K57))*POWER(KKmaster,SIGN(M57))+M57*POWER(MUmaster,SIGN(F57))*POWER(KLmaster,SIGN(G57))*POWER(INmaster,SIGN(H57))*POWER(CHmaster,SIGN(I57))*POWER(FFmaster,SIGN(J57))*POWER(GEmaster,SIGN(K57))*POWER(KOmaster,SIGN(L57))</f>
        <v>2304</v>
      </c>
      <c r="R57" s="118">
        <f>F57*G57*FFmaster+F57*KLmaster*J57+MUmaster*G57*J57</f>
        <v>3456</v>
      </c>
      <c r="S57" s="221">
        <f t="shared" ref="S57:S67" si="522">IFERROR(F57^SIGN(F57),1)*IFERROR(G57^SIGN(G57),1)*IFERROR(H57^SIGN(H57),1)*IFERROR(I57^SIGN(I57),1)*IFERROR(J57^SIGN(J57),1)*IFERROR(K57^SIGN(K57),1)*IFERROR(L57^SIGN(L57),1)*IFERROR(M57^SIGN(M57),1)</f>
        <v>1728</v>
      </c>
      <c r="T57" s="78">
        <f>SUM(Q57:S57)</f>
        <v>7488</v>
      </c>
      <c r="U57" s="219">
        <f t="shared" ref="U57:U73" si="523">N57*Q57/T57</f>
        <v>3.6923076923076925</v>
      </c>
      <c r="V57" s="220">
        <f t="shared" ref="V57:V73" si="524">O57*R57/T57</f>
        <v>11.076923076923077</v>
      </c>
      <c r="W57" s="241">
        <f t="shared" ref="W57:W73" si="525">P57*S57/T57</f>
        <v>8.3076923076923084</v>
      </c>
      <c r="X57" s="42">
        <f t="shared" ref="X57:X73" si="526">SUM(U57:W57)</f>
        <v>23.07692307692308</v>
      </c>
      <c r="Y57" s="252">
        <v>0</v>
      </c>
      <c r="Z57" s="198">
        <f t="shared" ref="Z57:Z73" si="527">X57-Y57</f>
        <v>23.07692307692308</v>
      </c>
      <c r="AA57" s="158">
        <f>IF(X57&gt;0,X57,0)*3+IF(X57&gt;12,X57-12,0)*3+IF(X57&gt;13,X57-13,0)*3+IF(X57&gt;14,X57-14,0)*3+IF(X57&gt;15,X57-15,0)*3+IF(X57&gt;16,X57-16,0)*3+IF(X57&gt;17,X57-17,0)*3+IF(X57&gt;18,X57-18,0)*3+IF(X57&gt;19,X57-19,0)*3+IF(X57&gt;20,X57-20,0)*3</f>
        <v>260.30769230769232</v>
      </c>
      <c r="AB57" s="91">
        <f>IF(Y57&gt;0,Y57,0)*3+IF(Y57&gt;12,Y57-12,0)*3+IF(Y57&gt;13,Y57-13,0)*3+IF(Y57&gt;14,Y57-14,0)*3+IF(Y57&gt;15,Y57-15,0)*3+IF(Y57&gt;16,Y57-16,0)*3+IF(Y57&gt;17,Y57-17,0)*3+IF(Y57&gt;18,Y57-18,0)*3+IF(Y57&gt;19,Y57-19,0)*3+IF(Y57&gt;20,Y57-20,0)*3</f>
        <v>0</v>
      </c>
      <c r="AC57" s="126">
        <f t="shared" ref="AC57:AC72" si="528">IF((AA57-AB57)&gt;0,AA57-AB57,0)</f>
        <v>260.30769230769232</v>
      </c>
      <c r="AD57" s="158">
        <f t="shared" ref="AD57:AD73" si="529">IF((AB57-AA57)&gt;0,AB57-AA57,0)</f>
        <v>0</v>
      </c>
      <c r="AF57" s="162" t="s">
        <v>50</v>
      </c>
      <c r="AG57" s="126" t="s">
        <v>97</v>
      </c>
      <c r="AH57" s="158" t="s">
        <v>135</v>
      </c>
      <c r="AI57" s="191">
        <f>Konvention_1slave-MUslave_MU</f>
        <v>11</v>
      </c>
      <c r="AJ57" s="118">
        <f>Konvention_1slave-KLslave</f>
        <v>12</v>
      </c>
      <c r="AK57" s="118"/>
      <c r="AL57" s="118"/>
      <c r="AM57" s="118">
        <f>Konvention_1slave-FFslave</f>
        <v>12</v>
      </c>
      <c r="AN57" s="118"/>
      <c r="AO57" s="118"/>
      <c r="AP57" s="92"/>
      <c r="AQ57" s="193">
        <f t="shared" ref="AQ57:AQ63" si="530">(AI57+AJ57+AK57+AL57+AM57+AN57+AO57+AP57)/3</f>
        <v>11.666666666666666</v>
      </c>
      <c r="AR57" s="116">
        <f t="shared" ref="AR57:AR73" si="531">2*AQ57</f>
        <v>23.333333333333332</v>
      </c>
      <c r="AS57" s="92">
        <f t="shared" ref="AS57:AS73" si="532">3*AQ57</f>
        <v>35</v>
      </c>
      <c r="AT57" s="191">
        <f t="shared" ref="AT57:AT63" si="533">AI57*POWER(KLslave,SIGN(AJ57))*POWER(INslave,SIGN(AK57))*POWER(CHslave,SIGN(AL57))*POWER(FFslave,SIGN(AM57))*POWER(GEslave,SIGN(AN57))*POWER(KOslave,SIGN(AO57))*POWER(KKslave,SIGN(AP57))+AJ57*POWER(MUslave_MU,SIGN(AI57))*POWER(INslave,SIGN(AK57))*POWER(CHslave,SIGN(AL57))*POWER(FFslave,SIGN(AM57))*POWER(GEslave,SIGN(AN57))*POWER(KOslave,SIGN(AO57))*POWER(KKslave,SIGN(AP57))+AK57*POWER(MUslave_MU,SIGN(AI57))*POWER(KLslave,SIGN(AJ57))*POWER(CHslave,SIGN(AL57))*POWER(FFslave,SIGN(AM57))*POWER(GEslave,SIGN(AN57))*POWER(KOslave,SIGN(AO57))*POWER(KKslave,SIGN(AP57))+AL57*POWER(MUslave_MU,SIGN(AI57))*POWER(KLslave,SIGN(AJ57))*POWER(INslave,SIGN(AK57))*POWER(FFslave,SIGN(AM57))*POWER(GEslave,SIGN(AN57))*POWER(KOslave,SIGN(AO57))*POWER(KKslave,SIGN(AP57))+AM57*POWER(MUslave_MU,SIGN(AI57))*POWER(KLslave,SIGN(AJ57))*POWER(INslave,SIGN(AK57))*POWER(CHslave,SIGN(AL57))*POWER(GEslave,SIGN(AN57))*POWER(KOslave,SIGN(AO57))*POWER(KKslave,SIGN(AP57))+AN57*POWER(MUslave_MU,SIGN(AI57))*POWER(KLslave,SIGN(AJ57))*POWER(INslave,SIGN(AK57))*POWER(CHslave,SIGN(AL57))*POWER(FFslave,SIGN(AM57))*POWER(KOslave,SIGN(AO57))*POWER(KKslave,SIGN(AP57))+AO57*POWER(MUslave_MU,SIGN(AI57))*POWER(KLslave,SIGN(AJ57))*POWER(INslave,SIGN(AK57))*POWER(CHslave,SIGN(AL57))*POWER(FFslave,SIGN(AM57))*POWER(GEslave,SIGN(AN57))*POWER(KKslave,SIGN(AP57))+AP57*POWER(MUslave_MU,SIGN(AI57))*POWER(KLslave,SIGN(AJ57))*POWER(INslave,SIGN(AK57))*POWER(CHslave,SIGN(AL57))*POWER(FFslave,SIGN(AM57))*POWER(GEslave,SIGN(AN57))*POWER(KOslave,SIGN(AO57))</f>
        <v>2432</v>
      </c>
      <c r="AU57" s="118">
        <f>AI57*AJ57*FFslave+AI57*KLslave*AM57+MUslave_MU*AJ57*AM57</f>
        <v>3408</v>
      </c>
      <c r="AV57" s="92">
        <f t="shared" ref="AV57:AV67" si="534">IFERROR(AI57^SIGN(AI57),1)*IFERROR(AJ57^SIGN(AJ57),1)*IFERROR(AK57^SIGN(AK57),1)*IFERROR(AL57^SIGN(AL57),1)*IFERROR(AM57^SIGN(AM57),1)*IFERROR(AN57^SIGN(AN57),1)*IFERROR(AO57^SIGN(AO57),1)*IFERROR(AP57^SIGN(AP57),1)</f>
        <v>1584</v>
      </c>
      <c r="AW57" s="91">
        <f>SUM(AT57:AV57)</f>
        <v>7424</v>
      </c>
      <c r="AX57" s="193">
        <f t="shared" ref="AX57:AX73" si="535">AQ57*AT57/AW57</f>
        <v>3.8218390804597702</v>
      </c>
      <c r="AY57" s="116">
        <f t="shared" ref="AY57:AY73" si="536">AR57*AU57/AW57</f>
        <v>10.711206896551724</v>
      </c>
      <c r="AZ57" s="126">
        <f t="shared" ref="AZ57:AZ73" si="537">AS57*AV57/AW57</f>
        <v>7.4676724137931032</v>
      </c>
      <c r="BA57" s="158">
        <f t="shared" ref="BA57:BA73" si="538">SUM(AX57:AZ57)</f>
        <v>22.000718390804597</v>
      </c>
      <c r="BB57" s="165">
        <f t="shared" ref="BB57:BB73" si="539">Y57</f>
        <v>0</v>
      </c>
      <c r="BC57" s="198">
        <f t="shared" ref="BC57:BC73" si="540">BA57-BB57</f>
        <v>22.000718390804597</v>
      </c>
      <c r="BD57" s="158">
        <f>IF(BA57&gt;0,BA57,0)*3+IF(BA57&gt;12,BA57-12,0)*3+IF(BA57&gt;13,BA57-13,0)*3+IF(BA57&gt;14,BA57-14,0)*3+IF(BA57&gt;15,BA57-15,0)*3+IF(BA57&gt;16,BA57-16,0)*3+IF(BA57&gt;17,BA57-17,0)*3+IF(BA57&gt;18,BA57-18,0)*3+IF(BA57&gt;19,BA57-19,0)*3+IF(BA57&gt;20,BA57-20,0)*3</f>
        <v>228.02155172413785</v>
      </c>
      <c r="BE57" s="91">
        <f>IF(BB57&gt;0,BB57,0)*3+IF(BB57&gt;12,BB57-12,0)*3+IF(BB57&gt;13,BB57-13,0)*3+IF(BB57&gt;14,BB57-14,0)*3+IF(BB57&gt;15,BB57-15,0)*3+IF(BB57&gt;16,BB57-16,0)*3+IF(BB57&gt;17,BB57-17,0)*3+IF(BB57&gt;18,BB57-18,0)*3+IF(BB57&gt;19,BB57-19,0)*3+IF(BB57&gt;20,BB57-20,0)*3</f>
        <v>0</v>
      </c>
      <c r="BF57" s="241">
        <f t="shared" ref="BF57:BF72" si="541">IF((BD57-BE57)&gt;0,BD57-BE57,0)</f>
        <v>228.02155172413785</v>
      </c>
      <c r="BG57" s="42">
        <f t="shared" ref="BG57:BG73" si="542">IF((BE57-BD57)&gt;0,BE57-BD57,0)</f>
        <v>0</v>
      </c>
      <c r="BI57" s="302" t="s">
        <v>50</v>
      </c>
      <c r="BJ57" s="241" t="s">
        <v>97</v>
      </c>
      <c r="BK57" s="42" t="s">
        <v>135</v>
      </c>
      <c r="BL57" s="236">
        <f>Konvention_1slave-MUslave</f>
        <v>12</v>
      </c>
      <c r="BM57" s="233">
        <f>Konvention_1slave-KLslave_KL</f>
        <v>11</v>
      </c>
      <c r="BN57" s="233"/>
      <c r="BO57" s="233"/>
      <c r="BP57" s="233">
        <f>Konvention_1slave-FFslave</f>
        <v>12</v>
      </c>
      <c r="BQ57" s="233"/>
      <c r="BR57" s="233"/>
      <c r="BS57" s="221"/>
      <c r="BT57" s="219">
        <f t="shared" ref="BT57:BT63" si="543">(BL57+BM57+BN57+BO57+BP57+BQ57+BR57+BS57)/3</f>
        <v>11.666666666666666</v>
      </c>
      <c r="BU57" s="220">
        <f t="shared" ref="BU57:BU73" si="544">2*BT57</f>
        <v>23.333333333333332</v>
      </c>
      <c r="BV57" s="221">
        <f t="shared" ref="BV57:BV73" si="545">3*BT57</f>
        <v>35</v>
      </c>
      <c r="BW57" s="236">
        <f t="shared" ref="BW57:BW63" si="546">BL57*POWER(KLslave_KL,SIGN(BM57))*POWER(INslave,SIGN(BN57))*POWER(CHslave,SIGN(BO57))*POWER(FFslave,SIGN(BP57))*POWER(GEslave,SIGN(BQ57))*POWER(KOslave,SIGN(BR57))*POWER(KKslave,SIGN(BS57))+BM57*POWER(MUslave,SIGN(BL57))*POWER(INslave,SIGN(BN57))*POWER(CHslave,SIGN(BO57))*POWER(FFslave,SIGN(BP57))*POWER(GEslave,SIGN(BQ57))*POWER(KOslave,SIGN(BR57))*POWER(KKslave,SIGN(BS57))+BN57*POWER(MUslave,SIGN(BL57))*POWER(KLslave_KL,SIGN(BM57))*POWER(CHslave,SIGN(BO57))*POWER(FFslave,SIGN(BP57))*POWER(GEslave,SIGN(BQ57))*POWER(KOslave,SIGN(BR57))*POWER(KKslave,SIGN(BS57))+BO57*POWER(MUslave,SIGN(BL57))*POWER(KLslave_KL,SIGN(BM57))*POWER(INslave,SIGN(BN57))*POWER(FFslave,SIGN(BP57))*POWER(GEslave,SIGN(BQ57))*POWER(KOslave,SIGN(BR57))*POWER(KKslave,SIGN(BS57))+BP57*POWER(MUslave,SIGN(BL57))*POWER(KLslave_KL,SIGN(BM57))*POWER(INslave,SIGN(BN57))*POWER(CHslave,SIGN(BO57))*POWER(GEslave,SIGN(BQ57))*POWER(KOslave,SIGN(BR57))*POWER(KKslave,SIGN(BS57))+BQ57*POWER(MUslave,SIGN(BL57))*POWER(KLslave_KL,SIGN(BM57))*POWER(INslave,SIGN(BN57))*POWER(CHslave,SIGN(BO57))*POWER(FFslave,SIGN(BP57))*POWER(KOslave,SIGN(BR57))*POWER(KKslave,SIGN(BS57))+BR57*POWER(MUslave,SIGN(BL57))*POWER(KLslave_KL,SIGN(BM57))*POWER(INslave,SIGN(BN57))*POWER(CHslave,SIGN(BO57))*POWER(FFslave,SIGN(BP57))*POWER(GEslave,SIGN(BQ57))*POWER(KKslave,SIGN(BS57))+BS57*POWER(MUslave,SIGN(BL57))*POWER(KLslave_KL,SIGN(BM57))*POWER(INslave,SIGN(BN57))*POWER(CHslave,SIGN(BO57))*POWER(FFslave,SIGN(BP57))*POWER(GEslave,SIGN(BQ57))*POWER(KOslave,SIGN(BR57))</f>
        <v>2432</v>
      </c>
      <c r="BX57" s="233">
        <f>BL57*BM57*FFslave+BL57*KLslave_KL*BP57+MUslave*BM57*BP57</f>
        <v>3408</v>
      </c>
      <c r="BY57" s="221">
        <f t="shared" ref="BY57:BY67" si="547">IFERROR(BL57^SIGN(BL57),1)*IFERROR(BM57^SIGN(BM57),1)*IFERROR(BN57^SIGN(BN57),1)*IFERROR(BO57^SIGN(BO57),1)*IFERROR(BP57^SIGN(BP57),1)*IFERROR(BQ57^SIGN(BQ57),1)*IFERROR(BR57^SIGN(BR57),1)*IFERROR(BS57^SIGN(BS57),1)</f>
        <v>1584</v>
      </c>
      <c r="BZ57" s="78">
        <f>SUM(BW57:BY57)</f>
        <v>7424</v>
      </c>
      <c r="CA57" s="219">
        <f t="shared" ref="CA57:CA73" si="548">BT57*BW57/BZ57</f>
        <v>3.8218390804597702</v>
      </c>
      <c r="CB57" s="220">
        <f t="shared" ref="CB57:CB73" si="549">BU57*BX57/BZ57</f>
        <v>10.711206896551724</v>
      </c>
      <c r="CC57" s="241">
        <f t="shared" ref="CC57:CC73" si="550">BV57*BY57/BZ57</f>
        <v>7.4676724137931032</v>
      </c>
      <c r="CD57" s="42">
        <f t="shared" ref="CD57:CD73" si="551">SUM(CA57:CC57)</f>
        <v>22.000718390804597</v>
      </c>
      <c r="CE57" s="252">
        <f t="shared" ref="CE57:CE73" si="552">BB57</f>
        <v>0</v>
      </c>
      <c r="CF57" s="309">
        <f t="shared" ref="CF57:CF73" si="553">CD57-CE57</f>
        <v>22.000718390804597</v>
      </c>
      <c r="CG57" s="42">
        <f>IF(CD57&gt;0,CD57,0)*3+IF(CD57&gt;12,CD57-12,0)*3+IF(CD57&gt;13,CD57-13,0)*3+IF(CD57&gt;14,CD57-14,0)*3+IF(CD57&gt;15,CD57-15,0)*3+IF(CD57&gt;16,CD57-16,0)*3+IF(CD57&gt;17,CD57-17,0)*3+IF(CD57&gt;18,CD57-18,0)*3+IF(CD57&gt;19,CD57-19,0)*3+IF(CD57&gt;20,CD57-20,0)*3</f>
        <v>228.02155172413785</v>
      </c>
      <c r="CH57" s="78">
        <f>IF(CE57&gt;0,CE57,0)*3+IF(CE57&gt;12,CE57-12,0)*3+IF(CE57&gt;13,CE57-13,0)*3+IF(CE57&gt;14,CE57-14,0)*3+IF(CE57&gt;15,CE57-15,0)*3+IF(CE57&gt;16,CE57-16,0)*3+IF(CE57&gt;17,CE57-17,0)*3+IF(CE57&gt;18,CE57-18,0)*3+IF(CE57&gt;19,CE57-19,0)*3+IF(CE57&gt;20,CE57-20,0)*3</f>
        <v>0</v>
      </c>
      <c r="CI57" s="241">
        <f t="shared" ref="CI57:CI72" si="554">IF((CG57-CH57)&gt;0,CG57-CH57,0)</f>
        <v>228.02155172413785</v>
      </c>
      <c r="CJ57" s="42">
        <f t="shared" ref="CJ57:CJ73" si="555">IF((CH57-CG57)&gt;0,CH57-CG57,0)</f>
        <v>0</v>
      </c>
      <c r="CL57" s="302" t="s">
        <v>50</v>
      </c>
      <c r="CM57" s="241" t="s">
        <v>97</v>
      </c>
      <c r="CN57" s="42" t="s">
        <v>135</v>
      </c>
      <c r="CO57" s="236">
        <f>Konvention_1slave-MUslave</f>
        <v>12</v>
      </c>
      <c r="CP57" s="233">
        <f>Konvention_1slave-KLslave</f>
        <v>12</v>
      </c>
      <c r="CQ57" s="233"/>
      <c r="CR57" s="233"/>
      <c r="CS57" s="233">
        <f>Konvention_1slave-FFslave</f>
        <v>12</v>
      </c>
      <c r="CT57" s="233"/>
      <c r="CU57" s="233"/>
      <c r="CV57" s="221"/>
      <c r="CW57" s="219">
        <f t="shared" ref="CW57:CW63" si="556">(CO57+CP57+CQ57+CR57+CS57+CT57+CU57+CV57)/3</f>
        <v>12</v>
      </c>
      <c r="CX57" s="220">
        <f t="shared" ref="CX57:CX73" si="557">2*CW57</f>
        <v>24</v>
      </c>
      <c r="CY57" s="221">
        <f t="shared" ref="CY57:CY73" si="558">3*CW57</f>
        <v>36</v>
      </c>
      <c r="CZ57" s="236">
        <f t="shared" ref="CZ57:CZ63" si="559">CO57*POWER(KLslave,SIGN(CP57))*POWER(INslave_IN,SIGN(CQ57))*POWER(CHslave,SIGN(CR57))*POWER(FFslave,SIGN(CS57))*POWER(GEslave,SIGN(CT57))*POWER(KOslave,SIGN(CU57))*POWER(KKslave,SIGN(CV57))+CP57*POWER(MUslave,SIGN(CO57))*POWER(INslave_IN,SIGN(CQ57))*POWER(CHslave,SIGN(CR57))*POWER(FFslave,SIGN(CS57))*POWER(GEslave,SIGN(CT57))*POWER(KOslave,SIGN(CU57))*POWER(KKslave,SIGN(CV57))+CQ57*POWER(MUslave,SIGN(CO57))*POWER(KLslave,SIGN(CP57))*POWER(CHslave,SIGN(CR57))*POWER(FFslave,SIGN(CS57))*POWER(GEslave,SIGN(CT57))*POWER(KOslave,SIGN(CU57))*POWER(KKslave,SIGN(CV57))+CR57*POWER(MUslave,SIGN(CO57))*POWER(KLslave,SIGN(CP57))*POWER(INslave_IN,SIGN(CQ57))*POWER(FFslave,SIGN(CS57))*POWER(GEslave,SIGN(CT57))*POWER(KOslave,SIGN(CU57))*POWER(KKslave,SIGN(CV57))+CS57*POWER(MUslave,SIGN(CO57))*POWER(KLslave,SIGN(CP57))*POWER(INslave_IN,SIGN(CQ57))*POWER(CHslave,SIGN(CR57))*POWER(GEslave,SIGN(CT57))*POWER(KOslave,SIGN(CU57))*POWER(KKslave,SIGN(CV57))+CT57*POWER(MUslave,SIGN(CO57))*POWER(KLslave,SIGN(CP57))*POWER(INslave_IN,SIGN(CQ57))*POWER(CHslave,SIGN(CR57))*POWER(FFslave,SIGN(CS57))*POWER(KOslave,SIGN(CU57))*POWER(KKslave,SIGN(CV57))+CU57*POWER(MUslave,SIGN(CO57))*POWER(KLslave,SIGN(CP57))*POWER(INslave_IN,SIGN(CQ57))*POWER(CHslave,SIGN(CR57))*POWER(FFslave,SIGN(CS57))*POWER(GEslave,SIGN(CT57))*POWER(KKslave,SIGN(CV57))+CV57*POWER(MUslave,SIGN(CO57))*POWER(KLslave,SIGN(CP57))*POWER(INslave_IN,SIGN(CQ57))*POWER(CHslave,SIGN(CR57))*POWER(FFslave,SIGN(CS57))*POWER(GEslave,SIGN(CT57))*POWER(KOslave,SIGN(CU57))</f>
        <v>2304</v>
      </c>
      <c r="DA57" s="233">
        <f>CO57*CP57*FFslave+CO57*KLslave*CS57+MUslave*CP57*CS57</f>
        <v>3456</v>
      </c>
      <c r="DB57" s="221">
        <f t="shared" ref="DB57:DB67" si="560">IFERROR(CO57^SIGN(CO57),1)*IFERROR(CP57^SIGN(CP57),1)*IFERROR(CQ57^SIGN(CQ57),1)*IFERROR(CR57^SIGN(CR57),1)*IFERROR(CS57^SIGN(CS57),1)*IFERROR(CT57^SIGN(CT57),1)*IFERROR(CU57^SIGN(CU57),1)*IFERROR(CV57^SIGN(CV57),1)</f>
        <v>1728</v>
      </c>
      <c r="DC57" s="78">
        <f>SUM(CZ57:DB57)</f>
        <v>7488</v>
      </c>
      <c r="DD57" s="219">
        <f t="shared" ref="DD57:DD73" si="561">CW57*CZ57/DC57</f>
        <v>3.6923076923076925</v>
      </c>
      <c r="DE57" s="220">
        <f t="shared" ref="DE57:DE73" si="562">CX57*DA57/DC57</f>
        <v>11.076923076923077</v>
      </c>
      <c r="DF57" s="241">
        <f t="shared" ref="DF57:DF73" si="563">CY57*DB57/DC57</f>
        <v>8.3076923076923084</v>
      </c>
      <c r="DG57" s="42">
        <f t="shared" ref="DG57:DG73" si="564">SUM(DD57:DF57)</f>
        <v>23.07692307692308</v>
      </c>
      <c r="DH57" s="252">
        <f t="shared" ref="DH57:DH73" si="565">CE57</f>
        <v>0</v>
      </c>
      <c r="DI57" s="309">
        <f t="shared" ref="DI57:DI73" si="566">DG57-DH57</f>
        <v>23.07692307692308</v>
      </c>
      <c r="DJ57" s="42">
        <f>IF(DG57&gt;0,DG57,0)*3+IF(DG57&gt;12,DG57-12,0)*3+IF(DG57&gt;13,DG57-13,0)*3+IF(DG57&gt;14,DG57-14,0)*3+IF(DG57&gt;15,DG57-15,0)*3+IF(DG57&gt;16,DG57-16,0)*3+IF(DG57&gt;17,DG57-17,0)*3+IF(DG57&gt;18,DG57-18,0)*3+IF(DG57&gt;19,DG57-19,0)*3+IF(DG57&gt;20,DG57-20,0)*3</f>
        <v>260.30769230769232</v>
      </c>
      <c r="DK57" s="78">
        <f>IF(DH57&gt;0,DH57,0)*3+IF(DH57&gt;12,DH57-12,0)*3+IF(DH57&gt;13,DH57-13,0)*3+IF(DH57&gt;14,DH57-14,0)*3+IF(DH57&gt;15,DH57-15,0)*3+IF(DH57&gt;16,DH57-16,0)*3+IF(DH57&gt;17,DH57-17,0)*3+IF(DH57&gt;18,DH57-18,0)*3+IF(DH57&gt;19,DH57-19,0)*3+IF(DH57&gt;20,DH57-20,0)*3</f>
        <v>0</v>
      </c>
      <c r="DL57" s="241">
        <f t="shared" ref="DL57:DL72" si="567">IF((DJ57-DK57)&gt;0,DJ57-DK57,0)</f>
        <v>260.30769230769232</v>
      </c>
      <c r="DM57" s="42">
        <f t="shared" ref="DM57:DM73" si="568">IF((DK57-DJ57)&gt;0,DK57-DJ57,0)</f>
        <v>0</v>
      </c>
      <c r="DO57" s="302" t="s">
        <v>50</v>
      </c>
      <c r="DP57" s="241" t="s">
        <v>97</v>
      </c>
      <c r="DQ57" s="42" t="s">
        <v>135</v>
      </c>
      <c r="DR57" s="236">
        <f>Konvention_1slave-MUslave</f>
        <v>12</v>
      </c>
      <c r="DS57" s="233">
        <f>Konvention_1slave-KLslave</f>
        <v>12</v>
      </c>
      <c r="DT57" s="233"/>
      <c r="DU57" s="233"/>
      <c r="DV57" s="233">
        <f>Konvention_1slave-FFslave</f>
        <v>12</v>
      </c>
      <c r="DW57" s="233"/>
      <c r="DX57" s="233"/>
      <c r="DY57" s="221"/>
      <c r="DZ57" s="219">
        <f t="shared" ref="DZ57:DZ63" si="569">(DR57+DS57+DT57+DU57+DV57+DW57+DX57+DY57)/3</f>
        <v>12</v>
      </c>
      <c r="EA57" s="220">
        <f t="shared" ref="EA57:EA73" si="570">2*DZ57</f>
        <v>24</v>
      </c>
      <c r="EB57" s="221">
        <f t="shared" ref="EB57:EB73" si="571">3*DZ57</f>
        <v>36</v>
      </c>
      <c r="EC57" s="236">
        <f t="shared" ref="EC57:EC63" si="572">DR57*POWER(KLslave,SIGN(DS57))*POWER(INslave,SIGN(DT57))*POWER(CHslave_CH,SIGN(DU57))*POWER(FFslave,SIGN(DV57))*POWER(GEslave,SIGN(DW57))*POWER(KOslave,SIGN(DX57))*POWER(KKslave,SIGN(DY57))+DS57*POWER(MUslave,SIGN(DR57))*POWER(INslave,SIGN(DT57))*POWER(CHslave_CH,SIGN(DU57))*POWER(FFslave,SIGN(DV57))*POWER(GEslave,SIGN(DW57))*POWER(KOslave,SIGN(DX57))*POWER(KKslave,SIGN(DY57))+DT57*POWER(MUslave,SIGN(DR57))*POWER(KLslave,SIGN(DS57))*POWER(CHslave_CH,SIGN(DU57))*POWER(FFslave,SIGN(DV57))*POWER(GEslave,SIGN(DW57))*POWER(KOslave,SIGN(DX57))*POWER(KKslave,SIGN(DY57))+DU57*POWER(MUslave,SIGN(DR57))*POWER(KLslave,SIGN(DS57))*POWER(INslave,SIGN(DT57))*POWER(FFslave,SIGN(DV57))*POWER(GEslave,SIGN(DW57))*POWER(KOslave,SIGN(DX57))*POWER(KKslave,SIGN(DY57))+DV57*POWER(MUslave,SIGN(DR57))*POWER(KLslave,SIGN(DS57))*POWER(INslave,SIGN(DT57))*POWER(CHslave_CH,SIGN(DU57))*POWER(GEslave,SIGN(DW57))*POWER(KOslave,SIGN(DX57))*POWER(KKslave,SIGN(DY57))+DW57*POWER(MUslave,SIGN(DR57))*POWER(KLslave,SIGN(DS57))*POWER(INslave,SIGN(DT57))*POWER(CHslave_CH,SIGN(DU57))*POWER(FFslave,SIGN(DV57))*POWER(KOslave,SIGN(DX57))*POWER(KKslave,SIGN(DY57))+DX57*POWER(MUslave,SIGN(DR57))*POWER(KLslave,SIGN(DS57))*POWER(INslave,SIGN(DT57))*POWER(CHslave_CH,SIGN(DU57))*POWER(FFslave,SIGN(DV57))*POWER(GEslave,SIGN(DW57))*POWER(KKslave,SIGN(DY57))+DY57*POWER(MUslave,SIGN(DR57))*POWER(KLslave,SIGN(DS57))*POWER(INslave,SIGN(DT57))*POWER(CHslave_CH,SIGN(DU57))*POWER(FFslave,SIGN(DV57))*POWER(GEslave,SIGN(DW57))*POWER(KOslave,SIGN(DX57))</f>
        <v>2304</v>
      </c>
      <c r="ED57" s="233">
        <f>DR57*DS57*FFslave+DR57*KLslave*DV57+MUslave*DS57*DV57</f>
        <v>3456</v>
      </c>
      <c r="EE57" s="221">
        <f t="shared" ref="EE57:EE67" si="573">IFERROR(DR57^SIGN(DR57),1)*IFERROR(DS57^SIGN(DS57),1)*IFERROR(DT57^SIGN(DT57),1)*IFERROR(DU57^SIGN(DU57),1)*IFERROR(DV57^SIGN(DV57),1)*IFERROR(DW57^SIGN(DW57),1)*IFERROR(DX57^SIGN(DX57),1)*IFERROR(DY57^SIGN(DY57),1)</f>
        <v>1728</v>
      </c>
      <c r="EF57" s="78">
        <f>SUM(EC57:EE57)</f>
        <v>7488</v>
      </c>
      <c r="EG57" s="219">
        <f t="shared" ref="EG57:EG73" si="574">DZ57*EC57/EF57</f>
        <v>3.6923076923076925</v>
      </c>
      <c r="EH57" s="220">
        <f t="shared" ref="EH57:EH73" si="575">EA57*ED57/EF57</f>
        <v>11.076923076923077</v>
      </c>
      <c r="EI57" s="241">
        <f t="shared" ref="EI57:EI73" si="576">EB57*EE57/EF57</f>
        <v>8.3076923076923084</v>
      </c>
      <c r="EJ57" s="42">
        <f t="shared" ref="EJ57:EJ73" si="577">SUM(EG57:EI57)</f>
        <v>23.07692307692308</v>
      </c>
      <c r="EK57" s="252">
        <f t="shared" ref="EK57:EK73" si="578">DH57</f>
        <v>0</v>
      </c>
      <c r="EL57" s="309">
        <f t="shared" ref="EL57:EL73" si="579">EJ57-EK57</f>
        <v>23.07692307692308</v>
      </c>
      <c r="EM57" s="42">
        <f>IF(EJ57&gt;0,EJ57,0)*3+IF(EJ57&gt;12,EJ57-12,0)*3+IF(EJ57&gt;13,EJ57-13,0)*3+IF(EJ57&gt;14,EJ57-14,0)*3+IF(EJ57&gt;15,EJ57-15,0)*3+IF(EJ57&gt;16,EJ57-16,0)*3+IF(EJ57&gt;17,EJ57-17,0)*3+IF(EJ57&gt;18,EJ57-18,0)*3+IF(EJ57&gt;19,EJ57-19,0)*3+IF(EJ57&gt;20,EJ57-20,0)*3</f>
        <v>260.30769230769232</v>
      </c>
      <c r="EN57" s="78">
        <f>IF(EK57&gt;0,EK57,0)*3+IF(EK57&gt;12,EK57-12,0)*3+IF(EK57&gt;13,EK57-13,0)*3+IF(EK57&gt;14,EK57-14,0)*3+IF(EK57&gt;15,EK57-15,0)*3+IF(EK57&gt;16,EK57-16,0)*3+IF(EK57&gt;17,EK57-17,0)*3+IF(EK57&gt;18,EK57-18,0)*3+IF(EK57&gt;19,EK57-19,0)*3+IF(EK57&gt;20,EK57-20,0)*3</f>
        <v>0</v>
      </c>
      <c r="EO57" s="241">
        <f t="shared" ref="EO57:EO72" si="580">IF((EM57-EN57)&gt;0,EM57-EN57,0)</f>
        <v>260.30769230769232</v>
      </c>
      <c r="EP57" s="42">
        <f t="shared" ref="EP57:EP73" si="581">IF((EN57-EM57)&gt;0,EN57-EM57,0)</f>
        <v>0</v>
      </c>
      <c r="ER57" s="302" t="s">
        <v>50</v>
      </c>
      <c r="ES57" s="241" t="s">
        <v>97</v>
      </c>
      <c r="ET57" s="42" t="s">
        <v>135</v>
      </c>
      <c r="EU57" s="236">
        <f>Konvention_1slave-MUslave</f>
        <v>12</v>
      </c>
      <c r="EV57" s="233">
        <f>Konvention_1slave-KLslave</f>
        <v>12</v>
      </c>
      <c r="EW57" s="233"/>
      <c r="EX57" s="233"/>
      <c r="EY57" s="233">
        <f>Konvention_1slave-FFslave_FF</f>
        <v>11</v>
      </c>
      <c r="EZ57" s="233"/>
      <c r="FA57" s="233"/>
      <c r="FB57" s="221"/>
      <c r="FC57" s="219">
        <f t="shared" ref="FC57:FC63" si="582">(EU57+EV57+EW57+EX57+EY57+EZ57+FA57+FB57)/3</f>
        <v>11.666666666666666</v>
      </c>
      <c r="FD57" s="220">
        <f t="shared" ref="FD57:FD73" si="583">2*FC57</f>
        <v>23.333333333333332</v>
      </c>
      <c r="FE57" s="221">
        <f t="shared" ref="FE57:FE73" si="584">3*FC57</f>
        <v>35</v>
      </c>
      <c r="FF57" s="236">
        <f t="shared" ref="FF57:FF63" si="585">EU57*POWER(KLslave,SIGN(EV57))*POWER(INslave,SIGN(EW57))*POWER(CHslave,SIGN(EX57))*POWER(FFslave_FF,SIGN(EY57))*POWER(GEslave,SIGN(EZ57))*POWER(KOslave,SIGN(FA57))*POWER(KKslave,SIGN(FB57))+EV57*POWER(MUslave,SIGN(EU57))*POWER(INslave,SIGN(EW57))*POWER(CHslave,SIGN(EX57))*POWER(FFslave_FF,SIGN(EY57))*POWER(GEslave,SIGN(EZ57))*POWER(KOslave,SIGN(FA57))*POWER(KKslave,SIGN(FB57))+EW57*POWER(MUslave,SIGN(EU57))*POWER(KLslave,SIGN(EV57))*POWER(CHslave,SIGN(EX57))*POWER(FFslave_FF,SIGN(EY57))*POWER(GEslave,SIGN(EZ57))*POWER(KOslave,SIGN(FA57))*POWER(KKslave,SIGN(FB57))+EX57*POWER(MUslave,SIGN(EU57))*POWER(KLslave,SIGN(EV57))*POWER(INslave,SIGN(EW57))*POWER(FFslave_FF,SIGN(EY57))*POWER(GEslave,SIGN(EZ57))*POWER(KOslave,SIGN(FA57))*POWER(KKslave,SIGN(FB57))+EY57*POWER(MUslave,SIGN(EU57))*POWER(KLslave,SIGN(EV57))*POWER(INslave,SIGN(EW57))*POWER(CHslave,SIGN(EX57))*POWER(GEslave,SIGN(EZ57))*POWER(KOslave,SIGN(FA57))*POWER(KKslave,SIGN(FB57))+EZ57*POWER(MUslave,SIGN(EU57))*POWER(KLslave,SIGN(EV57))*POWER(INslave,SIGN(EW57))*POWER(CHslave,SIGN(EX57))*POWER(FFslave_FF,SIGN(EY57))*POWER(KOslave,SIGN(FA57))*POWER(KKslave,SIGN(FB57))+FA57*POWER(MUslave,SIGN(EU57))*POWER(KLslave,SIGN(EV57))*POWER(INslave,SIGN(EW57))*POWER(CHslave,SIGN(EX57))*POWER(FFslave_FF,SIGN(EY57))*POWER(GEslave,SIGN(EZ57))*POWER(KKslave,SIGN(FB57))+FB57*POWER(MUslave,SIGN(EU57))*POWER(KLslave,SIGN(EV57))*POWER(INslave,SIGN(EW57))*POWER(CHslave,SIGN(EX57))*POWER(FFslave_FF,SIGN(EY57))*POWER(GEslave,SIGN(EZ57))*POWER(KOslave,SIGN(FA57))</f>
        <v>2432</v>
      </c>
      <c r="FG57" s="233">
        <f>EU57*EV57*FFslave_FF+EU57*KLslave*EY57+MUslave*EV57*EY57</f>
        <v>3408</v>
      </c>
      <c r="FH57" s="221">
        <f t="shared" ref="FH57:FH67" si="586">IFERROR(EU57^SIGN(EU57),1)*IFERROR(EV57^SIGN(EV57),1)*IFERROR(EW57^SIGN(EW57),1)*IFERROR(EX57^SIGN(EX57),1)*IFERROR(EY57^SIGN(EY57),1)*IFERROR(EZ57^SIGN(EZ57),1)*IFERROR(FA57^SIGN(FA57),1)*IFERROR(FB57^SIGN(FB57),1)</f>
        <v>1584</v>
      </c>
      <c r="FI57" s="78">
        <f>SUM(FF57:FH57)</f>
        <v>7424</v>
      </c>
      <c r="FJ57" s="219">
        <f t="shared" ref="FJ57:FJ73" si="587">FC57*FF57/FI57</f>
        <v>3.8218390804597702</v>
      </c>
      <c r="FK57" s="220">
        <f t="shared" ref="FK57:FK73" si="588">FD57*FG57/FI57</f>
        <v>10.711206896551724</v>
      </c>
      <c r="FL57" s="241">
        <f t="shared" ref="FL57:FL73" si="589">FE57*FH57/FI57</f>
        <v>7.4676724137931032</v>
      </c>
      <c r="FM57" s="42">
        <f t="shared" ref="FM57:FM73" si="590">SUM(FJ57:FL57)</f>
        <v>22.000718390804597</v>
      </c>
      <c r="FN57" s="252">
        <f t="shared" ref="FN57:FN73" si="591">EK57</f>
        <v>0</v>
      </c>
      <c r="FO57" s="309">
        <f t="shared" ref="FO57:FO73" si="592">FM57-FN57</f>
        <v>22.000718390804597</v>
      </c>
      <c r="FP57" s="42">
        <f>IF(FM57&gt;0,FM57,0)*3+IF(FM57&gt;12,FM57-12,0)*3+IF(FM57&gt;13,FM57-13,0)*3+IF(FM57&gt;14,FM57-14,0)*3+IF(FM57&gt;15,FM57-15,0)*3+IF(FM57&gt;16,FM57-16,0)*3+IF(FM57&gt;17,FM57-17,0)*3+IF(FM57&gt;18,FM57-18,0)*3+IF(FM57&gt;19,FM57-19,0)*3+IF(FM57&gt;20,FM57-20,0)*3</f>
        <v>228.02155172413785</v>
      </c>
      <c r="FQ57" s="78">
        <f>IF(FN57&gt;0,FN57,0)*3+IF(FN57&gt;12,FN57-12,0)*3+IF(FN57&gt;13,FN57-13,0)*3+IF(FN57&gt;14,FN57-14,0)*3+IF(FN57&gt;15,FN57-15,0)*3+IF(FN57&gt;16,FN57-16,0)*3+IF(FN57&gt;17,FN57-17,0)*3+IF(FN57&gt;18,FN57-18,0)*3+IF(FN57&gt;19,FN57-19,0)*3+IF(FN57&gt;20,FN57-20,0)*3</f>
        <v>0</v>
      </c>
      <c r="FR57" s="241">
        <f t="shared" ref="FR57:FR72" si="593">IF((FP57-FQ57)&gt;0,FP57-FQ57,0)</f>
        <v>228.02155172413785</v>
      </c>
      <c r="FS57" s="42">
        <f t="shared" ref="FS57:FS73" si="594">IF((FQ57-FP57)&gt;0,FQ57-FP57,0)</f>
        <v>0</v>
      </c>
      <c r="FU57" s="302" t="s">
        <v>50</v>
      </c>
      <c r="FV57" s="241" t="s">
        <v>97</v>
      </c>
      <c r="FW57" s="42" t="s">
        <v>135</v>
      </c>
      <c r="FX57" s="236">
        <f>Konvention_1slave-MUslave</f>
        <v>12</v>
      </c>
      <c r="FY57" s="233">
        <f>Konvention_1slave-KLslave</f>
        <v>12</v>
      </c>
      <c r="FZ57" s="233"/>
      <c r="GA57" s="233"/>
      <c r="GB57" s="233">
        <f>Konvention_1slave-FFslave</f>
        <v>12</v>
      </c>
      <c r="GC57" s="233"/>
      <c r="GD57" s="233"/>
      <c r="GE57" s="221"/>
      <c r="GF57" s="219">
        <f t="shared" ref="GF57:GF63" si="595">(FX57+FY57+FZ57+GA57+GB57+GC57+GD57+GE57)/3</f>
        <v>12</v>
      </c>
      <c r="GG57" s="220">
        <f t="shared" ref="GG57:GG73" si="596">2*GF57</f>
        <v>24</v>
      </c>
      <c r="GH57" s="221">
        <f t="shared" ref="GH57:GH73" si="597">3*GF57</f>
        <v>36</v>
      </c>
      <c r="GI57" s="236">
        <f t="shared" ref="GI57:GI63" si="598">FX57*POWER(KLslave,SIGN(FY57))*POWER(INslave,SIGN(FZ57))*POWER(CHslave,SIGN(GA57))*POWER(FFslave,SIGN(GB57))*POWER(GEslave_GE,SIGN(GC57))*POWER(KOslave,SIGN(GD57))*POWER(KKslave,SIGN(GE57))+FY57*POWER(MUslave,SIGN(FX57))*POWER(INslave,SIGN(FZ57))*POWER(CHslave,SIGN(GA57))*POWER(FFslave,SIGN(GB57))*POWER(GEslave_GE,SIGN(GC57))*POWER(KOslave,SIGN(GD57))*POWER(KKslave,SIGN(GE57))+FZ57*POWER(MUslave,SIGN(FX57))*POWER(KLslave,SIGN(FY57))*POWER(CHslave,SIGN(GA57))*POWER(FFslave,SIGN(GB57))*POWER(GEslave_GE,SIGN(GC57))*POWER(KOslave,SIGN(GD57))*POWER(KKslave,SIGN(GE57))+GA57*POWER(MUslave,SIGN(FX57))*POWER(KLslave,SIGN(FY57))*POWER(INslave,SIGN(FZ57))*POWER(FFslave,SIGN(GB57))*POWER(GEslave_GE,SIGN(GC57))*POWER(KOslave,SIGN(GD57))*POWER(KKslave,SIGN(GE57))+GB57*POWER(MUslave,SIGN(FX57))*POWER(KLslave,SIGN(FY57))*POWER(INslave,SIGN(FZ57))*POWER(CHslave,SIGN(GA57))*POWER(GEslave_GE,SIGN(GC57))*POWER(KOslave,SIGN(GD57))*POWER(KKslave,SIGN(GE57))+GC57*POWER(MUslave,SIGN(FX57))*POWER(KLslave,SIGN(FY57))*POWER(INslave,SIGN(FZ57))*POWER(CHslave,SIGN(GA57))*POWER(FFslave,SIGN(GB57))*POWER(KOslave,SIGN(GD57))*POWER(KKslave,SIGN(GE57))+GD57*POWER(MUslave,SIGN(FX57))*POWER(KLslave,SIGN(FY57))*POWER(INslave,SIGN(FZ57))*POWER(CHslave,SIGN(GA57))*POWER(FFslave,SIGN(GB57))*POWER(GEslave_GE,SIGN(GC57))*POWER(KKslave,SIGN(GE57))+GE57*POWER(MUslave,SIGN(FX57))*POWER(KLslave,SIGN(FY57))*POWER(INslave,SIGN(FZ57))*POWER(CHslave,SIGN(GA57))*POWER(FFslave,SIGN(GB57))*POWER(GEslave_GE,SIGN(GC57))*POWER(KOslave,SIGN(GD57))</f>
        <v>2304</v>
      </c>
      <c r="GJ57" s="233">
        <f>FX57*FY57*FFslave+FX57*KLslave*GB57+MUslave*FY57*GB57</f>
        <v>3456</v>
      </c>
      <c r="GK57" s="221">
        <f t="shared" ref="GK57:GK67" si="599">IFERROR(FX57^SIGN(FX57),1)*IFERROR(FY57^SIGN(FY57),1)*IFERROR(FZ57^SIGN(FZ57),1)*IFERROR(GA57^SIGN(GA57),1)*IFERROR(GB57^SIGN(GB57),1)*IFERROR(GC57^SIGN(GC57),1)*IFERROR(GD57^SIGN(GD57),1)*IFERROR(GE57^SIGN(GE57),1)</f>
        <v>1728</v>
      </c>
      <c r="GL57" s="78">
        <f>SUM(GI57:GK57)</f>
        <v>7488</v>
      </c>
      <c r="GM57" s="219">
        <f t="shared" ref="GM57:GM73" si="600">GF57*GI57/GL57</f>
        <v>3.6923076923076925</v>
      </c>
      <c r="GN57" s="220">
        <f t="shared" ref="GN57:GN73" si="601">GG57*GJ57/GL57</f>
        <v>11.076923076923077</v>
      </c>
      <c r="GO57" s="241">
        <f t="shared" ref="GO57:GO73" si="602">GH57*GK57/GL57</f>
        <v>8.3076923076923084</v>
      </c>
      <c r="GP57" s="42">
        <f t="shared" ref="GP57:GP73" si="603">SUM(GM57:GO57)</f>
        <v>23.07692307692308</v>
      </c>
      <c r="GQ57" s="252">
        <f t="shared" ref="GQ57:GQ73" si="604">FN57</f>
        <v>0</v>
      </c>
      <c r="GR57" s="309">
        <f t="shared" ref="GR57:GR73" si="605">GP57-GQ57</f>
        <v>23.07692307692308</v>
      </c>
      <c r="GS57" s="42">
        <f>IF(GP57&gt;0,GP57,0)*3+IF(GP57&gt;12,GP57-12,0)*3+IF(GP57&gt;13,GP57-13,0)*3+IF(GP57&gt;14,GP57-14,0)*3+IF(GP57&gt;15,GP57-15,0)*3+IF(GP57&gt;16,GP57-16,0)*3+IF(GP57&gt;17,GP57-17,0)*3+IF(GP57&gt;18,GP57-18,0)*3+IF(GP57&gt;19,GP57-19,0)*3+IF(GP57&gt;20,GP57-20,0)*3</f>
        <v>260.30769230769232</v>
      </c>
      <c r="GT57" s="78">
        <f>IF(GQ57&gt;0,GQ57,0)*3+IF(GQ57&gt;12,GQ57-12,0)*3+IF(GQ57&gt;13,GQ57-13,0)*3+IF(GQ57&gt;14,GQ57-14,0)*3+IF(GQ57&gt;15,GQ57-15,0)*3+IF(GQ57&gt;16,GQ57-16,0)*3+IF(GQ57&gt;17,GQ57-17,0)*3+IF(GQ57&gt;18,GQ57-18,0)*3+IF(GQ57&gt;19,GQ57-19,0)*3+IF(GQ57&gt;20,GQ57-20,0)*3</f>
        <v>0</v>
      </c>
      <c r="GU57" s="241">
        <f t="shared" ref="GU57:GU72" si="606">IF((GS57-GT57)&gt;0,GS57-GT57,0)</f>
        <v>260.30769230769232</v>
      </c>
      <c r="GV57" s="42">
        <f t="shared" ref="GV57:GV73" si="607">IF((GT57-GS57)&gt;0,GT57-GS57,0)</f>
        <v>0</v>
      </c>
      <c r="GX57" s="302" t="s">
        <v>50</v>
      </c>
      <c r="GY57" s="241" t="s">
        <v>97</v>
      </c>
      <c r="GZ57" s="42" t="s">
        <v>135</v>
      </c>
      <c r="HA57" s="236">
        <f>Konvention_1slave-MUslave</f>
        <v>12</v>
      </c>
      <c r="HB57" s="233">
        <f>Konvention_1slave-KLslave</f>
        <v>12</v>
      </c>
      <c r="HC57" s="233"/>
      <c r="HD57" s="233"/>
      <c r="HE57" s="233">
        <f>Konvention_1slave-FFslave</f>
        <v>12</v>
      </c>
      <c r="HF57" s="233"/>
      <c r="HG57" s="233"/>
      <c r="HH57" s="221"/>
      <c r="HI57" s="219">
        <f t="shared" ref="HI57:HI63" si="608">(HA57+HB57+HC57+HD57+HE57+HF57+HG57+HH57)/3</f>
        <v>12</v>
      </c>
      <c r="HJ57" s="220">
        <f t="shared" ref="HJ57:HJ73" si="609">2*HI57</f>
        <v>24</v>
      </c>
      <c r="HK57" s="221">
        <f t="shared" ref="HK57:HK73" si="610">3*HI57</f>
        <v>36</v>
      </c>
      <c r="HL57" s="236">
        <f t="shared" ref="HL57:HL63" si="611">HA57*POWER(KLslave,SIGN(HB57))*POWER(INslave,SIGN(HC57))*POWER(CHslave,SIGN(HD57))*POWER(FFslave,SIGN(HE57))*POWER(GEslave,SIGN(HF57))*POWER(KOslave_KO,SIGN(HG57))*POWER(KKslave,SIGN(HH57))+HB57*POWER(MUslave,SIGN(HA57))*POWER(INslave,SIGN(HC57))*POWER(CHslave,SIGN(HD57))*POWER(FFslave,SIGN(HE57))*POWER(GEslave,SIGN(HF57))*POWER(KOslave_KO,SIGN(HG57))*POWER(KKslave,SIGN(HH57))+HC57*POWER(MUslave,SIGN(HA57))*POWER(KLslave,SIGN(HB57))*POWER(CHslave,SIGN(HD57))*POWER(FFslave,SIGN(HE57))*POWER(GEslave,SIGN(HF57))*POWER(KOslave_KO,SIGN(HG57))*POWER(KKslave,SIGN(HH57))+HD57*POWER(MUslave,SIGN(HA57))*POWER(KLslave,SIGN(HB57))*POWER(INslave,SIGN(HC57))*POWER(FFslave,SIGN(HE57))*POWER(GEslave,SIGN(HF57))*POWER(KOslave_KO,SIGN(HG57))*POWER(KKslave,SIGN(HH57))+HE57*POWER(MUslave,SIGN(HA57))*POWER(KLslave,SIGN(HB57))*POWER(INslave,SIGN(HC57))*POWER(CHslave,SIGN(HD57))*POWER(GEslave,SIGN(HF57))*POWER(KOslave_KO,SIGN(HG57))*POWER(KKslave,SIGN(HH57))+HF57*POWER(MUslave,SIGN(HA57))*POWER(KLslave,SIGN(HB57))*POWER(INslave,SIGN(HC57))*POWER(CHslave,SIGN(HD57))*POWER(FFslave,SIGN(HE57))*POWER(KOslave_KO,SIGN(HG57))*POWER(KKslave,SIGN(HH57))+HG57*POWER(MUslave,SIGN(HA57))*POWER(KLslave,SIGN(HB57))*POWER(INslave,SIGN(HC57))*POWER(CHslave,SIGN(HD57))*POWER(FFslave,SIGN(HE57))*POWER(GEslave,SIGN(HF57))*POWER(KKslave,SIGN(HH57))+HH57*POWER(MUslave,SIGN(HA57))*POWER(KLslave,SIGN(HB57))*POWER(INslave,SIGN(HC57))*POWER(CHslave,SIGN(HD57))*POWER(FFslave,SIGN(HE57))*POWER(GEslave,SIGN(HF57))*POWER(KOslave_KO,SIGN(HG57))</f>
        <v>2304</v>
      </c>
      <c r="HM57" s="233">
        <f>HA57*HB57*FFslave+HA57*KLslave*HE57+MUslave*HB57*HE57</f>
        <v>3456</v>
      </c>
      <c r="HN57" s="221">
        <f t="shared" ref="HN57:HN67" si="612">IFERROR(HA57^SIGN(HA57),1)*IFERROR(HB57^SIGN(HB57),1)*IFERROR(HC57^SIGN(HC57),1)*IFERROR(HD57^SIGN(HD57),1)*IFERROR(HE57^SIGN(HE57),1)*IFERROR(HF57^SIGN(HF57),1)*IFERROR(HG57^SIGN(HG57),1)*IFERROR(HH57^SIGN(HH57),1)</f>
        <v>1728</v>
      </c>
      <c r="HO57" s="78">
        <f>SUM(HL57:HN57)</f>
        <v>7488</v>
      </c>
      <c r="HP57" s="219">
        <f t="shared" ref="HP57:HP73" si="613">HI57*HL57/HO57</f>
        <v>3.6923076923076925</v>
      </c>
      <c r="HQ57" s="220">
        <f t="shared" ref="HQ57:HQ73" si="614">HJ57*HM57/HO57</f>
        <v>11.076923076923077</v>
      </c>
      <c r="HR57" s="241">
        <f t="shared" ref="HR57:HR73" si="615">HK57*HN57/HO57</f>
        <v>8.3076923076923084</v>
      </c>
      <c r="HS57" s="42">
        <f t="shared" ref="HS57:HS73" si="616">SUM(HP57:HR57)</f>
        <v>23.07692307692308</v>
      </c>
      <c r="HT57" s="252">
        <f t="shared" ref="HT57:HT73" si="617">GQ57</f>
        <v>0</v>
      </c>
      <c r="HU57" s="309">
        <f t="shared" ref="HU57:HU73" si="618">HS57-HT57</f>
        <v>23.07692307692308</v>
      </c>
      <c r="HV57" s="42">
        <f>IF(HS57&gt;0,HS57,0)*3+IF(HS57&gt;12,HS57-12,0)*3+IF(HS57&gt;13,HS57-13,0)*3+IF(HS57&gt;14,HS57-14,0)*3+IF(HS57&gt;15,HS57-15,0)*3+IF(HS57&gt;16,HS57-16,0)*3+IF(HS57&gt;17,HS57-17,0)*3+IF(HS57&gt;18,HS57-18,0)*3+IF(HS57&gt;19,HS57-19,0)*3+IF(HS57&gt;20,HS57-20,0)*3</f>
        <v>260.30769230769232</v>
      </c>
      <c r="HW57" s="78">
        <f>IF(HT57&gt;0,HT57,0)*3+IF(HT57&gt;12,HT57-12,0)*3+IF(HT57&gt;13,HT57-13,0)*3+IF(HT57&gt;14,HT57-14,0)*3+IF(HT57&gt;15,HT57-15,0)*3+IF(HT57&gt;16,HT57-16,0)*3+IF(HT57&gt;17,HT57-17,0)*3+IF(HT57&gt;18,HT57-18,0)*3+IF(HT57&gt;19,HT57-19,0)*3+IF(HT57&gt;20,HT57-20,0)*3</f>
        <v>0</v>
      </c>
      <c r="HX57" s="241">
        <f t="shared" ref="HX57:HX72" si="619">IF((HV57-HW57)&gt;0,HV57-HW57,0)</f>
        <v>260.30769230769232</v>
      </c>
      <c r="HY57" s="42">
        <f t="shared" ref="HY57:HY73" si="620">IF((HW57-HV57)&gt;0,HW57-HV57,0)</f>
        <v>0</v>
      </c>
      <c r="IA57" s="302" t="s">
        <v>50</v>
      </c>
      <c r="IB57" s="241" t="s">
        <v>97</v>
      </c>
      <c r="IC57" s="42" t="s">
        <v>135</v>
      </c>
      <c r="ID57" s="236">
        <f>Konvention_1slave-MUslave</f>
        <v>12</v>
      </c>
      <c r="IE57" s="233">
        <f>Konvention_1slave-KLslave</f>
        <v>12</v>
      </c>
      <c r="IF57" s="233"/>
      <c r="IG57" s="233"/>
      <c r="IH57" s="233">
        <f>Konvention_1slave-FFslave</f>
        <v>12</v>
      </c>
      <c r="II57" s="233"/>
      <c r="IJ57" s="233"/>
      <c r="IK57" s="221"/>
      <c r="IL57" s="219">
        <f t="shared" ref="IL57:IL63" si="621">(ID57+IE57+IF57+IG57+IH57+II57+IJ57+IK57)/3</f>
        <v>12</v>
      </c>
      <c r="IM57" s="220">
        <f t="shared" ref="IM57:IM73" si="622">2*IL57</f>
        <v>24</v>
      </c>
      <c r="IN57" s="221">
        <f t="shared" ref="IN57:IN73" si="623">3*IL57</f>
        <v>36</v>
      </c>
      <c r="IO57" s="236">
        <f t="shared" ref="IO57:IO63" si="624">ID57*POWER(KLslave,SIGN(IE57))*POWER(INslave,SIGN(IF57))*POWER(CHslave,SIGN(IG57))*POWER(FFslave,SIGN(IH57))*POWER(GEslave,SIGN(II57))*POWER(KOslave,SIGN(IJ57))*POWER(KKslave_KK,SIGN(IK57))+IE57*POWER(MUslave,SIGN(ID57))*POWER(INslave,SIGN(IF57))*POWER(CHslave,SIGN(IG57))*POWER(FFslave,SIGN(IH57))*POWER(GEslave,SIGN(II57))*POWER(KOslave,SIGN(IJ57))*POWER(KKslave_KK,SIGN(IK57))+IF57*POWER(MUslave,SIGN(ID57))*POWER(KLslave,SIGN(IE57))*POWER(CHslave,SIGN(IG57))*POWER(FFslave,SIGN(IH57))*POWER(GEslave,SIGN(II57))*POWER(KOslave,SIGN(IJ57))*POWER(KKslave_KK,SIGN(IK57))+IG57*POWER(MUslave,SIGN(ID57))*POWER(KLslave,SIGN(IE57))*POWER(INslave,SIGN(IF57))*POWER(FFslave,SIGN(IH57))*POWER(GEslave,SIGN(II57))*POWER(KOslave,SIGN(IJ57))*POWER(KKslave_KK,SIGN(IK57))+IH57*POWER(MUslave,SIGN(ID57))*POWER(KLslave,SIGN(IE57))*POWER(INslave,SIGN(IF57))*POWER(CHslave,SIGN(IG57))*POWER(GEslave,SIGN(II57))*POWER(KOslave,SIGN(IJ57))*POWER(KKslave_KK,SIGN(IK57))+II57*POWER(MUslave,SIGN(ID57))*POWER(KLslave,SIGN(IE57))*POWER(INslave,SIGN(IF57))*POWER(CHslave,SIGN(IG57))*POWER(FFslave,SIGN(IH57))*POWER(KOslave,SIGN(IJ57))*POWER(KKslave_KK,SIGN(IK57))+IJ57*POWER(MUslave,SIGN(ID57))*POWER(KLslave,SIGN(IE57))*POWER(INslave,SIGN(IF57))*POWER(CHslave,SIGN(IG57))*POWER(FFslave,SIGN(IH57))*POWER(GEslave,SIGN(II57))*POWER(KKslave_KK,SIGN(IK57))+IK57*POWER(MUslave,SIGN(ID57))*POWER(KLslave,SIGN(IE57))*POWER(INslave,SIGN(IF57))*POWER(CHslave,SIGN(IG57))*POWER(FFslave,SIGN(IH57))*POWER(GEslave,SIGN(II57))*POWER(KOslave,SIGN(IJ57))</f>
        <v>2304</v>
      </c>
      <c r="IP57" s="233">
        <f>ID57*IE57*FFslave+ID57*KLslave*IH57+MUslave*IE57*IH57</f>
        <v>3456</v>
      </c>
      <c r="IQ57" s="221">
        <f t="shared" ref="IQ57:IQ67" si="625">IFERROR(ID57^SIGN(ID57),1)*IFERROR(IE57^SIGN(IE57),1)*IFERROR(IF57^SIGN(IF57),1)*IFERROR(IG57^SIGN(IG57),1)*IFERROR(IH57^SIGN(IH57),1)*IFERROR(II57^SIGN(II57),1)*IFERROR(IJ57^SIGN(IJ57),1)*IFERROR(IK57^SIGN(IK57),1)</f>
        <v>1728</v>
      </c>
      <c r="IR57" s="78">
        <f>SUM(IO57:IQ57)</f>
        <v>7488</v>
      </c>
      <c r="IS57" s="219">
        <f t="shared" ref="IS57:IS73" si="626">IL57*IO57/IR57</f>
        <v>3.6923076923076925</v>
      </c>
      <c r="IT57" s="220">
        <f t="shared" ref="IT57:IT73" si="627">IM57*IP57/IR57</f>
        <v>11.076923076923077</v>
      </c>
      <c r="IU57" s="241">
        <f t="shared" ref="IU57:IU73" si="628">IN57*IQ57/IR57</f>
        <v>8.3076923076923084</v>
      </c>
      <c r="IV57" s="42">
        <f t="shared" ref="IV57:IV73" si="629">SUM(IS57:IU57)</f>
        <v>23.07692307692308</v>
      </c>
      <c r="IW57" s="252">
        <f t="shared" ref="IW57:IW73" si="630">HT57</f>
        <v>0</v>
      </c>
      <c r="IX57" s="309">
        <f t="shared" ref="IX57:IX73" si="631">IV57-IW57</f>
        <v>23.07692307692308</v>
      </c>
      <c r="IY57" s="42">
        <f>IF(IV57&gt;0,IV57,0)*3+IF(IV57&gt;12,IV57-12,0)*3+IF(IV57&gt;13,IV57-13,0)*3+IF(IV57&gt;14,IV57-14,0)*3+IF(IV57&gt;15,IV57-15,0)*3+IF(IV57&gt;16,IV57-16,0)*3+IF(IV57&gt;17,IV57-17,0)*3+IF(IV57&gt;18,IV57-18,0)*3+IF(IV57&gt;19,IV57-19,0)*3+IF(IV57&gt;20,IV57-20,0)*3</f>
        <v>260.30769230769232</v>
      </c>
      <c r="IZ57" s="78">
        <f>IF(IW57&gt;0,IW57,0)*3+IF(IW57&gt;12,IW57-12,0)*3+IF(IW57&gt;13,IW57-13,0)*3+IF(IW57&gt;14,IW57-14,0)*3+IF(IW57&gt;15,IW57-15,0)*3+IF(IW57&gt;16,IW57-16,0)*3+IF(IW57&gt;17,IW57-17,0)*3+IF(IW57&gt;18,IW57-18,0)*3+IF(IW57&gt;19,IW57-19,0)*3+IF(IW57&gt;20,IW57-20,0)*3</f>
        <v>0</v>
      </c>
      <c r="JA57" s="241">
        <f t="shared" ref="JA57:JA72" si="632">IF((IY57-IZ57)&gt;0,IY57-IZ57,0)</f>
        <v>260.30769230769232</v>
      </c>
      <c r="JB57" s="42">
        <f t="shared" ref="JB57:JB73" si="633">IF((IZ57-IY57)&gt;0,IZ57-IY57,0)</f>
        <v>0</v>
      </c>
      <c r="JE57" s="148"/>
    </row>
    <row r="58" spans="2:265" hidden="1" outlineLevel="2">
      <c r="B58" s="148">
        <v>2</v>
      </c>
      <c r="C58" s="303" t="e">
        <f>VLOOKUP(AF58,Attribute!C:T,1,FALSE)</f>
        <v>#N/A</v>
      </c>
      <c r="D58" s="127" t="s">
        <v>98</v>
      </c>
      <c r="E58" s="125" t="s">
        <v>132</v>
      </c>
      <c r="F58" s="114"/>
      <c r="G58" s="113"/>
      <c r="H58" s="113"/>
      <c r="I58" s="113"/>
      <c r="J58" s="113">
        <f>Konvention_1master-FFmaster</f>
        <v>12</v>
      </c>
      <c r="K58" s="113">
        <f>Konvention_1master-GEmaster</f>
        <v>12</v>
      </c>
      <c r="L58" s="113"/>
      <c r="M58" s="119">
        <f>Konvention_1master-KKmaster</f>
        <v>12</v>
      </c>
      <c r="N58" s="222">
        <f t="shared" si="518"/>
        <v>12</v>
      </c>
      <c r="O58" s="223">
        <f t="shared" si="519"/>
        <v>24</v>
      </c>
      <c r="P58" s="224">
        <f t="shared" si="520"/>
        <v>36</v>
      </c>
      <c r="Q58" s="237">
        <f t="shared" si="521"/>
        <v>2304</v>
      </c>
      <c r="R58" s="113">
        <f>J58*K58*KKmaster+J58*GEmaster*M58+FFmaster*K58*M58</f>
        <v>3456</v>
      </c>
      <c r="S58" s="224">
        <f t="shared" si="522"/>
        <v>1728</v>
      </c>
      <c r="T58" s="242">
        <f t="shared" ref="T58:T72" si="634">SUM(Q58:S58)</f>
        <v>7488</v>
      </c>
      <c r="U58" s="222">
        <f t="shared" si="523"/>
        <v>3.6923076923076925</v>
      </c>
      <c r="V58" s="223">
        <f t="shared" si="524"/>
        <v>11.076923076923077</v>
      </c>
      <c r="W58" s="243">
        <f t="shared" si="525"/>
        <v>8.3076923076923084</v>
      </c>
      <c r="X58" s="218">
        <f t="shared" si="526"/>
        <v>23.07692307692308</v>
      </c>
      <c r="Y58" s="252">
        <v>0</v>
      </c>
      <c r="Z58" s="198">
        <f t="shared" si="527"/>
        <v>23.07692307692308</v>
      </c>
      <c r="AA58" s="125">
        <f>IF(X58&gt;0,X58,0)*2+IF(X58&gt;12,X58-12,0)*2+IF(X58&gt;13,X58-13,0)*2+IF(X58&gt;14,X58-14,0)*2+IF(X58&gt;15,X58-15,0)*2+IF(X58&gt;16,X58-16,0)*2+IF(X58&gt;17,X58-17,0)*2+IF(X58&gt;18,X58-18,0)*2+IF(X58&gt;19,X58-19,0)*2+IF(X58&gt;20,X58-20,0)*2</f>
        <v>173.5384615384616</v>
      </c>
      <c r="AB58" s="160">
        <f>IF(Y58&gt;0,Y58,0)*2+IF(Y58&gt;12,Y58-12,0)*2+IF(Y58&gt;13,Y58-13,0)*2+IF(Y58&gt;14,Y58-14,0)*2+IF(Y58&gt;15,Y58-15,0)*2+IF(Y58&gt;16,Y58-16,0)*2+IF(Y58&gt;17,Y58-17,0)*2+IF(Y58&gt;18,Y58-18,0)*2+IF(Y58&gt;19,Y58-19,0)*2+IF(Y58&gt;20,Y58-20,0)*2</f>
        <v>0</v>
      </c>
      <c r="AC58" s="127">
        <f t="shared" si="528"/>
        <v>173.5384615384616</v>
      </c>
      <c r="AD58" s="125">
        <f t="shared" si="529"/>
        <v>0</v>
      </c>
      <c r="AF58" s="163" t="s">
        <v>66</v>
      </c>
      <c r="AG58" s="127" t="s">
        <v>98</v>
      </c>
      <c r="AH58" s="125" t="s">
        <v>132</v>
      </c>
      <c r="AI58" s="114"/>
      <c r="AJ58" s="113"/>
      <c r="AK58" s="113"/>
      <c r="AL58" s="113"/>
      <c r="AM58" s="113">
        <f>Konvention_1slave-FFslave</f>
        <v>12</v>
      </c>
      <c r="AN58" s="113">
        <f>Konvention_1slave-GEslave</f>
        <v>12</v>
      </c>
      <c r="AO58" s="113"/>
      <c r="AP58" s="119">
        <f>Konvention_1slave-KKslave</f>
        <v>12</v>
      </c>
      <c r="AQ58" s="89">
        <f t="shared" si="530"/>
        <v>12</v>
      </c>
      <c r="AR58" s="47">
        <f t="shared" si="531"/>
        <v>24</v>
      </c>
      <c r="AS58" s="119">
        <f t="shared" si="532"/>
        <v>36</v>
      </c>
      <c r="AT58" s="114">
        <f t="shared" si="533"/>
        <v>2304</v>
      </c>
      <c r="AU58" s="113">
        <f>AM58*AN58*KKslave+AM58*GEslave*AP58+FFslave*AN58*AP58</f>
        <v>3456</v>
      </c>
      <c r="AV58" s="119">
        <f t="shared" si="534"/>
        <v>1728</v>
      </c>
      <c r="AW58" s="160">
        <f t="shared" ref="AW58:AW72" si="635">SUM(AT58:AV58)</f>
        <v>7488</v>
      </c>
      <c r="AX58" s="89">
        <f t="shared" si="535"/>
        <v>3.6923076923076925</v>
      </c>
      <c r="AY58" s="47">
        <f t="shared" si="536"/>
        <v>11.076923076923077</v>
      </c>
      <c r="AZ58" s="127">
        <f t="shared" si="537"/>
        <v>8.3076923076923084</v>
      </c>
      <c r="BA58" s="125">
        <f t="shared" si="538"/>
        <v>23.07692307692308</v>
      </c>
      <c r="BB58" s="165">
        <f t="shared" si="539"/>
        <v>0</v>
      </c>
      <c r="BC58" s="198">
        <f t="shared" si="540"/>
        <v>23.07692307692308</v>
      </c>
      <c r="BD58" s="125">
        <f>IF(BA58&gt;0,BA58,0)*2+IF(BA58&gt;12,BA58-12,0)*2+IF(BA58&gt;13,BA58-13,0)*2+IF(BA58&gt;14,BA58-14,0)*2+IF(BA58&gt;15,BA58-15,0)*2+IF(BA58&gt;16,BA58-16,0)*2+IF(BA58&gt;17,BA58-17,0)*2+IF(BA58&gt;18,BA58-18,0)*2+IF(BA58&gt;19,BA58-19,0)*2+IF(BA58&gt;20,BA58-20,0)*2</f>
        <v>173.5384615384616</v>
      </c>
      <c r="BE58" s="160">
        <f>IF(BB58&gt;0,BB58,0)*2+IF(BB58&gt;12,BB58-12,0)*2+IF(BB58&gt;13,BB58-13,0)*2+IF(BB58&gt;14,BB58-14,0)*2+IF(BB58&gt;15,BB58-15,0)*2+IF(BB58&gt;16,BB58-16,0)*2+IF(BB58&gt;17,BB58-17,0)*2+IF(BB58&gt;18,BB58-18,0)*2+IF(BB58&gt;19,BB58-19,0)*2+IF(BB58&gt;20,BB58-20,0)*2</f>
        <v>0</v>
      </c>
      <c r="BF58" s="243">
        <f t="shared" si="541"/>
        <v>173.5384615384616</v>
      </c>
      <c r="BG58" s="218">
        <f t="shared" si="542"/>
        <v>0</v>
      </c>
      <c r="BI58" s="303" t="s">
        <v>66</v>
      </c>
      <c r="BJ58" s="243" t="s">
        <v>98</v>
      </c>
      <c r="BK58" s="218" t="s">
        <v>132</v>
      </c>
      <c r="BL58" s="237"/>
      <c r="BM58" s="234"/>
      <c r="BN58" s="234"/>
      <c r="BO58" s="234"/>
      <c r="BP58" s="234">
        <f>Konvention_1slave-FFslave</f>
        <v>12</v>
      </c>
      <c r="BQ58" s="234">
        <f>Konvention_1slave-GEslave</f>
        <v>12</v>
      </c>
      <c r="BR58" s="234"/>
      <c r="BS58" s="224">
        <f>Konvention_1slave-KKslave</f>
        <v>12</v>
      </c>
      <c r="BT58" s="222">
        <f t="shared" si="543"/>
        <v>12</v>
      </c>
      <c r="BU58" s="223">
        <f t="shared" si="544"/>
        <v>24</v>
      </c>
      <c r="BV58" s="224">
        <f t="shared" si="545"/>
        <v>36</v>
      </c>
      <c r="BW58" s="237">
        <f t="shared" si="546"/>
        <v>2304</v>
      </c>
      <c r="BX58" s="234">
        <f>BP58*BQ58*KKslave+BP58*GEslave*BS58+FFslave*BQ58*BS58</f>
        <v>3456</v>
      </c>
      <c r="BY58" s="224">
        <f t="shared" si="547"/>
        <v>1728</v>
      </c>
      <c r="BZ58" s="242">
        <f t="shared" ref="BZ58:BZ72" si="636">SUM(BW58:BY58)</f>
        <v>7488</v>
      </c>
      <c r="CA58" s="222">
        <f t="shared" si="548"/>
        <v>3.6923076923076925</v>
      </c>
      <c r="CB58" s="223">
        <f t="shared" si="549"/>
        <v>11.076923076923077</v>
      </c>
      <c r="CC58" s="243">
        <f t="shared" si="550"/>
        <v>8.3076923076923084</v>
      </c>
      <c r="CD58" s="218">
        <f t="shared" si="551"/>
        <v>23.07692307692308</v>
      </c>
      <c r="CE58" s="252">
        <f t="shared" si="552"/>
        <v>0</v>
      </c>
      <c r="CF58" s="309">
        <f t="shared" si="553"/>
        <v>23.07692307692308</v>
      </c>
      <c r="CG58" s="218">
        <f>IF(CD58&gt;0,CD58,0)*2+IF(CD58&gt;12,CD58-12,0)*2+IF(CD58&gt;13,CD58-13,0)*2+IF(CD58&gt;14,CD58-14,0)*2+IF(CD58&gt;15,CD58-15,0)*2+IF(CD58&gt;16,CD58-16,0)*2+IF(CD58&gt;17,CD58-17,0)*2+IF(CD58&gt;18,CD58-18,0)*2+IF(CD58&gt;19,CD58-19,0)*2+IF(CD58&gt;20,CD58-20,0)*2</f>
        <v>173.5384615384616</v>
      </c>
      <c r="CH58" s="242">
        <f>IF(CE58&gt;0,CE58,0)*2+IF(CE58&gt;12,CE58-12,0)*2+IF(CE58&gt;13,CE58-13,0)*2+IF(CE58&gt;14,CE58-14,0)*2+IF(CE58&gt;15,CE58-15,0)*2+IF(CE58&gt;16,CE58-16,0)*2+IF(CE58&gt;17,CE58-17,0)*2+IF(CE58&gt;18,CE58-18,0)*2+IF(CE58&gt;19,CE58-19,0)*2+IF(CE58&gt;20,CE58-20,0)*2</f>
        <v>0</v>
      </c>
      <c r="CI58" s="243">
        <f t="shared" si="554"/>
        <v>173.5384615384616</v>
      </c>
      <c r="CJ58" s="218">
        <f t="shared" si="555"/>
        <v>0</v>
      </c>
      <c r="CL58" s="303" t="s">
        <v>66</v>
      </c>
      <c r="CM58" s="243" t="s">
        <v>98</v>
      </c>
      <c r="CN58" s="218" t="s">
        <v>132</v>
      </c>
      <c r="CO58" s="237"/>
      <c r="CP58" s="234"/>
      <c r="CQ58" s="234"/>
      <c r="CR58" s="234"/>
      <c r="CS58" s="234">
        <f>Konvention_1slave-FFslave</f>
        <v>12</v>
      </c>
      <c r="CT58" s="234">
        <f>Konvention_1slave-GEslave</f>
        <v>12</v>
      </c>
      <c r="CU58" s="234"/>
      <c r="CV58" s="224">
        <f>Konvention_1slave-KKslave</f>
        <v>12</v>
      </c>
      <c r="CW58" s="222">
        <f t="shared" si="556"/>
        <v>12</v>
      </c>
      <c r="CX58" s="223">
        <f t="shared" si="557"/>
        <v>24</v>
      </c>
      <c r="CY58" s="224">
        <f t="shared" si="558"/>
        <v>36</v>
      </c>
      <c r="CZ58" s="237">
        <f t="shared" si="559"/>
        <v>2304</v>
      </c>
      <c r="DA58" s="234">
        <f>CS58*CT58*KKslave+CS58*GEslave*CV58+FFslave*CT58*CV58</f>
        <v>3456</v>
      </c>
      <c r="DB58" s="224">
        <f t="shared" si="560"/>
        <v>1728</v>
      </c>
      <c r="DC58" s="242">
        <f t="shared" ref="DC58:DC72" si="637">SUM(CZ58:DB58)</f>
        <v>7488</v>
      </c>
      <c r="DD58" s="222">
        <f t="shared" si="561"/>
        <v>3.6923076923076925</v>
      </c>
      <c r="DE58" s="223">
        <f t="shared" si="562"/>
        <v>11.076923076923077</v>
      </c>
      <c r="DF58" s="243">
        <f t="shared" si="563"/>
        <v>8.3076923076923084</v>
      </c>
      <c r="DG58" s="218">
        <f t="shared" si="564"/>
        <v>23.07692307692308</v>
      </c>
      <c r="DH58" s="252">
        <f t="shared" si="565"/>
        <v>0</v>
      </c>
      <c r="DI58" s="309">
        <f t="shared" si="566"/>
        <v>23.07692307692308</v>
      </c>
      <c r="DJ58" s="218">
        <f>IF(DG58&gt;0,DG58,0)*2+IF(DG58&gt;12,DG58-12,0)*2+IF(DG58&gt;13,DG58-13,0)*2+IF(DG58&gt;14,DG58-14,0)*2+IF(DG58&gt;15,DG58-15,0)*2+IF(DG58&gt;16,DG58-16,0)*2+IF(DG58&gt;17,DG58-17,0)*2+IF(DG58&gt;18,DG58-18,0)*2+IF(DG58&gt;19,DG58-19,0)*2+IF(DG58&gt;20,DG58-20,0)*2</f>
        <v>173.5384615384616</v>
      </c>
      <c r="DK58" s="242">
        <f>IF(DH58&gt;0,DH58,0)*2+IF(DH58&gt;12,DH58-12,0)*2+IF(DH58&gt;13,DH58-13,0)*2+IF(DH58&gt;14,DH58-14,0)*2+IF(DH58&gt;15,DH58-15,0)*2+IF(DH58&gt;16,DH58-16,0)*2+IF(DH58&gt;17,DH58-17,0)*2+IF(DH58&gt;18,DH58-18,0)*2+IF(DH58&gt;19,DH58-19,0)*2+IF(DH58&gt;20,DH58-20,0)*2</f>
        <v>0</v>
      </c>
      <c r="DL58" s="243">
        <f t="shared" si="567"/>
        <v>173.5384615384616</v>
      </c>
      <c r="DM58" s="218">
        <f t="shared" si="568"/>
        <v>0</v>
      </c>
      <c r="DO58" s="303" t="s">
        <v>66</v>
      </c>
      <c r="DP58" s="243" t="s">
        <v>98</v>
      </c>
      <c r="DQ58" s="218" t="s">
        <v>132</v>
      </c>
      <c r="DR58" s="237"/>
      <c r="DS58" s="234"/>
      <c r="DT58" s="234"/>
      <c r="DU58" s="234"/>
      <c r="DV58" s="234">
        <f>Konvention_1slave-FFslave</f>
        <v>12</v>
      </c>
      <c r="DW58" s="234">
        <f>Konvention_1slave-GEslave</f>
        <v>12</v>
      </c>
      <c r="DX58" s="234"/>
      <c r="DY58" s="224">
        <f>Konvention_1slave-KKslave</f>
        <v>12</v>
      </c>
      <c r="DZ58" s="222">
        <f t="shared" si="569"/>
        <v>12</v>
      </c>
      <c r="EA58" s="223">
        <f t="shared" si="570"/>
        <v>24</v>
      </c>
      <c r="EB58" s="224">
        <f t="shared" si="571"/>
        <v>36</v>
      </c>
      <c r="EC58" s="237">
        <f t="shared" si="572"/>
        <v>2304</v>
      </c>
      <c r="ED58" s="234">
        <f>DV58*DW58*KKslave+DV58*GEslave*DY58+FFslave*DW58*DY58</f>
        <v>3456</v>
      </c>
      <c r="EE58" s="224">
        <f t="shared" si="573"/>
        <v>1728</v>
      </c>
      <c r="EF58" s="242">
        <f t="shared" ref="EF58:EF72" si="638">SUM(EC58:EE58)</f>
        <v>7488</v>
      </c>
      <c r="EG58" s="222">
        <f t="shared" si="574"/>
        <v>3.6923076923076925</v>
      </c>
      <c r="EH58" s="223">
        <f t="shared" si="575"/>
        <v>11.076923076923077</v>
      </c>
      <c r="EI58" s="243">
        <f t="shared" si="576"/>
        <v>8.3076923076923084</v>
      </c>
      <c r="EJ58" s="218">
        <f t="shared" si="577"/>
        <v>23.07692307692308</v>
      </c>
      <c r="EK58" s="252">
        <f t="shared" si="578"/>
        <v>0</v>
      </c>
      <c r="EL58" s="309">
        <f t="shared" si="579"/>
        <v>23.07692307692308</v>
      </c>
      <c r="EM58" s="218">
        <f>IF(EJ58&gt;0,EJ58,0)*2+IF(EJ58&gt;12,EJ58-12,0)*2+IF(EJ58&gt;13,EJ58-13,0)*2+IF(EJ58&gt;14,EJ58-14,0)*2+IF(EJ58&gt;15,EJ58-15,0)*2+IF(EJ58&gt;16,EJ58-16,0)*2+IF(EJ58&gt;17,EJ58-17,0)*2+IF(EJ58&gt;18,EJ58-18,0)*2+IF(EJ58&gt;19,EJ58-19,0)*2+IF(EJ58&gt;20,EJ58-20,0)*2</f>
        <v>173.5384615384616</v>
      </c>
      <c r="EN58" s="242">
        <f>IF(EK58&gt;0,EK58,0)*2+IF(EK58&gt;12,EK58-12,0)*2+IF(EK58&gt;13,EK58-13,0)*2+IF(EK58&gt;14,EK58-14,0)*2+IF(EK58&gt;15,EK58-15,0)*2+IF(EK58&gt;16,EK58-16,0)*2+IF(EK58&gt;17,EK58-17,0)*2+IF(EK58&gt;18,EK58-18,0)*2+IF(EK58&gt;19,EK58-19,0)*2+IF(EK58&gt;20,EK58-20,0)*2</f>
        <v>0</v>
      </c>
      <c r="EO58" s="243">
        <f t="shared" si="580"/>
        <v>173.5384615384616</v>
      </c>
      <c r="EP58" s="218">
        <f t="shared" si="581"/>
        <v>0</v>
      </c>
      <c r="ER58" s="303" t="s">
        <v>66</v>
      </c>
      <c r="ES58" s="243" t="s">
        <v>98</v>
      </c>
      <c r="ET58" s="218" t="s">
        <v>132</v>
      </c>
      <c r="EU58" s="237"/>
      <c r="EV58" s="234"/>
      <c r="EW58" s="234"/>
      <c r="EX58" s="234"/>
      <c r="EY58" s="234">
        <f>Konvention_1slave-FFslave_FF</f>
        <v>11</v>
      </c>
      <c r="EZ58" s="234">
        <f>Konvention_1slave-GEslave</f>
        <v>12</v>
      </c>
      <c r="FA58" s="234"/>
      <c r="FB58" s="224">
        <f>Konvention_1slave-KKslave</f>
        <v>12</v>
      </c>
      <c r="FC58" s="222">
        <f t="shared" si="582"/>
        <v>11.666666666666666</v>
      </c>
      <c r="FD58" s="223">
        <f t="shared" si="583"/>
        <v>23.333333333333332</v>
      </c>
      <c r="FE58" s="224">
        <f t="shared" si="584"/>
        <v>35</v>
      </c>
      <c r="FF58" s="237">
        <f t="shared" si="585"/>
        <v>2432</v>
      </c>
      <c r="FG58" s="234">
        <f>EY58*EZ58*KKslave+EY58*GEslave*FB58+FFslave_FF*EZ58*FB58</f>
        <v>3408</v>
      </c>
      <c r="FH58" s="224">
        <f t="shared" si="586"/>
        <v>1584</v>
      </c>
      <c r="FI58" s="242">
        <f t="shared" ref="FI58:FI72" si="639">SUM(FF58:FH58)</f>
        <v>7424</v>
      </c>
      <c r="FJ58" s="222">
        <f t="shared" si="587"/>
        <v>3.8218390804597702</v>
      </c>
      <c r="FK58" s="223">
        <f t="shared" si="588"/>
        <v>10.711206896551724</v>
      </c>
      <c r="FL58" s="243">
        <f t="shared" si="589"/>
        <v>7.4676724137931032</v>
      </c>
      <c r="FM58" s="218">
        <f t="shared" si="590"/>
        <v>22.000718390804597</v>
      </c>
      <c r="FN58" s="252">
        <f t="shared" si="591"/>
        <v>0</v>
      </c>
      <c r="FO58" s="309">
        <f t="shared" si="592"/>
        <v>22.000718390804597</v>
      </c>
      <c r="FP58" s="218">
        <f>IF(FM58&gt;0,FM58,0)*2+IF(FM58&gt;12,FM58-12,0)*2+IF(FM58&gt;13,FM58-13,0)*2+IF(FM58&gt;14,FM58-14,0)*2+IF(FM58&gt;15,FM58-15,0)*2+IF(FM58&gt;16,FM58-16,0)*2+IF(FM58&gt;17,FM58-17,0)*2+IF(FM58&gt;18,FM58-18,0)*2+IF(FM58&gt;19,FM58-19,0)*2+IF(FM58&gt;20,FM58-20,0)*2</f>
        <v>152.01436781609189</v>
      </c>
      <c r="FQ58" s="242">
        <f>IF(FN58&gt;0,FN58,0)*2+IF(FN58&gt;12,FN58-12,0)*2+IF(FN58&gt;13,FN58-13,0)*2+IF(FN58&gt;14,FN58-14,0)*2+IF(FN58&gt;15,FN58-15,0)*2+IF(FN58&gt;16,FN58-16,0)*2+IF(FN58&gt;17,FN58-17,0)*2+IF(FN58&gt;18,FN58-18,0)*2+IF(FN58&gt;19,FN58-19,0)*2+IF(FN58&gt;20,FN58-20,0)*2</f>
        <v>0</v>
      </c>
      <c r="FR58" s="243">
        <f t="shared" si="593"/>
        <v>152.01436781609189</v>
      </c>
      <c r="FS58" s="218">
        <f t="shared" si="594"/>
        <v>0</v>
      </c>
      <c r="FU58" s="303" t="s">
        <v>66</v>
      </c>
      <c r="FV58" s="243" t="s">
        <v>98</v>
      </c>
      <c r="FW58" s="218" t="s">
        <v>132</v>
      </c>
      <c r="FX58" s="237"/>
      <c r="FY58" s="234"/>
      <c r="FZ58" s="234"/>
      <c r="GA58" s="234"/>
      <c r="GB58" s="234">
        <f>Konvention_1slave-FFslave</f>
        <v>12</v>
      </c>
      <c r="GC58" s="234">
        <f>Konvention_1slave-GEslave_GE</f>
        <v>11</v>
      </c>
      <c r="GD58" s="234"/>
      <c r="GE58" s="224">
        <f>Konvention_1slave-KKslave</f>
        <v>12</v>
      </c>
      <c r="GF58" s="222">
        <f t="shared" si="595"/>
        <v>11.666666666666666</v>
      </c>
      <c r="GG58" s="223">
        <f t="shared" si="596"/>
        <v>23.333333333333332</v>
      </c>
      <c r="GH58" s="224">
        <f t="shared" si="597"/>
        <v>35</v>
      </c>
      <c r="GI58" s="237">
        <f t="shared" si="598"/>
        <v>2432</v>
      </c>
      <c r="GJ58" s="234">
        <f>GB58*GC58*KKslave+GB58*GEslave_GE*GE58+FFslave*GC58*GE58</f>
        <v>3408</v>
      </c>
      <c r="GK58" s="224">
        <f t="shared" si="599"/>
        <v>1584</v>
      </c>
      <c r="GL58" s="242">
        <f t="shared" ref="GL58:GL72" si="640">SUM(GI58:GK58)</f>
        <v>7424</v>
      </c>
      <c r="GM58" s="222">
        <f t="shared" si="600"/>
        <v>3.8218390804597702</v>
      </c>
      <c r="GN58" s="223">
        <f t="shared" si="601"/>
        <v>10.711206896551724</v>
      </c>
      <c r="GO58" s="243">
        <f t="shared" si="602"/>
        <v>7.4676724137931032</v>
      </c>
      <c r="GP58" s="218">
        <f t="shared" si="603"/>
        <v>22.000718390804597</v>
      </c>
      <c r="GQ58" s="252">
        <f t="shared" si="604"/>
        <v>0</v>
      </c>
      <c r="GR58" s="309">
        <f t="shared" si="605"/>
        <v>22.000718390804597</v>
      </c>
      <c r="GS58" s="218">
        <f>IF(GP58&gt;0,GP58,0)*2+IF(GP58&gt;12,GP58-12,0)*2+IF(GP58&gt;13,GP58-13,0)*2+IF(GP58&gt;14,GP58-14,0)*2+IF(GP58&gt;15,GP58-15,0)*2+IF(GP58&gt;16,GP58-16,0)*2+IF(GP58&gt;17,GP58-17,0)*2+IF(GP58&gt;18,GP58-18,0)*2+IF(GP58&gt;19,GP58-19,0)*2+IF(GP58&gt;20,GP58-20,0)*2</f>
        <v>152.01436781609189</v>
      </c>
      <c r="GT58" s="242">
        <f>IF(GQ58&gt;0,GQ58,0)*2+IF(GQ58&gt;12,GQ58-12,0)*2+IF(GQ58&gt;13,GQ58-13,0)*2+IF(GQ58&gt;14,GQ58-14,0)*2+IF(GQ58&gt;15,GQ58-15,0)*2+IF(GQ58&gt;16,GQ58-16,0)*2+IF(GQ58&gt;17,GQ58-17,0)*2+IF(GQ58&gt;18,GQ58-18,0)*2+IF(GQ58&gt;19,GQ58-19,0)*2+IF(GQ58&gt;20,GQ58-20,0)*2</f>
        <v>0</v>
      </c>
      <c r="GU58" s="243">
        <f t="shared" si="606"/>
        <v>152.01436781609189</v>
      </c>
      <c r="GV58" s="218">
        <f t="shared" si="607"/>
        <v>0</v>
      </c>
      <c r="GX58" s="303" t="s">
        <v>66</v>
      </c>
      <c r="GY58" s="243" t="s">
        <v>98</v>
      </c>
      <c r="GZ58" s="218" t="s">
        <v>132</v>
      </c>
      <c r="HA58" s="237"/>
      <c r="HB58" s="234"/>
      <c r="HC58" s="234"/>
      <c r="HD58" s="234"/>
      <c r="HE58" s="234">
        <f>Konvention_1slave-FFslave</f>
        <v>12</v>
      </c>
      <c r="HF58" s="234">
        <f>Konvention_1slave-GEslave</f>
        <v>12</v>
      </c>
      <c r="HG58" s="234"/>
      <c r="HH58" s="224">
        <f>Konvention_1slave-KKslave</f>
        <v>12</v>
      </c>
      <c r="HI58" s="222">
        <f t="shared" si="608"/>
        <v>12</v>
      </c>
      <c r="HJ58" s="223">
        <f t="shared" si="609"/>
        <v>24</v>
      </c>
      <c r="HK58" s="224">
        <f t="shared" si="610"/>
        <v>36</v>
      </c>
      <c r="HL58" s="237">
        <f t="shared" si="611"/>
        <v>2304</v>
      </c>
      <c r="HM58" s="234">
        <f>HE58*HF58*KKslave+HE58*GEslave*HH58+FFslave*HF58*HH58</f>
        <v>3456</v>
      </c>
      <c r="HN58" s="224">
        <f t="shared" si="612"/>
        <v>1728</v>
      </c>
      <c r="HO58" s="242">
        <f t="shared" ref="HO58:HO72" si="641">SUM(HL58:HN58)</f>
        <v>7488</v>
      </c>
      <c r="HP58" s="222">
        <f t="shared" si="613"/>
        <v>3.6923076923076925</v>
      </c>
      <c r="HQ58" s="223">
        <f t="shared" si="614"/>
        <v>11.076923076923077</v>
      </c>
      <c r="HR58" s="243">
        <f t="shared" si="615"/>
        <v>8.3076923076923084</v>
      </c>
      <c r="HS58" s="218">
        <f t="shared" si="616"/>
        <v>23.07692307692308</v>
      </c>
      <c r="HT58" s="252">
        <f t="shared" si="617"/>
        <v>0</v>
      </c>
      <c r="HU58" s="309">
        <f t="shared" si="618"/>
        <v>23.07692307692308</v>
      </c>
      <c r="HV58" s="218">
        <f>IF(HS58&gt;0,HS58,0)*2+IF(HS58&gt;12,HS58-12,0)*2+IF(HS58&gt;13,HS58-13,0)*2+IF(HS58&gt;14,HS58-14,0)*2+IF(HS58&gt;15,HS58-15,0)*2+IF(HS58&gt;16,HS58-16,0)*2+IF(HS58&gt;17,HS58-17,0)*2+IF(HS58&gt;18,HS58-18,0)*2+IF(HS58&gt;19,HS58-19,0)*2+IF(HS58&gt;20,HS58-20,0)*2</f>
        <v>173.5384615384616</v>
      </c>
      <c r="HW58" s="242">
        <f>IF(HT58&gt;0,HT58,0)*2+IF(HT58&gt;12,HT58-12,0)*2+IF(HT58&gt;13,HT58-13,0)*2+IF(HT58&gt;14,HT58-14,0)*2+IF(HT58&gt;15,HT58-15,0)*2+IF(HT58&gt;16,HT58-16,0)*2+IF(HT58&gt;17,HT58-17,0)*2+IF(HT58&gt;18,HT58-18,0)*2+IF(HT58&gt;19,HT58-19,0)*2+IF(HT58&gt;20,HT58-20,0)*2</f>
        <v>0</v>
      </c>
      <c r="HX58" s="243">
        <f t="shared" si="619"/>
        <v>173.5384615384616</v>
      </c>
      <c r="HY58" s="218">
        <f t="shared" si="620"/>
        <v>0</v>
      </c>
      <c r="IA58" s="303" t="s">
        <v>66</v>
      </c>
      <c r="IB58" s="243" t="s">
        <v>98</v>
      </c>
      <c r="IC58" s="218" t="s">
        <v>132</v>
      </c>
      <c r="ID58" s="237"/>
      <c r="IE58" s="234"/>
      <c r="IF58" s="234"/>
      <c r="IG58" s="234"/>
      <c r="IH58" s="234">
        <f>Konvention_1slave-FFslave</f>
        <v>12</v>
      </c>
      <c r="II58" s="234">
        <f>Konvention_1slave-GEslave</f>
        <v>12</v>
      </c>
      <c r="IJ58" s="234"/>
      <c r="IK58" s="224">
        <f>Konvention_1slave-KKslave_KK</f>
        <v>11</v>
      </c>
      <c r="IL58" s="222">
        <f t="shared" si="621"/>
        <v>11.666666666666666</v>
      </c>
      <c r="IM58" s="223">
        <f t="shared" si="622"/>
        <v>23.333333333333332</v>
      </c>
      <c r="IN58" s="224">
        <f t="shared" si="623"/>
        <v>35</v>
      </c>
      <c r="IO58" s="237">
        <f t="shared" si="624"/>
        <v>2432</v>
      </c>
      <c r="IP58" s="234">
        <f>IH58*II58*KKslave_KK+IH58*GEslave*IK58+FFslave*II58*IK58</f>
        <v>3408</v>
      </c>
      <c r="IQ58" s="224">
        <f t="shared" si="625"/>
        <v>1584</v>
      </c>
      <c r="IR58" s="242">
        <f t="shared" ref="IR58:IR72" si="642">SUM(IO58:IQ58)</f>
        <v>7424</v>
      </c>
      <c r="IS58" s="222">
        <f t="shared" si="626"/>
        <v>3.8218390804597702</v>
      </c>
      <c r="IT58" s="223">
        <f t="shared" si="627"/>
        <v>10.711206896551724</v>
      </c>
      <c r="IU58" s="243">
        <f t="shared" si="628"/>
        <v>7.4676724137931032</v>
      </c>
      <c r="IV58" s="218">
        <f t="shared" si="629"/>
        <v>22.000718390804597</v>
      </c>
      <c r="IW58" s="252">
        <f t="shared" si="630"/>
        <v>0</v>
      </c>
      <c r="IX58" s="309">
        <f t="shared" si="631"/>
        <v>22.000718390804597</v>
      </c>
      <c r="IY58" s="218">
        <f>IF(IV58&gt;0,IV58,0)*2+IF(IV58&gt;12,IV58-12,0)*2+IF(IV58&gt;13,IV58-13,0)*2+IF(IV58&gt;14,IV58-14,0)*2+IF(IV58&gt;15,IV58-15,0)*2+IF(IV58&gt;16,IV58-16,0)*2+IF(IV58&gt;17,IV58-17,0)*2+IF(IV58&gt;18,IV58-18,0)*2+IF(IV58&gt;19,IV58-19,0)*2+IF(IV58&gt;20,IV58-20,0)*2</f>
        <v>152.01436781609189</v>
      </c>
      <c r="IZ58" s="242">
        <f>IF(IW58&gt;0,IW58,0)*2+IF(IW58&gt;12,IW58-12,0)*2+IF(IW58&gt;13,IW58-13,0)*2+IF(IW58&gt;14,IW58-14,0)*2+IF(IW58&gt;15,IW58-15,0)*2+IF(IW58&gt;16,IW58-16,0)*2+IF(IW58&gt;17,IW58-17,0)*2+IF(IW58&gt;18,IW58-18,0)*2+IF(IW58&gt;19,IW58-19,0)*2+IF(IW58&gt;20,IW58-20,0)*2</f>
        <v>0</v>
      </c>
      <c r="JA58" s="243">
        <f t="shared" si="632"/>
        <v>152.01436781609189</v>
      </c>
      <c r="JB58" s="218">
        <f t="shared" si="633"/>
        <v>0</v>
      </c>
      <c r="JE58" s="148"/>
    </row>
    <row r="59" spans="2:265" hidden="1" outlineLevel="2">
      <c r="B59" s="148">
        <v>3</v>
      </c>
      <c r="C59" s="303" t="e">
        <f>VLOOKUP(AF59,Attribute!C:T,1,FALSE)</f>
        <v>#N/A</v>
      </c>
      <c r="D59" s="127" t="s">
        <v>99</v>
      </c>
      <c r="E59" s="125" t="s">
        <v>133</v>
      </c>
      <c r="F59" s="114"/>
      <c r="G59" s="113"/>
      <c r="H59" s="113"/>
      <c r="I59" s="113">
        <f>Konvention_1master-CHmaster</f>
        <v>12</v>
      </c>
      <c r="J59" s="113">
        <f>Konvention_1master-FFmaster</f>
        <v>12</v>
      </c>
      <c r="K59" s="113"/>
      <c r="L59" s="113">
        <f>Konvention_1master-KOmaster</f>
        <v>12</v>
      </c>
      <c r="M59" s="119"/>
      <c r="N59" s="222">
        <f t="shared" si="518"/>
        <v>12</v>
      </c>
      <c r="O59" s="223">
        <f t="shared" si="519"/>
        <v>24</v>
      </c>
      <c r="P59" s="224">
        <f t="shared" si="520"/>
        <v>36</v>
      </c>
      <c r="Q59" s="237">
        <f t="shared" si="521"/>
        <v>2304</v>
      </c>
      <c r="R59" s="113">
        <f>I59*J59*KOmaster+I59*FFmaster*L59+CHmaster*J59*L59</f>
        <v>3456</v>
      </c>
      <c r="S59" s="224">
        <f t="shared" si="522"/>
        <v>1728</v>
      </c>
      <c r="T59" s="242">
        <f t="shared" si="634"/>
        <v>7488</v>
      </c>
      <c r="U59" s="222">
        <f t="shared" si="523"/>
        <v>3.6923076923076925</v>
      </c>
      <c r="V59" s="223">
        <f t="shared" si="524"/>
        <v>11.076923076923077</v>
      </c>
      <c r="W59" s="243">
        <f t="shared" si="525"/>
        <v>8.3076923076923084</v>
      </c>
      <c r="X59" s="218">
        <f t="shared" si="526"/>
        <v>23.07692307692308</v>
      </c>
      <c r="Y59" s="252">
        <v>0</v>
      </c>
      <c r="Z59" s="198">
        <f t="shared" si="527"/>
        <v>23.07692307692308</v>
      </c>
      <c r="AA59" s="125">
        <f>IF(X59&gt;0,X59,0)*1+IF(X59&gt;12,X59-12,0)*1+IF(X59&gt;13,X59-13,0)*1+IF(X59&gt;14,X59-14,0)*1+IF(X59&gt;15,X59-15,0)*1+IF(X59&gt;16,X59-16,0)*1+IF(X59&gt;17,X59-17,0)*1+IF(X59&gt;18,X59-18,0)*1+IF(X59&gt;19,X59-19,0)*1+IF(X59&gt;20,X59-20,0)*1</f>
        <v>86.769230769230802</v>
      </c>
      <c r="AB59" s="160">
        <f>IF(Y59&gt;0,Y59,0)*1+IF(Y59&gt;12,Y59-12,0)*1+IF(Y59&gt;13,Y59-13,0)*1+IF(Y59&gt;14,Y59-14,0)*1+IF(Y59&gt;15,Y59-15,0)*1+IF(Y59&gt;16,Y59-16,0)*1+IF(Y59&gt;17,Y59-17,0)*1+IF(Y59&gt;18,Y59-18,0)*1+IF(Y59&gt;19,Y59-19,0)*1+IF(Y59&gt;20,Y59-20,0)*1</f>
        <v>0</v>
      </c>
      <c r="AC59" s="127">
        <f t="shared" si="528"/>
        <v>86.769230769230802</v>
      </c>
      <c r="AD59" s="125">
        <f t="shared" si="529"/>
        <v>0</v>
      </c>
      <c r="AF59" s="163" t="s">
        <v>51</v>
      </c>
      <c r="AG59" s="127" t="s">
        <v>99</v>
      </c>
      <c r="AH59" s="125" t="s">
        <v>133</v>
      </c>
      <c r="AI59" s="114"/>
      <c r="AJ59" s="113"/>
      <c r="AK59" s="113"/>
      <c r="AL59" s="113">
        <f>Konvention_1slave-CHslave</f>
        <v>12</v>
      </c>
      <c r="AM59" s="113">
        <f>Konvention_1slave-FFslave</f>
        <v>12</v>
      </c>
      <c r="AN59" s="113"/>
      <c r="AO59" s="113">
        <f>Konvention_1slave-KOslave</f>
        <v>12</v>
      </c>
      <c r="AP59" s="119"/>
      <c r="AQ59" s="89">
        <f t="shared" si="530"/>
        <v>12</v>
      </c>
      <c r="AR59" s="47">
        <f t="shared" si="531"/>
        <v>24</v>
      </c>
      <c r="AS59" s="119">
        <f t="shared" si="532"/>
        <v>36</v>
      </c>
      <c r="AT59" s="114">
        <f t="shared" si="533"/>
        <v>2304</v>
      </c>
      <c r="AU59" s="113">
        <f>AL59*AM59*KOslave+AL59*FFslave*AO59+CHslave*AM59*AO59</f>
        <v>3456</v>
      </c>
      <c r="AV59" s="119">
        <f t="shared" si="534"/>
        <v>1728</v>
      </c>
      <c r="AW59" s="160">
        <f t="shared" si="635"/>
        <v>7488</v>
      </c>
      <c r="AX59" s="89">
        <f t="shared" si="535"/>
        <v>3.6923076923076925</v>
      </c>
      <c r="AY59" s="47">
        <f t="shared" si="536"/>
        <v>11.076923076923077</v>
      </c>
      <c r="AZ59" s="127">
        <f t="shared" si="537"/>
        <v>8.3076923076923084</v>
      </c>
      <c r="BA59" s="125">
        <f t="shared" si="538"/>
        <v>23.07692307692308</v>
      </c>
      <c r="BB59" s="165">
        <f t="shared" si="539"/>
        <v>0</v>
      </c>
      <c r="BC59" s="198">
        <f t="shared" si="540"/>
        <v>23.07692307692308</v>
      </c>
      <c r="BD59" s="125">
        <f>IF(BA59&gt;0,BA59,0)*1+IF(BA59&gt;12,BA59-12,0)*1+IF(BA59&gt;13,BA59-13,0)*1+IF(BA59&gt;14,BA59-14,0)*1+IF(BA59&gt;15,BA59-15,0)*1+IF(BA59&gt;16,BA59-16,0)*1+IF(BA59&gt;17,BA59-17,0)*1+IF(BA59&gt;18,BA59-18,0)*1+IF(BA59&gt;19,BA59-19,0)*1+IF(BA59&gt;20,BA59-20,0)*1</f>
        <v>86.769230769230802</v>
      </c>
      <c r="BE59" s="160">
        <f>IF(BB59&gt;0,BB59,0)*1+IF(BB59&gt;12,BB59-12,0)*1+IF(BB59&gt;13,BB59-13,0)*1+IF(BB59&gt;14,BB59-14,0)*1+IF(BB59&gt;15,BB59-15,0)*1+IF(BB59&gt;16,BB59-16,0)*1+IF(BB59&gt;17,BB59-17,0)*1+IF(BB59&gt;18,BB59-18,0)*1+IF(BB59&gt;19,BB59-19,0)*1+IF(BB59&gt;20,BB59-20,0)*1</f>
        <v>0</v>
      </c>
      <c r="BF59" s="243">
        <f t="shared" si="541"/>
        <v>86.769230769230802</v>
      </c>
      <c r="BG59" s="218">
        <f t="shared" si="542"/>
        <v>0</v>
      </c>
      <c r="BI59" s="303" t="s">
        <v>51</v>
      </c>
      <c r="BJ59" s="243" t="s">
        <v>99</v>
      </c>
      <c r="BK59" s="218" t="s">
        <v>133</v>
      </c>
      <c r="BL59" s="237"/>
      <c r="BM59" s="234"/>
      <c r="BN59" s="234"/>
      <c r="BO59" s="234">
        <f>Konvention_1slave-CHslave</f>
        <v>12</v>
      </c>
      <c r="BP59" s="234">
        <f>Konvention_1slave-FFslave</f>
        <v>12</v>
      </c>
      <c r="BQ59" s="234"/>
      <c r="BR59" s="234">
        <f>Konvention_1slave-KOslave</f>
        <v>12</v>
      </c>
      <c r="BS59" s="224"/>
      <c r="BT59" s="222">
        <f t="shared" si="543"/>
        <v>12</v>
      </c>
      <c r="BU59" s="223">
        <f t="shared" si="544"/>
        <v>24</v>
      </c>
      <c r="BV59" s="224">
        <f t="shared" si="545"/>
        <v>36</v>
      </c>
      <c r="BW59" s="237">
        <f t="shared" si="546"/>
        <v>2304</v>
      </c>
      <c r="BX59" s="234">
        <f>BO59*BP59*KOslave+BO59*FFslave*BR59+CHslave*BP59*BR59</f>
        <v>3456</v>
      </c>
      <c r="BY59" s="224">
        <f t="shared" si="547"/>
        <v>1728</v>
      </c>
      <c r="BZ59" s="242">
        <f t="shared" si="636"/>
        <v>7488</v>
      </c>
      <c r="CA59" s="222">
        <f t="shared" si="548"/>
        <v>3.6923076923076925</v>
      </c>
      <c r="CB59" s="223">
        <f t="shared" si="549"/>
        <v>11.076923076923077</v>
      </c>
      <c r="CC59" s="243">
        <f t="shared" si="550"/>
        <v>8.3076923076923084</v>
      </c>
      <c r="CD59" s="218">
        <f t="shared" si="551"/>
        <v>23.07692307692308</v>
      </c>
      <c r="CE59" s="252">
        <f t="shared" si="552"/>
        <v>0</v>
      </c>
      <c r="CF59" s="309">
        <f t="shared" si="553"/>
        <v>23.07692307692308</v>
      </c>
      <c r="CG59" s="218">
        <f>IF(CD59&gt;0,CD59,0)*1+IF(CD59&gt;12,CD59-12,0)*1+IF(CD59&gt;13,CD59-13,0)*1+IF(CD59&gt;14,CD59-14,0)*1+IF(CD59&gt;15,CD59-15,0)*1+IF(CD59&gt;16,CD59-16,0)*1+IF(CD59&gt;17,CD59-17,0)*1+IF(CD59&gt;18,CD59-18,0)*1+IF(CD59&gt;19,CD59-19,0)*1+IF(CD59&gt;20,CD59-20,0)*1</f>
        <v>86.769230769230802</v>
      </c>
      <c r="CH59" s="242">
        <f>IF(CE59&gt;0,CE59,0)*1+IF(CE59&gt;12,CE59-12,0)*1+IF(CE59&gt;13,CE59-13,0)*1+IF(CE59&gt;14,CE59-14,0)*1+IF(CE59&gt;15,CE59-15,0)*1+IF(CE59&gt;16,CE59-16,0)*1+IF(CE59&gt;17,CE59-17,0)*1+IF(CE59&gt;18,CE59-18,0)*1+IF(CE59&gt;19,CE59-19,0)*1+IF(CE59&gt;20,CE59-20,0)*1</f>
        <v>0</v>
      </c>
      <c r="CI59" s="243">
        <f t="shared" si="554"/>
        <v>86.769230769230802</v>
      </c>
      <c r="CJ59" s="218">
        <f t="shared" si="555"/>
        <v>0</v>
      </c>
      <c r="CL59" s="303" t="s">
        <v>51</v>
      </c>
      <c r="CM59" s="243" t="s">
        <v>99</v>
      </c>
      <c r="CN59" s="218" t="s">
        <v>133</v>
      </c>
      <c r="CO59" s="237"/>
      <c r="CP59" s="234"/>
      <c r="CQ59" s="234"/>
      <c r="CR59" s="234">
        <f>Konvention_1slave-CHslave</f>
        <v>12</v>
      </c>
      <c r="CS59" s="234">
        <f>Konvention_1slave-FFslave</f>
        <v>12</v>
      </c>
      <c r="CT59" s="234"/>
      <c r="CU59" s="234">
        <f>Konvention_1slave-KOslave</f>
        <v>12</v>
      </c>
      <c r="CV59" s="224"/>
      <c r="CW59" s="222">
        <f t="shared" si="556"/>
        <v>12</v>
      </c>
      <c r="CX59" s="223">
        <f t="shared" si="557"/>
        <v>24</v>
      </c>
      <c r="CY59" s="224">
        <f t="shared" si="558"/>
        <v>36</v>
      </c>
      <c r="CZ59" s="237">
        <f t="shared" si="559"/>
        <v>2304</v>
      </c>
      <c r="DA59" s="234">
        <f>CR59*CS59*KOslave+CR59*FFslave*CU59+CHslave*CS59*CU59</f>
        <v>3456</v>
      </c>
      <c r="DB59" s="224">
        <f t="shared" si="560"/>
        <v>1728</v>
      </c>
      <c r="DC59" s="242">
        <f t="shared" si="637"/>
        <v>7488</v>
      </c>
      <c r="DD59" s="222">
        <f t="shared" si="561"/>
        <v>3.6923076923076925</v>
      </c>
      <c r="DE59" s="223">
        <f t="shared" si="562"/>
        <v>11.076923076923077</v>
      </c>
      <c r="DF59" s="243">
        <f t="shared" si="563"/>
        <v>8.3076923076923084</v>
      </c>
      <c r="DG59" s="218">
        <f t="shared" si="564"/>
        <v>23.07692307692308</v>
      </c>
      <c r="DH59" s="252">
        <f t="shared" si="565"/>
        <v>0</v>
      </c>
      <c r="DI59" s="309">
        <f t="shared" si="566"/>
        <v>23.07692307692308</v>
      </c>
      <c r="DJ59" s="218">
        <f>IF(DG59&gt;0,DG59,0)*1+IF(DG59&gt;12,DG59-12,0)*1+IF(DG59&gt;13,DG59-13,0)*1+IF(DG59&gt;14,DG59-14,0)*1+IF(DG59&gt;15,DG59-15,0)*1+IF(DG59&gt;16,DG59-16,0)*1+IF(DG59&gt;17,DG59-17,0)*1+IF(DG59&gt;18,DG59-18,0)*1+IF(DG59&gt;19,DG59-19,0)*1+IF(DG59&gt;20,DG59-20,0)*1</f>
        <v>86.769230769230802</v>
      </c>
      <c r="DK59" s="242">
        <f>IF(DH59&gt;0,DH59,0)*1+IF(DH59&gt;12,DH59-12,0)*1+IF(DH59&gt;13,DH59-13,0)*1+IF(DH59&gt;14,DH59-14,0)*1+IF(DH59&gt;15,DH59-15,0)*1+IF(DH59&gt;16,DH59-16,0)*1+IF(DH59&gt;17,DH59-17,0)*1+IF(DH59&gt;18,DH59-18,0)*1+IF(DH59&gt;19,DH59-19,0)*1+IF(DH59&gt;20,DH59-20,0)*1</f>
        <v>0</v>
      </c>
      <c r="DL59" s="243">
        <f t="shared" si="567"/>
        <v>86.769230769230802</v>
      </c>
      <c r="DM59" s="218">
        <f t="shared" si="568"/>
        <v>0</v>
      </c>
      <c r="DO59" s="303" t="s">
        <v>51</v>
      </c>
      <c r="DP59" s="243" t="s">
        <v>99</v>
      </c>
      <c r="DQ59" s="218" t="s">
        <v>133</v>
      </c>
      <c r="DR59" s="237"/>
      <c r="DS59" s="234"/>
      <c r="DT59" s="234"/>
      <c r="DU59" s="234">
        <f>Konvention_1slave-CHslave_CH</f>
        <v>11</v>
      </c>
      <c r="DV59" s="234">
        <f>Konvention_1slave-FFslave</f>
        <v>12</v>
      </c>
      <c r="DW59" s="234"/>
      <c r="DX59" s="234">
        <f>Konvention_1slave-KOslave</f>
        <v>12</v>
      </c>
      <c r="DY59" s="224"/>
      <c r="DZ59" s="222">
        <f t="shared" si="569"/>
        <v>11.666666666666666</v>
      </c>
      <c r="EA59" s="223">
        <f t="shared" si="570"/>
        <v>23.333333333333332</v>
      </c>
      <c r="EB59" s="224">
        <f t="shared" si="571"/>
        <v>35</v>
      </c>
      <c r="EC59" s="237">
        <f t="shared" si="572"/>
        <v>2432</v>
      </c>
      <c r="ED59" s="234">
        <f>DU59*DV59*KOslave+DU59*FFslave*DX59+CHslave_CH*DV59*DX59</f>
        <v>3408</v>
      </c>
      <c r="EE59" s="224">
        <f t="shared" si="573"/>
        <v>1584</v>
      </c>
      <c r="EF59" s="242">
        <f t="shared" si="638"/>
        <v>7424</v>
      </c>
      <c r="EG59" s="222">
        <f t="shared" si="574"/>
        <v>3.8218390804597702</v>
      </c>
      <c r="EH59" s="223">
        <f t="shared" si="575"/>
        <v>10.711206896551724</v>
      </c>
      <c r="EI59" s="243">
        <f t="shared" si="576"/>
        <v>7.4676724137931032</v>
      </c>
      <c r="EJ59" s="218">
        <f t="shared" si="577"/>
        <v>22.000718390804597</v>
      </c>
      <c r="EK59" s="252">
        <f t="shared" si="578"/>
        <v>0</v>
      </c>
      <c r="EL59" s="309">
        <f t="shared" si="579"/>
        <v>22.000718390804597</v>
      </c>
      <c r="EM59" s="218">
        <f>IF(EJ59&gt;0,EJ59,0)*1+IF(EJ59&gt;12,EJ59-12,0)*1+IF(EJ59&gt;13,EJ59-13,0)*1+IF(EJ59&gt;14,EJ59-14,0)*1+IF(EJ59&gt;15,EJ59-15,0)*1+IF(EJ59&gt;16,EJ59-16,0)*1+IF(EJ59&gt;17,EJ59-17,0)*1+IF(EJ59&gt;18,EJ59-18,0)*1+IF(EJ59&gt;19,EJ59-19,0)*1+IF(EJ59&gt;20,EJ59-20,0)*1</f>
        <v>76.007183908045945</v>
      </c>
      <c r="EN59" s="242">
        <f>IF(EK59&gt;0,EK59,0)*1+IF(EK59&gt;12,EK59-12,0)*1+IF(EK59&gt;13,EK59-13,0)*1+IF(EK59&gt;14,EK59-14,0)*1+IF(EK59&gt;15,EK59-15,0)*1+IF(EK59&gt;16,EK59-16,0)*1+IF(EK59&gt;17,EK59-17,0)*1+IF(EK59&gt;18,EK59-18,0)*1+IF(EK59&gt;19,EK59-19,0)*1+IF(EK59&gt;20,EK59-20,0)*1</f>
        <v>0</v>
      </c>
      <c r="EO59" s="243">
        <f t="shared" si="580"/>
        <v>76.007183908045945</v>
      </c>
      <c r="EP59" s="218">
        <f t="shared" si="581"/>
        <v>0</v>
      </c>
      <c r="ER59" s="303" t="s">
        <v>51</v>
      </c>
      <c r="ES59" s="243" t="s">
        <v>99</v>
      </c>
      <c r="ET59" s="218" t="s">
        <v>133</v>
      </c>
      <c r="EU59" s="237"/>
      <c r="EV59" s="234"/>
      <c r="EW59" s="234"/>
      <c r="EX59" s="234">
        <f>Konvention_1slave-CHslave</f>
        <v>12</v>
      </c>
      <c r="EY59" s="234">
        <f>Konvention_1slave-FFslave_FF</f>
        <v>11</v>
      </c>
      <c r="EZ59" s="234"/>
      <c r="FA59" s="234">
        <f>Konvention_1slave-KOslave</f>
        <v>12</v>
      </c>
      <c r="FB59" s="224"/>
      <c r="FC59" s="222">
        <f t="shared" si="582"/>
        <v>11.666666666666666</v>
      </c>
      <c r="FD59" s="223">
        <f t="shared" si="583"/>
        <v>23.333333333333332</v>
      </c>
      <c r="FE59" s="224">
        <f t="shared" si="584"/>
        <v>35</v>
      </c>
      <c r="FF59" s="237">
        <f t="shared" si="585"/>
        <v>2432</v>
      </c>
      <c r="FG59" s="234">
        <f>EX59*EY59*KOslave+EX59*FFslave_FF*FA59+CHslave*EY59*FA59</f>
        <v>3408</v>
      </c>
      <c r="FH59" s="224">
        <f t="shared" si="586"/>
        <v>1584</v>
      </c>
      <c r="FI59" s="242">
        <f t="shared" si="639"/>
        <v>7424</v>
      </c>
      <c r="FJ59" s="222">
        <f t="shared" si="587"/>
        <v>3.8218390804597702</v>
      </c>
      <c r="FK59" s="223">
        <f t="shared" si="588"/>
        <v>10.711206896551724</v>
      </c>
      <c r="FL59" s="243">
        <f t="shared" si="589"/>
        <v>7.4676724137931032</v>
      </c>
      <c r="FM59" s="218">
        <f t="shared" si="590"/>
        <v>22.000718390804597</v>
      </c>
      <c r="FN59" s="252">
        <f t="shared" si="591"/>
        <v>0</v>
      </c>
      <c r="FO59" s="309">
        <f t="shared" si="592"/>
        <v>22.000718390804597</v>
      </c>
      <c r="FP59" s="218">
        <f>IF(FM59&gt;0,FM59,0)*1+IF(FM59&gt;12,FM59-12,0)*1+IF(FM59&gt;13,FM59-13,0)*1+IF(FM59&gt;14,FM59-14,0)*1+IF(FM59&gt;15,FM59-15,0)*1+IF(FM59&gt;16,FM59-16,0)*1+IF(FM59&gt;17,FM59-17,0)*1+IF(FM59&gt;18,FM59-18,0)*1+IF(FM59&gt;19,FM59-19,0)*1+IF(FM59&gt;20,FM59-20,0)*1</f>
        <v>76.007183908045945</v>
      </c>
      <c r="FQ59" s="242">
        <f>IF(FN59&gt;0,FN59,0)*1+IF(FN59&gt;12,FN59-12,0)*1+IF(FN59&gt;13,FN59-13,0)*1+IF(FN59&gt;14,FN59-14,0)*1+IF(FN59&gt;15,FN59-15,0)*1+IF(FN59&gt;16,FN59-16,0)*1+IF(FN59&gt;17,FN59-17,0)*1+IF(FN59&gt;18,FN59-18,0)*1+IF(FN59&gt;19,FN59-19,0)*1+IF(FN59&gt;20,FN59-20,0)*1</f>
        <v>0</v>
      </c>
      <c r="FR59" s="243">
        <f t="shared" si="593"/>
        <v>76.007183908045945</v>
      </c>
      <c r="FS59" s="218">
        <f t="shared" si="594"/>
        <v>0</v>
      </c>
      <c r="FU59" s="303" t="s">
        <v>51</v>
      </c>
      <c r="FV59" s="243" t="s">
        <v>99</v>
      </c>
      <c r="FW59" s="218" t="s">
        <v>133</v>
      </c>
      <c r="FX59" s="237"/>
      <c r="FY59" s="234"/>
      <c r="FZ59" s="234"/>
      <c r="GA59" s="234">
        <f>Konvention_1slave-CHslave</f>
        <v>12</v>
      </c>
      <c r="GB59" s="234">
        <f>Konvention_1slave-FFslave</f>
        <v>12</v>
      </c>
      <c r="GC59" s="234"/>
      <c r="GD59" s="234">
        <f>Konvention_1slave-KOslave</f>
        <v>12</v>
      </c>
      <c r="GE59" s="224"/>
      <c r="GF59" s="222">
        <f t="shared" si="595"/>
        <v>12</v>
      </c>
      <c r="GG59" s="223">
        <f t="shared" si="596"/>
        <v>24</v>
      </c>
      <c r="GH59" s="224">
        <f t="shared" si="597"/>
        <v>36</v>
      </c>
      <c r="GI59" s="237">
        <f t="shared" si="598"/>
        <v>2304</v>
      </c>
      <c r="GJ59" s="234">
        <f>GA59*GB59*KOslave+GA59*FFslave*GD59+CHslave*GB59*GD59</f>
        <v>3456</v>
      </c>
      <c r="GK59" s="224">
        <f t="shared" si="599"/>
        <v>1728</v>
      </c>
      <c r="GL59" s="242">
        <f t="shared" si="640"/>
        <v>7488</v>
      </c>
      <c r="GM59" s="222">
        <f t="shared" si="600"/>
        <v>3.6923076923076925</v>
      </c>
      <c r="GN59" s="223">
        <f t="shared" si="601"/>
        <v>11.076923076923077</v>
      </c>
      <c r="GO59" s="243">
        <f t="shared" si="602"/>
        <v>8.3076923076923084</v>
      </c>
      <c r="GP59" s="218">
        <f t="shared" si="603"/>
        <v>23.07692307692308</v>
      </c>
      <c r="GQ59" s="252">
        <f t="shared" si="604"/>
        <v>0</v>
      </c>
      <c r="GR59" s="309">
        <f t="shared" si="605"/>
        <v>23.07692307692308</v>
      </c>
      <c r="GS59" s="218">
        <f>IF(GP59&gt;0,GP59,0)*1+IF(GP59&gt;12,GP59-12,0)*1+IF(GP59&gt;13,GP59-13,0)*1+IF(GP59&gt;14,GP59-14,0)*1+IF(GP59&gt;15,GP59-15,0)*1+IF(GP59&gt;16,GP59-16,0)*1+IF(GP59&gt;17,GP59-17,0)*1+IF(GP59&gt;18,GP59-18,0)*1+IF(GP59&gt;19,GP59-19,0)*1+IF(GP59&gt;20,GP59-20,0)*1</f>
        <v>86.769230769230802</v>
      </c>
      <c r="GT59" s="242">
        <f>IF(GQ59&gt;0,GQ59,0)*1+IF(GQ59&gt;12,GQ59-12,0)*1+IF(GQ59&gt;13,GQ59-13,0)*1+IF(GQ59&gt;14,GQ59-14,0)*1+IF(GQ59&gt;15,GQ59-15,0)*1+IF(GQ59&gt;16,GQ59-16,0)*1+IF(GQ59&gt;17,GQ59-17,0)*1+IF(GQ59&gt;18,GQ59-18,0)*1+IF(GQ59&gt;19,GQ59-19,0)*1+IF(GQ59&gt;20,GQ59-20,0)*1</f>
        <v>0</v>
      </c>
      <c r="GU59" s="243">
        <f t="shared" si="606"/>
        <v>86.769230769230802</v>
      </c>
      <c r="GV59" s="218">
        <f t="shared" si="607"/>
        <v>0</v>
      </c>
      <c r="GX59" s="303" t="s">
        <v>51</v>
      </c>
      <c r="GY59" s="243" t="s">
        <v>99</v>
      </c>
      <c r="GZ59" s="218" t="s">
        <v>133</v>
      </c>
      <c r="HA59" s="237"/>
      <c r="HB59" s="234"/>
      <c r="HC59" s="234"/>
      <c r="HD59" s="234">
        <f>Konvention_1slave-CHslave</f>
        <v>12</v>
      </c>
      <c r="HE59" s="234">
        <f>Konvention_1slave-FFslave</f>
        <v>12</v>
      </c>
      <c r="HF59" s="234"/>
      <c r="HG59" s="234">
        <f>Konvention_1slave-KOslave_KO</f>
        <v>11</v>
      </c>
      <c r="HH59" s="224"/>
      <c r="HI59" s="222">
        <f t="shared" si="608"/>
        <v>11.666666666666666</v>
      </c>
      <c r="HJ59" s="223">
        <f t="shared" si="609"/>
        <v>23.333333333333332</v>
      </c>
      <c r="HK59" s="224">
        <f t="shared" si="610"/>
        <v>35</v>
      </c>
      <c r="HL59" s="237">
        <f t="shared" si="611"/>
        <v>2432</v>
      </c>
      <c r="HM59" s="234">
        <f>HD59*HE59*KOslave_KO+HD59*FFslave*HG59+CHslave*HE59*HG59</f>
        <v>3408</v>
      </c>
      <c r="HN59" s="224">
        <f t="shared" si="612"/>
        <v>1584</v>
      </c>
      <c r="HO59" s="242">
        <f t="shared" si="641"/>
        <v>7424</v>
      </c>
      <c r="HP59" s="222">
        <f t="shared" si="613"/>
        <v>3.8218390804597702</v>
      </c>
      <c r="HQ59" s="223">
        <f t="shared" si="614"/>
        <v>10.711206896551724</v>
      </c>
      <c r="HR59" s="243">
        <f t="shared" si="615"/>
        <v>7.4676724137931032</v>
      </c>
      <c r="HS59" s="218">
        <f t="shared" si="616"/>
        <v>22.000718390804597</v>
      </c>
      <c r="HT59" s="252">
        <f t="shared" si="617"/>
        <v>0</v>
      </c>
      <c r="HU59" s="309">
        <f t="shared" si="618"/>
        <v>22.000718390804597</v>
      </c>
      <c r="HV59" s="218">
        <f>IF(HS59&gt;0,HS59,0)*1+IF(HS59&gt;12,HS59-12,0)*1+IF(HS59&gt;13,HS59-13,0)*1+IF(HS59&gt;14,HS59-14,0)*1+IF(HS59&gt;15,HS59-15,0)*1+IF(HS59&gt;16,HS59-16,0)*1+IF(HS59&gt;17,HS59-17,0)*1+IF(HS59&gt;18,HS59-18,0)*1+IF(HS59&gt;19,HS59-19,0)*1+IF(HS59&gt;20,HS59-20,0)*1</f>
        <v>76.007183908045945</v>
      </c>
      <c r="HW59" s="242">
        <f>IF(HT59&gt;0,HT59,0)*1+IF(HT59&gt;12,HT59-12,0)*1+IF(HT59&gt;13,HT59-13,0)*1+IF(HT59&gt;14,HT59-14,0)*1+IF(HT59&gt;15,HT59-15,0)*1+IF(HT59&gt;16,HT59-16,0)*1+IF(HT59&gt;17,HT59-17,0)*1+IF(HT59&gt;18,HT59-18,0)*1+IF(HT59&gt;19,HT59-19,0)*1+IF(HT59&gt;20,HT59-20,0)*1</f>
        <v>0</v>
      </c>
      <c r="HX59" s="243">
        <f t="shared" si="619"/>
        <v>76.007183908045945</v>
      </c>
      <c r="HY59" s="218">
        <f t="shared" si="620"/>
        <v>0</v>
      </c>
      <c r="IA59" s="303" t="s">
        <v>51</v>
      </c>
      <c r="IB59" s="243" t="s">
        <v>99</v>
      </c>
      <c r="IC59" s="218" t="s">
        <v>133</v>
      </c>
      <c r="ID59" s="237"/>
      <c r="IE59" s="234"/>
      <c r="IF59" s="234"/>
      <c r="IG59" s="234">
        <f>Konvention_1slave-CHslave</f>
        <v>12</v>
      </c>
      <c r="IH59" s="234">
        <f>Konvention_1slave-FFslave</f>
        <v>12</v>
      </c>
      <c r="II59" s="234"/>
      <c r="IJ59" s="234">
        <f>Konvention_1slave-KOslave</f>
        <v>12</v>
      </c>
      <c r="IK59" s="224"/>
      <c r="IL59" s="222">
        <f t="shared" si="621"/>
        <v>12</v>
      </c>
      <c r="IM59" s="223">
        <f t="shared" si="622"/>
        <v>24</v>
      </c>
      <c r="IN59" s="224">
        <f t="shared" si="623"/>
        <v>36</v>
      </c>
      <c r="IO59" s="237">
        <f t="shared" si="624"/>
        <v>2304</v>
      </c>
      <c r="IP59" s="234">
        <f>IG59*IH59*KOslave+IG59*FFslave*IJ59+CHslave*IH59*IJ59</f>
        <v>3456</v>
      </c>
      <c r="IQ59" s="224">
        <f t="shared" si="625"/>
        <v>1728</v>
      </c>
      <c r="IR59" s="242">
        <f t="shared" si="642"/>
        <v>7488</v>
      </c>
      <c r="IS59" s="222">
        <f t="shared" si="626"/>
        <v>3.6923076923076925</v>
      </c>
      <c r="IT59" s="223">
        <f t="shared" si="627"/>
        <v>11.076923076923077</v>
      </c>
      <c r="IU59" s="243">
        <f t="shared" si="628"/>
        <v>8.3076923076923084</v>
      </c>
      <c r="IV59" s="218">
        <f t="shared" si="629"/>
        <v>23.07692307692308</v>
      </c>
      <c r="IW59" s="252">
        <f t="shared" si="630"/>
        <v>0</v>
      </c>
      <c r="IX59" s="309">
        <f t="shared" si="631"/>
        <v>23.07692307692308</v>
      </c>
      <c r="IY59" s="218">
        <f>IF(IV59&gt;0,IV59,0)*1+IF(IV59&gt;12,IV59-12,0)*1+IF(IV59&gt;13,IV59-13,0)*1+IF(IV59&gt;14,IV59-14,0)*1+IF(IV59&gt;15,IV59-15,0)*1+IF(IV59&gt;16,IV59-16,0)*1+IF(IV59&gt;17,IV59-17,0)*1+IF(IV59&gt;18,IV59-18,0)*1+IF(IV59&gt;19,IV59-19,0)*1+IF(IV59&gt;20,IV59-20,0)*1</f>
        <v>86.769230769230802</v>
      </c>
      <c r="IZ59" s="242">
        <f>IF(IW59&gt;0,IW59,0)*1+IF(IW59&gt;12,IW59-12,0)*1+IF(IW59&gt;13,IW59-13,0)*1+IF(IW59&gt;14,IW59-14,0)*1+IF(IW59&gt;15,IW59-15,0)*1+IF(IW59&gt;16,IW59-16,0)*1+IF(IW59&gt;17,IW59-17,0)*1+IF(IW59&gt;18,IW59-18,0)*1+IF(IW59&gt;19,IW59-19,0)*1+IF(IW59&gt;20,IW59-20,0)*1</f>
        <v>0</v>
      </c>
      <c r="JA59" s="243">
        <f t="shared" si="632"/>
        <v>86.769230769230802</v>
      </c>
      <c r="JB59" s="218">
        <f t="shared" si="633"/>
        <v>0</v>
      </c>
      <c r="JE59" s="148"/>
    </row>
    <row r="60" spans="2:265" hidden="1" outlineLevel="2">
      <c r="B60" s="148">
        <v>4</v>
      </c>
      <c r="C60" s="303" t="e">
        <f>VLOOKUP(AF60,Attribute!C:T,1,FALSE)</f>
        <v>#N/A</v>
      </c>
      <c r="D60" s="167" t="s">
        <v>87</v>
      </c>
      <c r="E60" s="125" t="s">
        <v>132</v>
      </c>
      <c r="F60" s="114"/>
      <c r="G60" s="113">
        <f>Konvention_1master-KLmaster</f>
        <v>12</v>
      </c>
      <c r="H60" s="113">
        <f>Konvention_1master-INmaster</f>
        <v>12</v>
      </c>
      <c r="I60" s="113">
        <f>Konvention_1master-CHmaster</f>
        <v>12</v>
      </c>
      <c r="J60" s="113"/>
      <c r="K60" s="113"/>
      <c r="L60" s="113"/>
      <c r="M60" s="119"/>
      <c r="N60" s="222">
        <f t="shared" si="518"/>
        <v>12</v>
      </c>
      <c r="O60" s="223">
        <f t="shared" si="519"/>
        <v>24</v>
      </c>
      <c r="P60" s="224">
        <f t="shared" si="520"/>
        <v>36</v>
      </c>
      <c r="Q60" s="237">
        <f t="shared" si="521"/>
        <v>2304</v>
      </c>
      <c r="R60" s="113">
        <f>G60*H60*CHmaster+G60*INmaster*I60+KLmaster*H60*I60</f>
        <v>3456</v>
      </c>
      <c r="S60" s="224">
        <f t="shared" si="522"/>
        <v>1728</v>
      </c>
      <c r="T60" s="242">
        <f t="shared" si="634"/>
        <v>7488</v>
      </c>
      <c r="U60" s="222">
        <f t="shared" si="523"/>
        <v>3.6923076923076925</v>
      </c>
      <c r="V60" s="223">
        <f t="shared" si="524"/>
        <v>11.076923076923077</v>
      </c>
      <c r="W60" s="243">
        <f t="shared" si="525"/>
        <v>8.3076923076923084</v>
      </c>
      <c r="X60" s="218">
        <f t="shared" si="526"/>
        <v>23.07692307692308</v>
      </c>
      <c r="Y60" s="252">
        <v>0</v>
      </c>
      <c r="Z60" s="198">
        <f t="shared" si="527"/>
        <v>23.07692307692308</v>
      </c>
      <c r="AA60" s="125">
        <f t="shared" ref="AA60:AB63" si="643">IF(X60&gt;0,X60,0)*2+IF(X60&gt;12,X60-12,0)*2+IF(X60&gt;13,X60-13,0)*2+IF(X60&gt;14,X60-14,0)*2+IF(X60&gt;15,X60-15,0)*2+IF(X60&gt;16,X60-16,0)*2+IF(X60&gt;17,X60-17,0)*2+IF(X60&gt;18,X60-18,0)*2+IF(X60&gt;19,X60-19,0)*2+IF(X60&gt;20,X60-20,0)*2</f>
        <v>173.5384615384616</v>
      </c>
      <c r="AB60" s="160">
        <f t="shared" si="643"/>
        <v>0</v>
      </c>
      <c r="AC60" s="127">
        <f t="shared" si="528"/>
        <v>173.5384615384616</v>
      </c>
      <c r="AD60" s="125">
        <f t="shared" si="529"/>
        <v>0</v>
      </c>
      <c r="AF60" s="163" t="s">
        <v>52</v>
      </c>
      <c r="AG60" s="127" t="s">
        <v>87</v>
      </c>
      <c r="AH60" s="125" t="s">
        <v>132</v>
      </c>
      <c r="AI60" s="114"/>
      <c r="AJ60" s="113">
        <f>Konvention_1slave-KLslave</f>
        <v>12</v>
      </c>
      <c r="AK60" s="113">
        <f>Konvention_1slave-INslave</f>
        <v>12</v>
      </c>
      <c r="AL60" s="113">
        <f>Konvention_1slave-CHslave</f>
        <v>12</v>
      </c>
      <c r="AM60" s="113"/>
      <c r="AN60" s="113"/>
      <c r="AO60" s="113"/>
      <c r="AP60" s="119"/>
      <c r="AQ60" s="89">
        <f t="shared" si="530"/>
        <v>12</v>
      </c>
      <c r="AR60" s="47">
        <f t="shared" si="531"/>
        <v>24</v>
      </c>
      <c r="AS60" s="119">
        <f t="shared" si="532"/>
        <v>36</v>
      </c>
      <c r="AT60" s="114">
        <f t="shared" si="533"/>
        <v>2304</v>
      </c>
      <c r="AU60" s="113">
        <f>AJ60*AK60*CHslave+AJ60*INslave*AL60+KLslave*AK60*AL60</f>
        <v>3456</v>
      </c>
      <c r="AV60" s="119">
        <f t="shared" si="534"/>
        <v>1728</v>
      </c>
      <c r="AW60" s="160">
        <f t="shared" si="635"/>
        <v>7488</v>
      </c>
      <c r="AX60" s="89">
        <f t="shared" si="535"/>
        <v>3.6923076923076925</v>
      </c>
      <c r="AY60" s="47">
        <f t="shared" si="536"/>
        <v>11.076923076923077</v>
      </c>
      <c r="AZ60" s="127">
        <f t="shared" si="537"/>
        <v>8.3076923076923084</v>
      </c>
      <c r="BA60" s="125">
        <f t="shared" si="538"/>
        <v>23.07692307692308</v>
      </c>
      <c r="BB60" s="165">
        <f t="shared" si="539"/>
        <v>0</v>
      </c>
      <c r="BC60" s="198">
        <f t="shared" si="540"/>
        <v>23.07692307692308</v>
      </c>
      <c r="BD60" s="125">
        <f t="shared" ref="BD60:BE63" si="644">IF(BA60&gt;0,BA60,0)*2+IF(BA60&gt;12,BA60-12,0)*2+IF(BA60&gt;13,BA60-13,0)*2+IF(BA60&gt;14,BA60-14,0)*2+IF(BA60&gt;15,BA60-15,0)*2+IF(BA60&gt;16,BA60-16,0)*2+IF(BA60&gt;17,BA60-17,0)*2+IF(BA60&gt;18,BA60-18,0)*2+IF(BA60&gt;19,BA60-19,0)*2+IF(BA60&gt;20,BA60-20,0)*2</f>
        <v>173.5384615384616</v>
      </c>
      <c r="BE60" s="160">
        <f t="shared" si="644"/>
        <v>0</v>
      </c>
      <c r="BF60" s="243">
        <f t="shared" si="541"/>
        <v>173.5384615384616</v>
      </c>
      <c r="BG60" s="218">
        <f t="shared" si="542"/>
        <v>0</v>
      </c>
      <c r="BI60" s="303" t="s">
        <v>52</v>
      </c>
      <c r="BJ60" s="243" t="s">
        <v>87</v>
      </c>
      <c r="BK60" s="218" t="s">
        <v>132</v>
      </c>
      <c r="BL60" s="237"/>
      <c r="BM60" s="234">
        <f>Konvention_1slave-KLslave_KL</f>
        <v>11</v>
      </c>
      <c r="BN60" s="234">
        <f>Konvention_1slave-INslave</f>
        <v>12</v>
      </c>
      <c r="BO60" s="234">
        <f>Konvention_1slave-CHslave</f>
        <v>12</v>
      </c>
      <c r="BP60" s="234"/>
      <c r="BQ60" s="234"/>
      <c r="BR60" s="234"/>
      <c r="BS60" s="224"/>
      <c r="BT60" s="222">
        <f t="shared" si="543"/>
        <v>11.666666666666666</v>
      </c>
      <c r="BU60" s="223">
        <f t="shared" si="544"/>
        <v>23.333333333333332</v>
      </c>
      <c r="BV60" s="224">
        <f t="shared" si="545"/>
        <v>35</v>
      </c>
      <c r="BW60" s="237">
        <f t="shared" si="546"/>
        <v>2432</v>
      </c>
      <c r="BX60" s="234">
        <f>BM60*BN60*CHslave+BM60*INslave*BO60+KLslave_KL*BN60*BO60</f>
        <v>3408</v>
      </c>
      <c r="BY60" s="224">
        <f t="shared" si="547"/>
        <v>1584</v>
      </c>
      <c r="BZ60" s="242">
        <f t="shared" si="636"/>
        <v>7424</v>
      </c>
      <c r="CA60" s="222">
        <f t="shared" si="548"/>
        <v>3.8218390804597702</v>
      </c>
      <c r="CB60" s="223">
        <f t="shared" si="549"/>
        <v>10.711206896551724</v>
      </c>
      <c r="CC60" s="243">
        <f t="shared" si="550"/>
        <v>7.4676724137931032</v>
      </c>
      <c r="CD60" s="218">
        <f t="shared" si="551"/>
        <v>22.000718390804597</v>
      </c>
      <c r="CE60" s="252">
        <f t="shared" si="552"/>
        <v>0</v>
      </c>
      <c r="CF60" s="309">
        <f t="shared" si="553"/>
        <v>22.000718390804597</v>
      </c>
      <c r="CG60" s="218">
        <f t="shared" ref="CG60:CH63" si="645">IF(CD60&gt;0,CD60,0)*2+IF(CD60&gt;12,CD60-12,0)*2+IF(CD60&gt;13,CD60-13,0)*2+IF(CD60&gt;14,CD60-14,0)*2+IF(CD60&gt;15,CD60-15,0)*2+IF(CD60&gt;16,CD60-16,0)*2+IF(CD60&gt;17,CD60-17,0)*2+IF(CD60&gt;18,CD60-18,0)*2+IF(CD60&gt;19,CD60-19,0)*2+IF(CD60&gt;20,CD60-20,0)*2</f>
        <v>152.01436781609189</v>
      </c>
      <c r="CH60" s="242">
        <f t="shared" si="645"/>
        <v>0</v>
      </c>
      <c r="CI60" s="243">
        <f t="shared" si="554"/>
        <v>152.01436781609189</v>
      </c>
      <c r="CJ60" s="218">
        <f t="shared" si="555"/>
        <v>0</v>
      </c>
      <c r="CL60" s="303" t="s">
        <v>52</v>
      </c>
      <c r="CM60" s="243" t="s">
        <v>87</v>
      </c>
      <c r="CN60" s="218" t="s">
        <v>132</v>
      </c>
      <c r="CO60" s="237"/>
      <c r="CP60" s="234">
        <f>Konvention_1slave-KLslave</f>
        <v>12</v>
      </c>
      <c r="CQ60" s="234">
        <f>Konvention_1slave-INslave_IN</f>
        <v>11</v>
      </c>
      <c r="CR60" s="234">
        <f>Konvention_1slave-CHslave</f>
        <v>12</v>
      </c>
      <c r="CS60" s="234"/>
      <c r="CT60" s="234"/>
      <c r="CU60" s="234"/>
      <c r="CV60" s="224"/>
      <c r="CW60" s="222">
        <f t="shared" si="556"/>
        <v>11.666666666666666</v>
      </c>
      <c r="CX60" s="223">
        <f t="shared" si="557"/>
        <v>23.333333333333332</v>
      </c>
      <c r="CY60" s="224">
        <f t="shared" si="558"/>
        <v>35</v>
      </c>
      <c r="CZ60" s="237">
        <f t="shared" si="559"/>
        <v>2432</v>
      </c>
      <c r="DA60" s="234">
        <f>CP60*CQ60*CHslave+CP60*INslave_IN*CR60+KLslave*CQ60*CR60</f>
        <v>3408</v>
      </c>
      <c r="DB60" s="224">
        <f t="shared" si="560"/>
        <v>1584</v>
      </c>
      <c r="DC60" s="242">
        <f t="shared" si="637"/>
        <v>7424</v>
      </c>
      <c r="DD60" s="222">
        <f t="shared" si="561"/>
        <v>3.8218390804597702</v>
      </c>
      <c r="DE60" s="223">
        <f t="shared" si="562"/>
        <v>10.711206896551724</v>
      </c>
      <c r="DF60" s="243">
        <f t="shared" si="563"/>
        <v>7.4676724137931032</v>
      </c>
      <c r="DG60" s="218">
        <f t="shared" si="564"/>
        <v>22.000718390804597</v>
      </c>
      <c r="DH60" s="252">
        <f t="shared" si="565"/>
        <v>0</v>
      </c>
      <c r="DI60" s="309">
        <f t="shared" si="566"/>
        <v>22.000718390804597</v>
      </c>
      <c r="DJ60" s="218">
        <f t="shared" ref="DJ60:DK63" si="646">IF(DG60&gt;0,DG60,0)*2+IF(DG60&gt;12,DG60-12,0)*2+IF(DG60&gt;13,DG60-13,0)*2+IF(DG60&gt;14,DG60-14,0)*2+IF(DG60&gt;15,DG60-15,0)*2+IF(DG60&gt;16,DG60-16,0)*2+IF(DG60&gt;17,DG60-17,0)*2+IF(DG60&gt;18,DG60-18,0)*2+IF(DG60&gt;19,DG60-19,0)*2+IF(DG60&gt;20,DG60-20,0)*2</f>
        <v>152.01436781609189</v>
      </c>
      <c r="DK60" s="242">
        <f t="shared" si="646"/>
        <v>0</v>
      </c>
      <c r="DL60" s="243">
        <f t="shared" si="567"/>
        <v>152.01436781609189</v>
      </c>
      <c r="DM60" s="218">
        <f t="shared" si="568"/>
        <v>0</v>
      </c>
      <c r="DO60" s="303" t="s">
        <v>52</v>
      </c>
      <c r="DP60" s="243" t="s">
        <v>87</v>
      </c>
      <c r="DQ60" s="218" t="s">
        <v>132</v>
      </c>
      <c r="DR60" s="237"/>
      <c r="DS60" s="234">
        <f>Konvention_1slave-KLslave</f>
        <v>12</v>
      </c>
      <c r="DT60" s="234">
        <f>Konvention_1slave-INslave</f>
        <v>12</v>
      </c>
      <c r="DU60" s="234">
        <f>Konvention_1slave-CHslave_CH</f>
        <v>11</v>
      </c>
      <c r="DV60" s="234"/>
      <c r="DW60" s="234"/>
      <c r="DX60" s="234"/>
      <c r="DY60" s="224"/>
      <c r="DZ60" s="222">
        <f t="shared" si="569"/>
        <v>11.666666666666666</v>
      </c>
      <c r="EA60" s="223">
        <f t="shared" si="570"/>
        <v>23.333333333333332</v>
      </c>
      <c r="EB60" s="224">
        <f t="shared" si="571"/>
        <v>35</v>
      </c>
      <c r="EC60" s="237">
        <f t="shared" si="572"/>
        <v>2432</v>
      </c>
      <c r="ED60" s="234">
        <f>DS60*DT60*CHslave_CH+DS60*INslave*DU60+KLslave*DT60*DU60</f>
        <v>3408</v>
      </c>
      <c r="EE60" s="224">
        <f t="shared" si="573"/>
        <v>1584</v>
      </c>
      <c r="EF60" s="242">
        <f t="shared" si="638"/>
        <v>7424</v>
      </c>
      <c r="EG60" s="222">
        <f t="shared" si="574"/>
        <v>3.8218390804597702</v>
      </c>
      <c r="EH60" s="223">
        <f t="shared" si="575"/>
        <v>10.711206896551724</v>
      </c>
      <c r="EI60" s="243">
        <f t="shared" si="576"/>
        <v>7.4676724137931032</v>
      </c>
      <c r="EJ60" s="218">
        <f t="shared" si="577"/>
        <v>22.000718390804597</v>
      </c>
      <c r="EK60" s="252">
        <f t="shared" si="578"/>
        <v>0</v>
      </c>
      <c r="EL60" s="309">
        <f t="shared" si="579"/>
        <v>22.000718390804597</v>
      </c>
      <c r="EM60" s="218">
        <f t="shared" ref="EM60:EN63" si="647">IF(EJ60&gt;0,EJ60,0)*2+IF(EJ60&gt;12,EJ60-12,0)*2+IF(EJ60&gt;13,EJ60-13,0)*2+IF(EJ60&gt;14,EJ60-14,0)*2+IF(EJ60&gt;15,EJ60-15,0)*2+IF(EJ60&gt;16,EJ60-16,0)*2+IF(EJ60&gt;17,EJ60-17,0)*2+IF(EJ60&gt;18,EJ60-18,0)*2+IF(EJ60&gt;19,EJ60-19,0)*2+IF(EJ60&gt;20,EJ60-20,0)*2</f>
        <v>152.01436781609189</v>
      </c>
      <c r="EN60" s="242">
        <f t="shared" si="647"/>
        <v>0</v>
      </c>
      <c r="EO60" s="243">
        <f t="shared" si="580"/>
        <v>152.01436781609189</v>
      </c>
      <c r="EP60" s="218">
        <f t="shared" si="581"/>
        <v>0</v>
      </c>
      <c r="ER60" s="303" t="s">
        <v>52</v>
      </c>
      <c r="ES60" s="243" t="s">
        <v>87</v>
      </c>
      <c r="ET60" s="218" t="s">
        <v>132</v>
      </c>
      <c r="EU60" s="237"/>
      <c r="EV60" s="234">
        <f>Konvention_1slave-KLslave</f>
        <v>12</v>
      </c>
      <c r="EW60" s="234">
        <f>Konvention_1slave-INslave</f>
        <v>12</v>
      </c>
      <c r="EX60" s="234">
        <f>Konvention_1slave-CHslave</f>
        <v>12</v>
      </c>
      <c r="EY60" s="234"/>
      <c r="EZ60" s="234"/>
      <c r="FA60" s="234"/>
      <c r="FB60" s="224"/>
      <c r="FC60" s="222">
        <f t="shared" si="582"/>
        <v>12</v>
      </c>
      <c r="FD60" s="223">
        <f t="shared" si="583"/>
        <v>24</v>
      </c>
      <c r="FE60" s="224">
        <f t="shared" si="584"/>
        <v>36</v>
      </c>
      <c r="FF60" s="237">
        <f t="shared" si="585"/>
        <v>2304</v>
      </c>
      <c r="FG60" s="234">
        <f>EV60*EW60*CHslave+EV60*INslave*EX60+KLslave*EW60*EX60</f>
        <v>3456</v>
      </c>
      <c r="FH60" s="224">
        <f t="shared" si="586"/>
        <v>1728</v>
      </c>
      <c r="FI60" s="242">
        <f t="shared" si="639"/>
        <v>7488</v>
      </c>
      <c r="FJ60" s="222">
        <f t="shared" si="587"/>
        <v>3.6923076923076925</v>
      </c>
      <c r="FK60" s="223">
        <f t="shared" si="588"/>
        <v>11.076923076923077</v>
      </c>
      <c r="FL60" s="243">
        <f t="shared" si="589"/>
        <v>8.3076923076923084</v>
      </c>
      <c r="FM60" s="218">
        <f t="shared" si="590"/>
        <v>23.07692307692308</v>
      </c>
      <c r="FN60" s="252">
        <f t="shared" si="591"/>
        <v>0</v>
      </c>
      <c r="FO60" s="309">
        <f t="shared" si="592"/>
        <v>23.07692307692308</v>
      </c>
      <c r="FP60" s="218">
        <f t="shared" ref="FP60:FQ63" si="648">IF(FM60&gt;0,FM60,0)*2+IF(FM60&gt;12,FM60-12,0)*2+IF(FM60&gt;13,FM60-13,0)*2+IF(FM60&gt;14,FM60-14,0)*2+IF(FM60&gt;15,FM60-15,0)*2+IF(FM60&gt;16,FM60-16,0)*2+IF(FM60&gt;17,FM60-17,0)*2+IF(FM60&gt;18,FM60-18,0)*2+IF(FM60&gt;19,FM60-19,0)*2+IF(FM60&gt;20,FM60-20,0)*2</f>
        <v>173.5384615384616</v>
      </c>
      <c r="FQ60" s="242">
        <f t="shared" si="648"/>
        <v>0</v>
      </c>
      <c r="FR60" s="243">
        <f t="shared" si="593"/>
        <v>173.5384615384616</v>
      </c>
      <c r="FS60" s="218">
        <f t="shared" si="594"/>
        <v>0</v>
      </c>
      <c r="FU60" s="303" t="s">
        <v>52</v>
      </c>
      <c r="FV60" s="243" t="s">
        <v>87</v>
      </c>
      <c r="FW60" s="218" t="s">
        <v>132</v>
      </c>
      <c r="FX60" s="237"/>
      <c r="FY60" s="234">
        <f>Konvention_1slave-KLslave</f>
        <v>12</v>
      </c>
      <c r="FZ60" s="234">
        <f>Konvention_1slave-INslave</f>
        <v>12</v>
      </c>
      <c r="GA60" s="234">
        <f>Konvention_1slave-CHslave</f>
        <v>12</v>
      </c>
      <c r="GB60" s="234"/>
      <c r="GC60" s="234"/>
      <c r="GD60" s="234"/>
      <c r="GE60" s="224"/>
      <c r="GF60" s="222">
        <f t="shared" si="595"/>
        <v>12</v>
      </c>
      <c r="GG60" s="223">
        <f t="shared" si="596"/>
        <v>24</v>
      </c>
      <c r="GH60" s="224">
        <f t="shared" si="597"/>
        <v>36</v>
      </c>
      <c r="GI60" s="237">
        <f t="shared" si="598"/>
        <v>2304</v>
      </c>
      <c r="GJ60" s="234">
        <f>FY60*FZ60*CHslave+FY60*INslave*GA60+KLslave*FZ60*GA60</f>
        <v>3456</v>
      </c>
      <c r="GK60" s="224">
        <f t="shared" si="599"/>
        <v>1728</v>
      </c>
      <c r="GL60" s="242">
        <f t="shared" si="640"/>
        <v>7488</v>
      </c>
      <c r="GM60" s="222">
        <f t="shared" si="600"/>
        <v>3.6923076923076925</v>
      </c>
      <c r="GN60" s="223">
        <f t="shared" si="601"/>
        <v>11.076923076923077</v>
      </c>
      <c r="GO60" s="243">
        <f t="shared" si="602"/>
        <v>8.3076923076923084</v>
      </c>
      <c r="GP60" s="218">
        <f t="shared" si="603"/>
        <v>23.07692307692308</v>
      </c>
      <c r="GQ60" s="252">
        <f t="shared" si="604"/>
        <v>0</v>
      </c>
      <c r="GR60" s="309">
        <f t="shared" si="605"/>
        <v>23.07692307692308</v>
      </c>
      <c r="GS60" s="218">
        <f t="shared" ref="GS60:GT63" si="649">IF(GP60&gt;0,GP60,0)*2+IF(GP60&gt;12,GP60-12,0)*2+IF(GP60&gt;13,GP60-13,0)*2+IF(GP60&gt;14,GP60-14,0)*2+IF(GP60&gt;15,GP60-15,0)*2+IF(GP60&gt;16,GP60-16,0)*2+IF(GP60&gt;17,GP60-17,0)*2+IF(GP60&gt;18,GP60-18,0)*2+IF(GP60&gt;19,GP60-19,0)*2+IF(GP60&gt;20,GP60-20,0)*2</f>
        <v>173.5384615384616</v>
      </c>
      <c r="GT60" s="242">
        <f t="shared" si="649"/>
        <v>0</v>
      </c>
      <c r="GU60" s="243">
        <f t="shared" si="606"/>
        <v>173.5384615384616</v>
      </c>
      <c r="GV60" s="218">
        <f t="shared" si="607"/>
        <v>0</v>
      </c>
      <c r="GX60" s="303" t="s">
        <v>52</v>
      </c>
      <c r="GY60" s="243" t="s">
        <v>87</v>
      </c>
      <c r="GZ60" s="218" t="s">
        <v>132</v>
      </c>
      <c r="HA60" s="237"/>
      <c r="HB60" s="234">
        <f>Konvention_1slave-KLslave</f>
        <v>12</v>
      </c>
      <c r="HC60" s="234">
        <f>Konvention_1slave-INslave</f>
        <v>12</v>
      </c>
      <c r="HD60" s="234">
        <f>Konvention_1slave-CHslave</f>
        <v>12</v>
      </c>
      <c r="HE60" s="234"/>
      <c r="HF60" s="234"/>
      <c r="HG60" s="234"/>
      <c r="HH60" s="224"/>
      <c r="HI60" s="222">
        <f t="shared" si="608"/>
        <v>12</v>
      </c>
      <c r="HJ60" s="223">
        <f t="shared" si="609"/>
        <v>24</v>
      </c>
      <c r="HK60" s="224">
        <f t="shared" si="610"/>
        <v>36</v>
      </c>
      <c r="HL60" s="237">
        <f t="shared" si="611"/>
        <v>2304</v>
      </c>
      <c r="HM60" s="234">
        <f>HB60*HC60*CHslave+HB60*INslave*HD60+KLslave*HC60*HD60</f>
        <v>3456</v>
      </c>
      <c r="HN60" s="224">
        <f t="shared" si="612"/>
        <v>1728</v>
      </c>
      <c r="HO60" s="242">
        <f t="shared" si="641"/>
        <v>7488</v>
      </c>
      <c r="HP60" s="222">
        <f t="shared" si="613"/>
        <v>3.6923076923076925</v>
      </c>
      <c r="HQ60" s="223">
        <f t="shared" si="614"/>
        <v>11.076923076923077</v>
      </c>
      <c r="HR60" s="243">
        <f t="shared" si="615"/>
        <v>8.3076923076923084</v>
      </c>
      <c r="HS60" s="218">
        <f t="shared" si="616"/>
        <v>23.07692307692308</v>
      </c>
      <c r="HT60" s="252">
        <f t="shared" si="617"/>
        <v>0</v>
      </c>
      <c r="HU60" s="309">
        <f t="shared" si="618"/>
        <v>23.07692307692308</v>
      </c>
      <c r="HV60" s="218">
        <f t="shared" ref="HV60:HW63" si="650">IF(HS60&gt;0,HS60,0)*2+IF(HS60&gt;12,HS60-12,0)*2+IF(HS60&gt;13,HS60-13,0)*2+IF(HS60&gt;14,HS60-14,0)*2+IF(HS60&gt;15,HS60-15,0)*2+IF(HS60&gt;16,HS60-16,0)*2+IF(HS60&gt;17,HS60-17,0)*2+IF(HS60&gt;18,HS60-18,0)*2+IF(HS60&gt;19,HS60-19,0)*2+IF(HS60&gt;20,HS60-20,0)*2</f>
        <v>173.5384615384616</v>
      </c>
      <c r="HW60" s="242">
        <f t="shared" si="650"/>
        <v>0</v>
      </c>
      <c r="HX60" s="243">
        <f t="shared" si="619"/>
        <v>173.5384615384616</v>
      </c>
      <c r="HY60" s="218">
        <f t="shared" si="620"/>
        <v>0</v>
      </c>
      <c r="IA60" s="303" t="s">
        <v>52</v>
      </c>
      <c r="IB60" s="243" t="s">
        <v>87</v>
      </c>
      <c r="IC60" s="218" t="s">
        <v>132</v>
      </c>
      <c r="ID60" s="237"/>
      <c r="IE60" s="234">
        <f>Konvention_1slave-KLslave</f>
        <v>12</v>
      </c>
      <c r="IF60" s="234">
        <f>Konvention_1slave-INslave</f>
        <v>12</v>
      </c>
      <c r="IG60" s="234">
        <f>Konvention_1slave-CHslave</f>
        <v>12</v>
      </c>
      <c r="IH60" s="234"/>
      <c r="II60" s="234"/>
      <c r="IJ60" s="234"/>
      <c r="IK60" s="224"/>
      <c r="IL60" s="222">
        <f t="shared" si="621"/>
        <v>12</v>
      </c>
      <c r="IM60" s="223">
        <f t="shared" si="622"/>
        <v>24</v>
      </c>
      <c r="IN60" s="224">
        <f t="shared" si="623"/>
        <v>36</v>
      </c>
      <c r="IO60" s="237">
        <f t="shared" si="624"/>
        <v>2304</v>
      </c>
      <c r="IP60" s="234">
        <f>IE60*IF60*CHslave+IE60*INslave*IG60+KLslave*IF60*IG60</f>
        <v>3456</v>
      </c>
      <c r="IQ60" s="224">
        <f t="shared" si="625"/>
        <v>1728</v>
      </c>
      <c r="IR60" s="242">
        <f t="shared" si="642"/>
        <v>7488</v>
      </c>
      <c r="IS60" s="222">
        <f t="shared" si="626"/>
        <v>3.6923076923076925</v>
      </c>
      <c r="IT60" s="223">
        <f t="shared" si="627"/>
        <v>11.076923076923077</v>
      </c>
      <c r="IU60" s="243">
        <f t="shared" si="628"/>
        <v>8.3076923076923084</v>
      </c>
      <c r="IV60" s="218">
        <f t="shared" si="629"/>
        <v>23.07692307692308</v>
      </c>
      <c r="IW60" s="252">
        <f t="shared" si="630"/>
        <v>0</v>
      </c>
      <c r="IX60" s="309">
        <f t="shared" si="631"/>
        <v>23.07692307692308</v>
      </c>
      <c r="IY60" s="218">
        <f t="shared" ref="IY60:IZ63" si="651">IF(IV60&gt;0,IV60,0)*2+IF(IV60&gt;12,IV60-12,0)*2+IF(IV60&gt;13,IV60-13,0)*2+IF(IV60&gt;14,IV60-14,0)*2+IF(IV60&gt;15,IV60-15,0)*2+IF(IV60&gt;16,IV60-16,0)*2+IF(IV60&gt;17,IV60-17,0)*2+IF(IV60&gt;18,IV60-18,0)*2+IF(IV60&gt;19,IV60-19,0)*2+IF(IV60&gt;20,IV60-20,0)*2</f>
        <v>173.5384615384616</v>
      </c>
      <c r="IZ60" s="242">
        <f t="shared" si="651"/>
        <v>0</v>
      </c>
      <c r="JA60" s="243">
        <f t="shared" si="632"/>
        <v>173.5384615384616</v>
      </c>
      <c r="JB60" s="218">
        <f t="shared" si="633"/>
        <v>0</v>
      </c>
      <c r="JE60" s="148"/>
    </row>
    <row r="61" spans="2:265" hidden="1" outlineLevel="2">
      <c r="B61" s="148">
        <v>5</v>
      </c>
      <c r="C61" s="303" t="e">
        <f>VLOOKUP(AF61,Attribute!C:T,1,FALSE)</f>
        <v>#N/A</v>
      </c>
      <c r="D61" s="167" t="s">
        <v>95</v>
      </c>
      <c r="E61" s="125" t="s">
        <v>132</v>
      </c>
      <c r="F61" s="114">
        <f>Konvention_1master-MUmaster</f>
        <v>12</v>
      </c>
      <c r="G61" s="113">
        <f>Konvention_1master-KLmaster</f>
        <v>12</v>
      </c>
      <c r="H61" s="113">
        <f>Konvention_1master-INmaster</f>
        <v>12</v>
      </c>
      <c r="I61" s="113"/>
      <c r="J61" s="113"/>
      <c r="K61" s="113"/>
      <c r="L61" s="113"/>
      <c r="M61" s="119"/>
      <c r="N61" s="222">
        <f t="shared" si="518"/>
        <v>12</v>
      </c>
      <c r="O61" s="223">
        <f t="shared" si="519"/>
        <v>24</v>
      </c>
      <c r="P61" s="224">
        <f t="shared" si="520"/>
        <v>36</v>
      </c>
      <c r="Q61" s="237">
        <f t="shared" si="521"/>
        <v>2304</v>
      </c>
      <c r="R61" s="113">
        <f>F61*G61*INmaster+F61*KLmaster*H61+MUmaster*G61*H61</f>
        <v>3456</v>
      </c>
      <c r="S61" s="224">
        <f t="shared" si="522"/>
        <v>1728</v>
      </c>
      <c r="T61" s="242">
        <f t="shared" si="634"/>
        <v>7488</v>
      </c>
      <c r="U61" s="222">
        <f t="shared" si="523"/>
        <v>3.6923076923076925</v>
      </c>
      <c r="V61" s="223">
        <f t="shared" si="524"/>
        <v>11.076923076923077</v>
      </c>
      <c r="W61" s="243">
        <f t="shared" si="525"/>
        <v>8.3076923076923084</v>
      </c>
      <c r="X61" s="218">
        <f t="shared" si="526"/>
        <v>23.07692307692308</v>
      </c>
      <c r="Y61" s="252">
        <v>0</v>
      </c>
      <c r="Z61" s="198">
        <f t="shared" si="527"/>
        <v>23.07692307692308</v>
      </c>
      <c r="AA61" s="125">
        <f t="shared" si="643"/>
        <v>173.5384615384616</v>
      </c>
      <c r="AB61" s="160">
        <f t="shared" si="643"/>
        <v>0</v>
      </c>
      <c r="AC61" s="127">
        <f t="shared" si="528"/>
        <v>173.5384615384616</v>
      </c>
      <c r="AD61" s="125">
        <f t="shared" si="529"/>
        <v>0</v>
      </c>
      <c r="AF61" s="163" t="s">
        <v>64</v>
      </c>
      <c r="AG61" s="127" t="s">
        <v>95</v>
      </c>
      <c r="AH61" s="125" t="s">
        <v>132</v>
      </c>
      <c r="AI61" s="114">
        <f>Konvention_1slave-MUslave_MU</f>
        <v>11</v>
      </c>
      <c r="AJ61" s="113">
        <f>Konvention_1slave-KLslave</f>
        <v>12</v>
      </c>
      <c r="AK61" s="113">
        <f>Konvention_1slave-INslave</f>
        <v>12</v>
      </c>
      <c r="AL61" s="113"/>
      <c r="AM61" s="113"/>
      <c r="AN61" s="113"/>
      <c r="AO61" s="113"/>
      <c r="AP61" s="119"/>
      <c r="AQ61" s="89">
        <f t="shared" si="530"/>
        <v>11.666666666666666</v>
      </c>
      <c r="AR61" s="47">
        <f t="shared" si="531"/>
        <v>23.333333333333332</v>
      </c>
      <c r="AS61" s="119">
        <f t="shared" si="532"/>
        <v>35</v>
      </c>
      <c r="AT61" s="114">
        <f t="shared" si="533"/>
        <v>2432</v>
      </c>
      <c r="AU61" s="113">
        <f>AI61*AJ61*INslave+AI61*KLslave*AK61+MUslave_MU*AJ61*AK61</f>
        <v>3408</v>
      </c>
      <c r="AV61" s="119">
        <f t="shared" si="534"/>
        <v>1584</v>
      </c>
      <c r="AW61" s="160">
        <f t="shared" si="635"/>
        <v>7424</v>
      </c>
      <c r="AX61" s="89">
        <f t="shared" si="535"/>
        <v>3.8218390804597702</v>
      </c>
      <c r="AY61" s="47">
        <f t="shared" si="536"/>
        <v>10.711206896551724</v>
      </c>
      <c r="AZ61" s="127">
        <f t="shared" si="537"/>
        <v>7.4676724137931032</v>
      </c>
      <c r="BA61" s="125">
        <f t="shared" si="538"/>
        <v>22.000718390804597</v>
      </c>
      <c r="BB61" s="165">
        <f t="shared" si="539"/>
        <v>0</v>
      </c>
      <c r="BC61" s="198">
        <f t="shared" si="540"/>
        <v>22.000718390804597</v>
      </c>
      <c r="BD61" s="125">
        <f t="shared" si="644"/>
        <v>152.01436781609189</v>
      </c>
      <c r="BE61" s="160">
        <f t="shared" si="644"/>
        <v>0</v>
      </c>
      <c r="BF61" s="243">
        <f t="shared" si="541"/>
        <v>152.01436781609189</v>
      </c>
      <c r="BG61" s="218">
        <f t="shared" si="542"/>
        <v>0</v>
      </c>
      <c r="BI61" s="303" t="s">
        <v>64</v>
      </c>
      <c r="BJ61" s="243" t="s">
        <v>95</v>
      </c>
      <c r="BK61" s="218" t="s">
        <v>132</v>
      </c>
      <c r="BL61" s="237">
        <f>Konvention_1slave-MUslave</f>
        <v>12</v>
      </c>
      <c r="BM61" s="234">
        <f>Konvention_1slave-KLslave_KL</f>
        <v>11</v>
      </c>
      <c r="BN61" s="234">
        <f>Konvention_1slave-INslave</f>
        <v>12</v>
      </c>
      <c r="BO61" s="234"/>
      <c r="BP61" s="234"/>
      <c r="BQ61" s="234"/>
      <c r="BR61" s="234"/>
      <c r="BS61" s="224"/>
      <c r="BT61" s="222">
        <f t="shared" si="543"/>
        <v>11.666666666666666</v>
      </c>
      <c r="BU61" s="223">
        <f t="shared" si="544"/>
        <v>23.333333333333332</v>
      </c>
      <c r="BV61" s="224">
        <f t="shared" si="545"/>
        <v>35</v>
      </c>
      <c r="BW61" s="237">
        <f t="shared" si="546"/>
        <v>2432</v>
      </c>
      <c r="BX61" s="234">
        <f>BL61*BM61*INslave+BL61*KLslave_KL*BN61+MUslave*BM61*BN61</f>
        <v>3408</v>
      </c>
      <c r="BY61" s="224">
        <f t="shared" si="547"/>
        <v>1584</v>
      </c>
      <c r="BZ61" s="242">
        <f t="shared" si="636"/>
        <v>7424</v>
      </c>
      <c r="CA61" s="222">
        <f t="shared" si="548"/>
        <v>3.8218390804597702</v>
      </c>
      <c r="CB61" s="223">
        <f t="shared" si="549"/>
        <v>10.711206896551724</v>
      </c>
      <c r="CC61" s="243">
        <f t="shared" si="550"/>
        <v>7.4676724137931032</v>
      </c>
      <c r="CD61" s="218">
        <f t="shared" si="551"/>
        <v>22.000718390804597</v>
      </c>
      <c r="CE61" s="252">
        <f t="shared" si="552"/>
        <v>0</v>
      </c>
      <c r="CF61" s="309">
        <f t="shared" si="553"/>
        <v>22.000718390804597</v>
      </c>
      <c r="CG61" s="218">
        <f t="shared" si="645"/>
        <v>152.01436781609189</v>
      </c>
      <c r="CH61" s="242">
        <f t="shared" si="645"/>
        <v>0</v>
      </c>
      <c r="CI61" s="243">
        <f t="shared" si="554"/>
        <v>152.01436781609189</v>
      </c>
      <c r="CJ61" s="218">
        <f t="shared" si="555"/>
        <v>0</v>
      </c>
      <c r="CL61" s="303" t="s">
        <v>64</v>
      </c>
      <c r="CM61" s="243" t="s">
        <v>95</v>
      </c>
      <c r="CN61" s="218" t="s">
        <v>132</v>
      </c>
      <c r="CO61" s="237">
        <f>Konvention_1slave-MUslave</f>
        <v>12</v>
      </c>
      <c r="CP61" s="234">
        <f>Konvention_1slave-KLslave</f>
        <v>12</v>
      </c>
      <c r="CQ61" s="234">
        <f>Konvention_1slave-INslave_IN</f>
        <v>11</v>
      </c>
      <c r="CR61" s="234"/>
      <c r="CS61" s="234"/>
      <c r="CT61" s="234"/>
      <c r="CU61" s="234"/>
      <c r="CV61" s="224"/>
      <c r="CW61" s="222">
        <f t="shared" si="556"/>
        <v>11.666666666666666</v>
      </c>
      <c r="CX61" s="223">
        <f t="shared" si="557"/>
        <v>23.333333333333332</v>
      </c>
      <c r="CY61" s="224">
        <f t="shared" si="558"/>
        <v>35</v>
      </c>
      <c r="CZ61" s="237">
        <f t="shared" si="559"/>
        <v>2432</v>
      </c>
      <c r="DA61" s="234">
        <f>CO61*CP61*INslave_IN+CO61*KLslave*CQ61+MUslave*CP61*CQ61</f>
        <v>3408</v>
      </c>
      <c r="DB61" s="224">
        <f t="shared" si="560"/>
        <v>1584</v>
      </c>
      <c r="DC61" s="242">
        <f t="shared" si="637"/>
        <v>7424</v>
      </c>
      <c r="DD61" s="222">
        <f t="shared" si="561"/>
        <v>3.8218390804597702</v>
      </c>
      <c r="DE61" s="223">
        <f t="shared" si="562"/>
        <v>10.711206896551724</v>
      </c>
      <c r="DF61" s="243">
        <f t="shared" si="563"/>
        <v>7.4676724137931032</v>
      </c>
      <c r="DG61" s="218">
        <f t="shared" si="564"/>
        <v>22.000718390804597</v>
      </c>
      <c r="DH61" s="252">
        <f t="shared" si="565"/>
        <v>0</v>
      </c>
      <c r="DI61" s="309">
        <f t="shared" si="566"/>
        <v>22.000718390804597</v>
      </c>
      <c r="DJ61" s="218">
        <f t="shared" si="646"/>
        <v>152.01436781609189</v>
      </c>
      <c r="DK61" s="242">
        <f t="shared" si="646"/>
        <v>0</v>
      </c>
      <c r="DL61" s="243">
        <f t="shared" si="567"/>
        <v>152.01436781609189</v>
      </c>
      <c r="DM61" s="218">
        <f t="shared" si="568"/>
        <v>0</v>
      </c>
      <c r="DO61" s="303" t="s">
        <v>64</v>
      </c>
      <c r="DP61" s="243" t="s">
        <v>95</v>
      </c>
      <c r="DQ61" s="218" t="s">
        <v>132</v>
      </c>
      <c r="DR61" s="237">
        <f>Konvention_1slave-MUslave</f>
        <v>12</v>
      </c>
      <c r="DS61" s="234">
        <f>Konvention_1slave-KLslave</f>
        <v>12</v>
      </c>
      <c r="DT61" s="234">
        <f>Konvention_1slave-INslave</f>
        <v>12</v>
      </c>
      <c r="DU61" s="234"/>
      <c r="DV61" s="234"/>
      <c r="DW61" s="234"/>
      <c r="DX61" s="234"/>
      <c r="DY61" s="224"/>
      <c r="DZ61" s="222">
        <f t="shared" si="569"/>
        <v>12</v>
      </c>
      <c r="EA61" s="223">
        <f t="shared" si="570"/>
        <v>24</v>
      </c>
      <c r="EB61" s="224">
        <f t="shared" si="571"/>
        <v>36</v>
      </c>
      <c r="EC61" s="237">
        <f t="shared" si="572"/>
        <v>2304</v>
      </c>
      <c r="ED61" s="234">
        <f>DR61*DS61*INslave+DR61*KLslave*DT61+MUslave*DS61*DT61</f>
        <v>3456</v>
      </c>
      <c r="EE61" s="224">
        <f t="shared" si="573"/>
        <v>1728</v>
      </c>
      <c r="EF61" s="242">
        <f t="shared" si="638"/>
        <v>7488</v>
      </c>
      <c r="EG61" s="222">
        <f t="shared" si="574"/>
        <v>3.6923076923076925</v>
      </c>
      <c r="EH61" s="223">
        <f t="shared" si="575"/>
        <v>11.076923076923077</v>
      </c>
      <c r="EI61" s="243">
        <f t="shared" si="576"/>
        <v>8.3076923076923084</v>
      </c>
      <c r="EJ61" s="218">
        <f t="shared" si="577"/>
        <v>23.07692307692308</v>
      </c>
      <c r="EK61" s="252">
        <f t="shared" si="578"/>
        <v>0</v>
      </c>
      <c r="EL61" s="309">
        <f t="shared" si="579"/>
        <v>23.07692307692308</v>
      </c>
      <c r="EM61" s="218">
        <f t="shared" si="647"/>
        <v>173.5384615384616</v>
      </c>
      <c r="EN61" s="242">
        <f t="shared" si="647"/>
        <v>0</v>
      </c>
      <c r="EO61" s="243">
        <f t="shared" si="580"/>
        <v>173.5384615384616</v>
      </c>
      <c r="EP61" s="218">
        <f t="shared" si="581"/>
        <v>0</v>
      </c>
      <c r="ER61" s="303" t="s">
        <v>64</v>
      </c>
      <c r="ES61" s="243" t="s">
        <v>95</v>
      </c>
      <c r="ET61" s="218" t="s">
        <v>132</v>
      </c>
      <c r="EU61" s="237">
        <f>Konvention_1slave-MUslave</f>
        <v>12</v>
      </c>
      <c r="EV61" s="234">
        <f>Konvention_1slave-KLslave</f>
        <v>12</v>
      </c>
      <c r="EW61" s="234">
        <f>Konvention_1slave-INslave</f>
        <v>12</v>
      </c>
      <c r="EX61" s="234"/>
      <c r="EY61" s="234"/>
      <c r="EZ61" s="234"/>
      <c r="FA61" s="234"/>
      <c r="FB61" s="224"/>
      <c r="FC61" s="222">
        <f t="shared" si="582"/>
        <v>12</v>
      </c>
      <c r="FD61" s="223">
        <f t="shared" si="583"/>
        <v>24</v>
      </c>
      <c r="FE61" s="224">
        <f t="shared" si="584"/>
        <v>36</v>
      </c>
      <c r="FF61" s="237">
        <f t="shared" si="585"/>
        <v>2304</v>
      </c>
      <c r="FG61" s="234">
        <f>EU61*EV61*INslave+EU61*KLslave*EW61+MUslave*EV61*EW61</f>
        <v>3456</v>
      </c>
      <c r="FH61" s="224">
        <f t="shared" si="586"/>
        <v>1728</v>
      </c>
      <c r="FI61" s="242">
        <f t="shared" si="639"/>
        <v>7488</v>
      </c>
      <c r="FJ61" s="222">
        <f t="shared" si="587"/>
        <v>3.6923076923076925</v>
      </c>
      <c r="FK61" s="223">
        <f t="shared" si="588"/>
        <v>11.076923076923077</v>
      </c>
      <c r="FL61" s="243">
        <f t="shared" si="589"/>
        <v>8.3076923076923084</v>
      </c>
      <c r="FM61" s="218">
        <f t="shared" si="590"/>
        <v>23.07692307692308</v>
      </c>
      <c r="FN61" s="252">
        <f t="shared" si="591"/>
        <v>0</v>
      </c>
      <c r="FO61" s="309">
        <f t="shared" si="592"/>
        <v>23.07692307692308</v>
      </c>
      <c r="FP61" s="218">
        <f t="shared" si="648"/>
        <v>173.5384615384616</v>
      </c>
      <c r="FQ61" s="242">
        <f t="shared" si="648"/>
        <v>0</v>
      </c>
      <c r="FR61" s="243">
        <f t="shared" si="593"/>
        <v>173.5384615384616</v>
      </c>
      <c r="FS61" s="218">
        <f t="shared" si="594"/>
        <v>0</v>
      </c>
      <c r="FU61" s="303" t="s">
        <v>64</v>
      </c>
      <c r="FV61" s="243" t="s">
        <v>95</v>
      </c>
      <c r="FW61" s="218" t="s">
        <v>132</v>
      </c>
      <c r="FX61" s="237">
        <f>Konvention_1slave-MUslave</f>
        <v>12</v>
      </c>
      <c r="FY61" s="234">
        <f>Konvention_1slave-KLslave</f>
        <v>12</v>
      </c>
      <c r="FZ61" s="234">
        <f>Konvention_1slave-INslave</f>
        <v>12</v>
      </c>
      <c r="GA61" s="234"/>
      <c r="GB61" s="234"/>
      <c r="GC61" s="234"/>
      <c r="GD61" s="234"/>
      <c r="GE61" s="224"/>
      <c r="GF61" s="222">
        <f t="shared" si="595"/>
        <v>12</v>
      </c>
      <c r="GG61" s="223">
        <f t="shared" si="596"/>
        <v>24</v>
      </c>
      <c r="GH61" s="224">
        <f t="shared" si="597"/>
        <v>36</v>
      </c>
      <c r="GI61" s="237">
        <f t="shared" si="598"/>
        <v>2304</v>
      </c>
      <c r="GJ61" s="234">
        <f>FX61*FY61*INslave+FX61*KLslave*FZ61+MUslave*FY61*FZ61</f>
        <v>3456</v>
      </c>
      <c r="GK61" s="224">
        <f t="shared" si="599"/>
        <v>1728</v>
      </c>
      <c r="GL61" s="242">
        <f t="shared" si="640"/>
        <v>7488</v>
      </c>
      <c r="GM61" s="222">
        <f t="shared" si="600"/>
        <v>3.6923076923076925</v>
      </c>
      <c r="GN61" s="223">
        <f t="shared" si="601"/>
        <v>11.076923076923077</v>
      </c>
      <c r="GO61" s="243">
        <f t="shared" si="602"/>
        <v>8.3076923076923084</v>
      </c>
      <c r="GP61" s="218">
        <f t="shared" si="603"/>
        <v>23.07692307692308</v>
      </c>
      <c r="GQ61" s="252">
        <f t="shared" si="604"/>
        <v>0</v>
      </c>
      <c r="GR61" s="309">
        <f t="shared" si="605"/>
        <v>23.07692307692308</v>
      </c>
      <c r="GS61" s="218">
        <f t="shared" si="649"/>
        <v>173.5384615384616</v>
      </c>
      <c r="GT61" s="242">
        <f t="shared" si="649"/>
        <v>0</v>
      </c>
      <c r="GU61" s="243">
        <f t="shared" si="606"/>
        <v>173.5384615384616</v>
      </c>
      <c r="GV61" s="218">
        <f t="shared" si="607"/>
        <v>0</v>
      </c>
      <c r="GX61" s="303" t="s">
        <v>64</v>
      </c>
      <c r="GY61" s="243" t="s">
        <v>95</v>
      </c>
      <c r="GZ61" s="218" t="s">
        <v>132</v>
      </c>
      <c r="HA61" s="237">
        <f>Konvention_1slave-MUslave</f>
        <v>12</v>
      </c>
      <c r="HB61" s="234">
        <f>Konvention_1slave-KLslave</f>
        <v>12</v>
      </c>
      <c r="HC61" s="234">
        <f>Konvention_1slave-INslave</f>
        <v>12</v>
      </c>
      <c r="HD61" s="234"/>
      <c r="HE61" s="234"/>
      <c r="HF61" s="234"/>
      <c r="HG61" s="234"/>
      <c r="HH61" s="224"/>
      <c r="HI61" s="222">
        <f t="shared" si="608"/>
        <v>12</v>
      </c>
      <c r="HJ61" s="223">
        <f t="shared" si="609"/>
        <v>24</v>
      </c>
      <c r="HK61" s="224">
        <f t="shared" si="610"/>
        <v>36</v>
      </c>
      <c r="HL61" s="237">
        <f t="shared" si="611"/>
        <v>2304</v>
      </c>
      <c r="HM61" s="234">
        <f>HA61*HB61*INslave+HA61*KLslave*HC61+MUslave*HB61*HC61</f>
        <v>3456</v>
      </c>
      <c r="HN61" s="224">
        <f t="shared" si="612"/>
        <v>1728</v>
      </c>
      <c r="HO61" s="242">
        <f t="shared" si="641"/>
        <v>7488</v>
      </c>
      <c r="HP61" s="222">
        <f t="shared" si="613"/>
        <v>3.6923076923076925</v>
      </c>
      <c r="HQ61" s="223">
        <f t="shared" si="614"/>
        <v>11.076923076923077</v>
      </c>
      <c r="HR61" s="243">
        <f t="shared" si="615"/>
        <v>8.3076923076923084</v>
      </c>
      <c r="HS61" s="218">
        <f t="shared" si="616"/>
        <v>23.07692307692308</v>
      </c>
      <c r="HT61" s="252">
        <f t="shared" si="617"/>
        <v>0</v>
      </c>
      <c r="HU61" s="309">
        <f t="shared" si="618"/>
        <v>23.07692307692308</v>
      </c>
      <c r="HV61" s="218">
        <f t="shared" si="650"/>
        <v>173.5384615384616</v>
      </c>
      <c r="HW61" s="242">
        <f t="shared" si="650"/>
        <v>0</v>
      </c>
      <c r="HX61" s="243">
        <f t="shared" si="619"/>
        <v>173.5384615384616</v>
      </c>
      <c r="HY61" s="218">
        <f t="shared" si="620"/>
        <v>0</v>
      </c>
      <c r="IA61" s="303" t="s">
        <v>64</v>
      </c>
      <c r="IB61" s="243" t="s">
        <v>95</v>
      </c>
      <c r="IC61" s="218" t="s">
        <v>132</v>
      </c>
      <c r="ID61" s="237">
        <f>Konvention_1slave-MUslave</f>
        <v>12</v>
      </c>
      <c r="IE61" s="234">
        <f>Konvention_1slave-KLslave</f>
        <v>12</v>
      </c>
      <c r="IF61" s="234">
        <f>Konvention_1slave-INslave</f>
        <v>12</v>
      </c>
      <c r="IG61" s="234"/>
      <c r="IH61" s="234"/>
      <c r="II61" s="234"/>
      <c r="IJ61" s="234"/>
      <c r="IK61" s="224"/>
      <c r="IL61" s="222">
        <f t="shared" si="621"/>
        <v>12</v>
      </c>
      <c r="IM61" s="223">
        <f t="shared" si="622"/>
        <v>24</v>
      </c>
      <c r="IN61" s="224">
        <f t="shared" si="623"/>
        <v>36</v>
      </c>
      <c r="IO61" s="237">
        <f t="shared" si="624"/>
        <v>2304</v>
      </c>
      <c r="IP61" s="234">
        <f>ID61*IE61*INslave+ID61*KLslave*IF61+MUslave*IE61*IF61</f>
        <v>3456</v>
      </c>
      <c r="IQ61" s="224">
        <f t="shared" si="625"/>
        <v>1728</v>
      </c>
      <c r="IR61" s="242">
        <f t="shared" si="642"/>
        <v>7488</v>
      </c>
      <c r="IS61" s="222">
        <f t="shared" si="626"/>
        <v>3.6923076923076925</v>
      </c>
      <c r="IT61" s="223">
        <f t="shared" si="627"/>
        <v>11.076923076923077</v>
      </c>
      <c r="IU61" s="243">
        <f t="shared" si="628"/>
        <v>8.3076923076923084</v>
      </c>
      <c r="IV61" s="218">
        <f t="shared" si="629"/>
        <v>23.07692307692308</v>
      </c>
      <c r="IW61" s="252">
        <f t="shared" si="630"/>
        <v>0</v>
      </c>
      <c r="IX61" s="309">
        <f t="shared" si="631"/>
        <v>23.07692307692308</v>
      </c>
      <c r="IY61" s="218">
        <f t="shared" si="651"/>
        <v>173.5384615384616</v>
      </c>
      <c r="IZ61" s="242">
        <f t="shared" si="651"/>
        <v>0</v>
      </c>
      <c r="JA61" s="243">
        <f t="shared" si="632"/>
        <v>173.5384615384616</v>
      </c>
      <c r="JB61" s="218">
        <f t="shared" si="633"/>
        <v>0</v>
      </c>
      <c r="JE61" s="148"/>
    </row>
    <row r="62" spans="2:265" hidden="1" outlineLevel="2">
      <c r="B62" s="148">
        <v>6</v>
      </c>
      <c r="C62" s="303" t="e">
        <f>VLOOKUP(AF62,Attribute!C:T,1,FALSE)</f>
        <v>#N/A</v>
      </c>
      <c r="D62" s="127" t="s">
        <v>100</v>
      </c>
      <c r="E62" s="125" t="s">
        <v>132</v>
      </c>
      <c r="F62" s="114">
        <f>Konvention_1master-MUmaster</f>
        <v>12</v>
      </c>
      <c r="G62" s="113"/>
      <c r="H62" s="113">
        <f>Konvention_1master-INmaster</f>
        <v>12</v>
      </c>
      <c r="I62" s="113"/>
      <c r="J62" s="113"/>
      <c r="K62" s="113"/>
      <c r="L62" s="113">
        <f>Konvention_1master-KOmaster</f>
        <v>12</v>
      </c>
      <c r="M62" s="119"/>
      <c r="N62" s="222">
        <f t="shared" si="518"/>
        <v>12</v>
      </c>
      <c r="O62" s="223">
        <f t="shared" si="519"/>
        <v>24</v>
      </c>
      <c r="P62" s="224">
        <f t="shared" si="520"/>
        <v>36</v>
      </c>
      <c r="Q62" s="237">
        <f t="shared" si="521"/>
        <v>2304</v>
      </c>
      <c r="R62" s="113">
        <f>F62*H62*KOmaster+F62*INmaster*L62+MUmaster*H62*L62</f>
        <v>3456</v>
      </c>
      <c r="S62" s="224">
        <f t="shared" si="522"/>
        <v>1728</v>
      </c>
      <c r="T62" s="242">
        <f t="shared" si="634"/>
        <v>7488</v>
      </c>
      <c r="U62" s="222">
        <f t="shared" si="523"/>
        <v>3.6923076923076925</v>
      </c>
      <c r="V62" s="223">
        <f t="shared" si="524"/>
        <v>11.076923076923077</v>
      </c>
      <c r="W62" s="243">
        <f t="shared" si="525"/>
        <v>8.3076923076923084</v>
      </c>
      <c r="X62" s="218">
        <f t="shared" si="526"/>
        <v>23.07692307692308</v>
      </c>
      <c r="Y62" s="252">
        <v>0</v>
      </c>
      <c r="Z62" s="198">
        <f t="shared" si="527"/>
        <v>23.07692307692308</v>
      </c>
      <c r="AA62" s="125">
        <f t="shared" si="643"/>
        <v>173.5384615384616</v>
      </c>
      <c r="AB62" s="160">
        <f t="shared" si="643"/>
        <v>0</v>
      </c>
      <c r="AC62" s="127">
        <f t="shared" si="528"/>
        <v>173.5384615384616</v>
      </c>
      <c r="AD62" s="125">
        <f t="shared" si="529"/>
        <v>0</v>
      </c>
      <c r="AF62" s="163" t="s">
        <v>53</v>
      </c>
      <c r="AG62" s="127" t="s">
        <v>100</v>
      </c>
      <c r="AH62" s="125" t="s">
        <v>132</v>
      </c>
      <c r="AI62" s="114">
        <f>Konvention_1slave-MUslave_MU</f>
        <v>11</v>
      </c>
      <c r="AJ62" s="113"/>
      <c r="AK62" s="113">
        <f>Konvention_1slave-INslave</f>
        <v>12</v>
      </c>
      <c r="AL62" s="113"/>
      <c r="AM62" s="113"/>
      <c r="AN62" s="113"/>
      <c r="AO62" s="113">
        <f>Konvention_1slave-KOslave</f>
        <v>12</v>
      </c>
      <c r="AP62" s="119"/>
      <c r="AQ62" s="89">
        <f t="shared" si="530"/>
        <v>11.666666666666666</v>
      </c>
      <c r="AR62" s="47">
        <f t="shared" si="531"/>
        <v>23.333333333333332</v>
      </c>
      <c r="AS62" s="119">
        <f t="shared" si="532"/>
        <v>35</v>
      </c>
      <c r="AT62" s="114">
        <f t="shared" si="533"/>
        <v>2432</v>
      </c>
      <c r="AU62" s="113">
        <f>AI62*AK62*KOslave+AI62*INslave*AO62+MUslave_MU*AK62*AO62</f>
        <v>3408</v>
      </c>
      <c r="AV62" s="119">
        <f t="shared" si="534"/>
        <v>1584</v>
      </c>
      <c r="AW62" s="160">
        <f t="shared" si="635"/>
        <v>7424</v>
      </c>
      <c r="AX62" s="89">
        <f t="shared" si="535"/>
        <v>3.8218390804597702</v>
      </c>
      <c r="AY62" s="47">
        <f t="shared" si="536"/>
        <v>10.711206896551724</v>
      </c>
      <c r="AZ62" s="127">
        <f t="shared" si="537"/>
        <v>7.4676724137931032</v>
      </c>
      <c r="BA62" s="125">
        <f t="shared" si="538"/>
        <v>22.000718390804597</v>
      </c>
      <c r="BB62" s="165">
        <f t="shared" si="539"/>
        <v>0</v>
      </c>
      <c r="BC62" s="198">
        <f t="shared" si="540"/>
        <v>22.000718390804597</v>
      </c>
      <c r="BD62" s="125">
        <f t="shared" si="644"/>
        <v>152.01436781609189</v>
      </c>
      <c r="BE62" s="160">
        <f t="shared" si="644"/>
        <v>0</v>
      </c>
      <c r="BF62" s="243">
        <f t="shared" si="541"/>
        <v>152.01436781609189</v>
      </c>
      <c r="BG62" s="218">
        <f t="shared" si="542"/>
        <v>0</v>
      </c>
      <c r="BI62" s="303" t="s">
        <v>53</v>
      </c>
      <c r="BJ62" s="243" t="s">
        <v>100</v>
      </c>
      <c r="BK62" s="218" t="s">
        <v>132</v>
      </c>
      <c r="BL62" s="237">
        <f>Konvention_1slave-MUslave</f>
        <v>12</v>
      </c>
      <c r="BM62" s="234"/>
      <c r="BN62" s="234">
        <f>Konvention_1slave-INslave</f>
        <v>12</v>
      </c>
      <c r="BO62" s="234"/>
      <c r="BP62" s="234"/>
      <c r="BQ62" s="234"/>
      <c r="BR62" s="234">
        <f>Konvention_1slave-KOslave</f>
        <v>12</v>
      </c>
      <c r="BS62" s="224"/>
      <c r="BT62" s="222">
        <f t="shared" si="543"/>
        <v>12</v>
      </c>
      <c r="BU62" s="223">
        <f t="shared" si="544"/>
        <v>24</v>
      </c>
      <c r="BV62" s="224">
        <f t="shared" si="545"/>
        <v>36</v>
      </c>
      <c r="BW62" s="237">
        <f t="shared" si="546"/>
        <v>2304</v>
      </c>
      <c r="BX62" s="234">
        <f>BL62*BN62*KOslave+BL62*INslave*BR62+MUslave*BN62*BR62</f>
        <v>3456</v>
      </c>
      <c r="BY62" s="224">
        <f t="shared" si="547"/>
        <v>1728</v>
      </c>
      <c r="BZ62" s="242">
        <f t="shared" si="636"/>
        <v>7488</v>
      </c>
      <c r="CA62" s="222">
        <f t="shared" si="548"/>
        <v>3.6923076923076925</v>
      </c>
      <c r="CB62" s="223">
        <f t="shared" si="549"/>
        <v>11.076923076923077</v>
      </c>
      <c r="CC62" s="243">
        <f t="shared" si="550"/>
        <v>8.3076923076923084</v>
      </c>
      <c r="CD62" s="218">
        <f t="shared" si="551"/>
        <v>23.07692307692308</v>
      </c>
      <c r="CE62" s="252">
        <f t="shared" si="552"/>
        <v>0</v>
      </c>
      <c r="CF62" s="309">
        <f t="shared" si="553"/>
        <v>23.07692307692308</v>
      </c>
      <c r="CG62" s="218">
        <f t="shared" si="645"/>
        <v>173.5384615384616</v>
      </c>
      <c r="CH62" s="242">
        <f t="shared" si="645"/>
        <v>0</v>
      </c>
      <c r="CI62" s="243">
        <f t="shared" si="554"/>
        <v>173.5384615384616</v>
      </c>
      <c r="CJ62" s="218">
        <f t="shared" si="555"/>
        <v>0</v>
      </c>
      <c r="CL62" s="303" t="s">
        <v>53</v>
      </c>
      <c r="CM62" s="243" t="s">
        <v>100</v>
      </c>
      <c r="CN62" s="218" t="s">
        <v>132</v>
      </c>
      <c r="CO62" s="237">
        <f>Konvention_1slave-MUslave</f>
        <v>12</v>
      </c>
      <c r="CP62" s="234"/>
      <c r="CQ62" s="234">
        <f>Konvention_1slave-INslave_IN</f>
        <v>11</v>
      </c>
      <c r="CR62" s="234"/>
      <c r="CS62" s="234"/>
      <c r="CT62" s="234"/>
      <c r="CU62" s="234">
        <f>Konvention_1slave-KOslave</f>
        <v>12</v>
      </c>
      <c r="CV62" s="224"/>
      <c r="CW62" s="222">
        <f t="shared" si="556"/>
        <v>11.666666666666666</v>
      </c>
      <c r="CX62" s="223">
        <f t="shared" si="557"/>
        <v>23.333333333333332</v>
      </c>
      <c r="CY62" s="224">
        <f t="shared" si="558"/>
        <v>35</v>
      </c>
      <c r="CZ62" s="237">
        <f t="shared" si="559"/>
        <v>2432</v>
      </c>
      <c r="DA62" s="234">
        <f>CO62*CQ62*KOslave+CO62*INslave_IN*CU62+MUslave*CQ62*CU62</f>
        <v>3408</v>
      </c>
      <c r="DB62" s="224">
        <f t="shared" si="560"/>
        <v>1584</v>
      </c>
      <c r="DC62" s="242">
        <f t="shared" si="637"/>
        <v>7424</v>
      </c>
      <c r="DD62" s="222">
        <f t="shared" si="561"/>
        <v>3.8218390804597702</v>
      </c>
      <c r="DE62" s="223">
        <f t="shared" si="562"/>
        <v>10.711206896551724</v>
      </c>
      <c r="DF62" s="243">
        <f t="shared" si="563"/>
        <v>7.4676724137931032</v>
      </c>
      <c r="DG62" s="218">
        <f t="shared" si="564"/>
        <v>22.000718390804597</v>
      </c>
      <c r="DH62" s="252">
        <f t="shared" si="565"/>
        <v>0</v>
      </c>
      <c r="DI62" s="309">
        <f t="shared" si="566"/>
        <v>22.000718390804597</v>
      </c>
      <c r="DJ62" s="218">
        <f t="shared" si="646"/>
        <v>152.01436781609189</v>
      </c>
      <c r="DK62" s="242">
        <f t="shared" si="646"/>
        <v>0</v>
      </c>
      <c r="DL62" s="243">
        <f t="shared" si="567"/>
        <v>152.01436781609189</v>
      </c>
      <c r="DM62" s="218">
        <f t="shared" si="568"/>
        <v>0</v>
      </c>
      <c r="DO62" s="303" t="s">
        <v>53</v>
      </c>
      <c r="DP62" s="243" t="s">
        <v>100</v>
      </c>
      <c r="DQ62" s="218" t="s">
        <v>132</v>
      </c>
      <c r="DR62" s="237">
        <f>Konvention_1slave-MUslave</f>
        <v>12</v>
      </c>
      <c r="DS62" s="234"/>
      <c r="DT62" s="234">
        <f>Konvention_1slave-INslave</f>
        <v>12</v>
      </c>
      <c r="DU62" s="234"/>
      <c r="DV62" s="234"/>
      <c r="DW62" s="234"/>
      <c r="DX62" s="234">
        <f>Konvention_1slave-KOslave</f>
        <v>12</v>
      </c>
      <c r="DY62" s="224"/>
      <c r="DZ62" s="222">
        <f t="shared" si="569"/>
        <v>12</v>
      </c>
      <c r="EA62" s="223">
        <f t="shared" si="570"/>
        <v>24</v>
      </c>
      <c r="EB62" s="224">
        <f t="shared" si="571"/>
        <v>36</v>
      </c>
      <c r="EC62" s="237">
        <f t="shared" si="572"/>
        <v>2304</v>
      </c>
      <c r="ED62" s="234">
        <f>DR62*DT62*KOslave+DR62*INslave*DX62+MUslave*DT62*DX62</f>
        <v>3456</v>
      </c>
      <c r="EE62" s="224">
        <f t="shared" si="573"/>
        <v>1728</v>
      </c>
      <c r="EF62" s="242">
        <f t="shared" si="638"/>
        <v>7488</v>
      </c>
      <c r="EG62" s="222">
        <f t="shared" si="574"/>
        <v>3.6923076923076925</v>
      </c>
      <c r="EH62" s="223">
        <f t="shared" si="575"/>
        <v>11.076923076923077</v>
      </c>
      <c r="EI62" s="243">
        <f t="shared" si="576"/>
        <v>8.3076923076923084</v>
      </c>
      <c r="EJ62" s="218">
        <f t="shared" si="577"/>
        <v>23.07692307692308</v>
      </c>
      <c r="EK62" s="252">
        <f t="shared" si="578"/>
        <v>0</v>
      </c>
      <c r="EL62" s="309">
        <f t="shared" si="579"/>
        <v>23.07692307692308</v>
      </c>
      <c r="EM62" s="218">
        <f t="shared" si="647"/>
        <v>173.5384615384616</v>
      </c>
      <c r="EN62" s="242">
        <f t="shared" si="647"/>
        <v>0</v>
      </c>
      <c r="EO62" s="243">
        <f t="shared" si="580"/>
        <v>173.5384615384616</v>
      </c>
      <c r="EP62" s="218">
        <f t="shared" si="581"/>
        <v>0</v>
      </c>
      <c r="ER62" s="303" t="s">
        <v>53</v>
      </c>
      <c r="ES62" s="243" t="s">
        <v>100</v>
      </c>
      <c r="ET62" s="218" t="s">
        <v>132</v>
      </c>
      <c r="EU62" s="237">
        <f>Konvention_1slave-MUslave</f>
        <v>12</v>
      </c>
      <c r="EV62" s="234"/>
      <c r="EW62" s="234">
        <f>Konvention_1slave-INslave</f>
        <v>12</v>
      </c>
      <c r="EX62" s="234"/>
      <c r="EY62" s="234"/>
      <c r="EZ62" s="234"/>
      <c r="FA62" s="234">
        <f>Konvention_1slave-KOslave</f>
        <v>12</v>
      </c>
      <c r="FB62" s="224"/>
      <c r="FC62" s="222">
        <f t="shared" si="582"/>
        <v>12</v>
      </c>
      <c r="FD62" s="223">
        <f t="shared" si="583"/>
        <v>24</v>
      </c>
      <c r="FE62" s="224">
        <f t="shared" si="584"/>
        <v>36</v>
      </c>
      <c r="FF62" s="237">
        <f t="shared" si="585"/>
        <v>2304</v>
      </c>
      <c r="FG62" s="234">
        <f>EU62*EW62*KOslave+EU62*INslave*FA62+MUslave*EW62*FA62</f>
        <v>3456</v>
      </c>
      <c r="FH62" s="224">
        <f t="shared" si="586"/>
        <v>1728</v>
      </c>
      <c r="FI62" s="242">
        <f t="shared" si="639"/>
        <v>7488</v>
      </c>
      <c r="FJ62" s="222">
        <f t="shared" si="587"/>
        <v>3.6923076923076925</v>
      </c>
      <c r="FK62" s="223">
        <f t="shared" si="588"/>
        <v>11.076923076923077</v>
      </c>
      <c r="FL62" s="243">
        <f t="shared" si="589"/>
        <v>8.3076923076923084</v>
      </c>
      <c r="FM62" s="218">
        <f t="shared" si="590"/>
        <v>23.07692307692308</v>
      </c>
      <c r="FN62" s="252">
        <f t="shared" si="591"/>
        <v>0</v>
      </c>
      <c r="FO62" s="309">
        <f t="shared" si="592"/>
        <v>23.07692307692308</v>
      </c>
      <c r="FP62" s="218">
        <f t="shared" si="648"/>
        <v>173.5384615384616</v>
      </c>
      <c r="FQ62" s="242">
        <f t="shared" si="648"/>
        <v>0</v>
      </c>
      <c r="FR62" s="243">
        <f t="shared" si="593"/>
        <v>173.5384615384616</v>
      </c>
      <c r="FS62" s="218">
        <f t="shared" si="594"/>
        <v>0</v>
      </c>
      <c r="FU62" s="303" t="s">
        <v>53</v>
      </c>
      <c r="FV62" s="243" t="s">
        <v>100</v>
      </c>
      <c r="FW62" s="218" t="s">
        <v>132</v>
      </c>
      <c r="FX62" s="237">
        <f>Konvention_1slave-MUslave</f>
        <v>12</v>
      </c>
      <c r="FY62" s="234"/>
      <c r="FZ62" s="234">
        <f>Konvention_1slave-INslave</f>
        <v>12</v>
      </c>
      <c r="GA62" s="234"/>
      <c r="GB62" s="234"/>
      <c r="GC62" s="234"/>
      <c r="GD62" s="234">
        <f>Konvention_1slave-KOslave</f>
        <v>12</v>
      </c>
      <c r="GE62" s="224"/>
      <c r="GF62" s="222">
        <f t="shared" si="595"/>
        <v>12</v>
      </c>
      <c r="GG62" s="223">
        <f t="shared" si="596"/>
        <v>24</v>
      </c>
      <c r="GH62" s="224">
        <f t="shared" si="597"/>
        <v>36</v>
      </c>
      <c r="GI62" s="237">
        <f t="shared" si="598"/>
        <v>2304</v>
      </c>
      <c r="GJ62" s="234">
        <f>FX62*FZ62*KOslave+FX62*INslave*GD62+MUslave*FZ62*GD62</f>
        <v>3456</v>
      </c>
      <c r="GK62" s="224">
        <f t="shared" si="599"/>
        <v>1728</v>
      </c>
      <c r="GL62" s="242">
        <f t="shared" si="640"/>
        <v>7488</v>
      </c>
      <c r="GM62" s="222">
        <f t="shared" si="600"/>
        <v>3.6923076923076925</v>
      </c>
      <c r="GN62" s="223">
        <f t="shared" si="601"/>
        <v>11.076923076923077</v>
      </c>
      <c r="GO62" s="243">
        <f t="shared" si="602"/>
        <v>8.3076923076923084</v>
      </c>
      <c r="GP62" s="218">
        <f t="shared" si="603"/>
        <v>23.07692307692308</v>
      </c>
      <c r="GQ62" s="252">
        <f t="shared" si="604"/>
        <v>0</v>
      </c>
      <c r="GR62" s="309">
        <f t="shared" si="605"/>
        <v>23.07692307692308</v>
      </c>
      <c r="GS62" s="218">
        <f t="shared" si="649"/>
        <v>173.5384615384616</v>
      </c>
      <c r="GT62" s="242">
        <f t="shared" si="649"/>
        <v>0</v>
      </c>
      <c r="GU62" s="243">
        <f t="shared" si="606"/>
        <v>173.5384615384616</v>
      </c>
      <c r="GV62" s="218">
        <f t="shared" si="607"/>
        <v>0</v>
      </c>
      <c r="GX62" s="303" t="s">
        <v>53</v>
      </c>
      <c r="GY62" s="243" t="s">
        <v>100</v>
      </c>
      <c r="GZ62" s="218" t="s">
        <v>132</v>
      </c>
      <c r="HA62" s="237">
        <f>Konvention_1slave-MUslave</f>
        <v>12</v>
      </c>
      <c r="HB62" s="234"/>
      <c r="HC62" s="234">
        <f>Konvention_1slave-INslave</f>
        <v>12</v>
      </c>
      <c r="HD62" s="234"/>
      <c r="HE62" s="234"/>
      <c r="HF62" s="234"/>
      <c r="HG62" s="234">
        <f>Konvention_1slave-KOslave_KO</f>
        <v>11</v>
      </c>
      <c r="HH62" s="224"/>
      <c r="HI62" s="222">
        <f t="shared" si="608"/>
        <v>11.666666666666666</v>
      </c>
      <c r="HJ62" s="223">
        <f t="shared" si="609"/>
        <v>23.333333333333332</v>
      </c>
      <c r="HK62" s="224">
        <f t="shared" si="610"/>
        <v>35</v>
      </c>
      <c r="HL62" s="237">
        <f t="shared" si="611"/>
        <v>2432</v>
      </c>
      <c r="HM62" s="234">
        <f>HA62*HC62*KOslave_KO+HA62*INslave*HG62+MUslave*HC62*HG62</f>
        <v>3408</v>
      </c>
      <c r="HN62" s="224">
        <f t="shared" si="612"/>
        <v>1584</v>
      </c>
      <c r="HO62" s="242">
        <f t="shared" si="641"/>
        <v>7424</v>
      </c>
      <c r="HP62" s="222">
        <f t="shared" si="613"/>
        <v>3.8218390804597702</v>
      </c>
      <c r="HQ62" s="223">
        <f t="shared" si="614"/>
        <v>10.711206896551724</v>
      </c>
      <c r="HR62" s="243">
        <f t="shared" si="615"/>
        <v>7.4676724137931032</v>
      </c>
      <c r="HS62" s="218">
        <f t="shared" si="616"/>
        <v>22.000718390804597</v>
      </c>
      <c r="HT62" s="252">
        <f t="shared" si="617"/>
        <v>0</v>
      </c>
      <c r="HU62" s="309">
        <f t="shared" si="618"/>
        <v>22.000718390804597</v>
      </c>
      <c r="HV62" s="218">
        <f t="shared" si="650"/>
        <v>152.01436781609189</v>
      </c>
      <c r="HW62" s="242">
        <f t="shared" si="650"/>
        <v>0</v>
      </c>
      <c r="HX62" s="243">
        <f t="shared" si="619"/>
        <v>152.01436781609189</v>
      </c>
      <c r="HY62" s="218">
        <f t="shared" si="620"/>
        <v>0</v>
      </c>
      <c r="IA62" s="303" t="s">
        <v>53</v>
      </c>
      <c r="IB62" s="243" t="s">
        <v>100</v>
      </c>
      <c r="IC62" s="218" t="s">
        <v>132</v>
      </c>
      <c r="ID62" s="237">
        <f>Konvention_1slave-MUslave</f>
        <v>12</v>
      </c>
      <c r="IE62" s="234"/>
      <c r="IF62" s="234">
        <f>Konvention_1slave-INslave</f>
        <v>12</v>
      </c>
      <c r="IG62" s="234"/>
      <c r="IH62" s="234"/>
      <c r="II62" s="234"/>
      <c r="IJ62" s="234">
        <f>Konvention_1slave-KOslave</f>
        <v>12</v>
      </c>
      <c r="IK62" s="224"/>
      <c r="IL62" s="222">
        <f t="shared" si="621"/>
        <v>12</v>
      </c>
      <c r="IM62" s="223">
        <f t="shared" si="622"/>
        <v>24</v>
      </c>
      <c r="IN62" s="224">
        <f t="shared" si="623"/>
        <v>36</v>
      </c>
      <c r="IO62" s="237">
        <f t="shared" si="624"/>
        <v>2304</v>
      </c>
      <c r="IP62" s="234">
        <f>ID62*IF62*KOslave+ID62*INslave*IJ62+MUslave*IF62*IJ62</f>
        <v>3456</v>
      </c>
      <c r="IQ62" s="224">
        <f t="shared" si="625"/>
        <v>1728</v>
      </c>
      <c r="IR62" s="242">
        <f t="shared" si="642"/>
        <v>7488</v>
      </c>
      <c r="IS62" s="222">
        <f t="shared" si="626"/>
        <v>3.6923076923076925</v>
      </c>
      <c r="IT62" s="223">
        <f t="shared" si="627"/>
        <v>11.076923076923077</v>
      </c>
      <c r="IU62" s="243">
        <f t="shared" si="628"/>
        <v>8.3076923076923084</v>
      </c>
      <c r="IV62" s="218">
        <f t="shared" si="629"/>
        <v>23.07692307692308</v>
      </c>
      <c r="IW62" s="252">
        <f t="shared" si="630"/>
        <v>0</v>
      </c>
      <c r="IX62" s="309">
        <f t="shared" si="631"/>
        <v>23.07692307692308</v>
      </c>
      <c r="IY62" s="218">
        <f t="shared" si="651"/>
        <v>173.5384615384616</v>
      </c>
      <c r="IZ62" s="242">
        <f t="shared" si="651"/>
        <v>0</v>
      </c>
      <c r="JA62" s="243">
        <f t="shared" si="632"/>
        <v>173.5384615384616</v>
      </c>
      <c r="JB62" s="218">
        <f t="shared" si="633"/>
        <v>0</v>
      </c>
      <c r="JE62" s="148"/>
    </row>
    <row r="63" spans="2:265" hidden="1" outlineLevel="2">
      <c r="B63" s="148">
        <v>7</v>
      </c>
      <c r="C63" s="303" t="e">
        <f>VLOOKUP(AF63,Attribute!C:T,1,FALSE)</f>
        <v>#N/A</v>
      </c>
      <c r="D63" s="127" t="s">
        <v>101</v>
      </c>
      <c r="E63" s="125" t="s">
        <v>132</v>
      </c>
      <c r="F63" s="114"/>
      <c r="G63" s="113"/>
      <c r="H63" s="113">
        <f>Konvention_1master-INmaster</f>
        <v>12</v>
      </c>
      <c r="I63" s="113">
        <f>Konvention_1master-CHmaster</f>
        <v>12</v>
      </c>
      <c r="J63" s="113"/>
      <c r="K63" s="113"/>
      <c r="L63" s="113">
        <f>Konvention_1master-KOmaster</f>
        <v>12</v>
      </c>
      <c r="M63" s="119"/>
      <c r="N63" s="222">
        <f t="shared" si="518"/>
        <v>12</v>
      </c>
      <c r="O63" s="223">
        <f t="shared" si="519"/>
        <v>24</v>
      </c>
      <c r="P63" s="224">
        <f t="shared" si="520"/>
        <v>36</v>
      </c>
      <c r="Q63" s="237">
        <f t="shared" si="521"/>
        <v>2304</v>
      </c>
      <c r="R63" s="113">
        <f>H63*I63*KOmaster+H63*CHmaster*L63+INmaster*I63*L63</f>
        <v>3456</v>
      </c>
      <c r="S63" s="224">
        <f t="shared" si="522"/>
        <v>1728</v>
      </c>
      <c r="T63" s="242">
        <f t="shared" si="634"/>
        <v>7488</v>
      </c>
      <c r="U63" s="222">
        <f t="shared" si="523"/>
        <v>3.6923076923076925</v>
      </c>
      <c r="V63" s="223">
        <f t="shared" si="524"/>
        <v>11.076923076923077</v>
      </c>
      <c r="W63" s="243">
        <f t="shared" si="525"/>
        <v>8.3076923076923084</v>
      </c>
      <c r="X63" s="218">
        <f t="shared" si="526"/>
        <v>23.07692307692308</v>
      </c>
      <c r="Y63" s="252">
        <v>0</v>
      </c>
      <c r="Z63" s="198">
        <f t="shared" si="527"/>
        <v>23.07692307692308</v>
      </c>
      <c r="AA63" s="125">
        <f t="shared" si="643"/>
        <v>173.5384615384616</v>
      </c>
      <c r="AB63" s="160">
        <f t="shared" si="643"/>
        <v>0</v>
      </c>
      <c r="AC63" s="127">
        <f t="shared" si="528"/>
        <v>173.5384615384616</v>
      </c>
      <c r="AD63" s="125">
        <f t="shared" si="529"/>
        <v>0</v>
      </c>
      <c r="AF63" s="163" t="s">
        <v>54</v>
      </c>
      <c r="AG63" s="127" t="s">
        <v>101</v>
      </c>
      <c r="AH63" s="125" t="s">
        <v>132</v>
      </c>
      <c r="AI63" s="114"/>
      <c r="AJ63" s="113"/>
      <c r="AK63" s="113">
        <f>Konvention_1slave-INslave</f>
        <v>12</v>
      </c>
      <c r="AL63" s="113">
        <f>Konvention_1slave-CHslave</f>
        <v>12</v>
      </c>
      <c r="AM63" s="113"/>
      <c r="AN63" s="113"/>
      <c r="AO63" s="113">
        <f>Konvention_1slave-KOslave</f>
        <v>12</v>
      </c>
      <c r="AP63" s="119"/>
      <c r="AQ63" s="89">
        <f t="shared" si="530"/>
        <v>12</v>
      </c>
      <c r="AR63" s="47">
        <f t="shared" si="531"/>
        <v>24</v>
      </c>
      <c r="AS63" s="119">
        <f t="shared" si="532"/>
        <v>36</v>
      </c>
      <c r="AT63" s="114">
        <f t="shared" si="533"/>
        <v>2304</v>
      </c>
      <c r="AU63" s="113">
        <f>AK63*AL63*KOslave+AK63*CHslave*AO63+INslave*AL63*AO63</f>
        <v>3456</v>
      </c>
      <c r="AV63" s="119">
        <f t="shared" si="534"/>
        <v>1728</v>
      </c>
      <c r="AW63" s="160">
        <f t="shared" si="635"/>
        <v>7488</v>
      </c>
      <c r="AX63" s="89">
        <f t="shared" si="535"/>
        <v>3.6923076923076925</v>
      </c>
      <c r="AY63" s="47">
        <f t="shared" si="536"/>
        <v>11.076923076923077</v>
      </c>
      <c r="AZ63" s="127">
        <f t="shared" si="537"/>
        <v>8.3076923076923084</v>
      </c>
      <c r="BA63" s="125">
        <f t="shared" si="538"/>
        <v>23.07692307692308</v>
      </c>
      <c r="BB63" s="165">
        <f t="shared" si="539"/>
        <v>0</v>
      </c>
      <c r="BC63" s="198">
        <f t="shared" si="540"/>
        <v>23.07692307692308</v>
      </c>
      <c r="BD63" s="125">
        <f t="shared" si="644"/>
        <v>173.5384615384616</v>
      </c>
      <c r="BE63" s="160">
        <f t="shared" si="644"/>
        <v>0</v>
      </c>
      <c r="BF63" s="243">
        <f t="shared" si="541"/>
        <v>173.5384615384616</v>
      </c>
      <c r="BG63" s="218">
        <f t="shared" si="542"/>
        <v>0</v>
      </c>
      <c r="BI63" s="303" t="s">
        <v>54</v>
      </c>
      <c r="BJ63" s="243" t="s">
        <v>101</v>
      </c>
      <c r="BK63" s="218" t="s">
        <v>132</v>
      </c>
      <c r="BL63" s="237"/>
      <c r="BM63" s="234"/>
      <c r="BN63" s="234">
        <f>Konvention_1slave-INslave</f>
        <v>12</v>
      </c>
      <c r="BO63" s="234">
        <f>Konvention_1slave-CHslave</f>
        <v>12</v>
      </c>
      <c r="BP63" s="234"/>
      <c r="BQ63" s="234"/>
      <c r="BR63" s="234">
        <f>Konvention_1slave-KOslave</f>
        <v>12</v>
      </c>
      <c r="BS63" s="224"/>
      <c r="BT63" s="222">
        <f t="shared" si="543"/>
        <v>12</v>
      </c>
      <c r="BU63" s="223">
        <f t="shared" si="544"/>
        <v>24</v>
      </c>
      <c r="BV63" s="224">
        <f t="shared" si="545"/>
        <v>36</v>
      </c>
      <c r="BW63" s="237">
        <f t="shared" si="546"/>
        <v>2304</v>
      </c>
      <c r="BX63" s="234">
        <f>BN63*BO63*KOslave+BN63*CHslave*BR63+INslave*BO63*BR63</f>
        <v>3456</v>
      </c>
      <c r="BY63" s="224">
        <f t="shared" si="547"/>
        <v>1728</v>
      </c>
      <c r="BZ63" s="242">
        <f t="shared" si="636"/>
        <v>7488</v>
      </c>
      <c r="CA63" s="222">
        <f t="shared" si="548"/>
        <v>3.6923076923076925</v>
      </c>
      <c r="CB63" s="223">
        <f t="shared" si="549"/>
        <v>11.076923076923077</v>
      </c>
      <c r="CC63" s="243">
        <f t="shared" si="550"/>
        <v>8.3076923076923084</v>
      </c>
      <c r="CD63" s="218">
        <f t="shared" si="551"/>
        <v>23.07692307692308</v>
      </c>
      <c r="CE63" s="252">
        <f t="shared" si="552"/>
        <v>0</v>
      </c>
      <c r="CF63" s="309">
        <f t="shared" si="553"/>
        <v>23.07692307692308</v>
      </c>
      <c r="CG63" s="218">
        <f t="shared" si="645"/>
        <v>173.5384615384616</v>
      </c>
      <c r="CH63" s="242">
        <f t="shared" si="645"/>
        <v>0</v>
      </c>
      <c r="CI63" s="243">
        <f t="shared" si="554"/>
        <v>173.5384615384616</v>
      </c>
      <c r="CJ63" s="218">
        <f t="shared" si="555"/>
        <v>0</v>
      </c>
      <c r="CL63" s="303" t="s">
        <v>54</v>
      </c>
      <c r="CM63" s="243" t="s">
        <v>101</v>
      </c>
      <c r="CN63" s="218" t="s">
        <v>132</v>
      </c>
      <c r="CO63" s="237"/>
      <c r="CP63" s="234"/>
      <c r="CQ63" s="234">
        <f>Konvention_1slave-INslave_IN</f>
        <v>11</v>
      </c>
      <c r="CR63" s="234">
        <f>Konvention_1slave-CHslave</f>
        <v>12</v>
      </c>
      <c r="CS63" s="234"/>
      <c r="CT63" s="234"/>
      <c r="CU63" s="234">
        <f>Konvention_1slave-KOslave</f>
        <v>12</v>
      </c>
      <c r="CV63" s="224"/>
      <c r="CW63" s="222">
        <f t="shared" si="556"/>
        <v>11.666666666666666</v>
      </c>
      <c r="CX63" s="223">
        <f t="shared" si="557"/>
        <v>23.333333333333332</v>
      </c>
      <c r="CY63" s="224">
        <f t="shared" si="558"/>
        <v>35</v>
      </c>
      <c r="CZ63" s="237">
        <f t="shared" si="559"/>
        <v>2432</v>
      </c>
      <c r="DA63" s="234">
        <f>CQ63*CR63*KOslave+CQ63*CHslave*CU63+INslave_IN*CR63*CU63</f>
        <v>3408</v>
      </c>
      <c r="DB63" s="224">
        <f t="shared" si="560"/>
        <v>1584</v>
      </c>
      <c r="DC63" s="242">
        <f t="shared" si="637"/>
        <v>7424</v>
      </c>
      <c r="DD63" s="222">
        <f t="shared" si="561"/>
        <v>3.8218390804597702</v>
      </c>
      <c r="DE63" s="223">
        <f t="shared" si="562"/>
        <v>10.711206896551724</v>
      </c>
      <c r="DF63" s="243">
        <f t="shared" si="563"/>
        <v>7.4676724137931032</v>
      </c>
      <c r="DG63" s="218">
        <f t="shared" si="564"/>
        <v>22.000718390804597</v>
      </c>
      <c r="DH63" s="252">
        <f t="shared" si="565"/>
        <v>0</v>
      </c>
      <c r="DI63" s="309">
        <f t="shared" si="566"/>
        <v>22.000718390804597</v>
      </c>
      <c r="DJ63" s="218">
        <f t="shared" si="646"/>
        <v>152.01436781609189</v>
      </c>
      <c r="DK63" s="242">
        <f t="shared" si="646"/>
        <v>0</v>
      </c>
      <c r="DL63" s="243">
        <f t="shared" si="567"/>
        <v>152.01436781609189</v>
      </c>
      <c r="DM63" s="218">
        <f t="shared" si="568"/>
        <v>0</v>
      </c>
      <c r="DO63" s="303" t="s">
        <v>54</v>
      </c>
      <c r="DP63" s="243" t="s">
        <v>101</v>
      </c>
      <c r="DQ63" s="218" t="s">
        <v>132</v>
      </c>
      <c r="DR63" s="237"/>
      <c r="DS63" s="234"/>
      <c r="DT63" s="234">
        <f>Konvention_1slave-INslave</f>
        <v>12</v>
      </c>
      <c r="DU63" s="234">
        <f>Konvention_1slave-CHslave_CH</f>
        <v>11</v>
      </c>
      <c r="DV63" s="234"/>
      <c r="DW63" s="234"/>
      <c r="DX63" s="234">
        <f>Konvention_1slave-KOslave</f>
        <v>12</v>
      </c>
      <c r="DY63" s="224"/>
      <c r="DZ63" s="222">
        <f t="shared" si="569"/>
        <v>11.666666666666666</v>
      </c>
      <c r="EA63" s="223">
        <f t="shared" si="570"/>
        <v>23.333333333333332</v>
      </c>
      <c r="EB63" s="224">
        <f t="shared" si="571"/>
        <v>35</v>
      </c>
      <c r="EC63" s="237">
        <f t="shared" si="572"/>
        <v>2432</v>
      </c>
      <c r="ED63" s="234">
        <f>DT63*DU63*KOslave+DT63*CHslave_CH*DX63+INslave*DU63*DX63</f>
        <v>3408</v>
      </c>
      <c r="EE63" s="224">
        <f t="shared" si="573"/>
        <v>1584</v>
      </c>
      <c r="EF63" s="242">
        <f t="shared" si="638"/>
        <v>7424</v>
      </c>
      <c r="EG63" s="222">
        <f t="shared" si="574"/>
        <v>3.8218390804597702</v>
      </c>
      <c r="EH63" s="223">
        <f t="shared" si="575"/>
        <v>10.711206896551724</v>
      </c>
      <c r="EI63" s="243">
        <f t="shared" si="576"/>
        <v>7.4676724137931032</v>
      </c>
      <c r="EJ63" s="218">
        <f t="shared" si="577"/>
        <v>22.000718390804597</v>
      </c>
      <c r="EK63" s="252">
        <f t="shared" si="578"/>
        <v>0</v>
      </c>
      <c r="EL63" s="309">
        <f t="shared" si="579"/>
        <v>22.000718390804597</v>
      </c>
      <c r="EM63" s="218">
        <f t="shared" si="647"/>
        <v>152.01436781609189</v>
      </c>
      <c r="EN63" s="242">
        <f t="shared" si="647"/>
        <v>0</v>
      </c>
      <c r="EO63" s="243">
        <f t="shared" si="580"/>
        <v>152.01436781609189</v>
      </c>
      <c r="EP63" s="218">
        <f t="shared" si="581"/>
        <v>0</v>
      </c>
      <c r="ER63" s="303" t="s">
        <v>54</v>
      </c>
      <c r="ES63" s="243" t="s">
        <v>101</v>
      </c>
      <c r="ET63" s="218" t="s">
        <v>132</v>
      </c>
      <c r="EU63" s="237"/>
      <c r="EV63" s="234"/>
      <c r="EW63" s="234">
        <f>Konvention_1slave-INslave</f>
        <v>12</v>
      </c>
      <c r="EX63" s="234">
        <f>Konvention_1slave-CHslave</f>
        <v>12</v>
      </c>
      <c r="EY63" s="234"/>
      <c r="EZ63" s="234"/>
      <c r="FA63" s="234">
        <f>Konvention_1slave-KOslave</f>
        <v>12</v>
      </c>
      <c r="FB63" s="224"/>
      <c r="FC63" s="222">
        <f t="shared" si="582"/>
        <v>12</v>
      </c>
      <c r="FD63" s="223">
        <f t="shared" si="583"/>
        <v>24</v>
      </c>
      <c r="FE63" s="224">
        <f t="shared" si="584"/>
        <v>36</v>
      </c>
      <c r="FF63" s="237">
        <f t="shared" si="585"/>
        <v>2304</v>
      </c>
      <c r="FG63" s="234">
        <f>EW63*EX63*KOslave+EW63*CHslave*FA63+INslave*EX63*FA63</f>
        <v>3456</v>
      </c>
      <c r="FH63" s="224">
        <f t="shared" si="586"/>
        <v>1728</v>
      </c>
      <c r="FI63" s="242">
        <f t="shared" si="639"/>
        <v>7488</v>
      </c>
      <c r="FJ63" s="222">
        <f t="shared" si="587"/>
        <v>3.6923076923076925</v>
      </c>
      <c r="FK63" s="223">
        <f t="shared" si="588"/>
        <v>11.076923076923077</v>
      </c>
      <c r="FL63" s="243">
        <f t="shared" si="589"/>
        <v>8.3076923076923084</v>
      </c>
      <c r="FM63" s="218">
        <f t="shared" si="590"/>
        <v>23.07692307692308</v>
      </c>
      <c r="FN63" s="252">
        <f t="shared" si="591"/>
        <v>0</v>
      </c>
      <c r="FO63" s="309">
        <f t="shared" si="592"/>
        <v>23.07692307692308</v>
      </c>
      <c r="FP63" s="218">
        <f t="shared" si="648"/>
        <v>173.5384615384616</v>
      </c>
      <c r="FQ63" s="242">
        <f t="shared" si="648"/>
        <v>0</v>
      </c>
      <c r="FR63" s="243">
        <f t="shared" si="593"/>
        <v>173.5384615384616</v>
      </c>
      <c r="FS63" s="218">
        <f t="shared" si="594"/>
        <v>0</v>
      </c>
      <c r="FU63" s="303" t="s">
        <v>54</v>
      </c>
      <c r="FV63" s="243" t="s">
        <v>101</v>
      </c>
      <c r="FW63" s="218" t="s">
        <v>132</v>
      </c>
      <c r="FX63" s="237"/>
      <c r="FY63" s="234"/>
      <c r="FZ63" s="234">
        <f>Konvention_1slave-INslave</f>
        <v>12</v>
      </c>
      <c r="GA63" s="234">
        <f>Konvention_1slave-CHslave</f>
        <v>12</v>
      </c>
      <c r="GB63" s="234"/>
      <c r="GC63" s="234"/>
      <c r="GD63" s="234">
        <f>Konvention_1slave-KOslave</f>
        <v>12</v>
      </c>
      <c r="GE63" s="224"/>
      <c r="GF63" s="222">
        <f t="shared" si="595"/>
        <v>12</v>
      </c>
      <c r="GG63" s="223">
        <f t="shared" si="596"/>
        <v>24</v>
      </c>
      <c r="GH63" s="224">
        <f t="shared" si="597"/>
        <v>36</v>
      </c>
      <c r="GI63" s="237">
        <f t="shared" si="598"/>
        <v>2304</v>
      </c>
      <c r="GJ63" s="234">
        <f>FZ63*GA63*KOslave+FZ63*CHslave*GD63+INslave*GA63*GD63</f>
        <v>3456</v>
      </c>
      <c r="GK63" s="224">
        <f t="shared" si="599"/>
        <v>1728</v>
      </c>
      <c r="GL63" s="242">
        <f t="shared" si="640"/>
        <v>7488</v>
      </c>
      <c r="GM63" s="222">
        <f t="shared" si="600"/>
        <v>3.6923076923076925</v>
      </c>
      <c r="GN63" s="223">
        <f t="shared" si="601"/>
        <v>11.076923076923077</v>
      </c>
      <c r="GO63" s="243">
        <f t="shared" si="602"/>
        <v>8.3076923076923084</v>
      </c>
      <c r="GP63" s="218">
        <f t="shared" si="603"/>
        <v>23.07692307692308</v>
      </c>
      <c r="GQ63" s="252">
        <f t="shared" si="604"/>
        <v>0</v>
      </c>
      <c r="GR63" s="309">
        <f t="shared" si="605"/>
        <v>23.07692307692308</v>
      </c>
      <c r="GS63" s="218">
        <f t="shared" si="649"/>
        <v>173.5384615384616</v>
      </c>
      <c r="GT63" s="242">
        <f t="shared" si="649"/>
        <v>0</v>
      </c>
      <c r="GU63" s="243">
        <f t="shared" si="606"/>
        <v>173.5384615384616</v>
      </c>
      <c r="GV63" s="218">
        <f t="shared" si="607"/>
        <v>0</v>
      </c>
      <c r="GX63" s="303" t="s">
        <v>54</v>
      </c>
      <c r="GY63" s="243" t="s">
        <v>101</v>
      </c>
      <c r="GZ63" s="218" t="s">
        <v>132</v>
      </c>
      <c r="HA63" s="237"/>
      <c r="HB63" s="234"/>
      <c r="HC63" s="234">
        <f>Konvention_1slave-INslave</f>
        <v>12</v>
      </c>
      <c r="HD63" s="234">
        <f>Konvention_1slave-CHslave</f>
        <v>12</v>
      </c>
      <c r="HE63" s="234"/>
      <c r="HF63" s="234"/>
      <c r="HG63" s="234">
        <f>Konvention_1slave-KOslave_KO</f>
        <v>11</v>
      </c>
      <c r="HH63" s="224"/>
      <c r="HI63" s="222">
        <f t="shared" si="608"/>
        <v>11.666666666666666</v>
      </c>
      <c r="HJ63" s="223">
        <f t="shared" si="609"/>
        <v>23.333333333333332</v>
      </c>
      <c r="HK63" s="224">
        <f t="shared" si="610"/>
        <v>35</v>
      </c>
      <c r="HL63" s="237">
        <f t="shared" si="611"/>
        <v>2432</v>
      </c>
      <c r="HM63" s="234">
        <f>HC63*HD63*KOslave_KO+HC63*CHslave*HG63+INslave*HD63*HG63</f>
        <v>3408</v>
      </c>
      <c r="HN63" s="224">
        <f t="shared" si="612"/>
        <v>1584</v>
      </c>
      <c r="HO63" s="242">
        <f t="shared" si="641"/>
        <v>7424</v>
      </c>
      <c r="HP63" s="222">
        <f t="shared" si="613"/>
        <v>3.8218390804597702</v>
      </c>
      <c r="HQ63" s="223">
        <f t="shared" si="614"/>
        <v>10.711206896551724</v>
      </c>
      <c r="HR63" s="243">
        <f t="shared" si="615"/>
        <v>7.4676724137931032</v>
      </c>
      <c r="HS63" s="218">
        <f t="shared" si="616"/>
        <v>22.000718390804597</v>
      </c>
      <c r="HT63" s="252">
        <f t="shared" si="617"/>
        <v>0</v>
      </c>
      <c r="HU63" s="309">
        <f t="shared" si="618"/>
        <v>22.000718390804597</v>
      </c>
      <c r="HV63" s="218">
        <f t="shared" si="650"/>
        <v>152.01436781609189</v>
      </c>
      <c r="HW63" s="242">
        <f t="shared" si="650"/>
        <v>0</v>
      </c>
      <c r="HX63" s="243">
        <f t="shared" si="619"/>
        <v>152.01436781609189</v>
      </c>
      <c r="HY63" s="218">
        <f t="shared" si="620"/>
        <v>0</v>
      </c>
      <c r="IA63" s="303" t="s">
        <v>54</v>
      </c>
      <c r="IB63" s="243" t="s">
        <v>101</v>
      </c>
      <c r="IC63" s="218" t="s">
        <v>132</v>
      </c>
      <c r="ID63" s="237"/>
      <c r="IE63" s="234"/>
      <c r="IF63" s="234">
        <f>Konvention_1slave-INslave</f>
        <v>12</v>
      </c>
      <c r="IG63" s="234">
        <f>Konvention_1slave-CHslave</f>
        <v>12</v>
      </c>
      <c r="IH63" s="234"/>
      <c r="II63" s="234"/>
      <c r="IJ63" s="234">
        <f>Konvention_1slave-KOslave</f>
        <v>12</v>
      </c>
      <c r="IK63" s="224"/>
      <c r="IL63" s="222">
        <f t="shared" si="621"/>
        <v>12</v>
      </c>
      <c r="IM63" s="223">
        <f t="shared" si="622"/>
        <v>24</v>
      </c>
      <c r="IN63" s="224">
        <f t="shared" si="623"/>
        <v>36</v>
      </c>
      <c r="IO63" s="237">
        <f t="shared" si="624"/>
        <v>2304</v>
      </c>
      <c r="IP63" s="234">
        <f>IF63*IG63*KOslave+IF63*CHslave*IJ63+INslave*IG63*IJ63</f>
        <v>3456</v>
      </c>
      <c r="IQ63" s="224">
        <f t="shared" si="625"/>
        <v>1728</v>
      </c>
      <c r="IR63" s="242">
        <f t="shared" si="642"/>
        <v>7488</v>
      </c>
      <c r="IS63" s="222">
        <f t="shared" si="626"/>
        <v>3.6923076923076925</v>
      </c>
      <c r="IT63" s="223">
        <f t="shared" si="627"/>
        <v>11.076923076923077</v>
      </c>
      <c r="IU63" s="243">
        <f t="shared" si="628"/>
        <v>8.3076923076923084</v>
      </c>
      <c r="IV63" s="218">
        <f t="shared" si="629"/>
        <v>23.07692307692308</v>
      </c>
      <c r="IW63" s="252">
        <f t="shared" si="630"/>
        <v>0</v>
      </c>
      <c r="IX63" s="309">
        <f t="shared" si="631"/>
        <v>23.07692307692308</v>
      </c>
      <c r="IY63" s="218">
        <f t="shared" si="651"/>
        <v>173.5384615384616</v>
      </c>
      <c r="IZ63" s="242">
        <f t="shared" si="651"/>
        <v>0</v>
      </c>
      <c r="JA63" s="243">
        <f t="shared" si="632"/>
        <v>173.5384615384616</v>
      </c>
      <c r="JB63" s="218">
        <f t="shared" si="633"/>
        <v>0</v>
      </c>
      <c r="JE63" s="148"/>
    </row>
    <row r="64" spans="2:265" hidden="1" outlineLevel="2">
      <c r="B64" s="148">
        <v>8</v>
      </c>
      <c r="C64" s="303" t="e">
        <f>VLOOKUP(AF64,Attribute!C:T,1,FALSE)</f>
        <v>#N/A</v>
      </c>
      <c r="D64" s="127" t="s">
        <v>102</v>
      </c>
      <c r="E64" s="125" t="s">
        <v>134</v>
      </c>
      <c r="F64" s="114"/>
      <c r="G64" s="113">
        <f>Konvention_1master-KLmaster</f>
        <v>12</v>
      </c>
      <c r="H64" s="113"/>
      <c r="I64" s="113"/>
      <c r="J64" s="113">
        <f t="shared" ref="J64:J73" si="652">Konvention_1master-FFmaster</f>
        <v>12</v>
      </c>
      <c r="K64" s="113"/>
      <c r="L64" s="113"/>
      <c r="M64" s="119"/>
      <c r="N64" s="222">
        <f>(G64+J64+J64)/3</f>
        <v>12</v>
      </c>
      <c r="O64" s="223">
        <f t="shared" si="519"/>
        <v>24</v>
      </c>
      <c r="P64" s="224">
        <f t="shared" si="520"/>
        <v>36</v>
      </c>
      <c r="Q64" s="237">
        <f>J64*POWER(KLmaster,SIGN(G64))*POWER(FFmaster,SIGN(J64))+J64*POWER(KLmaster,SIGN(G64))*POWER(FFmaster,SIGN(J64))+G64*POWER(FFmaster,SIGN(J64))*POWER(FFmaster,SIGN(J64))</f>
        <v>2304</v>
      </c>
      <c r="R64" s="113">
        <f>G64*J64*FFmaster+G64*FFmaster*J64+KLmaster*J64*J64</f>
        <v>3456</v>
      </c>
      <c r="S64" s="224">
        <f>G64*J64*J64</f>
        <v>1728</v>
      </c>
      <c r="T64" s="242">
        <f t="shared" si="634"/>
        <v>7488</v>
      </c>
      <c r="U64" s="222">
        <f t="shared" si="523"/>
        <v>3.6923076923076925</v>
      </c>
      <c r="V64" s="223">
        <f t="shared" si="524"/>
        <v>11.076923076923077</v>
      </c>
      <c r="W64" s="243">
        <f t="shared" si="525"/>
        <v>8.3076923076923084</v>
      </c>
      <c r="X64" s="218">
        <f t="shared" si="526"/>
        <v>23.07692307692308</v>
      </c>
      <c r="Y64" s="252">
        <v>0</v>
      </c>
      <c r="Z64" s="198">
        <f t="shared" si="527"/>
        <v>23.07692307692308</v>
      </c>
      <c r="AA64" s="125">
        <f>IF(X64&gt;0,X64,0)*4+IF(X64&gt;12,X64-12,0)*4+IF(X64&gt;13,X64-13,0)*4+IF(X64&gt;14,X64-14,0)*4+IF(X64&gt;15,X64-15,0)*4+IF(X64&gt;16,X64-16,0)*4+IF(X64&gt;17,X64-17,0)*4+IF(X64&gt;18,X64-18,0)*4+IF(X64&gt;19,X64-19,0)*4+IF(X64&gt;20,X64-20,0)*4</f>
        <v>347.07692307692321</v>
      </c>
      <c r="AB64" s="160">
        <f>IF(Y64&gt;0,Y64,0)*4+IF(Y64&gt;12,Y64-12,0)*4+IF(Y64&gt;13,Y64-13,0)*4+IF(Y64&gt;14,Y64-14,0)*4+IF(Y64&gt;15,Y64-15,0)*4+IF(Y64&gt;16,Y64-16,0)*4+IF(Y64&gt;17,Y64-17,0)*4+IF(Y64&gt;18,Y64-18,0)*4+IF(Y64&gt;19,Y64-19,0)*4+IF(Y64&gt;20,Y64-20,0)*4</f>
        <v>0</v>
      </c>
      <c r="AC64" s="127">
        <f t="shared" si="528"/>
        <v>347.07692307692321</v>
      </c>
      <c r="AD64" s="125">
        <f t="shared" si="529"/>
        <v>0</v>
      </c>
      <c r="AF64" s="163" t="s">
        <v>55</v>
      </c>
      <c r="AG64" s="127" t="s">
        <v>102</v>
      </c>
      <c r="AH64" s="125" t="s">
        <v>134</v>
      </c>
      <c r="AI64" s="114"/>
      <c r="AJ64" s="113">
        <f>Konvention_1slave-KLslave</f>
        <v>12</v>
      </c>
      <c r="AK64" s="113"/>
      <c r="AL64" s="113"/>
      <c r="AM64" s="113">
        <f t="shared" ref="AM64:AM73" si="653">Konvention_1slave-FFslave</f>
        <v>12</v>
      </c>
      <c r="AN64" s="113"/>
      <c r="AO64" s="113"/>
      <c r="AP64" s="119"/>
      <c r="AQ64" s="89">
        <f>(AJ64+AM64+AM64)/3</f>
        <v>12</v>
      </c>
      <c r="AR64" s="47">
        <f t="shared" si="531"/>
        <v>24</v>
      </c>
      <c r="AS64" s="119">
        <f t="shared" si="532"/>
        <v>36</v>
      </c>
      <c r="AT64" s="114">
        <f>AM64*POWER(KLslave,SIGN(AJ64))*POWER(FFslave,SIGN(AM64))+AM64*POWER(KLslave,SIGN(AJ64))*POWER(FFslave,SIGN(AM64))+AJ64*POWER(FFslave,SIGN(AM64))*POWER(FFslave,SIGN(AM64))</f>
        <v>2304</v>
      </c>
      <c r="AU64" s="113">
        <f>AJ64*AM64*FFslave+AJ64*FFslave*AM64+KLslave*AM64*AM64</f>
        <v>3456</v>
      </c>
      <c r="AV64" s="119">
        <f>AJ64*AM64*AM64</f>
        <v>1728</v>
      </c>
      <c r="AW64" s="160">
        <f t="shared" si="635"/>
        <v>7488</v>
      </c>
      <c r="AX64" s="89">
        <f t="shared" si="535"/>
        <v>3.6923076923076925</v>
      </c>
      <c r="AY64" s="47">
        <f t="shared" si="536"/>
        <v>11.076923076923077</v>
      </c>
      <c r="AZ64" s="127">
        <f t="shared" si="537"/>
        <v>8.3076923076923084</v>
      </c>
      <c r="BA64" s="125">
        <f t="shared" si="538"/>
        <v>23.07692307692308</v>
      </c>
      <c r="BB64" s="165">
        <f t="shared" si="539"/>
        <v>0</v>
      </c>
      <c r="BC64" s="198">
        <f t="shared" si="540"/>
        <v>23.07692307692308</v>
      </c>
      <c r="BD64" s="125">
        <f>IF(BA64&gt;0,BA64,0)*4+IF(BA64&gt;12,BA64-12,0)*4+IF(BA64&gt;13,BA64-13,0)*4+IF(BA64&gt;14,BA64-14,0)*4+IF(BA64&gt;15,BA64-15,0)*4+IF(BA64&gt;16,BA64-16,0)*4+IF(BA64&gt;17,BA64-17,0)*4+IF(BA64&gt;18,BA64-18,0)*4+IF(BA64&gt;19,BA64-19,0)*4+IF(BA64&gt;20,BA64-20,0)*4</f>
        <v>347.07692307692321</v>
      </c>
      <c r="BE64" s="160">
        <f>IF(BB64&gt;0,BB64,0)*4+IF(BB64&gt;12,BB64-12,0)*4+IF(BB64&gt;13,BB64-13,0)*4+IF(BB64&gt;14,BB64-14,0)*4+IF(BB64&gt;15,BB64-15,0)*4+IF(BB64&gt;16,BB64-16,0)*4+IF(BB64&gt;17,BB64-17,0)*4+IF(BB64&gt;18,BB64-18,0)*4+IF(BB64&gt;19,BB64-19,0)*4+IF(BB64&gt;20,BB64-20,0)*4</f>
        <v>0</v>
      </c>
      <c r="BF64" s="243">
        <f t="shared" si="541"/>
        <v>347.07692307692321</v>
      </c>
      <c r="BG64" s="218">
        <f t="shared" si="542"/>
        <v>0</v>
      </c>
      <c r="BI64" s="303" t="s">
        <v>55</v>
      </c>
      <c r="BJ64" s="243" t="s">
        <v>102</v>
      </c>
      <c r="BK64" s="218" t="s">
        <v>134</v>
      </c>
      <c r="BL64" s="237"/>
      <c r="BM64" s="234">
        <f>Konvention_1slave-KLslave_KL</f>
        <v>11</v>
      </c>
      <c r="BN64" s="234"/>
      <c r="BO64" s="234"/>
      <c r="BP64" s="234">
        <f t="shared" ref="BP64:BP73" si="654">Konvention_1slave-FFslave</f>
        <v>12</v>
      </c>
      <c r="BQ64" s="234"/>
      <c r="BR64" s="234"/>
      <c r="BS64" s="224"/>
      <c r="BT64" s="222">
        <f>(BM64+BP64+BP64)/3</f>
        <v>11.666666666666666</v>
      </c>
      <c r="BU64" s="223">
        <f t="shared" si="544"/>
        <v>23.333333333333332</v>
      </c>
      <c r="BV64" s="224">
        <f t="shared" si="545"/>
        <v>35</v>
      </c>
      <c r="BW64" s="237">
        <f>BP64*POWER(KLslave_KL,SIGN(BM64))*POWER(FFslave,SIGN(BP64))+BP64*POWER(KLslave_KL,SIGN(BM64))*POWER(FFslave,SIGN(BP64))+BM64*POWER(FFslave,SIGN(BP64))*POWER(FFslave,SIGN(BP64))</f>
        <v>2432</v>
      </c>
      <c r="BX64" s="234">
        <f>BM64*BP64*FFslave+BM64*FFslave*BP64+KLslave_KL*BP64*BP64</f>
        <v>3408</v>
      </c>
      <c r="BY64" s="224">
        <f>BM64*BP64*BP64</f>
        <v>1584</v>
      </c>
      <c r="BZ64" s="242">
        <f t="shared" si="636"/>
        <v>7424</v>
      </c>
      <c r="CA64" s="222">
        <f t="shared" si="548"/>
        <v>3.8218390804597702</v>
      </c>
      <c r="CB64" s="223">
        <f t="shared" si="549"/>
        <v>10.711206896551724</v>
      </c>
      <c r="CC64" s="243">
        <f t="shared" si="550"/>
        <v>7.4676724137931032</v>
      </c>
      <c r="CD64" s="218">
        <f t="shared" si="551"/>
        <v>22.000718390804597</v>
      </c>
      <c r="CE64" s="252">
        <f t="shared" si="552"/>
        <v>0</v>
      </c>
      <c r="CF64" s="309">
        <f t="shared" si="553"/>
        <v>22.000718390804597</v>
      </c>
      <c r="CG64" s="218">
        <f>IF(CD64&gt;0,CD64,0)*4+IF(CD64&gt;12,CD64-12,0)*4+IF(CD64&gt;13,CD64-13,0)*4+IF(CD64&gt;14,CD64-14,0)*4+IF(CD64&gt;15,CD64-15,0)*4+IF(CD64&gt;16,CD64-16,0)*4+IF(CD64&gt;17,CD64-17,0)*4+IF(CD64&gt;18,CD64-18,0)*4+IF(CD64&gt;19,CD64-19,0)*4+IF(CD64&gt;20,CD64-20,0)*4</f>
        <v>304.02873563218378</v>
      </c>
      <c r="CH64" s="242">
        <f>IF(CE64&gt;0,CE64,0)*4+IF(CE64&gt;12,CE64-12,0)*4+IF(CE64&gt;13,CE64-13,0)*4+IF(CE64&gt;14,CE64-14,0)*4+IF(CE64&gt;15,CE64-15,0)*4+IF(CE64&gt;16,CE64-16,0)*4+IF(CE64&gt;17,CE64-17,0)*4+IF(CE64&gt;18,CE64-18,0)*4+IF(CE64&gt;19,CE64-19,0)*4+IF(CE64&gt;20,CE64-20,0)*4</f>
        <v>0</v>
      </c>
      <c r="CI64" s="243">
        <f t="shared" si="554"/>
        <v>304.02873563218378</v>
      </c>
      <c r="CJ64" s="218">
        <f t="shared" si="555"/>
        <v>0</v>
      </c>
      <c r="CL64" s="303" t="s">
        <v>55</v>
      </c>
      <c r="CM64" s="243" t="s">
        <v>102</v>
      </c>
      <c r="CN64" s="218" t="s">
        <v>134</v>
      </c>
      <c r="CO64" s="237"/>
      <c r="CP64" s="234">
        <f>Konvention_1slave-KLslave</f>
        <v>12</v>
      </c>
      <c r="CQ64" s="234"/>
      <c r="CR64" s="234"/>
      <c r="CS64" s="234">
        <f t="shared" ref="CS64:CS73" si="655">Konvention_1slave-FFslave</f>
        <v>12</v>
      </c>
      <c r="CT64" s="234"/>
      <c r="CU64" s="234"/>
      <c r="CV64" s="224"/>
      <c r="CW64" s="222">
        <f>(CP64+CS64+CS64)/3</f>
        <v>12</v>
      </c>
      <c r="CX64" s="223">
        <f t="shared" si="557"/>
        <v>24</v>
      </c>
      <c r="CY64" s="224">
        <f t="shared" si="558"/>
        <v>36</v>
      </c>
      <c r="CZ64" s="237">
        <f>CS64*POWER(KLslave,SIGN(CP64))*POWER(FFslave,SIGN(CS64))+CS64*POWER(KLslave,SIGN(CP64))*POWER(FFslave,SIGN(CS64))+CP64*POWER(FFslave,SIGN(CS64))*POWER(FFslave,SIGN(CS64))</f>
        <v>2304</v>
      </c>
      <c r="DA64" s="234">
        <f>CP64*CS64*FFslave+CP64*FFslave*CS64+KLslave*CS64*CS64</f>
        <v>3456</v>
      </c>
      <c r="DB64" s="224">
        <f>CP64*CS64*CS64</f>
        <v>1728</v>
      </c>
      <c r="DC64" s="242">
        <f t="shared" si="637"/>
        <v>7488</v>
      </c>
      <c r="DD64" s="222">
        <f t="shared" si="561"/>
        <v>3.6923076923076925</v>
      </c>
      <c r="DE64" s="223">
        <f t="shared" si="562"/>
        <v>11.076923076923077</v>
      </c>
      <c r="DF64" s="243">
        <f t="shared" si="563"/>
        <v>8.3076923076923084</v>
      </c>
      <c r="DG64" s="218">
        <f t="shared" si="564"/>
        <v>23.07692307692308</v>
      </c>
      <c r="DH64" s="252">
        <f t="shared" si="565"/>
        <v>0</v>
      </c>
      <c r="DI64" s="309">
        <f t="shared" si="566"/>
        <v>23.07692307692308</v>
      </c>
      <c r="DJ64" s="218">
        <f>IF(DG64&gt;0,DG64,0)*4+IF(DG64&gt;12,DG64-12,0)*4+IF(DG64&gt;13,DG64-13,0)*4+IF(DG64&gt;14,DG64-14,0)*4+IF(DG64&gt;15,DG64-15,0)*4+IF(DG64&gt;16,DG64-16,0)*4+IF(DG64&gt;17,DG64-17,0)*4+IF(DG64&gt;18,DG64-18,0)*4+IF(DG64&gt;19,DG64-19,0)*4+IF(DG64&gt;20,DG64-20,0)*4</f>
        <v>347.07692307692321</v>
      </c>
      <c r="DK64" s="242">
        <f>IF(DH64&gt;0,DH64,0)*4+IF(DH64&gt;12,DH64-12,0)*4+IF(DH64&gt;13,DH64-13,0)*4+IF(DH64&gt;14,DH64-14,0)*4+IF(DH64&gt;15,DH64-15,0)*4+IF(DH64&gt;16,DH64-16,0)*4+IF(DH64&gt;17,DH64-17,0)*4+IF(DH64&gt;18,DH64-18,0)*4+IF(DH64&gt;19,DH64-19,0)*4+IF(DH64&gt;20,DH64-20,0)*4</f>
        <v>0</v>
      </c>
      <c r="DL64" s="243">
        <f t="shared" si="567"/>
        <v>347.07692307692321</v>
      </c>
      <c r="DM64" s="218">
        <f t="shared" si="568"/>
        <v>0</v>
      </c>
      <c r="DO64" s="303" t="s">
        <v>55</v>
      </c>
      <c r="DP64" s="243" t="s">
        <v>102</v>
      </c>
      <c r="DQ64" s="218" t="s">
        <v>134</v>
      </c>
      <c r="DR64" s="237"/>
      <c r="DS64" s="234">
        <f>Konvention_1slave-KLslave</f>
        <v>12</v>
      </c>
      <c r="DT64" s="234"/>
      <c r="DU64" s="234"/>
      <c r="DV64" s="234">
        <f t="shared" ref="DV64:DV73" si="656">Konvention_1slave-FFslave</f>
        <v>12</v>
      </c>
      <c r="DW64" s="234"/>
      <c r="DX64" s="234"/>
      <c r="DY64" s="224"/>
      <c r="DZ64" s="222">
        <f>(DS64+DV64+DV64)/3</f>
        <v>12</v>
      </c>
      <c r="EA64" s="223">
        <f t="shared" si="570"/>
        <v>24</v>
      </c>
      <c r="EB64" s="224">
        <f t="shared" si="571"/>
        <v>36</v>
      </c>
      <c r="EC64" s="237">
        <f>DV64*POWER(KLslave,SIGN(DS64))*POWER(FFslave,SIGN(DV64))+DV64*POWER(KLslave,SIGN(DS64))*POWER(FFslave,SIGN(DV64))+DS64*POWER(FFslave,SIGN(DV64))*POWER(FFslave,SIGN(DV64))</f>
        <v>2304</v>
      </c>
      <c r="ED64" s="234">
        <f>DS64*DV64*FFslave+DS64*FFslave*DV64+KLslave*DV64*DV64</f>
        <v>3456</v>
      </c>
      <c r="EE64" s="224">
        <f>DS64*DV64*DV64</f>
        <v>1728</v>
      </c>
      <c r="EF64" s="242">
        <f t="shared" si="638"/>
        <v>7488</v>
      </c>
      <c r="EG64" s="222">
        <f t="shared" si="574"/>
        <v>3.6923076923076925</v>
      </c>
      <c r="EH64" s="223">
        <f t="shared" si="575"/>
        <v>11.076923076923077</v>
      </c>
      <c r="EI64" s="243">
        <f t="shared" si="576"/>
        <v>8.3076923076923084</v>
      </c>
      <c r="EJ64" s="218">
        <f t="shared" si="577"/>
        <v>23.07692307692308</v>
      </c>
      <c r="EK64" s="252">
        <f t="shared" si="578"/>
        <v>0</v>
      </c>
      <c r="EL64" s="309">
        <f t="shared" si="579"/>
        <v>23.07692307692308</v>
      </c>
      <c r="EM64" s="218">
        <f>IF(EJ64&gt;0,EJ64,0)*4+IF(EJ64&gt;12,EJ64-12,0)*4+IF(EJ64&gt;13,EJ64-13,0)*4+IF(EJ64&gt;14,EJ64-14,0)*4+IF(EJ64&gt;15,EJ64-15,0)*4+IF(EJ64&gt;16,EJ64-16,0)*4+IF(EJ64&gt;17,EJ64-17,0)*4+IF(EJ64&gt;18,EJ64-18,0)*4+IF(EJ64&gt;19,EJ64-19,0)*4+IF(EJ64&gt;20,EJ64-20,0)*4</f>
        <v>347.07692307692321</v>
      </c>
      <c r="EN64" s="242">
        <f>IF(EK64&gt;0,EK64,0)*4+IF(EK64&gt;12,EK64-12,0)*4+IF(EK64&gt;13,EK64-13,0)*4+IF(EK64&gt;14,EK64-14,0)*4+IF(EK64&gt;15,EK64-15,0)*4+IF(EK64&gt;16,EK64-16,0)*4+IF(EK64&gt;17,EK64-17,0)*4+IF(EK64&gt;18,EK64-18,0)*4+IF(EK64&gt;19,EK64-19,0)*4+IF(EK64&gt;20,EK64-20,0)*4</f>
        <v>0</v>
      </c>
      <c r="EO64" s="243">
        <f t="shared" si="580"/>
        <v>347.07692307692321</v>
      </c>
      <c r="EP64" s="218">
        <f t="shared" si="581"/>
        <v>0</v>
      </c>
      <c r="ER64" s="303" t="s">
        <v>55</v>
      </c>
      <c r="ES64" s="243" t="s">
        <v>102</v>
      </c>
      <c r="ET64" s="218" t="s">
        <v>134</v>
      </c>
      <c r="EU64" s="237"/>
      <c r="EV64" s="234">
        <f>Konvention_1slave-KLslave</f>
        <v>12</v>
      </c>
      <c r="EW64" s="234"/>
      <c r="EX64" s="234"/>
      <c r="EY64" s="234">
        <f t="shared" ref="EY64:EY73" si="657">Konvention_1slave-FFslave_FF</f>
        <v>11</v>
      </c>
      <c r="EZ64" s="234"/>
      <c r="FA64" s="234"/>
      <c r="FB64" s="224"/>
      <c r="FC64" s="222">
        <f>(EV64+EY64+EY64)/3</f>
        <v>11.333333333333334</v>
      </c>
      <c r="FD64" s="223">
        <f t="shared" si="583"/>
        <v>22.666666666666668</v>
      </c>
      <c r="FE64" s="224">
        <f t="shared" si="584"/>
        <v>34</v>
      </c>
      <c r="FF64" s="237">
        <f>EY64*POWER(KLslave,SIGN(EV64))*POWER(FFslave_FF,SIGN(EY64))+EY64*POWER(KLslave,SIGN(EV64))*POWER(FFslave_FF,SIGN(EY64))+EV64*POWER(FFslave_FF,SIGN(EY64))*POWER(FFslave_FF,SIGN(EY64))</f>
        <v>2556</v>
      </c>
      <c r="FG64" s="234">
        <f>EV64*EY64*FFslave_FF+EV64*FFslave_FF*EY64+KLslave*EY64*EY64</f>
        <v>3344</v>
      </c>
      <c r="FH64" s="224">
        <f>EV64*EY64*EY64</f>
        <v>1452</v>
      </c>
      <c r="FI64" s="242">
        <f t="shared" si="639"/>
        <v>7352</v>
      </c>
      <c r="FJ64" s="222">
        <f t="shared" si="587"/>
        <v>3.940152339499456</v>
      </c>
      <c r="FK64" s="223">
        <f t="shared" si="588"/>
        <v>10.309756982227059</v>
      </c>
      <c r="FL64" s="243">
        <f t="shared" si="589"/>
        <v>6.714907508161045</v>
      </c>
      <c r="FM64" s="218">
        <f t="shared" si="590"/>
        <v>20.96481682988756</v>
      </c>
      <c r="FN64" s="252">
        <f t="shared" si="591"/>
        <v>0</v>
      </c>
      <c r="FO64" s="309">
        <f t="shared" si="592"/>
        <v>20.96481682988756</v>
      </c>
      <c r="FP64" s="218">
        <f>IF(FM64&gt;0,FM64,0)*4+IF(FM64&gt;12,FM64-12,0)*4+IF(FM64&gt;13,FM64-13,0)*4+IF(FM64&gt;14,FM64-14,0)*4+IF(FM64&gt;15,FM64-15,0)*4+IF(FM64&gt;16,FM64-16,0)*4+IF(FM64&gt;17,FM64-17,0)*4+IF(FM64&gt;18,FM64-18,0)*4+IF(FM64&gt;19,FM64-19,0)*4+IF(FM64&gt;20,FM64-20,0)*4</f>
        <v>262.59267319550236</v>
      </c>
      <c r="FQ64" s="242">
        <f>IF(FN64&gt;0,FN64,0)*4+IF(FN64&gt;12,FN64-12,0)*4+IF(FN64&gt;13,FN64-13,0)*4+IF(FN64&gt;14,FN64-14,0)*4+IF(FN64&gt;15,FN64-15,0)*4+IF(FN64&gt;16,FN64-16,0)*4+IF(FN64&gt;17,FN64-17,0)*4+IF(FN64&gt;18,FN64-18,0)*4+IF(FN64&gt;19,FN64-19,0)*4+IF(FN64&gt;20,FN64-20,0)*4</f>
        <v>0</v>
      </c>
      <c r="FR64" s="243">
        <f t="shared" si="593"/>
        <v>262.59267319550236</v>
      </c>
      <c r="FS64" s="218">
        <f t="shared" si="594"/>
        <v>0</v>
      </c>
      <c r="FU64" s="303" t="s">
        <v>55</v>
      </c>
      <c r="FV64" s="243" t="s">
        <v>102</v>
      </c>
      <c r="FW64" s="218" t="s">
        <v>134</v>
      </c>
      <c r="FX64" s="237"/>
      <c r="FY64" s="234">
        <f>Konvention_1slave-KLslave</f>
        <v>12</v>
      </c>
      <c r="FZ64" s="234"/>
      <c r="GA64" s="234"/>
      <c r="GB64" s="234">
        <f t="shared" ref="GB64:GB73" si="658">Konvention_1slave-FFslave</f>
        <v>12</v>
      </c>
      <c r="GC64" s="234"/>
      <c r="GD64" s="234"/>
      <c r="GE64" s="224"/>
      <c r="GF64" s="222">
        <f>(FY64+GB64+GB64)/3</f>
        <v>12</v>
      </c>
      <c r="GG64" s="223">
        <f t="shared" si="596"/>
        <v>24</v>
      </c>
      <c r="GH64" s="224">
        <f t="shared" si="597"/>
        <v>36</v>
      </c>
      <c r="GI64" s="237">
        <f>GB64*POWER(KLslave,SIGN(FY64))*POWER(FFslave,SIGN(GB64))+GB64*POWER(KLslave,SIGN(FY64))*POWER(FFslave,SIGN(GB64))+FY64*POWER(FFslave,SIGN(GB64))*POWER(FFslave,SIGN(GB64))</f>
        <v>2304</v>
      </c>
      <c r="GJ64" s="234">
        <f>FY64*GB64*FFslave+FY64*FFslave*GB64+KLslave*GB64*GB64</f>
        <v>3456</v>
      </c>
      <c r="GK64" s="224">
        <f>FY64*GB64*GB64</f>
        <v>1728</v>
      </c>
      <c r="GL64" s="242">
        <f t="shared" si="640"/>
        <v>7488</v>
      </c>
      <c r="GM64" s="222">
        <f t="shared" si="600"/>
        <v>3.6923076923076925</v>
      </c>
      <c r="GN64" s="223">
        <f t="shared" si="601"/>
        <v>11.076923076923077</v>
      </c>
      <c r="GO64" s="243">
        <f t="shared" si="602"/>
        <v>8.3076923076923084</v>
      </c>
      <c r="GP64" s="218">
        <f t="shared" si="603"/>
        <v>23.07692307692308</v>
      </c>
      <c r="GQ64" s="252">
        <f t="shared" si="604"/>
        <v>0</v>
      </c>
      <c r="GR64" s="309">
        <f t="shared" si="605"/>
        <v>23.07692307692308</v>
      </c>
      <c r="GS64" s="218">
        <f>IF(GP64&gt;0,GP64,0)*4+IF(GP64&gt;12,GP64-12,0)*4+IF(GP64&gt;13,GP64-13,0)*4+IF(GP64&gt;14,GP64-14,0)*4+IF(GP64&gt;15,GP64-15,0)*4+IF(GP64&gt;16,GP64-16,0)*4+IF(GP64&gt;17,GP64-17,0)*4+IF(GP64&gt;18,GP64-18,0)*4+IF(GP64&gt;19,GP64-19,0)*4+IF(GP64&gt;20,GP64-20,0)*4</f>
        <v>347.07692307692321</v>
      </c>
      <c r="GT64" s="242">
        <f>IF(GQ64&gt;0,GQ64,0)*4+IF(GQ64&gt;12,GQ64-12,0)*4+IF(GQ64&gt;13,GQ64-13,0)*4+IF(GQ64&gt;14,GQ64-14,0)*4+IF(GQ64&gt;15,GQ64-15,0)*4+IF(GQ64&gt;16,GQ64-16,0)*4+IF(GQ64&gt;17,GQ64-17,0)*4+IF(GQ64&gt;18,GQ64-18,0)*4+IF(GQ64&gt;19,GQ64-19,0)*4+IF(GQ64&gt;20,GQ64-20,0)*4</f>
        <v>0</v>
      </c>
      <c r="GU64" s="243">
        <f t="shared" si="606"/>
        <v>347.07692307692321</v>
      </c>
      <c r="GV64" s="218">
        <f t="shared" si="607"/>
        <v>0</v>
      </c>
      <c r="GX64" s="303" t="s">
        <v>55</v>
      </c>
      <c r="GY64" s="243" t="s">
        <v>102</v>
      </c>
      <c r="GZ64" s="218" t="s">
        <v>134</v>
      </c>
      <c r="HA64" s="237"/>
      <c r="HB64" s="234">
        <f>Konvention_1slave-KLslave</f>
        <v>12</v>
      </c>
      <c r="HC64" s="234"/>
      <c r="HD64" s="234"/>
      <c r="HE64" s="234">
        <f t="shared" ref="HE64:HE73" si="659">Konvention_1slave-FFslave</f>
        <v>12</v>
      </c>
      <c r="HF64" s="234"/>
      <c r="HG64" s="234"/>
      <c r="HH64" s="224"/>
      <c r="HI64" s="222">
        <f>(HB64+HE64+HE64)/3</f>
        <v>12</v>
      </c>
      <c r="HJ64" s="223">
        <f t="shared" si="609"/>
        <v>24</v>
      </c>
      <c r="HK64" s="224">
        <f t="shared" si="610"/>
        <v>36</v>
      </c>
      <c r="HL64" s="237">
        <f>HE64*POWER(KLslave,SIGN(HB64))*POWER(FFslave,SIGN(HE64))+HE64*POWER(KLslave,SIGN(HB64))*POWER(FFslave,SIGN(HE64))+HB64*POWER(FFslave,SIGN(HE64))*POWER(FFslave,SIGN(HE64))</f>
        <v>2304</v>
      </c>
      <c r="HM64" s="234">
        <f>HB64*HE64*FFslave+HB64*FFslave*HE64+KLslave*HE64*HE64</f>
        <v>3456</v>
      </c>
      <c r="HN64" s="224">
        <f>HB64*HE64*HE64</f>
        <v>1728</v>
      </c>
      <c r="HO64" s="242">
        <f t="shared" si="641"/>
        <v>7488</v>
      </c>
      <c r="HP64" s="222">
        <f t="shared" si="613"/>
        <v>3.6923076923076925</v>
      </c>
      <c r="HQ64" s="223">
        <f t="shared" si="614"/>
        <v>11.076923076923077</v>
      </c>
      <c r="HR64" s="243">
        <f t="shared" si="615"/>
        <v>8.3076923076923084</v>
      </c>
      <c r="HS64" s="218">
        <f t="shared" si="616"/>
        <v>23.07692307692308</v>
      </c>
      <c r="HT64" s="252">
        <f t="shared" si="617"/>
        <v>0</v>
      </c>
      <c r="HU64" s="309">
        <f t="shared" si="618"/>
        <v>23.07692307692308</v>
      </c>
      <c r="HV64" s="218">
        <f>IF(HS64&gt;0,HS64,0)*4+IF(HS64&gt;12,HS64-12,0)*4+IF(HS64&gt;13,HS64-13,0)*4+IF(HS64&gt;14,HS64-14,0)*4+IF(HS64&gt;15,HS64-15,0)*4+IF(HS64&gt;16,HS64-16,0)*4+IF(HS64&gt;17,HS64-17,0)*4+IF(HS64&gt;18,HS64-18,0)*4+IF(HS64&gt;19,HS64-19,0)*4+IF(HS64&gt;20,HS64-20,0)*4</f>
        <v>347.07692307692321</v>
      </c>
      <c r="HW64" s="242">
        <f>IF(HT64&gt;0,HT64,0)*4+IF(HT64&gt;12,HT64-12,0)*4+IF(HT64&gt;13,HT64-13,0)*4+IF(HT64&gt;14,HT64-14,0)*4+IF(HT64&gt;15,HT64-15,0)*4+IF(HT64&gt;16,HT64-16,0)*4+IF(HT64&gt;17,HT64-17,0)*4+IF(HT64&gt;18,HT64-18,0)*4+IF(HT64&gt;19,HT64-19,0)*4+IF(HT64&gt;20,HT64-20,0)*4</f>
        <v>0</v>
      </c>
      <c r="HX64" s="243">
        <f t="shared" si="619"/>
        <v>347.07692307692321</v>
      </c>
      <c r="HY64" s="218">
        <f t="shared" si="620"/>
        <v>0</v>
      </c>
      <c r="IA64" s="303" t="s">
        <v>55</v>
      </c>
      <c r="IB64" s="243" t="s">
        <v>102</v>
      </c>
      <c r="IC64" s="218" t="s">
        <v>134</v>
      </c>
      <c r="ID64" s="237"/>
      <c r="IE64" s="234">
        <f>Konvention_1slave-KLslave</f>
        <v>12</v>
      </c>
      <c r="IF64" s="234"/>
      <c r="IG64" s="234"/>
      <c r="IH64" s="234">
        <f t="shared" ref="IH64:IH73" si="660">Konvention_1slave-FFslave</f>
        <v>12</v>
      </c>
      <c r="II64" s="234"/>
      <c r="IJ64" s="234"/>
      <c r="IK64" s="224"/>
      <c r="IL64" s="222">
        <f>(IE64+IH64+IH64)/3</f>
        <v>12</v>
      </c>
      <c r="IM64" s="223">
        <f t="shared" si="622"/>
        <v>24</v>
      </c>
      <c r="IN64" s="224">
        <f t="shared" si="623"/>
        <v>36</v>
      </c>
      <c r="IO64" s="237">
        <f>IH64*POWER(KLslave,SIGN(IE64))*POWER(FFslave,SIGN(IH64))+IH64*POWER(KLslave,SIGN(IE64))*POWER(FFslave,SIGN(IH64))+IE64*POWER(FFslave,SIGN(IH64))*POWER(FFslave,SIGN(IH64))</f>
        <v>2304</v>
      </c>
      <c r="IP64" s="234">
        <f>IE64*IH64*FFslave+IE64*FFslave*IH64+KLslave*IH64*IH64</f>
        <v>3456</v>
      </c>
      <c r="IQ64" s="224">
        <f>IE64*IH64*IH64</f>
        <v>1728</v>
      </c>
      <c r="IR64" s="242">
        <f t="shared" si="642"/>
        <v>7488</v>
      </c>
      <c r="IS64" s="222">
        <f t="shared" si="626"/>
        <v>3.6923076923076925</v>
      </c>
      <c r="IT64" s="223">
        <f t="shared" si="627"/>
        <v>11.076923076923077</v>
      </c>
      <c r="IU64" s="243">
        <f t="shared" si="628"/>
        <v>8.3076923076923084</v>
      </c>
      <c r="IV64" s="218">
        <f t="shared" si="629"/>
        <v>23.07692307692308</v>
      </c>
      <c r="IW64" s="252">
        <f t="shared" si="630"/>
        <v>0</v>
      </c>
      <c r="IX64" s="309">
        <f t="shared" si="631"/>
        <v>23.07692307692308</v>
      </c>
      <c r="IY64" s="218">
        <f>IF(IV64&gt;0,IV64,0)*4+IF(IV64&gt;12,IV64-12,0)*4+IF(IV64&gt;13,IV64-13,0)*4+IF(IV64&gt;14,IV64-14,0)*4+IF(IV64&gt;15,IV64-15,0)*4+IF(IV64&gt;16,IV64-16,0)*4+IF(IV64&gt;17,IV64-17,0)*4+IF(IV64&gt;18,IV64-18,0)*4+IF(IV64&gt;19,IV64-19,0)*4+IF(IV64&gt;20,IV64-20,0)*4</f>
        <v>347.07692307692321</v>
      </c>
      <c r="IZ64" s="242">
        <f>IF(IW64&gt;0,IW64,0)*4+IF(IW64&gt;12,IW64-12,0)*4+IF(IW64&gt;13,IW64-13,0)*4+IF(IW64&gt;14,IW64-14,0)*4+IF(IW64&gt;15,IW64-15,0)*4+IF(IW64&gt;16,IW64-16,0)*4+IF(IW64&gt;17,IW64-17,0)*4+IF(IW64&gt;18,IW64-18,0)*4+IF(IW64&gt;19,IW64-19,0)*4+IF(IW64&gt;20,IW64-20,0)*4</f>
        <v>0</v>
      </c>
      <c r="JA64" s="243">
        <f t="shared" si="632"/>
        <v>347.07692307692321</v>
      </c>
      <c r="JB64" s="218">
        <f t="shared" si="633"/>
        <v>0</v>
      </c>
      <c r="JE64" s="148"/>
    </row>
    <row r="65" spans="1:265" hidden="1" outlineLevel="2">
      <c r="B65" s="148">
        <v>9</v>
      </c>
      <c r="C65" s="303" t="e">
        <f>VLOOKUP(AF65,Attribute!C:T,1,FALSE)</f>
        <v>#N/A</v>
      </c>
      <c r="D65" s="127" t="s">
        <v>98</v>
      </c>
      <c r="E65" s="125" t="s">
        <v>132</v>
      </c>
      <c r="F65" s="114"/>
      <c r="G65" s="113"/>
      <c r="H65" s="113"/>
      <c r="I65" s="113"/>
      <c r="J65" s="113">
        <f t="shared" si="652"/>
        <v>12</v>
      </c>
      <c r="K65" s="113">
        <f>Konvention_1master-GEmaster</f>
        <v>12</v>
      </c>
      <c r="L65" s="113"/>
      <c r="M65" s="119">
        <f>Konvention_1master-KKmaster</f>
        <v>12</v>
      </c>
      <c r="N65" s="222">
        <f>(F65+G65+H65+I65+J65+K65+L65+M65)/3</f>
        <v>12</v>
      </c>
      <c r="O65" s="223">
        <f t="shared" si="519"/>
        <v>24</v>
      </c>
      <c r="P65" s="224">
        <f t="shared" si="520"/>
        <v>36</v>
      </c>
      <c r="Q65" s="237">
        <f>F65*POWER(KLmaster,SIGN(G65))*POWER(INmaster,SIGN(H65))*POWER(CHmaster,SIGN(I65))*POWER(FFmaster,SIGN(J65))*POWER(GEmaster,SIGN(K65))*POWER(KOmaster,SIGN(L65))*POWER(KKmaster,SIGN(M65))+G65*POWER(MUmaster,SIGN(F65))*POWER(INmaster,SIGN(H65))*POWER(CHmaster,SIGN(I65))*POWER(FFmaster,SIGN(J65))*POWER(GEmaster,SIGN(K65))*POWER(KOmaster,SIGN(L65))*POWER(KKmaster,SIGN(M65))+H65*POWER(MUmaster,SIGN(F65))*POWER(KLmaster,SIGN(G65))*POWER(CHmaster,SIGN(I65))*POWER(FFmaster,SIGN(J65))*POWER(GEmaster,SIGN(K65))*POWER(KOmaster,SIGN(L65))*POWER(KKmaster,SIGN(M65))+I65*POWER(MUmaster,SIGN(F65))*POWER(KLmaster,SIGN(G65))*POWER(INmaster,SIGN(H65))*POWER(FFmaster,SIGN(J65))*POWER(GEmaster,SIGN(K65))*POWER(KOmaster,SIGN(L65))*POWER(KKmaster,SIGN(M65))+J65*POWER(MUmaster,SIGN(F65))*POWER(KLmaster,SIGN(G65))*POWER(INmaster,SIGN(H65))*POWER(CHmaster,SIGN(I65))*POWER(GEmaster,SIGN(K65))*POWER(KOmaster,SIGN(L65))*POWER(KKmaster,SIGN(M65))+K65*POWER(MUmaster,SIGN(F65))*POWER(KLmaster,SIGN(G65))*POWER(INmaster,SIGN(H65))*POWER(CHmaster,SIGN(I65))*POWER(FFmaster,SIGN(J65))*POWER(KOmaster,SIGN(L65))*POWER(KKmaster,SIGN(M65))+L65*POWER(MUmaster,SIGN(F65))*POWER(KLmaster,SIGN(G65))*POWER(INmaster,SIGN(H65))*POWER(CHmaster,SIGN(I65))*POWER(FFmaster,SIGN(J65))*POWER(GEmaster,SIGN(K65))*POWER(KKmaster,SIGN(M65))+M65*POWER(MUmaster,SIGN(F65))*POWER(KLmaster,SIGN(G65))*POWER(INmaster,SIGN(H65))*POWER(CHmaster,SIGN(I65))*POWER(FFmaster,SIGN(J65))*POWER(GEmaster,SIGN(K65))*POWER(KOmaster,SIGN(L65))</f>
        <v>2304</v>
      </c>
      <c r="R65" s="113">
        <f>J65*K65*KKmaster+J65*GEmaster*M65+FFmaster*K65*M65</f>
        <v>3456</v>
      </c>
      <c r="S65" s="224">
        <f t="shared" si="522"/>
        <v>1728</v>
      </c>
      <c r="T65" s="242">
        <f t="shared" si="634"/>
        <v>7488</v>
      </c>
      <c r="U65" s="222">
        <f t="shared" si="523"/>
        <v>3.6923076923076925</v>
      </c>
      <c r="V65" s="223">
        <f t="shared" si="524"/>
        <v>11.076923076923077</v>
      </c>
      <c r="W65" s="243">
        <f t="shared" si="525"/>
        <v>8.3076923076923084</v>
      </c>
      <c r="X65" s="218">
        <f t="shared" si="526"/>
        <v>23.07692307692308</v>
      </c>
      <c r="Y65" s="252">
        <v>0</v>
      </c>
      <c r="Z65" s="198">
        <f t="shared" si="527"/>
        <v>23.07692307692308</v>
      </c>
      <c r="AA65" s="125">
        <f>IF(X65&gt;0,X65,0)*2+IF(X65&gt;12,X65-12,0)*2+IF(X65&gt;13,X65-13,0)*2+IF(X65&gt;14,X65-14,0)*2+IF(X65&gt;15,X65-15,0)*2+IF(X65&gt;16,X65-16,0)*2+IF(X65&gt;17,X65-17,0)*2+IF(X65&gt;18,X65-18,0)*2+IF(X65&gt;19,X65-19,0)*2+IF(X65&gt;20,X65-20,0)*2</f>
        <v>173.5384615384616</v>
      </c>
      <c r="AB65" s="160">
        <f>IF(Y65&gt;0,Y65,0)*2+IF(Y65&gt;12,Y65-12,0)*2+IF(Y65&gt;13,Y65-13,0)*2+IF(Y65&gt;14,Y65-14,0)*2+IF(Y65&gt;15,Y65-15,0)*2+IF(Y65&gt;16,Y65-16,0)*2+IF(Y65&gt;17,Y65-17,0)*2+IF(Y65&gt;18,Y65-18,0)*2+IF(Y65&gt;19,Y65-19,0)*2+IF(Y65&gt;20,Y65-20,0)*2</f>
        <v>0</v>
      </c>
      <c r="AC65" s="127">
        <f t="shared" si="528"/>
        <v>173.5384615384616</v>
      </c>
      <c r="AD65" s="125">
        <f t="shared" si="529"/>
        <v>0</v>
      </c>
      <c r="AF65" s="163" t="s">
        <v>56</v>
      </c>
      <c r="AG65" s="127" t="s">
        <v>98</v>
      </c>
      <c r="AH65" s="125" t="s">
        <v>132</v>
      </c>
      <c r="AI65" s="114"/>
      <c r="AJ65" s="113"/>
      <c r="AK65" s="113"/>
      <c r="AL65" s="113"/>
      <c r="AM65" s="113">
        <f t="shared" si="653"/>
        <v>12</v>
      </c>
      <c r="AN65" s="113">
        <f>Konvention_1slave-GEslave</f>
        <v>12</v>
      </c>
      <c r="AO65" s="113"/>
      <c r="AP65" s="119">
        <f>Konvention_1slave-KKslave</f>
        <v>12</v>
      </c>
      <c r="AQ65" s="89">
        <f>(AI65+AJ65+AK65+AL65+AM65+AN65+AO65+AP65)/3</f>
        <v>12</v>
      </c>
      <c r="AR65" s="47">
        <f t="shared" si="531"/>
        <v>24</v>
      </c>
      <c r="AS65" s="119">
        <f t="shared" si="532"/>
        <v>36</v>
      </c>
      <c r="AT65" s="114">
        <f>AI65*POWER(KLslave,SIGN(AJ65))*POWER(INslave,SIGN(AK65))*POWER(CHslave,SIGN(AL65))*POWER(FFslave,SIGN(AM65))*POWER(GEslave,SIGN(AN65))*POWER(KOslave,SIGN(AO65))*POWER(KKslave,SIGN(AP65))+AJ65*POWER(MUslave_MU,SIGN(AI65))*POWER(INslave,SIGN(AK65))*POWER(CHslave,SIGN(AL65))*POWER(FFslave,SIGN(AM65))*POWER(GEslave,SIGN(AN65))*POWER(KOslave,SIGN(AO65))*POWER(KKslave,SIGN(AP65))+AK65*POWER(MUslave_MU,SIGN(AI65))*POWER(KLslave,SIGN(AJ65))*POWER(CHslave,SIGN(AL65))*POWER(FFslave,SIGN(AM65))*POWER(GEslave,SIGN(AN65))*POWER(KOslave,SIGN(AO65))*POWER(KKslave,SIGN(AP65))+AL65*POWER(MUslave_MU,SIGN(AI65))*POWER(KLslave,SIGN(AJ65))*POWER(INslave,SIGN(AK65))*POWER(FFslave,SIGN(AM65))*POWER(GEslave,SIGN(AN65))*POWER(KOslave,SIGN(AO65))*POWER(KKslave,SIGN(AP65))+AM65*POWER(MUslave_MU,SIGN(AI65))*POWER(KLslave,SIGN(AJ65))*POWER(INslave,SIGN(AK65))*POWER(CHslave,SIGN(AL65))*POWER(GEslave,SIGN(AN65))*POWER(KOslave,SIGN(AO65))*POWER(KKslave,SIGN(AP65))+AN65*POWER(MUslave_MU,SIGN(AI65))*POWER(KLslave,SIGN(AJ65))*POWER(INslave,SIGN(AK65))*POWER(CHslave,SIGN(AL65))*POWER(FFslave,SIGN(AM65))*POWER(KOslave,SIGN(AO65))*POWER(KKslave,SIGN(AP65))+AO65*POWER(MUslave_MU,SIGN(AI65))*POWER(KLslave,SIGN(AJ65))*POWER(INslave,SIGN(AK65))*POWER(CHslave,SIGN(AL65))*POWER(FFslave,SIGN(AM65))*POWER(GEslave,SIGN(AN65))*POWER(KKslave,SIGN(AP65))+AP65*POWER(MUslave_MU,SIGN(AI65))*POWER(KLslave,SIGN(AJ65))*POWER(INslave,SIGN(AK65))*POWER(CHslave,SIGN(AL65))*POWER(FFslave,SIGN(AM65))*POWER(GEslave,SIGN(AN65))*POWER(KOslave,SIGN(AO65))</f>
        <v>2304</v>
      </c>
      <c r="AU65" s="113">
        <f>AM65*AN65*KKslave+AM65*GEslave*AP65+FFslave*AN65*AP65</f>
        <v>3456</v>
      </c>
      <c r="AV65" s="119">
        <f t="shared" si="534"/>
        <v>1728</v>
      </c>
      <c r="AW65" s="160">
        <f t="shared" si="635"/>
        <v>7488</v>
      </c>
      <c r="AX65" s="89">
        <f t="shared" si="535"/>
        <v>3.6923076923076925</v>
      </c>
      <c r="AY65" s="47">
        <f t="shared" si="536"/>
        <v>11.076923076923077</v>
      </c>
      <c r="AZ65" s="127">
        <f t="shared" si="537"/>
        <v>8.3076923076923084</v>
      </c>
      <c r="BA65" s="125">
        <f t="shared" si="538"/>
        <v>23.07692307692308</v>
      </c>
      <c r="BB65" s="165">
        <f t="shared" si="539"/>
        <v>0</v>
      </c>
      <c r="BC65" s="198">
        <f t="shared" si="540"/>
        <v>23.07692307692308</v>
      </c>
      <c r="BD65" s="125">
        <f>IF(BA65&gt;0,BA65,0)*2+IF(BA65&gt;12,BA65-12,0)*2+IF(BA65&gt;13,BA65-13,0)*2+IF(BA65&gt;14,BA65-14,0)*2+IF(BA65&gt;15,BA65-15,0)*2+IF(BA65&gt;16,BA65-16,0)*2+IF(BA65&gt;17,BA65-17,0)*2+IF(BA65&gt;18,BA65-18,0)*2+IF(BA65&gt;19,BA65-19,0)*2+IF(BA65&gt;20,BA65-20,0)*2</f>
        <v>173.5384615384616</v>
      </c>
      <c r="BE65" s="160">
        <f>IF(BB65&gt;0,BB65,0)*2+IF(BB65&gt;12,BB65-12,0)*2+IF(BB65&gt;13,BB65-13,0)*2+IF(BB65&gt;14,BB65-14,0)*2+IF(BB65&gt;15,BB65-15,0)*2+IF(BB65&gt;16,BB65-16,0)*2+IF(BB65&gt;17,BB65-17,0)*2+IF(BB65&gt;18,BB65-18,0)*2+IF(BB65&gt;19,BB65-19,0)*2+IF(BB65&gt;20,BB65-20,0)*2</f>
        <v>0</v>
      </c>
      <c r="BF65" s="243">
        <f t="shared" si="541"/>
        <v>173.5384615384616</v>
      </c>
      <c r="BG65" s="218">
        <f t="shared" si="542"/>
        <v>0</v>
      </c>
      <c r="BI65" s="303" t="s">
        <v>56</v>
      </c>
      <c r="BJ65" s="243" t="s">
        <v>98</v>
      </c>
      <c r="BK65" s="218" t="s">
        <v>132</v>
      </c>
      <c r="BL65" s="237"/>
      <c r="BM65" s="234"/>
      <c r="BN65" s="234"/>
      <c r="BO65" s="234"/>
      <c r="BP65" s="234">
        <f t="shared" si="654"/>
        <v>12</v>
      </c>
      <c r="BQ65" s="234">
        <f>Konvention_1slave-GEslave</f>
        <v>12</v>
      </c>
      <c r="BR65" s="234"/>
      <c r="BS65" s="224">
        <f>Konvention_1slave-KKslave</f>
        <v>12</v>
      </c>
      <c r="BT65" s="222">
        <f>(BL65+BM65+BN65+BO65+BP65+BQ65+BR65+BS65)/3</f>
        <v>12</v>
      </c>
      <c r="BU65" s="223">
        <f t="shared" si="544"/>
        <v>24</v>
      </c>
      <c r="BV65" s="224">
        <f t="shared" si="545"/>
        <v>36</v>
      </c>
      <c r="BW65" s="237">
        <f>BL65*POWER(KLslave_KL,SIGN(BM65))*POWER(INslave,SIGN(BN65))*POWER(CHslave,SIGN(BO65))*POWER(FFslave,SIGN(BP65))*POWER(GEslave,SIGN(BQ65))*POWER(KOslave,SIGN(BR65))*POWER(KKslave,SIGN(BS65))+BM65*POWER(MUslave,SIGN(BL65))*POWER(INslave,SIGN(BN65))*POWER(CHslave,SIGN(BO65))*POWER(FFslave,SIGN(BP65))*POWER(GEslave,SIGN(BQ65))*POWER(KOslave,SIGN(BR65))*POWER(KKslave,SIGN(BS65))+BN65*POWER(MUslave,SIGN(BL65))*POWER(KLslave_KL,SIGN(BM65))*POWER(CHslave,SIGN(BO65))*POWER(FFslave,SIGN(BP65))*POWER(GEslave,SIGN(BQ65))*POWER(KOslave,SIGN(BR65))*POWER(KKslave,SIGN(BS65))+BO65*POWER(MUslave,SIGN(BL65))*POWER(KLslave_KL,SIGN(BM65))*POWER(INslave,SIGN(BN65))*POWER(FFslave,SIGN(BP65))*POWER(GEslave,SIGN(BQ65))*POWER(KOslave,SIGN(BR65))*POWER(KKslave,SIGN(BS65))+BP65*POWER(MUslave,SIGN(BL65))*POWER(KLslave_KL,SIGN(BM65))*POWER(INslave,SIGN(BN65))*POWER(CHslave,SIGN(BO65))*POWER(GEslave,SIGN(BQ65))*POWER(KOslave,SIGN(BR65))*POWER(KKslave,SIGN(BS65))+BQ65*POWER(MUslave,SIGN(BL65))*POWER(KLslave_KL,SIGN(BM65))*POWER(INslave,SIGN(BN65))*POWER(CHslave,SIGN(BO65))*POWER(FFslave,SIGN(BP65))*POWER(KOslave,SIGN(BR65))*POWER(KKslave,SIGN(BS65))+BR65*POWER(MUslave,SIGN(BL65))*POWER(KLslave_KL,SIGN(BM65))*POWER(INslave,SIGN(BN65))*POWER(CHslave,SIGN(BO65))*POWER(FFslave,SIGN(BP65))*POWER(GEslave,SIGN(BQ65))*POWER(KKslave,SIGN(BS65))+BS65*POWER(MUslave,SIGN(BL65))*POWER(KLslave_KL,SIGN(BM65))*POWER(INslave,SIGN(BN65))*POWER(CHslave,SIGN(BO65))*POWER(FFslave,SIGN(BP65))*POWER(GEslave,SIGN(BQ65))*POWER(KOslave,SIGN(BR65))</f>
        <v>2304</v>
      </c>
      <c r="BX65" s="234">
        <f>BP65*BQ65*KKslave+BP65*GEslave*BS65+FFslave*BQ65*BS65</f>
        <v>3456</v>
      </c>
      <c r="BY65" s="224">
        <f t="shared" si="547"/>
        <v>1728</v>
      </c>
      <c r="BZ65" s="242">
        <f t="shared" si="636"/>
        <v>7488</v>
      </c>
      <c r="CA65" s="222">
        <f t="shared" si="548"/>
        <v>3.6923076923076925</v>
      </c>
      <c r="CB65" s="223">
        <f t="shared" si="549"/>
        <v>11.076923076923077</v>
      </c>
      <c r="CC65" s="243">
        <f t="shared" si="550"/>
        <v>8.3076923076923084</v>
      </c>
      <c r="CD65" s="218">
        <f t="shared" si="551"/>
        <v>23.07692307692308</v>
      </c>
      <c r="CE65" s="252">
        <f t="shared" si="552"/>
        <v>0</v>
      </c>
      <c r="CF65" s="309">
        <f t="shared" si="553"/>
        <v>23.07692307692308</v>
      </c>
      <c r="CG65" s="218">
        <f>IF(CD65&gt;0,CD65,0)*2+IF(CD65&gt;12,CD65-12,0)*2+IF(CD65&gt;13,CD65-13,0)*2+IF(CD65&gt;14,CD65-14,0)*2+IF(CD65&gt;15,CD65-15,0)*2+IF(CD65&gt;16,CD65-16,0)*2+IF(CD65&gt;17,CD65-17,0)*2+IF(CD65&gt;18,CD65-18,0)*2+IF(CD65&gt;19,CD65-19,0)*2+IF(CD65&gt;20,CD65-20,0)*2</f>
        <v>173.5384615384616</v>
      </c>
      <c r="CH65" s="242">
        <f>IF(CE65&gt;0,CE65,0)*2+IF(CE65&gt;12,CE65-12,0)*2+IF(CE65&gt;13,CE65-13,0)*2+IF(CE65&gt;14,CE65-14,0)*2+IF(CE65&gt;15,CE65-15,0)*2+IF(CE65&gt;16,CE65-16,0)*2+IF(CE65&gt;17,CE65-17,0)*2+IF(CE65&gt;18,CE65-18,0)*2+IF(CE65&gt;19,CE65-19,0)*2+IF(CE65&gt;20,CE65-20,0)*2</f>
        <v>0</v>
      </c>
      <c r="CI65" s="243">
        <f t="shared" si="554"/>
        <v>173.5384615384616</v>
      </c>
      <c r="CJ65" s="218">
        <f t="shared" si="555"/>
        <v>0</v>
      </c>
      <c r="CL65" s="303" t="s">
        <v>56</v>
      </c>
      <c r="CM65" s="243" t="s">
        <v>98</v>
      </c>
      <c r="CN65" s="218" t="s">
        <v>132</v>
      </c>
      <c r="CO65" s="237"/>
      <c r="CP65" s="234"/>
      <c r="CQ65" s="234"/>
      <c r="CR65" s="234"/>
      <c r="CS65" s="234">
        <f t="shared" si="655"/>
        <v>12</v>
      </c>
      <c r="CT65" s="234">
        <f>Konvention_1slave-GEslave</f>
        <v>12</v>
      </c>
      <c r="CU65" s="234"/>
      <c r="CV65" s="224">
        <f>Konvention_1slave-KKslave</f>
        <v>12</v>
      </c>
      <c r="CW65" s="222">
        <f>(CO65+CP65+CQ65+CR65+CS65+CT65+CU65+CV65)/3</f>
        <v>12</v>
      </c>
      <c r="CX65" s="223">
        <f t="shared" si="557"/>
        <v>24</v>
      </c>
      <c r="CY65" s="224">
        <f t="shared" si="558"/>
        <v>36</v>
      </c>
      <c r="CZ65" s="237">
        <f>CO65*POWER(KLslave,SIGN(CP65))*POWER(INslave_IN,SIGN(CQ65))*POWER(CHslave,SIGN(CR65))*POWER(FFslave,SIGN(CS65))*POWER(GEslave,SIGN(CT65))*POWER(KOslave,SIGN(CU65))*POWER(KKslave,SIGN(CV65))+CP65*POWER(MUslave,SIGN(CO65))*POWER(INslave_IN,SIGN(CQ65))*POWER(CHslave,SIGN(CR65))*POWER(FFslave,SIGN(CS65))*POWER(GEslave,SIGN(CT65))*POWER(KOslave,SIGN(CU65))*POWER(KKslave,SIGN(CV65))+CQ65*POWER(MUslave,SIGN(CO65))*POWER(KLslave,SIGN(CP65))*POWER(CHslave,SIGN(CR65))*POWER(FFslave,SIGN(CS65))*POWER(GEslave,SIGN(CT65))*POWER(KOslave,SIGN(CU65))*POWER(KKslave,SIGN(CV65))+CR65*POWER(MUslave,SIGN(CO65))*POWER(KLslave,SIGN(CP65))*POWER(INslave_IN,SIGN(CQ65))*POWER(FFslave,SIGN(CS65))*POWER(GEslave,SIGN(CT65))*POWER(KOslave,SIGN(CU65))*POWER(KKslave,SIGN(CV65))+CS65*POWER(MUslave,SIGN(CO65))*POWER(KLslave,SIGN(CP65))*POWER(INslave_IN,SIGN(CQ65))*POWER(CHslave,SIGN(CR65))*POWER(GEslave,SIGN(CT65))*POWER(KOslave,SIGN(CU65))*POWER(KKslave,SIGN(CV65))+CT65*POWER(MUslave,SIGN(CO65))*POWER(KLslave,SIGN(CP65))*POWER(INslave_IN,SIGN(CQ65))*POWER(CHslave,SIGN(CR65))*POWER(FFslave,SIGN(CS65))*POWER(KOslave,SIGN(CU65))*POWER(KKslave,SIGN(CV65))+CU65*POWER(MUslave,SIGN(CO65))*POWER(KLslave,SIGN(CP65))*POWER(INslave_IN,SIGN(CQ65))*POWER(CHslave,SIGN(CR65))*POWER(FFslave,SIGN(CS65))*POWER(GEslave,SIGN(CT65))*POWER(KKslave,SIGN(CV65))+CV65*POWER(MUslave,SIGN(CO65))*POWER(KLslave,SIGN(CP65))*POWER(INslave_IN,SIGN(CQ65))*POWER(CHslave,SIGN(CR65))*POWER(FFslave,SIGN(CS65))*POWER(GEslave,SIGN(CT65))*POWER(KOslave,SIGN(CU65))</f>
        <v>2304</v>
      </c>
      <c r="DA65" s="234">
        <f>CS65*CT65*KKslave+CS65*GEslave*CV65+FFslave*CT65*CV65</f>
        <v>3456</v>
      </c>
      <c r="DB65" s="224">
        <f t="shared" si="560"/>
        <v>1728</v>
      </c>
      <c r="DC65" s="242">
        <f t="shared" si="637"/>
        <v>7488</v>
      </c>
      <c r="DD65" s="222">
        <f t="shared" si="561"/>
        <v>3.6923076923076925</v>
      </c>
      <c r="DE65" s="223">
        <f t="shared" si="562"/>
        <v>11.076923076923077</v>
      </c>
      <c r="DF65" s="243">
        <f t="shared" si="563"/>
        <v>8.3076923076923084</v>
      </c>
      <c r="DG65" s="218">
        <f t="shared" si="564"/>
        <v>23.07692307692308</v>
      </c>
      <c r="DH65" s="252">
        <f t="shared" si="565"/>
        <v>0</v>
      </c>
      <c r="DI65" s="309">
        <f t="shared" si="566"/>
        <v>23.07692307692308</v>
      </c>
      <c r="DJ65" s="218">
        <f>IF(DG65&gt;0,DG65,0)*2+IF(DG65&gt;12,DG65-12,0)*2+IF(DG65&gt;13,DG65-13,0)*2+IF(DG65&gt;14,DG65-14,0)*2+IF(DG65&gt;15,DG65-15,0)*2+IF(DG65&gt;16,DG65-16,0)*2+IF(DG65&gt;17,DG65-17,0)*2+IF(DG65&gt;18,DG65-18,0)*2+IF(DG65&gt;19,DG65-19,0)*2+IF(DG65&gt;20,DG65-20,0)*2</f>
        <v>173.5384615384616</v>
      </c>
      <c r="DK65" s="242">
        <f>IF(DH65&gt;0,DH65,0)*2+IF(DH65&gt;12,DH65-12,0)*2+IF(DH65&gt;13,DH65-13,0)*2+IF(DH65&gt;14,DH65-14,0)*2+IF(DH65&gt;15,DH65-15,0)*2+IF(DH65&gt;16,DH65-16,0)*2+IF(DH65&gt;17,DH65-17,0)*2+IF(DH65&gt;18,DH65-18,0)*2+IF(DH65&gt;19,DH65-19,0)*2+IF(DH65&gt;20,DH65-20,0)*2</f>
        <v>0</v>
      </c>
      <c r="DL65" s="243">
        <f t="shared" si="567"/>
        <v>173.5384615384616</v>
      </c>
      <c r="DM65" s="218">
        <f t="shared" si="568"/>
        <v>0</v>
      </c>
      <c r="DO65" s="303" t="s">
        <v>56</v>
      </c>
      <c r="DP65" s="243" t="s">
        <v>98</v>
      </c>
      <c r="DQ65" s="218" t="s">
        <v>132</v>
      </c>
      <c r="DR65" s="237"/>
      <c r="DS65" s="234"/>
      <c r="DT65" s="234"/>
      <c r="DU65" s="234"/>
      <c r="DV65" s="234">
        <f t="shared" si="656"/>
        <v>12</v>
      </c>
      <c r="DW65" s="234">
        <f>Konvention_1slave-GEslave</f>
        <v>12</v>
      </c>
      <c r="DX65" s="234"/>
      <c r="DY65" s="224">
        <f>Konvention_1slave-KKslave</f>
        <v>12</v>
      </c>
      <c r="DZ65" s="222">
        <f>(DR65+DS65+DT65+DU65+DV65+DW65+DX65+DY65)/3</f>
        <v>12</v>
      </c>
      <c r="EA65" s="223">
        <f t="shared" si="570"/>
        <v>24</v>
      </c>
      <c r="EB65" s="224">
        <f t="shared" si="571"/>
        <v>36</v>
      </c>
      <c r="EC65" s="237">
        <f>DR65*POWER(KLslave,SIGN(DS65))*POWER(INslave,SIGN(DT65))*POWER(CHslave_CH,SIGN(DU65))*POWER(FFslave,SIGN(DV65))*POWER(GEslave,SIGN(DW65))*POWER(KOslave,SIGN(DX65))*POWER(KKslave,SIGN(DY65))+DS65*POWER(MUslave,SIGN(DR65))*POWER(INslave,SIGN(DT65))*POWER(CHslave_CH,SIGN(DU65))*POWER(FFslave,SIGN(DV65))*POWER(GEslave,SIGN(DW65))*POWER(KOslave,SIGN(DX65))*POWER(KKslave,SIGN(DY65))+DT65*POWER(MUslave,SIGN(DR65))*POWER(KLslave,SIGN(DS65))*POWER(CHslave_CH,SIGN(DU65))*POWER(FFslave,SIGN(DV65))*POWER(GEslave,SIGN(DW65))*POWER(KOslave,SIGN(DX65))*POWER(KKslave,SIGN(DY65))+DU65*POWER(MUslave,SIGN(DR65))*POWER(KLslave,SIGN(DS65))*POWER(INslave,SIGN(DT65))*POWER(FFslave,SIGN(DV65))*POWER(GEslave,SIGN(DW65))*POWER(KOslave,SIGN(DX65))*POWER(KKslave,SIGN(DY65))+DV65*POWER(MUslave,SIGN(DR65))*POWER(KLslave,SIGN(DS65))*POWER(INslave,SIGN(DT65))*POWER(CHslave_CH,SIGN(DU65))*POWER(GEslave,SIGN(DW65))*POWER(KOslave,SIGN(DX65))*POWER(KKslave,SIGN(DY65))+DW65*POWER(MUslave,SIGN(DR65))*POWER(KLslave,SIGN(DS65))*POWER(INslave,SIGN(DT65))*POWER(CHslave_CH,SIGN(DU65))*POWER(FFslave,SIGN(DV65))*POWER(KOslave,SIGN(DX65))*POWER(KKslave,SIGN(DY65))+DX65*POWER(MUslave,SIGN(DR65))*POWER(KLslave,SIGN(DS65))*POWER(INslave,SIGN(DT65))*POWER(CHslave_CH,SIGN(DU65))*POWER(FFslave,SIGN(DV65))*POWER(GEslave,SIGN(DW65))*POWER(KKslave,SIGN(DY65))+DY65*POWER(MUslave,SIGN(DR65))*POWER(KLslave,SIGN(DS65))*POWER(INslave,SIGN(DT65))*POWER(CHslave_CH,SIGN(DU65))*POWER(FFslave,SIGN(DV65))*POWER(GEslave,SIGN(DW65))*POWER(KOslave,SIGN(DX65))</f>
        <v>2304</v>
      </c>
      <c r="ED65" s="234">
        <f>DV65*DW65*KKslave+DV65*GEslave*DY65+FFslave*DW65*DY65</f>
        <v>3456</v>
      </c>
      <c r="EE65" s="224">
        <f t="shared" si="573"/>
        <v>1728</v>
      </c>
      <c r="EF65" s="242">
        <f t="shared" si="638"/>
        <v>7488</v>
      </c>
      <c r="EG65" s="222">
        <f t="shared" si="574"/>
        <v>3.6923076923076925</v>
      </c>
      <c r="EH65" s="223">
        <f t="shared" si="575"/>
        <v>11.076923076923077</v>
      </c>
      <c r="EI65" s="243">
        <f t="shared" si="576"/>
        <v>8.3076923076923084</v>
      </c>
      <c r="EJ65" s="218">
        <f t="shared" si="577"/>
        <v>23.07692307692308</v>
      </c>
      <c r="EK65" s="252">
        <f t="shared" si="578"/>
        <v>0</v>
      </c>
      <c r="EL65" s="309">
        <f t="shared" si="579"/>
        <v>23.07692307692308</v>
      </c>
      <c r="EM65" s="218">
        <f>IF(EJ65&gt;0,EJ65,0)*2+IF(EJ65&gt;12,EJ65-12,0)*2+IF(EJ65&gt;13,EJ65-13,0)*2+IF(EJ65&gt;14,EJ65-14,0)*2+IF(EJ65&gt;15,EJ65-15,0)*2+IF(EJ65&gt;16,EJ65-16,0)*2+IF(EJ65&gt;17,EJ65-17,0)*2+IF(EJ65&gt;18,EJ65-18,0)*2+IF(EJ65&gt;19,EJ65-19,0)*2+IF(EJ65&gt;20,EJ65-20,0)*2</f>
        <v>173.5384615384616</v>
      </c>
      <c r="EN65" s="242">
        <f>IF(EK65&gt;0,EK65,0)*2+IF(EK65&gt;12,EK65-12,0)*2+IF(EK65&gt;13,EK65-13,0)*2+IF(EK65&gt;14,EK65-14,0)*2+IF(EK65&gt;15,EK65-15,0)*2+IF(EK65&gt;16,EK65-16,0)*2+IF(EK65&gt;17,EK65-17,0)*2+IF(EK65&gt;18,EK65-18,0)*2+IF(EK65&gt;19,EK65-19,0)*2+IF(EK65&gt;20,EK65-20,0)*2</f>
        <v>0</v>
      </c>
      <c r="EO65" s="243">
        <f t="shared" si="580"/>
        <v>173.5384615384616</v>
      </c>
      <c r="EP65" s="218">
        <f t="shared" si="581"/>
        <v>0</v>
      </c>
      <c r="ER65" s="303" t="s">
        <v>56</v>
      </c>
      <c r="ES65" s="243" t="s">
        <v>98</v>
      </c>
      <c r="ET65" s="218" t="s">
        <v>132</v>
      </c>
      <c r="EU65" s="237"/>
      <c r="EV65" s="234"/>
      <c r="EW65" s="234"/>
      <c r="EX65" s="234"/>
      <c r="EY65" s="234">
        <f t="shared" si="657"/>
        <v>11</v>
      </c>
      <c r="EZ65" s="234">
        <f>Konvention_1slave-GEslave</f>
        <v>12</v>
      </c>
      <c r="FA65" s="234"/>
      <c r="FB65" s="224">
        <f>Konvention_1slave-KKslave</f>
        <v>12</v>
      </c>
      <c r="FC65" s="222">
        <f>(EU65+EV65+EW65+EX65+EY65+EZ65+FA65+FB65)/3</f>
        <v>11.666666666666666</v>
      </c>
      <c r="FD65" s="223">
        <f t="shared" si="583"/>
        <v>23.333333333333332</v>
      </c>
      <c r="FE65" s="224">
        <f t="shared" si="584"/>
        <v>35</v>
      </c>
      <c r="FF65" s="237">
        <f>EU65*POWER(KLslave,SIGN(EV65))*POWER(INslave,SIGN(EW65))*POWER(CHslave,SIGN(EX65))*POWER(FFslave_FF,SIGN(EY65))*POWER(GEslave,SIGN(EZ65))*POWER(KOslave,SIGN(FA65))*POWER(KKslave,SIGN(FB65))+EV65*POWER(MUslave,SIGN(EU65))*POWER(INslave,SIGN(EW65))*POWER(CHslave,SIGN(EX65))*POWER(FFslave_FF,SIGN(EY65))*POWER(GEslave,SIGN(EZ65))*POWER(KOslave,SIGN(FA65))*POWER(KKslave,SIGN(FB65))+EW65*POWER(MUslave,SIGN(EU65))*POWER(KLslave,SIGN(EV65))*POWER(CHslave,SIGN(EX65))*POWER(FFslave_FF,SIGN(EY65))*POWER(GEslave,SIGN(EZ65))*POWER(KOslave,SIGN(FA65))*POWER(KKslave,SIGN(FB65))+EX65*POWER(MUslave,SIGN(EU65))*POWER(KLslave,SIGN(EV65))*POWER(INslave,SIGN(EW65))*POWER(FFslave_FF,SIGN(EY65))*POWER(GEslave,SIGN(EZ65))*POWER(KOslave,SIGN(FA65))*POWER(KKslave,SIGN(FB65))+EY65*POWER(MUslave,SIGN(EU65))*POWER(KLslave,SIGN(EV65))*POWER(INslave,SIGN(EW65))*POWER(CHslave,SIGN(EX65))*POWER(GEslave,SIGN(EZ65))*POWER(KOslave,SIGN(FA65))*POWER(KKslave,SIGN(FB65))+EZ65*POWER(MUslave,SIGN(EU65))*POWER(KLslave,SIGN(EV65))*POWER(INslave,SIGN(EW65))*POWER(CHslave,SIGN(EX65))*POWER(FFslave_FF,SIGN(EY65))*POWER(KOslave,SIGN(FA65))*POWER(KKslave,SIGN(FB65))+FA65*POWER(MUslave,SIGN(EU65))*POWER(KLslave,SIGN(EV65))*POWER(INslave,SIGN(EW65))*POWER(CHslave,SIGN(EX65))*POWER(FFslave_FF,SIGN(EY65))*POWER(GEslave,SIGN(EZ65))*POWER(KKslave,SIGN(FB65))+FB65*POWER(MUslave,SIGN(EU65))*POWER(KLslave,SIGN(EV65))*POWER(INslave,SIGN(EW65))*POWER(CHslave,SIGN(EX65))*POWER(FFslave_FF,SIGN(EY65))*POWER(GEslave,SIGN(EZ65))*POWER(KOslave,SIGN(FA65))</f>
        <v>2432</v>
      </c>
      <c r="FG65" s="234">
        <f>EY65*EZ65*KKslave+EY65*GEslave*FB65+FFslave_FF*EZ65*FB65</f>
        <v>3408</v>
      </c>
      <c r="FH65" s="224">
        <f t="shared" si="586"/>
        <v>1584</v>
      </c>
      <c r="FI65" s="242">
        <f t="shared" si="639"/>
        <v>7424</v>
      </c>
      <c r="FJ65" s="222">
        <f t="shared" si="587"/>
        <v>3.8218390804597702</v>
      </c>
      <c r="FK65" s="223">
        <f t="shared" si="588"/>
        <v>10.711206896551724</v>
      </c>
      <c r="FL65" s="243">
        <f t="shared" si="589"/>
        <v>7.4676724137931032</v>
      </c>
      <c r="FM65" s="218">
        <f t="shared" si="590"/>
        <v>22.000718390804597</v>
      </c>
      <c r="FN65" s="252">
        <f t="shared" si="591"/>
        <v>0</v>
      </c>
      <c r="FO65" s="309">
        <f t="shared" si="592"/>
        <v>22.000718390804597</v>
      </c>
      <c r="FP65" s="218">
        <f>IF(FM65&gt;0,FM65,0)*2+IF(FM65&gt;12,FM65-12,0)*2+IF(FM65&gt;13,FM65-13,0)*2+IF(FM65&gt;14,FM65-14,0)*2+IF(FM65&gt;15,FM65-15,0)*2+IF(FM65&gt;16,FM65-16,0)*2+IF(FM65&gt;17,FM65-17,0)*2+IF(FM65&gt;18,FM65-18,0)*2+IF(FM65&gt;19,FM65-19,0)*2+IF(FM65&gt;20,FM65-20,0)*2</f>
        <v>152.01436781609189</v>
      </c>
      <c r="FQ65" s="242">
        <f>IF(FN65&gt;0,FN65,0)*2+IF(FN65&gt;12,FN65-12,0)*2+IF(FN65&gt;13,FN65-13,0)*2+IF(FN65&gt;14,FN65-14,0)*2+IF(FN65&gt;15,FN65-15,0)*2+IF(FN65&gt;16,FN65-16,0)*2+IF(FN65&gt;17,FN65-17,0)*2+IF(FN65&gt;18,FN65-18,0)*2+IF(FN65&gt;19,FN65-19,0)*2+IF(FN65&gt;20,FN65-20,0)*2</f>
        <v>0</v>
      </c>
      <c r="FR65" s="243">
        <f t="shared" si="593"/>
        <v>152.01436781609189</v>
      </c>
      <c r="FS65" s="218">
        <f t="shared" si="594"/>
        <v>0</v>
      </c>
      <c r="FU65" s="303" t="s">
        <v>56</v>
      </c>
      <c r="FV65" s="243" t="s">
        <v>98</v>
      </c>
      <c r="FW65" s="218" t="s">
        <v>132</v>
      </c>
      <c r="FX65" s="237"/>
      <c r="FY65" s="234"/>
      <c r="FZ65" s="234"/>
      <c r="GA65" s="234"/>
      <c r="GB65" s="234">
        <f t="shared" si="658"/>
        <v>12</v>
      </c>
      <c r="GC65" s="234">
        <f>Konvention_1slave-GEslave_GE</f>
        <v>11</v>
      </c>
      <c r="GD65" s="234"/>
      <c r="GE65" s="224">
        <f>Konvention_1slave-KKslave</f>
        <v>12</v>
      </c>
      <c r="GF65" s="222">
        <f>(FX65+FY65+FZ65+GA65+GB65+GC65+GD65+GE65)/3</f>
        <v>11.666666666666666</v>
      </c>
      <c r="GG65" s="223">
        <f t="shared" si="596"/>
        <v>23.333333333333332</v>
      </c>
      <c r="GH65" s="224">
        <f t="shared" si="597"/>
        <v>35</v>
      </c>
      <c r="GI65" s="237">
        <f>FX65*POWER(KLslave,SIGN(FY65))*POWER(INslave,SIGN(FZ65))*POWER(CHslave,SIGN(GA65))*POWER(FFslave,SIGN(GB65))*POWER(GEslave_GE,SIGN(GC65))*POWER(KOslave,SIGN(GD65))*POWER(KKslave,SIGN(GE65))+FY65*POWER(MUslave,SIGN(FX65))*POWER(INslave,SIGN(FZ65))*POWER(CHslave,SIGN(GA65))*POWER(FFslave,SIGN(GB65))*POWER(GEslave_GE,SIGN(GC65))*POWER(KOslave,SIGN(GD65))*POWER(KKslave,SIGN(GE65))+FZ65*POWER(MUslave,SIGN(FX65))*POWER(KLslave,SIGN(FY65))*POWER(CHslave,SIGN(GA65))*POWER(FFslave,SIGN(GB65))*POWER(GEslave_GE,SIGN(GC65))*POWER(KOslave,SIGN(GD65))*POWER(KKslave,SIGN(GE65))+GA65*POWER(MUslave,SIGN(FX65))*POWER(KLslave,SIGN(FY65))*POWER(INslave,SIGN(FZ65))*POWER(FFslave,SIGN(GB65))*POWER(GEslave_GE,SIGN(GC65))*POWER(KOslave,SIGN(GD65))*POWER(KKslave,SIGN(GE65))+GB65*POWER(MUslave,SIGN(FX65))*POWER(KLslave,SIGN(FY65))*POWER(INslave,SIGN(FZ65))*POWER(CHslave,SIGN(GA65))*POWER(GEslave_GE,SIGN(GC65))*POWER(KOslave,SIGN(GD65))*POWER(KKslave,SIGN(GE65))+GC65*POWER(MUslave,SIGN(FX65))*POWER(KLslave,SIGN(FY65))*POWER(INslave,SIGN(FZ65))*POWER(CHslave,SIGN(GA65))*POWER(FFslave,SIGN(GB65))*POWER(KOslave,SIGN(GD65))*POWER(KKslave,SIGN(GE65))+GD65*POWER(MUslave,SIGN(FX65))*POWER(KLslave,SIGN(FY65))*POWER(INslave,SIGN(FZ65))*POWER(CHslave,SIGN(GA65))*POWER(FFslave,SIGN(GB65))*POWER(GEslave_GE,SIGN(GC65))*POWER(KKslave,SIGN(GE65))+GE65*POWER(MUslave,SIGN(FX65))*POWER(KLslave,SIGN(FY65))*POWER(INslave,SIGN(FZ65))*POWER(CHslave,SIGN(GA65))*POWER(FFslave,SIGN(GB65))*POWER(GEslave_GE,SIGN(GC65))*POWER(KOslave,SIGN(GD65))</f>
        <v>2432</v>
      </c>
      <c r="GJ65" s="234">
        <f>GB65*GC65*KKslave+GB65*GEslave_GE*GE65+FFslave*GC65*GE65</f>
        <v>3408</v>
      </c>
      <c r="GK65" s="224">
        <f t="shared" si="599"/>
        <v>1584</v>
      </c>
      <c r="GL65" s="242">
        <f t="shared" si="640"/>
        <v>7424</v>
      </c>
      <c r="GM65" s="222">
        <f t="shared" si="600"/>
        <v>3.8218390804597702</v>
      </c>
      <c r="GN65" s="223">
        <f t="shared" si="601"/>
        <v>10.711206896551724</v>
      </c>
      <c r="GO65" s="243">
        <f t="shared" si="602"/>
        <v>7.4676724137931032</v>
      </c>
      <c r="GP65" s="218">
        <f t="shared" si="603"/>
        <v>22.000718390804597</v>
      </c>
      <c r="GQ65" s="252">
        <f t="shared" si="604"/>
        <v>0</v>
      </c>
      <c r="GR65" s="309">
        <f t="shared" si="605"/>
        <v>22.000718390804597</v>
      </c>
      <c r="GS65" s="218">
        <f>IF(GP65&gt;0,GP65,0)*2+IF(GP65&gt;12,GP65-12,0)*2+IF(GP65&gt;13,GP65-13,0)*2+IF(GP65&gt;14,GP65-14,0)*2+IF(GP65&gt;15,GP65-15,0)*2+IF(GP65&gt;16,GP65-16,0)*2+IF(GP65&gt;17,GP65-17,0)*2+IF(GP65&gt;18,GP65-18,0)*2+IF(GP65&gt;19,GP65-19,0)*2+IF(GP65&gt;20,GP65-20,0)*2</f>
        <v>152.01436781609189</v>
      </c>
      <c r="GT65" s="242">
        <f>IF(GQ65&gt;0,GQ65,0)*2+IF(GQ65&gt;12,GQ65-12,0)*2+IF(GQ65&gt;13,GQ65-13,0)*2+IF(GQ65&gt;14,GQ65-14,0)*2+IF(GQ65&gt;15,GQ65-15,0)*2+IF(GQ65&gt;16,GQ65-16,0)*2+IF(GQ65&gt;17,GQ65-17,0)*2+IF(GQ65&gt;18,GQ65-18,0)*2+IF(GQ65&gt;19,GQ65-19,0)*2+IF(GQ65&gt;20,GQ65-20,0)*2</f>
        <v>0</v>
      </c>
      <c r="GU65" s="243">
        <f t="shared" si="606"/>
        <v>152.01436781609189</v>
      </c>
      <c r="GV65" s="218">
        <f t="shared" si="607"/>
        <v>0</v>
      </c>
      <c r="GX65" s="303" t="s">
        <v>56</v>
      </c>
      <c r="GY65" s="243" t="s">
        <v>98</v>
      </c>
      <c r="GZ65" s="218" t="s">
        <v>132</v>
      </c>
      <c r="HA65" s="237"/>
      <c r="HB65" s="234"/>
      <c r="HC65" s="234"/>
      <c r="HD65" s="234"/>
      <c r="HE65" s="234">
        <f t="shared" si="659"/>
        <v>12</v>
      </c>
      <c r="HF65" s="234">
        <f>Konvention_1slave-GEslave</f>
        <v>12</v>
      </c>
      <c r="HG65" s="234"/>
      <c r="HH65" s="224">
        <f>Konvention_1slave-KKslave</f>
        <v>12</v>
      </c>
      <c r="HI65" s="222">
        <f>(HA65+HB65+HC65+HD65+HE65+HF65+HG65+HH65)/3</f>
        <v>12</v>
      </c>
      <c r="HJ65" s="223">
        <f t="shared" si="609"/>
        <v>24</v>
      </c>
      <c r="HK65" s="224">
        <f t="shared" si="610"/>
        <v>36</v>
      </c>
      <c r="HL65" s="237">
        <f>HA65*POWER(KLslave,SIGN(HB65))*POWER(INslave,SIGN(HC65))*POWER(CHslave,SIGN(HD65))*POWER(FFslave,SIGN(HE65))*POWER(GEslave,SIGN(HF65))*POWER(KOslave_KO,SIGN(HG65))*POWER(KKslave,SIGN(HH65))+HB65*POWER(MUslave,SIGN(HA65))*POWER(INslave,SIGN(HC65))*POWER(CHslave,SIGN(HD65))*POWER(FFslave,SIGN(HE65))*POWER(GEslave,SIGN(HF65))*POWER(KOslave_KO,SIGN(HG65))*POWER(KKslave,SIGN(HH65))+HC65*POWER(MUslave,SIGN(HA65))*POWER(KLslave,SIGN(HB65))*POWER(CHslave,SIGN(HD65))*POWER(FFslave,SIGN(HE65))*POWER(GEslave,SIGN(HF65))*POWER(KOslave_KO,SIGN(HG65))*POWER(KKslave,SIGN(HH65))+HD65*POWER(MUslave,SIGN(HA65))*POWER(KLslave,SIGN(HB65))*POWER(INslave,SIGN(HC65))*POWER(FFslave,SIGN(HE65))*POWER(GEslave,SIGN(HF65))*POWER(KOslave_KO,SIGN(HG65))*POWER(KKslave,SIGN(HH65))+HE65*POWER(MUslave,SIGN(HA65))*POWER(KLslave,SIGN(HB65))*POWER(INslave,SIGN(HC65))*POWER(CHslave,SIGN(HD65))*POWER(GEslave,SIGN(HF65))*POWER(KOslave_KO,SIGN(HG65))*POWER(KKslave,SIGN(HH65))+HF65*POWER(MUslave,SIGN(HA65))*POWER(KLslave,SIGN(HB65))*POWER(INslave,SIGN(HC65))*POWER(CHslave,SIGN(HD65))*POWER(FFslave,SIGN(HE65))*POWER(KOslave_KO,SIGN(HG65))*POWER(KKslave,SIGN(HH65))+HG65*POWER(MUslave,SIGN(HA65))*POWER(KLslave,SIGN(HB65))*POWER(INslave,SIGN(HC65))*POWER(CHslave,SIGN(HD65))*POWER(FFslave,SIGN(HE65))*POWER(GEslave,SIGN(HF65))*POWER(KKslave,SIGN(HH65))+HH65*POWER(MUslave,SIGN(HA65))*POWER(KLslave,SIGN(HB65))*POWER(INslave,SIGN(HC65))*POWER(CHslave,SIGN(HD65))*POWER(FFslave,SIGN(HE65))*POWER(GEslave,SIGN(HF65))*POWER(KOslave_KO,SIGN(HG65))</f>
        <v>2304</v>
      </c>
      <c r="HM65" s="234">
        <f>HE65*HF65*KKslave+HE65*GEslave*HH65+FFslave*HF65*HH65</f>
        <v>3456</v>
      </c>
      <c r="HN65" s="224">
        <f t="shared" si="612"/>
        <v>1728</v>
      </c>
      <c r="HO65" s="242">
        <f t="shared" si="641"/>
        <v>7488</v>
      </c>
      <c r="HP65" s="222">
        <f t="shared" si="613"/>
        <v>3.6923076923076925</v>
      </c>
      <c r="HQ65" s="223">
        <f t="shared" si="614"/>
        <v>11.076923076923077</v>
      </c>
      <c r="HR65" s="243">
        <f t="shared" si="615"/>
        <v>8.3076923076923084</v>
      </c>
      <c r="HS65" s="218">
        <f t="shared" si="616"/>
        <v>23.07692307692308</v>
      </c>
      <c r="HT65" s="252">
        <f t="shared" si="617"/>
        <v>0</v>
      </c>
      <c r="HU65" s="309">
        <f t="shared" si="618"/>
        <v>23.07692307692308</v>
      </c>
      <c r="HV65" s="218">
        <f>IF(HS65&gt;0,HS65,0)*2+IF(HS65&gt;12,HS65-12,0)*2+IF(HS65&gt;13,HS65-13,0)*2+IF(HS65&gt;14,HS65-14,0)*2+IF(HS65&gt;15,HS65-15,0)*2+IF(HS65&gt;16,HS65-16,0)*2+IF(HS65&gt;17,HS65-17,0)*2+IF(HS65&gt;18,HS65-18,0)*2+IF(HS65&gt;19,HS65-19,0)*2+IF(HS65&gt;20,HS65-20,0)*2</f>
        <v>173.5384615384616</v>
      </c>
      <c r="HW65" s="242">
        <f>IF(HT65&gt;0,HT65,0)*2+IF(HT65&gt;12,HT65-12,0)*2+IF(HT65&gt;13,HT65-13,0)*2+IF(HT65&gt;14,HT65-14,0)*2+IF(HT65&gt;15,HT65-15,0)*2+IF(HT65&gt;16,HT65-16,0)*2+IF(HT65&gt;17,HT65-17,0)*2+IF(HT65&gt;18,HT65-18,0)*2+IF(HT65&gt;19,HT65-19,0)*2+IF(HT65&gt;20,HT65-20,0)*2</f>
        <v>0</v>
      </c>
      <c r="HX65" s="243">
        <f t="shared" si="619"/>
        <v>173.5384615384616</v>
      </c>
      <c r="HY65" s="218">
        <f t="shared" si="620"/>
        <v>0</v>
      </c>
      <c r="IA65" s="303" t="s">
        <v>56</v>
      </c>
      <c r="IB65" s="243" t="s">
        <v>98</v>
      </c>
      <c r="IC65" s="218" t="s">
        <v>132</v>
      </c>
      <c r="ID65" s="237"/>
      <c r="IE65" s="234"/>
      <c r="IF65" s="234"/>
      <c r="IG65" s="234"/>
      <c r="IH65" s="234">
        <f t="shared" si="660"/>
        <v>12</v>
      </c>
      <c r="II65" s="234">
        <f>Konvention_1slave-GEslave</f>
        <v>12</v>
      </c>
      <c r="IJ65" s="234"/>
      <c r="IK65" s="224">
        <f>Konvention_1slave-KKslave_KK</f>
        <v>11</v>
      </c>
      <c r="IL65" s="222">
        <f>(ID65+IE65+IF65+IG65+IH65+II65+IJ65+IK65)/3</f>
        <v>11.666666666666666</v>
      </c>
      <c r="IM65" s="223">
        <f t="shared" si="622"/>
        <v>23.333333333333332</v>
      </c>
      <c r="IN65" s="224">
        <f t="shared" si="623"/>
        <v>35</v>
      </c>
      <c r="IO65" s="237">
        <f>ID65*POWER(KLslave,SIGN(IE65))*POWER(INslave,SIGN(IF65))*POWER(CHslave,SIGN(IG65))*POWER(FFslave,SIGN(IH65))*POWER(GEslave,SIGN(II65))*POWER(KOslave,SIGN(IJ65))*POWER(KKslave_KK,SIGN(IK65))+IE65*POWER(MUslave,SIGN(ID65))*POWER(INslave,SIGN(IF65))*POWER(CHslave,SIGN(IG65))*POWER(FFslave,SIGN(IH65))*POWER(GEslave,SIGN(II65))*POWER(KOslave,SIGN(IJ65))*POWER(KKslave_KK,SIGN(IK65))+IF65*POWER(MUslave,SIGN(ID65))*POWER(KLslave,SIGN(IE65))*POWER(CHslave,SIGN(IG65))*POWER(FFslave,SIGN(IH65))*POWER(GEslave,SIGN(II65))*POWER(KOslave,SIGN(IJ65))*POWER(KKslave_KK,SIGN(IK65))+IG65*POWER(MUslave,SIGN(ID65))*POWER(KLslave,SIGN(IE65))*POWER(INslave,SIGN(IF65))*POWER(FFslave,SIGN(IH65))*POWER(GEslave,SIGN(II65))*POWER(KOslave,SIGN(IJ65))*POWER(KKslave_KK,SIGN(IK65))+IH65*POWER(MUslave,SIGN(ID65))*POWER(KLslave,SIGN(IE65))*POWER(INslave,SIGN(IF65))*POWER(CHslave,SIGN(IG65))*POWER(GEslave,SIGN(II65))*POWER(KOslave,SIGN(IJ65))*POWER(KKslave_KK,SIGN(IK65))+II65*POWER(MUslave,SIGN(ID65))*POWER(KLslave,SIGN(IE65))*POWER(INslave,SIGN(IF65))*POWER(CHslave,SIGN(IG65))*POWER(FFslave,SIGN(IH65))*POWER(KOslave,SIGN(IJ65))*POWER(KKslave_KK,SIGN(IK65))+IJ65*POWER(MUslave,SIGN(ID65))*POWER(KLslave,SIGN(IE65))*POWER(INslave,SIGN(IF65))*POWER(CHslave,SIGN(IG65))*POWER(FFslave,SIGN(IH65))*POWER(GEslave,SIGN(II65))*POWER(KKslave_KK,SIGN(IK65))+IK65*POWER(MUslave,SIGN(ID65))*POWER(KLslave,SIGN(IE65))*POWER(INslave,SIGN(IF65))*POWER(CHslave,SIGN(IG65))*POWER(FFslave,SIGN(IH65))*POWER(GEslave,SIGN(II65))*POWER(KOslave,SIGN(IJ65))</f>
        <v>2432</v>
      </c>
      <c r="IP65" s="234">
        <f>IH65*II65*KKslave_KK+IH65*GEslave*IK65+FFslave*II65*IK65</f>
        <v>3408</v>
      </c>
      <c r="IQ65" s="224">
        <f t="shared" si="625"/>
        <v>1584</v>
      </c>
      <c r="IR65" s="242">
        <f t="shared" si="642"/>
        <v>7424</v>
      </c>
      <c r="IS65" s="222">
        <f t="shared" si="626"/>
        <v>3.8218390804597702</v>
      </c>
      <c r="IT65" s="223">
        <f t="shared" si="627"/>
        <v>10.711206896551724</v>
      </c>
      <c r="IU65" s="243">
        <f t="shared" si="628"/>
        <v>7.4676724137931032</v>
      </c>
      <c r="IV65" s="218">
        <f t="shared" si="629"/>
        <v>22.000718390804597</v>
      </c>
      <c r="IW65" s="252">
        <f t="shared" si="630"/>
        <v>0</v>
      </c>
      <c r="IX65" s="309">
        <f t="shared" si="631"/>
        <v>22.000718390804597</v>
      </c>
      <c r="IY65" s="218">
        <f>IF(IV65&gt;0,IV65,0)*2+IF(IV65&gt;12,IV65-12,0)*2+IF(IV65&gt;13,IV65-13,0)*2+IF(IV65&gt;14,IV65-14,0)*2+IF(IV65&gt;15,IV65-15,0)*2+IF(IV65&gt;16,IV65-16,0)*2+IF(IV65&gt;17,IV65-17,0)*2+IF(IV65&gt;18,IV65-18,0)*2+IF(IV65&gt;19,IV65-19,0)*2+IF(IV65&gt;20,IV65-20,0)*2</f>
        <v>152.01436781609189</v>
      </c>
      <c r="IZ65" s="242">
        <f>IF(IW65&gt;0,IW65,0)*2+IF(IW65&gt;12,IW65-12,0)*2+IF(IW65&gt;13,IW65-13,0)*2+IF(IW65&gt;14,IW65-14,0)*2+IF(IW65&gt;15,IW65-15,0)*2+IF(IW65&gt;16,IW65-16,0)*2+IF(IW65&gt;17,IW65-17,0)*2+IF(IW65&gt;18,IW65-18,0)*2+IF(IW65&gt;19,IW65-19,0)*2+IF(IW65&gt;20,IW65-20,0)*2</f>
        <v>0</v>
      </c>
      <c r="JA65" s="243">
        <f t="shared" si="632"/>
        <v>152.01436781609189</v>
      </c>
      <c r="JB65" s="218">
        <f t="shared" si="633"/>
        <v>0</v>
      </c>
      <c r="JE65" s="148"/>
    </row>
    <row r="66" spans="1:265" hidden="1" outlineLevel="2">
      <c r="B66" s="148">
        <v>10</v>
      </c>
      <c r="C66" s="303" t="e">
        <f>VLOOKUP(AF66,Attribute!C:T,1,FALSE)</f>
        <v>#N/A</v>
      </c>
      <c r="D66" s="127" t="s">
        <v>103</v>
      </c>
      <c r="E66" s="125" t="s">
        <v>133</v>
      </c>
      <c r="F66" s="114"/>
      <c r="G66" s="113"/>
      <c r="H66" s="113">
        <f>Konvention_1master-INmaster</f>
        <v>12</v>
      </c>
      <c r="I66" s="113"/>
      <c r="J66" s="113">
        <f t="shared" si="652"/>
        <v>12</v>
      </c>
      <c r="K66" s="113"/>
      <c r="L66" s="113"/>
      <c r="M66" s="119"/>
      <c r="N66" s="222">
        <f>(H66+J66+J66)/3</f>
        <v>12</v>
      </c>
      <c r="O66" s="223">
        <f t="shared" si="519"/>
        <v>24</v>
      </c>
      <c r="P66" s="224">
        <f t="shared" si="520"/>
        <v>36</v>
      </c>
      <c r="Q66" s="237">
        <f>J66*POWER(INmaster,SIGN(H66))*POWER(FFmaster,SIGN(J66))+J66*POWER(INmaster,SIGN(H66))*POWER(FFmaster,SIGN(J66))+H66*POWER(FFmaster,SIGN(J66))*POWER(FFmaster,SIGN(J66))</f>
        <v>2304</v>
      </c>
      <c r="R66" s="113">
        <f>H66*J66*FFmaster+H66*FFmaster*J66+INmaster*J66*J66</f>
        <v>3456</v>
      </c>
      <c r="S66" s="224">
        <f>H66*J66*J66</f>
        <v>1728</v>
      </c>
      <c r="T66" s="242">
        <f t="shared" si="634"/>
        <v>7488</v>
      </c>
      <c r="U66" s="222">
        <f t="shared" si="523"/>
        <v>3.6923076923076925</v>
      </c>
      <c r="V66" s="223">
        <f t="shared" si="524"/>
        <v>11.076923076923077</v>
      </c>
      <c r="W66" s="243">
        <f t="shared" si="525"/>
        <v>8.3076923076923084</v>
      </c>
      <c r="X66" s="218">
        <f t="shared" si="526"/>
        <v>23.07692307692308</v>
      </c>
      <c r="Y66" s="252">
        <v>0</v>
      </c>
      <c r="Z66" s="198">
        <f t="shared" si="527"/>
        <v>23.07692307692308</v>
      </c>
      <c r="AA66" s="125">
        <f>IF(X66&gt;0,X66,0)*1+IF(X66&gt;12,X66-12,0)*1+IF(X66&gt;13,X66-13,0)*1+IF(X66&gt;14,X66-14,0)*1+IF(X66&gt;15,X66-15,0)*1+IF(X66&gt;16,X66-16,0)*1+IF(X66&gt;17,X66-17,0)*1+IF(X66&gt;18,X66-18,0)*1+IF(X66&gt;19,X66-19,0)*1+IF(X66&gt;20,X66-20,0)*1</f>
        <v>86.769230769230802</v>
      </c>
      <c r="AB66" s="160">
        <f>IF(Y66&gt;0,Y66,0)*1+IF(Y66&gt;12,Y66-12,0)*1+IF(Y66&gt;13,Y66-13,0)*1+IF(Y66&gt;14,Y66-14,0)*1+IF(Y66&gt;15,Y66-15,0)*1+IF(Y66&gt;16,Y66-16,0)*1+IF(Y66&gt;17,Y66-17,0)*1+IF(Y66&gt;18,Y66-18,0)*1+IF(Y66&gt;19,Y66-19,0)*1+IF(Y66&gt;20,Y66-20,0)*1</f>
        <v>0</v>
      </c>
      <c r="AC66" s="127">
        <f t="shared" si="528"/>
        <v>86.769230769230802</v>
      </c>
      <c r="AD66" s="125">
        <f t="shared" si="529"/>
        <v>0</v>
      </c>
      <c r="AF66" s="163" t="s">
        <v>57</v>
      </c>
      <c r="AG66" s="127" t="s">
        <v>103</v>
      </c>
      <c r="AH66" s="125" t="s">
        <v>133</v>
      </c>
      <c r="AI66" s="114"/>
      <c r="AJ66" s="113"/>
      <c r="AK66" s="113">
        <f>Konvention_1slave-INslave</f>
        <v>12</v>
      </c>
      <c r="AL66" s="113"/>
      <c r="AM66" s="113">
        <f t="shared" si="653"/>
        <v>12</v>
      </c>
      <c r="AN66" s="113"/>
      <c r="AO66" s="113"/>
      <c r="AP66" s="119"/>
      <c r="AQ66" s="89">
        <f>(AK66+AM66+AM66)/3</f>
        <v>12</v>
      </c>
      <c r="AR66" s="47">
        <f t="shared" si="531"/>
        <v>24</v>
      </c>
      <c r="AS66" s="119">
        <f t="shared" si="532"/>
        <v>36</v>
      </c>
      <c r="AT66" s="114">
        <f>AM66*POWER(INslave,SIGN(AK66))*POWER(FFslave,SIGN(AM66))+AM66*POWER(INslave,SIGN(AK66))*POWER(FFslave,SIGN(AM66))+AK66*POWER(FFslave,SIGN(AM66))*POWER(FFslave,SIGN(AM66))</f>
        <v>2304</v>
      </c>
      <c r="AU66" s="113">
        <f>AK66*AM66*FFslave+AK66*FFslave*AM66+INslave*AM66*AM66</f>
        <v>3456</v>
      </c>
      <c r="AV66" s="119">
        <f>AK66*AM66*AM66</f>
        <v>1728</v>
      </c>
      <c r="AW66" s="160">
        <f t="shared" si="635"/>
        <v>7488</v>
      </c>
      <c r="AX66" s="89">
        <f t="shared" si="535"/>
        <v>3.6923076923076925</v>
      </c>
      <c r="AY66" s="47">
        <f t="shared" si="536"/>
        <v>11.076923076923077</v>
      </c>
      <c r="AZ66" s="127">
        <f t="shared" si="537"/>
        <v>8.3076923076923084</v>
      </c>
      <c r="BA66" s="125">
        <f t="shared" si="538"/>
        <v>23.07692307692308</v>
      </c>
      <c r="BB66" s="165">
        <f t="shared" si="539"/>
        <v>0</v>
      </c>
      <c r="BC66" s="198">
        <f t="shared" si="540"/>
        <v>23.07692307692308</v>
      </c>
      <c r="BD66" s="125">
        <f>IF(BA66&gt;0,BA66,0)*1+IF(BA66&gt;12,BA66-12,0)*1+IF(BA66&gt;13,BA66-13,0)*1+IF(BA66&gt;14,BA66-14,0)*1+IF(BA66&gt;15,BA66-15,0)*1+IF(BA66&gt;16,BA66-16,0)*1+IF(BA66&gt;17,BA66-17,0)*1+IF(BA66&gt;18,BA66-18,0)*1+IF(BA66&gt;19,BA66-19,0)*1+IF(BA66&gt;20,BA66-20,0)*1</f>
        <v>86.769230769230802</v>
      </c>
      <c r="BE66" s="160">
        <f>IF(BB66&gt;0,BB66,0)*1+IF(BB66&gt;12,BB66-12,0)*1+IF(BB66&gt;13,BB66-13,0)*1+IF(BB66&gt;14,BB66-14,0)*1+IF(BB66&gt;15,BB66-15,0)*1+IF(BB66&gt;16,BB66-16,0)*1+IF(BB66&gt;17,BB66-17,0)*1+IF(BB66&gt;18,BB66-18,0)*1+IF(BB66&gt;19,BB66-19,0)*1+IF(BB66&gt;20,BB66-20,0)*1</f>
        <v>0</v>
      </c>
      <c r="BF66" s="243">
        <f t="shared" si="541"/>
        <v>86.769230769230802</v>
      </c>
      <c r="BG66" s="218">
        <f t="shared" si="542"/>
        <v>0</v>
      </c>
      <c r="BI66" s="303" t="s">
        <v>57</v>
      </c>
      <c r="BJ66" s="243" t="s">
        <v>103</v>
      </c>
      <c r="BK66" s="218" t="s">
        <v>133</v>
      </c>
      <c r="BL66" s="237"/>
      <c r="BM66" s="234"/>
      <c r="BN66" s="234">
        <f>Konvention_1slave-INslave</f>
        <v>12</v>
      </c>
      <c r="BO66" s="234"/>
      <c r="BP66" s="234">
        <f t="shared" si="654"/>
        <v>12</v>
      </c>
      <c r="BQ66" s="234"/>
      <c r="BR66" s="234"/>
      <c r="BS66" s="224"/>
      <c r="BT66" s="222">
        <f>(BN66+BP66+BP66)/3</f>
        <v>12</v>
      </c>
      <c r="BU66" s="223">
        <f t="shared" si="544"/>
        <v>24</v>
      </c>
      <c r="BV66" s="224">
        <f t="shared" si="545"/>
        <v>36</v>
      </c>
      <c r="BW66" s="237">
        <f>BP66*POWER(INslave,SIGN(BN66))*POWER(FFslave,SIGN(BP66))+BP66*POWER(INslave,SIGN(BN66))*POWER(FFslave,SIGN(BP66))+BN66*POWER(FFslave,SIGN(BP66))*POWER(FFslave,SIGN(BP66))</f>
        <v>2304</v>
      </c>
      <c r="BX66" s="234">
        <f>BN66*BP66*FFslave+BN66*FFslave*BP66+INslave*BP66*BP66</f>
        <v>3456</v>
      </c>
      <c r="BY66" s="224">
        <f>BN66*BP66*BP66</f>
        <v>1728</v>
      </c>
      <c r="BZ66" s="242">
        <f t="shared" si="636"/>
        <v>7488</v>
      </c>
      <c r="CA66" s="222">
        <f t="shared" si="548"/>
        <v>3.6923076923076925</v>
      </c>
      <c r="CB66" s="223">
        <f t="shared" si="549"/>
        <v>11.076923076923077</v>
      </c>
      <c r="CC66" s="243">
        <f t="shared" si="550"/>
        <v>8.3076923076923084</v>
      </c>
      <c r="CD66" s="218">
        <f t="shared" si="551"/>
        <v>23.07692307692308</v>
      </c>
      <c r="CE66" s="252">
        <f t="shared" si="552"/>
        <v>0</v>
      </c>
      <c r="CF66" s="309">
        <f t="shared" si="553"/>
        <v>23.07692307692308</v>
      </c>
      <c r="CG66" s="218">
        <f>IF(CD66&gt;0,CD66,0)*1+IF(CD66&gt;12,CD66-12,0)*1+IF(CD66&gt;13,CD66-13,0)*1+IF(CD66&gt;14,CD66-14,0)*1+IF(CD66&gt;15,CD66-15,0)*1+IF(CD66&gt;16,CD66-16,0)*1+IF(CD66&gt;17,CD66-17,0)*1+IF(CD66&gt;18,CD66-18,0)*1+IF(CD66&gt;19,CD66-19,0)*1+IF(CD66&gt;20,CD66-20,0)*1</f>
        <v>86.769230769230802</v>
      </c>
      <c r="CH66" s="242">
        <f>IF(CE66&gt;0,CE66,0)*1+IF(CE66&gt;12,CE66-12,0)*1+IF(CE66&gt;13,CE66-13,0)*1+IF(CE66&gt;14,CE66-14,0)*1+IF(CE66&gt;15,CE66-15,0)*1+IF(CE66&gt;16,CE66-16,0)*1+IF(CE66&gt;17,CE66-17,0)*1+IF(CE66&gt;18,CE66-18,0)*1+IF(CE66&gt;19,CE66-19,0)*1+IF(CE66&gt;20,CE66-20,0)*1</f>
        <v>0</v>
      </c>
      <c r="CI66" s="243">
        <f t="shared" si="554"/>
        <v>86.769230769230802</v>
      </c>
      <c r="CJ66" s="218">
        <f t="shared" si="555"/>
        <v>0</v>
      </c>
      <c r="CL66" s="303" t="s">
        <v>57</v>
      </c>
      <c r="CM66" s="243" t="s">
        <v>103</v>
      </c>
      <c r="CN66" s="218" t="s">
        <v>133</v>
      </c>
      <c r="CO66" s="237"/>
      <c r="CP66" s="234"/>
      <c r="CQ66" s="234">
        <f>Konvention_1slave-INslave_IN</f>
        <v>11</v>
      </c>
      <c r="CR66" s="234"/>
      <c r="CS66" s="234">
        <f t="shared" si="655"/>
        <v>12</v>
      </c>
      <c r="CT66" s="234"/>
      <c r="CU66" s="234"/>
      <c r="CV66" s="224"/>
      <c r="CW66" s="222">
        <f>(CQ66+CS66+CS66)/3</f>
        <v>11.666666666666666</v>
      </c>
      <c r="CX66" s="223">
        <f t="shared" si="557"/>
        <v>23.333333333333332</v>
      </c>
      <c r="CY66" s="224">
        <f t="shared" si="558"/>
        <v>35</v>
      </c>
      <c r="CZ66" s="237">
        <f>CS66*POWER(INslave_IN,SIGN(CQ66))*POWER(FFslave,SIGN(CS66))+CS66*POWER(INslave_IN,SIGN(CQ66))*POWER(FFslave,SIGN(CS66))+CQ66*POWER(FFslave,SIGN(CS66))*POWER(FFslave,SIGN(CS66))</f>
        <v>2432</v>
      </c>
      <c r="DA66" s="234">
        <f>CQ66*CS66*FFslave+CQ66*FFslave*CS66+INslave_IN*CS66*CS66</f>
        <v>3408</v>
      </c>
      <c r="DB66" s="224">
        <f>CQ66*CS66*CS66</f>
        <v>1584</v>
      </c>
      <c r="DC66" s="242">
        <f t="shared" si="637"/>
        <v>7424</v>
      </c>
      <c r="DD66" s="222">
        <f t="shared" si="561"/>
        <v>3.8218390804597702</v>
      </c>
      <c r="DE66" s="223">
        <f t="shared" si="562"/>
        <v>10.711206896551724</v>
      </c>
      <c r="DF66" s="243">
        <f t="shared" si="563"/>
        <v>7.4676724137931032</v>
      </c>
      <c r="DG66" s="218">
        <f t="shared" si="564"/>
        <v>22.000718390804597</v>
      </c>
      <c r="DH66" s="252">
        <f t="shared" si="565"/>
        <v>0</v>
      </c>
      <c r="DI66" s="309">
        <f t="shared" si="566"/>
        <v>22.000718390804597</v>
      </c>
      <c r="DJ66" s="218">
        <f>IF(DG66&gt;0,DG66,0)*1+IF(DG66&gt;12,DG66-12,0)*1+IF(DG66&gt;13,DG66-13,0)*1+IF(DG66&gt;14,DG66-14,0)*1+IF(DG66&gt;15,DG66-15,0)*1+IF(DG66&gt;16,DG66-16,0)*1+IF(DG66&gt;17,DG66-17,0)*1+IF(DG66&gt;18,DG66-18,0)*1+IF(DG66&gt;19,DG66-19,0)*1+IF(DG66&gt;20,DG66-20,0)*1</f>
        <v>76.007183908045945</v>
      </c>
      <c r="DK66" s="242">
        <f>IF(DH66&gt;0,DH66,0)*1+IF(DH66&gt;12,DH66-12,0)*1+IF(DH66&gt;13,DH66-13,0)*1+IF(DH66&gt;14,DH66-14,0)*1+IF(DH66&gt;15,DH66-15,0)*1+IF(DH66&gt;16,DH66-16,0)*1+IF(DH66&gt;17,DH66-17,0)*1+IF(DH66&gt;18,DH66-18,0)*1+IF(DH66&gt;19,DH66-19,0)*1+IF(DH66&gt;20,DH66-20,0)*1</f>
        <v>0</v>
      </c>
      <c r="DL66" s="243">
        <f t="shared" si="567"/>
        <v>76.007183908045945</v>
      </c>
      <c r="DM66" s="218">
        <f t="shared" si="568"/>
        <v>0</v>
      </c>
      <c r="DO66" s="303" t="s">
        <v>57</v>
      </c>
      <c r="DP66" s="243" t="s">
        <v>103</v>
      </c>
      <c r="DQ66" s="218" t="s">
        <v>133</v>
      </c>
      <c r="DR66" s="237"/>
      <c r="DS66" s="234"/>
      <c r="DT66" s="234">
        <f>Konvention_1slave-INslave</f>
        <v>12</v>
      </c>
      <c r="DU66" s="234"/>
      <c r="DV66" s="234">
        <f t="shared" si="656"/>
        <v>12</v>
      </c>
      <c r="DW66" s="234"/>
      <c r="DX66" s="234"/>
      <c r="DY66" s="224"/>
      <c r="DZ66" s="222">
        <f>(DT66+DV66+DV66)/3</f>
        <v>12</v>
      </c>
      <c r="EA66" s="223">
        <f t="shared" si="570"/>
        <v>24</v>
      </c>
      <c r="EB66" s="224">
        <f t="shared" si="571"/>
        <v>36</v>
      </c>
      <c r="EC66" s="237">
        <f>DV66*POWER(INslave,SIGN(DT66))*POWER(FFslave,SIGN(DV66))+DV66*POWER(INslave,SIGN(DT66))*POWER(FFslave,SIGN(DV66))+DT66*POWER(FFslave,SIGN(DV66))*POWER(FFslave,SIGN(DV66))</f>
        <v>2304</v>
      </c>
      <c r="ED66" s="234">
        <f>DT66*DV66*FFslave+DT66*FFslave*DV66+INslave*DV66*DV66</f>
        <v>3456</v>
      </c>
      <c r="EE66" s="224">
        <f>DT66*DV66*DV66</f>
        <v>1728</v>
      </c>
      <c r="EF66" s="242">
        <f t="shared" si="638"/>
        <v>7488</v>
      </c>
      <c r="EG66" s="222">
        <f t="shared" si="574"/>
        <v>3.6923076923076925</v>
      </c>
      <c r="EH66" s="223">
        <f t="shared" si="575"/>
        <v>11.076923076923077</v>
      </c>
      <c r="EI66" s="243">
        <f t="shared" si="576"/>
        <v>8.3076923076923084</v>
      </c>
      <c r="EJ66" s="218">
        <f t="shared" si="577"/>
        <v>23.07692307692308</v>
      </c>
      <c r="EK66" s="252">
        <f t="shared" si="578"/>
        <v>0</v>
      </c>
      <c r="EL66" s="309">
        <f t="shared" si="579"/>
        <v>23.07692307692308</v>
      </c>
      <c r="EM66" s="218">
        <f>IF(EJ66&gt;0,EJ66,0)*1+IF(EJ66&gt;12,EJ66-12,0)*1+IF(EJ66&gt;13,EJ66-13,0)*1+IF(EJ66&gt;14,EJ66-14,0)*1+IF(EJ66&gt;15,EJ66-15,0)*1+IF(EJ66&gt;16,EJ66-16,0)*1+IF(EJ66&gt;17,EJ66-17,0)*1+IF(EJ66&gt;18,EJ66-18,0)*1+IF(EJ66&gt;19,EJ66-19,0)*1+IF(EJ66&gt;20,EJ66-20,0)*1</f>
        <v>86.769230769230802</v>
      </c>
      <c r="EN66" s="242">
        <f>IF(EK66&gt;0,EK66,0)*1+IF(EK66&gt;12,EK66-12,0)*1+IF(EK66&gt;13,EK66-13,0)*1+IF(EK66&gt;14,EK66-14,0)*1+IF(EK66&gt;15,EK66-15,0)*1+IF(EK66&gt;16,EK66-16,0)*1+IF(EK66&gt;17,EK66-17,0)*1+IF(EK66&gt;18,EK66-18,0)*1+IF(EK66&gt;19,EK66-19,0)*1+IF(EK66&gt;20,EK66-20,0)*1</f>
        <v>0</v>
      </c>
      <c r="EO66" s="243">
        <f t="shared" si="580"/>
        <v>86.769230769230802</v>
      </c>
      <c r="EP66" s="218">
        <f t="shared" si="581"/>
        <v>0</v>
      </c>
      <c r="ER66" s="303" t="s">
        <v>57</v>
      </c>
      <c r="ES66" s="243" t="s">
        <v>103</v>
      </c>
      <c r="ET66" s="218" t="s">
        <v>133</v>
      </c>
      <c r="EU66" s="237"/>
      <c r="EV66" s="234"/>
      <c r="EW66" s="234">
        <f>Konvention_1slave-INslave</f>
        <v>12</v>
      </c>
      <c r="EX66" s="234"/>
      <c r="EY66" s="234">
        <f t="shared" si="657"/>
        <v>11</v>
      </c>
      <c r="EZ66" s="234"/>
      <c r="FA66" s="234"/>
      <c r="FB66" s="224"/>
      <c r="FC66" s="222">
        <f>(EW66+EY66+EY66)/3</f>
        <v>11.333333333333334</v>
      </c>
      <c r="FD66" s="223">
        <f t="shared" si="583"/>
        <v>22.666666666666668</v>
      </c>
      <c r="FE66" s="224">
        <f t="shared" si="584"/>
        <v>34</v>
      </c>
      <c r="FF66" s="237">
        <f>EY66*POWER(INslave,SIGN(EW66))*POWER(FFslave_FF,SIGN(EY66))+EY66*POWER(INslave,SIGN(EW66))*POWER(FFslave_FF,SIGN(EY66))+EW66*POWER(FFslave_FF,SIGN(EY66))*POWER(FFslave_FF,SIGN(EY66))</f>
        <v>2556</v>
      </c>
      <c r="FG66" s="234">
        <f>EW66*EY66*FFslave_FF+EW66*FFslave_FF*EY66+INslave*EY66*EY66</f>
        <v>3344</v>
      </c>
      <c r="FH66" s="224">
        <f>EW66*EY66*EY66</f>
        <v>1452</v>
      </c>
      <c r="FI66" s="242">
        <f t="shared" si="639"/>
        <v>7352</v>
      </c>
      <c r="FJ66" s="222">
        <f t="shared" si="587"/>
        <v>3.940152339499456</v>
      </c>
      <c r="FK66" s="223">
        <f t="shared" si="588"/>
        <v>10.309756982227059</v>
      </c>
      <c r="FL66" s="243">
        <f t="shared" si="589"/>
        <v>6.714907508161045</v>
      </c>
      <c r="FM66" s="218">
        <f t="shared" si="590"/>
        <v>20.96481682988756</v>
      </c>
      <c r="FN66" s="252">
        <f t="shared" si="591"/>
        <v>0</v>
      </c>
      <c r="FO66" s="309">
        <f t="shared" si="592"/>
        <v>20.96481682988756</v>
      </c>
      <c r="FP66" s="218">
        <f>IF(FM66&gt;0,FM66,0)*1+IF(FM66&gt;12,FM66-12,0)*1+IF(FM66&gt;13,FM66-13,0)*1+IF(FM66&gt;14,FM66-14,0)*1+IF(FM66&gt;15,FM66-15,0)*1+IF(FM66&gt;16,FM66-16,0)*1+IF(FM66&gt;17,FM66-17,0)*1+IF(FM66&gt;18,FM66-18,0)*1+IF(FM66&gt;19,FM66-19,0)*1+IF(FM66&gt;20,FM66-20,0)*1</f>
        <v>65.648168298875589</v>
      </c>
      <c r="FQ66" s="242">
        <f>IF(FN66&gt;0,FN66,0)*1+IF(FN66&gt;12,FN66-12,0)*1+IF(FN66&gt;13,FN66-13,0)*1+IF(FN66&gt;14,FN66-14,0)*1+IF(FN66&gt;15,FN66-15,0)*1+IF(FN66&gt;16,FN66-16,0)*1+IF(FN66&gt;17,FN66-17,0)*1+IF(FN66&gt;18,FN66-18,0)*1+IF(FN66&gt;19,FN66-19,0)*1+IF(FN66&gt;20,FN66-20,0)*1</f>
        <v>0</v>
      </c>
      <c r="FR66" s="243">
        <f t="shared" si="593"/>
        <v>65.648168298875589</v>
      </c>
      <c r="FS66" s="218">
        <f t="shared" si="594"/>
        <v>0</v>
      </c>
      <c r="FU66" s="303" t="s">
        <v>57</v>
      </c>
      <c r="FV66" s="243" t="s">
        <v>103</v>
      </c>
      <c r="FW66" s="218" t="s">
        <v>133</v>
      </c>
      <c r="FX66" s="237"/>
      <c r="FY66" s="234"/>
      <c r="FZ66" s="234">
        <f>Konvention_1slave-INslave</f>
        <v>12</v>
      </c>
      <c r="GA66" s="234"/>
      <c r="GB66" s="234">
        <f t="shared" si="658"/>
        <v>12</v>
      </c>
      <c r="GC66" s="234"/>
      <c r="GD66" s="234"/>
      <c r="GE66" s="224"/>
      <c r="GF66" s="222">
        <f>(FZ66+GB66+GB66)/3</f>
        <v>12</v>
      </c>
      <c r="GG66" s="223">
        <f t="shared" si="596"/>
        <v>24</v>
      </c>
      <c r="GH66" s="224">
        <f t="shared" si="597"/>
        <v>36</v>
      </c>
      <c r="GI66" s="237">
        <f>GB66*POWER(INslave,SIGN(FZ66))*POWER(FFslave,SIGN(GB66))+GB66*POWER(INslave,SIGN(FZ66))*POWER(FFslave,SIGN(GB66))+FZ66*POWER(FFslave,SIGN(GB66))*POWER(FFslave,SIGN(GB66))</f>
        <v>2304</v>
      </c>
      <c r="GJ66" s="234">
        <f>FZ66*GB66*FFslave+FZ66*FFslave*GB66+INslave*GB66*GB66</f>
        <v>3456</v>
      </c>
      <c r="GK66" s="224">
        <f>FZ66*GB66*GB66</f>
        <v>1728</v>
      </c>
      <c r="GL66" s="242">
        <f t="shared" si="640"/>
        <v>7488</v>
      </c>
      <c r="GM66" s="222">
        <f t="shared" si="600"/>
        <v>3.6923076923076925</v>
      </c>
      <c r="GN66" s="223">
        <f t="shared" si="601"/>
        <v>11.076923076923077</v>
      </c>
      <c r="GO66" s="243">
        <f t="shared" si="602"/>
        <v>8.3076923076923084</v>
      </c>
      <c r="GP66" s="218">
        <f t="shared" si="603"/>
        <v>23.07692307692308</v>
      </c>
      <c r="GQ66" s="252">
        <f t="shared" si="604"/>
        <v>0</v>
      </c>
      <c r="GR66" s="309">
        <f t="shared" si="605"/>
        <v>23.07692307692308</v>
      </c>
      <c r="GS66" s="218">
        <f>IF(GP66&gt;0,GP66,0)*1+IF(GP66&gt;12,GP66-12,0)*1+IF(GP66&gt;13,GP66-13,0)*1+IF(GP66&gt;14,GP66-14,0)*1+IF(GP66&gt;15,GP66-15,0)*1+IF(GP66&gt;16,GP66-16,0)*1+IF(GP66&gt;17,GP66-17,0)*1+IF(GP66&gt;18,GP66-18,0)*1+IF(GP66&gt;19,GP66-19,0)*1+IF(GP66&gt;20,GP66-20,0)*1</f>
        <v>86.769230769230802</v>
      </c>
      <c r="GT66" s="242">
        <f>IF(GQ66&gt;0,GQ66,0)*1+IF(GQ66&gt;12,GQ66-12,0)*1+IF(GQ66&gt;13,GQ66-13,0)*1+IF(GQ66&gt;14,GQ66-14,0)*1+IF(GQ66&gt;15,GQ66-15,0)*1+IF(GQ66&gt;16,GQ66-16,0)*1+IF(GQ66&gt;17,GQ66-17,0)*1+IF(GQ66&gt;18,GQ66-18,0)*1+IF(GQ66&gt;19,GQ66-19,0)*1+IF(GQ66&gt;20,GQ66-20,0)*1</f>
        <v>0</v>
      </c>
      <c r="GU66" s="243">
        <f t="shared" si="606"/>
        <v>86.769230769230802</v>
      </c>
      <c r="GV66" s="218">
        <f t="shared" si="607"/>
        <v>0</v>
      </c>
      <c r="GX66" s="303" t="s">
        <v>57</v>
      </c>
      <c r="GY66" s="243" t="s">
        <v>103</v>
      </c>
      <c r="GZ66" s="218" t="s">
        <v>133</v>
      </c>
      <c r="HA66" s="237"/>
      <c r="HB66" s="234"/>
      <c r="HC66" s="234">
        <f>Konvention_1slave-INslave</f>
        <v>12</v>
      </c>
      <c r="HD66" s="234"/>
      <c r="HE66" s="234">
        <f t="shared" si="659"/>
        <v>12</v>
      </c>
      <c r="HF66" s="234"/>
      <c r="HG66" s="234"/>
      <c r="HH66" s="224"/>
      <c r="HI66" s="222">
        <f>(HC66+HE66+HE66)/3</f>
        <v>12</v>
      </c>
      <c r="HJ66" s="223">
        <f t="shared" si="609"/>
        <v>24</v>
      </c>
      <c r="HK66" s="224">
        <f t="shared" si="610"/>
        <v>36</v>
      </c>
      <c r="HL66" s="237">
        <f>HE66*POWER(INslave,SIGN(HC66))*POWER(FFslave,SIGN(HE66))+HE66*POWER(INslave,SIGN(HC66))*POWER(FFslave,SIGN(HE66))+HC66*POWER(FFslave,SIGN(HE66))*POWER(FFslave,SIGN(HE66))</f>
        <v>2304</v>
      </c>
      <c r="HM66" s="234">
        <f>HC66*HE66*FFslave+HC66*FFslave*HE66+INslave*HE66*HE66</f>
        <v>3456</v>
      </c>
      <c r="HN66" s="224">
        <f>HC66*HE66*HE66</f>
        <v>1728</v>
      </c>
      <c r="HO66" s="242">
        <f t="shared" si="641"/>
        <v>7488</v>
      </c>
      <c r="HP66" s="222">
        <f t="shared" si="613"/>
        <v>3.6923076923076925</v>
      </c>
      <c r="HQ66" s="223">
        <f t="shared" si="614"/>
        <v>11.076923076923077</v>
      </c>
      <c r="HR66" s="243">
        <f t="shared" si="615"/>
        <v>8.3076923076923084</v>
      </c>
      <c r="HS66" s="218">
        <f t="shared" si="616"/>
        <v>23.07692307692308</v>
      </c>
      <c r="HT66" s="252">
        <f t="shared" si="617"/>
        <v>0</v>
      </c>
      <c r="HU66" s="309">
        <f t="shared" si="618"/>
        <v>23.07692307692308</v>
      </c>
      <c r="HV66" s="218">
        <f>IF(HS66&gt;0,HS66,0)*1+IF(HS66&gt;12,HS66-12,0)*1+IF(HS66&gt;13,HS66-13,0)*1+IF(HS66&gt;14,HS66-14,0)*1+IF(HS66&gt;15,HS66-15,0)*1+IF(HS66&gt;16,HS66-16,0)*1+IF(HS66&gt;17,HS66-17,0)*1+IF(HS66&gt;18,HS66-18,0)*1+IF(HS66&gt;19,HS66-19,0)*1+IF(HS66&gt;20,HS66-20,0)*1</f>
        <v>86.769230769230802</v>
      </c>
      <c r="HW66" s="242">
        <f>IF(HT66&gt;0,HT66,0)*1+IF(HT66&gt;12,HT66-12,0)*1+IF(HT66&gt;13,HT66-13,0)*1+IF(HT66&gt;14,HT66-14,0)*1+IF(HT66&gt;15,HT66-15,0)*1+IF(HT66&gt;16,HT66-16,0)*1+IF(HT66&gt;17,HT66-17,0)*1+IF(HT66&gt;18,HT66-18,0)*1+IF(HT66&gt;19,HT66-19,0)*1+IF(HT66&gt;20,HT66-20,0)*1</f>
        <v>0</v>
      </c>
      <c r="HX66" s="243">
        <f t="shared" si="619"/>
        <v>86.769230769230802</v>
      </c>
      <c r="HY66" s="218">
        <f t="shared" si="620"/>
        <v>0</v>
      </c>
      <c r="IA66" s="303" t="s">
        <v>57</v>
      </c>
      <c r="IB66" s="243" t="s">
        <v>103</v>
      </c>
      <c r="IC66" s="218" t="s">
        <v>133</v>
      </c>
      <c r="ID66" s="237"/>
      <c r="IE66" s="234"/>
      <c r="IF66" s="234">
        <f>Konvention_1slave-INslave</f>
        <v>12</v>
      </c>
      <c r="IG66" s="234"/>
      <c r="IH66" s="234">
        <f t="shared" si="660"/>
        <v>12</v>
      </c>
      <c r="II66" s="234"/>
      <c r="IJ66" s="234"/>
      <c r="IK66" s="224"/>
      <c r="IL66" s="222">
        <f>(IF66+IH66+IH66)/3</f>
        <v>12</v>
      </c>
      <c r="IM66" s="223">
        <f t="shared" si="622"/>
        <v>24</v>
      </c>
      <c r="IN66" s="224">
        <f t="shared" si="623"/>
        <v>36</v>
      </c>
      <c r="IO66" s="237">
        <f>IH66*POWER(INslave,SIGN(IF66))*POWER(FFslave,SIGN(IH66))+IH66*POWER(INslave,SIGN(IF66))*POWER(FFslave,SIGN(IH66))+IF66*POWER(FFslave,SIGN(IH66))*POWER(FFslave,SIGN(IH66))</f>
        <v>2304</v>
      </c>
      <c r="IP66" s="234">
        <f>IF66*IH66*FFslave+IF66*FFslave*IH66+INslave*IH66*IH66</f>
        <v>3456</v>
      </c>
      <c r="IQ66" s="224">
        <f>IF66*IH66*IH66</f>
        <v>1728</v>
      </c>
      <c r="IR66" s="242">
        <f t="shared" si="642"/>
        <v>7488</v>
      </c>
      <c r="IS66" s="222">
        <f t="shared" si="626"/>
        <v>3.6923076923076925</v>
      </c>
      <c r="IT66" s="223">
        <f t="shared" si="627"/>
        <v>11.076923076923077</v>
      </c>
      <c r="IU66" s="243">
        <f t="shared" si="628"/>
        <v>8.3076923076923084</v>
      </c>
      <c r="IV66" s="218">
        <f t="shared" si="629"/>
        <v>23.07692307692308</v>
      </c>
      <c r="IW66" s="252">
        <f t="shared" si="630"/>
        <v>0</v>
      </c>
      <c r="IX66" s="309">
        <f t="shared" si="631"/>
        <v>23.07692307692308</v>
      </c>
      <c r="IY66" s="218">
        <f>IF(IV66&gt;0,IV66,0)*1+IF(IV66&gt;12,IV66-12,0)*1+IF(IV66&gt;13,IV66-13,0)*1+IF(IV66&gt;14,IV66-14,0)*1+IF(IV66&gt;15,IV66-15,0)*1+IF(IV66&gt;16,IV66-16,0)*1+IF(IV66&gt;17,IV66-17,0)*1+IF(IV66&gt;18,IV66-18,0)*1+IF(IV66&gt;19,IV66-19,0)*1+IF(IV66&gt;20,IV66-20,0)*1</f>
        <v>86.769230769230802</v>
      </c>
      <c r="IZ66" s="242">
        <f>IF(IW66&gt;0,IW66,0)*1+IF(IW66&gt;12,IW66-12,0)*1+IF(IW66&gt;13,IW66-13,0)*1+IF(IW66&gt;14,IW66-14,0)*1+IF(IW66&gt;15,IW66-15,0)*1+IF(IW66&gt;16,IW66-16,0)*1+IF(IW66&gt;17,IW66-17,0)*1+IF(IW66&gt;18,IW66-18,0)*1+IF(IW66&gt;19,IW66-19,0)*1+IF(IW66&gt;20,IW66-20,0)*1</f>
        <v>0</v>
      </c>
      <c r="JA66" s="243">
        <f t="shared" si="632"/>
        <v>86.769230769230802</v>
      </c>
      <c r="JB66" s="218">
        <f t="shared" si="633"/>
        <v>0</v>
      </c>
      <c r="JE66" s="148"/>
    </row>
    <row r="67" spans="1:265" hidden="1" outlineLevel="2">
      <c r="B67" s="148">
        <v>11</v>
      </c>
      <c r="C67" s="303" t="e">
        <f>VLOOKUP(AF67,Attribute!C:T,1,FALSE)</f>
        <v>#N/A</v>
      </c>
      <c r="D67" s="127" t="s">
        <v>90</v>
      </c>
      <c r="E67" s="125" t="s">
        <v>132</v>
      </c>
      <c r="F67" s="114"/>
      <c r="G67" s="113"/>
      <c r="H67" s="113"/>
      <c r="I67" s="113"/>
      <c r="J67" s="113">
        <f t="shared" si="652"/>
        <v>12</v>
      </c>
      <c r="K67" s="113">
        <f>Konvention_1master-GEmaster</f>
        <v>12</v>
      </c>
      <c r="L67" s="113">
        <f>Konvention_1master-KOmaster</f>
        <v>12</v>
      </c>
      <c r="M67" s="119"/>
      <c r="N67" s="222">
        <f>(F67+G67+H67+I67+J67+K67+L67+M67)/3</f>
        <v>12</v>
      </c>
      <c r="O67" s="223">
        <f t="shared" si="519"/>
        <v>24</v>
      </c>
      <c r="P67" s="224">
        <f t="shared" si="520"/>
        <v>36</v>
      </c>
      <c r="Q67" s="237">
        <f>F67*POWER(KLmaster,SIGN(G67))*POWER(INmaster,SIGN(H67))*POWER(CHmaster,SIGN(I67))*POWER(FFmaster,SIGN(J67))*POWER(GEmaster,SIGN(K67))*POWER(KOmaster,SIGN(L67))*POWER(KKmaster,SIGN(M67))+G67*POWER(MUmaster,SIGN(F67))*POWER(INmaster,SIGN(H67))*POWER(CHmaster,SIGN(I67))*POWER(FFmaster,SIGN(J67))*POWER(GEmaster,SIGN(K67))*POWER(KOmaster,SIGN(L67))*POWER(KKmaster,SIGN(M67))+H67*POWER(MUmaster,SIGN(F67))*POWER(KLmaster,SIGN(G67))*POWER(CHmaster,SIGN(I67))*POWER(FFmaster,SIGN(J67))*POWER(GEmaster,SIGN(K67))*POWER(KOmaster,SIGN(L67))*POWER(KKmaster,SIGN(M67))+I67*POWER(MUmaster,SIGN(F67))*POWER(KLmaster,SIGN(G67))*POWER(INmaster,SIGN(H67))*POWER(FFmaster,SIGN(J67))*POWER(GEmaster,SIGN(K67))*POWER(KOmaster,SIGN(L67))*POWER(KKmaster,SIGN(M67))+J67*POWER(MUmaster,SIGN(F67))*POWER(KLmaster,SIGN(G67))*POWER(INmaster,SIGN(H67))*POWER(CHmaster,SIGN(I67))*POWER(GEmaster,SIGN(K67))*POWER(KOmaster,SIGN(L67))*POWER(KKmaster,SIGN(M67))+K67*POWER(MUmaster,SIGN(F67))*POWER(KLmaster,SIGN(G67))*POWER(INmaster,SIGN(H67))*POWER(CHmaster,SIGN(I67))*POWER(FFmaster,SIGN(J67))*POWER(KOmaster,SIGN(L67))*POWER(KKmaster,SIGN(M67))+L67*POWER(MUmaster,SIGN(F67))*POWER(KLmaster,SIGN(G67))*POWER(INmaster,SIGN(H67))*POWER(CHmaster,SIGN(I67))*POWER(FFmaster,SIGN(J67))*POWER(GEmaster,SIGN(K67))*POWER(KKmaster,SIGN(M67))+M67*POWER(MUmaster,SIGN(F67))*POWER(KLmaster,SIGN(G67))*POWER(INmaster,SIGN(H67))*POWER(CHmaster,SIGN(I67))*POWER(FFmaster,SIGN(J67))*POWER(GEmaster,SIGN(K67))*POWER(KOmaster,SIGN(L67))</f>
        <v>2304</v>
      </c>
      <c r="R67" s="113">
        <f>J67*K67*KOmaster+J67*GEmaster*L67+FFmaster*K67*L67</f>
        <v>3456</v>
      </c>
      <c r="S67" s="224">
        <f t="shared" si="522"/>
        <v>1728</v>
      </c>
      <c r="T67" s="242">
        <f t="shared" si="634"/>
        <v>7488</v>
      </c>
      <c r="U67" s="222">
        <f t="shared" si="523"/>
        <v>3.6923076923076925</v>
      </c>
      <c r="V67" s="223">
        <f t="shared" si="524"/>
        <v>11.076923076923077</v>
      </c>
      <c r="W67" s="243">
        <f t="shared" si="525"/>
        <v>8.3076923076923084</v>
      </c>
      <c r="X67" s="218">
        <f t="shared" si="526"/>
        <v>23.07692307692308</v>
      </c>
      <c r="Y67" s="252">
        <v>0</v>
      </c>
      <c r="Z67" s="198">
        <f t="shared" si="527"/>
        <v>23.07692307692308</v>
      </c>
      <c r="AA67" s="125">
        <f>IF(X67&gt;0,X67,0)*2+IF(X67&gt;12,X67-12,0)*2+IF(X67&gt;13,X67-13,0)*2+IF(X67&gt;14,X67-14,0)*2+IF(X67&gt;15,X67-15,0)*2+IF(X67&gt;16,X67-16,0)*2+IF(X67&gt;17,X67-17,0)*2+IF(X67&gt;18,X67-18,0)*2+IF(X67&gt;19,X67-19,0)*2+IF(X67&gt;20,X67-20,0)*2</f>
        <v>173.5384615384616</v>
      </c>
      <c r="AB67" s="160">
        <f>IF(Y67&gt;0,Y67,0)*2+IF(Y67&gt;12,Y67-12,0)*2+IF(Y67&gt;13,Y67-13,0)*2+IF(Y67&gt;14,Y67-14,0)*2+IF(Y67&gt;15,Y67-15,0)*2+IF(Y67&gt;16,Y67-16,0)*2+IF(Y67&gt;17,Y67-17,0)*2+IF(Y67&gt;18,Y67-18,0)*2+IF(Y67&gt;19,Y67-19,0)*2+IF(Y67&gt;20,Y67-20,0)*2</f>
        <v>0</v>
      </c>
      <c r="AC67" s="127">
        <f t="shared" si="528"/>
        <v>173.5384615384616</v>
      </c>
      <c r="AD67" s="125">
        <f t="shared" si="529"/>
        <v>0</v>
      </c>
      <c r="AF67" s="163" t="s">
        <v>58</v>
      </c>
      <c r="AG67" s="127" t="s">
        <v>90</v>
      </c>
      <c r="AH67" s="125" t="s">
        <v>132</v>
      </c>
      <c r="AI67" s="114"/>
      <c r="AJ67" s="113"/>
      <c r="AK67" s="113"/>
      <c r="AL67" s="113"/>
      <c r="AM67" s="113">
        <f t="shared" si="653"/>
        <v>12</v>
      </c>
      <c r="AN67" s="113">
        <f>Konvention_1slave-GEslave</f>
        <v>12</v>
      </c>
      <c r="AO67" s="113">
        <f>Konvention_1slave-KOslave</f>
        <v>12</v>
      </c>
      <c r="AP67" s="119"/>
      <c r="AQ67" s="89">
        <f>(AI67+AJ67+AK67+AL67+AM67+AN67+AO67+AP67)/3</f>
        <v>12</v>
      </c>
      <c r="AR67" s="47">
        <f t="shared" si="531"/>
        <v>24</v>
      </c>
      <c r="AS67" s="119">
        <f t="shared" si="532"/>
        <v>36</v>
      </c>
      <c r="AT67" s="114">
        <f>AI67*POWER(KLslave,SIGN(AJ67))*POWER(INslave,SIGN(AK67))*POWER(CHslave,SIGN(AL67))*POWER(FFslave,SIGN(AM67))*POWER(GEslave,SIGN(AN67))*POWER(KOslave,SIGN(AO67))*POWER(KKslave,SIGN(AP67))+AJ67*POWER(MUslave_MU,SIGN(AI67))*POWER(INslave,SIGN(AK67))*POWER(CHslave,SIGN(AL67))*POWER(FFslave,SIGN(AM67))*POWER(GEslave,SIGN(AN67))*POWER(KOslave,SIGN(AO67))*POWER(KKslave,SIGN(AP67))+AK67*POWER(MUslave_MU,SIGN(AI67))*POWER(KLslave,SIGN(AJ67))*POWER(CHslave,SIGN(AL67))*POWER(FFslave,SIGN(AM67))*POWER(GEslave,SIGN(AN67))*POWER(KOslave,SIGN(AO67))*POWER(KKslave,SIGN(AP67))+AL67*POWER(MUslave_MU,SIGN(AI67))*POWER(KLslave,SIGN(AJ67))*POWER(INslave,SIGN(AK67))*POWER(FFslave,SIGN(AM67))*POWER(GEslave,SIGN(AN67))*POWER(KOslave,SIGN(AO67))*POWER(KKslave,SIGN(AP67))+AM67*POWER(MUslave_MU,SIGN(AI67))*POWER(KLslave,SIGN(AJ67))*POWER(INslave,SIGN(AK67))*POWER(CHslave,SIGN(AL67))*POWER(GEslave,SIGN(AN67))*POWER(KOslave,SIGN(AO67))*POWER(KKslave,SIGN(AP67))+AN67*POWER(MUslave_MU,SIGN(AI67))*POWER(KLslave,SIGN(AJ67))*POWER(INslave,SIGN(AK67))*POWER(CHslave,SIGN(AL67))*POWER(FFslave,SIGN(AM67))*POWER(KOslave,SIGN(AO67))*POWER(KKslave,SIGN(AP67))+AO67*POWER(MUslave_MU,SIGN(AI67))*POWER(KLslave,SIGN(AJ67))*POWER(INslave,SIGN(AK67))*POWER(CHslave,SIGN(AL67))*POWER(FFslave,SIGN(AM67))*POWER(GEslave,SIGN(AN67))*POWER(KKslave,SIGN(AP67))+AP67*POWER(MUslave_MU,SIGN(AI67))*POWER(KLslave,SIGN(AJ67))*POWER(INslave,SIGN(AK67))*POWER(CHslave,SIGN(AL67))*POWER(FFslave,SIGN(AM67))*POWER(GEslave,SIGN(AN67))*POWER(KOslave,SIGN(AO67))</f>
        <v>2304</v>
      </c>
      <c r="AU67" s="113">
        <f>AM67*AN67*KOslave+AM67*GEslave*AO67+FFslave*AN67*AO67</f>
        <v>3456</v>
      </c>
      <c r="AV67" s="119">
        <f t="shared" si="534"/>
        <v>1728</v>
      </c>
      <c r="AW67" s="160">
        <f t="shared" si="635"/>
        <v>7488</v>
      </c>
      <c r="AX67" s="89">
        <f t="shared" si="535"/>
        <v>3.6923076923076925</v>
      </c>
      <c r="AY67" s="47">
        <f t="shared" si="536"/>
        <v>11.076923076923077</v>
      </c>
      <c r="AZ67" s="127">
        <f t="shared" si="537"/>
        <v>8.3076923076923084</v>
      </c>
      <c r="BA67" s="125">
        <f t="shared" si="538"/>
        <v>23.07692307692308</v>
      </c>
      <c r="BB67" s="165">
        <f t="shared" si="539"/>
        <v>0</v>
      </c>
      <c r="BC67" s="198">
        <f t="shared" si="540"/>
        <v>23.07692307692308</v>
      </c>
      <c r="BD67" s="125">
        <f>IF(BA67&gt;0,BA67,0)*2+IF(BA67&gt;12,BA67-12,0)*2+IF(BA67&gt;13,BA67-13,0)*2+IF(BA67&gt;14,BA67-14,0)*2+IF(BA67&gt;15,BA67-15,0)*2+IF(BA67&gt;16,BA67-16,0)*2+IF(BA67&gt;17,BA67-17,0)*2+IF(BA67&gt;18,BA67-18,0)*2+IF(BA67&gt;19,BA67-19,0)*2+IF(BA67&gt;20,BA67-20,0)*2</f>
        <v>173.5384615384616</v>
      </c>
      <c r="BE67" s="160">
        <f>IF(BB67&gt;0,BB67,0)*2+IF(BB67&gt;12,BB67-12,0)*2+IF(BB67&gt;13,BB67-13,0)*2+IF(BB67&gt;14,BB67-14,0)*2+IF(BB67&gt;15,BB67-15,0)*2+IF(BB67&gt;16,BB67-16,0)*2+IF(BB67&gt;17,BB67-17,0)*2+IF(BB67&gt;18,BB67-18,0)*2+IF(BB67&gt;19,BB67-19,0)*2+IF(BB67&gt;20,BB67-20,0)*2</f>
        <v>0</v>
      </c>
      <c r="BF67" s="243">
        <f t="shared" si="541"/>
        <v>173.5384615384616</v>
      </c>
      <c r="BG67" s="218">
        <f t="shared" si="542"/>
        <v>0</v>
      </c>
      <c r="BI67" s="303" t="s">
        <v>58</v>
      </c>
      <c r="BJ67" s="243" t="s">
        <v>90</v>
      </c>
      <c r="BK67" s="218" t="s">
        <v>132</v>
      </c>
      <c r="BL67" s="237"/>
      <c r="BM67" s="234"/>
      <c r="BN67" s="234"/>
      <c r="BO67" s="234"/>
      <c r="BP67" s="234">
        <f t="shared" si="654"/>
        <v>12</v>
      </c>
      <c r="BQ67" s="234">
        <f>Konvention_1slave-GEslave</f>
        <v>12</v>
      </c>
      <c r="BR67" s="234">
        <f>Konvention_1slave-KOslave</f>
        <v>12</v>
      </c>
      <c r="BS67" s="224"/>
      <c r="BT67" s="222">
        <f>(BL67+BM67+BN67+BO67+BP67+BQ67+BR67+BS67)/3</f>
        <v>12</v>
      </c>
      <c r="BU67" s="223">
        <f t="shared" si="544"/>
        <v>24</v>
      </c>
      <c r="BV67" s="224">
        <f t="shared" si="545"/>
        <v>36</v>
      </c>
      <c r="BW67" s="237">
        <f>BL67*POWER(KLslave_KL,SIGN(BM67))*POWER(INslave,SIGN(BN67))*POWER(CHslave,SIGN(BO67))*POWER(FFslave,SIGN(BP67))*POWER(GEslave,SIGN(BQ67))*POWER(KOslave,SIGN(BR67))*POWER(KKslave,SIGN(BS67))+BM67*POWER(MUslave,SIGN(BL67))*POWER(INslave,SIGN(BN67))*POWER(CHslave,SIGN(BO67))*POWER(FFslave,SIGN(BP67))*POWER(GEslave,SIGN(BQ67))*POWER(KOslave,SIGN(BR67))*POWER(KKslave,SIGN(BS67))+BN67*POWER(MUslave,SIGN(BL67))*POWER(KLslave_KL,SIGN(BM67))*POWER(CHslave,SIGN(BO67))*POWER(FFslave,SIGN(BP67))*POWER(GEslave,SIGN(BQ67))*POWER(KOslave,SIGN(BR67))*POWER(KKslave,SIGN(BS67))+BO67*POWER(MUslave,SIGN(BL67))*POWER(KLslave_KL,SIGN(BM67))*POWER(INslave,SIGN(BN67))*POWER(FFslave,SIGN(BP67))*POWER(GEslave,SIGN(BQ67))*POWER(KOslave,SIGN(BR67))*POWER(KKslave,SIGN(BS67))+BP67*POWER(MUslave,SIGN(BL67))*POWER(KLslave_KL,SIGN(BM67))*POWER(INslave,SIGN(BN67))*POWER(CHslave,SIGN(BO67))*POWER(GEslave,SIGN(BQ67))*POWER(KOslave,SIGN(BR67))*POWER(KKslave,SIGN(BS67))+BQ67*POWER(MUslave,SIGN(BL67))*POWER(KLslave_KL,SIGN(BM67))*POWER(INslave,SIGN(BN67))*POWER(CHslave,SIGN(BO67))*POWER(FFslave,SIGN(BP67))*POWER(KOslave,SIGN(BR67))*POWER(KKslave,SIGN(BS67))+BR67*POWER(MUslave,SIGN(BL67))*POWER(KLslave_KL,SIGN(BM67))*POWER(INslave,SIGN(BN67))*POWER(CHslave,SIGN(BO67))*POWER(FFslave,SIGN(BP67))*POWER(GEslave,SIGN(BQ67))*POWER(KKslave,SIGN(BS67))+BS67*POWER(MUslave,SIGN(BL67))*POWER(KLslave_KL,SIGN(BM67))*POWER(INslave,SIGN(BN67))*POWER(CHslave,SIGN(BO67))*POWER(FFslave,SIGN(BP67))*POWER(GEslave,SIGN(BQ67))*POWER(KOslave,SIGN(BR67))</f>
        <v>2304</v>
      </c>
      <c r="BX67" s="234">
        <f>BP67*BQ67*KOslave+BP67*GEslave*BR67+FFslave*BQ67*BR67</f>
        <v>3456</v>
      </c>
      <c r="BY67" s="224">
        <f t="shared" si="547"/>
        <v>1728</v>
      </c>
      <c r="BZ67" s="242">
        <f t="shared" si="636"/>
        <v>7488</v>
      </c>
      <c r="CA67" s="222">
        <f t="shared" si="548"/>
        <v>3.6923076923076925</v>
      </c>
      <c r="CB67" s="223">
        <f t="shared" si="549"/>
        <v>11.076923076923077</v>
      </c>
      <c r="CC67" s="243">
        <f t="shared" si="550"/>
        <v>8.3076923076923084</v>
      </c>
      <c r="CD67" s="218">
        <f t="shared" si="551"/>
        <v>23.07692307692308</v>
      </c>
      <c r="CE67" s="252">
        <f t="shared" si="552"/>
        <v>0</v>
      </c>
      <c r="CF67" s="309">
        <f t="shared" si="553"/>
        <v>23.07692307692308</v>
      </c>
      <c r="CG67" s="218">
        <f>IF(CD67&gt;0,CD67,0)*2+IF(CD67&gt;12,CD67-12,0)*2+IF(CD67&gt;13,CD67-13,0)*2+IF(CD67&gt;14,CD67-14,0)*2+IF(CD67&gt;15,CD67-15,0)*2+IF(CD67&gt;16,CD67-16,0)*2+IF(CD67&gt;17,CD67-17,0)*2+IF(CD67&gt;18,CD67-18,0)*2+IF(CD67&gt;19,CD67-19,0)*2+IF(CD67&gt;20,CD67-20,0)*2</f>
        <v>173.5384615384616</v>
      </c>
      <c r="CH67" s="242">
        <f>IF(CE67&gt;0,CE67,0)*2+IF(CE67&gt;12,CE67-12,0)*2+IF(CE67&gt;13,CE67-13,0)*2+IF(CE67&gt;14,CE67-14,0)*2+IF(CE67&gt;15,CE67-15,0)*2+IF(CE67&gt;16,CE67-16,0)*2+IF(CE67&gt;17,CE67-17,0)*2+IF(CE67&gt;18,CE67-18,0)*2+IF(CE67&gt;19,CE67-19,0)*2+IF(CE67&gt;20,CE67-20,0)*2</f>
        <v>0</v>
      </c>
      <c r="CI67" s="243">
        <f t="shared" si="554"/>
        <v>173.5384615384616</v>
      </c>
      <c r="CJ67" s="218">
        <f t="shared" si="555"/>
        <v>0</v>
      </c>
      <c r="CL67" s="303" t="s">
        <v>58</v>
      </c>
      <c r="CM67" s="243" t="s">
        <v>90</v>
      </c>
      <c r="CN67" s="218" t="s">
        <v>132</v>
      </c>
      <c r="CO67" s="237"/>
      <c r="CP67" s="234"/>
      <c r="CQ67" s="234"/>
      <c r="CR67" s="234"/>
      <c r="CS67" s="234">
        <f t="shared" si="655"/>
        <v>12</v>
      </c>
      <c r="CT67" s="234">
        <f>Konvention_1slave-GEslave</f>
        <v>12</v>
      </c>
      <c r="CU67" s="234">
        <f>Konvention_1slave-KOslave</f>
        <v>12</v>
      </c>
      <c r="CV67" s="224"/>
      <c r="CW67" s="222">
        <f>(CO67+CP67+CQ67+CR67+CS67+CT67+CU67+CV67)/3</f>
        <v>12</v>
      </c>
      <c r="CX67" s="223">
        <f t="shared" si="557"/>
        <v>24</v>
      </c>
      <c r="CY67" s="224">
        <f t="shared" si="558"/>
        <v>36</v>
      </c>
      <c r="CZ67" s="237">
        <f>CO67*POWER(KLslave,SIGN(CP67))*POWER(INslave_IN,SIGN(CQ67))*POWER(CHslave,SIGN(CR67))*POWER(FFslave,SIGN(CS67))*POWER(GEslave,SIGN(CT67))*POWER(KOslave,SIGN(CU67))*POWER(KKslave,SIGN(CV67))+CP67*POWER(MUslave,SIGN(CO67))*POWER(INslave_IN,SIGN(CQ67))*POWER(CHslave,SIGN(CR67))*POWER(FFslave,SIGN(CS67))*POWER(GEslave,SIGN(CT67))*POWER(KOslave,SIGN(CU67))*POWER(KKslave,SIGN(CV67))+CQ67*POWER(MUslave,SIGN(CO67))*POWER(KLslave,SIGN(CP67))*POWER(CHslave,SIGN(CR67))*POWER(FFslave,SIGN(CS67))*POWER(GEslave,SIGN(CT67))*POWER(KOslave,SIGN(CU67))*POWER(KKslave,SIGN(CV67))+CR67*POWER(MUslave,SIGN(CO67))*POWER(KLslave,SIGN(CP67))*POWER(INslave_IN,SIGN(CQ67))*POWER(FFslave,SIGN(CS67))*POWER(GEslave,SIGN(CT67))*POWER(KOslave,SIGN(CU67))*POWER(KKslave,SIGN(CV67))+CS67*POWER(MUslave,SIGN(CO67))*POWER(KLslave,SIGN(CP67))*POWER(INslave_IN,SIGN(CQ67))*POWER(CHslave,SIGN(CR67))*POWER(GEslave,SIGN(CT67))*POWER(KOslave,SIGN(CU67))*POWER(KKslave,SIGN(CV67))+CT67*POWER(MUslave,SIGN(CO67))*POWER(KLslave,SIGN(CP67))*POWER(INslave_IN,SIGN(CQ67))*POWER(CHslave,SIGN(CR67))*POWER(FFslave,SIGN(CS67))*POWER(KOslave,SIGN(CU67))*POWER(KKslave,SIGN(CV67))+CU67*POWER(MUslave,SIGN(CO67))*POWER(KLslave,SIGN(CP67))*POWER(INslave_IN,SIGN(CQ67))*POWER(CHslave,SIGN(CR67))*POWER(FFslave,SIGN(CS67))*POWER(GEslave,SIGN(CT67))*POWER(KKslave,SIGN(CV67))+CV67*POWER(MUslave,SIGN(CO67))*POWER(KLslave,SIGN(CP67))*POWER(INslave_IN,SIGN(CQ67))*POWER(CHslave,SIGN(CR67))*POWER(FFslave,SIGN(CS67))*POWER(GEslave,SIGN(CT67))*POWER(KOslave,SIGN(CU67))</f>
        <v>2304</v>
      </c>
      <c r="DA67" s="234">
        <f>CS67*CT67*KOslave+CS67*GEslave*CU67+FFslave*CT67*CU67</f>
        <v>3456</v>
      </c>
      <c r="DB67" s="224">
        <f t="shared" si="560"/>
        <v>1728</v>
      </c>
      <c r="DC67" s="242">
        <f t="shared" si="637"/>
        <v>7488</v>
      </c>
      <c r="DD67" s="222">
        <f t="shared" si="561"/>
        <v>3.6923076923076925</v>
      </c>
      <c r="DE67" s="223">
        <f t="shared" si="562"/>
        <v>11.076923076923077</v>
      </c>
      <c r="DF67" s="243">
        <f t="shared" si="563"/>
        <v>8.3076923076923084</v>
      </c>
      <c r="DG67" s="218">
        <f t="shared" si="564"/>
        <v>23.07692307692308</v>
      </c>
      <c r="DH67" s="252">
        <f t="shared" si="565"/>
        <v>0</v>
      </c>
      <c r="DI67" s="309">
        <f t="shared" si="566"/>
        <v>23.07692307692308</v>
      </c>
      <c r="DJ67" s="218">
        <f>IF(DG67&gt;0,DG67,0)*2+IF(DG67&gt;12,DG67-12,0)*2+IF(DG67&gt;13,DG67-13,0)*2+IF(DG67&gt;14,DG67-14,0)*2+IF(DG67&gt;15,DG67-15,0)*2+IF(DG67&gt;16,DG67-16,0)*2+IF(DG67&gt;17,DG67-17,0)*2+IF(DG67&gt;18,DG67-18,0)*2+IF(DG67&gt;19,DG67-19,0)*2+IF(DG67&gt;20,DG67-20,0)*2</f>
        <v>173.5384615384616</v>
      </c>
      <c r="DK67" s="242">
        <f>IF(DH67&gt;0,DH67,0)*2+IF(DH67&gt;12,DH67-12,0)*2+IF(DH67&gt;13,DH67-13,0)*2+IF(DH67&gt;14,DH67-14,0)*2+IF(DH67&gt;15,DH67-15,0)*2+IF(DH67&gt;16,DH67-16,0)*2+IF(DH67&gt;17,DH67-17,0)*2+IF(DH67&gt;18,DH67-18,0)*2+IF(DH67&gt;19,DH67-19,0)*2+IF(DH67&gt;20,DH67-20,0)*2</f>
        <v>0</v>
      </c>
      <c r="DL67" s="243">
        <f t="shared" si="567"/>
        <v>173.5384615384616</v>
      </c>
      <c r="DM67" s="218">
        <f t="shared" si="568"/>
        <v>0</v>
      </c>
      <c r="DO67" s="303" t="s">
        <v>58</v>
      </c>
      <c r="DP67" s="243" t="s">
        <v>90</v>
      </c>
      <c r="DQ67" s="218" t="s">
        <v>132</v>
      </c>
      <c r="DR67" s="237"/>
      <c r="DS67" s="234"/>
      <c r="DT67" s="234"/>
      <c r="DU67" s="234"/>
      <c r="DV67" s="234">
        <f t="shared" si="656"/>
        <v>12</v>
      </c>
      <c r="DW67" s="234">
        <f>Konvention_1slave-GEslave</f>
        <v>12</v>
      </c>
      <c r="DX67" s="234">
        <f>Konvention_1slave-KOslave</f>
        <v>12</v>
      </c>
      <c r="DY67" s="224"/>
      <c r="DZ67" s="222">
        <f>(DR67+DS67+DT67+DU67+DV67+DW67+DX67+DY67)/3</f>
        <v>12</v>
      </c>
      <c r="EA67" s="223">
        <f t="shared" si="570"/>
        <v>24</v>
      </c>
      <c r="EB67" s="224">
        <f t="shared" si="571"/>
        <v>36</v>
      </c>
      <c r="EC67" s="237">
        <f>DR67*POWER(KLslave,SIGN(DS67))*POWER(INslave,SIGN(DT67))*POWER(CHslave_CH,SIGN(DU67))*POWER(FFslave,SIGN(DV67))*POWER(GEslave,SIGN(DW67))*POWER(KOslave,SIGN(DX67))*POWER(KKslave,SIGN(DY67))+DS67*POWER(MUslave,SIGN(DR67))*POWER(INslave,SIGN(DT67))*POWER(CHslave_CH,SIGN(DU67))*POWER(FFslave,SIGN(DV67))*POWER(GEslave,SIGN(DW67))*POWER(KOslave,SIGN(DX67))*POWER(KKslave,SIGN(DY67))+DT67*POWER(MUslave,SIGN(DR67))*POWER(KLslave,SIGN(DS67))*POWER(CHslave_CH,SIGN(DU67))*POWER(FFslave,SIGN(DV67))*POWER(GEslave,SIGN(DW67))*POWER(KOslave,SIGN(DX67))*POWER(KKslave,SIGN(DY67))+DU67*POWER(MUslave,SIGN(DR67))*POWER(KLslave,SIGN(DS67))*POWER(INslave,SIGN(DT67))*POWER(FFslave,SIGN(DV67))*POWER(GEslave,SIGN(DW67))*POWER(KOslave,SIGN(DX67))*POWER(KKslave,SIGN(DY67))+DV67*POWER(MUslave,SIGN(DR67))*POWER(KLslave,SIGN(DS67))*POWER(INslave,SIGN(DT67))*POWER(CHslave_CH,SIGN(DU67))*POWER(GEslave,SIGN(DW67))*POWER(KOslave,SIGN(DX67))*POWER(KKslave,SIGN(DY67))+DW67*POWER(MUslave,SIGN(DR67))*POWER(KLslave,SIGN(DS67))*POWER(INslave,SIGN(DT67))*POWER(CHslave_CH,SIGN(DU67))*POWER(FFslave,SIGN(DV67))*POWER(KOslave,SIGN(DX67))*POWER(KKslave,SIGN(DY67))+DX67*POWER(MUslave,SIGN(DR67))*POWER(KLslave,SIGN(DS67))*POWER(INslave,SIGN(DT67))*POWER(CHslave_CH,SIGN(DU67))*POWER(FFslave,SIGN(DV67))*POWER(GEslave,SIGN(DW67))*POWER(KKslave,SIGN(DY67))+DY67*POWER(MUslave,SIGN(DR67))*POWER(KLslave,SIGN(DS67))*POWER(INslave,SIGN(DT67))*POWER(CHslave_CH,SIGN(DU67))*POWER(FFslave,SIGN(DV67))*POWER(GEslave,SIGN(DW67))*POWER(KOslave,SIGN(DX67))</f>
        <v>2304</v>
      </c>
      <c r="ED67" s="234">
        <f>DV67*DW67*KOslave+DV67*GEslave*DX67+FFslave*DW67*DX67</f>
        <v>3456</v>
      </c>
      <c r="EE67" s="224">
        <f t="shared" si="573"/>
        <v>1728</v>
      </c>
      <c r="EF67" s="242">
        <f t="shared" si="638"/>
        <v>7488</v>
      </c>
      <c r="EG67" s="222">
        <f t="shared" si="574"/>
        <v>3.6923076923076925</v>
      </c>
      <c r="EH67" s="223">
        <f t="shared" si="575"/>
        <v>11.076923076923077</v>
      </c>
      <c r="EI67" s="243">
        <f t="shared" si="576"/>
        <v>8.3076923076923084</v>
      </c>
      <c r="EJ67" s="218">
        <f t="shared" si="577"/>
        <v>23.07692307692308</v>
      </c>
      <c r="EK67" s="252">
        <f t="shared" si="578"/>
        <v>0</v>
      </c>
      <c r="EL67" s="309">
        <f t="shared" si="579"/>
        <v>23.07692307692308</v>
      </c>
      <c r="EM67" s="218">
        <f>IF(EJ67&gt;0,EJ67,0)*2+IF(EJ67&gt;12,EJ67-12,0)*2+IF(EJ67&gt;13,EJ67-13,0)*2+IF(EJ67&gt;14,EJ67-14,0)*2+IF(EJ67&gt;15,EJ67-15,0)*2+IF(EJ67&gt;16,EJ67-16,0)*2+IF(EJ67&gt;17,EJ67-17,0)*2+IF(EJ67&gt;18,EJ67-18,0)*2+IF(EJ67&gt;19,EJ67-19,0)*2+IF(EJ67&gt;20,EJ67-20,0)*2</f>
        <v>173.5384615384616</v>
      </c>
      <c r="EN67" s="242">
        <f>IF(EK67&gt;0,EK67,0)*2+IF(EK67&gt;12,EK67-12,0)*2+IF(EK67&gt;13,EK67-13,0)*2+IF(EK67&gt;14,EK67-14,0)*2+IF(EK67&gt;15,EK67-15,0)*2+IF(EK67&gt;16,EK67-16,0)*2+IF(EK67&gt;17,EK67-17,0)*2+IF(EK67&gt;18,EK67-18,0)*2+IF(EK67&gt;19,EK67-19,0)*2+IF(EK67&gt;20,EK67-20,0)*2</f>
        <v>0</v>
      </c>
      <c r="EO67" s="243">
        <f t="shared" si="580"/>
        <v>173.5384615384616</v>
      </c>
      <c r="EP67" s="218">
        <f t="shared" si="581"/>
        <v>0</v>
      </c>
      <c r="ER67" s="303" t="s">
        <v>58</v>
      </c>
      <c r="ES67" s="243" t="s">
        <v>90</v>
      </c>
      <c r="ET67" s="218" t="s">
        <v>132</v>
      </c>
      <c r="EU67" s="237"/>
      <c r="EV67" s="234"/>
      <c r="EW67" s="234"/>
      <c r="EX67" s="234"/>
      <c r="EY67" s="234">
        <f t="shared" si="657"/>
        <v>11</v>
      </c>
      <c r="EZ67" s="234">
        <f>Konvention_1slave-GEslave</f>
        <v>12</v>
      </c>
      <c r="FA67" s="234">
        <f>Konvention_1slave-KOslave</f>
        <v>12</v>
      </c>
      <c r="FB67" s="224"/>
      <c r="FC67" s="222">
        <f>(EU67+EV67+EW67+EX67+EY67+EZ67+FA67+FB67)/3</f>
        <v>11.666666666666666</v>
      </c>
      <c r="FD67" s="223">
        <f t="shared" si="583"/>
        <v>23.333333333333332</v>
      </c>
      <c r="FE67" s="224">
        <f t="shared" si="584"/>
        <v>35</v>
      </c>
      <c r="FF67" s="237">
        <f>EU67*POWER(KLslave,SIGN(EV67))*POWER(INslave,SIGN(EW67))*POWER(CHslave,SIGN(EX67))*POWER(FFslave_FF,SIGN(EY67))*POWER(GEslave,SIGN(EZ67))*POWER(KOslave,SIGN(FA67))*POWER(KKslave,SIGN(FB67))+EV67*POWER(MUslave,SIGN(EU67))*POWER(INslave,SIGN(EW67))*POWER(CHslave,SIGN(EX67))*POWER(FFslave_FF,SIGN(EY67))*POWER(GEslave,SIGN(EZ67))*POWER(KOslave,SIGN(FA67))*POWER(KKslave,SIGN(FB67))+EW67*POWER(MUslave,SIGN(EU67))*POWER(KLslave,SIGN(EV67))*POWER(CHslave,SIGN(EX67))*POWER(FFslave_FF,SIGN(EY67))*POWER(GEslave,SIGN(EZ67))*POWER(KOslave,SIGN(FA67))*POWER(KKslave,SIGN(FB67))+EX67*POWER(MUslave,SIGN(EU67))*POWER(KLslave,SIGN(EV67))*POWER(INslave,SIGN(EW67))*POWER(FFslave_FF,SIGN(EY67))*POWER(GEslave,SIGN(EZ67))*POWER(KOslave,SIGN(FA67))*POWER(KKslave,SIGN(FB67))+EY67*POWER(MUslave,SIGN(EU67))*POWER(KLslave,SIGN(EV67))*POWER(INslave,SIGN(EW67))*POWER(CHslave,SIGN(EX67))*POWER(GEslave,SIGN(EZ67))*POWER(KOslave,SIGN(FA67))*POWER(KKslave,SIGN(FB67))+EZ67*POWER(MUslave,SIGN(EU67))*POWER(KLslave,SIGN(EV67))*POWER(INslave,SIGN(EW67))*POWER(CHslave,SIGN(EX67))*POWER(FFslave_FF,SIGN(EY67))*POWER(KOslave,SIGN(FA67))*POWER(KKslave,SIGN(FB67))+FA67*POWER(MUslave,SIGN(EU67))*POWER(KLslave,SIGN(EV67))*POWER(INslave,SIGN(EW67))*POWER(CHslave,SIGN(EX67))*POWER(FFslave_FF,SIGN(EY67))*POWER(GEslave,SIGN(EZ67))*POWER(KKslave,SIGN(FB67))+FB67*POWER(MUslave,SIGN(EU67))*POWER(KLslave,SIGN(EV67))*POWER(INslave,SIGN(EW67))*POWER(CHslave,SIGN(EX67))*POWER(FFslave_FF,SIGN(EY67))*POWER(GEslave,SIGN(EZ67))*POWER(KOslave,SIGN(FA67))</f>
        <v>2432</v>
      </c>
      <c r="FG67" s="234">
        <f>EY67*EZ67*KOslave+EY67*GEslave*FA67+FFslave_FF*EZ67*FA67</f>
        <v>3408</v>
      </c>
      <c r="FH67" s="224">
        <f t="shared" si="586"/>
        <v>1584</v>
      </c>
      <c r="FI67" s="242">
        <f t="shared" si="639"/>
        <v>7424</v>
      </c>
      <c r="FJ67" s="222">
        <f t="shared" si="587"/>
        <v>3.8218390804597702</v>
      </c>
      <c r="FK67" s="223">
        <f t="shared" si="588"/>
        <v>10.711206896551724</v>
      </c>
      <c r="FL67" s="243">
        <f t="shared" si="589"/>
        <v>7.4676724137931032</v>
      </c>
      <c r="FM67" s="218">
        <f t="shared" si="590"/>
        <v>22.000718390804597</v>
      </c>
      <c r="FN67" s="252">
        <f t="shared" si="591"/>
        <v>0</v>
      </c>
      <c r="FO67" s="309">
        <f t="shared" si="592"/>
        <v>22.000718390804597</v>
      </c>
      <c r="FP67" s="218">
        <f>IF(FM67&gt;0,FM67,0)*2+IF(FM67&gt;12,FM67-12,0)*2+IF(FM67&gt;13,FM67-13,0)*2+IF(FM67&gt;14,FM67-14,0)*2+IF(FM67&gt;15,FM67-15,0)*2+IF(FM67&gt;16,FM67-16,0)*2+IF(FM67&gt;17,FM67-17,0)*2+IF(FM67&gt;18,FM67-18,0)*2+IF(FM67&gt;19,FM67-19,0)*2+IF(FM67&gt;20,FM67-20,0)*2</f>
        <v>152.01436781609189</v>
      </c>
      <c r="FQ67" s="242">
        <f>IF(FN67&gt;0,FN67,0)*2+IF(FN67&gt;12,FN67-12,0)*2+IF(FN67&gt;13,FN67-13,0)*2+IF(FN67&gt;14,FN67-14,0)*2+IF(FN67&gt;15,FN67-15,0)*2+IF(FN67&gt;16,FN67-16,0)*2+IF(FN67&gt;17,FN67-17,0)*2+IF(FN67&gt;18,FN67-18,0)*2+IF(FN67&gt;19,FN67-19,0)*2+IF(FN67&gt;20,FN67-20,0)*2</f>
        <v>0</v>
      </c>
      <c r="FR67" s="243">
        <f t="shared" si="593"/>
        <v>152.01436781609189</v>
      </c>
      <c r="FS67" s="218">
        <f t="shared" si="594"/>
        <v>0</v>
      </c>
      <c r="FU67" s="303" t="s">
        <v>58</v>
      </c>
      <c r="FV67" s="243" t="s">
        <v>90</v>
      </c>
      <c r="FW67" s="218" t="s">
        <v>132</v>
      </c>
      <c r="FX67" s="237"/>
      <c r="FY67" s="234"/>
      <c r="FZ67" s="234"/>
      <c r="GA67" s="234"/>
      <c r="GB67" s="234">
        <f t="shared" si="658"/>
        <v>12</v>
      </c>
      <c r="GC67" s="234">
        <f>Konvention_1slave-GEslave_GE</f>
        <v>11</v>
      </c>
      <c r="GD67" s="234">
        <f>Konvention_1slave-KOslave</f>
        <v>12</v>
      </c>
      <c r="GE67" s="224"/>
      <c r="GF67" s="222">
        <f>(FX67+FY67+FZ67+GA67+GB67+GC67+GD67+GE67)/3</f>
        <v>11.666666666666666</v>
      </c>
      <c r="GG67" s="223">
        <f t="shared" si="596"/>
        <v>23.333333333333332</v>
      </c>
      <c r="GH67" s="224">
        <f t="shared" si="597"/>
        <v>35</v>
      </c>
      <c r="GI67" s="237">
        <f>FX67*POWER(KLslave,SIGN(FY67))*POWER(INslave,SIGN(FZ67))*POWER(CHslave,SIGN(GA67))*POWER(FFslave,SIGN(GB67))*POWER(GEslave_GE,SIGN(GC67))*POWER(KOslave,SIGN(GD67))*POWER(KKslave,SIGN(GE67))+FY67*POWER(MUslave,SIGN(FX67))*POWER(INslave,SIGN(FZ67))*POWER(CHslave,SIGN(GA67))*POWER(FFslave,SIGN(GB67))*POWER(GEslave_GE,SIGN(GC67))*POWER(KOslave,SIGN(GD67))*POWER(KKslave,SIGN(GE67))+FZ67*POWER(MUslave,SIGN(FX67))*POWER(KLslave,SIGN(FY67))*POWER(CHslave,SIGN(GA67))*POWER(FFslave,SIGN(GB67))*POWER(GEslave_GE,SIGN(GC67))*POWER(KOslave,SIGN(GD67))*POWER(KKslave,SIGN(GE67))+GA67*POWER(MUslave,SIGN(FX67))*POWER(KLslave,SIGN(FY67))*POWER(INslave,SIGN(FZ67))*POWER(FFslave,SIGN(GB67))*POWER(GEslave_GE,SIGN(GC67))*POWER(KOslave,SIGN(GD67))*POWER(KKslave,SIGN(GE67))+GB67*POWER(MUslave,SIGN(FX67))*POWER(KLslave,SIGN(FY67))*POWER(INslave,SIGN(FZ67))*POWER(CHslave,SIGN(GA67))*POWER(GEslave_GE,SIGN(GC67))*POWER(KOslave,SIGN(GD67))*POWER(KKslave,SIGN(GE67))+GC67*POWER(MUslave,SIGN(FX67))*POWER(KLslave,SIGN(FY67))*POWER(INslave,SIGN(FZ67))*POWER(CHslave,SIGN(GA67))*POWER(FFslave,SIGN(GB67))*POWER(KOslave,SIGN(GD67))*POWER(KKslave,SIGN(GE67))+GD67*POWER(MUslave,SIGN(FX67))*POWER(KLslave,SIGN(FY67))*POWER(INslave,SIGN(FZ67))*POWER(CHslave,SIGN(GA67))*POWER(FFslave,SIGN(GB67))*POWER(GEslave_GE,SIGN(GC67))*POWER(KKslave,SIGN(GE67))+GE67*POWER(MUslave,SIGN(FX67))*POWER(KLslave,SIGN(FY67))*POWER(INslave,SIGN(FZ67))*POWER(CHslave,SIGN(GA67))*POWER(FFslave,SIGN(GB67))*POWER(GEslave_GE,SIGN(GC67))*POWER(KOslave,SIGN(GD67))</f>
        <v>2432</v>
      </c>
      <c r="GJ67" s="234">
        <f>GB67*GC67*KOslave+GB67*GEslave_GE*GD67+FFslave*GC67*GD67</f>
        <v>3408</v>
      </c>
      <c r="GK67" s="224">
        <f t="shared" si="599"/>
        <v>1584</v>
      </c>
      <c r="GL67" s="242">
        <f t="shared" si="640"/>
        <v>7424</v>
      </c>
      <c r="GM67" s="222">
        <f t="shared" si="600"/>
        <v>3.8218390804597702</v>
      </c>
      <c r="GN67" s="223">
        <f t="shared" si="601"/>
        <v>10.711206896551724</v>
      </c>
      <c r="GO67" s="243">
        <f t="shared" si="602"/>
        <v>7.4676724137931032</v>
      </c>
      <c r="GP67" s="218">
        <f t="shared" si="603"/>
        <v>22.000718390804597</v>
      </c>
      <c r="GQ67" s="252">
        <f t="shared" si="604"/>
        <v>0</v>
      </c>
      <c r="GR67" s="309">
        <f t="shared" si="605"/>
        <v>22.000718390804597</v>
      </c>
      <c r="GS67" s="218">
        <f>IF(GP67&gt;0,GP67,0)*2+IF(GP67&gt;12,GP67-12,0)*2+IF(GP67&gt;13,GP67-13,0)*2+IF(GP67&gt;14,GP67-14,0)*2+IF(GP67&gt;15,GP67-15,0)*2+IF(GP67&gt;16,GP67-16,0)*2+IF(GP67&gt;17,GP67-17,0)*2+IF(GP67&gt;18,GP67-18,0)*2+IF(GP67&gt;19,GP67-19,0)*2+IF(GP67&gt;20,GP67-20,0)*2</f>
        <v>152.01436781609189</v>
      </c>
      <c r="GT67" s="242">
        <f>IF(GQ67&gt;0,GQ67,0)*2+IF(GQ67&gt;12,GQ67-12,0)*2+IF(GQ67&gt;13,GQ67-13,0)*2+IF(GQ67&gt;14,GQ67-14,0)*2+IF(GQ67&gt;15,GQ67-15,0)*2+IF(GQ67&gt;16,GQ67-16,0)*2+IF(GQ67&gt;17,GQ67-17,0)*2+IF(GQ67&gt;18,GQ67-18,0)*2+IF(GQ67&gt;19,GQ67-19,0)*2+IF(GQ67&gt;20,GQ67-20,0)*2</f>
        <v>0</v>
      </c>
      <c r="GU67" s="243">
        <f t="shared" si="606"/>
        <v>152.01436781609189</v>
      </c>
      <c r="GV67" s="218">
        <f t="shared" si="607"/>
        <v>0</v>
      </c>
      <c r="GX67" s="303" t="s">
        <v>58</v>
      </c>
      <c r="GY67" s="243" t="s">
        <v>90</v>
      </c>
      <c r="GZ67" s="218" t="s">
        <v>132</v>
      </c>
      <c r="HA67" s="237"/>
      <c r="HB67" s="234"/>
      <c r="HC67" s="234"/>
      <c r="HD67" s="234"/>
      <c r="HE67" s="234">
        <f t="shared" si="659"/>
        <v>12</v>
      </c>
      <c r="HF67" s="234">
        <f>Konvention_1slave-GEslave</f>
        <v>12</v>
      </c>
      <c r="HG67" s="234">
        <f>Konvention_1slave-KOslave_KO</f>
        <v>11</v>
      </c>
      <c r="HH67" s="224"/>
      <c r="HI67" s="222">
        <f>(HA67+HB67+HC67+HD67+HE67+HF67+HG67+HH67)/3</f>
        <v>11.666666666666666</v>
      </c>
      <c r="HJ67" s="223">
        <f t="shared" si="609"/>
        <v>23.333333333333332</v>
      </c>
      <c r="HK67" s="224">
        <f t="shared" si="610"/>
        <v>35</v>
      </c>
      <c r="HL67" s="237">
        <f>HA67*POWER(KLslave,SIGN(HB67))*POWER(INslave,SIGN(HC67))*POWER(CHslave,SIGN(HD67))*POWER(FFslave,SIGN(HE67))*POWER(GEslave,SIGN(HF67))*POWER(KOslave_KO,SIGN(HG67))*POWER(KKslave,SIGN(HH67))+HB67*POWER(MUslave,SIGN(HA67))*POWER(INslave,SIGN(HC67))*POWER(CHslave,SIGN(HD67))*POWER(FFslave,SIGN(HE67))*POWER(GEslave,SIGN(HF67))*POWER(KOslave_KO,SIGN(HG67))*POWER(KKslave,SIGN(HH67))+HC67*POWER(MUslave,SIGN(HA67))*POWER(KLslave,SIGN(HB67))*POWER(CHslave,SIGN(HD67))*POWER(FFslave,SIGN(HE67))*POWER(GEslave,SIGN(HF67))*POWER(KOslave_KO,SIGN(HG67))*POWER(KKslave,SIGN(HH67))+HD67*POWER(MUslave,SIGN(HA67))*POWER(KLslave,SIGN(HB67))*POWER(INslave,SIGN(HC67))*POWER(FFslave,SIGN(HE67))*POWER(GEslave,SIGN(HF67))*POWER(KOslave_KO,SIGN(HG67))*POWER(KKslave,SIGN(HH67))+HE67*POWER(MUslave,SIGN(HA67))*POWER(KLslave,SIGN(HB67))*POWER(INslave,SIGN(HC67))*POWER(CHslave,SIGN(HD67))*POWER(GEslave,SIGN(HF67))*POWER(KOslave_KO,SIGN(HG67))*POWER(KKslave,SIGN(HH67))+HF67*POWER(MUslave,SIGN(HA67))*POWER(KLslave,SIGN(HB67))*POWER(INslave,SIGN(HC67))*POWER(CHslave,SIGN(HD67))*POWER(FFslave,SIGN(HE67))*POWER(KOslave_KO,SIGN(HG67))*POWER(KKslave,SIGN(HH67))+HG67*POWER(MUslave,SIGN(HA67))*POWER(KLslave,SIGN(HB67))*POWER(INslave,SIGN(HC67))*POWER(CHslave,SIGN(HD67))*POWER(FFslave,SIGN(HE67))*POWER(GEslave,SIGN(HF67))*POWER(KKslave,SIGN(HH67))+HH67*POWER(MUslave,SIGN(HA67))*POWER(KLslave,SIGN(HB67))*POWER(INslave,SIGN(HC67))*POWER(CHslave,SIGN(HD67))*POWER(FFslave,SIGN(HE67))*POWER(GEslave,SIGN(HF67))*POWER(KOslave_KO,SIGN(HG67))</f>
        <v>2432</v>
      </c>
      <c r="HM67" s="234">
        <f>HE67*HF67*KOslave_KO+HE67*GEslave*HG67+FFslave*HF67*HG67</f>
        <v>3408</v>
      </c>
      <c r="HN67" s="224">
        <f t="shared" si="612"/>
        <v>1584</v>
      </c>
      <c r="HO67" s="242">
        <f t="shared" si="641"/>
        <v>7424</v>
      </c>
      <c r="HP67" s="222">
        <f t="shared" si="613"/>
        <v>3.8218390804597702</v>
      </c>
      <c r="HQ67" s="223">
        <f t="shared" si="614"/>
        <v>10.711206896551724</v>
      </c>
      <c r="HR67" s="243">
        <f t="shared" si="615"/>
        <v>7.4676724137931032</v>
      </c>
      <c r="HS67" s="218">
        <f t="shared" si="616"/>
        <v>22.000718390804597</v>
      </c>
      <c r="HT67" s="252">
        <f t="shared" si="617"/>
        <v>0</v>
      </c>
      <c r="HU67" s="309">
        <f t="shared" si="618"/>
        <v>22.000718390804597</v>
      </c>
      <c r="HV67" s="218">
        <f>IF(HS67&gt;0,HS67,0)*2+IF(HS67&gt;12,HS67-12,0)*2+IF(HS67&gt;13,HS67-13,0)*2+IF(HS67&gt;14,HS67-14,0)*2+IF(HS67&gt;15,HS67-15,0)*2+IF(HS67&gt;16,HS67-16,0)*2+IF(HS67&gt;17,HS67-17,0)*2+IF(HS67&gt;18,HS67-18,0)*2+IF(HS67&gt;19,HS67-19,0)*2+IF(HS67&gt;20,HS67-20,0)*2</f>
        <v>152.01436781609189</v>
      </c>
      <c r="HW67" s="242">
        <f>IF(HT67&gt;0,HT67,0)*2+IF(HT67&gt;12,HT67-12,0)*2+IF(HT67&gt;13,HT67-13,0)*2+IF(HT67&gt;14,HT67-14,0)*2+IF(HT67&gt;15,HT67-15,0)*2+IF(HT67&gt;16,HT67-16,0)*2+IF(HT67&gt;17,HT67-17,0)*2+IF(HT67&gt;18,HT67-18,0)*2+IF(HT67&gt;19,HT67-19,0)*2+IF(HT67&gt;20,HT67-20,0)*2</f>
        <v>0</v>
      </c>
      <c r="HX67" s="243">
        <f t="shared" si="619"/>
        <v>152.01436781609189</v>
      </c>
      <c r="HY67" s="218">
        <f t="shared" si="620"/>
        <v>0</v>
      </c>
      <c r="IA67" s="303" t="s">
        <v>58</v>
      </c>
      <c r="IB67" s="243" t="s">
        <v>90</v>
      </c>
      <c r="IC67" s="218" t="s">
        <v>132</v>
      </c>
      <c r="ID67" s="237"/>
      <c r="IE67" s="234"/>
      <c r="IF67" s="234"/>
      <c r="IG67" s="234"/>
      <c r="IH67" s="234">
        <f t="shared" si="660"/>
        <v>12</v>
      </c>
      <c r="II67" s="234">
        <f>Konvention_1slave-GEslave</f>
        <v>12</v>
      </c>
      <c r="IJ67" s="234">
        <f>Konvention_1slave-KOslave</f>
        <v>12</v>
      </c>
      <c r="IK67" s="224"/>
      <c r="IL67" s="222">
        <f>(ID67+IE67+IF67+IG67+IH67+II67+IJ67+IK67)/3</f>
        <v>12</v>
      </c>
      <c r="IM67" s="223">
        <f t="shared" si="622"/>
        <v>24</v>
      </c>
      <c r="IN67" s="224">
        <f t="shared" si="623"/>
        <v>36</v>
      </c>
      <c r="IO67" s="237">
        <f>ID67*POWER(KLslave,SIGN(IE67))*POWER(INslave,SIGN(IF67))*POWER(CHslave,SIGN(IG67))*POWER(FFslave,SIGN(IH67))*POWER(GEslave,SIGN(II67))*POWER(KOslave,SIGN(IJ67))*POWER(KKslave_KK,SIGN(IK67))+IE67*POWER(MUslave,SIGN(ID67))*POWER(INslave,SIGN(IF67))*POWER(CHslave,SIGN(IG67))*POWER(FFslave,SIGN(IH67))*POWER(GEslave,SIGN(II67))*POWER(KOslave,SIGN(IJ67))*POWER(KKslave_KK,SIGN(IK67))+IF67*POWER(MUslave,SIGN(ID67))*POWER(KLslave,SIGN(IE67))*POWER(CHslave,SIGN(IG67))*POWER(FFslave,SIGN(IH67))*POWER(GEslave,SIGN(II67))*POWER(KOslave,SIGN(IJ67))*POWER(KKslave_KK,SIGN(IK67))+IG67*POWER(MUslave,SIGN(ID67))*POWER(KLslave,SIGN(IE67))*POWER(INslave,SIGN(IF67))*POWER(FFslave,SIGN(IH67))*POWER(GEslave,SIGN(II67))*POWER(KOslave,SIGN(IJ67))*POWER(KKslave_KK,SIGN(IK67))+IH67*POWER(MUslave,SIGN(ID67))*POWER(KLslave,SIGN(IE67))*POWER(INslave,SIGN(IF67))*POWER(CHslave,SIGN(IG67))*POWER(GEslave,SIGN(II67))*POWER(KOslave,SIGN(IJ67))*POWER(KKslave_KK,SIGN(IK67))+II67*POWER(MUslave,SIGN(ID67))*POWER(KLslave,SIGN(IE67))*POWER(INslave,SIGN(IF67))*POWER(CHslave,SIGN(IG67))*POWER(FFslave,SIGN(IH67))*POWER(KOslave,SIGN(IJ67))*POWER(KKslave_KK,SIGN(IK67))+IJ67*POWER(MUslave,SIGN(ID67))*POWER(KLslave,SIGN(IE67))*POWER(INslave,SIGN(IF67))*POWER(CHslave,SIGN(IG67))*POWER(FFslave,SIGN(IH67))*POWER(GEslave,SIGN(II67))*POWER(KKslave_KK,SIGN(IK67))+IK67*POWER(MUslave,SIGN(ID67))*POWER(KLslave,SIGN(IE67))*POWER(INslave,SIGN(IF67))*POWER(CHslave,SIGN(IG67))*POWER(FFslave,SIGN(IH67))*POWER(GEslave,SIGN(II67))*POWER(KOslave,SIGN(IJ67))</f>
        <v>2304</v>
      </c>
      <c r="IP67" s="234">
        <f>IH67*II67*KOslave+IH67*GEslave*IJ67+FFslave*II67*IJ67</f>
        <v>3456</v>
      </c>
      <c r="IQ67" s="224">
        <f t="shared" si="625"/>
        <v>1728</v>
      </c>
      <c r="IR67" s="242">
        <f t="shared" si="642"/>
        <v>7488</v>
      </c>
      <c r="IS67" s="222">
        <f t="shared" si="626"/>
        <v>3.6923076923076925</v>
      </c>
      <c r="IT67" s="223">
        <f t="shared" si="627"/>
        <v>11.076923076923077</v>
      </c>
      <c r="IU67" s="243">
        <f t="shared" si="628"/>
        <v>8.3076923076923084</v>
      </c>
      <c r="IV67" s="218">
        <f t="shared" si="629"/>
        <v>23.07692307692308</v>
      </c>
      <c r="IW67" s="252">
        <f t="shared" si="630"/>
        <v>0</v>
      </c>
      <c r="IX67" s="309">
        <f t="shared" si="631"/>
        <v>23.07692307692308</v>
      </c>
      <c r="IY67" s="218">
        <f>IF(IV67&gt;0,IV67,0)*2+IF(IV67&gt;12,IV67-12,0)*2+IF(IV67&gt;13,IV67-13,0)*2+IF(IV67&gt;14,IV67-14,0)*2+IF(IV67&gt;15,IV67-15,0)*2+IF(IV67&gt;16,IV67-16,0)*2+IF(IV67&gt;17,IV67-17,0)*2+IF(IV67&gt;18,IV67-18,0)*2+IF(IV67&gt;19,IV67-19,0)*2+IF(IV67&gt;20,IV67-20,0)*2</f>
        <v>173.5384615384616</v>
      </c>
      <c r="IZ67" s="242">
        <f>IF(IW67&gt;0,IW67,0)*2+IF(IW67&gt;12,IW67-12,0)*2+IF(IW67&gt;13,IW67-13,0)*2+IF(IW67&gt;14,IW67-14,0)*2+IF(IW67&gt;15,IW67-15,0)*2+IF(IW67&gt;16,IW67-16,0)*2+IF(IW67&gt;17,IW67-17,0)*2+IF(IW67&gt;18,IW67-18,0)*2+IF(IW67&gt;19,IW67-19,0)*2+IF(IW67&gt;20,IW67-20,0)*2</f>
        <v>0</v>
      </c>
      <c r="JA67" s="243">
        <f t="shared" si="632"/>
        <v>173.5384615384616</v>
      </c>
      <c r="JB67" s="218">
        <f t="shared" si="633"/>
        <v>0</v>
      </c>
      <c r="JE67" s="148"/>
    </row>
    <row r="68" spans="1:265" hidden="1" outlineLevel="2">
      <c r="B68" s="148">
        <v>12</v>
      </c>
      <c r="C68" s="303" t="e">
        <f>VLOOKUP(AF68,Attribute!C:T,1,FALSE)</f>
        <v>#N/A</v>
      </c>
      <c r="D68" s="127" t="s">
        <v>103</v>
      </c>
      <c r="E68" s="125" t="s">
        <v>133</v>
      </c>
      <c r="F68" s="114"/>
      <c r="G68" s="113"/>
      <c r="H68" s="113">
        <f>Konvention_1master-INmaster</f>
        <v>12</v>
      </c>
      <c r="I68" s="113"/>
      <c r="J68" s="113">
        <f t="shared" si="652"/>
        <v>12</v>
      </c>
      <c r="K68" s="113"/>
      <c r="L68" s="113"/>
      <c r="M68" s="119"/>
      <c r="N68" s="222">
        <f>(H68+J68+J68)/3</f>
        <v>12</v>
      </c>
      <c r="O68" s="223">
        <f t="shared" si="519"/>
        <v>24</v>
      </c>
      <c r="P68" s="224">
        <f t="shared" si="520"/>
        <v>36</v>
      </c>
      <c r="Q68" s="237">
        <f>J68*POWER(INmaster,SIGN(H68))*POWER(FFmaster,SIGN(J68))+J68*POWER(INmaster,SIGN(H68))*POWER(FFmaster,SIGN(J68))+H68*POWER(FFmaster,SIGN(J68))*POWER(FFmaster,SIGN(J68))</f>
        <v>2304</v>
      </c>
      <c r="R68" s="113">
        <f>H68*J68*FFmaster+H68*FFmaster*J68+INmaster*J68*J68</f>
        <v>3456</v>
      </c>
      <c r="S68" s="224">
        <f>H68*J68*J68</f>
        <v>1728</v>
      </c>
      <c r="T68" s="242">
        <f t="shared" si="634"/>
        <v>7488</v>
      </c>
      <c r="U68" s="222">
        <f t="shared" si="523"/>
        <v>3.6923076923076925</v>
      </c>
      <c r="V68" s="223">
        <f t="shared" si="524"/>
        <v>11.076923076923077</v>
      </c>
      <c r="W68" s="243">
        <f t="shared" si="525"/>
        <v>8.3076923076923084</v>
      </c>
      <c r="X68" s="218">
        <f t="shared" si="526"/>
        <v>23.07692307692308</v>
      </c>
      <c r="Y68" s="252">
        <v>0</v>
      </c>
      <c r="Z68" s="198">
        <f t="shared" si="527"/>
        <v>23.07692307692308</v>
      </c>
      <c r="AA68" s="125">
        <f>IF(X68&gt;0,X68,0)*1+IF(X68&gt;12,X68-12,0)*1+IF(X68&gt;13,X68-13,0)*1+IF(X68&gt;14,X68-14,0)*1+IF(X68&gt;15,X68-15,0)*1+IF(X68&gt;16,X68-16,0)*1+IF(X68&gt;17,X68-17,0)*1+IF(X68&gt;18,X68-18,0)*1+IF(X68&gt;19,X68-19,0)*1+IF(X68&gt;20,X68-20,0)*1</f>
        <v>86.769230769230802</v>
      </c>
      <c r="AB68" s="160">
        <f>IF(Y68&gt;0,Y68,0)*1+IF(Y68&gt;12,Y68-12,0)*1+IF(Y68&gt;13,Y68-13,0)*1+IF(Y68&gt;14,Y68-14,0)*1+IF(Y68&gt;15,Y68-15,0)*1+IF(Y68&gt;16,Y68-16,0)*1+IF(Y68&gt;17,Y68-17,0)*1+IF(Y68&gt;18,Y68-18,0)*1+IF(Y68&gt;19,Y68-19,0)*1+IF(Y68&gt;20,Y68-20,0)*1</f>
        <v>0</v>
      </c>
      <c r="AC68" s="127">
        <f t="shared" si="528"/>
        <v>86.769230769230802</v>
      </c>
      <c r="AD68" s="125">
        <f t="shared" si="529"/>
        <v>0</v>
      </c>
      <c r="AF68" s="163" t="s">
        <v>59</v>
      </c>
      <c r="AG68" s="127" t="s">
        <v>103</v>
      </c>
      <c r="AH68" s="125" t="s">
        <v>133</v>
      </c>
      <c r="AI68" s="114"/>
      <c r="AJ68" s="113"/>
      <c r="AK68" s="113">
        <f>Konvention_1slave-INslave</f>
        <v>12</v>
      </c>
      <c r="AL68" s="113"/>
      <c r="AM68" s="113">
        <f t="shared" si="653"/>
        <v>12</v>
      </c>
      <c r="AN68" s="113"/>
      <c r="AO68" s="113"/>
      <c r="AP68" s="119"/>
      <c r="AQ68" s="89">
        <f>(AK68+AM68+AM68)/3</f>
        <v>12</v>
      </c>
      <c r="AR68" s="47">
        <f t="shared" si="531"/>
        <v>24</v>
      </c>
      <c r="AS68" s="119">
        <f t="shared" si="532"/>
        <v>36</v>
      </c>
      <c r="AT68" s="114">
        <f>AM68*POWER(INslave,SIGN(AK68))*POWER(FFslave,SIGN(AM68))+AM68*POWER(INslave,SIGN(AK68))*POWER(FFslave,SIGN(AM68))+AK68*POWER(FFslave,SIGN(AM68))*POWER(FFslave,SIGN(AM68))</f>
        <v>2304</v>
      </c>
      <c r="AU68" s="113">
        <f>AK68*AM68*FFslave+AK68*FFslave*AM68+INslave*AM68*AM68</f>
        <v>3456</v>
      </c>
      <c r="AV68" s="119">
        <f>AK68*AM68*AM68</f>
        <v>1728</v>
      </c>
      <c r="AW68" s="160">
        <f t="shared" si="635"/>
        <v>7488</v>
      </c>
      <c r="AX68" s="89">
        <f t="shared" si="535"/>
        <v>3.6923076923076925</v>
      </c>
      <c r="AY68" s="47">
        <f t="shared" si="536"/>
        <v>11.076923076923077</v>
      </c>
      <c r="AZ68" s="127">
        <f t="shared" si="537"/>
        <v>8.3076923076923084</v>
      </c>
      <c r="BA68" s="125">
        <f t="shared" si="538"/>
        <v>23.07692307692308</v>
      </c>
      <c r="BB68" s="165">
        <f t="shared" si="539"/>
        <v>0</v>
      </c>
      <c r="BC68" s="198">
        <f t="shared" si="540"/>
        <v>23.07692307692308</v>
      </c>
      <c r="BD68" s="125">
        <f>IF(BA68&gt;0,BA68,0)*1+IF(BA68&gt;12,BA68-12,0)*1+IF(BA68&gt;13,BA68-13,0)*1+IF(BA68&gt;14,BA68-14,0)*1+IF(BA68&gt;15,BA68-15,0)*1+IF(BA68&gt;16,BA68-16,0)*1+IF(BA68&gt;17,BA68-17,0)*1+IF(BA68&gt;18,BA68-18,0)*1+IF(BA68&gt;19,BA68-19,0)*1+IF(BA68&gt;20,BA68-20,0)*1</f>
        <v>86.769230769230802</v>
      </c>
      <c r="BE68" s="160">
        <f>IF(BB68&gt;0,BB68,0)*1+IF(BB68&gt;12,BB68-12,0)*1+IF(BB68&gt;13,BB68-13,0)*1+IF(BB68&gt;14,BB68-14,0)*1+IF(BB68&gt;15,BB68-15,0)*1+IF(BB68&gt;16,BB68-16,0)*1+IF(BB68&gt;17,BB68-17,0)*1+IF(BB68&gt;18,BB68-18,0)*1+IF(BB68&gt;19,BB68-19,0)*1+IF(BB68&gt;20,BB68-20,0)*1</f>
        <v>0</v>
      </c>
      <c r="BF68" s="243">
        <f t="shared" si="541"/>
        <v>86.769230769230802</v>
      </c>
      <c r="BG68" s="218">
        <f t="shared" si="542"/>
        <v>0</v>
      </c>
      <c r="BI68" s="303" t="s">
        <v>59</v>
      </c>
      <c r="BJ68" s="243" t="s">
        <v>103</v>
      </c>
      <c r="BK68" s="218" t="s">
        <v>133</v>
      </c>
      <c r="BL68" s="237"/>
      <c r="BM68" s="234"/>
      <c r="BN68" s="234">
        <f>Konvention_1slave-INslave</f>
        <v>12</v>
      </c>
      <c r="BO68" s="234"/>
      <c r="BP68" s="234">
        <f t="shared" si="654"/>
        <v>12</v>
      </c>
      <c r="BQ68" s="234"/>
      <c r="BR68" s="234"/>
      <c r="BS68" s="224"/>
      <c r="BT68" s="222">
        <f>(BN68+BP68+BP68)/3</f>
        <v>12</v>
      </c>
      <c r="BU68" s="223">
        <f t="shared" si="544"/>
        <v>24</v>
      </c>
      <c r="BV68" s="224">
        <f t="shared" si="545"/>
        <v>36</v>
      </c>
      <c r="BW68" s="237">
        <f>BP68*POWER(INslave,SIGN(BN68))*POWER(FFslave,SIGN(BP68))+BP68*POWER(INslave,SIGN(BN68))*POWER(FFslave,SIGN(BP68))+BN68*POWER(FFslave,SIGN(BP68))*POWER(FFslave,SIGN(BP68))</f>
        <v>2304</v>
      </c>
      <c r="BX68" s="234">
        <f>BN68*BP68*FFslave+BN68*FFslave*BP68+INslave*BP68*BP68</f>
        <v>3456</v>
      </c>
      <c r="BY68" s="224">
        <f>BN68*BP68*BP68</f>
        <v>1728</v>
      </c>
      <c r="BZ68" s="242">
        <f t="shared" si="636"/>
        <v>7488</v>
      </c>
      <c r="CA68" s="222">
        <f t="shared" si="548"/>
        <v>3.6923076923076925</v>
      </c>
      <c r="CB68" s="223">
        <f t="shared" si="549"/>
        <v>11.076923076923077</v>
      </c>
      <c r="CC68" s="243">
        <f t="shared" si="550"/>
        <v>8.3076923076923084</v>
      </c>
      <c r="CD68" s="218">
        <f t="shared" si="551"/>
        <v>23.07692307692308</v>
      </c>
      <c r="CE68" s="252">
        <f t="shared" si="552"/>
        <v>0</v>
      </c>
      <c r="CF68" s="309">
        <f t="shared" si="553"/>
        <v>23.07692307692308</v>
      </c>
      <c r="CG68" s="218">
        <f>IF(CD68&gt;0,CD68,0)*1+IF(CD68&gt;12,CD68-12,0)*1+IF(CD68&gt;13,CD68-13,0)*1+IF(CD68&gt;14,CD68-14,0)*1+IF(CD68&gt;15,CD68-15,0)*1+IF(CD68&gt;16,CD68-16,0)*1+IF(CD68&gt;17,CD68-17,0)*1+IF(CD68&gt;18,CD68-18,0)*1+IF(CD68&gt;19,CD68-19,0)*1+IF(CD68&gt;20,CD68-20,0)*1</f>
        <v>86.769230769230802</v>
      </c>
      <c r="CH68" s="242">
        <f>IF(CE68&gt;0,CE68,0)*1+IF(CE68&gt;12,CE68-12,0)*1+IF(CE68&gt;13,CE68-13,0)*1+IF(CE68&gt;14,CE68-14,0)*1+IF(CE68&gt;15,CE68-15,0)*1+IF(CE68&gt;16,CE68-16,0)*1+IF(CE68&gt;17,CE68-17,0)*1+IF(CE68&gt;18,CE68-18,0)*1+IF(CE68&gt;19,CE68-19,0)*1+IF(CE68&gt;20,CE68-20,0)*1</f>
        <v>0</v>
      </c>
      <c r="CI68" s="243">
        <f t="shared" si="554"/>
        <v>86.769230769230802</v>
      </c>
      <c r="CJ68" s="218">
        <f t="shared" si="555"/>
        <v>0</v>
      </c>
      <c r="CL68" s="303" t="s">
        <v>59</v>
      </c>
      <c r="CM68" s="243" t="s">
        <v>103</v>
      </c>
      <c r="CN68" s="218" t="s">
        <v>133</v>
      </c>
      <c r="CO68" s="237"/>
      <c r="CP68" s="234"/>
      <c r="CQ68" s="234">
        <f>Konvention_1slave-INslave_IN</f>
        <v>11</v>
      </c>
      <c r="CR68" s="234"/>
      <c r="CS68" s="234">
        <f t="shared" si="655"/>
        <v>12</v>
      </c>
      <c r="CT68" s="234"/>
      <c r="CU68" s="234"/>
      <c r="CV68" s="224"/>
      <c r="CW68" s="222">
        <f>(CQ68+CS68+CS68)/3</f>
        <v>11.666666666666666</v>
      </c>
      <c r="CX68" s="223">
        <f t="shared" si="557"/>
        <v>23.333333333333332</v>
      </c>
      <c r="CY68" s="224">
        <f t="shared" si="558"/>
        <v>35</v>
      </c>
      <c r="CZ68" s="237">
        <f>CS68*POWER(INslave_IN,SIGN(CQ68))*POWER(FFslave,SIGN(CS68))+CS68*POWER(INslave_IN,SIGN(CQ68))*POWER(FFslave,SIGN(CS68))+CQ68*POWER(FFslave,SIGN(CS68))*POWER(FFslave,SIGN(CS68))</f>
        <v>2432</v>
      </c>
      <c r="DA68" s="234">
        <f>CQ68*CS68*FFslave+CQ68*FFslave*CS68+INslave_IN*CS68*CS68</f>
        <v>3408</v>
      </c>
      <c r="DB68" s="224">
        <f>CQ68*CS68*CS68</f>
        <v>1584</v>
      </c>
      <c r="DC68" s="242">
        <f t="shared" si="637"/>
        <v>7424</v>
      </c>
      <c r="DD68" s="222">
        <f t="shared" si="561"/>
        <v>3.8218390804597702</v>
      </c>
      <c r="DE68" s="223">
        <f t="shared" si="562"/>
        <v>10.711206896551724</v>
      </c>
      <c r="DF68" s="243">
        <f t="shared" si="563"/>
        <v>7.4676724137931032</v>
      </c>
      <c r="DG68" s="218">
        <f t="shared" si="564"/>
        <v>22.000718390804597</v>
      </c>
      <c r="DH68" s="252">
        <f t="shared" si="565"/>
        <v>0</v>
      </c>
      <c r="DI68" s="309">
        <f t="shared" si="566"/>
        <v>22.000718390804597</v>
      </c>
      <c r="DJ68" s="218">
        <f>IF(DG68&gt;0,DG68,0)*1+IF(DG68&gt;12,DG68-12,0)*1+IF(DG68&gt;13,DG68-13,0)*1+IF(DG68&gt;14,DG68-14,0)*1+IF(DG68&gt;15,DG68-15,0)*1+IF(DG68&gt;16,DG68-16,0)*1+IF(DG68&gt;17,DG68-17,0)*1+IF(DG68&gt;18,DG68-18,0)*1+IF(DG68&gt;19,DG68-19,0)*1+IF(DG68&gt;20,DG68-20,0)*1</f>
        <v>76.007183908045945</v>
      </c>
      <c r="DK68" s="242">
        <f>IF(DH68&gt;0,DH68,0)*1+IF(DH68&gt;12,DH68-12,0)*1+IF(DH68&gt;13,DH68-13,0)*1+IF(DH68&gt;14,DH68-14,0)*1+IF(DH68&gt;15,DH68-15,0)*1+IF(DH68&gt;16,DH68-16,0)*1+IF(DH68&gt;17,DH68-17,0)*1+IF(DH68&gt;18,DH68-18,0)*1+IF(DH68&gt;19,DH68-19,0)*1+IF(DH68&gt;20,DH68-20,0)*1</f>
        <v>0</v>
      </c>
      <c r="DL68" s="243">
        <f t="shared" si="567"/>
        <v>76.007183908045945</v>
      </c>
      <c r="DM68" s="218">
        <f t="shared" si="568"/>
        <v>0</v>
      </c>
      <c r="DO68" s="303" t="s">
        <v>59</v>
      </c>
      <c r="DP68" s="243" t="s">
        <v>103</v>
      </c>
      <c r="DQ68" s="218" t="s">
        <v>133</v>
      </c>
      <c r="DR68" s="237"/>
      <c r="DS68" s="234"/>
      <c r="DT68" s="234">
        <f>Konvention_1slave-INslave</f>
        <v>12</v>
      </c>
      <c r="DU68" s="234"/>
      <c r="DV68" s="234">
        <f t="shared" si="656"/>
        <v>12</v>
      </c>
      <c r="DW68" s="234"/>
      <c r="DX68" s="234"/>
      <c r="DY68" s="224"/>
      <c r="DZ68" s="222">
        <f>(DT68+DV68+DV68)/3</f>
        <v>12</v>
      </c>
      <c r="EA68" s="223">
        <f t="shared" si="570"/>
        <v>24</v>
      </c>
      <c r="EB68" s="224">
        <f t="shared" si="571"/>
        <v>36</v>
      </c>
      <c r="EC68" s="237">
        <f>DV68*POWER(INslave,SIGN(DT68))*POWER(FFslave,SIGN(DV68))+DV68*POWER(INslave,SIGN(DT68))*POWER(FFslave,SIGN(DV68))+DT68*POWER(FFslave,SIGN(DV68))*POWER(FFslave,SIGN(DV68))</f>
        <v>2304</v>
      </c>
      <c r="ED68" s="234">
        <f>DT68*DV68*FFslave+DT68*FFslave*DV68+INslave*DV68*DV68</f>
        <v>3456</v>
      </c>
      <c r="EE68" s="224">
        <f>DT68*DV68*DV68</f>
        <v>1728</v>
      </c>
      <c r="EF68" s="242">
        <f t="shared" si="638"/>
        <v>7488</v>
      </c>
      <c r="EG68" s="222">
        <f t="shared" si="574"/>
        <v>3.6923076923076925</v>
      </c>
      <c r="EH68" s="223">
        <f t="shared" si="575"/>
        <v>11.076923076923077</v>
      </c>
      <c r="EI68" s="243">
        <f t="shared" si="576"/>
        <v>8.3076923076923084</v>
      </c>
      <c r="EJ68" s="218">
        <f t="shared" si="577"/>
        <v>23.07692307692308</v>
      </c>
      <c r="EK68" s="252">
        <f t="shared" si="578"/>
        <v>0</v>
      </c>
      <c r="EL68" s="309">
        <f t="shared" si="579"/>
        <v>23.07692307692308</v>
      </c>
      <c r="EM68" s="218">
        <f>IF(EJ68&gt;0,EJ68,0)*1+IF(EJ68&gt;12,EJ68-12,0)*1+IF(EJ68&gt;13,EJ68-13,0)*1+IF(EJ68&gt;14,EJ68-14,0)*1+IF(EJ68&gt;15,EJ68-15,0)*1+IF(EJ68&gt;16,EJ68-16,0)*1+IF(EJ68&gt;17,EJ68-17,0)*1+IF(EJ68&gt;18,EJ68-18,0)*1+IF(EJ68&gt;19,EJ68-19,0)*1+IF(EJ68&gt;20,EJ68-20,0)*1</f>
        <v>86.769230769230802</v>
      </c>
      <c r="EN68" s="242">
        <f>IF(EK68&gt;0,EK68,0)*1+IF(EK68&gt;12,EK68-12,0)*1+IF(EK68&gt;13,EK68-13,0)*1+IF(EK68&gt;14,EK68-14,0)*1+IF(EK68&gt;15,EK68-15,0)*1+IF(EK68&gt;16,EK68-16,0)*1+IF(EK68&gt;17,EK68-17,0)*1+IF(EK68&gt;18,EK68-18,0)*1+IF(EK68&gt;19,EK68-19,0)*1+IF(EK68&gt;20,EK68-20,0)*1</f>
        <v>0</v>
      </c>
      <c r="EO68" s="243">
        <f t="shared" si="580"/>
        <v>86.769230769230802</v>
      </c>
      <c r="EP68" s="218">
        <f t="shared" si="581"/>
        <v>0</v>
      </c>
      <c r="ER68" s="303" t="s">
        <v>59</v>
      </c>
      <c r="ES68" s="243" t="s">
        <v>103</v>
      </c>
      <c r="ET68" s="218" t="s">
        <v>133</v>
      </c>
      <c r="EU68" s="237"/>
      <c r="EV68" s="234"/>
      <c r="EW68" s="234">
        <f>Konvention_1slave-INslave</f>
        <v>12</v>
      </c>
      <c r="EX68" s="234"/>
      <c r="EY68" s="234">
        <f t="shared" si="657"/>
        <v>11</v>
      </c>
      <c r="EZ68" s="234"/>
      <c r="FA68" s="234"/>
      <c r="FB68" s="224"/>
      <c r="FC68" s="222">
        <f>(EW68+EY68+EY68)/3</f>
        <v>11.333333333333334</v>
      </c>
      <c r="FD68" s="223">
        <f t="shared" si="583"/>
        <v>22.666666666666668</v>
      </c>
      <c r="FE68" s="224">
        <f t="shared" si="584"/>
        <v>34</v>
      </c>
      <c r="FF68" s="237">
        <f>EY68*POWER(INslave,SIGN(EW68))*POWER(FFslave_FF,SIGN(EY68))+EY68*POWER(INslave,SIGN(EW68))*POWER(FFslave_FF,SIGN(EY68))+EW68*POWER(FFslave_FF,SIGN(EY68))*POWER(FFslave_FF,SIGN(EY68))</f>
        <v>2556</v>
      </c>
      <c r="FG68" s="234">
        <f>EW68*EY68*FFslave_FF+EW68*FFslave_FF*EY68+INslave*EY68*EY68</f>
        <v>3344</v>
      </c>
      <c r="FH68" s="224">
        <f>EW68*EY68*EY68</f>
        <v>1452</v>
      </c>
      <c r="FI68" s="242">
        <f t="shared" si="639"/>
        <v>7352</v>
      </c>
      <c r="FJ68" s="222">
        <f t="shared" si="587"/>
        <v>3.940152339499456</v>
      </c>
      <c r="FK68" s="223">
        <f t="shared" si="588"/>
        <v>10.309756982227059</v>
      </c>
      <c r="FL68" s="243">
        <f t="shared" si="589"/>
        <v>6.714907508161045</v>
      </c>
      <c r="FM68" s="218">
        <f t="shared" si="590"/>
        <v>20.96481682988756</v>
      </c>
      <c r="FN68" s="252">
        <f t="shared" si="591"/>
        <v>0</v>
      </c>
      <c r="FO68" s="309">
        <f t="shared" si="592"/>
        <v>20.96481682988756</v>
      </c>
      <c r="FP68" s="218">
        <f>IF(FM68&gt;0,FM68,0)*1+IF(FM68&gt;12,FM68-12,0)*1+IF(FM68&gt;13,FM68-13,0)*1+IF(FM68&gt;14,FM68-14,0)*1+IF(FM68&gt;15,FM68-15,0)*1+IF(FM68&gt;16,FM68-16,0)*1+IF(FM68&gt;17,FM68-17,0)*1+IF(FM68&gt;18,FM68-18,0)*1+IF(FM68&gt;19,FM68-19,0)*1+IF(FM68&gt;20,FM68-20,0)*1</f>
        <v>65.648168298875589</v>
      </c>
      <c r="FQ68" s="242">
        <f>IF(FN68&gt;0,FN68,0)*1+IF(FN68&gt;12,FN68-12,0)*1+IF(FN68&gt;13,FN68-13,0)*1+IF(FN68&gt;14,FN68-14,0)*1+IF(FN68&gt;15,FN68-15,0)*1+IF(FN68&gt;16,FN68-16,0)*1+IF(FN68&gt;17,FN68-17,0)*1+IF(FN68&gt;18,FN68-18,0)*1+IF(FN68&gt;19,FN68-19,0)*1+IF(FN68&gt;20,FN68-20,0)*1</f>
        <v>0</v>
      </c>
      <c r="FR68" s="243">
        <f t="shared" si="593"/>
        <v>65.648168298875589</v>
      </c>
      <c r="FS68" s="218">
        <f t="shared" si="594"/>
        <v>0</v>
      </c>
      <c r="FU68" s="303" t="s">
        <v>59</v>
      </c>
      <c r="FV68" s="243" t="s">
        <v>103</v>
      </c>
      <c r="FW68" s="218" t="s">
        <v>133</v>
      </c>
      <c r="FX68" s="237"/>
      <c r="FY68" s="234"/>
      <c r="FZ68" s="234">
        <f>Konvention_1slave-INslave</f>
        <v>12</v>
      </c>
      <c r="GA68" s="234"/>
      <c r="GB68" s="234">
        <f t="shared" si="658"/>
        <v>12</v>
      </c>
      <c r="GC68" s="234"/>
      <c r="GD68" s="234"/>
      <c r="GE68" s="224"/>
      <c r="GF68" s="222">
        <f>(FZ68+GB68+GB68)/3</f>
        <v>12</v>
      </c>
      <c r="GG68" s="223">
        <f t="shared" si="596"/>
        <v>24</v>
      </c>
      <c r="GH68" s="224">
        <f t="shared" si="597"/>
        <v>36</v>
      </c>
      <c r="GI68" s="237">
        <f>GB68*POWER(INslave,SIGN(FZ68))*POWER(FFslave,SIGN(GB68))+GB68*POWER(INslave,SIGN(FZ68))*POWER(FFslave,SIGN(GB68))+FZ68*POWER(FFslave,SIGN(GB68))*POWER(FFslave,SIGN(GB68))</f>
        <v>2304</v>
      </c>
      <c r="GJ68" s="234">
        <f>FZ68*GB68*FFslave+FZ68*FFslave*GB68+INslave*GB68*GB68</f>
        <v>3456</v>
      </c>
      <c r="GK68" s="224">
        <f>FZ68*GB68*GB68</f>
        <v>1728</v>
      </c>
      <c r="GL68" s="242">
        <f t="shared" si="640"/>
        <v>7488</v>
      </c>
      <c r="GM68" s="222">
        <f t="shared" si="600"/>
        <v>3.6923076923076925</v>
      </c>
      <c r="GN68" s="223">
        <f t="shared" si="601"/>
        <v>11.076923076923077</v>
      </c>
      <c r="GO68" s="243">
        <f t="shared" si="602"/>
        <v>8.3076923076923084</v>
      </c>
      <c r="GP68" s="218">
        <f t="shared" si="603"/>
        <v>23.07692307692308</v>
      </c>
      <c r="GQ68" s="252">
        <f t="shared" si="604"/>
        <v>0</v>
      </c>
      <c r="GR68" s="309">
        <f t="shared" si="605"/>
        <v>23.07692307692308</v>
      </c>
      <c r="GS68" s="218">
        <f>IF(GP68&gt;0,GP68,0)*1+IF(GP68&gt;12,GP68-12,0)*1+IF(GP68&gt;13,GP68-13,0)*1+IF(GP68&gt;14,GP68-14,0)*1+IF(GP68&gt;15,GP68-15,0)*1+IF(GP68&gt;16,GP68-16,0)*1+IF(GP68&gt;17,GP68-17,0)*1+IF(GP68&gt;18,GP68-18,0)*1+IF(GP68&gt;19,GP68-19,0)*1+IF(GP68&gt;20,GP68-20,0)*1</f>
        <v>86.769230769230802</v>
      </c>
      <c r="GT68" s="242">
        <f>IF(GQ68&gt;0,GQ68,0)*1+IF(GQ68&gt;12,GQ68-12,0)*1+IF(GQ68&gt;13,GQ68-13,0)*1+IF(GQ68&gt;14,GQ68-14,0)*1+IF(GQ68&gt;15,GQ68-15,0)*1+IF(GQ68&gt;16,GQ68-16,0)*1+IF(GQ68&gt;17,GQ68-17,0)*1+IF(GQ68&gt;18,GQ68-18,0)*1+IF(GQ68&gt;19,GQ68-19,0)*1+IF(GQ68&gt;20,GQ68-20,0)*1</f>
        <v>0</v>
      </c>
      <c r="GU68" s="243">
        <f t="shared" si="606"/>
        <v>86.769230769230802</v>
      </c>
      <c r="GV68" s="218">
        <f t="shared" si="607"/>
        <v>0</v>
      </c>
      <c r="GX68" s="303" t="s">
        <v>59</v>
      </c>
      <c r="GY68" s="243" t="s">
        <v>103</v>
      </c>
      <c r="GZ68" s="218" t="s">
        <v>133</v>
      </c>
      <c r="HA68" s="237"/>
      <c r="HB68" s="234"/>
      <c r="HC68" s="234">
        <f>Konvention_1slave-INslave</f>
        <v>12</v>
      </c>
      <c r="HD68" s="234"/>
      <c r="HE68" s="234">
        <f t="shared" si="659"/>
        <v>12</v>
      </c>
      <c r="HF68" s="234"/>
      <c r="HG68" s="234"/>
      <c r="HH68" s="224"/>
      <c r="HI68" s="222">
        <f>(HC68+HE68+HE68)/3</f>
        <v>12</v>
      </c>
      <c r="HJ68" s="223">
        <f t="shared" si="609"/>
        <v>24</v>
      </c>
      <c r="HK68" s="224">
        <f t="shared" si="610"/>
        <v>36</v>
      </c>
      <c r="HL68" s="237">
        <f>HE68*POWER(INslave,SIGN(HC68))*POWER(FFslave,SIGN(HE68))+HE68*POWER(INslave,SIGN(HC68))*POWER(FFslave,SIGN(HE68))+HC68*POWER(FFslave,SIGN(HE68))*POWER(FFslave,SIGN(HE68))</f>
        <v>2304</v>
      </c>
      <c r="HM68" s="234">
        <f>HC68*HE68*FFslave+HC68*FFslave*HE68+INslave*HE68*HE68</f>
        <v>3456</v>
      </c>
      <c r="HN68" s="224">
        <f>HC68*HE68*HE68</f>
        <v>1728</v>
      </c>
      <c r="HO68" s="242">
        <f t="shared" si="641"/>
        <v>7488</v>
      </c>
      <c r="HP68" s="222">
        <f t="shared" si="613"/>
        <v>3.6923076923076925</v>
      </c>
      <c r="HQ68" s="223">
        <f t="shared" si="614"/>
        <v>11.076923076923077</v>
      </c>
      <c r="HR68" s="243">
        <f t="shared" si="615"/>
        <v>8.3076923076923084</v>
      </c>
      <c r="HS68" s="218">
        <f t="shared" si="616"/>
        <v>23.07692307692308</v>
      </c>
      <c r="HT68" s="252">
        <f t="shared" si="617"/>
        <v>0</v>
      </c>
      <c r="HU68" s="309">
        <f t="shared" si="618"/>
        <v>23.07692307692308</v>
      </c>
      <c r="HV68" s="218">
        <f>IF(HS68&gt;0,HS68,0)*1+IF(HS68&gt;12,HS68-12,0)*1+IF(HS68&gt;13,HS68-13,0)*1+IF(HS68&gt;14,HS68-14,0)*1+IF(HS68&gt;15,HS68-15,0)*1+IF(HS68&gt;16,HS68-16,0)*1+IF(HS68&gt;17,HS68-17,0)*1+IF(HS68&gt;18,HS68-18,0)*1+IF(HS68&gt;19,HS68-19,0)*1+IF(HS68&gt;20,HS68-20,0)*1</f>
        <v>86.769230769230802</v>
      </c>
      <c r="HW68" s="242">
        <f>IF(HT68&gt;0,HT68,0)*1+IF(HT68&gt;12,HT68-12,0)*1+IF(HT68&gt;13,HT68-13,0)*1+IF(HT68&gt;14,HT68-14,0)*1+IF(HT68&gt;15,HT68-15,0)*1+IF(HT68&gt;16,HT68-16,0)*1+IF(HT68&gt;17,HT68-17,0)*1+IF(HT68&gt;18,HT68-18,0)*1+IF(HT68&gt;19,HT68-19,0)*1+IF(HT68&gt;20,HT68-20,0)*1</f>
        <v>0</v>
      </c>
      <c r="HX68" s="243">
        <f t="shared" si="619"/>
        <v>86.769230769230802</v>
      </c>
      <c r="HY68" s="218">
        <f t="shared" si="620"/>
        <v>0</v>
      </c>
      <c r="IA68" s="303" t="s">
        <v>59</v>
      </c>
      <c r="IB68" s="243" t="s">
        <v>103</v>
      </c>
      <c r="IC68" s="218" t="s">
        <v>133</v>
      </c>
      <c r="ID68" s="237"/>
      <c r="IE68" s="234"/>
      <c r="IF68" s="234">
        <f>Konvention_1slave-INslave</f>
        <v>12</v>
      </c>
      <c r="IG68" s="234"/>
      <c r="IH68" s="234">
        <f t="shared" si="660"/>
        <v>12</v>
      </c>
      <c r="II68" s="234"/>
      <c r="IJ68" s="234"/>
      <c r="IK68" s="224"/>
      <c r="IL68" s="222">
        <f>(IF68+IH68+IH68)/3</f>
        <v>12</v>
      </c>
      <c r="IM68" s="223">
        <f t="shared" si="622"/>
        <v>24</v>
      </c>
      <c r="IN68" s="224">
        <f t="shared" si="623"/>
        <v>36</v>
      </c>
      <c r="IO68" s="237">
        <f>IH68*POWER(INslave,SIGN(IF68))*POWER(FFslave,SIGN(IH68))+IH68*POWER(INslave,SIGN(IF68))*POWER(FFslave,SIGN(IH68))+IF68*POWER(FFslave,SIGN(IH68))*POWER(FFslave,SIGN(IH68))</f>
        <v>2304</v>
      </c>
      <c r="IP68" s="234">
        <f>IF68*IH68*FFslave+IF68*FFslave*IH68+INslave*IH68*IH68</f>
        <v>3456</v>
      </c>
      <c r="IQ68" s="224">
        <f>IF68*IH68*IH68</f>
        <v>1728</v>
      </c>
      <c r="IR68" s="242">
        <f t="shared" si="642"/>
        <v>7488</v>
      </c>
      <c r="IS68" s="222">
        <f t="shared" si="626"/>
        <v>3.6923076923076925</v>
      </c>
      <c r="IT68" s="223">
        <f t="shared" si="627"/>
        <v>11.076923076923077</v>
      </c>
      <c r="IU68" s="243">
        <f t="shared" si="628"/>
        <v>8.3076923076923084</v>
      </c>
      <c r="IV68" s="218">
        <f t="shared" si="629"/>
        <v>23.07692307692308</v>
      </c>
      <c r="IW68" s="252">
        <f t="shared" si="630"/>
        <v>0</v>
      </c>
      <c r="IX68" s="309">
        <f t="shared" si="631"/>
        <v>23.07692307692308</v>
      </c>
      <c r="IY68" s="218">
        <f>IF(IV68&gt;0,IV68,0)*1+IF(IV68&gt;12,IV68-12,0)*1+IF(IV68&gt;13,IV68-13,0)*1+IF(IV68&gt;14,IV68-14,0)*1+IF(IV68&gt;15,IV68-15,0)*1+IF(IV68&gt;16,IV68-16,0)*1+IF(IV68&gt;17,IV68-17,0)*1+IF(IV68&gt;18,IV68-18,0)*1+IF(IV68&gt;19,IV68-19,0)*1+IF(IV68&gt;20,IV68-20,0)*1</f>
        <v>86.769230769230802</v>
      </c>
      <c r="IZ68" s="242">
        <f>IF(IW68&gt;0,IW68,0)*1+IF(IW68&gt;12,IW68-12,0)*1+IF(IW68&gt;13,IW68-13,0)*1+IF(IW68&gt;14,IW68-14,0)*1+IF(IW68&gt;15,IW68-15,0)*1+IF(IW68&gt;16,IW68-16,0)*1+IF(IW68&gt;17,IW68-17,0)*1+IF(IW68&gt;18,IW68-18,0)*1+IF(IW68&gt;19,IW68-19,0)*1+IF(IW68&gt;20,IW68-20,0)*1</f>
        <v>0</v>
      </c>
      <c r="JA68" s="243">
        <f t="shared" si="632"/>
        <v>86.769230769230802</v>
      </c>
      <c r="JB68" s="218">
        <f t="shared" si="633"/>
        <v>0</v>
      </c>
      <c r="JE68" s="148"/>
    </row>
    <row r="69" spans="1:265" hidden="1" outlineLevel="2">
      <c r="B69" s="148">
        <v>13</v>
      </c>
      <c r="C69" s="303" t="e">
        <f>VLOOKUP(AF69,Attribute!C:T,1,FALSE)</f>
        <v>#N/A</v>
      </c>
      <c r="D69" s="127" t="s">
        <v>104</v>
      </c>
      <c r="E69" s="125" t="s">
        <v>135</v>
      </c>
      <c r="F69" s="114"/>
      <c r="G69" s="113"/>
      <c r="H69" s="113"/>
      <c r="I69" s="113"/>
      <c r="J69" s="113">
        <f t="shared" si="652"/>
        <v>12</v>
      </c>
      <c r="K69" s="113"/>
      <c r="L69" s="113">
        <f>Konvention_1master-KOmaster</f>
        <v>12</v>
      </c>
      <c r="M69" s="119">
        <f>Konvention_1master-KKmaster</f>
        <v>12</v>
      </c>
      <c r="N69" s="222">
        <f>(F69+G69+H69+I69+J69+K69+L69+M69)/3</f>
        <v>12</v>
      </c>
      <c r="O69" s="223">
        <f t="shared" si="519"/>
        <v>24</v>
      </c>
      <c r="P69" s="224">
        <f t="shared" si="520"/>
        <v>36</v>
      </c>
      <c r="Q69" s="237">
        <f>F69*POWER(KLmaster,SIGN(G69))*POWER(INmaster,SIGN(H69))*POWER(CHmaster,SIGN(I69))*POWER(FFmaster,SIGN(J69))*POWER(GEmaster,SIGN(K69))*POWER(KOmaster,SIGN(L69))*POWER(KKmaster,SIGN(M69))+G69*POWER(MUmaster,SIGN(F69))*POWER(INmaster,SIGN(H69))*POWER(CHmaster,SIGN(I69))*POWER(FFmaster,SIGN(J69))*POWER(GEmaster,SIGN(K69))*POWER(KOmaster,SIGN(L69))*POWER(KKmaster,SIGN(M69))+H69*POWER(MUmaster,SIGN(F69))*POWER(KLmaster,SIGN(G69))*POWER(CHmaster,SIGN(I69))*POWER(FFmaster,SIGN(J69))*POWER(GEmaster,SIGN(K69))*POWER(KOmaster,SIGN(L69))*POWER(KKmaster,SIGN(M69))+I69*POWER(MUmaster,SIGN(F69))*POWER(KLmaster,SIGN(G69))*POWER(INmaster,SIGN(H69))*POWER(FFmaster,SIGN(J69))*POWER(GEmaster,SIGN(K69))*POWER(KOmaster,SIGN(L69))*POWER(KKmaster,SIGN(M69))+J69*POWER(MUmaster,SIGN(F69))*POWER(KLmaster,SIGN(G69))*POWER(INmaster,SIGN(H69))*POWER(CHmaster,SIGN(I69))*POWER(GEmaster,SIGN(K69))*POWER(KOmaster,SIGN(L69))*POWER(KKmaster,SIGN(M69))+K69*POWER(MUmaster,SIGN(F69))*POWER(KLmaster,SIGN(G69))*POWER(INmaster,SIGN(H69))*POWER(CHmaster,SIGN(I69))*POWER(FFmaster,SIGN(J69))*POWER(KOmaster,SIGN(L69))*POWER(KKmaster,SIGN(M69))+L69*POWER(MUmaster,SIGN(F69))*POWER(KLmaster,SIGN(G69))*POWER(INmaster,SIGN(H69))*POWER(CHmaster,SIGN(I69))*POWER(FFmaster,SIGN(J69))*POWER(GEmaster,SIGN(K69))*POWER(KKmaster,SIGN(M69))+M69*POWER(MUmaster,SIGN(F69))*POWER(KLmaster,SIGN(G69))*POWER(INmaster,SIGN(H69))*POWER(CHmaster,SIGN(I69))*POWER(FFmaster,SIGN(J69))*POWER(GEmaster,SIGN(K69))*POWER(KOmaster,SIGN(L69))</f>
        <v>2304</v>
      </c>
      <c r="R69" s="113">
        <f>J69*L69*KKmaster+J69*KOmaster*M69+FFmaster*L69*M69</f>
        <v>3456</v>
      </c>
      <c r="S69" s="224">
        <f>IFERROR(F69^SIGN(F69),1)*IFERROR(G69^SIGN(G69),1)*IFERROR(H69^SIGN(H69),1)*IFERROR(I69^SIGN(I69),1)*IFERROR(J69^SIGN(J69),1)*IFERROR(K69^SIGN(K69),1)*IFERROR(L69^SIGN(L69),1)*IFERROR(M69^SIGN(M69),1)</f>
        <v>1728</v>
      </c>
      <c r="T69" s="242">
        <f t="shared" si="634"/>
        <v>7488</v>
      </c>
      <c r="U69" s="222">
        <f t="shared" si="523"/>
        <v>3.6923076923076925</v>
      </c>
      <c r="V69" s="223">
        <f t="shared" si="524"/>
        <v>11.076923076923077</v>
      </c>
      <c r="W69" s="243">
        <f t="shared" si="525"/>
        <v>8.3076923076923084</v>
      </c>
      <c r="X69" s="218">
        <f t="shared" si="526"/>
        <v>23.07692307692308</v>
      </c>
      <c r="Y69" s="252">
        <v>0</v>
      </c>
      <c r="Z69" s="198">
        <f t="shared" si="527"/>
        <v>23.07692307692308</v>
      </c>
      <c r="AA69" s="125">
        <f>IF(X69&gt;0,X69,0)*3+IF(X69&gt;12,X69-12,0)*3+IF(X69&gt;13,X69-13,0)*3+IF(X69&gt;14,X69-14,0)*3+IF(X69&gt;15,X69-15,0)*3+IF(X69&gt;16,X69-16,0)*3+IF(X69&gt;17,X69-17,0)*3+IF(X69&gt;18,X69-18,0)*3+IF(X69&gt;19,X69-19,0)*3+IF(X69&gt;20,X69-20,0)*3</f>
        <v>260.30769230769232</v>
      </c>
      <c r="AB69" s="160">
        <f>IF(Y69&gt;0,Y69,0)*3+IF(Y69&gt;12,Y69-12,0)*3+IF(Y69&gt;13,Y69-13,0)*3+IF(Y69&gt;14,Y69-14,0)*3+IF(Y69&gt;15,Y69-15,0)*3+IF(Y69&gt;16,Y69-16,0)*3+IF(Y69&gt;17,Y69-17,0)*3+IF(Y69&gt;18,Y69-18,0)*3+IF(Y69&gt;19,Y69-19,0)*3+IF(Y69&gt;20,Y69-20,0)*3</f>
        <v>0</v>
      </c>
      <c r="AC69" s="127">
        <f t="shared" si="528"/>
        <v>260.30769230769232</v>
      </c>
      <c r="AD69" s="125">
        <f t="shared" si="529"/>
        <v>0</v>
      </c>
      <c r="AF69" s="163" t="s">
        <v>60</v>
      </c>
      <c r="AG69" s="127" t="s">
        <v>104</v>
      </c>
      <c r="AH69" s="125" t="s">
        <v>135</v>
      </c>
      <c r="AI69" s="114"/>
      <c r="AJ69" s="113"/>
      <c r="AK69" s="113"/>
      <c r="AL69" s="113"/>
      <c r="AM69" s="113">
        <f t="shared" si="653"/>
        <v>12</v>
      </c>
      <c r="AN69" s="113"/>
      <c r="AO69" s="113">
        <f>Konvention_1slave-KOslave</f>
        <v>12</v>
      </c>
      <c r="AP69" s="119">
        <f>Konvention_1slave-KKslave</f>
        <v>12</v>
      </c>
      <c r="AQ69" s="89">
        <f>(AI69+AJ69+AK69+AL69+AM69+AN69+AO69+AP69)/3</f>
        <v>12</v>
      </c>
      <c r="AR69" s="47">
        <f t="shared" si="531"/>
        <v>24</v>
      </c>
      <c r="AS69" s="119">
        <f t="shared" si="532"/>
        <v>36</v>
      </c>
      <c r="AT69" s="114">
        <f>AI69*POWER(KLslave,SIGN(AJ69))*POWER(INslave,SIGN(AK69))*POWER(CHslave,SIGN(AL69))*POWER(FFslave,SIGN(AM69))*POWER(GEslave,SIGN(AN69))*POWER(KOslave,SIGN(AO69))*POWER(KKslave,SIGN(AP69))+AJ69*POWER(MUslave_MU,SIGN(AI69))*POWER(INslave,SIGN(AK69))*POWER(CHslave,SIGN(AL69))*POWER(FFslave,SIGN(AM69))*POWER(GEslave,SIGN(AN69))*POWER(KOslave,SIGN(AO69))*POWER(KKslave,SIGN(AP69))+AK69*POWER(MUslave_MU,SIGN(AI69))*POWER(KLslave,SIGN(AJ69))*POWER(CHslave,SIGN(AL69))*POWER(FFslave,SIGN(AM69))*POWER(GEslave,SIGN(AN69))*POWER(KOslave,SIGN(AO69))*POWER(KKslave,SIGN(AP69))+AL69*POWER(MUslave_MU,SIGN(AI69))*POWER(KLslave,SIGN(AJ69))*POWER(INslave,SIGN(AK69))*POWER(FFslave,SIGN(AM69))*POWER(GEslave,SIGN(AN69))*POWER(KOslave,SIGN(AO69))*POWER(KKslave,SIGN(AP69))+AM69*POWER(MUslave_MU,SIGN(AI69))*POWER(KLslave,SIGN(AJ69))*POWER(INslave,SIGN(AK69))*POWER(CHslave,SIGN(AL69))*POWER(GEslave,SIGN(AN69))*POWER(KOslave,SIGN(AO69))*POWER(KKslave,SIGN(AP69))+AN69*POWER(MUslave_MU,SIGN(AI69))*POWER(KLslave,SIGN(AJ69))*POWER(INslave,SIGN(AK69))*POWER(CHslave,SIGN(AL69))*POWER(FFslave,SIGN(AM69))*POWER(KOslave,SIGN(AO69))*POWER(KKslave,SIGN(AP69))+AO69*POWER(MUslave_MU,SIGN(AI69))*POWER(KLslave,SIGN(AJ69))*POWER(INslave,SIGN(AK69))*POWER(CHslave,SIGN(AL69))*POWER(FFslave,SIGN(AM69))*POWER(GEslave,SIGN(AN69))*POWER(KKslave,SIGN(AP69))+AP69*POWER(MUslave_MU,SIGN(AI69))*POWER(KLslave,SIGN(AJ69))*POWER(INslave,SIGN(AK69))*POWER(CHslave,SIGN(AL69))*POWER(FFslave,SIGN(AM69))*POWER(GEslave,SIGN(AN69))*POWER(KOslave,SIGN(AO69))</f>
        <v>2304</v>
      </c>
      <c r="AU69" s="113">
        <f>AM69*AO69*KKslave+AM69*KOslave*AP69+FFslave*AO69*AP69</f>
        <v>3456</v>
      </c>
      <c r="AV69" s="119">
        <f>IFERROR(AI69^SIGN(AI69),1)*IFERROR(AJ69^SIGN(AJ69),1)*IFERROR(AK69^SIGN(AK69),1)*IFERROR(AL69^SIGN(AL69),1)*IFERROR(AM69^SIGN(AM69),1)*IFERROR(AN69^SIGN(AN69),1)*IFERROR(AO69^SIGN(AO69),1)*IFERROR(AP69^SIGN(AP69),1)</f>
        <v>1728</v>
      </c>
      <c r="AW69" s="160">
        <f t="shared" si="635"/>
        <v>7488</v>
      </c>
      <c r="AX69" s="89">
        <f t="shared" si="535"/>
        <v>3.6923076923076925</v>
      </c>
      <c r="AY69" s="47">
        <f t="shared" si="536"/>
        <v>11.076923076923077</v>
      </c>
      <c r="AZ69" s="127">
        <f t="shared" si="537"/>
        <v>8.3076923076923084</v>
      </c>
      <c r="BA69" s="125">
        <f t="shared" si="538"/>
        <v>23.07692307692308</v>
      </c>
      <c r="BB69" s="165">
        <f t="shared" si="539"/>
        <v>0</v>
      </c>
      <c r="BC69" s="198">
        <f t="shared" si="540"/>
        <v>23.07692307692308</v>
      </c>
      <c r="BD69" s="125">
        <f>IF(BA69&gt;0,BA69,0)*3+IF(BA69&gt;12,BA69-12,0)*3+IF(BA69&gt;13,BA69-13,0)*3+IF(BA69&gt;14,BA69-14,0)*3+IF(BA69&gt;15,BA69-15,0)*3+IF(BA69&gt;16,BA69-16,0)*3+IF(BA69&gt;17,BA69-17,0)*3+IF(BA69&gt;18,BA69-18,0)*3+IF(BA69&gt;19,BA69-19,0)*3+IF(BA69&gt;20,BA69-20,0)*3</f>
        <v>260.30769230769232</v>
      </c>
      <c r="BE69" s="160">
        <f>IF(BB69&gt;0,BB69,0)*3+IF(BB69&gt;12,BB69-12,0)*3+IF(BB69&gt;13,BB69-13,0)*3+IF(BB69&gt;14,BB69-14,0)*3+IF(BB69&gt;15,BB69-15,0)*3+IF(BB69&gt;16,BB69-16,0)*3+IF(BB69&gt;17,BB69-17,0)*3+IF(BB69&gt;18,BB69-18,0)*3+IF(BB69&gt;19,BB69-19,0)*3+IF(BB69&gt;20,BB69-20,0)*3</f>
        <v>0</v>
      </c>
      <c r="BF69" s="243">
        <f t="shared" si="541"/>
        <v>260.30769230769232</v>
      </c>
      <c r="BG69" s="218">
        <f t="shared" si="542"/>
        <v>0</v>
      </c>
      <c r="BI69" s="303" t="s">
        <v>60</v>
      </c>
      <c r="BJ69" s="243" t="s">
        <v>104</v>
      </c>
      <c r="BK69" s="218" t="s">
        <v>135</v>
      </c>
      <c r="BL69" s="237"/>
      <c r="BM69" s="234"/>
      <c r="BN69" s="234"/>
      <c r="BO69" s="234"/>
      <c r="BP69" s="234">
        <f t="shared" si="654"/>
        <v>12</v>
      </c>
      <c r="BQ69" s="234"/>
      <c r="BR69" s="234">
        <f>Konvention_1slave-KOslave</f>
        <v>12</v>
      </c>
      <c r="BS69" s="224">
        <f>Konvention_1slave-KKslave</f>
        <v>12</v>
      </c>
      <c r="BT69" s="222">
        <f>(BL69+BM69+BN69+BO69+BP69+BQ69+BR69+BS69)/3</f>
        <v>12</v>
      </c>
      <c r="BU69" s="223">
        <f t="shared" si="544"/>
        <v>24</v>
      </c>
      <c r="BV69" s="224">
        <f t="shared" si="545"/>
        <v>36</v>
      </c>
      <c r="BW69" s="237">
        <f>BL69*POWER(KLslave_KL,SIGN(BM69))*POWER(INslave,SIGN(BN69))*POWER(CHslave,SIGN(BO69))*POWER(FFslave,SIGN(BP69))*POWER(GEslave,SIGN(BQ69))*POWER(KOslave,SIGN(BR69))*POWER(KKslave,SIGN(BS69))+BM69*POWER(MUslave,SIGN(BL69))*POWER(INslave,SIGN(BN69))*POWER(CHslave,SIGN(BO69))*POWER(FFslave,SIGN(BP69))*POWER(GEslave,SIGN(BQ69))*POWER(KOslave,SIGN(BR69))*POWER(KKslave,SIGN(BS69))+BN69*POWER(MUslave,SIGN(BL69))*POWER(KLslave_KL,SIGN(BM69))*POWER(CHslave,SIGN(BO69))*POWER(FFslave,SIGN(BP69))*POWER(GEslave,SIGN(BQ69))*POWER(KOslave,SIGN(BR69))*POWER(KKslave,SIGN(BS69))+BO69*POWER(MUslave,SIGN(BL69))*POWER(KLslave_KL,SIGN(BM69))*POWER(INslave,SIGN(BN69))*POWER(FFslave,SIGN(BP69))*POWER(GEslave,SIGN(BQ69))*POWER(KOslave,SIGN(BR69))*POWER(KKslave,SIGN(BS69))+BP69*POWER(MUslave,SIGN(BL69))*POWER(KLslave_KL,SIGN(BM69))*POWER(INslave,SIGN(BN69))*POWER(CHslave,SIGN(BO69))*POWER(GEslave,SIGN(BQ69))*POWER(KOslave,SIGN(BR69))*POWER(KKslave,SIGN(BS69))+BQ69*POWER(MUslave,SIGN(BL69))*POWER(KLslave_KL,SIGN(BM69))*POWER(INslave,SIGN(BN69))*POWER(CHslave,SIGN(BO69))*POWER(FFslave,SIGN(BP69))*POWER(KOslave,SIGN(BR69))*POWER(KKslave,SIGN(BS69))+BR69*POWER(MUslave,SIGN(BL69))*POWER(KLslave_KL,SIGN(BM69))*POWER(INslave,SIGN(BN69))*POWER(CHslave,SIGN(BO69))*POWER(FFslave,SIGN(BP69))*POWER(GEslave,SIGN(BQ69))*POWER(KKslave,SIGN(BS69))+BS69*POWER(MUslave,SIGN(BL69))*POWER(KLslave_KL,SIGN(BM69))*POWER(INslave,SIGN(BN69))*POWER(CHslave,SIGN(BO69))*POWER(FFslave,SIGN(BP69))*POWER(GEslave,SIGN(BQ69))*POWER(KOslave,SIGN(BR69))</f>
        <v>2304</v>
      </c>
      <c r="BX69" s="234">
        <f>BP69*BR69*KKslave+BP69*KOslave*BS69+FFslave*BR69*BS69</f>
        <v>3456</v>
      </c>
      <c r="BY69" s="224">
        <f>IFERROR(BL69^SIGN(BL69),1)*IFERROR(BM69^SIGN(BM69),1)*IFERROR(BN69^SIGN(BN69),1)*IFERROR(BO69^SIGN(BO69),1)*IFERROR(BP69^SIGN(BP69),1)*IFERROR(BQ69^SIGN(BQ69),1)*IFERROR(BR69^SIGN(BR69),1)*IFERROR(BS69^SIGN(BS69),1)</f>
        <v>1728</v>
      </c>
      <c r="BZ69" s="242">
        <f t="shared" si="636"/>
        <v>7488</v>
      </c>
      <c r="CA69" s="222">
        <f t="shared" si="548"/>
        <v>3.6923076923076925</v>
      </c>
      <c r="CB69" s="223">
        <f t="shared" si="549"/>
        <v>11.076923076923077</v>
      </c>
      <c r="CC69" s="243">
        <f t="shared" si="550"/>
        <v>8.3076923076923084</v>
      </c>
      <c r="CD69" s="218">
        <f t="shared" si="551"/>
        <v>23.07692307692308</v>
      </c>
      <c r="CE69" s="252">
        <f t="shared" si="552"/>
        <v>0</v>
      </c>
      <c r="CF69" s="309">
        <f t="shared" si="553"/>
        <v>23.07692307692308</v>
      </c>
      <c r="CG69" s="218">
        <f>IF(CD69&gt;0,CD69,0)*3+IF(CD69&gt;12,CD69-12,0)*3+IF(CD69&gt;13,CD69-13,0)*3+IF(CD69&gt;14,CD69-14,0)*3+IF(CD69&gt;15,CD69-15,0)*3+IF(CD69&gt;16,CD69-16,0)*3+IF(CD69&gt;17,CD69-17,0)*3+IF(CD69&gt;18,CD69-18,0)*3+IF(CD69&gt;19,CD69-19,0)*3+IF(CD69&gt;20,CD69-20,0)*3</f>
        <v>260.30769230769232</v>
      </c>
      <c r="CH69" s="242">
        <f>IF(CE69&gt;0,CE69,0)*3+IF(CE69&gt;12,CE69-12,0)*3+IF(CE69&gt;13,CE69-13,0)*3+IF(CE69&gt;14,CE69-14,0)*3+IF(CE69&gt;15,CE69-15,0)*3+IF(CE69&gt;16,CE69-16,0)*3+IF(CE69&gt;17,CE69-17,0)*3+IF(CE69&gt;18,CE69-18,0)*3+IF(CE69&gt;19,CE69-19,0)*3+IF(CE69&gt;20,CE69-20,0)*3</f>
        <v>0</v>
      </c>
      <c r="CI69" s="243">
        <f t="shared" si="554"/>
        <v>260.30769230769232</v>
      </c>
      <c r="CJ69" s="218">
        <f t="shared" si="555"/>
        <v>0</v>
      </c>
      <c r="CL69" s="303" t="s">
        <v>60</v>
      </c>
      <c r="CM69" s="243" t="s">
        <v>104</v>
      </c>
      <c r="CN69" s="218" t="s">
        <v>135</v>
      </c>
      <c r="CO69" s="237"/>
      <c r="CP69" s="234"/>
      <c r="CQ69" s="234"/>
      <c r="CR69" s="234"/>
      <c r="CS69" s="234">
        <f t="shared" si="655"/>
        <v>12</v>
      </c>
      <c r="CT69" s="234"/>
      <c r="CU69" s="234">
        <f>Konvention_1slave-KOslave</f>
        <v>12</v>
      </c>
      <c r="CV69" s="224">
        <f>Konvention_1slave-KKslave</f>
        <v>12</v>
      </c>
      <c r="CW69" s="222">
        <f>(CO69+CP69+CQ69+CR69+CS69+CT69+CU69+CV69)/3</f>
        <v>12</v>
      </c>
      <c r="CX69" s="223">
        <f t="shared" si="557"/>
        <v>24</v>
      </c>
      <c r="CY69" s="224">
        <f t="shared" si="558"/>
        <v>36</v>
      </c>
      <c r="CZ69" s="237">
        <f>CO69*POWER(KLslave,SIGN(CP69))*POWER(INslave_IN,SIGN(CQ69))*POWER(CHslave,SIGN(CR69))*POWER(FFslave,SIGN(CS69))*POWER(GEslave,SIGN(CT69))*POWER(KOslave,SIGN(CU69))*POWER(KKslave,SIGN(CV69))+CP69*POWER(MUslave,SIGN(CO69))*POWER(INslave_IN,SIGN(CQ69))*POWER(CHslave,SIGN(CR69))*POWER(FFslave,SIGN(CS69))*POWER(GEslave,SIGN(CT69))*POWER(KOslave,SIGN(CU69))*POWER(KKslave,SIGN(CV69))+CQ69*POWER(MUslave,SIGN(CO69))*POWER(KLslave,SIGN(CP69))*POWER(CHslave,SIGN(CR69))*POWER(FFslave,SIGN(CS69))*POWER(GEslave,SIGN(CT69))*POWER(KOslave,SIGN(CU69))*POWER(KKslave,SIGN(CV69))+CR69*POWER(MUslave,SIGN(CO69))*POWER(KLslave,SIGN(CP69))*POWER(INslave_IN,SIGN(CQ69))*POWER(FFslave,SIGN(CS69))*POWER(GEslave,SIGN(CT69))*POWER(KOslave,SIGN(CU69))*POWER(KKslave,SIGN(CV69))+CS69*POWER(MUslave,SIGN(CO69))*POWER(KLslave,SIGN(CP69))*POWER(INslave_IN,SIGN(CQ69))*POWER(CHslave,SIGN(CR69))*POWER(GEslave,SIGN(CT69))*POWER(KOslave,SIGN(CU69))*POWER(KKslave,SIGN(CV69))+CT69*POWER(MUslave,SIGN(CO69))*POWER(KLslave,SIGN(CP69))*POWER(INslave_IN,SIGN(CQ69))*POWER(CHslave,SIGN(CR69))*POWER(FFslave,SIGN(CS69))*POWER(KOslave,SIGN(CU69))*POWER(KKslave,SIGN(CV69))+CU69*POWER(MUslave,SIGN(CO69))*POWER(KLslave,SIGN(CP69))*POWER(INslave_IN,SIGN(CQ69))*POWER(CHslave,SIGN(CR69))*POWER(FFslave,SIGN(CS69))*POWER(GEslave,SIGN(CT69))*POWER(KKslave,SIGN(CV69))+CV69*POWER(MUslave,SIGN(CO69))*POWER(KLslave,SIGN(CP69))*POWER(INslave_IN,SIGN(CQ69))*POWER(CHslave,SIGN(CR69))*POWER(FFslave,SIGN(CS69))*POWER(GEslave,SIGN(CT69))*POWER(KOslave,SIGN(CU69))</f>
        <v>2304</v>
      </c>
      <c r="DA69" s="234">
        <f>CS69*CU69*KKslave+CS69*KOslave*CV69+FFslave*CU69*CV69</f>
        <v>3456</v>
      </c>
      <c r="DB69" s="224">
        <f>IFERROR(CO69^SIGN(CO69),1)*IFERROR(CP69^SIGN(CP69),1)*IFERROR(CQ69^SIGN(CQ69),1)*IFERROR(CR69^SIGN(CR69),1)*IFERROR(CS69^SIGN(CS69),1)*IFERROR(CT69^SIGN(CT69),1)*IFERROR(CU69^SIGN(CU69),1)*IFERROR(CV69^SIGN(CV69),1)</f>
        <v>1728</v>
      </c>
      <c r="DC69" s="242">
        <f t="shared" si="637"/>
        <v>7488</v>
      </c>
      <c r="DD69" s="222">
        <f t="shared" si="561"/>
        <v>3.6923076923076925</v>
      </c>
      <c r="DE69" s="223">
        <f t="shared" si="562"/>
        <v>11.076923076923077</v>
      </c>
      <c r="DF69" s="243">
        <f t="shared" si="563"/>
        <v>8.3076923076923084</v>
      </c>
      <c r="DG69" s="218">
        <f t="shared" si="564"/>
        <v>23.07692307692308</v>
      </c>
      <c r="DH69" s="252">
        <f t="shared" si="565"/>
        <v>0</v>
      </c>
      <c r="DI69" s="309">
        <f t="shared" si="566"/>
        <v>23.07692307692308</v>
      </c>
      <c r="DJ69" s="218">
        <f>IF(DG69&gt;0,DG69,0)*3+IF(DG69&gt;12,DG69-12,0)*3+IF(DG69&gt;13,DG69-13,0)*3+IF(DG69&gt;14,DG69-14,0)*3+IF(DG69&gt;15,DG69-15,0)*3+IF(DG69&gt;16,DG69-16,0)*3+IF(DG69&gt;17,DG69-17,0)*3+IF(DG69&gt;18,DG69-18,0)*3+IF(DG69&gt;19,DG69-19,0)*3+IF(DG69&gt;20,DG69-20,0)*3</f>
        <v>260.30769230769232</v>
      </c>
      <c r="DK69" s="242">
        <f>IF(DH69&gt;0,DH69,0)*3+IF(DH69&gt;12,DH69-12,0)*3+IF(DH69&gt;13,DH69-13,0)*3+IF(DH69&gt;14,DH69-14,0)*3+IF(DH69&gt;15,DH69-15,0)*3+IF(DH69&gt;16,DH69-16,0)*3+IF(DH69&gt;17,DH69-17,0)*3+IF(DH69&gt;18,DH69-18,0)*3+IF(DH69&gt;19,DH69-19,0)*3+IF(DH69&gt;20,DH69-20,0)*3</f>
        <v>0</v>
      </c>
      <c r="DL69" s="243">
        <f t="shared" si="567"/>
        <v>260.30769230769232</v>
      </c>
      <c r="DM69" s="218">
        <f t="shared" si="568"/>
        <v>0</v>
      </c>
      <c r="DO69" s="303" t="s">
        <v>60</v>
      </c>
      <c r="DP69" s="243" t="s">
        <v>104</v>
      </c>
      <c r="DQ69" s="218" t="s">
        <v>135</v>
      </c>
      <c r="DR69" s="237"/>
      <c r="DS69" s="234"/>
      <c r="DT69" s="234"/>
      <c r="DU69" s="234"/>
      <c r="DV69" s="234">
        <f t="shared" si="656"/>
        <v>12</v>
      </c>
      <c r="DW69" s="234"/>
      <c r="DX69" s="234">
        <f>Konvention_1slave-KOslave</f>
        <v>12</v>
      </c>
      <c r="DY69" s="224">
        <f>Konvention_1slave-KKslave</f>
        <v>12</v>
      </c>
      <c r="DZ69" s="222">
        <f>(DR69+DS69+DT69+DU69+DV69+DW69+DX69+DY69)/3</f>
        <v>12</v>
      </c>
      <c r="EA69" s="223">
        <f t="shared" si="570"/>
        <v>24</v>
      </c>
      <c r="EB69" s="224">
        <f t="shared" si="571"/>
        <v>36</v>
      </c>
      <c r="EC69" s="237">
        <f>DR69*POWER(KLslave,SIGN(DS69))*POWER(INslave,SIGN(DT69))*POWER(CHslave_CH,SIGN(DU69))*POWER(FFslave,SIGN(DV69))*POWER(GEslave,SIGN(DW69))*POWER(KOslave,SIGN(DX69))*POWER(KKslave,SIGN(DY69))+DS69*POWER(MUslave,SIGN(DR69))*POWER(INslave,SIGN(DT69))*POWER(CHslave_CH,SIGN(DU69))*POWER(FFslave,SIGN(DV69))*POWER(GEslave,SIGN(DW69))*POWER(KOslave,SIGN(DX69))*POWER(KKslave,SIGN(DY69))+DT69*POWER(MUslave,SIGN(DR69))*POWER(KLslave,SIGN(DS69))*POWER(CHslave_CH,SIGN(DU69))*POWER(FFslave,SIGN(DV69))*POWER(GEslave,SIGN(DW69))*POWER(KOslave,SIGN(DX69))*POWER(KKslave,SIGN(DY69))+DU69*POWER(MUslave,SIGN(DR69))*POWER(KLslave,SIGN(DS69))*POWER(INslave,SIGN(DT69))*POWER(FFslave,SIGN(DV69))*POWER(GEslave,SIGN(DW69))*POWER(KOslave,SIGN(DX69))*POWER(KKslave,SIGN(DY69))+DV69*POWER(MUslave,SIGN(DR69))*POWER(KLslave,SIGN(DS69))*POWER(INslave,SIGN(DT69))*POWER(CHslave_CH,SIGN(DU69))*POWER(GEslave,SIGN(DW69))*POWER(KOslave,SIGN(DX69))*POWER(KKslave,SIGN(DY69))+DW69*POWER(MUslave,SIGN(DR69))*POWER(KLslave,SIGN(DS69))*POWER(INslave,SIGN(DT69))*POWER(CHslave_CH,SIGN(DU69))*POWER(FFslave,SIGN(DV69))*POWER(KOslave,SIGN(DX69))*POWER(KKslave,SIGN(DY69))+DX69*POWER(MUslave,SIGN(DR69))*POWER(KLslave,SIGN(DS69))*POWER(INslave,SIGN(DT69))*POWER(CHslave_CH,SIGN(DU69))*POWER(FFslave,SIGN(DV69))*POWER(GEslave,SIGN(DW69))*POWER(KKslave,SIGN(DY69))+DY69*POWER(MUslave,SIGN(DR69))*POWER(KLslave,SIGN(DS69))*POWER(INslave,SIGN(DT69))*POWER(CHslave_CH,SIGN(DU69))*POWER(FFslave,SIGN(DV69))*POWER(GEslave,SIGN(DW69))*POWER(KOslave,SIGN(DX69))</f>
        <v>2304</v>
      </c>
      <c r="ED69" s="234">
        <f>DV69*DX69*KKslave+DV69*KOslave*DY69+FFslave*DX69*DY69</f>
        <v>3456</v>
      </c>
      <c r="EE69" s="224">
        <f>IFERROR(DR69^SIGN(DR69),1)*IFERROR(DS69^SIGN(DS69),1)*IFERROR(DT69^SIGN(DT69),1)*IFERROR(DU69^SIGN(DU69),1)*IFERROR(DV69^SIGN(DV69),1)*IFERROR(DW69^SIGN(DW69),1)*IFERROR(DX69^SIGN(DX69),1)*IFERROR(DY69^SIGN(DY69),1)</f>
        <v>1728</v>
      </c>
      <c r="EF69" s="242">
        <f t="shared" si="638"/>
        <v>7488</v>
      </c>
      <c r="EG69" s="222">
        <f t="shared" si="574"/>
        <v>3.6923076923076925</v>
      </c>
      <c r="EH69" s="223">
        <f t="shared" si="575"/>
        <v>11.076923076923077</v>
      </c>
      <c r="EI69" s="243">
        <f t="shared" si="576"/>
        <v>8.3076923076923084</v>
      </c>
      <c r="EJ69" s="218">
        <f t="shared" si="577"/>
        <v>23.07692307692308</v>
      </c>
      <c r="EK69" s="252">
        <f t="shared" si="578"/>
        <v>0</v>
      </c>
      <c r="EL69" s="309">
        <f t="shared" si="579"/>
        <v>23.07692307692308</v>
      </c>
      <c r="EM69" s="218">
        <f>IF(EJ69&gt;0,EJ69,0)*3+IF(EJ69&gt;12,EJ69-12,0)*3+IF(EJ69&gt;13,EJ69-13,0)*3+IF(EJ69&gt;14,EJ69-14,0)*3+IF(EJ69&gt;15,EJ69-15,0)*3+IF(EJ69&gt;16,EJ69-16,0)*3+IF(EJ69&gt;17,EJ69-17,0)*3+IF(EJ69&gt;18,EJ69-18,0)*3+IF(EJ69&gt;19,EJ69-19,0)*3+IF(EJ69&gt;20,EJ69-20,0)*3</f>
        <v>260.30769230769232</v>
      </c>
      <c r="EN69" s="242">
        <f>IF(EK69&gt;0,EK69,0)*3+IF(EK69&gt;12,EK69-12,0)*3+IF(EK69&gt;13,EK69-13,0)*3+IF(EK69&gt;14,EK69-14,0)*3+IF(EK69&gt;15,EK69-15,0)*3+IF(EK69&gt;16,EK69-16,0)*3+IF(EK69&gt;17,EK69-17,0)*3+IF(EK69&gt;18,EK69-18,0)*3+IF(EK69&gt;19,EK69-19,0)*3+IF(EK69&gt;20,EK69-20,0)*3</f>
        <v>0</v>
      </c>
      <c r="EO69" s="243">
        <f t="shared" si="580"/>
        <v>260.30769230769232</v>
      </c>
      <c r="EP69" s="218">
        <f t="shared" si="581"/>
        <v>0</v>
      </c>
      <c r="ER69" s="303" t="s">
        <v>60</v>
      </c>
      <c r="ES69" s="243" t="s">
        <v>104</v>
      </c>
      <c r="ET69" s="218" t="s">
        <v>135</v>
      </c>
      <c r="EU69" s="237"/>
      <c r="EV69" s="234"/>
      <c r="EW69" s="234"/>
      <c r="EX69" s="234"/>
      <c r="EY69" s="234">
        <f t="shared" si="657"/>
        <v>11</v>
      </c>
      <c r="EZ69" s="234"/>
      <c r="FA69" s="234">
        <f>Konvention_1slave-KOslave</f>
        <v>12</v>
      </c>
      <c r="FB69" s="224">
        <f>Konvention_1slave-KKslave</f>
        <v>12</v>
      </c>
      <c r="FC69" s="222">
        <f>(EU69+EV69+EW69+EX69+EY69+EZ69+FA69+FB69)/3</f>
        <v>11.666666666666666</v>
      </c>
      <c r="FD69" s="223">
        <f t="shared" si="583"/>
        <v>23.333333333333332</v>
      </c>
      <c r="FE69" s="224">
        <f t="shared" si="584"/>
        <v>35</v>
      </c>
      <c r="FF69" s="237">
        <f>EU69*POWER(KLslave,SIGN(EV69))*POWER(INslave,SIGN(EW69))*POWER(CHslave,SIGN(EX69))*POWER(FFslave_FF,SIGN(EY69))*POWER(GEslave,SIGN(EZ69))*POWER(KOslave,SIGN(FA69))*POWER(KKslave,SIGN(FB69))+EV69*POWER(MUslave,SIGN(EU69))*POWER(INslave,SIGN(EW69))*POWER(CHslave,SIGN(EX69))*POWER(FFslave_FF,SIGN(EY69))*POWER(GEslave,SIGN(EZ69))*POWER(KOslave,SIGN(FA69))*POWER(KKslave,SIGN(FB69))+EW69*POWER(MUslave,SIGN(EU69))*POWER(KLslave,SIGN(EV69))*POWER(CHslave,SIGN(EX69))*POWER(FFslave_FF,SIGN(EY69))*POWER(GEslave,SIGN(EZ69))*POWER(KOslave,SIGN(FA69))*POWER(KKslave,SIGN(FB69))+EX69*POWER(MUslave,SIGN(EU69))*POWER(KLslave,SIGN(EV69))*POWER(INslave,SIGN(EW69))*POWER(FFslave_FF,SIGN(EY69))*POWER(GEslave,SIGN(EZ69))*POWER(KOslave,SIGN(FA69))*POWER(KKslave,SIGN(FB69))+EY69*POWER(MUslave,SIGN(EU69))*POWER(KLslave,SIGN(EV69))*POWER(INslave,SIGN(EW69))*POWER(CHslave,SIGN(EX69))*POWER(GEslave,SIGN(EZ69))*POWER(KOslave,SIGN(FA69))*POWER(KKslave,SIGN(FB69))+EZ69*POWER(MUslave,SIGN(EU69))*POWER(KLslave,SIGN(EV69))*POWER(INslave,SIGN(EW69))*POWER(CHslave,SIGN(EX69))*POWER(FFslave_FF,SIGN(EY69))*POWER(KOslave,SIGN(FA69))*POWER(KKslave,SIGN(FB69))+FA69*POWER(MUslave,SIGN(EU69))*POWER(KLslave,SIGN(EV69))*POWER(INslave,SIGN(EW69))*POWER(CHslave,SIGN(EX69))*POWER(FFslave_FF,SIGN(EY69))*POWER(GEslave,SIGN(EZ69))*POWER(KKslave,SIGN(FB69))+FB69*POWER(MUslave,SIGN(EU69))*POWER(KLslave,SIGN(EV69))*POWER(INslave,SIGN(EW69))*POWER(CHslave,SIGN(EX69))*POWER(FFslave_FF,SIGN(EY69))*POWER(GEslave,SIGN(EZ69))*POWER(KOslave,SIGN(FA69))</f>
        <v>2432</v>
      </c>
      <c r="FG69" s="234">
        <f>EY69*FA69*KKslave+EY69*KOslave*FB69+FFslave_FF*FA69*FB69</f>
        <v>3408</v>
      </c>
      <c r="FH69" s="224">
        <f>IFERROR(EU69^SIGN(EU69),1)*IFERROR(EV69^SIGN(EV69),1)*IFERROR(EW69^SIGN(EW69),1)*IFERROR(EX69^SIGN(EX69),1)*IFERROR(EY69^SIGN(EY69),1)*IFERROR(EZ69^SIGN(EZ69),1)*IFERROR(FA69^SIGN(FA69),1)*IFERROR(FB69^SIGN(FB69),1)</f>
        <v>1584</v>
      </c>
      <c r="FI69" s="242">
        <f t="shared" si="639"/>
        <v>7424</v>
      </c>
      <c r="FJ69" s="222">
        <f t="shared" si="587"/>
        <v>3.8218390804597702</v>
      </c>
      <c r="FK69" s="223">
        <f t="shared" si="588"/>
        <v>10.711206896551724</v>
      </c>
      <c r="FL69" s="243">
        <f t="shared" si="589"/>
        <v>7.4676724137931032</v>
      </c>
      <c r="FM69" s="218">
        <f t="shared" si="590"/>
        <v>22.000718390804597</v>
      </c>
      <c r="FN69" s="252">
        <f t="shared" si="591"/>
        <v>0</v>
      </c>
      <c r="FO69" s="309">
        <f t="shared" si="592"/>
        <v>22.000718390804597</v>
      </c>
      <c r="FP69" s="218">
        <f>IF(FM69&gt;0,FM69,0)*3+IF(FM69&gt;12,FM69-12,0)*3+IF(FM69&gt;13,FM69-13,0)*3+IF(FM69&gt;14,FM69-14,0)*3+IF(FM69&gt;15,FM69-15,0)*3+IF(FM69&gt;16,FM69-16,0)*3+IF(FM69&gt;17,FM69-17,0)*3+IF(FM69&gt;18,FM69-18,0)*3+IF(FM69&gt;19,FM69-19,0)*3+IF(FM69&gt;20,FM69-20,0)*3</f>
        <v>228.02155172413785</v>
      </c>
      <c r="FQ69" s="242">
        <f>IF(FN69&gt;0,FN69,0)*3+IF(FN69&gt;12,FN69-12,0)*3+IF(FN69&gt;13,FN69-13,0)*3+IF(FN69&gt;14,FN69-14,0)*3+IF(FN69&gt;15,FN69-15,0)*3+IF(FN69&gt;16,FN69-16,0)*3+IF(FN69&gt;17,FN69-17,0)*3+IF(FN69&gt;18,FN69-18,0)*3+IF(FN69&gt;19,FN69-19,0)*3+IF(FN69&gt;20,FN69-20,0)*3</f>
        <v>0</v>
      </c>
      <c r="FR69" s="243">
        <f t="shared" si="593"/>
        <v>228.02155172413785</v>
      </c>
      <c r="FS69" s="218">
        <f t="shared" si="594"/>
        <v>0</v>
      </c>
      <c r="FU69" s="303" t="s">
        <v>60</v>
      </c>
      <c r="FV69" s="243" t="s">
        <v>104</v>
      </c>
      <c r="FW69" s="218" t="s">
        <v>135</v>
      </c>
      <c r="FX69" s="237"/>
      <c r="FY69" s="234"/>
      <c r="FZ69" s="234"/>
      <c r="GA69" s="234"/>
      <c r="GB69" s="234">
        <f t="shared" si="658"/>
        <v>12</v>
      </c>
      <c r="GC69" s="234"/>
      <c r="GD69" s="234">
        <f>Konvention_1slave-KOslave</f>
        <v>12</v>
      </c>
      <c r="GE69" s="224">
        <f>Konvention_1slave-KKslave</f>
        <v>12</v>
      </c>
      <c r="GF69" s="222">
        <f>(FX69+FY69+FZ69+GA69+GB69+GC69+GD69+GE69)/3</f>
        <v>12</v>
      </c>
      <c r="GG69" s="223">
        <f t="shared" si="596"/>
        <v>24</v>
      </c>
      <c r="GH69" s="224">
        <f t="shared" si="597"/>
        <v>36</v>
      </c>
      <c r="GI69" s="237">
        <f>FX69*POWER(KLslave,SIGN(FY69))*POWER(INslave,SIGN(FZ69))*POWER(CHslave,SIGN(GA69))*POWER(FFslave,SIGN(GB69))*POWER(GEslave_GE,SIGN(GC69))*POWER(KOslave,SIGN(GD69))*POWER(KKslave,SIGN(GE69))+FY69*POWER(MUslave,SIGN(FX69))*POWER(INslave,SIGN(FZ69))*POWER(CHslave,SIGN(GA69))*POWER(FFslave,SIGN(GB69))*POWER(GEslave_GE,SIGN(GC69))*POWER(KOslave,SIGN(GD69))*POWER(KKslave,SIGN(GE69))+FZ69*POWER(MUslave,SIGN(FX69))*POWER(KLslave,SIGN(FY69))*POWER(CHslave,SIGN(GA69))*POWER(FFslave,SIGN(GB69))*POWER(GEslave_GE,SIGN(GC69))*POWER(KOslave,SIGN(GD69))*POWER(KKslave,SIGN(GE69))+GA69*POWER(MUslave,SIGN(FX69))*POWER(KLslave,SIGN(FY69))*POWER(INslave,SIGN(FZ69))*POWER(FFslave,SIGN(GB69))*POWER(GEslave_GE,SIGN(GC69))*POWER(KOslave,SIGN(GD69))*POWER(KKslave,SIGN(GE69))+GB69*POWER(MUslave,SIGN(FX69))*POWER(KLslave,SIGN(FY69))*POWER(INslave,SIGN(FZ69))*POWER(CHslave,SIGN(GA69))*POWER(GEslave_GE,SIGN(GC69))*POWER(KOslave,SIGN(GD69))*POWER(KKslave,SIGN(GE69))+GC69*POWER(MUslave,SIGN(FX69))*POWER(KLslave,SIGN(FY69))*POWER(INslave,SIGN(FZ69))*POWER(CHslave,SIGN(GA69))*POWER(FFslave,SIGN(GB69))*POWER(KOslave,SIGN(GD69))*POWER(KKslave,SIGN(GE69))+GD69*POWER(MUslave,SIGN(FX69))*POWER(KLslave,SIGN(FY69))*POWER(INslave,SIGN(FZ69))*POWER(CHslave,SIGN(GA69))*POWER(FFslave,SIGN(GB69))*POWER(GEslave_GE,SIGN(GC69))*POWER(KKslave,SIGN(GE69))+GE69*POWER(MUslave,SIGN(FX69))*POWER(KLslave,SIGN(FY69))*POWER(INslave,SIGN(FZ69))*POWER(CHslave,SIGN(GA69))*POWER(FFslave,SIGN(GB69))*POWER(GEslave_GE,SIGN(GC69))*POWER(KOslave,SIGN(GD69))</f>
        <v>2304</v>
      </c>
      <c r="GJ69" s="234">
        <f>GB69*GD69*KKslave+GB69*KOslave*GE69+FFslave*GD69*GE69</f>
        <v>3456</v>
      </c>
      <c r="GK69" s="224">
        <f>IFERROR(FX69^SIGN(FX69),1)*IFERROR(FY69^SIGN(FY69),1)*IFERROR(FZ69^SIGN(FZ69),1)*IFERROR(GA69^SIGN(GA69),1)*IFERROR(GB69^SIGN(GB69),1)*IFERROR(GC69^SIGN(GC69),1)*IFERROR(GD69^SIGN(GD69),1)*IFERROR(GE69^SIGN(GE69),1)</f>
        <v>1728</v>
      </c>
      <c r="GL69" s="242">
        <f t="shared" si="640"/>
        <v>7488</v>
      </c>
      <c r="GM69" s="222">
        <f t="shared" si="600"/>
        <v>3.6923076923076925</v>
      </c>
      <c r="GN69" s="223">
        <f t="shared" si="601"/>
        <v>11.076923076923077</v>
      </c>
      <c r="GO69" s="243">
        <f t="shared" si="602"/>
        <v>8.3076923076923084</v>
      </c>
      <c r="GP69" s="218">
        <f t="shared" si="603"/>
        <v>23.07692307692308</v>
      </c>
      <c r="GQ69" s="252">
        <f t="shared" si="604"/>
        <v>0</v>
      </c>
      <c r="GR69" s="309">
        <f t="shared" si="605"/>
        <v>23.07692307692308</v>
      </c>
      <c r="GS69" s="218">
        <f>IF(GP69&gt;0,GP69,0)*3+IF(GP69&gt;12,GP69-12,0)*3+IF(GP69&gt;13,GP69-13,0)*3+IF(GP69&gt;14,GP69-14,0)*3+IF(GP69&gt;15,GP69-15,0)*3+IF(GP69&gt;16,GP69-16,0)*3+IF(GP69&gt;17,GP69-17,0)*3+IF(GP69&gt;18,GP69-18,0)*3+IF(GP69&gt;19,GP69-19,0)*3+IF(GP69&gt;20,GP69-20,0)*3</f>
        <v>260.30769230769232</v>
      </c>
      <c r="GT69" s="242">
        <f>IF(GQ69&gt;0,GQ69,0)*3+IF(GQ69&gt;12,GQ69-12,0)*3+IF(GQ69&gt;13,GQ69-13,0)*3+IF(GQ69&gt;14,GQ69-14,0)*3+IF(GQ69&gt;15,GQ69-15,0)*3+IF(GQ69&gt;16,GQ69-16,0)*3+IF(GQ69&gt;17,GQ69-17,0)*3+IF(GQ69&gt;18,GQ69-18,0)*3+IF(GQ69&gt;19,GQ69-19,0)*3+IF(GQ69&gt;20,GQ69-20,0)*3</f>
        <v>0</v>
      </c>
      <c r="GU69" s="243">
        <f t="shared" si="606"/>
        <v>260.30769230769232</v>
      </c>
      <c r="GV69" s="218">
        <f t="shared" si="607"/>
        <v>0</v>
      </c>
      <c r="GX69" s="303" t="s">
        <v>60</v>
      </c>
      <c r="GY69" s="243" t="s">
        <v>104</v>
      </c>
      <c r="GZ69" s="218" t="s">
        <v>135</v>
      </c>
      <c r="HA69" s="237"/>
      <c r="HB69" s="234"/>
      <c r="HC69" s="234"/>
      <c r="HD69" s="234"/>
      <c r="HE69" s="234">
        <f t="shared" si="659"/>
        <v>12</v>
      </c>
      <c r="HF69" s="234"/>
      <c r="HG69" s="234">
        <f>Konvention_1slave-KOslave_KO</f>
        <v>11</v>
      </c>
      <c r="HH69" s="224">
        <f>Konvention_1slave-KKslave</f>
        <v>12</v>
      </c>
      <c r="HI69" s="222">
        <f>(HA69+HB69+HC69+HD69+HE69+HF69+HG69+HH69)/3</f>
        <v>11.666666666666666</v>
      </c>
      <c r="HJ69" s="223">
        <f t="shared" si="609"/>
        <v>23.333333333333332</v>
      </c>
      <c r="HK69" s="224">
        <f t="shared" si="610"/>
        <v>35</v>
      </c>
      <c r="HL69" s="237">
        <f>HA69*POWER(KLslave,SIGN(HB69))*POWER(INslave,SIGN(HC69))*POWER(CHslave,SIGN(HD69))*POWER(FFslave,SIGN(HE69))*POWER(GEslave,SIGN(HF69))*POWER(KOslave_KO,SIGN(HG69))*POWER(KKslave,SIGN(HH69))+HB69*POWER(MUslave,SIGN(HA69))*POWER(INslave,SIGN(HC69))*POWER(CHslave,SIGN(HD69))*POWER(FFslave,SIGN(HE69))*POWER(GEslave,SIGN(HF69))*POWER(KOslave_KO,SIGN(HG69))*POWER(KKslave,SIGN(HH69))+HC69*POWER(MUslave,SIGN(HA69))*POWER(KLslave,SIGN(HB69))*POWER(CHslave,SIGN(HD69))*POWER(FFslave,SIGN(HE69))*POWER(GEslave,SIGN(HF69))*POWER(KOslave_KO,SIGN(HG69))*POWER(KKslave,SIGN(HH69))+HD69*POWER(MUslave,SIGN(HA69))*POWER(KLslave,SIGN(HB69))*POWER(INslave,SIGN(HC69))*POWER(FFslave,SIGN(HE69))*POWER(GEslave,SIGN(HF69))*POWER(KOslave_KO,SIGN(HG69))*POWER(KKslave,SIGN(HH69))+HE69*POWER(MUslave,SIGN(HA69))*POWER(KLslave,SIGN(HB69))*POWER(INslave,SIGN(HC69))*POWER(CHslave,SIGN(HD69))*POWER(GEslave,SIGN(HF69))*POWER(KOslave_KO,SIGN(HG69))*POWER(KKslave,SIGN(HH69))+HF69*POWER(MUslave,SIGN(HA69))*POWER(KLslave,SIGN(HB69))*POWER(INslave,SIGN(HC69))*POWER(CHslave,SIGN(HD69))*POWER(FFslave,SIGN(HE69))*POWER(KOslave_KO,SIGN(HG69))*POWER(KKslave,SIGN(HH69))+HG69*POWER(MUslave,SIGN(HA69))*POWER(KLslave,SIGN(HB69))*POWER(INslave,SIGN(HC69))*POWER(CHslave,SIGN(HD69))*POWER(FFslave,SIGN(HE69))*POWER(GEslave,SIGN(HF69))*POWER(KKslave,SIGN(HH69))+HH69*POWER(MUslave,SIGN(HA69))*POWER(KLslave,SIGN(HB69))*POWER(INslave,SIGN(HC69))*POWER(CHslave,SIGN(HD69))*POWER(FFslave,SIGN(HE69))*POWER(GEslave,SIGN(HF69))*POWER(KOslave_KO,SIGN(HG69))</f>
        <v>2432</v>
      </c>
      <c r="HM69" s="234">
        <f>HE69*HG69*KKslave+HE69*KOslave_KO*HH69+FFslave*HG69*HH69</f>
        <v>3408</v>
      </c>
      <c r="HN69" s="224">
        <f>IFERROR(HA69^SIGN(HA69),1)*IFERROR(HB69^SIGN(HB69),1)*IFERROR(HC69^SIGN(HC69),1)*IFERROR(HD69^SIGN(HD69),1)*IFERROR(HE69^SIGN(HE69),1)*IFERROR(HF69^SIGN(HF69),1)*IFERROR(HG69^SIGN(HG69),1)*IFERROR(HH69^SIGN(HH69),1)</f>
        <v>1584</v>
      </c>
      <c r="HO69" s="242">
        <f t="shared" si="641"/>
        <v>7424</v>
      </c>
      <c r="HP69" s="222">
        <f t="shared" si="613"/>
        <v>3.8218390804597702</v>
      </c>
      <c r="HQ69" s="223">
        <f t="shared" si="614"/>
        <v>10.711206896551724</v>
      </c>
      <c r="HR69" s="243">
        <f t="shared" si="615"/>
        <v>7.4676724137931032</v>
      </c>
      <c r="HS69" s="218">
        <f t="shared" si="616"/>
        <v>22.000718390804597</v>
      </c>
      <c r="HT69" s="252">
        <f t="shared" si="617"/>
        <v>0</v>
      </c>
      <c r="HU69" s="309">
        <f t="shared" si="618"/>
        <v>22.000718390804597</v>
      </c>
      <c r="HV69" s="218">
        <f>IF(HS69&gt;0,HS69,0)*3+IF(HS69&gt;12,HS69-12,0)*3+IF(HS69&gt;13,HS69-13,0)*3+IF(HS69&gt;14,HS69-14,0)*3+IF(HS69&gt;15,HS69-15,0)*3+IF(HS69&gt;16,HS69-16,0)*3+IF(HS69&gt;17,HS69-17,0)*3+IF(HS69&gt;18,HS69-18,0)*3+IF(HS69&gt;19,HS69-19,0)*3+IF(HS69&gt;20,HS69-20,0)*3</f>
        <v>228.02155172413785</v>
      </c>
      <c r="HW69" s="242">
        <f>IF(HT69&gt;0,HT69,0)*3+IF(HT69&gt;12,HT69-12,0)*3+IF(HT69&gt;13,HT69-13,0)*3+IF(HT69&gt;14,HT69-14,0)*3+IF(HT69&gt;15,HT69-15,0)*3+IF(HT69&gt;16,HT69-16,0)*3+IF(HT69&gt;17,HT69-17,0)*3+IF(HT69&gt;18,HT69-18,0)*3+IF(HT69&gt;19,HT69-19,0)*3+IF(HT69&gt;20,HT69-20,0)*3</f>
        <v>0</v>
      </c>
      <c r="HX69" s="243">
        <f t="shared" si="619"/>
        <v>228.02155172413785</v>
      </c>
      <c r="HY69" s="218">
        <f t="shared" si="620"/>
        <v>0</v>
      </c>
      <c r="IA69" s="303" t="s">
        <v>60</v>
      </c>
      <c r="IB69" s="243" t="s">
        <v>104</v>
      </c>
      <c r="IC69" s="218" t="s">
        <v>135</v>
      </c>
      <c r="ID69" s="237"/>
      <c r="IE69" s="234"/>
      <c r="IF69" s="234"/>
      <c r="IG69" s="234"/>
      <c r="IH69" s="234">
        <f t="shared" si="660"/>
        <v>12</v>
      </c>
      <c r="II69" s="234"/>
      <c r="IJ69" s="234">
        <f>Konvention_1slave-KOslave</f>
        <v>12</v>
      </c>
      <c r="IK69" s="224">
        <f>Konvention_1slave-KKslave_KK</f>
        <v>11</v>
      </c>
      <c r="IL69" s="222">
        <f>(ID69+IE69+IF69+IG69+IH69+II69+IJ69+IK69)/3</f>
        <v>11.666666666666666</v>
      </c>
      <c r="IM69" s="223">
        <f t="shared" si="622"/>
        <v>23.333333333333332</v>
      </c>
      <c r="IN69" s="224">
        <f t="shared" si="623"/>
        <v>35</v>
      </c>
      <c r="IO69" s="237">
        <f>ID69*POWER(KLslave,SIGN(IE69))*POWER(INslave,SIGN(IF69))*POWER(CHslave,SIGN(IG69))*POWER(FFslave,SIGN(IH69))*POWER(GEslave,SIGN(II69))*POWER(KOslave,SIGN(IJ69))*POWER(KKslave_KK,SIGN(IK69))+IE69*POWER(MUslave,SIGN(ID69))*POWER(INslave,SIGN(IF69))*POWER(CHslave,SIGN(IG69))*POWER(FFslave,SIGN(IH69))*POWER(GEslave,SIGN(II69))*POWER(KOslave,SIGN(IJ69))*POWER(KKslave_KK,SIGN(IK69))+IF69*POWER(MUslave,SIGN(ID69))*POWER(KLslave,SIGN(IE69))*POWER(CHslave,SIGN(IG69))*POWER(FFslave,SIGN(IH69))*POWER(GEslave,SIGN(II69))*POWER(KOslave,SIGN(IJ69))*POWER(KKslave_KK,SIGN(IK69))+IG69*POWER(MUslave,SIGN(ID69))*POWER(KLslave,SIGN(IE69))*POWER(INslave,SIGN(IF69))*POWER(FFslave,SIGN(IH69))*POWER(GEslave,SIGN(II69))*POWER(KOslave,SIGN(IJ69))*POWER(KKslave_KK,SIGN(IK69))+IH69*POWER(MUslave,SIGN(ID69))*POWER(KLslave,SIGN(IE69))*POWER(INslave,SIGN(IF69))*POWER(CHslave,SIGN(IG69))*POWER(GEslave,SIGN(II69))*POWER(KOslave,SIGN(IJ69))*POWER(KKslave_KK,SIGN(IK69))+II69*POWER(MUslave,SIGN(ID69))*POWER(KLslave,SIGN(IE69))*POWER(INslave,SIGN(IF69))*POWER(CHslave,SIGN(IG69))*POWER(FFslave,SIGN(IH69))*POWER(KOslave,SIGN(IJ69))*POWER(KKslave_KK,SIGN(IK69))+IJ69*POWER(MUslave,SIGN(ID69))*POWER(KLslave,SIGN(IE69))*POWER(INslave,SIGN(IF69))*POWER(CHslave,SIGN(IG69))*POWER(FFslave,SIGN(IH69))*POWER(GEslave,SIGN(II69))*POWER(KKslave_KK,SIGN(IK69))+IK69*POWER(MUslave,SIGN(ID69))*POWER(KLslave,SIGN(IE69))*POWER(INslave,SIGN(IF69))*POWER(CHslave,SIGN(IG69))*POWER(FFslave,SIGN(IH69))*POWER(GEslave,SIGN(II69))*POWER(KOslave,SIGN(IJ69))</f>
        <v>2432</v>
      </c>
      <c r="IP69" s="234">
        <f>IH69*IJ69*KKslave_KK+IH69*KOslave*IK69+FFslave*IJ69*IK69</f>
        <v>3408</v>
      </c>
      <c r="IQ69" s="224">
        <f>IFERROR(ID69^SIGN(ID69),1)*IFERROR(IE69^SIGN(IE69),1)*IFERROR(IF69^SIGN(IF69),1)*IFERROR(IG69^SIGN(IG69),1)*IFERROR(IH69^SIGN(IH69),1)*IFERROR(II69^SIGN(II69),1)*IFERROR(IJ69^SIGN(IJ69),1)*IFERROR(IK69^SIGN(IK69),1)</f>
        <v>1584</v>
      </c>
      <c r="IR69" s="242">
        <f t="shared" si="642"/>
        <v>7424</v>
      </c>
      <c r="IS69" s="222">
        <f t="shared" si="626"/>
        <v>3.8218390804597702</v>
      </c>
      <c r="IT69" s="223">
        <f t="shared" si="627"/>
        <v>10.711206896551724</v>
      </c>
      <c r="IU69" s="243">
        <f t="shared" si="628"/>
        <v>7.4676724137931032</v>
      </c>
      <c r="IV69" s="218">
        <f t="shared" si="629"/>
        <v>22.000718390804597</v>
      </c>
      <c r="IW69" s="252">
        <f t="shared" si="630"/>
        <v>0</v>
      </c>
      <c r="IX69" s="309">
        <f t="shared" si="631"/>
        <v>22.000718390804597</v>
      </c>
      <c r="IY69" s="218">
        <f>IF(IV69&gt;0,IV69,0)*3+IF(IV69&gt;12,IV69-12,0)*3+IF(IV69&gt;13,IV69-13,0)*3+IF(IV69&gt;14,IV69-14,0)*3+IF(IV69&gt;15,IV69-15,0)*3+IF(IV69&gt;16,IV69-16,0)*3+IF(IV69&gt;17,IV69-17,0)*3+IF(IV69&gt;18,IV69-18,0)*3+IF(IV69&gt;19,IV69-19,0)*3+IF(IV69&gt;20,IV69-20,0)*3</f>
        <v>228.02155172413785</v>
      </c>
      <c r="IZ69" s="242">
        <f>IF(IW69&gt;0,IW69,0)*3+IF(IW69&gt;12,IW69-12,0)*3+IF(IW69&gt;13,IW69-13,0)*3+IF(IW69&gt;14,IW69-14,0)*3+IF(IW69&gt;15,IW69-15,0)*3+IF(IW69&gt;16,IW69-16,0)*3+IF(IW69&gt;17,IW69-17,0)*3+IF(IW69&gt;18,IW69-18,0)*3+IF(IW69&gt;19,IW69-19,0)*3+IF(IW69&gt;20,IW69-20,0)*3</f>
        <v>0</v>
      </c>
      <c r="JA69" s="243">
        <f t="shared" si="632"/>
        <v>228.02155172413785</v>
      </c>
      <c r="JB69" s="218">
        <f t="shared" si="633"/>
        <v>0</v>
      </c>
      <c r="JE69" s="148"/>
    </row>
    <row r="70" spans="1:265" hidden="1" outlineLevel="2">
      <c r="B70" s="148">
        <v>14</v>
      </c>
      <c r="C70" s="303" t="e">
        <f>VLOOKUP(AF70,Attribute!C:T,1,FALSE)</f>
        <v>#N/A</v>
      </c>
      <c r="D70" s="127" t="s">
        <v>99</v>
      </c>
      <c r="E70" s="125" t="s">
        <v>133</v>
      </c>
      <c r="F70" s="114"/>
      <c r="G70" s="113"/>
      <c r="H70" s="113"/>
      <c r="I70" s="113">
        <f>Konvention_1master-CHmaster</f>
        <v>12</v>
      </c>
      <c r="J70" s="113">
        <f t="shared" si="652"/>
        <v>12</v>
      </c>
      <c r="K70" s="113"/>
      <c r="L70" s="113">
        <f>Konvention_1master-KOmaster</f>
        <v>12</v>
      </c>
      <c r="M70" s="119"/>
      <c r="N70" s="222">
        <f>(F70+G70+H70+I70+J70+K70+L70+M70)/3</f>
        <v>12</v>
      </c>
      <c r="O70" s="223">
        <f t="shared" si="519"/>
        <v>24</v>
      </c>
      <c r="P70" s="224">
        <f t="shared" si="520"/>
        <v>36</v>
      </c>
      <c r="Q70" s="237">
        <f>F70*POWER(KLmaster,SIGN(G70))*POWER(INmaster,SIGN(H70))*POWER(CHmaster,SIGN(I70))*POWER(FFmaster,SIGN(J70))*POWER(GEmaster,SIGN(K70))*POWER(KOmaster,SIGN(L70))*POWER(KKmaster,SIGN(M70))+G70*POWER(MUmaster,SIGN(F70))*POWER(INmaster,SIGN(H70))*POWER(CHmaster,SIGN(I70))*POWER(FFmaster,SIGN(J70))*POWER(GEmaster,SIGN(K70))*POWER(KOmaster,SIGN(L70))*POWER(KKmaster,SIGN(M70))+H70*POWER(MUmaster,SIGN(F70))*POWER(KLmaster,SIGN(G70))*POWER(CHmaster,SIGN(I70))*POWER(FFmaster,SIGN(J70))*POWER(GEmaster,SIGN(K70))*POWER(KOmaster,SIGN(L70))*POWER(KKmaster,SIGN(M70))+I70*POWER(MUmaster,SIGN(F70))*POWER(KLmaster,SIGN(G70))*POWER(INmaster,SIGN(H70))*POWER(FFmaster,SIGN(J70))*POWER(GEmaster,SIGN(K70))*POWER(KOmaster,SIGN(L70))*POWER(KKmaster,SIGN(M70))+J70*POWER(MUmaster,SIGN(F70))*POWER(KLmaster,SIGN(G70))*POWER(INmaster,SIGN(H70))*POWER(CHmaster,SIGN(I70))*POWER(GEmaster,SIGN(K70))*POWER(KOmaster,SIGN(L70))*POWER(KKmaster,SIGN(M70))+K70*POWER(MUmaster,SIGN(F70))*POWER(KLmaster,SIGN(G70))*POWER(INmaster,SIGN(H70))*POWER(CHmaster,SIGN(I70))*POWER(FFmaster,SIGN(J70))*POWER(KOmaster,SIGN(L70))*POWER(KKmaster,SIGN(M70))+L70*POWER(MUmaster,SIGN(F70))*POWER(KLmaster,SIGN(G70))*POWER(INmaster,SIGN(H70))*POWER(CHmaster,SIGN(I70))*POWER(FFmaster,SIGN(J70))*POWER(GEmaster,SIGN(K70))*POWER(KKmaster,SIGN(M70))+M70*POWER(MUmaster,SIGN(F70))*POWER(KLmaster,SIGN(G70))*POWER(INmaster,SIGN(H70))*POWER(CHmaster,SIGN(I70))*POWER(FFmaster,SIGN(J70))*POWER(GEmaster,SIGN(K70))*POWER(KOmaster,SIGN(L70))</f>
        <v>2304</v>
      </c>
      <c r="R70" s="113">
        <f>I70*J70*KOmaster+I70*FFmaster*L70+CHmaster*J70*L70</f>
        <v>3456</v>
      </c>
      <c r="S70" s="224">
        <f>IFERROR(F70^SIGN(F70),1)*IFERROR(G70^SIGN(G70),1)*IFERROR(H70^SIGN(H70),1)*IFERROR(I70^SIGN(I70),1)*IFERROR(J70^SIGN(J70),1)*IFERROR(K70^SIGN(K70),1)*IFERROR(L70^SIGN(L70),1)*IFERROR(M70^SIGN(M70),1)</f>
        <v>1728</v>
      </c>
      <c r="T70" s="242">
        <f t="shared" si="634"/>
        <v>7488</v>
      </c>
      <c r="U70" s="222">
        <f t="shared" si="523"/>
        <v>3.6923076923076925</v>
      </c>
      <c r="V70" s="223">
        <f t="shared" si="524"/>
        <v>11.076923076923077</v>
      </c>
      <c r="W70" s="243">
        <f t="shared" si="525"/>
        <v>8.3076923076923084</v>
      </c>
      <c r="X70" s="218">
        <f t="shared" si="526"/>
        <v>23.07692307692308</v>
      </c>
      <c r="Y70" s="252">
        <v>0</v>
      </c>
      <c r="Z70" s="198">
        <f t="shared" si="527"/>
        <v>23.07692307692308</v>
      </c>
      <c r="AA70" s="125">
        <f>IF(X70&gt;0,X70,0)*1+IF(X70&gt;12,X70-12,0)*1+IF(X70&gt;13,X70-13,0)*1+IF(X70&gt;14,X70-14,0)*1+IF(X70&gt;15,X70-15,0)*1+IF(X70&gt;16,X70-16,0)*1+IF(X70&gt;17,X70-17,0)*1+IF(X70&gt;18,X70-18,0)*1+IF(X70&gt;19,X70-19,0)*1+IF(X70&gt;20,X70-20,0)*1</f>
        <v>86.769230769230802</v>
      </c>
      <c r="AB70" s="160">
        <f>IF(Y70&gt;0,Y70,0)*1+IF(Y70&gt;12,Y70-12,0)*1+IF(Y70&gt;13,Y70-13,0)*1+IF(Y70&gt;14,Y70-14,0)*1+IF(Y70&gt;15,Y70-15,0)*1+IF(Y70&gt;16,Y70-16,0)*1+IF(Y70&gt;17,Y70-17,0)*1+IF(Y70&gt;18,Y70-18,0)*1+IF(Y70&gt;19,Y70-19,0)*1+IF(Y70&gt;20,Y70-20,0)*1</f>
        <v>0</v>
      </c>
      <c r="AC70" s="127">
        <f t="shared" si="528"/>
        <v>86.769230769230802</v>
      </c>
      <c r="AD70" s="125">
        <f t="shared" si="529"/>
        <v>0</v>
      </c>
      <c r="AF70" s="163" t="s">
        <v>61</v>
      </c>
      <c r="AG70" s="127" t="s">
        <v>99</v>
      </c>
      <c r="AH70" s="125" t="s">
        <v>133</v>
      </c>
      <c r="AI70" s="114"/>
      <c r="AJ70" s="113"/>
      <c r="AK70" s="113"/>
      <c r="AL70" s="113">
        <f>Konvention_1slave-CHslave</f>
        <v>12</v>
      </c>
      <c r="AM70" s="113">
        <f t="shared" si="653"/>
        <v>12</v>
      </c>
      <c r="AN70" s="113"/>
      <c r="AO70" s="113">
        <f>Konvention_1slave-KOslave</f>
        <v>12</v>
      </c>
      <c r="AP70" s="119"/>
      <c r="AQ70" s="89">
        <f>(AI70+AJ70+AK70+AL70+AM70+AN70+AO70+AP70)/3</f>
        <v>12</v>
      </c>
      <c r="AR70" s="47">
        <f t="shared" si="531"/>
        <v>24</v>
      </c>
      <c r="AS70" s="119">
        <f t="shared" si="532"/>
        <v>36</v>
      </c>
      <c r="AT70" s="114">
        <f>AI70*POWER(KLslave,SIGN(AJ70))*POWER(INslave,SIGN(AK70))*POWER(CHslave,SIGN(AL70))*POWER(FFslave,SIGN(AM70))*POWER(GEslave,SIGN(AN70))*POWER(KOslave,SIGN(AO70))*POWER(KKslave,SIGN(AP70))+AJ70*POWER(MUslave_MU,SIGN(AI70))*POWER(INslave,SIGN(AK70))*POWER(CHslave,SIGN(AL70))*POWER(FFslave,SIGN(AM70))*POWER(GEslave,SIGN(AN70))*POWER(KOslave,SIGN(AO70))*POWER(KKslave,SIGN(AP70))+AK70*POWER(MUslave_MU,SIGN(AI70))*POWER(KLslave,SIGN(AJ70))*POWER(CHslave,SIGN(AL70))*POWER(FFslave,SIGN(AM70))*POWER(GEslave,SIGN(AN70))*POWER(KOslave,SIGN(AO70))*POWER(KKslave,SIGN(AP70))+AL70*POWER(MUslave_MU,SIGN(AI70))*POWER(KLslave,SIGN(AJ70))*POWER(INslave,SIGN(AK70))*POWER(FFslave,SIGN(AM70))*POWER(GEslave,SIGN(AN70))*POWER(KOslave,SIGN(AO70))*POWER(KKslave,SIGN(AP70))+AM70*POWER(MUslave_MU,SIGN(AI70))*POWER(KLslave,SIGN(AJ70))*POWER(INslave,SIGN(AK70))*POWER(CHslave,SIGN(AL70))*POWER(GEslave,SIGN(AN70))*POWER(KOslave,SIGN(AO70))*POWER(KKslave,SIGN(AP70))+AN70*POWER(MUslave_MU,SIGN(AI70))*POWER(KLslave,SIGN(AJ70))*POWER(INslave,SIGN(AK70))*POWER(CHslave,SIGN(AL70))*POWER(FFslave,SIGN(AM70))*POWER(KOslave,SIGN(AO70))*POWER(KKslave,SIGN(AP70))+AO70*POWER(MUslave_MU,SIGN(AI70))*POWER(KLslave,SIGN(AJ70))*POWER(INslave,SIGN(AK70))*POWER(CHslave,SIGN(AL70))*POWER(FFslave,SIGN(AM70))*POWER(GEslave,SIGN(AN70))*POWER(KKslave,SIGN(AP70))+AP70*POWER(MUslave_MU,SIGN(AI70))*POWER(KLslave,SIGN(AJ70))*POWER(INslave,SIGN(AK70))*POWER(CHslave,SIGN(AL70))*POWER(FFslave,SIGN(AM70))*POWER(GEslave,SIGN(AN70))*POWER(KOslave,SIGN(AO70))</f>
        <v>2304</v>
      </c>
      <c r="AU70" s="113">
        <f>AL70*AM70*KOslave+AL70*FFslave*AO70+CHslave*AM70*AO70</f>
        <v>3456</v>
      </c>
      <c r="AV70" s="119">
        <f>IFERROR(AI70^SIGN(AI70),1)*IFERROR(AJ70^SIGN(AJ70),1)*IFERROR(AK70^SIGN(AK70),1)*IFERROR(AL70^SIGN(AL70),1)*IFERROR(AM70^SIGN(AM70),1)*IFERROR(AN70^SIGN(AN70),1)*IFERROR(AO70^SIGN(AO70),1)*IFERROR(AP70^SIGN(AP70),1)</f>
        <v>1728</v>
      </c>
      <c r="AW70" s="160">
        <f t="shared" si="635"/>
        <v>7488</v>
      </c>
      <c r="AX70" s="89">
        <f t="shared" si="535"/>
        <v>3.6923076923076925</v>
      </c>
      <c r="AY70" s="47">
        <f t="shared" si="536"/>
        <v>11.076923076923077</v>
      </c>
      <c r="AZ70" s="127">
        <f t="shared" si="537"/>
        <v>8.3076923076923084</v>
      </c>
      <c r="BA70" s="125">
        <f t="shared" si="538"/>
        <v>23.07692307692308</v>
      </c>
      <c r="BB70" s="165">
        <f t="shared" si="539"/>
        <v>0</v>
      </c>
      <c r="BC70" s="198">
        <f t="shared" si="540"/>
        <v>23.07692307692308</v>
      </c>
      <c r="BD70" s="125">
        <f>IF(BA70&gt;0,BA70,0)*1+IF(BA70&gt;12,BA70-12,0)*1+IF(BA70&gt;13,BA70-13,0)*1+IF(BA70&gt;14,BA70-14,0)*1+IF(BA70&gt;15,BA70-15,0)*1+IF(BA70&gt;16,BA70-16,0)*1+IF(BA70&gt;17,BA70-17,0)*1+IF(BA70&gt;18,BA70-18,0)*1+IF(BA70&gt;19,BA70-19,0)*1+IF(BA70&gt;20,BA70-20,0)*1</f>
        <v>86.769230769230802</v>
      </c>
      <c r="BE70" s="160">
        <f>IF(BB70&gt;0,BB70,0)*1+IF(BB70&gt;12,BB70-12,0)*1+IF(BB70&gt;13,BB70-13,0)*1+IF(BB70&gt;14,BB70-14,0)*1+IF(BB70&gt;15,BB70-15,0)*1+IF(BB70&gt;16,BB70-16,0)*1+IF(BB70&gt;17,BB70-17,0)*1+IF(BB70&gt;18,BB70-18,0)*1+IF(BB70&gt;19,BB70-19,0)*1+IF(BB70&gt;20,BB70-20,0)*1</f>
        <v>0</v>
      </c>
      <c r="BF70" s="243">
        <f t="shared" si="541"/>
        <v>86.769230769230802</v>
      </c>
      <c r="BG70" s="218">
        <f t="shared" si="542"/>
        <v>0</v>
      </c>
      <c r="BI70" s="303" t="s">
        <v>61</v>
      </c>
      <c r="BJ70" s="243" t="s">
        <v>99</v>
      </c>
      <c r="BK70" s="218" t="s">
        <v>133</v>
      </c>
      <c r="BL70" s="237"/>
      <c r="BM70" s="234"/>
      <c r="BN70" s="234"/>
      <c r="BO70" s="234">
        <f>Konvention_1slave-CHslave</f>
        <v>12</v>
      </c>
      <c r="BP70" s="234">
        <f t="shared" si="654"/>
        <v>12</v>
      </c>
      <c r="BQ70" s="234"/>
      <c r="BR70" s="234">
        <f>Konvention_1slave-KOslave</f>
        <v>12</v>
      </c>
      <c r="BS70" s="224"/>
      <c r="BT70" s="222">
        <f>(BL70+BM70+BN70+BO70+BP70+BQ70+BR70+BS70)/3</f>
        <v>12</v>
      </c>
      <c r="BU70" s="223">
        <f t="shared" si="544"/>
        <v>24</v>
      </c>
      <c r="BV70" s="224">
        <f t="shared" si="545"/>
        <v>36</v>
      </c>
      <c r="BW70" s="237">
        <f>BL70*POWER(KLslave_KL,SIGN(BM70))*POWER(INslave,SIGN(BN70))*POWER(CHslave,SIGN(BO70))*POWER(FFslave,SIGN(BP70))*POWER(GEslave,SIGN(BQ70))*POWER(KOslave,SIGN(BR70))*POWER(KKslave,SIGN(BS70))+BM70*POWER(MUslave,SIGN(BL70))*POWER(INslave,SIGN(BN70))*POWER(CHslave,SIGN(BO70))*POWER(FFslave,SIGN(BP70))*POWER(GEslave,SIGN(BQ70))*POWER(KOslave,SIGN(BR70))*POWER(KKslave,SIGN(BS70))+BN70*POWER(MUslave,SIGN(BL70))*POWER(KLslave_KL,SIGN(BM70))*POWER(CHslave,SIGN(BO70))*POWER(FFslave,SIGN(BP70))*POWER(GEslave,SIGN(BQ70))*POWER(KOslave,SIGN(BR70))*POWER(KKslave,SIGN(BS70))+BO70*POWER(MUslave,SIGN(BL70))*POWER(KLslave_KL,SIGN(BM70))*POWER(INslave,SIGN(BN70))*POWER(FFslave,SIGN(BP70))*POWER(GEslave,SIGN(BQ70))*POWER(KOslave,SIGN(BR70))*POWER(KKslave,SIGN(BS70))+BP70*POWER(MUslave,SIGN(BL70))*POWER(KLslave_KL,SIGN(BM70))*POWER(INslave,SIGN(BN70))*POWER(CHslave,SIGN(BO70))*POWER(GEslave,SIGN(BQ70))*POWER(KOslave,SIGN(BR70))*POWER(KKslave,SIGN(BS70))+BQ70*POWER(MUslave,SIGN(BL70))*POWER(KLslave_KL,SIGN(BM70))*POWER(INslave,SIGN(BN70))*POWER(CHslave,SIGN(BO70))*POWER(FFslave,SIGN(BP70))*POWER(KOslave,SIGN(BR70))*POWER(KKslave,SIGN(BS70))+BR70*POWER(MUslave,SIGN(BL70))*POWER(KLslave_KL,SIGN(BM70))*POWER(INslave,SIGN(BN70))*POWER(CHslave,SIGN(BO70))*POWER(FFslave,SIGN(BP70))*POWER(GEslave,SIGN(BQ70))*POWER(KKslave,SIGN(BS70))+BS70*POWER(MUslave,SIGN(BL70))*POWER(KLslave_KL,SIGN(BM70))*POWER(INslave,SIGN(BN70))*POWER(CHslave,SIGN(BO70))*POWER(FFslave,SIGN(BP70))*POWER(GEslave,SIGN(BQ70))*POWER(KOslave,SIGN(BR70))</f>
        <v>2304</v>
      </c>
      <c r="BX70" s="234">
        <f>BO70*BP70*KOslave+BO70*FFslave*BR70+CHslave*BP70*BR70</f>
        <v>3456</v>
      </c>
      <c r="BY70" s="224">
        <f>IFERROR(BL70^SIGN(BL70),1)*IFERROR(BM70^SIGN(BM70),1)*IFERROR(BN70^SIGN(BN70),1)*IFERROR(BO70^SIGN(BO70),1)*IFERROR(BP70^SIGN(BP70),1)*IFERROR(BQ70^SIGN(BQ70),1)*IFERROR(BR70^SIGN(BR70),1)*IFERROR(BS70^SIGN(BS70),1)</f>
        <v>1728</v>
      </c>
      <c r="BZ70" s="242">
        <f t="shared" si="636"/>
        <v>7488</v>
      </c>
      <c r="CA70" s="222">
        <f t="shared" si="548"/>
        <v>3.6923076923076925</v>
      </c>
      <c r="CB70" s="223">
        <f t="shared" si="549"/>
        <v>11.076923076923077</v>
      </c>
      <c r="CC70" s="243">
        <f t="shared" si="550"/>
        <v>8.3076923076923084</v>
      </c>
      <c r="CD70" s="218">
        <f t="shared" si="551"/>
        <v>23.07692307692308</v>
      </c>
      <c r="CE70" s="252">
        <f t="shared" si="552"/>
        <v>0</v>
      </c>
      <c r="CF70" s="309">
        <f t="shared" si="553"/>
        <v>23.07692307692308</v>
      </c>
      <c r="CG70" s="218">
        <f>IF(CD70&gt;0,CD70,0)*1+IF(CD70&gt;12,CD70-12,0)*1+IF(CD70&gt;13,CD70-13,0)*1+IF(CD70&gt;14,CD70-14,0)*1+IF(CD70&gt;15,CD70-15,0)*1+IF(CD70&gt;16,CD70-16,0)*1+IF(CD70&gt;17,CD70-17,0)*1+IF(CD70&gt;18,CD70-18,0)*1+IF(CD70&gt;19,CD70-19,0)*1+IF(CD70&gt;20,CD70-20,0)*1</f>
        <v>86.769230769230802</v>
      </c>
      <c r="CH70" s="242">
        <f>IF(CE70&gt;0,CE70,0)*1+IF(CE70&gt;12,CE70-12,0)*1+IF(CE70&gt;13,CE70-13,0)*1+IF(CE70&gt;14,CE70-14,0)*1+IF(CE70&gt;15,CE70-15,0)*1+IF(CE70&gt;16,CE70-16,0)*1+IF(CE70&gt;17,CE70-17,0)*1+IF(CE70&gt;18,CE70-18,0)*1+IF(CE70&gt;19,CE70-19,0)*1+IF(CE70&gt;20,CE70-20,0)*1</f>
        <v>0</v>
      </c>
      <c r="CI70" s="243">
        <f t="shared" si="554"/>
        <v>86.769230769230802</v>
      </c>
      <c r="CJ70" s="218">
        <f t="shared" si="555"/>
        <v>0</v>
      </c>
      <c r="CL70" s="303" t="s">
        <v>61</v>
      </c>
      <c r="CM70" s="243" t="s">
        <v>99</v>
      </c>
      <c r="CN70" s="218" t="s">
        <v>133</v>
      </c>
      <c r="CO70" s="237"/>
      <c r="CP70" s="234"/>
      <c r="CQ70" s="234"/>
      <c r="CR70" s="234">
        <f>Konvention_1slave-CHslave</f>
        <v>12</v>
      </c>
      <c r="CS70" s="234">
        <f t="shared" si="655"/>
        <v>12</v>
      </c>
      <c r="CT70" s="234"/>
      <c r="CU70" s="234">
        <f>Konvention_1slave-KOslave</f>
        <v>12</v>
      </c>
      <c r="CV70" s="224"/>
      <c r="CW70" s="222">
        <f>(CO70+CP70+CQ70+CR70+CS70+CT70+CU70+CV70)/3</f>
        <v>12</v>
      </c>
      <c r="CX70" s="223">
        <f t="shared" si="557"/>
        <v>24</v>
      </c>
      <c r="CY70" s="224">
        <f t="shared" si="558"/>
        <v>36</v>
      </c>
      <c r="CZ70" s="237">
        <f>CO70*POWER(KLslave,SIGN(CP70))*POWER(INslave_IN,SIGN(CQ70))*POWER(CHslave,SIGN(CR70))*POWER(FFslave,SIGN(CS70))*POWER(GEslave,SIGN(CT70))*POWER(KOslave,SIGN(CU70))*POWER(KKslave,SIGN(CV70))+CP70*POWER(MUslave,SIGN(CO70))*POWER(INslave_IN,SIGN(CQ70))*POWER(CHslave,SIGN(CR70))*POWER(FFslave,SIGN(CS70))*POWER(GEslave,SIGN(CT70))*POWER(KOslave,SIGN(CU70))*POWER(KKslave,SIGN(CV70))+CQ70*POWER(MUslave,SIGN(CO70))*POWER(KLslave,SIGN(CP70))*POWER(CHslave,SIGN(CR70))*POWER(FFslave,SIGN(CS70))*POWER(GEslave,SIGN(CT70))*POWER(KOslave,SIGN(CU70))*POWER(KKslave,SIGN(CV70))+CR70*POWER(MUslave,SIGN(CO70))*POWER(KLslave,SIGN(CP70))*POWER(INslave_IN,SIGN(CQ70))*POWER(FFslave,SIGN(CS70))*POWER(GEslave,SIGN(CT70))*POWER(KOslave,SIGN(CU70))*POWER(KKslave,SIGN(CV70))+CS70*POWER(MUslave,SIGN(CO70))*POWER(KLslave,SIGN(CP70))*POWER(INslave_IN,SIGN(CQ70))*POWER(CHslave,SIGN(CR70))*POWER(GEslave,SIGN(CT70))*POWER(KOslave,SIGN(CU70))*POWER(KKslave,SIGN(CV70))+CT70*POWER(MUslave,SIGN(CO70))*POWER(KLslave,SIGN(CP70))*POWER(INslave_IN,SIGN(CQ70))*POWER(CHslave,SIGN(CR70))*POWER(FFslave,SIGN(CS70))*POWER(KOslave,SIGN(CU70))*POWER(KKslave,SIGN(CV70))+CU70*POWER(MUslave,SIGN(CO70))*POWER(KLslave,SIGN(CP70))*POWER(INslave_IN,SIGN(CQ70))*POWER(CHslave,SIGN(CR70))*POWER(FFslave,SIGN(CS70))*POWER(GEslave,SIGN(CT70))*POWER(KKslave,SIGN(CV70))+CV70*POWER(MUslave,SIGN(CO70))*POWER(KLslave,SIGN(CP70))*POWER(INslave_IN,SIGN(CQ70))*POWER(CHslave,SIGN(CR70))*POWER(FFslave,SIGN(CS70))*POWER(GEslave,SIGN(CT70))*POWER(KOslave,SIGN(CU70))</f>
        <v>2304</v>
      </c>
      <c r="DA70" s="234">
        <f>CR70*CS70*KOslave+CR70*FFslave*CU70+CHslave*CS70*CU70</f>
        <v>3456</v>
      </c>
      <c r="DB70" s="224">
        <f>IFERROR(CO70^SIGN(CO70),1)*IFERROR(CP70^SIGN(CP70),1)*IFERROR(CQ70^SIGN(CQ70),1)*IFERROR(CR70^SIGN(CR70),1)*IFERROR(CS70^SIGN(CS70),1)*IFERROR(CT70^SIGN(CT70),1)*IFERROR(CU70^SIGN(CU70),1)*IFERROR(CV70^SIGN(CV70),1)</f>
        <v>1728</v>
      </c>
      <c r="DC70" s="242">
        <f t="shared" si="637"/>
        <v>7488</v>
      </c>
      <c r="DD70" s="222">
        <f t="shared" si="561"/>
        <v>3.6923076923076925</v>
      </c>
      <c r="DE70" s="223">
        <f t="shared" si="562"/>
        <v>11.076923076923077</v>
      </c>
      <c r="DF70" s="243">
        <f t="shared" si="563"/>
        <v>8.3076923076923084</v>
      </c>
      <c r="DG70" s="218">
        <f t="shared" si="564"/>
        <v>23.07692307692308</v>
      </c>
      <c r="DH70" s="252">
        <f t="shared" si="565"/>
        <v>0</v>
      </c>
      <c r="DI70" s="309">
        <f t="shared" si="566"/>
        <v>23.07692307692308</v>
      </c>
      <c r="DJ70" s="218">
        <f>IF(DG70&gt;0,DG70,0)*1+IF(DG70&gt;12,DG70-12,0)*1+IF(DG70&gt;13,DG70-13,0)*1+IF(DG70&gt;14,DG70-14,0)*1+IF(DG70&gt;15,DG70-15,0)*1+IF(DG70&gt;16,DG70-16,0)*1+IF(DG70&gt;17,DG70-17,0)*1+IF(DG70&gt;18,DG70-18,0)*1+IF(DG70&gt;19,DG70-19,0)*1+IF(DG70&gt;20,DG70-20,0)*1</f>
        <v>86.769230769230802</v>
      </c>
      <c r="DK70" s="242">
        <f>IF(DH70&gt;0,DH70,0)*1+IF(DH70&gt;12,DH70-12,0)*1+IF(DH70&gt;13,DH70-13,0)*1+IF(DH70&gt;14,DH70-14,0)*1+IF(DH70&gt;15,DH70-15,0)*1+IF(DH70&gt;16,DH70-16,0)*1+IF(DH70&gt;17,DH70-17,0)*1+IF(DH70&gt;18,DH70-18,0)*1+IF(DH70&gt;19,DH70-19,0)*1+IF(DH70&gt;20,DH70-20,0)*1</f>
        <v>0</v>
      </c>
      <c r="DL70" s="243">
        <f t="shared" si="567"/>
        <v>86.769230769230802</v>
      </c>
      <c r="DM70" s="218">
        <f t="shared" si="568"/>
        <v>0</v>
      </c>
      <c r="DO70" s="303" t="s">
        <v>61</v>
      </c>
      <c r="DP70" s="243" t="s">
        <v>99</v>
      </c>
      <c r="DQ70" s="218" t="s">
        <v>133</v>
      </c>
      <c r="DR70" s="237"/>
      <c r="DS70" s="234"/>
      <c r="DT70" s="234"/>
      <c r="DU70" s="234">
        <f>Konvention_1slave-CHslave_CH</f>
        <v>11</v>
      </c>
      <c r="DV70" s="234">
        <f t="shared" si="656"/>
        <v>12</v>
      </c>
      <c r="DW70" s="234"/>
      <c r="DX70" s="234">
        <f>Konvention_1slave-KOslave</f>
        <v>12</v>
      </c>
      <c r="DY70" s="224"/>
      <c r="DZ70" s="222">
        <f>(DR70+DS70+DT70+DU70+DV70+DW70+DX70+DY70)/3</f>
        <v>11.666666666666666</v>
      </c>
      <c r="EA70" s="223">
        <f t="shared" si="570"/>
        <v>23.333333333333332</v>
      </c>
      <c r="EB70" s="224">
        <f t="shared" si="571"/>
        <v>35</v>
      </c>
      <c r="EC70" s="237">
        <f>DR70*POWER(KLslave,SIGN(DS70))*POWER(INslave,SIGN(DT70))*POWER(CHslave_CH,SIGN(DU70))*POWER(FFslave,SIGN(DV70))*POWER(GEslave,SIGN(DW70))*POWER(KOslave,SIGN(DX70))*POWER(KKslave,SIGN(DY70))+DS70*POWER(MUslave,SIGN(DR70))*POWER(INslave,SIGN(DT70))*POWER(CHslave_CH,SIGN(DU70))*POWER(FFslave,SIGN(DV70))*POWER(GEslave,SIGN(DW70))*POWER(KOslave,SIGN(DX70))*POWER(KKslave,SIGN(DY70))+DT70*POWER(MUslave,SIGN(DR70))*POWER(KLslave,SIGN(DS70))*POWER(CHslave_CH,SIGN(DU70))*POWER(FFslave,SIGN(DV70))*POWER(GEslave,SIGN(DW70))*POWER(KOslave,SIGN(DX70))*POWER(KKslave,SIGN(DY70))+DU70*POWER(MUslave,SIGN(DR70))*POWER(KLslave,SIGN(DS70))*POWER(INslave,SIGN(DT70))*POWER(FFslave,SIGN(DV70))*POWER(GEslave,SIGN(DW70))*POWER(KOslave,SIGN(DX70))*POWER(KKslave,SIGN(DY70))+DV70*POWER(MUslave,SIGN(DR70))*POWER(KLslave,SIGN(DS70))*POWER(INslave,SIGN(DT70))*POWER(CHslave_CH,SIGN(DU70))*POWER(GEslave,SIGN(DW70))*POWER(KOslave,SIGN(DX70))*POWER(KKslave,SIGN(DY70))+DW70*POWER(MUslave,SIGN(DR70))*POWER(KLslave,SIGN(DS70))*POWER(INslave,SIGN(DT70))*POWER(CHslave_CH,SIGN(DU70))*POWER(FFslave,SIGN(DV70))*POWER(KOslave,SIGN(DX70))*POWER(KKslave,SIGN(DY70))+DX70*POWER(MUslave,SIGN(DR70))*POWER(KLslave,SIGN(DS70))*POWER(INslave,SIGN(DT70))*POWER(CHslave_CH,SIGN(DU70))*POWER(FFslave,SIGN(DV70))*POWER(GEslave,SIGN(DW70))*POWER(KKslave,SIGN(DY70))+DY70*POWER(MUslave,SIGN(DR70))*POWER(KLslave,SIGN(DS70))*POWER(INslave,SIGN(DT70))*POWER(CHslave_CH,SIGN(DU70))*POWER(FFslave,SIGN(DV70))*POWER(GEslave,SIGN(DW70))*POWER(KOslave,SIGN(DX70))</f>
        <v>2432</v>
      </c>
      <c r="ED70" s="234">
        <f>DU70*DV70*KOslave+DU70*FFslave*DX70+CHslave_CH*DV70*DX70</f>
        <v>3408</v>
      </c>
      <c r="EE70" s="224">
        <f>IFERROR(DR70^SIGN(DR70),1)*IFERROR(DS70^SIGN(DS70),1)*IFERROR(DT70^SIGN(DT70),1)*IFERROR(DU70^SIGN(DU70),1)*IFERROR(DV70^SIGN(DV70),1)*IFERROR(DW70^SIGN(DW70),1)*IFERROR(DX70^SIGN(DX70),1)*IFERROR(DY70^SIGN(DY70),1)</f>
        <v>1584</v>
      </c>
      <c r="EF70" s="242">
        <f t="shared" si="638"/>
        <v>7424</v>
      </c>
      <c r="EG70" s="222">
        <f t="shared" si="574"/>
        <v>3.8218390804597702</v>
      </c>
      <c r="EH70" s="223">
        <f t="shared" si="575"/>
        <v>10.711206896551724</v>
      </c>
      <c r="EI70" s="243">
        <f t="shared" si="576"/>
        <v>7.4676724137931032</v>
      </c>
      <c r="EJ70" s="218">
        <f t="shared" si="577"/>
        <v>22.000718390804597</v>
      </c>
      <c r="EK70" s="252">
        <f t="shared" si="578"/>
        <v>0</v>
      </c>
      <c r="EL70" s="309">
        <f t="shared" si="579"/>
        <v>22.000718390804597</v>
      </c>
      <c r="EM70" s="218">
        <f>IF(EJ70&gt;0,EJ70,0)*1+IF(EJ70&gt;12,EJ70-12,0)*1+IF(EJ70&gt;13,EJ70-13,0)*1+IF(EJ70&gt;14,EJ70-14,0)*1+IF(EJ70&gt;15,EJ70-15,0)*1+IF(EJ70&gt;16,EJ70-16,0)*1+IF(EJ70&gt;17,EJ70-17,0)*1+IF(EJ70&gt;18,EJ70-18,0)*1+IF(EJ70&gt;19,EJ70-19,0)*1+IF(EJ70&gt;20,EJ70-20,0)*1</f>
        <v>76.007183908045945</v>
      </c>
      <c r="EN70" s="242">
        <f>IF(EK70&gt;0,EK70,0)*1+IF(EK70&gt;12,EK70-12,0)*1+IF(EK70&gt;13,EK70-13,0)*1+IF(EK70&gt;14,EK70-14,0)*1+IF(EK70&gt;15,EK70-15,0)*1+IF(EK70&gt;16,EK70-16,0)*1+IF(EK70&gt;17,EK70-17,0)*1+IF(EK70&gt;18,EK70-18,0)*1+IF(EK70&gt;19,EK70-19,0)*1+IF(EK70&gt;20,EK70-20,0)*1</f>
        <v>0</v>
      </c>
      <c r="EO70" s="243">
        <f t="shared" si="580"/>
        <v>76.007183908045945</v>
      </c>
      <c r="EP70" s="218">
        <f t="shared" si="581"/>
        <v>0</v>
      </c>
      <c r="ER70" s="303" t="s">
        <v>61</v>
      </c>
      <c r="ES70" s="243" t="s">
        <v>99</v>
      </c>
      <c r="ET70" s="218" t="s">
        <v>133</v>
      </c>
      <c r="EU70" s="237"/>
      <c r="EV70" s="234"/>
      <c r="EW70" s="234"/>
      <c r="EX70" s="234">
        <f>Konvention_1slave-CHslave</f>
        <v>12</v>
      </c>
      <c r="EY70" s="234">
        <f t="shared" si="657"/>
        <v>11</v>
      </c>
      <c r="EZ70" s="234"/>
      <c r="FA70" s="234">
        <f>Konvention_1slave-KOslave</f>
        <v>12</v>
      </c>
      <c r="FB70" s="224"/>
      <c r="FC70" s="222">
        <f>(EU70+EV70+EW70+EX70+EY70+EZ70+FA70+FB70)/3</f>
        <v>11.666666666666666</v>
      </c>
      <c r="FD70" s="223">
        <f t="shared" si="583"/>
        <v>23.333333333333332</v>
      </c>
      <c r="FE70" s="224">
        <f t="shared" si="584"/>
        <v>35</v>
      </c>
      <c r="FF70" s="237">
        <f>EU70*POWER(KLslave,SIGN(EV70))*POWER(INslave,SIGN(EW70))*POWER(CHslave,SIGN(EX70))*POWER(FFslave_FF,SIGN(EY70))*POWER(GEslave,SIGN(EZ70))*POWER(KOslave,SIGN(FA70))*POWER(KKslave,SIGN(FB70))+EV70*POWER(MUslave,SIGN(EU70))*POWER(INslave,SIGN(EW70))*POWER(CHslave,SIGN(EX70))*POWER(FFslave_FF,SIGN(EY70))*POWER(GEslave,SIGN(EZ70))*POWER(KOslave,SIGN(FA70))*POWER(KKslave,SIGN(FB70))+EW70*POWER(MUslave,SIGN(EU70))*POWER(KLslave,SIGN(EV70))*POWER(CHslave,SIGN(EX70))*POWER(FFslave_FF,SIGN(EY70))*POWER(GEslave,SIGN(EZ70))*POWER(KOslave,SIGN(FA70))*POWER(KKslave,SIGN(FB70))+EX70*POWER(MUslave,SIGN(EU70))*POWER(KLslave,SIGN(EV70))*POWER(INslave,SIGN(EW70))*POWER(FFslave_FF,SIGN(EY70))*POWER(GEslave,SIGN(EZ70))*POWER(KOslave,SIGN(FA70))*POWER(KKslave,SIGN(FB70))+EY70*POWER(MUslave,SIGN(EU70))*POWER(KLslave,SIGN(EV70))*POWER(INslave,SIGN(EW70))*POWER(CHslave,SIGN(EX70))*POWER(GEslave,SIGN(EZ70))*POWER(KOslave,SIGN(FA70))*POWER(KKslave,SIGN(FB70))+EZ70*POWER(MUslave,SIGN(EU70))*POWER(KLslave,SIGN(EV70))*POWER(INslave,SIGN(EW70))*POWER(CHslave,SIGN(EX70))*POWER(FFslave_FF,SIGN(EY70))*POWER(KOslave,SIGN(FA70))*POWER(KKslave,SIGN(FB70))+FA70*POWER(MUslave,SIGN(EU70))*POWER(KLslave,SIGN(EV70))*POWER(INslave,SIGN(EW70))*POWER(CHslave,SIGN(EX70))*POWER(FFslave_FF,SIGN(EY70))*POWER(GEslave,SIGN(EZ70))*POWER(KKslave,SIGN(FB70))+FB70*POWER(MUslave,SIGN(EU70))*POWER(KLslave,SIGN(EV70))*POWER(INslave,SIGN(EW70))*POWER(CHslave,SIGN(EX70))*POWER(FFslave_FF,SIGN(EY70))*POWER(GEslave,SIGN(EZ70))*POWER(KOslave,SIGN(FA70))</f>
        <v>2432</v>
      </c>
      <c r="FG70" s="234">
        <f>EX70*EY70*KOslave+EX70*FFslave_FF*FA70+CHslave*EY70*FA70</f>
        <v>3408</v>
      </c>
      <c r="FH70" s="224">
        <f>IFERROR(EU70^SIGN(EU70),1)*IFERROR(EV70^SIGN(EV70),1)*IFERROR(EW70^SIGN(EW70),1)*IFERROR(EX70^SIGN(EX70),1)*IFERROR(EY70^SIGN(EY70),1)*IFERROR(EZ70^SIGN(EZ70),1)*IFERROR(FA70^SIGN(FA70),1)*IFERROR(FB70^SIGN(FB70),1)</f>
        <v>1584</v>
      </c>
      <c r="FI70" s="242">
        <f t="shared" si="639"/>
        <v>7424</v>
      </c>
      <c r="FJ70" s="222">
        <f t="shared" si="587"/>
        <v>3.8218390804597702</v>
      </c>
      <c r="FK70" s="223">
        <f t="shared" si="588"/>
        <v>10.711206896551724</v>
      </c>
      <c r="FL70" s="243">
        <f t="shared" si="589"/>
        <v>7.4676724137931032</v>
      </c>
      <c r="FM70" s="218">
        <f t="shared" si="590"/>
        <v>22.000718390804597</v>
      </c>
      <c r="FN70" s="252">
        <f t="shared" si="591"/>
        <v>0</v>
      </c>
      <c r="FO70" s="309">
        <f t="shared" si="592"/>
        <v>22.000718390804597</v>
      </c>
      <c r="FP70" s="218">
        <f>IF(FM70&gt;0,FM70,0)*1+IF(FM70&gt;12,FM70-12,0)*1+IF(FM70&gt;13,FM70-13,0)*1+IF(FM70&gt;14,FM70-14,0)*1+IF(FM70&gt;15,FM70-15,0)*1+IF(FM70&gt;16,FM70-16,0)*1+IF(FM70&gt;17,FM70-17,0)*1+IF(FM70&gt;18,FM70-18,0)*1+IF(FM70&gt;19,FM70-19,0)*1+IF(FM70&gt;20,FM70-20,0)*1</f>
        <v>76.007183908045945</v>
      </c>
      <c r="FQ70" s="242">
        <f>IF(FN70&gt;0,FN70,0)*1+IF(FN70&gt;12,FN70-12,0)*1+IF(FN70&gt;13,FN70-13,0)*1+IF(FN70&gt;14,FN70-14,0)*1+IF(FN70&gt;15,FN70-15,0)*1+IF(FN70&gt;16,FN70-16,0)*1+IF(FN70&gt;17,FN70-17,0)*1+IF(FN70&gt;18,FN70-18,0)*1+IF(FN70&gt;19,FN70-19,0)*1+IF(FN70&gt;20,FN70-20,0)*1</f>
        <v>0</v>
      </c>
      <c r="FR70" s="243">
        <f t="shared" si="593"/>
        <v>76.007183908045945</v>
      </c>
      <c r="FS70" s="218">
        <f t="shared" si="594"/>
        <v>0</v>
      </c>
      <c r="FU70" s="303" t="s">
        <v>61</v>
      </c>
      <c r="FV70" s="243" t="s">
        <v>99</v>
      </c>
      <c r="FW70" s="218" t="s">
        <v>133</v>
      </c>
      <c r="FX70" s="237"/>
      <c r="FY70" s="234"/>
      <c r="FZ70" s="234"/>
      <c r="GA70" s="234">
        <f>Konvention_1slave-CHslave</f>
        <v>12</v>
      </c>
      <c r="GB70" s="234">
        <f t="shared" si="658"/>
        <v>12</v>
      </c>
      <c r="GC70" s="234"/>
      <c r="GD70" s="234">
        <f>Konvention_1slave-KOslave</f>
        <v>12</v>
      </c>
      <c r="GE70" s="224"/>
      <c r="GF70" s="222">
        <f>(FX70+FY70+FZ70+GA70+GB70+GC70+GD70+GE70)/3</f>
        <v>12</v>
      </c>
      <c r="GG70" s="223">
        <f t="shared" si="596"/>
        <v>24</v>
      </c>
      <c r="GH70" s="224">
        <f t="shared" si="597"/>
        <v>36</v>
      </c>
      <c r="GI70" s="237">
        <f>FX70*POWER(KLslave,SIGN(FY70))*POWER(INslave,SIGN(FZ70))*POWER(CHslave,SIGN(GA70))*POWER(FFslave,SIGN(GB70))*POWER(GEslave_GE,SIGN(GC70))*POWER(KOslave,SIGN(GD70))*POWER(KKslave,SIGN(GE70))+FY70*POWER(MUslave,SIGN(FX70))*POWER(INslave,SIGN(FZ70))*POWER(CHslave,SIGN(GA70))*POWER(FFslave,SIGN(GB70))*POWER(GEslave_GE,SIGN(GC70))*POWER(KOslave,SIGN(GD70))*POWER(KKslave,SIGN(GE70))+FZ70*POWER(MUslave,SIGN(FX70))*POWER(KLslave,SIGN(FY70))*POWER(CHslave,SIGN(GA70))*POWER(FFslave,SIGN(GB70))*POWER(GEslave_GE,SIGN(GC70))*POWER(KOslave,SIGN(GD70))*POWER(KKslave,SIGN(GE70))+GA70*POWER(MUslave,SIGN(FX70))*POWER(KLslave,SIGN(FY70))*POWER(INslave,SIGN(FZ70))*POWER(FFslave,SIGN(GB70))*POWER(GEslave_GE,SIGN(GC70))*POWER(KOslave,SIGN(GD70))*POWER(KKslave,SIGN(GE70))+GB70*POWER(MUslave,SIGN(FX70))*POWER(KLslave,SIGN(FY70))*POWER(INslave,SIGN(FZ70))*POWER(CHslave,SIGN(GA70))*POWER(GEslave_GE,SIGN(GC70))*POWER(KOslave,SIGN(GD70))*POWER(KKslave,SIGN(GE70))+GC70*POWER(MUslave,SIGN(FX70))*POWER(KLslave,SIGN(FY70))*POWER(INslave,SIGN(FZ70))*POWER(CHslave,SIGN(GA70))*POWER(FFslave,SIGN(GB70))*POWER(KOslave,SIGN(GD70))*POWER(KKslave,SIGN(GE70))+GD70*POWER(MUslave,SIGN(FX70))*POWER(KLslave,SIGN(FY70))*POWER(INslave,SIGN(FZ70))*POWER(CHslave,SIGN(GA70))*POWER(FFslave,SIGN(GB70))*POWER(GEslave_GE,SIGN(GC70))*POWER(KKslave,SIGN(GE70))+GE70*POWER(MUslave,SIGN(FX70))*POWER(KLslave,SIGN(FY70))*POWER(INslave,SIGN(FZ70))*POWER(CHslave,SIGN(GA70))*POWER(FFslave,SIGN(GB70))*POWER(GEslave_GE,SIGN(GC70))*POWER(KOslave,SIGN(GD70))</f>
        <v>2304</v>
      </c>
      <c r="GJ70" s="234">
        <f>GA70*GB70*KOslave+GA70*FFslave*GD70+CHslave*GB70*GD70</f>
        <v>3456</v>
      </c>
      <c r="GK70" s="224">
        <f>IFERROR(FX70^SIGN(FX70),1)*IFERROR(FY70^SIGN(FY70),1)*IFERROR(FZ70^SIGN(FZ70),1)*IFERROR(GA70^SIGN(GA70),1)*IFERROR(GB70^SIGN(GB70),1)*IFERROR(GC70^SIGN(GC70),1)*IFERROR(GD70^SIGN(GD70),1)*IFERROR(GE70^SIGN(GE70),1)</f>
        <v>1728</v>
      </c>
      <c r="GL70" s="242">
        <f t="shared" si="640"/>
        <v>7488</v>
      </c>
      <c r="GM70" s="222">
        <f t="shared" si="600"/>
        <v>3.6923076923076925</v>
      </c>
      <c r="GN70" s="223">
        <f t="shared" si="601"/>
        <v>11.076923076923077</v>
      </c>
      <c r="GO70" s="243">
        <f t="shared" si="602"/>
        <v>8.3076923076923084</v>
      </c>
      <c r="GP70" s="218">
        <f t="shared" si="603"/>
        <v>23.07692307692308</v>
      </c>
      <c r="GQ70" s="252">
        <f t="shared" si="604"/>
        <v>0</v>
      </c>
      <c r="GR70" s="309">
        <f t="shared" si="605"/>
        <v>23.07692307692308</v>
      </c>
      <c r="GS70" s="218">
        <f>IF(GP70&gt;0,GP70,0)*1+IF(GP70&gt;12,GP70-12,0)*1+IF(GP70&gt;13,GP70-13,0)*1+IF(GP70&gt;14,GP70-14,0)*1+IF(GP70&gt;15,GP70-15,0)*1+IF(GP70&gt;16,GP70-16,0)*1+IF(GP70&gt;17,GP70-17,0)*1+IF(GP70&gt;18,GP70-18,0)*1+IF(GP70&gt;19,GP70-19,0)*1+IF(GP70&gt;20,GP70-20,0)*1</f>
        <v>86.769230769230802</v>
      </c>
      <c r="GT70" s="242">
        <f>IF(GQ70&gt;0,GQ70,0)*1+IF(GQ70&gt;12,GQ70-12,0)*1+IF(GQ70&gt;13,GQ70-13,0)*1+IF(GQ70&gt;14,GQ70-14,0)*1+IF(GQ70&gt;15,GQ70-15,0)*1+IF(GQ70&gt;16,GQ70-16,0)*1+IF(GQ70&gt;17,GQ70-17,0)*1+IF(GQ70&gt;18,GQ70-18,0)*1+IF(GQ70&gt;19,GQ70-19,0)*1+IF(GQ70&gt;20,GQ70-20,0)*1</f>
        <v>0</v>
      </c>
      <c r="GU70" s="243">
        <f t="shared" si="606"/>
        <v>86.769230769230802</v>
      </c>
      <c r="GV70" s="218">
        <f t="shared" si="607"/>
        <v>0</v>
      </c>
      <c r="GX70" s="303" t="s">
        <v>61</v>
      </c>
      <c r="GY70" s="243" t="s">
        <v>99</v>
      </c>
      <c r="GZ70" s="218" t="s">
        <v>133</v>
      </c>
      <c r="HA70" s="237"/>
      <c r="HB70" s="234"/>
      <c r="HC70" s="234"/>
      <c r="HD70" s="234">
        <f>Konvention_1slave-CHslave</f>
        <v>12</v>
      </c>
      <c r="HE70" s="234">
        <f t="shared" si="659"/>
        <v>12</v>
      </c>
      <c r="HF70" s="234"/>
      <c r="HG70" s="234">
        <f>Konvention_1slave-KOslave_KO</f>
        <v>11</v>
      </c>
      <c r="HH70" s="224"/>
      <c r="HI70" s="222">
        <f>(HA70+HB70+HC70+HD70+HE70+HF70+HG70+HH70)/3</f>
        <v>11.666666666666666</v>
      </c>
      <c r="HJ70" s="223">
        <f t="shared" si="609"/>
        <v>23.333333333333332</v>
      </c>
      <c r="HK70" s="224">
        <f t="shared" si="610"/>
        <v>35</v>
      </c>
      <c r="HL70" s="237">
        <f>HA70*POWER(KLslave,SIGN(HB70))*POWER(INslave,SIGN(HC70))*POWER(CHslave,SIGN(HD70))*POWER(FFslave,SIGN(HE70))*POWER(GEslave,SIGN(HF70))*POWER(KOslave_KO,SIGN(HG70))*POWER(KKslave,SIGN(HH70))+HB70*POWER(MUslave,SIGN(HA70))*POWER(INslave,SIGN(HC70))*POWER(CHslave,SIGN(HD70))*POWER(FFslave,SIGN(HE70))*POWER(GEslave,SIGN(HF70))*POWER(KOslave_KO,SIGN(HG70))*POWER(KKslave,SIGN(HH70))+HC70*POWER(MUslave,SIGN(HA70))*POWER(KLslave,SIGN(HB70))*POWER(CHslave,SIGN(HD70))*POWER(FFslave,SIGN(HE70))*POWER(GEslave,SIGN(HF70))*POWER(KOslave_KO,SIGN(HG70))*POWER(KKslave,SIGN(HH70))+HD70*POWER(MUslave,SIGN(HA70))*POWER(KLslave,SIGN(HB70))*POWER(INslave,SIGN(HC70))*POWER(FFslave,SIGN(HE70))*POWER(GEslave,SIGN(HF70))*POWER(KOslave_KO,SIGN(HG70))*POWER(KKslave,SIGN(HH70))+HE70*POWER(MUslave,SIGN(HA70))*POWER(KLslave,SIGN(HB70))*POWER(INslave,SIGN(HC70))*POWER(CHslave,SIGN(HD70))*POWER(GEslave,SIGN(HF70))*POWER(KOslave_KO,SIGN(HG70))*POWER(KKslave,SIGN(HH70))+HF70*POWER(MUslave,SIGN(HA70))*POWER(KLslave,SIGN(HB70))*POWER(INslave,SIGN(HC70))*POWER(CHslave,SIGN(HD70))*POWER(FFslave,SIGN(HE70))*POWER(KOslave_KO,SIGN(HG70))*POWER(KKslave,SIGN(HH70))+HG70*POWER(MUslave,SIGN(HA70))*POWER(KLslave,SIGN(HB70))*POWER(INslave,SIGN(HC70))*POWER(CHslave,SIGN(HD70))*POWER(FFslave,SIGN(HE70))*POWER(GEslave,SIGN(HF70))*POWER(KKslave,SIGN(HH70))+HH70*POWER(MUslave,SIGN(HA70))*POWER(KLslave,SIGN(HB70))*POWER(INslave,SIGN(HC70))*POWER(CHslave,SIGN(HD70))*POWER(FFslave,SIGN(HE70))*POWER(GEslave,SIGN(HF70))*POWER(KOslave_KO,SIGN(HG70))</f>
        <v>2432</v>
      </c>
      <c r="HM70" s="234">
        <f>HD70*HE70*KOslave_KO+HD70*FFslave*HG70+CHslave*HE70*HG70</f>
        <v>3408</v>
      </c>
      <c r="HN70" s="224">
        <f>IFERROR(HA70^SIGN(HA70),1)*IFERROR(HB70^SIGN(HB70),1)*IFERROR(HC70^SIGN(HC70),1)*IFERROR(HD70^SIGN(HD70),1)*IFERROR(HE70^SIGN(HE70),1)*IFERROR(HF70^SIGN(HF70),1)*IFERROR(HG70^SIGN(HG70),1)*IFERROR(HH70^SIGN(HH70),1)</f>
        <v>1584</v>
      </c>
      <c r="HO70" s="242">
        <f t="shared" si="641"/>
        <v>7424</v>
      </c>
      <c r="HP70" s="222">
        <f t="shared" si="613"/>
        <v>3.8218390804597702</v>
      </c>
      <c r="HQ70" s="223">
        <f t="shared" si="614"/>
        <v>10.711206896551724</v>
      </c>
      <c r="HR70" s="243">
        <f t="shared" si="615"/>
        <v>7.4676724137931032</v>
      </c>
      <c r="HS70" s="218">
        <f t="shared" si="616"/>
        <v>22.000718390804597</v>
      </c>
      <c r="HT70" s="252">
        <f t="shared" si="617"/>
        <v>0</v>
      </c>
      <c r="HU70" s="309">
        <f t="shared" si="618"/>
        <v>22.000718390804597</v>
      </c>
      <c r="HV70" s="218">
        <f>IF(HS70&gt;0,HS70,0)*1+IF(HS70&gt;12,HS70-12,0)*1+IF(HS70&gt;13,HS70-13,0)*1+IF(HS70&gt;14,HS70-14,0)*1+IF(HS70&gt;15,HS70-15,0)*1+IF(HS70&gt;16,HS70-16,0)*1+IF(HS70&gt;17,HS70-17,0)*1+IF(HS70&gt;18,HS70-18,0)*1+IF(HS70&gt;19,HS70-19,0)*1+IF(HS70&gt;20,HS70-20,0)*1</f>
        <v>76.007183908045945</v>
      </c>
      <c r="HW70" s="242">
        <f>IF(HT70&gt;0,HT70,0)*1+IF(HT70&gt;12,HT70-12,0)*1+IF(HT70&gt;13,HT70-13,0)*1+IF(HT70&gt;14,HT70-14,0)*1+IF(HT70&gt;15,HT70-15,0)*1+IF(HT70&gt;16,HT70-16,0)*1+IF(HT70&gt;17,HT70-17,0)*1+IF(HT70&gt;18,HT70-18,0)*1+IF(HT70&gt;19,HT70-19,0)*1+IF(HT70&gt;20,HT70-20,0)*1</f>
        <v>0</v>
      </c>
      <c r="HX70" s="243">
        <f t="shared" si="619"/>
        <v>76.007183908045945</v>
      </c>
      <c r="HY70" s="218">
        <f t="shared" si="620"/>
        <v>0</v>
      </c>
      <c r="IA70" s="303" t="s">
        <v>61</v>
      </c>
      <c r="IB70" s="243" t="s">
        <v>99</v>
      </c>
      <c r="IC70" s="218" t="s">
        <v>133</v>
      </c>
      <c r="ID70" s="237"/>
      <c r="IE70" s="234"/>
      <c r="IF70" s="234"/>
      <c r="IG70" s="234">
        <f>Konvention_1slave-CHslave</f>
        <v>12</v>
      </c>
      <c r="IH70" s="234">
        <f t="shared" si="660"/>
        <v>12</v>
      </c>
      <c r="II70" s="234"/>
      <c r="IJ70" s="234">
        <f>Konvention_1slave-KOslave</f>
        <v>12</v>
      </c>
      <c r="IK70" s="224"/>
      <c r="IL70" s="222">
        <f>(ID70+IE70+IF70+IG70+IH70+II70+IJ70+IK70)/3</f>
        <v>12</v>
      </c>
      <c r="IM70" s="223">
        <f t="shared" si="622"/>
        <v>24</v>
      </c>
      <c r="IN70" s="224">
        <f t="shared" si="623"/>
        <v>36</v>
      </c>
      <c r="IO70" s="237">
        <f>ID70*POWER(KLslave,SIGN(IE70))*POWER(INslave,SIGN(IF70))*POWER(CHslave,SIGN(IG70))*POWER(FFslave,SIGN(IH70))*POWER(GEslave,SIGN(II70))*POWER(KOslave,SIGN(IJ70))*POWER(KKslave_KK,SIGN(IK70))+IE70*POWER(MUslave,SIGN(ID70))*POWER(INslave,SIGN(IF70))*POWER(CHslave,SIGN(IG70))*POWER(FFslave,SIGN(IH70))*POWER(GEslave,SIGN(II70))*POWER(KOslave,SIGN(IJ70))*POWER(KKslave_KK,SIGN(IK70))+IF70*POWER(MUslave,SIGN(ID70))*POWER(KLslave,SIGN(IE70))*POWER(CHslave,SIGN(IG70))*POWER(FFslave,SIGN(IH70))*POWER(GEslave,SIGN(II70))*POWER(KOslave,SIGN(IJ70))*POWER(KKslave_KK,SIGN(IK70))+IG70*POWER(MUslave,SIGN(ID70))*POWER(KLslave,SIGN(IE70))*POWER(INslave,SIGN(IF70))*POWER(FFslave,SIGN(IH70))*POWER(GEslave,SIGN(II70))*POWER(KOslave,SIGN(IJ70))*POWER(KKslave_KK,SIGN(IK70))+IH70*POWER(MUslave,SIGN(ID70))*POWER(KLslave,SIGN(IE70))*POWER(INslave,SIGN(IF70))*POWER(CHslave,SIGN(IG70))*POWER(GEslave,SIGN(II70))*POWER(KOslave,SIGN(IJ70))*POWER(KKslave_KK,SIGN(IK70))+II70*POWER(MUslave,SIGN(ID70))*POWER(KLslave,SIGN(IE70))*POWER(INslave,SIGN(IF70))*POWER(CHslave,SIGN(IG70))*POWER(FFslave,SIGN(IH70))*POWER(KOslave,SIGN(IJ70))*POWER(KKslave_KK,SIGN(IK70))+IJ70*POWER(MUslave,SIGN(ID70))*POWER(KLslave,SIGN(IE70))*POWER(INslave,SIGN(IF70))*POWER(CHslave,SIGN(IG70))*POWER(FFslave,SIGN(IH70))*POWER(GEslave,SIGN(II70))*POWER(KKslave_KK,SIGN(IK70))+IK70*POWER(MUslave,SIGN(ID70))*POWER(KLslave,SIGN(IE70))*POWER(INslave,SIGN(IF70))*POWER(CHslave,SIGN(IG70))*POWER(FFslave,SIGN(IH70))*POWER(GEslave,SIGN(II70))*POWER(KOslave,SIGN(IJ70))</f>
        <v>2304</v>
      </c>
      <c r="IP70" s="234">
        <f>IG70*IH70*KOslave+IG70*FFslave*IJ70+CHslave*IH70*IJ70</f>
        <v>3456</v>
      </c>
      <c r="IQ70" s="224">
        <f>IFERROR(ID70^SIGN(ID70),1)*IFERROR(IE70^SIGN(IE70),1)*IFERROR(IF70^SIGN(IF70),1)*IFERROR(IG70^SIGN(IG70),1)*IFERROR(IH70^SIGN(IH70),1)*IFERROR(II70^SIGN(II70),1)*IFERROR(IJ70^SIGN(IJ70),1)*IFERROR(IK70^SIGN(IK70),1)</f>
        <v>1728</v>
      </c>
      <c r="IR70" s="242">
        <f t="shared" si="642"/>
        <v>7488</v>
      </c>
      <c r="IS70" s="222">
        <f t="shared" si="626"/>
        <v>3.6923076923076925</v>
      </c>
      <c r="IT70" s="223">
        <f t="shared" si="627"/>
        <v>11.076923076923077</v>
      </c>
      <c r="IU70" s="243">
        <f t="shared" si="628"/>
        <v>8.3076923076923084</v>
      </c>
      <c r="IV70" s="218">
        <f t="shared" si="629"/>
        <v>23.07692307692308</v>
      </c>
      <c r="IW70" s="252">
        <f t="shared" si="630"/>
        <v>0</v>
      </c>
      <c r="IX70" s="309">
        <f t="shared" si="631"/>
        <v>23.07692307692308</v>
      </c>
      <c r="IY70" s="218">
        <f>IF(IV70&gt;0,IV70,0)*1+IF(IV70&gt;12,IV70-12,0)*1+IF(IV70&gt;13,IV70-13,0)*1+IF(IV70&gt;14,IV70-14,0)*1+IF(IV70&gt;15,IV70-15,0)*1+IF(IV70&gt;16,IV70-16,0)*1+IF(IV70&gt;17,IV70-17,0)*1+IF(IV70&gt;18,IV70-18,0)*1+IF(IV70&gt;19,IV70-19,0)*1+IF(IV70&gt;20,IV70-20,0)*1</f>
        <v>86.769230769230802</v>
      </c>
      <c r="IZ70" s="242">
        <f>IF(IW70&gt;0,IW70,0)*1+IF(IW70&gt;12,IW70-12,0)*1+IF(IW70&gt;13,IW70-13,0)*1+IF(IW70&gt;14,IW70-14,0)*1+IF(IW70&gt;15,IW70-15,0)*1+IF(IW70&gt;16,IW70-16,0)*1+IF(IW70&gt;17,IW70-17,0)*1+IF(IW70&gt;18,IW70-18,0)*1+IF(IW70&gt;19,IW70-19,0)*1+IF(IW70&gt;20,IW70-20,0)*1</f>
        <v>0</v>
      </c>
      <c r="JA70" s="243">
        <f t="shared" si="632"/>
        <v>86.769230769230802</v>
      </c>
      <c r="JB70" s="218">
        <f t="shared" si="633"/>
        <v>0</v>
      </c>
      <c r="JE70" s="148"/>
    </row>
    <row r="71" spans="1:265" hidden="1" outlineLevel="2">
      <c r="B71" s="148">
        <v>15</v>
      </c>
      <c r="C71" s="303" t="e">
        <f>VLOOKUP(AF71,Attribute!C:T,1,FALSE)</f>
        <v>#N/A</v>
      </c>
      <c r="D71" s="127" t="s">
        <v>103</v>
      </c>
      <c r="E71" s="125" t="s">
        <v>135</v>
      </c>
      <c r="F71" s="114"/>
      <c r="G71" s="113"/>
      <c r="H71" s="113">
        <f>Konvention_1master-INmaster</f>
        <v>12</v>
      </c>
      <c r="I71" s="113"/>
      <c r="J71" s="113">
        <f t="shared" si="652"/>
        <v>12</v>
      </c>
      <c r="K71" s="113"/>
      <c r="L71" s="113"/>
      <c r="M71" s="119"/>
      <c r="N71" s="222">
        <f>(H71+J71+J71)/3</f>
        <v>12</v>
      </c>
      <c r="O71" s="223">
        <f t="shared" si="519"/>
        <v>24</v>
      </c>
      <c r="P71" s="224">
        <f t="shared" si="520"/>
        <v>36</v>
      </c>
      <c r="Q71" s="237">
        <f>J71*POWER(INmaster,SIGN(H71))*POWER(FFmaster,SIGN(J71))+J71*POWER(INmaster,SIGN(H71))*POWER(FFmaster,SIGN(J71))+H71*POWER(FFmaster,SIGN(J71))*POWER(FFmaster,SIGN(J71))</f>
        <v>2304</v>
      </c>
      <c r="R71" s="113">
        <f>H71*J71*FFmaster+H71*FFmaster*J71+INmaster*J71*J71</f>
        <v>3456</v>
      </c>
      <c r="S71" s="224">
        <f>H71*J71*J71</f>
        <v>1728</v>
      </c>
      <c r="T71" s="242">
        <f t="shared" si="634"/>
        <v>7488</v>
      </c>
      <c r="U71" s="222">
        <f t="shared" si="523"/>
        <v>3.6923076923076925</v>
      </c>
      <c r="V71" s="223">
        <f t="shared" si="524"/>
        <v>11.076923076923077</v>
      </c>
      <c r="W71" s="243">
        <f t="shared" si="525"/>
        <v>8.3076923076923084</v>
      </c>
      <c r="X71" s="218">
        <f t="shared" si="526"/>
        <v>23.07692307692308</v>
      </c>
      <c r="Y71" s="252">
        <v>0</v>
      </c>
      <c r="Z71" s="198">
        <f t="shared" si="527"/>
        <v>23.07692307692308</v>
      </c>
      <c r="AA71" s="125">
        <f>IF(X71&gt;0,X71,0)*3+IF(X71&gt;12,X71-12,0)*3+IF(X71&gt;13,X71-13,0)*3+IF(X71&gt;14,X71-14,0)*3+IF(X71&gt;15,X71-15,0)*3+IF(X71&gt;16,X71-16,0)*3+IF(X71&gt;17,X71-17,0)*3+IF(X71&gt;18,X71-18,0)*3+IF(X71&gt;19,X71-19,0)*3+IF(X71&gt;20,X71-20,0)*3</f>
        <v>260.30769230769232</v>
      </c>
      <c r="AB71" s="160">
        <f>IF(Y71&gt;0,Y71,0)*3+IF(Y71&gt;12,Y71-12,0)*3+IF(Y71&gt;13,Y71-13,0)*3+IF(Y71&gt;14,Y71-14,0)*3+IF(Y71&gt;15,Y71-15,0)*3+IF(Y71&gt;16,Y71-16,0)*3+IF(Y71&gt;17,Y71-17,0)*3+IF(Y71&gt;18,Y71-18,0)*3+IF(Y71&gt;19,Y71-19,0)*3+IF(Y71&gt;20,Y71-20,0)*3</f>
        <v>0</v>
      </c>
      <c r="AC71" s="127">
        <f t="shared" si="528"/>
        <v>260.30769230769232</v>
      </c>
      <c r="AD71" s="125">
        <f t="shared" si="529"/>
        <v>0</v>
      </c>
      <c r="AF71" s="163" t="s">
        <v>62</v>
      </c>
      <c r="AG71" s="127" t="s">
        <v>103</v>
      </c>
      <c r="AH71" s="125" t="s">
        <v>135</v>
      </c>
      <c r="AI71" s="114"/>
      <c r="AJ71" s="113"/>
      <c r="AK71" s="113">
        <f>Konvention_1slave-INslave</f>
        <v>12</v>
      </c>
      <c r="AL71" s="113"/>
      <c r="AM71" s="113">
        <f t="shared" si="653"/>
        <v>12</v>
      </c>
      <c r="AN71" s="113"/>
      <c r="AO71" s="113"/>
      <c r="AP71" s="119"/>
      <c r="AQ71" s="89">
        <f>(AK71+AM71+AM71)/3</f>
        <v>12</v>
      </c>
      <c r="AR71" s="47">
        <f t="shared" si="531"/>
        <v>24</v>
      </c>
      <c r="AS71" s="119">
        <f t="shared" si="532"/>
        <v>36</v>
      </c>
      <c r="AT71" s="114">
        <f>AM71*POWER(INslave,SIGN(AK71))*POWER(FFslave,SIGN(AM71))+AM71*POWER(INslave,SIGN(AK71))*POWER(FFslave,SIGN(AM71))+AK71*POWER(FFslave,SIGN(AM71))*POWER(FFslave,SIGN(AM71))</f>
        <v>2304</v>
      </c>
      <c r="AU71" s="113">
        <f>AK71*AM71*FFslave+AK71*FFslave*AM71+INslave*AM71*AM71</f>
        <v>3456</v>
      </c>
      <c r="AV71" s="119">
        <f>AK71*AM71*AM71</f>
        <v>1728</v>
      </c>
      <c r="AW71" s="160">
        <f t="shared" si="635"/>
        <v>7488</v>
      </c>
      <c r="AX71" s="89">
        <f t="shared" si="535"/>
        <v>3.6923076923076925</v>
      </c>
      <c r="AY71" s="47">
        <f t="shared" si="536"/>
        <v>11.076923076923077</v>
      </c>
      <c r="AZ71" s="127">
        <f t="shared" si="537"/>
        <v>8.3076923076923084</v>
      </c>
      <c r="BA71" s="125">
        <f t="shared" si="538"/>
        <v>23.07692307692308</v>
      </c>
      <c r="BB71" s="165">
        <f t="shared" si="539"/>
        <v>0</v>
      </c>
      <c r="BC71" s="198">
        <f t="shared" si="540"/>
        <v>23.07692307692308</v>
      </c>
      <c r="BD71" s="125">
        <f>IF(BA71&gt;0,BA71,0)*3+IF(BA71&gt;12,BA71-12,0)*3+IF(BA71&gt;13,BA71-13,0)*3+IF(BA71&gt;14,BA71-14,0)*3+IF(BA71&gt;15,BA71-15,0)*3+IF(BA71&gt;16,BA71-16,0)*3+IF(BA71&gt;17,BA71-17,0)*3+IF(BA71&gt;18,BA71-18,0)*3+IF(BA71&gt;19,BA71-19,0)*3+IF(BA71&gt;20,BA71-20,0)*3</f>
        <v>260.30769230769232</v>
      </c>
      <c r="BE71" s="160">
        <f>IF(BB71&gt;0,BB71,0)*3+IF(BB71&gt;12,BB71-12,0)*3+IF(BB71&gt;13,BB71-13,0)*3+IF(BB71&gt;14,BB71-14,0)*3+IF(BB71&gt;15,BB71-15,0)*3+IF(BB71&gt;16,BB71-16,0)*3+IF(BB71&gt;17,BB71-17,0)*3+IF(BB71&gt;18,BB71-18,0)*3+IF(BB71&gt;19,BB71-19,0)*3+IF(BB71&gt;20,BB71-20,0)*3</f>
        <v>0</v>
      </c>
      <c r="BF71" s="243">
        <f t="shared" si="541"/>
        <v>260.30769230769232</v>
      </c>
      <c r="BG71" s="218">
        <f t="shared" si="542"/>
        <v>0</v>
      </c>
      <c r="BI71" s="303" t="s">
        <v>62</v>
      </c>
      <c r="BJ71" s="243" t="s">
        <v>103</v>
      </c>
      <c r="BK71" s="218" t="s">
        <v>135</v>
      </c>
      <c r="BL71" s="237"/>
      <c r="BM71" s="234"/>
      <c r="BN71" s="234">
        <f>Konvention_1slave-INslave</f>
        <v>12</v>
      </c>
      <c r="BO71" s="234"/>
      <c r="BP71" s="234">
        <f t="shared" si="654"/>
        <v>12</v>
      </c>
      <c r="BQ71" s="234"/>
      <c r="BR71" s="234"/>
      <c r="BS71" s="224"/>
      <c r="BT71" s="222">
        <f>(BN71+BP71+BP71)/3</f>
        <v>12</v>
      </c>
      <c r="BU71" s="223">
        <f t="shared" si="544"/>
        <v>24</v>
      </c>
      <c r="BV71" s="224">
        <f t="shared" si="545"/>
        <v>36</v>
      </c>
      <c r="BW71" s="237">
        <f>BP71*POWER(INslave,SIGN(BN71))*POWER(FFslave,SIGN(BP71))+BP71*POWER(INslave,SIGN(BN71))*POWER(FFslave,SIGN(BP71))+BN71*POWER(FFslave,SIGN(BP71))*POWER(FFslave,SIGN(BP71))</f>
        <v>2304</v>
      </c>
      <c r="BX71" s="234">
        <f>BN71*BP71*FFslave+BN71*FFslave*BP71+INslave*BP71*BP71</f>
        <v>3456</v>
      </c>
      <c r="BY71" s="224">
        <f>BN71*BP71*BP71</f>
        <v>1728</v>
      </c>
      <c r="BZ71" s="242">
        <f t="shared" si="636"/>
        <v>7488</v>
      </c>
      <c r="CA71" s="222">
        <f t="shared" si="548"/>
        <v>3.6923076923076925</v>
      </c>
      <c r="CB71" s="223">
        <f t="shared" si="549"/>
        <v>11.076923076923077</v>
      </c>
      <c r="CC71" s="243">
        <f t="shared" si="550"/>
        <v>8.3076923076923084</v>
      </c>
      <c r="CD71" s="218">
        <f t="shared" si="551"/>
        <v>23.07692307692308</v>
      </c>
      <c r="CE71" s="252">
        <f t="shared" si="552"/>
        <v>0</v>
      </c>
      <c r="CF71" s="309">
        <f t="shared" si="553"/>
        <v>23.07692307692308</v>
      </c>
      <c r="CG71" s="218">
        <f>IF(CD71&gt;0,CD71,0)*3+IF(CD71&gt;12,CD71-12,0)*3+IF(CD71&gt;13,CD71-13,0)*3+IF(CD71&gt;14,CD71-14,0)*3+IF(CD71&gt;15,CD71-15,0)*3+IF(CD71&gt;16,CD71-16,0)*3+IF(CD71&gt;17,CD71-17,0)*3+IF(CD71&gt;18,CD71-18,0)*3+IF(CD71&gt;19,CD71-19,0)*3+IF(CD71&gt;20,CD71-20,0)*3</f>
        <v>260.30769230769232</v>
      </c>
      <c r="CH71" s="242">
        <f>IF(CE71&gt;0,CE71,0)*3+IF(CE71&gt;12,CE71-12,0)*3+IF(CE71&gt;13,CE71-13,0)*3+IF(CE71&gt;14,CE71-14,0)*3+IF(CE71&gt;15,CE71-15,0)*3+IF(CE71&gt;16,CE71-16,0)*3+IF(CE71&gt;17,CE71-17,0)*3+IF(CE71&gt;18,CE71-18,0)*3+IF(CE71&gt;19,CE71-19,0)*3+IF(CE71&gt;20,CE71-20,0)*3</f>
        <v>0</v>
      </c>
      <c r="CI71" s="243">
        <f t="shared" si="554"/>
        <v>260.30769230769232</v>
      </c>
      <c r="CJ71" s="218">
        <f t="shared" si="555"/>
        <v>0</v>
      </c>
      <c r="CL71" s="303" t="s">
        <v>62</v>
      </c>
      <c r="CM71" s="243" t="s">
        <v>103</v>
      </c>
      <c r="CN71" s="218" t="s">
        <v>135</v>
      </c>
      <c r="CO71" s="237"/>
      <c r="CP71" s="234"/>
      <c r="CQ71" s="234">
        <f>Konvention_1slave-INslave_IN</f>
        <v>11</v>
      </c>
      <c r="CR71" s="234"/>
      <c r="CS71" s="234">
        <f t="shared" si="655"/>
        <v>12</v>
      </c>
      <c r="CT71" s="234"/>
      <c r="CU71" s="234"/>
      <c r="CV71" s="224"/>
      <c r="CW71" s="222">
        <f>(CQ71+CS71+CS71)/3</f>
        <v>11.666666666666666</v>
      </c>
      <c r="CX71" s="223">
        <f t="shared" si="557"/>
        <v>23.333333333333332</v>
      </c>
      <c r="CY71" s="224">
        <f t="shared" si="558"/>
        <v>35</v>
      </c>
      <c r="CZ71" s="237">
        <f>CS71*POWER(INslave_IN,SIGN(CQ71))*POWER(FFslave,SIGN(CS71))+CS71*POWER(INslave_IN,SIGN(CQ71))*POWER(FFslave,SIGN(CS71))+CQ71*POWER(FFslave,SIGN(CS71))*POWER(FFslave,SIGN(CS71))</f>
        <v>2432</v>
      </c>
      <c r="DA71" s="234">
        <f>CQ71*CS71*FFslave+CQ71*FFslave*CS71+INslave_IN*CS71*CS71</f>
        <v>3408</v>
      </c>
      <c r="DB71" s="224">
        <f>CQ71*CS71*CS71</f>
        <v>1584</v>
      </c>
      <c r="DC71" s="242">
        <f t="shared" si="637"/>
        <v>7424</v>
      </c>
      <c r="DD71" s="222">
        <f t="shared" si="561"/>
        <v>3.8218390804597702</v>
      </c>
      <c r="DE71" s="223">
        <f t="shared" si="562"/>
        <v>10.711206896551724</v>
      </c>
      <c r="DF71" s="243">
        <f t="shared" si="563"/>
        <v>7.4676724137931032</v>
      </c>
      <c r="DG71" s="218">
        <f t="shared" si="564"/>
        <v>22.000718390804597</v>
      </c>
      <c r="DH71" s="252">
        <f t="shared" si="565"/>
        <v>0</v>
      </c>
      <c r="DI71" s="309">
        <f t="shared" si="566"/>
        <v>22.000718390804597</v>
      </c>
      <c r="DJ71" s="218">
        <f>IF(DG71&gt;0,DG71,0)*3+IF(DG71&gt;12,DG71-12,0)*3+IF(DG71&gt;13,DG71-13,0)*3+IF(DG71&gt;14,DG71-14,0)*3+IF(DG71&gt;15,DG71-15,0)*3+IF(DG71&gt;16,DG71-16,0)*3+IF(DG71&gt;17,DG71-17,0)*3+IF(DG71&gt;18,DG71-18,0)*3+IF(DG71&gt;19,DG71-19,0)*3+IF(DG71&gt;20,DG71-20,0)*3</f>
        <v>228.02155172413785</v>
      </c>
      <c r="DK71" s="242">
        <f>IF(DH71&gt;0,DH71,0)*3+IF(DH71&gt;12,DH71-12,0)*3+IF(DH71&gt;13,DH71-13,0)*3+IF(DH71&gt;14,DH71-14,0)*3+IF(DH71&gt;15,DH71-15,0)*3+IF(DH71&gt;16,DH71-16,0)*3+IF(DH71&gt;17,DH71-17,0)*3+IF(DH71&gt;18,DH71-18,0)*3+IF(DH71&gt;19,DH71-19,0)*3+IF(DH71&gt;20,DH71-20,0)*3</f>
        <v>0</v>
      </c>
      <c r="DL71" s="243">
        <f t="shared" si="567"/>
        <v>228.02155172413785</v>
      </c>
      <c r="DM71" s="218">
        <f t="shared" si="568"/>
        <v>0</v>
      </c>
      <c r="DO71" s="303" t="s">
        <v>62</v>
      </c>
      <c r="DP71" s="243" t="s">
        <v>103</v>
      </c>
      <c r="DQ71" s="218" t="s">
        <v>135</v>
      </c>
      <c r="DR71" s="237"/>
      <c r="DS71" s="234"/>
      <c r="DT71" s="234">
        <f>Konvention_1slave-INslave</f>
        <v>12</v>
      </c>
      <c r="DU71" s="234"/>
      <c r="DV71" s="234">
        <f t="shared" si="656"/>
        <v>12</v>
      </c>
      <c r="DW71" s="234"/>
      <c r="DX71" s="234"/>
      <c r="DY71" s="224"/>
      <c r="DZ71" s="222">
        <f>(DT71+DV71+DV71)/3</f>
        <v>12</v>
      </c>
      <c r="EA71" s="223">
        <f t="shared" si="570"/>
        <v>24</v>
      </c>
      <c r="EB71" s="224">
        <f t="shared" si="571"/>
        <v>36</v>
      </c>
      <c r="EC71" s="237">
        <f>DV71*POWER(INslave,SIGN(DT71))*POWER(FFslave,SIGN(DV71))+DV71*POWER(INslave,SIGN(DT71))*POWER(FFslave,SIGN(DV71))+DT71*POWER(FFslave,SIGN(DV71))*POWER(FFslave,SIGN(DV71))</f>
        <v>2304</v>
      </c>
      <c r="ED71" s="234">
        <f>DT71*DV71*FFslave+DT71*FFslave*DV71+INslave*DV71*DV71</f>
        <v>3456</v>
      </c>
      <c r="EE71" s="224">
        <f>DT71*DV71*DV71</f>
        <v>1728</v>
      </c>
      <c r="EF71" s="242">
        <f t="shared" si="638"/>
        <v>7488</v>
      </c>
      <c r="EG71" s="222">
        <f t="shared" si="574"/>
        <v>3.6923076923076925</v>
      </c>
      <c r="EH71" s="223">
        <f t="shared" si="575"/>
        <v>11.076923076923077</v>
      </c>
      <c r="EI71" s="243">
        <f t="shared" si="576"/>
        <v>8.3076923076923084</v>
      </c>
      <c r="EJ71" s="218">
        <f t="shared" si="577"/>
        <v>23.07692307692308</v>
      </c>
      <c r="EK71" s="252">
        <f t="shared" si="578"/>
        <v>0</v>
      </c>
      <c r="EL71" s="309">
        <f t="shared" si="579"/>
        <v>23.07692307692308</v>
      </c>
      <c r="EM71" s="218">
        <f>IF(EJ71&gt;0,EJ71,0)*3+IF(EJ71&gt;12,EJ71-12,0)*3+IF(EJ71&gt;13,EJ71-13,0)*3+IF(EJ71&gt;14,EJ71-14,0)*3+IF(EJ71&gt;15,EJ71-15,0)*3+IF(EJ71&gt;16,EJ71-16,0)*3+IF(EJ71&gt;17,EJ71-17,0)*3+IF(EJ71&gt;18,EJ71-18,0)*3+IF(EJ71&gt;19,EJ71-19,0)*3+IF(EJ71&gt;20,EJ71-20,0)*3</f>
        <v>260.30769230769232</v>
      </c>
      <c r="EN71" s="242">
        <f>IF(EK71&gt;0,EK71,0)*3+IF(EK71&gt;12,EK71-12,0)*3+IF(EK71&gt;13,EK71-13,0)*3+IF(EK71&gt;14,EK71-14,0)*3+IF(EK71&gt;15,EK71-15,0)*3+IF(EK71&gt;16,EK71-16,0)*3+IF(EK71&gt;17,EK71-17,0)*3+IF(EK71&gt;18,EK71-18,0)*3+IF(EK71&gt;19,EK71-19,0)*3+IF(EK71&gt;20,EK71-20,0)*3</f>
        <v>0</v>
      </c>
      <c r="EO71" s="243">
        <f t="shared" si="580"/>
        <v>260.30769230769232</v>
      </c>
      <c r="EP71" s="218">
        <f t="shared" si="581"/>
        <v>0</v>
      </c>
      <c r="ER71" s="303" t="s">
        <v>62</v>
      </c>
      <c r="ES71" s="243" t="s">
        <v>103</v>
      </c>
      <c r="ET71" s="218" t="s">
        <v>135</v>
      </c>
      <c r="EU71" s="237"/>
      <c r="EV71" s="234"/>
      <c r="EW71" s="234">
        <f>Konvention_1slave-INslave</f>
        <v>12</v>
      </c>
      <c r="EX71" s="234"/>
      <c r="EY71" s="234">
        <f t="shared" si="657"/>
        <v>11</v>
      </c>
      <c r="EZ71" s="234"/>
      <c r="FA71" s="234"/>
      <c r="FB71" s="224"/>
      <c r="FC71" s="222">
        <f>(EW71+EY71+EY71)/3</f>
        <v>11.333333333333334</v>
      </c>
      <c r="FD71" s="223">
        <f t="shared" si="583"/>
        <v>22.666666666666668</v>
      </c>
      <c r="FE71" s="224">
        <f t="shared" si="584"/>
        <v>34</v>
      </c>
      <c r="FF71" s="237">
        <f>EY71*POWER(INslave,SIGN(EW71))*POWER(FFslave_FF,SIGN(EY71))+EY71*POWER(INslave,SIGN(EW71))*POWER(FFslave_FF,SIGN(EY71))+EW71*POWER(FFslave_FF,SIGN(EY71))*POWER(FFslave_FF,SIGN(EY71))</f>
        <v>2556</v>
      </c>
      <c r="FG71" s="234">
        <f>EW71*EY71*FFslave_FF+EW71*FFslave_FF*EY71+INslave*EY71*EY71</f>
        <v>3344</v>
      </c>
      <c r="FH71" s="224">
        <f>EW71*EY71*EY71</f>
        <v>1452</v>
      </c>
      <c r="FI71" s="242">
        <f t="shared" si="639"/>
        <v>7352</v>
      </c>
      <c r="FJ71" s="222">
        <f t="shared" si="587"/>
        <v>3.940152339499456</v>
      </c>
      <c r="FK71" s="223">
        <f t="shared" si="588"/>
        <v>10.309756982227059</v>
      </c>
      <c r="FL71" s="243">
        <f t="shared" si="589"/>
        <v>6.714907508161045</v>
      </c>
      <c r="FM71" s="218">
        <f t="shared" si="590"/>
        <v>20.96481682988756</v>
      </c>
      <c r="FN71" s="252">
        <f t="shared" si="591"/>
        <v>0</v>
      </c>
      <c r="FO71" s="309">
        <f t="shared" si="592"/>
        <v>20.96481682988756</v>
      </c>
      <c r="FP71" s="218">
        <f>IF(FM71&gt;0,FM71,0)*3+IF(FM71&gt;12,FM71-12,0)*3+IF(FM71&gt;13,FM71-13,0)*3+IF(FM71&gt;14,FM71-14,0)*3+IF(FM71&gt;15,FM71-15,0)*3+IF(FM71&gt;16,FM71-16,0)*3+IF(FM71&gt;17,FM71-17,0)*3+IF(FM71&gt;18,FM71-18,0)*3+IF(FM71&gt;19,FM71-19,0)*3+IF(FM71&gt;20,FM71-20,0)*3</f>
        <v>196.94450489662685</v>
      </c>
      <c r="FQ71" s="242">
        <f>IF(FN71&gt;0,FN71,0)*3+IF(FN71&gt;12,FN71-12,0)*3+IF(FN71&gt;13,FN71-13,0)*3+IF(FN71&gt;14,FN71-14,0)*3+IF(FN71&gt;15,FN71-15,0)*3+IF(FN71&gt;16,FN71-16,0)*3+IF(FN71&gt;17,FN71-17,0)*3+IF(FN71&gt;18,FN71-18,0)*3+IF(FN71&gt;19,FN71-19,0)*3+IF(FN71&gt;20,FN71-20,0)*3</f>
        <v>0</v>
      </c>
      <c r="FR71" s="243">
        <f t="shared" si="593"/>
        <v>196.94450489662685</v>
      </c>
      <c r="FS71" s="218">
        <f t="shared" si="594"/>
        <v>0</v>
      </c>
      <c r="FU71" s="303" t="s">
        <v>62</v>
      </c>
      <c r="FV71" s="243" t="s">
        <v>103</v>
      </c>
      <c r="FW71" s="218" t="s">
        <v>135</v>
      </c>
      <c r="FX71" s="237"/>
      <c r="FY71" s="234"/>
      <c r="FZ71" s="234">
        <f>Konvention_1slave-INslave</f>
        <v>12</v>
      </c>
      <c r="GA71" s="234"/>
      <c r="GB71" s="234">
        <f t="shared" si="658"/>
        <v>12</v>
      </c>
      <c r="GC71" s="234"/>
      <c r="GD71" s="234"/>
      <c r="GE71" s="224"/>
      <c r="GF71" s="222">
        <f>(FZ71+GB71+GB71)/3</f>
        <v>12</v>
      </c>
      <c r="GG71" s="223">
        <f t="shared" si="596"/>
        <v>24</v>
      </c>
      <c r="GH71" s="224">
        <f t="shared" si="597"/>
        <v>36</v>
      </c>
      <c r="GI71" s="237">
        <f>GB71*POWER(INslave,SIGN(FZ71))*POWER(FFslave,SIGN(GB71))+GB71*POWER(INslave,SIGN(FZ71))*POWER(FFslave,SIGN(GB71))+FZ71*POWER(FFslave,SIGN(GB71))*POWER(FFslave,SIGN(GB71))</f>
        <v>2304</v>
      </c>
      <c r="GJ71" s="234">
        <f>FZ71*GB71*FFslave+FZ71*FFslave*GB71+INslave*GB71*GB71</f>
        <v>3456</v>
      </c>
      <c r="GK71" s="224">
        <f>FZ71*GB71*GB71</f>
        <v>1728</v>
      </c>
      <c r="GL71" s="242">
        <f t="shared" si="640"/>
        <v>7488</v>
      </c>
      <c r="GM71" s="222">
        <f t="shared" si="600"/>
        <v>3.6923076923076925</v>
      </c>
      <c r="GN71" s="223">
        <f t="shared" si="601"/>
        <v>11.076923076923077</v>
      </c>
      <c r="GO71" s="243">
        <f t="shared" si="602"/>
        <v>8.3076923076923084</v>
      </c>
      <c r="GP71" s="218">
        <f t="shared" si="603"/>
        <v>23.07692307692308</v>
      </c>
      <c r="GQ71" s="252">
        <f t="shared" si="604"/>
        <v>0</v>
      </c>
      <c r="GR71" s="309">
        <f t="shared" si="605"/>
        <v>23.07692307692308</v>
      </c>
      <c r="GS71" s="218">
        <f>IF(GP71&gt;0,GP71,0)*3+IF(GP71&gt;12,GP71-12,0)*3+IF(GP71&gt;13,GP71-13,0)*3+IF(GP71&gt;14,GP71-14,0)*3+IF(GP71&gt;15,GP71-15,0)*3+IF(GP71&gt;16,GP71-16,0)*3+IF(GP71&gt;17,GP71-17,0)*3+IF(GP71&gt;18,GP71-18,0)*3+IF(GP71&gt;19,GP71-19,0)*3+IF(GP71&gt;20,GP71-20,0)*3</f>
        <v>260.30769230769232</v>
      </c>
      <c r="GT71" s="242">
        <f>IF(GQ71&gt;0,GQ71,0)*3+IF(GQ71&gt;12,GQ71-12,0)*3+IF(GQ71&gt;13,GQ71-13,0)*3+IF(GQ71&gt;14,GQ71-14,0)*3+IF(GQ71&gt;15,GQ71-15,0)*3+IF(GQ71&gt;16,GQ71-16,0)*3+IF(GQ71&gt;17,GQ71-17,0)*3+IF(GQ71&gt;18,GQ71-18,0)*3+IF(GQ71&gt;19,GQ71-19,0)*3+IF(GQ71&gt;20,GQ71-20,0)*3</f>
        <v>0</v>
      </c>
      <c r="GU71" s="243">
        <f t="shared" si="606"/>
        <v>260.30769230769232</v>
      </c>
      <c r="GV71" s="218">
        <f t="shared" si="607"/>
        <v>0</v>
      </c>
      <c r="GX71" s="303" t="s">
        <v>62</v>
      </c>
      <c r="GY71" s="243" t="s">
        <v>103</v>
      </c>
      <c r="GZ71" s="218" t="s">
        <v>135</v>
      </c>
      <c r="HA71" s="237"/>
      <c r="HB71" s="234"/>
      <c r="HC71" s="234">
        <f>Konvention_1slave-INslave</f>
        <v>12</v>
      </c>
      <c r="HD71" s="234"/>
      <c r="HE71" s="234">
        <f t="shared" si="659"/>
        <v>12</v>
      </c>
      <c r="HF71" s="234"/>
      <c r="HG71" s="234"/>
      <c r="HH71" s="224"/>
      <c r="HI71" s="222">
        <f>(HC71+HE71+HE71)/3</f>
        <v>12</v>
      </c>
      <c r="HJ71" s="223">
        <f t="shared" si="609"/>
        <v>24</v>
      </c>
      <c r="HK71" s="224">
        <f t="shared" si="610"/>
        <v>36</v>
      </c>
      <c r="HL71" s="237">
        <f>HE71*POWER(INslave,SIGN(HC71))*POWER(FFslave,SIGN(HE71))+HE71*POWER(INslave,SIGN(HC71))*POWER(FFslave,SIGN(HE71))+HC71*POWER(FFslave,SIGN(HE71))*POWER(FFslave,SIGN(HE71))</f>
        <v>2304</v>
      </c>
      <c r="HM71" s="234">
        <f>HC71*HE71*FFslave+HC71*FFslave*HE71+INslave*HE71*HE71</f>
        <v>3456</v>
      </c>
      <c r="HN71" s="224">
        <f>HC71*HE71*HE71</f>
        <v>1728</v>
      </c>
      <c r="HO71" s="242">
        <f t="shared" si="641"/>
        <v>7488</v>
      </c>
      <c r="HP71" s="222">
        <f t="shared" si="613"/>
        <v>3.6923076923076925</v>
      </c>
      <c r="HQ71" s="223">
        <f t="shared" si="614"/>
        <v>11.076923076923077</v>
      </c>
      <c r="HR71" s="243">
        <f t="shared" si="615"/>
        <v>8.3076923076923084</v>
      </c>
      <c r="HS71" s="218">
        <f t="shared" si="616"/>
        <v>23.07692307692308</v>
      </c>
      <c r="HT71" s="252">
        <f t="shared" si="617"/>
        <v>0</v>
      </c>
      <c r="HU71" s="309">
        <f t="shared" si="618"/>
        <v>23.07692307692308</v>
      </c>
      <c r="HV71" s="218">
        <f>IF(HS71&gt;0,HS71,0)*3+IF(HS71&gt;12,HS71-12,0)*3+IF(HS71&gt;13,HS71-13,0)*3+IF(HS71&gt;14,HS71-14,0)*3+IF(HS71&gt;15,HS71-15,0)*3+IF(HS71&gt;16,HS71-16,0)*3+IF(HS71&gt;17,HS71-17,0)*3+IF(HS71&gt;18,HS71-18,0)*3+IF(HS71&gt;19,HS71-19,0)*3+IF(HS71&gt;20,HS71-20,0)*3</f>
        <v>260.30769230769232</v>
      </c>
      <c r="HW71" s="242">
        <f>IF(HT71&gt;0,HT71,0)*3+IF(HT71&gt;12,HT71-12,0)*3+IF(HT71&gt;13,HT71-13,0)*3+IF(HT71&gt;14,HT71-14,0)*3+IF(HT71&gt;15,HT71-15,0)*3+IF(HT71&gt;16,HT71-16,0)*3+IF(HT71&gt;17,HT71-17,0)*3+IF(HT71&gt;18,HT71-18,0)*3+IF(HT71&gt;19,HT71-19,0)*3+IF(HT71&gt;20,HT71-20,0)*3</f>
        <v>0</v>
      </c>
      <c r="HX71" s="243">
        <f t="shared" si="619"/>
        <v>260.30769230769232</v>
      </c>
      <c r="HY71" s="218">
        <f t="shared" si="620"/>
        <v>0</v>
      </c>
      <c r="IA71" s="303" t="s">
        <v>62</v>
      </c>
      <c r="IB71" s="243" t="s">
        <v>103</v>
      </c>
      <c r="IC71" s="218" t="s">
        <v>135</v>
      </c>
      <c r="ID71" s="237"/>
      <c r="IE71" s="234"/>
      <c r="IF71" s="234">
        <f>Konvention_1slave-INslave</f>
        <v>12</v>
      </c>
      <c r="IG71" s="234"/>
      <c r="IH71" s="234">
        <f t="shared" si="660"/>
        <v>12</v>
      </c>
      <c r="II71" s="234"/>
      <c r="IJ71" s="234"/>
      <c r="IK71" s="224"/>
      <c r="IL71" s="222">
        <f>(IF71+IH71+IH71)/3</f>
        <v>12</v>
      </c>
      <c r="IM71" s="223">
        <f t="shared" si="622"/>
        <v>24</v>
      </c>
      <c r="IN71" s="224">
        <f t="shared" si="623"/>
        <v>36</v>
      </c>
      <c r="IO71" s="237">
        <f>IH71*POWER(INslave,SIGN(IF71))*POWER(FFslave,SIGN(IH71))+IH71*POWER(INslave,SIGN(IF71))*POWER(FFslave,SIGN(IH71))+IF71*POWER(FFslave,SIGN(IH71))*POWER(FFslave,SIGN(IH71))</f>
        <v>2304</v>
      </c>
      <c r="IP71" s="234">
        <f>IF71*IH71*FFslave+IF71*FFslave*IH71+INslave*IH71*IH71</f>
        <v>3456</v>
      </c>
      <c r="IQ71" s="224">
        <f>IF71*IH71*IH71</f>
        <v>1728</v>
      </c>
      <c r="IR71" s="242">
        <f t="shared" si="642"/>
        <v>7488</v>
      </c>
      <c r="IS71" s="222">
        <f t="shared" si="626"/>
        <v>3.6923076923076925</v>
      </c>
      <c r="IT71" s="223">
        <f t="shared" si="627"/>
        <v>11.076923076923077</v>
      </c>
      <c r="IU71" s="243">
        <f t="shared" si="628"/>
        <v>8.3076923076923084</v>
      </c>
      <c r="IV71" s="218">
        <f t="shared" si="629"/>
        <v>23.07692307692308</v>
      </c>
      <c r="IW71" s="252">
        <f t="shared" si="630"/>
        <v>0</v>
      </c>
      <c r="IX71" s="309">
        <f t="shared" si="631"/>
        <v>23.07692307692308</v>
      </c>
      <c r="IY71" s="218">
        <f>IF(IV71&gt;0,IV71,0)*3+IF(IV71&gt;12,IV71-12,0)*3+IF(IV71&gt;13,IV71-13,0)*3+IF(IV71&gt;14,IV71-14,0)*3+IF(IV71&gt;15,IV71-15,0)*3+IF(IV71&gt;16,IV71-16,0)*3+IF(IV71&gt;17,IV71-17,0)*3+IF(IV71&gt;18,IV71-18,0)*3+IF(IV71&gt;19,IV71-19,0)*3+IF(IV71&gt;20,IV71-20,0)*3</f>
        <v>260.30769230769232</v>
      </c>
      <c r="IZ71" s="242">
        <f>IF(IW71&gt;0,IW71,0)*3+IF(IW71&gt;12,IW71-12,0)*3+IF(IW71&gt;13,IW71-13,0)*3+IF(IW71&gt;14,IW71-14,0)*3+IF(IW71&gt;15,IW71-15,0)*3+IF(IW71&gt;16,IW71-16,0)*3+IF(IW71&gt;17,IW71-17,0)*3+IF(IW71&gt;18,IW71-18,0)*3+IF(IW71&gt;19,IW71-19,0)*3+IF(IW71&gt;20,IW71-20,0)*3</f>
        <v>0</v>
      </c>
      <c r="JA71" s="243">
        <f t="shared" si="632"/>
        <v>260.30769230769232</v>
      </c>
      <c r="JB71" s="218">
        <f t="shared" si="633"/>
        <v>0</v>
      </c>
      <c r="JE71" s="148"/>
    </row>
    <row r="72" spans="1:265" hidden="1" outlineLevel="2">
      <c r="B72" s="148">
        <v>16</v>
      </c>
      <c r="C72" s="303" t="e">
        <f>VLOOKUP(AF72,Attribute!C:T,1,FALSE)</f>
        <v>#N/A</v>
      </c>
      <c r="D72" s="127" t="s">
        <v>105</v>
      </c>
      <c r="E72" s="125" t="s">
        <v>133</v>
      </c>
      <c r="F72" s="114"/>
      <c r="G72" s="113"/>
      <c r="H72" s="113"/>
      <c r="I72" s="113"/>
      <c r="J72" s="113">
        <f t="shared" si="652"/>
        <v>12</v>
      </c>
      <c r="K72" s="113"/>
      <c r="L72" s="113"/>
      <c r="M72" s="119">
        <f>Konvention_1master-KKmaster</f>
        <v>12</v>
      </c>
      <c r="N72" s="222">
        <f>(J72+J72+M72)/3</f>
        <v>12</v>
      </c>
      <c r="O72" s="223">
        <f t="shared" si="519"/>
        <v>24</v>
      </c>
      <c r="P72" s="224">
        <f t="shared" si="520"/>
        <v>36</v>
      </c>
      <c r="Q72" s="237">
        <f>J72*POWER(KKmaster,SIGN(M72))*POWER(FFmaster,SIGN(J72))+J72*POWER(KKmaster,SIGN(M72))*POWER(FFmaster,SIGN(J72))+M72*POWER(FFmaster,SIGN(J72))*POWER(FFmaster,SIGN(J72))</f>
        <v>2304</v>
      </c>
      <c r="R72" s="113">
        <f>J72*J72*KKmaster+J72*FFmaster*M72+FFmaster*J72*M72</f>
        <v>3456</v>
      </c>
      <c r="S72" s="224">
        <f>J72*J72*M72</f>
        <v>1728</v>
      </c>
      <c r="T72" s="242">
        <f t="shared" si="634"/>
        <v>7488</v>
      </c>
      <c r="U72" s="222">
        <f t="shared" si="523"/>
        <v>3.6923076923076925</v>
      </c>
      <c r="V72" s="223">
        <f t="shared" si="524"/>
        <v>11.076923076923077</v>
      </c>
      <c r="W72" s="243">
        <f t="shared" si="525"/>
        <v>8.3076923076923084</v>
      </c>
      <c r="X72" s="218">
        <f t="shared" si="526"/>
        <v>23.07692307692308</v>
      </c>
      <c r="Y72" s="252">
        <v>0</v>
      </c>
      <c r="Z72" s="198">
        <f t="shared" si="527"/>
        <v>23.07692307692308</v>
      </c>
      <c r="AA72" s="125">
        <f>IF(X72&gt;0,X72,0)*1+IF(X72&gt;12,X72-12,0)*1+IF(X72&gt;13,X72-13,0)*1+IF(X72&gt;14,X72-14,0)*1+IF(X72&gt;15,X72-15,0)*1+IF(X72&gt;16,X72-16,0)*1+IF(X72&gt;17,X72-17,0)*1+IF(X72&gt;18,X72-18,0)*1+IF(X72&gt;19,X72-19,0)*1+IF(X72&gt;20,X72-20,0)*1</f>
        <v>86.769230769230802</v>
      </c>
      <c r="AB72" s="160">
        <f>IF(Y72&gt;0,Y72,0)*1+IF(Y72&gt;12,Y72-12,0)*1+IF(Y72&gt;13,Y72-13,0)*1+IF(Y72&gt;14,Y72-14,0)*1+IF(Y72&gt;15,Y72-15,0)*1+IF(Y72&gt;16,Y72-16,0)*1+IF(Y72&gt;17,Y72-17,0)*1+IF(Y72&gt;18,Y72-18,0)*1+IF(Y72&gt;19,Y72-19,0)*1+IF(Y72&gt;20,Y72-20,0)*1</f>
        <v>0</v>
      </c>
      <c r="AC72" s="127">
        <f t="shared" si="528"/>
        <v>86.769230769230802</v>
      </c>
      <c r="AD72" s="125">
        <f t="shared" si="529"/>
        <v>0</v>
      </c>
      <c r="AF72" s="163" t="s">
        <v>63</v>
      </c>
      <c r="AG72" s="127" t="s">
        <v>105</v>
      </c>
      <c r="AH72" s="125" t="s">
        <v>133</v>
      </c>
      <c r="AI72" s="114"/>
      <c r="AJ72" s="113"/>
      <c r="AK72" s="113"/>
      <c r="AL72" s="113"/>
      <c r="AM72" s="113">
        <f t="shared" si="653"/>
        <v>12</v>
      </c>
      <c r="AN72" s="113"/>
      <c r="AO72" s="113"/>
      <c r="AP72" s="119">
        <f>Konvention_1slave-KKslave</f>
        <v>12</v>
      </c>
      <c r="AQ72" s="89">
        <f>(AM72+AM72+AP72)/3</f>
        <v>12</v>
      </c>
      <c r="AR72" s="47">
        <f t="shared" si="531"/>
        <v>24</v>
      </c>
      <c r="AS72" s="119">
        <f t="shared" si="532"/>
        <v>36</v>
      </c>
      <c r="AT72" s="114">
        <f>AM72*POWER(KKslave,SIGN(AP72))*POWER(FFslave,SIGN(AM72))+AM72*POWER(KKslave,SIGN(AP72))*POWER(FFslave,SIGN(AM72))+AP72*POWER(FFslave,SIGN(AM72))*POWER(FFslave,SIGN(AM72))</f>
        <v>2304</v>
      </c>
      <c r="AU72" s="113">
        <f>AM72*AM72*KKslave+AM72*FFslave*AP72+FFslave*AM72*AP72</f>
        <v>3456</v>
      </c>
      <c r="AV72" s="119">
        <f>AM72*AM72*AP72</f>
        <v>1728</v>
      </c>
      <c r="AW72" s="160">
        <f t="shared" si="635"/>
        <v>7488</v>
      </c>
      <c r="AX72" s="89">
        <f t="shared" si="535"/>
        <v>3.6923076923076925</v>
      </c>
      <c r="AY72" s="47">
        <f t="shared" si="536"/>
        <v>11.076923076923077</v>
      </c>
      <c r="AZ72" s="127">
        <f t="shared" si="537"/>
        <v>8.3076923076923084</v>
      </c>
      <c r="BA72" s="125">
        <f t="shared" si="538"/>
        <v>23.07692307692308</v>
      </c>
      <c r="BB72" s="165">
        <f t="shared" si="539"/>
        <v>0</v>
      </c>
      <c r="BC72" s="198">
        <f t="shared" si="540"/>
        <v>23.07692307692308</v>
      </c>
      <c r="BD72" s="125">
        <f>IF(BA72&gt;0,BA72,0)*1+IF(BA72&gt;12,BA72-12,0)*1+IF(BA72&gt;13,BA72-13,0)*1+IF(BA72&gt;14,BA72-14,0)*1+IF(BA72&gt;15,BA72-15,0)*1+IF(BA72&gt;16,BA72-16,0)*1+IF(BA72&gt;17,BA72-17,0)*1+IF(BA72&gt;18,BA72-18,0)*1+IF(BA72&gt;19,BA72-19,0)*1+IF(BA72&gt;20,BA72-20,0)*1</f>
        <v>86.769230769230802</v>
      </c>
      <c r="BE72" s="160">
        <f>IF(BB72&gt;0,BB72,0)*1+IF(BB72&gt;12,BB72-12,0)*1+IF(BB72&gt;13,BB72-13,0)*1+IF(BB72&gt;14,BB72-14,0)*1+IF(BB72&gt;15,BB72-15,0)*1+IF(BB72&gt;16,BB72-16,0)*1+IF(BB72&gt;17,BB72-17,0)*1+IF(BB72&gt;18,BB72-18,0)*1+IF(BB72&gt;19,BB72-19,0)*1+IF(BB72&gt;20,BB72-20,0)*1</f>
        <v>0</v>
      </c>
      <c r="BF72" s="243">
        <f t="shared" si="541"/>
        <v>86.769230769230802</v>
      </c>
      <c r="BG72" s="218">
        <f t="shared" si="542"/>
        <v>0</v>
      </c>
      <c r="BI72" s="303" t="s">
        <v>63</v>
      </c>
      <c r="BJ72" s="243" t="s">
        <v>105</v>
      </c>
      <c r="BK72" s="218" t="s">
        <v>133</v>
      </c>
      <c r="BL72" s="237"/>
      <c r="BM72" s="234"/>
      <c r="BN72" s="234"/>
      <c r="BO72" s="234"/>
      <c r="BP72" s="234">
        <f t="shared" si="654"/>
        <v>12</v>
      </c>
      <c r="BQ72" s="234"/>
      <c r="BR72" s="234"/>
      <c r="BS72" s="224">
        <f>Konvention_1slave-KKslave</f>
        <v>12</v>
      </c>
      <c r="BT72" s="222">
        <f>(BP72+BP72+BS72)/3</f>
        <v>12</v>
      </c>
      <c r="BU72" s="223">
        <f t="shared" si="544"/>
        <v>24</v>
      </c>
      <c r="BV72" s="224">
        <f t="shared" si="545"/>
        <v>36</v>
      </c>
      <c r="BW72" s="237">
        <f>BP72*POWER(KKslave,SIGN(BS72))*POWER(FFslave,SIGN(BP72))+BP72*POWER(KKslave,SIGN(BS72))*POWER(FFslave,SIGN(BP72))+BS72*POWER(FFslave,SIGN(BP72))*POWER(FFslave,SIGN(BP72))</f>
        <v>2304</v>
      </c>
      <c r="BX72" s="234">
        <f>BP72*BP72*KKslave+BP72*FFslave*BS72+FFslave*BP72*BS72</f>
        <v>3456</v>
      </c>
      <c r="BY72" s="224">
        <f>BP72*BP72*BS72</f>
        <v>1728</v>
      </c>
      <c r="BZ72" s="242">
        <f t="shared" si="636"/>
        <v>7488</v>
      </c>
      <c r="CA72" s="222">
        <f t="shared" si="548"/>
        <v>3.6923076923076925</v>
      </c>
      <c r="CB72" s="223">
        <f t="shared" si="549"/>
        <v>11.076923076923077</v>
      </c>
      <c r="CC72" s="243">
        <f t="shared" si="550"/>
        <v>8.3076923076923084</v>
      </c>
      <c r="CD72" s="218">
        <f t="shared" si="551"/>
        <v>23.07692307692308</v>
      </c>
      <c r="CE72" s="252">
        <f t="shared" si="552"/>
        <v>0</v>
      </c>
      <c r="CF72" s="309">
        <f t="shared" si="553"/>
        <v>23.07692307692308</v>
      </c>
      <c r="CG72" s="218">
        <f>IF(CD72&gt;0,CD72,0)*1+IF(CD72&gt;12,CD72-12,0)*1+IF(CD72&gt;13,CD72-13,0)*1+IF(CD72&gt;14,CD72-14,0)*1+IF(CD72&gt;15,CD72-15,0)*1+IF(CD72&gt;16,CD72-16,0)*1+IF(CD72&gt;17,CD72-17,0)*1+IF(CD72&gt;18,CD72-18,0)*1+IF(CD72&gt;19,CD72-19,0)*1+IF(CD72&gt;20,CD72-20,0)*1</f>
        <v>86.769230769230802</v>
      </c>
      <c r="CH72" s="242">
        <f>IF(CE72&gt;0,CE72,0)*1+IF(CE72&gt;12,CE72-12,0)*1+IF(CE72&gt;13,CE72-13,0)*1+IF(CE72&gt;14,CE72-14,0)*1+IF(CE72&gt;15,CE72-15,0)*1+IF(CE72&gt;16,CE72-16,0)*1+IF(CE72&gt;17,CE72-17,0)*1+IF(CE72&gt;18,CE72-18,0)*1+IF(CE72&gt;19,CE72-19,0)*1+IF(CE72&gt;20,CE72-20,0)*1</f>
        <v>0</v>
      </c>
      <c r="CI72" s="243">
        <f t="shared" si="554"/>
        <v>86.769230769230802</v>
      </c>
      <c r="CJ72" s="218">
        <f t="shared" si="555"/>
        <v>0</v>
      </c>
      <c r="CL72" s="303" t="s">
        <v>63</v>
      </c>
      <c r="CM72" s="243" t="s">
        <v>105</v>
      </c>
      <c r="CN72" s="218" t="s">
        <v>133</v>
      </c>
      <c r="CO72" s="237"/>
      <c r="CP72" s="234"/>
      <c r="CQ72" s="234"/>
      <c r="CR72" s="234"/>
      <c r="CS72" s="234">
        <f t="shared" si="655"/>
        <v>12</v>
      </c>
      <c r="CT72" s="234"/>
      <c r="CU72" s="234"/>
      <c r="CV72" s="224">
        <f>Konvention_1slave-KKslave</f>
        <v>12</v>
      </c>
      <c r="CW72" s="222">
        <f>(CS72+CS72+CV72)/3</f>
        <v>12</v>
      </c>
      <c r="CX72" s="223">
        <f t="shared" si="557"/>
        <v>24</v>
      </c>
      <c r="CY72" s="224">
        <f t="shared" si="558"/>
        <v>36</v>
      </c>
      <c r="CZ72" s="237">
        <f>CS72*POWER(KKslave,SIGN(CV72))*POWER(FFslave,SIGN(CS72))+CS72*POWER(KKslave,SIGN(CV72))*POWER(FFslave,SIGN(CS72))+CV72*POWER(FFslave,SIGN(CS72))*POWER(FFslave,SIGN(CS72))</f>
        <v>2304</v>
      </c>
      <c r="DA72" s="234">
        <f>CS72*CS72*KKslave+CS72*FFslave*CV72+FFslave*CS72*CV72</f>
        <v>3456</v>
      </c>
      <c r="DB72" s="224">
        <f>CS72*CS72*CV72</f>
        <v>1728</v>
      </c>
      <c r="DC72" s="242">
        <f t="shared" si="637"/>
        <v>7488</v>
      </c>
      <c r="DD72" s="222">
        <f t="shared" si="561"/>
        <v>3.6923076923076925</v>
      </c>
      <c r="DE72" s="223">
        <f t="shared" si="562"/>
        <v>11.076923076923077</v>
      </c>
      <c r="DF72" s="243">
        <f t="shared" si="563"/>
        <v>8.3076923076923084</v>
      </c>
      <c r="DG72" s="218">
        <f t="shared" si="564"/>
        <v>23.07692307692308</v>
      </c>
      <c r="DH72" s="252">
        <f t="shared" si="565"/>
        <v>0</v>
      </c>
      <c r="DI72" s="309">
        <f t="shared" si="566"/>
        <v>23.07692307692308</v>
      </c>
      <c r="DJ72" s="218">
        <f>IF(DG72&gt;0,DG72,0)*1+IF(DG72&gt;12,DG72-12,0)*1+IF(DG72&gt;13,DG72-13,0)*1+IF(DG72&gt;14,DG72-14,0)*1+IF(DG72&gt;15,DG72-15,0)*1+IF(DG72&gt;16,DG72-16,0)*1+IF(DG72&gt;17,DG72-17,0)*1+IF(DG72&gt;18,DG72-18,0)*1+IF(DG72&gt;19,DG72-19,0)*1+IF(DG72&gt;20,DG72-20,0)*1</f>
        <v>86.769230769230802</v>
      </c>
      <c r="DK72" s="242">
        <f>IF(DH72&gt;0,DH72,0)*1+IF(DH72&gt;12,DH72-12,0)*1+IF(DH72&gt;13,DH72-13,0)*1+IF(DH72&gt;14,DH72-14,0)*1+IF(DH72&gt;15,DH72-15,0)*1+IF(DH72&gt;16,DH72-16,0)*1+IF(DH72&gt;17,DH72-17,0)*1+IF(DH72&gt;18,DH72-18,0)*1+IF(DH72&gt;19,DH72-19,0)*1+IF(DH72&gt;20,DH72-20,0)*1</f>
        <v>0</v>
      </c>
      <c r="DL72" s="243">
        <f t="shared" si="567"/>
        <v>86.769230769230802</v>
      </c>
      <c r="DM72" s="218">
        <f t="shared" si="568"/>
        <v>0</v>
      </c>
      <c r="DO72" s="303" t="s">
        <v>63</v>
      </c>
      <c r="DP72" s="243" t="s">
        <v>105</v>
      </c>
      <c r="DQ72" s="218" t="s">
        <v>133</v>
      </c>
      <c r="DR72" s="237"/>
      <c r="DS72" s="234"/>
      <c r="DT72" s="234"/>
      <c r="DU72" s="234"/>
      <c r="DV72" s="234">
        <f t="shared" si="656"/>
        <v>12</v>
      </c>
      <c r="DW72" s="234"/>
      <c r="DX72" s="234"/>
      <c r="DY72" s="224">
        <f>Konvention_1slave-KKslave</f>
        <v>12</v>
      </c>
      <c r="DZ72" s="222">
        <f>(DV72+DV72+DY72)/3</f>
        <v>12</v>
      </c>
      <c r="EA72" s="223">
        <f t="shared" si="570"/>
        <v>24</v>
      </c>
      <c r="EB72" s="224">
        <f t="shared" si="571"/>
        <v>36</v>
      </c>
      <c r="EC72" s="237">
        <f>DV72*POWER(KKslave,SIGN(DY72))*POWER(FFslave,SIGN(DV72))+DV72*POWER(KKslave,SIGN(DY72))*POWER(FFslave,SIGN(DV72))+DY72*POWER(FFslave,SIGN(DV72))*POWER(FFslave,SIGN(DV72))</f>
        <v>2304</v>
      </c>
      <c r="ED72" s="234">
        <f>DV72*DV72*KKslave+DV72*FFslave*DY72+FFslave*DV72*DY72</f>
        <v>3456</v>
      </c>
      <c r="EE72" s="224">
        <f>DV72*DV72*DY72</f>
        <v>1728</v>
      </c>
      <c r="EF72" s="242">
        <f t="shared" si="638"/>
        <v>7488</v>
      </c>
      <c r="EG72" s="222">
        <f t="shared" si="574"/>
        <v>3.6923076923076925</v>
      </c>
      <c r="EH72" s="223">
        <f t="shared" si="575"/>
        <v>11.076923076923077</v>
      </c>
      <c r="EI72" s="243">
        <f t="shared" si="576"/>
        <v>8.3076923076923084</v>
      </c>
      <c r="EJ72" s="218">
        <f t="shared" si="577"/>
        <v>23.07692307692308</v>
      </c>
      <c r="EK72" s="252">
        <f t="shared" si="578"/>
        <v>0</v>
      </c>
      <c r="EL72" s="309">
        <f t="shared" si="579"/>
        <v>23.07692307692308</v>
      </c>
      <c r="EM72" s="218">
        <f>IF(EJ72&gt;0,EJ72,0)*1+IF(EJ72&gt;12,EJ72-12,0)*1+IF(EJ72&gt;13,EJ72-13,0)*1+IF(EJ72&gt;14,EJ72-14,0)*1+IF(EJ72&gt;15,EJ72-15,0)*1+IF(EJ72&gt;16,EJ72-16,0)*1+IF(EJ72&gt;17,EJ72-17,0)*1+IF(EJ72&gt;18,EJ72-18,0)*1+IF(EJ72&gt;19,EJ72-19,0)*1+IF(EJ72&gt;20,EJ72-20,0)*1</f>
        <v>86.769230769230802</v>
      </c>
      <c r="EN72" s="242">
        <f>IF(EK72&gt;0,EK72,0)*1+IF(EK72&gt;12,EK72-12,0)*1+IF(EK72&gt;13,EK72-13,0)*1+IF(EK72&gt;14,EK72-14,0)*1+IF(EK72&gt;15,EK72-15,0)*1+IF(EK72&gt;16,EK72-16,0)*1+IF(EK72&gt;17,EK72-17,0)*1+IF(EK72&gt;18,EK72-18,0)*1+IF(EK72&gt;19,EK72-19,0)*1+IF(EK72&gt;20,EK72-20,0)*1</f>
        <v>0</v>
      </c>
      <c r="EO72" s="243">
        <f t="shared" si="580"/>
        <v>86.769230769230802</v>
      </c>
      <c r="EP72" s="218">
        <f t="shared" si="581"/>
        <v>0</v>
      </c>
      <c r="ER72" s="303" t="s">
        <v>63</v>
      </c>
      <c r="ES72" s="243" t="s">
        <v>105</v>
      </c>
      <c r="ET72" s="218" t="s">
        <v>133</v>
      </c>
      <c r="EU72" s="237"/>
      <c r="EV72" s="234"/>
      <c r="EW72" s="234"/>
      <c r="EX72" s="234"/>
      <c r="EY72" s="234">
        <f t="shared" si="657"/>
        <v>11</v>
      </c>
      <c r="EZ72" s="234"/>
      <c r="FA72" s="234"/>
      <c r="FB72" s="224">
        <f>Konvention_1slave-KKslave</f>
        <v>12</v>
      </c>
      <c r="FC72" s="222">
        <f>(EY72+EY72+FB72)/3</f>
        <v>11.333333333333334</v>
      </c>
      <c r="FD72" s="223">
        <f t="shared" si="583"/>
        <v>22.666666666666668</v>
      </c>
      <c r="FE72" s="224">
        <f t="shared" si="584"/>
        <v>34</v>
      </c>
      <c r="FF72" s="237">
        <f>EY72*POWER(KKslave,SIGN(FB72))*POWER(FFslave_FF,SIGN(EY72))+EY72*POWER(KKslave,SIGN(FB72))*POWER(FFslave_FF,SIGN(EY72))+FB72*POWER(FFslave_FF,SIGN(EY72))*POWER(FFslave_FF,SIGN(EY72))</f>
        <v>2556</v>
      </c>
      <c r="FG72" s="234">
        <f>EY72*EY72*KKslave+EY72*FFslave_FF*FB72+FFslave_FF*EY72*FB72</f>
        <v>3344</v>
      </c>
      <c r="FH72" s="224">
        <f>EY72*EY72*FB72</f>
        <v>1452</v>
      </c>
      <c r="FI72" s="242">
        <f t="shared" si="639"/>
        <v>7352</v>
      </c>
      <c r="FJ72" s="222">
        <f t="shared" si="587"/>
        <v>3.940152339499456</v>
      </c>
      <c r="FK72" s="223">
        <f t="shared" si="588"/>
        <v>10.309756982227059</v>
      </c>
      <c r="FL72" s="243">
        <f t="shared" si="589"/>
        <v>6.714907508161045</v>
      </c>
      <c r="FM72" s="218">
        <f t="shared" si="590"/>
        <v>20.96481682988756</v>
      </c>
      <c r="FN72" s="252">
        <f t="shared" si="591"/>
        <v>0</v>
      </c>
      <c r="FO72" s="309">
        <f t="shared" si="592"/>
        <v>20.96481682988756</v>
      </c>
      <c r="FP72" s="218">
        <f>IF(FM72&gt;0,FM72,0)*1+IF(FM72&gt;12,FM72-12,0)*1+IF(FM72&gt;13,FM72-13,0)*1+IF(FM72&gt;14,FM72-14,0)*1+IF(FM72&gt;15,FM72-15,0)*1+IF(FM72&gt;16,FM72-16,0)*1+IF(FM72&gt;17,FM72-17,0)*1+IF(FM72&gt;18,FM72-18,0)*1+IF(FM72&gt;19,FM72-19,0)*1+IF(FM72&gt;20,FM72-20,0)*1</f>
        <v>65.648168298875589</v>
      </c>
      <c r="FQ72" s="242">
        <f>IF(FN72&gt;0,FN72,0)*1+IF(FN72&gt;12,FN72-12,0)*1+IF(FN72&gt;13,FN72-13,0)*1+IF(FN72&gt;14,FN72-14,0)*1+IF(FN72&gt;15,FN72-15,0)*1+IF(FN72&gt;16,FN72-16,0)*1+IF(FN72&gt;17,FN72-17,0)*1+IF(FN72&gt;18,FN72-18,0)*1+IF(FN72&gt;19,FN72-19,0)*1+IF(FN72&gt;20,FN72-20,0)*1</f>
        <v>0</v>
      </c>
      <c r="FR72" s="243">
        <f t="shared" si="593"/>
        <v>65.648168298875589</v>
      </c>
      <c r="FS72" s="218">
        <f t="shared" si="594"/>
        <v>0</v>
      </c>
      <c r="FU72" s="303" t="s">
        <v>63</v>
      </c>
      <c r="FV72" s="243" t="s">
        <v>105</v>
      </c>
      <c r="FW72" s="218" t="s">
        <v>133</v>
      </c>
      <c r="FX72" s="237"/>
      <c r="FY72" s="234"/>
      <c r="FZ72" s="234"/>
      <c r="GA72" s="234"/>
      <c r="GB72" s="234">
        <f t="shared" si="658"/>
        <v>12</v>
      </c>
      <c r="GC72" s="234"/>
      <c r="GD72" s="234"/>
      <c r="GE72" s="224">
        <f>Konvention_1slave-KKslave</f>
        <v>12</v>
      </c>
      <c r="GF72" s="222">
        <f>(GB72+GB72+GE72)/3</f>
        <v>12</v>
      </c>
      <c r="GG72" s="223">
        <f t="shared" si="596"/>
        <v>24</v>
      </c>
      <c r="GH72" s="224">
        <f t="shared" si="597"/>
        <v>36</v>
      </c>
      <c r="GI72" s="237">
        <f>GB72*POWER(KKslave,SIGN(GE72))*POWER(FFslave,SIGN(GB72))+GB72*POWER(KKslave,SIGN(GE72))*POWER(FFslave,SIGN(GB72))+GE72*POWER(FFslave,SIGN(GB72))*POWER(FFslave,SIGN(GB72))</f>
        <v>2304</v>
      </c>
      <c r="GJ72" s="234">
        <f>GB72*GB72*KKslave+GB72*FFslave*GE72+FFslave*GB72*GE72</f>
        <v>3456</v>
      </c>
      <c r="GK72" s="224">
        <f>GB72*GB72*GE72</f>
        <v>1728</v>
      </c>
      <c r="GL72" s="242">
        <f t="shared" si="640"/>
        <v>7488</v>
      </c>
      <c r="GM72" s="222">
        <f t="shared" si="600"/>
        <v>3.6923076923076925</v>
      </c>
      <c r="GN72" s="223">
        <f t="shared" si="601"/>
        <v>11.076923076923077</v>
      </c>
      <c r="GO72" s="243">
        <f t="shared" si="602"/>
        <v>8.3076923076923084</v>
      </c>
      <c r="GP72" s="218">
        <f t="shared" si="603"/>
        <v>23.07692307692308</v>
      </c>
      <c r="GQ72" s="252">
        <f t="shared" si="604"/>
        <v>0</v>
      </c>
      <c r="GR72" s="309">
        <f t="shared" si="605"/>
        <v>23.07692307692308</v>
      </c>
      <c r="GS72" s="218">
        <f>IF(GP72&gt;0,GP72,0)*1+IF(GP72&gt;12,GP72-12,0)*1+IF(GP72&gt;13,GP72-13,0)*1+IF(GP72&gt;14,GP72-14,0)*1+IF(GP72&gt;15,GP72-15,0)*1+IF(GP72&gt;16,GP72-16,0)*1+IF(GP72&gt;17,GP72-17,0)*1+IF(GP72&gt;18,GP72-18,0)*1+IF(GP72&gt;19,GP72-19,0)*1+IF(GP72&gt;20,GP72-20,0)*1</f>
        <v>86.769230769230802</v>
      </c>
      <c r="GT72" s="242">
        <f>IF(GQ72&gt;0,GQ72,0)*1+IF(GQ72&gt;12,GQ72-12,0)*1+IF(GQ72&gt;13,GQ72-13,0)*1+IF(GQ72&gt;14,GQ72-14,0)*1+IF(GQ72&gt;15,GQ72-15,0)*1+IF(GQ72&gt;16,GQ72-16,0)*1+IF(GQ72&gt;17,GQ72-17,0)*1+IF(GQ72&gt;18,GQ72-18,0)*1+IF(GQ72&gt;19,GQ72-19,0)*1+IF(GQ72&gt;20,GQ72-20,0)*1</f>
        <v>0</v>
      </c>
      <c r="GU72" s="243">
        <f t="shared" si="606"/>
        <v>86.769230769230802</v>
      </c>
      <c r="GV72" s="218">
        <f t="shared" si="607"/>
        <v>0</v>
      </c>
      <c r="GX72" s="303" t="s">
        <v>63</v>
      </c>
      <c r="GY72" s="243" t="s">
        <v>105</v>
      </c>
      <c r="GZ72" s="218" t="s">
        <v>133</v>
      </c>
      <c r="HA72" s="237"/>
      <c r="HB72" s="234"/>
      <c r="HC72" s="234"/>
      <c r="HD72" s="234"/>
      <c r="HE72" s="234">
        <f t="shared" si="659"/>
        <v>12</v>
      </c>
      <c r="HF72" s="234"/>
      <c r="HG72" s="234"/>
      <c r="HH72" s="224">
        <f>Konvention_1slave-KKslave</f>
        <v>12</v>
      </c>
      <c r="HI72" s="222">
        <f>(HE72+HE72+HH72)/3</f>
        <v>12</v>
      </c>
      <c r="HJ72" s="223">
        <f t="shared" si="609"/>
        <v>24</v>
      </c>
      <c r="HK72" s="224">
        <f t="shared" si="610"/>
        <v>36</v>
      </c>
      <c r="HL72" s="237">
        <f>HE72*POWER(KKslave,SIGN(HH72))*POWER(FFslave,SIGN(HE72))+HE72*POWER(KKslave,SIGN(HH72))*POWER(FFslave,SIGN(HE72))+HH72*POWER(FFslave,SIGN(HE72))*POWER(FFslave,SIGN(HE72))</f>
        <v>2304</v>
      </c>
      <c r="HM72" s="234">
        <f>HE72*HE72*KKslave+HE72*FFslave*HH72+FFslave*HE72*HH72</f>
        <v>3456</v>
      </c>
      <c r="HN72" s="224">
        <f>HE72*HE72*HH72</f>
        <v>1728</v>
      </c>
      <c r="HO72" s="242">
        <f t="shared" si="641"/>
        <v>7488</v>
      </c>
      <c r="HP72" s="222">
        <f t="shared" si="613"/>
        <v>3.6923076923076925</v>
      </c>
      <c r="HQ72" s="223">
        <f t="shared" si="614"/>
        <v>11.076923076923077</v>
      </c>
      <c r="HR72" s="243">
        <f t="shared" si="615"/>
        <v>8.3076923076923084</v>
      </c>
      <c r="HS72" s="218">
        <f t="shared" si="616"/>
        <v>23.07692307692308</v>
      </c>
      <c r="HT72" s="252">
        <f t="shared" si="617"/>
        <v>0</v>
      </c>
      <c r="HU72" s="309">
        <f t="shared" si="618"/>
        <v>23.07692307692308</v>
      </c>
      <c r="HV72" s="218">
        <f>IF(HS72&gt;0,HS72,0)*1+IF(HS72&gt;12,HS72-12,0)*1+IF(HS72&gt;13,HS72-13,0)*1+IF(HS72&gt;14,HS72-14,0)*1+IF(HS72&gt;15,HS72-15,0)*1+IF(HS72&gt;16,HS72-16,0)*1+IF(HS72&gt;17,HS72-17,0)*1+IF(HS72&gt;18,HS72-18,0)*1+IF(HS72&gt;19,HS72-19,0)*1+IF(HS72&gt;20,HS72-20,0)*1</f>
        <v>86.769230769230802</v>
      </c>
      <c r="HW72" s="242">
        <f>IF(HT72&gt;0,HT72,0)*1+IF(HT72&gt;12,HT72-12,0)*1+IF(HT72&gt;13,HT72-13,0)*1+IF(HT72&gt;14,HT72-14,0)*1+IF(HT72&gt;15,HT72-15,0)*1+IF(HT72&gt;16,HT72-16,0)*1+IF(HT72&gt;17,HT72-17,0)*1+IF(HT72&gt;18,HT72-18,0)*1+IF(HT72&gt;19,HT72-19,0)*1+IF(HT72&gt;20,HT72-20,0)*1</f>
        <v>0</v>
      </c>
      <c r="HX72" s="243">
        <f t="shared" si="619"/>
        <v>86.769230769230802</v>
      </c>
      <c r="HY72" s="218">
        <f t="shared" si="620"/>
        <v>0</v>
      </c>
      <c r="IA72" s="303" t="s">
        <v>63</v>
      </c>
      <c r="IB72" s="243" t="s">
        <v>105</v>
      </c>
      <c r="IC72" s="218" t="s">
        <v>133</v>
      </c>
      <c r="ID72" s="237"/>
      <c r="IE72" s="234"/>
      <c r="IF72" s="234"/>
      <c r="IG72" s="234"/>
      <c r="IH72" s="234">
        <f t="shared" si="660"/>
        <v>12</v>
      </c>
      <c r="II72" s="234"/>
      <c r="IJ72" s="234"/>
      <c r="IK72" s="224">
        <f>Konvention_1slave-KKslave_KK</f>
        <v>11</v>
      </c>
      <c r="IL72" s="222">
        <f>(IH72+IH72+IK72)/3</f>
        <v>11.666666666666666</v>
      </c>
      <c r="IM72" s="223">
        <f t="shared" si="622"/>
        <v>23.333333333333332</v>
      </c>
      <c r="IN72" s="224">
        <f t="shared" si="623"/>
        <v>35</v>
      </c>
      <c r="IO72" s="237">
        <f>IH72*POWER(KKslave_KK,SIGN(IK72))*POWER(FFslave,SIGN(IH72))+IH72*POWER(KKslave_KK,SIGN(IK72))*POWER(FFslave,SIGN(IH72))+IK72*POWER(FFslave,SIGN(IH72))*POWER(FFslave,SIGN(IH72))</f>
        <v>2432</v>
      </c>
      <c r="IP72" s="234">
        <f>IH72*IH72*KKslave_KK+IH72*FFslave*IK72+FFslave*IH72*IK72</f>
        <v>3408</v>
      </c>
      <c r="IQ72" s="224">
        <f>IH72*IH72*IK72</f>
        <v>1584</v>
      </c>
      <c r="IR72" s="242">
        <f t="shared" si="642"/>
        <v>7424</v>
      </c>
      <c r="IS72" s="222">
        <f t="shared" si="626"/>
        <v>3.8218390804597702</v>
      </c>
      <c r="IT72" s="223">
        <f t="shared" si="627"/>
        <v>10.711206896551724</v>
      </c>
      <c r="IU72" s="243">
        <f t="shared" si="628"/>
        <v>7.4676724137931032</v>
      </c>
      <c r="IV72" s="218">
        <f t="shared" si="629"/>
        <v>22.000718390804597</v>
      </c>
      <c r="IW72" s="252">
        <f t="shared" si="630"/>
        <v>0</v>
      </c>
      <c r="IX72" s="309">
        <f t="shared" si="631"/>
        <v>22.000718390804597</v>
      </c>
      <c r="IY72" s="218">
        <f>IF(IV72&gt;0,IV72,0)*1+IF(IV72&gt;12,IV72-12,0)*1+IF(IV72&gt;13,IV72-13,0)*1+IF(IV72&gt;14,IV72-14,0)*1+IF(IV72&gt;15,IV72-15,0)*1+IF(IV72&gt;16,IV72-16,0)*1+IF(IV72&gt;17,IV72-17,0)*1+IF(IV72&gt;18,IV72-18,0)*1+IF(IV72&gt;19,IV72-19,0)*1+IF(IV72&gt;20,IV72-20,0)*1</f>
        <v>76.007183908045945</v>
      </c>
      <c r="IZ72" s="242">
        <f>IF(IW72&gt;0,IW72,0)*1+IF(IW72&gt;12,IW72-12,0)*1+IF(IW72&gt;13,IW72-13,0)*1+IF(IW72&gt;14,IW72-14,0)*1+IF(IW72&gt;15,IW72-15,0)*1+IF(IW72&gt;16,IW72-16,0)*1+IF(IW72&gt;17,IW72-17,0)*1+IF(IW72&gt;18,IW72-18,0)*1+IF(IW72&gt;19,IW72-19,0)*1+IF(IW72&gt;20,IW72-20,0)*1</f>
        <v>0</v>
      </c>
      <c r="JA72" s="243">
        <f t="shared" si="632"/>
        <v>76.007183908045945</v>
      </c>
      <c r="JB72" s="218">
        <f t="shared" si="633"/>
        <v>0</v>
      </c>
      <c r="JE72" s="148"/>
    </row>
    <row r="73" spans="1:265" hidden="1" outlineLevel="2">
      <c r="B73" s="148">
        <v>17</v>
      </c>
      <c r="C73" s="306" t="e">
        <f>VLOOKUP(AF73,Attribute!C:T,1,FALSE)</f>
        <v>#N/A</v>
      </c>
      <c r="D73" s="128" t="s">
        <v>102</v>
      </c>
      <c r="E73" s="159" t="s">
        <v>133</v>
      </c>
      <c r="F73" s="115"/>
      <c r="G73" s="122">
        <f>Konvention_1master-KLmaster</f>
        <v>12</v>
      </c>
      <c r="H73" s="122"/>
      <c r="I73" s="122"/>
      <c r="J73" s="122">
        <f t="shared" si="652"/>
        <v>12</v>
      </c>
      <c r="K73" s="122"/>
      <c r="L73" s="122"/>
      <c r="M73" s="123"/>
      <c r="N73" s="225">
        <f>(G73+J73+J73)/3</f>
        <v>12</v>
      </c>
      <c r="O73" s="226">
        <f t="shared" si="519"/>
        <v>24</v>
      </c>
      <c r="P73" s="227">
        <f t="shared" si="520"/>
        <v>36</v>
      </c>
      <c r="Q73" s="238">
        <f>J73*POWER(KLmaster,SIGN(G73))*POWER(FFmaster,SIGN(J73))+J73*POWER(KLmaster,SIGN(G73))*POWER(FFmaster,SIGN(J73))+G73*POWER(FFmaster,SIGN(J73))*POWER(FFmaster,SIGN(J73))</f>
        <v>2304</v>
      </c>
      <c r="R73" s="122">
        <f>G73*J73*FFmaster+G73*FFmaster*J73+KLmaster*J73*J73</f>
        <v>3456</v>
      </c>
      <c r="S73" s="227">
        <f>G73*J73*J73</f>
        <v>1728</v>
      </c>
      <c r="T73" s="244">
        <f>SUM(Q73:S73)</f>
        <v>7488</v>
      </c>
      <c r="U73" s="225">
        <f t="shared" si="523"/>
        <v>3.6923076923076925</v>
      </c>
      <c r="V73" s="226">
        <f t="shared" si="524"/>
        <v>11.076923076923077</v>
      </c>
      <c r="W73" s="245">
        <f t="shared" si="525"/>
        <v>8.3076923076923084</v>
      </c>
      <c r="X73" s="246">
        <f t="shared" si="526"/>
        <v>23.07692307692308</v>
      </c>
      <c r="Y73" s="252">
        <v>0</v>
      </c>
      <c r="Z73" s="198">
        <f t="shared" si="527"/>
        <v>23.07692307692308</v>
      </c>
      <c r="AA73" s="159">
        <f>IF(X73&gt;0,X73,0)*1+IF(X73&gt;12,X73-12,0)*1+IF(X73&gt;13,X73-13,0)*1+IF(X73&gt;14,X73-14,0)*1+IF(X73&gt;15,X73-15,0)*1+IF(X73&gt;16,X73-16,0)*1+IF(X73&gt;17,X73-17,0)*1+IF(X73&gt;18,X73-18,0)*1+IF(X73&gt;19,X73-19,0)*1+IF(X73&gt;20,X73-20,0)*1</f>
        <v>86.769230769230802</v>
      </c>
      <c r="AB73" s="161">
        <f>IF(Y73&gt;0,Y73,0)*1+IF(Y73&gt;12,Y73-12,0)*1+IF(Y73&gt;13,Y73-13,0)*1+IF(Y73&gt;14,Y73-14,0)*1+IF(Y73&gt;15,Y73-15,0)*1+IF(Y73&gt;16,Y73-16,0)*1+IF(Y73&gt;17,Y73-17,0)*1+IF(Y73&gt;18,Y73-18,0)*1+IF(Y73&gt;19,Y73-19,0)*1+IF(Y73&gt;20,Y73-20,0)*1</f>
        <v>0</v>
      </c>
      <c r="AC73" s="128">
        <f>IF((AA73-AB73)&gt;0,AA73-AB73,0)</f>
        <v>86.769230769230802</v>
      </c>
      <c r="AD73" s="159">
        <f t="shared" si="529"/>
        <v>0</v>
      </c>
      <c r="AF73" s="164" t="s">
        <v>65</v>
      </c>
      <c r="AG73" s="128" t="s">
        <v>102</v>
      </c>
      <c r="AH73" s="159" t="s">
        <v>133</v>
      </c>
      <c r="AI73" s="115"/>
      <c r="AJ73" s="122">
        <f>Konvention_1slave-KLslave</f>
        <v>12</v>
      </c>
      <c r="AK73" s="122"/>
      <c r="AL73" s="122"/>
      <c r="AM73" s="122">
        <f t="shared" si="653"/>
        <v>12</v>
      </c>
      <c r="AN73" s="122"/>
      <c r="AO73" s="122"/>
      <c r="AP73" s="123"/>
      <c r="AQ73" s="90">
        <f>(AJ73+AM73+AM73)/3</f>
        <v>12</v>
      </c>
      <c r="AR73" s="88">
        <f t="shared" si="531"/>
        <v>24</v>
      </c>
      <c r="AS73" s="123">
        <f t="shared" si="532"/>
        <v>36</v>
      </c>
      <c r="AT73" s="115">
        <f>AM73*POWER(KLslave,SIGN(AJ73))*POWER(FFslave,SIGN(AM73))+AM73*POWER(KLslave,SIGN(AJ73))*POWER(FFslave,SIGN(AM73))+AJ73*POWER(FFslave,SIGN(AM73))*POWER(FFslave,SIGN(AM73))</f>
        <v>2304</v>
      </c>
      <c r="AU73" s="122">
        <f>AJ73*AM73*FFslave+AJ73*FFslave*AM73+KLslave*AM73*AM73</f>
        <v>3456</v>
      </c>
      <c r="AV73" s="123">
        <f>AJ73*AM73*AM73</f>
        <v>1728</v>
      </c>
      <c r="AW73" s="161">
        <f>SUM(AT73:AV73)</f>
        <v>7488</v>
      </c>
      <c r="AX73" s="90">
        <f t="shared" si="535"/>
        <v>3.6923076923076925</v>
      </c>
      <c r="AY73" s="88">
        <f t="shared" si="536"/>
        <v>11.076923076923077</v>
      </c>
      <c r="AZ73" s="128">
        <f t="shared" si="537"/>
        <v>8.3076923076923084</v>
      </c>
      <c r="BA73" s="159">
        <f t="shared" si="538"/>
        <v>23.07692307692308</v>
      </c>
      <c r="BB73" s="165">
        <f t="shared" si="539"/>
        <v>0</v>
      </c>
      <c r="BC73" s="198">
        <f t="shared" si="540"/>
        <v>23.07692307692308</v>
      </c>
      <c r="BD73" s="159">
        <f>IF(BA73&gt;0,BA73,0)*1+IF(BA73&gt;12,BA73-12,0)*1+IF(BA73&gt;13,BA73-13,0)*1+IF(BA73&gt;14,BA73-14,0)*1+IF(BA73&gt;15,BA73-15,0)*1+IF(BA73&gt;16,BA73-16,0)*1+IF(BA73&gt;17,BA73-17,0)*1+IF(BA73&gt;18,BA73-18,0)*1+IF(BA73&gt;19,BA73-19,0)*1+IF(BA73&gt;20,BA73-20,0)*1</f>
        <v>86.769230769230802</v>
      </c>
      <c r="BE73" s="161">
        <f>IF(BB73&gt;0,BB73,0)*1+IF(BB73&gt;12,BB73-12,0)*1+IF(BB73&gt;13,BB73-13,0)*1+IF(BB73&gt;14,BB73-14,0)*1+IF(BB73&gt;15,BB73-15,0)*1+IF(BB73&gt;16,BB73-16,0)*1+IF(BB73&gt;17,BB73-17,0)*1+IF(BB73&gt;18,BB73-18,0)*1+IF(BB73&gt;19,BB73-19,0)*1+IF(BB73&gt;20,BB73-20,0)*1</f>
        <v>0</v>
      </c>
      <c r="BF73" s="245">
        <f>IF((BD73-BE73)&gt;0,BD73-BE73,0)</f>
        <v>86.769230769230802</v>
      </c>
      <c r="BG73" s="246">
        <f t="shared" si="542"/>
        <v>0</v>
      </c>
      <c r="BI73" s="306" t="s">
        <v>65</v>
      </c>
      <c r="BJ73" s="245" t="s">
        <v>102</v>
      </c>
      <c r="BK73" s="246" t="s">
        <v>133</v>
      </c>
      <c r="BL73" s="238"/>
      <c r="BM73" s="235">
        <f>Konvention_1slave-KLslave_KL</f>
        <v>11</v>
      </c>
      <c r="BN73" s="235"/>
      <c r="BO73" s="235"/>
      <c r="BP73" s="235">
        <f t="shared" si="654"/>
        <v>12</v>
      </c>
      <c r="BQ73" s="235"/>
      <c r="BR73" s="235"/>
      <c r="BS73" s="227"/>
      <c r="BT73" s="225">
        <f>(BM73+BP73+BP73)/3</f>
        <v>11.666666666666666</v>
      </c>
      <c r="BU73" s="226">
        <f t="shared" si="544"/>
        <v>23.333333333333332</v>
      </c>
      <c r="BV73" s="227">
        <f t="shared" si="545"/>
        <v>35</v>
      </c>
      <c r="BW73" s="238">
        <f>BP73*POWER(KLslave_KL,SIGN(BM73))*POWER(FFslave,SIGN(BP73))+BP73*POWER(KLslave_KL,SIGN(BM73))*POWER(FFslave,SIGN(BP73))+BM73*POWER(FFslave,SIGN(BP73))*POWER(FFslave,SIGN(BP73))</f>
        <v>2432</v>
      </c>
      <c r="BX73" s="235">
        <f>BM73*BP73*FFslave+BM73*FFslave*BP73+KLslave_KL*BP73*BP73</f>
        <v>3408</v>
      </c>
      <c r="BY73" s="227">
        <f>BM73*BP73*BP73</f>
        <v>1584</v>
      </c>
      <c r="BZ73" s="244">
        <f>SUM(BW73:BY73)</f>
        <v>7424</v>
      </c>
      <c r="CA73" s="225">
        <f t="shared" si="548"/>
        <v>3.8218390804597702</v>
      </c>
      <c r="CB73" s="226">
        <f t="shared" si="549"/>
        <v>10.711206896551724</v>
      </c>
      <c r="CC73" s="245">
        <f t="shared" si="550"/>
        <v>7.4676724137931032</v>
      </c>
      <c r="CD73" s="246">
        <f t="shared" si="551"/>
        <v>22.000718390804597</v>
      </c>
      <c r="CE73" s="252">
        <f t="shared" si="552"/>
        <v>0</v>
      </c>
      <c r="CF73" s="309">
        <f t="shared" si="553"/>
        <v>22.000718390804597</v>
      </c>
      <c r="CG73" s="246">
        <f>IF(CD73&gt;0,CD73,0)*1+IF(CD73&gt;12,CD73-12,0)*1+IF(CD73&gt;13,CD73-13,0)*1+IF(CD73&gt;14,CD73-14,0)*1+IF(CD73&gt;15,CD73-15,0)*1+IF(CD73&gt;16,CD73-16,0)*1+IF(CD73&gt;17,CD73-17,0)*1+IF(CD73&gt;18,CD73-18,0)*1+IF(CD73&gt;19,CD73-19,0)*1+IF(CD73&gt;20,CD73-20,0)*1</f>
        <v>76.007183908045945</v>
      </c>
      <c r="CH73" s="244">
        <f>IF(CE73&gt;0,CE73,0)*1+IF(CE73&gt;12,CE73-12,0)*1+IF(CE73&gt;13,CE73-13,0)*1+IF(CE73&gt;14,CE73-14,0)*1+IF(CE73&gt;15,CE73-15,0)*1+IF(CE73&gt;16,CE73-16,0)*1+IF(CE73&gt;17,CE73-17,0)*1+IF(CE73&gt;18,CE73-18,0)*1+IF(CE73&gt;19,CE73-19,0)*1+IF(CE73&gt;20,CE73-20,0)*1</f>
        <v>0</v>
      </c>
      <c r="CI73" s="245">
        <f>IF((CG73-CH73)&gt;0,CG73-CH73,0)</f>
        <v>76.007183908045945</v>
      </c>
      <c r="CJ73" s="246">
        <f t="shared" si="555"/>
        <v>0</v>
      </c>
      <c r="CL73" s="306" t="s">
        <v>65</v>
      </c>
      <c r="CM73" s="245" t="s">
        <v>102</v>
      </c>
      <c r="CN73" s="246" t="s">
        <v>133</v>
      </c>
      <c r="CO73" s="238"/>
      <c r="CP73" s="235">
        <f>Konvention_1slave-KLslave</f>
        <v>12</v>
      </c>
      <c r="CQ73" s="235"/>
      <c r="CR73" s="235"/>
      <c r="CS73" s="235">
        <f t="shared" si="655"/>
        <v>12</v>
      </c>
      <c r="CT73" s="235"/>
      <c r="CU73" s="235"/>
      <c r="CV73" s="227"/>
      <c r="CW73" s="225">
        <f>(CP73+CS73+CS73)/3</f>
        <v>12</v>
      </c>
      <c r="CX73" s="226">
        <f t="shared" si="557"/>
        <v>24</v>
      </c>
      <c r="CY73" s="227">
        <f t="shared" si="558"/>
        <v>36</v>
      </c>
      <c r="CZ73" s="238">
        <f>CS73*POWER(KLslave,SIGN(CP73))*POWER(FFslave,SIGN(CS73))+CS73*POWER(KLslave,SIGN(CP73))*POWER(FFslave,SIGN(CS73))+CP73*POWER(FFslave,SIGN(CS73))*POWER(FFslave,SIGN(CS73))</f>
        <v>2304</v>
      </c>
      <c r="DA73" s="235">
        <f>CP73*CS73*FFslave+CP73*FFslave*CS73+KLslave*CS73*CS73</f>
        <v>3456</v>
      </c>
      <c r="DB73" s="227">
        <f>CP73*CS73*CS73</f>
        <v>1728</v>
      </c>
      <c r="DC73" s="244">
        <f>SUM(CZ73:DB73)</f>
        <v>7488</v>
      </c>
      <c r="DD73" s="225">
        <f t="shared" si="561"/>
        <v>3.6923076923076925</v>
      </c>
      <c r="DE73" s="226">
        <f t="shared" si="562"/>
        <v>11.076923076923077</v>
      </c>
      <c r="DF73" s="245">
        <f t="shared" si="563"/>
        <v>8.3076923076923084</v>
      </c>
      <c r="DG73" s="246">
        <f t="shared" si="564"/>
        <v>23.07692307692308</v>
      </c>
      <c r="DH73" s="252">
        <f t="shared" si="565"/>
        <v>0</v>
      </c>
      <c r="DI73" s="309">
        <f t="shared" si="566"/>
        <v>23.07692307692308</v>
      </c>
      <c r="DJ73" s="246">
        <f>IF(DG73&gt;0,DG73,0)*1+IF(DG73&gt;12,DG73-12,0)*1+IF(DG73&gt;13,DG73-13,0)*1+IF(DG73&gt;14,DG73-14,0)*1+IF(DG73&gt;15,DG73-15,0)*1+IF(DG73&gt;16,DG73-16,0)*1+IF(DG73&gt;17,DG73-17,0)*1+IF(DG73&gt;18,DG73-18,0)*1+IF(DG73&gt;19,DG73-19,0)*1+IF(DG73&gt;20,DG73-20,0)*1</f>
        <v>86.769230769230802</v>
      </c>
      <c r="DK73" s="244">
        <f>IF(DH73&gt;0,DH73,0)*1+IF(DH73&gt;12,DH73-12,0)*1+IF(DH73&gt;13,DH73-13,0)*1+IF(DH73&gt;14,DH73-14,0)*1+IF(DH73&gt;15,DH73-15,0)*1+IF(DH73&gt;16,DH73-16,0)*1+IF(DH73&gt;17,DH73-17,0)*1+IF(DH73&gt;18,DH73-18,0)*1+IF(DH73&gt;19,DH73-19,0)*1+IF(DH73&gt;20,DH73-20,0)*1</f>
        <v>0</v>
      </c>
      <c r="DL73" s="245">
        <f>IF((DJ73-DK73)&gt;0,DJ73-DK73,0)</f>
        <v>86.769230769230802</v>
      </c>
      <c r="DM73" s="246">
        <f t="shared" si="568"/>
        <v>0</v>
      </c>
      <c r="DO73" s="306" t="s">
        <v>65</v>
      </c>
      <c r="DP73" s="245" t="s">
        <v>102</v>
      </c>
      <c r="DQ73" s="246" t="s">
        <v>133</v>
      </c>
      <c r="DR73" s="238"/>
      <c r="DS73" s="235">
        <f>Konvention_1slave-KLslave</f>
        <v>12</v>
      </c>
      <c r="DT73" s="235"/>
      <c r="DU73" s="235"/>
      <c r="DV73" s="235">
        <f t="shared" si="656"/>
        <v>12</v>
      </c>
      <c r="DW73" s="235"/>
      <c r="DX73" s="235"/>
      <c r="DY73" s="227"/>
      <c r="DZ73" s="225">
        <f>(DS73+DV73+DV73)/3</f>
        <v>12</v>
      </c>
      <c r="EA73" s="226">
        <f t="shared" si="570"/>
        <v>24</v>
      </c>
      <c r="EB73" s="227">
        <f t="shared" si="571"/>
        <v>36</v>
      </c>
      <c r="EC73" s="238">
        <f>DV73*POWER(KLslave,SIGN(DS73))*POWER(FFslave,SIGN(DV73))+DV73*POWER(KLslave,SIGN(DS73))*POWER(FFslave,SIGN(DV73))+DS73*POWER(FFslave,SIGN(DV73))*POWER(FFslave,SIGN(DV73))</f>
        <v>2304</v>
      </c>
      <c r="ED73" s="235">
        <f>DS73*DV73*FFslave+DS73*FFslave*DV73+KLslave*DV73*DV73</f>
        <v>3456</v>
      </c>
      <c r="EE73" s="227">
        <f>DS73*DV73*DV73</f>
        <v>1728</v>
      </c>
      <c r="EF73" s="244">
        <f>SUM(EC73:EE73)</f>
        <v>7488</v>
      </c>
      <c r="EG73" s="225">
        <f t="shared" si="574"/>
        <v>3.6923076923076925</v>
      </c>
      <c r="EH73" s="226">
        <f t="shared" si="575"/>
        <v>11.076923076923077</v>
      </c>
      <c r="EI73" s="245">
        <f t="shared" si="576"/>
        <v>8.3076923076923084</v>
      </c>
      <c r="EJ73" s="246">
        <f t="shared" si="577"/>
        <v>23.07692307692308</v>
      </c>
      <c r="EK73" s="252">
        <f t="shared" si="578"/>
        <v>0</v>
      </c>
      <c r="EL73" s="309">
        <f t="shared" si="579"/>
        <v>23.07692307692308</v>
      </c>
      <c r="EM73" s="246">
        <f>IF(EJ73&gt;0,EJ73,0)*1+IF(EJ73&gt;12,EJ73-12,0)*1+IF(EJ73&gt;13,EJ73-13,0)*1+IF(EJ73&gt;14,EJ73-14,0)*1+IF(EJ73&gt;15,EJ73-15,0)*1+IF(EJ73&gt;16,EJ73-16,0)*1+IF(EJ73&gt;17,EJ73-17,0)*1+IF(EJ73&gt;18,EJ73-18,0)*1+IF(EJ73&gt;19,EJ73-19,0)*1+IF(EJ73&gt;20,EJ73-20,0)*1</f>
        <v>86.769230769230802</v>
      </c>
      <c r="EN73" s="244">
        <f>IF(EK73&gt;0,EK73,0)*1+IF(EK73&gt;12,EK73-12,0)*1+IF(EK73&gt;13,EK73-13,0)*1+IF(EK73&gt;14,EK73-14,0)*1+IF(EK73&gt;15,EK73-15,0)*1+IF(EK73&gt;16,EK73-16,0)*1+IF(EK73&gt;17,EK73-17,0)*1+IF(EK73&gt;18,EK73-18,0)*1+IF(EK73&gt;19,EK73-19,0)*1+IF(EK73&gt;20,EK73-20,0)*1</f>
        <v>0</v>
      </c>
      <c r="EO73" s="245">
        <f>IF((EM73-EN73)&gt;0,EM73-EN73,0)</f>
        <v>86.769230769230802</v>
      </c>
      <c r="EP73" s="246">
        <f t="shared" si="581"/>
        <v>0</v>
      </c>
      <c r="ER73" s="306" t="s">
        <v>65</v>
      </c>
      <c r="ES73" s="245" t="s">
        <v>102</v>
      </c>
      <c r="ET73" s="246" t="s">
        <v>133</v>
      </c>
      <c r="EU73" s="238"/>
      <c r="EV73" s="235">
        <f>Konvention_1slave-KLslave</f>
        <v>12</v>
      </c>
      <c r="EW73" s="235"/>
      <c r="EX73" s="235"/>
      <c r="EY73" s="235">
        <f t="shared" si="657"/>
        <v>11</v>
      </c>
      <c r="EZ73" s="235"/>
      <c r="FA73" s="235"/>
      <c r="FB73" s="227"/>
      <c r="FC73" s="225">
        <f>(EV73+EY73+EY73)/3</f>
        <v>11.333333333333334</v>
      </c>
      <c r="FD73" s="226">
        <f t="shared" si="583"/>
        <v>22.666666666666668</v>
      </c>
      <c r="FE73" s="227">
        <f t="shared" si="584"/>
        <v>34</v>
      </c>
      <c r="FF73" s="238">
        <f>EY73*POWER(KLslave,SIGN(EV73))*POWER(FFslave_FF,SIGN(EY73))+EY73*POWER(KLslave,SIGN(EV73))*POWER(FFslave_FF,SIGN(EY73))+EV73*POWER(FFslave_FF,SIGN(EY73))*POWER(FFslave_FF,SIGN(EY73))</f>
        <v>2556</v>
      </c>
      <c r="FG73" s="235">
        <f>EV73*EY73*FFslave_FF+EV73*FFslave_FF*EY73+KLslave*EY73*EY73</f>
        <v>3344</v>
      </c>
      <c r="FH73" s="227">
        <f>EV73*EY73*EY73</f>
        <v>1452</v>
      </c>
      <c r="FI73" s="244">
        <f>SUM(FF73:FH73)</f>
        <v>7352</v>
      </c>
      <c r="FJ73" s="225">
        <f t="shared" si="587"/>
        <v>3.940152339499456</v>
      </c>
      <c r="FK73" s="226">
        <f t="shared" si="588"/>
        <v>10.309756982227059</v>
      </c>
      <c r="FL73" s="245">
        <f t="shared" si="589"/>
        <v>6.714907508161045</v>
      </c>
      <c r="FM73" s="246">
        <f t="shared" si="590"/>
        <v>20.96481682988756</v>
      </c>
      <c r="FN73" s="252">
        <f t="shared" si="591"/>
        <v>0</v>
      </c>
      <c r="FO73" s="309">
        <f t="shared" si="592"/>
        <v>20.96481682988756</v>
      </c>
      <c r="FP73" s="246">
        <f>IF(FM73&gt;0,FM73,0)*1+IF(FM73&gt;12,FM73-12,0)*1+IF(FM73&gt;13,FM73-13,0)*1+IF(FM73&gt;14,FM73-14,0)*1+IF(FM73&gt;15,FM73-15,0)*1+IF(FM73&gt;16,FM73-16,0)*1+IF(FM73&gt;17,FM73-17,0)*1+IF(FM73&gt;18,FM73-18,0)*1+IF(FM73&gt;19,FM73-19,0)*1+IF(FM73&gt;20,FM73-20,0)*1</f>
        <v>65.648168298875589</v>
      </c>
      <c r="FQ73" s="244">
        <f>IF(FN73&gt;0,FN73,0)*1+IF(FN73&gt;12,FN73-12,0)*1+IF(FN73&gt;13,FN73-13,0)*1+IF(FN73&gt;14,FN73-14,0)*1+IF(FN73&gt;15,FN73-15,0)*1+IF(FN73&gt;16,FN73-16,0)*1+IF(FN73&gt;17,FN73-17,0)*1+IF(FN73&gt;18,FN73-18,0)*1+IF(FN73&gt;19,FN73-19,0)*1+IF(FN73&gt;20,FN73-20,0)*1</f>
        <v>0</v>
      </c>
      <c r="FR73" s="245">
        <f>IF((FP73-FQ73)&gt;0,FP73-FQ73,0)</f>
        <v>65.648168298875589</v>
      </c>
      <c r="FS73" s="246">
        <f t="shared" si="594"/>
        <v>0</v>
      </c>
      <c r="FU73" s="306" t="s">
        <v>65</v>
      </c>
      <c r="FV73" s="245" t="s">
        <v>102</v>
      </c>
      <c r="FW73" s="246" t="s">
        <v>133</v>
      </c>
      <c r="FX73" s="238"/>
      <c r="FY73" s="235">
        <f>Konvention_1slave-KLslave</f>
        <v>12</v>
      </c>
      <c r="FZ73" s="235"/>
      <c r="GA73" s="235"/>
      <c r="GB73" s="235">
        <f t="shared" si="658"/>
        <v>12</v>
      </c>
      <c r="GC73" s="235"/>
      <c r="GD73" s="235"/>
      <c r="GE73" s="227"/>
      <c r="GF73" s="225">
        <f>(FY73+GB73+GB73)/3</f>
        <v>12</v>
      </c>
      <c r="GG73" s="226">
        <f t="shared" si="596"/>
        <v>24</v>
      </c>
      <c r="GH73" s="227">
        <f t="shared" si="597"/>
        <v>36</v>
      </c>
      <c r="GI73" s="238">
        <f>GB73*POWER(KLslave,SIGN(FY73))*POWER(FFslave,SIGN(GB73))+GB73*POWER(KLslave,SIGN(FY73))*POWER(FFslave,SIGN(GB73))+FY73*POWER(FFslave,SIGN(GB73))*POWER(FFslave,SIGN(GB73))</f>
        <v>2304</v>
      </c>
      <c r="GJ73" s="235">
        <f>FY73*GB73*FFslave+FY73*FFslave*GB73+KLslave*GB73*GB73</f>
        <v>3456</v>
      </c>
      <c r="GK73" s="227">
        <f>FY73*GB73*GB73</f>
        <v>1728</v>
      </c>
      <c r="GL73" s="244">
        <f>SUM(GI73:GK73)</f>
        <v>7488</v>
      </c>
      <c r="GM73" s="225">
        <f t="shared" si="600"/>
        <v>3.6923076923076925</v>
      </c>
      <c r="GN73" s="226">
        <f t="shared" si="601"/>
        <v>11.076923076923077</v>
      </c>
      <c r="GO73" s="245">
        <f t="shared" si="602"/>
        <v>8.3076923076923084</v>
      </c>
      <c r="GP73" s="246">
        <f t="shared" si="603"/>
        <v>23.07692307692308</v>
      </c>
      <c r="GQ73" s="252">
        <f t="shared" si="604"/>
        <v>0</v>
      </c>
      <c r="GR73" s="309">
        <f t="shared" si="605"/>
        <v>23.07692307692308</v>
      </c>
      <c r="GS73" s="246">
        <f>IF(GP73&gt;0,GP73,0)*1+IF(GP73&gt;12,GP73-12,0)*1+IF(GP73&gt;13,GP73-13,0)*1+IF(GP73&gt;14,GP73-14,0)*1+IF(GP73&gt;15,GP73-15,0)*1+IF(GP73&gt;16,GP73-16,0)*1+IF(GP73&gt;17,GP73-17,0)*1+IF(GP73&gt;18,GP73-18,0)*1+IF(GP73&gt;19,GP73-19,0)*1+IF(GP73&gt;20,GP73-20,0)*1</f>
        <v>86.769230769230802</v>
      </c>
      <c r="GT73" s="244">
        <f>IF(GQ73&gt;0,GQ73,0)*1+IF(GQ73&gt;12,GQ73-12,0)*1+IF(GQ73&gt;13,GQ73-13,0)*1+IF(GQ73&gt;14,GQ73-14,0)*1+IF(GQ73&gt;15,GQ73-15,0)*1+IF(GQ73&gt;16,GQ73-16,0)*1+IF(GQ73&gt;17,GQ73-17,0)*1+IF(GQ73&gt;18,GQ73-18,0)*1+IF(GQ73&gt;19,GQ73-19,0)*1+IF(GQ73&gt;20,GQ73-20,0)*1</f>
        <v>0</v>
      </c>
      <c r="GU73" s="245">
        <f>IF((GS73-GT73)&gt;0,GS73-GT73,0)</f>
        <v>86.769230769230802</v>
      </c>
      <c r="GV73" s="246">
        <f t="shared" si="607"/>
        <v>0</v>
      </c>
      <c r="GX73" s="306" t="s">
        <v>65</v>
      </c>
      <c r="GY73" s="245" t="s">
        <v>102</v>
      </c>
      <c r="GZ73" s="246" t="s">
        <v>133</v>
      </c>
      <c r="HA73" s="238"/>
      <c r="HB73" s="235">
        <f>Konvention_1slave-KLslave</f>
        <v>12</v>
      </c>
      <c r="HC73" s="235"/>
      <c r="HD73" s="235"/>
      <c r="HE73" s="235">
        <f t="shared" si="659"/>
        <v>12</v>
      </c>
      <c r="HF73" s="235"/>
      <c r="HG73" s="235"/>
      <c r="HH73" s="227"/>
      <c r="HI73" s="225">
        <f>(HB73+HE73+HE73)/3</f>
        <v>12</v>
      </c>
      <c r="HJ73" s="226">
        <f t="shared" si="609"/>
        <v>24</v>
      </c>
      <c r="HK73" s="227">
        <f t="shared" si="610"/>
        <v>36</v>
      </c>
      <c r="HL73" s="238">
        <f>HE73*POWER(KLslave,SIGN(HB73))*POWER(FFslave,SIGN(HE73))+HE73*POWER(KLslave,SIGN(HB73))*POWER(FFslave,SIGN(HE73))+HB73*POWER(FFslave,SIGN(HE73))*POWER(FFslave,SIGN(HE73))</f>
        <v>2304</v>
      </c>
      <c r="HM73" s="235">
        <f>HB73*HE73*FFslave+HB73*FFslave*HE73+KLslave*HE73*HE73</f>
        <v>3456</v>
      </c>
      <c r="HN73" s="227">
        <f>HB73*HE73*HE73</f>
        <v>1728</v>
      </c>
      <c r="HO73" s="244">
        <f>SUM(HL73:HN73)</f>
        <v>7488</v>
      </c>
      <c r="HP73" s="225">
        <f t="shared" si="613"/>
        <v>3.6923076923076925</v>
      </c>
      <c r="HQ73" s="226">
        <f t="shared" si="614"/>
        <v>11.076923076923077</v>
      </c>
      <c r="HR73" s="245">
        <f t="shared" si="615"/>
        <v>8.3076923076923084</v>
      </c>
      <c r="HS73" s="246">
        <f t="shared" si="616"/>
        <v>23.07692307692308</v>
      </c>
      <c r="HT73" s="252">
        <f t="shared" si="617"/>
        <v>0</v>
      </c>
      <c r="HU73" s="309">
        <f t="shared" si="618"/>
        <v>23.07692307692308</v>
      </c>
      <c r="HV73" s="246">
        <f>IF(HS73&gt;0,HS73,0)*1+IF(HS73&gt;12,HS73-12,0)*1+IF(HS73&gt;13,HS73-13,0)*1+IF(HS73&gt;14,HS73-14,0)*1+IF(HS73&gt;15,HS73-15,0)*1+IF(HS73&gt;16,HS73-16,0)*1+IF(HS73&gt;17,HS73-17,0)*1+IF(HS73&gt;18,HS73-18,0)*1+IF(HS73&gt;19,HS73-19,0)*1+IF(HS73&gt;20,HS73-20,0)*1</f>
        <v>86.769230769230802</v>
      </c>
      <c r="HW73" s="244">
        <f>IF(HT73&gt;0,HT73,0)*1+IF(HT73&gt;12,HT73-12,0)*1+IF(HT73&gt;13,HT73-13,0)*1+IF(HT73&gt;14,HT73-14,0)*1+IF(HT73&gt;15,HT73-15,0)*1+IF(HT73&gt;16,HT73-16,0)*1+IF(HT73&gt;17,HT73-17,0)*1+IF(HT73&gt;18,HT73-18,0)*1+IF(HT73&gt;19,HT73-19,0)*1+IF(HT73&gt;20,HT73-20,0)*1</f>
        <v>0</v>
      </c>
      <c r="HX73" s="245">
        <f>IF((HV73-HW73)&gt;0,HV73-HW73,0)</f>
        <v>86.769230769230802</v>
      </c>
      <c r="HY73" s="246">
        <f t="shared" si="620"/>
        <v>0</v>
      </c>
      <c r="IA73" s="306" t="s">
        <v>65</v>
      </c>
      <c r="IB73" s="245" t="s">
        <v>102</v>
      </c>
      <c r="IC73" s="246" t="s">
        <v>133</v>
      </c>
      <c r="ID73" s="238"/>
      <c r="IE73" s="235">
        <f>Konvention_1slave-KLslave</f>
        <v>12</v>
      </c>
      <c r="IF73" s="235"/>
      <c r="IG73" s="235"/>
      <c r="IH73" s="235">
        <f t="shared" si="660"/>
        <v>12</v>
      </c>
      <c r="II73" s="235"/>
      <c r="IJ73" s="235"/>
      <c r="IK73" s="227"/>
      <c r="IL73" s="225">
        <f>(IE73+IH73+IH73)/3</f>
        <v>12</v>
      </c>
      <c r="IM73" s="226">
        <f t="shared" si="622"/>
        <v>24</v>
      </c>
      <c r="IN73" s="227">
        <f t="shared" si="623"/>
        <v>36</v>
      </c>
      <c r="IO73" s="238">
        <f>IH73*POWER(KLslave,SIGN(IE73))*POWER(FFslave,SIGN(IH73))+IH73*POWER(KLslave,SIGN(IE73))*POWER(FFslave,SIGN(IH73))+IE73*POWER(FFslave,SIGN(IH73))*POWER(FFslave,SIGN(IH73))</f>
        <v>2304</v>
      </c>
      <c r="IP73" s="235">
        <f>IE73*IH73*FFslave+IE73*FFslave*IH73+KLslave*IH73*IH73</f>
        <v>3456</v>
      </c>
      <c r="IQ73" s="227">
        <f>IE73*IH73*IH73</f>
        <v>1728</v>
      </c>
      <c r="IR73" s="244">
        <f>SUM(IO73:IQ73)</f>
        <v>7488</v>
      </c>
      <c r="IS73" s="225">
        <f t="shared" si="626"/>
        <v>3.6923076923076925</v>
      </c>
      <c r="IT73" s="226">
        <f t="shared" si="627"/>
        <v>11.076923076923077</v>
      </c>
      <c r="IU73" s="245">
        <f t="shared" si="628"/>
        <v>8.3076923076923084</v>
      </c>
      <c r="IV73" s="246">
        <f t="shared" si="629"/>
        <v>23.07692307692308</v>
      </c>
      <c r="IW73" s="252">
        <f t="shared" si="630"/>
        <v>0</v>
      </c>
      <c r="IX73" s="309">
        <f t="shared" si="631"/>
        <v>23.07692307692308</v>
      </c>
      <c r="IY73" s="246">
        <f>IF(IV73&gt;0,IV73,0)*1+IF(IV73&gt;12,IV73-12,0)*1+IF(IV73&gt;13,IV73-13,0)*1+IF(IV73&gt;14,IV73-14,0)*1+IF(IV73&gt;15,IV73-15,0)*1+IF(IV73&gt;16,IV73-16,0)*1+IF(IV73&gt;17,IV73-17,0)*1+IF(IV73&gt;18,IV73-18,0)*1+IF(IV73&gt;19,IV73-19,0)*1+IF(IV73&gt;20,IV73-20,0)*1</f>
        <v>86.769230769230802</v>
      </c>
      <c r="IZ73" s="244">
        <f>IF(IW73&gt;0,IW73,0)*1+IF(IW73&gt;12,IW73-12,0)*1+IF(IW73&gt;13,IW73-13,0)*1+IF(IW73&gt;14,IW73-14,0)*1+IF(IW73&gt;15,IW73-15,0)*1+IF(IW73&gt;16,IW73-16,0)*1+IF(IW73&gt;17,IW73-17,0)*1+IF(IW73&gt;18,IW73-18,0)*1+IF(IW73&gt;19,IW73-19,0)*1+IF(IW73&gt;20,IW73-20,0)*1</f>
        <v>0</v>
      </c>
      <c r="JA73" s="245">
        <f>IF((IY73-IZ73)&gt;0,IY73-IZ73,0)</f>
        <v>86.769230769230802</v>
      </c>
      <c r="JB73" s="246">
        <f t="shared" si="633"/>
        <v>0</v>
      </c>
      <c r="JE73" s="148"/>
    </row>
    <row r="74" spans="1:265" hidden="1" outlineLevel="1" collapsed="1">
      <c r="C74" s="248"/>
      <c r="Y74" s="251"/>
      <c r="Z74" s="197"/>
      <c r="AF74" s="140"/>
      <c r="BB74" s="197"/>
      <c r="BC74" s="197"/>
      <c r="BI74" s="248"/>
      <c r="CE74" s="251"/>
      <c r="CF74" s="251"/>
      <c r="CL74" s="248"/>
      <c r="DH74" s="251"/>
      <c r="DI74" s="251"/>
      <c r="DO74" s="248"/>
      <c r="EK74" s="251"/>
      <c r="EL74" s="251"/>
      <c r="ER74" s="248"/>
      <c r="FN74" s="251"/>
      <c r="FO74" s="251"/>
      <c r="FU74" s="248"/>
      <c r="GQ74" s="251"/>
      <c r="GR74" s="251"/>
      <c r="GX74" s="248"/>
      <c r="HT74" s="251"/>
      <c r="HU74" s="251"/>
      <c r="IA74" s="248"/>
      <c r="IW74" s="251"/>
      <c r="IX74" s="251"/>
      <c r="JE74" s="148"/>
    </row>
    <row r="75" spans="1:265" ht="15.75" collapsed="1" thickBot="1">
      <c r="C75" s="248"/>
      <c r="Y75" s="251"/>
      <c r="Z75" s="197"/>
      <c r="AF75" s="140"/>
      <c r="BB75" s="197"/>
      <c r="BC75" s="197"/>
      <c r="BI75" s="248"/>
      <c r="CE75" s="251"/>
      <c r="CF75" s="251"/>
      <c r="CL75" s="248"/>
      <c r="DH75" s="251"/>
      <c r="DI75" s="251"/>
      <c r="DO75" s="248"/>
      <c r="EK75" s="251"/>
      <c r="EL75" s="251"/>
      <c r="ER75" s="248"/>
      <c r="FN75" s="251"/>
      <c r="FO75" s="251"/>
      <c r="FU75" s="248"/>
      <c r="GQ75" s="251"/>
      <c r="GR75" s="251"/>
      <c r="GX75" s="248"/>
      <c r="HT75" s="251"/>
      <c r="HU75" s="251"/>
      <c r="IA75" s="248"/>
      <c r="IW75" s="251"/>
      <c r="IX75" s="251"/>
      <c r="JE75" s="148"/>
    </row>
    <row r="76" spans="1:265" ht="15.75" thickBot="1">
      <c r="A76" s="135" t="s">
        <v>332</v>
      </c>
      <c r="C76" s="248"/>
      <c r="Y76" s="251"/>
      <c r="Z76" s="197"/>
      <c r="AF76" s="140"/>
      <c r="BB76" s="197"/>
      <c r="BC76" s="197"/>
      <c r="BI76" s="248"/>
      <c r="CE76" s="251"/>
      <c r="CF76" s="251"/>
      <c r="CL76" s="248"/>
      <c r="DH76" s="251"/>
      <c r="DI76" s="251"/>
      <c r="DO76" s="248"/>
      <c r="EK76" s="251"/>
      <c r="EL76" s="251"/>
      <c r="ER76" s="248"/>
      <c r="FN76" s="251"/>
      <c r="FO76" s="251"/>
      <c r="FU76" s="248"/>
      <c r="GQ76" s="251"/>
      <c r="GR76" s="251"/>
      <c r="GX76" s="248"/>
      <c r="HT76" s="251"/>
      <c r="HU76" s="251"/>
      <c r="IA76" s="248"/>
      <c r="IW76" s="251"/>
      <c r="IX76" s="251"/>
      <c r="JE76" s="148"/>
    </row>
    <row r="77" spans="1:265" s="201" customFormat="1" hidden="1" outlineLevel="1">
      <c r="B77" s="342" t="s">
        <v>327</v>
      </c>
      <c r="C77" s="341" t="s">
        <v>281</v>
      </c>
      <c r="D77" s="201" t="s">
        <v>279</v>
      </c>
      <c r="E77" s="201" t="s">
        <v>280</v>
      </c>
      <c r="N77" s="337"/>
      <c r="O77" s="337"/>
      <c r="P77" s="337"/>
      <c r="Q77" s="337"/>
      <c r="S77" s="337"/>
      <c r="T77" s="337"/>
      <c r="U77" s="337"/>
      <c r="V77" s="337"/>
      <c r="W77" s="337"/>
      <c r="X77" s="337"/>
      <c r="Y77" s="338"/>
      <c r="Z77" s="339"/>
      <c r="AF77" s="340" t="s">
        <v>281</v>
      </c>
      <c r="AG77" s="201" t="s">
        <v>279</v>
      </c>
      <c r="AH77" s="201" t="s">
        <v>280</v>
      </c>
      <c r="BB77" s="339"/>
      <c r="BC77" s="339"/>
      <c r="BF77" s="337"/>
      <c r="BG77" s="337"/>
      <c r="BH77" s="337"/>
      <c r="BI77" s="341" t="s">
        <v>281</v>
      </c>
      <c r="BJ77" s="337" t="s">
        <v>279</v>
      </c>
      <c r="BK77" s="337" t="s">
        <v>280</v>
      </c>
      <c r="BL77" s="337"/>
      <c r="BM77" s="337"/>
      <c r="BN77" s="337"/>
      <c r="BO77" s="337"/>
      <c r="BP77" s="337"/>
      <c r="BQ77" s="337"/>
      <c r="BR77" s="337"/>
      <c r="BS77" s="337"/>
      <c r="BT77" s="337"/>
      <c r="BU77" s="337"/>
      <c r="BV77" s="337"/>
      <c r="BW77" s="337"/>
      <c r="BX77" s="337"/>
      <c r="BY77" s="337"/>
      <c r="BZ77" s="337"/>
      <c r="CA77" s="337"/>
      <c r="CB77" s="337"/>
      <c r="CC77" s="337"/>
      <c r="CD77" s="337"/>
      <c r="CE77" s="338"/>
      <c r="CF77" s="338"/>
      <c r="CG77" s="337"/>
      <c r="CH77" s="337"/>
      <c r="CI77" s="337"/>
      <c r="CJ77" s="337"/>
      <c r="CK77" s="337"/>
      <c r="CL77" s="341" t="s">
        <v>281</v>
      </c>
      <c r="CM77" s="337" t="s">
        <v>279</v>
      </c>
      <c r="CN77" s="337" t="s">
        <v>280</v>
      </c>
      <c r="CO77" s="337"/>
      <c r="CP77" s="337"/>
      <c r="CQ77" s="337"/>
      <c r="CR77" s="337"/>
      <c r="CS77" s="337"/>
      <c r="CT77" s="337"/>
      <c r="CU77" s="337"/>
      <c r="CV77" s="337"/>
      <c r="CW77" s="337"/>
      <c r="CX77" s="337"/>
      <c r="CY77" s="337"/>
      <c r="CZ77" s="337"/>
      <c r="DA77" s="337"/>
      <c r="DB77" s="337"/>
      <c r="DC77" s="337"/>
      <c r="DD77" s="337"/>
      <c r="DE77" s="337"/>
      <c r="DF77" s="337"/>
      <c r="DG77" s="337"/>
      <c r="DH77" s="338"/>
      <c r="DI77" s="338"/>
      <c r="DJ77" s="337"/>
      <c r="DK77" s="337"/>
      <c r="DL77" s="337"/>
      <c r="DM77" s="337"/>
      <c r="DN77" s="337"/>
      <c r="DO77" s="341" t="s">
        <v>281</v>
      </c>
      <c r="DP77" s="337" t="s">
        <v>279</v>
      </c>
      <c r="DQ77" s="337" t="s">
        <v>280</v>
      </c>
      <c r="DR77" s="337"/>
      <c r="DS77" s="337"/>
      <c r="DT77" s="337"/>
      <c r="DU77" s="337"/>
      <c r="DV77" s="337"/>
      <c r="DW77" s="337"/>
      <c r="DX77" s="337"/>
      <c r="DY77" s="337"/>
      <c r="DZ77" s="337"/>
      <c r="EA77" s="337"/>
      <c r="EB77" s="337"/>
      <c r="EC77" s="337"/>
      <c r="ED77" s="337"/>
      <c r="EE77" s="337"/>
      <c r="EF77" s="337"/>
      <c r="EG77" s="337"/>
      <c r="EH77" s="337"/>
      <c r="EI77" s="337"/>
      <c r="EJ77" s="337"/>
      <c r="EK77" s="338"/>
      <c r="EL77" s="338"/>
      <c r="EM77" s="337"/>
      <c r="EN77" s="337"/>
      <c r="EO77" s="337"/>
      <c r="EP77" s="337"/>
      <c r="EQ77" s="337"/>
      <c r="ER77" s="341" t="s">
        <v>281</v>
      </c>
      <c r="ES77" s="337" t="s">
        <v>279</v>
      </c>
      <c r="ET77" s="337" t="s">
        <v>280</v>
      </c>
      <c r="EU77" s="337"/>
      <c r="EV77" s="337"/>
      <c r="EW77" s="337"/>
      <c r="EX77" s="337"/>
      <c r="EY77" s="337"/>
      <c r="EZ77" s="337"/>
      <c r="FA77" s="337"/>
      <c r="FB77" s="337"/>
      <c r="FC77" s="337"/>
      <c r="FD77" s="337"/>
      <c r="FE77" s="337"/>
      <c r="FF77" s="337"/>
      <c r="FG77" s="337"/>
      <c r="FH77" s="337"/>
      <c r="FI77" s="337"/>
      <c r="FJ77" s="337"/>
      <c r="FK77" s="337"/>
      <c r="FL77" s="337"/>
      <c r="FM77" s="337"/>
      <c r="FN77" s="338"/>
      <c r="FO77" s="338"/>
      <c r="FP77" s="337"/>
      <c r="FQ77" s="337"/>
      <c r="FR77" s="337"/>
      <c r="FS77" s="337"/>
      <c r="FT77" s="337"/>
      <c r="FU77" s="341" t="s">
        <v>281</v>
      </c>
      <c r="FV77" s="337" t="s">
        <v>279</v>
      </c>
      <c r="FW77" s="337" t="s">
        <v>280</v>
      </c>
      <c r="FX77" s="337"/>
      <c r="FY77" s="337"/>
      <c r="FZ77" s="337"/>
      <c r="GA77" s="337"/>
      <c r="GB77" s="337"/>
      <c r="GC77" s="337"/>
      <c r="GD77" s="337"/>
      <c r="GE77" s="337"/>
      <c r="GF77" s="337"/>
      <c r="GG77" s="337"/>
      <c r="GH77" s="337"/>
      <c r="GI77" s="337"/>
      <c r="GJ77" s="337"/>
      <c r="GK77" s="337"/>
      <c r="GL77" s="337"/>
      <c r="GM77" s="337"/>
      <c r="GN77" s="337"/>
      <c r="GO77" s="337"/>
      <c r="GP77" s="337"/>
      <c r="GQ77" s="338"/>
      <c r="GR77" s="338"/>
      <c r="GS77" s="337"/>
      <c r="GT77" s="337"/>
      <c r="GU77" s="337"/>
      <c r="GV77" s="337"/>
      <c r="GW77" s="337"/>
      <c r="GX77" s="341" t="s">
        <v>281</v>
      </c>
      <c r="GY77" s="337" t="s">
        <v>279</v>
      </c>
      <c r="GZ77" s="337" t="s">
        <v>280</v>
      </c>
      <c r="HA77" s="337"/>
      <c r="HB77" s="337"/>
      <c r="HC77" s="337"/>
      <c r="HD77" s="337"/>
      <c r="HE77" s="337"/>
      <c r="HF77" s="337"/>
      <c r="HG77" s="337"/>
      <c r="HH77" s="337"/>
      <c r="HI77" s="337"/>
      <c r="HJ77" s="337"/>
      <c r="HK77" s="337"/>
      <c r="HL77" s="337"/>
      <c r="HM77" s="337"/>
      <c r="HN77" s="337"/>
      <c r="HO77" s="337"/>
      <c r="HP77" s="337"/>
      <c r="HQ77" s="337"/>
      <c r="HR77" s="337"/>
      <c r="HS77" s="337"/>
      <c r="HT77" s="338"/>
      <c r="HU77" s="338"/>
      <c r="HV77" s="337"/>
      <c r="HW77" s="337"/>
      <c r="HX77" s="337"/>
      <c r="HY77" s="337"/>
      <c r="HZ77" s="337"/>
      <c r="IA77" s="341" t="s">
        <v>281</v>
      </c>
      <c r="IB77" s="337" t="s">
        <v>279</v>
      </c>
      <c r="IC77" s="337" t="s">
        <v>280</v>
      </c>
      <c r="ID77" s="337"/>
      <c r="IE77" s="337"/>
      <c r="IF77" s="337"/>
      <c r="IG77" s="337"/>
      <c r="IH77" s="337"/>
      <c r="II77" s="337"/>
      <c r="IJ77" s="337"/>
      <c r="IK77" s="337"/>
      <c r="IL77" s="337"/>
      <c r="IM77" s="337"/>
      <c r="IN77" s="337"/>
      <c r="IO77" s="337"/>
      <c r="IP77" s="337"/>
      <c r="IQ77" s="337"/>
      <c r="IR77" s="337"/>
      <c r="IS77" s="337"/>
      <c r="IT77" s="337"/>
      <c r="IU77" s="337"/>
      <c r="IV77" s="337"/>
      <c r="IW77" s="338"/>
      <c r="IX77" s="338"/>
      <c r="IY77" s="337"/>
      <c r="IZ77" s="337"/>
      <c r="JA77" s="337"/>
      <c r="JB77" s="337"/>
    </row>
    <row r="78" spans="1:265" hidden="1" outlineLevel="2">
      <c r="B78" s="148">
        <v>1</v>
      </c>
      <c r="C78" s="302" t="e">
        <f>VLOOKUP(AF78,Attribute!C:T,1,FALSE)</f>
        <v>#N/A</v>
      </c>
      <c r="D78" s="85" t="s">
        <v>8</v>
      </c>
      <c r="E78" s="126" t="s">
        <v>135</v>
      </c>
      <c r="F78" s="191">
        <f>Konvention_1master-MUmaster</f>
        <v>12</v>
      </c>
      <c r="G78" s="118"/>
      <c r="H78" s="118">
        <f>Konvention_1master-INmaster</f>
        <v>12</v>
      </c>
      <c r="I78" s="118"/>
      <c r="J78" s="118"/>
      <c r="K78" s="118">
        <f>Konvention_1master-GEmaster</f>
        <v>12</v>
      </c>
      <c r="L78" s="118"/>
      <c r="M78" s="92"/>
      <c r="N78" s="220">
        <f>(F78+G78+H78+I78+J78+K78+L78+M78)/3</f>
        <v>12</v>
      </c>
      <c r="O78" s="220">
        <f>2*N78</f>
        <v>24</v>
      </c>
      <c r="P78" s="221">
        <f>3*N78</f>
        <v>36</v>
      </c>
      <c r="Q78" s="236">
        <f>F78*POWER(KLmaster,SIGN(G78))*POWER(INmaster,SIGN(H78))*POWER(CHmaster,SIGN(I78))*POWER(FFmaster,SIGN(J78))*POWER(GEmaster,SIGN(K78))*POWER(KOmaster,SIGN(L78))*POWER(KKmaster,SIGN(M78))+G78*POWER(MUmaster,SIGN(F78))*POWER(INmaster,SIGN(H78))*POWER(CHmaster,SIGN(I78))*POWER(FFmaster,SIGN(J78))*POWER(GEmaster,SIGN(K78))*POWER(KOmaster,SIGN(L78))*POWER(KKmaster,SIGN(M78))+H78*POWER(MUmaster,SIGN(F78))*POWER(KLmaster,SIGN(G78))*POWER(CHmaster,SIGN(I78))*POWER(FFmaster,SIGN(J78))*POWER(GEmaster,SIGN(K78))*POWER(KOmaster,SIGN(L78))*POWER(KKmaster,SIGN(M78))+I78*POWER(MUmaster,SIGN(F78))*POWER(KLmaster,SIGN(G78))*POWER(INmaster,SIGN(H78))*POWER(FFmaster,SIGN(J78))*POWER(GEmaster,SIGN(K78))*POWER(KOmaster,SIGN(L78))*POWER(KKmaster,SIGN(M78))+J78*POWER(MUmaster,SIGN(F78))*POWER(KLmaster,SIGN(G78))*POWER(INmaster,SIGN(H78))*POWER(CHmaster,SIGN(I78))*POWER(GEmaster,SIGN(K78))*POWER(KOmaster,SIGN(L78))*POWER(KKmaster,SIGN(M78))+K78*POWER(MUmaster,SIGN(F78))*POWER(KLmaster,SIGN(G78))*POWER(INmaster,SIGN(H78))*POWER(CHmaster,SIGN(I78))*POWER(FFmaster,SIGN(J78))*POWER(KOmaster,SIGN(L78))*POWER(KKmaster,SIGN(M78))+L78*POWER(MUmaster,SIGN(F78))*POWER(KLmaster,SIGN(G78))*POWER(INmaster,SIGN(H78))*POWER(CHmaster,SIGN(I78))*POWER(FFmaster,SIGN(J78))*POWER(GEmaster,SIGN(K78))*POWER(KKmaster,SIGN(M78))+M78*POWER(MUmaster,SIGN(F78))*POWER(KLmaster,SIGN(G78))*POWER(INmaster,SIGN(H78))*POWER(CHmaster,SIGN(I78))*POWER(FFmaster,SIGN(J78))*POWER(GEmaster,SIGN(K78))*POWER(KOmaster,SIGN(L78))</f>
        <v>2304</v>
      </c>
      <c r="R78" s="118">
        <f>F78*H78*GEmaster+F78*INmaster*K78+MUmaster*H78*K78</f>
        <v>3456</v>
      </c>
      <c r="S78" s="221">
        <f>IFERROR(F78^SIGN(F78),1)*IFERROR(G78^SIGN(G78),1)*IFERROR(H78^SIGN(H78),1)*IFERROR(I78^SIGN(I78),1)*IFERROR(J78^SIGN(J78),1)*IFERROR(K78^SIGN(K78),1)*IFERROR(L78^SIGN(L78),1)*IFERROR(M78^SIGN(M78),1)</f>
        <v>1728</v>
      </c>
      <c r="T78" s="221">
        <f>SUM(Q78:S78)</f>
        <v>7488</v>
      </c>
      <c r="U78" s="219">
        <f>N78*Q78/T78</f>
        <v>3.6923076923076925</v>
      </c>
      <c r="V78" s="220">
        <f>O78*R78/T78</f>
        <v>11.076923076923077</v>
      </c>
      <c r="W78" s="241">
        <f>P78*S78/T78</f>
        <v>8.3076923076923084</v>
      </c>
      <c r="X78" s="241">
        <f>SUM(U78:W78)</f>
        <v>23.07692307692308</v>
      </c>
      <c r="Y78" s="252">
        <v>0</v>
      </c>
      <c r="Z78" s="198">
        <f>X78-Y78</f>
        <v>23.07692307692308</v>
      </c>
      <c r="AA78" s="158">
        <f>IF(X78&lt;=0,3,0)+IF(X78&gt;0,X78+1,0)*3+IF(X78&gt;12,X78-12,0)*3+IF(X78&gt;13,X78-13,0)*3+IF(X78&gt;14,X78-14,0)*3+IF(X78&gt;15,X78-15,0)*3+IF(X78&gt;16,X78-16,0)*3+IF(X78&gt;17,X78-17,0)*3+IF(X78&gt;18,X78-18,0)*3+IF(X78&gt;19,X78-19,0)*3+IF(X78&gt;20,X78-20,0)*3</f>
        <v>263.30769230769232</v>
      </c>
      <c r="AB78" s="91">
        <f>IF(Y78&lt;=0,3,0)+IF(Y78&gt;0,Y78+1,0)*3+IF(Y78&gt;12,Y78-12,0)*3+IF(Y78&gt;13,Y78-13,0)*3+IF(Y78&gt;14,Y78-14,0)*3+IF(Y78&gt;15,Y78-15,0)*3+IF(Y78&gt;16,Y78-16,0)*3+IF(Y78&gt;17,Y78-17,0)*3+IF(Y78&gt;18,Y78-18,0)*3+IF(Y78&gt;19,Y78-19,0)*3+IF(Y78&gt;20,Y78-20,0)*3</f>
        <v>3</v>
      </c>
      <c r="AC78" s="126">
        <f>IF((AA78-AB78)&gt;0,AA78-AB78,0)</f>
        <v>260.30769230769232</v>
      </c>
      <c r="AD78" s="158">
        <f>IF((AB78-AA78)&gt;0,AB78-AA78,0)</f>
        <v>0</v>
      </c>
      <c r="AF78" s="162" t="s">
        <v>345</v>
      </c>
      <c r="AG78" s="158" t="s">
        <v>8</v>
      </c>
      <c r="AH78" s="126" t="s">
        <v>135</v>
      </c>
      <c r="AI78" s="191">
        <f>Konvention_1slave-MUslave_MU</f>
        <v>11</v>
      </c>
      <c r="AJ78" s="118"/>
      <c r="AK78" s="118">
        <f>Konvention_1slave-INslave</f>
        <v>12</v>
      </c>
      <c r="AL78" s="118"/>
      <c r="AM78" s="118"/>
      <c r="AN78" s="118">
        <f>Konvention_1slave-GEslave</f>
        <v>12</v>
      </c>
      <c r="AO78" s="118"/>
      <c r="AP78" s="92"/>
      <c r="AQ78" s="116">
        <f>(AI78+AJ78+AK78+AL78+AM78+AN78+AO78+AP78)/3</f>
        <v>11.666666666666666</v>
      </c>
      <c r="AR78" s="116">
        <f>2*AQ78</f>
        <v>23.333333333333332</v>
      </c>
      <c r="AS78" s="92">
        <f>3*AQ78</f>
        <v>35</v>
      </c>
      <c r="AT78" s="191">
        <f>AI78*POWER(KLslave,SIGN(AJ78))*POWER(INslave,SIGN(AK78))*POWER(CHslave,SIGN(AL78))*POWER(FFslave,SIGN(AM78))*POWER(GEslave,SIGN(AN78))*POWER(KOslave,SIGN(AO78))*POWER(KKslave,SIGN(AP78))+AJ78*POWER(MUslave_MU,SIGN(AI78))*POWER(INslave,SIGN(AK78))*POWER(CHslave,SIGN(AL78))*POWER(FFslave,SIGN(AM78))*POWER(GEslave,SIGN(AN78))*POWER(KOslave,SIGN(AO78))*POWER(KKslave,SIGN(AP78))+AK78*POWER(MUslave_MU,SIGN(AI78))*POWER(KLslave,SIGN(AJ78))*POWER(CHslave,SIGN(AL78))*POWER(FFslave,SIGN(AM78))*POWER(GEslave,SIGN(AN78))*POWER(KOslave,SIGN(AO78))*POWER(KKslave,SIGN(AP78))+AL78*POWER(MUslave_MU,SIGN(AI78))*POWER(KLslave,SIGN(AJ78))*POWER(INslave,SIGN(AK78))*POWER(FFslave,SIGN(AM78))*POWER(GEslave,SIGN(AN78))*POWER(KOslave,SIGN(AO78))*POWER(KKslave,SIGN(AP78))+AM78*POWER(MUslave_MU,SIGN(AI78))*POWER(KLslave,SIGN(AJ78))*POWER(INslave,SIGN(AK78))*POWER(CHslave,SIGN(AL78))*POWER(GEslave,SIGN(AN78))*POWER(KOslave,SIGN(AO78))*POWER(KKslave,SIGN(AP78))+AN78*POWER(MUslave_MU,SIGN(AI78))*POWER(KLslave,SIGN(AJ78))*POWER(INslave,SIGN(AK78))*POWER(CHslave,SIGN(AL78))*POWER(FFslave,SIGN(AM78))*POWER(KOslave,SIGN(AO78))*POWER(KKslave,SIGN(AP78))+AO78*POWER(MUslave_MU,SIGN(AI78))*POWER(KLslave,SIGN(AJ78))*POWER(INslave,SIGN(AK78))*POWER(CHslave,SIGN(AL78))*POWER(FFslave,SIGN(AM78))*POWER(GEslave,SIGN(AN78))*POWER(KKslave,SIGN(AP78))+AP78*POWER(MUslave_MU,SIGN(AI78))*POWER(KLslave,SIGN(AJ78))*POWER(INslave,SIGN(AK78))*POWER(CHslave,SIGN(AL78))*POWER(FFslave,SIGN(AM78))*POWER(GEslave,SIGN(AN78))*POWER(KOslave,SIGN(AO78))</f>
        <v>2432</v>
      </c>
      <c r="AU78" s="118">
        <f>AI78*AK78*GEslave+AI78*INslave*AN78+MUslave_MU*AK78*AN78</f>
        <v>3408</v>
      </c>
      <c r="AV78" s="92">
        <f>IFERROR(AI78^SIGN(AI78),1)*IFERROR(AJ78^SIGN(AJ78),1)*IFERROR(AK78^SIGN(AK78),1)*IFERROR(AL78^SIGN(AL78),1)*IFERROR(AM78^SIGN(AM78),1)*IFERROR(AN78^SIGN(AN78),1)*IFERROR(AO78^SIGN(AO78),1)*IFERROR(AP78^SIGN(AP78),1)</f>
        <v>1584</v>
      </c>
      <c r="AW78" s="92">
        <f>SUM(AT78:AV78)</f>
        <v>7424</v>
      </c>
      <c r="AX78" s="193">
        <f>AQ78*AT78/AW78</f>
        <v>3.8218390804597702</v>
      </c>
      <c r="AY78" s="116">
        <f>AR78*AU78/AW78</f>
        <v>10.711206896551724</v>
      </c>
      <c r="AZ78" s="126">
        <f>AS78*AV78/AW78</f>
        <v>7.4676724137931032</v>
      </c>
      <c r="BA78" s="126">
        <f>SUM(AX78:AZ78)</f>
        <v>22.000718390804597</v>
      </c>
      <c r="BB78" s="165">
        <f t="shared" ref="BB78:BB98" si="661">Y78</f>
        <v>0</v>
      </c>
      <c r="BC78" s="198">
        <f>BA78-BB78</f>
        <v>22.000718390804597</v>
      </c>
      <c r="BD78" s="158">
        <f>IF(BA78&lt;=0,3,0)+IF(BA78&gt;0,BA78+1,0)*3+IF(BA78&gt;12,BA78-12,0)*3+IF(BA78&gt;13,BA78-13,0)*3+IF(BA78&gt;14,BA78-14,0)*3+IF(BA78&gt;15,BA78-15,0)*3+IF(BA78&gt;16,BA78-16,0)*3+IF(BA78&gt;17,BA78-17,0)*3+IF(BA78&gt;18,BA78-18,0)*3+IF(BA78&gt;19,BA78-19,0)*3+IF(BA78&gt;20,BA78-20,0)*3</f>
        <v>231.02155172413785</v>
      </c>
      <c r="BE78" s="91">
        <f>IF(BB78&lt;=0,3,0)+IF(BB78&gt;0,BB78+1,0)*3+IF(BB78&gt;12,BB78-12,0)*3+IF(BB78&gt;13,BB78-13,0)*3+IF(BB78&gt;14,BB78-14,0)*3+IF(BB78&gt;15,BB78-15,0)*3+IF(BB78&gt;16,BB78-16,0)*3+IF(BB78&gt;17,BB78-17,0)*3+IF(BB78&gt;18,BB78-18,0)*3+IF(BB78&gt;19,BB78-19,0)*3+IF(BB78&gt;20,BB78-20,0)*3</f>
        <v>3</v>
      </c>
      <c r="BF78" s="241">
        <f>IF((BD78-BE78)&gt;0,BD78-BE78,0)</f>
        <v>228.02155172413785</v>
      </c>
      <c r="BG78" s="42">
        <f>IF((BE78-BD78)&gt;0,BE78-BD78,0)</f>
        <v>0</v>
      </c>
      <c r="BI78" s="302" t="s">
        <v>345</v>
      </c>
      <c r="BJ78" s="42" t="s">
        <v>8</v>
      </c>
      <c r="BK78" s="241" t="s">
        <v>135</v>
      </c>
      <c r="BL78" s="236">
        <f>Konvention_1slave-MUslave</f>
        <v>12</v>
      </c>
      <c r="BM78" s="233"/>
      <c r="BN78" s="233">
        <f>Konvention_1slave-INslave</f>
        <v>12</v>
      </c>
      <c r="BO78" s="233"/>
      <c r="BP78" s="233"/>
      <c r="BQ78" s="233">
        <f>Konvention_1slave-GEslave</f>
        <v>12</v>
      </c>
      <c r="BR78" s="233"/>
      <c r="BS78" s="221"/>
      <c r="BT78" s="220">
        <f>(BL78+BM78+BN78+BO78+BP78+BQ78+BR78+BS78)/3</f>
        <v>12</v>
      </c>
      <c r="BU78" s="220">
        <f>2*BT78</f>
        <v>24</v>
      </c>
      <c r="BV78" s="221">
        <f>3*BT78</f>
        <v>36</v>
      </c>
      <c r="BW78" s="236">
        <f>BL78*POWER(KLslave_KL,SIGN(BM78))*POWER(INslave,SIGN(BN78))*POWER(CHslave,SIGN(BO78))*POWER(FFslave,SIGN(BP78))*POWER(GEslave,SIGN(BQ78))*POWER(KOslave,SIGN(BR78))*POWER(KKslave,SIGN(BS78))+BM78*POWER(MUslave,SIGN(BL78))*POWER(INslave,SIGN(BN78))*POWER(CHslave,SIGN(BO78))*POWER(FFslave,SIGN(BP78))*POWER(GEslave,SIGN(BQ78))*POWER(KOslave,SIGN(BR78))*POWER(KKslave,SIGN(BS78))+BN78*POWER(MUslave,SIGN(BL78))*POWER(KLslave_KL,SIGN(BM78))*POWER(CHslave,SIGN(BO78))*POWER(FFslave,SIGN(BP78))*POWER(GEslave,SIGN(BQ78))*POWER(KOslave,SIGN(BR78))*POWER(KKslave,SIGN(BS78))+BO78*POWER(MUslave,SIGN(BL78))*POWER(KLslave_KL,SIGN(BM78))*POWER(INslave,SIGN(BN78))*POWER(FFslave,SIGN(BP78))*POWER(GEslave,SIGN(BQ78))*POWER(KOslave,SIGN(BR78))*POWER(KKslave,SIGN(BS78))+BP78*POWER(MUslave,SIGN(BL78))*POWER(KLslave_KL,SIGN(BM78))*POWER(INslave,SIGN(BN78))*POWER(CHslave,SIGN(BO78))*POWER(GEslave,SIGN(BQ78))*POWER(KOslave,SIGN(BR78))*POWER(KKslave,SIGN(BS78))+BQ78*POWER(MUslave,SIGN(BL78))*POWER(KLslave_KL,SIGN(BM78))*POWER(INslave,SIGN(BN78))*POWER(CHslave,SIGN(BO78))*POWER(FFslave,SIGN(BP78))*POWER(KOslave,SIGN(BR78))*POWER(KKslave,SIGN(BS78))+BR78*POWER(MUslave,SIGN(BL78))*POWER(KLslave_KL,SIGN(BM78))*POWER(INslave,SIGN(BN78))*POWER(CHslave,SIGN(BO78))*POWER(FFslave,SIGN(BP78))*POWER(GEslave,SIGN(BQ78))*POWER(KKslave,SIGN(BS78))+BS78*POWER(MUslave,SIGN(BL78))*POWER(KLslave_KL,SIGN(BM78))*POWER(INslave,SIGN(BN78))*POWER(CHslave,SIGN(BO78))*POWER(FFslave,SIGN(BP78))*POWER(GEslave,SIGN(BQ78))*POWER(KOslave,SIGN(BR78))</f>
        <v>2304</v>
      </c>
      <c r="BX78" s="233">
        <f>BL78*BN78*GEslave+BL78*INslave*BQ78+MUslave*BN78*BQ78</f>
        <v>3456</v>
      </c>
      <c r="BY78" s="221">
        <f>IFERROR(BL78^SIGN(BL78),1)*IFERROR(BM78^SIGN(BM78),1)*IFERROR(BN78^SIGN(BN78),1)*IFERROR(BO78^SIGN(BO78),1)*IFERROR(BP78^SIGN(BP78),1)*IFERROR(BQ78^SIGN(BQ78),1)*IFERROR(BR78^SIGN(BR78),1)*IFERROR(BS78^SIGN(BS78),1)</f>
        <v>1728</v>
      </c>
      <c r="BZ78" s="221">
        <f>SUM(BW78:BY78)</f>
        <v>7488</v>
      </c>
      <c r="CA78" s="219">
        <f>BT78*BW78/BZ78</f>
        <v>3.6923076923076925</v>
      </c>
      <c r="CB78" s="220">
        <f>BU78*BX78/BZ78</f>
        <v>11.076923076923077</v>
      </c>
      <c r="CC78" s="241">
        <f>BV78*BY78/BZ78</f>
        <v>8.3076923076923084</v>
      </c>
      <c r="CD78" s="241">
        <f>SUM(CA78:CC78)</f>
        <v>23.07692307692308</v>
      </c>
      <c r="CE78" s="252">
        <f t="shared" ref="CE78:CE98" si="662">BB78</f>
        <v>0</v>
      </c>
      <c r="CF78" s="309">
        <f>CD78-CE78</f>
        <v>23.07692307692308</v>
      </c>
      <c r="CG78" s="42">
        <f>IF(CD78&lt;=0,3,0)+IF(CD78&gt;0,CD78+1,0)*3+IF(CD78&gt;12,CD78-12,0)*3+IF(CD78&gt;13,CD78-13,0)*3+IF(CD78&gt;14,CD78-14,0)*3+IF(CD78&gt;15,CD78-15,0)*3+IF(CD78&gt;16,CD78-16,0)*3+IF(CD78&gt;17,CD78-17,0)*3+IF(CD78&gt;18,CD78-18,0)*3+IF(CD78&gt;19,CD78-19,0)*3+IF(CD78&gt;20,CD78-20,0)*3</f>
        <v>263.30769230769232</v>
      </c>
      <c r="CH78" s="78">
        <f>IF(CE78&lt;=0,3,0)+IF(CE78&gt;0,CE78+1,0)*3+IF(CE78&gt;12,CE78-12,0)*3+IF(CE78&gt;13,CE78-13,0)*3+IF(CE78&gt;14,CE78-14,0)*3+IF(CE78&gt;15,CE78-15,0)*3+IF(CE78&gt;16,CE78-16,0)*3+IF(CE78&gt;17,CE78-17,0)*3+IF(CE78&gt;18,CE78-18,0)*3+IF(CE78&gt;19,CE78-19,0)*3+IF(CE78&gt;20,CE78-20,0)*3</f>
        <v>3</v>
      </c>
      <c r="CI78" s="241">
        <f>IF((CG78-CH78)&gt;0,CG78-CH78,0)</f>
        <v>260.30769230769232</v>
      </c>
      <c r="CJ78" s="42">
        <f>IF((CH78-CG78)&gt;0,CH78-CG78,0)</f>
        <v>0</v>
      </c>
      <c r="CL78" s="302" t="s">
        <v>345</v>
      </c>
      <c r="CM78" s="42" t="s">
        <v>8</v>
      </c>
      <c r="CN78" s="241" t="s">
        <v>135</v>
      </c>
      <c r="CO78" s="236">
        <f>Konvention_1slave-MUslave</f>
        <v>12</v>
      </c>
      <c r="CP78" s="233"/>
      <c r="CQ78" s="233">
        <f>Konvention_1slave-INslave_IN</f>
        <v>11</v>
      </c>
      <c r="CR78" s="233"/>
      <c r="CS78" s="233"/>
      <c r="CT78" s="233">
        <f>Konvention_1slave-GEslave</f>
        <v>12</v>
      </c>
      <c r="CU78" s="233"/>
      <c r="CV78" s="221"/>
      <c r="CW78" s="220">
        <f>(CO78+CP78+CQ78+CR78+CS78+CT78+CU78+CV78)/3</f>
        <v>11.666666666666666</v>
      </c>
      <c r="CX78" s="220">
        <f>2*CW78</f>
        <v>23.333333333333332</v>
      </c>
      <c r="CY78" s="221">
        <f>3*CW78</f>
        <v>35</v>
      </c>
      <c r="CZ78" s="236">
        <f>CO78*POWER(KLslave,SIGN(CP78))*POWER(INslave_IN,SIGN(CQ78))*POWER(CHslave,SIGN(CR78))*POWER(FFslave,SIGN(CS78))*POWER(GEslave,SIGN(CT78))*POWER(KOslave,SIGN(CU78))*POWER(KKslave,SIGN(CV78))+CP78*POWER(MUslave,SIGN(CO78))*POWER(INslave_IN,SIGN(CQ78))*POWER(CHslave,SIGN(CR78))*POWER(FFslave,SIGN(CS78))*POWER(GEslave,SIGN(CT78))*POWER(KOslave,SIGN(CU78))*POWER(KKslave,SIGN(CV78))+CQ78*POWER(MUslave,SIGN(CO78))*POWER(KLslave,SIGN(CP78))*POWER(CHslave,SIGN(CR78))*POWER(FFslave,SIGN(CS78))*POWER(GEslave,SIGN(CT78))*POWER(KOslave,SIGN(CU78))*POWER(KKslave,SIGN(CV78))+CR78*POWER(MUslave,SIGN(CO78))*POWER(KLslave,SIGN(CP78))*POWER(INslave_IN,SIGN(CQ78))*POWER(FFslave,SIGN(CS78))*POWER(GEslave,SIGN(CT78))*POWER(KOslave,SIGN(CU78))*POWER(KKslave,SIGN(CV78))+CS78*POWER(MUslave,SIGN(CO78))*POWER(KLslave,SIGN(CP78))*POWER(INslave_IN,SIGN(CQ78))*POWER(CHslave,SIGN(CR78))*POWER(GEslave,SIGN(CT78))*POWER(KOslave,SIGN(CU78))*POWER(KKslave,SIGN(CV78))+CT78*POWER(MUslave,SIGN(CO78))*POWER(KLslave,SIGN(CP78))*POWER(INslave_IN,SIGN(CQ78))*POWER(CHslave,SIGN(CR78))*POWER(FFslave,SIGN(CS78))*POWER(KOslave,SIGN(CU78))*POWER(KKslave,SIGN(CV78))+CU78*POWER(MUslave,SIGN(CO78))*POWER(KLslave,SIGN(CP78))*POWER(INslave_IN,SIGN(CQ78))*POWER(CHslave,SIGN(CR78))*POWER(FFslave,SIGN(CS78))*POWER(GEslave,SIGN(CT78))*POWER(KKslave,SIGN(CV78))+CV78*POWER(MUslave,SIGN(CO78))*POWER(KLslave,SIGN(CP78))*POWER(INslave_IN,SIGN(CQ78))*POWER(CHslave,SIGN(CR78))*POWER(FFslave,SIGN(CS78))*POWER(GEslave,SIGN(CT78))*POWER(KOslave,SIGN(CU78))</f>
        <v>2432</v>
      </c>
      <c r="DA78" s="233">
        <f>CO78*CQ78*GEslave+CO78*INslave_IN*CT78+MUslave*CQ78*CT78</f>
        <v>3408</v>
      </c>
      <c r="DB78" s="221">
        <f>IFERROR(CO78^SIGN(CO78),1)*IFERROR(CP78^SIGN(CP78),1)*IFERROR(CQ78^SIGN(CQ78),1)*IFERROR(CR78^SIGN(CR78),1)*IFERROR(CS78^SIGN(CS78),1)*IFERROR(CT78^SIGN(CT78),1)*IFERROR(CU78^SIGN(CU78),1)*IFERROR(CV78^SIGN(CV78),1)</f>
        <v>1584</v>
      </c>
      <c r="DC78" s="221">
        <f>SUM(CZ78:DB78)</f>
        <v>7424</v>
      </c>
      <c r="DD78" s="219">
        <f>CW78*CZ78/DC78</f>
        <v>3.8218390804597702</v>
      </c>
      <c r="DE78" s="220">
        <f>CX78*DA78/DC78</f>
        <v>10.711206896551724</v>
      </c>
      <c r="DF78" s="241">
        <f>CY78*DB78/DC78</f>
        <v>7.4676724137931032</v>
      </c>
      <c r="DG78" s="241">
        <f>SUM(DD78:DF78)</f>
        <v>22.000718390804597</v>
      </c>
      <c r="DH78" s="252">
        <f t="shared" ref="DH78:DH98" si="663">CE78</f>
        <v>0</v>
      </c>
      <c r="DI78" s="309">
        <f>DG78-DH78</f>
        <v>22.000718390804597</v>
      </c>
      <c r="DJ78" s="42">
        <f>IF(DG78&lt;=0,3,0)+IF(DG78&gt;0,DG78+1,0)*3+IF(DG78&gt;12,DG78-12,0)*3+IF(DG78&gt;13,DG78-13,0)*3+IF(DG78&gt;14,DG78-14,0)*3+IF(DG78&gt;15,DG78-15,0)*3+IF(DG78&gt;16,DG78-16,0)*3+IF(DG78&gt;17,DG78-17,0)*3+IF(DG78&gt;18,DG78-18,0)*3+IF(DG78&gt;19,DG78-19,0)*3+IF(DG78&gt;20,DG78-20,0)*3</f>
        <v>231.02155172413785</v>
      </c>
      <c r="DK78" s="78">
        <f>IF(DH78&lt;=0,3,0)+IF(DH78&gt;0,DH78+1,0)*3+IF(DH78&gt;12,DH78-12,0)*3+IF(DH78&gt;13,DH78-13,0)*3+IF(DH78&gt;14,DH78-14,0)*3+IF(DH78&gt;15,DH78-15,0)*3+IF(DH78&gt;16,DH78-16,0)*3+IF(DH78&gt;17,DH78-17,0)*3+IF(DH78&gt;18,DH78-18,0)*3+IF(DH78&gt;19,DH78-19,0)*3+IF(DH78&gt;20,DH78-20,0)*3</f>
        <v>3</v>
      </c>
      <c r="DL78" s="241">
        <f>IF((DJ78-DK78)&gt;0,DJ78-DK78,0)</f>
        <v>228.02155172413785</v>
      </c>
      <c r="DM78" s="42">
        <f>IF((DK78-DJ78)&gt;0,DK78-DJ78,0)</f>
        <v>0</v>
      </c>
      <c r="DO78" s="302" t="s">
        <v>345</v>
      </c>
      <c r="DP78" s="42" t="s">
        <v>8</v>
      </c>
      <c r="DQ78" s="241" t="s">
        <v>135</v>
      </c>
      <c r="DR78" s="236">
        <f>Konvention_1slave-MUslave</f>
        <v>12</v>
      </c>
      <c r="DS78" s="233"/>
      <c r="DT78" s="233">
        <f>Konvention_1slave-INslave</f>
        <v>12</v>
      </c>
      <c r="DU78" s="233"/>
      <c r="DV78" s="233"/>
      <c r="DW78" s="233">
        <f>Konvention_1slave-GEslave</f>
        <v>12</v>
      </c>
      <c r="DX78" s="233"/>
      <c r="DY78" s="221"/>
      <c r="DZ78" s="220">
        <f>(DR78+DS78+DT78+DU78+DV78+DW78+DX78+DY78)/3</f>
        <v>12</v>
      </c>
      <c r="EA78" s="220">
        <f>2*DZ78</f>
        <v>24</v>
      </c>
      <c r="EB78" s="221">
        <f>3*DZ78</f>
        <v>36</v>
      </c>
      <c r="EC78" s="236">
        <f>DR78*POWER(KLslave,SIGN(DS78))*POWER(INslave,SIGN(DT78))*POWER(CHslave_CH,SIGN(DU78))*POWER(FFslave,SIGN(DV78))*POWER(GEslave,SIGN(DW78))*POWER(KOslave,SIGN(DX78))*POWER(KKslave,SIGN(DY78))+DS78*POWER(MUslave,SIGN(DR78))*POWER(INslave,SIGN(DT78))*POWER(CHslave_CH,SIGN(DU78))*POWER(FFslave,SIGN(DV78))*POWER(GEslave,SIGN(DW78))*POWER(KOslave,SIGN(DX78))*POWER(KKslave,SIGN(DY78))+DT78*POWER(MUslave,SIGN(DR78))*POWER(KLslave,SIGN(DS78))*POWER(CHslave_CH,SIGN(DU78))*POWER(FFslave,SIGN(DV78))*POWER(GEslave,SIGN(DW78))*POWER(KOslave,SIGN(DX78))*POWER(KKslave,SIGN(DY78))+DU78*POWER(MUslave,SIGN(DR78))*POWER(KLslave,SIGN(DS78))*POWER(INslave,SIGN(DT78))*POWER(FFslave,SIGN(DV78))*POWER(GEslave,SIGN(DW78))*POWER(KOslave,SIGN(DX78))*POWER(KKslave,SIGN(DY78))+DV78*POWER(MUslave,SIGN(DR78))*POWER(KLslave,SIGN(DS78))*POWER(INslave,SIGN(DT78))*POWER(CHslave_CH,SIGN(DU78))*POWER(GEslave,SIGN(DW78))*POWER(KOslave,SIGN(DX78))*POWER(KKslave,SIGN(DY78))+DW78*POWER(MUslave,SIGN(DR78))*POWER(KLslave,SIGN(DS78))*POWER(INslave,SIGN(DT78))*POWER(CHslave_CH,SIGN(DU78))*POWER(FFslave,SIGN(DV78))*POWER(KOslave,SIGN(DX78))*POWER(KKslave,SIGN(DY78))+DX78*POWER(MUslave,SIGN(DR78))*POWER(KLslave,SIGN(DS78))*POWER(INslave,SIGN(DT78))*POWER(CHslave_CH,SIGN(DU78))*POWER(FFslave,SIGN(DV78))*POWER(GEslave,SIGN(DW78))*POWER(KKslave,SIGN(DY78))+DY78*POWER(MUslave,SIGN(DR78))*POWER(KLslave,SIGN(DS78))*POWER(INslave,SIGN(DT78))*POWER(CHslave_CH,SIGN(DU78))*POWER(FFslave,SIGN(DV78))*POWER(GEslave,SIGN(DW78))*POWER(KOslave,SIGN(DX78))</f>
        <v>2304</v>
      </c>
      <c r="ED78" s="233">
        <f>DR78*DT78*GEslave+DR78*INslave*DW78+MUslave*DT78*DW78</f>
        <v>3456</v>
      </c>
      <c r="EE78" s="221">
        <f>IFERROR(DR78^SIGN(DR78),1)*IFERROR(DS78^SIGN(DS78),1)*IFERROR(DT78^SIGN(DT78),1)*IFERROR(DU78^SIGN(DU78),1)*IFERROR(DV78^SIGN(DV78),1)*IFERROR(DW78^SIGN(DW78),1)*IFERROR(DX78^SIGN(DX78),1)*IFERROR(DY78^SIGN(DY78),1)</f>
        <v>1728</v>
      </c>
      <c r="EF78" s="221">
        <f>SUM(EC78:EE78)</f>
        <v>7488</v>
      </c>
      <c r="EG78" s="219">
        <f>DZ78*EC78/EF78</f>
        <v>3.6923076923076925</v>
      </c>
      <c r="EH78" s="220">
        <f>EA78*ED78/EF78</f>
        <v>11.076923076923077</v>
      </c>
      <c r="EI78" s="241">
        <f>EB78*EE78/EF78</f>
        <v>8.3076923076923084</v>
      </c>
      <c r="EJ78" s="241">
        <f>SUM(EG78:EI78)</f>
        <v>23.07692307692308</v>
      </c>
      <c r="EK78" s="252">
        <f t="shared" ref="EK78:EK98" si="664">DH78</f>
        <v>0</v>
      </c>
      <c r="EL78" s="309">
        <f>EJ78-EK78</f>
        <v>23.07692307692308</v>
      </c>
      <c r="EM78" s="42">
        <f>IF(EJ78&lt;=0,3,0)+IF(EJ78&gt;0,EJ78+1,0)*3+IF(EJ78&gt;12,EJ78-12,0)*3+IF(EJ78&gt;13,EJ78-13,0)*3+IF(EJ78&gt;14,EJ78-14,0)*3+IF(EJ78&gt;15,EJ78-15,0)*3+IF(EJ78&gt;16,EJ78-16,0)*3+IF(EJ78&gt;17,EJ78-17,0)*3+IF(EJ78&gt;18,EJ78-18,0)*3+IF(EJ78&gt;19,EJ78-19,0)*3+IF(EJ78&gt;20,EJ78-20,0)*3</f>
        <v>263.30769230769232</v>
      </c>
      <c r="EN78" s="78">
        <f>IF(EK78&lt;=0,3,0)+IF(EK78&gt;0,EK78+1,0)*3+IF(EK78&gt;12,EK78-12,0)*3+IF(EK78&gt;13,EK78-13,0)*3+IF(EK78&gt;14,EK78-14,0)*3+IF(EK78&gt;15,EK78-15,0)*3+IF(EK78&gt;16,EK78-16,0)*3+IF(EK78&gt;17,EK78-17,0)*3+IF(EK78&gt;18,EK78-18,0)*3+IF(EK78&gt;19,EK78-19,0)*3+IF(EK78&gt;20,EK78-20,0)*3</f>
        <v>3</v>
      </c>
      <c r="EO78" s="241">
        <f>IF((EM78-EN78)&gt;0,EM78-EN78,0)</f>
        <v>260.30769230769232</v>
      </c>
      <c r="EP78" s="42">
        <f>IF((EN78-EM78)&gt;0,EN78-EM78,0)</f>
        <v>0</v>
      </c>
      <c r="ER78" s="302" t="s">
        <v>345</v>
      </c>
      <c r="ES78" s="42" t="s">
        <v>8</v>
      </c>
      <c r="ET78" s="241" t="s">
        <v>135</v>
      </c>
      <c r="EU78" s="236">
        <f>Konvention_1slave-MUslave</f>
        <v>12</v>
      </c>
      <c r="EV78" s="233"/>
      <c r="EW78" s="233">
        <f>Konvention_1slave-INslave</f>
        <v>12</v>
      </c>
      <c r="EX78" s="233"/>
      <c r="EY78" s="233"/>
      <c r="EZ78" s="233">
        <f>Konvention_1slave-GEslave</f>
        <v>12</v>
      </c>
      <c r="FA78" s="233"/>
      <c r="FB78" s="221"/>
      <c r="FC78" s="220">
        <f>(EU78+EV78+EW78+EX78+EY78+EZ78+FA78+FB78)/3</f>
        <v>12</v>
      </c>
      <c r="FD78" s="220">
        <f>2*FC78</f>
        <v>24</v>
      </c>
      <c r="FE78" s="221">
        <f>3*FC78</f>
        <v>36</v>
      </c>
      <c r="FF78" s="236">
        <f>EU78*POWER(KLslave,SIGN(EV78))*POWER(INslave,SIGN(EW78))*POWER(CHslave,SIGN(EX78))*POWER(FFslave_FF,SIGN(EY78))*POWER(GEslave,SIGN(EZ78))*POWER(KOslave,SIGN(FA78))*POWER(KKslave,SIGN(FB78))+EV78*POWER(MUslave,SIGN(EU78))*POWER(INslave,SIGN(EW78))*POWER(CHslave,SIGN(EX78))*POWER(FFslave_FF,SIGN(EY78))*POWER(GEslave,SIGN(EZ78))*POWER(KOslave,SIGN(FA78))*POWER(KKslave,SIGN(FB78))+EW78*POWER(MUslave,SIGN(EU78))*POWER(KLslave,SIGN(EV78))*POWER(CHslave,SIGN(EX78))*POWER(FFslave_FF,SIGN(EY78))*POWER(GEslave,SIGN(EZ78))*POWER(KOslave,SIGN(FA78))*POWER(KKslave,SIGN(FB78))+EX78*POWER(MUslave,SIGN(EU78))*POWER(KLslave,SIGN(EV78))*POWER(INslave,SIGN(EW78))*POWER(FFslave_FF,SIGN(EY78))*POWER(GEslave,SIGN(EZ78))*POWER(KOslave,SIGN(FA78))*POWER(KKslave,SIGN(FB78))+EY78*POWER(MUslave,SIGN(EU78))*POWER(KLslave,SIGN(EV78))*POWER(INslave,SIGN(EW78))*POWER(CHslave,SIGN(EX78))*POWER(GEslave,SIGN(EZ78))*POWER(KOslave,SIGN(FA78))*POWER(KKslave,SIGN(FB78))+EZ78*POWER(MUslave,SIGN(EU78))*POWER(KLslave,SIGN(EV78))*POWER(INslave,SIGN(EW78))*POWER(CHslave,SIGN(EX78))*POWER(FFslave_FF,SIGN(EY78))*POWER(KOslave,SIGN(FA78))*POWER(KKslave,SIGN(FB78))+FA78*POWER(MUslave,SIGN(EU78))*POWER(KLslave,SIGN(EV78))*POWER(INslave,SIGN(EW78))*POWER(CHslave,SIGN(EX78))*POWER(FFslave_FF,SIGN(EY78))*POWER(GEslave,SIGN(EZ78))*POWER(KKslave,SIGN(FB78))+FB78*POWER(MUslave,SIGN(EU78))*POWER(KLslave,SIGN(EV78))*POWER(INslave,SIGN(EW78))*POWER(CHslave,SIGN(EX78))*POWER(FFslave_FF,SIGN(EY78))*POWER(GEslave,SIGN(EZ78))*POWER(KOslave,SIGN(FA78))</f>
        <v>2304</v>
      </c>
      <c r="FG78" s="233">
        <f>EU78*EW78*GEslave+EU78*INslave*EZ78+MUslave*EW78*EZ78</f>
        <v>3456</v>
      </c>
      <c r="FH78" s="221">
        <f>IFERROR(EU78^SIGN(EU78),1)*IFERROR(EV78^SIGN(EV78),1)*IFERROR(EW78^SIGN(EW78),1)*IFERROR(EX78^SIGN(EX78),1)*IFERROR(EY78^SIGN(EY78),1)*IFERROR(EZ78^SIGN(EZ78),1)*IFERROR(FA78^SIGN(FA78),1)*IFERROR(FB78^SIGN(FB78),1)</f>
        <v>1728</v>
      </c>
      <c r="FI78" s="221">
        <f>SUM(FF78:FH78)</f>
        <v>7488</v>
      </c>
      <c r="FJ78" s="219">
        <f>FC78*FF78/FI78</f>
        <v>3.6923076923076925</v>
      </c>
      <c r="FK78" s="220">
        <f>FD78*FG78/FI78</f>
        <v>11.076923076923077</v>
      </c>
      <c r="FL78" s="241">
        <f>FE78*FH78/FI78</f>
        <v>8.3076923076923084</v>
      </c>
      <c r="FM78" s="241">
        <f>SUM(FJ78:FL78)</f>
        <v>23.07692307692308</v>
      </c>
      <c r="FN78" s="252">
        <f t="shared" ref="FN78:FN98" si="665">EK78</f>
        <v>0</v>
      </c>
      <c r="FO78" s="309">
        <f>FM78-FN78</f>
        <v>23.07692307692308</v>
      </c>
      <c r="FP78" s="42">
        <f>IF(FM78&lt;=0,3,0)+IF(FM78&gt;0,FM78+1,0)*3+IF(FM78&gt;12,FM78-12,0)*3+IF(FM78&gt;13,FM78-13,0)*3+IF(FM78&gt;14,FM78-14,0)*3+IF(FM78&gt;15,FM78-15,0)*3+IF(FM78&gt;16,FM78-16,0)*3+IF(FM78&gt;17,FM78-17,0)*3+IF(FM78&gt;18,FM78-18,0)*3+IF(FM78&gt;19,FM78-19,0)*3+IF(FM78&gt;20,FM78-20,0)*3</f>
        <v>263.30769230769232</v>
      </c>
      <c r="FQ78" s="78">
        <f>IF(FN78&lt;=0,3,0)+IF(FN78&gt;0,FN78+1,0)*3+IF(FN78&gt;12,FN78-12,0)*3+IF(FN78&gt;13,FN78-13,0)*3+IF(FN78&gt;14,FN78-14,0)*3+IF(FN78&gt;15,FN78-15,0)*3+IF(FN78&gt;16,FN78-16,0)*3+IF(FN78&gt;17,FN78-17,0)*3+IF(FN78&gt;18,FN78-18,0)*3+IF(FN78&gt;19,FN78-19,0)*3+IF(FN78&gt;20,FN78-20,0)*3</f>
        <v>3</v>
      </c>
      <c r="FR78" s="241">
        <f>IF((FP78-FQ78)&gt;0,FP78-FQ78,0)</f>
        <v>260.30769230769232</v>
      </c>
      <c r="FS78" s="42">
        <f>IF((FQ78-FP78)&gt;0,FQ78-FP78,0)</f>
        <v>0</v>
      </c>
      <c r="FU78" s="302" t="s">
        <v>345</v>
      </c>
      <c r="FV78" s="42" t="s">
        <v>8</v>
      </c>
      <c r="FW78" s="241" t="s">
        <v>135</v>
      </c>
      <c r="FX78" s="236">
        <f>Konvention_1slave-MUslave</f>
        <v>12</v>
      </c>
      <c r="FY78" s="233"/>
      <c r="FZ78" s="233">
        <f>Konvention_1slave-INslave</f>
        <v>12</v>
      </c>
      <c r="GA78" s="233"/>
      <c r="GB78" s="233"/>
      <c r="GC78" s="233">
        <f>Konvention_1slave-GEslave_GE</f>
        <v>11</v>
      </c>
      <c r="GD78" s="233"/>
      <c r="GE78" s="221"/>
      <c r="GF78" s="220">
        <f>(FX78+FY78+FZ78+GA78+GB78+GC78+GD78+GE78)/3</f>
        <v>11.666666666666666</v>
      </c>
      <c r="GG78" s="220">
        <f>2*GF78</f>
        <v>23.333333333333332</v>
      </c>
      <c r="GH78" s="221">
        <f>3*GF78</f>
        <v>35</v>
      </c>
      <c r="GI78" s="236">
        <f>FX78*POWER(KLslave,SIGN(FY78))*POWER(INslave,SIGN(FZ78))*POWER(CHslave,SIGN(GA78))*POWER(FFslave,SIGN(GB78))*POWER(GEslave_GE,SIGN(GC78))*POWER(KOslave,SIGN(GD78))*POWER(KKslave,SIGN(GE78))+FY78*POWER(MUslave,SIGN(FX78))*POWER(INslave,SIGN(FZ78))*POWER(CHslave,SIGN(GA78))*POWER(FFslave,SIGN(GB78))*POWER(GEslave_GE,SIGN(GC78))*POWER(KOslave,SIGN(GD78))*POWER(KKslave,SIGN(GE78))+FZ78*POWER(MUslave,SIGN(FX78))*POWER(KLslave,SIGN(FY78))*POWER(CHslave,SIGN(GA78))*POWER(FFslave,SIGN(GB78))*POWER(GEslave_GE,SIGN(GC78))*POWER(KOslave,SIGN(GD78))*POWER(KKslave,SIGN(GE78))+GA78*POWER(MUslave,SIGN(FX78))*POWER(KLslave,SIGN(FY78))*POWER(INslave,SIGN(FZ78))*POWER(FFslave,SIGN(GB78))*POWER(GEslave_GE,SIGN(GC78))*POWER(KOslave,SIGN(GD78))*POWER(KKslave,SIGN(GE78))+GB78*POWER(MUslave,SIGN(FX78))*POWER(KLslave,SIGN(FY78))*POWER(INslave,SIGN(FZ78))*POWER(CHslave,SIGN(GA78))*POWER(GEslave_GE,SIGN(GC78))*POWER(KOslave,SIGN(GD78))*POWER(KKslave,SIGN(GE78))+GC78*POWER(MUslave,SIGN(FX78))*POWER(KLslave,SIGN(FY78))*POWER(INslave,SIGN(FZ78))*POWER(CHslave,SIGN(GA78))*POWER(FFslave,SIGN(GB78))*POWER(KOslave,SIGN(GD78))*POWER(KKslave,SIGN(GE78))+GD78*POWER(MUslave,SIGN(FX78))*POWER(KLslave,SIGN(FY78))*POWER(INslave,SIGN(FZ78))*POWER(CHslave,SIGN(GA78))*POWER(FFslave,SIGN(GB78))*POWER(GEslave_GE,SIGN(GC78))*POWER(KKslave,SIGN(GE78))+GE78*POWER(MUslave,SIGN(FX78))*POWER(KLslave,SIGN(FY78))*POWER(INslave,SIGN(FZ78))*POWER(CHslave,SIGN(GA78))*POWER(FFslave,SIGN(GB78))*POWER(GEslave_GE,SIGN(GC78))*POWER(KOslave,SIGN(GD78))</f>
        <v>2432</v>
      </c>
      <c r="GJ78" s="233">
        <f>FX78*FZ78*GEslave_GE+FX78*INslave*GC78+MUslave*FZ78*GC78</f>
        <v>3408</v>
      </c>
      <c r="GK78" s="221">
        <f>IFERROR(FX78^SIGN(FX78),1)*IFERROR(FY78^SIGN(FY78),1)*IFERROR(FZ78^SIGN(FZ78),1)*IFERROR(GA78^SIGN(GA78),1)*IFERROR(GB78^SIGN(GB78),1)*IFERROR(GC78^SIGN(GC78),1)*IFERROR(GD78^SIGN(GD78),1)*IFERROR(GE78^SIGN(GE78),1)</f>
        <v>1584</v>
      </c>
      <c r="GL78" s="221">
        <f>SUM(GI78:GK78)</f>
        <v>7424</v>
      </c>
      <c r="GM78" s="219">
        <f>GF78*GI78/GL78</f>
        <v>3.8218390804597702</v>
      </c>
      <c r="GN78" s="220">
        <f>GG78*GJ78/GL78</f>
        <v>10.711206896551724</v>
      </c>
      <c r="GO78" s="241">
        <f>GH78*GK78/GL78</f>
        <v>7.4676724137931032</v>
      </c>
      <c r="GP78" s="241">
        <f>SUM(GM78:GO78)</f>
        <v>22.000718390804597</v>
      </c>
      <c r="GQ78" s="252">
        <f t="shared" ref="GQ78:GQ98" si="666">FN78</f>
        <v>0</v>
      </c>
      <c r="GR78" s="309">
        <f>GP78-GQ78</f>
        <v>22.000718390804597</v>
      </c>
      <c r="GS78" s="42">
        <f>IF(GP78&lt;=0,3,0)+IF(GP78&gt;0,GP78+1,0)*3+IF(GP78&gt;12,GP78-12,0)*3+IF(GP78&gt;13,GP78-13,0)*3+IF(GP78&gt;14,GP78-14,0)*3+IF(GP78&gt;15,GP78-15,0)*3+IF(GP78&gt;16,GP78-16,0)*3+IF(GP78&gt;17,GP78-17,0)*3+IF(GP78&gt;18,GP78-18,0)*3+IF(GP78&gt;19,GP78-19,0)*3+IF(GP78&gt;20,GP78-20,0)*3</f>
        <v>231.02155172413785</v>
      </c>
      <c r="GT78" s="78">
        <f>IF(GQ78&lt;=0,3,0)+IF(GQ78&gt;0,GQ78+1,0)*3+IF(GQ78&gt;12,GQ78-12,0)*3+IF(GQ78&gt;13,GQ78-13,0)*3+IF(GQ78&gt;14,GQ78-14,0)*3+IF(GQ78&gt;15,GQ78-15,0)*3+IF(GQ78&gt;16,GQ78-16,0)*3+IF(GQ78&gt;17,GQ78-17,0)*3+IF(GQ78&gt;18,GQ78-18,0)*3+IF(GQ78&gt;19,GQ78-19,0)*3+IF(GQ78&gt;20,GQ78-20,0)*3</f>
        <v>3</v>
      </c>
      <c r="GU78" s="241">
        <f>IF((GS78-GT78)&gt;0,GS78-GT78,0)</f>
        <v>228.02155172413785</v>
      </c>
      <c r="GV78" s="42">
        <f>IF((GT78-GS78)&gt;0,GT78-GS78,0)</f>
        <v>0</v>
      </c>
      <c r="GX78" s="302" t="s">
        <v>345</v>
      </c>
      <c r="GY78" s="42" t="s">
        <v>8</v>
      </c>
      <c r="GZ78" s="241" t="s">
        <v>135</v>
      </c>
      <c r="HA78" s="236">
        <f>Konvention_1slave-MUslave</f>
        <v>12</v>
      </c>
      <c r="HB78" s="233"/>
      <c r="HC78" s="233">
        <f>Konvention_1slave-INslave</f>
        <v>12</v>
      </c>
      <c r="HD78" s="233"/>
      <c r="HE78" s="233"/>
      <c r="HF78" s="233">
        <f>Konvention_1slave-GEslave</f>
        <v>12</v>
      </c>
      <c r="HG78" s="233"/>
      <c r="HH78" s="221"/>
      <c r="HI78" s="220">
        <f>(HA78+HB78+HC78+HD78+HE78+HF78+HG78+HH78)/3</f>
        <v>12</v>
      </c>
      <c r="HJ78" s="220">
        <f>2*HI78</f>
        <v>24</v>
      </c>
      <c r="HK78" s="221">
        <f>3*HI78</f>
        <v>36</v>
      </c>
      <c r="HL78" s="236">
        <f>HA78*POWER(KLslave,SIGN(HB78))*POWER(INslave,SIGN(HC78))*POWER(CHslave,SIGN(HD78))*POWER(FFslave,SIGN(HE78))*POWER(GEslave,SIGN(HF78))*POWER(KOslave_KO,SIGN(HG78))*POWER(KKslave,SIGN(HH78))+HB78*POWER(MUslave,SIGN(HA78))*POWER(INslave,SIGN(HC78))*POWER(CHslave,SIGN(HD78))*POWER(FFslave,SIGN(HE78))*POWER(GEslave,SIGN(HF78))*POWER(KOslave_KO,SIGN(HG78))*POWER(KKslave,SIGN(HH78))+HC78*POWER(MUslave,SIGN(HA78))*POWER(KLslave,SIGN(HB78))*POWER(CHslave,SIGN(HD78))*POWER(FFslave,SIGN(HE78))*POWER(GEslave,SIGN(HF78))*POWER(KOslave_KO,SIGN(HG78))*POWER(KKslave,SIGN(HH78))+HD78*POWER(MUslave,SIGN(HA78))*POWER(KLslave,SIGN(HB78))*POWER(INslave,SIGN(HC78))*POWER(FFslave,SIGN(HE78))*POWER(GEslave,SIGN(HF78))*POWER(KOslave_KO,SIGN(HG78))*POWER(KKslave,SIGN(HH78))+HE78*POWER(MUslave,SIGN(HA78))*POWER(KLslave,SIGN(HB78))*POWER(INslave,SIGN(HC78))*POWER(CHslave,SIGN(HD78))*POWER(GEslave,SIGN(HF78))*POWER(KOslave_KO,SIGN(HG78))*POWER(KKslave,SIGN(HH78))+HF78*POWER(MUslave,SIGN(HA78))*POWER(KLslave,SIGN(HB78))*POWER(INslave,SIGN(HC78))*POWER(CHslave,SIGN(HD78))*POWER(FFslave,SIGN(HE78))*POWER(KOslave_KO,SIGN(HG78))*POWER(KKslave,SIGN(HH78))+HG78*POWER(MUslave,SIGN(HA78))*POWER(KLslave,SIGN(HB78))*POWER(INslave,SIGN(HC78))*POWER(CHslave,SIGN(HD78))*POWER(FFslave,SIGN(HE78))*POWER(GEslave,SIGN(HF78))*POWER(KKslave,SIGN(HH78))+HH78*POWER(MUslave,SIGN(HA78))*POWER(KLslave,SIGN(HB78))*POWER(INslave,SIGN(HC78))*POWER(CHslave,SIGN(HD78))*POWER(FFslave,SIGN(HE78))*POWER(GEslave,SIGN(HF78))*POWER(KOslave_KO,SIGN(HG78))</f>
        <v>2304</v>
      </c>
      <c r="HM78" s="233">
        <f>HA78*HC78*GEslave+HA78*INslave*HF78+MUslave*HC78*HF78</f>
        <v>3456</v>
      </c>
      <c r="HN78" s="221">
        <f>IFERROR(HA78^SIGN(HA78),1)*IFERROR(HB78^SIGN(HB78),1)*IFERROR(HC78^SIGN(HC78),1)*IFERROR(HD78^SIGN(HD78),1)*IFERROR(HE78^SIGN(HE78),1)*IFERROR(HF78^SIGN(HF78),1)*IFERROR(HG78^SIGN(HG78),1)*IFERROR(HH78^SIGN(HH78),1)</f>
        <v>1728</v>
      </c>
      <c r="HO78" s="221">
        <f>SUM(HL78:HN78)</f>
        <v>7488</v>
      </c>
      <c r="HP78" s="219">
        <f>HI78*HL78/HO78</f>
        <v>3.6923076923076925</v>
      </c>
      <c r="HQ78" s="220">
        <f>HJ78*HM78/HO78</f>
        <v>11.076923076923077</v>
      </c>
      <c r="HR78" s="241">
        <f>HK78*HN78/HO78</f>
        <v>8.3076923076923084</v>
      </c>
      <c r="HS78" s="241">
        <f>SUM(HP78:HR78)</f>
        <v>23.07692307692308</v>
      </c>
      <c r="HT78" s="252">
        <f t="shared" ref="HT78:HT98" si="667">GQ78</f>
        <v>0</v>
      </c>
      <c r="HU78" s="309">
        <f>HS78-HT78</f>
        <v>23.07692307692308</v>
      </c>
      <c r="HV78" s="42">
        <f>IF(HS78&lt;=0,3,0)+IF(HS78&gt;0,HS78+1,0)*3+IF(HS78&gt;12,HS78-12,0)*3+IF(HS78&gt;13,HS78-13,0)*3+IF(HS78&gt;14,HS78-14,0)*3+IF(HS78&gt;15,HS78-15,0)*3+IF(HS78&gt;16,HS78-16,0)*3+IF(HS78&gt;17,HS78-17,0)*3+IF(HS78&gt;18,HS78-18,0)*3+IF(HS78&gt;19,HS78-19,0)*3+IF(HS78&gt;20,HS78-20,0)*3</f>
        <v>263.30769230769232</v>
      </c>
      <c r="HW78" s="78">
        <f>IF(HT78&lt;=0,3,0)+IF(HT78&gt;0,HT78+1,0)*3+IF(HT78&gt;12,HT78-12,0)*3+IF(HT78&gt;13,HT78-13,0)*3+IF(HT78&gt;14,HT78-14,0)*3+IF(HT78&gt;15,HT78-15,0)*3+IF(HT78&gt;16,HT78-16,0)*3+IF(HT78&gt;17,HT78-17,0)*3+IF(HT78&gt;18,HT78-18,0)*3+IF(HT78&gt;19,HT78-19,0)*3+IF(HT78&gt;20,HT78-20,0)*3</f>
        <v>3</v>
      </c>
      <c r="HX78" s="241">
        <f>IF((HV78-HW78)&gt;0,HV78-HW78,0)</f>
        <v>260.30769230769232</v>
      </c>
      <c r="HY78" s="42">
        <f>IF((HW78-HV78)&gt;0,HW78-HV78,0)</f>
        <v>0</v>
      </c>
      <c r="IA78" s="302" t="s">
        <v>345</v>
      </c>
      <c r="IB78" s="42" t="s">
        <v>8</v>
      </c>
      <c r="IC78" s="241" t="s">
        <v>135</v>
      </c>
      <c r="ID78" s="236">
        <f>Konvention_1slave-MUslave</f>
        <v>12</v>
      </c>
      <c r="IE78" s="233"/>
      <c r="IF78" s="233">
        <f>Konvention_1slave-INslave</f>
        <v>12</v>
      </c>
      <c r="IG78" s="233"/>
      <c r="IH78" s="233"/>
      <c r="II78" s="233">
        <f>Konvention_1slave-GEslave</f>
        <v>12</v>
      </c>
      <c r="IJ78" s="233"/>
      <c r="IK78" s="221"/>
      <c r="IL78" s="220">
        <f>(ID78+IE78+IF78+IG78+IH78+II78+IJ78+IK78)/3</f>
        <v>12</v>
      </c>
      <c r="IM78" s="220">
        <f>2*IL78</f>
        <v>24</v>
      </c>
      <c r="IN78" s="221">
        <f>3*IL78</f>
        <v>36</v>
      </c>
      <c r="IO78" s="236">
        <f>ID78*POWER(KLslave,SIGN(IE78))*POWER(INslave,SIGN(IF78))*POWER(CHslave,SIGN(IG78))*POWER(FFslave,SIGN(IH78))*POWER(GEslave,SIGN(II78))*POWER(KOslave,SIGN(IJ78))*POWER(KKslave_KK,SIGN(IK78))+IE78*POWER(MUslave,SIGN(ID78))*POWER(INslave,SIGN(IF78))*POWER(CHslave,SIGN(IG78))*POWER(FFslave,SIGN(IH78))*POWER(GEslave,SIGN(II78))*POWER(KOslave,SIGN(IJ78))*POWER(KKslave_KK,SIGN(IK78))+IF78*POWER(MUslave,SIGN(ID78))*POWER(KLslave,SIGN(IE78))*POWER(CHslave,SIGN(IG78))*POWER(FFslave,SIGN(IH78))*POWER(GEslave,SIGN(II78))*POWER(KOslave,SIGN(IJ78))*POWER(KKslave_KK,SIGN(IK78))+IG78*POWER(MUslave,SIGN(ID78))*POWER(KLslave,SIGN(IE78))*POWER(INslave,SIGN(IF78))*POWER(FFslave,SIGN(IH78))*POWER(GEslave,SIGN(II78))*POWER(KOslave,SIGN(IJ78))*POWER(KKslave_KK,SIGN(IK78))+IH78*POWER(MUslave,SIGN(ID78))*POWER(KLslave,SIGN(IE78))*POWER(INslave,SIGN(IF78))*POWER(CHslave,SIGN(IG78))*POWER(GEslave,SIGN(II78))*POWER(KOslave,SIGN(IJ78))*POWER(KKslave_KK,SIGN(IK78))+II78*POWER(MUslave,SIGN(ID78))*POWER(KLslave,SIGN(IE78))*POWER(INslave,SIGN(IF78))*POWER(CHslave,SIGN(IG78))*POWER(FFslave,SIGN(IH78))*POWER(KOslave,SIGN(IJ78))*POWER(KKslave_KK,SIGN(IK78))+IJ78*POWER(MUslave,SIGN(ID78))*POWER(KLslave,SIGN(IE78))*POWER(INslave,SIGN(IF78))*POWER(CHslave,SIGN(IG78))*POWER(FFslave,SIGN(IH78))*POWER(GEslave,SIGN(II78))*POWER(KKslave_KK,SIGN(IK78))+IK78*POWER(MUslave,SIGN(ID78))*POWER(KLslave,SIGN(IE78))*POWER(INslave,SIGN(IF78))*POWER(CHslave,SIGN(IG78))*POWER(FFslave,SIGN(IH78))*POWER(GEslave,SIGN(II78))*POWER(KOslave,SIGN(IJ78))</f>
        <v>2304</v>
      </c>
      <c r="IP78" s="233">
        <f>ID78*IF78*GEslave+ID78*INslave*II78+MUslave*IF78*II78</f>
        <v>3456</v>
      </c>
      <c r="IQ78" s="221">
        <f>IFERROR(ID78^SIGN(ID78),1)*IFERROR(IE78^SIGN(IE78),1)*IFERROR(IF78^SIGN(IF78),1)*IFERROR(IG78^SIGN(IG78),1)*IFERROR(IH78^SIGN(IH78),1)*IFERROR(II78^SIGN(II78),1)*IFERROR(IJ78^SIGN(IJ78),1)*IFERROR(IK78^SIGN(IK78),1)</f>
        <v>1728</v>
      </c>
      <c r="IR78" s="221">
        <f>SUM(IO78:IQ78)</f>
        <v>7488</v>
      </c>
      <c r="IS78" s="219">
        <f>IL78*IO78/IR78</f>
        <v>3.6923076923076925</v>
      </c>
      <c r="IT78" s="220">
        <f>IM78*IP78/IR78</f>
        <v>11.076923076923077</v>
      </c>
      <c r="IU78" s="241">
        <f>IN78*IQ78/IR78</f>
        <v>8.3076923076923084</v>
      </c>
      <c r="IV78" s="241">
        <f>SUM(IS78:IU78)</f>
        <v>23.07692307692308</v>
      </c>
      <c r="IW78" s="252">
        <f t="shared" ref="IW78:IW98" si="668">HT78</f>
        <v>0</v>
      </c>
      <c r="IX78" s="309">
        <f>IV78-IW78</f>
        <v>23.07692307692308</v>
      </c>
      <c r="IY78" s="42">
        <f>IF(IV78&lt;=0,3,0)+IF(IV78&gt;0,IV78+1,0)*3+IF(IV78&gt;12,IV78-12,0)*3+IF(IV78&gt;13,IV78-13,0)*3+IF(IV78&gt;14,IV78-14,0)*3+IF(IV78&gt;15,IV78-15,0)*3+IF(IV78&gt;16,IV78-16,0)*3+IF(IV78&gt;17,IV78-17,0)*3+IF(IV78&gt;18,IV78-18,0)*3+IF(IV78&gt;19,IV78-19,0)*3+IF(IV78&gt;20,IV78-20,0)*3</f>
        <v>263.30769230769232</v>
      </c>
      <c r="IZ78" s="78">
        <f>IF(IW78&lt;=0,3,0)+IF(IW78&gt;0,IW78+1,0)*3+IF(IW78&gt;12,IW78-12,0)*3+IF(IW78&gt;13,IW78-13,0)*3+IF(IW78&gt;14,IW78-14,0)*3+IF(IW78&gt;15,IW78-15,0)*3+IF(IW78&gt;16,IW78-16,0)*3+IF(IW78&gt;17,IW78-17,0)*3+IF(IW78&gt;18,IW78-18,0)*3+IF(IW78&gt;19,IW78-19,0)*3+IF(IW78&gt;20,IW78-20,0)*3</f>
        <v>3</v>
      </c>
      <c r="JA78" s="241">
        <f>IF((IY78-IZ78)&gt;0,IY78-IZ78,0)</f>
        <v>260.30769230769232</v>
      </c>
      <c r="JB78" s="42">
        <f>IF((IZ78-IY78)&gt;0,IZ78-IY78,0)</f>
        <v>0</v>
      </c>
      <c r="JE78" s="148"/>
    </row>
    <row r="79" spans="1:265" hidden="1" outlineLevel="2">
      <c r="B79" s="148">
        <v>2</v>
      </c>
      <c r="C79" s="303" t="e">
        <f>VLOOKUP(AF79,Attribute!C:T,1,FALSE)</f>
        <v>#N/A</v>
      </c>
      <c r="D79" s="125" t="s">
        <v>79</v>
      </c>
      <c r="E79" s="127" t="s">
        <v>132</v>
      </c>
      <c r="F79" s="114"/>
      <c r="G79" s="113">
        <f>Konvention_1master-KLmaster</f>
        <v>12</v>
      </c>
      <c r="H79" s="113"/>
      <c r="I79" s="113">
        <f>Konvention_1master-CHmaster</f>
        <v>12</v>
      </c>
      <c r="J79" s="113"/>
      <c r="K79" s="113"/>
      <c r="L79" s="113">
        <f>Konvention_1master-KOmaster</f>
        <v>12</v>
      </c>
      <c r="M79" s="119"/>
      <c r="N79" s="222">
        <f>(F79+G79+H79+I79+J79+K79+L79+M79)/3</f>
        <v>12</v>
      </c>
      <c r="O79" s="223">
        <f>2*N79</f>
        <v>24</v>
      </c>
      <c r="P79" s="224">
        <f>3*N79</f>
        <v>36</v>
      </c>
      <c r="Q79" s="237">
        <f>F79*POWER(KLmaster,SIGN(G79))*POWER(INmaster,SIGN(H79))*POWER(CHmaster,SIGN(I79))*POWER(FFmaster,SIGN(J79))*POWER(GEmaster,SIGN(K79))*POWER(KOmaster,SIGN(L79))*POWER(KKmaster,SIGN(M79))+G79*POWER(MUmaster,SIGN(F79))*POWER(INmaster,SIGN(H79))*POWER(CHmaster,SIGN(I79))*POWER(FFmaster,SIGN(J79))*POWER(GEmaster,SIGN(K79))*POWER(KOmaster,SIGN(L79))*POWER(KKmaster,SIGN(M79))+H79*POWER(MUmaster,SIGN(F79))*POWER(KLmaster,SIGN(G79))*POWER(CHmaster,SIGN(I79))*POWER(FFmaster,SIGN(J79))*POWER(GEmaster,SIGN(K79))*POWER(KOmaster,SIGN(L79))*POWER(KKmaster,SIGN(M79))+I79*POWER(MUmaster,SIGN(F79))*POWER(KLmaster,SIGN(G79))*POWER(INmaster,SIGN(H79))*POWER(FFmaster,SIGN(J79))*POWER(GEmaster,SIGN(K79))*POWER(KOmaster,SIGN(L79))*POWER(KKmaster,SIGN(M79))+J79*POWER(MUmaster,SIGN(F79))*POWER(KLmaster,SIGN(G79))*POWER(INmaster,SIGN(H79))*POWER(CHmaster,SIGN(I79))*POWER(GEmaster,SIGN(K79))*POWER(KOmaster,SIGN(L79))*POWER(KKmaster,SIGN(M79))+K79*POWER(MUmaster,SIGN(F79))*POWER(KLmaster,SIGN(G79))*POWER(INmaster,SIGN(H79))*POWER(CHmaster,SIGN(I79))*POWER(FFmaster,SIGN(J79))*POWER(KOmaster,SIGN(L79))*POWER(KKmaster,SIGN(M79))+L79*POWER(MUmaster,SIGN(F79))*POWER(KLmaster,SIGN(G79))*POWER(INmaster,SIGN(H79))*POWER(CHmaster,SIGN(I79))*POWER(FFmaster,SIGN(J79))*POWER(GEmaster,SIGN(K79))*POWER(KKmaster,SIGN(M79))+M79*POWER(MUmaster,SIGN(F79))*POWER(KLmaster,SIGN(G79))*POWER(INmaster,SIGN(H79))*POWER(CHmaster,SIGN(I79))*POWER(FFmaster,SIGN(J79))*POWER(GEmaster,SIGN(K79))*POWER(KOmaster,SIGN(L79))</f>
        <v>2304</v>
      </c>
      <c r="R79" s="113">
        <f>G79*I79*KOmaster+G79*CHmaster*L79+KLmaster*I79*L79</f>
        <v>3456</v>
      </c>
      <c r="S79" s="224">
        <f>IFERROR(F79^SIGN(F79),1)*IFERROR(G79^SIGN(G79),1)*IFERROR(H79^SIGN(H79),1)*IFERROR(I79^SIGN(I79),1)*IFERROR(J79^SIGN(J79),1)*IFERROR(K79^SIGN(K79),1)*IFERROR(L79^SIGN(L79),1)*IFERROR(M79^SIGN(M79),1)</f>
        <v>1728</v>
      </c>
      <c r="T79" s="242">
        <f>SUM(Q79:S79)</f>
        <v>7488</v>
      </c>
      <c r="U79" s="222">
        <f>N79*Q79/T79</f>
        <v>3.6923076923076925</v>
      </c>
      <c r="V79" s="223">
        <f>O79*R79/T79</f>
        <v>11.076923076923077</v>
      </c>
      <c r="W79" s="243">
        <f>P79*S79/T79</f>
        <v>8.3076923076923084</v>
      </c>
      <c r="X79" s="243">
        <f>SUM(U79:W79)</f>
        <v>23.07692307692308</v>
      </c>
      <c r="Y79" s="252">
        <v>0</v>
      </c>
      <c r="Z79" s="198">
        <f>X79-Y79</f>
        <v>23.07692307692308</v>
      </c>
      <c r="AA79" s="125">
        <f>IF(X79&lt;=0,2,0)+IF(X79&gt;0,X79+1,0)*2+IF(X79&gt;12,X79-12,0)*2+IF(X79&gt;13,X79-13,0)*2+IF(X79&gt;14,X79-14,0)*2+IF(X79&gt;15,X79-15,0)*2+IF(X79&gt;16,X79-16,0)*2+IF(X79&gt;17,X79-17,0)*2+IF(X79&gt;18,X79-18,0)*2+IF(X79&gt;19,X79-19,0)*2+IF(X79&gt;20,X79-20,0)*2</f>
        <v>175.5384615384616</v>
      </c>
      <c r="AB79" s="160">
        <f>IF(Y79&lt;=0,2,0)+IF(Y79&gt;0,Y79+1,0)*2+IF(Y79&gt;12,Y79-12,0)*2+IF(Y79&gt;13,Y79-13,0)*2+IF(Y79&gt;14,Y79-14,0)*2+IF(Y79&gt;15,Y79-15,0)*2+IF(Y79&gt;16,Y79-16,0)*2+IF(Y79&gt;17,Y79-17,0)*2+IF(Y79&gt;18,Y79-18,0)*2+IF(Y79&gt;19,Y79-19,0)*2+IF(Y79&gt;20,Y79-20,0)*2</f>
        <v>2</v>
      </c>
      <c r="AC79" s="127">
        <f>IF((AA79-AB79)&gt;0,AA79-AB79,0)</f>
        <v>173.5384615384616</v>
      </c>
      <c r="AD79" s="125">
        <f>IF((AB79-AA79)&gt;0,AB79-AA79,0)</f>
        <v>0</v>
      </c>
      <c r="AF79" s="163" t="s">
        <v>346</v>
      </c>
      <c r="AG79" s="125" t="s">
        <v>79</v>
      </c>
      <c r="AH79" s="127" t="s">
        <v>132</v>
      </c>
      <c r="AI79" s="114"/>
      <c r="AJ79" s="113">
        <f>Konvention_1slave-KLslave</f>
        <v>12</v>
      </c>
      <c r="AK79" s="113"/>
      <c r="AL79" s="113">
        <f>Konvention_1slave-CHslave</f>
        <v>12</v>
      </c>
      <c r="AM79" s="113"/>
      <c r="AN79" s="113"/>
      <c r="AO79" s="113">
        <f>Konvention_1slave-KOslave</f>
        <v>12</v>
      </c>
      <c r="AP79" s="119"/>
      <c r="AQ79" s="89">
        <f>(AI79+AJ79+AK79+AL79+AM79+AN79+AO79+AP79)/3</f>
        <v>12</v>
      </c>
      <c r="AR79" s="47">
        <f>2*AQ79</f>
        <v>24</v>
      </c>
      <c r="AS79" s="119">
        <f>3*AQ79</f>
        <v>36</v>
      </c>
      <c r="AT79" s="114">
        <f>AI79*POWER(KLslave,SIGN(AJ79))*POWER(INslave,SIGN(AK79))*POWER(CHslave,SIGN(AL79))*POWER(FFslave,SIGN(AM79))*POWER(GEslave,SIGN(AN79))*POWER(KOslave,SIGN(AO79))*POWER(KKslave,SIGN(AP79))+AJ79*POWER(MUslave_MU,SIGN(AI79))*POWER(INslave,SIGN(AK79))*POWER(CHslave,SIGN(AL79))*POWER(FFslave,SIGN(AM79))*POWER(GEslave,SIGN(AN79))*POWER(KOslave,SIGN(AO79))*POWER(KKslave,SIGN(AP79))+AK79*POWER(MUslave_MU,SIGN(AI79))*POWER(KLslave,SIGN(AJ79))*POWER(CHslave,SIGN(AL79))*POWER(FFslave,SIGN(AM79))*POWER(GEslave,SIGN(AN79))*POWER(KOslave,SIGN(AO79))*POWER(KKslave,SIGN(AP79))+AL79*POWER(MUslave_MU,SIGN(AI79))*POWER(KLslave,SIGN(AJ79))*POWER(INslave,SIGN(AK79))*POWER(FFslave,SIGN(AM79))*POWER(GEslave,SIGN(AN79))*POWER(KOslave,SIGN(AO79))*POWER(KKslave,SIGN(AP79))+AM79*POWER(MUslave_MU,SIGN(AI79))*POWER(KLslave,SIGN(AJ79))*POWER(INslave,SIGN(AK79))*POWER(CHslave,SIGN(AL79))*POWER(GEslave,SIGN(AN79))*POWER(KOslave,SIGN(AO79))*POWER(KKslave,SIGN(AP79))+AN79*POWER(MUslave_MU,SIGN(AI79))*POWER(KLslave,SIGN(AJ79))*POWER(INslave,SIGN(AK79))*POWER(CHslave,SIGN(AL79))*POWER(FFslave,SIGN(AM79))*POWER(KOslave,SIGN(AO79))*POWER(KKslave,SIGN(AP79))+AO79*POWER(MUslave_MU,SIGN(AI79))*POWER(KLslave,SIGN(AJ79))*POWER(INslave,SIGN(AK79))*POWER(CHslave,SIGN(AL79))*POWER(FFslave,SIGN(AM79))*POWER(GEslave,SIGN(AN79))*POWER(KKslave,SIGN(AP79))+AP79*POWER(MUslave_MU,SIGN(AI79))*POWER(KLslave,SIGN(AJ79))*POWER(INslave,SIGN(AK79))*POWER(CHslave,SIGN(AL79))*POWER(FFslave,SIGN(AM79))*POWER(GEslave,SIGN(AN79))*POWER(KOslave,SIGN(AO79))</f>
        <v>2304</v>
      </c>
      <c r="AU79" s="113">
        <f>AJ79*AL79*KOslave+AJ79*CHslave*AO79+KLslave*AL79*AO79</f>
        <v>3456</v>
      </c>
      <c r="AV79" s="119">
        <f>IFERROR(AI79^SIGN(AI79),1)*IFERROR(AJ79^SIGN(AJ79),1)*IFERROR(AK79^SIGN(AK79),1)*IFERROR(AL79^SIGN(AL79),1)*IFERROR(AM79^SIGN(AM79),1)*IFERROR(AN79^SIGN(AN79),1)*IFERROR(AO79^SIGN(AO79),1)*IFERROR(AP79^SIGN(AP79),1)</f>
        <v>1728</v>
      </c>
      <c r="AW79" s="160">
        <f>SUM(AT79:AV79)</f>
        <v>7488</v>
      </c>
      <c r="AX79" s="89">
        <f>AQ79*AT79/AW79</f>
        <v>3.6923076923076925</v>
      </c>
      <c r="AY79" s="47">
        <f>AR79*AU79/AW79</f>
        <v>11.076923076923077</v>
      </c>
      <c r="AZ79" s="127">
        <f>AS79*AV79/AW79</f>
        <v>8.3076923076923084</v>
      </c>
      <c r="BA79" s="127">
        <f>SUM(AX79:AZ79)</f>
        <v>23.07692307692308</v>
      </c>
      <c r="BB79" s="165">
        <f t="shared" si="661"/>
        <v>0</v>
      </c>
      <c r="BC79" s="198">
        <f>BA79-BB79</f>
        <v>23.07692307692308</v>
      </c>
      <c r="BD79" s="125">
        <f>IF(BA79&lt;=0,2,0)+IF(BA79&gt;0,BA79+1,0)*2+IF(BA79&gt;12,BA79-12,0)*2+IF(BA79&gt;13,BA79-13,0)*2+IF(BA79&gt;14,BA79-14,0)*2+IF(BA79&gt;15,BA79-15,0)*2+IF(BA79&gt;16,BA79-16,0)*2+IF(BA79&gt;17,BA79-17,0)*2+IF(BA79&gt;18,BA79-18,0)*2+IF(BA79&gt;19,BA79-19,0)*2+IF(BA79&gt;20,BA79-20,0)*2</f>
        <v>175.5384615384616</v>
      </c>
      <c r="BE79" s="160">
        <f>IF(BB79&lt;=0,2,0)+IF(BB79&gt;0,BB79+1,0)*2+IF(BB79&gt;12,BB79-12,0)*2+IF(BB79&gt;13,BB79-13,0)*2+IF(BB79&gt;14,BB79-14,0)*2+IF(BB79&gt;15,BB79-15,0)*2+IF(BB79&gt;16,BB79-16,0)*2+IF(BB79&gt;17,BB79-17,0)*2+IF(BB79&gt;18,BB79-18,0)*2+IF(BB79&gt;19,BB79-19,0)*2+IF(BB79&gt;20,BB79-20,0)*2</f>
        <v>2</v>
      </c>
      <c r="BF79" s="243">
        <f>IF((BD79-BE79)&gt;0,BD79-BE79,0)</f>
        <v>173.5384615384616</v>
      </c>
      <c r="BG79" s="218">
        <f>IF((BE79-BD79)&gt;0,BE79-BD79,0)</f>
        <v>0</v>
      </c>
      <c r="BI79" s="303" t="s">
        <v>346</v>
      </c>
      <c r="BJ79" s="218" t="s">
        <v>79</v>
      </c>
      <c r="BK79" s="243" t="s">
        <v>132</v>
      </c>
      <c r="BL79" s="237"/>
      <c r="BM79" s="234">
        <f>Konvention_1slave-KLslave_KL</f>
        <v>11</v>
      </c>
      <c r="BN79" s="234"/>
      <c r="BO79" s="234">
        <f>Konvention_1slave-CHslave</f>
        <v>12</v>
      </c>
      <c r="BP79" s="234"/>
      <c r="BQ79" s="234"/>
      <c r="BR79" s="234">
        <f>Konvention_1slave-KOslave</f>
        <v>12</v>
      </c>
      <c r="BS79" s="224"/>
      <c r="BT79" s="222">
        <f>(BL79+BM79+BN79+BO79+BP79+BQ79+BR79+BS79)/3</f>
        <v>11.666666666666666</v>
      </c>
      <c r="BU79" s="223">
        <f>2*BT79</f>
        <v>23.333333333333332</v>
      </c>
      <c r="BV79" s="224">
        <f>3*BT79</f>
        <v>35</v>
      </c>
      <c r="BW79" s="237">
        <f>BL79*POWER(KLslave_KL,SIGN(BM79))*POWER(INslave,SIGN(BN79))*POWER(CHslave,SIGN(BO79))*POWER(FFslave,SIGN(BP79))*POWER(GEslave,SIGN(BQ79))*POWER(KOslave,SIGN(BR79))*POWER(KKslave,SIGN(BS79))+BM79*POWER(MUslave,SIGN(BL79))*POWER(INslave,SIGN(BN79))*POWER(CHslave,SIGN(BO79))*POWER(FFslave,SIGN(BP79))*POWER(GEslave,SIGN(BQ79))*POWER(KOslave,SIGN(BR79))*POWER(KKslave,SIGN(BS79))+BN79*POWER(MUslave,SIGN(BL79))*POWER(KLslave_KL,SIGN(BM79))*POWER(CHslave,SIGN(BO79))*POWER(FFslave,SIGN(BP79))*POWER(GEslave,SIGN(BQ79))*POWER(KOslave,SIGN(BR79))*POWER(KKslave,SIGN(BS79))+BO79*POWER(MUslave,SIGN(BL79))*POWER(KLslave_KL,SIGN(BM79))*POWER(INslave,SIGN(BN79))*POWER(FFslave,SIGN(BP79))*POWER(GEslave,SIGN(BQ79))*POWER(KOslave,SIGN(BR79))*POWER(KKslave,SIGN(BS79))+BP79*POWER(MUslave,SIGN(BL79))*POWER(KLslave_KL,SIGN(BM79))*POWER(INslave,SIGN(BN79))*POWER(CHslave,SIGN(BO79))*POWER(GEslave,SIGN(BQ79))*POWER(KOslave,SIGN(BR79))*POWER(KKslave,SIGN(BS79))+BQ79*POWER(MUslave,SIGN(BL79))*POWER(KLslave_KL,SIGN(BM79))*POWER(INslave,SIGN(BN79))*POWER(CHslave,SIGN(BO79))*POWER(FFslave,SIGN(BP79))*POWER(KOslave,SIGN(BR79))*POWER(KKslave,SIGN(BS79))+BR79*POWER(MUslave,SIGN(BL79))*POWER(KLslave_KL,SIGN(BM79))*POWER(INslave,SIGN(BN79))*POWER(CHslave,SIGN(BO79))*POWER(FFslave,SIGN(BP79))*POWER(GEslave,SIGN(BQ79))*POWER(KKslave,SIGN(BS79))+BS79*POWER(MUslave,SIGN(BL79))*POWER(KLslave_KL,SIGN(BM79))*POWER(INslave,SIGN(BN79))*POWER(CHslave,SIGN(BO79))*POWER(FFslave,SIGN(BP79))*POWER(GEslave,SIGN(BQ79))*POWER(KOslave,SIGN(BR79))</f>
        <v>2432</v>
      </c>
      <c r="BX79" s="234">
        <f>BM79*BO79*KOslave+BM79*CHslave*BR79+KLslave_KL*BO79*BR79</f>
        <v>3408</v>
      </c>
      <c r="BY79" s="224">
        <f>IFERROR(BL79^SIGN(BL79),1)*IFERROR(BM79^SIGN(BM79),1)*IFERROR(BN79^SIGN(BN79),1)*IFERROR(BO79^SIGN(BO79),1)*IFERROR(BP79^SIGN(BP79),1)*IFERROR(BQ79^SIGN(BQ79),1)*IFERROR(BR79^SIGN(BR79),1)*IFERROR(BS79^SIGN(BS79),1)</f>
        <v>1584</v>
      </c>
      <c r="BZ79" s="242">
        <f>SUM(BW79:BY79)</f>
        <v>7424</v>
      </c>
      <c r="CA79" s="222">
        <f>BT79*BW79/BZ79</f>
        <v>3.8218390804597702</v>
      </c>
      <c r="CB79" s="223">
        <f>BU79*BX79/BZ79</f>
        <v>10.711206896551724</v>
      </c>
      <c r="CC79" s="243">
        <f>BV79*BY79/BZ79</f>
        <v>7.4676724137931032</v>
      </c>
      <c r="CD79" s="243">
        <f>SUM(CA79:CC79)</f>
        <v>22.000718390804597</v>
      </c>
      <c r="CE79" s="252">
        <f t="shared" si="662"/>
        <v>0</v>
      </c>
      <c r="CF79" s="309">
        <f>CD79-CE79</f>
        <v>22.000718390804597</v>
      </c>
      <c r="CG79" s="218">
        <f>IF(CD79&lt;=0,2,0)+IF(CD79&gt;0,CD79+1,0)*2+IF(CD79&gt;12,CD79-12,0)*2+IF(CD79&gt;13,CD79-13,0)*2+IF(CD79&gt;14,CD79-14,0)*2+IF(CD79&gt;15,CD79-15,0)*2+IF(CD79&gt;16,CD79-16,0)*2+IF(CD79&gt;17,CD79-17,0)*2+IF(CD79&gt;18,CD79-18,0)*2+IF(CD79&gt;19,CD79-19,0)*2+IF(CD79&gt;20,CD79-20,0)*2</f>
        <v>154.01436781609189</v>
      </c>
      <c r="CH79" s="242">
        <f>IF(CE79&lt;=0,2,0)+IF(CE79&gt;0,CE79+1,0)*2+IF(CE79&gt;12,CE79-12,0)*2+IF(CE79&gt;13,CE79-13,0)*2+IF(CE79&gt;14,CE79-14,0)*2+IF(CE79&gt;15,CE79-15,0)*2+IF(CE79&gt;16,CE79-16,0)*2+IF(CE79&gt;17,CE79-17,0)*2+IF(CE79&gt;18,CE79-18,0)*2+IF(CE79&gt;19,CE79-19,0)*2+IF(CE79&gt;20,CE79-20,0)*2</f>
        <v>2</v>
      </c>
      <c r="CI79" s="243">
        <f>IF((CG79-CH79)&gt;0,CG79-CH79,0)</f>
        <v>152.01436781609189</v>
      </c>
      <c r="CJ79" s="218">
        <f>IF((CH79-CG79)&gt;0,CH79-CG79,0)</f>
        <v>0</v>
      </c>
      <c r="CL79" s="303" t="s">
        <v>346</v>
      </c>
      <c r="CM79" s="218" t="s">
        <v>79</v>
      </c>
      <c r="CN79" s="243" t="s">
        <v>132</v>
      </c>
      <c r="CO79" s="237"/>
      <c r="CP79" s="234">
        <f>Konvention_1slave-KLslave</f>
        <v>12</v>
      </c>
      <c r="CQ79" s="234"/>
      <c r="CR79" s="234">
        <f>Konvention_1slave-CHslave</f>
        <v>12</v>
      </c>
      <c r="CS79" s="234"/>
      <c r="CT79" s="234"/>
      <c r="CU79" s="234">
        <f>Konvention_1slave-KOslave</f>
        <v>12</v>
      </c>
      <c r="CV79" s="224"/>
      <c r="CW79" s="222">
        <f>(CO79+CP79+CQ79+CR79+CS79+CT79+CU79+CV79)/3</f>
        <v>12</v>
      </c>
      <c r="CX79" s="223">
        <f>2*CW79</f>
        <v>24</v>
      </c>
      <c r="CY79" s="224">
        <f>3*CW79</f>
        <v>36</v>
      </c>
      <c r="CZ79" s="237">
        <f>CO79*POWER(KLslave,SIGN(CP79))*POWER(INslave_IN,SIGN(CQ79))*POWER(CHslave,SIGN(CR79))*POWER(FFslave,SIGN(CS79))*POWER(GEslave,SIGN(CT79))*POWER(KOslave,SIGN(CU79))*POWER(KKslave,SIGN(CV79))+CP79*POWER(MUslave,SIGN(CO79))*POWER(INslave_IN,SIGN(CQ79))*POWER(CHslave,SIGN(CR79))*POWER(FFslave,SIGN(CS79))*POWER(GEslave,SIGN(CT79))*POWER(KOslave,SIGN(CU79))*POWER(KKslave,SIGN(CV79))+CQ79*POWER(MUslave,SIGN(CO79))*POWER(KLslave,SIGN(CP79))*POWER(CHslave,SIGN(CR79))*POWER(FFslave,SIGN(CS79))*POWER(GEslave,SIGN(CT79))*POWER(KOslave,SIGN(CU79))*POWER(KKslave,SIGN(CV79))+CR79*POWER(MUslave,SIGN(CO79))*POWER(KLslave,SIGN(CP79))*POWER(INslave_IN,SIGN(CQ79))*POWER(FFslave,SIGN(CS79))*POWER(GEslave,SIGN(CT79))*POWER(KOslave,SIGN(CU79))*POWER(KKslave,SIGN(CV79))+CS79*POWER(MUslave,SIGN(CO79))*POWER(KLslave,SIGN(CP79))*POWER(INslave_IN,SIGN(CQ79))*POWER(CHslave,SIGN(CR79))*POWER(GEslave,SIGN(CT79))*POWER(KOslave,SIGN(CU79))*POWER(KKslave,SIGN(CV79))+CT79*POWER(MUslave,SIGN(CO79))*POWER(KLslave,SIGN(CP79))*POWER(INslave_IN,SIGN(CQ79))*POWER(CHslave,SIGN(CR79))*POWER(FFslave,SIGN(CS79))*POWER(KOslave,SIGN(CU79))*POWER(KKslave,SIGN(CV79))+CU79*POWER(MUslave,SIGN(CO79))*POWER(KLslave,SIGN(CP79))*POWER(INslave_IN,SIGN(CQ79))*POWER(CHslave,SIGN(CR79))*POWER(FFslave,SIGN(CS79))*POWER(GEslave,SIGN(CT79))*POWER(KKslave,SIGN(CV79))+CV79*POWER(MUslave,SIGN(CO79))*POWER(KLslave,SIGN(CP79))*POWER(INslave_IN,SIGN(CQ79))*POWER(CHslave,SIGN(CR79))*POWER(FFslave,SIGN(CS79))*POWER(GEslave,SIGN(CT79))*POWER(KOslave,SIGN(CU79))</f>
        <v>2304</v>
      </c>
      <c r="DA79" s="234">
        <f>CP79*CR79*KOslave+CP79*CHslave*CU79+KLslave*CR79*CU79</f>
        <v>3456</v>
      </c>
      <c r="DB79" s="224">
        <f>IFERROR(CO79^SIGN(CO79),1)*IFERROR(CP79^SIGN(CP79),1)*IFERROR(CQ79^SIGN(CQ79),1)*IFERROR(CR79^SIGN(CR79),1)*IFERROR(CS79^SIGN(CS79),1)*IFERROR(CT79^SIGN(CT79),1)*IFERROR(CU79^SIGN(CU79),1)*IFERROR(CV79^SIGN(CV79),1)</f>
        <v>1728</v>
      </c>
      <c r="DC79" s="242">
        <f>SUM(CZ79:DB79)</f>
        <v>7488</v>
      </c>
      <c r="DD79" s="222">
        <f>CW79*CZ79/DC79</f>
        <v>3.6923076923076925</v>
      </c>
      <c r="DE79" s="223">
        <f>CX79*DA79/DC79</f>
        <v>11.076923076923077</v>
      </c>
      <c r="DF79" s="243">
        <f>CY79*DB79/DC79</f>
        <v>8.3076923076923084</v>
      </c>
      <c r="DG79" s="243">
        <f>SUM(DD79:DF79)</f>
        <v>23.07692307692308</v>
      </c>
      <c r="DH79" s="252">
        <f t="shared" si="663"/>
        <v>0</v>
      </c>
      <c r="DI79" s="309">
        <f>DG79-DH79</f>
        <v>23.07692307692308</v>
      </c>
      <c r="DJ79" s="218">
        <f>IF(DG79&lt;=0,2,0)+IF(DG79&gt;0,DG79+1,0)*2+IF(DG79&gt;12,DG79-12,0)*2+IF(DG79&gt;13,DG79-13,0)*2+IF(DG79&gt;14,DG79-14,0)*2+IF(DG79&gt;15,DG79-15,0)*2+IF(DG79&gt;16,DG79-16,0)*2+IF(DG79&gt;17,DG79-17,0)*2+IF(DG79&gt;18,DG79-18,0)*2+IF(DG79&gt;19,DG79-19,0)*2+IF(DG79&gt;20,DG79-20,0)*2</f>
        <v>175.5384615384616</v>
      </c>
      <c r="DK79" s="242">
        <f>IF(DH79&lt;=0,2,0)+IF(DH79&gt;0,DH79+1,0)*2+IF(DH79&gt;12,DH79-12,0)*2+IF(DH79&gt;13,DH79-13,0)*2+IF(DH79&gt;14,DH79-14,0)*2+IF(DH79&gt;15,DH79-15,0)*2+IF(DH79&gt;16,DH79-16,0)*2+IF(DH79&gt;17,DH79-17,0)*2+IF(DH79&gt;18,DH79-18,0)*2+IF(DH79&gt;19,DH79-19,0)*2+IF(DH79&gt;20,DH79-20,0)*2</f>
        <v>2</v>
      </c>
      <c r="DL79" s="243">
        <f>IF((DJ79-DK79)&gt;0,DJ79-DK79,0)</f>
        <v>173.5384615384616</v>
      </c>
      <c r="DM79" s="218">
        <f>IF((DK79-DJ79)&gt;0,DK79-DJ79,0)</f>
        <v>0</v>
      </c>
      <c r="DO79" s="303" t="s">
        <v>346</v>
      </c>
      <c r="DP79" s="218" t="s">
        <v>79</v>
      </c>
      <c r="DQ79" s="243" t="s">
        <v>132</v>
      </c>
      <c r="DR79" s="237"/>
      <c r="DS79" s="234">
        <f>Konvention_1slave-KLslave</f>
        <v>12</v>
      </c>
      <c r="DT79" s="234"/>
      <c r="DU79" s="234">
        <f>Konvention_1slave-CHslave_CH</f>
        <v>11</v>
      </c>
      <c r="DV79" s="234"/>
      <c r="DW79" s="234"/>
      <c r="DX79" s="234">
        <f>Konvention_1slave-KOslave</f>
        <v>12</v>
      </c>
      <c r="DY79" s="224"/>
      <c r="DZ79" s="222">
        <f>(DR79+DS79+DT79+DU79+DV79+DW79+DX79+DY79)/3</f>
        <v>11.666666666666666</v>
      </c>
      <c r="EA79" s="223">
        <f>2*DZ79</f>
        <v>23.333333333333332</v>
      </c>
      <c r="EB79" s="224">
        <f>3*DZ79</f>
        <v>35</v>
      </c>
      <c r="EC79" s="237">
        <f>DR79*POWER(KLslave,SIGN(DS79))*POWER(INslave,SIGN(DT79))*POWER(CHslave_CH,SIGN(DU79))*POWER(FFslave,SIGN(DV79))*POWER(GEslave,SIGN(DW79))*POWER(KOslave,SIGN(DX79))*POWER(KKslave,SIGN(DY79))+DS79*POWER(MUslave,SIGN(DR79))*POWER(INslave,SIGN(DT79))*POWER(CHslave_CH,SIGN(DU79))*POWER(FFslave,SIGN(DV79))*POWER(GEslave,SIGN(DW79))*POWER(KOslave,SIGN(DX79))*POWER(KKslave,SIGN(DY79))+DT79*POWER(MUslave,SIGN(DR79))*POWER(KLslave,SIGN(DS79))*POWER(CHslave_CH,SIGN(DU79))*POWER(FFslave,SIGN(DV79))*POWER(GEslave,SIGN(DW79))*POWER(KOslave,SIGN(DX79))*POWER(KKslave,SIGN(DY79))+DU79*POWER(MUslave,SIGN(DR79))*POWER(KLslave,SIGN(DS79))*POWER(INslave,SIGN(DT79))*POWER(FFslave,SIGN(DV79))*POWER(GEslave,SIGN(DW79))*POWER(KOslave,SIGN(DX79))*POWER(KKslave,SIGN(DY79))+DV79*POWER(MUslave,SIGN(DR79))*POWER(KLslave,SIGN(DS79))*POWER(INslave,SIGN(DT79))*POWER(CHslave_CH,SIGN(DU79))*POWER(GEslave,SIGN(DW79))*POWER(KOslave,SIGN(DX79))*POWER(KKslave,SIGN(DY79))+DW79*POWER(MUslave,SIGN(DR79))*POWER(KLslave,SIGN(DS79))*POWER(INslave,SIGN(DT79))*POWER(CHslave_CH,SIGN(DU79))*POWER(FFslave,SIGN(DV79))*POWER(KOslave,SIGN(DX79))*POWER(KKslave,SIGN(DY79))+DX79*POWER(MUslave,SIGN(DR79))*POWER(KLslave,SIGN(DS79))*POWER(INslave,SIGN(DT79))*POWER(CHslave_CH,SIGN(DU79))*POWER(FFslave,SIGN(DV79))*POWER(GEslave,SIGN(DW79))*POWER(KKslave,SIGN(DY79))+DY79*POWER(MUslave,SIGN(DR79))*POWER(KLslave,SIGN(DS79))*POWER(INslave,SIGN(DT79))*POWER(CHslave_CH,SIGN(DU79))*POWER(FFslave,SIGN(DV79))*POWER(GEslave,SIGN(DW79))*POWER(KOslave,SIGN(DX79))</f>
        <v>2432</v>
      </c>
      <c r="ED79" s="234">
        <f>DS79*DU79*KOslave+DS79*CHslave_CH*DX79+KLslave*DU79*DX79</f>
        <v>3408</v>
      </c>
      <c r="EE79" s="224">
        <f>IFERROR(DR79^SIGN(DR79),1)*IFERROR(DS79^SIGN(DS79),1)*IFERROR(DT79^SIGN(DT79),1)*IFERROR(DU79^SIGN(DU79),1)*IFERROR(DV79^SIGN(DV79),1)*IFERROR(DW79^SIGN(DW79),1)*IFERROR(DX79^SIGN(DX79),1)*IFERROR(DY79^SIGN(DY79),1)</f>
        <v>1584</v>
      </c>
      <c r="EF79" s="242">
        <f>SUM(EC79:EE79)</f>
        <v>7424</v>
      </c>
      <c r="EG79" s="222">
        <f>DZ79*EC79/EF79</f>
        <v>3.8218390804597702</v>
      </c>
      <c r="EH79" s="223">
        <f>EA79*ED79/EF79</f>
        <v>10.711206896551724</v>
      </c>
      <c r="EI79" s="243">
        <f>EB79*EE79/EF79</f>
        <v>7.4676724137931032</v>
      </c>
      <c r="EJ79" s="243">
        <f>SUM(EG79:EI79)</f>
        <v>22.000718390804597</v>
      </c>
      <c r="EK79" s="252">
        <f t="shared" si="664"/>
        <v>0</v>
      </c>
      <c r="EL79" s="309">
        <f>EJ79-EK79</f>
        <v>22.000718390804597</v>
      </c>
      <c r="EM79" s="218">
        <f>IF(EJ79&lt;=0,2,0)+IF(EJ79&gt;0,EJ79+1,0)*2+IF(EJ79&gt;12,EJ79-12,0)*2+IF(EJ79&gt;13,EJ79-13,0)*2+IF(EJ79&gt;14,EJ79-14,0)*2+IF(EJ79&gt;15,EJ79-15,0)*2+IF(EJ79&gt;16,EJ79-16,0)*2+IF(EJ79&gt;17,EJ79-17,0)*2+IF(EJ79&gt;18,EJ79-18,0)*2+IF(EJ79&gt;19,EJ79-19,0)*2+IF(EJ79&gt;20,EJ79-20,0)*2</f>
        <v>154.01436781609189</v>
      </c>
      <c r="EN79" s="242">
        <f>IF(EK79&lt;=0,2,0)+IF(EK79&gt;0,EK79+1,0)*2+IF(EK79&gt;12,EK79-12,0)*2+IF(EK79&gt;13,EK79-13,0)*2+IF(EK79&gt;14,EK79-14,0)*2+IF(EK79&gt;15,EK79-15,0)*2+IF(EK79&gt;16,EK79-16,0)*2+IF(EK79&gt;17,EK79-17,0)*2+IF(EK79&gt;18,EK79-18,0)*2+IF(EK79&gt;19,EK79-19,0)*2+IF(EK79&gt;20,EK79-20,0)*2</f>
        <v>2</v>
      </c>
      <c r="EO79" s="243">
        <f>IF((EM79-EN79)&gt;0,EM79-EN79,0)</f>
        <v>152.01436781609189</v>
      </c>
      <c r="EP79" s="218">
        <f>IF((EN79-EM79)&gt;0,EN79-EM79,0)</f>
        <v>0</v>
      </c>
      <c r="ER79" s="303" t="s">
        <v>346</v>
      </c>
      <c r="ES79" s="218" t="s">
        <v>79</v>
      </c>
      <c r="ET79" s="243" t="s">
        <v>132</v>
      </c>
      <c r="EU79" s="237"/>
      <c r="EV79" s="234">
        <f>Konvention_1slave-KLslave</f>
        <v>12</v>
      </c>
      <c r="EW79" s="234"/>
      <c r="EX79" s="234">
        <f>Konvention_1slave-CHslave</f>
        <v>12</v>
      </c>
      <c r="EY79" s="234"/>
      <c r="EZ79" s="234"/>
      <c r="FA79" s="234">
        <f>Konvention_1slave-KOslave</f>
        <v>12</v>
      </c>
      <c r="FB79" s="224"/>
      <c r="FC79" s="222">
        <f>(EU79+EV79+EW79+EX79+EY79+EZ79+FA79+FB79)/3</f>
        <v>12</v>
      </c>
      <c r="FD79" s="223">
        <f>2*FC79</f>
        <v>24</v>
      </c>
      <c r="FE79" s="224">
        <f>3*FC79</f>
        <v>36</v>
      </c>
      <c r="FF79" s="237">
        <f>EU79*POWER(KLslave,SIGN(EV79))*POWER(INslave,SIGN(EW79))*POWER(CHslave,SIGN(EX79))*POWER(FFslave_FF,SIGN(EY79))*POWER(GEslave,SIGN(EZ79))*POWER(KOslave,SIGN(FA79))*POWER(KKslave,SIGN(FB79))+EV79*POWER(MUslave,SIGN(EU79))*POWER(INslave,SIGN(EW79))*POWER(CHslave,SIGN(EX79))*POWER(FFslave_FF,SIGN(EY79))*POWER(GEslave,SIGN(EZ79))*POWER(KOslave,SIGN(FA79))*POWER(KKslave,SIGN(FB79))+EW79*POWER(MUslave,SIGN(EU79))*POWER(KLslave,SIGN(EV79))*POWER(CHslave,SIGN(EX79))*POWER(FFslave_FF,SIGN(EY79))*POWER(GEslave,SIGN(EZ79))*POWER(KOslave,SIGN(FA79))*POWER(KKslave,SIGN(FB79))+EX79*POWER(MUslave,SIGN(EU79))*POWER(KLslave,SIGN(EV79))*POWER(INslave,SIGN(EW79))*POWER(FFslave_FF,SIGN(EY79))*POWER(GEslave,SIGN(EZ79))*POWER(KOslave,SIGN(FA79))*POWER(KKslave,SIGN(FB79))+EY79*POWER(MUslave,SIGN(EU79))*POWER(KLslave,SIGN(EV79))*POWER(INslave,SIGN(EW79))*POWER(CHslave,SIGN(EX79))*POWER(GEslave,SIGN(EZ79))*POWER(KOslave,SIGN(FA79))*POWER(KKslave,SIGN(FB79))+EZ79*POWER(MUslave,SIGN(EU79))*POWER(KLslave,SIGN(EV79))*POWER(INslave,SIGN(EW79))*POWER(CHslave,SIGN(EX79))*POWER(FFslave_FF,SIGN(EY79))*POWER(KOslave,SIGN(FA79))*POWER(KKslave,SIGN(FB79))+FA79*POWER(MUslave,SIGN(EU79))*POWER(KLslave,SIGN(EV79))*POWER(INslave,SIGN(EW79))*POWER(CHslave,SIGN(EX79))*POWER(FFslave_FF,SIGN(EY79))*POWER(GEslave,SIGN(EZ79))*POWER(KKslave,SIGN(FB79))+FB79*POWER(MUslave,SIGN(EU79))*POWER(KLslave,SIGN(EV79))*POWER(INslave,SIGN(EW79))*POWER(CHslave,SIGN(EX79))*POWER(FFslave_FF,SIGN(EY79))*POWER(GEslave,SIGN(EZ79))*POWER(KOslave,SIGN(FA79))</f>
        <v>2304</v>
      </c>
      <c r="FG79" s="234">
        <f>EV79*EX79*KOslave+EV79*CHslave*FA79+KLslave*EX79*FA79</f>
        <v>3456</v>
      </c>
      <c r="FH79" s="224">
        <f>IFERROR(EU79^SIGN(EU79),1)*IFERROR(EV79^SIGN(EV79),1)*IFERROR(EW79^SIGN(EW79),1)*IFERROR(EX79^SIGN(EX79),1)*IFERROR(EY79^SIGN(EY79),1)*IFERROR(EZ79^SIGN(EZ79),1)*IFERROR(FA79^SIGN(FA79),1)*IFERROR(FB79^SIGN(FB79),1)</f>
        <v>1728</v>
      </c>
      <c r="FI79" s="242">
        <f>SUM(FF79:FH79)</f>
        <v>7488</v>
      </c>
      <c r="FJ79" s="222">
        <f>FC79*FF79/FI79</f>
        <v>3.6923076923076925</v>
      </c>
      <c r="FK79" s="223">
        <f>FD79*FG79/FI79</f>
        <v>11.076923076923077</v>
      </c>
      <c r="FL79" s="243">
        <f>FE79*FH79/FI79</f>
        <v>8.3076923076923084</v>
      </c>
      <c r="FM79" s="243">
        <f>SUM(FJ79:FL79)</f>
        <v>23.07692307692308</v>
      </c>
      <c r="FN79" s="252">
        <f t="shared" si="665"/>
        <v>0</v>
      </c>
      <c r="FO79" s="309">
        <f>FM79-FN79</f>
        <v>23.07692307692308</v>
      </c>
      <c r="FP79" s="218">
        <f>IF(FM79&lt;=0,2,0)+IF(FM79&gt;0,FM79+1,0)*2+IF(FM79&gt;12,FM79-12,0)*2+IF(FM79&gt;13,FM79-13,0)*2+IF(FM79&gt;14,FM79-14,0)*2+IF(FM79&gt;15,FM79-15,0)*2+IF(FM79&gt;16,FM79-16,0)*2+IF(FM79&gt;17,FM79-17,0)*2+IF(FM79&gt;18,FM79-18,0)*2+IF(FM79&gt;19,FM79-19,0)*2+IF(FM79&gt;20,FM79-20,0)*2</f>
        <v>175.5384615384616</v>
      </c>
      <c r="FQ79" s="242">
        <f>IF(FN79&lt;=0,2,0)+IF(FN79&gt;0,FN79+1,0)*2+IF(FN79&gt;12,FN79-12,0)*2+IF(FN79&gt;13,FN79-13,0)*2+IF(FN79&gt;14,FN79-14,0)*2+IF(FN79&gt;15,FN79-15,0)*2+IF(FN79&gt;16,FN79-16,0)*2+IF(FN79&gt;17,FN79-17,0)*2+IF(FN79&gt;18,FN79-18,0)*2+IF(FN79&gt;19,FN79-19,0)*2+IF(FN79&gt;20,FN79-20,0)*2</f>
        <v>2</v>
      </c>
      <c r="FR79" s="243">
        <f>IF((FP79-FQ79)&gt;0,FP79-FQ79,0)</f>
        <v>173.5384615384616</v>
      </c>
      <c r="FS79" s="218">
        <f>IF((FQ79-FP79)&gt;0,FQ79-FP79,0)</f>
        <v>0</v>
      </c>
      <c r="FU79" s="303" t="s">
        <v>346</v>
      </c>
      <c r="FV79" s="218" t="s">
        <v>79</v>
      </c>
      <c r="FW79" s="243" t="s">
        <v>132</v>
      </c>
      <c r="FX79" s="237"/>
      <c r="FY79" s="234">
        <f>Konvention_1slave-KLslave</f>
        <v>12</v>
      </c>
      <c r="FZ79" s="234"/>
      <c r="GA79" s="234">
        <f>Konvention_1slave-CHslave</f>
        <v>12</v>
      </c>
      <c r="GB79" s="234"/>
      <c r="GC79" s="234"/>
      <c r="GD79" s="234">
        <f>Konvention_1slave-KOslave</f>
        <v>12</v>
      </c>
      <c r="GE79" s="224"/>
      <c r="GF79" s="222">
        <f>(FX79+FY79+FZ79+GA79+GB79+GC79+GD79+GE79)/3</f>
        <v>12</v>
      </c>
      <c r="GG79" s="223">
        <f>2*GF79</f>
        <v>24</v>
      </c>
      <c r="GH79" s="224">
        <f>3*GF79</f>
        <v>36</v>
      </c>
      <c r="GI79" s="237">
        <f>FX79*POWER(KLslave,SIGN(FY79))*POWER(INslave,SIGN(FZ79))*POWER(CHslave,SIGN(GA79))*POWER(FFslave,SIGN(GB79))*POWER(GEslave_GE,SIGN(GC79))*POWER(KOslave,SIGN(GD79))*POWER(KKslave,SIGN(GE79))+FY79*POWER(MUslave,SIGN(FX79))*POWER(INslave,SIGN(FZ79))*POWER(CHslave,SIGN(GA79))*POWER(FFslave,SIGN(GB79))*POWER(GEslave_GE,SIGN(GC79))*POWER(KOslave,SIGN(GD79))*POWER(KKslave,SIGN(GE79))+FZ79*POWER(MUslave,SIGN(FX79))*POWER(KLslave,SIGN(FY79))*POWER(CHslave,SIGN(GA79))*POWER(FFslave,SIGN(GB79))*POWER(GEslave_GE,SIGN(GC79))*POWER(KOslave,SIGN(GD79))*POWER(KKslave,SIGN(GE79))+GA79*POWER(MUslave,SIGN(FX79))*POWER(KLslave,SIGN(FY79))*POWER(INslave,SIGN(FZ79))*POWER(FFslave,SIGN(GB79))*POWER(GEslave_GE,SIGN(GC79))*POWER(KOslave,SIGN(GD79))*POWER(KKslave,SIGN(GE79))+GB79*POWER(MUslave,SIGN(FX79))*POWER(KLslave,SIGN(FY79))*POWER(INslave,SIGN(FZ79))*POWER(CHslave,SIGN(GA79))*POWER(GEslave_GE,SIGN(GC79))*POWER(KOslave,SIGN(GD79))*POWER(KKslave,SIGN(GE79))+GC79*POWER(MUslave,SIGN(FX79))*POWER(KLslave,SIGN(FY79))*POWER(INslave,SIGN(FZ79))*POWER(CHslave,SIGN(GA79))*POWER(FFslave,SIGN(GB79))*POWER(KOslave,SIGN(GD79))*POWER(KKslave,SIGN(GE79))+GD79*POWER(MUslave,SIGN(FX79))*POWER(KLslave,SIGN(FY79))*POWER(INslave,SIGN(FZ79))*POWER(CHslave,SIGN(GA79))*POWER(FFslave,SIGN(GB79))*POWER(GEslave_GE,SIGN(GC79))*POWER(KKslave,SIGN(GE79))+GE79*POWER(MUslave,SIGN(FX79))*POWER(KLslave,SIGN(FY79))*POWER(INslave,SIGN(FZ79))*POWER(CHslave,SIGN(GA79))*POWER(FFslave,SIGN(GB79))*POWER(GEslave_GE,SIGN(GC79))*POWER(KOslave,SIGN(GD79))</f>
        <v>2304</v>
      </c>
      <c r="GJ79" s="234">
        <f>FY79*GA79*KOslave+FY79*CHslave*GD79+KLslave*GA79*GD79</f>
        <v>3456</v>
      </c>
      <c r="GK79" s="224">
        <f>IFERROR(FX79^SIGN(FX79),1)*IFERROR(FY79^SIGN(FY79),1)*IFERROR(FZ79^SIGN(FZ79),1)*IFERROR(GA79^SIGN(GA79),1)*IFERROR(GB79^SIGN(GB79),1)*IFERROR(GC79^SIGN(GC79),1)*IFERROR(GD79^SIGN(GD79),1)*IFERROR(GE79^SIGN(GE79),1)</f>
        <v>1728</v>
      </c>
      <c r="GL79" s="242">
        <f>SUM(GI79:GK79)</f>
        <v>7488</v>
      </c>
      <c r="GM79" s="222">
        <f>GF79*GI79/GL79</f>
        <v>3.6923076923076925</v>
      </c>
      <c r="GN79" s="223">
        <f>GG79*GJ79/GL79</f>
        <v>11.076923076923077</v>
      </c>
      <c r="GO79" s="243">
        <f>GH79*GK79/GL79</f>
        <v>8.3076923076923084</v>
      </c>
      <c r="GP79" s="243">
        <f>SUM(GM79:GO79)</f>
        <v>23.07692307692308</v>
      </c>
      <c r="GQ79" s="252">
        <f t="shared" si="666"/>
        <v>0</v>
      </c>
      <c r="GR79" s="309">
        <f>GP79-GQ79</f>
        <v>23.07692307692308</v>
      </c>
      <c r="GS79" s="218">
        <f>IF(GP79&lt;=0,2,0)+IF(GP79&gt;0,GP79+1,0)*2+IF(GP79&gt;12,GP79-12,0)*2+IF(GP79&gt;13,GP79-13,0)*2+IF(GP79&gt;14,GP79-14,0)*2+IF(GP79&gt;15,GP79-15,0)*2+IF(GP79&gt;16,GP79-16,0)*2+IF(GP79&gt;17,GP79-17,0)*2+IF(GP79&gt;18,GP79-18,0)*2+IF(GP79&gt;19,GP79-19,0)*2+IF(GP79&gt;20,GP79-20,0)*2</f>
        <v>175.5384615384616</v>
      </c>
      <c r="GT79" s="242">
        <f>IF(GQ79&lt;=0,2,0)+IF(GQ79&gt;0,GQ79+1,0)*2+IF(GQ79&gt;12,GQ79-12,0)*2+IF(GQ79&gt;13,GQ79-13,0)*2+IF(GQ79&gt;14,GQ79-14,0)*2+IF(GQ79&gt;15,GQ79-15,0)*2+IF(GQ79&gt;16,GQ79-16,0)*2+IF(GQ79&gt;17,GQ79-17,0)*2+IF(GQ79&gt;18,GQ79-18,0)*2+IF(GQ79&gt;19,GQ79-19,0)*2+IF(GQ79&gt;20,GQ79-20,0)*2</f>
        <v>2</v>
      </c>
      <c r="GU79" s="243">
        <f>IF((GS79-GT79)&gt;0,GS79-GT79,0)</f>
        <v>173.5384615384616</v>
      </c>
      <c r="GV79" s="218">
        <f>IF((GT79-GS79)&gt;0,GT79-GS79,0)</f>
        <v>0</v>
      </c>
      <c r="GX79" s="303" t="s">
        <v>346</v>
      </c>
      <c r="GY79" s="218" t="s">
        <v>79</v>
      </c>
      <c r="GZ79" s="243" t="s">
        <v>132</v>
      </c>
      <c r="HA79" s="237"/>
      <c r="HB79" s="234">
        <f>Konvention_1slave-KLslave</f>
        <v>12</v>
      </c>
      <c r="HC79" s="234"/>
      <c r="HD79" s="234">
        <f>Konvention_1slave-CHslave</f>
        <v>12</v>
      </c>
      <c r="HE79" s="234"/>
      <c r="HF79" s="234"/>
      <c r="HG79" s="234">
        <f>Konvention_1slave-KOslave_KO</f>
        <v>11</v>
      </c>
      <c r="HH79" s="224"/>
      <c r="HI79" s="222">
        <f>(HA79+HB79+HC79+HD79+HE79+HF79+HG79+HH79)/3</f>
        <v>11.666666666666666</v>
      </c>
      <c r="HJ79" s="223">
        <f>2*HI79</f>
        <v>23.333333333333332</v>
      </c>
      <c r="HK79" s="224">
        <f>3*HI79</f>
        <v>35</v>
      </c>
      <c r="HL79" s="237">
        <f>HA79*POWER(KLslave,SIGN(HB79))*POWER(INslave,SIGN(HC79))*POWER(CHslave,SIGN(HD79))*POWER(FFslave,SIGN(HE79))*POWER(GEslave,SIGN(HF79))*POWER(KOslave_KO,SIGN(HG79))*POWER(KKslave,SIGN(HH79))+HB79*POWER(MUslave,SIGN(HA79))*POWER(INslave,SIGN(HC79))*POWER(CHslave,SIGN(HD79))*POWER(FFslave,SIGN(HE79))*POWER(GEslave,SIGN(HF79))*POWER(KOslave_KO,SIGN(HG79))*POWER(KKslave,SIGN(HH79))+HC79*POWER(MUslave,SIGN(HA79))*POWER(KLslave,SIGN(HB79))*POWER(CHslave,SIGN(HD79))*POWER(FFslave,SIGN(HE79))*POWER(GEslave,SIGN(HF79))*POWER(KOslave_KO,SIGN(HG79))*POWER(KKslave,SIGN(HH79))+HD79*POWER(MUslave,SIGN(HA79))*POWER(KLslave,SIGN(HB79))*POWER(INslave,SIGN(HC79))*POWER(FFslave,SIGN(HE79))*POWER(GEslave,SIGN(HF79))*POWER(KOslave_KO,SIGN(HG79))*POWER(KKslave,SIGN(HH79))+HE79*POWER(MUslave,SIGN(HA79))*POWER(KLslave,SIGN(HB79))*POWER(INslave,SIGN(HC79))*POWER(CHslave,SIGN(HD79))*POWER(GEslave,SIGN(HF79))*POWER(KOslave_KO,SIGN(HG79))*POWER(KKslave,SIGN(HH79))+HF79*POWER(MUslave,SIGN(HA79))*POWER(KLslave,SIGN(HB79))*POWER(INslave,SIGN(HC79))*POWER(CHslave,SIGN(HD79))*POWER(FFslave,SIGN(HE79))*POWER(KOslave_KO,SIGN(HG79))*POWER(KKslave,SIGN(HH79))+HG79*POWER(MUslave,SIGN(HA79))*POWER(KLslave,SIGN(HB79))*POWER(INslave,SIGN(HC79))*POWER(CHslave,SIGN(HD79))*POWER(FFslave,SIGN(HE79))*POWER(GEslave,SIGN(HF79))*POWER(KKslave,SIGN(HH79))+HH79*POWER(MUslave,SIGN(HA79))*POWER(KLslave,SIGN(HB79))*POWER(INslave,SIGN(HC79))*POWER(CHslave,SIGN(HD79))*POWER(FFslave,SIGN(HE79))*POWER(GEslave,SIGN(HF79))*POWER(KOslave_KO,SIGN(HG79))</f>
        <v>2432</v>
      </c>
      <c r="HM79" s="234">
        <f>HB79*HD79*KOslave_KO+HB79*CHslave*HG79+KLslave*HD79*HG79</f>
        <v>3408</v>
      </c>
      <c r="HN79" s="224">
        <f>IFERROR(HA79^SIGN(HA79),1)*IFERROR(HB79^SIGN(HB79),1)*IFERROR(HC79^SIGN(HC79),1)*IFERROR(HD79^SIGN(HD79),1)*IFERROR(HE79^SIGN(HE79),1)*IFERROR(HF79^SIGN(HF79),1)*IFERROR(HG79^SIGN(HG79),1)*IFERROR(HH79^SIGN(HH79),1)</f>
        <v>1584</v>
      </c>
      <c r="HO79" s="242">
        <f>SUM(HL79:HN79)</f>
        <v>7424</v>
      </c>
      <c r="HP79" s="222">
        <f>HI79*HL79/HO79</f>
        <v>3.8218390804597702</v>
      </c>
      <c r="HQ79" s="223">
        <f>HJ79*HM79/HO79</f>
        <v>10.711206896551724</v>
      </c>
      <c r="HR79" s="243">
        <f>HK79*HN79/HO79</f>
        <v>7.4676724137931032</v>
      </c>
      <c r="HS79" s="243">
        <f>SUM(HP79:HR79)</f>
        <v>22.000718390804597</v>
      </c>
      <c r="HT79" s="252">
        <f t="shared" si="667"/>
        <v>0</v>
      </c>
      <c r="HU79" s="309">
        <f>HS79-HT79</f>
        <v>22.000718390804597</v>
      </c>
      <c r="HV79" s="218">
        <f>IF(HS79&lt;=0,2,0)+IF(HS79&gt;0,HS79+1,0)*2+IF(HS79&gt;12,HS79-12,0)*2+IF(HS79&gt;13,HS79-13,0)*2+IF(HS79&gt;14,HS79-14,0)*2+IF(HS79&gt;15,HS79-15,0)*2+IF(HS79&gt;16,HS79-16,0)*2+IF(HS79&gt;17,HS79-17,0)*2+IF(HS79&gt;18,HS79-18,0)*2+IF(HS79&gt;19,HS79-19,0)*2+IF(HS79&gt;20,HS79-20,0)*2</f>
        <v>154.01436781609189</v>
      </c>
      <c r="HW79" s="242">
        <f>IF(HT79&lt;=0,2,0)+IF(HT79&gt;0,HT79+1,0)*2+IF(HT79&gt;12,HT79-12,0)*2+IF(HT79&gt;13,HT79-13,0)*2+IF(HT79&gt;14,HT79-14,0)*2+IF(HT79&gt;15,HT79-15,0)*2+IF(HT79&gt;16,HT79-16,0)*2+IF(HT79&gt;17,HT79-17,0)*2+IF(HT79&gt;18,HT79-18,0)*2+IF(HT79&gt;19,HT79-19,0)*2+IF(HT79&gt;20,HT79-20,0)*2</f>
        <v>2</v>
      </c>
      <c r="HX79" s="243">
        <f>IF((HV79-HW79)&gt;0,HV79-HW79,0)</f>
        <v>152.01436781609189</v>
      </c>
      <c r="HY79" s="218">
        <f>IF((HW79-HV79)&gt;0,HW79-HV79,0)</f>
        <v>0</v>
      </c>
      <c r="IA79" s="303" t="s">
        <v>346</v>
      </c>
      <c r="IB79" s="218" t="s">
        <v>79</v>
      </c>
      <c r="IC79" s="243" t="s">
        <v>132</v>
      </c>
      <c r="ID79" s="237"/>
      <c r="IE79" s="234">
        <f>Konvention_1slave-KLslave</f>
        <v>12</v>
      </c>
      <c r="IF79" s="234"/>
      <c r="IG79" s="234">
        <f>Konvention_1slave-CHslave</f>
        <v>12</v>
      </c>
      <c r="IH79" s="234"/>
      <c r="II79" s="234"/>
      <c r="IJ79" s="234">
        <f>Konvention_1slave-KOslave</f>
        <v>12</v>
      </c>
      <c r="IK79" s="224"/>
      <c r="IL79" s="222">
        <f>(ID79+IE79+IF79+IG79+IH79+II79+IJ79+IK79)/3</f>
        <v>12</v>
      </c>
      <c r="IM79" s="223">
        <f>2*IL79</f>
        <v>24</v>
      </c>
      <c r="IN79" s="224">
        <f>3*IL79</f>
        <v>36</v>
      </c>
      <c r="IO79" s="237">
        <f>ID79*POWER(KLslave,SIGN(IE79))*POWER(INslave,SIGN(IF79))*POWER(CHslave,SIGN(IG79))*POWER(FFslave,SIGN(IH79))*POWER(GEslave,SIGN(II79))*POWER(KOslave,SIGN(IJ79))*POWER(KKslave_KK,SIGN(IK79))+IE79*POWER(MUslave,SIGN(ID79))*POWER(INslave,SIGN(IF79))*POWER(CHslave,SIGN(IG79))*POWER(FFslave,SIGN(IH79))*POWER(GEslave,SIGN(II79))*POWER(KOslave,SIGN(IJ79))*POWER(KKslave_KK,SIGN(IK79))+IF79*POWER(MUslave,SIGN(ID79))*POWER(KLslave,SIGN(IE79))*POWER(CHslave,SIGN(IG79))*POWER(FFslave,SIGN(IH79))*POWER(GEslave,SIGN(II79))*POWER(KOslave,SIGN(IJ79))*POWER(KKslave_KK,SIGN(IK79))+IG79*POWER(MUslave,SIGN(ID79))*POWER(KLslave,SIGN(IE79))*POWER(INslave,SIGN(IF79))*POWER(FFslave,SIGN(IH79))*POWER(GEslave,SIGN(II79))*POWER(KOslave,SIGN(IJ79))*POWER(KKslave_KK,SIGN(IK79))+IH79*POWER(MUslave,SIGN(ID79))*POWER(KLslave,SIGN(IE79))*POWER(INslave,SIGN(IF79))*POWER(CHslave,SIGN(IG79))*POWER(GEslave,SIGN(II79))*POWER(KOslave,SIGN(IJ79))*POWER(KKslave_KK,SIGN(IK79))+II79*POWER(MUslave,SIGN(ID79))*POWER(KLslave,SIGN(IE79))*POWER(INslave,SIGN(IF79))*POWER(CHslave,SIGN(IG79))*POWER(FFslave,SIGN(IH79))*POWER(KOslave,SIGN(IJ79))*POWER(KKslave_KK,SIGN(IK79))+IJ79*POWER(MUslave,SIGN(ID79))*POWER(KLslave,SIGN(IE79))*POWER(INslave,SIGN(IF79))*POWER(CHslave,SIGN(IG79))*POWER(FFslave,SIGN(IH79))*POWER(GEslave,SIGN(II79))*POWER(KKslave_KK,SIGN(IK79))+IK79*POWER(MUslave,SIGN(ID79))*POWER(KLslave,SIGN(IE79))*POWER(INslave,SIGN(IF79))*POWER(CHslave,SIGN(IG79))*POWER(FFslave,SIGN(IH79))*POWER(GEslave,SIGN(II79))*POWER(KOslave,SIGN(IJ79))</f>
        <v>2304</v>
      </c>
      <c r="IP79" s="234">
        <f>IE79*IG79*KOslave+IE79*CHslave*IJ79+KLslave*IG79*IJ79</f>
        <v>3456</v>
      </c>
      <c r="IQ79" s="224">
        <f>IFERROR(ID79^SIGN(ID79),1)*IFERROR(IE79^SIGN(IE79),1)*IFERROR(IF79^SIGN(IF79),1)*IFERROR(IG79^SIGN(IG79),1)*IFERROR(IH79^SIGN(IH79),1)*IFERROR(II79^SIGN(II79),1)*IFERROR(IJ79^SIGN(IJ79),1)*IFERROR(IK79^SIGN(IK79),1)</f>
        <v>1728</v>
      </c>
      <c r="IR79" s="242">
        <f>SUM(IO79:IQ79)</f>
        <v>7488</v>
      </c>
      <c r="IS79" s="222">
        <f>IL79*IO79/IR79</f>
        <v>3.6923076923076925</v>
      </c>
      <c r="IT79" s="223">
        <f>IM79*IP79/IR79</f>
        <v>11.076923076923077</v>
      </c>
      <c r="IU79" s="243">
        <f>IN79*IQ79/IR79</f>
        <v>8.3076923076923084</v>
      </c>
      <c r="IV79" s="243">
        <f>SUM(IS79:IU79)</f>
        <v>23.07692307692308</v>
      </c>
      <c r="IW79" s="252">
        <f t="shared" si="668"/>
        <v>0</v>
      </c>
      <c r="IX79" s="309">
        <f>IV79-IW79</f>
        <v>23.07692307692308</v>
      </c>
      <c r="IY79" s="218">
        <f>IF(IV79&lt;=0,2,0)+IF(IV79&gt;0,IV79+1,0)*2+IF(IV79&gt;12,IV79-12,0)*2+IF(IV79&gt;13,IV79-13,0)*2+IF(IV79&gt;14,IV79-14,0)*2+IF(IV79&gt;15,IV79-15,0)*2+IF(IV79&gt;16,IV79-16,0)*2+IF(IV79&gt;17,IV79-17,0)*2+IF(IV79&gt;18,IV79-18,0)*2+IF(IV79&gt;19,IV79-19,0)*2+IF(IV79&gt;20,IV79-20,0)*2</f>
        <v>175.5384615384616</v>
      </c>
      <c r="IZ79" s="242">
        <f>IF(IW79&lt;=0,2,0)+IF(IW79&gt;0,IW79+1,0)*2+IF(IW79&gt;12,IW79-12,0)*2+IF(IW79&gt;13,IW79-13,0)*2+IF(IW79&gt;14,IW79-14,0)*2+IF(IW79&gt;15,IW79-15,0)*2+IF(IW79&gt;16,IW79-16,0)*2+IF(IW79&gt;17,IW79-17,0)*2+IF(IW79&gt;18,IW79-18,0)*2+IF(IW79&gt;19,IW79-19,0)*2+IF(IW79&gt;20,IW79-20,0)*2</f>
        <v>2</v>
      </c>
      <c r="JA79" s="243">
        <f>IF((IY79-IZ79)&gt;0,IY79-IZ79,0)</f>
        <v>173.5384615384616</v>
      </c>
      <c r="JB79" s="218">
        <f>IF((IZ79-IY79)&gt;0,IZ79-IY79,0)</f>
        <v>0</v>
      </c>
      <c r="JE79" s="148"/>
    </row>
    <row r="80" spans="1:265" ht="15" hidden="1" customHeight="1" outlineLevel="2">
      <c r="B80" s="148">
        <v>3</v>
      </c>
      <c r="C80" s="303" t="e">
        <f>VLOOKUP(AF80,Attribute!C:T,1,FALSE)</f>
        <v>#N/A</v>
      </c>
      <c r="D80" s="125" t="s">
        <v>94</v>
      </c>
      <c r="E80" s="127" t="s">
        <v>135</v>
      </c>
      <c r="F80" s="114"/>
      <c r="G80" s="113">
        <f>Konvention_1master-KLmaster</f>
        <v>12</v>
      </c>
      <c r="H80" s="113">
        <f t="shared" ref="H80:H85" si="669">Konvention_1master-INmaster</f>
        <v>12</v>
      </c>
      <c r="I80" s="113"/>
      <c r="J80" s="113"/>
      <c r="K80" s="113"/>
      <c r="L80" s="113"/>
      <c r="M80" s="119"/>
      <c r="N80" s="222">
        <f>(G80+G80+H80)/3</f>
        <v>12</v>
      </c>
      <c r="O80" s="223">
        <f>2*N80</f>
        <v>24</v>
      </c>
      <c r="P80" s="224">
        <f>3*N80</f>
        <v>36</v>
      </c>
      <c r="Q80" s="237">
        <f>G80*POWER(INmaster,SIGN(H80))*POWER(KLmaster,SIGN(G80))+G80*POWER(INmaster,SIGN(H80))*POWER(KLmaster,SIGN(G80))+H80*POWER(KLmaster,SIGN(G80))*POWER(KLmaster,SIGN(G80))</f>
        <v>2304</v>
      </c>
      <c r="R80" s="113">
        <f>G80*G80*INmaster+G80*KLmaster*H80+KLmaster*G80*H80</f>
        <v>3456</v>
      </c>
      <c r="S80" s="224">
        <f>G80*G80*H80</f>
        <v>1728</v>
      </c>
      <c r="T80" s="242">
        <f>SUM(Q80:S80)</f>
        <v>7488</v>
      </c>
      <c r="U80" s="222">
        <f>N80*Q80/T80</f>
        <v>3.6923076923076925</v>
      </c>
      <c r="V80" s="223">
        <f>O80*R80/T80</f>
        <v>11.076923076923077</v>
      </c>
      <c r="W80" s="243">
        <f>P80*S80/T80</f>
        <v>8.3076923076923084</v>
      </c>
      <c r="X80" s="243">
        <f>SUM(U80:W80)</f>
        <v>23.07692307692308</v>
      </c>
      <c r="Y80" s="252">
        <v>0</v>
      </c>
      <c r="Z80" s="198">
        <f>X80-Y80</f>
        <v>23.07692307692308</v>
      </c>
      <c r="AA80" s="125">
        <f>IF(X80&lt;=0,3,0)+IF(X80&gt;0,X80+1,0)*3+IF(X80&gt;12,X80-12,0)*3+IF(X80&gt;13,X80-13,0)*3+IF(X80&gt;14,X80-14,0)*3+IF(X80&gt;15,X80-15,0)*3+IF(X80&gt;16,X80-16,0)*3+IF(X80&gt;17,X80-17,0)*3+IF(X80&gt;18,X80-18,0)*3+IF(X80&gt;19,X80-19,0)*3+IF(X80&gt;20,X80-20,0)*3</f>
        <v>263.30769230769232</v>
      </c>
      <c r="AB80" s="160">
        <f>IF(Y80&lt;=0,3,0)+IF(Y80&gt;0,Y80+1,0)*3+IF(Y80&gt;12,Y80-12,0)*3+IF(Y80&gt;13,Y80-13,0)*3+IF(Y80&gt;14,Y80-14,0)*3+IF(Y80&gt;15,Y80-15,0)*3+IF(Y80&gt;16,Y80-16,0)*3+IF(Y80&gt;17,Y80-17,0)*3+IF(Y80&gt;18,Y80-18,0)*3+IF(Y80&gt;19,Y80-19,0)*3+IF(Y80&gt;20,Y80-20,0)*3</f>
        <v>3</v>
      </c>
      <c r="AC80" s="127">
        <f>IF((AA80-AB80)&gt;0,AA80-AB80,0)</f>
        <v>260.30769230769232</v>
      </c>
      <c r="AD80" s="125">
        <f>IF((AB80-AA80)&gt;0,AB80-AA80,0)</f>
        <v>0</v>
      </c>
      <c r="AF80" s="163" t="s">
        <v>320</v>
      </c>
      <c r="AG80" s="125" t="s">
        <v>94</v>
      </c>
      <c r="AH80" s="127" t="s">
        <v>135</v>
      </c>
      <c r="AI80" s="114"/>
      <c r="AJ80" s="113">
        <f>Konvention_1slave-KLslave</f>
        <v>12</v>
      </c>
      <c r="AK80" s="113">
        <f t="shared" ref="AK80:AK85" si="670">Konvention_1slave-INslave</f>
        <v>12</v>
      </c>
      <c r="AL80" s="113"/>
      <c r="AM80" s="113"/>
      <c r="AN80" s="113"/>
      <c r="AO80" s="113"/>
      <c r="AP80" s="119"/>
      <c r="AQ80" s="89">
        <f>(AJ80+AJ80+AK80)/3</f>
        <v>12</v>
      </c>
      <c r="AR80" s="47">
        <f>2*AQ80</f>
        <v>24</v>
      </c>
      <c r="AS80" s="119">
        <f>3*AQ80</f>
        <v>36</v>
      </c>
      <c r="AT80" s="114">
        <f>AJ80*POWER(INslave,SIGN(AK80))*POWER(KLslave,SIGN(AJ80))+AJ80*POWER(INslave,SIGN(AK80))*POWER(KLslave,SIGN(AJ80))+AK80*POWER(KLslave,SIGN(AJ80))*POWER(KLslave,SIGN(AJ80))</f>
        <v>2304</v>
      </c>
      <c r="AU80" s="113">
        <f>AJ80*AJ80*INslave+AJ80*KLslave*AK80+KLslave*AJ80*AK80</f>
        <v>3456</v>
      </c>
      <c r="AV80" s="119">
        <f>AJ80*AJ80*AK80</f>
        <v>1728</v>
      </c>
      <c r="AW80" s="160">
        <f>SUM(AT80:AV80)</f>
        <v>7488</v>
      </c>
      <c r="AX80" s="89">
        <f>AQ80*AT80/AW80</f>
        <v>3.6923076923076925</v>
      </c>
      <c r="AY80" s="47">
        <f>AR80*AU80/AW80</f>
        <v>11.076923076923077</v>
      </c>
      <c r="AZ80" s="127">
        <f>AS80*AV80/AW80</f>
        <v>8.3076923076923084</v>
      </c>
      <c r="BA80" s="127">
        <f>SUM(AX80:AZ80)</f>
        <v>23.07692307692308</v>
      </c>
      <c r="BB80" s="165">
        <f t="shared" si="661"/>
        <v>0</v>
      </c>
      <c r="BC80" s="198">
        <f>BA80-BB80</f>
        <v>23.07692307692308</v>
      </c>
      <c r="BD80" s="125">
        <f>IF(BA80&lt;=0,3,0)+IF(BA80&gt;0,BA80+1,0)*3+IF(BA80&gt;12,BA80-12,0)*3+IF(BA80&gt;13,BA80-13,0)*3+IF(BA80&gt;14,BA80-14,0)*3+IF(BA80&gt;15,BA80-15,0)*3+IF(BA80&gt;16,BA80-16,0)*3+IF(BA80&gt;17,BA80-17,0)*3+IF(BA80&gt;18,BA80-18,0)*3+IF(BA80&gt;19,BA80-19,0)*3+IF(BA80&gt;20,BA80-20,0)*3</f>
        <v>263.30769230769232</v>
      </c>
      <c r="BE80" s="160">
        <f>IF(BB80&lt;=0,3,0)+IF(BB80&gt;0,BB80+1,0)*3+IF(BB80&gt;12,BB80-12,0)*3+IF(BB80&gt;13,BB80-13,0)*3+IF(BB80&gt;14,BB80-14,0)*3+IF(BB80&gt;15,BB80-15,0)*3+IF(BB80&gt;16,BB80-16,0)*3+IF(BB80&gt;17,BB80-17,0)*3+IF(BB80&gt;18,BB80-18,0)*3+IF(BB80&gt;19,BB80-19,0)*3+IF(BB80&gt;20,BB80-20,0)*3</f>
        <v>3</v>
      </c>
      <c r="BF80" s="243">
        <f>IF((BD80-BE80)&gt;0,BD80-BE80,0)</f>
        <v>260.30769230769232</v>
      </c>
      <c r="BG80" s="218">
        <f>IF((BE80-BD80)&gt;0,BE80-BD80,0)</f>
        <v>0</v>
      </c>
      <c r="BI80" s="303" t="s">
        <v>320</v>
      </c>
      <c r="BJ80" s="218" t="s">
        <v>94</v>
      </c>
      <c r="BK80" s="243" t="s">
        <v>135</v>
      </c>
      <c r="BL80" s="237"/>
      <c r="BM80" s="234">
        <f>Konvention_1slave-KLslave_KL</f>
        <v>11</v>
      </c>
      <c r="BN80" s="234">
        <f t="shared" ref="BN80:BN85" si="671">Konvention_1slave-INslave</f>
        <v>12</v>
      </c>
      <c r="BO80" s="234"/>
      <c r="BP80" s="234"/>
      <c r="BQ80" s="234"/>
      <c r="BR80" s="234"/>
      <c r="BS80" s="224"/>
      <c r="BT80" s="222">
        <f>(BM80+BM80+BN80)/3</f>
        <v>11.333333333333334</v>
      </c>
      <c r="BU80" s="223">
        <f>2*BT80</f>
        <v>22.666666666666668</v>
      </c>
      <c r="BV80" s="224">
        <f>3*BT80</f>
        <v>34</v>
      </c>
      <c r="BW80" s="237">
        <f>BM80*POWER(INslave,SIGN(BN80))*POWER(KLslave_KL,SIGN(BM80))+BM80*POWER(INslave,SIGN(BN80))*POWER(KLslave_KL,SIGN(BM80))+BN80*POWER(KLslave_KL,SIGN(BM80))*POWER(KLslave_KL,SIGN(BM80))</f>
        <v>2556</v>
      </c>
      <c r="BX80" s="234">
        <f>BM80*BM80*INslave+BM80*KLslave_KL*BN80+KLslave_KL*BM80*BN80</f>
        <v>3344</v>
      </c>
      <c r="BY80" s="224">
        <f>BM80*BM80*BN80</f>
        <v>1452</v>
      </c>
      <c r="BZ80" s="242">
        <f>SUM(BW80:BY80)</f>
        <v>7352</v>
      </c>
      <c r="CA80" s="222">
        <f>BT80*BW80/BZ80</f>
        <v>3.940152339499456</v>
      </c>
      <c r="CB80" s="223">
        <f>BU80*BX80/BZ80</f>
        <v>10.309756982227059</v>
      </c>
      <c r="CC80" s="243">
        <f>BV80*BY80/BZ80</f>
        <v>6.714907508161045</v>
      </c>
      <c r="CD80" s="243">
        <f>SUM(CA80:CC80)</f>
        <v>20.96481682988756</v>
      </c>
      <c r="CE80" s="252">
        <f t="shared" si="662"/>
        <v>0</v>
      </c>
      <c r="CF80" s="309">
        <f>CD80-CE80</f>
        <v>20.96481682988756</v>
      </c>
      <c r="CG80" s="218">
        <f>IF(CD80&lt;=0,3,0)+IF(CD80&gt;0,CD80+1,0)*3+IF(CD80&gt;12,CD80-12,0)*3+IF(CD80&gt;13,CD80-13,0)*3+IF(CD80&gt;14,CD80-14,0)*3+IF(CD80&gt;15,CD80-15,0)*3+IF(CD80&gt;16,CD80-16,0)*3+IF(CD80&gt;17,CD80-17,0)*3+IF(CD80&gt;18,CD80-18,0)*3+IF(CD80&gt;19,CD80-19,0)*3+IF(CD80&gt;20,CD80-20,0)*3</f>
        <v>199.94450489662688</v>
      </c>
      <c r="CH80" s="242">
        <f>IF(CE80&lt;=0,3,0)+IF(CE80&gt;0,CE80+1,0)*3+IF(CE80&gt;12,CE80-12,0)*3+IF(CE80&gt;13,CE80-13,0)*3+IF(CE80&gt;14,CE80-14,0)*3+IF(CE80&gt;15,CE80-15,0)*3+IF(CE80&gt;16,CE80-16,0)*3+IF(CE80&gt;17,CE80-17,0)*3+IF(CE80&gt;18,CE80-18,0)*3+IF(CE80&gt;19,CE80-19,0)*3+IF(CE80&gt;20,CE80-20,0)*3</f>
        <v>3</v>
      </c>
      <c r="CI80" s="243">
        <f>IF((CG80-CH80)&gt;0,CG80-CH80,0)</f>
        <v>196.94450489662688</v>
      </c>
      <c r="CJ80" s="218">
        <f>IF((CH80-CG80)&gt;0,CH80-CG80,0)</f>
        <v>0</v>
      </c>
      <c r="CL80" s="303" t="s">
        <v>320</v>
      </c>
      <c r="CM80" s="218" t="s">
        <v>94</v>
      </c>
      <c r="CN80" s="243" t="s">
        <v>135</v>
      </c>
      <c r="CO80" s="237"/>
      <c r="CP80" s="234">
        <f>Konvention_1slave-KLslave</f>
        <v>12</v>
      </c>
      <c r="CQ80" s="234">
        <f t="shared" ref="CQ80:CQ85" si="672">Konvention_1slave-INslave_IN</f>
        <v>11</v>
      </c>
      <c r="CR80" s="234"/>
      <c r="CS80" s="234"/>
      <c r="CT80" s="234"/>
      <c r="CU80" s="234"/>
      <c r="CV80" s="224"/>
      <c r="CW80" s="222">
        <f>(CP80+CP80+CQ80)/3</f>
        <v>11.666666666666666</v>
      </c>
      <c r="CX80" s="223">
        <f>2*CW80</f>
        <v>23.333333333333332</v>
      </c>
      <c r="CY80" s="224">
        <f>3*CW80</f>
        <v>35</v>
      </c>
      <c r="CZ80" s="237">
        <f>CP80*POWER(INslave_IN,SIGN(CQ80))*POWER(KLslave,SIGN(CP80))+CP80*POWER(INslave_IN,SIGN(CQ80))*POWER(KLslave,SIGN(CP80))+CQ80*POWER(KLslave,SIGN(CP80))*POWER(KLslave,SIGN(CP80))</f>
        <v>2432</v>
      </c>
      <c r="DA80" s="234">
        <f>CP80*CP80*INslave_IN+CP80*KLslave*CQ80+KLslave*CP80*CQ80</f>
        <v>3408</v>
      </c>
      <c r="DB80" s="224">
        <f>CP80*CP80*CQ80</f>
        <v>1584</v>
      </c>
      <c r="DC80" s="242">
        <f>SUM(CZ80:DB80)</f>
        <v>7424</v>
      </c>
      <c r="DD80" s="222">
        <f>CW80*CZ80/DC80</f>
        <v>3.8218390804597702</v>
      </c>
      <c r="DE80" s="223">
        <f>CX80*DA80/DC80</f>
        <v>10.711206896551724</v>
      </c>
      <c r="DF80" s="243">
        <f>CY80*DB80/DC80</f>
        <v>7.4676724137931032</v>
      </c>
      <c r="DG80" s="243">
        <f>SUM(DD80:DF80)</f>
        <v>22.000718390804597</v>
      </c>
      <c r="DH80" s="252">
        <f t="shared" si="663"/>
        <v>0</v>
      </c>
      <c r="DI80" s="309">
        <f>DG80-DH80</f>
        <v>22.000718390804597</v>
      </c>
      <c r="DJ80" s="218">
        <f>IF(DG80&lt;=0,3,0)+IF(DG80&gt;0,DG80+1,0)*3+IF(DG80&gt;12,DG80-12,0)*3+IF(DG80&gt;13,DG80-13,0)*3+IF(DG80&gt;14,DG80-14,0)*3+IF(DG80&gt;15,DG80-15,0)*3+IF(DG80&gt;16,DG80-16,0)*3+IF(DG80&gt;17,DG80-17,0)*3+IF(DG80&gt;18,DG80-18,0)*3+IF(DG80&gt;19,DG80-19,0)*3+IF(DG80&gt;20,DG80-20,0)*3</f>
        <v>231.02155172413785</v>
      </c>
      <c r="DK80" s="242">
        <f>IF(DH80&lt;=0,3,0)+IF(DH80&gt;0,DH80+1,0)*3+IF(DH80&gt;12,DH80-12,0)*3+IF(DH80&gt;13,DH80-13,0)*3+IF(DH80&gt;14,DH80-14,0)*3+IF(DH80&gt;15,DH80-15,0)*3+IF(DH80&gt;16,DH80-16,0)*3+IF(DH80&gt;17,DH80-17,0)*3+IF(DH80&gt;18,DH80-18,0)*3+IF(DH80&gt;19,DH80-19,0)*3+IF(DH80&gt;20,DH80-20,0)*3</f>
        <v>3</v>
      </c>
      <c r="DL80" s="243">
        <f>IF((DJ80-DK80)&gt;0,DJ80-DK80,0)</f>
        <v>228.02155172413785</v>
      </c>
      <c r="DM80" s="218">
        <f>IF((DK80-DJ80)&gt;0,DK80-DJ80,0)</f>
        <v>0</v>
      </c>
      <c r="DO80" s="303" t="s">
        <v>320</v>
      </c>
      <c r="DP80" s="218" t="s">
        <v>94</v>
      </c>
      <c r="DQ80" s="243" t="s">
        <v>135</v>
      </c>
      <c r="DR80" s="237"/>
      <c r="DS80" s="234">
        <f>Konvention_1slave-KLslave</f>
        <v>12</v>
      </c>
      <c r="DT80" s="234">
        <f t="shared" ref="DT80:DT85" si="673">Konvention_1slave-INslave</f>
        <v>12</v>
      </c>
      <c r="DU80" s="234"/>
      <c r="DV80" s="234"/>
      <c r="DW80" s="234"/>
      <c r="DX80" s="234"/>
      <c r="DY80" s="224"/>
      <c r="DZ80" s="222">
        <f>(DS80+DS80+DT80)/3</f>
        <v>12</v>
      </c>
      <c r="EA80" s="223">
        <f>2*DZ80</f>
        <v>24</v>
      </c>
      <c r="EB80" s="224">
        <f>3*DZ80</f>
        <v>36</v>
      </c>
      <c r="EC80" s="237">
        <f>DS80*POWER(INslave,SIGN(DT80))*POWER(KLslave,SIGN(DS80))+DS80*POWER(INslave,SIGN(DT80))*POWER(KLslave,SIGN(DS80))+DT80*POWER(KLslave,SIGN(DS80))*POWER(KLslave,SIGN(DS80))</f>
        <v>2304</v>
      </c>
      <c r="ED80" s="234">
        <f>DS80*DS80*INslave+DS80*KLslave*DT80+KLslave*DS80*DT80</f>
        <v>3456</v>
      </c>
      <c r="EE80" s="224">
        <f>DS80*DS80*DT80</f>
        <v>1728</v>
      </c>
      <c r="EF80" s="242">
        <f>SUM(EC80:EE80)</f>
        <v>7488</v>
      </c>
      <c r="EG80" s="222">
        <f>DZ80*EC80/EF80</f>
        <v>3.6923076923076925</v>
      </c>
      <c r="EH80" s="223">
        <f>EA80*ED80/EF80</f>
        <v>11.076923076923077</v>
      </c>
      <c r="EI80" s="243">
        <f>EB80*EE80/EF80</f>
        <v>8.3076923076923084</v>
      </c>
      <c r="EJ80" s="243">
        <f>SUM(EG80:EI80)</f>
        <v>23.07692307692308</v>
      </c>
      <c r="EK80" s="252">
        <f t="shared" si="664"/>
        <v>0</v>
      </c>
      <c r="EL80" s="309">
        <f>EJ80-EK80</f>
        <v>23.07692307692308</v>
      </c>
      <c r="EM80" s="218">
        <f>IF(EJ80&lt;=0,3,0)+IF(EJ80&gt;0,EJ80+1,0)*3+IF(EJ80&gt;12,EJ80-12,0)*3+IF(EJ80&gt;13,EJ80-13,0)*3+IF(EJ80&gt;14,EJ80-14,0)*3+IF(EJ80&gt;15,EJ80-15,0)*3+IF(EJ80&gt;16,EJ80-16,0)*3+IF(EJ80&gt;17,EJ80-17,0)*3+IF(EJ80&gt;18,EJ80-18,0)*3+IF(EJ80&gt;19,EJ80-19,0)*3+IF(EJ80&gt;20,EJ80-20,0)*3</f>
        <v>263.30769230769232</v>
      </c>
      <c r="EN80" s="242">
        <f>IF(EK80&lt;=0,3,0)+IF(EK80&gt;0,EK80+1,0)*3+IF(EK80&gt;12,EK80-12,0)*3+IF(EK80&gt;13,EK80-13,0)*3+IF(EK80&gt;14,EK80-14,0)*3+IF(EK80&gt;15,EK80-15,0)*3+IF(EK80&gt;16,EK80-16,0)*3+IF(EK80&gt;17,EK80-17,0)*3+IF(EK80&gt;18,EK80-18,0)*3+IF(EK80&gt;19,EK80-19,0)*3+IF(EK80&gt;20,EK80-20,0)*3</f>
        <v>3</v>
      </c>
      <c r="EO80" s="243">
        <f>IF((EM80-EN80)&gt;0,EM80-EN80,0)</f>
        <v>260.30769230769232</v>
      </c>
      <c r="EP80" s="218">
        <f>IF((EN80-EM80)&gt;0,EN80-EM80,0)</f>
        <v>0</v>
      </c>
      <c r="ER80" s="303" t="s">
        <v>320</v>
      </c>
      <c r="ES80" s="218" t="s">
        <v>94</v>
      </c>
      <c r="ET80" s="243" t="s">
        <v>135</v>
      </c>
      <c r="EU80" s="237"/>
      <c r="EV80" s="234">
        <f>Konvention_1slave-KLslave</f>
        <v>12</v>
      </c>
      <c r="EW80" s="234">
        <f t="shared" ref="EW80:EW85" si="674">Konvention_1slave-INslave</f>
        <v>12</v>
      </c>
      <c r="EX80" s="234"/>
      <c r="EY80" s="234"/>
      <c r="EZ80" s="234"/>
      <c r="FA80" s="234"/>
      <c r="FB80" s="224"/>
      <c r="FC80" s="222">
        <f>(EV80+EV80+EW80)/3</f>
        <v>12</v>
      </c>
      <c r="FD80" s="223">
        <f>2*FC80</f>
        <v>24</v>
      </c>
      <c r="FE80" s="224">
        <f>3*FC80</f>
        <v>36</v>
      </c>
      <c r="FF80" s="237">
        <f>EV80*POWER(INslave,SIGN(EW80))*POWER(KLslave,SIGN(EV80))+EV80*POWER(INslave,SIGN(EW80))*POWER(KLslave,SIGN(EV80))+EW80*POWER(KLslave,SIGN(EV80))*POWER(KLslave,SIGN(EV80))</f>
        <v>2304</v>
      </c>
      <c r="FG80" s="234">
        <f>EV80*EV80*INslave+EV80*KLslave*EW80+KLslave*EV80*EW80</f>
        <v>3456</v>
      </c>
      <c r="FH80" s="224">
        <f>EV80*EV80*EW80</f>
        <v>1728</v>
      </c>
      <c r="FI80" s="242">
        <f>SUM(FF80:FH80)</f>
        <v>7488</v>
      </c>
      <c r="FJ80" s="222">
        <f>FC80*FF80/FI80</f>
        <v>3.6923076923076925</v>
      </c>
      <c r="FK80" s="223">
        <f>FD80*FG80/FI80</f>
        <v>11.076923076923077</v>
      </c>
      <c r="FL80" s="243">
        <f>FE80*FH80/FI80</f>
        <v>8.3076923076923084</v>
      </c>
      <c r="FM80" s="243">
        <f>SUM(FJ80:FL80)</f>
        <v>23.07692307692308</v>
      </c>
      <c r="FN80" s="252">
        <f t="shared" si="665"/>
        <v>0</v>
      </c>
      <c r="FO80" s="309">
        <f>FM80-FN80</f>
        <v>23.07692307692308</v>
      </c>
      <c r="FP80" s="218">
        <f>IF(FM80&lt;=0,3,0)+IF(FM80&gt;0,FM80+1,0)*3+IF(FM80&gt;12,FM80-12,0)*3+IF(FM80&gt;13,FM80-13,0)*3+IF(FM80&gt;14,FM80-14,0)*3+IF(FM80&gt;15,FM80-15,0)*3+IF(FM80&gt;16,FM80-16,0)*3+IF(FM80&gt;17,FM80-17,0)*3+IF(FM80&gt;18,FM80-18,0)*3+IF(FM80&gt;19,FM80-19,0)*3+IF(FM80&gt;20,FM80-20,0)*3</f>
        <v>263.30769230769232</v>
      </c>
      <c r="FQ80" s="242">
        <f>IF(FN80&lt;=0,3,0)+IF(FN80&gt;0,FN80+1,0)*3+IF(FN80&gt;12,FN80-12,0)*3+IF(FN80&gt;13,FN80-13,0)*3+IF(FN80&gt;14,FN80-14,0)*3+IF(FN80&gt;15,FN80-15,0)*3+IF(FN80&gt;16,FN80-16,0)*3+IF(FN80&gt;17,FN80-17,0)*3+IF(FN80&gt;18,FN80-18,0)*3+IF(FN80&gt;19,FN80-19,0)*3+IF(FN80&gt;20,FN80-20,0)*3</f>
        <v>3</v>
      </c>
      <c r="FR80" s="243">
        <f>IF((FP80-FQ80)&gt;0,FP80-FQ80,0)</f>
        <v>260.30769230769232</v>
      </c>
      <c r="FS80" s="218">
        <f>IF((FQ80-FP80)&gt;0,FQ80-FP80,0)</f>
        <v>0</v>
      </c>
      <c r="FU80" s="303" t="s">
        <v>320</v>
      </c>
      <c r="FV80" s="218" t="s">
        <v>94</v>
      </c>
      <c r="FW80" s="243" t="s">
        <v>135</v>
      </c>
      <c r="FX80" s="237"/>
      <c r="FY80" s="234">
        <f>Konvention_1slave-KLslave</f>
        <v>12</v>
      </c>
      <c r="FZ80" s="234">
        <f t="shared" ref="FZ80:FZ85" si="675">Konvention_1slave-INslave</f>
        <v>12</v>
      </c>
      <c r="GA80" s="234"/>
      <c r="GB80" s="234"/>
      <c r="GC80" s="234"/>
      <c r="GD80" s="234"/>
      <c r="GE80" s="224"/>
      <c r="GF80" s="222">
        <f>(FY80+FY80+FZ80)/3</f>
        <v>12</v>
      </c>
      <c r="GG80" s="223">
        <f>2*GF80</f>
        <v>24</v>
      </c>
      <c r="GH80" s="224">
        <f>3*GF80</f>
        <v>36</v>
      </c>
      <c r="GI80" s="237">
        <f>FY80*POWER(INslave,SIGN(FZ80))*POWER(KLslave,SIGN(FY80))+FY80*POWER(INslave,SIGN(FZ80))*POWER(KLslave,SIGN(FY80))+FZ80*POWER(KLslave,SIGN(FY80))*POWER(KLslave,SIGN(FY80))</f>
        <v>2304</v>
      </c>
      <c r="GJ80" s="234">
        <f>FY80*FY80*INslave+FY80*KLslave*FZ80+KLslave*FY80*FZ80</f>
        <v>3456</v>
      </c>
      <c r="GK80" s="224">
        <f>FY80*FY80*FZ80</f>
        <v>1728</v>
      </c>
      <c r="GL80" s="242">
        <f>SUM(GI80:GK80)</f>
        <v>7488</v>
      </c>
      <c r="GM80" s="222">
        <f>GF80*GI80/GL80</f>
        <v>3.6923076923076925</v>
      </c>
      <c r="GN80" s="223">
        <f>GG80*GJ80/GL80</f>
        <v>11.076923076923077</v>
      </c>
      <c r="GO80" s="243">
        <f>GH80*GK80/GL80</f>
        <v>8.3076923076923084</v>
      </c>
      <c r="GP80" s="243">
        <f>SUM(GM80:GO80)</f>
        <v>23.07692307692308</v>
      </c>
      <c r="GQ80" s="252">
        <f t="shared" si="666"/>
        <v>0</v>
      </c>
      <c r="GR80" s="309">
        <f>GP80-GQ80</f>
        <v>23.07692307692308</v>
      </c>
      <c r="GS80" s="218">
        <f>IF(GP80&lt;=0,3,0)+IF(GP80&gt;0,GP80+1,0)*3+IF(GP80&gt;12,GP80-12,0)*3+IF(GP80&gt;13,GP80-13,0)*3+IF(GP80&gt;14,GP80-14,0)*3+IF(GP80&gt;15,GP80-15,0)*3+IF(GP80&gt;16,GP80-16,0)*3+IF(GP80&gt;17,GP80-17,0)*3+IF(GP80&gt;18,GP80-18,0)*3+IF(GP80&gt;19,GP80-19,0)*3+IF(GP80&gt;20,GP80-20,0)*3</f>
        <v>263.30769230769232</v>
      </c>
      <c r="GT80" s="242">
        <f>IF(GQ80&lt;=0,3,0)+IF(GQ80&gt;0,GQ80+1,0)*3+IF(GQ80&gt;12,GQ80-12,0)*3+IF(GQ80&gt;13,GQ80-13,0)*3+IF(GQ80&gt;14,GQ80-14,0)*3+IF(GQ80&gt;15,GQ80-15,0)*3+IF(GQ80&gt;16,GQ80-16,0)*3+IF(GQ80&gt;17,GQ80-17,0)*3+IF(GQ80&gt;18,GQ80-18,0)*3+IF(GQ80&gt;19,GQ80-19,0)*3+IF(GQ80&gt;20,GQ80-20,0)*3</f>
        <v>3</v>
      </c>
      <c r="GU80" s="243">
        <f>IF((GS80-GT80)&gt;0,GS80-GT80,0)</f>
        <v>260.30769230769232</v>
      </c>
      <c r="GV80" s="218">
        <f>IF((GT80-GS80)&gt;0,GT80-GS80,0)</f>
        <v>0</v>
      </c>
      <c r="GX80" s="303" t="s">
        <v>320</v>
      </c>
      <c r="GY80" s="218" t="s">
        <v>94</v>
      </c>
      <c r="GZ80" s="243" t="s">
        <v>135</v>
      </c>
      <c r="HA80" s="237"/>
      <c r="HB80" s="234">
        <f>Konvention_1slave-KLslave</f>
        <v>12</v>
      </c>
      <c r="HC80" s="234">
        <f t="shared" ref="HC80:HC85" si="676">Konvention_1slave-INslave</f>
        <v>12</v>
      </c>
      <c r="HD80" s="234"/>
      <c r="HE80" s="234"/>
      <c r="HF80" s="234"/>
      <c r="HG80" s="234"/>
      <c r="HH80" s="224"/>
      <c r="HI80" s="222">
        <f>(HB80+HB80+HC80)/3</f>
        <v>12</v>
      </c>
      <c r="HJ80" s="223">
        <f>2*HI80</f>
        <v>24</v>
      </c>
      <c r="HK80" s="224">
        <f>3*HI80</f>
        <v>36</v>
      </c>
      <c r="HL80" s="237">
        <f>HB80*POWER(INslave,SIGN(HC80))*POWER(KLslave,SIGN(HB80))+HB80*POWER(INslave,SIGN(HC80))*POWER(KLslave,SIGN(HB80))+HC80*POWER(KLslave,SIGN(HB80))*POWER(KLslave,SIGN(HB80))</f>
        <v>2304</v>
      </c>
      <c r="HM80" s="234">
        <f>HB80*HB80*INslave+HB80*KLslave*HC80+KLslave*HB80*HC80</f>
        <v>3456</v>
      </c>
      <c r="HN80" s="224">
        <f>HB80*HB80*HC80</f>
        <v>1728</v>
      </c>
      <c r="HO80" s="242">
        <f>SUM(HL80:HN80)</f>
        <v>7488</v>
      </c>
      <c r="HP80" s="222">
        <f>HI80*HL80/HO80</f>
        <v>3.6923076923076925</v>
      </c>
      <c r="HQ80" s="223">
        <f>HJ80*HM80/HO80</f>
        <v>11.076923076923077</v>
      </c>
      <c r="HR80" s="243">
        <f>HK80*HN80/HO80</f>
        <v>8.3076923076923084</v>
      </c>
      <c r="HS80" s="243">
        <f>SUM(HP80:HR80)</f>
        <v>23.07692307692308</v>
      </c>
      <c r="HT80" s="252">
        <f t="shared" si="667"/>
        <v>0</v>
      </c>
      <c r="HU80" s="309">
        <f>HS80-HT80</f>
        <v>23.07692307692308</v>
      </c>
      <c r="HV80" s="218">
        <f>IF(HS80&lt;=0,3,0)+IF(HS80&gt;0,HS80+1,0)*3+IF(HS80&gt;12,HS80-12,0)*3+IF(HS80&gt;13,HS80-13,0)*3+IF(HS80&gt;14,HS80-14,0)*3+IF(HS80&gt;15,HS80-15,0)*3+IF(HS80&gt;16,HS80-16,0)*3+IF(HS80&gt;17,HS80-17,0)*3+IF(HS80&gt;18,HS80-18,0)*3+IF(HS80&gt;19,HS80-19,0)*3+IF(HS80&gt;20,HS80-20,0)*3</f>
        <v>263.30769230769232</v>
      </c>
      <c r="HW80" s="242">
        <f>IF(HT80&lt;=0,3,0)+IF(HT80&gt;0,HT80+1,0)*3+IF(HT80&gt;12,HT80-12,0)*3+IF(HT80&gt;13,HT80-13,0)*3+IF(HT80&gt;14,HT80-14,0)*3+IF(HT80&gt;15,HT80-15,0)*3+IF(HT80&gt;16,HT80-16,0)*3+IF(HT80&gt;17,HT80-17,0)*3+IF(HT80&gt;18,HT80-18,0)*3+IF(HT80&gt;19,HT80-19,0)*3+IF(HT80&gt;20,HT80-20,0)*3</f>
        <v>3</v>
      </c>
      <c r="HX80" s="243">
        <f>IF((HV80-HW80)&gt;0,HV80-HW80,0)</f>
        <v>260.30769230769232</v>
      </c>
      <c r="HY80" s="218">
        <f>IF((HW80-HV80)&gt;0,HW80-HV80,0)</f>
        <v>0</v>
      </c>
      <c r="IA80" s="303" t="s">
        <v>320</v>
      </c>
      <c r="IB80" s="218" t="s">
        <v>94</v>
      </c>
      <c r="IC80" s="243" t="s">
        <v>135</v>
      </c>
      <c r="ID80" s="237"/>
      <c r="IE80" s="234">
        <f>Konvention_1slave-KLslave</f>
        <v>12</v>
      </c>
      <c r="IF80" s="234">
        <f t="shared" ref="IF80:IF85" si="677">Konvention_1slave-INslave</f>
        <v>12</v>
      </c>
      <c r="IG80" s="234"/>
      <c r="IH80" s="234"/>
      <c r="II80" s="234"/>
      <c r="IJ80" s="234"/>
      <c r="IK80" s="224"/>
      <c r="IL80" s="222">
        <f>(IE80+IE80+IF80)/3</f>
        <v>12</v>
      </c>
      <c r="IM80" s="223">
        <f>2*IL80</f>
        <v>24</v>
      </c>
      <c r="IN80" s="224">
        <f>3*IL80</f>
        <v>36</v>
      </c>
      <c r="IO80" s="237">
        <f>IE80*POWER(INslave,SIGN(IF80))*POWER(KLslave,SIGN(IE80))+IE80*POWER(INslave,SIGN(IF80))*POWER(KLslave,SIGN(IE80))+IF80*POWER(KLslave,SIGN(IE80))*POWER(KLslave,SIGN(IE80))</f>
        <v>2304</v>
      </c>
      <c r="IP80" s="234">
        <f>IE80*IE80*INslave+IE80*KLslave*IF80+KLslave*IE80*IF80</f>
        <v>3456</v>
      </c>
      <c r="IQ80" s="224">
        <f>IE80*IE80*IF80</f>
        <v>1728</v>
      </c>
      <c r="IR80" s="242">
        <f>SUM(IO80:IQ80)</f>
        <v>7488</v>
      </c>
      <c r="IS80" s="222">
        <f>IL80*IO80/IR80</f>
        <v>3.6923076923076925</v>
      </c>
      <c r="IT80" s="223">
        <f>IM80*IP80/IR80</f>
        <v>11.076923076923077</v>
      </c>
      <c r="IU80" s="243">
        <f>IN80*IQ80/IR80</f>
        <v>8.3076923076923084</v>
      </c>
      <c r="IV80" s="243">
        <f>SUM(IS80:IU80)</f>
        <v>23.07692307692308</v>
      </c>
      <c r="IW80" s="252">
        <f t="shared" si="668"/>
        <v>0</v>
      </c>
      <c r="IX80" s="309">
        <f>IV80-IW80</f>
        <v>23.07692307692308</v>
      </c>
      <c r="IY80" s="218">
        <f>IF(IV80&lt;=0,3,0)+IF(IV80&gt;0,IV80+1,0)*3+IF(IV80&gt;12,IV80-12,0)*3+IF(IV80&gt;13,IV80-13,0)*3+IF(IV80&gt;14,IV80-14,0)*3+IF(IV80&gt;15,IV80-15,0)*3+IF(IV80&gt;16,IV80-16,0)*3+IF(IV80&gt;17,IV80-17,0)*3+IF(IV80&gt;18,IV80-18,0)*3+IF(IV80&gt;19,IV80-19,0)*3+IF(IV80&gt;20,IV80-20,0)*3</f>
        <v>263.30769230769232</v>
      </c>
      <c r="IZ80" s="242">
        <f>IF(IW80&lt;=0,3,0)+IF(IW80&gt;0,IW80+1,0)*3+IF(IW80&gt;12,IW80-12,0)*3+IF(IW80&gt;13,IW80-13,0)*3+IF(IW80&gt;14,IW80-14,0)*3+IF(IW80&gt;15,IW80-15,0)*3+IF(IW80&gt;16,IW80-16,0)*3+IF(IW80&gt;17,IW80-17,0)*3+IF(IW80&gt;18,IW80-18,0)*3+IF(IW80&gt;19,IW80-19,0)*3+IF(IW80&gt;20,IW80-20,0)*3</f>
        <v>3</v>
      </c>
      <c r="JA80" s="243">
        <f>IF((IY80-IZ80)&gt;0,IY80-IZ80,0)</f>
        <v>260.30769230769232</v>
      </c>
      <c r="JB80" s="218">
        <f>IF((IZ80-IY80)&gt;0,IZ80-IY80,0)</f>
        <v>0</v>
      </c>
      <c r="JE80" s="148"/>
    </row>
    <row r="81" spans="2:265" ht="15" hidden="1" customHeight="1" outlineLevel="2">
      <c r="B81" s="148">
        <v>4</v>
      </c>
      <c r="C81" s="303" t="e">
        <f>VLOOKUP(AF81,Attribute!C:T,1,FALSE)</f>
        <v>#N/A</v>
      </c>
      <c r="D81" s="125" t="s">
        <v>170</v>
      </c>
      <c r="E81" s="127" t="s">
        <v>135</v>
      </c>
      <c r="F81" s="114"/>
      <c r="G81" s="113">
        <f>Konvention_1master-KLmaster</f>
        <v>12</v>
      </c>
      <c r="H81" s="113">
        <f t="shared" si="669"/>
        <v>12</v>
      </c>
      <c r="I81" s="113"/>
      <c r="J81" s="113">
        <f>Konvention_1master-FFmaster</f>
        <v>12</v>
      </c>
      <c r="K81" s="113"/>
      <c r="L81" s="113"/>
      <c r="M81" s="119"/>
      <c r="N81" s="222">
        <f t="shared" ref="N81:N96" si="678">(F81+G81+H81+I81+J81+K81+L81+M81)/3</f>
        <v>12</v>
      </c>
      <c r="O81" s="223">
        <f t="shared" ref="O81:O96" si="679">2*N81</f>
        <v>24</v>
      </c>
      <c r="P81" s="224">
        <f t="shared" ref="P81:P96" si="680">3*N81</f>
        <v>36</v>
      </c>
      <c r="Q81" s="237">
        <f t="shared" ref="Q81:Q96" si="681">F81*POWER(KLmaster,SIGN(G81))*POWER(INmaster,SIGN(H81))*POWER(CHmaster,SIGN(I81))*POWER(FFmaster,SIGN(J81))*POWER(GEmaster,SIGN(K81))*POWER(KOmaster,SIGN(L81))*POWER(KKmaster,SIGN(M81))+G81*POWER(MUmaster,SIGN(F81))*POWER(INmaster,SIGN(H81))*POWER(CHmaster,SIGN(I81))*POWER(FFmaster,SIGN(J81))*POWER(GEmaster,SIGN(K81))*POWER(KOmaster,SIGN(L81))*POWER(KKmaster,SIGN(M81))+H81*POWER(MUmaster,SIGN(F81))*POWER(KLmaster,SIGN(G81))*POWER(CHmaster,SIGN(I81))*POWER(FFmaster,SIGN(J81))*POWER(GEmaster,SIGN(K81))*POWER(KOmaster,SIGN(L81))*POWER(KKmaster,SIGN(M81))+I81*POWER(MUmaster,SIGN(F81))*POWER(KLmaster,SIGN(G81))*POWER(INmaster,SIGN(H81))*POWER(FFmaster,SIGN(J81))*POWER(GEmaster,SIGN(K81))*POWER(KOmaster,SIGN(L81))*POWER(KKmaster,SIGN(M81))+J81*POWER(MUmaster,SIGN(F81))*POWER(KLmaster,SIGN(G81))*POWER(INmaster,SIGN(H81))*POWER(CHmaster,SIGN(I81))*POWER(GEmaster,SIGN(K81))*POWER(KOmaster,SIGN(L81))*POWER(KKmaster,SIGN(M81))+K81*POWER(MUmaster,SIGN(F81))*POWER(KLmaster,SIGN(G81))*POWER(INmaster,SIGN(H81))*POWER(CHmaster,SIGN(I81))*POWER(FFmaster,SIGN(J81))*POWER(KOmaster,SIGN(L81))*POWER(KKmaster,SIGN(M81))+L81*POWER(MUmaster,SIGN(F81))*POWER(KLmaster,SIGN(G81))*POWER(INmaster,SIGN(H81))*POWER(CHmaster,SIGN(I81))*POWER(FFmaster,SIGN(J81))*POWER(GEmaster,SIGN(K81))*POWER(KKmaster,SIGN(M81))+M81*POWER(MUmaster,SIGN(F81))*POWER(KLmaster,SIGN(G81))*POWER(INmaster,SIGN(H81))*POWER(CHmaster,SIGN(I81))*POWER(FFmaster,SIGN(J81))*POWER(GEmaster,SIGN(K81))*POWER(KOmaster,SIGN(L81))</f>
        <v>2304</v>
      </c>
      <c r="R81" s="113">
        <f>G81*H81*FFmaster+G81*INmaster*J81+KLmaster*H81*J81</f>
        <v>3456</v>
      </c>
      <c r="S81" s="224">
        <f t="shared" ref="S81:S96" si="682">IFERROR(F81^SIGN(F81),1)*IFERROR(G81^SIGN(G81),1)*IFERROR(H81^SIGN(H81),1)*IFERROR(I81^SIGN(I81),1)*IFERROR(J81^SIGN(J81),1)*IFERROR(K81^SIGN(K81),1)*IFERROR(L81^SIGN(L81),1)*IFERROR(M81^SIGN(M81),1)</f>
        <v>1728</v>
      </c>
      <c r="T81" s="242">
        <f t="shared" ref="T81:T96" si="683">SUM(Q81:S81)</f>
        <v>7488</v>
      </c>
      <c r="U81" s="222">
        <f t="shared" ref="U81:U96" si="684">N81*Q81/T81</f>
        <v>3.6923076923076925</v>
      </c>
      <c r="V81" s="223">
        <f t="shared" ref="V81:V96" si="685">O81*R81/T81</f>
        <v>11.076923076923077</v>
      </c>
      <c r="W81" s="243">
        <f t="shared" ref="W81:W96" si="686">P81*S81/T81</f>
        <v>8.3076923076923084</v>
      </c>
      <c r="X81" s="243">
        <f t="shared" ref="X81:X96" si="687">SUM(U81:W81)</f>
        <v>23.07692307692308</v>
      </c>
      <c r="Y81" s="252">
        <v>0</v>
      </c>
      <c r="Z81" s="198">
        <f t="shared" ref="Z81:Z96" si="688">X81-Y81</f>
        <v>23.07692307692308</v>
      </c>
      <c r="AA81" s="125">
        <f>IF(X81&lt;=0,3,0)+IF(X81&gt;0,X81+1,0)*3+IF(X81&gt;12,X81-12,0)*3+IF(X81&gt;13,X81-13,0)*3+IF(X81&gt;14,X81-14,0)*3+IF(X81&gt;15,X81-15,0)*3+IF(X81&gt;16,X81-16,0)*3+IF(X81&gt;17,X81-17,0)*3+IF(X81&gt;18,X81-18,0)*3+IF(X81&gt;19,X81-19,0)*3+IF(X81&gt;20,X81-20,0)*3</f>
        <v>263.30769230769232</v>
      </c>
      <c r="AB81" s="160">
        <f>IF(Y81&lt;=0,3,0)+IF(Y81&gt;0,Y81+1,0)*3+IF(Y81&gt;12,Y81-12,0)*3+IF(Y81&gt;13,Y81-13,0)*3+IF(Y81&gt;14,Y81-14,0)*3+IF(Y81&gt;15,Y81-15,0)*3+IF(Y81&gt;16,Y81-16,0)*3+IF(Y81&gt;17,Y81-17,0)*3+IF(Y81&gt;18,Y81-18,0)*3+IF(Y81&gt;19,Y81-19,0)*3+IF(Y81&gt;20,Y81-20,0)*3</f>
        <v>3</v>
      </c>
      <c r="AC81" s="127">
        <f t="shared" ref="AC81:AC96" si="689">IF((AA81-AB81)&gt;0,AA81-AB81,0)</f>
        <v>260.30769230769232</v>
      </c>
      <c r="AD81" s="125">
        <f t="shared" ref="AD81:AD96" si="690">IF((AB81-AA81)&gt;0,AB81-AA81,0)</f>
        <v>0</v>
      </c>
      <c r="AF81" s="163" t="s">
        <v>183</v>
      </c>
      <c r="AG81" s="125" t="s">
        <v>170</v>
      </c>
      <c r="AH81" s="127" t="s">
        <v>135</v>
      </c>
      <c r="AI81" s="114"/>
      <c r="AJ81" s="113">
        <f>Konvention_1slave-KLslave</f>
        <v>12</v>
      </c>
      <c r="AK81" s="113">
        <f t="shared" si="670"/>
        <v>12</v>
      </c>
      <c r="AL81" s="113"/>
      <c r="AM81" s="113">
        <f>Konvention_1slave-FFslave</f>
        <v>12</v>
      </c>
      <c r="AN81" s="113"/>
      <c r="AO81" s="113"/>
      <c r="AP81" s="119"/>
      <c r="AQ81" s="89">
        <f t="shared" ref="AQ81:AQ96" si="691">(AI81+AJ81+AK81+AL81+AM81+AN81+AO81+AP81)/3</f>
        <v>12</v>
      </c>
      <c r="AR81" s="47">
        <f t="shared" ref="AR81:AR96" si="692">2*AQ81</f>
        <v>24</v>
      </c>
      <c r="AS81" s="119">
        <f t="shared" ref="AS81:AS96" si="693">3*AQ81</f>
        <v>36</v>
      </c>
      <c r="AT81" s="114">
        <f t="shared" ref="AT81:AT98" si="694">AI81*POWER(KLslave,SIGN(AJ81))*POWER(INslave,SIGN(AK81))*POWER(CHslave,SIGN(AL81))*POWER(FFslave,SIGN(AM81))*POWER(GEslave,SIGN(AN81))*POWER(KOslave,SIGN(AO81))*POWER(KKslave,SIGN(AP81))+AJ81*POWER(MUslave_MU,SIGN(AI81))*POWER(INslave,SIGN(AK81))*POWER(CHslave,SIGN(AL81))*POWER(FFslave,SIGN(AM81))*POWER(GEslave,SIGN(AN81))*POWER(KOslave,SIGN(AO81))*POWER(KKslave,SIGN(AP81))+AK81*POWER(MUslave_MU,SIGN(AI81))*POWER(KLslave,SIGN(AJ81))*POWER(CHslave,SIGN(AL81))*POWER(FFslave,SIGN(AM81))*POWER(GEslave,SIGN(AN81))*POWER(KOslave,SIGN(AO81))*POWER(KKslave,SIGN(AP81))+AL81*POWER(MUslave_MU,SIGN(AI81))*POWER(KLslave,SIGN(AJ81))*POWER(INslave,SIGN(AK81))*POWER(FFslave,SIGN(AM81))*POWER(GEslave,SIGN(AN81))*POWER(KOslave,SIGN(AO81))*POWER(KKslave,SIGN(AP81))+AM81*POWER(MUslave_MU,SIGN(AI81))*POWER(KLslave,SIGN(AJ81))*POWER(INslave,SIGN(AK81))*POWER(CHslave,SIGN(AL81))*POWER(GEslave,SIGN(AN81))*POWER(KOslave,SIGN(AO81))*POWER(KKslave,SIGN(AP81))+AN81*POWER(MUslave_MU,SIGN(AI81))*POWER(KLslave,SIGN(AJ81))*POWER(INslave,SIGN(AK81))*POWER(CHslave,SIGN(AL81))*POWER(FFslave,SIGN(AM81))*POWER(KOslave,SIGN(AO81))*POWER(KKslave,SIGN(AP81))+AO81*POWER(MUslave_MU,SIGN(AI81))*POWER(KLslave,SIGN(AJ81))*POWER(INslave,SIGN(AK81))*POWER(CHslave,SIGN(AL81))*POWER(FFslave,SIGN(AM81))*POWER(GEslave,SIGN(AN81))*POWER(KKslave,SIGN(AP81))+AP81*POWER(MUslave_MU,SIGN(AI81))*POWER(KLslave,SIGN(AJ81))*POWER(INslave,SIGN(AK81))*POWER(CHslave,SIGN(AL81))*POWER(FFslave,SIGN(AM81))*POWER(GEslave,SIGN(AN81))*POWER(KOslave,SIGN(AO81))</f>
        <v>2304</v>
      </c>
      <c r="AU81" s="113">
        <f>AJ81*AK81*FFslave+AJ81*INslave*AM81+KLslave*AK81*AM81</f>
        <v>3456</v>
      </c>
      <c r="AV81" s="119">
        <f t="shared" ref="AV81:AV96" si="695">IFERROR(AI81^SIGN(AI81),1)*IFERROR(AJ81^SIGN(AJ81),1)*IFERROR(AK81^SIGN(AK81),1)*IFERROR(AL81^SIGN(AL81),1)*IFERROR(AM81^SIGN(AM81),1)*IFERROR(AN81^SIGN(AN81),1)*IFERROR(AO81^SIGN(AO81),1)*IFERROR(AP81^SIGN(AP81),1)</f>
        <v>1728</v>
      </c>
      <c r="AW81" s="160">
        <f t="shared" ref="AW81:AW96" si="696">SUM(AT81:AV81)</f>
        <v>7488</v>
      </c>
      <c r="AX81" s="89">
        <f t="shared" ref="AX81:AX96" si="697">AQ81*AT81/AW81</f>
        <v>3.6923076923076925</v>
      </c>
      <c r="AY81" s="47">
        <f t="shared" ref="AY81:AY96" si="698">AR81*AU81/AW81</f>
        <v>11.076923076923077</v>
      </c>
      <c r="AZ81" s="127">
        <f t="shared" ref="AZ81:AZ96" si="699">AS81*AV81/AW81</f>
        <v>8.3076923076923084</v>
      </c>
      <c r="BA81" s="127">
        <f t="shared" ref="BA81:BA96" si="700">SUM(AX81:AZ81)</f>
        <v>23.07692307692308</v>
      </c>
      <c r="BB81" s="165">
        <f t="shared" si="661"/>
        <v>0</v>
      </c>
      <c r="BC81" s="198">
        <f t="shared" ref="BC81:BC96" si="701">BA81-BB81</f>
        <v>23.07692307692308</v>
      </c>
      <c r="BD81" s="125">
        <f>IF(BA81&lt;=0,3,0)+IF(BA81&gt;0,BA81+1,0)*3+IF(BA81&gt;12,BA81-12,0)*3+IF(BA81&gt;13,BA81-13,0)*3+IF(BA81&gt;14,BA81-14,0)*3+IF(BA81&gt;15,BA81-15,0)*3+IF(BA81&gt;16,BA81-16,0)*3+IF(BA81&gt;17,BA81-17,0)*3+IF(BA81&gt;18,BA81-18,0)*3+IF(BA81&gt;19,BA81-19,0)*3+IF(BA81&gt;20,BA81-20,0)*3</f>
        <v>263.30769230769232</v>
      </c>
      <c r="BE81" s="160">
        <f>IF(BB81&lt;=0,3,0)+IF(BB81&gt;0,BB81+1,0)*3+IF(BB81&gt;12,BB81-12,0)*3+IF(BB81&gt;13,BB81-13,0)*3+IF(BB81&gt;14,BB81-14,0)*3+IF(BB81&gt;15,BB81-15,0)*3+IF(BB81&gt;16,BB81-16,0)*3+IF(BB81&gt;17,BB81-17,0)*3+IF(BB81&gt;18,BB81-18,0)*3+IF(BB81&gt;19,BB81-19,0)*3+IF(BB81&gt;20,BB81-20,0)*3</f>
        <v>3</v>
      </c>
      <c r="BF81" s="243">
        <f t="shared" ref="BF81:BF96" si="702">IF((BD81-BE81)&gt;0,BD81-BE81,0)</f>
        <v>260.30769230769232</v>
      </c>
      <c r="BG81" s="218">
        <f t="shared" ref="BG81:BG96" si="703">IF((BE81-BD81)&gt;0,BE81-BD81,0)</f>
        <v>0</v>
      </c>
      <c r="BI81" s="303" t="s">
        <v>183</v>
      </c>
      <c r="BJ81" s="218" t="s">
        <v>170</v>
      </c>
      <c r="BK81" s="243" t="s">
        <v>135</v>
      </c>
      <c r="BL81" s="237"/>
      <c r="BM81" s="234">
        <f>Konvention_1slave-KLslave_KL</f>
        <v>11</v>
      </c>
      <c r="BN81" s="234">
        <f t="shared" si="671"/>
        <v>12</v>
      </c>
      <c r="BO81" s="234"/>
      <c r="BP81" s="234">
        <f>Konvention_1slave-FFslave</f>
        <v>12</v>
      </c>
      <c r="BQ81" s="234"/>
      <c r="BR81" s="234"/>
      <c r="BS81" s="224"/>
      <c r="BT81" s="222">
        <f t="shared" ref="BT81:BT96" si="704">(BL81+BM81+BN81+BO81+BP81+BQ81+BR81+BS81)/3</f>
        <v>11.666666666666666</v>
      </c>
      <c r="BU81" s="223">
        <f t="shared" ref="BU81:BU96" si="705">2*BT81</f>
        <v>23.333333333333332</v>
      </c>
      <c r="BV81" s="224">
        <f t="shared" ref="BV81:BV96" si="706">3*BT81</f>
        <v>35</v>
      </c>
      <c r="BW81" s="237">
        <f t="shared" ref="BW81:BW98" si="707">BL81*POWER(KLslave_KL,SIGN(BM81))*POWER(INslave,SIGN(BN81))*POWER(CHslave,SIGN(BO81))*POWER(FFslave,SIGN(BP81))*POWER(GEslave,SIGN(BQ81))*POWER(KOslave,SIGN(BR81))*POWER(KKslave,SIGN(BS81))+BM81*POWER(MUslave,SIGN(BL81))*POWER(INslave,SIGN(BN81))*POWER(CHslave,SIGN(BO81))*POWER(FFslave,SIGN(BP81))*POWER(GEslave,SIGN(BQ81))*POWER(KOslave,SIGN(BR81))*POWER(KKslave,SIGN(BS81))+BN81*POWER(MUslave,SIGN(BL81))*POWER(KLslave_KL,SIGN(BM81))*POWER(CHslave,SIGN(BO81))*POWER(FFslave,SIGN(BP81))*POWER(GEslave,SIGN(BQ81))*POWER(KOslave,SIGN(BR81))*POWER(KKslave,SIGN(BS81))+BO81*POWER(MUslave,SIGN(BL81))*POWER(KLslave_KL,SIGN(BM81))*POWER(INslave,SIGN(BN81))*POWER(FFslave,SIGN(BP81))*POWER(GEslave,SIGN(BQ81))*POWER(KOslave,SIGN(BR81))*POWER(KKslave,SIGN(BS81))+BP81*POWER(MUslave,SIGN(BL81))*POWER(KLslave_KL,SIGN(BM81))*POWER(INslave,SIGN(BN81))*POWER(CHslave,SIGN(BO81))*POWER(GEslave,SIGN(BQ81))*POWER(KOslave,SIGN(BR81))*POWER(KKslave,SIGN(BS81))+BQ81*POWER(MUslave,SIGN(BL81))*POWER(KLslave_KL,SIGN(BM81))*POWER(INslave,SIGN(BN81))*POWER(CHslave,SIGN(BO81))*POWER(FFslave,SIGN(BP81))*POWER(KOslave,SIGN(BR81))*POWER(KKslave,SIGN(BS81))+BR81*POWER(MUslave,SIGN(BL81))*POWER(KLslave_KL,SIGN(BM81))*POWER(INslave,SIGN(BN81))*POWER(CHslave,SIGN(BO81))*POWER(FFslave,SIGN(BP81))*POWER(GEslave,SIGN(BQ81))*POWER(KKslave,SIGN(BS81))+BS81*POWER(MUslave,SIGN(BL81))*POWER(KLslave_KL,SIGN(BM81))*POWER(INslave,SIGN(BN81))*POWER(CHslave,SIGN(BO81))*POWER(FFslave,SIGN(BP81))*POWER(GEslave,SIGN(BQ81))*POWER(KOslave,SIGN(BR81))</f>
        <v>2432</v>
      </c>
      <c r="BX81" s="234">
        <f>BM81*BN81*FFslave+BM81*INslave*BP81+KLslave_KL*BN81*BP81</f>
        <v>3408</v>
      </c>
      <c r="BY81" s="224">
        <f t="shared" ref="BY81:BY96" si="708">IFERROR(BL81^SIGN(BL81),1)*IFERROR(BM81^SIGN(BM81),1)*IFERROR(BN81^SIGN(BN81),1)*IFERROR(BO81^SIGN(BO81),1)*IFERROR(BP81^SIGN(BP81),1)*IFERROR(BQ81^SIGN(BQ81),1)*IFERROR(BR81^SIGN(BR81),1)*IFERROR(BS81^SIGN(BS81),1)</f>
        <v>1584</v>
      </c>
      <c r="BZ81" s="242">
        <f t="shared" ref="BZ81:BZ96" si="709">SUM(BW81:BY81)</f>
        <v>7424</v>
      </c>
      <c r="CA81" s="222">
        <f t="shared" ref="CA81:CA96" si="710">BT81*BW81/BZ81</f>
        <v>3.8218390804597702</v>
      </c>
      <c r="CB81" s="223">
        <f t="shared" ref="CB81:CB96" si="711">BU81*BX81/BZ81</f>
        <v>10.711206896551724</v>
      </c>
      <c r="CC81" s="243">
        <f t="shared" ref="CC81:CC96" si="712">BV81*BY81/BZ81</f>
        <v>7.4676724137931032</v>
      </c>
      <c r="CD81" s="243">
        <f t="shared" ref="CD81:CD96" si="713">SUM(CA81:CC81)</f>
        <v>22.000718390804597</v>
      </c>
      <c r="CE81" s="252">
        <f t="shared" si="662"/>
        <v>0</v>
      </c>
      <c r="CF81" s="309">
        <f t="shared" ref="CF81:CF96" si="714">CD81-CE81</f>
        <v>22.000718390804597</v>
      </c>
      <c r="CG81" s="218">
        <f>IF(CD81&lt;=0,3,0)+IF(CD81&gt;0,CD81+1,0)*3+IF(CD81&gt;12,CD81-12,0)*3+IF(CD81&gt;13,CD81-13,0)*3+IF(CD81&gt;14,CD81-14,0)*3+IF(CD81&gt;15,CD81-15,0)*3+IF(CD81&gt;16,CD81-16,0)*3+IF(CD81&gt;17,CD81-17,0)*3+IF(CD81&gt;18,CD81-18,0)*3+IF(CD81&gt;19,CD81-19,0)*3+IF(CD81&gt;20,CD81-20,0)*3</f>
        <v>231.02155172413785</v>
      </c>
      <c r="CH81" s="242">
        <f>IF(CE81&lt;=0,3,0)+IF(CE81&gt;0,CE81+1,0)*3+IF(CE81&gt;12,CE81-12,0)*3+IF(CE81&gt;13,CE81-13,0)*3+IF(CE81&gt;14,CE81-14,0)*3+IF(CE81&gt;15,CE81-15,0)*3+IF(CE81&gt;16,CE81-16,0)*3+IF(CE81&gt;17,CE81-17,0)*3+IF(CE81&gt;18,CE81-18,0)*3+IF(CE81&gt;19,CE81-19,0)*3+IF(CE81&gt;20,CE81-20,0)*3</f>
        <v>3</v>
      </c>
      <c r="CI81" s="243">
        <f t="shared" ref="CI81:CI96" si="715">IF((CG81-CH81)&gt;0,CG81-CH81,0)</f>
        <v>228.02155172413785</v>
      </c>
      <c r="CJ81" s="218">
        <f t="shared" ref="CJ81:CJ96" si="716">IF((CH81-CG81)&gt;0,CH81-CG81,0)</f>
        <v>0</v>
      </c>
      <c r="CL81" s="303" t="s">
        <v>183</v>
      </c>
      <c r="CM81" s="218" t="s">
        <v>170</v>
      </c>
      <c r="CN81" s="243" t="s">
        <v>135</v>
      </c>
      <c r="CO81" s="237"/>
      <c r="CP81" s="234">
        <f>Konvention_1slave-KLslave</f>
        <v>12</v>
      </c>
      <c r="CQ81" s="234">
        <f t="shared" si="672"/>
        <v>11</v>
      </c>
      <c r="CR81" s="234"/>
      <c r="CS81" s="234">
        <f>Konvention_1slave-FFslave</f>
        <v>12</v>
      </c>
      <c r="CT81" s="234"/>
      <c r="CU81" s="234"/>
      <c r="CV81" s="224"/>
      <c r="CW81" s="222">
        <f t="shared" ref="CW81:CW96" si="717">(CO81+CP81+CQ81+CR81+CS81+CT81+CU81+CV81)/3</f>
        <v>11.666666666666666</v>
      </c>
      <c r="CX81" s="223">
        <f t="shared" ref="CX81:CX96" si="718">2*CW81</f>
        <v>23.333333333333332</v>
      </c>
      <c r="CY81" s="224">
        <f t="shared" ref="CY81:CY96" si="719">3*CW81</f>
        <v>35</v>
      </c>
      <c r="CZ81" s="237">
        <f t="shared" ref="CZ81:CZ98" si="720">CO81*POWER(KLslave,SIGN(CP81))*POWER(INslave_IN,SIGN(CQ81))*POWER(CHslave,SIGN(CR81))*POWER(FFslave,SIGN(CS81))*POWER(GEslave,SIGN(CT81))*POWER(KOslave,SIGN(CU81))*POWER(KKslave,SIGN(CV81))+CP81*POWER(MUslave,SIGN(CO81))*POWER(INslave_IN,SIGN(CQ81))*POWER(CHslave,SIGN(CR81))*POWER(FFslave,SIGN(CS81))*POWER(GEslave,SIGN(CT81))*POWER(KOslave,SIGN(CU81))*POWER(KKslave,SIGN(CV81))+CQ81*POWER(MUslave,SIGN(CO81))*POWER(KLslave,SIGN(CP81))*POWER(CHslave,SIGN(CR81))*POWER(FFslave,SIGN(CS81))*POWER(GEslave,SIGN(CT81))*POWER(KOslave,SIGN(CU81))*POWER(KKslave,SIGN(CV81))+CR81*POWER(MUslave,SIGN(CO81))*POWER(KLslave,SIGN(CP81))*POWER(INslave_IN,SIGN(CQ81))*POWER(FFslave,SIGN(CS81))*POWER(GEslave,SIGN(CT81))*POWER(KOslave,SIGN(CU81))*POWER(KKslave,SIGN(CV81))+CS81*POWER(MUslave,SIGN(CO81))*POWER(KLslave,SIGN(CP81))*POWER(INslave_IN,SIGN(CQ81))*POWER(CHslave,SIGN(CR81))*POWER(GEslave,SIGN(CT81))*POWER(KOslave,SIGN(CU81))*POWER(KKslave,SIGN(CV81))+CT81*POWER(MUslave,SIGN(CO81))*POWER(KLslave,SIGN(CP81))*POWER(INslave_IN,SIGN(CQ81))*POWER(CHslave,SIGN(CR81))*POWER(FFslave,SIGN(CS81))*POWER(KOslave,SIGN(CU81))*POWER(KKslave,SIGN(CV81))+CU81*POWER(MUslave,SIGN(CO81))*POWER(KLslave,SIGN(CP81))*POWER(INslave_IN,SIGN(CQ81))*POWER(CHslave,SIGN(CR81))*POWER(FFslave,SIGN(CS81))*POWER(GEslave,SIGN(CT81))*POWER(KKslave,SIGN(CV81))+CV81*POWER(MUslave,SIGN(CO81))*POWER(KLslave,SIGN(CP81))*POWER(INslave_IN,SIGN(CQ81))*POWER(CHslave,SIGN(CR81))*POWER(FFslave,SIGN(CS81))*POWER(GEslave,SIGN(CT81))*POWER(KOslave,SIGN(CU81))</f>
        <v>2432</v>
      </c>
      <c r="DA81" s="234">
        <f>CP81*CQ81*FFslave+CP81*INslave_IN*CS81+KLslave*CQ81*CS81</f>
        <v>3408</v>
      </c>
      <c r="DB81" s="224">
        <f t="shared" ref="DB81:DB96" si="721">IFERROR(CO81^SIGN(CO81),1)*IFERROR(CP81^SIGN(CP81),1)*IFERROR(CQ81^SIGN(CQ81),1)*IFERROR(CR81^SIGN(CR81),1)*IFERROR(CS81^SIGN(CS81),1)*IFERROR(CT81^SIGN(CT81),1)*IFERROR(CU81^SIGN(CU81),1)*IFERROR(CV81^SIGN(CV81),1)</f>
        <v>1584</v>
      </c>
      <c r="DC81" s="242">
        <f t="shared" ref="DC81:DC96" si="722">SUM(CZ81:DB81)</f>
        <v>7424</v>
      </c>
      <c r="DD81" s="222">
        <f t="shared" ref="DD81:DD96" si="723">CW81*CZ81/DC81</f>
        <v>3.8218390804597702</v>
      </c>
      <c r="DE81" s="223">
        <f t="shared" ref="DE81:DE96" si="724">CX81*DA81/DC81</f>
        <v>10.711206896551724</v>
      </c>
      <c r="DF81" s="243">
        <f t="shared" ref="DF81:DF96" si="725">CY81*DB81/DC81</f>
        <v>7.4676724137931032</v>
      </c>
      <c r="DG81" s="243">
        <f t="shared" ref="DG81:DG96" si="726">SUM(DD81:DF81)</f>
        <v>22.000718390804597</v>
      </c>
      <c r="DH81" s="252">
        <f t="shared" si="663"/>
        <v>0</v>
      </c>
      <c r="DI81" s="309">
        <f t="shared" ref="DI81:DI96" si="727">DG81-DH81</f>
        <v>22.000718390804597</v>
      </c>
      <c r="DJ81" s="218">
        <f>IF(DG81&lt;=0,3,0)+IF(DG81&gt;0,DG81+1,0)*3+IF(DG81&gt;12,DG81-12,0)*3+IF(DG81&gt;13,DG81-13,0)*3+IF(DG81&gt;14,DG81-14,0)*3+IF(DG81&gt;15,DG81-15,0)*3+IF(DG81&gt;16,DG81-16,0)*3+IF(DG81&gt;17,DG81-17,0)*3+IF(DG81&gt;18,DG81-18,0)*3+IF(DG81&gt;19,DG81-19,0)*3+IF(DG81&gt;20,DG81-20,0)*3</f>
        <v>231.02155172413785</v>
      </c>
      <c r="DK81" s="242">
        <f>IF(DH81&lt;=0,3,0)+IF(DH81&gt;0,DH81+1,0)*3+IF(DH81&gt;12,DH81-12,0)*3+IF(DH81&gt;13,DH81-13,0)*3+IF(DH81&gt;14,DH81-14,0)*3+IF(DH81&gt;15,DH81-15,0)*3+IF(DH81&gt;16,DH81-16,0)*3+IF(DH81&gt;17,DH81-17,0)*3+IF(DH81&gt;18,DH81-18,0)*3+IF(DH81&gt;19,DH81-19,0)*3+IF(DH81&gt;20,DH81-20,0)*3</f>
        <v>3</v>
      </c>
      <c r="DL81" s="243">
        <f t="shared" ref="DL81:DL96" si="728">IF((DJ81-DK81)&gt;0,DJ81-DK81,0)</f>
        <v>228.02155172413785</v>
      </c>
      <c r="DM81" s="218">
        <f t="shared" ref="DM81:DM96" si="729">IF((DK81-DJ81)&gt;0,DK81-DJ81,0)</f>
        <v>0</v>
      </c>
      <c r="DO81" s="303" t="s">
        <v>183</v>
      </c>
      <c r="DP81" s="218" t="s">
        <v>170</v>
      </c>
      <c r="DQ81" s="243" t="s">
        <v>135</v>
      </c>
      <c r="DR81" s="237"/>
      <c r="DS81" s="234">
        <f>Konvention_1slave-KLslave</f>
        <v>12</v>
      </c>
      <c r="DT81" s="234">
        <f t="shared" si="673"/>
        <v>12</v>
      </c>
      <c r="DU81" s="234"/>
      <c r="DV81" s="234">
        <f>Konvention_1slave-FFslave</f>
        <v>12</v>
      </c>
      <c r="DW81" s="234"/>
      <c r="DX81" s="234"/>
      <c r="DY81" s="224"/>
      <c r="DZ81" s="222">
        <f t="shared" ref="DZ81:DZ96" si="730">(DR81+DS81+DT81+DU81+DV81+DW81+DX81+DY81)/3</f>
        <v>12</v>
      </c>
      <c r="EA81" s="223">
        <f t="shared" ref="EA81:EA96" si="731">2*DZ81</f>
        <v>24</v>
      </c>
      <c r="EB81" s="224">
        <f t="shared" ref="EB81:EB96" si="732">3*DZ81</f>
        <v>36</v>
      </c>
      <c r="EC81" s="237">
        <f t="shared" ref="EC81:EC98" si="733">DR81*POWER(KLslave,SIGN(DS81))*POWER(INslave,SIGN(DT81))*POWER(CHslave_CH,SIGN(DU81))*POWER(FFslave,SIGN(DV81))*POWER(GEslave,SIGN(DW81))*POWER(KOslave,SIGN(DX81))*POWER(KKslave,SIGN(DY81))+DS81*POWER(MUslave,SIGN(DR81))*POWER(INslave,SIGN(DT81))*POWER(CHslave_CH,SIGN(DU81))*POWER(FFslave,SIGN(DV81))*POWER(GEslave,SIGN(DW81))*POWER(KOslave,SIGN(DX81))*POWER(KKslave,SIGN(DY81))+DT81*POWER(MUslave,SIGN(DR81))*POWER(KLslave,SIGN(DS81))*POWER(CHslave_CH,SIGN(DU81))*POWER(FFslave,SIGN(DV81))*POWER(GEslave,SIGN(DW81))*POWER(KOslave,SIGN(DX81))*POWER(KKslave,SIGN(DY81))+DU81*POWER(MUslave,SIGN(DR81))*POWER(KLslave,SIGN(DS81))*POWER(INslave,SIGN(DT81))*POWER(FFslave,SIGN(DV81))*POWER(GEslave,SIGN(DW81))*POWER(KOslave,SIGN(DX81))*POWER(KKslave,SIGN(DY81))+DV81*POWER(MUslave,SIGN(DR81))*POWER(KLslave,SIGN(DS81))*POWER(INslave,SIGN(DT81))*POWER(CHslave_CH,SIGN(DU81))*POWER(GEslave,SIGN(DW81))*POWER(KOslave,SIGN(DX81))*POWER(KKslave,SIGN(DY81))+DW81*POWER(MUslave,SIGN(DR81))*POWER(KLslave,SIGN(DS81))*POWER(INslave,SIGN(DT81))*POWER(CHslave_CH,SIGN(DU81))*POWER(FFslave,SIGN(DV81))*POWER(KOslave,SIGN(DX81))*POWER(KKslave,SIGN(DY81))+DX81*POWER(MUslave,SIGN(DR81))*POWER(KLslave,SIGN(DS81))*POWER(INslave,SIGN(DT81))*POWER(CHslave_CH,SIGN(DU81))*POWER(FFslave,SIGN(DV81))*POWER(GEslave,SIGN(DW81))*POWER(KKslave,SIGN(DY81))+DY81*POWER(MUslave,SIGN(DR81))*POWER(KLslave,SIGN(DS81))*POWER(INslave,SIGN(DT81))*POWER(CHslave_CH,SIGN(DU81))*POWER(FFslave,SIGN(DV81))*POWER(GEslave,SIGN(DW81))*POWER(KOslave,SIGN(DX81))</f>
        <v>2304</v>
      </c>
      <c r="ED81" s="234">
        <f>DS81*DT81*FFslave+DS81*INslave*DV81+KLslave*DT81*DV81</f>
        <v>3456</v>
      </c>
      <c r="EE81" s="224">
        <f t="shared" ref="EE81:EE96" si="734">IFERROR(DR81^SIGN(DR81),1)*IFERROR(DS81^SIGN(DS81),1)*IFERROR(DT81^SIGN(DT81),1)*IFERROR(DU81^SIGN(DU81),1)*IFERROR(DV81^SIGN(DV81),1)*IFERROR(DW81^SIGN(DW81),1)*IFERROR(DX81^SIGN(DX81),1)*IFERROR(DY81^SIGN(DY81),1)</f>
        <v>1728</v>
      </c>
      <c r="EF81" s="242">
        <f t="shared" ref="EF81:EF96" si="735">SUM(EC81:EE81)</f>
        <v>7488</v>
      </c>
      <c r="EG81" s="222">
        <f t="shared" ref="EG81:EG96" si="736">DZ81*EC81/EF81</f>
        <v>3.6923076923076925</v>
      </c>
      <c r="EH81" s="223">
        <f t="shared" ref="EH81:EH96" si="737">EA81*ED81/EF81</f>
        <v>11.076923076923077</v>
      </c>
      <c r="EI81" s="243">
        <f t="shared" ref="EI81:EI96" si="738">EB81*EE81/EF81</f>
        <v>8.3076923076923084</v>
      </c>
      <c r="EJ81" s="243">
        <f t="shared" ref="EJ81:EJ96" si="739">SUM(EG81:EI81)</f>
        <v>23.07692307692308</v>
      </c>
      <c r="EK81" s="252">
        <f t="shared" si="664"/>
        <v>0</v>
      </c>
      <c r="EL81" s="309">
        <f t="shared" ref="EL81:EL96" si="740">EJ81-EK81</f>
        <v>23.07692307692308</v>
      </c>
      <c r="EM81" s="218">
        <f>IF(EJ81&lt;=0,3,0)+IF(EJ81&gt;0,EJ81+1,0)*3+IF(EJ81&gt;12,EJ81-12,0)*3+IF(EJ81&gt;13,EJ81-13,0)*3+IF(EJ81&gt;14,EJ81-14,0)*3+IF(EJ81&gt;15,EJ81-15,0)*3+IF(EJ81&gt;16,EJ81-16,0)*3+IF(EJ81&gt;17,EJ81-17,0)*3+IF(EJ81&gt;18,EJ81-18,0)*3+IF(EJ81&gt;19,EJ81-19,0)*3+IF(EJ81&gt;20,EJ81-20,0)*3</f>
        <v>263.30769230769232</v>
      </c>
      <c r="EN81" s="242">
        <f>IF(EK81&lt;=0,3,0)+IF(EK81&gt;0,EK81+1,0)*3+IF(EK81&gt;12,EK81-12,0)*3+IF(EK81&gt;13,EK81-13,0)*3+IF(EK81&gt;14,EK81-14,0)*3+IF(EK81&gt;15,EK81-15,0)*3+IF(EK81&gt;16,EK81-16,0)*3+IF(EK81&gt;17,EK81-17,0)*3+IF(EK81&gt;18,EK81-18,0)*3+IF(EK81&gt;19,EK81-19,0)*3+IF(EK81&gt;20,EK81-20,0)*3</f>
        <v>3</v>
      </c>
      <c r="EO81" s="243">
        <f t="shared" ref="EO81:EO96" si="741">IF((EM81-EN81)&gt;0,EM81-EN81,0)</f>
        <v>260.30769230769232</v>
      </c>
      <c r="EP81" s="218">
        <f t="shared" ref="EP81:EP96" si="742">IF((EN81-EM81)&gt;0,EN81-EM81,0)</f>
        <v>0</v>
      </c>
      <c r="ER81" s="303" t="s">
        <v>183</v>
      </c>
      <c r="ES81" s="218" t="s">
        <v>170</v>
      </c>
      <c r="ET81" s="243" t="s">
        <v>135</v>
      </c>
      <c r="EU81" s="237"/>
      <c r="EV81" s="234">
        <f>Konvention_1slave-KLslave</f>
        <v>12</v>
      </c>
      <c r="EW81" s="234">
        <f t="shared" si="674"/>
        <v>12</v>
      </c>
      <c r="EX81" s="234"/>
      <c r="EY81" s="234">
        <f>Konvention_1slave-FFslave_FF</f>
        <v>11</v>
      </c>
      <c r="EZ81" s="234"/>
      <c r="FA81" s="234"/>
      <c r="FB81" s="224"/>
      <c r="FC81" s="222">
        <f t="shared" ref="FC81:FC96" si="743">(EU81+EV81+EW81+EX81+EY81+EZ81+FA81+FB81)/3</f>
        <v>11.666666666666666</v>
      </c>
      <c r="FD81" s="223">
        <f t="shared" ref="FD81:FD96" si="744">2*FC81</f>
        <v>23.333333333333332</v>
      </c>
      <c r="FE81" s="224">
        <f t="shared" ref="FE81:FE96" si="745">3*FC81</f>
        <v>35</v>
      </c>
      <c r="FF81" s="237">
        <f t="shared" ref="FF81:FF98" si="746">EU81*POWER(KLslave,SIGN(EV81))*POWER(INslave,SIGN(EW81))*POWER(CHslave,SIGN(EX81))*POWER(FFslave_FF,SIGN(EY81))*POWER(GEslave,SIGN(EZ81))*POWER(KOslave,SIGN(FA81))*POWER(KKslave,SIGN(FB81))+EV81*POWER(MUslave,SIGN(EU81))*POWER(INslave,SIGN(EW81))*POWER(CHslave,SIGN(EX81))*POWER(FFslave_FF,SIGN(EY81))*POWER(GEslave,SIGN(EZ81))*POWER(KOslave,SIGN(FA81))*POWER(KKslave,SIGN(FB81))+EW81*POWER(MUslave,SIGN(EU81))*POWER(KLslave,SIGN(EV81))*POWER(CHslave,SIGN(EX81))*POWER(FFslave_FF,SIGN(EY81))*POWER(GEslave,SIGN(EZ81))*POWER(KOslave,SIGN(FA81))*POWER(KKslave,SIGN(FB81))+EX81*POWER(MUslave,SIGN(EU81))*POWER(KLslave,SIGN(EV81))*POWER(INslave,SIGN(EW81))*POWER(FFslave_FF,SIGN(EY81))*POWER(GEslave,SIGN(EZ81))*POWER(KOslave,SIGN(FA81))*POWER(KKslave,SIGN(FB81))+EY81*POWER(MUslave,SIGN(EU81))*POWER(KLslave,SIGN(EV81))*POWER(INslave,SIGN(EW81))*POWER(CHslave,SIGN(EX81))*POWER(GEslave,SIGN(EZ81))*POWER(KOslave,SIGN(FA81))*POWER(KKslave,SIGN(FB81))+EZ81*POWER(MUslave,SIGN(EU81))*POWER(KLslave,SIGN(EV81))*POWER(INslave,SIGN(EW81))*POWER(CHslave,SIGN(EX81))*POWER(FFslave_FF,SIGN(EY81))*POWER(KOslave,SIGN(FA81))*POWER(KKslave,SIGN(FB81))+FA81*POWER(MUslave,SIGN(EU81))*POWER(KLslave,SIGN(EV81))*POWER(INslave,SIGN(EW81))*POWER(CHslave,SIGN(EX81))*POWER(FFslave_FF,SIGN(EY81))*POWER(GEslave,SIGN(EZ81))*POWER(KKslave,SIGN(FB81))+FB81*POWER(MUslave,SIGN(EU81))*POWER(KLslave,SIGN(EV81))*POWER(INslave,SIGN(EW81))*POWER(CHslave,SIGN(EX81))*POWER(FFslave_FF,SIGN(EY81))*POWER(GEslave,SIGN(EZ81))*POWER(KOslave,SIGN(FA81))</f>
        <v>2432</v>
      </c>
      <c r="FG81" s="234">
        <f>EV81*EW81*FFslave_FF+EV81*INslave*EY81+KLslave*EW81*EY81</f>
        <v>3408</v>
      </c>
      <c r="FH81" s="224">
        <f t="shared" ref="FH81:FH96" si="747">IFERROR(EU81^SIGN(EU81),1)*IFERROR(EV81^SIGN(EV81),1)*IFERROR(EW81^SIGN(EW81),1)*IFERROR(EX81^SIGN(EX81),1)*IFERROR(EY81^SIGN(EY81),1)*IFERROR(EZ81^SIGN(EZ81),1)*IFERROR(FA81^SIGN(FA81),1)*IFERROR(FB81^SIGN(FB81),1)</f>
        <v>1584</v>
      </c>
      <c r="FI81" s="242">
        <f t="shared" ref="FI81:FI96" si="748">SUM(FF81:FH81)</f>
        <v>7424</v>
      </c>
      <c r="FJ81" s="222">
        <f t="shared" ref="FJ81:FJ96" si="749">FC81*FF81/FI81</f>
        <v>3.8218390804597702</v>
      </c>
      <c r="FK81" s="223">
        <f t="shared" ref="FK81:FK96" si="750">FD81*FG81/FI81</f>
        <v>10.711206896551724</v>
      </c>
      <c r="FL81" s="243">
        <f t="shared" ref="FL81:FL96" si="751">FE81*FH81/FI81</f>
        <v>7.4676724137931032</v>
      </c>
      <c r="FM81" s="243">
        <f t="shared" ref="FM81:FM96" si="752">SUM(FJ81:FL81)</f>
        <v>22.000718390804597</v>
      </c>
      <c r="FN81" s="252">
        <f t="shared" si="665"/>
        <v>0</v>
      </c>
      <c r="FO81" s="309">
        <f t="shared" ref="FO81:FO96" si="753">FM81-FN81</f>
        <v>22.000718390804597</v>
      </c>
      <c r="FP81" s="218">
        <f>IF(FM81&lt;=0,3,0)+IF(FM81&gt;0,FM81+1,0)*3+IF(FM81&gt;12,FM81-12,0)*3+IF(FM81&gt;13,FM81-13,0)*3+IF(FM81&gt;14,FM81-14,0)*3+IF(FM81&gt;15,FM81-15,0)*3+IF(FM81&gt;16,FM81-16,0)*3+IF(FM81&gt;17,FM81-17,0)*3+IF(FM81&gt;18,FM81-18,0)*3+IF(FM81&gt;19,FM81-19,0)*3+IF(FM81&gt;20,FM81-20,0)*3</f>
        <v>231.02155172413785</v>
      </c>
      <c r="FQ81" s="242">
        <f>IF(FN81&lt;=0,3,0)+IF(FN81&gt;0,FN81+1,0)*3+IF(FN81&gt;12,FN81-12,0)*3+IF(FN81&gt;13,FN81-13,0)*3+IF(FN81&gt;14,FN81-14,0)*3+IF(FN81&gt;15,FN81-15,0)*3+IF(FN81&gt;16,FN81-16,0)*3+IF(FN81&gt;17,FN81-17,0)*3+IF(FN81&gt;18,FN81-18,0)*3+IF(FN81&gt;19,FN81-19,0)*3+IF(FN81&gt;20,FN81-20,0)*3</f>
        <v>3</v>
      </c>
      <c r="FR81" s="243">
        <f t="shared" ref="FR81:FR96" si="754">IF((FP81-FQ81)&gt;0,FP81-FQ81,0)</f>
        <v>228.02155172413785</v>
      </c>
      <c r="FS81" s="218">
        <f t="shared" ref="FS81:FS96" si="755">IF((FQ81-FP81)&gt;0,FQ81-FP81,0)</f>
        <v>0</v>
      </c>
      <c r="FU81" s="303" t="s">
        <v>183</v>
      </c>
      <c r="FV81" s="218" t="s">
        <v>170</v>
      </c>
      <c r="FW81" s="243" t="s">
        <v>135</v>
      </c>
      <c r="FX81" s="237"/>
      <c r="FY81" s="234">
        <f>Konvention_1slave-KLslave</f>
        <v>12</v>
      </c>
      <c r="FZ81" s="234">
        <f t="shared" si="675"/>
        <v>12</v>
      </c>
      <c r="GA81" s="234"/>
      <c r="GB81" s="234">
        <f>Konvention_1slave-FFslave</f>
        <v>12</v>
      </c>
      <c r="GC81" s="234"/>
      <c r="GD81" s="234"/>
      <c r="GE81" s="224"/>
      <c r="GF81" s="222">
        <f t="shared" ref="GF81:GF96" si="756">(FX81+FY81+FZ81+GA81+GB81+GC81+GD81+GE81)/3</f>
        <v>12</v>
      </c>
      <c r="GG81" s="223">
        <f t="shared" ref="GG81:GG96" si="757">2*GF81</f>
        <v>24</v>
      </c>
      <c r="GH81" s="224">
        <f t="shared" ref="GH81:GH96" si="758">3*GF81</f>
        <v>36</v>
      </c>
      <c r="GI81" s="237">
        <f t="shared" ref="GI81:GI98" si="759">FX81*POWER(KLslave,SIGN(FY81))*POWER(INslave,SIGN(FZ81))*POWER(CHslave,SIGN(GA81))*POWER(FFslave,SIGN(GB81))*POWER(GEslave_GE,SIGN(GC81))*POWER(KOslave,SIGN(GD81))*POWER(KKslave,SIGN(GE81))+FY81*POWER(MUslave,SIGN(FX81))*POWER(INslave,SIGN(FZ81))*POWER(CHslave,SIGN(GA81))*POWER(FFslave,SIGN(GB81))*POWER(GEslave_GE,SIGN(GC81))*POWER(KOslave,SIGN(GD81))*POWER(KKslave,SIGN(GE81))+FZ81*POWER(MUslave,SIGN(FX81))*POWER(KLslave,SIGN(FY81))*POWER(CHslave,SIGN(GA81))*POWER(FFslave,SIGN(GB81))*POWER(GEslave_GE,SIGN(GC81))*POWER(KOslave,SIGN(GD81))*POWER(KKslave,SIGN(GE81))+GA81*POWER(MUslave,SIGN(FX81))*POWER(KLslave,SIGN(FY81))*POWER(INslave,SIGN(FZ81))*POWER(FFslave,SIGN(GB81))*POWER(GEslave_GE,SIGN(GC81))*POWER(KOslave,SIGN(GD81))*POWER(KKslave,SIGN(GE81))+GB81*POWER(MUslave,SIGN(FX81))*POWER(KLslave,SIGN(FY81))*POWER(INslave,SIGN(FZ81))*POWER(CHslave,SIGN(GA81))*POWER(GEslave_GE,SIGN(GC81))*POWER(KOslave,SIGN(GD81))*POWER(KKslave,SIGN(GE81))+GC81*POWER(MUslave,SIGN(FX81))*POWER(KLslave,SIGN(FY81))*POWER(INslave,SIGN(FZ81))*POWER(CHslave,SIGN(GA81))*POWER(FFslave,SIGN(GB81))*POWER(KOslave,SIGN(GD81))*POWER(KKslave,SIGN(GE81))+GD81*POWER(MUslave,SIGN(FX81))*POWER(KLslave,SIGN(FY81))*POWER(INslave,SIGN(FZ81))*POWER(CHslave,SIGN(GA81))*POWER(FFslave,SIGN(GB81))*POWER(GEslave_GE,SIGN(GC81))*POWER(KKslave,SIGN(GE81))+GE81*POWER(MUslave,SIGN(FX81))*POWER(KLslave,SIGN(FY81))*POWER(INslave,SIGN(FZ81))*POWER(CHslave,SIGN(GA81))*POWER(FFslave,SIGN(GB81))*POWER(GEslave_GE,SIGN(GC81))*POWER(KOslave,SIGN(GD81))</f>
        <v>2304</v>
      </c>
      <c r="GJ81" s="234">
        <f>FY81*FZ81*FFslave+FY81*INslave*GB81+KLslave*FZ81*GB81</f>
        <v>3456</v>
      </c>
      <c r="GK81" s="224">
        <f t="shared" ref="GK81:GK96" si="760">IFERROR(FX81^SIGN(FX81),1)*IFERROR(FY81^SIGN(FY81),1)*IFERROR(FZ81^SIGN(FZ81),1)*IFERROR(GA81^SIGN(GA81),1)*IFERROR(GB81^SIGN(GB81),1)*IFERROR(GC81^SIGN(GC81),1)*IFERROR(GD81^SIGN(GD81),1)*IFERROR(GE81^SIGN(GE81),1)</f>
        <v>1728</v>
      </c>
      <c r="GL81" s="242">
        <f t="shared" ref="GL81:GL96" si="761">SUM(GI81:GK81)</f>
        <v>7488</v>
      </c>
      <c r="GM81" s="222">
        <f t="shared" ref="GM81:GM96" si="762">GF81*GI81/GL81</f>
        <v>3.6923076923076925</v>
      </c>
      <c r="GN81" s="223">
        <f t="shared" ref="GN81:GN96" si="763">GG81*GJ81/GL81</f>
        <v>11.076923076923077</v>
      </c>
      <c r="GO81" s="243">
        <f t="shared" ref="GO81:GO96" si="764">GH81*GK81/GL81</f>
        <v>8.3076923076923084</v>
      </c>
      <c r="GP81" s="243">
        <f t="shared" ref="GP81:GP96" si="765">SUM(GM81:GO81)</f>
        <v>23.07692307692308</v>
      </c>
      <c r="GQ81" s="252">
        <f t="shared" si="666"/>
        <v>0</v>
      </c>
      <c r="GR81" s="309">
        <f t="shared" ref="GR81:GR96" si="766">GP81-GQ81</f>
        <v>23.07692307692308</v>
      </c>
      <c r="GS81" s="218">
        <f>IF(GP81&lt;=0,3,0)+IF(GP81&gt;0,GP81+1,0)*3+IF(GP81&gt;12,GP81-12,0)*3+IF(GP81&gt;13,GP81-13,0)*3+IF(GP81&gt;14,GP81-14,0)*3+IF(GP81&gt;15,GP81-15,0)*3+IF(GP81&gt;16,GP81-16,0)*3+IF(GP81&gt;17,GP81-17,0)*3+IF(GP81&gt;18,GP81-18,0)*3+IF(GP81&gt;19,GP81-19,0)*3+IF(GP81&gt;20,GP81-20,0)*3</f>
        <v>263.30769230769232</v>
      </c>
      <c r="GT81" s="242">
        <f>IF(GQ81&lt;=0,3,0)+IF(GQ81&gt;0,GQ81+1,0)*3+IF(GQ81&gt;12,GQ81-12,0)*3+IF(GQ81&gt;13,GQ81-13,0)*3+IF(GQ81&gt;14,GQ81-14,0)*3+IF(GQ81&gt;15,GQ81-15,0)*3+IF(GQ81&gt;16,GQ81-16,0)*3+IF(GQ81&gt;17,GQ81-17,0)*3+IF(GQ81&gt;18,GQ81-18,0)*3+IF(GQ81&gt;19,GQ81-19,0)*3+IF(GQ81&gt;20,GQ81-20,0)*3</f>
        <v>3</v>
      </c>
      <c r="GU81" s="243">
        <f t="shared" ref="GU81:GU96" si="767">IF((GS81-GT81)&gt;0,GS81-GT81,0)</f>
        <v>260.30769230769232</v>
      </c>
      <c r="GV81" s="218">
        <f t="shared" ref="GV81:GV96" si="768">IF((GT81-GS81)&gt;0,GT81-GS81,0)</f>
        <v>0</v>
      </c>
      <c r="GX81" s="303" t="s">
        <v>183</v>
      </c>
      <c r="GY81" s="218" t="s">
        <v>170</v>
      </c>
      <c r="GZ81" s="243" t="s">
        <v>135</v>
      </c>
      <c r="HA81" s="237"/>
      <c r="HB81" s="234">
        <f>Konvention_1slave-KLslave</f>
        <v>12</v>
      </c>
      <c r="HC81" s="234">
        <f t="shared" si="676"/>
        <v>12</v>
      </c>
      <c r="HD81" s="234"/>
      <c r="HE81" s="234">
        <f>Konvention_1slave-FFslave</f>
        <v>12</v>
      </c>
      <c r="HF81" s="234"/>
      <c r="HG81" s="234"/>
      <c r="HH81" s="224"/>
      <c r="HI81" s="222">
        <f t="shared" ref="HI81:HI96" si="769">(HA81+HB81+HC81+HD81+HE81+HF81+HG81+HH81)/3</f>
        <v>12</v>
      </c>
      <c r="HJ81" s="223">
        <f t="shared" ref="HJ81:HJ96" si="770">2*HI81</f>
        <v>24</v>
      </c>
      <c r="HK81" s="224">
        <f t="shared" ref="HK81:HK96" si="771">3*HI81</f>
        <v>36</v>
      </c>
      <c r="HL81" s="237">
        <f t="shared" ref="HL81:HL98" si="772">HA81*POWER(KLslave,SIGN(HB81))*POWER(INslave,SIGN(HC81))*POWER(CHslave,SIGN(HD81))*POWER(FFslave,SIGN(HE81))*POWER(GEslave,SIGN(HF81))*POWER(KOslave_KO,SIGN(HG81))*POWER(KKslave,SIGN(HH81))+HB81*POWER(MUslave,SIGN(HA81))*POWER(INslave,SIGN(HC81))*POWER(CHslave,SIGN(HD81))*POWER(FFslave,SIGN(HE81))*POWER(GEslave,SIGN(HF81))*POWER(KOslave_KO,SIGN(HG81))*POWER(KKslave,SIGN(HH81))+HC81*POWER(MUslave,SIGN(HA81))*POWER(KLslave,SIGN(HB81))*POWER(CHslave,SIGN(HD81))*POWER(FFslave,SIGN(HE81))*POWER(GEslave,SIGN(HF81))*POWER(KOslave_KO,SIGN(HG81))*POWER(KKslave,SIGN(HH81))+HD81*POWER(MUslave,SIGN(HA81))*POWER(KLslave,SIGN(HB81))*POWER(INslave,SIGN(HC81))*POWER(FFslave,SIGN(HE81))*POWER(GEslave,SIGN(HF81))*POWER(KOslave_KO,SIGN(HG81))*POWER(KKslave,SIGN(HH81))+HE81*POWER(MUslave,SIGN(HA81))*POWER(KLslave,SIGN(HB81))*POWER(INslave,SIGN(HC81))*POWER(CHslave,SIGN(HD81))*POWER(GEslave,SIGN(HF81))*POWER(KOslave_KO,SIGN(HG81))*POWER(KKslave,SIGN(HH81))+HF81*POWER(MUslave,SIGN(HA81))*POWER(KLslave,SIGN(HB81))*POWER(INslave,SIGN(HC81))*POWER(CHslave,SIGN(HD81))*POWER(FFslave,SIGN(HE81))*POWER(KOslave_KO,SIGN(HG81))*POWER(KKslave,SIGN(HH81))+HG81*POWER(MUslave,SIGN(HA81))*POWER(KLslave,SIGN(HB81))*POWER(INslave,SIGN(HC81))*POWER(CHslave,SIGN(HD81))*POWER(FFslave,SIGN(HE81))*POWER(GEslave,SIGN(HF81))*POWER(KKslave,SIGN(HH81))+HH81*POWER(MUslave,SIGN(HA81))*POWER(KLslave,SIGN(HB81))*POWER(INslave,SIGN(HC81))*POWER(CHslave,SIGN(HD81))*POWER(FFslave,SIGN(HE81))*POWER(GEslave,SIGN(HF81))*POWER(KOslave_KO,SIGN(HG81))</f>
        <v>2304</v>
      </c>
      <c r="HM81" s="234">
        <f>HB81*HC81*FFslave+HB81*INslave*HE81+KLslave*HC81*HE81</f>
        <v>3456</v>
      </c>
      <c r="HN81" s="224">
        <f t="shared" ref="HN81:HN96" si="773">IFERROR(HA81^SIGN(HA81),1)*IFERROR(HB81^SIGN(HB81),1)*IFERROR(HC81^SIGN(HC81),1)*IFERROR(HD81^SIGN(HD81),1)*IFERROR(HE81^SIGN(HE81),1)*IFERROR(HF81^SIGN(HF81),1)*IFERROR(HG81^SIGN(HG81),1)*IFERROR(HH81^SIGN(HH81),1)</f>
        <v>1728</v>
      </c>
      <c r="HO81" s="242">
        <f t="shared" ref="HO81:HO96" si="774">SUM(HL81:HN81)</f>
        <v>7488</v>
      </c>
      <c r="HP81" s="222">
        <f t="shared" ref="HP81:HP96" si="775">HI81*HL81/HO81</f>
        <v>3.6923076923076925</v>
      </c>
      <c r="HQ81" s="223">
        <f t="shared" ref="HQ81:HQ96" si="776">HJ81*HM81/HO81</f>
        <v>11.076923076923077</v>
      </c>
      <c r="HR81" s="243">
        <f t="shared" ref="HR81:HR96" si="777">HK81*HN81/HO81</f>
        <v>8.3076923076923084</v>
      </c>
      <c r="HS81" s="243">
        <f t="shared" ref="HS81:HS96" si="778">SUM(HP81:HR81)</f>
        <v>23.07692307692308</v>
      </c>
      <c r="HT81" s="252">
        <f t="shared" si="667"/>
        <v>0</v>
      </c>
      <c r="HU81" s="309">
        <f t="shared" ref="HU81:HU96" si="779">HS81-HT81</f>
        <v>23.07692307692308</v>
      </c>
      <c r="HV81" s="218">
        <f>IF(HS81&lt;=0,3,0)+IF(HS81&gt;0,HS81+1,0)*3+IF(HS81&gt;12,HS81-12,0)*3+IF(HS81&gt;13,HS81-13,0)*3+IF(HS81&gt;14,HS81-14,0)*3+IF(HS81&gt;15,HS81-15,0)*3+IF(HS81&gt;16,HS81-16,0)*3+IF(HS81&gt;17,HS81-17,0)*3+IF(HS81&gt;18,HS81-18,0)*3+IF(HS81&gt;19,HS81-19,0)*3+IF(HS81&gt;20,HS81-20,0)*3</f>
        <v>263.30769230769232</v>
      </c>
      <c r="HW81" s="242">
        <f>IF(HT81&lt;=0,3,0)+IF(HT81&gt;0,HT81+1,0)*3+IF(HT81&gt;12,HT81-12,0)*3+IF(HT81&gt;13,HT81-13,0)*3+IF(HT81&gt;14,HT81-14,0)*3+IF(HT81&gt;15,HT81-15,0)*3+IF(HT81&gt;16,HT81-16,0)*3+IF(HT81&gt;17,HT81-17,0)*3+IF(HT81&gt;18,HT81-18,0)*3+IF(HT81&gt;19,HT81-19,0)*3+IF(HT81&gt;20,HT81-20,0)*3</f>
        <v>3</v>
      </c>
      <c r="HX81" s="243">
        <f t="shared" ref="HX81:HX96" si="780">IF((HV81-HW81)&gt;0,HV81-HW81,0)</f>
        <v>260.30769230769232</v>
      </c>
      <c r="HY81" s="218">
        <f t="shared" ref="HY81:HY96" si="781">IF((HW81-HV81)&gt;0,HW81-HV81,0)</f>
        <v>0</v>
      </c>
      <c r="IA81" s="303" t="s">
        <v>183</v>
      </c>
      <c r="IB81" s="218" t="s">
        <v>170</v>
      </c>
      <c r="IC81" s="243" t="s">
        <v>135</v>
      </c>
      <c r="ID81" s="237"/>
      <c r="IE81" s="234">
        <f>Konvention_1slave-KLslave</f>
        <v>12</v>
      </c>
      <c r="IF81" s="234">
        <f t="shared" si="677"/>
        <v>12</v>
      </c>
      <c r="IG81" s="234"/>
      <c r="IH81" s="234">
        <f>Konvention_1slave-FFslave</f>
        <v>12</v>
      </c>
      <c r="II81" s="234"/>
      <c r="IJ81" s="234"/>
      <c r="IK81" s="224"/>
      <c r="IL81" s="222">
        <f t="shared" ref="IL81:IL96" si="782">(ID81+IE81+IF81+IG81+IH81+II81+IJ81+IK81)/3</f>
        <v>12</v>
      </c>
      <c r="IM81" s="223">
        <f t="shared" ref="IM81:IM96" si="783">2*IL81</f>
        <v>24</v>
      </c>
      <c r="IN81" s="224">
        <f t="shared" ref="IN81:IN96" si="784">3*IL81</f>
        <v>36</v>
      </c>
      <c r="IO81" s="237">
        <f t="shared" ref="IO81:IO98" si="785">ID81*POWER(KLslave,SIGN(IE81))*POWER(INslave,SIGN(IF81))*POWER(CHslave,SIGN(IG81))*POWER(FFslave,SIGN(IH81))*POWER(GEslave,SIGN(II81))*POWER(KOslave,SIGN(IJ81))*POWER(KKslave_KK,SIGN(IK81))+IE81*POWER(MUslave,SIGN(ID81))*POWER(INslave,SIGN(IF81))*POWER(CHslave,SIGN(IG81))*POWER(FFslave,SIGN(IH81))*POWER(GEslave,SIGN(II81))*POWER(KOslave,SIGN(IJ81))*POWER(KKslave_KK,SIGN(IK81))+IF81*POWER(MUslave,SIGN(ID81))*POWER(KLslave,SIGN(IE81))*POWER(CHslave,SIGN(IG81))*POWER(FFslave,SIGN(IH81))*POWER(GEslave,SIGN(II81))*POWER(KOslave,SIGN(IJ81))*POWER(KKslave_KK,SIGN(IK81))+IG81*POWER(MUslave,SIGN(ID81))*POWER(KLslave,SIGN(IE81))*POWER(INslave,SIGN(IF81))*POWER(FFslave,SIGN(IH81))*POWER(GEslave,SIGN(II81))*POWER(KOslave,SIGN(IJ81))*POWER(KKslave_KK,SIGN(IK81))+IH81*POWER(MUslave,SIGN(ID81))*POWER(KLslave,SIGN(IE81))*POWER(INslave,SIGN(IF81))*POWER(CHslave,SIGN(IG81))*POWER(GEslave,SIGN(II81))*POWER(KOslave,SIGN(IJ81))*POWER(KKslave_KK,SIGN(IK81))+II81*POWER(MUslave,SIGN(ID81))*POWER(KLslave,SIGN(IE81))*POWER(INslave,SIGN(IF81))*POWER(CHslave,SIGN(IG81))*POWER(FFslave,SIGN(IH81))*POWER(KOslave,SIGN(IJ81))*POWER(KKslave_KK,SIGN(IK81))+IJ81*POWER(MUslave,SIGN(ID81))*POWER(KLslave,SIGN(IE81))*POWER(INslave,SIGN(IF81))*POWER(CHslave,SIGN(IG81))*POWER(FFslave,SIGN(IH81))*POWER(GEslave,SIGN(II81))*POWER(KKslave_KK,SIGN(IK81))+IK81*POWER(MUslave,SIGN(ID81))*POWER(KLslave,SIGN(IE81))*POWER(INslave,SIGN(IF81))*POWER(CHslave,SIGN(IG81))*POWER(FFslave,SIGN(IH81))*POWER(GEslave,SIGN(II81))*POWER(KOslave,SIGN(IJ81))</f>
        <v>2304</v>
      </c>
      <c r="IP81" s="234">
        <f>IE81*IF81*FFslave+IE81*INslave*IH81+KLslave*IF81*IH81</f>
        <v>3456</v>
      </c>
      <c r="IQ81" s="224">
        <f t="shared" ref="IQ81:IQ96" si="786">IFERROR(ID81^SIGN(ID81),1)*IFERROR(IE81^SIGN(IE81),1)*IFERROR(IF81^SIGN(IF81),1)*IFERROR(IG81^SIGN(IG81),1)*IFERROR(IH81^SIGN(IH81),1)*IFERROR(II81^SIGN(II81),1)*IFERROR(IJ81^SIGN(IJ81),1)*IFERROR(IK81^SIGN(IK81),1)</f>
        <v>1728</v>
      </c>
      <c r="IR81" s="242">
        <f t="shared" ref="IR81:IR96" si="787">SUM(IO81:IQ81)</f>
        <v>7488</v>
      </c>
      <c r="IS81" s="222">
        <f t="shared" ref="IS81:IS96" si="788">IL81*IO81/IR81</f>
        <v>3.6923076923076925</v>
      </c>
      <c r="IT81" s="223">
        <f t="shared" ref="IT81:IT96" si="789">IM81*IP81/IR81</f>
        <v>11.076923076923077</v>
      </c>
      <c r="IU81" s="243">
        <f t="shared" ref="IU81:IU96" si="790">IN81*IQ81/IR81</f>
        <v>8.3076923076923084</v>
      </c>
      <c r="IV81" s="243">
        <f t="shared" ref="IV81:IV96" si="791">SUM(IS81:IU81)</f>
        <v>23.07692307692308</v>
      </c>
      <c r="IW81" s="252">
        <f t="shared" si="668"/>
        <v>0</v>
      </c>
      <c r="IX81" s="309">
        <f t="shared" ref="IX81:IX96" si="792">IV81-IW81</f>
        <v>23.07692307692308</v>
      </c>
      <c r="IY81" s="218">
        <f>IF(IV81&lt;=0,3,0)+IF(IV81&gt;0,IV81+1,0)*3+IF(IV81&gt;12,IV81-12,0)*3+IF(IV81&gt;13,IV81-13,0)*3+IF(IV81&gt;14,IV81-14,0)*3+IF(IV81&gt;15,IV81-15,0)*3+IF(IV81&gt;16,IV81-16,0)*3+IF(IV81&gt;17,IV81-17,0)*3+IF(IV81&gt;18,IV81-18,0)*3+IF(IV81&gt;19,IV81-19,0)*3+IF(IV81&gt;20,IV81-20,0)*3</f>
        <v>263.30769230769232</v>
      </c>
      <c r="IZ81" s="242">
        <f>IF(IW81&lt;=0,3,0)+IF(IW81&gt;0,IW81+1,0)*3+IF(IW81&gt;12,IW81-12,0)*3+IF(IW81&gt;13,IW81-13,0)*3+IF(IW81&gt;14,IW81-14,0)*3+IF(IW81&gt;15,IW81-15,0)*3+IF(IW81&gt;16,IW81-16,0)*3+IF(IW81&gt;17,IW81-17,0)*3+IF(IW81&gt;18,IW81-18,0)*3+IF(IW81&gt;19,IW81-19,0)*3+IF(IW81&gt;20,IW81-20,0)*3</f>
        <v>3</v>
      </c>
      <c r="JA81" s="243">
        <f t="shared" ref="JA81:JA96" si="793">IF((IY81-IZ81)&gt;0,IY81-IZ81,0)</f>
        <v>260.30769230769232</v>
      </c>
      <c r="JB81" s="218">
        <f t="shared" ref="JB81:JB96" si="794">IF((IZ81-IY81)&gt;0,IZ81-IY81,0)</f>
        <v>0</v>
      </c>
      <c r="JE81" s="148"/>
    </row>
    <row r="82" spans="2:265" ht="15" hidden="1" customHeight="1" outlineLevel="2">
      <c r="B82" s="148">
        <v>5</v>
      </c>
      <c r="C82" s="303" t="e">
        <f>VLOOKUP(AF82,Attribute!C:T,1,FALSE)</f>
        <v>#N/A</v>
      </c>
      <c r="D82" s="125" t="s">
        <v>170</v>
      </c>
      <c r="E82" s="127" t="s">
        <v>132</v>
      </c>
      <c r="F82" s="114"/>
      <c r="G82" s="113">
        <f>Konvention_1master-KLmaster</f>
        <v>12</v>
      </c>
      <c r="H82" s="113">
        <f t="shared" si="669"/>
        <v>12</v>
      </c>
      <c r="I82" s="113"/>
      <c r="J82" s="113">
        <f>Konvention_1master-FFmaster</f>
        <v>12</v>
      </c>
      <c r="K82" s="113"/>
      <c r="L82" s="113"/>
      <c r="M82" s="119"/>
      <c r="N82" s="222">
        <f t="shared" si="678"/>
        <v>12</v>
      </c>
      <c r="O82" s="223">
        <f t="shared" si="679"/>
        <v>24</v>
      </c>
      <c r="P82" s="224">
        <f t="shared" si="680"/>
        <v>36</v>
      </c>
      <c r="Q82" s="237">
        <f t="shared" si="681"/>
        <v>2304</v>
      </c>
      <c r="R82" s="113">
        <f>G82*H82*FFmaster+G82*INmaster*J82+KLmaster*H82*J82</f>
        <v>3456</v>
      </c>
      <c r="S82" s="224">
        <f t="shared" si="682"/>
        <v>1728</v>
      </c>
      <c r="T82" s="242">
        <f t="shared" si="683"/>
        <v>7488</v>
      </c>
      <c r="U82" s="222">
        <f t="shared" si="684"/>
        <v>3.6923076923076925</v>
      </c>
      <c r="V82" s="223">
        <f t="shared" si="685"/>
        <v>11.076923076923077</v>
      </c>
      <c r="W82" s="243">
        <f t="shared" si="686"/>
        <v>8.3076923076923084</v>
      </c>
      <c r="X82" s="243">
        <f t="shared" si="687"/>
        <v>23.07692307692308</v>
      </c>
      <c r="Y82" s="252">
        <v>0</v>
      </c>
      <c r="Z82" s="198">
        <f t="shared" si="688"/>
        <v>23.07692307692308</v>
      </c>
      <c r="AA82" s="125">
        <f>IF(X82&lt;=0,2,0)+IF(X82&gt;0,X82+1,0)*2+IF(X82&gt;12,X82-12,0)*2+IF(X82&gt;13,X82-13,0)*2+IF(X82&gt;14,X82-14,0)*2+IF(X82&gt;15,X82-15,0)*2+IF(X82&gt;16,X82-16,0)*2+IF(X82&gt;17,X82-17,0)*2+IF(X82&gt;18,X82-18,0)*2+IF(X82&gt;19,X82-19,0)*2+IF(X82&gt;20,X82-20,0)*2</f>
        <v>175.5384615384616</v>
      </c>
      <c r="AB82" s="160">
        <f>IF(Y82&lt;=0,2,0)+IF(Y82&gt;0,Y82+1,0)*2+IF(Y82&gt;12,Y82-12,0)*2+IF(Y82&gt;13,Y82-13,0)*2+IF(Y82&gt;14,Y82-14,0)*2+IF(Y82&gt;15,Y82-15,0)*2+IF(Y82&gt;16,Y82-16,0)*2+IF(Y82&gt;17,Y82-17,0)*2+IF(Y82&gt;18,Y82-18,0)*2+IF(Y82&gt;19,Y82-19,0)*2+IF(Y82&gt;20,Y82-20,0)*2</f>
        <v>2</v>
      </c>
      <c r="AC82" s="127">
        <f t="shared" si="689"/>
        <v>173.5384615384616</v>
      </c>
      <c r="AD82" s="125">
        <f t="shared" si="690"/>
        <v>0</v>
      </c>
      <c r="AF82" s="163" t="s">
        <v>185</v>
      </c>
      <c r="AG82" s="125" t="s">
        <v>170</v>
      </c>
      <c r="AH82" s="127" t="s">
        <v>132</v>
      </c>
      <c r="AI82" s="114"/>
      <c r="AJ82" s="113">
        <f>Konvention_1slave-KLslave</f>
        <v>12</v>
      </c>
      <c r="AK82" s="113">
        <f t="shared" si="670"/>
        <v>12</v>
      </c>
      <c r="AL82" s="113"/>
      <c r="AM82" s="113">
        <f>Konvention_1slave-FFslave</f>
        <v>12</v>
      </c>
      <c r="AN82" s="113"/>
      <c r="AO82" s="113"/>
      <c r="AP82" s="119"/>
      <c r="AQ82" s="89">
        <f t="shared" si="691"/>
        <v>12</v>
      </c>
      <c r="AR82" s="47">
        <f t="shared" si="692"/>
        <v>24</v>
      </c>
      <c r="AS82" s="119">
        <f t="shared" si="693"/>
        <v>36</v>
      </c>
      <c r="AT82" s="114">
        <f t="shared" si="694"/>
        <v>2304</v>
      </c>
      <c r="AU82" s="113">
        <f>AJ82*AK82*FFslave+AJ82*INslave*AM82+KLslave*AK82*AM82</f>
        <v>3456</v>
      </c>
      <c r="AV82" s="119">
        <f t="shared" si="695"/>
        <v>1728</v>
      </c>
      <c r="AW82" s="160">
        <f t="shared" si="696"/>
        <v>7488</v>
      </c>
      <c r="AX82" s="89">
        <f t="shared" si="697"/>
        <v>3.6923076923076925</v>
      </c>
      <c r="AY82" s="47">
        <f t="shared" si="698"/>
        <v>11.076923076923077</v>
      </c>
      <c r="AZ82" s="127">
        <f t="shared" si="699"/>
        <v>8.3076923076923084</v>
      </c>
      <c r="BA82" s="127">
        <f t="shared" si="700"/>
        <v>23.07692307692308</v>
      </c>
      <c r="BB82" s="165">
        <f t="shared" si="661"/>
        <v>0</v>
      </c>
      <c r="BC82" s="198">
        <f t="shared" si="701"/>
        <v>23.07692307692308</v>
      </c>
      <c r="BD82" s="125">
        <f>IF(BA82&lt;=0,2,0)+IF(BA82&gt;0,BA82+1,0)*2+IF(BA82&gt;12,BA82-12,0)*2+IF(BA82&gt;13,BA82-13,0)*2+IF(BA82&gt;14,BA82-14,0)*2+IF(BA82&gt;15,BA82-15,0)*2+IF(BA82&gt;16,BA82-16,0)*2+IF(BA82&gt;17,BA82-17,0)*2+IF(BA82&gt;18,BA82-18,0)*2+IF(BA82&gt;19,BA82-19,0)*2+IF(BA82&gt;20,BA82-20,0)*2</f>
        <v>175.5384615384616</v>
      </c>
      <c r="BE82" s="160">
        <f>IF(BB82&lt;=0,2,0)+IF(BB82&gt;0,BB82+1,0)*2+IF(BB82&gt;12,BB82-12,0)*2+IF(BB82&gt;13,BB82-13,0)*2+IF(BB82&gt;14,BB82-14,0)*2+IF(BB82&gt;15,BB82-15,0)*2+IF(BB82&gt;16,BB82-16,0)*2+IF(BB82&gt;17,BB82-17,0)*2+IF(BB82&gt;18,BB82-18,0)*2+IF(BB82&gt;19,BB82-19,0)*2+IF(BB82&gt;20,BB82-20,0)*2</f>
        <v>2</v>
      </c>
      <c r="BF82" s="243">
        <f t="shared" si="702"/>
        <v>173.5384615384616</v>
      </c>
      <c r="BG82" s="218">
        <f t="shared" si="703"/>
        <v>0</v>
      </c>
      <c r="BI82" s="303" t="s">
        <v>185</v>
      </c>
      <c r="BJ82" s="218" t="s">
        <v>170</v>
      </c>
      <c r="BK82" s="243" t="s">
        <v>132</v>
      </c>
      <c r="BL82" s="237"/>
      <c r="BM82" s="234">
        <f>Konvention_1slave-KLslave_KL</f>
        <v>11</v>
      </c>
      <c r="BN82" s="234">
        <f t="shared" si="671"/>
        <v>12</v>
      </c>
      <c r="BO82" s="234"/>
      <c r="BP82" s="234">
        <f>Konvention_1slave-FFslave</f>
        <v>12</v>
      </c>
      <c r="BQ82" s="234"/>
      <c r="BR82" s="234"/>
      <c r="BS82" s="224"/>
      <c r="BT82" s="222">
        <f t="shared" si="704"/>
        <v>11.666666666666666</v>
      </c>
      <c r="BU82" s="223">
        <f t="shared" si="705"/>
        <v>23.333333333333332</v>
      </c>
      <c r="BV82" s="224">
        <f t="shared" si="706"/>
        <v>35</v>
      </c>
      <c r="BW82" s="237">
        <f t="shared" si="707"/>
        <v>2432</v>
      </c>
      <c r="BX82" s="234">
        <f>BM82*BN82*FFslave+BM82*INslave*BP82+KLslave_KL*BN82*BP82</f>
        <v>3408</v>
      </c>
      <c r="BY82" s="224">
        <f t="shared" si="708"/>
        <v>1584</v>
      </c>
      <c r="BZ82" s="242">
        <f t="shared" si="709"/>
        <v>7424</v>
      </c>
      <c r="CA82" s="222">
        <f t="shared" si="710"/>
        <v>3.8218390804597702</v>
      </c>
      <c r="CB82" s="223">
        <f t="shared" si="711"/>
        <v>10.711206896551724</v>
      </c>
      <c r="CC82" s="243">
        <f t="shared" si="712"/>
        <v>7.4676724137931032</v>
      </c>
      <c r="CD82" s="243">
        <f t="shared" si="713"/>
        <v>22.000718390804597</v>
      </c>
      <c r="CE82" s="252">
        <f t="shared" si="662"/>
        <v>0</v>
      </c>
      <c r="CF82" s="309">
        <f t="shared" si="714"/>
        <v>22.000718390804597</v>
      </c>
      <c r="CG82" s="218">
        <f>IF(CD82&lt;=0,2,0)+IF(CD82&gt;0,CD82+1,0)*2+IF(CD82&gt;12,CD82-12,0)*2+IF(CD82&gt;13,CD82-13,0)*2+IF(CD82&gt;14,CD82-14,0)*2+IF(CD82&gt;15,CD82-15,0)*2+IF(CD82&gt;16,CD82-16,0)*2+IF(CD82&gt;17,CD82-17,0)*2+IF(CD82&gt;18,CD82-18,0)*2+IF(CD82&gt;19,CD82-19,0)*2+IF(CD82&gt;20,CD82-20,0)*2</f>
        <v>154.01436781609189</v>
      </c>
      <c r="CH82" s="242">
        <f>IF(CE82&lt;=0,2,0)+IF(CE82&gt;0,CE82+1,0)*2+IF(CE82&gt;12,CE82-12,0)*2+IF(CE82&gt;13,CE82-13,0)*2+IF(CE82&gt;14,CE82-14,0)*2+IF(CE82&gt;15,CE82-15,0)*2+IF(CE82&gt;16,CE82-16,0)*2+IF(CE82&gt;17,CE82-17,0)*2+IF(CE82&gt;18,CE82-18,0)*2+IF(CE82&gt;19,CE82-19,0)*2+IF(CE82&gt;20,CE82-20,0)*2</f>
        <v>2</v>
      </c>
      <c r="CI82" s="243">
        <f t="shared" si="715"/>
        <v>152.01436781609189</v>
      </c>
      <c r="CJ82" s="218">
        <f t="shared" si="716"/>
        <v>0</v>
      </c>
      <c r="CL82" s="303" t="s">
        <v>185</v>
      </c>
      <c r="CM82" s="218" t="s">
        <v>170</v>
      </c>
      <c r="CN82" s="243" t="s">
        <v>132</v>
      </c>
      <c r="CO82" s="237"/>
      <c r="CP82" s="234">
        <f>Konvention_1slave-KLslave</f>
        <v>12</v>
      </c>
      <c r="CQ82" s="234">
        <f t="shared" si="672"/>
        <v>11</v>
      </c>
      <c r="CR82" s="234"/>
      <c r="CS82" s="234">
        <f>Konvention_1slave-FFslave</f>
        <v>12</v>
      </c>
      <c r="CT82" s="234"/>
      <c r="CU82" s="234"/>
      <c r="CV82" s="224"/>
      <c r="CW82" s="222">
        <f t="shared" si="717"/>
        <v>11.666666666666666</v>
      </c>
      <c r="CX82" s="223">
        <f t="shared" si="718"/>
        <v>23.333333333333332</v>
      </c>
      <c r="CY82" s="224">
        <f t="shared" si="719"/>
        <v>35</v>
      </c>
      <c r="CZ82" s="237">
        <f t="shared" si="720"/>
        <v>2432</v>
      </c>
      <c r="DA82" s="234">
        <f>CP82*CQ82*FFslave+CP82*INslave_IN*CS82+KLslave*CQ82*CS82</f>
        <v>3408</v>
      </c>
      <c r="DB82" s="224">
        <f t="shared" si="721"/>
        <v>1584</v>
      </c>
      <c r="DC82" s="242">
        <f t="shared" si="722"/>
        <v>7424</v>
      </c>
      <c r="DD82" s="222">
        <f t="shared" si="723"/>
        <v>3.8218390804597702</v>
      </c>
      <c r="DE82" s="223">
        <f t="shared" si="724"/>
        <v>10.711206896551724</v>
      </c>
      <c r="DF82" s="243">
        <f t="shared" si="725"/>
        <v>7.4676724137931032</v>
      </c>
      <c r="DG82" s="243">
        <f t="shared" si="726"/>
        <v>22.000718390804597</v>
      </c>
      <c r="DH82" s="252">
        <f t="shared" si="663"/>
        <v>0</v>
      </c>
      <c r="DI82" s="309">
        <f t="shared" si="727"/>
        <v>22.000718390804597</v>
      </c>
      <c r="DJ82" s="218">
        <f>IF(DG82&lt;=0,2,0)+IF(DG82&gt;0,DG82+1,0)*2+IF(DG82&gt;12,DG82-12,0)*2+IF(DG82&gt;13,DG82-13,0)*2+IF(DG82&gt;14,DG82-14,0)*2+IF(DG82&gt;15,DG82-15,0)*2+IF(DG82&gt;16,DG82-16,0)*2+IF(DG82&gt;17,DG82-17,0)*2+IF(DG82&gt;18,DG82-18,0)*2+IF(DG82&gt;19,DG82-19,0)*2+IF(DG82&gt;20,DG82-20,0)*2</f>
        <v>154.01436781609189</v>
      </c>
      <c r="DK82" s="242">
        <f>IF(DH82&lt;=0,2,0)+IF(DH82&gt;0,DH82+1,0)*2+IF(DH82&gt;12,DH82-12,0)*2+IF(DH82&gt;13,DH82-13,0)*2+IF(DH82&gt;14,DH82-14,0)*2+IF(DH82&gt;15,DH82-15,0)*2+IF(DH82&gt;16,DH82-16,0)*2+IF(DH82&gt;17,DH82-17,0)*2+IF(DH82&gt;18,DH82-18,0)*2+IF(DH82&gt;19,DH82-19,0)*2+IF(DH82&gt;20,DH82-20,0)*2</f>
        <v>2</v>
      </c>
      <c r="DL82" s="243">
        <f t="shared" si="728"/>
        <v>152.01436781609189</v>
      </c>
      <c r="DM82" s="218">
        <f t="shared" si="729"/>
        <v>0</v>
      </c>
      <c r="DO82" s="303" t="s">
        <v>185</v>
      </c>
      <c r="DP82" s="218" t="s">
        <v>170</v>
      </c>
      <c r="DQ82" s="243" t="s">
        <v>132</v>
      </c>
      <c r="DR82" s="237"/>
      <c r="DS82" s="234">
        <f>Konvention_1slave-KLslave</f>
        <v>12</v>
      </c>
      <c r="DT82" s="234">
        <f t="shared" si="673"/>
        <v>12</v>
      </c>
      <c r="DU82" s="234"/>
      <c r="DV82" s="234">
        <f>Konvention_1slave-FFslave</f>
        <v>12</v>
      </c>
      <c r="DW82" s="234"/>
      <c r="DX82" s="234"/>
      <c r="DY82" s="224"/>
      <c r="DZ82" s="222">
        <f t="shared" si="730"/>
        <v>12</v>
      </c>
      <c r="EA82" s="223">
        <f t="shared" si="731"/>
        <v>24</v>
      </c>
      <c r="EB82" s="224">
        <f t="shared" si="732"/>
        <v>36</v>
      </c>
      <c r="EC82" s="237">
        <f t="shared" si="733"/>
        <v>2304</v>
      </c>
      <c r="ED82" s="234">
        <f>DS82*DT82*FFslave+DS82*INslave*DV82+KLslave*DT82*DV82</f>
        <v>3456</v>
      </c>
      <c r="EE82" s="224">
        <f t="shared" si="734"/>
        <v>1728</v>
      </c>
      <c r="EF82" s="242">
        <f t="shared" si="735"/>
        <v>7488</v>
      </c>
      <c r="EG82" s="222">
        <f t="shared" si="736"/>
        <v>3.6923076923076925</v>
      </c>
      <c r="EH82" s="223">
        <f t="shared" si="737"/>
        <v>11.076923076923077</v>
      </c>
      <c r="EI82" s="243">
        <f t="shared" si="738"/>
        <v>8.3076923076923084</v>
      </c>
      <c r="EJ82" s="243">
        <f t="shared" si="739"/>
        <v>23.07692307692308</v>
      </c>
      <c r="EK82" s="252">
        <f t="shared" si="664"/>
        <v>0</v>
      </c>
      <c r="EL82" s="309">
        <f t="shared" si="740"/>
        <v>23.07692307692308</v>
      </c>
      <c r="EM82" s="218">
        <f>IF(EJ82&lt;=0,2,0)+IF(EJ82&gt;0,EJ82+1,0)*2+IF(EJ82&gt;12,EJ82-12,0)*2+IF(EJ82&gt;13,EJ82-13,0)*2+IF(EJ82&gt;14,EJ82-14,0)*2+IF(EJ82&gt;15,EJ82-15,0)*2+IF(EJ82&gt;16,EJ82-16,0)*2+IF(EJ82&gt;17,EJ82-17,0)*2+IF(EJ82&gt;18,EJ82-18,0)*2+IF(EJ82&gt;19,EJ82-19,0)*2+IF(EJ82&gt;20,EJ82-20,0)*2</f>
        <v>175.5384615384616</v>
      </c>
      <c r="EN82" s="242">
        <f>IF(EK82&lt;=0,2,0)+IF(EK82&gt;0,EK82+1,0)*2+IF(EK82&gt;12,EK82-12,0)*2+IF(EK82&gt;13,EK82-13,0)*2+IF(EK82&gt;14,EK82-14,0)*2+IF(EK82&gt;15,EK82-15,0)*2+IF(EK82&gt;16,EK82-16,0)*2+IF(EK82&gt;17,EK82-17,0)*2+IF(EK82&gt;18,EK82-18,0)*2+IF(EK82&gt;19,EK82-19,0)*2+IF(EK82&gt;20,EK82-20,0)*2</f>
        <v>2</v>
      </c>
      <c r="EO82" s="243">
        <f t="shared" si="741"/>
        <v>173.5384615384616</v>
      </c>
      <c r="EP82" s="218">
        <f t="shared" si="742"/>
        <v>0</v>
      </c>
      <c r="ER82" s="303" t="s">
        <v>185</v>
      </c>
      <c r="ES82" s="218" t="s">
        <v>170</v>
      </c>
      <c r="ET82" s="243" t="s">
        <v>132</v>
      </c>
      <c r="EU82" s="237"/>
      <c r="EV82" s="234">
        <f>Konvention_1slave-KLslave</f>
        <v>12</v>
      </c>
      <c r="EW82" s="234">
        <f t="shared" si="674"/>
        <v>12</v>
      </c>
      <c r="EX82" s="234"/>
      <c r="EY82" s="234">
        <f>Konvention_1slave-FFslave_FF</f>
        <v>11</v>
      </c>
      <c r="EZ82" s="234"/>
      <c r="FA82" s="234"/>
      <c r="FB82" s="224"/>
      <c r="FC82" s="222">
        <f t="shared" si="743"/>
        <v>11.666666666666666</v>
      </c>
      <c r="FD82" s="223">
        <f t="shared" si="744"/>
        <v>23.333333333333332</v>
      </c>
      <c r="FE82" s="224">
        <f t="shared" si="745"/>
        <v>35</v>
      </c>
      <c r="FF82" s="237">
        <f t="shared" si="746"/>
        <v>2432</v>
      </c>
      <c r="FG82" s="234">
        <f>EV82*EW82*FFslave_FF+EV82*INslave*EY82+KLslave*EW82*EY82</f>
        <v>3408</v>
      </c>
      <c r="FH82" s="224">
        <f t="shared" si="747"/>
        <v>1584</v>
      </c>
      <c r="FI82" s="242">
        <f t="shared" si="748"/>
        <v>7424</v>
      </c>
      <c r="FJ82" s="222">
        <f t="shared" si="749"/>
        <v>3.8218390804597702</v>
      </c>
      <c r="FK82" s="223">
        <f t="shared" si="750"/>
        <v>10.711206896551724</v>
      </c>
      <c r="FL82" s="243">
        <f t="shared" si="751"/>
        <v>7.4676724137931032</v>
      </c>
      <c r="FM82" s="243">
        <f t="shared" si="752"/>
        <v>22.000718390804597</v>
      </c>
      <c r="FN82" s="252">
        <f t="shared" si="665"/>
        <v>0</v>
      </c>
      <c r="FO82" s="309">
        <f t="shared" si="753"/>
        <v>22.000718390804597</v>
      </c>
      <c r="FP82" s="218">
        <f>IF(FM82&lt;=0,2,0)+IF(FM82&gt;0,FM82+1,0)*2+IF(FM82&gt;12,FM82-12,0)*2+IF(FM82&gt;13,FM82-13,0)*2+IF(FM82&gt;14,FM82-14,0)*2+IF(FM82&gt;15,FM82-15,0)*2+IF(FM82&gt;16,FM82-16,0)*2+IF(FM82&gt;17,FM82-17,0)*2+IF(FM82&gt;18,FM82-18,0)*2+IF(FM82&gt;19,FM82-19,0)*2+IF(FM82&gt;20,FM82-20,0)*2</f>
        <v>154.01436781609189</v>
      </c>
      <c r="FQ82" s="242">
        <f>IF(FN82&lt;=0,2,0)+IF(FN82&gt;0,FN82+1,0)*2+IF(FN82&gt;12,FN82-12,0)*2+IF(FN82&gt;13,FN82-13,0)*2+IF(FN82&gt;14,FN82-14,0)*2+IF(FN82&gt;15,FN82-15,0)*2+IF(FN82&gt;16,FN82-16,0)*2+IF(FN82&gt;17,FN82-17,0)*2+IF(FN82&gt;18,FN82-18,0)*2+IF(FN82&gt;19,FN82-19,0)*2+IF(FN82&gt;20,FN82-20,0)*2</f>
        <v>2</v>
      </c>
      <c r="FR82" s="243">
        <f t="shared" si="754"/>
        <v>152.01436781609189</v>
      </c>
      <c r="FS82" s="218">
        <f t="shared" si="755"/>
        <v>0</v>
      </c>
      <c r="FU82" s="303" t="s">
        <v>185</v>
      </c>
      <c r="FV82" s="218" t="s">
        <v>170</v>
      </c>
      <c r="FW82" s="243" t="s">
        <v>132</v>
      </c>
      <c r="FX82" s="237"/>
      <c r="FY82" s="234">
        <f>Konvention_1slave-KLslave</f>
        <v>12</v>
      </c>
      <c r="FZ82" s="234">
        <f t="shared" si="675"/>
        <v>12</v>
      </c>
      <c r="GA82" s="234"/>
      <c r="GB82" s="234">
        <f>Konvention_1slave-FFslave</f>
        <v>12</v>
      </c>
      <c r="GC82" s="234"/>
      <c r="GD82" s="234"/>
      <c r="GE82" s="224"/>
      <c r="GF82" s="222">
        <f t="shared" si="756"/>
        <v>12</v>
      </c>
      <c r="GG82" s="223">
        <f t="shared" si="757"/>
        <v>24</v>
      </c>
      <c r="GH82" s="224">
        <f t="shared" si="758"/>
        <v>36</v>
      </c>
      <c r="GI82" s="237">
        <f t="shared" si="759"/>
        <v>2304</v>
      </c>
      <c r="GJ82" s="234">
        <f>FY82*FZ82*FFslave+FY82*INslave*GB82+KLslave*FZ82*GB82</f>
        <v>3456</v>
      </c>
      <c r="GK82" s="224">
        <f t="shared" si="760"/>
        <v>1728</v>
      </c>
      <c r="GL82" s="242">
        <f t="shared" si="761"/>
        <v>7488</v>
      </c>
      <c r="GM82" s="222">
        <f t="shared" si="762"/>
        <v>3.6923076923076925</v>
      </c>
      <c r="GN82" s="223">
        <f t="shared" si="763"/>
        <v>11.076923076923077</v>
      </c>
      <c r="GO82" s="243">
        <f t="shared" si="764"/>
        <v>8.3076923076923084</v>
      </c>
      <c r="GP82" s="243">
        <f t="shared" si="765"/>
        <v>23.07692307692308</v>
      </c>
      <c r="GQ82" s="252">
        <f t="shared" si="666"/>
        <v>0</v>
      </c>
      <c r="GR82" s="309">
        <f t="shared" si="766"/>
        <v>23.07692307692308</v>
      </c>
      <c r="GS82" s="218">
        <f>IF(GP82&lt;=0,2,0)+IF(GP82&gt;0,GP82+1,0)*2+IF(GP82&gt;12,GP82-12,0)*2+IF(GP82&gt;13,GP82-13,0)*2+IF(GP82&gt;14,GP82-14,0)*2+IF(GP82&gt;15,GP82-15,0)*2+IF(GP82&gt;16,GP82-16,0)*2+IF(GP82&gt;17,GP82-17,0)*2+IF(GP82&gt;18,GP82-18,0)*2+IF(GP82&gt;19,GP82-19,0)*2+IF(GP82&gt;20,GP82-20,0)*2</f>
        <v>175.5384615384616</v>
      </c>
      <c r="GT82" s="242">
        <f>IF(GQ82&lt;=0,2,0)+IF(GQ82&gt;0,GQ82+1,0)*2+IF(GQ82&gt;12,GQ82-12,0)*2+IF(GQ82&gt;13,GQ82-13,0)*2+IF(GQ82&gt;14,GQ82-14,0)*2+IF(GQ82&gt;15,GQ82-15,0)*2+IF(GQ82&gt;16,GQ82-16,0)*2+IF(GQ82&gt;17,GQ82-17,0)*2+IF(GQ82&gt;18,GQ82-18,0)*2+IF(GQ82&gt;19,GQ82-19,0)*2+IF(GQ82&gt;20,GQ82-20,0)*2</f>
        <v>2</v>
      </c>
      <c r="GU82" s="243">
        <f t="shared" si="767"/>
        <v>173.5384615384616</v>
      </c>
      <c r="GV82" s="218">
        <f t="shared" si="768"/>
        <v>0</v>
      </c>
      <c r="GX82" s="303" t="s">
        <v>185</v>
      </c>
      <c r="GY82" s="218" t="s">
        <v>170</v>
      </c>
      <c r="GZ82" s="243" t="s">
        <v>132</v>
      </c>
      <c r="HA82" s="237"/>
      <c r="HB82" s="234">
        <f>Konvention_1slave-KLslave</f>
        <v>12</v>
      </c>
      <c r="HC82" s="234">
        <f t="shared" si="676"/>
        <v>12</v>
      </c>
      <c r="HD82" s="234"/>
      <c r="HE82" s="234">
        <f>Konvention_1slave-FFslave</f>
        <v>12</v>
      </c>
      <c r="HF82" s="234"/>
      <c r="HG82" s="234"/>
      <c r="HH82" s="224"/>
      <c r="HI82" s="222">
        <f t="shared" si="769"/>
        <v>12</v>
      </c>
      <c r="HJ82" s="223">
        <f t="shared" si="770"/>
        <v>24</v>
      </c>
      <c r="HK82" s="224">
        <f t="shared" si="771"/>
        <v>36</v>
      </c>
      <c r="HL82" s="237">
        <f t="shared" si="772"/>
        <v>2304</v>
      </c>
      <c r="HM82" s="234">
        <f>HB82*HC82*FFslave+HB82*INslave*HE82+KLslave*HC82*HE82</f>
        <v>3456</v>
      </c>
      <c r="HN82" s="224">
        <f t="shared" si="773"/>
        <v>1728</v>
      </c>
      <c r="HO82" s="242">
        <f t="shared" si="774"/>
        <v>7488</v>
      </c>
      <c r="HP82" s="222">
        <f t="shared" si="775"/>
        <v>3.6923076923076925</v>
      </c>
      <c r="HQ82" s="223">
        <f t="shared" si="776"/>
        <v>11.076923076923077</v>
      </c>
      <c r="HR82" s="243">
        <f t="shared" si="777"/>
        <v>8.3076923076923084</v>
      </c>
      <c r="HS82" s="243">
        <f t="shared" si="778"/>
        <v>23.07692307692308</v>
      </c>
      <c r="HT82" s="252">
        <f t="shared" si="667"/>
        <v>0</v>
      </c>
      <c r="HU82" s="309">
        <f t="shared" si="779"/>
        <v>23.07692307692308</v>
      </c>
      <c r="HV82" s="218">
        <f>IF(HS82&lt;=0,2,0)+IF(HS82&gt;0,HS82+1,0)*2+IF(HS82&gt;12,HS82-12,0)*2+IF(HS82&gt;13,HS82-13,0)*2+IF(HS82&gt;14,HS82-14,0)*2+IF(HS82&gt;15,HS82-15,0)*2+IF(HS82&gt;16,HS82-16,0)*2+IF(HS82&gt;17,HS82-17,0)*2+IF(HS82&gt;18,HS82-18,0)*2+IF(HS82&gt;19,HS82-19,0)*2+IF(HS82&gt;20,HS82-20,0)*2</f>
        <v>175.5384615384616</v>
      </c>
      <c r="HW82" s="242">
        <f>IF(HT82&lt;=0,2,0)+IF(HT82&gt;0,HT82+1,0)*2+IF(HT82&gt;12,HT82-12,0)*2+IF(HT82&gt;13,HT82-13,0)*2+IF(HT82&gt;14,HT82-14,0)*2+IF(HT82&gt;15,HT82-15,0)*2+IF(HT82&gt;16,HT82-16,0)*2+IF(HT82&gt;17,HT82-17,0)*2+IF(HT82&gt;18,HT82-18,0)*2+IF(HT82&gt;19,HT82-19,0)*2+IF(HT82&gt;20,HT82-20,0)*2</f>
        <v>2</v>
      </c>
      <c r="HX82" s="243">
        <f t="shared" si="780"/>
        <v>173.5384615384616</v>
      </c>
      <c r="HY82" s="218">
        <f t="shared" si="781"/>
        <v>0</v>
      </c>
      <c r="IA82" s="303" t="s">
        <v>185</v>
      </c>
      <c r="IB82" s="218" t="s">
        <v>170</v>
      </c>
      <c r="IC82" s="243" t="s">
        <v>132</v>
      </c>
      <c r="ID82" s="237"/>
      <c r="IE82" s="234">
        <f>Konvention_1slave-KLslave</f>
        <v>12</v>
      </c>
      <c r="IF82" s="234">
        <f t="shared" si="677"/>
        <v>12</v>
      </c>
      <c r="IG82" s="234"/>
      <c r="IH82" s="234">
        <f>Konvention_1slave-FFslave</f>
        <v>12</v>
      </c>
      <c r="II82" s="234"/>
      <c r="IJ82" s="234"/>
      <c r="IK82" s="224"/>
      <c r="IL82" s="222">
        <f t="shared" si="782"/>
        <v>12</v>
      </c>
      <c r="IM82" s="223">
        <f t="shared" si="783"/>
        <v>24</v>
      </c>
      <c r="IN82" s="224">
        <f t="shared" si="784"/>
        <v>36</v>
      </c>
      <c r="IO82" s="237">
        <f t="shared" si="785"/>
        <v>2304</v>
      </c>
      <c r="IP82" s="234">
        <f>IE82*IF82*FFslave+IE82*INslave*IH82+KLslave*IF82*IH82</f>
        <v>3456</v>
      </c>
      <c r="IQ82" s="224">
        <f t="shared" si="786"/>
        <v>1728</v>
      </c>
      <c r="IR82" s="242">
        <f t="shared" si="787"/>
        <v>7488</v>
      </c>
      <c r="IS82" s="222">
        <f t="shared" si="788"/>
        <v>3.6923076923076925</v>
      </c>
      <c r="IT82" s="223">
        <f t="shared" si="789"/>
        <v>11.076923076923077</v>
      </c>
      <c r="IU82" s="243">
        <f t="shared" si="790"/>
        <v>8.3076923076923084</v>
      </c>
      <c r="IV82" s="243">
        <f t="shared" si="791"/>
        <v>23.07692307692308</v>
      </c>
      <c r="IW82" s="252">
        <f t="shared" si="668"/>
        <v>0</v>
      </c>
      <c r="IX82" s="309">
        <f t="shared" si="792"/>
        <v>23.07692307692308</v>
      </c>
      <c r="IY82" s="218">
        <f>IF(IV82&lt;=0,2,0)+IF(IV82&gt;0,IV82+1,0)*2+IF(IV82&gt;12,IV82-12,0)*2+IF(IV82&gt;13,IV82-13,0)*2+IF(IV82&gt;14,IV82-14,0)*2+IF(IV82&gt;15,IV82-15,0)*2+IF(IV82&gt;16,IV82-16,0)*2+IF(IV82&gt;17,IV82-17,0)*2+IF(IV82&gt;18,IV82-18,0)*2+IF(IV82&gt;19,IV82-19,0)*2+IF(IV82&gt;20,IV82-20,0)*2</f>
        <v>175.5384615384616</v>
      </c>
      <c r="IZ82" s="242">
        <f>IF(IW82&lt;=0,2,0)+IF(IW82&gt;0,IW82+1,0)*2+IF(IW82&gt;12,IW82-12,0)*2+IF(IW82&gt;13,IW82-13,0)*2+IF(IW82&gt;14,IW82-14,0)*2+IF(IW82&gt;15,IW82-15,0)*2+IF(IW82&gt;16,IW82-16,0)*2+IF(IW82&gt;17,IW82-17,0)*2+IF(IW82&gt;18,IW82-18,0)*2+IF(IW82&gt;19,IW82-19,0)*2+IF(IW82&gt;20,IW82-20,0)*2</f>
        <v>2</v>
      </c>
      <c r="JA82" s="243">
        <f t="shared" si="793"/>
        <v>173.5384615384616</v>
      </c>
      <c r="JB82" s="218">
        <f t="shared" si="794"/>
        <v>0</v>
      </c>
      <c r="JE82" s="148"/>
    </row>
    <row r="83" spans="2:265" ht="15" hidden="1" customHeight="1" outlineLevel="2">
      <c r="B83" s="148">
        <v>6</v>
      </c>
      <c r="C83" s="303" t="e">
        <f>VLOOKUP(AF83,Attribute!C:T,1,FALSE)</f>
        <v>#N/A</v>
      </c>
      <c r="D83" s="86" t="s">
        <v>86</v>
      </c>
      <c r="E83" s="127" t="s">
        <v>132</v>
      </c>
      <c r="F83" s="114">
        <f t="shared" ref="F83:F91" si="795">Konvention_1master-MUmaster</f>
        <v>12</v>
      </c>
      <c r="G83" s="113"/>
      <c r="H83" s="113">
        <f t="shared" si="669"/>
        <v>12</v>
      </c>
      <c r="I83" s="113">
        <f>Konvention_1master-CHmaster</f>
        <v>12</v>
      </c>
      <c r="J83" s="113"/>
      <c r="K83" s="113"/>
      <c r="L83" s="113"/>
      <c r="M83" s="119"/>
      <c r="N83" s="222">
        <f t="shared" si="678"/>
        <v>12</v>
      </c>
      <c r="O83" s="223">
        <f t="shared" si="679"/>
        <v>24</v>
      </c>
      <c r="P83" s="224">
        <f t="shared" si="680"/>
        <v>36</v>
      </c>
      <c r="Q83" s="237">
        <f t="shared" si="681"/>
        <v>2304</v>
      </c>
      <c r="R83" s="113">
        <f>F83*H83*CHmaster+F83*INmaster*I83+MUmaster*H83*I83</f>
        <v>3456</v>
      </c>
      <c r="S83" s="224">
        <f t="shared" si="682"/>
        <v>1728</v>
      </c>
      <c r="T83" s="242">
        <f t="shared" si="683"/>
        <v>7488</v>
      </c>
      <c r="U83" s="222">
        <f t="shared" si="684"/>
        <v>3.6923076923076925</v>
      </c>
      <c r="V83" s="223">
        <f t="shared" si="685"/>
        <v>11.076923076923077</v>
      </c>
      <c r="W83" s="243">
        <f t="shared" si="686"/>
        <v>8.3076923076923084</v>
      </c>
      <c r="X83" s="243">
        <f t="shared" si="687"/>
        <v>23.07692307692308</v>
      </c>
      <c r="Y83" s="252">
        <v>0</v>
      </c>
      <c r="Z83" s="198">
        <f t="shared" si="688"/>
        <v>23.07692307692308</v>
      </c>
      <c r="AA83" s="125">
        <f>IF(X83&lt;=0,2,0)+IF(X83&gt;0,X83+1,0)*2+IF(X83&gt;12,X83-12,0)*2+IF(X83&gt;13,X83-13,0)*2+IF(X83&gt;14,X83-14,0)*2+IF(X83&gt;15,X83-15,0)*2+IF(X83&gt;16,X83-16,0)*2+IF(X83&gt;17,X83-17,0)*2+IF(X83&gt;18,X83-18,0)*2+IF(X83&gt;19,X83-19,0)*2+IF(X83&gt;20,X83-20,0)*2</f>
        <v>175.5384615384616</v>
      </c>
      <c r="AB83" s="160">
        <f>IF(Y83&lt;=0,2,0)+IF(Y83&gt;0,Y83+1,0)*2+IF(Y83&gt;12,Y83-12,0)*2+IF(Y83&gt;13,Y83-13,0)*2+IF(Y83&gt;14,Y83-14,0)*2+IF(Y83&gt;15,Y83-15,0)*2+IF(Y83&gt;16,Y83-16,0)*2+IF(Y83&gt;17,Y83-17,0)*2+IF(Y83&gt;18,Y83-18,0)*2+IF(Y83&gt;19,Y83-19,0)*2+IF(Y83&gt;20,Y83-20,0)*2</f>
        <v>2</v>
      </c>
      <c r="AC83" s="127">
        <f t="shared" si="689"/>
        <v>173.5384615384616</v>
      </c>
      <c r="AD83" s="125">
        <f t="shared" si="690"/>
        <v>0</v>
      </c>
      <c r="AF83" s="163" t="s">
        <v>186</v>
      </c>
      <c r="AG83" s="125" t="s">
        <v>86</v>
      </c>
      <c r="AH83" s="127" t="s">
        <v>132</v>
      </c>
      <c r="AI83" s="114">
        <f t="shared" ref="AI83:AI89" si="796">Konvention_1slave-MUslave_MU</f>
        <v>11</v>
      </c>
      <c r="AJ83" s="113"/>
      <c r="AK83" s="113">
        <f t="shared" si="670"/>
        <v>12</v>
      </c>
      <c r="AL83" s="113">
        <f>Konvention_1slave-CHslave</f>
        <v>12</v>
      </c>
      <c r="AM83" s="113"/>
      <c r="AN83" s="113"/>
      <c r="AO83" s="113"/>
      <c r="AP83" s="119"/>
      <c r="AQ83" s="89">
        <f t="shared" si="691"/>
        <v>11.666666666666666</v>
      </c>
      <c r="AR83" s="47">
        <f t="shared" si="692"/>
        <v>23.333333333333332</v>
      </c>
      <c r="AS83" s="119">
        <f t="shared" si="693"/>
        <v>35</v>
      </c>
      <c r="AT83" s="114">
        <f t="shared" si="694"/>
        <v>2432</v>
      </c>
      <c r="AU83" s="113">
        <f>AI83*AK83*CHslave+AI83*INslave*AL83+MUslave_MU*AK83*AL83</f>
        <v>3408</v>
      </c>
      <c r="AV83" s="119">
        <f t="shared" si="695"/>
        <v>1584</v>
      </c>
      <c r="AW83" s="160">
        <f t="shared" si="696"/>
        <v>7424</v>
      </c>
      <c r="AX83" s="89">
        <f t="shared" si="697"/>
        <v>3.8218390804597702</v>
      </c>
      <c r="AY83" s="47">
        <f t="shared" si="698"/>
        <v>10.711206896551724</v>
      </c>
      <c r="AZ83" s="127">
        <f t="shared" si="699"/>
        <v>7.4676724137931032</v>
      </c>
      <c r="BA83" s="127">
        <f t="shared" si="700"/>
        <v>22.000718390804597</v>
      </c>
      <c r="BB83" s="165">
        <f t="shared" si="661"/>
        <v>0</v>
      </c>
      <c r="BC83" s="198">
        <f t="shared" si="701"/>
        <v>22.000718390804597</v>
      </c>
      <c r="BD83" s="125">
        <f>IF(BA83&lt;=0,2,0)+IF(BA83&gt;0,BA83+1,0)*2+IF(BA83&gt;12,BA83-12,0)*2+IF(BA83&gt;13,BA83-13,0)*2+IF(BA83&gt;14,BA83-14,0)*2+IF(BA83&gt;15,BA83-15,0)*2+IF(BA83&gt;16,BA83-16,0)*2+IF(BA83&gt;17,BA83-17,0)*2+IF(BA83&gt;18,BA83-18,0)*2+IF(BA83&gt;19,BA83-19,0)*2+IF(BA83&gt;20,BA83-20,0)*2</f>
        <v>154.01436781609189</v>
      </c>
      <c r="BE83" s="160">
        <f>IF(BB83&lt;=0,2,0)+IF(BB83&gt;0,BB83+1,0)*2+IF(BB83&gt;12,BB83-12,0)*2+IF(BB83&gt;13,BB83-13,0)*2+IF(BB83&gt;14,BB83-14,0)*2+IF(BB83&gt;15,BB83-15,0)*2+IF(BB83&gt;16,BB83-16,0)*2+IF(BB83&gt;17,BB83-17,0)*2+IF(BB83&gt;18,BB83-18,0)*2+IF(BB83&gt;19,BB83-19,0)*2+IF(BB83&gt;20,BB83-20,0)*2</f>
        <v>2</v>
      </c>
      <c r="BF83" s="243">
        <f t="shared" si="702"/>
        <v>152.01436781609189</v>
      </c>
      <c r="BG83" s="218">
        <f t="shared" si="703"/>
        <v>0</v>
      </c>
      <c r="BI83" s="303" t="s">
        <v>186</v>
      </c>
      <c r="BJ83" s="218" t="s">
        <v>86</v>
      </c>
      <c r="BK83" s="243" t="s">
        <v>132</v>
      </c>
      <c r="BL83" s="237">
        <f t="shared" ref="BL83:BL89" si="797">Konvention_1slave-MUslave</f>
        <v>12</v>
      </c>
      <c r="BM83" s="234"/>
      <c r="BN83" s="234">
        <f t="shared" si="671"/>
        <v>12</v>
      </c>
      <c r="BO83" s="234">
        <f>Konvention_1slave-CHslave</f>
        <v>12</v>
      </c>
      <c r="BP83" s="234"/>
      <c r="BQ83" s="234"/>
      <c r="BR83" s="234"/>
      <c r="BS83" s="224"/>
      <c r="BT83" s="222">
        <f t="shared" si="704"/>
        <v>12</v>
      </c>
      <c r="BU83" s="223">
        <f t="shared" si="705"/>
        <v>24</v>
      </c>
      <c r="BV83" s="224">
        <f t="shared" si="706"/>
        <v>36</v>
      </c>
      <c r="BW83" s="237">
        <f t="shared" si="707"/>
        <v>2304</v>
      </c>
      <c r="BX83" s="234">
        <f>BL83*BN83*CHslave+BL83*INslave*BO83+MUslave*BN83*BO83</f>
        <v>3456</v>
      </c>
      <c r="BY83" s="224">
        <f t="shared" si="708"/>
        <v>1728</v>
      </c>
      <c r="BZ83" s="242">
        <f t="shared" si="709"/>
        <v>7488</v>
      </c>
      <c r="CA83" s="222">
        <f t="shared" si="710"/>
        <v>3.6923076923076925</v>
      </c>
      <c r="CB83" s="223">
        <f t="shared" si="711"/>
        <v>11.076923076923077</v>
      </c>
      <c r="CC83" s="243">
        <f t="shared" si="712"/>
        <v>8.3076923076923084</v>
      </c>
      <c r="CD83" s="243">
        <f t="shared" si="713"/>
        <v>23.07692307692308</v>
      </c>
      <c r="CE83" s="252">
        <f t="shared" si="662"/>
        <v>0</v>
      </c>
      <c r="CF83" s="309">
        <f t="shared" si="714"/>
        <v>23.07692307692308</v>
      </c>
      <c r="CG83" s="218">
        <f>IF(CD83&lt;=0,2,0)+IF(CD83&gt;0,CD83+1,0)*2+IF(CD83&gt;12,CD83-12,0)*2+IF(CD83&gt;13,CD83-13,0)*2+IF(CD83&gt;14,CD83-14,0)*2+IF(CD83&gt;15,CD83-15,0)*2+IF(CD83&gt;16,CD83-16,0)*2+IF(CD83&gt;17,CD83-17,0)*2+IF(CD83&gt;18,CD83-18,0)*2+IF(CD83&gt;19,CD83-19,0)*2+IF(CD83&gt;20,CD83-20,0)*2</f>
        <v>175.5384615384616</v>
      </c>
      <c r="CH83" s="242">
        <f>IF(CE83&lt;=0,2,0)+IF(CE83&gt;0,CE83+1,0)*2+IF(CE83&gt;12,CE83-12,0)*2+IF(CE83&gt;13,CE83-13,0)*2+IF(CE83&gt;14,CE83-14,0)*2+IF(CE83&gt;15,CE83-15,0)*2+IF(CE83&gt;16,CE83-16,0)*2+IF(CE83&gt;17,CE83-17,0)*2+IF(CE83&gt;18,CE83-18,0)*2+IF(CE83&gt;19,CE83-19,0)*2+IF(CE83&gt;20,CE83-20,0)*2</f>
        <v>2</v>
      </c>
      <c r="CI83" s="243">
        <f t="shared" si="715"/>
        <v>173.5384615384616</v>
      </c>
      <c r="CJ83" s="218">
        <f t="shared" si="716"/>
        <v>0</v>
      </c>
      <c r="CL83" s="303" t="s">
        <v>186</v>
      </c>
      <c r="CM83" s="218" t="s">
        <v>86</v>
      </c>
      <c r="CN83" s="243" t="s">
        <v>132</v>
      </c>
      <c r="CO83" s="237">
        <f t="shared" ref="CO83:CO89" si="798">Konvention_1slave-MUslave</f>
        <v>12</v>
      </c>
      <c r="CP83" s="234"/>
      <c r="CQ83" s="234">
        <f t="shared" si="672"/>
        <v>11</v>
      </c>
      <c r="CR83" s="234">
        <f>Konvention_1slave-CHslave</f>
        <v>12</v>
      </c>
      <c r="CS83" s="234"/>
      <c r="CT83" s="234"/>
      <c r="CU83" s="234"/>
      <c r="CV83" s="224"/>
      <c r="CW83" s="222">
        <f t="shared" si="717"/>
        <v>11.666666666666666</v>
      </c>
      <c r="CX83" s="223">
        <f t="shared" si="718"/>
        <v>23.333333333333332</v>
      </c>
      <c r="CY83" s="224">
        <f t="shared" si="719"/>
        <v>35</v>
      </c>
      <c r="CZ83" s="237">
        <f t="shared" si="720"/>
        <v>2432</v>
      </c>
      <c r="DA83" s="234">
        <f>CO83*CQ83*CHslave+CO83*INslave_IN*CR83+MUslave*CQ83*CR83</f>
        <v>3408</v>
      </c>
      <c r="DB83" s="224">
        <f t="shared" si="721"/>
        <v>1584</v>
      </c>
      <c r="DC83" s="242">
        <f t="shared" si="722"/>
        <v>7424</v>
      </c>
      <c r="DD83" s="222">
        <f t="shared" si="723"/>
        <v>3.8218390804597702</v>
      </c>
      <c r="DE83" s="223">
        <f t="shared" si="724"/>
        <v>10.711206896551724</v>
      </c>
      <c r="DF83" s="243">
        <f t="shared" si="725"/>
        <v>7.4676724137931032</v>
      </c>
      <c r="DG83" s="243">
        <f t="shared" si="726"/>
        <v>22.000718390804597</v>
      </c>
      <c r="DH83" s="252">
        <f t="shared" si="663"/>
        <v>0</v>
      </c>
      <c r="DI83" s="309">
        <f t="shared" si="727"/>
        <v>22.000718390804597</v>
      </c>
      <c r="DJ83" s="218">
        <f>IF(DG83&lt;=0,2,0)+IF(DG83&gt;0,DG83+1,0)*2+IF(DG83&gt;12,DG83-12,0)*2+IF(DG83&gt;13,DG83-13,0)*2+IF(DG83&gt;14,DG83-14,0)*2+IF(DG83&gt;15,DG83-15,0)*2+IF(DG83&gt;16,DG83-16,0)*2+IF(DG83&gt;17,DG83-17,0)*2+IF(DG83&gt;18,DG83-18,0)*2+IF(DG83&gt;19,DG83-19,0)*2+IF(DG83&gt;20,DG83-20,0)*2</f>
        <v>154.01436781609189</v>
      </c>
      <c r="DK83" s="242">
        <f>IF(DH83&lt;=0,2,0)+IF(DH83&gt;0,DH83+1,0)*2+IF(DH83&gt;12,DH83-12,0)*2+IF(DH83&gt;13,DH83-13,0)*2+IF(DH83&gt;14,DH83-14,0)*2+IF(DH83&gt;15,DH83-15,0)*2+IF(DH83&gt;16,DH83-16,0)*2+IF(DH83&gt;17,DH83-17,0)*2+IF(DH83&gt;18,DH83-18,0)*2+IF(DH83&gt;19,DH83-19,0)*2+IF(DH83&gt;20,DH83-20,0)*2</f>
        <v>2</v>
      </c>
      <c r="DL83" s="243">
        <f t="shared" si="728"/>
        <v>152.01436781609189</v>
      </c>
      <c r="DM83" s="218">
        <f t="shared" si="729"/>
        <v>0</v>
      </c>
      <c r="DO83" s="303" t="s">
        <v>186</v>
      </c>
      <c r="DP83" s="218" t="s">
        <v>86</v>
      </c>
      <c r="DQ83" s="243" t="s">
        <v>132</v>
      </c>
      <c r="DR83" s="237">
        <f t="shared" ref="DR83:DR89" si="799">Konvention_1slave-MUslave</f>
        <v>12</v>
      </c>
      <c r="DS83" s="234"/>
      <c r="DT83" s="234">
        <f t="shared" si="673"/>
        <v>12</v>
      </c>
      <c r="DU83" s="234">
        <f>Konvention_1slave-CHslave_CH</f>
        <v>11</v>
      </c>
      <c r="DV83" s="234"/>
      <c r="DW83" s="234"/>
      <c r="DX83" s="234"/>
      <c r="DY83" s="224"/>
      <c r="DZ83" s="222">
        <f t="shared" si="730"/>
        <v>11.666666666666666</v>
      </c>
      <c r="EA83" s="223">
        <f t="shared" si="731"/>
        <v>23.333333333333332</v>
      </c>
      <c r="EB83" s="224">
        <f t="shared" si="732"/>
        <v>35</v>
      </c>
      <c r="EC83" s="237">
        <f t="shared" si="733"/>
        <v>2432</v>
      </c>
      <c r="ED83" s="234">
        <f>DR83*DT83*CHslave_CH+DR83*INslave*DU83+MUslave*DT83*DU83</f>
        <v>3408</v>
      </c>
      <c r="EE83" s="224">
        <f t="shared" si="734"/>
        <v>1584</v>
      </c>
      <c r="EF83" s="242">
        <f t="shared" si="735"/>
        <v>7424</v>
      </c>
      <c r="EG83" s="222">
        <f t="shared" si="736"/>
        <v>3.8218390804597702</v>
      </c>
      <c r="EH83" s="223">
        <f t="shared" si="737"/>
        <v>10.711206896551724</v>
      </c>
      <c r="EI83" s="243">
        <f t="shared" si="738"/>
        <v>7.4676724137931032</v>
      </c>
      <c r="EJ83" s="243">
        <f t="shared" si="739"/>
        <v>22.000718390804597</v>
      </c>
      <c r="EK83" s="252">
        <f t="shared" si="664"/>
        <v>0</v>
      </c>
      <c r="EL83" s="309">
        <f t="shared" si="740"/>
        <v>22.000718390804597</v>
      </c>
      <c r="EM83" s="218">
        <f>IF(EJ83&lt;=0,2,0)+IF(EJ83&gt;0,EJ83+1,0)*2+IF(EJ83&gt;12,EJ83-12,0)*2+IF(EJ83&gt;13,EJ83-13,0)*2+IF(EJ83&gt;14,EJ83-14,0)*2+IF(EJ83&gt;15,EJ83-15,0)*2+IF(EJ83&gt;16,EJ83-16,0)*2+IF(EJ83&gt;17,EJ83-17,0)*2+IF(EJ83&gt;18,EJ83-18,0)*2+IF(EJ83&gt;19,EJ83-19,0)*2+IF(EJ83&gt;20,EJ83-20,0)*2</f>
        <v>154.01436781609189</v>
      </c>
      <c r="EN83" s="242">
        <f>IF(EK83&lt;=0,2,0)+IF(EK83&gt;0,EK83+1,0)*2+IF(EK83&gt;12,EK83-12,0)*2+IF(EK83&gt;13,EK83-13,0)*2+IF(EK83&gt;14,EK83-14,0)*2+IF(EK83&gt;15,EK83-15,0)*2+IF(EK83&gt;16,EK83-16,0)*2+IF(EK83&gt;17,EK83-17,0)*2+IF(EK83&gt;18,EK83-18,0)*2+IF(EK83&gt;19,EK83-19,0)*2+IF(EK83&gt;20,EK83-20,0)*2</f>
        <v>2</v>
      </c>
      <c r="EO83" s="243">
        <f t="shared" si="741"/>
        <v>152.01436781609189</v>
      </c>
      <c r="EP83" s="218">
        <f t="shared" si="742"/>
        <v>0</v>
      </c>
      <c r="ER83" s="303" t="s">
        <v>186</v>
      </c>
      <c r="ES83" s="218" t="s">
        <v>86</v>
      </c>
      <c r="ET83" s="243" t="s">
        <v>132</v>
      </c>
      <c r="EU83" s="237">
        <f t="shared" ref="EU83:EU89" si="800">Konvention_1slave-MUslave</f>
        <v>12</v>
      </c>
      <c r="EV83" s="234"/>
      <c r="EW83" s="234">
        <f t="shared" si="674"/>
        <v>12</v>
      </c>
      <c r="EX83" s="234">
        <f>Konvention_1slave-CHslave</f>
        <v>12</v>
      </c>
      <c r="EY83" s="234"/>
      <c r="EZ83" s="234"/>
      <c r="FA83" s="234"/>
      <c r="FB83" s="224"/>
      <c r="FC83" s="222">
        <f t="shared" si="743"/>
        <v>12</v>
      </c>
      <c r="FD83" s="223">
        <f t="shared" si="744"/>
        <v>24</v>
      </c>
      <c r="FE83" s="224">
        <f t="shared" si="745"/>
        <v>36</v>
      </c>
      <c r="FF83" s="237">
        <f t="shared" si="746"/>
        <v>2304</v>
      </c>
      <c r="FG83" s="234">
        <f>EU83*EW83*CHslave+EU83*INslave*EX83+MUslave*EW83*EX83</f>
        <v>3456</v>
      </c>
      <c r="FH83" s="224">
        <f t="shared" si="747"/>
        <v>1728</v>
      </c>
      <c r="FI83" s="242">
        <f t="shared" si="748"/>
        <v>7488</v>
      </c>
      <c r="FJ83" s="222">
        <f t="shared" si="749"/>
        <v>3.6923076923076925</v>
      </c>
      <c r="FK83" s="223">
        <f t="shared" si="750"/>
        <v>11.076923076923077</v>
      </c>
      <c r="FL83" s="243">
        <f t="shared" si="751"/>
        <v>8.3076923076923084</v>
      </c>
      <c r="FM83" s="243">
        <f t="shared" si="752"/>
        <v>23.07692307692308</v>
      </c>
      <c r="FN83" s="252">
        <f t="shared" si="665"/>
        <v>0</v>
      </c>
      <c r="FO83" s="309">
        <f t="shared" si="753"/>
        <v>23.07692307692308</v>
      </c>
      <c r="FP83" s="218">
        <f>IF(FM83&lt;=0,2,0)+IF(FM83&gt;0,FM83+1,0)*2+IF(FM83&gt;12,FM83-12,0)*2+IF(FM83&gt;13,FM83-13,0)*2+IF(FM83&gt;14,FM83-14,0)*2+IF(FM83&gt;15,FM83-15,0)*2+IF(FM83&gt;16,FM83-16,0)*2+IF(FM83&gt;17,FM83-17,0)*2+IF(FM83&gt;18,FM83-18,0)*2+IF(FM83&gt;19,FM83-19,0)*2+IF(FM83&gt;20,FM83-20,0)*2</f>
        <v>175.5384615384616</v>
      </c>
      <c r="FQ83" s="242">
        <f>IF(FN83&lt;=0,2,0)+IF(FN83&gt;0,FN83+1,0)*2+IF(FN83&gt;12,FN83-12,0)*2+IF(FN83&gt;13,FN83-13,0)*2+IF(FN83&gt;14,FN83-14,0)*2+IF(FN83&gt;15,FN83-15,0)*2+IF(FN83&gt;16,FN83-16,0)*2+IF(FN83&gt;17,FN83-17,0)*2+IF(FN83&gt;18,FN83-18,0)*2+IF(FN83&gt;19,FN83-19,0)*2+IF(FN83&gt;20,FN83-20,0)*2</f>
        <v>2</v>
      </c>
      <c r="FR83" s="243">
        <f t="shared" si="754"/>
        <v>173.5384615384616</v>
      </c>
      <c r="FS83" s="218">
        <f t="shared" si="755"/>
        <v>0</v>
      </c>
      <c r="FU83" s="303" t="s">
        <v>186</v>
      </c>
      <c r="FV83" s="218" t="s">
        <v>86</v>
      </c>
      <c r="FW83" s="243" t="s">
        <v>132</v>
      </c>
      <c r="FX83" s="237">
        <f t="shared" ref="FX83:FX89" si="801">Konvention_1slave-MUslave</f>
        <v>12</v>
      </c>
      <c r="FY83" s="234"/>
      <c r="FZ83" s="234">
        <f t="shared" si="675"/>
        <v>12</v>
      </c>
      <c r="GA83" s="234">
        <f>Konvention_1slave-CHslave</f>
        <v>12</v>
      </c>
      <c r="GB83" s="234"/>
      <c r="GC83" s="234"/>
      <c r="GD83" s="234"/>
      <c r="GE83" s="224"/>
      <c r="GF83" s="222">
        <f t="shared" si="756"/>
        <v>12</v>
      </c>
      <c r="GG83" s="223">
        <f t="shared" si="757"/>
        <v>24</v>
      </c>
      <c r="GH83" s="224">
        <f t="shared" si="758"/>
        <v>36</v>
      </c>
      <c r="GI83" s="237">
        <f t="shared" si="759"/>
        <v>2304</v>
      </c>
      <c r="GJ83" s="234">
        <f>FX83*FZ83*CHslave+FX83*INslave*GA83+MUslave*FZ83*GA83</f>
        <v>3456</v>
      </c>
      <c r="GK83" s="224">
        <f t="shared" si="760"/>
        <v>1728</v>
      </c>
      <c r="GL83" s="242">
        <f t="shared" si="761"/>
        <v>7488</v>
      </c>
      <c r="GM83" s="222">
        <f t="shared" si="762"/>
        <v>3.6923076923076925</v>
      </c>
      <c r="GN83" s="223">
        <f t="shared" si="763"/>
        <v>11.076923076923077</v>
      </c>
      <c r="GO83" s="243">
        <f t="shared" si="764"/>
        <v>8.3076923076923084</v>
      </c>
      <c r="GP83" s="243">
        <f t="shared" si="765"/>
        <v>23.07692307692308</v>
      </c>
      <c r="GQ83" s="252">
        <f t="shared" si="666"/>
        <v>0</v>
      </c>
      <c r="GR83" s="309">
        <f t="shared" si="766"/>
        <v>23.07692307692308</v>
      </c>
      <c r="GS83" s="218">
        <f>IF(GP83&lt;=0,2,0)+IF(GP83&gt;0,GP83+1,0)*2+IF(GP83&gt;12,GP83-12,0)*2+IF(GP83&gt;13,GP83-13,0)*2+IF(GP83&gt;14,GP83-14,0)*2+IF(GP83&gt;15,GP83-15,0)*2+IF(GP83&gt;16,GP83-16,0)*2+IF(GP83&gt;17,GP83-17,0)*2+IF(GP83&gt;18,GP83-18,0)*2+IF(GP83&gt;19,GP83-19,0)*2+IF(GP83&gt;20,GP83-20,0)*2</f>
        <v>175.5384615384616</v>
      </c>
      <c r="GT83" s="242">
        <f>IF(GQ83&lt;=0,2,0)+IF(GQ83&gt;0,GQ83+1,0)*2+IF(GQ83&gt;12,GQ83-12,0)*2+IF(GQ83&gt;13,GQ83-13,0)*2+IF(GQ83&gt;14,GQ83-14,0)*2+IF(GQ83&gt;15,GQ83-15,0)*2+IF(GQ83&gt;16,GQ83-16,0)*2+IF(GQ83&gt;17,GQ83-17,0)*2+IF(GQ83&gt;18,GQ83-18,0)*2+IF(GQ83&gt;19,GQ83-19,0)*2+IF(GQ83&gt;20,GQ83-20,0)*2</f>
        <v>2</v>
      </c>
      <c r="GU83" s="243">
        <f t="shared" si="767"/>
        <v>173.5384615384616</v>
      </c>
      <c r="GV83" s="218">
        <f t="shared" si="768"/>
        <v>0</v>
      </c>
      <c r="GX83" s="303" t="s">
        <v>186</v>
      </c>
      <c r="GY83" s="218" t="s">
        <v>86</v>
      </c>
      <c r="GZ83" s="243" t="s">
        <v>132</v>
      </c>
      <c r="HA83" s="237">
        <f t="shared" ref="HA83:HA89" si="802">Konvention_1slave-MUslave</f>
        <v>12</v>
      </c>
      <c r="HB83" s="234"/>
      <c r="HC83" s="234">
        <f t="shared" si="676"/>
        <v>12</v>
      </c>
      <c r="HD83" s="234">
        <f>Konvention_1slave-CHslave</f>
        <v>12</v>
      </c>
      <c r="HE83" s="234"/>
      <c r="HF83" s="234"/>
      <c r="HG83" s="234"/>
      <c r="HH83" s="224"/>
      <c r="HI83" s="222">
        <f t="shared" si="769"/>
        <v>12</v>
      </c>
      <c r="HJ83" s="223">
        <f t="shared" si="770"/>
        <v>24</v>
      </c>
      <c r="HK83" s="224">
        <f t="shared" si="771"/>
        <v>36</v>
      </c>
      <c r="HL83" s="237">
        <f t="shared" si="772"/>
        <v>2304</v>
      </c>
      <c r="HM83" s="234">
        <f>HA83*HC83*CHslave+HA83*INslave*HD83+MUslave*HC83*HD83</f>
        <v>3456</v>
      </c>
      <c r="HN83" s="224">
        <f t="shared" si="773"/>
        <v>1728</v>
      </c>
      <c r="HO83" s="242">
        <f t="shared" si="774"/>
        <v>7488</v>
      </c>
      <c r="HP83" s="222">
        <f t="shared" si="775"/>
        <v>3.6923076923076925</v>
      </c>
      <c r="HQ83" s="223">
        <f t="shared" si="776"/>
        <v>11.076923076923077</v>
      </c>
      <c r="HR83" s="243">
        <f t="shared" si="777"/>
        <v>8.3076923076923084</v>
      </c>
      <c r="HS83" s="243">
        <f t="shared" si="778"/>
        <v>23.07692307692308</v>
      </c>
      <c r="HT83" s="252">
        <f t="shared" si="667"/>
        <v>0</v>
      </c>
      <c r="HU83" s="309">
        <f t="shared" si="779"/>
        <v>23.07692307692308</v>
      </c>
      <c r="HV83" s="218">
        <f>IF(HS83&lt;=0,2,0)+IF(HS83&gt;0,HS83+1,0)*2+IF(HS83&gt;12,HS83-12,0)*2+IF(HS83&gt;13,HS83-13,0)*2+IF(HS83&gt;14,HS83-14,0)*2+IF(HS83&gt;15,HS83-15,0)*2+IF(HS83&gt;16,HS83-16,0)*2+IF(HS83&gt;17,HS83-17,0)*2+IF(HS83&gt;18,HS83-18,0)*2+IF(HS83&gt;19,HS83-19,0)*2+IF(HS83&gt;20,HS83-20,0)*2</f>
        <v>175.5384615384616</v>
      </c>
      <c r="HW83" s="242">
        <f>IF(HT83&lt;=0,2,0)+IF(HT83&gt;0,HT83+1,0)*2+IF(HT83&gt;12,HT83-12,0)*2+IF(HT83&gt;13,HT83-13,0)*2+IF(HT83&gt;14,HT83-14,0)*2+IF(HT83&gt;15,HT83-15,0)*2+IF(HT83&gt;16,HT83-16,0)*2+IF(HT83&gt;17,HT83-17,0)*2+IF(HT83&gt;18,HT83-18,0)*2+IF(HT83&gt;19,HT83-19,0)*2+IF(HT83&gt;20,HT83-20,0)*2</f>
        <v>2</v>
      </c>
      <c r="HX83" s="243">
        <f t="shared" si="780"/>
        <v>173.5384615384616</v>
      </c>
      <c r="HY83" s="218">
        <f t="shared" si="781"/>
        <v>0</v>
      </c>
      <c r="IA83" s="303" t="s">
        <v>186</v>
      </c>
      <c r="IB83" s="218" t="s">
        <v>86</v>
      </c>
      <c r="IC83" s="243" t="s">
        <v>132</v>
      </c>
      <c r="ID83" s="237">
        <f t="shared" ref="ID83:ID89" si="803">Konvention_1slave-MUslave</f>
        <v>12</v>
      </c>
      <c r="IE83" s="234"/>
      <c r="IF83" s="234">
        <f t="shared" si="677"/>
        <v>12</v>
      </c>
      <c r="IG83" s="234">
        <f>Konvention_1slave-CHslave</f>
        <v>12</v>
      </c>
      <c r="IH83" s="234"/>
      <c r="II83" s="234"/>
      <c r="IJ83" s="234"/>
      <c r="IK83" s="224"/>
      <c r="IL83" s="222">
        <f t="shared" si="782"/>
        <v>12</v>
      </c>
      <c r="IM83" s="223">
        <f t="shared" si="783"/>
        <v>24</v>
      </c>
      <c r="IN83" s="224">
        <f t="shared" si="784"/>
        <v>36</v>
      </c>
      <c r="IO83" s="237">
        <f t="shared" si="785"/>
        <v>2304</v>
      </c>
      <c r="IP83" s="234">
        <f>ID83*IF83*CHslave+ID83*INslave*IG83+MUslave*IF83*IG83</f>
        <v>3456</v>
      </c>
      <c r="IQ83" s="224">
        <f t="shared" si="786"/>
        <v>1728</v>
      </c>
      <c r="IR83" s="242">
        <f t="shared" si="787"/>
        <v>7488</v>
      </c>
      <c r="IS83" s="222">
        <f t="shared" si="788"/>
        <v>3.6923076923076925</v>
      </c>
      <c r="IT83" s="223">
        <f t="shared" si="789"/>
        <v>11.076923076923077</v>
      </c>
      <c r="IU83" s="243">
        <f t="shared" si="790"/>
        <v>8.3076923076923084</v>
      </c>
      <c r="IV83" s="243">
        <f t="shared" si="791"/>
        <v>23.07692307692308</v>
      </c>
      <c r="IW83" s="252">
        <f t="shared" si="668"/>
        <v>0</v>
      </c>
      <c r="IX83" s="309">
        <f t="shared" si="792"/>
        <v>23.07692307692308</v>
      </c>
      <c r="IY83" s="218">
        <f>IF(IV83&lt;=0,2,0)+IF(IV83&gt;0,IV83+1,0)*2+IF(IV83&gt;12,IV83-12,0)*2+IF(IV83&gt;13,IV83-13,0)*2+IF(IV83&gt;14,IV83-14,0)*2+IF(IV83&gt;15,IV83-15,0)*2+IF(IV83&gt;16,IV83-16,0)*2+IF(IV83&gt;17,IV83-17,0)*2+IF(IV83&gt;18,IV83-18,0)*2+IF(IV83&gt;19,IV83-19,0)*2+IF(IV83&gt;20,IV83-20,0)*2</f>
        <v>175.5384615384616</v>
      </c>
      <c r="IZ83" s="242">
        <f>IF(IW83&lt;=0,2,0)+IF(IW83&gt;0,IW83+1,0)*2+IF(IW83&gt;12,IW83-12,0)*2+IF(IW83&gt;13,IW83-13,0)*2+IF(IW83&gt;14,IW83-14,0)*2+IF(IW83&gt;15,IW83-15,0)*2+IF(IW83&gt;16,IW83-16,0)*2+IF(IW83&gt;17,IW83-17,0)*2+IF(IW83&gt;18,IW83-18,0)*2+IF(IW83&gt;19,IW83-19,0)*2+IF(IW83&gt;20,IW83-20,0)*2</f>
        <v>2</v>
      </c>
      <c r="JA83" s="243">
        <f t="shared" si="793"/>
        <v>173.5384615384616</v>
      </c>
      <c r="JB83" s="218">
        <f t="shared" si="794"/>
        <v>0</v>
      </c>
      <c r="JE83" s="148"/>
    </row>
    <row r="84" spans="2:265" ht="15" hidden="1" customHeight="1" outlineLevel="2">
      <c r="B84" s="148">
        <v>7</v>
      </c>
      <c r="C84" s="303" t="e">
        <f>VLOOKUP(AF84,Attribute!C:T,1,FALSE)</f>
        <v>#N/A</v>
      </c>
      <c r="D84" s="86" t="s">
        <v>95</v>
      </c>
      <c r="E84" s="127" t="s">
        <v>135</v>
      </c>
      <c r="F84" s="114">
        <f t="shared" si="795"/>
        <v>12</v>
      </c>
      <c r="G84" s="113">
        <f>Konvention_1master-KLmaster</f>
        <v>12</v>
      </c>
      <c r="H84" s="113">
        <f t="shared" si="669"/>
        <v>12</v>
      </c>
      <c r="I84" s="113"/>
      <c r="J84" s="113"/>
      <c r="K84" s="113"/>
      <c r="L84" s="113"/>
      <c r="M84" s="119"/>
      <c r="N84" s="222">
        <f t="shared" si="678"/>
        <v>12</v>
      </c>
      <c r="O84" s="223">
        <f t="shared" si="679"/>
        <v>24</v>
      </c>
      <c r="P84" s="224">
        <f t="shared" si="680"/>
        <v>36</v>
      </c>
      <c r="Q84" s="237">
        <f t="shared" si="681"/>
        <v>2304</v>
      </c>
      <c r="R84" s="113">
        <f>F84*G84*INmaster+F84*KLmaster*H84+MUmaster*G84*H84</f>
        <v>3456</v>
      </c>
      <c r="S84" s="224">
        <f t="shared" si="682"/>
        <v>1728</v>
      </c>
      <c r="T84" s="242">
        <f t="shared" si="683"/>
        <v>7488</v>
      </c>
      <c r="U84" s="222">
        <f t="shared" si="684"/>
        <v>3.6923076923076925</v>
      </c>
      <c r="V84" s="223">
        <f t="shared" si="685"/>
        <v>11.076923076923077</v>
      </c>
      <c r="W84" s="243">
        <f t="shared" si="686"/>
        <v>8.3076923076923084</v>
      </c>
      <c r="X84" s="243">
        <f t="shared" si="687"/>
        <v>23.07692307692308</v>
      </c>
      <c r="Y84" s="252">
        <v>0</v>
      </c>
      <c r="Z84" s="198">
        <f t="shared" si="688"/>
        <v>23.07692307692308</v>
      </c>
      <c r="AA84" s="125">
        <f>IF(X84&lt;=0,3,0)+IF(X84&gt;0,X84+1,0)*3+IF(X84&gt;12,X84-12,0)*3+IF(X84&gt;13,X84-13,0)*3+IF(X84&gt;14,X84-14,0)*3+IF(X84&gt;15,X84-15,0)*3+IF(X84&gt;16,X84-16,0)*3+IF(X84&gt;17,X84-17,0)*3+IF(X84&gt;18,X84-18,0)*3+IF(X84&gt;19,X84-19,0)*3+IF(X84&gt;20,X84-20,0)*3</f>
        <v>263.30769230769232</v>
      </c>
      <c r="AB84" s="160">
        <f>IF(Y84&lt;=0,3,0)+IF(Y84&gt;0,Y84+1,0)*3+IF(Y84&gt;12,Y84-12,0)*3+IF(Y84&gt;13,Y84-13,0)*3+IF(Y84&gt;14,Y84-14,0)*3+IF(Y84&gt;15,Y84-15,0)*3+IF(Y84&gt;16,Y84-16,0)*3+IF(Y84&gt;17,Y84-17,0)*3+IF(Y84&gt;18,Y84-18,0)*3+IF(Y84&gt;19,Y84-19,0)*3+IF(Y84&gt;20,Y84-20,0)*3</f>
        <v>3</v>
      </c>
      <c r="AC84" s="127">
        <f t="shared" si="689"/>
        <v>260.30769230769232</v>
      </c>
      <c r="AD84" s="125">
        <f t="shared" si="690"/>
        <v>0</v>
      </c>
      <c r="AF84" s="163" t="s">
        <v>187</v>
      </c>
      <c r="AG84" s="125" t="s">
        <v>95</v>
      </c>
      <c r="AH84" s="127" t="s">
        <v>135</v>
      </c>
      <c r="AI84" s="114">
        <f t="shared" si="796"/>
        <v>11</v>
      </c>
      <c r="AJ84" s="113">
        <f>Konvention_1slave-KLslave</f>
        <v>12</v>
      </c>
      <c r="AK84" s="113">
        <f t="shared" si="670"/>
        <v>12</v>
      </c>
      <c r="AL84" s="113"/>
      <c r="AM84" s="113"/>
      <c r="AN84" s="113"/>
      <c r="AO84" s="113"/>
      <c r="AP84" s="119"/>
      <c r="AQ84" s="89">
        <f t="shared" si="691"/>
        <v>11.666666666666666</v>
      </c>
      <c r="AR84" s="47">
        <f t="shared" si="692"/>
        <v>23.333333333333332</v>
      </c>
      <c r="AS84" s="119">
        <f t="shared" si="693"/>
        <v>35</v>
      </c>
      <c r="AT84" s="114">
        <f t="shared" si="694"/>
        <v>2432</v>
      </c>
      <c r="AU84" s="113">
        <f>AI84*AJ84*INslave+AI84*KLslave*AK84+MUslave_MU*AJ84*AK84</f>
        <v>3408</v>
      </c>
      <c r="AV84" s="119">
        <f t="shared" si="695"/>
        <v>1584</v>
      </c>
      <c r="AW84" s="160">
        <f t="shared" si="696"/>
        <v>7424</v>
      </c>
      <c r="AX84" s="89">
        <f t="shared" si="697"/>
        <v>3.8218390804597702</v>
      </c>
      <c r="AY84" s="47">
        <f t="shared" si="698"/>
        <v>10.711206896551724</v>
      </c>
      <c r="AZ84" s="127">
        <f t="shared" si="699"/>
        <v>7.4676724137931032</v>
      </c>
      <c r="BA84" s="127">
        <f t="shared" si="700"/>
        <v>22.000718390804597</v>
      </c>
      <c r="BB84" s="165">
        <f t="shared" si="661"/>
        <v>0</v>
      </c>
      <c r="BC84" s="198">
        <f t="shared" si="701"/>
        <v>22.000718390804597</v>
      </c>
      <c r="BD84" s="125">
        <f>IF(BA84&lt;=0,3,0)+IF(BA84&gt;0,BA84+1,0)*3+IF(BA84&gt;12,BA84-12,0)*3+IF(BA84&gt;13,BA84-13,0)*3+IF(BA84&gt;14,BA84-14,0)*3+IF(BA84&gt;15,BA84-15,0)*3+IF(BA84&gt;16,BA84-16,0)*3+IF(BA84&gt;17,BA84-17,0)*3+IF(BA84&gt;18,BA84-18,0)*3+IF(BA84&gt;19,BA84-19,0)*3+IF(BA84&gt;20,BA84-20,0)*3</f>
        <v>231.02155172413785</v>
      </c>
      <c r="BE84" s="160">
        <f>IF(BB84&lt;=0,3,0)+IF(BB84&gt;0,BB84+1,0)*3+IF(BB84&gt;12,BB84-12,0)*3+IF(BB84&gt;13,BB84-13,0)*3+IF(BB84&gt;14,BB84-14,0)*3+IF(BB84&gt;15,BB84-15,0)*3+IF(BB84&gt;16,BB84-16,0)*3+IF(BB84&gt;17,BB84-17,0)*3+IF(BB84&gt;18,BB84-18,0)*3+IF(BB84&gt;19,BB84-19,0)*3+IF(BB84&gt;20,BB84-20,0)*3</f>
        <v>3</v>
      </c>
      <c r="BF84" s="243">
        <f t="shared" si="702"/>
        <v>228.02155172413785</v>
      </c>
      <c r="BG84" s="218">
        <f t="shared" si="703"/>
        <v>0</v>
      </c>
      <c r="BI84" s="303" t="s">
        <v>187</v>
      </c>
      <c r="BJ84" s="218" t="s">
        <v>95</v>
      </c>
      <c r="BK84" s="243" t="s">
        <v>135</v>
      </c>
      <c r="BL84" s="237">
        <f t="shared" si="797"/>
        <v>12</v>
      </c>
      <c r="BM84" s="234">
        <f>Konvention_1slave-KLslave_KL</f>
        <v>11</v>
      </c>
      <c r="BN84" s="234">
        <f t="shared" si="671"/>
        <v>12</v>
      </c>
      <c r="BO84" s="234"/>
      <c r="BP84" s="234"/>
      <c r="BQ84" s="234"/>
      <c r="BR84" s="234"/>
      <c r="BS84" s="224"/>
      <c r="BT84" s="222">
        <f t="shared" si="704"/>
        <v>11.666666666666666</v>
      </c>
      <c r="BU84" s="223">
        <f t="shared" si="705"/>
        <v>23.333333333333332</v>
      </c>
      <c r="BV84" s="224">
        <f t="shared" si="706"/>
        <v>35</v>
      </c>
      <c r="BW84" s="237">
        <f t="shared" si="707"/>
        <v>2432</v>
      </c>
      <c r="BX84" s="234">
        <f>BL84*BM84*INslave+BL84*KLslave_KL*BN84+MUslave*BM84*BN84</f>
        <v>3408</v>
      </c>
      <c r="BY84" s="224">
        <f t="shared" si="708"/>
        <v>1584</v>
      </c>
      <c r="BZ84" s="242">
        <f t="shared" si="709"/>
        <v>7424</v>
      </c>
      <c r="CA84" s="222">
        <f t="shared" si="710"/>
        <v>3.8218390804597702</v>
      </c>
      <c r="CB84" s="223">
        <f t="shared" si="711"/>
        <v>10.711206896551724</v>
      </c>
      <c r="CC84" s="243">
        <f t="shared" si="712"/>
        <v>7.4676724137931032</v>
      </c>
      <c r="CD84" s="243">
        <f t="shared" si="713"/>
        <v>22.000718390804597</v>
      </c>
      <c r="CE84" s="252">
        <f t="shared" si="662"/>
        <v>0</v>
      </c>
      <c r="CF84" s="309">
        <f t="shared" si="714"/>
        <v>22.000718390804597</v>
      </c>
      <c r="CG84" s="218">
        <f>IF(CD84&lt;=0,3,0)+IF(CD84&gt;0,CD84+1,0)*3+IF(CD84&gt;12,CD84-12,0)*3+IF(CD84&gt;13,CD84-13,0)*3+IF(CD84&gt;14,CD84-14,0)*3+IF(CD84&gt;15,CD84-15,0)*3+IF(CD84&gt;16,CD84-16,0)*3+IF(CD84&gt;17,CD84-17,0)*3+IF(CD84&gt;18,CD84-18,0)*3+IF(CD84&gt;19,CD84-19,0)*3+IF(CD84&gt;20,CD84-20,0)*3</f>
        <v>231.02155172413785</v>
      </c>
      <c r="CH84" s="242">
        <f>IF(CE84&lt;=0,3,0)+IF(CE84&gt;0,CE84+1,0)*3+IF(CE84&gt;12,CE84-12,0)*3+IF(CE84&gt;13,CE84-13,0)*3+IF(CE84&gt;14,CE84-14,0)*3+IF(CE84&gt;15,CE84-15,0)*3+IF(CE84&gt;16,CE84-16,0)*3+IF(CE84&gt;17,CE84-17,0)*3+IF(CE84&gt;18,CE84-18,0)*3+IF(CE84&gt;19,CE84-19,0)*3+IF(CE84&gt;20,CE84-20,0)*3</f>
        <v>3</v>
      </c>
      <c r="CI84" s="243">
        <f t="shared" si="715"/>
        <v>228.02155172413785</v>
      </c>
      <c r="CJ84" s="218">
        <f t="shared" si="716"/>
        <v>0</v>
      </c>
      <c r="CL84" s="303" t="s">
        <v>187</v>
      </c>
      <c r="CM84" s="218" t="s">
        <v>95</v>
      </c>
      <c r="CN84" s="243" t="s">
        <v>135</v>
      </c>
      <c r="CO84" s="237">
        <f t="shared" si="798"/>
        <v>12</v>
      </c>
      <c r="CP84" s="234">
        <f>Konvention_1slave-KLslave</f>
        <v>12</v>
      </c>
      <c r="CQ84" s="234">
        <f t="shared" si="672"/>
        <v>11</v>
      </c>
      <c r="CR84" s="234"/>
      <c r="CS84" s="234"/>
      <c r="CT84" s="234"/>
      <c r="CU84" s="234"/>
      <c r="CV84" s="224"/>
      <c r="CW84" s="222">
        <f t="shared" si="717"/>
        <v>11.666666666666666</v>
      </c>
      <c r="CX84" s="223">
        <f t="shared" si="718"/>
        <v>23.333333333333332</v>
      </c>
      <c r="CY84" s="224">
        <f t="shared" si="719"/>
        <v>35</v>
      </c>
      <c r="CZ84" s="237">
        <f t="shared" si="720"/>
        <v>2432</v>
      </c>
      <c r="DA84" s="234">
        <f>CO84*CP84*INslave_IN+CO84*KLslave*CQ84+MUslave*CP84*CQ84</f>
        <v>3408</v>
      </c>
      <c r="DB84" s="224">
        <f t="shared" si="721"/>
        <v>1584</v>
      </c>
      <c r="DC84" s="242">
        <f t="shared" si="722"/>
        <v>7424</v>
      </c>
      <c r="DD84" s="222">
        <f t="shared" si="723"/>
        <v>3.8218390804597702</v>
      </c>
      <c r="DE84" s="223">
        <f t="shared" si="724"/>
        <v>10.711206896551724</v>
      </c>
      <c r="DF84" s="243">
        <f t="shared" si="725"/>
        <v>7.4676724137931032</v>
      </c>
      <c r="DG84" s="243">
        <f t="shared" si="726"/>
        <v>22.000718390804597</v>
      </c>
      <c r="DH84" s="252">
        <f t="shared" si="663"/>
        <v>0</v>
      </c>
      <c r="DI84" s="309">
        <f t="shared" si="727"/>
        <v>22.000718390804597</v>
      </c>
      <c r="DJ84" s="218">
        <f>IF(DG84&lt;=0,3,0)+IF(DG84&gt;0,DG84+1,0)*3+IF(DG84&gt;12,DG84-12,0)*3+IF(DG84&gt;13,DG84-13,0)*3+IF(DG84&gt;14,DG84-14,0)*3+IF(DG84&gt;15,DG84-15,0)*3+IF(DG84&gt;16,DG84-16,0)*3+IF(DG84&gt;17,DG84-17,0)*3+IF(DG84&gt;18,DG84-18,0)*3+IF(DG84&gt;19,DG84-19,0)*3+IF(DG84&gt;20,DG84-20,0)*3</f>
        <v>231.02155172413785</v>
      </c>
      <c r="DK84" s="242">
        <f>IF(DH84&lt;=0,3,0)+IF(DH84&gt;0,DH84+1,0)*3+IF(DH84&gt;12,DH84-12,0)*3+IF(DH84&gt;13,DH84-13,0)*3+IF(DH84&gt;14,DH84-14,0)*3+IF(DH84&gt;15,DH84-15,0)*3+IF(DH84&gt;16,DH84-16,0)*3+IF(DH84&gt;17,DH84-17,0)*3+IF(DH84&gt;18,DH84-18,0)*3+IF(DH84&gt;19,DH84-19,0)*3+IF(DH84&gt;20,DH84-20,0)*3</f>
        <v>3</v>
      </c>
      <c r="DL84" s="243">
        <f t="shared" si="728"/>
        <v>228.02155172413785</v>
      </c>
      <c r="DM84" s="218">
        <f t="shared" si="729"/>
        <v>0</v>
      </c>
      <c r="DO84" s="303" t="s">
        <v>187</v>
      </c>
      <c r="DP84" s="218" t="s">
        <v>95</v>
      </c>
      <c r="DQ84" s="243" t="s">
        <v>135</v>
      </c>
      <c r="DR84" s="237">
        <f t="shared" si="799"/>
        <v>12</v>
      </c>
      <c r="DS84" s="234">
        <f>Konvention_1slave-KLslave</f>
        <v>12</v>
      </c>
      <c r="DT84" s="234">
        <f t="shared" si="673"/>
        <v>12</v>
      </c>
      <c r="DU84" s="234"/>
      <c r="DV84" s="234"/>
      <c r="DW84" s="234"/>
      <c r="DX84" s="234"/>
      <c r="DY84" s="224"/>
      <c r="DZ84" s="222">
        <f t="shared" si="730"/>
        <v>12</v>
      </c>
      <c r="EA84" s="223">
        <f t="shared" si="731"/>
        <v>24</v>
      </c>
      <c r="EB84" s="224">
        <f t="shared" si="732"/>
        <v>36</v>
      </c>
      <c r="EC84" s="237">
        <f t="shared" si="733"/>
        <v>2304</v>
      </c>
      <c r="ED84" s="234">
        <f>DR84*DS84*INslave+DR84*KLslave*DT84+MUslave*DS84*DT84</f>
        <v>3456</v>
      </c>
      <c r="EE84" s="224">
        <f t="shared" si="734"/>
        <v>1728</v>
      </c>
      <c r="EF84" s="242">
        <f t="shared" si="735"/>
        <v>7488</v>
      </c>
      <c r="EG84" s="222">
        <f t="shared" si="736"/>
        <v>3.6923076923076925</v>
      </c>
      <c r="EH84" s="223">
        <f t="shared" si="737"/>
        <v>11.076923076923077</v>
      </c>
      <c r="EI84" s="243">
        <f t="shared" si="738"/>
        <v>8.3076923076923084</v>
      </c>
      <c r="EJ84" s="243">
        <f t="shared" si="739"/>
        <v>23.07692307692308</v>
      </c>
      <c r="EK84" s="252">
        <f t="shared" si="664"/>
        <v>0</v>
      </c>
      <c r="EL84" s="309">
        <f t="shared" si="740"/>
        <v>23.07692307692308</v>
      </c>
      <c r="EM84" s="218">
        <f>IF(EJ84&lt;=0,3,0)+IF(EJ84&gt;0,EJ84+1,0)*3+IF(EJ84&gt;12,EJ84-12,0)*3+IF(EJ84&gt;13,EJ84-13,0)*3+IF(EJ84&gt;14,EJ84-14,0)*3+IF(EJ84&gt;15,EJ84-15,0)*3+IF(EJ84&gt;16,EJ84-16,0)*3+IF(EJ84&gt;17,EJ84-17,0)*3+IF(EJ84&gt;18,EJ84-18,0)*3+IF(EJ84&gt;19,EJ84-19,0)*3+IF(EJ84&gt;20,EJ84-20,0)*3</f>
        <v>263.30769230769232</v>
      </c>
      <c r="EN84" s="242">
        <f>IF(EK84&lt;=0,3,0)+IF(EK84&gt;0,EK84+1,0)*3+IF(EK84&gt;12,EK84-12,0)*3+IF(EK84&gt;13,EK84-13,0)*3+IF(EK84&gt;14,EK84-14,0)*3+IF(EK84&gt;15,EK84-15,0)*3+IF(EK84&gt;16,EK84-16,0)*3+IF(EK84&gt;17,EK84-17,0)*3+IF(EK84&gt;18,EK84-18,0)*3+IF(EK84&gt;19,EK84-19,0)*3+IF(EK84&gt;20,EK84-20,0)*3</f>
        <v>3</v>
      </c>
      <c r="EO84" s="243">
        <f t="shared" si="741"/>
        <v>260.30769230769232</v>
      </c>
      <c r="EP84" s="218">
        <f t="shared" si="742"/>
        <v>0</v>
      </c>
      <c r="ER84" s="303" t="s">
        <v>187</v>
      </c>
      <c r="ES84" s="218" t="s">
        <v>95</v>
      </c>
      <c r="ET84" s="243" t="s">
        <v>135</v>
      </c>
      <c r="EU84" s="237">
        <f t="shared" si="800"/>
        <v>12</v>
      </c>
      <c r="EV84" s="234">
        <f>Konvention_1slave-KLslave</f>
        <v>12</v>
      </c>
      <c r="EW84" s="234">
        <f t="shared" si="674"/>
        <v>12</v>
      </c>
      <c r="EX84" s="234"/>
      <c r="EY84" s="234"/>
      <c r="EZ84" s="234"/>
      <c r="FA84" s="234"/>
      <c r="FB84" s="224"/>
      <c r="FC84" s="222">
        <f t="shared" si="743"/>
        <v>12</v>
      </c>
      <c r="FD84" s="223">
        <f t="shared" si="744"/>
        <v>24</v>
      </c>
      <c r="FE84" s="224">
        <f t="shared" si="745"/>
        <v>36</v>
      </c>
      <c r="FF84" s="237">
        <f t="shared" si="746"/>
        <v>2304</v>
      </c>
      <c r="FG84" s="234">
        <f>EU84*EV84*INslave+EU84*KLslave*EW84+MUslave*EV84*EW84</f>
        <v>3456</v>
      </c>
      <c r="FH84" s="224">
        <f t="shared" si="747"/>
        <v>1728</v>
      </c>
      <c r="FI84" s="242">
        <f t="shared" si="748"/>
        <v>7488</v>
      </c>
      <c r="FJ84" s="222">
        <f t="shared" si="749"/>
        <v>3.6923076923076925</v>
      </c>
      <c r="FK84" s="223">
        <f t="shared" si="750"/>
        <v>11.076923076923077</v>
      </c>
      <c r="FL84" s="243">
        <f t="shared" si="751"/>
        <v>8.3076923076923084</v>
      </c>
      <c r="FM84" s="243">
        <f t="shared" si="752"/>
        <v>23.07692307692308</v>
      </c>
      <c r="FN84" s="252">
        <f t="shared" si="665"/>
        <v>0</v>
      </c>
      <c r="FO84" s="309">
        <f t="shared" si="753"/>
        <v>23.07692307692308</v>
      </c>
      <c r="FP84" s="218">
        <f>IF(FM84&lt;=0,3,0)+IF(FM84&gt;0,FM84+1,0)*3+IF(FM84&gt;12,FM84-12,0)*3+IF(FM84&gt;13,FM84-13,0)*3+IF(FM84&gt;14,FM84-14,0)*3+IF(FM84&gt;15,FM84-15,0)*3+IF(FM84&gt;16,FM84-16,0)*3+IF(FM84&gt;17,FM84-17,0)*3+IF(FM84&gt;18,FM84-18,0)*3+IF(FM84&gt;19,FM84-19,0)*3+IF(FM84&gt;20,FM84-20,0)*3</f>
        <v>263.30769230769232</v>
      </c>
      <c r="FQ84" s="242">
        <f>IF(FN84&lt;=0,3,0)+IF(FN84&gt;0,FN84+1,0)*3+IF(FN84&gt;12,FN84-12,0)*3+IF(FN84&gt;13,FN84-13,0)*3+IF(FN84&gt;14,FN84-14,0)*3+IF(FN84&gt;15,FN84-15,0)*3+IF(FN84&gt;16,FN84-16,0)*3+IF(FN84&gt;17,FN84-17,0)*3+IF(FN84&gt;18,FN84-18,0)*3+IF(FN84&gt;19,FN84-19,0)*3+IF(FN84&gt;20,FN84-20,0)*3</f>
        <v>3</v>
      </c>
      <c r="FR84" s="243">
        <f t="shared" si="754"/>
        <v>260.30769230769232</v>
      </c>
      <c r="FS84" s="218">
        <f t="shared" si="755"/>
        <v>0</v>
      </c>
      <c r="FU84" s="303" t="s">
        <v>187</v>
      </c>
      <c r="FV84" s="218" t="s">
        <v>95</v>
      </c>
      <c r="FW84" s="243" t="s">
        <v>135</v>
      </c>
      <c r="FX84" s="237">
        <f t="shared" si="801"/>
        <v>12</v>
      </c>
      <c r="FY84" s="234">
        <f>Konvention_1slave-KLslave</f>
        <v>12</v>
      </c>
      <c r="FZ84" s="234">
        <f t="shared" si="675"/>
        <v>12</v>
      </c>
      <c r="GA84" s="234"/>
      <c r="GB84" s="234"/>
      <c r="GC84" s="234"/>
      <c r="GD84" s="234"/>
      <c r="GE84" s="224"/>
      <c r="GF84" s="222">
        <f t="shared" si="756"/>
        <v>12</v>
      </c>
      <c r="GG84" s="223">
        <f t="shared" si="757"/>
        <v>24</v>
      </c>
      <c r="GH84" s="224">
        <f t="shared" si="758"/>
        <v>36</v>
      </c>
      <c r="GI84" s="237">
        <f t="shared" si="759"/>
        <v>2304</v>
      </c>
      <c r="GJ84" s="234">
        <f>FX84*FY84*INslave+FX84*KLslave*FZ84+MUslave*FY84*FZ84</f>
        <v>3456</v>
      </c>
      <c r="GK84" s="224">
        <f t="shared" si="760"/>
        <v>1728</v>
      </c>
      <c r="GL84" s="242">
        <f t="shared" si="761"/>
        <v>7488</v>
      </c>
      <c r="GM84" s="222">
        <f t="shared" si="762"/>
        <v>3.6923076923076925</v>
      </c>
      <c r="GN84" s="223">
        <f t="shared" si="763"/>
        <v>11.076923076923077</v>
      </c>
      <c r="GO84" s="243">
        <f t="shared" si="764"/>
        <v>8.3076923076923084</v>
      </c>
      <c r="GP84" s="243">
        <f t="shared" si="765"/>
        <v>23.07692307692308</v>
      </c>
      <c r="GQ84" s="252">
        <f t="shared" si="666"/>
        <v>0</v>
      </c>
      <c r="GR84" s="309">
        <f t="shared" si="766"/>
        <v>23.07692307692308</v>
      </c>
      <c r="GS84" s="218">
        <f>IF(GP84&lt;=0,3,0)+IF(GP84&gt;0,GP84+1,0)*3+IF(GP84&gt;12,GP84-12,0)*3+IF(GP84&gt;13,GP84-13,0)*3+IF(GP84&gt;14,GP84-14,0)*3+IF(GP84&gt;15,GP84-15,0)*3+IF(GP84&gt;16,GP84-16,0)*3+IF(GP84&gt;17,GP84-17,0)*3+IF(GP84&gt;18,GP84-18,0)*3+IF(GP84&gt;19,GP84-19,0)*3+IF(GP84&gt;20,GP84-20,0)*3</f>
        <v>263.30769230769232</v>
      </c>
      <c r="GT84" s="242">
        <f>IF(GQ84&lt;=0,3,0)+IF(GQ84&gt;0,GQ84+1,0)*3+IF(GQ84&gt;12,GQ84-12,0)*3+IF(GQ84&gt;13,GQ84-13,0)*3+IF(GQ84&gt;14,GQ84-14,0)*3+IF(GQ84&gt;15,GQ84-15,0)*3+IF(GQ84&gt;16,GQ84-16,0)*3+IF(GQ84&gt;17,GQ84-17,0)*3+IF(GQ84&gt;18,GQ84-18,0)*3+IF(GQ84&gt;19,GQ84-19,0)*3+IF(GQ84&gt;20,GQ84-20,0)*3</f>
        <v>3</v>
      </c>
      <c r="GU84" s="243">
        <f t="shared" si="767"/>
        <v>260.30769230769232</v>
      </c>
      <c r="GV84" s="218">
        <f t="shared" si="768"/>
        <v>0</v>
      </c>
      <c r="GX84" s="303" t="s">
        <v>187</v>
      </c>
      <c r="GY84" s="218" t="s">
        <v>95</v>
      </c>
      <c r="GZ84" s="243" t="s">
        <v>135</v>
      </c>
      <c r="HA84" s="237">
        <f t="shared" si="802"/>
        <v>12</v>
      </c>
      <c r="HB84" s="234">
        <f>Konvention_1slave-KLslave</f>
        <v>12</v>
      </c>
      <c r="HC84" s="234">
        <f t="shared" si="676"/>
        <v>12</v>
      </c>
      <c r="HD84" s="234"/>
      <c r="HE84" s="234"/>
      <c r="HF84" s="234"/>
      <c r="HG84" s="234"/>
      <c r="HH84" s="224"/>
      <c r="HI84" s="222">
        <f t="shared" si="769"/>
        <v>12</v>
      </c>
      <c r="HJ84" s="223">
        <f t="shared" si="770"/>
        <v>24</v>
      </c>
      <c r="HK84" s="224">
        <f t="shared" si="771"/>
        <v>36</v>
      </c>
      <c r="HL84" s="237">
        <f t="shared" si="772"/>
        <v>2304</v>
      </c>
      <c r="HM84" s="234">
        <f>HA84*HB84*INslave+HA84*KLslave*HC84+MUslave*HB84*HC84</f>
        <v>3456</v>
      </c>
      <c r="HN84" s="224">
        <f t="shared" si="773"/>
        <v>1728</v>
      </c>
      <c r="HO84" s="242">
        <f t="shared" si="774"/>
        <v>7488</v>
      </c>
      <c r="HP84" s="222">
        <f t="shared" si="775"/>
        <v>3.6923076923076925</v>
      </c>
      <c r="HQ84" s="223">
        <f t="shared" si="776"/>
        <v>11.076923076923077</v>
      </c>
      <c r="HR84" s="243">
        <f t="shared" si="777"/>
        <v>8.3076923076923084</v>
      </c>
      <c r="HS84" s="243">
        <f t="shared" si="778"/>
        <v>23.07692307692308</v>
      </c>
      <c r="HT84" s="252">
        <f t="shared" si="667"/>
        <v>0</v>
      </c>
      <c r="HU84" s="309">
        <f t="shared" si="779"/>
        <v>23.07692307692308</v>
      </c>
      <c r="HV84" s="218">
        <f>IF(HS84&lt;=0,3,0)+IF(HS84&gt;0,HS84+1,0)*3+IF(HS84&gt;12,HS84-12,0)*3+IF(HS84&gt;13,HS84-13,0)*3+IF(HS84&gt;14,HS84-14,0)*3+IF(HS84&gt;15,HS84-15,0)*3+IF(HS84&gt;16,HS84-16,0)*3+IF(HS84&gt;17,HS84-17,0)*3+IF(HS84&gt;18,HS84-18,0)*3+IF(HS84&gt;19,HS84-19,0)*3+IF(HS84&gt;20,HS84-20,0)*3</f>
        <v>263.30769230769232</v>
      </c>
      <c r="HW84" s="242">
        <f>IF(HT84&lt;=0,3,0)+IF(HT84&gt;0,HT84+1,0)*3+IF(HT84&gt;12,HT84-12,0)*3+IF(HT84&gt;13,HT84-13,0)*3+IF(HT84&gt;14,HT84-14,0)*3+IF(HT84&gt;15,HT84-15,0)*3+IF(HT84&gt;16,HT84-16,0)*3+IF(HT84&gt;17,HT84-17,0)*3+IF(HT84&gt;18,HT84-18,0)*3+IF(HT84&gt;19,HT84-19,0)*3+IF(HT84&gt;20,HT84-20,0)*3</f>
        <v>3</v>
      </c>
      <c r="HX84" s="243">
        <f t="shared" si="780"/>
        <v>260.30769230769232</v>
      </c>
      <c r="HY84" s="218">
        <f t="shared" si="781"/>
        <v>0</v>
      </c>
      <c r="IA84" s="303" t="s">
        <v>187</v>
      </c>
      <c r="IB84" s="218" t="s">
        <v>95</v>
      </c>
      <c r="IC84" s="243" t="s">
        <v>135</v>
      </c>
      <c r="ID84" s="237">
        <f t="shared" si="803"/>
        <v>12</v>
      </c>
      <c r="IE84" s="234">
        <f>Konvention_1slave-KLslave</f>
        <v>12</v>
      </c>
      <c r="IF84" s="234">
        <f t="shared" si="677"/>
        <v>12</v>
      </c>
      <c r="IG84" s="234"/>
      <c r="IH84" s="234"/>
      <c r="II84" s="234"/>
      <c r="IJ84" s="234"/>
      <c r="IK84" s="224"/>
      <c r="IL84" s="222">
        <f t="shared" si="782"/>
        <v>12</v>
      </c>
      <c r="IM84" s="223">
        <f t="shared" si="783"/>
        <v>24</v>
      </c>
      <c r="IN84" s="224">
        <f t="shared" si="784"/>
        <v>36</v>
      </c>
      <c r="IO84" s="237">
        <f t="shared" si="785"/>
        <v>2304</v>
      </c>
      <c r="IP84" s="234">
        <f>ID84*IE84*INslave+ID84*KLslave*IF84+MUslave*IE84*IF84</f>
        <v>3456</v>
      </c>
      <c r="IQ84" s="224">
        <f t="shared" si="786"/>
        <v>1728</v>
      </c>
      <c r="IR84" s="242">
        <f t="shared" si="787"/>
        <v>7488</v>
      </c>
      <c r="IS84" s="222">
        <f t="shared" si="788"/>
        <v>3.6923076923076925</v>
      </c>
      <c r="IT84" s="223">
        <f t="shared" si="789"/>
        <v>11.076923076923077</v>
      </c>
      <c r="IU84" s="243">
        <f t="shared" si="790"/>
        <v>8.3076923076923084</v>
      </c>
      <c r="IV84" s="243">
        <f t="shared" si="791"/>
        <v>23.07692307692308</v>
      </c>
      <c r="IW84" s="252">
        <f t="shared" si="668"/>
        <v>0</v>
      </c>
      <c r="IX84" s="309">
        <f t="shared" si="792"/>
        <v>23.07692307692308</v>
      </c>
      <c r="IY84" s="218">
        <f>IF(IV84&lt;=0,3,0)+IF(IV84&gt;0,IV84+1,0)*3+IF(IV84&gt;12,IV84-12,0)*3+IF(IV84&gt;13,IV84-13,0)*3+IF(IV84&gt;14,IV84-14,0)*3+IF(IV84&gt;15,IV84-15,0)*3+IF(IV84&gt;16,IV84-16,0)*3+IF(IV84&gt;17,IV84-17,0)*3+IF(IV84&gt;18,IV84-18,0)*3+IF(IV84&gt;19,IV84-19,0)*3+IF(IV84&gt;20,IV84-20,0)*3</f>
        <v>263.30769230769232</v>
      </c>
      <c r="IZ84" s="242">
        <f>IF(IW84&lt;=0,3,0)+IF(IW84&gt;0,IW84+1,0)*3+IF(IW84&gt;12,IW84-12,0)*3+IF(IW84&gt;13,IW84-13,0)*3+IF(IW84&gt;14,IW84-14,0)*3+IF(IW84&gt;15,IW84-15,0)*3+IF(IW84&gt;16,IW84-16,0)*3+IF(IW84&gt;17,IW84-17,0)*3+IF(IW84&gt;18,IW84-18,0)*3+IF(IW84&gt;19,IW84-19,0)*3+IF(IW84&gt;20,IW84-20,0)*3</f>
        <v>3</v>
      </c>
      <c r="JA84" s="243">
        <f t="shared" si="793"/>
        <v>260.30769230769232</v>
      </c>
      <c r="JB84" s="218">
        <f t="shared" si="794"/>
        <v>0</v>
      </c>
      <c r="JE84" s="148"/>
    </row>
    <row r="85" spans="2:265" ht="15" hidden="1" customHeight="1" outlineLevel="2">
      <c r="B85" s="148">
        <v>8</v>
      </c>
      <c r="C85" s="303" t="e">
        <f>VLOOKUP(AF85,Attribute!C:T,1,FALSE)</f>
        <v>#N/A</v>
      </c>
      <c r="D85" s="86" t="s">
        <v>86</v>
      </c>
      <c r="E85" s="127" t="s">
        <v>133</v>
      </c>
      <c r="F85" s="114">
        <f t="shared" si="795"/>
        <v>12</v>
      </c>
      <c r="G85" s="113"/>
      <c r="H85" s="113">
        <f t="shared" si="669"/>
        <v>12</v>
      </c>
      <c r="I85" s="113">
        <f>Konvention_1master-CHmaster</f>
        <v>12</v>
      </c>
      <c r="J85" s="113"/>
      <c r="K85" s="113"/>
      <c r="L85" s="113"/>
      <c r="M85" s="119"/>
      <c r="N85" s="222">
        <f t="shared" si="678"/>
        <v>12</v>
      </c>
      <c r="O85" s="223">
        <f t="shared" si="679"/>
        <v>24</v>
      </c>
      <c r="P85" s="224">
        <f t="shared" si="680"/>
        <v>36</v>
      </c>
      <c r="Q85" s="237">
        <f t="shared" si="681"/>
        <v>2304</v>
      </c>
      <c r="R85" s="113">
        <f>F85*H85*CHmaster+F85*INmaster*I85+MUmaster*H85*I85</f>
        <v>3456</v>
      </c>
      <c r="S85" s="224">
        <f t="shared" si="682"/>
        <v>1728</v>
      </c>
      <c r="T85" s="242">
        <f t="shared" si="683"/>
        <v>7488</v>
      </c>
      <c r="U85" s="222">
        <f t="shared" si="684"/>
        <v>3.6923076923076925</v>
      </c>
      <c r="V85" s="223">
        <f t="shared" si="685"/>
        <v>11.076923076923077</v>
      </c>
      <c r="W85" s="243">
        <f t="shared" si="686"/>
        <v>8.3076923076923084</v>
      </c>
      <c r="X85" s="243">
        <f t="shared" si="687"/>
        <v>23.07692307692308</v>
      </c>
      <c r="Y85" s="252">
        <v>0</v>
      </c>
      <c r="Z85" s="198">
        <f t="shared" si="688"/>
        <v>23.07692307692308</v>
      </c>
      <c r="AA85" s="125">
        <f>IF(X85&lt;=0,1,0)+IF(X85&gt;0,X85+1,0)*1+IF(X85&gt;12,X85-12,0)*1+IF(X85&gt;13,X85-13,0)*1+IF(X85&gt;14,X85-14,0)*1+IF(X85&gt;15,X85-15,0)*1+IF(X85&gt;16,X85-16,0)*1+IF(X85&gt;17,X85-17,0)*1+IF(X85&gt;18,X85-18,0)*1+IF(X85&gt;19,X85-19,0)*1+IF(X85&gt;20,X85-20,0)*1</f>
        <v>87.769230769230802</v>
      </c>
      <c r="AB85" s="160">
        <f>IF(Y85&lt;=0,1,0)+IF(Y85&gt;0,Y85+1,0)*1+IF(Y85&gt;12,Y85-12,0)*1+IF(Y85&gt;13,Y85-13,0)*1+IF(Y85&gt;14,Y85-14,0)*1+IF(Y85&gt;15,Y85-15,0)*1+IF(Y85&gt;16,Y85-16,0)*1+IF(Y85&gt;17,Y85-17,0)*1+IF(Y85&gt;18,Y85-18,0)*1+IF(Y85&gt;19,Y85-19,0)*1+IF(Y85&gt;20,Y85-20,0)*1</f>
        <v>1</v>
      </c>
      <c r="AC85" s="127">
        <f t="shared" si="689"/>
        <v>86.769230769230802</v>
      </c>
      <c r="AD85" s="125">
        <f t="shared" si="690"/>
        <v>0</v>
      </c>
      <c r="AF85" s="163" t="s">
        <v>188</v>
      </c>
      <c r="AG85" s="125" t="s">
        <v>86</v>
      </c>
      <c r="AH85" s="127" t="s">
        <v>133</v>
      </c>
      <c r="AI85" s="114">
        <f t="shared" si="796"/>
        <v>11</v>
      </c>
      <c r="AJ85" s="113"/>
      <c r="AK85" s="113">
        <f t="shared" si="670"/>
        <v>12</v>
      </c>
      <c r="AL85" s="113">
        <f>Konvention_1slave-CHslave</f>
        <v>12</v>
      </c>
      <c r="AM85" s="113"/>
      <c r="AN85" s="113"/>
      <c r="AO85" s="113"/>
      <c r="AP85" s="119"/>
      <c r="AQ85" s="89">
        <f t="shared" si="691"/>
        <v>11.666666666666666</v>
      </c>
      <c r="AR85" s="47">
        <f t="shared" si="692"/>
        <v>23.333333333333332</v>
      </c>
      <c r="AS85" s="119">
        <f t="shared" si="693"/>
        <v>35</v>
      </c>
      <c r="AT85" s="114">
        <f t="shared" si="694"/>
        <v>2432</v>
      </c>
      <c r="AU85" s="113">
        <f>AI85*AK85*CHslave+AI85*INslave*AL85+MUslave_MU*AK85*AL85</f>
        <v>3408</v>
      </c>
      <c r="AV85" s="119">
        <f t="shared" si="695"/>
        <v>1584</v>
      </c>
      <c r="AW85" s="160">
        <f t="shared" si="696"/>
        <v>7424</v>
      </c>
      <c r="AX85" s="89">
        <f t="shared" si="697"/>
        <v>3.8218390804597702</v>
      </c>
      <c r="AY85" s="47">
        <f t="shared" si="698"/>
        <v>10.711206896551724</v>
      </c>
      <c r="AZ85" s="127">
        <f t="shared" si="699"/>
        <v>7.4676724137931032</v>
      </c>
      <c r="BA85" s="127">
        <f t="shared" si="700"/>
        <v>22.000718390804597</v>
      </c>
      <c r="BB85" s="165">
        <f t="shared" si="661"/>
        <v>0</v>
      </c>
      <c r="BC85" s="198">
        <f t="shared" si="701"/>
        <v>22.000718390804597</v>
      </c>
      <c r="BD85" s="125">
        <f>IF(BA85&lt;=0,1,0)+IF(BA85&gt;0,BA85+1,0)*1+IF(BA85&gt;12,BA85-12,0)*1+IF(BA85&gt;13,BA85-13,0)*1+IF(BA85&gt;14,BA85-14,0)*1+IF(BA85&gt;15,BA85-15,0)*1+IF(BA85&gt;16,BA85-16,0)*1+IF(BA85&gt;17,BA85-17,0)*1+IF(BA85&gt;18,BA85-18,0)*1+IF(BA85&gt;19,BA85-19,0)*1+IF(BA85&gt;20,BA85-20,0)*1</f>
        <v>77.007183908045945</v>
      </c>
      <c r="BE85" s="160">
        <f>IF(BB85&lt;=0,1,0)+IF(BB85&gt;0,BB85+1,0)*1+IF(BB85&gt;12,BB85-12,0)*1+IF(BB85&gt;13,BB85-13,0)*1+IF(BB85&gt;14,BB85-14,0)*1+IF(BB85&gt;15,BB85-15,0)*1+IF(BB85&gt;16,BB85-16,0)*1+IF(BB85&gt;17,BB85-17,0)*1+IF(BB85&gt;18,BB85-18,0)*1+IF(BB85&gt;19,BB85-19,0)*1+IF(BB85&gt;20,BB85-20,0)*1</f>
        <v>1</v>
      </c>
      <c r="BF85" s="243">
        <f t="shared" si="702"/>
        <v>76.007183908045945</v>
      </c>
      <c r="BG85" s="218">
        <f t="shared" si="703"/>
        <v>0</v>
      </c>
      <c r="BI85" s="303" t="s">
        <v>188</v>
      </c>
      <c r="BJ85" s="218" t="s">
        <v>86</v>
      </c>
      <c r="BK85" s="243" t="s">
        <v>133</v>
      </c>
      <c r="BL85" s="237">
        <f t="shared" si="797"/>
        <v>12</v>
      </c>
      <c r="BM85" s="234"/>
      <c r="BN85" s="234">
        <f t="shared" si="671"/>
        <v>12</v>
      </c>
      <c r="BO85" s="234">
        <f>Konvention_1slave-CHslave</f>
        <v>12</v>
      </c>
      <c r="BP85" s="234"/>
      <c r="BQ85" s="234"/>
      <c r="BR85" s="234"/>
      <c r="BS85" s="224"/>
      <c r="BT85" s="222">
        <f t="shared" si="704"/>
        <v>12</v>
      </c>
      <c r="BU85" s="223">
        <f t="shared" si="705"/>
        <v>24</v>
      </c>
      <c r="BV85" s="224">
        <f t="shared" si="706"/>
        <v>36</v>
      </c>
      <c r="BW85" s="237">
        <f t="shared" si="707"/>
        <v>2304</v>
      </c>
      <c r="BX85" s="234">
        <f>BL85*BN85*CHslave+BL85*INslave*BO85+MUslave*BN85*BO85</f>
        <v>3456</v>
      </c>
      <c r="BY85" s="224">
        <f t="shared" si="708"/>
        <v>1728</v>
      </c>
      <c r="BZ85" s="242">
        <f t="shared" si="709"/>
        <v>7488</v>
      </c>
      <c r="CA85" s="222">
        <f t="shared" si="710"/>
        <v>3.6923076923076925</v>
      </c>
      <c r="CB85" s="223">
        <f t="shared" si="711"/>
        <v>11.076923076923077</v>
      </c>
      <c r="CC85" s="243">
        <f t="shared" si="712"/>
        <v>8.3076923076923084</v>
      </c>
      <c r="CD85" s="243">
        <f t="shared" si="713"/>
        <v>23.07692307692308</v>
      </c>
      <c r="CE85" s="252">
        <f t="shared" si="662"/>
        <v>0</v>
      </c>
      <c r="CF85" s="309">
        <f t="shared" si="714"/>
        <v>23.07692307692308</v>
      </c>
      <c r="CG85" s="218">
        <f>IF(CD85&lt;=0,1,0)+IF(CD85&gt;0,CD85+1,0)*1+IF(CD85&gt;12,CD85-12,0)*1+IF(CD85&gt;13,CD85-13,0)*1+IF(CD85&gt;14,CD85-14,0)*1+IF(CD85&gt;15,CD85-15,0)*1+IF(CD85&gt;16,CD85-16,0)*1+IF(CD85&gt;17,CD85-17,0)*1+IF(CD85&gt;18,CD85-18,0)*1+IF(CD85&gt;19,CD85-19,0)*1+IF(CD85&gt;20,CD85-20,0)*1</f>
        <v>87.769230769230802</v>
      </c>
      <c r="CH85" s="242">
        <f>IF(CE85&lt;=0,1,0)+IF(CE85&gt;0,CE85+1,0)*1+IF(CE85&gt;12,CE85-12,0)*1+IF(CE85&gt;13,CE85-13,0)*1+IF(CE85&gt;14,CE85-14,0)*1+IF(CE85&gt;15,CE85-15,0)*1+IF(CE85&gt;16,CE85-16,0)*1+IF(CE85&gt;17,CE85-17,0)*1+IF(CE85&gt;18,CE85-18,0)*1+IF(CE85&gt;19,CE85-19,0)*1+IF(CE85&gt;20,CE85-20,0)*1</f>
        <v>1</v>
      </c>
      <c r="CI85" s="243">
        <f t="shared" si="715"/>
        <v>86.769230769230802</v>
      </c>
      <c r="CJ85" s="218">
        <f t="shared" si="716"/>
        <v>0</v>
      </c>
      <c r="CL85" s="303" t="s">
        <v>188</v>
      </c>
      <c r="CM85" s="218" t="s">
        <v>86</v>
      </c>
      <c r="CN85" s="243" t="s">
        <v>133</v>
      </c>
      <c r="CO85" s="237">
        <f t="shared" si="798"/>
        <v>12</v>
      </c>
      <c r="CP85" s="234"/>
      <c r="CQ85" s="234">
        <f t="shared" si="672"/>
        <v>11</v>
      </c>
      <c r="CR85" s="234">
        <f>Konvention_1slave-CHslave</f>
        <v>12</v>
      </c>
      <c r="CS85" s="234"/>
      <c r="CT85" s="234"/>
      <c r="CU85" s="234"/>
      <c r="CV85" s="224"/>
      <c r="CW85" s="222">
        <f t="shared" si="717"/>
        <v>11.666666666666666</v>
      </c>
      <c r="CX85" s="223">
        <f t="shared" si="718"/>
        <v>23.333333333333332</v>
      </c>
      <c r="CY85" s="224">
        <f t="shared" si="719"/>
        <v>35</v>
      </c>
      <c r="CZ85" s="237">
        <f t="shared" si="720"/>
        <v>2432</v>
      </c>
      <c r="DA85" s="234">
        <f>CO85*CQ85*CHslave+CO85*INslave_IN*CR85+MUslave*CQ85*CR85</f>
        <v>3408</v>
      </c>
      <c r="DB85" s="224">
        <f t="shared" si="721"/>
        <v>1584</v>
      </c>
      <c r="DC85" s="242">
        <f t="shared" si="722"/>
        <v>7424</v>
      </c>
      <c r="DD85" s="222">
        <f t="shared" si="723"/>
        <v>3.8218390804597702</v>
      </c>
      <c r="DE85" s="223">
        <f t="shared" si="724"/>
        <v>10.711206896551724</v>
      </c>
      <c r="DF85" s="243">
        <f t="shared" si="725"/>
        <v>7.4676724137931032</v>
      </c>
      <c r="DG85" s="243">
        <f t="shared" si="726"/>
        <v>22.000718390804597</v>
      </c>
      <c r="DH85" s="252">
        <f t="shared" si="663"/>
        <v>0</v>
      </c>
      <c r="DI85" s="309">
        <f t="shared" si="727"/>
        <v>22.000718390804597</v>
      </c>
      <c r="DJ85" s="218">
        <f>IF(DG85&lt;=0,1,0)+IF(DG85&gt;0,DG85+1,0)*1+IF(DG85&gt;12,DG85-12,0)*1+IF(DG85&gt;13,DG85-13,0)*1+IF(DG85&gt;14,DG85-14,0)*1+IF(DG85&gt;15,DG85-15,0)*1+IF(DG85&gt;16,DG85-16,0)*1+IF(DG85&gt;17,DG85-17,0)*1+IF(DG85&gt;18,DG85-18,0)*1+IF(DG85&gt;19,DG85-19,0)*1+IF(DG85&gt;20,DG85-20,0)*1</f>
        <v>77.007183908045945</v>
      </c>
      <c r="DK85" s="242">
        <f>IF(DH85&lt;=0,1,0)+IF(DH85&gt;0,DH85+1,0)*1+IF(DH85&gt;12,DH85-12,0)*1+IF(DH85&gt;13,DH85-13,0)*1+IF(DH85&gt;14,DH85-14,0)*1+IF(DH85&gt;15,DH85-15,0)*1+IF(DH85&gt;16,DH85-16,0)*1+IF(DH85&gt;17,DH85-17,0)*1+IF(DH85&gt;18,DH85-18,0)*1+IF(DH85&gt;19,DH85-19,0)*1+IF(DH85&gt;20,DH85-20,0)*1</f>
        <v>1</v>
      </c>
      <c r="DL85" s="243">
        <f t="shared" si="728"/>
        <v>76.007183908045945</v>
      </c>
      <c r="DM85" s="218">
        <f t="shared" si="729"/>
        <v>0</v>
      </c>
      <c r="DO85" s="303" t="s">
        <v>188</v>
      </c>
      <c r="DP85" s="218" t="s">
        <v>86</v>
      </c>
      <c r="DQ85" s="243" t="s">
        <v>133</v>
      </c>
      <c r="DR85" s="237">
        <f t="shared" si="799"/>
        <v>12</v>
      </c>
      <c r="DS85" s="234"/>
      <c r="DT85" s="234">
        <f t="shared" si="673"/>
        <v>12</v>
      </c>
      <c r="DU85" s="234">
        <f>Konvention_1slave-CHslave_CH</f>
        <v>11</v>
      </c>
      <c r="DV85" s="234"/>
      <c r="DW85" s="234"/>
      <c r="DX85" s="234"/>
      <c r="DY85" s="224"/>
      <c r="DZ85" s="222">
        <f t="shared" si="730"/>
        <v>11.666666666666666</v>
      </c>
      <c r="EA85" s="223">
        <f t="shared" si="731"/>
        <v>23.333333333333332</v>
      </c>
      <c r="EB85" s="224">
        <f t="shared" si="732"/>
        <v>35</v>
      </c>
      <c r="EC85" s="237">
        <f t="shared" si="733"/>
        <v>2432</v>
      </c>
      <c r="ED85" s="234">
        <f>DR85*DT85*CHslave_CH+DR85*INslave*DU85+MUslave*DT85*DU85</f>
        <v>3408</v>
      </c>
      <c r="EE85" s="224">
        <f t="shared" si="734"/>
        <v>1584</v>
      </c>
      <c r="EF85" s="242">
        <f t="shared" si="735"/>
        <v>7424</v>
      </c>
      <c r="EG85" s="222">
        <f t="shared" si="736"/>
        <v>3.8218390804597702</v>
      </c>
      <c r="EH85" s="223">
        <f t="shared" si="737"/>
        <v>10.711206896551724</v>
      </c>
      <c r="EI85" s="243">
        <f t="shared" si="738"/>
        <v>7.4676724137931032</v>
      </c>
      <c r="EJ85" s="243">
        <f t="shared" si="739"/>
        <v>22.000718390804597</v>
      </c>
      <c r="EK85" s="252">
        <f t="shared" si="664"/>
        <v>0</v>
      </c>
      <c r="EL85" s="309">
        <f t="shared" si="740"/>
        <v>22.000718390804597</v>
      </c>
      <c r="EM85" s="218">
        <f>IF(EJ85&lt;=0,1,0)+IF(EJ85&gt;0,EJ85+1,0)*1+IF(EJ85&gt;12,EJ85-12,0)*1+IF(EJ85&gt;13,EJ85-13,0)*1+IF(EJ85&gt;14,EJ85-14,0)*1+IF(EJ85&gt;15,EJ85-15,0)*1+IF(EJ85&gt;16,EJ85-16,0)*1+IF(EJ85&gt;17,EJ85-17,0)*1+IF(EJ85&gt;18,EJ85-18,0)*1+IF(EJ85&gt;19,EJ85-19,0)*1+IF(EJ85&gt;20,EJ85-20,0)*1</f>
        <v>77.007183908045945</v>
      </c>
      <c r="EN85" s="242">
        <f>IF(EK85&lt;=0,1,0)+IF(EK85&gt;0,EK85+1,0)*1+IF(EK85&gt;12,EK85-12,0)*1+IF(EK85&gt;13,EK85-13,0)*1+IF(EK85&gt;14,EK85-14,0)*1+IF(EK85&gt;15,EK85-15,0)*1+IF(EK85&gt;16,EK85-16,0)*1+IF(EK85&gt;17,EK85-17,0)*1+IF(EK85&gt;18,EK85-18,0)*1+IF(EK85&gt;19,EK85-19,0)*1+IF(EK85&gt;20,EK85-20,0)*1</f>
        <v>1</v>
      </c>
      <c r="EO85" s="243">
        <f t="shared" si="741"/>
        <v>76.007183908045945</v>
      </c>
      <c r="EP85" s="218">
        <f t="shared" si="742"/>
        <v>0</v>
      </c>
      <c r="ER85" s="303" t="s">
        <v>188</v>
      </c>
      <c r="ES85" s="218" t="s">
        <v>86</v>
      </c>
      <c r="ET85" s="243" t="s">
        <v>133</v>
      </c>
      <c r="EU85" s="237">
        <f t="shared" si="800"/>
        <v>12</v>
      </c>
      <c r="EV85" s="234"/>
      <c r="EW85" s="234">
        <f t="shared" si="674"/>
        <v>12</v>
      </c>
      <c r="EX85" s="234">
        <f>Konvention_1slave-CHslave</f>
        <v>12</v>
      </c>
      <c r="EY85" s="234"/>
      <c r="EZ85" s="234"/>
      <c r="FA85" s="234"/>
      <c r="FB85" s="224"/>
      <c r="FC85" s="222">
        <f t="shared" si="743"/>
        <v>12</v>
      </c>
      <c r="FD85" s="223">
        <f t="shared" si="744"/>
        <v>24</v>
      </c>
      <c r="FE85" s="224">
        <f t="shared" si="745"/>
        <v>36</v>
      </c>
      <c r="FF85" s="237">
        <f t="shared" si="746"/>
        <v>2304</v>
      </c>
      <c r="FG85" s="234">
        <f>EU85*EW85*CHslave+EU85*INslave*EX85+MUslave*EW85*EX85</f>
        <v>3456</v>
      </c>
      <c r="FH85" s="224">
        <f t="shared" si="747"/>
        <v>1728</v>
      </c>
      <c r="FI85" s="242">
        <f t="shared" si="748"/>
        <v>7488</v>
      </c>
      <c r="FJ85" s="222">
        <f t="shared" si="749"/>
        <v>3.6923076923076925</v>
      </c>
      <c r="FK85" s="223">
        <f t="shared" si="750"/>
        <v>11.076923076923077</v>
      </c>
      <c r="FL85" s="243">
        <f t="shared" si="751"/>
        <v>8.3076923076923084</v>
      </c>
      <c r="FM85" s="243">
        <f t="shared" si="752"/>
        <v>23.07692307692308</v>
      </c>
      <c r="FN85" s="252">
        <f t="shared" si="665"/>
        <v>0</v>
      </c>
      <c r="FO85" s="309">
        <f t="shared" si="753"/>
        <v>23.07692307692308</v>
      </c>
      <c r="FP85" s="218">
        <f>IF(FM85&lt;=0,1,0)+IF(FM85&gt;0,FM85+1,0)*1+IF(FM85&gt;12,FM85-12,0)*1+IF(FM85&gt;13,FM85-13,0)*1+IF(FM85&gt;14,FM85-14,0)*1+IF(FM85&gt;15,FM85-15,0)*1+IF(FM85&gt;16,FM85-16,0)*1+IF(FM85&gt;17,FM85-17,0)*1+IF(FM85&gt;18,FM85-18,0)*1+IF(FM85&gt;19,FM85-19,0)*1+IF(FM85&gt;20,FM85-20,0)*1</f>
        <v>87.769230769230802</v>
      </c>
      <c r="FQ85" s="242">
        <f>IF(FN85&lt;=0,1,0)+IF(FN85&gt;0,FN85+1,0)*1+IF(FN85&gt;12,FN85-12,0)*1+IF(FN85&gt;13,FN85-13,0)*1+IF(FN85&gt;14,FN85-14,0)*1+IF(FN85&gt;15,FN85-15,0)*1+IF(FN85&gt;16,FN85-16,0)*1+IF(FN85&gt;17,FN85-17,0)*1+IF(FN85&gt;18,FN85-18,0)*1+IF(FN85&gt;19,FN85-19,0)*1+IF(FN85&gt;20,FN85-20,0)*1</f>
        <v>1</v>
      </c>
      <c r="FR85" s="243">
        <f t="shared" si="754"/>
        <v>86.769230769230802</v>
      </c>
      <c r="FS85" s="218">
        <f t="shared" si="755"/>
        <v>0</v>
      </c>
      <c r="FU85" s="303" t="s">
        <v>188</v>
      </c>
      <c r="FV85" s="218" t="s">
        <v>86</v>
      </c>
      <c r="FW85" s="243" t="s">
        <v>133</v>
      </c>
      <c r="FX85" s="237">
        <f t="shared" si="801"/>
        <v>12</v>
      </c>
      <c r="FY85" s="234"/>
      <c r="FZ85" s="234">
        <f t="shared" si="675"/>
        <v>12</v>
      </c>
      <c r="GA85" s="234">
        <f>Konvention_1slave-CHslave</f>
        <v>12</v>
      </c>
      <c r="GB85" s="234"/>
      <c r="GC85" s="234"/>
      <c r="GD85" s="234"/>
      <c r="GE85" s="224"/>
      <c r="GF85" s="222">
        <f t="shared" si="756"/>
        <v>12</v>
      </c>
      <c r="GG85" s="223">
        <f t="shared" si="757"/>
        <v>24</v>
      </c>
      <c r="GH85" s="224">
        <f t="shared" si="758"/>
        <v>36</v>
      </c>
      <c r="GI85" s="237">
        <f t="shared" si="759"/>
        <v>2304</v>
      </c>
      <c r="GJ85" s="234">
        <f>FX85*FZ85*CHslave+FX85*INslave*GA85+MUslave*FZ85*GA85</f>
        <v>3456</v>
      </c>
      <c r="GK85" s="224">
        <f t="shared" si="760"/>
        <v>1728</v>
      </c>
      <c r="GL85" s="242">
        <f t="shared" si="761"/>
        <v>7488</v>
      </c>
      <c r="GM85" s="222">
        <f t="shared" si="762"/>
        <v>3.6923076923076925</v>
      </c>
      <c r="GN85" s="223">
        <f t="shared" si="763"/>
        <v>11.076923076923077</v>
      </c>
      <c r="GO85" s="243">
        <f t="shared" si="764"/>
        <v>8.3076923076923084</v>
      </c>
      <c r="GP85" s="243">
        <f t="shared" si="765"/>
        <v>23.07692307692308</v>
      </c>
      <c r="GQ85" s="252">
        <f t="shared" si="666"/>
        <v>0</v>
      </c>
      <c r="GR85" s="309">
        <f t="shared" si="766"/>
        <v>23.07692307692308</v>
      </c>
      <c r="GS85" s="218">
        <f>IF(GP85&lt;=0,1,0)+IF(GP85&gt;0,GP85+1,0)*1+IF(GP85&gt;12,GP85-12,0)*1+IF(GP85&gt;13,GP85-13,0)*1+IF(GP85&gt;14,GP85-14,0)*1+IF(GP85&gt;15,GP85-15,0)*1+IF(GP85&gt;16,GP85-16,0)*1+IF(GP85&gt;17,GP85-17,0)*1+IF(GP85&gt;18,GP85-18,0)*1+IF(GP85&gt;19,GP85-19,0)*1+IF(GP85&gt;20,GP85-20,0)*1</f>
        <v>87.769230769230802</v>
      </c>
      <c r="GT85" s="242">
        <f>IF(GQ85&lt;=0,1,0)+IF(GQ85&gt;0,GQ85+1,0)*1+IF(GQ85&gt;12,GQ85-12,0)*1+IF(GQ85&gt;13,GQ85-13,0)*1+IF(GQ85&gt;14,GQ85-14,0)*1+IF(GQ85&gt;15,GQ85-15,0)*1+IF(GQ85&gt;16,GQ85-16,0)*1+IF(GQ85&gt;17,GQ85-17,0)*1+IF(GQ85&gt;18,GQ85-18,0)*1+IF(GQ85&gt;19,GQ85-19,0)*1+IF(GQ85&gt;20,GQ85-20,0)*1</f>
        <v>1</v>
      </c>
      <c r="GU85" s="243">
        <f t="shared" si="767"/>
        <v>86.769230769230802</v>
      </c>
      <c r="GV85" s="218">
        <f t="shared" si="768"/>
        <v>0</v>
      </c>
      <c r="GX85" s="303" t="s">
        <v>188</v>
      </c>
      <c r="GY85" s="218" t="s">
        <v>86</v>
      </c>
      <c r="GZ85" s="243" t="s">
        <v>133</v>
      </c>
      <c r="HA85" s="237">
        <f t="shared" si="802"/>
        <v>12</v>
      </c>
      <c r="HB85" s="234"/>
      <c r="HC85" s="234">
        <f t="shared" si="676"/>
        <v>12</v>
      </c>
      <c r="HD85" s="234">
        <f>Konvention_1slave-CHslave</f>
        <v>12</v>
      </c>
      <c r="HE85" s="234"/>
      <c r="HF85" s="234"/>
      <c r="HG85" s="234"/>
      <c r="HH85" s="224"/>
      <c r="HI85" s="222">
        <f t="shared" si="769"/>
        <v>12</v>
      </c>
      <c r="HJ85" s="223">
        <f t="shared" si="770"/>
        <v>24</v>
      </c>
      <c r="HK85" s="224">
        <f t="shared" si="771"/>
        <v>36</v>
      </c>
      <c r="HL85" s="237">
        <f t="shared" si="772"/>
        <v>2304</v>
      </c>
      <c r="HM85" s="234">
        <f>HA85*HC85*CHslave+HA85*INslave*HD85+MUslave*HC85*HD85</f>
        <v>3456</v>
      </c>
      <c r="HN85" s="224">
        <f t="shared" si="773"/>
        <v>1728</v>
      </c>
      <c r="HO85" s="242">
        <f t="shared" si="774"/>
        <v>7488</v>
      </c>
      <c r="HP85" s="222">
        <f t="shared" si="775"/>
        <v>3.6923076923076925</v>
      </c>
      <c r="HQ85" s="223">
        <f t="shared" si="776"/>
        <v>11.076923076923077</v>
      </c>
      <c r="HR85" s="243">
        <f t="shared" si="777"/>
        <v>8.3076923076923084</v>
      </c>
      <c r="HS85" s="243">
        <f t="shared" si="778"/>
        <v>23.07692307692308</v>
      </c>
      <c r="HT85" s="252">
        <f t="shared" si="667"/>
        <v>0</v>
      </c>
      <c r="HU85" s="309">
        <f t="shared" si="779"/>
        <v>23.07692307692308</v>
      </c>
      <c r="HV85" s="218">
        <f>IF(HS85&lt;=0,1,0)+IF(HS85&gt;0,HS85+1,0)*1+IF(HS85&gt;12,HS85-12,0)*1+IF(HS85&gt;13,HS85-13,0)*1+IF(HS85&gt;14,HS85-14,0)*1+IF(HS85&gt;15,HS85-15,0)*1+IF(HS85&gt;16,HS85-16,0)*1+IF(HS85&gt;17,HS85-17,0)*1+IF(HS85&gt;18,HS85-18,0)*1+IF(HS85&gt;19,HS85-19,0)*1+IF(HS85&gt;20,HS85-20,0)*1</f>
        <v>87.769230769230802</v>
      </c>
      <c r="HW85" s="242">
        <f>IF(HT85&lt;=0,1,0)+IF(HT85&gt;0,HT85+1,0)*1+IF(HT85&gt;12,HT85-12,0)*1+IF(HT85&gt;13,HT85-13,0)*1+IF(HT85&gt;14,HT85-14,0)*1+IF(HT85&gt;15,HT85-15,0)*1+IF(HT85&gt;16,HT85-16,0)*1+IF(HT85&gt;17,HT85-17,0)*1+IF(HT85&gt;18,HT85-18,0)*1+IF(HT85&gt;19,HT85-19,0)*1+IF(HT85&gt;20,HT85-20,0)*1</f>
        <v>1</v>
      </c>
      <c r="HX85" s="243">
        <f t="shared" si="780"/>
        <v>86.769230769230802</v>
      </c>
      <c r="HY85" s="218">
        <f t="shared" si="781"/>
        <v>0</v>
      </c>
      <c r="IA85" s="303" t="s">
        <v>188</v>
      </c>
      <c r="IB85" s="218" t="s">
        <v>86</v>
      </c>
      <c r="IC85" s="243" t="s">
        <v>133</v>
      </c>
      <c r="ID85" s="237">
        <f t="shared" si="803"/>
        <v>12</v>
      </c>
      <c r="IE85" s="234"/>
      <c r="IF85" s="234">
        <f t="shared" si="677"/>
        <v>12</v>
      </c>
      <c r="IG85" s="234">
        <f>Konvention_1slave-CHslave</f>
        <v>12</v>
      </c>
      <c r="IH85" s="234"/>
      <c r="II85" s="234"/>
      <c r="IJ85" s="234"/>
      <c r="IK85" s="224"/>
      <c r="IL85" s="222">
        <f t="shared" si="782"/>
        <v>12</v>
      </c>
      <c r="IM85" s="223">
        <f t="shared" si="783"/>
        <v>24</v>
      </c>
      <c r="IN85" s="224">
        <f t="shared" si="784"/>
        <v>36</v>
      </c>
      <c r="IO85" s="237">
        <f t="shared" si="785"/>
        <v>2304</v>
      </c>
      <c r="IP85" s="234">
        <f>ID85*IF85*CHslave+ID85*INslave*IG85+MUslave*IF85*IG85</f>
        <v>3456</v>
      </c>
      <c r="IQ85" s="224">
        <f t="shared" si="786"/>
        <v>1728</v>
      </c>
      <c r="IR85" s="242">
        <f t="shared" si="787"/>
        <v>7488</v>
      </c>
      <c r="IS85" s="222">
        <f t="shared" si="788"/>
        <v>3.6923076923076925</v>
      </c>
      <c r="IT85" s="223">
        <f t="shared" si="789"/>
        <v>11.076923076923077</v>
      </c>
      <c r="IU85" s="243">
        <f t="shared" si="790"/>
        <v>8.3076923076923084</v>
      </c>
      <c r="IV85" s="243">
        <f t="shared" si="791"/>
        <v>23.07692307692308</v>
      </c>
      <c r="IW85" s="252">
        <f t="shared" si="668"/>
        <v>0</v>
      </c>
      <c r="IX85" s="309">
        <f t="shared" si="792"/>
        <v>23.07692307692308</v>
      </c>
      <c r="IY85" s="218">
        <f>IF(IV85&lt;=0,1,0)+IF(IV85&gt;0,IV85+1,0)*1+IF(IV85&gt;12,IV85-12,0)*1+IF(IV85&gt;13,IV85-13,0)*1+IF(IV85&gt;14,IV85-14,0)*1+IF(IV85&gt;15,IV85-15,0)*1+IF(IV85&gt;16,IV85-16,0)*1+IF(IV85&gt;17,IV85-17,0)*1+IF(IV85&gt;18,IV85-18,0)*1+IF(IV85&gt;19,IV85-19,0)*1+IF(IV85&gt;20,IV85-20,0)*1</f>
        <v>87.769230769230802</v>
      </c>
      <c r="IZ85" s="242">
        <f>IF(IW85&lt;=0,1,0)+IF(IW85&gt;0,IW85+1,0)*1+IF(IW85&gt;12,IW85-12,0)*1+IF(IW85&gt;13,IW85-13,0)*1+IF(IW85&gt;14,IW85-14,0)*1+IF(IW85&gt;15,IW85-15,0)*1+IF(IW85&gt;16,IW85-16,0)*1+IF(IW85&gt;17,IW85-17,0)*1+IF(IW85&gt;18,IW85-18,0)*1+IF(IW85&gt;19,IW85-19,0)*1+IF(IW85&gt;20,IW85-20,0)*1</f>
        <v>1</v>
      </c>
      <c r="JA85" s="243">
        <f t="shared" si="793"/>
        <v>86.769230769230802</v>
      </c>
      <c r="JB85" s="218">
        <f t="shared" si="794"/>
        <v>0</v>
      </c>
      <c r="JE85" s="148"/>
    </row>
    <row r="86" spans="2:265" ht="15" hidden="1" customHeight="1" outlineLevel="2">
      <c r="B86" s="148">
        <v>9</v>
      </c>
      <c r="C86" s="303" t="e">
        <f>VLOOKUP(AF86,Attribute!C:T,1,FALSE)</f>
        <v>#N/A</v>
      </c>
      <c r="D86" s="125" t="s">
        <v>84</v>
      </c>
      <c r="E86" s="127" t="s">
        <v>132</v>
      </c>
      <c r="F86" s="114">
        <f t="shared" si="795"/>
        <v>12</v>
      </c>
      <c r="G86" s="113">
        <f t="shared" ref="G86:G96" si="804">Konvention_1master-KLmaster</f>
        <v>12</v>
      </c>
      <c r="H86" s="113"/>
      <c r="I86" s="113">
        <f>Konvention_1master-CHmaster</f>
        <v>12</v>
      </c>
      <c r="J86" s="113"/>
      <c r="K86" s="113"/>
      <c r="L86" s="113"/>
      <c r="M86" s="119"/>
      <c r="N86" s="222">
        <f t="shared" si="678"/>
        <v>12</v>
      </c>
      <c r="O86" s="223">
        <f t="shared" si="679"/>
        <v>24</v>
      </c>
      <c r="P86" s="224">
        <f t="shared" si="680"/>
        <v>36</v>
      </c>
      <c r="Q86" s="237">
        <f t="shared" si="681"/>
        <v>2304</v>
      </c>
      <c r="R86" s="113">
        <f>F86*G86*CHmaster+F86*KLmaster*I86+MUmaster*G86*I86</f>
        <v>3456</v>
      </c>
      <c r="S86" s="224">
        <f t="shared" si="682"/>
        <v>1728</v>
      </c>
      <c r="T86" s="242">
        <f t="shared" si="683"/>
        <v>7488</v>
      </c>
      <c r="U86" s="222">
        <f t="shared" si="684"/>
        <v>3.6923076923076925</v>
      </c>
      <c r="V86" s="223">
        <f t="shared" si="685"/>
        <v>11.076923076923077</v>
      </c>
      <c r="W86" s="243">
        <f t="shared" si="686"/>
        <v>8.3076923076923084</v>
      </c>
      <c r="X86" s="243">
        <f t="shared" si="687"/>
        <v>23.07692307692308</v>
      </c>
      <c r="Y86" s="252">
        <v>0</v>
      </c>
      <c r="Z86" s="198">
        <f t="shared" si="688"/>
        <v>23.07692307692308</v>
      </c>
      <c r="AA86" s="125">
        <f>IF(X86&lt;=0,2,0)+IF(X86&gt;0,X86+1,0)*2+IF(X86&gt;12,X86-12,0)*2+IF(X86&gt;13,X86-13,0)*2+IF(X86&gt;14,X86-14,0)*2+IF(X86&gt;15,X86-15,0)*2+IF(X86&gt;16,X86-16,0)*2+IF(X86&gt;17,X86-17,0)*2+IF(X86&gt;18,X86-18,0)*2+IF(X86&gt;19,X86-19,0)*2+IF(X86&gt;20,X86-20,0)*2</f>
        <v>175.5384615384616</v>
      </c>
      <c r="AB86" s="160">
        <f>IF(Y86&lt;=0,2,0)+IF(Y86&gt;0,Y86+1,0)*2+IF(Y86&gt;12,Y86-12,0)*2+IF(Y86&gt;13,Y86-13,0)*2+IF(Y86&gt;14,Y86-14,0)*2+IF(Y86&gt;15,Y86-15,0)*2+IF(Y86&gt;16,Y86-16,0)*2+IF(Y86&gt;17,Y86-17,0)*2+IF(Y86&gt;18,Y86-18,0)*2+IF(Y86&gt;19,Y86-19,0)*2+IF(Y86&gt;20,Y86-20,0)*2</f>
        <v>2</v>
      </c>
      <c r="AC86" s="127">
        <f t="shared" si="689"/>
        <v>173.5384615384616</v>
      </c>
      <c r="AD86" s="125">
        <f t="shared" si="690"/>
        <v>0</v>
      </c>
      <c r="AF86" s="163" t="s">
        <v>190</v>
      </c>
      <c r="AG86" s="125" t="s">
        <v>84</v>
      </c>
      <c r="AH86" s="127" t="s">
        <v>132</v>
      </c>
      <c r="AI86" s="114">
        <f t="shared" si="796"/>
        <v>11</v>
      </c>
      <c r="AJ86" s="113">
        <f t="shared" ref="AJ86:AJ96" si="805">Konvention_1slave-KLslave</f>
        <v>12</v>
      </c>
      <c r="AK86" s="113"/>
      <c r="AL86" s="113">
        <f>Konvention_1slave-CHslave</f>
        <v>12</v>
      </c>
      <c r="AM86" s="113"/>
      <c r="AN86" s="113"/>
      <c r="AO86" s="113"/>
      <c r="AP86" s="119"/>
      <c r="AQ86" s="89">
        <f t="shared" si="691"/>
        <v>11.666666666666666</v>
      </c>
      <c r="AR86" s="47">
        <f t="shared" si="692"/>
        <v>23.333333333333332</v>
      </c>
      <c r="AS86" s="119">
        <f t="shared" si="693"/>
        <v>35</v>
      </c>
      <c r="AT86" s="114">
        <f t="shared" si="694"/>
        <v>2432</v>
      </c>
      <c r="AU86" s="113">
        <f>AI86*AJ86*CHslave+AI86*KLslave*AL86+MUslave_MU*AJ86*AL86</f>
        <v>3408</v>
      </c>
      <c r="AV86" s="119">
        <f t="shared" si="695"/>
        <v>1584</v>
      </c>
      <c r="AW86" s="160">
        <f t="shared" si="696"/>
        <v>7424</v>
      </c>
      <c r="AX86" s="89">
        <f t="shared" si="697"/>
        <v>3.8218390804597702</v>
      </c>
      <c r="AY86" s="47">
        <f t="shared" si="698"/>
        <v>10.711206896551724</v>
      </c>
      <c r="AZ86" s="127">
        <f t="shared" si="699"/>
        <v>7.4676724137931032</v>
      </c>
      <c r="BA86" s="127">
        <f t="shared" si="700"/>
        <v>22.000718390804597</v>
      </c>
      <c r="BB86" s="165">
        <f t="shared" si="661"/>
        <v>0</v>
      </c>
      <c r="BC86" s="198">
        <f t="shared" si="701"/>
        <v>22.000718390804597</v>
      </c>
      <c r="BD86" s="125">
        <f>IF(BA86&lt;=0,2,0)+IF(BA86&gt;0,BA86+1,0)*2+IF(BA86&gt;12,BA86-12,0)*2+IF(BA86&gt;13,BA86-13,0)*2+IF(BA86&gt;14,BA86-14,0)*2+IF(BA86&gt;15,BA86-15,0)*2+IF(BA86&gt;16,BA86-16,0)*2+IF(BA86&gt;17,BA86-17,0)*2+IF(BA86&gt;18,BA86-18,0)*2+IF(BA86&gt;19,BA86-19,0)*2+IF(BA86&gt;20,BA86-20,0)*2</f>
        <v>154.01436781609189</v>
      </c>
      <c r="BE86" s="160">
        <f>IF(BB86&lt;=0,2,0)+IF(BB86&gt;0,BB86+1,0)*2+IF(BB86&gt;12,BB86-12,0)*2+IF(BB86&gt;13,BB86-13,0)*2+IF(BB86&gt;14,BB86-14,0)*2+IF(BB86&gt;15,BB86-15,0)*2+IF(BB86&gt;16,BB86-16,0)*2+IF(BB86&gt;17,BB86-17,0)*2+IF(BB86&gt;18,BB86-18,0)*2+IF(BB86&gt;19,BB86-19,0)*2+IF(BB86&gt;20,BB86-20,0)*2</f>
        <v>2</v>
      </c>
      <c r="BF86" s="243">
        <f t="shared" si="702"/>
        <v>152.01436781609189</v>
      </c>
      <c r="BG86" s="218">
        <f t="shared" si="703"/>
        <v>0</v>
      </c>
      <c r="BI86" s="303" t="s">
        <v>190</v>
      </c>
      <c r="BJ86" s="218" t="s">
        <v>84</v>
      </c>
      <c r="BK86" s="243" t="s">
        <v>132</v>
      </c>
      <c r="BL86" s="237">
        <f t="shared" si="797"/>
        <v>12</v>
      </c>
      <c r="BM86" s="234">
        <f>Konvention_1slave-KLslave_KL</f>
        <v>11</v>
      </c>
      <c r="BN86" s="234"/>
      <c r="BO86" s="234">
        <f>Konvention_1slave-CHslave</f>
        <v>12</v>
      </c>
      <c r="BP86" s="234"/>
      <c r="BQ86" s="234"/>
      <c r="BR86" s="234"/>
      <c r="BS86" s="224"/>
      <c r="BT86" s="222">
        <f t="shared" si="704"/>
        <v>11.666666666666666</v>
      </c>
      <c r="BU86" s="223">
        <f t="shared" si="705"/>
        <v>23.333333333333332</v>
      </c>
      <c r="BV86" s="224">
        <f t="shared" si="706"/>
        <v>35</v>
      </c>
      <c r="BW86" s="237">
        <f t="shared" si="707"/>
        <v>2432</v>
      </c>
      <c r="BX86" s="234">
        <f>BL86*BM86*CHslave+BL86*KLslave_KL*BO86+MUslave*BM86*BO86</f>
        <v>3408</v>
      </c>
      <c r="BY86" s="224">
        <f t="shared" si="708"/>
        <v>1584</v>
      </c>
      <c r="BZ86" s="242">
        <f t="shared" si="709"/>
        <v>7424</v>
      </c>
      <c r="CA86" s="222">
        <f t="shared" si="710"/>
        <v>3.8218390804597702</v>
      </c>
      <c r="CB86" s="223">
        <f t="shared" si="711"/>
        <v>10.711206896551724</v>
      </c>
      <c r="CC86" s="243">
        <f t="shared" si="712"/>
        <v>7.4676724137931032</v>
      </c>
      <c r="CD86" s="243">
        <f t="shared" si="713"/>
        <v>22.000718390804597</v>
      </c>
      <c r="CE86" s="252">
        <f t="shared" si="662"/>
        <v>0</v>
      </c>
      <c r="CF86" s="309">
        <f t="shared" si="714"/>
        <v>22.000718390804597</v>
      </c>
      <c r="CG86" s="218">
        <f>IF(CD86&lt;=0,2,0)+IF(CD86&gt;0,CD86+1,0)*2+IF(CD86&gt;12,CD86-12,0)*2+IF(CD86&gt;13,CD86-13,0)*2+IF(CD86&gt;14,CD86-14,0)*2+IF(CD86&gt;15,CD86-15,0)*2+IF(CD86&gt;16,CD86-16,0)*2+IF(CD86&gt;17,CD86-17,0)*2+IF(CD86&gt;18,CD86-18,0)*2+IF(CD86&gt;19,CD86-19,0)*2+IF(CD86&gt;20,CD86-20,0)*2</f>
        <v>154.01436781609189</v>
      </c>
      <c r="CH86" s="242">
        <f>IF(CE86&lt;=0,2,0)+IF(CE86&gt;0,CE86+1,0)*2+IF(CE86&gt;12,CE86-12,0)*2+IF(CE86&gt;13,CE86-13,0)*2+IF(CE86&gt;14,CE86-14,0)*2+IF(CE86&gt;15,CE86-15,0)*2+IF(CE86&gt;16,CE86-16,0)*2+IF(CE86&gt;17,CE86-17,0)*2+IF(CE86&gt;18,CE86-18,0)*2+IF(CE86&gt;19,CE86-19,0)*2+IF(CE86&gt;20,CE86-20,0)*2</f>
        <v>2</v>
      </c>
      <c r="CI86" s="243">
        <f t="shared" si="715"/>
        <v>152.01436781609189</v>
      </c>
      <c r="CJ86" s="218">
        <f t="shared" si="716"/>
        <v>0</v>
      </c>
      <c r="CL86" s="303" t="s">
        <v>190</v>
      </c>
      <c r="CM86" s="218" t="s">
        <v>84</v>
      </c>
      <c r="CN86" s="243" t="s">
        <v>132</v>
      </c>
      <c r="CO86" s="237">
        <f t="shared" si="798"/>
        <v>12</v>
      </c>
      <c r="CP86" s="234">
        <f t="shared" ref="CP86:CP96" si="806">Konvention_1slave-KLslave</f>
        <v>12</v>
      </c>
      <c r="CQ86" s="234"/>
      <c r="CR86" s="234">
        <f>Konvention_1slave-CHslave</f>
        <v>12</v>
      </c>
      <c r="CS86" s="234"/>
      <c r="CT86" s="234"/>
      <c r="CU86" s="234"/>
      <c r="CV86" s="224"/>
      <c r="CW86" s="222">
        <f t="shared" si="717"/>
        <v>12</v>
      </c>
      <c r="CX86" s="223">
        <f t="shared" si="718"/>
        <v>24</v>
      </c>
      <c r="CY86" s="224">
        <f t="shared" si="719"/>
        <v>36</v>
      </c>
      <c r="CZ86" s="237">
        <f t="shared" si="720"/>
        <v>2304</v>
      </c>
      <c r="DA86" s="234">
        <f>CO86*CP86*CHslave+CO86*KLslave*CR86+MUslave*CP86*CR86</f>
        <v>3456</v>
      </c>
      <c r="DB86" s="224">
        <f t="shared" si="721"/>
        <v>1728</v>
      </c>
      <c r="DC86" s="242">
        <f t="shared" si="722"/>
        <v>7488</v>
      </c>
      <c r="DD86" s="222">
        <f t="shared" si="723"/>
        <v>3.6923076923076925</v>
      </c>
      <c r="DE86" s="223">
        <f t="shared" si="724"/>
        <v>11.076923076923077</v>
      </c>
      <c r="DF86" s="243">
        <f t="shared" si="725"/>
        <v>8.3076923076923084</v>
      </c>
      <c r="DG86" s="243">
        <f t="shared" si="726"/>
        <v>23.07692307692308</v>
      </c>
      <c r="DH86" s="252">
        <f t="shared" si="663"/>
        <v>0</v>
      </c>
      <c r="DI86" s="309">
        <f t="shared" si="727"/>
        <v>23.07692307692308</v>
      </c>
      <c r="DJ86" s="218">
        <f>IF(DG86&lt;=0,2,0)+IF(DG86&gt;0,DG86+1,0)*2+IF(DG86&gt;12,DG86-12,0)*2+IF(DG86&gt;13,DG86-13,0)*2+IF(DG86&gt;14,DG86-14,0)*2+IF(DG86&gt;15,DG86-15,0)*2+IF(DG86&gt;16,DG86-16,0)*2+IF(DG86&gt;17,DG86-17,0)*2+IF(DG86&gt;18,DG86-18,0)*2+IF(DG86&gt;19,DG86-19,0)*2+IF(DG86&gt;20,DG86-20,0)*2</f>
        <v>175.5384615384616</v>
      </c>
      <c r="DK86" s="242">
        <f>IF(DH86&lt;=0,2,0)+IF(DH86&gt;0,DH86+1,0)*2+IF(DH86&gt;12,DH86-12,0)*2+IF(DH86&gt;13,DH86-13,0)*2+IF(DH86&gt;14,DH86-14,0)*2+IF(DH86&gt;15,DH86-15,0)*2+IF(DH86&gt;16,DH86-16,0)*2+IF(DH86&gt;17,DH86-17,0)*2+IF(DH86&gt;18,DH86-18,0)*2+IF(DH86&gt;19,DH86-19,0)*2+IF(DH86&gt;20,DH86-20,0)*2</f>
        <v>2</v>
      </c>
      <c r="DL86" s="243">
        <f t="shared" si="728"/>
        <v>173.5384615384616</v>
      </c>
      <c r="DM86" s="218">
        <f t="shared" si="729"/>
        <v>0</v>
      </c>
      <c r="DO86" s="303" t="s">
        <v>190</v>
      </c>
      <c r="DP86" s="218" t="s">
        <v>84</v>
      </c>
      <c r="DQ86" s="243" t="s">
        <v>132</v>
      </c>
      <c r="DR86" s="237">
        <f t="shared" si="799"/>
        <v>12</v>
      </c>
      <c r="DS86" s="234">
        <f t="shared" ref="DS86:DS96" si="807">Konvention_1slave-KLslave</f>
        <v>12</v>
      </c>
      <c r="DT86" s="234"/>
      <c r="DU86" s="234">
        <f>Konvention_1slave-CHslave_CH</f>
        <v>11</v>
      </c>
      <c r="DV86" s="234"/>
      <c r="DW86" s="234"/>
      <c r="DX86" s="234"/>
      <c r="DY86" s="224"/>
      <c r="DZ86" s="222">
        <f t="shared" si="730"/>
        <v>11.666666666666666</v>
      </c>
      <c r="EA86" s="223">
        <f t="shared" si="731"/>
        <v>23.333333333333332</v>
      </c>
      <c r="EB86" s="224">
        <f t="shared" si="732"/>
        <v>35</v>
      </c>
      <c r="EC86" s="237">
        <f t="shared" si="733"/>
        <v>2432</v>
      </c>
      <c r="ED86" s="234">
        <f>DR86*DS86*CHslave_CH+DR86*KLslave*DU86+MUslave*DS86*DU86</f>
        <v>3408</v>
      </c>
      <c r="EE86" s="224">
        <f t="shared" si="734"/>
        <v>1584</v>
      </c>
      <c r="EF86" s="242">
        <f t="shared" si="735"/>
        <v>7424</v>
      </c>
      <c r="EG86" s="222">
        <f t="shared" si="736"/>
        <v>3.8218390804597702</v>
      </c>
      <c r="EH86" s="223">
        <f t="shared" si="737"/>
        <v>10.711206896551724</v>
      </c>
      <c r="EI86" s="243">
        <f t="shared" si="738"/>
        <v>7.4676724137931032</v>
      </c>
      <c r="EJ86" s="243">
        <f t="shared" si="739"/>
        <v>22.000718390804597</v>
      </c>
      <c r="EK86" s="252">
        <f t="shared" si="664"/>
        <v>0</v>
      </c>
      <c r="EL86" s="309">
        <f t="shared" si="740"/>
        <v>22.000718390804597</v>
      </c>
      <c r="EM86" s="218">
        <f>IF(EJ86&lt;=0,2,0)+IF(EJ86&gt;0,EJ86+1,0)*2+IF(EJ86&gt;12,EJ86-12,0)*2+IF(EJ86&gt;13,EJ86-13,0)*2+IF(EJ86&gt;14,EJ86-14,0)*2+IF(EJ86&gt;15,EJ86-15,0)*2+IF(EJ86&gt;16,EJ86-16,0)*2+IF(EJ86&gt;17,EJ86-17,0)*2+IF(EJ86&gt;18,EJ86-18,0)*2+IF(EJ86&gt;19,EJ86-19,0)*2+IF(EJ86&gt;20,EJ86-20,0)*2</f>
        <v>154.01436781609189</v>
      </c>
      <c r="EN86" s="242">
        <f>IF(EK86&lt;=0,2,0)+IF(EK86&gt;0,EK86+1,0)*2+IF(EK86&gt;12,EK86-12,0)*2+IF(EK86&gt;13,EK86-13,0)*2+IF(EK86&gt;14,EK86-14,0)*2+IF(EK86&gt;15,EK86-15,0)*2+IF(EK86&gt;16,EK86-16,0)*2+IF(EK86&gt;17,EK86-17,0)*2+IF(EK86&gt;18,EK86-18,0)*2+IF(EK86&gt;19,EK86-19,0)*2+IF(EK86&gt;20,EK86-20,0)*2</f>
        <v>2</v>
      </c>
      <c r="EO86" s="243">
        <f t="shared" si="741"/>
        <v>152.01436781609189</v>
      </c>
      <c r="EP86" s="218">
        <f t="shared" si="742"/>
        <v>0</v>
      </c>
      <c r="ER86" s="303" t="s">
        <v>190</v>
      </c>
      <c r="ES86" s="218" t="s">
        <v>84</v>
      </c>
      <c r="ET86" s="243" t="s">
        <v>132</v>
      </c>
      <c r="EU86" s="237">
        <f t="shared" si="800"/>
        <v>12</v>
      </c>
      <c r="EV86" s="234">
        <f t="shared" ref="EV86:EV96" si="808">Konvention_1slave-KLslave</f>
        <v>12</v>
      </c>
      <c r="EW86" s="234"/>
      <c r="EX86" s="234">
        <f>Konvention_1slave-CHslave</f>
        <v>12</v>
      </c>
      <c r="EY86" s="234"/>
      <c r="EZ86" s="234"/>
      <c r="FA86" s="234"/>
      <c r="FB86" s="224"/>
      <c r="FC86" s="222">
        <f t="shared" si="743"/>
        <v>12</v>
      </c>
      <c r="FD86" s="223">
        <f t="shared" si="744"/>
        <v>24</v>
      </c>
      <c r="FE86" s="224">
        <f t="shared" si="745"/>
        <v>36</v>
      </c>
      <c r="FF86" s="237">
        <f t="shared" si="746"/>
        <v>2304</v>
      </c>
      <c r="FG86" s="234">
        <f>EU86*EV86*CHslave+EU86*KLslave*EX86+MUslave*EV86*EX86</f>
        <v>3456</v>
      </c>
      <c r="FH86" s="224">
        <f t="shared" si="747"/>
        <v>1728</v>
      </c>
      <c r="FI86" s="242">
        <f t="shared" si="748"/>
        <v>7488</v>
      </c>
      <c r="FJ86" s="222">
        <f t="shared" si="749"/>
        <v>3.6923076923076925</v>
      </c>
      <c r="FK86" s="223">
        <f t="shared" si="750"/>
        <v>11.076923076923077</v>
      </c>
      <c r="FL86" s="243">
        <f t="shared" si="751"/>
        <v>8.3076923076923084</v>
      </c>
      <c r="FM86" s="243">
        <f t="shared" si="752"/>
        <v>23.07692307692308</v>
      </c>
      <c r="FN86" s="252">
        <f t="shared" si="665"/>
        <v>0</v>
      </c>
      <c r="FO86" s="309">
        <f t="shared" si="753"/>
        <v>23.07692307692308</v>
      </c>
      <c r="FP86" s="218">
        <f>IF(FM86&lt;=0,2,0)+IF(FM86&gt;0,FM86+1,0)*2+IF(FM86&gt;12,FM86-12,0)*2+IF(FM86&gt;13,FM86-13,0)*2+IF(FM86&gt;14,FM86-14,0)*2+IF(FM86&gt;15,FM86-15,0)*2+IF(FM86&gt;16,FM86-16,0)*2+IF(FM86&gt;17,FM86-17,0)*2+IF(FM86&gt;18,FM86-18,0)*2+IF(FM86&gt;19,FM86-19,0)*2+IF(FM86&gt;20,FM86-20,0)*2</f>
        <v>175.5384615384616</v>
      </c>
      <c r="FQ86" s="242">
        <f>IF(FN86&lt;=0,2,0)+IF(FN86&gt;0,FN86+1,0)*2+IF(FN86&gt;12,FN86-12,0)*2+IF(FN86&gt;13,FN86-13,0)*2+IF(FN86&gt;14,FN86-14,0)*2+IF(FN86&gt;15,FN86-15,0)*2+IF(FN86&gt;16,FN86-16,0)*2+IF(FN86&gt;17,FN86-17,0)*2+IF(FN86&gt;18,FN86-18,0)*2+IF(FN86&gt;19,FN86-19,0)*2+IF(FN86&gt;20,FN86-20,0)*2</f>
        <v>2</v>
      </c>
      <c r="FR86" s="243">
        <f t="shared" si="754"/>
        <v>173.5384615384616</v>
      </c>
      <c r="FS86" s="218">
        <f t="shared" si="755"/>
        <v>0</v>
      </c>
      <c r="FU86" s="303" t="s">
        <v>190</v>
      </c>
      <c r="FV86" s="218" t="s">
        <v>84</v>
      </c>
      <c r="FW86" s="243" t="s">
        <v>132</v>
      </c>
      <c r="FX86" s="237">
        <f t="shared" si="801"/>
        <v>12</v>
      </c>
      <c r="FY86" s="234">
        <f t="shared" ref="FY86:FY96" si="809">Konvention_1slave-KLslave</f>
        <v>12</v>
      </c>
      <c r="FZ86" s="234"/>
      <c r="GA86" s="234">
        <f>Konvention_1slave-CHslave</f>
        <v>12</v>
      </c>
      <c r="GB86" s="234"/>
      <c r="GC86" s="234"/>
      <c r="GD86" s="234"/>
      <c r="GE86" s="224"/>
      <c r="GF86" s="222">
        <f t="shared" si="756"/>
        <v>12</v>
      </c>
      <c r="GG86" s="223">
        <f t="shared" si="757"/>
        <v>24</v>
      </c>
      <c r="GH86" s="224">
        <f t="shared" si="758"/>
        <v>36</v>
      </c>
      <c r="GI86" s="237">
        <f t="shared" si="759"/>
        <v>2304</v>
      </c>
      <c r="GJ86" s="234">
        <f>FX86*FY86*CHslave+FX86*KLslave*GA86+MUslave*FY86*GA86</f>
        <v>3456</v>
      </c>
      <c r="GK86" s="224">
        <f t="shared" si="760"/>
        <v>1728</v>
      </c>
      <c r="GL86" s="242">
        <f t="shared" si="761"/>
        <v>7488</v>
      </c>
      <c r="GM86" s="222">
        <f t="shared" si="762"/>
        <v>3.6923076923076925</v>
      </c>
      <c r="GN86" s="223">
        <f t="shared" si="763"/>
        <v>11.076923076923077</v>
      </c>
      <c r="GO86" s="243">
        <f t="shared" si="764"/>
        <v>8.3076923076923084</v>
      </c>
      <c r="GP86" s="243">
        <f t="shared" si="765"/>
        <v>23.07692307692308</v>
      </c>
      <c r="GQ86" s="252">
        <f t="shared" si="666"/>
        <v>0</v>
      </c>
      <c r="GR86" s="309">
        <f t="shared" si="766"/>
        <v>23.07692307692308</v>
      </c>
      <c r="GS86" s="218">
        <f>IF(GP86&lt;=0,2,0)+IF(GP86&gt;0,GP86+1,0)*2+IF(GP86&gt;12,GP86-12,0)*2+IF(GP86&gt;13,GP86-13,0)*2+IF(GP86&gt;14,GP86-14,0)*2+IF(GP86&gt;15,GP86-15,0)*2+IF(GP86&gt;16,GP86-16,0)*2+IF(GP86&gt;17,GP86-17,0)*2+IF(GP86&gt;18,GP86-18,0)*2+IF(GP86&gt;19,GP86-19,0)*2+IF(GP86&gt;20,GP86-20,0)*2</f>
        <v>175.5384615384616</v>
      </c>
      <c r="GT86" s="242">
        <f>IF(GQ86&lt;=0,2,0)+IF(GQ86&gt;0,GQ86+1,0)*2+IF(GQ86&gt;12,GQ86-12,0)*2+IF(GQ86&gt;13,GQ86-13,0)*2+IF(GQ86&gt;14,GQ86-14,0)*2+IF(GQ86&gt;15,GQ86-15,0)*2+IF(GQ86&gt;16,GQ86-16,0)*2+IF(GQ86&gt;17,GQ86-17,0)*2+IF(GQ86&gt;18,GQ86-18,0)*2+IF(GQ86&gt;19,GQ86-19,0)*2+IF(GQ86&gt;20,GQ86-20,0)*2</f>
        <v>2</v>
      </c>
      <c r="GU86" s="243">
        <f t="shared" si="767"/>
        <v>173.5384615384616</v>
      </c>
      <c r="GV86" s="218">
        <f t="shared" si="768"/>
        <v>0</v>
      </c>
      <c r="GX86" s="303" t="s">
        <v>190</v>
      </c>
      <c r="GY86" s="218" t="s">
        <v>84</v>
      </c>
      <c r="GZ86" s="243" t="s">
        <v>132</v>
      </c>
      <c r="HA86" s="237">
        <f t="shared" si="802"/>
        <v>12</v>
      </c>
      <c r="HB86" s="234">
        <f t="shared" ref="HB86:HB96" si="810">Konvention_1slave-KLslave</f>
        <v>12</v>
      </c>
      <c r="HC86" s="234"/>
      <c r="HD86" s="234">
        <f>Konvention_1slave-CHslave</f>
        <v>12</v>
      </c>
      <c r="HE86" s="234"/>
      <c r="HF86" s="234"/>
      <c r="HG86" s="234"/>
      <c r="HH86" s="224"/>
      <c r="HI86" s="222">
        <f t="shared" si="769"/>
        <v>12</v>
      </c>
      <c r="HJ86" s="223">
        <f t="shared" si="770"/>
        <v>24</v>
      </c>
      <c r="HK86" s="224">
        <f t="shared" si="771"/>
        <v>36</v>
      </c>
      <c r="HL86" s="237">
        <f t="shared" si="772"/>
        <v>2304</v>
      </c>
      <c r="HM86" s="234">
        <f>HA86*HB86*CHslave+HA86*KLslave*HD86+MUslave*HB86*HD86</f>
        <v>3456</v>
      </c>
      <c r="HN86" s="224">
        <f t="shared" si="773"/>
        <v>1728</v>
      </c>
      <c r="HO86" s="242">
        <f t="shared" si="774"/>
        <v>7488</v>
      </c>
      <c r="HP86" s="222">
        <f t="shared" si="775"/>
        <v>3.6923076923076925</v>
      </c>
      <c r="HQ86" s="223">
        <f t="shared" si="776"/>
        <v>11.076923076923077</v>
      </c>
      <c r="HR86" s="243">
        <f t="shared" si="777"/>
        <v>8.3076923076923084</v>
      </c>
      <c r="HS86" s="243">
        <f t="shared" si="778"/>
        <v>23.07692307692308</v>
      </c>
      <c r="HT86" s="252">
        <f t="shared" si="667"/>
        <v>0</v>
      </c>
      <c r="HU86" s="309">
        <f t="shared" si="779"/>
        <v>23.07692307692308</v>
      </c>
      <c r="HV86" s="218">
        <f>IF(HS86&lt;=0,2,0)+IF(HS86&gt;0,HS86+1,0)*2+IF(HS86&gt;12,HS86-12,0)*2+IF(HS86&gt;13,HS86-13,0)*2+IF(HS86&gt;14,HS86-14,0)*2+IF(HS86&gt;15,HS86-15,0)*2+IF(HS86&gt;16,HS86-16,0)*2+IF(HS86&gt;17,HS86-17,0)*2+IF(HS86&gt;18,HS86-18,0)*2+IF(HS86&gt;19,HS86-19,0)*2+IF(HS86&gt;20,HS86-20,0)*2</f>
        <v>175.5384615384616</v>
      </c>
      <c r="HW86" s="242">
        <f>IF(HT86&lt;=0,2,0)+IF(HT86&gt;0,HT86+1,0)*2+IF(HT86&gt;12,HT86-12,0)*2+IF(HT86&gt;13,HT86-13,0)*2+IF(HT86&gt;14,HT86-14,0)*2+IF(HT86&gt;15,HT86-15,0)*2+IF(HT86&gt;16,HT86-16,0)*2+IF(HT86&gt;17,HT86-17,0)*2+IF(HT86&gt;18,HT86-18,0)*2+IF(HT86&gt;19,HT86-19,0)*2+IF(HT86&gt;20,HT86-20,0)*2</f>
        <v>2</v>
      </c>
      <c r="HX86" s="243">
        <f t="shared" si="780"/>
        <v>173.5384615384616</v>
      </c>
      <c r="HY86" s="218">
        <f t="shared" si="781"/>
        <v>0</v>
      </c>
      <c r="IA86" s="303" t="s">
        <v>190</v>
      </c>
      <c r="IB86" s="218" t="s">
        <v>84</v>
      </c>
      <c r="IC86" s="243" t="s">
        <v>132</v>
      </c>
      <c r="ID86" s="237">
        <f t="shared" si="803"/>
        <v>12</v>
      </c>
      <c r="IE86" s="234">
        <f t="shared" ref="IE86:IE96" si="811">Konvention_1slave-KLslave</f>
        <v>12</v>
      </c>
      <c r="IF86" s="234"/>
      <c r="IG86" s="234">
        <f>Konvention_1slave-CHslave</f>
        <v>12</v>
      </c>
      <c r="IH86" s="234"/>
      <c r="II86" s="234"/>
      <c r="IJ86" s="234"/>
      <c r="IK86" s="224"/>
      <c r="IL86" s="222">
        <f t="shared" si="782"/>
        <v>12</v>
      </c>
      <c r="IM86" s="223">
        <f t="shared" si="783"/>
        <v>24</v>
      </c>
      <c r="IN86" s="224">
        <f t="shared" si="784"/>
        <v>36</v>
      </c>
      <c r="IO86" s="237">
        <f t="shared" si="785"/>
        <v>2304</v>
      </c>
      <c r="IP86" s="234">
        <f>ID86*IE86*CHslave+ID86*KLslave*IG86+MUslave*IE86*IG86</f>
        <v>3456</v>
      </c>
      <c r="IQ86" s="224">
        <f t="shared" si="786"/>
        <v>1728</v>
      </c>
      <c r="IR86" s="242">
        <f t="shared" si="787"/>
        <v>7488</v>
      </c>
      <c r="IS86" s="222">
        <f t="shared" si="788"/>
        <v>3.6923076923076925</v>
      </c>
      <c r="IT86" s="223">
        <f t="shared" si="789"/>
        <v>11.076923076923077</v>
      </c>
      <c r="IU86" s="243">
        <f t="shared" si="790"/>
        <v>8.3076923076923084</v>
      </c>
      <c r="IV86" s="243">
        <f t="shared" si="791"/>
        <v>23.07692307692308</v>
      </c>
      <c r="IW86" s="252">
        <f t="shared" si="668"/>
        <v>0</v>
      </c>
      <c r="IX86" s="309">
        <f t="shared" si="792"/>
        <v>23.07692307692308</v>
      </c>
      <c r="IY86" s="218">
        <f>IF(IV86&lt;=0,2,0)+IF(IV86&gt;0,IV86+1,0)*2+IF(IV86&gt;12,IV86-12,0)*2+IF(IV86&gt;13,IV86-13,0)*2+IF(IV86&gt;14,IV86-14,0)*2+IF(IV86&gt;15,IV86-15,0)*2+IF(IV86&gt;16,IV86-16,0)*2+IF(IV86&gt;17,IV86-17,0)*2+IF(IV86&gt;18,IV86-18,0)*2+IF(IV86&gt;19,IV86-19,0)*2+IF(IV86&gt;20,IV86-20,0)*2</f>
        <v>175.5384615384616</v>
      </c>
      <c r="IZ86" s="242">
        <f>IF(IW86&lt;=0,2,0)+IF(IW86&gt;0,IW86+1,0)*2+IF(IW86&gt;12,IW86-12,0)*2+IF(IW86&gt;13,IW86-13,0)*2+IF(IW86&gt;14,IW86-14,0)*2+IF(IW86&gt;15,IW86-15,0)*2+IF(IW86&gt;16,IW86-16,0)*2+IF(IW86&gt;17,IW86-17,0)*2+IF(IW86&gt;18,IW86-18,0)*2+IF(IW86&gt;19,IW86-19,0)*2+IF(IW86&gt;20,IW86-20,0)*2</f>
        <v>2</v>
      </c>
      <c r="JA86" s="243">
        <f t="shared" si="793"/>
        <v>173.5384615384616</v>
      </c>
      <c r="JB86" s="218">
        <f t="shared" si="794"/>
        <v>0</v>
      </c>
      <c r="JE86" s="148"/>
    </row>
    <row r="87" spans="2:265" hidden="1" outlineLevel="2">
      <c r="B87" s="148">
        <v>10</v>
      </c>
      <c r="C87" s="303" t="e">
        <f>VLOOKUP(AF87,Attribute!C:T,1,FALSE)</f>
        <v>#N/A</v>
      </c>
      <c r="D87" s="86" t="s">
        <v>8</v>
      </c>
      <c r="E87" s="127" t="s">
        <v>135</v>
      </c>
      <c r="F87" s="114">
        <f>Konvention_1master-MUmaster</f>
        <v>12</v>
      </c>
      <c r="G87" s="113"/>
      <c r="H87" s="113">
        <f>Konvention_1master-INmaster</f>
        <v>12</v>
      </c>
      <c r="I87" s="113"/>
      <c r="J87" s="113"/>
      <c r="K87" s="113">
        <f>Konvention_1master-GEmaster</f>
        <v>12</v>
      </c>
      <c r="L87" s="113"/>
      <c r="M87" s="119"/>
      <c r="N87" s="222">
        <f>(F87+G87+H87+I87+J87+K87+L87+M87)/3</f>
        <v>12</v>
      </c>
      <c r="O87" s="223">
        <f>2*N87</f>
        <v>24</v>
      </c>
      <c r="P87" s="224">
        <f>3*N87</f>
        <v>36</v>
      </c>
      <c r="Q87" s="237">
        <f>F87*POWER(KLmaster,SIGN(G87))*POWER(INmaster,SIGN(H87))*POWER(CHmaster,SIGN(I87))*POWER(FFmaster,SIGN(J87))*POWER(GEmaster,SIGN(K87))*POWER(KOmaster,SIGN(L87))*POWER(KKmaster,SIGN(M87))+G87*POWER(MUmaster,SIGN(F87))*POWER(INmaster,SIGN(H87))*POWER(CHmaster,SIGN(I87))*POWER(FFmaster,SIGN(J87))*POWER(GEmaster,SIGN(K87))*POWER(KOmaster,SIGN(L87))*POWER(KKmaster,SIGN(M87))+H87*POWER(MUmaster,SIGN(F87))*POWER(KLmaster,SIGN(G87))*POWER(CHmaster,SIGN(I87))*POWER(FFmaster,SIGN(J87))*POWER(GEmaster,SIGN(K87))*POWER(KOmaster,SIGN(L87))*POWER(KKmaster,SIGN(M87))+I87*POWER(MUmaster,SIGN(F87))*POWER(KLmaster,SIGN(G87))*POWER(INmaster,SIGN(H87))*POWER(FFmaster,SIGN(J87))*POWER(GEmaster,SIGN(K87))*POWER(KOmaster,SIGN(L87))*POWER(KKmaster,SIGN(M87))+J87*POWER(MUmaster,SIGN(F87))*POWER(KLmaster,SIGN(G87))*POWER(INmaster,SIGN(H87))*POWER(CHmaster,SIGN(I87))*POWER(GEmaster,SIGN(K87))*POWER(KOmaster,SIGN(L87))*POWER(KKmaster,SIGN(M87))+K87*POWER(MUmaster,SIGN(F87))*POWER(KLmaster,SIGN(G87))*POWER(INmaster,SIGN(H87))*POWER(CHmaster,SIGN(I87))*POWER(FFmaster,SIGN(J87))*POWER(KOmaster,SIGN(L87))*POWER(KKmaster,SIGN(M87))+L87*POWER(MUmaster,SIGN(F87))*POWER(KLmaster,SIGN(G87))*POWER(INmaster,SIGN(H87))*POWER(CHmaster,SIGN(I87))*POWER(FFmaster,SIGN(J87))*POWER(GEmaster,SIGN(K87))*POWER(KKmaster,SIGN(M87))+M87*POWER(MUmaster,SIGN(F87))*POWER(KLmaster,SIGN(G87))*POWER(INmaster,SIGN(H87))*POWER(CHmaster,SIGN(I87))*POWER(FFmaster,SIGN(J87))*POWER(GEmaster,SIGN(K87))*POWER(KOmaster,SIGN(L87))</f>
        <v>2304</v>
      </c>
      <c r="R87" s="113">
        <f>F87*H87*GEmaster+F87*INmaster*K87+MUmaster*H87*K87</f>
        <v>3456</v>
      </c>
      <c r="S87" s="224">
        <f>IFERROR(F87^SIGN(F87),1)*IFERROR(G87^SIGN(G87),1)*IFERROR(H87^SIGN(H87),1)*IFERROR(I87^SIGN(I87),1)*IFERROR(J87^SIGN(J87),1)*IFERROR(K87^SIGN(K87),1)*IFERROR(L87^SIGN(L87),1)*IFERROR(M87^SIGN(M87),1)</f>
        <v>1728</v>
      </c>
      <c r="T87" s="242">
        <f>SUM(Q87:S87)</f>
        <v>7488</v>
      </c>
      <c r="U87" s="222">
        <f>N87*Q87/T87</f>
        <v>3.6923076923076925</v>
      </c>
      <c r="V87" s="223">
        <f>O87*R87/T87</f>
        <v>11.076923076923077</v>
      </c>
      <c r="W87" s="243">
        <f>P87*S87/T87</f>
        <v>8.3076923076923084</v>
      </c>
      <c r="X87" s="243">
        <f>SUM(U87:W87)</f>
        <v>23.07692307692308</v>
      </c>
      <c r="Y87" s="252">
        <v>0</v>
      </c>
      <c r="Z87" s="198">
        <f>X87-Y87</f>
        <v>23.07692307692308</v>
      </c>
      <c r="AA87" s="125">
        <f>IF(X87&lt;=0,3,0)+IF(X87&gt;0,X87+1,0)*3+IF(X87&gt;12,X87-12,0)*3+IF(X87&gt;13,X87-13,0)*3+IF(X87&gt;14,X87-14,0)*3+IF(X87&gt;15,X87-15,0)*3+IF(X87&gt;16,X87-16,0)*3+IF(X87&gt;17,X87-17,0)*3+IF(X87&gt;18,X87-18,0)*3+IF(X87&gt;19,X87-19,0)*3+IF(X87&gt;20,X87-20,0)*3</f>
        <v>263.30769230769232</v>
      </c>
      <c r="AB87" s="160">
        <f>IF(Y87&lt;=0,3,0)+IF(Y87&gt;0,Y87+1,0)*3+IF(Y87&gt;12,Y87-12,0)*3+IF(Y87&gt;13,Y87-13,0)*3+IF(Y87&gt;14,Y87-14,0)*3+IF(Y87&gt;15,Y87-15,0)*3+IF(Y87&gt;16,Y87-16,0)*3+IF(Y87&gt;17,Y87-17,0)*3+IF(Y87&gt;18,Y87-18,0)*3+IF(Y87&gt;19,Y87-19,0)*3+IF(Y87&gt;20,Y87-20,0)*3</f>
        <v>3</v>
      </c>
      <c r="AC87" s="127">
        <f t="shared" si="689"/>
        <v>260.30769230769232</v>
      </c>
      <c r="AD87" s="125">
        <f>IF((AB87-AA87)&gt;0,AB87-AA87,0)</f>
        <v>0</v>
      </c>
      <c r="AF87" s="163" t="s">
        <v>347</v>
      </c>
      <c r="AG87" s="125" t="s">
        <v>8</v>
      </c>
      <c r="AH87" s="127" t="s">
        <v>135</v>
      </c>
      <c r="AI87" s="114">
        <f t="shared" si="796"/>
        <v>11</v>
      </c>
      <c r="AJ87" s="113"/>
      <c r="AK87" s="113">
        <f>Konvention_1slave-INslave</f>
        <v>12</v>
      </c>
      <c r="AL87" s="113"/>
      <c r="AM87" s="113"/>
      <c r="AN87" s="113">
        <f>Konvention_1slave-GEslave</f>
        <v>12</v>
      </c>
      <c r="AO87" s="113"/>
      <c r="AP87" s="119"/>
      <c r="AQ87" s="89">
        <f>(AI87+AJ87+AK87+AL87+AM87+AN87+AO87+AP87)/3</f>
        <v>11.666666666666666</v>
      </c>
      <c r="AR87" s="47">
        <f>2*AQ87</f>
        <v>23.333333333333332</v>
      </c>
      <c r="AS87" s="119">
        <f>3*AQ87</f>
        <v>35</v>
      </c>
      <c r="AT87" s="114">
        <f t="shared" si="694"/>
        <v>2432</v>
      </c>
      <c r="AU87" s="113">
        <f>AI87*AK87*GEslave+AI87*INslave*AN87+MUslave_MU*AK87*AN87</f>
        <v>3408</v>
      </c>
      <c r="AV87" s="119">
        <f>IFERROR(AI87^SIGN(AI87),1)*IFERROR(AJ87^SIGN(AJ87),1)*IFERROR(AK87^SIGN(AK87),1)*IFERROR(AL87^SIGN(AL87),1)*IFERROR(AM87^SIGN(AM87),1)*IFERROR(AN87^SIGN(AN87),1)*IFERROR(AO87^SIGN(AO87),1)*IFERROR(AP87^SIGN(AP87),1)</f>
        <v>1584</v>
      </c>
      <c r="AW87" s="160">
        <f>SUM(AT87:AV87)</f>
        <v>7424</v>
      </c>
      <c r="AX87" s="89">
        <f>AQ87*AT87/AW87</f>
        <v>3.8218390804597702</v>
      </c>
      <c r="AY87" s="47">
        <f>AR87*AU87/AW87</f>
        <v>10.711206896551724</v>
      </c>
      <c r="AZ87" s="127">
        <f>AS87*AV87/AW87</f>
        <v>7.4676724137931032</v>
      </c>
      <c r="BA87" s="127">
        <f>SUM(AX87:AZ87)</f>
        <v>22.000718390804597</v>
      </c>
      <c r="BB87" s="165">
        <f t="shared" si="661"/>
        <v>0</v>
      </c>
      <c r="BC87" s="198">
        <f>BA87-BB87</f>
        <v>22.000718390804597</v>
      </c>
      <c r="BD87" s="125">
        <f>IF(BA87&lt;=0,3,0)+IF(BA87&gt;0,BA87+1,0)*3+IF(BA87&gt;12,BA87-12,0)*3+IF(BA87&gt;13,BA87-13,0)*3+IF(BA87&gt;14,BA87-14,0)*3+IF(BA87&gt;15,BA87-15,0)*3+IF(BA87&gt;16,BA87-16,0)*3+IF(BA87&gt;17,BA87-17,0)*3+IF(BA87&gt;18,BA87-18,0)*3+IF(BA87&gt;19,BA87-19,0)*3+IF(BA87&gt;20,BA87-20,0)*3</f>
        <v>231.02155172413785</v>
      </c>
      <c r="BE87" s="160">
        <f>IF(BB87&lt;=0,3,0)+IF(BB87&gt;0,BB87+1,0)*3+IF(BB87&gt;12,BB87-12,0)*3+IF(BB87&gt;13,BB87-13,0)*3+IF(BB87&gt;14,BB87-14,0)*3+IF(BB87&gt;15,BB87-15,0)*3+IF(BB87&gt;16,BB87-16,0)*3+IF(BB87&gt;17,BB87-17,0)*3+IF(BB87&gt;18,BB87-18,0)*3+IF(BB87&gt;19,BB87-19,0)*3+IF(BB87&gt;20,BB87-20,0)*3</f>
        <v>3</v>
      </c>
      <c r="BF87" s="243">
        <f t="shared" si="702"/>
        <v>228.02155172413785</v>
      </c>
      <c r="BG87" s="218">
        <f>IF((BE87-BD87)&gt;0,BE87-BD87,0)</f>
        <v>0</v>
      </c>
      <c r="BI87" s="303" t="s">
        <v>347</v>
      </c>
      <c r="BJ87" s="218" t="s">
        <v>8</v>
      </c>
      <c r="BK87" s="243" t="s">
        <v>135</v>
      </c>
      <c r="BL87" s="237">
        <f t="shared" si="797"/>
        <v>12</v>
      </c>
      <c r="BM87" s="234"/>
      <c r="BN87" s="234">
        <f>Konvention_1slave-INslave</f>
        <v>12</v>
      </c>
      <c r="BO87" s="234"/>
      <c r="BP87" s="234"/>
      <c r="BQ87" s="234">
        <f>Konvention_1slave-GEslave</f>
        <v>12</v>
      </c>
      <c r="BR87" s="234"/>
      <c r="BS87" s="224"/>
      <c r="BT87" s="222">
        <f>(BL87+BM87+BN87+BO87+BP87+BQ87+BR87+BS87)/3</f>
        <v>12</v>
      </c>
      <c r="BU87" s="223">
        <f>2*BT87</f>
        <v>24</v>
      </c>
      <c r="BV87" s="224">
        <f>3*BT87</f>
        <v>36</v>
      </c>
      <c r="BW87" s="237">
        <f t="shared" si="707"/>
        <v>2304</v>
      </c>
      <c r="BX87" s="234">
        <f>BL87*BN87*GEslave+BL87*INslave*BQ87+MUslave*BN87*BQ87</f>
        <v>3456</v>
      </c>
      <c r="BY87" s="224">
        <f>IFERROR(BL87^SIGN(BL87),1)*IFERROR(BM87^SIGN(BM87),1)*IFERROR(BN87^SIGN(BN87),1)*IFERROR(BO87^SIGN(BO87),1)*IFERROR(BP87^SIGN(BP87),1)*IFERROR(BQ87^SIGN(BQ87),1)*IFERROR(BR87^SIGN(BR87),1)*IFERROR(BS87^SIGN(BS87),1)</f>
        <v>1728</v>
      </c>
      <c r="BZ87" s="242">
        <f>SUM(BW87:BY87)</f>
        <v>7488</v>
      </c>
      <c r="CA87" s="222">
        <f>BT87*BW87/BZ87</f>
        <v>3.6923076923076925</v>
      </c>
      <c r="CB87" s="223">
        <f>BU87*BX87/BZ87</f>
        <v>11.076923076923077</v>
      </c>
      <c r="CC87" s="243">
        <f>BV87*BY87/BZ87</f>
        <v>8.3076923076923084</v>
      </c>
      <c r="CD87" s="243">
        <f>SUM(CA87:CC87)</f>
        <v>23.07692307692308</v>
      </c>
      <c r="CE87" s="252">
        <f t="shared" si="662"/>
        <v>0</v>
      </c>
      <c r="CF87" s="309">
        <f>CD87-CE87</f>
        <v>23.07692307692308</v>
      </c>
      <c r="CG87" s="218">
        <f>IF(CD87&lt;=0,3,0)+IF(CD87&gt;0,CD87+1,0)*3+IF(CD87&gt;12,CD87-12,0)*3+IF(CD87&gt;13,CD87-13,0)*3+IF(CD87&gt;14,CD87-14,0)*3+IF(CD87&gt;15,CD87-15,0)*3+IF(CD87&gt;16,CD87-16,0)*3+IF(CD87&gt;17,CD87-17,0)*3+IF(CD87&gt;18,CD87-18,0)*3+IF(CD87&gt;19,CD87-19,0)*3+IF(CD87&gt;20,CD87-20,0)*3</f>
        <v>263.30769230769232</v>
      </c>
      <c r="CH87" s="242">
        <f>IF(CE87&lt;=0,3,0)+IF(CE87&gt;0,CE87+1,0)*3+IF(CE87&gt;12,CE87-12,0)*3+IF(CE87&gt;13,CE87-13,0)*3+IF(CE87&gt;14,CE87-14,0)*3+IF(CE87&gt;15,CE87-15,0)*3+IF(CE87&gt;16,CE87-16,0)*3+IF(CE87&gt;17,CE87-17,0)*3+IF(CE87&gt;18,CE87-18,0)*3+IF(CE87&gt;19,CE87-19,0)*3+IF(CE87&gt;20,CE87-20,0)*3</f>
        <v>3</v>
      </c>
      <c r="CI87" s="243">
        <f t="shared" si="715"/>
        <v>260.30769230769232</v>
      </c>
      <c r="CJ87" s="218">
        <f>IF((CH87-CG87)&gt;0,CH87-CG87,0)</f>
        <v>0</v>
      </c>
      <c r="CL87" s="303" t="s">
        <v>347</v>
      </c>
      <c r="CM87" s="218" t="s">
        <v>8</v>
      </c>
      <c r="CN87" s="243" t="s">
        <v>135</v>
      </c>
      <c r="CO87" s="237">
        <f t="shared" si="798"/>
        <v>12</v>
      </c>
      <c r="CP87" s="234"/>
      <c r="CQ87" s="234">
        <f>Konvention_1slave-INslave_IN</f>
        <v>11</v>
      </c>
      <c r="CR87" s="234"/>
      <c r="CS87" s="234"/>
      <c r="CT87" s="234">
        <f>Konvention_1slave-GEslave</f>
        <v>12</v>
      </c>
      <c r="CU87" s="234"/>
      <c r="CV87" s="224"/>
      <c r="CW87" s="222">
        <f>(CO87+CP87+CQ87+CR87+CS87+CT87+CU87+CV87)/3</f>
        <v>11.666666666666666</v>
      </c>
      <c r="CX87" s="223">
        <f>2*CW87</f>
        <v>23.333333333333332</v>
      </c>
      <c r="CY87" s="224">
        <f>3*CW87</f>
        <v>35</v>
      </c>
      <c r="CZ87" s="237">
        <f t="shared" si="720"/>
        <v>2432</v>
      </c>
      <c r="DA87" s="234">
        <f>CO87*CQ87*GEslave+CO87*INslave_IN*CT87+MUslave*CQ87*CT87</f>
        <v>3408</v>
      </c>
      <c r="DB87" s="224">
        <f>IFERROR(CO87^SIGN(CO87),1)*IFERROR(CP87^SIGN(CP87),1)*IFERROR(CQ87^SIGN(CQ87),1)*IFERROR(CR87^SIGN(CR87),1)*IFERROR(CS87^SIGN(CS87),1)*IFERROR(CT87^SIGN(CT87),1)*IFERROR(CU87^SIGN(CU87),1)*IFERROR(CV87^SIGN(CV87),1)</f>
        <v>1584</v>
      </c>
      <c r="DC87" s="242">
        <f>SUM(CZ87:DB87)</f>
        <v>7424</v>
      </c>
      <c r="DD87" s="222">
        <f>CW87*CZ87/DC87</f>
        <v>3.8218390804597702</v>
      </c>
      <c r="DE87" s="223">
        <f>CX87*DA87/DC87</f>
        <v>10.711206896551724</v>
      </c>
      <c r="DF87" s="243">
        <f>CY87*DB87/DC87</f>
        <v>7.4676724137931032</v>
      </c>
      <c r="DG87" s="243">
        <f>SUM(DD87:DF87)</f>
        <v>22.000718390804597</v>
      </c>
      <c r="DH87" s="252">
        <f t="shared" si="663"/>
        <v>0</v>
      </c>
      <c r="DI87" s="309">
        <f>DG87-DH87</f>
        <v>22.000718390804597</v>
      </c>
      <c r="DJ87" s="218">
        <f>IF(DG87&lt;=0,3,0)+IF(DG87&gt;0,DG87+1,0)*3+IF(DG87&gt;12,DG87-12,0)*3+IF(DG87&gt;13,DG87-13,0)*3+IF(DG87&gt;14,DG87-14,0)*3+IF(DG87&gt;15,DG87-15,0)*3+IF(DG87&gt;16,DG87-16,0)*3+IF(DG87&gt;17,DG87-17,0)*3+IF(DG87&gt;18,DG87-18,0)*3+IF(DG87&gt;19,DG87-19,0)*3+IF(DG87&gt;20,DG87-20,0)*3</f>
        <v>231.02155172413785</v>
      </c>
      <c r="DK87" s="242">
        <f>IF(DH87&lt;=0,3,0)+IF(DH87&gt;0,DH87+1,0)*3+IF(DH87&gt;12,DH87-12,0)*3+IF(DH87&gt;13,DH87-13,0)*3+IF(DH87&gt;14,DH87-14,0)*3+IF(DH87&gt;15,DH87-15,0)*3+IF(DH87&gt;16,DH87-16,0)*3+IF(DH87&gt;17,DH87-17,0)*3+IF(DH87&gt;18,DH87-18,0)*3+IF(DH87&gt;19,DH87-19,0)*3+IF(DH87&gt;20,DH87-20,0)*3</f>
        <v>3</v>
      </c>
      <c r="DL87" s="243">
        <f t="shared" si="728"/>
        <v>228.02155172413785</v>
      </c>
      <c r="DM87" s="218">
        <f>IF((DK87-DJ87)&gt;0,DK87-DJ87,0)</f>
        <v>0</v>
      </c>
      <c r="DO87" s="303" t="s">
        <v>347</v>
      </c>
      <c r="DP87" s="218" t="s">
        <v>8</v>
      </c>
      <c r="DQ87" s="243" t="s">
        <v>135</v>
      </c>
      <c r="DR87" s="237">
        <f t="shared" si="799"/>
        <v>12</v>
      </c>
      <c r="DS87" s="234"/>
      <c r="DT87" s="234">
        <f>Konvention_1slave-INslave</f>
        <v>12</v>
      </c>
      <c r="DU87" s="234"/>
      <c r="DV87" s="234"/>
      <c r="DW87" s="234">
        <f>Konvention_1slave-GEslave</f>
        <v>12</v>
      </c>
      <c r="DX87" s="234"/>
      <c r="DY87" s="224"/>
      <c r="DZ87" s="222">
        <f>(DR87+DS87+DT87+DU87+DV87+DW87+DX87+DY87)/3</f>
        <v>12</v>
      </c>
      <c r="EA87" s="223">
        <f>2*DZ87</f>
        <v>24</v>
      </c>
      <c r="EB87" s="224">
        <f>3*DZ87</f>
        <v>36</v>
      </c>
      <c r="EC87" s="237">
        <f t="shared" si="733"/>
        <v>2304</v>
      </c>
      <c r="ED87" s="234">
        <f>DR87*DT87*GEslave+DR87*INslave*DW87+MUslave*DT87*DW87</f>
        <v>3456</v>
      </c>
      <c r="EE87" s="224">
        <f>IFERROR(DR87^SIGN(DR87),1)*IFERROR(DS87^SIGN(DS87),1)*IFERROR(DT87^SIGN(DT87),1)*IFERROR(DU87^SIGN(DU87),1)*IFERROR(DV87^SIGN(DV87),1)*IFERROR(DW87^SIGN(DW87),1)*IFERROR(DX87^SIGN(DX87),1)*IFERROR(DY87^SIGN(DY87),1)</f>
        <v>1728</v>
      </c>
      <c r="EF87" s="242">
        <f>SUM(EC87:EE87)</f>
        <v>7488</v>
      </c>
      <c r="EG87" s="222">
        <f>DZ87*EC87/EF87</f>
        <v>3.6923076923076925</v>
      </c>
      <c r="EH87" s="223">
        <f>EA87*ED87/EF87</f>
        <v>11.076923076923077</v>
      </c>
      <c r="EI87" s="243">
        <f>EB87*EE87/EF87</f>
        <v>8.3076923076923084</v>
      </c>
      <c r="EJ87" s="243">
        <f>SUM(EG87:EI87)</f>
        <v>23.07692307692308</v>
      </c>
      <c r="EK87" s="252">
        <f t="shared" si="664"/>
        <v>0</v>
      </c>
      <c r="EL87" s="309">
        <f>EJ87-EK87</f>
        <v>23.07692307692308</v>
      </c>
      <c r="EM87" s="218">
        <f>IF(EJ87&lt;=0,3,0)+IF(EJ87&gt;0,EJ87+1,0)*3+IF(EJ87&gt;12,EJ87-12,0)*3+IF(EJ87&gt;13,EJ87-13,0)*3+IF(EJ87&gt;14,EJ87-14,0)*3+IF(EJ87&gt;15,EJ87-15,0)*3+IF(EJ87&gt;16,EJ87-16,0)*3+IF(EJ87&gt;17,EJ87-17,0)*3+IF(EJ87&gt;18,EJ87-18,0)*3+IF(EJ87&gt;19,EJ87-19,0)*3+IF(EJ87&gt;20,EJ87-20,0)*3</f>
        <v>263.30769230769232</v>
      </c>
      <c r="EN87" s="242">
        <f>IF(EK87&lt;=0,3,0)+IF(EK87&gt;0,EK87+1,0)*3+IF(EK87&gt;12,EK87-12,0)*3+IF(EK87&gt;13,EK87-13,0)*3+IF(EK87&gt;14,EK87-14,0)*3+IF(EK87&gt;15,EK87-15,0)*3+IF(EK87&gt;16,EK87-16,0)*3+IF(EK87&gt;17,EK87-17,0)*3+IF(EK87&gt;18,EK87-18,0)*3+IF(EK87&gt;19,EK87-19,0)*3+IF(EK87&gt;20,EK87-20,0)*3</f>
        <v>3</v>
      </c>
      <c r="EO87" s="243">
        <f t="shared" si="741"/>
        <v>260.30769230769232</v>
      </c>
      <c r="EP87" s="218">
        <f>IF((EN87-EM87)&gt;0,EN87-EM87,0)</f>
        <v>0</v>
      </c>
      <c r="ER87" s="303" t="s">
        <v>347</v>
      </c>
      <c r="ES87" s="218" t="s">
        <v>8</v>
      </c>
      <c r="ET87" s="243" t="s">
        <v>135</v>
      </c>
      <c r="EU87" s="237">
        <f t="shared" si="800"/>
        <v>12</v>
      </c>
      <c r="EV87" s="234"/>
      <c r="EW87" s="234">
        <f>Konvention_1slave-INslave</f>
        <v>12</v>
      </c>
      <c r="EX87" s="234"/>
      <c r="EY87" s="234"/>
      <c r="EZ87" s="234">
        <f>Konvention_1slave-GEslave</f>
        <v>12</v>
      </c>
      <c r="FA87" s="234"/>
      <c r="FB87" s="224"/>
      <c r="FC87" s="222">
        <f>(EU87+EV87+EW87+EX87+EY87+EZ87+FA87+FB87)/3</f>
        <v>12</v>
      </c>
      <c r="FD87" s="223">
        <f>2*FC87</f>
        <v>24</v>
      </c>
      <c r="FE87" s="224">
        <f>3*FC87</f>
        <v>36</v>
      </c>
      <c r="FF87" s="237">
        <f t="shared" si="746"/>
        <v>2304</v>
      </c>
      <c r="FG87" s="234">
        <f>EU87*EW87*GEslave+EU87*INslave*EZ87+MUslave*EW87*EZ87</f>
        <v>3456</v>
      </c>
      <c r="FH87" s="224">
        <f>IFERROR(EU87^SIGN(EU87),1)*IFERROR(EV87^SIGN(EV87),1)*IFERROR(EW87^SIGN(EW87),1)*IFERROR(EX87^SIGN(EX87),1)*IFERROR(EY87^SIGN(EY87),1)*IFERROR(EZ87^SIGN(EZ87),1)*IFERROR(FA87^SIGN(FA87),1)*IFERROR(FB87^SIGN(FB87),1)</f>
        <v>1728</v>
      </c>
      <c r="FI87" s="242">
        <f>SUM(FF87:FH87)</f>
        <v>7488</v>
      </c>
      <c r="FJ87" s="222">
        <f>FC87*FF87/FI87</f>
        <v>3.6923076923076925</v>
      </c>
      <c r="FK87" s="223">
        <f>FD87*FG87/FI87</f>
        <v>11.076923076923077</v>
      </c>
      <c r="FL87" s="243">
        <f>FE87*FH87/FI87</f>
        <v>8.3076923076923084</v>
      </c>
      <c r="FM87" s="243">
        <f>SUM(FJ87:FL87)</f>
        <v>23.07692307692308</v>
      </c>
      <c r="FN87" s="252">
        <f t="shared" si="665"/>
        <v>0</v>
      </c>
      <c r="FO87" s="309">
        <f>FM87-FN87</f>
        <v>23.07692307692308</v>
      </c>
      <c r="FP87" s="218">
        <f>IF(FM87&lt;=0,3,0)+IF(FM87&gt;0,FM87+1,0)*3+IF(FM87&gt;12,FM87-12,0)*3+IF(FM87&gt;13,FM87-13,0)*3+IF(FM87&gt;14,FM87-14,0)*3+IF(FM87&gt;15,FM87-15,0)*3+IF(FM87&gt;16,FM87-16,0)*3+IF(FM87&gt;17,FM87-17,0)*3+IF(FM87&gt;18,FM87-18,0)*3+IF(FM87&gt;19,FM87-19,0)*3+IF(FM87&gt;20,FM87-20,0)*3</f>
        <v>263.30769230769232</v>
      </c>
      <c r="FQ87" s="242">
        <f>IF(FN87&lt;=0,3,0)+IF(FN87&gt;0,FN87+1,0)*3+IF(FN87&gt;12,FN87-12,0)*3+IF(FN87&gt;13,FN87-13,0)*3+IF(FN87&gt;14,FN87-14,0)*3+IF(FN87&gt;15,FN87-15,0)*3+IF(FN87&gt;16,FN87-16,0)*3+IF(FN87&gt;17,FN87-17,0)*3+IF(FN87&gt;18,FN87-18,0)*3+IF(FN87&gt;19,FN87-19,0)*3+IF(FN87&gt;20,FN87-20,0)*3</f>
        <v>3</v>
      </c>
      <c r="FR87" s="243">
        <f t="shared" si="754"/>
        <v>260.30769230769232</v>
      </c>
      <c r="FS87" s="218">
        <f>IF((FQ87-FP87)&gt;0,FQ87-FP87,0)</f>
        <v>0</v>
      </c>
      <c r="FU87" s="303" t="s">
        <v>347</v>
      </c>
      <c r="FV87" s="218" t="s">
        <v>8</v>
      </c>
      <c r="FW87" s="243" t="s">
        <v>135</v>
      </c>
      <c r="FX87" s="237">
        <f t="shared" si="801"/>
        <v>12</v>
      </c>
      <c r="FY87" s="234"/>
      <c r="FZ87" s="234">
        <f>Konvention_1slave-INslave</f>
        <v>12</v>
      </c>
      <c r="GA87" s="234"/>
      <c r="GB87" s="234"/>
      <c r="GC87" s="234">
        <f>Konvention_1slave-GEslave_GE</f>
        <v>11</v>
      </c>
      <c r="GD87" s="234"/>
      <c r="GE87" s="224"/>
      <c r="GF87" s="222">
        <f>(FX87+FY87+FZ87+GA87+GB87+GC87+GD87+GE87)/3</f>
        <v>11.666666666666666</v>
      </c>
      <c r="GG87" s="223">
        <f>2*GF87</f>
        <v>23.333333333333332</v>
      </c>
      <c r="GH87" s="224">
        <f>3*GF87</f>
        <v>35</v>
      </c>
      <c r="GI87" s="237">
        <f t="shared" si="759"/>
        <v>2432</v>
      </c>
      <c r="GJ87" s="234">
        <f>FX87*FZ87*GEslave_GE+FX87*INslave*GC87+MUslave*FZ87*GC87</f>
        <v>3408</v>
      </c>
      <c r="GK87" s="224">
        <f>IFERROR(FX87^SIGN(FX87),1)*IFERROR(FY87^SIGN(FY87),1)*IFERROR(FZ87^SIGN(FZ87),1)*IFERROR(GA87^SIGN(GA87),1)*IFERROR(GB87^SIGN(GB87),1)*IFERROR(GC87^SIGN(GC87),1)*IFERROR(GD87^SIGN(GD87),1)*IFERROR(GE87^SIGN(GE87),1)</f>
        <v>1584</v>
      </c>
      <c r="GL87" s="242">
        <f>SUM(GI87:GK87)</f>
        <v>7424</v>
      </c>
      <c r="GM87" s="222">
        <f>GF87*GI87/GL87</f>
        <v>3.8218390804597702</v>
      </c>
      <c r="GN87" s="223">
        <f>GG87*GJ87/GL87</f>
        <v>10.711206896551724</v>
      </c>
      <c r="GO87" s="243">
        <f>GH87*GK87/GL87</f>
        <v>7.4676724137931032</v>
      </c>
      <c r="GP87" s="243">
        <f>SUM(GM87:GO87)</f>
        <v>22.000718390804597</v>
      </c>
      <c r="GQ87" s="252">
        <f t="shared" si="666"/>
        <v>0</v>
      </c>
      <c r="GR87" s="309">
        <f>GP87-GQ87</f>
        <v>22.000718390804597</v>
      </c>
      <c r="GS87" s="218">
        <f>IF(GP87&lt;=0,3,0)+IF(GP87&gt;0,GP87+1,0)*3+IF(GP87&gt;12,GP87-12,0)*3+IF(GP87&gt;13,GP87-13,0)*3+IF(GP87&gt;14,GP87-14,0)*3+IF(GP87&gt;15,GP87-15,0)*3+IF(GP87&gt;16,GP87-16,0)*3+IF(GP87&gt;17,GP87-17,0)*3+IF(GP87&gt;18,GP87-18,0)*3+IF(GP87&gt;19,GP87-19,0)*3+IF(GP87&gt;20,GP87-20,0)*3</f>
        <v>231.02155172413785</v>
      </c>
      <c r="GT87" s="242">
        <f>IF(GQ87&lt;=0,3,0)+IF(GQ87&gt;0,GQ87+1,0)*3+IF(GQ87&gt;12,GQ87-12,0)*3+IF(GQ87&gt;13,GQ87-13,0)*3+IF(GQ87&gt;14,GQ87-14,0)*3+IF(GQ87&gt;15,GQ87-15,0)*3+IF(GQ87&gt;16,GQ87-16,0)*3+IF(GQ87&gt;17,GQ87-17,0)*3+IF(GQ87&gt;18,GQ87-18,0)*3+IF(GQ87&gt;19,GQ87-19,0)*3+IF(GQ87&gt;20,GQ87-20,0)*3</f>
        <v>3</v>
      </c>
      <c r="GU87" s="243">
        <f t="shared" si="767"/>
        <v>228.02155172413785</v>
      </c>
      <c r="GV87" s="218">
        <f>IF((GT87-GS87)&gt;0,GT87-GS87,0)</f>
        <v>0</v>
      </c>
      <c r="GX87" s="303" t="s">
        <v>347</v>
      </c>
      <c r="GY87" s="218" t="s">
        <v>8</v>
      </c>
      <c r="GZ87" s="243" t="s">
        <v>135</v>
      </c>
      <c r="HA87" s="237">
        <f t="shared" si="802"/>
        <v>12</v>
      </c>
      <c r="HB87" s="234"/>
      <c r="HC87" s="234">
        <f>Konvention_1slave-INslave</f>
        <v>12</v>
      </c>
      <c r="HD87" s="234"/>
      <c r="HE87" s="234"/>
      <c r="HF87" s="234">
        <f>Konvention_1slave-GEslave</f>
        <v>12</v>
      </c>
      <c r="HG87" s="234"/>
      <c r="HH87" s="224"/>
      <c r="HI87" s="222">
        <f>(HA87+HB87+HC87+HD87+HE87+HF87+HG87+HH87)/3</f>
        <v>12</v>
      </c>
      <c r="HJ87" s="223">
        <f>2*HI87</f>
        <v>24</v>
      </c>
      <c r="HK87" s="224">
        <f>3*HI87</f>
        <v>36</v>
      </c>
      <c r="HL87" s="237">
        <f t="shared" si="772"/>
        <v>2304</v>
      </c>
      <c r="HM87" s="234">
        <f>HA87*HC87*GEslave+HA87*INslave*HF87+MUslave*HC87*HF87</f>
        <v>3456</v>
      </c>
      <c r="HN87" s="224">
        <f>IFERROR(HA87^SIGN(HA87),1)*IFERROR(HB87^SIGN(HB87),1)*IFERROR(HC87^SIGN(HC87),1)*IFERROR(HD87^SIGN(HD87),1)*IFERROR(HE87^SIGN(HE87),1)*IFERROR(HF87^SIGN(HF87),1)*IFERROR(HG87^SIGN(HG87),1)*IFERROR(HH87^SIGN(HH87),1)</f>
        <v>1728</v>
      </c>
      <c r="HO87" s="242">
        <f>SUM(HL87:HN87)</f>
        <v>7488</v>
      </c>
      <c r="HP87" s="222">
        <f>HI87*HL87/HO87</f>
        <v>3.6923076923076925</v>
      </c>
      <c r="HQ87" s="223">
        <f>HJ87*HM87/HO87</f>
        <v>11.076923076923077</v>
      </c>
      <c r="HR87" s="243">
        <f>HK87*HN87/HO87</f>
        <v>8.3076923076923084</v>
      </c>
      <c r="HS87" s="243">
        <f>SUM(HP87:HR87)</f>
        <v>23.07692307692308</v>
      </c>
      <c r="HT87" s="252">
        <f t="shared" si="667"/>
        <v>0</v>
      </c>
      <c r="HU87" s="309">
        <f>HS87-HT87</f>
        <v>23.07692307692308</v>
      </c>
      <c r="HV87" s="218">
        <f>IF(HS87&lt;=0,3,0)+IF(HS87&gt;0,HS87+1,0)*3+IF(HS87&gt;12,HS87-12,0)*3+IF(HS87&gt;13,HS87-13,0)*3+IF(HS87&gt;14,HS87-14,0)*3+IF(HS87&gt;15,HS87-15,0)*3+IF(HS87&gt;16,HS87-16,0)*3+IF(HS87&gt;17,HS87-17,0)*3+IF(HS87&gt;18,HS87-18,0)*3+IF(HS87&gt;19,HS87-19,0)*3+IF(HS87&gt;20,HS87-20,0)*3</f>
        <v>263.30769230769232</v>
      </c>
      <c r="HW87" s="242">
        <f>IF(HT87&lt;=0,3,0)+IF(HT87&gt;0,HT87+1,0)*3+IF(HT87&gt;12,HT87-12,0)*3+IF(HT87&gt;13,HT87-13,0)*3+IF(HT87&gt;14,HT87-14,0)*3+IF(HT87&gt;15,HT87-15,0)*3+IF(HT87&gt;16,HT87-16,0)*3+IF(HT87&gt;17,HT87-17,0)*3+IF(HT87&gt;18,HT87-18,0)*3+IF(HT87&gt;19,HT87-19,0)*3+IF(HT87&gt;20,HT87-20,0)*3</f>
        <v>3</v>
      </c>
      <c r="HX87" s="243">
        <f t="shared" si="780"/>
        <v>260.30769230769232</v>
      </c>
      <c r="HY87" s="218">
        <f>IF((HW87-HV87)&gt;0,HW87-HV87,0)</f>
        <v>0</v>
      </c>
      <c r="IA87" s="303" t="s">
        <v>347</v>
      </c>
      <c r="IB87" s="218" t="s">
        <v>8</v>
      </c>
      <c r="IC87" s="243" t="s">
        <v>135</v>
      </c>
      <c r="ID87" s="237">
        <f t="shared" si="803"/>
        <v>12</v>
      </c>
      <c r="IE87" s="234"/>
      <c r="IF87" s="234">
        <f>Konvention_1slave-INslave</f>
        <v>12</v>
      </c>
      <c r="IG87" s="234"/>
      <c r="IH87" s="234"/>
      <c r="II87" s="234">
        <f>Konvention_1slave-GEslave</f>
        <v>12</v>
      </c>
      <c r="IJ87" s="234"/>
      <c r="IK87" s="224"/>
      <c r="IL87" s="222">
        <f>(ID87+IE87+IF87+IG87+IH87+II87+IJ87+IK87)/3</f>
        <v>12</v>
      </c>
      <c r="IM87" s="223">
        <f>2*IL87</f>
        <v>24</v>
      </c>
      <c r="IN87" s="224">
        <f>3*IL87</f>
        <v>36</v>
      </c>
      <c r="IO87" s="237">
        <f t="shared" si="785"/>
        <v>2304</v>
      </c>
      <c r="IP87" s="234">
        <f>ID87*IF87*GEslave+ID87*INslave*II87+MUslave*IF87*II87</f>
        <v>3456</v>
      </c>
      <c r="IQ87" s="224">
        <f>IFERROR(ID87^SIGN(ID87),1)*IFERROR(IE87^SIGN(IE87),1)*IFERROR(IF87^SIGN(IF87),1)*IFERROR(IG87^SIGN(IG87),1)*IFERROR(IH87^SIGN(IH87),1)*IFERROR(II87^SIGN(II87),1)*IFERROR(IJ87^SIGN(IJ87),1)*IFERROR(IK87^SIGN(IK87),1)</f>
        <v>1728</v>
      </c>
      <c r="IR87" s="242">
        <f>SUM(IO87:IQ87)</f>
        <v>7488</v>
      </c>
      <c r="IS87" s="222">
        <f>IL87*IO87/IR87</f>
        <v>3.6923076923076925</v>
      </c>
      <c r="IT87" s="223">
        <f>IM87*IP87/IR87</f>
        <v>11.076923076923077</v>
      </c>
      <c r="IU87" s="243">
        <f>IN87*IQ87/IR87</f>
        <v>8.3076923076923084</v>
      </c>
      <c r="IV87" s="243">
        <f>SUM(IS87:IU87)</f>
        <v>23.07692307692308</v>
      </c>
      <c r="IW87" s="252">
        <f t="shared" si="668"/>
        <v>0</v>
      </c>
      <c r="IX87" s="309">
        <f>IV87-IW87</f>
        <v>23.07692307692308</v>
      </c>
      <c r="IY87" s="218">
        <f>IF(IV87&lt;=0,3,0)+IF(IV87&gt;0,IV87+1,0)*3+IF(IV87&gt;12,IV87-12,0)*3+IF(IV87&gt;13,IV87-13,0)*3+IF(IV87&gt;14,IV87-14,0)*3+IF(IV87&gt;15,IV87-15,0)*3+IF(IV87&gt;16,IV87-16,0)*3+IF(IV87&gt;17,IV87-17,0)*3+IF(IV87&gt;18,IV87-18,0)*3+IF(IV87&gt;19,IV87-19,0)*3+IF(IV87&gt;20,IV87-20,0)*3</f>
        <v>263.30769230769232</v>
      </c>
      <c r="IZ87" s="242">
        <f>IF(IW87&lt;=0,3,0)+IF(IW87&gt;0,IW87+1,0)*3+IF(IW87&gt;12,IW87-12,0)*3+IF(IW87&gt;13,IW87-13,0)*3+IF(IW87&gt;14,IW87-14,0)*3+IF(IW87&gt;15,IW87-15,0)*3+IF(IW87&gt;16,IW87-16,0)*3+IF(IW87&gt;17,IW87-17,0)*3+IF(IW87&gt;18,IW87-18,0)*3+IF(IW87&gt;19,IW87-19,0)*3+IF(IW87&gt;20,IW87-20,0)*3</f>
        <v>3</v>
      </c>
      <c r="JA87" s="243">
        <f t="shared" si="793"/>
        <v>260.30769230769232</v>
      </c>
      <c r="JB87" s="218">
        <f>IF((IZ87-IY87)&gt;0,IZ87-IY87,0)</f>
        <v>0</v>
      </c>
      <c r="JE87" s="148"/>
    </row>
    <row r="88" spans="2:265" ht="15" hidden="1" customHeight="1" outlineLevel="2">
      <c r="B88" s="148">
        <v>11</v>
      </c>
      <c r="C88" s="303" t="e">
        <f>VLOOKUP(AF88,Attribute!C:T,1,FALSE)</f>
        <v>#N/A</v>
      </c>
      <c r="D88" s="125" t="s">
        <v>84</v>
      </c>
      <c r="E88" s="127" t="s">
        <v>133</v>
      </c>
      <c r="F88" s="114">
        <f t="shared" si="795"/>
        <v>12</v>
      </c>
      <c r="G88" s="113">
        <f t="shared" si="804"/>
        <v>12</v>
      </c>
      <c r="H88" s="113"/>
      <c r="I88" s="113">
        <f>Konvention_1master-CHmaster</f>
        <v>12</v>
      </c>
      <c r="J88" s="113"/>
      <c r="K88" s="113"/>
      <c r="L88" s="113"/>
      <c r="M88" s="119"/>
      <c r="N88" s="222">
        <f t="shared" si="678"/>
        <v>12</v>
      </c>
      <c r="O88" s="223">
        <f t="shared" si="679"/>
        <v>24</v>
      </c>
      <c r="P88" s="224">
        <f t="shared" si="680"/>
        <v>36</v>
      </c>
      <c r="Q88" s="237">
        <f t="shared" si="681"/>
        <v>2304</v>
      </c>
      <c r="R88" s="113">
        <f>F88*G88*CHmaster+F88*KLmaster*I88+MUmaster*G88*I88</f>
        <v>3456</v>
      </c>
      <c r="S88" s="224">
        <f t="shared" si="682"/>
        <v>1728</v>
      </c>
      <c r="T88" s="242">
        <f t="shared" si="683"/>
        <v>7488</v>
      </c>
      <c r="U88" s="222">
        <f t="shared" si="684"/>
        <v>3.6923076923076925</v>
      </c>
      <c r="V88" s="223">
        <f t="shared" si="685"/>
        <v>11.076923076923077</v>
      </c>
      <c r="W88" s="243">
        <f t="shared" si="686"/>
        <v>8.3076923076923084</v>
      </c>
      <c r="X88" s="243">
        <f t="shared" si="687"/>
        <v>23.07692307692308</v>
      </c>
      <c r="Y88" s="252">
        <v>0</v>
      </c>
      <c r="Z88" s="198">
        <f t="shared" si="688"/>
        <v>23.07692307692308</v>
      </c>
      <c r="AA88" s="125">
        <f>IF(X88&lt;=0,1,0)+IF(X88&gt;0,X88+1,0)*1+IF(X88&gt;12,X88-12,0)*1+IF(X88&gt;13,X88-13,0)*1+IF(X88&gt;14,X88-14,0)*1+IF(X88&gt;15,X88-15,0)*1+IF(X88&gt;16,X88-16,0)*1+IF(X88&gt;17,X88-17,0)*1+IF(X88&gt;18,X88-18,0)*1+IF(X88&gt;19,X88-19,0)*1+IF(X88&gt;20,X88-20,0)*1</f>
        <v>87.769230769230802</v>
      </c>
      <c r="AB88" s="160">
        <f>IF(Y88&lt;=0,1,0)+IF(Y88&gt;0,Y88+1,0)*1+IF(Y88&gt;12,Y88-12,0)*1+IF(Y88&gt;13,Y88-13,0)*1+IF(Y88&gt;14,Y88-14,0)*1+IF(Y88&gt;15,Y88-15,0)*1+IF(Y88&gt;16,Y88-16,0)*1+IF(Y88&gt;17,Y88-17,0)*1+IF(Y88&gt;18,Y88-18,0)*1+IF(Y88&gt;19,Y88-19,0)*1+IF(Y88&gt;20,Y88-20,0)*1</f>
        <v>1</v>
      </c>
      <c r="AC88" s="127">
        <f t="shared" si="689"/>
        <v>86.769230769230802</v>
      </c>
      <c r="AD88" s="125">
        <f t="shared" si="690"/>
        <v>0</v>
      </c>
      <c r="AF88" s="163" t="s">
        <v>193</v>
      </c>
      <c r="AG88" s="125" t="s">
        <v>84</v>
      </c>
      <c r="AH88" s="127" t="s">
        <v>133</v>
      </c>
      <c r="AI88" s="114">
        <f t="shared" si="796"/>
        <v>11</v>
      </c>
      <c r="AJ88" s="113">
        <f t="shared" si="805"/>
        <v>12</v>
      </c>
      <c r="AK88" s="113"/>
      <c r="AL88" s="113">
        <f>Konvention_1slave-CHslave</f>
        <v>12</v>
      </c>
      <c r="AM88" s="113"/>
      <c r="AN88" s="113"/>
      <c r="AO88" s="113"/>
      <c r="AP88" s="119"/>
      <c r="AQ88" s="89">
        <f t="shared" si="691"/>
        <v>11.666666666666666</v>
      </c>
      <c r="AR88" s="47">
        <f t="shared" si="692"/>
        <v>23.333333333333332</v>
      </c>
      <c r="AS88" s="119">
        <f t="shared" si="693"/>
        <v>35</v>
      </c>
      <c r="AT88" s="114">
        <f t="shared" si="694"/>
        <v>2432</v>
      </c>
      <c r="AU88" s="113">
        <f>AI88*AJ88*CHslave+AI88*KLslave*AL88+MUslave_MU*AJ88*AL88</f>
        <v>3408</v>
      </c>
      <c r="AV88" s="119">
        <f t="shared" si="695"/>
        <v>1584</v>
      </c>
      <c r="AW88" s="160">
        <f t="shared" si="696"/>
        <v>7424</v>
      </c>
      <c r="AX88" s="89">
        <f t="shared" si="697"/>
        <v>3.8218390804597702</v>
      </c>
      <c r="AY88" s="47">
        <f t="shared" si="698"/>
        <v>10.711206896551724</v>
      </c>
      <c r="AZ88" s="127">
        <f t="shared" si="699"/>
        <v>7.4676724137931032</v>
      </c>
      <c r="BA88" s="127">
        <f t="shared" si="700"/>
        <v>22.000718390804597</v>
      </c>
      <c r="BB88" s="165">
        <f t="shared" si="661"/>
        <v>0</v>
      </c>
      <c r="BC88" s="198">
        <f t="shared" si="701"/>
        <v>22.000718390804597</v>
      </c>
      <c r="BD88" s="125">
        <f>IF(BA88&lt;=0,1,0)+IF(BA88&gt;0,BA88+1,0)*1+IF(BA88&gt;12,BA88-12,0)*1+IF(BA88&gt;13,BA88-13,0)*1+IF(BA88&gt;14,BA88-14,0)*1+IF(BA88&gt;15,BA88-15,0)*1+IF(BA88&gt;16,BA88-16,0)*1+IF(BA88&gt;17,BA88-17,0)*1+IF(BA88&gt;18,BA88-18,0)*1+IF(BA88&gt;19,BA88-19,0)*1+IF(BA88&gt;20,BA88-20,0)*1</f>
        <v>77.007183908045945</v>
      </c>
      <c r="BE88" s="160">
        <f>IF(BB88&lt;=0,1,0)+IF(BB88&gt;0,BB88+1,0)*1+IF(BB88&gt;12,BB88-12,0)*1+IF(BB88&gt;13,BB88-13,0)*1+IF(BB88&gt;14,BB88-14,0)*1+IF(BB88&gt;15,BB88-15,0)*1+IF(BB88&gt;16,BB88-16,0)*1+IF(BB88&gt;17,BB88-17,0)*1+IF(BB88&gt;18,BB88-18,0)*1+IF(BB88&gt;19,BB88-19,0)*1+IF(BB88&gt;20,BB88-20,0)*1</f>
        <v>1</v>
      </c>
      <c r="BF88" s="243">
        <f t="shared" si="702"/>
        <v>76.007183908045945</v>
      </c>
      <c r="BG88" s="218">
        <f t="shared" si="703"/>
        <v>0</v>
      </c>
      <c r="BI88" s="303" t="s">
        <v>193</v>
      </c>
      <c r="BJ88" s="218" t="s">
        <v>84</v>
      </c>
      <c r="BK88" s="243" t="s">
        <v>133</v>
      </c>
      <c r="BL88" s="237">
        <f t="shared" si="797"/>
        <v>12</v>
      </c>
      <c r="BM88" s="234">
        <f t="shared" ref="BM88:BM96" si="812">Konvention_1slave-KLslave_KL</f>
        <v>11</v>
      </c>
      <c r="BN88" s="234"/>
      <c r="BO88" s="234">
        <f>Konvention_1slave-CHslave</f>
        <v>12</v>
      </c>
      <c r="BP88" s="234"/>
      <c r="BQ88" s="234"/>
      <c r="BR88" s="234"/>
      <c r="BS88" s="224"/>
      <c r="BT88" s="222">
        <f t="shared" si="704"/>
        <v>11.666666666666666</v>
      </c>
      <c r="BU88" s="223">
        <f t="shared" si="705"/>
        <v>23.333333333333332</v>
      </c>
      <c r="BV88" s="224">
        <f t="shared" si="706"/>
        <v>35</v>
      </c>
      <c r="BW88" s="237">
        <f t="shared" si="707"/>
        <v>2432</v>
      </c>
      <c r="BX88" s="234">
        <f>BL88*BM88*CHslave+BL88*KLslave_KL*BO88+MUslave*BM88*BO88</f>
        <v>3408</v>
      </c>
      <c r="BY88" s="224">
        <f t="shared" si="708"/>
        <v>1584</v>
      </c>
      <c r="BZ88" s="242">
        <f t="shared" si="709"/>
        <v>7424</v>
      </c>
      <c r="CA88" s="222">
        <f t="shared" si="710"/>
        <v>3.8218390804597702</v>
      </c>
      <c r="CB88" s="223">
        <f t="shared" si="711"/>
        <v>10.711206896551724</v>
      </c>
      <c r="CC88" s="243">
        <f t="shared" si="712"/>
        <v>7.4676724137931032</v>
      </c>
      <c r="CD88" s="243">
        <f t="shared" si="713"/>
        <v>22.000718390804597</v>
      </c>
      <c r="CE88" s="252">
        <f t="shared" si="662"/>
        <v>0</v>
      </c>
      <c r="CF88" s="309">
        <f t="shared" si="714"/>
        <v>22.000718390804597</v>
      </c>
      <c r="CG88" s="218">
        <f>IF(CD88&lt;=0,1,0)+IF(CD88&gt;0,CD88+1,0)*1+IF(CD88&gt;12,CD88-12,0)*1+IF(CD88&gt;13,CD88-13,0)*1+IF(CD88&gt;14,CD88-14,0)*1+IF(CD88&gt;15,CD88-15,0)*1+IF(CD88&gt;16,CD88-16,0)*1+IF(CD88&gt;17,CD88-17,0)*1+IF(CD88&gt;18,CD88-18,0)*1+IF(CD88&gt;19,CD88-19,0)*1+IF(CD88&gt;20,CD88-20,0)*1</f>
        <v>77.007183908045945</v>
      </c>
      <c r="CH88" s="242">
        <f>IF(CE88&lt;=0,1,0)+IF(CE88&gt;0,CE88+1,0)*1+IF(CE88&gt;12,CE88-12,0)*1+IF(CE88&gt;13,CE88-13,0)*1+IF(CE88&gt;14,CE88-14,0)*1+IF(CE88&gt;15,CE88-15,0)*1+IF(CE88&gt;16,CE88-16,0)*1+IF(CE88&gt;17,CE88-17,0)*1+IF(CE88&gt;18,CE88-18,0)*1+IF(CE88&gt;19,CE88-19,0)*1+IF(CE88&gt;20,CE88-20,0)*1</f>
        <v>1</v>
      </c>
      <c r="CI88" s="243">
        <f t="shared" si="715"/>
        <v>76.007183908045945</v>
      </c>
      <c r="CJ88" s="218">
        <f t="shared" si="716"/>
        <v>0</v>
      </c>
      <c r="CL88" s="303" t="s">
        <v>193</v>
      </c>
      <c r="CM88" s="218" t="s">
        <v>84</v>
      </c>
      <c r="CN88" s="243" t="s">
        <v>133</v>
      </c>
      <c r="CO88" s="237">
        <f t="shared" si="798"/>
        <v>12</v>
      </c>
      <c r="CP88" s="234">
        <f t="shared" si="806"/>
        <v>12</v>
      </c>
      <c r="CQ88" s="234"/>
      <c r="CR88" s="234">
        <f>Konvention_1slave-CHslave</f>
        <v>12</v>
      </c>
      <c r="CS88" s="234"/>
      <c r="CT88" s="234"/>
      <c r="CU88" s="234"/>
      <c r="CV88" s="224"/>
      <c r="CW88" s="222">
        <f t="shared" si="717"/>
        <v>12</v>
      </c>
      <c r="CX88" s="223">
        <f t="shared" si="718"/>
        <v>24</v>
      </c>
      <c r="CY88" s="224">
        <f t="shared" si="719"/>
        <v>36</v>
      </c>
      <c r="CZ88" s="237">
        <f t="shared" si="720"/>
        <v>2304</v>
      </c>
      <c r="DA88" s="234">
        <f>CO88*CP88*CHslave+CO88*KLslave*CR88+MUslave*CP88*CR88</f>
        <v>3456</v>
      </c>
      <c r="DB88" s="224">
        <f t="shared" si="721"/>
        <v>1728</v>
      </c>
      <c r="DC88" s="242">
        <f t="shared" si="722"/>
        <v>7488</v>
      </c>
      <c r="DD88" s="222">
        <f t="shared" si="723"/>
        <v>3.6923076923076925</v>
      </c>
      <c r="DE88" s="223">
        <f t="shared" si="724"/>
        <v>11.076923076923077</v>
      </c>
      <c r="DF88" s="243">
        <f t="shared" si="725"/>
        <v>8.3076923076923084</v>
      </c>
      <c r="DG88" s="243">
        <f t="shared" si="726"/>
        <v>23.07692307692308</v>
      </c>
      <c r="DH88" s="252">
        <f t="shared" si="663"/>
        <v>0</v>
      </c>
      <c r="DI88" s="309">
        <f t="shared" si="727"/>
        <v>23.07692307692308</v>
      </c>
      <c r="DJ88" s="218">
        <f>IF(DG88&lt;=0,1,0)+IF(DG88&gt;0,DG88+1,0)*1+IF(DG88&gt;12,DG88-12,0)*1+IF(DG88&gt;13,DG88-13,0)*1+IF(DG88&gt;14,DG88-14,0)*1+IF(DG88&gt;15,DG88-15,0)*1+IF(DG88&gt;16,DG88-16,0)*1+IF(DG88&gt;17,DG88-17,0)*1+IF(DG88&gt;18,DG88-18,0)*1+IF(DG88&gt;19,DG88-19,0)*1+IF(DG88&gt;20,DG88-20,0)*1</f>
        <v>87.769230769230802</v>
      </c>
      <c r="DK88" s="242">
        <f>IF(DH88&lt;=0,1,0)+IF(DH88&gt;0,DH88+1,0)*1+IF(DH88&gt;12,DH88-12,0)*1+IF(DH88&gt;13,DH88-13,0)*1+IF(DH88&gt;14,DH88-14,0)*1+IF(DH88&gt;15,DH88-15,0)*1+IF(DH88&gt;16,DH88-16,0)*1+IF(DH88&gt;17,DH88-17,0)*1+IF(DH88&gt;18,DH88-18,0)*1+IF(DH88&gt;19,DH88-19,0)*1+IF(DH88&gt;20,DH88-20,0)*1</f>
        <v>1</v>
      </c>
      <c r="DL88" s="243">
        <f t="shared" si="728"/>
        <v>86.769230769230802</v>
      </c>
      <c r="DM88" s="218">
        <f t="shared" si="729"/>
        <v>0</v>
      </c>
      <c r="DO88" s="303" t="s">
        <v>193</v>
      </c>
      <c r="DP88" s="218" t="s">
        <v>84</v>
      </c>
      <c r="DQ88" s="243" t="s">
        <v>133</v>
      </c>
      <c r="DR88" s="237">
        <f t="shared" si="799"/>
        <v>12</v>
      </c>
      <c r="DS88" s="234">
        <f t="shared" si="807"/>
        <v>12</v>
      </c>
      <c r="DT88" s="234"/>
      <c r="DU88" s="234">
        <f>Konvention_1slave-CHslave_CH</f>
        <v>11</v>
      </c>
      <c r="DV88" s="234"/>
      <c r="DW88" s="234"/>
      <c r="DX88" s="234"/>
      <c r="DY88" s="224"/>
      <c r="DZ88" s="222">
        <f t="shared" si="730"/>
        <v>11.666666666666666</v>
      </c>
      <c r="EA88" s="223">
        <f t="shared" si="731"/>
        <v>23.333333333333332</v>
      </c>
      <c r="EB88" s="224">
        <f t="shared" si="732"/>
        <v>35</v>
      </c>
      <c r="EC88" s="237">
        <f t="shared" si="733"/>
        <v>2432</v>
      </c>
      <c r="ED88" s="234">
        <f>DR88*DS88*CHslave_CH+DR88*KLslave*DU88+MUslave*DS88*DU88</f>
        <v>3408</v>
      </c>
      <c r="EE88" s="224">
        <f t="shared" si="734"/>
        <v>1584</v>
      </c>
      <c r="EF88" s="242">
        <f t="shared" si="735"/>
        <v>7424</v>
      </c>
      <c r="EG88" s="222">
        <f t="shared" si="736"/>
        <v>3.8218390804597702</v>
      </c>
      <c r="EH88" s="223">
        <f t="shared" si="737"/>
        <v>10.711206896551724</v>
      </c>
      <c r="EI88" s="243">
        <f t="shared" si="738"/>
        <v>7.4676724137931032</v>
      </c>
      <c r="EJ88" s="243">
        <f t="shared" si="739"/>
        <v>22.000718390804597</v>
      </c>
      <c r="EK88" s="252">
        <f t="shared" si="664"/>
        <v>0</v>
      </c>
      <c r="EL88" s="309">
        <f t="shared" si="740"/>
        <v>22.000718390804597</v>
      </c>
      <c r="EM88" s="218">
        <f>IF(EJ88&lt;=0,1,0)+IF(EJ88&gt;0,EJ88+1,0)*1+IF(EJ88&gt;12,EJ88-12,0)*1+IF(EJ88&gt;13,EJ88-13,0)*1+IF(EJ88&gt;14,EJ88-14,0)*1+IF(EJ88&gt;15,EJ88-15,0)*1+IF(EJ88&gt;16,EJ88-16,0)*1+IF(EJ88&gt;17,EJ88-17,0)*1+IF(EJ88&gt;18,EJ88-18,0)*1+IF(EJ88&gt;19,EJ88-19,0)*1+IF(EJ88&gt;20,EJ88-20,0)*1</f>
        <v>77.007183908045945</v>
      </c>
      <c r="EN88" s="242">
        <f>IF(EK88&lt;=0,1,0)+IF(EK88&gt;0,EK88+1,0)*1+IF(EK88&gt;12,EK88-12,0)*1+IF(EK88&gt;13,EK88-13,0)*1+IF(EK88&gt;14,EK88-14,0)*1+IF(EK88&gt;15,EK88-15,0)*1+IF(EK88&gt;16,EK88-16,0)*1+IF(EK88&gt;17,EK88-17,0)*1+IF(EK88&gt;18,EK88-18,0)*1+IF(EK88&gt;19,EK88-19,0)*1+IF(EK88&gt;20,EK88-20,0)*1</f>
        <v>1</v>
      </c>
      <c r="EO88" s="243">
        <f t="shared" si="741"/>
        <v>76.007183908045945</v>
      </c>
      <c r="EP88" s="218">
        <f t="shared" si="742"/>
        <v>0</v>
      </c>
      <c r="ER88" s="303" t="s">
        <v>193</v>
      </c>
      <c r="ES88" s="218" t="s">
        <v>84</v>
      </c>
      <c r="ET88" s="243" t="s">
        <v>133</v>
      </c>
      <c r="EU88" s="237">
        <f t="shared" si="800"/>
        <v>12</v>
      </c>
      <c r="EV88" s="234">
        <f t="shared" si="808"/>
        <v>12</v>
      </c>
      <c r="EW88" s="234"/>
      <c r="EX88" s="234">
        <f>Konvention_1slave-CHslave</f>
        <v>12</v>
      </c>
      <c r="EY88" s="234"/>
      <c r="EZ88" s="234"/>
      <c r="FA88" s="234"/>
      <c r="FB88" s="224"/>
      <c r="FC88" s="222">
        <f t="shared" si="743"/>
        <v>12</v>
      </c>
      <c r="FD88" s="223">
        <f t="shared" si="744"/>
        <v>24</v>
      </c>
      <c r="FE88" s="224">
        <f t="shared" si="745"/>
        <v>36</v>
      </c>
      <c r="FF88" s="237">
        <f t="shared" si="746"/>
        <v>2304</v>
      </c>
      <c r="FG88" s="234">
        <f>EU88*EV88*CHslave+EU88*KLslave*EX88+MUslave*EV88*EX88</f>
        <v>3456</v>
      </c>
      <c r="FH88" s="224">
        <f t="shared" si="747"/>
        <v>1728</v>
      </c>
      <c r="FI88" s="242">
        <f t="shared" si="748"/>
        <v>7488</v>
      </c>
      <c r="FJ88" s="222">
        <f t="shared" si="749"/>
        <v>3.6923076923076925</v>
      </c>
      <c r="FK88" s="223">
        <f t="shared" si="750"/>
        <v>11.076923076923077</v>
      </c>
      <c r="FL88" s="243">
        <f t="shared" si="751"/>
        <v>8.3076923076923084</v>
      </c>
      <c r="FM88" s="243">
        <f t="shared" si="752"/>
        <v>23.07692307692308</v>
      </c>
      <c r="FN88" s="252">
        <f t="shared" si="665"/>
        <v>0</v>
      </c>
      <c r="FO88" s="309">
        <f t="shared" si="753"/>
        <v>23.07692307692308</v>
      </c>
      <c r="FP88" s="218">
        <f>IF(FM88&lt;=0,1,0)+IF(FM88&gt;0,FM88+1,0)*1+IF(FM88&gt;12,FM88-12,0)*1+IF(FM88&gt;13,FM88-13,0)*1+IF(FM88&gt;14,FM88-14,0)*1+IF(FM88&gt;15,FM88-15,0)*1+IF(FM88&gt;16,FM88-16,0)*1+IF(FM88&gt;17,FM88-17,0)*1+IF(FM88&gt;18,FM88-18,0)*1+IF(FM88&gt;19,FM88-19,0)*1+IF(FM88&gt;20,FM88-20,0)*1</f>
        <v>87.769230769230802</v>
      </c>
      <c r="FQ88" s="242">
        <f>IF(FN88&lt;=0,1,0)+IF(FN88&gt;0,FN88+1,0)*1+IF(FN88&gt;12,FN88-12,0)*1+IF(FN88&gt;13,FN88-13,0)*1+IF(FN88&gt;14,FN88-14,0)*1+IF(FN88&gt;15,FN88-15,0)*1+IF(FN88&gt;16,FN88-16,0)*1+IF(FN88&gt;17,FN88-17,0)*1+IF(FN88&gt;18,FN88-18,0)*1+IF(FN88&gt;19,FN88-19,0)*1+IF(FN88&gt;20,FN88-20,0)*1</f>
        <v>1</v>
      </c>
      <c r="FR88" s="243">
        <f t="shared" si="754"/>
        <v>86.769230769230802</v>
      </c>
      <c r="FS88" s="218">
        <f t="shared" si="755"/>
        <v>0</v>
      </c>
      <c r="FU88" s="303" t="s">
        <v>193</v>
      </c>
      <c r="FV88" s="218" t="s">
        <v>84</v>
      </c>
      <c r="FW88" s="243" t="s">
        <v>133</v>
      </c>
      <c r="FX88" s="237">
        <f t="shared" si="801"/>
        <v>12</v>
      </c>
      <c r="FY88" s="234">
        <f t="shared" si="809"/>
        <v>12</v>
      </c>
      <c r="FZ88" s="234"/>
      <c r="GA88" s="234">
        <f>Konvention_1slave-CHslave</f>
        <v>12</v>
      </c>
      <c r="GB88" s="234"/>
      <c r="GC88" s="234"/>
      <c r="GD88" s="234"/>
      <c r="GE88" s="224"/>
      <c r="GF88" s="222">
        <f t="shared" si="756"/>
        <v>12</v>
      </c>
      <c r="GG88" s="223">
        <f t="shared" si="757"/>
        <v>24</v>
      </c>
      <c r="GH88" s="224">
        <f t="shared" si="758"/>
        <v>36</v>
      </c>
      <c r="GI88" s="237">
        <f t="shared" si="759"/>
        <v>2304</v>
      </c>
      <c r="GJ88" s="234">
        <f>FX88*FY88*CHslave+FX88*KLslave*GA88+MUslave*FY88*GA88</f>
        <v>3456</v>
      </c>
      <c r="GK88" s="224">
        <f t="shared" si="760"/>
        <v>1728</v>
      </c>
      <c r="GL88" s="242">
        <f t="shared" si="761"/>
        <v>7488</v>
      </c>
      <c r="GM88" s="222">
        <f t="shared" si="762"/>
        <v>3.6923076923076925</v>
      </c>
      <c r="GN88" s="223">
        <f t="shared" si="763"/>
        <v>11.076923076923077</v>
      </c>
      <c r="GO88" s="243">
        <f t="shared" si="764"/>
        <v>8.3076923076923084</v>
      </c>
      <c r="GP88" s="243">
        <f t="shared" si="765"/>
        <v>23.07692307692308</v>
      </c>
      <c r="GQ88" s="252">
        <f t="shared" si="666"/>
        <v>0</v>
      </c>
      <c r="GR88" s="309">
        <f t="shared" si="766"/>
        <v>23.07692307692308</v>
      </c>
      <c r="GS88" s="218">
        <f>IF(GP88&lt;=0,1,0)+IF(GP88&gt;0,GP88+1,0)*1+IF(GP88&gt;12,GP88-12,0)*1+IF(GP88&gt;13,GP88-13,0)*1+IF(GP88&gt;14,GP88-14,0)*1+IF(GP88&gt;15,GP88-15,0)*1+IF(GP88&gt;16,GP88-16,0)*1+IF(GP88&gt;17,GP88-17,0)*1+IF(GP88&gt;18,GP88-18,0)*1+IF(GP88&gt;19,GP88-19,0)*1+IF(GP88&gt;20,GP88-20,0)*1</f>
        <v>87.769230769230802</v>
      </c>
      <c r="GT88" s="242">
        <f>IF(GQ88&lt;=0,1,0)+IF(GQ88&gt;0,GQ88+1,0)*1+IF(GQ88&gt;12,GQ88-12,0)*1+IF(GQ88&gt;13,GQ88-13,0)*1+IF(GQ88&gt;14,GQ88-14,0)*1+IF(GQ88&gt;15,GQ88-15,0)*1+IF(GQ88&gt;16,GQ88-16,0)*1+IF(GQ88&gt;17,GQ88-17,0)*1+IF(GQ88&gt;18,GQ88-18,0)*1+IF(GQ88&gt;19,GQ88-19,0)*1+IF(GQ88&gt;20,GQ88-20,0)*1</f>
        <v>1</v>
      </c>
      <c r="GU88" s="243">
        <f t="shared" si="767"/>
        <v>86.769230769230802</v>
      </c>
      <c r="GV88" s="218">
        <f t="shared" si="768"/>
        <v>0</v>
      </c>
      <c r="GX88" s="303" t="s">
        <v>193</v>
      </c>
      <c r="GY88" s="218" t="s">
        <v>84</v>
      </c>
      <c r="GZ88" s="243" t="s">
        <v>133</v>
      </c>
      <c r="HA88" s="237">
        <f t="shared" si="802"/>
        <v>12</v>
      </c>
      <c r="HB88" s="234">
        <f t="shared" si="810"/>
        <v>12</v>
      </c>
      <c r="HC88" s="234"/>
      <c r="HD88" s="234">
        <f>Konvention_1slave-CHslave</f>
        <v>12</v>
      </c>
      <c r="HE88" s="234"/>
      <c r="HF88" s="234"/>
      <c r="HG88" s="234"/>
      <c r="HH88" s="224"/>
      <c r="HI88" s="222">
        <f t="shared" si="769"/>
        <v>12</v>
      </c>
      <c r="HJ88" s="223">
        <f t="shared" si="770"/>
        <v>24</v>
      </c>
      <c r="HK88" s="224">
        <f t="shared" si="771"/>
        <v>36</v>
      </c>
      <c r="HL88" s="237">
        <f t="shared" si="772"/>
        <v>2304</v>
      </c>
      <c r="HM88" s="234">
        <f>HA88*HB88*CHslave+HA88*KLslave*HD88+MUslave*HB88*HD88</f>
        <v>3456</v>
      </c>
      <c r="HN88" s="224">
        <f t="shared" si="773"/>
        <v>1728</v>
      </c>
      <c r="HO88" s="242">
        <f t="shared" si="774"/>
        <v>7488</v>
      </c>
      <c r="HP88" s="222">
        <f t="shared" si="775"/>
        <v>3.6923076923076925</v>
      </c>
      <c r="HQ88" s="223">
        <f t="shared" si="776"/>
        <v>11.076923076923077</v>
      </c>
      <c r="HR88" s="243">
        <f t="shared" si="777"/>
        <v>8.3076923076923084</v>
      </c>
      <c r="HS88" s="243">
        <f t="shared" si="778"/>
        <v>23.07692307692308</v>
      </c>
      <c r="HT88" s="252">
        <f t="shared" si="667"/>
        <v>0</v>
      </c>
      <c r="HU88" s="309">
        <f t="shared" si="779"/>
        <v>23.07692307692308</v>
      </c>
      <c r="HV88" s="218">
        <f>IF(HS88&lt;=0,1,0)+IF(HS88&gt;0,HS88+1,0)*1+IF(HS88&gt;12,HS88-12,0)*1+IF(HS88&gt;13,HS88-13,0)*1+IF(HS88&gt;14,HS88-14,0)*1+IF(HS88&gt;15,HS88-15,0)*1+IF(HS88&gt;16,HS88-16,0)*1+IF(HS88&gt;17,HS88-17,0)*1+IF(HS88&gt;18,HS88-18,0)*1+IF(HS88&gt;19,HS88-19,0)*1+IF(HS88&gt;20,HS88-20,0)*1</f>
        <v>87.769230769230802</v>
      </c>
      <c r="HW88" s="242">
        <f>IF(HT88&lt;=0,1,0)+IF(HT88&gt;0,HT88+1,0)*1+IF(HT88&gt;12,HT88-12,0)*1+IF(HT88&gt;13,HT88-13,0)*1+IF(HT88&gt;14,HT88-14,0)*1+IF(HT88&gt;15,HT88-15,0)*1+IF(HT88&gt;16,HT88-16,0)*1+IF(HT88&gt;17,HT88-17,0)*1+IF(HT88&gt;18,HT88-18,0)*1+IF(HT88&gt;19,HT88-19,0)*1+IF(HT88&gt;20,HT88-20,0)*1</f>
        <v>1</v>
      </c>
      <c r="HX88" s="243">
        <f t="shared" si="780"/>
        <v>86.769230769230802</v>
      </c>
      <c r="HY88" s="218">
        <f t="shared" si="781"/>
        <v>0</v>
      </c>
      <c r="IA88" s="303" t="s">
        <v>193</v>
      </c>
      <c r="IB88" s="218" t="s">
        <v>84</v>
      </c>
      <c r="IC88" s="243" t="s">
        <v>133</v>
      </c>
      <c r="ID88" s="237">
        <f t="shared" si="803"/>
        <v>12</v>
      </c>
      <c r="IE88" s="234">
        <f t="shared" si="811"/>
        <v>12</v>
      </c>
      <c r="IF88" s="234"/>
      <c r="IG88" s="234">
        <f>Konvention_1slave-CHslave</f>
        <v>12</v>
      </c>
      <c r="IH88" s="234"/>
      <c r="II88" s="234"/>
      <c r="IJ88" s="234"/>
      <c r="IK88" s="224"/>
      <c r="IL88" s="222">
        <f t="shared" si="782"/>
        <v>12</v>
      </c>
      <c r="IM88" s="223">
        <f t="shared" si="783"/>
        <v>24</v>
      </c>
      <c r="IN88" s="224">
        <f t="shared" si="784"/>
        <v>36</v>
      </c>
      <c r="IO88" s="237">
        <f t="shared" si="785"/>
        <v>2304</v>
      </c>
      <c r="IP88" s="234">
        <f>ID88*IE88*CHslave+ID88*KLslave*IG88+MUslave*IE88*IG88</f>
        <v>3456</v>
      </c>
      <c r="IQ88" s="224">
        <f t="shared" si="786"/>
        <v>1728</v>
      </c>
      <c r="IR88" s="242">
        <f t="shared" si="787"/>
        <v>7488</v>
      </c>
      <c r="IS88" s="222">
        <f t="shared" si="788"/>
        <v>3.6923076923076925</v>
      </c>
      <c r="IT88" s="223">
        <f t="shared" si="789"/>
        <v>11.076923076923077</v>
      </c>
      <c r="IU88" s="243">
        <f t="shared" si="790"/>
        <v>8.3076923076923084</v>
      </c>
      <c r="IV88" s="243">
        <f t="shared" si="791"/>
        <v>23.07692307692308</v>
      </c>
      <c r="IW88" s="252">
        <f t="shared" si="668"/>
        <v>0</v>
      </c>
      <c r="IX88" s="309">
        <f t="shared" si="792"/>
        <v>23.07692307692308</v>
      </c>
      <c r="IY88" s="218">
        <f>IF(IV88&lt;=0,1,0)+IF(IV88&gt;0,IV88+1,0)*1+IF(IV88&gt;12,IV88-12,0)*1+IF(IV88&gt;13,IV88-13,0)*1+IF(IV88&gt;14,IV88-14,0)*1+IF(IV88&gt;15,IV88-15,0)*1+IF(IV88&gt;16,IV88-16,0)*1+IF(IV88&gt;17,IV88-17,0)*1+IF(IV88&gt;18,IV88-18,0)*1+IF(IV88&gt;19,IV88-19,0)*1+IF(IV88&gt;20,IV88-20,0)*1</f>
        <v>87.769230769230802</v>
      </c>
      <c r="IZ88" s="242">
        <f>IF(IW88&lt;=0,1,0)+IF(IW88&gt;0,IW88+1,0)*1+IF(IW88&gt;12,IW88-12,0)*1+IF(IW88&gt;13,IW88-13,0)*1+IF(IW88&gt;14,IW88-14,0)*1+IF(IW88&gt;15,IW88-15,0)*1+IF(IW88&gt;16,IW88-16,0)*1+IF(IW88&gt;17,IW88-17,0)*1+IF(IW88&gt;18,IW88-18,0)*1+IF(IW88&gt;19,IW88-19,0)*1+IF(IW88&gt;20,IW88-20,0)*1</f>
        <v>1</v>
      </c>
      <c r="JA88" s="243">
        <f t="shared" si="793"/>
        <v>86.769230769230802</v>
      </c>
      <c r="JB88" s="218">
        <f t="shared" si="794"/>
        <v>0</v>
      </c>
      <c r="JE88" s="148"/>
    </row>
    <row r="89" spans="2:265" hidden="1" outlineLevel="2">
      <c r="B89" s="148">
        <v>12</v>
      </c>
      <c r="C89" s="303" t="e">
        <f>VLOOKUP(AF89,Attribute!C:T,1,FALSE)</f>
        <v>#N/A</v>
      </c>
      <c r="D89" s="125" t="s">
        <v>84</v>
      </c>
      <c r="E89" s="127" t="s">
        <v>132</v>
      </c>
      <c r="F89" s="114">
        <f>Konvention_1master-MUmaster</f>
        <v>12</v>
      </c>
      <c r="G89" s="113">
        <f>Konvention_1master-KLmaster</f>
        <v>12</v>
      </c>
      <c r="H89" s="113"/>
      <c r="I89" s="113">
        <f>Konvention_1master-CHmaster</f>
        <v>12</v>
      </c>
      <c r="J89" s="113"/>
      <c r="K89" s="113"/>
      <c r="L89" s="113"/>
      <c r="M89" s="119"/>
      <c r="N89" s="222">
        <f>(F89+G89+H89+I89+J89+K89+L89+M89)/3</f>
        <v>12</v>
      </c>
      <c r="O89" s="223">
        <f t="shared" si="679"/>
        <v>24</v>
      </c>
      <c r="P89" s="224">
        <f t="shared" si="680"/>
        <v>36</v>
      </c>
      <c r="Q89" s="237">
        <f>F89*POWER(KLmaster,SIGN(G89))*POWER(INmaster,SIGN(H89))*POWER(CHmaster,SIGN(I89))*POWER(FFmaster,SIGN(J89))*POWER(GEmaster,SIGN(K89))*POWER(KOmaster,SIGN(L89))*POWER(KKmaster,SIGN(M89))+G89*POWER(MUmaster,SIGN(F89))*POWER(INmaster,SIGN(H89))*POWER(CHmaster,SIGN(I89))*POWER(FFmaster,SIGN(J89))*POWER(GEmaster,SIGN(K89))*POWER(KOmaster,SIGN(L89))*POWER(KKmaster,SIGN(M89))+H89*POWER(MUmaster,SIGN(F89))*POWER(KLmaster,SIGN(G89))*POWER(CHmaster,SIGN(I89))*POWER(FFmaster,SIGN(J89))*POWER(GEmaster,SIGN(K89))*POWER(KOmaster,SIGN(L89))*POWER(KKmaster,SIGN(M89))+I89*POWER(MUmaster,SIGN(F89))*POWER(KLmaster,SIGN(G89))*POWER(INmaster,SIGN(H89))*POWER(FFmaster,SIGN(J89))*POWER(GEmaster,SIGN(K89))*POWER(KOmaster,SIGN(L89))*POWER(KKmaster,SIGN(M89))+J89*POWER(MUmaster,SIGN(F89))*POWER(KLmaster,SIGN(G89))*POWER(INmaster,SIGN(H89))*POWER(CHmaster,SIGN(I89))*POWER(GEmaster,SIGN(K89))*POWER(KOmaster,SIGN(L89))*POWER(KKmaster,SIGN(M89))+K89*POWER(MUmaster,SIGN(F89))*POWER(KLmaster,SIGN(G89))*POWER(INmaster,SIGN(H89))*POWER(CHmaster,SIGN(I89))*POWER(FFmaster,SIGN(J89))*POWER(KOmaster,SIGN(L89))*POWER(KKmaster,SIGN(M89))+L89*POWER(MUmaster,SIGN(F89))*POWER(KLmaster,SIGN(G89))*POWER(INmaster,SIGN(H89))*POWER(CHmaster,SIGN(I89))*POWER(FFmaster,SIGN(J89))*POWER(GEmaster,SIGN(K89))*POWER(KKmaster,SIGN(M89))+M89*POWER(MUmaster,SIGN(F89))*POWER(KLmaster,SIGN(G89))*POWER(INmaster,SIGN(H89))*POWER(CHmaster,SIGN(I89))*POWER(FFmaster,SIGN(J89))*POWER(GEmaster,SIGN(K89))*POWER(KOmaster,SIGN(L89))</f>
        <v>2304</v>
      </c>
      <c r="R89" s="113">
        <f>F89*G89*CHmaster+F89*KLmaster*I89+MUmaster*G89*I89</f>
        <v>3456</v>
      </c>
      <c r="S89" s="224">
        <f t="shared" si="682"/>
        <v>1728</v>
      </c>
      <c r="T89" s="242">
        <f>SUM(Q89:S89)</f>
        <v>7488</v>
      </c>
      <c r="U89" s="222">
        <f t="shared" si="684"/>
        <v>3.6923076923076925</v>
      </c>
      <c r="V89" s="223">
        <f t="shared" si="685"/>
        <v>11.076923076923077</v>
      </c>
      <c r="W89" s="243">
        <f t="shared" si="686"/>
        <v>8.3076923076923084</v>
      </c>
      <c r="X89" s="243">
        <f t="shared" si="687"/>
        <v>23.07692307692308</v>
      </c>
      <c r="Y89" s="252">
        <v>0</v>
      </c>
      <c r="Z89" s="198">
        <f t="shared" si="688"/>
        <v>23.07692307692308</v>
      </c>
      <c r="AA89" s="125">
        <f>IF(X89&lt;=0,2,0)+IF(X89&gt;0,X89+1,0)*2+IF(X89&gt;12,X89-12,0)*2+IF(X89&gt;13,X89-13,0)*2+IF(X89&gt;14,X89-14,0)*2+IF(X89&gt;15,X89-15,0)*2+IF(X89&gt;16,X89-16,0)*2+IF(X89&gt;17,X89-17,0)*2+IF(X89&gt;18,X89-18,0)*2+IF(X89&gt;19,X89-19,0)*2+IF(X89&gt;20,X89-20,0)*2</f>
        <v>175.5384615384616</v>
      </c>
      <c r="AB89" s="160">
        <f>IF(Y89&lt;=0,2,0)+IF(Y89&gt;0,Y89+1,0)*2+IF(Y89&gt;12,Y89-12,0)*2+IF(Y89&gt;13,Y89-13,0)*2+IF(Y89&gt;14,Y89-14,0)*2+IF(Y89&gt;15,Y89-15,0)*2+IF(Y89&gt;16,Y89-16,0)*2+IF(Y89&gt;17,Y89-17,0)*2+IF(Y89&gt;18,Y89-18,0)*2+IF(Y89&gt;19,Y89-19,0)*2+IF(Y89&gt;20,Y89-20,0)*2</f>
        <v>2</v>
      </c>
      <c r="AC89" s="127">
        <f t="shared" si="689"/>
        <v>173.5384615384616</v>
      </c>
      <c r="AD89" s="125">
        <f t="shared" si="690"/>
        <v>0</v>
      </c>
      <c r="AF89" s="163" t="s">
        <v>348</v>
      </c>
      <c r="AG89" s="125" t="s">
        <v>84</v>
      </c>
      <c r="AH89" s="127" t="s">
        <v>132</v>
      </c>
      <c r="AI89" s="114">
        <f t="shared" si="796"/>
        <v>11</v>
      </c>
      <c r="AJ89" s="113">
        <f>Konvention_1slave-KLslave</f>
        <v>12</v>
      </c>
      <c r="AK89" s="113"/>
      <c r="AL89" s="113">
        <f>Konvention_1slave-CHslave</f>
        <v>12</v>
      </c>
      <c r="AM89" s="113"/>
      <c r="AN89" s="113"/>
      <c r="AO89" s="113"/>
      <c r="AP89" s="119"/>
      <c r="AQ89" s="89">
        <f>(AI89+AJ89+AK89+AL89+AM89+AN89+AO89+AP89)/3</f>
        <v>11.666666666666666</v>
      </c>
      <c r="AR89" s="47">
        <f t="shared" si="692"/>
        <v>23.333333333333332</v>
      </c>
      <c r="AS89" s="119">
        <f t="shared" si="693"/>
        <v>35</v>
      </c>
      <c r="AT89" s="114">
        <f t="shared" si="694"/>
        <v>2432</v>
      </c>
      <c r="AU89" s="113">
        <f>AI89*AJ89*CHslave+AI89*KLslave*AL89+MUslave_MU*AJ89*AL89</f>
        <v>3408</v>
      </c>
      <c r="AV89" s="119">
        <f t="shared" si="695"/>
        <v>1584</v>
      </c>
      <c r="AW89" s="160">
        <f>SUM(AT89:AV89)</f>
        <v>7424</v>
      </c>
      <c r="AX89" s="89">
        <f t="shared" si="697"/>
        <v>3.8218390804597702</v>
      </c>
      <c r="AY89" s="47">
        <f t="shared" si="698"/>
        <v>10.711206896551724</v>
      </c>
      <c r="AZ89" s="127">
        <f t="shared" si="699"/>
        <v>7.4676724137931032</v>
      </c>
      <c r="BA89" s="127">
        <f t="shared" si="700"/>
        <v>22.000718390804597</v>
      </c>
      <c r="BB89" s="165">
        <f t="shared" si="661"/>
        <v>0</v>
      </c>
      <c r="BC89" s="198">
        <f t="shared" si="701"/>
        <v>22.000718390804597</v>
      </c>
      <c r="BD89" s="125">
        <f>IF(BA89&lt;=0,2,0)+IF(BA89&gt;0,BA89+1,0)*2+IF(BA89&gt;12,BA89-12,0)*2+IF(BA89&gt;13,BA89-13,0)*2+IF(BA89&gt;14,BA89-14,0)*2+IF(BA89&gt;15,BA89-15,0)*2+IF(BA89&gt;16,BA89-16,0)*2+IF(BA89&gt;17,BA89-17,0)*2+IF(BA89&gt;18,BA89-18,0)*2+IF(BA89&gt;19,BA89-19,0)*2+IF(BA89&gt;20,BA89-20,0)*2</f>
        <v>154.01436781609189</v>
      </c>
      <c r="BE89" s="160">
        <f>IF(BB89&lt;=0,2,0)+IF(BB89&gt;0,BB89+1,0)*2+IF(BB89&gt;12,BB89-12,0)*2+IF(BB89&gt;13,BB89-13,0)*2+IF(BB89&gt;14,BB89-14,0)*2+IF(BB89&gt;15,BB89-15,0)*2+IF(BB89&gt;16,BB89-16,0)*2+IF(BB89&gt;17,BB89-17,0)*2+IF(BB89&gt;18,BB89-18,0)*2+IF(BB89&gt;19,BB89-19,0)*2+IF(BB89&gt;20,BB89-20,0)*2</f>
        <v>2</v>
      </c>
      <c r="BF89" s="243">
        <f t="shared" si="702"/>
        <v>152.01436781609189</v>
      </c>
      <c r="BG89" s="218">
        <f t="shared" si="703"/>
        <v>0</v>
      </c>
      <c r="BI89" s="303" t="s">
        <v>348</v>
      </c>
      <c r="BJ89" s="218" t="s">
        <v>84</v>
      </c>
      <c r="BK89" s="243" t="s">
        <v>132</v>
      </c>
      <c r="BL89" s="237">
        <f t="shared" si="797"/>
        <v>12</v>
      </c>
      <c r="BM89" s="234">
        <f t="shared" si="812"/>
        <v>11</v>
      </c>
      <c r="BN89" s="234"/>
      <c r="BO89" s="234">
        <f>Konvention_1slave-CHslave</f>
        <v>12</v>
      </c>
      <c r="BP89" s="234"/>
      <c r="BQ89" s="234"/>
      <c r="BR89" s="234"/>
      <c r="BS89" s="224"/>
      <c r="BT89" s="222">
        <f>(BL89+BM89+BN89+BO89+BP89+BQ89+BR89+BS89)/3</f>
        <v>11.666666666666666</v>
      </c>
      <c r="BU89" s="223">
        <f t="shared" si="705"/>
        <v>23.333333333333332</v>
      </c>
      <c r="BV89" s="224">
        <f t="shared" si="706"/>
        <v>35</v>
      </c>
      <c r="BW89" s="237">
        <f t="shared" si="707"/>
        <v>2432</v>
      </c>
      <c r="BX89" s="234">
        <f>BL89*BM89*CHslave+BL89*KLslave_KL*BO89+MUslave*BM89*BO89</f>
        <v>3408</v>
      </c>
      <c r="BY89" s="224">
        <f t="shared" si="708"/>
        <v>1584</v>
      </c>
      <c r="BZ89" s="242">
        <f>SUM(BW89:BY89)</f>
        <v>7424</v>
      </c>
      <c r="CA89" s="222">
        <f t="shared" si="710"/>
        <v>3.8218390804597702</v>
      </c>
      <c r="CB89" s="223">
        <f t="shared" si="711"/>
        <v>10.711206896551724</v>
      </c>
      <c r="CC89" s="243">
        <f t="shared" si="712"/>
        <v>7.4676724137931032</v>
      </c>
      <c r="CD89" s="243">
        <f t="shared" si="713"/>
        <v>22.000718390804597</v>
      </c>
      <c r="CE89" s="252">
        <f t="shared" si="662"/>
        <v>0</v>
      </c>
      <c r="CF89" s="309">
        <f t="shared" si="714"/>
        <v>22.000718390804597</v>
      </c>
      <c r="CG89" s="218">
        <f>IF(CD89&lt;=0,2,0)+IF(CD89&gt;0,CD89+1,0)*2+IF(CD89&gt;12,CD89-12,0)*2+IF(CD89&gt;13,CD89-13,0)*2+IF(CD89&gt;14,CD89-14,0)*2+IF(CD89&gt;15,CD89-15,0)*2+IF(CD89&gt;16,CD89-16,0)*2+IF(CD89&gt;17,CD89-17,0)*2+IF(CD89&gt;18,CD89-18,0)*2+IF(CD89&gt;19,CD89-19,0)*2+IF(CD89&gt;20,CD89-20,0)*2</f>
        <v>154.01436781609189</v>
      </c>
      <c r="CH89" s="242">
        <f>IF(CE89&lt;=0,2,0)+IF(CE89&gt;0,CE89+1,0)*2+IF(CE89&gt;12,CE89-12,0)*2+IF(CE89&gt;13,CE89-13,0)*2+IF(CE89&gt;14,CE89-14,0)*2+IF(CE89&gt;15,CE89-15,0)*2+IF(CE89&gt;16,CE89-16,0)*2+IF(CE89&gt;17,CE89-17,0)*2+IF(CE89&gt;18,CE89-18,0)*2+IF(CE89&gt;19,CE89-19,0)*2+IF(CE89&gt;20,CE89-20,0)*2</f>
        <v>2</v>
      </c>
      <c r="CI89" s="243">
        <f t="shared" si="715"/>
        <v>152.01436781609189</v>
      </c>
      <c r="CJ89" s="218">
        <f t="shared" si="716"/>
        <v>0</v>
      </c>
      <c r="CL89" s="303" t="s">
        <v>348</v>
      </c>
      <c r="CM89" s="218" t="s">
        <v>84</v>
      </c>
      <c r="CN89" s="243" t="s">
        <v>132</v>
      </c>
      <c r="CO89" s="237">
        <f t="shared" si="798"/>
        <v>12</v>
      </c>
      <c r="CP89" s="234">
        <f>Konvention_1slave-KLslave</f>
        <v>12</v>
      </c>
      <c r="CQ89" s="234"/>
      <c r="CR89" s="234">
        <f>Konvention_1slave-CHslave</f>
        <v>12</v>
      </c>
      <c r="CS89" s="234"/>
      <c r="CT89" s="234"/>
      <c r="CU89" s="234"/>
      <c r="CV89" s="224"/>
      <c r="CW89" s="222">
        <f>(CO89+CP89+CQ89+CR89+CS89+CT89+CU89+CV89)/3</f>
        <v>12</v>
      </c>
      <c r="CX89" s="223">
        <f t="shared" si="718"/>
        <v>24</v>
      </c>
      <c r="CY89" s="224">
        <f t="shared" si="719"/>
        <v>36</v>
      </c>
      <c r="CZ89" s="237">
        <f t="shared" si="720"/>
        <v>2304</v>
      </c>
      <c r="DA89" s="234">
        <f>CO89*CP89*CHslave+CO89*KLslave*CR89+MUslave*CP89*CR89</f>
        <v>3456</v>
      </c>
      <c r="DB89" s="224">
        <f t="shared" si="721"/>
        <v>1728</v>
      </c>
      <c r="DC89" s="242">
        <f>SUM(CZ89:DB89)</f>
        <v>7488</v>
      </c>
      <c r="DD89" s="222">
        <f t="shared" si="723"/>
        <v>3.6923076923076925</v>
      </c>
      <c r="DE89" s="223">
        <f t="shared" si="724"/>
        <v>11.076923076923077</v>
      </c>
      <c r="DF89" s="243">
        <f t="shared" si="725"/>
        <v>8.3076923076923084</v>
      </c>
      <c r="DG89" s="243">
        <f t="shared" si="726"/>
        <v>23.07692307692308</v>
      </c>
      <c r="DH89" s="252">
        <f t="shared" si="663"/>
        <v>0</v>
      </c>
      <c r="DI89" s="309">
        <f t="shared" si="727"/>
        <v>23.07692307692308</v>
      </c>
      <c r="DJ89" s="218">
        <f>IF(DG89&lt;=0,2,0)+IF(DG89&gt;0,DG89+1,0)*2+IF(DG89&gt;12,DG89-12,0)*2+IF(DG89&gt;13,DG89-13,0)*2+IF(DG89&gt;14,DG89-14,0)*2+IF(DG89&gt;15,DG89-15,0)*2+IF(DG89&gt;16,DG89-16,0)*2+IF(DG89&gt;17,DG89-17,0)*2+IF(DG89&gt;18,DG89-18,0)*2+IF(DG89&gt;19,DG89-19,0)*2+IF(DG89&gt;20,DG89-20,0)*2</f>
        <v>175.5384615384616</v>
      </c>
      <c r="DK89" s="242">
        <f>IF(DH89&lt;=0,2,0)+IF(DH89&gt;0,DH89+1,0)*2+IF(DH89&gt;12,DH89-12,0)*2+IF(DH89&gt;13,DH89-13,0)*2+IF(DH89&gt;14,DH89-14,0)*2+IF(DH89&gt;15,DH89-15,0)*2+IF(DH89&gt;16,DH89-16,0)*2+IF(DH89&gt;17,DH89-17,0)*2+IF(DH89&gt;18,DH89-18,0)*2+IF(DH89&gt;19,DH89-19,0)*2+IF(DH89&gt;20,DH89-20,0)*2</f>
        <v>2</v>
      </c>
      <c r="DL89" s="243">
        <f t="shared" si="728"/>
        <v>173.5384615384616</v>
      </c>
      <c r="DM89" s="218">
        <f t="shared" si="729"/>
        <v>0</v>
      </c>
      <c r="DO89" s="303" t="s">
        <v>348</v>
      </c>
      <c r="DP89" s="218" t="s">
        <v>84</v>
      </c>
      <c r="DQ89" s="243" t="s">
        <v>132</v>
      </c>
      <c r="DR89" s="237">
        <f t="shared" si="799"/>
        <v>12</v>
      </c>
      <c r="DS89" s="234">
        <f>Konvention_1slave-KLslave</f>
        <v>12</v>
      </c>
      <c r="DT89" s="234"/>
      <c r="DU89" s="234">
        <f>Konvention_1slave-CHslave_CH</f>
        <v>11</v>
      </c>
      <c r="DV89" s="234"/>
      <c r="DW89" s="234"/>
      <c r="DX89" s="234"/>
      <c r="DY89" s="224"/>
      <c r="DZ89" s="222">
        <f>(DR89+DS89+DT89+DU89+DV89+DW89+DX89+DY89)/3</f>
        <v>11.666666666666666</v>
      </c>
      <c r="EA89" s="223">
        <f t="shared" si="731"/>
        <v>23.333333333333332</v>
      </c>
      <c r="EB89" s="224">
        <f t="shared" si="732"/>
        <v>35</v>
      </c>
      <c r="EC89" s="237">
        <f t="shared" si="733"/>
        <v>2432</v>
      </c>
      <c r="ED89" s="234">
        <f>DR89*DS89*CHslave_CH+DR89*KLslave*DU89+MUslave*DS89*DU89</f>
        <v>3408</v>
      </c>
      <c r="EE89" s="224">
        <f t="shared" si="734"/>
        <v>1584</v>
      </c>
      <c r="EF89" s="242">
        <f>SUM(EC89:EE89)</f>
        <v>7424</v>
      </c>
      <c r="EG89" s="222">
        <f t="shared" si="736"/>
        <v>3.8218390804597702</v>
      </c>
      <c r="EH89" s="223">
        <f t="shared" si="737"/>
        <v>10.711206896551724</v>
      </c>
      <c r="EI89" s="243">
        <f t="shared" si="738"/>
        <v>7.4676724137931032</v>
      </c>
      <c r="EJ89" s="243">
        <f t="shared" si="739"/>
        <v>22.000718390804597</v>
      </c>
      <c r="EK89" s="252">
        <f t="shared" si="664"/>
        <v>0</v>
      </c>
      <c r="EL89" s="309">
        <f t="shared" si="740"/>
        <v>22.000718390804597</v>
      </c>
      <c r="EM89" s="218">
        <f>IF(EJ89&lt;=0,2,0)+IF(EJ89&gt;0,EJ89+1,0)*2+IF(EJ89&gt;12,EJ89-12,0)*2+IF(EJ89&gt;13,EJ89-13,0)*2+IF(EJ89&gt;14,EJ89-14,0)*2+IF(EJ89&gt;15,EJ89-15,0)*2+IF(EJ89&gt;16,EJ89-16,0)*2+IF(EJ89&gt;17,EJ89-17,0)*2+IF(EJ89&gt;18,EJ89-18,0)*2+IF(EJ89&gt;19,EJ89-19,0)*2+IF(EJ89&gt;20,EJ89-20,0)*2</f>
        <v>154.01436781609189</v>
      </c>
      <c r="EN89" s="242">
        <f>IF(EK89&lt;=0,2,0)+IF(EK89&gt;0,EK89+1,0)*2+IF(EK89&gt;12,EK89-12,0)*2+IF(EK89&gt;13,EK89-13,0)*2+IF(EK89&gt;14,EK89-14,0)*2+IF(EK89&gt;15,EK89-15,0)*2+IF(EK89&gt;16,EK89-16,0)*2+IF(EK89&gt;17,EK89-17,0)*2+IF(EK89&gt;18,EK89-18,0)*2+IF(EK89&gt;19,EK89-19,0)*2+IF(EK89&gt;20,EK89-20,0)*2</f>
        <v>2</v>
      </c>
      <c r="EO89" s="243">
        <f t="shared" si="741"/>
        <v>152.01436781609189</v>
      </c>
      <c r="EP89" s="218">
        <f t="shared" si="742"/>
        <v>0</v>
      </c>
      <c r="ER89" s="303" t="s">
        <v>348</v>
      </c>
      <c r="ES89" s="218" t="s">
        <v>84</v>
      </c>
      <c r="ET89" s="243" t="s">
        <v>132</v>
      </c>
      <c r="EU89" s="237">
        <f t="shared" si="800"/>
        <v>12</v>
      </c>
      <c r="EV89" s="234">
        <f>Konvention_1slave-KLslave</f>
        <v>12</v>
      </c>
      <c r="EW89" s="234"/>
      <c r="EX89" s="234">
        <f>Konvention_1slave-CHslave</f>
        <v>12</v>
      </c>
      <c r="EY89" s="234"/>
      <c r="EZ89" s="234"/>
      <c r="FA89" s="234"/>
      <c r="FB89" s="224"/>
      <c r="FC89" s="222">
        <f>(EU89+EV89+EW89+EX89+EY89+EZ89+FA89+FB89)/3</f>
        <v>12</v>
      </c>
      <c r="FD89" s="223">
        <f t="shared" si="744"/>
        <v>24</v>
      </c>
      <c r="FE89" s="224">
        <f t="shared" si="745"/>
        <v>36</v>
      </c>
      <c r="FF89" s="237">
        <f t="shared" si="746"/>
        <v>2304</v>
      </c>
      <c r="FG89" s="234">
        <f>EU89*EV89*CHslave+EU89*KLslave*EX89+MUslave*EV89*EX89</f>
        <v>3456</v>
      </c>
      <c r="FH89" s="224">
        <f t="shared" si="747"/>
        <v>1728</v>
      </c>
      <c r="FI89" s="242">
        <f>SUM(FF89:FH89)</f>
        <v>7488</v>
      </c>
      <c r="FJ89" s="222">
        <f t="shared" si="749"/>
        <v>3.6923076923076925</v>
      </c>
      <c r="FK89" s="223">
        <f t="shared" si="750"/>
        <v>11.076923076923077</v>
      </c>
      <c r="FL89" s="243">
        <f t="shared" si="751"/>
        <v>8.3076923076923084</v>
      </c>
      <c r="FM89" s="243">
        <f t="shared" si="752"/>
        <v>23.07692307692308</v>
      </c>
      <c r="FN89" s="252">
        <f t="shared" si="665"/>
        <v>0</v>
      </c>
      <c r="FO89" s="309">
        <f t="shared" si="753"/>
        <v>23.07692307692308</v>
      </c>
      <c r="FP89" s="218">
        <f>IF(FM89&lt;=0,2,0)+IF(FM89&gt;0,FM89+1,0)*2+IF(FM89&gt;12,FM89-12,0)*2+IF(FM89&gt;13,FM89-13,0)*2+IF(FM89&gt;14,FM89-14,0)*2+IF(FM89&gt;15,FM89-15,0)*2+IF(FM89&gt;16,FM89-16,0)*2+IF(FM89&gt;17,FM89-17,0)*2+IF(FM89&gt;18,FM89-18,0)*2+IF(FM89&gt;19,FM89-19,0)*2+IF(FM89&gt;20,FM89-20,0)*2</f>
        <v>175.5384615384616</v>
      </c>
      <c r="FQ89" s="242">
        <f>IF(FN89&lt;=0,2,0)+IF(FN89&gt;0,FN89+1,0)*2+IF(FN89&gt;12,FN89-12,0)*2+IF(FN89&gt;13,FN89-13,0)*2+IF(FN89&gt;14,FN89-14,0)*2+IF(FN89&gt;15,FN89-15,0)*2+IF(FN89&gt;16,FN89-16,0)*2+IF(FN89&gt;17,FN89-17,0)*2+IF(FN89&gt;18,FN89-18,0)*2+IF(FN89&gt;19,FN89-19,0)*2+IF(FN89&gt;20,FN89-20,0)*2</f>
        <v>2</v>
      </c>
      <c r="FR89" s="243">
        <f t="shared" si="754"/>
        <v>173.5384615384616</v>
      </c>
      <c r="FS89" s="218">
        <f t="shared" si="755"/>
        <v>0</v>
      </c>
      <c r="FU89" s="303" t="s">
        <v>348</v>
      </c>
      <c r="FV89" s="218" t="s">
        <v>84</v>
      </c>
      <c r="FW89" s="243" t="s">
        <v>132</v>
      </c>
      <c r="FX89" s="237">
        <f t="shared" si="801"/>
        <v>12</v>
      </c>
      <c r="FY89" s="234">
        <f>Konvention_1slave-KLslave</f>
        <v>12</v>
      </c>
      <c r="FZ89" s="234"/>
      <c r="GA89" s="234">
        <f>Konvention_1slave-CHslave</f>
        <v>12</v>
      </c>
      <c r="GB89" s="234"/>
      <c r="GC89" s="234"/>
      <c r="GD89" s="234"/>
      <c r="GE89" s="224"/>
      <c r="GF89" s="222">
        <f>(FX89+FY89+FZ89+GA89+GB89+GC89+GD89+GE89)/3</f>
        <v>12</v>
      </c>
      <c r="GG89" s="223">
        <f t="shared" si="757"/>
        <v>24</v>
      </c>
      <c r="GH89" s="224">
        <f t="shared" si="758"/>
        <v>36</v>
      </c>
      <c r="GI89" s="237">
        <f t="shared" si="759"/>
        <v>2304</v>
      </c>
      <c r="GJ89" s="234">
        <f>FX89*FY89*CHslave+FX89*KLslave*GA89+MUslave*FY89*GA89</f>
        <v>3456</v>
      </c>
      <c r="GK89" s="224">
        <f t="shared" si="760"/>
        <v>1728</v>
      </c>
      <c r="GL89" s="242">
        <f>SUM(GI89:GK89)</f>
        <v>7488</v>
      </c>
      <c r="GM89" s="222">
        <f t="shared" si="762"/>
        <v>3.6923076923076925</v>
      </c>
      <c r="GN89" s="223">
        <f t="shared" si="763"/>
        <v>11.076923076923077</v>
      </c>
      <c r="GO89" s="243">
        <f t="shared" si="764"/>
        <v>8.3076923076923084</v>
      </c>
      <c r="GP89" s="243">
        <f t="shared" si="765"/>
        <v>23.07692307692308</v>
      </c>
      <c r="GQ89" s="252">
        <f t="shared" si="666"/>
        <v>0</v>
      </c>
      <c r="GR89" s="309">
        <f t="shared" si="766"/>
        <v>23.07692307692308</v>
      </c>
      <c r="GS89" s="218">
        <f>IF(GP89&lt;=0,2,0)+IF(GP89&gt;0,GP89+1,0)*2+IF(GP89&gt;12,GP89-12,0)*2+IF(GP89&gt;13,GP89-13,0)*2+IF(GP89&gt;14,GP89-14,0)*2+IF(GP89&gt;15,GP89-15,0)*2+IF(GP89&gt;16,GP89-16,0)*2+IF(GP89&gt;17,GP89-17,0)*2+IF(GP89&gt;18,GP89-18,0)*2+IF(GP89&gt;19,GP89-19,0)*2+IF(GP89&gt;20,GP89-20,0)*2</f>
        <v>175.5384615384616</v>
      </c>
      <c r="GT89" s="242">
        <f>IF(GQ89&lt;=0,2,0)+IF(GQ89&gt;0,GQ89+1,0)*2+IF(GQ89&gt;12,GQ89-12,0)*2+IF(GQ89&gt;13,GQ89-13,0)*2+IF(GQ89&gt;14,GQ89-14,0)*2+IF(GQ89&gt;15,GQ89-15,0)*2+IF(GQ89&gt;16,GQ89-16,0)*2+IF(GQ89&gt;17,GQ89-17,0)*2+IF(GQ89&gt;18,GQ89-18,0)*2+IF(GQ89&gt;19,GQ89-19,0)*2+IF(GQ89&gt;20,GQ89-20,0)*2</f>
        <v>2</v>
      </c>
      <c r="GU89" s="243">
        <f t="shared" si="767"/>
        <v>173.5384615384616</v>
      </c>
      <c r="GV89" s="218">
        <f t="shared" si="768"/>
        <v>0</v>
      </c>
      <c r="GX89" s="303" t="s">
        <v>348</v>
      </c>
      <c r="GY89" s="218" t="s">
        <v>84</v>
      </c>
      <c r="GZ89" s="243" t="s">
        <v>132</v>
      </c>
      <c r="HA89" s="237">
        <f t="shared" si="802"/>
        <v>12</v>
      </c>
      <c r="HB89" s="234">
        <f>Konvention_1slave-KLslave</f>
        <v>12</v>
      </c>
      <c r="HC89" s="234"/>
      <c r="HD89" s="234">
        <f>Konvention_1slave-CHslave</f>
        <v>12</v>
      </c>
      <c r="HE89" s="234"/>
      <c r="HF89" s="234"/>
      <c r="HG89" s="234"/>
      <c r="HH89" s="224"/>
      <c r="HI89" s="222">
        <f>(HA89+HB89+HC89+HD89+HE89+HF89+HG89+HH89)/3</f>
        <v>12</v>
      </c>
      <c r="HJ89" s="223">
        <f t="shared" si="770"/>
        <v>24</v>
      </c>
      <c r="HK89" s="224">
        <f t="shared" si="771"/>
        <v>36</v>
      </c>
      <c r="HL89" s="237">
        <f t="shared" si="772"/>
        <v>2304</v>
      </c>
      <c r="HM89" s="234">
        <f>HA89*HB89*CHslave+HA89*KLslave*HD89+MUslave*HB89*HD89</f>
        <v>3456</v>
      </c>
      <c r="HN89" s="224">
        <f t="shared" si="773"/>
        <v>1728</v>
      </c>
      <c r="HO89" s="242">
        <f>SUM(HL89:HN89)</f>
        <v>7488</v>
      </c>
      <c r="HP89" s="222">
        <f t="shared" si="775"/>
        <v>3.6923076923076925</v>
      </c>
      <c r="HQ89" s="223">
        <f t="shared" si="776"/>
        <v>11.076923076923077</v>
      </c>
      <c r="HR89" s="243">
        <f t="shared" si="777"/>
        <v>8.3076923076923084</v>
      </c>
      <c r="HS89" s="243">
        <f t="shared" si="778"/>
        <v>23.07692307692308</v>
      </c>
      <c r="HT89" s="252">
        <f t="shared" si="667"/>
        <v>0</v>
      </c>
      <c r="HU89" s="309">
        <f t="shared" si="779"/>
        <v>23.07692307692308</v>
      </c>
      <c r="HV89" s="218">
        <f>IF(HS89&lt;=0,2,0)+IF(HS89&gt;0,HS89+1,0)*2+IF(HS89&gt;12,HS89-12,0)*2+IF(HS89&gt;13,HS89-13,0)*2+IF(HS89&gt;14,HS89-14,0)*2+IF(HS89&gt;15,HS89-15,0)*2+IF(HS89&gt;16,HS89-16,0)*2+IF(HS89&gt;17,HS89-17,0)*2+IF(HS89&gt;18,HS89-18,0)*2+IF(HS89&gt;19,HS89-19,0)*2+IF(HS89&gt;20,HS89-20,0)*2</f>
        <v>175.5384615384616</v>
      </c>
      <c r="HW89" s="242">
        <f>IF(HT89&lt;=0,2,0)+IF(HT89&gt;0,HT89+1,0)*2+IF(HT89&gt;12,HT89-12,0)*2+IF(HT89&gt;13,HT89-13,0)*2+IF(HT89&gt;14,HT89-14,0)*2+IF(HT89&gt;15,HT89-15,0)*2+IF(HT89&gt;16,HT89-16,0)*2+IF(HT89&gt;17,HT89-17,0)*2+IF(HT89&gt;18,HT89-18,0)*2+IF(HT89&gt;19,HT89-19,0)*2+IF(HT89&gt;20,HT89-20,0)*2</f>
        <v>2</v>
      </c>
      <c r="HX89" s="243">
        <f t="shared" si="780"/>
        <v>173.5384615384616</v>
      </c>
      <c r="HY89" s="218">
        <f t="shared" si="781"/>
        <v>0</v>
      </c>
      <c r="IA89" s="303" t="s">
        <v>348</v>
      </c>
      <c r="IB89" s="218" t="s">
        <v>84</v>
      </c>
      <c r="IC89" s="243" t="s">
        <v>132</v>
      </c>
      <c r="ID89" s="237">
        <f t="shared" si="803"/>
        <v>12</v>
      </c>
      <c r="IE89" s="234">
        <f>Konvention_1slave-KLslave</f>
        <v>12</v>
      </c>
      <c r="IF89" s="234"/>
      <c r="IG89" s="234">
        <f>Konvention_1slave-CHslave</f>
        <v>12</v>
      </c>
      <c r="IH89" s="234"/>
      <c r="II89" s="234"/>
      <c r="IJ89" s="234"/>
      <c r="IK89" s="224"/>
      <c r="IL89" s="222">
        <f>(ID89+IE89+IF89+IG89+IH89+II89+IJ89+IK89)/3</f>
        <v>12</v>
      </c>
      <c r="IM89" s="223">
        <f t="shared" si="783"/>
        <v>24</v>
      </c>
      <c r="IN89" s="224">
        <f t="shared" si="784"/>
        <v>36</v>
      </c>
      <c r="IO89" s="237">
        <f t="shared" si="785"/>
        <v>2304</v>
      </c>
      <c r="IP89" s="234">
        <f>ID89*IE89*CHslave+ID89*KLslave*IG89+MUslave*IE89*IG89</f>
        <v>3456</v>
      </c>
      <c r="IQ89" s="224">
        <f t="shared" si="786"/>
        <v>1728</v>
      </c>
      <c r="IR89" s="242">
        <f>SUM(IO89:IQ89)</f>
        <v>7488</v>
      </c>
      <c r="IS89" s="222">
        <f t="shared" si="788"/>
        <v>3.6923076923076925</v>
      </c>
      <c r="IT89" s="223">
        <f t="shared" si="789"/>
        <v>11.076923076923077</v>
      </c>
      <c r="IU89" s="243">
        <f t="shared" si="790"/>
        <v>8.3076923076923084</v>
      </c>
      <c r="IV89" s="243">
        <f t="shared" si="791"/>
        <v>23.07692307692308</v>
      </c>
      <c r="IW89" s="252">
        <f t="shared" si="668"/>
        <v>0</v>
      </c>
      <c r="IX89" s="309">
        <f t="shared" si="792"/>
        <v>23.07692307692308</v>
      </c>
      <c r="IY89" s="218">
        <f>IF(IV89&lt;=0,2,0)+IF(IV89&gt;0,IV89+1,0)*2+IF(IV89&gt;12,IV89-12,0)*2+IF(IV89&gt;13,IV89-13,0)*2+IF(IV89&gt;14,IV89-14,0)*2+IF(IV89&gt;15,IV89-15,0)*2+IF(IV89&gt;16,IV89-16,0)*2+IF(IV89&gt;17,IV89-17,0)*2+IF(IV89&gt;18,IV89-18,0)*2+IF(IV89&gt;19,IV89-19,0)*2+IF(IV89&gt;20,IV89-20,0)*2</f>
        <v>175.5384615384616</v>
      </c>
      <c r="IZ89" s="242">
        <f>IF(IW89&lt;=0,2,0)+IF(IW89&gt;0,IW89+1,0)*2+IF(IW89&gt;12,IW89-12,0)*2+IF(IW89&gt;13,IW89-13,0)*2+IF(IW89&gt;14,IW89-14,0)*2+IF(IW89&gt;15,IW89-15,0)*2+IF(IW89&gt;16,IW89-16,0)*2+IF(IW89&gt;17,IW89-17,0)*2+IF(IW89&gt;18,IW89-18,0)*2+IF(IW89&gt;19,IW89-19,0)*2+IF(IW89&gt;20,IW89-20,0)*2</f>
        <v>2</v>
      </c>
      <c r="JA89" s="243">
        <f t="shared" si="793"/>
        <v>173.5384615384616</v>
      </c>
      <c r="JB89" s="218">
        <f t="shared" si="794"/>
        <v>0</v>
      </c>
      <c r="JE89" s="148"/>
    </row>
    <row r="90" spans="2:265" ht="15" hidden="1" customHeight="1" outlineLevel="2">
      <c r="B90" s="148">
        <v>13</v>
      </c>
      <c r="C90" s="303" t="e">
        <f>VLOOKUP(AF90,Attribute!C:T,1,FALSE)</f>
        <v>#N/A</v>
      </c>
      <c r="D90" s="86" t="s">
        <v>87</v>
      </c>
      <c r="E90" s="127" t="s">
        <v>132</v>
      </c>
      <c r="F90" s="114"/>
      <c r="G90" s="113">
        <f>Konvention_1master-KLmaster</f>
        <v>12</v>
      </c>
      <c r="H90" s="113">
        <f>Konvention_1master-INmaster</f>
        <v>12</v>
      </c>
      <c r="I90" s="113">
        <f>Konvention_1master-CHmaster</f>
        <v>12</v>
      </c>
      <c r="J90" s="113"/>
      <c r="K90" s="113"/>
      <c r="L90" s="113"/>
      <c r="M90" s="119"/>
      <c r="N90" s="222">
        <f>(F90+G90+H90+I90+J90+K90+L90+M90)/3</f>
        <v>12</v>
      </c>
      <c r="O90" s="223">
        <f>2*N90</f>
        <v>24</v>
      </c>
      <c r="P90" s="224">
        <f>3*N90</f>
        <v>36</v>
      </c>
      <c r="Q90" s="237">
        <f>F90*POWER(KLmaster,SIGN(G90))*POWER(INmaster,SIGN(H90))*POWER(CHmaster,SIGN(I90))*POWER(FFmaster,SIGN(J90))*POWER(GEmaster,SIGN(K90))*POWER(KOmaster,SIGN(L90))*POWER(KKmaster,SIGN(M90))+G90*POWER(MUmaster,SIGN(F90))*POWER(INmaster,SIGN(H90))*POWER(CHmaster,SIGN(I90))*POWER(FFmaster,SIGN(J90))*POWER(GEmaster,SIGN(K90))*POWER(KOmaster,SIGN(L90))*POWER(KKmaster,SIGN(M90))+H90*POWER(MUmaster,SIGN(F90))*POWER(KLmaster,SIGN(G90))*POWER(CHmaster,SIGN(I90))*POWER(FFmaster,SIGN(J90))*POWER(GEmaster,SIGN(K90))*POWER(KOmaster,SIGN(L90))*POWER(KKmaster,SIGN(M90))+I90*POWER(MUmaster,SIGN(F90))*POWER(KLmaster,SIGN(G90))*POWER(INmaster,SIGN(H90))*POWER(FFmaster,SIGN(J90))*POWER(GEmaster,SIGN(K90))*POWER(KOmaster,SIGN(L90))*POWER(KKmaster,SIGN(M90))+J90*POWER(MUmaster,SIGN(F90))*POWER(KLmaster,SIGN(G90))*POWER(INmaster,SIGN(H90))*POWER(CHmaster,SIGN(I90))*POWER(GEmaster,SIGN(K90))*POWER(KOmaster,SIGN(L90))*POWER(KKmaster,SIGN(M90))+K90*POWER(MUmaster,SIGN(F90))*POWER(KLmaster,SIGN(G90))*POWER(INmaster,SIGN(H90))*POWER(CHmaster,SIGN(I90))*POWER(FFmaster,SIGN(J90))*POWER(KOmaster,SIGN(L90))*POWER(KKmaster,SIGN(M90))+L90*POWER(MUmaster,SIGN(F90))*POWER(KLmaster,SIGN(G90))*POWER(INmaster,SIGN(H90))*POWER(CHmaster,SIGN(I90))*POWER(FFmaster,SIGN(J90))*POWER(GEmaster,SIGN(K90))*POWER(KKmaster,SIGN(M90))+M90*POWER(MUmaster,SIGN(F90))*POWER(KLmaster,SIGN(G90))*POWER(INmaster,SIGN(H90))*POWER(CHmaster,SIGN(I90))*POWER(FFmaster,SIGN(J90))*POWER(GEmaster,SIGN(K90))*POWER(KOmaster,SIGN(L90))</f>
        <v>2304</v>
      </c>
      <c r="R90" s="113">
        <f>G90*H90*CHmaster+G90*INmaster*I90+KLmaster*H90*I90</f>
        <v>3456</v>
      </c>
      <c r="S90" s="224">
        <f>IFERROR(F90^SIGN(F90),1)*IFERROR(G90^SIGN(G90),1)*IFERROR(H90^SIGN(H90),1)*IFERROR(I90^SIGN(I90),1)*IFERROR(J90^SIGN(J90),1)*IFERROR(K90^SIGN(K90),1)*IFERROR(L90^SIGN(L90),1)*IFERROR(M90^SIGN(M90),1)</f>
        <v>1728</v>
      </c>
      <c r="T90" s="242">
        <f>SUM(Q90:S90)</f>
        <v>7488</v>
      </c>
      <c r="U90" s="222">
        <f>N90*Q90/T90</f>
        <v>3.6923076923076925</v>
      </c>
      <c r="V90" s="223">
        <f>O90*R90/T90</f>
        <v>11.076923076923077</v>
      </c>
      <c r="W90" s="243">
        <f>P90*S90/T90</f>
        <v>8.3076923076923084</v>
      </c>
      <c r="X90" s="243">
        <f>SUM(U90:W90)</f>
        <v>23.07692307692308</v>
      </c>
      <c r="Y90" s="252">
        <v>0</v>
      </c>
      <c r="Z90" s="198">
        <f>X90-Y90</f>
        <v>23.07692307692308</v>
      </c>
      <c r="AA90" s="125">
        <f>IF(X90&lt;=0,2,0)+IF(X90&gt;0,X90+1,0)*2+IF(X90&gt;12,X90-12,0)*2+IF(X90&gt;13,X90-13,0)*2+IF(X90&gt;14,X90-14,0)*2+IF(X90&gt;15,X90-15,0)*2+IF(X90&gt;16,X90-16,0)*2+IF(X90&gt;17,X90-17,0)*2+IF(X90&gt;18,X90-18,0)*2+IF(X90&gt;19,X90-19,0)*2+IF(X90&gt;20,X90-20,0)*2</f>
        <v>175.5384615384616</v>
      </c>
      <c r="AB90" s="160">
        <f>IF(Y90&lt;=0,2,0)+IF(Y90&gt;0,Y90+1,0)*2+IF(Y90&gt;12,Y90-12,0)*2+IF(Y90&gt;13,Y90-13,0)*2+IF(Y90&gt;14,Y90-14,0)*2+IF(Y90&gt;15,Y90-15,0)*2+IF(Y90&gt;16,Y90-16,0)*2+IF(Y90&gt;17,Y90-17,0)*2+IF(Y90&gt;18,Y90-18,0)*2+IF(Y90&gt;19,Y90-19,0)*2+IF(Y90&gt;20,Y90-20,0)*2</f>
        <v>2</v>
      </c>
      <c r="AC90" s="127">
        <f>IF((AA90-AB90)&gt;0,AA90-AB90,0)</f>
        <v>173.5384615384616</v>
      </c>
      <c r="AD90" s="125">
        <f>IF((AB90-AA90)&gt;0,AB90-AA90,0)</f>
        <v>0</v>
      </c>
      <c r="AF90" s="163" t="s">
        <v>294</v>
      </c>
      <c r="AG90" s="125" t="s">
        <v>87</v>
      </c>
      <c r="AH90" s="127" t="s">
        <v>132</v>
      </c>
      <c r="AI90" s="114"/>
      <c r="AJ90" s="113">
        <f t="shared" si="805"/>
        <v>12</v>
      </c>
      <c r="AK90" s="113">
        <f>Konvention_1slave-INslave</f>
        <v>12</v>
      </c>
      <c r="AL90" s="113">
        <f>Konvention_1slave-CHslave</f>
        <v>12</v>
      </c>
      <c r="AM90" s="113"/>
      <c r="AN90" s="113"/>
      <c r="AO90" s="113"/>
      <c r="AP90" s="119"/>
      <c r="AQ90" s="89">
        <f>(AI90+AJ90+AK90+AL90+AM90+AN90+AO90+AP90)/3</f>
        <v>12</v>
      </c>
      <c r="AR90" s="47">
        <f>2*AQ90</f>
        <v>24</v>
      </c>
      <c r="AS90" s="119">
        <f>3*AQ90</f>
        <v>36</v>
      </c>
      <c r="AT90" s="114">
        <f t="shared" si="694"/>
        <v>2304</v>
      </c>
      <c r="AU90" s="113">
        <f>AJ90*AK90*CHslave+AJ90*INslave*AL90+KLslave*AK90*AL90</f>
        <v>3456</v>
      </c>
      <c r="AV90" s="119">
        <f>IFERROR(AI90^SIGN(AI90),1)*IFERROR(AJ90^SIGN(AJ90),1)*IFERROR(AK90^SIGN(AK90),1)*IFERROR(AL90^SIGN(AL90),1)*IFERROR(AM90^SIGN(AM90),1)*IFERROR(AN90^SIGN(AN90),1)*IFERROR(AO90^SIGN(AO90),1)*IFERROR(AP90^SIGN(AP90),1)</f>
        <v>1728</v>
      </c>
      <c r="AW90" s="160">
        <f>SUM(AT90:AV90)</f>
        <v>7488</v>
      </c>
      <c r="AX90" s="89">
        <f>AQ90*AT90/AW90</f>
        <v>3.6923076923076925</v>
      </c>
      <c r="AY90" s="47">
        <f>AR90*AU90/AW90</f>
        <v>11.076923076923077</v>
      </c>
      <c r="AZ90" s="127">
        <f>AS90*AV90/AW90</f>
        <v>8.3076923076923084</v>
      </c>
      <c r="BA90" s="127">
        <f>SUM(AX90:AZ90)</f>
        <v>23.07692307692308</v>
      </c>
      <c r="BB90" s="165">
        <f t="shared" si="661"/>
        <v>0</v>
      </c>
      <c r="BC90" s="198">
        <f>BA90-BB90</f>
        <v>23.07692307692308</v>
      </c>
      <c r="BD90" s="125">
        <f>IF(BA90&lt;=0,2,0)+IF(BA90&gt;0,BA90+1,0)*2+IF(BA90&gt;12,BA90-12,0)*2+IF(BA90&gt;13,BA90-13,0)*2+IF(BA90&gt;14,BA90-14,0)*2+IF(BA90&gt;15,BA90-15,0)*2+IF(BA90&gt;16,BA90-16,0)*2+IF(BA90&gt;17,BA90-17,0)*2+IF(BA90&gt;18,BA90-18,0)*2+IF(BA90&gt;19,BA90-19,0)*2+IF(BA90&gt;20,BA90-20,0)*2</f>
        <v>175.5384615384616</v>
      </c>
      <c r="BE90" s="160">
        <f>IF(BB90&lt;=0,2,0)+IF(BB90&gt;0,BB90+1,0)*2+IF(BB90&gt;12,BB90-12,0)*2+IF(BB90&gt;13,BB90-13,0)*2+IF(BB90&gt;14,BB90-14,0)*2+IF(BB90&gt;15,BB90-15,0)*2+IF(BB90&gt;16,BB90-16,0)*2+IF(BB90&gt;17,BB90-17,0)*2+IF(BB90&gt;18,BB90-18,0)*2+IF(BB90&gt;19,BB90-19,0)*2+IF(BB90&gt;20,BB90-20,0)*2</f>
        <v>2</v>
      </c>
      <c r="BF90" s="243">
        <f>IF((BD90-BE90)&gt;0,BD90-BE90,0)</f>
        <v>173.5384615384616</v>
      </c>
      <c r="BG90" s="218">
        <f>IF((BE90-BD90)&gt;0,BE90-BD90,0)</f>
        <v>0</v>
      </c>
      <c r="BI90" s="303" t="s">
        <v>294</v>
      </c>
      <c r="BJ90" s="218" t="s">
        <v>87</v>
      </c>
      <c r="BK90" s="243" t="s">
        <v>132</v>
      </c>
      <c r="BL90" s="237"/>
      <c r="BM90" s="234">
        <f t="shared" si="812"/>
        <v>11</v>
      </c>
      <c r="BN90" s="234">
        <f>Konvention_1slave-INslave</f>
        <v>12</v>
      </c>
      <c r="BO90" s="234">
        <f>Konvention_1slave-CHslave</f>
        <v>12</v>
      </c>
      <c r="BP90" s="234"/>
      <c r="BQ90" s="234"/>
      <c r="BR90" s="234"/>
      <c r="BS90" s="224"/>
      <c r="BT90" s="222">
        <f>(BL90+BM90+BN90+BO90+BP90+BQ90+BR90+BS90)/3</f>
        <v>11.666666666666666</v>
      </c>
      <c r="BU90" s="223">
        <f>2*BT90</f>
        <v>23.333333333333332</v>
      </c>
      <c r="BV90" s="224">
        <f>3*BT90</f>
        <v>35</v>
      </c>
      <c r="BW90" s="237">
        <f t="shared" si="707"/>
        <v>2432</v>
      </c>
      <c r="BX90" s="234">
        <f>BM90*BN90*CHslave+BM90*INslave*BO90+KLslave_KL*BN90*BO90</f>
        <v>3408</v>
      </c>
      <c r="BY90" s="224">
        <f>IFERROR(BL90^SIGN(BL90),1)*IFERROR(BM90^SIGN(BM90),1)*IFERROR(BN90^SIGN(BN90),1)*IFERROR(BO90^SIGN(BO90),1)*IFERROR(BP90^SIGN(BP90),1)*IFERROR(BQ90^SIGN(BQ90),1)*IFERROR(BR90^SIGN(BR90),1)*IFERROR(BS90^SIGN(BS90),1)</f>
        <v>1584</v>
      </c>
      <c r="BZ90" s="242">
        <f>SUM(BW90:BY90)</f>
        <v>7424</v>
      </c>
      <c r="CA90" s="222">
        <f>BT90*BW90/BZ90</f>
        <v>3.8218390804597702</v>
      </c>
      <c r="CB90" s="223">
        <f>BU90*BX90/BZ90</f>
        <v>10.711206896551724</v>
      </c>
      <c r="CC90" s="243">
        <f>BV90*BY90/BZ90</f>
        <v>7.4676724137931032</v>
      </c>
      <c r="CD90" s="243">
        <f>SUM(CA90:CC90)</f>
        <v>22.000718390804597</v>
      </c>
      <c r="CE90" s="252">
        <f t="shared" si="662"/>
        <v>0</v>
      </c>
      <c r="CF90" s="309">
        <f>CD90-CE90</f>
        <v>22.000718390804597</v>
      </c>
      <c r="CG90" s="218">
        <f>IF(CD90&lt;=0,2,0)+IF(CD90&gt;0,CD90+1,0)*2+IF(CD90&gt;12,CD90-12,0)*2+IF(CD90&gt;13,CD90-13,0)*2+IF(CD90&gt;14,CD90-14,0)*2+IF(CD90&gt;15,CD90-15,0)*2+IF(CD90&gt;16,CD90-16,0)*2+IF(CD90&gt;17,CD90-17,0)*2+IF(CD90&gt;18,CD90-18,0)*2+IF(CD90&gt;19,CD90-19,0)*2+IF(CD90&gt;20,CD90-20,0)*2</f>
        <v>154.01436781609189</v>
      </c>
      <c r="CH90" s="242">
        <f>IF(CE90&lt;=0,2,0)+IF(CE90&gt;0,CE90+1,0)*2+IF(CE90&gt;12,CE90-12,0)*2+IF(CE90&gt;13,CE90-13,0)*2+IF(CE90&gt;14,CE90-14,0)*2+IF(CE90&gt;15,CE90-15,0)*2+IF(CE90&gt;16,CE90-16,0)*2+IF(CE90&gt;17,CE90-17,0)*2+IF(CE90&gt;18,CE90-18,0)*2+IF(CE90&gt;19,CE90-19,0)*2+IF(CE90&gt;20,CE90-20,0)*2</f>
        <v>2</v>
      </c>
      <c r="CI90" s="243">
        <f>IF((CG90-CH90)&gt;0,CG90-CH90,0)</f>
        <v>152.01436781609189</v>
      </c>
      <c r="CJ90" s="218">
        <f>IF((CH90-CG90)&gt;0,CH90-CG90,0)</f>
        <v>0</v>
      </c>
      <c r="CL90" s="303" t="s">
        <v>294</v>
      </c>
      <c r="CM90" s="218" t="s">
        <v>87</v>
      </c>
      <c r="CN90" s="243" t="s">
        <v>132</v>
      </c>
      <c r="CO90" s="237"/>
      <c r="CP90" s="234">
        <f t="shared" si="806"/>
        <v>12</v>
      </c>
      <c r="CQ90" s="234">
        <f>Konvention_1slave-INslave_IN</f>
        <v>11</v>
      </c>
      <c r="CR90" s="234">
        <f>Konvention_1slave-CHslave</f>
        <v>12</v>
      </c>
      <c r="CS90" s="234"/>
      <c r="CT90" s="234"/>
      <c r="CU90" s="234"/>
      <c r="CV90" s="224"/>
      <c r="CW90" s="222">
        <f>(CO90+CP90+CQ90+CR90+CS90+CT90+CU90+CV90)/3</f>
        <v>11.666666666666666</v>
      </c>
      <c r="CX90" s="223">
        <f>2*CW90</f>
        <v>23.333333333333332</v>
      </c>
      <c r="CY90" s="224">
        <f>3*CW90</f>
        <v>35</v>
      </c>
      <c r="CZ90" s="237">
        <f t="shared" si="720"/>
        <v>2432</v>
      </c>
      <c r="DA90" s="234">
        <f>CP90*CQ90*CHslave+CP90*INslave_IN*CR90+KLslave*CQ90*CR90</f>
        <v>3408</v>
      </c>
      <c r="DB90" s="224">
        <f>IFERROR(CO90^SIGN(CO90),1)*IFERROR(CP90^SIGN(CP90),1)*IFERROR(CQ90^SIGN(CQ90),1)*IFERROR(CR90^SIGN(CR90),1)*IFERROR(CS90^SIGN(CS90),1)*IFERROR(CT90^SIGN(CT90),1)*IFERROR(CU90^SIGN(CU90),1)*IFERROR(CV90^SIGN(CV90),1)</f>
        <v>1584</v>
      </c>
      <c r="DC90" s="242">
        <f>SUM(CZ90:DB90)</f>
        <v>7424</v>
      </c>
      <c r="DD90" s="222">
        <f>CW90*CZ90/DC90</f>
        <v>3.8218390804597702</v>
      </c>
      <c r="DE90" s="223">
        <f>CX90*DA90/DC90</f>
        <v>10.711206896551724</v>
      </c>
      <c r="DF90" s="243">
        <f>CY90*DB90/DC90</f>
        <v>7.4676724137931032</v>
      </c>
      <c r="DG90" s="243">
        <f>SUM(DD90:DF90)</f>
        <v>22.000718390804597</v>
      </c>
      <c r="DH90" s="252">
        <f t="shared" si="663"/>
        <v>0</v>
      </c>
      <c r="DI90" s="309">
        <f>DG90-DH90</f>
        <v>22.000718390804597</v>
      </c>
      <c r="DJ90" s="218">
        <f>IF(DG90&lt;=0,2,0)+IF(DG90&gt;0,DG90+1,0)*2+IF(DG90&gt;12,DG90-12,0)*2+IF(DG90&gt;13,DG90-13,0)*2+IF(DG90&gt;14,DG90-14,0)*2+IF(DG90&gt;15,DG90-15,0)*2+IF(DG90&gt;16,DG90-16,0)*2+IF(DG90&gt;17,DG90-17,0)*2+IF(DG90&gt;18,DG90-18,0)*2+IF(DG90&gt;19,DG90-19,0)*2+IF(DG90&gt;20,DG90-20,0)*2</f>
        <v>154.01436781609189</v>
      </c>
      <c r="DK90" s="242">
        <f>IF(DH90&lt;=0,2,0)+IF(DH90&gt;0,DH90+1,0)*2+IF(DH90&gt;12,DH90-12,0)*2+IF(DH90&gt;13,DH90-13,0)*2+IF(DH90&gt;14,DH90-14,0)*2+IF(DH90&gt;15,DH90-15,0)*2+IF(DH90&gt;16,DH90-16,0)*2+IF(DH90&gt;17,DH90-17,0)*2+IF(DH90&gt;18,DH90-18,0)*2+IF(DH90&gt;19,DH90-19,0)*2+IF(DH90&gt;20,DH90-20,0)*2</f>
        <v>2</v>
      </c>
      <c r="DL90" s="243">
        <f>IF((DJ90-DK90)&gt;0,DJ90-DK90,0)</f>
        <v>152.01436781609189</v>
      </c>
      <c r="DM90" s="218">
        <f>IF((DK90-DJ90)&gt;0,DK90-DJ90,0)</f>
        <v>0</v>
      </c>
      <c r="DO90" s="303" t="s">
        <v>294</v>
      </c>
      <c r="DP90" s="218" t="s">
        <v>87</v>
      </c>
      <c r="DQ90" s="243" t="s">
        <v>132</v>
      </c>
      <c r="DR90" s="237"/>
      <c r="DS90" s="234">
        <f t="shared" si="807"/>
        <v>12</v>
      </c>
      <c r="DT90" s="234">
        <f>Konvention_1slave-INslave</f>
        <v>12</v>
      </c>
      <c r="DU90" s="234">
        <f>Konvention_1slave-CHslave_CH</f>
        <v>11</v>
      </c>
      <c r="DV90" s="234"/>
      <c r="DW90" s="234"/>
      <c r="DX90" s="234"/>
      <c r="DY90" s="224"/>
      <c r="DZ90" s="222">
        <f>(DR90+DS90+DT90+DU90+DV90+DW90+DX90+DY90)/3</f>
        <v>11.666666666666666</v>
      </c>
      <c r="EA90" s="223">
        <f>2*DZ90</f>
        <v>23.333333333333332</v>
      </c>
      <c r="EB90" s="224">
        <f>3*DZ90</f>
        <v>35</v>
      </c>
      <c r="EC90" s="237">
        <f t="shared" si="733"/>
        <v>2432</v>
      </c>
      <c r="ED90" s="234">
        <f>DS90*DT90*CHslave_CH+DS90*INslave*DU90+KLslave*DT90*DU90</f>
        <v>3408</v>
      </c>
      <c r="EE90" s="224">
        <f>IFERROR(DR90^SIGN(DR90),1)*IFERROR(DS90^SIGN(DS90),1)*IFERROR(DT90^SIGN(DT90),1)*IFERROR(DU90^SIGN(DU90),1)*IFERROR(DV90^SIGN(DV90),1)*IFERROR(DW90^SIGN(DW90),1)*IFERROR(DX90^SIGN(DX90),1)*IFERROR(DY90^SIGN(DY90),1)</f>
        <v>1584</v>
      </c>
      <c r="EF90" s="242">
        <f>SUM(EC90:EE90)</f>
        <v>7424</v>
      </c>
      <c r="EG90" s="222">
        <f>DZ90*EC90/EF90</f>
        <v>3.8218390804597702</v>
      </c>
      <c r="EH90" s="223">
        <f>EA90*ED90/EF90</f>
        <v>10.711206896551724</v>
      </c>
      <c r="EI90" s="243">
        <f>EB90*EE90/EF90</f>
        <v>7.4676724137931032</v>
      </c>
      <c r="EJ90" s="243">
        <f>SUM(EG90:EI90)</f>
        <v>22.000718390804597</v>
      </c>
      <c r="EK90" s="252">
        <f t="shared" si="664"/>
        <v>0</v>
      </c>
      <c r="EL90" s="309">
        <f>EJ90-EK90</f>
        <v>22.000718390804597</v>
      </c>
      <c r="EM90" s="218">
        <f>IF(EJ90&lt;=0,2,0)+IF(EJ90&gt;0,EJ90+1,0)*2+IF(EJ90&gt;12,EJ90-12,0)*2+IF(EJ90&gt;13,EJ90-13,0)*2+IF(EJ90&gt;14,EJ90-14,0)*2+IF(EJ90&gt;15,EJ90-15,0)*2+IF(EJ90&gt;16,EJ90-16,0)*2+IF(EJ90&gt;17,EJ90-17,0)*2+IF(EJ90&gt;18,EJ90-18,0)*2+IF(EJ90&gt;19,EJ90-19,0)*2+IF(EJ90&gt;20,EJ90-20,0)*2</f>
        <v>154.01436781609189</v>
      </c>
      <c r="EN90" s="242">
        <f>IF(EK90&lt;=0,2,0)+IF(EK90&gt;0,EK90+1,0)*2+IF(EK90&gt;12,EK90-12,0)*2+IF(EK90&gt;13,EK90-13,0)*2+IF(EK90&gt;14,EK90-14,0)*2+IF(EK90&gt;15,EK90-15,0)*2+IF(EK90&gt;16,EK90-16,0)*2+IF(EK90&gt;17,EK90-17,0)*2+IF(EK90&gt;18,EK90-18,0)*2+IF(EK90&gt;19,EK90-19,0)*2+IF(EK90&gt;20,EK90-20,0)*2</f>
        <v>2</v>
      </c>
      <c r="EO90" s="243">
        <f>IF((EM90-EN90)&gt;0,EM90-EN90,0)</f>
        <v>152.01436781609189</v>
      </c>
      <c r="EP90" s="218">
        <f>IF((EN90-EM90)&gt;0,EN90-EM90,0)</f>
        <v>0</v>
      </c>
      <c r="ER90" s="303" t="s">
        <v>294</v>
      </c>
      <c r="ES90" s="218" t="s">
        <v>87</v>
      </c>
      <c r="ET90" s="243" t="s">
        <v>132</v>
      </c>
      <c r="EU90" s="237"/>
      <c r="EV90" s="234">
        <f t="shared" si="808"/>
        <v>12</v>
      </c>
      <c r="EW90" s="234">
        <f>Konvention_1slave-INslave</f>
        <v>12</v>
      </c>
      <c r="EX90" s="234">
        <f>Konvention_1slave-CHslave</f>
        <v>12</v>
      </c>
      <c r="EY90" s="234"/>
      <c r="EZ90" s="234"/>
      <c r="FA90" s="234"/>
      <c r="FB90" s="224"/>
      <c r="FC90" s="222">
        <f>(EU90+EV90+EW90+EX90+EY90+EZ90+FA90+FB90)/3</f>
        <v>12</v>
      </c>
      <c r="FD90" s="223">
        <f>2*FC90</f>
        <v>24</v>
      </c>
      <c r="FE90" s="224">
        <f>3*FC90</f>
        <v>36</v>
      </c>
      <c r="FF90" s="237">
        <f t="shared" si="746"/>
        <v>2304</v>
      </c>
      <c r="FG90" s="234">
        <f>EV90*EW90*CHslave+EV90*INslave*EX90+KLslave*EW90*EX90</f>
        <v>3456</v>
      </c>
      <c r="FH90" s="224">
        <f>IFERROR(EU90^SIGN(EU90),1)*IFERROR(EV90^SIGN(EV90),1)*IFERROR(EW90^SIGN(EW90),1)*IFERROR(EX90^SIGN(EX90),1)*IFERROR(EY90^SIGN(EY90),1)*IFERROR(EZ90^SIGN(EZ90),1)*IFERROR(FA90^SIGN(FA90),1)*IFERROR(FB90^SIGN(FB90),1)</f>
        <v>1728</v>
      </c>
      <c r="FI90" s="242">
        <f>SUM(FF90:FH90)</f>
        <v>7488</v>
      </c>
      <c r="FJ90" s="222">
        <f>FC90*FF90/FI90</f>
        <v>3.6923076923076925</v>
      </c>
      <c r="FK90" s="223">
        <f>FD90*FG90/FI90</f>
        <v>11.076923076923077</v>
      </c>
      <c r="FL90" s="243">
        <f>FE90*FH90/FI90</f>
        <v>8.3076923076923084</v>
      </c>
      <c r="FM90" s="243">
        <f>SUM(FJ90:FL90)</f>
        <v>23.07692307692308</v>
      </c>
      <c r="FN90" s="252">
        <f t="shared" si="665"/>
        <v>0</v>
      </c>
      <c r="FO90" s="309">
        <f>FM90-FN90</f>
        <v>23.07692307692308</v>
      </c>
      <c r="FP90" s="218">
        <f>IF(FM90&lt;=0,2,0)+IF(FM90&gt;0,FM90+1,0)*2+IF(FM90&gt;12,FM90-12,0)*2+IF(FM90&gt;13,FM90-13,0)*2+IF(FM90&gt;14,FM90-14,0)*2+IF(FM90&gt;15,FM90-15,0)*2+IF(FM90&gt;16,FM90-16,0)*2+IF(FM90&gt;17,FM90-17,0)*2+IF(FM90&gt;18,FM90-18,0)*2+IF(FM90&gt;19,FM90-19,0)*2+IF(FM90&gt;20,FM90-20,0)*2</f>
        <v>175.5384615384616</v>
      </c>
      <c r="FQ90" s="242">
        <f>IF(FN90&lt;=0,2,0)+IF(FN90&gt;0,FN90+1,0)*2+IF(FN90&gt;12,FN90-12,0)*2+IF(FN90&gt;13,FN90-13,0)*2+IF(FN90&gt;14,FN90-14,0)*2+IF(FN90&gt;15,FN90-15,0)*2+IF(FN90&gt;16,FN90-16,0)*2+IF(FN90&gt;17,FN90-17,0)*2+IF(FN90&gt;18,FN90-18,0)*2+IF(FN90&gt;19,FN90-19,0)*2+IF(FN90&gt;20,FN90-20,0)*2</f>
        <v>2</v>
      </c>
      <c r="FR90" s="243">
        <f>IF((FP90-FQ90)&gt;0,FP90-FQ90,0)</f>
        <v>173.5384615384616</v>
      </c>
      <c r="FS90" s="218">
        <f>IF((FQ90-FP90)&gt;0,FQ90-FP90,0)</f>
        <v>0</v>
      </c>
      <c r="FU90" s="303" t="s">
        <v>294</v>
      </c>
      <c r="FV90" s="218" t="s">
        <v>87</v>
      </c>
      <c r="FW90" s="243" t="s">
        <v>132</v>
      </c>
      <c r="FX90" s="237"/>
      <c r="FY90" s="234">
        <f t="shared" si="809"/>
        <v>12</v>
      </c>
      <c r="FZ90" s="234">
        <f>Konvention_1slave-INslave</f>
        <v>12</v>
      </c>
      <c r="GA90" s="234">
        <f>Konvention_1slave-CHslave</f>
        <v>12</v>
      </c>
      <c r="GB90" s="234"/>
      <c r="GC90" s="234"/>
      <c r="GD90" s="234"/>
      <c r="GE90" s="224"/>
      <c r="GF90" s="222">
        <f>(FX90+FY90+FZ90+GA90+GB90+GC90+GD90+GE90)/3</f>
        <v>12</v>
      </c>
      <c r="GG90" s="223">
        <f>2*GF90</f>
        <v>24</v>
      </c>
      <c r="GH90" s="224">
        <f>3*GF90</f>
        <v>36</v>
      </c>
      <c r="GI90" s="237">
        <f t="shared" si="759"/>
        <v>2304</v>
      </c>
      <c r="GJ90" s="234">
        <f>FY90*FZ90*CHslave+FY90*INslave*GA90+KLslave*FZ90*GA90</f>
        <v>3456</v>
      </c>
      <c r="GK90" s="224">
        <f>IFERROR(FX90^SIGN(FX90),1)*IFERROR(FY90^SIGN(FY90),1)*IFERROR(FZ90^SIGN(FZ90),1)*IFERROR(GA90^SIGN(GA90),1)*IFERROR(GB90^SIGN(GB90),1)*IFERROR(GC90^SIGN(GC90),1)*IFERROR(GD90^SIGN(GD90),1)*IFERROR(GE90^SIGN(GE90),1)</f>
        <v>1728</v>
      </c>
      <c r="GL90" s="242">
        <f>SUM(GI90:GK90)</f>
        <v>7488</v>
      </c>
      <c r="GM90" s="222">
        <f>GF90*GI90/GL90</f>
        <v>3.6923076923076925</v>
      </c>
      <c r="GN90" s="223">
        <f>GG90*GJ90/GL90</f>
        <v>11.076923076923077</v>
      </c>
      <c r="GO90" s="243">
        <f>GH90*GK90/GL90</f>
        <v>8.3076923076923084</v>
      </c>
      <c r="GP90" s="243">
        <f>SUM(GM90:GO90)</f>
        <v>23.07692307692308</v>
      </c>
      <c r="GQ90" s="252">
        <f t="shared" si="666"/>
        <v>0</v>
      </c>
      <c r="GR90" s="309">
        <f>GP90-GQ90</f>
        <v>23.07692307692308</v>
      </c>
      <c r="GS90" s="218">
        <f>IF(GP90&lt;=0,2,0)+IF(GP90&gt;0,GP90+1,0)*2+IF(GP90&gt;12,GP90-12,0)*2+IF(GP90&gt;13,GP90-13,0)*2+IF(GP90&gt;14,GP90-14,0)*2+IF(GP90&gt;15,GP90-15,0)*2+IF(GP90&gt;16,GP90-16,0)*2+IF(GP90&gt;17,GP90-17,0)*2+IF(GP90&gt;18,GP90-18,0)*2+IF(GP90&gt;19,GP90-19,0)*2+IF(GP90&gt;20,GP90-20,0)*2</f>
        <v>175.5384615384616</v>
      </c>
      <c r="GT90" s="242">
        <f>IF(GQ90&lt;=0,2,0)+IF(GQ90&gt;0,GQ90+1,0)*2+IF(GQ90&gt;12,GQ90-12,0)*2+IF(GQ90&gt;13,GQ90-13,0)*2+IF(GQ90&gt;14,GQ90-14,0)*2+IF(GQ90&gt;15,GQ90-15,0)*2+IF(GQ90&gt;16,GQ90-16,0)*2+IF(GQ90&gt;17,GQ90-17,0)*2+IF(GQ90&gt;18,GQ90-18,0)*2+IF(GQ90&gt;19,GQ90-19,0)*2+IF(GQ90&gt;20,GQ90-20,0)*2</f>
        <v>2</v>
      </c>
      <c r="GU90" s="243">
        <f>IF((GS90-GT90)&gt;0,GS90-GT90,0)</f>
        <v>173.5384615384616</v>
      </c>
      <c r="GV90" s="218">
        <f>IF((GT90-GS90)&gt;0,GT90-GS90,0)</f>
        <v>0</v>
      </c>
      <c r="GX90" s="303" t="s">
        <v>294</v>
      </c>
      <c r="GY90" s="218" t="s">
        <v>87</v>
      </c>
      <c r="GZ90" s="243" t="s">
        <v>132</v>
      </c>
      <c r="HA90" s="237"/>
      <c r="HB90" s="234">
        <f t="shared" si="810"/>
        <v>12</v>
      </c>
      <c r="HC90" s="234">
        <f>Konvention_1slave-INslave</f>
        <v>12</v>
      </c>
      <c r="HD90" s="234">
        <f>Konvention_1slave-CHslave</f>
        <v>12</v>
      </c>
      <c r="HE90" s="234"/>
      <c r="HF90" s="234"/>
      <c r="HG90" s="234"/>
      <c r="HH90" s="224"/>
      <c r="HI90" s="222">
        <f>(HA90+HB90+HC90+HD90+HE90+HF90+HG90+HH90)/3</f>
        <v>12</v>
      </c>
      <c r="HJ90" s="223">
        <f>2*HI90</f>
        <v>24</v>
      </c>
      <c r="HK90" s="224">
        <f>3*HI90</f>
        <v>36</v>
      </c>
      <c r="HL90" s="237">
        <f t="shared" si="772"/>
        <v>2304</v>
      </c>
      <c r="HM90" s="234">
        <f>HB90*HC90*CHslave+HB90*INslave*HD90+KLslave*HC90*HD90</f>
        <v>3456</v>
      </c>
      <c r="HN90" s="224">
        <f>IFERROR(HA90^SIGN(HA90),1)*IFERROR(HB90^SIGN(HB90),1)*IFERROR(HC90^SIGN(HC90),1)*IFERROR(HD90^SIGN(HD90),1)*IFERROR(HE90^SIGN(HE90),1)*IFERROR(HF90^SIGN(HF90),1)*IFERROR(HG90^SIGN(HG90),1)*IFERROR(HH90^SIGN(HH90),1)</f>
        <v>1728</v>
      </c>
      <c r="HO90" s="242">
        <f>SUM(HL90:HN90)</f>
        <v>7488</v>
      </c>
      <c r="HP90" s="222">
        <f>HI90*HL90/HO90</f>
        <v>3.6923076923076925</v>
      </c>
      <c r="HQ90" s="223">
        <f>HJ90*HM90/HO90</f>
        <v>11.076923076923077</v>
      </c>
      <c r="HR90" s="243">
        <f>HK90*HN90/HO90</f>
        <v>8.3076923076923084</v>
      </c>
      <c r="HS90" s="243">
        <f>SUM(HP90:HR90)</f>
        <v>23.07692307692308</v>
      </c>
      <c r="HT90" s="252">
        <f t="shared" si="667"/>
        <v>0</v>
      </c>
      <c r="HU90" s="309">
        <f>HS90-HT90</f>
        <v>23.07692307692308</v>
      </c>
      <c r="HV90" s="218">
        <f>IF(HS90&lt;=0,2,0)+IF(HS90&gt;0,HS90+1,0)*2+IF(HS90&gt;12,HS90-12,0)*2+IF(HS90&gt;13,HS90-13,0)*2+IF(HS90&gt;14,HS90-14,0)*2+IF(HS90&gt;15,HS90-15,0)*2+IF(HS90&gt;16,HS90-16,0)*2+IF(HS90&gt;17,HS90-17,0)*2+IF(HS90&gt;18,HS90-18,0)*2+IF(HS90&gt;19,HS90-19,0)*2+IF(HS90&gt;20,HS90-20,0)*2</f>
        <v>175.5384615384616</v>
      </c>
      <c r="HW90" s="242">
        <f>IF(HT90&lt;=0,2,0)+IF(HT90&gt;0,HT90+1,0)*2+IF(HT90&gt;12,HT90-12,0)*2+IF(HT90&gt;13,HT90-13,0)*2+IF(HT90&gt;14,HT90-14,0)*2+IF(HT90&gt;15,HT90-15,0)*2+IF(HT90&gt;16,HT90-16,0)*2+IF(HT90&gt;17,HT90-17,0)*2+IF(HT90&gt;18,HT90-18,0)*2+IF(HT90&gt;19,HT90-19,0)*2+IF(HT90&gt;20,HT90-20,0)*2</f>
        <v>2</v>
      </c>
      <c r="HX90" s="243">
        <f>IF((HV90-HW90)&gt;0,HV90-HW90,0)</f>
        <v>173.5384615384616</v>
      </c>
      <c r="HY90" s="218">
        <f>IF((HW90-HV90)&gt;0,HW90-HV90,0)</f>
        <v>0</v>
      </c>
      <c r="IA90" s="303" t="s">
        <v>294</v>
      </c>
      <c r="IB90" s="218" t="s">
        <v>87</v>
      </c>
      <c r="IC90" s="243" t="s">
        <v>132</v>
      </c>
      <c r="ID90" s="237"/>
      <c r="IE90" s="234">
        <f t="shared" si="811"/>
        <v>12</v>
      </c>
      <c r="IF90" s="234">
        <f>Konvention_1slave-INslave</f>
        <v>12</v>
      </c>
      <c r="IG90" s="234">
        <f>Konvention_1slave-CHslave</f>
        <v>12</v>
      </c>
      <c r="IH90" s="234"/>
      <c r="II90" s="234"/>
      <c r="IJ90" s="234"/>
      <c r="IK90" s="224"/>
      <c r="IL90" s="222">
        <f>(ID90+IE90+IF90+IG90+IH90+II90+IJ90+IK90)/3</f>
        <v>12</v>
      </c>
      <c r="IM90" s="223">
        <f>2*IL90</f>
        <v>24</v>
      </c>
      <c r="IN90" s="224">
        <f>3*IL90</f>
        <v>36</v>
      </c>
      <c r="IO90" s="237">
        <f t="shared" si="785"/>
        <v>2304</v>
      </c>
      <c r="IP90" s="234">
        <f>IE90*IF90*CHslave+IE90*INslave*IG90+KLslave*IF90*IG90</f>
        <v>3456</v>
      </c>
      <c r="IQ90" s="224">
        <f>IFERROR(ID90^SIGN(ID90),1)*IFERROR(IE90^SIGN(IE90),1)*IFERROR(IF90^SIGN(IF90),1)*IFERROR(IG90^SIGN(IG90),1)*IFERROR(IH90^SIGN(IH90),1)*IFERROR(II90^SIGN(II90),1)*IFERROR(IJ90^SIGN(IJ90),1)*IFERROR(IK90^SIGN(IK90),1)</f>
        <v>1728</v>
      </c>
      <c r="IR90" s="242">
        <f>SUM(IO90:IQ90)</f>
        <v>7488</v>
      </c>
      <c r="IS90" s="222">
        <f>IL90*IO90/IR90</f>
        <v>3.6923076923076925</v>
      </c>
      <c r="IT90" s="223">
        <f>IM90*IP90/IR90</f>
        <v>11.076923076923077</v>
      </c>
      <c r="IU90" s="243">
        <f>IN90*IQ90/IR90</f>
        <v>8.3076923076923084</v>
      </c>
      <c r="IV90" s="243">
        <f>SUM(IS90:IU90)</f>
        <v>23.07692307692308</v>
      </c>
      <c r="IW90" s="252">
        <f t="shared" si="668"/>
        <v>0</v>
      </c>
      <c r="IX90" s="309">
        <f>IV90-IW90</f>
        <v>23.07692307692308</v>
      </c>
      <c r="IY90" s="218">
        <f>IF(IV90&lt;=0,2,0)+IF(IV90&gt;0,IV90+1,0)*2+IF(IV90&gt;12,IV90-12,0)*2+IF(IV90&gt;13,IV90-13,0)*2+IF(IV90&gt;14,IV90-14,0)*2+IF(IV90&gt;15,IV90-15,0)*2+IF(IV90&gt;16,IV90-16,0)*2+IF(IV90&gt;17,IV90-17,0)*2+IF(IV90&gt;18,IV90-18,0)*2+IF(IV90&gt;19,IV90-19,0)*2+IF(IV90&gt;20,IV90-20,0)*2</f>
        <v>175.5384615384616</v>
      </c>
      <c r="IZ90" s="242">
        <f>IF(IW90&lt;=0,2,0)+IF(IW90&gt;0,IW90+1,0)*2+IF(IW90&gt;12,IW90-12,0)*2+IF(IW90&gt;13,IW90-13,0)*2+IF(IW90&gt;14,IW90-14,0)*2+IF(IW90&gt;15,IW90-15,0)*2+IF(IW90&gt;16,IW90-16,0)*2+IF(IW90&gt;17,IW90-17,0)*2+IF(IW90&gt;18,IW90-18,0)*2+IF(IW90&gt;19,IW90-19,0)*2+IF(IW90&gt;20,IW90-20,0)*2</f>
        <v>2</v>
      </c>
      <c r="JA90" s="243">
        <f>IF((IY90-IZ90)&gt;0,IY90-IZ90,0)</f>
        <v>173.5384615384616</v>
      </c>
      <c r="JB90" s="218">
        <f>IF((IZ90-IY90)&gt;0,IZ90-IY90,0)</f>
        <v>0</v>
      </c>
      <c r="JE90" s="148"/>
    </row>
    <row r="91" spans="2:265" ht="15" hidden="1" customHeight="1" outlineLevel="2">
      <c r="B91" s="148">
        <v>14</v>
      </c>
      <c r="C91" s="303" t="e">
        <f>VLOOKUP(AF91,Attribute!C:T,1,FALSE)</f>
        <v>#N/A</v>
      </c>
      <c r="D91" s="125" t="s">
        <v>84</v>
      </c>
      <c r="E91" s="127" t="s">
        <v>133</v>
      </c>
      <c r="F91" s="114">
        <f t="shared" si="795"/>
        <v>12</v>
      </c>
      <c r="G91" s="113">
        <f t="shared" si="804"/>
        <v>12</v>
      </c>
      <c r="H91" s="113"/>
      <c r="I91" s="113">
        <f>Konvention_1master-CHmaster</f>
        <v>12</v>
      </c>
      <c r="J91" s="113"/>
      <c r="K91" s="113"/>
      <c r="L91" s="113"/>
      <c r="M91" s="119"/>
      <c r="N91" s="222">
        <f t="shared" si="678"/>
        <v>12</v>
      </c>
      <c r="O91" s="223">
        <f t="shared" si="679"/>
        <v>24</v>
      </c>
      <c r="P91" s="224">
        <f t="shared" si="680"/>
        <v>36</v>
      </c>
      <c r="Q91" s="237">
        <f t="shared" si="681"/>
        <v>2304</v>
      </c>
      <c r="R91" s="113">
        <f>F91*G91*CHmaster+F91*KLmaster*I91+MUmaster*G91*I91</f>
        <v>3456</v>
      </c>
      <c r="S91" s="224">
        <f t="shared" si="682"/>
        <v>1728</v>
      </c>
      <c r="T91" s="242">
        <f t="shared" si="683"/>
        <v>7488</v>
      </c>
      <c r="U91" s="222">
        <f t="shared" si="684"/>
        <v>3.6923076923076925</v>
      </c>
      <c r="V91" s="223">
        <f t="shared" si="685"/>
        <v>11.076923076923077</v>
      </c>
      <c r="W91" s="243">
        <f t="shared" si="686"/>
        <v>8.3076923076923084</v>
      </c>
      <c r="X91" s="243">
        <f t="shared" si="687"/>
        <v>23.07692307692308</v>
      </c>
      <c r="Y91" s="252">
        <v>0</v>
      </c>
      <c r="Z91" s="198">
        <f t="shared" si="688"/>
        <v>23.07692307692308</v>
      </c>
      <c r="AA91" s="125">
        <f>IF(X91&lt;=0,1,0)+IF(X91&gt;0,X91+1,0)*1+IF(X91&gt;12,X91-12,0)*1+IF(X91&gt;13,X91-13,0)*1+IF(X91&gt;14,X91-14,0)*1+IF(X91&gt;15,X91-15,0)*1+IF(X91&gt;16,X91-16,0)*1+IF(X91&gt;17,X91-17,0)*1+IF(X91&gt;18,X91-18,0)*1+IF(X91&gt;19,X91-19,0)*1+IF(X91&gt;20,X91-20,0)*1</f>
        <v>87.769230769230802</v>
      </c>
      <c r="AB91" s="160">
        <f>IF(Y91&lt;=0,1,0)+IF(Y91&gt;0,Y91+1,0)*1+IF(Y91&gt;12,Y91-12,0)*1+IF(Y91&gt;13,Y91-13,0)*1+IF(Y91&gt;14,Y91-14,0)*1+IF(Y91&gt;15,Y91-15,0)*1+IF(Y91&gt;16,Y91-16,0)*1+IF(Y91&gt;17,Y91-17,0)*1+IF(Y91&gt;18,Y91-18,0)*1+IF(Y91&gt;19,Y91-19,0)*1+IF(Y91&gt;20,Y91-20,0)*1</f>
        <v>1</v>
      </c>
      <c r="AC91" s="127">
        <f t="shared" si="689"/>
        <v>86.769230769230802</v>
      </c>
      <c r="AD91" s="125">
        <f t="shared" si="690"/>
        <v>0</v>
      </c>
      <c r="AF91" s="163" t="s">
        <v>205</v>
      </c>
      <c r="AG91" s="125" t="s">
        <v>84</v>
      </c>
      <c r="AH91" s="127" t="s">
        <v>133</v>
      </c>
      <c r="AI91" s="114">
        <f>Konvention_1slave-MUslave_MU</f>
        <v>11</v>
      </c>
      <c r="AJ91" s="113">
        <f t="shared" si="805"/>
        <v>12</v>
      </c>
      <c r="AK91" s="113"/>
      <c r="AL91" s="113">
        <f>Konvention_1slave-CHslave</f>
        <v>12</v>
      </c>
      <c r="AM91" s="113"/>
      <c r="AN91" s="113"/>
      <c r="AO91" s="113"/>
      <c r="AP91" s="119"/>
      <c r="AQ91" s="89">
        <f t="shared" si="691"/>
        <v>11.666666666666666</v>
      </c>
      <c r="AR91" s="47">
        <f t="shared" si="692"/>
        <v>23.333333333333332</v>
      </c>
      <c r="AS91" s="119">
        <f t="shared" si="693"/>
        <v>35</v>
      </c>
      <c r="AT91" s="114">
        <f t="shared" si="694"/>
        <v>2432</v>
      </c>
      <c r="AU91" s="113">
        <f>AI91*AJ91*CHslave+AI91*KLslave*AL91+MUslave_MU*AJ91*AL91</f>
        <v>3408</v>
      </c>
      <c r="AV91" s="119">
        <f t="shared" si="695"/>
        <v>1584</v>
      </c>
      <c r="AW91" s="160">
        <f t="shared" si="696"/>
        <v>7424</v>
      </c>
      <c r="AX91" s="89">
        <f t="shared" si="697"/>
        <v>3.8218390804597702</v>
      </c>
      <c r="AY91" s="47">
        <f t="shared" si="698"/>
        <v>10.711206896551724</v>
      </c>
      <c r="AZ91" s="127">
        <f t="shared" si="699"/>
        <v>7.4676724137931032</v>
      </c>
      <c r="BA91" s="127">
        <f t="shared" si="700"/>
        <v>22.000718390804597</v>
      </c>
      <c r="BB91" s="165">
        <f t="shared" si="661"/>
        <v>0</v>
      </c>
      <c r="BC91" s="198">
        <f t="shared" si="701"/>
        <v>22.000718390804597</v>
      </c>
      <c r="BD91" s="125">
        <f>IF(BA91&lt;=0,1,0)+IF(BA91&gt;0,BA91+1,0)*1+IF(BA91&gt;12,BA91-12,0)*1+IF(BA91&gt;13,BA91-13,0)*1+IF(BA91&gt;14,BA91-14,0)*1+IF(BA91&gt;15,BA91-15,0)*1+IF(BA91&gt;16,BA91-16,0)*1+IF(BA91&gt;17,BA91-17,0)*1+IF(BA91&gt;18,BA91-18,0)*1+IF(BA91&gt;19,BA91-19,0)*1+IF(BA91&gt;20,BA91-20,0)*1</f>
        <v>77.007183908045945</v>
      </c>
      <c r="BE91" s="160">
        <f>IF(BB91&lt;=0,1,0)+IF(BB91&gt;0,BB91+1,0)*1+IF(BB91&gt;12,BB91-12,0)*1+IF(BB91&gt;13,BB91-13,0)*1+IF(BB91&gt;14,BB91-14,0)*1+IF(BB91&gt;15,BB91-15,0)*1+IF(BB91&gt;16,BB91-16,0)*1+IF(BB91&gt;17,BB91-17,0)*1+IF(BB91&gt;18,BB91-18,0)*1+IF(BB91&gt;19,BB91-19,0)*1+IF(BB91&gt;20,BB91-20,0)*1</f>
        <v>1</v>
      </c>
      <c r="BF91" s="243">
        <f t="shared" si="702"/>
        <v>76.007183908045945</v>
      </c>
      <c r="BG91" s="218">
        <f t="shared" si="703"/>
        <v>0</v>
      </c>
      <c r="BI91" s="303" t="s">
        <v>205</v>
      </c>
      <c r="BJ91" s="218" t="s">
        <v>84</v>
      </c>
      <c r="BK91" s="243" t="s">
        <v>133</v>
      </c>
      <c r="BL91" s="237">
        <f>Konvention_1slave-MUslave</f>
        <v>12</v>
      </c>
      <c r="BM91" s="234">
        <f t="shared" si="812"/>
        <v>11</v>
      </c>
      <c r="BN91" s="234"/>
      <c r="BO91" s="234">
        <f>Konvention_1slave-CHslave</f>
        <v>12</v>
      </c>
      <c r="BP91" s="234"/>
      <c r="BQ91" s="234"/>
      <c r="BR91" s="234"/>
      <c r="BS91" s="224"/>
      <c r="BT91" s="222">
        <f t="shared" si="704"/>
        <v>11.666666666666666</v>
      </c>
      <c r="BU91" s="223">
        <f t="shared" si="705"/>
        <v>23.333333333333332</v>
      </c>
      <c r="BV91" s="224">
        <f t="shared" si="706"/>
        <v>35</v>
      </c>
      <c r="BW91" s="237">
        <f t="shared" si="707"/>
        <v>2432</v>
      </c>
      <c r="BX91" s="234">
        <f>BL91*BM91*CHslave+BL91*KLslave_KL*BO91+MUslave*BM91*BO91</f>
        <v>3408</v>
      </c>
      <c r="BY91" s="224">
        <f t="shared" si="708"/>
        <v>1584</v>
      </c>
      <c r="BZ91" s="242">
        <f t="shared" si="709"/>
        <v>7424</v>
      </c>
      <c r="CA91" s="222">
        <f t="shared" si="710"/>
        <v>3.8218390804597702</v>
      </c>
      <c r="CB91" s="223">
        <f t="shared" si="711"/>
        <v>10.711206896551724</v>
      </c>
      <c r="CC91" s="243">
        <f t="shared" si="712"/>
        <v>7.4676724137931032</v>
      </c>
      <c r="CD91" s="243">
        <f t="shared" si="713"/>
        <v>22.000718390804597</v>
      </c>
      <c r="CE91" s="252">
        <f t="shared" si="662"/>
        <v>0</v>
      </c>
      <c r="CF91" s="309">
        <f t="shared" si="714"/>
        <v>22.000718390804597</v>
      </c>
      <c r="CG91" s="218">
        <f>IF(CD91&lt;=0,1,0)+IF(CD91&gt;0,CD91+1,0)*1+IF(CD91&gt;12,CD91-12,0)*1+IF(CD91&gt;13,CD91-13,0)*1+IF(CD91&gt;14,CD91-14,0)*1+IF(CD91&gt;15,CD91-15,0)*1+IF(CD91&gt;16,CD91-16,0)*1+IF(CD91&gt;17,CD91-17,0)*1+IF(CD91&gt;18,CD91-18,0)*1+IF(CD91&gt;19,CD91-19,0)*1+IF(CD91&gt;20,CD91-20,0)*1</f>
        <v>77.007183908045945</v>
      </c>
      <c r="CH91" s="242">
        <f>IF(CE91&lt;=0,1,0)+IF(CE91&gt;0,CE91+1,0)*1+IF(CE91&gt;12,CE91-12,0)*1+IF(CE91&gt;13,CE91-13,0)*1+IF(CE91&gt;14,CE91-14,0)*1+IF(CE91&gt;15,CE91-15,0)*1+IF(CE91&gt;16,CE91-16,0)*1+IF(CE91&gt;17,CE91-17,0)*1+IF(CE91&gt;18,CE91-18,0)*1+IF(CE91&gt;19,CE91-19,0)*1+IF(CE91&gt;20,CE91-20,0)*1</f>
        <v>1</v>
      </c>
      <c r="CI91" s="243">
        <f t="shared" si="715"/>
        <v>76.007183908045945</v>
      </c>
      <c r="CJ91" s="218">
        <f t="shared" si="716"/>
        <v>0</v>
      </c>
      <c r="CL91" s="303" t="s">
        <v>205</v>
      </c>
      <c r="CM91" s="218" t="s">
        <v>84</v>
      </c>
      <c r="CN91" s="243" t="s">
        <v>133</v>
      </c>
      <c r="CO91" s="237">
        <f>Konvention_1slave-MUslave</f>
        <v>12</v>
      </c>
      <c r="CP91" s="234">
        <f t="shared" si="806"/>
        <v>12</v>
      </c>
      <c r="CQ91" s="234"/>
      <c r="CR91" s="234">
        <f>Konvention_1slave-CHslave</f>
        <v>12</v>
      </c>
      <c r="CS91" s="234"/>
      <c r="CT91" s="234"/>
      <c r="CU91" s="234"/>
      <c r="CV91" s="224"/>
      <c r="CW91" s="222">
        <f t="shared" si="717"/>
        <v>12</v>
      </c>
      <c r="CX91" s="223">
        <f t="shared" si="718"/>
        <v>24</v>
      </c>
      <c r="CY91" s="224">
        <f t="shared" si="719"/>
        <v>36</v>
      </c>
      <c r="CZ91" s="237">
        <f t="shared" si="720"/>
        <v>2304</v>
      </c>
      <c r="DA91" s="234">
        <f>CO91*CP91*CHslave+CO91*KLslave*CR91+MUslave*CP91*CR91</f>
        <v>3456</v>
      </c>
      <c r="DB91" s="224">
        <f t="shared" si="721"/>
        <v>1728</v>
      </c>
      <c r="DC91" s="242">
        <f t="shared" si="722"/>
        <v>7488</v>
      </c>
      <c r="DD91" s="222">
        <f t="shared" si="723"/>
        <v>3.6923076923076925</v>
      </c>
      <c r="DE91" s="223">
        <f t="shared" si="724"/>
        <v>11.076923076923077</v>
      </c>
      <c r="DF91" s="243">
        <f t="shared" si="725"/>
        <v>8.3076923076923084</v>
      </c>
      <c r="DG91" s="243">
        <f t="shared" si="726"/>
        <v>23.07692307692308</v>
      </c>
      <c r="DH91" s="252">
        <f t="shared" si="663"/>
        <v>0</v>
      </c>
      <c r="DI91" s="309">
        <f t="shared" si="727"/>
        <v>23.07692307692308</v>
      </c>
      <c r="DJ91" s="218">
        <f>IF(DG91&lt;=0,1,0)+IF(DG91&gt;0,DG91+1,0)*1+IF(DG91&gt;12,DG91-12,0)*1+IF(DG91&gt;13,DG91-13,0)*1+IF(DG91&gt;14,DG91-14,0)*1+IF(DG91&gt;15,DG91-15,0)*1+IF(DG91&gt;16,DG91-16,0)*1+IF(DG91&gt;17,DG91-17,0)*1+IF(DG91&gt;18,DG91-18,0)*1+IF(DG91&gt;19,DG91-19,0)*1+IF(DG91&gt;20,DG91-20,0)*1</f>
        <v>87.769230769230802</v>
      </c>
      <c r="DK91" s="242">
        <f>IF(DH91&lt;=0,1,0)+IF(DH91&gt;0,DH91+1,0)*1+IF(DH91&gt;12,DH91-12,0)*1+IF(DH91&gt;13,DH91-13,0)*1+IF(DH91&gt;14,DH91-14,0)*1+IF(DH91&gt;15,DH91-15,0)*1+IF(DH91&gt;16,DH91-16,0)*1+IF(DH91&gt;17,DH91-17,0)*1+IF(DH91&gt;18,DH91-18,0)*1+IF(DH91&gt;19,DH91-19,0)*1+IF(DH91&gt;20,DH91-20,0)*1</f>
        <v>1</v>
      </c>
      <c r="DL91" s="243">
        <f t="shared" si="728"/>
        <v>86.769230769230802</v>
      </c>
      <c r="DM91" s="218">
        <f t="shared" si="729"/>
        <v>0</v>
      </c>
      <c r="DO91" s="303" t="s">
        <v>205</v>
      </c>
      <c r="DP91" s="218" t="s">
        <v>84</v>
      </c>
      <c r="DQ91" s="243" t="s">
        <v>133</v>
      </c>
      <c r="DR91" s="237">
        <f>Konvention_1slave-MUslave</f>
        <v>12</v>
      </c>
      <c r="DS91" s="234">
        <f t="shared" si="807"/>
        <v>12</v>
      </c>
      <c r="DT91" s="234"/>
      <c r="DU91" s="234">
        <f>Konvention_1slave-CHslave_CH</f>
        <v>11</v>
      </c>
      <c r="DV91" s="234"/>
      <c r="DW91" s="234"/>
      <c r="DX91" s="234"/>
      <c r="DY91" s="224"/>
      <c r="DZ91" s="222">
        <f t="shared" si="730"/>
        <v>11.666666666666666</v>
      </c>
      <c r="EA91" s="223">
        <f t="shared" si="731"/>
        <v>23.333333333333332</v>
      </c>
      <c r="EB91" s="224">
        <f t="shared" si="732"/>
        <v>35</v>
      </c>
      <c r="EC91" s="237">
        <f t="shared" si="733"/>
        <v>2432</v>
      </c>
      <c r="ED91" s="234">
        <f>DR91*DS91*CHslave_CH+DR91*KLslave*DU91+MUslave*DS91*DU91</f>
        <v>3408</v>
      </c>
      <c r="EE91" s="224">
        <f t="shared" si="734"/>
        <v>1584</v>
      </c>
      <c r="EF91" s="242">
        <f t="shared" si="735"/>
        <v>7424</v>
      </c>
      <c r="EG91" s="222">
        <f t="shared" si="736"/>
        <v>3.8218390804597702</v>
      </c>
      <c r="EH91" s="223">
        <f t="shared" si="737"/>
        <v>10.711206896551724</v>
      </c>
      <c r="EI91" s="243">
        <f t="shared" si="738"/>
        <v>7.4676724137931032</v>
      </c>
      <c r="EJ91" s="243">
        <f t="shared" si="739"/>
        <v>22.000718390804597</v>
      </c>
      <c r="EK91" s="252">
        <f t="shared" si="664"/>
        <v>0</v>
      </c>
      <c r="EL91" s="309">
        <f t="shared" si="740"/>
        <v>22.000718390804597</v>
      </c>
      <c r="EM91" s="218">
        <f>IF(EJ91&lt;=0,1,0)+IF(EJ91&gt;0,EJ91+1,0)*1+IF(EJ91&gt;12,EJ91-12,0)*1+IF(EJ91&gt;13,EJ91-13,0)*1+IF(EJ91&gt;14,EJ91-14,0)*1+IF(EJ91&gt;15,EJ91-15,0)*1+IF(EJ91&gt;16,EJ91-16,0)*1+IF(EJ91&gt;17,EJ91-17,0)*1+IF(EJ91&gt;18,EJ91-18,0)*1+IF(EJ91&gt;19,EJ91-19,0)*1+IF(EJ91&gt;20,EJ91-20,0)*1</f>
        <v>77.007183908045945</v>
      </c>
      <c r="EN91" s="242">
        <f>IF(EK91&lt;=0,1,0)+IF(EK91&gt;0,EK91+1,0)*1+IF(EK91&gt;12,EK91-12,0)*1+IF(EK91&gt;13,EK91-13,0)*1+IF(EK91&gt;14,EK91-14,0)*1+IF(EK91&gt;15,EK91-15,0)*1+IF(EK91&gt;16,EK91-16,0)*1+IF(EK91&gt;17,EK91-17,0)*1+IF(EK91&gt;18,EK91-18,0)*1+IF(EK91&gt;19,EK91-19,0)*1+IF(EK91&gt;20,EK91-20,0)*1</f>
        <v>1</v>
      </c>
      <c r="EO91" s="243">
        <f t="shared" si="741"/>
        <v>76.007183908045945</v>
      </c>
      <c r="EP91" s="218">
        <f t="shared" si="742"/>
        <v>0</v>
      </c>
      <c r="ER91" s="303" t="s">
        <v>205</v>
      </c>
      <c r="ES91" s="218" t="s">
        <v>84</v>
      </c>
      <c r="ET91" s="243" t="s">
        <v>133</v>
      </c>
      <c r="EU91" s="237">
        <f>Konvention_1slave-MUslave</f>
        <v>12</v>
      </c>
      <c r="EV91" s="234">
        <f t="shared" si="808"/>
        <v>12</v>
      </c>
      <c r="EW91" s="234"/>
      <c r="EX91" s="234">
        <f>Konvention_1slave-CHslave</f>
        <v>12</v>
      </c>
      <c r="EY91" s="234"/>
      <c r="EZ91" s="234"/>
      <c r="FA91" s="234"/>
      <c r="FB91" s="224"/>
      <c r="FC91" s="222">
        <f t="shared" si="743"/>
        <v>12</v>
      </c>
      <c r="FD91" s="223">
        <f t="shared" si="744"/>
        <v>24</v>
      </c>
      <c r="FE91" s="224">
        <f t="shared" si="745"/>
        <v>36</v>
      </c>
      <c r="FF91" s="237">
        <f t="shared" si="746"/>
        <v>2304</v>
      </c>
      <c r="FG91" s="234">
        <f>EU91*EV91*CHslave+EU91*KLslave*EX91+MUslave*EV91*EX91</f>
        <v>3456</v>
      </c>
      <c r="FH91" s="224">
        <f t="shared" si="747"/>
        <v>1728</v>
      </c>
      <c r="FI91" s="242">
        <f t="shared" si="748"/>
        <v>7488</v>
      </c>
      <c r="FJ91" s="222">
        <f t="shared" si="749"/>
        <v>3.6923076923076925</v>
      </c>
      <c r="FK91" s="223">
        <f t="shared" si="750"/>
        <v>11.076923076923077</v>
      </c>
      <c r="FL91" s="243">
        <f t="shared" si="751"/>
        <v>8.3076923076923084</v>
      </c>
      <c r="FM91" s="243">
        <f t="shared" si="752"/>
        <v>23.07692307692308</v>
      </c>
      <c r="FN91" s="252">
        <f t="shared" si="665"/>
        <v>0</v>
      </c>
      <c r="FO91" s="309">
        <f t="shared" si="753"/>
        <v>23.07692307692308</v>
      </c>
      <c r="FP91" s="218">
        <f>IF(FM91&lt;=0,1,0)+IF(FM91&gt;0,FM91+1,0)*1+IF(FM91&gt;12,FM91-12,0)*1+IF(FM91&gt;13,FM91-13,0)*1+IF(FM91&gt;14,FM91-14,0)*1+IF(FM91&gt;15,FM91-15,0)*1+IF(FM91&gt;16,FM91-16,0)*1+IF(FM91&gt;17,FM91-17,0)*1+IF(FM91&gt;18,FM91-18,0)*1+IF(FM91&gt;19,FM91-19,0)*1+IF(FM91&gt;20,FM91-20,0)*1</f>
        <v>87.769230769230802</v>
      </c>
      <c r="FQ91" s="242">
        <f>IF(FN91&lt;=0,1,0)+IF(FN91&gt;0,FN91+1,0)*1+IF(FN91&gt;12,FN91-12,0)*1+IF(FN91&gt;13,FN91-13,0)*1+IF(FN91&gt;14,FN91-14,0)*1+IF(FN91&gt;15,FN91-15,0)*1+IF(FN91&gt;16,FN91-16,0)*1+IF(FN91&gt;17,FN91-17,0)*1+IF(FN91&gt;18,FN91-18,0)*1+IF(FN91&gt;19,FN91-19,0)*1+IF(FN91&gt;20,FN91-20,0)*1</f>
        <v>1</v>
      </c>
      <c r="FR91" s="243">
        <f t="shared" si="754"/>
        <v>86.769230769230802</v>
      </c>
      <c r="FS91" s="218">
        <f t="shared" si="755"/>
        <v>0</v>
      </c>
      <c r="FU91" s="303" t="s">
        <v>205</v>
      </c>
      <c r="FV91" s="218" t="s">
        <v>84</v>
      </c>
      <c r="FW91" s="243" t="s">
        <v>133</v>
      </c>
      <c r="FX91" s="237">
        <f>Konvention_1slave-MUslave</f>
        <v>12</v>
      </c>
      <c r="FY91" s="234">
        <f t="shared" si="809"/>
        <v>12</v>
      </c>
      <c r="FZ91" s="234"/>
      <c r="GA91" s="234">
        <f>Konvention_1slave-CHslave</f>
        <v>12</v>
      </c>
      <c r="GB91" s="234"/>
      <c r="GC91" s="234"/>
      <c r="GD91" s="234"/>
      <c r="GE91" s="224"/>
      <c r="GF91" s="222">
        <f t="shared" si="756"/>
        <v>12</v>
      </c>
      <c r="GG91" s="223">
        <f t="shared" si="757"/>
        <v>24</v>
      </c>
      <c r="GH91" s="224">
        <f t="shared" si="758"/>
        <v>36</v>
      </c>
      <c r="GI91" s="237">
        <f t="shared" si="759"/>
        <v>2304</v>
      </c>
      <c r="GJ91" s="234">
        <f>FX91*FY91*CHslave+FX91*KLslave*GA91+MUslave*FY91*GA91</f>
        <v>3456</v>
      </c>
      <c r="GK91" s="224">
        <f t="shared" si="760"/>
        <v>1728</v>
      </c>
      <c r="GL91" s="242">
        <f t="shared" si="761"/>
        <v>7488</v>
      </c>
      <c r="GM91" s="222">
        <f t="shared" si="762"/>
        <v>3.6923076923076925</v>
      </c>
      <c r="GN91" s="223">
        <f t="shared" si="763"/>
        <v>11.076923076923077</v>
      </c>
      <c r="GO91" s="243">
        <f t="shared" si="764"/>
        <v>8.3076923076923084</v>
      </c>
      <c r="GP91" s="243">
        <f t="shared" si="765"/>
        <v>23.07692307692308</v>
      </c>
      <c r="GQ91" s="252">
        <f t="shared" si="666"/>
        <v>0</v>
      </c>
      <c r="GR91" s="309">
        <f t="shared" si="766"/>
        <v>23.07692307692308</v>
      </c>
      <c r="GS91" s="218">
        <f>IF(GP91&lt;=0,1,0)+IF(GP91&gt;0,GP91+1,0)*1+IF(GP91&gt;12,GP91-12,0)*1+IF(GP91&gt;13,GP91-13,0)*1+IF(GP91&gt;14,GP91-14,0)*1+IF(GP91&gt;15,GP91-15,0)*1+IF(GP91&gt;16,GP91-16,0)*1+IF(GP91&gt;17,GP91-17,0)*1+IF(GP91&gt;18,GP91-18,0)*1+IF(GP91&gt;19,GP91-19,0)*1+IF(GP91&gt;20,GP91-20,0)*1</f>
        <v>87.769230769230802</v>
      </c>
      <c r="GT91" s="242">
        <f>IF(GQ91&lt;=0,1,0)+IF(GQ91&gt;0,GQ91+1,0)*1+IF(GQ91&gt;12,GQ91-12,0)*1+IF(GQ91&gt;13,GQ91-13,0)*1+IF(GQ91&gt;14,GQ91-14,0)*1+IF(GQ91&gt;15,GQ91-15,0)*1+IF(GQ91&gt;16,GQ91-16,0)*1+IF(GQ91&gt;17,GQ91-17,0)*1+IF(GQ91&gt;18,GQ91-18,0)*1+IF(GQ91&gt;19,GQ91-19,0)*1+IF(GQ91&gt;20,GQ91-20,0)*1</f>
        <v>1</v>
      </c>
      <c r="GU91" s="243">
        <f t="shared" si="767"/>
        <v>86.769230769230802</v>
      </c>
      <c r="GV91" s="218">
        <f t="shared" si="768"/>
        <v>0</v>
      </c>
      <c r="GX91" s="303" t="s">
        <v>205</v>
      </c>
      <c r="GY91" s="218" t="s">
        <v>84</v>
      </c>
      <c r="GZ91" s="243" t="s">
        <v>133</v>
      </c>
      <c r="HA91" s="237">
        <f>Konvention_1slave-MUslave</f>
        <v>12</v>
      </c>
      <c r="HB91" s="234">
        <f t="shared" si="810"/>
        <v>12</v>
      </c>
      <c r="HC91" s="234"/>
      <c r="HD91" s="234">
        <f>Konvention_1slave-CHslave</f>
        <v>12</v>
      </c>
      <c r="HE91" s="234"/>
      <c r="HF91" s="234"/>
      <c r="HG91" s="234"/>
      <c r="HH91" s="224"/>
      <c r="HI91" s="222">
        <f t="shared" si="769"/>
        <v>12</v>
      </c>
      <c r="HJ91" s="223">
        <f t="shared" si="770"/>
        <v>24</v>
      </c>
      <c r="HK91" s="224">
        <f t="shared" si="771"/>
        <v>36</v>
      </c>
      <c r="HL91" s="237">
        <f t="shared" si="772"/>
        <v>2304</v>
      </c>
      <c r="HM91" s="234">
        <f>HA91*HB91*CHslave+HA91*KLslave*HD91+MUslave*HB91*HD91</f>
        <v>3456</v>
      </c>
      <c r="HN91" s="224">
        <f t="shared" si="773"/>
        <v>1728</v>
      </c>
      <c r="HO91" s="242">
        <f t="shared" si="774"/>
        <v>7488</v>
      </c>
      <c r="HP91" s="222">
        <f t="shared" si="775"/>
        <v>3.6923076923076925</v>
      </c>
      <c r="HQ91" s="223">
        <f t="shared" si="776"/>
        <v>11.076923076923077</v>
      </c>
      <c r="HR91" s="243">
        <f t="shared" si="777"/>
        <v>8.3076923076923084</v>
      </c>
      <c r="HS91" s="243">
        <f t="shared" si="778"/>
        <v>23.07692307692308</v>
      </c>
      <c r="HT91" s="252">
        <f t="shared" si="667"/>
        <v>0</v>
      </c>
      <c r="HU91" s="309">
        <f t="shared" si="779"/>
        <v>23.07692307692308</v>
      </c>
      <c r="HV91" s="218">
        <f>IF(HS91&lt;=0,1,0)+IF(HS91&gt;0,HS91+1,0)*1+IF(HS91&gt;12,HS91-12,0)*1+IF(HS91&gt;13,HS91-13,0)*1+IF(HS91&gt;14,HS91-14,0)*1+IF(HS91&gt;15,HS91-15,0)*1+IF(HS91&gt;16,HS91-16,0)*1+IF(HS91&gt;17,HS91-17,0)*1+IF(HS91&gt;18,HS91-18,0)*1+IF(HS91&gt;19,HS91-19,0)*1+IF(HS91&gt;20,HS91-20,0)*1</f>
        <v>87.769230769230802</v>
      </c>
      <c r="HW91" s="242">
        <f>IF(HT91&lt;=0,1,0)+IF(HT91&gt;0,HT91+1,0)*1+IF(HT91&gt;12,HT91-12,0)*1+IF(HT91&gt;13,HT91-13,0)*1+IF(HT91&gt;14,HT91-14,0)*1+IF(HT91&gt;15,HT91-15,0)*1+IF(HT91&gt;16,HT91-16,0)*1+IF(HT91&gt;17,HT91-17,0)*1+IF(HT91&gt;18,HT91-18,0)*1+IF(HT91&gt;19,HT91-19,0)*1+IF(HT91&gt;20,HT91-20,0)*1</f>
        <v>1</v>
      </c>
      <c r="HX91" s="243">
        <f t="shared" si="780"/>
        <v>86.769230769230802</v>
      </c>
      <c r="HY91" s="218">
        <f t="shared" si="781"/>
        <v>0</v>
      </c>
      <c r="IA91" s="303" t="s">
        <v>205</v>
      </c>
      <c r="IB91" s="218" t="s">
        <v>84</v>
      </c>
      <c r="IC91" s="243" t="s">
        <v>133</v>
      </c>
      <c r="ID91" s="237">
        <f>Konvention_1slave-MUslave</f>
        <v>12</v>
      </c>
      <c r="IE91" s="234">
        <f t="shared" si="811"/>
        <v>12</v>
      </c>
      <c r="IF91" s="234"/>
      <c r="IG91" s="234">
        <f>Konvention_1slave-CHslave</f>
        <v>12</v>
      </c>
      <c r="IH91" s="234"/>
      <c r="II91" s="234"/>
      <c r="IJ91" s="234"/>
      <c r="IK91" s="224"/>
      <c r="IL91" s="222">
        <f t="shared" si="782"/>
        <v>12</v>
      </c>
      <c r="IM91" s="223">
        <f t="shared" si="783"/>
        <v>24</v>
      </c>
      <c r="IN91" s="224">
        <f t="shared" si="784"/>
        <v>36</v>
      </c>
      <c r="IO91" s="237">
        <f t="shared" si="785"/>
        <v>2304</v>
      </c>
      <c r="IP91" s="234">
        <f>ID91*IE91*CHslave+ID91*KLslave*IG91+MUslave*IE91*IG91</f>
        <v>3456</v>
      </c>
      <c r="IQ91" s="224">
        <f t="shared" si="786"/>
        <v>1728</v>
      </c>
      <c r="IR91" s="242">
        <f t="shared" si="787"/>
        <v>7488</v>
      </c>
      <c r="IS91" s="222">
        <f t="shared" si="788"/>
        <v>3.6923076923076925</v>
      </c>
      <c r="IT91" s="223">
        <f t="shared" si="789"/>
        <v>11.076923076923077</v>
      </c>
      <c r="IU91" s="243">
        <f t="shared" si="790"/>
        <v>8.3076923076923084</v>
      </c>
      <c r="IV91" s="243">
        <f t="shared" si="791"/>
        <v>23.07692307692308</v>
      </c>
      <c r="IW91" s="252">
        <f t="shared" si="668"/>
        <v>0</v>
      </c>
      <c r="IX91" s="309">
        <f t="shared" si="792"/>
        <v>23.07692307692308</v>
      </c>
      <c r="IY91" s="218">
        <f>IF(IV91&lt;=0,1,0)+IF(IV91&gt;0,IV91+1,0)*1+IF(IV91&gt;12,IV91-12,0)*1+IF(IV91&gt;13,IV91-13,0)*1+IF(IV91&gt;14,IV91-14,0)*1+IF(IV91&gt;15,IV91-15,0)*1+IF(IV91&gt;16,IV91-16,0)*1+IF(IV91&gt;17,IV91-17,0)*1+IF(IV91&gt;18,IV91-18,0)*1+IF(IV91&gt;19,IV91-19,0)*1+IF(IV91&gt;20,IV91-20,0)*1</f>
        <v>87.769230769230802</v>
      </c>
      <c r="IZ91" s="242">
        <f>IF(IW91&lt;=0,1,0)+IF(IW91&gt;0,IW91+1,0)*1+IF(IW91&gt;12,IW91-12,0)*1+IF(IW91&gt;13,IW91-13,0)*1+IF(IW91&gt;14,IW91-14,0)*1+IF(IW91&gt;15,IW91-15,0)*1+IF(IW91&gt;16,IW91-16,0)*1+IF(IW91&gt;17,IW91-17,0)*1+IF(IW91&gt;18,IW91-18,0)*1+IF(IW91&gt;19,IW91-19,0)*1+IF(IW91&gt;20,IW91-20,0)*1</f>
        <v>1</v>
      </c>
      <c r="JA91" s="243">
        <f t="shared" si="793"/>
        <v>86.769230769230802</v>
      </c>
      <c r="JB91" s="218">
        <f t="shared" si="794"/>
        <v>0</v>
      </c>
      <c r="JE91" s="148"/>
    </row>
    <row r="92" spans="2:265" ht="15" hidden="1" customHeight="1" outlineLevel="2">
      <c r="B92" s="148">
        <v>15</v>
      </c>
      <c r="C92" s="303" t="e">
        <f>VLOOKUP(AF92,Attribute!C:T,1,FALSE)</f>
        <v>#N/A</v>
      </c>
      <c r="D92" s="86" t="s">
        <v>89</v>
      </c>
      <c r="E92" s="127" t="s">
        <v>133</v>
      </c>
      <c r="F92" s="114"/>
      <c r="G92" s="113">
        <f t="shared" si="804"/>
        <v>12</v>
      </c>
      <c r="H92" s="113"/>
      <c r="I92" s="113"/>
      <c r="J92" s="113">
        <f>Konvention_1master-FFmaster</f>
        <v>12</v>
      </c>
      <c r="K92" s="113"/>
      <c r="L92" s="113"/>
      <c r="M92" s="119">
        <f>Konvention_1master-KKmaster</f>
        <v>12</v>
      </c>
      <c r="N92" s="222">
        <f t="shared" si="678"/>
        <v>12</v>
      </c>
      <c r="O92" s="223">
        <f t="shared" si="679"/>
        <v>24</v>
      </c>
      <c r="P92" s="224">
        <f t="shared" si="680"/>
        <v>36</v>
      </c>
      <c r="Q92" s="237">
        <f t="shared" si="681"/>
        <v>2304</v>
      </c>
      <c r="R92" s="113">
        <f>G92*J92*KKmaster+G92*FFmaster*M92+KLmaster*J92*M92</f>
        <v>3456</v>
      </c>
      <c r="S92" s="224">
        <f t="shared" si="682"/>
        <v>1728</v>
      </c>
      <c r="T92" s="242">
        <f t="shared" si="683"/>
        <v>7488</v>
      </c>
      <c r="U92" s="222">
        <f t="shared" si="684"/>
        <v>3.6923076923076925</v>
      </c>
      <c r="V92" s="223">
        <f t="shared" si="685"/>
        <v>11.076923076923077</v>
      </c>
      <c r="W92" s="243">
        <f t="shared" si="686"/>
        <v>8.3076923076923084</v>
      </c>
      <c r="X92" s="243">
        <f t="shared" si="687"/>
        <v>23.07692307692308</v>
      </c>
      <c r="Y92" s="252">
        <v>0</v>
      </c>
      <c r="Z92" s="198">
        <f t="shared" si="688"/>
        <v>23.07692307692308</v>
      </c>
      <c r="AA92" s="125">
        <f>IF(X92&lt;=0,1,0)+IF(X92&gt;0,X92+1,0)*1+IF(X92&gt;12,X92-12,0)*1+IF(X92&gt;13,X92-13,0)*1+IF(X92&gt;14,X92-14,0)*1+IF(X92&gt;15,X92-15,0)*1+IF(X92&gt;16,X92-16,0)*1+IF(X92&gt;17,X92-17,0)*1+IF(X92&gt;18,X92-18,0)*1+IF(X92&gt;19,X92-19,0)*1+IF(X92&gt;20,X92-20,0)*1</f>
        <v>87.769230769230802</v>
      </c>
      <c r="AB92" s="160">
        <f>IF(Y92&lt;=0,1,0)+IF(Y92&gt;0,Y92+1,0)*1+IF(Y92&gt;12,Y92-12,0)*1+IF(Y92&gt;13,Y92-13,0)*1+IF(Y92&gt;14,Y92-14,0)*1+IF(Y92&gt;15,Y92-15,0)*1+IF(Y92&gt;16,Y92-16,0)*1+IF(Y92&gt;17,Y92-17,0)*1+IF(Y92&gt;18,Y92-18,0)*1+IF(Y92&gt;19,Y92-19,0)*1+IF(Y92&gt;20,Y92-20,0)*1</f>
        <v>1</v>
      </c>
      <c r="AC92" s="127">
        <f t="shared" si="689"/>
        <v>86.769230769230802</v>
      </c>
      <c r="AD92" s="125">
        <f t="shared" si="690"/>
        <v>0</v>
      </c>
      <c r="AF92" s="163" t="s">
        <v>206</v>
      </c>
      <c r="AG92" s="86" t="s">
        <v>89</v>
      </c>
      <c r="AH92" s="127" t="s">
        <v>133</v>
      </c>
      <c r="AI92" s="114"/>
      <c r="AJ92" s="113">
        <f t="shared" si="805"/>
        <v>12</v>
      </c>
      <c r="AK92" s="113"/>
      <c r="AL92" s="113"/>
      <c r="AM92" s="113">
        <f>Konvention_1slave-FFslave</f>
        <v>12</v>
      </c>
      <c r="AN92" s="113"/>
      <c r="AO92" s="113"/>
      <c r="AP92" s="119">
        <f>Konvention_1slave-KKslave</f>
        <v>12</v>
      </c>
      <c r="AQ92" s="89">
        <f t="shared" si="691"/>
        <v>12</v>
      </c>
      <c r="AR92" s="47">
        <f t="shared" si="692"/>
        <v>24</v>
      </c>
      <c r="AS92" s="119">
        <f t="shared" si="693"/>
        <v>36</v>
      </c>
      <c r="AT92" s="114">
        <f t="shared" si="694"/>
        <v>2304</v>
      </c>
      <c r="AU92" s="113">
        <f>AJ92*AM92*KKslave+AJ92*FFslave*AP92+KLslave*AM92*AP92</f>
        <v>3456</v>
      </c>
      <c r="AV92" s="119">
        <f t="shared" si="695"/>
        <v>1728</v>
      </c>
      <c r="AW92" s="160">
        <f t="shared" si="696"/>
        <v>7488</v>
      </c>
      <c r="AX92" s="89">
        <f t="shared" si="697"/>
        <v>3.6923076923076925</v>
      </c>
      <c r="AY92" s="47">
        <f t="shared" si="698"/>
        <v>11.076923076923077</v>
      </c>
      <c r="AZ92" s="127">
        <f t="shared" si="699"/>
        <v>8.3076923076923084</v>
      </c>
      <c r="BA92" s="127">
        <f t="shared" si="700"/>
        <v>23.07692307692308</v>
      </c>
      <c r="BB92" s="165">
        <f t="shared" si="661"/>
        <v>0</v>
      </c>
      <c r="BC92" s="198">
        <f t="shared" si="701"/>
        <v>23.07692307692308</v>
      </c>
      <c r="BD92" s="125">
        <f>IF(BA92&lt;=0,1,0)+IF(BA92&gt;0,BA92+1,0)*1+IF(BA92&gt;12,BA92-12,0)*1+IF(BA92&gt;13,BA92-13,0)*1+IF(BA92&gt;14,BA92-14,0)*1+IF(BA92&gt;15,BA92-15,0)*1+IF(BA92&gt;16,BA92-16,0)*1+IF(BA92&gt;17,BA92-17,0)*1+IF(BA92&gt;18,BA92-18,0)*1+IF(BA92&gt;19,BA92-19,0)*1+IF(BA92&gt;20,BA92-20,0)*1</f>
        <v>87.769230769230802</v>
      </c>
      <c r="BE92" s="160">
        <f>IF(BB92&lt;=0,1,0)+IF(BB92&gt;0,BB92+1,0)*1+IF(BB92&gt;12,BB92-12,0)*1+IF(BB92&gt;13,BB92-13,0)*1+IF(BB92&gt;14,BB92-14,0)*1+IF(BB92&gt;15,BB92-15,0)*1+IF(BB92&gt;16,BB92-16,0)*1+IF(BB92&gt;17,BB92-17,0)*1+IF(BB92&gt;18,BB92-18,0)*1+IF(BB92&gt;19,BB92-19,0)*1+IF(BB92&gt;20,BB92-20,0)*1</f>
        <v>1</v>
      </c>
      <c r="BF92" s="243">
        <f t="shared" si="702"/>
        <v>86.769230769230802</v>
      </c>
      <c r="BG92" s="218">
        <f t="shared" si="703"/>
        <v>0</v>
      </c>
      <c r="BI92" s="303" t="s">
        <v>206</v>
      </c>
      <c r="BJ92" s="304" t="s">
        <v>89</v>
      </c>
      <c r="BK92" s="243" t="s">
        <v>133</v>
      </c>
      <c r="BL92" s="237"/>
      <c r="BM92" s="234">
        <f t="shared" si="812"/>
        <v>11</v>
      </c>
      <c r="BN92" s="234"/>
      <c r="BO92" s="234"/>
      <c r="BP92" s="234">
        <f>Konvention_1slave-FFslave</f>
        <v>12</v>
      </c>
      <c r="BQ92" s="234"/>
      <c r="BR92" s="234"/>
      <c r="BS92" s="224">
        <f>Konvention_1slave-KKslave</f>
        <v>12</v>
      </c>
      <c r="BT92" s="222">
        <f t="shared" si="704"/>
        <v>11.666666666666666</v>
      </c>
      <c r="BU92" s="223">
        <f t="shared" si="705"/>
        <v>23.333333333333332</v>
      </c>
      <c r="BV92" s="224">
        <f t="shared" si="706"/>
        <v>35</v>
      </c>
      <c r="BW92" s="237">
        <f t="shared" si="707"/>
        <v>2432</v>
      </c>
      <c r="BX92" s="234">
        <f>BM92*BP92*KKslave+BM92*FFslave*BS92+KLslave_KL*BP92*BS92</f>
        <v>3408</v>
      </c>
      <c r="BY92" s="224">
        <f t="shared" si="708"/>
        <v>1584</v>
      </c>
      <c r="BZ92" s="242">
        <f t="shared" si="709"/>
        <v>7424</v>
      </c>
      <c r="CA92" s="222">
        <f t="shared" si="710"/>
        <v>3.8218390804597702</v>
      </c>
      <c r="CB92" s="223">
        <f t="shared" si="711"/>
        <v>10.711206896551724</v>
      </c>
      <c r="CC92" s="243">
        <f t="shared" si="712"/>
        <v>7.4676724137931032</v>
      </c>
      <c r="CD92" s="243">
        <f t="shared" si="713"/>
        <v>22.000718390804597</v>
      </c>
      <c r="CE92" s="252">
        <f t="shared" si="662"/>
        <v>0</v>
      </c>
      <c r="CF92" s="309">
        <f t="shared" si="714"/>
        <v>22.000718390804597</v>
      </c>
      <c r="CG92" s="218">
        <f>IF(CD92&lt;=0,1,0)+IF(CD92&gt;0,CD92+1,0)*1+IF(CD92&gt;12,CD92-12,0)*1+IF(CD92&gt;13,CD92-13,0)*1+IF(CD92&gt;14,CD92-14,0)*1+IF(CD92&gt;15,CD92-15,0)*1+IF(CD92&gt;16,CD92-16,0)*1+IF(CD92&gt;17,CD92-17,0)*1+IF(CD92&gt;18,CD92-18,0)*1+IF(CD92&gt;19,CD92-19,0)*1+IF(CD92&gt;20,CD92-20,0)*1</f>
        <v>77.007183908045945</v>
      </c>
      <c r="CH92" s="242">
        <f>IF(CE92&lt;=0,1,0)+IF(CE92&gt;0,CE92+1,0)*1+IF(CE92&gt;12,CE92-12,0)*1+IF(CE92&gt;13,CE92-13,0)*1+IF(CE92&gt;14,CE92-14,0)*1+IF(CE92&gt;15,CE92-15,0)*1+IF(CE92&gt;16,CE92-16,0)*1+IF(CE92&gt;17,CE92-17,0)*1+IF(CE92&gt;18,CE92-18,0)*1+IF(CE92&gt;19,CE92-19,0)*1+IF(CE92&gt;20,CE92-20,0)*1</f>
        <v>1</v>
      </c>
      <c r="CI92" s="243">
        <f t="shared" si="715"/>
        <v>76.007183908045945</v>
      </c>
      <c r="CJ92" s="218">
        <f t="shared" si="716"/>
        <v>0</v>
      </c>
      <c r="CL92" s="303" t="s">
        <v>206</v>
      </c>
      <c r="CM92" s="304" t="s">
        <v>89</v>
      </c>
      <c r="CN92" s="243" t="s">
        <v>133</v>
      </c>
      <c r="CO92" s="237"/>
      <c r="CP92" s="234">
        <f t="shared" si="806"/>
        <v>12</v>
      </c>
      <c r="CQ92" s="234"/>
      <c r="CR92" s="234"/>
      <c r="CS92" s="234">
        <f>Konvention_1slave-FFslave</f>
        <v>12</v>
      </c>
      <c r="CT92" s="234"/>
      <c r="CU92" s="234"/>
      <c r="CV92" s="224">
        <f>Konvention_1slave-KKslave</f>
        <v>12</v>
      </c>
      <c r="CW92" s="222">
        <f t="shared" si="717"/>
        <v>12</v>
      </c>
      <c r="CX92" s="223">
        <f t="shared" si="718"/>
        <v>24</v>
      </c>
      <c r="CY92" s="224">
        <f t="shared" si="719"/>
        <v>36</v>
      </c>
      <c r="CZ92" s="237">
        <f t="shared" si="720"/>
        <v>2304</v>
      </c>
      <c r="DA92" s="234">
        <f>CP92*CS92*KKslave+CP92*FFslave*CV92+KLslave*CS92*CV92</f>
        <v>3456</v>
      </c>
      <c r="DB92" s="224">
        <f t="shared" si="721"/>
        <v>1728</v>
      </c>
      <c r="DC92" s="242">
        <f t="shared" si="722"/>
        <v>7488</v>
      </c>
      <c r="DD92" s="222">
        <f t="shared" si="723"/>
        <v>3.6923076923076925</v>
      </c>
      <c r="DE92" s="223">
        <f t="shared" si="724"/>
        <v>11.076923076923077</v>
      </c>
      <c r="DF92" s="243">
        <f t="shared" si="725"/>
        <v>8.3076923076923084</v>
      </c>
      <c r="DG92" s="243">
        <f t="shared" si="726"/>
        <v>23.07692307692308</v>
      </c>
      <c r="DH92" s="252">
        <f t="shared" si="663"/>
        <v>0</v>
      </c>
      <c r="DI92" s="309">
        <f t="shared" si="727"/>
        <v>23.07692307692308</v>
      </c>
      <c r="DJ92" s="218">
        <f>IF(DG92&lt;=0,1,0)+IF(DG92&gt;0,DG92+1,0)*1+IF(DG92&gt;12,DG92-12,0)*1+IF(DG92&gt;13,DG92-13,0)*1+IF(DG92&gt;14,DG92-14,0)*1+IF(DG92&gt;15,DG92-15,0)*1+IF(DG92&gt;16,DG92-16,0)*1+IF(DG92&gt;17,DG92-17,0)*1+IF(DG92&gt;18,DG92-18,0)*1+IF(DG92&gt;19,DG92-19,0)*1+IF(DG92&gt;20,DG92-20,0)*1</f>
        <v>87.769230769230802</v>
      </c>
      <c r="DK92" s="242">
        <f>IF(DH92&lt;=0,1,0)+IF(DH92&gt;0,DH92+1,0)*1+IF(DH92&gt;12,DH92-12,0)*1+IF(DH92&gt;13,DH92-13,0)*1+IF(DH92&gt;14,DH92-14,0)*1+IF(DH92&gt;15,DH92-15,0)*1+IF(DH92&gt;16,DH92-16,0)*1+IF(DH92&gt;17,DH92-17,0)*1+IF(DH92&gt;18,DH92-18,0)*1+IF(DH92&gt;19,DH92-19,0)*1+IF(DH92&gt;20,DH92-20,0)*1</f>
        <v>1</v>
      </c>
      <c r="DL92" s="243">
        <f t="shared" si="728"/>
        <v>86.769230769230802</v>
      </c>
      <c r="DM92" s="218">
        <f t="shared" si="729"/>
        <v>0</v>
      </c>
      <c r="DO92" s="303" t="s">
        <v>206</v>
      </c>
      <c r="DP92" s="304" t="s">
        <v>89</v>
      </c>
      <c r="DQ92" s="243" t="s">
        <v>133</v>
      </c>
      <c r="DR92" s="237"/>
      <c r="DS92" s="234">
        <f t="shared" si="807"/>
        <v>12</v>
      </c>
      <c r="DT92" s="234"/>
      <c r="DU92" s="234"/>
      <c r="DV92" s="234">
        <f>Konvention_1slave-FFslave</f>
        <v>12</v>
      </c>
      <c r="DW92" s="234"/>
      <c r="DX92" s="234"/>
      <c r="DY92" s="224">
        <f>Konvention_1slave-KKslave</f>
        <v>12</v>
      </c>
      <c r="DZ92" s="222">
        <f t="shared" si="730"/>
        <v>12</v>
      </c>
      <c r="EA92" s="223">
        <f t="shared" si="731"/>
        <v>24</v>
      </c>
      <c r="EB92" s="224">
        <f t="shared" si="732"/>
        <v>36</v>
      </c>
      <c r="EC92" s="237">
        <f t="shared" si="733"/>
        <v>2304</v>
      </c>
      <c r="ED92" s="234">
        <f>DS92*DV92*KKslave+DS92*FFslave*DY92+KLslave*DV92*DY92</f>
        <v>3456</v>
      </c>
      <c r="EE92" s="224">
        <f t="shared" si="734"/>
        <v>1728</v>
      </c>
      <c r="EF92" s="242">
        <f t="shared" si="735"/>
        <v>7488</v>
      </c>
      <c r="EG92" s="222">
        <f t="shared" si="736"/>
        <v>3.6923076923076925</v>
      </c>
      <c r="EH92" s="223">
        <f t="shared" si="737"/>
        <v>11.076923076923077</v>
      </c>
      <c r="EI92" s="243">
        <f t="shared" si="738"/>
        <v>8.3076923076923084</v>
      </c>
      <c r="EJ92" s="243">
        <f t="shared" si="739"/>
        <v>23.07692307692308</v>
      </c>
      <c r="EK92" s="252">
        <f t="shared" si="664"/>
        <v>0</v>
      </c>
      <c r="EL92" s="309">
        <f t="shared" si="740"/>
        <v>23.07692307692308</v>
      </c>
      <c r="EM92" s="218">
        <f>IF(EJ92&lt;=0,1,0)+IF(EJ92&gt;0,EJ92+1,0)*1+IF(EJ92&gt;12,EJ92-12,0)*1+IF(EJ92&gt;13,EJ92-13,0)*1+IF(EJ92&gt;14,EJ92-14,0)*1+IF(EJ92&gt;15,EJ92-15,0)*1+IF(EJ92&gt;16,EJ92-16,0)*1+IF(EJ92&gt;17,EJ92-17,0)*1+IF(EJ92&gt;18,EJ92-18,0)*1+IF(EJ92&gt;19,EJ92-19,0)*1+IF(EJ92&gt;20,EJ92-20,0)*1</f>
        <v>87.769230769230802</v>
      </c>
      <c r="EN92" s="242">
        <f>IF(EK92&lt;=0,1,0)+IF(EK92&gt;0,EK92+1,0)*1+IF(EK92&gt;12,EK92-12,0)*1+IF(EK92&gt;13,EK92-13,0)*1+IF(EK92&gt;14,EK92-14,0)*1+IF(EK92&gt;15,EK92-15,0)*1+IF(EK92&gt;16,EK92-16,0)*1+IF(EK92&gt;17,EK92-17,0)*1+IF(EK92&gt;18,EK92-18,0)*1+IF(EK92&gt;19,EK92-19,0)*1+IF(EK92&gt;20,EK92-20,0)*1</f>
        <v>1</v>
      </c>
      <c r="EO92" s="243">
        <f t="shared" si="741"/>
        <v>86.769230769230802</v>
      </c>
      <c r="EP92" s="218">
        <f t="shared" si="742"/>
        <v>0</v>
      </c>
      <c r="ER92" s="303" t="s">
        <v>206</v>
      </c>
      <c r="ES92" s="304" t="s">
        <v>89</v>
      </c>
      <c r="ET92" s="243" t="s">
        <v>133</v>
      </c>
      <c r="EU92" s="237"/>
      <c r="EV92" s="234">
        <f t="shared" si="808"/>
        <v>12</v>
      </c>
      <c r="EW92" s="234"/>
      <c r="EX92" s="234"/>
      <c r="EY92" s="234">
        <f>Konvention_1slave-FFslave_FF</f>
        <v>11</v>
      </c>
      <c r="EZ92" s="234"/>
      <c r="FA92" s="234"/>
      <c r="FB92" s="224">
        <f>Konvention_1slave-KKslave</f>
        <v>12</v>
      </c>
      <c r="FC92" s="222">
        <f t="shared" si="743"/>
        <v>11.666666666666666</v>
      </c>
      <c r="FD92" s="223">
        <f t="shared" si="744"/>
        <v>23.333333333333332</v>
      </c>
      <c r="FE92" s="224">
        <f t="shared" si="745"/>
        <v>35</v>
      </c>
      <c r="FF92" s="237">
        <f t="shared" si="746"/>
        <v>2432</v>
      </c>
      <c r="FG92" s="234">
        <f>EV92*EY92*KKslave+EV92*FFslave_FF*FB92+KLslave*EY92*FB92</f>
        <v>3408</v>
      </c>
      <c r="FH92" s="224">
        <f t="shared" si="747"/>
        <v>1584</v>
      </c>
      <c r="FI92" s="242">
        <f t="shared" si="748"/>
        <v>7424</v>
      </c>
      <c r="FJ92" s="222">
        <f t="shared" si="749"/>
        <v>3.8218390804597702</v>
      </c>
      <c r="FK92" s="223">
        <f t="shared" si="750"/>
        <v>10.711206896551724</v>
      </c>
      <c r="FL92" s="243">
        <f t="shared" si="751"/>
        <v>7.4676724137931032</v>
      </c>
      <c r="FM92" s="243">
        <f t="shared" si="752"/>
        <v>22.000718390804597</v>
      </c>
      <c r="FN92" s="252">
        <f t="shared" si="665"/>
        <v>0</v>
      </c>
      <c r="FO92" s="309">
        <f t="shared" si="753"/>
        <v>22.000718390804597</v>
      </c>
      <c r="FP92" s="218">
        <f>IF(FM92&lt;=0,1,0)+IF(FM92&gt;0,FM92+1,0)*1+IF(FM92&gt;12,FM92-12,0)*1+IF(FM92&gt;13,FM92-13,0)*1+IF(FM92&gt;14,FM92-14,0)*1+IF(FM92&gt;15,FM92-15,0)*1+IF(FM92&gt;16,FM92-16,0)*1+IF(FM92&gt;17,FM92-17,0)*1+IF(FM92&gt;18,FM92-18,0)*1+IF(FM92&gt;19,FM92-19,0)*1+IF(FM92&gt;20,FM92-20,0)*1</f>
        <v>77.007183908045945</v>
      </c>
      <c r="FQ92" s="242">
        <f>IF(FN92&lt;=0,1,0)+IF(FN92&gt;0,FN92+1,0)*1+IF(FN92&gt;12,FN92-12,0)*1+IF(FN92&gt;13,FN92-13,0)*1+IF(FN92&gt;14,FN92-14,0)*1+IF(FN92&gt;15,FN92-15,0)*1+IF(FN92&gt;16,FN92-16,0)*1+IF(FN92&gt;17,FN92-17,0)*1+IF(FN92&gt;18,FN92-18,0)*1+IF(FN92&gt;19,FN92-19,0)*1+IF(FN92&gt;20,FN92-20,0)*1</f>
        <v>1</v>
      </c>
      <c r="FR92" s="243">
        <f t="shared" si="754"/>
        <v>76.007183908045945</v>
      </c>
      <c r="FS92" s="218">
        <f t="shared" si="755"/>
        <v>0</v>
      </c>
      <c r="FU92" s="303" t="s">
        <v>206</v>
      </c>
      <c r="FV92" s="304" t="s">
        <v>89</v>
      </c>
      <c r="FW92" s="243" t="s">
        <v>133</v>
      </c>
      <c r="FX92" s="237"/>
      <c r="FY92" s="234">
        <f t="shared" si="809"/>
        <v>12</v>
      </c>
      <c r="FZ92" s="234"/>
      <c r="GA92" s="234"/>
      <c r="GB92" s="234">
        <f>Konvention_1slave-FFslave</f>
        <v>12</v>
      </c>
      <c r="GC92" s="234"/>
      <c r="GD92" s="234"/>
      <c r="GE92" s="224">
        <f>Konvention_1slave-KKslave</f>
        <v>12</v>
      </c>
      <c r="GF92" s="222">
        <f t="shared" si="756"/>
        <v>12</v>
      </c>
      <c r="GG92" s="223">
        <f t="shared" si="757"/>
        <v>24</v>
      </c>
      <c r="GH92" s="224">
        <f t="shared" si="758"/>
        <v>36</v>
      </c>
      <c r="GI92" s="237">
        <f t="shared" si="759"/>
        <v>2304</v>
      </c>
      <c r="GJ92" s="234">
        <f>FY92*GB92*KKslave+FY92*FFslave*GE92+KLslave*GB92*GE92</f>
        <v>3456</v>
      </c>
      <c r="GK92" s="224">
        <f t="shared" si="760"/>
        <v>1728</v>
      </c>
      <c r="GL92" s="242">
        <f t="shared" si="761"/>
        <v>7488</v>
      </c>
      <c r="GM92" s="222">
        <f t="shared" si="762"/>
        <v>3.6923076923076925</v>
      </c>
      <c r="GN92" s="223">
        <f t="shared" si="763"/>
        <v>11.076923076923077</v>
      </c>
      <c r="GO92" s="243">
        <f t="shared" si="764"/>
        <v>8.3076923076923084</v>
      </c>
      <c r="GP92" s="243">
        <f t="shared" si="765"/>
        <v>23.07692307692308</v>
      </c>
      <c r="GQ92" s="252">
        <f t="shared" si="666"/>
        <v>0</v>
      </c>
      <c r="GR92" s="309">
        <f t="shared" si="766"/>
        <v>23.07692307692308</v>
      </c>
      <c r="GS92" s="218">
        <f>IF(GP92&lt;=0,1,0)+IF(GP92&gt;0,GP92+1,0)*1+IF(GP92&gt;12,GP92-12,0)*1+IF(GP92&gt;13,GP92-13,0)*1+IF(GP92&gt;14,GP92-14,0)*1+IF(GP92&gt;15,GP92-15,0)*1+IF(GP92&gt;16,GP92-16,0)*1+IF(GP92&gt;17,GP92-17,0)*1+IF(GP92&gt;18,GP92-18,0)*1+IF(GP92&gt;19,GP92-19,0)*1+IF(GP92&gt;20,GP92-20,0)*1</f>
        <v>87.769230769230802</v>
      </c>
      <c r="GT92" s="242">
        <f>IF(GQ92&lt;=0,1,0)+IF(GQ92&gt;0,GQ92+1,0)*1+IF(GQ92&gt;12,GQ92-12,0)*1+IF(GQ92&gt;13,GQ92-13,0)*1+IF(GQ92&gt;14,GQ92-14,0)*1+IF(GQ92&gt;15,GQ92-15,0)*1+IF(GQ92&gt;16,GQ92-16,0)*1+IF(GQ92&gt;17,GQ92-17,0)*1+IF(GQ92&gt;18,GQ92-18,0)*1+IF(GQ92&gt;19,GQ92-19,0)*1+IF(GQ92&gt;20,GQ92-20,0)*1</f>
        <v>1</v>
      </c>
      <c r="GU92" s="243">
        <f t="shared" si="767"/>
        <v>86.769230769230802</v>
      </c>
      <c r="GV92" s="218">
        <f t="shared" si="768"/>
        <v>0</v>
      </c>
      <c r="GX92" s="303" t="s">
        <v>206</v>
      </c>
      <c r="GY92" s="304" t="s">
        <v>89</v>
      </c>
      <c r="GZ92" s="243" t="s">
        <v>133</v>
      </c>
      <c r="HA92" s="237"/>
      <c r="HB92" s="234">
        <f t="shared" si="810"/>
        <v>12</v>
      </c>
      <c r="HC92" s="234"/>
      <c r="HD92" s="234"/>
      <c r="HE92" s="234">
        <f>Konvention_1slave-FFslave</f>
        <v>12</v>
      </c>
      <c r="HF92" s="234"/>
      <c r="HG92" s="234"/>
      <c r="HH92" s="224">
        <f>Konvention_1slave-KKslave</f>
        <v>12</v>
      </c>
      <c r="HI92" s="222">
        <f t="shared" si="769"/>
        <v>12</v>
      </c>
      <c r="HJ92" s="223">
        <f t="shared" si="770"/>
        <v>24</v>
      </c>
      <c r="HK92" s="224">
        <f t="shared" si="771"/>
        <v>36</v>
      </c>
      <c r="HL92" s="237">
        <f t="shared" si="772"/>
        <v>2304</v>
      </c>
      <c r="HM92" s="234">
        <f>HB92*HE92*KKslave+HB92*FFslave*HH92+KLslave*HE92*HH92</f>
        <v>3456</v>
      </c>
      <c r="HN92" s="224">
        <f t="shared" si="773"/>
        <v>1728</v>
      </c>
      <c r="HO92" s="242">
        <f t="shared" si="774"/>
        <v>7488</v>
      </c>
      <c r="HP92" s="222">
        <f t="shared" si="775"/>
        <v>3.6923076923076925</v>
      </c>
      <c r="HQ92" s="223">
        <f t="shared" si="776"/>
        <v>11.076923076923077</v>
      </c>
      <c r="HR92" s="243">
        <f t="shared" si="777"/>
        <v>8.3076923076923084</v>
      </c>
      <c r="HS92" s="243">
        <f t="shared" si="778"/>
        <v>23.07692307692308</v>
      </c>
      <c r="HT92" s="252">
        <f t="shared" si="667"/>
        <v>0</v>
      </c>
      <c r="HU92" s="309">
        <f t="shared" si="779"/>
        <v>23.07692307692308</v>
      </c>
      <c r="HV92" s="218">
        <f>IF(HS92&lt;=0,1,0)+IF(HS92&gt;0,HS92+1,0)*1+IF(HS92&gt;12,HS92-12,0)*1+IF(HS92&gt;13,HS92-13,0)*1+IF(HS92&gt;14,HS92-14,0)*1+IF(HS92&gt;15,HS92-15,0)*1+IF(HS92&gt;16,HS92-16,0)*1+IF(HS92&gt;17,HS92-17,0)*1+IF(HS92&gt;18,HS92-18,0)*1+IF(HS92&gt;19,HS92-19,0)*1+IF(HS92&gt;20,HS92-20,0)*1</f>
        <v>87.769230769230802</v>
      </c>
      <c r="HW92" s="242">
        <f>IF(HT92&lt;=0,1,0)+IF(HT92&gt;0,HT92+1,0)*1+IF(HT92&gt;12,HT92-12,0)*1+IF(HT92&gt;13,HT92-13,0)*1+IF(HT92&gt;14,HT92-14,0)*1+IF(HT92&gt;15,HT92-15,0)*1+IF(HT92&gt;16,HT92-16,0)*1+IF(HT92&gt;17,HT92-17,0)*1+IF(HT92&gt;18,HT92-18,0)*1+IF(HT92&gt;19,HT92-19,0)*1+IF(HT92&gt;20,HT92-20,0)*1</f>
        <v>1</v>
      </c>
      <c r="HX92" s="243">
        <f t="shared" si="780"/>
        <v>86.769230769230802</v>
      </c>
      <c r="HY92" s="218">
        <f t="shared" si="781"/>
        <v>0</v>
      </c>
      <c r="IA92" s="303" t="s">
        <v>206</v>
      </c>
      <c r="IB92" s="304" t="s">
        <v>89</v>
      </c>
      <c r="IC92" s="243" t="s">
        <v>133</v>
      </c>
      <c r="ID92" s="237"/>
      <c r="IE92" s="234">
        <f t="shared" si="811"/>
        <v>12</v>
      </c>
      <c r="IF92" s="234"/>
      <c r="IG92" s="234"/>
      <c r="IH92" s="234">
        <f>Konvention_1slave-FFslave</f>
        <v>12</v>
      </c>
      <c r="II92" s="234"/>
      <c r="IJ92" s="234"/>
      <c r="IK92" s="224">
        <f>Konvention_1slave-KKslave_KK</f>
        <v>11</v>
      </c>
      <c r="IL92" s="222">
        <f t="shared" si="782"/>
        <v>11.666666666666666</v>
      </c>
      <c r="IM92" s="223">
        <f t="shared" si="783"/>
        <v>23.333333333333332</v>
      </c>
      <c r="IN92" s="224">
        <f t="shared" si="784"/>
        <v>35</v>
      </c>
      <c r="IO92" s="237">
        <f t="shared" si="785"/>
        <v>2432</v>
      </c>
      <c r="IP92" s="234">
        <f>IE92*IH92*KKslave_KK+IE92*FFslave*IK92+KLslave*IH92*IK92</f>
        <v>3408</v>
      </c>
      <c r="IQ92" s="224">
        <f t="shared" si="786"/>
        <v>1584</v>
      </c>
      <c r="IR92" s="242">
        <f t="shared" si="787"/>
        <v>7424</v>
      </c>
      <c r="IS92" s="222">
        <f t="shared" si="788"/>
        <v>3.8218390804597702</v>
      </c>
      <c r="IT92" s="223">
        <f t="shared" si="789"/>
        <v>10.711206896551724</v>
      </c>
      <c r="IU92" s="243">
        <f t="shared" si="790"/>
        <v>7.4676724137931032</v>
      </c>
      <c r="IV92" s="243">
        <f t="shared" si="791"/>
        <v>22.000718390804597</v>
      </c>
      <c r="IW92" s="252">
        <f t="shared" si="668"/>
        <v>0</v>
      </c>
      <c r="IX92" s="309">
        <f t="shared" si="792"/>
        <v>22.000718390804597</v>
      </c>
      <c r="IY92" s="218">
        <f>IF(IV92&lt;=0,1,0)+IF(IV92&gt;0,IV92+1,0)*1+IF(IV92&gt;12,IV92-12,0)*1+IF(IV92&gt;13,IV92-13,0)*1+IF(IV92&gt;14,IV92-14,0)*1+IF(IV92&gt;15,IV92-15,0)*1+IF(IV92&gt;16,IV92-16,0)*1+IF(IV92&gt;17,IV92-17,0)*1+IF(IV92&gt;18,IV92-18,0)*1+IF(IV92&gt;19,IV92-19,0)*1+IF(IV92&gt;20,IV92-20,0)*1</f>
        <v>77.007183908045945</v>
      </c>
      <c r="IZ92" s="242">
        <f>IF(IW92&lt;=0,1,0)+IF(IW92&gt;0,IW92+1,0)*1+IF(IW92&gt;12,IW92-12,0)*1+IF(IW92&gt;13,IW92-13,0)*1+IF(IW92&gt;14,IW92-14,0)*1+IF(IW92&gt;15,IW92-15,0)*1+IF(IW92&gt;16,IW92-16,0)*1+IF(IW92&gt;17,IW92-17,0)*1+IF(IW92&gt;18,IW92-18,0)*1+IF(IW92&gt;19,IW92-19,0)*1+IF(IW92&gt;20,IW92-20,0)*1</f>
        <v>1</v>
      </c>
      <c r="JA92" s="243">
        <f t="shared" si="793"/>
        <v>76.007183908045945</v>
      </c>
      <c r="JB92" s="218">
        <f t="shared" si="794"/>
        <v>0</v>
      </c>
      <c r="JE92" s="148"/>
    </row>
    <row r="93" spans="2:265" ht="15" hidden="1" customHeight="1" outlineLevel="2">
      <c r="B93" s="148">
        <v>16</v>
      </c>
      <c r="C93" s="303" t="e">
        <f>VLOOKUP(AF93,Attribute!C:T,1,FALSE)</f>
        <v>#N/A</v>
      </c>
      <c r="D93" s="125" t="s">
        <v>89</v>
      </c>
      <c r="E93" s="127" t="s">
        <v>132</v>
      </c>
      <c r="F93" s="114"/>
      <c r="G93" s="113">
        <f t="shared" si="804"/>
        <v>12</v>
      </c>
      <c r="H93" s="113"/>
      <c r="I93" s="113"/>
      <c r="J93" s="113">
        <f>Konvention_1master-FFmaster</f>
        <v>12</v>
      </c>
      <c r="K93" s="113"/>
      <c r="L93" s="113"/>
      <c r="M93" s="119">
        <f>Konvention_1master-KKmaster</f>
        <v>12</v>
      </c>
      <c r="N93" s="222">
        <f t="shared" si="678"/>
        <v>12</v>
      </c>
      <c r="O93" s="223">
        <f t="shared" si="679"/>
        <v>24</v>
      </c>
      <c r="P93" s="224">
        <f t="shared" si="680"/>
        <v>36</v>
      </c>
      <c r="Q93" s="237">
        <f t="shared" si="681"/>
        <v>2304</v>
      </c>
      <c r="R93" s="113">
        <f>G93*J93*KKmaster+G93*FFmaster*M93+KLmaster*J93*M93</f>
        <v>3456</v>
      </c>
      <c r="S93" s="224">
        <f t="shared" si="682"/>
        <v>1728</v>
      </c>
      <c r="T93" s="242">
        <f t="shared" si="683"/>
        <v>7488</v>
      </c>
      <c r="U93" s="222">
        <f t="shared" si="684"/>
        <v>3.6923076923076925</v>
      </c>
      <c r="V93" s="223">
        <f t="shared" si="685"/>
        <v>11.076923076923077</v>
      </c>
      <c r="W93" s="243">
        <f t="shared" si="686"/>
        <v>8.3076923076923084</v>
      </c>
      <c r="X93" s="243">
        <f t="shared" si="687"/>
        <v>23.07692307692308</v>
      </c>
      <c r="Y93" s="252">
        <v>0</v>
      </c>
      <c r="Z93" s="198">
        <f t="shared" si="688"/>
        <v>23.07692307692308</v>
      </c>
      <c r="AA93" s="125">
        <f>IF(X93&lt;=0,2,0)+IF(X93&gt;0,X93+1,0)*2+IF(X93&gt;12,X93-12,0)*2+IF(X93&gt;13,X93-13,0)*2+IF(X93&gt;14,X93-14,0)*2+IF(X93&gt;15,X93-15,0)*2+IF(X93&gt;16,X93-16,0)*2+IF(X93&gt;17,X93-17,0)*2+IF(X93&gt;18,X93-18,0)*2+IF(X93&gt;19,X93-19,0)*2+IF(X93&gt;20,X93-20,0)*2</f>
        <v>175.5384615384616</v>
      </c>
      <c r="AB93" s="160">
        <f>IF(Y93&lt;=0,2,0)+IF(Y93&gt;0,Y93+1,0)*2+IF(Y93&gt;12,Y93-12,0)*2+IF(Y93&gt;13,Y93-13,0)*2+IF(Y93&gt;14,Y93-14,0)*2+IF(Y93&gt;15,Y93-15,0)*2+IF(Y93&gt;16,Y93-16,0)*2+IF(Y93&gt;17,Y93-17,0)*2+IF(Y93&gt;18,Y93-18,0)*2+IF(Y93&gt;19,Y93-19,0)*2+IF(Y93&gt;20,Y93-20,0)*2</f>
        <v>2</v>
      </c>
      <c r="AC93" s="127">
        <f t="shared" si="689"/>
        <v>173.5384615384616</v>
      </c>
      <c r="AD93" s="125">
        <f t="shared" si="690"/>
        <v>0</v>
      </c>
      <c r="AF93" s="163" t="s">
        <v>207</v>
      </c>
      <c r="AG93" s="125" t="s">
        <v>89</v>
      </c>
      <c r="AH93" s="127" t="s">
        <v>132</v>
      </c>
      <c r="AI93" s="114"/>
      <c r="AJ93" s="113">
        <f t="shared" si="805"/>
        <v>12</v>
      </c>
      <c r="AK93" s="113"/>
      <c r="AL93" s="113"/>
      <c r="AM93" s="113">
        <f>Konvention_1slave-FFslave</f>
        <v>12</v>
      </c>
      <c r="AN93" s="113"/>
      <c r="AO93" s="113"/>
      <c r="AP93" s="119">
        <f>Konvention_1slave-KKslave</f>
        <v>12</v>
      </c>
      <c r="AQ93" s="89">
        <f t="shared" si="691"/>
        <v>12</v>
      </c>
      <c r="AR93" s="47">
        <f t="shared" si="692"/>
        <v>24</v>
      </c>
      <c r="AS93" s="119">
        <f t="shared" si="693"/>
        <v>36</v>
      </c>
      <c r="AT93" s="114">
        <f t="shared" si="694"/>
        <v>2304</v>
      </c>
      <c r="AU93" s="113">
        <f>AJ93*AM93*KKslave+AJ93*FFslave*AP93+KLslave*AM93*AP93</f>
        <v>3456</v>
      </c>
      <c r="AV93" s="119">
        <f t="shared" si="695"/>
        <v>1728</v>
      </c>
      <c r="AW93" s="160">
        <f t="shared" si="696"/>
        <v>7488</v>
      </c>
      <c r="AX93" s="89">
        <f t="shared" si="697"/>
        <v>3.6923076923076925</v>
      </c>
      <c r="AY93" s="47">
        <f t="shared" si="698"/>
        <v>11.076923076923077</v>
      </c>
      <c r="AZ93" s="127">
        <f t="shared" si="699"/>
        <v>8.3076923076923084</v>
      </c>
      <c r="BA93" s="127">
        <f t="shared" si="700"/>
        <v>23.07692307692308</v>
      </c>
      <c r="BB93" s="165">
        <f t="shared" si="661"/>
        <v>0</v>
      </c>
      <c r="BC93" s="198">
        <f t="shared" si="701"/>
        <v>23.07692307692308</v>
      </c>
      <c r="BD93" s="125">
        <f>IF(BA93&lt;=0,2,0)+IF(BA93&gt;0,BA93+1,0)*2+IF(BA93&gt;12,BA93-12,0)*2+IF(BA93&gt;13,BA93-13,0)*2+IF(BA93&gt;14,BA93-14,0)*2+IF(BA93&gt;15,BA93-15,0)*2+IF(BA93&gt;16,BA93-16,0)*2+IF(BA93&gt;17,BA93-17,0)*2+IF(BA93&gt;18,BA93-18,0)*2+IF(BA93&gt;19,BA93-19,0)*2+IF(BA93&gt;20,BA93-20,0)*2</f>
        <v>175.5384615384616</v>
      </c>
      <c r="BE93" s="160">
        <f>IF(BB93&lt;=0,2,0)+IF(BB93&gt;0,BB93+1,0)*2+IF(BB93&gt;12,BB93-12,0)*2+IF(BB93&gt;13,BB93-13,0)*2+IF(BB93&gt;14,BB93-14,0)*2+IF(BB93&gt;15,BB93-15,0)*2+IF(BB93&gt;16,BB93-16,0)*2+IF(BB93&gt;17,BB93-17,0)*2+IF(BB93&gt;18,BB93-18,0)*2+IF(BB93&gt;19,BB93-19,0)*2+IF(BB93&gt;20,BB93-20,0)*2</f>
        <v>2</v>
      </c>
      <c r="BF93" s="243">
        <f t="shared" si="702"/>
        <v>173.5384615384616</v>
      </c>
      <c r="BG93" s="218">
        <f t="shared" si="703"/>
        <v>0</v>
      </c>
      <c r="BI93" s="303" t="s">
        <v>207</v>
      </c>
      <c r="BJ93" s="218" t="s">
        <v>89</v>
      </c>
      <c r="BK93" s="243" t="s">
        <v>132</v>
      </c>
      <c r="BL93" s="237"/>
      <c r="BM93" s="234">
        <f t="shared" si="812"/>
        <v>11</v>
      </c>
      <c r="BN93" s="234"/>
      <c r="BO93" s="234"/>
      <c r="BP93" s="234">
        <f>Konvention_1slave-FFslave</f>
        <v>12</v>
      </c>
      <c r="BQ93" s="234"/>
      <c r="BR93" s="234"/>
      <c r="BS93" s="224">
        <f>Konvention_1slave-KKslave</f>
        <v>12</v>
      </c>
      <c r="BT93" s="222">
        <f t="shared" si="704"/>
        <v>11.666666666666666</v>
      </c>
      <c r="BU93" s="223">
        <f t="shared" si="705"/>
        <v>23.333333333333332</v>
      </c>
      <c r="BV93" s="224">
        <f t="shared" si="706"/>
        <v>35</v>
      </c>
      <c r="BW93" s="237">
        <f t="shared" si="707"/>
        <v>2432</v>
      </c>
      <c r="BX93" s="234">
        <f>BM93*BP93*KKslave+BM93*FFslave*BS93+KLslave_KL*BP93*BS93</f>
        <v>3408</v>
      </c>
      <c r="BY93" s="224">
        <f t="shared" si="708"/>
        <v>1584</v>
      </c>
      <c r="BZ93" s="242">
        <f t="shared" si="709"/>
        <v>7424</v>
      </c>
      <c r="CA93" s="222">
        <f t="shared" si="710"/>
        <v>3.8218390804597702</v>
      </c>
      <c r="CB93" s="223">
        <f t="shared" si="711"/>
        <v>10.711206896551724</v>
      </c>
      <c r="CC93" s="243">
        <f t="shared" si="712"/>
        <v>7.4676724137931032</v>
      </c>
      <c r="CD93" s="243">
        <f t="shared" si="713"/>
        <v>22.000718390804597</v>
      </c>
      <c r="CE93" s="252">
        <f t="shared" si="662"/>
        <v>0</v>
      </c>
      <c r="CF93" s="309">
        <f t="shared" si="714"/>
        <v>22.000718390804597</v>
      </c>
      <c r="CG93" s="218">
        <f>IF(CD93&lt;=0,2,0)+IF(CD93&gt;0,CD93+1,0)*2+IF(CD93&gt;12,CD93-12,0)*2+IF(CD93&gt;13,CD93-13,0)*2+IF(CD93&gt;14,CD93-14,0)*2+IF(CD93&gt;15,CD93-15,0)*2+IF(CD93&gt;16,CD93-16,0)*2+IF(CD93&gt;17,CD93-17,0)*2+IF(CD93&gt;18,CD93-18,0)*2+IF(CD93&gt;19,CD93-19,0)*2+IF(CD93&gt;20,CD93-20,0)*2</f>
        <v>154.01436781609189</v>
      </c>
      <c r="CH93" s="242">
        <f>IF(CE93&lt;=0,2,0)+IF(CE93&gt;0,CE93+1,0)*2+IF(CE93&gt;12,CE93-12,0)*2+IF(CE93&gt;13,CE93-13,0)*2+IF(CE93&gt;14,CE93-14,0)*2+IF(CE93&gt;15,CE93-15,0)*2+IF(CE93&gt;16,CE93-16,0)*2+IF(CE93&gt;17,CE93-17,0)*2+IF(CE93&gt;18,CE93-18,0)*2+IF(CE93&gt;19,CE93-19,0)*2+IF(CE93&gt;20,CE93-20,0)*2</f>
        <v>2</v>
      </c>
      <c r="CI93" s="243">
        <f t="shared" si="715"/>
        <v>152.01436781609189</v>
      </c>
      <c r="CJ93" s="218">
        <f t="shared" si="716"/>
        <v>0</v>
      </c>
      <c r="CL93" s="303" t="s">
        <v>207</v>
      </c>
      <c r="CM93" s="218" t="s">
        <v>89</v>
      </c>
      <c r="CN93" s="243" t="s">
        <v>132</v>
      </c>
      <c r="CO93" s="237"/>
      <c r="CP93" s="234">
        <f t="shared" si="806"/>
        <v>12</v>
      </c>
      <c r="CQ93" s="234"/>
      <c r="CR93" s="234"/>
      <c r="CS93" s="234">
        <f>Konvention_1slave-FFslave</f>
        <v>12</v>
      </c>
      <c r="CT93" s="234"/>
      <c r="CU93" s="234"/>
      <c r="CV93" s="224">
        <f>Konvention_1slave-KKslave</f>
        <v>12</v>
      </c>
      <c r="CW93" s="222">
        <f t="shared" si="717"/>
        <v>12</v>
      </c>
      <c r="CX93" s="223">
        <f t="shared" si="718"/>
        <v>24</v>
      </c>
      <c r="CY93" s="224">
        <f t="shared" si="719"/>
        <v>36</v>
      </c>
      <c r="CZ93" s="237">
        <f t="shared" si="720"/>
        <v>2304</v>
      </c>
      <c r="DA93" s="234">
        <f>CP93*CS93*KKslave+CP93*FFslave*CV93+KLslave*CS93*CV93</f>
        <v>3456</v>
      </c>
      <c r="DB93" s="224">
        <f t="shared" si="721"/>
        <v>1728</v>
      </c>
      <c r="DC93" s="242">
        <f t="shared" si="722"/>
        <v>7488</v>
      </c>
      <c r="DD93" s="222">
        <f t="shared" si="723"/>
        <v>3.6923076923076925</v>
      </c>
      <c r="DE93" s="223">
        <f t="shared" si="724"/>
        <v>11.076923076923077</v>
      </c>
      <c r="DF93" s="243">
        <f t="shared" si="725"/>
        <v>8.3076923076923084</v>
      </c>
      <c r="DG93" s="243">
        <f t="shared" si="726"/>
        <v>23.07692307692308</v>
      </c>
      <c r="DH93" s="252">
        <f t="shared" si="663"/>
        <v>0</v>
      </c>
      <c r="DI93" s="309">
        <f t="shared" si="727"/>
        <v>23.07692307692308</v>
      </c>
      <c r="DJ93" s="218">
        <f>IF(DG93&lt;=0,2,0)+IF(DG93&gt;0,DG93+1,0)*2+IF(DG93&gt;12,DG93-12,0)*2+IF(DG93&gt;13,DG93-13,0)*2+IF(DG93&gt;14,DG93-14,0)*2+IF(DG93&gt;15,DG93-15,0)*2+IF(DG93&gt;16,DG93-16,0)*2+IF(DG93&gt;17,DG93-17,0)*2+IF(DG93&gt;18,DG93-18,0)*2+IF(DG93&gt;19,DG93-19,0)*2+IF(DG93&gt;20,DG93-20,0)*2</f>
        <v>175.5384615384616</v>
      </c>
      <c r="DK93" s="242">
        <f>IF(DH93&lt;=0,2,0)+IF(DH93&gt;0,DH93+1,0)*2+IF(DH93&gt;12,DH93-12,0)*2+IF(DH93&gt;13,DH93-13,0)*2+IF(DH93&gt;14,DH93-14,0)*2+IF(DH93&gt;15,DH93-15,0)*2+IF(DH93&gt;16,DH93-16,0)*2+IF(DH93&gt;17,DH93-17,0)*2+IF(DH93&gt;18,DH93-18,0)*2+IF(DH93&gt;19,DH93-19,0)*2+IF(DH93&gt;20,DH93-20,0)*2</f>
        <v>2</v>
      </c>
      <c r="DL93" s="243">
        <f t="shared" si="728"/>
        <v>173.5384615384616</v>
      </c>
      <c r="DM93" s="218">
        <f t="shared" si="729"/>
        <v>0</v>
      </c>
      <c r="DO93" s="303" t="s">
        <v>207</v>
      </c>
      <c r="DP93" s="218" t="s">
        <v>89</v>
      </c>
      <c r="DQ93" s="243" t="s">
        <v>132</v>
      </c>
      <c r="DR93" s="237"/>
      <c r="DS93" s="234">
        <f t="shared" si="807"/>
        <v>12</v>
      </c>
      <c r="DT93" s="234"/>
      <c r="DU93" s="234"/>
      <c r="DV93" s="234">
        <f>Konvention_1slave-FFslave</f>
        <v>12</v>
      </c>
      <c r="DW93" s="234"/>
      <c r="DX93" s="234"/>
      <c r="DY93" s="224">
        <f>Konvention_1slave-KKslave</f>
        <v>12</v>
      </c>
      <c r="DZ93" s="222">
        <f t="shared" si="730"/>
        <v>12</v>
      </c>
      <c r="EA93" s="223">
        <f t="shared" si="731"/>
        <v>24</v>
      </c>
      <c r="EB93" s="224">
        <f t="shared" si="732"/>
        <v>36</v>
      </c>
      <c r="EC93" s="237">
        <f t="shared" si="733"/>
        <v>2304</v>
      </c>
      <c r="ED93" s="234">
        <f>DS93*DV93*KKslave+DS93*FFslave*DY93+KLslave*DV93*DY93</f>
        <v>3456</v>
      </c>
      <c r="EE93" s="224">
        <f t="shared" si="734"/>
        <v>1728</v>
      </c>
      <c r="EF93" s="242">
        <f t="shared" si="735"/>
        <v>7488</v>
      </c>
      <c r="EG93" s="222">
        <f t="shared" si="736"/>
        <v>3.6923076923076925</v>
      </c>
      <c r="EH93" s="223">
        <f t="shared" si="737"/>
        <v>11.076923076923077</v>
      </c>
      <c r="EI93" s="243">
        <f t="shared" si="738"/>
        <v>8.3076923076923084</v>
      </c>
      <c r="EJ93" s="243">
        <f t="shared" si="739"/>
        <v>23.07692307692308</v>
      </c>
      <c r="EK93" s="252">
        <f t="shared" si="664"/>
        <v>0</v>
      </c>
      <c r="EL93" s="309">
        <f t="shared" si="740"/>
        <v>23.07692307692308</v>
      </c>
      <c r="EM93" s="218">
        <f>IF(EJ93&lt;=0,2,0)+IF(EJ93&gt;0,EJ93+1,0)*2+IF(EJ93&gt;12,EJ93-12,0)*2+IF(EJ93&gt;13,EJ93-13,0)*2+IF(EJ93&gt;14,EJ93-14,0)*2+IF(EJ93&gt;15,EJ93-15,0)*2+IF(EJ93&gt;16,EJ93-16,0)*2+IF(EJ93&gt;17,EJ93-17,0)*2+IF(EJ93&gt;18,EJ93-18,0)*2+IF(EJ93&gt;19,EJ93-19,0)*2+IF(EJ93&gt;20,EJ93-20,0)*2</f>
        <v>175.5384615384616</v>
      </c>
      <c r="EN93" s="242">
        <f>IF(EK93&lt;=0,2,0)+IF(EK93&gt;0,EK93+1,0)*2+IF(EK93&gt;12,EK93-12,0)*2+IF(EK93&gt;13,EK93-13,0)*2+IF(EK93&gt;14,EK93-14,0)*2+IF(EK93&gt;15,EK93-15,0)*2+IF(EK93&gt;16,EK93-16,0)*2+IF(EK93&gt;17,EK93-17,0)*2+IF(EK93&gt;18,EK93-18,0)*2+IF(EK93&gt;19,EK93-19,0)*2+IF(EK93&gt;20,EK93-20,0)*2</f>
        <v>2</v>
      </c>
      <c r="EO93" s="243">
        <f t="shared" si="741"/>
        <v>173.5384615384616</v>
      </c>
      <c r="EP93" s="218">
        <f t="shared" si="742"/>
        <v>0</v>
      </c>
      <c r="ER93" s="303" t="s">
        <v>207</v>
      </c>
      <c r="ES93" s="218" t="s">
        <v>89</v>
      </c>
      <c r="ET93" s="243" t="s">
        <v>132</v>
      </c>
      <c r="EU93" s="237"/>
      <c r="EV93" s="234">
        <f t="shared" si="808"/>
        <v>12</v>
      </c>
      <c r="EW93" s="234"/>
      <c r="EX93" s="234"/>
      <c r="EY93" s="234">
        <f>Konvention_1slave-FFslave_FF</f>
        <v>11</v>
      </c>
      <c r="EZ93" s="234"/>
      <c r="FA93" s="234"/>
      <c r="FB93" s="224">
        <f>Konvention_1slave-KKslave</f>
        <v>12</v>
      </c>
      <c r="FC93" s="222">
        <f t="shared" si="743"/>
        <v>11.666666666666666</v>
      </c>
      <c r="FD93" s="223">
        <f t="shared" si="744"/>
        <v>23.333333333333332</v>
      </c>
      <c r="FE93" s="224">
        <f t="shared" si="745"/>
        <v>35</v>
      </c>
      <c r="FF93" s="237">
        <f t="shared" si="746"/>
        <v>2432</v>
      </c>
      <c r="FG93" s="234">
        <f>EV93*EY93*KKslave+EV93*FFslave_FF*FB93+KLslave*EY93*FB93</f>
        <v>3408</v>
      </c>
      <c r="FH93" s="224">
        <f t="shared" si="747"/>
        <v>1584</v>
      </c>
      <c r="FI93" s="242">
        <f t="shared" si="748"/>
        <v>7424</v>
      </c>
      <c r="FJ93" s="222">
        <f t="shared" si="749"/>
        <v>3.8218390804597702</v>
      </c>
      <c r="FK93" s="223">
        <f t="shared" si="750"/>
        <v>10.711206896551724</v>
      </c>
      <c r="FL93" s="243">
        <f t="shared" si="751"/>
        <v>7.4676724137931032</v>
      </c>
      <c r="FM93" s="243">
        <f t="shared" si="752"/>
        <v>22.000718390804597</v>
      </c>
      <c r="FN93" s="252">
        <f t="shared" si="665"/>
        <v>0</v>
      </c>
      <c r="FO93" s="309">
        <f t="shared" si="753"/>
        <v>22.000718390804597</v>
      </c>
      <c r="FP93" s="218">
        <f>IF(FM93&lt;=0,2,0)+IF(FM93&gt;0,FM93+1,0)*2+IF(FM93&gt;12,FM93-12,0)*2+IF(FM93&gt;13,FM93-13,0)*2+IF(FM93&gt;14,FM93-14,0)*2+IF(FM93&gt;15,FM93-15,0)*2+IF(FM93&gt;16,FM93-16,0)*2+IF(FM93&gt;17,FM93-17,0)*2+IF(FM93&gt;18,FM93-18,0)*2+IF(FM93&gt;19,FM93-19,0)*2+IF(FM93&gt;20,FM93-20,0)*2</f>
        <v>154.01436781609189</v>
      </c>
      <c r="FQ93" s="242">
        <f>IF(FN93&lt;=0,2,0)+IF(FN93&gt;0,FN93+1,0)*2+IF(FN93&gt;12,FN93-12,0)*2+IF(FN93&gt;13,FN93-13,0)*2+IF(FN93&gt;14,FN93-14,0)*2+IF(FN93&gt;15,FN93-15,0)*2+IF(FN93&gt;16,FN93-16,0)*2+IF(FN93&gt;17,FN93-17,0)*2+IF(FN93&gt;18,FN93-18,0)*2+IF(FN93&gt;19,FN93-19,0)*2+IF(FN93&gt;20,FN93-20,0)*2</f>
        <v>2</v>
      </c>
      <c r="FR93" s="243">
        <f t="shared" si="754"/>
        <v>152.01436781609189</v>
      </c>
      <c r="FS93" s="218">
        <f t="shared" si="755"/>
        <v>0</v>
      </c>
      <c r="FU93" s="303" t="s">
        <v>207</v>
      </c>
      <c r="FV93" s="218" t="s">
        <v>89</v>
      </c>
      <c r="FW93" s="243" t="s">
        <v>132</v>
      </c>
      <c r="FX93" s="237"/>
      <c r="FY93" s="234">
        <f t="shared" si="809"/>
        <v>12</v>
      </c>
      <c r="FZ93" s="234"/>
      <c r="GA93" s="234"/>
      <c r="GB93" s="234">
        <f>Konvention_1slave-FFslave</f>
        <v>12</v>
      </c>
      <c r="GC93" s="234"/>
      <c r="GD93" s="234"/>
      <c r="GE93" s="224">
        <f>Konvention_1slave-KKslave</f>
        <v>12</v>
      </c>
      <c r="GF93" s="222">
        <f t="shared" si="756"/>
        <v>12</v>
      </c>
      <c r="GG93" s="223">
        <f t="shared" si="757"/>
        <v>24</v>
      </c>
      <c r="GH93" s="224">
        <f t="shared" si="758"/>
        <v>36</v>
      </c>
      <c r="GI93" s="237">
        <f t="shared" si="759"/>
        <v>2304</v>
      </c>
      <c r="GJ93" s="234">
        <f>FY93*GB93*KKslave+FY93*FFslave*GE93+KLslave*GB93*GE93</f>
        <v>3456</v>
      </c>
      <c r="GK93" s="224">
        <f t="shared" si="760"/>
        <v>1728</v>
      </c>
      <c r="GL93" s="242">
        <f t="shared" si="761"/>
        <v>7488</v>
      </c>
      <c r="GM93" s="222">
        <f t="shared" si="762"/>
        <v>3.6923076923076925</v>
      </c>
      <c r="GN93" s="223">
        <f t="shared" si="763"/>
        <v>11.076923076923077</v>
      </c>
      <c r="GO93" s="243">
        <f t="shared" si="764"/>
        <v>8.3076923076923084</v>
      </c>
      <c r="GP93" s="243">
        <f t="shared" si="765"/>
        <v>23.07692307692308</v>
      </c>
      <c r="GQ93" s="252">
        <f t="shared" si="666"/>
        <v>0</v>
      </c>
      <c r="GR93" s="309">
        <f t="shared" si="766"/>
        <v>23.07692307692308</v>
      </c>
      <c r="GS93" s="218">
        <f>IF(GP93&lt;=0,2,0)+IF(GP93&gt;0,GP93+1,0)*2+IF(GP93&gt;12,GP93-12,0)*2+IF(GP93&gt;13,GP93-13,0)*2+IF(GP93&gt;14,GP93-14,0)*2+IF(GP93&gt;15,GP93-15,0)*2+IF(GP93&gt;16,GP93-16,0)*2+IF(GP93&gt;17,GP93-17,0)*2+IF(GP93&gt;18,GP93-18,0)*2+IF(GP93&gt;19,GP93-19,0)*2+IF(GP93&gt;20,GP93-20,0)*2</f>
        <v>175.5384615384616</v>
      </c>
      <c r="GT93" s="242">
        <f>IF(GQ93&lt;=0,2,0)+IF(GQ93&gt;0,GQ93+1,0)*2+IF(GQ93&gt;12,GQ93-12,0)*2+IF(GQ93&gt;13,GQ93-13,0)*2+IF(GQ93&gt;14,GQ93-14,0)*2+IF(GQ93&gt;15,GQ93-15,0)*2+IF(GQ93&gt;16,GQ93-16,0)*2+IF(GQ93&gt;17,GQ93-17,0)*2+IF(GQ93&gt;18,GQ93-18,0)*2+IF(GQ93&gt;19,GQ93-19,0)*2+IF(GQ93&gt;20,GQ93-20,0)*2</f>
        <v>2</v>
      </c>
      <c r="GU93" s="243">
        <f t="shared" si="767"/>
        <v>173.5384615384616</v>
      </c>
      <c r="GV93" s="218">
        <f t="shared" si="768"/>
        <v>0</v>
      </c>
      <c r="GX93" s="303" t="s">
        <v>207</v>
      </c>
      <c r="GY93" s="218" t="s">
        <v>89</v>
      </c>
      <c r="GZ93" s="243" t="s">
        <v>132</v>
      </c>
      <c r="HA93" s="237"/>
      <c r="HB93" s="234">
        <f t="shared" si="810"/>
        <v>12</v>
      </c>
      <c r="HC93" s="234"/>
      <c r="HD93" s="234"/>
      <c r="HE93" s="234">
        <f>Konvention_1slave-FFslave</f>
        <v>12</v>
      </c>
      <c r="HF93" s="234"/>
      <c r="HG93" s="234"/>
      <c r="HH93" s="224">
        <f>Konvention_1slave-KKslave</f>
        <v>12</v>
      </c>
      <c r="HI93" s="222">
        <f t="shared" si="769"/>
        <v>12</v>
      </c>
      <c r="HJ93" s="223">
        <f t="shared" si="770"/>
        <v>24</v>
      </c>
      <c r="HK93" s="224">
        <f t="shared" si="771"/>
        <v>36</v>
      </c>
      <c r="HL93" s="237">
        <f t="shared" si="772"/>
        <v>2304</v>
      </c>
      <c r="HM93" s="234">
        <f>HB93*HE93*KKslave+HB93*FFslave*HH93+KLslave*HE93*HH93</f>
        <v>3456</v>
      </c>
      <c r="HN93" s="224">
        <f t="shared" si="773"/>
        <v>1728</v>
      </c>
      <c r="HO93" s="242">
        <f t="shared" si="774"/>
        <v>7488</v>
      </c>
      <c r="HP93" s="222">
        <f t="shared" si="775"/>
        <v>3.6923076923076925</v>
      </c>
      <c r="HQ93" s="223">
        <f t="shared" si="776"/>
        <v>11.076923076923077</v>
      </c>
      <c r="HR93" s="243">
        <f t="shared" si="777"/>
        <v>8.3076923076923084</v>
      </c>
      <c r="HS93" s="243">
        <f t="shared" si="778"/>
        <v>23.07692307692308</v>
      </c>
      <c r="HT93" s="252">
        <f t="shared" si="667"/>
        <v>0</v>
      </c>
      <c r="HU93" s="309">
        <f t="shared" si="779"/>
        <v>23.07692307692308</v>
      </c>
      <c r="HV93" s="218">
        <f>IF(HS93&lt;=0,2,0)+IF(HS93&gt;0,HS93+1,0)*2+IF(HS93&gt;12,HS93-12,0)*2+IF(HS93&gt;13,HS93-13,0)*2+IF(HS93&gt;14,HS93-14,0)*2+IF(HS93&gt;15,HS93-15,0)*2+IF(HS93&gt;16,HS93-16,0)*2+IF(HS93&gt;17,HS93-17,0)*2+IF(HS93&gt;18,HS93-18,0)*2+IF(HS93&gt;19,HS93-19,0)*2+IF(HS93&gt;20,HS93-20,0)*2</f>
        <v>175.5384615384616</v>
      </c>
      <c r="HW93" s="242">
        <f>IF(HT93&lt;=0,2,0)+IF(HT93&gt;0,HT93+1,0)*2+IF(HT93&gt;12,HT93-12,0)*2+IF(HT93&gt;13,HT93-13,0)*2+IF(HT93&gt;14,HT93-14,0)*2+IF(HT93&gt;15,HT93-15,0)*2+IF(HT93&gt;16,HT93-16,0)*2+IF(HT93&gt;17,HT93-17,0)*2+IF(HT93&gt;18,HT93-18,0)*2+IF(HT93&gt;19,HT93-19,0)*2+IF(HT93&gt;20,HT93-20,0)*2</f>
        <v>2</v>
      </c>
      <c r="HX93" s="243">
        <f t="shared" si="780"/>
        <v>173.5384615384616</v>
      </c>
      <c r="HY93" s="218">
        <f t="shared" si="781"/>
        <v>0</v>
      </c>
      <c r="IA93" s="303" t="s">
        <v>207</v>
      </c>
      <c r="IB93" s="218" t="s">
        <v>89</v>
      </c>
      <c r="IC93" s="243" t="s">
        <v>132</v>
      </c>
      <c r="ID93" s="237"/>
      <c r="IE93" s="234">
        <f t="shared" si="811"/>
        <v>12</v>
      </c>
      <c r="IF93" s="234"/>
      <c r="IG93" s="234"/>
      <c r="IH93" s="234">
        <f>Konvention_1slave-FFslave</f>
        <v>12</v>
      </c>
      <c r="II93" s="234"/>
      <c r="IJ93" s="234"/>
      <c r="IK93" s="224">
        <f>Konvention_1slave-KKslave_KK</f>
        <v>11</v>
      </c>
      <c r="IL93" s="222">
        <f t="shared" si="782"/>
        <v>11.666666666666666</v>
      </c>
      <c r="IM93" s="223">
        <f t="shared" si="783"/>
        <v>23.333333333333332</v>
      </c>
      <c r="IN93" s="224">
        <f t="shared" si="784"/>
        <v>35</v>
      </c>
      <c r="IO93" s="237">
        <f t="shared" si="785"/>
        <v>2432</v>
      </c>
      <c r="IP93" s="234">
        <f>IE93*IH93*KKslave_KK+IE93*FFslave*IK93+KLslave*IH93*IK93</f>
        <v>3408</v>
      </c>
      <c r="IQ93" s="224">
        <f t="shared" si="786"/>
        <v>1584</v>
      </c>
      <c r="IR93" s="242">
        <f t="shared" si="787"/>
        <v>7424</v>
      </c>
      <c r="IS93" s="222">
        <f t="shared" si="788"/>
        <v>3.8218390804597702</v>
      </c>
      <c r="IT93" s="223">
        <f t="shared" si="789"/>
        <v>10.711206896551724</v>
      </c>
      <c r="IU93" s="243">
        <f t="shared" si="790"/>
        <v>7.4676724137931032</v>
      </c>
      <c r="IV93" s="243">
        <f t="shared" si="791"/>
        <v>22.000718390804597</v>
      </c>
      <c r="IW93" s="252">
        <f t="shared" si="668"/>
        <v>0</v>
      </c>
      <c r="IX93" s="309">
        <f t="shared" si="792"/>
        <v>22.000718390804597</v>
      </c>
      <c r="IY93" s="218">
        <f>IF(IV93&lt;=0,2,0)+IF(IV93&gt;0,IV93+1,0)*2+IF(IV93&gt;12,IV93-12,0)*2+IF(IV93&gt;13,IV93-13,0)*2+IF(IV93&gt;14,IV93-14,0)*2+IF(IV93&gt;15,IV93-15,0)*2+IF(IV93&gt;16,IV93-16,0)*2+IF(IV93&gt;17,IV93-17,0)*2+IF(IV93&gt;18,IV93-18,0)*2+IF(IV93&gt;19,IV93-19,0)*2+IF(IV93&gt;20,IV93-20,0)*2</f>
        <v>154.01436781609189</v>
      </c>
      <c r="IZ93" s="242">
        <f>IF(IW93&lt;=0,2,0)+IF(IW93&gt;0,IW93+1,0)*2+IF(IW93&gt;12,IW93-12,0)*2+IF(IW93&gt;13,IW93-13,0)*2+IF(IW93&gt;14,IW93-14,0)*2+IF(IW93&gt;15,IW93-15,0)*2+IF(IW93&gt;16,IW93-16,0)*2+IF(IW93&gt;17,IW93-17,0)*2+IF(IW93&gt;18,IW93-18,0)*2+IF(IW93&gt;19,IW93-19,0)*2+IF(IW93&gt;20,IW93-20,0)*2</f>
        <v>2</v>
      </c>
      <c r="JA93" s="243">
        <f t="shared" si="793"/>
        <v>152.01436781609189</v>
      </c>
      <c r="JB93" s="218">
        <f t="shared" si="794"/>
        <v>0</v>
      </c>
      <c r="JE93" s="148"/>
    </row>
    <row r="94" spans="2:265" hidden="1" outlineLevel="2">
      <c r="B94" s="148">
        <v>17</v>
      </c>
      <c r="C94" s="303" t="e">
        <f>VLOOKUP(AF94,Attribute!C:T,1,FALSE)</f>
        <v>#N/A</v>
      </c>
      <c r="D94" s="86" t="s">
        <v>87</v>
      </c>
      <c r="E94" s="127" t="s">
        <v>132</v>
      </c>
      <c r="F94" s="114"/>
      <c r="G94" s="113">
        <f>Konvention_1master-KLmaster</f>
        <v>12</v>
      </c>
      <c r="H94" s="113">
        <f>Konvention_1master-INmaster</f>
        <v>12</v>
      </c>
      <c r="I94" s="113">
        <f>Konvention_1master-CHmaster</f>
        <v>12</v>
      </c>
      <c r="J94" s="113"/>
      <c r="K94" s="113"/>
      <c r="L94" s="113"/>
      <c r="M94" s="119"/>
      <c r="N94" s="222">
        <f t="shared" si="678"/>
        <v>12</v>
      </c>
      <c r="O94" s="223">
        <f t="shared" si="679"/>
        <v>24</v>
      </c>
      <c r="P94" s="224">
        <f t="shared" si="680"/>
        <v>36</v>
      </c>
      <c r="Q94" s="237">
        <f t="shared" si="681"/>
        <v>2304</v>
      </c>
      <c r="R94" s="113">
        <f>G94*H94*CHmaster+G94*INmaster*I94+KLmaster*H94*I94</f>
        <v>3456</v>
      </c>
      <c r="S94" s="224">
        <f t="shared" si="682"/>
        <v>1728</v>
      </c>
      <c r="T94" s="242">
        <f>SUM(Q94:S94)</f>
        <v>7488</v>
      </c>
      <c r="U94" s="222">
        <f t="shared" si="684"/>
        <v>3.6923076923076925</v>
      </c>
      <c r="V94" s="223">
        <f t="shared" si="685"/>
        <v>11.076923076923077</v>
      </c>
      <c r="W94" s="243">
        <f t="shared" si="686"/>
        <v>8.3076923076923084</v>
      </c>
      <c r="X94" s="243">
        <f t="shared" si="687"/>
        <v>23.07692307692308</v>
      </c>
      <c r="Y94" s="252">
        <v>0</v>
      </c>
      <c r="Z94" s="198">
        <f t="shared" si="688"/>
        <v>23.07692307692308</v>
      </c>
      <c r="AA94" s="125">
        <f>IF(X94&lt;=0,2,0)+IF(X94&gt;0,X94+1,0)*2+IF(X94&gt;12,X94-12,0)*2+IF(X94&gt;13,X94-13,0)*2+IF(X94&gt;14,X94-14,0)*2+IF(X94&gt;15,X94-15,0)*2+IF(X94&gt;16,X94-16,0)*2+IF(X94&gt;17,X94-17,0)*2+IF(X94&gt;18,X94-18,0)*2+IF(X94&gt;19,X94-19,0)*2+IF(X94&gt;20,X94-20,0)*2</f>
        <v>175.5384615384616</v>
      </c>
      <c r="AB94" s="160">
        <f>IF(Y94&lt;=0,2,0)+IF(Y94&gt;0,Y94+1,0)*2+IF(Y94&gt;12,Y94-12,0)*2+IF(Y94&gt;13,Y94-13,0)*2+IF(Y94&gt;14,Y94-14,0)*2+IF(Y94&gt;15,Y94-15,0)*2+IF(Y94&gt;16,Y94-16,0)*2+IF(Y94&gt;17,Y94-17,0)*2+IF(Y94&gt;18,Y94-18,0)*2+IF(Y94&gt;19,Y94-19,0)*2+IF(Y94&gt;20,Y94-20,0)*2</f>
        <v>2</v>
      </c>
      <c r="AC94" s="127">
        <f t="shared" si="689"/>
        <v>173.5384615384616</v>
      </c>
      <c r="AD94" s="125">
        <f t="shared" si="690"/>
        <v>0</v>
      </c>
      <c r="AF94" s="163" t="s">
        <v>349</v>
      </c>
      <c r="AG94" s="125" t="s">
        <v>87</v>
      </c>
      <c r="AH94" s="127" t="s">
        <v>132</v>
      </c>
      <c r="AI94" s="114"/>
      <c r="AJ94" s="113">
        <f>Konvention_1slave-KLslave</f>
        <v>12</v>
      </c>
      <c r="AK94" s="113">
        <f>Konvention_1slave-INslave</f>
        <v>12</v>
      </c>
      <c r="AL94" s="113">
        <f>Konvention_1slave-CHslave</f>
        <v>12</v>
      </c>
      <c r="AM94" s="113"/>
      <c r="AN94" s="113"/>
      <c r="AO94" s="113"/>
      <c r="AP94" s="119"/>
      <c r="AQ94" s="89">
        <f t="shared" si="691"/>
        <v>12</v>
      </c>
      <c r="AR94" s="47">
        <f t="shared" si="692"/>
        <v>24</v>
      </c>
      <c r="AS94" s="119">
        <f t="shared" si="693"/>
        <v>36</v>
      </c>
      <c r="AT94" s="114">
        <f t="shared" si="694"/>
        <v>2304</v>
      </c>
      <c r="AU94" s="113">
        <f>AJ94*AK94*CHslave+AJ94*INslave*AL94+KLslave*AK94*AL94</f>
        <v>3456</v>
      </c>
      <c r="AV94" s="119">
        <f t="shared" si="695"/>
        <v>1728</v>
      </c>
      <c r="AW94" s="160">
        <f>SUM(AT94:AV94)</f>
        <v>7488</v>
      </c>
      <c r="AX94" s="89">
        <f t="shared" si="697"/>
        <v>3.6923076923076925</v>
      </c>
      <c r="AY94" s="47">
        <f t="shared" si="698"/>
        <v>11.076923076923077</v>
      </c>
      <c r="AZ94" s="127">
        <f t="shared" si="699"/>
        <v>8.3076923076923084</v>
      </c>
      <c r="BA94" s="127">
        <f t="shared" si="700"/>
        <v>23.07692307692308</v>
      </c>
      <c r="BB94" s="165">
        <f t="shared" si="661"/>
        <v>0</v>
      </c>
      <c r="BC94" s="198">
        <f t="shared" si="701"/>
        <v>23.07692307692308</v>
      </c>
      <c r="BD94" s="125">
        <f>IF(BA94&lt;=0,2,0)+IF(BA94&gt;0,BA94+1,0)*2+IF(BA94&gt;12,BA94-12,0)*2+IF(BA94&gt;13,BA94-13,0)*2+IF(BA94&gt;14,BA94-14,0)*2+IF(BA94&gt;15,BA94-15,0)*2+IF(BA94&gt;16,BA94-16,0)*2+IF(BA94&gt;17,BA94-17,0)*2+IF(BA94&gt;18,BA94-18,0)*2+IF(BA94&gt;19,BA94-19,0)*2+IF(BA94&gt;20,BA94-20,0)*2</f>
        <v>175.5384615384616</v>
      </c>
      <c r="BE94" s="160">
        <f>IF(BB94&lt;=0,2,0)+IF(BB94&gt;0,BB94+1,0)*2+IF(BB94&gt;12,BB94-12,0)*2+IF(BB94&gt;13,BB94-13,0)*2+IF(BB94&gt;14,BB94-14,0)*2+IF(BB94&gt;15,BB94-15,0)*2+IF(BB94&gt;16,BB94-16,0)*2+IF(BB94&gt;17,BB94-17,0)*2+IF(BB94&gt;18,BB94-18,0)*2+IF(BB94&gt;19,BB94-19,0)*2+IF(BB94&gt;20,BB94-20,0)*2</f>
        <v>2</v>
      </c>
      <c r="BF94" s="243">
        <f t="shared" si="702"/>
        <v>173.5384615384616</v>
      </c>
      <c r="BG94" s="218">
        <f t="shared" si="703"/>
        <v>0</v>
      </c>
      <c r="BI94" s="303" t="s">
        <v>349</v>
      </c>
      <c r="BJ94" s="218" t="s">
        <v>87</v>
      </c>
      <c r="BK94" s="243" t="s">
        <v>132</v>
      </c>
      <c r="BL94" s="237"/>
      <c r="BM94" s="234">
        <f t="shared" si="812"/>
        <v>11</v>
      </c>
      <c r="BN94" s="234">
        <f>Konvention_1slave-INslave</f>
        <v>12</v>
      </c>
      <c r="BO94" s="234">
        <f>Konvention_1slave-CHslave</f>
        <v>12</v>
      </c>
      <c r="BP94" s="234"/>
      <c r="BQ94" s="234"/>
      <c r="BR94" s="234"/>
      <c r="BS94" s="224"/>
      <c r="BT94" s="222">
        <f t="shared" si="704"/>
        <v>11.666666666666666</v>
      </c>
      <c r="BU94" s="223">
        <f t="shared" si="705"/>
        <v>23.333333333333332</v>
      </c>
      <c r="BV94" s="224">
        <f t="shared" si="706"/>
        <v>35</v>
      </c>
      <c r="BW94" s="237">
        <f t="shared" si="707"/>
        <v>2432</v>
      </c>
      <c r="BX94" s="234">
        <f>BM94*BN94*CHslave+BM94*INslave*BO94+KLslave_KL*BN94*BO94</f>
        <v>3408</v>
      </c>
      <c r="BY94" s="224">
        <f t="shared" si="708"/>
        <v>1584</v>
      </c>
      <c r="BZ94" s="242">
        <f>SUM(BW94:BY94)</f>
        <v>7424</v>
      </c>
      <c r="CA94" s="222">
        <f t="shared" si="710"/>
        <v>3.8218390804597702</v>
      </c>
      <c r="CB94" s="223">
        <f t="shared" si="711"/>
        <v>10.711206896551724</v>
      </c>
      <c r="CC94" s="243">
        <f t="shared" si="712"/>
        <v>7.4676724137931032</v>
      </c>
      <c r="CD94" s="243">
        <f t="shared" si="713"/>
        <v>22.000718390804597</v>
      </c>
      <c r="CE94" s="252">
        <f t="shared" si="662"/>
        <v>0</v>
      </c>
      <c r="CF94" s="309">
        <f t="shared" si="714"/>
        <v>22.000718390804597</v>
      </c>
      <c r="CG94" s="218">
        <f>IF(CD94&lt;=0,2,0)+IF(CD94&gt;0,CD94+1,0)*2+IF(CD94&gt;12,CD94-12,0)*2+IF(CD94&gt;13,CD94-13,0)*2+IF(CD94&gt;14,CD94-14,0)*2+IF(CD94&gt;15,CD94-15,0)*2+IF(CD94&gt;16,CD94-16,0)*2+IF(CD94&gt;17,CD94-17,0)*2+IF(CD94&gt;18,CD94-18,0)*2+IF(CD94&gt;19,CD94-19,0)*2+IF(CD94&gt;20,CD94-20,0)*2</f>
        <v>154.01436781609189</v>
      </c>
      <c r="CH94" s="242">
        <f>IF(CE94&lt;=0,2,0)+IF(CE94&gt;0,CE94+1,0)*2+IF(CE94&gt;12,CE94-12,0)*2+IF(CE94&gt;13,CE94-13,0)*2+IF(CE94&gt;14,CE94-14,0)*2+IF(CE94&gt;15,CE94-15,0)*2+IF(CE94&gt;16,CE94-16,0)*2+IF(CE94&gt;17,CE94-17,0)*2+IF(CE94&gt;18,CE94-18,0)*2+IF(CE94&gt;19,CE94-19,0)*2+IF(CE94&gt;20,CE94-20,0)*2</f>
        <v>2</v>
      </c>
      <c r="CI94" s="243">
        <f t="shared" si="715"/>
        <v>152.01436781609189</v>
      </c>
      <c r="CJ94" s="218">
        <f t="shared" si="716"/>
        <v>0</v>
      </c>
      <c r="CL94" s="303" t="s">
        <v>349</v>
      </c>
      <c r="CM94" s="218" t="s">
        <v>87</v>
      </c>
      <c r="CN94" s="243" t="s">
        <v>132</v>
      </c>
      <c r="CO94" s="237"/>
      <c r="CP94" s="234">
        <f>Konvention_1slave-KLslave</f>
        <v>12</v>
      </c>
      <c r="CQ94" s="234">
        <f>Konvention_1slave-INslave_IN</f>
        <v>11</v>
      </c>
      <c r="CR94" s="234">
        <f>Konvention_1slave-CHslave</f>
        <v>12</v>
      </c>
      <c r="CS94" s="234"/>
      <c r="CT94" s="234"/>
      <c r="CU94" s="234"/>
      <c r="CV94" s="224"/>
      <c r="CW94" s="222">
        <f t="shared" si="717"/>
        <v>11.666666666666666</v>
      </c>
      <c r="CX94" s="223">
        <f t="shared" si="718"/>
        <v>23.333333333333332</v>
      </c>
      <c r="CY94" s="224">
        <f t="shared" si="719"/>
        <v>35</v>
      </c>
      <c r="CZ94" s="237">
        <f t="shared" si="720"/>
        <v>2432</v>
      </c>
      <c r="DA94" s="234">
        <f>CP94*CQ94*CHslave+CP94*INslave_IN*CR94+KLslave*CQ94*CR94</f>
        <v>3408</v>
      </c>
      <c r="DB94" s="224">
        <f t="shared" si="721"/>
        <v>1584</v>
      </c>
      <c r="DC94" s="242">
        <f>SUM(CZ94:DB94)</f>
        <v>7424</v>
      </c>
      <c r="DD94" s="222">
        <f t="shared" si="723"/>
        <v>3.8218390804597702</v>
      </c>
      <c r="DE94" s="223">
        <f t="shared" si="724"/>
        <v>10.711206896551724</v>
      </c>
      <c r="DF94" s="243">
        <f t="shared" si="725"/>
        <v>7.4676724137931032</v>
      </c>
      <c r="DG94" s="243">
        <f t="shared" si="726"/>
        <v>22.000718390804597</v>
      </c>
      <c r="DH94" s="252">
        <f t="shared" si="663"/>
        <v>0</v>
      </c>
      <c r="DI94" s="309">
        <f t="shared" si="727"/>
        <v>22.000718390804597</v>
      </c>
      <c r="DJ94" s="218">
        <f>IF(DG94&lt;=0,2,0)+IF(DG94&gt;0,DG94+1,0)*2+IF(DG94&gt;12,DG94-12,0)*2+IF(DG94&gt;13,DG94-13,0)*2+IF(DG94&gt;14,DG94-14,0)*2+IF(DG94&gt;15,DG94-15,0)*2+IF(DG94&gt;16,DG94-16,0)*2+IF(DG94&gt;17,DG94-17,0)*2+IF(DG94&gt;18,DG94-18,0)*2+IF(DG94&gt;19,DG94-19,0)*2+IF(DG94&gt;20,DG94-20,0)*2</f>
        <v>154.01436781609189</v>
      </c>
      <c r="DK94" s="242">
        <f>IF(DH94&lt;=0,2,0)+IF(DH94&gt;0,DH94+1,0)*2+IF(DH94&gt;12,DH94-12,0)*2+IF(DH94&gt;13,DH94-13,0)*2+IF(DH94&gt;14,DH94-14,0)*2+IF(DH94&gt;15,DH94-15,0)*2+IF(DH94&gt;16,DH94-16,0)*2+IF(DH94&gt;17,DH94-17,0)*2+IF(DH94&gt;18,DH94-18,0)*2+IF(DH94&gt;19,DH94-19,0)*2+IF(DH94&gt;20,DH94-20,0)*2</f>
        <v>2</v>
      </c>
      <c r="DL94" s="243">
        <f t="shared" si="728"/>
        <v>152.01436781609189</v>
      </c>
      <c r="DM94" s="218">
        <f t="shared" si="729"/>
        <v>0</v>
      </c>
      <c r="DO94" s="303" t="s">
        <v>349</v>
      </c>
      <c r="DP94" s="218" t="s">
        <v>87</v>
      </c>
      <c r="DQ94" s="243" t="s">
        <v>132</v>
      </c>
      <c r="DR94" s="237"/>
      <c r="DS94" s="234">
        <f>Konvention_1slave-KLslave</f>
        <v>12</v>
      </c>
      <c r="DT94" s="234">
        <f>Konvention_1slave-INslave</f>
        <v>12</v>
      </c>
      <c r="DU94" s="234">
        <f>Konvention_1slave-CHslave_CH</f>
        <v>11</v>
      </c>
      <c r="DV94" s="234"/>
      <c r="DW94" s="234"/>
      <c r="DX94" s="234"/>
      <c r="DY94" s="224"/>
      <c r="DZ94" s="222">
        <f t="shared" si="730"/>
        <v>11.666666666666666</v>
      </c>
      <c r="EA94" s="223">
        <f t="shared" si="731"/>
        <v>23.333333333333332</v>
      </c>
      <c r="EB94" s="224">
        <f t="shared" si="732"/>
        <v>35</v>
      </c>
      <c r="EC94" s="237">
        <f t="shared" si="733"/>
        <v>2432</v>
      </c>
      <c r="ED94" s="234">
        <f>DS94*DT94*CHslave_CH+DS94*INslave*DU94+KLslave*DT94*DU94</f>
        <v>3408</v>
      </c>
      <c r="EE94" s="224">
        <f t="shared" si="734"/>
        <v>1584</v>
      </c>
      <c r="EF94" s="242">
        <f>SUM(EC94:EE94)</f>
        <v>7424</v>
      </c>
      <c r="EG94" s="222">
        <f t="shared" si="736"/>
        <v>3.8218390804597702</v>
      </c>
      <c r="EH94" s="223">
        <f t="shared" si="737"/>
        <v>10.711206896551724</v>
      </c>
      <c r="EI94" s="243">
        <f t="shared" si="738"/>
        <v>7.4676724137931032</v>
      </c>
      <c r="EJ94" s="243">
        <f t="shared" si="739"/>
        <v>22.000718390804597</v>
      </c>
      <c r="EK94" s="252">
        <f t="shared" si="664"/>
        <v>0</v>
      </c>
      <c r="EL94" s="309">
        <f t="shared" si="740"/>
        <v>22.000718390804597</v>
      </c>
      <c r="EM94" s="218">
        <f>IF(EJ94&lt;=0,2,0)+IF(EJ94&gt;0,EJ94+1,0)*2+IF(EJ94&gt;12,EJ94-12,0)*2+IF(EJ94&gt;13,EJ94-13,0)*2+IF(EJ94&gt;14,EJ94-14,0)*2+IF(EJ94&gt;15,EJ94-15,0)*2+IF(EJ94&gt;16,EJ94-16,0)*2+IF(EJ94&gt;17,EJ94-17,0)*2+IF(EJ94&gt;18,EJ94-18,0)*2+IF(EJ94&gt;19,EJ94-19,0)*2+IF(EJ94&gt;20,EJ94-20,0)*2</f>
        <v>154.01436781609189</v>
      </c>
      <c r="EN94" s="242">
        <f>IF(EK94&lt;=0,2,0)+IF(EK94&gt;0,EK94+1,0)*2+IF(EK94&gt;12,EK94-12,0)*2+IF(EK94&gt;13,EK94-13,0)*2+IF(EK94&gt;14,EK94-14,0)*2+IF(EK94&gt;15,EK94-15,0)*2+IF(EK94&gt;16,EK94-16,0)*2+IF(EK94&gt;17,EK94-17,0)*2+IF(EK94&gt;18,EK94-18,0)*2+IF(EK94&gt;19,EK94-19,0)*2+IF(EK94&gt;20,EK94-20,0)*2</f>
        <v>2</v>
      </c>
      <c r="EO94" s="243">
        <f t="shared" si="741"/>
        <v>152.01436781609189</v>
      </c>
      <c r="EP94" s="218">
        <f t="shared" si="742"/>
        <v>0</v>
      </c>
      <c r="ER94" s="303" t="s">
        <v>349</v>
      </c>
      <c r="ES94" s="218" t="s">
        <v>87</v>
      </c>
      <c r="ET94" s="243" t="s">
        <v>132</v>
      </c>
      <c r="EU94" s="237"/>
      <c r="EV94" s="234">
        <f>Konvention_1slave-KLslave</f>
        <v>12</v>
      </c>
      <c r="EW94" s="234">
        <f>Konvention_1slave-INslave</f>
        <v>12</v>
      </c>
      <c r="EX94" s="234">
        <f>Konvention_1slave-CHslave</f>
        <v>12</v>
      </c>
      <c r="EY94" s="234"/>
      <c r="EZ94" s="234"/>
      <c r="FA94" s="234"/>
      <c r="FB94" s="224"/>
      <c r="FC94" s="222">
        <f t="shared" si="743"/>
        <v>12</v>
      </c>
      <c r="FD94" s="223">
        <f t="shared" si="744"/>
        <v>24</v>
      </c>
      <c r="FE94" s="224">
        <f t="shared" si="745"/>
        <v>36</v>
      </c>
      <c r="FF94" s="237">
        <f t="shared" si="746"/>
        <v>2304</v>
      </c>
      <c r="FG94" s="234">
        <f>EV94*EW94*CHslave+EV94*INslave*EX94+KLslave*EW94*EX94</f>
        <v>3456</v>
      </c>
      <c r="FH94" s="224">
        <f t="shared" si="747"/>
        <v>1728</v>
      </c>
      <c r="FI94" s="242">
        <f>SUM(FF94:FH94)</f>
        <v>7488</v>
      </c>
      <c r="FJ94" s="222">
        <f t="shared" si="749"/>
        <v>3.6923076923076925</v>
      </c>
      <c r="FK94" s="223">
        <f t="shared" si="750"/>
        <v>11.076923076923077</v>
      </c>
      <c r="FL94" s="243">
        <f t="shared" si="751"/>
        <v>8.3076923076923084</v>
      </c>
      <c r="FM94" s="243">
        <f t="shared" si="752"/>
        <v>23.07692307692308</v>
      </c>
      <c r="FN94" s="252">
        <f t="shared" si="665"/>
        <v>0</v>
      </c>
      <c r="FO94" s="309">
        <f t="shared" si="753"/>
        <v>23.07692307692308</v>
      </c>
      <c r="FP94" s="218">
        <f>IF(FM94&lt;=0,2,0)+IF(FM94&gt;0,FM94+1,0)*2+IF(FM94&gt;12,FM94-12,0)*2+IF(FM94&gt;13,FM94-13,0)*2+IF(FM94&gt;14,FM94-14,0)*2+IF(FM94&gt;15,FM94-15,0)*2+IF(FM94&gt;16,FM94-16,0)*2+IF(FM94&gt;17,FM94-17,0)*2+IF(FM94&gt;18,FM94-18,0)*2+IF(FM94&gt;19,FM94-19,0)*2+IF(FM94&gt;20,FM94-20,0)*2</f>
        <v>175.5384615384616</v>
      </c>
      <c r="FQ94" s="242">
        <f>IF(FN94&lt;=0,2,0)+IF(FN94&gt;0,FN94+1,0)*2+IF(FN94&gt;12,FN94-12,0)*2+IF(FN94&gt;13,FN94-13,0)*2+IF(FN94&gt;14,FN94-14,0)*2+IF(FN94&gt;15,FN94-15,0)*2+IF(FN94&gt;16,FN94-16,0)*2+IF(FN94&gt;17,FN94-17,0)*2+IF(FN94&gt;18,FN94-18,0)*2+IF(FN94&gt;19,FN94-19,0)*2+IF(FN94&gt;20,FN94-20,0)*2</f>
        <v>2</v>
      </c>
      <c r="FR94" s="243">
        <f t="shared" si="754"/>
        <v>173.5384615384616</v>
      </c>
      <c r="FS94" s="218">
        <f t="shared" si="755"/>
        <v>0</v>
      </c>
      <c r="FU94" s="303" t="s">
        <v>349</v>
      </c>
      <c r="FV94" s="218" t="s">
        <v>87</v>
      </c>
      <c r="FW94" s="243" t="s">
        <v>132</v>
      </c>
      <c r="FX94" s="237"/>
      <c r="FY94" s="234">
        <f>Konvention_1slave-KLslave</f>
        <v>12</v>
      </c>
      <c r="FZ94" s="234">
        <f>Konvention_1slave-INslave</f>
        <v>12</v>
      </c>
      <c r="GA94" s="234">
        <f>Konvention_1slave-CHslave</f>
        <v>12</v>
      </c>
      <c r="GB94" s="234"/>
      <c r="GC94" s="234"/>
      <c r="GD94" s="234"/>
      <c r="GE94" s="224"/>
      <c r="GF94" s="222">
        <f t="shared" si="756"/>
        <v>12</v>
      </c>
      <c r="GG94" s="223">
        <f t="shared" si="757"/>
        <v>24</v>
      </c>
      <c r="GH94" s="224">
        <f t="shared" si="758"/>
        <v>36</v>
      </c>
      <c r="GI94" s="237">
        <f t="shared" si="759"/>
        <v>2304</v>
      </c>
      <c r="GJ94" s="234">
        <f>FY94*FZ94*CHslave+FY94*INslave*GA94+KLslave*FZ94*GA94</f>
        <v>3456</v>
      </c>
      <c r="GK94" s="224">
        <f t="shared" si="760"/>
        <v>1728</v>
      </c>
      <c r="GL94" s="242">
        <f>SUM(GI94:GK94)</f>
        <v>7488</v>
      </c>
      <c r="GM94" s="222">
        <f t="shared" si="762"/>
        <v>3.6923076923076925</v>
      </c>
      <c r="GN94" s="223">
        <f t="shared" si="763"/>
        <v>11.076923076923077</v>
      </c>
      <c r="GO94" s="243">
        <f t="shared" si="764"/>
        <v>8.3076923076923084</v>
      </c>
      <c r="GP94" s="243">
        <f t="shared" si="765"/>
        <v>23.07692307692308</v>
      </c>
      <c r="GQ94" s="252">
        <f t="shared" si="666"/>
        <v>0</v>
      </c>
      <c r="GR94" s="309">
        <f t="shared" si="766"/>
        <v>23.07692307692308</v>
      </c>
      <c r="GS94" s="218">
        <f>IF(GP94&lt;=0,2,0)+IF(GP94&gt;0,GP94+1,0)*2+IF(GP94&gt;12,GP94-12,0)*2+IF(GP94&gt;13,GP94-13,0)*2+IF(GP94&gt;14,GP94-14,0)*2+IF(GP94&gt;15,GP94-15,0)*2+IF(GP94&gt;16,GP94-16,0)*2+IF(GP94&gt;17,GP94-17,0)*2+IF(GP94&gt;18,GP94-18,0)*2+IF(GP94&gt;19,GP94-19,0)*2+IF(GP94&gt;20,GP94-20,0)*2</f>
        <v>175.5384615384616</v>
      </c>
      <c r="GT94" s="242">
        <f>IF(GQ94&lt;=0,2,0)+IF(GQ94&gt;0,GQ94+1,0)*2+IF(GQ94&gt;12,GQ94-12,0)*2+IF(GQ94&gt;13,GQ94-13,0)*2+IF(GQ94&gt;14,GQ94-14,0)*2+IF(GQ94&gt;15,GQ94-15,0)*2+IF(GQ94&gt;16,GQ94-16,0)*2+IF(GQ94&gt;17,GQ94-17,0)*2+IF(GQ94&gt;18,GQ94-18,0)*2+IF(GQ94&gt;19,GQ94-19,0)*2+IF(GQ94&gt;20,GQ94-20,0)*2</f>
        <v>2</v>
      </c>
      <c r="GU94" s="243">
        <f t="shared" si="767"/>
        <v>173.5384615384616</v>
      </c>
      <c r="GV94" s="218">
        <f t="shared" si="768"/>
        <v>0</v>
      </c>
      <c r="GX94" s="303" t="s">
        <v>349</v>
      </c>
      <c r="GY94" s="218" t="s">
        <v>87</v>
      </c>
      <c r="GZ94" s="243" t="s">
        <v>132</v>
      </c>
      <c r="HA94" s="237"/>
      <c r="HB94" s="234">
        <f>Konvention_1slave-KLslave</f>
        <v>12</v>
      </c>
      <c r="HC94" s="234">
        <f>Konvention_1slave-INslave</f>
        <v>12</v>
      </c>
      <c r="HD94" s="234">
        <f>Konvention_1slave-CHslave</f>
        <v>12</v>
      </c>
      <c r="HE94" s="234"/>
      <c r="HF94" s="234"/>
      <c r="HG94" s="234"/>
      <c r="HH94" s="224"/>
      <c r="HI94" s="222">
        <f t="shared" si="769"/>
        <v>12</v>
      </c>
      <c r="HJ94" s="223">
        <f t="shared" si="770"/>
        <v>24</v>
      </c>
      <c r="HK94" s="224">
        <f t="shared" si="771"/>
        <v>36</v>
      </c>
      <c r="HL94" s="237">
        <f t="shared" si="772"/>
        <v>2304</v>
      </c>
      <c r="HM94" s="234">
        <f>HB94*HC94*CHslave+HB94*INslave*HD94+KLslave*HC94*HD94</f>
        <v>3456</v>
      </c>
      <c r="HN94" s="224">
        <f t="shared" si="773"/>
        <v>1728</v>
      </c>
      <c r="HO94" s="242">
        <f>SUM(HL94:HN94)</f>
        <v>7488</v>
      </c>
      <c r="HP94" s="222">
        <f t="shared" si="775"/>
        <v>3.6923076923076925</v>
      </c>
      <c r="HQ94" s="223">
        <f t="shared" si="776"/>
        <v>11.076923076923077</v>
      </c>
      <c r="HR94" s="243">
        <f t="shared" si="777"/>
        <v>8.3076923076923084</v>
      </c>
      <c r="HS94" s="243">
        <f t="shared" si="778"/>
        <v>23.07692307692308</v>
      </c>
      <c r="HT94" s="252">
        <f t="shared" si="667"/>
        <v>0</v>
      </c>
      <c r="HU94" s="309">
        <f t="shared" si="779"/>
        <v>23.07692307692308</v>
      </c>
      <c r="HV94" s="218">
        <f>IF(HS94&lt;=0,2,0)+IF(HS94&gt;0,HS94+1,0)*2+IF(HS94&gt;12,HS94-12,0)*2+IF(HS94&gt;13,HS94-13,0)*2+IF(HS94&gt;14,HS94-14,0)*2+IF(HS94&gt;15,HS94-15,0)*2+IF(HS94&gt;16,HS94-16,0)*2+IF(HS94&gt;17,HS94-17,0)*2+IF(HS94&gt;18,HS94-18,0)*2+IF(HS94&gt;19,HS94-19,0)*2+IF(HS94&gt;20,HS94-20,0)*2</f>
        <v>175.5384615384616</v>
      </c>
      <c r="HW94" s="242">
        <f>IF(HT94&lt;=0,2,0)+IF(HT94&gt;0,HT94+1,0)*2+IF(HT94&gt;12,HT94-12,0)*2+IF(HT94&gt;13,HT94-13,0)*2+IF(HT94&gt;14,HT94-14,0)*2+IF(HT94&gt;15,HT94-15,0)*2+IF(HT94&gt;16,HT94-16,0)*2+IF(HT94&gt;17,HT94-17,0)*2+IF(HT94&gt;18,HT94-18,0)*2+IF(HT94&gt;19,HT94-19,0)*2+IF(HT94&gt;20,HT94-20,0)*2</f>
        <v>2</v>
      </c>
      <c r="HX94" s="243">
        <f t="shared" si="780"/>
        <v>173.5384615384616</v>
      </c>
      <c r="HY94" s="218">
        <f t="shared" si="781"/>
        <v>0</v>
      </c>
      <c r="IA94" s="303" t="s">
        <v>349</v>
      </c>
      <c r="IB94" s="218" t="s">
        <v>87</v>
      </c>
      <c r="IC94" s="243" t="s">
        <v>132</v>
      </c>
      <c r="ID94" s="237"/>
      <c r="IE94" s="234">
        <f>Konvention_1slave-KLslave</f>
        <v>12</v>
      </c>
      <c r="IF94" s="234">
        <f>Konvention_1slave-INslave</f>
        <v>12</v>
      </c>
      <c r="IG94" s="234">
        <f>Konvention_1slave-CHslave</f>
        <v>12</v>
      </c>
      <c r="IH94" s="234"/>
      <c r="II94" s="234"/>
      <c r="IJ94" s="234"/>
      <c r="IK94" s="224"/>
      <c r="IL94" s="222">
        <f t="shared" si="782"/>
        <v>12</v>
      </c>
      <c r="IM94" s="223">
        <f t="shared" si="783"/>
        <v>24</v>
      </c>
      <c r="IN94" s="224">
        <f t="shared" si="784"/>
        <v>36</v>
      </c>
      <c r="IO94" s="237">
        <f t="shared" si="785"/>
        <v>2304</v>
      </c>
      <c r="IP94" s="234">
        <f>IE94*IF94*CHslave+IE94*INslave*IG94+KLslave*IF94*IG94</f>
        <v>3456</v>
      </c>
      <c r="IQ94" s="224">
        <f t="shared" si="786"/>
        <v>1728</v>
      </c>
      <c r="IR94" s="242">
        <f>SUM(IO94:IQ94)</f>
        <v>7488</v>
      </c>
      <c r="IS94" s="222">
        <f t="shared" si="788"/>
        <v>3.6923076923076925</v>
      </c>
      <c r="IT94" s="223">
        <f t="shared" si="789"/>
        <v>11.076923076923077</v>
      </c>
      <c r="IU94" s="243">
        <f t="shared" si="790"/>
        <v>8.3076923076923084</v>
      </c>
      <c r="IV94" s="243">
        <f t="shared" si="791"/>
        <v>23.07692307692308</v>
      </c>
      <c r="IW94" s="252">
        <f t="shared" si="668"/>
        <v>0</v>
      </c>
      <c r="IX94" s="309">
        <f t="shared" si="792"/>
        <v>23.07692307692308</v>
      </c>
      <c r="IY94" s="218">
        <f>IF(IV94&lt;=0,2,0)+IF(IV94&gt;0,IV94+1,0)*2+IF(IV94&gt;12,IV94-12,0)*2+IF(IV94&gt;13,IV94-13,0)*2+IF(IV94&gt;14,IV94-14,0)*2+IF(IV94&gt;15,IV94-15,0)*2+IF(IV94&gt;16,IV94-16,0)*2+IF(IV94&gt;17,IV94-17,0)*2+IF(IV94&gt;18,IV94-18,0)*2+IF(IV94&gt;19,IV94-19,0)*2+IF(IV94&gt;20,IV94-20,0)*2</f>
        <v>175.5384615384616</v>
      </c>
      <c r="IZ94" s="242">
        <f>IF(IW94&lt;=0,2,0)+IF(IW94&gt;0,IW94+1,0)*2+IF(IW94&gt;12,IW94-12,0)*2+IF(IW94&gt;13,IW94-13,0)*2+IF(IW94&gt;14,IW94-14,0)*2+IF(IW94&gt;15,IW94-15,0)*2+IF(IW94&gt;16,IW94-16,0)*2+IF(IW94&gt;17,IW94-17,0)*2+IF(IW94&gt;18,IW94-18,0)*2+IF(IW94&gt;19,IW94-19,0)*2+IF(IW94&gt;20,IW94-20,0)*2</f>
        <v>2</v>
      </c>
      <c r="JA94" s="243">
        <f t="shared" si="793"/>
        <v>173.5384615384616</v>
      </c>
      <c r="JB94" s="218">
        <f t="shared" si="794"/>
        <v>0</v>
      </c>
      <c r="JE94" s="148"/>
    </row>
    <row r="95" spans="2:265" ht="15" hidden="1" customHeight="1" outlineLevel="2">
      <c r="B95" s="148">
        <v>18</v>
      </c>
      <c r="C95" s="303" t="e">
        <f>VLOOKUP(AF95,Attribute!C:T,1,FALSE)</f>
        <v>#N/A</v>
      </c>
      <c r="D95" s="86" t="s">
        <v>95</v>
      </c>
      <c r="E95" s="127" t="s">
        <v>133</v>
      </c>
      <c r="F95" s="114">
        <f>Konvention_1master-MUmaster</f>
        <v>12</v>
      </c>
      <c r="G95" s="113">
        <f t="shared" si="804"/>
        <v>12</v>
      </c>
      <c r="H95" s="113">
        <f>Konvention_1master-INmaster</f>
        <v>12</v>
      </c>
      <c r="I95" s="113"/>
      <c r="J95" s="113"/>
      <c r="K95" s="113"/>
      <c r="L95" s="113"/>
      <c r="M95" s="119"/>
      <c r="N95" s="222">
        <f t="shared" si="678"/>
        <v>12</v>
      </c>
      <c r="O95" s="223">
        <f t="shared" si="679"/>
        <v>24</v>
      </c>
      <c r="P95" s="224">
        <f t="shared" si="680"/>
        <v>36</v>
      </c>
      <c r="Q95" s="237">
        <f t="shared" si="681"/>
        <v>2304</v>
      </c>
      <c r="R95" s="113">
        <f>F95*G95*INmaster+F95*KLmaster*H95+MUmaster*G95*H95</f>
        <v>3456</v>
      </c>
      <c r="S95" s="224">
        <f t="shared" si="682"/>
        <v>1728</v>
      </c>
      <c r="T95" s="242">
        <f t="shared" si="683"/>
        <v>7488</v>
      </c>
      <c r="U95" s="222">
        <f t="shared" si="684"/>
        <v>3.6923076923076925</v>
      </c>
      <c r="V95" s="223">
        <f t="shared" si="685"/>
        <v>11.076923076923077</v>
      </c>
      <c r="W95" s="243">
        <f t="shared" si="686"/>
        <v>8.3076923076923084</v>
      </c>
      <c r="X95" s="243">
        <f t="shared" si="687"/>
        <v>23.07692307692308</v>
      </c>
      <c r="Y95" s="252">
        <v>0</v>
      </c>
      <c r="Z95" s="198">
        <f t="shared" si="688"/>
        <v>23.07692307692308</v>
      </c>
      <c r="AA95" s="125">
        <f>IF(X95&lt;=0,1,0)+IF(X95&gt;0,X95+1,0)*1+IF(X95&gt;12,X95-12,0)*1+IF(X95&gt;13,X95-13,0)*1+IF(X95&gt;14,X95-14,0)*1+IF(X95&gt;15,X95-15,0)*1+IF(X95&gt;16,X95-16,0)*1+IF(X95&gt;17,X95-17,0)*1+IF(X95&gt;18,X95-18,0)*1+IF(X95&gt;19,X95-19,0)*1+IF(X95&gt;20,X95-20,0)*1</f>
        <v>87.769230769230802</v>
      </c>
      <c r="AB95" s="160">
        <f>IF(Y95&lt;=0,1,0)+IF(Y95&gt;0,Y95+1,0)*1+IF(Y95&gt;12,Y95-12,0)*1+IF(Y95&gt;13,Y95-13,0)*1+IF(Y95&gt;14,Y95-14,0)*1+IF(Y95&gt;15,Y95-15,0)*1+IF(Y95&gt;16,Y95-16,0)*1+IF(Y95&gt;17,Y95-17,0)*1+IF(Y95&gt;18,Y95-18,0)*1+IF(Y95&gt;19,Y95-19,0)*1+IF(Y95&gt;20,Y95-20,0)*1</f>
        <v>1</v>
      </c>
      <c r="AC95" s="127">
        <f t="shared" si="689"/>
        <v>86.769230769230802</v>
      </c>
      <c r="AD95" s="125">
        <f t="shared" si="690"/>
        <v>0</v>
      </c>
      <c r="AF95" s="163" t="s">
        <v>210</v>
      </c>
      <c r="AG95" s="125" t="s">
        <v>95</v>
      </c>
      <c r="AH95" s="127" t="s">
        <v>133</v>
      </c>
      <c r="AI95" s="114">
        <f>Konvention_1slave-MUslave_MU</f>
        <v>11</v>
      </c>
      <c r="AJ95" s="113">
        <f t="shared" si="805"/>
        <v>12</v>
      </c>
      <c r="AK95" s="113">
        <f>Konvention_1slave-INslave</f>
        <v>12</v>
      </c>
      <c r="AL95" s="113"/>
      <c r="AM95" s="113"/>
      <c r="AN95" s="113"/>
      <c r="AO95" s="113"/>
      <c r="AP95" s="119"/>
      <c r="AQ95" s="89">
        <f t="shared" si="691"/>
        <v>11.666666666666666</v>
      </c>
      <c r="AR95" s="47">
        <f t="shared" si="692"/>
        <v>23.333333333333332</v>
      </c>
      <c r="AS95" s="119">
        <f t="shared" si="693"/>
        <v>35</v>
      </c>
      <c r="AT95" s="114">
        <f t="shared" si="694"/>
        <v>2432</v>
      </c>
      <c r="AU95" s="113">
        <f>AI95*AJ95*INslave+AI95*KLslave*AK95+MUslave_MU*AJ95*AK95</f>
        <v>3408</v>
      </c>
      <c r="AV95" s="119">
        <f t="shared" si="695"/>
        <v>1584</v>
      </c>
      <c r="AW95" s="160">
        <f t="shared" si="696"/>
        <v>7424</v>
      </c>
      <c r="AX95" s="89">
        <f t="shared" si="697"/>
        <v>3.8218390804597702</v>
      </c>
      <c r="AY95" s="47">
        <f t="shared" si="698"/>
        <v>10.711206896551724</v>
      </c>
      <c r="AZ95" s="127">
        <f t="shared" si="699"/>
        <v>7.4676724137931032</v>
      </c>
      <c r="BA95" s="127">
        <f t="shared" si="700"/>
        <v>22.000718390804597</v>
      </c>
      <c r="BB95" s="165">
        <f t="shared" si="661"/>
        <v>0</v>
      </c>
      <c r="BC95" s="198">
        <f t="shared" si="701"/>
        <v>22.000718390804597</v>
      </c>
      <c r="BD95" s="125">
        <f>IF(BA95&lt;=0,1,0)+IF(BA95&gt;0,BA95+1,0)*1+IF(BA95&gt;12,BA95-12,0)*1+IF(BA95&gt;13,BA95-13,0)*1+IF(BA95&gt;14,BA95-14,0)*1+IF(BA95&gt;15,BA95-15,0)*1+IF(BA95&gt;16,BA95-16,0)*1+IF(BA95&gt;17,BA95-17,0)*1+IF(BA95&gt;18,BA95-18,0)*1+IF(BA95&gt;19,BA95-19,0)*1+IF(BA95&gt;20,BA95-20,0)*1</f>
        <v>77.007183908045945</v>
      </c>
      <c r="BE95" s="160">
        <f>IF(BB95&lt;=0,1,0)+IF(BB95&gt;0,BB95+1,0)*1+IF(BB95&gt;12,BB95-12,0)*1+IF(BB95&gt;13,BB95-13,0)*1+IF(BB95&gt;14,BB95-14,0)*1+IF(BB95&gt;15,BB95-15,0)*1+IF(BB95&gt;16,BB95-16,0)*1+IF(BB95&gt;17,BB95-17,0)*1+IF(BB95&gt;18,BB95-18,0)*1+IF(BB95&gt;19,BB95-19,0)*1+IF(BB95&gt;20,BB95-20,0)*1</f>
        <v>1</v>
      </c>
      <c r="BF95" s="243">
        <f t="shared" si="702"/>
        <v>76.007183908045945</v>
      </c>
      <c r="BG95" s="218">
        <f t="shared" si="703"/>
        <v>0</v>
      </c>
      <c r="BI95" s="303" t="s">
        <v>210</v>
      </c>
      <c r="BJ95" s="218" t="s">
        <v>95</v>
      </c>
      <c r="BK95" s="243" t="s">
        <v>133</v>
      </c>
      <c r="BL95" s="237">
        <f>Konvention_1slave-MUslave</f>
        <v>12</v>
      </c>
      <c r="BM95" s="234">
        <f t="shared" si="812"/>
        <v>11</v>
      </c>
      <c r="BN95" s="234">
        <f>Konvention_1slave-INslave</f>
        <v>12</v>
      </c>
      <c r="BO95" s="234"/>
      <c r="BP95" s="234"/>
      <c r="BQ95" s="234"/>
      <c r="BR95" s="234"/>
      <c r="BS95" s="224"/>
      <c r="BT95" s="222">
        <f t="shared" si="704"/>
        <v>11.666666666666666</v>
      </c>
      <c r="BU95" s="223">
        <f t="shared" si="705"/>
        <v>23.333333333333332</v>
      </c>
      <c r="BV95" s="224">
        <f t="shared" si="706"/>
        <v>35</v>
      </c>
      <c r="BW95" s="237">
        <f t="shared" si="707"/>
        <v>2432</v>
      </c>
      <c r="BX95" s="234">
        <f>BL95*BM95*INslave+BL95*KLslave_KL*BN95+MUslave*BM95*BN95</f>
        <v>3408</v>
      </c>
      <c r="BY95" s="224">
        <f t="shared" si="708"/>
        <v>1584</v>
      </c>
      <c r="BZ95" s="242">
        <f t="shared" si="709"/>
        <v>7424</v>
      </c>
      <c r="CA95" s="222">
        <f t="shared" si="710"/>
        <v>3.8218390804597702</v>
      </c>
      <c r="CB95" s="223">
        <f t="shared" si="711"/>
        <v>10.711206896551724</v>
      </c>
      <c r="CC95" s="243">
        <f t="shared" si="712"/>
        <v>7.4676724137931032</v>
      </c>
      <c r="CD95" s="243">
        <f t="shared" si="713"/>
        <v>22.000718390804597</v>
      </c>
      <c r="CE95" s="252">
        <f t="shared" si="662"/>
        <v>0</v>
      </c>
      <c r="CF95" s="309">
        <f t="shared" si="714"/>
        <v>22.000718390804597</v>
      </c>
      <c r="CG95" s="218">
        <f>IF(CD95&lt;=0,1,0)+IF(CD95&gt;0,CD95+1,0)*1+IF(CD95&gt;12,CD95-12,0)*1+IF(CD95&gt;13,CD95-13,0)*1+IF(CD95&gt;14,CD95-14,0)*1+IF(CD95&gt;15,CD95-15,0)*1+IF(CD95&gt;16,CD95-16,0)*1+IF(CD95&gt;17,CD95-17,0)*1+IF(CD95&gt;18,CD95-18,0)*1+IF(CD95&gt;19,CD95-19,0)*1+IF(CD95&gt;20,CD95-20,0)*1</f>
        <v>77.007183908045945</v>
      </c>
      <c r="CH95" s="242">
        <f>IF(CE95&lt;=0,1,0)+IF(CE95&gt;0,CE95+1,0)*1+IF(CE95&gt;12,CE95-12,0)*1+IF(CE95&gt;13,CE95-13,0)*1+IF(CE95&gt;14,CE95-14,0)*1+IF(CE95&gt;15,CE95-15,0)*1+IF(CE95&gt;16,CE95-16,0)*1+IF(CE95&gt;17,CE95-17,0)*1+IF(CE95&gt;18,CE95-18,0)*1+IF(CE95&gt;19,CE95-19,0)*1+IF(CE95&gt;20,CE95-20,0)*1</f>
        <v>1</v>
      </c>
      <c r="CI95" s="243">
        <f t="shared" si="715"/>
        <v>76.007183908045945</v>
      </c>
      <c r="CJ95" s="218">
        <f t="shared" si="716"/>
        <v>0</v>
      </c>
      <c r="CL95" s="303" t="s">
        <v>210</v>
      </c>
      <c r="CM95" s="218" t="s">
        <v>95</v>
      </c>
      <c r="CN95" s="243" t="s">
        <v>133</v>
      </c>
      <c r="CO95" s="237">
        <f>Konvention_1slave-MUslave</f>
        <v>12</v>
      </c>
      <c r="CP95" s="234">
        <f t="shared" si="806"/>
        <v>12</v>
      </c>
      <c r="CQ95" s="234">
        <f>Konvention_1slave-INslave_IN</f>
        <v>11</v>
      </c>
      <c r="CR95" s="234"/>
      <c r="CS95" s="234"/>
      <c r="CT95" s="234"/>
      <c r="CU95" s="234"/>
      <c r="CV95" s="224"/>
      <c r="CW95" s="222">
        <f t="shared" si="717"/>
        <v>11.666666666666666</v>
      </c>
      <c r="CX95" s="223">
        <f t="shared" si="718"/>
        <v>23.333333333333332</v>
      </c>
      <c r="CY95" s="224">
        <f t="shared" si="719"/>
        <v>35</v>
      </c>
      <c r="CZ95" s="237">
        <f t="shared" si="720"/>
        <v>2432</v>
      </c>
      <c r="DA95" s="234">
        <f>CO95*CP95*INslave_IN+CO95*KLslave*CQ95+MUslave*CP95*CQ95</f>
        <v>3408</v>
      </c>
      <c r="DB95" s="224">
        <f t="shared" si="721"/>
        <v>1584</v>
      </c>
      <c r="DC95" s="242">
        <f t="shared" si="722"/>
        <v>7424</v>
      </c>
      <c r="DD95" s="222">
        <f t="shared" si="723"/>
        <v>3.8218390804597702</v>
      </c>
      <c r="DE95" s="223">
        <f t="shared" si="724"/>
        <v>10.711206896551724</v>
      </c>
      <c r="DF95" s="243">
        <f t="shared" si="725"/>
        <v>7.4676724137931032</v>
      </c>
      <c r="DG95" s="243">
        <f t="shared" si="726"/>
        <v>22.000718390804597</v>
      </c>
      <c r="DH95" s="252">
        <f t="shared" si="663"/>
        <v>0</v>
      </c>
      <c r="DI95" s="309">
        <f t="shared" si="727"/>
        <v>22.000718390804597</v>
      </c>
      <c r="DJ95" s="218">
        <f>IF(DG95&lt;=0,1,0)+IF(DG95&gt;0,DG95+1,0)*1+IF(DG95&gt;12,DG95-12,0)*1+IF(DG95&gt;13,DG95-13,0)*1+IF(DG95&gt;14,DG95-14,0)*1+IF(DG95&gt;15,DG95-15,0)*1+IF(DG95&gt;16,DG95-16,0)*1+IF(DG95&gt;17,DG95-17,0)*1+IF(DG95&gt;18,DG95-18,0)*1+IF(DG95&gt;19,DG95-19,0)*1+IF(DG95&gt;20,DG95-20,0)*1</f>
        <v>77.007183908045945</v>
      </c>
      <c r="DK95" s="242">
        <f>IF(DH95&lt;=0,1,0)+IF(DH95&gt;0,DH95+1,0)*1+IF(DH95&gt;12,DH95-12,0)*1+IF(DH95&gt;13,DH95-13,0)*1+IF(DH95&gt;14,DH95-14,0)*1+IF(DH95&gt;15,DH95-15,0)*1+IF(DH95&gt;16,DH95-16,0)*1+IF(DH95&gt;17,DH95-17,0)*1+IF(DH95&gt;18,DH95-18,0)*1+IF(DH95&gt;19,DH95-19,0)*1+IF(DH95&gt;20,DH95-20,0)*1</f>
        <v>1</v>
      </c>
      <c r="DL95" s="243">
        <f t="shared" si="728"/>
        <v>76.007183908045945</v>
      </c>
      <c r="DM95" s="218">
        <f t="shared" si="729"/>
        <v>0</v>
      </c>
      <c r="DO95" s="303" t="s">
        <v>210</v>
      </c>
      <c r="DP95" s="218" t="s">
        <v>95</v>
      </c>
      <c r="DQ95" s="243" t="s">
        <v>133</v>
      </c>
      <c r="DR95" s="237">
        <f>Konvention_1slave-MUslave</f>
        <v>12</v>
      </c>
      <c r="DS95" s="234">
        <f t="shared" si="807"/>
        <v>12</v>
      </c>
      <c r="DT95" s="234">
        <f>Konvention_1slave-INslave</f>
        <v>12</v>
      </c>
      <c r="DU95" s="234"/>
      <c r="DV95" s="234"/>
      <c r="DW95" s="234"/>
      <c r="DX95" s="234"/>
      <c r="DY95" s="224"/>
      <c r="DZ95" s="222">
        <f t="shared" si="730"/>
        <v>12</v>
      </c>
      <c r="EA95" s="223">
        <f t="shared" si="731"/>
        <v>24</v>
      </c>
      <c r="EB95" s="224">
        <f t="shared" si="732"/>
        <v>36</v>
      </c>
      <c r="EC95" s="237">
        <f t="shared" si="733"/>
        <v>2304</v>
      </c>
      <c r="ED95" s="234">
        <f>DR95*DS95*INslave+DR95*KLslave*DT95+MUslave*DS95*DT95</f>
        <v>3456</v>
      </c>
      <c r="EE95" s="224">
        <f t="shared" si="734"/>
        <v>1728</v>
      </c>
      <c r="EF95" s="242">
        <f t="shared" si="735"/>
        <v>7488</v>
      </c>
      <c r="EG95" s="222">
        <f t="shared" si="736"/>
        <v>3.6923076923076925</v>
      </c>
      <c r="EH95" s="223">
        <f t="shared" si="737"/>
        <v>11.076923076923077</v>
      </c>
      <c r="EI95" s="243">
        <f t="shared" si="738"/>
        <v>8.3076923076923084</v>
      </c>
      <c r="EJ95" s="243">
        <f t="shared" si="739"/>
        <v>23.07692307692308</v>
      </c>
      <c r="EK95" s="252">
        <f t="shared" si="664"/>
        <v>0</v>
      </c>
      <c r="EL95" s="309">
        <f t="shared" si="740"/>
        <v>23.07692307692308</v>
      </c>
      <c r="EM95" s="218">
        <f>IF(EJ95&lt;=0,1,0)+IF(EJ95&gt;0,EJ95+1,0)*1+IF(EJ95&gt;12,EJ95-12,0)*1+IF(EJ95&gt;13,EJ95-13,0)*1+IF(EJ95&gt;14,EJ95-14,0)*1+IF(EJ95&gt;15,EJ95-15,0)*1+IF(EJ95&gt;16,EJ95-16,0)*1+IF(EJ95&gt;17,EJ95-17,0)*1+IF(EJ95&gt;18,EJ95-18,0)*1+IF(EJ95&gt;19,EJ95-19,0)*1+IF(EJ95&gt;20,EJ95-20,0)*1</f>
        <v>87.769230769230802</v>
      </c>
      <c r="EN95" s="242">
        <f>IF(EK95&lt;=0,1,0)+IF(EK95&gt;0,EK95+1,0)*1+IF(EK95&gt;12,EK95-12,0)*1+IF(EK95&gt;13,EK95-13,0)*1+IF(EK95&gt;14,EK95-14,0)*1+IF(EK95&gt;15,EK95-15,0)*1+IF(EK95&gt;16,EK95-16,0)*1+IF(EK95&gt;17,EK95-17,0)*1+IF(EK95&gt;18,EK95-18,0)*1+IF(EK95&gt;19,EK95-19,0)*1+IF(EK95&gt;20,EK95-20,0)*1</f>
        <v>1</v>
      </c>
      <c r="EO95" s="243">
        <f t="shared" si="741"/>
        <v>86.769230769230802</v>
      </c>
      <c r="EP95" s="218">
        <f t="shared" si="742"/>
        <v>0</v>
      </c>
      <c r="ER95" s="303" t="s">
        <v>210</v>
      </c>
      <c r="ES95" s="218" t="s">
        <v>95</v>
      </c>
      <c r="ET95" s="243" t="s">
        <v>133</v>
      </c>
      <c r="EU95" s="237">
        <f>Konvention_1slave-MUslave</f>
        <v>12</v>
      </c>
      <c r="EV95" s="234">
        <f t="shared" si="808"/>
        <v>12</v>
      </c>
      <c r="EW95" s="234">
        <f>Konvention_1slave-INslave</f>
        <v>12</v>
      </c>
      <c r="EX95" s="234"/>
      <c r="EY95" s="234"/>
      <c r="EZ95" s="234"/>
      <c r="FA95" s="234"/>
      <c r="FB95" s="224"/>
      <c r="FC95" s="222">
        <f t="shared" si="743"/>
        <v>12</v>
      </c>
      <c r="FD95" s="223">
        <f t="shared" si="744"/>
        <v>24</v>
      </c>
      <c r="FE95" s="224">
        <f t="shared" si="745"/>
        <v>36</v>
      </c>
      <c r="FF95" s="237">
        <f t="shared" si="746"/>
        <v>2304</v>
      </c>
      <c r="FG95" s="234">
        <f>EU95*EV95*INslave+EU95*KLslave*EW95+MUslave*EV95*EW95</f>
        <v>3456</v>
      </c>
      <c r="FH95" s="224">
        <f t="shared" si="747"/>
        <v>1728</v>
      </c>
      <c r="FI95" s="242">
        <f t="shared" si="748"/>
        <v>7488</v>
      </c>
      <c r="FJ95" s="222">
        <f t="shared" si="749"/>
        <v>3.6923076923076925</v>
      </c>
      <c r="FK95" s="223">
        <f t="shared" si="750"/>
        <v>11.076923076923077</v>
      </c>
      <c r="FL95" s="243">
        <f t="shared" si="751"/>
        <v>8.3076923076923084</v>
      </c>
      <c r="FM95" s="243">
        <f t="shared" si="752"/>
        <v>23.07692307692308</v>
      </c>
      <c r="FN95" s="252">
        <f t="shared" si="665"/>
        <v>0</v>
      </c>
      <c r="FO95" s="309">
        <f t="shared" si="753"/>
        <v>23.07692307692308</v>
      </c>
      <c r="FP95" s="218">
        <f>IF(FM95&lt;=0,1,0)+IF(FM95&gt;0,FM95+1,0)*1+IF(FM95&gt;12,FM95-12,0)*1+IF(FM95&gt;13,FM95-13,0)*1+IF(FM95&gt;14,FM95-14,0)*1+IF(FM95&gt;15,FM95-15,0)*1+IF(FM95&gt;16,FM95-16,0)*1+IF(FM95&gt;17,FM95-17,0)*1+IF(FM95&gt;18,FM95-18,0)*1+IF(FM95&gt;19,FM95-19,0)*1+IF(FM95&gt;20,FM95-20,0)*1</f>
        <v>87.769230769230802</v>
      </c>
      <c r="FQ95" s="242">
        <f>IF(FN95&lt;=0,1,0)+IF(FN95&gt;0,FN95+1,0)*1+IF(FN95&gt;12,FN95-12,0)*1+IF(FN95&gt;13,FN95-13,0)*1+IF(FN95&gt;14,FN95-14,0)*1+IF(FN95&gt;15,FN95-15,0)*1+IF(FN95&gt;16,FN95-16,0)*1+IF(FN95&gt;17,FN95-17,0)*1+IF(FN95&gt;18,FN95-18,0)*1+IF(FN95&gt;19,FN95-19,0)*1+IF(FN95&gt;20,FN95-20,0)*1</f>
        <v>1</v>
      </c>
      <c r="FR95" s="243">
        <f t="shared" si="754"/>
        <v>86.769230769230802</v>
      </c>
      <c r="FS95" s="218">
        <f t="shared" si="755"/>
        <v>0</v>
      </c>
      <c r="FU95" s="303" t="s">
        <v>210</v>
      </c>
      <c r="FV95" s="218" t="s">
        <v>95</v>
      </c>
      <c r="FW95" s="243" t="s">
        <v>133</v>
      </c>
      <c r="FX95" s="237">
        <f>Konvention_1slave-MUslave</f>
        <v>12</v>
      </c>
      <c r="FY95" s="234">
        <f t="shared" si="809"/>
        <v>12</v>
      </c>
      <c r="FZ95" s="234">
        <f>Konvention_1slave-INslave</f>
        <v>12</v>
      </c>
      <c r="GA95" s="234"/>
      <c r="GB95" s="234"/>
      <c r="GC95" s="234"/>
      <c r="GD95" s="234"/>
      <c r="GE95" s="224"/>
      <c r="GF95" s="222">
        <f t="shared" si="756"/>
        <v>12</v>
      </c>
      <c r="GG95" s="223">
        <f t="shared" si="757"/>
        <v>24</v>
      </c>
      <c r="GH95" s="224">
        <f t="shared" si="758"/>
        <v>36</v>
      </c>
      <c r="GI95" s="237">
        <f t="shared" si="759"/>
        <v>2304</v>
      </c>
      <c r="GJ95" s="234">
        <f>FX95*FY95*INslave+FX95*KLslave*FZ95+MUslave*FY95*FZ95</f>
        <v>3456</v>
      </c>
      <c r="GK95" s="224">
        <f t="shared" si="760"/>
        <v>1728</v>
      </c>
      <c r="GL95" s="242">
        <f t="shared" si="761"/>
        <v>7488</v>
      </c>
      <c r="GM95" s="222">
        <f t="shared" si="762"/>
        <v>3.6923076923076925</v>
      </c>
      <c r="GN95" s="223">
        <f t="shared" si="763"/>
        <v>11.076923076923077</v>
      </c>
      <c r="GO95" s="243">
        <f t="shared" si="764"/>
        <v>8.3076923076923084</v>
      </c>
      <c r="GP95" s="243">
        <f t="shared" si="765"/>
        <v>23.07692307692308</v>
      </c>
      <c r="GQ95" s="252">
        <f t="shared" si="666"/>
        <v>0</v>
      </c>
      <c r="GR95" s="309">
        <f t="shared" si="766"/>
        <v>23.07692307692308</v>
      </c>
      <c r="GS95" s="218">
        <f>IF(GP95&lt;=0,1,0)+IF(GP95&gt;0,GP95+1,0)*1+IF(GP95&gt;12,GP95-12,0)*1+IF(GP95&gt;13,GP95-13,0)*1+IF(GP95&gt;14,GP95-14,0)*1+IF(GP95&gt;15,GP95-15,0)*1+IF(GP95&gt;16,GP95-16,0)*1+IF(GP95&gt;17,GP95-17,0)*1+IF(GP95&gt;18,GP95-18,0)*1+IF(GP95&gt;19,GP95-19,0)*1+IF(GP95&gt;20,GP95-20,0)*1</f>
        <v>87.769230769230802</v>
      </c>
      <c r="GT95" s="242">
        <f>IF(GQ95&lt;=0,1,0)+IF(GQ95&gt;0,GQ95+1,0)*1+IF(GQ95&gt;12,GQ95-12,0)*1+IF(GQ95&gt;13,GQ95-13,0)*1+IF(GQ95&gt;14,GQ95-14,0)*1+IF(GQ95&gt;15,GQ95-15,0)*1+IF(GQ95&gt;16,GQ95-16,0)*1+IF(GQ95&gt;17,GQ95-17,0)*1+IF(GQ95&gt;18,GQ95-18,0)*1+IF(GQ95&gt;19,GQ95-19,0)*1+IF(GQ95&gt;20,GQ95-20,0)*1</f>
        <v>1</v>
      </c>
      <c r="GU95" s="243">
        <f t="shared" si="767"/>
        <v>86.769230769230802</v>
      </c>
      <c r="GV95" s="218">
        <f t="shared" si="768"/>
        <v>0</v>
      </c>
      <c r="GX95" s="303" t="s">
        <v>210</v>
      </c>
      <c r="GY95" s="218" t="s">
        <v>95</v>
      </c>
      <c r="GZ95" s="243" t="s">
        <v>133</v>
      </c>
      <c r="HA95" s="237">
        <f>Konvention_1slave-MUslave</f>
        <v>12</v>
      </c>
      <c r="HB95" s="234">
        <f t="shared" si="810"/>
        <v>12</v>
      </c>
      <c r="HC95" s="234">
        <f>Konvention_1slave-INslave</f>
        <v>12</v>
      </c>
      <c r="HD95" s="234"/>
      <c r="HE95" s="234"/>
      <c r="HF95" s="234"/>
      <c r="HG95" s="234"/>
      <c r="HH95" s="224"/>
      <c r="HI95" s="222">
        <f t="shared" si="769"/>
        <v>12</v>
      </c>
      <c r="HJ95" s="223">
        <f t="shared" si="770"/>
        <v>24</v>
      </c>
      <c r="HK95" s="224">
        <f t="shared" si="771"/>
        <v>36</v>
      </c>
      <c r="HL95" s="237">
        <f t="shared" si="772"/>
        <v>2304</v>
      </c>
      <c r="HM95" s="234">
        <f>HA95*HB95*INslave+HA95*KLslave*HC95+MUslave*HB95*HC95</f>
        <v>3456</v>
      </c>
      <c r="HN95" s="224">
        <f t="shared" si="773"/>
        <v>1728</v>
      </c>
      <c r="HO95" s="242">
        <f t="shared" si="774"/>
        <v>7488</v>
      </c>
      <c r="HP95" s="222">
        <f t="shared" si="775"/>
        <v>3.6923076923076925</v>
      </c>
      <c r="HQ95" s="223">
        <f t="shared" si="776"/>
        <v>11.076923076923077</v>
      </c>
      <c r="HR95" s="243">
        <f t="shared" si="777"/>
        <v>8.3076923076923084</v>
      </c>
      <c r="HS95" s="243">
        <f t="shared" si="778"/>
        <v>23.07692307692308</v>
      </c>
      <c r="HT95" s="252">
        <f t="shared" si="667"/>
        <v>0</v>
      </c>
      <c r="HU95" s="309">
        <f t="shared" si="779"/>
        <v>23.07692307692308</v>
      </c>
      <c r="HV95" s="218">
        <f>IF(HS95&lt;=0,1,0)+IF(HS95&gt;0,HS95+1,0)*1+IF(HS95&gt;12,HS95-12,0)*1+IF(HS95&gt;13,HS95-13,0)*1+IF(HS95&gt;14,HS95-14,0)*1+IF(HS95&gt;15,HS95-15,0)*1+IF(HS95&gt;16,HS95-16,0)*1+IF(HS95&gt;17,HS95-17,0)*1+IF(HS95&gt;18,HS95-18,0)*1+IF(HS95&gt;19,HS95-19,0)*1+IF(HS95&gt;20,HS95-20,0)*1</f>
        <v>87.769230769230802</v>
      </c>
      <c r="HW95" s="242">
        <f>IF(HT95&lt;=0,1,0)+IF(HT95&gt;0,HT95+1,0)*1+IF(HT95&gt;12,HT95-12,0)*1+IF(HT95&gt;13,HT95-13,0)*1+IF(HT95&gt;14,HT95-14,0)*1+IF(HT95&gt;15,HT95-15,0)*1+IF(HT95&gt;16,HT95-16,0)*1+IF(HT95&gt;17,HT95-17,0)*1+IF(HT95&gt;18,HT95-18,0)*1+IF(HT95&gt;19,HT95-19,0)*1+IF(HT95&gt;20,HT95-20,0)*1</f>
        <v>1</v>
      </c>
      <c r="HX95" s="243">
        <f t="shared" si="780"/>
        <v>86.769230769230802</v>
      </c>
      <c r="HY95" s="218">
        <f t="shared" si="781"/>
        <v>0</v>
      </c>
      <c r="IA95" s="303" t="s">
        <v>210</v>
      </c>
      <c r="IB95" s="218" t="s">
        <v>95</v>
      </c>
      <c r="IC95" s="243" t="s">
        <v>133</v>
      </c>
      <c r="ID95" s="237">
        <f>Konvention_1slave-MUslave</f>
        <v>12</v>
      </c>
      <c r="IE95" s="234">
        <f t="shared" si="811"/>
        <v>12</v>
      </c>
      <c r="IF95" s="234">
        <f>Konvention_1slave-INslave</f>
        <v>12</v>
      </c>
      <c r="IG95" s="234"/>
      <c r="IH95" s="234"/>
      <c r="II95" s="234"/>
      <c r="IJ95" s="234"/>
      <c r="IK95" s="224"/>
      <c r="IL95" s="222">
        <f t="shared" si="782"/>
        <v>12</v>
      </c>
      <c r="IM95" s="223">
        <f t="shared" si="783"/>
        <v>24</v>
      </c>
      <c r="IN95" s="224">
        <f t="shared" si="784"/>
        <v>36</v>
      </c>
      <c r="IO95" s="237">
        <f t="shared" si="785"/>
        <v>2304</v>
      </c>
      <c r="IP95" s="234">
        <f>ID95*IE95*INslave+ID95*KLslave*IF95+MUslave*IE95*IF95</f>
        <v>3456</v>
      </c>
      <c r="IQ95" s="224">
        <f t="shared" si="786"/>
        <v>1728</v>
      </c>
      <c r="IR95" s="242">
        <f t="shared" si="787"/>
        <v>7488</v>
      </c>
      <c r="IS95" s="222">
        <f t="shared" si="788"/>
        <v>3.6923076923076925</v>
      </c>
      <c r="IT95" s="223">
        <f t="shared" si="789"/>
        <v>11.076923076923077</v>
      </c>
      <c r="IU95" s="243">
        <f t="shared" si="790"/>
        <v>8.3076923076923084</v>
      </c>
      <c r="IV95" s="243">
        <f t="shared" si="791"/>
        <v>23.07692307692308</v>
      </c>
      <c r="IW95" s="252">
        <f t="shared" si="668"/>
        <v>0</v>
      </c>
      <c r="IX95" s="309">
        <f t="shared" si="792"/>
        <v>23.07692307692308</v>
      </c>
      <c r="IY95" s="218">
        <f>IF(IV95&lt;=0,1,0)+IF(IV95&gt;0,IV95+1,0)*1+IF(IV95&gt;12,IV95-12,0)*1+IF(IV95&gt;13,IV95-13,0)*1+IF(IV95&gt;14,IV95-14,0)*1+IF(IV95&gt;15,IV95-15,0)*1+IF(IV95&gt;16,IV95-16,0)*1+IF(IV95&gt;17,IV95-17,0)*1+IF(IV95&gt;18,IV95-18,0)*1+IF(IV95&gt;19,IV95-19,0)*1+IF(IV95&gt;20,IV95-20,0)*1</f>
        <v>87.769230769230802</v>
      </c>
      <c r="IZ95" s="242">
        <f>IF(IW95&lt;=0,1,0)+IF(IW95&gt;0,IW95+1,0)*1+IF(IW95&gt;12,IW95-12,0)*1+IF(IW95&gt;13,IW95-13,0)*1+IF(IW95&gt;14,IW95-14,0)*1+IF(IW95&gt;15,IW95-15,0)*1+IF(IW95&gt;16,IW95-16,0)*1+IF(IW95&gt;17,IW95-17,0)*1+IF(IW95&gt;18,IW95-18,0)*1+IF(IW95&gt;19,IW95-19,0)*1+IF(IW95&gt;20,IW95-20,0)*1</f>
        <v>1</v>
      </c>
      <c r="JA95" s="243">
        <f t="shared" si="793"/>
        <v>86.769230769230802</v>
      </c>
      <c r="JB95" s="218">
        <f t="shared" si="794"/>
        <v>0</v>
      </c>
      <c r="JE95" s="148"/>
    </row>
    <row r="96" spans="2:265" ht="15" hidden="1" customHeight="1" outlineLevel="2">
      <c r="B96" s="148">
        <v>19</v>
      </c>
      <c r="C96" s="303" t="e">
        <f>VLOOKUP(AF96,Attribute!C:T,1,FALSE)</f>
        <v>#N/A</v>
      </c>
      <c r="D96" s="125" t="s">
        <v>170</v>
      </c>
      <c r="E96" s="127" t="s">
        <v>132</v>
      </c>
      <c r="F96" s="114"/>
      <c r="G96" s="113">
        <f t="shared" si="804"/>
        <v>12</v>
      </c>
      <c r="H96" s="113">
        <f>Konvention_1master-INmaster</f>
        <v>12</v>
      </c>
      <c r="I96" s="113"/>
      <c r="J96" s="113">
        <f>Konvention_1master-FFmaster</f>
        <v>12</v>
      </c>
      <c r="K96" s="113"/>
      <c r="L96" s="113"/>
      <c r="M96" s="119"/>
      <c r="N96" s="222">
        <f t="shared" si="678"/>
        <v>12</v>
      </c>
      <c r="O96" s="223">
        <f t="shared" si="679"/>
        <v>24</v>
      </c>
      <c r="P96" s="224">
        <f t="shared" si="680"/>
        <v>36</v>
      </c>
      <c r="Q96" s="237">
        <f t="shared" si="681"/>
        <v>2304</v>
      </c>
      <c r="R96" s="113">
        <f>G96*H96*FFmaster+G96*INmaster*J96+KLmaster*H96*J96</f>
        <v>3456</v>
      </c>
      <c r="S96" s="224">
        <f t="shared" si="682"/>
        <v>1728</v>
      </c>
      <c r="T96" s="242">
        <f t="shared" si="683"/>
        <v>7488</v>
      </c>
      <c r="U96" s="222">
        <f t="shared" si="684"/>
        <v>3.6923076923076925</v>
      </c>
      <c r="V96" s="223">
        <f t="shared" si="685"/>
        <v>11.076923076923077</v>
      </c>
      <c r="W96" s="243">
        <f t="shared" si="686"/>
        <v>8.3076923076923084</v>
      </c>
      <c r="X96" s="243">
        <f t="shared" si="687"/>
        <v>23.07692307692308</v>
      </c>
      <c r="Y96" s="252">
        <v>0</v>
      </c>
      <c r="Z96" s="198">
        <f t="shared" si="688"/>
        <v>23.07692307692308</v>
      </c>
      <c r="AA96" s="125">
        <f>IF(X96&lt;=0,2,0)+IF(X96&gt;0,X96+1,0)*2+IF(X96&gt;12,X96-12,0)*2+IF(X96&gt;13,X96-13,0)*2+IF(X96&gt;14,X96-14,0)*2+IF(X96&gt;15,X96-15,0)*2+IF(X96&gt;16,X96-16,0)*2+IF(X96&gt;17,X96-17,0)*2+IF(X96&gt;18,X96-18,0)*2+IF(X96&gt;19,X96-19,0)*2+IF(X96&gt;20,X96-20,0)*2</f>
        <v>175.5384615384616</v>
      </c>
      <c r="AB96" s="160">
        <f>IF(Y96&lt;=0,2,0)+IF(Y96&gt;0,Y96+1,0)*2+IF(Y96&gt;12,Y96-12,0)*2+IF(Y96&gt;13,Y96-13,0)*2+IF(Y96&gt;14,Y96-14,0)*2+IF(Y96&gt;15,Y96-15,0)*2+IF(Y96&gt;16,Y96-16,0)*2+IF(Y96&gt;17,Y96-17,0)*2+IF(Y96&gt;18,Y96-18,0)*2+IF(Y96&gt;19,Y96-19,0)*2+IF(Y96&gt;20,Y96-20,0)*2</f>
        <v>2</v>
      </c>
      <c r="AC96" s="127">
        <f t="shared" si="689"/>
        <v>173.5384615384616</v>
      </c>
      <c r="AD96" s="125">
        <f t="shared" si="690"/>
        <v>0</v>
      </c>
      <c r="AF96" s="163" t="s">
        <v>213</v>
      </c>
      <c r="AG96" s="125" t="s">
        <v>170</v>
      </c>
      <c r="AH96" s="127" t="s">
        <v>132</v>
      </c>
      <c r="AI96" s="114"/>
      <c r="AJ96" s="113">
        <f t="shared" si="805"/>
        <v>12</v>
      </c>
      <c r="AK96" s="113">
        <f>Konvention_1slave-INslave</f>
        <v>12</v>
      </c>
      <c r="AL96" s="113"/>
      <c r="AM96" s="113">
        <f>Konvention_1slave-FFslave</f>
        <v>12</v>
      </c>
      <c r="AN96" s="113"/>
      <c r="AO96" s="113"/>
      <c r="AP96" s="119"/>
      <c r="AQ96" s="89">
        <f t="shared" si="691"/>
        <v>12</v>
      </c>
      <c r="AR96" s="47">
        <f t="shared" si="692"/>
        <v>24</v>
      </c>
      <c r="AS96" s="119">
        <f t="shared" si="693"/>
        <v>36</v>
      </c>
      <c r="AT96" s="114">
        <f t="shared" si="694"/>
        <v>2304</v>
      </c>
      <c r="AU96" s="113">
        <f>AJ96*AK96*FFslave+AJ96*INslave*AM96+KLslave*AK96*AM96</f>
        <v>3456</v>
      </c>
      <c r="AV96" s="119">
        <f t="shared" si="695"/>
        <v>1728</v>
      </c>
      <c r="AW96" s="160">
        <f t="shared" si="696"/>
        <v>7488</v>
      </c>
      <c r="AX96" s="89">
        <f t="shared" si="697"/>
        <v>3.6923076923076925</v>
      </c>
      <c r="AY96" s="47">
        <f t="shared" si="698"/>
        <v>11.076923076923077</v>
      </c>
      <c r="AZ96" s="127">
        <f t="shared" si="699"/>
        <v>8.3076923076923084</v>
      </c>
      <c r="BA96" s="127">
        <f t="shared" si="700"/>
        <v>23.07692307692308</v>
      </c>
      <c r="BB96" s="165">
        <f t="shared" si="661"/>
        <v>0</v>
      </c>
      <c r="BC96" s="198">
        <f t="shared" si="701"/>
        <v>23.07692307692308</v>
      </c>
      <c r="BD96" s="125">
        <f>IF(BA96&lt;=0,2,0)+IF(BA96&gt;0,BA96+1,0)*2+IF(BA96&gt;12,BA96-12,0)*2+IF(BA96&gt;13,BA96-13,0)*2+IF(BA96&gt;14,BA96-14,0)*2+IF(BA96&gt;15,BA96-15,0)*2+IF(BA96&gt;16,BA96-16,0)*2+IF(BA96&gt;17,BA96-17,0)*2+IF(BA96&gt;18,BA96-18,0)*2+IF(BA96&gt;19,BA96-19,0)*2+IF(BA96&gt;20,BA96-20,0)*2</f>
        <v>175.5384615384616</v>
      </c>
      <c r="BE96" s="160">
        <f>IF(BB96&lt;=0,2,0)+IF(BB96&gt;0,BB96+1,0)*2+IF(BB96&gt;12,BB96-12,0)*2+IF(BB96&gt;13,BB96-13,0)*2+IF(BB96&gt;14,BB96-14,0)*2+IF(BB96&gt;15,BB96-15,0)*2+IF(BB96&gt;16,BB96-16,0)*2+IF(BB96&gt;17,BB96-17,0)*2+IF(BB96&gt;18,BB96-18,0)*2+IF(BB96&gt;19,BB96-19,0)*2+IF(BB96&gt;20,BB96-20,0)*2</f>
        <v>2</v>
      </c>
      <c r="BF96" s="243">
        <f t="shared" si="702"/>
        <v>173.5384615384616</v>
      </c>
      <c r="BG96" s="218">
        <f t="shared" si="703"/>
        <v>0</v>
      </c>
      <c r="BI96" s="303" t="s">
        <v>213</v>
      </c>
      <c r="BJ96" s="218" t="s">
        <v>170</v>
      </c>
      <c r="BK96" s="243" t="s">
        <v>132</v>
      </c>
      <c r="BL96" s="237"/>
      <c r="BM96" s="234">
        <f t="shared" si="812"/>
        <v>11</v>
      </c>
      <c r="BN96" s="234">
        <f>Konvention_1slave-INslave</f>
        <v>12</v>
      </c>
      <c r="BO96" s="234"/>
      <c r="BP96" s="234">
        <f>Konvention_1slave-FFslave</f>
        <v>12</v>
      </c>
      <c r="BQ96" s="234"/>
      <c r="BR96" s="234"/>
      <c r="BS96" s="224"/>
      <c r="BT96" s="222">
        <f t="shared" si="704"/>
        <v>11.666666666666666</v>
      </c>
      <c r="BU96" s="223">
        <f t="shared" si="705"/>
        <v>23.333333333333332</v>
      </c>
      <c r="BV96" s="224">
        <f t="shared" si="706"/>
        <v>35</v>
      </c>
      <c r="BW96" s="237">
        <f t="shared" si="707"/>
        <v>2432</v>
      </c>
      <c r="BX96" s="234">
        <f>BM96*BN96*FFslave+BM96*INslave*BP96+KLslave_KL*BN96*BP96</f>
        <v>3408</v>
      </c>
      <c r="BY96" s="224">
        <f t="shared" si="708"/>
        <v>1584</v>
      </c>
      <c r="BZ96" s="242">
        <f t="shared" si="709"/>
        <v>7424</v>
      </c>
      <c r="CA96" s="222">
        <f t="shared" si="710"/>
        <v>3.8218390804597702</v>
      </c>
      <c r="CB96" s="223">
        <f t="shared" si="711"/>
        <v>10.711206896551724</v>
      </c>
      <c r="CC96" s="243">
        <f t="shared" si="712"/>
        <v>7.4676724137931032</v>
      </c>
      <c r="CD96" s="243">
        <f t="shared" si="713"/>
        <v>22.000718390804597</v>
      </c>
      <c r="CE96" s="252">
        <f t="shared" si="662"/>
        <v>0</v>
      </c>
      <c r="CF96" s="309">
        <f t="shared" si="714"/>
        <v>22.000718390804597</v>
      </c>
      <c r="CG96" s="218">
        <f>IF(CD96&lt;=0,2,0)+IF(CD96&gt;0,CD96+1,0)*2+IF(CD96&gt;12,CD96-12,0)*2+IF(CD96&gt;13,CD96-13,0)*2+IF(CD96&gt;14,CD96-14,0)*2+IF(CD96&gt;15,CD96-15,0)*2+IF(CD96&gt;16,CD96-16,0)*2+IF(CD96&gt;17,CD96-17,0)*2+IF(CD96&gt;18,CD96-18,0)*2+IF(CD96&gt;19,CD96-19,0)*2+IF(CD96&gt;20,CD96-20,0)*2</f>
        <v>154.01436781609189</v>
      </c>
      <c r="CH96" s="242">
        <f>IF(CE96&lt;=0,2,0)+IF(CE96&gt;0,CE96+1,0)*2+IF(CE96&gt;12,CE96-12,0)*2+IF(CE96&gt;13,CE96-13,0)*2+IF(CE96&gt;14,CE96-14,0)*2+IF(CE96&gt;15,CE96-15,0)*2+IF(CE96&gt;16,CE96-16,0)*2+IF(CE96&gt;17,CE96-17,0)*2+IF(CE96&gt;18,CE96-18,0)*2+IF(CE96&gt;19,CE96-19,0)*2+IF(CE96&gt;20,CE96-20,0)*2</f>
        <v>2</v>
      </c>
      <c r="CI96" s="243">
        <f t="shared" si="715"/>
        <v>152.01436781609189</v>
      </c>
      <c r="CJ96" s="218">
        <f t="shared" si="716"/>
        <v>0</v>
      </c>
      <c r="CL96" s="303" t="s">
        <v>213</v>
      </c>
      <c r="CM96" s="218" t="s">
        <v>170</v>
      </c>
      <c r="CN96" s="243" t="s">
        <v>132</v>
      </c>
      <c r="CO96" s="237"/>
      <c r="CP96" s="234">
        <f t="shared" si="806"/>
        <v>12</v>
      </c>
      <c r="CQ96" s="234">
        <f>Konvention_1slave-INslave_IN</f>
        <v>11</v>
      </c>
      <c r="CR96" s="234"/>
      <c r="CS96" s="234">
        <f>Konvention_1slave-FFslave</f>
        <v>12</v>
      </c>
      <c r="CT96" s="234"/>
      <c r="CU96" s="234"/>
      <c r="CV96" s="224"/>
      <c r="CW96" s="222">
        <f t="shared" si="717"/>
        <v>11.666666666666666</v>
      </c>
      <c r="CX96" s="223">
        <f t="shared" si="718"/>
        <v>23.333333333333332</v>
      </c>
      <c r="CY96" s="224">
        <f t="shared" si="719"/>
        <v>35</v>
      </c>
      <c r="CZ96" s="237">
        <f t="shared" si="720"/>
        <v>2432</v>
      </c>
      <c r="DA96" s="234">
        <f>CP96*CQ96*FFslave+CP96*INslave_IN*CS96+KLslave*CQ96*CS96</f>
        <v>3408</v>
      </c>
      <c r="DB96" s="224">
        <f t="shared" si="721"/>
        <v>1584</v>
      </c>
      <c r="DC96" s="242">
        <f t="shared" si="722"/>
        <v>7424</v>
      </c>
      <c r="DD96" s="222">
        <f t="shared" si="723"/>
        <v>3.8218390804597702</v>
      </c>
      <c r="DE96" s="223">
        <f t="shared" si="724"/>
        <v>10.711206896551724</v>
      </c>
      <c r="DF96" s="243">
        <f t="shared" si="725"/>
        <v>7.4676724137931032</v>
      </c>
      <c r="DG96" s="243">
        <f t="shared" si="726"/>
        <v>22.000718390804597</v>
      </c>
      <c r="DH96" s="252">
        <f t="shared" si="663"/>
        <v>0</v>
      </c>
      <c r="DI96" s="309">
        <f t="shared" si="727"/>
        <v>22.000718390804597</v>
      </c>
      <c r="DJ96" s="218">
        <f>IF(DG96&lt;=0,2,0)+IF(DG96&gt;0,DG96+1,0)*2+IF(DG96&gt;12,DG96-12,0)*2+IF(DG96&gt;13,DG96-13,0)*2+IF(DG96&gt;14,DG96-14,0)*2+IF(DG96&gt;15,DG96-15,0)*2+IF(DG96&gt;16,DG96-16,0)*2+IF(DG96&gt;17,DG96-17,0)*2+IF(DG96&gt;18,DG96-18,0)*2+IF(DG96&gt;19,DG96-19,0)*2+IF(DG96&gt;20,DG96-20,0)*2</f>
        <v>154.01436781609189</v>
      </c>
      <c r="DK96" s="242">
        <f>IF(DH96&lt;=0,2,0)+IF(DH96&gt;0,DH96+1,0)*2+IF(DH96&gt;12,DH96-12,0)*2+IF(DH96&gt;13,DH96-13,0)*2+IF(DH96&gt;14,DH96-14,0)*2+IF(DH96&gt;15,DH96-15,0)*2+IF(DH96&gt;16,DH96-16,0)*2+IF(DH96&gt;17,DH96-17,0)*2+IF(DH96&gt;18,DH96-18,0)*2+IF(DH96&gt;19,DH96-19,0)*2+IF(DH96&gt;20,DH96-20,0)*2</f>
        <v>2</v>
      </c>
      <c r="DL96" s="243">
        <f t="shared" si="728"/>
        <v>152.01436781609189</v>
      </c>
      <c r="DM96" s="218">
        <f t="shared" si="729"/>
        <v>0</v>
      </c>
      <c r="DO96" s="303" t="s">
        <v>213</v>
      </c>
      <c r="DP96" s="218" t="s">
        <v>170</v>
      </c>
      <c r="DQ96" s="243" t="s">
        <v>132</v>
      </c>
      <c r="DR96" s="237"/>
      <c r="DS96" s="234">
        <f t="shared" si="807"/>
        <v>12</v>
      </c>
      <c r="DT96" s="234">
        <f>Konvention_1slave-INslave</f>
        <v>12</v>
      </c>
      <c r="DU96" s="234"/>
      <c r="DV96" s="234">
        <f>Konvention_1slave-FFslave</f>
        <v>12</v>
      </c>
      <c r="DW96" s="234"/>
      <c r="DX96" s="234"/>
      <c r="DY96" s="224"/>
      <c r="DZ96" s="222">
        <f t="shared" si="730"/>
        <v>12</v>
      </c>
      <c r="EA96" s="223">
        <f t="shared" si="731"/>
        <v>24</v>
      </c>
      <c r="EB96" s="224">
        <f t="shared" si="732"/>
        <v>36</v>
      </c>
      <c r="EC96" s="237">
        <f t="shared" si="733"/>
        <v>2304</v>
      </c>
      <c r="ED96" s="234">
        <f>DS96*DT96*FFslave+DS96*INslave*DV96+KLslave*DT96*DV96</f>
        <v>3456</v>
      </c>
      <c r="EE96" s="224">
        <f t="shared" si="734"/>
        <v>1728</v>
      </c>
      <c r="EF96" s="242">
        <f t="shared" si="735"/>
        <v>7488</v>
      </c>
      <c r="EG96" s="222">
        <f t="shared" si="736"/>
        <v>3.6923076923076925</v>
      </c>
      <c r="EH96" s="223">
        <f t="shared" si="737"/>
        <v>11.076923076923077</v>
      </c>
      <c r="EI96" s="243">
        <f t="shared" si="738"/>
        <v>8.3076923076923084</v>
      </c>
      <c r="EJ96" s="243">
        <f t="shared" si="739"/>
        <v>23.07692307692308</v>
      </c>
      <c r="EK96" s="252">
        <f t="shared" si="664"/>
        <v>0</v>
      </c>
      <c r="EL96" s="309">
        <f t="shared" si="740"/>
        <v>23.07692307692308</v>
      </c>
      <c r="EM96" s="218">
        <f>IF(EJ96&lt;=0,2,0)+IF(EJ96&gt;0,EJ96+1,0)*2+IF(EJ96&gt;12,EJ96-12,0)*2+IF(EJ96&gt;13,EJ96-13,0)*2+IF(EJ96&gt;14,EJ96-14,0)*2+IF(EJ96&gt;15,EJ96-15,0)*2+IF(EJ96&gt;16,EJ96-16,0)*2+IF(EJ96&gt;17,EJ96-17,0)*2+IF(EJ96&gt;18,EJ96-18,0)*2+IF(EJ96&gt;19,EJ96-19,0)*2+IF(EJ96&gt;20,EJ96-20,0)*2</f>
        <v>175.5384615384616</v>
      </c>
      <c r="EN96" s="242">
        <f>IF(EK96&lt;=0,2,0)+IF(EK96&gt;0,EK96+1,0)*2+IF(EK96&gt;12,EK96-12,0)*2+IF(EK96&gt;13,EK96-13,0)*2+IF(EK96&gt;14,EK96-14,0)*2+IF(EK96&gt;15,EK96-15,0)*2+IF(EK96&gt;16,EK96-16,0)*2+IF(EK96&gt;17,EK96-17,0)*2+IF(EK96&gt;18,EK96-18,0)*2+IF(EK96&gt;19,EK96-19,0)*2+IF(EK96&gt;20,EK96-20,0)*2</f>
        <v>2</v>
      </c>
      <c r="EO96" s="243">
        <f t="shared" si="741"/>
        <v>173.5384615384616</v>
      </c>
      <c r="EP96" s="218">
        <f t="shared" si="742"/>
        <v>0</v>
      </c>
      <c r="ER96" s="303" t="s">
        <v>213</v>
      </c>
      <c r="ES96" s="218" t="s">
        <v>170</v>
      </c>
      <c r="ET96" s="243" t="s">
        <v>132</v>
      </c>
      <c r="EU96" s="237"/>
      <c r="EV96" s="234">
        <f t="shared" si="808"/>
        <v>12</v>
      </c>
      <c r="EW96" s="234">
        <f>Konvention_1slave-INslave</f>
        <v>12</v>
      </c>
      <c r="EX96" s="234"/>
      <c r="EY96" s="234">
        <f>Konvention_1slave-FFslave_FF</f>
        <v>11</v>
      </c>
      <c r="EZ96" s="234"/>
      <c r="FA96" s="234"/>
      <c r="FB96" s="224"/>
      <c r="FC96" s="222">
        <f t="shared" si="743"/>
        <v>11.666666666666666</v>
      </c>
      <c r="FD96" s="223">
        <f t="shared" si="744"/>
        <v>23.333333333333332</v>
      </c>
      <c r="FE96" s="224">
        <f t="shared" si="745"/>
        <v>35</v>
      </c>
      <c r="FF96" s="237">
        <f t="shared" si="746"/>
        <v>2432</v>
      </c>
      <c r="FG96" s="234">
        <f>EV96*EW96*FFslave_FF+EV96*INslave*EY96+KLslave*EW96*EY96</f>
        <v>3408</v>
      </c>
      <c r="FH96" s="224">
        <f t="shared" si="747"/>
        <v>1584</v>
      </c>
      <c r="FI96" s="242">
        <f t="shared" si="748"/>
        <v>7424</v>
      </c>
      <c r="FJ96" s="222">
        <f t="shared" si="749"/>
        <v>3.8218390804597702</v>
      </c>
      <c r="FK96" s="223">
        <f t="shared" si="750"/>
        <v>10.711206896551724</v>
      </c>
      <c r="FL96" s="243">
        <f t="shared" si="751"/>
        <v>7.4676724137931032</v>
      </c>
      <c r="FM96" s="243">
        <f t="shared" si="752"/>
        <v>22.000718390804597</v>
      </c>
      <c r="FN96" s="252">
        <f t="shared" si="665"/>
        <v>0</v>
      </c>
      <c r="FO96" s="309">
        <f t="shared" si="753"/>
        <v>22.000718390804597</v>
      </c>
      <c r="FP96" s="218">
        <f>IF(FM96&lt;=0,2,0)+IF(FM96&gt;0,FM96+1,0)*2+IF(FM96&gt;12,FM96-12,0)*2+IF(FM96&gt;13,FM96-13,0)*2+IF(FM96&gt;14,FM96-14,0)*2+IF(FM96&gt;15,FM96-15,0)*2+IF(FM96&gt;16,FM96-16,0)*2+IF(FM96&gt;17,FM96-17,0)*2+IF(FM96&gt;18,FM96-18,0)*2+IF(FM96&gt;19,FM96-19,0)*2+IF(FM96&gt;20,FM96-20,0)*2</f>
        <v>154.01436781609189</v>
      </c>
      <c r="FQ96" s="242">
        <f>IF(FN96&lt;=0,2,0)+IF(FN96&gt;0,FN96+1,0)*2+IF(FN96&gt;12,FN96-12,0)*2+IF(FN96&gt;13,FN96-13,0)*2+IF(FN96&gt;14,FN96-14,0)*2+IF(FN96&gt;15,FN96-15,0)*2+IF(FN96&gt;16,FN96-16,0)*2+IF(FN96&gt;17,FN96-17,0)*2+IF(FN96&gt;18,FN96-18,0)*2+IF(FN96&gt;19,FN96-19,0)*2+IF(FN96&gt;20,FN96-20,0)*2</f>
        <v>2</v>
      </c>
      <c r="FR96" s="243">
        <f t="shared" si="754"/>
        <v>152.01436781609189</v>
      </c>
      <c r="FS96" s="218">
        <f t="shared" si="755"/>
        <v>0</v>
      </c>
      <c r="FU96" s="303" t="s">
        <v>213</v>
      </c>
      <c r="FV96" s="218" t="s">
        <v>170</v>
      </c>
      <c r="FW96" s="243" t="s">
        <v>132</v>
      </c>
      <c r="FX96" s="237"/>
      <c r="FY96" s="234">
        <f t="shared" si="809"/>
        <v>12</v>
      </c>
      <c r="FZ96" s="234">
        <f>Konvention_1slave-INslave</f>
        <v>12</v>
      </c>
      <c r="GA96" s="234"/>
      <c r="GB96" s="234">
        <f>Konvention_1slave-FFslave</f>
        <v>12</v>
      </c>
      <c r="GC96" s="234"/>
      <c r="GD96" s="234"/>
      <c r="GE96" s="224"/>
      <c r="GF96" s="222">
        <f t="shared" si="756"/>
        <v>12</v>
      </c>
      <c r="GG96" s="223">
        <f t="shared" si="757"/>
        <v>24</v>
      </c>
      <c r="GH96" s="224">
        <f t="shared" si="758"/>
        <v>36</v>
      </c>
      <c r="GI96" s="237">
        <f t="shared" si="759"/>
        <v>2304</v>
      </c>
      <c r="GJ96" s="234">
        <f>FY96*FZ96*FFslave+FY96*INslave*GB96+KLslave*FZ96*GB96</f>
        <v>3456</v>
      </c>
      <c r="GK96" s="224">
        <f t="shared" si="760"/>
        <v>1728</v>
      </c>
      <c r="GL96" s="242">
        <f t="shared" si="761"/>
        <v>7488</v>
      </c>
      <c r="GM96" s="222">
        <f t="shared" si="762"/>
        <v>3.6923076923076925</v>
      </c>
      <c r="GN96" s="223">
        <f t="shared" si="763"/>
        <v>11.076923076923077</v>
      </c>
      <c r="GO96" s="243">
        <f t="shared" si="764"/>
        <v>8.3076923076923084</v>
      </c>
      <c r="GP96" s="243">
        <f t="shared" si="765"/>
        <v>23.07692307692308</v>
      </c>
      <c r="GQ96" s="252">
        <f t="shared" si="666"/>
        <v>0</v>
      </c>
      <c r="GR96" s="309">
        <f t="shared" si="766"/>
        <v>23.07692307692308</v>
      </c>
      <c r="GS96" s="218">
        <f>IF(GP96&lt;=0,2,0)+IF(GP96&gt;0,GP96+1,0)*2+IF(GP96&gt;12,GP96-12,0)*2+IF(GP96&gt;13,GP96-13,0)*2+IF(GP96&gt;14,GP96-14,0)*2+IF(GP96&gt;15,GP96-15,0)*2+IF(GP96&gt;16,GP96-16,0)*2+IF(GP96&gt;17,GP96-17,0)*2+IF(GP96&gt;18,GP96-18,0)*2+IF(GP96&gt;19,GP96-19,0)*2+IF(GP96&gt;20,GP96-20,0)*2</f>
        <v>175.5384615384616</v>
      </c>
      <c r="GT96" s="242">
        <f>IF(GQ96&lt;=0,2,0)+IF(GQ96&gt;0,GQ96+1,0)*2+IF(GQ96&gt;12,GQ96-12,0)*2+IF(GQ96&gt;13,GQ96-13,0)*2+IF(GQ96&gt;14,GQ96-14,0)*2+IF(GQ96&gt;15,GQ96-15,0)*2+IF(GQ96&gt;16,GQ96-16,0)*2+IF(GQ96&gt;17,GQ96-17,0)*2+IF(GQ96&gt;18,GQ96-18,0)*2+IF(GQ96&gt;19,GQ96-19,0)*2+IF(GQ96&gt;20,GQ96-20,0)*2</f>
        <v>2</v>
      </c>
      <c r="GU96" s="243">
        <f t="shared" si="767"/>
        <v>173.5384615384616</v>
      </c>
      <c r="GV96" s="218">
        <f t="shared" si="768"/>
        <v>0</v>
      </c>
      <c r="GX96" s="303" t="s">
        <v>213</v>
      </c>
      <c r="GY96" s="218" t="s">
        <v>170</v>
      </c>
      <c r="GZ96" s="243" t="s">
        <v>132</v>
      </c>
      <c r="HA96" s="237"/>
      <c r="HB96" s="234">
        <f t="shared" si="810"/>
        <v>12</v>
      </c>
      <c r="HC96" s="234">
        <f>Konvention_1slave-INslave</f>
        <v>12</v>
      </c>
      <c r="HD96" s="234"/>
      <c r="HE96" s="234">
        <f>Konvention_1slave-FFslave</f>
        <v>12</v>
      </c>
      <c r="HF96" s="234"/>
      <c r="HG96" s="234"/>
      <c r="HH96" s="224"/>
      <c r="HI96" s="222">
        <f t="shared" si="769"/>
        <v>12</v>
      </c>
      <c r="HJ96" s="223">
        <f t="shared" si="770"/>
        <v>24</v>
      </c>
      <c r="HK96" s="224">
        <f t="shared" si="771"/>
        <v>36</v>
      </c>
      <c r="HL96" s="237">
        <f t="shared" si="772"/>
        <v>2304</v>
      </c>
      <c r="HM96" s="234">
        <f>HB96*HC96*FFslave+HB96*INslave*HE96+KLslave*HC96*HE96</f>
        <v>3456</v>
      </c>
      <c r="HN96" s="224">
        <f t="shared" si="773"/>
        <v>1728</v>
      </c>
      <c r="HO96" s="242">
        <f t="shared" si="774"/>
        <v>7488</v>
      </c>
      <c r="HP96" s="222">
        <f t="shared" si="775"/>
        <v>3.6923076923076925</v>
      </c>
      <c r="HQ96" s="223">
        <f t="shared" si="776"/>
        <v>11.076923076923077</v>
      </c>
      <c r="HR96" s="243">
        <f t="shared" si="777"/>
        <v>8.3076923076923084</v>
      </c>
      <c r="HS96" s="243">
        <f t="shared" si="778"/>
        <v>23.07692307692308</v>
      </c>
      <c r="HT96" s="252">
        <f t="shared" si="667"/>
        <v>0</v>
      </c>
      <c r="HU96" s="309">
        <f t="shared" si="779"/>
        <v>23.07692307692308</v>
      </c>
      <c r="HV96" s="218">
        <f>IF(HS96&lt;=0,2,0)+IF(HS96&gt;0,HS96+1,0)*2+IF(HS96&gt;12,HS96-12,0)*2+IF(HS96&gt;13,HS96-13,0)*2+IF(HS96&gt;14,HS96-14,0)*2+IF(HS96&gt;15,HS96-15,0)*2+IF(HS96&gt;16,HS96-16,0)*2+IF(HS96&gt;17,HS96-17,0)*2+IF(HS96&gt;18,HS96-18,0)*2+IF(HS96&gt;19,HS96-19,0)*2+IF(HS96&gt;20,HS96-20,0)*2</f>
        <v>175.5384615384616</v>
      </c>
      <c r="HW96" s="242">
        <f>IF(HT96&lt;=0,2,0)+IF(HT96&gt;0,HT96+1,0)*2+IF(HT96&gt;12,HT96-12,0)*2+IF(HT96&gt;13,HT96-13,0)*2+IF(HT96&gt;14,HT96-14,0)*2+IF(HT96&gt;15,HT96-15,0)*2+IF(HT96&gt;16,HT96-16,0)*2+IF(HT96&gt;17,HT96-17,0)*2+IF(HT96&gt;18,HT96-18,0)*2+IF(HT96&gt;19,HT96-19,0)*2+IF(HT96&gt;20,HT96-20,0)*2</f>
        <v>2</v>
      </c>
      <c r="HX96" s="243">
        <f t="shared" si="780"/>
        <v>173.5384615384616</v>
      </c>
      <c r="HY96" s="218">
        <f t="shared" si="781"/>
        <v>0</v>
      </c>
      <c r="IA96" s="303" t="s">
        <v>213</v>
      </c>
      <c r="IB96" s="218" t="s">
        <v>170</v>
      </c>
      <c r="IC96" s="243" t="s">
        <v>132</v>
      </c>
      <c r="ID96" s="237"/>
      <c r="IE96" s="234">
        <f t="shared" si="811"/>
        <v>12</v>
      </c>
      <c r="IF96" s="234">
        <f>Konvention_1slave-INslave</f>
        <v>12</v>
      </c>
      <c r="IG96" s="234"/>
      <c r="IH96" s="234">
        <f>Konvention_1slave-FFslave</f>
        <v>12</v>
      </c>
      <c r="II96" s="234"/>
      <c r="IJ96" s="234"/>
      <c r="IK96" s="224"/>
      <c r="IL96" s="222">
        <f t="shared" si="782"/>
        <v>12</v>
      </c>
      <c r="IM96" s="223">
        <f t="shared" si="783"/>
        <v>24</v>
      </c>
      <c r="IN96" s="224">
        <f t="shared" si="784"/>
        <v>36</v>
      </c>
      <c r="IO96" s="237">
        <f t="shared" si="785"/>
        <v>2304</v>
      </c>
      <c r="IP96" s="234">
        <f>IE96*IF96*FFslave+IE96*INslave*IH96+KLslave*IF96*IH96</f>
        <v>3456</v>
      </c>
      <c r="IQ96" s="224">
        <f t="shared" si="786"/>
        <v>1728</v>
      </c>
      <c r="IR96" s="242">
        <f t="shared" si="787"/>
        <v>7488</v>
      </c>
      <c r="IS96" s="222">
        <f t="shared" si="788"/>
        <v>3.6923076923076925</v>
      </c>
      <c r="IT96" s="223">
        <f t="shared" si="789"/>
        <v>11.076923076923077</v>
      </c>
      <c r="IU96" s="243">
        <f t="shared" si="790"/>
        <v>8.3076923076923084</v>
      </c>
      <c r="IV96" s="243">
        <f t="shared" si="791"/>
        <v>23.07692307692308</v>
      </c>
      <c r="IW96" s="252">
        <f t="shared" si="668"/>
        <v>0</v>
      </c>
      <c r="IX96" s="309">
        <f t="shared" si="792"/>
        <v>23.07692307692308</v>
      </c>
      <c r="IY96" s="218">
        <f>IF(IV96&lt;=0,2,0)+IF(IV96&gt;0,IV96+1,0)*2+IF(IV96&gt;12,IV96-12,0)*2+IF(IV96&gt;13,IV96-13,0)*2+IF(IV96&gt;14,IV96-14,0)*2+IF(IV96&gt;15,IV96-15,0)*2+IF(IV96&gt;16,IV96-16,0)*2+IF(IV96&gt;17,IV96-17,0)*2+IF(IV96&gt;18,IV96-18,0)*2+IF(IV96&gt;19,IV96-19,0)*2+IF(IV96&gt;20,IV96-20,0)*2</f>
        <v>175.5384615384616</v>
      </c>
      <c r="IZ96" s="242">
        <f>IF(IW96&lt;=0,2,0)+IF(IW96&gt;0,IW96+1,0)*2+IF(IW96&gt;12,IW96-12,0)*2+IF(IW96&gt;13,IW96-13,0)*2+IF(IW96&gt;14,IW96-14,0)*2+IF(IW96&gt;15,IW96-15,0)*2+IF(IW96&gt;16,IW96-16,0)*2+IF(IW96&gt;17,IW96-17,0)*2+IF(IW96&gt;18,IW96-18,0)*2+IF(IW96&gt;19,IW96-19,0)*2+IF(IW96&gt;20,IW96-20,0)*2</f>
        <v>2</v>
      </c>
      <c r="JA96" s="243">
        <f t="shared" si="793"/>
        <v>173.5384615384616</v>
      </c>
      <c r="JB96" s="218">
        <f t="shared" si="794"/>
        <v>0</v>
      </c>
      <c r="JE96" s="148"/>
    </row>
    <row r="97" spans="2:265" ht="15" hidden="1" customHeight="1" outlineLevel="2">
      <c r="B97" s="148">
        <v>20</v>
      </c>
      <c r="C97" s="303" t="e">
        <f>VLOOKUP(AF97,Attribute!C:T,1,FALSE)</f>
        <v>#N/A</v>
      </c>
      <c r="D97" s="86" t="s">
        <v>86</v>
      </c>
      <c r="E97" s="127" t="s">
        <v>132</v>
      </c>
      <c r="F97" s="114">
        <f>Konvention_1master-MUmaster</f>
        <v>12</v>
      </c>
      <c r="G97" s="113"/>
      <c r="H97" s="113">
        <f>Konvention_1master-INmaster</f>
        <v>12</v>
      </c>
      <c r="I97" s="113">
        <f>Konvention_1master-CHmaster</f>
        <v>12</v>
      </c>
      <c r="J97" s="113"/>
      <c r="K97" s="113"/>
      <c r="L97" s="113"/>
      <c r="M97" s="119"/>
      <c r="N97" s="222">
        <f>(F97+G97+H97+I97+J97+K97+L97+M97)/3</f>
        <v>12</v>
      </c>
      <c r="O97" s="223">
        <f>2*N97</f>
        <v>24</v>
      </c>
      <c r="P97" s="224">
        <f>3*N97</f>
        <v>36</v>
      </c>
      <c r="Q97" s="237">
        <f>F97*POWER(KLmaster,SIGN(G97))*POWER(INmaster,SIGN(H97))*POWER(CHmaster,SIGN(I97))*POWER(FFmaster,SIGN(J97))*POWER(GEmaster,SIGN(K97))*POWER(KOmaster,SIGN(L97))*POWER(KKmaster,SIGN(M97))+G97*POWER(MUmaster,SIGN(F97))*POWER(INmaster,SIGN(H97))*POWER(CHmaster,SIGN(I97))*POWER(FFmaster,SIGN(J97))*POWER(GEmaster,SIGN(K97))*POWER(KOmaster,SIGN(L97))*POWER(KKmaster,SIGN(M97))+H97*POWER(MUmaster,SIGN(F97))*POWER(KLmaster,SIGN(G97))*POWER(CHmaster,SIGN(I97))*POWER(FFmaster,SIGN(J97))*POWER(GEmaster,SIGN(K97))*POWER(KOmaster,SIGN(L97))*POWER(KKmaster,SIGN(M97))+I97*POWER(MUmaster,SIGN(F97))*POWER(KLmaster,SIGN(G97))*POWER(INmaster,SIGN(H97))*POWER(FFmaster,SIGN(J97))*POWER(GEmaster,SIGN(K97))*POWER(KOmaster,SIGN(L97))*POWER(KKmaster,SIGN(M97))+J97*POWER(MUmaster,SIGN(F97))*POWER(KLmaster,SIGN(G97))*POWER(INmaster,SIGN(H97))*POWER(CHmaster,SIGN(I97))*POWER(GEmaster,SIGN(K97))*POWER(KOmaster,SIGN(L97))*POWER(KKmaster,SIGN(M97))+K97*POWER(MUmaster,SIGN(F97))*POWER(KLmaster,SIGN(G97))*POWER(INmaster,SIGN(H97))*POWER(CHmaster,SIGN(I97))*POWER(FFmaster,SIGN(J97))*POWER(KOmaster,SIGN(L97))*POWER(KKmaster,SIGN(M97))+L97*POWER(MUmaster,SIGN(F97))*POWER(KLmaster,SIGN(G97))*POWER(INmaster,SIGN(H97))*POWER(CHmaster,SIGN(I97))*POWER(FFmaster,SIGN(J97))*POWER(GEmaster,SIGN(K97))*POWER(KKmaster,SIGN(M97))+M97*POWER(MUmaster,SIGN(F97))*POWER(KLmaster,SIGN(G97))*POWER(INmaster,SIGN(H97))*POWER(CHmaster,SIGN(I97))*POWER(FFmaster,SIGN(J97))*POWER(GEmaster,SIGN(K97))*POWER(KOmaster,SIGN(L97))</f>
        <v>2304</v>
      </c>
      <c r="R97" s="113">
        <f>F97*H97*CHmaster+F97*INmaster*I97+MUmaster*H97*I97</f>
        <v>3456</v>
      </c>
      <c r="S97" s="224">
        <f>IFERROR(F97^SIGN(F97),1)*IFERROR(G97^SIGN(G97),1)*IFERROR(H97^SIGN(H97),1)*IFERROR(I97^SIGN(I97),1)*IFERROR(J97^SIGN(J97),1)*IFERROR(K97^SIGN(K97),1)*IFERROR(L97^SIGN(L97),1)*IFERROR(M97^SIGN(M97),1)</f>
        <v>1728</v>
      </c>
      <c r="T97" s="242">
        <f>SUM(Q97:S97)</f>
        <v>7488</v>
      </c>
      <c r="U97" s="222">
        <f>N97*Q97/T97</f>
        <v>3.6923076923076925</v>
      </c>
      <c r="V97" s="223">
        <f>O97*R97/T97</f>
        <v>11.076923076923077</v>
      </c>
      <c r="W97" s="243">
        <f>P97*S97/T97</f>
        <v>8.3076923076923084</v>
      </c>
      <c r="X97" s="243">
        <f>SUM(U97:W97)</f>
        <v>23.07692307692308</v>
      </c>
      <c r="Y97" s="252">
        <v>0</v>
      </c>
      <c r="Z97" s="198">
        <f>X97-Y97</f>
        <v>23.07692307692308</v>
      </c>
      <c r="AA97" s="125">
        <f>IF(X97&lt;=0,2,0)+IF(X97&gt;0,X97+1,0)*2+IF(X97&gt;12,X97-12,0)*2+IF(X97&gt;13,X97-13,0)*2+IF(X97&gt;14,X97-14,0)*2+IF(X97&gt;15,X97-15,0)*2+IF(X97&gt;16,X97-16,0)*2+IF(X97&gt;17,X97-17,0)*2+IF(X97&gt;18,X97-18,0)*2+IF(X97&gt;19,X97-19,0)*2+IF(X97&gt;20,X97-20,0)*2</f>
        <v>175.5384615384616</v>
      </c>
      <c r="AB97" s="160">
        <f>IF(Y97&lt;=0,2,0)+IF(Y97&gt;0,Y97+1,0)*2+IF(Y97&gt;12,Y97-12,0)*2+IF(Y97&gt;13,Y97-13,0)*2+IF(Y97&gt;14,Y97-14,0)*2+IF(Y97&gt;15,Y97-15,0)*2+IF(Y97&gt;16,Y97-16,0)*2+IF(Y97&gt;17,Y97-17,0)*2+IF(Y97&gt;18,Y97-18,0)*2+IF(Y97&gt;19,Y97-19,0)*2+IF(Y97&gt;20,Y97-20,0)*2</f>
        <v>2</v>
      </c>
      <c r="AC97" s="127">
        <f>IF((AA97-AB97)&gt;0,AA97-AB97,0)</f>
        <v>173.5384615384616</v>
      </c>
      <c r="AD97" s="125">
        <f>IF((AB97-AA97)&gt;0,AB97-AA97,0)</f>
        <v>0</v>
      </c>
      <c r="AF97" s="163" t="s">
        <v>295</v>
      </c>
      <c r="AG97" s="125" t="s">
        <v>86</v>
      </c>
      <c r="AH97" s="127" t="s">
        <v>132</v>
      </c>
      <c r="AI97" s="114">
        <f>Konvention_1slave-MUslave_MU</f>
        <v>11</v>
      </c>
      <c r="AJ97" s="113"/>
      <c r="AK97" s="113">
        <f>Konvention_1slave-INslave</f>
        <v>12</v>
      </c>
      <c r="AL97" s="113">
        <f>Konvention_1slave-CHslave</f>
        <v>12</v>
      </c>
      <c r="AM97" s="113"/>
      <c r="AN97" s="113"/>
      <c r="AO97" s="113"/>
      <c r="AP97" s="119"/>
      <c r="AQ97" s="89">
        <f>(AI97+AJ97+AK97+AL97+AM97+AN97+AO97+AP97)/3</f>
        <v>11.666666666666666</v>
      </c>
      <c r="AR97" s="47">
        <f>2*AQ97</f>
        <v>23.333333333333332</v>
      </c>
      <c r="AS97" s="119">
        <f>3*AQ97</f>
        <v>35</v>
      </c>
      <c r="AT97" s="114">
        <f t="shared" si="694"/>
        <v>2432</v>
      </c>
      <c r="AU97" s="113">
        <f>AI97*AK97*CHslave+AI97*INslave*AL97+MUslave_MU*AK97*AL97</f>
        <v>3408</v>
      </c>
      <c r="AV97" s="119">
        <f>IFERROR(AI97^SIGN(AI97),1)*IFERROR(AJ97^SIGN(AJ97),1)*IFERROR(AK97^SIGN(AK97),1)*IFERROR(AL97^SIGN(AL97),1)*IFERROR(AM97^SIGN(AM97),1)*IFERROR(AN97^SIGN(AN97),1)*IFERROR(AO97^SIGN(AO97),1)*IFERROR(AP97^SIGN(AP97),1)</f>
        <v>1584</v>
      </c>
      <c r="AW97" s="160">
        <f>SUM(AT97:AV97)</f>
        <v>7424</v>
      </c>
      <c r="AX97" s="89">
        <f>AQ97*AT97/AW97</f>
        <v>3.8218390804597702</v>
      </c>
      <c r="AY97" s="47">
        <f>AR97*AU97/AW97</f>
        <v>10.711206896551724</v>
      </c>
      <c r="AZ97" s="127">
        <f>AS97*AV97/AW97</f>
        <v>7.4676724137931032</v>
      </c>
      <c r="BA97" s="127">
        <f>SUM(AX97:AZ97)</f>
        <v>22.000718390804597</v>
      </c>
      <c r="BB97" s="165">
        <f t="shared" si="661"/>
        <v>0</v>
      </c>
      <c r="BC97" s="198">
        <f>BA97-BB97</f>
        <v>22.000718390804597</v>
      </c>
      <c r="BD97" s="125">
        <f>IF(BA97&lt;=0,2,0)+IF(BA97&gt;0,BA97+1,0)*2+IF(BA97&gt;12,BA97-12,0)*2+IF(BA97&gt;13,BA97-13,0)*2+IF(BA97&gt;14,BA97-14,0)*2+IF(BA97&gt;15,BA97-15,0)*2+IF(BA97&gt;16,BA97-16,0)*2+IF(BA97&gt;17,BA97-17,0)*2+IF(BA97&gt;18,BA97-18,0)*2+IF(BA97&gt;19,BA97-19,0)*2+IF(BA97&gt;20,BA97-20,0)*2</f>
        <v>154.01436781609189</v>
      </c>
      <c r="BE97" s="160">
        <f>IF(BB97&lt;=0,2,0)+IF(BB97&gt;0,BB97+1,0)*2+IF(BB97&gt;12,BB97-12,0)*2+IF(BB97&gt;13,BB97-13,0)*2+IF(BB97&gt;14,BB97-14,0)*2+IF(BB97&gt;15,BB97-15,0)*2+IF(BB97&gt;16,BB97-16,0)*2+IF(BB97&gt;17,BB97-17,0)*2+IF(BB97&gt;18,BB97-18,0)*2+IF(BB97&gt;19,BB97-19,0)*2+IF(BB97&gt;20,BB97-20,0)*2</f>
        <v>2</v>
      </c>
      <c r="BF97" s="243">
        <f>IF((BD97-BE97)&gt;0,BD97-BE97,0)</f>
        <v>152.01436781609189</v>
      </c>
      <c r="BG97" s="218">
        <f>IF((BE97-BD97)&gt;0,BE97-BD97,0)</f>
        <v>0</v>
      </c>
      <c r="BI97" s="303" t="s">
        <v>295</v>
      </c>
      <c r="BJ97" s="218" t="s">
        <v>86</v>
      </c>
      <c r="BK97" s="243" t="s">
        <v>132</v>
      </c>
      <c r="BL97" s="237">
        <f>Konvention_1slave-MUslave</f>
        <v>12</v>
      </c>
      <c r="BM97" s="234"/>
      <c r="BN97" s="234">
        <f>Konvention_1slave-INslave</f>
        <v>12</v>
      </c>
      <c r="BO97" s="234">
        <f>Konvention_1slave-CHslave</f>
        <v>12</v>
      </c>
      <c r="BP97" s="234"/>
      <c r="BQ97" s="234"/>
      <c r="BR97" s="234"/>
      <c r="BS97" s="224"/>
      <c r="BT97" s="222">
        <f>(BL97+BM97+BN97+BO97+BP97+BQ97+BR97+BS97)/3</f>
        <v>12</v>
      </c>
      <c r="BU97" s="223">
        <f>2*BT97</f>
        <v>24</v>
      </c>
      <c r="BV97" s="224">
        <f>3*BT97</f>
        <v>36</v>
      </c>
      <c r="BW97" s="237">
        <f t="shared" si="707"/>
        <v>2304</v>
      </c>
      <c r="BX97" s="234">
        <f>BL97*BN97*CHslave+BL97*INslave*BO97+MUslave*BN97*BO97</f>
        <v>3456</v>
      </c>
      <c r="BY97" s="224">
        <f>IFERROR(BL97^SIGN(BL97),1)*IFERROR(BM97^SIGN(BM97),1)*IFERROR(BN97^SIGN(BN97),1)*IFERROR(BO97^SIGN(BO97),1)*IFERROR(BP97^SIGN(BP97),1)*IFERROR(BQ97^SIGN(BQ97),1)*IFERROR(BR97^SIGN(BR97),1)*IFERROR(BS97^SIGN(BS97),1)</f>
        <v>1728</v>
      </c>
      <c r="BZ97" s="242">
        <f>SUM(BW97:BY97)</f>
        <v>7488</v>
      </c>
      <c r="CA97" s="222">
        <f>BT97*BW97/BZ97</f>
        <v>3.6923076923076925</v>
      </c>
      <c r="CB97" s="223">
        <f>BU97*BX97/BZ97</f>
        <v>11.076923076923077</v>
      </c>
      <c r="CC97" s="243">
        <f>BV97*BY97/BZ97</f>
        <v>8.3076923076923084</v>
      </c>
      <c r="CD97" s="243">
        <f>SUM(CA97:CC97)</f>
        <v>23.07692307692308</v>
      </c>
      <c r="CE97" s="252">
        <f t="shared" si="662"/>
        <v>0</v>
      </c>
      <c r="CF97" s="309">
        <f>CD97-CE97</f>
        <v>23.07692307692308</v>
      </c>
      <c r="CG97" s="218">
        <f>IF(CD97&lt;=0,2,0)+IF(CD97&gt;0,CD97+1,0)*2+IF(CD97&gt;12,CD97-12,0)*2+IF(CD97&gt;13,CD97-13,0)*2+IF(CD97&gt;14,CD97-14,0)*2+IF(CD97&gt;15,CD97-15,0)*2+IF(CD97&gt;16,CD97-16,0)*2+IF(CD97&gt;17,CD97-17,0)*2+IF(CD97&gt;18,CD97-18,0)*2+IF(CD97&gt;19,CD97-19,0)*2+IF(CD97&gt;20,CD97-20,0)*2</f>
        <v>175.5384615384616</v>
      </c>
      <c r="CH97" s="242">
        <f>IF(CE97&lt;=0,2,0)+IF(CE97&gt;0,CE97+1,0)*2+IF(CE97&gt;12,CE97-12,0)*2+IF(CE97&gt;13,CE97-13,0)*2+IF(CE97&gt;14,CE97-14,0)*2+IF(CE97&gt;15,CE97-15,0)*2+IF(CE97&gt;16,CE97-16,0)*2+IF(CE97&gt;17,CE97-17,0)*2+IF(CE97&gt;18,CE97-18,0)*2+IF(CE97&gt;19,CE97-19,0)*2+IF(CE97&gt;20,CE97-20,0)*2</f>
        <v>2</v>
      </c>
      <c r="CI97" s="243">
        <f>IF((CG97-CH97)&gt;0,CG97-CH97,0)</f>
        <v>173.5384615384616</v>
      </c>
      <c r="CJ97" s="218">
        <f>IF((CH97-CG97)&gt;0,CH97-CG97,0)</f>
        <v>0</v>
      </c>
      <c r="CL97" s="303" t="s">
        <v>295</v>
      </c>
      <c r="CM97" s="218" t="s">
        <v>86</v>
      </c>
      <c r="CN97" s="243" t="s">
        <v>132</v>
      </c>
      <c r="CO97" s="237">
        <f>Konvention_1slave-MUslave</f>
        <v>12</v>
      </c>
      <c r="CP97" s="234"/>
      <c r="CQ97" s="234">
        <f>Konvention_1slave-INslave_IN</f>
        <v>11</v>
      </c>
      <c r="CR97" s="234">
        <f>Konvention_1slave-CHslave</f>
        <v>12</v>
      </c>
      <c r="CS97" s="234"/>
      <c r="CT97" s="234"/>
      <c r="CU97" s="234"/>
      <c r="CV97" s="224"/>
      <c r="CW97" s="222">
        <f>(CO97+CP97+CQ97+CR97+CS97+CT97+CU97+CV97)/3</f>
        <v>11.666666666666666</v>
      </c>
      <c r="CX97" s="223">
        <f>2*CW97</f>
        <v>23.333333333333332</v>
      </c>
      <c r="CY97" s="224">
        <f>3*CW97</f>
        <v>35</v>
      </c>
      <c r="CZ97" s="237">
        <f t="shared" si="720"/>
        <v>2432</v>
      </c>
      <c r="DA97" s="234">
        <f>CO97*CQ97*CHslave+CO97*INslave_IN*CR97+MUslave*CQ97*CR97</f>
        <v>3408</v>
      </c>
      <c r="DB97" s="224">
        <f>IFERROR(CO97^SIGN(CO97),1)*IFERROR(CP97^SIGN(CP97),1)*IFERROR(CQ97^SIGN(CQ97),1)*IFERROR(CR97^SIGN(CR97),1)*IFERROR(CS97^SIGN(CS97),1)*IFERROR(CT97^SIGN(CT97),1)*IFERROR(CU97^SIGN(CU97),1)*IFERROR(CV97^SIGN(CV97),1)</f>
        <v>1584</v>
      </c>
      <c r="DC97" s="242">
        <f>SUM(CZ97:DB97)</f>
        <v>7424</v>
      </c>
      <c r="DD97" s="222">
        <f>CW97*CZ97/DC97</f>
        <v>3.8218390804597702</v>
      </c>
      <c r="DE97" s="223">
        <f>CX97*DA97/DC97</f>
        <v>10.711206896551724</v>
      </c>
      <c r="DF97" s="243">
        <f>CY97*DB97/DC97</f>
        <v>7.4676724137931032</v>
      </c>
      <c r="DG97" s="243">
        <f>SUM(DD97:DF97)</f>
        <v>22.000718390804597</v>
      </c>
      <c r="DH97" s="252">
        <f t="shared" si="663"/>
        <v>0</v>
      </c>
      <c r="DI97" s="309">
        <f>DG97-DH97</f>
        <v>22.000718390804597</v>
      </c>
      <c r="DJ97" s="218">
        <f>IF(DG97&lt;=0,2,0)+IF(DG97&gt;0,DG97+1,0)*2+IF(DG97&gt;12,DG97-12,0)*2+IF(DG97&gt;13,DG97-13,0)*2+IF(DG97&gt;14,DG97-14,0)*2+IF(DG97&gt;15,DG97-15,0)*2+IF(DG97&gt;16,DG97-16,0)*2+IF(DG97&gt;17,DG97-17,0)*2+IF(DG97&gt;18,DG97-18,0)*2+IF(DG97&gt;19,DG97-19,0)*2+IF(DG97&gt;20,DG97-20,0)*2</f>
        <v>154.01436781609189</v>
      </c>
      <c r="DK97" s="242">
        <f>IF(DH97&lt;=0,2,0)+IF(DH97&gt;0,DH97+1,0)*2+IF(DH97&gt;12,DH97-12,0)*2+IF(DH97&gt;13,DH97-13,0)*2+IF(DH97&gt;14,DH97-14,0)*2+IF(DH97&gt;15,DH97-15,0)*2+IF(DH97&gt;16,DH97-16,0)*2+IF(DH97&gt;17,DH97-17,0)*2+IF(DH97&gt;18,DH97-18,0)*2+IF(DH97&gt;19,DH97-19,0)*2+IF(DH97&gt;20,DH97-20,0)*2</f>
        <v>2</v>
      </c>
      <c r="DL97" s="243">
        <f>IF((DJ97-DK97)&gt;0,DJ97-DK97,0)</f>
        <v>152.01436781609189</v>
      </c>
      <c r="DM97" s="218">
        <f>IF((DK97-DJ97)&gt;0,DK97-DJ97,0)</f>
        <v>0</v>
      </c>
      <c r="DO97" s="303" t="s">
        <v>295</v>
      </c>
      <c r="DP97" s="218" t="s">
        <v>86</v>
      </c>
      <c r="DQ97" s="243" t="s">
        <v>132</v>
      </c>
      <c r="DR97" s="237">
        <f>Konvention_1slave-MUslave</f>
        <v>12</v>
      </c>
      <c r="DS97" s="234"/>
      <c r="DT97" s="234">
        <f>Konvention_1slave-INslave</f>
        <v>12</v>
      </c>
      <c r="DU97" s="234">
        <f>Konvention_1slave-CHslave_CH</f>
        <v>11</v>
      </c>
      <c r="DV97" s="234"/>
      <c r="DW97" s="234"/>
      <c r="DX97" s="234"/>
      <c r="DY97" s="224"/>
      <c r="DZ97" s="222">
        <f>(DR97+DS97+DT97+DU97+DV97+DW97+DX97+DY97)/3</f>
        <v>11.666666666666666</v>
      </c>
      <c r="EA97" s="223">
        <f>2*DZ97</f>
        <v>23.333333333333332</v>
      </c>
      <c r="EB97" s="224">
        <f>3*DZ97</f>
        <v>35</v>
      </c>
      <c r="EC97" s="237">
        <f t="shared" si="733"/>
        <v>2432</v>
      </c>
      <c r="ED97" s="234">
        <f>DR97*DT97*CHslave_CH+DR97*INslave*DU97+MUslave*DT97*DU97</f>
        <v>3408</v>
      </c>
      <c r="EE97" s="224">
        <f>IFERROR(DR97^SIGN(DR97),1)*IFERROR(DS97^SIGN(DS97),1)*IFERROR(DT97^SIGN(DT97),1)*IFERROR(DU97^SIGN(DU97),1)*IFERROR(DV97^SIGN(DV97),1)*IFERROR(DW97^SIGN(DW97),1)*IFERROR(DX97^SIGN(DX97),1)*IFERROR(DY97^SIGN(DY97),1)</f>
        <v>1584</v>
      </c>
      <c r="EF97" s="242">
        <f>SUM(EC97:EE97)</f>
        <v>7424</v>
      </c>
      <c r="EG97" s="222">
        <f>DZ97*EC97/EF97</f>
        <v>3.8218390804597702</v>
      </c>
      <c r="EH97" s="223">
        <f>EA97*ED97/EF97</f>
        <v>10.711206896551724</v>
      </c>
      <c r="EI97" s="243">
        <f>EB97*EE97/EF97</f>
        <v>7.4676724137931032</v>
      </c>
      <c r="EJ97" s="243">
        <f>SUM(EG97:EI97)</f>
        <v>22.000718390804597</v>
      </c>
      <c r="EK97" s="252">
        <f t="shared" si="664"/>
        <v>0</v>
      </c>
      <c r="EL97" s="309">
        <f>EJ97-EK97</f>
        <v>22.000718390804597</v>
      </c>
      <c r="EM97" s="218">
        <f>IF(EJ97&lt;=0,2,0)+IF(EJ97&gt;0,EJ97+1,0)*2+IF(EJ97&gt;12,EJ97-12,0)*2+IF(EJ97&gt;13,EJ97-13,0)*2+IF(EJ97&gt;14,EJ97-14,0)*2+IF(EJ97&gt;15,EJ97-15,0)*2+IF(EJ97&gt;16,EJ97-16,0)*2+IF(EJ97&gt;17,EJ97-17,0)*2+IF(EJ97&gt;18,EJ97-18,0)*2+IF(EJ97&gt;19,EJ97-19,0)*2+IF(EJ97&gt;20,EJ97-20,0)*2</f>
        <v>154.01436781609189</v>
      </c>
      <c r="EN97" s="242">
        <f>IF(EK97&lt;=0,2,0)+IF(EK97&gt;0,EK97+1,0)*2+IF(EK97&gt;12,EK97-12,0)*2+IF(EK97&gt;13,EK97-13,0)*2+IF(EK97&gt;14,EK97-14,0)*2+IF(EK97&gt;15,EK97-15,0)*2+IF(EK97&gt;16,EK97-16,0)*2+IF(EK97&gt;17,EK97-17,0)*2+IF(EK97&gt;18,EK97-18,0)*2+IF(EK97&gt;19,EK97-19,0)*2+IF(EK97&gt;20,EK97-20,0)*2</f>
        <v>2</v>
      </c>
      <c r="EO97" s="243">
        <f>IF((EM97-EN97)&gt;0,EM97-EN97,0)</f>
        <v>152.01436781609189</v>
      </c>
      <c r="EP97" s="218">
        <f>IF((EN97-EM97)&gt;0,EN97-EM97,0)</f>
        <v>0</v>
      </c>
      <c r="ER97" s="303" t="s">
        <v>295</v>
      </c>
      <c r="ES97" s="218" t="s">
        <v>86</v>
      </c>
      <c r="ET97" s="243" t="s">
        <v>132</v>
      </c>
      <c r="EU97" s="237">
        <f>Konvention_1slave-MUslave</f>
        <v>12</v>
      </c>
      <c r="EV97" s="234"/>
      <c r="EW97" s="234">
        <f>Konvention_1slave-INslave</f>
        <v>12</v>
      </c>
      <c r="EX97" s="234">
        <f>Konvention_1slave-CHslave</f>
        <v>12</v>
      </c>
      <c r="EY97" s="234"/>
      <c r="EZ97" s="234"/>
      <c r="FA97" s="234"/>
      <c r="FB97" s="224"/>
      <c r="FC97" s="222">
        <f>(EU97+EV97+EW97+EX97+EY97+EZ97+FA97+FB97)/3</f>
        <v>12</v>
      </c>
      <c r="FD97" s="223">
        <f>2*FC97</f>
        <v>24</v>
      </c>
      <c r="FE97" s="224">
        <f>3*FC97</f>
        <v>36</v>
      </c>
      <c r="FF97" s="237">
        <f t="shared" si="746"/>
        <v>2304</v>
      </c>
      <c r="FG97" s="234">
        <f>EU97*EW97*CHslave+EU97*INslave*EX97+MUslave*EW97*EX97</f>
        <v>3456</v>
      </c>
      <c r="FH97" s="224">
        <f>IFERROR(EU97^SIGN(EU97),1)*IFERROR(EV97^SIGN(EV97),1)*IFERROR(EW97^SIGN(EW97),1)*IFERROR(EX97^SIGN(EX97),1)*IFERROR(EY97^SIGN(EY97),1)*IFERROR(EZ97^SIGN(EZ97),1)*IFERROR(FA97^SIGN(FA97),1)*IFERROR(FB97^SIGN(FB97),1)</f>
        <v>1728</v>
      </c>
      <c r="FI97" s="242">
        <f>SUM(FF97:FH97)</f>
        <v>7488</v>
      </c>
      <c r="FJ97" s="222">
        <f>FC97*FF97/FI97</f>
        <v>3.6923076923076925</v>
      </c>
      <c r="FK97" s="223">
        <f>FD97*FG97/FI97</f>
        <v>11.076923076923077</v>
      </c>
      <c r="FL97" s="243">
        <f>FE97*FH97/FI97</f>
        <v>8.3076923076923084</v>
      </c>
      <c r="FM97" s="243">
        <f>SUM(FJ97:FL97)</f>
        <v>23.07692307692308</v>
      </c>
      <c r="FN97" s="252">
        <f t="shared" si="665"/>
        <v>0</v>
      </c>
      <c r="FO97" s="309">
        <f>FM97-FN97</f>
        <v>23.07692307692308</v>
      </c>
      <c r="FP97" s="218">
        <f>IF(FM97&lt;=0,2,0)+IF(FM97&gt;0,FM97+1,0)*2+IF(FM97&gt;12,FM97-12,0)*2+IF(FM97&gt;13,FM97-13,0)*2+IF(FM97&gt;14,FM97-14,0)*2+IF(FM97&gt;15,FM97-15,0)*2+IF(FM97&gt;16,FM97-16,0)*2+IF(FM97&gt;17,FM97-17,0)*2+IF(FM97&gt;18,FM97-18,0)*2+IF(FM97&gt;19,FM97-19,0)*2+IF(FM97&gt;20,FM97-20,0)*2</f>
        <v>175.5384615384616</v>
      </c>
      <c r="FQ97" s="242">
        <f>IF(FN97&lt;=0,2,0)+IF(FN97&gt;0,FN97+1,0)*2+IF(FN97&gt;12,FN97-12,0)*2+IF(FN97&gt;13,FN97-13,0)*2+IF(FN97&gt;14,FN97-14,0)*2+IF(FN97&gt;15,FN97-15,0)*2+IF(FN97&gt;16,FN97-16,0)*2+IF(FN97&gt;17,FN97-17,0)*2+IF(FN97&gt;18,FN97-18,0)*2+IF(FN97&gt;19,FN97-19,0)*2+IF(FN97&gt;20,FN97-20,0)*2</f>
        <v>2</v>
      </c>
      <c r="FR97" s="243">
        <f>IF((FP97-FQ97)&gt;0,FP97-FQ97,0)</f>
        <v>173.5384615384616</v>
      </c>
      <c r="FS97" s="218">
        <f>IF((FQ97-FP97)&gt;0,FQ97-FP97,0)</f>
        <v>0</v>
      </c>
      <c r="FU97" s="303" t="s">
        <v>295</v>
      </c>
      <c r="FV97" s="218" t="s">
        <v>86</v>
      </c>
      <c r="FW97" s="243" t="s">
        <v>132</v>
      </c>
      <c r="FX97" s="237">
        <f>Konvention_1slave-MUslave</f>
        <v>12</v>
      </c>
      <c r="FY97" s="234"/>
      <c r="FZ97" s="234">
        <f>Konvention_1slave-INslave</f>
        <v>12</v>
      </c>
      <c r="GA97" s="234">
        <f>Konvention_1slave-CHslave</f>
        <v>12</v>
      </c>
      <c r="GB97" s="234"/>
      <c r="GC97" s="234"/>
      <c r="GD97" s="234"/>
      <c r="GE97" s="224"/>
      <c r="GF97" s="222">
        <f>(FX97+FY97+FZ97+GA97+GB97+GC97+GD97+GE97)/3</f>
        <v>12</v>
      </c>
      <c r="GG97" s="223">
        <f>2*GF97</f>
        <v>24</v>
      </c>
      <c r="GH97" s="224">
        <f>3*GF97</f>
        <v>36</v>
      </c>
      <c r="GI97" s="237">
        <f t="shared" si="759"/>
        <v>2304</v>
      </c>
      <c r="GJ97" s="234">
        <f>FX97*FZ97*CHslave+FX97*INslave*GA97+MUslave*FZ97*GA97</f>
        <v>3456</v>
      </c>
      <c r="GK97" s="224">
        <f>IFERROR(FX97^SIGN(FX97),1)*IFERROR(FY97^SIGN(FY97),1)*IFERROR(FZ97^SIGN(FZ97),1)*IFERROR(GA97^SIGN(GA97),1)*IFERROR(GB97^SIGN(GB97),1)*IFERROR(GC97^SIGN(GC97),1)*IFERROR(GD97^SIGN(GD97),1)*IFERROR(GE97^SIGN(GE97),1)</f>
        <v>1728</v>
      </c>
      <c r="GL97" s="242">
        <f>SUM(GI97:GK97)</f>
        <v>7488</v>
      </c>
      <c r="GM97" s="222">
        <f>GF97*GI97/GL97</f>
        <v>3.6923076923076925</v>
      </c>
      <c r="GN97" s="223">
        <f>GG97*GJ97/GL97</f>
        <v>11.076923076923077</v>
      </c>
      <c r="GO97" s="243">
        <f>GH97*GK97/GL97</f>
        <v>8.3076923076923084</v>
      </c>
      <c r="GP97" s="243">
        <f>SUM(GM97:GO97)</f>
        <v>23.07692307692308</v>
      </c>
      <c r="GQ97" s="252">
        <f t="shared" si="666"/>
        <v>0</v>
      </c>
      <c r="GR97" s="309">
        <f>GP97-GQ97</f>
        <v>23.07692307692308</v>
      </c>
      <c r="GS97" s="218">
        <f>IF(GP97&lt;=0,2,0)+IF(GP97&gt;0,GP97+1,0)*2+IF(GP97&gt;12,GP97-12,0)*2+IF(GP97&gt;13,GP97-13,0)*2+IF(GP97&gt;14,GP97-14,0)*2+IF(GP97&gt;15,GP97-15,0)*2+IF(GP97&gt;16,GP97-16,0)*2+IF(GP97&gt;17,GP97-17,0)*2+IF(GP97&gt;18,GP97-18,0)*2+IF(GP97&gt;19,GP97-19,0)*2+IF(GP97&gt;20,GP97-20,0)*2</f>
        <v>175.5384615384616</v>
      </c>
      <c r="GT97" s="242">
        <f>IF(GQ97&lt;=0,2,0)+IF(GQ97&gt;0,GQ97+1,0)*2+IF(GQ97&gt;12,GQ97-12,0)*2+IF(GQ97&gt;13,GQ97-13,0)*2+IF(GQ97&gt;14,GQ97-14,0)*2+IF(GQ97&gt;15,GQ97-15,0)*2+IF(GQ97&gt;16,GQ97-16,0)*2+IF(GQ97&gt;17,GQ97-17,0)*2+IF(GQ97&gt;18,GQ97-18,0)*2+IF(GQ97&gt;19,GQ97-19,0)*2+IF(GQ97&gt;20,GQ97-20,0)*2</f>
        <v>2</v>
      </c>
      <c r="GU97" s="243">
        <f>IF((GS97-GT97)&gt;0,GS97-GT97,0)</f>
        <v>173.5384615384616</v>
      </c>
      <c r="GV97" s="218">
        <f>IF((GT97-GS97)&gt;0,GT97-GS97,0)</f>
        <v>0</v>
      </c>
      <c r="GX97" s="303" t="s">
        <v>295</v>
      </c>
      <c r="GY97" s="218" t="s">
        <v>86</v>
      </c>
      <c r="GZ97" s="243" t="s">
        <v>132</v>
      </c>
      <c r="HA97" s="237">
        <f>Konvention_1slave-MUslave</f>
        <v>12</v>
      </c>
      <c r="HB97" s="234"/>
      <c r="HC97" s="234">
        <f>Konvention_1slave-INslave</f>
        <v>12</v>
      </c>
      <c r="HD97" s="234">
        <f>Konvention_1slave-CHslave</f>
        <v>12</v>
      </c>
      <c r="HE97" s="234"/>
      <c r="HF97" s="234"/>
      <c r="HG97" s="234"/>
      <c r="HH97" s="224"/>
      <c r="HI97" s="222">
        <f>(HA97+HB97+HC97+HD97+HE97+HF97+HG97+HH97)/3</f>
        <v>12</v>
      </c>
      <c r="HJ97" s="223">
        <f>2*HI97</f>
        <v>24</v>
      </c>
      <c r="HK97" s="224">
        <f>3*HI97</f>
        <v>36</v>
      </c>
      <c r="HL97" s="237">
        <f t="shared" si="772"/>
        <v>2304</v>
      </c>
      <c r="HM97" s="234">
        <f>HA97*HC97*CHslave+HA97*INslave*HD97+MUslave*HC97*HD97</f>
        <v>3456</v>
      </c>
      <c r="HN97" s="224">
        <f>IFERROR(HA97^SIGN(HA97),1)*IFERROR(HB97^SIGN(HB97),1)*IFERROR(HC97^SIGN(HC97),1)*IFERROR(HD97^SIGN(HD97),1)*IFERROR(HE97^SIGN(HE97),1)*IFERROR(HF97^SIGN(HF97),1)*IFERROR(HG97^SIGN(HG97),1)*IFERROR(HH97^SIGN(HH97),1)</f>
        <v>1728</v>
      </c>
      <c r="HO97" s="242">
        <f>SUM(HL97:HN97)</f>
        <v>7488</v>
      </c>
      <c r="HP97" s="222">
        <f>HI97*HL97/HO97</f>
        <v>3.6923076923076925</v>
      </c>
      <c r="HQ97" s="223">
        <f>HJ97*HM97/HO97</f>
        <v>11.076923076923077</v>
      </c>
      <c r="HR97" s="243">
        <f>HK97*HN97/HO97</f>
        <v>8.3076923076923084</v>
      </c>
      <c r="HS97" s="243">
        <f>SUM(HP97:HR97)</f>
        <v>23.07692307692308</v>
      </c>
      <c r="HT97" s="252">
        <f t="shared" si="667"/>
        <v>0</v>
      </c>
      <c r="HU97" s="309">
        <f>HS97-HT97</f>
        <v>23.07692307692308</v>
      </c>
      <c r="HV97" s="218">
        <f>IF(HS97&lt;=0,2,0)+IF(HS97&gt;0,HS97+1,0)*2+IF(HS97&gt;12,HS97-12,0)*2+IF(HS97&gt;13,HS97-13,0)*2+IF(HS97&gt;14,HS97-14,0)*2+IF(HS97&gt;15,HS97-15,0)*2+IF(HS97&gt;16,HS97-16,0)*2+IF(HS97&gt;17,HS97-17,0)*2+IF(HS97&gt;18,HS97-18,0)*2+IF(HS97&gt;19,HS97-19,0)*2+IF(HS97&gt;20,HS97-20,0)*2</f>
        <v>175.5384615384616</v>
      </c>
      <c r="HW97" s="242">
        <f>IF(HT97&lt;=0,2,0)+IF(HT97&gt;0,HT97+1,0)*2+IF(HT97&gt;12,HT97-12,0)*2+IF(HT97&gt;13,HT97-13,0)*2+IF(HT97&gt;14,HT97-14,0)*2+IF(HT97&gt;15,HT97-15,0)*2+IF(HT97&gt;16,HT97-16,0)*2+IF(HT97&gt;17,HT97-17,0)*2+IF(HT97&gt;18,HT97-18,0)*2+IF(HT97&gt;19,HT97-19,0)*2+IF(HT97&gt;20,HT97-20,0)*2</f>
        <v>2</v>
      </c>
      <c r="HX97" s="243">
        <f>IF((HV97-HW97)&gt;0,HV97-HW97,0)</f>
        <v>173.5384615384616</v>
      </c>
      <c r="HY97" s="218">
        <f>IF((HW97-HV97)&gt;0,HW97-HV97,0)</f>
        <v>0</v>
      </c>
      <c r="IA97" s="303" t="s">
        <v>295</v>
      </c>
      <c r="IB97" s="218" t="s">
        <v>86</v>
      </c>
      <c r="IC97" s="243" t="s">
        <v>132</v>
      </c>
      <c r="ID97" s="237">
        <f>Konvention_1slave-MUslave</f>
        <v>12</v>
      </c>
      <c r="IE97" s="234"/>
      <c r="IF97" s="234">
        <f>Konvention_1slave-INslave</f>
        <v>12</v>
      </c>
      <c r="IG97" s="234">
        <f>Konvention_1slave-CHslave</f>
        <v>12</v>
      </c>
      <c r="IH97" s="234"/>
      <c r="II97" s="234"/>
      <c r="IJ97" s="234"/>
      <c r="IK97" s="224"/>
      <c r="IL97" s="222">
        <f>(ID97+IE97+IF97+IG97+IH97+II97+IJ97+IK97)/3</f>
        <v>12</v>
      </c>
      <c r="IM97" s="223">
        <f>2*IL97</f>
        <v>24</v>
      </c>
      <c r="IN97" s="224">
        <f>3*IL97</f>
        <v>36</v>
      </c>
      <c r="IO97" s="237">
        <f t="shared" si="785"/>
        <v>2304</v>
      </c>
      <c r="IP97" s="234">
        <f>ID97*IF97*CHslave+ID97*INslave*IG97+MUslave*IF97*IG97</f>
        <v>3456</v>
      </c>
      <c r="IQ97" s="224">
        <f>IFERROR(ID97^SIGN(ID97),1)*IFERROR(IE97^SIGN(IE97),1)*IFERROR(IF97^SIGN(IF97),1)*IFERROR(IG97^SIGN(IG97),1)*IFERROR(IH97^SIGN(IH97),1)*IFERROR(II97^SIGN(II97),1)*IFERROR(IJ97^SIGN(IJ97),1)*IFERROR(IK97^SIGN(IK97),1)</f>
        <v>1728</v>
      </c>
      <c r="IR97" s="242">
        <f>SUM(IO97:IQ97)</f>
        <v>7488</v>
      </c>
      <c r="IS97" s="222">
        <f>IL97*IO97/IR97</f>
        <v>3.6923076923076925</v>
      </c>
      <c r="IT97" s="223">
        <f>IM97*IP97/IR97</f>
        <v>11.076923076923077</v>
      </c>
      <c r="IU97" s="243">
        <f>IN97*IQ97/IR97</f>
        <v>8.3076923076923084</v>
      </c>
      <c r="IV97" s="243">
        <f>SUM(IS97:IU97)</f>
        <v>23.07692307692308</v>
      </c>
      <c r="IW97" s="252">
        <f t="shared" si="668"/>
        <v>0</v>
      </c>
      <c r="IX97" s="309">
        <f>IV97-IW97</f>
        <v>23.07692307692308</v>
      </c>
      <c r="IY97" s="218">
        <f>IF(IV97&lt;=0,2,0)+IF(IV97&gt;0,IV97+1,0)*2+IF(IV97&gt;12,IV97-12,0)*2+IF(IV97&gt;13,IV97-13,0)*2+IF(IV97&gt;14,IV97-14,0)*2+IF(IV97&gt;15,IV97-15,0)*2+IF(IV97&gt;16,IV97-16,0)*2+IF(IV97&gt;17,IV97-17,0)*2+IF(IV97&gt;18,IV97-18,0)*2+IF(IV97&gt;19,IV97-19,0)*2+IF(IV97&gt;20,IV97-20,0)*2</f>
        <v>175.5384615384616</v>
      </c>
      <c r="IZ97" s="242">
        <f>IF(IW97&lt;=0,2,0)+IF(IW97&gt;0,IW97+1,0)*2+IF(IW97&gt;12,IW97-12,0)*2+IF(IW97&gt;13,IW97-13,0)*2+IF(IW97&gt;14,IW97-14,0)*2+IF(IW97&gt;15,IW97-15,0)*2+IF(IW97&gt;16,IW97-16,0)*2+IF(IW97&gt;17,IW97-17,0)*2+IF(IW97&gt;18,IW97-18,0)*2+IF(IW97&gt;19,IW97-19,0)*2+IF(IW97&gt;20,IW97-20,0)*2</f>
        <v>2</v>
      </c>
      <c r="JA97" s="243">
        <f>IF((IY97-IZ97)&gt;0,IY97-IZ97,0)</f>
        <v>173.5384615384616</v>
      </c>
      <c r="JB97" s="218">
        <f>IF((IZ97-IY97)&gt;0,IZ97-IY97,0)</f>
        <v>0</v>
      </c>
      <c r="JE97" s="148"/>
    </row>
    <row r="98" spans="2:265" hidden="1" outlineLevel="2">
      <c r="B98" s="148">
        <v>21</v>
      </c>
      <c r="C98" s="306" t="e">
        <f>VLOOKUP(AF98,Attribute!C:T,1,FALSE)</f>
        <v>#N/A</v>
      </c>
      <c r="D98" s="87" t="s">
        <v>8</v>
      </c>
      <c r="E98" s="128" t="s">
        <v>135</v>
      </c>
      <c r="F98" s="115">
        <f>Konvention_1master-MUmaster</f>
        <v>12</v>
      </c>
      <c r="G98" s="122"/>
      <c r="H98" s="122">
        <f>Konvention_1master-INmaster</f>
        <v>12</v>
      </c>
      <c r="I98" s="122"/>
      <c r="J98" s="122"/>
      <c r="K98" s="122">
        <f>Konvention_1master-GEmaster</f>
        <v>12</v>
      </c>
      <c r="L98" s="122"/>
      <c r="M98" s="123"/>
      <c r="N98" s="226">
        <f>(F98+G98+H98+I98+J98+K98+L98+M98)/3</f>
        <v>12</v>
      </c>
      <c r="O98" s="226">
        <f>2*N98</f>
        <v>24</v>
      </c>
      <c r="P98" s="227">
        <f>3*N98</f>
        <v>36</v>
      </c>
      <c r="Q98" s="238">
        <f>F98*POWER(KLmaster,SIGN(G98))*POWER(INmaster,SIGN(H98))*POWER(CHmaster,SIGN(I98))*POWER(FFmaster,SIGN(J98))*POWER(GEmaster,SIGN(K98))*POWER(KOmaster,SIGN(L98))*POWER(KKmaster,SIGN(M98))+G98*POWER(MUmaster,SIGN(F98))*POWER(INmaster,SIGN(H98))*POWER(CHmaster,SIGN(I98))*POWER(FFmaster,SIGN(J98))*POWER(GEmaster,SIGN(K98))*POWER(KOmaster,SIGN(L98))*POWER(KKmaster,SIGN(M98))+H98*POWER(MUmaster,SIGN(F98))*POWER(KLmaster,SIGN(G98))*POWER(CHmaster,SIGN(I98))*POWER(FFmaster,SIGN(J98))*POWER(GEmaster,SIGN(K98))*POWER(KOmaster,SIGN(L98))*POWER(KKmaster,SIGN(M98))+I98*POWER(MUmaster,SIGN(F98))*POWER(KLmaster,SIGN(G98))*POWER(INmaster,SIGN(H98))*POWER(FFmaster,SIGN(J98))*POWER(GEmaster,SIGN(K98))*POWER(KOmaster,SIGN(L98))*POWER(KKmaster,SIGN(M98))+J98*POWER(MUmaster,SIGN(F98))*POWER(KLmaster,SIGN(G98))*POWER(INmaster,SIGN(H98))*POWER(CHmaster,SIGN(I98))*POWER(GEmaster,SIGN(K98))*POWER(KOmaster,SIGN(L98))*POWER(KKmaster,SIGN(M98))+K98*POWER(MUmaster,SIGN(F98))*POWER(KLmaster,SIGN(G98))*POWER(INmaster,SIGN(H98))*POWER(CHmaster,SIGN(I98))*POWER(FFmaster,SIGN(J98))*POWER(KOmaster,SIGN(L98))*POWER(KKmaster,SIGN(M98))+L98*POWER(MUmaster,SIGN(F98))*POWER(KLmaster,SIGN(G98))*POWER(INmaster,SIGN(H98))*POWER(CHmaster,SIGN(I98))*POWER(FFmaster,SIGN(J98))*POWER(GEmaster,SIGN(K98))*POWER(KKmaster,SIGN(M98))+M98*POWER(MUmaster,SIGN(F98))*POWER(KLmaster,SIGN(G98))*POWER(INmaster,SIGN(H98))*POWER(CHmaster,SIGN(I98))*POWER(FFmaster,SIGN(J98))*POWER(GEmaster,SIGN(K98))*POWER(KOmaster,SIGN(L98))</f>
        <v>2304</v>
      </c>
      <c r="R98" s="169">
        <f>F98*H98*GEmaster+F98*INmaster*K98+MUmaster*H98*K98</f>
        <v>3456</v>
      </c>
      <c r="S98" s="227">
        <f>IFERROR(F98^SIGN(F98),1)*IFERROR(G98^SIGN(G98),1)*IFERROR(H98^SIGN(H98),1)*IFERROR(I98^SIGN(I98),1)*IFERROR(J98^SIGN(J98),1)*IFERROR(K98^SIGN(K98),1)*IFERROR(L98^SIGN(L98),1)*IFERROR(M98^SIGN(M98),1)</f>
        <v>1728</v>
      </c>
      <c r="T98" s="227">
        <f>SUM(Q98:S98)</f>
        <v>7488</v>
      </c>
      <c r="U98" s="225">
        <f>N98*Q98/T98</f>
        <v>3.6923076923076925</v>
      </c>
      <c r="V98" s="226">
        <f>O98*R98/T98</f>
        <v>11.076923076923077</v>
      </c>
      <c r="W98" s="245">
        <f>P98*S98/T98</f>
        <v>8.3076923076923084</v>
      </c>
      <c r="X98" s="245">
        <f>SUM(U98:W98)</f>
        <v>23.07692307692308</v>
      </c>
      <c r="Y98" s="252">
        <v>0</v>
      </c>
      <c r="Z98" s="198">
        <f>X98-Y98</f>
        <v>23.07692307692308</v>
      </c>
      <c r="AA98" s="159">
        <f>IF(X98&lt;=0,3,0)+IF(X98&gt;0,X98+1,0)*3+IF(X98&gt;12,X98-12,0)*3+IF(X98&gt;13,X98-13,0)*3+IF(X98&gt;14,X98-14,0)*3+IF(X98&gt;15,X98-15,0)*3+IF(X98&gt;16,X98-16,0)*3+IF(X98&gt;17,X98-17,0)*3+IF(X98&gt;18,X98-18,0)*3+IF(X98&gt;19,X98-19,0)*3+IF(X98&gt;20,X98-20,0)*3</f>
        <v>263.30769230769232</v>
      </c>
      <c r="AB98" s="161">
        <f>IF(Y98&lt;=0,3,0)+IF(Y98&gt;0,Y98+1,0)*3+IF(Y98&gt;12,Y98-12,0)*3+IF(Y98&gt;13,Y98-13,0)*3+IF(Y98&gt;14,Y98-14,0)*3+IF(Y98&gt;15,Y98-15,0)*3+IF(Y98&gt;16,Y98-16,0)*3+IF(Y98&gt;17,Y98-17,0)*3+IF(Y98&gt;18,Y98-18,0)*3+IF(Y98&gt;19,Y98-19,0)*3+IF(Y98&gt;20,Y98-20,0)*3</f>
        <v>3</v>
      </c>
      <c r="AC98" s="128">
        <f>IF((AA98-AB98)&gt;0,AA98-AB98,0)</f>
        <v>260.30769230769232</v>
      </c>
      <c r="AD98" s="159">
        <f>IF((AB98-AA98)&gt;0,AB98-AA98,0)</f>
        <v>0</v>
      </c>
      <c r="AF98" s="164" t="s">
        <v>350</v>
      </c>
      <c r="AG98" s="87" t="s">
        <v>8</v>
      </c>
      <c r="AH98" s="128" t="s">
        <v>135</v>
      </c>
      <c r="AI98" s="115">
        <f>Konvention_1slave-MUslave_MU</f>
        <v>11</v>
      </c>
      <c r="AJ98" s="122"/>
      <c r="AK98" s="122">
        <f>Konvention_1slave-INslave</f>
        <v>12</v>
      </c>
      <c r="AL98" s="122"/>
      <c r="AM98" s="122"/>
      <c r="AN98" s="122">
        <f>Konvention_1slave-GEslave</f>
        <v>12</v>
      </c>
      <c r="AO98" s="122"/>
      <c r="AP98" s="123"/>
      <c r="AQ98" s="88">
        <f>(AI98+AJ98+AK98+AL98+AM98+AN98+AO98+AP98)/3</f>
        <v>11.666666666666666</v>
      </c>
      <c r="AR98" s="2">
        <f>2*AQ98</f>
        <v>23.333333333333332</v>
      </c>
      <c r="AS98" s="173">
        <f>3*AQ98</f>
        <v>35</v>
      </c>
      <c r="AT98" s="115">
        <f t="shared" si="694"/>
        <v>2432</v>
      </c>
      <c r="AU98" s="169">
        <f>AI98*AK98*GEslave+AI98*INslave*AN98+MUslave_MU*AK98*AN98</f>
        <v>3408</v>
      </c>
      <c r="AV98" s="123">
        <f>IFERROR(AI98^SIGN(AI98),1)*IFERROR(AJ98^SIGN(AJ98),1)*IFERROR(AK98^SIGN(AK98),1)*IFERROR(AL98^SIGN(AL98),1)*IFERROR(AM98^SIGN(AM98),1)*IFERROR(AN98^SIGN(AN98),1)*IFERROR(AO98^SIGN(AO98),1)*IFERROR(AP98^SIGN(AP98),1)</f>
        <v>1584</v>
      </c>
      <c r="AW98" s="123">
        <f>SUM(AT98:AV98)</f>
        <v>7424</v>
      </c>
      <c r="AX98" s="90">
        <f>AQ98*AT98/AW98</f>
        <v>3.8218390804597702</v>
      </c>
      <c r="AY98" s="88">
        <f>AR98*AU98/AW98</f>
        <v>10.711206896551724</v>
      </c>
      <c r="AZ98" s="128">
        <f>AS98*AV98/AW98</f>
        <v>7.4676724137931032</v>
      </c>
      <c r="BA98" s="128">
        <f>SUM(AX98:AZ98)</f>
        <v>22.000718390804597</v>
      </c>
      <c r="BB98" s="165">
        <f t="shared" si="661"/>
        <v>0</v>
      </c>
      <c r="BC98" s="198">
        <f>BA98-BB98</f>
        <v>22.000718390804597</v>
      </c>
      <c r="BD98" s="159">
        <f>IF(BA98&lt;=0,3,0)+IF(BA98&gt;0,BA98+1,0)*3+IF(BA98&gt;12,BA98-12,0)*3+IF(BA98&gt;13,BA98-13,0)*3+IF(BA98&gt;14,BA98-14,0)*3+IF(BA98&gt;15,BA98-15,0)*3+IF(BA98&gt;16,BA98-16,0)*3+IF(BA98&gt;17,BA98-17,0)*3+IF(BA98&gt;18,BA98-18,0)*3+IF(BA98&gt;19,BA98-19,0)*3+IF(BA98&gt;20,BA98-20,0)*3</f>
        <v>231.02155172413785</v>
      </c>
      <c r="BE98" s="161">
        <f>IF(BB98&lt;=0,3,0)+IF(BB98&gt;0,BB98+1,0)*3+IF(BB98&gt;12,BB98-12,0)*3+IF(BB98&gt;13,BB98-13,0)*3+IF(BB98&gt;14,BB98-14,0)*3+IF(BB98&gt;15,BB98-15,0)*3+IF(BB98&gt;16,BB98-16,0)*3+IF(BB98&gt;17,BB98-17,0)*3+IF(BB98&gt;18,BB98-18,0)*3+IF(BB98&gt;19,BB98-19,0)*3+IF(BB98&gt;20,BB98-20,0)*3</f>
        <v>3</v>
      </c>
      <c r="BF98" s="245">
        <f>IF((BD98-BE98)&gt;0,BD98-BE98,0)</f>
        <v>228.02155172413785</v>
      </c>
      <c r="BG98" s="246">
        <f>IF((BE98-BD98)&gt;0,BE98-BD98,0)</f>
        <v>0</v>
      </c>
      <c r="BI98" s="306" t="s">
        <v>350</v>
      </c>
      <c r="BJ98" s="314" t="s">
        <v>8</v>
      </c>
      <c r="BK98" s="245" t="s">
        <v>135</v>
      </c>
      <c r="BL98" s="238">
        <f>Konvention_1slave-MUslave</f>
        <v>12</v>
      </c>
      <c r="BM98" s="235"/>
      <c r="BN98" s="235">
        <f>Konvention_1slave-INslave</f>
        <v>12</v>
      </c>
      <c r="BO98" s="235"/>
      <c r="BP98" s="235"/>
      <c r="BQ98" s="235">
        <f>Konvention_1slave-GEslave</f>
        <v>12</v>
      </c>
      <c r="BR98" s="235"/>
      <c r="BS98" s="227"/>
      <c r="BT98" s="226">
        <f>(BL98+BM98+BN98+BO98+BP98+BQ98+BR98+BS98)/3</f>
        <v>12</v>
      </c>
      <c r="BU98" s="226">
        <f>2*BT98</f>
        <v>24</v>
      </c>
      <c r="BV98" s="227">
        <f>3*BT98</f>
        <v>36</v>
      </c>
      <c r="BW98" s="238">
        <f t="shared" si="707"/>
        <v>2304</v>
      </c>
      <c r="BX98" s="315">
        <f>BL98*BN98*GEslave+BL98*INslave*BQ98+MUslave*BN98*BQ98</f>
        <v>3456</v>
      </c>
      <c r="BY98" s="227">
        <f>IFERROR(BL98^SIGN(BL98),1)*IFERROR(BM98^SIGN(BM98),1)*IFERROR(BN98^SIGN(BN98),1)*IFERROR(BO98^SIGN(BO98),1)*IFERROR(BP98^SIGN(BP98),1)*IFERROR(BQ98^SIGN(BQ98),1)*IFERROR(BR98^SIGN(BR98),1)*IFERROR(BS98^SIGN(BS98),1)</f>
        <v>1728</v>
      </c>
      <c r="BZ98" s="227">
        <f>SUM(BW98:BY98)</f>
        <v>7488</v>
      </c>
      <c r="CA98" s="225">
        <f>BT98*BW98/BZ98</f>
        <v>3.6923076923076925</v>
      </c>
      <c r="CB98" s="226">
        <f>BU98*BX98/BZ98</f>
        <v>11.076923076923077</v>
      </c>
      <c r="CC98" s="245">
        <f>BV98*BY98/BZ98</f>
        <v>8.3076923076923084</v>
      </c>
      <c r="CD98" s="245">
        <f>SUM(CA98:CC98)</f>
        <v>23.07692307692308</v>
      </c>
      <c r="CE98" s="252">
        <f t="shared" si="662"/>
        <v>0</v>
      </c>
      <c r="CF98" s="309">
        <f>CD98-CE98</f>
        <v>23.07692307692308</v>
      </c>
      <c r="CG98" s="246">
        <f>IF(CD98&lt;=0,3,0)+IF(CD98&gt;0,CD98+1,0)*3+IF(CD98&gt;12,CD98-12,0)*3+IF(CD98&gt;13,CD98-13,0)*3+IF(CD98&gt;14,CD98-14,0)*3+IF(CD98&gt;15,CD98-15,0)*3+IF(CD98&gt;16,CD98-16,0)*3+IF(CD98&gt;17,CD98-17,0)*3+IF(CD98&gt;18,CD98-18,0)*3+IF(CD98&gt;19,CD98-19,0)*3+IF(CD98&gt;20,CD98-20,0)*3</f>
        <v>263.30769230769232</v>
      </c>
      <c r="CH98" s="244">
        <f>IF(CE98&lt;=0,3,0)+IF(CE98&gt;0,CE98+1,0)*3+IF(CE98&gt;12,CE98-12,0)*3+IF(CE98&gt;13,CE98-13,0)*3+IF(CE98&gt;14,CE98-14,0)*3+IF(CE98&gt;15,CE98-15,0)*3+IF(CE98&gt;16,CE98-16,0)*3+IF(CE98&gt;17,CE98-17,0)*3+IF(CE98&gt;18,CE98-18,0)*3+IF(CE98&gt;19,CE98-19,0)*3+IF(CE98&gt;20,CE98-20,0)*3</f>
        <v>3</v>
      </c>
      <c r="CI98" s="245">
        <f>IF((CG98-CH98)&gt;0,CG98-CH98,0)</f>
        <v>260.30769230769232</v>
      </c>
      <c r="CJ98" s="246">
        <f>IF((CH98-CG98)&gt;0,CH98-CG98,0)</f>
        <v>0</v>
      </c>
      <c r="CL98" s="306" t="s">
        <v>350</v>
      </c>
      <c r="CM98" s="314" t="s">
        <v>8</v>
      </c>
      <c r="CN98" s="245" t="s">
        <v>135</v>
      </c>
      <c r="CO98" s="238">
        <f>Konvention_1slave-MUslave</f>
        <v>12</v>
      </c>
      <c r="CP98" s="235"/>
      <c r="CQ98" s="235">
        <f>Konvention_1slave-INslave_IN</f>
        <v>11</v>
      </c>
      <c r="CR98" s="235"/>
      <c r="CS98" s="235"/>
      <c r="CT98" s="235">
        <f>Konvention_1slave-GEslave</f>
        <v>12</v>
      </c>
      <c r="CU98" s="235"/>
      <c r="CV98" s="227"/>
      <c r="CW98" s="226">
        <f>(CO98+CP98+CQ98+CR98+CS98+CT98+CU98+CV98)/3</f>
        <v>11.666666666666666</v>
      </c>
      <c r="CX98" s="226">
        <f>2*CW98</f>
        <v>23.333333333333332</v>
      </c>
      <c r="CY98" s="227">
        <f>3*CW98</f>
        <v>35</v>
      </c>
      <c r="CZ98" s="238">
        <f t="shared" si="720"/>
        <v>2432</v>
      </c>
      <c r="DA98" s="315">
        <f>CO98*CQ98*GEslave+CO98*INslave_IN*CT98+MUslave*CQ98*CT98</f>
        <v>3408</v>
      </c>
      <c r="DB98" s="227">
        <f>IFERROR(CO98^SIGN(CO98),1)*IFERROR(CP98^SIGN(CP98),1)*IFERROR(CQ98^SIGN(CQ98),1)*IFERROR(CR98^SIGN(CR98),1)*IFERROR(CS98^SIGN(CS98),1)*IFERROR(CT98^SIGN(CT98),1)*IFERROR(CU98^SIGN(CU98),1)*IFERROR(CV98^SIGN(CV98),1)</f>
        <v>1584</v>
      </c>
      <c r="DC98" s="227">
        <f>SUM(CZ98:DB98)</f>
        <v>7424</v>
      </c>
      <c r="DD98" s="225">
        <f>CW98*CZ98/DC98</f>
        <v>3.8218390804597702</v>
      </c>
      <c r="DE98" s="226">
        <f>CX98*DA98/DC98</f>
        <v>10.711206896551724</v>
      </c>
      <c r="DF98" s="245">
        <f>CY98*DB98/DC98</f>
        <v>7.4676724137931032</v>
      </c>
      <c r="DG98" s="245">
        <f>SUM(DD98:DF98)</f>
        <v>22.000718390804597</v>
      </c>
      <c r="DH98" s="252">
        <f t="shared" si="663"/>
        <v>0</v>
      </c>
      <c r="DI98" s="309">
        <f>DG98-DH98</f>
        <v>22.000718390804597</v>
      </c>
      <c r="DJ98" s="246">
        <f>IF(DG98&lt;=0,3,0)+IF(DG98&gt;0,DG98+1,0)*3+IF(DG98&gt;12,DG98-12,0)*3+IF(DG98&gt;13,DG98-13,0)*3+IF(DG98&gt;14,DG98-14,0)*3+IF(DG98&gt;15,DG98-15,0)*3+IF(DG98&gt;16,DG98-16,0)*3+IF(DG98&gt;17,DG98-17,0)*3+IF(DG98&gt;18,DG98-18,0)*3+IF(DG98&gt;19,DG98-19,0)*3+IF(DG98&gt;20,DG98-20,0)*3</f>
        <v>231.02155172413785</v>
      </c>
      <c r="DK98" s="244">
        <f>IF(DH98&lt;=0,3,0)+IF(DH98&gt;0,DH98+1,0)*3+IF(DH98&gt;12,DH98-12,0)*3+IF(DH98&gt;13,DH98-13,0)*3+IF(DH98&gt;14,DH98-14,0)*3+IF(DH98&gt;15,DH98-15,0)*3+IF(DH98&gt;16,DH98-16,0)*3+IF(DH98&gt;17,DH98-17,0)*3+IF(DH98&gt;18,DH98-18,0)*3+IF(DH98&gt;19,DH98-19,0)*3+IF(DH98&gt;20,DH98-20,0)*3</f>
        <v>3</v>
      </c>
      <c r="DL98" s="245">
        <f>IF((DJ98-DK98)&gt;0,DJ98-DK98,0)</f>
        <v>228.02155172413785</v>
      </c>
      <c r="DM98" s="246">
        <f>IF((DK98-DJ98)&gt;0,DK98-DJ98,0)</f>
        <v>0</v>
      </c>
      <c r="DO98" s="306" t="s">
        <v>350</v>
      </c>
      <c r="DP98" s="314" t="s">
        <v>8</v>
      </c>
      <c r="DQ98" s="245" t="s">
        <v>135</v>
      </c>
      <c r="DR98" s="238">
        <f>Konvention_1slave-MUslave</f>
        <v>12</v>
      </c>
      <c r="DS98" s="235"/>
      <c r="DT98" s="235">
        <f>Konvention_1slave-INslave</f>
        <v>12</v>
      </c>
      <c r="DU98" s="235"/>
      <c r="DV98" s="235"/>
      <c r="DW98" s="235">
        <f>Konvention_1slave-GEslave</f>
        <v>12</v>
      </c>
      <c r="DX98" s="235"/>
      <c r="DY98" s="227"/>
      <c r="DZ98" s="226">
        <f>(DR98+DS98+DT98+DU98+DV98+DW98+DX98+DY98)/3</f>
        <v>12</v>
      </c>
      <c r="EA98" s="226">
        <f>2*DZ98</f>
        <v>24</v>
      </c>
      <c r="EB98" s="227">
        <f>3*DZ98</f>
        <v>36</v>
      </c>
      <c r="EC98" s="238">
        <f t="shared" si="733"/>
        <v>2304</v>
      </c>
      <c r="ED98" s="315">
        <f>DR98*DT98*GEslave+DR98*INslave*DW98+MUslave*DT98*DW98</f>
        <v>3456</v>
      </c>
      <c r="EE98" s="227">
        <f>IFERROR(DR98^SIGN(DR98),1)*IFERROR(DS98^SIGN(DS98),1)*IFERROR(DT98^SIGN(DT98),1)*IFERROR(DU98^SIGN(DU98),1)*IFERROR(DV98^SIGN(DV98),1)*IFERROR(DW98^SIGN(DW98),1)*IFERROR(DX98^SIGN(DX98),1)*IFERROR(DY98^SIGN(DY98),1)</f>
        <v>1728</v>
      </c>
      <c r="EF98" s="227">
        <f>SUM(EC98:EE98)</f>
        <v>7488</v>
      </c>
      <c r="EG98" s="225">
        <f>DZ98*EC98/EF98</f>
        <v>3.6923076923076925</v>
      </c>
      <c r="EH98" s="226">
        <f>EA98*ED98/EF98</f>
        <v>11.076923076923077</v>
      </c>
      <c r="EI98" s="245">
        <f>EB98*EE98/EF98</f>
        <v>8.3076923076923084</v>
      </c>
      <c r="EJ98" s="245">
        <f>SUM(EG98:EI98)</f>
        <v>23.07692307692308</v>
      </c>
      <c r="EK98" s="252">
        <f t="shared" si="664"/>
        <v>0</v>
      </c>
      <c r="EL98" s="309">
        <f>EJ98-EK98</f>
        <v>23.07692307692308</v>
      </c>
      <c r="EM98" s="246">
        <f>IF(EJ98&lt;=0,3,0)+IF(EJ98&gt;0,EJ98+1,0)*3+IF(EJ98&gt;12,EJ98-12,0)*3+IF(EJ98&gt;13,EJ98-13,0)*3+IF(EJ98&gt;14,EJ98-14,0)*3+IF(EJ98&gt;15,EJ98-15,0)*3+IF(EJ98&gt;16,EJ98-16,0)*3+IF(EJ98&gt;17,EJ98-17,0)*3+IF(EJ98&gt;18,EJ98-18,0)*3+IF(EJ98&gt;19,EJ98-19,0)*3+IF(EJ98&gt;20,EJ98-20,0)*3</f>
        <v>263.30769230769232</v>
      </c>
      <c r="EN98" s="244">
        <f>IF(EK98&lt;=0,3,0)+IF(EK98&gt;0,EK98+1,0)*3+IF(EK98&gt;12,EK98-12,0)*3+IF(EK98&gt;13,EK98-13,0)*3+IF(EK98&gt;14,EK98-14,0)*3+IF(EK98&gt;15,EK98-15,0)*3+IF(EK98&gt;16,EK98-16,0)*3+IF(EK98&gt;17,EK98-17,0)*3+IF(EK98&gt;18,EK98-18,0)*3+IF(EK98&gt;19,EK98-19,0)*3+IF(EK98&gt;20,EK98-20,0)*3</f>
        <v>3</v>
      </c>
      <c r="EO98" s="245">
        <f>IF((EM98-EN98)&gt;0,EM98-EN98,0)</f>
        <v>260.30769230769232</v>
      </c>
      <c r="EP98" s="246">
        <f>IF((EN98-EM98)&gt;0,EN98-EM98,0)</f>
        <v>0</v>
      </c>
      <c r="ER98" s="306" t="s">
        <v>350</v>
      </c>
      <c r="ES98" s="314" t="s">
        <v>8</v>
      </c>
      <c r="ET98" s="245" t="s">
        <v>135</v>
      </c>
      <c r="EU98" s="238">
        <f>Konvention_1slave-MUslave</f>
        <v>12</v>
      </c>
      <c r="EV98" s="235"/>
      <c r="EW98" s="235">
        <f>Konvention_1slave-INslave</f>
        <v>12</v>
      </c>
      <c r="EX98" s="235"/>
      <c r="EY98" s="235"/>
      <c r="EZ98" s="235">
        <f>Konvention_1slave-GEslave</f>
        <v>12</v>
      </c>
      <c r="FA98" s="235"/>
      <c r="FB98" s="227"/>
      <c r="FC98" s="226">
        <f>(EU98+EV98+EW98+EX98+EY98+EZ98+FA98+FB98)/3</f>
        <v>12</v>
      </c>
      <c r="FD98" s="226">
        <f>2*FC98</f>
        <v>24</v>
      </c>
      <c r="FE98" s="227">
        <f>3*FC98</f>
        <v>36</v>
      </c>
      <c r="FF98" s="238">
        <f t="shared" si="746"/>
        <v>2304</v>
      </c>
      <c r="FG98" s="315">
        <f>EU98*EW98*GEslave+EU98*INslave*EZ98+MUslave*EW98*EZ98</f>
        <v>3456</v>
      </c>
      <c r="FH98" s="227">
        <f>IFERROR(EU98^SIGN(EU98),1)*IFERROR(EV98^SIGN(EV98),1)*IFERROR(EW98^SIGN(EW98),1)*IFERROR(EX98^SIGN(EX98),1)*IFERROR(EY98^SIGN(EY98),1)*IFERROR(EZ98^SIGN(EZ98),1)*IFERROR(FA98^SIGN(FA98),1)*IFERROR(FB98^SIGN(FB98),1)</f>
        <v>1728</v>
      </c>
      <c r="FI98" s="227">
        <f>SUM(FF98:FH98)</f>
        <v>7488</v>
      </c>
      <c r="FJ98" s="225">
        <f>FC98*FF98/FI98</f>
        <v>3.6923076923076925</v>
      </c>
      <c r="FK98" s="226">
        <f>FD98*FG98/FI98</f>
        <v>11.076923076923077</v>
      </c>
      <c r="FL98" s="245">
        <f>FE98*FH98/FI98</f>
        <v>8.3076923076923084</v>
      </c>
      <c r="FM98" s="245">
        <f>SUM(FJ98:FL98)</f>
        <v>23.07692307692308</v>
      </c>
      <c r="FN98" s="252">
        <f t="shared" si="665"/>
        <v>0</v>
      </c>
      <c r="FO98" s="309">
        <f>FM98-FN98</f>
        <v>23.07692307692308</v>
      </c>
      <c r="FP98" s="246">
        <f>IF(FM98&lt;=0,3,0)+IF(FM98&gt;0,FM98+1,0)*3+IF(FM98&gt;12,FM98-12,0)*3+IF(FM98&gt;13,FM98-13,0)*3+IF(FM98&gt;14,FM98-14,0)*3+IF(FM98&gt;15,FM98-15,0)*3+IF(FM98&gt;16,FM98-16,0)*3+IF(FM98&gt;17,FM98-17,0)*3+IF(FM98&gt;18,FM98-18,0)*3+IF(FM98&gt;19,FM98-19,0)*3+IF(FM98&gt;20,FM98-20,0)*3</f>
        <v>263.30769230769232</v>
      </c>
      <c r="FQ98" s="244">
        <f>IF(FN98&lt;=0,3,0)+IF(FN98&gt;0,FN98+1,0)*3+IF(FN98&gt;12,FN98-12,0)*3+IF(FN98&gt;13,FN98-13,0)*3+IF(FN98&gt;14,FN98-14,0)*3+IF(FN98&gt;15,FN98-15,0)*3+IF(FN98&gt;16,FN98-16,0)*3+IF(FN98&gt;17,FN98-17,0)*3+IF(FN98&gt;18,FN98-18,0)*3+IF(FN98&gt;19,FN98-19,0)*3+IF(FN98&gt;20,FN98-20,0)*3</f>
        <v>3</v>
      </c>
      <c r="FR98" s="245">
        <f>IF((FP98-FQ98)&gt;0,FP98-FQ98,0)</f>
        <v>260.30769230769232</v>
      </c>
      <c r="FS98" s="246">
        <f>IF((FQ98-FP98)&gt;0,FQ98-FP98,0)</f>
        <v>0</v>
      </c>
      <c r="FU98" s="306" t="s">
        <v>350</v>
      </c>
      <c r="FV98" s="314" t="s">
        <v>8</v>
      </c>
      <c r="FW98" s="245" t="s">
        <v>135</v>
      </c>
      <c r="FX98" s="238">
        <f>Konvention_1slave-MUslave</f>
        <v>12</v>
      </c>
      <c r="FY98" s="235"/>
      <c r="FZ98" s="235">
        <f>Konvention_1slave-INslave</f>
        <v>12</v>
      </c>
      <c r="GA98" s="235"/>
      <c r="GB98" s="235"/>
      <c r="GC98" s="235">
        <f>Konvention_1slave-GEslave_GE</f>
        <v>11</v>
      </c>
      <c r="GD98" s="235"/>
      <c r="GE98" s="227"/>
      <c r="GF98" s="226">
        <f>(FX98+FY98+FZ98+GA98+GB98+GC98+GD98+GE98)/3</f>
        <v>11.666666666666666</v>
      </c>
      <c r="GG98" s="226">
        <f>2*GF98</f>
        <v>23.333333333333332</v>
      </c>
      <c r="GH98" s="227">
        <f>3*GF98</f>
        <v>35</v>
      </c>
      <c r="GI98" s="238">
        <f t="shared" si="759"/>
        <v>2432</v>
      </c>
      <c r="GJ98" s="315">
        <f>FX98*FZ98*GEslave_GE+FX98*INslave*GC98+MUslave*FZ98*GC98</f>
        <v>3408</v>
      </c>
      <c r="GK98" s="227">
        <f>IFERROR(FX98^SIGN(FX98),1)*IFERROR(FY98^SIGN(FY98),1)*IFERROR(FZ98^SIGN(FZ98),1)*IFERROR(GA98^SIGN(GA98),1)*IFERROR(GB98^SIGN(GB98),1)*IFERROR(GC98^SIGN(GC98),1)*IFERROR(GD98^SIGN(GD98),1)*IFERROR(GE98^SIGN(GE98),1)</f>
        <v>1584</v>
      </c>
      <c r="GL98" s="227">
        <f>SUM(GI98:GK98)</f>
        <v>7424</v>
      </c>
      <c r="GM98" s="225">
        <f>GF98*GI98/GL98</f>
        <v>3.8218390804597702</v>
      </c>
      <c r="GN98" s="226">
        <f>GG98*GJ98/GL98</f>
        <v>10.711206896551724</v>
      </c>
      <c r="GO98" s="245">
        <f>GH98*GK98/GL98</f>
        <v>7.4676724137931032</v>
      </c>
      <c r="GP98" s="245">
        <f>SUM(GM98:GO98)</f>
        <v>22.000718390804597</v>
      </c>
      <c r="GQ98" s="252">
        <f t="shared" si="666"/>
        <v>0</v>
      </c>
      <c r="GR98" s="309">
        <f>GP98-GQ98</f>
        <v>22.000718390804597</v>
      </c>
      <c r="GS98" s="246">
        <f>IF(GP98&lt;=0,3,0)+IF(GP98&gt;0,GP98+1,0)*3+IF(GP98&gt;12,GP98-12,0)*3+IF(GP98&gt;13,GP98-13,0)*3+IF(GP98&gt;14,GP98-14,0)*3+IF(GP98&gt;15,GP98-15,0)*3+IF(GP98&gt;16,GP98-16,0)*3+IF(GP98&gt;17,GP98-17,0)*3+IF(GP98&gt;18,GP98-18,0)*3+IF(GP98&gt;19,GP98-19,0)*3+IF(GP98&gt;20,GP98-20,0)*3</f>
        <v>231.02155172413785</v>
      </c>
      <c r="GT98" s="244">
        <f>IF(GQ98&lt;=0,3,0)+IF(GQ98&gt;0,GQ98+1,0)*3+IF(GQ98&gt;12,GQ98-12,0)*3+IF(GQ98&gt;13,GQ98-13,0)*3+IF(GQ98&gt;14,GQ98-14,0)*3+IF(GQ98&gt;15,GQ98-15,0)*3+IF(GQ98&gt;16,GQ98-16,0)*3+IF(GQ98&gt;17,GQ98-17,0)*3+IF(GQ98&gt;18,GQ98-18,0)*3+IF(GQ98&gt;19,GQ98-19,0)*3+IF(GQ98&gt;20,GQ98-20,0)*3</f>
        <v>3</v>
      </c>
      <c r="GU98" s="245">
        <f>IF((GS98-GT98)&gt;0,GS98-GT98,0)</f>
        <v>228.02155172413785</v>
      </c>
      <c r="GV98" s="246">
        <f>IF((GT98-GS98)&gt;0,GT98-GS98,0)</f>
        <v>0</v>
      </c>
      <c r="GX98" s="306" t="s">
        <v>350</v>
      </c>
      <c r="GY98" s="314" t="s">
        <v>8</v>
      </c>
      <c r="GZ98" s="245" t="s">
        <v>135</v>
      </c>
      <c r="HA98" s="238">
        <f>Konvention_1slave-MUslave</f>
        <v>12</v>
      </c>
      <c r="HB98" s="235"/>
      <c r="HC98" s="235">
        <f>Konvention_1slave-INslave</f>
        <v>12</v>
      </c>
      <c r="HD98" s="235"/>
      <c r="HE98" s="235"/>
      <c r="HF98" s="235">
        <f>Konvention_1slave-GEslave</f>
        <v>12</v>
      </c>
      <c r="HG98" s="235"/>
      <c r="HH98" s="227"/>
      <c r="HI98" s="226">
        <f>(HA98+HB98+HC98+HD98+HE98+HF98+HG98+HH98)/3</f>
        <v>12</v>
      </c>
      <c r="HJ98" s="226">
        <f>2*HI98</f>
        <v>24</v>
      </c>
      <c r="HK98" s="227">
        <f>3*HI98</f>
        <v>36</v>
      </c>
      <c r="HL98" s="238">
        <f t="shared" si="772"/>
        <v>2304</v>
      </c>
      <c r="HM98" s="315">
        <f>HA98*HC98*GEslave+HA98*INslave*HF98+MUslave*HC98*HF98</f>
        <v>3456</v>
      </c>
      <c r="HN98" s="227">
        <f>IFERROR(HA98^SIGN(HA98),1)*IFERROR(HB98^SIGN(HB98),1)*IFERROR(HC98^SIGN(HC98),1)*IFERROR(HD98^SIGN(HD98),1)*IFERROR(HE98^SIGN(HE98),1)*IFERROR(HF98^SIGN(HF98),1)*IFERROR(HG98^SIGN(HG98),1)*IFERROR(HH98^SIGN(HH98),1)</f>
        <v>1728</v>
      </c>
      <c r="HO98" s="227">
        <f>SUM(HL98:HN98)</f>
        <v>7488</v>
      </c>
      <c r="HP98" s="225">
        <f>HI98*HL98/HO98</f>
        <v>3.6923076923076925</v>
      </c>
      <c r="HQ98" s="226">
        <f>HJ98*HM98/HO98</f>
        <v>11.076923076923077</v>
      </c>
      <c r="HR98" s="245">
        <f>HK98*HN98/HO98</f>
        <v>8.3076923076923084</v>
      </c>
      <c r="HS98" s="245">
        <f>SUM(HP98:HR98)</f>
        <v>23.07692307692308</v>
      </c>
      <c r="HT98" s="252">
        <f t="shared" si="667"/>
        <v>0</v>
      </c>
      <c r="HU98" s="309">
        <f>HS98-HT98</f>
        <v>23.07692307692308</v>
      </c>
      <c r="HV98" s="246">
        <f>IF(HS98&lt;=0,3,0)+IF(HS98&gt;0,HS98+1,0)*3+IF(HS98&gt;12,HS98-12,0)*3+IF(HS98&gt;13,HS98-13,0)*3+IF(HS98&gt;14,HS98-14,0)*3+IF(HS98&gt;15,HS98-15,0)*3+IF(HS98&gt;16,HS98-16,0)*3+IF(HS98&gt;17,HS98-17,0)*3+IF(HS98&gt;18,HS98-18,0)*3+IF(HS98&gt;19,HS98-19,0)*3+IF(HS98&gt;20,HS98-20,0)*3</f>
        <v>263.30769230769232</v>
      </c>
      <c r="HW98" s="244">
        <f>IF(HT98&lt;=0,3,0)+IF(HT98&gt;0,HT98+1,0)*3+IF(HT98&gt;12,HT98-12,0)*3+IF(HT98&gt;13,HT98-13,0)*3+IF(HT98&gt;14,HT98-14,0)*3+IF(HT98&gt;15,HT98-15,0)*3+IF(HT98&gt;16,HT98-16,0)*3+IF(HT98&gt;17,HT98-17,0)*3+IF(HT98&gt;18,HT98-18,0)*3+IF(HT98&gt;19,HT98-19,0)*3+IF(HT98&gt;20,HT98-20,0)*3</f>
        <v>3</v>
      </c>
      <c r="HX98" s="245">
        <f>IF((HV98-HW98)&gt;0,HV98-HW98,0)</f>
        <v>260.30769230769232</v>
      </c>
      <c r="HY98" s="246">
        <f>IF((HW98-HV98)&gt;0,HW98-HV98,0)</f>
        <v>0</v>
      </c>
      <c r="IA98" s="306" t="s">
        <v>350</v>
      </c>
      <c r="IB98" s="314" t="s">
        <v>8</v>
      </c>
      <c r="IC98" s="245" t="s">
        <v>135</v>
      </c>
      <c r="ID98" s="238">
        <f>Konvention_1slave-MUslave</f>
        <v>12</v>
      </c>
      <c r="IE98" s="235"/>
      <c r="IF98" s="235">
        <f>Konvention_1slave-INslave</f>
        <v>12</v>
      </c>
      <c r="IG98" s="235"/>
      <c r="IH98" s="235"/>
      <c r="II98" s="235">
        <f>Konvention_1slave-GEslave</f>
        <v>12</v>
      </c>
      <c r="IJ98" s="235"/>
      <c r="IK98" s="227"/>
      <c r="IL98" s="226">
        <f>(ID98+IE98+IF98+IG98+IH98+II98+IJ98+IK98)/3</f>
        <v>12</v>
      </c>
      <c r="IM98" s="226">
        <f>2*IL98</f>
        <v>24</v>
      </c>
      <c r="IN98" s="227">
        <f>3*IL98</f>
        <v>36</v>
      </c>
      <c r="IO98" s="238">
        <f t="shared" si="785"/>
        <v>2304</v>
      </c>
      <c r="IP98" s="315">
        <f>ID98*IF98*GEslave+ID98*INslave*II98+MUslave*IF98*II98</f>
        <v>3456</v>
      </c>
      <c r="IQ98" s="227">
        <f>IFERROR(ID98^SIGN(ID98),1)*IFERROR(IE98^SIGN(IE98),1)*IFERROR(IF98^SIGN(IF98),1)*IFERROR(IG98^SIGN(IG98),1)*IFERROR(IH98^SIGN(IH98),1)*IFERROR(II98^SIGN(II98),1)*IFERROR(IJ98^SIGN(IJ98),1)*IFERROR(IK98^SIGN(IK98),1)</f>
        <v>1728</v>
      </c>
      <c r="IR98" s="227">
        <f>SUM(IO98:IQ98)</f>
        <v>7488</v>
      </c>
      <c r="IS98" s="225">
        <f>IL98*IO98/IR98</f>
        <v>3.6923076923076925</v>
      </c>
      <c r="IT98" s="226">
        <f>IM98*IP98/IR98</f>
        <v>11.076923076923077</v>
      </c>
      <c r="IU98" s="245">
        <f>IN98*IQ98/IR98</f>
        <v>8.3076923076923084</v>
      </c>
      <c r="IV98" s="245">
        <f>SUM(IS98:IU98)</f>
        <v>23.07692307692308</v>
      </c>
      <c r="IW98" s="252">
        <f t="shared" si="668"/>
        <v>0</v>
      </c>
      <c r="IX98" s="309">
        <f>IV98-IW98</f>
        <v>23.07692307692308</v>
      </c>
      <c r="IY98" s="246">
        <f>IF(IV98&lt;=0,3,0)+IF(IV98&gt;0,IV98+1,0)*3+IF(IV98&gt;12,IV98-12,0)*3+IF(IV98&gt;13,IV98-13,0)*3+IF(IV98&gt;14,IV98-14,0)*3+IF(IV98&gt;15,IV98-15,0)*3+IF(IV98&gt;16,IV98-16,0)*3+IF(IV98&gt;17,IV98-17,0)*3+IF(IV98&gt;18,IV98-18,0)*3+IF(IV98&gt;19,IV98-19,0)*3+IF(IV98&gt;20,IV98-20,0)*3</f>
        <v>263.30769230769232</v>
      </c>
      <c r="IZ98" s="244">
        <f>IF(IW98&lt;=0,3,0)+IF(IW98&gt;0,IW98+1,0)*3+IF(IW98&gt;12,IW98-12,0)*3+IF(IW98&gt;13,IW98-13,0)*3+IF(IW98&gt;14,IW98-14,0)*3+IF(IW98&gt;15,IW98-15,0)*3+IF(IW98&gt;16,IW98-16,0)*3+IF(IW98&gt;17,IW98-17,0)*3+IF(IW98&gt;18,IW98-18,0)*3+IF(IW98&gt;19,IW98-19,0)*3+IF(IW98&gt;20,IW98-20,0)*3</f>
        <v>3</v>
      </c>
      <c r="JA98" s="245">
        <f>IF((IY98-IZ98)&gt;0,IY98-IZ98,0)</f>
        <v>260.30769230769232</v>
      </c>
      <c r="JB98" s="246">
        <f>IF((IZ98-IY98)&gt;0,IZ98-IY98,0)</f>
        <v>0</v>
      </c>
      <c r="JE98" s="148"/>
    </row>
    <row r="99" spans="2:265" hidden="1" outlineLevel="1" collapsed="1">
      <c r="B99" s="134" t="s">
        <v>331</v>
      </c>
      <c r="C99" s="307" t="s">
        <v>281</v>
      </c>
      <c r="D99" s="84" t="s">
        <v>279</v>
      </c>
      <c r="E99" s="84" t="s">
        <v>280</v>
      </c>
      <c r="Y99" s="251"/>
      <c r="Z99" s="197"/>
      <c r="AF99" s="83" t="s">
        <v>281</v>
      </c>
      <c r="AG99" s="84" t="s">
        <v>279</v>
      </c>
      <c r="AH99" s="84" t="s">
        <v>280</v>
      </c>
      <c r="BB99" s="197"/>
      <c r="BC99" s="197"/>
      <c r="BI99" s="307" t="s">
        <v>281</v>
      </c>
      <c r="BJ99" s="308" t="s">
        <v>279</v>
      </c>
      <c r="BK99" s="308" t="s">
        <v>280</v>
      </c>
      <c r="CE99" s="251"/>
      <c r="CF99" s="251"/>
      <c r="CL99" s="307" t="s">
        <v>281</v>
      </c>
      <c r="CM99" s="308" t="s">
        <v>279</v>
      </c>
      <c r="CN99" s="308" t="s">
        <v>280</v>
      </c>
      <c r="DH99" s="251"/>
      <c r="DI99" s="251"/>
      <c r="DO99" s="307" t="s">
        <v>281</v>
      </c>
      <c r="DP99" s="308" t="s">
        <v>279</v>
      </c>
      <c r="DQ99" s="308" t="s">
        <v>280</v>
      </c>
      <c r="EK99" s="251"/>
      <c r="EL99" s="251"/>
      <c r="ER99" s="307" t="s">
        <v>281</v>
      </c>
      <c r="ES99" s="308" t="s">
        <v>279</v>
      </c>
      <c r="ET99" s="308" t="s">
        <v>280</v>
      </c>
      <c r="FN99" s="251"/>
      <c r="FO99" s="251"/>
      <c r="FU99" s="307" t="s">
        <v>281</v>
      </c>
      <c r="FV99" s="308" t="s">
        <v>279</v>
      </c>
      <c r="FW99" s="308" t="s">
        <v>280</v>
      </c>
      <c r="GQ99" s="251"/>
      <c r="GR99" s="251"/>
      <c r="GX99" s="307" t="s">
        <v>281</v>
      </c>
      <c r="GY99" s="308" t="s">
        <v>279</v>
      </c>
      <c r="GZ99" s="308" t="s">
        <v>280</v>
      </c>
      <c r="HT99" s="251"/>
      <c r="HU99" s="251"/>
      <c r="IA99" s="307" t="s">
        <v>281</v>
      </c>
      <c r="IB99" s="308" t="s">
        <v>279</v>
      </c>
      <c r="IC99" s="308" t="s">
        <v>280</v>
      </c>
      <c r="IW99" s="251"/>
      <c r="IX99" s="251"/>
      <c r="JE99" s="148"/>
    </row>
    <row r="100" spans="2:265" ht="15" hidden="1" customHeight="1" outlineLevel="2">
      <c r="B100" s="148">
        <v>1</v>
      </c>
      <c r="C100" s="302" t="e">
        <f>VLOOKUP(AF100,Attribute!C:T,1,FALSE)</f>
        <v>#N/A</v>
      </c>
      <c r="D100" s="85" t="s">
        <v>170</v>
      </c>
      <c r="E100" s="126" t="s">
        <v>133</v>
      </c>
      <c r="F100" s="191"/>
      <c r="G100" s="118">
        <f>Konvention_1master-KLmaster</f>
        <v>12</v>
      </c>
      <c r="H100" s="118">
        <f>Konvention_1master-INmaster</f>
        <v>12</v>
      </c>
      <c r="I100" s="118"/>
      <c r="J100" s="118">
        <f>Konvention_1master-FFmaster</f>
        <v>12</v>
      </c>
      <c r="K100" s="118"/>
      <c r="L100" s="118"/>
      <c r="M100" s="92"/>
      <c r="N100" s="220">
        <f>(F100+G100+H100+I100+J100+K100+L100+M100)/3</f>
        <v>12</v>
      </c>
      <c r="O100" s="220">
        <f t="shared" ref="O100:O106" si="813">2*N100</f>
        <v>24</v>
      </c>
      <c r="P100" s="221">
        <f t="shared" ref="P100:P106" si="814">3*N100</f>
        <v>36</v>
      </c>
      <c r="Q100" s="236">
        <f>F100*POWER(KLmaster,SIGN(G100))*POWER(INmaster,SIGN(H100))*POWER(CHmaster,SIGN(I100))*POWER(FFmaster,SIGN(J100))*POWER(GEmaster,SIGN(K100))*POWER(KOmaster,SIGN(L100))*POWER(KKmaster,SIGN(M100))+G100*POWER(MUmaster,SIGN(F100))*POWER(INmaster,SIGN(H100))*POWER(CHmaster,SIGN(I100))*POWER(FFmaster,SIGN(J100))*POWER(GEmaster,SIGN(K100))*POWER(KOmaster,SIGN(L100))*POWER(KKmaster,SIGN(M100))+H100*POWER(MUmaster,SIGN(F100))*POWER(KLmaster,SIGN(G100))*POWER(CHmaster,SIGN(I100))*POWER(FFmaster,SIGN(J100))*POWER(GEmaster,SIGN(K100))*POWER(KOmaster,SIGN(L100))*POWER(KKmaster,SIGN(M100))+I100*POWER(MUmaster,SIGN(F100))*POWER(KLmaster,SIGN(G100))*POWER(INmaster,SIGN(H100))*POWER(FFmaster,SIGN(J100))*POWER(GEmaster,SIGN(K100))*POWER(KOmaster,SIGN(L100))*POWER(KKmaster,SIGN(M100))+J100*POWER(MUmaster,SIGN(F100))*POWER(KLmaster,SIGN(G100))*POWER(INmaster,SIGN(H100))*POWER(CHmaster,SIGN(I100))*POWER(GEmaster,SIGN(K100))*POWER(KOmaster,SIGN(L100))*POWER(KKmaster,SIGN(M100))+K100*POWER(MUmaster,SIGN(F100))*POWER(KLmaster,SIGN(G100))*POWER(INmaster,SIGN(H100))*POWER(CHmaster,SIGN(I100))*POWER(FFmaster,SIGN(J100))*POWER(KOmaster,SIGN(L100))*POWER(KKmaster,SIGN(M100))+L100*POWER(MUmaster,SIGN(F100))*POWER(KLmaster,SIGN(G100))*POWER(INmaster,SIGN(H100))*POWER(CHmaster,SIGN(I100))*POWER(FFmaster,SIGN(J100))*POWER(GEmaster,SIGN(K100))*POWER(KKmaster,SIGN(M100))+M100*POWER(MUmaster,SIGN(F100))*POWER(KLmaster,SIGN(G100))*POWER(INmaster,SIGN(H100))*POWER(CHmaster,SIGN(I100))*POWER(FFmaster,SIGN(J100))*POWER(GEmaster,SIGN(K100))*POWER(KOmaster,SIGN(L100))</f>
        <v>2304</v>
      </c>
      <c r="R100" s="170">
        <f>G100*H100*FFmaster+G100*INmaster*J100+KLmaster*H100*J100</f>
        <v>3456</v>
      </c>
      <c r="S100" s="221">
        <f>IFERROR(F100^SIGN(F100),1)*IFERROR(G100^SIGN(G100),1)*IFERROR(H100^SIGN(H100),1)*IFERROR(I100^SIGN(I100),1)*IFERROR(J100^SIGN(J100),1)*IFERROR(K100^SIGN(K100),1)*IFERROR(L100^SIGN(L100),1)*IFERROR(M100^SIGN(M100),1)</f>
        <v>1728</v>
      </c>
      <c r="T100" s="221">
        <f t="shared" ref="T100:T106" si="815">SUM(Q100:S100)</f>
        <v>7488</v>
      </c>
      <c r="U100" s="219">
        <f t="shared" ref="U100:U106" si="816">N100*Q100/T100</f>
        <v>3.6923076923076925</v>
      </c>
      <c r="V100" s="220">
        <f t="shared" ref="V100:V106" si="817">O100*R100/T100</f>
        <v>11.076923076923077</v>
      </c>
      <c r="W100" s="241">
        <f t="shared" ref="W100:W106" si="818">P100*S100/T100</f>
        <v>8.3076923076923084</v>
      </c>
      <c r="X100" s="241">
        <f t="shared" ref="X100:X106" si="819">SUM(U100:W100)</f>
        <v>23.07692307692308</v>
      </c>
      <c r="Y100" s="252">
        <v>0</v>
      </c>
      <c r="Z100" s="198">
        <f t="shared" ref="Z100:Z106" si="820">X100-Y100</f>
        <v>23.07692307692308</v>
      </c>
      <c r="AA100" s="158">
        <f>IF(X100&lt;=0,1,0)+IF(X100&gt;0,X100+1,0)*1+IF(X100&gt;12,X100-12,0)*1+IF(X100&gt;13,X100-13,0)*1+IF(X100&gt;14,X100-14,0)*1+IF(X100&gt;15,X100-15,0)*1+IF(X100&gt;16,X100-16,0)*1+IF(X100&gt;17,X100-17,0)*1+IF(X100&gt;18,X100-18,0)*1+IF(X100&gt;19,X100-19,0)*1+IF(X100&gt;20,X100-20,0)*1</f>
        <v>87.769230769230802</v>
      </c>
      <c r="AB100" s="91">
        <f>IF(Y100&lt;=0,1,0)+IF(Y100&gt;0,Y100+1,0)*1+IF(Y100&gt;12,Y100-12,0)*1+IF(Y100&gt;13,Y100-13,0)*1+IF(Y100&gt;14,Y100-14,0)*1+IF(Y100&gt;15,Y100-15,0)*1+IF(Y100&gt;16,Y100-16,0)*1+IF(Y100&gt;17,Y100-17,0)*1+IF(Y100&gt;18,Y100-18,0)*1+IF(Y100&gt;19,Y100-19,0)*1+IF(Y100&gt;20,Y100-20,0)*1</f>
        <v>1</v>
      </c>
      <c r="AC100" s="126">
        <f t="shared" ref="AC100:AC106" si="821">IF((AA100-AB100)&gt;0,AA100-AB100,0)</f>
        <v>86.769230769230802</v>
      </c>
      <c r="AD100" s="158">
        <f t="shared" ref="AD100:AD106" si="822">IF((AB100-AA100)&gt;0,AB100-AA100,0)</f>
        <v>0</v>
      </c>
      <c r="AF100" s="162" t="s">
        <v>351</v>
      </c>
      <c r="AG100" s="85" t="s">
        <v>170</v>
      </c>
      <c r="AH100" s="126" t="s">
        <v>133</v>
      </c>
      <c r="AI100" s="191"/>
      <c r="AJ100" s="118">
        <f>Konvention_1slave-KLslave</f>
        <v>12</v>
      </c>
      <c r="AK100" s="118">
        <f>Konvention_1slave-INslave</f>
        <v>12</v>
      </c>
      <c r="AL100" s="118"/>
      <c r="AM100" s="118">
        <f>Konvention_1slave-FFslave</f>
        <v>12</v>
      </c>
      <c r="AN100" s="118"/>
      <c r="AO100" s="118"/>
      <c r="AP100" s="92"/>
      <c r="AQ100" s="116">
        <f>(AI100+AJ100+AK100+AL100+AM100+AN100+AO100+AP100)/3</f>
        <v>12</v>
      </c>
      <c r="AR100" s="194">
        <f t="shared" ref="AR100:AR106" si="823">2*AQ100</f>
        <v>24</v>
      </c>
      <c r="AS100" s="192">
        <f t="shared" ref="AS100:AS106" si="824">3*AQ100</f>
        <v>36</v>
      </c>
      <c r="AT100" s="191">
        <f>AI100*POWER(KLslave,SIGN(AJ100))*POWER(INslave,SIGN(AK100))*POWER(CHslave,SIGN(AL100))*POWER(FFslave,SIGN(AM100))*POWER(GEslave,SIGN(AN100))*POWER(KOslave,SIGN(AO100))*POWER(KKslave,SIGN(AP100))+AJ100*POWER(MUslave_MU,SIGN(AI100))*POWER(INslave,SIGN(AK100))*POWER(CHslave,SIGN(AL100))*POWER(FFslave,SIGN(AM100))*POWER(GEslave,SIGN(AN100))*POWER(KOslave,SIGN(AO100))*POWER(KKslave,SIGN(AP100))+AK100*POWER(MUslave_MU,SIGN(AI100))*POWER(KLslave,SIGN(AJ100))*POWER(CHslave,SIGN(AL100))*POWER(FFslave,SIGN(AM100))*POWER(GEslave,SIGN(AN100))*POWER(KOslave,SIGN(AO100))*POWER(KKslave,SIGN(AP100))+AL100*POWER(MUslave_MU,SIGN(AI100))*POWER(KLslave,SIGN(AJ100))*POWER(INslave,SIGN(AK100))*POWER(FFslave,SIGN(AM100))*POWER(GEslave,SIGN(AN100))*POWER(KOslave,SIGN(AO100))*POWER(KKslave,SIGN(AP100))+AM100*POWER(MUslave_MU,SIGN(AI100))*POWER(KLslave,SIGN(AJ100))*POWER(INslave,SIGN(AK100))*POWER(CHslave,SIGN(AL100))*POWER(GEslave,SIGN(AN100))*POWER(KOslave,SIGN(AO100))*POWER(KKslave,SIGN(AP100))+AN100*POWER(MUslave_MU,SIGN(AI100))*POWER(KLslave,SIGN(AJ100))*POWER(INslave,SIGN(AK100))*POWER(CHslave,SIGN(AL100))*POWER(FFslave,SIGN(AM100))*POWER(KOslave,SIGN(AO100))*POWER(KKslave,SIGN(AP100))+AO100*POWER(MUslave_MU,SIGN(AI100))*POWER(KLslave,SIGN(AJ100))*POWER(INslave,SIGN(AK100))*POWER(CHslave,SIGN(AL100))*POWER(FFslave,SIGN(AM100))*POWER(GEslave,SIGN(AN100))*POWER(KKslave,SIGN(AP100))+AP100*POWER(MUslave_MU,SIGN(AI100))*POWER(KLslave,SIGN(AJ100))*POWER(INslave,SIGN(AK100))*POWER(CHslave,SIGN(AL100))*POWER(FFslave,SIGN(AM100))*POWER(GEslave,SIGN(AN100))*POWER(KOslave,SIGN(AO100))</f>
        <v>2304</v>
      </c>
      <c r="AU100" s="170">
        <f>AJ100*AK100*FFslave+AJ100*INslave*AM100+KLslave*AK100*AM100</f>
        <v>3456</v>
      </c>
      <c r="AV100" s="92">
        <f>IFERROR(AI100^SIGN(AI100),1)*IFERROR(AJ100^SIGN(AJ100),1)*IFERROR(AK100^SIGN(AK100),1)*IFERROR(AL100^SIGN(AL100),1)*IFERROR(AM100^SIGN(AM100),1)*IFERROR(AN100^SIGN(AN100),1)*IFERROR(AO100^SIGN(AO100),1)*IFERROR(AP100^SIGN(AP100),1)</f>
        <v>1728</v>
      </c>
      <c r="AW100" s="92">
        <f t="shared" ref="AW100:AW106" si="825">SUM(AT100:AV100)</f>
        <v>7488</v>
      </c>
      <c r="AX100" s="193">
        <f t="shared" ref="AX100:AX106" si="826">AQ100*AT100/AW100</f>
        <v>3.6923076923076925</v>
      </c>
      <c r="AY100" s="116">
        <f t="shared" ref="AY100:AY106" si="827">AR100*AU100/AW100</f>
        <v>11.076923076923077</v>
      </c>
      <c r="AZ100" s="126">
        <f t="shared" ref="AZ100:AZ106" si="828">AS100*AV100/AW100</f>
        <v>8.3076923076923084</v>
      </c>
      <c r="BA100" s="126">
        <f t="shared" ref="BA100:BA106" si="829">SUM(AX100:AZ100)</f>
        <v>23.07692307692308</v>
      </c>
      <c r="BB100" s="165">
        <f t="shared" ref="BB100:BB126" si="830">Y100</f>
        <v>0</v>
      </c>
      <c r="BC100" s="198">
        <f t="shared" ref="BC100:BC106" si="831">BA100-BB100</f>
        <v>23.07692307692308</v>
      </c>
      <c r="BD100" s="158">
        <f>IF(BA100&lt;=0,1,0)+IF(BA100&gt;0,BA100+1,0)*1+IF(BA100&gt;12,BA100-12,0)*1+IF(BA100&gt;13,BA100-13,0)*1+IF(BA100&gt;14,BA100-14,0)*1+IF(BA100&gt;15,BA100-15,0)*1+IF(BA100&gt;16,BA100-16,0)*1+IF(BA100&gt;17,BA100-17,0)*1+IF(BA100&gt;18,BA100-18,0)*1+IF(BA100&gt;19,BA100-19,0)*1+IF(BA100&gt;20,BA100-20,0)*1</f>
        <v>87.769230769230802</v>
      </c>
      <c r="BE100" s="91">
        <f>IF(BB100&lt;=0,1,0)+IF(BB100&gt;0,BB100+1,0)*1+IF(BB100&gt;12,BB100-12,0)*1+IF(BB100&gt;13,BB100-13,0)*1+IF(BB100&gt;14,BB100-14,0)*1+IF(BB100&gt;15,BB100-15,0)*1+IF(BB100&gt;16,BB100-16,0)*1+IF(BB100&gt;17,BB100-17,0)*1+IF(BB100&gt;18,BB100-18,0)*1+IF(BB100&gt;19,BB100-19,0)*1+IF(BB100&gt;20,BB100-20,0)*1</f>
        <v>1</v>
      </c>
      <c r="BF100" s="241">
        <f t="shared" ref="BF100:BF106" si="832">IF((BD100-BE100)&gt;0,BD100-BE100,0)</f>
        <v>86.769230769230802</v>
      </c>
      <c r="BG100" s="42">
        <f t="shared" ref="BG100:BG106" si="833">IF((BE100-BD100)&gt;0,BE100-BD100,0)</f>
        <v>0</v>
      </c>
      <c r="BI100" s="302" t="s">
        <v>351</v>
      </c>
      <c r="BJ100" s="43" t="s">
        <v>170</v>
      </c>
      <c r="BK100" s="241" t="s">
        <v>133</v>
      </c>
      <c r="BL100" s="236"/>
      <c r="BM100" s="233">
        <f>Konvention_1slave-KLslave_KL</f>
        <v>11</v>
      </c>
      <c r="BN100" s="233">
        <f>Konvention_1slave-INslave</f>
        <v>12</v>
      </c>
      <c r="BO100" s="233"/>
      <c r="BP100" s="233">
        <f>Konvention_1slave-FFslave</f>
        <v>12</v>
      </c>
      <c r="BQ100" s="233"/>
      <c r="BR100" s="233"/>
      <c r="BS100" s="221"/>
      <c r="BT100" s="220">
        <f>(BL100+BM100+BN100+BO100+BP100+BQ100+BR100+BS100)/3</f>
        <v>11.666666666666666</v>
      </c>
      <c r="BU100" s="220">
        <f t="shared" ref="BU100:BU106" si="834">2*BT100</f>
        <v>23.333333333333332</v>
      </c>
      <c r="BV100" s="221">
        <f t="shared" ref="BV100:BV106" si="835">3*BT100</f>
        <v>35</v>
      </c>
      <c r="BW100" s="236">
        <f>BL100*POWER(KLslave_KL,SIGN(BM100))*POWER(INslave,SIGN(BN100))*POWER(CHslave,SIGN(BO100))*POWER(FFslave,SIGN(BP100))*POWER(GEslave,SIGN(BQ100))*POWER(KOslave,SIGN(BR100))*POWER(KKslave,SIGN(BS100))+BM100*POWER(MUslave,SIGN(BL100))*POWER(INslave,SIGN(BN100))*POWER(CHslave,SIGN(BO100))*POWER(FFslave,SIGN(BP100))*POWER(GEslave,SIGN(BQ100))*POWER(KOslave,SIGN(BR100))*POWER(KKslave,SIGN(BS100))+BN100*POWER(MUslave,SIGN(BL100))*POWER(KLslave_KL,SIGN(BM100))*POWER(CHslave,SIGN(BO100))*POWER(FFslave,SIGN(BP100))*POWER(GEslave,SIGN(BQ100))*POWER(KOslave,SIGN(BR100))*POWER(KKslave,SIGN(BS100))+BO100*POWER(MUslave,SIGN(BL100))*POWER(KLslave_KL,SIGN(BM100))*POWER(INslave,SIGN(BN100))*POWER(FFslave,SIGN(BP100))*POWER(GEslave,SIGN(BQ100))*POWER(KOslave,SIGN(BR100))*POWER(KKslave,SIGN(BS100))+BP100*POWER(MUslave,SIGN(BL100))*POWER(KLslave_KL,SIGN(BM100))*POWER(INslave,SIGN(BN100))*POWER(CHslave,SIGN(BO100))*POWER(GEslave,SIGN(BQ100))*POWER(KOslave,SIGN(BR100))*POWER(KKslave,SIGN(BS100))+BQ100*POWER(MUslave,SIGN(BL100))*POWER(KLslave_KL,SIGN(BM100))*POWER(INslave,SIGN(BN100))*POWER(CHslave,SIGN(BO100))*POWER(FFslave,SIGN(BP100))*POWER(KOslave,SIGN(BR100))*POWER(KKslave,SIGN(BS100))+BR100*POWER(MUslave,SIGN(BL100))*POWER(KLslave_KL,SIGN(BM100))*POWER(INslave,SIGN(BN100))*POWER(CHslave,SIGN(BO100))*POWER(FFslave,SIGN(BP100))*POWER(GEslave,SIGN(BQ100))*POWER(KKslave,SIGN(BS100))+BS100*POWER(MUslave,SIGN(BL100))*POWER(KLslave_KL,SIGN(BM100))*POWER(INslave,SIGN(BN100))*POWER(CHslave,SIGN(BO100))*POWER(FFslave,SIGN(BP100))*POWER(GEslave,SIGN(BQ100))*POWER(KOslave,SIGN(BR100))</f>
        <v>2432</v>
      </c>
      <c r="BX100" s="316">
        <f>BM100*BN100*FFslave+BM100*INslave*BP100+KLslave_KL*BN100*BP100</f>
        <v>3408</v>
      </c>
      <c r="BY100" s="221">
        <f>IFERROR(BL100^SIGN(BL100),1)*IFERROR(BM100^SIGN(BM100),1)*IFERROR(BN100^SIGN(BN100),1)*IFERROR(BO100^SIGN(BO100),1)*IFERROR(BP100^SIGN(BP100),1)*IFERROR(BQ100^SIGN(BQ100),1)*IFERROR(BR100^SIGN(BR100),1)*IFERROR(BS100^SIGN(BS100),1)</f>
        <v>1584</v>
      </c>
      <c r="BZ100" s="221">
        <f t="shared" ref="BZ100:BZ106" si="836">SUM(BW100:BY100)</f>
        <v>7424</v>
      </c>
      <c r="CA100" s="219">
        <f t="shared" ref="CA100:CA106" si="837">BT100*BW100/BZ100</f>
        <v>3.8218390804597702</v>
      </c>
      <c r="CB100" s="220">
        <f t="shared" ref="CB100:CB106" si="838">BU100*BX100/BZ100</f>
        <v>10.711206896551724</v>
      </c>
      <c r="CC100" s="241">
        <f t="shared" ref="CC100:CC106" si="839">BV100*BY100/BZ100</f>
        <v>7.4676724137931032</v>
      </c>
      <c r="CD100" s="241">
        <f t="shared" ref="CD100:CD106" si="840">SUM(CA100:CC100)</f>
        <v>22.000718390804597</v>
      </c>
      <c r="CE100" s="252">
        <f t="shared" ref="CE100:CE126" si="841">BB100</f>
        <v>0</v>
      </c>
      <c r="CF100" s="309">
        <f t="shared" ref="CF100:CF106" si="842">CD100-CE100</f>
        <v>22.000718390804597</v>
      </c>
      <c r="CG100" s="42">
        <f>IF(CD100&lt;=0,1,0)+IF(CD100&gt;0,CD100+1,0)*1+IF(CD100&gt;12,CD100-12,0)*1+IF(CD100&gt;13,CD100-13,0)*1+IF(CD100&gt;14,CD100-14,0)*1+IF(CD100&gt;15,CD100-15,0)*1+IF(CD100&gt;16,CD100-16,0)*1+IF(CD100&gt;17,CD100-17,0)*1+IF(CD100&gt;18,CD100-18,0)*1+IF(CD100&gt;19,CD100-19,0)*1+IF(CD100&gt;20,CD100-20,0)*1</f>
        <v>77.007183908045945</v>
      </c>
      <c r="CH100" s="78">
        <f>IF(CE100&lt;=0,1,0)+IF(CE100&gt;0,CE100+1,0)*1+IF(CE100&gt;12,CE100-12,0)*1+IF(CE100&gt;13,CE100-13,0)*1+IF(CE100&gt;14,CE100-14,0)*1+IF(CE100&gt;15,CE100-15,0)*1+IF(CE100&gt;16,CE100-16,0)*1+IF(CE100&gt;17,CE100-17,0)*1+IF(CE100&gt;18,CE100-18,0)*1+IF(CE100&gt;19,CE100-19,0)*1+IF(CE100&gt;20,CE100-20,0)*1</f>
        <v>1</v>
      </c>
      <c r="CI100" s="241">
        <f t="shared" ref="CI100:CI106" si="843">IF((CG100-CH100)&gt;0,CG100-CH100,0)</f>
        <v>76.007183908045945</v>
      </c>
      <c r="CJ100" s="42">
        <f t="shared" ref="CJ100:CJ106" si="844">IF((CH100-CG100)&gt;0,CH100-CG100,0)</f>
        <v>0</v>
      </c>
      <c r="CL100" s="302" t="s">
        <v>351</v>
      </c>
      <c r="CM100" s="43" t="s">
        <v>170</v>
      </c>
      <c r="CN100" s="241" t="s">
        <v>133</v>
      </c>
      <c r="CO100" s="236"/>
      <c r="CP100" s="233">
        <f>Konvention_1slave-KLslave</f>
        <v>12</v>
      </c>
      <c r="CQ100" s="233">
        <f>Konvention_1slave-INslave_IN</f>
        <v>11</v>
      </c>
      <c r="CR100" s="233"/>
      <c r="CS100" s="233">
        <f>Konvention_1slave-FFslave</f>
        <v>12</v>
      </c>
      <c r="CT100" s="233"/>
      <c r="CU100" s="233"/>
      <c r="CV100" s="221"/>
      <c r="CW100" s="220">
        <f>(CO100+CP100+CQ100+CR100+CS100+CT100+CU100+CV100)/3</f>
        <v>11.666666666666666</v>
      </c>
      <c r="CX100" s="220">
        <f t="shared" ref="CX100:CX106" si="845">2*CW100</f>
        <v>23.333333333333332</v>
      </c>
      <c r="CY100" s="221">
        <f t="shared" ref="CY100:CY106" si="846">3*CW100</f>
        <v>35</v>
      </c>
      <c r="CZ100" s="236">
        <f>CO100*POWER(KLslave,SIGN(CP100))*POWER(INslave_IN,SIGN(CQ100))*POWER(CHslave,SIGN(CR100))*POWER(FFslave,SIGN(CS100))*POWER(GEslave,SIGN(CT100))*POWER(KOslave,SIGN(CU100))*POWER(KKslave,SIGN(CV100))+CP100*POWER(MUslave,SIGN(CO100))*POWER(INslave_IN,SIGN(CQ100))*POWER(CHslave,SIGN(CR100))*POWER(FFslave,SIGN(CS100))*POWER(GEslave,SIGN(CT100))*POWER(KOslave,SIGN(CU100))*POWER(KKslave,SIGN(CV100))+CQ100*POWER(MUslave,SIGN(CO100))*POWER(KLslave,SIGN(CP100))*POWER(CHslave,SIGN(CR100))*POWER(FFslave,SIGN(CS100))*POWER(GEslave,SIGN(CT100))*POWER(KOslave,SIGN(CU100))*POWER(KKslave,SIGN(CV100))+CR100*POWER(MUslave,SIGN(CO100))*POWER(KLslave,SIGN(CP100))*POWER(INslave_IN,SIGN(CQ100))*POWER(FFslave,SIGN(CS100))*POWER(GEslave,SIGN(CT100))*POWER(KOslave,SIGN(CU100))*POWER(KKslave,SIGN(CV100))+CS100*POWER(MUslave,SIGN(CO100))*POWER(KLslave,SIGN(CP100))*POWER(INslave_IN,SIGN(CQ100))*POWER(CHslave,SIGN(CR100))*POWER(GEslave,SIGN(CT100))*POWER(KOslave,SIGN(CU100))*POWER(KKslave,SIGN(CV100))+CT100*POWER(MUslave,SIGN(CO100))*POWER(KLslave,SIGN(CP100))*POWER(INslave_IN,SIGN(CQ100))*POWER(CHslave,SIGN(CR100))*POWER(FFslave,SIGN(CS100))*POWER(KOslave,SIGN(CU100))*POWER(KKslave,SIGN(CV100))+CU100*POWER(MUslave,SIGN(CO100))*POWER(KLslave,SIGN(CP100))*POWER(INslave_IN,SIGN(CQ100))*POWER(CHslave,SIGN(CR100))*POWER(FFslave,SIGN(CS100))*POWER(GEslave,SIGN(CT100))*POWER(KKslave,SIGN(CV100))+CV100*POWER(MUslave,SIGN(CO100))*POWER(KLslave,SIGN(CP100))*POWER(INslave_IN,SIGN(CQ100))*POWER(CHslave,SIGN(CR100))*POWER(FFslave,SIGN(CS100))*POWER(GEslave,SIGN(CT100))*POWER(KOslave,SIGN(CU100))</f>
        <v>2432</v>
      </c>
      <c r="DA100" s="316">
        <f>CP100*CQ100*FFslave+CP100*INslave_IN*CS100+KLslave*CQ100*CS100</f>
        <v>3408</v>
      </c>
      <c r="DB100" s="221">
        <f>IFERROR(CO100^SIGN(CO100),1)*IFERROR(CP100^SIGN(CP100),1)*IFERROR(CQ100^SIGN(CQ100),1)*IFERROR(CR100^SIGN(CR100),1)*IFERROR(CS100^SIGN(CS100),1)*IFERROR(CT100^SIGN(CT100),1)*IFERROR(CU100^SIGN(CU100),1)*IFERROR(CV100^SIGN(CV100),1)</f>
        <v>1584</v>
      </c>
      <c r="DC100" s="221">
        <f t="shared" ref="DC100:DC106" si="847">SUM(CZ100:DB100)</f>
        <v>7424</v>
      </c>
      <c r="DD100" s="219">
        <f t="shared" ref="DD100:DD106" si="848">CW100*CZ100/DC100</f>
        <v>3.8218390804597702</v>
      </c>
      <c r="DE100" s="220">
        <f t="shared" ref="DE100:DE106" si="849">CX100*DA100/DC100</f>
        <v>10.711206896551724</v>
      </c>
      <c r="DF100" s="241">
        <f t="shared" ref="DF100:DF106" si="850">CY100*DB100/DC100</f>
        <v>7.4676724137931032</v>
      </c>
      <c r="DG100" s="241">
        <f t="shared" ref="DG100:DG106" si="851">SUM(DD100:DF100)</f>
        <v>22.000718390804597</v>
      </c>
      <c r="DH100" s="252">
        <f t="shared" ref="DH100:DH126" si="852">CE100</f>
        <v>0</v>
      </c>
      <c r="DI100" s="309">
        <f t="shared" ref="DI100:DI106" si="853">DG100-DH100</f>
        <v>22.000718390804597</v>
      </c>
      <c r="DJ100" s="42">
        <f>IF(DG100&lt;=0,1,0)+IF(DG100&gt;0,DG100+1,0)*1+IF(DG100&gt;12,DG100-12,0)*1+IF(DG100&gt;13,DG100-13,0)*1+IF(DG100&gt;14,DG100-14,0)*1+IF(DG100&gt;15,DG100-15,0)*1+IF(DG100&gt;16,DG100-16,0)*1+IF(DG100&gt;17,DG100-17,0)*1+IF(DG100&gt;18,DG100-18,0)*1+IF(DG100&gt;19,DG100-19,0)*1+IF(DG100&gt;20,DG100-20,0)*1</f>
        <v>77.007183908045945</v>
      </c>
      <c r="DK100" s="78">
        <f>IF(DH100&lt;=0,1,0)+IF(DH100&gt;0,DH100+1,0)*1+IF(DH100&gt;12,DH100-12,0)*1+IF(DH100&gt;13,DH100-13,0)*1+IF(DH100&gt;14,DH100-14,0)*1+IF(DH100&gt;15,DH100-15,0)*1+IF(DH100&gt;16,DH100-16,0)*1+IF(DH100&gt;17,DH100-17,0)*1+IF(DH100&gt;18,DH100-18,0)*1+IF(DH100&gt;19,DH100-19,0)*1+IF(DH100&gt;20,DH100-20,0)*1</f>
        <v>1</v>
      </c>
      <c r="DL100" s="241">
        <f t="shared" ref="DL100:DL106" si="854">IF((DJ100-DK100)&gt;0,DJ100-DK100,0)</f>
        <v>76.007183908045945</v>
      </c>
      <c r="DM100" s="42">
        <f t="shared" ref="DM100:DM106" si="855">IF((DK100-DJ100)&gt;0,DK100-DJ100,0)</f>
        <v>0</v>
      </c>
      <c r="DO100" s="302" t="s">
        <v>351</v>
      </c>
      <c r="DP100" s="43" t="s">
        <v>170</v>
      </c>
      <c r="DQ100" s="241" t="s">
        <v>133</v>
      </c>
      <c r="DR100" s="236"/>
      <c r="DS100" s="233">
        <f>Konvention_1slave-KLslave</f>
        <v>12</v>
      </c>
      <c r="DT100" s="233">
        <f>Konvention_1slave-INslave</f>
        <v>12</v>
      </c>
      <c r="DU100" s="233"/>
      <c r="DV100" s="233">
        <f>Konvention_1slave-FFslave</f>
        <v>12</v>
      </c>
      <c r="DW100" s="233"/>
      <c r="DX100" s="233"/>
      <c r="DY100" s="221"/>
      <c r="DZ100" s="220">
        <f>(DR100+DS100+DT100+DU100+DV100+DW100+DX100+DY100)/3</f>
        <v>12</v>
      </c>
      <c r="EA100" s="220">
        <f t="shared" ref="EA100:EA106" si="856">2*DZ100</f>
        <v>24</v>
      </c>
      <c r="EB100" s="221">
        <f t="shared" ref="EB100:EB106" si="857">3*DZ100</f>
        <v>36</v>
      </c>
      <c r="EC100" s="236">
        <f>DR100*POWER(KLslave,SIGN(DS100))*POWER(INslave,SIGN(DT100))*POWER(CHslave_CH,SIGN(DU100))*POWER(FFslave,SIGN(DV100))*POWER(GEslave,SIGN(DW100))*POWER(KOslave,SIGN(DX100))*POWER(KKslave,SIGN(DY100))+DS100*POWER(MUslave,SIGN(DR100))*POWER(INslave,SIGN(DT100))*POWER(CHslave_CH,SIGN(DU100))*POWER(FFslave,SIGN(DV100))*POWER(GEslave,SIGN(DW100))*POWER(KOslave,SIGN(DX100))*POWER(KKslave,SIGN(DY100))+DT100*POWER(MUslave,SIGN(DR100))*POWER(KLslave,SIGN(DS100))*POWER(CHslave_CH,SIGN(DU100))*POWER(FFslave,SIGN(DV100))*POWER(GEslave,SIGN(DW100))*POWER(KOslave,SIGN(DX100))*POWER(KKslave,SIGN(DY100))+DU100*POWER(MUslave,SIGN(DR100))*POWER(KLslave,SIGN(DS100))*POWER(INslave,SIGN(DT100))*POWER(FFslave,SIGN(DV100))*POWER(GEslave,SIGN(DW100))*POWER(KOslave,SIGN(DX100))*POWER(KKslave,SIGN(DY100))+DV100*POWER(MUslave,SIGN(DR100))*POWER(KLslave,SIGN(DS100))*POWER(INslave,SIGN(DT100))*POWER(CHslave_CH,SIGN(DU100))*POWER(GEslave,SIGN(DW100))*POWER(KOslave,SIGN(DX100))*POWER(KKslave,SIGN(DY100))+DW100*POWER(MUslave,SIGN(DR100))*POWER(KLslave,SIGN(DS100))*POWER(INslave,SIGN(DT100))*POWER(CHslave_CH,SIGN(DU100))*POWER(FFslave,SIGN(DV100))*POWER(KOslave,SIGN(DX100))*POWER(KKslave,SIGN(DY100))+DX100*POWER(MUslave,SIGN(DR100))*POWER(KLslave,SIGN(DS100))*POWER(INslave,SIGN(DT100))*POWER(CHslave_CH,SIGN(DU100))*POWER(FFslave,SIGN(DV100))*POWER(GEslave,SIGN(DW100))*POWER(KKslave,SIGN(DY100))+DY100*POWER(MUslave,SIGN(DR100))*POWER(KLslave,SIGN(DS100))*POWER(INslave,SIGN(DT100))*POWER(CHslave_CH,SIGN(DU100))*POWER(FFslave,SIGN(DV100))*POWER(GEslave,SIGN(DW100))*POWER(KOslave,SIGN(DX100))</f>
        <v>2304</v>
      </c>
      <c r="ED100" s="316">
        <f>DS100*DT100*FFslave+DS100*INslave*DV100+KLslave*DT100*DV100</f>
        <v>3456</v>
      </c>
      <c r="EE100" s="221">
        <f>IFERROR(DR100^SIGN(DR100),1)*IFERROR(DS100^SIGN(DS100),1)*IFERROR(DT100^SIGN(DT100),1)*IFERROR(DU100^SIGN(DU100),1)*IFERROR(DV100^SIGN(DV100),1)*IFERROR(DW100^SIGN(DW100),1)*IFERROR(DX100^SIGN(DX100),1)*IFERROR(DY100^SIGN(DY100),1)</f>
        <v>1728</v>
      </c>
      <c r="EF100" s="221">
        <f t="shared" ref="EF100:EF106" si="858">SUM(EC100:EE100)</f>
        <v>7488</v>
      </c>
      <c r="EG100" s="219">
        <f t="shared" ref="EG100:EG106" si="859">DZ100*EC100/EF100</f>
        <v>3.6923076923076925</v>
      </c>
      <c r="EH100" s="220">
        <f t="shared" ref="EH100:EH106" si="860">EA100*ED100/EF100</f>
        <v>11.076923076923077</v>
      </c>
      <c r="EI100" s="241">
        <f t="shared" ref="EI100:EI106" si="861">EB100*EE100/EF100</f>
        <v>8.3076923076923084</v>
      </c>
      <c r="EJ100" s="241">
        <f t="shared" ref="EJ100:EJ106" si="862">SUM(EG100:EI100)</f>
        <v>23.07692307692308</v>
      </c>
      <c r="EK100" s="252">
        <f t="shared" ref="EK100:EK126" si="863">DH100</f>
        <v>0</v>
      </c>
      <c r="EL100" s="309">
        <f t="shared" ref="EL100:EL106" si="864">EJ100-EK100</f>
        <v>23.07692307692308</v>
      </c>
      <c r="EM100" s="42">
        <f>IF(EJ100&lt;=0,1,0)+IF(EJ100&gt;0,EJ100+1,0)*1+IF(EJ100&gt;12,EJ100-12,0)*1+IF(EJ100&gt;13,EJ100-13,0)*1+IF(EJ100&gt;14,EJ100-14,0)*1+IF(EJ100&gt;15,EJ100-15,0)*1+IF(EJ100&gt;16,EJ100-16,0)*1+IF(EJ100&gt;17,EJ100-17,0)*1+IF(EJ100&gt;18,EJ100-18,0)*1+IF(EJ100&gt;19,EJ100-19,0)*1+IF(EJ100&gt;20,EJ100-20,0)*1</f>
        <v>87.769230769230802</v>
      </c>
      <c r="EN100" s="78">
        <f>IF(EK100&lt;=0,1,0)+IF(EK100&gt;0,EK100+1,0)*1+IF(EK100&gt;12,EK100-12,0)*1+IF(EK100&gt;13,EK100-13,0)*1+IF(EK100&gt;14,EK100-14,0)*1+IF(EK100&gt;15,EK100-15,0)*1+IF(EK100&gt;16,EK100-16,0)*1+IF(EK100&gt;17,EK100-17,0)*1+IF(EK100&gt;18,EK100-18,0)*1+IF(EK100&gt;19,EK100-19,0)*1+IF(EK100&gt;20,EK100-20,0)*1</f>
        <v>1</v>
      </c>
      <c r="EO100" s="241">
        <f t="shared" ref="EO100:EO106" si="865">IF((EM100-EN100)&gt;0,EM100-EN100,0)</f>
        <v>86.769230769230802</v>
      </c>
      <c r="EP100" s="42">
        <f t="shared" ref="EP100:EP106" si="866">IF((EN100-EM100)&gt;0,EN100-EM100,0)</f>
        <v>0</v>
      </c>
      <c r="ER100" s="302" t="s">
        <v>351</v>
      </c>
      <c r="ES100" s="43" t="s">
        <v>170</v>
      </c>
      <c r="ET100" s="241" t="s">
        <v>133</v>
      </c>
      <c r="EU100" s="236"/>
      <c r="EV100" s="233">
        <f>Konvention_1slave-KLslave</f>
        <v>12</v>
      </c>
      <c r="EW100" s="233">
        <f>Konvention_1slave-INslave</f>
        <v>12</v>
      </c>
      <c r="EX100" s="233"/>
      <c r="EY100" s="233">
        <f>Konvention_1slave-FFslave_FF</f>
        <v>11</v>
      </c>
      <c r="EZ100" s="233"/>
      <c r="FA100" s="233"/>
      <c r="FB100" s="221"/>
      <c r="FC100" s="220">
        <f>(EU100+EV100+EW100+EX100+EY100+EZ100+FA100+FB100)/3</f>
        <v>11.666666666666666</v>
      </c>
      <c r="FD100" s="220">
        <f t="shared" ref="FD100:FD106" si="867">2*FC100</f>
        <v>23.333333333333332</v>
      </c>
      <c r="FE100" s="221">
        <f t="shared" ref="FE100:FE106" si="868">3*FC100</f>
        <v>35</v>
      </c>
      <c r="FF100" s="236">
        <f>EU100*POWER(KLslave,SIGN(EV100))*POWER(INslave,SIGN(EW100))*POWER(CHslave,SIGN(EX100))*POWER(FFslave_FF,SIGN(EY100))*POWER(GEslave,SIGN(EZ100))*POWER(KOslave,SIGN(FA100))*POWER(KKslave,SIGN(FB100))+EV100*POWER(MUslave,SIGN(EU100))*POWER(INslave,SIGN(EW100))*POWER(CHslave,SIGN(EX100))*POWER(FFslave_FF,SIGN(EY100))*POWER(GEslave,SIGN(EZ100))*POWER(KOslave,SIGN(FA100))*POWER(KKslave,SIGN(FB100))+EW100*POWER(MUslave,SIGN(EU100))*POWER(KLslave,SIGN(EV100))*POWER(CHslave,SIGN(EX100))*POWER(FFslave_FF,SIGN(EY100))*POWER(GEslave,SIGN(EZ100))*POWER(KOslave,SIGN(FA100))*POWER(KKslave,SIGN(FB100))+EX100*POWER(MUslave,SIGN(EU100))*POWER(KLslave,SIGN(EV100))*POWER(INslave,SIGN(EW100))*POWER(FFslave_FF,SIGN(EY100))*POWER(GEslave,SIGN(EZ100))*POWER(KOslave,SIGN(FA100))*POWER(KKslave,SIGN(FB100))+EY100*POWER(MUslave,SIGN(EU100))*POWER(KLslave,SIGN(EV100))*POWER(INslave,SIGN(EW100))*POWER(CHslave,SIGN(EX100))*POWER(GEslave,SIGN(EZ100))*POWER(KOslave,SIGN(FA100))*POWER(KKslave,SIGN(FB100))+EZ100*POWER(MUslave,SIGN(EU100))*POWER(KLslave,SIGN(EV100))*POWER(INslave,SIGN(EW100))*POWER(CHslave,SIGN(EX100))*POWER(FFslave_FF,SIGN(EY100))*POWER(KOslave,SIGN(FA100))*POWER(KKslave,SIGN(FB100))+FA100*POWER(MUslave,SIGN(EU100))*POWER(KLslave,SIGN(EV100))*POWER(INslave,SIGN(EW100))*POWER(CHslave,SIGN(EX100))*POWER(FFslave_FF,SIGN(EY100))*POWER(GEslave,SIGN(EZ100))*POWER(KKslave,SIGN(FB100))+FB100*POWER(MUslave,SIGN(EU100))*POWER(KLslave,SIGN(EV100))*POWER(INslave,SIGN(EW100))*POWER(CHslave,SIGN(EX100))*POWER(FFslave_FF,SIGN(EY100))*POWER(GEslave,SIGN(EZ100))*POWER(KOslave,SIGN(FA100))</f>
        <v>2432</v>
      </c>
      <c r="FG100" s="316">
        <f>EV100*EW100*FFslave_FF+EV100*INslave*EY100+KLslave*EW100*EY100</f>
        <v>3408</v>
      </c>
      <c r="FH100" s="221">
        <f>IFERROR(EU100^SIGN(EU100),1)*IFERROR(EV100^SIGN(EV100),1)*IFERROR(EW100^SIGN(EW100),1)*IFERROR(EX100^SIGN(EX100),1)*IFERROR(EY100^SIGN(EY100),1)*IFERROR(EZ100^SIGN(EZ100),1)*IFERROR(FA100^SIGN(FA100),1)*IFERROR(FB100^SIGN(FB100),1)</f>
        <v>1584</v>
      </c>
      <c r="FI100" s="221">
        <f t="shared" ref="FI100:FI106" si="869">SUM(FF100:FH100)</f>
        <v>7424</v>
      </c>
      <c r="FJ100" s="219">
        <f t="shared" ref="FJ100:FJ106" si="870">FC100*FF100/FI100</f>
        <v>3.8218390804597702</v>
      </c>
      <c r="FK100" s="220">
        <f t="shared" ref="FK100:FK106" si="871">FD100*FG100/FI100</f>
        <v>10.711206896551724</v>
      </c>
      <c r="FL100" s="241">
        <f t="shared" ref="FL100:FL106" si="872">FE100*FH100/FI100</f>
        <v>7.4676724137931032</v>
      </c>
      <c r="FM100" s="241">
        <f t="shared" ref="FM100:FM106" si="873">SUM(FJ100:FL100)</f>
        <v>22.000718390804597</v>
      </c>
      <c r="FN100" s="252">
        <f t="shared" ref="FN100:FN126" si="874">EK100</f>
        <v>0</v>
      </c>
      <c r="FO100" s="309">
        <f t="shared" ref="FO100:FO106" si="875">FM100-FN100</f>
        <v>22.000718390804597</v>
      </c>
      <c r="FP100" s="42">
        <f>IF(FM100&lt;=0,1,0)+IF(FM100&gt;0,FM100+1,0)*1+IF(FM100&gt;12,FM100-12,0)*1+IF(FM100&gt;13,FM100-13,0)*1+IF(FM100&gt;14,FM100-14,0)*1+IF(FM100&gt;15,FM100-15,0)*1+IF(FM100&gt;16,FM100-16,0)*1+IF(FM100&gt;17,FM100-17,0)*1+IF(FM100&gt;18,FM100-18,0)*1+IF(FM100&gt;19,FM100-19,0)*1+IF(FM100&gt;20,FM100-20,0)*1</f>
        <v>77.007183908045945</v>
      </c>
      <c r="FQ100" s="78">
        <f>IF(FN100&lt;=0,1,0)+IF(FN100&gt;0,FN100+1,0)*1+IF(FN100&gt;12,FN100-12,0)*1+IF(FN100&gt;13,FN100-13,0)*1+IF(FN100&gt;14,FN100-14,0)*1+IF(FN100&gt;15,FN100-15,0)*1+IF(FN100&gt;16,FN100-16,0)*1+IF(FN100&gt;17,FN100-17,0)*1+IF(FN100&gt;18,FN100-18,0)*1+IF(FN100&gt;19,FN100-19,0)*1+IF(FN100&gt;20,FN100-20,0)*1</f>
        <v>1</v>
      </c>
      <c r="FR100" s="241">
        <f t="shared" ref="FR100:FR106" si="876">IF((FP100-FQ100)&gt;0,FP100-FQ100,0)</f>
        <v>76.007183908045945</v>
      </c>
      <c r="FS100" s="42">
        <f t="shared" ref="FS100:FS106" si="877">IF((FQ100-FP100)&gt;0,FQ100-FP100,0)</f>
        <v>0</v>
      </c>
      <c r="FU100" s="302" t="s">
        <v>351</v>
      </c>
      <c r="FV100" s="43" t="s">
        <v>170</v>
      </c>
      <c r="FW100" s="241" t="s">
        <v>133</v>
      </c>
      <c r="FX100" s="236"/>
      <c r="FY100" s="233">
        <f>Konvention_1slave-KLslave</f>
        <v>12</v>
      </c>
      <c r="FZ100" s="233">
        <f>Konvention_1slave-INslave</f>
        <v>12</v>
      </c>
      <c r="GA100" s="233"/>
      <c r="GB100" s="233">
        <f>Konvention_1slave-FFslave</f>
        <v>12</v>
      </c>
      <c r="GC100" s="233"/>
      <c r="GD100" s="233"/>
      <c r="GE100" s="221"/>
      <c r="GF100" s="220">
        <f>(FX100+FY100+FZ100+GA100+GB100+GC100+GD100+GE100)/3</f>
        <v>12</v>
      </c>
      <c r="GG100" s="220">
        <f t="shared" ref="GG100:GG106" si="878">2*GF100</f>
        <v>24</v>
      </c>
      <c r="GH100" s="221">
        <f t="shared" ref="GH100:GH106" si="879">3*GF100</f>
        <v>36</v>
      </c>
      <c r="GI100" s="236">
        <f>FX100*POWER(KLslave,SIGN(FY100))*POWER(INslave,SIGN(FZ100))*POWER(CHslave,SIGN(GA100))*POWER(FFslave,SIGN(GB100))*POWER(GEslave_GE,SIGN(GC100))*POWER(KOslave,SIGN(GD100))*POWER(KKslave,SIGN(GE100))+FY100*POWER(MUslave,SIGN(FX100))*POWER(INslave,SIGN(FZ100))*POWER(CHslave,SIGN(GA100))*POWER(FFslave,SIGN(GB100))*POWER(GEslave_GE,SIGN(GC100))*POWER(KOslave,SIGN(GD100))*POWER(KKslave,SIGN(GE100))+FZ100*POWER(MUslave,SIGN(FX100))*POWER(KLslave,SIGN(FY100))*POWER(CHslave,SIGN(GA100))*POWER(FFslave,SIGN(GB100))*POWER(GEslave_GE,SIGN(GC100))*POWER(KOslave,SIGN(GD100))*POWER(KKslave,SIGN(GE100))+GA100*POWER(MUslave,SIGN(FX100))*POWER(KLslave,SIGN(FY100))*POWER(INslave,SIGN(FZ100))*POWER(FFslave,SIGN(GB100))*POWER(GEslave_GE,SIGN(GC100))*POWER(KOslave,SIGN(GD100))*POWER(KKslave,SIGN(GE100))+GB100*POWER(MUslave,SIGN(FX100))*POWER(KLslave,SIGN(FY100))*POWER(INslave,SIGN(FZ100))*POWER(CHslave,SIGN(GA100))*POWER(GEslave_GE,SIGN(GC100))*POWER(KOslave,SIGN(GD100))*POWER(KKslave,SIGN(GE100))+GC100*POWER(MUslave,SIGN(FX100))*POWER(KLslave,SIGN(FY100))*POWER(INslave,SIGN(FZ100))*POWER(CHslave,SIGN(GA100))*POWER(FFslave,SIGN(GB100))*POWER(KOslave,SIGN(GD100))*POWER(KKslave,SIGN(GE100))+GD100*POWER(MUslave,SIGN(FX100))*POWER(KLslave,SIGN(FY100))*POWER(INslave,SIGN(FZ100))*POWER(CHslave,SIGN(GA100))*POWER(FFslave,SIGN(GB100))*POWER(GEslave_GE,SIGN(GC100))*POWER(KKslave,SIGN(GE100))+GE100*POWER(MUslave,SIGN(FX100))*POWER(KLslave,SIGN(FY100))*POWER(INslave,SIGN(FZ100))*POWER(CHslave,SIGN(GA100))*POWER(FFslave,SIGN(GB100))*POWER(GEslave_GE,SIGN(GC100))*POWER(KOslave,SIGN(GD100))</f>
        <v>2304</v>
      </c>
      <c r="GJ100" s="316">
        <f>FY100*FZ100*FFslave+FY100*INslave*GB100+KLslave*FZ100*GB100</f>
        <v>3456</v>
      </c>
      <c r="GK100" s="221">
        <f>IFERROR(FX100^SIGN(FX100),1)*IFERROR(FY100^SIGN(FY100),1)*IFERROR(FZ100^SIGN(FZ100),1)*IFERROR(GA100^SIGN(GA100),1)*IFERROR(GB100^SIGN(GB100),1)*IFERROR(GC100^SIGN(GC100),1)*IFERROR(GD100^SIGN(GD100),1)*IFERROR(GE100^SIGN(GE100),1)</f>
        <v>1728</v>
      </c>
      <c r="GL100" s="221">
        <f t="shared" ref="GL100:GL106" si="880">SUM(GI100:GK100)</f>
        <v>7488</v>
      </c>
      <c r="GM100" s="219">
        <f t="shared" ref="GM100:GM106" si="881">GF100*GI100/GL100</f>
        <v>3.6923076923076925</v>
      </c>
      <c r="GN100" s="220">
        <f t="shared" ref="GN100:GN106" si="882">GG100*GJ100/GL100</f>
        <v>11.076923076923077</v>
      </c>
      <c r="GO100" s="241">
        <f t="shared" ref="GO100:GO106" si="883">GH100*GK100/GL100</f>
        <v>8.3076923076923084</v>
      </c>
      <c r="GP100" s="241">
        <f t="shared" ref="GP100:GP106" si="884">SUM(GM100:GO100)</f>
        <v>23.07692307692308</v>
      </c>
      <c r="GQ100" s="252">
        <f t="shared" ref="GQ100:GQ126" si="885">FN100</f>
        <v>0</v>
      </c>
      <c r="GR100" s="309">
        <f t="shared" ref="GR100:GR106" si="886">GP100-GQ100</f>
        <v>23.07692307692308</v>
      </c>
      <c r="GS100" s="42">
        <f>IF(GP100&lt;=0,1,0)+IF(GP100&gt;0,GP100+1,0)*1+IF(GP100&gt;12,GP100-12,0)*1+IF(GP100&gt;13,GP100-13,0)*1+IF(GP100&gt;14,GP100-14,0)*1+IF(GP100&gt;15,GP100-15,0)*1+IF(GP100&gt;16,GP100-16,0)*1+IF(GP100&gt;17,GP100-17,0)*1+IF(GP100&gt;18,GP100-18,0)*1+IF(GP100&gt;19,GP100-19,0)*1+IF(GP100&gt;20,GP100-20,0)*1</f>
        <v>87.769230769230802</v>
      </c>
      <c r="GT100" s="78">
        <f>IF(GQ100&lt;=0,1,0)+IF(GQ100&gt;0,GQ100+1,0)*1+IF(GQ100&gt;12,GQ100-12,0)*1+IF(GQ100&gt;13,GQ100-13,0)*1+IF(GQ100&gt;14,GQ100-14,0)*1+IF(GQ100&gt;15,GQ100-15,0)*1+IF(GQ100&gt;16,GQ100-16,0)*1+IF(GQ100&gt;17,GQ100-17,0)*1+IF(GQ100&gt;18,GQ100-18,0)*1+IF(GQ100&gt;19,GQ100-19,0)*1+IF(GQ100&gt;20,GQ100-20,0)*1</f>
        <v>1</v>
      </c>
      <c r="GU100" s="241">
        <f t="shared" ref="GU100:GU106" si="887">IF((GS100-GT100)&gt;0,GS100-GT100,0)</f>
        <v>86.769230769230802</v>
      </c>
      <c r="GV100" s="42">
        <f t="shared" ref="GV100:GV106" si="888">IF((GT100-GS100)&gt;0,GT100-GS100,0)</f>
        <v>0</v>
      </c>
      <c r="GX100" s="302" t="s">
        <v>351</v>
      </c>
      <c r="GY100" s="43" t="s">
        <v>170</v>
      </c>
      <c r="GZ100" s="241" t="s">
        <v>133</v>
      </c>
      <c r="HA100" s="236"/>
      <c r="HB100" s="233">
        <f>Konvention_1slave-KLslave</f>
        <v>12</v>
      </c>
      <c r="HC100" s="233">
        <f>Konvention_1slave-INslave</f>
        <v>12</v>
      </c>
      <c r="HD100" s="233"/>
      <c r="HE100" s="233">
        <f>Konvention_1slave-FFslave</f>
        <v>12</v>
      </c>
      <c r="HF100" s="233"/>
      <c r="HG100" s="233"/>
      <c r="HH100" s="221"/>
      <c r="HI100" s="220">
        <f>(HA100+HB100+HC100+HD100+HE100+HF100+HG100+HH100)/3</f>
        <v>12</v>
      </c>
      <c r="HJ100" s="220">
        <f t="shared" ref="HJ100:HJ106" si="889">2*HI100</f>
        <v>24</v>
      </c>
      <c r="HK100" s="221">
        <f t="shared" ref="HK100:HK106" si="890">3*HI100</f>
        <v>36</v>
      </c>
      <c r="HL100" s="236">
        <f>HA100*POWER(KLslave,SIGN(HB100))*POWER(INslave,SIGN(HC100))*POWER(CHslave,SIGN(HD100))*POWER(FFslave,SIGN(HE100))*POWER(GEslave,SIGN(HF100))*POWER(KOslave_KO,SIGN(HG100))*POWER(KKslave,SIGN(HH100))+HB100*POWER(MUslave,SIGN(HA100))*POWER(INslave,SIGN(HC100))*POWER(CHslave,SIGN(HD100))*POWER(FFslave,SIGN(HE100))*POWER(GEslave,SIGN(HF100))*POWER(KOslave_KO,SIGN(HG100))*POWER(KKslave,SIGN(HH100))+HC100*POWER(MUslave,SIGN(HA100))*POWER(KLslave,SIGN(HB100))*POWER(CHslave,SIGN(HD100))*POWER(FFslave,SIGN(HE100))*POWER(GEslave,SIGN(HF100))*POWER(KOslave_KO,SIGN(HG100))*POWER(KKslave,SIGN(HH100))+HD100*POWER(MUslave,SIGN(HA100))*POWER(KLslave,SIGN(HB100))*POWER(INslave,SIGN(HC100))*POWER(FFslave,SIGN(HE100))*POWER(GEslave,SIGN(HF100))*POWER(KOslave_KO,SIGN(HG100))*POWER(KKslave,SIGN(HH100))+HE100*POWER(MUslave,SIGN(HA100))*POWER(KLslave,SIGN(HB100))*POWER(INslave,SIGN(HC100))*POWER(CHslave,SIGN(HD100))*POWER(GEslave,SIGN(HF100))*POWER(KOslave_KO,SIGN(HG100))*POWER(KKslave,SIGN(HH100))+HF100*POWER(MUslave,SIGN(HA100))*POWER(KLslave,SIGN(HB100))*POWER(INslave,SIGN(HC100))*POWER(CHslave,SIGN(HD100))*POWER(FFslave,SIGN(HE100))*POWER(KOslave_KO,SIGN(HG100))*POWER(KKslave,SIGN(HH100))+HG100*POWER(MUslave,SIGN(HA100))*POWER(KLslave,SIGN(HB100))*POWER(INslave,SIGN(HC100))*POWER(CHslave,SIGN(HD100))*POWER(FFslave,SIGN(HE100))*POWER(GEslave,SIGN(HF100))*POWER(KKslave,SIGN(HH100))+HH100*POWER(MUslave,SIGN(HA100))*POWER(KLslave,SIGN(HB100))*POWER(INslave,SIGN(HC100))*POWER(CHslave,SIGN(HD100))*POWER(FFslave,SIGN(HE100))*POWER(GEslave,SIGN(HF100))*POWER(KOslave_KO,SIGN(HG100))</f>
        <v>2304</v>
      </c>
      <c r="HM100" s="316">
        <f>HB100*HC100*FFslave+HB100*INslave*HE100+KLslave*HC100*HE100</f>
        <v>3456</v>
      </c>
      <c r="HN100" s="221">
        <f>IFERROR(HA100^SIGN(HA100),1)*IFERROR(HB100^SIGN(HB100),1)*IFERROR(HC100^SIGN(HC100),1)*IFERROR(HD100^SIGN(HD100),1)*IFERROR(HE100^SIGN(HE100),1)*IFERROR(HF100^SIGN(HF100),1)*IFERROR(HG100^SIGN(HG100),1)*IFERROR(HH100^SIGN(HH100),1)</f>
        <v>1728</v>
      </c>
      <c r="HO100" s="221">
        <f t="shared" ref="HO100:HO106" si="891">SUM(HL100:HN100)</f>
        <v>7488</v>
      </c>
      <c r="HP100" s="219">
        <f t="shared" ref="HP100:HP106" si="892">HI100*HL100/HO100</f>
        <v>3.6923076923076925</v>
      </c>
      <c r="HQ100" s="220">
        <f t="shared" ref="HQ100:HQ106" si="893">HJ100*HM100/HO100</f>
        <v>11.076923076923077</v>
      </c>
      <c r="HR100" s="241">
        <f t="shared" ref="HR100:HR106" si="894">HK100*HN100/HO100</f>
        <v>8.3076923076923084</v>
      </c>
      <c r="HS100" s="241">
        <f t="shared" ref="HS100:HS106" si="895">SUM(HP100:HR100)</f>
        <v>23.07692307692308</v>
      </c>
      <c r="HT100" s="252">
        <f t="shared" ref="HT100:HT126" si="896">GQ100</f>
        <v>0</v>
      </c>
      <c r="HU100" s="309">
        <f t="shared" ref="HU100:HU106" si="897">HS100-HT100</f>
        <v>23.07692307692308</v>
      </c>
      <c r="HV100" s="42">
        <f>IF(HS100&lt;=0,1,0)+IF(HS100&gt;0,HS100+1,0)*1+IF(HS100&gt;12,HS100-12,0)*1+IF(HS100&gt;13,HS100-13,0)*1+IF(HS100&gt;14,HS100-14,0)*1+IF(HS100&gt;15,HS100-15,0)*1+IF(HS100&gt;16,HS100-16,0)*1+IF(HS100&gt;17,HS100-17,0)*1+IF(HS100&gt;18,HS100-18,0)*1+IF(HS100&gt;19,HS100-19,0)*1+IF(HS100&gt;20,HS100-20,0)*1</f>
        <v>87.769230769230802</v>
      </c>
      <c r="HW100" s="78">
        <f>IF(HT100&lt;=0,1,0)+IF(HT100&gt;0,HT100+1,0)*1+IF(HT100&gt;12,HT100-12,0)*1+IF(HT100&gt;13,HT100-13,0)*1+IF(HT100&gt;14,HT100-14,0)*1+IF(HT100&gt;15,HT100-15,0)*1+IF(HT100&gt;16,HT100-16,0)*1+IF(HT100&gt;17,HT100-17,0)*1+IF(HT100&gt;18,HT100-18,0)*1+IF(HT100&gt;19,HT100-19,0)*1+IF(HT100&gt;20,HT100-20,0)*1</f>
        <v>1</v>
      </c>
      <c r="HX100" s="241">
        <f t="shared" ref="HX100:HX106" si="898">IF((HV100-HW100)&gt;0,HV100-HW100,0)</f>
        <v>86.769230769230802</v>
      </c>
      <c r="HY100" s="42">
        <f t="shared" ref="HY100:HY106" si="899">IF((HW100-HV100)&gt;0,HW100-HV100,0)</f>
        <v>0</v>
      </c>
      <c r="IA100" s="302" t="s">
        <v>351</v>
      </c>
      <c r="IB100" s="43" t="s">
        <v>170</v>
      </c>
      <c r="IC100" s="241" t="s">
        <v>133</v>
      </c>
      <c r="ID100" s="236"/>
      <c r="IE100" s="233">
        <f>Konvention_1slave-KLslave</f>
        <v>12</v>
      </c>
      <c r="IF100" s="233">
        <f>Konvention_1slave-INslave</f>
        <v>12</v>
      </c>
      <c r="IG100" s="233"/>
      <c r="IH100" s="233">
        <f>Konvention_1slave-FFslave</f>
        <v>12</v>
      </c>
      <c r="II100" s="233"/>
      <c r="IJ100" s="233"/>
      <c r="IK100" s="221"/>
      <c r="IL100" s="220">
        <f>(ID100+IE100+IF100+IG100+IH100+II100+IJ100+IK100)/3</f>
        <v>12</v>
      </c>
      <c r="IM100" s="220">
        <f t="shared" ref="IM100:IM106" si="900">2*IL100</f>
        <v>24</v>
      </c>
      <c r="IN100" s="221">
        <f t="shared" ref="IN100:IN106" si="901">3*IL100</f>
        <v>36</v>
      </c>
      <c r="IO100" s="236">
        <f>ID100*POWER(KLslave,SIGN(IE100))*POWER(INslave,SIGN(IF100))*POWER(CHslave,SIGN(IG100))*POWER(FFslave,SIGN(IH100))*POWER(GEslave,SIGN(II100))*POWER(KOslave,SIGN(IJ100))*POWER(KKslave_KK,SIGN(IK100))+IE100*POWER(MUslave,SIGN(ID100))*POWER(INslave,SIGN(IF100))*POWER(CHslave,SIGN(IG100))*POWER(FFslave,SIGN(IH100))*POWER(GEslave,SIGN(II100))*POWER(KOslave,SIGN(IJ100))*POWER(KKslave_KK,SIGN(IK100))+IF100*POWER(MUslave,SIGN(ID100))*POWER(KLslave,SIGN(IE100))*POWER(CHslave,SIGN(IG100))*POWER(FFslave,SIGN(IH100))*POWER(GEslave,SIGN(II100))*POWER(KOslave,SIGN(IJ100))*POWER(KKslave_KK,SIGN(IK100))+IG100*POWER(MUslave,SIGN(ID100))*POWER(KLslave,SIGN(IE100))*POWER(INslave,SIGN(IF100))*POWER(FFslave,SIGN(IH100))*POWER(GEslave,SIGN(II100))*POWER(KOslave,SIGN(IJ100))*POWER(KKslave_KK,SIGN(IK100))+IH100*POWER(MUslave,SIGN(ID100))*POWER(KLslave,SIGN(IE100))*POWER(INslave,SIGN(IF100))*POWER(CHslave,SIGN(IG100))*POWER(GEslave,SIGN(II100))*POWER(KOslave,SIGN(IJ100))*POWER(KKslave_KK,SIGN(IK100))+II100*POWER(MUslave,SIGN(ID100))*POWER(KLslave,SIGN(IE100))*POWER(INslave,SIGN(IF100))*POWER(CHslave,SIGN(IG100))*POWER(FFslave,SIGN(IH100))*POWER(KOslave,SIGN(IJ100))*POWER(KKslave_KK,SIGN(IK100))+IJ100*POWER(MUslave,SIGN(ID100))*POWER(KLslave,SIGN(IE100))*POWER(INslave,SIGN(IF100))*POWER(CHslave,SIGN(IG100))*POWER(FFslave,SIGN(IH100))*POWER(GEslave,SIGN(II100))*POWER(KKslave_KK,SIGN(IK100))+IK100*POWER(MUslave,SIGN(ID100))*POWER(KLslave,SIGN(IE100))*POWER(INslave,SIGN(IF100))*POWER(CHslave,SIGN(IG100))*POWER(FFslave,SIGN(IH100))*POWER(GEslave,SIGN(II100))*POWER(KOslave,SIGN(IJ100))</f>
        <v>2304</v>
      </c>
      <c r="IP100" s="316">
        <f>IE100*IF100*FFslave+IE100*INslave*IH100+KLslave*IF100*IH100</f>
        <v>3456</v>
      </c>
      <c r="IQ100" s="221">
        <f>IFERROR(ID100^SIGN(ID100),1)*IFERROR(IE100^SIGN(IE100),1)*IFERROR(IF100^SIGN(IF100),1)*IFERROR(IG100^SIGN(IG100),1)*IFERROR(IH100^SIGN(IH100),1)*IFERROR(II100^SIGN(II100),1)*IFERROR(IJ100^SIGN(IJ100),1)*IFERROR(IK100^SIGN(IK100),1)</f>
        <v>1728</v>
      </c>
      <c r="IR100" s="221">
        <f t="shared" ref="IR100:IR106" si="902">SUM(IO100:IQ100)</f>
        <v>7488</v>
      </c>
      <c r="IS100" s="219">
        <f t="shared" ref="IS100:IS106" si="903">IL100*IO100/IR100</f>
        <v>3.6923076923076925</v>
      </c>
      <c r="IT100" s="220">
        <f t="shared" ref="IT100:IT106" si="904">IM100*IP100/IR100</f>
        <v>11.076923076923077</v>
      </c>
      <c r="IU100" s="241">
        <f t="shared" ref="IU100:IU106" si="905">IN100*IQ100/IR100</f>
        <v>8.3076923076923084</v>
      </c>
      <c r="IV100" s="241">
        <f t="shared" ref="IV100:IV106" si="906">SUM(IS100:IU100)</f>
        <v>23.07692307692308</v>
      </c>
      <c r="IW100" s="252">
        <f t="shared" ref="IW100:IW126" si="907">HT100</f>
        <v>0</v>
      </c>
      <c r="IX100" s="309">
        <f t="shared" ref="IX100:IX106" si="908">IV100-IW100</f>
        <v>23.07692307692308</v>
      </c>
      <c r="IY100" s="42">
        <f>IF(IV100&lt;=0,1,0)+IF(IV100&gt;0,IV100+1,0)*1+IF(IV100&gt;12,IV100-12,0)*1+IF(IV100&gt;13,IV100-13,0)*1+IF(IV100&gt;14,IV100-14,0)*1+IF(IV100&gt;15,IV100-15,0)*1+IF(IV100&gt;16,IV100-16,0)*1+IF(IV100&gt;17,IV100-17,0)*1+IF(IV100&gt;18,IV100-18,0)*1+IF(IV100&gt;19,IV100-19,0)*1+IF(IV100&gt;20,IV100-20,0)*1</f>
        <v>87.769230769230802</v>
      </c>
      <c r="IZ100" s="78">
        <f>IF(IW100&lt;=0,1,0)+IF(IW100&gt;0,IW100+1,0)*1+IF(IW100&gt;12,IW100-12,0)*1+IF(IW100&gt;13,IW100-13,0)*1+IF(IW100&gt;14,IW100-14,0)*1+IF(IW100&gt;15,IW100-15,0)*1+IF(IW100&gt;16,IW100-16,0)*1+IF(IW100&gt;17,IW100-17,0)*1+IF(IW100&gt;18,IW100-18,0)*1+IF(IW100&gt;19,IW100-19,0)*1+IF(IW100&gt;20,IW100-20,0)*1</f>
        <v>1</v>
      </c>
      <c r="JA100" s="241">
        <f t="shared" ref="JA100:JA106" si="909">IF((IY100-IZ100)&gt;0,IY100-IZ100,0)</f>
        <v>86.769230769230802</v>
      </c>
      <c r="JB100" s="42">
        <f t="shared" ref="JB100:JB106" si="910">IF((IZ100-IY100)&gt;0,IZ100-IY100,0)</f>
        <v>0</v>
      </c>
      <c r="JE100" s="148"/>
    </row>
    <row r="101" spans="2:265" ht="15" hidden="1" customHeight="1" outlineLevel="2">
      <c r="B101" s="148">
        <v>2</v>
      </c>
      <c r="C101" s="303" t="e">
        <f>VLOOKUP(AF101,Attribute!C:T,1,FALSE)</f>
        <v>#N/A</v>
      </c>
      <c r="D101" s="86" t="s">
        <v>172</v>
      </c>
      <c r="E101" s="167" t="s">
        <v>133</v>
      </c>
      <c r="F101" s="120">
        <f>Konvention_1master-MUmaster</f>
        <v>12</v>
      </c>
      <c r="G101" s="117"/>
      <c r="H101" s="117"/>
      <c r="I101" s="117">
        <f>Konvention_1master-CHmaster</f>
        <v>12</v>
      </c>
      <c r="J101" s="117"/>
      <c r="K101" s="117">
        <f>Konvention_1master-GEmaster</f>
        <v>12</v>
      </c>
      <c r="L101" s="117"/>
      <c r="M101" s="121"/>
      <c r="N101" s="223">
        <f>(F101+G101+H101+I101+J101+K101+L101+M101)/3</f>
        <v>12</v>
      </c>
      <c r="O101" s="223">
        <f t="shared" si="813"/>
        <v>24</v>
      </c>
      <c r="P101" s="224">
        <f t="shared" si="814"/>
        <v>36</v>
      </c>
      <c r="Q101" s="237">
        <f>F101*POWER(KLmaster,SIGN(G101))*POWER(INmaster,SIGN(H101))*POWER(CHmaster,SIGN(I101))*POWER(FFmaster,SIGN(J101))*POWER(GEmaster,SIGN(K101))*POWER(KOmaster,SIGN(L101))*POWER(KKmaster,SIGN(M101))+G101*POWER(MUmaster,SIGN(F101))*POWER(INmaster,SIGN(H101))*POWER(CHmaster,SIGN(I101))*POWER(FFmaster,SIGN(J101))*POWER(GEmaster,SIGN(K101))*POWER(KOmaster,SIGN(L101))*POWER(KKmaster,SIGN(M101))+H101*POWER(MUmaster,SIGN(F101))*POWER(KLmaster,SIGN(G101))*POWER(CHmaster,SIGN(I101))*POWER(FFmaster,SIGN(J101))*POWER(GEmaster,SIGN(K101))*POWER(KOmaster,SIGN(L101))*POWER(KKmaster,SIGN(M101))+I101*POWER(MUmaster,SIGN(F101))*POWER(KLmaster,SIGN(G101))*POWER(INmaster,SIGN(H101))*POWER(FFmaster,SIGN(J101))*POWER(GEmaster,SIGN(K101))*POWER(KOmaster,SIGN(L101))*POWER(KKmaster,SIGN(M101))+J101*POWER(MUmaster,SIGN(F101))*POWER(KLmaster,SIGN(G101))*POWER(INmaster,SIGN(H101))*POWER(CHmaster,SIGN(I101))*POWER(GEmaster,SIGN(K101))*POWER(KOmaster,SIGN(L101))*POWER(KKmaster,SIGN(M101))+K101*POWER(MUmaster,SIGN(F101))*POWER(KLmaster,SIGN(G101))*POWER(INmaster,SIGN(H101))*POWER(CHmaster,SIGN(I101))*POWER(FFmaster,SIGN(J101))*POWER(KOmaster,SIGN(L101))*POWER(KKmaster,SIGN(M101))+L101*POWER(MUmaster,SIGN(F101))*POWER(KLmaster,SIGN(G101))*POWER(INmaster,SIGN(H101))*POWER(CHmaster,SIGN(I101))*POWER(FFmaster,SIGN(J101))*POWER(GEmaster,SIGN(K101))*POWER(KKmaster,SIGN(M101))+M101*POWER(MUmaster,SIGN(F101))*POWER(KLmaster,SIGN(G101))*POWER(INmaster,SIGN(H101))*POWER(CHmaster,SIGN(I101))*POWER(FFmaster,SIGN(J101))*POWER(GEmaster,SIGN(K101))*POWER(KOmaster,SIGN(L101))</f>
        <v>2304</v>
      </c>
      <c r="R101" s="117">
        <f>F101*I101*GEmaster+F101*CHmaster*K101+MUmaster*I101*K101</f>
        <v>3456</v>
      </c>
      <c r="S101" s="224">
        <f>IFERROR(F101^SIGN(F101),1)*IFERROR(G101^SIGN(G101),1)*IFERROR(H101^SIGN(H101),1)*IFERROR(I101^SIGN(I101),1)*IFERROR(J101^SIGN(J101),1)*IFERROR(K101^SIGN(K101),1)*IFERROR(L101^SIGN(L101),1)*IFERROR(M101^SIGN(M101),1)</f>
        <v>1728</v>
      </c>
      <c r="T101" s="224">
        <f t="shared" si="815"/>
        <v>7488</v>
      </c>
      <c r="U101" s="222">
        <f t="shared" si="816"/>
        <v>3.6923076923076925</v>
      </c>
      <c r="V101" s="223">
        <f t="shared" si="817"/>
        <v>11.076923076923077</v>
      </c>
      <c r="W101" s="243">
        <f t="shared" si="818"/>
        <v>8.3076923076923084</v>
      </c>
      <c r="X101" s="243">
        <f t="shared" si="819"/>
        <v>23.07692307692308</v>
      </c>
      <c r="Y101" s="252">
        <v>0</v>
      </c>
      <c r="Z101" s="198">
        <f t="shared" si="820"/>
        <v>23.07692307692308</v>
      </c>
      <c r="AA101" s="125">
        <f>IF(X101&lt;=0,1,0)+IF(X101&gt;0,X101+1,0)*1+IF(X101&gt;12,X101-12,0)*1+IF(X101&gt;13,X101-13,0)*1+IF(X101&gt;14,X101-14,0)*1+IF(X101&gt;15,X101-15,0)*1+IF(X101&gt;16,X101-16,0)*1+IF(X101&gt;17,X101-17,0)*1+IF(X101&gt;18,X101-18,0)*1+IF(X101&gt;19,X101-19,0)*1+IF(X101&gt;20,X101-20,0)*1</f>
        <v>87.769230769230802</v>
      </c>
      <c r="AB101" s="160">
        <f>IF(Y101&lt;=0,1,0)+IF(Y101&gt;0,Y101+1,0)*1+IF(Y101&gt;12,Y101-12,0)*1+IF(Y101&gt;13,Y101-13,0)*1+IF(Y101&gt;14,Y101-14,0)*1+IF(Y101&gt;15,Y101-15,0)*1+IF(Y101&gt;16,Y101-16,0)*1+IF(Y101&gt;17,Y101-17,0)*1+IF(Y101&gt;18,Y101-18,0)*1+IF(Y101&gt;19,Y101-19,0)*1+IF(Y101&gt;20,Y101-20,0)*1</f>
        <v>1</v>
      </c>
      <c r="AC101" s="127">
        <f t="shared" si="821"/>
        <v>86.769230769230802</v>
      </c>
      <c r="AD101" s="125">
        <f t="shared" si="822"/>
        <v>0</v>
      </c>
      <c r="AF101" s="163" t="s">
        <v>352</v>
      </c>
      <c r="AG101" s="86" t="s">
        <v>172</v>
      </c>
      <c r="AH101" s="167" t="s">
        <v>133</v>
      </c>
      <c r="AI101" s="120">
        <f>Konvention_1slave-MUslave_MU</f>
        <v>11</v>
      </c>
      <c r="AJ101" s="117"/>
      <c r="AK101" s="117"/>
      <c r="AL101" s="117">
        <f>Konvention_1slave-CHslave</f>
        <v>12</v>
      </c>
      <c r="AM101" s="117"/>
      <c r="AN101" s="117">
        <f>Konvention_1slave-GEslave</f>
        <v>12</v>
      </c>
      <c r="AO101" s="117"/>
      <c r="AP101" s="121"/>
      <c r="AQ101" s="47">
        <f>(AI101+AJ101+AK101+AL101+AM101+AN101+AO101+AP101)/3</f>
        <v>11.666666666666666</v>
      </c>
      <c r="AR101" s="3">
        <f t="shared" si="823"/>
        <v>23.333333333333332</v>
      </c>
      <c r="AS101" s="174">
        <f t="shared" si="824"/>
        <v>35</v>
      </c>
      <c r="AT101" s="114">
        <f>AI101*POWER(KLslave,SIGN(AJ101))*POWER(INslave,SIGN(AK101))*POWER(CHslave,SIGN(AL101))*POWER(FFslave,SIGN(AM101))*POWER(GEslave,SIGN(AN101))*POWER(KOslave,SIGN(AO101))*POWER(KKslave,SIGN(AP101))+AJ101*POWER(MUslave_MU,SIGN(AI101))*POWER(INslave,SIGN(AK101))*POWER(CHslave,SIGN(AL101))*POWER(FFslave,SIGN(AM101))*POWER(GEslave,SIGN(AN101))*POWER(KOslave,SIGN(AO101))*POWER(KKslave,SIGN(AP101))+AK101*POWER(MUslave_MU,SIGN(AI101))*POWER(KLslave,SIGN(AJ101))*POWER(CHslave,SIGN(AL101))*POWER(FFslave,SIGN(AM101))*POWER(GEslave,SIGN(AN101))*POWER(KOslave,SIGN(AO101))*POWER(KKslave,SIGN(AP101))+AL101*POWER(MUslave_MU,SIGN(AI101))*POWER(KLslave,SIGN(AJ101))*POWER(INslave,SIGN(AK101))*POWER(FFslave,SIGN(AM101))*POWER(GEslave,SIGN(AN101))*POWER(KOslave,SIGN(AO101))*POWER(KKslave,SIGN(AP101))+AM101*POWER(MUslave_MU,SIGN(AI101))*POWER(KLslave,SIGN(AJ101))*POWER(INslave,SIGN(AK101))*POWER(CHslave,SIGN(AL101))*POWER(GEslave,SIGN(AN101))*POWER(KOslave,SIGN(AO101))*POWER(KKslave,SIGN(AP101))+AN101*POWER(MUslave_MU,SIGN(AI101))*POWER(KLslave,SIGN(AJ101))*POWER(INslave,SIGN(AK101))*POWER(CHslave,SIGN(AL101))*POWER(FFslave,SIGN(AM101))*POWER(KOslave,SIGN(AO101))*POWER(KKslave,SIGN(AP101))+AO101*POWER(MUslave_MU,SIGN(AI101))*POWER(KLslave,SIGN(AJ101))*POWER(INslave,SIGN(AK101))*POWER(CHslave,SIGN(AL101))*POWER(FFslave,SIGN(AM101))*POWER(GEslave,SIGN(AN101))*POWER(KKslave,SIGN(AP101))+AP101*POWER(MUslave_MU,SIGN(AI101))*POWER(KLslave,SIGN(AJ101))*POWER(INslave,SIGN(AK101))*POWER(CHslave,SIGN(AL101))*POWER(FFslave,SIGN(AM101))*POWER(GEslave,SIGN(AN101))*POWER(KOslave,SIGN(AO101))</f>
        <v>2432</v>
      </c>
      <c r="AU101" s="117">
        <f>AI101*AL101*GEslave+AI101*CHslave*AN101+MUslave_MU*AL101*AN101</f>
        <v>3408</v>
      </c>
      <c r="AV101" s="119">
        <f>IFERROR(AI101^SIGN(AI101),1)*IFERROR(AJ101^SIGN(AJ101),1)*IFERROR(AK101^SIGN(AK101),1)*IFERROR(AL101^SIGN(AL101),1)*IFERROR(AM101^SIGN(AM101),1)*IFERROR(AN101^SIGN(AN101),1)*IFERROR(AO101^SIGN(AO101),1)*IFERROR(AP101^SIGN(AP101),1)</f>
        <v>1584</v>
      </c>
      <c r="AW101" s="119">
        <f t="shared" si="825"/>
        <v>7424</v>
      </c>
      <c r="AX101" s="89">
        <f t="shared" si="826"/>
        <v>3.8218390804597702</v>
      </c>
      <c r="AY101" s="47">
        <f t="shared" si="827"/>
        <v>10.711206896551724</v>
      </c>
      <c r="AZ101" s="127">
        <f t="shared" si="828"/>
        <v>7.4676724137931032</v>
      </c>
      <c r="BA101" s="127">
        <f t="shared" si="829"/>
        <v>22.000718390804597</v>
      </c>
      <c r="BB101" s="165">
        <f t="shared" si="830"/>
        <v>0</v>
      </c>
      <c r="BC101" s="198">
        <f t="shared" si="831"/>
        <v>22.000718390804597</v>
      </c>
      <c r="BD101" s="125">
        <f>IF(BA101&lt;=0,1,0)+IF(BA101&gt;0,BA101+1,0)*1+IF(BA101&gt;12,BA101-12,0)*1+IF(BA101&gt;13,BA101-13,0)*1+IF(BA101&gt;14,BA101-14,0)*1+IF(BA101&gt;15,BA101-15,0)*1+IF(BA101&gt;16,BA101-16,0)*1+IF(BA101&gt;17,BA101-17,0)*1+IF(BA101&gt;18,BA101-18,0)*1+IF(BA101&gt;19,BA101-19,0)*1+IF(BA101&gt;20,BA101-20,0)*1</f>
        <v>77.007183908045945</v>
      </c>
      <c r="BE101" s="160">
        <f>IF(BB101&lt;=0,1,0)+IF(BB101&gt;0,BB101+1,0)*1+IF(BB101&gt;12,BB101-12,0)*1+IF(BB101&gt;13,BB101-13,0)*1+IF(BB101&gt;14,BB101-14,0)*1+IF(BB101&gt;15,BB101-15,0)*1+IF(BB101&gt;16,BB101-16,0)*1+IF(BB101&gt;17,BB101-17,0)*1+IF(BB101&gt;18,BB101-18,0)*1+IF(BB101&gt;19,BB101-19,0)*1+IF(BB101&gt;20,BB101-20,0)*1</f>
        <v>1</v>
      </c>
      <c r="BF101" s="243">
        <f t="shared" si="832"/>
        <v>76.007183908045945</v>
      </c>
      <c r="BG101" s="218">
        <f t="shared" si="833"/>
        <v>0</v>
      </c>
      <c r="BI101" s="303" t="s">
        <v>352</v>
      </c>
      <c r="BJ101" s="304" t="s">
        <v>172</v>
      </c>
      <c r="BK101" s="305" t="s">
        <v>133</v>
      </c>
      <c r="BL101" s="317">
        <f>Konvention_1slave-MUslave</f>
        <v>12</v>
      </c>
      <c r="BM101" s="254"/>
      <c r="BN101" s="254"/>
      <c r="BO101" s="254">
        <f>Konvention_1slave-CHslave</f>
        <v>12</v>
      </c>
      <c r="BP101" s="254"/>
      <c r="BQ101" s="254">
        <f>Konvention_1slave-GEslave</f>
        <v>12</v>
      </c>
      <c r="BR101" s="254"/>
      <c r="BS101" s="318"/>
      <c r="BT101" s="223">
        <f>(BL101+BM101+BN101+BO101+BP101+BQ101+BR101+BS101)/3</f>
        <v>12</v>
      </c>
      <c r="BU101" s="223">
        <f t="shared" si="834"/>
        <v>24</v>
      </c>
      <c r="BV101" s="224">
        <f t="shared" si="835"/>
        <v>36</v>
      </c>
      <c r="BW101" s="237">
        <f>BL101*POWER(KLslave_KL,SIGN(BM101))*POWER(INslave,SIGN(BN101))*POWER(CHslave,SIGN(BO101))*POWER(FFslave,SIGN(BP101))*POWER(GEslave,SIGN(BQ101))*POWER(KOslave,SIGN(BR101))*POWER(KKslave,SIGN(BS101))+BM101*POWER(MUslave,SIGN(BL101))*POWER(INslave,SIGN(BN101))*POWER(CHslave,SIGN(BO101))*POWER(FFslave,SIGN(BP101))*POWER(GEslave,SIGN(BQ101))*POWER(KOslave,SIGN(BR101))*POWER(KKslave,SIGN(BS101))+BN101*POWER(MUslave,SIGN(BL101))*POWER(KLslave_KL,SIGN(BM101))*POWER(CHslave,SIGN(BO101))*POWER(FFslave,SIGN(BP101))*POWER(GEslave,SIGN(BQ101))*POWER(KOslave,SIGN(BR101))*POWER(KKslave,SIGN(BS101))+BO101*POWER(MUslave,SIGN(BL101))*POWER(KLslave_KL,SIGN(BM101))*POWER(INslave,SIGN(BN101))*POWER(FFslave,SIGN(BP101))*POWER(GEslave,SIGN(BQ101))*POWER(KOslave,SIGN(BR101))*POWER(KKslave,SIGN(BS101))+BP101*POWER(MUslave,SIGN(BL101))*POWER(KLslave_KL,SIGN(BM101))*POWER(INslave,SIGN(BN101))*POWER(CHslave,SIGN(BO101))*POWER(GEslave,SIGN(BQ101))*POWER(KOslave,SIGN(BR101))*POWER(KKslave,SIGN(BS101))+BQ101*POWER(MUslave,SIGN(BL101))*POWER(KLslave_KL,SIGN(BM101))*POWER(INslave,SIGN(BN101))*POWER(CHslave,SIGN(BO101))*POWER(FFslave,SIGN(BP101))*POWER(KOslave,SIGN(BR101))*POWER(KKslave,SIGN(BS101))+BR101*POWER(MUslave,SIGN(BL101))*POWER(KLslave_KL,SIGN(BM101))*POWER(INslave,SIGN(BN101))*POWER(CHslave,SIGN(BO101))*POWER(FFslave,SIGN(BP101))*POWER(GEslave,SIGN(BQ101))*POWER(KKslave,SIGN(BS101))+BS101*POWER(MUslave,SIGN(BL101))*POWER(KLslave_KL,SIGN(BM101))*POWER(INslave,SIGN(BN101))*POWER(CHslave,SIGN(BO101))*POWER(FFslave,SIGN(BP101))*POWER(GEslave,SIGN(BQ101))*POWER(KOslave,SIGN(BR101))</f>
        <v>2304</v>
      </c>
      <c r="BX101" s="254">
        <f>BL101*BO101*GEslave+BL101*CHslave*BQ101+MUslave*BO101*BQ101</f>
        <v>3456</v>
      </c>
      <c r="BY101" s="224">
        <f>IFERROR(BL101^SIGN(BL101),1)*IFERROR(BM101^SIGN(BM101),1)*IFERROR(BN101^SIGN(BN101),1)*IFERROR(BO101^SIGN(BO101),1)*IFERROR(BP101^SIGN(BP101),1)*IFERROR(BQ101^SIGN(BQ101),1)*IFERROR(BR101^SIGN(BR101),1)*IFERROR(BS101^SIGN(BS101),1)</f>
        <v>1728</v>
      </c>
      <c r="BZ101" s="224">
        <f t="shared" si="836"/>
        <v>7488</v>
      </c>
      <c r="CA101" s="222">
        <f t="shared" si="837"/>
        <v>3.6923076923076925</v>
      </c>
      <c r="CB101" s="223">
        <f t="shared" si="838"/>
        <v>11.076923076923077</v>
      </c>
      <c r="CC101" s="243">
        <f t="shared" si="839"/>
        <v>8.3076923076923084</v>
      </c>
      <c r="CD101" s="243">
        <f t="shared" si="840"/>
        <v>23.07692307692308</v>
      </c>
      <c r="CE101" s="252">
        <f t="shared" si="841"/>
        <v>0</v>
      </c>
      <c r="CF101" s="309">
        <f t="shared" si="842"/>
        <v>23.07692307692308</v>
      </c>
      <c r="CG101" s="218">
        <f>IF(CD101&lt;=0,1,0)+IF(CD101&gt;0,CD101+1,0)*1+IF(CD101&gt;12,CD101-12,0)*1+IF(CD101&gt;13,CD101-13,0)*1+IF(CD101&gt;14,CD101-14,0)*1+IF(CD101&gt;15,CD101-15,0)*1+IF(CD101&gt;16,CD101-16,0)*1+IF(CD101&gt;17,CD101-17,0)*1+IF(CD101&gt;18,CD101-18,0)*1+IF(CD101&gt;19,CD101-19,0)*1+IF(CD101&gt;20,CD101-20,0)*1</f>
        <v>87.769230769230802</v>
      </c>
      <c r="CH101" s="242">
        <f>IF(CE101&lt;=0,1,0)+IF(CE101&gt;0,CE101+1,0)*1+IF(CE101&gt;12,CE101-12,0)*1+IF(CE101&gt;13,CE101-13,0)*1+IF(CE101&gt;14,CE101-14,0)*1+IF(CE101&gt;15,CE101-15,0)*1+IF(CE101&gt;16,CE101-16,0)*1+IF(CE101&gt;17,CE101-17,0)*1+IF(CE101&gt;18,CE101-18,0)*1+IF(CE101&gt;19,CE101-19,0)*1+IF(CE101&gt;20,CE101-20,0)*1</f>
        <v>1</v>
      </c>
      <c r="CI101" s="243">
        <f t="shared" si="843"/>
        <v>86.769230769230802</v>
      </c>
      <c r="CJ101" s="218">
        <f t="shared" si="844"/>
        <v>0</v>
      </c>
      <c r="CL101" s="303" t="s">
        <v>352</v>
      </c>
      <c r="CM101" s="304" t="s">
        <v>172</v>
      </c>
      <c r="CN101" s="305" t="s">
        <v>133</v>
      </c>
      <c r="CO101" s="317">
        <f>Konvention_1slave-MUslave</f>
        <v>12</v>
      </c>
      <c r="CP101" s="254"/>
      <c r="CQ101" s="254"/>
      <c r="CR101" s="254">
        <f>Konvention_1slave-CHslave</f>
        <v>12</v>
      </c>
      <c r="CS101" s="254"/>
      <c r="CT101" s="254">
        <f>Konvention_1slave-GEslave</f>
        <v>12</v>
      </c>
      <c r="CU101" s="254"/>
      <c r="CV101" s="318"/>
      <c r="CW101" s="223">
        <f>(CO101+CP101+CQ101+CR101+CS101+CT101+CU101+CV101)/3</f>
        <v>12</v>
      </c>
      <c r="CX101" s="223">
        <f t="shared" si="845"/>
        <v>24</v>
      </c>
      <c r="CY101" s="224">
        <f t="shared" si="846"/>
        <v>36</v>
      </c>
      <c r="CZ101" s="237">
        <f>CO101*POWER(KLslave,SIGN(CP101))*POWER(INslave_IN,SIGN(CQ101))*POWER(CHslave,SIGN(CR101))*POWER(FFslave,SIGN(CS101))*POWER(GEslave,SIGN(CT101))*POWER(KOslave,SIGN(CU101))*POWER(KKslave,SIGN(CV101))+CP101*POWER(MUslave,SIGN(CO101))*POWER(INslave_IN,SIGN(CQ101))*POWER(CHslave,SIGN(CR101))*POWER(FFslave,SIGN(CS101))*POWER(GEslave,SIGN(CT101))*POWER(KOslave,SIGN(CU101))*POWER(KKslave,SIGN(CV101))+CQ101*POWER(MUslave,SIGN(CO101))*POWER(KLslave,SIGN(CP101))*POWER(CHslave,SIGN(CR101))*POWER(FFslave,SIGN(CS101))*POWER(GEslave,SIGN(CT101))*POWER(KOslave,SIGN(CU101))*POWER(KKslave,SIGN(CV101))+CR101*POWER(MUslave,SIGN(CO101))*POWER(KLslave,SIGN(CP101))*POWER(INslave_IN,SIGN(CQ101))*POWER(FFslave,SIGN(CS101))*POWER(GEslave,SIGN(CT101))*POWER(KOslave,SIGN(CU101))*POWER(KKslave,SIGN(CV101))+CS101*POWER(MUslave,SIGN(CO101))*POWER(KLslave,SIGN(CP101))*POWER(INslave_IN,SIGN(CQ101))*POWER(CHslave,SIGN(CR101))*POWER(GEslave,SIGN(CT101))*POWER(KOslave,SIGN(CU101))*POWER(KKslave,SIGN(CV101))+CT101*POWER(MUslave,SIGN(CO101))*POWER(KLslave,SIGN(CP101))*POWER(INslave_IN,SIGN(CQ101))*POWER(CHslave,SIGN(CR101))*POWER(FFslave,SIGN(CS101))*POWER(KOslave,SIGN(CU101))*POWER(KKslave,SIGN(CV101))+CU101*POWER(MUslave,SIGN(CO101))*POWER(KLslave,SIGN(CP101))*POWER(INslave_IN,SIGN(CQ101))*POWER(CHslave,SIGN(CR101))*POWER(FFslave,SIGN(CS101))*POWER(GEslave,SIGN(CT101))*POWER(KKslave,SIGN(CV101))+CV101*POWER(MUslave,SIGN(CO101))*POWER(KLslave,SIGN(CP101))*POWER(INslave_IN,SIGN(CQ101))*POWER(CHslave,SIGN(CR101))*POWER(FFslave,SIGN(CS101))*POWER(GEslave,SIGN(CT101))*POWER(KOslave,SIGN(CU101))</f>
        <v>2304</v>
      </c>
      <c r="DA101" s="254">
        <f>CO101*CR101*GEslave+CO101*CHslave*CT101+MUslave*CR101*CT101</f>
        <v>3456</v>
      </c>
      <c r="DB101" s="224">
        <f>IFERROR(CO101^SIGN(CO101),1)*IFERROR(CP101^SIGN(CP101),1)*IFERROR(CQ101^SIGN(CQ101),1)*IFERROR(CR101^SIGN(CR101),1)*IFERROR(CS101^SIGN(CS101),1)*IFERROR(CT101^SIGN(CT101),1)*IFERROR(CU101^SIGN(CU101),1)*IFERROR(CV101^SIGN(CV101),1)</f>
        <v>1728</v>
      </c>
      <c r="DC101" s="224">
        <f t="shared" si="847"/>
        <v>7488</v>
      </c>
      <c r="DD101" s="222">
        <f t="shared" si="848"/>
        <v>3.6923076923076925</v>
      </c>
      <c r="DE101" s="223">
        <f t="shared" si="849"/>
        <v>11.076923076923077</v>
      </c>
      <c r="DF101" s="243">
        <f t="shared" si="850"/>
        <v>8.3076923076923084</v>
      </c>
      <c r="DG101" s="243">
        <f t="shared" si="851"/>
        <v>23.07692307692308</v>
      </c>
      <c r="DH101" s="252">
        <f t="shared" si="852"/>
        <v>0</v>
      </c>
      <c r="DI101" s="309">
        <f t="shared" si="853"/>
        <v>23.07692307692308</v>
      </c>
      <c r="DJ101" s="218">
        <f>IF(DG101&lt;=0,1,0)+IF(DG101&gt;0,DG101+1,0)*1+IF(DG101&gt;12,DG101-12,0)*1+IF(DG101&gt;13,DG101-13,0)*1+IF(DG101&gt;14,DG101-14,0)*1+IF(DG101&gt;15,DG101-15,0)*1+IF(DG101&gt;16,DG101-16,0)*1+IF(DG101&gt;17,DG101-17,0)*1+IF(DG101&gt;18,DG101-18,0)*1+IF(DG101&gt;19,DG101-19,0)*1+IF(DG101&gt;20,DG101-20,0)*1</f>
        <v>87.769230769230802</v>
      </c>
      <c r="DK101" s="242">
        <f>IF(DH101&lt;=0,1,0)+IF(DH101&gt;0,DH101+1,0)*1+IF(DH101&gt;12,DH101-12,0)*1+IF(DH101&gt;13,DH101-13,0)*1+IF(DH101&gt;14,DH101-14,0)*1+IF(DH101&gt;15,DH101-15,0)*1+IF(DH101&gt;16,DH101-16,0)*1+IF(DH101&gt;17,DH101-17,0)*1+IF(DH101&gt;18,DH101-18,0)*1+IF(DH101&gt;19,DH101-19,0)*1+IF(DH101&gt;20,DH101-20,0)*1</f>
        <v>1</v>
      </c>
      <c r="DL101" s="243">
        <f t="shared" si="854"/>
        <v>86.769230769230802</v>
      </c>
      <c r="DM101" s="218">
        <f t="shared" si="855"/>
        <v>0</v>
      </c>
      <c r="DO101" s="303" t="s">
        <v>352</v>
      </c>
      <c r="DP101" s="304" t="s">
        <v>172</v>
      </c>
      <c r="DQ101" s="305" t="s">
        <v>133</v>
      </c>
      <c r="DR101" s="317">
        <f>Konvention_1slave-MUslave</f>
        <v>12</v>
      </c>
      <c r="DS101" s="254"/>
      <c r="DT101" s="254"/>
      <c r="DU101" s="254">
        <f>Konvention_1slave-CHslave_CH</f>
        <v>11</v>
      </c>
      <c r="DV101" s="254"/>
      <c r="DW101" s="254">
        <f>Konvention_1slave-GEslave</f>
        <v>12</v>
      </c>
      <c r="DX101" s="254"/>
      <c r="DY101" s="318"/>
      <c r="DZ101" s="223">
        <f>(DR101+DS101+DT101+DU101+DV101+DW101+DX101+DY101)/3</f>
        <v>11.666666666666666</v>
      </c>
      <c r="EA101" s="223">
        <f t="shared" si="856"/>
        <v>23.333333333333332</v>
      </c>
      <c r="EB101" s="224">
        <f t="shared" si="857"/>
        <v>35</v>
      </c>
      <c r="EC101" s="237">
        <f>DR101*POWER(KLslave,SIGN(DS101))*POWER(INslave,SIGN(DT101))*POWER(CHslave_CH,SIGN(DU101))*POWER(FFslave,SIGN(DV101))*POWER(GEslave,SIGN(DW101))*POWER(KOslave,SIGN(DX101))*POWER(KKslave,SIGN(DY101))+DS101*POWER(MUslave,SIGN(DR101))*POWER(INslave,SIGN(DT101))*POWER(CHslave_CH,SIGN(DU101))*POWER(FFslave,SIGN(DV101))*POWER(GEslave,SIGN(DW101))*POWER(KOslave,SIGN(DX101))*POWER(KKslave,SIGN(DY101))+DT101*POWER(MUslave,SIGN(DR101))*POWER(KLslave,SIGN(DS101))*POWER(CHslave_CH,SIGN(DU101))*POWER(FFslave,SIGN(DV101))*POWER(GEslave,SIGN(DW101))*POWER(KOslave,SIGN(DX101))*POWER(KKslave,SIGN(DY101))+DU101*POWER(MUslave,SIGN(DR101))*POWER(KLslave,SIGN(DS101))*POWER(INslave,SIGN(DT101))*POWER(FFslave,SIGN(DV101))*POWER(GEslave,SIGN(DW101))*POWER(KOslave,SIGN(DX101))*POWER(KKslave,SIGN(DY101))+DV101*POWER(MUslave,SIGN(DR101))*POWER(KLslave,SIGN(DS101))*POWER(INslave,SIGN(DT101))*POWER(CHslave_CH,SIGN(DU101))*POWER(GEslave,SIGN(DW101))*POWER(KOslave,SIGN(DX101))*POWER(KKslave,SIGN(DY101))+DW101*POWER(MUslave,SIGN(DR101))*POWER(KLslave,SIGN(DS101))*POWER(INslave,SIGN(DT101))*POWER(CHslave_CH,SIGN(DU101))*POWER(FFslave,SIGN(DV101))*POWER(KOslave,SIGN(DX101))*POWER(KKslave,SIGN(DY101))+DX101*POWER(MUslave,SIGN(DR101))*POWER(KLslave,SIGN(DS101))*POWER(INslave,SIGN(DT101))*POWER(CHslave_CH,SIGN(DU101))*POWER(FFslave,SIGN(DV101))*POWER(GEslave,SIGN(DW101))*POWER(KKslave,SIGN(DY101))+DY101*POWER(MUslave,SIGN(DR101))*POWER(KLslave,SIGN(DS101))*POWER(INslave,SIGN(DT101))*POWER(CHslave_CH,SIGN(DU101))*POWER(FFslave,SIGN(DV101))*POWER(GEslave,SIGN(DW101))*POWER(KOslave,SIGN(DX101))</f>
        <v>2432</v>
      </c>
      <c r="ED101" s="254">
        <f>DR101*DU101*GEslave+DR101*CHslave_CH*DW101+MUslave*DU101*DW101</f>
        <v>3408</v>
      </c>
      <c r="EE101" s="224">
        <f>IFERROR(DR101^SIGN(DR101),1)*IFERROR(DS101^SIGN(DS101),1)*IFERROR(DT101^SIGN(DT101),1)*IFERROR(DU101^SIGN(DU101),1)*IFERROR(DV101^SIGN(DV101),1)*IFERROR(DW101^SIGN(DW101),1)*IFERROR(DX101^SIGN(DX101),1)*IFERROR(DY101^SIGN(DY101),1)</f>
        <v>1584</v>
      </c>
      <c r="EF101" s="224">
        <f t="shared" si="858"/>
        <v>7424</v>
      </c>
      <c r="EG101" s="222">
        <f t="shared" si="859"/>
        <v>3.8218390804597702</v>
      </c>
      <c r="EH101" s="223">
        <f t="shared" si="860"/>
        <v>10.711206896551724</v>
      </c>
      <c r="EI101" s="243">
        <f t="shared" si="861"/>
        <v>7.4676724137931032</v>
      </c>
      <c r="EJ101" s="243">
        <f t="shared" si="862"/>
        <v>22.000718390804597</v>
      </c>
      <c r="EK101" s="252">
        <f t="shared" si="863"/>
        <v>0</v>
      </c>
      <c r="EL101" s="309">
        <f t="shared" si="864"/>
        <v>22.000718390804597</v>
      </c>
      <c r="EM101" s="218">
        <f>IF(EJ101&lt;=0,1,0)+IF(EJ101&gt;0,EJ101+1,0)*1+IF(EJ101&gt;12,EJ101-12,0)*1+IF(EJ101&gt;13,EJ101-13,0)*1+IF(EJ101&gt;14,EJ101-14,0)*1+IF(EJ101&gt;15,EJ101-15,0)*1+IF(EJ101&gt;16,EJ101-16,0)*1+IF(EJ101&gt;17,EJ101-17,0)*1+IF(EJ101&gt;18,EJ101-18,0)*1+IF(EJ101&gt;19,EJ101-19,0)*1+IF(EJ101&gt;20,EJ101-20,0)*1</f>
        <v>77.007183908045945</v>
      </c>
      <c r="EN101" s="242">
        <f>IF(EK101&lt;=0,1,0)+IF(EK101&gt;0,EK101+1,0)*1+IF(EK101&gt;12,EK101-12,0)*1+IF(EK101&gt;13,EK101-13,0)*1+IF(EK101&gt;14,EK101-14,0)*1+IF(EK101&gt;15,EK101-15,0)*1+IF(EK101&gt;16,EK101-16,0)*1+IF(EK101&gt;17,EK101-17,0)*1+IF(EK101&gt;18,EK101-18,0)*1+IF(EK101&gt;19,EK101-19,0)*1+IF(EK101&gt;20,EK101-20,0)*1</f>
        <v>1</v>
      </c>
      <c r="EO101" s="243">
        <f t="shared" si="865"/>
        <v>76.007183908045945</v>
      </c>
      <c r="EP101" s="218">
        <f t="shared" si="866"/>
        <v>0</v>
      </c>
      <c r="ER101" s="303" t="s">
        <v>352</v>
      </c>
      <c r="ES101" s="304" t="s">
        <v>172</v>
      </c>
      <c r="ET101" s="305" t="s">
        <v>133</v>
      </c>
      <c r="EU101" s="317">
        <f>Konvention_1slave-MUslave</f>
        <v>12</v>
      </c>
      <c r="EV101" s="254"/>
      <c r="EW101" s="254"/>
      <c r="EX101" s="254">
        <f>Konvention_1slave-CHslave</f>
        <v>12</v>
      </c>
      <c r="EY101" s="254"/>
      <c r="EZ101" s="254">
        <f>Konvention_1slave-GEslave</f>
        <v>12</v>
      </c>
      <c r="FA101" s="254"/>
      <c r="FB101" s="318"/>
      <c r="FC101" s="223">
        <f>(EU101+EV101+EW101+EX101+EY101+EZ101+FA101+FB101)/3</f>
        <v>12</v>
      </c>
      <c r="FD101" s="223">
        <f t="shared" si="867"/>
        <v>24</v>
      </c>
      <c r="FE101" s="224">
        <f t="shared" si="868"/>
        <v>36</v>
      </c>
      <c r="FF101" s="237">
        <f>EU101*POWER(KLslave,SIGN(EV101))*POWER(INslave,SIGN(EW101))*POWER(CHslave,SIGN(EX101))*POWER(FFslave_FF,SIGN(EY101))*POWER(GEslave,SIGN(EZ101))*POWER(KOslave,SIGN(FA101))*POWER(KKslave,SIGN(FB101))+EV101*POWER(MUslave,SIGN(EU101))*POWER(INslave,SIGN(EW101))*POWER(CHslave,SIGN(EX101))*POWER(FFslave_FF,SIGN(EY101))*POWER(GEslave,SIGN(EZ101))*POWER(KOslave,SIGN(FA101))*POWER(KKslave,SIGN(FB101))+EW101*POWER(MUslave,SIGN(EU101))*POWER(KLslave,SIGN(EV101))*POWER(CHslave,SIGN(EX101))*POWER(FFslave_FF,SIGN(EY101))*POWER(GEslave,SIGN(EZ101))*POWER(KOslave,SIGN(FA101))*POWER(KKslave,SIGN(FB101))+EX101*POWER(MUslave,SIGN(EU101))*POWER(KLslave,SIGN(EV101))*POWER(INslave,SIGN(EW101))*POWER(FFslave_FF,SIGN(EY101))*POWER(GEslave,SIGN(EZ101))*POWER(KOslave,SIGN(FA101))*POWER(KKslave,SIGN(FB101))+EY101*POWER(MUslave,SIGN(EU101))*POWER(KLslave,SIGN(EV101))*POWER(INslave,SIGN(EW101))*POWER(CHslave,SIGN(EX101))*POWER(GEslave,SIGN(EZ101))*POWER(KOslave,SIGN(FA101))*POWER(KKslave,SIGN(FB101))+EZ101*POWER(MUslave,SIGN(EU101))*POWER(KLslave,SIGN(EV101))*POWER(INslave,SIGN(EW101))*POWER(CHslave,SIGN(EX101))*POWER(FFslave_FF,SIGN(EY101))*POWER(KOslave,SIGN(FA101))*POWER(KKslave,SIGN(FB101))+FA101*POWER(MUslave,SIGN(EU101))*POWER(KLslave,SIGN(EV101))*POWER(INslave,SIGN(EW101))*POWER(CHslave,SIGN(EX101))*POWER(FFslave_FF,SIGN(EY101))*POWER(GEslave,SIGN(EZ101))*POWER(KKslave,SIGN(FB101))+FB101*POWER(MUslave,SIGN(EU101))*POWER(KLslave,SIGN(EV101))*POWER(INslave,SIGN(EW101))*POWER(CHslave,SIGN(EX101))*POWER(FFslave_FF,SIGN(EY101))*POWER(GEslave,SIGN(EZ101))*POWER(KOslave,SIGN(FA101))</f>
        <v>2304</v>
      </c>
      <c r="FG101" s="254">
        <f>EU101*EX101*GEslave+EU101*CHslave*EZ101+MUslave*EX101*EZ101</f>
        <v>3456</v>
      </c>
      <c r="FH101" s="224">
        <f>IFERROR(EU101^SIGN(EU101),1)*IFERROR(EV101^SIGN(EV101),1)*IFERROR(EW101^SIGN(EW101),1)*IFERROR(EX101^SIGN(EX101),1)*IFERROR(EY101^SIGN(EY101),1)*IFERROR(EZ101^SIGN(EZ101),1)*IFERROR(FA101^SIGN(FA101),1)*IFERROR(FB101^SIGN(FB101),1)</f>
        <v>1728</v>
      </c>
      <c r="FI101" s="224">
        <f t="shared" si="869"/>
        <v>7488</v>
      </c>
      <c r="FJ101" s="222">
        <f t="shared" si="870"/>
        <v>3.6923076923076925</v>
      </c>
      <c r="FK101" s="223">
        <f t="shared" si="871"/>
        <v>11.076923076923077</v>
      </c>
      <c r="FL101" s="243">
        <f t="shared" si="872"/>
        <v>8.3076923076923084</v>
      </c>
      <c r="FM101" s="243">
        <f t="shared" si="873"/>
        <v>23.07692307692308</v>
      </c>
      <c r="FN101" s="252">
        <f t="shared" si="874"/>
        <v>0</v>
      </c>
      <c r="FO101" s="309">
        <f t="shared" si="875"/>
        <v>23.07692307692308</v>
      </c>
      <c r="FP101" s="218">
        <f>IF(FM101&lt;=0,1,0)+IF(FM101&gt;0,FM101+1,0)*1+IF(FM101&gt;12,FM101-12,0)*1+IF(FM101&gt;13,FM101-13,0)*1+IF(FM101&gt;14,FM101-14,0)*1+IF(FM101&gt;15,FM101-15,0)*1+IF(FM101&gt;16,FM101-16,0)*1+IF(FM101&gt;17,FM101-17,0)*1+IF(FM101&gt;18,FM101-18,0)*1+IF(FM101&gt;19,FM101-19,0)*1+IF(FM101&gt;20,FM101-20,0)*1</f>
        <v>87.769230769230802</v>
      </c>
      <c r="FQ101" s="242">
        <f>IF(FN101&lt;=0,1,0)+IF(FN101&gt;0,FN101+1,0)*1+IF(FN101&gt;12,FN101-12,0)*1+IF(FN101&gt;13,FN101-13,0)*1+IF(FN101&gt;14,FN101-14,0)*1+IF(FN101&gt;15,FN101-15,0)*1+IF(FN101&gt;16,FN101-16,0)*1+IF(FN101&gt;17,FN101-17,0)*1+IF(FN101&gt;18,FN101-18,0)*1+IF(FN101&gt;19,FN101-19,0)*1+IF(FN101&gt;20,FN101-20,0)*1</f>
        <v>1</v>
      </c>
      <c r="FR101" s="243">
        <f t="shared" si="876"/>
        <v>86.769230769230802</v>
      </c>
      <c r="FS101" s="218">
        <f t="shared" si="877"/>
        <v>0</v>
      </c>
      <c r="FU101" s="303" t="s">
        <v>352</v>
      </c>
      <c r="FV101" s="304" t="s">
        <v>172</v>
      </c>
      <c r="FW101" s="305" t="s">
        <v>133</v>
      </c>
      <c r="FX101" s="317">
        <f>Konvention_1slave-MUslave</f>
        <v>12</v>
      </c>
      <c r="FY101" s="254"/>
      <c r="FZ101" s="254"/>
      <c r="GA101" s="254">
        <f>Konvention_1slave-CHslave</f>
        <v>12</v>
      </c>
      <c r="GB101" s="254"/>
      <c r="GC101" s="254">
        <f>Konvention_1slave-GEslave_GE</f>
        <v>11</v>
      </c>
      <c r="GD101" s="254"/>
      <c r="GE101" s="318"/>
      <c r="GF101" s="223">
        <f>(FX101+FY101+FZ101+GA101+GB101+GC101+GD101+GE101)/3</f>
        <v>11.666666666666666</v>
      </c>
      <c r="GG101" s="223">
        <f t="shared" si="878"/>
        <v>23.333333333333332</v>
      </c>
      <c r="GH101" s="224">
        <f t="shared" si="879"/>
        <v>35</v>
      </c>
      <c r="GI101" s="237">
        <f>FX101*POWER(KLslave,SIGN(FY101))*POWER(INslave,SIGN(FZ101))*POWER(CHslave,SIGN(GA101))*POWER(FFslave,SIGN(GB101))*POWER(GEslave_GE,SIGN(GC101))*POWER(KOslave,SIGN(GD101))*POWER(KKslave,SIGN(GE101))+FY101*POWER(MUslave,SIGN(FX101))*POWER(INslave,SIGN(FZ101))*POWER(CHslave,SIGN(GA101))*POWER(FFslave,SIGN(GB101))*POWER(GEslave_GE,SIGN(GC101))*POWER(KOslave,SIGN(GD101))*POWER(KKslave,SIGN(GE101))+FZ101*POWER(MUslave,SIGN(FX101))*POWER(KLslave,SIGN(FY101))*POWER(CHslave,SIGN(GA101))*POWER(FFslave,SIGN(GB101))*POWER(GEslave_GE,SIGN(GC101))*POWER(KOslave,SIGN(GD101))*POWER(KKslave,SIGN(GE101))+GA101*POWER(MUslave,SIGN(FX101))*POWER(KLslave,SIGN(FY101))*POWER(INslave,SIGN(FZ101))*POWER(FFslave,SIGN(GB101))*POWER(GEslave_GE,SIGN(GC101))*POWER(KOslave,SIGN(GD101))*POWER(KKslave,SIGN(GE101))+GB101*POWER(MUslave,SIGN(FX101))*POWER(KLslave,SIGN(FY101))*POWER(INslave,SIGN(FZ101))*POWER(CHslave,SIGN(GA101))*POWER(GEslave_GE,SIGN(GC101))*POWER(KOslave,SIGN(GD101))*POWER(KKslave,SIGN(GE101))+GC101*POWER(MUslave,SIGN(FX101))*POWER(KLslave,SIGN(FY101))*POWER(INslave,SIGN(FZ101))*POWER(CHslave,SIGN(GA101))*POWER(FFslave,SIGN(GB101))*POWER(KOslave,SIGN(GD101))*POWER(KKslave,SIGN(GE101))+GD101*POWER(MUslave,SIGN(FX101))*POWER(KLslave,SIGN(FY101))*POWER(INslave,SIGN(FZ101))*POWER(CHslave,SIGN(GA101))*POWER(FFslave,SIGN(GB101))*POWER(GEslave_GE,SIGN(GC101))*POWER(KKslave,SIGN(GE101))+GE101*POWER(MUslave,SIGN(FX101))*POWER(KLslave,SIGN(FY101))*POWER(INslave,SIGN(FZ101))*POWER(CHslave,SIGN(GA101))*POWER(FFslave,SIGN(GB101))*POWER(GEslave_GE,SIGN(GC101))*POWER(KOslave,SIGN(GD101))</f>
        <v>2432</v>
      </c>
      <c r="GJ101" s="254">
        <f>FX101*GA101*GEslave_GE+FX101*CHslave*GC101+MUslave*GA101*GC101</f>
        <v>3408</v>
      </c>
      <c r="GK101" s="224">
        <f>IFERROR(FX101^SIGN(FX101),1)*IFERROR(FY101^SIGN(FY101),1)*IFERROR(FZ101^SIGN(FZ101),1)*IFERROR(GA101^SIGN(GA101),1)*IFERROR(GB101^SIGN(GB101),1)*IFERROR(GC101^SIGN(GC101),1)*IFERROR(GD101^SIGN(GD101),1)*IFERROR(GE101^SIGN(GE101),1)</f>
        <v>1584</v>
      </c>
      <c r="GL101" s="224">
        <f t="shared" si="880"/>
        <v>7424</v>
      </c>
      <c r="GM101" s="222">
        <f t="shared" si="881"/>
        <v>3.8218390804597702</v>
      </c>
      <c r="GN101" s="223">
        <f t="shared" si="882"/>
        <v>10.711206896551724</v>
      </c>
      <c r="GO101" s="243">
        <f t="shared" si="883"/>
        <v>7.4676724137931032</v>
      </c>
      <c r="GP101" s="243">
        <f t="shared" si="884"/>
        <v>22.000718390804597</v>
      </c>
      <c r="GQ101" s="252">
        <f t="shared" si="885"/>
        <v>0</v>
      </c>
      <c r="GR101" s="309">
        <f t="shared" si="886"/>
        <v>22.000718390804597</v>
      </c>
      <c r="GS101" s="218">
        <f>IF(GP101&lt;=0,1,0)+IF(GP101&gt;0,GP101+1,0)*1+IF(GP101&gt;12,GP101-12,0)*1+IF(GP101&gt;13,GP101-13,0)*1+IF(GP101&gt;14,GP101-14,0)*1+IF(GP101&gt;15,GP101-15,0)*1+IF(GP101&gt;16,GP101-16,0)*1+IF(GP101&gt;17,GP101-17,0)*1+IF(GP101&gt;18,GP101-18,0)*1+IF(GP101&gt;19,GP101-19,0)*1+IF(GP101&gt;20,GP101-20,0)*1</f>
        <v>77.007183908045945</v>
      </c>
      <c r="GT101" s="242">
        <f>IF(GQ101&lt;=0,1,0)+IF(GQ101&gt;0,GQ101+1,0)*1+IF(GQ101&gt;12,GQ101-12,0)*1+IF(GQ101&gt;13,GQ101-13,0)*1+IF(GQ101&gt;14,GQ101-14,0)*1+IF(GQ101&gt;15,GQ101-15,0)*1+IF(GQ101&gt;16,GQ101-16,0)*1+IF(GQ101&gt;17,GQ101-17,0)*1+IF(GQ101&gt;18,GQ101-18,0)*1+IF(GQ101&gt;19,GQ101-19,0)*1+IF(GQ101&gt;20,GQ101-20,0)*1</f>
        <v>1</v>
      </c>
      <c r="GU101" s="243">
        <f t="shared" si="887"/>
        <v>76.007183908045945</v>
      </c>
      <c r="GV101" s="218">
        <f t="shared" si="888"/>
        <v>0</v>
      </c>
      <c r="GX101" s="303" t="s">
        <v>352</v>
      </c>
      <c r="GY101" s="304" t="s">
        <v>172</v>
      </c>
      <c r="GZ101" s="305" t="s">
        <v>133</v>
      </c>
      <c r="HA101" s="317">
        <f>Konvention_1slave-MUslave</f>
        <v>12</v>
      </c>
      <c r="HB101" s="254"/>
      <c r="HC101" s="254"/>
      <c r="HD101" s="254">
        <f>Konvention_1slave-CHslave</f>
        <v>12</v>
      </c>
      <c r="HE101" s="254"/>
      <c r="HF101" s="254">
        <f>Konvention_1slave-GEslave</f>
        <v>12</v>
      </c>
      <c r="HG101" s="254"/>
      <c r="HH101" s="318"/>
      <c r="HI101" s="223">
        <f>(HA101+HB101+HC101+HD101+HE101+HF101+HG101+HH101)/3</f>
        <v>12</v>
      </c>
      <c r="HJ101" s="223">
        <f t="shared" si="889"/>
        <v>24</v>
      </c>
      <c r="HK101" s="224">
        <f t="shared" si="890"/>
        <v>36</v>
      </c>
      <c r="HL101" s="237">
        <f>HA101*POWER(KLslave,SIGN(HB101))*POWER(INslave,SIGN(HC101))*POWER(CHslave,SIGN(HD101))*POWER(FFslave,SIGN(HE101))*POWER(GEslave,SIGN(HF101))*POWER(KOslave_KO,SIGN(HG101))*POWER(KKslave,SIGN(HH101))+HB101*POWER(MUslave,SIGN(HA101))*POWER(INslave,SIGN(HC101))*POWER(CHslave,SIGN(HD101))*POWER(FFslave,SIGN(HE101))*POWER(GEslave,SIGN(HF101))*POWER(KOslave_KO,SIGN(HG101))*POWER(KKslave,SIGN(HH101))+HC101*POWER(MUslave,SIGN(HA101))*POWER(KLslave,SIGN(HB101))*POWER(CHslave,SIGN(HD101))*POWER(FFslave,SIGN(HE101))*POWER(GEslave,SIGN(HF101))*POWER(KOslave_KO,SIGN(HG101))*POWER(KKslave,SIGN(HH101))+HD101*POWER(MUslave,SIGN(HA101))*POWER(KLslave,SIGN(HB101))*POWER(INslave,SIGN(HC101))*POWER(FFslave,SIGN(HE101))*POWER(GEslave,SIGN(HF101))*POWER(KOslave_KO,SIGN(HG101))*POWER(KKslave,SIGN(HH101))+HE101*POWER(MUslave,SIGN(HA101))*POWER(KLslave,SIGN(HB101))*POWER(INslave,SIGN(HC101))*POWER(CHslave,SIGN(HD101))*POWER(GEslave,SIGN(HF101))*POWER(KOslave_KO,SIGN(HG101))*POWER(KKslave,SIGN(HH101))+HF101*POWER(MUslave,SIGN(HA101))*POWER(KLslave,SIGN(HB101))*POWER(INslave,SIGN(HC101))*POWER(CHslave,SIGN(HD101))*POWER(FFslave,SIGN(HE101))*POWER(KOslave_KO,SIGN(HG101))*POWER(KKslave,SIGN(HH101))+HG101*POWER(MUslave,SIGN(HA101))*POWER(KLslave,SIGN(HB101))*POWER(INslave,SIGN(HC101))*POWER(CHslave,SIGN(HD101))*POWER(FFslave,SIGN(HE101))*POWER(GEslave,SIGN(HF101))*POWER(KKslave,SIGN(HH101))+HH101*POWER(MUslave,SIGN(HA101))*POWER(KLslave,SIGN(HB101))*POWER(INslave,SIGN(HC101))*POWER(CHslave,SIGN(HD101))*POWER(FFslave,SIGN(HE101))*POWER(GEslave,SIGN(HF101))*POWER(KOslave_KO,SIGN(HG101))</f>
        <v>2304</v>
      </c>
      <c r="HM101" s="254">
        <f>HA101*HD101*GEslave+HA101*CHslave*HF101+MUslave*HD101*HF101</f>
        <v>3456</v>
      </c>
      <c r="HN101" s="224">
        <f>IFERROR(HA101^SIGN(HA101),1)*IFERROR(HB101^SIGN(HB101),1)*IFERROR(HC101^SIGN(HC101),1)*IFERROR(HD101^SIGN(HD101),1)*IFERROR(HE101^SIGN(HE101),1)*IFERROR(HF101^SIGN(HF101),1)*IFERROR(HG101^SIGN(HG101),1)*IFERROR(HH101^SIGN(HH101),1)</f>
        <v>1728</v>
      </c>
      <c r="HO101" s="224">
        <f t="shared" si="891"/>
        <v>7488</v>
      </c>
      <c r="HP101" s="222">
        <f t="shared" si="892"/>
        <v>3.6923076923076925</v>
      </c>
      <c r="HQ101" s="223">
        <f t="shared" si="893"/>
        <v>11.076923076923077</v>
      </c>
      <c r="HR101" s="243">
        <f t="shared" si="894"/>
        <v>8.3076923076923084</v>
      </c>
      <c r="HS101" s="243">
        <f t="shared" si="895"/>
        <v>23.07692307692308</v>
      </c>
      <c r="HT101" s="252">
        <f t="shared" si="896"/>
        <v>0</v>
      </c>
      <c r="HU101" s="309">
        <f t="shared" si="897"/>
        <v>23.07692307692308</v>
      </c>
      <c r="HV101" s="218">
        <f>IF(HS101&lt;=0,1,0)+IF(HS101&gt;0,HS101+1,0)*1+IF(HS101&gt;12,HS101-12,0)*1+IF(HS101&gt;13,HS101-13,0)*1+IF(HS101&gt;14,HS101-14,0)*1+IF(HS101&gt;15,HS101-15,0)*1+IF(HS101&gt;16,HS101-16,0)*1+IF(HS101&gt;17,HS101-17,0)*1+IF(HS101&gt;18,HS101-18,0)*1+IF(HS101&gt;19,HS101-19,0)*1+IF(HS101&gt;20,HS101-20,0)*1</f>
        <v>87.769230769230802</v>
      </c>
      <c r="HW101" s="242">
        <f>IF(HT101&lt;=0,1,0)+IF(HT101&gt;0,HT101+1,0)*1+IF(HT101&gt;12,HT101-12,0)*1+IF(HT101&gt;13,HT101-13,0)*1+IF(HT101&gt;14,HT101-14,0)*1+IF(HT101&gt;15,HT101-15,0)*1+IF(HT101&gt;16,HT101-16,0)*1+IF(HT101&gt;17,HT101-17,0)*1+IF(HT101&gt;18,HT101-18,0)*1+IF(HT101&gt;19,HT101-19,0)*1+IF(HT101&gt;20,HT101-20,0)*1</f>
        <v>1</v>
      </c>
      <c r="HX101" s="243">
        <f t="shared" si="898"/>
        <v>86.769230769230802</v>
      </c>
      <c r="HY101" s="218">
        <f t="shared" si="899"/>
        <v>0</v>
      </c>
      <c r="IA101" s="303" t="s">
        <v>352</v>
      </c>
      <c r="IB101" s="304" t="s">
        <v>172</v>
      </c>
      <c r="IC101" s="305" t="s">
        <v>133</v>
      </c>
      <c r="ID101" s="317">
        <f>Konvention_1slave-MUslave</f>
        <v>12</v>
      </c>
      <c r="IE101" s="254"/>
      <c r="IF101" s="254"/>
      <c r="IG101" s="254">
        <f>Konvention_1slave-CHslave</f>
        <v>12</v>
      </c>
      <c r="IH101" s="254"/>
      <c r="II101" s="254">
        <f>Konvention_1slave-GEslave</f>
        <v>12</v>
      </c>
      <c r="IJ101" s="254"/>
      <c r="IK101" s="318"/>
      <c r="IL101" s="223">
        <f>(ID101+IE101+IF101+IG101+IH101+II101+IJ101+IK101)/3</f>
        <v>12</v>
      </c>
      <c r="IM101" s="223">
        <f t="shared" si="900"/>
        <v>24</v>
      </c>
      <c r="IN101" s="224">
        <f t="shared" si="901"/>
        <v>36</v>
      </c>
      <c r="IO101" s="237">
        <f>ID101*POWER(KLslave,SIGN(IE101))*POWER(INslave,SIGN(IF101))*POWER(CHslave,SIGN(IG101))*POWER(FFslave,SIGN(IH101))*POWER(GEslave,SIGN(II101))*POWER(KOslave,SIGN(IJ101))*POWER(KKslave_KK,SIGN(IK101))+IE101*POWER(MUslave,SIGN(ID101))*POWER(INslave,SIGN(IF101))*POWER(CHslave,SIGN(IG101))*POWER(FFslave,SIGN(IH101))*POWER(GEslave,SIGN(II101))*POWER(KOslave,SIGN(IJ101))*POWER(KKslave_KK,SIGN(IK101))+IF101*POWER(MUslave,SIGN(ID101))*POWER(KLslave,SIGN(IE101))*POWER(CHslave,SIGN(IG101))*POWER(FFslave,SIGN(IH101))*POWER(GEslave,SIGN(II101))*POWER(KOslave,SIGN(IJ101))*POWER(KKslave_KK,SIGN(IK101))+IG101*POWER(MUslave,SIGN(ID101))*POWER(KLslave,SIGN(IE101))*POWER(INslave,SIGN(IF101))*POWER(FFslave,SIGN(IH101))*POWER(GEslave,SIGN(II101))*POWER(KOslave,SIGN(IJ101))*POWER(KKslave_KK,SIGN(IK101))+IH101*POWER(MUslave,SIGN(ID101))*POWER(KLslave,SIGN(IE101))*POWER(INslave,SIGN(IF101))*POWER(CHslave,SIGN(IG101))*POWER(GEslave,SIGN(II101))*POWER(KOslave,SIGN(IJ101))*POWER(KKslave_KK,SIGN(IK101))+II101*POWER(MUslave,SIGN(ID101))*POWER(KLslave,SIGN(IE101))*POWER(INslave,SIGN(IF101))*POWER(CHslave,SIGN(IG101))*POWER(FFslave,SIGN(IH101))*POWER(KOslave,SIGN(IJ101))*POWER(KKslave_KK,SIGN(IK101))+IJ101*POWER(MUslave,SIGN(ID101))*POWER(KLslave,SIGN(IE101))*POWER(INslave,SIGN(IF101))*POWER(CHslave,SIGN(IG101))*POWER(FFslave,SIGN(IH101))*POWER(GEslave,SIGN(II101))*POWER(KKslave_KK,SIGN(IK101))+IK101*POWER(MUslave,SIGN(ID101))*POWER(KLslave,SIGN(IE101))*POWER(INslave,SIGN(IF101))*POWER(CHslave,SIGN(IG101))*POWER(FFslave,SIGN(IH101))*POWER(GEslave,SIGN(II101))*POWER(KOslave,SIGN(IJ101))</f>
        <v>2304</v>
      </c>
      <c r="IP101" s="254">
        <f>ID101*IG101*GEslave+ID101*CHslave*II101+MUslave*IG101*II101</f>
        <v>3456</v>
      </c>
      <c r="IQ101" s="224">
        <f>IFERROR(ID101^SIGN(ID101),1)*IFERROR(IE101^SIGN(IE101),1)*IFERROR(IF101^SIGN(IF101),1)*IFERROR(IG101^SIGN(IG101),1)*IFERROR(IH101^SIGN(IH101),1)*IFERROR(II101^SIGN(II101),1)*IFERROR(IJ101^SIGN(IJ101),1)*IFERROR(IK101^SIGN(IK101),1)</f>
        <v>1728</v>
      </c>
      <c r="IR101" s="224">
        <f t="shared" si="902"/>
        <v>7488</v>
      </c>
      <c r="IS101" s="222">
        <f t="shared" si="903"/>
        <v>3.6923076923076925</v>
      </c>
      <c r="IT101" s="223">
        <f t="shared" si="904"/>
        <v>11.076923076923077</v>
      </c>
      <c r="IU101" s="243">
        <f t="shared" si="905"/>
        <v>8.3076923076923084</v>
      </c>
      <c r="IV101" s="243">
        <f t="shared" si="906"/>
        <v>23.07692307692308</v>
      </c>
      <c r="IW101" s="252">
        <f t="shared" si="907"/>
        <v>0</v>
      </c>
      <c r="IX101" s="309">
        <f t="shared" si="908"/>
        <v>23.07692307692308</v>
      </c>
      <c r="IY101" s="218">
        <f>IF(IV101&lt;=0,1,0)+IF(IV101&gt;0,IV101+1,0)*1+IF(IV101&gt;12,IV101-12,0)*1+IF(IV101&gt;13,IV101-13,0)*1+IF(IV101&gt;14,IV101-14,0)*1+IF(IV101&gt;15,IV101-15,0)*1+IF(IV101&gt;16,IV101-16,0)*1+IF(IV101&gt;17,IV101-17,0)*1+IF(IV101&gt;18,IV101-18,0)*1+IF(IV101&gt;19,IV101-19,0)*1+IF(IV101&gt;20,IV101-20,0)*1</f>
        <v>87.769230769230802</v>
      </c>
      <c r="IZ101" s="242">
        <f>IF(IW101&lt;=0,1,0)+IF(IW101&gt;0,IW101+1,0)*1+IF(IW101&gt;12,IW101-12,0)*1+IF(IW101&gt;13,IW101-13,0)*1+IF(IW101&gt;14,IW101-14,0)*1+IF(IW101&gt;15,IW101-15,0)*1+IF(IW101&gt;16,IW101-16,0)*1+IF(IW101&gt;17,IW101-17,0)*1+IF(IW101&gt;18,IW101-18,0)*1+IF(IW101&gt;19,IW101-19,0)*1+IF(IW101&gt;20,IW101-20,0)*1</f>
        <v>1</v>
      </c>
      <c r="JA101" s="243">
        <f t="shared" si="909"/>
        <v>86.769230769230802</v>
      </c>
      <c r="JB101" s="218">
        <f t="shared" si="910"/>
        <v>0</v>
      </c>
      <c r="JE101" s="148"/>
    </row>
    <row r="102" spans="2:265" hidden="1" outlineLevel="2">
      <c r="B102" s="148">
        <v>3</v>
      </c>
      <c r="C102" s="303" t="e">
        <f>VLOOKUP(AF102,Attribute!C:T,1,FALSE)</f>
        <v>#N/A</v>
      </c>
      <c r="D102" s="86" t="s">
        <v>84</v>
      </c>
      <c r="E102" s="167" t="s">
        <v>135</v>
      </c>
      <c r="F102" s="120">
        <f>Konvention_1master-MUmaster</f>
        <v>12</v>
      </c>
      <c r="G102" s="117">
        <f t="shared" ref="G102:G108" si="911">Konvention_1master-KLmaster</f>
        <v>12</v>
      </c>
      <c r="H102" s="117"/>
      <c r="I102" s="117">
        <f>Konvention_1master-CHmaster</f>
        <v>12</v>
      </c>
      <c r="J102" s="117"/>
      <c r="K102" s="117"/>
      <c r="L102" s="117"/>
      <c r="M102" s="121"/>
      <c r="N102" s="223">
        <f>(F102+G102+H102+I102+J102+K102+L102+M102)/3</f>
        <v>12</v>
      </c>
      <c r="O102" s="223">
        <f t="shared" si="813"/>
        <v>24</v>
      </c>
      <c r="P102" s="224">
        <f t="shared" si="814"/>
        <v>36</v>
      </c>
      <c r="Q102" s="237">
        <f>F102*POWER(KLmaster,SIGN(G102))*POWER(INmaster,SIGN(H102))*POWER(CHmaster,SIGN(I102))*POWER(FFmaster,SIGN(J102))*POWER(GEmaster,SIGN(K102))*POWER(KOmaster,SIGN(L102))*POWER(KKmaster,SIGN(M102))+G102*POWER(MUmaster,SIGN(F102))*POWER(INmaster,SIGN(H102))*POWER(CHmaster,SIGN(I102))*POWER(FFmaster,SIGN(J102))*POWER(GEmaster,SIGN(K102))*POWER(KOmaster,SIGN(L102))*POWER(KKmaster,SIGN(M102))+H102*POWER(MUmaster,SIGN(F102))*POWER(KLmaster,SIGN(G102))*POWER(CHmaster,SIGN(I102))*POWER(FFmaster,SIGN(J102))*POWER(GEmaster,SIGN(K102))*POWER(KOmaster,SIGN(L102))*POWER(KKmaster,SIGN(M102))+I102*POWER(MUmaster,SIGN(F102))*POWER(KLmaster,SIGN(G102))*POWER(INmaster,SIGN(H102))*POWER(FFmaster,SIGN(J102))*POWER(GEmaster,SIGN(K102))*POWER(KOmaster,SIGN(L102))*POWER(KKmaster,SIGN(M102))+J102*POWER(MUmaster,SIGN(F102))*POWER(KLmaster,SIGN(G102))*POWER(INmaster,SIGN(H102))*POWER(CHmaster,SIGN(I102))*POWER(GEmaster,SIGN(K102))*POWER(KOmaster,SIGN(L102))*POWER(KKmaster,SIGN(M102))+K102*POWER(MUmaster,SIGN(F102))*POWER(KLmaster,SIGN(G102))*POWER(INmaster,SIGN(H102))*POWER(CHmaster,SIGN(I102))*POWER(FFmaster,SIGN(J102))*POWER(KOmaster,SIGN(L102))*POWER(KKmaster,SIGN(M102))+L102*POWER(MUmaster,SIGN(F102))*POWER(KLmaster,SIGN(G102))*POWER(INmaster,SIGN(H102))*POWER(CHmaster,SIGN(I102))*POWER(FFmaster,SIGN(J102))*POWER(GEmaster,SIGN(K102))*POWER(KKmaster,SIGN(M102))+M102*POWER(MUmaster,SIGN(F102))*POWER(KLmaster,SIGN(G102))*POWER(INmaster,SIGN(H102))*POWER(CHmaster,SIGN(I102))*POWER(FFmaster,SIGN(J102))*POWER(GEmaster,SIGN(K102))*POWER(KOmaster,SIGN(L102))</f>
        <v>2304</v>
      </c>
      <c r="R102" s="117">
        <f>F102*G102*CHmaster+F102*KLmaster*I102+MUmaster*G102*I102</f>
        <v>3456</v>
      </c>
      <c r="S102" s="224">
        <f>IFERROR(F102^SIGN(F102),1)*IFERROR(G102^SIGN(G102),1)*IFERROR(H102^SIGN(H102),1)*IFERROR(I102^SIGN(I102),1)*IFERROR(J102^SIGN(J102),1)*IFERROR(K102^SIGN(K102),1)*IFERROR(L102^SIGN(L102),1)*IFERROR(M102^SIGN(M102),1)</f>
        <v>1728</v>
      </c>
      <c r="T102" s="224">
        <f t="shared" si="815"/>
        <v>7488</v>
      </c>
      <c r="U102" s="222">
        <f t="shared" si="816"/>
        <v>3.6923076923076925</v>
      </c>
      <c r="V102" s="223">
        <f t="shared" si="817"/>
        <v>11.076923076923077</v>
      </c>
      <c r="W102" s="243">
        <f t="shared" si="818"/>
        <v>8.3076923076923084</v>
      </c>
      <c r="X102" s="243">
        <f t="shared" si="819"/>
        <v>23.07692307692308</v>
      </c>
      <c r="Y102" s="252">
        <v>0</v>
      </c>
      <c r="Z102" s="198">
        <f t="shared" si="820"/>
        <v>23.07692307692308</v>
      </c>
      <c r="AA102" s="125">
        <f>IF(X102&lt;=0,3,0)+IF(X102&gt;0,X102+1,0)*3+IF(X102&gt;12,X102-12,0)*3+IF(X102&gt;13,X102-13,0)*3+IF(X102&gt;14,X102-14,0)*3+IF(X102&gt;15,X102-15,0)*3+IF(X102&gt;16,X102-16,0)*3+IF(X102&gt;17,X102-17,0)*3+IF(X102&gt;18,X102-18,0)*3+IF(X102&gt;19,X102-19,0)*3+IF(X102&gt;20,X102-20,0)*3</f>
        <v>263.30769230769232</v>
      </c>
      <c r="AB102" s="160">
        <f>IF(Y102&lt;=0,3,0)+IF(Y102&gt;0,Y102+1,0)*3+IF(Y102&gt;12,Y102-12,0)*3+IF(Y102&gt;13,Y102-13,0)*3+IF(Y102&gt;14,Y102-14,0)*3+IF(Y102&gt;15,Y102-15,0)*3+IF(Y102&gt;16,Y102-16,0)*3+IF(Y102&gt;17,Y102-17,0)*3+IF(Y102&gt;18,Y102-18,0)*3+IF(Y102&gt;19,Y102-19,0)*3+IF(Y102&gt;20,Y102-20,0)*3</f>
        <v>3</v>
      </c>
      <c r="AC102" s="127">
        <f t="shared" si="821"/>
        <v>260.30769230769232</v>
      </c>
      <c r="AD102" s="125">
        <f t="shared" si="822"/>
        <v>0</v>
      </c>
      <c r="AF102" s="163" t="s">
        <v>353</v>
      </c>
      <c r="AG102" s="86" t="s">
        <v>84</v>
      </c>
      <c r="AH102" s="167" t="s">
        <v>135</v>
      </c>
      <c r="AI102" s="120">
        <f>Konvention_1slave-MUslave_MU</f>
        <v>11</v>
      </c>
      <c r="AJ102" s="117">
        <f t="shared" ref="AJ102:AJ108" si="912">Konvention_1slave-KLslave</f>
        <v>12</v>
      </c>
      <c r="AK102" s="117"/>
      <c r="AL102" s="117">
        <f>Konvention_1slave-CHslave</f>
        <v>12</v>
      </c>
      <c r="AM102" s="117"/>
      <c r="AN102" s="117"/>
      <c r="AO102" s="117"/>
      <c r="AP102" s="121"/>
      <c r="AQ102" s="47">
        <f>(AI102+AJ102+AK102+AL102+AM102+AN102+AO102+AP102)/3</f>
        <v>11.666666666666666</v>
      </c>
      <c r="AR102" s="3">
        <f t="shared" si="823"/>
        <v>23.333333333333332</v>
      </c>
      <c r="AS102" s="174">
        <f t="shared" si="824"/>
        <v>35</v>
      </c>
      <c r="AT102" s="114">
        <f>AI102*POWER(KLslave,SIGN(AJ102))*POWER(INslave,SIGN(AK102))*POWER(CHslave,SIGN(AL102))*POWER(FFslave,SIGN(AM102))*POWER(GEslave,SIGN(AN102))*POWER(KOslave,SIGN(AO102))*POWER(KKslave,SIGN(AP102))+AJ102*POWER(MUslave_MU,SIGN(AI102))*POWER(INslave,SIGN(AK102))*POWER(CHslave,SIGN(AL102))*POWER(FFslave,SIGN(AM102))*POWER(GEslave,SIGN(AN102))*POWER(KOslave,SIGN(AO102))*POWER(KKslave,SIGN(AP102))+AK102*POWER(MUslave_MU,SIGN(AI102))*POWER(KLslave,SIGN(AJ102))*POWER(CHslave,SIGN(AL102))*POWER(FFslave,SIGN(AM102))*POWER(GEslave,SIGN(AN102))*POWER(KOslave,SIGN(AO102))*POWER(KKslave,SIGN(AP102))+AL102*POWER(MUslave_MU,SIGN(AI102))*POWER(KLslave,SIGN(AJ102))*POWER(INslave,SIGN(AK102))*POWER(FFslave,SIGN(AM102))*POWER(GEslave,SIGN(AN102))*POWER(KOslave,SIGN(AO102))*POWER(KKslave,SIGN(AP102))+AM102*POWER(MUslave_MU,SIGN(AI102))*POWER(KLslave,SIGN(AJ102))*POWER(INslave,SIGN(AK102))*POWER(CHslave,SIGN(AL102))*POWER(GEslave,SIGN(AN102))*POWER(KOslave,SIGN(AO102))*POWER(KKslave,SIGN(AP102))+AN102*POWER(MUslave_MU,SIGN(AI102))*POWER(KLslave,SIGN(AJ102))*POWER(INslave,SIGN(AK102))*POWER(CHslave,SIGN(AL102))*POWER(FFslave,SIGN(AM102))*POWER(KOslave,SIGN(AO102))*POWER(KKslave,SIGN(AP102))+AO102*POWER(MUslave_MU,SIGN(AI102))*POWER(KLslave,SIGN(AJ102))*POWER(INslave,SIGN(AK102))*POWER(CHslave,SIGN(AL102))*POWER(FFslave,SIGN(AM102))*POWER(GEslave,SIGN(AN102))*POWER(KKslave,SIGN(AP102))+AP102*POWER(MUslave_MU,SIGN(AI102))*POWER(KLslave,SIGN(AJ102))*POWER(INslave,SIGN(AK102))*POWER(CHslave,SIGN(AL102))*POWER(FFslave,SIGN(AM102))*POWER(GEslave,SIGN(AN102))*POWER(KOslave,SIGN(AO102))</f>
        <v>2432</v>
      </c>
      <c r="AU102" s="117">
        <f>AI102*AJ102*CHslave+AI102*KLslave*AL102+MUslave_MU*AJ102*AL102</f>
        <v>3408</v>
      </c>
      <c r="AV102" s="119">
        <f>IFERROR(AI102^SIGN(AI102),1)*IFERROR(AJ102^SIGN(AJ102),1)*IFERROR(AK102^SIGN(AK102),1)*IFERROR(AL102^SIGN(AL102),1)*IFERROR(AM102^SIGN(AM102),1)*IFERROR(AN102^SIGN(AN102),1)*IFERROR(AO102^SIGN(AO102),1)*IFERROR(AP102^SIGN(AP102),1)</f>
        <v>1584</v>
      </c>
      <c r="AW102" s="119">
        <f t="shared" si="825"/>
        <v>7424</v>
      </c>
      <c r="AX102" s="89">
        <f t="shared" si="826"/>
        <v>3.8218390804597702</v>
      </c>
      <c r="AY102" s="47">
        <f t="shared" si="827"/>
        <v>10.711206896551724</v>
      </c>
      <c r="AZ102" s="127">
        <f t="shared" si="828"/>
        <v>7.4676724137931032</v>
      </c>
      <c r="BA102" s="127">
        <f t="shared" si="829"/>
        <v>22.000718390804597</v>
      </c>
      <c r="BB102" s="165">
        <f t="shared" si="830"/>
        <v>0</v>
      </c>
      <c r="BC102" s="198">
        <f t="shared" si="831"/>
        <v>22.000718390804597</v>
      </c>
      <c r="BD102" s="125">
        <f>IF(BA102&lt;=0,3,0)+IF(BA102&gt;0,BA102+1,0)*3+IF(BA102&gt;12,BA102-12,0)*3+IF(BA102&gt;13,BA102-13,0)*3+IF(BA102&gt;14,BA102-14,0)*3+IF(BA102&gt;15,BA102-15,0)*3+IF(BA102&gt;16,BA102-16,0)*3+IF(BA102&gt;17,BA102-17,0)*3+IF(BA102&gt;18,BA102-18,0)*3+IF(BA102&gt;19,BA102-19,0)*3+IF(BA102&gt;20,BA102-20,0)*3</f>
        <v>231.02155172413785</v>
      </c>
      <c r="BE102" s="160">
        <f>IF(BB102&lt;=0,3,0)+IF(BB102&gt;0,BB102+1,0)*3+IF(BB102&gt;12,BB102-12,0)*3+IF(BB102&gt;13,BB102-13,0)*3+IF(BB102&gt;14,BB102-14,0)*3+IF(BB102&gt;15,BB102-15,0)*3+IF(BB102&gt;16,BB102-16,0)*3+IF(BB102&gt;17,BB102-17,0)*3+IF(BB102&gt;18,BB102-18,0)*3+IF(BB102&gt;19,BB102-19,0)*3+IF(BB102&gt;20,BB102-20,0)*3</f>
        <v>3</v>
      </c>
      <c r="BF102" s="243">
        <f t="shared" si="832"/>
        <v>228.02155172413785</v>
      </c>
      <c r="BG102" s="218">
        <f t="shared" si="833"/>
        <v>0</v>
      </c>
      <c r="BI102" s="303" t="s">
        <v>353</v>
      </c>
      <c r="BJ102" s="304" t="s">
        <v>84</v>
      </c>
      <c r="BK102" s="305" t="s">
        <v>135</v>
      </c>
      <c r="BL102" s="317">
        <f>Konvention_1slave-MUslave</f>
        <v>12</v>
      </c>
      <c r="BM102" s="254">
        <f t="shared" ref="BM102:BM108" si="913">Konvention_1slave-KLslave_KL</f>
        <v>11</v>
      </c>
      <c r="BN102" s="254"/>
      <c r="BO102" s="254">
        <f>Konvention_1slave-CHslave</f>
        <v>12</v>
      </c>
      <c r="BP102" s="254"/>
      <c r="BQ102" s="254"/>
      <c r="BR102" s="254"/>
      <c r="BS102" s="318"/>
      <c r="BT102" s="223">
        <f>(BL102+BM102+BN102+BO102+BP102+BQ102+BR102+BS102)/3</f>
        <v>11.666666666666666</v>
      </c>
      <c r="BU102" s="223">
        <f t="shared" si="834"/>
        <v>23.333333333333332</v>
      </c>
      <c r="BV102" s="224">
        <f t="shared" si="835"/>
        <v>35</v>
      </c>
      <c r="BW102" s="237">
        <f>BL102*POWER(KLslave_KL,SIGN(BM102))*POWER(INslave,SIGN(BN102))*POWER(CHslave,SIGN(BO102))*POWER(FFslave,SIGN(BP102))*POWER(GEslave,SIGN(BQ102))*POWER(KOslave,SIGN(BR102))*POWER(KKslave,SIGN(BS102))+BM102*POWER(MUslave,SIGN(BL102))*POWER(INslave,SIGN(BN102))*POWER(CHslave,SIGN(BO102))*POWER(FFslave,SIGN(BP102))*POWER(GEslave,SIGN(BQ102))*POWER(KOslave,SIGN(BR102))*POWER(KKslave,SIGN(BS102))+BN102*POWER(MUslave,SIGN(BL102))*POWER(KLslave_KL,SIGN(BM102))*POWER(CHslave,SIGN(BO102))*POWER(FFslave,SIGN(BP102))*POWER(GEslave,SIGN(BQ102))*POWER(KOslave,SIGN(BR102))*POWER(KKslave,SIGN(BS102))+BO102*POWER(MUslave,SIGN(BL102))*POWER(KLslave_KL,SIGN(BM102))*POWER(INslave,SIGN(BN102))*POWER(FFslave,SIGN(BP102))*POWER(GEslave,SIGN(BQ102))*POWER(KOslave,SIGN(BR102))*POWER(KKslave,SIGN(BS102))+BP102*POWER(MUslave,SIGN(BL102))*POWER(KLslave_KL,SIGN(BM102))*POWER(INslave,SIGN(BN102))*POWER(CHslave,SIGN(BO102))*POWER(GEslave,SIGN(BQ102))*POWER(KOslave,SIGN(BR102))*POWER(KKslave,SIGN(BS102))+BQ102*POWER(MUslave,SIGN(BL102))*POWER(KLslave_KL,SIGN(BM102))*POWER(INslave,SIGN(BN102))*POWER(CHslave,SIGN(BO102))*POWER(FFslave,SIGN(BP102))*POWER(KOslave,SIGN(BR102))*POWER(KKslave,SIGN(BS102))+BR102*POWER(MUslave,SIGN(BL102))*POWER(KLslave_KL,SIGN(BM102))*POWER(INslave,SIGN(BN102))*POWER(CHslave,SIGN(BO102))*POWER(FFslave,SIGN(BP102))*POWER(GEslave,SIGN(BQ102))*POWER(KKslave,SIGN(BS102))+BS102*POWER(MUslave,SIGN(BL102))*POWER(KLslave_KL,SIGN(BM102))*POWER(INslave,SIGN(BN102))*POWER(CHslave,SIGN(BO102))*POWER(FFslave,SIGN(BP102))*POWER(GEslave,SIGN(BQ102))*POWER(KOslave,SIGN(BR102))</f>
        <v>2432</v>
      </c>
      <c r="BX102" s="254">
        <f>BL102*BM102*CHslave+BL102*KLslave_KL*BO102+MUslave*BM102*BO102</f>
        <v>3408</v>
      </c>
      <c r="BY102" s="224">
        <f>IFERROR(BL102^SIGN(BL102),1)*IFERROR(BM102^SIGN(BM102),1)*IFERROR(BN102^SIGN(BN102),1)*IFERROR(BO102^SIGN(BO102),1)*IFERROR(BP102^SIGN(BP102),1)*IFERROR(BQ102^SIGN(BQ102),1)*IFERROR(BR102^SIGN(BR102),1)*IFERROR(BS102^SIGN(BS102),1)</f>
        <v>1584</v>
      </c>
      <c r="BZ102" s="224">
        <f t="shared" si="836"/>
        <v>7424</v>
      </c>
      <c r="CA102" s="222">
        <f t="shared" si="837"/>
        <v>3.8218390804597702</v>
      </c>
      <c r="CB102" s="223">
        <f t="shared" si="838"/>
        <v>10.711206896551724</v>
      </c>
      <c r="CC102" s="243">
        <f t="shared" si="839"/>
        <v>7.4676724137931032</v>
      </c>
      <c r="CD102" s="243">
        <f t="shared" si="840"/>
        <v>22.000718390804597</v>
      </c>
      <c r="CE102" s="252">
        <f t="shared" si="841"/>
        <v>0</v>
      </c>
      <c r="CF102" s="309">
        <f t="shared" si="842"/>
        <v>22.000718390804597</v>
      </c>
      <c r="CG102" s="218">
        <f>IF(CD102&lt;=0,3,0)+IF(CD102&gt;0,CD102+1,0)*3+IF(CD102&gt;12,CD102-12,0)*3+IF(CD102&gt;13,CD102-13,0)*3+IF(CD102&gt;14,CD102-14,0)*3+IF(CD102&gt;15,CD102-15,0)*3+IF(CD102&gt;16,CD102-16,0)*3+IF(CD102&gt;17,CD102-17,0)*3+IF(CD102&gt;18,CD102-18,0)*3+IF(CD102&gt;19,CD102-19,0)*3+IF(CD102&gt;20,CD102-20,0)*3</f>
        <v>231.02155172413785</v>
      </c>
      <c r="CH102" s="242">
        <f>IF(CE102&lt;=0,3,0)+IF(CE102&gt;0,CE102+1,0)*3+IF(CE102&gt;12,CE102-12,0)*3+IF(CE102&gt;13,CE102-13,0)*3+IF(CE102&gt;14,CE102-14,0)*3+IF(CE102&gt;15,CE102-15,0)*3+IF(CE102&gt;16,CE102-16,0)*3+IF(CE102&gt;17,CE102-17,0)*3+IF(CE102&gt;18,CE102-18,0)*3+IF(CE102&gt;19,CE102-19,0)*3+IF(CE102&gt;20,CE102-20,0)*3</f>
        <v>3</v>
      </c>
      <c r="CI102" s="243">
        <f t="shared" si="843"/>
        <v>228.02155172413785</v>
      </c>
      <c r="CJ102" s="218">
        <f t="shared" si="844"/>
        <v>0</v>
      </c>
      <c r="CL102" s="303" t="s">
        <v>353</v>
      </c>
      <c r="CM102" s="304" t="s">
        <v>84</v>
      </c>
      <c r="CN102" s="305" t="s">
        <v>135</v>
      </c>
      <c r="CO102" s="317">
        <f>Konvention_1slave-MUslave</f>
        <v>12</v>
      </c>
      <c r="CP102" s="254">
        <f t="shared" ref="CP102:CP108" si="914">Konvention_1slave-KLslave</f>
        <v>12</v>
      </c>
      <c r="CQ102" s="254"/>
      <c r="CR102" s="254">
        <f>Konvention_1slave-CHslave</f>
        <v>12</v>
      </c>
      <c r="CS102" s="254"/>
      <c r="CT102" s="254"/>
      <c r="CU102" s="254"/>
      <c r="CV102" s="318"/>
      <c r="CW102" s="223">
        <f>(CO102+CP102+CQ102+CR102+CS102+CT102+CU102+CV102)/3</f>
        <v>12</v>
      </c>
      <c r="CX102" s="223">
        <f t="shared" si="845"/>
        <v>24</v>
      </c>
      <c r="CY102" s="224">
        <f t="shared" si="846"/>
        <v>36</v>
      </c>
      <c r="CZ102" s="237">
        <f>CO102*POWER(KLslave,SIGN(CP102))*POWER(INslave_IN,SIGN(CQ102))*POWER(CHslave,SIGN(CR102))*POWER(FFslave,SIGN(CS102))*POWER(GEslave,SIGN(CT102))*POWER(KOslave,SIGN(CU102))*POWER(KKslave,SIGN(CV102))+CP102*POWER(MUslave,SIGN(CO102))*POWER(INslave_IN,SIGN(CQ102))*POWER(CHslave,SIGN(CR102))*POWER(FFslave,SIGN(CS102))*POWER(GEslave,SIGN(CT102))*POWER(KOslave,SIGN(CU102))*POWER(KKslave,SIGN(CV102))+CQ102*POWER(MUslave,SIGN(CO102))*POWER(KLslave,SIGN(CP102))*POWER(CHslave,SIGN(CR102))*POWER(FFslave,SIGN(CS102))*POWER(GEslave,SIGN(CT102))*POWER(KOslave,SIGN(CU102))*POWER(KKslave,SIGN(CV102))+CR102*POWER(MUslave,SIGN(CO102))*POWER(KLslave,SIGN(CP102))*POWER(INslave_IN,SIGN(CQ102))*POWER(FFslave,SIGN(CS102))*POWER(GEslave,SIGN(CT102))*POWER(KOslave,SIGN(CU102))*POWER(KKslave,SIGN(CV102))+CS102*POWER(MUslave,SIGN(CO102))*POWER(KLslave,SIGN(CP102))*POWER(INslave_IN,SIGN(CQ102))*POWER(CHslave,SIGN(CR102))*POWER(GEslave,SIGN(CT102))*POWER(KOslave,SIGN(CU102))*POWER(KKslave,SIGN(CV102))+CT102*POWER(MUslave,SIGN(CO102))*POWER(KLslave,SIGN(CP102))*POWER(INslave_IN,SIGN(CQ102))*POWER(CHslave,SIGN(CR102))*POWER(FFslave,SIGN(CS102))*POWER(KOslave,SIGN(CU102))*POWER(KKslave,SIGN(CV102))+CU102*POWER(MUslave,SIGN(CO102))*POWER(KLslave,SIGN(CP102))*POWER(INslave_IN,SIGN(CQ102))*POWER(CHslave,SIGN(CR102))*POWER(FFslave,SIGN(CS102))*POWER(GEslave,SIGN(CT102))*POWER(KKslave,SIGN(CV102))+CV102*POWER(MUslave,SIGN(CO102))*POWER(KLslave,SIGN(CP102))*POWER(INslave_IN,SIGN(CQ102))*POWER(CHslave,SIGN(CR102))*POWER(FFslave,SIGN(CS102))*POWER(GEslave,SIGN(CT102))*POWER(KOslave,SIGN(CU102))</f>
        <v>2304</v>
      </c>
      <c r="DA102" s="254">
        <f>CO102*CP102*CHslave+CO102*KLslave*CR102+MUslave*CP102*CR102</f>
        <v>3456</v>
      </c>
      <c r="DB102" s="224">
        <f>IFERROR(CO102^SIGN(CO102),1)*IFERROR(CP102^SIGN(CP102),1)*IFERROR(CQ102^SIGN(CQ102),1)*IFERROR(CR102^SIGN(CR102),1)*IFERROR(CS102^SIGN(CS102),1)*IFERROR(CT102^SIGN(CT102),1)*IFERROR(CU102^SIGN(CU102),1)*IFERROR(CV102^SIGN(CV102),1)</f>
        <v>1728</v>
      </c>
      <c r="DC102" s="224">
        <f t="shared" si="847"/>
        <v>7488</v>
      </c>
      <c r="DD102" s="222">
        <f t="shared" si="848"/>
        <v>3.6923076923076925</v>
      </c>
      <c r="DE102" s="223">
        <f t="shared" si="849"/>
        <v>11.076923076923077</v>
      </c>
      <c r="DF102" s="243">
        <f t="shared" si="850"/>
        <v>8.3076923076923084</v>
      </c>
      <c r="DG102" s="243">
        <f t="shared" si="851"/>
        <v>23.07692307692308</v>
      </c>
      <c r="DH102" s="252">
        <f t="shared" si="852"/>
        <v>0</v>
      </c>
      <c r="DI102" s="309">
        <f t="shared" si="853"/>
        <v>23.07692307692308</v>
      </c>
      <c r="DJ102" s="218">
        <f>IF(DG102&lt;=0,3,0)+IF(DG102&gt;0,DG102+1,0)*3+IF(DG102&gt;12,DG102-12,0)*3+IF(DG102&gt;13,DG102-13,0)*3+IF(DG102&gt;14,DG102-14,0)*3+IF(DG102&gt;15,DG102-15,0)*3+IF(DG102&gt;16,DG102-16,0)*3+IF(DG102&gt;17,DG102-17,0)*3+IF(DG102&gt;18,DG102-18,0)*3+IF(DG102&gt;19,DG102-19,0)*3+IF(DG102&gt;20,DG102-20,0)*3</f>
        <v>263.30769230769232</v>
      </c>
      <c r="DK102" s="242">
        <f>IF(DH102&lt;=0,3,0)+IF(DH102&gt;0,DH102+1,0)*3+IF(DH102&gt;12,DH102-12,0)*3+IF(DH102&gt;13,DH102-13,0)*3+IF(DH102&gt;14,DH102-14,0)*3+IF(DH102&gt;15,DH102-15,0)*3+IF(DH102&gt;16,DH102-16,0)*3+IF(DH102&gt;17,DH102-17,0)*3+IF(DH102&gt;18,DH102-18,0)*3+IF(DH102&gt;19,DH102-19,0)*3+IF(DH102&gt;20,DH102-20,0)*3</f>
        <v>3</v>
      </c>
      <c r="DL102" s="243">
        <f t="shared" si="854"/>
        <v>260.30769230769232</v>
      </c>
      <c r="DM102" s="218">
        <f t="shared" si="855"/>
        <v>0</v>
      </c>
      <c r="DO102" s="303" t="s">
        <v>353</v>
      </c>
      <c r="DP102" s="304" t="s">
        <v>84</v>
      </c>
      <c r="DQ102" s="305" t="s">
        <v>135</v>
      </c>
      <c r="DR102" s="317">
        <f>Konvention_1slave-MUslave</f>
        <v>12</v>
      </c>
      <c r="DS102" s="254">
        <f t="shared" ref="DS102:DS108" si="915">Konvention_1slave-KLslave</f>
        <v>12</v>
      </c>
      <c r="DT102" s="254"/>
      <c r="DU102" s="254">
        <f>Konvention_1slave-CHslave_CH</f>
        <v>11</v>
      </c>
      <c r="DV102" s="254"/>
      <c r="DW102" s="254"/>
      <c r="DX102" s="254"/>
      <c r="DY102" s="318"/>
      <c r="DZ102" s="223">
        <f>(DR102+DS102+DT102+DU102+DV102+DW102+DX102+DY102)/3</f>
        <v>11.666666666666666</v>
      </c>
      <c r="EA102" s="223">
        <f t="shared" si="856"/>
        <v>23.333333333333332</v>
      </c>
      <c r="EB102" s="224">
        <f t="shared" si="857"/>
        <v>35</v>
      </c>
      <c r="EC102" s="237">
        <f>DR102*POWER(KLslave,SIGN(DS102))*POWER(INslave,SIGN(DT102))*POWER(CHslave_CH,SIGN(DU102))*POWER(FFslave,SIGN(DV102))*POWER(GEslave,SIGN(DW102))*POWER(KOslave,SIGN(DX102))*POWER(KKslave,SIGN(DY102))+DS102*POWER(MUslave,SIGN(DR102))*POWER(INslave,SIGN(DT102))*POWER(CHslave_CH,SIGN(DU102))*POWER(FFslave,SIGN(DV102))*POWER(GEslave,SIGN(DW102))*POWER(KOslave,SIGN(DX102))*POWER(KKslave,SIGN(DY102))+DT102*POWER(MUslave,SIGN(DR102))*POWER(KLslave,SIGN(DS102))*POWER(CHslave_CH,SIGN(DU102))*POWER(FFslave,SIGN(DV102))*POWER(GEslave,SIGN(DW102))*POWER(KOslave,SIGN(DX102))*POWER(KKslave,SIGN(DY102))+DU102*POWER(MUslave,SIGN(DR102))*POWER(KLslave,SIGN(DS102))*POWER(INslave,SIGN(DT102))*POWER(FFslave,SIGN(DV102))*POWER(GEslave,SIGN(DW102))*POWER(KOslave,SIGN(DX102))*POWER(KKslave,SIGN(DY102))+DV102*POWER(MUslave,SIGN(DR102))*POWER(KLslave,SIGN(DS102))*POWER(INslave,SIGN(DT102))*POWER(CHslave_CH,SIGN(DU102))*POWER(GEslave,SIGN(DW102))*POWER(KOslave,SIGN(DX102))*POWER(KKslave,SIGN(DY102))+DW102*POWER(MUslave,SIGN(DR102))*POWER(KLslave,SIGN(DS102))*POWER(INslave,SIGN(DT102))*POWER(CHslave_CH,SIGN(DU102))*POWER(FFslave,SIGN(DV102))*POWER(KOslave,SIGN(DX102))*POWER(KKslave,SIGN(DY102))+DX102*POWER(MUslave,SIGN(DR102))*POWER(KLslave,SIGN(DS102))*POWER(INslave,SIGN(DT102))*POWER(CHslave_CH,SIGN(DU102))*POWER(FFslave,SIGN(DV102))*POWER(GEslave,SIGN(DW102))*POWER(KKslave,SIGN(DY102))+DY102*POWER(MUslave,SIGN(DR102))*POWER(KLslave,SIGN(DS102))*POWER(INslave,SIGN(DT102))*POWER(CHslave_CH,SIGN(DU102))*POWER(FFslave,SIGN(DV102))*POWER(GEslave,SIGN(DW102))*POWER(KOslave,SIGN(DX102))</f>
        <v>2432</v>
      </c>
      <c r="ED102" s="254">
        <f>DR102*DS102*CHslave_CH+DR102*KLslave*DU102+MUslave*DS102*DU102</f>
        <v>3408</v>
      </c>
      <c r="EE102" s="224">
        <f>IFERROR(DR102^SIGN(DR102),1)*IFERROR(DS102^SIGN(DS102),1)*IFERROR(DT102^SIGN(DT102),1)*IFERROR(DU102^SIGN(DU102),1)*IFERROR(DV102^SIGN(DV102),1)*IFERROR(DW102^SIGN(DW102),1)*IFERROR(DX102^SIGN(DX102),1)*IFERROR(DY102^SIGN(DY102),1)</f>
        <v>1584</v>
      </c>
      <c r="EF102" s="224">
        <f t="shared" si="858"/>
        <v>7424</v>
      </c>
      <c r="EG102" s="222">
        <f t="shared" si="859"/>
        <v>3.8218390804597702</v>
      </c>
      <c r="EH102" s="223">
        <f t="shared" si="860"/>
        <v>10.711206896551724</v>
      </c>
      <c r="EI102" s="243">
        <f t="shared" si="861"/>
        <v>7.4676724137931032</v>
      </c>
      <c r="EJ102" s="243">
        <f t="shared" si="862"/>
        <v>22.000718390804597</v>
      </c>
      <c r="EK102" s="252">
        <f t="shared" si="863"/>
        <v>0</v>
      </c>
      <c r="EL102" s="309">
        <f t="shared" si="864"/>
        <v>22.000718390804597</v>
      </c>
      <c r="EM102" s="218">
        <f>IF(EJ102&lt;=0,3,0)+IF(EJ102&gt;0,EJ102+1,0)*3+IF(EJ102&gt;12,EJ102-12,0)*3+IF(EJ102&gt;13,EJ102-13,0)*3+IF(EJ102&gt;14,EJ102-14,0)*3+IF(EJ102&gt;15,EJ102-15,0)*3+IF(EJ102&gt;16,EJ102-16,0)*3+IF(EJ102&gt;17,EJ102-17,0)*3+IF(EJ102&gt;18,EJ102-18,0)*3+IF(EJ102&gt;19,EJ102-19,0)*3+IF(EJ102&gt;20,EJ102-20,0)*3</f>
        <v>231.02155172413785</v>
      </c>
      <c r="EN102" s="242">
        <f>IF(EK102&lt;=0,3,0)+IF(EK102&gt;0,EK102+1,0)*3+IF(EK102&gt;12,EK102-12,0)*3+IF(EK102&gt;13,EK102-13,0)*3+IF(EK102&gt;14,EK102-14,0)*3+IF(EK102&gt;15,EK102-15,0)*3+IF(EK102&gt;16,EK102-16,0)*3+IF(EK102&gt;17,EK102-17,0)*3+IF(EK102&gt;18,EK102-18,0)*3+IF(EK102&gt;19,EK102-19,0)*3+IF(EK102&gt;20,EK102-20,0)*3</f>
        <v>3</v>
      </c>
      <c r="EO102" s="243">
        <f t="shared" si="865"/>
        <v>228.02155172413785</v>
      </c>
      <c r="EP102" s="218">
        <f t="shared" si="866"/>
        <v>0</v>
      </c>
      <c r="ER102" s="303" t="s">
        <v>353</v>
      </c>
      <c r="ES102" s="304" t="s">
        <v>84</v>
      </c>
      <c r="ET102" s="305" t="s">
        <v>135</v>
      </c>
      <c r="EU102" s="317">
        <f>Konvention_1slave-MUslave</f>
        <v>12</v>
      </c>
      <c r="EV102" s="254">
        <f t="shared" ref="EV102:EV108" si="916">Konvention_1slave-KLslave</f>
        <v>12</v>
      </c>
      <c r="EW102" s="254"/>
      <c r="EX102" s="254">
        <f>Konvention_1slave-CHslave</f>
        <v>12</v>
      </c>
      <c r="EY102" s="254"/>
      <c r="EZ102" s="254"/>
      <c r="FA102" s="254"/>
      <c r="FB102" s="318"/>
      <c r="FC102" s="223">
        <f>(EU102+EV102+EW102+EX102+EY102+EZ102+FA102+FB102)/3</f>
        <v>12</v>
      </c>
      <c r="FD102" s="223">
        <f t="shared" si="867"/>
        <v>24</v>
      </c>
      <c r="FE102" s="224">
        <f t="shared" si="868"/>
        <v>36</v>
      </c>
      <c r="FF102" s="237">
        <f>EU102*POWER(KLslave,SIGN(EV102))*POWER(INslave,SIGN(EW102))*POWER(CHslave,SIGN(EX102))*POWER(FFslave_FF,SIGN(EY102))*POWER(GEslave,SIGN(EZ102))*POWER(KOslave,SIGN(FA102))*POWER(KKslave,SIGN(FB102))+EV102*POWER(MUslave,SIGN(EU102))*POWER(INslave,SIGN(EW102))*POWER(CHslave,SIGN(EX102))*POWER(FFslave_FF,SIGN(EY102))*POWER(GEslave,SIGN(EZ102))*POWER(KOslave,SIGN(FA102))*POWER(KKslave,SIGN(FB102))+EW102*POWER(MUslave,SIGN(EU102))*POWER(KLslave,SIGN(EV102))*POWER(CHslave,SIGN(EX102))*POWER(FFslave_FF,SIGN(EY102))*POWER(GEslave,SIGN(EZ102))*POWER(KOslave,SIGN(FA102))*POWER(KKslave,SIGN(FB102))+EX102*POWER(MUslave,SIGN(EU102))*POWER(KLslave,SIGN(EV102))*POWER(INslave,SIGN(EW102))*POWER(FFslave_FF,SIGN(EY102))*POWER(GEslave,SIGN(EZ102))*POWER(KOslave,SIGN(FA102))*POWER(KKslave,SIGN(FB102))+EY102*POWER(MUslave,SIGN(EU102))*POWER(KLslave,SIGN(EV102))*POWER(INslave,SIGN(EW102))*POWER(CHslave,SIGN(EX102))*POWER(GEslave,SIGN(EZ102))*POWER(KOslave,SIGN(FA102))*POWER(KKslave,SIGN(FB102))+EZ102*POWER(MUslave,SIGN(EU102))*POWER(KLslave,SIGN(EV102))*POWER(INslave,SIGN(EW102))*POWER(CHslave,SIGN(EX102))*POWER(FFslave_FF,SIGN(EY102))*POWER(KOslave,SIGN(FA102))*POWER(KKslave,SIGN(FB102))+FA102*POWER(MUslave,SIGN(EU102))*POWER(KLslave,SIGN(EV102))*POWER(INslave,SIGN(EW102))*POWER(CHslave,SIGN(EX102))*POWER(FFslave_FF,SIGN(EY102))*POWER(GEslave,SIGN(EZ102))*POWER(KKslave,SIGN(FB102))+FB102*POWER(MUslave,SIGN(EU102))*POWER(KLslave,SIGN(EV102))*POWER(INslave,SIGN(EW102))*POWER(CHslave,SIGN(EX102))*POWER(FFslave_FF,SIGN(EY102))*POWER(GEslave,SIGN(EZ102))*POWER(KOslave,SIGN(FA102))</f>
        <v>2304</v>
      </c>
      <c r="FG102" s="254">
        <f>EU102*EV102*CHslave+EU102*KLslave*EX102+MUslave*EV102*EX102</f>
        <v>3456</v>
      </c>
      <c r="FH102" s="224">
        <f>IFERROR(EU102^SIGN(EU102),1)*IFERROR(EV102^SIGN(EV102),1)*IFERROR(EW102^SIGN(EW102),1)*IFERROR(EX102^SIGN(EX102),1)*IFERROR(EY102^SIGN(EY102),1)*IFERROR(EZ102^SIGN(EZ102),1)*IFERROR(FA102^SIGN(FA102),1)*IFERROR(FB102^SIGN(FB102),1)</f>
        <v>1728</v>
      </c>
      <c r="FI102" s="224">
        <f t="shared" si="869"/>
        <v>7488</v>
      </c>
      <c r="FJ102" s="222">
        <f t="shared" si="870"/>
        <v>3.6923076923076925</v>
      </c>
      <c r="FK102" s="223">
        <f t="shared" si="871"/>
        <v>11.076923076923077</v>
      </c>
      <c r="FL102" s="243">
        <f t="shared" si="872"/>
        <v>8.3076923076923084</v>
      </c>
      <c r="FM102" s="243">
        <f t="shared" si="873"/>
        <v>23.07692307692308</v>
      </c>
      <c r="FN102" s="252">
        <f t="shared" si="874"/>
        <v>0</v>
      </c>
      <c r="FO102" s="309">
        <f t="shared" si="875"/>
        <v>23.07692307692308</v>
      </c>
      <c r="FP102" s="218">
        <f>IF(FM102&lt;=0,3,0)+IF(FM102&gt;0,FM102+1,0)*3+IF(FM102&gt;12,FM102-12,0)*3+IF(FM102&gt;13,FM102-13,0)*3+IF(FM102&gt;14,FM102-14,0)*3+IF(FM102&gt;15,FM102-15,0)*3+IF(FM102&gt;16,FM102-16,0)*3+IF(FM102&gt;17,FM102-17,0)*3+IF(FM102&gt;18,FM102-18,0)*3+IF(FM102&gt;19,FM102-19,0)*3+IF(FM102&gt;20,FM102-20,0)*3</f>
        <v>263.30769230769232</v>
      </c>
      <c r="FQ102" s="242">
        <f>IF(FN102&lt;=0,3,0)+IF(FN102&gt;0,FN102+1,0)*3+IF(FN102&gt;12,FN102-12,0)*3+IF(FN102&gt;13,FN102-13,0)*3+IF(FN102&gt;14,FN102-14,0)*3+IF(FN102&gt;15,FN102-15,0)*3+IF(FN102&gt;16,FN102-16,0)*3+IF(FN102&gt;17,FN102-17,0)*3+IF(FN102&gt;18,FN102-18,0)*3+IF(FN102&gt;19,FN102-19,0)*3+IF(FN102&gt;20,FN102-20,0)*3</f>
        <v>3</v>
      </c>
      <c r="FR102" s="243">
        <f t="shared" si="876"/>
        <v>260.30769230769232</v>
      </c>
      <c r="FS102" s="218">
        <f t="shared" si="877"/>
        <v>0</v>
      </c>
      <c r="FU102" s="303" t="s">
        <v>353</v>
      </c>
      <c r="FV102" s="304" t="s">
        <v>84</v>
      </c>
      <c r="FW102" s="305" t="s">
        <v>135</v>
      </c>
      <c r="FX102" s="317">
        <f>Konvention_1slave-MUslave</f>
        <v>12</v>
      </c>
      <c r="FY102" s="254">
        <f t="shared" ref="FY102:FY108" si="917">Konvention_1slave-KLslave</f>
        <v>12</v>
      </c>
      <c r="FZ102" s="254"/>
      <c r="GA102" s="254">
        <f>Konvention_1slave-CHslave</f>
        <v>12</v>
      </c>
      <c r="GB102" s="254"/>
      <c r="GC102" s="254"/>
      <c r="GD102" s="254"/>
      <c r="GE102" s="318"/>
      <c r="GF102" s="223">
        <f>(FX102+FY102+FZ102+GA102+GB102+GC102+GD102+GE102)/3</f>
        <v>12</v>
      </c>
      <c r="GG102" s="223">
        <f t="shared" si="878"/>
        <v>24</v>
      </c>
      <c r="GH102" s="224">
        <f t="shared" si="879"/>
        <v>36</v>
      </c>
      <c r="GI102" s="237">
        <f>FX102*POWER(KLslave,SIGN(FY102))*POWER(INslave,SIGN(FZ102))*POWER(CHslave,SIGN(GA102))*POWER(FFslave,SIGN(GB102))*POWER(GEslave_GE,SIGN(GC102))*POWER(KOslave,SIGN(GD102))*POWER(KKslave,SIGN(GE102))+FY102*POWER(MUslave,SIGN(FX102))*POWER(INslave,SIGN(FZ102))*POWER(CHslave,SIGN(GA102))*POWER(FFslave,SIGN(GB102))*POWER(GEslave_GE,SIGN(GC102))*POWER(KOslave,SIGN(GD102))*POWER(KKslave,SIGN(GE102))+FZ102*POWER(MUslave,SIGN(FX102))*POWER(KLslave,SIGN(FY102))*POWER(CHslave,SIGN(GA102))*POWER(FFslave,SIGN(GB102))*POWER(GEslave_GE,SIGN(GC102))*POWER(KOslave,SIGN(GD102))*POWER(KKslave,SIGN(GE102))+GA102*POWER(MUslave,SIGN(FX102))*POWER(KLslave,SIGN(FY102))*POWER(INslave,SIGN(FZ102))*POWER(FFslave,SIGN(GB102))*POWER(GEslave_GE,SIGN(GC102))*POWER(KOslave,SIGN(GD102))*POWER(KKslave,SIGN(GE102))+GB102*POWER(MUslave,SIGN(FX102))*POWER(KLslave,SIGN(FY102))*POWER(INslave,SIGN(FZ102))*POWER(CHslave,SIGN(GA102))*POWER(GEslave_GE,SIGN(GC102))*POWER(KOslave,SIGN(GD102))*POWER(KKslave,SIGN(GE102))+GC102*POWER(MUslave,SIGN(FX102))*POWER(KLslave,SIGN(FY102))*POWER(INslave,SIGN(FZ102))*POWER(CHslave,SIGN(GA102))*POWER(FFslave,SIGN(GB102))*POWER(KOslave,SIGN(GD102))*POWER(KKslave,SIGN(GE102))+GD102*POWER(MUslave,SIGN(FX102))*POWER(KLslave,SIGN(FY102))*POWER(INslave,SIGN(FZ102))*POWER(CHslave,SIGN(GA102))*POWER(FFslave,SIGN(GB102))*POWER(GEslave_GE,SIGN(GC102))*POWER(KKslave,SIGN(GE102))+GE102*POWER(MUslave,SIGN(FX102))*POWER(KLslave,SIGN(FY102))*POWER(INslave,SIGN(FZ102))*POWER(CHslave,SIGN(GA102))*POWER(FFslave,SIGN(GB102))*POWER(GEslave_GE,SIGN(GC102))*POWER(KOslave,SIGN(GD102))</f>
        <v>2304</v>
      </c>
      <c r="GJ102" s="254">
        <f>FX102*FY102*CHslave+FX102*KLslave*GA102+MUslave*FY102*GA102</f>
        <v>3456</v>
      </c>
      <c r="GK102" s="224">
        <f>IFERROR(FX102^SIGN(FX102),1)*IFERROR(FY102^SIGN(FY102),1)*IFERROR(FZ102^SIGN(FZ102),1)*IFERROR(GA102^SIGN(GA102),1)*IFERROR(GB102^SIGN(GB102),1)*IFERROR(GC102^SIGN(GC102),1)*IFERROR(GD102^SIGN(GD102),1)*IFERROR(GE102^SIGN(GE102),1)</f>
        <v>1728</v>
      </c>
      <c r="GL102" s="224">
        <f t="shared" si="880"/>
        <v>7488</v>
      </c>
      <c r="GM102" s="222">
        <f t="shared" si="881"/>
        <v>3.6923076923076925</v>
      </c>
      <c r="GN102" s="223">
        <f t="shared" si="882"/>
        <v>11.076923076923077</v>
      </c>
      <c r="GO102" s="243">
        <f t="shared" si="883"/>
        <v>8.3076923076923084</v>
      </c>
      <c r="GP102" s="243">
        <f t="shared" si="884"/>
        <v>23.07692307692308</v>
      </c>
      <c r="GQ102" s="252">
        <f t="shared" si="885"/>
        <v>0</v>
      </c>
      <c r="GR102" s="309">
        <f t="shared" si="886"/>
        <v>23.07692307692308</v>
      </c>
      <c r="GS102" s="218">
        <f>IF(GP102&lt;=0,3,0)+IF(GP102&gt;0,GP102+1,0)*3+IF(GP102&gt;12,GP102-12,0)*3+IF(GP102&gt;13,GP102-13,0)*3+IF(GP102&gt;14,GP102-14,0)*3+IF(GP102&gt;15,GP102-15,0)*3+IF(GP102&gt;16,GP102-16,0)*3+IF(GP102&gt;17,GP102-17,0)*3+IF(GP102&gt;18,GP102-18,0)*3+IF(GP102&gt;19,GP102-19,0)*3+IF(GP102&gt;20,GP102-20,0)*3</f>
        <v>263.30769230769232</v>
      </c>
      <c r="GT102" s="242">
        <f>IF(GQ102&lt;=0,3,0)+IF(GQ102&gt;0,GQ102+1,0)*3+IF(GQ102&gt;12,GQ102-12,0)*3+IF(GQ102&gt;13,GQ102-13,0)*3+IF(GQ102&gt;14,GQ102-14,0)*3+IF(GQ102&gt;15,GQ102-15,0)*3+IF(GQ102&gt;16,GQ102-16,0)*3+IF(GQ102&gt;17,GQ102-17,0)*3+IF(GQ102&gt;18,GQ102-18,0)*3+IF(GQ102&gt;19,GQ102-19,0)*3+IF(GQ102&gt;20,GQ102-20,0)*3</f>
        <v>3</v>
      </c>
      <c r="GU102" s="243">
        <f t="shared" si="887"/>
        <v>260.30769230769232</v>
      </c>
      <c r="GV102" s="218">
        <f t="shared" si="888"/>
        <v>0</v>
      </c>
      <c r="GX102" s="303" t="s">
        <v>353</v>
      </c>
      <c r="GY102" s="304" t="s">
        <v>84</v>
      </c>
      <c r="GZ102" s="305" t="s">
        <v>135</v>
      </c>
      <c r="HA102" s="317">
        <f>Konvention_1slave-MUslave</f>
        <v>12</v>
      </c>
      <c r="HB102" s="254">
        <f t="shared" ref="HB102:HB108" si="918">Konvention_1slave-KLslave</f>
        <v>12</v>
      </c>
      <c r="HC102" s="254"/>
      <c r="HD102" s="254">
        <f>Konvention_1slave-CHslave</f>
        <v>12</v>
      </c>
      <c r="HE102" s="254"/>
      <c r="HF102" s="254"/>
      <c r="HG102" s="254"/>
      <c r="HH102" s="318"/>
      <c r="HI102" s="223">
        <f>(HA102+HB102+HC102+HD102+HE102+HF102+HG102+HH102)/3</f>
        <v>12</v>
      </c>
      <c r="HJ102" s="223">
        <f t="shared" si="889"/>
        <v>24</v>
      </c>
      <c r="HK102" s="224">
        <f t="shared" si="890"/>
        <v>36</v>
      </c>
      <c r="HL102" s="237">
        <f>HA102*POWER(KLslave,SIGN(HB102))*POWER(INslave,SIGN(HC102))*POWER(CHslave,SIGN(HD102))*POWER(FFslave,SIGN(HE102))*POWER(GEslave,SIGN(HF102))*POWER(KOslave_KO,SIGN(HG102))*POWER(KKslave,SIGN(HH102))+HB102*POWER(MUslave,SIGN(HA102))*POWER(INslave,SIGN(HC102))*POWER(CHslave,SIGN(HD102))*POWER(FFslave,SIGN(HE102))*POWER(GEslave,SIGN(HF102))*POWER(KOslave_KO,SIGN(HG102))*POWER(KKslave,SIGN(HH102))+HC102*POWER(MUslave,SIGN(HA102))*POWER(KLslave,SIGN(HB102))*POWER(CHslave,SIGN(HD102))*POWER(FFslave,SIGN(HE102))*POWER(GEslave,SIGN(HF102))*POWER(KOslave_KO,SIGN(HG102))*POWER(KKslave,SIGN(HH102))+HD102*POWER(MUslave,SIGN(HA102))*POWER(KLslave,SIGN(HB102))*POWER(INslave,SIGN(HC102))*POWER(FFslave,SIGN(HE102))*POWER(GEslave,SIGN(HF102))*POWER(KOslave_KO,SIGN(HG102))*POWER(KKslave,SIGN(HH102))+HE102*POWER(MUslave,SIGN(HA102))*POWER(KLslave,SIGN(HB102))*POWER(INslave,SIGN(HC102))*POWER(CHslave,SIGN(HD102))*POWER(GEslave,SIGN(HF102))*POWER(KOslave_KO,SIGN(HG102))*POWER(KKslave,SIGN(HH102))+HF102*POWER(MUslave,SIGN(HA102))*POWER(KLslave,SIGN(HB102))*POWER(INslave,SIGN(HC102))*POWER(CHslave,SIGN(HD102))*POWER(FFslave,SIGN(HE102))*POWER(KOslave_KO,SIGN(HG102))*POWER(KKslave,SIGN(HH102))+HG102*POWER(MUslave,SIGN(HA102))*POWER(KLslave,SIGN(HB102))*POWER(INslave,SIGN(HC102))*POWER(CHslave,SIGN(HD102))*POWER(FFslave,SIGN(HE102))*POWER(GEslave,SIGN(HF102))*POWER(KKslave,SIGN(HH102))+HH102*POWER(MUslave,SIGN(HA102))*POWER(KLslave,SIGN(HB102))*POWER(INslave,SIGN(HC102))*POWER(CHslave,SIGN(HD102))*POWER(FFslave,SIGN(HE102))*POWER(GEslave,SIGN(HF102))*POWER(KOslave_KO,SIGN(HG102))</f>
        <v>2304</v>
      </c>
      <c r="HM102" s="254">
        <f>HA102*HB102*CHslave+HA102*KLslave*HD102+MUslave*HB102*HD102</f>
        <v>3456</v>
      </c>
      <c r="HN102" s="224">
        <f>IFERROR(HA102^SIGN(HA102),1)*IFERROR(HB102^SIGN(HB102),1)*IFERROR(HC102^SIGN(HC102),1)*IFERROR(HD102^SIGN(HD102),1)*IFERROR(HE102^SIGN(HE102),1)*IFERROR(HF102^SIGN(HF102),1)*IFERROR(HG102^SIGN(HG102),1)*IFERROR(HH102^SIGN(HH102),1)</f>
        <v>1728</v>
      </c>
      <c r="HO102" s="224">
        <f t="shared" si="891"/>
        <v>7488</v>
      </c>
      <c r="HP102" s="222">
        <f t="shared" si="892"/>
        <v>3.6923076923076925</v>
      </c>
      <c r="HQ102" s="223">
        <f t="shared" si="893"/>
        <v>11.076923076923077</v>
      </c>
      <c r="HR102" s="243">
        <f t="shared" si="894"/>
        <v>8.3076923076923084</v>
      </c>
      <c r="HS102" s="243">
        <f t="shared" si="895"/>
        <v>23.07692307692308</v>
      </c>
      <c r="HT102" s="252">
        <f t="shared" si="896"/>
        <v>0</v>
      </c>
      <c r="HU102" s="309">
        <f t="shared" si="897"/>
        <v>23.07692307692308</v>
      </c>
      <c r="HV102" s="218">
        <f>IF(HS102&lt;=0,3,0)+IF(HS102&gt;0,HS102+1,0)*3+IF(HS102&gt;12,HS102-12,0)*3+IF(HS102&gt;13,HS102-13,0)*3+IF(HS102&gt;14,HS102-14,0)*3+IF(HS102&gt;15,HS102-15,0)*3+IF(HS102&gt;16,HS102-16,0)*3+IF(HS102&gt;17,HS102-17,0)*3+IF(HS102&gt;18,HS102-18,0)*3+IF(HS102&gt;19,HS102-19,0)*3+IF(HS102&gt;20,HS102-20,0)*3</f>
        <v>263.30769230769232</v>
      </c>
      <c r="HW102" s="242">
        <f>IF(HT102&lt;=0,3,0)+IF(HT102&gt;0,HT102+1,0)*3+IF(HT102&gt;12,HT102-12,0)*3+IF(HT102&gt;13,HT102-13,0)*3+IF(HT102&gt;14,HT102-14,0)*3+IF(HT102&gt;15,HT102-15,0)*3+IF(HT102&gt;16,HT102-16,0)*3+IF(HT102&gt;17,HT102-17,0)*3+IF(HT102&gt;18,HT102-18,0)*3+IF(HT102&gt;19,HT102-19,0)*3+IF(HT102&gt;20,HT102-20,0)*3</f>
        <v>3</v>
      </c>
      <c r="HX102" s="243">
        <f t="shared" si="898"/>
        <v>260.30769230769232</v>
      </c>
      <c r="HY102" s="218">
        <f t="shared" si="899"/>
        <v>0</v>
      </c>
      <c r="IA102" s="303" t="s">
        <v>353</v>
      </c>
      <c r="IB102" s="304" t="s">
        <v>84</v>
      </c>
      <c r="IC102" s="305" t="s">
        <v>135</v>
      </c>
      <c r="ID102" s="317">
        <f>Konvention_1slave-MUslave</f>
        <v>12</v>
      </c>
      <c r="IE102" s="254">
        <f t="shared" ref="IE102:IE108" si="919">Konvention_1slave-KLslave</f>
        <v>12</v>
      </c>
      <c r="IF102" s="254"/>
      <c r="IG102" s="254">
        <f>Konvention_1slave-CHslave</f>
        <v>12</v>
      </c>
      <c r="IH102" s="254"/>
      <c r="II102" s="254"/>
      <c r="IJ102" s="254"/>
      <c r="IK102" s="318"/>
      <c r="IL102" s="223">
        <f>(ID102+IE102+IF102+IG102+IH102+II102+IJ102+IK102)/3</f>
        <v>12</v>
      </c>
      <c r="IM102" s="223">
        <f t="shared" si="900"/>
        <v>24</v>
      </c>
      <c r="IN102" s="224">
        <f t="shared" si="901"/>
        <v>36</v>
      </c>
      <c r="IO102" s="237">
        <f>ID102*POWER(KLslave,SIGN(IE102))*POWER(INslave,SIGN(IF102))*POWER(CHslave,SIGN(IG102))*POWER(FFslave,SIGN(IH102))*POWER(GEslave,SIGN(II102))*POWER(KOslave,SIGN(IJ102))*POWER(KKslave_KK,SIGN(IK102))+IE102*POWER(MUslave,SIGN(ID102))*POWER(INslave,SIGN(IF102))*POWER(CHslave,SIGN(IG102))*POWER(FFslave,SIGN(IH102))*POWER(GEslave,SIGN(II102))*POWER(KOslave,SIGN(IJ102))*POWER(KKslave_KK,SIGN(IK102))+IF102*POWER(MUslave,SIGN(ID102))*POWER(KLslave,SIGN(IE102))*POWER(CHslave,SIGN(IG102))*POWER(FFslave,SIGN(IH102))*POWER(GEslave,SIGN(II102))*POWER(KOslave,SIGN(IJ102))*POWER(KKslave_KK,SIGN(IK102))+IG102*POWER(MUslave,SIGN(ID102))*POWER(KLslave,SIGN(IE102))*POWER(INslave,SIGN(IF102))*POWER(FFslave,SIGN(IH102))*POWER(GEslave,SIGN(II102))*POWER(KOslave,SIGN(IJ102))*POWER(KKslave_KK,SIGN(IK102))+IH102*POWER(MUslave,SIGN(ID102))*POWER(KLslave,SIGN(IE102))*POWER(INslave,SIGN(IF102))*POWER(CHslave,SIGN(IG102))*POWER(GEslave,SIGN(II102))*POWER(KOslave,SIGN(IJ102))*POWER(KKslave_KK,SIGN(IK102))+II102*POWER(MUslave,SIGN(ID102))*POWER(KLslave,SIGN(IE102))*POWER(INslave,SIGN(IF102))*POWER(CHslave,SIGN(IG102))*POWER(FFslave,SIGN(IH102))*POWER(KOslave,SIGN(IJ102))*POWER(KKslave_KK,SIGN(IK102))+IJ102*POWER(MUslave,SIGN(ID102))*POWER(KLslave,SIGN(IE102))*POWER(INslave,SIGN(IF102))*POWER(CHslave,SIGN(IG102))*POWER(FFslave,SIGN(IH102))*POWER(GEslave,SIGN(II102))*POWER(KKslave_KK,SIGN(IK102))+IK102*POWER(MUslave,SIGN(ID102))*POWER(KLslave,SIGN(IE102))*POWER(INslave,SIGN(IF102))*POWER(CHslave,SIGN(IG102))*POWER(FFslave,SIGN(IH102))*POWER(GEslave,SIGN(II102))*POWER(KOslave,SIGN(IJ102))</f>
        <v>2304</v>
      </c>
      <c r="IP102" s="254">
        <f>ID102*IE102*CHslave+ID102*KLslave*IG102+MUslave*IE102*IG102</f>
        <v>3456</v>
      </c>
      <c r="IQ102" s="224">
        <f>IFERROR(ID102^SIGN(ID102),1)*IFERROR(IE102^SIGN(IE102),1)*IFERROR(IF102^SIGN(IF102),1)*IFERROR(IG102^SIGN(IG102),1)*IFERROR(IH102^SIGN(IH102),1)*IFERROR(II102^SIGN(II102),1)*IFERROR(IJ102^SIGN(IJ102),1)*IFERROR(IK102^SIGN(IK102),1)</f>
        <v>1728</v>
      </c>
      <c r="IR102" s="224">
        <f t="shared" si="902"/>
        <v>7488</v>
      </c>
      <c r="IS102" s="222">
        <f t="shared" si="903"/>
        <v>3.6923076923076925</v>
      </c>
      <c r="IT102" s="223">
        <f t="shared" si="904"/>
        <v>11.076923076923077</v>
      </c>
      <c r="IU102" s="243">
        <f t="shared" si="905"/>
        <v>8.3076923076923084</v>
      </c>
      <c r="IV102" s="243">
        <f t="shared" si="906"/>
        <v>23.07692307692308</v>
      </c>
      <c r="IW102" s="252">
        <f t="shared" si="907"/>
        <v>0</v>
      </c>
      <c r="IX102" s="309">
        <f t="shared" si="908"/>
        <v>23.07692307692308</v>
      </c>
      <c r="IY102" s="218">
        <f>IF(IV102&lt;=0,3,0)+IF(IV102&gt;0,IV102+1,0)*3+IF(IV102&gt;12,IV102-12,0)*3+IF(IV102&gt;13,IV102-13,0)*3+IF(IV102&gt;14,IV102-14,0)*3+IF(IV102&gt;15,IV102-15,0)*3+IF(IV102&gt;16,IV102-16,0)*3+IF(IV102&gt;17,IV102-17,0)*3+IF(IV102&gt;18,IV102-18,0)*3+IF(IV102&gt;19,IV102-19,0)*3+IF(IV102&gt;20,IV102-20,0)*3</f>
        <v>263.30769230769232</v>
      </c>
      <c r="IZ102" s="242">
        <f>IF(IW102&lt;=0,3,0)+IF(IW102&gt;0,IW102+1,0)*3+IF(IW102&gt;12,IW102-12,0)*3+IF(IW102&gt;13,IW102-13,0)*3+IF(IW102&gt;14,IW102-14,0)*3+IF(IW102&gt;15,IW102-15,0)*3+IF(IW102&gt;16,IW102-16,0)*3+IF(IW102&gt;17,IW102-17,0)*3+IF(IW102&gt;18,IW102-18,0)*3+IF(IW102&gt;19,IW102-19,0)*3+IF(IW102&gt;20,IW102-20,0)*3</f>
        <v>3</v>
      </c>
      <c r="JA102" s="243">
        <f t="shared" si="909"/>
        <v>260.30769230769232</v>
      </c>
      <c r="JB102" s="218">
        <f t="shared" si="910"/>
        <v>0</v>
      </c>
      <c r="JE102" s="148"/>
    </row>
    <row r="103" spans="2:265" ht="15" hidden="1" customHeight="1" outlineLevel="2">
      <c r="B103" s="148">
        <v>4</v>
      </c>
      <c r="C103" s="303" t="e">
        <f>VLOOKUP(AF103,Attribute!C:T,1,FALSE)</f>
        <v>#N/A</v>
      </c>
      <c r="D103" s="86" t="s">
        <v>308</v>
      </c>
      <c r="E103" s="167" t="s">
        <v>134</v>
      </c>
      <c r="F103" s="120">
        <f>Konvention_1master-MUmaster</f>
        <v>12</v>
      </c>
      <c r="G103" s="117">
        <f t="shared" si="911"/>
        <v>12</v>
      </c>
      <c r="H103" s="117"/>
      <c r="I103" s="117"/>
      <c r="J103" s="117"/>
      <c r="K103" s="117"/>
      <c r="L103" s="117">
        <f>Konvention_1master-KOmaster</f>
        <v>12</v>
      </c>
      <c r="M103" s="121"/>
      <c r="N103" s="223">
        <f>(F103+G103+H103+I103+J103+K103+L103+M103)/3</f>
        <v>12</v>
      </c>
      <c r="O103" s="223">
        <f t="shared" si="813"/>
        <v>24</v>
      </c>
      <c r="P103" s="224">
        <f t="shared" si="814"/>
        <v>36</v>
      </c>
      <c r="Q103" s="237">
        <f>F103*POWER(KLmaster,SIGN(G103))*POWER(INmaster,SIGN(H103))*POWER(CHmaster,SIGN(I103))*POWER(FFmaster,SIGN(J103))*POWER(GEmaster,SIGN(K103))*POWER(KOmaster,SIGN(L103))*POWER(KKmaster,SIGN(M103))+G103*POWER(MUmaster,SIGN(F103))*POWER(INmaster,SIGN(H103))*POWER(CHmaster,SIGN(I103))*POWER(FFmaster,SIGN(J103))*POWER(GEmaster,SIGN(K103))*POWER(KOmaster,SIGN(L103))*POWER(KKmaster,SIGN(M103))+H103*POWER(MUmaster,SIGN(F103))*POWER(KLmaster,SIGN(G103))*POWER(CHmaster,SIGN(I103))*POWER(FFmaster,SIGN(J103))*POWER(GEmaster,SIGN(K103))*POWER(KOmaster,SIGN(L103))*POWER(KKmaster,SIGN(M103))+I103*POWER(MUmaster,SIGN(F103))*POWER(KLmaster,SIGN(G103))*POWER(INmaster,SIGN(H103))*POWER(FFmaster,SIGN(J103))*POWER(GEmaster,SIGN(K103))*POWER(KOmaster,SIGN(L103))*POWER(KKmaster,SIGN(M103))+J103*POWER(MUmaster,SIGN(F103))*POWER(KLmaster,SIGN(G103))*POWER(INmaster,SIGN(H103))*POWER(CHmaster,SIGN(I103))*POWER(GEmaster,SIGN(K103))*POWER(KOmaster,SIGN(L103))*POWER(KKmaster,SIGN(M103))+K103*POWER(MUmaster,SIGN(F103))*POWER(KLmaster,SIGN(G103))*POWER(INmaster,SIGN(H103))*POWER(CHmaster,SIGN(I103))*POWER(FFmaster,SIGN(J103))*POWER(KOmaster,SIGN(L103))*POWER(KKmaster,SIGN(M103))+L103*POWER(MUmaster,SIGN(F103))*POWER(KLmaster,SIGN(G103))*POWER(INmaster,SIGN(H103))*POWER(CHmaster,SIGN(I103))*POWER(FFmaster,SIGN(J103))*POWER(GEmaster,SIGN(K103))*POWER(KKmaster,SIGN(M103))+M103*POWER(MUmaster,SIGN(F103))*POWER(KLmaster,SIGN(G103))*POWER(INmaster,SIGN(H103))*POWER(CHmaster,SIGN(I103))*POWER(FFmaster,SIGN(J103))*POWER(GEmaster,SIGN(K103))*POWER(KOmaster,SIGN(L103))</f>
        <v>2304</v>
      </c>
      <c r="R103" s="117">
        <f>F103*G103*KOmaster+F103*KLmaster*L103+MUmaster*G103*L103</f>
        <v>3456</v>
      </c>
      <c r="S103" s="224">
        <f>IFERROR(F103^SIGN(F103),1)*IFERROR(G103^SIGN(G103),1)*IFERROR(H103^SIGN(H103),1)*IFERROR(I103^SIGN(I103),1)*IFERROR(J103^SIGN(J103),1)*IFERROR(K103^SIGN(K103),1)*IFERROR(L103^SIGN(L103),1)*IFERROR(M103^SIGN(M103),1)</f>
        <v>1728</v>
      </c>
      <c r="T103" s="224">
        <f t="shared" si="815"/>
        <v>7488</v>
      </c>
      <c r="U103" s="222">
        <f t="shared" si="816"/>
        <v>3.6923076923076925</v>
      </c>
      <c r="V103" s="223">
        <f t="shared" si="817"/>
        <v>11.076923076923077</v>
      </c>
      <c r="W103" s="243">
        <f t="shared" si="818"/>
        <v>8.3076923076923084</v>
      </c>
      <c r="X103" s="243">
        <f t="shared" si="819"/>
        <v>23.07692307692308</v>
      </c>
      <c r="Y103" s="252">
        <v>0</v>
      </c>
      <c r="Z103" s="198">
        <f t="shared" si="820"/>
        <v>23.07692307692308</v>
      </c>
      <c r="AA103" s="125">
        <f>IF(X103&lt;=0,4,0)+IF(X103&gt;0,X103+1,0)*4+IF(X103&gt;12,X103-12,0)*4+IF(X103&gt;13,X103-13,0)*4+IF(X103&gt;14,X103-14,0)*4+IF(X103&gt;15,X103-15,0)*4+IF(X103&gt;16,X103-16,0)*4+IF(X103&gt;17,X103-17,0)*4+IF(X103&gt;18,X103-18,0)*4+IF(X103&gt;19,X103-19,0)*4+IF(X103&gt;20,X103-20,0)*4</f>
        <v>351.07692307692321</v>
      </c>
      <c r="AB103" s="160">
        <f>IF(Y103&lt;=0,4,0)+IF(Y103&gt;0,Y103+1,0)*4+IF(Y103&gt;12,Y103-12,0)*4+IF(Y103&gt;13,Y103-13,0)*4+IF(Y103&gt;14,Y103-14,0)*4+IF(Y103&gt;15,Y103-15,0)*4+IF(Y103&gt;16,Y103-16,0)*4+IF(Y103&gt;17,Y103-17,0)*4+IF(Y103&gt;18,Y103-18,0)*4+IF(Y103&gt;19,Y103-19,0)*4+IF(Y103&gt;20,Y103-20,0)*4</f>
        <v>4</v>
      </c>
      <c r="AC103" s="127">
        <f t="shared" si="821"/>
        <v>347.07692307692321</v>
      </c>
      <c r="AD103" s="125">
        <f t="shared" si="822"/>
        <v>0</v>
      </c>
      <c r="AF103" s="163" t="s">
        <v>354</v>
      </c>
      <c r="AG103" s="86" t="s">
        <v>308</v>
      </c>
      <c r="AH103" s="167" t="s">
        <v>134</v>
      </c>
      <c r="AI103" s="120">
        <f>Konvention_1slave-MUslave_MU</f>
        <v>11</v>
      </c>
      <c r="AJ103" s="117">
        <f t="shared" si="912"/>
        <v>12</v>
      </c>
      <c r="AK103" s="117"/>
      <c r="AL103" s="117"/>
      <c r="AM103" s="117"/>
      <c r="AN103" s="117"/>
      <c r="AO103" s="117">
        <f>Konvention_1slave-KOslave</f>
        <v>12</v>
      </c>
      <c r="AP103" s="121"/>
      <c r="AQ103" s="47">
        <f>(AI103+AJ103+AK103+AL103+AM103+AN103+AO103+AP103)/3</f>
        <v>11.666666666666666</v>
      </c>
      <c r="AR103" s="3">
        <f t="shared" si="823"/>
        <v>23.333333333333332</v>
      </c>
      <c r="AS103" s="174">
        <f t="shared" si="824"/>
        <v>35</v>
      </c>
      <c r="AT103" s="114">
        <f>AI103*POWER(KLslave,SIGN(AJ103))*POWER(INslave,SIGN(AK103))*POWER(CHslave,SIGN(AL103))*POWER(FFslave,SIGN(AM103))*POWER(GEslave,SIGN(AN103))*POWER(KOslave,SIGN(AO103))*POWER(KKslave,SIGN(AP103))+AJ103*POWER(MUslave_MU,SIGN(AI103))*POWER(INslave,SIGN(AK103))*POWER(CHslave,SIGN(AL103))*POWER(FFslave,SIGN(AM103))*POWER(GEslave,SIGN(AN103))*POWER(KOslave,SIGN(AO103))*POWER(KKslave,SIGN(AP103))+AK103*POWER(MUslave_MU,SIGN(AI103))*POWER(KLslave,SIGN(AJ103))*POWER(CHslave,SIGN(AL103))*POWER(FFslave,SIGN(AM103))*POWER(GEslave,SIGN(AN103))*POWER(KOslave,SIGN(AO103))*POWER(KKslave,SIGN(AP103))+AL103*POWER(MUslave_MU,SIGN(AI103))*POWER(KLslave,SIGN(AJ103))*POWER(INslave,SIGN(AK103))*POWER(FFslave,SIGN(AM103))*POWER(GEslave,SIGN(AN103))*POWER(KOslave,SIGN(AO103))*POWER(KKslave,SIGN(AP103))+AM103*POWER(MUslave_MU,SIGN(AI103))*POWER(KLslave,SIGN(AJ103))*POWER(INslave,SIGN(AK103))*POWER(CHslave,SIGN(AL103))*POWER(GEslave,SIGN(AN103))*POWER(KOslave,SIGN(AO103))*POWER(KKslave,SIGN(AP103))+AN103*POWER(MUslave_MU,SIGN(AI103))*POWER(KLslave,SIGN(AJ103))*POWER(INslave,SIGN(AK103))*POWER(CHslave,SIGN(AL103))*POWER(FFslave,SIGN(AM103))*POWER(KOslave,SIGN(AO103))*POWER(KKslave,SIGN(AP103))+AO103*POWER(MUslave_MU,SIGN(AI103))*POWER(KLslave,SIGN(AJ103))*POWER(INslave,SIGN(AK103))*POWER(CHslave,SIGN(AL103))*POWER(FFslave,SIGN(AM103))*POWER(GEslave,SIGN(AN103))*POWER(KKslave,SIGN(AP103))+AP103*POWER(MUslave_MU,SIGN(AI103))*POWER(KLslave,SIGN(AJ103))*POWER(INslave,SIGN(AK103))*POWER(CHslave,SIGN(AL103))*POWER(FFslave,SIGN(AM103))*POWER(GEslave,SIGN(AN103))*POWER(KOslave,SIGN(AO103))</f>
        <v>2432</v>
      </c>
      <c r="AU103" s="117">
        <f>AI103*AJ103*KOslave+AI103*KLslave*AO103+MUslave_MU*AJ103*AO103</f>
        <v>3408</v>
      </c>
      <c r="AV103" s="119">
        <f>IFERROR(AI103^SIGN(AI103),1)*IFERROR(AJ103^SIGN(AJ103),1)*IFERROR(AK103^SIGN(AK103),1)*IFERROR(AL103^SIGN(AL103),1)*IFERROR(AM103^SIGN(AM103),1)*IFERROR(AN103^SIGN(AN103),1)*IFERROR(AO103^SIGN(AO103),1)*IFERROR(AP103^SIGN(AP103),1)</f>
        <v>1584</v>
      </c>
      <c r="AW103" s="119">
        <f t="shared" si="825"/>
        <v>7424</v>
      </c>
      <c r="AX103" s="89">
        <f t="shared" si="826"/>
        <v>3.8218390804597702</v>
      </c>
      <c r="AY103" s="47">
        <f t="shared" si="827"/>
        <v>10.711206896551724</v>
      </c>
      <c r="AZ103" s="127">
        <f t="shared" si="828"/>
        <v>7.4676724137931032</v>
      </c>
      <c r="BA103" s="127">
        <f t="shared" si="829"/>
        <v>22.000718390804597</v>
      </c>
      <c r="BB103" s="165">
        <f t="shared" si="830"/>
        <v>0</v>
      </c>
      <c r="BC103" s="198">
        <f t="shared" si="831"/>
        <v>22.000718390804597</v>
      </c>
      <c r="BD103" s="125">
        <f>IF(BA103&lt;=0,4,0)+IF(BA103&gt;0,BA103+1,0)*4+IF(BA103&gt;12,BA103-12,0)*4+IF(BA103&gt;13,BA103-13,0)*4+IF(BA103&gt;14,BA103-14,0)*4+IF(BA103&gt;15,BA103-15,0)*4+IF(BA103&gt;16,BA103-16,0)*4+IF(BA103&gt;17,BA103-17,0)*4+IF(BA103&gt;18,BA103-18,0)*4+IF(BA103&gt;19,BA103-19,0)*4+IF(BA103&gt;20,BA103-20,0)*4</f>
        <v>308.02873563218378</v>
      </c>
      <c r="BE103" s="160">
        <f>IF(BB103&lt;=0,4,0)+IF(BB103&gt;0,BB103+1,0)*4+IF(BB103&gt;12,BB103-12,0)*4+IF(BB103&gt;13,BB103-13,0)*4+IF(BB103&gt;14,BB103-14,0)*4+IF(BB103&gt;15,BB103-15,0)*4+IF(BB103&gt;16,BB103-16,0)*4+IF(BB103&gt;17,BB103-17,0)*4+IF(BB103&gt;18,BB103-18,0)*4+IF(BB103&gt;19,BB103-19,0)*4+IF(BB103&gt;20,BB103-20,0)*4</f>
        <v>4</v>
      </c>
      <c r="BF103" s="243">
        <f t="shared" si="832"/>
        <v>304.02873563218378</v>
      </c>
      <c r="BG103" s="218">
        <f t="shared" si="833"/>
        <v>0</v>
      </c>
      <c r="BI103" s="303" t="s">
        <v>354</v>
      </c>
      <c r="BJ103" s="304" t="s">
        <v>308</v>
      </c>
      <c r="BK103" s="305" t="s">
        <v>134</v>
      </c>
      <c r="BL103" s="317">
        <f>Konvention_1slave-MUslave</f>
        <v>12</v>
      </c>
      <c r="BM103" s="254">
        <f t="shared" si="913"/>
        <v>11</v>
      </c>
      <c r="BN103" s="254"/>
      <c r="BO103" s="254"/>
      <c r="BP103" s="254"/>
      <c r="BQ103" s="254"/>
      <c r="BR103" s="254">
        <f>Konvention_1slave-KOslave</f>
        <v>12</v>
      </c>
      <c r="BS103" s="318"/>
      <c r="BT103" s="223">
        <f>(BL103+BM103+BN103+BO103+BP103+BQ103+BR103+BS103)/3</f>
        <v>11.666666666666666</v>
      </c>
      <c r="BU103" s="223">
        <f t="shared" si="834"/>
        <v>23.333333333333332</v>
      </c>
      <c r="BV103" s="224">
        <f t="shared" si="835"/>
        <v>35</v>
      </c>
      <c r="BW103" s="237">
        <f>BL103*POWER(KLslave_KL,SIGN(BM103))*POWER(INslave,SIGN(BN103))*POWER(CHslave,SIGN(BO103))*POWER(FFslave,SIGN(BP103))*POWER(GEslave,SIGN(BQ103))*POWER(KOslave,SIGN(BR103))*POWER(KKslave,SIGN(BS103))+BM103*POWER(MUslave,SIGN(BL103))*POWER(INslave,SIGN(BN103))*POWER(CHslave,SIGN(BO103))*POWER(FFslave,SIGN(BP103))*POWER(GEslave,SIGN(BQ103))*POWER(KOslave,SIGN(BR103))*POWER(KKslave,SIGN(BS103))+BN103*POWER(MUslave,SIGN(BL103))*POWER(KLslave_KL,SIGN(BM103))*POWER(CHslave,SIGN(BO103))*POWER(FFslave,SIGN(BP103))*POWER(GEslave,SIGN(BQ103))*POWER(KOslave,SIGN(BR103))*POWER(KKslave,SIGN(BS103))+BO103*POWER(MUslave,SIGN(BL103))*POWER(KLslave_KL,SIGN(BM103))*POWER(INslave,SIGN(BN103))*POWER(FFslave,SIGN(BP103))*POWER(GEslave,SIGN(BQ103))*POWER(KOslave,SIGN(BR103))*POWER(KKslave,SIGN(BS103))+BP103*POWER(MUslave,SIGN(BL103))*POWER(KLslave_KL,SIGN(BM103))*POWER(INslave,SIGN(BN103))*POWER(CHslave,SIGN(BO103))*POWER(GEslave,SIGN(BQ103))*POWER(KOslave,SIGN(BR103))*POWER(KKslave,SIGN(BS103))+BQ103*POWER(MUslave,SIGN(BL103))*POWER(KLslave_KL,SIGN(BM103))*POWER(INslave,SIGN(BN103))*POWER(CHslave,SIGN(BO103))*POWER(FFslave,SIGN(BP103))*POWER(KOslave,SIGN(BR103))*POWER(KKslave,SIGN(BS103))+BR103*POWER(MUslave,SIGN(BL103))*POWER(KLslave_KL,SIGN(BM103))*POWER(INslave,SIGN(BN103))*POWER(CHslave,SIGN(BO103))*POWER(FFslave,SIGN(BP103))*POWER(GEslave,SIGN(BQ103))*POWER(KKslave,SIGN(BS103))+BS103*POWER(MUslave,SIGN(BL103))*POWER(KLslave_KL,SIGN(BM103))*POWER(INslave,SIGN(BN103))*POWER(CHslave,SIGN(BO103))*POWER(FFslave,SIGN(BP103))*POWER(GEslave,SIGN(BQ103))*POWER(KOslave,SIGN(BR103))</f>
        <v>2432</v>
      </c>
      <c r="BX103" s="254">
        <f>BL103*BM103*KOslave+BL103*KLslave_KL*BR103+MUslave*BM103*BR103</f>
        <v>3408</v>
      </c>
      <c r="BY103" s="224">
        <f>IFERROR(BL103^SIGN(BL103),1)*IFERROR(BM103^SIGN(BM103),1)*IFERROR(BN103^SIGN(BN103),1)*IFERROR(BO103^SIGN(BO103),1)*IFERROR(BP103^SIGN(BP103),1)*IFERROR(BQ103^SIGN(BQ103),1)*IFERROR(BR103^SIGN(BR103),1)*IFERROR(BS103^SIGN(BS103),1)</f>
        <v>1584</v>
      </c>
      <c r="BZ103" s="224">
        <f t="shared" si="836"/>
        <v>7424</v>
      </c>
      <c r="CA103" s="222">
        <f t="shared" si="837"/>
        <v>3.8218390804597702</v>
      </c>
      <c r="CB103" s="223">
        <f t="shared" si="838"/>
        <v>10.711206896551724</v>
      </c>
      <c r="CC103" s="243">
        <f t="shared" si="839"/>
        <v>7.4676724137931032</v>
      </c>
      <c r="CD103" s="243">
        <f t="shared" si="840"/>
        <v>22.000718390804597</v>
      </c>
      <c r="CE103" s="252">
        <f t="shared" si="841"/>
        <v>0</v>
      </c>
      <c r="CF103" s="309">
        <f t="shared" si="842"/>
        <v>22.000718390804597</v>
      </c>
      <c r="CG103" s="218">
        <f>IF(CD103&lt;=0,4,0)+IF(CD103&gt;0,CD103+1,0)*4+IF(CD103&gt;12,CD103-12,0)*4+IF(CD103&gt;13,CD103-13,0)*4+IF(CD103&gt;14,CD103-14,0)*4+IF(CD103&gt;15,CD103-15,0)*4+IF(CD103&gt;16,CD103-16,0)*4+IF(CD103&gt;17,CD103-17,0)*4+IF(CD103&gt;18,CD103-18,0)*4+IF(CD103&gt;19,CD103-19,0)*4+IF(CD103&gt;20,CD103-20,0)*4</f>
        <v>308.02873563218378</v>
      </c>
      <c r="CH103" s="242">
        <f>IF(CE103&lt;=0,4,0)+IF(CE103&gt;0,CE103+1,0)*4+IF(CE103&gt;12,CE103-12,0)*4+IF(CE103&gt;13,CE103-13,0)*4+IF(CE103&gt;14,CE103-14,0)*4+IF(CE103&gt;15,CE103-15,0)*4+IF(CE103&gt;16,CE103-16,0)*4+IF(CE103&gt;17,CE103-17,0)*4+IF(CE103&gt;18,CE103-18,0)*4+IF(CE103&gt;19,CE103-19,0)*4+IF(CE103&gt;20,CE103-20,0)*4</f>
        <v>4</v>
      </c>
      <c r="CI103" s="243">
        <f t="shared" si="843"/>
        <v>304.02873563218378</v>
      </c>
      <c r="CJ103" s="218">
        <f t="shared" si="844"/>
        <v>0</v>
      </c>
      <c r="CL103" s="303" t="s">
        <v>354</v>
      </c>
      <c r="CM103" s="304" t="s">
        <v>308</v>
      </c>
      <c r="CN103" s="305" t="s">
        <v>134</v>
      </c>
      <c r="CO103" s="317">
        <f>Konvention_1slave-MUslave</f>
        <v>12</v>
      </c>
      <c r="CP103" s="254">
        <f t="shared" si="914"/>
        <v>12</v>
      </c>
      <c r="CQ103" s="254"/>
      <c r="CR103" s="254"/>
      <c r="CS103" s="254"/>
      <c r="CT103" s="254"/>
      <c r="CU103" s="254">
        <f>Konvention_1slave-KOslave</f>
        <v>12</v>
      </c>
      <c r="CV103" s="318"/>
      <c r="CW103" s="223">
        <f>(CO103+CP103+CQ103+CR103+CS103+CT103+CU103+CV103)/3</f>
        <v>12</v>
      </c>
      <c r="CX103" s="223">
        <f t="shared" si="845"/>
        <v>24</v>
      </c>
      <c r="CY103" s="224">
        <f t="shared" si="846"/>
        <v>36</v>
      </c>
      <c r="CZ103" s="237">
        <f>CO103*POWER(KLslave,SIGN(CP103))*POWER(INslave_IN,SIGN(CQ103))*POWER(CHslave,SIGN(CR103))*POWER(FFslave,SIGN(CS103))*POWER(GEslave,SIGN(CT103))*POWER(KOslave,SIGN(CU103))*POWER(KKslave,SIGN(CV103))+CP103*POWER(MUslave,SIGN(CO103))*POWER(INslave_IN,SIGN(CQ103))*POWER(CHslave,SIGN(CR103))*POWER(FFslave,SIGN(CS103))*POWER(GEslave,SIGN(CT103))*POWER(KOslave,SIGN(CU103))*POWER(KKslave,SIGN(CV103))+CQ103*POWER(MUslave,SIGN(CO103))*POWER(KLslave,SIGN(CP103))*POWER(CHslave,SIGN(CR103))*POWER(FFslave,SIGN(CS103))*POWER(GEslave,SIGN(CT103))*POWER(KOslave,SIGN(CU103))*POWER(KKslave,SIGN(CV103))+CR103*POWER(MUslave,SIGN(CO103))*POWER(KLslave,SIGN(CP103))*POWER(INslave_IN,SIGN(CQ103))*POWER(FFslave,SIGN(CS103))*POWER(GEslave,SIGN(CT103))*POWER(KOslave,SIGN(CU103))*POWER(KKslave,SIGN(CV103))+CS103*POWER(MUslave,SIGN(CO103))*POWER(KLslave,SIGN(CP103))*POWER(INslave_IN,SIGN(CQ103))*POWER(CHslave,SIGN(CR103))*POWER(GEslave,SIGN(CT103))*POWER(KOslave,SIGN(CU103))*POWER(KKslave,SIGN(CV103))+CT103*POWER(MUslave,SIGN(CO103))*POWER(KLslave,SIGN(CP103))*POWER(INslave_IN,SIGN(CQ103))*POWER(CHslave,SIGN(CR103))*POWER(FFslave,SIGN(CS103))*POWER(KOslave,SIGN(CU103))*POWER(KKslave,SIGN(CV103))+CU103*POWER(MUslave,SIGN(CO103))*POWER(KLslave,SIGN(CP103))*POWER(INslave_IN,SIGN(CQ103))*POWER(CHslave,SIGN(CR103))*POWER(FFslave,SIGN(CS103))*POWER(GEslave,SIGN(CT103))*POWER(KKslave,SIGN(CV103))+CV103*POWER(MUslave,SIGN(CO103))*POWER(KLslave,SIGN(CP103))*POWER(INslave_IN,SIGN(CQ103))*POWER(CHslave,SIGN(CR103))*POWER(FFslave,SIGN(CS103))*POWER(GEslave,SIGN(CT103))*POWER(KOslave,SIGN(CU103))</f>
        <v>2304</v>
      </c>
      <c r="DA103" s="254">
        <f>CO103*CP103*KOslave+CO103*KLslave*CU103+MUslave*CP103*CU103</f>
        <v>3456</v>
      </c>
      <c r="DB103" s="224">
        <f>IFERROR(CO103^SIGN(CO103),1)*IFERROR(CP103^SIGN(CP103),1)*IFERROR(CQ103^SIGN(CQ103),1)*IFERROR(CR103^SIGN(CR103),1)*IFERROR(CS103^SIGN(CS103),1)*IFERROR(CT103^SIGN(CT103),1)*IFERROR(CU103^SIGN(CU103),1)*IFERROR(CV103^SIGN(CV103),1)</f>
        <v>1728</v>
      </c>
      <c r="DC103" s="224">
        <f t="shared" si="847"/>
        <v>7488</v>
      </c>
      <c r="DD103" s="222">
        <f t="shared" si="848"/>
        <v>3.6923076923076925</v>
      </c>
      <c r="DE103" s="223">
        <f t="shared" si="849"/>
        <v>11.076923076923077</v>
      </c>
      <c r="DF103" s="243">
        <f t="shared" si="850"/>
        <v>8.3076923076923084</v>
      </c>
      <c r="DG103" s="243">
        <f t="shared" si="851"/>
        <v>23.07692307692308</v>
      </c>
      <c r="DH103" s="252">
        <f t="shared" si="852"/>
        <v>0</v>
      </c>
      <c r="DI103" s="309">
        <f t="shared" si="853"/>
        <v>23.07692307692308</v>
      </c>
      <c r="DJ103" s="218">
        <f>IF(DG103&lt;=0,4,0)+IF(DG103&gt;0,DG103+1,0)*4+IF(DG103&gt;12,DG103-12,0)*4+IF(DG103&gt;13,DG103-13,0)*4+IF(DG103&gt;14,DG103-14,0)*4+IF(DG103&gt;15,DG103-15,0)*4+IF(DG103&gt;16,DG103-16,0)*4+IF(DG103&gt;17,DG103-17,0)*4+IF(DG103&gt;18,DG103-18,0)*4+IF(DG103&gt;19,DG103-19,0)*4+IF(DG103&gt;20,DG103-20,0)*4</f>
        <v>351.07692307692321</v>
      </c>
      <c r="DK103" s="242">
        <f>IF(DH103&lt;=0,4,0)+IF(DH103&gt;0,DH103+1,0)*4+IF(DH103&gt;12,DH103-12,0)*4+IF(DH103&gt;13,DH103-13,0)*4+IF(DH103&gt;14,DH103-14,0)*4+IF(DH103&gt;15,DH103-15,0)*4+IF(DH103&gt;16,DH103-16,0)*4+IF(DH103&gt;17,DH103-17,0)*4+IF(DH103&gt;18,DH103-18,0)*4+IF(DH103&gt;19,DH103-19,0)*4+IF(DH103&gt;20,DH103-20,0)*4</f>
        <v>4</v>
      </c>
      <c r="DL103" s="243">
        <f t="shared" si="854"/>
        <v>347.07692307692321</v>
      </c>
      <c r="DM103" s="218">
        <f t="shared" si="855"/>
        <v>0</v>
      </c>
      <c r="DO103" s="303" t="s">
        <v>354</v>
      </c>
      <c r="DP103" s="304" t="s">
        <v>308</v>
      </c>
      <c r="DQ103" s="305" t="s">
        <v>134</v>
      </c>
      <c r="DR103" s="317">
        <f>Konvention_1slave-MUslave</f>
        <v>12</v>
      </c>
      <c r="DS103" s="254">
        <f t="shared" si="915"/>
        <v>12</v>
      </c>
      <c r="DT103" s="254"/>
      <c r="DU103" s="254"/>
      <c r="DV103" s="254"/>
      <c r="DW103" s="254"/>
      <c r="DX103" s="254">
        <f>Konvention_1slave-KOslave</f>
        <v>12</v>
      </c>
      <c r="DY103" s="318"/>
      <c r="DZ103" s="223">
        <f>(DR103+DS103+DT103+DU103+DV103+DW103+DX103+DY103)/3</f>
        <v>12</v>
      </c>
      <c r="EA103" s="223">
        <f t="shared" si="856"/>
        <v>24</v>
      </c>
      <c r="EB103" s="224">
        <f t="shared" si="857"/>
        <v>36</v>
      </c>
      <c r="EC103" s="237">
        <f>DR103*POWER(KLslave,SIGN(DS103))*POWER(INslave,SIGN(DT103))*POWER(CHslave_CH,SIGN(DU103))*POWER(FFslave,SIGN(DV103))*POWER(GEslave,SIGN(DW103))*POWER(KOslave,SIGN(DX103))*POWER(KKslave,SIGN(DY103))+DS103*POWER(MUslave,SIGN(DR103))*POWER(INslave,SIGN(DT103))*POWER(CHslave_CH,SIGN(DU103))*POWER(FFslave,SIGN(DV103))*POWER(GEslave,SIGN(DW103))*POWER(KOslave,SIGN(DX103))*POWER(KKslave,SIGN(DY103))+DT103*POWER(MUslave,SIGN(DR103))*POWER(KLslave,SIGN(DS103))*POWER(CHslave_CH,SIGN(DU103))*POWER(FFslave,SIGN(DV103))*POWER(GEslave,SIGN(DW103))*POWER(KOslave,SIGN(DX103))*POWER(KKslave,SIGN(DY103))+DU103*POWER(MUslave,SIGN(DR103))*POWER(KLslave,SIGN(DS103))*POWER(INslave,SIGN(DT103))*POWER(FFslave,SIGN(DV103))*POWER(GEslave,SIGN(DW103))*POWER(KOslave,SIGN(DX103))*POWER(KKslave,SIGN(DY103))+DV103*POWER(MUslave,SIGN(DR103))*POWER(KLslave,SIGN(DS103))*POWER(INslave,SIGN(DT103))*POWER(CHslave_CH,SIGN(DU103))*POWER(GEslave,SIGN(DW103))*POWER(KOslave,SIGN(DX103))*POWER(KKslave,SIGN(DY103))+DW103*POWER(MUslave,SIGN(DR103))*POWER(KLslave,SIGN(DS103))*POWER(INslave,SIGN(DT103))*POWER(CHslave_CH,SIGN(DU103))*POWER(FFslave,SIGN(DV103))*POWER(KOslave,SIGN(DX103))*POWER(KKslave,SIGN(DY103))+DX103*POWER(MUslave,SIGN(DR103))*POWER(KLslave,SIGN(DS103))*POWER(INslave,SIGN(DT103))*POWER(CHslave_CH,SIGN(DU103))*POWER(FFslave,SIGN(DV103))*POWER(GEslave,SIGN(DW103))*POWER(KKslave,SIGN(DY103))+DY103*POWER(MUslave,SIGN(DR103))*POWER(KLslave,SIGN(DS103))*POWER(INslave,SIGN(DT103))*POWER(CHslave_CH,SIGN(DU103))*POWER(FFslave,SIGN(DV103))*POWER(GEslave,SIGN(DW103))*POWER(KOslave,SIGN(DX103))</f>
        <v>2304</v>
      </c>
      <c r="ED103" s="254">
        <f>DR103*DS103*KOslave+DR103*KLslave*DX103+MUslave*DS103*DX103</f>
        <v>3456</v>
      </c>
      <c r="EE103" s="224">
        <f>IFERROR(DR103^SIGN(DR103),1)*IFERROR(DS103^SIGN(DS103),1)*IFERROR(DT103^SIGN(DT103),1)*IFERROR(DU103^SIGN(DU103),1)*IFERROR(DV103^SIGN(DV103),1)*IFERROR(DW103^SIGN(DW103),1)*IFERROR(DX103^SIGN(DX103),1)*IFERROR(DY103^SIGN(DY103),1)</f>
        <v>1728</v>
      </c>
      <c r="EF103" s="224">
        <f t="shared" si="858"/>
        <v>7488</v>
      </c>
      <c r="EG103" s="222">
        <f t="shared" si="859"/>
        <v>3.6923076923076925</v>
      </c>
      <c r="EH103" s="223">
        <f t="shared" si="860"/>
        <v>11.076923076923077</v>
      </c>
      <c r="EI103" s="243">
        <f t="shared" si="861"/>
        <v>8.3076923076923084</v>
      </c>
      <c r="EJ103" s="243">
        <f t="shared" si="862"/>
        <v>23.07692307692308</v>
      </c>
      <c r="EK103" s="252">
        <f t="shared" si="863"/>
        <v>0</v>
      </c>
      <c r="EL103" s="309">
        <f t="shared" si="864"/>
        <v>23.07692307692308</v>
      </c>
      <c r="EM103" s="218">
        <f>IF(EJ103&lt;=0,4,0)+IF(EJ103&gt;0,EJ103+1,0)*4+IF(EJ103&gt;12,EJ103-12,0)*4+IF(EJ103&gt;13,EJ103-13,0)*4+IF(EJ103&gt;14,EJ103-14,0)*4+IF(EJ103&gt;15,EJ103-15,0)*4+IF(EJ103&gt;16,EJ103-16,0)*4+IF(EJ103&gt;17,EJ103-17,0)*4+IF(EJ103&gt;18,EJ103-18,0)*4+IF(EJ103&gt;19,EJ103-19,0)*4+IF(EJ103&gt;20,EJ103-20,0)*4</f>
        <v>351.07692307692321</v>
      </c>
      <c r="EN103" s="242">
        <f>IF(EK103&lt;=0,4,0)+IF(EK103&gt;0,EK103+1,0)*4+IF(EK103&gt;12,EK103-12,0)*4+IF(EK103&gt;13,EK103-13,0)*4+IF(EK103&gt;14,EK103-14,0)*4+IF(EK103&gt;15,EK103-15,0)*4+IF(EK103&gt;16,EK103-16,0)*4+IF(EK103&gt;17,EK103-17,0)*4+IF(EK103&gt;18,EK103-18,0)*4+IF(EK103&gt;19,EK103-19,0)*4+IF(EK103&gt;20,EK103-20,0)*4</f>
        <v>4</v>
      </c>
      <c r="EO103" s="243">
        <f t="shared" si="865"/>
        <v>347.07692307692321</v>
      </c>
      <c r="EP103" s="218">
        <f t="shared" si="866"/>
        <v>0</v>
      </c>
      <c r="ER103" s="303" t="s">
        <v>354</v>
      </c>
      <c r="ES103" s="304" t="s">
        <v>308</v>
      </c>
      <c r="ET103" s="305" t="s">
        <v>134</v>
      </c>
      <c r="EU103" s="317">
        <f>Konvention_1slave-MUslave</f>
        <v>12</v>
      </c>
      <c r="EV103" s="254">
        <f t="shared" si="916"/>
        <v>12</v>
      </c>
      <c r="EW103" s="254"/>
      <c r="EX103" s="254"/>
      <c r="EY103" s="254"/>
      <c r="EZ103" s="254"/>
      <c r="FA103" s="254">
        <f>Konvention_1slave-KOslave</f>
        <v>12</v>
      </c>
      <c r="FB103" s="318"/>
      <c r="FC103" s="223">
        <f>(EU103+EV103+EW103+EX103+EY103+EZ103+FA103+FB103)/3</f>
        <v>12</v>
      </c>
      <c r="FD103" s="223">
        <f t="shared" si="867"/>
        <v>24</v>
      </c>
      <c r="FE103" s="224">
        <f t="shared" si="868"/>
        <v>36</v>
      </c>
      <c r="FF103" s="237">
        <f>EU103*POWER(KLslave,SIGN(EV103))*POWER(INslave,SIGN(EW103))*POWER(CHslave,SIGN(EX103))*POWER(FFslave_FF,SIGN(EY103))*POWER(GEslave,SIGN(EZ103))*POWER(KOslave,SIGN(FA103))*POWER(KKslave,SIGN(FB103))+EV103*POWER(MUslave,SIGN(EU103))*POWER(INslave,SIGN(EW103))*POWER(CHslave,SIGN(EX103))*POWER(FFslave_FF,SIGN(EY103))*POWER(GEslave,SIGN(EZ103))*POWER(KOslave,SIGN(FA103))*POWER(KKslave,SIGN(FB103))+EW103*POWER(MUslave,SIGN(EU103))*POWER(KLslave,SIGN(EV103))*POWER(CHslave,SIGN(EX103))*POWER(FFslave_FF,SIGN(EY103))*POWER(GEslave,SIGN(EZ103))*POWER(KOslave,SIGN(FA103))*POWER(KKslave,SIGN(FB103))+EX103*POWER(MUslave,SIGN(EU103))*POWER(KLslave,SIGN(EV103))*POWER(INslave,SIGN(EW103))*POWER(FFslave_FF,SIGN(EY103))*POWER(GEslave,SIGN(EZ103))*POWER(KOslave,SIGN(FA103))*POWER(KKslave,SIGN(FB103))+EY103*POWER(MUslave,SIGN(EU103))*POWER(KLslave,SIGN(EV103))*POWER(INslave,SIGN(EW103))*POWER(CHslave,SIGN(EX103))*POWER(GEslave,SIGN(EZ103))*POWER(KOslave,SIGN(FA103))*POWER(KKslave,SIGN(FB103))+EZ103*POWER(MUslave,SIGN(EU103))*POWER(KLslave,SIGN(EV103))*POWER(INslave,SIGN(EW103))*POWER(CHslave,SIGN(EX103))*POWER(FFslave_FF,SIGN(EY103))*POWER(KOslave,SIGN(FA103))*POWER(KKslave,SIGN(FB103))+FA103*POWER(MUslave,SIGN(EU103))*POWER(KLslave,SIGN(EV103))*POWER(INslave,SIGN(EW103))*POWER(CHslave,SIGN(EX103))*POWER(FFslave_FF,SIGN(EY103))*POWER(GEslave,SIGN(EZ103))*POWER(KKslave,SIGN(FB103))+FB103*POWER(MUslave,SIGN(EU103))*POWER(KLslave,SIGN(EV103))*POWER(INslave,SIGN(EW103))*POWER(CHslave,SIGN(EX103))*POWER(FFslave_FF,SIGN(EY103))*POWER(GEslave,SIGN(EZ103))*POWER(KOslave,SIGN(FA103))</f>
        <v>2304</v>
      </c>
      <c r="FG103" s="254">
        <f>EU103*EV103*KOslave+EU103*KLslave*FA103+MUslave*EV103*FA103</f>
        <v>3456</v>
      </c>
      <c r="FH103" s="224">
        <f>IFERROR(EU103^SIGN(EU103),1)*IFERROR(EV103^SIGN(EV103),1)*IFERROR(EW103^SIGN(EW103),1)*IFERROR(EX103^SIGN(EX103),1)*IFERROR(EY103^SIGN(EY103),1)*IFERROR(EZ103^SIGN(EZ103),1)*IFERROR(FA103^SIGN(FA103),1)*IFERROR(FB103^SIGN(FB103),1)</f>
        <v>1728</v>
      </c>
      <c r="FI103" s="224">
        <f t="shared" si="869"/>
        <v>7488</v>
      </c>
      <c r="FJ103" s="222">
        <f t="shared" si="870"/>
        <v>3.6923076923076925</v>
      </c>
      <c r="FK103" s="223">
        <f t="shared" si="871"/>
        <v>11.076923076923077</v>
      </c>
      <c r="FL103" s="243">
        <f t="shared" si="872"/>
        <v>8.3076923076923084</v>
      </c>
      <c r="FM103" s="243">
        <f t="shared" si="873"/>
        <v>23.07692307692308</v>
      </c>
      <c r="FN103" s="252">
        <f t="shared" si="874"/>
        <v>0</v>
      </c>
      <c r="FO103" s="309">
        <f t="shared" si="875"/>
        <v>23.07692307692308</v>
      </c>
      <c r="FP103" s="218">
        <f>IF(FM103&lt;=0,4,0)+IF(FM103&gt;0,FM103+1,0)*4+IF(FM103&gt;12,FM103-12,0)*4+IF(FM103&gt;13,FM103-13,0)*4+IF(FM103&gt;14,FM103-14,0)*4+IF(FM103&gt;15,FM103-15,0)*4+IF(FM103&gt;16,FM103-16,0)*4+IF(FM103&gt;17,FM103-17,0)*4+IF(FM103&gt;18,FM103-18,0)*4+IF(FM103&gt;19,FM103-19,0)*4+IF(FM103&gt;20,FM103-20,0)*4</f>
        <v>351.07692307692321</v>
      </c>
      <c r="FQ103" s="242">
        <f>IF(FN103&lt;=0,4,0)+IF(FN103&gt;0,FN103+1,0)*4+IF(FN103&gt;12,FN103-12,0)*4+IF(FN103&gt;13,FN103-13,0)*4+IF(FN103&gt;14,FN103-14,0)*4+IF(FN103&gt;15,FN103-15,0)*4+IF(FN103&gt;16,FN103-16,0)*4+IF(FN103&gt;17,FN103-17,0)*4+IF(FN103&gt;18,FN103-18,0)*4+IF(FN103&gt;19,FN103-19,0)*4+IF(FN103&gt;20,FN103-20,0)*4</f>
        <v>4</v>
      </c>
      <c r="FR103" s="243">
        <f t="shared" si="876"/>
        <v>347.07692307692321</v>
      </c>
      <c r="FS103" s="218">
        <f t="shared" si="877"/>
        <v>0</v>
      </c>
      <c r="FU103" s="303" t="s">
        <v>354</v>
      </c>
      <c r="FV103" s="304" t="s">
        <v>308</v>
      </c>
      <c r="FW103" s="305" t="s">
        <v>134</v>
      </c>
      <c r="FX103" s="317">
        <f>Konvention_1slave-MUslave</f>
        <v>12</v>
      </c>
      <c r="FY103" s="254">
        <f t="shared" si="917"/>
        <v>12</v>
      </c>
      <c r="FZ103" s="254"/>
      <c r="GA103" s="254"/>
      <c r="GB103" s="254"/>
      <c r="GC103" s="254"/>
      <c r="GD103" s="254">
        <f>Konvention_1slave-KOslave</f>
        <v>12</v>
      </c>
      <c r="GE103" s="318"/>
      <c r="GF103" s="223">
        <f>(FX103+FY103+FZ103+GA103+GB103+GC103+GD103+GE103)/3</f>
        <v>12</v>
      </c>
      <c r="GG103" s="223">
        <f t="shared" si="878"/>
        <v>24</v>
      </c>
      <c r="GH103" s="224">
        <f t="shared" si="879"/>
        <v>36</v>
      </c>
      <c r="GI103" s="237">
        <f>FX103*POWER(KLslave,SIGN(FY103))*POWER(INslave,SIGN(FZ103))*POWER(CHslave,SIGN(GA103))*POWER(FFslave,SIGN(GB103))*POWER(GEslave_GE,SIGN(GC103))*POWER(KOslave,SIGN(GD103))*POWER(KKslave,SIGN(GE103))+FY103*POWER(MUslave,SIGN(FX103))*POWER(INslave,SIGN(FZ103))*POWER(CHslave,SIGN(GA103))*POWER(FFslave,SIGN(GB103))*POWER(GEslave_GE,SIGN(GC103))*POWER(KOslave,SIGN(GD103))*POWER(KKslave,SIGN(GE103))+FZ103*POWER(MUslave,SIGN(FX103))*POWER(KLslave,SIGN(FY103))*POWER(CHslave,SIGN(GA103))*POWER(FFslave,SIGN(GB103))*POWER(GEslave_GE,SIGN(GC103))*POWER(KOslave,SIGN(GD103))*POWER(KKslave,SIGN(GE103))+GA103*POWER(MUslave,SIGN(FX103))*POWER(KLslave,SIGN(FY103))*POWER(INslave,SIGN(FZ103))*POWER(FFslave,SIGN(GB103))*POWER(GEslave_GE,SIGN(GC103))*POWER(KOslave,SIGN(GD103))*POWER(KKslave,SIGN(GE103))+GB103*POWER(MUslave,SIGN(FX103))*POWER(KLslave,SIGN(FY103))*POWER(INslave,SIGN(FZ103))*POWER(CHslave,SIGN(GA103))*POWER(GEslave_GE,SIGN(GC103))*POWER(KOslave,SIGN(GD103))*POWER(KKslave,SIGN(GE103))+GC103*POWER(MUslave,SIGN(FX103))*POWER(KLslave,SIGN(FY103))*POWER(INslave,SIGN(FZ103))*POWER(CHslave,SIGN(GA103))*POWER(FFslave,SIGN(GB103))*POWER(KOslave,SIGN(GD103))*POWER(KKslave,SIGN(GE103))+GD103*POWER(MUslave,SIGN(FX103))*POWER(KLslave,SIGN(FY103))*POWER(INslave,SIGN(FZ103))*POWER(CHslave,SIGN(GA103))*POWER(FFslave,SIGN(GB103))*POWER(GEslave_GE,SIGN(GC103))*POWER(KKslave,SIGN(GE103))+GE103*POWER(MUslave,SIGN(FX103))*POWER(KLslave,SIGN(FY103))*POWER(INslave,SIGN(FZ103))*POWER(CHslave,SIGN(GA103))*POWER(FFslave,SIGN(GB103))*POWER(GEslave_GE,SIGN(GC103))*POWER(KOslave,SIGN(GD103))</f>
        <v>2304</v>
      </c>
      <c r="GJ103" s="254">
        <f>FX103*FY103*KOslave+FX103*KLslave*GD103+MUslave*FY103*GD103</f>
        <v>3456</v>
      </c>
      <c r="GK103" s="224">
        <f>IFERROR(FX103^SIGN(FX103),1)*IFERROR(FY103^SIGN(FY103),1)*IFERROR(FZ103^SIGN(FZ103),1)*IFERROR(GA103^SIGN(GA103),1)*IFERROR(GB103^SIGN(GB103),1)*IFERROR(GC103^SIGN(GC103),1)*IFERROR(GD103^SIGN(GD103),1)*IFERROR(GE103^SIGN(GE103),1)</f>
        <v>1728</v>
      </c>
      <c r="GL103" s="224">
        <f t="shared" si="880"/>
        <v>7488</v>
      </c>
      <c r="GM103" s="222">
        <f t="shared" si="881"/>
        <v>3.6923076923076925</v>
      </c>
      <c r="GN103" s="223">
        <f t="shared" si="882"/>
        <v>11.076923076923077</v>
      </c>
      <c r="GO103" s="243">
        <f t="shared" si="883"/>
        <v>8.3076923076923084</v>
      </c>
      <c r="GP103" s="243">
        <f t="shared" si="884"/>
        <v>23.07692307692308</v>
      </c>
      <c r="GQ103" s="252">
        <f t="shared" si="885"/>
        <v>0</v>
      </c>
      <c r="GR103" s="309">
        <f t="shared" si="886"/>
        <v>23.07692307692308</v>
      </c>
      <c r="GS103" s="218">
        <f>IF(GP103&lt;=0,4,0)+IF(GP103&gt;0,GP103+1,0)*4+IF(GP103&gt;12,GP103-12,0)*4+IF(GP103&gt;13,GP103-13,0)*4+IF(GP103&gt;14,GP103-14,0)*4+IF(GP103&gt;15,GP103-15,0)*4+IF(GP103&gt;16,GP103-16,0)*4+IF(GP103&gt;17,GP103-17,0)*4+IF(GP103&gt;18,GP103-18,0)*4+IF(GP103&gt;19,GP103-19,0)*4+IF(GP103&gt;20,GP103-20,0)*4</f>
        <v>351.07692307692321</v>
      </c>
      <c r="GT103" s="242">
        <f>IF(GQ103&lt;=0,4,0)+IF(GQ103&gt;0,GQ103+1,0)*4+IF(GQ103&gt;12,GQ103-12,0)*4+IF(GQ103&gt;13,GQ103-13,0)*4+IF(GQ103&gt;14,GQ103-14,0)*4+IF(GQ103&gt;15,GQ103-15,0)*4+IF(GQ103&gt;16,GQ103-16,0)*4+IF(GQ103&gt;17,GQ103-17,0)*4+IF(GQ103&gt;18,GQ103-18,0)*4+IF(GQ103&gt;19,GQ103-19,0)*4+IF(GQ103&gt;20,GQ103-20,0)*4</f>
        <v>4</v>
      </c>
      <c r="GU103" s="243">
        <f t="shared" si="887"/>
        <v>347.07692307692321</v>
      </c>
      <c r="GV103" s="218">
        <f t="shared" si="888"/>
        <v>0</v>
      </c>
      <c r="GX103" s="303" t="s">
        <v>354</v>
      </c>
      <c r="GY103" s="304" t="s">
        <v>308</v>
      </c>
      <c r="GZ103" s="305" t="s">
        <v>134</v>
      </c>
      <c r="HA103" s="317">
        <f>Konvention_1slave-MUslave</f>
        <v>12</v>
      </c>
      <c r="HB103" s="254">
        <f t="shared" si="918"/>
        <v>12</v>
      </c>
      <c r="HC103" s="254"/>
      <c r="HD103" s="254"/>
      <c r="HE103" s="254"/>
      <c r="HF103" s="254"/>
      <c r="HG103" s="254">
        <f>Konvention_1slave-KOslave_KO</f>
        <v>11</v>
      </c>
      <c r="HH103" s="318"/>
      <c r="HI103" s="223">
        <f>(HA103+HB103+HC103+HD103+HE103+HF103+HG103+HH103)/3</f>
        <v>11.666666666666666</v>
      </c>
      <c r="HJ103" s="223">
        <f t="shared" si="889"/>
        <v>23.333333333333332</v>
      </c>
      <c r="HK103" s="224">
        <f t="shared" si="890"/>
        <v>35</v>
      </c>
      <c r="HL103" s="237">
        <f>HA103*POWER(KLslave,SIGN(HB103))*POWER(INslave,SIGN(HC103))*POWER(CHslave,SIGN(HD103))*POWER(FFslave,SIGN(HE103))*POWER(GEslave,SIGN(HF103))*POWER(KOslave_KO,SIGN(HG103))*POWER(KKslave,SIGN(HH103))+HB103*POWER(MUslave,SIGN(HA103))*POWER(INslave,SIGN(HC103))*POWER(CHslave,SIGN(HD103))*POWER(FFslave,SIGN(HE103))*POWER(GEslave,SIGN(HF103))*POWER(KOslave_KO,SIGN(HG103))*POWER(KKslave,SIGN(HH103))+HC103*POWER(MUslave,SIGN(HA103))*POWER(KLslave,SIGN(HB103))*POWER(CHslave,SIGN(HD103))*POWER(FFslave,SIGN(HE103))*POWER(GEslave,SIGN(HF103))*POWER(KOslave_KO,SIGN(HG103))*POWER(KKslave,SIGN(HH103))+HD103*POWER(MUslave,SIGN(HA103))*POWER(KLslave,SIGN(HB103))*POWER(INslave,SIGN(HC103))*POWER(FFslave,SIGN(HE103))*POWER(GEslave,SIGN(HF103))*POWER(KOslave_KO,SIGN(HG103))*POWER(KKslave,SIGN(HH103))+HE103*POWER(MUslave,SIGN(HA103))*POWER(KLslave,SIGN(HB103))*POWER(INslave,SIGN(HC103))*POWER(CHslave,SIGN(HD103))*POWER(GEslave,SIGN(HF103))*POWER(KOslave_KO,SIGN(HG103))*POWER(KKslave,SIGN(HH103))+HF103*POWER(MUslave,SIGN(HA103))*POWER(KLslave,SIGN(HB103))*POWER(INslave,SIGN(HC103))*POWER(CHslave,SIGN(HD103))*POWER(FFslave,SIGN(HE103))*POWER(KOslave_KO,SIGN(HG103))*POWER(KKslave,SIGN(HH103))+HG103*POWER(MUslave,SIGN(HA103))*POWER(KLslave,SIGN(HB103))*POWER(INslave,SIGN(HC103))*POWER(CHslave,SIGN(HD103))*POWER(FFslave,SIGN(HE103))*POWER(GEslave,SIGN(HF103))*POWER(KKslave,SIGN(HH103))+HH103*POWER(MUslave,SIGN(HA103))*POWER(KLslave,SIGN(HB103))*POWER(INslave,SIGN(HC103))*POWER(CHslave,SIGN(HD103))*POWER(FFslave,SIGN(HE103))*POWER(GEslave,SIGN(HF103))*POWER(KOslave_KO,SIGN(HG103))</f>
        <v>2432</v>
      </c>
      <c r="HM103" s="254">
        <f>HA103*HB103*KOslave_KO+HA103*KLslave*HG103+MUslave*HB103*HG103</f>
        <v>3408</v>
      </c>
      <c r="HN103" s="224">
        <f>IFERROR(HA103^SIGN(HA103),1)*IFERROR(HB103^SIGN(HB103),1)*IFERROR(HC103^SIGN(HC103),1)*IFERROR(HD103^SIGN(HD103),1)*IFERROR(HE103^SIGN(HE103),1)*IFERROR(HF103^SIGN(HF103),1)*IFERROR(HG103^SIGN(HG103),1)*IFERROR(HH103^SIGN(HH103),1)</f>
        <v>1584</v>
      </c>
      <c r="HO103" s="224">
        <f t="shared" si="891"/>
        <v>7424</v>
      </c>
      <c r="HP103" s="222">
        <f t="shared" si="892"/>
        <v>3.8218390804597702</v>
      </c>
      <c r="HQ103" s="223">
        <f t="shared" si="893"/>
        <v>10.711206896551724</v>
      </c>
      <c r="HR103" s="243">
        <f t="shared" si="894"/>
        <v>7.4676724137931032</v>
      </c>
      <c r="HS103" s="243">
        <f t="shared" si="895"/>
        <v>22.000718390804597</v>
      </c>
      <c r="HT103" s="252">
        <f t="shared" si="896"/>
        <v>0</v>
      </c>
      <c r="HU103" s="309">
        <f t="shared" si="897"/>
        <v>22.000718390804597</v>
      </c>
      <c r="HV103" s="218">
        <f>IF(HS103&lt;=0,4,0)+IF(HS103&gt;0,HS103+1,0)*4+IF(HS103&gt;12,HS103-12,0)*4+IF(HS103&gt;13,HS103-13,0)*4+IF(HS103&gt;14,HS103-14,0)*4+IF(HS103&gt;15,HS103-15,0)*4+IF(HS103&gt;16,HS103-16,0)*4+IF(HS103&gt;17,HS103-17,0)*4+IF(HS103&gt;18,HS103-18,0)*4+IF(HS103&gt;19,HS103-19,0)*4+IF(HS103&gt;20,HS103-20,0)*4</f>
        <v>308.02873563218378</v>
      </c>
      <c r="HW103" s="242">
        <f>IF(HT103&lt;=0,4,0)+IF(HT103&gt;0,HT103+1,0)*4+IF(HT103&gt;12,HT103-12,0)*4+IF(HT103&gt;13,HT103-13,0)*4+IF(HT103&gt;14,HT103-14,0)*4+IF(HT103&gt;15,HT103-15,0)*4+IF(HT103&gt;16,HT103-16,0)*4+IF(HT103&gt;17,HT103-17,0)*4+IF(HT103&gt;18,HT103-18,0)*4+IF(HT103&gt;19,HT103-19,0)*4+IF(HT103&gt;20,HT103-20,0)*4</f>
        <v>4</v>
      </c>
      <c r="HX103" s="243">
        <f t="shared" si="898"/>
        <v>304.02873563218378</v>
      </c>
      <c r="HY103" s="218">
        <f t="shared" si="899"/>
        <v>0</v>
      </c>
      <c r="IA103" s="303" t="s">
        <v>354</v>
      </c>
      <c r="IB103" s="304" t="s">
        <v>308</v>
      </c>
      <c r="IC103" s="305" t="s">
        <v>134</v>
      </c>
      <c r="ID103" s="317">
        <f>Konvention_1slave-MUslave</f>
        <v>12</v>
      </c>
      <c r="IE103" s="254">
        <f t="shared" si="919"/>
        <v>12</v>
      </c>
      <c r="IF103" s="254"/>
      <c r="IG103" s="254"/>
      <c r="IH103" s="254"/>
      <c r="II103" s="254"/>
      <c r="IJ103" s="254">
        <f>Konvention_1slave-KOslave</f>
        <v>12</v>
      </c>
      <c r="IK103" s="318"/>
      <c r="IL103" s="223">
        <f>(ID103+IE103+IF103+IG103+IH103+II103+IJ103+IK103)/3</f>
        <v>12</v>
      </c>
      <c r="IM103" s="223">
        <f t="shared" si="900"/>
        <v>24</v>
      </c>
      <c r="IN103" s="224">
        <f t="shared" si="901"/>
        <v>36</v>
      </c>
      <c r="IO103" s="237">
        <f>ID103*POWER(KLslave,SIGN(IE103))*POWER(INslave,SIGN(IF103))*POWER(CHslave,SIGN(IG103))*POWER(FFslave,SIGN(IH103))*POWER(GEslave,SIGN(II103))*POWER(KOslave,SIGN(IJ103))*POWER(KKslave_KK,SIGN(IK103))+IE103*POWER(MUslave,SIGN(ID103))*POWER(INslave,SIGN(IF103))*POWER(CHslave,SIGN(IG103))*POWER(FFslave,SIGN(IH103))*POWER(GEslave,SIGN(II103))*POWER(KOslave,SIGN(IJ103))*POWER(KKslave_KK,SIGN(IK103))+IF103*POWER(MUslave,SIGN(ID103))*POWER(KLslave,SIGN(IE103))*POWER(CHslave,SIGN(IG103))*POWER(FFslave,SIGN(IH103))*POWER(GEslave,SIGN(II103))*POWER(KOslave,SIGN(IJ103))*POWER(KKslave_KK,SIGN(IK103))+IG103*POWER(MUslave,SIGN(ID103))*POWER(KLslave,SIGN(IE103))*POWER(INslave,SIGN(IF103))*POWER(FFslave,SIGN(IH103))*POWER(GEslave,SIGN(II103))*POWER(KOslave,SIGN(IJ103))*POWER(KKslave_KK,SIGN(IK103))+IH103*POWER(MUslave,SIGN(ID103))*POWER(KLslave,SIGN(IE103))*POWER(INslave,SIGN(IF103))*POWER(CHslave,SIGN(IG103))*POWER(GEslave,SIGN(II103))*POWER(KOslave,SIGN(IJ103))*POWER(KKslave_KK,SIGN(IK103))+II103*POWER(MUslave,SIGN(ID103))*POWER(KLslave,SIGN(IE103))*POWER(INslave,SIGN(IF103))*POWER(CHslave,SIGN(IG103))*POWER(FFslave,SIGN(IH103))*POWER(KOslave,SIGN(IJ103))*POWER(KKslave_KK,SIGN(IK103))+IJ103*POWER(MUslave,SIGN(ID103))*POWER(KLslave,SIGN(IE103))*POWER(INslave,SIGN(IF103))*POWER(CHslave,SIGN(IG103))*POWER(FFslave,SIGN(IH103))*POWER(GEslave,SIGN(II103))*POWER(KKslave_KK,SIGN(IK103))+IK103*POWER(MUslave,SIGN(ID103))*POWER(KLslave,SIGN(IE103))*POWER(INslave,SIGN(IF103))*POWER(CHslave,SIGN(IG103))*POWER(FFslave,SIGN(IH103))*POWER(GEslave,SIGN(II103))*POWER(KOslave,SIGN(IJ103))</f>
        <v>2304</v>
      </c>
      <c r="IP103" s="254">
        <f>ID103*IE103*KOslave+ID103*KLslave*IJ103+MUslave*IE103*IJ103</f>
        <v>3456</v>
      </c>
      <c r="IQ103" s="224">
        <f>IFERROR(ID103^SIGN(ID103),1)*IFERROR(IE103^SIGN(IE103),1)*IFERROR(IF103^SIGN(IF103),1)*IFERROR(IG103^SIGN(IG103),1)*IFERROR(IH103^SIGN(IH103),1)*IFERROR(II103^SIGN(II103),1)*IFERROR(IJ103^SIGN(IJ103),1)*IFERROR(IK103^SIGN(IK103),1)</f>
        <v>1728</v>
      </c>
      <c r="IR103" s="224">
        <f t="shared" si="902"/>
        <v>7488</v>
      </c>
      <c r="IS103" s="222">
        <f t="shared" si="903"/>
        <v>3.6923076923076925</v>
      </c>
      <c r="IT103" s="223">
        <f t="shared" si="904"/>
        <v>11.076923076923077</v>
      </c>
      <c r="IU103" s="243">
        <f t="shared" si="905"/>
        <v>8.3076923076923084</v>
      </c>
      <c r="IV103" s="243">
        <f t="shared" si="906"/>
        <v>23.07692307692308</v>
      </c>
      <c r="IW103" s="252">
        <f t="shared" si="907"/>
        <v>0</v>
      </c>
      <c r="IX103" s="309">
        <f t="shared" si="908"/>
        <v>23.07692307692308</v>
      </c>
      <c r="IY103" s="218">
        <f>IF(IV103&lt;=0,4,0)+IF(IV103&gt;0,IV103+1,0)*4+IF(IV103&gt;12,IV103-12,0)*4+IF(IV103&gt;13,IV103-13,0)*4+IF(IV103&gt;14,IV103-14,0)*4+IF(IV103&gt;15,IV103-15,0)*4+IF(IV103&gt;16,IV103-16,0)*4+IF(IV103&gt;17,IV103-17,0)*4+IF(IV103&gt;18,IV103-18,0)*4+IF(IV103&gt;19,IV103-19,0)*4+IF(IV103&gt;20,IV103-20,0)*4</f>
        <v>351.07692307692321</v>
      </c>
      <c r="IZ103" s="242">
        <f>IF(IW103&lt;=0,4,0)+IF(IW103&gt;0,IW103+1,0)*4+IF(IW103&gt;12,IW103-12,0)*4+IF(IW103&gt;13,IW103-13,0)*4+IF(IW103&gt;14,IW103-14,0)*4+IF(IW103&gt;15,IW103-15,0)*4+IF(IW103&gt;16,IW103-16,0)*4+IF(IW103&gt;17,IW103-17,0)*4+IF(IW103&gt;18,IW103-18,0)*4+IF(IW103&gt;19,IW103-19,0)*4+IF(IW103&gt;20,IW103-20,0)*4</f>
        <v>4</v>
      </c>
      <c r="JA103" s="243">
        <f t="shared" si="909"/>
        <v>347.07692307692321</v>
      </c>
      <c r="JB103" s="218">
        <f t="shared" si="910"/>
        <v>0</v>
      </c>
      <c r="JE103" s="148"/>
    </row>
    <row r="104" spans="2:265" ht="15" hidden="1" customHeight="1" outlineLevel="2">
      <c r="B104" s="148">
        <v>5</v>
      </c>
      <c r="C104" s="303" t="e">
        <f>VLOOKUP(AF104,Attribute!C:T,1,FALSE)</f>
        <v>#N/A</v>
      </c>
      <c r="D104" s="86" t="s">
        <v>170</v>
      </c>
      <c r="E104" s="167" t="s">
        <v>132</v>
      </c>
      <c r="F104" s="120"/>
      <c r="G104" s="117">
        <f t="shared" si="911"/>
        <v>12</v>
      </c>
      <c r="H104" s="117">
        <f>Konvention_1master-INmaster</f>
        <v>12</v>
      </c>
      <c r="I104" s="117"/>
      <c r="J104" s="117">
        <f>Konvention_1master-FFmaster</f>
        <v>12</v>
      </c>
      <c r="K104" s="117"/>
      <c r="L104" s="117"/>
      <c r="M104" s="121"/>
      <c r="N104" s="223">
        <f>(F104+G104+H104+I104+J104+K104+L104+M104)/3</f>
        <v>12</v>
      </c>
      <c r="O104" s="223">
        <f t="shared" si="813"/>
        <v>24</v>
      </c>
      <c r="P104" s="224">
        <f t="shared" si="814"/>
        <v>36</v>
      </c>
      <c r="Q104" s="237">
        <f>F104*POWER(KLmaster,SIGN(G104))*POWER(INmaster,SIGN(H104))*POWER(CHmaster,SIGN(I104))*POWER(FFmaster,SIGN(J104))*POWER(GEmaster,SIGN(K104))*POWER(KOmaster,SIGN(L104))*POWER(KKmaster,SIGN(M104))+G104*POWER(MUmaster,SIGN(F104))*POWER(INmaster,SIGN(H104))*POWER(CHmaster,SIGN(I104))*POWER(FFmaster,SIGN(J104))*POWER(GEmaster,SIGN(K104))*POWER(KOmaster,SIGN(L104))*POWER(KKmaster,SIGN(M104))+H104*POWER(MUmaster,SIGN(F104))*POWER(KLmaster,SIGN(G104))*POWER(CHmaster,SIGN(I104))*POWER(FFmaster,SIGN(J104))*POWER(GEmaster,SIGN(K104))*POWER(KOmaster,SIGN(L104))*POWER(KKmaster,SIGN(M104))+I104*POWER(MUmaster,SIGN(F104))*POWER(KLmaster,SIGN(G104))*POWER(INmaster,SIGN(H104))*POWER(FFmaster,SIGN(J104))*POWER(GEmaster,SIGN(K104))*POWER(KOmaster,SIGN(L104))*POWER(KKmaster,SIGN(M104))+J104*POWER(MUmaster,SIGN(F104))*POWER(KLmaster,SIGN(G104))*POWER(INmaster,SIGN(H104))*POWER(CHmaster,SIGN(I104))*POWER(GEmaster,SIGN(K104))*POWER(KOmaster,SIGN(L104))*POWER(KKmaster,SIGN(M104))+K104*POWER(MUmaster,SIGN(F104))*POWER(KLmaster,SIGN(G104))*POWER(INmaster,SIGN(H104))*POWER(CHmaster,SIGN(I104))*POWER(FFmaster,SIGN(J104))*POWER(KOmaster,SIGN(L104))*POWER(KKmaster,SIGN(M104))+L104*POWER(MUmaster,SIGN(F104))*POWER(KLmaster,SIGN(G104))*POWER(INmaster,SIGN(H104))*POWER(CHmaster,SIGN(I104))*POWER(FFmaster,SIGN(J104))*POWER(GEmaster,SIGN(K104))*POWER(KKmaster,SIGN(M104))+M104*POWER(MUmaster,SIGN(F104))*POWER(KLmaster,SIGN(G104))*POWER(INmaster,SIGN(H104))*POWER(CHmaster,SIGN(I104))*POWER(FFmaster,SIGN(J104))*POWER(GEmaster,SIGN(K104))*POWER(KOmaster,SIGN(L104))</f>
        <v>2304</v>
      </c>
      <c r="R104" s="117">
        <f>G104*H104*FFmaster+G104*INmaster*J104+KLmaster*H104*J104</f>
        <v>3456</v>
      </c>
      <c r="S104" s="224">
        <f>IFERROR(F104^SIGN(F104),1)*IFERROR(G104^SIGN(G104),1)*IFERROR(H104^SIGN(H104),1)*IFERROR(I104^SIGN(I104),1)*IFERROR(J104^SIGN(J104),1)*IFERROR(K104^SIGN(K104),1)*IFERROR(L104^SIGN(L104),1)*IFERROR(M104^SIGN(M104),1)</f>
        <v>1728</v>
      </c>
      <c r="T104" s="224">
        <f t="shared" si="815"/>
        <v>7488</v>
      </c>
      <c r="U104" s="222">
        <f t="shared" si="816"/>
        <v>3.6923076923076925</v>
      </c>
      <c r="V104" s="223">
        <f t="shared" si="817"/>
        <v>11.076923076923077</v>
      </c>
      <c r="W104" s="243">
        <f t="shared" si="818"/>
        <v>8.3076923076923084</v>
      </c>
      <c r="X104" s="243">
        <f t="shared" si="819"/>
        <v>23.07692307692308</v>
      </c>
      <c r="Y104" s="252">
        <v>0</v>
      </c>
      <c r="Z104" s="198">
        <f t="shared" si="820"/>
        <v>23.07692307692308</v>
      </c>
      <c r="AA104" s="125">
        <f t="shared" ref="AA104:AA114" si="920">IF(X104&lt;=0,2,0)+IF(X104&gt;0,X104+1,0)*2+IF(X104&gt;12,X104-12,0)*2+IF(X104&gt;13,X104-13,0)*2+IF(X104&gt;14,X104-14,0)*2+IF(X104&gt;15,X104-15,0)*2+IF(X104&gt;16,X104-16,0)*2+IF(X104&gt;17,X104-17,0)*2+IF(X104&gt;18,X104-18,0)*2+IF(X104&gt;19,X104-19,0)*2+IF(X104&gt;20,X104-20,0)*2</f>
        <v>175.5384615384616</v>
      </c>
      <c r="AB104" s="160">
        <f t="shared" ref="AB104:AB114" si="921">IF(Y104&lt;=0,2,0)+IF(Y104&gt;0,Y104+1,0)*2+IF(Y104&gt;12,Y104-12,0)*2+IF(Y104&gt;13,Y104-13,0)*2+IF(Y104&gt;14,Y104-14,0)*2+IF(Y104&gt;15,Y104-15,0)*2+IF(Y104&gt;16,Y104-16,0)*2+IF(Y104&gt;17,Y104-17,0)*2+IF(Y104&gt;18,Y104-18,0)*2+IF(Y104&gt;19,Y104-19,0)*2+IF(Y104&gt;20,Y104-20,0)*2</f>
        <v>2</v>
      </c>
      <c r="AC104" s="127">
        <f t="shared" si="821"/>
        <v>173.5384615384616</v>
      </c>
      <c r="AD104" s="125">
        <f t="shared" si="822"/>
        <v>0</v>
      </c>
      <c r="AF104" s="163" t="s">
        <v>284</v>
      </c>
      <c r="AG104" s="86" t="s">
        <v>170</v>
      </c>
      <c r="AH104" s="167" t="s">
        <v>132</v>
      </c>
      <c r="AI104" s="120"/>
      <c r="AJ104" s="117">
        <f t="shared" si="912"/>
        <v>12</v>
      </c>
      <c r="AK104" s="117">
        <f>Konvention_1slave-INslave</f>
        <v>12</v>
      </c>
      <c r="AL104" s="117"/>
      <c r="AM104" s="117">
        <f>Konvention_1slave-FFslave</f>
        <v>12</v>
      </c>
      <c r="AN104" s="117"/>
      <c r="AO104" s="117"/>
      <c r="AP104" s="121"/>
      <c r="AQ104" s="47">
        <f>(AI104+AJ104+AK104+AL104+AM104+AN104+AO104+AP104)/3</f>
        <v>12</v>
      </c>
      <c r="AR104" s="3">
        <f t="shared" si="823"/>
        <v>24</v>
      </c>
      <c r="AS104" s="174">
        <f t="shared" si="824"/>
        <v>36</v>
      </c>
      <c r="AT104" s="114">
        <f>AI104*POWER(KLslave,SIGN(AJ104))*POWER(INslave,SIGN(AK104))*POWER(CHslave,SIGN(AL104))*POWER(FFslave,SIGN(AM104))*POWER(GEslave,SIGN(AN104))*POWER(KOslave,SIGN(AO104))*POWER(KKslave,SIGN(AP104))+AJ104*POWER(MUslave_MU,SIGN(AI104))*POWER(INslave,SIGN(AK104))*POWER(CHslave,SIGN(AL104))*POWER(FFslave,SIGN(AM104))*POWER(GEslave,SIGN(AN104))*POWER(KOslave,SIGN(AO104))*POWER(KKslave,SIGN(AP104))+AK104*POWER(MUslave_MU,SIGN(AI104))*POWER(KLslave,SIGN(AJ104))*POWER(CHslave,SIGN(AL104))*POWER(FFslave,SIGN(AM104))*POWER(GEslave,SIGN(AN104))*POWER(KOslave,SIGN(AO104))*POWER(KKslave,SIGN(AP104))+AL104*POWER(MUslave_MU,SIGN(AI104))*POWER(KLslave,SIGN(AJ104))*POWER(INslave,SIGN(AK104))*POWER(FFslave,SIGN(AM104))*POWER(GEslave,SIGN(AN104))*POWER(KOslave,SIGN(AO104))*POWER(KKslave,SIGN(AP104))+AM104*POWER(MUslave_MU,SIGN(AI104))*POWER(KLslave,SIGN(AJ104))*POWER(INslave,SIGN(AK104))*POWER(CHslave,SIGN(AL104))*POWER(GEslave,SIGN(AN104))*POWER(KOslave,SIGN(AO104))*POWER(KKslave,SIGN(AP104))+AN104*POWER(MUslave_MU,SIGN(AI104))*POWER(KLslave,SIGN(AJ104))*POWER(INslave,SIGN(AK104))*POWER(CHslave,SIGN(AL104))*POWER(FFslave,SIGN(AM104))*POWER(KOslave,SIGN(AO104))*POWER(KKslave,SIGN(AP104))+AO104*POWER(MUslave_MU,SIGN(AI104))*POWER(KLslave,SIGN(AJ104))*POWER(INslave,SIGN(AK104))*POWER(CHslave,SIGN(AL104))*POWER(FFslave,SIGN(AM104))*POWER(GEslave,SIGN(AN104))*POWER(KKslave,SIGN(AP104))+AP104*POWER(MUslave_MU,SIGN(AI104))*POWER(KLslave,SIGN(AJ104))*POWER(INslave,SIGN(AK104))*POWER(CHslave,SIGN(AL104))*POWER(FFslave,SIGN(AM104))*POWER(GEslave,SIGN(AN104))*POWER(KOslave,SIGN(AO104))</f>
        <v>2304</v>
      </c>
      <c r="AU104" s="117">
        <f>AJ104*AK104*FFslave+AJ104*INslave*AM104+KLslave*AK104*AM104</f>
        <v>3456</v>
      </c>
      <c r="AV104" s="119">
        <f>IFERROR(AI104^SIGN(AI104),1)*IFERROR(AJ104^SIGN(AJ104),1)*IFERROR(AK104^SIGN(AK104),1)*IFERROR(AL104^SIGN(AL104),1)*IFERROR(AM104^SIGN(AM104),1)*IFERROR(AN104^SIGN(AN104),1)*IFERROR(AO104^SIGN(AO104),1)*IFERROR(AP104^SIGN(AP104),1)</f>
        <v>1728</v>
      </c>
      <c r="AW104" s="119">
        <f t="shared" si="825"/>
        <v>7488</v>
      </c>
      <c r="AX104" s="89">
        <f t="shared" si="826"/>
        <v>3.6923076923076925</v>
      </c>
      <c r="AY104" s="47">
        <f t="shared" si="827"/>
        <v>11.076923076923077</v>
      </c>
      <c r="AZ104" s="127">
        <f t="shared" si="828"/>
        <v>8.3076923076923084</v>
      </c>
      <c r="BA104" s="127">
        <f t="shared" si="829"/>
        <v>23.07692307692308</v>
      </c>
      <c r="BB104" s="165">
        <f t="shared" si="830"/>
        <v>0</v>
      </c>
      <c r="BC104" s="198">
        <f t="shared" si="831"/>
        <v>23.07692307692308</v>
      </c>
      <c r="BD104" s="125">
        <f t="shared" ref="BD104:BD114" si="922">IF(BA104&lt;=0,2,0)+IF(BA104&gt;0,BA104+1,0)*2+IF(BA104&gt;12,BA104-12,0)*2+IF(BA104&gt;13,BA104-13,0)*2+IF(BA104&gt;14,BA104-14,0)*2+IF(BA104&gt;15,BA104-15,0)*2+IF(BA104&gt;16,BA104-16,0)*2+IF(BA104&gt;17,BA104-17,0)*2+IF(BA104&gt;18,BA104-18,0)*2+IF(BA104&gt;19,BA104-19,0)*2+IF(BA104&gt;20,BA104-20,0)*2</f>
        <v>175.5384615384616</v>
      </c>
      <c r="BE104" s="160">
        <f t="shared" ref="BE104:BE114" si="923">IF(BB104&lt;=0,2,0)+IF(BB104&gt;0,BB104+1,0)*2+IF(BB104&gt;12,BB104-12,0)*2+IF(BB104&gt;13,BB104-13,0)*2+IF(BB104&gt;14,BB104-14,0)*2+IF(BB104&gt;15,BB104-15,0)*2+IF(BB104&gt;16,BB104-16,0)*2+IF(BB104&gt;17,BB104-17,0)*2+IF(BB104&gt;18,BB104-18,0)*2+IF(BB104&gt;19,BB104-19,0)*2+IF(BB104&gt;20,BB104-20,0)*2</f>
        <v>2</v>
      </c>
      <c r="BF104" s="243">
        <f t="shared" si="832"/>
        <v>173.5384615384616</v>
      </c>
      <c r="BG104" s="218">
        <f t="shared" si="833"/>
        <v>0</v>
      </c>
      <c r="BI104" s="303" t="s">
        <v>284</v>
      </c>
      <c r="BJ104" s="304" t="s">
        <v>170</v>
      </c>
      <c r="BK104" s="305" t="s">
        <v>132</v>
      </c>
      <c r="BL104" s="317"/>
      <c r="BM104" s="254">
        <f t="shared" si="913"/>
        <v>11</v>
      </c>
      <c r="BN104" s="254">
        <f>Konvention_1slave-INslave</f>
        <v>12</v>
      </c>
      <c r="BO104" s="254"/>
      <c r="BP104" s="254">
        <f>Konvention_1slave-FFslave</f>
        <v>12</v>
      </c>
      <c r="BQ104" s="254"/>
      <c r="BR104" s="254"/>
      <c r="BS104" s="318"/>
      <c r="BT104" s="223">
        <f>(BL104+BM104+BN104+BO104+BP104+BQ104+BR104+BS104)/3</f>
        <v>11.666666666666666</v>
      </c>
      <c r="BU104" s="223">
        <f t="shared" si="834"/>
        <v>23.333333333333332</v>
      </c>
      <c r="BV104" s="224">
        <f t="shared" si="835"/>
        <v>35</v>
      </c>
      <c r="BW104" s="237">
        <f>BL104*POWER(KLslave_KL,SIGN(BM104))*POWER(INslave,SIGN(BN104))*POWER(CHslave,SIGN(BO104))*POWER(FFslave,SIGN(BP104))*POWER(GEslave,SIGN(BQ104))*POWER(KOslave,SIGN(BR104))*POWER(KKslave,SIGN(BS104))+BM104*POWER(MUslave,SIGN(BL104))*POWER(INslave,SIGN(BN104))*POWER(CHslave,SIGN(BO104))*POWER(FFslave,SIGN(BP104))*POWER(GEslave,SIGN(BQ104))*POWER(KOslave,SIGN(BR104))*POWER(KKslave,SIGN(BS104))+BN104*POWER(MUslave,SIGN(BL104))*POWER(KLslave_KL,SIGN(BM104))*POWER(CHslave,SIGN(BO104))*POWER(FFslave,SIGN(BP104))*POWER(GEslave,SIGN(BQ104))*POWER(KOslave,SIGN(BR104))*POWER(KKslave,SIGN(BS104))+BO104*POWER(MUslave,SIGN(BL104))*POWER(KLslave_KL,SIGN(BM104))*POWER(INslave,SIGN(BN104))*POWER(FFslave,SIGN(BP104))*POWER(GEslave,SIGN(BQ104))*POWER(KOslave,SIGN(BR104))*POWER(KKslave,SIGN(BS104))+BP104*POWER(MUslave,SIGN(BL104))*POWER(KLslave_KL,SIGN(BM104))*POWER(INslave,SIGN(BN104))*POWER(CHslave,SIGN(BO104))*POWER(GEslave,SIGN(BQ104))*POWER(KOslave,SIGN(BR104))*POWER(KKslave,SIGN(BS104))+BQ104*POWER(MUslave,SIGN(BL104))*POWER(KLslave_KL,SIGN(BM104))*POWER(INslave,SIGN(BN104))*POWER(CHslave,SIGN(BO104))*POWER(FFslave,SIGN(BP104))*POWER(KOslave,SIGN(BR104))*POWER(KKslave,SIGN(BS104))+BR104*POWER(MUslave,SIGN(BL104))*POWER(KLslave_KL,SIGN(BM104))*POWER(INslave,SIGN(BN104))*POWER(CHslave,SIGN(BO104))*POWER(FFslave,SIGN(BP104))*POWER(GEslave,SIGN(BQ104))*POWER(KKslave,SIGN(BS104))+BS104*POWER(MUslave,SIGN(BL104))*POWER(KLslave_KL,SIGN(BM104))*POWER(INslave,SIGN(BN104))*POWER(CHslave,SIGN(BO104))*POWER(FFslave,SIGN(BP104))*POWER(GEslave,SIGN(BQ104))*POWER(KOslave,SIGN(BR104))</f>
        <v>2432</v>
      </c>
      <c r="BX104" s="254">
        <f>BM104*BN104*FFslave+BM104*INslave*BP104+KLslave_KL*BN104*BP104</f>
        <v>3408</v>
      </c>
      <c r="BY104" s="224">
        <f>IFERROR(BL104^SIGN(BL104),1)*IFERROR(BM104^SIGN(BM104),1)*IFERROR(BN104^SIGN(BN104),1)*IFERROR(BO104^SIGN(BO104),1)*IFERROR(BP104^SIGN(BP104),1)*IFERROR(BQ104^SIGN(BQ104),1)*IFERROR(BR104^SIGN(BR104),1)*IFERROR(BS104^SIGN(BS104),1)</f>
        <v>1584</v>
      </c>
      <c r="BZ104" s="224">
        <f t="shared" si="836"/>
        <v>7424</v>
      </c>
      <c r="CA104" s="222">
        <f t="shared" si="837"/>
        <v>3.8218390804597702</v>
      </c>
      <c r="CB104" s="223">
        <f t="shared" si="838"/>
        <v>10.711206896551724</v>
      </c>
      <c r="CC104" s="243">
        <f t="shared" si="839"/>
        <v>7.4676724137931032</v>
      </c>
      <c r="CD104" s="243">
        <f t="shared" si="840"/>
        <v>22.000718390804597</v>
      </c>
      <c r="CE104" s="252">
        <f t="shared" si="841"/>
        <v>0</v>
      </c>
      <c r="CF104" s="309">
        <f t="shared" si="842"/>
        <v>22.000718390804597</v>
      </c>
      <c r="CG104" s="218">
        <f t="shared" ref="CG104:CG114" si="924">IF(CD104&lt;=0,2,0)+IF(CD104&gt;0,CD104+1,0)*2+IF(CD104&gt;12,CD104-12,0)*2+IF(CD104&gt;13,CD104-13,0)*2+IF(CD104&gt;14,CD104-14,0)*2+IF(CD104&gt;15,CD104-15,0)*2+IF(CD104&gt;16,CD104-16,0)*2+IF(CD104&gt;17,CD104-17,0)*2+IF(CD104&gt;18,CD104-18,0)*2+IF(CD104&gt;19,CD104-19,0)*2+IF(CD104&gt;20,CD104-20,0)*2</f>
        <v>154.01436781609189</v>
      </c>
      <c r="CH104" s="242">
        <f t="shared" ref="CH104:CH114" si="925">IF(CE104&lt;=0,2,0)+IF(CE104&gt;0,CE104+1,0)*2+IF(CE104&gt;12,CE104-12,0)*2+IF(CE104&gt;13,CE104-13,0)*2+IF(CE104&gt;14,CE104-14,0)*2+IF(CE104&gt;15,CE104-15,0)*2+IF(CE104&gt;16,CE104-16,0)*2+IF(CE104&gt;17,CE104-17,0)*2+IF(CE104&gt;18,CE104-18,0)*2+IF(CE104&gt;19,CE104-19,0)*2+IF(CE104&gt;20,CE104-20,0)*2</f>
        <v>2</v>
      </c>
      <c r="CI104" s="243">
        <f t="shared" si="843"/>
        <v>152.01436781609189</v>
      </c>
      <c r="CJ104" s="218">
        <f t="shared" si="844"/>
        <v>0</v>
      </c>
      <c r="CL104" s="303" t="s">
        <v>284</v>
      </c>
      <c r="CM104" s="304" t="s">
        <v>170</v>
      </c>
      <c r="CN104" s="305" t="s">
        <v>132</v>
      </c>
      <c r="CO104" s="317"/>
      <c r="CP104" s="254">
        <f t="shared" si="914"/>
        <v>12</v>
      </c>
      <c r="CQ104" s="254">
        <f>Konvention_1slave-INslave_IN</f>
        <v>11</v>
      </c>
      <c r="CR104" s="254"/>
      <c r="CS104" s="254">
        <f>Konvention_1slave-FFslave</f>
        <v>12</v>
      </c>
      <c r="CT104" s="254"/>
      <c r="CU104" s="254"/>
      <c r="CV104" s="318"/>
      <c r="CW104" s="223">
        <f>(CO104+CP104+CQ104+CR104+CS104+CT104+CU104+CV104)/3</f>
        <v>11.666666666666666</v>
      </c>
      <c r="CX104" s="223">
        <f t="shared" si="845"/>
        <v>23.333333333333332</v>
      </c>
      <c r="CY104" s="224">
        <f t="shared" si="846"/>
        <v>35</v>
      </c>
      <c r="CZ104" s="237">
        <f>CO104*POWER(KLslave,SIGN(CP104))*POWER(INslave_IN,SIGN(CQ104))*POWER(CHslave,SIGN(CR104))*POWER(FFslave,SIGN(CS104))*POWER(GEslave,SIGN(CT104))*POWER(KOslave,SIGN(CU104))*POWER(KKslave,SIGN(CV104))+CP104*POWER(MUslave,SIGN(CO104))*POWER(INslave_IN,SIGN(CQ104))*POWER(CHslave,SIGN(CR104))*POWER(FFslave,SIGN(CS104))*POWER(GEslave,SIGN(CT104))*POWER(KOslave,SIGN(CU104))*POWER(KKslave,SIGN(CV104))+CQ104*POWER(MUslave,SIGN(CO104))*POWER(KLslave,SIGN(CP104))*POWER(CHslave,SIGN(CR104))*POWER(FFslave,SIGN(CS104))*POWER(GEslave,SIGN(CT104))*POWER(KOslave,SIGN(CU104))*POWER(KKslave,SIGN(CV104))+CR104*POWER(MUslave,SIGN(CO104))*POWER(KLslave,SIGN(CP104))*POWER(INslave_IN,SIGN(CQ104))*POWER(FFslave,SIGN(CS104))*POWER(GEslave,SIGN(CT104))*POWER(KOslave,SIGN(CU104))*POWER(KKslave,SIGN(CV104))+CS104*POWER(MUslave,SIGN(CO104))*POWER(KLslave,SIGN(CP104))*POWER(INslave_IN,SIGN(CQ104))*POWER(CHslave,SIGN(CR104))*POWER(GEslave,SIGN(CT104))*POWER(KOslave,SIGN(CU104))*POWER(KKslave,SIGN(CV104))+CT104*POWER(MUslave,SIGN(CO104))*POWER(KLslave,SIGN(CP104))*POWER(INslave_IN,SIGN(CQ104))*POWER(CHslave,SIGN(CR104))*POWER(FFslave,SIGN(CS104))*POWER(KOslave,SIGN(CU104))*POWER(KKslave,SIGN(CV104))+CU104*POWER(MUslave,SIGN(CO104))*POWER(KLslave,SIGN(CP104))*POWER(INslave_IN,SIGN(CQ104))*POWER(CHslave,SIGN(CR104))*POWER(FFslave,SIGN(CS104))*POWER(GEslave,SIGN(CT104))*POWER(KKslave,SIGN(CV104))+CV104*POWER(MUslave,SIGN(CO104))*POWER(KLslave,SIGN(CP104))*POWER(INslave_IN,SIGN(CQ104))*POWER(CHslave,SIGN(CR104))*POWER(FFslave,SIGN(CS104))*POWER(GEslave,SIGN(CT104))*POWER(KOslave,SIGN(CU104))</f>
        <v>2432</v>
      </c>
      <c r="DA104" s="254">
        <f>CP104*CQ104*FFslave+CP104*INslave_IN*CS104+KLslave*CQ104*CS104</f>
        <v>3408</v>
      </c>
      <c r="DB104" s="224">
        <f>IFERROR(CO104^SIGN(CO104),1)*IFERROR(CP104^SIGN(CP104),1)*IFERROR(CQ104^SIGN(CQ104),1)*IFERROR(CR104^SIGN(CR104),1)*IFERROR(CS104^SIGN(CS104),1)*IFERROR(CT104^SIGN(CT104),1)*IFERROR(CU104^SIGN(CU104),1)*IFERROR(CV104^SIGN(CV104),1)</f>
        <v>1584</v>
      </c>
      <c r="DC104" s="224">
        <f t="shared" si="847"/>
        <v>7424</v>
      </c>
      <c r="DD104" s="222">
        <f t="shared" si="848"/>
        <v>3.8218390804597702</v>
      </c>
      <c r="DE104" s="223">
        <f t="shared" si="849"/>
        <v>10.711206896551724</v>
      </c>
      <c r="DF104" s="243">
        <f t="shared" si="850"/>
        <v>7.4676724137931032</v>
      </c>
      <c r="DG104" s="243">
        <f t="shared" si="851"/>
        <v>22.000718390804597</v>
      </c>
      <c r="DH104" s="252">
        <f t="shared" si="852"/>
        <v>0</v>
      </c>
      <c r="DI104" s="309">
        <f t="shared" si="853"/>
        <v>22.000718390804597</v>
      </c>
      <c r="DJ104" s="218">
        <f t="shared" ref="DJ104:DJ114" si="926">IF(DG104&lt;=0,2,0)+IF(DG104&gt;0,DG104+1,0)*2+IF(DG104&gt;12,DG104-12,0)*2+IF(DG104&gt;13,DG104-13,0)*2+IF(DG104&gt;14,DG104-14,0)*2+IF(DG104&gt;15,DG104-15,0)*2+IF(DG104&gt;16,DG104-16,0)*2+IF(DG104&gt;17,DG104-17,0)*2+IF(DG104&gt;18,DG104-18,0)*2+IF(DG104&gt;19,DG104-19,0)*2+IF(DG104&gt;20,DG104-20,0)*2</f>
        <v>154.01436781609189</v>
      </c>
      <c r="DK104" s="242">
        <f t="shared" ref="DK104:DK114" si="927">IF(DH104&lt;=0,2,0)+IF(DH104&gt;0,DH104+1,0)*2+IF(DH104&gt;12,DH104-12,0)*2+IF(DH104&gt;13,DH104-13,0)*2+IF(DH104&gt;14,DH104-14,0)*2+IF(DH104&gt;15,DH104-15,0)*2+IF(DH104&gt;16,DH104-16,0)*2+IF(DH104&gt;17,DH104-17,0)*2+IF(DH104&gt;18,DH104-18,0)*2+IF(DH104&gt;19,DH104-19,0)*2+IF(DH104&gt;20,DH104-20,0)*2</f>
        <v>2</v>
      </c>
      <c r="DL104" s="243">
        <f t="shared" si="854"/>
        <v>152.01436781609189</v>
      </c>
      <c r="DM104" s="218">
        <f t="shared" si="855"/>
        <v>0</v>
      </c>
      <c r="DO104" s="303" t="s">
        <v>284</v>
      </c>
      <c r="DP104" s="304" t="s">
        <v>170</v>
      </c>
      <c r="DQ104" s="305" t="s">
        <v>132</v>
      </c>
      <c r="DR104" s="317"/>
      <c r="DS104" s="254">
        <f t="shared" si="915"/>
        <v>12</v>
      </c>
      <c r="DT104" s="254">
        <f>Konvention_1slave-INslave</f>
        <v>12</v>
      </c>
      <c r="DU104" s="254"/>
      <c r="DV104" s="254">
        <f>Konvention_1slave-FFslave</f>
        <v>12</v>
      </c>
      <c r="DW104" s="254"/>
      <c r="DX104" s="254"/>
      <c r="DY104" s="318"/>
      <c r="DZ104" s="223">
        <f>(DR104+DS104+DT104+DU104+DV104+DW104+DX104+DY104)/3</f>
        <v>12</v>
      </c>
      <c r="EA104" s="223">
        <f t="shared" si="856"/>
        <v>24</v>
      </c>
      <c r="EB104" s="224">
        <f t="shared" si="857"/>
        <v>36</v>
      </c>
      <c r="EC104" s="237">
        <f>DR104*POWER(KLslave,SIGN(DS104))*POWER(INslave,SIGN(DT104))*POWER(CHslave_CH,SIGN(DU104))*POWER(FFslave,SIGN(DV104))*POWER(GEslave,SIGN(DW104))*POWER(KOslave,SIGN(DX104))*POWER(KKslave,SIGN(DY104))+DS104*POWER(MUslave,SIGN(DR104))*POWER(INslave,SIGN(DT104))*POWER(CHslave_CH,SIGN(DU104))*POWER(FFslave,SIGN(DV104))*POWER(GEslave,SIGN(DW104))*POWER(KOslave,SIGN(DX104))*POWER(KKslave,SIGN(DY104))+DT104*POWER(MUslave,SIGN(DR104))*POWER(KLslave,SIGN(DS104))*POWER(CHslave_CH,SIGN(DU104))*POWER(FFslave,SIGN(DV104))*POWER(GEslave,SIGN(DW104))*POWER(KOslave,SIGN(DX104))*POWER(KKslave,SIGN(DY104))+DU104*POWER(MUslave,SIGN(DR104))*POWER(KLslave,SIGN(DS104))*POWER(INslave,SIGN(DT104))*POWER(FFslave,SIGN(DV104))*POWER(GEslave,SIGN(DW104))*POWER(KOslave,SIGN(DX104))*POWER(KKslave,SIGN(DY104))+DV104*POWER(MUslave,SIGN(DR104))*POWER(KLslave,SIGN(DS104))*POWER(INslave,SIGN(DT104))*POWER(CHslave_CH,SIGN(DU104))*POWER(GEslave,SIGN(DW104))*POWER(KOslave,SIGN(DX104))*POWER(KKslave,SIGN(DY104))+DW104*POWER(MUslave,SIGN(DR104))*POWER(KLslave,SIGN(DS104))*POWER(INslave,SIGN(DT104))*POWER(CHslave_CH,SIGN(DU104))*POWER(FFslave,SIGN(DV104))*POWER(KOslave,SIGN(DX104))*POWER(KKslave,SIGN(DY104))+DX104*POWER(MUslave,SIGN(DR104))*POWER(KLslave,SIGN(DS104))*POWER(INslave,SIGN(DT104))*POWER(CHslave_CH,SIGN(DU104))*POWER(FFslave,SIGN(DV104))*POWER(GEslave,SIGN(DW104))*POWER(KKslave,SIGN(DY104))+DY104*POWER(MUslave,SIGN(DR104))*POWER(KLslave,SIGN(DS104))*POWER(INslave,SIGN(DT104))*POWER(CHslave_CH,SIGN(DU104))*POWER(FFslave,SIGN(DV104))*POWER(GEslave,SIGN(DW104))*POWER(KOslave,SIGN(DX104))</f>
        <v>2304</v>
      </c>
      <c r="ED104" s="254">
        <f>DS104*DT104*FFslave+DS104*INslave*DV104+KLslave*DT104*DV104</f>
        <v>3456</v>
      </c>
      <c r="EE104" s="224">
        <f>IFERROR(DR104^SIGN(DR104),1)*IFERROR(DS104^SIGN(DS104),1)*IFERROR(DT104^SIGN(DT104),1)*IFERROR(DU104^SIGN(DU104),1)*IFERROR(DV104^SIGN(DV104),1)*IFERROR(DW104^SIGN(DW104),1)*IFERROR(DX104^SIGN(DX104),1)*IFERROR(DY104^SIGN(DY104),1)</f>
        <v>1728</v>
      </c>
      <c r="EF104" s="224">
        <f t="shared" si="858"/>
        <v>7488</v>
      </c>
      <c r="EG104" s="222">
        <f t="shared" si="859"/>
        <v>3.6923076923076925</v>
      </c>
      <c r="EH104" s="223">
        <f t="shared" si="860"/>
        <v>11.076923076923077</v>
      </c>
      <c r="EI104" s="243">
        <f t="shared" si="861"/>
        <v>8.3076923076923084</v>
      </c>
      <c r="EJ104" s="243">
        <f t="shared" si="862"/>
        <v>23.07692307692308</v>
      </c>
      <c r="EK104" s="252">
        <f t="shared" si="863"/>
        <v>0</v>
      </c>
      <c r="EL104" s="309">
        <f t="shared" si="864"/>
        <v>23.07692307692308</v>
      </c>
      <c r="EM104" s="218">
        <f t="shared" ref="EM104:EM114" si="928">IF(EJ104&lt;=0,2,0)+IF(EJ104&gt;0,EJ104+1,0)*2+IF(EJ104&gt;12,EJ104-12,0)*2+IF(EJ104&gt;13,EJ104-13,0)*2+IF(EJ104&gt;14,EJ104-14,0)*2+IF(EJ104&gt;15,EJ104-15,0)*2+IF(EJ104&gt;16,EJ104-16,0)*2+IF(EJ104&gt;17,EJ104-17,0)*2+IF(EJ104&gt;18,EJ104-18,0)*2+IF(EJ104&gt;19,EJ104-19,0)*2+IF(EJ104&gt;20,EJ104-20,0)*2</f>
        <v>175.5384615384616</v>
      </c>
      <c r="EN104" s="242">
        <f t="shared" ref="EN104:EN114" si="929">IF(EK104&lt;=0,2,0)+IF(EK104&gt;0,EK104+1,0)*2+IF(EK104&gt;12,EK104-12,0)*2+IF(EK104&gt;13,EK104-13,0)*2+IF(EK104&gt;14,EK104-14,0)*2+IF(EK104&gt;15,EK104-15,0)*2+IF(EK104&gt;16,EK104-16,0)*2+IF(EK104&gt;17,EK104-17,0)*2+IF(EK104&gt;18,EK104-18,0)*2+IF(EK104&gt;19,EK104-19,0)*2+IF(EK104&gt;20,EK104-20,0)*2</f>
        <v>2</v>
      </c>
      <c r="EO104" s="243">
        <f t="shared" si="865"/>
        <v>173.5384615384616</v>
      </c>
      <c r="EP104" s="218">
        <f t="shared" si="866"/>
        <v>0</v>
      </c>
      <c r="ER104" s="303" t="s">
        <v>284</v>
      </c>
      <c r="ES104" s="304" t="s">
        <v>170</v>
      </c>
      <c r="ET104" s="305" t="s">
        <v>132</v>
      </c>
      <c r="EU104" s="317"/>
      <c r="EV104" s="254">
        <f t="shared" si="916"/>
        <v>12</v>
      </c>
      <c r="EW104" s="254">
        <f>Konvention_1slave-INslave</f>
        <v>12</v>
      </c>
      <c r="EX104" s="254"/>
      <c r="EY104" s="254">
        <f>Konvention_1slave-FFslave_FF</f>
        <v>11</v>
      </c>
      <c r="EZ104" s="254"/>
      <c r="FA104" s="254"/>
      <c r="FB104" s="318"/>
      <c r="FC104" s="223">
        <f>(EU104+EV104+EW104+EX104+EY104+EZ104+FA104+FB104)/3</f>
        <v>11.666666666666666</v>
      </c>
      <c r="FD104" s="223">
        <f t="shared" si="867"/>
        <v>23.333333333333332</v>
      </c>
      <c r="FE104" s="224">
        <f t="shared" si="868"/>
        <v>35</v>
      </c>
      <c r="FF104" s="237">
        <f>EU104*POWER(KLslave,SIGN(EV104))*POWER(INslave,SIGN(EW104))*POWER(CHslave,SIGN(EX104))*POWER(FFslave_FF,SIGN(EY104))*POWER(GEslave,SIGN(EZ104))*POWER(KOslave,SIGN(FA104))*POWER(KKslave,SIGN(FB104))+EV104*POWER(MUslave,SIGN(EU104))*POWER(INslave,SIGN(EW104))*POWER(CHslave,SIGN(EX104))*POWER(FFslave_FF,SIGN(EY104))*POWER(GEslave,SIGN(EZ104))*POWER(KOslave,SIGN(FA104))*POWER(KKslave,SIGN(FB104))+EW104*POWER(MUslave,SIGN(EU104))*POWER(KLslave,SIGN(EV104))*POWER(CHslave,SIGN(EX104))*POWER(FFslave_FF,SIGN(EY104))*POWER(GEslave,SIGN(EZ104))*POWER(KOslave,SIGN(FA104))*POWER(KKslave,SIGN(FB104))+EX104*POWER(MUslave,SIGN(EU104))*POWER(KLslave,SIGN(EV104))*POWER(INslave,SIGN(EW104))*POWER(FFslave_FF,SIGN(EY104))*POWER(GEslave,SIGN(EZ104))*POWER(KOslave,SIGN(FA104))*POWER(KKslave,SIGN(FB104))+EY104*POWER(MUslave,SIGN(EU104))*POWER(KLslave,SIGN(EV104))*POWER(INslave,SIGN(EW104))*POWER(CHslave,SIGN(EX104))*POWER(GEslave,SIGN(EZ104))*POWER(KOslave,SIGN(FA104))*POWER(KKslave,SIGN(FB104))+EZ104*POWER(MUslave,SIGN(EU104))*POWER(KLslave,SIGN(EV104))*POWER(INslave,SIGN(EW104))*POWER(CHslave,SIGN(EX104))*POWER(FFslave_FF,SIGN(EY104))*POWER(KOslave,SIGN(FA104))*POWER(KKslave,SIGN(FB104))+FA104*POWER(MUslave,SIGN(EU104))*POWER(KLslave,SIGN(EV104))*POWER(INslave,SIGN(EW104))*POWER(CHslave,SIGN(EX104))*POWER(FFslave_FF,SIGN(EY104))*POWER(GEslave,SIGN(EZ104))*POWER(KKslave,SIGN(FB104))+FB104*POWER(MUslave,SIGN(EU104))*POWER(KLslave,SIGN(EV104))*POWER(INslave,SIGN(EW104))*POWER(CHslave,SIGN(EX104))*POWER(FFslave_FF,SIGN(EY104))*POWER(GEslave,SIGN(EZ104))*POWER(KOslave,SIGN(FA104))</f>
        <v>2432</v>
      </c>
      <c r="FG104" s="254">
        <f>EV104*EW104*FFslave_FF+EV104*INslave*EY104+KLslave*EW104*EY104</f>
        <v>3408</v>
      </c>
      <c r="FH104" s="224">
        <f>IFERROR(EU104^SIGN(EU104),1)*IFERROR(EV104^SIGN(EV104),1)*IFERROR(EW104^SIGN(EW104),1)*IFERROR(EX104^SIGN(EX104),1)*IFERROR(EY104^SIGN(EY104),1)*IFERROR(EZ104^SIGN(EZ104),1)*IFERROR(FA104^SIGN(FA104),1)*IFERROR(FB104^SIGN(FB104),1)</f>
        <v>1584</v>
      </c>
      <c r="FI104" s="224">
        <f t="shared" si="869"/>
        <v>7424</v>
      </c>
      <c r="FJ104" s="222">
        <f t="shared" si="870"/>
        <v>3.8218390804597702</v>
      </c>
      <c r="FK104" s="223">
        <f t="shared" si="871"/>
        <v>10.711206896551724</v>
      </c>
      <c r="FL104" s="243">
        <f t="shared" si="872"/>
        <v>7.4676724137931032</v>
      </c>
      <c r="FM104" s="243">
        <f t="shared" si="873"/>
        <v>22.000718390804597</v>
      </c>
      <c r="FN104" s="252">
        <f t="shared" si="874"/>
        <v>0</v>
      </c>
      <c r="FO104" s="309">
        <f t="shared" si="875"/>
        <v>22.000718390804597</v>
      </c>
      <c r="FP104" s="218">
        <f t="shared" ref="FP104:FP114" si="930">IF(FM104&lt;=0,2,0)+IF(FM104&gt;0,FM104+1,0)*2+IF(FM104&gt;12,FM104-12,0)*2+IF(FM104&gt;13,FM104-13,0)*2+IF(FM104&gt;14,FM104-14,0)*2+IF(FM104&gt;15,FM104-15,0)*2+IF(FM104&gt;16,FM104-16,0)*2+IF(FM104&gt;17,FM104-17,0)*2+IF(FM104&gt;18,FM104-18,0)*2+IF(FM104&gt;19,FM104-19,0)*2+IF(FM104&gt;20,FM104-20,0)*2</f>
        <v>154.01436781609189</v>
      </c>
      <c r="FQ104" s="242">
        <f t="shared" ref="FQ104:FQ114" si="931">IF(FN104&lt;=0,2,0)+IF(FN104&gt;0,FN104+1,0)*2+IF(FN104&gt;12,FN104-12,0)*2+IF(FN104&gt;13,FN104-13,0)*2+IF(FN104&gt;14,FN104-14,0)*2+IF(FN104&gt;15,FN104-15,0)*2+IF(FN104&gt;16,FN104-16,0)*2+IF(FN104&gt;17,FN104-17,0)*2+IF(FN104&gt;18,FN104-18,0)*2+IF(FN104&gt;19,FN104-19,0)*2+IF(FN104&gt;20,FN104-20,0)*2</f>
        <v>2</v>
      </c>
      <c r="FR104" s="243">
        <f t="shared" si="876"/>
        <v>152.01436781609189</v>
      </c>
      <c r="FS104" s="218">
        <f t="shared" si="877"/>
        <v>0</v>
      </c>
      <c r="FU104" s="303" t="s">
        <v>284</v>
      </c>
      <c r="FV104" s="304" t="s">
        <v>170</v>
      </c>
      <c r="FW104" s="305" t="s">
        <v>132</v>
      </c>
      <c r="FX104" s="317"/>
      <c r="FY104" s="254">
        <f t="shared" si="917"/>
        <v>12</v>
      </c>
      <c r="FZ104" s="254">
        <f>Konvention_1slave-INslave</f>
        <v>12</v>
      </c>
      <c r="GA104" s="254"/>
      <c r="GB104" s="254">
        <f>Konvention_1slave-FFslave</f>
        <v>12</v>
      </c>
      <c r="GC104" s="254"/>
      <c r="GD104" s="254"/>
      <c r="GE104" s="318"/>
      <c r="GF104" s="223">
        <f>(FX104+FY104+FZ104+GA104+GB104+GC104+GD104+GE104)/3</f>
        <v>12</v>
      </c>
      <c r="GG104" s="223">
        <f t="shared" si="878"/>
        <v>24</v>
      </c>
      <c r="GH104" s="224">
        <f t="shared" si="879"/>
        <v>36</v>
      </c>
      <c r="GI104" s="237">
        <f>FX104*POWER(KLslave,SIGN(FY104))*POWER(INslave,SIGN(FZ104))*POWER(CHslave,SIGN(GA104))*POWER(FFslave,SIGN(GB104))*POWER(GEslave_GE,SIGN(GC104))*POWER(KOslave,SIGN(GD104))*POWER(KKslave,SIGN(GE104))+FY104*POWER(MUslave,SIGN(FX104))*POWER(INslave,SIGN(FZ104))*POWER(CHslave,SIGN(GA104))*POWER(FFslave,SIGN(GB104))*POWER(GEslave_GE,SIGN(GC104))*POWER(KOslave,SIGN(GD104))*POWER(KKslave,SIGN(GE104))+FZ104*POWER(MUslave,SIGN(FX104))*POWER(KLslave,SIGN(FY104))*POWER(CHslave,SIGN(GA104))*POWER(FFslave,SIGN(GB104))*POWER(GEslave_GE,SIGN(GC104))*POWER(KOslave,SIGN(GD104))*POWER(KKslave,SIGN(GE104))+GA104*POWER(MUslave,SIGN(FX104))*POWER(KLslave,SIGN(FY104))*POWER(INslave,SIGN(FZ104))*POWER(FFslave,SIGN(GB104))*POWER(GEslave_GE,SIGN(GC104))*POWER(KOslave,SIGN(GD104))*POWER(KKslave,SIGN(GE104))+GB104*POWER(MUslave,SIGN(FX104))*POWER(KLslave,SIGN(FY104))*POWER(INslave,SIGN(FZ104))*POWER(CHslave,SIGN(GA104))*POWER(GEslave_GE,SIGN(GC104))*POWER(KOslave,SIGN(GD104))*POWER(KKslave,SIGN(GE104))+GC104*POWER(MUslave,SIGN(FX104))*POWER(KLslave,SIGN(FY104))*POWER(INslave,SIGN(FZ104))*POWER(CHslave,SIGN(GA104))*POWER(FFslave,SIGN(GB104))*POWER(KOslave,SIGN(GD104))*POWER(KKslave,SIGN(GE104))+GD104*POWER(MUslave,SIGN(FX104))*POWER(KLslave,SIGN(FY104))*POWER(INslave,SIGN(FZ104))*POWER(CHslave,SIGN(GA104))*POWER(FFslave,SIGN(GB104))*POWER(GEslave_GE,SIGN(GC104))*POWER(KKslave,SIGN(GE104))+GE104*POWER(MUslave,SIGN(FX104))*POWER(KLslave,SIGN(FY104))*POWER(INslave,SIGN(FZ104))*POWER(CHslave,SIGN(GA104))*POWER(FFslave,SIGN(GB104))*POWER(GEslave_GE,SIGN(GC104))*POWER(KOslave,SIGN(GD104))</f>
        <v>2304</v>
      </c>
      <c r="GJ104" s="254">
        <f>FY104*FZ104*FFslave+FY104*INslave*GB104+KLslave*FZ104*GB104</f>
        <v>3456</v>
      </c>
      <c r="GK104" s="224">
        <f>IFERROR(FX104^SIGN(FX104),1)*IFERROR(FY104^SIGN(FY104),1)*IFERROR(FZ104^SIGN(FZ104),1)*IFERROR(GA104^SIGN(GA104),1)*IFERROR(GB104^SIGN(GB104),1)*IFERROR(GC104^SIGN(GC104),1)*IFERROR(GD104^SIGN(GD104),1)*IFERROR(GE104^SIGN(GE104),1)</f>
        <v>1728</v>
      </c>
      <c r="GL104" s="224">
        <f t="shared" si="880"/>
        <v>7488</v>
      </c>
      <c r="GM104" s="222">
        <f t="shared" si="881"/>
        <v>3.6923076923076925</v>
      </c>
      <c r="GN104" s="223">
        <f t="shared" si="882"/>
        <v>11.076923076923077</v>
      </c>
      <c r="GO104" s="243">
        <f t="shared" si="883"/>
        <v>8.3076923076923084</v>
      </c>
      <c r="GP104" s="243">
        <f t="shared" si="884"/>
        <v>23.07692307692308</v>
      </c>
      <c r="GQ104" s="252">
        <f t="shared" si="885"/>
        <v>0</v>
      </c>
      <c r="GR104" s="309">
        <f t="shared" si="886"/>
        <v>23.07692307692308</v>
      </c>
      <c r="GS104" s="218">
        <f t="shared" ref="GS104:GS114" si="932">IF(GP104&lt;=0,2,0)+IF(GP104&gt;0,GP104+1,0)*2+IF(GP104&gt;12,GP104-12,0)*2+IF(GP104&gt;13,GP104-13,0)*2+IF(GP104&gt;14,GP104-14,0)*2+IF(GP104&gt;15,GP104-15,0)*2+IF(GP104&gt;16,GP104-16,0)*2+IF(GP104&gt;17,GP104-17,0)*2+IF(GP104&gt;18,GP104-18,0)*2+IF(GP104&gt;19,GP104-19,0)*2+IF(GP104&gt;20,GP104-20,0)*2</f>
        <v>175.5384615384616</v>
      </c>
      <c r="GT104" s="242">
        <f t="shared" ref="GT104:GT114" si="933">IF(GQ104&lt;=0,2,0)+IF(GQ104&gt;0,GQ104+1,0)*2+IF(GQ104&gt;12,GQ104-12,0)*2+IF(GQ104&gt;13,GQ104-13,0)*2+IF(GQ104&gt;14,GQ104-14,0)*2+IF(GQ104&gt;15,GQ104-15,0)*2+IF(GQ104&gt;16,GQ104-16,0)*2+IF(GQ104&gt;17,GQ104-17,0)*2+IF(GQ104&gt;18,GQ104-18,0)*2+IF(GQ104&gt;19,GQ104-19,0)*2+IF(GQ104&gt;20,GQ104-20,0)*2</f>
        <v>2</v>
      </c>
      <c r="GU104" s="243">
        <f t="shared" si="887"/>
        <v>173.5384615384616</v>
      </c>
      <c r="GV104" s="218">
        <f t="shared" si="888"/>
        <v>0</v>
      </c>
      <c r="GX104" s="303" t="s">
        <v>284</v>
      </c>
      <c r="GY104" s="304" t="s">
        <v>170</v>
      </c>
      <c r="GZ104" s="305" t="s">
        <v>132</v>
      </c>
      <c r="HA104" s="317"/>
      <c r="HB104" s="254">
        <f t="shared" si="918"/>
        <v>12</v>
      </c>
      <c r="HC104" s="254">
        <f>Konvention_1slave-INslave</f>
        <v>12</v>
      </c>
      <c r="HD104" s="254"/>
      <c r="HE104" s="254">
        <f>Konvention_1slave-FFslave</f>
        <v>12</v>
      </c>
      <c r="HF104" s="254"/>
      <c r="HG104" s="254"/>
      <c r="HH104" s="318"/>
      <c r="HI104" s="223">
        <f>(HA104+HB104+HC104+HD104+HE104+HF104+HG104+HH104)/3</f>
        <v>12</v>
      </c>
      <c r="HJ104" s="223">
        <f t="shared" si="889"/>
        <v>24</v>
      </c>
      <c r="HK104" s="224">
        <f t="shared" si="890"/>
        <v>36</v>
      </c>
      <c r="HL104" s="237">
        <f>HA104*POWER(KLslave,SIGN(HB104))*POWER(INslave,SIGN(HC104))*POWER(CHslave,SIGN(HD104))*POWER(FFslave,SIGN(HE104))*POWER(GEslave,SIGN(HF104))*POWER(KOslave_KO,SIGN(HG104))*POWER(KKslave,SIGN(HH104))+HB104*POWER(MUslave,SIGN(HA104))*POWER(INslave,SIGN(HC104))*POWER(CHslave,SIGN(HD104))*POWER(FFslave,SIGN(HE104))*POWER(GEslave,SIGN(HF104))*POWER(KOslave_KO,SIGN(HG104))*POWER(KKslave,SIGN(HH104))+HC104*POWER(MUslave,SIGN(HA104))*POWER(KLslave,SIGN(HB104))*POWER(CHslave,SIGN(HD104))*POWER(FFslave,SIGN(HE104))*POWER(GEslave,SIGN(HF104))*POWER(KOslave_KO,SIGN(HG104))*POWER(KKslave,SIGN(HH104))+HD104*POWER(MUslave,SIGN(HA104))*POWER(KLslave,SIGN(HB104))*POWER(INslave,SIGN(HC104))*POWER(FFslave,SIGN(HE104))*POWER(GEslave,SIGN(HF104))*POWER(KOslave_KO,SIGN(HG104))*POWER(KKslave,SIGN(HH104))+HE104*POWER(MUslave,SIGN(HA104))*POWER(KLslave,SIGN(HB104))*POWER(INslave,SIGN(HC104))*POWER(CHslave,SIGN(HD104))*POWER(GEslave,SIGN(HF104))*POWER(KOslave_KO,SIGN(HG104))*POWER(KKslave,SIGN(HH104))+HF104*POWER(MUslave,SIGN(HA104))*POWER(KLslave,SIGN(HB104))*POWER(INslave,SIGN(HC104))*POWER(CHslave,SIGN(HD104))*POWER(FFslave,SIGN(HE104))*POWER(KOslave_KO,SIGN(HG104))*POWER(KKslave,SIGN(HH104))+HG104*POWER(MUslave,SIGN(HA104))*POWER(KLslave,SIGN(HB104))*POWER(INslave,SIGN(HC104))*POWER(CHslave,SIGN(HD104))*POWER(FFslave,SIGN(HE104))*POWER(GEslave,SIGN(HF104))*POWER(KKslave,SIGN(HH104))+HH104*POWER(MUslave,SIGN(HA104))*POWER(KLslave,SIGN(HB104))*POWER(INslave,SIGN(HC104))*POWER(CHslave,SIGN(HD104))*POWER(FFslave,SIGN(HE104))*POWER(GEslave,SIGN(HF104))*POWER(KOslave_KO,SIGN(HG104))</f>
        <v>2304</v>
      </c>
      <c r="HM104" s="254">
        <f>HB104*HC104*FFslave+HB104*INslave*HE104+KLslave*HC104*HE104</f>
        <v>3456</v>
      </c>
      <c r="HN104" s="224">
        <f>IFERROR(HA104^SIGN(HA104),1)*IFERROR(HB104^SIGN(HB104),1)*IFERROR(HC104^SIGN(HC104),1)*IFERROR(HD104^SIGN(HD104),1)*IFERROR(HE104^SIGN(HE104),1)*IFERROR(HF104^SIGN(HF104),1)*IFERROR(HG104^SIGN(HG104),1)*IFERROR(HH104^SIGN(HH104),1)</f>
        <v>1728</v>
      </c>
      <c r="HO104" s="224">
        <f t="shared" si="891"/>
        <v>7488</v>
      </c>
      <c r="HP104" s="222">
        <f t="shared" si="892"/>
        <v>3.6923076923076925</v>
      </c>
      <c r="HQ104" s="223">
        <f t="shared" si="893"/>
        <v>11.076923076923077</v>
      </c>
      <c r="HR104" s="243">
        <f t="shared" si="894"/>
        <v>8.3076923076923084</v>
      </c>
      <c r="HS104" s="243">
        <f t="shared" si="895"/>
        <v>23.07692307692308</v>
      </c>
      <c r="HT104" s="252">
        <f t="shared" si="896"/>
        <v>0</v>
      </c>
      <c r="HU104" s="309">
        <f t="shared" si="897"/>
        <v>23.07692307692308</v>
      </c>
      <c r="HV104" s="218">
        <f t="shared" ref="HV104:HV114" si="934">IF(HS104&lt;=0,2,0)+IF(HS104&gt;0,HS104+1,0)*2+IF(HS104&gt;12,HS104-12,0)*2+IF(HS104&gt;13,HS104-13,0)*2+IF(HS104&gt;14,HS104-14,0)*2+IF(HS104&gt;15,HS104-15,0)*2+IF(HS104&gt;16,HS104-16,0)*2+IF(HS104&gt;17,HS104-17,0)*2+IF(HS104&gt;18,HS104-18,0)*2+IF(HS104&gt;19,HS104-19,0)*2+IF(HS104&gt;20,HS104-20,0)*2</f>
        <v>175.5384615384616</v>
      </c>
      <c r="HW104" s="242">
        <f t="shared" ref="HW104:HW114" si="935">IF(HT104&lt;=0,2,0)+IF(HT104&gt;0,HT104+1,0)*2+IF(HT104&gt;12,HT104-12,0)*2+IF(HT104&gt;13,HT104-13,0)*2+IF(HT104&gt;14,HT104-14,0)*2+IF(HT104&gt;15,HT104-15,0)*2+IF(HT104&gt;16,HT104-16,0)*2+IF(HT104&gt;17,HT104-17,0)*2+IF(HT104&gt;18,HT104-18,0)*2+IF(HT104&gt;19,HT104-19,0)*2+IF(HT104&gt;20,HT104-20,0)*2</f>
        <v>2</v>
      </c>
      <c r="HX104" s="243">
        <f t="shared" si="898"/>
        <v>173.5384615384616</v>
      </c>
      <c r="HY104" s="218">
        <f t="shared" si="899"/>
        <v>0</v>
      </c>
      <c r="IA104" s="303" t="s">
        <v>284</v>
      </c>
      <c r="IB104" s="304" t="s">
        <v>170</v>
      </c>
      <c r="IC104" s="305" t="s">
        <v>132</v>
      </c>
      <c r="ID104" s="317"/>
      <c r="IE104" s="254">
        <f t="shared" si="919"/>
        <v>12</v>
      </c>
      <c r="IF104" s="254">
        <f>Konvention_1slave-INslave</f>
        <v>12</v>
      </c>
      <c r="IG104" s="254"/>
      <c r="IH104" s="254">
        <f>Konvention_1slave-FFslave</f>
        <v>12</v>
      </c>
      <c r="II104" s="254"/>
      <c r="IJ104" s="254"/>
      <c r="IK104" s="318"/>
      <c r="IL104" s="223">
        <f>(ID104+IE104+IF104+IG104+IH104+II104+IJ104+IK104)/3</f>
        <v>12</v>
      </c>
      <c r="IM104" s="223">
        <f t="shared" si="900"/>
        <v>24</v>
      </c>
      <c r="IN104" s="224">
        <f t="shared" si="901"/>
        <v>36</v>
      </c>
      <c r="IO104" s="237">
        <f>ID104*POWER(KLslave,SIGN(IE104))*POWER(INslave,SIGN(IF104))*POWER(CHslave,SIGN(IG104))*POWER(FFslave,SIGN(IH104))*POWER(GEslave,SIGN(II104))*POWER(KOslave,SIGN(IJ104))*POWER(KKslave_KK,SIGN(IK104))+IE104*POWER(MUslave,SIGN(ID104))*POWER(INslave,SIGN(IF104))*POWER(CHslave,SIGN(IG104))*POWER(FFslave,SIGN(IH104))*POWER(GEslave,SIGN(II104))*POWER(KOslave,SIGN(IJ104))*POWER(KKslave_KK,SIGN(IK104))+IF104*POWER(MUslave,SIGN(ID104))*POWER(KLslave,SIGN(IE104))*POWER(CHslave,SIGN(IG104))*POWER(FFslave,SIGN(IH104))*POWER(GEslave,SIGN(II104))*POWER(KOslave,SIGN(IJ104))*POWER(KKslave_KK,SIGN(IK104))+IG104*POWER(MUslave,SIGN(ID104))*POWER(KLslave,SIGN(IE104))*POWER(INslave,SIGN(IF104))*POWER(FFslave,SIGN(IH104))*POWER(GEslave,SIGN(II104))*POWER(KOslave,SIGN(IJ104))*POWER(KKslave_KK,SIGN(IK104))+IH104*POWER(MUslave,SIGN(ID104))*POWER(KLslave,SIGN(IE104))*POWER(INslave,SIGN(IF104))*POWER(CHslave,SIGN(IG104))*POWER(GEslave,SIGN(II104))*POWER(KOslave,SIGN(IJ104))*POWER(KKslave_KK,SIGN(IK104))+II104*POWER(MUslave,SIGN(ID104))*POWER(KLslave,SIGN(IE104))*POWER(INslave,SIGN(IF104))*POWER(CHslave,SIGN(IG104))*POWER(FFslave,SIGN(IH104))*POWER(KOslave,SIGN(IJ104))*POWER(KKslave_KK,SIGN(IK104))+IJ104*POWER(MUslave,SIGN(ID104))*POWER(KLslave,SIGN(IE104))*POWER(INslave,SIGN(IF104))*POWER(CHslave,SIGN(IG104))*POWER(FFslave,SIGN(IH104))*POWER(GEslave,SIGN(II104))*POWER(KKslave_KK,SIGN(IK104))+IK104*POWER(MUslave,SIGN(ID104))*POWER(KLslave,SIGN(IE104))*POWER(INslave,SIGN(IF104))*POWER(CHslave,SIGN(IG104))*POWER(FFslave,SIGN(IH104))*POWER(GEslave,SIGN(II104))*POWER(KOslave,SIGN(IJ104))</f>
        <v>2304</v>
      </c>
      <c r="IP104" s="254">
        <f>IE104*IF104*FFslave+IE104*INslave*IH104+KLslave*IF104*IH104</f>
        <v>3456</v>
      </c>
      <c r="IQ104" s="224">
        <f>IFERROR(ID104^SIGN(ID104),1)*IFERROR(IE104^SIGN(IE104),1)*IFERROR(IF104^SIGN(IF104),1)*IFERROR(IG104^SIGN(IG104),1)*IFERROR(IH104^SIGN(IH104),1)*IFERROR(II104^SIGN(II104),1)*IFERROR(IJ104^SIGN(IJ104),1)*IFERROR(IK104^SIGN(IK104),1)</f>
        <v>1728</v>
      </c>
      <c r="IR104" s="224">
        <f t="shared" si="902"/>
        <v>7488</v>
      </c>
      <c r="IS104" s="222">
        <f t="shared" si="903"/>
        <v>3.6923076923076925</v>
      </c>
      <c r="IT104" s="223">
        <f t="shared" si="904"/>
        <v>11.076923076923077</v>
      </c>
      <c r="IU104" s="243">
        <f t="shared" si="905"/>
        <v>8.3076923076923084</v>
      </c>
      <c r="IV104" s="243">
        <f t="shared" si="906"/>
        <v>23.07692307692308</v>
      </c>
      <c r="IW104" s="252">
        <f t="shared" si="907"/>
        <v>0</v>
      </c>
      <c r="IX104" s="309">
        <f t="shared" si="908"/>
        <v>23.07692307692308</v>
      </c>
      <c r="IY104" s="218">
        <f t="shared" ref="IY104:IY114" si="936">IF(IV104&lt;=0,2,0)+IF(IV104&gt;0,IV104+1,0)*2+IF(IV104&gt;12,IV104-12,0)*2+IF(IV104&gt;13,IV104-13,0)*2+IF(IV104&gt;14,IV104-14,0)*2+IF(IV104&gt;15,IV104-15,0)*2+IF(IV104&gt;16,IV104-16,0)*2+IF(IV104&gt;17,IV104-17,0)*2+IF(IV104&gt;18,IV104-18,0)*2+IF(IV104&gt;19,IV104-19,0)*2+IF(IV104&gt;20,IV104-20,0)*2</f>
        <v>175.5384615384616</v>
      </c>
      <c r="IZ104" s="242">
        <f t="shared" ref="IZ104:IZ114" si="937">IF(IW104&lt;=0,2,0)+IF(IW104&gt;0,IW104+1,0)*2+IF(IW104&gt;12,IW104-12,0)*2+IF(IW104&gt;13,IW104-13,0)*2+IF(IW104&gt;14,IW104-14,0)*2+IF(IW104&gt;15,IW104-15,0)*2+IF(IW104&gt;16,IW104-16,0)*2+IF(IW104&gt;17,IW104-17,0)*2+IF(IW104&gt;18,IW104-18,0)*2+IF(IW104&gt;19,IW104-19,0)*2+IF(IW104&gt;20,IW104-20,0)*2</f>
        <v>2</v>
      </c>
      <c r="JA104" s="243">
        <f t="shared" si="909"/>
        <v>173.5384615384616</v>
      </c>
      <c r="JB104" s="218">
        <f t="shared" si="910"/>
        <v>0</v>
      </c>
      <c r="JE104" s="148"/>
    </row>
    <row r="105" spans="2:265" hidden="1" outlineLevel="2">
      <c r="B105" s="148">
        <v>6</v>
      </c>
      <c r="C105" s="303" t="e">
        <f>VLOOKUP(AF105,Attribute!C:T,1,FALSE)</f>
        <v>#N/A</v>
      </c>
      <c r="D105" s="86" t="s">
        <v>94</v>
      </c>
      <c r="E105" s="167" t="s">
        <v>132</v>
      </c>
      <c r="F105" s="120"/>
      <c r="G105" s="117">
        <f t="shared" si="911"/>
        <v>12</v>
      </c>
      <c r="H105" s="117">
        <f>Konvention_1master-INmaster</f>
        <v>12</v>
      </c>
      <c r="I105" s="117"/>
      <c r="J105" s="117"/>
      <c r="K105" s="117"/>
      <c r="L105" s="117"/>
      <c r="M105" s="121"/>
      <c r="N105" s="223">
        <f>(G105+G105+H105)/3</f>
        <v>12</v>
      </c>
      <c r="O105" s="223">
        <f t="shared" si="813"/>
        <v>24</v>
      </c>
      <c r="P105" s="224">
        <f t="shared" si="814"/>
        <v>36</v>
      </c>
      <c r="Q105" s="237">
        <f>G105*POWER(INmaster,SIGN(H105))*POWER(KLmaster,SIGN(G105))+G105*POWER(INmaster,SIGN(H105))*POWER(KLmaster,SIGN(G105))+H105*POWER(KLmaster,SIGN(G105))*POWER(KLmaster,SIGN(G105))</f>
        <v>2304</v>
      </c>
      <c r="R105" s="117">
        <f>G105*G105*INmaster+G105*KLmaster*H105+KLmaster*G105*H105</f>
        <v>3456</v>
      </c>
      <c r="S105" s="224">
        <f>G105*G105*H105</f>
        <v>1728</v>
      </c>
      <c r="T105" s="224">
        <f t="shared" si="815"/>
        <v>7488</v>
      </c>
      <c r="U105" s="222">
        <f t="shared" si="816"/>
        <v>3.6923076923076925</v>
      </c>
      <c r="V105" s="223">
        <f t="shared" si="817"/>
        <v>11.076923076923077</v>
      </c>
      <c r="W105" s="243">
        <f t="shared" si="818"/>
        <v>8.3076923076923084</v>
      </c>
      <c r="X105" s="243">
        <f t="shared" si="819"/>
        <v>23.07692307692308</v>
      </c>
      <c r="Y105" s="252">
        <v>0</v>
      </c>
      <c r="Z105" s="198">
        <f t="shared" si="820"/>
        <v>23.07692307692308</v>
      </c>
      <c r="AA105" s="125">
        <f t="shared" si="920"/>
        <v>175.5384615384616</v>
      </c>
      <c r="AB105" s="160">
        <f t="shared" si="921"/>
        <v>2</v>
      </c>
      <c r="AC105" s="127">
        <f t="shared" si="821"/>
        <v>173.5384615384616</v>
      </c>
      <c r="AD105" s="125">
        <f t="shared" si="822"/>
        <v>0</v>
      </c>
      <c r="AF105" s="163" t="s">
        <v>355</v>
      </c>
      <c r="AG105" s="86" t="s">
        <v>94</v>
      </c>
      <c r="AH105" s="167" t="s">
        <v>132</v>
      </c>
      <c r="AI105" s="120"/>
      <c r="AJ105" s="117">
        <f t="shared" si="912"/>
        <v>12</v>
      </c>
      <c r="AK105" s="117">
        <f>Konvention_1slave-INslave</f>
        <v>12</v>
      </c>
      <c r="AL105" s="117"/>
      <c r="AM105" s="117"/>
      <c r="AN105" s="117"/>
      <c r="AO105" s="117"/>
      <c r="AP105" s="121"/>
      <c r="AQ105" s="47">
        <f>(AJ105+AJ105+AK105)/3</f>
        <v>12</v>
      </c>
      <c r="AR105" s="3">
        <f t="shared" si="823"/>
        <v>24</v>
      </c>
      <c r="AS105" s="174">
        <f t="shared" si="824"/>
        <v>36</v>
      </c>
      <c r="AT105" s="114">
        <f>AJ105*POWER(INslave,SIGN(AK105))*POWER(KLslave,SIGN(AJ105))+AJ105*POWER(INslave,SIGN(AK105))*POWER(KLslave,SIGN(AJ105))+AK105*POWER(KLslave,SIGN(AJ105))*POWER(KLslave,SIGN(AJ105))</f>
        <v>2304</v>
      </c>
      <c r="AU105" s="117">
        <f>AJ105*AJ105*INslave+AJ105*KLslave*AK105+KLslave*AJ105*AK105</f>
        <v>3456</v>
      </c>
      <c r="AV105" s="119">
        <f>AJ105*AJ105*AK105</f>
        <v>1728</v>
      </c>
      <c r="AW105" s="119">
        <f t="shared" si="825"/>
        <v>7488</v>
      </c>
      <c r="AX105" s="89">
        <f t="shared" si="826"/>
        <v>3.6923076923076925</v>
      </c>
      <c r="AY105" s="47">
        <f t="shared" si="827"/>
        <v>11.076923076923077</v>
      </c>
      <c r="AZ105" s="127">
        <f t="shared" si="828"/>
        <v>8.3076923076923084</v>
      </c>
      <c r="BA105" s="127">
        <f t="shared" si="829"/>
        <v>23.07692307692308</v>
      </c>
      <c r="BB105" s="165">
        <f t="shared" si="830"/>
        <v>0</v>
      </c>
      <c r="BC105" s="198">
        <f t="shared" si="831"/>
        <v>23.07692307692308</v>
      </c>
      <c r="BD105" s="125">
        <f t="shared" si="922"/>
        <v>175.5384615384616</v>
      </c>
      <c r="BE105" s="160">
        <f t="shared" si="923"/>
        <v>2</v>
      </c>
      <c r="BF105" s="243">
        <f t="shared" si="832"/>
        <v>173.5384615384616</v>
      </c>
      <c r="BG105" s="218">
        <f t="shared" si="833"/>
        <v>0</v>
      </c>
      <c r="BI105" s="303" t="s">
        <v>355</v>
      </c>
      <c r="BJ105" s="304" t="s">
        <v>94</v>
      </c>
      <c r="BK105" s="305" t="s">
        <v>132</v>
      </c>
      <c r="BL105" s="317"/>
      <c r="BM105" s="254">
        <f t="shared" si="913"/>
        <v>11</v>
      </c>
      <c r="BN105" s="254">
        <f>Konvention_1slave-INslave</f>
        <v>12</v>
      </c>
      <c r="BO105" s="254"/>
      <c r="BP105" s="254"/>
      <c r="BQ105" s="254"/>
      <c r="BR105" s="254"/>
      <c r="BS105" s="318"/>
      <c r="BT105" s="223">
        <f>(BM105+BM105+BN105)/3</f>
        <v>11.333333333333334</v>
      </c>
      <c r="BU105" s="223">
        <f t="shared" si="834"/>
        <v>22.666666666666668</v>
      </c>
      <c r="BV105" s="224">
        <f t="shared" si="835"/>
        <v>34</v>
      </c>
      <c r="BW105" s="237">
        <f>BM105*POWER(INslave,SIGN(BN105))*POWER(KLslave_KL,SIGN(BM105))+BM105*POWER(INslave,SIGN(BN105))*POWER(KLslave_KL,SIGN(BM105))+BN105*POWER(KLslave_KL,SIGN(BM105))*POWER(KLslave_KL,SIGN(BM105))</f>
        <v>2556</v>
      </c>
      <c r="BX105" s="254">
        <f>BM105*BM105*INslave+BM105*KLslave_KL*BN105+KLslave_KL*BM105*BN105</f>
        <v>3344</v>
      </c>
      <c r="BY105" s="224">
        <f>BM105*BM105*BN105</f>
        <v>1452</v>
      </c>
      <c r="BZ105" s="224">
        <f t="shared" si="836"/>
        <v>7352</v>
      </c>
      <c r="CA105" s="222">
        <f t="shared" si="837"/>
        <v>3.940152339499456</v>
      </c>
      <c r="CB105" s="223">
        <f t="shared" si="838"/>
        <v>10.309756982227059</v>
      </c>
      <c r="CC105" s="243">
        <f t="shared" si="839"/>
        <v>6.714907508161045</v>
      </c>
      <c r="CD105" s="243">
        <f t="shared" si="840"/>
        <v>20.96481682988756</v>
      </c>
      <c r="CE105" s="252">
        <f t="shared" si="841"/>
        <v>0</v>
      </c>
      <c r="CF105" s="309">
        <f t="shared" si="842"/>
        <v>20.96481682988756</v>
      </c>
      <c r="CG105" s="218">
        <f t="shared" si="924"/>
        <v>133.29633659775118</v>
      </c>
      <c r="CH105" s="242">
        <f t="shared" si="925"/>
        <v>2</v>
      </c>
      <c r="CI105" s="243">
        <f t="shared" si="843"/>
        <v>131.29633659775118</v>
      </c>
      <c r="CJ105" s="218">
        <f t="shared" si="844"/>
        <v>0</v>
      </c>
      <c r="CL105" s="303" t="s">
        <v>355</v>
      </c>
      <c r="CM105" s="304" t="s">
        <v>94</v>
      </c>
      <c r="CN105" s="305" t="s">
        <v>132</v>
      </c>
      <c r="CO105" s="317"/>
      <c r="CP105" s="254">
        <f t="shared" si="914"/>
        <v>12</v>
      </c>
      <c r="CQ105" s="254">
        <f>Konvention_1slave-INslave_IN</f>
        <v>11</v>
      </c>
      <c r="CR105" s="254"/>
      <c r="CS105" s="254"/>
      <c r="CT105" s="254"/>
      <c r="CU105" s="254"/>
      <c r="CV105" s="318"/>
      <c r="CW105" s="223">
        <f>(CP105+CP105+CQ105)/3</f>
        <v>11.666666666666666</v>
      </c>
      <c r="CX105" s="223">
        <f t="shared" si="845"/>
        <v>23.333333333333332</v>
      </c>
      <c r="CY105" s="224">
        <f t="shared" si="846"/>
        <v>35</v>
      </c>
      <c r="CZ105" s="237">
        <f>CP105*POWER(INslave_IN,SIGN(CQ105))*POWER(KLslave,SIGN(CP105))+CP105*POWER(INslave_IN,SIGN(CQ105))*POWER(KLslave,SIGN(CP105))+CQ105*POWER(KLslave,SIGN(CP105))*POWER(KLslave,SIGN(CP105))</f>
        <v>2432</v>
      </c>
      <c r="DA105" s="254">
        <f>CP105*CP105*INslave_IN+CP105*KLslave*CQ105+KLslave*CP105*CQ105</f>
        <v>3408</v>
      </c>
      <c r="DB105" s="224">
        <f>CP105*CP105*CQ105</f>
        <v>1584</v>
      </c>
      <c r="DC105" s="224">
        <f t="shared" si="847"/>
        <v>7424</v>
      </c>
      <c r="DD105" s="222">
        <f t="shared" si="848"/>
        <v>3.8218390804597702</v>
      </c>
      <c r="DE105" s="223">
        <f t="shared" si="849"/>
        <v>10.711206896551724</v>
      </c>
      <c r="DF105" s="243">
        <f t="shared" si="850"/>
        <v>7.4676724137931032</v>
      </c>
      <c r="DG105" s="243">
        <f t="shared" si="851"/>
        <v>22.000718390804597</v>
      </c>
      <c r="DH105" s="252">
        <f t="shared" si="852"/>
        <v>0</v>
      </c>
      <c r="DI105" s="309">
        <f t="shared" si="853"/>
        <v>22.000718390804597</v>
      </c>
      <c r="DJ105" s="218">
        <f t="shared" si="926"/>
        <v>154.01436781609189</v>
      </c>
      <c r="DK105" s="242">
        <f t="shared" si="927"/>
        <v>2</v>
      </c>
      <c r="DL105" s="243">
        <f t="shared" si="854"/>
        <v>152.01436781609189</v>
      </c>
      <c r="DM105" s="218">
        <f t="shared" si="855"/>
        <v>0</v>
      </c>
      <c r="DO105" s="303" t="s">
        <v>355</v>
      </c>
      <c r="DP105" s="304" t="s">
        <v>94</v>
      </c>
      <c r="DQ105" s="305" t="s">
        <v>132</v>
      </c>
      <c r="DR105" s="317"/>
      <c r="DS105" s="254">
        <f t="shared" si="915"/>
        <v>12</v>
      </c>
      <c r="DT105" s="254">
        <f>Konvention_1slave-INslave</f>
        <v>12</v>
      </c>
      <c r="DU105" s="254"/>
      <c r="DV105" s="254"/>
      <c r="DW105" s="254"/>
      <c r="DX105" s="254"/>
      <c r="DY105" s="318"/>
      <c r="DZ105" s="223">
        <f>(DS105+DS105+DT105)/3</f>
        <v>12</v>
      </c>
      <c r="EA105" s="223">
        <f t="shared" si="856"/>
        <v>24</v>
      </c>
      <c r="EB105" s="224">
        <f t="shared" si="857"/>
        <v>36</v>
      </c>
      <c r="EC105" s="237">
        <f>DS105*POWER(INslave,SIGN(DT105))*POWER(KLslave,SIGN(DS105))+DS105*POWER(INslave,SIGN(DT105))*POWER(KLslave,SIGN(DS105))+DT105*POWER(KLslave,SIGN(DS105))*POWER(KLslave,SIGN(DS105))</f>
        <v>2304</v>
      </c>
      <c r="ED105" s="254">
        <f>DS105*DS105*INslave+DS105*KLslave*DT105+KLslave*DS105*DT105</f>
        <v>3456</v>
      </c>
      <c r="EE105" s="224">
        <f>DS105*DS105*DT105</f>
        <v>1728</v>
      </c>
      <c r="EF105" s="224">
        <f t="shared" si="858"/>
        <v>7488</v>
      </c>
      <c r="EG105" s="222">
        <f t="shared" si="859"/>
        <v>3.6923076923076925</v>
      </c>
      <c r="EH105" s="223">
        <f t="shared" si="860"/>
        <v>11.076923076923077</v>
      </c>
      <c r="EI105" s="243">
        <f t="shared" si="861"/>
        <v>8.3076923076923084</v>
      </c>
      <c r="EJ105" s="243">
        <f t="shared" si="862"/>
        <v>23.07692307692308</v>
      </c>
      <c r="EK105" s="252">
        <f t="shared" si="863"/>
        <v>0</v>
      </c>
      <c r="EL105" s="309">
        <f t="shared" si="864"/>
        <v>23.07692307692308</v>
      </c>
      <c r="EM105" s="218">
        <f t="shared" si="928"/>
        <v>175.5384615384616</v>
      </c>
      <c r="EN105" s="242">
        <f t="shared" si="929"/>
        <v>2</v>
      </c>
      <c r="EO105" s="243">
        <f t="shared" si="865"/>
        <v>173.5384615384616</v>
      </c>
      <c r="EP105" s="218">
        <f t="shared" si="866"/>
        <v>0</v>
      </c>
      <c r="ER105" s="303" t="s">
        <v>355</v>
      </c>
      <c r="ES105" s="304" t="s">
        <v>94</v>
      </c>
      <c r="ET105" s="305" t="s">
        <v>132</v>
      </c>
      <c r="EU105" s="317"/>
      <c r="EV105" s="254">
        <f t="shared" si="916"/>
        <v>12</v>
      </c>
      <c r="EW105" s="254">
        <f>Konvention_1slave-INslave</f>
        <v>12</v>
      </c>
      <c r="EX105" s="254"/>
      <c r="EY105" s="254"/>
      <c r="EZ105" s="254"/>
      <c r="FA105" s="254"/>
      <c r="FB105" s="318"/>
      <c r="FC105" s="223">
        <f>(EV105+EV105+EW105)/3</f>
        <v>12</v>
      </c>
      <c r="FD105" s="223">
        <f t="shared" si="867"/>
        <v>24</v>
      </c>
      <c r="FE105" s="224">
        <f t="shared" si="868"/>
        <v>36</v>
      </c>
      <c r="FF105" s="237">
        <f>EV105*POWER(INslave,SIGN(EW105))*POWER(KLslave,SIGN(EV105))+EV105*POWER(INslave,SIGN(EW105))*POWER(KLslave,SIGN(EV105))+EW105*POWER(KLslave,SIGN(EV105))*POWER(KLslave,SIGN(EV105))</f>
        <v>2304</v>
      </c>
      <c r="FG105" s="254">
        <f>EV105*EV105*INslave+EV105*KLslave*EW105+KLslave*EV105*EW105</f>
        <v>3456</v>
      </c>
      <c r="FH105" s="224">
        <f>EV105*EV105*EW105</f>
        <v>1728</v>
      </c>
      <c r="FI105" s="224">
        <f t="shared" si="869"/>
        <v>7488</v>
      </c>
      <c r="FJ105" s="222">
        <f t="shared" si="870"/>
        <v>3.6923076923076925</v>
      </c>
      <c r="FK105" s="223">
        <f t="shared" si="871"/>
        <v>11.076923076923077</v>
      </c>
      <c r="FL105" s="243">
        <f t="shared" si="872"/>
        <v>8.3076923076923084</v>
      </c>
      <c r="FM105" s="243">
        <f t="shared" si="873"/>
        <v>23.07692307692308</v>
      </c>
      <c r="FN105" s="252">
        <f t="shared" si="874"/>
        <v>0</v>
      </c>
      <c r="FO105" s="309">
        <f t="shared" si="875"/>
        <v>23.07692307692308</v>
      </c>
      <c r="FP105" s="218">
        <f t="shared" si="930"/>
        <v>175.5384615384616</v>
      </c>
      <c r="FQ105" s="242">
        <f t="shared" si="931"/>
        <v>2</v>
      </c>
      <c r="FR105" s="243">
        <f t="shared" si="876"/>
        <v>173.5384615384616</v>
      </c>
      <c r="FS105" s="218">
        <f t="shared" si="877"/>
        <v>0</v>
      </c>
      <c r="FU105" s="303" t="s">
        <v>355</v>
      </c>
      <c r="FV105" s="304" t="s">
        <v>94</v>
      </c>
      <c r="FW105" s="305" t="s">
        <v>132</v>
      </c>
      <c r="FX105" s="317"/>
      <c r="FY105" s="254">
        <f t="shared" si="917"/>
        <v>12</v>
      </c>
      <c r="FZ105" s="254">
        <f>Konvention_1slave-INslave</f>
        <v>12</v>
      </c>
      <c r="GA105" s="254"/>
      <c r="GB105" s="254"/>
      <c r="GC105" s="254"/>
      <c r="GD105" s="254"/>
      <c r="GE105" s="318"/>
      <c r="GF105" s="223">
        <f>(FY105+FY105+FZ105)/3</f>
        <v>12</v>
      </c>
      <c r="GG105" s="223">
        <f t="shared" si="878"/>
        <v>24</v>
      </c>
      <c r="GH105" s="224">
        <f t="shared" si="879"/>
        <v>36</v>
      </c>
      <c r="GI105" s="237">
        <f>FY105*POWER(INslave,SIGN(FZ105))*POWER(KLslave,SIGN(FY105))+FY105*POWER(INslave,SIGN(FZ105))*POWER(KLslave,SIGN(FY105))+FZ105*POWER(KLslave,SIGN(FY105))*POWER(KLslave,SIGN(FY105))</f>
        <v>2304</v>
      </c>
      <c r="GJ105" s="254">
        <f>FY105*FY105*INslave+FY105*KLslave*FZ105+KLslave*FY105*FZ105</f>
        <v>3456</v>
      </c>
      <c r="GK105" s="224">
        <f>FY105*FY105*FZ105</f>
        <v>1728</v>
      </c>
      <c r="GL105" s="224">
        <f t="shared" si="880"/>
        <v>7488</v>
      </c>
      <c r="GM105" s="222">
        <f t="shared" si="881"/>
        <v>3.6923076923076925</v>
      </c>
      <c r="GN105" s="223">
        <f t="shared" si="882"/>
        <v>11.076923076923077</v>
      </c>
      <c r="GO105" s="243">
        <f t="shared" si="883"/>
        <v>8.3076923076923084</v>
      </c>
      <c r="GP105" s="243">
        <f t="shared" si="884"/>
        <v>23.07692307692308</v>
      </c>
      <c r="GQ105" s="252">
        <f t="shared" si="885"/>
        <v>0</v>
      </c>
      <c r="GR105" s="309">
        <f t="shared" si="886"/>
        <v>23.07692307692308</v>
      </c>
      <c r="GS105" s="218">
        <f t="shared" si="932"/>
        <v>175.5384615384616</v>
      </c>
      <c r="GT105" s="242">
        <f t="shared" si="933"/>
        <v>2</v>
      </c>
      <c r="GU105" s="243">
        <f t="shared" si="887"/>
        <v>173.5384615384616</v>
      </c>
      <c r="GV105" s="218">
        <f t="shared" si="888"/>
        <v>0</v>
      </c>
      <c r="GX105" s="303" t="s">
        <v>355</v>
      </c>
      <c r="GY105" s="304" t="s">
        <v>94</v>
      </c>
      <c r="GZ105" s="305" t="s">
        <v>132</v>
      </c>
      <c r="HA105" s="317"/>
      <c r="HB105" s="254">
        <f t="shared" si="918"/>
        <v>12</v>
      </c>
      <c r="HC105" s="254">
        <f>Konvention_1slave-INslave</f>
        <v>12</v>
      </c>
      <c r="HD105" s="254"/>
      <c r="HE105" s="254"/>
      <c r="HF105" s="254"/>
      <c r="HG105" s="254"/>
      <c r="HH105" s="318"/>
      <c r="HI105" s="223">
        <f>(HB105+HB105+HC105)/3</f>
        <v>12</v>
      </c>
      <c r="HJ105" s="223">
        <f t="shared" si="889"/>
        <v>24</v>
      </c>
      <c r="HK105" s="224">
        <f t="shared" si="890"/>
        <v>36</v>
      </c>
      <c r="HL105" s="237">
        <f>HB105*POWER(INslave,SIGN(HC105))*POWER(KLslave,SIGN(HB105))+HB105*POWER(INslave,SIGN(HC105))*POWER(KLslave,SIGN(HB105))+HC105*POWER(KLslave,SIGN(HB105))*POWER(KLslave,SIGN(HB105))</f>
        <v>2304</v>
      </c>
      <c r="HM105" s="254">
        <f>HB105*HB105*INslave+HB105*KLslave*HC105+KLslave*HB105*HC105</f>
        <v>3456</v>
      </c>
      <c r="HN105" s="224">
        <f>HB105*HB105*HC105</f>
        <v>1728</v>
      </c>
      <c r="HO105" s="224">
        <f t="shared" si="891"/>
        <v>7488</v>
      </c>
      <c r="HP105" s="222">
        <f t="shared" si="892"/>
        <v>3.6923076923076925</v>
      </c>
      <c r="HQ105" s="223">
        <f t="shared" si="893"/>
        <v>11.076923076923077</v>
      </c>
      <c r="HR105" s="243">
        <f t="shared" si="894"/>
        <v>8.3076923076923084</v>
      </c>
      <c r="HS105" s="243">
        <f t="shared" si="895"/>
        <v>23.07692307692308</v>
      </c>
      <c r="HT105" s="252">
        <f t="shared" si="896"/>
        <v>0</v>
      </c>
      <c r="HU105" s="309">
        <f t="shared" si="897"/>
        <v>23.07692307692308</v>
      </c>
      <c r="HV105" s="218">
        <f t="shared" si="934"/>
        <v>175.5384615384616</v>
      </c>
      <c r="HW105" s="242">
        <f t="shared" si="935"/>
        <v>2</v>
      </c>
      <c r="HX105" s="243">
        <f t="shared" si="898"/>
        <v>173.5384615384616</v>
      </c>
      <c r="HY105" s="218">
        <f t="shared" si="899"/>
        <v>0</v>
      </c>
      <c r="IA105" s="303" t="s">
        <v>355</v>
      </c>
      <c r="IB105" s="304" t="s">
        <v>94</v>
      </c>
      <c r="IC105" s="305" t="s">
        <v>132</v>
      </c>
      <c r="ID105" s="317"/>
      <c r="IE105" s="254">
        <f t="shared" si="919"/>
        <v>12</v>
      </c>
      <c r="IF105" s="254">
        <f>Konvention_1slave-INslave</f>
        <v>12</v>
      </c>
      <c r="IG105" s="254"/>
      <c r="IH105" s="254"/>
      <c r="II105" s="254"/>
      <c r="IJ105" s="254"/>
      <c r="IK105" s="318"/>
      <c r="IL105" s="223">
        <f>(IE105+IE105+IF105)/3</f>
        <v>12</v>
      </c>
      <c r="IM105" s="223">
        <f t="shared" si="900"/>
        <v>24</v>
      </c>
      <c r="IN105" s="224">
        <f t="shared" si="901"/>
        <v>36</v>
      </c>
      <c r="IO105" s="237">
        <f>IE105*POWER(INslave,SIGN(IF105))*POWER(KLslave,SIGN(IE105))+IE105*POWER(INslave,SIGN(IF105))*POWER(KLslave,SIGN(IE105))+IF105*POWER(KLslave,SIGN(IE105))*POWER(KLslave,SIGN(IE105))</f>
        <v>2304</v>
      </c>
      <c r="IP105" s="254">
        <f>IE105*IE105*INslave+IE105*KLslave*IF105+KLslave*IE105*IF105</f>
        <v>3456</v>
      </c>
      <c r="IQ105" s="224">
        <f>IE105*IE105*IF105</f>
        <v>1728</v>
      </c>
      <c r="IR105" s="224">
        <f t="shared" si="902"/>
        <v>7488</v>
      </c>
      <c r="IS105" s="222">
        <f t="shared" si="903"/>
        <v>3.6923076923076925</v>
      </c>
      <c r="IT105" s="223">
        <f t="shared" si="904"/>
        <v>11.076923076923077</v>
      </c>
      <c r="IU105" s="243">
        <f t="shared" si="905"/>
        <v>8.3076923076923084</v>
      </c>
      <c r="IV105" s="243">
        <f t="shared" si="906"/>
        <v>23.07692307692308</v>
      </c>
      <c r="IW105" s="252">
        <f t="shared" si="907"/>
        <v>0</v>
      </c>
      <c r="IX105" s="309">
        <f t="shared" si="908"/>
        <v>23.07692307692308</v>
      </c>
      <c r="IY105" s="218">
        <f t="shared" si="936"/>
        <v>175.5384615384616</v>
      </c>
      <c r="IZ105" s="242">
        <f t="shared" si="937"/>
        <v>2</v>
      </c>
      <c r="JA105" s="243">
        <f t="shared" si="909"/>
        <v>173.5384615384616</v>
      </c>
      <c r="JB105" s="218">
        <f t="shared" si="910"/>
        <v>0</v>
      </c>
      <c r="JE105" s="148"/>
    </row>
    <row r="106" spans="2:265" ht="15" hidden="1" customHeight="1" outlineLevel="2">
      <c r="B106" s="148">
        <v>7</v>
      </c>
      <c r="C106" s="303" t="e">
        <f>VLOOKUP(AF106,Attribute!C:T,1,FALSE)</f>
        <v>#N/A</v>
      </c>
      <c r="D106" s="86" t="s">
        <v>438</v>
      </c>
      <c r="E106" s="167" t="s">
        <v>132</v>
      </c>
      <c r="F106" s="120"/>
      <c r="G106" s="117">
        <f t="shared" si="911"/>
        <v>12</v>
      </c>
      <c r="H106" s="117"/>
      <c r="I106" s="117">
        <f t="shared" ref="I106:I111" si="938">Konvention_1master-CHmaster</f>
        <v>12</v>
      </c>
      <c r="J106" s="117"/>
      <c r="K106" s="117"/>
      <c r="L106" s="117"/>
      <c r="M106" s="121">
        <f>Konvention_1master-KKmaster</f>
        <v>12</v>
      </c>
      <c r="N106" s="223">
        <f>(F106+G106+H106+I106+J106+K106+L106+M106)/3</f>
        <v>12</v>
      </c>
      <c r="O106" s="223">
        <f t="shared" si="813"/>
        <v>24</v>
      </c>
      <c r="P106" s="224">
        <f t="shared" si="814"/>
        <v>36</v>
      </c>
      <c r="Q106" s="237">
        <f>F106*POWER(KLmaster,SIGN(G106))*POWER(INmaster,SIGN(H106))*POWER(CHmaster,SIGN(I106))*POWER(FFmaster,SIGN(J106))*POWER(GEmaster,SIGN(K106))*POWER(KOmaster,SIGN(L106))*POWER(KKmaster,SIGN(M106))+G106*POWER(MUmaster,SIGN(F106))*POWER(INmaster,SIGN(H106))*POWER(CHmaster,SIGN(I106))*POWER(FFmaster,SIGN(J106))*POWER(GEmaster,SIGN(K106))*POWER(KOmaster,SIGN(L106))*POWER(KKmaster,SIGN(M106))+H106*POWER(MUmaster,SIGN(F106))*POWER(KLmaster,SIGN(G106))*POWER(CHmaster,SIGN(I106))*POWER(FFmaster,SIGN(J106))*POWER(GEmaster,SIGN(K106))*POWER(KOmaster,SIGN(L106))*POWER(KKmaster,SIGN(M106))+I106*POWER(MUmaster,SIGN(F106))*POWER(KLmaster,SIGN(G106))*POWER(INmaster,SIGN(H106))*POWER(FFmaster,SIGN(J106))*POWER(GEmaster,SIGN(K106))*POWER(KOmaster,SIGN(L106))*POWER(KKmaster,SIGN(M106))+J106*POWER(MUmaster,SIGN(F106))*POWER(KLmaster,SIGN(G106))*POWER(INmaster,SIGN(H106))*POWER(CHmaster,SIGN(I106))*POWER(GEmaster,SIGN(K106))*POWER(KOmaster,SIGN(L106))*POWER(KKmaster,SIGN(M106))+K106*POWER(MUmaster,SIGN(F106))*POWER(KLmaster,SIGN(G106))*POWER(INmaster,SIGN(H106))*POWER(CHmaster,SIGN(I106))*POWER(FFmaster,SIGN(J106))*POWER(KOmaster,SIGN(L106))*POWER(KKmaster,SIGN(M106))+L106*POWER(MUmaster,SIGN(F106))*POWER(KLmaster,SIGN(G106))*POWER(INmaster,SIGN(H106))*POWER(CHmaster,SIGN(I106))*POWER(FFmaster,SIGN(J106))*POWER(GEmaster,SIGN(K106))*POWER(KKmaster,SIGN(M106))+M106*POWER(MUmaster,SIGN(F106))*POWER(KLmaster,SIGN(G106))*POWER(INmaster,SIGN(H106))*POWER(CHmaster,SIGN(I106))*POWER(FFmaster,SIGN(J106))*POWER(GEmaster,SIGN(K106))*POWER(KOmaster,SIGN(L106))</f>
        <v>2304</v>
      </c>
      <c r="R106" s="117">
        <f>G106*I106*KKmaster+G106*CHmaster*M106+KLmaster*I106*M106</f>
        <v>3456</v>
      </c>
      <c r="S106" s="224">
        <f t="shared" ref="S106:S126" si="939">IFERROR(F106^SIGN(F106),1)*IFERROR(G106^SIGN(G106),1)*IFERROR(H106^SIGN(H106),1)*IFERROR(I106^SIGN(I106),1)*IFERROR(J106^SIGN(J106),1)*IFERROR(K106^SIGN(K106),1)*IFERROR(L106^SIGN(L106),1)*IFERROR(M106^SIGN(M106),1)</f>
        <v>1728</v>
      </c>
      <c r="T106" s="224">
        <f t="shared" si="815"/>
        <v>7488</v>
      </c>
      <c r="U106" s="222">
        <f t="shared" si="816"/>
        <v>3.6923076923076925</v>
      </c>
      <c r="V106" s="223">
        <f t="shared" si="817"/>
        <v>11.076923076923077</v>
      </c>
      <c r="W106" s="243">
        <f t="shared" si="818"/>
        <v>8.3076923076923084</v>
      </c>
      <c r="X106" s="243">
        <f t="shared" si="819"/>
        <v>23.07692307692308</v>
      </c>
      <c r="Y106" s="252">
        <v>0</v>
      </c>
      <c r="Z106" s="198">
        <f t="shared" si="820"/>
        <v>23.07692307692308</v>
      </c>
      <c r="AA106" s="125">
        <f t="shared" si="920"/>
        <v>175.5384615384616</v>
      </c>
      <c r="AB106" s="160">
        <f t="shared" si="921"/>
        <v>2</v>
      </c>
      <c r="AC106" s="127">
        <f t="shared" si="821"/>
        <v>173.5384615384616</v>
      </c>
      <c r="AD106" s="125">
        <f t="shared" si="822"/>
        <v>0</v>
      </c>
      <c r="AF106" s="163" t="s">
        <v>356</v>
      </c>
      <c r="AG106" s="86" t="s">
        <v>438</v>
      </c>
      <c r="AH106" s="167" t="s">
        <v>132</v>
      </c>
      <c r="AI106" s="120"/>
      <c r="AJ106" s="117">
        <f t="shared" si="912"/>
        <v>12</v>
      </c>
      <c r="AK106" s="117"/>
      <c r="AL106" s="117">
        <f t="shared" ref="AL106:AL111" si="940">Konvention_1slave-CHslave</f>
        <v>12</v>
      </c>
      <c r="AM106" s="117"/>
      <c r="AN106" s="117"/>
      <c r="AO106" s="117"/>
      <c r="AP106" s="121">
        <f>Konvention_1slave-KKslave</f>
        <v>12</v>
      </c>
      <c r="AQ106" s="47">
        <f>(AI106+AJ106+AK106+AL106+AM106+AN106+AO106+AP106)/3</f>
        <v>12</v>
      </c>
      <c r="AR106" s="3">
        <f t="shared" si="823"/>
        <v>24</v>
      </c>
      <c r="AS106" s="174">
        <f t="shared" si="824"/>
        <v>36</v>
      </c>
      <c r="AT106" s="114">
        <f t="shared" ref="AT106:AT126" si="941">AI106*POWER(KLslave,SIGN(AJ106))*POWER(INslave,SIGN(AK106))*POWER(CHslave,SIGN(AL106))*POWER(FFslave,SIGN(AM106))*POWER(GEslave,SIGN(AN106))*POWER(KOslave,SIGN(AO106))*POWER(KKslave,SIGN(AP106))+AJ106*POWER(MUslave_MU,SIGN(AI106))*POWER(INslave,SIGN(AK106))*POWER(CHslave,SIGN(AL106))*POWER(FFslave,SIGN(AM106))*POWER(GEslave,SIGN(AN106))*POWER(KOslave,SIGN(AO106))*POWER(KKslave,SIGN(AP106))+AK106*POWER(MUslave_MU,SIGN(AI106))*POWER(KLslave,SIGN(AJ106))*POWER(CHslave,SIGN(AL106))*POWER(FFslave,SIGN(AM106))*POWER(GEslave,SIGN(AN106))*POWER(KOslave,SIGN(AO106))*POWER(KKslave,SIGN(AP106))+AL106*POWER(MUslave_MU,SIGN(AI106))*POWER(KLslave,SIGN(AJ106))*POWER(INslave,SIGN(AK106))*POWER(FFslave,SIGN(AM106))*POWER(GEslave,SIGN(AN106))*POWER(KOslave,SIGN(AO106))*POWER(KKslave,SIGN(AP106))+AM106*POWER(MUslave_MU,SIGN(AI106))*POWER(KLslave,SIGN(AJ106))*POWER(INslave,SIGN(AK106))*POWER(CHslave,SIGN(AL106))*POWER(GEslave,SIGN(AN106))*POWER(KOslave,SIGN(AO106))*POWER(KKslave,SIGN(AP106))+AN106*POWER(MUslave_MU,SIGN(AI106))*POWER(KLslave,SIGN(AJ106))*POWER(INslave,SIGN(AK106))*POWER(CHslave,SIGN(AL106))*POWER(FFslave,SIGN(AM106))*POWER(KOslave,SIGN(AO106))*POWER(KKslave,SIGN(AP106))+AO106*POWER(MUslave_MU,SIGN(AI106))*POWER(KLslave,SIGN(AJ106))*POWER(INslave,SIGN(AK106))*POWER(CHslave,SIGN(AL106))*POWER(FFslave,SIGN(AM106))*POWER(GEslave,SIGN(AN106))*POWER(KKslave,SIGN(AP106))+AP106*POWER(MUslave_MU,SIGN(AI106))*POWER(KLslave,SIGN(AJ106))*POWER(INslave,SIGN(AK106))*POWER(CHslave,SIGN(AL106))*POWER(FFslave,SIGN(AM106))*POWER(GEslave,SIGN(AN106))*POWER(KOslave,SIGN(AO106))</f>
        <v>2304</v>
      </c>
      <c r="AU106" s="117">
        <f>AJ106*AL106*KKslave+AJ106*CHslave*AP106+KLslave*AL106*AP106</f>
        <v>3456</v>
      </c>
      <c r="AV106" s="119">
        <f>IFERROR(AI106^SIGN(AI106),1)*IFERROR(AJ106^SIGN(AJ106),1)*IFERROR(AK106^SIGN(AK106),1)*IFERROR(AL106^SIGN(AL106),1)*IFERROR(AM106^SIGN(AM106),1)*IFERROR(AN106^SIGN(AN106),1)*IFERROR(AO106^SIGN(AO106),1)*IFERROR(AP106^SIGN(AP106),1)</f>
        <v>1728</v>
      </c>
      <c r="AW106" s="119">
        <f t="shared" si="825"/>
        <v>7488</v>
      </c>
      <c r="AX106" s="89">
        <f t="shared" si="826"/>
        <v>3.6923076923076925</v>
      </c>
      <c r="AY106" s="47">
        <f t="shared" si="827"/>
        <v>11.076923076923077</v>
      </c>
      <c r="AZ106" s="127">
        <f t="shared" si="828"/>
        <v>8.3076923076923084</v>
      </c>
      <c r="BA106" s="127">
        <f t="shared" si="829"/>
        <v>23.07692307692308</v>
      </c>
      <c r="BB106" s="165">
        <f t="shared" si="830"/>
        <v>0</v>
      </c>
      <c r="BC106" s="198">
        <f t="shared" si="831"/>
        <v>23.07692307692308</v>
      </c>
      <c r="BD106" s="125">
        <f t="shared" si="922"/>
        <v>175.5384615384616</v>
      </c>
      <c r="BE106" s="160">
        <f t="shared" si="923"/>
        <v>2</v>
      </c>
      <c r="BF106" s="243">
        <f t="shared" si="832"/>
        <v>173.5384615384616</v>
      </c>
      <c r="BG106" s="218">
        <f t="shared" si="833"/>
        <v>0</v>
      </c>
      <c r="BI106" s="303" t="s">
        <v>356</v>
      </c>
      <c r="BJ106" s="304" t="s">
        <v>438</v>
      </c>
      <c r="BK106" s="305" t="s">
        <v>132</v>
      </c>
      <c r="BL106" s="317"/>
      <c r="BM106" s="254">
        <f t="shared" si="913"/>
        <v>11</v>
      </c>
      <c r="BN106" s="254"/>
      <c r="BO106" s="254">
        <f t="shared" ref="BO106:BO111" si="942">Konvention_1slave-CHslave</f>
        <v>12</v>
      </c>
      <c r="BP106" s="254"/>
      <c r="BQ106" s="254"/>
      <c r="BR106" s="254"/>
      <c r="BS106" s="318">
        <f>Konvention_1slave-KKslave</f>
        <v>12</v>
      </c>
      <c r="BT106" s="223">
        <f>(BL106+BM106+BN106+BO106+BP106+BQ106+BR106+BS106)/3</f>
        <v>11.666666666666666</v>
      </c>
      <c r="BU106" s="223">
        <f t="shared" si="834"/>
        <v>23.333333333333332</v>
      </c>
      <c r="BV106" s="224">
        <f t="shared" si="835"/>
        <v>35</v>
      </c>
      <c r="BW106" s="237">
        <f t="shared" ref="BW106:BW126" si="943">BL106*POWER(KLslave_KL,SIGN(BM106))*POWER(INslave,SIGN(BN106))*POWER(CHslave,SIGN(BO106))*POWER(FFslave,SIGN(BP106))*POWER(GEslave,SIGN(BQ106))*POWER(KOslave,SIGN(BR106))*POWER(KKslave,SIGN(BS106))+BM106*POWER(MUslave,SIGN(BL106))*POWER(INslave,SIGN(BN106))*POWER(CHslave,SIGN(BO106))*POWER(FFslave,SIGN(BP106))*POWER(GEslave,SIGN(BQ106))*POWER(KOslave,SIGN(BR106))*POWER(KKslave,SIGN(BS106))+BN106*POWER(MUslave,SIGN(BL106))*POWER(KLslave_KL,SIGN(BM106))*POWER(CHslave,SIGN(BO106))*POWER(FFslave,SIGN(BP106))*POWER(GEslave,SIGN(BQ106))*POWER(KOslave,SIGN(BR106))*POWER(KKslave,SIGN(BS106))+BO106*POWER(MUslave,SIGN(BL106))*POWER(KLslave_KL,SIGN(BM106))*POWER(INslave,SIGN(BN106))*POWER(FFslave,SIGN(BP106))*POWER(GEslave,SIGN(BQ106))*POWER(KOslave,SIGN(BR106))*POWER(KKslave,SIGN(BS106))+BP106*POWER(MUslave,SIGN(BL106))*POWER(KLslave_KL,SIGN(BM106))*POWER(INslave,SIGN(BN106))*POWER(CHslave,SIGN(BO106))*POWER(GEslave,SIGN(BQ106))*POWER(KOslave,SIGN(BR106))*POWER(KKslave,SIGN(BS106))+BQ106*POWER(MUslave,SIGN(BL106))*POWER(KLslave_KL,SIGN(BM106))*POWER(INslave,SIGN(BN106))*POWER(CHslave,SIGN(BO106))*POWER(FFslave,SIGN(BP106))*POWER(KOslave,SIGN(BR106))*POWER(KKslave,SIGN(BS106))+BR106*POWER(MUslave,SIGN(BL106))*POWER(KLslave_KL,SIGN(BM106))*POWER(INslave,SIGN(BN106))*POWER(CHslave,SIGN(BO106))*POWER(FFslave,SIGN(BP106))*POWER(GEslave,SIGN(BQ106))*POWER(KKslave,SIGN(BS106))+BS106*POWER(MUslave,SIGN(BL106))*POWER(KLslave_KL,SIGN(BM106))*POWER(INslave,SIGN(BN106))*POWER(CHslave,SIGN(BO106))*POWER(FFslave,SIGN(BP106))*POWER(GEslave,SIGN(BQ106))*POWER(KOslave,SIGN(BR106))</f>
        <v>2432</v>
      </c>
      <c r="BX106" s="254">
        <f>BM106*BO106*KKslave+BM106*CHslave*BS106+KLslave_KL*BO106*BS106</f>
        <v>3408</v>
      </c>
      <c r="BY106" s="224">
        <f>IFERROR(BL106^SIGN(BL106),1)*IFERROR(BM106^SIGN(BM106),1)*IFERROR(BN106^SIGN(BN106),1)*IFERROR(BO106^SIGN(BO106),1)*IFERROR(BP106^SIGN(BP106),1)*IFERROR(BQ106^SIGN(BQ106),1)*IFERROR(BR106^SIGN(BR106),1)*IFERROR(BS106^SIGN(BS106),1)</f>
        <v>1584</v>
      </c>
      <c r="BZ106" s="224">
        <f t="shared" si="836"/>
        <v>7424</v>
      </c>
      <c r="CA106" s="222">
        <f t="shared" si="837"/>
        <v>3.8218390804597702</v>
      </c>
      <c r="CB106" s="223">
        <f t="shared" si="838"/>
        <v>10.711206896551724</v>
      </c>
      <c r="CC106" s="243">
        <f t="shared" si="839"/>
        <v>7.4676724137931032</v>
      </c>
      <c r="CD106" s="243">
        <f t="shared" si="840"/>
        <v>22.000718390804597</v>
      </c>
      <c r="CE106" s="252">
        <f t="shared" si="841"/>
        <v>0</v>
      </c>
      <c r="CF106" s="309">
        <f t="shared" si="842"/>
        <v>22.000718390804597</v>
      </c>
      <c r="CG106" s="218">
        <f t="shared" si="924"/>
        <v>154.01436781609189</v>
      </c>
      <c r="CH106" s="242">
        <f t="shared" si="925"/>
        <v>2</v>
      </c>
      <c r="CI106" s="243">
        <f t="shared" si="843"/>
        <v>152.01436781609189</v>
      </c>
      <c r="CJ106" s="218">
        <f t="shared" si="844"/>
        <v>0</v>
      </c>
      <c r="CL106" s="303" t="s">
        <v>356</v>
      </c>
      <c r="CM106" s="304" t="s">
        <v>438</v>
      </c>
      <c r="CN106" s="305" t="s">
        <v>132</v>
      </c>
      <c r="CO106" s="317"/>
      <c r="CP106" s="254">
        <f t="shared" si="914"/>
        <v>12</v>
      </c>
      <c r="CQ106" s="254"/>
      <c r="CR106" s="254">
        <f t="shared" ref="CR106:CR111" si="944">Konvention_1slave-CHslave</f>
        <v>12</v>
      </c>
      <c r="CS106" s="254"/>
      <c r="CT106" s="254"/>
      <c r="CU106" s="254"/>
      <c r="CV106" s="318">
        <f>Konvention_1slave-KKslave</f>
        <v>12</v>
      </c>
      <c r="CW106" s="223">
        <f>(CO106+CP106+CQ106+CR106+CS106+CT106+CU106+CV106)/3</f>
        <v>12</v>
      </c>
      <c r="CX106" s="223">
        <f t="shared" si="845"/>
        <v>24</v>
      </c>
      <c r="CY106" s="224">
        <f t="shared" si="846"/>
        <v>36</v>
      </c>
      <c r="CZ106" s="237">
        <f t="shared" ref="CZ106:CZ126" si="945">CO106*POWER(KLslave,SIGN(CP106))*POWER(INslave_IN,SIGN(CQ106))*POWER(CHslave,SIGN(CR106))*POWER(FFslave,SIGN(CS106))*POWER(GEslave,SIGN(CT106))*POWER(KOslave,SIGN(CU106))*POWER(KKslave,SIGN(CV106))+CP106*POWER(MUslave,SIGN(CO106))*POWER(INslave_IN,SIGN(CQ106))*POWER(CHslave,SIGN(CR106))*POWER(FFslave,SIGN(CS106))*POWER(GEslave,SIGN(CT106))*POWER(KOslave,SIGN(CU106))*POWER(KKslave,SIGN(CV106))+CQ106*POWER(MUslave,SIGN(CO106))*POWER(KLslave,SIGN(CP106))*POWER(CHslave,SIGN(CR106))*POWER(FFslave,SIGN(CS106))*POWER(GEslave,SIGN(CT106))*POWER(KOslave,SIGN(CU106))*POWER(KKslave,SIGN(CV106))+CR106*POWER(MUslave,SIGN(CO106))*POWER(KLslave,SIGN(CP106))*POWER(INslave_IN,SIGN(CQ106))*POWER(FFslave,SIGN(CS106))*POWER(GEslave,SIGN(CT106))*POWER(KOslave,SIGN(CU106))*POWER(KKslave,SIGN(CV106))+CS106*POWER(MUslave,SIGN(CO106))*POWER(KLslave,SIGN(CP106))*POWER(INslave_IN,SIGN(CQ106))*POWER(CHslave,SIGN(CR106))*POWER(GEslave,SIGN(CT106))*POWER(KOslave,SIGN(CU106))*POWER(KKslave,SIGN(CV106))+CT106*POWER(MUslave,SIGN(CO106))*POWER(KLslave,SIGN(CP106))*POWER(INslave_IN,SIGN(CQ106))*POWER(CHslave,SIGN(CR106))*POWER(FFslave,SIGN(CS106))*POWER(KOslave,SIGN(CU106))*POWER(KKslave,SIGN(CV106))+CU106*POWER(MUslave,SIGN(CO106))*POWER(KLslave,SIGN(CP106))*POWER(INslave_IN,SIGN(CQ106))*POWER(CHslave,SIGN(CR106))*POWER(FFslave,SIGN(CS106))*POWER(GEslave,SIGN(CT106))*POWER(KKslave,SIGN(CV106))+CV106*POWER(MUslave,SIGN(CO106))*POWER(KLslave,SIGN(CP106))*POWER(INslave_IN,SIGN(CQ106))*POWER(CHslave,SIGN(CR106))*POWER(FFslave,SIGN(CS106))*POWER(GEslave,SIGN(CT106))*POWER(KOslave,SIGN(CU106))</f>
        <v>2304</v>
      </c>
      <c r="DA106" s="254">
        <f>CP106*CR106*KKslave+CP106*CHslave*CV106+KLslave*CR106*CV106</f>
        <v>3456</v>
      </c>
      <c r="DB106" s="224">
        <f>IFERROR(CO106^SIGN(CO106),1)*IFERROR(CP106^SIGN(CP106),1)*IFERROR(CQ106^SIGN(CQ106),1)*IFERROR(CR106^SIGN(CR106),1)*IFERROR(CS106^SIGN(CS106),1)*IFERROR(CT106^SIGN(CT106),1)*IFERROR(CU106^SIGN(CU106),1)*IFERROR(CV106^SIGN(CV106),1)</f>
        <v>1728</v>
      </c>
      <c r="DC106" s="224">
        <f t="shared" si="847"/>
        <v>7488</v>
      </c>
      <c r="DD106" s="222">
        <f t="shared" si="848"/>
        <v>3.6923076923076925</v>
      </c>
      <c r="DE106" s="223">
        <f t="shared" si="849"/>
        <v>11.076923076923077</v>
      </c>
      <c r="DF106" s="243">
        <f t="shared" si="850"/>
        <v>8.3076923076923084</v>
      </c>
      <c r="DG106" s="243">
        <f t="shared" si="851"/>
        <v>23.07692307692308</v>
      </c>
      <c r="DH106" s="252">
        <f t="shared" si="852"/>
        <v>0</v>
      </c>
      <c r="DI106" s="309">
        <f t="shared" si="853"/>
        <v>23.07692307692308</v>
      </c>
      <c r="DJ106" s="218">
        <f t="shared" si="926"/>
        <v>175.5384615384616</v>
      </c>
      <c r="DK106" s="242">
        <f t="shared" si="927"/>
        <v>2</v>
      </c>
      <c r="DL106" s="243">
        <f t="shared" si="854"/>
        <v>173.5384615384616</v>
      </c>
      <c r="DM106" s="218">
        <f t="shared" si="855"/>
        <v>0</v>
      </c>
      <c r="DO106" s="303" t="s">
        <v>356</v>
      </c>
      <c r="DP106" s="304" t="s">
        <v>438</v>
      </c>
      <c r="DQ106" s="305" t="s">
        <v>132</v>
      </c>
      <c r="DR106" s="317"/>
      <c r="DS106" s="254">
        <f t="shared" si="915"/>
        <v>12</v>
      </c>
      <c r="DT106" s="254"/>
      <c r="DU106" s="254">
        <f t="shared" ref="DU106:DU111" si="946">Konvention_1slave-CHslave_CH</f>
        <v>11</v>
      </c>
      <c r="DV106" s="254"/>
      <c r="DW106" s="254"/>
      <c r="DX106" s="254"/>
      <c r="DY106" s="318">
        <f>Konvention_1slave-KKslave</f>
        <v>12</v>
      </c>
      <c r="DZ106" s="223">
        <f>(DR106+DS106+DT106+DU106+DV106+DW106+DX106+DY106)/3</f>
        <v>11.666666666666666</v>
      </c>
      <c r="EA106" s="223">
        <f t="shared" si="856"/>
        <v>23.333333333333332</v>
      </c>
      <c r="EB106" s="224">
        <f t="shared" si="857"/>
        <v>35</v>
      </c>
      <c r="EC106" s="237">
        <f t="shared" ref="EC106:EC126" si="947">DR106*POWER(KLslave,SIGN(DS106))*POWER(INslave,SIGN(DT106))*POWER(CHslave_CH,SIGN(DU106))*POWER(FFslave,SIGN(DV106))*POWER(GEslave,SIGN(DW106))*POWER(KOslave,SIGN(DX106))*POWER(KKslave,SIGN(DY106))+DS106*POWER(MUslave,SIGN(DR106))*POWER(INslave,SIGN(DT106))*POWER(CHslave_CH,SIGN(DU106))*POWER(FFslave,SIGN(DV106))*POWER(GEslave,SIGN(DW106))*POWER(KOslave,SIGN(DX106))*POWER(KKslave,SIGN(DY106))+DT106*POWER(MUslave,SIGN(DR106))*POWER(KLslave,SIGN(DS106))*POWER(CHslave_CH,SIGN(DU106))*POWER(FFslave,SIGN(DV106))*POWER(GEslave,SIGN(DW106))*POWER(KOslave,SIGN(DX106))*POWER(KKslave,SIGN(DY106))+DU106*POWER(MUslave,SIGN(DR106))*POWER(KLslave,SIGN(DS106))*POWER(INslave,SIGN(DT106))*POWER(FFslave,SIGN(DV106))*POWER(GEslave,SIGN(DW106))*POWER(KOslave,SIGN(DX106))*POWER(KKslave,SIGN(DY106))+DV106*POWER(MUslave,SIGN(DR106))*POWER(KLslave,SIGN(DS106))*POWER(INslave,SIGN(DT106))*POWER(CHslave_CH,SIGN(DU106))*POWER(GEslave,SIGN(DW106))*POWER(KOslave,SIGN(DX106))*POWER(KKslave,SIGN(DY106))+DW106*POWER(MUslave,SIGN(DR106))*POWER(KLslave,SIGN(DS106))*POWER(INslave,SIGN(DT106))*POWER(CHslave_CH,SIGN(DU106))*POWER(FFslave,SIGN(DV106))*POWER(KOslave,SIGN(DX106))*POWER(KKslave,SIGN(DY106))+DX106*POWER(MUslave,SIGN(DR106))*POWER(KLslave,SIGN(DS106))*POWER(INslave,SIGN(DT106))*POWER(CHslave_CH,SIGN(DU106))*POWER(FFslave,SIGN(DV106))*POWER(GEslave,SIGN(DW106))*POWER(KKslave,SIGN(DY106))+DY106*POWER(MUslave,SIGN(DR106))*POWER(KLslave,SIGN(DS106))*POWER(INslave,SIGN(DT106))*POWER(CHslave_CH,SIGN(DU106))*POWER(FFslave,SIGN(DV106))*POWER(GEslave,SIGN(DW106))*POWER(KOslave,SIGN(DX106))</f>
        <v>2432</v>
      </c>
      <c r="ED106" s="254">
        <f>DS106*DU106*KKslave+DS106*CHslave_CH*DY106+KLslave*DU106*DY106</f>
        <v>3408</v>
      </c>
      <c r="EE106" s="224">
        <f>IFERROR(DR106^SIGN(DR106),1)*IFERROR(DS106^SIGN(DS106),1)*IFERROR(DT106^SIGN(DT106),1)*IFERROR(DU106^SIGN(DU106),1)*IFERROR(DV106^SIGN(DV106),1)*IFERROR(DW106^SIGN(DW106),1)*IFERROR(DX106^SIGN(DX106),1)*IFERROR(DY106^SIGN(DY106),1)</f>
        <v>1584</v>
      </c>
      <c r="EF106" s="224">
        <f t="shared" si="858"/>
        <v>7424</v>
      </c>
      <c r="EG106" s="222">
        <f t="shared" si="859"/>
        <v>3.8218390804597702</v>
      </c>
      <c r="EH106" s="223">
        <f t="shared" si="860"/>
        <v>10.711206896551724</v>
      </c>
      <c r="EI106" s="243">
        <f t="shared" si="861"/>
        <v>7.4676724137931032</v>
      </c>
      <c r="EJ106" s="243">
        <f t="shared" si="862"/>
        <v>22.000718390804597</v>
      </c>
      <c r="EK106" s="252">
        <f t="shared" si="863"/>
        <v>0</v>
      </c>
      <c r="EL106" s="309">
        <f t="shared" si="864"/>
        <v>22.000718390804597</v>
      </c>
      <c r="EM106" s="218">
        <f t="shared" si="928"/>
        <v>154.01436781609189</v>
      </c>
      <c r="EN106" s="242">
        <f t="shared" si="929"/>
        <v>2</v>
      </c>
      <c r="EO106" s="243">
        <f t="shared" si="865"/>
        <v>152.01436781609189</v>
      </c>
      <c r="EP106" s="218">
        <f t="shared" si="866"/>
        <v>0</v>
      </c>
      <c r="ER106" s="303" t="s">
        <v>356</v>
      </c>
      <c r="ES106" s="304" t="s">
        <v>438</v>
      </c>
      <c r="ET106" s="305" t="s">
        <v>132</v>
      </c>
      <c r="EU106" s="317"/>
      <c r="EV106" s="254">
        <f t="shared" si="916"/>
        <v>12</v>
      </c>
      <c r="EW106" s="254"/>
      <c r="EX106" s="254">
        <f t="shared" ref="EX106:EX111" si="948">Konvention_1slave-CHslave</f>
        <v>12</v>
      </c>
      <c r="EY106" s="254"/>
      <c r="EZ106" s="254"/>
      <c r="FA106" s="254"/>
      <c r="FB106" s="318">
        <f>Konvention_1slave-KKslave</f>
        <v>12</v>
      </c>
      <c r="FC106" s="223">
        <f>(EU106+EV106+EW106+EX106+EY106+EZ106+FA106+FB106)/3</f>
        <v>12</v>
      </c>
      <c r="FD106" s="223">
        <f t="shared" si="867"/>
        <v>24</v>
      </c>
      <c r="FE106" s="224">
        <f t="shared" si="868"/>
        <v>36</v>
      </c>
      <c r="FF106" s="237">
        <f t="shared" ref="FF106:FF126" si="949">EU106*POWER(KLslave,SIGN(EV106))*POWER(INslave,SIGN(EW106))*POWER(CHslave,SIGN(EX106))*POWER(FFslave_FF,SIGN(EY106))*POWER(GEslave,SIGN(EZ106))*POWER(KOslave,SIGN(FA106))*POWER(KKslave,SIGN(FB106))+EV106*POWER(MUslave,SIGN(EU106))*POWER(INslave,SIGN(EW106))*POWER(CHslave,SIGN(EX106))*POWER(FFslave_FF,SIGN(EY106))*POWER(GEslave,SIGN(EZ106))*POWER(KOslave,SIGN(FA106))*POWER(KKslave,SIGN(FB106))+EW106*POWER(MUslave,SIGN(EU106))*POWER(KLslave,SIGN(EV106))*POWER(CHslave,SIGN(EX106))*POWER(FFslave_FF,SIGN(EY106))*POWER(GEslave,SIGN(EZ106))*POWER(KOslave,SIGN(FA106))*POWER(KKslave,SIGN(FB106))+EX106*POWER(MUslave,SIGN(EU106))*POWER(KLslave,SIGN(EV106))*POWER(INslave,SIGN(EW106))*POWER(FFslave_FF,SIGN(EY106))*POWER(GEslave,SIGN(EZ106))*POWER(KOslave,SIGN(FA106))*POWER(KKslave,SIGN(FB106))+EY106*POWER(MUslave,SIGN(EU106))*POWER(KLslave,SIGN(EV106))*POWER(INslave,SIGN(EW106))*POWER(CHslave,SIGN(EX106))*POWER(GEslave,SIGN(EZ106))*POWER(KOslave,SIGN(FA106))*POWER(KKslave,SIGN(FB106))+EZ106*POWER(MUslave,SIGN(EU106))*POWER(KLslave,SIGN(EV106))*POWER(INslave,SIGN(EW106))*POWER(CHslave,SIGN(EX106))*POWER(FFslave_FF,SIGN(EY106))*POWER(KOslave,SIGN(FA106))*POWER(KKslave,SIGN(FB106))+FA106*POWER(MUslave,SIGN(EU106))*POWER(KLslave,SIGN(EV106))*POWER(INslave,SIGN(EW106))*POWER(CHslave,SIGN(EX106))*POWER(FFslave_FF,SIGN(EY106))*POWER(GEslave,SIGN(EZ106))*POWER(KKslave,SIGN(FB106))+FB106*POWER(MUslave,SIGN(EU106))*POWER(KLslave,SIGN(EV106))*POWER(INslave,SIGN(EW106))*POWER(CHslave,SIGN(EX106))*POWER(FFslave_FF,SIGN(EY106))*POWER(GEslave,SIGN(EZ106))*POWER(KOslave,SIGN(FA106))</f>
        <v>2304</v>
      </c>
      <c r="FG106" s="254">
        <f>EV106*EX106*KKslave+EV106*CHslave*FB106+KLslave*EX106*FB106</f>
        <v>3456</v>
      </c>
      <c r="FH106" s="224">
        <f>IFERROR(EU106^SIGN(EU106),1)*IFERROR(EV106^SIGN(EV106),1)*IFERROR(EW106^SIGN(EW106),1)*IFERROR(EX106^SIGN(EX106),1)*IFERROR(EY106^SIGN(EY106),1)*IFERROR(EZ106^SIGN(EZ106),1)*IFERROR(FA106^SIGN(FA106),1)*IFERROR(FB106^SIGN(FB106),1)</f>
        <v>1728</v>
      </c>
      <c r="FI106" s="224">
        <f t="shared" si="869"/>
        <v>7488</v>
      </c>
      <c r="FJ106" s="222">
        <f t="shared" si="870"/>
        <v>3.6923076923076925</v>
      </c>
      <c r="FK106" s="223">
        <f t="shared" si="871"/>
        <v>11.076923076923077</v>
      </c>
      <c r="FL106" s="243">
        <f t="shared" si="872"/>
        <v>8.3076923076923084</v>
      </c>
      <c r="FM106" s="243">
        <f t="shared" si="873"/>
        <v>23.07692307692308</v>
      </c>
      <c r="FN106" s="252">
        <f t="shared" si="874"/>
        <v>0</v>
      </c>
      <c r="FO106" s="309">
        <f t="shared" si="875"/>
        <v>23.07692307692308</v>
      </c>
      <c r="FP106" s="218">
        <f t="shared" si="930"/>
        <v>175.5384615384616</v>
      </c>
      <c r="FQ106" s="242">
        <f t="shared" si="931"/>
        <v>2</v>
      </c>
      <c r="FR106" s="243">
        <f t="shared" si="876"/>
        <v>173.5384615384616</v>
      </c>
      <c r="FS106" s="218">
        <f t="shared" si="877"/>
        <v>0</v>
      </c>
      <c r="FU106" s="303" t="s">
        <v>356</v>
      </c>
      <c r="FV106" s="304" t="s">
        <v>438</v>
      </c>
      <c r="FW106" s="305" t="s">
        <v>132</v>
      </c>
      <c r="FX106" s="317"/>
      <c r="FY106" s="254">
        <f t="shared" si="917"/>
        <v>12</v>
      </c>
      <c r="FZ106" s="254"/>
      <c r="GA106" s="254">
        <f t="shared" ref="GA106:GA111" si="950">Konvention_1slave-CHslave</f>
        <v>12</v>
      </c>
      <c r="GB106" s="254"/>
      <c r="GC106" s="254"/>
      <c r="GD106" s="254"/>
      <c r="GE106" s="318">
        <f>Konvention_1slave-KKslave</f>
        <v>12</v>
      </c>
      <c r="GF106" s="223">
        <f>(FX106+FY106+FZ106+GA106+GB106+GC106+GD106+GE106)/3</f>
        <v>12</v>
      </c>
      <c r="GG106" s="223">
        <f t="shared" si="878"/>
        <v>24</v>
      </c>
      <c r="GH106" s="224">
        <f t="shared" si="879"/>
        <v>36</v>
      </c>
      <c r="GI106" s="237">
        <f t="shared" ref="GI106:GI126" si="951">FX106*POWER(KLslave,SIGN(FY106))*POWER(INslave,SIGN(FZ106))*POWER(CHslave,SIGN(GA106))*POWER(FFslave,SIGN(GB106))*POWER(GEslave_GE,SIGN(GC106))*POWER(KOslave,SIGN(GD106))*POWER(KKslave,SIGN(GE106))+FY106*POWER(MUslave,SIGN(FX106))*POWER(INslave,SIGN(FZ106))*POWER(CHslave,SIGN(GA106))*POWER(FFslave,SIGN(GB106))*POWER(GEslave_GE,SIGN(GC106))*POWER(KOslave,SIGN(GD106))*POWER(KKslave,SIGN(GE106))+FZ106*POWER(MUslave,SIGN(FX106))*POWER(KLslave,SIGN(FY106))*POWER(CHslave,SIGN(GA106))*POWER(FFslave,SIGN(GB106))*POWER(GEslave_GE,SIGN(GC106))*POWER(KOslave,SIGN(GD106))*POWER(KKslave,SIGN(GE106))+GA106*POWER(MUslave,SIGN(FX106))*POWER(KLslave,SIGN(FY106))*POWER(INslave,SIGN(FZ106))*POWER(FFslave,SIGN(GB106))*POWER(GEslave_GE,SIGN(GC106))*POWER(KOslave,SIGN(GD106))*POWER(KKslave,SIGN(GE106))+GB106*POWER(MUslave,SIGN(FX106))*POWER(KLslave,SIGN(FY106))*POWER(INslave,SIGN(FZ106))*POWER(CHslave,SIGN(GA106))*POWER(GEslave_GE,SIGN(GC106))*POWER(KOslave,SIGN(GD106))*POWER(KKslave,SIGN(GE106))+GC106*POWER(MUslave,SIGN(FX106))*POWER(KLslave,SIGN(FY106))*POWER(INslave,SIGN(FZ106))*POWER(CHslave,SIGN(GA106))*POWER(FFslave,SIGN(GB106))*POWER(KOslave,SIGN(GD106))*POWER(KKslave,SIGN(GE106))+GD106*POWER(MUslave,SIGN(FX106))*POWER(KLslave,SIGN(FY106))*POWER(INslave,SIGN(FZ106))*POWER(CHslave,SIGN(GA106))*POWER(FFslave,SIGN(GB106))*POWER(GEslave_GE,SIGN(GC106))*POWER(KKslave,SIGN(GE106))+GE106*POWER(MUslave,SIGN(FX106))*POWER(KLslave,SIGN(FY106))*POWER(INslave,SIGN(FZ106))*POWER(CHslave,SIGN(GA106))*POWER(FFslave,SIGN(GB106))*POWER(GEslave_GE,SIGN(GC106))*POWER(KOslave,SIGN(GD106))</f>
        <v>2304</v>
      </c>
      <c r="GJ106" s="254">
        <f>FY106*GA106*KKslave+FY106*CHslave*GE106+KLslave*GA106*GE106</f>
        <v>3456</v>
      </c>
      <c r="GK106" s="224">
        <f>IFERROR(FX106^SIGN(FX106),1)*IFERROR(FY106^SIGN(FY106),1)*IFERROR(FZ106^SIGN(FZ106),1)*IFERROR(GA106^SIGN(GA106),1)*IFERROR(GB106^SIGN(GB106),1)*IFERROR(GC106^SIGN(GC106),1)*IFERROR(GD106^SIGN(GD106),1)*IFERROR(GE106^SIGN(GE106),1)</f>
        <v>1728</v>
      </c>
      <c r="GL106" s="224">
        <f t="shared" si="880"/>
        <v>7488</v>
      </c>
      <c r="GM106" s="222">
        <f t="shared" si="881"/>
        <v>3.6923076923076925</v>
      </c>
      <c r="GN106" s="223">
        <f t="shared" si="882"/>
        <v>11.076923076923077</v>
      </c>
      <c r="GO106" s="243">
        <f t="shared" si="883"/>
        <v>8.3076923076923084</v>
      </c>
      <c r="GP106" s="243">
        <f t="shared" si="884"/>
        <v>23.07692307692308</v>
      </c>
      <c r="GQ106" s="252">
        <f t="shared" si="885"/>
        <v>0</v>
      </c>
      <c r="GR106" s="309">
        <f t="shared" si="886"/>
        <v>23.07692307692308</v>
      </c>
      <c r="GS106" s="218">
        <f t="shared" si="932"/>
        <v>175.5384615384616</v>
      </c>
      <c r="GT106" s="242">
        <f t="shared" si="933"/>
        <v>2</v>
      </c>
      <c r="GU106" s="243">
        <f t="shared" si="887"/>
        <v>173.5384615384616</v>
      </c>
      <c r="GV106" s="218">
        <f t="shared" si="888"/>
        <v>0</v>
      </c>
      <c r="GX106" s="303" t="s">
        <v>356</v>
      </c>
      <c r="GY106" s="304" t="s">
        <v>438</v>
      </c>
      <c r="GZ106" s="305" t="s">
        <v>132</v>
      </c>
      <c r="HA106" s="317"/>
      <c r="HB106" s="254">
        <f t="shared" si="918"/>
        <v>12</v>
      </c>
      <c r="HC106" s="254"/>
      <c r="HD106" s="254">
        <f t="shared" ref="HD106:HD111" si="952">Konvention_1slave-CHslave</f>
        <v>12</v>
      </c>
      <c r="HE106" s="254"/>
      <c r="HF106" s="254"/>
      <c r="HG106" s="254"/>
      <c r="HH106" s="318">
        <f>Konvention_1slave-KKslave</f>
        <v>12</v>
      </c>
      <c r="HI106" s="223">
        <f>(HA106+HB106+HC106+HD106+HE106+HF106+HG106+HH106)/3</f>
        <v>12</v>
      </c>
      <c r="HJ106" s="223">
        <f t="shared" si="889"/>
        <v>24</v>
      </c>
      <c r="HK106" s="224">
        <f t="shared" si="890"/>
        <v>36</v>
      </c>
      <c r="HL106" s="237">
        <f t="shared" ref="HL106:HL126" si="953">HA106*POWER(KLslave,SIGN(HB106))*POWER(INslave,SIGN(HC106))*POWER(CHslave,SIGN(HD106))*POWER(FFslave,SIGN(HE106))*POWER(GEslave,SIGN(HF106))*POWER(KOslave_KO,SIGN(HG106))*POWER(KKslave,SIGN(HH106))+HB106*POWER(MUslave,SIGN(HA106))*POWER(INslave,SIGN(HC106))*POWER(CHslave,SIGN(HD106))*POWER(FFslave,SIGN(HE106))*POWER(GEslave,SIGN(HF106))*POWER(KOslave_KO,SIGN(HG106))*POWER(KKslave,SIGN(HH106))+HC106*POWER(MUslave,SIGN(HA106))*POWER(KLslave,SIGN(HB106))*POWER(CHslave,SIGN(HD106))*POWER(FFslave,SIGN(HE106))*POWER(GEslave,SIGN(HF106))*POWER(KOslave_KO,SIGN(HG106))*POWER(KKslave,SIGN(HH106))+HD106*POWER(MUslave,SIGN(HA106))*POWER(KLslave,SIGN(HB106))*POWER(INslave,SIGN(HC106))*POWER(FFslave,SIGN(HE106))*POWER(GEslave,SIGN(HF106))*POWER(KOslave_KO,SIGN(HG106))*POWER(KKslave,SIGN(HH106))+HE106*POWER(MUslave,SIGN(HA106))*POWER(KLslave,SIGN(HB106))*POWER(INslave,SIGN(HC106))*POWER(CHslave,SIGN(HD106))*POWER(GEslave,SIGN(HF106))*POWER(KOslave_KO,SIGN(HG106))*POWER(KKslave,SIGN(HH106))+HF106*POWER(MUslave,SIGN(HA106))*POWER(KLslave,SIGN(HB106))*POWER(INslave,SIGN(HC106))*POWER(CHslave,SIGN(HD106))*POWER(FFslave,SIGN(HE106))*POWER(KOslave_KO,SIGN(HG106))*POWER(KKslave,SIGN(HH106))+HG106*POWER(MUslave,SIGN(HA106))*POWER(KLslave,SIGN(HB106))*POWER(INslave,SIGN(HC106))*POWER(CHslave,SIGN(HD106))*POWER(FFslave,SIGN(HE106))*POWER(GEslave,SIGN(HF106))*POWER(KKslave,SIGN(HH106))+HH106*POWER(MUslave,SIGN(HA106))*POWER(KLslave,SIGN(HB106))*POWER(INslave,SIGN(HC106))*POWER(CHslave,SIGN(HD106))*POWER(FFslave,SIGN(HE106))*POWER(GEslave,SIGN(HF106))*POWER(KOslave_KO,SIGN(HG106))</f>
        <v>2304</v>
      </c>
      <c r="HM106" s="254">
        <f>HB106*HD106*KKslave+HB106*CHslave*HH106+KLslave*HD106*HH106</f>
        <v>3456</v>
      </c>
      <c r="HN106" s="224">
        <f>IFERROR(HA106^SIGN(HA106),1)*IFERROR(HB106^SIGN(HB106),1)*IFERROR(HC106^SIGN(HC106),1)*IFERROR(HD106^SIGN(HD106),1)*IFERROR(HE106^SIGN(HE106),1)*IFERROR(HF106^SIGN(HF106),1)*IFERROR(HG106^SIGN(HG106),1)*IFERROR(HH106^SIGN(HH106),1)</f>
        <v>1728</v>
      </c>
      <c r="HO106" s="224">
        <f t="shared" si="891"/>
        <v>7488</v>
      </c>
      <c r="HP106" s="222">
        <f t="shared" si="892"/>
        <v>3.6923076923076925</v>
      </c>
      <c r="HQ106" s="223">
        <f t="shared" si="893"/>
        <v>11.076923076923077</v>
      </c>
      <c r="HR106" s="243">
        <f t="shared" si="894"/>
        <v>8.3076923076923084</v>
      </c>
      <c r="HS106" s="243">
        <f t="shared" si="895"/>
        <v>23.07692307692308</v>
      </c>
      <c r="HT106" s="252">
        <f t="shared" si="896"/>
        <v>0</v>
      </c>
      <c r="HU106" s="309">
        <f t="shared" si="897"/>
        <v>23.07692307692308</v>
      </c>
      <c r="HV106" s="218">
        <f t="shared" si="934"/>
        <v>175.5384615384616</v>
      </c>
      <c r="HW106" s="242">
        <f t="shared" si="935"/>
        <v>2</v>
      </c>
      <c r="HX106" s="243">
        <f t="shared" si="898"/>
        <v>173.5384615384616</v>
      </c>
      <c r="HY106" s="218">
        <f t="shared" si="899"/>
        <v>0</v>
      </c>
      <c r="IA106" s="303" t="s">
        <v>356</v>
      </c>
      <c r="IB106" s="304" t="s">
        <v>438</v>
      </c>
      <c r="IC106" s="305" t="s">
        <v>132</v>
      </c>
      <c r="ID106" s="317"/>
      <c r="IE106" s="254">
        <f t="shared" si="919"/>
        <v>12</v>
      </c>
      <c r="IF106" s="254"/>
      <c r="IG106" s="254">
        <f t="shared" ref="IG106:IG111" si="954">Konvention_1slave-CHslave</f>
        <v>12</v>
      </c>
      <c r="IH106" s="254"/>
      <c r="II106" s="254"/>
      <c r="IJ106" s="254"/>
      <c r="IK106" s="318">
        <f>Konvention_1slave-KKslave_KK</f>
        <v>11</v>
      </c>
      <c r="IL106" s="223">
        <f>(ID106+IE106+IF106+IG106+IH106+II106+IJ106+IK106)/3</f>
        <v>11.666666666666666</v>
      </c>
      <c r="IM106" s="223">
        <f t="shared" si="900"/>
        <v>23.333333333333332</v>
      </c>
      <c r="IN106" s="224">
        <f t="shared" si="901"/>
        <v>35</v>
      </c>
      <c r="IO106" s="237">
        <f t="shared" ref="IO106:IO126" si="955">ID106*POWER(KLslave,SIGN(IE106))*POWER(INslave,SIGN(IF106))*POWER(CHslave,SIGN(IG106))*POWER(FFslave,SIGN(IH106))*POWER(GEslave,SIGN(II106))*POWER(KOslave,SIGN(IJ106))*POWER(KKslave_KK,SIGN(IK106))+IE106*POWER(MUslave,SIGN(ID106))*POWER(INslave,SIGN(IF106))*POWER(CHslave,SIGN(IG106))*POWER(FFslave,SIGN(IH106))*POWER(GEslave,SIGN(II106))*POWER(KOslave,SIGN(IJ106))*POWER(KKslave_KK,SIGN(IK106))+IF106*POWER(MUslave,SIGN(ID106))*POWER(KLslave,SIGN(IE106))*POWER(CHslave,SIGN(IG106))*POWER(FFslave,SIGN(IH106))*POWER(GEslave,SIGN(II106))*POWER(KOslave,SIGN(IJ106))*POWER(KKslave_KK,SIGN(IK106))+IG106*POWER(MUslave,SIGN(ID106))*POWER(KLslave,SIGN(IE106))*POWER(INslave,SIGN(IF106))*POWER(FFslave,SIGN(IH106))*POWER(GEslave,SIGN(II106))*POWER(KOslave,SIGN(IJ106))*POWER(KKslave_KK,SIGN(IK106))+IH106*POWER(MUslave,SIGN(ID106))*POWER(KLslave,SIGN(IE106))*POWER(INslave,SIGN(IF106))*POWER(CHslave,SIGN(IG106))*POWER(GEslave,SIGN(II106))*POWER(KOslave,SIGN(IJ106))*POWER(KKslave_KK,SIGN(IK106))+II106*POWER(MUslave,SIGN(ID106))*POWER(KLslave,SIGN(IE106))*POWER(INslave,SIGN(IF106))*POWER(CHslave,SIGN(IG106))*POWER(FFslave,SIGN(IH106))*POWER(KOslave,SIGN(IJ106))*POWER(KKslave_KK,SIGN(IK106))+IJ106*POWER(MUslave,SIGN(ID106))*POWER(KLslave,SIGN(IE106))*POWER(INslave,SIGN(IF106))*POWER(CHslave,SIGN(IG106))*POWER(FFslave,SIGN(IH106))*POWER(GEslave,SIGN(II106))*POWER(KKslave_KK,SIGN(IK106))+IK106*POWER(MUslave,SIGN(ID106))*POWER(KLslave,SIGN(IE106))*POWER(INslave,SIGN(IF106))*POWER(CHslave,SIGN(IG106))*POWER(FFslave,SIGN(IH106))*POWER(GEslave,SIGN(II106))*POWER(KOslave,SIGN(IJ106))</f>
        <v>2432</v>
      </c>
      <c r="IP106" s="254">
        <f>IE106*IG106*KKslave_KK+IE106*CHslave*IK106+KLslave*IG106*IK106</f>
        <v>3408</v>
      </c>
      <c r="IQ106" s="224">
        <f>IFERROR(ID106^SIGN(ID106),1)*IFERROR(IE106^SIGN(IE106),1)*IFERROR(IF106^SIGN(IF106),1)*IFERROR(IG106^SIGN(IG106),1)*IFERROR(IH106^SIGN(IH106),1)*IFERROR(II106^SIGN(II106),1)*IFERROR(IJ106^SIGN(IJ106),1)*IFERROR(IK106^SIGN(IK106),1)</f>
        <v>1584</v>
      </c>
      <c r="IR106" s="224">
        <f t="shared" si="902"/>
        <v>7424</v>
      </c>
      <c r="IS106" s="222">
        <f t="shared" si="903"/>
        <v>3.8218390804597702</v>
      </c>
      <c r="IT106" s="223">
        <f t="shared" si="904"/>
        <v>10.711206896551724</v>
      </c>
      <c r="IU106" s="243">
        <f t="shared" si="905"/>
        <v>7.4676724137931032</v>
      </c>
      <c r="IV106" s="243">
        <f t="shared" si="906"/>
        <v>22.000718390804597</v>
      </c>
      <c r="IW106" s="252">
        <f t="shared" si="907"/>
        <v>0</v>
      </c>
      <c r="IX106" s="309">
        <f t="shared" si="908"/>
        <v>22.000718390804597</v>
      </c>
      <c r="IY106" s="218">
        <f t="shared" si="936"/>
        <v>154.01436781609189</v>
      </c>
      <c r="IZ106" s="242">
        <f t="shared" si="937"/>
        <v>2</v>
      </c>
      <c r="JA106" s="243">
        <f t="shared" si="909"/>
        <v>152.01436781609189</v>
      </c>
      <c r="JB106" s="218">
        <f t="shared" si="910"/>
        <v>0</v>
      </c>
      <c r="JE106" s="148"/>
    </row>
    <row r="107" spans="2:265" ht="15" hidden="1" customHeight="1" outlineLevel="2">
      <c r="B107" s="148">
        <v>8</v>
      </c>
      <c r="C107" s="303" t="e">
        <f>VLOOKUP(AF107,Attribute!C:T,1,FALSE)</f>
        <v>#N/A</v>
      </c>
      <c r="D107" s="86" t="s">
        <v>87</v>
      </c>
      <c r="E107" s="167" t="s">
        <v>132</v>
      </c>
      <c r="F107" s="120"/>
      <c r="G107" s="117">
        <f t="shared" si="911"/>
        <v>12</v>
      </c>
      <c r="H107" s="117">
        <f t="shared" ref="H107:H114" si="956">Konvention_1master-INmaster</f>
        <v>12</v>
      </c>
      <c r="I107" s="117">
        <f t="shared" si="938"/>
        <v>12</v>
      </c>
      <c r="J107" s="117"/>
      <c r="K107" s="117"/>
      <c r="L107" s="117"/>
      <c r="M107" s="121"/>
      <c r="N107" s="223">
        <f t="shared" ref="N107:N126" si="957">(F107+G107+H107+I107+J107+K107+L107+M107)/3</f>
        <v>12</v>
      </c>
      <c r="O107" s="223">
        <f t="shared" ref="O107:O126" si="958">2*N107</f>
        <v>24</v>
      </c>
      <c r="P107" s="224">
        <f t="shared" ref="P107:P126" si="959">3*N107</f>
        <v>36</v>
      </c>
      <c r="Q107" s="237">
        <f t="shared" ref="Q107:Q121" si="960">F107*POWER(KLmaster,SIGN(G107))*POWER(INmaster,SIGN(H107))*POWER(CHmaster,SIGN(I107))*POWER(FFmaster,SIGN(J107))*POWER(GEmaster,SIGN(K107))*POWER(KOmaster,SIGN(L107))*POWER(KKmaster,SIGN(M107))+G107*POWER(MUmaster,SIGN(F107))*POWER(INmaster,SIGN(H107))*POWER(CHmaster,SIGN(I107))*POWER(FFmaster,SIGN(J107))*POWER(GEmaster,SIGN(K107))*POWER(KOmaster,SIGN(L107))*POWER(KKmaster,SIGN(M107))+H107*POWER(MUmaster,SIGN(F107))*POWER(KLmaster,SIGN(G107))*POWER(CHmaster,SIGN(I107))*POWER(FFmaster,SIGN(J107))*POWER(GEmaster,SIGN(K107))*POWER(KOmaster,SIGN(L107))*POWER(KKmaster,SIGN(M107))+I107*POWER(MUmaster,SIGN(F107))*POWER(KLmaster,SIGN(G107))*POWER(INmaster,SIGN(H107))*POWER(FFmaster,SIGN(J107))*POWER(GEmaster,SIGN(K107))*POWER(KOmaster,SIGN(L107))*POWER(KKmaster,SIGN(M107))+J107*POWER(MUmaster,SIGN(F107))*POWER(KLmaster,SIGN(G107))*POWER(INmaster,SIGN(H107))*POWER(CHmaster,SIGN(I107))*POWER(GEmaster,SIGN(K107))*POWER(KOmaster,SIGN(L107))*POWER(KKmaster,SIGN(M107))+K107*POWER(MUmaster,SIGN(F107))*POWER(KLmaster,SIGN(G107))*POWER(INmaster,SIGN(H107))*POWER(CHmaster,SIGN(I107))*POWER(FFmaster,SIGN(J107))*POWER(KOmaster,SIGN(L107))*POWER(KKmaster,SIGN(M107))+L107*POWER(MUmaster,SIGN(F107))*POWER(KLmaster,SIGN(G107))*POWER(INmaster,SIGN(H107))*POWER(CHmaster,SIGN(I107))*POWER(FFmaster,SIGN(J107))*POWER(GEmaster,SIGN(K107))*POWER(KKmaster,SIGN(M107))+M107*POWER(MUmaster,SIGN(F107))*POWER(KLmaster,SIGN(G107))*POWER(INmaster,SIGN(H107))*POWER(CHmaster,SIGN(I107))*POWER(FFmaster,SIGN(J107))*POWER(GEmaster,SIGN(K107))*POWER(KOmaster,SIGN(L107))</f>
        <v>2304</v>
      </c>
      <c r="R107" s="117">
        <f>G107*H107*CHmaster+G107*INmaster*I107+KLmaster*H107*I107</f>
        <v>3456</v>
      </c>
      <c r="S107" s="224">
        <f t="shared" si="939"/>
        <v>1728</v>
      </c>
      <c r="T107" s="224">
        <f t="shared" ref="T107:T114" si="961">SUM(Q107:S107)</f>
        <v>7488</v>
      </c>
      <c r="U107" s="222">
        <f t="shared" ref="U107:U125" si="962">N107*Q107/T107</f>
        <v>3.6923076923076925</v>
      </c>
      <c r="V107" s="223">
        <f t="shared" ref="V107:V125" si="963">O107*R107/T107</f>
        <v>11.076923076923077</v>
      </c>
      <c r="W107" s="243">
        <f t="shared" ref="W107:W125" si="964">P107*S107/T107</f>
        <v>8.3076923076923084</v>
      </c>
      <c r="X107" s="243">
        <f t="shared" ref="X107:X125" si="965">SUM(U107:W107)</f>
        <v>23.07692307692308</v>
      </c>
      <c r="Y107" s="252">
        <v>0</v>
      </c>
      <c r="Z107" s="198">
        <f t="shared" ref="Z107:Z125" si="966">X107-Y107</f>
        <v>23.07692307692308</v>
      </c>
      <c r="AA107" s="125">
        <f t="shared" si="920"/>
        <v>175.5384615384616</v>
      </c>
      <c r="AB107" s="160">
        <f t="shared" si="921"/>
        <v>2</v>
      </c>
      <c r="AC107" s="127">
        <f t="shared" ref="AC107:AC126" si="967">IF((AA107-AB107)&gt;0,AA107-AB107,0)</f>
        <v>173.5384615384616</v>
      </c>
      <c r="AD107" s="125">
        <f t="shared" ref="AD107:AD126" si="968">IF((AB107-AA107)&gt;0,AB107-AA107,0)</f>
        <v>0</v>
      </c>
      <c r="AF107" s="163" t="s">
        <v>285</v>
      </c>
      <c r="AG107" s="86" t="s">
        <v>87</v>
      </c>
      <c r="AH107" s="167" t="s">
        <v>132</v>
      </c>
      <c r="AI107" s="120"/>
      <c r="AJ107" s="117">
        <f t="shared" si="912"/>
        <v>12</v>
      </c>
      <c r="AK107" s="117">
        <f t="shared" ref="AK107:AK114" si="969">Konvention_1slave-INslave</f>
        <v>12</v>
      </c>
      <c r="AL107" s="117">
        <f t="shared" si="940"/>
        <v>12</v>
      </c>
      <c r="AM107" s="117"/>
      <c r="AN107" s="117"/>
      <c r="AO107" s="117"/>
      <c r="AP107" s="121"/>
      <c r="AQ107" s="47">
        <f t="shared" ref="AQ107:AQ126" si="970">(AI107+AJ107+AK107+AL107+AM107+AN107+AO107+AP107)/3</f>
        <v>12</v>
      </c>
      <c r="AR107" s="3">
        <f t="shared" ref="AR107:AR126" si="971">2*AQ107</f>
        <v>24</v>
      </c>
      <c r="AS107" s="174">
        <f t="shared" ref="AS107:AS126" si="972">3*AQ107</f>
        <v>36</v>
      </c>
      <c r="AT107" s="114">
        <f t="shared" si="941"/>
        <v>2304</v>
      </c>
      <c r="AU107" s="117">
        <f>AJ107*AK107*CHslave+AJ107*INslave*AL107+KLslave*AK107*AL107</f>
        <v>3456</v>
      </c>
      <c r="AV107" s="119">
        <f t="shared" ref="AV107:AV126" si="973">IFERROR(AI107^SIGN(AI107),1)*IFERROR(AJ107^SIGN(AJ107),1)*IFERROR(AK107^SIGN(AK107),1)*IFERROR(AL107^SIGN(AL107),1)*IFERROR(AM107^SIGN(AM107),1)*IFERROR(AN107^SIGN(AN107),1)*IFERROR(AO107^SIGN(AO107),1)*IFERROR(AP107^SIGN(AP107),1)</f>
        <v>1728</v>
      </c>
      <c r="AW107" s="119">
        <f t="shared" ref="AW107:AW114" si="974">SUM(AT107:AV107)</f>
        <v>7488</v>
      </c>
      <c r="AX107" s="89">
        <f t="shared" ref="AX107:AX125" si="975">AQ107*AT107/AW107</f>
        <v>3.6923076923076925</v>
      </c>
      <c r="AY107" s="47">
        <f t="shared" ref="AY107:AY125" si="976">AR107*AU107/AW107</f>
        <v>11.076923076923077</v>
      </c>
      <c r="AZ107" s="127">
        <f t="shared" ref="AZ107:AZ125" si="977">AS107*AV107/AW107</f>
        <v>8.3076923076923084</v>
      </c>
      <c r="BA107" s="127">
        <f t="shared" ref="BA107:BA125" si="978">SUM(AX107:AZ107)</f>
        <v>23.07692307692308</v>
      </c>
      <c r="BB107" s="165">
        <f t="shared" si="830"/>
        <v>0</v>
      </c>
      <c r="BC107" s="198">
        <f t="shared" ref="BC107:BC126" si="979">BA107-BB107</f>
        <v>23.07692307692308</v>
      </c>
      <c r="BD107" s="125">
        <f t="shared" si="922"/>
        <v>175.5384615384616</v>
      </c>
      <c r="BE107" s="160">
        <f t="shared" si="923"/>
        <v>2</v>
      </c>
      <c r="BF107" s="243">
        <f t="shared" ref="BF107:BF126" si="980">IF((BD107-BE107)&gt;0,BD107-BE107,0)</f>
        <v>173.5384615384616</v>
      </c>
      <c r="BG107" s="218">
        <f t="shared" ref="BG107:BG126" si="981">IF((BE107-BD107)&gt;0,BE107-BD107,0)</f>
        <v>0</v>
      </c>
      <c r="BI107" s="303" t="s">
        <v>285</v>
      </c>
      <c r="BJ107" s="304" t="s">
        <v>87</v>
      </c>
      <c r="BK107" s="305" t="s">
        <v>132</v>
      </c>
      <c r="BL107" s="317"/>
      <c r="BM107" s="254">
        <f t="shared" si="913"/>
        <v>11</v>
      </c>
      <c r="BN107" s="254">
        <f t="shared" ref="BN107:BN114" si="982">Konvention_1slave-INslave</f>
        <v>12</v>
      </c>
      <c r="BO107" s="254">
        <f t="shared" si="942"/>
        <v>12</v>
      </c>
      <c r="BP107" s="254"/>
      <c r="BQ107" s="254"/>
      <c r="BR107" s="254"/>
      <c r="BS107" s="318"/>
      <c r="BT107" s="223">
        <f t="shared" ref="BT107:BT126" si="983">(BL107+BM107+BN107+BO107+BP107+BQ107+BR107+BS107)/3</f>
        <v>11.666666666666666</v>
      </c>
      <c r="BU107" s="223">
        <f t="shared" ref="BU107:BU126" si="984">2*BT107</f>
        <v>23.333333333333332</v>
      </c>
      <c r="BV107" s="224">
        <f t="shared" ref="BV107:BV126" si="985">3*BT107</f>
        <v>35</v>
      </c>
      <c r="BW107" s="237">
        <f t="shared" si="943"/>
        <v>2432</v>
      </c>
      <c r="BX107" s="254">
        <f>BM107*BN107*CHslave+BM107*INslave*BO107+KLslave_KL*BN107*BO107</f>
        <v>3408</v>
      </c>
      <c r="BY107" s="224">
        <f t="shared" ref="BY107:BY126" si="986">IFERROR(BL107^SIGN(BL107),1)*IFERROR(BM107^SIGN(BM107),1)*IFERROR(BN107^SIGN(BN107),1)*IFERROR(BO107^SIGN(BO107),1)*IFERROR(BP107^SIGN(BP107),1)*IFERROR(BQ107^SIGN(BQ107),1)*IFERROR(BR107^SIGN(BR107),1)*IFERROR(BS107^SIGN(BS107),1)</f>
        <v>1584</v>
      </c>
      <c r="BZ107" s="224">
        <f t="shared" ref="BZ107:BZ114" si="987">SUM(BW107:BY107)</f>
        <v>7424</v>
      </c>
      <c r="CA107" s="222">
        <f t="shared" ref="CA107:CA125" si="988">BT107*BW107/BZ107</f>
        <v>3.8218390804597702</v>
      </c>
      <c r="CB107" s="223">
        <f t="shared" ref="CB107:CB125" si="989">BU107*BX107/BZ107</f>
        <v>10.711206896551724</v>
      </c>
      <c r="CC107" s="243">
        <f t="shared" ref="CC107:CC125" si="990">BV107*BY107/BZ107</f>
        <v>7.4676724137931032</v>
      </c>
      <c r="CD107" s="243">
        <f t="shared" ref="CD107:CD125" si="991">SUM(CA107:CC107)</f>
        <v>22.000718390804597</v>
      </c>
      <c r="CE107" s="252">
        <f t="shared" si="841"/>
        <v>0</v>
      </c>
      <c r="CF107" s="309">
        <f t="shared" ref="CF107:CF126" si="992">CD107-CE107</f>
        <v>22.000718390804597</v>
      </c>
      <c r="CG107" s="218">
        <f t="shared" si="924"/>
        <v>154.01436781609189</v>
      </c>
      <c r="CH107" s="242">
        <f t="shared" si="925"/>
        <v>2</v>
      </c>
      <c r="CI107" s="243">
        <f t="shared" ref="CI107:CI126" si="993">IF((CG107-CH107)&gt;0,CG107-CH107,0)</f>
        <v>152.01436781609189</v>
      </c>
      <c r="CJ107" s="218">
        <f t="shared" ref="CJ107:CJ126" si="994">IF((CH107-CG107)&gt;0,CH107-CG107,0)</f>
        <v>0</v>
      </c>
      <c r="CL107" s="303" t="s">
        <v>285</v>
      </c>
      <c r="CM107" s="304" t="s">
        <v>87</v>
      </c>
      <c r="CN107" s="305" t="s">
        <v>132</v>
      </c>
      <c r="CO107" s="317"/>
      <c r="CP107" s="254">
        <f t="shared" si="914"/>
        <v>12</v>
      </c>
      <c r="CQ107" s="254">
        <f t="shared" ref="CQ107:CQ114" si="995">Konvention_1slave-INslave_IN</f>
        <v>11</v>
      </c>
      <c r="CR107" s="254">
        <f t="shared" si="944"/>
        <v>12</v>
      </c>
      <c r="CS107" s="254"/>
      <c r="CT107" s="254"/>
      <c r="CU107" s="254"/>
      <c r="CV107" s="318"/>
      <c r="CW107" s="223">
        <f t="shared" ref="CW107:CW126" si="996">(CO107+CP107+CQ107+CR107+CS107+CT107+CU107+CV107)/3</f>
        <v>11.666666666666666</v>
      </c>
      <c r="CX107" s="223">
        <f t="shared" ref="CX107:CX126" si="997">2*CW107</f>
        <v>23.333333333333332</v>
      </c>
      <c r="CY107" s="224">
        <f t="shared" ref="CY107:CY126" si="998">3*CW107</f>
        <v>35</v>
      </c>
      <c r="CZ107" s="237">
        <f t="shared" si="945"/>
        <v>2432</v>
      </c>
      <c r="DA107" s="254">
        <f>CP107*CQ107*CHslave+CP107*INslave_IN*CR107+KLslave*CQ107*CR107</f>
        <v>3408</v>
      </c>
      <c r="DB107" s="224">
        <f t="shared" ref="DB107:DB126" si="999">IFERROR(CO107^SIGN(CO107),1)*IFERROR(CP107^SIGN(CP107),1)*IFERROR(CQ107^SIGN(CQ107),1)*IFERROR(CR107^SIGN(CR107),1)*IFERROR(CS107^SIGN(CS107),1)*IFERROR(CT107^SIGN(CT107),1)*IFERROR(CU107^SIGN(CU107),1)*IFERROR(CV107^SIGN(CV107),1)</f>
        <v>1584</v>
      </c>
      <c r="DC107" s="224">
        <f t="shared" ref="DC107:DC114" si="1000">SUM(CZ107:DB107)</f>
        <v>7424</v>
      </c>
      <c r="DD107" s="222">
        <f t="shared" ref="DD107:DD125" si="1001">CW107*CZ107/DC107</f>
        <v>3.8218390804597702</v>
      </c>
      <c r="DE107" s="223">
        <f t="shared" ref="DE107:DE125" si="1002">CX107*DA107/DC107</f>
        <v>10.711206896551724</v>
      </c>
      <c r="DF107" s="243">
        <f t="shared" ref="DF107:DF125" si="1003">CY107*DB107/DC107</f>
        <v>7.4676724137931032</v>
      </c>
      <c r="DG107" s="243">
        <f t="shared" ref="DG107:DG125" si="1004">SUM(DD107:DF107)</f>
        <v>22.000718390804597</v>
      </c>
      <c r="DH107" s="252">
        <f t="shared" si="852"/>
        <v>0</v>
      </c>
      <c r="DI107" s="309">
        <f t="shared" ref="DI107:DI126" si="1005">DG107-DH107</f>
        <v>22.000718390804597</v>
      </c>
      <c r="DJ107" s="218">
        <f t="shared" si="926"/>
        <v>154.01436781609189</v>
      </c>
      <c r="DK107" s="242">
        <f t="shared" si="927"/>
        <v>2</v>
      </c>
      <c r="DL107" s="243">
        <f t="shared" ref="DL107:DL126" si="1006">IF((DJ107-DK107)&gt;0,DJ107-DK107,0)</f>
        <v>152.01436781609189</v>
      </c>
      <c r="DM107" s="218">
        <f t="shared" ref="DM107:DM126" si="1007">IF((DK107-DJ107)&gt;0,DK107-DJ107,0)</f>
        <v>0</v>
      </c>
      <c r="DO107" s="303" t="s">
        <v>285</v>
      </c>
      <c r="DP107" s="304" t="s">
        <v>87</v>
      </c>
      <c r="DQ107" s="305" t="s">
        <v>132</v>
      </c>
      <c r="DR107" s="317"/>
      <c r="DS107" s="254">
        <f t="shared" si="915"/>
        <v>12</v>
      </c>
      <c r="DT107" s="254">
        <f t="shared" ref="DT107:DT114" si="1008">Konvention_1slave-INslave</f>
        <v>12</v>
      </c>
      <c r="DU107" s="254">
        <f t="shared" si="946"/>
        <v>11</v>
      </c>
      <c r="DV107" s="254"/>
      <c r="DW107" s="254"/>
      <c r="DX107" s="254"/>
      <c r="DY107" s="318"/>
      <c r="DZ107" s="223">
        <f t="shared" ref="DZ107:DZ126" si="1009">(DR107+DS107+DT107+DU107+DV107+DW107+DX107+DY107)/3</f>
        <v>11.666666666666666</v>
      </c>
      <c r="EA107" s="223">
        <f t="shared" ref="EA107:EA126" si="1010">2*DZ107</f>
        <v>23.333333333333332</v>
      </c>
      <c r="EB107" s="224">
        <f t="shared" ref="EB107:EB126" si="1011">3*DZ107</f>
        <v>35</v>
      </c>
      <c r="EC107" s="237">
        <f t="shared" si="947"/>
        <v>2432</v>
      </c>
      <c r="ED107" s="254">
        <f>DS107*DT107*CHslave_CH+DS107*INslave*DU107+KLslave*DT107*DU107</f>
        <v>3408</v>
      </c>
      <c r="EE107" s="224">
        <f t="shared" ref="EE107:EE126" si="1012">IFERROR(DR107^SIGN(DR107),1)*IFERROR(DS107^SIGN(DS107),1)*IFERROR(DT107^SIGN(DT107),1)*IFERROR(DU107^SIGN(DU107),1)*IFERROR(DV107^SIGN(DV107),1)*IFERROR(DW107^SIGN(DW107),1)*IFERROR(DX107^SIGN(DX107),1)*IFERROR(DY107^SIGN(DY107),1)</f>
        <v>1584</v>
      </c>
      <c r="EF107" s="224">
        <f t="shared" ref="EF107:EF114" si="1013">SUM(EC107:EE107)</f>
        <v>7424</v>
      </c>
      <c r="EG107" s="222">
        <f t="shared" ref="EG107:EG125" si="1014">DZ107*EC107/EF107</f>
        <v>3.8218390804597702</v>
      </c>
      <c r="EH107" s="223">
        <f t="shared" ref="EH107:EH125" si="1015">EA107*ED107/EF107</f>
        <v>10.711206896551724</v>
      </c>
      <c r="EI107" s="243">
        <f t="shared" ref="EI107:EI125" si="1016">EB107*EE107/EF107</f>
        <v>7.4676724137931032</v>
      </c>
      <c r="EJ107" s="243">
        <f t="shared" ref="EJ107:EJ125" si="1017">SUM(EG107:EI107)</f>
        <v>22.000718390804597</v>
      </c>
      <c r="EK107" s="252">
        <f t="shared" si="863"/>
        <v>0</v>
      </c>
      <c r="EL107" s="309">
        <f t="shared" ref="EL107:EL126" si="1018">EJ107-EK107</f>
        <v>22.000718390804597</v>
      </c>
      <c r="EM107" s="218">
        <f t="shared" si="928"/>
        <v>154.01436781609189</v>
      </c>
      <c r="EN107" s="242">
        <f t="shared" si="929"/>
        <v>2</v>
      </c>
      <c r="EO107" s="243">
        <f t="shared" ref="EO107:EO126" si="1019">IF((EM107-EN107)&gt;0,EM107-EN107,0)</f>
        <v>152.01436781609189</v>
      </c>
      <c r="EP107" s="218">
        <f t="shared" ref="EP107:EP126" si="1020">IF((EN107-EM107)&gt;0,EN107-EM107,0)</f>
        <v>0</v>
      </c>
      <c r="ER107" s="303" t="s">
        <v>285</v>
      </c>
      <c r="ES107" s="304" t="s">
        <v>87</v>
      </c>
      <c r="ET107" s="305" t="s">
        <v>132</v>
      </c>
      <c r="EU107" s="317"/>
      <c r="EV107" s="254">
        <f t="shared" si="916"/>
        <v>12</v>
      </c>
      <c r="EW107" s="254">
        <f t="shared" ref="EW107:EW114" si="1021">Konvention_1slave-INslave</f>
        <v>12</v>
      </c>
      <c r="EX107" s="254">
        <f t="shared" si="948"/>
        <v>12</v>
      </c>
      <c r="EY107" s="254"/>
      <c r="EZ107" s="254"/>
      <c r="FA107" s="254"/>
      <c r="FB107" s="318"/>
      <c r="FC107" s="223">
        <f t="shared" ref="FC107:FC126" si="1022">(EU107+EV107+EW107+EX107+EY107+EZ107+FA107+FB107)/3</f>
        <v>12</v>
      </c>
      <c r="FD107" s="223">
        <f t="shared" ref="FD107:FD126" si="1023">2*FC107</f>
        <v>24</v>
      </c>
      <c r="FE107" s="224">
        <f t="shared" ref="FE107:FE126" si="1024">3*FC107</f>
        <v>36</v>
      </c>
      <c r="FF107" s="237">
        <f t="shared" si="949"/>
        <v>2304</v>
      </c>
      <c r="FG107" s="254">
        <f>EV107*EW107*CHslave+EV107*INslave*EX107+KLslave*EW107*EX107</f>
        <v>3456</v>
      </c>
      <c r="FH107" s="224">
        <f t="shared" ref="FH107:FH126" si="1025">IFERROR(EU107^SIGN(EU107),1)*IFERROR(EV107^SIGN(EV107),1)*IFERROR(EW107^SIGN(EW107),1)*IFERROR(EX107^SIGN(EX107),1)*IFERROR(EY107^SIGN(EY107),1)*IFERROR(EZ107^SIGN(EZ107),1)*IFERROR(FA107^SIGN(FA107),1)*IFERROR(FB107^SIGN(FB107),1)</f>
        <v>1728</v>
      </c>
      <c r="FI107" s="224">
        <f t="shared" ref="FI107:FI114" si="1026">SUM(FF107:FH107)</f>
        <v>7488</v>
      </c>
      <c r="FJ107" s="222">
        <f t="shared" ref="FJ107:FJ125" si="1027">FC107*FF107/FI107</f>
        <v>3.6923076923076925</v>
      </c>
      <c r="FK107" s="223">
        <f t="shared" ref="FK107:FK125" si="1028">FD107*FG107/FI107</f>
        <v>11.076923076923077</v>
      </c>
      <c r="FL107" s="243">
        <f t="shared" ref="FL107:FL125" si="1029">FE107*FH107/FI107</f>
        <v>8.3076923076923084</v>
      </c>
      <c r="FM107" s="243">
        <f t="shared" ref="FM107:FM125" si="1030">SUM(FJ107:FL107)</f>
        <v>23.07692307692308</v>
      </c>
      <c r="FN107" s="252">
        <f t="shared" si="874"/>
        <v>0</v>
      </c>
      <c r="FO107" s="309">
        <f t="shared" ref="FO107:FO126" si="1031">FM107-FN107</f>
        <v>23.07692307692308</v>
      </c>
      <c r="FP107" s="218">
        <f t="shared" si="930"/>
        <v>175.5384615384616</v>
      </c>
      <c r="FQ107" s="242">
        <f t="shared" si="931"/>
        <v>2</v>
      </c>
      <c r="FR107" s="243">
        <f t="shared" ref="FR107:FR126" si="1032">IF((FP107-FQ107)&gt;0,FP107-FQ107,0)</f>
        <v>173.5384615384616</v>
      </c>
      <c r="FS107" s="218">
        <f t="shared" ref="FS107:FS126" si="1033">IF((FQ107-FP107)&gt;0,FQ107-FP107,0)</f>
        <v>0</v>
      </c>
      <c r="FU107" s="303" t="s">
        <v>285</v>
      </c>
      <c r="FV107" s="304" t="s">
        <v>87</v>
      </c>
      <c r="FW107" s="305" t="s">
        <v>132</v>
      </c>
      <c r="FX107" s="317"/>
      <c r="FY107" s="254">
        <f t="shared" si="917"/>
        <v>12</v>
      </c>
      <c r="FZ107" s="254">
        <f t="shared" ref="FZ107:FZ114" si="1034">Konvention_1slave-INslave</f>
        <v>12</v>
      </c>
      <c r="GA107" s="254">
        <f t="shared" si="950"/>
        <v>12</v>
      </c>
      <c r="GB107" s="254"/>
      <c r="GC107" s="254"/>
      <c r="GD107" s="254"/>
      <c r="GE107" s="318"/>
      <c r="GF107" s="223">
        <f t="shared" ref="GF107:GF126" si="1035">(FX107+FY107+FZ107+GA107+GB107+GC107+GD107+GE107)/3</f>
        <v>12</v>
      </c>
      <c r="GG107" s="223">
        <f t="shared" ref="GG107:GG126" si="1036">2*GF107</f>
        <v>24</v>
      </c>
      <c r="GH107" s="224">
        <f t="shared" ref="GH107:GH126" si="1037">3*GF107</f>
        <v>36</v>
      </c>
      <c r="GI107" s="237">
        <f t="shared" si="951"/>
        <v>2304</v>
      </c>
      <c r="GJ107" s="254">
        <f>FY107*FZ107*CHslave+FY107*INslave*GA107+KLslave*FZ107*GA107</f>
        <v>3456</v>
      </c>
      <c r="GK107" s="224">
        <f t="shared" ref="GK107:GK126" si="1038">IFERROR(FX107^SIGN(FX107),1)*IFERROR(FY107^SIGN(FY107),1)*IFERROR(FZ107^SIGN(FZ107),1)*IFERROR(GA107^SIGN(GA107),1)*IFERROR(GB107^SIGN(GB107),1)*IFERROR(GC107^SIGN(GC107),1)*IFERROR(GD107^SIGN(GD107),1)*IFERROR(GE107^SIGN(GE107),1)</f>
        <v>1728</v>
      </c>
      <c r="GL107" s="224">
        <f t="shared" ref="GL107:GL114" si="1039">SUM(GI107:GK107)</f>
        <v>7488</v>
      </c>
      <c r="GM107" s="222">
        <f t="shared" ref="GM107:GM125" si="1040">GF107*GI107/GL107</f>
        <v>3.6923076923076925</v>
      </c>
      <c r="GN107" s="223">
        <f t="shared" ref="GN107:GN125" si="1041">GG107*GJ107/GL107</f>
        <v>11.076923076923077</v>
      </c>
      <c r="GO107" s="243">
        <f t="shared" ref="GO107:GO125" si="1042">GH107*GK107/GL107</f>
        <v>8.3076923076923084</v>
      </c>
      <c r="GP107" s="243">
        <f t="shared" ref="GP107:GP125" si="1043">SUM(GM107:GO107)</f>
        <v>23.07692307692308</v>
      </c>
      <c r="GQ107" s="252">
        <f t="shared" si="885"/>
        <v>0</v>
      </c>
      <c r="GR107" s="309">
        <f t="shared" ref="GR107:GR126" si="1044">GP107-GQ107</f>
        <v>23.07692307692308</v>
      </c>
      <c r="GS107" s="218">
        <f t="shared" si="932"/>
        <v>175.5384615384616</v>
      </c>
      <c r="GT107" s="242">
        <f t="shared" si="933"/>
        <v>2</v>
      </c>
      <c r="GU107" s="243">
        <f t="shared" ref="GU107:GU126" si="1045">IF((GS107-GT107)&gt;0,GS107-GT107,0)</f>
        <v>173.5384615384616</v>
      </c>
      <c r="GV107" s="218">
        <f t="shared" ref="GV107:GV126" si="1046">IF((GT107-GS107)&gt;0,GT107-GS107,0)</f>
        <v>0</v>
      </c>
      <c r="GX107" s="303" t="s">
        <v>285</v>
      </c>
      <c r="GY107" s="304" t="s">
        <v>87</v>
      </c>
      <c r="GZ107" s="305" t="s">
        <v>132</v>
      </c>
      <c r="HA107" s="317"/>
      <c r="HB107" s="254">
        <f t="shared" si="918"/>
        <v>12</v>
      </c>
      <c r="HC107" s="254">
        <f t="shared" ref="HC107:HC114" si="1047">Konvention_1slave-INslave</f>
        <v>12</v>
      </c>
      <c r="HD107" s="254">
        <f t="shared" si="952"/>
        <v>12</v>
      </c>
      <c r="HE107" s="254"/>
      <c r="HF107" s="254"/>
      <c r="HG107" s="254"/>
      <c r="HH107" s="318"/>
      <c r="HI107" s="223">
        <f t="shared" ref="HI107:HI126" si="1048">(HA107+HB107+HC107+HD107+HE107+HF107+HG107+HH107)/3</f>
        <v>12</v>
      </c>
      <c r="HJ107" s="223">
        <f t="shared" ref="HJ107:HJ126" si="1049">2*HI107</f>
        <v>24</v>
      </c>
      <c r="HK107" s="224">
        <f t="shared" ref="HK107:HK126" si="1050">3*HI107</f>
        <v>36</v>
      </c>
      <c r="HL107" s="237">
        <f t="shared" si="953"/>
        <v>2304</v>
      </c>
      <c r="HM107" s="254">
        <f>HB107*HC107*CHslave+HB107*INslave*HD107+KLslave*HC107*HD107</f>
        <v>3456</v>
      </c>
      <c r="HN107" s="224">
        <f t="shared" ref="HN107:HN126" si="1051">IFERROR(HA107^SIGN(HA107),1)*IFERROR(HB107^SIGN(HB107),1)*IFERROR(HC107^SIGN(HC107),1)*IFERROR(HD107^SIGN(HD107),1)*IFERROR(HE107^SIGN(HE107),1)*IFERROR(HF107^SIGN(HF107),1)*IFERROR(HG107^SIGN(HG107),1)*IFERROR(HH107^SIGN(HH107),1)</f>
        <v>1728</v>
      </c>
      <c r="HO107" s="224">
        <f t="shared" ref="HO107:HO114" si="1052">SUM(HL107:HN107)</f>
        <v>7488</v>
      </c>
      <c r="HP107" s="222">
        <f t="shared" ref="HP107:HP125" si="1053">HI107*HL107/HO107</f>
        <v>3.6923076923076925</v>
      </c>
      <c r="HQ107" s="223">
        <f t="shared" ref="HQ107:HQ125" si="1054">HJ107*HM107/HO107</f>
        <v>11.076923076923077</v>
      </c>
      <c r="HR107" s="243">
        <f t="shared" ref="HR107:HR125" si="1055">HK107*HN107/HO107</f>
        <v>8.3076923076923084</v>
      </c>
      <c r="HS107" s="243">
        <f t="shared" ref="HS107:HS125" si="1056">SUM(HP107:HR107)</f>
        <v>23.07692307692308</v>
      </c>
      <c r="HT107" s="252">
        <f t="shared" si="896"/>
        <v>0</v>
      </c>
      <c r="HU107" s="309">
        <f t="shared" ref="HU107:HU126" si="1057">HS107-HT107</f>
        <v>23.07692307692308</v>
      </c>
      <c r="HV107" s="218">
        <f t="shared" si="934"/>
        <v>175.5384615384616</v>
      </c>
      <c r="HW107" s="242">
        <f t="shared" si="935"/>
        <v>2</v>
      </c>
      <c r="HX107" s="243">
        <f t="shared" ref="HX107:HX126" si="1058">IF((HV107-HW107)&gt;0,HV107-HW107,0)</f>
        <v>173.5384615384616</v>
      </c>
      <c r="HY107" s="218">
        <f t="shared" ref="HY107:HY126" si="1059">IF((HW107-HV107)&gt;0,HW107-HV107,0)</f>
        <v>0</v>
      </c>
      <c r="IA107" s="303" t="s">
        <v>285</v>
      </c>
      <c r="IB107" s="304" t="s">
        <v>87</v>
      </c>
      <c r="IC107" s="305" t="s">
        <v>132</v>
      </c>
      <c r="ID107" s="317"/>
      <c r="IE107" s="254">
        <f t="shared" si="919"/>
        <v>12</v>
      </c>
      <c r="IF107" s="254">
        <f t="shared" ref="IF107:IF114" si="1060">Konvention_1slave-INslave</f>
        <v>12</v>
      </c>
      <c r="IG107" s="254">
        <f t="shared" si="954"/>
        <v>12</v>
      </c>
      <c r="IH107" s="254"/>
      <c r="II107" s="254"/>
      <c r="IJ107" s="254"/>
      <c r="IK107" s="318"/>
      <c r="IL107" s="223">
        <f t="shared" ref="IL107:IL126" si="1061">(ID107+IE107+IF107+IG107+IH107+II107+IJ107+IK107)/3</f>
        <v>12</v>
      </c>
      <c r="IM107" s="223">
        <f t="shared" ref="IM107:IM126" si="1062">2*IL107</f>
        <v>24</v>
      </c>
      <c r="IN107" s="224">
        <f t="shared" ref="IN107:IN126" si="1063">3*IL107</f>
        <v>36</v>
      </c>
      <c r="IO107" s="237">
        <f t="shared" si="955"/>
        <v>2304</v>
      </c>
      <c r="IP107" s="254">
        <f>IE107*IF107*CHslave+IE107*INslave*IG107+KLslave*IF107*IG107</f>
        <v>3456</v>
      </c>
      <c r="IQ107" s="224">
        <f t="shared" ref="IQ107:IQ126" si="1064">IFERROR(ID107^SIGN(ID107),1)*IFERROR(IE107^SIGN(IE107),1)*IFERROR(IF107^SIGN(IF107),1)*IFERROR(IG107^SIGN(IG107),1)*IFERROR(IH107^SIGN(IH107),1)*IFERROR(II107^SIGN(II107),1)*IFERROR(IJ107^SIGN(IJ107),1)*IFERROR(IK107^SIGN(IK107),1)</f>
        <v>1728</v>
      </c>
      <c r="IR107" s="224">
        <f t="shared" ref="IR107:IR114" si="1065">SUM(IO107:IQ107)</f>
        <v>7488</v>
      </c>
      <c r="IS107" s="222">
        <f t="shared" ref="IS107:IS125" si="1066">IL107*IO107/IR107</f>
        <v>3.6923076923076925</v>
      </c>
      <c r="IT107" s="223">
        <f t="shared" ref="IT107:IT125" si="1067">IM107*IP107/IR107</f>
        <v>11.076923076923077</v>
      </c>
      <c r="IU107" s="243">
        <f t="shared" ref="IU107:IU125" si="1068">IN107*IQ107/IR107</f>
        <v>8.3076923076923084</v>
      </c>
      <c r="IV107" s="243">
        <f t="shared" ref="IV107:IV125" si="1069">SUM(IS107:IU107)</f>
        <v>23.07692307692308</v>
      </c>
      <c r="IW107" s="252">
        <f t="shared" si="907"/>
        <v>0</v>
      </c>
      <c r="IX107" s="309">
        <f t="shared" ref="IX107:IX126" si="1070">IV107-IW107</f>
        <v>23.07692307692308</v>
      </c>
      <c r="IY107" s="218">
        <f t="shared" si="936"/>
        <v>175.5384615384616</v>
      </c>
      <c r="IZ107" s="242">
        <f t="shared" si="937"/>
        <v>2</v>
      </c>
      <c r="JA107" s="243">
        <f t="shared" ref="JA107:JA126" si="1071">IF((IY107-IZ107)&gt;0,IY107-IZ107,0)</f>
        <v>173.5384615384616</v>
      </c>
      <c r="JB107" s="218">
        <f t="shared" ref="JB107:JB126" si="1072">IF((IZ107-IY107)&gt;0,IZ107-IY107,0)</f>
        <v>0</v>
      </c>
      <c r="JE107" s="148"/>
    </row>
    <row r="108" spans="2:265" hidden="1" outlineLevel="2">
      <c r="B108" s="148">
        <v>9</v>
      </c>
      <c r="C108" s="303" t="e">
        <f>VLOOKUP(AF108,Attribute!C:T,1,FALSE)</f>
        <v>#N/A</v>
      </c>
      <c r="D108" s="86" t="s">
        <v>87</v>
      </c>
      <c r="E108" s="167" t="s">
        <v>132</v>
      </c>
      <c r="F108" s="120"/>
      <c r="G108" s="117">
        <f t="shared" si="911"/>
        <v>12</v>
      </c>
      <c r="H108" s="117">
        <f t="shared" si="956"/>
        <v>12</v>
      </c>
      <c r="I108" s="117">
        <f t="shared" si="938"/>
        <v>12</v>
      </c>
      <c r="J108" s="117"/>
      <c r="K108" s="117"/>
      <c r="L108" s="117"/>
      <c r="M108" s="121"/>
      <c r="N108" s="223">
        <f t="shared" si="957"/>
        <v>12</v>
      </c>
      <c r="O108" s="223">
        <f t="shared" si="958"/>
        <v>24</v>
      </c>
      <c r="P108" s="224">
        <f t="shared" si="959"/>
        <v>36</v>
      </c>
      <c r="Q108" s="237">
        <f t="shared" si="960"/>
        <v>2304</v>
      </c>
      <c r="R108" s="117">
        <f>G108*H108*CHmaster+G108*INmaster*I108+KLmaster*H108*I108</f>
        <v>3456</v>
      </c>
      <c r="S108" s="224">
        <f t="shared" si="939"/>
        <v>1728</v>
      </c>
      <c r="T108" s="224">
        <f>SUM(Q108:S108)</f>
        <v>7488</v>
      </c>
      <c r="U108" s="222">
        <f t="shared" si="962"/>
        <v>3.6923076923076925</v>
      </c>
      <c r="V108" s="223">
        <f t="shared" si="963"/>
        <v>11.076923076923077</v>
      </c>
      <c r="W108" s="243">
        <f t="shared" si="964"/>
        <v>8.3076923076923084</v>
      </c>
      <c r="X108" s="243">
        <f t="shared" si="965"/>
        <v>23.07692307692308</v>
      </c>
      <c r="Y108" s="252">
        <v>0</v>
      </c>
      <c r="Z108" s="198">
        <f t="shared" si="966"/>
        <v>23.07692307692308</v>
      </c>
      <c r="AA108" s="125">
        <f t="shared" si="920"/>
        <v>175.5384615384616</v>
      </c>
      <c r="AB108" s="160">
        <f t="shared" si="921"/>
        <v>2</v>
      </c>
      <c r="AC108" s="127">
        <f t="shared" si="967"/>
        <v>173.5384615384616</v>
      </c>
      <c r="AD108" s="125">
        <f t="shared" si="968"/>
        <v>0</v>
      </c>
      <c r="AF108" s="163" t="s">
        <v>357</v>
      </c>
      <c r="AG108" s="86" t="s">
        <v>87</v>
      </c>
      <c r="AH108" s="167" t="s">
        <v>132</v>
      </c>
      <c r="AI108" s="120"/>
      <c r="AJ108" s="117">
        <f t="shared" si="912"/>
        <v>12</v>
      </c>
      <c r="AK108" s="117">
        <f t="shared" si="969"/>
        <v>12</v>
      </c>
      <c r="AL108" s="117">
        <f t="shared" si="940"/>
        <v>12</v>
      </c>
      <c r="AM108" s="117"/>
      <c r="AN108" s="117"/>
      <c r="AO108" s="117"/>
      <c r="AP108" s="121"/>
      <c r="AQ108" s="47">
        <f t="shared" si="970"/>
        <v>12</v>
      </c>
      <c r="AR108" s="3">
        <f t="shared" si="971"/>
        <v>24</v>
      </c>
      <c r="AS108" s="174">
        <f t="shared" si="972"/>
        <v>36</v>
      </c>
      <c r="AT108" s="114">
        <f t="shared" si="941"/>
        <v>2304</v>
      </c>
      <c r="AU108" s="117">
        <f>AJ108*AK108*CHslave+AJ108*INslave*AL108+KLslave*AK108*AL108</f>
        <v>3456</v>
      </c>
      <c r="AV108" s="119">
        <f t="shared" si="973"/>
        <v>1728</v>
      </c>
      <c r="AW108" s="119">
        <f>SUM(AT108:AV108)</f>
        <v>7488</v>
      </c>
      <c r="AX108" s="89">
        <f t="shared" si="975"/>
        <v>3.6923076923076925</v>
      </c>
      <c r="AY108" s="47">
        <f t="shared" si="976"/>
        <v>11.076923076923077</v>
      </c>
      <c r="AZ108" s="127">
        <f t="shared" si="977"/>
        <v>8.3076923076923084</v>
      </c>
      <c r="BA108" s="127">
        <f t="shared" si="978"/>
        <v>23.07692307692308</v>
      </c>
      <c r="BB108" s="165">
        <f t="shared" si="830"/>
        <v>0</v>
      </c>
      <c r="BC108" s="198">
        <f t="shared" si="979"/>
        <v>23.07692307692308</v>
      </c>
      <c r="BD108" s="125">
        <f t="shared" si="922"/>
        <v>175.5384615384616</v>
      </c>
      <c r="BE108" s="160">
        <f t="shared" si="923"/>
        <v>2</v>
      </c>
      <c r="BF108" s="243">
        <f t="shared" si="980"/>
        <v>173.5384615384616</v>
      </c>
      <c r="BG108" s="218">
        <f t="shared" si="981"/>
        <v>0</v>
      </c>
      <c r="BI108" s="303" t="s">
        <v>357</v>
      </c>
      <c r="BJ108" s="304" t="s">
        <v>87</v>
      </c>
      <c r="BK108" s="305" t="s">
        <v>132</v>
      </c>
      <c r="BL108" s="317"/>
      <c r="BM108" s="254">
        <f t="shared" si="913"/>
        <v>11</v>
      </c>
      <c r="BN108" s="254">
        <f t="shared" si="982"/>
        <v>12</v>
      </c>
      <c r="BO108" s="254">
        <f t="shared" si="942"/>
        <v>12</v>
      </c>
      <c r="BP108" s="254"/>
      <c r="BQ108" s="254"/>
      <c r="BR108" s="254"/>
      <c r="BS108" s="318"/>
      <c r="BT108" s="223">
        <f t="shared" si="983"/>
        <v>11.666666666666666</v>
      </c>
      <c r="BU108" s="223">
        <f t="shared" si="984"/>
        <v>23.333333333333332</v>
      </c>
      <c r="BV108" s="224">
        <f t="shared" si="985"/>
        <v>35</v>
      </c>
      <c r="BW108" s="237">
        <f t="shared" si="943"/>
        <v>2432</v>
      </c>
      <c r="BX108" s="254">
        <f>BM108*BN108*CHslave+BM108*INslave*BO108+KLslave_KL*BN108*BO108</f>
        <v>3408</v>
      </c>
      <c r="BY108" s="224">
        <f t="shared" si="986"/>
        <v>1584</v>
      </c>
      <c r="BZ108" s="224">
        <f>SUM(BW108:BY108)</f>
        <v>7424</v>
      </c>
      <c r="CA108" s="222">
        <f t="shared" si="988"/>
        <v>3.8218390804597702</v>
      </c>
      <c r="CB108" s="223">
        <f t="shared" si="989"/>
        <v>10.711206896551724</v>
      </c>
      <c r="CC108" s="243">
        <f t="shared" si="990"/>
        <v>7.4676724137931032</v>
      </c>
      <c r="CD108" s="243">
        <f t="shared" si="991"/>
        <v>22.000718390804597</v>
      </c>
      <c r="CE108" s="252">
        <f t="shared" si="841"/>
        <v>0</v>
      </c>
      <c r="CF108" s="309">
        <f t="shared" si="992"/>
        <v>22.000718390804597</v>
      </c>
      <c r="CG108" s="218">
        <f t="shared" si="924"/>
        <v>154.01436781609189</v>
      </c>
      <c r="CH108" s="242">
        <f t="shared" si="925"/>
        <v>2</v>
      </c>
      <c r="CI108" s="243">
        <f t="shared" si="993"/>
        <v>152.01436781609189</v>
      </c>
      <c r="CJ108" s="218">
        <f t="shared" si="994"/>
        <v>0</v>
      </c>
      <c r="CL108" s="303" t="s">
        <v>357</v>
      </c>
      <c r="CM108" s="304" t="s">
        <v>87</v>
      </c>
      <c r="CN108" s="305" t="s">
        <v>132</v>
      </c>
      <c r="CO108" s="317"/>
      <c r="CP108" s="254">
        <f t="shared" si="914"/>
        <v>12</v>
      </c>
      <c r="CQ108" s="254">
        <f t="shared" si="995"/>
        <v>11</v>
      </c>
      <c r="CR108" s="254">
        <f t="shared" si="944"/>
        <v>12</v>
      </c>
      <c r="CS108" s="254"/>
      <c r="CT108" s="254"/>
      <c r="CU108" s="254"/>
      <c r="CV108" s="318"/>
      <c r="CW108" s="223">
        <f t="shared" si="996"/>
        <v>11.666666666666666</v>
      </c>
      <c r="CX108" s="223">
        <f t="shared" si="997"/>
        <v>23.333333333333332</v>
      </c>
      <c r="CY108" s="224">
        <f t="shared" si="998"/>
        <v>35</v>
      </c>
      <c r="CZ108" s="237">
        <f t="shared" si="945"/>
        <v>2432</v>
      </c>
      <c r="DA108" s="254">
        <f>CP108*CQ108*CHslave+CP108*INslave_IN*CR108+KLslave*CQ108*CR108</f>
        <v>3408</v>
      </c>
      <c r="DB108" s="224">
        <f t="shared" si="999"/>
        <v>1584</v>
      </c>
      <c r="DC108" s="224">
        <f>SUM(CZ108:DB108)</f>
        <v>7424</v>
      </c>
      <c r="DD108" s="222">
        <f t="shared" si="1001"/>
        <v>3.8218390804597702</v>
      </c>
      <c r="DE108" s="223">
        <f t="shared" si="1002"/>
        <v>10.711206896551724</v>
      </c>
      <c r="DF108" s="243">
        <f t="shared" si="1003"/>
        <v>7.4676724137931032</v>
      </c>
      <c r="DG108" s="243">
        <f t="shared" si="1004"/>
        <v>22.000718390804597</v>
      </c>
      <c r="DH108" s="252">
        <f t="shared" si="852"/>
        <v>0</v>
      </c>
      <c r="DI108" s="309">
        <f t="shared" si="1005"/>
        <v>22.000718390804597</v>
      </c>
      <c r="DJ108" s="218">
        <f t="shared" si="926"/>
        <v>154.01436781609189</v>
      </c>
      <c r="DK108" s="242">
        <f t="shared" si="927"/>
        <v>2</v>
      </c>
      <c r="DL108" s="243">
        <f t="shared" si="1006"/>
        <v>152.01436781609189</v>
      </c>
      <c r="DM108" s="218">
        <f t="shared" si="1007"/>
        <v>0</v>
      </c>
      <c r="DO108" s="303" t="s">
        <v>357</v>
      </c>
      <c r="DP108" s="304" t="s">
        <v>87</v>
      </c>
      <c r="DQ108" s="305" t="s">
        <v>132</v>
      </c>
      <c r="DR108" s="317"/>
      <c r="DS108" s="254">
        <f t="shared" si="915"/>
        <v>12</v>
      </c>
      <c r="DT108" s="254">
        <f t="shared" si="1008"/>
        <v>12</v>
      </c>
      <c r="DU108" s="254">
        <f t="shared" si="946"/>
        <v>11</v>
      </c>
      <c r="DV108" s="254"/>
      <c r="DW108" s="254"/>
      <c r="DX108" s="254"/>
      <c r="DY108" s="318"/>
      <c r="DZ108" s="223">
        <f t="shared" si="1009"/>
        <v>11.666666666666666</v>
      </c>
      <c r="EA108" s="223">
        <f t="shared" si="1010"/>
        <v>23.333333333333332</v>
      </c>
      <c r="EB108" s="224">
        <f t="shared" si="1011"/>
        <v>35</v>
      </c>
      <c r="EC108" s="237">
        <f t="shared" si="947"/>
        <v>2432</v>
      </c>
      <c r="ED108" s="254">
        <f>DS108*DT108*CHslave_CH+DS108*INslave*DU108+KLslave*DT108*DU108</f>
        <v>3408</v>
      </c>
      <c r="EE108" s="224">
        <f t="shared" si="1012"/>
        <v>1584</v>
      </c>
      <c r="EF108" s="224">
        <f>SUM(EC108:EE108)</f>
        <v>7424</v>
      </c>
      <c r="EG108" s="222">
        <f t="shared" si="1014"/>
        <v>3.8218390804597702</v>
      </c>
      <c r="EH108" s="223">
        <f t="shared" si="1015"/>
        <v>10.711206896551724</v>
      </c>
      <c r="EI108" s="243">
        <f t="shared" si="1016"/>
        <v>7.4676724137931032</v>
      </c>
      <c r="EJ108" s="243">
        <f t="shared" si="1017"/>
        <v>22.000718390804597</v>
      </c>
      <c r="EK108" s="252">
        <f t="shared" si="863"/>
        <v>0</v>
      </c>
      <c r="EL108" s="309">
        <f t="shared" si="1018"/>
        <v>22.000718390804597</v>
      </c>
      <c r="EM108" s="218">
        <f t="shared" si="928"/>
        <v>154.01436781609189</v>
      </c>
      <c r="EN108" s="242">
        <f t="shared" si="929"/>
        <v>2</v>
      </c>
      <c r="EO108" s="243">
        <f t="shared" si="1019"/>
        <v>152.01436781609189</v>
      </c>
      <c r="EP108" s="218">
        <f t="shared" si="1020"/>
        <v>0</v>
      </c>
      <c r="ER108" s="303" t="s">
        <v>357</v>
      </c>
      <c r="ES108" s="304" t="s">
        <v>87</v>
      </c>
      <c r="ET108" s="305" t="s">
        <v>132</v>
      </c>
      <c r="EU108" s="317"/>
      <c r="EV108" s="254">
        <f t="shared" si="916"/>
        <v>12</v>
      </c>
      <c r="EW108" s="254">
        <f t="shared" si="1021"/>
        <v>12</v>
      </c>
      <c r="EX108" s="254">
        <f t="shared" si="948"/>
        <v>12</v>
      </c>
      <c r="EY108" s="254"/>
      <c r="EZ108" s="254"/>
      <c r="FA108" s="254"/>
      <c r="FB108" s="318"/>
      <c r="FC108" s="223">
        <f t="shared" si="1022"/>
        <v>12</v>
      </c>
      <c r="FD108" s="223">
        <f t="shared" si="1023"/>
        <v>24</v>
      </c>
      <c r="FE108" s="224">
        <f t="shared" si="1024"/>
        <v>36</v>
      </c>
      <c r="FF108" s="237">
        <f t="shared" si="949"/>
        <v>2304</v>
      </c>
      <c r="FG108" s="254">
        <f>EV108*EW108*CHslave+EV108*INslave*EX108+KLslave*EW108*EX108</f>
        <v>3456</v>
      </c>
      <c r="FH108" s="224">
        <f t="shared" si="1025"/>
        <v>1728</v>
      </c>
      <c r="FI108" s="224">
        <f>SUM(FF108:FH108)</f>
        <v>7488</v>
      </c>
      <c r="FJ108" s="222">
        <f t="shared" si="1027"/>
        <v>3.6923076923076925</v>
      </c>
      <c r="FK108" s="223">
        <f t="shared" si="1028"/>
        <v>11.076923076923077</v>
      </c>
      <c r="FL108" s="243">
        <f t="shared" si="1029"/>
        <v>8.3076923076923084</v>
      </c>
      <c r="FM108" s="243">
        <f t="shared" si="1030"/>
        <v>23.07692307692308</v>
      </c>
      <c r="FN108" s="252">
        <f t="shared" si="874"/>
        <v>0</v>
      </c>
      <c r="FO108" s="309">
        <f t="shared" si="1031"/>
        <v>23.07692307692308</v>
      </c>
      <c r="FP108" s="218">
        <f t="shared" si="930"/>
        <v>175.5384615384616</v>
      </c>
      <c r="FQ108" s="242">
        <f t="shared" si="931"/>
        <v>2</v>
      </c>
      <c r="FR108" s="243">
        <f t="shared" si="1032"/>
        <v>173.5384615384616</v>
      </c>
      <c r="FS108" s="218">
        <f t="shared" si="1033"/>
        <v>0</v>
      </c>
      <c r="FU108" s="303" t="s">
        <v>357</v>
      </c>
      <c r="FV108" s="304" t="s">
        <v>87</v>
      </c>
      <c r="FW108" s="305" t="s">
        <v>132</v>
      </c>
      <c r="FX108" s="317"/>
      <c r="FY108" s="254">
        <f t="shared" si="917"/>
        <v>12</v>
      </c>
      <c r="FZ108" s="254">
        <f t="shared" si="1034"/>
        <v>12</v>
      </c>
      <c r="GA108" s="254">
        <f t="shared" si="950"/>
        <v>12</v>
      </c>
      <c r="GB108" s="254"/>
      <c r="GC108" s="254"/>
      <c r="GD108" s="254"/>
      <c r="GE108" s="318"/>
      <c r="GF108" s="223">
        <f t="shared" si="1035"/>
        <v>12</v>
      </c>
      <c r="GG108" s="223">
        <f t="shared" si="1036"/>
        <v>24</v>
      </c>
      <c r="GH108" s="224">
        <f t="shared" si="1037"/>
        <v>36</v>
      </c>
      <c r="GI108" s="237">
        <f t="shared" si="951"/>
        <v>2304</v>
      </c>
      <c r="GJ108" s="254">
        <f>FY108*FZ108*CHslave+FY108*INslave*GA108+KLslave*FZ108*GA108</f>
        <v>3456</v>
      </c>
      <c r="GK108" s="224">
        <f t="shared" si="1038"/>
        <v>1728</v>
      </c>
      <c r="GL108" s="224">
        <f>SUM(GI108:GK108)</f>
        <v>7488</v>
      </c>
      <c r="GM108" s="222">
        <f t="shared" si="1040"/>
        <v>3.6923076923076925</v>
      </c>
      <c r="GN108" s="223">
        <f t="shared" si="1041"/>
        <v>11.076923076923077</v>
      </c>
      <c r="GO108" s="243">
        <f t="shared" si="1042"/>
        <v>8.3076923076923084</v>
      </c>
      <c r="GP108" s="243">
        <f t="shared" si="1043"/>
        <v>23.07692307692308</v>
      </c>
      <c r="GQ108" s="252">
        <f t="shared" si="885"/>
        <v>0</v>
      </c>
      <c r="GR108" s="309">
        <f t="shared" si="1044"/>
        <v>23.07692307692308</v>
      </c>
      <c r="GS108" s="218">
        <f t="shared" si="932"/>
        <v>175.5384615384616</v>
      </c>
      <c r="GT108" s="242">
        <f t="shared" si="933"/>
        <v>2</v>
      </c>
      <c r="GU108" s="243">
        <f t="shared" si="1045"/>
        <v>173.5384615384616</v>
      </c>
      <c r="GV108" s="218">
        <f t="shared" si="1046"/>
        <v>0</v>
      </c>
      <c r="GX108" s="303" t="s">
        <v>357</v>
      </c>
      <c r="GY108" s="304" t="s">
        <v>87</v>
      </c>
      <c r="GZ108" s="305" t="s">
        <v>132</v>
      </c>
      <c r="HA108" s="317"/>
      <c r="HB108" s="254">
        <f t="shared" si="918"/>
        <v>12</v>
      </c>
      <c r="HC108" s="254">
        <f t="shared" si="1047"/>
        <v>12</v>
      </c>
      <c r="HD108" s="254">
        <f t="shared" si="952"/>
        <v>12</v>
      </c>
      <c r="HE108" s="254"/>
      <c r="HF108" s="254"/>
      <c r="HG108" s="254"/>
      <c r="HH108" s="318"/>
      <c r="HI108" s="223">
        <f t="shared" si="1048"/>
        <v>12</v>
      </c>
      <c r="HJ108" s="223">
        <f t="shared" si="1049"/>
        <v>24</v>
      </c>
      <c r="HK108" s="224">
        <f t="shared" si="1050"/>
        <v>36</v>
      </c>
      <c r="HL108" s="237">
        <f t="shared" si="953"/>
        <v>2304</v>
      </c>
      <c r="HM108" s="254">
        <f>HB108*HC108*CHslave+HB108*INslave*HD108+KLslave*HC108*HD108</f>
        <v>3456</v>
      </c>
      <c r="HN108" s="224">
        <f t="shared" si="1051"/>
        <v>1728</v>
      </c>
      <c r="HO108" s="224">
        <f>SUM(HL108:HN108)</f>
        <v>7488</v>
      </c>
      <c r="HP108" s="222">
        <f t="shared" si="1053"/>
        <v>3.6923076923076925</v>
      </c>
      <c r="HQ108" s="223">
        <f t="shared" si="1054"/>
        <v>11.076923076923077</v>
      </c>
      <c r="HR108" s="243">
        <f t="shared" si="1055"/>
        <v>8.3076923076923084</v>
      </c>
      <c r="HS108" s="243">
        <f t="shared" si="1056"/>
        <v>23.07692307692308</v>
      </c>
      <c r="HT108" s="252">
        <f t="shared" si="896"/>
        <v>0</v>
      </c>
      <c r="HU108" s="309">
        <f t="shared" si="1057"/>
        <v>23.07692307692308</v>
      </c>
      <c r="HV108" s="218">
        <f t="shared" si="934"/>
        <v>175.5384615384616</v>
      </c>
      <c r="HW108" s="242">
        <f t="shared" si="935"/>
        <v>2</v>
      </c>
      <c r="HX108" s="243">
        <f t="shared" si="1058"/>
        <v>173.5384615384616</v>
      </c>
      <c r="HY108" s="218">
        <f t="shared" si="1059"/>
        <v>0</v>
      </c>
      <c r="IA108" s="303" t="s">
        <v>357</v>
      </c>
      <c r="IB108" s="304" t="s">
        <v>87</v>
      </c>
      <c r="IC108" s="305" t="s">
        <v>132</v>
      </c>
      <c r="ID108" s="317"/>
      <c r="IE108" s="254">
        <f t="shared" si="919"/>
        <v>12</v>
      </c>
      <c r="IF108" s="254">
        <f t="shared" si="1060"/>
        <v>12</v>
      </c>
      <c r="IG108" s="254">
        <f t="shared" si="954"/>
        <v>12</v>
      </c>
      <c r="IH108" s="254"/>
      <c r="II108" s="254"/>
      <c r="IJ108" s="254"/>
      <c r="IK108" s="318"/>
      <c r="IL108" s="223">
        <f t="shared" si="1061"/>
        <v>12</v>
      </c>
      <c r="IM108" s="223">
        <f t="shared" si="1062"/>
        <v>24</v>
      </c>
      <c r="IN108" s="224">
        <f t="shared" si="1063"/>
        <v>36</v>
      </c>
      <c r="IO108" s="237">
        <f t="shared" si="955"/>
        <v>2304</v>
      </c>
      <c r="IP108" s="254">
        <f>IE108*IF108*CHslave+IE108*INslave*IG108+KLslave*IF108*IG108</f>
        <v>3456</v>
      </c>
      <c r="IQ108" s="224">
        <f t="shared" si="1064"/>
        <v>1728</v>
      </c>
      <c r="IR108" s="224">
        <f>SUM(IO108:IQ108)</f>
        <v>7488</v>
      </c>
      <c r="IS108" s="222">
        <f t="shared" si="1066"/>
        <v>3.6923076923076925</v>
      </c>
      <c r="IT108" s="223">
        <f t="shared" si="1067"/>
        <v>11.076923076923077</v>
      </c>
      <c r="IU108" s="243">
        <f t="shared" si="1068"/>
        <v>8.3076923076923084</v>
      </c>
      <c r="IV108" s="243">
        <f t="shared" si="1069"/>
        <v>23.07692307692308</v>
      </c>
      <c r="IW108" s="252">
        <f t="shared" si="907"/>
        <v>0</v>
      </c>
      <c r="IX108" s="309">
        <f t="shared" si="1070"/>
        <v>23.07692307692308</v>
      </c>
      <c r="IY108" s="218">
        <f t="shared" si="936"/>
        <v>175.5384615384616</v>
      </c>
      <c r="IZ108" s="242">
        <f t="shared" si="937"/>
        <v>2</v>
      </c>
      <c r="JA108" s="243">
        <f t="shared" si="1071"/>
        <v>173.5384615384616</v>
      </c>
      <c r="JB108" s="218">
        <f t="shared" si="1072"/>
        <v>0</v>
      </c>
      <c r="JE108" s="148"/>
    </row>
    <row r="109" spans="2:265" hidden="1" outlineLevel="2">
      <c r="B109" s="148">
        <v>10</v>
      </c>
      <c r="C109" s="303" t="e">
        <f>VLOOKUP(AF109,Attribute!C:T,1,FALSE)</f>
        <v>#N/A</v>
      </c>
      <c r="D109" s="86" t="s">
        <v>101</v>
      </c>
      <c r="E109" s="167" t="s">
        <v>132</v>
      </c>
      <c r="F109" s="120"/>
      <c r="G109" s="117"/>
      <c r="H109" s="117">
        <f>Konvention_1master-INmaster</f>
        <v>12</v>
      </c>
      <c r="I109" s="117">
        <f t="shared" si="938"/>
        <v>12</v>
      </c>
      <c r="J109" s="117"/>
      <c r="K109" s="117"/>
      <c r="L109" s="117">
        <f>Konvention_1master-KOmaster</f>
        <v>12</v>
      </c>
      <c r="M109" s="121"/>
      <c r="N109" s="223">
        <f t="shared" si="957"/>
        <v>12</v>
      </c>
      <c r="O109" s="223">
        <f t="shared" si="958"/>
        <v>24</v>
      </c>
      <c r="P109" s="224">
        <f t="shared" si="959"/>
        <v>36</v>
      </c>
      <c r="Q109" s="237">
        <f t="shared" si="960"/>
        <v>2304</v>
      </c>
      <c r="R109" s="117">
        <f>H109*I109*KOmaster+H109*CHmaster*L109+INmaster*I109*L109</f>
        <v>3456</v>
      </c>
      <c r="S109" s="224">
        <f t="shared" si="939"/>
        <v>1728</v>
      </c>
      <c r="T109" s="224">
        <f>SUM(Q109:S109)</f>
        <v>7488</v>
      </c>
      <c r="U109" s="222">
        <f t="shared" si="962"/>
        <v>3.6923076923076925</v>
      </c>
      <c r="V109" s="223">
        <f t="shared" si="963"/>
        <v>11.076923076923077</v>
      </c>
      <c r="W109" s="243">
        <f t="shared" si="964"/>
        <v>8.3076923076923084</v>
      </c>
      <c r="X109" s="243">
        <f t="shared" si="965"/>
        <v>23.07692307692308</v>
      </c>
      <c r="Y109" s="252">
        <v>0</v>
      </c>
      <c r="Z109" s="198">
        <f t="shared" si="966"/>
        <v>23.07692307692308</v>
      </c>
      <c r="AA109" s="125">
        <f t="shared" si="920"/>
        <v>175.5384615384616</v>
      </c>
      <c r="AB109" s="160">
        <f t="shared" si="921"/>
        <v>2</v>
      </c>
      <c r="AC109" s="127">
        <f t="shared" si="967"/>
        <v>173.5384615384616</v>
      </c>
      <c r="AD109" s="125">
        <f t="shared" si="968"/>
        <v>0</v>
      </c>
      <c r="AF109" s="163" t="s">
        <v>358</v>
      </c>
      <c r="AG109" s="86" t="s">
        <v>101</v>
      </c>
      <c r="AH109" s="167" t="s">
        <v>132</v>
      </c>
      <c r="AI109" s="120"/>
      <c r="AJ109" s="117"/>
      <c r="AK109" s="117">
        <f t="shared" si="969"/>
        <v>12</v>
      </c>
      <c r="AL109" s="117">
        <f t="shared" si="940"/>
        <v>12</v>
      </c>
      <c r="AM109" s="117"/>
      <c r="AN109" s="117"/>
      <c r="AO109" s="117">
        <f>Konvention_1slave-KOslave</f>
        <v>12</v>
      </c>
      <c r="AP109" s="121"/>
      <c r="AQ109" s="47">
        <f t="shared" si="970"/>
        <v>12</v>
      </c>
      <c r="AR109" s="3">
        <f t="shared" si="971"/>
        <v>24</v>
      </c>
      <c r="AS109" s="174">
        <f t="shared" si="972"/>
        <v>36</v>
      </c>
      <c r="AT109" s="114">
        <f t="shared" si="941"/>
        <v>2304</v>
      </c>
      <c r="AU109" s="117">
        <f>AK109*AL109*KOslave+AK109*CHslave*AO109+INslave*AL109*AO109</f>
        <v>3456</v>
      </c>
      <c r="AV109" s="119">
        <f t="shared" si="973"/>
        <v>1728</v>
      </c>
      <c r="AW109" s="119">
        <f>SUM(AT109:AV109)</f>
        <v>7488</v>
      </c>
      <c r="AX109" s="89">
        <f t="shared" si="975"/>
        <v>3.6923076923076925</v>
      </c>
      <c r="AY109" s="47">
        <f t="shared" si="976"/>
        <v>11.076923076923077</v>
      </c>
      <c r="AZ109" s="127">
        <f t="shared" si="977"/>
        <v>8.3076923076923084</v>
      </c>
      <c r="BA109" s="127">
        <f t="shared" si="978"/>
        <v>23.07692307692308</v>
      </c>
      <c r="BB109" s="165">
        <f t="shared" si="830"/>
        <v>0</v>
      </c>
      <c r="BC109" s="198">
        <f t="shared" si="979"/>
        <v>23.07692307692308</v>
      </c>
      <c r="BD109" s="125">
        <f t="shared" si="922"/>
        <v>175.5384615384616</v>
      </c>
      <c r="BE109" s="160">
        <f t="shared" si="923"/>
        <v>2</v>
      </c>
      <c r="BF109" s="243">
        <f t="shared" si="980"/>
        <v>173.5384615384616</v>
      </c>
      <c r="BG109" s="218">
        <f t="shared" si="981"/>
        <v>0</v>
      </c>
      <c r="BI109" s="303" t="s">
        <v>358</v>
      </c>
      <c r="BJ109" s="304" t="s">
        <v>101</v>
      </c>
      <c r="BK109" s="305" t="s">
        <v>132</v>
      </c>
      <c r="BL109" s="317"/>
      <c r="BM109" s="254"/>
      <c r="BN109" s="254">
        <f t="shared" si="982"/>
        <v>12</v>
      </c>
      <c r="BO109" s="254">
        <f t="shared" si="942"/>
        <v>12</v>
      </c>
      <c r="BP109" s="254"/>
      <c r="BQ109" s="254"/>
      <c r="BR109" s="254">
        <f>Konvention_1slave-KOslave</f>
        <v>12</v>
      </c>
      <c r="BS109" s="318"/>
      <c r="BT109" s="223">
        <f t="shared" si="983"/>
        <v>12</v>
      </c>
      <c r="BU109" s="223">
        <f t="shared" si="984"/>
        <v>24</v>
      </c>
      <c r="BV109" s="224">
        <f t="shared" si="985"/>
        <v>36</v>
      </c>
      <c r="BW109" s="237">
        <f t="shared" si="943"/>
        <v>2304</v>
      </c>
      <c r="BX109" s="254">
        <f>BN109*BO109*KOslave+BN109*CHslave*BR109+INslave*BO109*BR109</f>
        <v>3456</v>
      </c>
      <c r="BY109" s="224">
        <f t="shared" si="986"/>
        <v>1728</v>
      </c>
      <c r="BZ109" s="224">
        <f>SUM(BW109:BY109)</f>
        <v>7488</v>
      </c>
      <c r="CA109" s="222">
        <f t="shared" si="988"/>
        <v>3.6923076923076925</v>
      </c>
      <c r="CB109" s="223">
        <f t="shared" si="989"/>
        <v>11.076923076923077</v>
      </c>
      <c r="CC109" s="243">
        <f t="shared" si="990"/>
        <v>8.3076923076923084</v>
      </c>
      <c r="CD109" s="243">
        <f t="shared" si="991"/>
        <v>23.07692307692308</v>
      </c>
      <c r="CE109" s="252">
        <f t="shared" si="841"/>
        <v>0</v>
      </c>
      <c r="CF109" s="309">
        <f t="shared" si="992"/>
        <v>23.07692307692308</v>
      </c>
      <c r="CG109" s="218">
        <f t="shared" si="924"/>
        <v>175.5384615384616</v>
      </c>
      <c r="CH109" s="242">
        <f t="shared" si="925"/>
        <v>2</v>
      </c>
      <c r="CI109" s="243">
        <f t="shared" si="993"/>
        <v>173.5384615384616</v>
      </c>
      <c r="CJ109" s="218">
        <f t="shared" si="994"/>
        <v>0</v>
      </c>
      <c r="CL109" s="303" t="s">
        <v>358</v>
      </c>
      <c r="CM109" s="304" t="s">
        <v>101</v>
      </c>
      <c r="CN109" s="305" t="s">
        <v>132</v>
      </c>
      <c r="CO109" s="317"/>
      <c r="CP109" s="254"/>
      <c r="CQ109" s="254">
        <f t="shared" si="995"/>
        <v>11</v>
      </c>
      <c r="CR109" s="254">
        <f t="shared" si="944"/>
        <v>12</v>
      </c>
      <c r="CS109" s="254"/>
      <c r="CT109" s="254"/>
      <c r="CU109" s="254">
        <f>Konvention_1slave-KOslave</f>
        <v>12</v>
      </c>
      <c r="CV109" s="318"/>
      <c r="CW109" s="223">
        <f t="shared" si="996"/>
        <v>11.666666666666666</v>
      </c>
      <c r="CX109" s="223">
        <f t="shared" si="997"/>
        <v>23.333333333333332</v>
      </c>
      <c r="CY109" s="224">
        <f t="shared" si="998"/>
        <v>35</v>
      </c>
      <c r="CZ109" s="237">
        <f t="shared" si="945"/>
        <v>2432</v>
      </c>
      <c r="DA109" s="254">
        <f>CQ109*CR109*KOslave+CQ109*CHslave*CU109+INslave_IN*CR109*CU109</f>
        <v>3408</v>
      </c>
      <c r="DB109" s="224">
        <f t="shared" si="999"/>
        <v>1584</v>
      </c>
      <c r="DC109" s="224">
        <f>SUM(CZ109:DB109)</f>
        <v>7424</v>
      </c>
      <c r="DD109" s="222">
        <f t="shared" si="1001"/>
        <v>3.8218390804597702</v>
      </c>
      <c r="DE109" s="223">
        <f t="shared" si="1002"/>
        <v>10.711206896551724</v>
      </c>
      <c r="DF109" s="243">
        <f t="shared" si="1003"/>
        <v>7.4676724137931032</v>
      </c>
      <c r="DG109" s="243">
        <f t="shared" si="1004"/>
        <v>22.000718390804597</v>
      </c>
      <c r="DH109" s="252">
        <f t="shared" si="852"/>
        <v>0</v>
      </c>
      <c r="DI109" s="309">
        <f t="shared" si="1005"/>
        <v>22.000718390804597</v>
      </c>
      <c r="DJ109" s="218">
        <f t="shared" si="926"/>
        <v>154.01436781609189</v>
      </c>
      <c r="DK109" s="242">
        <f t="shared" si="927"/>
        <v>2</v>
      </c>
      <c r="DL109" s="243">
        <f t="shared" si="1006"/>
        <v>152.01436781609189</v>
      </c>
      <c r="DM109" s="218">
        <f t="shared" si="1007"/>
        <v>0</v>
      </c>
      <c r="DO109" s="303" t="s">
        <v>358</v>
      </c>
      <c r="DP109" s="304" t="s">
        <v>101</v>
      </c>
      <c r="DQ109" s="305" t="s">
        <v>132</v>
      </c>
      <c r="DR109" s="317"/>
      <c r="DS109" s="254"/>
      <c r="DT109" s="254">
        <f t="shared" si="1008"/>
        <v>12</v>
      </c>
      <c r="DU109" s="254">
        <f t="shared" si="946"/>
        <v>11</v>
      </c>
      <c r="DV109" s="254"/>
      <c r="DW109" s="254"/>
      <c r="DX109" s="254">
        <f>Konvention_1slave-KOslave</f>
        <v>12</v>
      </c>
      <c r="DY109" s="318"/>
      <c r="DZ109" s="223">
        <f t="shared" si="1009"/>
        <v>11.666666666666666</v>
      </c>
      <c r="EA109" s="223">
        <f t="shared" si="1010"/>
        <v>23.333333333333332</v>
      </c>
      <c r="EB109" s="224">
        <f t="shared" si="1011"/>
        <v>35</v>
      </c>
      <c r="EC109" s="237">
        <f t="shared" si="947"/>
        <v>2432</v>
      </c>
      <c r="ED109" s="254">
        <f>DT109*DU109*KOslave+DT109*CHslave_CH*DX109+INslave*DU109*DX109</f>
        <v>3408</v>
      </c>
      <c r="EE109" s="224">
        <f t="shared" si="1012"/>
        <v>1584</v>
      </c>
      <c r="EF109" s="224">
        <f>SUM(EC109:EE109)</f>
        <v>7424</v>
      </c>
      <c r="EG109" s="222">
        <f t="shared" si="1014"/>
        <v>3.8218390804597702</v>
      </c>
      <c r="EH109" s="223">
        <f t="shared" si="1015"/>
        <v>10.711206896551724</v>
      </c>
      <c r="EI109" s="243">
        <f t="shared" si="1016"/>
        <v>7.4676724137931032</v>
      </c>
      <c r="EJ109" s="243">
        <f t="shared" si="1017"/>
        <v>22.000718390804597</v>
      </c>
      <c r="EK109" s="252">
        <f t="shared" si="863"/>
        <v>0</v>
      </c>
      <c r="EL109" s="309">
        <f t="shared" si="1018"/>
        <v>22.000718390804597</v>
      </c>
      <c r="EM109" s="218">
        <f t="shared" si="928"/>
        <v>154.01436781609189</v>
      </c>
      <c r="EN109" s="242">
        <f t="shared" si="929"/>
        <v>2</v>
      </c>
      <c r="EO109" s="243">
        <f t="shared" si="1019"/>
        <v>152.01436781609189</v>
      </c>
      <c r="EP109" s="218">
        <f t="shared" si="1020"/>
        <v>0</v>
      </c>
      <c r="ER109" s="303" t="s">
        <v>358</v>
      </c>
      <c r="ES109" s="304" t="s">
        <v>101</v>
      </c>
      <c r="ET109" s="305" t="s">
        <v>132</v>
      </c>
      <c r="EU109" s="317"/>
      <c r="EV109" s="254"/>
      <c r="EW109" s="254">
        <f t="shared" si="1021"/>
        <v>12</v>
      </c>
      <c r="EX109" s="254">
        <f t="shared" si="948"/>
        <v>12</v>
      </c>
      <c r="EY109" s="254"/>
      <c r="EZ109" s="254"/>
      <c r="FA109" s="254">
        <f>Konvention_1slave-KOslave</f>
        <v>12</v>
      </c>
      <c r="FB109" s="318"/>
      <c r="FC109" s="223">
        <f t="shared" si="1022"/>
        <v>12</v>
      </c>
      <c r="FD109" s="223">
        <f t="shared" si="1023"/>
        <v>24</v>
      </c>
      <c r="FE109" s="224">
        <f t="shared" si="1024"/>
        <v>36</v>
      </c>
      <c r="FF109" s="237">
        <f t="shared" si="949"/>
        <v>2304</v>
      </c>
      <c r="FG109" s="254">
        <f>EW109*EX109*KOslave+EW109*CHslave*FA109+INslave*EX109*FA109</f>
        <v>3456</v>
      </c>
      <c r="FH109" s="224">
        <f t="shared" si="1025"/>
        <v>1728</v>
      </c>
      <c r="FI109" s="224">
        <f>SUM(FF109:FH109)</f>
        <v>7488</v>
      </c>
      <c r="FJ109" s="222">
        <f t="shared" si="1027"/>
        <v>3.6923076923076925</v>
      </c>
      <c r="FK109" s="223">
        <f t="shared" si="1028"/>
        <v>11.076923076923077</v>
      </c>
      <c r="FL109" s="243">
        <f t="shared" si="1029"/>
        <v>8.3076923076923084</v>
      </c>
      <c r="FM109" s="243">
        <f t="shared" si="1030"/>
        <v>23.07692307692308</v>
      </c>
      <c r="FN109" s="252">
        <f t="shared" si="874"/>
        <v>0</v>
      </c>
      <c r="FO109" s="309">
        <f t="shared" si="1031"/>
        <v>23.07692307692308</v>
      </c>
      <c r="FP109" s="218">
        <f t="shared" si="930"/>
        <v>175.5384615384616</v>
      </c>
      <c r="FQ109" s="242">
        <f t="shared" si="931"/>
        <v>2</v>
      </c>
      <c r="FR109" s="243">
        <f t="shared" si="1032"/>
        <v>173.5384615384616</v>
      </c>
      <c r="FS109" s="218">
        <f t="shared" si="1033"/>
        <v>0</v>
      </c>
      <c r="FU109" s="303" t="s">
        <v>358</v>
      </c>
      <c r="FV109" s="304" t="s">
        <v>101</v>
      </c>
      <c r="FW109" s="305" t="s">
        <v>132</v>
      </c>
      <c r="FX109" s="317"/>
      <c r="FY109" s="254"/>
      <c r="FZ109" s="254">
        <f t="shared" si="1034"/>
        <v>12</v>
      </c>
      <c r="GA109" s="254">
        <f t="shared" si="950"/>
        <v>12</v>
      </c>
      <c r="GB109" s="254"/>
      <c r="GC109" s="254"/>
      <c r="GD109" s="254">
        <f>Konvention_1slave-KOslave</f>
        <v>12</v>
      </c>
      <c r="GE109" s="318"/>
      <c r="GF109" s="223">
        <f t="shared" si="1035"/>
        <v>12</v>
      </c>
      <c r="GG109" s="223">
        <f t="shared" si="1036"/>
        <v>24</v>
      </c>
      <c r="GH109" s="224">
        <f t="shared" si="1037"/>
        <v>36</v>
      </c>
      <c r="GI109" s="237">
        <f t="shared" si="951"/>
        <v>2304</v>
      </c>
      <c r="GJ109" s="254">
        <f>FZ109*GA109*KOslave+FZ109*CHslave*GD109+INslave*GA109*GD109</f>
        <v>3456</v>
      </c>
      <c r="GK109" s="224">
        <f t="shared" si="1038"/>
        <v>1728</v>
      </c>
      <c r="GL109" s="224">
        <f>SUM(GI109:GK109)</f>
        <v>7488</v>
      </c>
      <c r="GM109" s="222">
        <f t="shared" si="1040"/>
        <v>3.6923076923076925</v>
      </c>
      <c r="GN109" s="223">
        <f t="shared" si="1041"/>
        <v>11.076923076923077</v>
      </c>
      <c r="GO109" s="243">
        <f t="shared" si="1042"/>
        <v>8.3076923076923084</v>
      </c>
      <c r="GP109" s="243">
        <f t="shared" si="1043"/>
        <v>23.07692307692308</v>
      </c>
      <c r="GQ109" s="252">
        <f t="shared" si="885"/>
        <v>0</v>
      </c>
      <c r="GR109" s="309">
        <f t="shared" si="1044"/>
        <v>23.07692307692308</v>
      </c>
      <c r="GS109" s="218">
        <f t="shared" si="932"/>
        <v>175.5384615384616</v>
      </c>
      <c r="GT109" s="242">
        <f t="shared" si="933"/>
        <v>2</v>
      </c>
      <c r="GU109" s="243">
        <f t="shared" si="1045"/>
        <v>173.5384615384616</v>
      </c>
      <c r="GV109" s="218">
        <f t="shared" si="1046"/>
        <v>0</v>
      </c>
      <c r="GX109" s="303" t="s">
        <v>358</v>
      </c>
      <c r="GY109" s="304" t="s">
        <v>101</v>
      </c>
      <c r="GZ109" s="305" t="s">
        <v>132</v>
      </c>
      <c r="HA109" s="317"/>
      <c r="HB109" s="254"/>
      <c r="HC109" s="254">
        <f t="shared" si="1047"/>
        <v>12</v>
      </c>
      <c r="HD109" s="254">
        <f t="shared" si="952"/>
        <v>12</v>
      </c>
      <c r="HE109" s="254"/>
      <c r="HF109" s="254"/>
      <c r="HG109" s="254">
        <f>Konvention_1slave-KOslave_KO</f>
        <v>11</v>
      </c>
      <c r="HH109" s="318"/>
      <c r="HI109" s="223">
        <f t="shared" si="1048"/>
        <v>11.666666666666666</v>
      </c>
      <c r="HJ109" s="223">
        <f t="shared" si="1049"/>
        <v>23.333333333333332</v>
      </c>
      <c r="HK109" s="224">
        <f t="shared" si="1050"/>
        <v>35</v>
      </c>
      <c r="HL109" s="237">
        <f t="shared" si="953"/>
        <v>2432</v>
      </c>
      <c r="HM109" s="254">
        <f>HC109*HD109*KOslave_KO+HC109*CHslave*HG109+INslave*HD109*HG109</f>
        <v>3408</v>
      </c>
      <c r="HN109" s="224">
        <f t="shared" si="1051"/>
        <v>1584</v>
      </c>
      <c r="HO109" s="224">
        <f>SUM(HL109:HN109)</f>
        <v>7424</v>
      </c>
      <c r="HP109" s="222">
        <f t="shared" si="1053"/>
        <v>3.8218390804597702</v>
      </c>
      <c r="HQ109" s="223">
        <f t="shared" si="1054"/>
        <v>10.711206896551724</v>
      </c>
      <c r="HR109" s="243">
        <f t="shared" si="1055"/>
        <v>7.4676724137931032</v>
      </c>
      <c r="HS109" s="243">
        <f t="shared" si="1056"/>
        <v>22.000718390804597</v>
      </c>
      <c r="HT109" s="252">
        <f t="shared" si="896"/>
        <v>0</v>
      </c>
      <c r="HU109" s="309">
        <f t="shared" si="1057"/>
        <v>22.000718390804597</v>
      </c>
      <c r="HV109" s="218">
        <f t="shared" si="934"/>
        <v>154.01436781609189</v>
      </c>
      <c r="HW109" s="242">
        <f t="shared" si="935"/>
        <v>2</v>
      </c>
      <c r="HX109" s="243">
        <f t="shared" si="1058"/>
        <v>152.01436781609189</v>
      </c>
      <c r="HY109" s="218">
        <f t="shared" si="1059"/>
        <v>0</v>
      </c>
      <c r="IA109" s="303" t="s">
        <v>358</v>
      </c>
      <c r="IB109" s="304" t="s">
        <v>101</v>
      </c>
      <c r="IC109" s="305" t="s">
        <v>132</v>
      </c>
      <c r="ID109" s="317"/>
      <c r="IE109" s="254"/>
      <c r="IF109" s="254">
        <f t="shared" si="1060"/>
        <v>12</v>
      </c>
      <c r="IG109" s="254">
        <f t="shared" si="954"/>
        <v>12</v>
      </c>
      <c r="IH109" s="254"/>
      <c r="II109" s="254"/>
      <c r="IJ109" s="254">
        <f>Konvention_1slave-KOslave</f>
        <v>12</v>
      </c>
      <c r="IK109" s="318"/>
      <c r="IL109" s="223">
        <f t="shared" si="1061"/>
        <v>12</v>
      </c>
      <c r="IM109" s="223">
        <f t="shared" si="1062"/>
        <v>24</v>
      </c>
      <c r="IN109" s="224">
        <f t="shared" si="1063"/>
        <v>36</v>
      </c>
      <c r="IO109" s="237">
        <f t="shared" si="955"/>
        <v>2304</v>
      </c>
      <c r="IP109" s="254">
        <f>IF109*IG109*KOslave+IF109*CHslave*IJ109+INslave*IG109*IJ109</f>
        <v>3456</v>
      </c>
      <c r="IQ109" s="224">
        <f t="shared" si="1064"/>
        <v>1728</v>
      </c>
      <c r="IR109" s="224">
        <f>SUM(IO109:IQ109)</f>
        <v>7488</v>
      </c>
      <c r="IS109" s="222">
        <f t="shared" si="1066"/>
        <v>3.6923076923076925</v>
      </c>
      <c r="IT109" s="223">
        <f t="shared" si="1067"/>
        <v>11.076923076923077</v>
      </c>
      <c r="IU109" s="243">
        <f t="shared" si="1068"/>
        <v>8.3076923076923084</v>
      </c>
      <c r="IV109" s="243">
        <f t="shared" si="1069"/>
        <v>23.07692307692308</v>
      </c>
      <c r="IW109" s="252">
        <f t="shared" si="907"/>
        <v>0</v>
      </c>
      <c r="IX109" s="309">
        <f t="shared" si="1070"/>
        <v>23.07692307692308</v>
      </c>
      <c r="IY109" s="218">
        <f t="shared" si="936"/>
        <v>175.5384615384616</v>
      </c>
      <c r="IZ109" s="242">
        <f t="shared" si="937"/>
        <v>2</v>
      </c>
      <c r="JA109" s="243">
        <f t="shared" si="1071"/>
        <v>173.5384615384616</v>
      </c>
      <c r="JB109" s="218">
        <f t="shared" si="1072"/>
        <v>0</v>
      </c>
      <c r="JE109" s="148"/>
    </row>
    <row r="110" spans="2:265" ht="15" hidden="1" customHeight="1" outlineLevel="2">
      <c r="B110" s="148">
        <v>11</v>
      </c>
      <c r="C110" s="303" t="e">
        <f>VLOOKUP(AF110,Attribute!C:T,1,FALSE)</f>
        <v>#N/A</v>
      </c>
      <c r="D110" s="86" t="s">
        <v>86</v>
      </c>
      <c r="E110" s="167" t="s">
        <v>132</v>
      </c>
      <c r="F110" s="120">
        <f>Konvention_1master-MUmaster</f>
        <v>12</v>
      </c>
      <c r="G110" s="117"/>
      <c r="H110" s="117">
        <f>Konvention_1master-INmaster</f>
        <v>12</v>
      </c>
      <c r="I110" s="117">
        <f t="shared" si="938"/>
        <v>12</v>
      </c>
      <c r="J110" s="117"/>
      <c r="K110" s="117"/>
      <c r="L110" s="117"/>
      <c r="M110" s="121"/>
      <c r="N110" s="223">
        <f t="shared" si="957"/>
        <v>12</v>
      </c>
      <c r="O110" s="223">
        <f t="shared" si="958"/>
        <v>24</v>
      </c>
      <c r="P110" s="224">
        <f t="shared" si="959"/>
        <v>36</v>
      </c>
      <c r="Q110" s="237">
        <f>F110*POWER(KLmaster,SIGN(G110))*POWER(INmaster,SIGN(H110))*POWER(CHmaster,SIGN(I110))*POWER(FFmaster,SIGN(J110))*POWER(GEmaster,SIGN(K110))*POWER(KOmaster,SIGN(L110))*POWER(KKmaster,SIGN(M110))+G110*POWER(MUmaster,SIGN(F110))*POWER(INmaster,SIGN(H110))*POWER(CHmaster,SIGN(I110))*POWER(FFmaster,SIGN(J110))*POWER(GEmaster,SIGN(K110))*POWER(KOmaster,SIGN(L110))*POWER(KKmaster,SIGN(M110))+H110*POWER(MUmaster,SIGN(F110))*POWER(KLmaster,SIGN(G110))*POWER(CHmaster,SIGN(I110))*POWER(FFmaster,SIGN(J110))*POWER(GEmaster,SIGN(K110))*POWER(KOmaster,SIGN(L110))*POWER(KKmaster,SIGN(M110))+I110*POWER(MUmaster,SIGN(F110))*POWER(KLmaster,SIGN(G110))*POWER(INmaster,SIGN(H110))*POWER(FFmaster,SIGN(J110))*POWER(GEmaster,SIGN(K110))*POWER(KOmaster,SIGN(L110))*POWER(KKmaster,SIGN(M110))+J110*POWER(MUmaster,SIGN(F110))*POWER(KLmaster,SIGN(G110))*POWER(INmaster,SIGN(H110))*POWER(CHmaster,SIGN(I110))*POWER(GEmaster,SIGN(K110))*POWER(KOmaster,SIGN(L110))*POWER(KKmaster,SIGN(M110))+K110*POWER(MUmaster,SIGN(F110))*POWER(KLmaster,SIGN(G110))*POWER(INmaster,SIGN(H110))*POWER(CHmaster,SIGN(I110))*POWER(FFmaster,SIGN(J110))*POWER(KOmaster,SIGN(L110))*POWER(KKmaster,SIGN(M110))+L110*POWER(MUmaster,SIGN(F110))*POWER(KLmaster,SIGN(G110))*POWER(INmaster,SIGN(H110))*POWER(CHmaster,SIGN(I110))*POWER(FFmaster,SIGN(J110))*POWER(GEmaster,SIGN(K110))*POWER(KKmaster,SIGN(M110))+M110*POWER(MUmaster,SIGN(F110))*POWER(KLmaster,SIGN(G110))*POWER(INmaster,SIGN(H110))*POWER(CHmaster,SIGN(I110))*POWER(FFmaster,SIGN(J110))*POWER(GEmaster,SIGN(K110))*POWER(KOmaster,SIGN(L110))</f>
        <v>2304</v>
      </c>
      <c r="R110" s="117">
        <f>F110*H110*CHmaster+F110*INmaster*I110+MUmaster*H110*I110</f>
        <v>3456</v>
      </c>
      <c r="S110" s="224">
        <f t="shared" si="939"/>
        <v>1728</v>
      </c>
      <c r="T110" s="224">
        <f>SUM(Q110:S110)</f>
        <v>7488</v>
      </c>
      <c r="U110" s="222">
        <f>N110*Q110/T110</f>
        <v>3.6923076923076925</v>
      </c>
      <c r="V110" s="223">
        <f>O110*R110/T110</f>
        <v>11.076923076923077</v>
      </c>
      <c r="W110" s="243">
        <f>P110*S110/T110</f>
        <v>8.3076923076923084</v>
      </c>
      <c r="X110" s="243">
        <f>SUM(U110:W110)</f>
        <v>23.07692307692308</v>
      </c>
      <c r="Y110" s="252">
        <v>0</v>
      </c>
      <c r="Z110" s="198">
        <f>X110-Y110</f>
        <v>23.07692307692308</v>
      </c>
      <c r="AA110" s="125">
        <f t="shared" si="920"/>
        <v>175.5384615384616</v>
      </c>
      <c r="AB110" s="160">
        <f t="shared" si="921"/>
        <v>2</v>
      </c>
      <c r="AC110" s="127">
        <f t="shared" si="967"/>
        <v>173.5384615384616</v>
      </c>
      <c r="AD110" s="125">
        <f t="shared" si="968"/>
        <v>0</v>
      </c>
      <c r="AF110" s="163" t="s">
        <v>359</v>
      </c>
      <c r="AG110" s="86" t="s">
        <v>86</v>
      </c>
      <c r="AH110" s="167" t="s">
        <v>132</v>
      </c>
      <c r="AI110" s="120">
        <f>Konvention_1slave-MUslave_MU</f>
        <v>11</v>
      </c>
      <c r="AJ110" s="117"/>
      <c r="AK110" s="117">
        <f t="shared" si="969"/>
        <v>12</v>
      </c>
      <c r="AL110" s="117">
        <f t="shared" si="940"/>
        <v>12</v>
      </c>
      <c r="AM110" s="117"/>
      <c r="AN110" s="117"/>
      <c r="AO110" s="117"/>
      <c r="AP110" s="121"/>
      <c r="AQ110" s="47">
        <f t="shared" si="970"/>
        <v>11.666666666666666</v>
      </c>
      <c r="AR110" s="3">
        <f t="shared" si="971"/>
        <v>23.333333333333332</v>
      </c>
      <c r="AS110" s="174">
        <f t="shared" si="972"/>
        <v>35</v>
      </c>
      <c r="AT110" s="114">
        <f t="shared" si="941"/>
        <v>2432</v>
      </c>
      <c r="AU110" s="117">
        <f>AI110*AK110*CHslave+AI110*INslave*AL110+MUslave_MU*AK110*AL110</f>
        <v>3408</v>
      </c>
      <c r="AV110" s="119">
        <f t="shared" si="973"/>
        <v>1584</v>
      </c>
      <c r="AW110" s="119">
        <f>SUM(AT110:AV110)</f>
        <v>7424</v>
      </c>
      <c r="AX110" s="89">
        <f>AQ110*AT110/AW110</f>
        <v>3.8218390804597702</v>
      </c>
      <c r="AY110" s="47">
        <f>AR110*AU110/AW110</f>
        <v>10.711206896551724</v>
      </c>
      <c r="AZ110" s="127">
        <f>AS110*AV110/AW110</f>
        <v>7.4676724137931032</v>
      </c>
      <c r="BA110" s="127">
        <f>SUM(AX110:AZ110)</f>
        <v>22.000718390804597</v>
      </c>
      <c r="BB110" s="165">
        <f t="shared" si="830"/>
        <v>0</v>
      </c>
      <c r="BC110" s="198">
        <f t="shared" si="979"/>
        <v>22.000718390804597</v>
      </c>
      <c r="BD110" s="125">
        <f t="shared" si="922"/>
        <v>154.01436781609189</v>
      </c>
      <c r="BE110" s="160">
        <f t="shared" si="923"/>
        <v>2</v>
      </c>
      <c r="BF110" s="243">
        <f t="shared" si="980"/>
        <v>152.01436781609189</v>
      </c>
      <c r="BG110" s="218">
        <f t="shared" si="981"/>
        <v>0</v>
      </c>
      <c r="BI110" s="303" t="s">
        <v>359</v>
      </c>
      <c r="BJ110" s="304" t="s">
        <v>86</v>
      </c>
      <c r="BK110" s="305" t="s">
        <v>132</v>
      </c>
      <c r="BL110" s="317">
        <f>Konvention_1slave-MUslave</f>
        <v>12</v>
      </c>
      <c r="BM110" s="254"/>
      <c r="BN110" s="254">
        <f t="shared" si="982"/>
        <v>12</v>
      </c>
      <c r="BO110" s="254">
        <f t="shared" si="942"/>
        <v>12</v>
      </c>
      <c r="BP110" s="254"/>
      <c r="BQ110" s="254"/>
      <c r="BR110" s="254"/>
      <c r="BS110" s="318"/>
      <c r="BT110" s="223">
        <f t="shared" si="983"/>
        <v>12</v>
      </c>
      <c r="BU110" s="223">
        <f t="shared" si="984"/>
        <v>24</v>
      </c>
      <c r="BV110" s="224">
        <f t="shared" si="985"/>
        <v>36</v>
      </c>
      <c r="BW110" s="237">
        <f t="shared" si="943"/>
        <v>2304</v>
      </c>
      <c r="BX110" s="254">
        <f>BL110*BN110*CHslave+BL110*INslave*BO110+MUslave*BN110*BO110</f>
        <v>3456</v>
      </c>
      <c r="BY110" s="224">
        <f t="shared" si="986"/>
        <v>1728</v>
      </c>
      <c r="BZ110" s="224">
        <f>SUM(BW110:BY110)</f>
        <v>7488</v>
      </c>
      <c r="CA110" s="222">
        <f>BT110*BW110/BZ110</f>
        <v>3.6923076923076925</v>
      </c>
      <c r="CB110" s="223">
        <f>BU110*BX110/BZ110</f>
        <v>11.076923076923077</v>
      </c>
      <c r="CC110" s="243">
        <f>BV110*BY110/BZ110</f>
        <v>8.3076923076923084</v>
      </c>
      <c r="CD110" s="243">
        <f>SUM(CA110:CC110)</f>
        <v>23.07692307692308</v>
      </c>
      <c r="CE110" s="252">
        <f t="shared" si="841"/>
        <v>0</v>
      </c>
      <c r="CF110" s="309">
        <f t="shared" si="992"/>
        <v>23.07692307692308</v>
      </c>
      <c r="CG110" s="218">
        <f t="shared" si="924"/>
        <v>175.5384615384616</v>
      </c>
      <c r="CH110" s="242">
        <f t="shared" si="925"/>
        <v>2</v>
      </c>
      <c r="CI110" s="243">
        <f t="shared" si="993"/>
        <v>173.5384615384616</v>
      </c>
      <c r="CJ110" s="218">
        <f t="shared" si="994"/>
        <v>0</v>
      </c>
      <c r="CL110" s="303" t="s">
        <v>359</v>
      </c>
      <c r="CM110" s="304" t="s">
        <v>86</v>
      </c>
      <c r="CN110" s="305" t="s">
        <v>132</v>
      </c>
      <c r="CO110" s="317">
        <f>Konvention_1slave-MUslave</f>
        <v>12</v>
      </c>
      <c r="CP110" s="254"/>
      <c r="CQ110" s="254">
        <f t="shared" si="995"/>
        <v>11</v>
      </c>
      <c r="CR110" s="254">
        <f t="shared" si="944"/>
        <v>12</v>
      </c>
      <c r="CS110" s="254"/>
      <c r="CT110" s="254"/>
      <c r="CU110" s="254"/>
      <c r="CV110" s="318"/>
      <c r="CW110" s="223">
        <f t="shared" si="996"/>
        <v>11.666666666666666</v>
      </c>
      <c r="CX110" s="223">
        <f t="shared" si="997"/>
        <v>23.333333333333332</v>
      </c>
      <c r="CY110" s="224">
        <f t="shared" si="998"/>
        <v>35</v>
      </c>
      <c r="CZ110" s="237">
        <f t="shared" si="945"/>
        <v>2432</v>
      </c>
      <c r="DA110" s="254">
        <f>CO110*CQ110*CHslave+CO110*INslave_IN*CR110+MUslave*CQ110*CR110</f>
        <v>3408</v>
      </c>
      <c r="DB110" s="224">
        <f t="shared" si="999"/>
        <v>1584</v>
      </c>
      <c r="DC110" s="224">
        <f>SUM(CZ110:DB110)</f>
        <v>7424</v>
      </c>
      <c r="DD110" s="222">
        <f>CW110*CZ110/DC110</f>
        <v>3.8218390804597702</v>
      </c>
      <c r="DE110" s="223">
        <f>CX110*DA110/DC110</f>
        <v>10.711206896551724</v>
      </c>
      <c r="DF110" s="243">
        <f>CY110*DB110/DC110</f>
        <v>7.4676724137931032</v>
      </c>
      <c r="DG110" s="243">
        <f>SUM(DD110:DF110)</f>
        <v>22.000718390804597</v>
      </c>
      <c r="DH110" s="252">
        <f t="shared" si="852"/>
        <v>0</v>
      </c>
      <c r="DI110" s="309">
        <f t="shared" si="1005"/>
        <v>22.000718390804597</v>
      </c>
      <c r="DJ110" s="218">
        <f t="shared" si="926"/>
        <v>154.01436781609189</v>
      </c>
      <c r="DK110" s="242">
        <f t="shared" si="927"/>
        <v>2</v>
      </c>
      <c r="DL110" s="243">
        <f t="shared" si="1006"/>
        <v>152.01436781609189</v>
      </c>
      <c r="DM110" s="218">
        <f t="shared" si="1007"/>
        <v>0</v>
      </c>
      <c r="DO110" s="303" t="s">
        <v>359</v>
      </c>
      <c r="DP110" s="304" t="s">
        <v>86</v>
      </c>
      <c r="DQ110" s="305" t="s">
        <v>132</v>
      </c>
      <c r="DR110" s="317">
        <f>Konvention_1slave-MUslave</f>
        <v>12</v>
      </c>
      <c r="DS110" s="254"/>
      <c r="DT110" s="254">
        <f t="shared" si="1008"/>
        <v>12</v>
      </c>
      <c r="DU110" s="254">
        <f t="shared" si="946"/>
        <v>11</v>
      </c>
      <c r="DV110" s="254"/>
      <c r="DW110" s="254"/>
      <c r="DX110" s="254"/>
      <c r="DY110" s="318"/>
      <c r="DZ110" s="223">
        <f t="shared" si="1009"/>
        <v>11.666666666666666</v>
      </c>
      <c r="EA110" s="223">
        <f t="shared" si="1010"/>
        <v>23.333333333333332</v>
      </c>
      <c r="EB110" s="224">
        <f t="shared" si="1011"/>
        <v>35</v>
      </c>
      <c r="EC110" s="237">
        <f t="shared" si="947"/>
        <v>2432</v>
      </c>
      <c r="ED110" s="254">
        <f>DR110*DT110*CHslave_CH+DR110*INslave*DU110+MUslave*DT110*DU110</f>
        <v>3408</v>
      </c>
      <c r="EE110" s="224">
        <f t="shared" si="1012"/>
        <v>1584</v>
      </c>
      <c r="EF110" s="224">
        <f>SUM(EC110:EE110)</f>
        <v>7424</v>
      </c>
      <c r="EG110" s="222">
        <f>DZ110*EC110/EF110</f>
        <v>3.8218390804597702</v>
      </c>
      <c r="EH110" s="223">
        <f>EA110*ED110/EF110</f>
        <v>10.711206896551724</v>
      </c>
      <c r="EI110" s="243">
        <f>EB110*EE110/EF110</f>
        <v>7.4676724137931032</v>
      </c>
      <c r="EJ110" s="243">
        <f>SUM(EG110:EI110)</f>
        <v>22.000718390804597</v>
      </c>
      <c r="EK110" s="252">
        <f t="shared" si="863"/>
        <v>0</v>
      </c>
      <c r="EL110" s="309">
        <f t="shared" si="1018"/>
        <v>22.000718390804597</v>
      </c>
      <c r="EM110" s="218">
        <f t="shared" si="928"/>
        <v>154.01436781609189</v>
      </c>
      <c r="EN110" s="242">
        <f t="shared" si="929"/>
        <v>2</v>
      </c>
      <c r="EO110" s="243">
        <f t="shared" si="1019"/>
        <v>152.01436781609189</v>
      </c>
      <c r="EP110" s="218">
        <f t="shared" si="1020"/>
        <v>0</v>
      </c>
      <c r="ER110" s="303" t="s">
        <v>359</v>
      </c>
      <c r="ES110" s="304" t="s">
        <v>86</v>
      </c>
      <c r="ET110" s="305" t="s">
        <v>132</v>
      </c>
      <c r="EU110" s="317">
        <f>Konvention_1slave-MUslave</f>
        <v>12</v>
      </c>
      <c r="EV110" s="254"/>
      <c r="EW110" s="254">
        <f t="shared" si="1021"/>
        <v>12</v>
      </c>
      <c r="EX110" s="254">
        <f t="shared" si="948"/>
        <v>12</v>
      </c>
      <c r="EY110" s="254"/>
      <c r="EZ110" s="254"/>
      <c r="FA110" s="254"/>
      <c r="FB110" s="318"/>
      <c r="FC110" s="223">
        <f t="shared" si="1022"/>
        <v>12</v>
      </c>
      <c r="FD110" s="223">
        <f t="shared" si="1023"/>
        <v>24</v>
      </c>
      <c r="FE110" s="224">
        <f t="shared" si="1024"/>
        <v>36</v>
      </c>
      <c r="FF110" s="237">
        <f t="shared" si="949"/>
        <v>2304</v>
      </c>
      <c r="FG110" s="254">
        <f>EU110*EW110*CHslave+EU110*INslave*EX110+MUslave*EW110*EX110</f>
        <v>3456</v>
      </c>
      <c r="FH110" s="224">
        <f t="shared" si="1025"/>
        <v>1728</v>
      </c>
      <c r="FI110" s="224">
        <f>SUM(FF110:FH110)</f>
        <v>7488</v>
      </c>
      <c r="FJ110" s="222">
        <f>FC110*FF110/FI110</f>
        <v>3.6923076923076925</v>
      </c>
      <c r="FK110" s="223">
        <f>FD110*FG110/FI110</f>
        <v>11.076923076923077</v>
      </c>
      <c r="FL110" s="243">
        <f>FE110*FH110/FI110</f>
        <v>8.3076923076923084</v>
      </c>
      <c r="FM110" s="243">
        <f>SUM(FJ110:FL110)</f>
        <v>23.07692307692308</v>
      </c>
      <c r="FN110" s="252">
        <f t="shared" si="874"/>
        <v>0</v>
      </c>
      <c r="FO110" s="309">
        <f t="shared" si="1031"/>
        <v>23.07692307692308</v>
      </c>
      <c r="FP110" s="218">
        <f t="shared" si="930"/>
        <v>175.5384615384616</v>
      </c>
      <c r="FQ110" s="242">
        <f t="shared" si="931"/>
        <v>2</v>
      </c>
      <c r="FR110" s="243">
        <f t="shared" si="1032"/>
        <v>173.5384615384616</v>
      </c>
      <c r="FS110" s="218">
        <f t="shared" si="1033"/>
        <v>0</v>
      </c>
      <c r="FU110" s="303" t="s">
        <v>359</v>
      </c>
      <c r="FV110" s="304" t="s">
        <v>86</v>
      </c>
      <c r="FW110" s="305" t="s">
        <v>132</v>
      </c>
      <c r="FX110" s="317">
        <f>Konvention_1slave-MUslave</f>
        <v>12</v>
      </c>
      <c r="FY110" s="254"/>
      <c r="FZ110" s="254">
        <f t="shared" si="1034"/>
        <v>12</v>
      </c>
      <c r="GA110" s="254">
        <f t="shared" si="950"/>
        <v>12</v>
      </c>
      <c r="GB110" s="254"/>
      <c r="GC110" s="254"/>
      <c r="GD110" s="254"/>
      <c r="GE110" s="318"/>
      <c r="GF110" s="223">
        <f t="shared" si="1035"/>
        <v>12</v>
      </c>
      <c r="GG110" s="223">
        <f t="shared" si="1036"/>
        <v>24</v>
      </c>
      <c r="GH110" s="224">
        <f t="shared" si="1037"/>
        <v>36</v>
      </c>
      <c r="GI110" s="237">
        <f t="shared" si="951"/>
        <v>2304</v>
      </c>
      <c r="GJ110" s="254">
        <f>FX110*FZ110*CHslave+FX110*INslave*GA110+MUslave*FZ110*GA110</f>
        <v>3456</v>
      </c>
      <c r="GK110" s="224">
        <f t="shared" si="1038"/>
        <v>1728</v>
      </c>
      <c r="GL110" s="224">
        <f>SUM(GI110:GK110)</f>
        <v>7488</v>
      </c>
      <c r="GM110" s="222">
        <f>GF110*GI110/GL110</f>
        <v>3.6923076923076925</v>
      </c>
      <c r="GN110" s="223">
        <f>GG110*GJ110/GL110</f>
        <v>11.076923076923077</v>
      </c>
      <c r="GO110" s="243">
        <f>GH110*GK110/GL110</f>
        <v>8.3076923076923084</v>
      </c>
      <c r="GP110" s="243">
        <f>SUM(GM110:GO110)</f>
        <v>23.07692307692308</v>
      </c>
      <c r="GQ110" s="252">
        <f t="shared" si="885"/>
        <v>0</v>
      </c>
      <c r="GR110" s="309">
        <f t="shared" si="1044"/>
        <v>23.07692307692308</v>
      </c>
      <c r="GS110" s="218">
        <f t="shared" si="932"/>
        <v>175.5384615384616</v>
      </c>
      <c r="GT110" s="242">
        <f t="shared" si="933"/>
        <v>2</v>
      </c>
      <c r="GU110" s="243">
        <f t="shared" si="1045"/>
        <v>173.5384615384616</v>
      </c>
      <c r="GV110" s="218">
        <f t="shared" si="1046"/>
        <v>0</v>
      </c>
      <c r="GX110" s="303" t="s">
        <v>359</v>
      </c>
      <c r="GY110" s="304" t="s">
        <v>86</v>
      </c>
      <c r="GZ110" s="305" t="s">
        <v>132</v>
      </c>
      <c r="HA110" s="317">
        <f>Konvention_1slave-MUslave</f>
        <v>12</v>
      </c>
      <c r="HB110" s="254"/>
      <c r="HC110" s="254">
        <f t="shared" si="1047"/>
        <v>12</v>
      </c>
      <c r="HD110" s="254">
        <f t="shared" si="952"/>
        <v>12</v>
      </c>
      <c r="HE110" s="254"/>
      <c r="HF110" s="254"/>
      <c r="HG110" s="254"/>
      <c r="HH110" s="318"/>
      <c r="HI110" s="223">
        <f t="shared" si="1048"/>
        <v>12</v>
      </c>
      <c r="HJ110" s="223">
        <f t="shared" si="1049"/>
        <v>24</v>
      </c>
      <c r="HK110" s="224">
        <f t="shared" si="1050"/>
        <v>36</v>
      </c>
      <c r="HL110" s="237">
        <f t="shared" si="953"/>
        <v>2304</v>
      </c>
      <c r="HM110" s="254">
        <f>HA110*HC110*CHslave+HA110*INslave*HD110+MUslave*HC110*HD110</f>
        <v>3456</v>
      </c>
      <c r="HN110" s="224">
        <f t="shared" si="1051"/>
        <v>1728</v>
      </c>
      <c r="HO110" s="224">
        <f>SUM(HL110:HN110)</f>
        <v>7488</v>
      </c>
      <c r="HP110" s="222">
        <f>HI110*HL110/HO110</f>
        <v>3.6923076923076925</v>
      </c>
      <c r="HQ110" s="223">
        <f>HJ110*HM110/HO110</f>
        <v>11.076923076923077</v>
      </c>
      <c r="HR110" s="243">
        <f>HK110*HN110/HO110</f>
        <v>8.3076923076923084</v>
      </c>
      <c r="HS110" s="243">
        <f>SUM(HP110:HR110)</f>
        <v>23.07692307692308</v>
      </c>
      <c r="HT110" s="252">
        <f t="shared" si="896"/>
        <v>0</v>
      </c>
      <c r="HU110" s="309">
        <f t="shared" si="1057"/>
        <v>23.07692307692308</v>
      </c>
      <c r="HV110" s="218">
        <f t="shared" si="934"/>
        <v>175.5384615384616</v>
      </c>
      <c r="HW110" s="242">
        <f t="shared" si="935"/>
        <v>2</v>
      </c>
      <c r="HX110" s="243">
        <f t="shared" si="1058"/>
        <v>173.5384615384616</v>
      </c>
      <c r="HY110" s="218">
        <f t="shared" si="1059"/>
        <v>0</v>
      </c>
      <c r="IA110" s="303" t="s">
        <v>359</v>
      </c>
      <c r="IB110" s="304" t="s">
        <v>86</v>
      </c>
      <c r="IC110" s="305" t="s">
        <v>132</v>
      </c>
      <c r="ID110" s="317">
        <f>Konvention_1slave-MUslave</f>
        <v>12</v>
      </c>
      <c r="IE110" s="254"/>
      <c r="IF110" s="254">
        <f t="shared" si="1060"/>
        <v>12</v>
      </c>
      <c r="IG110" s="254">
        <f t="shared" si="954"/>
        <v>12</v>
      </c>
      <c r="IH110" s="254"/>
      <c r="II110" s="254"/>
      <c r="IJ110" s="254"/>
      <c r="IK110" s="318"/>
      <c r="IL110" s="223">
        <f t="shared" si="1061"/>
        <v>12</v>
      </c>
      <c r="IM110" s="223">
        <f t="shared" si="1062"/>
        <v>24</v>
      </c>
      <c r="IN110" s="224">
        <f t="shared" si="1063"/>
        <v>36</v>
      </c>
      <c r="IO110" s="237">
        <f t="shared" si="955"/>
        <v>2304</v>
      </c>
      <c r="IP110" s="254">
        <f>ID110*IF110*CHslave+ID110*INslave*IG110+MUslave*IF110*IG110</f>
        <v>3456</v>
      </c>
      <c r="IQ110" s="224">
        <f t="shared" si="1064"/>
        <v>1728</v>
      </c>
      <c r="IR110" s="224">
        <f>SUM(IO110:IQ110)</f>
        <v>7488</v>
      </c>
      <c r="IS110" s="222">
        <f>IL110*IO110/IR110</f>
        <v>3.6923076923076925</v>
      </c>
      <c r="IT110" s="223">
        <f>IM110*IP110/IR110</f>
        <v>11.076923076923077</v>
      </c>
      <c r="IU110" s="243">
        <f>IN110*IQ110/IR110</f>
        <v>8.3076923076923084</v>
      </c>
      <c r="IV110" s="243">
        <f>SUM(IS110:IU110)</f>
        <v>23.07692307692308</v>
      </c>
      <c r="IW110" s="252">
        <f t="shared" si="907"/>
        <v>0</v>
      </c>
      <c r="IX110" s="309">
        <f t="shared" si="1070"/>
        <v>23.07692307692308</v>
      </c>
      <c r="IY110" s="218">
        <f t="shared" si="936"/>
        <v>175.5384615384616</v>
      </c>
      <c r="IZ110" s="242">
        <f t="shared" si="937"/>
        <v>2</v>
      </c>
      <c r="JA110" s="243">
        <f t="shared" si="1071"/>
        <v>173.5384615384616</v>
      </c>
      <c r="JB110" s="218">
        <f t="shared" si="1072"/>
        <v>0</v>
      </c>
      <c r="JE110" s="148"/>
    </row>
    <row r="111" spans="2:265" ht="15" hidden="1" customHeight="1" outlineLevel="2">
      <c r="B111" s="148">
        <v>12</v>
      </c>
      <c r="C111" s="303" t="e">
        <f>VLOOKUP(AF111,Attribute!C:T,1,FALSE)</f>
        <v>#N/A</v>
      </c>
      <c r="D111" s="86" t="s">
        <v>86</v>
      </c>
      <c r="E111" s="167" t="s">
        <v>132</v>
      </c>
      <c r="F111" s="120">
        <f>Konvention_1master-MUmaster</f>
        <v>12</v>
      </c>
      <c r="G111" s="117"/>
      <c r="H111" s="117">
        <f t="shared" si="956"/>
        <v>12</v>
      </c>
      <c r="I111" s="117">
        <f t="shared" si="938"/>
        <v>12</v>
      </c>
      <c r="J111" s="117"/>
      <c r="K111" s="117"/>
      <c r="L111" s="117"/>
      <c r="M111" s="121"/>
      <c r="N111" s="223">
        <f t="shared" si="957"/>
        <v>12</v>
      </c>
      <c r="O111" s="223">
        <f t="shared" si="958"/>
        <v>24</v>
      </c>
      <c r="P111" s="224">
        <f t="shared" si="959"/>
        <v>36</v>
      </c>
      <c r="Q111" s="237">
        <f t="shared" si="960"/>
        <v>2304</v>
      </c>
      <c r="R111" s="117">
        <f>F111*H111*CHmaster+F111*INmaster*I111+MUmaster*H111*I111</f>
        <v>3456</v>
      </c>
      <c r="S111" s="224">
        <f t="shared" si="939"/>
        <v>1728</v>
      </c>
      <c r="T111" s="224">
        <f t="shared" si="961"/>
        <v>7488</v>
      </c>
      <c r="U111" s="222">
        <f t="shared" si="962"/>
        <v>3.6923076923076925</v>
      </c>
      <c r="V111" s="223">
        <f t="shared" si="963"/>
        <v>11.076923076923077</v>
      </c>
      <c r="W111" s="243">
        <f t="shared" si="964"/>
        <v>8.3076923076923084</v>
      </c>
      <c r="X111" s="243">
        <f t="shared" si="965"/>
        <v>23.07692307692308</v>
      </c>
      <c r="Y111" s="252">
        <v>0</v>
      </c>
      <c r="Z111" s="198">
        <f t="shared" si="966"/>
        <v>23.07692307692308</v>
      </c>
      <c r="AA111" s="125">
        <f t="shared" si="920"/>
        <v>175.5384615384616</v>
      </c>
      <c r="AB111" s="160">
        <f t="shared" si="921"/>
        <v>2</v>
      </c>
      <c r="AC111" s="127">
        <f t="shared" si="967"/>
        <v>173.5384615384616</v>
      </c>
      <c r="AD111" s="125">
        <f t="shared" si="968"/>
        <v>0</v>
      </c>
      <c r="AF111" s="163" t="s">
        <v>286</v>
      </c>
      <c r="AG111" s="86" t="s">
        <v>86</v>
      </c>
      <c r="AH111" s="167" t="s">
        <v>132</v>
      </c>
      <c r="AI111" s="120">
        <f>Konvention_1slave-MUslave_MU</f>
        <v>11</v>
      </c>
      <c r="AJ111" s="117"/>
      <c r="AK111" s="117">
        <f t="shared" si="969"/>
        <v>12</v>
      </c>
      <c r="AL111" s="117">
        <f t="shared" si="940"/>
        <v>12</v>
      </c>
      <c r="AM111" s="117"/>
      <c r="AN111" s="117"/>
      <c r="AO111" s="117"/>
      <c r="AP111" s="121"/>
      <c r="AQ111" s="47">
        <f t="shared" si="970"/>
        <v>11.666666666666666</v>
      </c>
      <c r="AR111" s="3">
        <f t="shared" si="971"/>
        <v>23.333333333333332</v>
      </c>
      <c r="AS111" s="174">
        <f t="shared" si="972"/>
        <v>35</v>
      </c>
      <c r="AT111" s="114">
        <f t="shared" si="941"/>
        <v>2432</v>
      </c>
      <c r="AU111" s="117">
        <f>AI111*AK111*CHslave+AI111*INslave*AL111+MUslave_MU*AK111*AL111</f>
        <v>3408</v>
      </c>
      <c r="AV111" s="119">
        <f t="shared" si="973"/>
        <v>1584</v>
      </c>
      <c r="AW111" s="119">
        <f t="shared" si="974"/>
        <v>7424</v>
      </c>
      <c r="AX111" s="89">
        <f t="shared" si="975"/>
        <v>3.8218390804597702</v>
      </c>
      <c r="AY111" s="47">
        <f t="shared" si="976"/>
        <v>10.711206896551724</v>
      </c>
      <c r="AZ111" s="127">
        <f t="shared" si="977"/>
        <v>7.4676724137931032</v>
      </c>
      <c r="BA111" s="127">
        <f t="shared" si="978"/>
        <v>22.000718390804597</v>
      </c>
      <c r="BB111" s="165">
        <f t="shared" si="830"/>
        <v>0</v>
      </c>
      <c r="BC111" s="198">
        <f t="shared" si="979"/>
        <v>22.000718390804597</v>
      </c>
      <c r="BD111" s="125">
        <f t="shared" si="922"/>
        <v>154.01436781609189</v>
      </c>
      <c r="BE111" s="160">
        <f t="shared" si="923"/>
        <v>2</v>
      </c>
      <c r="BF111" s="243">
        <f t="shared" si="980"/>
        <v>152.01436781609189</v>
      </c>
      <c r="BG111" s="218">
        <f t="shared" si="981"/>
        <v>0</v>
      </c>
      <c r="BI111" s="303" t="s">
        <v>286</v>
      </c>
      <c r="BJ111" s="304" t="s">
        <v>86</v>
      </c>
      <c r="BK111" s="305" t="s">
        <v>132</v>
      </c>
      <c r="BL111" s="317">
        <f>Konvention_1slave-MUslave</f>
        <v>12</v>
      </c>
      <c r="BM111" s="254"/>
      <c r="BN111" s="254">
        <f t="shared" si="982"/>
        <v>12</v>
      </c>
      <c r="BO111" s="254">
        <f t="shared" si="942"/>
        <v>12</v>
      </c>
      <c r="BP111" s="254"/>
      <c r="BQ111" s="254"/>
      <c r="BR111" s="254"/>
      <c r="BS111" s="318"/>
      <c r="BT111" s="223">
        <f t="shared" si="983"/>
        <v>12</v>
      </c>
      <c r="BU111" s="223">
        <f t="shared" si="984"/>
        <v>24</v>
      </c>
      <c r="BV111" s="224">
        <f t="shared" si="985"/>
        <v>36</v>
      </c>
      <c r="BW111" s="237">
        <f t="shared" si="943"/>
        <v>2304</v>
      </c>
      <c r="BX111" s="254">
        <f>BL111*BN111*CHslave+BL111*INslave*BO111+MUslave*BN111*BO111</f>
        <v>3456</v>
      </c>
      <c r="BY111" s="224">
        <f t="shared" si="986"/>
        <v>1728</v>
      </c>
      <c r="BZ111" s="224">
        <f t="shared" si="987"/>
        <v>7488</v>
      </c>
      <c r="CA111" s="222">
        <f t="shared" si="988"/>
        <v>3.6923076923076925</v>
      </c>
      <c r="CB111" s="223">
        <f t="shared" si="989"/>
        <v>11.076923076923077</v>
      </c>
      <c r="CC111" s="243">
        <f t="shared" si="990"/>
        <v>8.3076923076923084</v>
      </c>
      <c r="CD111" s="243">
        <f t="shared" si="991"/>
        <v>23.07692307692308</v>
      </c>
      <c r="CE111" s="252">
        <f t="shared" si="841"/>
        <v>0</v>
      </c>
      <c r="CF111" s="309">
        <f t="shared" si="992"/>
        <v>23.07692307692308</v>
      </c>
      <c r="CG111" s="218">
        <f t="shared" si="924"/>
        <v>175.5384615384616</v>
      </c>
      <c r="CH111" s="242">
        <f t="shared" si="925"/>
        <v>2</v>
      </c>
      <c r="CI111" s="243">
        <f t="shared" si="993"/>
        <v>173.5384615384616</v>
      </c>
      <c r="CJ111" s="218">
        <f t="shared" si="994"/>
        <v>0</v>
      </c>
      <c r="CL111" s="303" t="s">
        <v>286</v>
      </c>
      <c r="CM111" s="304" t="s">
        <v>86</v>
      </c>
      <c r="CN111" s="305" t="s">
        <v>132</v>
      </c>
      <c r="CO111" s="317">
        <f>Konvention_1slave-MUslave</f>
        <v>12</v>
      </c>
      <c r="CP111" s="254"/>
      <c r="CQ111" s="254">
        <f t="shared" si="995"/>
        <v>11</v>
      </c>
      <c r="CR111" s="254">
        <f t="shared" si="944"/>
        <v>12</v>
      </c>
      <c r="CS111" s="254"/>
      <c r="CT111" s="254"/>
      <c r="CU111" s="254"/>
      <c r="CV111" s="318"/>
      <c r="CW111" s="223">
        <f t="shared" si="996"/>
        <v>11.666666666666666</v>
      </c>
      <c r="CX111" s="223">
        <f t="shared" si="997"/>
        <v>23.333333333333332</v>
      </c>
      <c r="CY111" s="224">
        <f t="shared" si="998"/>
        <v>35</v>
      </c>
      <c r="CZ111" s="237">
        <f t="shared" si="945"/>
        <v>2432</v>
      </c>
      <c r="DA111" s="254">
        <f>CO111*CQ111*CHslave+CO111*INslave_IN*CR111+MUslave*CQ111*CR111</f>
        <v>3408</v>
      </c>
      <c r="DB111" s="224">
        <f t="shared" si="999"/>
        <v>1584</v>
      </c>
      <c r="DC111" s="224">
        <f t="shared" si="1000"/>
        <v>7424</v>
      </c>
      <c r="DD111" s="222">
        <f t="shared" si="1001"/>
        <v>3.8218390804597702</v>
      </c>
      <c r="DE111" s="223">
        <f t="shared" si="1002"/>
        <v>10.711206896551724</v>
      </c>
      <c r="DF111" s="243">
        <f t="shared" si="1003"/>
        <v>7.4676724137931032</v>
      </c>
      <c r="DG111" s="243">
        <f t="shared" si="1004"/>
        <v>22.000718390804597</v>
      </c>
      <c r="DH111" s="252">
        <f t="shared" si="852"/>
        <v>0</v>
      </c>
      <c r="DI111" s="309">
        <f t="shared" si="1005"/>
        <v>22.000718390804597</v>
      </c>
      <c r="DJ111" s="218">
        <f t="shared" si="926"/>
        <v>154.01436781609189</v>
      </c>
      <c r="DK111" s="242">
        <f t="shared" si="927"/>
        <v>2</v>
      </c>
      <c r="DL111" s="243">
        <f t="shared" si="1006"/>
        <v>152.01436781609189</v>
      </c>
      <c r="DM111" s="218">
        <f t="shared" si="1007"/>
        <v>0</v>
      </c>
      <c r="DO111" s="303" t="s">
        <v>286</v>
      </c>
      <c r="DP111" s="304" t="s">
        <v>86</v>
      </c>
      <c r="DQ111" s="305" t="s">
        <v>132</v>
      </c>
      <c r="DR111" s="317">
        <f>Konvention_1slave-MUslave</f>
        <v>12</v>
      </c>
      <c r="DS111" s="254"/>
      <c r="DT111" s="254">
        <f t="shared" si="1008"/>
        <v>12</v>
      </c>
      <c r="DU111" s="254">
        <f t="shared" si="946"/>
        <v>11</v>
      </c>
      <c r="DV111" s="254"/>
      <c r="DW111" s="254"/>
      <c r="DX111" s="254"/>
      <c r="DY111" s="318"/>
      <c r="DZ111" s="223">
        <f t="shared" si="1009"/>
        <v>11.666666666666666</v>
      </c>
      <c r="EA111" s="223">
        <f t="shared" si="1010"/>
        <v>23.333333333333332</v>
      </c>
      <c r="EB111" s="224">
        <f t="shared" si="1011"/>
        <v>35</v>
      </c>
      <c r="EC111" s="237">
        <f t="shared" si="947"/>
        <v>2432</v>
      </c>
      <c r="ED111" s="254">
        <f>DR111*DT111*CHslave_CH+DR111*INslave*DU111+MUslave*DT111*DU111</f>
        <v>3408</v>
      </c>
      <c r="EE111" s="224">
        <f t="shared" si="1012"/>
        <v>1584</v>
      </c>
      <c r="EF111" s="224">
        <f t="shared" si="1013"/>
        <v>7424</v>
      </c>
      <c r="EG111" s="222">
        <f t="shared" si="1014"/>
        <v>3.8218390804597702</v>
      </c>
      <c r="EH111" s="223">
        <f t="shared" si="1015"/>
        <v>10.711206896551724</v>
      </c>
      <c r="EI111" s="243">
        <f t="shared" si="1016"/>
        <v>7.4676724137931032</v>
      </c>
      <c r="EJ111" s="243">
        <f t="shared" si="1017"/>
        <v>22.000718390804597</v>
      </c>
      <c r="EK111" s="252">
        <f t="shared" si="863"/>
        <v>0</v>
      </c>
      <c r="EL111" s="309">
        <f t="shared" si="1018"/>
        <v>22.000718390804597</v>
      </c>
      <c r="EM111" s="218">
        <f t="shared" si="928"/>
        <v>154.01436781609189</v>
      </c>
      <c r="EN111" s="242">
        <f t="shared" si="929"/>
        <v>2</v>
      </c>
      <c r="EO111" s="243">
        <f t="shared" si="1019"/>
        <v>152.01436781609189</v>
      </c>
      <c r="EP111" s="218">
        <f t="shared" si="1020"/>
        <v>0</v>
      </c>
      <c r="ER111" s="303" t="s">
        <v>286</v>
      </c>
      <c r="ES111" s="304" t="s">
        <v>86</v>
      </c>
      <c r="ET111" s="305" t="s">
        <v>132</v>
      </c>
      <c r="EU111" s="317">
        <f>Konvention_1slave-MUslave</f>
        <v>12</v>
      </c>
      <c r="EV111" s="254"/>
      <c r="EW111" s="254">
        <f t="shared" si="1021"/>
        <v>12</v>
      </c>
      <c r="EX111" s="254">
        <f t="shared" si="948"/>
        <v>12</v>
      </c>
      <c r="EY111" s="254"/>
      <c r="EZ111" s="254"/>
      <c r="FA111" s="254"/>
      <c r="FB111" s="318"/>
      <c r="FC111" s="223">
        <f t="shared" si="1022"/>
        <v>12</v>
      </c>
      <c r="FD111" s="223">
        <f t="shared" si="1023"/>
        <v>24</v>
      </c>
      <c r="FE111" s="224">
        <f t="shared" si="1024"/>
        <v>36</v>
      </c>
      <c r="FF111" s="237">
        <f t="shared" si="949"/>
        <v>2304</v>
      </c>
      <c r="FG111" s="254">
        <f>EU111*EW111*CHslave+EU111*INslave*EX111+MUslave*EW111*EX111</f>
        <v>3456</v>
      </c>
      <c r="FH111" s="224">
        <f t="shared" si="1025"/>
        <v>1728</v>
      </c>
      <c r="FI111" s="224">
        <f t="shared" si="1026"/>
        <v>7488</v>
      </c>
      <c r="FJ111" s="222">
        <f t="shared" si="1027"/>
        <v>3.6923076923076925</v>
      </c>
      <c r="FK111" s="223">
        <f t="shared" si="1028"/>
        <v>11.076923076923077</v>
      </c>
      <c r="FL111" s="243">
        <f t="shared" si="1029"/>
        <v>8.3076923076923084</v>
      </c>
      <c r="FM111" s="243">
        <f t="shared" si="1030"/>
        <v>23.07692307692308</v>
      </c>
      <c r="FN111" s="252">
        <f t="shared" si="874"/>
        <v>0</v>
      </c>
      <c r="FO111" s="309">
        <f t="shared" si="1031"/>
        <v>23.07692307692308</v>
      </c>
      <c r="FP111" s="218">
        <f t="shared" si="930"/>
        <v>175.5384615384616</v>
      </c>
      <c r="FQ111" s="242">
        <f t="shared" si="931"/>
        <v>2</v>
      </c>
      <c r="FR111" s="243">
        <f t="shared" si="1032"/>
        <v>173.5384615384616</v>
      </c>
      <c r="FS111" s="218">
        <f t="shared" si="1033"/>
        <v>0</v>
      </c>
      <c r="FU111" s="303" t="s">
        <v>286</v>
      </c>
      <c r="FV111" s="304" t="s">
        <v>86</v>
      </c>
      <c r="FW111" s="305" t="s">
        <v>132</v>
      </c>
      <c r="FX111" s="317">
        <f>Konvention_1slave-MUslave</f>
        <v>12</v>
      </c>
      <c r="FY111" s="254"/>
      <c r="FZ111" s="254">
        <f t="shared" si="1034"/>
        <v>12</v>
      </c>
      <c r="GA111" s="254">
        <f t="shared" si="950"/>
        <v>12</v>
      </c>
      <c r="GB111" s="254"/>
      <c r="GC111" s="254"/>
      <c r="GD111" s="254"/>
      <c r="GE111" s="318"/>
      <c r="GF111" s="223">
        <f t="shared" si="1035"/>
        <v>12</v>
      </c>
      <c r="GG111" s="223">
        <f t="shared" si="1036"/>
        <v>24</v>
      </c>
      <c r="GH111" s="224">
        <f t="shared" si="1037"/>
        <v>36</v>
      </c>
      <c r="GI111" s="237">
        <f t="shared" si="951"/>
        <v>2304</v>
      </c>
      <c r="GJ111" s="254">
        <f>FX111*FZ111*CHslave+FX111*INslave*GA111+MUslave*FZ111*GA111</f>
        <v>3456</v>
      </c>
      <c r="GK111" s="224">
        <f t="shared" si="1038"/>
        <v>1728</v>
      </c>
      <c r="GL111" s="224">
        <f t="shared" si="1039"/>
        <v>7488</v>
      </c>
      <c r="GM111" s="222">
        <f t="shared" si="1040"/>
        <v>3.6923076923076925</v>
      </c>
      <c r="GN111" s="223">
        <f t="shared" si="1041"/>
        <v>11.076923076923077</v>
      </c>
      <c r="GO111" s="243">
        <f t="shared" si="1042"/>
        <v>8.3076923076923084</v>
      </c>
      <c r="GP111" s="243">
        <f t="shared" si="1043"/>
        <v>23.07692307692308</v>
      </c>
      <c r="GQ111" s="252">
        <f t="shared" si="885"/>
        <v>0</v>
      </c>
      <c r="GR111" s="309">
        <f t="shared" si="1044"/>
        <v>23.07692307692308</v>
      </c>
      <c r="GS111" s="218">
        <f t="shared" si="932"/>
        <v>175.5384615384616</v>
      </c>
      <c r="GT111" s="242">
        <f t="shared" si="933"/>
        <v>2</v>
      </c>
      <c r="GU111" s="243">
        <f t="shared" si="1045"/>
        <v>173.5384615384616</v>
      </c>
      <c r="GV111" s="218">
        <f t="shared" si="1046"/>
        <v>0</v>
      </c>
      <c r="GX111" s="303" t="s">
        <v>286</v>
      </c>
      <c r="GY111" s="304" t="s">
        <v>86</v>
      </c>
      <c r="GZ111" s="305" t="s">
        <v>132</v>
      </c>
      <c r="HA111" s="317">
        <f>Konvention_1slave-MUslave</f>
        <v>12</v>
      </c>
      <c r="HB111" s="254"/>
      <c r="HC111" s="254">
        <f t="shared" si="1047"/>
        <v>12</v>
      </c>
      <c r="HD111" s="254">
        <f t="shared" si="952"/>
        <v>12</v>
      </c>
      <c r="HE111" s="254"/>
      <c r="HF111" s="254"/>
      <c r="HG111" s="254"/>
      <c r="HH111" s="318"/>
      <c r="HI111" s="223">
        <f t="shared" si="1048"/>
        <v>12</v>
      </c>
      <c r="HJ111" s="223">
        <f t="shared" si="1049"/>
        <v>24</v>
      </c>
      <c r="HK111" s="224">
        <f t="shared" si="1050"/>
        <v>36</v>
      </c>
      <c r="HL111" s="237">
        <f t="shared" si="953"/>
        <v>2304</v>
      </c>
      <c r="HM111" s="254">
        <f>HA111*HC111*CHslave+HA111*INslave*HD111+MUslave*HC111*HD111</f>
        <v>3456</v>
      </c>
      <c r="HN111" s="224">
        <f t="shared" si="1051"/>
        <v>1728</v>
      </c>
      <c r="HO111" s="224">
        <f t="shared" si="1052"/>
        <v>7488</v>
      </c>
      <c r="HP111" s="222">
        <f t="shared" si="1053"/>
        <v>3.6923076923076925</v>
      </c>
      <c r="HQ111" s="223">
        <f t="shared" si="1054"/>
        <v>11.076923076923077</v>
      </c>
      <c r="HR111" s="243">
        <f t="shared" si="1055"/>
        <v>8.3076923076923084</v>
      </c>
      <c r="HS111" s="243">
        <f t="shared" si="1056"/>
        <v>23.07692307692308</v>
      </c>
      <c r="HT111" s="252">
        <f t="shared" si="896"/>
        <v>0</v>
      </c>
      <c r="HU111" s="309">
        <f t="shared" si="1057"/>
        <v>23.07692307692308</v>
      </c>
      <c r="HV111" s="218">
        <f t="shared" si="934"/>
        <v>175.5384615384616</v>
      </c>
      <c r="HW111" s="242">
        <f t="shared" si="935"/>
        <v>2</v>
      </c>
      <c r="HX111" s="243">
        <f t="shared" si="1058"/>
        <v>173.5384615384616</v>
      </c>
      <c r="HY111" s="218">
        <f t="shared" si="1059"/>
        <v>0</v>
      </c>
      <c r="IA111" s="303" t="s">
        <v>286</v>
      </c>
      <c r="IB111" s="304" t="s">
        <v>86</v>
      </c>
      <c r="IC111" s="305" t="s">
        <v>132</v>
      </c>
      <c r="ID111" s="317">
        <f>Konvention_1slave-MUslave</f>
        <v>12</v>
      </c>
      <c r="IE111" s="254"/>
      <c r="IF111" s="254">
        <f t="shared" si="1060"/>
        <v>12</v>
      </c>
      <c r="IG111" s="254">
        <f t="shared" si="954"/>
        <v>12</v>
      </c>
      <c r="IH111" s="254"/>
      <c r="II111" s="254"/>
      <c r="IJ111" s="254"/>
      <c r="IK111" s="318"/>
      <c r="IL111" s="223">
        <f t="shared" si="1061"/>
        <v>12</v>
      </c>
      <c r="IM111" s="223">
        <f t="shared" si="1062"/>
        <v>24</v>
      </c>
      <c r="IN111" s="224">
        <f t="shared" si="1063"/>
        <v>36</v>
      </c>
      <c r="IO111" s="237">
        <f t="shared" si="955"/>
        <v>2304</v>
      </c>
      <c r="IP111" s="254">
        <f>ID111*IF111*CHslave+ID111*INslave*IG111+MUslave*IF111*IG111</f>
        <v>3456</v>
      </c>
      <c r="IQ111" s="224">
        <f t="shared" si="1064"/>
        <v>1728</v>
      </c>
      <c r="IR111" s="224">
        <f t="shared" si="1065"/>
        <v>7488</v>
      </c>
      <c r="IS111" s="222">
        <f t="shared" si="1066"/>
        <v>3.6923076923076925</v>
      </c>
      <c r="IT111" s="223">
        <f t="shared" si="1067"/>
        <v>11.076923076923077</v>
      </c>
      <c r="IU111" s="243">
        <f t="shared" si="1068"/>
        <v>8.3076923076923084</v>
      </c>
      <c r="IV111" s="243">
        <f t="shared" si="1069"/>
        <v>23.07692307692308</v>
      </c>
      <c r="IW111" s="252">
        <f t="shared" si="907"/>
        <v>0</v>
      </c>
      <c r="IX111" s="309">
        <f t="shared" si="1070"/>
        <v>23.07692307692308</v>
      </c>
      <c r="IY111" s="218">
        <f t="shared" si="936"/>
        <v>175.5384615384616</v>
      </c>
      <c r="IZ111" s="242">
        <f t="shared" si="937"/>
        <v>2</v>
      </c>
      <c r="JA111" s="243">
        <f t="shared" si="1071"/>
        <v>173.5384615384616</v>
      </c>
      <c r="JB111" s="218">
        <f t="shared" si="1072"/>
        <v>0</v>
      </c>
      <c r="JE111" s="148"/>
    </row>
    <row r="112" spans="2:265" ht="15" hidden="1" customHeight="1" outlineLevel="2">
      <c r="B112" s="148">
        <v>13</v>
      </c>
      <c r="C112" s="303" t="e">
        <f>VLOOKUP(AF112,Attribute!C:T,1,FALSE)</f>
        <v>#N/A</v>
      </c>
      <c r="D112" s="86" t="s">
        <v>171</v>
      </c>
      <c r="E112" s="167" t="s">
        <v>132</v>
      </c>
      <c r="F112" s="120"/>
      <c r="G112" s="117"/>
      <c r="H112" s="117">
        <f t="shared" si="956"/>
        <v>12</v>
      </c>
      <c r="I112" s="117"/>
      <c r="J112" s="117">
        <f>Konvention_1master-FFmaster</f>
        <v>12</v>
      </c>
      <c r="K112" s="117"/>
      <c r="L112" s="117">
        <f>Konvention_1master-KOmaster</f>
        <v>12</v>
      </c>
      <c r="M112" s="121"/>
      <c r="N112" s="223">
        <f t="shared" si="957"/>
        <v>12</v>
      </c>
      <c r="O112" s="223">
        <f t="shared" si="958"/>
        <v>24</v>
      </c>
      <c r="P112" s="224">
        <f t="shared" si="959"/>
        <v>36</v>
      </c>
      <c r="Q112" s="237">
        <f t="shared" si="960"/>
        <v>2304</v>
      </c>
      <c r="R112" s="117">
        <f>H112*J112*KOmaster+H112*FFmaster*L112+INmaster*J112*L112</f>
        <v>3456</v>
      </c>
      <c r="S112" s="224">
        <f t="shared" si="939"/>
        <v>1728</v>
      </c>
      <c r="T112" s="224">
        <f t="shared" si="961"/>
        <v>7488</v>
      </c>
      <c r="U112" s="222">
        <f t="shared" si="962"/>
        <v>3.6923076923076925</v>
      </c>
      <c r="V112" s="223">
        <f t="shared" si="963"/>
        <v>11.076923076923077</v>
      </c>
      <c r="W112" s="243">
        <f t="shared" si="964"/>
        <v>8.3076923076923084</v>
      </c>
      <c r="X112" s="243">
        <f t="shared" si="965"/>
        <v>23.07692307692308</v>
      </c>
      <c r="Y112" s="252">
        <v>0</v>
      </c>
      <c r="Z112" s="198">
        <f t="shared" si="966"/>
        <v>23.07692307692308</v>
      </c>
      <c r="AA112" s="125">
        <f t="shared" si="920"/>
        <v>175.5384615384616</v>
      </c>
      <c r="AB112" s="160">
        <f t="shared" si="921"/>
        <v>2</v>
      </c>
      <c r="AC112" s="127">
        <f t="shared" si="967"/>
        <v>173.5384615384616</v>
      </c>
      <c r="AD112" s="125">
        <f t="shared" si="968"/>
        <v>0</v>
      </c>
      <c r="AF112" s="163" t="s">
        <v>287</v>
      </c>
      <c r="AG112" s="86" t="s">
        <v>171</v>
      </c>
      <c r="AH112" s="167" t="s">
        <v>132</v>
      </c>
      <c r="AI112" s="120"/>
      <c r="AJ112" s="117"/>
      <c r="AK112" s="117">
        <f t="shared" si="969"/>
        <v>12</v>
      </c>
      <c r="AL112" s="117"/>
      <c r="AM112" s="117">
        <f>Konvention_1slave-FFslave</f>
        <v>12</v>
      </c>
      <c r="AN112" s="117"/>
      <c r="AO112" s="117">
        <f>Konvention_1slave-KOslave</f>
        <v>12</v>
      </c>
      <c r="AP112" s="121"/>
      <c r="AQ112" s="47">
        <f t="shared" si="970"/>
        <v>12</v>
      </c>
      <c r="AR112" s="3">
        <f t="shared" si="971"/>
        <v>24</v>
      </c>
      <c r="AS112" s="174">
        <f t="shared" si="972"/>
        <v>36</v>
      </c>
      <c r="AT112" s="114">
        <f t="shared" si="941"/>
        <v>2304</v>
      </c>
      <c r="AU112" s="117">
        <f>AK112*AM112*KOslave+AK112*FFslave*AO112+INslave*AM112*AO112</f>
        <v>3456</v>
      </c>
      <c r="AV112" s="119">
        <f t="shared" si="973"/>
        <v>1728</v>
      </c>
      <c r="AW112" s="119">
        <f t="shared" si="974"/>
        <v>7488</v>
      </c>
      <c r="AX112" s="89">
        <f t="shared" si="975"/>
        <v>3.6923076923076925</v>
      </c>
      <c r="AY112" s="47">
        <f t="shared" si="976"/>
        <v>11.076923076923077</v>
      </c>
      <c r="AZ112" s="127">
        <f t="shared" si="977"/>
        <v>8.3076923076923084</v>
      </c>
      <c r="BA112" s="127">
        <f t="shared" si="978"/>
        <v>23.07692307692308</v>
      </c>
      <c r="BB112" s="165">
        <f t="shared" si="830"/>
        <v>0</v>
      </c>
      <c r="BC112" s="198">
        <f t="shared" si="979"/>
        <v>23.07692307692308</v>
      </c>
      <c r="BD112" s="125">
        <f t="shared" si="922"/>
        <v>175.5384615384616</v>
      </c>
      <c r="BE112" s="160">
        <f t="shared" si="923"/>
        <v>2</v>
      </c>
      <c r="BF112" s="243">
        <f t="shared" si="980"/>
        <v>173.5384615384616</v>
      </c>
      <c r="BG112" s="218">
        <f t="shared" si="981"/>
        <v>0</v>
      </c>
      <c r="BI112" s="303" t="s">
        <v>287</v>
      </c>
      <c r="BJ112" s="304" t="s">
        <v>171</v>
      </c>
      <c r="BK112" s="305" t="s">
        <v>132</v>
      </c>
      <c r="BL112" s="317"/>
      <c r="BM112" s="254"/>
      <c r="BN112" s="254">
        <f t="shared" si="982"/>
        <v>12</v>
      </c>
      <c r="BO112" s="254"/>
      <c r="BP112" s="254">
        <f>Konvention_1slave-FFslave</f>
        <v>12</v>
      </c>
      <c r="BQ112" s="254"/>
      <c r="BR112" s="254">
        <f>Konvention_1slave-KOslave</f>
        <v>12</v>
      </c>
      <c r="BS112" s="318"/>
      <c r="BT112" s="223">
        <f t="shared" si="983"/>
        <v>12</v>
      </c>
      <c r="BU112" s="223">
        <f t="shared" si="984"/>
        <v>24</v>
      </c>
      <c r="BV112" s="224">
        <f t="shared" si="985"/>
        <v>36</v>
      </c>
      <c r="BW112" s="237">
        <f t="shared" si="943"/>
        <v>2304</v>
      </c>
      <c r="BX112" s="254">
        <f>BN112*BP112*KOslave+BN112*FFslave*BR112+INslave*BP112*BR112</f>
        <v>3456</v>
      </c>
      <c r="BY112" s="224">
        <f t="shared" si="986"/>
        <v>1728</v>
      </c>
      <c r="BZ112" s="224">
        <f t="shared" si="987"/>
        <v>7488</v>
      </c>
      <c r="CA112" s="222">
        <f t="shared" si="988"/>
        <v>3.6923076923076925</v>
      </c>
      <c r="CB112" s="223">
        <f t="shared" si="989"/>
        <v>11.076923076923077</v>
      </c>
      <c r="CC112" s="243">
        <f t="shared" si="990"/>
        <v>8.3076923076923084</v>
      </c>
      <c r="CD112" s="243">
        <f t="shared" si="991"/>
        <v>23.07692307692308</v>
      </c>
      <c r="CE112" s="252">
        <f t="shared" si="841"/>
        <v>0</v>
      </c>
      <c r="CF112" s="309">
        <f t="shared" si="992"/>
        <v>23.07692307692308</v>
      </c>
      <c r="CG112" s="218">
        <f t="shared" si="924"/>
        <v>175.5384615384616</v>
      </c>
      <c r="CH112" s="242">
        <f t="shared" si="925"/>
        <v>2</v>
      </c>
      <c r="CI112" s="243">
        <f t="shared" si="993"/>
        <v>173.5384615384616</v>
      </c>
      <c r="CJ112" s="218">
        <f t="shared" si="994"/>
        <v>0</v>
      </c>
      <c r="CL112" s="303" t="s">
        <v>287</v>
      </c>
      <c r="CM112" s="304" t="s">
        <v>171</v>
      </c>
      <c r="CN112" s="305" t="s">
        <v>132</v>
      </c>
      <c r="CO112" s="317"/>
      <c r="CP112" s="254"/>
      <c r="CQ112" s="254">
        <f t="shared" si="995"/>
        <v>11</v>
      </c>
      <c r="CR112" s="254"/>
      <c r="CS112" s="254">
        <f>Konvention_1slave-FFslave</f>
        <v>12</v>
      </c>
      <c r="CT112" s="254"/>
      <c r="CU112" s="254">
        <f>Konvention_1slave-KOslave</f>
        <v>12</v>
      </c>
      <c r="CV112" s="318"/>
      <c r="CW112" s="223">
        <f t="shared" si="996"/>
        <v>11.666666666666666</v>
      </c>
      <c r="CX112" s="223">
        <f t="shared" si="997"/>
        <v>23.333333333333332</v>
      </c>
      <c r="CY112" s="224">
        <f t="shared" si="998"/>
        <v>35</v>
      </c>
      <c r="CZ112" s="237">
        <f t="shared" si="945"/>
        <v>2432</v>
      </c>
      <c r="DA112" s="254">
        <f>CQ112*CS112*KOslave+CQ112*FFslave*CU112+INslave_IN*CS112*CU112</f>
        <v>3408</v>
      </c>
      <c r="DB112" s="224">
        <f t="shared" si="999"/>
        <v>1584</v>
      </c>
      <c r="DC112" s="224">
        <f t="shared" si="1000"/>
        <v>7424</v>
      </c>
      <c r="DD112" s="222">
        <f t="shared" si="1001"/>
        <v>3.8218390804597702</v>
      </c>
      <c r="DE112" s="223">
        <f t="shared" si="1002"/>
        <v>10.711206896551724</v>
      </c>
      <c r="DF112" s="243">
        <f t="shared" si="1003"/>
        <v>7.4676724137931032</v>
      </c>
      <c r="DG112" s="243">
        <f t="shared" si="1004"/>
        <v>22.000718390804597</v>
      </c>
      <c r="DH112" s="252">
        <f t="shared" si="852"/>
        <v>0</v>
      </c>
      <c r="DI112" s="309">
        <f t="shared" si="1005"/>
        <v>22.000718390804597</v>
      </c>
      <c r="DJ112" s="218">
        <f t="shared" si="926"/>
        <v>154.01436781609189</v>
      </c>
      <c r="DK112" s="242">
        <f t="shared" si="927"/>
        <v>2</v>
      </c>
      <c r="DL112" s="243">
        <f t="shared" si="1006"/>
        <v>152.01436781609189</v>
      </c>
      <c r="DM112" s="218">
        <f t="shared" si="1007"/>
        <v>0</v>
      </c>
      <c r="DO112" s="303" t="s">
        <v>287</v>
      </c>
      <c r="DP112" s="304" t="s">
        <v>171</v>
      </c>
      <c r="DQ112" s="305" t="s">
        <v>132</v>
      </c>
      <c r="DR112" s="317"/>
      <c r="DS112" s="254"/>
      <c r="DT112" s="254">
        <f t="shared" si="1008"/>
        <v>12</v>
      </c>
      <c r="DU112" s="254"/>
      <c r="DV112" s="254">
        <f>Konvention_1slave-FFslave</f>
        <v>12</v>
      </c>
      <c r="DW112" s="254"/>
      <c r="DX112" s="254">
        <f>Konvention_1slave-KOslave</f>
        <v>12</v>
      </c>
      <c r="DY112" s="318"/>
      <c r="DZ112" s="223">
        <f t="shared" si="1009"/>
        <v>12</v>
      </c>
      <c r="EA112" s="223">
        <f t="shared" si="1010"/>
        <v>24</v>
      </c>
      <c r="EB112" s="224">
        <f t="shared" si="1011"/>
        <v>36</v>
      </c>
      <c r="EC112" s="237">
        <f t="shared" si="947"/>
        <v>2304</v>
      </c>
      <c r="ED112" s="254">
        <f>DT112*DV112*KOslave+DT112*FFslave*DX112+INslave*DV112*DX112</f>
        <v>3456</v>
      </c>
      <c r="EE112" s="224">
        <f t="shared" si="1012"/>
        <v>1728</v>
      </c>
      <c r="EF112" s="224">
        <f t="shared" si="1013"/>
        <v>7488</v>
      </c>
      <c r="EG112" s="222">
        <f t="shared" si="1014"/>
        <v>3.6923076923076925</v>
      </c>
      <c r="EH112" s="223">
        <f t="shared" si="1015"/>
        <v>11.076923076923077</v>
      </c>
      <c r="EI112" s="243">
        <f t="shared" si="1016"/>
        <v>8.3076923076923084</v>
      </c>
      <c r="EJ112" s="243">
        <f t="shared" si="1017"/>
        <v>23.07692307692308</v>
      </c>
      <c r="EK112" s="252">
        <f t="shared" si="863"/>
        <v>0</v>
      </c>
      <c r="EL112" s="309">
        <f t="shared" si="1018"/>
        <v>23.07692307692308</v>
      </c>
      <c r="EM112" s="218">
        <f t="shared" si="928"/>
        <v>175.5384615384616</v>
      </c>
      <c r="EN112" s="242">
        <f t="shared" si="929"/>
        <v>2</v>
      </c>
      <c r="EO112" s="243">
        <f t="shared" si="1019"/>
        <v>173.5384615384616</v>
      </c>
      <c r="EP112" s="218">
        <f t="shared" si="1020"/>
        <v>0</v>
      </c>
      <c r="ER112" s="303" t="s">
        <v>287</v>
      </c>
      <c r="ES112" s="304" t="s">
        <v>171</v>
      </c>
      <c r="ET112" s="305" t="s">
        <v>132</v>
      </c>
      <c r="EU112" s="317"/>
      <c r="EV112" s="254"/>
      <c r="EW112" s="254">
        <f t="shared" si="1021"/>
        <v>12</v>
      </c>
      <c r="EX112" s="254"/>
      <c r="EY112" s="254">
        <f>Konvention_1slave-FFslave_FF</f>
        <v>11</v>
      </c>
      <c r="EZ112" s="254"/>
      <c r="FA112" s="254">
        <f>Konvention_1slave-KOslave</f>
        <v>12</v>
      </c>
      <c r="FB112" s="318"/>
      <c r="FC112" s="223">
        <f t="shared" si="1022"/>
        <v>11.666666666666666</v>
      </c>
      <c r="FD112" s="223">
        <f t="shared" si="1023"/>
        <v>23.333333333333332</v>
      </c>
      <c r="FE112" s="224">
        <f t="shared" si="1024"/>
        <v>35</v>
      </c>
      <c r="FF112" s="237">
        <f t="shared" si="949"/>
        <v>2432</v>
      </c>
      <c r="FG112" s="254">
        <f>EW112*EY112*KOslave+EW112*FFslave_FF*FA112+INslave*EY112*FA112</f>
        <v>3408</v>
      </c>
      <c r="FH112" s="224">
        <f t="shared" si="1025"/>
        <v>1584</v>
      </c>
      <c r="FI112" s="224">
        <f t="shared" si="1026"/>
        <v>7424</v>
      </c>
      <c r="FJ112" s="222">
        <f t="shared" si="1027"/>
        <v>3.8218390804597702</v>
      </c>
      <c r="FK112" s="223">
        <f t="shared" si="1028"/>
        <v>10.711206896551724</v>
      </c>
      <c r="FL112" s="243">
        <f t="shared" si="1029"/>
        <v>7.4676724137931032</v>
      </c>
      <c r="FM112" s="243">
        <f t="shared" si="1030"/>
        <v>22.000718390804597</v>
      </c>
      <c r="FN112" s="252">
        <f t="shared" si="874"/>
        <v>0</v>
      </c>
      <c r="FO112" s="309">
        <f t="shared" si="1031"/>
        <v>22.000718390804597</v>
      </c>
      <c r="FP112" s="218">
        <f t="shared" si="930"/>
        <v>154.01436781609189</v>
      </c>
      <c r="FQ112" s="242">
        <f t="shared" si="931"/>
        <v>2</v>
      </c>
      <c r="FR112" s="243">
        <f t="shared" si="1032"/>
        <v>152.01436781609189</v>
      </c>
      <c r="FS112" s="218">
        <f t="shared" si="1033"/>
        <v>0</v>
      </c>
      <c r="FU112" s="303" t="s">
        <v>287</v>
      </c>
      <c r="FV112" s="304" t="s">
        <v>171</v>
      </c>
      <c r="FW112" s="305" t="s">
        <v>132</v>
      </c>
      <c r="FX112" s="317"/>
      <c r="FY112" s="254"/>
      <c r="FZ112" s="254">
        <f t="shared" si="1034"/>
        <v>12</v>
      </c>
      <c r="GA112" s="254"/>
      <c r="GB112" s="254">
        <f>Konvention_1slave-FFslave</f>
        <v>12</v>
      </c>
      <c r="GC112" s="254"/>
      <c r="GD112" s="254">
        <f>Konvention_1slave-KOslave</f>
        <v>12</v>
      </c>
      <c r="GE112" s="318"/>
      <c r="GF112" s="223">
        <f t="shared" si="1035"/>
        <v>12</v>
      </c>
      <c r="GG112" s="223">
        <f t="shared" si="1036"/>
        <v>24</v>
      </c>
      <c r="GH112" s="224">
        <f t="shared" si="1037"/>
        <v>36</v>
      </c>
      <c r="GI112" s="237">
        <f t="shared" si="951"/>
        <v>2304</v>
      </c>
      <c r="GJ112" s="254">
        <f>FZ112*GB112*KOslave+FZ112*FFslave*GD112+INslave*GB112*GD112</f>
        <v>3456</v>
      </c>
      <c r="GK112" s="224">
        <f t="shared" si="1038"/>
        <v>1728</v>
      </c>
      <c r="GL112" s="224">
        <f t="shared" si="1039"/>
        <v>7488</v>
      </c>
      <c r="GM112" s="222">
        <f t="shared" si="1040"/>
        <v>3.6923076923076925</v>
      </c>
      <c r="GN112" s="223">
        <f t="shared" si="1041"/>
        <v>11.076923076923077</v>
      </c>
      <c r="GO112" s="243">
        <f t="shared" si="1042"/>
        <v>8.3076923076923084</v>
      </c>
      <c r="GP112" s="243">
        <f t="shared" si="1043"/>
        <v>23.07692307692308</v>
      </c>
      <c r="GQ112" s="252">
        <f t="shared" si="885"/>
        <v>0</v>
      </c>
      <c r="GR112" s="309">
        <f t="shared" si="1044"/>
        <v>23.07692307692308</v>
      </c>
      <c r="GS112" s="218">
        <f t="shared" si="932"/>
        <v>175.5384615384616</v>
      </c>
      <c r="GT112" s="242">
        <f t="shared" si="933"/>
        <v>2</v>
      </c>
      <c r="GU112" s="243">
        <f t="shared" si="1045"/>
        <v>173.5384615384616</v>
      </c>
      <c r="GV112" s="218">
        <f t="shared" si="1046"/>
        <v>0</v>
      </c>
      <c r="GX112" s="303" t="s">
        <v>287</v>
      </c>
      <c r="GY112" s="304" t="s">
        <v>171</v>
      </c>
      <c r="GZ112" s="305" t="s">
        <v>132</v>
      </c>
      <c r="HA112" s="317"/>
      <c r="HB112" s="254"/>
      <c r="HC112" s="254">
        <f t="shared" si="1047"/>
        <v>12</v>
      </c>
      <c r="HD112" s="254"/>
      <c r="HE112" s="254">
        <f>Konvention_1slave-FFslave</f>
        <v>12</v>
      </c>
      <c r="HF112" s="254"/>
      <c r="HG112" s="254">
        <f>Konvention_1slave-KOslave_KO</f>
        <v>11</v>
      </c>
      <c r="HH112" s="318"/>
      <c r="HI112" s="223">
        <f t="shared" si="1048"/>
        <v>11.666666666666666</v>
      </c>
      <c r="HJ112" s="223">
        <f t="shared" si="1049"/>
        <v>23.333333333333332</v>
      </c>
      <c r="HK112" s="224">
        <f t="shared" si="1050"/>
        <v>35</v>
      </c>
      <c r="HL112" s="237">
        <f t="shared" si="953"/>
        <v>2432</v>
      </c>
      <c r="HM112" s="254">
        <f>HC112*HE112*KOslave_KO+HC112*FFslave*HG112+INslave*HE112*HG112</f>
        <v>3408</v>
      </c>
      <c r="HN112" s="224">
        <f t="shared" si="1051"/>
        <v>1584</v>
      </c>
      <c r="HO112" s="224">
        <f t="shared" si="1052"/>
        <v>7424</v>
      </c>
      <c r="HP112" s="222">
        <f t="shared" si="1053"/>
        <v>3.8218390804597702</v>
      </c>
      <c r="HQ112" s="223">
        <f t="shared" si="1054"/>
        <v>10.711206896551724</v>
      </c>
      <c r="HR112" s="243">
        <f t="shared" si="1055"/>
        <v>7.4676724137931032</v>
      </c>
      <c r="HS112" s="243">
        <f t="shared" si="1056"/>
        <v>22.000718390804597</v>
      </c>
      <c r="HT112" s="252">
        <f t="shared" si="896"/>
        <v>0</v>
      </c>
      <c r="HU112" s="309">
        <f t="shared" si="1057"/>
        <v>22.000718390804597</v>
      </c>
      <c r="HV112" s="218">
        <f t="shared" si="934"/>
        <v>154.01436781609189</v>
      </c>
      <c r="HW112" s="242">
        <f t="shared" si="935"/>
        <v>2</v>
      </c>
      <c r="HX112" s="243">
        <f t="shared" si="1058"/>
        <v>152.01436781609189</v>
      </c>
      <c r="HY112" s="218">
        <f t="shared" si="1059"/>
        <v>0</v>
      </c>
      <c r="IA112" s="303" t="s">
        <v>287</v>
      </c>
      <c r="IB112" s="304" t="s">
        <v>171</v>
      </c>
      <c r="IC112" s="305" t="s">
        <v>132</v>
      </c>
      <c r="ID112" s="317"/>
      <c r="IE112" s="254"/>
      <c r="IF112" s="254">
        <f t="shared" si="1060"/>
        <v>12</v>
      </c>
      <c r="IG112" s="254"/>
      <c r="IH112" s="254">
        <f>Konvention_1slave-FFslave</f>
        <v>12</v>
      </c>
      <c r="II112" s="254"/>
      <c r="IJ112" s="254">
        <f>Konvention_1slave-KOslave</f>
        <v>12</v>
      </c>
      <c r="IK112" s="318"/>
      <c r="IL112" s="223">
        <f t="shared" si="1061"/>
        <v>12</v>
      </c>
      <c r="IM112" s="223">
        <f t="shared" si="1062"/>
        <v>24</v>
      </c>
      <c r="IN112" s="224">
        <f t="shared" si="1063"/>
        <v>36</v>
      </c>
      <c r="IO112" s="237">
        <f t="shared" si="955"/>
        <v>2304</v>
      </c>
      <c r="IP112" s="254">
        <f>IF112*IH112*KOslave+IF112*FFslave*IJ112+INslave*IH112*IJ112</f>
        <v>3456</v>
      </c>
      <c r="IQ112" s="224">
        <f t="shared" si="1064"/>
        <v>1728</v>
      </c>
      <c r="IR112" s="224">
        <f t="shared" si="1065"/>
        <v>7488</v>
      </c>
      <c r="IS112" s="222">
        <f t="shared" si="1066"/>
        <v>3.6923076923076925</v>
      </c>
      <c r="IT112" s="223">
        <f t="shared" si="1067"/>
        <v>11.076923076923077</v>
      </c>
      <c r="IU112" s="243">
        <f t="shared" si="1068"/>
        <v>8.3076923076923084</v>
      </c>
      <c r="IV112" s="243">
        <f t="shared" si="1069"/>
        <v>23.07692307692308</v>
      </c>
      <c r="IW112" s="252">
        <f t="shared" si="907"/>
        <v>0</v>
      </c>
      <c r="IX112" s="309">
        <f t="shared" si="1070"/>
        <v>23.07692307692308</v>
      </c>
      <c r="IY112" s="218">
        <f t="shared" si="936"/>
        <v>175.5384615384616</v>
      </c>
      <c r="IZ112" s="242">
        <f t="shared" si="937"/>
        <v>2</v>
      </c>
      <c r="JA112" s="243">
        <f t="shared" si="1071"/>
        <v>173.5384615384616</v>
      </c>
      <c r="JB112" s="218">
        <f t="shared" si="1072"/>
        <v>0</v>
      </c>
      <c r="JE112" s="148"/>
    </row>
    <row r="113" spans="2:265" hidden="1" outlineLevel="2">
      <c r="B113" s="148">
        <v>14</v>
      </c>
      <c r="C113" s="303" t="e">
        <f>VLOOKUP(AF113,Attribute!C:T,1,FALSE)</f>
        <v>#N/A</v>
      </c>
      <c r="D113" s="86" t="s">
        <v>87</v>
      </c>
      <c r="E113" s="167" t="s">
        <v>132</v>
      </c>
      <c r="F113" s="120"/>
      <c r="G113" s="117">
        <f>Konvention_1master-KLmaster</f>
        <v>12</v>
      </c>
      <c r="H113" s="117">
        <f t="shared" si="956"/>
        <v>12</v>
      </c>
      <c r="I113" s="117">
        <f t="shared" ref="I113:I119" si="1073">Konvention_1master-CHmaster</f>
        <v>12</v>
      </c>
      <c r="J113" s="117"/>
      <c r="K113" s="117"/>
      <c r="L113" s="117"/>
      <c r="M113" s="121"/>
      <c r="N113" s="223">
        <f t="shared" si="957"/>
        <v>12</v>
      </c>
      <c r="O113" s="223">
        <f t="shared" si="958"/>
        <v>24</v>
      </c>
      <c r="P113" s="224">
        <f t="shared" si="959"/>
        <v>36</v>
      </c>
      <c r="Q113" s="237">
        <f t="shared" si="960"/>
        <v>2304</v>
      </c>
      <c r="R113" s="117">
        <f>G113*H113*CHmaster+G113*INmaster*I113+KLmaster*H113*I113</f>
        <v>3456</v>
      </c>
      <c r="S113" s="224">
        <f t="shared" si="939"/>
        <v>1728</v>
      </c>
      <c r="T113" s="224">
        <f>SUM(Q113:S113)</f>
        <v>7488</v>
      </c>
      <c r="U113" s="222">
        <f t="shared" si="962"/>
        <v>3.6923076923076925</v>
      </c>
      <c r="V113" s="223">
        <f t="shared" si="963"/>
        <v>11.076923076923077</v>
      </c>
      <c r="W113" s="243">
        <f t="shared" si="964"/>
        <v>8.3076923076923084</v>
      </c>
      <c r="X113" s="243">
        <f t="shared" si="965"/>
        <v>23.07692307692308</v>
      </c>
      <c r="Y113" s="252">
        <v>0</v>
      </c>
      <c r="Z113" s="198">
        <f t="shared" si="966"/>
        <v>23.07692307692308</v>
      </c>
      <c r="AA113" s="125">
        <f t="shared" si="920"/>
        <v>175.5384615384616</v>
      </c>
      <c r="AB113" s="160">
        <f t="shared" si="921"/>
        <v>2</v>
      </c>
      <c r="AC113" s="127">
        <f t="shared" si="967"/>
        <v>173.5384615384616</v>
      </c>
      <c r="AD113" s="125">
        <f t="shared" si="968"/>
        <v>0</v>
      </c>
      <c r="AF113" s="163" t="s">
        <v>360</v>
      </c>
      <c r="AG113" s="86" t="s">
        <v>87</v>
      </c>
      <c r="AH113" s="167" t="s">
        <v>132</v>
      </c>
      <c r="AI113" s="120"/>
      <c r="AJ113" s="117">
        <f>Konvention_1slave-KLslave</f>
        <v>12</v>
      </c>
      <c r="AK113" s="117">
        <f t="shared" si="969"/>
        <v>12</v>
      </c>
      <c r="AL113" s="117">
        <f t="shared" ref="AL113:AL119" si="1074">Konvention_1slave-CHslave</f>
        <v>12</v>
      </c>
      <c r="AM113" s="117"/>
      <c r="AN113" s="117"/>
      <c r="AO113" s="117"/>
      <c r="AP113" s="121"/>
      <c r="AQ113" s="47">
        <f t="shared" si="970"/>
        <v>12</v>
      </c>
      <c r="AR113" s="3">
        <f t="shared" si="971"/>
        <v>24</v>
      </c>
      <c r="AS113" s="174">
        <f t="shared" si="972"/>
        <v>36</v>
      </c>
      <c r="AT113" s="114">
        <f t="shared" si="941"/>
        <v>2304</v>
      </c>
      <c r="AU113" s="117">
        <f>AJ113*AK113*CHslave+AJ113*INslave*AL113+KLslave*AK113*AL113</f>
        <v>3456</v>
      </c>
      <c r="AV113" s="119">
        <f t="shared" si="973"/>
        <v>1728</v>
      </c>
      <c r="AW113" s="119">
        <f>SUM(AT113:AV113)</f>
        <v>7488</v>
      </c>
      <c r="AX113" s="89">
        <f t="shared" si="975"/>
        <v>3.6923076923076925</v>
      </c>
      <c r="AY113" s="47">
        <f t="shared" si="976"/>
        <v>11.076923076923077</v>
      </c>
      <c r="AZ113" s="127">
        <f t="shared" si="977"/>
        <v>8.3076923076923084</v>
      </c>
      <c r="BA113" s="127">
        <f t="shared" si="978"/>
        <v>23.07692307692308</v>
      </c>
      <c r="BB113" s="165">
        <f t="shared" si="830"/>
        <v>0</v>
      </c>
      <c r="BC113" s="198">
        <f t="shared" si="979"/>
        <v>23.07692307692308</v>
      </c>
      <c r="BD113" s="125">
        <f t="shared" si="922"/>
        <v>175.5384615384616</v>
      </c>
      <c r="BE113" s="160">
        <f t="shared" si="923"/>
        <v>2</v>
      </c>
      <c r="BF113" s="243">
        <f t="shared" si="980"/>
        <v>173.5384615384616</v>
      </c>
      <c r="BG113" s="218">
        <f t="shared" si="981"/>
        <v>0</v>
      </c>
      <c r="BI113" s="303" t="s">
        <v>360</v>
      </c>
      <c r="BJ113" s="304" t="s">
        <v>87</v>
      </c>
      <c r="BK113" s="305" t="s">
        <v>132</v>
      </c>
      <c r="BL113" s="317"/>
      <c r="BM113" s="254">
        <f>Konvention_1slave-KLslave_KL</f>
        <v>11</v>
      </c>
      <c r="BN113" s="254">
        <f t="shared" si="982"/>
        <v>12</v>
      </c>
      <c r="BO113" s="254">
        <f t="shared" ref="BO113:BO119" si="1075">Konvention_1slave-CHslave</f>
        <v>12</v>
      </c>
      <c r="BP113" s="254"/>
      <c r="BQ113" s="254"/>
      <c r="BR113" s="254"/>
      <c r="BS113" s="318"/>
      <c r="BT113" s="223">
        <f t="shared" si="983"/>
        <v>11.666666666666666</v>
      </c>
      <c r="BU113" s="223">
        <f t="shared" si="984"/>
        <v>23.333333333333332</v>
      </c>
      <c r="BV113" s="224">
        <f t="shared" si="985"/>
        <v>35</v>
      </c>
      <c r="BW113" s="237">
        <f t="shared" si="943"/>
        <v>2432</v>
      </c>
      <c r="BX113" s="254">
        <f>BM113*BN113*CHslave+BM113*INslave*BO113+KLslave_KL*BN113*BO113</f>
        <v>3408</v>
      </c>
      <c r="BY113" s="224">
        <f t="shared" si="986"/>
        <v>1584</v>
      </c>
      <c r="BZ113" s="224">
        <f>SUM(BW113:BY113)</f>
        <v>7424</v>
      </c>
      <c r="CA113" s="222">
        <f t="shared" si="988"/>
        <v>3.8218390804597702</v>
      </c>
      <c r="CB113" s="223">
        <f t="shared" si="989"/>
        <v>10.711206896551724</v>
      </c>
      <c r="CC113" s="243">
        <f t="shared" si="990"/>
        <v>7.4676724137931032</v>
      </c>
      <c r="CD113" s="243">
        <f t="shared" si="991"/>
        <v>22.000718390804597</v>
      </c>
      <c r="CE113" s="252">
        <f t="shared" si="841"/>
        <v>0</v>
      </c>
      <c r="CF113" s="309">
        <f t="shared" si="992"/>
        <v>22.000718390804597</v>
      </c>
      <c r="CG113" s="218">
        <f t="shared" si="924"/>
        <v>154.01436781609189</v>
      </c>
      <c r="CH113" s="242">
        <f t="shared" si="925"/>
        <v>2</v>
      </c>
      <c r="CI113" s="243">
        <f t="shared" si="993"/>
        <v>152.01436781609189</v>
      </c>
      <c r="CJ113" s="218">
        <f t="shared" si="994"/>
        <v>0</v>
      </c>
      <c r="CL113" s="303" t="s">
        <v>360</v>
      </c>
      <c r="CM113" s="304" t="s">
        <v>87</v>
      </c>
      <c r="CN113" s="305" t="s">
        <v>132</v>
      </c>
      <c r="CO113" s="317"/>
      <c r="CP113" s="254">
        <f>Konvention_1slave-KLslave</f>
        <v>12</v>
      </c>
      <c r="CQ113" s="254">
        <f t="shared" si="995"/>
        <v>11</v>
      </c>
      <c r="CR113" s="254">
        <f t="shared" ref="CR113:CR119" si="1076">Konvention_1slave-CHslave</f>
        <v>12</v>
      </c>
      <c r="CS113" s="254"/>
      <c r="CT113" s="254"/>
      <c r="CU113" s="254"/>
      <c r="CV113" s="318"/>
      <c r="CW113" s="223">
        <f t="shared" si="996"/>
        <v>11.666666666666666</v>
      </c>
      <c r="CX113" s="223">
        <f t="shared" si="997"/>
        <v>23.333333333333332</v>
      </c>
      <c r="CY113" s="224">
        <f t="shared" si="998"/>
        <v>35</v>
      </c>
      <c r="CZ113" s="237">
        <f t="shared" si="945"/>
        <v>2432</v>
      </c>
      <c r="DA113" s="254">
        <f>CP113*CQ113*CHslave+CP113*INslave_IN*CR113+KLslave*CQ113*CR113</f>
        <v>3408</v>
      </c>
      <c r="DB113" s="224">
        <f t="shared" si="999"/>
        <v>1584</v>
      </c>
      <c r="DC113" s="224">
        <f>SUM(CZ113:DB113)</f>
        <v>7424</v>
      </c>
      <c r="DD113" s="222">
        <f t="shared" si="1001"/>
        <v>3.8218390804597702</v>
      </c>
      <c r="DE113" s="223">
        <f t="shared" si="1002"/>
        <v>10.711206896551724</v>
      </c>
      <c r="DF113" s="243">
        <f t="shared" si="1003"/>
        <v>7.4676724137931032</v>
      </c>
      <c r="DG113" s="243">
        <f t="shared" si="1004"/>
        <v>22.000718390804597</v>
      </c>
      <c r="DH113" s="252">
        <f t="shared" si="852"/>
        <v>0</v>
      </c>
      <c r="DI113" s="309">
        <f t="shared" si="1005"/>
        <v>22.000718390804597</v>
      </c>
      <c r="DJ113" s="218">
        <f t="shared" si="926"/>
        <v>154.01436781609189</v>
      </c>
      <c r="DK113" s="242">
        <f t="shared" si="927"/>
        <v>2</v>
      </c>
      <c r="DL113" s="243">
        <f t="shared" si="1006"/>
        <v>152.01436781609189</v>
      </c>
      <c r="DM113" s="218">
        <f t="shared" si="1007"/>
        <v>0</v>
      </c>
      <c r="DO113" s="303" t="s">
        <v>360</v>
      </c>
      <c r="DP113" s="304" t="s">
        <v>87</v>
      </c>
      <c r="DQ113" s="305" t="s">
        <v>132</v>
      </c>
      <c r="DR113" s="317"/>
      <c r="DS113" s="254">
        <f>Konvention_1slave-KLslave</f>
        <v>12</v>
      </c>
      <c r="DT113" s="254">
        <f t="shared" si="1008"/>
        <v>12</v>
      </c>
      <c r="DU113" s="254">
        <f t="shared" ref="DU113:DU119" si="1077">Konvention_1slave-CHslave_CH</f>
        <v>11</v>
      </c>
      <c r="DV113" s="254"/>
      <c r="DW113" s="254"/>
      <c r="DX113" s="254"/>
      <c r="DY113" s="318"/>
      <c r="DZ113" s="223">
        <f t="shared" si="1009"/>
        <v>11.666666666666666</v>
      </c>
      <c r="EA113" s="223">
        <f t="shared" si="1010"/>
        <v>23.333333333333332</v>
      </c>
      <c r="EB113" s="224">
        <f t="shared" si="1011"/>
        <v>35</v>
      </c>
      <c r="EC113" s="237">
        <f t="shared" si="947"/>
        <v>2432</v>
      </c>
      <c r="ED113" s="254">
        <f>DS113*DT113*CHslave_CH+DS113*INslave*DU113+KLslave*DT113*DU113</f>
        <v>3408</v>
      </c>
      <c r="EE113" s="224">
        <f t="shared" si="1012"/>
        <v>1584</v>
      </c>
      <c r="EF113" s="224">
        <f>SUM(EC113:EE113)</f>
        <v>7424</v>
      </c>
      <c r="EG113" s="222">
        <f t="shared" si="1014"/>
        <v>3.8218390804597702</v>
      </c>
      <c r="EH113" s="223">
        <f t="shared" si="1015"/>
        <v>10.711206896551724</v>
      </c>
      <c r="EI113" s="243">
        <f t="shared" si="1016"/>
        <v>7.4676724137931032</v>
      </c>
      <c r="EJ113" s="243">
        <f t="shared" si="1017"/>
        <v>22.000718390804597</v>
      </c>
      <c r="EK113" s="252">
        <f t="shared" si="863"/>
        <v>0</v>
      </c>
      <c r="EL113" s="309">
        <f t="shared" si="1018"/>
        <v>22.000718390804597</v>
      </c>
      <c r="EM113" s="218">
        <f t="shared" si="928"/>
        <v>154.01436781609189</v>
      </c>
      <c r="EN113" s="242">
        <f t="shared" si="929"/>
        <v>2</v>
      </c>
      <c r="EO113" s="243">
        <f t="shared" si="1019"/>
        <v>152.01436781609189</v>
      </c>
      <c r="EP113" s="218">
        <f t="shared" si="1020"/>
        <v>0</v>
      </c>
      <c r="ER113" s="303" t="s">
        <v>360</v>
      </c>
      <c r="ES113" s="304" t="s">
        <v>87</v>
      </c>
      <c r="ET113" s="305" t="s">
        <v>132</v>
      </c>
      <c r="EU113" s="317"/>
      <c r="EV113" s="254">
        <f>Konvention_1slave-KLslave</f>
        <v>12</v>
      </c>
      <c r="EW113" s="254">
        <f t="shared" si="1021"/>
        <v>12</v>
      </c>
      <c r="EX113" s="254">
        <f t="shared" ref="EX113:EX119" si="1078">Konvention_1slave-CHslave</f>
        <v>12</v>
      </c>
      <c r="EY113" s="254"/>
      <c r="EZ113" s="254"/>
      <c r="FA113" s="254"/>
      <c r="FB113" s="318"/>
      <c r="FC113" s="223">
        <f t="shared" si="1022"/>
        <v>12</v>
      </c>
      <c r="FD113" s="223">
        <f t="shared" si="1023"/>
        <v>24</v>
      </c>
      <c r="FE113" s="224">
        <f t="shared" si="1024"/>
        <v>36</v>
      </c>
      <c r="FF113" s="237">
        <f t="shared" si="949"/>
        <v>2304</v>
      </c>
      <c r="FG113" s="254">
        <f>EV113*EW113*CHslave+EV113*INslave*EX113+KLslave*EW113*EX113</f>
        <v>3456</v>
      </c>
      <c r="FH113" s="224">
        <f t="shared" si="1025"/>
        <v>1728</v>
      </c>
      <c r="FI113" s="224">
        <f>SUM(FF113:FH113)</f>
        <v>7488</v>
      </c>
      <c r="FJ113" s="222">
        <f t="shared" si="1027"/>
        <v>3.6923076923076925</v>
      </c>
      <c r="FK113" s="223">
        <f t="shared" si="1028"/>
        <v>11.076923076923077</v>
      </c>
      <c r="FL113" s="243">
        <f t="shared" si="1029"/>
        <v>8.3076923076923084</v>
      </c>
      <c r="FM113" s="243">
        <f t="shared" si="1030"/>
        <v>23.07692307692308</v>
      </c>
      <c r="FN113" s="252">
        <f t="shared" si="874"/>
        <v>0</v>
      </c>
      <c r="FO113" s="309">
        <f t="shared" si="1031"/>
        <v>23.07692307692308</v>
      </c>
      <c r="FP113" s="218">
        <f t="shared" si="930"/>
        <v>175.5384615384616</v>
      </c>
      <c r="FQ113" s="242">
        <f t="shared" si="931"/>
        <v>2</v>
      </c>
      <c r="FR113" s="243">
        <f t="shared" si="1032"/>
        <v>173.5384615384616</v>
      </c>
      <c r="FS113" s="218">
        <f t="shared" si="1033"/>
        <v>0</v>
      </c>
      <c r="FU113" s="303" t="s">
        <v>360</v>
      </c>
      <c r="FV113" s="304" t="s">
        <v>87</v>
      </c>
      <c r="FW113" s="305" t="s">
        <v>132</v>
      </c>
      <c r="FX113" s="317"/>
      <c r="FY113" s="254">
        <f>Konvention_1slave-KLslave</f>
        <v>12</v>
      </c>
      <c r="FZ113" s="254">
        <f t="shared" si="1034"/>
        <v>12</v>
      </c>
      <c r="GA113" s="254">
        <f t="shared" ref="GA113:GA119" si="1079">Konvention_1slave-CHslave</f>
        <v>12</v>
      </c>
      <c r="GB113" s="254"/>
      <c r="GC113" s="254"/>
      <c r="GD113" s="254"/>
      <c r="GE113" s="318"/>
      <c r="GF113" s="223">
        <f t="shared" si="1035"/>
        <v>12</v>
      </c>
      <c r="GG113" s="223">
        <f t="shared" si="1036"/>
        <v>24</v>
      </c>
      <c r="GH113" s="224">
        <f t="shared" si="1037"/>
        <v>36</v>
      </c>
      <c r="GI113" s="237">
        <f t="shared" si="951"/>
        <v>2304</v>
      </c>
      <c r="GJ113" s="254">
        <f>FY113*FZ113*CHslave+FY113*INslave*GA113+KLslave*FZ113*GA113</f>
        <v>3456</v>
      </c>
      <c r="GK113" s="224">
        <f t="shared" si="1038"/>
        <v>1728</v>
      </c>
      <c r="GL113" s="224">
        <f>SUM(GI113:GK113)</f>
        <v>7488</v>
      </c>
      <c r="GM113" s="222">
        <f t="shared" si="1040"/>
        <v>3.6923076923076925</v>
      </c>
      <c r="GN113" s="223">
        <f t="shared" si="1041"/>
        <v>11.076923076923077</v>
      </c>
      <c r="GO113" s="243">
        <f t="shared" si="1042"/>
        <v>8.3076923076923084</v>
      </c>
      <c r="GP113" s="243">
        <f t="shared" si="1043"/>
        <v>23.07692307692308</v>
      </c>
      <c r="GQ113" s="252">
        <f t="shared" si="885"/>
        <v>0</v>
      </c>
      <c r="GR113" s="309">
        <f t="shared" si="1044"/>
        <v>23.07692307692308</v>
      </c>
      <c r="GS113" s="218">
        <f t="shared" si="932"/>
        <v>175.5384615384616</v>
      </c>
      <c r="GT113" s="242">
        <f t="shared" si="933"/>
        <v>2</v>
      </c>
      <c r="GU113" s="243">
        <f t="shared" si="1045"/>
        <v>173.5384615384616</v>
      </c>
      <c r="GV113" s="218">
        <f t="shared" si="1046"/>
        <v>0</v>
      </c>
      <c r="GX113" s="303" t="s">
        <v>360</v>
      </c>
      <c r="GY113" s="304" t="s">
        <v>87</v>
      </c>
      <c r="GZ113" s="305" t="s">
        <v>132</v>
      </c>
      <c r="HA113" s="317"/>
      <c r="HB113" s="254">
        <f>Konvention_1slave-KLslave</f>
        <v>12</v>
      </c>
      <c r="HC113" s="254">
        <f t="shared" si="1047"/>
        <v>12</v>
      </c>
      <c r="HD113" s="254">
        <f t="shared" ref="HD113:HD119" si="1080">Konvention_1slave-CHslave</f>
        <v>12</v>
      </c>
      <c r="HE113" s="254"/>
      <c r="HF113" s="254"/>
      <c r="HG113" s="254"/>
      <c r="HH113" s="318"/>
      <c r="HI113" s="223">
        <f t="shared" si="1048"/>
        <v>12</v>
      </c>
      <c r="HJ113" s="223">
        <f t="shared" si="1049"/>
        <v>24</v>
      </c>
      <c r="HK113" s="224">
        <f t="shared" si="1050"/>
        <v>36</v>
      </c>
      <c r="HL113" s="237">
        <f t="shared" si="953"/>
        <v>2304</v>
      </c>
      <c r="HM113" s="254">
        <f>HB113*HC113*CHslave+HB113*INslave*HD113+KLslave*HC113*HD113</f>
        <v>3456</v>
      </c>
      <c r="HN113" s="224">
        <f t="shared" si="1051"/>
        <v>1728</v>
      </c>
      <c r="HO113" s="224">
        <f>SUM(HL113:HN113)</f>
        <v>7488</v>
      </c>
      <c r="HP113" s="222">
        <f t="shared" si="1053"/>
        <v>3.6923076923076925</v>
      </c>
      <c r="HQ113" s="223">
        <f t="shared" si="1054"/>
        <v>11.076923076923077</v>
      </c>
      <c r="HR113" s="243">
        <f t="shared" si="1055"/>
        <v>8.3076923076923084</v>
      </c>
      <c r="HS113" s="243">
        <f t="shared" si="1056"/>
        <v>23.07692307692308</v>
      </c>
      <c r="HT113" s="252">
        <f t="shared" si="896"/>
        <v>0</v>
      </c>
      <c r="HU113" s="309">
        <f t="shared" si="1057"/>
        <v>23.07692307692308</v>
      </c>
      <c r="HV113" s="218">
        <f t="shared" si="934"/>
        <v>175.5384615384616</v>
      </c>
      <c r="HW113" s="242">
        <f t="shared" si="935"/>
        <v>2</v>
      </c>
      <c r="HX113" s="243">
        <f t="shared" si="1058"/>
        <v>173.5384615384616</v>
      </c>
      <c r="HY113" s="218">
        <f t="shared" si="1059"/>
        <v>0</v>
      </c>
      <c r="IA113" s="303" t="s">
        <v>360</v>
      </c>
      <c r="IB113" s="304" t="s">
        <v>87</v>
      </c>
      <c r="IC113" s="305" t="s">
        <v>132</v>
      </c>
      <c r="ID113" s="317"/>
      <c r="IE113" s="254">
        <f>Konvention_1slave-KLslave</f>
        <v>12</v>
      </c>
      <c r="IF113" s="254">
        <f t="shared" si="1060"/>
        <v>12</v>
      </c>
      <c r="IG113" s="254">
        <f t="shared" ref="IG113:IG119" si="1081">Konvention_1slave-CHslave</f>
        <v>12</v>
      </c>
      <c r="IH113" s="254"/>
      <c r="II113" s="254"/>
      <c r="IJ113" s="254"/>
      <c r="IK113" s="318"/>
      <c r="IL113" s="223">
        <f t="shared" si="1061"/>
        <v>12</v>
      </c>
      <c r="IM113" s="223">
        <f t="shared" si="1062"/>
        <v>24</v>
      </c>
      <c r="IN113" s="224">
        <f t="shared" si="1063"/>
        <v>36</v>
      </c>
      <c r="IO113" s="237">
        <f t="shared" si="955"/>
        <v>2304</v>
      </c>
      <c r="IP113" s="254">
        <f>IE113*IF113*CHslave+IE113*INslave*IG113+KLslave*IF113*IG113</f>
        <v>3456</v>
      </c>
      <c r="IQ113" s="224">
        <f t="shared" si="1064"/>
        <v>1728</v>
      </c>
      <c r="IR113" s="224">
        <f>SUM(IO113:IQ113)</f>
        <v>7488</v>
      </c>
      <c r="IS113" s="222">
        <f t="shared" si="1066"/>
        <v>3.6923076923076925</v>
      </c>
      <c r="IT113" s="223">
        <f t="shared" si="1067"/>
        <v>11.076923076923077</v>
      </c>
      <c r="IU113" s="243">
        <f t="shared" si="1068"/>
        <v>8.3076923076923084</v>
      </c>
      <c r="IV113" s="243">
        <f t="shared" si="1069"/>
        <v>23.07692307692308</v>
      </c>
      <c r="IW113" s="252">
        <f t="shared" si="907"/>
        <v>0</v>
      </c>
      <c r="IX113" s="309">
        <f t="shared" si="1070"/>
        <v>23.07692307692308</v>
      </c>
      <c r="IY113" s="218">
        <f t="shared" si="936"/>
        <v>175.5384615384616</v>
      </c>
      <c r="IZ113" s="242">
        <f t="shared" si="937"/>
        <v>2</v>
      </c>
      <c r="JA113" s="243">
        <f t="shared" si="1071"/>
        <v>173.5384615384616</v>
      </c>
      <c r="JB113" s="218">
        <f t="shared" si="1072"/>
        <v>0</v>
      </c>
      <c r="JE113" s="148"/>
    </row>
    <row r="114" spans="2:265" ht="15" hidden="1" customHeight="1" outlineLevel="2">
      <c r="B114" s="148">
        <v>15</v>
      </c>
      <c r="C114" s="303" t="e">
        <f>VLOOKUP(AF114,Attribute!C:T,1,FALSE)</f>
        <v>#N/A</v>
      </c>
      <c r="D114" s="86" t="s">
        <v>87</v>
      </c>
      <c r="E114" s="167" t="s">
        <v>132</v>
      </c>
      <c r="F114" s="120"/>
      <c r="G114" s="117">
        <f>Konvention_1master-KLmaster</f>
        <v>12</v>
      </c>
      <c r="H114" s="117">
        <f t="shared" si="956"/>
        <v>12</v>
      </c>
      <c r="I114" s="117">
        <f t="shared" si="1073"/>
        <v>12</v>
      </c>
      <c r="J114" s="117"/>
      <c r="K114" s="117"/>
      <c r="L114" s="117"/>
      <c r="M114" s="121"/>
      <c r="N114" s="223">
        <f t="shared" si="957"/>
        <v>12</v>
      </c>
      <c r="O114" s="223">
        <f t="shared" si="958"/>
        <v>24</v>
      </c>
      <c r="P114" s="224">
        <f t="shared" si="959"/>
        <v>36</v>
      </c>
      <c r="Q114" s="237">
        <f t="shared" si="960"/>
        <v>2304</v>
      </c>
      <c r="R114" s="117">
        <f>G114*H114*CHmaster+G114*INmaster*I114+KLmaster*H114*I114</f>
        <v>3456</v>
      </c>
      <c r="S114" s="224">
        <f t="shared" si="939"/>
        <v>1728</v>
      </c>
      <c r="T114" s="224">
        <f t="shared" si="961"/>
        <v>7488</v>
      </c>
      <c r="U114" s="222">
        <f t="shared" si="962"/>
        <v>3.6923076923076925</v>
      </c>
      <c r="V114" s="223">
        <f t="shared" si="963"/>
        <v>11.076923076923077</v>
      </c>
      <c r="W114" s="243">
        <f t="shared" si="964"/>
        <v>8.3076923076923084</v>
      </c>
      <c r="X114" s="243">
        <f t="shared" si="965"/>
        <v>23.07692307692308</v>
      </c>
      <c r="Y114" s="252">
        <v>0</v>
      </c>
      <c r="Z114" s="198">
        <f t="shared" si="966"/>
        <v>23.07692307692308</v>
      </c>
      <c r="AA114" s="125">
        <f t="shared" si="920"/>
        <v>175.5384615384616</v>
      </c>
      <c r="AB114" s="160">
        <f t="shared" si="921"/>
        <v>2</v>
      </c>
      <c r="AC114" s="127">
        <f t="shared" si="967"/>
        <v>173.5384615384616</v>
      </c>
      <c r="AD114" s="125">
        <f t="shared" si="968"/>
        <v>0</v>
      </c>
      <c r="AF114" s="163" t="s">
        <v>288</v>
      </c>
      <c r="AG114" s="86" t="s">
        <v>87</v>
      </c>
      <c r="AH114" s="167" t="s">
        <v>132</v>
      </c>
      <c r="AI114" s="120"/>
      <c r="AJ114" s="117">
        <f>Konvention_1slave-KLslave</f>
        <v>12</v>
      </c>
      <c r="AK114" s="117">
        <f t="shared" si="969"/>
        <v>12</v>
      </c>
      <c r="AL114" s="117">
        <f t="shared" si="1074"/>
        <v>12</v>
      </c>
      <c r="AM114" s="117"/>
      <c r="AN114" s="117"/>
      <c r="AO114" s="117"/>
      <c r="AP114" s="121"/>
      <c r="AQ114" s="47">
        <f t="shared" si="970"/>
        <v>12</v>
      </c>
      <c r="AR114" s="3">
        <f t="shared" si="971"/>
        <v>24</v>
      </c>
      <c r="AS114" s="174">
        <f t="shared" si="972"/>
        <v>36</v>
      </c>
      <c r="AT114" s="114">
        <f t="shared" si="941"/>
        <v>2304</v>
      </c>
      <c r="AU114" s="117">
        <f>AJ114*AK114*CHslave+AJ114*INslave*AL114+KLslave*AK114*AL114</f>
        <v>3456</v>
      </c>
      <c r="AV114" s="119">
        <f t="shared" si="973"/>
        <v>1728</v>
      </c>
      <c r="AW114" s="119">
        <f t="shared" si="974"/>
        <v>7488</v>
      </c>
      <c r="AX114" s="89">
        <f t="shared" si="975"/>
        <v>3.6923076923076925</v>
      </c>
      <c r="AY114" s="47">
        <f t="shared" si="976"/>
        <v>11.076923076923077</v>
      </c>
      <c r="AZ114" s="127">
        <f t="shared" si="977"/>
        <v>8.3076923076923084</v>
      </c>
      <c r="BA114" s="127">
        <f t="shared" si="978"/>
        <v>23.07692307692308</v>
      </c>
      <c r="BB114" s="165">
        <f t="shared" si="830"/>
        <v>0</v>
      </c>
      <c r="BC114" s="198">
        <f t="shared" si="979"/>
        <v>23.07692307692308</v>
      </c>
      <c r="BD114" s="125">
        <f t="shared" si="922"/>
        <v>175.5384615384616</v>
      </c>
      <c r="BE114" s="160">
        <f t="shared" si="923"/>
        <v>2</v>
      </c>
      <c r="BF114" s="243">
        <f t="shared" si="980"/>
        <v>173.5384615384616</v>
      </c>
      <c r="BG114" s="218">
        <f t="shared" si="981"/>
        <v>0</v>
      </c>
      <c r="BI114" s="303" t="s">
        <v>288</v>
      </c>
      <c r="BJ114" s="304" t="s">
        <v>87</v>
      </c>
      <c r="BK114" s="305" t="s">
        <v>132</v>
      </c>
      <c r="BL114" s="317"/>
      <c r="BM114" s="254">
        <f>Konvention_1slave-KLslave_KL</f>
        <v>11</v>
      </c>
      <c r="BN114" s="254">
        <f t="shared" si="982"/>
        <v>12</v>
      </c>
      <c r="BO114" s="254">
        <f t="shared" si="1075"/>
        <v>12</v>
      </c>
      <c r="BP114" s="254"/>
      <c r="BQ114" s="254"/>
      <c r="BR114" s="254"/>
      <c r="BS114" s="318"/>
      <c r="BT114" s="223">
        <f t="shared" si="983"/>
        <v>11.666666666666666</v>
      </c>
      <c r="BU114" s="223">
        <f t="shared" si="984"/>
        <v>23.333333333333332</v>
      </c>
      <c r="BV114" s="224">
        <f t="shared" si="985"/>
        <v>35</v>
      </c>
      <c r="BW114" s="237">
        <f t="shared" si="943"/>
        <v>2432</v>
      </c>
      <c r="BX114" s="254">
        <f>BM114*BN114*CHslave+BM114*INslave*BO114+KLslave_KL*BN114*BO114</f>
        <v>3408</v>
      </c>
      <c r="BY114" s="224">
        <f t="shared" si="986"/>
        <v>1584</v>
      </c>
      <c r="BZ114" s="224">
        <f t="shared" si="987"/>
        <v>7424</v>
      </c>
      <c r="CA114" s="222">
        <f t="shared" si="988"/>
        <v>3.8218390804597702</v>
      </c>
      <c r="CB114" s="223">
        <f t="shared" si="989"/>
        <v>10.711206896551724</v>
      </c>
      <c r="CC114" s="243">
        <f t="shared" si="990"/>
        <v>7.4676724137931032</v>
      </c>
      <c r="CD114" s="243">
        <f t="shared" si="991"/>
        <v>22.000718390804597</v>
      </c>
      <c r="CE114" s="252">
        <f t="shared" si="841"/>
        <v>0</v>
      </c>
      <c r="CF114" s="309">
        <f t="shared" si="992"/>
        <v>22.000718390804597</v>
      </c>
      <c r="CG114" s="218">
        <f t="shared" si="924"/>
        <v>154.01436781609189</v>
      </c>
      <c r="CH114" s="242">
        <f t="shared" si="925"/>
        <v>2</v>
      </c>
      <c r="CI114" s="243">
        <f t="shared" si="993"/>
        <v>152.01436781609189</v>
      </c>
      <c r="CJ114" s="218">
        <f t="shared" si="994"/>
        <v>0</v>
      </c>
      <c r="CL114" s="303" t="s">
        <v>288</v>
      </c>
      <c r="CM114" s="304" t="s">
        <v>87</v>
      </c>
      <c r="CN114" s="305" t="s">
        <v>132</v>
      </c>
      <c r="CO114" s="317"/>
      <c r="CP114" s="254">
        <f>Konvention_1slave-KLslave</f>
        <v>12</v>
      </c>
      <c r="CQ114" s="254">
        <f t="shared" si="995"/>
        <v>11</v>
      </c>
      <c r="CR114" s="254">
        <f t="shared" si="1076"/>
        <v>12</v>
      </c>
      <c r="CS114" s="254"/>
      <c r="CT114" s="254"/>
      <c r="CU114" s="254"/>
      <c r="CV114" s="318"/>
      <c r="CW114" s="223">
        <f t="shared" si="996"/>
        <v>11.666666666666666</v>
      </c>
      <c r="CX114" s="223">
        <f t="shared" si="997"/>
        <v>23.333333333333332</v>
      </c>
      <c r="CY114" s="224">
        <f t="shared" si="998"/>
        <v>35</v>
      </c>
      <c r="CZ114" s="237">
        <f t="shared" si="945"/>
        <v>2432</v>
      </c>
      <c r="DA114" s="254">
        <f>CP114*CQ114*CHslave+CP114*INslave_IN*CR114+KLslave*CQ114*CR114</f>
        <v>3408</v>
      </c>
      <c r="DB114" s="224">
        <f t="shared" si="999"/>
        <v>1584</v>
      </c>
      <c r="DC114" s="224">
        <f t="shared" si="1000"/>
        <v>7424</v>
      </c>
      <c r="DD114" s="222">
        <f t="shared" si="1001"/>
        <v>3.8218390804597702</v>
      </c>
      <c r="DE114" s="223">
        <f t="shared" si="1002"/>
        <v>10.711206896551724</v>
      </c>
      <c r="DF114" s="243">
        <f t="shared" si="1003"/>
        <v>7.4676724137931032</v>
      </c>
      <c r="DG114" s="243">
        <f t="shared" si="1004"/>
        <v>22.000718390804597</v>
      </c>
      <c r="DH114" s="252">
        <f t="shared" si="852"/>
        <v>0</v>
      </c>
      <c r="DI114" s="309">
        <f t="shared" si="1005"/>
        <v>22.000718390804597</v>
      </c>
      <c r="DJ114" s="218">
        <f t="shared" si="926"/>
        <v>154.01436781609189</v>
      </c>
      <c r="DK114" s="242">
        <f t="shared" si="927"/>
        <v>2</v>
      </c>
      <c r="DL114" s="243">
        <f t="shared" si="1006"/>
        <v>152.01436781609189</v>
      </c>
      <c r="DM114" s="218">
        <f t="shared" si="1007"/>
        <v>0</v>
      </c>
      <c r="DO114" s="303" t="s">
        <v>288</v>
      </c>
      <c r="DP114" s="304" t="s">
        <v>87</v>
      </c>
      <c r="DQ114" s="305" t="s">
        <v>132</v>
      </c>
      <c r="DR114" s="317"/>
      <c r="DS114" s="254">
        <f>Konvention_1slave-KLslave</f>
        <v>12</v>
      </c>
      <c r="DT114" s="254">
        <f t="shared" si="1008"/>
        <v>12</v>
      </c>
      <c r="DU114" s="254">
        <f t="shared" si="1077"/>
        <v>11</v>
      </c>
      <c r="DV114" s="254"/>
      <c r="DW114" s="254"/>
      <c r="DX114" s="254"/>
      <c r="DY114" s="318"/>
      <c r="DZ114" s="223">
        <f t="shared" si="1009"/>
        <v>11.666666666666666</v>
      </c>
      <c r="EA114" s="223">
        <f t="shared" si="1010"/>
        <v>23.333333333333332</v>
      </c>
      <c r="EB114" s="224">
        <f t="shared" si="1011"/>
        <v>35</v>
      </c>
      <c r="EC114" s="237">
        <f t="shared" si="947"/>
        <v>2432</v>
      </c>
      <c r="ED114" s="254">
        <f>DS114*DT114*CHslave_CH+DS114*INslave*DU114+KLslave*DT114*DU114</f>
        <v>3408</v>
      </c>
      <c r="EE114" s="224">
        <f t="shared" si="1012"/>
        <v>1584</v>
      </c>
      <c r="EF114" s="224">
        <f t="shared" si="1013"/>
        <v>7424</v>
      </c>
      <c r="EG114" s="222">
        <f t="shared" si="1014"/>
        <v>3.8218390804597702</v>
      </c>
      <c r="EH114" s="223">
        <f t="shared" si="1015"/>
        <v>10.711206896551724</v>
      </c>
      <c r="EI114" s="243">
        <f t="shared" si="1016"/>
        <v>7.4676724137931032</v>
      </c>
      <c r="EJ114" s="243">
        <f t="shared" si="1017"/>
        <v>22.000718390804597</v>
      </c>
      <c r="EK114" s="252">
        <f t="shared" si="863"/>
        <v>0</v>
      </c>
      <c r="EL114" s="309">
        <f t="shared" si="1018"/>
        <v>22.000718390804597</v>
      </c>
      <c r="EM114" s="218">
        <f t="shared" si="928"/>
        <v>154.01436781609189</v>
      </c>
      <c r="EN114" s="242">
        <f t="shared" si="929"/>
        <v>2</v>
      </c>
      <c r="EO114" s="243">
        <f t="shared" si="1019"/>
        <v>152.01436781609189</v>
      </c>
      <c r="EP114" s="218">
        <f t="shared" si="1020"/>
        <v>0</v>
      </c>
      <c r="ER114" s="303" t="s">
        <v>288</v>
      </c>
      <c r="ES114" s="304" t="s">
        <v>87</v>
      </c>
      <c r="ET114" s="305" t="s">
        <v>132</v>
      </c>
      <c r="EU114" s="317"/>
      <c r="EV114" s="254">
        <f>Konvention_1slave-KLslave</f>
        <v>12</v>
      </c>
      <c r="EW114" s="254">
        <f t="shared" si="1021"/>
        <v>12</v>
      </c>
      <c r="EX114" s="254">
        <f t="shared" si="1078"/>
        <v>12</v>
      </c>
      <c r="EY114" s="254"/>
      <c r="EZ114" s="254"/>
      <c r="FA114" s="254"/>
      <c r="FB114" s="318"/>
      <c r="FC114" s="223">
        <f t="shared" si="1022"/>
        <v>12</v>
      </c>
      <c r="FD114" s="223">
        <f t="shared" si="1023"/>
        <v>24</v>
      </c>
      <c r="FE114" s="224">
        <f t="shared" si="1024"/>
        <v>36</v>
      </c>
      <c r="FF114" s="237">
        <f t="shared" si="949"/>
        <v>2304</v>
      </c>
      <c r="FG114" s="254">
        <f>EV114*EW114*CHslave+EV114*INslave*EX114+KLslave*EW114*EX114</f>
        <v>3456</v>
      </c>
      <c r="FH114" s="224">
        <f t="shared" si="1025"/>
        <v>1728</v>
      </c>
      <c r="FI114" s="224">
        <f t="shared" si="1026"/>
        <v>7488</v>
      </c>
      <c r="FJ114" s="222">
        <f t="shared" si="1027"/>
        <v>3.6923076923076925</v>
      </c>
      <c r="FK114" s="223">
        <f t="shared" si="1028"/>
        <v>11.076923076923077</v>
      </c>
      <c r="FL114" s="243">
        <f t="shared" si="1029"/>
        <v>8.3076923076923084</v>
      </c>
      <c r="FM114" s="243">
        <f t="shared" si="1030"/>
        <v>23.07692307692308</v>
      </c>
      <c r="FN114" s="252">
        <f t="shared" si="874"/>
        <v>0</v>
      </c>
      <c r="FO114" s="309">
        <f t="shared" si="1031"/>
        <v>23.07692307692308</v>
      </c>
      <c r="FP114" s="218">
        <f t="shared" si="930"/>
        <v>175.5384615384616</v>
      </c>
      <c r="FQ114" s="242">
        <f t="shared" si="931"/>
        <v>2</v>
      </c>
      <c r="FR114" s="243">
        <f t="shared" si="1032"/>
        <v>173.5384615384616</v>
      </c>
      <c r="FS114" s="218">
        <f t="shared" si="1033"/>
        <v>0</v>
      </c>
      <c r="FU114" s="303" t="s">
        <v>288</v>
      </c>
      <c r="FV114" s="304" t="s">
        <v>87</v>
      </c>
      <c r="FW114" s="305" t="s">
        <v>132</v>
      </c>
      <c r="FX114" s="317"/>
      <c r="FY114" s="254">
        <f>Konvention_1slave-KLslave</f>
        <v>12</v>
      </c>
      <c r="FZ114" s="254">
        <f t="shared" si="1034"/>
        <v>12</v>
      </c>
      <c r="GA114" s="254">
        <f t="shared" si="1079"/>
        <v>12</v>
      </c>
      <c r="GB114" s="254"/>
      <c r="GC114" s="254"/>
      <c r="GD114" s="254"/>
      <c r="GE114" s="318"/>
      <c r="GF114" s="223">
        <f t="shared" si="1035"/>
        <v>12</v>
      </c>
      <c r="GG114" s="223">
        <f t="shared" si="1036"/>
        <v>24</v>
      </c>
      <c r="GH114" s="224">
        <f t="shared" si="1037"/>
        <v>36</v>
      </c>
      <c r="GI114" s="237">
        <f t="shared" si="951"/>
        <v>2304</v>
      </c>
      <c r="GJ114" s="254">
        <f>FY114*FZ114*CHslave+FY114*INslave*GA114+KLslave*FZ114*GA114</f>
        <v>3456</v>
      </c>
      <c r="GK114" s="224">
        <f t="shared" si="1038"/>
        <v>1728</v>
      </c>
      <c r="GL114" s="224">
        <f t="shared" si="1039"/>
        <v>7488</v>
      </c>
      <c r="GM114" s="222">
        <f t="shared" si="1040"/>
        <v>3.6923076923076925</v>
      </c>
      <c r="GN114" s="223">
        <f t="shared" si="1041"/>
        <v>11.076923076923077</v>
      </c>
      <c r="GO114" s="243">
        <f t="shared" si="1042"/>
        <v>8.3076923076923084</v>
      </c>
      <c r="GP114" s="243">
        <f t="shared" si="1043"/>
        <v>23.07692307692308</v>
      </c>
      <c r="GQ114" s="252">
        <f t="shared" si="885"/>
        <v>0</v>
      </c>
      <c r="GR114" s="309">
        <f t="shared" si="1044"/>
        <v>23.07692307692308</v>
      </c>
      <c r="GS114" s="218">
        <f t="shared" si="932"/>
        <v>175.5384615384616</v>
      </c>
      <c r="GT114" s="242">
        <f t="shared" si="933"/>
        <v>2</v>
      </c>
      <c r="GU114" s="243">
        <f t="shared" si="1045"/>
        <v>173.5384615384616</v>
      </c>
      <c r="GV114" s="218">
        <f t="shared" si="1046"/>
        <v>0</v>
      </c>
      <c r="GX114" s="303" t="s">
        <v>288</v>
      </c>
      <c r="GY114" s="304" t="s">
        <v>87</v>
      </c>
      <c r="GZ114" s="305" t="s">
        <v>132</v>
      </c>
      <c r="HA114" s="317"/>
      <c r="HB114" s="254">
        <f>Konvention_1slave-KLslave</f>
        <v>12</v>
      </c>
      <c r="HC114" s="254">
        <f t="shared" si="1047"/>
        <v>12</v>
      </c>
      <c r="HD114" s="254">
        <f t="shared" si="1080"/>
        <v>12</v>
      </c>
      <c r="HE114" s="254"/>
      <c r="HF114" s="254"/>
      <c r="HG114" s="254"/>
      <c r="HH114" s="318"/>
      <c r="HI114" s="223">
        <f t="shared" si="1048"/>
        <v>12</v>
      </c>
      <c r="HJ114" s="223">
        <f t="shared" si="1049"/>
        <v>24</v>
      </c>
      <c r="HK114" s="224">
        <f t="shared" si="1050"/>
        <v>36</v>
      </c>
      <c r="HL114" s="237">
        <f t="shared" si="953"/>
        <v>2304</v>
      </c>
      <c r="HM114" s="254">
        <f>HB114*HC114*CHslave+HB114*INslave*HD114+KLslave*HC114*HD114</f>
        <v>3456</v>
      </c>
      <c r="HN114" s="224">
        <f t="shared" si="1051"/>
        <v>1728</v>
      </c>
      <c r="HO114" s="224">
        <f t="shared" si="1052"/>
        <v>7488</v>
      </c>
      <c r="HP114" s="222">
        <f t="shared" si="1053"/>
        <v>3.6923076923076925</v>
      </c>
      <c r="HQ114" s="223">
        <f t="shared" si="1054"/>
        <v>11.076923076923077</v>
      </c>
      <c r="HR114" s="243">
        <f t="shared" si="1055"/>
        <v>8.3076923076923084</v>
      </c>
      <c r="HS114" s="243">
        <f t="shared" si="1056"/>
        <v>23.07692307692308</v>
      </c>
      <c r="HT114" s="252">
        <f t="shared" si="896"/>
        <v>0</v>
      </c>
      <c r="HU114" s="309">
        <f t="shared" si="1057"/>
        <v>23.07692307692308</v>
      </c>
      <c r="HV114" s="218">
        <f t="shared" si="934"/>
        <v>175.5384615384616</v>
      </c>
      <c r="HW114" s="242">
        <f t="shared" si="935"/>
        <v>2</v>
      </c>
      <c r="HX114" s="243">
        <f t="shared" si="1058"/>
        <v>173.5384615384616</v>
      </c>
      <c r="HY114" s="218">
        <f t="shared" si="1059"/>
        <v>0</v>
      </c>
      <c r="IA114" s="303" t="s">
        <v>288</v>
      </c>
      <c r="IB114" s="304" t="s">
        <v>87</v>
      </c>
      <c r="IC114" s="305" t="s">
        <v>132</v>
      </c>
      <c r="ID114" s="317"/>
      <c r="IE114" s="254">
        <f>Konvention_1slave-KLslave</f>
        <v>12</v>
      </c>
      <c r="IF114" s="254">
        <f t="shared" si="1060"/>
        <v>12</v>
      </c>
      <c r="IG114" s="254">
        <f t="shared" si="1081"/>
        <v>12</v>
      </c>
      <c r="IH114" s="254"/>
      <c r="II114" s="254"/>
      <c r="IJ114" s="254"/>
      <c r="IK114" s="318"/>
      <c r="IL114" s="223">
        <f t="shared" si="1061"/>
        <v>12</v>
      </c>
      <c r="IM114" s="223">
        <f t="shared" si="1062"/>
        <v>24</v>
      </c>
      <c r="IN114" s="224">
        <f t="shared" si="1063"/>
        <v>36</v>
      </c>
      <c r="IO114" s="237">
        <f t="shared" si="955"/>
        <v>2304</v>
      </c>
      <c r="IP114" s="254">
        <f>IE114*IF114*CHslave+IE114*INslave*IG114+KLslave*IF114*IG114</f>
        <v>3456</v>
      </c>
      <c r="IQ114" s="224">
        <f t="shared" si="1064"/>
        <v>1728</v>
      </c>
      <c r="IR114" s="224">
        <f t="shared" si="1065"/>
        <v>7488</v>
      </c>
      <c r="IS114" s="222">
        <f t="shared" si="1066"/>
        <v>3.6923076923076925</v>
      </c>
      <c r="IT114" s="223">
        <f t="shared" si="1067"/>
        <v>11.076923076923077</v>
      </c>
      <c r="IU114" s="243">
        <f t="shared" si="1068"/>
        <v>8.3076923076923084</v>
      </c>
      <c r="IV114" s="243">
        <f t="shared" si="1069"/>
        <v>23.07692307692308</v>
      </c>
      <c r="IW114" s="252">
        <f t="shared" si="907"/>
        <v>0</v>
      </c>
      <c r="IX114" s="309">
        <f t="shared" si="1070"/>
        <v>23.07692307692308</v>
      </c>
      <c r="IY114" s="218">
        <f t="shared" si="936"/>
        <v>175.5384615384616</v>
      </c>
      <c r="IZ114" s="242">
        <f t="shared" si="937"/>
        <v>2</v>
      </c>
      <c r="JA114" s="243">
        <f t="shared" si="1071"/>
        <v>173.5384615384616</v>
      </c>
      <c r="JB114" s="218">
        <f t="shared" si="1072"/>
        <v>0</v>
      </c>
      <c r="JE114" s="148"/>
    </row>
    <row r="115" spans="2:265" hidden="1" outlineLevel="2">
      <c r="B115" s="148">
        <v>16</v>
      </c>
      <c r="C115" s="303" t="e">
        <f>VLOOKUP(AF115,Attribute!C:T,1,FALSE)</f>
        <v>#N/A</v>
      </c>
      <c r="D115" s="86" t="s">
        <v>84</v>
      </c>
      <c r="E115" s="167" t="s">
        <v>135</v>
      </c>
      <c r="F115" s="120">
        <f t="shared" ref="F115:F120" si="1082">Konvention_1master-MUmaster</f>
        <v>12</v>
      </c>
      <c r="G115" s="117">
        <f>Konvention_1master-KLmaster</f>
        <v>12</v>
      </c>
      <c r="H115" s="117"/>
      <c r="I115" s="117">
        <f t="shared" si="1073"/>
        <v>12</v>
      </c>
      <c r="J115" s="117"/>
      <c r="K115" s="117"/>
      <c r="L115" s="117"/>
      <c r="M115" s="121"/>
      <c r="N115" s="223">
        <f>(F115+G115+H115+I115+J115+K115+L115+M115)/3</f>
        <v>12</v>
      </c>
      <c r="O115" s="223">
        <f t="shared" si="958"/>
        <v>24</v>
      </c>
      <c r="P115" s="224">
        <f t="shared" si="959"/>
        <v>36</v>
      </c>
      <c r="Q115" s="237">
        <f>F115*POWER(KLmaster,SIGN(G115))*POWER(INmaster,SIGN(H115))*POWER(CHmaster,SIGN(I115))*POWER(FFmaster,SIGN(J115))*POWER(GEmaster,SIGN(K115))*POWER(KOmaster,SIGN(L115))*POWER(KKmaster,SIGN(M115))+G115*POWER(MUmaster,SIGN(F115))*POWER(INmaster,SIGN(H115))*POWER(CHmaster,SIGN(I115))*POWER(FFmaster,SIGN(J115))*POWER(GEmaster,SIGN(K115))*POWER(KOmaster,SIGN(L115))*POWER(KKmaster,SIGN(M115))+H115*POWER(MUmaster,SIGN(F115))*POWER(KLmaster,SIGN(G115))*POWER(CHmaster,SIGN(I115))*POWER(FFmaster,SIGN(J115))*POWER(GEmaster,SIGN(K115))*POWER(KOmaster,SIGN(L115))*POWER(KKmaster,SIGN(M115))+I115*POWER(MUmaster,SIGN(F115))*POWER(KLmaster,SIGN(G115))*POWER(INmaster,SIGN(H115))*POWER(FFmaster,SIGN(J115))*POWER(GEmaster,SIGN(K115))*POWER(KOmaster,SIGN(L115))*POWER(KKmaster,SIGN(M115))+J115*POWER(MUmaster,SIGN(F115))*POWER(KLmaster,SIGN(G115))*POWER(INmaster,SIGN(H115))*POWER(CHmaster,SIGN(I115))*POWER(GEmaster,SIGN(K115))*POWER(KOmaster,SIGN(L115))*POWER(KKmaster,SIGN(M115))+K115*POWER(MUmaster,SIGN(F115))*POWER(KLmaster,SIGN(G115))*POWER(INmaster,SIGN(H115))*POWER(CHmaster,SIGN(I115))*POWER(FFmaster,SIGN(J115))*POWER(KOmaster,SIGN(L115))*POWER(KKmaster,SIGN(M115))+L115*POWER(MUmaster,SIGN(F115))*POWER(KLmaster,SIGN(G115))*POWER(INmaster,SIGN(H115))*POWER(CHmaster,SIGN(I115))*POWER(FFmaster,SIGN(J115))*POWER(GEmaster,SIGN(K115))*POWER(KKmaster,SIGN(M115))+M115*POWER(MUmaster,SIGN(F115))*POWER(KLmaster,SIGN(G115))*POWER(INmaster,SIGN(H115))*POWER(CHmaster,SIGN(I115))*POWER(FFmaster,SIGN(J115))*POWER(GEmaster,SIGN(K115))*POWER(KOmaster,SIGN(L115))</f>
        <v>2304</v>
      </c>
      <c r="R115" s="117">
        <f>F115*G115*CHmaster+F115*KLmaster*I115+MUmaster*G115*I115</f>
        <v>3456</v>
      </c>
      <c r="S115" s="224">
        <f t="shared" si="939"/>
        <v>1728</v>
      </c>
      <c r="T115" s="224">
        <f>SUM(Q115:S115)</f>
        <v>7488</v>
      </c>
      <c r="U115" s="222">
        <f t="shared" si="962"/>
        <v>3.6923076923076925</v>
      </c>
      <c r="V115" s="223">
        <f t="shared" si="963"/>
        <v>11.076923076923077</v>
      </c>
      <c r="W115" s="243">
        <f t="shared" si="964"/>
        <v>8.3076923076923084</v>
      </c>
      <c r="X115" s="243">
        <f t="shared" si="965"/>
        <v>23.07692307692308</v>
      </c>
      <c r="Y115" s="252">
        <v>0</v>
      </c>
      <c r="Z115" s="198">
        <f t="shared" si="966"/>
        <v>23.07692307692308</v>
      </c>
      <c r="AA115" s="125">
        <f>IF(X115&lt;=0,3,0)+IF(X115&gt;0,X115+1,0)*3+IF(X115&gt;12,X115-12,0)*3+IF(X115&gt;13,X115-13,0)*3+IF(X115&gt;14,X115-14,0)*3+IF(X115&gt;15,X115-15,0)*3+IF(X115&gt;16,X115-16,0)*3+IF(X115&gt;17,X115-17,0)*3+IF(X115&gt;18,X115-18,0)*3+IF(X115&gt;19,X115-19,0)*3+IF(X115&gt;20,X115-20,0)*3</f>
        <v>263.30769230769232</v>
      </c>
      <c r="AB115" s="160">
        <f>IF(Y115&lt;=0,3,0)+IF(Y115&gt;0,Y115+1,0)*3+IF(Y115&gt;12,Y115-12,0)*3+IF(Y115&gt;13,Y115-13,0)*3+IF(Y115&gt;14,Y115-14,0)*3+IF(Y115&gt;15,Y115-15,0)*3+IF(Y115&gt;16,Y115-16,0)*3+IF(Y115&gt;17,Y115-17,0)*3+IF(Y115&gt;18,Y115-18,0)*3+IF(Y115&gt;19,Y115-19,0)*3+IF(Y115&gt;20,Y115-20,0)*3</f>
        <v>3</v>
      </c>
      <c r="AC115" s="127">
        <f t="shared" si="967"/>
        <v>260.30769230769232</v>
      </c>
      <c r="AD115" s="125">
        <f t="shared" si="968"/>
        <v>0</v>
      </c>
      <c r="AF115" s="163" t="s">
        <v>361</v>
      </c>
      <c r="AG115" s="86" t="s">
        <v>84</v>
      </c>
      <c r="AH115" s="167" t="s">
        <v>135</v>
      </c>
      <c r="AI115" s="120">
        <f t="shared" ref="AI115:AI120" si="1083">Konvention_1slave-MUslave_MU</f>
        <v>11</v>
      </c>
      <c r="AJ115" s="117">
        <f>Konvention_1slave-KLslave</f>
        <v>12</v>
      </c>
      <c r="AK115" s="117"/>
      <c r="AL115" s="117">
        <f t="shared" si="1074"/>
        <v>12</v>
      </c>
      <c r="AM115" s="117"/>
      <c r="AN115" s="117"/>
      <c r="AO115" s="117"/>
      <c r="AP115" s="121"/>
      <c r="AQ115" s="47">
        <f>(AI115+AJ115+AK115+AL115+AM115+AN115+AO115+AP115)/3</f>
        <v>11.666666666666666</v>
      </c>
      <c r="AR115" s="3">
        <f t="shared" si="971"/>
        <v>23.333333333333332</v>
      </c>
      <c r="AS115" s="174">
        <f t="shared" si="972"/>
        <v>35</v>
      </c>
      <c r="AT115" s="114">
        <f t="shared" si="941"/>
        <v>2432</v>
      </c>
      <c r="AU115" s="117">
        <f>AI115*AJ115*CHslave+AI115*KLslave*AL115+MUslave_MU*AJ115*AL115</f>
        <v>3408</v>
      </c>
      <c r="AV115" s="119">
        <f t="shared" si="973"/>
        <v>1584</v>
      </c>
      <c r="AW115" s="119">
        <f>SUM(AT115:AV115)</f>
        <v>7424</v>
      </c>
      <c r="AX115" s="89">
        <f t="shared" si="975"/>
        <v>3.8218390804597702</v>
      </c>
      <c r="AY115" s="47">
        <f t="shared" si="976"/>
        <v>10.711206896551724</v>
      </c>
      <c r="AZ115" s="127">
        <f t="shared" si="977"/>
        <v>7.4676724137931032</v>
      </c>
      <c r="BA115" s="127">
        <f t="shared" si="978"/>
        <v>22.000718390804597</v>
      </c>
      <c r="BB115" s="165">
        <f t="shared" si="830"/>
        <v>0</v>
      </c>
      <c r="BC115" s="198">
        <f t="shared" si="979"/>
        <v>22.000718390804597</v>
      </c>
      <c r="BD115" s="125">
        <f>IF(BA115&lt;=0,3,0)+IF(BA115&gt;0,BA115+1,0)*3+IF(BA115&gt;12,BA115-12,0)*3+IF(BA115&gt;13,BA115-13,0)*3+IF(BA115&gt;14,BA115-14,0)*3+IF(BA115&gt;15,BA115-15,0)*3+IF(BA115&gt;16,BA115-16,0)*3+IF(BA115&gt;17,BA115-17,0)*3+IF(BA115&gt;18,BA115-18,0)*3+IF(BA115&gt;19,BA115-19,0)*3+IF(BA115&gt;20,BA115-20,0)*3</f>
        <v>231.02155172413785</v>
      </c>
      <c r="BE115" s="160">
        <f>IF(BB115&lt;=0,3,0)+IF(BB115&gt;0,BB115+1,0)*3+IF(BB115&gt;12,BB115-12,0)*3+IF(BB115&gt;13,BB115-13,0)*3+IF(BB115&gt;14,BB115-14,0)*3+IF(BB115&gt;15,BB115-15,0)*3+IF(BB115&gt;16,BB115-16,0)*3+IF(BB115&gt;17,BB115-17,0)*3+IF(BB115&gt;18,BB115-18,0)*3+IF(BB115&gt;19,BB115-19,0)*3+IF(BB115&gt;20,BB115-20,0)*3</f>
        <v>3</v>
      </c>
      <c r="BF115" s="243">
        <f t="shared" si="980"/>
        <v>228.02155172413785</v>
      </c>
      <c r="BG115" s="218">
        <f t="shared" si="981"/>
        <v>0</v>
      </c>
      <c r="BI115" s="303" t="s">
        <v>361</v>
      </c>
      <c r="BJ115" s="304" t="s">
        <v>84</v>
      </c>
      <c r="BK115" s="305" t="s">
        <v>135</v>
      </c>
      <c r="BL115" s="317">
        <f t="shared" ref="BL115:BL120" si="1084">Konvention_1slave-MUslave</f>
        <v>12</v>
      </c>
      <c r="BM115" s="254">
        <f>Konvention_1slave-KLslave_KL</f>
        <v>11</v>
      </c>
      <c r="BN115" s="254"/>
      <c r="BO115" s="254">
        <f t="shared" si="1075"/>
        <v>12</v>
      </c>
      <c r="BP115" s="254"/>
      <c r="BQ115" s="254"/>
      <c r="BR115" s="254"/>
      <c r="BS115" s="318"/>
      <c r="BT115" s="223">
        <f>(BL115+BM115+BN115+BO115+BP115+BQ115+BR115+BS115)/3</f>
        <v>11.666666666666666</v>
      </c>
      <c r="BU115" s="223">
        <f t="shared" si="984"/>
        <v>23.333333333333332</v>
      </c>
      <c r="BV115" s="224">
        <f t="shared" si="985"/>
        <v>35</v>
      </c>
      <c r="BW115" s="237">
        <f t="shared" si="943"/>
        <v>2432</v>
      </c>
      <c r="BX115" s="254">
        <f>BL115*BM115*CHslave+BL115*KLslave_KL*BO115+MUslave*BM115*BO115</f>
        <v>3408</v>
      </c>
      <c r="BY115" s="224">
        <f t="shared" si="986"/>
        <v>1584</v>
      </c>
      <c r="BZ115" s="224">
        <f>SUM(BW115:BY115)</f>
        <v>7424</v>
      </c>
      <c r="CA115" s="222">
        <f t="shared" si="988"/>
        <v>3.8218390804597702</v>
      </c>
      <c r="CB115" s="223">
        <f t="shared" si="989"/>
        <v>10.711206896551724</v>
      </c>
      <c r="CC115" s="243">
        <f t="shared" si="990"/>
        <v>7.4676724137931032</v>
      </c>
      <c r="CD115" s="243">
        <f t="shared" si="991"/>
        <v>22.000718390804597</v>
      </c>
      <c r="CE115" s="252">
        <f t="shared" si="841"/>
        <v>0</v>
      </c>
      <c r="CF115" s="309">
        <f t="shared" si="992"/>
        <v>22.000718390804597</v>
      </c>
      <c r="CG115" s="218">
        <f>IF(CD115&lt;=0,3,0)+IF(CD115&gt;0,CD115+1,0)*3+IF(CD115&gt;12,CD115-12,0)*3+IF(CD115&gt;13,CD115-13,0)*3+IF(CD115&gt;14,CD115-14,0)*3+IF(CD115&gt;15,CD115-15,0)*3+IF(CD115&gt;16,CD115-16,0)*3+IF(CD115&gt;17,CD115-17,0)*3+IF(CD115&gt;18,CD115-18,0)*3+IF(CD115&gt;19,CD115-19,0)*3+IF(CD115&gt;20,CD115-20,0)*3</f>
        <v>231.02155172413785</v>
      </c>
      <c r="CH115" s="242">
        <f>IF(CE115&lt;=0,3,0)+IF(CE115&gt;0,CE115+1,0)*3+IF(CE115&gt;12,CE115-12,0)*3+IF(CE115&gt;13,CE115-13,0)*3+IF(CE115&gt;14,CE115-14,0)*3+IF(CE115&gt;15,CE115-15,0)*3+IF(CE115&gt;16,CE115-16,0)*3+IF(CE115&gt;17,CE115-17,0)*3+IF(CE115&gt;18,CE115-18,0)*3+IF(CE115&gt;19,CE115-19,0)*3+IF(CE115&gt;20,CE115-20,0)*3</f>
        <v>3</v>
      </c>
      <c r="CI115" s="243">
        <f t="shared" si="993"/>
        <v>228.02155172413785</v>
      </c>
      <c r="CJ115" s="218">
        <f t="shared" si="994"/>
        <v>0</v>
      </c>
      <c r="CL115" s="303" t="s">
        <v>361</v>
      </c>
      <c r="CM115" s="304" t="s">
        <v>84</v>
      </c>
      <c r="CN115" s="305" t="s">
        <v>135</v>
      </c>
      <c r="CO115" s="317">
        <f t="shared" ref="CO115:CO120" si="1085">Konvention_1slave-MUslave</f>
        <v>12</v>
      </c>
      <c r="CP115" s="254">
        <f>Konvention_1slave-KLslave</f>
        <v>12</v>
      </c>
      <c r="CQ115" s="254"/>
      <c r="CR115" s="254">
        <f t="shared" si="1076"/>
        <v>12</v>
      </c>
      <c r="CS115" s="254"/>
      <c r="CT115" s="254"/>
      <c r="CU115" s="254"/>
      <c r="CV115" s="318"/>
      <c r="CW115" s="223">
        <f>(CO115+CP115+CQ115+CR115+CS115+CT115+CU115+CV115)/3</f>
        <v>12</v>
      </c>
      <c r="CX115" s="223">
        <f t="shared" si="997"/>
        <v>24</v>
      </c>
      <c r="CY115" s="224">
        <f t="shared" si="998"/>
        <v>36</v>
      </c>
      <c r="CZ115" s="237">
        <f t="shared" si="945"/>
        <v>2304</v>
      </c>
      <c r="DA115" s="254">
        <f>CO115*CP115*CHslave+CO115*KLslave*CR115+MUslave*CP115*CR115</f>
        <v>3456</v>
      </c>
      <c r="DB115" s="224">
        <f t="shared" si="999"/>
        <v>1728</v>
      </c>
      <c r="DC115" s="224">
        <f>SUM(CZ115:DB115)</f>
        <v>7488</v>
      </c>
      <c r="DD115" s="222">
        <f t="shared" si="1001"/>
        <v>3.6923076923076925</v>
      </c>
      <c r="DE115" s="223">
        <f t="shared" si="1002"/>
        <v>11.076923076923077</v>
      </c>
      <c r="DF115" s="243">
        <f t="shared" si="1003"/>
        <v>8.3076923076923084</v>
      </c>
      <c r="DG115" s="243">
        <f t="shared" si="1004"/>
        <v>23.07692307692308</v>
      </c>
      <c r="DH115" s="252">
        <f t="shared" si="852"/>
        <v>0</v>
      </c>
      <c r="DI115" s="309">
        <f t="shared" si="1005"/>
        <v>23.07692307692308</v>
      </c>
      <c r="DJ115" s="218">
        <f>IF(DG115&lt;=0,3,0)+IF(DG115&gt;0,DG115+1,0)*3+IF(DG115&gt;12,DG115-12,0)*3+IF(DG115&gt;13,DG115-13,0)*3+IF(DG115&gt;14,DG115-14,0)*3+IF(DG115&gt;15,DG115-15,0)*3+IF(DG115&gt;16,DG115-16,0)*3+IF(DG115&gt;17,DG115-17,0)*3+IF(DG115&gt;18,DG115-18,0)*3+IF(DG115&gt;19,DG115-19,0)*3+IF(DG115&gt;20,DG115-20,0)*3</f>
        <v>263.30769230769232</v>
      </c>
      <c r="DK115" s="242">
        <f>IF(DH115&lt;=0,3,0)+IF(DH115&gt;0,DH115+1,0)*3+IF(DH115&gt;12,DH115-12,0)*3+IF(DH115&gt;13,DH115-13,0)*3+IF(DH115&gt;14,DH115-14,0)*3+IF(DH115&gt;15,DH115-15,0)*3+IF(DH115&gt;16,DH115-16,0)*3+IF(DH115&gt;17,DH115-17,0)*3+IF(DH115&gt;18,DH115-18,0)*3+IF(DH115&gt;19,DH115-19,0)*3+IF(DH115&gt;20,DH115-20,0)*3</f>
        <v>3</v>
      </c>
      <c r="DL115" s="243">
        <f t="shared" si="1006"/>
        <v>260.30769230769232</v>
      </c>
      <c r="DM115" s="218">
        <f t="shared" si="1007"/>
        <v>0</v>
      </c>
      <c r="DO115" s="303" t="s">
        <v>361</v>
      </c>
      <c r="DP115" s="304" t="s">
        <v>84</v>
      </c>
      <c r="DQ115" s="305" t="s">
        <v>135</v>
      </c>
      <c r="DR115" s="317">
        <f t="shared" ref="DR115:DR120" si="1086">Konvention_1slave-MUslave</f>
        <v>12</v>
      </c>
      <c r="DS115" s="254">
        <f>Konvention_1slave-KLslave</f>
        <v>12</v>
      </c>
      <c r="DT115" s="254"/>
      <c r="DU115" s="254">
        <f t="shared" si="1077"/>
        <v>11</v>
      </c>
      <c r="DV115" s="254"/>
      <c r="DW115" s="254"/>
      <c r="DX115" s="254"/>
      <c r="DY115" s="318"/>
      <c r="DZ115" s="223">
        <f>(DR115+DS115+DT115+DU115+DV115+DW115+DX115+DY115)/3</f>
        <v>11.666666666666666</v>
      </c>
      <c r="EA115" s="223">
        <f t="shared" si="1010"/>
        <v>23.333333333333332</v>
      </c>
      <c r="EB115" s="224">
        <f t="shared" si="1011"/>
        <v>35</v>
      </c>
      <c r="EC115" s="237">
        <f t="shared" si="947"/>
        <v>2432</v>
      </c>
      <c r="ED115" s="254">
        <f>DR115*DS115*CHslave_CH+DR115*KLslave*DU115+MUslave*DS115*DU115</f>
        <v>3408</v>
      </c>
      <c r="EE115" s="224">
        <f t="shared" si="1012"/>
        <v>1584</v>
      </c>
      <c r="EF115" s="224">
        <f>SUM(EC115:EE115)</f>
        <v>7424</v>
      </c>
      <c r="EG115" s="222">
        <f t="shared" si="1014"/>
        <v>3.8218390804597702</v>
      </c>
      <c r="EH115" s="223">
        <f t="shared" si="1015"/>
        <v>10.711206896551724</v>
      </c>
      <c r="EI115" s="243">
        <f t="shared" si="1016"/>
        <v>7.4676724137931032</v>
      </c>
      <c r="EJ115" s="243">
        <f t="shared" si="1017"/>
        <v>22.000718390804597</v>
      </c>
      <c r="EK115" s="252">
        <f t="shared" si="863"/>
        <v>0</v>
      </c>
      <c r="EL115" s="309">
        <f t="shared" si="1018"/>
        <v>22.000718390804597</v>
      </c>
      <c r="EM115" s="218">
        <f>IF(EJ115&lt;=0,3,0)+IF(EJ115&gt;0,EJ115+1,0)*3+IF(EJ115&gt;12,EJ115-12,0)*3+IF(EJ115&gt;13,EJ115-13,0)*3+IF(EJ115&gt;14,EJ115-14,0)*3+IF(EJ115&gt;15,EJ115-15,0)*3+IF(EJ115&gt;16,EJ115-16,0)*3+IF(EJ115&gt;17,EJ115-17,0)*3+IF(EJ115&gt;18,EJ115-18,0)*3+IF(EJ115&gt;19,EJ115-19,0)*3+IF(EJ115&gt;20,EJ115-20,0)*3</f>
        <v>231.02155172413785</v>
      </c>
      <c r="EN115" s="242">
        <f>IF(EK115&lt;=0,3,0)+IF(EK115&gt;0,EK115+1,0)*3+IF(EK115&gt;12,EK115-12,0)*3+IF(EK115&gt;13,EK115-13,0)*3+IF(EK115&gt;14,EK115-14,0)*3+IF(EK115&gt;15,EK115-15,0)*3+IF(EK115&gt;16,EK115-16,0)*3+IF(EK115&gt;17,EK115-17,0)*3+IF(EK115&gt;18,EK115-18,0)*3+IF(EK115&gt;19,EK115-19,0)*3+IF(EK115&gt;20,EK115-20,0)*3</f>
        <v>3</v>
      </c>
      <c r="EO115" s="243">
        <f t="shared" si="1019"/>
        <v>228.02155172413785</v>
      </c>
      <c r="EP115" s="218">
        <f t="shared" si="1020"/>
        <v>0</v>
      </c>
      <c r="ER115" s="303" t="s">
        <v>361</v>
      </c>
      <c r="ES115" s="304" t="s">
        <v>84</v>
      </c>
      <c r="ET115" s="305" t="s">
        <v>135</v>
      </c>
      <c r="EU115" s="317">
        <f t="shared" ref="EU115:EU120" si="1087">Konvention_1slave-MUslave</f>
        <v>12</v>
      </c>
      <c r="EV115" s="254">
        <f>Konvention_1slave-KLslave</f>
        <v>12</v>
      </c>
      <c r="EW115" s="254"/>
      <c r="EX115" s="254">
        <f t="shared" si="1078"/>
        <v>12</v>
      </c>
      <c r="EY115" s="254"/>
      <c r="EZ115" s="254"/>
      <c r="FA115" s="254"/>
      <c r="FB115" s="318"/>
      <c r="FC115" s="223">
        <f>(EU115+EV115+EW115+EX115+EY115+EZ115+FA115+FB115)/3</f>
        <v>12</v>
      </c>
      <c r="FD115" s="223">
        <f t="shared" si="1023"/>
        <v>24</v>
      </c>
      <c r="FE115" s="224">
        <f t="shared" si="1024"/>
        <v>36</v>
      </c>
      <c r="FF115" s="237">
        <f t="shared" si="949"/>
        <v>2304</v>
      </c>
      <c r="FG115" s="254">
        <f>EU115*EV115*CHslave+EU115*KLslave*EX115+MUslave*EV115*EX115</f>
        <v>3456</v>
      </c>
      <c r="FH115" s="224">
        <f t="shared" si="1025"/>
        <v>1728</v>
      </c>
      <c r="FI115" s="224">
        <f>SUM(FF115:FH115)</f>
        <v>7488</v>
      </c>
      <c r="FJ115" s="222">
        <f t="shared" si="1027"/>
        <v>3.6923076923076925</v>
      </c>
      <c r="FK115" s="223">
        <f t="shared" si="1028"/>
        <v>11.076923076923077</v>
      </c>
      <c r="FL115" s="243">
        <f t="shared" si="1029"/>
        <v>8.3076923076923084</v>
      </c>
      <c r="FM115" s="243">
        <f t="shared" si="1030"/>
        <v>23.07692307692308</v>
      </c>
      <c r="FN115" s="252">
        <f t="shared" si="874"/>
        <v>0</v>
      </c>
      <c r="FO115" s="309">
        <f t="shared" si="1031"/>
        <v>23.07692307692308</v>
      </c>
      <c r="FP115" s="218">
        <f>IF(FM115&lt;=0,3,0)+IF(FM115&gt;0,FM115+1,0)*3+IF(FM115&gt;12,FM115-12,0)*3+IF(FM115&gt;13,FM115-13,0)*3+IF(FM115&gt;14,FM115-14,0)*3+IF(FM115&gt;15,FM115-15,0)*3+IF(FM115&gt;16,FM115-16,0)*3+IF(FM115&gt;17,FM115-17,0)*3+IF(FM115&gt;18,FM115-18,0)*3+IF(FM115&gt;19,FM115-19,0)*3+IF(FM115&gt;20,FM115-20,0)*3</f>
        <v>263.30769230769232</v>
      </c>
      <c r="FQ115" s="242">
        <f>IF(FN115&lt;=0,3,0)+IF(FN115&gt;0,FN115+1,0)*3+IF(FN115&gt;12,FN115-12,0)*3+IF(FN115&gt;13,FN115-13,0)*3+IF(FN115&gt;14,FN115-14,0)*3+IF(FN115&gt;15,FN115-15,0)*3+IF(FN115&gt;16,FN115-16,0)*3+IF(FN115&gt;17,FN115-17,0)*3+IF(FN115&gt;18,FN115-18,0)*3+IF(FN115&gt;19,FN115-19,0)*3+IF(FN115&gt;20,FN115-20,0)*3</f>
        <v>3</v>
      </c>
      <c r="FR115" s="243">
        <f t="shared" si="1032"/>
        <v>260.30769230769232</v>
      </c>
      <c r="FS115" s="218">
        <f t="shared" si="1033"/>
        <v>0</v>
      </c>
      <c r="FU115" s="303" t="s">
        <v>361</v>
      </c>
      <c r="FV115" s="304" t="s">
        <v>84</v>
      </c>
      <c r="FW115" s="305" t="s">
        <v>135</v>
      </c>
      <c r="FX115" s="317">
        <f t="shared" ref="FX115:FX120" si="1088">Konvention_1slave-MUslave</f>
        <v>12</v>
      </c>
      <c r="FY115" s="254">
        <f>Konvention_1slave-KLslave</f>
        <v>12</v>
      </c>
      <c r="FZ115" s="254"/>
      <c r="GA115" s="254">
        <f t="shared" si="1079"/>
        <v>12</v>
      </c>
      <c r="GB115" s="254"/>
      <c r="GC115" s="254"/>
      <c r="GD115" s="254"/>
      <c r="GE115" s="318"/>
      <c r="GF115" s="223">
        <f>(FX115+FY115+FZ115+GA115+GB115+GC115+GD115+GE115)/3</f>
        <v>12</v>
      </c>
      <c r="GG115" s="223">
        <f t="shared" si="1036"/>
        <v>24</v>
      </c>
      <c r="GH115" s="224">
        <f t="shared" si="1037"/>
        <v>36</v>
      </c>
      <c r="GI115" s="237">
        <f t="shared" si="951"/>
        <v>2304</v>
      </c>
      <c r="GJ115" s="254">
        <f>FX115*FY115*CHslave+FX115*KLslave*GA115+MUslave*FY115*GA115</f>
        <v>3456</v>
      </c>
      <c r="GK115" s="224">
        <f t="shared" si="1038"/>
        <v>1728</v>
      </c>
      <c r="GL115" s="224">
        <f>SUM(GI115:GK115)</f>
        <v>7488</v>
      </c>
      <c r="GM115" s="222">
        <f t="shared" si="1040"/>
        <v>3.6923076923076925</v>
      </c>
      <c r="GN115" s="223">
        <f t="shared" si="1041"/>
        <v>11.076923076923077</v>
      </c>
      <c r="GO115" s="243">
        <f t="shared" si="1042"/>
        <v>8.3076923076923084</v>
      </c>
      <c r="GP115" s="243">
        <f t="shared" si="1043"/>
        <v>23.07692307692308</v>
      </c>
      <c r="GQ115" s="252">
        <f t="shared" si="885"/>
        <v>0</v>
      </c>
      <c r="GR115" s="309">
        <f t="shared" si="1044"/>
        <v>23.07692307692308</v>
      </c>
      <c r="GS115" s="218">
        <f>IF(GP115&lt;=0,3,0)+IF(GP115&gt;0,GP115+1,0)*3+IF(GP115&gt;12,GP115-12,0)*3+IF(GP115&gt;13,GP115-13,0)*3+IF(GP115&gt;14,GP115-14,0)*3+IF(GP115&gt;15,GP115-15,0)*3+IF(GP115&gt;16,GP115-16,0)*3+IF(GP115&gt;17,GP115-17,0)*3+IF(GP115&gt;18,GP115-18,0)*3+IF(GP115&gt;19,GP115-19,0)*3+IF(GP115&gt;20,GP115-20,0)*3</f>
        <v>263.30769230769232</v>
      </c>
      <c r="GT115" s="242">
        <f>IF(GQ115&lt;=0,3,0)+IF(GQ115&gt;0,GQ115+1,0)*3+IF(GQ115&gt;12,GQ115-12,0)*3+IF(GQ115&gt;13,GQ115-13,0)*3+IF(GQ115&gt;14,GQ115-14,0)*3+IF(GQ115&gt;15,GQ115-15,0)*3+IF(GQ115&gt;16,GQ115-16,0)*3+IF(GQ115&gt;17,GQ115-17,0)*3+IF(GQ115&gt;18,GQ115-18,0)*3+IF(GQ115&gt;19,GQ115-19,0)*3+IF(GQ115&gt;20,GQ115-20,0)*3</f>
        <v>3</v>
      </c>
      <c r="GU115" s="243">
        <f t="shared" si="1045"/>
        <v>260.30769230769232</v>
      </c>
      <c r="GV115" s="218">
        <f t="shared" si="1046"/>
        <v>0</v>
      </c>
      <c r="GX115" s="303" t="s">
        <v>361</v>
      </c>
      <c r="GY115" s="304" t="s">
        <v>84</v>
      </c>
      <c r="GZ115" s="305" t="s">
        <v>135</v>
      </c>
      <c r="HA115" s="317">
        <f t="shared" ref="HA115:HA120" si="1089">Konvention_1slave-MUslave</f>
        <v>12</v>
      </c>
      <c r="HB115" s="254">
        <f>Konvention_1slave-KLslave</f>
        <v>12</v>
      </c>
      <c r="HC115" s="254"/>
      <c r="HD115" s="254">
        <f t="shared" si="1080"/>
        <v>12</v>
      </c>
      <c r="HE115" s="254"/>
      <c r="HF115" s="254"/>
      <c r="HG115" s="254"/>
      <c r="HH115" s="318"/>
      <c r="HI115" s="223">
        <f>(HA115+HB115+HC115+HD115+HE115+HF115+HG115+HH115)/3</f>
        <v>12</v>
      </c>
      <c r="HJ115" s="223">
        <f t="shared" si="1049"/>
        <v>24</v>
      </c>
      <c r="HK115" s="224">
        <f t="shared" si="1050"/>
        <v>36</v>
      </c>
      <c r="HL115" s="237">
        <f t="shared" si="953"/>
        <v>2304</v>
      </c>
      <c r="HM115" s="254">
        <f>HA115*HB115*CHslave+HA115*KLslave*HD115+MUslave*HB115*HD115</f>
        <v>3456</v>
      </c>
      <c r="HN115" s="224">
        <f t="shared" si="1051"/>
        <v>1728</v>
      </c>
      <c r="HO115" s="224">
        <f>SUM(HL115:HN115)</f>
        <v>7488</v>
      </c>
      <c r="HP115" s="222">
        <f t="shared" si="1053"/>
        <v>3.6923076923076925</v>
      </c>
      <c r="HQ115" s="223">
        <f t="shared" si="1054"/>
        <v>11.076923076923077</v>
      </c>
      <c r="HR115" s="243">
        <f t="shared" si="1055"/>
        <v>8.3076923076923084</v>
      </c>
      <c r="HS115" s="243">
        <f t="shared" si="1056"/>
        <v>23.07692307692308</v>
      </c>
      <c r="HT115" s="252">
        <f t="shared" si="896"/>
        <v>0</v>
      </c>
      <c r="HU115" s="309">
        <f t="shared" si="1057"/>
        <v>23.07692307692308</v>
      </c>
      <c r="HV115" s="218">
        <f>IF(HS115&lt;=0,3,0)+IF(HS115&gt;0,HS115+1,0)*3+IF(HS115&gt;12,HS115-12,0)*3+IF(HS115&gt;13,HS115-13,0)*3+IF(HS115&gt;14,HS115-14,0)*3+IF(HS115&gt;15,HS115-15,0)*3+IF(HS115&gt;16,HS115-16,0)*3+IF(HS115&gt;17,HS115-17,0)*3+IF(HS115&gt;18,HS115-18,0)*3+IF(HS115&gt;19,HS115-19,0)*3+IF(HS115&gt;20,HS115-20,0)*3</f>
        <v>263.30769230769232</v>
      </c>
      <c r="HW115" s="242">
        <f>IF(HT115&lt;=0,3,0)+IF(HT115&gt;0,HT115+1,0)*3+IF(HT115&gt;12,HT115-12,0)*3+IF(HT115&gt;13,HT115-13,0)*3+IF(HT115&gt;14,HT115-14,0)*3+IF(HT115&gt;15,HT115-15,0)*3+IF(HT115&gt;16,HT115-16,0)*3+IF(HT115&gt;17,HT115-17,0)*3+IF(HT115&gt;18,HT115-18,0)*3+IF(HT115&gt;19,HT115-19,0)*3+IF(HT115&gt;20,HT115-20,0)*3</f>
        <v>3</v>
      </c>
      <c r="HX115" s="243">
        <f t="shared" si="1058"/>
        <v>260.30769230769232</v>
      </c>
      <c r="HY115" s="218">
        <f t="shared" si="1059"/>
        <v>0</v>
      </c>
      <c r="IA115" s="303" t="s">
        <v>361</v>
      </c>
      <c r="IB115" s="304" t="s">
        <v>84</v>
      </c>
      <c r="IC115" s="305" t="s">
        <v>135</v>
      </c>
      <c r="ID115" s="317">
        <f t="shared" ref="ID115:ID120" si="1090">Konvention_1slave-MUslave</f>
        <v>12</v>
      </c>
      <c r="IE115" s="254">
        <f>Konvention_1slave-KLslave</f>
        <v>12</v>
      </c>
      <c r="IF115" s="254"/>
      <c r="IG115" s="254">
        <f t="shared" si="1081"/>
        <v>12</v>
      </c>
      <c r="IH115" s="254"/>
      <c r="II115" s="254"/>
      <c r="IJ115" s="254"/>
      <c r="IK115" s="318"/>
      <c r="IL115" s="223">
        <f>(ID115+IE115+IF115+IG115+IH115+II115+IJ115+IK115)/3</f>
        <v>12</v>
      </c>
      <c r="IM115" s="223">
        <f t="shared" si="1062"/>
        <v>24</v>
      </c>
      <c r="IN115" s="224">
        <f t="shared" si="1063"/>
        <v>36</v>
      </c>
      <c r="IO115" s="237">
        <f t="shared" si="955"/>
        <v>2304</v>
      </c>
      <c r="IP115" s="254">
        <f>ID115*IE115*CHslave+ID115*KLslave*IG115+MUslave*IE115*IG115</f>
        <v>3456</v>
      </c>
      <c r="IQ115" s="224">
        <f t="shared" si="1064"/>
        <v>1728</v>
      </c>
      <c r="IR115" s="224">
        <f>SUM(IO115:IQ115)</f>
        <v>7488</v>
      </c>
      <c r="IS115" s="222">
        <f t="shared" si="1066"/>
        <v>3.6923076923076925</v>
      </c>
      <c r="IT115" s="223">
        <f t="shared" si="1067"/>
        <v>11.076923076923077</v>
      </c>
      <c r="IU115" s="243">
        <f t="shared" si="1068"/>
        <v>8.3076923076923084</v>
      </c>
      <c r="IV115" s="243">
        <f t="shared" si="1069"/>
        <v>23.07692307692308</v>
      </c>
      <c r="IW115" s="252">
        <f t="shared" si="907"/>
        <v>0</v>
      </c>
      <c r="IX115" s="309">
        <f t="shared" si="1070"/>
        <v>23.07692307692308</v>
      </c>
      <c r="IY115" s="218">
        <f>IF(IV115&lt;=0,3,0)+IF(IV115&gt;0,IV115+1,0)*3+IF(IV115&gt;12,IV115-12,0)*3+IF(IV115&gt;13,IV115-13,0)*3+IF(IV115&gt;14,IV115-14,0)*3+IF(IV115&gt;15,IV115-15,0)*3+IF(IV115&gt;16,IV115-16,0)*3+IF(IV115&gt;17,IV115-17,0)*3+IF(IV115&gt;18,IV115-18,0)*3+IF(IV115&gt;19,IV115-19,0)*3+IF(IV115&gt;20,IV115-20,0)*3</f>
        <v>263.30769230769232</v>
      </c>
      <c r="IZ115" s="242">
        <f>IF(IW115&lt;=0,3,0)+IF(IW115&gt;0,IW115+1,0)*3+IF(IW115&gt;12,IW115-12,0)*3+IF(IW115&gt;13,IW115-13,0)*3+IF(IW115&gt;14,IW115-14,0)*3+IF(IW115&gt;15,IW115-15,0)*3+IF(IW115&gt;16,IW115-16,0)*3+IF(IW115&gt;17,IW115-17,0)*3+IF(IW115&gt;18,IW115-18,0)*3+IF(IW115&gt;19,IW115-19,0)*3+IF(IW115&gt;20,IW115-20,0)*3</f>
        <v>3</v>
      </c>
      <c r="JA115" s="243">
        <f t="shared" si="1071"/>
        <v>260.30769230769232</v>
      </c>
      <c r="JB115" s="218">
        <f t="shared" si="1072"/>
        <v>0</v>
      </c>
      <c r="JE115" s="148"/>
    </row>
    <row r="116" spans="2:265" hidden="1" outlineLevel="2">
      <c r="B116" s="148">
        <v>17</v>
      </c>
      <c r="C116" s="303" t="e">
        <f>VLOOKUP(AF116,Attribute!C:T,1,FALSE)</f>
        <v>#N/A</v>
      </c>
      <c r="D116" s="86" t="s">
        <v>84</v>
      </c>
      <c r="E116" s="167" t="s">
        <v>135</v>
      </c>
      <c r="F116" s="120">
        <f t="shared" si="1082"/>
        <v>12</v>
      </c>
      <c r="G116" s="117">
        <f>Konvention_1master-KLmaster</f>
        <v>12</v>
      </c>
      <c r="H116" s="117"/>
      <c r="I116" s="117">
        <f t="shared" si="1073"/>
        <v>12</v>
      </c>
      <c r="J116" s="117"/>
      <c r="K116" s="117"/>
      <c r="L116" s="117"/>
      <c r="M116" s="121"/>
      <c r="N116" s="223">
        <f>(F116+G116+H116+I116+J116+K116+L116+M116)/3</f>
        <v>12</v>
      </c>
      <c r="O116" s="223">
        <f t="shared" si="958"/>
        <v>24</v>
      </c>
      <c r="P116" s="224">
        <f t="shared" si="959"/>
        <v>36</v>
      </c>
      <c r="Q116" s="237">
        <f>F116*POWER(KLmaster,SIGN(G116))*POWER(INmaster,SIGN(H116))*POWER(CHmaster,SIGN(I116))*POWER(FFmaster,SIGN(J116))*POWER(GEmaster,SIGN(K116))*POWER(KOmaster,SIGN(L116))*POWER(KKmaster,SIGN(M116))+G116*POWER(MUmaster,SIGN(F116))*POWER(INmaster,SIGN(H116))*POWER(CHmaster,SIGN(I116))*POWER(FFmaster,SIGN(J116))*POWER(GEmaster,SIGN(K116))*POWER(KOmaster,SIGN(L116))*POWER(KKmaster,SIGN(M116))+H116*POWER(MUmaster,SIGN(F116))*POWER(KLmaster,SIGN(G116))*POWER(CHmaster,SIGN(I116))*POWER(FFmaster,SIGN(J116))*POWER(GEmaster,SIGN(K116))*POWER(KOmaster,SIGN(L116))*POWER(KKmaster,SIGN(M116))+I116*POWER(MUmaster,SIGN(F116))*POWER(KLmaster,SIGN(G116))*POWER(INmaster,SIGN(H116))*POWER(FFmaster,SIGN(J116))*POWER(GEmaster,SIGN(K116))*POWER(KOmaster,SIGN(L116))*POWER(KKmaster,SIGN(M116))+J116*POWER(MUmaster,SIGN(F116))*POWER(KLmaster,SIGN(G116))*POWER(INmaster,SIGN(H116))*POWER(CHmaster,SIGN(I116))*POWER(GEmaster,SIGN(K116))*POWER(KOmaster,SIGN(L116))*POWER(KKmaster,SIGN(M116))+K116*POWER(MUmaster,SIGN(F116))*POWER(KLmaster,SIGN(G116))*POWER(INmaster,SIGN(H116))*POWER(CHmaster,SIGN(I116))*POWER(FFmaster,SIGN(J116))*POWER(KOmaster,SIGN(L116))*POWER(KKmaster,SIGN(M116))+L116*POWER(MUmaster,SIGN(F116))*POWER(KLmaster,SIGN(G116))*POWER(INmaster,SIGN(H116))*POWER(CHmaster,SIGN(I116))*POWER(FFmaster,SIGN(J116))*POWER(GEmaster,SIGN(K116))*POWER(KKmaster,SIGN(M116))+M116*POWER(MUmaster,SIGN(F116))*POWER(KLmaster,SIGN(G116))*POWER(INmaster,SIGN(H116))*POWER(CHmaster,SIGN(I116))*POWER(FFmaster,SIGN(J116))*POWER(GEmaster,SIGN(K116))*POWER(KOmaster,SIGN(L116))</f>
        <v>2304</v>
      </c>
      <c r="R116" s="117">
        <f>F116*G116*CHmaster+F116*KLmaster*I116+MUmaster*G116*I116</f>
        <v>3456</v>
      </c>
      <c r="S116" s="224">
        <f t="shared" si="939"/>
        <v>1728</v>
      </c>
      <c r="T116" s="224">
        <f>SUM(Q116:S116)</f>
        <v>7488</v>
      </c>
      <c r="U116" s="222">
        <f t="shared" si="962"/>
        <v>3.6923076923076925</v>
      </c>
      <c r="V116" s="223">
        <f t="shared" si="963"/>
        <v>11.076923076923077</v>
      </c>
      <c r="W116" s="243">
        <f t="shared" si="964"/>
        <v>8.3076923076923084</v>
      </c>
      <c r="X116" s="243">
        <f t="shared" si="965"/>
        <v>23.07692307692308</v>
      </c>
      <c r="Y116" s="252">
        <v>0</v>
      </c>
      <c r="Z116" s="198">
        <f t="shared" si="966"/>
        <v>23.07692307692308</v>
      </c>
      <c r="AA116" s="125">
        <f>IF(X116&lt;=0,3,0)+IF(X116&gt;0,X116+1,0)*3+IF(X116&gt;12,X116-12,0)*3+IF(X116&gt;13,X116-13,0)*3+IF(X116&gt;14,X116-14,0)*3+IF(X116&gt;15,X116-15,0)*3+IF(X116&gt;16,X116-16,0)*3+IF(X116&gt;17,X116-17,0)*3+IF(X116&gt;18,X116-18,0)*3+IF(X116&gt;19,X116-19,0)*3+IF(X116&gt;20,X116-20,0)*3</f>
        <v>263.30769230769232</v>
      </c>
      <c r="AB116" s="160">
        <f>IF(Y116&lt;=0,3,0)+IF(Y116&gt;0,Y116+1,0)*3+IF(Y116&gt;12,Y116-12,0)*3+IF(Y116&gt;13,Y116-13,0)*3+IF(Y116&gt;14,Y116-14,0)*3+IF(Y116&gt;15,Y116-15,0)*3+IF(Y116&gt;16,Y116-16,0)*3+IF(Y116&gt;17,Y116-17,0)*3+IF(Y116&gt;18,Y116-18,0)*3+IF(Y116&gt;19,Y116-19,0)*3+IF(Y116&gt;20,Y116-20,0)*3</f>
        <v>3</v>
      </c>
      <c r="AC116" s="127">
        <f t="shared" si="967"/>
        <v>260.30769230769232</v>
      </c>
      <c r="AD116" s="125">
        <f t="shared" si="968"/>
        <v>0</v>
      </c>
      <c r="AF116" s="163" t="s">
        <v>362</v>
      </c>
      <c r="AG116" s="86" t="s">
        <v>84</v>
      </c>
      <c r="AH116" s="167" t="s">
        <v>135</v>
      </c>
      <c r="AI116" s="120">
        <f t="shared" si="1083"/>
        <v>11</v>
      </c>
      <c r="AJ116" s="117">
        <f>Konvention_1slave-KLslave</f>
        <v>12</v>
      </c>
      <c r="AK116" s="117"/>
      <c r="AL116" s="117">
        <f t="shared" si="1074"/>
        <v>12</v>
      </c>
      <c r="AM116" s="117"/>
      <c r="AN116" s="117"/>
      <c r="AO116" s="117"/>
      <c r="AP116" s="121"/>
      <c r="AQ116" s="47">
        <f>(AI116+AJ116+AK116+AL116+AM116+AN116+AO116+AP116)/3</f>
        <v>11.666666666666666</v>
      </c>
      <c r="AR116" s="3">
        <f t="shared" si="971"/>
        <v>23.333333333333332</v>
      </c>
      <c r="AS116" s="174">
        <f t="shared" si="972"/>
        <v>35</v>
      </c>
      <c r="AT116" s="114">
        <f t="shared" si="941"/>
        <v>2432</v>
      </c>
      <c r="AU116" s="117">
        <f>AI116*AJ116*CHslave+AI116*KLslave*AL116+MUslave_MU*AJ116*AL116</f>
        <v>3408</v>
      </c>
      <c r="AV116" s="119">
        <f t="shared" si="973"/>
        <v>1584</v>
      </c>
      <c r="AW116" s="119">
        <f>SUM(AT116:AV116)</f>
        <v>7424</v>
      </c>
      <c r="AX116" s="89">
        <f t="shared" si="975"/>
        <v>3.8218390804597702</v>
      </c>
      <c r="AY116" s="47">
        <f t="shared" si="976"/>
        <v>10.711206896551724</v>
      </c>
      <c r="AZ116" s="127">
        <f t="shared" si="977"/>
        <v>7.4676724137931032</v>
      </c>
      <c r="BA116" s="127">
        <f t="shared" si="978"/>
        <v>22.000718390804597</v>
      </c>
      <c r="BB116" s="165">
        <f t="shared" si="830"/>
        <v>0</v>
      </c>
      <c r="BC116" s="198">
        <f t="shared" si="979"/>
        <v>22.000718390804597</v>
      </c>
      <c r="BD116" s="125">
        <f>IF(BA116&lt;=0,3,0)+IF(BA116&gt;0,BA116+1,0)*3+IF(BA116&gt;12,BA116-12,0)*3+IF(BA116&gt;13,BA116-13,0)*3+IF(BA116&gt;14,BA116-14,0)*3+IF(BA116&gt;15,BA116-15,0)*3+IF(BA116&gt;16,BA116-16,0)*3+IF(BA116&gt;17,BA116-17,0)*3+IF(BA116&gt;18,BA116-18,0)*3+IF(BA116&gt;19,BA116-19,0)*3+IF(BA116&gt;20,BA116-20,0)*3</f>
        <v>231.02155172413785</v>
      </c>
      <c r="BE116" s="160">
        <f>IF(BB116&lt;=0,3,0)+IF(BB116&gt;0,BB116+1,0)*3+IF(BB116&gt;12,BB116-12,0)*3+IF(BB116&gt;13,BB116-13,0)*3+IF(BB116&gt;14,BB116-14,0)*3+IF(BB116&gt;15,BB116-15,0)*3+IF(BB116&gt;16,BB116-16,0)*3+IF(BB116&gt;17,BB116-17,0)*3+IF(BB116&gt;18,BB116-18,0)*3+IF(BB116&gt;19,BB116-19,0)*3+IF(BB116&gt;20,BB116-20,0)*3</f>
        <v>3</v>
      </c>
      <c r="BF116" s="243">
        <f t="shared" si="980"/>
        <v>228.02155172413785</v>
      </c>
      <c r="BG116" s="218">
        <f t="shared" si="981"/>
        <v>0</v>
      </c>
      <c r="BI116" s="303" t="s">
        <v>362</v>
      </c>
      <c r="BJ116" s="304" t="s">
        <v>84</v>
      </c>
      <c r="BK116" s="305" t="s">
        <v>135</v>
      </c>
      <c r="BL116" s="317">
        <f t="shared" si="1084"/>
        <v>12</v>
      </c>
      <c r="BM116" s="254">
        <f>Konvention_1slave-KLslave_KL</f>
        <v>11</v>
      </c>
      <c r="BN116" s="254"/>
      <c r="BO116" s="254">
        <f t="shared" si="1075"/>
        <v>12</v>
      </c>
      <c r="BP116" s="254"/>
      <c r="BQ116" s="254"/>
      <c r="BR116" s="254"/>
      <c r="BS116" s="318"/>
      <c r="BT116" s="223">
        <f>(BL116+BM116+BN116+BO116+BP116+BQ116+BR116+BS116)/3</f>
        <v>11.666666666666666</v>
      </c>
      <c r="BU116" s="223">
        <f t="shared" si="984"/>
        <v>23.333333333333332</v>
      </c>
      <c r="BV116" s="224">
        <f t="shared" si="985"/>
        <v>35</v>
      </c>
      <c r="BW116" s="237">
        <f t="shared" si="943"/>
        <v>2432</v>
      </c>
      <c r="BX116" s="254">
        <f>BL116*BM116*CHslave+BL116*KLslave_KL*BO116+MUslave*BM116*BO116</f>
        <v>3408</v>
      </c>
      <c r="BY116" s="224">
        <f t="shared" si="986"/>
        <v>1584</v>
      </c>
      <c r="BZ116" s="224">
        <f>SUM(BW116:BY116)</f>
        <v>7424</v>
      </c>
      <c r="CA116" s="222">
        <f t="shared" si="988"/>
        <v>3.8218390804597702</v>
      </c>
      <c r="CB116" s="223">
        <f t="shared" si="989"/>
        <v>10.711206896551724</v>
      </c>
      <c r="CC116" s="243">
        <f t="shared" si="990"/>
        <v>7.4676724137931032</v>
      </c>
      <c r="CD116" s="243">
        <f t="shared" si="991"/>
        <v>22.000718390804597</v>
      </c>
      <c r="CE116" s="252">
        <f t="shared" si="841"/>
        <v>0</v>
      </c>
      <c r="CF116" s="309">
        <f t="shared" si="992"/>
        <v>22.000718390804597</v>
      </c>
      <c r="CG116" s="218">
        <f>IF(CD116&lt;=0,3,0)+IF(CD116&gt;0,CD116+1,0)*3+IF(CD116&gt;12,CD116-12,0)*3+IF(CD116&gt;13,CD116-13,0)*3+IF(CD116&gt;14,CD116-14,0)*3+IF(CD116&gt;15,CD116-15,0)*3+IF(CD116&gt;16,CD116-16,0)*3+IF(CD116&gt;17,CD116-17,0)*3+IF(CD116&gt;18,CD116-18,0)*3+IF(CD116&gt;19,CD116-19,0)*3+IF(CD116&gt;20,CD116-20,0)*3</f>
        <v>231.02155172413785</v>
      </c>
      <c r="CH116" s="242">
        <f>IF(CE116&lt;=0,3,0)+IF(CE116&gt;0,CE116+1,0)*3+IF(CE116&gt;12,CE116-12,0)*3+IF(CE116&gt;13,CE116-13,0)*3+IF(CE116&gt;14,CE116-14,0)*3+IF(CE116&gt;15,CE116-15,0)*3+IF(CE116&gt;16,CE116-16,0)*3+IF(CE116&gt;17,CE116-17,0)*3+IF(CE116&gt;18,CE116-18,0)*3+IF(CE116&gt;19,CE116-19,0)*3+IF(CE116&gt;20,CE116-20,0)*3</f>
        <v>3</v>
      </c>
      <c r="CI116" s="243">
        <f t="shared" si="993"/>
        <v>228.02155172413785</v>
      </c>
      <c r="CJ116" s="218">
        <f t="shared" si="994"/>
        <v>0</v>
      </c>
      <c r="CL116" s="303" t="s">
        <v>362</v>
      </c>
      <c r="CM116" s="304" t="s">
        <v>84</v>
      </c>
      <c r="CN116" s="305" t="s">
        <v>135</v>
      </c>
      <c r="CO116" s="317">
        <f t="shared" si="1085"/>
        <v>12</v>
      </c>
      <c r="CP116" s="254">
        <f>Konvention_1slave-KLslave</f>
        <v>12</v>
      </c>
      <c r="CQ116" s="254"/>
      <c r="CR116" s="254">
        <f t="shared" si="1076"/>
        <v>12</v>
      </c>
      <c r="CS116" s="254"/>
      <c r="CT116" s="254"/>
      <c r="CU116" s="254"/>
      <c r="CV116" s="318"/>
      <c r="CW116" s="223">
        <f>(CO116+CP116+CQ116+CR116+CS116+CT116+CU116+CV116)/3</f>
        <v>12</v>
      </c>
      <c r="CX116" s="223">
        <f t="shared" si="997"/>
        <v>24</v>
      </c>
      <c r="CY116" s="224">
        <f t="shared" si="998"/>
        <v>36</v>
      </c>
      <c r="CZ116" s="237">
        <f t="shared" si="945"/>
        <v>2304</v>
      </c>
      <c r="DA116" s="254">
        <f>CO116*CP116*CHslave+CO116*KLslave*CR116+MUslave*CP116*CR116</f>
        <v>3456</v>
      </c>
      <c r="DB116" s="224">
        <f t="shared" si="999"/>
        <v>1728</v>
      </c>
      <c r="DC116" s="224">
        <f>SUM(CZ116:DB116)</f>
        <v>7488</v>
      </c>
      <c r="DD116" s="222">
        <f t="shared" si="1001"/>
        <v>3.6923076923076925</v>
      </c>
      <c r="DE116" s="223">
        <f t="shared" si="1002"/>
        <v>11.076923076923077</v>
      </c>
      <c r="DF116" s="243">
        <f t="shared" si="1003"/>
        <v>8.3076923076923084</v>
      </c>
      <c r="DG116" s="243">
        <f t="shared" si="1004"/>
        <v>23.07692307692308</v>
      </c>
      <c r="DH116" s="252">
        <f t="shared" si="852"/>
        <v>0</v>
      </c>
      <c r="DI116" s="309">
        <f t="shared" si="1005"/>
        <v>23.07692307692308</v>
      </c>
      <c r="DJ116" s="218">
        <f>IF(DG116&lt;=0,3,0)+IF(DG116&gt;0,DG116+1,0)*3+IF(DG116&gt;12,DG116-12,0)*3+IF(DG116&gt;13,DG116-13,0)*3+IF(DG116&gt;14,DG116-14,0)*3+IF(DG116&gt;15,DG116-15,0)*3+IF(DG116&gt;16,DG116-16,0)*3+IF(DG116&gt;17,DG116-17,0)*3+IF(DG116&gt;18,DG116-18,0)*3+IF(DG116&gt;19,DG116-19,0)*3+IF(DG116&gt;20,DG116-20,0)*3</f>
        <v>263.30769230769232</v>
      </c>
      <c r="DK116" s="242">
        <f>IF(DH116&lt;=0,3,0)+IF(DH116&gt;0,DH116+1,0)*3+IF(DH116&gt;12,DH116-12,0)*3+IF(DH116&gt;13,DH116-13,0)*3+IF(DH116&gt;14,DH116-14,0)*3+IF(DH116&gt;15,DH116-15,0)*3+IF(DH116&gt;16,DH116-16,0)*3+IF(DH116&gt;17,DH116-17,0)*3+IF(DH116&gt;18,DH116-18,0)*3+IF(DH116&gt;19,DH116-19,0)*3+IF(DH116&gt;20,DH116-20,0)*3</f>
        <v>3</v>
      </c>
      <c r="DL116" s="243">
        <f t="shared" si="1006"/>
        <v>260.30769230769232</v>
      </c>
      <c r="DM116" s="218">
        <f t="shared" si="1007"/>
        <v>0</v>
      </c>
      <c r="DO116" s="303" t="s">
        <v>362</v>
      </c>
      <c r="DP116" s="304" t="s">
        <v>84</v>
      </c>
      <c r="DQ116" s="305" t="s">
        <v>135</v>
      </c>
      <c r="DR116" s="317">
        <f t="shared" si="1086"/>
        <v>12</v>
      </c>
      <c r="DS116" s="254">
        <f>Konvention_1slave-KLslave</f>
        <v>12</v>
      </c>
      <c r="DT116" s="254"/>
      <c r="DU116" s="254">
        <f t="shared" si="1077"/>
        <v>11</v>
      </c>
      <c r="DV116" s="254"/>
      <c r="DW116" s="254"/>
      <c r="DX116" s="254"/>
      <c r="DY116" s="318"/>
      <c r="DZ116" s="223">
        <f>(DR116+DS116+DT116+DU116+DV116+DW116+DX116+DY116)/3</f>
        <v>11.666666666666666</v>
      </c>
      <c r="EA116" s="223">
        <f t="shared" si="1010"/>
        <v>23.333333333333332</v>
      </c>
      <c r="EB116" s="224">
        <f t="shared" si="1011"/>
        <v>35</v>
      </c>
      <c r="EC116" s="237">
        <f t="shared" si="947"/>
        <v>2432</v>
      </c>
      <c r="ED116" s="254">
        <f>DR116*DS116*CHslave_CH+DR116*KLslave*DU116+MUslave*DS116*DU116</f>
        <v>3408</v>
      </c>
      <c r="EE116" s="224">
        <f t="shared" si="1012"/>
        <v>1584</v>
      </c>
      <c r="EF116" s="224">
        <f>SUM(EC116:EE116)</f>
        <v>7424</v>
      </c>
      <c r="EG116" s="222">
        <f t="shared" si="1014"/>
        <v>3.8218390804597702</v>
      </c>
      <c r="EH116" s="223">
        <f t="shared" si="1015"/>
        <v>10.711206896551724</v>
      </c>
      <c r="EI116" s="243">
        <f t="shared" si="1016"/>
        <v>7.4676724137931032</v>
      </c>
      <c r="EJ116" s="243">
        <f t="shared" si="1017"/>
        <v>22.000718390804597</v>
      </c>
      <c r="EK116" s="252">
        <f t="shared" si="863"/>
        <v>0</v>
      </c>
      <c r="EL116" s="309">
        <f t="shared" si="1018"/>
        <v>22.000718390804597</v>
      </c>
      <c r="EM116" s="218">
        <f>IF(EJ116&lt;=0,3,0)+IF(EJ116&gt;0,EJ116+1,0)*3+IF(EJ116&gt;12,EJ116-12,0)*3+IF(EJ116&gt;13,EJ116-13,0)*3+IF(EJ116&gt;14,EJ116-14,0)*3+IF(EJ116&gt;15,EJ116-15,0)*3+IF(EJ116&gt;16,EJ116-16,0)*3+IF(EJ116&gt;17,EJ116-17,0)*3+IF(EJ116&gt;18,EJ116-18,0)*3+IF(EJ116&gt;19,EJ116-19,0)*3+IF(EJ116&gt;20,EJ116-20,0)*3</f>
        <v>231.02155172413785</v>
      </c>
      <c r="EN116" s="242">
        <f>IF(EK116&lt;=0,3,0)+IF(EK116&gt;0,EK116+1,0)*3+IF(EK116&gt;12,EK116-12,0)*3+IF(EK116&gt;13,EK116-13,0)*3+IF(EK116&gt;14,EK116-14,0)*3+IF(EK116&gt;15,EK116-15,0)*3+IF(EK116&gt;16,EK116-16,0)*3+IF(EK116&gt;17,EK116-17,0)*3+IF(EK116&gt;18,EK116-18,0)*3+IF(EK116&gt;19,EK116-19,0)*3+IF(EK116&gt;20,EK116-20,0)*3</f>
        <v>3</v>
      </c>
      <c r="EO116" s="243">
        <f t="shared" si="1019"/>
        <v>228.02155172413785</v>
      </c>
      <c r="EP116" s="218">
        <f t="shared" si="1020"/>
        <v>0</v>
      </c>
      <c r="ER116" s="303" t="s">
        <v>362</v>
      </c>
      <c r="ES116" s="304" t="s">
        <v>84</v>
      </c>
      <c r="ET116" s="305" t="s">
        <v>135</v>
      </c>
      <c r="EU116" s="317">
        <f t="shared" si="1087"/>
        <v>12</v>
      </c>
      <c r="EV116" s="254">
        <f>Konvention_1slave-KLslave</f>
        <v>12</v>
      </c>
      <c r="EW116" s="254"/>
      <c r="EX116" s="254">
        <f t="shared" si="1078"/>
        <v>12</v>
      </c>
      <c r="EY116" s="254"/>
      <c r="EZ116" s="254"/>
      <c r="FA116" s="254"/>
      <c r="FB116" s="318"/>
      <c r="FC116" s="223">
        <f>(EU116+EV116+EW116+EX116+EY116+EZ116+FA116+FB116)/3</f>
        <v>12</v>
      </c>
      <c r="FD116" s="223">
        <f t="shared" si="1023"/>
        <v>24</v>
      </c>
      <c r="FE116" s="224">
        <f t="shared" si="1024"/>
        <v>36</v>
      </c>
      <c r="FF116" s="237">
        <f t="shared" si="949"/>
        <v>2304</v>
      </c>
      <c r="FG116" s="254">
        <f>EU116*EV116*CHslave+EU116*KLslave*EX116+MUslave*EV116*EX116</f>
        <v>3456</v>
      </c>
      <c r="FH116" s="224">
        <f t="shared" si="1025"/>
        <v>1728</v>
      </c>
      <c r="FI116" s="224">
        <f>SUM(FF116:FH116)</f>
        <v>7488</v>
      </c>
      <c r="FJ116" s="222">
        <f t="shared" si="1027"/>
        <v>3.6923076923076925</v>
      </c>
      <c r="FK116" s="223">
        <f t="shared" si="1028"/>
        <v>11.076923076923077</v>
      </c>
      <c r="FL116" s="243">
        <f t="shared" si="1029"/>
        <v>8.3076923076923084</v>
      </c>
      <c r="FM116" s="243">
        <f t="shared" si="1030"/>
        <v>23.07692307692308</v>
      </c>
      <c r="FN116" s="252">
        <f t="shared" si="874"/>
        <v>0</v>
      </c>
      <c r="FO116" s="309">
        <f t="shared" si="1031"/>
        <v>23.07692307692308</v>
      </c>
      <c r="FP116" s="218">
        <f>IF(FM116&lt;=0,3,0)+IF(FM116&gt;0,FM116+1,0)*3+IF(FM116&gt;12,FM116-12,0)*3+IF(FM116&gt;13,FM116-13,0)*3+IF(FM116&gt;14,FM116-14,0)*3+IF(FM116&gt;15,FM116-15,0)*3+IF(FM116&gt;16,FM116-16,0)*3+IF(FM116&gt;17,FM116-17,0)*3+IF(FM116&gt;18,FM116-18,0)*3+IF(FM116&gt;19,FM116-19,0)*3+IF(FM116&gt;20,FM116-20,0)*3</f>
        <v>263.30769230769232</v>
      </c>
      <c r="FQ116" s="242">
        <f>IF(FN116&lt;=0,3,0)+IF(FN116&gt;0,FN116+1,0)*3+IF(FN116&gt;12,FN116-12,0)*3+IF(FN116&gt;13,FN116-13,0)*3+IF(FN116&gt;14,FN116-14,0)*3+IF(FN116&gt;15,FN116-15,0)*3+IF(FN116&gt;16,FN116-16,0)*3+IF(FN116&gt;17,FN116-17,0)*3+IF(FN116&gt;18,FN116-18,0)*3+IF(FN116&gt;19,FN116-19,0)*3+IF(FN116&gt;20,FN116-20,0)*3</f>
        <v>3</v>
      </c>
      <c r="FR116" s="243">
        <f t="shared" si="1032"/>
        <v>260.30769230769232</v>
      </c>
      <c r="FS116" s="218">
        <f t="shared" si="1033"/>
        <v>0</v>
      </c>
      <c r="FU116" s="303" t="s">
        <v>362</v>
      </c>
      <c r="FV116" s="304" t="s">
        <v>84</v>
      </c>
      <c r="FW116" s="305" t="s">
        <v>135</v>
      </c>
      <c r="FX116" s="317">
        <f t="shared" si="1088"/>
        <v>12</v>
      </c>
      <c r="FY116" s="254">
        <f>Konvention_1slave-KLslave</f>
        <v>12</v>
      </c>
      <c r="FZ116" s="254"/>
      <c r="GA116" s="254">
        <f t="shared" si="1079"/>
        <v>12</v>
      </c>
      <c r="GB116" s="254"/>
      <c r="GC116" s="254"/>
      <c r="GD116" s="254"/>
      <c r="GE116" s="318"/>
      <c r="GF116" s="223">
        <f>(FX116+FY116+FZ116+GA116+GB116+GC116+GD116+GE116)/3</f>
        <v>12</v>
      </c>
      <c r="GG116" s="223">
        <f t="shared" si="1036"/>
        <v>24</v>
      </c>
      <c r="GH116" s="224">
        <f t="shared" si="1037"/>
        <v>36</v>
      </c>
      <c r="GI116" s="237">
        <f t="shared" si="951"/>
        <v>2304</v>
      </c>
      <c r="GJ116" s="254">
        <f>FX116*FY116*CHslave+FX116*KLslave*GA116+MUslave*FY116*GA116</f>
        <v>3456</v>
      </c>
      <c r="GK116" s="224">
        <f t="shared" si="1038"/>
        <v>1728</v>
      </c>
      <c r="GL116" s="224">
        <f>SUM(GI116:GK116)</f>
        <v>7488</v>
      </c>
      <c r="GM116" s="222">
        <f t="shared" si="1040"/>
        <v>3.6923076923076925</v>
      </c>
      <c r="GN116" s="223">
        <f t="shared" si="1041"/>
        <v>11.076923076923077</v>
      </c>
      <c r="GO116" s="243">
        <f t="shared" si="1042"/>
        <v>8.3076923076923084</v>
      </c>
      <c r="GP116" s="243">
        <f t="shared" si="1043"/>
        <v>23.07692307692308</v>
      </c>
      <c r="GQ116" s="252">
        <f t="shared" si="885"/>
        <v>0</v>
      </c>
      <c r="GR116" s="309">
        <f t="shared" si="1044"/>
        <v>23.07692307692308</v>
      </c>
      <c r="GS116" s="218">
        <f>IF(GP116&lt;=0,3,0)+IF(GP116&gt;0,GP116+1,0)*3+IF(GP116&gt;12,GP116-12,0)*3+IF(GP116&gt;13,GP116-13,0)*3+IF(GP116&gt;14,GP116-14,0)*3+IF(GP116&gt;15,GP116-15,0)*3+IF(GP116&gt;16,GP116-16,0)*3+IF(GP116&gt;17,GP116-17,0)*3+IF(GP116&gt;18,GP116-18,0)*3+IF(GP116&gt;19,GP116-19,0)*3+IF(GP116&gt;20,GP116-20,0)*3</f>
        <v>263.30769230769232</v>
      </c>
      <c r="GT116" s="242">
        <f>IF(GQ116&lt;=0,3,0)+IF(GQ116&gt;0,GQ116+1,0)*3+IF(GQ116&gt;12,GQ116-12,0)*3+IF(GQ116&gt;13,GQ116-13,0)*3+IF(GQ116&gt;14,GQ116-14,0)*3+IF(GQ116&gt;15,GQ116-15,0)*3+IF(GQ116&gt;16,GQ116-16,0)*3+IF(GQ116&gt;17,GQ116-17,0)*3+IF(GQ116&gt;18,GQ116-18,0)*3+IF(GQ116&gt;19,GQ116-19,0)*3+IF(GQ116&gt;20,GQ116-20,0)*3</f>
        <v>3</v>
      </c>
      <c r="GU116" s="243">
        <f t="shared" si="1045"/>
        <v>260.30769230769232</v>
      </c>
      <c r="GV116" s="218">
        <f t="shared" si="1046"/>
        <v>0</v>
      </c>
      <c r="GX116" s="303" t="s">
        <v>362</v>
      </c>
      <c r="GY116" s="304" t="s">
        <v>84</v>
      </c>
      <c r="GZ116" s="305" t="s">
        <v>135</v>
      </c>
      <c r="HA116" s="317">
        <f t="shared" si="1089"/>
        <v>12</v>
      </c>
      <c r="HB116" s="254">
        <f>Konvention_1slave-KLslave</f>
        <v>12</v>
      </c>
      <c r="HC116" s="254"/>
      <c r="HD116" s="254">
        <f t="shared" si="1080"/>
        <v>12</v>
      </c>
      <c r="HE116" s="254"/>
      <c r="HF116" s="254"/>
      <c r="HG116" s="254"/>
      <c r="HH116" s="318"/>
      <c r="HI116" s="223">
        <f>(HA116+HB116+HC116+HD116+HE116+HF116+HG116+HH116)/3</f>
        <v>12</v>
      </c>
      <c r="HJ116" s="223">
        <f t="shared" si="1049"/>
        <v>24</v>
      </c>
      <c r="HK116" s="224">
        <f t="shared" si="1050"/>
        <v>36</v>
      </c>
      <c r="HL116" s="237">
        <f t="shared" si="953"/>
        <v>2304</v>
      </c>
      <c r="HM116" s="254">
        <f>HA116*HB116*CHslave+HA116*KLslave*HD116+MUslave*HB116*HD116</f>
        <v>3456</v>
      </c>
      <c r="HN116" s="224">
        <f t="shared" si="1051"/>
        <v>1728</v>
      </c>
      <c r="HO116" s="224">
        <f>SUM(HL116:HN116)</f>
        <v>7488</v>
      </c>
      <c r="HP116" s="222">
        <f t="shared" si="1053"/>
        <v>3.6923076923076925</v>
      </c>
      <c r="HQ116" s="223">
        <f t="shared" si="1054"/>
        <v>11.076923076923077</v>
      </c>
      <c r="HR116" s="243">
        <f t="shared" si="1055"/>
        <v>8.3076923076923084</v>
      </c>
      <c r="HS116" s="243">
        <f t="shared" si="1056"/>
        <v>23.07692307692308</v>
      </c>
      <c r="HT116" s="252">
        <f t="shared" si="896"/>
        <v>0</v>
      </c>
      <c r="HU116" s="309">
        <f t="shared" si="1057"/>
        <v>23.07692307692308</v>
      </c>
      <c r="HV116" s="218">
        <f>IF(HS116&lt;=0,3,0)+IF(HS116&gt;0,HS116+1,0)*3+IF(HS116&gt;12,HS116-12,0)*3+IF(HS116&gt;13,HS116-13,0)*3+IF(HS116&gt;14,HS116-14,0)*3+IF(HS116&gt;15,HS116-15,0)*3+IF(HS116&gt;16,HS116-16,0)*3+IF(HS116&gt;17,HS116-17,0)*3+IF(HS116&gt;18,HS116-18,0)*3+IF(HS116&gt;19,HS116-19,0)*3+IF(HS116&gt;20,HS116-20,0)*3</f>
        <v>263.30769230769232</v>
      </c>
      <c r="HW116" s="242">
        <f>IF(HT116&lt;=0,3,0)+IF(HT116&gt;0,HT116+1,0)*3+IF(HT116&gt;12,HT116-12,0)*3+IF(HT116&gt;13,HT116-13,0)*3+IF(HT116&gt;14,HT116-14,0)*3+IF(HT116&gt;15,HT116-15,0)*3+IF(HT116&gt;16,HT116-16,0)*3+IF(HT116&gt;17,HT116-17,0)*3+IF(HT116&gt;18,HT116-18,0)*3+IF(HT116&gt;19,HT116-19,0)*3+IF(HT116&gt;20,HT116-20,0)*3</f>
        <v>3</v>
      </c>
      <c r="HX116" s="243">
        <f t="shared" si="1058"/>
        <v>260.30769230769232</v>
      </c>
      <c r="HY116" s="218">
        <f t="shared" si="1059"/>
        <v>0</v>
      </c>
      <c r="IA116" s="303" t="s">
        <v>362</v>
      </c>
      <c r="IB116" s="304" t="s">
        <v>84</v>
      </c>
      <c r="IC116" s="305" t="s">
        <v>135</v>
      </c>
      <c r="ID116" s="317">
        <f t="shared" si="1090"/>
        <v>12</v>
      </c>
      <c r="IE116" s="254">
        <f>Konvention_1slave-KLslave</f>
        <v>12</v>
      </c>
      <c r="IF116" s="254"/>
      <c r="IG116" s="254">
        <f t="shared" si="1081"/>
        <v>12</v>
      </c>
      <c r="IH116" s="254"/>
      <c r="II116" s="254"/>
      <c r="IJ116" s="254"/>
      <c r="IK116" s="318"/>
      <c r="IL116" s="223">
        <f>(ID116+IE116+IF116+IG116+IH116+II116+IJ116+IK116)/3</f>
        <v>12</v>
      </c>
      <c r="IM116" s="223">
        <f t="shared" si="1062"/>
        <v>24</v>
      </c>
      <c r="IN116" s="224">
        <f t="shared" si="1063"/>
        <v>36</v>
      </c>
      <c r="IO116" s="237">
        <f t="shared" si="955"/>
        <v>2304</v>
      </c>
      <c r="IP116" s="254">
        <f>ID116*IE116*CHslave+ID116*KLslave*IG116+MUslave*IE116*IG116</f>
        <v>3456</v>
      </c>
      <c r="IQ116" s="224">
        <f t="shared" si="1064"/>
        <v>1728</v>
      </c>
      <c r="IR116" s="224">
        <f>SUM(IO116:IQ116)</f>
        <v>7488</v>
      </c>
      <c r="IS116" s="222">
        <f t="shared" si="1066"/>
        <v>3.6923076923076925</v>
      </c>
      <c r="IT116" s="223">
        <f t="shared" si="1067"/>
        <v>11.076923076923077</v>
      </c>
      <c r="IU116" s="243">
        <f t="shared" si="1068"/>
        <v>8.3076923076923084</v>
      </c>
      <c r="IV116" s="243">
        <f t="shared" si="1069"/>
        <v>23.07692307692308</v>
      </c>
      <c r="IW116" s="252">
        <f t="shared" si="907"/>
        <v>0</v>
      </c>
      <c r="IX116" s="309">
        <f t="shared" si="1070"/>
        <v>23.07692307692308</v>
      </c>
      <c r="IY116" s="218">
        <f>IF(IV116&lt;=0,3,0)+IF(IV116&gt;0,IV116+1,0)*3+IF(IV116&gt;12,IV116-12,0)*3+IF(IV116&gt;13,IV116-13,0)*3+IF(IV116&gt;14,IV116-14,0)*3+IF(IV116&gt;15,IV116-15,0)*3+IF(IV116&gt;16,IV116-16,0)*3+IF(IV116&gt;17,IV116-17,0)*3+IF(IV116&gt;18,IV116-18,0)*3+IF(IV116&gt;19,IV116-19,0)*3+IF(IV116&gt;20,IV116-20,0)*3</f>
        <v>263.30769230769232</v>
      </c>
      <c r="IZ116" s="242">
        <f>IF(IW116&lt;=0,3,0)+IF(IW116&gt;0,IW116+1,0)*3+IF(IW116&gt;12,IW116-12,0)*3+IF(IW116&gt;13,IW116-13,0)*3+IF(IW116&gt;14,IW116-14,0)*3+IF(IW116&gt;15,IW116-15,0)*3+IF(IW116&gt;16,IW116-16,0)*3+IF(IW116&gt;17,IW116-17,0)*3+IF(IW116&gt;18,IW116-18,0)*3+IF(IW116&gt;19,IW116-19,0)*3+IF(IW116&gt;20,IW116-20,0)*3</f>
        <v>3</v>
      </c>
      <c r="JA116" s="243">
        <f t="shared" si="1071"/>
        <v>260.30769230769232</v>
      </c>
      <c r="JB116" s="218">
        <f t="shared" si="1072"/>
        <v>0</v>
      </c>
      <c r="JE116" s="148"/>
    </row>
    <row r="117" spans="2:265" ht="15" hidden="1" customHeight="1" outlineLevel="2">
      <c r="B117" s="148">
        <v>18</v>
      </c>
      <c r="C117" s="303" t="e">
        <f>VLOOKUP(AF117,Attribute!C:T,1,FALSE)</f>
        <v>#N/A</v>
      </c>
      <c r="D117" s="86" t="s">
        <v>86</v>
      </c>
      <c r="E117" s="167" t="s">
        <v>133</v>
      </c>
      <c r="F117" s="120">
        <f t="shared" si="1082"/>
        <v>12</v>
      </c>
      <c r="G117" s="117"/>
      <c r="H117" s="117">
        <f>Konvention_1master-INmaster</f>
        <v>12</v>
      </c>
      <c r="I117" s="117">
        <f t="shared" si="1073"/>
        <v>12</v>
      </c>
      <c r="J117" s="117"/>
      <c r="K117" s="117"/>
      <c r="L117" s="117"/>
      <c r="M117" s="121"/>
      <c r="N117" s="223">
        <f>(F117+G117+H117+I117+J117+K117+L117+M117)/3</f>
        <v>12</v>
      </c>
      <c r="O117" s="223">
        <f t="shared" si="958"/>
        <v>24</v>
      </c>
      <c r="P117" s="224">
        <f t="shared" si="959"/>
        <v>36</v>
      </c>
      <c r="Q117" s="237">
        <f>F117*POWER(KLmaster,SIGN(G117))*POWER(INmaster,SIGN(H117))*POWER(CHmaster,SIGN(I117))*POWER(FFmaster,SIGN(J117))*POWER(GEmaster,SIGN(K117))*POWER(KOmaster,SIGN(L117))*POWER(KKmaster,SIGN(M117))+G117*POWER(MUmaster,SIGN(F117))*POWER(INmaster,SIGN(H117))*POWER(CHmaster,SIGN(I117))*POWER(FFmaster,SIGN(J117))*POWER(GEmaster,SIGN(K117))*POWER(KOmaster,SIGN(L117))*POWER(KKmaster,SIGN(M117))+H117*POWER(MUmaster,SIGN(F117))*POWER(KLmaster,SIGN(G117))*POWER(CHmaster,SIGN(I117))*POWER(FFmaster,SIGN(J117))*POWER(GEmaster,SIGN(K117))*POWER(KOmaster,SIGN(L117))*POWER(KKmaster,SIGN(M117))+I117*POWER(MUmaster,SIGN(F117))*POWER(KLmaster,SIGN(G117))*POWER(INmaster,SIGN(H117))*POWER(FFmaster,SIGN(J117))*POWER(GEmaster,SIGN(K117))*POWER(KOmaster,SIGN(L117))*POWER(KKmaster,SIGN(M117))+J117*POWER(MUmaster,SIGN(F117))*POWER(KLmaster,SIGN(G117))*POWER(INmaster,SIGN(H117))*POWER(CHmaster,SIGN(I117))*POWER(GEmaster,SIGN(K117))*POWER(KOmaster,SIGN(L117))*POWER(KKmaster,SIGN(M117))+K117*POWER(MUmaster,SIGN(F117))*POWER(KLmaster,SIGN(G117))*POWER(INmaster,SIGN(H117))*POWER(CHmaster,SIGN(I117))*POWER(FFmaster,SIGN(J117))*POWER(KOmaster,SIGN(L117))*POWER(KKmaster,SIGN(M117))+L117*POWER(MUmaster,SIGN(F117))*POWER(KLmaster,SIGN(G117))*POWER(INmaster,SIGN(H117))*POWER(CHmaster,SIGN(I117))*POWER(FFmaster,SIGN(J117))*POWER(GEmaster,SIGN(K117))*POWER(KKmaster,SIGN(M117))+M117*POWER(MUmaster,SIGN(F117))*POWER(KLmaster,SIGN(G117))*POWER(INmaster,SIGN(H117))*POWER(CHmaster,SIGN(I117))*POWER(FFmaster,SIGN(J117))*POWER(GEmaster,SIGN(K117))*POWER(KOmaster,SIGN(L117))</f>
        <v>2304</v>
      </c>
      <c r="R117" s="117">
        <f>F117*H117*CHmaster+F117*INmaster*I117+MUmaster*H117*I117</f>
        <v>3456</v>
      </c>
      <c r="S117" s="224">
        <f t="shared" si="939"/>
        <v>1728</v>
      </c>
      <c r="T117" s="224">
        <f>SUM(Q117:S117)</f>
        <v>7488</v>
      </c>
      <c r="U117" s="222">
        <f>N117*Q117/T117</f>
        <v>3.6923076923076925</v>
      </c>
      <c r="V117" s="223">
        <f>O117*R117/T117</f>
        <v>11.076923076923077</v>
      </c>
      <c r="W117" s="243">
        <f>P117*S117/T117</f>
        <v>8.3076923076923084</v>
      </c>
      <c r="X117" s="243">
        <f>SUM(U117:W117)</f>
        <v>23.07692307692308</v>
      </c>
      <c r="Y117" s="252">
        <v>0</v>
      </c>
      <c r="Z117" s="198">
        <f>X117-Y117</f>
        <v>23.07692307692308</v>
      </c>
      <c r="AA117" s="125">
        <f>IF(X117&lt;=0,1,0)+IF(X117&gt;0,X117+1,0)*1+IF(X117&gt;12,X117-12,0)*1+IF(X117&gt;13,X117-13,0)*1+IF(X117&gt;14,X117-14,0)*1+IF(X117&gt;15,X117-15,0)*1+IF(X117&gt;16,X117-16,0)*1+IF(X117&gt;17,X117-17,0)*1+IF(X117&gt;18,X117-18,0)*1+IF(X117&gt;19,X117-19,0)*1+IF(X117&gt;20,X117-20,0)*1</f>
        <v>87.769230769230802</v>
      </c>
      <c r="AB117" s="160">
        <f>IF(Y117&lt;=0,1,0)+IF(Y117&gt;0,Y117+1,0)*1+IF(Y117&gt;12,Y117-12,0)*1+IF(Y117&gt;13,Y117-13,0)*1+IF(Y117&gt;14,Y117-14,0)*1+IF(Y117&gt;15,Y117-15,0)*1+IF(Y117&gt;16,Y117-16,0)*1+IF(Y117&gt;17,Y117-17,0)*1+IF(Y117&gt;18,Y117-18,0)*1+IF(Y117&gt;19,Y117-19,0)*1+IF(Y117&gt;20,Y117-20,0)*1</f>
        <v>1</v>
      </c>
      <c r="AC117" s="127">
        <f t="shared" si="967"/>
        <v>86.769230769230802</v>
      </c>
      <c r="AD117" s="125">
        <f t="shared" si="968"/>
        <v>0</v>
      </c>
      <c r="AF117" s="163" t="s">
        <v>363</v>
      </c>
      <c r="AG117" s="86" t="s">
        <v>86</v>
      </c>
      <c r="AH117" s="167" t="s">
        <v>133</v>
      </c>
      <c r="AI117" s="120">
        <f t="shared" si="1083"/>
        <v>11</v>
      </c>
      <c r="AJ117" s="117"/>
      <c r="AK117" s="117">
        <f>Konvention_1slave-INslave</f>
        <v>12</v>
      </c>
      <c r="AL117" s="117">
        <f t="shared" si="1074"/>
        <v>12</v>
      </c>
      <c r="AM117" s="117"/>
      <c r="AN117" s="117"/>
      <c r="AO117" s="117"/>
      <c r="AP117" s="121"/>
      <c r="AQ117" s="47">
        <f>(AI117+AJ117+AK117+AL117+AM117+AN117+AO117+AP117)/3</f>
        <v>11.666666666666666</v>
      </c>
      <c r="AR117" s="3">
        <f t="shared" si="971"/>
        <v>23.333333333333332</v>
      </c>
      <c r="AS117" s="174">
        <f t="shared" si="972"/>
        <v>35</v>
      </c>
      <c r="AT117" s="114">
        <f t="shared" si="941"/>
        <v>2432</v>
      </c>
      <c r="AU117" s="117">
        <f>AI117*AK117*CHslave+AI117*INslave*AL117+MUslave_MU*AK117*AL117</f>
        <v>3408</v>
      </c>
      <c r="AV117" s="119">
        <f t="shared" si="973"/>
        <v>1584</v>
      </c>
      <c r="AW117" s="119">
        <f>SUM(AT117:AV117)</f>
        <v>7424</v>
      </c>
      <c r="AX117" s="89">
        <f>AQ117*AT117/AW117</f>
        <v>3.8218390804597702</v>
      </c>
      <c r="AY117" s="47">
        <f>AR117*AU117/AW117</f>
        <v>10.711206896551724</v>
      </c>
      <c r="AZ117" s="127">
        <f>AS117*AV117/AW117</f>
        <v>7.4676724137931032</v>
      </c>
      <c r="BA117" s="127">
        <f>SUM(AX117:AZ117)</f>
        <v>22.000718390804597</v>
      </c>
      <c r="BB117" s="165">
        <f t="shared" si="830"/>
        <v>0</v>
      </c>
      <c r="BC117" s="198">
        <f t="shared" si="979"/>
        <v>22.000718390804597</v>
      </c>
      <c r="BD117" s="125">
        <f>IF(BA117&lt;=0,1,0)+IF(BA117&gt;0,BA117+1,0)*1+IF(BA117&gt;12,BA117-12,0)*1+IF(BA117&gt;13,BA117-13,0)*1+IF(BA117&gt;14,BA117-14,0)*1+IF(BA117&gt;15,BA117-15,0)*1+IF(BA117&gt;16,BA117-16,0)*1+IF(BA117&gt;17,BA117-17,0)*1+IF(BA117&gt;18,BA117-18,0)*1+IF(BA117&gt;19,BA117-19,0)*1+IF(BA117&gt;20,BA117-20,0)*1</f>
        <v>77.007183908045945</v>
      </c>
      <c r="BE117" s="160">
        <f>IF(BB117&lt;=0,1,0)+IF(BB117&gt;0,BB117+1,0)*1+IF(BB117&gt;12,BB117-12,0)*1+IF(BB117&gt;13,BB117-13,0)*1+IF(BB117&gt;14,BB117-14,0)*1+IF(BB117&gt;15,BB117-15,0)*1+IF(BB117&gt;16,BB117-16,0)*1+IF(BB117&gt;17,BB117-17,0)*1+IF(BB117&gt;18,BB117-18,0)*1+IF(BB117&gt;19,BB117-19,0)*1+IF(BB117&gt;20,BB117-20,0)*1</f>
        <v>1</v>
      </c>
      <c r="BF117" s="243">
        <f t="shared" si="980"/>
        <v>76.007183908045945</v>
      </c>
      <c r="BG117" s="218">
        <f t="shared" si="981"/>
        <v>0</v>
      </c>
      <c r="BI117" s="303" t="s">
        <v>363</v>
      </c>
      <c r="BJ117" s="304" t="s">
        <v>86</v>
      </c>
      <c r="BK117" s="305" t="s">
        <v>133</v>
      </c>
      <c r="BL117" s="317">
        <f t="shared" si="1084"/>
        <v>12</v>
      </c>
      <c r="BM117" s="254"/>
      <c r="BN117" s="254">
        <f>Konvention_1slave-INslave</f>
        <v>12</v>
      </c>
      <c r="BO117" s="254">
        <f t="shared" si="1075"/>
        <v>12</v>
      </c>
      <c r="BP117" s="254"/>
      <c r="BQ117" s="254"/>
      <c r="BR117" s="254"/>
      <c r="BS117" s="318"/>
      <c r="BT117" s="223">
        <f>(BL117+BM117+BN117+BO117+BP117+BQ117+BR117+BS117)/3</f>
        <v>12</v>
      </c>
      <c r="BU117" s="223">
        <f t="shared" si="984"/>
        <v>24</v>
      </c>
      <c r="BV117" s="224">
        <f t="shared" si="985"/>
        <v>36</v>
      </c>
      <c r="BW117" s="237">
        <f t="shared" si="943"/>
        <v>2304</v>
      </c>
      <c r="BX117" s="254">
        <f>BL117*BN117*CHslave+BL117*INslave*BO117+MUslave*BN117*BO117</f>
        <v>3456</v>
      </c>
      <c r="BY117" s="224">
        <f t="shared" si="986"/>
        <v>1728</v>
      </c>
      <c r="BZ117" s="224">
        <f>SUM(BW117:BY117)</f>
        <v>7488</v>
      </c>
      <c r="CA117" s="222">
        <f>BT117*BW117/BZ117</f>
        <v>3.6923076923076925</v>
      </c>
      <c r="CB117" s="223">
        <f>BU117*BX117/BZ117</f>
        <v>11.076923076923077</v>
      </c>
      <c r="CC117" s="243">
        <f>BV117*BY117/BZ117</f>
        <v>8.3076923076923084</v>
      </c>
      <c r="CD117" s="243">
        <f>SUM(CA117:CC117)</f>
        <v>23.07692307692308</v>
      </c>
      <c r="CE117" s="252">
        <f t="shared" si="841"/>
        <v>0</v>
      </c>
      <c r="CF117" s="309">
        <f t="shared" si="992"/>
        <v>23.07692307692308</v>
      </c>
      <c r="CG117" s="218">
        <f>IF(CD117&lt;=0,1,0)+IF(CD117&gt;0,CD117+1,0)*1+IF(CD117&gt;12,CD117-12,0)*1+IF(CD117&gt;13,CD117-13,0)*1+IF(CD117&gt;14,CD117-14,0)*1+IF(CD117&gt;15,CD117-15,0)*1+IF(CD117&gt;16,CD117-16,0)*1+IF(CD117&gt;17,CD117-17,0)*1+IF(CD117&gt;18,CD117-18,0)*1+IF(CD117&gt;19,CD117-19,0)*1+IF(CD117&gt;20,CD117-20,0)*1</f>
        <v>87.769230769230802</v>
      </c>
      <c r="CH117" s="242">
        <f>IF(CE117&lt;=0,1,0)+IF(CE117&gt;0,CE117+1,0)*1+IF(CE117&gt;12,CE117-12,0)*1+IF(CE117&gt;13,CE117-13,0)*1+IF(CE117&gt;14,CE117-14,0)*1+IF(CE117&gt;15,CE117-15,0)*1+IF(CE117&gt;16,CE117-16,0)*1+IF(CE117&gt;17,CE117-17,0)*1+IF(CE117&gt;18,CE117-18,0)*1+IF(CE117&gt;19,CE117-19,0)*1+IF(CE117&gt;20,CE117-20,0)*1</f>
        <v>1</v>
      </c>
      <c r="CI117" s="243">
        <f t="shared" si="993"/>
        <v>86.769230769230802</v>
      </c>
      <c r="CJ117" s="218">
        <f t="shared" si="994"/>
        <v>0</v>
      </c>
      <c r="CL117" s="303" t="s">
        <v>363</v>
      </c>
      <c r="CM117" s="304" t="s">
        <v>86</v>
      </c>
      <c r="CN117" s="305" t="s">
        <v>133</v>
      </c>
      <c r="CO117" s="317">
        <f t="shared" si="1085"/>
        <v>12</v>
      </c>
      <c r="CP117" s="254"/>
      <c r="CQ117" s="254">
        <f>Konvention_1slave-INslave_IN</f>
        <v>11</v>
      </c>
      <c r="CR117" s="254">
        <f t="shared" si="1076"/>
        <v>12</v>
      </c>
      <c r="CS117" s="254"/>
      <c r="CT117" s="254"/>
      <c r="CU117" s="254"/>
      <c r="CV117" s="318"/>
      <c r="CW117" s="223">
        <f>(CO117+CP117+CQ117+CR117+CS117+CT117+CU117+CV117)/3</f>
        <v>11.666666666666666</v>
      </c>
      <c r="CX117" s="223">
        <f t="shared" si="997"/>
        <v>23.333333333333332</v>
      </c>
      <c r="CY117" s="224">
        <f t="shared" si="998"/>
        <v>35</v>
      </c>
      <c r="CZ117" s="237">
        <f t="shared" si="945"/>
        <v>2432</v>
      </c>
      <c r="DA117" s="254">
        <f>CO117*CQ117*CHslave+CO117*INslave_IN*CR117+MUslave*CQ117*CR117</f>
        <v>3408</v>
      </c>
      <c r="DB117" s="224">
        <f t="shared" si="999"/>
        <v>1584</v>
      </c>
      <c r="DC117" s="224">
        <f>SUM(CZ117:DB117)</f>
        <v>7424</v>
      </c>
      <c r="DD117" s="222">
        <f>CW117*CZ117/DC117</f>
        <v>3.8218390804597702</v>
      </c>
      <c r="DE117" s="223">
        <f>CX117*DA117/DC117</f>
        <v>10.711206896551724</v>
      </c>
      <c r="DF117" s="243">
        <f>CY117*DB117/DC117</f>
        <v>7.4676724137931032</v>
      </c>
      <c r="DG117" s="243">
        <f>SUM(DD117:DF117)</f>
        <v>22.000718390804597</v>
      </c>
      <c r="DH117" s="252">
        <f t="shared" si="852"/>
        <v>0</v>
      </c>
      <c r="DI117" s="309">
        <f t="shared" si="1005"/>
        <v>22.000718390804597</v>
      </c>
      <c r="DJ117" s="218">
        <f>IF(DG117&lt;=0,1,0)+IF(DG117&gt;0,DG117+1,0)*1+IF(DG117&gt;12,DG117-12,0)*1+IF(DG117&gt;13,DG117-13,0)*1+IF(DG117&gt;14,DG117-14,0)*1+IF(DG117&gt;15,DG117-15,0)*1+IF(DG117&gt;16,DG117-16,0)*1+IF(DG117&gt;17,DG117-17,0)*1+IF(DG117&gt;18,DG117-18,0)*1+IF(DG117&gt;19,DG117-19,0)*1+IF(DG117&gt;20,DG117-20,0)*1</f>
        <v>77.007183908045945</v>
      </c>
      <c r="DK117" s="242">
        <f>IF(DH117&lt;=0,1,0)+IF(DH117&gt;0,DH117+1,0)*1+IF(DH117&gt;12,DH117-12,0)*1+IF(DH117&gt;13,DH117-13,0)*1+IF(DH117&gt;14,DH117-14,0)*1+IF(DH117&gt;15,DH117-15,0)*1+IF(DH117&gt;16,DH117-16,0)*1+IF(DH117&gt;17,DH117-17,0)*1+IF(DH117&gt;18,DH117-18,0)*1+IF(DH117&gt;19,DH117-19,0)*1+IF(DH117&gt;20,DH117-20,0)*1</f>
        <v>1</v>
      </c>
      <c r="DL117" s="243">
        <f t="shared" si="1006"/>
        <v>76.007183908045945</v>
      </c>
      <c r="DM117" s="218">
        <f t="shared" si="1007"/>
        <v>0</v>
      </c>
      <c r="DO117" s="303" t="s">
        <v>363</v>
      </c>
      <c r="DP117" s="304" t="s">
        <v>86</v>
      </c>
      <c r="DQ117" s="305" t="s">
        <v>133</v>
      </c>
      <c r="DR117" s="317">
        <f t="shared" si="1086"/>
        <v>12</v>
      </c>
      <c r="DS117" s="254"/>
      <c r="DT117" s="254">
        <f>Konvention_1slave-INslave</f>
        <v>12</v>
      </c>
      <c r="DU117" s="254">
        <f t="shared" si="1077"/>
        <v>11</v>
      </c>
      <c r="DV117" s="254"/>
      <c r="DW117" s="254"/>
      <c r="DX117" s="254"/>
      <c r="DY117" s="318"/>
      <c r="DZ117" s="223">
        <f>(DR117+DS117+DT117+DU117+DV117+DW117+DX117+DY117)/3</f>
        <v>11.666666666666666</v>
      </c>
      <c r="EA117" s="223">
        <f t="shared" si="1010"/>
        <v>23.333333333333332</v>
      </c>
      <c r="EB117" s="224">
        <f t="shared" si="1011"/>
        <v>35</v>
      </c>
      <c r="EC117" s="237">
        <f t="shared" si="947"/>
        <v>2432</v>
      </c>
      <c r="ED117" s="254">
        <f>DR117*DT117*CHslave_CH+DR117*INslave*DU117+MUslave*DT117*DU117</f>
        <v>3408</v>
      </c>
      <c r="EE117" s="224">
        <f t="shared" si="1012"/>
        <v>1584</v>
      </c>
      <c r="EF117" s="224">
        <f>SUM(EC117:EE117)</f>
        <v>7424</v>
      </c>
      <c r="EG117" s="222">
        <f>DZ117*EC117/EF117</f>
        <v>3.8218390804597702</v>
      </c>
      <c r="EH117" s="223">
        <f>EA117*ED117/EF117</f>
        <v>10.711206896551724</v>
      </c>
      <c r="EI117" s="243">
        <f>EB117*EE117/EF117</f>
        <v>7.4676724137931032</v>
      </c>
      <c r="EJ117" s="243">
        <f>SUM(EG117:EI117)</f>
        <v>22.000718390804597</v>
      </c>
      <c r="EK117" s="252">
        <f t="shared" si="863"/>
        <v>0</v>
      </c>
      <c r="EL117" s="309">
        <f t="shared" si="1018"/>
        <v>22.000718390804597</v>
      </c>
      <c r="EM117" s="218">
        <f>IF(EJ117&lt;=0,1,0)+IF(EJ117&gt;0,EJ117+1,0)*1+IF(EJ117&gt;12,EJ117-12,0)*1+IF(EJ117&gt;13,EJ117-13,0)*1+IF(EJ117&gt;14,EJ117-14,0)*1+IF(EJ117&gt;15,EJ117-15,0)*1+IF(EJ117&gt;16,EJ117-16,0)*1+IF(EJ117&gt;17,EJ117-17,0)*1+IF(EJ117&gt;18,EJ117-18,0)*1+IF(EJ117&gt;19,EJ117-19,0)*1+IF(EJ117&gt;20,EJ117-20,0)*1</f>
        <v>77.007183908045945</v>
      </c>
      <c r="EN117" s="242">
        <f>IF(EK117&lt;=0,1,0)+IF(EK117&gt;0,EK117+1,0)*1+IF(EK117&gt;12,EK117-12,0)*1+IF(EK117&gt;13,EK117-13,0)*1+IF(EK117&gt;14,EK117-14,0)*1+IF(EK117&gt;15,EK117-15,0)*1+IF(EK117&gt;16,EK117-16,0)*1+IF(EK117&gt;17,EK117-17,0)*1+IF(EK117&gt;18,EK117-18,0)*1+IF(EK117&gt;19,EK117-19,0)*1+IF(EK117&gt;20,EK117-20,0)*1</f>
        <v>1</v>
      </c>
      <c r="EO117" s="243">
        <f t="shared" si="1019"/>
        <v>76.007183908045945</v>
      </c>
      <c r="EP117" s="218">
        <f t="shared" si="1020"/>
        <v>0</v>
      </c>
      <c r="ER117" s="303" t="s">
        <v>363</v>
      </c>
      <c r="ES117" s="304" t="s">
        <v>86</v>
      </c>
      <c r="ET117" s="305" t="s">
        <v>133</v>
      </c>
      <c r="EU117" s="317">
        <f t="shared" si="1087"/>
        <v>12</v>
      </c>
      <c r="EV117" s="254"/>
      <c r="EW117" s="254">
        <f>Konvention_1slave-INslave</f>
        <v>12</v>
      </c>
      <c r="EX117" s="254">
        <f t="shared" si="1078"/>
        <v>12</v>
      </c>
      <c r="EY117" s="254"/>
      <c r="EZ117" s="254"/>
      <c r="FA117" s="254"/>
      <c r="FB117" s="318"/>
      <c r="FC117" s="223">
        <f>(EU117+EV117+EW117+EX117+EY117+EZ117+FA117+FB117)/3</f>
        <v>12</v>
      </c>
      <c r="FD117" s="223">
        <f t="shared" si="1023"/>
        <v>24</v>
      </c>
      <c r="FE117" s="224">
        <f t="shared" si="1024"/>
        <v>36</v>
      </c>
      <c r="FF117" s="237">
        <f t="shared" si="949"/>
        <v>2304</v>
      </c>
      <c r="FG117" s="254">
        <f>EU117*EW117*CHslave+EU117*INslave*EX117+MUslave*EW117*EX117</f>
        <v>3456</v>
      </c>
      <c r="FH117" s="224">
        <f t="shared" si="1025"/>
        <v>1728</v>
      </c>
      <c r="FI117" s="224">
        <f>SUM(FF117:FH117)</f>
        <v>7488</v>
      </c>
      <c r="FJ117" s="222">
        <f>FC117*FF117/FI117</f>
        <v>3.6923076923076925</v>
      </c>
      <c r="FK117" s="223">
        <f>FD117*FG117/FI117</f>
        <v>11.076923076923077</v>
      </c>
      <c r="FL117" s="243">
        <f>FE117*FH117/FI117</f>
        <v>8.3076923076923084</v>
      </c>
      <c r="FM117" s="243">
        <f>SUM(FJ117:FL117)</f>
        <v>23.07692307692308</v>
      </c>
      <c r="FN117" s="252">
        <f t="shared" si="874"/>
        <v>0</v>
      </c>
      <c r="FO117" s="309">
        <f t="shared" si="1031"/>
        <v>23.07692307692308</v>
      </c>
      <c r="FP117" s="218">
        <f>IF(FM117&lt;=0,1,0)+IF(FM117&gt;0,FM117+1,0)*1+IF(FM117&gt;12,FM117-12,0)*1+IF(FM117&gt;13,FM117-13,0)*1+IF(FM117&gt;14,FM117-14,0)*1+IF(FM117&gt;15,FM117-15,0)*1+IF(FM117&gt;16,FM117-16,0)*1+IF(FM117&gt;17,FM117-17,0)*1+IF(FM117&gt;18,FM117-18,0)*1+IF(FM117&gt;19,FM117-19,0)*1+IF(FM117&gt;20,FM117-20,0)*1</f>
        <v>87.769230769230802</v>
      </c>
      <c r="FQ117" s="242">
        <f>IF(FN117&lt;=0,1,0)+IF(FN117&gt;0,FN117+1,0)*1+IF(FN117&gt;12,FN117-12,0)*1+IF(FN117&gt;13,FN117-13,0)*1+IF(FN117&gt;14,FN117-14,0)*1+IF(FN117&gt;15,FN117-15,0)*1+IF(FN117&gt;16,FN117-16,0)*1+IF(FN117&gt;17,FN117-17,0)*1+IF(FN117&gt;18,FN117-18,0)*1+IF(FN117&gt;19,FN117-19,0)*1+IF(FN117&gt;20,FN117-20,0)*1</f>
        <v>1</v>
      </c>
      <c r="FR117" s="243">
        <f t="shared" si="1032"/>
        <v>86.769230769230802</v>
      </c>
      <c r="FS117" s="218">
        <f t="shared" si="1033"/>
        <v>0</v>
      </c>
      <c r="FU117" s="303" t="s">
        <v>363</v>
      </c>
      <c r="FV117" s="304" t="s">
        <v>86</v>
      </c>
      <c r="FW117" s="305" t="s">
        <v>133</v>
      </c>
      <c r="FX117" s="317">
        <f t="shared" si="1088"/>
        <v>12</v>
      </c>
      <c r="FY117" s="254"/>
      <c r="FZ117" s="254">
        <f>Konvention_1slave-INslave</f>
        <v>12</v>
      </c>
      <c r="GA117" s="254">
        <f t="shared" si="1079"/>
        <v>12</v>
      </c>
      <c r="GB117" s="254"/>
      <c r="GC117" s="254"/>
      <c r="GD117" s="254"/>
      <c r="GE117" s="318"/>
      <c r="GF117" s="223">
        <f>(FX117+FY117+FZ117+GA117+GB117+GC117+GD117+GE117)/3</f>
        <v>12</v>
      </c>
      <c r="GG117" s="223">
        <f t="shared" si="1036"/>
        <v>24</v>
      </c>
      <c r="GH117" s="224">
        <f t="shared" si="1037"/>
        <v>36</v>
      </c>
      <c r="GI117" s="237">
        <f t="shared" si="951"/>
        <v>2304</v>
      </c>
      <c r="GJ117" s="254">
        <f>FX117*FZ117*CHslave+FX117*INslave*GA117+MUslave*FZ117*GA117</f>
        <v>3456</v>
      </c>
      <c r="GK117" s="224">
        <f t="shared" si="1038"/>
        <v>1728</v>
      </c>
      <c r="GL117" s="224">
        <f>SUM(GI117:GK117)</f>
        <v>7488</v>
      </c>
      <c r="GM117" s="222">
        <f>GF117*GI117/GL117</f>
        <v>3.6923076923076925</v>
      </c>
      <c r="GN117" s="223">
        <f>GG117*GJ117/GL117</f>
        <v>11.076923076923077</v>
      </c>
      <c r="GO117" s="243">
        <f>GH117*GK117/GL117</f>
        <v>8.3076923076923084</v>
      </c>
      <c r="GP117" s="243">
        <f>SUM(GM117:GO117)</f>
        <v>23.07692307692308</v>
      </c>
      <c r="GQ117" s="252">
        <f t="shared" si="885"/>
        <v>0</v>
      </c>
      <c r="GR117" s="309">
        <f t="shared" si="1044"/>
        <v>23.07692307692308</v>
      </c>
      <c r="GS117" s="218">
        <f>IF(GP117&lt;=0,1,0)+IF(GP117&gt;0,GP117+1,0)*1+IF(GP117&gt;12,GP117-12,0)*1+IF(GP117&gt;13,GP117-13,0)*1+IF(GP117&gt;14,GP117-14,0)*1+IF(GP117&gt;15,GP117-15,0)*1+IF(GP117&gt;16,GP117-16,0)*1+IF(GP117&gt;17,GP117-17,0)*1+IF(GP117&gt;18,GP117-18,0)*1+IF(GP117&gt;19,GP117-19,0)*1+IF(GP117&gt;20,GP117-20,0)*1</f>
        <v>87.769230769230802</v>
      </c>
      <c r="GT117" s="242">
        <f>IF(GQ117&lt;=0,1,0)+IF(GQ117&gt;0,GQ117+1,0)*1+IF(GQ117&gt;12,GQ117-12,0)*1+IF(GQ117&gt;13,GQ117-13,0)*1+IF(GQ117&gt;14,GQ117-14,0)*1+IF(GQ117&gt;15,GQ117-15,0)*1+IF(GQ117&gt;16,GQ117-16,0)*1+IF(GQ117&gt;17,GQ117-17,0)*1+IF(GQ117&gt;18,GQ117-18,0)*1+IF(GQ117&gt;19,GQ117-19,0)*1+IF(GQ117&gt;20,GQ117-20,0)*1</f>
        <v>1</v>
      </c>
      <c r="GU117" s="243">
        <f t="shared" si="1045"/>
        <v>86.769230769230802</v>
      </c>
      <c r="GV117" s="218">
        <f t="shared" si="1046"/>
        <v>0</v>
      </c>
      <c r="GX117" s="303" t="s">
        <v>363</v>
      </c>
      <c r="GY117" s="304" t="s">
        <v>86</v>
      </c>
      <c r="GZ117" s="305" t="s">
        <v>133</v>
      </c>
      <c r="HA117" s="317">
        <f t="shared" si="1089"/>
        <v>12</v>
      </c>
      <c r="HB117" s="254"/>
      <c r="HC117" s="254">
        <f>Konvention_1slave-INslave</f>
        <v>12</v>
      </c>
      <c r="HD117" s="254">
        <f t="shared" si="1080"/>
        <v>12</v>
      </c>
      <c r="HE117" s="254"/>
      <c r="HF117" s="254"/>
      <c r="HG117" s="254"/>
      <c r="HH117" s="318"/>
      <c r="HI117" s="223">
        <f>(HA117+HB117+HC117+HD117+HE117+HF117+HG117+HH117)/3</f>
        <v>12</v>
      </c>
      <c r="HJ117" s="223">
        <f t="shared" si="1049"/>
        <v>24</v>
      </c>
      <c r="HK117" s="224">
        <f t="shared" si="1050"/>
        <v>36</v>
      </c>
      <c r="HL117" s="237">
        <f t="shared" si="953"/>
        <v>2304</v>
      </c>
      <c r="HM117" s="254">
        <f>HA117*HC117*CHslave+HA117*INslave*HD117+MUslave*HC117*HD117</f>
        <v>3456</v>
      </c>
      <c r="HN117" s="224">
        <f t="shared" si="1051"/>
        <v>1728</v>
      </c>
      <c r="HO117" s="224">
        <f>SUM(HL117:HN117)</f>
        <v>7488</v>
      </c>
      <c r="HP117" s="222">
        <f>HI117*HL117/HO117</f>
        <v>3.6923076923076925</v>
      </c>
      <c r="HQ117" s="223">
        <f>HJ117*HM117/HO117</f>
        <v>11.076923076923077</v>
      </c>
      <c r="HR117" s="243">
        <f>HK117*HN117/HO117</f>
        <v>8.3076923076923084</v>
      </c>
      <c r="HS117" s="243">
        <f>SUM(HP117:HR117)</f>
        <v>23.07692307692308</v>
      </c>
      <c r="HT117" s="252">
        <f t="shared" si="896"/>
        <v>0</v>
      </c>
      <c r="HU117" s="309">
        <f t="shared" si="1057"/>
        <v>23.07692307692308</v>
      </c>
      <c r="HV117" s="218">
        <f>IF(HS117&lt;=0,1,0)+IF(HS117&gt;0,HS117+1,0)*1+IF(HS117&gt;12,HS117-12,0)*1+IF(HS117&gt;13,HS117-13,0)*1+IF(HS117&gt;14,HS117-14,0)*1+IF(HS117&gt;15,HS117-15,0)*1+IF(HS117&gt;16,HS117-16,0)*1+IF(HS117&gt;17,HS117-17,0)*1+IF(HS117&gt;18,HS117-18,0)*1+IF(HS117&gt;19,HS117-19,0)*1+IF(HS117&gt;20,HS117-20,0)*1</f>
        <v>87.769230769230802</v>
      </c>
      <c r="HW117" s="242">
        <f>IF(HT117&lt;=0,1,0)+IF(HT117&gt;0,HT117+1,0)*1+IF(HT117&gt;12,HT117-12,0)*1+IF(HT117&gt;13,HT117-13,0)*1+IF(HT117&gt;14,HT117-14,0)*1+IF(HT117&gt;15,HT117-15,0)*1+IF(HT117&gt;16,HT117-16,0)*1+IF(HT117&gt;17,HT117-17,0)*1+IF(HT117&gt;18,HT117-18,0)*1+IF(HT117&gt;19,HT117-19,0)*1+IF(HT117&gt;20,HT117-20,0)*1</f>
        <v>1</v>
      </c>
      <c r="HX117" s="243">
        <f t="shared" si="1058"/>
        <v>86.769230769230802</v>
      </c>
      <c r="HY117" s="218">
        <f t="shared" si="1059"/>
        <v>0</v>
      </c>
      <c r="IA117" s="303" t="s">
        <v>363</v>
      </c>
      <c r="IB117" s="304" t="s">
        <v>86</v>
      </c>
      <c r="IC117" s="305" t="s">
        <v>133</v>
      </c>
      <c r="ID117" s="317">
        <f t="shared" si="1090"/>
        <v>12</v>
      </c>
      <c r="IE117" s="254"/>
      <c r="IF117" s="254">
        <f>Konvention_1slave-INslave</f>
        <v>12</v>
      </c>
      <c r="IG117" s="254">
        <f t="shared" si="1081"/>
        <v>12</v>
      </c>
      <c r="IH117" s="254"/>
      <c r="II117" s="254"/>
      <c r="IJ117" s="254"/>
      <c r="IK117" s="318"/>
      <c r="IL117" s="223">
        <f>(ID117+IE117+IF117+IG117+IH117+II117+IJ117+IK117)/3</f>
        <v>12</v>
      </c>
      <c r="IM117" s="223">
        <f t="shared" si="1062"/>
        <v>24</v>
      </c>
      <c r="IN117" s="224">
        <f t="shared" si="1063"/>
        <v>36</v>
      </c>
      <c r="IO117" s="237">
        <f t="shared" si="955"/>
        <v>2304</v>
      </c>
      <c r="IP117" s="254">
        <f>ID117*IF117*CHslave+ID117*INslave*IG117+MUslave*IF117*IG117</f>
        <v>3456</v>
      </c>
      <c r="IQ117" s="224">
        <f t="shared" si="1064"/>
        <v>1728</v>
      </c>
      <c r="IR117" s="224">
        <f>SUM(IO117:IQ117)</f>
        <v>7488</v>
      </c>
      <c r="IS117" s="222">
        <f>IL117*IO117/IR117</f>
        <v>3.6923076923076925</v>
      </c>
      <c r="IT117" s="223">
        <f>IM117*IP117/IR117</f>
        <v>11.076923076923077</v>
      </c>
      <c r="IU117" s="243">
        <f>IN117*IQ117/IR117</f>
        <v>8.3076923076923084</v>
      </c>
      <c r="IV117" s="243">
        <f>SUM(IS117:IU117)</f>
        <v>23.07692307692308</v>
      </c>
      <c r="IW117" s="252">
        <f t="shared" si="907"/>
        <v>0</v>
      </c>
      <c r="IX117" s="309">
        <f t="shared" si="1070"/>
        <v>23.07692307692308</v>
      </c>
      <c r="IY117" s="218">
        <f>IF(IV117&lt;=0,1,0)+IF(IV117&gt;0,IV117+1,0)*1+IF(IV117&gt;12,IV117-12,0)*1+IF(IV117&gt;13,IV117-13,0)*1+IF(IV117&gt;14,IV117-14,0)*1+IF(IV117&gt;15,IV117-15,0)*1+IF(IV117&gt;16,IV117-16,0)*1+IF(IV117&gt;17,IV117-17,0)*1+IF(IV117&gt;18,IV117-18,0)*1+IF(IV117&gt;19,IV117-19,0)*1+IF(IV117&gt;20,IV117-20,0)*1</f>
        <v>87.769230769230802</v>
      </c>
      <c r="IZ117" s="242">
        <f>IF(IW117&lt;=0,1,0)+IF(IW117&gt;0,IW117+1,0)*1+IF(IW117&gt;12,IW117-12,0)*1+IF(IW117&gt;13,IW117-13,0)*1+IF(IW117&gt;14,IW117-14,0)*1+IF(IW117&gt;15,IW117-15,0)*1+IF(IW117&gt;16,IW117-16,0)*1+IF(IW117&gt;17,IW117-17,0)*1+IF(IW117&gt;18,IW117-18,0)*1+IF(IW117&gt;19,IW117-19,0)*1+IF(IW117&gt;20,IW117-20,0)*1</f>
        <v>1</v>
      </c>
      <c r="JA117" s="243">
        <f t="shared" si="1071"/>
        <v>86.769230769230802</v>
      </c>
      <c r="JB117" s="218">
        <f t="shared" si="1072"/>
        <v>0</v>
      </c>
      <c r="JE117" s="148"/>
    </row>
    <row r="118" spans="2:265" ht="15" hidden="1" customHeight="1" outlineLevel="2">
      <c r="B118" s="148">
        <v>19</v>
      </c>
      <c r="C118" s="303" t="e">
        <f>VLOOKUP(AF118,Attribute!C:T,1,FALSE)</f>
        <v>#N/A</v>
      </c>
      <c r="D118" s="86" t="s">
        <v>172</v>
      </c>
      <c r="E118" s="167" t="s">
        <v>132</v>
      </c>
      <c r="F118" s="120">
        <f t="shared" si="1082"/>
        <v>12</v>
      </c>
      <c r="G118" s="117"/>
      <c r="H118" s="117"/>
      <c r="I118" s="117">
        <f t="shared" si="1073"/>
        <v>12</v>
      </c>
      <c r="J118" s="117"/>
      <c r="K118" s="117">
        <f>Konvention_1master-GEmaster</f>
        <v>12</v>
      </c>
      <c r="L118" s="117"/>
      <c r="M118" s="121"/>
      <c r="N118" s="223">
        <f t="shared" si="957"/>
        <v>12</v>
      </c>
      <c r="O118" s="223">
        <f t="shared" si="958"/>
        <v>24</v>
      </c>
      <c r="P118" s="224">
        <f t="shared" si="959"/>
        <v>36</v>
      </c>
      <c r="Q118" s="237">
        <f t="shared" si="960"/>
        <v>2304</v>
      </c>
      <c r="R118" s="117">
        <f>F118*I118*GEmaster+F118*CHmaster*K118+MUmaster*I118*K118</f>
        <v>3456</v>
      </c>
      <c r="S118" s="224">
        <f t="shared" si="939"/>
        <v>1728</v>
      </c>
      <c r="T118" s="224">
        <f t="shared" ref="T118:T126" si="1091">SUM(Q118:S118)</f>
        <v>7488</v>
      </c>
      <c r="U118" s="222">
        <f t="shared" si="962"/>
        <v>3.6923076923076925</v>
      </c>
      <c r="V118" s="223">
        <f t="shared" si="963"/>
        <v>11.076923076923077</v>
      </c>
      <c r="W118" s="243">
        <f t="shared" si="964"/>
        <v>8.3076923076923084</v>
      </c>
      <c r="X118" s="243">
        <f t="shared" si="965"/>
        <v>23.07692307692308</v>
      </c>
      <c r="Y118" s="252">
        <v>0</v>
      </c>
      <c r="Z118" s="198">
        <f t="shared" si="966"/>
        <v>23.07692307692308</v>
      </c>
      <c r="AA118" s="125">
        <f>IF(X118&lt;=0,2,0)+IF(X118&gt;0,X118+1,0)*2+IF(X118&gt;12,X118-12,0)*2+IF(X118&gt;13,X118-13,0)*2+IF(X118&gt;14,X118-14,0)*2+IF(X118&gt;15,X118-15,0)*2+IF(X118&gt;16,X118-16,0)*2+IF(X118&gt;17,X118-17,0)*2+IF(X118&gt;18,X118-18,0)*2+IF(X118&gt;19,X118-19,0)*2+IF(X118&gt;20,X118-20,0)*2</f>
        <v>175.5384615384616</v>
      </c>
      <c r="AB118" s="160">
        <f>IF(Y118&lt;=0,2,0)+IF(Y118&gt;0,Y118+1,0)*2+IF(Y118&gt;12,Y118-12,0)*2+IF(Y118&gt;13,Y118-13,0)*2+IF(Y118&gt;14,Y118-14,0)*2+IF(Y118&gt;15,Y118-15,0)*2+IF(Y118&gt;16,Y118-16,0)*2+IF(Y118&gt;17,Y118-17,0)*2+IF(Y118&gt;18,Y118-18,0)*2+IF(Y118&gt;19,Y118-19,0)*2+IF(Y118&gt;20,Y118-20,0)*2</f>
        <v>2</v>
      </c>
      <c r="AC118" s="127">
        <f t="shared" si="967"/>
        <v>173.5384615384616</v>
      </c>
      <c r="AD118" s="125">
        <f t="shared" si="968"/>
        <v>0</v>
      </c>
      <c r="AF118" s="163" t="s">
        <v>289</v>
      </c>
      <c r="AG118" s="86" t="s">
        <v>172</v>
      </c>
      <c r="AH118" s="167" t="s">
        <v>132</v>
      </c>
      <c r="AI118" s="120">
        <f t="shared" si="1083"/>
        <v>11</v>
      </c>
      <c r="AJ118" s="117"/>
      <c r="AK118" s="117"/>
      <c r="AL118" s="117">
        <f t="shared" si="1074"/>
        <v>12</v>
      </c>
      <c r="AM118" s="117"/>
      <c r="AN118" s="117">
        <f>Konvention_1slave-GEslave</f>
        <v>12</v>
      </c>
      <c r="AO118" s="117"/>
      <c r="AP118" s="121"/>
      <c r="AQ118" s="47">
        <f t="shared" si="970"/>
        <v>11.666666666666666</v>
      </c>
      <c r="AR118" s="3">
        <f t="shared" si="971"/>
        <v>23.333333333333332</v>
      </c>
      <c r="AS118" s="174">
        <f t="shared" si="972"/>
        <v>35</v>
      </c>
      <c r="AT118" s="114">
        <f t="shared" si="941"/>
        <v>2432</v>
      </c>
      <c r="AU118" s="117">
        <f>AI118*AL118*GEslave+AI118*CHslave*AN118+MUslave_MU*AL118*AN118</f>
        <v>3408</v>
      </c>
      <c r="AV118" s="119">
        <f t="shared" si="973"/>
        <v>1584</v>
      </c>
      <c r="AW118" s="119">
        <f t="shared" ref="AW118:AW126" si="1092">SUM(AT118:AV118)</f>
        <v>7424</v>
      </c>
      <c r="AX118" s="89">
        <f t="shared" si="975"/>
        <v>3.8218390804597702</v>
      </c>
      <c r="AY118" s="47">
        <f t="shared" si="976"/>
        <v>10.711206896551724</v>
      </c>
      <c r="AZ118" s="127">
        <f t="shared" si="977"/>
        <v>7.4676724137931032</v>
      </c>
      <c r="BA118" s="127">
        <f t="shared" si="978"/>
        <v>22.000718390804597</v>
      </c>
      <c r="BB118" s="165">
        <f t="shared" si="830"/>
        <v>0</v>
      </c>
      <c r="BC118" s="198">
        <f t="shared" si="979"/>
        <v>22.000718390804597</v>
      </c>
      <c r="BD118" s="125">
        <f>IF(BA118&lt;=0,2,0)+IF(BA118&gt;0,BA118+1,0)*2+IF(BA118&gt;12,BA118-12,0)*2+IF(BA118&gt;13,BA118-13,0)*2+IF(BA118&gt;14,BA118-14,0)*2+IF(BA118&gt;15,BA118-15,0)*2+IF(BA118&gt;16,BA118-16,0)*2+IF(BA118&gt;17,BA118-17,0)*2+IF(BA118&gt;18,BA118-18,0)*2+IF(BA118&gt;19,BA118-19,0)*2+IF(BA118&gt;20,BA118-20,0)*2</f>
        <v>154.01436781609189</v>
      </c>
      <c r="BE118" s="160">
        <f>IF(BB118&lt;=0,2,0)+IF(BB118&gt;0,BB118+1,0)*2+IF(BB118&gt;12,BB118-12,0)*2+IF(BB118&gt;13,BB118-13,0)*2+IF(BB118&gt;14,BB118-14,0)*2+IF(BB118&gt;15,BB118-15,0)*2+IF(BB118&gt;16,BB118-16,0)*2+IF(BB118&gt;17,BB118-17,0)*2+IF(BB118&gt;18,BB118-18,0)*2+IF(BB118&gt;19,BB118-19,0)*2+IF(BB118&gt;20,BB118-20,0)*2</f>
        <v>2</v>
      </c>
      <c r="BF118" s="243">
        <f t="shared" si="980"/>
        <v>152.01436781609189</v>
      </c>
      <c r="BG118" s="218">
        <f t="shared" si="981"/>
        <v>0</v>
      </c>
      <c r="BI118" s="303" t="s">
        <v>289</v>
      </c>
      <c r="BJ118" s="304" t="s">
        <v>172</v>
      </c>
      <c r="BK118" s="305" t="s">
        <v>132</v>
      </c>
      <c r="BL118" s="317">
        <f t="shared" si="1084"/>
        <v>12</v>
      </c>
      <c r="BM118" s="254"/>
      <c r="BN118" s="254"/>
      <c r="BO118" s="254">
        <f t="shared" si="1075"/>
        <v>12</v>
      </c>
      <c r="BP118" s="254"/>
      <c r="BQ118" s="254">
        <f>Konvention_1slave-GEslave</f>
        <v>12</v>
      </c>
      <c r="BR118" s="254"/>
      <c r="BS118" s="318"/>
      <c r="BT118" s="223">
        <f t="shared" si="983"/>
        <v>12</v>
      </c>
      <c r="BU118" s="223">
        <f t="shared" si="984"/>
        <v>24</v>
      </c>
      <c r="BV118" s="224">
        <f t="shared" si="985"/>
        <v>36</v>
      </c>
      <c r="BW118" s="237">
        <f t="shared" si="943"/>
        <v>2304</v>
      </c>
      <c r="BX118" s="254">
        <f>BL118*BO118*GEslave+BL118*CHslave*BQ118+MUslave*BO118*BQ118</f>
        <v>3456</v>
      </c>
      <c r="BY118" s="224">
        <f t="shared" si="986"/>
        <v>1728</v>
      </c>
      <c r="BZ118" s="224">
        <f t="shared" ref="BZ118:BZ126" si="1093">SUM(BW118:BY118)</f>
        <v>7488</v>
      </c>
      <c r="CA118" s="222">
        <f t="shared" si="988"/>
        <v>3.6923076923076925</v>
      </c>
      <c r="CB118" s="223">
        <f t="shared" si="989"/>
        <v>11.076923076923077</v>
      </c>
      <c r="CC118" s="243">
        <f t="shared" si="990"/>
        <v>8.3076923076923084</v>
      </c>
      <c r="CD118" s="243">
        <f t="shared" si="991"/>
        <v>23.07692307692308</v>
      </c>
      <c r="CE118" s="252">
        <f t="shared" si="841"/>
        <v>0</v>
      </c>
      <c r="CF118" s="309">
        <f t="shared" si="992"/>
        <v>23.07692307692308</v>
      </c>
      <c r="CG118" s="218">
        <f>IF(CD118&lt;=0,2,0)+IF(CD118&gt;0,CD118+1,0)*2+IF(CD118&gt;12,CD118-12,0)*2+IF(CD118&gt;13,CD118-13,0)*2+IF(CD118&gt;14,CD118-14,0)*2+IF(CD118&gt;15,CD118-15,0)*2+IF(CD118&gt;16,CD118-16,0)*2+IF(CD118&gt;17,CD118-17,0)*2+IF(CD118&gt;18,CD118-18,0)*2+IF(CD118&gt;19,CD118-19,0)*2+IF(CD118&gt;20,CD118-20,0)*2</f>
        <v>175.5384615384616</v>
      </c>
      <c r="CH118" s="242">
        <f>IF(CE118&lt;=0,2,0)+IF(CE118&gt;0,CE118+1,0)*2+IF(CE118&gt;12,CE118-12,0)*2+IF(CE118&gt;13,CE118-13,0)*2+IF(CE118&gt;14,CE118-14,0)*2+IF(CE118&gt;15,CE118-15,0)*2+IF(CE118&gt;16,CE118-16,0)*2+IF(CE118&gt;17,CE118-17,0)*2+IF(CE118&gt;18,CE118-18,0)*2+IF(CE118&gt;19,CE118-19,0)*2+IF(CE118&gt;20,CE118-20,0)*2</f>
        <v>2</v>
      </c>
      <c r="CI118" s="243">
        <f t="shared" si="993"/>
        <v>173.5384615384616</v>
      </c>
      <c r="CJ118" s="218">
        <f t="shared" si="994"/>
        <v>0</v>
      </c>
      <c r="CL118" s="303" t="s">
        <v>289</v>
      </c>
      <c r="CM118" s="304" t="s">
        <v>172</v>
      </c>
      <c r="CN118" s="305" t="s">
        <v>132</v>
      </c>
      <c r="CO118" s="317">
        <f t="shared" si="1085"/>
        <v>12</v>
      </c>
      <c r="CP118" s="254"/>
      <c r="CQ118" s="254"/>
      <c r="CR118" s="254">
        <f t="shared" si="1076"/>
        <v>12</v>
      </c>
      <c r="CS118" s="254"/>
      <c r="CT118" s="254">
        <f>Konvention_1slave-GEslave</f>
        <v>12</v>
      </c>
      <c r="CU118" s="254"/>
      <c r="CV118" s="318"/>
      <c r="CW118" s="223">
        <f t="shared" si="996"/>
        <v>12</v>
      </c>
      <c r="CX118" s="223">
        <f t="shared" si="997"/>
        <v>24</v>
      </c>
      <c r="CY118" s="224">
        <f t="shared" si="998"/>
        <v>36</v>
      </c>
      <c r="CZ118" s="237">
        <f t="shared" si="945"/>
        <v>2304</v>
      </c>
      <c r="DA118" s="254">
        <f>CO118*CR118*GEslave+CO118*CHslave*CT118+MUslave*CR118*CT118</f>
        <v>3456</v>
      </c>
      <c r="DB118" s="224">
        <f t="shared" si="999"/>
        <v>1728</v>
      </c>
      <c r="DC118" s="224">
        <f t="shared" ref="DC118:DC126" si="1094">SUM(CZ118:DB118)</f>
        <v>7488</v>
      </c>
      <c r="DD118" s="222">
        <f t="shared" si="1001"/>
        <v>3.6923076923076925</v>
      </c>
      <c r="DE118" s="223">
        <f t="shared" si="1002"/>
        <v>11.076923076923077</v>
      </c>
      <c r="DF118" s="243">
        <f t="shared" si="1003"/>
        <v>8.3076923076923084</v>
      </c>
      <c r="DG118" s="243">
        <f t="shared" si="1004"/>
        <v>23.07692307692308</v>
      </c>
      <c r="DH118" s="252">
        <f t="shared" si="852"/>
        <v>0</v>
      </c>
      <c r="DI118" s="309">
        <f t="shared" si="1005"/>
        <v>23.07692307692308</v>
      </c>
      <c r="DJ118" s="218">
        <f>IF(DG118&lt;=0,2,0)+IF(DG118&gt;0,DG118+1,0)*2+IF(DG118&gt;12,DG118-12,0)*2+IF(DG118&gt;13,DG118-13,0)*2+IF(DG118&gt;14,DG118-14,0)*2+IF(DG118&gt;15,DG118-15,0)*2+IF(DG118&gt;16,DG118-16,0)*2+IF(DG118&gt;17,DG118-17,0)*2+IF(DG118&gt;18,DG118-18,0)*2+IF(DG118&gt;19,DG118-19,0)*2+IF(DG118&gt;20,DG118-20,0)*2</f>
        <v>175.5384615384616</v>
      </c>
      <c r="DK118" s="242">
        <f>IF(DH118&lt;=0,2,0)+IF(DH118&gt;0,DH118+1,0)*2+IF(DH118&gt;12,DH118-12,0)*2+IF(DH118&gt;13,DH118-13,0)*2+IF(DH118&gt;14,DH118-14,0)*2+IF(DH118&gt;15,DH118-15,0)*2+IF(DH118&gt;16,DH118-16,0)*2+IF(DH118&gt;17,DH118-17,0)*2+IF(DH118&gt;18,DH118-18,0)*2+IF(DH118&gt;19,DH118-19,0)*2+IF(DH118&gt;20,DH118-20,0)*2</f>
        <v>2</v>
      </c>
      <c r="DL118" s="243">
        <f t="shared" si="1006"/>
        <v>173.5384615384616</v>
      </c>
      <c r="DM118" s="218">
        <f t="shared" si="1007"/>
        <v>0</v>
      </c>
      <c r="DO118" s="303" t="s">
        <v>289</v>
      </c>
      <c r="DP118" s="304" t="s">
        <v>172</v>
      </c>
      <c r="DQ118" s="305" t="s">
        <v>132</v>
      </c>
      <c r="DR118" s="317">
        <f t="shared" si="1086"/>
        <v>12</v>
      </c>
      <c r="DS118" s="254"/>
      <c r="DT118" s="254"/>
      <c r="DU118" s="254">
        <f t="shared" si="1077"/>
        <v>11</v>
      </c>
      <c r="DV118" s="254"/>
      <c r="DW118" s="254">
        <f>Konvention_1slave-GEslave</f>
        <v>12</v>
      </c>
      <c r="DX118" s="254"/>
      <c r="DY118" s="318"/>
      <c r="DZ118" s="223">
        <f t="shared" si="1009"/>
        <v>11.666666666666666</v>
      </c>
      <c r="EA118" s="223">
        <f t="shared" si="1010"/>
        <v>23.333333333333332</v>
      </c>
      <c r="EB118" s="224">
        <f t="shared" si="1011"/>
        <v>35</v>
      </c>
      <c r="EC118" s="237">
        <f t="shared" si="947"/>
        <v>2432</v>
      </c>
      <c r="ED118" s="254">
        <f>DR118*DU118*GEslave+DR118*CHslave_CH*DW118+MUslave*DU118*DW118</f>
        <v>3408</v>
      </c>
      <c r="EE118" s="224">
        <f t="shared" si="1012"/>
        <v>1584</v>
      </c>
      <c r="EF118" s="224">
        <f t="shared" ref="EF118:EF126" si="1095">SUM(EC118:EE118)</f>
        <v>7424</v>
      </c>
      <c r="EG118" s="222">
        <f t="shared" si="1014"/>
        <v>3.8218390804597702</v>
      </c>
      <c r="EH118" s="223">
        <f t="shared" si="1015"/>
        <v>10.711206896551724</v>
      </c>
      <c r="EI118" s="243">
        <f t="shared" si="1016"/>
        <v>7.4676724137931032</v>
      </c>
      <c r="EJ118" s="243">
        <f t="shared" si="1017"/>
        <v>22.000718390804597</v>
      </c>
      <c r="EK118" s="252">
        <f t="shared" si="863"/>
        <v>0</v>
      </c>
      <c r="EL118" s="309">
        <f t="shared" si="1018"/>
        <v>22.000718390804597</v>
      </c>
      <c r="EM118" s="218">
        <f>IF(EJ118&lt;=0,2,0)+IF(EJ118&gt;0,EJ118+1,0)*2+IF(EJ118&gt;12,EJ118-12,0)*2+IF(EJ118&gt;13,EJ118-13,0)*2+IF(EJ118&gt;14,EJ118-14,0)*2+IF(EJ118&gt;15,EJ118-15,0)*2+IF(EJ118&gt;16,EJ118-16,0)*2+IF(EJ118&gt;17,EJ118-17,0)*2+IF(EJ118&gt;18,EJ118-18,0)*2+IF(EJ118&gt;19,EJ118-19,0)*2+IF(EJ118&gt;20,EJ118-20,0)*2</f>
        <v>154.01436781609189</v>
      </c>
      <c r="EN118" s="242">
        <f>IF(EK118&lt;=0,2,0)+IF(EK118&gt;0,EK118+1,0)*2+IF(EK118&gt;12,EK118-12,0)*2+IF(EK118&gt;13,EK118-13,0)*2+IF(EK118&gt;14,EK118-14,0)*2+IF(EK118&gt;15,EK118-15,0)*2+IF(EK118&gt;16,EK118-16,0)*2+IF(EK118&gt;17,EK118-17,0)*2+IF(EK118&gt;18,EK118-18,0)*2+IF(EK118&gt;19,EK118-19,0)*2+IF(EK118&gt;20,EK118-20,0)*2</f>
        <v>2</v>
      </c>
      <c r="EO118" s="243">
        <f t="shared" si="1019"/>
        <v>152.01436781609189</v>
      </c>
      <c r="EP118" s="218">
        <f t="shared" si="1020"/>
        <v>0</v>
      </c>
      <c r="ER118" s="303" t="s">
        <v>289</v>
      </c>
      <c r="ES118" s="304" t="s">
        <v>172</v>
      </c>
      <c r="ET118" s="305" t="s">
        <v>132</v>
      </c>
      <c r="EU118" s="317">
        <f t="shared" si="1087"/>
        <v>12</v>
      </c>
      <c r="EV118" s="254"/>
      <c r="EW118" s="254"/>
      <c r="EX118" s="254">
        <f t="shared" si="1078"/>
        <v>12</v>
      </c>
      <c r="EY118" s="254"/>
      <c r="EZ118" s="254">
        <f>Konvention_1slave-GEslave</f>
        <v>12</v>
      </c>
      <c r="FA118" s="254"/>
      <c r="FB118" s="318"/>
      <c r="FC118" s="223">
        <f t="shared" si="1022"/>
        <v>12</v>
      </c>
      <c r="FD118" s="223">
        <f t="shared" si="1023"/>
        <v>24</v>
      </c>
      <c r="FE118" s="224">
        <f t="shared" si="1024"/>
        <v>36</v>
      </c>
      <c r="FF118" s="237">
        <f t="shared" si="949"/>
        <v>2304</v>
      </c>
      <c r="FG118" s="254">
        <f>EU118*EX118*GEslave+EU118*CHslave*EZ118+MUslave*EX118*EZ118</f>
        <v>3456</v>
      </c>
      <c r="FH118" s="224">
        <f t="shared" si="1025"/>
        <v>1728</v>
      </c>
      <c r="FI118" s="224">
        <f t="shared" ref="FI118:FI126" si="1096">SUM(FF118:FH118)</f>
        <v>7488</v>
      </c>
      <c r="FJ118" s="222">
        <f t="shared" si="1027"/>
        <v>3.6923076923076925</v>
      </c>
      <c r="FK118" s="223">
        <f t="shared" si="1028"/>
        <v>11.076923076923077</v>
      </c>
      <c r="FL118" s="243">
        <f t="shared" si="1029"/>
        <v>8.3076923076923084</v>
      </c>
      <c r="FM118" s="243">
        <f t="shared" si="1030"/>
        <v>23.07692307692308</v>
      </c>
      <c r="FN118" s="252">
        <f t="shared" si="874"/>
        <v>0</v>
      </c>
      <c r="FO118" s="309">
        <f t="shared" si="1031"/>
        <v>23.07692307692308</v>
      </c>
      <c r="FP118" s="218">
        <f>IF(FM118&lt;=0,2,0)+IF(FM118&gt;0,FM118+1,0)*2+IF(FM118&gt;12,FM118-12,0)*2+IF(FM118&gt;13,FM118-13,0)*2+IF(FM118&gt;14,FM118-14,0)*2+IF(FM118&gt;15,FM118-15,0)*2+IF(FM118&gt;16,FM118-16,0)*2+IF(FM118&gt;17,FM118-17,0)*2+IF(FM118&gt;18,FM118-18,0)*2+IF(FM118&gt;19,FM118-19,0)*2+IF(FM118&gt;20,FM118-20,0)*2</f>
        <v>175.5384615384616</v>
      </c>
      <c r="FQ118" s="242">
        <f>IF(FN118&lt;=0,2,0)+IF(FN118&gt;0,FN118+1,0)*2+IF(FN118&gt;12,FN118-12,0)*2+IF(FN118&gt;13,FN118-13,0)*2+IF(FN118&gt;14,FN118-14,0)*2+IF(FN118&gt;15,FN118-15,0)*2+IF(FN118&gt;16,FN118-16,0)*2+IF(FN118&gt;17,FN118-17,0)*2+IF(FN118&gt;18,FN118-18,0)*2+IF(FN118&gt;19,FN118-19,0)*2+IF(FN118&gt;20,FN118-20,0)*2</f>
        <v>2</v>
      </c>
      <c r="FR118" s="243">
        <f t="shared" si="1032"/>
        <v>173.5384615384616</v>
      </c>
      <c r="FS118" s="218">
        <f t="shared" si="1033"/>
        <v>0</v>
      </c>
      <c r="FU118" s="303" t="s">
        <v>289</v>
      </c>
      <c r="FV118" s="304" t="s">
        <v>172</v>
      </c>
      <c r="FW118" s="305" t="s">
        <v>132</v>
      </c>
      <c r="FX118" s="317">
        <f t="shared" si="1088"/>
        <v>12</v>
      </c>
      <c r="FY118" s="254"/>
      <c r="FZ118" s="254"/>
      <c r="GA118" s="254">
        <f t="shared" si="1079"/>
        <v>12</v>
      </c>
      <c r="GB118" s="254"/>
      <c r="GC118" s="254">
        <f>Konvention_1slave-GEslave_GE</f>
        <v>11</v>
      </c>
      <c r="GD118" s="254"/>
      <c r="GE118" s="318"/>
      <c r="GF118" s="223">
        <f t="shared" si="1035"/>
        <v>11.666666666666666</v>
      </c>
      <c r="GG118" s="223">
        <f t="shared" si="1036"/>
        <v>23.333333333333332</v>
      </c>
      <c r="GH118" s="224">
        <f t="shared" si="1037"/>
        <v>35</v>
      </c>
      <c r="GI118" s="237">
        <f t="shared" si="951"/>
        <v>2432</v>
      </c>
      <c r="GJ118" s="254">
        <f>FX118*GA118*GEslave_GE+FX118*CHslave*GC118+MUslave*GA118*GC118</f>
        <v>3408</v>
      </c>
      <c r="GK118" s="224">
        <f t="shared" si="1038"/>
        <v>1584</v>
      </c>
      <c r="GL118" s="224">
        <f t="shared" ref="GL118:GL126" si="1097">SUM(GI118:GK118)</f>
        <v>7424</v>
      </c>
      <c r="GM118" s="222">
        <f t="shared" si="1040"/>
        <v>3.8218390804597702</v>
      </c>
      <c r="GN118" s="223">
        <f t="shared" si="1041"/>
        <v>10.711206896551724</v>
      </c>
      <c r="GO118" s="243">
        <f t="shared" si="1042"/>
        <v>7.4676724137931032</v>
      </c>
      <c r="GP118" s="243">
        <f t="shared" si="1043"/>
        <v>22.000718390804597</v>
      </c>
      <c r="GQ118" s="252">
        <f t="shared" si="885"/>
        <v>0</v>
      </c>
      <c r="GR118" s="309">
        <f t="shared" si="1044"/>
        <v>22.000718390804597</v>
      </c>
      <c r="GS118" s="218">
        <f>IF(GP118&lt;=0,2,0)+IF(GP118&gt;0,GP118+1,0)*2+IF(GP118&gt;12,GP118-12,0)*2+IF(GP118&gt;13,GP118-13,0)*2+IF(GP118&gt;14,GP118-14,0)*2+IF(GP118&gt;15,GP118-15,0)*2+IF(GP118&gt;16,GP118-16,0)*2+IF(GP118&gt;17,GP118-17,0)*2+IF(GP118&gt;18,GP118-18,0)*2+IF(GP118&gt;19,GP118-19,0)*2+IF(GP118&gt;20,GP118-20,0)*2</f>
        <v>154.01436781609189</v>
      </c>
      <c r="GT118" s="242">
        <f>IF(GQ118&lt;=0,2,0)+IF(GQ118&gt;0,GQ118+1,0)*2+IF(GQ118&gt;12,GQ118-12,0)*2+IF(GQ118&gt;13,GQ118-13,0)*2+IF(GQ118&gt;14,GQ118-14,0)*2+IF(GQ118&gt;15,GQ118-15,0)*2+IF(GQ118&gt;16,GQ118-16,0)*2+IF(GQ118&gt;17,GQ118-17,0)*2+IF(GQ118&gt;18,GQ118-18,0)*2+IF(GQ118&gt;19,GQ118-19,0)*2+IF(GQ118&gt;20,GQ118-20,0)*2</f>
        <v>2</v>
      </c>
      <c r="GU118" s="243">
        <f t="shared" si="1045"/>
        <v>152.01436781609189</v>
      </c>
      <c r="GV118" s="218">
        <f t="shared" si="1046"/>
        <v>0</v>
      </c>
      <c r="GX118" s="303" t="s">
        <v>289</v>
      </c>
      <c r="GY118" s="304" t="s">
        <v>172</v>
      </c>
      <c r="GZ118" s="305" t="s">
        <v>132</v>
      </c>
      <c r="HA118" s="317">
        <f t="shared" si="1089"/>
        <v>12</v>
      </c>
      <c r="HB118" s="254"/>
      <c r="HC118" s="254"/>
      <c r="HD118" s="254">
        <f t="shared" si="1080"/>
        <v>12</v>
      </c>
      <c r="HE118" s="254"/>
      <c r="HF118" s="254">
        <f>Konvention_1slave-GEslave</f>
        <v>12</v>
      </c>
      <c r="HG118" s="254"/>
      <c r="HH118" s="318"/>
      <c r="HI118" s="223">
        <f t="shared" si="1048"/>
        <v>12</v>
      </c>
      <c r="HJ118" s="223">
        <f t="shared" si="1049"/>
        <v>24</v>
      </c>
      <c r="HK118" s="224">
        <f t="shared" si="1050"/>
        <v>36</v>
      </c>
      <c r="HL118" s="237">
        <f t="shared" si="953"/>
        <v>2304</v>
      </c>
      <c r="HM118" s="254">
        <f>HA118*HD118*GEslave+HA118*CHslave*HF118+MUslave*HD118*HF118</f>
        <v>3456</v>
      </c>
      <c r="HN118" s="224">
        <f t="shared" si="1051"/>
        <v>1728</v>
      </c>
      <c r="HO118" s="224">
        <f t="shared" ref="HO118:HO126" si="1098">SUM(HL118:HN118)</f>
        <v>7488</v>
      </c>
      <c r="HP118" s="222">
        <f t="shared" si="1053"/>
        <v>3.6923076923076925</v>
      </c>
      <c r="HQ118" s="223">
        <f t="shared" si="1054"/>
        <v>11.076923076923077</v>
      </c>
      <c r="HR118" s="243">
        <f t="shared" si="1055"/>
        <v>8.3076923076923084</v>
      </c>
      <c r="HS118" s="243">
        <f t="shared" si="1056"/>
        <v>23.07692307692308</v>
      </c>
      <c r="HT118" s="252">
        <f t="shared" si="896"/>
        <v>0</v>
      </c>
      <c r="HU118" s="309">
        <f t="shared" si="1057"/>
        <v>23.07692307692308</v>
      </c>
      <c r="HV118" s="218">
        <f>IF(HS118&lt;=0,2,0)+IF(HS118&gt;0,HS118+1,0)*2+IF(HS118&gt;12,HS118-12,0)*2+IF(HS118&gt;13,HS118-13,0)*2+IF(HS118&gt;14,HS118-14,0)*2+IF(HS118&gt;15,HS118-15,0)*2+IF(HS118&gt;16,HS118-16,0)*2+IF(HS118&gt;17,HS118-17,0)*2+IF(HS118&gt;18,HS118-18,0)*2+IF(HS118&gt;19,HS118-19,0)*2+IF(HS118&gt;20,HS118-20,0)*2</f>
        <v>175.5384615384616</v>
      </c>
      <c r="HW118" s="242">
        <f>IF(HT118&lt;=0,2,0)+IF(HT118&gt;0,HT118+1,0)*2+IF(HT118&gt;12,HT118-12,0)*2+IF(HT118&gt;13,HT118-13,0)*2+IF(HT118&gt;14,HT118-14,0)*2+IF(HT118&gt;15,HT118-15,0)*2+IF(HT118&gt;16,HT118-16,0)*2+IF(HT118&gt;17,HT118-17,0)*2+IF(HT118&gt;18,HT118-18,0)*2+IF(HT118&gt;19,HT118-19,0)*2+IF(HT118&gt;20,HT118-20,0)*2</f>
        <v>2</v>
      </c>
      <c r="HX118" s="243">
        <f t="shared" si="1058"/>
        <v>173.5384615384616</v>
      </c>
      <c r="HY118" s="218">
        <f t="shared" si="1059"/>
        <v>0</v>
      </c>
      <c r="IA118" s="303" t="s">
        <v>289</v>
      </c>
      <c r="IB118" s="304" t="s">
        <v>172</v>
      </c>
      <c r="IC118" s="305" t="s">
        <v>132</v>
      </c>
      <c r="ID118" s="317">
        <f t="shared" si="1090"/>
        <v>12</v>
      </c>
      <c r="IE118" s="254"/>
      <c r="IF118" s="254"/>
      <c r="IG118" s="254">
        <f t="shared" si="1081"/>
        <v>12</v>
      </c>
      <c r="IH118" s="254"/>
      <c r="II118" s="254">
        <f>Konvention_1slave-GEslave</f>
        <v>12</v>
      </c>
      <c r="IJ118" s="254"/>
      <c r="IK118" s="318"/>
      <c r="IL118" s="223">
        <f t="shared" si="1061"/>
        <v>12</v>
      </c>
      <c r="IM118" s="223">
        <f t="shared" si="1062"/>
        <v>24</v>
      </c>
      <c r="IN118" s="224">
        <f t="shared" si="1063"/>
        <v>36</v>
      </c>
      <c r="IO118" s="237">
        <f t="shared" si="955"/>
        <v>2304</v>
      </c>
      <c r="IP118" s="254">
        <f>ID118*IG118*GEslave+ID118*CHslave*II118+MUslave*IG118*II118</f>
        <v>3456</v>
      </c>
      <c r="IQ118" s="224">
        <f t="shared" si="1064"/>
        <v>1728</v>
      </c>
      <c r="IR118" s="224">
        <f t="shared" ref="IR118:IR126" si="1099">SUM(IO118:IQ118)</f>
        <v>7488</v>
      </c>
      <c r="IS118" s="222">
        <f t="shared" si="1066"/>
        <v>3.6923076923076925</v>
      </c>
      <c r="IT118" s="223">
        <f t="shared" si="1067"/>
        <v>11.076923076923077</v>
      </c>
      <c r="IU118" s="243">
        <f t="shared" si="1068"/>
        <v>8.3076923076923084</v>
      </c>
      <c r="IV118" s="243">
        <f t="shared" si="1069"/>
        <v>23.07692307692308</v>
      </c>
      <c r="IW118" s="252">
        <f t="shared" si="907"/>
        <v>0</v>
      </c>
      <c r="IX118" s="309">
        <f t="shared" si="1070"/>
        <v>23.07692307692308</v>
      </c>
      <c r="IY118" s="218">
        <f>IF(IV118&lt;=0,2,0)+IF(IV118&gt;0,IV118+1,0)*2+IF(IV118&gt;12,IV118-12,0)*2+IF(IV118&gt;13,IV118-13,0)*2+IF(IV118&gt;14,IV118-14,0)*2+IF(IV118&gt;15,IV118-15,0)*2+IF(IV118&gt;16,IV118-16,0)*2+IF(IV118&gt;17,IV118-17,0)*2+IF(IV118&gt;18,IV118-18,0)*2+IF(IV118&gt;19,IV118-19,0)*2+IF(IV118&gt;20,IV118-20,0)*2</f>
        <v>175.5384615384616</v>
      </c>
      <c r="IZ118" s="242">
        <f>IF(IW118&lt;=0,2,0)+IF(IW118&gt;0,IW118+1,0)*2+IF(IW118&gt;12,IW118-12,0)*2+IF(IW118&gt;13,IW118-13,0)*2+IF(IW118&gt;14,IW118-14,0)*2+IF(IW118&gt;15,IW118-15,0)*2+IF(IW118&gt;16,IW118-16,0)*2+IF(IW118&gt;17,IW118-17,0)*2+IF(IW118&gt;18,IW118-18,0)*2+IF(IW118&gt;19,IW118-19,0)*2+IF(IW118&gt;20,IW118-20,0)*2</f>
        <v>2</v>
      </c>
      <c r="JA118" s="243">
        <f t="shared" si="1071"/>
        <v>173.5384615384616</v>
      </c>
      <c r="JB118" s="218">
        <f t="shared" si="1072"/>
        <v>0</v>
      </c>
      <c r="JE118" s="148"/>
    </row>
    <row r="119" spans="2:265" hidden="1" outlineLevel="2">
      <c r="B119" s="148">
        <v>20</v>
      </c>
      <c r="C119" s="303" t="e">
        <f>VLOOKUP(AF119,Attribute!C:T,1,FALSE)</f>
        <v>#N/A</v>
      </c>
      <c r="D119" s="86" t="s">
        <v>84</v>
      </c>
      <c r="E119" s="167" t="s">
        <v>135</v>
      </c>
      <c r="F119" s="120">
        <f t="shared" si="1082"/>
        <v>12</v>
      </c>
      <c r="G119" s="117">
        <f>Konvention_1master-KLmaster</f>
        <v>12</v>
      </c>
      <c r="H119" s="117"/>
      <c r="I119" s="117">
        <f t="shared" si="1073"/>
        <v>12</v>
      </c>
      <c r="J119" s="117"/>
      <c r="K119" s="117"/>
      <c r="L119" s="117"/>
      <c r="M119" s="121"/>
      <c r="N119" s="223">
        <f>(F119+G119+H119+I119+J119+K119+L119+M119)/3</f>
        <v>12</v>
      </c>
      <c r="O119" s="223">
        <f t="shared" si="958"/>
        <v>24</v>
      </c>
      <c r="P119" s="224">
        <f t="shared" si="959"/>
        <v>36</v>
      </c>
      <c r="Q119" s="237">
        <f>F119*POWER(KLmaster,SIGN(G119))*POWER(INmaster,SIGN(H119))*POWER(CHmaster,SIGN(I119))*POWER(FFmaster,SIGN(J119))*POWER(GEmaster,SIGN(K119))*POWER(KOmaster,SIGN(L119))*POWER(KKmaster,SIGN(M119))+G119*POWER(MUmaster,SIGN(F119))*POWER(INmaster,SIGN(H119))*POWER(CHmaster,SIGN(I119))*POWER(FFmaster,SIGN(J119))*POWER(GEmaster,SIGN(K119))*POWER(KOmaster,SIGN(L119))*POWER(KKmaster,SIGN(M119))+H119*POWER(MUmaster,SIGN(F119))*POWER(KLmaster,SIGN(G119))*POWER(CHmaster,SIGN(I119))*POWER(FFmaster,SIGN(J119))*POWER(GEmaster,SIGN(K119))*POWER(KOmaster,SIGN(L119))*POWER(KKmaster,SIGN(M119))+I119*POWER(MUmaster,SIGN(F119))*POWER(KLmaster,SIGN(G119))*POWER(INmaster,SIGN(H119))*POWER(FFmaster,SIGN(J119))*POWER(GEmaster,SIGN(K119))*POWER(KOmaster,SIGN(L119))*POWER(KKmaster,SIGN(M119))+J119*POWER(MUmaster,SIGN(F119))*POWER(KLmaster,SIGN(G119))*POWER(INmaster,SIGN(H119))*POWER(CHmaster,SIGN(I119))*POWER(GEmaster,SIGN(K119))*POWER(KOmaster,SIGN(L119))*POWER(KKmaster,SIGN(M119))+K119*POWER(MUmaster,SIGN(F119))*POWER(KLmaster,SIGN(G119))*POWER(INmaster,SIGN(H119))*POWER(CHmaster,SIGN(I119))*POWER(FFmaster,SIGN(J119))*POWER(KOmaster,SIGN(L119))*POWER(KKmaster,SIGN(M119))+L119*POWER(MUmaster,SIGN(F119))*POWER(KLmaster,SIGN(G119))*POWER(INmaster,SIGN(H119))*POWER(CHmaster,SIGN(I119))*POWER(FFmaster,SIGN(J119))*POWER(GEmaster,SIGN(K119))*POWER(KKmaster,SIGN(M119))+M119*POWER(MUmaster,SIGN(F119))*POWER(KLmaster,SIGN(G119))*POWER(INmaster,SIGN(H119))*POWER(CHmaster,SIGN(I119))*POWER(FFmaster,SIGN(J119))*POWER(GEmaster,SIGN(K119))*POWER(KOmaster,SIGN(L119))</f>
        <v>2304</v>
      </c>
      <c r="R119" s="117">
        <f>F119*G119*CHmaster+F119*KLmaster*I119+MUmaster*G119*I119</f>
        <v>3456</v>
      </c>
      <c r="S119" s="224">
        <f t="shared" si="939"/>
        <v>1728</v>
      </c>
      <c r="T119" s="224">
        <f>SUM(Q119:S119)</f>
        <v>7488</v>
      </c>
      <c r="U119" s="222">
        <f t="shared" si="962"/>
        <v>3.6923076923076925</v>
      </c>
      <c r="V119" s="223">
        <f t="shared" si="963"/>
        <v>11.076923076923077</v>
      </c>
      <c r="W119" s="243">
        <f t="shared" si="964"/>
        <v>8.3076923076923084</v>
      </c>
      <c r="X119" s="243">
        <f t="shared" si="965"/>
        <v>23.07692307692308</v>
      </c>
      <c r="Y119" s="252">
        <v>0</v>
      </c>
      <c r="Z119" s="198">
        <f t="shared" si="966"/>
        <v>23.07692307692308</v>
      </c>
      <c r="AA119" s="125">
        <f>IF(X119&lt;=0,3,0)+IF(X119&gt;0,X119+1,0)*3+IF(X119&gt;12,X119-12,0)*3+IF(X119&gt;13,X119-13,0)*3+IF(X119&gt;14,X119-14,0)*3+IF(X119&gt;15,X119-15,0)*3+IF(X119&gt;16,X119-16,0)*3+IF(X119&gt;17,X119-17,0)*3+IF(X119&gt;18,X119-18,0)*3+IF(X119&gt;19,X119-19,0)*3+IF(X119&gt;20,X119-20,0)*3</f>
        <v>263.30769230769232</v>
      </c>
      <c r="AB119" s="160">
        <f>IF(Y119&lt;=0,3,0)+IF(Y119&gt;0,Y119+1,0)*3+IF(Y119&gt;12,Y119-12,0)*3+IF(Y119&gt;13,Y119-13,0)*3+IF(Y119&gt;14,Y119-14,0)*3+IF(Y119&gt;15,Y119-15,0)*3+IF(Y119&gt;16,Y119-16,0)*3+IF(Y119&gt;17,Y119-17,0)*3+IF(Y119&gt;18,Y119-18,0)*3+IF(Y119&gt;19,Y119-19,0)*3+IF(Y119&gt;20,Y119-20,0)*3</f>
        <v>3</v>
      </c>
      <c r="AC119" s="127">
        <f t="shared" si="967"/>
        <v>260.30769230769232</v>
      </c>
      <c r="AD119" s="125">
        <f t="shared" si="968"/>
        <v>0</v>
      </c>
      <c r="AF119" s="163" t="s">
        <v>364</v>
      </c>
      <c r="AG119" s="86" t="s">
        <v>84</v>
      </c>
      <c r="AH119" s="167" t="s">
        <v>135</v>
      </c>
      <c r="AI119" s="120">
        <f t="shared" si="1083"/>
        <v>11</v>
      </c>
      <c r="AJ119" s="117">
        <f>Konvention_1slave-KLslave</f>
        <v>12</v>
      </c>
      <c r="AK119" s="117"/>
      <c r="AL119" s="117">
        <f t="shared" si="1074"/>
        <v>12</v>
      </c>
      <c r="AM119" s="117"/>
      <c r="AN119" s="117"/>
      <c r="AO119" s="117"/>
      <c r="AP119" s="121"/>
      <c r="AQ119" s="47">
        <f>(AI119+AJ119+AK119+AL119+AM119+AN119+AO119+AP119)/3</f>
        <v>11.666666666666666</v>
      </c>
      <c r="AR119" s="3">
        <f t="shared" si="971"/>
        <v>23.333333333333332</v>
      </c>
      <c r="AS119" s="174">
        <f t="shared" si="972"/>
        <v>35</v>
      </c>
      <c r="AT119" s="114">
        <f t="shared" si="941"/>
        <v>2432</v>
      </c>
      <c r="AU119" s="117">
        <f>AI119*AJ119*CHslave+AI119*KLslave*AL119+MUslave_MU*AJ119*AL119</f>
        <v>3408</v>
      </c>
      <c r="AV119" s="119">
        <f t="shared" si="973"/>
        <v>1584</v>
      </c>
      <c r="AW119" s="119">
        <f>SUM(AT119:AV119)</f>
        <v>7424</v>
      </c>
      <c r="AX119" s="89">
        <f t="shared" si="975"/>
        <v>3.8218390804597702</v>
      </c>
      <c r="AY119" s="47">
        <f t="shared" si="976"/>
        <v>10.711206896551724</v>
      </c>
      <c r="AZ119" s="127">
        <f t="shared" si="977"/>
        <v>7.4676724137931032</v>
      </c>
      <c r="BA119" s="127">
        <f t="shared" si="978"/>
        <v>22.000718390804597</v>
      </c>
      <c r="BB119" s="165">
        <f t="shared" si="830"/>
        <v>0</v>
      </c>
      <c r="BC119" s="198">
        <f t="shared" si="979"/>
        <v>22.000718390804597</v>
      </c>
      <c r="BD119" s="125">
        <f>IF(BA119&lt;=0,3,0)+IF(BA119&gt;0,BA119+1,0)*3+IF(BA119&gt;12,BA119-12,0)*3+IF(BA119&gt;13,BA119-13,0)*3+IF(BA119&gt;14,BA119-14,0)*3+IF(BA119&gt;15,BA119-15,0)*3+IF(BA119&gt;16,BA119-16,0)*3+IF(BA119&gt;17,BA119-17,0)*3+IF(BA119&gt;18,BA119-18,0)*3+IF(BA119&gt;19,BA119-19,0)*3+IF(BA119&gt;20,BA119-20,0)*3</f>
        <v>231.02155172413785</v>
      </c>
      <c r="BE119" s="160">
        <f>IF(BB119&lt;=0,3,0)+IF(BB119&gt;0,BB119+1,0)*3+IF(BB119&gt;12,BB119-12,0)*3+IF(BB119&gt;13,BB119-13,0)*3+IF(BB119&gt;14,BB119-14,0)*3+IF(BB119&gt;15,BB119-15,0)*3+IF(BB119&gt;16,BB119-16,0)*3+IF(BB119&gt;17,BB119-17,0)*3+IF(BB119&gt;18,BB119-18,0)*3+IF(BB119&gt;19,BB119-19,0)*3+IF(BB119&gt;20,BB119-20,0)*3</f>
        <v>3</v>
      </c>
      <c r="BF119" s="243">
        <f t="shared" si="980"/>
        <v>228.02155172413785</v>
      </c>
      <c r="BG119" s="218">
        <f t="shared" si="981"/>
        <v>0</v>
      </c>
      <c r="BI119" s="303" t="s">
        <v>364</v>
      </c>
      <c r="BJ119" s="304" t="s">
        <v>84</v>
      </c>
      <c r="BK119" s="305" t="s">
        <v>135</v>
      </c>
      <c r="BL119" s="317">
        <f t="shared" si="1084"/>
        <v>12</v>
      </c>
      <c r="BM119" s="254">
        <f>Konvention_1slave-KLslave_KL</f>
        <v>11</v>
      </c>
      <c r="BN119" s="254"/>
      <c r="BO119" s="254">
        <f t="shared" si="1075"/>
        <v>12</v>
      </c>
      <c r="BP119" s="254"/>
      <c r="BQ119" s="254"/>
      <c r="BR119" s="254"/>
      <c r="BS119" s="318"/>
      <c r="BT119" s="223">
        <f>(BL119+BM119+BN119+BO119+BP119+BQ119+BR119+BS119)/3</f>
        <v>11.666666666666666</v>
      </c>
      <c r="BU119" s="223">
        <f t="shared" si="984"/>
        <v>23.333333333333332</v>
      </c>
      <c r="BV119" s="224">
        <f t="shared" si="985"/>
        <v>35</v>
      </c>
      <c r="BW119" s="237">
        <f t="shared" si="943"/>
        <v>2432</v>
      </c>
      <c r="BX119" s="254">
        <f>BL119*BM119*CHslave+BL119*KLslave_KL*BO119+MUslave*BM119*BO119</f>
        <v>3408</v>
      </c>
      <c r="BY119" s="224">
        <f t="shared" si="986"/>
        <v>1584</v>
      </c>
      <c r="BZ119" s="224">
        <f>SUM(BW119:BY119)</f>
        <v>7424</v>
      </c>
      <c r="CA119" s="222">
        <f t="shared" si="988"/>
        <v>3.8218390804597702</v>
      </c>
      <c r="CB119" s="223">
        <f t="shared" si="989"/>
        <v>10.711206896551724</v>
      </c>
      <c r="CC119" s="243">
        <f t="shared" si="990"/>
        <v>7.4676724137931032</v>
      </c>
      <c r="CD119" s="243">
        <f t="shared" si="991"/>
        <v>22.000718390804597</v>
      </c>
      <c r="CE119" s="252">
        <f t="shared" si="841"/>
        <v>0</v>
      </c>
      <c r="CF119" s="309">
        <f t="shared" si="992"/>
        <v>22.000718390804597</v>
      </c>
      <c r="CG119" s="218">
        <f>IF(CD119&lt;=0,3,0)+IF(CD119&gt;0,CD119+1,0)*3+IF(CD119&gt;12,CD119-12,0)*3+IF(CD119&gt;13,CD119-13,0)*3+IF(CD119&gt;14,CD119-14,0)*3+IF(CD119&gt;15,CD119-15,0)*3+IF(CD119&gt;16,CD119-16,0)*3+IF(CD119&gt;17,CD119-17,0)*3+IF(CD119&gt;18,CD119-18,0)*3+IF(CD119&gt;19,CD119-19,0)*3+IF(CD119&gt;20,CD119-20,0)*3</f>
        <v>231.02155172413785</v>
      </c>
      <c r="CH119" s="242">
        <f>IF(CE119&lt;=0,3,0)+IF(CE119&gt;0,CE119+1,0)*3+IF(CE119&gt;12,CE119-12,0)*3+IF(CE119&gt;13,CE119-13,0)*3+IF(CE119&gt;14,CE119-14,0)*3+IF(CE119&gt;15,CE119-15,0)*3+IF(CE119&gt;16,CE119-16,0)*3+IF(CE119&gt;17,CE119-17,0)*3+IF(CE119&gt;18,CE119-18,0)*3+IF(CE119&gt;19,CE119-19,0)*3+IF(CE119&gt;20,CE119-20,0)*3</f>
        <v>3</v>
      </c>
      <c r="CI119" s="243">
        <f t="shared" si="993"/>
        <v>228.02155172413785</v>
      </c>
      <c r="CJ119" s="218">
        <f t="shared" si="994"/>
        <v>0</v>
      </c>
      <c r="CL119" s="303" t="s">
        <v>364</v>
      </c>
      <c r="CM119" s="304" t="s">
        <v>84</v>
      </c>
      <c r="CN119" s="305" t="s">
        <v>135</v>
      </c>
      <c r="CO119" s="317">
        <f t="shared" si="1085"/>
        <v>12</v>
      </c>
      <c r="CP119" s="254">
        <f>Konvention_1slave-KLslave</f>
        <v>12</v>
      </c>
      <c r="CQ119" s="254"/>
      <c r="CR119" s="254">
        <f t="shared" si="1076"/>
        <v>12</v>
      </c>
      <c r="CS119" s="254"/>
      <c r="CT119" s="254"/>
      <c r="CU119" s="254"/>
      <c r="CV119" s="318"/>
      <c r="CW119" s="223">
        <f>(CO119+CP119+CQ119+CR119+CS119+CT119+CU119+CV119)/3</f>
        <v>12</v>
      </c>
      <c r="CX119" s="223">
        <f t="shared" si="997"/>
        <v>24</v>
      </c>
      <c r="CY119" s="224">
        <f t="shared" si="998"/>
        <v>36</v>
      </c>
      <c r="CZ119" s="237">
        <f t="shared" si="945"/>
        <v>2304</v>
      </c>
      <c r="DA119" s="254">
        <f>CO119*CP119*CHslave+CO119*KLslave*CR119+MUslave*CP119*CR119</f>
        <v>3456</v>
      </c>
      <c r="DB119" s="224">
        <f t="shared" si="999"/>
        <v>1728</v>
      </c>
      <c r="DC119" s="224">
        <f>SUM(CZ119:DB119)</f>
        <v>7488</v>
      </c>
      <c r="DD119" s="222">
        <f t="shared" si="1001"/>
        <v>3.6923076923076925</v>
      </c>
      <c r="DE119" s="223">
        <f t="shared" si="1002"/>
        <v>11.076923076923077</v>
      </c>
      <c r="DF119" s="243">
        <f t="shared" si="1003"/>
        <v>8.3076923076923084</v>
      </c>
      <c r="DG119" s="243">
        <f t="shared" si="1004"/>
        <v>23.07692307692308</v>
      </c>
      <c r="DH119" s="252">
        <f t="shared" si="852"/>
        <v>0</v>
      </c>
      <c r="DI119" s="309">
        <f t="shared" si="1005"/>
        <v>23.07692307692308</v>
      </c>
      <c r="DJ119" s="218">
        <f>IF(DG119&lt;=0,3,0)+IF(DG119&gt;0,DG119+1,0)*3+IF(DG119&gt;12,DG119-12,0)*3+IF(DG119&gt;13,DG119-13,0)*3+IF(DG119&gt;14,DG119-14,0)*3+IF(DG119&gt;15,DG119-15,0)*3+IF(DG119&gt;16,DG119-16,0)*3+IF(DG119&gt;17,DG119-17,0)*3+IF(DG119&gt;18,DG119-18,0)*3+IF(DG119&gt;19,DG119-19,0)*3+IF(DG119&gt;20,DG119-20,0)*3</f>
        <v>263.30769230769232</v>
      </c>
      <c r="DK119" s="242">
        <f>IF(DH119&lt;=0,3,0)+IF(DH119&gt;0,DH119+1,0)*3+IF(DH119&gt;12,DH119-12,0)*3+IF(DH119&gt;13,DH119-13,0)*3+IF(DH119&gt;14,DH119-14,0)*3+IF(DH119&gt;15,DH119-15,0)*3+IF(DH119&gt;16,DH119-16,0)*3+IF(DH119&gt;17,DH119-17,0)*3+IF(DH119&gt;18,DH119-18,0)*3+IF(DH119&gt;19,DH119-19,0)*3+IF(DH119&gt;20,DH119-20,0)*3</f>
        <v>3</v>
      </c>
      <c r="DL119" s="243">
        <f t="shared" si="1006"/>
        <v>260.30769230769232</v>
      </c>
      <c r="DM119" s="218">
        <f t="shared" si="1007"/>
        <v>0</v>
      </c>
      <c r="DO119" s="303" t="s">
        <v>364</v>
      </c>
      <c r="DP119" s="304" t="s">
        <v>84</v>
      </c>
      <c r="DQ119" s="305" t="s">
        <v>135</v>
      </c>
      <c r="DR119" s="317">
        <f t="shared" si="1086"/>
        <v>12</v>
      </c>
      <c r="DS119" s="254">
        <f>Konvention_1slave-KLslave</f>
        <v>12</v>
      </c>
      <c r="DT119" s="254"/>
      <c r="DU119" s="254">
        <f t="shared" si="1077"/>
        <v>11</v>
      </c>
      <c r="DV119" s="254"/>
      <c r="DW119" s="254"/>
      <c r="DX119" s="254"/>
      <c r="DY119" s="318"/>
      <c r="DZ119" s="223">
        <f>(DR119+DS119+DT119+DU119+DV119+DW119+DX119+DY119)/3</f>
        <v>11.666666666666666</v>
      </c>
      <c r="EA119" s="223">
        <f t="shared" si="1010"/>
        <v>23.333333333333332</v>
      </c>
      <c r="EB119" s="224">
        <f t="shared" si="1011"/>
        <v>35</v>
      </c>
      <c r="EC119" s="237">
        <f t="shared" si="947"/>
        <v>2432</v>
      </c>
      <c r="ED119" s="254">
        <f>DR119*DS119*CHslave_CH+DR119*KLslave*DU119+MUslave*DS119*DU119</f>
        <v>3408</v>
      </c>
      <c r="EE119" s="224">
        <f t="shared" si="1012"/>
        <v>1584</v>
      </c>
      <c r="EF119" s="224">
        <f>SUM(EC119:EE119)</f>
        <v>7424</v>
      </c>
      <c r="EG119" s="222">
        <f t="shared" si="1014"/>
        <v>3.8218390804597702</v>
      </c>
      <c r="EH119" s="223">
        <f t="shared" si="1015"/>
        <v>10.711206896551724</v>
      </c>
      <c r="EI119" s="243">
        <f t="shared" si="1016"/>
        <v>7.4676724137931032</v>
      </c>
      <c r="EJ119" s="243">
        <f t="shared" si="1017"/>
        <v>22.000718390804597</v>
      </c>
      <c r="EK119" s="252">
        <f t="shared" si="863"/>
        <v>0</v>
      </c>
      <c r="EL119" s="309">
        <f t="shared" si="1018"/>
        <v>22.000718390804597</v>
      </c>
      <c r="EM119" s="218">
        <f>IF(EJ119&lt;=0,3,0)+IF(EJ119&gt;0,EJ119+1,0)*3+IF(EJ119&gt;12,EJ119-12,0)*3+IF(EJ119&gt;13,EJ119-13,0)*3+IF(EJ119&gt;14,EJ119-14,0)*3+IF(EJ119&gt;15,EJ119-15,0)*3+IF(EJ119&gt;16,EJ119-16,0)*3+IF(EJ119&gt;17,EJ119-17,0)*3+IF(EJ119&gt;18,EJ119-18,0)*3+IF(EJ119&gt;19,EJ119-19,0)*3+IF(EJ119&gt;20,EJ119-20,0)*3</f>
        <v>231.02155172413785</v>
      </c>
      <c r="EN119" s="242">
        <f>IF(EK119&lt;=0,3,0)+IF(EK119&gt;0,EK119+1,0)*3+IF(EK119&gt;12,EK119-12,0)*3+IF(EK119&gt;13,EK119-13,0)*3+IF(EK119&gt;14,EK119-14,0)*3+IF(EK119&gt;15,EK119-15,0)*3+IF(EK119&gt;16,EK119-16,0)*3+IF(EK119&gt;17,EK119-17,0)*3+IF(EK119&gt;18,EK119-18,0)*3+IF(EK119&gt;19,EK119-19,0)*3+IF(EK119&gt;20,EK119-20,0)*3</f>
        <v>3</v>
      </c>
      <c r="EO119" s="243">
        <f t="shared" si="1019"/>
        <v>228.02155172413785</v>
      </c>
      <c r="EP119" s="218">
        <f t="shared" si="1020"/>
        <v>0</v>
      </c>
      <c r="ER119" s="303" t="s">
        <v>364</v>
      </c>
      <c r="ES119" s="304" t="s">
        <v>84</v>
      </c>
      <c r="ET119" s="305" t="s">
        <v>135</v>
      </c>
      <c r="EU119" s="317">
        <f t="shared" si="1087"/>
        <v>12</v>
      </c>
      <c r="EV119" s="254">
        <f>Konvention_1slave-KLslave</f>
        <v>12</v>
      </c>
      <c r="EW119" s="254"/>
      <c r="EX119" s="254">
        <f t="shared" si="1078"/>
        <v>12</v>
      </c>
      <c r="EY119" s="254"/>
      <c r="EZ119" s="254"/>
      <c r="FA119" s="254"/>
      <c r="FB119" s="318"/>
      <c r="FC119" s="223">
        <f>(EU119+EV119+EW119+EX119+EY119+EZ119+FA119+FB119)/3</f>
        <v>12</v>
      </c>
      <c r="FD119" s="223">
        <f t="shared" si="1023"/>
        <v>24</v>
      </c>
      <c r="FE119" s="224">
        <f t="shared" si="1024"/>
        <v>36</v>
      </c>
      <c r="FF119" s="237">
        <f t="shared" si="949"/>
        <v>2304</v>
      </c>
      <c r="FG119" s="254">
        <f>EU119*EV119*CHslave+EU119*KLslave*EX119+MUslave*EV119*EX119</f>
        <v>3456</v>
      </c>
      <c r="FH119" s="224">
        <f t="shared" si="1025"/>
        <v>1728</v>
      </c>
      <c r="FI119" s="224">
        <f>SUM(FF119:FH119)</f>
        <v>7488</v>
      </c>
      <c r="FJ119" s="222">
        <f t="shared" si="1027"/>
        <v>3.6923076923076925</v>
      </c>
      <c r="FK119" s="223">
        <f t="shared" si="1028"/>
        <v>11.076923076923077</v>
      </c>
      <c r="FL119" s="243">
        <f t="shared" si="1029"/>
        <v>8.3076923076923084</v>
      </c>
      <c r="FM119" s="243">
        <f t="shared" si="1030"/>
        <v>23.07692307692308</v>
      </c>
      <c r="FN119" s="252">
        <f t="shared" si="874"/>
        <v>0</v>
      </c>
      <c r="FO119" s="309">
        <f t="shared" si="1031"/>
        <v>23.07692307692308</v>
      </c>
      <c r="FP119" s="218">
        <f>IF(FM119&lt;=0,3,0)+IF(FM119&gt;0,FM119+1,0)*3+IF(FM119&gt;12,FM119-12,0)*3+IF(FM119&gt;13,FM119-13,0)*3+IF(FM119&gt;14,FM119-14,0)*3+IF(FM119&gt;15,FM119-15,0)*3+IF(FM119&gt;16,FM119-16,0)*3+IF(FM119&gt;17,FM119-17,0)*3+IF(FM119&gt;18,FM119-18,0)*3+IF(FM119&gt;19,FM119-19,0)*3+IF(FM119&gt;20,FM119-20,0)*3</f>
        <v>263.30769230769232</v>
      </c>
      <c r="FQ119" s="242">
        <f>IF(FN119&lt;=0,3,0)+IF(FN119&gt;0,FN119+1,0)*3+IF(FN119&gt;12,FN119-12,0)*3+IF(FN119&gt;13,FN119-13,0)*3+IF(FN119&gt;14,FN119-14,0)*3+IF(FN119&gt;15,FN119-15,0)*3+IF(FN119&gt;16,FN119-16,0)*3+IF(FN119&gt;17,FN119-17,0)*3+IF(FN119&gt;18,FN119-18,0)*3+IF(FN119&gt;19,FN119-19,0)*3+IF(FN119&gt;20,FN119-20,0)*3</f>
        <v>3</v>
      </c>
      <c r="FR119" s="243">
        <f t="shared" si="1032"/>
        <v>260.30769230769232</v>
      </c>
      <c r="FS119" s="218">
        <f t="shared" si="1033"/>
        <v>0</v>
      </c>
      <c r="FU119" s="303" t="s">
        <v>364</v>
      </c>
      <c r="FV119" s="304" t="s">
        <v>84</v>
      </c>
      <c r="FW119" s="305" t="s">
        <v>135</v>
      </c>
      <c r="FX119" s="317">
        <f t="shared" si="1088"/>
        <v>12</v>
      </c>
      <c r="FY119" s="254">
        <f>Konvention_1slave-KLslave</f>
        <v>12</v>
      </c>
      <c r="FZ119" s="254"/>
      <c r="GA119" s="254">
        <f t="shared" si="1079"/>
        <v>12</v>
      </c>
      <c r="GB119" s="254"/>
      <c r="GC119" s="254"/>
      <c r="GD119" s="254"/>
      <c r="GE119" s="318"/>
      <c r="GF119" s="223">
        <f>(FX119+FY119+FZ119+GA119+GB119+GC119+GD119+GE119)/3</f>
        <v>12</v>
      </c>
      <c r="GG119" s="223">
        <f t="shared" si="1036"/>
        <v>24</v>
      </c>
      <c r="GH119" s="224">
        <f t="shared" si="1037"/>
        <v>36</v>
      </c>
      <c r="GI119" s="237">
        <f t="shared" si="951"/>
        <v>2304</v>
      </c>
      <c r="GJ119" s="254">
        <f>FX119*FY119*CHslave+FX119*KLslave*GA119+MUslave*FY119*GA119</f>
        <v>3456</v>
      </c>
      <c r="GK119" s="224">
        <f t="shared" si="1038"/>
        <v>1728</v>
      </c>
      <c r="GL119" s="224">
        <f>SUM(GI119:GK119)</f>
        <v>7488</v>
      </c>
      <c r="GM119" s="222">
        <f t="shared" si="1040"/>
        <v>3.6923076923076925</v>
      </c>
      <c r="GN119" s="223">
        <f t="shared" si="1041"/>
        <v>11.076923076923077</v>
      </c>
      <c r="GO119" s="243">
        <f t="shared" si="1042"/>
        <v>8.3076923076923084</v>
      </c>
      <c r="GP119" s="243">
        <f t="shared" si="1043"/>
        <v>23.07692307692308</v>
      </c>
      <c r="GQ119" s="252">
        <f t="shared" si="885"/>
        <v>0</v>
      </c>
      <c r="GR119" s="309">
        <f t="shared" si="1044"/>
        <v>23.07692307692308</v>
      </c>
      <c r="GS119" s="218">
        <f>IF(GP119&lt;=0,3,0)+IF(GP119&gt;0,GP119+1,0)*3+IF(GP119&gt;12,GP119-12,0)*3+IF(GP119&gt;13,GP119-13,0)*3+IF(GP119&gt;14,GP119-14,0)*3+IF(GP119&gt;15,GP119-15,0)*3+IF(GP119&gt;16,GP119-16,0)*3+IF(GP119&gt;17,GP119-17,0)*3+IF(GP119&gt;18,GP119-18,0)*3+IF(GP119&gt;19,GP119-19,0)*3+IF(GP119&gt;20,GP119-20,0)*3</f>
        <v>263.30769230769232</v>
      </c>
      <c r="GT119" s="242">
        <f>IF(GQ119&lt;=0,3,0)+IF(GQ119&gt;0,GQ119+1,0)*3+IF(GQ119&gt;12,GQ119-12,0)*3+IF(GQ119&gt;13,GQ119-13,0)*3+IF(GQ119&gt;14,GQ119-14,0)*3+IF(GQ119&gt;15,GQ119-15,0)*3+IF(GQ119&gt;16,GQ119-16,0)*3+IF(GQ119&gt;17,GQ119-17,0)*3+IF(GQ119&gt;18,GQ119-18,0)*3+IF(GQ119&gt;19,GQ119-19,0)*3+IF(GQ119&gt;20,GQ119-20,0)*3</f>
        <v>3</v>
      </c>
      <c r="GU119" s="243">
        <f t="shared" si="1045"/>
        <v>260.30769230769232</v>
      </c>
      <c r="GV119" s="218">
        <f t="shared" si="1046"/>
        <v>0</v>
      </c>
      <c r="GX119" s="303" t="s">
        <v>364</v>
      </c>
      <c r="GY119" s="304" t="s">
        <v>84</v>
      </c>
      <c r="GZ119" s="305" t="s">
        <v>135</v>
      </c>
      <c r="HA119" s="317">
        <f t="shared" si="1089"/>
        <v>12</v>
      </c>
      <c r="HB119" s="254">
        <f>Konvention_1slave-KLslave</f>
        <v>12</v>
      </c>
      <c r="HC119" s="254"/>
      <c r="HD119" s="254">
        <f t="shared" si="1080"/>
        <v>12</v>
      </c>
      <c r="HE119" s="254"/>
      <c r="HF119" s="254"/>
      <c r="HG119" s="254"/>
      <c r="HH119" s="318"/>
      <c r="HI119" s="223">
        <f>(HA119+HB119+HC119+HD119+HE119+HF119+HG119+HH119)/3</f>
        <v>12</v>
      </c>
      <c r="HJ119" s="223">
        <f t="shared" si="1049"/>
        <v>24</v>
      </c>
      <c r="HK119" s="224">
        <f t="shared" si="1050"/>
        <v>36</v>
      </c>
      <c r="HL119" s="237">
        <f t="shared" si="953"/>
        <v>2304</v>
      </c>
      <c r="HM119" s="254">
        <f>HA119*HB119*CHslave+HA119*KLslave*HD119+MUslave*HB119*HD119</f>
        <v>3456</v>
      </c>
      <c r="HN119" s="224">
        <f t="shared" si="1051"/>
        <v>1728</v>
      </c>
      <c r="HO119" s="224">
        <f>SUM(HL119:HN119)</f>
        <v>7488</v>
      </c>
      <c r="HP119" s="222">
        <f t="shared" si="1053"/>
        <v>3.6923076923076925</v>
      </c>
      <c r="HQ119" s="223">
        <f t="shared" si="1054"/>
        <v>11.076923076923077</v>
      </c>
      <c r="HR119" s="243">
        <f t="shared" si="1055"/>
        <v>8.3076923076923084</v>
      </c>
      <c r="HS119" s="243">
        <f t="shared" si="1056"/>
        <v>23.07692307692308</v>
      </c>
      <c r="HT119" s="252">
        <f t="shared" si="896"/>
        <v>0</v>
      </c>
      <c r="HU119" s="309">
        <f t="shared" si="1057"/>
        <v>23.07692307692308</v>
      </c>
      <c r="HV119" s="218">
        <f>IF(HS119&lt;=0,3,0)+IF(HS119&gt;0,HS119+1,0)*3+IF(HS119&gt;12,HS119-12,0)*3+IF(HS119&gt;13,HS119-13,0)*3+IF(HS119&gt;14,HS119-14,0)*3+IF(HS119&gt;15,HS119-15,0)*3+IF(HS119&gt;16,HS119-16,0)*3+IF(HS119&gt;17,HS119-17,0)*3+IF(HS119&gt;18,HS119-18,0)*3+IF(HS119&gt;19,HS119-19,0)*3+IF(HS119&gt;20,HS119-20,0)*3</f>
        <v>263.30769230769232</v>
      </c>
      <c r="HW119" s="242">
        <f>IF(HT119&lt;=0,3,0)+IF(HT119&gt;0,HT119+1,0)*3+IF(HT119&gt;12,HT119-12,0)*3+IF(HT119&gt;13,HT119-13,0)*3+IF(HT119&gt;14,HT119-14,0)*3+IF(HT119&gt;15,HT119-15,0)*3+IF(HT119&gt;16,HT119-16,0)*3+IF(HT119&gt;17,HT119-17,0)*3+IF(HT119&gt;18,HT119-18,0)*3+IF(HT119&gt;19,HT119-19,0)*3+IF(HT119&gt;20,HT119-20,0)*3</f>
        <v>3</v>
      </c>
      <c r="HX119" s="243">
        <f t="shared" si="1058"/>
        <v>260.30769230769232</v>
      </c>
      <c r="HY119" s="218">
        <f t="shared" si="1059"/>
        <v>0</v>
      </c>
      <c r="IA119" s="303" t="s">
        <v>364</v>
      </c>
      <c r="IB119" s="304" t="s">
        <v>84</v>
      </c>
      <c r="IC119" s="305" t="s">
        <v>135</v>
      </c>
      <c r="ID119" s="317">
        <f t="shared" si="1090"/>
        <v>12</v>
      </c>
      <c r="IE119" s="254">
        <f>Konvention_1slave-KLslave</f>
        <v>12</v>
      </c>
      <c r="IF119" s="254"/>
      <c r="IG119" s="254">
        <f t="shared" si="1081"/>
        <v>12</v>
      </c>
      <c r="IH119" s="254"/>
      <c r="II119" s="254"/>
      <c r="IJ119" s="254"/>
      <c r="IK119" s="318"/>
      <c r="IL119" s="223">
        <f>(ID119+IE119+IF119+IG119+IH119+II119+IJ119+IK119)/3</f>
        <v>12</v>
      </c>
      <c r="IM119" s="223">
        <f t="shared" si="1062"/>
        <v>24</v>
      </c>
      <c r="IN119" s="224">
        <f t="shared" si="1063"/>
        <v>36</v>
      </c>
      <c r="IO119" s="237">
        <f t="shared" si="955"/>
        <v>2304</v>
      </c>
      <c r="IP119" s="254">
        <f>ID119*IE119*CHslave+ID119*KLslave*IG119+MUslave*IE119*IG119</f>
        <v>3456</v>
      </c>
      <c r="IQ119" s="224">
        <f t="shared" si="1064"/>
        <v>1728</v>
      </c>
      <c r="IR119" s="224">
        <f>SUM(IO119:IQ119)</f>
        <v>7488</v>
      </c>
      <c r="IS119" s="222">
        <f t="shared" si="1066"/>
        <v>3.6923076923076925</v>
      </c>
      <c r="IT119" s="223">
        <f t="shared" si="1067"/>
        <v>11.076923076923077</v>
      </c>
      <c r="IU119" s="243">
        <f t="shared" si="1068"/>
        <v>8.3076923076923084</v>
      </c>
      <c r="IV119" s="243">
        <f t="shared" si="1069"/>
        <v>23.07692307692308</v>
      </c>
      <c r="IW119" s="252">
        <f t="shared" si="907"/>
        <v>0</v>
      </c>
      <c r="IX119" s="309">
        <f t="shared" si="1070"/>
        <v>23.07692307692308</v>
      </c>
      <c r="IY119" s="218">
        <f>IF(IV119&lt;=0,3,0)+IF(IV119&gt;0,IV119+1,0)*3+IF(IV119&gt;12,IV119-12,0)*3+IF(IV119&gt;13,IV119-13,0)*3+IF(IV119&gt;14,IV119-14,0)*3+IF(IV119&gt;15,IV119-15,0)*3+IF(IV119&gt;16,IV119-16,0)*3+IF(IV119&gt;17,IV119-17,0)*3+IF(IV119&gt;18,IV119-18,0)*3+IF(IV119&gt;19,IV119-19,0)*3+IF(IV119&gt;20,IV119-20,0)*3</f>
        <v>263.30769230769232</v>
      </c>
      <c r="IZ119" s="242">
        <f>IF(IW119&lt;=0,3,0)+IF(IW119&gt;0,IW119+1,0)*3+IF(IW119&gt;12,IW119-12,0)*3+IF(IW119&gt;13,IW119-13,0)*3+IF(IW119&gt;14,IW119-14,0)*3+IF(IW119&gt;15,IW119-15,0)*3+IF(IW119&gt;16,IW119-16,0)*3+IF(IW119&gt;17,IW119-17,0)*3+IF(IW119&gt;18,IW119-18,0)*3+IF(IW119&gt;19,IW119-19,0)*3+IF(IW119&gt;20,IW119-20,0)*3</f>
        <v>3</v>
      </c>
      <c r="JA119" s="243">
        <f t="shared" si="1071"/>
        <v>260.30769230769232</v>
      </c>
      <c r="JB119" s="218">
        <f t="shared" si="1072"/>
        <v>0</v>
      </c>
      <c r="JE119" s="148"/>
    </row>
    <row r="120" spans="2:265" ht="15" hidden="1" customHeight="1" outlineLevel="2">
      <c r="B120" s="148">
        <v>21</v>
      </c>
      <c r="C120" s="303" t="e">
        <f>VLOOKUP(AF120,Attribute!C:T,1,FALSE)</f>
        <v>#N/A</v>
      </c>
      <c r="D120" s="86" t="s">
        <v>308</v>
      </c>
      <c r="E120" s="167" t="s">
        <v>134</v>
      </c>
      <c r="F120" s="120">
        <f t="shared" si="1082"/>
        <v>12</v>
      </c>
      <c r="G120" s="117">
        <f>Konvention_1master-KLmaster</f>
        <v>12</v>
      </c>
      <c r="H120" s="117"/>
      <c r="I120" s="117"/>
      <c r="J120" s="117"/>
      <c r="K120" s="117"/>
      <c r="L120" s="117">
        <f>Konvention_1master-KOmaster</f>
        <v>12</v>
      </c>
      <c r="M120" s="121"/>
      <c r="N120" s="223">
        <f>(F120+G120+H120+I120+J120+K120+L120+M120)/3</f>
        <v>12</v>
      </c>
      <c r="O120" s="223">
        <f t="shared" si="958"/>
        <v>24</v>
      </c>
      <c r="P120" s="224">
        <f t="shared" si="959"/>
        <v>36</v>
      </c>
      <c r="Q120" s="237">
        <f>F120*POWER(KLmaster,SIGN(G120))*POWER(INmaster,SIGN(H120))*POWER(CHmaster,SIGN(I120))*POWER(FFmaster,SIGN(J120))*POWER(GEmaster,SIGN(K120))*POWER(KOmaster,SIGN(L120))*POWER(KKmaster,SIGN(M120))+G120*POWER(MUmaster,SIGN(F120))*POWER(INmaster,SIGN(H120))*POWER(CHmaster,SIGN(I120))*POWER(FFmaster,SIGN(J120))*POWER(GEmaster,SIGN(K120))*POWER(KOmaster,SIGN(L120))*POWER(KKmaster,SIGN(M120))+H120*POWER(MUmaster,SIGN(F120))*POWER(KLmaster,SIGN(G120))*POWER(CHmaster,SIGN(I120))*POWER(FFmaster,SIGN(J120))*POWER(GEmaster,SIGN(K120))*POWER(KOmaster,SIGN(L120))*POWER(KKmaster,SIGN(M120))+I120*POWER(MUmaster,SIGN(F120))*POWER(KLmaster,SIGN(G120))*POWER(INmaster,SIGN(H120))*POWER(FFmaster,SIGN(J120))*POWER(GEmaster,SIGN(K120))*POWER(KOmaster,SIGN(L120))*POWER(KKmaster,SIGN(M120))+J120*POWER(MUmaster,SIGN(F120))*POWER(KLmaster,SIGN(G120))*POWER(INmaster,SIGN(H120))*POWER(CHmaster,SIGN(I120))*POWER(GEmaster,SIGN(K120))*POWER(KOmaster,SIGN(L120))*POWER(KKmaster,SIGN(M120))+K120*POWER(MUmaster,SIGN(F120))*POWER(KLmaster,SIGN(G120))*POWER(INmaster,SIGN(H120))*POWER(CHmaster,SIGN(I120))*POWER(FFmaster,SIGN(J120))*POWER(KOmaster,SIGN(L120))*POWER(KKmaster,SIGN(M120))+L120*POWER(MUmaster,SIGN(F120))*POWER(KLmaster,SIGN(G120))*POWER(INmaster,SIGN(H120))*POWER(CHmaster,SIGN(I120))*POWER(FFmaster,SIGN(J120))*POWER(GEmaster,SIGN(K120))*POWER(KKmaster,SIGN(M120))+M120*POWER(MUmaster,SIGN(F120))*POWER(KLmaster,SIGN(G120))*POWER(INmaster,SIGN(H120))*POWER(CHmaster,SIGN(I120))*POWER(FFmaster,SIGN(J120))*POWER(GEmaster,SIGN(K120))*POWER(KOmaster,SIGN(L120))</f>
        <v>2304</v>
      </c>
      <c r="R120" s="117">
        <f>F120*G120*KOmaster+F120*KLmaster*L120+MUmaster*G120*L120</f>
        <v>3456</v>
      </c>
      <c r="S120" s="224">
        <f t="shared" si="939"/>
        <v>1728</v>
      </c>
      <c r="T120" s="224">
        <f>SUM(Q120:S120)</f>
        <v>7488</v>
      </c>
      <c r="U120" s="222">
        <f t="shared" si="962"/>
        <v>3.6923076923076925</v>
      </c>
      <c r="V120" s="223">
        <f t="shared" si="963"/>
        <v>11.076923076923077</v>
      </c>
      <c r="W120" s="243">
        <f t="shared" si="964"/>
        <v>8.3076923076923084</v>
      </c>
      <c r="X120" s="243">
        <f t="shared" si="965"/>
        <v>23.07692307692308</v>
      </c>
      <c r="Y120" s="252">
        <v>0</v>
      </c>
      <c r="Z120" s="198">
        <f t="shared" si="966"/>
        <v>23.07692307692308</v>
      </c>
      <c r="AA120" s="125">
        <f>IF(X120&lt;=0,4,0)+IF(X120&gt;0,X120+1,0)*4+IF(X120&gt;12,X120-12,0)*4+IF(X120&gt;13,X120-13,0)*4+IF(X120&gt;14,X120-14,0)*4+IF(X120&gt;15,X120-15,0)*4+IF(X120&gt;16,X120-16,0)*4+IF(X120&gt;17,X120-17,0)*4+IF(X120&gt;18,X120-18,0)*4+IF(X120&gt;19,X120-19,0)*4+IF(X120&gt;20,X120-20,0)*4</f>
        <v>351.07692307692321</v>
      </c>
      <c r="AB120" s="160">
        <f>IF(Y120&lt;=0,4,0)+IF(Y120&gt;0,Y120+1,0)*4+IF(Y120&gt;12,Y120-12,0)*4+IF(Y120&gt;13,Y120-13,0)*4+IF(Y120&gt;14,Y120-14,0)*4+IF(Y120&gt;15,Y120-15,0)*4+IF(Y120&gt;16,Y120-16,0)*4+IF(Y120&gt;17,Y120-17,0)*4+IF(Y120&gt;18,Y120-18,0)*4+IF(Y120&gt;19,Y120-19,0)*4+IF(Y120&gt;20,Y120-20,0)*4</f>
        <v>4</v>
      </c>
      <c r="AC120" s="127">
        <f t="shared" si="967"/>
        <v>347.07692307692321</v>
      </c>
      <c r="AD120" s="125">
        <f t="shared" si="968"/>
        <v>0</v>
      </c>
      <c r="AF120" s="163" t="s">
        <v>365</v>
      </c>
      <c r="AG120" s="86" t="s">
        <v>308</v>
      </c>
      <c r="AH120" s="167" t="s">
        <v>134</v>
      </c>
      <c r="AI120" s="120">
        <f t="shared" si="1083"/>
        <v>11</v>
      </c>
      <c r="AJ120" s="117">
        <f>Konvention_1slave-KLslave</f>
        <v>12</v>
      </c>
      <c r="AK120" s="117"/>
      <c r="AL120" s="117"/>
      <c r="AM120" s="117"/>
      <c r="AN120" s="117"/>
      <c r="AO120" s="117">
        <f>Konvention_1slave-KOslave</f>
        <v>12</v>
      </c>
      <c r="AP120" s="121"/>
      <c r="AQ120" s="47">
        <f>(AI120+AJ120+AK120+AL120+AM120+AN120+AO120+AP120)/3</f>
        <v>11.666666666666666</v>
      </c>
      <c r="AR120" s="3">
        <f t="shared" si="971"/>
        <v>23.333333333333332</v>
      </c>
      <c r="AS120" s="174">
        <f t="shared" si="972"/>
        <v>35</v>
      </c>
      <c r="AT120" s="114">
        <f t="shared" si="941"/>
        <v>2432</v>
      </c>
      <c r="AU120" s="117">
        <f>AI120*AJ120*KOslave+AI120*KLslave*AO120+MUslave_MU*AJ120*AO120</f>
        <v>3408</v>
      </c>
      <c r="AV120" s="119">
        <f t="shared" si="973"/>
        <v>1584</v>
      </c>
      <c r="AW120" s="119">
        <f>SUM(AT120:AV120)</f>
        <v>7424</v>
      </c>
      <c r="AX120" s="89">
        <f t="shared" si="975"/>
        <v>3.8218390804597702</v>
      </c>
      <c r="AY120" s="47">
        <f t="shared" si="976"/>
        <v>10.711206896551724</v>
      </c>
      <c r="AZ120" s="127">
        <f t="shared" si="977"/>
        <v>7.4676724137931032</v>
      </c>
      <c r="BA120" s="127">
        <f t="shared" si="978"/>
        <v>22.000718390804597</v>
      </c>
      <c r="BB120" s="165">
        <f t="shared" si="830"/>
        <v>0</v>
      </c>
      <c r="BC120" s="198">
        <f t="shared" si="979"/>
        <v>22.000718390804597</v>
      </c>
      <c r="BD120" s="125">
        <f>IF(BA120&lt;=0,4,0)+IF(BA120&gt;0,BA120+1,0)*4+IF(BA120&gt;12,BA120-12,0)*4+IF(BA120&gt;13,BA120-13,0)*4+IF(BA120&gt;14,BA120-14,0)*4+IF(BA120&gt;15,BA120-15,0)*4+IF(BA120&gt;16,BA120-16,0)*4+IF(BA120&gt;17,BA120-17,0)*4+IF(BA120&gt;18,BA120-18,0)*4+IF(BA120&gt;19,BA120-19,0)*4+IF(BA120&gt;20,BA120-20,0)*4</f>
        <v>308.02873563218378</v>
      </c>
      <c r="BE120" s="160">
        <f>IF(BB120&lt;=0,4,0)+IF(BB120&gt;0,BB120+1,0)*4+IF(BB120&gt;12,BB120-12,0)*4+IF(BB120&gt;13,BB120-13,0)*4+IF(BB120&gt;14,BB120-14,0)*4+IF(BB120&gt;15,BB120-15,0)*4+IF(BB120&gt;16,BB120-16,0)*4+IF(BB120&gt;17,BB120-17,0)*4+IF(BB120&gt;18,BB120-18,0)*4+IF(BB120&gt;19,BB120-19,0)*4+IF(BB120&gt;20,BB120-20,0)*4</f>
        <v>4</v>
      </c>
      <c r="BF120" s="243">
        <f t="shared" si="980"/>
        <v>304.02873563218378</v>
      </c>
      <c r="BG120" s="218">
        <f t="shared" si="981"/>
        <v>0</v>
      </c>
      <c r="BI120" s="303" t="s">
        <v>365</v>
      </c>
      <c r="BJ120" s="304" t="s">
        <v>308</v>
      </c>
      <c r="BK120" s="305" t="s">
        <v>134</v>
      </c>
      <c r="BL120" s="317">
        <f t="shared" si="1084"/>
        <v>12</v>
      </c>
      <c r="BM120" s="254">
        <f>Konvention_1slave-KLslave_KL</f>
        <v>11</v>
      </c>
      <c r="BN120" s="254"/>
      <c r="BO120" s="254"/>
      <c r="BP120" s="254"/>
      <c r="BQ120" s="254"/>
      <c r="BR120" s="254">
        <f>Konvention_1slave-KOslave</f>
        <v>12</v>
      </c>
      <c r="BS120" s="318"/>
      <c r="BT120" s="223">
        <f>(BL120+BM120+BN120+BO120+BP120+BQ120+BR120+BS120)/3</f>
        <v>11.666666666666666</v>
      </c>
      <c r="BU120" s="223">
        <f t="shared" si="984"/>
        <v>23.333333333333332</v>
      </c>
      <c r="BV120" s="224">
        <f t="shared" si="985"/>
        <v>35</v>
      </c>
      <c r="BW120" s="237">
        <f t="shared" si="943"/>
        <v>2432</v>
      </c>
      <c r="BX120" s="254">
        <f>BL120*BM120*KOslave+BL120*KLslave_KL*BR120+MUslave*BM120*BR120</f>
        <v>3408</v>
      </c>
      <c r="BY120" s="224">
        <f t="shared" si="986"/>
        <v>1584</v>
      </c>
      <c r="BZ120" s="224">
        <f>SUM(BW120:BY120)</f>
        <v>7424</v>
      </c>
      <c r="CA120" s="222">
        <f t="shared" si="988"/>
        <v>3.8218390804597702</v>
      </c>
      <c r="CB120" s="223">
        <f t="shared" si="989"/>
        <v>10.711206896551724</v>
      </c>
      <c r="CC120" s="243">
        <f t="shared" si="990"/>
        <v>7.4676724137931032</v>
      </c>
      <c r="CD120" s="243">
        <f t="shared" si="991"/>
        <v>22.000718390804597</v>
      </c>
      <c r="CE120" s="252">
        <f t="shared" si="841"/>
        <v>0</v>
      </c>
      <c r="CF120" s="309">
        <f t="shared" si="992"/>
        <v>22.000718390804597</v>
      </c>
      <c r="CG120" s="218">
        <f>IF(CD120&lt;=0,4,0)+IF(CD120&gt;0,CD120+1,0)*4+IF(CD120&gt;12,CD120-12,0)*4+IF(CD120&gt;13,CD120-13,0)*4+IF(CD120&gt;14,CD120-14,0)*4+IF(CD120&gt;15,CD120-15,0)*4+IF(CD120&gt;16,CD120-16,0)*4+IF(CD120&gt;17,CD120-17,0)*4+IF(CD120&gt;18,CD120-18,0)*4+IF(CD120&gt;19,CD120-19,0)*4+IF(CD120&gt;20,CD120-20,0)*4</f>
        <v>308.02873563218378</v>
      </c>
      <c r="CH120" s="242">
        <f>IF(CE120&lt;=0,4,0)+IF(CE120&gt;0,CE120+1,0)*4+IF(CE120&gt;12,CE120-12,0)*4+IF(CE120&gt;13,CE120-13,0)*4+IF(CE120&gt;14,CE120-14,0)*4+IF(CE120&gt;15,CE120-15,0)*4+IF(CE120&gt;16,CE120-16,0)*4+IF(CE120&gt;17,CE120-17,0)*4+IF(CE120&gt;18,CE120-18,0)*4+IF(CE120&gt;19,CE120-19,0)*4+IF(CE120&gt;20,CE120-20,0)*4</f>
        <v>4</v>
      </c>
      <c r="CI120" s="243">
        <f t="shared" si="993"/>
        <v>304.02873563218378</v>
      </c>
      <c r="CJ120" s="218">
        <f t="shared" si="994"/>
        <v>0</v>
      </c>
      <c r="CL120" s="303" t="s">
        <v>365</v>
      </c>
      <c r="CM120" s="304" t="s">
        <v>308</v>
      </c>
      <c r="CN120" s="305" t="s">
        <v>134</v>
      </c>
      <c r="CO120" s="317">
        <f t="shared" si="1085"/>
        <v>12</v>
      </c>
      <c r="CP120" s="254">
        <f>Konvention_1slave-KLslave</f>
        <v>12</v>
      </c>
      <c r="CQ120" s="254"/>
      <c r="CR120" s="254"/>
      <c r="CS120" s="254"/>
      <c r="CT120" s="254"/>
      <c r="CU120" s="254">
        <f>Konvention_1slave-KOslave</f>
        <v>12</v>
      </c>
      <c r="CV120" s="318"/>
      <c r="CW120" s="223">
        <f>(CO120+CP120+CQ120+CR120+CS120+CT120+CU120+CV120)/3</f>
        <v>12</v>
      </c>
      <c r="CX120" s="223">
        <f t="shared" si="997"/>
        <v>24</v>
      </c>
      <c r="CY120" s="224">
        <f t="shared" si="998"/>
        <v>36</v>
      </c>
      <c r="CZ120" s="237">
        <f t="shared" si="945"/>
        <v>2304</v>
      </c>
      <c r="DA120" s="254">
        <f>CO120*CP120*KOslave+CO120*KLslave*CU120+MUslave*CP120*CU120</f>
        <v>3456</v>
      </c>
      <c r="DB120" s="224">
        <f t="shared" si="999"/>
        <v>1728</v>
      </c>
      <c r="DC120" s="224">
        <f>SUM(CZ120:DB120)</f>
        <v>7488</v>
      </c>
      <c r="DD120" s="222">
        <f t="shared" si="1001"/>
        <v>3.6923076923076925</v>
      </c>
      <c r="DE120" s="223">
        <f t="shared" si="1002"/>
        <v>11.076923076923077</v>
      </c>
      <c r="DF120" s="243">
        <f t="shared" si="1003"/>
        <v>8.3076923076923084</v>
      </c>
      <c r="DG120" s="243">
        <f t="shared" si="1004"/>
        <v>23.07692307692308</v>
      </c>
      <c r="DH120" s="252">
        <f t="shared" si="852"/>
        <v>0</v>
      </c>
      <c r="DI120" s="309">
        <f t="shared" si="1005"/>
        <v>23.07692307692308</v>
      </c>
      <c r="DJ120" s="218">
        <f>IF(DG120&lt;=0,4,0)+IF(DG120&gt;0,DG120+1,0)*4+IF(DG120&gt;12,DG120-12,0)*4+IF(DG120&gt;13,DG120-13,0)*4+IF(DG120&gt;14,DG120-14,0)*4+IF(DG120&gt;15,DG120-15,0)*4+IF(DG120&gt;16,DG120-16,0)*4+IF(DG120&gt;17,DG120-17,0)*4+IF(DG120&gt;18,DG120-18,0)*4+IF(DG120&gt;19,DG120-19,0)*4+IF(DG120&gt;20,DG120-20,0)*4</f>
        <v>351.07692307692321</v>
      </c>
      <c r="DK120" s="242">
        <f>IF(DH120&lt;=0,4,0)+IF(DH120&gt;0,DH120+1,0)*4+IF(DH120&gt;12,DH120-12,0)*4+IF(DH120&gt;13,DH120-13,0)*4+IF(DH120&gt;14,DH120-14,0)*4+IF(DH120&gt;15,DH120-15,0)*4+IF(DH120&gt;16,DH120-16,0)*4+IF(DH120&gt;17,DH120-17,0)*4+IF(DH120&gt;18,DH120-18,0)*4+IF(DH120&gt;19,DH120-19,0)*4+IF(DH120&gt;20,DH120-20,0)*4</f>
        <v>4</v>
      </c>
      <c r="DL120" s="243">
        <f t="shared" si="1006"/>
        <v>347.07692307692321</v>
      </c>
      <c r="DM120" s="218">
        <f t="shared" si="1007"/>
        <v>0</v>
      </c>
      <c r="DO120" s="303" t="s">
        <v>365</v>
      </c>
      <c r="DP120" s="304" t="s">
        <v>308</v>
      </c>
      <c r="DQ120" s="305" t="s">
        <v>134</v>
      </c>
      <c r="DR120" s="317">
        <f t="shared" si="1086"/>
        <v>12</v>
      </c>
      <c r="DS120" s="254">
        <f>Konvention_1slave-KLslave</f>
        <v>12</v>
      </c>
      <c r="DT120" s="254"/>
      <c r="DU120" s="254"/>
      <c r="DV120" s="254"/>
      <c r="DW120" s="254"/>
      <c r="DX120" s="254">
        <f>Konvention_1slave-KOslave</f>
        <v>12</v>
      </c>
      <c r="DY120" s="318"/>
      <c r="DZ120" s="223">
        <f>(DR120+DS120+DT120+DU120+DV120+DW120+DX120+DY120)/3</f>
        <v>12</v>
      </c>
      <c r="EA120" s="223">
        <f t="shared" si="1010"/>
        <v>24</v>
      </c>
      <c r="EB120" s="224">
        <f t="shared" si="1011"/>
        <v>36</v>
      </c>
      <c r="EC120" s="237">
        <f t="shared" si="947"/>
        <v>2304</v>
      </c>
      <c r="ED120" s="254">
        <f>DR120*DS120*KOslave+DR120*KLslave*DX120+MUslave*DS120*DX120</f>
        <v>3456</v>
      </c>
      <c r="EE120" s="224">
        <f t="shared" si="1012"/>
        <v>1728</v>
      </c>
      <c r="EF120" s="224">
        <f>SUM(EC120:EE120)</f>
        <v>7488</v>
      </c>
      <c r="EG120" s="222">
        <f t="shared" si="1014"/>
        <v>3.6923076923076925</v>
      </c>
      <c r="EH120" s="223">
        <f t="shared" si="1015"/>
        <v>11.076923076923077</v>
      </c>
      <c r="EI120" s="243">
        <f t="shared" si="1016"/>
        <v>8.3076923076923084</v>
      </c>
      <c r="EJ120" s="243">
        <f t="shared" si="1017"/>
        <v>23.07692307692308</v>
      </c>
      <c r="EK120" s="252">
        <f t="shared" si="863"/>
        <v>0</v>
      </c>
      <c r="EL120" s="309">
        <f t="shared" si="1018"/>
        <v>23.07692307692308</v>
      </c>
      <c r="EM120" s="218">
        <f>IF(EJ120&lt;=0,4,0)+IF(EJ120&gt;0,EJ120+1,0)*4+IF(EJ120&gt;12,EJ120-12,0)*4+IF(EJ120&gt;13,EJ120-13,0)*4+IF(EJ120&gt;14,EJ120-14,0)*4+IF(EJ120&gt;15,EJ120-15,0)*4+IF(EJ120&gt;16,EJ120-16,0)*4+IF(EJ120&gt;17,EJ120-17,0)*4+IF(EJ120&gt;18,EJ120-18,0)*4+IF(EJ120&gt;19,EJ120-19,0)*4+IF(EJ120&gt;20,EJ120-20,0)*4</f>
        <v>351.07692307692321</v>
      </c>
      <c r="EN120" s="242">
        <f>IF(EK120&lt;=0,4,0)+IF(EK120&gt;0,EK120+1,0)*4+IF(EK120&gt;12,EK120-12,0)*4+IF(EK120&gt;13,EK120-13,0)*4+IF(EK120&gt;14,EK120-14,0)*4+IF(EK120&gt;15,EK120-15,0)*4+IF(EK120&gt;16,EK120-16,0)*4+IF(EK120&gt;17,EK120-17,0)*4+IF(EK120&gt;18,EK120-18,0)*4+IF(EK120&gt;19,EK120-19,0)*4+IF(EK120&gt;20,EK120-20,0)*4</f>
        <v>4</v>
      </c>
      <c r="EO120" s="243">
        <f t="shared" si="1019"/>
        <v>347.07692307692321</v>
      </c>
      <c r="EP120" s="218">
        <f t="shared" si="1020"/>
        <v>0</v>
      </c>
      <c r="ER120" s="303" t="s">
        <v>365</v>
      </c>
      <c r="ES120" s="304" t="s">
        <v>308</v>
      </c>
      <c r="ET120" s="305" t="s">
        <v>134</v>
      </c>
      <c r="EU120" s="317">
        <f t="shared" si="1087"/>
        <v>12</v>
      </c>
      <c r="EV120" s="254">
        <f>Konvention_1slave-KLslave</f>
        <v>12</v>
      </c>
      <c r="EW120" s="254"/>
      <c r="EX120" s="254"/>
      <c r="EY120" s="254"/>
      <c r="EZ120" s="254"/>
      <c r="FA120" s="254">
        <f>Konvention_1slave-KOslave</f>
        <v>12</v>
      </c>
      <c r="FB120" s="318"/>
      <c r="FC120" s="223">
        <f>(EU120+EV120+EW120+EX120+EY120+EZ120+FA120+FB120)/3</f>
        <v>12</v>
      </c>
      <c r="FD120" s="223">
        <f t="shared" si="1023"/>
        <v>24</v>
      </c>
      <c r="FE120" s="224">
        <f t="shared" si="1024"/>
        <v>36</v>
      </c>
      <c r="FF120" s="237">
        <f t="shared" si="949"/>
        <v>2304</v>
      </c>
      <c r="FG120" s="254">
        <f>EU120*EV120*KOslave+EU120*KLslave*FA120+MUslave*EV120*FA120</f>
        <v>3456</v>
      </c>
      <c r="FH120" s="224">
        <f t="shared" si="1025"/>
        <v>1728</v>
      </c>
      <c r="FI120" s="224">
        <f>SUM(FF120:FH120)</f>
        <v>7488</v>
      </c>
      <c r="FJ120" s="222">
        <f t="shared" si="1027"/>
        <v>3.6923076923076925</v>
      </c>
      <c r="FK120" s="223">
        <f t="shared" si="1028"/>
        <v>11.076923076923077</v>
      </c>
      <c r="FL120" s="243">
        <f t="shared" si="1029"/>
        <v>8.3076923076923084</v>
      </c>
      <c r="FM120" s="243">
        <f t="shared" si="1030"/>
        <v>23.07692307692308</v>
      </c>
      <c r="FN120" s="252">
        <f t="shared" si="874"/>
        <v>0</v>
      </c>
      <c r="FO120" s="309">
        <f t="shared" si="1031"/>
        <v>23.07692307692308</v>
      </c>
      <c r="FP120" s="218">
        <f>IF(FM120&lt;=0,4,0)+IF(FM120&gt;0,FM120+1,0)*4+IF(FM120&gt;12,FM120-12,0)*4+IF(FM120&gt;13,FM120-13,0)*4+IF(FM120&gt;14,FM120-14,0)*4+IF(FM120&gt;15,FM120-15,0)*4+IF(FM120&gt;16,FM120-16,0)*4+IF(FM120&gt;17,FM120-17,0)*4+IF(FM120&gt;18,FM120-18,0)*4+IF(FM120&gt;19,FM120-19,0)*4+IF(FM120&gt;20,FM120-20,0)*4</f>
        <v>351.07692307692321</v>
      </c>
      <c r="FQ120" s="242">
        <f>IF(FN120&lt;=0,4,0)+IF(FN120&gt;0,FN120+1,0)*4+IF(FN120&gt;12,FN120-12,0)*4+IF(FN120&gt;13,FN120-13,0)*4+IF(FN120&gt;14,FN120-14,0)*4+IF(FN120&gt;15,FN120-15,0)*4+IF(FN120&gt;16,FN120-16,0)*4+IF(FN120&gt;17,FN120-17,0)*4+IF(FN120&gt;18,FN120-18,0)*4+IF(FN120&gt;19,FN120-19,0)*4+IF(FN120&gt;20,FN120-20,0)*4</f>
        <v>4</v>
      </c>
      <c r="FR120" s="243">
        <f t="shared" si="1032"/>
        <v>347.07692307692321</v>
      </c>
      <c r="FS120" s="218">
        <f t="shared" si="1033"/>
        <v>0</v>
      </c>
      <c r="FU120" s="303" t="s">
        <v>365</v>
      </c>
      <c r="FV120" s="304" t="s">
        <v>308</v>
      </c>
      <c r="FW120" s="305" t="s">
        <v>134</v>
      </c>
      <c r="FX120" s="317">
        <f t="shared" si="1088"/>
        <v>12</v>
      </c>
      <c r="FY120" s="254">
        <f>Konvention_1slave-KLslave</f>
        <v>12</v>
      </c>
      <c r="FZ120" s="254"/>
      <c r="GA120" s="254"/>
      <c r="GB120" s="254"/>
      <c r="GC120" s="254"/>
      <c r="GD120" s="254">
        <f>Konvention_1slave-KOslave</f>
        <v>12</v>
      </c>
      <c r="GE120" s="318"/>
      <c r="GF120" s="223">
        <f>(FX120+FY120+FZ120+GA120+GB120+GC120+GD120+GE120)/3</f>
        <v>12</v>
      </c>
      <c r="GG120" s="223">
        <f t="shared" si="1036"/>
        <v>24</v>
      </c>
      <c r="GH120" s="224">
        <f t="shared" si="1037"/>
        <v>36</v>
      </c>
      <c r="GI120" s="237">
        <f t="shared" si="951"/>
        <v>2304</v>
      </c>
      <c r="GJ120" s="254">
        <f>FX120*FY120*KOslave+FX120*KLslave*GD120+MUslave*FY120*GD120</f>
        <v>3456</v>
      </c>
      <c r="GK120" s="224">
        <f t="shared" si="1038"/>
        <v>1728</v>
      </c>
      <c r="GL120" s="224">
        <f>SUM(GI120:GK120)</f>
        <v>7488</v>
      </c>
      <c r="GM120" s="222">
        <f t="shared" si="1040"/>
        <v>3.6923076923076925</v>
      </c>
      <c r="GN120" s="223">
        <f t="shared" si="1041"/>
        <v>11.076923076923077</v>
      </c>
      <c r="GO120" s="243">
        <f t="shared" si="1042"/>
        <v>8.3076923076923084</v>
      </c>
      <c r="GP120" s="243">
        <f t="shared" si="1043"/>
        <v>23.07692307692308</v>
      </c>
      <c r="GQ120" s="252">
        <f t="shared" si="885"/>
        <v>0</v>
      </c>
      <c r="GR120" s="309">
        <f t="shared" si="1044"/>
        <v>23.07692307692308</v>
      </c>
      <c r="GS120" s="218">
        <f>IF(GP120&lt;=0,4,0)+IF(GP120&gt;0,GP120+1,0)*4+IF(GP120&gt;12,GP120-12,0)*4+IF(GP120&gt;13,GP120-13,0)*4+IF(GP120&gt;14,GP120-14,0)*4+IF(GP120&gt;15,GP120-15,0)*4+IF(GP120&gt;16,GP120-16,0)*4+IF(GP120&gt;17,GP120-17,0)*4+IF(GP120&gt;18,GP120-18,0)*4+IF(GP120&gt;19,GP120-19,0)*4+IF(GP120&gt;20,GP120-20,0)*4</f>
        <v>351.07692307692321</v>
      </c>
      <c r="GT120" s="242">
        <f>IF(GQ120&lt;=0,4,0)+IF(GQ120&gt;0,GQ120+1,0)*4+IF(GQ120&gt;12,GQ120-12,0)*4+IF(GQ120&gt;13,GQ120-13,0)*4+IF(GQ120&gt;14,GQ120-14,0)*4+IF(GQ120&gt;15,GQ120-15,0)*4+IF(GQ120&gt;16,GQ120-16,0)*4+IF(GQ120&gt;17,GQ120-17,0)*4+IF(GQ120&gt;18,GQ120-18,0)*4+IF(GQ120&gt;19,GQ120-19,0)*4+IF(GQ120&gt;20,GQ120-20,0)*4</f>
        <v>4</v>
      </c>
      <c r="GU120" s="243">
        <f t="shared" si="1045"/>
        <v>347.07692307692321</v>
      </c>
      <c r="GV120" s="218">
        <f t="shared" si="1046"/>
        <v>0</v>
      </c>
      <c r="GX120" s="303" t="s">
        <v>365</v>
      </c>
      <c r="GY120" s="304" t="s">
        <v>308</v>
      </c>
      <c r="GZ120" s="305" t="s">
        <v>134</v>
      </c>
      <c r="HA120" s="317">
        <f t="shared" si="1089"/>
        <v>12</v>
      </c>
      <c r="HB120" s="254">
        <f>Konvention_1slave-KLslave</f>
        <v>12</v>
      </c>
      <c r="HC120" s="254"/>
      <c r="HD120" s="254"/>
      <c r="HE120" s="254"/>
      <c r="HF120" s="254"/>
      <c r="HG120" s="254">
        <f>Konvention_1slave-KOslave_KO</f>
        <v>11</v>
      </c>
      <c r="HH120" s="318"/>
      <c r="HI120" s="223">
        <f>(HA120+HB120+HC120+HD120+HE120+HF120+HG120+HH120)/3</f>
        <v>11.666666666666666</v>
      </c>
      <c r="HJ120" s="223">
        <f t="shared" si="1049"/>
        <v>23.333333333333332</v>
      </c>
      <c r="HK120" s="224">
        <f t="shared" si="1050"/>
        <v>35</v>
      </c>
      <c r="HL120" s="237">
        <f t="shared" si="953"/>
        <v>2432</v>
      </c>
      <c r="HM120" s="254">
        <f>HA120*HB120*KOslave_KO+HA120*KLslave*HG120+MUslave*HB120*HG120</f>
        <v>3408</v>
      </c>
      <c r="HN120" s="224">
        <f t="shared" si="1051"/>
        <v>1584</v>
      </c>
      <c r="HO120" s="224">
        <f>SUM(HL120:HN120)</f>
        <v>7424</v>
      </c>
      <c r="HP120" s="222">
        <f t="shared" si="1053"/>
        <v>3.8218390804597702</v>
      </c>
      <c r="HQ120" s="223">
        <f t="shared" si="1054"/>
        <v>10.711206896551724</v>
      </c>
      <c r="HR120" s="243">
        <f t="shared" si="1055"/>
        <v>7.4676724137931032</v>
      </c>
      <c r="HS120" s="243">
        <f t="shared" si="1056"/>
        <v>22.000718390804597</v>
      </c>
      <c r="HT120" s="252">
        <f t="shared" si="896"/>
        <v>0</v>
      </c>
      <c r="HU120" s="309">
        <f t="shared" si="1057"/>
        <v>22.000718390804597</v>
      </c>
      <c r="HV120" s="218">
        <f>IF(HS120&lt;=0,4,0)+IF(HS120&gt;0,HS120+1,0)*4+IF(HS120&gt;12,HS120-12,0)*4+IF(HS120&gt;13,HS120-13,0)*4+IF(HS120&gt;14,HS120-14,0)*4+IF(HS120&gt;15,HS120-15,0)*4+IF(HS120&gt;16,HS120-16,0)*4+IF(HS120&gt;17,HS120-17,0)*4+IF(HS120&gt;18,HS120-18,0)*4+IF(HS120&gt;19,HS120-19,0)*4+IF(HS120&gt;20,HS120-20,0)*4</f>
        <v>308.02873563218378</v>
      </c>
      <c r="HW120" s="242">
        <f>IF(HT120&lt;=0,4,0)+IF(HT120&gt;0,HT120+1,0)*4+IF(HT120&gt;12,HT120-12,0)*4+IF(HT120&gt;13,HT120-13,0)*4+IF(HT120&gt;14,HT120-14,0)*4+IF(HT120&gt;15,HT120-15,0)*4+IF(HT120&gt;16,HT120-16,0)*4+IF(HT120&gt;17,HT120-17,0)*4+IF(HT120&gt;18,HT120-18,0)*4+IF(HT120&gt;19,HT120-19,0)*4+IF(HT120&gt;20,HT120-20,0)*4</f>
        <v>4</v>
      </c>
      <c r="HX120" s="243">
        <f t="shared" si="1058"/>
        <v>304.02873563218378</v>
      </c>
      <c r="HY120" s="218">
        <f t="shared" si="1059"/>
        <v>0</v>
      </c>
      <c r="IA120" s="303" t="s">
        <v>365</v>
      </c>
      <c r="IB120" s="304" t="s">
        <v>308</v>
      </c>
      <c r="IC120" s="305" t="s">
        <v>134</v>
      </c>
      <c r="ID120" s="317">
        <f t="shared" si="1090"/>
        <v>12</v>
      </c>
      <c r="IE120" s="254">
        <f>Konvention_1slave-KLslave</f>
        <v>12</v>
      </c>
      <c r="IF120" s="254"/>
      <c r="IG120" s="254"/>
      <c r="IH120" s="254"/>
      <c r="II120" s="254"/>
      <c r="IJ120" s="254">
        <f>Konvention_1slave-KOslave</f>
        <v>12</v>
      </c>
      <c r="IK120" s="318"/>
      <c r="IL120" s="223">
        <f>(ID120+IE120+IF120+IG120+IH120+II120+IJ120+IK120)/3</f>
        <v>12</v>
      </c>
      <c r="IM120" s="223">
        <f t="shared" si="1062"/>
        <v>24</v>
      </c>
      <c r="IN120" s="224">
        <f t="shared" si="1063"/>
        <v>36</v>
      </c>
      <c r="IO120" s="237">
        <f t="shared" si="955"/>
        <v>2304</v>
      </c>
      <c r="IP120" s="254">
        <f>ID120*IE120*KOslave+ID120*KLslave*IJ120+MUslave*IE120*IJ120</f>
        <v>3456</v>
      </c>
      <c r="IQ120" s="224">
        <f t="shared" si="1064"/>
        <v>1728</v>
      </c>
      <c r="IR120" s="224">
        <f>SUM(IO120:IQ120)</f>
        <v>7488</v>
      </c>
      <c r="IS120" s="222">
        <f t="shared" si="1066"/>
        <v>3.6923076923076925</v>
      </c>
      <c r="IT120" s="223">
        <f t="shared" si="1067"/>
        <v>11.076923076923077</v>
      </c>
      <c r="IU120" s="243">
        <f t="shared" si="1068"/>
        <v>8.3076923076923084</v>
      </c>
      <c r="IV120" s="243">
        <f t="shared" si="1069"/>
        <v>23.07692307692308</v>
      </c>
      <c r="IW120" s="252">
        <f t="shared" si="907"/>
        <v>0</v>
      </c>
      <c r="IX120" s="309">
        <f t="shared" si="1070"/>
        <v>23.07692307692308</v>
      </c>
      <c r="IY120" s="218">
        <f>IF(IV120&lt;=0,4,0)+IF(IV120&gt;0,IV120+1,0)*4+IF(IV120&gt;12,IV120-12,0)*4+IF(IV120&gt;13,IV120-13,0)*4+IF(IV120&gt;14,IV120-14,0)*4+IF(IV120&gt;15,IV120-15,0)*4+IF(IV120&gt;16,IV120-16,0)*4+IF(IV120&gt;17,IV120-17,0)*4+IF(IV120&gt;18,IV120-18,0)*4+IF(IV120&gt;19,IV120-19,0)*4+IF(IV120&gt;20,IV120-20,0)*4</f>
        <v>351.07692307692321</v>
      </c>
      <c r="IZ120" s="242">
        <f>IF(IW120&lt;=0,4,0)+IF(IW120&gt;0,IW120+1,0)*4+IF(IW120&gt;12,IW120-12,0)*4+IF(IW120&gt;13,IW120-13,0)*4+IF(IW120&gt;14,IW120-14,0)*4+IF(IW120&gt;15,IW120-15,0)*4+IF(IW120&gt;16,IW120-16,0)*4+IF(IW120&gt;17,IW120-17,0)*4+IF(IW120&gt;18,IW120-18,0)*4+IF(IW120&gt;19,IW120-19,0)*4+IF(IW120&gt;20,IW120-20,0)*4</f>
        <v>4</v>
      </c>
      <c r="JA120" s="243">
        <f t="shared" si="1071"/>
        <v>347.07692307692321</v>
      </c>
      <c r="JB120" s="218">
        <f t="shared" si="1072"/>
        <v>0</v>
      </c>
      <c r="JE120" s="148"/>
    </row>
    <row r="121" spans="2:265" ht="15" hidden="1" customHeight="1" outlineLevel="2">
      <c r="B121" s="148">
        <v>22</v>
      </c>
      <c r="C121" s="303" t="e">
        <f>VLOOKUP(AF121,Attribute!C:T,1,FALSE)</f>
        <v>#N/A</v>
      </c>
      <c r="D121" s="86" t="s">
        <v>87</v>
      </c>
      <c r="E121" s="167" t="s">
        <v>132</v>
      </c>
      <c r="F121" s="120"/>
      <c r="G121" s="117">
        <f>Konvention_1master-KLmaster</f>
        <v>12</v>
      </c>
      <c r="H121" s="117">
        <f>Konvention_1master-INmaster</f>
        <v>12</v>
      </c>
      <c r="I121" s="117">
        <f>Konvention_1master-CHmaster</f>
        <v>12</v>
      </c>
      <c r="J121" s="117"/>
      <c r="K121" s="117"/>
      <c r="L121" s="117"/>
      <c r="M121" s="121"/>
      <c r="N121" s="223">
        <f t="shared" si="957"/>
        <v>12</v>
      </c>
      <c r="O121" s="223">
        <f t="shared" si="958"/>
        <v>24</v>
      </c>
      <c r="P121" s="224">
        <f t="shared" si="959"/>
        <v>36</v>
      </c>
      <c r="Q121" s="237">
        <f t="shared" si="960"/>
        <v>2304</v>
      </c>
      <c r="R121" s="117">
        <f>G121*H121*CHmaster+G121*INmaster*I121+KLmaster*H121*I121</f>
        <v>3456</v>
      </c>
      <c r="S121" s="224">
        <f t="shared" si="939"/>
        <v>1728</v>
      </c>
      <c r="T121" s="224">
        <f t="shared" si="1091"/>
        <v>7488</v>
      </c>
      <c r="U121" s="222">
        <f t="shared" si="962"/>
        <v>3.6923076923076925</v>
      </c>
      <c r="V121" s="223">
        <f t="shared" si="963"/>
        <v>11.076923076923077</v>
      </c>
      <c r="W121" s="243">
        <f t="shared" si="964"/>
        <v>8.3076923076923084</v>
      </c>
      <c r="X121" s="243">
        <f t="shared" si="965"/>
        <v>23.07692307692308</v>
      </c>
      <c r="Y121" s="252">
        <v>0</v>
      </c>
      <c r="Z121" s="198">
        <f t="shared" si="966"/>
        <v>23.07692307692308</v>
      </c>
      <c r="AA121" s="125">
        <f>IF(X121&lt;=0,2,0)+IF(X121&gt;0,X121+1,0)*2+IF(X121&gt;12,X121-12,0)*2+IF(X121&gt;13,X121-13,0)*2+IF(X121&gt;14,X121-14,0)*2+IF(X121&gt;15,X121-15,0)*2+IF(X121&gt;16,X121-16,0)*2+IF(X121&gt;17,X121-17,0)*2+IF(X121&gt;18,X121-18,0)*2+IF(X121&gt;19,X121-19,0)*2+IF(X121&gt;20,X121-20,0)*2</f>
        <v>175.5384615384616</v>
      </c>
      <c r="AB121" s="160">
        <f>IF(Y121&lt;=0,2,0)+IF(Y121&gt;0,Y121+1,0)*2+IF(Y121&gt;12,Y121-12,0)*2+IF(Y121&gt;13,Y121-13,0)*2+IF(Y121&gt;14,Y121-14,0)*2+IF(Y121&gt;15,Y121-15,0)*2+IF(Y121&gt;16,Y121-16,0)*2+IF(Y121&gt;17,Y121-17,0)*2+IF(Y121&gt;18,Y121-18,0)*2+IF(Y121&gt;19,Y121-19,0)*2+IF(Y121&gt;20,Y121-20,0)*2</f>
        <v>2</v>
      </c>
      <c r="AC121" s="127">
        <f t="shared" si="967"/>
        <v>173.5384615384616</v>
      </c>
      <c r="AD121" s="125">
        <f t="shared" si="968"/>
        <v>0</v>
      </c>
      <c r="AF121" s="163" t="s">
        <v>290</v>
      </c>
      <c r="AG121" s="86" t="s">
        <v>87</v>
      </c>
      <c r="AH121" s="167" t="s">
        <v>132</v>
      </c>
      <c r="AI121" s="120"/>
      <c r="AJ121" s="117">
        <f>Konvention_1slave-KLslave</f>
        <v>12</v>
      </c>
      <c r="AK121" s="117">
        <f>Konvention_1slave-INslave</f>
        <v>12</v>
      </c>
      <c r="AL121" s="117">
        <f>Konvention_1slave-CHslave</f>
        <v>12</v>
      </c>
      <c r="AM121" s="117"/>
      <c r="AN121" s="117"/>
      <c r="AO121" s="117"/>
      <c r="AP121" s="121"/>
      <c r="AQ121" s="47">
        <f t="shared" si="970"/>
        <v>12</v>
      </c>
      <c r="AR121" s="3">
        <f t="shared" si="971"/>
        <v>24</v>
      </c>
      <c r="AS121" s="174">
        <f t="shared" si="972"/>
        <v>36</v>
      </c>
      <c r="AT121" s="114">
        <f t="shared" si="941"/>
        <v>2304</v>
      </c>
      <c r="AU121" s="117">
        <f>AJ121*AK121*CHslave+AJ121*INslave*AL121+KLslave*AK121*AL121</f>
        <v>3456</v>
      </c>
      <c r="AV121" s="119">
        <f t="shared" si="973"/>
        <v>1728</v>
      </c>
      <c r="AW121" s="119">
        <f t="shared" si="1092"/>
        <v>7488</v>
      </c>
      <c r="AX121" s="89">
        <f t="shared" si="975"/>
        <v>3.6923076923076925</v>
      </c>
      <c r="AY121" s="47">
        <f t="shared" si="976"/>
        <v>11.076923076923077</v>
      </c>
      <c r="AZ121" s="127">
        <f t="shared" si="977"/>
        <v>8.3076923076923084</v>
      </c>
      <c r="BA121" s="127">
        <f t="shared" si="978"/>
        <v>23.07692307692308</v>
      </c>
      <c r="BB121" s="165">
        <f t="shared" si="830"/>
        <v>0</v>
      </c>
      <c r="BC121" s="198">
        <f t="shared" si="979"/>
        <v>23.07692307692308</v>
      </c>
      <c r="BD121" s="125">
        <f>IF(BA121&lt;=0,2,0)+IF(BA121&gt;0,BA121+1,0)*2+IF(BA121&gt;12,BA121-12,0)*2+IF(BA121&gt;13,BA121-13,0)*2+IF(BA121&gt;14,BA121-14,0)*2+IF(BA121&gt;15,BA121-15,0)*2+IF(BA121&gt;16,BA121-16,0)*2+IF(BA121&gt;17,BA121-17,0)*2+IF(BA121&gt;18,BA121-18,0)*2+IF(BA121&gt;19,BA121-19,0)*2+IF(BA121&gt;20,BA121-20,0)*2</f>
        <v>175.5384615384616</v>
      </c>
      <c r="BE121" s="160">
        <f>IF(BB121&lt;=0,2,0)+IF(BB121&gt;0,BB121+1,0)*2+IF(BB121&gt;12,BB121-12,0)*2+IF(BB121&gt;13,BB121-13,0)*2+IF(BB121&gt;14,BB121-14,0)*2+IF(BB121&gt;15,BB121-15,0)*2+IF(BB121&gt;16,BB121-16,0)*2+IF(BB121&gt;17,BB121-17,0)*2+IF(BB121&gt;18,BB121-18,0)*2+IF(BB121&gt;19,BB121-19,0)*2+IF(BB121&gt;20,BB121-20,0)*2</f>
        <v>2</v>
      </c>
      <c r="BF121" s="243">
        <f t="shared" si="980"/>
        <v>173.5384615384616</v>
      </c>
      <c r="BG121" s="218">
        <f t="shared" si="981"/>
        <v>0</v>
      </c>
      <c r="BI121" s="303" t="s">
        <v>290</v>
      </c>
      <c r="BJ121" s="304" t="s">
        <v>87</v>
      </c>
      <c r="BK121" s="305" t="s">
        <v>132</v>
      </c>
      <c r="BL121" s="317"/>
      <c r="BM121" s="254">
        <f>Konvention_1slave-KLslave_KL</f>
        <v>11</v>
      </c>
      <c r="BN121" s="254">
        <f>Konvention_1slave-INslave</f>
        <v>12</v>
      </c>
      <c r="BO121" s="254">
        <f>Konvention_1slave-CHslave</f>
        <v>12</v>
      </c>
      <c r="BP121" s="254"/>
      <c r="BQ121" s="254"/>
      <c r="BR121" s="254"/>
      <c r="BS121" s="318"/>
      <c r="BT121" s="223">
        <f t="shared" si="983"/>
        <v>11.666666666666666</v>
      </c>
      <c r="BU121" s="223">
        <f t="shared" si="984"/>
        <v>23.333333333333332</v>
      </c>
      <c r="BV121" s="224">
        <f t="shared" si="985"/>
        <v>35</v>
      </c>
      <c r="BW121" s="237">
        <f t="shared" si="943"/>
        <v>2432</v>
      </c>
      <c r="BX121" s="254">
        <f>BM121*BN121*CHslave+BM121*INslave*BO121+KLslave_KL*BN121*BO121</f>
        <v>3408</v>
      </c>
      <c r="BY121" s="224">
        <f t="shared" si="986"/>
        <v>1584</v>
      </c>
      <c r="BZ121" s="224">
        <f t="shared" si="1093"/>
        <v>7424</v>
      </c>
      <c r="CA121" s="222">
        <f t="shared" si="988"/>
        <v>3.8218390804597702</v>
      </c>
      <c r="CB121" s="223">
        <f t="shared" si="989"/>
        <v>10.711206896551724</v>
      </c>
      <c r="CC121" s="243">
        <f t="shared" si="990"/>
        <v>7.4676724137931032</v>
      </c>
      <c r="CD121" s="243">
        <f t="shared" si="991"/>
        <v>22.000718390804597</v>
      </c>
      <c r="CE121" s="252">
        <f t="shared" si="841"/>
        <v>0</v>
      </c>
      <c r="CF121" s="309">
        <f t="shared" si="992"/>
        <v>22.000718390804597</v>
      </c>
      <c r="CG121" s="218">
        <f>IF(CD121&lt;=0,2,0)+IF(CD121&gt;0,CD121+1,0)*2+IF(CD121&gt;12,CD121-12,0)*2+IF(CD121&gt;13,CD121-13,0)*2+IF(CD121&gt;14,CD121-14,0)*2+IF(CD121&gt;15,CD121-15,0)*2+IF(CD121&gt;16,CD121-16,0)*2+IF(CD121&gt;17,CD121-17,0)*2+IF(CD121&gt;18,CD121-18,0)*2+IF(CD121&gt;19,CD121-19,0)*2+IF(CD121&gt;20,CD121-20,0)*2</f>
        <v>154.01436781609189</v>
      </c>
      <c r="CH121" s="242">
        <f>IF(CE121&lt;=0,2,0)+IF(CE121&gt;0,CE121+1,0)*2+IF(CE121&gt;12,CE121-12,0)*2+IF(CE121&gt;13,CE121-13,0)*2+IF(CE121&gt;14,CE121-14,0)*2+IF(CE121&gt;15,CE121-15,0)*2+IF(CE121&gt;16,CE121-16,0)*2+IF(CE121&gt;17,CE121-17,0)*2+IF(CE121&gt;18,CE121-18,0)*2+IF(CE121&gt;19,CE121-19,0)*2+IF(CE121&gt;20,CE121-20,0)*2</f>
        <v>2</v>
      </c>
      <c r="CI121" s="243">
        <f t="shared" si="993"/>
        <v>152.01436781609189</v>
      </c>
      <c r="CJ121" s="218">
        <f t="shared" si="994"/>
        <v>0</v>
      </c>
      <c r="CL121" s="303" t="s">
        <v>290</v>
      </c>
      <c r="CM121" s="304" t="s">
        <v>87</v>
      </c>
      <c r="CN121" s="305" t="s">
        <v>132</v>
      </c>
      <c r="CO121" s="317"/>
      <c r="CP121" s="254">
        <f>Konvention_1slave-KLslave</f>
        <v>12</v>
      </c>
      <c r="CQ121" s="254">
        <f>Konvention_1slave-INslave_IN</f>
        <v>11</v>
      </c>
      <c r="CR121" s="254">
        <f>Konvention_1slave-CHslave</f>
        <v>12</v>
      </c>
      <c r="CS121" s="254"/>
      <c r="CT121" s="254"/>
      <c r="CU121" s="254"/>
      <c r="CV121" s="318"/>
      <c r="CW121" s="223">
        <f t="shared" si="996"/>
        <v>11.666666666666666</v>
      </c>
      <c r="CX121" s="223">
        <f t="shared" si="997"/>
        <v>23.333333333333332</v>
      </c>
      <c r="CY121" s="224">
        <f t="shared" si="998"/>
        <v>35</v>
      </c>
      <c r="CZ121" s="237">
        <f t="shared" si="945"/>
        <v>2432</v>
      </c>
      <c r="DA121" s="254">
        <f>CP121*CQ121*CHslave+CP121*INslave_IN*CR121+KLslave*CQ121*CR121</f>
        <v>3408</v>
      </c>
      <c r="DB121" s="224">
        <f t="shared" si="999"/>
        <v>1584</v>
      </c>
      <c r="DC121" s="224">
        <f t="shared" si="1094"/>
        <v>7424</v>
      </c>
      <c r="DD121" s="222">
        <f t="shared" si="1001"/>
        <v>3.8218390804597702</v>
      </c>
      <c r="DE121" s="223">
        <f t="shared" si="1002"/>
        <v>10.711206896551724</v>
      </c>
      <c r="DF121" s="243">
        <f t="shared" si="1003"/>
        <v>7.4676724137931032</v>
      </c>
      <c r="DG121" s="243">
        <f t="shared" si="1004"/>
        <v>22.000718390804597</v>
      </c>
      <c r="DH121" s="252">
        <f t="shared" si="852"/>
        <v>0</v>
      </c>
      <c r="DI121" s="309">
        <f t="shared" si="1005"/>
        <v>22.000718390804597</v>
      </c>
      <c r="DJ121" s="218">
        <f>IF(DG121&lt;=0,2,0)+IF(DG121&gt;0,DG121+1,0)*2+IF(DG121&gt;12,DG121-12,0)*2+IF(DG121&gt;13,DG121-13,0)*2+IF(DG121&gt;14,DG121-14,0)*2+IF(DG121&gt;15,DG121-15,0)*2+IF(DG121&gt;16,DG121-16,0)*2+IF(DG121&gt;17,DG121-17,0)*2+IF(DG121&gt;18,DG121-18,0)*2+IF(DG121&gt;19,DG121-19,0)*2+IF(DG121&gt;20,DG121-20,0)*2</f>
        <v>154.01436781609189</v>
      </c>
      <c r="DK121" s="242">
        <f>IF(DH121&lt;=0,2,0)+IF(DH121&gt;0,DH121+1,0)*2+IF(DH121&gt;12,DH121-12,0)*2+IF(DH121&gt;13,DH121-13,0)*2+IF(DH121&gt;14,DH121-14,0)*2+IF(DH121&gt;15,DH121-15,0)*2+IF(DH121&gt;16,DH121-16,0)*2+IF(DH121&gt;17,DH121-17,0)*2+IF(DH121&gt;18,DH121-18,0)*2+IF(DH121&gt;19,DH121-19,0)*2+IF(DH121&gt;20,DH121-20,0)*2</f>
        <v>2</v>
      </c>
      <c r="DL121" s="243">
        <f t="shared" si="1006"/>
        <v>152.01436781609189</v>
      </c>
      <c r="DM121" s="218">
        <f t="shared" si="1007"/>
        <v>0</v>
      </c>
      <c r="DO121" s="303" t="s">
        <v>290</v>
      </c>
      <c r="DP121" s="304" t="s">
        <v>87</v>
      </c>
      <c r="DQ121" s="305" t="s">
        <v>132</v>
      </c>
      <c r="DR121" s="317"/>
      <c r="DS121" s="254">
        <f>Konvention_1slave-KLslave</f>
        <v>12</v>
      </c>
      <c r="DT121" s="254">
        <f>Konvention_1slave-INslave</f>
        <v>12</v>
      </c>
      <c r="DU121" s="254">
        <f>Konvention_1slave-CHslave_CH</f>
        <v>11</v>
      </c>
      <c r="DV121" s="254"/>
      <c r="DW121" s="254"/>
      <c r="DX121" s="254"/>
      <c r="DY121" s="318"/>
      <c r="DZ121" s="223">
        <f t="shared" si="1009"/>
        <v>11.666666666666666</v>
      </c>
      <c r="EA121" s="223">
        <f t="shared" si="1010"/>
        <v>23.333333333333332</v>
      </c>
      <c r="EB121" s="224">
        <f t="shared" si="1011"/>
        <v>35</v>
      </c>
      <c r="EC121" s="237">
        <f t="shared" si="947"/>
        <v>2432</v>
      </c>
      <c r="ED121" s="254">
        <f>DS121*DT121*CHslave_CH+DS121*INslave*DU121+KLslave*DT121*DU121</f>
        <v>3408</v>
      </c>
      <c r="EE121" s="224">
        <f t="shared" si="1012"/>
        <v>1584</v>
      </c>
      <c r="EF121" s="224">
        <f t="shared" si="1095"/>
        <v>7424</v>
      </c>
      <c r="EG121" s="222">
        <f t="shared" si="1014"/>
        <v>3.8218390804597702</v>
      </c>
      <c r="EH121" s="223">
        <f t="shared" si="1015"/>
        <v>10.711206896551724</v>
      </c>
      <c r="EI121" s="243">
        <f t="shared" si="1016"/>
        <v>7.4676724137931032</v>
      </c>
      <c r="EJ121" s="243">
        <f t="shared" si="1017"/>
        <v>22.000718390804597</v>
      </c>
      <c r="EK121" s="252">
        <f t="shared" si="863"/>
        <v>0</v>
      </c>
      <c r="EL121" s="309">
        <f t="shared" si="1018"/>
        <v>22.000718390804597</v>
      </c>
      <c r="EM121" s="218">
        <f>IF(EJ121&lt;=0,2,0)+IF(EJ121&gt;0,EJ121+1,0)*2+IF(EJ121&gt;12,EJ121-12,0)*2+IF(EJ121&gt;13,EJ121-13,0)*2+IF(EJ121&gt;14,EJ121-14,0)*2+IF(EJ121&gt;15,EJ121-15,0)*2+IF(EJ121&gt;16,EJ121-16,0)*2+IF(EJ121&gt;17,EJ121-17,0)*2+IF(EJ121&gt;18,EJ121-18,0)*2+IF(EJ121&gt;19,EJ121-19,0)*2+IF(EJ121&gt;20,EJ121-20,0)*2</f>
        <v>154.01436781609189</v>
      </c>
      <c r="EN121" s="242">
        <f>IF(EK121&lt;=0,2,0)+IF(EK121&gt;0,EK121+1,0)*2+IF(EK121&gt;12,EK121-12,0)*2+IF(EK121&gt;13,EK121-13,0)*2+IF(EK121&gt;14,EK121-14,0)*2+IF(EK121&gt;15,EK121-15,0)*2+IF(EK121&gt;16,EK121-16,0)*2+IF(EK121&gt;17,EK121-17,0)*2+IF(EK121&gt;18,EK121-18,0)*2+IF(EK121&gt;19,EK121-19,0)*2+IF(EK121&gt;20,EK121-20,0)*2</f>
        <v>2</v>
      </c>
      <c r="EO121" s="243">
        <f t="shared" si="1019"/>
        <v>152.01436781609189</v>
      </c>
      <c r="EP121" s="218">
        <f t="shared" si="1020"/>
        <v>0</v>
      </c>
      <c r="ER121" s="303" t="s">
        <v>290</v>
      </c>
      <c r="ES121" s="304" t="s">
        <v>87</v>
      </c>
      <c r="ET121" s="305" t="s">
        <v>132</v>
      </c>
      <c r="EU121" s="317"/>
      <c r="EV121" s="254">
        <f>Konvention_1slave-KLslave</f>
        <v>12</v>
      </c>
      <c r="EW121" s="254">
        <f>Konvention_1slave-INslave</f>
        <v>12</v>
      </c>
      <c r="EX121" s="254">
        <f>Konvention_1slave-CHslave</f>
        <v>12</v>
      </c>
      <c r="EY121" s="254"/>
      <c r="EZ121" s="254"/>
      <c r="FA121" s="254"/>
      <c r="FB121" s="318"/>
      <c r="FC121" s="223">
        <f t="shared" si="1022"/>
        <v>12</v>
      </c>
      <c r="FD121" s="223">
        <f t="shared" si="1023"/>
        <v>24</v>
      </c>
      <c r="FE121" s="224">
        <f t="shared" si="1024"/>
        <v>36</v>
      </c>
      <c r="FF121" s="237">
        <f t="shared" si="949"/>
        <v>2304</v>
      </c>
      <c r="FG121" s="254">
        <f>EV121*EW121*CHslave+EV121*INslave*EX121+KLslave*EW121*EX121</f>
        <v>3456</v>
      </c>
      <c r="FH121" s="224">
        <f t="shared" si="1025"/>
        <v>1728</v>
      </c>
      <c r="FI121" s="224">
        <f t="shared" si="1096"/>
        <v>7488</v>
      </c>
      <c r="FJ121" s="222">
        <f t="shared" si="1027"/>
        <v>3.6923076923076925</v>
      </c>
      <c r="FK121" s="223">
        <f t="shared" si="1028"/>
        <v>11.076923076923077</v>
      </c>
      <c r="FL121" s="243">
        <f t="shared" si="1029"/>
        <v>8.3076923076923084</v>
      </c>
      <c r="FM121" s="243">
        <f t="shared" si="1030"/>
        <v>23.07692307692308</v>
      </c>
      <c r="FN121" s="252">
        <f t="shared" si="874"/>
        <v>0</v>
      </c>
      <c r="FO121" s="309">
        <f t="shared" si="1031"/>
        <v>23.07692307692308</v>
      </c>
      <c r="FP121" s="218">
        <f>IF(FM121&lt;=0,2,0)+IF(FM121&gt;0,FM121+1,0)*2+IF(FM121&gt;12,FM121-12,0)*2+IF(FM121&gt;13,FM121-13,0)*2+IF(FM121&gt;14,FM121-14,0)*2+IF(FM121&gt;15,FM121-15,0)*2+IF(FM121&gt;16,FM121-16,0)*2+IF(FM121&gt;17,FM121-17,0)*2+IF(FM121&gt;18,FM121-18,0)*2+IF(FM121&gt;19,FM121-19,0)*2+IF(FM121&gt;20,FM121-20,0)*2</f>
        <v>175.5384615384616</v>
      </c>
      <c r="FQ121" s="242">
        <f>IF(FN121&lt;=0,2,0)+IF(FN121&gt;0,FN121+1,0)*2+IF(FN121&gt;12,FN121-12,0)*2+IF(FN121&gt;13,FN121-13,0)*2+IF(FN121&gt;14,FN121-14,0)*2+IF(FN121&gt;15,FN121-15,0)*2+IF(FN121&gt;16,FN121-16,0)*2+IF(FN121&gt;17,FN121-17,0)*2+IF(FN121&gt;18,FN121-18,0)*2+IF(FN121&gt;19,FN121-19,0)*2+IF(FN121&gt;20,FN121-20,0)*2</f>
        <v>2</v>
      </c>
      <c r="FR121" s="243">
        <f t="shared" si="1032"/>
        <v>173.5384615384616</v>
      </c>
      <c r="FS121" s="218">
        <f t="shared" si="1033"/>
        <v>0</v>
      </c>
      <c r="FU121" s="303" t="s">
        <v>290</v>
      </c>
      <c r="FV121" s="304" t="s">
        <v>87</v>
      </c>
      <c r="FW121" s="305" t="s">
        <v>132</v>
      </c>
      <c r="FX121" s="317"/>
      <c r="FY121" s="254">
        <f>Konvention_1slave-KLslave</f>
        <v>12</v>
      </c>
      <c r="FZ121" s="254">
        <f>Konvention_1slave-INslave</f>
        <v>12</v>
      </c>
      <c r="GA121" s="254">
        <f>Konvention_1slave-CHslave</f>
        <v>12</v>
      </c>
      <c r="GB121" s="254"/>
      <c r="GC121" s="254"/>
      <c r="GD121" s="254"/>
      <c r="GE121" s="318"/>
      <c r="GF121" s="223">
        <f t="shared" si="1035"/>
        <v>12</v>
      </c>
      <c r="GG121" s="223">
        <f t="shared" si="1036"/>
        <v>24</v>
      </c>
      <c r="GH121" s="224">
        <f t="shared" si="1037"/>
        <v>36</v>
      </c>
      <c r="GI121" s="237">
        <f t="shared" si="951"/>
        <v>2304</v>
      </c>
      <c r="GJ121" s="254">
        <f>FY121*FZ121*CHslave+FY121*INslave*GA121+KLslave*FZ121*GA121</f>
        <v>3456</v>
      </c>
      <c r="GK121" s="224">
        <f t="shared" si="1038"/>
        <v>1728</v>
      </c>
      <c r="GL121" s="224">
        <f t="shared" si="1097"/>
        <v>7488</v>
      </c>
      <c r="GM121" s="222">
        <f t="shared" si="1040"/>
        <v>3.6923076923076925</v>
      </c>
      <c r="GN121" s="223">
        <f t="shared" si="1041"/>
        <v>11.076923076923077</v>
      </c>
      <c r="GO121" s="243">
        <f t="shared" si="1042"/>
        <v>8.3076923076923084</v>
      </c>
      <c r="GP121" s="243">
        <f t="shared" si="1043"/>
        <v>23.07692307692308</v>
      </c>
      <c r="GQ121" s="252">
        <f t="shared" si="885"/>
        <v>0</v>
      </c>
      <c r="GR121" s="309">
        <f t="shared" si="1044"/>
        <v>23.07692307692308</v>
      </c>
      <c r="GS121" s="218">
        <f>IF(GP121&lt;=0,2,0)+IF(GP121&gt;0,GP121+1,0)*2+IF(GP121&gt;12,GP121-12,0)*2+IF(GP121&gt;13,GP121-13,0)*2+IF(GP121&gt;14,GP121-14,0)*2+IF(GP121&gt;15,GP121-15,0)*2+IF(GP121&gt;16,GP121-16,0)*2+IF(GP121&gt;17,GP121-17,0)*2+IF(GP121&gt;18,GP121-18,0)*2+IF(GP121&gt;19,GP121-19,0)*2+IF(GP121&gt;20,GP121-20,0)*2</f>
        <v>175.5384615384616</v>
      </c>
      <c r="GT121" s="242">
        <f>IF(GQ121&lt;=0,2,0)+IF(GQ121&gt;0,GQ121+1,0)*2+IF(GQ121&gt;12,GQ121-12,0)*2+IF(GQ121&gt;13,GQ121-13,0)*2+IF(GQ121&gt;14,GQ121-14,0)*2+IF(GQ121&gt;15,GQ121-15,0)*2+IF(GQ121&gt;16,GQ121-16,0)*2+IF(GQ121&gt;17,GQ121-17,0)*2+IF(GQ121&gt;18,GQ121-18,0)*2+IF(GQ121&gt;19,GQ121-19,0)*2+IF(GQ121&gt;20,GQ121-20,0)*2</f>
        <v>2</v>
      </c>
      <c r="GU121" s="243">
        <f t="shared" si="1045"/>
        <v>173.5384615384616</v>
      </c>
      <c r="GV121" s="218">
        <f t="shared" si="1046"/>
        <v>0</v>
      </c>
      <c r="GX121" s="303" t="s">
        <v>290</v>
      </c>
      <c r="GY121" s="304" t="s">
        <v>87</v>
      </c>
      <c r="GZ121" s="305" t="s">
        <v>132</v>
      </c>
      <c r="HA121" s="317"/>
      <c r="HB121" s="254">
        <f>Konvention_1slave-KLslave</f>
        <v>12</v>
      </c>
      <c r="HC121" s="254">
        <f>Konvention_1slave-INslave</f>
        <v>12</v>
      </c>
      <c r="HD121" s="254">
        <f>Konvention_1slave-CHslave</f>
        <v>12</v>
      </c>
      <c r="HE121" s="254"/>
      <c r="HF121" s="254"/>
      <c r="HG121" s="254"/>
      <c r="HH121" s="318"/>
      <c r="HI121" s="223">
        <f t="shared" si="1048"/>
        <v>12</v>
      </c>
      <c r="HJ121" s="223">
        <f t="shared" si="1049"/>
        <v>24</v>
      </c>
      <c r="HK121" s="224">
        <f t="shared" si="1050"/>
        <v>36</v>
      </c>
      <c r="HL121" s="237">
        <f t="shared" si="953"/>
        <v>2304</v>
      </c>
      <c r="HM121" s="254">
        <f>HB121*HC121*CHslave+HB121*INslave*HD121+KLslave*HC121*HD121</f>
        <v>3456</v>
      </c>
      <c r="HN121" s="224">
        <f t="shared" si="1051"/>
        <v>1728</v>
      </c>
      <c r="HO121" s="224">
        <f t="shared" si="1098"/>
        <v>7488</v>
      </c>
      <c r="HP121" s="222">
        <f t="shared" si="1053"/>
        <v>3.6923076923076925</v>
      </c>
      <c r="HQ121" s="223">
        <f t="shared" si="1054"/>
        <v>11.076923076923077</v>
      </c>
      <c r="HR121" s="243">
        <f t="shared" si="1055"/>
        <v>8.3076923076923084</v>
      </c>
      <c r="HS121" s="243">
        <f t="shared" si="1056"/>
        <v>23.07692307692308</v>
      </c>
      <c r="HT121" s="252">
        <f t="shared" si="896"/>
        <v>0</v>
      </c>
      <c r="HU121" s="309">
        <f t="shared" si="1057"/>
        <v>23.07692307692308</v>
      </c>
      <c r="HV121" s="218">
        <f>IF(HS121&lt;=0,2,0)+IF(HS121&gt;0,HS121+1,0)*2+IF(HS121&gt;12,HS121-12,0)*2+IF(HS121&gt;13,HS121-13,0)*2+IF(HS121&gt;14,HS121-14,0)*2+IF(HS121&gt;15,HS121-15,0)*2+IF(HS121&gt;16,HS121-16,0)*2+IF(HS121&gt;17,HS121-17,0)*2+IF(HS121&gt;18,HS121-18,0)*2+IF(HS121&gt;19,HS121-19,0)*2+IF(HS121&gt;20,HS121-20,0)*2</f>
        <v>175.5384615384616</v>
      </c>
      <c r="HW121" s="242">
        <f>IF(HT121&lt;=0,2,0)+IF(HT121&gt;0,HT121+1,0)*2+IF(HT121&gt;12,HT121-12,0)*2+IF(HT121&gt;13,HT121-13,0)*2+IF(HT121&gt;14,HT121-14,0)*2+IF(HT121&gt;15,HT121-15,0)*2+IF(HT121&gt;16,HT121-16,0)*2+IF(HT121&gt;17,HT121-17,0)*2+IF(HT121&gt;18,HT121-18,0)*2+IF(HT121&gt;19,HT121-19,0)*2+IF(HT121&gt;20,HT121-20,0)*2</f>
        <v>2</v>
      </c>
      <c r="HX121" s="243">
        <f t="shared" si="1058"/>
        <v>173.5384615384616</v>
      </c>
      <c r="HY121" s="218">
        <f t="shared" si="1059"/>
        <v>0</v>
      </c>
      <c r="IA121" s="303" t="s">
        <v>290</v>
      </c>
      <c r="IB121" s="304" t="s">
        <v>87</v>
      </c>
      <c r="IC121" s="305" t="s">
        <v>132</v>
      </c>
      <c r="ID121" s="317"/>
      <c r="IE121" s="254">
        <f>Konvention_1slave-KLslave</f>
        <v>12</v>
      </c>
      <c r="IF121" s="254">
        <f>Konvention_1slave-INslave</f>
        <v>12</v>
      </c>
      <c r="IG121" s="254">
        <f>Konvention_1slave-CHslave</f>
        <v>12</v>
      </c>
      <c r="IH121" s="254"/>
      <c r="II121" s="254"/>
      <c r="IJ121" s="254"/>
      <c r="IK121" s="318"/>
      <c r="IL121" s="223">
        <f t="shared" si="1061"/>
        <v>12</v>
      </c>
      <c r="IM121" s="223">
        <f t="shared" si="1062"/>
        <v>24</v>
      </c>
      <c r="IN121" s="224">
        <f t="shared" si="1063"/>
        <v>36</v>
      </c>
      <c r="IO121" s="237">
        <f t="shared" si="955"/>
        <v>2304</v>
      </c>
      <c r="IP121" s="254">
        <f>IE121*IF121*CHslave+IE121*INslave*IG121+KLslave*IF121*IG121</f>
        <v>3456</v>
      </c>
      <c r="IQ121" s="224">
        <f t="shared" si="1064"/>
        <v>1728</v>
      </c>
      <c r="IR121" s="224">
        <f t="shared" si="1099"/>
        <v>7488</v>
      </c>
      <c r="IS121" s="222">
        <f t="shared" si="1066"/>
        <v>3.6923076923076925</v>
      </c>
      <c r="IT121" s="223">
        <f t="shared" si="1067"/>
        <v>11.076923076923077</v>
      </c>
      <c r="IU121" s="243">
        <f t="shared" si="1068"/>
        <v>8.3076923076923084</v>
      </c>
      <c r="IV121" s="243">
        <f t="shared" si="1069"/>
        <v>23.07692307692308</v>
      </c>
      <c r="IW121" s="252">
        <f t="shared" si="907"/>
        <v>0</v>
      </c>
      <c r="IX121" s="309">
        <f t="shared" si="1070"/>
        <v>23.07692307692308</v>
      </c>
      <c r="IY121" s="218">
        <f>IF(IV121&lt;=0,2,0)+IF(IV121&gt;0,IV121+1,0)*2+IF(IV121&gt;12,IV121-12,0)*2+IF(IV121&gt;13,IV121-13,0)*2+IF(IV121&gt;14,IV121-14,0)*2+IF(IV121&gt;15,IV121-15,0)*2+IF(IV121&gt;16,IV121-16,0)*2+IF(IV121&gt;17,IV121-17,0)*2+IF(IV121&gt;18,IV121-18,0)*2+IF(IV121&gt;19,IV121-19,0)*2+IF(IV121&gt;20,IV121-20,0)*2</f>
        <v>175.5384615384616</v>
      </c>
      <c r="IZ121" s="242">
        <f>IF(IW121&lt;=0,2,0)+IF(IW121&gt;0,IW121+1,0)*2+IF(IW121&gt;12,IW121-12,0)*2+IF(IW121&gt;13,IW121-13,0)*2+IF(IW121&gt;14,IW121-14,0)*2+IF(IW121&gt;15,IW121-15,0)*2+IF(IW121&gt;16,IW121-16,0)*2+IF(IW121&gt;17,IW121-17,0)*2+IF(IW121&gt;18,IW121-18,0)*2+IF(IW121&gt;19,IW121-19,0)*2+IF(IW121&gt;20,IW121-20,0)*2</f>
        <v>2</v>
      </c>
      <c r="JA121" s="243">
        <f t="shared" si="1071"/>
        <v>173.5384615384616</v>
      </c>
      <c r="JB121" s="218">
        <f t="shared" si="1072"/>
        <v>0</v>
      </c>
      <c r="JE121" s="148"/>
    </row>
    <row r="122" spans="2:265" ht="15" hidden="1" customHeight="1" outlineLevel="2">
      <c r="B122" s="148">
        <v>23</v>
      </c>
      <c r="C122" s="303" t="e">
        <f>VLOOKUP(AF122,Attribute!C:T,1,FALSE)</f>
        <v>#N/A</v>
      </c>
      <c r="D122" s="86" t="s">
        <v>172</v>
      </c>
      <c r="E122" s="127" t="s">
        <v>132</v>
      </c>
      <c r="F122" s="114">
        <f>Konvention_1master-MUmaster</f>
        <v>12</v>
      </c>
      <c r="G122" s="113"/>
      <c r="H122" s="113"/>
      <c r="I122" s="113">
        <f>Konvention_1master-CHmaster</f>
        <v>12</v>
      </c>
      <c r="J122" s="113"/>
      <c r="K122" s="113">
        <f>Konvention_1master-GEmaster</f>
        <v>12</v>
      </c>
      <c r="L122" s="113"/>
      <c r="M122" s="119"/>
      <c r="N122" s="223">
        <f>(F122+G122+H122+I122+J122+K122+L122+M122)/3</f>
        <v>12</v>
      </c>
      <c r="O122" s="223">
        <f>2*N122</f>
        <v>24</v>
      </c>
      <c r="P122" s="224">
        <f>3*N122</f>
        <v>36</v>
      </c>
      <c r="Q122" s="237">
        <f>F122*POWER(KLmaster,SIGN(G122))*POWER(INmaster,SIGN(H122))*POWER(CHmaster,SIGN(I122))*POWER(FFmaster,SIGN(J122))*POWER(GEmaster,SIGN(K122))*POWER(KOmaster,SIGN(L122))*POWER(KKmaster,SIGN(M122))+G122*POWER(MUmaster,SIGN(F122))*POWER(INmaster,SIGN(H122))*POWER(CHmaster,SIGN(I122))*POWER(FFmaster,SIGN(J122))*POWER(GEmaster,SIGN(K122))*POWER(KOmaster,SIGN(L122))*POWER(KKmaster,SIGN(M122))+H122*POWER(MUmaster,SIGN(F122))*POWER(KLmaster,SIGN(G122))*POWER(CHmaster,SIGN(I122))*POWER(FFmaster,SIGN(J122))*POWER(GEmaster,SIGN(K122))*POWER(KOmaster,SIGN(L122))*POWER(KKmaster,SIGN(M122))+I122*POWER(MUmaster,SIGN(F122))*POWER(KLmaster,SIGN(G122))*POWER(INmaster,SIGN(H122))*POWER(FFmaster,SIGN(J122))*POWER(GEmaster,SIGN(K122))*POWER(KOmaster,SIGN(L122))*POWER(KKmaster,SIGN(M122))+J122*POWER(MUmaster,SIGN(F122))*POWER(KLmaster,SIGN(G122))*POWER(INmaster,SIGN(H122))*POWER(CHmaster,SIGN(I122))*POWER(GEmaster,SIGN(K122))*POWER(KOmaster,SIGN(L122))*POWER(KKmaster,SIGN(M122))+K122*POWER(MUmaster,SIGN(F122))*POWER(KLmaster,SIGN(G122))*POWER(INmaster,SIGN(H122))*POWER(CHmaster,SIGN(I122))*POWER(FFmaster,SIGN(J122))*POWER(KOmaster,SIGN(L122))*POWER(KKmaster,SIGN(M122))+L122*POWER(MUmaster,SIGN(F122))*POWER(KLmaster,SIGN(G122))*POWER(INmaster,SIGN(H122))*POWER(CHmaster,SIGN(I122))*POWER(FFmaster,SIGN(J122))*POWER(GEmaster,SIGN(K122))*POWER(KKmaster,SIGN(M122))+M122*POWER(MUmaster,SIGN(F122))*POWER(KLmaster,SIGN(G122))*POWER(INmaster,SIGN(H122))*POWER(CHmaster,SIGN(I122))*POWER(FFmaster,SIGN(J122))*POWER(GEmaster,SIGN(K122))*POWER(KOmaster,SIGN(L122))</f>
        <v>2304</v>
      </c>
      <c r="R122" s="117">
        <f>F122*I122*GEmaster+F122*CHmaster*K122+MUmaster*I122*K122</f>
        <v>3456</v>
      </c>
      <c r="S122" s="224">
        <f>IFERROR(F122^SIGN(F122),1)*IFERROR(G122^SIGN(G122),1)*IFERROR(H122^SIGN(H122),1)*IFERROR(I122^SIGN(I122),1)*IFERROR(J122^SIGN(J122),1)*IFERROR(K122^SIGN(K122),1)*IFERROR(L122^SIGN(L122),1)*IFERROR(M122^SIGN(M122),1)</f>
        <v>1728</v>
      </c>
      <c r="T122" s="224">
        <f>SUM(Q122:S122)</f>
        <v>7488</v>
      </c>
      <c r="U122" s="222">
        <f>N122*Q122/T122</f>
        <v>3.6923076923076925</v>
      </c>
      <c r="V122" s="223">
        <f>O122*R122/T122</f>
        <v>11.076923076923077</v>
      </c>
      <c r="W122" s="243">
        <f>P122*S122/T122</f>
        <v>8.3076923076923084</v>
      </c>
      <c r="X122" s="243">
        <f>SUM(U122:W122)</f>
        <v>23.07692307692308</v>
      </c>
      <c r="Y122" s="252">
        <v>0</v>
      </c>
      <c r="Z122" s="198">
        <f>X122-Y122</f>
        <v>23.07692307692308</v>
      </c>
      <c r="AA122" s="125">
        <f>IF(X122&lt;=0,2,0)+IF(X122&gt;0,X122+1,0)*2+IF(X122&gt;12,X122-12,0)*2+IF(X122&gt;13,X122-13,0)*2+IF(X122&gt;14,X122-14,0)*2+IF(X122&gt;15,X122-15,0)*2+IF(X122&gt;16,X122-16,0)*2+IF(X122&gt;17,X122-17,0)*2+IF(X122&gt;18,X122-18,0)*2+IF(X122&gt;19,X122-19,0)*2+IF(X122&gt;20,X122-20,0)*2</f>
        <v>175.5384615384616</v>
      </c>
      <c r="AB122" s="160">
        <f>IF(Y122&lt;=0,2,0)+IF(Y122&gt;0,Y122+1,0)*2+IF(Y122&gt;12,Y122-12,0)*2+IF(Y122&gt;13,Y122-13,0)*2+IF(Y122&gt;14,Y122-14,0)*2+IF(Y122&gt;15,Y122-15,0)*2+IF(Y122&gt;16,Y122-16,0)*2+IF(Y122&gt;17,Y122-17,0)*2+IF(Y122&gt;18,Y122-18,0)*2+IF(Y122&gt;19,Y122-19,0)*2+IF(Y122&gt;20,Y122-20,0)*2</f>
        <v>2</v>
      </c>
      <c r="AC122" s="127">
        <f>IF((AA122-AB122)&gt;0,AA122-AB122,0)</f>
        <v>173.5384615384616</v>
      </c>
      <c r="AD122" s="125">
        <f>IF((AB122-AA122)&gt;0,AB122-AA122,0)</f>
        <v>0</v>
      </c>
      <c r="AF122" s="163" t="s">
        <v>366</v>
      </c>
      <c r="AG122" s="86" t="s">
        <v>172</v>
      </c>
      <c r="AH122" s="127" t="s">
        <v>132</v>
      </c>
      <c r="AI122" s="114">
        <f>Konvention_1slave-MUslave_MU</f>
        <v>11</v>
      </c>
      <c r="AJ122" s="113"/>
      <c r="AK122" s="113"/>
      <c r="AL122" s="113">
        <f>Konvention_1slave-CHslave</f>
        <v>12</v>
      </c>
      <c r="AM122" s="113"/>
      <c r="AN122" s="113">
        <f>Konvention_1slave-GEslave</f>
        <v>12</v>
      </c>
      <c r="AO122" s="113"/>
      <c r="AP122" s="119"/>
      <c r="AQ122" s="47">
        <f>(AI122+AJ122+AK122+AL122+AM122+AN122+AO122+AP122)/3</f>
        <v>11.666666666666666</v>
      </c>
      <c r="AR122" s="3">
        <f>2*AQ122</f>
        <v>23.333333333333332</v>
      </c>
      <c r="AS122" s="174">
        <f>3*AQ122</f>
        <v>35</v>
      </c>
      <c r="AT122" s="114">
        <f t="shared" si="941"/>
        <v>2432</v>
      </c>
      <c r="AU122" s="117">
        <f>AI122*AL122*GEslave+AI122*CHslave*AN122+MUslave_MU*AL122*AN122</f>
        <v>3408</v>
      </c>
      <c r="AV122" s="119">
        <f>IFERROR(AI122^SIGN(AI122),1)*IFERROR(AJ122^SIGN(AJ122),1)*IFERROR(AK122^SIGN(AK122),1)*IFERROR(AL122^SIGN(AL122),1)*IFERROR(AM122^SIGN(AM122),1)*IFERROR(AN122^SIGN(AN122),1)*IFERROR(AO122^SIGN(AO122),1)*IFERROR(AP122^SIGN(AP122),1)</f>
        <v>1584</v>
      </c>
      <c r="AW122" s="119">
        <f>SUM(AT122:AV122)</f>
        <v>7424</v>
      </c>
      <c r="AX122" s="89">
        <f>AQ122*AT122/AW122</f>
        <v>3.8218390804597702</v>
      </c>
      <c r="AY122" s="47">
        <f>AR122*AU122/AW122</f>
        <v>10.711206896551724</v>
      </c>
      <c r="AZ122" s="127">
        <f>AS122*AV122/AW122</f>
        <v>7.4676724137931032</v>
      </c>
      <c r="BA122" s="127">
        <f>SUM(AX122:AZ122)</f>
        <v>22.000718390804597</v>
      </c>
      <c r="BB122" s="165">
        <f t="shared" si="830"/>
        <v>0</v>
      </c>
      <c r="BC122" s="198">
        <f>BA122-BB122</f>
        <v>22.000718390804597</v>
      </c>
      <c r="BD122" s="125">
        <f>IF(BA122&lt;=0,2,0)+IF(BA122&gt;0,BA122+1,0)*2+IF(BA122&gt;12,BA122-12,0)*2+IF(BA122&gt;13,BA122-13,0)*2+IF(BA122&gt;14,BA122-14,0)*2+IF(BA122&gt;15,BA122-15,0)*2+IF(BA122&gt;16,BA122-16,0)*2+IF(BA122&gt;17,BA122-17,0)*2+IF(BA122&gt;18,BA122-18,0)*2+IF(BA122&gt;19,BA122-19,0)*2+IF(BA122&gt;20,BA122-20,0)*2</f>
        <v>154.01436781609189</v>
      </c>
      <c r="BE122" s="160">
        <f>IF(BB122&lt;=0,2,0)+IF(BB122&gt;0,BB122+1,0)*2+IF(BB122&gt;12,BB122-12,0)*2+IF(BB122&gt;13,BB122-13,0)*2+IF(BB122&gt;14,BB122-14,0)*2+IF(BB122&gt;15,BB122-15,0)*2+IF(BB122&gt;16,BB122-16,0)*2+IF(BB122&gt;17,BB122-17,0)*2+IF(BB122&gt;18,BB122-18,0)*2+IF(BB122&gt;19,BB122-19,0)*2+IF(BB122&gt;20,BB122-20,0)*2</f>
        <v>2</v>
      </c>
      <c r="BF122" s="243">
        <f>IF((BD122-BE122)&gt;0,BD122-BE122,0)</f>
        <v>152.01436781609189</v>
      </c>
      <c r="BG122" s="218">
        <f>IF((BE122-BD122)&gt;0,BE122-BD122,0)</f>
        <v>0</v>
      </c>
      <c r="BI122" s="303" t="s">
        <v>366</v>
      </c>
      <c r="BJ122" s="304" t="s">
        <v>172</v>
      </c>
      <c r="BK122" s="243" t="s">
        <v>132</v>
      </c>
      <c r="BL122" s="237">
        <f>Konvention_1slave-MUslave</f>
        <v>12</v>
      </c>
      <c r="BM122" s="234"/>
      <c r="BN122" s="234"/>
      <c r="BO122" s="234">
        <f>Konvention_1slave-CHslave</f>
        <v>12</v>
      </c>
      <c r="BP122" s="234"/>
      <c r="BQ122" s="234">
        <f>Konvention_1slave-GEslave</f>
        <v>12</v>
      </c>
      <c r="BR122" s="234"/>
      <c r="BS122" s="224"/>
      <c r="BT122" s="223">
        <f>(BL122+BM122+BN122+BO122+BP122+BQ122+BR122+BS122)/3</f>
        <v>12</v>
      </c>
      <c r="BU122" s="223">
        <f>2*BT122</f>
        <v>24</v>
      </c>
      <c r="BV122" s="224">
        <f>3*BT122</f>
        <v>36</v>
      </c>
      <c r="BW122" s="237">
        <f t="shared" si="943"/>
        <v>2304</v>
      </c>
      <c r="BX122" s="254">
        <f>BL122*BO122*GEslave+BL122*CHslave*BQ122+MUslave*BO122*BQ122</f>
        <v>3456</v>
      </c>
      <c r="BY122" s="224">
        <f>IFERROR(BL122^SIGN(BL122),1)*IFERROR(BM122^SIGN(BM122),1)*IFERROR(BN122^SIGN(BN122),1)*IFERROR(BO122^SIGN(BO122),1)*IFERROR(BP122^SIGN(BP122),1)*IFERROR(BQ122^SIGN(BQ122),1)*IFERROR(BR122^SIGN(BR122),1)*IFERROR(BS122^SIGN(BS122),1)</f>
        <v>1728</v>
      </c>
      <c r="BZ122" s="224">
        <f>SUM(BW122:BY122)</f>
        <v>7488</v>
      </c>
      <c r="CA122" s="222">
        <f>BT122*BW122/BZ122</f>
        <v>3.6923076923076925</v>
      </c>
      <c r="CB122" s="223">
        <f>BU122*BX122/BZ122</f>
        <v>11.076923076923077</v>
      </c>
      <c r="CC122" s="243">
        <f>BV122*BY122/BZ122</f>
        <v>8.3076923076923084</v>
      </c>
      <c r="CD122" s="243">
        <f>SUM(CA122:CC122)</f>
        <v>23.07692307692308</v>
      </c>
      <c r="CE122" s="252">
        <f t="shared" si="841"/>
        <v>0</v>
      </c>
      <c r="CF122" s="309">
        <f>CD122-CE122</f>
        <v>23.07692307692308</v>
      </c>
      <c r="CG122" s="218">
        <f>IF(CD122&lt;=0,2,0)+IF(CD122&gt;0,CD122+1,0)*2+IF(CD122&gt;12,CD122-12,0)*2+IF(CD122&gt;13,CD122-13,0)*2+IF(CD122&gt;14,CD122-14,0)*2+IF(CD122&gt;15,CD122-15,0)*2+IF(CD122&gt;16,CD122-16,0)*2+IF(CD122&gt;17,CD122-17,0)*2+IF(CD122&gt;18,CD122-18,0)*2+IF(CD122&gt;19,CD122-19,0)*2+IF(CD122&gt;20,CD122-20,0)*2</f>
        <v>175.5384615384616</v>
      </c>
      <c r="CH122" s="242">
        <f>IF(CE122&lt;=0,2,0)+IF(CE122&gt;0,CE122+1,0)*2+IF(CE122&gt;12,CE122-12,0)*2+IF(CE122&gt;13,CE122-13,0)*2+IF(CE122&gt;14,CE122-14,0)*2+IF(CE122&gt;15,CE122-15,0)*2+IF(CE122&gt;16,CE122-16,0)*2+IF(CE122&gt;17,CE122-17,0)*2+IF(CE122&gt;18,CE122-18,0)*2+IF(CE122&gt;19,CE122-19,0)*2+IF(CE122&gt;20,CE122-20,0)*2</f>
        <v>2</v>
      </c>
      <c r="CI122" s="243">
        <f>IF((CG122-CH122)&gt;0,CG122-CH122,0)</f>
        <v>173.5384615384616</v>
      </c>
      <c r="CJ122" s="218">
        <f>IF((CH122-CG122)&gt;0,CH122-CG122,0)</f>
        <v>0</v>
      </c>
      <c r="CL122" s="303" t="s">
        <v>366</v>
      </c>
      <c r="CM122" s="304" t="s">
        <v>172</v>
      </c>
      <c r="CN122" s="243" t="s">
        <v>132</v>
      </c>
      <c r="CO122" s="237">
        <f>Konvention_1slave-MUslave</f>
        <v>12</v>
      </c>
      <c r="CP122" s="234"/>
      <c r="CQ122" s="234"/>
      <c r="CR122" s="234">
        <f>Konvention_1slave-CHslave</f>
        <v>12</v>
      </c>
      <c r="CS122" s="234"/>
      <c r="CT122" s="234">
        <f>Konvention_1slave-GEslave</f>
        <v>12</v>
      </c>
      <c r="CU122" s="234"/>
      <c r="CV122" s="224"/>
      <c r="CW122" s="223">
        <f>(CO122+CP122+CQ122+CR122+CS122+CT122+CU122+CV122)/3</f>
        <v>12</v>
      </c>
      <c r="CX122" s="223">
        <f>2*CW122</f>
        <v>24</v>
      </c>
      <c r="CY122" s="224">
        <f>3*CW122</f>
        <v>36</v>
      </c>
      <c r="CZ122" s="237">
        <f t="shared" si="945"/>
        <v>2304</v>
      </c>
      <c r="DA122" s="254">
        <f>CO122*CR122*GEslave+CO122*CHslave*CT122+MUslave*CR122*CT122</f>
        <v>3456</v>
      </c>
      <c r="DB122" s="224">
        <f>IFERROR(CO122^SIGN(CO122),1)*IFERROR(CP122^SIGN(CP122),1)*IFERROR(CQ122^SIGN(CQ122),1)*IFERROR(CR122^SIGN(CR122),1)*IFERROR(CS122^SIGN(CS122),1)*IFERROR(CT122^SIGN(CT122),1)*IFERROR(CU122^SIGN(CU122),1)*IFERROR(CV122^SIGN(CV122),1)</f>
        <v>1728</v>
      </c>
      <c r="DC122" s="224">
        <f>SUM(CZ122:DB122)</f>
        <v>7488</v>
      </c>
      <c r="DD122" s="222">
        <f>CW122*CZ122/DC122</f>
        <v>3.6923076923076925</v>
      </c>
      <c r="DE122" s="223">
        <f>CX122*DA122/DC122</f>
        <v>11.076923076923077</v>
      </c>
      <c r="DF122" s="243">
        <f>CY122*DB122/DC122</f>
        <v>8.3076923076923084</v>
      </c>
      <c r="DG122" s="243">
        <f>SUM(DD122:DF122)</f>
        <v>23.07692307692308</v>
      </c>
      <c r="DH122" s="252">
        <f t="shared" si="852"/>
        <v>0</v>
      </c>
      <c r="DI122" s="309">
        <f>DG122-DH122</f>
        <v>23.07692307692308</v>
      </c>
      <c r="DJ122" s="218">
        <f>IF(DG122&lt;=0,2,0)+IF(DG122&gt;0,DG122+1,0)*2+IF(DG122&gt;12,DG122-12,0)*2+IF(DG122&gt;13,DG122-13,0)*2+IF(DG122&gt;14,DG122-14,0)*2+IF(DG122&gt;15,DG122-15,0)*2+IF(DG122&gt;16,DG122-16,0)*2+IF(DG122&gt;17,DG122-17,0)*2+IF(DG122&gt;18,DG122-18,0)*2+IF(DG122&gt;19,DG122-19,0)*2+IF(DG122&gt;20,DG122-20,0)*2</f>
        <v>175.5384615384616</v>
      </c>
      <c r="DK122" s="242">
        <f>IF(DH122&lt;=0,2,0)+IF(DH122&gt;0,DH122+1,0)*2+IF(DH122&gt;12,DH122-12,0)*2+IF(DH122&gt;13,DH122-13,0)*2+IF(DH122&gt;14,DH122-14,0)*2+IF(DH122&gt;15,DH122-15,0)*2+IF(DH122&gt;16,DH122-16,0)*2+IF(DH122&gt;17,DH122-17,0)*2+IF(DH122&gt;18,DH122-18,0)*2+IF(DH122&gt;19,DH122-19,0)*2+IF(DH122&gt;20,DH122-20,0)*2</f>
        <v>2</v>
      </c>
      <c r="DL122" s="243">
        <f>IF((DJ122-DK122)&gt;0,DJ122-DK122,0)</f>
        <v>173.5384615384616</v>
      </c>
      <c r="DM122" s="218">
        <f>IF((DK122-DJ122)&gt;0,DK122-DJ122,0)</f>
        <v>0</v>
      </c>
      <c r="DO122" s="303" t="s">
        <v>366</v>
      </c>
      <c r="DP122" s="304" t="s">
        <v>172</v>
      </c>
      <c r="DQ122" s="243" t="s">
        <v>132</v>
      </c>
      <c r="DR122" s="237">
        <f>Konvention_1slave-MUslave</f>
        <v>12</v>
      </c>
      <c r="DS122" s="234"/>
      <c r="DT122" s="234"/>
      <c r="DU122" s="234">
        <f>Konvention_1slave-CHslave_CH</f>
        <v>11</v>
      </c>
      <c r="DV122" s="234"/>
      <c r="DW122" s="234">
        <f>Konvention_1slave-GEslave</f>
        <v>12</v>
      </c>
      <c r="DX122" s="234"/>
      <c r="DY122" s="224"/>
      <c r="DZ122" s="223">
        <f>(DR122+DS122+DT122+DU122+DV122+DW122+DX122+DY122)/3</f>
        <v>11.666666666666666</v>
      </c>
      <c r="EA122" s="223">
        <f>2*DZ122</f>
        <v>23.333333333333332</v>
      </c>
      <c r="EB122" s="224">
        <f>3*DZ122</f>
        <v>35</v>
      </c>
      <c r="EC122" s="237">
        <f t="shared" si="947"/>
        <v>2432</v>
      </c>
      <c r="ED122" s="254">
        <f>DR122*DU122*GEslave+DR122*CHslave_CH*DW122+MUslave*DU122*DW122</f>
        <v>3408</v>
      </c>
      <c r="EE122" s="224">
        <f>IFERROR(DR122^SIGN(DR122),1)*IFERROR(DS122^SIGN(DS122),1)*IFERROR(DT122^SIGN(DT122),1)*IFERROR(DU122^SIGN(DU122),1)*IFERROR(DV122^SIGN(DV122),1)*IFERROR(DW122^SIGN(DW122),1)*IFERROR(DX122^SIGN(DX122),1)*IFERROR(DY122^SIGN(DY122),1)</f>
        <v>1584</v>
      </c>
      <c r="EF122" s="224">
        <f>SUM(EC122:EE122)</f>
        <v>7424</v>
      </c>
      <c r="EG122" s="222">
        <f>DZ122*EC122/EF122</f>
        <v>3.8218390804597702</v>
      </c>
      <c r="EH122" s="223">
        <f>EA122*ED122/EF122</f>
        <v>10.711206896551724</v>
      </c>
      <c r="EI122" s="243">
        <f>EB122*EE122/EF122</f>
        <v>7.4676724137931032</v>
      </c>
      <c r="EJ122" s="243">
        <f>SUM(EG122:EI122)</f>
        <v>22.000718390804597</v>
      </c>
      <c r="EK122" s="252">
        <f t="shared" si="863"/>
        <v>0</v>
      </c>
      <c r="EL122" s="309">
        <f>EJ122-EK122</f>
        <v>22.000718390804597</v>
      </c>
      <c r="EM122" s="218">
        <f>IF(EJ122&lt;=0,2,0)+IF(EJ122&gt;0,EJ122+1,0)*2+IF(EJ122&gt;12,EJ122-12,0)*2+IF(EJ122&gt;13,EJ122-13,0)*2+IF(EJ122&gt;14,EJ122-14,0)*2+IF(EJ122&gt;15,EJ122-15,0)*2+IF(EJ122&gt;16,EJ122-16,0)*2+IF(EJ122&gt;17,EJ122-17,0)*2+IF(EJ122&gt;18,EJ122-18,0)*2+IF(EJ122&gt;19,EJ122-19,0)*2+IF(EJ122&gt;20,EJ122-20,0)*2</f>
        <v>154.01436781609189</v>
      </c>
      <c r="EN122" s="242">
        <f>IF(EK122&lt;=0,2,0)+IF(EK122&gt;0,EK122+1,0)*2+IF(EK122&gt;12,EK122-12,0)*2+IF(EK122&gt;13,EK122-13,0)*2+IF(EK122&gt;14,EK122-14,0)*2+IF(EK122&gt;15,EK122-15,0)*2+IF(EK122&gt;16,EK122-16,0)*2+IF(EK122&gt;17,EK122-17,0)*2+IF(EK122&gt;18,EK122-18,0)*2+IF(EK122&gt;19,EK122-19,0)*2+IF(EK122&gt;20,EK122-20,0)*2</f>
        <v>2</v>
      </c>
      <c r="EO122" s="243">
        <f>IF((EM122-EN122)&gt;0,EM122-EN122,0)</f>
        <v>152.01436781609189</v>
      </c>
      <c r="EP122" s="218">
        <f>IF((EN122-EM122)&gt;0,EN122-EM122,0)</f>
        <v>0</v>
      </c>
      <c r="ER122" s="303" t="s">
        <v>366</v>
      </c>
      <c r="ES122" s="304" t="s">
        <v>172</v>
      </c>
      <c r="ET122" s="243" t="s">
        <v>132</v>
      </c>
      <c r="EU122" s="237">
        <f>Konvention_1slave-MUslave</f>
        <v>12</v>
      </c>
      <c r="EV122" s="234"/>
      <c r="EW122" s="234"/>
      <c r="EX122" s="234">
        <f>Konvention_1slave-CHslave</f>
        <v>12</v>
      </c>
      <c r="EY122" s="234"/>
      <c r="EZ122" s="234">
        <f>Konvention_1slave-GEslave</f>
        <v>12</v>
      </c>
      <c r="FA122" s="234"/>
      <c r="FB122" s="224"/>
      <c r="FC122" s="223">
        <f>(EU122+EV122+EW122+EX122+EY122+EZ122+FA122+FB122)/3</f>
        <v>12</v>
      </c>
      <c r="FD122" s="223">
        <f>2*FC122</f>
        <v>24</v>
      </c>
      <c r="FE122" s="224">
        <f>3*FC122</f>
        <v>36</v>
      </c>
      <c r="FF122" s="237">
        <f t="shared" si="949"/>
        <v>2304</v>
      </c>
      <c r="FG122" s="254">
        <f>EU122*EX122*GEslave+EU122*CHslave*EZ122+MUslave*EX122*EZ122</f>
        <v>3456</v>
      </c>
      <c r="FH122" s="224">
        <f>IFERROR(EU122^SIGN(EU122),1)*IFERROR(EV122^SIGN(EV122),1)*IFERROR(EW122^SIGN(EW122),1)*IFERROR(EX122^SIGN(EX122),1)*IFERROR(EY122^SIGN(EY122),1)*IFERROR(EZ122^SIGN(EZ122),1)*IFERROR(FA122^SIGN(FA122),1)*IFERROR(FB122^SIGN(FB122),1)</f>
        <v>1728</v>
      </c>
      <c r="FI122" s="224">
        <f>SUM(FF122:FH122)</f>
        <v>7488</v>
      </c>
      <c r="FJ122" s="222">
        <f>FC122*FF122/FI122</f>
        <v>3.6923076923076925</v>
      </c>
      <c r="FK122" s="223">
        <f>FD122*FG122/FI122</f>
        <v>11.076923076923077</v>
      </c>
      <c r="FL122" s="243">
        <f>FE122*FH122/FI122</f>
        <v>8.3076923076923084</v>
      </c>
      <c r="FM122" s="243">
        <f>SUM(FJ122:FL122)</f>
        <v>23.07692307692308</v>
      </c>
      <c r="FN122" s="252">
        <f t="shared" si="874"/>
        <v>0</v>
      </c>
      <c r="FO122" s="309">
        <f>FM122-FN122</f>
        <v>23.07692307692308</v>
      </c>
      <c r="FP122" s="218">
        <f>IF(FM122&lt;=0,2,0)+IF(FM122&gt;0,FM122+1,0)*2+IF(FM122&gt;12,FM122-12,0)*2+IF(FM122&gt;13,FM122-13,0)*2+IF(FM122&gt;14,FM122-14,0)*2+IF(FM122&gt;15,FM122-15,0)*2+IF(FM122&gt;16,FM122-16,0)*2+IF(FM122&gt;17,FM122-17,0)*2+IF(FM122&gt;18,FM122-18,0)*2+IF(FM122&gt;19,FM122-19,0)*2+IF(FM122&gt;20,FM122-20,0)*2</f>
        <v>175.5384615384616</v>
      </c>
      <c r="FQ122" s="242">
        <f>IF(FN122&lt;=0,2,0)+IF(FN122&gt;0,FN122+1,0)*2+IF(FN122&gt;12,FN122-12,0)*2+IF(FN122&gt;13,FN122-13,0)*2+IF(FN122&gt;14,FN122-14,0)*2+IF(FN122&gt;15,FN122-15,0)*2+IF(FN122&gt;16,FN122-16,0)*2+IF(FN122&gt;17,FN122-17,0)*2+IF(FN122&gt;18,FN122-18,0)*2+IF(FN122&gt;19,FN122-19,0)*2+IF(FN122&gt;20,FN122-20,0)*2</f>
        <v>2</v>
      </c>
      <c r="FR122" s="243">
        <f>IF((FP122-FQ122)&gt;0,FP122-FQ122,0)</f>
        <v>173.5384615384616</v>
      </c>
      <c r="FS122" s="218">
        <f>IF((FQ122-FP122)&gt;0,FQ122-FP122,0)</f>
        <v>0</v>
      </c>
      <c r="FU122" s="303" t="s">
        <v>366</v>
      </c>
      <c r="FV122" s="304" t="s">
        <v>172</v>
      </c>
      <c r="FW122" s="243" t="s">
        <v>132</v>
      </c>
      <c r="FX122" s="237">
        <f>Konvention_1slave-MUslave</f>
        <v>12</v>
      </c>
      <c r="FY122" s="234"/>
      <c r="FZ122" s="234"/>
      <c r="GA122" s="234">
        <f>Konvention_1slave-CHslave</f>
        <v>12</v>
      </c>
      <c r="GB122" s="234"/>
      <c r="GC122" s="234">
        <f>Konvention_1slave-GEslave_GE</f>
        <v>11</v>
      </c>
      <c r="GD122" s="234"/>
      <c r="GE122" s="224"/>
      <c r="GF122" s="223">
        <f>(FX122+FY122+FZ122+GA122+GB122+GC122+GD122+GE122)/3</f>
        <v>11.666666666666666</v>
      </c>
      <c r="GG122" s="223">
        <f>2*GF122</f>
        <v>23.333333333333332</v>
      </c>
      <c r="GH122" s="224">
        <f>3*GF122</f>
        <v>35</v>
      </c>
      <c r="GI122" s="237">
        <f t="shared" si="951"/>
        <v>2432</v>
      </c>
      <c r="GJ122" s="254">
        <f>FX122*GA122*GEslave_GE+FX122*CHslave*GC122+MUslave*GA122*GC122</f>
        <v>3408</v>
      </c>
      <c r="GK122" s="224">
        <f>IFERROR(FX122^SIGN(FX122),1)*IFERROR(FY122^SIGN(FY122),1)*IFERROR(FZ122^SIGN(FZ122),1)*IFERROR(GA122^SIGN(GA122),1)*IFERROR(GB122^SIGN(GB122),1)*IFERROR(GC122^SIGN(GC122),1)*IFERROR(GD122^SIGN(GD122),1)*IFERROR(GE122^SIGN(GE122),1)</f>
        <v>1584</v>
      </c>
      <c r="GL122" s="224">
        <f>SUM(GI122:GK122)</f>
        <v>7424</v>
      </c>
      <c r="GM122" s="222">
        <f>GF122*GI122/GL122</f>
        <v>3.8218390804597702</v>
      </c>
      <c r="GN122" s="223">
        <f>GG122*GJ122/GL122</f>
        <v>10.711206896551724</v>
      </c>
      <c r="GO122" s="243">
        <f>GH122*GK122/GL122</f>
        <v>7.4676724137931032</v>
      </c>
      <c r="GP122" s="243">
        <f>SUM(GM122:GO122)</f>
        <v>22.000718390804597</v>
      </c>
      <c r="GQ122" s="252">
        <f t="shared" si="885"/>
        <v>0</v>
      </c>
      <c r="GR122" s="309">
        <f>GP122-GQ122</f>
        <v>22.000718390804597</v>
      </c>
      <c r="GS122" s="218">
        <f>IF(GP122&lt;=0,2,0)+IF(GP122&gt;0,GP122+1,0)*2+IF(GP122&gt;12,GP122-12,0)*2+IF(GP122&gt;13,GP122-13,0)*2+IF(GP122&gt;14,GP122-14,0)*2+IF(GP122&gt;15,GP122-15,0)*2+IF(GP122&gt;16,GP122-16,0)*2+IF(GP122&gt;17,GP122-17,0)*2+IF(GP122&gt;18,GP122-18,0)*2+IF(GP122&gt;19,GP122-19,0)*2+IF(GP122&gt;20,GP122-20,0)*2</f>
        <v>154.01436781609189</v>
      </c>
      <c r="GT122" s="242">
        <f>IF(GQ122&lt;=0,2,0)+IF(GQ122&gt;0,GQ122+1,0)*2+IF(GQ122&gt;12,GQ122-12,0)*2+IF(GQ122&gt;13,GQ122-13,0)*2+IF(GQ122&gt;14,GQ122-14,0)*2+IF(GQ122&gt;15,GQ122-15,0)*2+IF(GQ122&gt;16,GQ122-16,0)*2+IF(GQ122&gt;17,GQ122-17,0)*2+IF(GQ122&gt;18,GQ122-18,0)*2+IF(GQ122&gt;19,GQ122-19,0)*2+IF(GQ122&gt;20,GQ122-20,0)*2</f>
        <v>2</v>
      </c>
      <c r="GU122" s="243">
        <f>IF((GS122-GT122)&gt;0,GS122-GT122,0)</f>
        <v>152.01436781609189</v>
      </c>
      <c r="GV122" s="218">
        <f>IF((GT122-GS122)&gt;0,GT122-GS122,0)</f>
        <v>0</v>
      </c>
      <c r="GX122" s="303" t="s">
        <v>366</v>
      </c>
      <c r="GY122" s="304" t="s">
        <v>172</v>
      </c>
      <c r="GZ122" s="243" t="s">
        <v>132</v>
      </c>
      <c r="HA122" s="237">
        <f>Konvention_1slave-MUslave</f>
        <v>12</v>
      </c>
      <c r="HB122" s="234"/>
      <c r="HC122" s="234"/>
      <c r="HD122" s="234">
        <f>Konvention_1slave-CHslave</f>
        <v>12</v>
      </c>
      <c r="HE122" s="234"/>
      <c r="HF122" s="234">
        <f>Konvention_1slave-GEslave</f>
        <v>12</v>
      </c>
      <c r="HG122" s="234"/>
      <c r="HH122" s="224"/>
      <c r="HI122" s="223">
        <f>(HA122+HB122+HC122+HD122+HE122+HF122+HG122+HH122)/3</f>
        <v>12</v>
      </c>
      <c r="HJ122" s="223">
        <f>2*HI122</f>
        <v>24</v>
      </c>
      <c r="HK122" s="224">
        <f>3*HI122</f>
        <v>36</v>
      </c>
      <c r="HL122" s="237">
        <f t="shared" si="953"/>
        <v>2304</v>
      </c>
      <c r="HM122" s="254">
        <f>HA122*HD122*GEslave+HA122*CHslave*HF122+MUslave*HD122*HF122</f>
        <v>3456</v>
      </c>
      <c r="HN122" s="224">
        <f>IFERROR(HA122^SIGN(HA122),1)*IFERROR(HB122^SIGN(HB122),1)*IFERROR(HC122^SIGN(HC122),1)*IFERROR(HD122^SIGN(HD122),1)*IFERROR(HE122^SIGN(HE122),1)*IFERROR(HF122^SIGN(HF122),1)*IFERROR(HG122^SIGN(HG122),1)*IFERROR(HH122^SIGN(HH122),1)</f>
        <v>1728</v>
      </c>
      <c r="HO122" s="224">
        <f>SUM(HL122:HN122)</f>
        <v>7488</v>
      </c>
      <c r="HP122" s="222">
        <f>HI122*HL122/HO122</f>
        <v>3.6923076923076925</v>
      </c>
      <c r="HQ122" s="223">
        <f>HJ122*HM122/HO122</f>
        <v>11.076923076923077</v>
      </c>
      <c r="HR122" s="243">
        <f>HK122*HN122/HO122</f>
        <v>8.3076923076923084</v>
      </c>
      <c r="HS122" s="243">
        <f>SUM(HP122:HR122)</f>
        <v>23.07692307692308</v>
      </c>
      <c r="HT122" s="252">
        <f t="shared" si="896"/>
        <v>0</v>
      </c>
      <c r="HU122" s="309">
        <f>HS122-HT122</f>
        <v>23.07692307692308</v>
      </c>
      <c r="HV122" s="218">
        <f>IF(HS122&lt;=0,2,0)+IF(HS122&gt;0,HS122+1,0)*2+IF(HS122&gt;12,HS122-12,0)*2+IF(HS122&gt;13,HS122-13,0)*2+IF(HS122&gt;14,HS122-14,0)*2+IF(HS122&gt;15,HS122-15,0)*2+IF(HS122&gt;16,HS122-16,0)*2+IF(HS122&gt;17,HS122-17,0)*2+IF(HS122&gt;18,HS122-18,0)*2+IF(HS122&gt;19,HS122-19,0)*2+IF(HS122&gt;20,HS122-20,0)*2</f>
        <v>175.5384615384616</v>
      </c>
      <c r="HW122" s="242">
        <f>IF(HT122&lt;=0,2,0)+IF(HT122&gt;0,HT122+1,0)*2+IF(HT122&gt;12,HT122-12,0)*2+IF(HT122&gt;13,HT122-13,0)*2+IF(HT122&gt;14,HT122-14,0)*2+IF(HT122&gt;15,HT122-15,0)*2+IF(HT122&gt;16,HT122-16,0)*2+IF(HT122&gt;17,HT122-17,0)*2+IF(HT122&gt;18,HT122-18,0)*2+IF(HT122&gt;19,HT122-19,0)*2+IF(HT122&gt;20,HT122-20,0)*2</f>
        <v>2</v>
      </c>
      <c r="HX122" s="243">
        <f>IF((HV122-HW122)&gt;0,HV122-HW122,0)</f>
        <v>173.5384615384616</v>
      </c>
      <c r="HY122" s="218">
        <f>IF((HW122-HV122)&gt;0,HW122-HV122,0)</f>
        <v>0</v>
      </c>
      <c r="IA122" s="303" t="s">
        <v>366</v>
      </c>
      <c r="IB122" s="304" t="s">
        <v>172</v>
      </c>
      <c r="IC122" s="243" t="s">
        <v>132</v>
      </c>
      <c r="ID122" s="237">
        <f>Konvention_1slave-MUslave</f>
        <v>12</v>
      </c>
      <c r="IE122" s="234"/>
      <c r="IF122" s="234"/>
      <c r="IG122" s="234">
        <f>Konvention_1slave-CHslave</f>
        <v>12</v>
      </c>
      <c r="IH122" s="234"/>
      <c r="II122" s="234">
        <f>Konvention_1slave-GEslave</f>
        <v>12</v>
      </c>
      <c r="IJ122" s="234"/>
      <c r="IK122" s="224"/>
      <c r="IL122" s="223">
        <f>(ID122+IE122+IF122+IG122+IH122+II122+IJ122+IK122)/3</f>
        <v>12</v>
      </c>
      <c r="IM122" s="223">
        <f>2*IL122</f>
        <v>24</v>
      </c>
      <c r="IN122" s="224">
        <f>3*IL122</f>
        <v>36</v>
      </c>
      <c r="IO122" s="237">
        <f t="shared" si="955"/>
        <v>2304</v>
      </c>
      <c r="IP122" s="254">
        <f>ID122*IG122*GEslave+ID122*CHslave*II122+MUslave*IG122*II122</f>
        <v>3456</v>
      </c>
      <c r="IQ122" s="224">
        <f>IFERROR(ID122^SIGN(ID122),1)*IFERROR(IE122^SIGN(IE122),1)*IFERROR(IF122^SIGN(IF122),1)*IFERROR(IG122^SIGN(IG122),1)*IFERROR(IH122^SIGN(IH122),1)*IFERROR(II122^SIGN(II122),1)*IFERROR(IJ122^SIGN(IJ122),1)*IFERROR(IK122^SIGN(IK122),1)</f>
        <v>1728</v>
      </c>
      <c r="IR122" s="224">
        <f>SUM(IO122:IQ122)</f>
        <v>7488</v>
      </c>
      <c r="IS122" s="222">
        <f>IL122*IO122/IR122</f>
        <v>3.6923076923076925</v>
      </c>
      <c r="IT122" s="223">
        <f>IM122*IP122/IR122</f>
        <v>11.076923076923077</v>
      </c>
      <c r="IU122" s="243">
        <f>IN122*IQ122/IR122</f>
        <v>8.3076923076923084</v>
      </c>
      <c r="IV122" s="243">
        <f>SUM(IS122:IU122)</f>
        <v>23.07692307692308</v>
      </c>
      <c r="IW122" s="252">
        <f t="shared" si="907"/>
        <v>0</v>
      </c>
      <c r="IX122" s="309">
        <f>IV122-IW122</f>
        <v>23.07692307692308</v>
      </c>
      <c r="IY122" s="218">
        <f>IF(IV122&lt;=0,2,0)+IF(IV122&gt;0,IV122+1,0)*2+IF(IV122&gt;12,IV122-12,0)*2+IF(IV122&gt;13,IV122-13,0)*2+IF(IV122&gt;14,IV122-14,0)*2+IF(IV122&gt;15,IV122-15,0)*2+IF(IV122&gt;16,IV122-16,0)*2+IF(IV122&gt;17,IV122-17,0)*2+IF(IV122&gt;18,IV122-18,0)*2+IF(IV122&gt;19,IV122-19,0)*2+IF(IV122&gt;20,IV122-20,0)*2</f>
        <v>175.5384615384616</v>
      </c>
      <c r="IZ122" s="242">
        <f>IF(IW122&lt;=0,2,0)+IF(IW122&gt;0,IW122+1,0)*2+IF(IW122&gt;12,IW122-12,0)*2+IF(IW122&gt;13,IW122-13,0)*2+IF(IW122&gt;14,IW122-14,0)*2+IF(IW122&gt;15,IW122-15,0)*2+IF(IW122&gt;16,IW122-16,0)*2+IF(IW122&gt;17,IW122-17,0)*2+IF(IW122&gt;18,IW122-18,0)*2+IF(IW122&gt;19,IW122-19,0)*2+IF(IW122&gt;20,IW122-20,0)*2</f>
        <v>2</v>
      </c>
      <c r="JA122" s="243">
        <f>IF((IY122-IZ122)&gt;0,IY122-IZ122,0)</f>
        <v>173.5384615384616</v>
      </c>
      <c r="JB122" s="218">
        <f>IF((IZ122-IY122)&gt;0,IZ122-IY122,0)</f>
        <v>0</v>
      </c>
      <c r="JE122" s="148"/>
    </row>
    <row r="123" spans="2:265" ht="15" hidden="1" customHeight="1" outlineLevel="2">
      <c r="B123" s="148">
        <v>24</v>
      </c>
      <c r="C123" s="303" t="e">
        <f>VLOOKUP(AF123,Attribute!C:T,1,FALSE)</f>
        <v>#N/A</v>
      </c>
      <c r="D123" s="86" t="s">
        <v>86</v>
      </c>
      <c r="E123" s="127" t="s">
        <v>133</v>
      </c>
      <c r="F123" s="114">
        <f>Konvention_1master-MUmaster</f>
        <v>12</v>
      </c>
      <c r="G123" s="113"/>
      <c r="H123" s="113">
        <f>Konvention_1master-INmaster</f>
        <v>12</v>
      </c>
      <c r="I123" s="113">
        <f>Konvention_1master-CHmaster</f>
        <v>12</v>
      </c>
      <c r="J123" s="113"/>
      <c r="K123" s="113"/>
      <c r="L123" s="113"/>
      <c r="M123" s="119"/>
      <c r="N123" s="223">
        <f>(F123+G123+H123+I123+J123+K123+L123+M123)/3</f>
        <v>12</v>
      </c>
      <c r="O123" s="223">
        <f>2*N123</f>
        <v>24</v>
      </c>
      <c r="P123" s="224">
        <f>3*N123</f>
        <v>36</v>
      </c>
      <c r="Q123" s="237">
        <f>F123*POWER(KLmaster,SIGN(G123))*POWER(INmaster,SIGN(H123))*POWER(CHmaster,SIGN(I123))*POWER(FFmaster,SIGN(J123))*POWER(GEmaster,SIGN(K123))*POWER(KOmaster,SIGN(L123))*POWER(KKmaster,SIGN(M123))+G123*POWER(MUmaster,SIGN(F123))*POWER(INmaster,SIGN(H123))*POWER(CHmaster,SIGN(I123))*POWER(FFmaster,SIGN(J123))*POWER(GEmaster,SIGN(K123))*POWER(KOmaster,SIGN(L123))*POWER(KKmaster,SIGN(M123))+H123*POWER(MUmaster,SIGN(F123))*POWER(KLmaster,SIGN(G123))*POWER(CHmaster,SIGN(I123))*POWER(FFmaster,SIGN(J123))*POWER(GEmaster,SIGN(K123))*POWER(KOmaster,SIGN(L123))*POWER(KKmaster,SIGN(M123))+I123*POWER(MUmaster,SIGN(F123))*POWER(KLmaster,SIGN(G123))*POWER(INmaster,SIGN(H123))*POWER(FFmaster,SIGN(J123))*POWER(GEmaster,SIGN(K123))*POWER(KOmaster,SIGN(L123))*POWER(KKmaster,SIGN(M123))+J123*POWER(MUmaster,SIGN(F123))*POWER(KLmaster,SIGN(G123))*POWER(INmaster,SIGN(H123))*POWER(CHmaster,SIGN(I123))*POWER(GEmaster,SIGN(K123))*POWER(KOmaster,SIGN(L123))*POWER(KKmaster,SIGN(M123))+K123*POWER(MUmaster,SIGN(F123))*POWER(KLmaster,SIGN(G123))*POWER(INmaster,SIGN(H123))*POWER(CHmaster,SIGN(I123))*POWER(FFmaster,SIGN(J123))*POWER(KOmaster,SIGN(L123))*POWER(KKmaster,SIGN(M123))+L123*POWER(MUmaster,SIGN(F123))*POWER(KLmaster,SIGN(G123))*POWER(INmaster,SIGN(H123))*POWER(CHmaster,SIGN(I123))*POWER(FFmaster,SIGN(J123))*POWER(GEmaster,SIGN(K123))*POWER(KKmaster,SIGN(M123))+M123*POWER(MUmaster,SIGN(F123))*POWER(KLmaster,SIGN(G123))*POWER(INmaster,SIGN(H123))*POWER(CHmaster,SIGN(I123))*POWER(FFmaster,SIGN(J123))*POWER(GEmaster,SIGN(K123))*POWER(KOmaster,SIGN(L123))</f>
        <v>2304</v>
      </c>
      <c r="R123" s="117">
        <f>F123*H123*CHmaster+F123*INmaster*I123+MUmaster*H123*I123</f>
        <v>3456</v>
      </c>
      <c r="S123" s="224">
        <f>IFERROR(F123^SIGN(F123),1)*IFERROR(G123^SIGN(G123),1)*IFERROR(H123^SIGN(H123),1)*IFERROR(I123^SIGN(I123),1)*IFERROR(J123^SIGN(J123),1)*IFERROR(K123^SIGN(K123),1)*IFERROR(L123^SIGN(L123),1)*IFERROR(M123^SIGN(M123),1)</f>
        <v>1728</v>
      </c>
      <c r="T123" s="224">
        <f>SUM(Q123:S123)</f>
        <v>7488</v>
      </c>
      <c r="U123" s="222">
        <f>N123*Q123/T123</f>
        <v>3.6923076923076925</v>
      </c>
      <c r="V123" s="223">
        <f>O123*R123/T123</f>
        <v>11.076923076923077</v>
      </c>
      <c r="W123" s="243">
        <f>P123*S123/T123</f>
        <v>8.3076923076923084</v>
      </c>
      <c r="X123" s="243">
        <f>SUM(U123:W123)</f>
        <v>23.07692307692308</v>
      </c>
      <c r="Y123" s="252">
        <v>0</v>
      </c>
      <c r="Z123" s="198">
        <f>X123-Y123</f>
        <v>23.07692307692308</v>
      </c>
      <c r="AA123" s="125">
        <f>IF(X123&lt;=0,1,0)+IF(X123&gt;0,X123+1,0)*1+IF(X123&gt;12,X123-12,0)*1+IF(X123&gt;13,X123-13,0)*1+IF(X123&gt;14,X123-14,0)*1+IF(X123&gt;15,X123-15,0)*1+IF(X123&gt;16,X123-16,0)*1+IF(X123&gt;17,X123-17,0)*1+IF(X123&gt;18,X123-18,0)*1+IF(X123&gt;19,X123-19,0)*1+IF(X123&gt;20,X123-20,0)*1</f>
        <v>87.769230769230802</v>
      </c>
      <c r="AB123" s="160">
        <f>IF(Y123&lt;=0,1,0)+IF(Y123&gt;0,Y123+1,0)*1+IF(Y123&gt;12,Y123-12,0)*1+IF(Y123&gt;13,Y123-13,0)*1+IF(Y123&gt;14,Y123-14,0)*1+IF(Y123&gt;15,Y123-15,0)*1+IF(Y123&gt;16,Y123-16,0)*1+IF(Y123&gt;17,Y123-17,0)*1+IF(Y123&gt;18,Y123-18,0)*1+IF(Y123&gt;19,Y123-19,0)*1+IF(Y123&gt;20,Y123-20,0)*1</f>
        <v>1</v>
      </c>
      <c r="AC123" s="127">
        <f>IF((AA123-AB123)&gt;0,AA123-AB123,0)</f>
        <v>86.769230769230802</v>
      </c>
      <c r="AD123" s="125">
        <f>IF((AB123-AA123)&gt;0,AB123-AA123,0)</f>
        <v>0</v>
      </c>
      <c r="AF123" s="163" t="s">
        <v>367</v>
      </c>
      <c r="AG123" s="86" t="s">
        <v>86</v>
      </c>
      <c r="AH123" s="127" t="s">
        <v>133</v>
      </c>
      <c r="AI123" s="114">
        <f>Konvention_1slave-MUslave_MU</f>
        <v>11</v>
      </c>
      <c r="AJ123" s="113"/>
      <c r="AK123" s="113">
        <f>Konvention_1slave-INslave</f>
        <v>12</v>
      </c>
      <c r="AL123" s="113">
        <f>Konvention_1slave-CHslave</f>
        <v>12</v>
      </c>
      <c r="AM123" s="113"/>
      <c r="AN123" s="113"/>
      <c r="AO123" s="113"/>
      <c r="AP123" s="119"/>
      <c r="AQ123" s="47">
        <f>(AI123+AJ123+AK123+AL123+AM123+AN123+AO123+AP123)/3</f>
        <v>11.666666666666666</v>
      </c>
      <c r="AR123" s="3">
        <f>2*AQ123</f>
        <v>23.333333333333332</v>
      </c>
      <c r="AS123" s="174">
        <f>3*AQ123</f>
        <v>35</v>
      </c>
      <c r="AT123" s="114">
        <f t="shared" si="941"/>
        <v>2432</v>
      </c>
      <c r="AU123" s="117">
        <f>AI123*AK123*CHslave+AI123*INslave*AL123+MUslave_MU*AK123*AL123</f>
        <v>3408</v>
      </c>
      <c r="AV123" s="119">
        <f>IFERROR(AI123^SIGN(AI123),1)*IFERROR(AJ123^SIGN(AJ123),1)*IFERROR(AK123^SIGN(AK123),1)*IFERROR(AL123^SIGN(AL123),1)*IFERROR(AM123^SIGN(AM123),1)*IFERROR(AN123^SIGN(AN123),1)*IFERROR(AO123^SIGN(AO123),1)*IFERROR(AP123^SIGN(AP123),1)</f>
        <v>1584</v>
      </c>
      <c r="AW123" s="119">
        <f>SUM(AT123:AV123)</f>
        <v>7424</v>
      </c>
      <c r="AX123" s="89">
        <f>AQ123*AT123/AW123</f>
        <v>3.8218390804597702</v>
      </c>
      <c r="AY123" s="47">
        <f>AR123*AU123/AW123</f>
        <v>10.711206896551724</v>
      </c>
      <c r="AZ123" s="127">
        <f>AS123*AV123/AW123</f>
        <v>7.4676724137931032</v>
      </c>
      <c r="BA123" s="127">
        <f>SUM(AX123:AZ123)</f>
        <v>22.000718390804597</v>
      </c>
      <c r="BB123" s="165">
        <f t="shared" si="830"/>
        <v>0</v>
      </c>
      <c r="BC123" s="198">
        <f>BA123-BB123</f>
        <v>22.000718390804597</v>
      </c>
      <c r="BD123" s="125">
        <f>IF(BA123&lt;=0,1,0)+IF(BA123&gt;0,BA123+1,0)*1+IF(BA123&gt;12,BA123-12,0)*1+IF(BA123&gt;13,BA123-13,0)*1+IF(BA123&gt;14,BA123-14,0)*1+IF(BA123&gt;15,BA123-15,0)*1+IF(BA123&gt;16,BA123-16,0)*1+IF(BA123&gt;17,BA123-17,0)*1+IF(BA123&gt;18,BA123-18,0)*1+IF(BA123&gt;19,BA123-19,0)*1+IF(BA123&gt;20,BA123-20,0)*1</f>
        <v>77.007183908045945</v>
      </c>
      <c r="BE123" s="160">
        <f>IF(BB123&lt;=0,1,0)+IF(BB123&gt;0,BB123+1,0)*1+IF(BB123&gt;12,BB123-12,0)*1+IF(BB123&gt;13,BB123-13,0)*1+IF(BB123&gt;14,BB123-14,0)*1+IF(BB123&gt;15,BB123-15,0)*1+IF(BB123&gt;16,BB123-16,0)*1+IF(BB123&gt;17,BB123-17,0)*1+IF(BB123&gt;18,BB123-18,0)*1+IF(BB123&gt;19,BB123-19,0)*1+IF(BB123&gt;20,BB123-20,0)*1</f>
        <v>1</v>
      </c>
      <c r="BF123" s="243">
        <f>IF((BD123-BE123)&gt;0,BD123-BE123,0)</f>
        <v>76.007183908045945</v>
      </c>
      <c r="BG123" s="218">
        <f>IF((BE123-BD123)&gt;0,BE123-BD123,0)</f>
        <v>0</v>
      </c>
      <c r="BI123" s="303" t="s">
        <v>367</v>
      </c>
      <c r="BJ123" s="304" t="s">
        <v>86</v>
      </c>
      <c r="BK123" s="243" t="s">
        <v>133</v>
      </c>
      <c r="BL123" s="237">
        <f>Konvention_1slave-MUslave</f>
        <v>12</v>
      </c>
      <c r="BM123" s="234"/>
      <c r="BN123" s="234">
        <f>Konvention_1slave-INslave</f>
        <v>12</v>
      </c>
      <c r="BO123" s="234">
        <f>Konvention_1slave-CHslave</f>
        <v>12</v>
      </c>
      <c r="BP123" s="234"/>
      <c r="BQ123" s="234"/>
      <c r="BR123" s="234"/>
      <c r="BS123" s="224"/>
      <c r="BT123" s="223">
        <f>(BL123+BM123+BN123+BO123+BP123+BQ123+BR123+BS123)/3</f>
        <v>12</v>
      </c>
      <c r="BU123" s="223">
        <f>2*BT123</f>
        <v>24</v>
      </c>
      <c r="BV123" s="224">
        <f>3*BT123</f>
        <v>36</v>
      </c>
      <c r="BW123" s="237">
        <f t="shared" si="943"/>
        <v>2304</v>
      </c>
      <c r="BX123" s="254">
        <f>BL123*BN123*CHslave+BL123*INslave*BO123+MUslave*BN123*BO123</f>
        <v>3456</v>
      </c>
      <c r="BY123" s="224">
        <f>IFERROR(BL123^SIGN(BL123),1)*IFERROR(BM123^SIGN(BM123),1)*IFERROR(BN123^SIGN(BN123),1)*IFERROR(BO123^SIGN(BO123),1)*IFERROR(BP123^SIGN(BP123),1)*IFERROR(BQ123^SIGN(BQ123),1)*IFERROR(BR123^SIGN(BR123),1)*IFERROR(BS123^SIGN(BS123),1)</f>
        <v>1728</v>
      </c>
      <c r="BZ123" s="224">
        <f>SUM(BW123:BY123)</f>
        <v>7488</v>
      </c>
      <c r="CA123" s="222">
        <f>BT123*BW123/BZ123</f>
        <v>3.6923076923076925</v>
      </c>
      <c r="CB123" s="223">
        <f>BU123*BX123/BZ123</f>
        <v>11.076923076923077</v>
      </c>
      <c r="CC123" s="243">
        <f>BV123*BY123/BZ123</f>
        <v>8.3076923076923084</v>
      </c>
      <c r="CD123" s="243">
        <f>SUM(CA123:CC123)</f>
        <v>23.07692307692308</v>
      </c>
      <c r="CE123" s="252">
        <f t="shared" si="841"/>
        <v>0</v>
      </c>
      <c r="CF123" s="309">
        <f>CD123-CE123</f>
        <v>23.07692307692308</v>
      </c>
      <c r="CG123" s="218">
        <f>IF(CD123&lt;=0,1,0)+IF(CD123&gt;0,CD123+1,0)*1+IF(CD123&gt;12,CD123-12,0)*1+IF(CD123&gt;13,CD123-13,0)*1+IF(CD123&gt;14,CD123-14,0)*1+IF(CD123&gt;15,CD123-15,0)*1+IF(CD123&gt;16,CD123-16,0)*1+IF(CD123&gt;17,CD123-17,0)*1+IF(CD123&gt;18,CD123-18,0)*1+IF(CD123&gt;19,CD123-19,0)*1+IF(CD123&gt;20,CD123-20,0)*1</f>
        <v>87.769230769230802</v>
      </c>
      <c r="CH123" s="242">
        <f>IF(CE123&lt;=0,1,0)+IF(CE123&gt;0,CE123+1,0)*1+IF(CE123&gt;12,CE123-12,0)*1+IF(CE123&gt;13,CE123-13,0)*1+IF(CE123&gt;14,CE123-14,0)*1+IF(CE123&gt;15,CE123-15,0)*1+IF(CE123&gt;16,CE123-16,0)*1+IF(CE123&gt;17,CE123-17,0)*1+IF(CE123&gt;18,CE123-18,0)*1+IF(CE123&gt;19,CE123-19,0)*1+IF(CE123&gt;20,CE123-20,0)*1</f>
        <v>1</v>
      </c>
      <c r="CI123" s="243">
        <f>IF((CG123-CH123)&gt;0,CG123-CH123,0)</f>
        <v>86.769230769230802</v>
      </c>
      <c r="CJ123" s="218">
        <f>IF((CH123-CG123)&gt;0,CH123-CG123,0)</f>
        <v>0</v>
      </c>
      <c r="CL123" s="303" t="s">
        <v>367</v>
      </c>
      <c r="CM123" s="304" t="s">
        <v>86</v>
      </c>
      <c r="CN123" s="243" t="s">
        <v>133</v>
      </c>
      <c r="CO123" s="237">
        <f>Konvention_1slave-MUslave</f>
        <v>12</v>
      </c>
      <c r="CP123" s="234"/>
      <c r="CQ123" s="234">
        <f>Konvention_1slave-INslave_IN</f>
        <v>11</v>
      </c>
      <c r="CR123" s="234">
        <f>Konvention_1slave-CHslave</f>
        <v>12</v>
      </c>
      <c r="CS123" s="234"/>
      <c r="CT123" s="234"/>
      <c r="CU123" s="234"/>
      <c r="CV123" s="224"/>
      <c r="CW123" s="223">
        <f>(CO123+CP123+CQ123+CR123+CS123+CT123+CU123+CV123)/3</f>
        <v>11.666666666666666</v>
      </c>
      <c r="CX123" s="223">
        <f>2*CW123</f>
        <v>23.333333333333332</v>
      </c>
      <c r="CY123" s="224">
        <f>3*CW123</f>
        <v>35</v>
      </c>
      <c r="CZ123" s="237">
        <f t="shared" si="945"/>
        <v>2432</v>
      </c>
      <c r="DA123" s="254">
        <f>CO123*CQ123*CHslave+CO123*INslave_IN*CR123+MUslave*CQ123*CR123</f>
        <v>3408</v>
      </c>
      <c r="DB123" s="224">
        <f>IFERROR(CO123^SIGN(CO123),1)*IFERROR(CP123^SIGN(CP123),1)*IFERROR(CQ123^SIGN(CQ123),1)*IFERROR(CR123^SIGN(CR123),1)*IFERROR(CS123^SIGN(CS123),1)*IFERROR(CT123^SIGN(CT123),1)*IFERROR(CU123^SIGN(CU123),1)*IFERROR(CV123^SIGN(CV123),1)</f>
        <v>1584</v>
      </c>
      <c r="DC123" s="224">
        <f>SUM(CZ123:DB123)</f>
        <v>7424</v>
      </c>
      <c r="DD123" s="222">
        <f>CW123*CZ123/DC123</f>
        <v>3.8218390804597702</v>
      </c>
      <c r="DE123" s="223">
        <f>CX123*DA123/DC123</f>
        <v>10.711206896551724</v>
      </c>
      <c r="DF123" s="243">
        <f>CY123*DB123/DC123</f>
        <v>7.4676724137931032</v>
      </c>
      <c r="DG123" s="243">
        <f>SUM(DD123:DF123)</f>
        <v>22.000718390804597</v>
      </c>
      <c r="DH123" s="252">
        <f t="shared" si="852"/>
        <v>0</v>
      </c>
      <c r="DI123" s="309">
        <f>DG123-DH123</f>
        <v>22.000718390804597</v>
      </c>
      <c r="DJ123" s="218">
        <f>IF(DG123&lt;=0,1,0)+IF(DG123&gt;0,DG123+1,0)*1+IF(DG123&gt;12,DG123-12,0)*1+IF(DG123&gt;13,DG123-13,0)*1+IF(DG123&gt;14,DG123-14,0)*1+IF(DG123&gt;15,DG123-15,0)*1+IF(DG123&gt;16,DG123-16,0)*1+IF(DG123&gt;17,DG123-17,0)*1+IF(DG123&gt;18,DG123-18,0)*1+IF(DG123&gt;19,DG123-19,0)*1+IF(DG123&gt;20,DG123-20,0)*1</f>
        <v>77.007183908045945</v>
      </c>
      <c r="DK123" s="242">
        <f>IF(DH123&lt;=0,1,0)+IF(DH123&gt;0,DH123+1,0)*1+IF(DH123&gt;12,DH123-12,0)*1+IF(DH123&gt;13,DH123-13,0)*1+IF(DH123&gt;14,DH123-14,0)*1+IF(DH123&gt;15,DH123-15,0)*1+IF(DH123&gt;16,DH123-16,0)*1+IF(DH123&gt;17,DH123-17,0)*1+IF(DH123&gt;18,DH123-18,0)*1+IF(DH123&gt;19,DH123-19,0)*1+IF(DH123&gt;20,DH123-20,0)*1</f>
        <v>1</v>
      </c>
      <c r="DL123" s="243">
        <f>IF((DJ123-DK123)&gt;0,DJ123-DK123,0)</f>
        <v>76.007183908045945</v>
      </c>
      <c r="DM123" s="218">
        <f>IF((DK123-DJ123)&gt;0,DK123-DJ123,0)</f>
        <v>0</v>
      </c>
      <c r="DO123" s="303" t="s">
        <v>367</v>
      </c>
      <c r="DP123" s="304" t="s">
        <v>86</v>
      </c>
      <c r="DQ123" s="243" t="s">
        <v>133</v>
      </c>
      <c r="DR123" s="237">
        <f>Konvention_1slave-MUslave</f>
        <v>12</v>
      </c>
      <c r="DS123" s="234"/>
      <c r="DT123" s="234">
        <f>Konvention_1slave-INslave</f>
        <v>12</v>
      </c>
      <c r="DU123" s="234">
        <f>Konvention_1slave-CHslave_CH</f>
        <v>11</v>
      </c>
      <c r="DV123" s="234"/>
      <c r="DW123" s="234"/>
      <c r="DX123" s="234"/>
      <c r="DY123" s="224"/>
      <c r="DZ123" s="223">
        <f>(DR123+DS123+DT123+DU123+DV123+DW123+DX123+DY123)/3</f>
        <v>11.666666666666666</v>
      </c>
      <c r="EA123" s="223">
        <f>2*DZ123</f>
        <v>23.333333333333332</v>
      </c>
      <c r="EB123" s="224">
        <f>3*DZ123</f>
        <v>35</v>
      </c>
      <c r="EC123" s="237">
        <f t="shared" si="947"/>
        <v>2432</v>
      </c>
      <c r="ED123" s="254">
        <f>DR123*DT123*CHslave_CH+DR123*INslave*DU123+MUslave*DT123*DU123</f>
        <v>3408</v>
      </c>
      <c r="EE123" s="224">
        <f>IFERROR(DR123^SIGN(DR123),1)*IFERROR(DS123^SIGN(DS123),1)*IFERROR(DT123^SIGN(DT123),1)*IFERROR(DU123^SIGN(DU123),1)*IFERROR(DV123^SIGN(DV123),1)*IFERROR(DW123^SIGN(DW123),1)*IFERROR(DX123^SIGN(DX123),1)*IFERROR(DY123^SIGN(DY123),1)</f>
        <v>1584</v>
      </c>
      <c r="EF123" s="224">
        <f>SUM(EC123:EE123)</f>
        <v>7424</v>
      </c>
      <c r="EG123" s="222">
        <f>DZ123*EC123/EF123</f>
        <v>3.8218390804597702</v>
      </c>
      <c r="EH123" s="223">
        <f>EA123*ED123/EF123</f>
        <v>10.711206896551724</v>
      </c>
      <c r="EI123" s="243">
        <f>EB123*EE123/EF123</f>
        <v>7.4676724137931032</v>
      </c>
      <c r="EJ123" s="243">
        <f>SUM(EG123:EI123)</f>
        <v>22.000718390804597</v>
      </c>
      <c r="EK123" s="252">
        <f t="shared" si="863"/>
        <v>0</v>
      </c>
      <c r="EL123" s="309">
        <f>EJ123-EK123</f>
        <v>22.000718390804597</v>
      </c>
      <c r="EM123" s="218">
        <f>IF(EJ123&lt;=0,1,0)+IF(EJ123&gt;0,EJ123+1,0)*1+IF(EJ123&gt;12,EJ123-12,0)*1+IF(EJ123&gt;13,EJ123-13,0)*1+IF(EJ123&gt;14,EJ123-14,0)*1+IF(EJ123&gt;15,EJ123-15,0)*1+IF(EJ123&gt;16,EJ123-16,0)*1+IF(EJ123&gt;17,EJ123-17,0)*1+IF(EJ123&gt;18,EJ123-18,0)*1+IF(EJ123&gt;19,EJ123-19,0)*1+IF(EJ123&gt;20,EJ123-20,0)*1</f>
        <v>77.007183908045945</v>
      </c>
      <c r="EN123" s="242">
        <f>IF(EK123&lt;=0,1,0)+IF(EK123&gt;0,EK123+1,0)*1+IF(EK123&gt;12,EK123-12,0)*1+IF(EK123&gt;13,EK123-13,0)*1+IF(EK123&gt;14,EK123-14,0)*1+IF(EK123&gt;15,EK123-15,0)*1+IF(EK123&gt;16,EK123-16,0)*1+IF(EK123&gt;17,EK123-17,0)*1+IF(EK123&gt;18,EK123-18,0)*1+IF(EK123&gt;19,EK123-19,0)*1+IF(EK123&gt;20,EK123-20,0)*1</f>
        <v>1</v>
      </c>
      <c r="EO123" s="243">
        <f>IF((EM123-EN123)&gt;0,EM123-EN123,0)</f>
        <v>76.007183908045945</v>
      </c>
      <c r="EP123" s="218">
        <f>IF((EN123-EM123)&gt;0,EN123-EM123,0)</f>
        <v>0</v>
      </c>
      <c r="ER123" s="303" t="s">
        <v>367</v>
      </c>
      <c r="ES123" s="304" t="s">
        <v>86</v>
      </c>
      <c r="ET123" s="243" t="s">
        <v>133</v>
      </c>
      <c r="EU123" s="237">
        <f>Konvention_1slave-MUslave</f>
        <v>12</v>
      </c>
      <c r="EV123" s="234"/>
      <c r="EW123" s="234">
        <f>Konvention_1slave-INslave</f>
        <v>12</v>
      </c>
      <c r="EX123" s="234">
        <f>Konvention_1slave-CHslave</f>
        <v>12</v>
      </c>
      <c r="EY123" s="234"/>
      <c r="EZ123" s="234"/>
      <c r="FA123" s="234"/>
      <c r="FB123" s="224"/>
      <c r="FC123" s="223">
        <f>(EU123+EV123+EW123+EX123+EY123+EZ123+FA123+FB123)/3</f>
        <v>12</v>
      </c>
      <c r="FD123" s="223">
        <f>2*FC123</f>
        <v>24</v>
      </c>
      <c r="FE123" s="224">
        <f>3*FC123</f>
        <v>36</v>
      </c>
      <c r="FF123" s="237">
        <f t="shared" si="949"/>
        <v>2304</v>
      </c>
      <c r="FG123" s="254">
        <f>EU123*EW123*CHslave+EU123*INslave*EX123+MUslave*EW123*EX123</f>
        <v>3456</v>
      </c>
      <c r="FH123" s="224">
        <f>IFERROR(EU123^SIGN(EU123),1)*IFERROR(EV123^SIGN(EV123),1)*IFERROR(EW123^SIGN(EW123),1)*IFERROR(EX123^SIGN(EX123),1)*IFERROR(EY123^SIGN(EY123),1)*IFERROR(EZ123^SIGN(EZ123),1)*IFERROR(FA123^SIGN(FA123),1)*IFERROR(FB123^SIGN(FB123),1)</f>
        <v>1728</v>
      </c>
      <c r="FI123" s="224">
        <f>SUM(FF123:FH123)</f>
        <v>7488</v>
      </c>
      <c r="FJ123" s="222">
        <f>FC123*FF123/FI123</f>
        <v>3.6923076923076925</v>
      </c>
      <c r="FK123" s="223">
        <f>FD123*FG123/FI123</f>
        <v>11.076923076923077</v>
      </c>
      <c r="FL123" s="243">
        <f>FE123*FH123/FI123</f>
        <v>8.3076923076923084</v>
      </c>
      <c r="FM123" s="243">
        <f>SUM(FJ123:FL123)</f>
        <v>23.07692307692308</v>
      </c>
      <c r="FN123" s="252">
        <f t="shared" si="874"/>
        <v>0</v>
      </c>
      <c r="FO123" s="309">
        <f>FM123-FN123</f>
        <v>23.07692307692308</v>
      </c>
      <c r="FP123" s="218">
        <f>IF(FM123&lt;=0,1,0)+IF(FM123&gt;0,FM123+1,0)*1+IF(FM123&gt;12,FM123-12,0)*1+IF(FM123&gt;13,FM123-13,0)*1+IF(FM123&gt;14,FM123-14,0)*1+IF(FM123&gt;15,FM123-15,0)*1+IF(FM123&gt;16,FM123-16,0)*1+IF(FM123&gt;17,FM123-17,0)*1+IF(FM123&gt;18,FM123-18,0)*1+IF(FM123&gt;19,FM123-19,0)*1+IF(FM123&gt;20,FM123-20,0)*1</f>
        <v>87.769230769230802</v>
      </c>
      <c r="FQ123" s="242">
        <f>IF(FN123&lt;=0,1,0)+IF(FN123&gt;0,FN123+1,0)*1+IF(FN123&gt;12,FN123-12,0)*1+IF(FN123&gt;13,FN123-13,0)*1+IF(FN123&gt;14,FN123-14,0)*1+IF(FN123&gt;15,FN123-15,0)*1+IF(FN123&gt;16,FN123-16,0)*1+IF(FN123&gt;17,FN123-17,0)*1+IF(FN123&gt;18,FN123-18,0)*1+IF(FN123&gt;19,FN123-19,0)*1+IF(FN123&gt;20,FN123-20,0)*1</f>
        <v>1</v>
      </c>
      <c r="FR123" s="243">
        <f>IF((FP123-FQ123)&gt;0,FP123-FQ123,0)</f>
        <v>86.769230769230802</v>
      </c>
      <c r="FS123" s="218">
        <f>IF((FQ123-FP123)&gt;0,FQ123-FP123,0)</f>
        <v>0</v>
      </c>
      <c r="FU123" s="303" t="s">
        <v>367</v>
      </c>
      <c r="FV123" s="304" t="s">
        <v>86</v>
      </c>
      <c r="FW123" s="243" t="s">
        <v>133</v>
      </c>
      <c r="FX123" s="237">
        <f>Konvention_1slave-MUslave</f>
        <v>12</v>
      </c>
      <c r="FY123" s="234"/>
      <c r="FZ123" s="234">
        <f>Konvention_1slave-INslave</f>
        <v>12</v>
      </c>
      <c r="GA123" s="234">
        <f>Konvention_1slave-CHslave</f>
        <v>12</v>
      </c>
      <c r="GB123" s="234"/>
      <c r="GC123" s="234"/>
      <c r="GD123" s="234"/>
      <c r="GE123" s="224"/>
      <c r="GF123" s="223">
        <f>(FX123+FY123+FZ123+GA123+GB123+GC123+GD123+GE123)/3</f>
        <v>12</v>
      </c>
      <c r="GG123" s="223">
        <f>2*GF123</f>
        <v>24</v>
      </c>
      <c r="GH123" s="224">
        <f>3*GF123</f>
        <v>36</v>
      </c>
      <c r="GI123" s="237">
        <f t="shared" si="951"/>
        <v>2304</v>
      </c>
      <c r="GJ123" s="254">
        <f>FX123*FZ123*CHslave+FX123*INslave*GA123+MUslave*FZ123*GA123</f>
        <v>3456</v>
      </c>
      <c r="GK123" s="224">
        <f>IFERROR(FX123^SIGN(FX123),1)*IFERROR(FY123^SIGN(FY123),1)*IFERROR(FZ123^SIGN(FZ123),1)*IFERROR(GA123^SIGN(GA123),1)*IFERROR(GB123^SIGN(GB123),1)*IFERROR(GC123^SIGN(GC123),1)*IFERROR(GD123^SIGN(GD123),1)*IFERROR(GE123^SIGN(GE123),1)</f>
        <v>1728</v>
      </c>
      <c r="GL123" s="224">
        <f>SUM(GI123:GK123)</f>
        <v>7488</v>
      </c>
      <c r="GM123" s="222">
        <f>GF123*GI123/GL123</f>
        <v>3.6923076923076925</v>
      </c>
      <c r="GN123" s="223">
        <f>GG123*GJ123/GL123</f>
        <v>11.076923076923077</v>
      </c>
      <c r="GO123" s="243">
        <f>GH123*GK123/GL123</f>
        <v>8.3076923076923084</v>
      </c>
      <c r="GP123" s="243">
        <f>SUM(GM123:GO123)</f>
        <v>23.07692307692308</v>
      </c>
      <c r="GQ123" s="252">
        <f t="shared" si="885"/>
        <v>0</v>
      </c>
      <c r="GR123" s="309">
        <f>GP123-GQ123</f>
        <v>23.07692307692308</v>
      </c>
      <c r="GS123" s="218">
        <f>IF(GP123&lt;=0,1,0)+IF(GP123&gt;0,GP123+1,0)*1+IF(GP123&gt;12,GP123-12,0)*1+IF(GP123&gt;13,GP123-13,0)*1+IF(GP123&gt;14,GP123-14,0)*1+IF(GP123&gt;15,GP123-15,0)*1+IF(GP123&gt;16,GP123-16,0)*1+IF(GP123&gt;17,GP123-17,0)*1+IF(GP123&gt;18,GP123-18,0)*1+IF(GP123&gt;19,GP123-19,0)*1+IF(GP123&gt;20,GP123-20,0)*1</f>
        <v>87.769230769230802</v>
      </c>
      <c r="GT123" s="242">
        <f>IF(GQ123&lt;=0,1,0)+IF(GQ123&gt;0,GQ123+1,0)*1+IF(GQ123&gt;12,GQ123-12,0)*1+IF(GQ123&gt;13,GQ123-13,0)*1+IF(GQ123&gt;14,GQ123-14,0)*1+IF(GQ123&gt;15,GQ123-15,0)*1+IF(GQ123&gt;16,GQ123-16,0)*1+IF(GQ123&gt;17,GQ123-17,0)*1+IF(GQ123&gt;18,GQ123-18,0)*1+IF(GQ123&gt;19,GQ123-19,0)*1+IF(GQ123&gt;20,GQ123-20,0)*1</f>
        <v>1</v>
      </c>
      <c r="GU123" s="243">
        <f>IF((GS123-GT123)&gt;0,GS123-GT123,0)</f>
        <v>86.769230769230802</v>
      </c>
      <c r="GV123" s="218">
        <f>IF((GT123-GS123)&gt;0,GT123-GS123,0)</f>
        <v>0</v>
      </c>
      <c r="GX123" s="303" t="s">
        <v>367</v>
      </c>
      <c r="GY123" s="304" t="s">
        <v>86</v>
      </c>
      <c r="GZ123" s="243" t="s">
        <v>133</v>
      </c>
      <c r="HA123" s="237">
        <f>Konvention_1slave-MUslave</f>
        <v>12</v>
      </c>
      <c r="HB123" s="234"/>
      <c r="HC123" s="234">
        <f>Konvention_1slave-INslave</f>
        <v>12</v>
      </c>
      <c r="HD123" s="234">
        <f>Konvention_1slave-CHslave</f>
        <v>12</v>
      </c>
      <c r="HE123" s="234"/>
      <c r="HF123" s="234"/>
      <c r="HG123" s="234"/>
      <c r="HH123" s="224"/>
      <c r="HI123" s="223">
        <f>(HA123+HB123+HC123+HD123+HE123+HF123+HG123+HH123)/3</f>
        <v>12</v>
      </c>
      <c r="HJ123" s="223">
        <f>2*HI123</f>
        <v>24</v>
      </c>
      <c r="HK123" s="224">
        <f>3*HI123</f>
        <v>36</v>
      </c>
      <c r="HL123" s="237">
        <f t="shared" si="953"/>
        <v>2304</v>
      </c>
      <c r="HM123" s="254">
        <f>HA123*HC123*CHslave+HA123*INslave*HD123+MUslave*HC123*HD123</f>
        <v>3456</v>
      </c>
      <c r="HN123" s="224">
        <f>IFERROR(HA123^SIGN(HA123),1)*IFERROR(HB123^SIGN(HB123),1)*IFERROR(HC123^SIGN(HC123),1)*IFERROR(HD123^SIGN(HD123),1)*IFERROR(HE123^SIGN(HE123),1)*IFERROR(HF123^SIGN(HF123),1)*IFERROR(HG123^SIGN(HG123),1)*IFERROR(HH123^SIGN(HH123),1)</f>
        <v>1728</v>
      </c>
      <c r="HO123" s="224">
        <f>SUM(HL123:HN123)</f>
        <v>7488</v>
      </c>
      <c r="HP123" s="222">
        <f>HI123*HL123/HO123</f>
        <v>3.6923076923076925</v>
      </c>
      <c r="HQ123" s="223">
        <f>HJ123*HM123/HO123</f>
        <v>11.076923076923077</v>
      </c>
      <c r="HR123" s="243">
        <f>HK123*HN123/HO123</f>
        <v>8.3076923076923084</v>
      </c>
      <c r="HS123" s="243">
        <f>SUM(HP123:HR123)</f>
        <v>23.07692307692308</v>
      </c>
      <c r="HT123" s="252">
        <f t="shared" si="896"/>
        <v>0</v>
      </c>
      <c r="HU123" s="309">
        <f>HS123-HT123</f>
        <v>23.07692307692308</v>
      </c>
      <c r="HV123" s="218">
        <f>IF(HS123&lt;=0,1,0)+IF(HS123&gt;0,HS123+1,0)*1+IF(HS123&gt;12,HS123-12,0)*1+IF(HS123&gt;13,HS123-13,0)*1+IF(HS123&gt;14,HS123-14,0)*1+IF(HS123&gt;15,HS123-15,0)*1+IF(HS123&gt;16,HS123-16,0)*1+IF(HS123&gt;17,HS123-17,0)*1+IF(HS123&gt;18,HS123-18,0)*1+IF(HS123&gt;19,HS123-19,0)*1+IF(HS123&gt;20,HS123-20,0)*1</f>
        <v>87.769230769230802</v>
      </c>
      <c r="HW123" s="242">
        <f>IF(HT123&lt;=0,1,0)+IF(HT123&gt;0,HT123+1,0)*1+IF(HT123&gt;12,HT123-12,0)*1+IF(HT123&gt;13,HT123-13,0)*1+IF(HT123&gt;14,HT123-14,0)*1+IF(HT123&gt;15,HT123-15,0)*1+IF(HT123&gt;16,HT123-16,0)*1+IF(HT123&gt;17,HT123-17,0)*1+IF(HT123&gt;18,HT123-18,0)*1+IF(HT123&gt;19,HT123-19,0)*1+IF(HT123&gt;20,HT123-20,0)*1</f>
        <v>1</v>
      </c>
      <c r="HX123" s="243">
        <f>IF((HV123-HW123)&gt;0,HV123-HW123,0)</f>
        <v>86.769230769230802</v>
      </c>
      <c r="HY123" s="218">
        <f>IF((HW123-HV123)&gt;0,HW123-HV123,0)</f>
        <v>0</v>
      </c>
      <c r="IA123" s="303" t="s">
        <v>367</v>
      </c>
      <c r="IB123" s="304" t="s">
        <v>86</v>
      </c>
      <c r="IC123" s="243" t="s">
        <v>133</v>
      </c>
      <c r="ID123" s="237">
        <f>Konvention_1slave-MUslave</f>
        <v>12</v>
      </c>
      <c r="IE123" s="234"/>
      <c r="IF123" s="234">
        <f>Konvention_1slave-INslave</f>
        <v>12</v>
      </c>
      <c r="IG123" s="234">
        <f>Konvention_1slave-CHslave</f>
        <v>12</v>
      </c>
      <c r="IH123" s="234"/>
      <c r="II123" s="234"/>
      <c r="IJ123" s="234"/>
      <c r="IK123" s="224"/>
      <c r="IL123" s="223">
        <f>(ID123+IE123+IF123+IG123+IH123+II123+IJ123+IK123)/3</f>
        <v>12</v>
      </c>
      <c r="IM123" s="223">
        <f>2*IL123</f>
        <v>24</v>
      </c>
      <c r="IN123" s="224">
        <f>3*IL123</f>
        <v>36</v>
      </c>
      <c r="IO123" s="237">
        <f t="shared" si="955"/>
        <v>2304</v>
      </c>
      <c r="IP123" s="254">
        <f>ID123*IF123*CHslave+ID123*INslave*IG123+MUslave*IF123*IG123</f>
        <v>3456</v>
      </c>
      <c r="IQ123" s="224">
        <f>IFERROR(ID123^SIGN(ID123),1)*IFERROR(IE123^SIGN(IE123),1)*IFERROR(IF123^SIGN(IF123),1)*IFERROR(IG123^SIGN(IG123),1)*IFERROR(IH123^SIGN(IH123),1)*IFERROR(II123^SIGN(II123),1)*IFERROR(IJ123^SIGN(IJ123),1)*IFERROR(IK123^SIGN(IK123),1)</f>
        <v>1728</v>
      </c>
      <c r="IR123" s="224">
        <f>SUM(IO123:IQ123)</f>
        <v>7488</v>
      </c>
      <c r="IS123" s="222">
        <f>IL123*IO123/IR123</f>
        <v>3.6923076923076925</v>
      </c>
      <c r="IT123" s="223">
        <f>IM123*IP123/IR123</f>
        <v>11.076923076923077</v>
      </c>
      <c r="IU123" s="243">
        <f>IN123*IQ123/IR123</f>
        <v>8.3076923076923084</v>
      </c>
      <c r="IV123" s="243">
        <f>SUM(IS123:IU123)</f>
        <v>23.07692307692308</v>
      </c>
      <c r="IW123" s="252">
        <f t="shared" si="907"/>
        <v>0</v>
      </c>
      <c r="IX123" s="309">
        <f>IV123-IW123</f>
        <v>23.07692307692308</v>
      </c>
      <c r="IY123" s="218">
        <f>IF(IV123&lt;=0,1,0)+IF(IV123&gt;0,IV123+1,0)*1+IF(IV123&gt;12,IV123-12,0)*1+IF(IV123&gt;13,IV123-13,0)*1+IF(IV123&gt;14,IV123-14,0)*1+IF(IV123&gt;15,IV123-15,0)*1+IF(IV123&gt;16,IV123-16,0)*1+IF(IV123&gt;17,IV123-17,0)*1+IF(IV123&gt;18,IV123-18,0)*1+IF(IV123&gt;19,IV123-19,0)*1+IF(IV123&gt;20,IV123-20,0)*1</f>
        <v>87.769230769230802</v>
      </c>
      <c r="IZ123" s="242">
        <f>IF(IW123&lt;=0,1,0)+IF(IW123&gt;0,IW123+1,0)*1+IF(IW123&gt;12,IW123-12,0)*1+IF(IW123&gt;13,IW123-13,0)*1+IF(IW123&gt;14,IW123-14,0)*1+IF(IW123&gt;15,IW123-15,0)*1+IF(IW123&gt;16,IW123-16,0)*1+IF(IW123&gt;17,IW123-17,0)*1+IF(IW123&gt;18,IW123-18,0)*1+IF(IW123&gt;19,IW123-19,0)*1+IF(IW123&gt;20,IW123-20,0)*1</f>
        <v>1</v>
      </c>
      <c r="JA123" s="243">
        <f>IF((IY123-IZ123)&gt;0,IY123-IZ123,0)</f>
        <v>86.769230769230802</v>
      </c>
      <c r="JB123" s="218">
        <f>IF((IZ123-IY123)&gt;0,IZ123-IY123,0)</f>
        <v>0</v>
      </c>
      <c r="JE123" s="148"/>
    </row>
    <row r="124" spans="2:265" ht="15" hidden="1" customHeight="1" outlineLevel="2">
      <c r="B124" s="148">
        <v>25</v>
      </c>
      <c r="C124" s="303" t="e">
        <f>VLOOKUP(AF124,Attribute!C:T,1,FALSE)</f>
        <v>#N/A</v>
      </c>
      <c r="D124" s="86" t="s">
        <v>171</v>
      </c>
      <c r="E124" s="127" t="s">
        <v>132</v>
      </c>
      <c r="F124" s="114"/>
      <c r="G124" s="113"/>
      <c r="H124" s="113">
        <f>Konvention_1master-INmaster</f>
        <v>12</v>
      </c>
      <c r="I124" s="113"/>
      <c r="J124" s="113">
        <f>Konvention_1master-FFmaster</f>
        <v>12</v>
      </c>
      <c r="K124" s="113"/>
      <c r="L124" s="113">
        <f>Konvention_1master-KOmaster</f>
        <v>12</v>
      </c>
      <c r="M124" s="119"/>
      <c r="N124" s="223">
        <f t="shared" si="957"/>
        <v>12</v>
      </c>
      <c r="O124" s="223">
        <f t="shared" si="958"/>
        <v>24</v>
      </c>
      <c r="P124" s="224">
        <f t="shared" si="959"/>
        <v>36</v>
      </c>
      <c r="Q124" s="237">
        <f>F124*POWER(KLmaster,SIGN(G124))*POWER(INmaster,SIGN(H124))*POWER(CHmaster,SIGN(I124))*POWER(FFmaster,SIGN(J124))*POWER(GEmaster,SIGN(K124))*POWER(KOmaster,SIGN(L124))*POWER(KKmaster,SIGN(M124))+G124*POWER(MUmaster,SIGN(F124))*POWER(INmaster,SIGN(H124))*POWER(CHmaster,SIGN(I124))*POWER(FFmaster,SIGN(J124))*POWER(GEmaster,SIGN(K124))*POWER(KOmaster,SIGN(L124))*POWER(KKmaster,SIGN(M124))+H124*POWER(MUmaster,SIGN(F124))*POWER(KLmaster,SIGN(G124))*POWER(CHmaster,SIGN(I124))*POWER(FFmaster,SIGN(J124))*POWER(GEmaster,SIGN(K124))*POWER(KOmaster,SIGN(L124))*POWER(KKmaster,SIGN(M124))+I124*POWER(MUmaster,SIGN(F124))*POWER(KLmaster,SIGN(G124))*POWER(INmaster,SIGN(H124))*POWER(FFmaster,SIGN(J124))*POWER(GEmaster,SIGN(K124))*POWER(KOmaster,SIGN(L124))*POWER(KKmaster,SIGN(M124))+J124*POWER(MUmaster,SIGN(F124))*POWER(KLmaster,SIGN(G124))*POWER(INmaster,SIGN(H124))*POWER(CHmaster,SIGN(I124))*POWER(GEmaster,SIGN(K124))*POWER(KOmaster,SIGN(L124))*POWER(KKmaster,SIGN(M124))+K124*POWER(MUmaster,SIGN(F124))*POWER(KLmaster,SIGN(G124))*POWER(INmaster,SIGN(H124))*POWER(CHmaster,SIGN(I124))*POWER(FFmaster,SIGN(J124))*POWER(KOmaster,SIGN(L124))*POWER(KKmaster,SIGN(M124))+L124*POWER(MUmaster,SIGN(F124))*POWER(KLmaster,SIGN(G124))*POWER(INmaster,SIGN(H124))*POWER(CHmaster,SIGN(I124))*POWER(FFmaster,SIGN(J124))*POWER(GEmaster,SIGN(K124))*POWER(KKmaster,SIGN(M124))+M124*POWER(MUmaster,SIGN(F124))*POWER(KLmaster,SIGN(G124))*POWER(INmaster,SIGN(H124))*POWER(CHmaster,SIGN(I124))*POWER(FFmaster,SIGN(J124))*POWER(GEmaster,SIGN(K124))*POWER(KOmaster,SIGN(L124))</f>
        <v>2304</v>
      </c>
      <c r="R124" s="117">
        <f>H124*J124*KOmaster+H124*FFmaster*L124+INmaster*J124*L124</f>
        <v>3456</v>
      </c>
      <c r="S124" s="224">
        <f t="shared" si="939"/>
        <v>1728</v>
      </c>
      <c r="T124" s="224">
        <f t="shared" si="1091"/>
        <v>7488</v>
      </c>
      <c r="U124" s="222">
        <f t="shared" si="962"/>
        <v>3.6923076923076925</v>
      </c>
      <c r="V124" s="223">
        <f t="shared" si="963"/>
        <v>11.076923076923077</v>
      </c>
      <c r="W124" s="243">
        <f t="shared" si="964"/>
        <v>8.3076923076923084</v>
      </c>
      <c r="X124" s="243">
        <f t="shared" si="965"/>
        <v>23.07692307692308</v>
      </c>
      <c r="Y124" s="252">
        <v>0</v>
      </c>
      <c r="Z124" s="198">
        <f t="shared" si="966"/>
        <v>23.07692307692308</v>
      </c>
      <c r="AA124" s="125">
        <f t="shared" ref="AA124:AB126" si="1100">IF(X124&lt;=0,2,0)+IF(X124&gt;0,X124+1,0)*2+IF(X124&gt;12,X124-12,0)*2+IF(X124&gt;13,X124-13,0)*2+IF(X124&gt;14,X124-14,0)*2+IF(X124&gt;15,X124-15,0)*2+IF(X124&gt;16,X124-16,0)*2+IF(X124&gt;17,X124-17,0)*2+IF(X124&gt;18,X124-18,0)*2+IF(X124&gt;19,X124-19,0)*2+IF(X124&gt;20,X124-20,0)*2</f>
        <v>175.5384615384616</v>
      </c>
      <c r="AB124" s="160">
        <f t="shared" si="1100"/>
        <v>2</v>
      </c>
      <c r="AC124" s="127">
        <f t="shared" si="967"/>
        <v>173.5384615384616</v>
      </c>
      <c r="AD124" s="125">
        <f t="shared" si="968"/>
        <v>0</v>
      </c>
      <c r="AF124" s="163" t="s">
        <v>291</v>
      </c>
      <c r="AG124" s="86" t="s">
        <v>171</v>
      </c>
      <c r="AH124" s="127" t="s">
        <v>132</v>
      </c>
      <c r="AI124" s="114"/>
      <c r="AJ124" s="113"/>
      <c r="AK124" s="113">
        <f>Konvention_1slave-INslave</f>
        <v>12</v>
      </c>
      <c r="AL124" s="113"/>
      <c r="AM124" s="113">
        <f>Konvention_1slave-FFslave</f>
        <v>12</v>
      </c>
      <c r="AN124" s="113"/>
      <c r="AO124" s="113">
        <f>Konvention_1slave-KOslave</f>
        <v>12</v>
      </c>
      <c r="AP124" s="119"/>
      <c r="AQ124" s="47">
        <f t="shared" si="970"/>
        <v>12</v>
      </c>
      <c r="AR124" s="3">
        <f t="shared" si="971"/>
        <v>24</v>
      </c>
      <c r="AS124" s="174">
        <f t="shared" si="972"/>
        <v>36</v>
      </c>
      <c r="AT124" s="114">
        <f t="shared" si="941"/>
        <v>2304</v>
      </c>
      <c r="AU124" s="117">
        <f>AK124*AM124*KOslave+AK124*FFslave*AO124+INslave*AM124*AO124</f>
        <v>3456</v>
      </c>
      <c r="AV124" s="119">
        <f t="shared" si="973"/>
        <v>1728</v>
      </c>
      <c r="AW124" s="119">
        <f t="shared" si="1092"/>
        <v>7488</v>
      </c>
      <c r="AX124" s="89">
        <f t="shared" si="975"/>
        <v>3.6923076923076925</v>
      </c>
      <c r="AY124" s="47">
        <f t="shared" si="976"/>
        <v>11.076923076923077</v>
      </c>
      <c r="AZ124" s="127">
        <f t="shared" si="977"/>
        <v>8.3076923076923084</v>
      </c>
      <c r="BA124" s="127">
        <f t="shared" si="978"/>
        <v>23.07692307692308</v>
      </c>
      <c r="BB124" s="165">
        <f t="shared" si="830"/>
        <v>0</v>
      </c>
      <c r="BC124" s="198">
        <f t="shared" si="979"/>
        <v>23.07692307692308</v>
      </c>
      <c r="BD124" s="125">
        <f t="shared" ref="BD124:BE126" si="1101">IF(BA124&lt;=0,2,0)+IF(BA124&gt;0,BA124+1,0)*2+IF(BA124&gt;12,BA124-12,0)*2+IF(BA124&gt;13,BA124-13,0)*2+IF(BA124&gt;14,BA124-14,0)*2+IF(BA124&gt;15,BA124-15,0)*2+IF(BA124&gt;16,BA124-16,0)*2+IF(BA124&gt;17,BA124-17,0)*2+IF(BA124&gt;18,BA124-18,0)*2+IF(BA124&gt;19,BA124-19,0)*2+IF(BA124&gt;20,BA124-20,0)*2</f>
        <v>175.5384615384616</v>
      </c>
      <c r="BE124" s="160">
        <f t="shared" si="1101"/>
        <v>2</v>
      </c>
      <c r="BF124" s="243">
        <f t="shared" si="980"/>
        <v>173.5384615384616</v>
      </c>
      <c r="BG124" s="218">
        <f t="shared" si="981"/>
        <v>0</v>
      </c>
      <c r="BI124" s="303" t="s">
        <v>291</v>
      </c>
      <c r="BJ124" s="304" t="s">
        <v>171</v>
      </c>
      <c r="BK124" s="243" t="s">
        <v>132</v>
      </c>
      <c r="BL124" s="237"/>
      <c r="BM124" s="234"/>
      <c r="BN124" s="234">
        <f>Konvention_1slave-INslave</f>
        <v>12</v>
      </c>
      <c r="BO124" s="234"/>
      <c r="BP124" s="234">
        <f>Konvention_1slave-FFslave</f>
        <v>12</v>
      </c>
      <c r="BQ124" s="234"/>
      <c r="BR124" s="234">
        <f>Konvention_1slave-KOslave</f>
        <v>12</v>
      </c>
      <c r="BS124" s="224"/>
      <c r="BT124" s="223">
        <f t="shared" si="983"/>
        <v>12</v>
      </c>
      <c r="BU124" s="223">
        <f t="shared" si="984"/>
        <v>24</v>
      </c>
      <c r="BV124" s="224">
        <f t="shared" si="985"/>
        <v>36</v>
      </c>
      <c r="BW124" s="237">
        <f t="shared" si="943"/>
        <v>2304</v>
      </c>
      <c r="BX124" s="254">
        <f>BN124*BP124*KOslave+BN124*FFslave*BR124+INslave*BP124*BR124</f>
        <v>3456</v>
      </c>
      <c r="BY124" s="224">
        <f t="shared" si="986"/>
        <v>1728</v>
      </c>
      <c r="BZ124" s="224">
        <f t="shared" si="1093"/>
        <v>7488</v>
      </c>
      <c r="CA124" s="222">
        <f t="shared" si="988"/>
        <v>3.6923076923076925</v>
      </c>
      <c r="CB124" s="223">
        <f t="shared" si="989"/>
        <v>11.076923076923077</v>
      </c>
      <c r="CC124" s="243">
        <f t="shared" si="990"/>
        <v>8.3076923076923084</v>
      </c>
      <c r="CD124" s="243">
        <f t="shared" si="991"/>
        <v>23.07692307692308</v>
      </c>
      <c r="CE124" s="252">
        <f t="shared" si="841"/>
        <v>0</v>
      </c>
      <c r="CF124" s="309">
        <f t="shared" si="992"/>
        <v>23.07692307692308</v>
      </c>
      <c r="CG124" s="218">
        <f t="shared" ref="CG124:CH126" si="1102">IF(CD124&lt;=0,2,0)+IF(CD124&gt;0,CD124+1,0)*2+IF(CD124&gt;12,CD124-12,0)*2+IF(CD124&gt;13,CD124-13,0)*2+IF(CD124&gt;14,CD124-14,0)*2+IF(CD124&gt;15,CD124-15,0)*2+IF(CD124&gt;16,CD124-16,0)*2+IF(CD124&gt;17,CD124-17,0)*2+IF(CD124&gt;18,CD124-18,0)*2+IF(CD124&gt;19,CD124-19,0)*2+IF(CD124&gt;20,CD124-20,0)*2</f>
        <v>175.5384615384616</v>
      </c>
      <c r="CH124" s="242">
        <f t="shared" si="1102"/>
        <v>2</v>
      </c>
      <c r="CI124" s="243">
        <f t="shared" si="993"/>
        <v>173.5384615384616</v>
      </c>
      <c r="CJ124" s="218">
        <f t="shared" si="994"/>
        <v>0</v>
      </c>
      <c r="CL124" s="303" t="s">
        <v>291</v>
      </c>
      <c r="CM124" s="304" t="s">
        <v>171</v>
      </c>
      <c r="CN124" s="243" t="s">
        <v>132</v>
      </c>
      <c r="CO124" s="237"/>
      <c r="CP124" s="234"/>
      <c r="CQ124" s="234">
        <f>Konvention_1slave-INslave_IN</f>
        <v>11</v>
      </c>
      <c r="CR124" s="234"/>
      <c r="CS124" s="234">
        <f>Konvention_1slave-FFslave</f>
        <v>12</v>
      </c>
      <c r="CT124" s="234"/>
      <c r="CU124" s="234">
        <f>Konvention_1slave-KOslave</f>
        <v>12</v>
      </c>
      <c r="CV124" s="224"/>
      <c r="CW124" s="223">
        <f t="shared" si="996"/>
        <v>11.666666666666666</v>
      </c>
      <c r="CX124" s="223">
        <f t="shared" si="997"/>
        <v>23.333333333333332</v>
      </c>
      <c r="CY124" s="224">
        <f t="shared" si="998"/>
        <v>35</v>
      </c>
      <c r="CZ124" s="237">
        <f t="shared" si="945"/>
        <v>2432</v>
      </c>
      <c r="DA124" s="254">
        <f>CQ124*CS124*KOslave+CQ124*FFslave*CU124+INslave_IN*CS124*CU124</f>
        <v>3408</v>
      </c>
      <c r="DB124" s="224">
        <f t="shared" si="999"/>
        <v>1584</v>
      </c>
      <c r="DC124" s="224">
        <f t="shared" si="1094"/>
        <v>7424</v>
      </c>
      <c r="DD124" s="222">
        <f t="shared" si="1001"/>
        <v>3.8218390804597702</v>
      </c>
      <c r="DE124" s="223">
        <f t="shared" si="1002"/>
        <v>10.711206896551724</v>
      </c>
      <c r="DF124" s="243">
        <f t="shared" si="1003"/>
        <v>7.4676724137931032</v>
      </c>
      <c r="DG124" s="243">
        <f t="shared" si="1004"/>
        <v>22.000718390804597</v>
      </c>
      <c r="DH124" s="252">
        <f t="shared" si="852"/>
        <v>0</v>
      </c>
      <c r="DI124" s="309">
        <f t="shared" si="1005"/>
        <v>22.000718390804597</v>
      </c>
      <c r="DJ124" s="218">
        <f t="shared" ref="DJ124:DK126" si="1103">IF(DG124&lt;=0,2,0)+IF(DG124&gt;0,DG124+1,0)*2+IF(DG124&gt;12,DG124-12,0)*2+IF(DG124&gt;13,DG124-13,0)*2+IF(DG124&gt;14,DG124-14,0)*2+IF(DG124&gt;15,DG124-15,0)*2+IF(DG124&gt;16,DG124-16,0)*2+IF(DG124&gt;17,DG124-17,0)*2+IF(DG124&gt;18,DG124-18,0)*2+IF(DG124&gt;19,DG124-19,0)*2+IF(DG124&gt;20,DG124-20,0)*2</f>
        <v>154.01436781609189</v>
      </c>
      <c r="DK124" s="242">
        <f t="shared" si="1103"/>
        <v>2</v>
      </c>
      <c r="DL124" s="243">
        <f t="shared" si="1006"/>
        <v>152.01436781609189</v>
      </c>
      <c r="DM124" s="218">
        <f t="shared" si="1007"/>
        <v>0</v>
      </c>
      <c r="DO124" s="303" t="s">
        <v>291</v>
      </c>
      <c r="DP124" s="304" t="s">
        <v>171</v>
      </c>
      <c r="DQ124" s="243" t="s">
        <v>132</v>
      </c>
      <c r="DR124" s="237"/>
      <c r="DS124" s="234"/>
      <c r="DT124" s="234">
        <f>Konvention_1slave-INslave</f>
        <v>12</v>
      </c>
      <c r="DU124" s="234"/>
      <c r="DV124" s="234">
        <f>Konvention_1slave-FFslave</f>
        <v>12</v>
      </c>
      <c r="DW124" s="234"/>
      <c r="DX124" s="234">
        <f>Konvention_1slave-KOslave</f>
        <v>12</v>
      </c>
      <c r="DY124" s="224"/>
      <c r="DZ124" s="223">
        <f t="shared" si="1009"/>
        <v>12</v>
      </c>
      <c r="EA124" s="223">
        <f t="shared" si="1010"/>
        <v>24</v>
      </c>
      <c r="EB124" s="224">
        <f t="shared" si="1011"/>
        <v>36</v>
      </c>
      <c r="EC124" s="237">
        <f t="shared" si="947"/>
        <v>2304</v>
      </c>
      <c r="ED124" s="254">
        <f>DT124*DV124*KOslave+DT124*FFslave*DX124+INslave*DV124*DX124</f>
        <v>3456</v>
      </c>
      <c r="EE124" s="224">
        <f t="shared" si="1012"/>
        <v>1728</v>
      </c>
      <c r="EF124" s="224">
        <f t="shared" si="1095"/>
        <v>7488</v>
      </c>
      <c r="EG124" s="222">
        <f t="shared" si="1014"/>
        <v>3.6923076923076925</v>
      </c>
      <c r="EH124" s="223">
        <f t="shared" si="1015"/>
        <v>11.076923076923077</v>
      </c>
      <c r="EI124" s="243">
        <f t="shared" si="1016"/>
        <v>8.3076923076923084</v>
      </c>
      <c r="EJ124" s="243">
        <f t="shared" si="1017"/>
        <v>23.07692307692308</v>
      </c>
      <c r="EK124" s="252">
        <f t="shared" si="863"/>
        <v>0</v>
      </c>
      <c r="EL124" s="309">
        <f t="shared" si="1018"/>
        <v>23.07692307692308</v>
      </c>
      <c r="EM124" s="218">
        <f t="shared" ref="EM124:EN126" si="1104">IF(EJ124&lt;=0,2,0)+IF(EJ124&gt;0,EJ124+1,0)*2+IF(EJ124&gt;12,EJ124-12,0)*2+IF(EJ124&gt;13,EJ124-13,0)*2+IF(EJ124&gt;14,EJ124-14,0)*2+IF(EJ124&gt;15,EJ124-15,0)*2+IF(EJ124&gt;16,EJ124-16,0)*2+IF(EJ124&gt;17,EJ124-17,0)*2+IF(EJ124&gt;18,EJ124-18,0)*2+IF(EJ124&gt;19,EJ124-19,0)*2+IF(EJ124&gt;20,EJ124-20,0)*2</f>
        <v>175.5384615384616</v>
      </c>
      <c r="EN124" s="242">
        <f t="shared" si="1104"/>
        <v>2</v>
      </c>
      <c r="EO124" s="243">
        <f t="shared" si="1019"/>
        <v>173.5384615384616</v>
      </c>
      <c r="EP124" s="218">
        <f t="shared" si="1020"/>
        <v>0</v>
      </c>
      <c r="ER124" s="303" t="s">
        <v>291</v>
      </c>
      <c r="ES124" s="304" t="s">
        <v>171</v>
      </c>
      <c r="ET124" s="243" t="s">
        <v>132</v>
      </c>
      <c r="EU124" s="237"/>
      <c r="EV124" s="234"/>
      <c r="EW124" s="234">
        <f>Konvention_1slave-INslave</f>
        <v>12</v>
      </c>
      <c r="EX124" s="234"/>
      <c r="EY124" s="234">
        <f>Konvention_1slave-FFslave_FF</f>
        <v>11</v>
      </c>
      <c r="EZ124" s="234"/>
      <c r="FA124" s="234">
        <f>Konvention_1slave-KOslave</f>
        <v>12</v>
      </c>
      <c r="FB124" s="224"/>
      <c r="FC124" s="223">
        <f t="shared" si="1022"/>
        <v>11.666666666666666</v>
      </c>
      <c r="FD124" s="223">
        <f t="shared" si="1023"/>
        <v>23.333333333333332</v>
      </c>
      <c r="FE124" s="224">
        <f t="shared" si="1024"/>
        <v>35</v>
      </c>
      <c r="FF124" s="237">
        <f t="shared" si="949"/>
        <v>2432</v>
      </c>
      <c r="FG124" s="254">
        <f>EW124*EY124*KOslave+EW124*FFslave_FF*FA124+INslave*EY124*FA124</f>
        <v>3408</v>
      </c>
      <c r="FH124" s="224">
        <f t="shared" si="1025"/>
        <v>1584</v>
      </c>
      <c r="FI124" s="224">
        <f t="shared" si="1096"/>
        <v>7424</v>
      </c>
      <c r="FJ124" s="222">
        <f t="shared" si="1027"/>
        <v>3.8218390804597702</v>
      </c>
      <c r="FK124" s="223">
        <f t="shared" si="1028"/>
        <v>10.711206896551724</v>
      </c>
      <c r="FL124" s="243">
        <f t="shared" si="1029"/>
        <v>7.4676724137931032</v>
      </c>
      <c r="FM124" s="243">
        <f t="shared" si="1030"/>
        <v>22.000718390804597</v>
      </c>
      <c r="FN124" s="252">
        <f t="shared" si="874"/>
        <v>0</v>
      </c>
      <c r="FO124" s="309">
        <f t="shared" si="1031"/>
        <v>22.000718390804597</v>
      </c>
      <c r="FP124" s="218">
        <f t="shared" ref="FP124:FQ126" si="1105">IF(FM124&lt;=0,2,0)+IF(FM124&gt;0,FM124+1,0)*2+IF(FM124&gt;12,FM124-12,0)*2+IF(FM124&gt;13,FM124-13,0)*2+IF(FM124&gt;14,FM124-14,0)*2+IF(FM124&gt;15,FM124-15,0)*2+IF(FM124&gt;16,FM124-16,0)*2+IF(FM124&gt;17,FM124-17,0)*2+IF(FM124&gt;18,FM124-18,0)*2+IF(FM124&gt;19,FM124-19,0)*2+IF(FM124&gt;20,FM124-20,0)*2</f>
        <v>154.01436781609189</v>
      </c>
      <c r="FQ124" s="242">
        <f t="shared" si="1105"/>
        <v>2</v>
      </c>
      <c r="FR124" s="243">
        <f t="shared" si="1032"/>
        <v>152.01436781609189</v>
      </c>
      <c r="FS124" s="218">
        <f t="shared" si="1033"/>
        <v>0</v>
      </c>
      <c r="FU124" s="303" t="s">
        <v>291</v>
      </c>
      <c r="FV124" s="304" t="s">
        <v>171</v>
      </c>
      <c r="FW124" s="243" t="s">
        <v>132</v>
      </c>
      <c r="FX124" s="237"/>
      <c r="FY124" s="234"/>
      <c r="FZ124" s="234">
        <f>Konvention_1slave-INslave</f>
        <v>12</v>
      </c>
      <c r="GA124" s="234"/>
      <c r="GB124" s="234">
        <f>Konvention_1slave-FFslave</f>
        <v>12</v>
      </c>
      <c r="GC124" s="234"/>
      <c r="GD124" s="234">
        <f>Konvention_1slave-KOslave</f>
        <v>12</v>
      </c>
      <c r="GE124" s="224"/>
      <c r="GF124" s="223">
        <f t="shared" si="1035"/>
        <v>12</v>
      </c>
      <c r="GG124" s="223">
        <f t="shared" si="1036"/>
        <v>24</v>
      </c>
      <c r="GH124" s="224">
        <f t="shared" si="1037"/>
        <v>36</v>
      </c>
      <c r="GI124" s="237">
        <f t="shared" si="951"/>
        <v>2304</v>
      </c>
      <c r="GJ124" s="254">
        <f>FZ124*GB124*KOslave+FZ124*FFslave*GD124+INslave*GB124*GD124</f>
        <v>3456</v>
      </c>
      <c r="GK124" s="224">
        <f t="shared" si="1038"/>
        <v>1728</v>
      </c>
      <c r="GL124" s="224">
        <f t="shared" si="1097"/>
        <v>7488</v>
      </c>
      <c r="GM124" s="222">
        <f t="shared" si="1040"/>
        <v>3.6923076923076925</v>
      </c>
      <c r="GN124" s="223">
        <f t="shared" si="1041"/>
        <v>11.076923076923077</v>
      </c>
      <c r="GO124" s="243">
        <f t="shared" si="1042"/>
        <v>8.3076923076923084</v>
      </c>
      <c r="GP124" s="243">
        <f t="shared" si="1043"/>
        <v>23.07692307692308</v>
      </c>
      <c r="GQ124" s="252">
        <f t="shared" si="885"/>
        <v>0</v>
      </c>
      <c r="GR124" s="309">
        <f t="shared" si="1044"/>
        <v>23.07692307692308</v>
      </c>
      <c r="GS124" s="218">
        <f t="shared" ref="GS124:GT126" si="1106">IF(GP124&lt;=0,2,0)+IF(GP124&gt;0,GP124+1,0)*2+IF(GP124&gt;12,GP124-12,0)*2+IF(GP124&gt;13,GP124-13,0)*2+IF(GP124&gt;14,GP124-14,0)*2+IF(GP124&gt;15,GP124-15,0)*2+IF(GP124&gt;16,GP124-16,0)*2+IF(GP124&gt;17,GP124-17,0)*2+IF(GP124&gt;18,GP124-18,0)*2+IF(GP124&gt;19,GP124-19,0)*2+IF(GP124&gt;20,GP124-20,0)*2</f>
        <v>175.5384615384616</v>
      </c>
      <c r="GT124" s="242">
        <f t="shared" si="1106"/>
        <v>2</v>
      </c>
      <c r="GU124" s="243">
        <f t="shared" si="1045"/>
        <v>173.5384615384616</v>
      </c>
      <c r="GV124" s="218">
        <f t="shared" si="1046"/>
        <v>0</v>
      </c>
      <c r="GX124" s="303" t="s">
        <v>291</v>
      </c>
      <c r="GY124" s="304" t="s">
        <v>171</v>
      </c>
      <c r="GZ124" s="243" t="s">
        <v>132</v>
      </c>
      <c r="HA124" s="237"/>
      <c r="HB124" s="234"/>
      <c r="HC124" s="234">
        <f>Konvention_1slave-INslave</f>
        <v>12</v>
      </c>
      <c r="HD124" s="234"/>
      <c r="HE124" s="234">
        <f>Konvention_1slave-FFslave</f>
        <v>12</v>
      </c>
      <c r="HF124" s="234"/>
      <c r="HG124" s="234">
        <f>Konvention_1slave-KOslave_KO</f>
        <v>11</v>
      </c>
      <c r="HH124" s="224"/>
      <c r="HI124" s="223">
        <f t="shared" si="1048"/>
        <v>11.666666666666666</v>
      </c>
      <c r="HJ124" s="223">
        <f t="shared" si="1049"/>
        <v>23.333333333333332</v>
      </c>
      <c r="HK124" s="224">
        <f t="shared" si="1050"/>
        <v>35</v>
      </c>
      <c r="HL124" s="237">
        <f t="shared" si="953"/>
        <v>2432</v>
      </c>
      <c r="HM124" s="254">
        <f>HC124*HE124*KOslave_KO+HC124*FFslave*HG124+INslave*HE124*HG124</f>
        <v>3408</v>
      </c>
      <c r="HN124" s="224">
        <f t="shared" si="1051"/>
        <v>1584</v>
      </c>
      <c r="HO124" s="224">
        <f t="shared" si="1098"/>
        <v>7424</v>
      </c>
      <c r="HP124" s="222">
        <f t="shared" si="1053"/>
        <v>3.8218390804597702</v>
      </c>
      <c r="HQ124" s="223">
        <f t="shared" si="1054"/>
        <v>10.711206896551724</v>
      </c>
      <c r="HR124" s="243">
        <f t="shared" si="1055"/>
        <v>7.4676724137931032</v>
      </c>
      <c r="HS124" s="243">
        <f t="shared" si="1056"/>
        <v>22.000718390804597</v>
      </c>
      <c r="HT124" s="252">
        <f t="shared" si="896"/>
        <v>0</v>
      </c>
      <c r="HU124" s="309">
        <f t="shared" si="1057"/>
        <v>22.000718390804597</v>
      </c>
      <c r="HV124" s="218">
        <f t="shared" ref="HV124:HW126" si="1107">IF(HS124&lt;=0,2,0)+IF(HS124&gt;0,HS124+1,0)*2+IF(HS124&gt;12,HS124-12,0)*2+IF(HS124&gt;13,HS124-13,0)*2+IF(HS124&gt;14,HS124-14,0)*2+IF(HS124&gt;15,HS124-15,0)*2+IF(HS124&gt;16,HS124-16,0)*2+IF(HS124&gt;17,HS124-17,0)*2+IF(HS124&gt;18,HS124-18,0)*2+IF(HS124&gt;19,HS124-19,0)*2+IF(HS124&gt;20,HS124-20,0)*2</f>
        <v>154.01436781609189</v>
      </c>
      <c r="HW124" s="242">
        <f t="shared" si="1107"/>
        <v>2</v>
      </c>
      <c r="HX124" s="243">
        <f t="shared" si="1058"/>
        <v>152.01436781609189</v>
      </c>
      <c r="HY124" s="218">
        <f t="shared" si="1059"/>
        <v>0</v>
      </c>
      <c r="IA124" s="303" t="s">
        <v>291</v>
      </c>
      <c r="IB124" s="304" t="s">
        <v>171</v>
      </c>
      <c r="IC124" s="243" t="s">
        <v>132</v>
      </c>
      <c r="ID124" s="237"/>
      <c r="IE124" s="234"/>
      <c r="IF124" s="234">
        <f>Konvention_1slave-INslave</f>
        <v>12</v>
      </c>
      <c r="IG124" s="234"/>
      <c r="IH124" s="234">
        <f>Konvention_1slave-FFslave</f>
        <v>12</v>
      </c>
      <c r="II124" s="234"/>
      <c r="IJ124" s="234">
        <f>Konvention_1slave-KOslave</f>
        <v>12</v>
      </c>
      <c r="IK124" s="224"/>
      <c r="IL124" s="223">
        <f t="shared" si="1061"/>
        <v>12</v>
      </c>
      <c r="IM124" s="223">
        <f t="shared" si="1062"/>
        <v>24</v>
      </c>
      <c r="IN124" s="224">
        <f t="shared" si="1063"/>
        <v>36</v>
      </c>
      <c r="IO124" s="237">
        <f t="shared" si="955"/>
        <v>2304</v>
      </c>
      <c r="IP124" s="254">
        <f>IF124*IH124*KOslave+IF124*FFslave*IJ124+INslave*IH124*IJ124</f>
        <v>3456</v>
      </c>
      <c r="IQ124" s="224">
        <f t="shared" si="1064"/>
        <v>1728</v>
      </c>
      <c r="IR124" s="224">
        <f t="shared" si="1099"/>
        <v>7488</v>
      </c>
      <c r="IS124" s="222">
        <f t="shared" si="1066"/>
        <v>3.6923076923076925</v>
      </c>
      <c r="IT124" s="223">
        <f t="shared" si="1067"/>
        <v>11.076923076923077</v>
      </c>
      <c r="IU124" s="243">
        <f t="shared" si="1068"/>
        <v>8.3076923076923084</v>
      </c>
      <c r="IV124" s="243">
        <f t="shared" si="1069"/>
        <v>23.07692307692308</v>
      </c>
      <c r="IW124" s="252">
        <f t="shared" si="907"/>
        <v>0</v>
      </c>
      <c r="IX124" s="309">
        <f t="shared" si="1070"/>
        <v>23.07692307692308</v>
      </c>
      <c r="IY124" s="218">
        <f t="shared" ref="IY124:IZ126" si="1108">IF(IV124&lt;=0,2,0)+IF(IV124&gt;0,IV124+1,0)*2+IF(IV124&gt;12,IV124-12,0)*2+IF(IV124&gt;13,IV124-13,0)*2+IF(IV124&gt;14,IV124-14,0)*2+IF(IV124&gt;15,IV124-15,0)*2+IF(IV124&gt;16,IV124-16,0)*2+IF(IV124&gt;17,IV124-17,0)*2+IF(IV124&gt;18,IV124-18,0)*2+IF(IV124&gt;19,IV124-19,0)*2+IF(IV124&gt;20,IV124-20,0)*2</f>
        <v>175.5384615384616</v>
      </c>
      <c r="IZ124" s="242">
        <f t="shared" si="1108"/>
        <v>2</v>
      </c>
      <c r="JA124" s="243">
        <f t="shared" si="1071"/>
        <v>173.5384615384616</v>
      </c>
      <c r="JB124" s="218">
        <f t="shared" si="1072"/>
        <v>0</v>
      </c>
      <c r="JE124" s="148"/>
    </row>
    <row r="125" spans="2:265" ht="15" hidden="1" customHeight="1" outlineLevel="2">
      <c r="B125" s="148">
        <v>26</v>
      </c>
      <c r="C125" s="303" t="e">
        <f>VLOOKUP(AF125,Attribute!C:T,1,FALSE)</f>
        <v>#N/A</v>
      </c>
      <c r="D125" s="86" t="s">
        <v>171</v>
      </c>
      <c r="E125" s="127" t="s">
        <v>132</v>
      </c>
      <c r="F125" s="114"/>
      <c r="G125" s="113"/>
      <c r="H125" s="113">
        <f>Konvention_1master-INmaster</f>
        <v>12</v>
      </c>
      <c r="I125" s="113"/>
      <c r="J125" s="113">
        <f>Konvention_1master-FFmaster</f>
        <v>12</v>
      </c>
      <c r="K125" s="113"/>
      <c r="L125" s="113">
        <f>Konvention_1master-KOmaster</f>
        <v>12</v>
      </c>
      <c r="M125" s="119"/>
      <c r="N125" s="223">
        <f t="shared" si="957"/>
        <v>12</v>
      </c>
      <c r="O125" s="223">
        <f t="shared" si="958"/>
        <v>24</v>
      </c>
      <c r="P125" s="224">
        <f t="shared" si="959"/>
        <v>36</v>
      </c>
      <c r="Q125" s="237">
        <f>F125*POWER(KLmaster,SIGN(G125))*POWER(INmaster,SIGN(H125))*POWER(CHmaster,SIGN(I125))*POWER(FFmaster,SIGN(J125))*POWER(GEmaster,SIGN(K125))*POWER(KOmaster,SIGN(L125))*POWER(KKmaster,SIGN(M125))+G125*POWER(MUmaster,SIGN(F125))*POWER(INmaster,SIGN(H125))*POWER(CHmaster,SIGN(I125))*POWER(FFmaster,SIGN(J125))*POWER(GEmaster,SIGN(K125))*POWER(KOmaster,SIGN(L125))*POWER(KKmaster,SIGN(M125))+H125*POWER(MUmaster,SIGN(F125))*POWER(KLmaster,SIGN(G125))*POWER(CHmaster,SIGN(I125))*POWER(FFmaster,SIGN(J125))*POWER(GEmaster,SIGN(K125))*POWER(KOmaster,SIGN(L125))*POWER(KKmaster,SIGN(M125))+I125*POWER(MUmaster,SIGN(F125))*POWER(KLmaster,SIGN(G125))*POWER(INmaster,SIGN(H125))*POWER(FFmaster,SIGN(J125))*POWER(GEmaster,SIGN(K125))*POWER(KOmaster,SIGN(L125))*POWER(KKmaster,SIGN(M125))+J125*POWER(MUmaster,SIGN(F125))*POWER(KLmaster,SIGN(G125))*POWER(INmaster,SIGN(H125))*POWER(CHmaster,SIGN(I125))*POWER(GEmaster,SIGN(K125))*POWER(KOmaster,SIGN(L125))*POWER(KKmaster,SIGN(M125))+K125*POWER(MUmaster,SIGN(F125))*POWER(KLmaster,SIGN(G125))*POWER(INmaster,SIGN(H125))*POWER(CHmaster,SIGN(I125))*POWER(FFmaster,SIGN(J125))*POWER(KOmaster,SIGN(L125))*POWER(KKmaster,SIGN(M125))+L125*POWER(MUmaster,SIGN(F125))*POWER(KLmaster,SIGN(G125))*POWER(INmaster,SIGN(H125))*POWER(CHmaster,SIGN(I125))*POWER(FFmaster,SIGN(J125))*POWER(GEmaster,SIGN(K125))*POWER(KKmaster,SIGN(M125))+M125*POWER(MUmaster,SIGN(F125))*POWER(KLmaster,SIGN(G125))*POWER(INmaster,SIGN(H125))*POWER(CHmaster,SIGN(I125))*POWER(FFmaster,SIGN(J125))*POWER(GEmaster,SIGN(K125))*POWER(KOmaster,SIGN(L125))</f>
        <v>2304</v>
      </c>
      <c r="R125" s="117">
        <f>H125*J125*KOmaster+H125*FFmaster*L125+INmaster*J125*L125</f>
        <v>3456</v>
      </c>
      <c r="S125" s="224">
        <f t="shared" si="939"/>
        <v>1728</v>
      </c>
      <c r="T125" s="224">
        <f t="shared" si="1091"/>
        <v>7488</v>
      </c>
      <c r="U125" s="222">
        <f t="shared" si="962"/>
        <v>3.6923076923076925</v>
      </c>
      <c r="V125" s="223">
        <f t="shared" si="963"/>
        <v>11.076923076923077</v>
      </c>
      <c r="W125" s="243">
        <f t="shared" si="964"/>
        <v>8.3076923076923084</v>
      </c>
      <c r="X125" s="243">
        <f t="shared" si="965"/>
        <v>23.07692307692308</v>
      </c>
      <c r="Y125" s="252">
        <v>0</v>
      </c>
      <c r="Z125" s="198">
        <f t="shared" si="966"/>
        <v>23.07692307692308</v>
      </c>
      <c r="AA125" s="125">
        <f t="shared" si="1100"/>
        <v>175.5384615384616</v>
      </c>
      <c r="AB125" s="160">
        <f t="shared" si="1100"/>
        <v>2</v>
      </c>
      <c r="AC125" s="127">
        <f t="shared" si="967"/>
        <v>173.5384615384616</v>
      </c>
      <c r="AD125" s="125">
        <f t="shared" si="968"/>
        <v>0</v>
      </c>
      <c r="AF125" s="163" t="s">
        <v>292</v>
      </c>
      <c r="AG125" s="86" t="s">
        <v>171</v>
      </c>
      <c r="AH125" s="127" t="s">
        <v>132</v>
      </c>
      <c r="AI125" s="114"/>
      <c r="AJ125" s="113"/>
      <c r="AK125" s="113">
        <f>Konvention_1slave-INslave</f>
        <v>12</v>
      </c>
      <c r="AL125" s="113"/>
      <c r="AM125" s="113">
        <f>Konvention_1slave-FFslave</f>
        <v>12</v>
      </c>
      <c r="AN125" s="113"/>
      <c r="AO125" s="113">
        <f>Konvention_1slave-KOslave</f>
        <v>12</v>
      </c>
      <c r="AP125" s="119"/>
      <c r="AQ125" s="47">
        <f t="shared" si="970"/>
        <v>12</v>
      </c>
      <c r="AR125" s="3">
        <f t="shared" si="971"/>
        <v>24</v>
      </c>
      <c r="AS125" s="174">
        <f t="shared" si="972"/>
        <v>36</v>
      </c>
      <c r="AT125" s="114">
        <f t="shared" si="941"/>
        <v>2304</v>
      </c>
      <c r="AU125" s="117">
        <f>AK125*AM125*KOslave+AK125*FFslave*AO125+INslave*AM125*AO125</f>
        <v>3456</v>
      </c>
      <c r="AV125" s="119">
        <f t="shared" si="973"/>
        <v>1728</v>
      </c>
      <c r="AW125" s="119">
        <f t="shared" si="1092"/>
        <v>7488</v>
      </c>
      <c r="AX125" s="89">
        <f t="shared" si="975"/>
        <v>3.6923076923076925</v>
      </c>
      <c r="AY125" s="47">
        <f t="shared" si="976"/>
        <v>11.076923076923077</v>
      </c>
      <c r="AZ125" s="127">
        <f t="shared" si="977"/>
        <v>8.3076923076923084</v>
      </c>
      <c r="BA125" s="127">
        <f t="shared" si="978"/>
        <v>23.07692307692308</v>
      </c>
      <c r="BB125" s="165">
        <f t="shared" si="830"/>
        <v>0</v>
      </c>
      <c r="BC125" s="198">
        <f t="shared" si="979"/>
        <v>23.07692307692308</v>
      </c>
      <c r="BD125" s="125">
        <f t="shared" si="1101"/>
        <v>175.5384615384616</v>
      </c>
      <c r="BE125" s="160">
        <f t="shared" si="1101"/>
        <v>2</v>
      </c>
      <c r="BF125" s="243">
        <f t="shared" si="980"/>
        <v>173.5384615384616</v>
      </c>
      <c r="BG125" s="218">
        <f t="shared" si="981"/>
        <v>0</v>
      </c>
      <c r="BI125" s="303" t="s">
        <v>292</v>
      </c>
      <c r="BJ125" s="304" t="s">
        <v>171</v>
      </c>
      <c r="BK125" s="243" t="s">
        <v>132</v>
      </c>
      <c r="BL125" s="237"/>
      <c r="BM125" s="234"/>
      <c r="BN125" s="234">
        <f>Konvention_1slave-INslave</f>
        <v>12</v>
      </c>
      <c r="BO125" s="234"/>
      <c r="BP125" s="234">
        <f>Konvention_1slave-FFslave</f>
        <v>12</v>
      </c>
      <c r="BQ125" s="234"/>
      <c r="BR125" s="234">
        <f>Konvention_1slave-KOslave</f>
        <v>12</v>
      </c>
      <c r="BS125" s="224"/>
      <c r="BT125" s="223">
        <f t="shared" si="983"/>
        <v>12</v>
      </c>
      <c r="BU125" s="223">
        <f t="shared" si="984"/>
        <v>24</v>
      </c>
      <c r="BV125" s="224">
        <f t="shared" si="985"/>
        <v>36</v>
      </c>
      <c r="BW125" s="237">
        <f t="shared" si="943"/>
        <v>2304</v>
      </c>
      <c r="BX125" s="254">
        <f>BN125*BP125*KOslave+BN125*FFslave*BR125+INslave*BP125*BR125</f>
        <v>3456</v>
      </c>
      <c r="BY125" s="224">
        <f t="shared" si="986"/>
        <v>1728</v>
      </c>
      <c r="BZ125" s="224">
        <f t="shared" si="1093"/>
        <v>7488</v>
      </c>
      <c r="CA125" s="222">
        <f t="shared" si="988"/>
        <v>3.6923076923076925</v>
      </c>
      <c r="CB125" s="223">
        <f t="shared" si="989"/>
        <v>11.076923076923077</v>
      </c>
      <c r="CC125" s="243">
        <f t="shared" si="990"/>
        <v>8.3076923076923084</v>
      </c>
      <c r="CD125" s="243">
        <f t="shared" si="991"/>
        <v>23.07692307692308</v>
      </c>
      <c r="CE125" s="252">
        <f t="shared" si="841"/>
        <v>0</v>
      </c>
      <c r="CF125" s="309">
        <f t="shared" si="992"/>
        <v>23.07692307692308</v>
      </c>
      <c r="CG125" s="218">
        <f t="shared" si="1102"/>
        <v>175.5384615384616</v>
      </c>
      <c r="CH125" s="242">
        <f t="shared" si="1102"/>
        <v>2</v>
      </c>
      <c r="CI125" s="243">
        <f t="shared" si="993"/>
        <v>173.5384615384616</v>
      </c>
      <c r="CJ125" s="218">
        <f t="shared" si="994"/>
        <v>0</v>
      </c>
      <c r="CL125" s="303" t="s">
        <v>292</v>
      </c>
      <c r="CM125" s="304" t="s">
        <v>171</v>
      </c>
      <c r="CN125" s="243" t="s">
        <v>132</v>
      </c>
      <c r="CO125" s="237"/>
      <c r="CP125" s="234"/>
      <c r="CQ125" s="234">
        <f>Konvention_1slave-INslave_IN</f>
        <v>11</v>
      </c>
      <c r="CR125" s="234"/>
      <c r="CS125" s="234">
        <f>Konvention_1slave-FFslave</f>
        <v>12</v>
      </c>
      <c r="CT125" s="234"/>
      <c r="CU125" s="234">
        <f>Konvention_1slave-KOslave</f>
        <v>12</v>
      </c>
      <c r="CV125" s="224"/>
      <c r="CW125" s="223">
        <f t="shared" si="996"/>
        <v>11.666666666666666</v>
      </c>
      <c r="CX125" s="223">
        <f t="shared" si="997"/>
        <v>23.333333333333332</v>
      </c>
      <c r="CY125" s="224">
        <f t="shared" si="998"/>
        <v>35</v>
      </c>
      <c r="CZ125" s="237">
        <f t="shared" si="945"/>
        <v>2432</v>
      </c>
      <c r="DA125" s="254">
        <f>CQ125*CS125*KOslave+CQ125*FFslave*CU125+INslave_IN*CS125*CU125</f>
        <v>3408</v>
      </c>
      <c r="DB125" s="224">
        <f t="shared" si="999"/>
        <v>1584</v>
      </c>
      <c r="DC125" s="224">
        <f t="shared" si="1094"/>
        <v>7424</v>
      </c>
      <c r="DD125" s="222">
        <f t="shared" si="1001"/>
        <v>3.8218390804597702</v>
      </c>
      <c r="DE125" s="223">
        <f t="shared" si="1002"/>
        <v>10.711206896551724</v>
      </c>
      <c r="DF125" s="243">
        <f t="shared" si="1003"/>
        <v>7.4676724137931032</v>
      </c>
      <c r="DG125" s="243">
        <f t="shared" si="1004"/>
        <v>22.000718390804597</v>
      </c>
      <c r="DH125" s="252">
        <f t="shared" si="852"/>
        <v>0</v>
      </c>
      <c r="DI125" s="309">
        <f t="shared" si="1005"/>
        <v>22.000718390804597</v>
      </c>
      <c r="DJ125" s="218">
        <f t="shared" si="1103"/>
        <v>154.01436781609189</v>
      </c>
      <c r="DK125" s="242">
        <f t="shared" si="1103"/>
        <v>2</v>
      </c>
      <c r="DL125" s="243">
        <f t="shared" si="1006"/>
        <v>152.01436781609189</v>
      </c>
      <c r="DM125" s="218">
        <f t="shared" si="1007"/>
        <v>0</v>
      </c>
      <c r="DO125" s="303" t="s">
        <v>292</v>
      </c>
      <c r="DP125" s="304" t="s">
        <v>171</v>
      </c>
      <c r="DQ125" s="243" t="s">
        <v>132</v>
      </c>
      <c r="DR125" s="237"/>
      <c r="DS125" s="234"/>
      <c r="DT125" s="234">
        <f>Konvention_1slave-INslave</f>
        <v>12</v>
      </c>
      <c r="DU125" s="234"/>
      <c r="DV125" s="234">
        <f>Konvention_1slave-FFslave</f>
        <v>12</v>
      </c>
      <c r="DW125" s="234"/>
      <c r="DX125" s="234">
        <f>Konvention_1slave-KOslave</f>
        <v>12</v>
      </c>
      <c r="DY125" s="224"/>
      <c r="DZ125" s="223">
        <f t="shared" si="1009"/>
        <v>12</v>
      </c>
      <c r="EA125" s="223">
        <f t="shared" si="1010"/>
        <v>24</v>
      </c>
      <c r="EB125" s="224">
        <f t="shared" si="1011"/>
        <v>36</v>
      </c>
      <c r="EC125" s="237">
        <f t="shared" si="947"/>
        <v>2304</v>
      </c>
      <c r="ED125" s="254">
        <f>DT125*DV125*KOslave+DT125*FFslave*DX125+INslave*DV125*DX125</f>
        <v>3456</v>
      </c>
      <c r="EE125" s="224">
        <f t="shared" si="1012"/>
        <v>1728</v>
      </c>
      <c r="EF125" s="224">
        <f t="shared" si="1095"/>
        <v>7488</v>
      </c>
      <c r="EG125" s="222">
        <f t="shared" si="1014"/>
        <v>3.6923076923076925</v>
      </c>
      <c r="EH125" s="223">
        <f t="shared" si="1015"/>
        <v>11.076923076923077</v>
      </c>
      <c r="EI125" s="243">
        <f t="shared" si="1016"/>
        <v>8.3076923076923084</v>
      </c>
      <c r="EJ125" s="243">
        <f t="shared" si="1017"/>
        <v>23.07692307692308</v>
      </c>
      <c r="EK125" s="252">
        <f t="shared" si="863"/>
        <v>0</v>
      </c>
      <c r="EL125" s="309">
        <f t="shared" si="1018"/>
        <v>23.07692307692308</v>
      </c>
      <c r="EM125" s="218">
        <f t="shared" si="1104"/>
        <v>175.5384615384616</v>
      </c>
      <c r="EN125" s="242">
        <f t="shared" si="1104"/>
        <v>2</v>
      </c>
      <c r="EO125" s="243">
        <f t="shared" si="1019"/>
        <v>173.5384615384616</v>
      </c>
      <c r="EP125" s="218">
        <f t="shared" si="1020"/>
        <v>0</v>
      </c>
      <c r="ER125" s="303" t="s">
        <v>292</v>
      </c>
      <c r="ES125" s="304" t="s">
        <v>171</v>
      </c>
      <c r="ET125" s="243" t="s">
        <v>132</v>
      </c>
      <c r="EU125" s="237"/>
      <c r="EV125" s="234"/>
      <c r="EW125" s="234">
        <f>Konvention_1slave-INslave</f>
        <v>12</v>
      </c>
      <c r="EX125" s="234"/>
      <c r="EY125" s="234">
        <f>Konvention_1slave-FFslave_FF</f>
        <v>11</v>
      </c>
      <c r="EZ125" s="234"/>
      <c r="FA125" s="234">
        <f>Konvention_1slave-KOslave</f>
        <v>12</v>
      </c>
      <c r="FB125" s="224"/>
      <c r="FC125" s="223">
        <f t="shared" si="1022"/>
        <v>11.666666666666666</v>
      </c>
      <c r="FD125" s="223">
        <f t="shared" si="1023"/>
        <v>23.333333333333332</v>
      </c>
      <c r="FE125" s="224">
        <f t="shared" si="1024"/>
        <v>35</v>
      </c>
      <c r="FF125" s="237">
        <f t="shared" si="949"/>
        <v>2432</v>
      </c>
      <c r="FG125" s="254">
        <f>EW125*EY125*KOslave+EW125*FFslave_FF*FA125+INslave*EY125*FA125</f>
        <v>3408</v>
      </c>
      <c r="FH125" s="224">
        <f t="shared" si="1025"/>
        <v>1584</v>
      </c>
      <c r="FI125" s="224">
        <f t="shared" si="1096"/>
        <v>7424</v>
      </c>
      <c r="FJ125" s="222">
        <f t="shared" si="1027"/>
        <v>3.8218390804597702</v>
      </c>
      <c r="FK125" s="223">
        <f t="shared" si="1028"/>
        <v>10.711206896551724</v>
      </c>
      <c r="FL125" s="243">
        <f t="shared" si="1029"/>
        <v>7.4676724137931032</v>
      </c>
      <c r="FM125" s="243">
        <f t="shared" si="1030"/>
        <v>22.000718390804597</v>
      </c>
      <c r="FN125" s="252">
        <f t="shared" si="874"/>
        <v>0</v>
      </c>
      <c r="FO125" s="309">
        <f t="shared" si="1031"/>
        <v>22.000718390804597</v>
      </c>
      <c r="FP125" s="218">
        <f t="shared" si="1105"/>
        <v>154.01436781609189</v>
      </c>
      <c r="FQ125" s="242">
        <f t="shared" si="1105"/>
        <v>2</v>
      </c>
      <c r="FR125" s="243">
        <f t="shared" si="1032"/>
        <v>152.01436781609189</v>
      </c>
      <c r="FS125" s="218">
        <f t="shared" si="1033"/>
        <v>0</v>
      </c>
      <c r="FU125" s="303" t="s">
        <v>292</v>
      </c>
      <c r="FV125" s="304" t="s">
        <v>171</v>
      </c>
      <c r="FW125" s="243" t="s">
        <v>132</v>
      </c>
      <c r="FX125" s="237"/>
      <c r="FY125" s="234"/>
      <c r="FZ125" s="234">
        <f>Konvention_1slave-INslave</f>
        <v>12</v>
      </c>
      <c r="GA125" s="234"/>
      <c r="GB125" s="234">
        <f>Konvention_1slave-FFslave</f>
        <v>12</v>
      </c>
      <c r="GC125" s="234"/>
      <c r="GD125" s="234">
        <f>Konvention_1slave-KOslave</f>
        <v>12</v>
      </c>
      <c r="GE125" s="224"/>
      <c r="GF125" s="223">
        <f t="shared" si="1035"/>
        <v>12</v>
      </c>
      <c r="GG125" s="223">
        <f t="shared" si="1036"/>
        <v>24</v>
      </c>
      <c r="GH125" s="224">
        <f t="shared" si="1037"/>
        <v>36</v>
      </c>
      <c r="GI125" s="237">
        <f t="shared" si="951"/>
        <v>2304</v>
      </c>
      <c r="GJ125" s="254">
        <f>FZ125*GB125*KOslave+FZ125*FFslave*GD125+INslave*GB125*GD125</f>
        <v>3456</v>
      </c>
      <c r="GK125" s="224">
        <f t="shared" si="1038"/>
        <v>1728</v>
      </c>
      <c r="GL125" s="224">
        <f t="shared" si="1097"/>
        <v>7488</v>
      </c>
      <c r="GM125" s="222">
        <f t="shared" si="1040"/>
        <v>3.6923076923076925</v>
      </c>
      <c r="GN125" s="223">
        <f t="shared" si="1041"/>
        <v>11.076923076923077</v>
      </c>
      <c r="GO125" s="243">
        <f t="shared" si="1042"/>
        <v>8.3076923076923084</v>
      </c>
      <c r="GP125" s="243">
        <f t="shared" si="1043"/>
        <v>23.07692307692308</v>
      </c>
      <c r="GQ125" s="252">
        <f t="shared" si="885"/>
        <v>0</v>
      </c>
      <c r="GR125" s="309">
        <f t="shared" si="1044"/>
        <v>23.07692307692308</v>
      </c>
      <c r="GS125" s="218">
        <f t="shared" si="1106"/>
        <v>175.5384615384616</v>
      </c>
      <c r="GT125" s="242">
        <f t="shared" si="1106"/>
        <v>2</v>
      </c>
      <c r="GU125" s="243">
        <f t="shared" si="1045"/>
        <v>173.5384615384616</v>
      </c>
      <c r="GV125" s="218">
        <f t="shared" si="1046"/>
        <v>0</v>
      </c>
      <c r="GX125" s="303" t="s">
        <v>292</v>
      </c>
      <c r="GY125" s="304" t="s">
        <v>171</v>
      </c>
      <c r="GZ125" s="243" t="s">
        <v>132</v>
      </c>
      <c r="HA125" s="237"/>
      <c r="HB125" s="234"/>
      <c r="HC125" s="234">
        <f>Konvention_1slave-INslave</f>
        <v>12</v>
      </c>
      <c r="HD125" s="234"/>
      <c r="HE125" s="234">
        <f>Konvention_1slave-FFslave</f>
        <v>12</v>
      </c>
      <c r="HF125" s="234"/>
      <c r="HG125" s="234">
        <f>Konvention_1slave-KOslave_KO</f>
        <v>11</v>
      </c>
      <c r="HH125" s="224"/>
      <c r="HI125" s="223">
        <f t="shared" si="1048"/>
        <v>11.666666666666666</v>
      </c>
      <c r="HJ125" s="223">
        <f t="shared" si="1049"/>
        <v>23.333333333333332</v>
      </c>
      <c r="HK125" s="224">
        <f t="shared" si="1050"/>
        <v>35</v>
      </c>
      <c r="HL125" s="237">
        <f t="shared" si="953"/>
        <v>2432</v>
      </c>
      <c r="HM125" s="254">
        <f>HC125*HE125*KOslave_KO+HC125*FFslave*HG125+INslave*HE125*HG125</f>
        <v>3408</v>
      </c>
      <c r="HN125" s="224">
        <f t="shared" si="1051"/>
        <v>1584</v>
      </c>
      <c r="HO125" s="224">
        <f t="shared" si="1098"/>
        <v>7424</v>
      </c>
      <c r="HP125" s="222">
        <f t="shared" si="1053"/>
        <v>3.8218390804597702</v>
      </c>
      <c r="HQ125" s="223">
        <f t="shared" si="1054"/>
        <v>10.711206896551724</v>
      </c>
      <c r="HR125" s="243">
        <f t="shared" si="1055"/>
        <v>7.4676724137931032</v>
      </c>
      <c r="HS125" s="243">
        <f t="shared" si="1056"/>
        <v>22.000718390804597</v>
      </c>
      <c r="HT125" s="252">
        <f t="shared" si="896"/>
        <v>0</v>
      </c>
      <c r="HU125" s="309">
        <f t="shared" si="1057"/>
        <v>22.000718390804597</v>
      </c>
      <c r="HV125" s="218">
        <f t="shared" si="1107"/>
        <v>154.01436781609189</v>
      </c>
      <c r="HW125" s="242">
        <f t="shared" si="1107"/>
        <v>2</v>
      </c>
      <c r="HX125" s="243">
        <f t="shared" si="1058"/>
        <v>152.01436781609189</v>
      </c>
      <c r="HY125" s="218">
        <f t="shared" si="1059"/>
        <v>0</v>
      </c>
      <c r="IA125" s="303" t="s">
        <v>292</v>
      </c>
      <c r="IB125" s="304" t="s">
        <v>171</v>
      </c>
      <c r="IC125" s="243" t="s">
        <v>132</v>
      </c>
      <c r="ID125" s="237"/>
      <c r="IE125" s="234"/>
      <c r="IF125" s="234">
        <f>Konvention_1slave-INslave</f>
        <v>12</v>
      </c>
      <c r="IG125" s="234"/>
      <c r="IH125" s="234">
        <f>Konvention_1slave-FFslave</f>
        <v>12</v>
      </c>
      <c r="II125" s="234"/>
      <c r="IJ125" s="234">
        <f>Konvention_1slave-KOslave</f>
        <v>12</v>
      </c>
      <c r="IK125" s="224"/>
      <c r="IL125" s="223">
        <f t="shared" si="1061"/>
        <v>12</v>
      </c>
      <c r="IM125" s="223">
        <f t="shared" si="1062"/>
        <v>24</v>
      </c>
      <c r="IN125" s="224">
        <f t="shared" si="1063"/>
        <v>36</v>
      </c>
      <c r="IO125" s="237">
        <f t="shared" si="955"/>
        <v>2304</v>
      </c>
      <c r="IP125" s="254">
        <f>IF125*IH125*KOslave+IF125*FFslave*IJ125+INslave*IH125*IJ125</f>
        <v>3456</v>
      </c>
      <c r="IQ125" s="224">
        <f t="shared" si="1064"/>
        <v>1728</v>
      </c>
      <c r="IR125" s="224">
        <f t="shared" si="1099"/>
        <v>7488</v>
      </c>
      <c r="IS125" s="222">
        <f t="shared" si="1066"/>
        <v>3.6923076923076925</v>
      </c>
      <c r="IT125" s="223">
        <f t="shared" si="1067"/>
        <v>11.076923076923077</v>
      </c>
      <c r="IU125" s="243">
        <f t="shared" si="1068"/>
        <v>8.3076923076923084</v>
      </c>
      <c r="IV125" s="243">
        <f t="shared" si="1069"/>
        <v>23.07692307692308</v>
      </c>
      <c r="IW125" s="252">
        <f t="shared" si="907"/>
        <v>0</v>
      </c>
      <c r="IX125" s="309">
        <f t="shared" si="1070"/>
        <v>23.07692307692308</v>
      </c>
      <c r="IY125" s="218">
        <f t="shared" si="1108"/>
        <v>175.5384615384616</v>
      </c>
      <c r="IZ125" s="242">
        <f t="shared" si="1108"/>
        <v>2</v>
      </c>
      <c r="JA125" s="243">
        <f t="shared" si="1071"/>
        <v>173.5384615384616</v>
      </c>
      <c r="JB125" s="218">
        <f t="shared" si="1072"/>
        <v>0</v>
      </c>
      <c r="JE125" s="148"/>
    </row>
    <row r="126" spans="2:265" ht="15" hidden="1" customHeight="1" outlineLevel="2">
      <c r="B126" s="148">
        <v>27</v>
      </c>
      <c r="C126" s="306" t="e">
        <f>VLOOKUP(AF126,Attribute!C:T,1,FALSE)</f>
        <v>#N/A</v>
      </c>
      <c r="D126" s="23" t="s">
        <v>87</v>
      </c>
      <c r="E126" s="128" t="s">
        <v>132</v>
      </c>
      <c r="F126" s="115"/>
      <c r="G126" s="122">
        <f>Konvention_1master-KLmaster</f>
        <v>12</v>
      </c>
      <c r="H126" s="122">
        <f>Konvention_1master-INmaster</f>
        <v>12</v>
      </c>
      <c r="I126" s="122">
        <f>Konvention_1master-CHmaster</f>
        <v>12</v>
      </c>
      <c r="J126" s="122"/>
      <c r="K126" s="122"/>
      <c r="L126" s="122"/>
      <c r="M126" s="123"/>
      <c r="N126" s="226">
        <f t="shared" si="957"/>
        <v>12</v>
      </c>
      <c r="O126" s="226">
        <f t="shared" si="958"/>
        <v>24</v>
      </c>
      <c r="P126" s="227">
        <f t="shared" si="959"/>
        <v>36</v>
      </c>
      <c r="Q126" s="238">
        <f>F126*POWER(KLmaster,SIGN(G126))*POWER(INmaster,SIGN(H126))*POWER(CHmaster,SIGN(I126))*POWER(FFmaster,SIGN(J126))*POWER(GEmaster,SIGN(K126))*POWER(KOmaster,SIGN(L126))*POWER(KKmaster,SIGN(M126))+G126*POWER(MUmaster,SIGN(F126))*POWER(INmaster,SIGN(H126))*POWER(CHmaster,SIGN(I126))*POWER(FFmaster,SIGN(J126))*POWER(GEmaster,SIGN(K126))*POWER(KOmaster,SIGN(L126))*POWER(KKmaster,SIGN(M126))+H126*POWER(MUmaster,SIGN(F126))*POWER(KLmaster,SIGN(G126))*POWER(CHmaster,SIGN(I126))*POWER(FFmaster,SIGN(J126))*POWER(GEmaster,SIGN(K126))*POWER(KOmaster,SIGN(L126))*POWER(KKmaster,SIGN(M126))+I126*POWER(MUmaster,SIGN(F126))*POWER(KLmaster,SIGN(G126))*POWER(INmaster,SIGN(H126))*POWER(FFmaster,SIGN(J126))*POWER(GEmaster,SIGN(K126))*POWER(KOmaster,SIGN(L126))*POWER(KKmaster,SIGN(M126))+J126*POWER(MUmaster,SIGN(F126))*POWER(KLmaster,SIGN(G126))*POWER(INmaster,SIGN(H126))*POWER(CHmaster,SIGN(I126))*POWER(GEmaster,SIGN(K126))*POWER(KOmaster,SIGN(L126))*POWER(KKmaster,SIGN(M126))+K126*POWER(MUmaster,SIGN(F126))*POWER(KLmaster,SIGN(G126))*POWER(INmaster,SIGN(H126))*POWER(CHmaster,SIGN(I126))*POWER(FFmaster,SIGN(J126))*POWER(KOmaster,SIGN(L126))*POWER(KKmaster,SIGN(M126))+L126*POWER(MUmaster,SIGN(F126))*POWER(KLmaster,SIGN(G126))*POWER(INmaster,SIGN(H126))*POWER(CHmaster,SIGN(I126))*POWER(FFmaster,SIGN(J126))*POWER(GEmaster,SIGN(K126))*POWER(KKmaster,SIGN(M126))+M126*POWER(MUmaster,SIGN(F126))*POWER(KLmaster,SIGN(G126))*POWER(INmaster,SIGN(H126))*POWER(CHmaster,SIGN(I126))*POWER(FFmaster,SIGN(J126))*POWER(GEmaster,SIGN(K126))*POWER(KOmaster,SIGN(L126))</f>
        <v>2304</v>
      </c>
      <c r="R126" s="169">
        <f>G126*H126*CHmaster+G126*INmaster*I126+KLmaster*H126*I126</f>
        <v>3456</v>
      </c>
      <c r="S126" s="227">
        <f t="shared" si="939"/>
        <v>1728</v>
      </c>
      <c r="T126" s="227">
        <f t="shared" si="1091"/>
        <v>7488</v>
      </c>
      <c r="U126" s="225">
        <f>N126*Q126/T126</f>
        <v>3.6923076923076925</v>
      </c>
      <c r="V126" s="226">
        <f>O126*R126/T126</f>
        <v>11.076923076923077</v>
      </c>
      <c r="W126" s="245">
        <f>P126*S126/T126</f>
        <v>8.3076923076923084</v>
      </c>
      <c r="X126" s="245">
        <f>SUM(U126:W126)</f>
        <v>23.07692307692308</v>
      </c>
      <c r="Y126" s="252">
        <v>0</v>
      </c>
      <c r="Z126" s="198">
        <f>X126-Y126</f>
        <v>23.07692307692308</v>
      </c>
      <c r="AA126" s="159">
        <f t="shared" si="1100"/>
        <v>175.5384615384616</v>
      </c>
      <c r="AB126" s="161">
        <f t="shared" si="1100"/>
        <v>2</v>
      </c>
      <c r="AC126" s="128">
        <f t="shared" si="967"/>
        <v>173.5384615384616</v>
      </c>
      <c r="AD126" s="159">
        <f t="shared" si="968"/>
        <v>0</v>
      </c>
      <c r="AF126" s="164" t="s">
        <v>293</v>
      </c>
      <c r="AG126" s="23" t="s">
        <v>87</v>
      </c>
      <c r="AH126" s="128" t="s">
        <v>132</v>
      </c>
      <c r="AI126" s="115"/>
      <c r="AJ126" s="122">
        <f>Konvention_1slave-KLslave</f>
        <v>12</v>
      </c>
      <c r="AK126" s="122">
        <f>Konvention_1slave-INslave</f>
        <v>12</v>
      </c>
      <c r="AL126" s="122">
        <f>Konvention_1slave-CHslave</f>
        <v>12</v>
      </c>
      <c r="AM126" s="122"/>
      <c r="AN126" s="122"/>
      <c r="AO126" s="122"/>
      <c r="AP126" s="123"/>
      <c r="AQ126" s="88">
        <f t="shared" si="970"/>
        <v>12</v>
      </c>
      <c r="AR126" s="2">
        <f t="shared" si="971"/>
        <v>24</v>
      </c>
      <c r="AS126" s="173">
        <f t="shared" si="972"/>
        <v>36</v>
      </c>
      <c r="AT126" s="115">
        <f t="shared" si="941"/>
        <v>2304</v>
      </c>
      <c r="AU126" s="169">
        <f>AJ126*AK126*CHslave+AJ126*INslave*AL126+KLslave*AK126*AL126</f>
        <v>3456</v>
      </c>
      <c r="AV126" s="123">
        <f t="shared" si="973"/>
        <v>1728</v>
      </c>
      <c r="AW126" s="123">
        <f t="shared" si="1092"/>
        <v>7488</v>
      </c>
      <c r="AX126" s="90">
        <f>AQ126*AT126/AW126</f>
        <v>3.6923076923076925</v>
      </c>
      <c r="AY126" s="88">
        <f>AR126*AU126/AW126</f>
        <v>11.076923076923077</v>
      </c>
      <c r="AZ126" s="128">
        <f>AS126*AV126/AW126</f>
        <v>8.3076923076923084</v>
      </c>
      <c r="BA126" s="128">
        <f>SUM(AX126:AZ126)</f>
        <v>23.07692307692308</v>
      </c>
      <c r="BB126" s="165">
        <f t="shared" si="830"/>
        <v>0</v>
      </c>
      <c r="BC126" s="198">
        <f t="shared" si="979"/>
        <v>23.07692307692308</v>
      </c>
      <c r="BD126" s="159">
        <f t="shared" si="1101"/>
        <v>175.5384615384616</v>
      </c>
      <c r="BE126" s="161">
        <f t="shared" si="1101"/>
        <v>2</v>
      </c>
      <c r="BF126" s="245">
        <f t="shared" si="980"/>
        <v>173.5384615384616</v>
      </c>
      <c r="BG126" s="246">
        <f t="shared" si="981"/>
        <v>0</v>
      </c>
      <c r="BI126" s="306" t="s">
        <v>293</v>
      </c>
      <c r="BJ126" s="314" t="s">
        <v>87</v>
      </c>
      <c r="BK126" s="245" t="s">
        <v>132</v>
      </c>
      <c r="BL126" s="238"/>
      <c r="BM126" s="235">
        <f>Konvention_1slave-KLslave_KL</f>
        <v>11</v>
      </c>
      <c r="BN126" s="235">
        <f>Konvention_1slave-INslave</f>
        <v>12</v>
      </c>
      <c r="BO126" s="235">
        <f>Konvention_1slave-CHslave</f>
        <v>12</v>
      </c>
      <c r="BP126" s="235"/>
      <c r="BQ126" s="235"/>
      <c r="BR126" s="235"/>
      <c r="BS126" s="227"/>
      <c r="BT126" s="226">
        <f t="shared" si="983"/>
        <v>11.666666666666666</v>
      </c>
      <c r="BU126" s="226">
        <f t="shared" si="984"/>
        <v>23.333333333333332</v>
      </c>
      <c r="BV126" s="227">
        <f t="shared" si="985"/>
        <v>35</v>
      </c>
      <c r="BW126" s="238">
        <f t="shared" si="943"/>
        <v>2432</v>
      </c>
      <c r="BX126" s="315">
        <f>BM126*BN126*CHslave+BM126*INslave*BO126+KLslave_KL*BN126*BO126</f>
        <v>3408</v>
      </c>
      <c r="BY126" s="227">
        <f t="shared" si="986"/>
        <v>1584</v>
      </c>
      <c r="BZ126" s="227">
        <f t="shared" si="1093"/>
        <v>7424</v>
      </c>
      <c r="CA126" s="225">
        <f>BT126*BW126/BZ126</f>
        <v>3.8218390804597702</v>
      </c>
      <c r="CB126" s="226">
        <f>BU126*BX126/BZ126</f>
        <v>10.711206896551724</v>
      </c>
      <c r="CC126" s="245">
        <f>BV126*BY126/BZ126</f>
        <v>7.4676724137931032</v>
      </c>
      <c r="CD126" s="245">
        <f>SUM(CA126:CC126)</f>
        <v>22.000718390804597</v>
      </c>
      <c r="CE126" s="252">
        <f t="shared" si="841"/>
        <v>0</v>
      </c>
      <c r="CF126" s="309">
        <f t="shared" si="992"/>
        <v>22.000718390804597</v>
      </c>
      <c r="CG126" s="246">
        <f t="shared" si="1102"/>
        <v>154.01436781609189</v>
      </c>
      <c r="CH126" s="244">
        <f t="shared" si="1102"/>
        <v>2</v>
      </c>
      <c r="CI126" s="245">
        <f t="shared" si="993"/>
        <v>152.01436781609189</v>
      </c>
      <c r="CJ126" s="246">
        <f t="shared" si="994"/>
        <v>0</v>
      </c>
      <c r="CL126" s="306" t="s">
        <v>293</v>
      </c>
      <c r="CM126" s="314" t="s">
        <v>87</v>
      </c>
      <c r="CN126" s="245" t="s">
        <v>132</v>
      </c>
      <c r="CO126" s="238"/>
      <c r="CP126" s="235">
        <f>Konvention_1slave-KLslave</f>
        <v>12</v>
      </c>
      <c r="CQ126" s="235">
        <f>Konvention_1slave-INslave_IN</f>
        <v>11</v>
      </c>
      <c r="CR126" s="235">
        <f>Konvention_1slave-CHslave</f>
        <v>12</v>
      </c>
      <c r="CS126" s="235"/>
      <c r="CT126" s="235"/>
      <c r="CU126" s="235"/>
      <c r="CV126" s="227"/>
      <c r="CW126" s="226">
        <f t="shared" si="996"/>
        <v>11.666666666666666</v>
      </c>
      <c r="CX126" s="226">
        <f t="shared" si="997"/>
        <v>23.333333333333332</v>
      </c>
      <c r="CY126" s="227">
        <f t="shared" si="998"/>
        <v>35</v>
      </c>
      <c r="CZ126" s="238">
        <f t="shared" si="945"/>
        <v>2432</v>
      </c>
      <c r="DA126" s="315">
        <f>CP126*CQ126*CHslave+CP126*INslave_IN*CR126+KLslave*CQ126*CR126</f>
        <v>3408</v>
      </c>
      <c r="DB126" s="227">
        <f t="shared" si="999"/>
        <v>1584</v>
      </c>
      <c r="DC126" s="227">
        <f t="shared" si="1094"/>
        <v>7424</v>
      </c>
      <c r="DD126" s="225">
        <f>CW126*CZ126/DC126</f>
        <v>3.8218390804597702</v>
      </c>
      <c r="DE126" s="226">
        <f>CX126*DA126/DC126</f>
        <v>10.711206896551724</v>
      </c>
      <c r="DF126" s="245">
        <f>CY126*DB126/DC126</f>
        <v>7.4676724137931032</v>
      </c>
      <c r="DG126" s="245">
        <f>SUM(DD126:DF126)</f>
        <v>22.000718390804597</v>
      </c>
      <c r="DH126" s="252">
        <f t="shared" si="852"/>
        <v>0</v>
      </c>
      <c r="DI126" s="309">
        <f t="shared" si="1005"/>
        <v>22.000718390804597</v>
      </c>
      <c r="DJ126" s="246">
        <f t="shared" si="1103"/>
        <v>154.01436781609189</v>
      </c>
      <c r="DK126" s="244">
        <f t="shared" si="1103"/>
        <v>2</v>
      </c>
      <c r="DL126" s="245">
        <f t="shared" si="1006"/>
        <v>152.01436781609189</v>
      </c>
      <c r="DM126" s="246">
        <f t="shared" si="1007"/>
        <v>0</v>
      </c>
      <c r="DO126" s="306" t="s">
        <v>293</v>
      </c>
      <c r="DP126" s="314" t="s">
        <v>87</v>
      </c>
      <c r="DQ126" s="245" t="s">
        <v>132</v>
      </c>
      <c r="DR126" s="238"/>
      <c r="DS126" s="235">
        <f>Konvention_1slave-KLslave</f>
        <v>12</v>
      </c>
      <c r="DT126" s="235">
        <f>Konvention_1slave-INslave</f>
        <v>12</v>
      </c>
      <c r="DU126" s="235">
        <f>Konvention_1slave-CHslave_CH</f>
        <v>11</v>
      </c>
      <c r="DV126" s="235"/>
      <c r="DW126" s="235"/>
      <c r="DX126" s="235"/>
      <c r="DY126" s="227"/>
      <c r="DZ126" s="226">
        <f t="shared" si="1009"/>
        <v>11.666666666666666</v>
      </c>
      <c r="EA126" s="226">
        <f t="shared" si="1010"/>
        <v>23.333333333333332</v>
      </c>
      <c r="EB126" s="227">
        <f t="shared" si="1011"/>
        <v>35</v>
      </c>
      <c r="EC126" s="238">
        <f t="shared" si="947"/>
        <v>2432</v>
      </c>
      <c r="ED126" s="315">
        <f>DS126*DT126*CHslave_CH+DS126*INslave*DU126+KLslave*DT126*DU126</f>
        <v>3408</v>
      </c>
      <c r="EE126" s="227">
        <f t="shared" si="1012"/>
        <v>1584</v>
      </c>
      <c r="EF126" s="227">
        <f t="shared" si="1095"/>
        <v>7424</v>
      </c>
      <c r="EG126" s="225">
        <f>DZ126*EC126/EF126</f>
        <v>3.8218390804597702</v>
      </c>
      <c r="EH126" s="226">
        <f>EA126*ED126/EF126</f>
        <v>10.711206896551724</v>
      </c>
      <c r="EI126" s="245">
        <f>EB126*EE126/EF126</f>
        <v>7.4676724137931032</v>
      </c>
      <c r="EJ126" s="245">
        <f>SUM(EG126:EI126)</f>
        <v>22.000718390804597</v>
      </c>
      <c r="EK126" s="252">
        <f t="shared" si="863"/>
        <v>0</v>
      </c>
      <c r="EL126" s="309">
        <f t="shared" si="1018"/>
        <v>22.000718390804597</v>
      </c>
      <c r="EM126" s="246">
        <f t="shared" si="1104"/>
        <v>154.01436781609189</v>
      </c>
      <c r="EN126" s="244">
        <f t="shared" si="1104"/>
        <v>2</v>
      </c>
      <c r="EO126" s="245">
        <f t="shared" si="1019"/>
        <v>152.01436781609189</v>
      </c>
      <c r="EP126" s="246">
        <f t="shared" si="1020"/>
        <v>0</v>
      </c>
      <c r="ER126" s="306" t="s">
        <v>293</v>
      </c>
      <c r="ES126" s="314" t="s">
        <v>87</v>
      </c>
      <c r="ET126" s="245" t="s">
        <v>132</v>
      </c>
      <c r="EU126" s="238"/>
      <c r="EV126" s="235">
        <f>Konvention_1slave-KLslave</f>
        <v>12</v>
      </c>
      <c r="EW126" s="235">
        <f>Konvention_1slave-INslave</f>
        <v>12</v>
      </c>
      <c r="EX126" s="235">
        <f>Konvention_1slave-CHslave</f>
        <v>12</v>
      </c>
      <c r="EY126" s="235"/>
      <c r="EZ126" s="235"/>
      <c r="FA126" s="235"/>
      <c r="FB126" s="227"/>
      <c r="FC126" s="226">
        <f t="shared" si="1022"/>
        <v>12</v>
      </c>
      <c r="FD126" s="226">
        <f t="shared" si="1023"/>
        <v>24</v>
      </c>
      <c r="FE126" s="227">
        <f t="shared" si="1024"/>
        <v>36</v>
      </c>
      <c r="FF126" s="238">
        <f t="shared" si="949"/>
        <v>2304</v>
      </c>
      <c r="FG126" s="315">
        <f>EV126*EW126*CHslave+EV126*INslave*EX126+KLslave*EW126*EX126</f>
        <v>3456</v>
      </c>
      <c r="FH126" s="227">
        <f t="shared" si="1025"/>
        <v>1728</v>
      </c>
      <c r="FI126" s="227">
        <f t="shared" si="1096"/>
        <v>7488</v>
      </c>
      <c r="FJ126" s="225">
        <f>FC126*FF126/FI126</f>
        <v>3.6923076923076925</v>
      </c>
      <c r="FK126" s="226">
        <f>FD126*FG126/FI126</f>
        <v>11.076923076923077</v>
      </c>
      <c r="FL126" s="245">
        <f>FE126*FH126/FI126</f>
        <v>8.3076923076923084</v>
      </c>
      <c r="FM126" s="245">
        <f>SUM(FJ126:FL126)</f>
        <v>23.07692307692308</v>
      </c>
      <c r="FN126" s="252">
        <f t="shared" si="874"/>
        <v>0</v>
      </c>
      <c r="FO126" s="309">
        <f t="shared" si="1031"/>
        <v>23.07692307692308</v>
      </c>
      <c r="FP126" s="246">
        <f t="shared" si="1105"/>
        <v>175.5384615384616</v>
      </c>
      <c r="FQ126" s="244">
        <f t="shared" si="1105"/>
        <v>2</v>
      </c>
      <c r="FR126" s="245">
        <f t="shared" si="1032"/>
        <v>173.5384615384616</v>
      </c>
      <c r="FS126" s="246">
        <f t="shared" si="1033"/>
        <v>0</v>
      </c>
      <c r="FU126" s="306" t="s">
        <v>293</v>
      </c>
      <c r="FV126" s="314" t="s">
        <v>87</v>
      </c>
      <c r="FW126" s="245" t="s">
        <v>132</v>
      </c>
      <c r="FX126" s="238"/>
      <c r="FY126" s="235">
        <f>Konvention_1slave-KLslave</f>
        <v>12</v>
      </c>
      <c r="FZ126" s="235">
        <f>Konvention_1slave-INslave</f>
        <v>12</v>
      </c>
      <c r="GA126" s="235">
        <f>Konvention_1slave-CHslave</f>
        <v>12</v>
      </c>
      <c r="GB126" s="235"/>
      <c r="GC126" s="235"/>
      <c r="GD126" s="235"/>
      <c r="GE126" s="227"/>
      <c r="GF126" s="226">
        <f t="shared" si="1035"/>
        <v>12</v>
      </c>
      <c r="GG126" s="226">
        <f t="shared" si="1036"/>
        <v>24</v>
      </c>
      <c r="GH126" s="227">
        <f t="shared" si="1037"/>
        <v>36</v>
      </c>
      <c r="GI126" s="238">
        <f t="shared" si="951"/>
        <v>2304</v>
      </c>
      <c r="GJ126" s="315">
        <f>FY126*FZ126*CHslave+FY126*INslave*GA126+KLslave*FZ126*GA126</f>
        <v>3456</v>
      </c>
      <c r="GK126" s="227">
        <f t="shared" si="1038"/>
        <v>1728</v>
      </c>
      <c r="GL126" s="227">
        <f t="shared" si="1097"/>
        <v>7488</v>
      </c>
      <c r="GM126" s="225">
        <f>GF126*GI126/GL126</f>
        <v>3.6923076923076925</v>
      </c>
      <c r="GN126" s="226">
        <f>GG126*GJ126/GL126</f>
        <v>11.076923076923077</v>
      </c>
      <c r="GO126" s="245">
        <f>GH126*GK126/GL126</f>
        <v>8.3076923076923084</v>
      </c>
      <c r="GP126" s="245">
        <f>SUM(GM126:GO126)</f>
        <v>23.07692307692308</v>
      </c>
      <c r="GQ126" s="252">
        <f t="shared" si="885"/>
        <v>0</v>
      </c>
      <c r="GR126" s="309">
        <f t="shared" si="1044"/>
        <v>23.07692307692308</v>
      </c>
      <c r="GS126" s="246">
        <f t="shared" si="1106"/>
        <v>175.5384615384616</v>
      </c>
      <c r="GT126" s="244">
        <f t="shared" si="1106"/>
        <v>2</v>
      </c>
      <c r="GU126" s="245">
        <f t="shared" si="1045"/>
        <v>173.5384615384616</v>
      </c>
      <c r="GV126" s="246">
        <f t="shared" si="1046"/>
        <v>0</v>
      </c>
      <c r="GX126" s="306" t="s">
        <v>293</v>
      </c>
      <c r="GY126" s="314" t="s">
        <v>87</v>
      </c>
      <c r="GZ126" s="245" t="s">
        <v>132</v>
      </c>
      <c r="HA126" s="238"/>
      <c r="HB126" s="235">
        <f>Konvention_1slave-KLslave</f>
        <v>12</v>
      </c>
      <c r="HC126" s="235">
        <f>Konvention_1slave-INslave</f>
        <v>12</v>
      </c>
      <c r="HD126" s="235">
        <f>Konvention_1slave-CHslave</f>
        <v>12</v>
      </c>
      <c r="HE126" s="235"/>
      <c r="HF126" s="235"/>
      <c r="HG126" s="235"/>
      <c r="HH126" s="227"/>
      <c r="HI126" s="226">
        <f t="shared" si="1048"/>
        <v>12</v>
      </c>
      <c r="HJ126" s="226">
        <f t="shared" si="1049"/>
        <v>24</v>
      </c>
      <c r="HK126" s="227">
        <f t="shared" si="1050"/>
        <v>36</v>
      </c>
      <c r="HL126" s="238">
        <f t="shared" si="953"/>
        <v>2304</v>
      </c>
      <c r="HM126" s="315">
        <f>HB126*HC126*CHslave+HB126*INslave*HD126+KLslave*HC126*HD126</f>
        <v>3456</v>
      </c>
      <c r="HN126" s="227">
        <f t="shared" si="1051"/>
        <v>1728</v>
      </c>
      <c r="HO126" s="227">
        <f t="shared" si="1098"/>
        <v>7488</v>
      </c>
      <c r="HP126" s="225">
        <f>HI126*HL126/HO126</f>
        <v>3.6923076923076925</v>
      </c>
      <c r="HQ126" s="226">
        <f>HJ126*HM126/HO126</f>
        <v>11.076923076923077</v>
      </c>
      <c r="HR126" s="245">
        <f>HK126*HN126/HO126</f>
        <v>8.3076923076923084</v>
      </c>
      <c r="HS126" s="245">
        <f>SUM(HP126:HR126)</f>
        <v>23.07692307692308</v>
      </c>
      <c r="HT126" s="252">
        <f t="shared" si="896"/>
        <v>0</v>
      </c>
      <c r="HU126" s="309">
        <f t="shared" si="1057"/>
        <v>23.07692307692308</v>
      </c>
      <c r="HV126" s="246">
        <f t="shared" si="1107"/>
        <v>175.5384615384616</v>
      </c>
      <c r="HW126" s="244">
        <f t="shared" si="1107"/>
        <v>2</v>
      </c>
      <c r="HX126" s="245">
        <f t="shared" si="1058"/>
        <v>173.5384615384616</v>
      </c>
      <c r="HY126" s="246">
        <f t="shared" si="1059"/>
        <v>0</v>
      </c>
      <c r="IA126" s="306" t="s">
        <v>293</v>
      </c>
      <c r="IB126" s="314" t="s">
        <v>87</v>
      </c>
      <c r="IC126" s="245" t="s">
        <v>132</v>
      </c>
      <c r="ID126" s="238"/>
      <c r="IE126" s="235">
        <f>Konvention_1slave-KLslave</f>
        <v>12</v>
      </c>
      <c r="IF126" s="235">
        <f>Konvention_1slave-INslave</f>
        <v>12</v>
      </c>
      <c r="IG126" s="235">
        <f>Konvention_1slave-CHslave</f>
        <v>12</v>
      </c>
      <c r="IH126" s="235"/>
      <c r="II126" s="235"/>
      <c r="IJ126" s="235"/>
      <c r="IK126" s="227"/>
      <c r="IL126" s="226">
        <f t="shared" si="1061"/>
        <v>12</v>
      </c>
      <c r="IM126" s="226">
        <f t="shared" si="1062"/>
        <v>24</v>
      </c>
      <c r="IN126" s="227">
        <f t="shared" si="1063"/>
        <v>36</v>
      </c>
      <c r="IO126" s="238">
        <f t="shared" si="955"/>
        <v>2304</v>
      </c>
      <c r="IP126" s="315">
        <f>IE126*IF126*CHslave+IE126*INslave*IG126+KLslave*IF126*IG126</f>
        <v>3456</v>
      </c>
      <c r="IQ126" s="227">
        <f t="shared" si="1064"/>
        <v>1728</v>
      </c>
      <c r="IR126" s="227">
        <f t="shared" si="1099"/>
        <v>7488</v>
      </c>
      <c r="IS126" s="225">
        <f>IL126*IO126/IR126</f>
        <v>3.6923076923076925</v>
      </c>
      <c r="IT126" s="226">
        <f>IM126*IP126/IR126</f>
        <v>11.076923076923077</v>
      </c>
      <c r="IU126" s="245">
        <f>IN126*IQ126/IR126</f>
        <v>8.3076923076923084</v>
      </c>
      <c r="IV126" s="245">
        <f>SUM(IS126:IU126)</f>
        <v>23.07692307692308</v>
      </c>
      <c r="IW126" s="252">
        <f t="shared" si="907"/>
        <v>0</v>
      </c>
      <c r="IX126" s="309">
        <f t="shared" si="1070"/>
        <v>23.07692307692308</v>
      </c>
      <c r="IY126" s="246">
        <f t="shared" si="1108"/>
        <v>175.5384615384616</v>
      </c>
      <c r="IZ126" s="244">
        <f t="shared" si="1108"/>
        <v>2</v>
      </c>
      <c r="JA126" s="245">
        <f t="shared" si="1071"/>
        <v>173.5384615384616</v>
      </c>
      <c r="JB126" s="246">
        <f t="shared" si="1072"/>
        <v>0</v>
      </c>
      <c r="JE126" s="148"/>
    </row>
    <row r="127" spans="2:265" hidden="1" outlineLevel="1" collapsed="1">
      <c r="B127" s="134" t="s">
        <v>330</v>
      </c>
      <c r="C127" s="307" t="s">
        <v>281</v>
      </c>
      <c r="D127" s="84" t="s">
        <v>279</v>
      </c>
      <c r="E127" s="84" t="s">
        <v>280</v>
      </c>
      <c r="Y127" s="251"/>
      <c r="Z127" s="197"/>
      <c r="AF127" s="83" t="s">
        <v>281</v>
      </c>
      <c r="AG127" s="84" t="s">
        <v>279</v>
      </c>
      <c r="AH127" s="84" t="s">
        <v>280</v>
      </c>
      <c r="BB127" s="197"/>
      <c r="BC127" s="197"/>
      <c r="BI127" s="307" t="s">
        <v>281</v>
      </c>
      <c r="BJ127" s="308" t="s">
        <v>279</v>
      </c>
      <c r="BK127" s="308" t="s">
        <v>280</v>
      </c>
      <c r="CE127" s="251"/>
      <c r="CF127" s="251"/>
      <c r="CL127" s="307" t="s">
        <v>281</v>
      </c>
      <c r="CM127" s="308" t="s">
        <v>279</v>
      </c>
      <c r="CN127" s="308" t="s">
        <v>280</v>
      </c>
      <c r="DH127" s="251"/>
      <c r="DI127" s="251"/>
      <c r="DO127" s="307" t="s">
        <v>281</v>
      </c>
      <c r="DP127" s="308" t="s">
        <v>279</v>
      </c>
      <c r="DQ127" s="308" t="s">
        <v>280</v>
      </c>
      <c r="EK127" s="251"/>
      <c r="EL127" s="251"/>
      <c r="ER127" s="307" t="s">
        <v>281</v>
      </c>
      <c r="ES127" s="308" t="s">
        <v>279</v>
      </c>
      <c r="ET127" s="308" t="s">
        <v>280</v>
      </c>
      <c r="FN127" s="251"/>
      <c r="FO127" s="251"/>
      <c r="FU127" s="307" t="s">
        <v>281</v>
      </c>
      <c r="FV127" s="308" t="s">
        <v>279</v>
      </c>
      <c r="FW127" s="308" t="s">
        <v>280</v>
      </c>
      <c r="GQ127" s="251"/>
      <c r="GR127" s="251"/>
      <c r="GX127" s="307" t="s">
        <v>281</v>
      </c>
      <c r="GY127" s="308" t="s">
        <v>279</v>
      </c>
      <c r="GZ127" s="308" t="s">
        <v>280</v>
      </c>
      <c r="HT127" s="251"/>
      <c r="HU127" s="251"/>
      <c r="IA127" s="307" t="s">
        <v>281</v>
      </c>
      <c r="IB127" s="308" t="s">
        <v>279</v>
      </c>
      <c r="IC127" s="308" t="s">
        <v>280</v>
      </c>
      <c r="IW127" s="251"/>
      <c r="IX127" s="251"/>
      <c r="JE127" s="148"/>
    </row>
    <row r="128" spans="2:265" ht="15" hidden="1" customHeight="1" outlineLevel="2">
      <c r="B128" s="148">
        <v>1</v>
      </c>
      <c r="C128" s="302" t="e">
        <f>VLOOKUP(AF128,Attribute!C:T,1,FALSE)</f>
        <v>#N/A</v>
      </c>
      <c r="D128" s="158" t="s">
        <v>170</v>
      </c>
      <c r="E128" s="126" t="s">
        <v>133</v>
      </c>
      <c r="F128" s="191"/>
      <c r="G128" s="118">
        <f>Konvention_1master-KLmaster</f>
        <v>12</v>
      </c>
      <c r="H128" s="118">
        <f>Konvention_1master-INmaster</f>
        <v>12</v>
      </c>
      <c r="I128" s="118"/>
      <c r="J128" s="118">
        <f>Konvention_1master-FFmaster</f>
        <v>12</v>
      </c>
      <c r="K128" s="118"/>
      <c r="L128" s="118"/>
      <c r="M128" s="92"/>
      <c r="N128" s="220">
        <f>(F128+G128+H128+I128+J128+K128+L128+M128)/3</f>
        <v>12</v>
      </c>
      <c r="O128" s="220">
        <f>2*N128</f>
        <v>24</v>
      </c>
      <c r="P128" s="221">
        <f>3*N128</f>
        <v>36</v>
      </c>
      <c r="Q128" s="236">
        <f>F128*POWER(KLmaster,SIGN(G128))*POWER(INmaster,SIGN(H128))*POWER(CHmaster,SIGN(I128))*POWER(FFmaster,SIGN(J128))*POWER(GEmaster,SIGN(K128))*POWER(KOmaster,SIGN(L128))*POWER(KKmaster,SIGN(M128))+G128*POWER(MUmaster,SIGN(F128))*POWER(INmaster,SIGN(H128))*POWER(CHmaster,SIGN(I128))*POWER(FFmaster,SIGN(J128))*POWER(GEmaster,SIGN(K128))*POWER(KOmaster,SIGN(L128))*POWER(KKmaster,SIGN(M128))+H128*POWER(MUmaster,SIGN(F128))*POWER(KLmaster,SIGN(G128))*POWER(CHmaster,SIGN(I128))*POWER(FFmaster,SIGN(J128))*POWER(GEmaster,SIGN(K128))*POWER(KOmaster,SIGN(L128))*POWER(KKmaster,SIGN(M128))+I128*POWER(MUmaster,SIGN(F128))*POWER(KLmaster,SIGN(G128))*POWER(INmaster,SIGN(H128))*POWER(FFmaster,SIGN(J128))*POWER(GEmaster,SIGN(K128))*POWER(KOmaster,SIGN(L128))*POWER(KKmaster,SIGN(M128))+J128*POWER(MUmaster,SIGN(F128))*POWER(KLmaster,SIGN(G128))*POWER(INmaster,SIGN(H128))*POWER(CHmaster,SIGN(I128))*POWER(GEmaster,SIGN(K128))*POWER(KOmaster,SIGN(L128))*POWER(KKmaster,SIGN(M128))+K128*POWER(MUmaster,SIGN(F128))*POWER(KLmaster,SIGN(G128))*POWER(INmaster,SIGN(H128))*POWER(CHmaster,SIGN(I128))*POWER(FFmaster,SIGN(J128))*POWER(KOmaster,SIGN(L128))*POWER(KKmaster,SIGN(M128))+L128*POWER(MUmaster,SIGN(F128))*POWER(KLmaster,SIGN(G128))*POWER(INmaster,SIGN(H128))*POWER(CHmaster,SIGN(I128))*POWER(FFmaster,SIGN(J128))*POWER(GEmaster,SIGN(K128))*POWER(KKmaster,SIGN(M128))+M128*POWER(MUmaster,SIGN(F128))*POWER(KLmaster,SIGN(G128))*POWER(INmaster,SIGN(H128))*POWER(CHmaster,SIGN(I128))*POWER(FFmaster,SIGN(J128))*POWER(GEmaster,SIGN(K128))*POWER(KOmaster,SIGN(L128))</f>
        <v>2304</v>
      </c>
      <c r="R128" s="118">
        <f>G128*H128*FFmaster+G128*INmaster*J128+KLmaster*H128*J128</f>
        <v>3456</v>
      </c>
      <c r="S128" s="221">
        <f>IFERROR(F128^SIGN(F128),1)*IFERROR(G128^SIGN(G128),1)*IFERROR(H128^SIGN(H128),1)*IFERROR(I128^SIGN(I128),1)*IFERROR(J128^SIGN(J128),1)*IFERROR(K128^SIGN(K128),1)*IFERROR(L128^SIGN(L128),1)*IFERROR(M128^SIGN(M128),1)</f>
        <v>1728</v>
      </c>
      <c r="T128" s="221">
        <f t="shared" ref="T128:T151" si="1109">SUM(Q128:S128)</f>
        <v>7488</v>
      </c>
      <c r="U128" s="219">
        <f>N128*Q128/T128</f>
        <v>3.6923076923076925</v>
      </c>
      <c r="V128" s="220">
        <f>O128*R128/T128</f>
        <v>11.076923076923077</v>
      </c>
      <c r="W128" s="241">
        <f>P128*S128/T128</f>
        <v>8.3076923076923084</v>
      </c>
      <c r="X128" s="241">
        <f>SUM(U128:W128)</f>
        <v>23.07692307692308</v>
      </c>
      <c r="Y128" s="252">
        <v>0</v>
      </c>
      <c r="Z128" s="198">
        <f>X128-Y128</f>
        <v>23.07692307692308</v>
      </c>
      <c r="AA128" s="158">
        <f>IF(X128&lt;=0,1,0)+IF(X128&gt;0,X128+1,0)*1+IF(X128&gt;12,X128-12,0)*1+IF(X128&gt;13,X128-13,0)*1+IF(X128&gt;14,X128-14,0)*1+IF(X128&gt;15,X128-15,0)*1+IF(X128&gt;16,X128-16,0)*1+IF(X128&gt;17,X128-17,0)*1+IF(X128&gt;18,X128-18,0)*1+IF(X128&gt;19,X128-19,0)*1+IF(X128&gt;20,X128-20,0)*1</f>
        <v>87.769230769230802</v>
      </c>
      <c r="AB128" s="91">
        <f>IF(Y128&lt;=0,1,0)+IF(Y128&gt;0,Y128+1,0)*1+IF(Y128&gt;12,Y128-12,0)*1+IF(Y128&gt;13,Y128-13,0)*1+IF(Y128&gt;14,Y128-14,0)*1+IF(Y128&gt;15,Y128-15,0)*1+IF(Y128&gt;16,Y128-16,0)*1+IF(Y128&gt;17,Y128-17,0)*1+IF(Y128&gt;18,Y128-18,0)*1+IF(Y128&gt;19,Y128-19,0)*1+IF(Y128&gt;20,Y128-20,0)*1</f>
        <v>1</v>
      </c>
      <c r="AC128" s="126">
        <f>IF((AA128-AB128)&gt;0,AA128-AB128,0)</f>
        <v>86.769230769230802</v>
      </c>
      <c r="AD128" s="158">
        <f>IF((AB128-AA128)&gt;0,AB128-AA128,0)</f>
        <v>0</v>
      </c>
      <c r="AF128" s="162" t="s">
        <v>351</v>
      </c>
      <c r="AG128" s="158" t="s">
        <v>170</v>
      </c>
      <c r="AH128" s="126" t="s">
        <v>133</v>
      </c>
      <c r="AI128" s="191"/>
      <c r="AJ128" s="118">
        <f>Konvention_1slave-KLslave</f>
        <v>12</v>
      </c>
      <c r="AK128" s="118">
        <f>Konvention_1slave-INslave</f>
        <v>12</v>
      </c>
      <c r="AL128" s="118"/>
      <c r="AM128" s="118">
        <f>Konvention_1slave-FFslave</f>
        <v>12</v>
      </c>
      <c r="AN128" s="118"/>
      <c r="AO128" s="118"/>
      <c r="AP128" s="92"/>
      <c r="AQ128" s="116">
        <f>(AI128+AJ128+AK128+AL128+AM128+AN128+AO128+AP128)/3</f>
        <v>12</v>
      </c>
      <c r="AR128" s="116">
        <f>2*AQ128</f>
        <v>24</v>
      </c>
      <c r="AS128" s="92">
        <f>3*AQ128</f>
        <v>36</v>
      </c>
      <c r="AT128" s="191">
        <f t="shared" ref="AT128:AT151" si="1110">AI128*POWER(KLslave,SIGN(AJ128))*POWER(INslave,SIGN(AK128))*POWER(CHslave,SIGN(AL128))*POWER(FFslave,SIGN(AM128))*POWER(GEslave,SIGN(AN128))*POWER(KOslave,SIGN(AO128))*POWER(KKslave,SIGN(AP128))+AJ128*POWER(MUslave_MU,SIGN(AI128))*POWER(INslave,SIGN(AK128))*POWER(CHslave,SIGN(AL128))*POWER(FFslave,SIGN(AM128))*POWER(GEslave,SIGN(AN128))*POWER(KOslave,SIGN(AO128))*POWER(KKslave,SIGN(AP128))+AK128*POWER(MUslave_MU,SIGN(AI128))*POWER(KLslave,SIGN(AJ128))*POWER(CHslave,SIGN(AL128))*POWER(FFslave,SIGN(AM128))*POWER(GEslave,SIGN(AN128))*POWER(KOslave,SIGN(AO128))*POWER(KKslave,SIGN(AP128))+AL128*POWER(MUslave_MU,SIGN(AI128))*POWER(KLslave,SIGN(AJ128))*POWER(INslave,SIGN(AK128))*POWER(FFslave,SIGN(AM128))*POWER(GEslave,SIGN(AN128))*POWER(KOslave,SIGN(AO128))*POWER(KKslave,SIGN(AP128))+AM128*POWER(MUslave_MU,SIGN(AI128))*POWER(KLslave,SIGN(AJ128))*POWER(INslave,SIGN(AK128))*POWER(CHslave,SIGN(AL128))*POWER(GEslave,SIGN(AN128))*POWER(KOslave,SIGN(AO128))*POWER(KKslave,SIGN(AP128))+AN128*POWER(MUslave_MU,SIGN(AI128))*POWER(KLslave,SIGN(AJ128))*POWER(INslave,SIGN(AK128))*POWER(CHslave,SIGN(AL128))*POWER(FFslave,SIGN(AM128))*POWER(KOslave,SIGN(AO128))*POWER(KKslave,SIGN(AP128))+AO128*POWER(MUslave_MU,SIGN(AI128))*POWER(KLslave,SIGN(AJ128))*POWER(INslave,SIGN(AK128))*POWER(CHslave,SIGN(AL128))*POWER(FFslave,SIGN(AM128))*POWER(GEslave,SIGN(AN128))*POWER(KKslave,SIGN(AP128))+AP128*POWER(MUslave_MU,SIGN(AI128))*POWER(KLslave,SIGN(AJ128))*POWER(INslave,SIGN(AK128))*POWER(CHslave,SIGN(AL128))*POWER(FFslave,SIGN(AM128))*POWER(GEslave,SIGN(AN128))*POWER(KOslave,SIGN(AO128))</f>
        <v>2304</v>
      </c>
      <c r="AU128" s="118">
        <f>AJ128*AK128*FFslave+AJ128*INslave*AM128+KLslave*AK128*AM128</f>
        <v>3456</v>
      </c>
      <c r="AV128" s="92">
        <f>IFERROR(AI128^SIGN(AI128),1)*IFERROR(AJ128^SIGN(AJ128),1)*IFERROR(AK128^SIGN(AK128),1)*IFERROR(AL128^SIGN(AL128),1)*IFERROR(AM128^SIGN(AM128),1)*IFERROR(AN128^SIGN(AN128),1)*IFERROR(AO128^SIGN(AO128),1)*IFERROR(AP128^SIGN(AP128),1)</f>
        <v>1728</v>
      </c>
      <c r="AW128" s="92">
        <f t="shared" ref="AW128:AW151" si="1111">SUM(AT128:AV128)</f>
        <v>7488</v>
      </c>
      <c r="AX128" s="193">
        <f>AQ128*AT128/AW128</f>
        <v>3.6923076923076925</v>
      </c>
      <c r="AY128" s="116">
        <f>AR128*AU128/AW128</f>
        <v>11.076923076923077</v>
      </c>
      <c r="AZ128" s="126">
        <f>AS128*AV128/AW128</f>
        <v>8.3076923076923084</v>
      </c>
      <c r="BA128" s="126">
        <f>SUM(AX128:AZ128)</f>
        <v>23.07692307692308</v>
      </c>
      <c r="BB128" s="165">
        <f t="shared" ref="BB128:BB151" si="1112">Y128</f>
        <v>0</v>
      </c>
      <c r="BC128" s="198">
        <f>BA128-BB128</f>
        <v>23.07692307692308</v>
      </c>
      <c r="BD128" s="158">
        <f>IF(BA128&lt;=0,1,0)+IF(BA128&gt;0,BA128+1,0)*1+IF(BA128&gt;12,BA128-12,0)*1+IF(BA128&gt;13,BA128-13,0)*1+IF(BA128&gt;14,BA128-14,0)*1+IF(BA128&gt;15,BA128-15,0)*1+IF(BA128&gt;16,BA128-16,0)*1+IF(BA128&gt;17,BA128-17,0)*1+IF(BA128&gt;18,BA128-18,0)*1+IF(BA128&gt;19,BA128-19,0)*1+IF(BA128&gt;20,BA128-20,0)*1</f>
        <v>87.769230769230802</v>
      </c>
      <c r="BE128" s="91">
        <f>IF(BB128&lt;=0,1,0)+IF(BB128&gt;0,BB128+1,0)*1+IF(BB128&gt;12,BB128-12,0)*1+IF(BB128&gt;13,BB128-13,0)*1+IF(BB128&gt;14,BB128-14,0)*1+IF(BB128&gt;15,BB128-15,0)*1+IF(BB128&gt;16,BB128-16,0)*1+IF(BB128&gt;17,BB128-17,0)*1+IF(BB128&gt;18,BB128-18,0)*1+IF(BB128&gt;19,BB128-19,0)*1+IF(BB128&gt;20,BB128-20,0)*1</f>
        <v>1</v>
      </c>
      <c r="BF128" s="241">
        <f>IF((BD128-BE128)&gt;0,BD128-BE128,0)</f>
        <v>86.769230769230802</v>
      </c>
      <c r="BG128" s="42">
        <f>IF((BE128-BD128)&gt;0,BE128-BD128,0)</f>
        <v>0</v>
      </c>
      <c r="BI128" s="302" t="s">
        <v>351</v>
      </c>
      <c r="BJ128" s="42" t="s">
        <v>170</v>
      </c>
      <c r="BK128" s="241" t="s">
        <v>133</v>
      </c>
      <c r="BL128" s="236"/>
      <c r="BM128" s="233">
        <f>Konvention_1slave-KLslave_KL</f>
        <v>11</v>
      </c>
      <c r="BN128" s="233">
        <f>Konvention_1slave-INslave</f>
        <v>12</v>
      </c>
      <c r="BO128" s="233"/>
      <c r="BP128" s="233">
        <f>Konvention_1slave-FFslave</f>
        <v>12</v>
      </c>
      <c r="BQ128" s="233"/>
      <c r="BR128" s="233"/>
      <c r="BS128" s="221"/>
      <c r="BT128" s="220">
        <f>(BL128+BM128+BN128+BO128+BP128+BQ128+BR128+BS128)/3</f>
        <v>11.666666666666666</v>
      </c>
      <c r="BU128" s="220">
        <f>2*BT128</f>
        <v>23.333333333333332</v>
      </c>
      <c r="BV128" s="221">
        <f>3*BT128</f>
        <v>35</v>
      </c>
      <c r="BW128" s="236">
        <f t="shared" ref="BW128:BW151" si="1113">BL128*POWER(KLslave_KL,SIGN(BM128))*POWER(INslave,SIGN(BN128))*POWER(CHslave,SIGN(BO128))*POWER(FFslave,SIGN(BP128))*POWER(GEslave,SIGN(BQ128))*POWER(KOslave,SIGN(BR128))*POWER(KKslave,SIGN(BS128))+BM128*POWER(MUslave,SIGN(BL128))*POWER(INslave,SIGN(BN128))*POWER(CHslave,SIGN(BO128))*POWER(FFslave,SIGN(BP128))*POWER(GEslave,SIGN(BQ128))*POWER(KOslave,SIGN(BR128))*POWER(KKslave,SIGN(BS128))+BN128*POWER(MUslave,SIGN(BL128))*POWER(KLslave_KL,SIGN(BM128))*POWER(CHslave,SIGN(BO128))*POWER(FFslave,SIGN(BP128))*POWER(GEslave,SIGN(BQ128))*POWER(KOslave,SIGN(BR128))*POWER(KKslave,SIGN(BS128))+BO128*POWER(MUslave,SIGN(BL128))*POWER(KLslave_KL,SIGN(BM128))*POWER(INslave,SIGN(BN128))*POWER(FFslave,SIGN(BP128))*POWER(GEslave,SIGN(BQ128))*POWER(KOslave,SIGN(BR128))*POWER(KKslave,SIGN(BS128))+BP128*POWER(MUslave,SIGN(BL128))*POWER(KLslave_KL,SIGN(BM128))*POWER(INslave,SIGN(BN128))*POWER(CHslave,SIGN(BO128))*POWER(GEslave,SIGN(BQ128))*POWER(KOslave,SIGN(BR128))*POWER(KKslave,SIGN(BS128))+BQ128*POWER(MUslave,SIGN(BL128))*POWER(KLslave_KL,SIGN(BM128))*POWER(INslave,SIGN(BN128))*POWER(CHslave,SIGN(BO128))*POWER(FFslave,SIGN(BP128))*POWER(KOslave,SIGN(BR128))*POWER(KKslave,SIGN(BS128))+BR128*POWER(MUslave,SIGN(BL128))*POWER(KLslave_KL,SIGN(BM128))*POWER(INslave,SIGN(BN128))*POWER(CHslave,SIGN(BO128))*POWER(FFslave,SIGN(BP128))*POWER(GEslave,SIGN(BQ128))*POWER(KKslave,SIGN(BS128))+BS128*POWER(MUslave,SIGN(BL128))*POWER(KLslave_KL,SIGN(BM128))*POWER(INslave,SIGN(BN128))*POWER(CHslave,SIGN(BO128))*POWER(FFslave,SIGN(BP128))*POWER(GEslave,SIGN(BQ128))*POWER(KOslave,SIGN(BR128))</f>
        <v>2432</v>
      </c>
      <c r="BX128" s="233">
        <f>BM128*BN128*FFslave+BM128*INslave*BP128+KLslave_KL*BN128*BP128</f>
        <v>3408</v>
      </c>
      <c r="BY128" s="221">
        <f>IFERROR(BL128^SIGN(BL128),1)*IFERROR(BM128^SIGN(BM128),1)*IFERROR(BN128^SIGN(BN128),1)*IFERROR(BO128^SIGN(BO128),1)*IFERROR(BP128^SIGN(BP128),1)*IFERROR(BQ128^SIGN(BQ128),1)*IFERROR(BR128^SIGN(BR128),1)*IFERROR(BS128^SIGN(BS128),1)</f>
        <v>1584</v>
      </c>
      <c r="BZ128" s="221">
        <f t="shared" ref="BZ128:BZ151" si="1114">SUM(BW128:BY128)</f>
        <v>7424</v>
      </c>
      <c r="CA128" s="219">
        <f>BT128*BW128/BZ128</f>
        <v>3.8218390804597702</v>
      </c>
      <c r="CB128" s="220">
        <f>BU128*BX128/BZ128</f>
        <v>10.711206896551724</v>
      </c>
      <c r="CC128" s="241">
        <f>BV128*BY128/BZ128</f>
        <v>7.4676724137931032</v>
      </c>
      <c r="CD128" s="241">
        <f>SUM(CA128:CC128)</f>
        <v>22.000718390804597</v>
      </c>
      <c r="CE128" s="252">
        <f t="shared" ref="CE128:CE151" si="1115">BB128</f>
        <v>0</v>
      </c>
      <c r="CF128" s="309">
        <f>CD128-CE128</f>
        <v>22.000718390804597</v>
      </c>
      <c r="CG128" s="42">
        <f>IF(CD128&lt;=0,1,0)+IF(CD128&gt;0,CD128+1,0)*1+IF(CD128&gt;12,CD128-12,0)*1+IF(CD128&gt;13,CD128-13,0)*1+IF(CD128&gt;14,CD128-14,0)*1+IF(CD128&gt;15,CD128-15,0)*1+IF(CD128&gt;16,CD128-16,0)*1+IF(CD128&gt;17,CD128-17,0)*1+IF(CD128&gt;18,CD128-18,0)*1+IF(CD128&gt;19,CD128-19,0)*1+IF(CD128&gt;20,CD128-20,0)*1</f>
        <v>77.007183908045945</v>
      </c>
      <c r="CH128" s="78">
        <f>IF(CE128&lt;=0,1,0)+IF(CE128&gt;0,CE128+1,0)*1+IF(CE128&gt;12,CE128-12,0)*1+IF(CE128&gt;13,CE128-13,0)*1+IF(CE128&gt;14,CE128-14,0)*1+IF(CE128&gt;15,CE128-15,0)*1+IF(CE128&gt;16,CE128-16,0)*1+IF(CE128&gt;17,CE128-17,0)*1+IF(CE128&gt;18,CE128-18,0)*1+IF(CE128&gt;19,CE128-19,0)*1+IF(CE128&gt;20,CE128-20,0)*1</f>
        <v>1</v>
      </c>
      <c r="CI128" s="241">
        <f>IF((CG128-CH128)&gt;0,CG128-CH128,0)</f>
        <v>76.007183908045945</v>
      </c>
      <c r="CJ128" s="42">
        <f>IF((CH128-CG128)&gt;0,CH128-CG128,0)</f>
        <v>0</v>
      </c>
      <c r="CL128" s="302" t="s">
        <v>351</v>
      </c>
      <c r="CM128" s="42" t="s">
        <v>170</v>
      </c>
      <c r="CN128" s="241" t="s">
        <v>133</v>
      </c>
      <c r="CO128" s="236"/>
      <c r="CP128" s="233">
        <f>Konvention_1slave-KLslave</f>
        <v>12</v>
      </c>
      <c r="CQ128" s="233">
        <f>Konvention_1slave-INslave_IN</f>
        <v>11</v>
      </c>
      <c r="CR128" s="233"/>
      <c r="CS128" s="233">
        <f>Konvention_1slave-FFslave</f>
        <v>12</v>
      </c>
      <c r="CT128" s="233"/>
      <c r="CU128" s="233"/>
      <c r="CV128" s="221"/>
      <c r="CW128" s="220">
        <f>(CO128+CP128+CQ128+CR128+CS128+CT128+CU128+CV128)/3</f>
        <v>11.666666666666666</v>
      </c>
      <c r="CX128" s="220">
        <f>2*CW128</f>
        <v>23.333333333333332</v>
      </c>
      <c r="CY128" s="221">
        <f>3*CW128</f>
        <v>35</v>
      </c>
      <c r="CZ128" s="236">
        <f t="shared" ref="CZ128:CZ151" si="1116">CO128*POWER(KLslave,SIGN(CP128))*POWER(INslave_IN,SIGN(CQ128))*POWER(CHslave,SIGN(CR128))*POWER(FFslave,SIGN(CS128))*POWER(GEslave,SIGN(CT128))*POWER(KOslave,SIGN(CU128))*POWER(KKslave,SIGN(CV128))+CP128*POWER(MUslave,SIGN(CO128))*POWER(INslave_IN,SIGN(CQ128))*POWER(CHslave,SIGN(CR128))*POWER(FFslave,SIGN(CS128))*POWER(GEslave,SIGN(CT128))*POWER(KOslave,SIGN(CU128))*POWER(KKslave,SIGN(CV128))+CQ128*POWER(MUslave,SIGN(CO128))*POWER(KLslave,SIGN(CP128))*POWER(CHslave,SIGN(CR128))*POWER(FFslave,SIGN(CS128))*POWER(GEslave,SIGN(CT128))*POWER(KOslave,SIGN(CU128))*POWER(KKslave,SIGN(CV128))+CR128*POWER(MUslave,SIGN(CO128))*POWER(KLslave,SIGN(CP128))*POWER(INslave_IN,SIGN(CQ128))*POWER(FFslave,SIGN(CS128))*POWER(GEslave,SIGN(CT128))*POWER(KOslave,SIGN(CU128))*POWER(KKslave,SIGN(CV128))+CS128*POWER(MUslave,SIGN(CO128))*POWER(KLslave,SIGN(CP128))*POWER(INslave_IN,SIGN(CQ128))*POWER(CHslave,SIGN(CR128))*POWER(GEslave,SIGN(CT128))*POWER(KOslave,SIGN(CU128))*POWER(KKslave,SIGN(CV128))+CT128*POWER(MUslave,SIGN(CO128))*POWER(KLslave,SIGN(CP128))*POWER(INslave_IN,SIGN(CQ128))*POWER(CHslave,SIGN(CR128))*POWER(FFslave,SIGN(CS128))*POWER(KOslave,SIGN(CU128))*POWER(KKslave,SIGN(CV128))+CU128*POWER(MUslave,SIGN(CO128))*POWER(KLslave,SIGN(CP128))*POWER(INslave_IN,SIGN(CQ128))*POWER(CHslave,SIGN(CR128))*POWER(FFslave,SIGN(CS128))*POWER(GEslave,SIGN(CT128))*POWER(KKslave,SIGN(CV128))+CV128*POWER(MUslave,SIGN(CO128))*POWER(KLslave,SIGN(CP128))*POWER(INslave_IN,SIGN(CQ128))*POWER(CHslave,SIGN(CR128))*POWER(FFslave,SIGN(CS128))*POWER(GEslave,SIGN(CT128))*POWER(KOslave,SIGN(CU128))</f>
        <v>2432</v>
      </c>
      <c r="DA128" s="233">
        <f>CP128*CQ128*FFslave+CP128*INslave_IN*CS128+KLslave*CQ128*CS128</f>
        <v>3408</v>
      </c>
      <c r="DB128" s="221">
        <f>IFERROR(CO128^SIGN(CO128),1)*IFERROR(CP128^SIGN(CP128),1)*IFERROR(CQ128^SIGN(CQ128),1)*IFERROR(CR128^SIGN(CR128),1)*IFERROR(CS128^SIGN(CS128),1)*IFERROR(CT128^SIGN(CT128),1)*IFERROR(CU128^SIGN(CU128),1)*IFERROR(CV128^SIGN(CV128),1)</f>
        <v>1584</v>
      </c>
      <c r="DC128" s="221">
        <f t="shared" ref="DC128:DC151" si="1117">SUM(CZ128:DB128)</f>
        <v>7424</v>
      </c>
      <c r="DD128" s="219">
        <f>CW128*CZ128/DC128</f>
        <v>3.8218390804597702</v>
      </c>
      <c r="DE128" s="220">
        <f>CX128*DA128/DC128</f>
        <v>10.711206896551724</v>
      </c>
      <c r="DF128" s="241">
        <f>CY128*DB128/DC128</f>
        <v>7.4676724137931032</v>
      </c>
      <c r="DG128" s="241">
        <f>SUM(DD128:DF128)</f>
        <v>22.000718390804597</v>
      </c>
      <c r="DH128" s="252">
        <f t="shared" ref="DH128:DH151" si="1118">CE128</f>
        <v>0</v>
      </c>
      <c r="DI128" s="309">
        <f>DG128-DH128</f>
        <v>22.000718390804597</v>
      </c>
      <c r="DJ128" s="42">
        <f>IF(DG128&lt;=0,1,0)+IF(DG128&gt;0,DG128+1,0)*1+IF(DG128&gt;12,DG128-12,0)*1+IF(DG128&gt;13,DG128-13,0)*1+IF(DG128&gt;14,DG128-14,0)*1+IF(DG128&gt;15,DG128-15,0)*1+IF(DG128&gt;16,DG128-16,0)*1+IF(DG128&gt;17,DG128-17,0)*1+IF(DG128&gt;18,DG128-18,0)*1+IF(DG128&gt;19,DG128-19,0)*1+IF(DG128&gt;20,DG128-20,0)*1</f>
        <v>77.007183908045945</v>
      </c>
      <c r="DK128" s="78">
        <f>IF(DH128&lt;=0,1,0)+IF(DH128&gt;0,DH128+1,0)*1+IF(DH128&gt;12,DH128-12,0)*1+IF(DH128&gt;13,DH128-13,0)*1+IF(DH128&gt;14,DH128-14,0)*1+IF(DH128&gt;15,DH128-15,0)*1+IF(DH128&gt;16,DH128-16,0)*1+IF(DH128&gt;17,DH128-17,0)*1+IF(DH128&gt;18,DH128-18,0)*1+IF(DH128&gt;19,DH128-19,0)*1+IF(DH128&gt;20,DH128-20,0)*1</f>
        <v>1</v>
      </c>
      <c r="DL128" s="241">
        <f>IF((DJ128-DK128)&gt;0,DJ128-DK128,0)</f>
        <v>76.007183908045945</v>
      </c>
      <c r="DM128" s="42">
        <f>IF((DK128-DJ128)&gt;0,DK128-DJ128,0)</f>
        <v>0</v>
      </c>
      <c r="DO128" s="302" t="s">
        <v>351</v>
      </c>
      <c r="DP128" s="42" t="s">
        <v>170</v>
      </c>
      <c r="DQ128" s="241" t="s">
        <v>133</v>
      </c>
      <c r="DR128" s="236"/>
      <c r="DS128" s="233">
        <f>Konvention_1slave-KLslave</f>
        <v>12</v>
      </c>
      <c r="DT128" s="233">
        <f>Konvention_1slave-INslave</f>
        <v>12</v>
      </c>
      <c r="DU128" s="233"/>
      <c r="DV128" s="233">
        <f>Konvention_1slave-FFslave</f>
        <v>12</v>
      </c>
      <c r="DW128" s="233"/>
      <c r="DX128" s="233"/>
      <c r="DY128" s="221"/>
      <c r="DZ128" s="220">
        <f>(DR128+DS128+DT128+DU128+DV128+DW128+DX128+DY128)/3</f>
        <v>12</v>
      </c>
      <c r="EA128" s="220">
        <f>2*DZ128</f>
        <v>24</v>
      </c>
      <c r="EB128" s="221">
        <f>3*DZ128</f>
        <v>36</v>
      </c>
      <c r="EC128" s="236">
        <f t="shared" ref="EC128:EC151" si="1119">DR128*POWER(KLslave,SIGN(DS128))*POWER(INslave,SIGN(DT128))*POWER(CHslave_CH,SIGN(DU128))*POWER(FFslave,SIGN(DV128))*POWER(GEslave,SIGN(DW128))*POWER(KOslave,SIGN(DX128))*POWER(KKslave,SIGN(DY128))+DS128*POWER(MUslave,SIGN(DR128))*POWER(INslave,SIGN(DT128))*POWER(CHslave_CH,SIGN(DU128))*POWER(FFslave,SIGN(DV128))*POWER(GEslave,SIGN(DW128))*POWER(KOslave,SIGN(DX128))*POWER(KKslave,SIGN(DY128))+DT128*POWER(MUslave,SIGN(DR128))*POWER(KLslave,SIGN(DS128))*POWER(CHslave_CH,SIGN(DU128))*POWER(FFslave,SIGN(DV128))*POWER(GEslave,SIGN(DW128))*POWER(KOslave,SIGN(DX128))*POWER(KKslave,SIGN(DY128))+DU128*POWER(MUslave,SIGN(DR128))*POWER(KLslave,SIGN(DS128))*POWER(INslave,SIGN(DT128))*POWER(FFslave,SIGN(DV128))*POWER(GEslave,SIGN(DW128))*POWER(KOslave,SIGN(DX128))*POWER(KKslave,SIGN(DY128))+DV128*POWER(MUslave,SIGN(DR128))*POWER(KLslave,SIGN(DS128))*POWER(INslave,SIGN(DT128))*POWER(CHslave_CH,SIGN(DU128))*POWER(GEslave,SIGN(DW128))*POWER(KOslave,SIGN(DX128))*POWER(KKslave,SIGN(DY128))+DW128*POWER(MUslave,SIGN(DR128))*POWER(KLslave,SIGN(DS128))*POWER(INslave,SIGN(DT128))*POWER(CHslave_CH,SIGN(DU128))*POWER(FFslave,SIGN(DV128))*POWER(KOslave,SIGN(DX128))*POWER(KKslave,SIGN(DY128))+DX128*POWER(MUslave,SIGN(DR128))*POWER(KLslave,SIGN(DS128))*POWER(INslave,SIGN(DT128))*POWER(CHslave_CH,SIGN(DU128))*POWER(FFslave,SIGN(DV128))*POWER(GEslave,SIGN(DW128))*POWER(KKslave,SIGN(DY128))+DY128*POWER(MUslave,SIGN(DR128))*POWER(KLslave,SIGN(DS128))*POWER(INslave,SIGN(DT128))*POWER(CHslave_CH,SIGN(DU128))*POWER(FFslave,SIGN(DV128))*POWER(GEslave,SIGN(DW128))*POWER(KOslave,SIGN(DX128))</f>
        <v>2304</v>
      </c>
      <c r="ED128" s="233">
        <f>DS128*DT128*FFslave+DS128*INslave*DV128+KLslave*DT128*DV128</f>
        <v>3456</v>
      </c>
      <c r="EE128" s="221">
        <f>IFERROR(DR128^SIGN(DR128),1)*IFERROR(DS128^SIGN(DS128),1)*IFERROR(DT128^SIGN(DT128),1)*IFERROR(DU128^SIGN(DU128),1)*IFERROR(DV128^SIGN(DV128),1)*IFERROR(DW128^SIGN(DW128),1)*IFERROR(DX128^SIGN(DX128),1)*IFERROR(DY128^SIGN(DY128),1)</f>
        <v>1728</v>
      </c>
      <c r="EF128" s="221">
        <f t="shared" ref="EF128:EF151" si="1120">SUM(EC128:EE128)</f>
        <v>7488</v>
      </c>
      <c r="EG128" s="219">
        <f>DZ128*EC128/EF128</f>
        <v>3.6923076923076925</v>
      </c>
      <c r="EH128" s="220">
        <f>EA128*ED128/EF128</f>
        <v>11.076923076923077</v>
      </c>
      <c r="EI128" s="241">
        <f>EB128*EE128/EF128</f>
        <v>8.3076923076923084</v>
      </c>
      <c r="EJ128" s="241">
        <f>SUM(EG128:EI128)</f>
        <v>23.07692307692308</v>
      </c>
      <c r="EK128" s="252">
        <f t="shared" ref="EK128:EK151" si="1121">DH128</f>
        <v>0</v>
      </c>
      <c r="EL128" s="309">
        <f>EJ128-EK128</f>
        <v>23.07692307692308</v>
      </c>
      <c r="EM128" s="42">
        <f>IF(EJ128&lt;=0,1,0)+IF(EJ128&gt;0,EJ128+1,0)*1+IF(EJ128&gt;12,EJ128-12,0)*1+IF(EJ128&gt;13,EJ128-13,0)*1+IF(EJ128&gt;14,EJ128-14,0)*1+IF(EJ128&gt;15,EJ128-15,0)*1+IF(EJ128&gt;16,EJ128-16,0)*1+IF(EJ128&gt;17,EJ128-17,0)*1+IF(EJ128&gt;18,EJ128-18,0)*1+IF(EJ128&gt;19,EJ128-19,0)*1+IF(EJ128&gt;20,EJ128-20,0)*1</f>
        <v>87.769230769230802</v>
      </c>
      <c r="EN128" s="78">
        <f>IF(EK128&lt;=0,1,0)+IF(EK128&gt;0,EK128+1,0)*1+IF(EK128&gt;12,EK128-12,0)*1+IF(EK128&gt;13,EK128-13,0)*1+IF(EK128&gt;14,EK128-14,0)*1+IF(EK128&gt;15,EK128-15,0)*1+IF(EK128&gt;16,EK128-16,0)*1+IF(EK128&gt;17,EK128-17,0)*1+IF(EK128&gt;18,EK128-18,0)*1+IF(EK128&gt;19,EK128-19,0)*1+IF(EK128&gt;20,EK128-20,0)*1</f>
        <v>1</v>
      </c>
      <c r="EO128" s="241">
        <f>IF((EM128-EN128)&gt;0,EM128-EN128,0)</f>
        <v>86.769230769230802</v>
      </c>
      <c r="EP128" s="42">
        <f>IF((EN128-EM128)&gt;0,EN128-EM128,0)</f>
        <v>0</v>
      </c>
      <c r="ER128" s="302" t="s">
        <v>351</v>
      </c>
      <c r="ES128" s="42" t="s">
        <v>170</v>
      </c>
      <c r="ET128" s="241" t="s">
        <v>133</v>
      </c>
      <c r="EU128" s="236"/>
      <c r="EV128" s="233">
        <f>Konvention_1slave-KLslave</f>
        <v>12</v>
      </c>
      <c r="EW128" s="233">
        <f>Konvention_1slave-INslave</f>
        <v>12</v>
      </c>
      <c r="EX128" s="233"/>
      <c r="EY128" s="233">
        <f>Konvention_1slave-FFslave_FF</f>
        <v>11</v>
      </c>
      <c r="EZ128" s="233"/>
      <c r="FA128" s="233"/>
      <c r="FB128" s="221"/>
      <c r="FC128" s="220">
        <f>(EU128+EV128+EW128+EX128+EY128+EZ128+FA128+FB128)/3</f>
        <v>11.666666666666666</v>
      </c>
      <c r="FD128" s="220">
        <f>2*FC128</f>
        <v>23.333333333333332</v>
      </c>
      <c r="FE128" s="221">
        <f>3*FC128</f>
        <v>35</v>
      </c>
      <c r="FF128" s="236">
        <f t="shared" ref="FF128:FF151" si="1122">EU128*POWER(KLslave,SIGN(EV128))*POWER(INslave,SIGN(EW128))*POWER(CHslave,SIGN(EX128))*POWER(FFslave_FF,SIGN(EY128))*POWER(GEslave,SIGN(EZ128))*POWER(KOslave,SIGN(FA128))*POWER(KKslave,SIGN(FB128))+EV128*POWER(MUslave,SIGN(EU128))*POWER(INslave,SIGN(EW128))*POWER(CHslave,SIGN(EX128))*POWER(FFslave_FF,SIGN(EY128))*POWER(GEslave,SIGN(EZ128))*POWER(KOslave,SIGN(FA128))*POWER(KKslave,SIGN(FB128))+EW128*POWER(MUslave,SIGN(EU128))*POWER(KLslave,SIGN(EV128))*POWER(CHslave,SIGN(EX128))*POWER(FFslave_FF,SIGN(EY128))*POWER(GEslave,SIGN(EZ128))*POWER(KOslave,SIGN(FA128))*POWER(KKslave,SIGN(FB128))+EX128*POWER(MUslave,SIGN(EU128))*POWER(KLslave,SIGN(EV128))*POWER(INslave,SIGN(EW128))*POWER(FFslave_FF,SIGN(EY128))*POWER(GEslave,SIGN(EZ128))*POWER(KOslave,SIGN(FA128))*POWER(KKslave,SIGN(FB128))+EY128*POWER(MUslave,SIGN(EU128))*POWER(KLslave,SIGN(EV128))*POWER(INslave,SIGN(EW128))*POWER(CHslave,SIGN(EX128))*POWER(GEslave,SIGN(EZ128))*POWER(KOslave,SIGN(FA128))*POWER(KKslave,SIGN(FB128))+EZ128*POWER(MUslave,SIGN(EU128))*POWER(KLslave,SIGN(EV128))*POWER(INslave,SIGN(EW128))*POWER(CHslave,SIGN(EX128))*POWER(FFslave_FF,SIGN(EY128))*POWER(KOslave,SIGN(FA128))*POWER(KKslave,SIGN(FB128))+FA128*POWER(MUslave,SIGN(EU128))*POWER(KLslave,SIGN(EV128))*POWER(INslave,SIGN(EW128))*POWER(CHslave,SIGN(EX128))*POWER(FFslave_FF,SIGN(EY128))*POWER(GEslave,SIGN(EZ128))*POWER(KKslave,SIGN(FB128))+FB128*POWER(MUslave,SIGN(EU128))*POWER(KLslave,SIGN(EV128))*POWER(INslave,SIGN(EW128))*POWER(CHslave,SIGN(EX128))*POWER(FFslave_FF,SIGN(EY128))*POWER(GEslave,SIGN(EZ128))*POWER(KOslave,SIGN(FA128))</f>
        <v>2432</v>
      </c>
      <c r="FG128" s="233">
        <f>EV128*EW128*FFslave_FF+EV128*INslave*EY128+KLslave*EW128*EY128</f>
        <v>3408</v>
      </c>
      <c r="FH128" s="221">
        <f>IFERROR(EU128^SIGN(EU128),1)*IFERROR(EV128^SIGN(EV128),1)*IFERROR(EW128^SIGN(EW128),1)*IFERROR(EX128^SIGN(EX128),1)*IFERROR(EY128^SIGN(EY128),1)*IFERROR(EZ128^SIGN(EZ128),1)*IFERROR(FA128^SIGN(FA128),1)*IFERROR(FB128^SIGN(FB128),1)</f>
        <v>1584</v>
      </c>
      <c r="FI128" s="221">
        <f t="shared" ref="FI128:FI151" si="1123">SUM(FF128:FH128)</f>
        <v>7424</v>
      </c>
      <c r="FJ128" s="219">
        <f>FC128*FF128/FI128</f>
        <v>3.8218390804597702</v>
      </c>
      <c r="FK128" s="220">
        <f>FD128*FG128/FI128</f>
        <v>10.711206896551724</v>
      </c>
      <c r="FL128" s="241">
        <f>FE128*FH128/FI128</f>
        <v>7.4676724137931032</v>
      </c>
      <c r="FM128" s="241">
        <f>SUM(FJ128:FL128)</f>
        <v>22.000718390804597</v>
      </c>
      <c r="FN128" s="252">
        <f t="shared" ref="FN128:FN151" si="1124">EK128</f>
        <v>0</v>
      </c>
      <c r="FO128" s="309">
        <f>FM128-FN128</f>
        <v>22.000718390804597</v>
      </c>
      <c r="FP128" s="42">
        <f>IF(FM128&lt;=0,1,0)+IF(FM128&gt;0,FM128+1,0)*1+IF(FM128&gt;12,FM128-12,0)*1+IF(FM128&gt;13,FM128-13,0)*1+IF(FM128&gt;14,FM128-14,0)*1+IF(FM128&gt;15,FM128-15,0)*1+IF(FM128&gt;16,FM128-16,0)*1+IF(FM128&gt;17,FM128-17,0)*1+IF(FM128&gt;18,FM128-18,0)*1+IF(FM128&gt;19,FM128-19,0)*1+IF(FM128&gt;20,FM128-20,0)*1</f>
        <v>77.007183908045945</v>
      </c>
      <c r="FQ128" s="78">
        <f>IF(FN128&lt;=0,1,0)+IF(FN128&gt;0,FN128+1,0)*1+IF(FN128&gt;12,FN128-12,0)*1+IF(FN128&gt;13,FN128-13,0)*1+IF(FN128&gt;14,FN128-14,0)*1+IF(FN128&gt;15,FN128-15,0)*1+IF(FN128&gt;16,FN128-16,0)*1+IF(FN128&gt;17,FN128-17,0)*1+IF(FN128&gt;18,FN128-18,0)*1+IF(FN128&gt;19,FN128-19,0)*1+IF(FN128&gt;20,FN128-20,0)*1</f>
        <v>1</v>
      </c>
      <c r="FR128" s="241">
        <f>IF((FP128-FQ128)&gt;0,FP128-FQ128,0)</f>
        <v>76.007183908045945</v>
      </c>
      <c r="FS128" s="42">
        <f>IF((FQ128-FP128)&gt;0,FQ128-FP128,0)</f>
        <v>0</v>
      </c>
      <c r="FU128" s="302" t="s">
        <v>351</v>
      </c>
      <c r="FV128" s="42" t="s">
        <v>170</v>
      </c>
      <c r="FW128" s="241" t="s">
        <v>133</v>
      </c>
      <c r="FX128" s="236"/>
      <c r="FY128" s="233">
        <f>Konvention_1slave-KLslave</f>
        <v>12</v>
      </c>
      <c r="FZ128" s="233">
        <f>Konvention_1slave-INslave</f>
        <v>12</v>
      </c>
      <c r="GA128" s="233"/>
      <c r="GB128" s="233">
        <f>Konvention_1slave-FFslave</f>
        <v>12</v>
      </c>
      <c r="GC128" s="233"/>
      <c r="GD128" s="233"/>
      <c r="GE128" s="221"/>
      <c r="GF128" s="220">
        <f>(FX128+FY128+FZ128+GA128+GB128+GC128+GD128+GE128)/3</f>
        <v>12</v>
      </c>
      <c r="GG128" s="220">
        <f>2*GF128</f>
        <v>24</v>
      </c>
      <c r="GH128" s="221">
        <f>3*GF128</f>
        <v>36</v>
      </c>
      <c r="GI128" s="236">
        <f t="shared" ref="GI128:GI151" si="1125">FX128*POWER(KLslave,SIGN(FY128))*POWER(INslave,SIGN(FZ128))*POWER(CHslave,SIGN(GA128))*POWER(FFslave,SIGN(GB128))*POWER(GEslave_GE,SIGN(GC128))*POWER(KOslave,SIGN(GD128))*POWER(KKslave,SIGN(GE128))+FY128*POWER(MUslave,SIGN(FX128))*POWER(INslave,SIGN(FZ128))*POWER(CHslave,SIGN(GA128))*POWER(FFslave,SIGN(GB128))*POWER(GEslave_GE,SIGN(GC128))*POWER(KOslave,SIGN(GD128))*POWER(KKslave,SIGN(GE128))+FZ128*POWER(MUslave,SIGN(FX128))*POWER(KLslave,SIGN(FY128))*POWER(CHslave,SIGN(GA128))*POWER(FFslave,SIGN(GB128))*POWER(GEslave_GE,SIGN(GC128))*POWER(KOslave,SIGN(GD128))*POWER(KKslave,SIGN(GE128))+GA128*POWER(MUslave,SIGN(FX128))*POWER(KLslave,SIGN(FY128))*POWER(INslave,SIGN(FZ128))*POWER(FFslave,SIGN(GB128))*POWER(GEslave_GE,SIGN(GC128))*POWER(KOslave,SIGN(GD128))*POWER(KKslave,SIGN(GE128))+GB128*POWER(MUslave,SIGN(FX128))*POWER(KLslave,SIGN(FY128))*POWER(INslave,SIGN(FZ128))*POWER(CHslave,SIGN(GA128))*POWER(GEslave_GE,SIGN(GC128))*POWER(KOslave,SIGN(GD128))*POWER(KKslave,SIGN(GE128))+GC128*POWER(MUslave,SIGN(FX128))*POWER(KLslave,SIGN(FY128))*POWER(INslave,SIGN(FZ128))*POWER(CHslave,SIGN(GA128))*POWER(FFslave,SIGN(GB128))*POWER(KOslave,SIGN(GD128))*POWER(KKslave,SIGN(GE128))+GD128*POWER(MUslave,SIGN(FX128))*POWER(KLslave,SIGN(FY128))*POWER(INslave,SIGN(FZ128))*POWER(CHslave,SIGN(GA128))*POWER(FFslave,SIGN(GB128))*POWER(GEslave_GE,SIGN(GC128))*POWER(KKslave,SIGN(GE128))+GE128*POWER(MUslave,SIGN(FX128))*POWER(KLslave,SIGN(FY128))*POWER(INslave,SIGN(FZ128))*POWER(CHslave,SIGN(GA128))*POWER(FFslave,SIGN(GB128))*POWER(GEslave_GE,SIGN(GC128))*POWER(KOslave,SIGN(GD128))</f>
        <v>2304</v>
      </c>
      <c r="GJ128" s="233">
        <f>FY128*FZ128*FFslave+FY128*INslave*GB128+KLslave*FZ128*GB128</f>
        <v>3456</v>
      </c>
      <c r="GK128" s="221">
        <f>IFERROR(FX128^SIGN(FX128),1)*IFERROR(FY128^SIGN(FY128),1)*IFERROR(FZ128^SIGN(FZ128),1)*IFERROR(GA128^SIGN(GA128),1)*IFERROR(GB128^SIGN(GB128),1)*IFERROR(GC128^SIGN(GC128),1)*IFERROR(GD128^SIGN(GD128),1)*IFERROR(GE128^SIGN(GE128),1)</f>
        <v>1728</v>
      </c>
      <c r="GL128" s="221">
        <f t="shared" ref="GL128:GL151" si="1126">SUM(GI128:GK128)</f>
        <v>7488</v>
      </c>
      <c r="GM128" s="219">
        <f>GF128*GI128/GL128</f>
        <v>3.6923076923076925</v>
      </c>
      <c r="GN128" s="220">
        <f>GG128*GJ128/GL128</f>
        <v>11.076923076923077</v>
      </c>
      <c r="GO128" s="241">
        <f>GH128*GK128/GL128</f>
        <v>8.3076923076923084</v>
      </c>
      <c r="GP128" s="241">
        <f>SUM(GM128:GO128)</f>
        <v>23.07692307692308</v>
      </c>
      <c r="GQ128" s="252">
        <f t="shared" ref="GQ128:GQ151" si="1127">FN128</f>
        <v>0</v>
      </c>
      <c r="GR128" s="309">
        <f>GP128-GQ128</f>
        <v>23.07692307692308</v>
      </c>
      <c r="GS128" s="42">
        <f>IF(GP128&lt;=0,1,0)+IF(GP128&gt;0,GP128+1,0)*1+IF(GP128&gt;12,GP128-12,0)*1+IF(GP128&gt;13,GP128-13,0)*1+IF(GP128&gt;14,GP128-14,0)*1+IF(GP128&gt;15,GP128-15,0)*1+IF(GP128&gt;16,GP128-16,0)*1+IF(GP128&gt;17,GP128-17,0)*1+IF(GP128&gt;18,GP128-18,0)*1+IF(GP128&gt;19,GP128-19,0)*1+IF(GP128&gt;20,GP128-20,0)*1</f>
        <v>87.769230769230802</v>
      </c>
      <c r="GT128" s="78">
        <f>IF(GQ128&lt;=0,1,0)+IF(GQ128&gt;0,GQ128+1,0)*1+IF(GQ128&gt;12,GQ128-12,0)*1+IF(GQ128&gt;13,GQ128-13,0)*1+IF(GQ128&gt;14,GQ128-14,0)*1+IF(GQ128&gt;15,GQ128-15,0)*1+IF(GQ128&gt;16,GQ128-16,0)*1+IF(GQ128&gt;17,GQ128-17,0)*1+IF(GQ128&gt;18,GQ128-18,0)*1+IF(GQ128&gt;19,GQ128-19,0)*1+IF(GQ128&gt;20,GQ128-20,0)*1</f>
        <v>1</v>
      </c>
      <c r="GU128" s="241">
        <f>IF((GS128-GT128)&gt;0,GS128-GT128,0)</f>
        <v>86.769230769230802</v>
      </c>
      <c r="GV128" s="42">
        <f>IF((GT128-GS128)&gt;0,GT128-GS128,0)</f>
        <v>0</v>
      </c>
      <c r="GX128" s="302" t="s">
        <v>351</v>
      </c>
      <c r="GY128" s="42" t="s">
        <v>170</v>
      </c>
      <c r="GZ128" s="241" t="s">
        <v>133</v>
      </c>
      <c r="HA128" s="236"/>
      <c r="HB128" s="233">
        <f>Konvention_1slave-KLslave</f>
        <v>12</v>
      </c>
      <c r="HC128" s="233">
        <f>Konvention_1slave-INslave</f>
        <v>12</v>
      </c>
      <c r="HD128" s="233"/>
      <c r="HE128" s="233">
        <f>Konvention_1slave-FFslave</f>
        <v>12</v>
      </c>
      <c r="HF128" s="233"/>
      <c r="HG128" s="233"/>
      <c r="HH128" s="221"/>
      <c r="HI128" s="220">
        <f>(HA128+HB128+HC128+HD128+HE128+HF128+HG128+HH128)/3</f>
        <v>12</v>
      </c>
      <c r="HJ128" s="220">
        <f>2*HI128</f>
        <v>24</v>
      </c>
      <c r="HK128" s="221">
        <f>3*HI128</f>
        <v>36</v>
      </c>
      <c r="HL128" s="236">
        <f t="shared" ref="HL128:HL151" si="1128">HA128*POWER(KLslave,SIGN(HB128))*POWER(INslave,SIGN(HC128))*POWER(CHslave,SIGN(HD128))*POWER(FFslave,SIGN(HE128))*POWER(GEslave,SIGN(HF128))*POWER(KOslave_KO,SIGN(HG128))*POWER(KKslave,SIGN(HH128))+HB128*POWER(MUslave,SIGN(HA128))*POWER(INslave,SIGN(HC128))*POWER(CHslave,SIGN(HD128))*POWER(FFslave,SIGN(HE128))*POWER(GEslave,SIGN(HF128))*POWER(KOslave_KO,SIGN(HG128))*POWER(KKslave,SIGN(HH128))+HC128*POWER(MUslave,SIGN(HA128))*POWER(KLslave,SIGN(HB128))*POWER(CHslave,SIGN(HD128))*POWER(FFslave,SIGN(HE128))*POWER(GEslave,SIGN(HF128))*POWER(KOslave_KO,SIGN(HG128))*POWER(KKslave,SIGN(HH128))+HD128*POWER(MUslave,SIGN(HA128))*POWER(KLslave,SIGN(HB128))*POWER(INslave,SIGN(HC128))*POWER(FFslave,SIGN(HE128))*POWER(GEslave,SIGN(HF128))*POWER(KOslave_KO,SIGN(HG128))*POWER(KKslave,SIGN(HH128))+HE128*POWER(MUslave,SIGN(HA128))*POWER(KLslave,SIGN(HB128))*POWER(INslave,SIGN(HC128))*POWER(CHslave,SIGN(HD128))*POWER(GEslave,SIGN(HF128))*POWER(KOslave_KO,SIGN(HG128))*POWER(KKslave,SIGN(HH128))+HF128*POWER(MUslave,SIGN(HA128))*POWER(KLslave,SIGN(HB128))*POWER(INslave,SIGN(HC128))*POWER(CHslave,SIGN(HD128))*POWER(FFslave,SIGN(HE128))*POWER(KOslave_KO,SIGN(HG128))*POWER(KKslave,SIGN(HH128))+HG128*POWER(MUslave,SIGN(HA128))*POWER(KLslave,SIGN(HB128))*POWER(INslave,SIGN(HC128))*POWER(CHslave,SIGN(HD128))*POWER(FFslave,SIGN(HE128))*POWER(GEslave,SIGN(HF128))*POWER(KKslave,SIGN(HH128))+HH128*POWER(MUslave,SIGN(HA128))*POWER(KLslave,SIGN(HB128))*POWER(INslave,SIGN(HC128))*POWER(CHslave,SIGN(HD128))*POWER(FFslave,SIGN(HE128))*POWER(GEslave,SIGN(HF128))*POWER(KOslave_KO,SIGN(HG128))</f>
        <v>2304</v>
      </c>
      <c r="HM128" s="233">
        <f>HB128*HC128*FFslave+HB128*INslave*HE128+KLslave*HC128*HE128</f>
        <v>3456</v>
      </c>
      <c r="HN128" s="221">
        <f>IFERROR(HA128^SIGN(HA128),1)*IFERROR(HB128^SIGN(HB128),1)*IFERROR(HC128^SIGN(HC128),1)*IFERROR(HD128^SIGN(HD128),1)*IFERROR(HE128^SIGN(HE128),1)*IFERROR(HF128^SIGN(HF128),1)*IFERROR(HG128^SIGN(HG128),1)*IFERROR(HH128^SIGN(HH128),1)</f>
        <v>1728</v>
      </c>
      <c r="HO128" s="221">
        <f t="shared" ref="HO128:HO151" si="1129">SUM(HL128:HN128)</f>
        <v>7488</v>
      </c>
      <c r="HP128" s="219">
        <f>HI128*HL128/HO128</f>
        <v>3.6923076923076925</v>
      </c>
      <c r="HQ128" s="220">
        <f>HJ128*HM128/HO128</f>
        <v>11.076923076923077</v>
      </c>
      <c r="HR128" s="241">
        <f>HK128*HN128/HO128</f>
        <v>8.3076923076923084</v>
      </c>
      <c r="HS128" s="241">
        <f>SUM(HP128:HR128)</f>
        <v>23.07692307692308</v>
      </c>
      <c r="HT128" s="252">
        <f t="shared" ref="HT128:HT151" si="1130">GQ128</f>
        <v>0</v>
      </c>
      <c r="HU128" s="309">
        <f>HS128-HT128</f>
        <v>23.07692307692308</v>
      </c>
      <c r="HV128" s="42">
        <f>IF(HS128&lt;=0,1,0)+IF(HS128&gt;0,HS128+1,0)*1+IF(HS128&gt;12,HS128-12,0)*1+IF(HS128&gt;13,HS128-13,0)*1+IF(HS128&gt;14,HS128-14,0)*1+IF(HS128&gt;15,HS128-15,0)*1+IF(HS128&gt;16,HS128-16,0)*1+IF(HS128&gt;17,HS128-17,0)*1+IF(HS128&gt;18,HS128-18,0)*1+IF(HS128&gt;19,HS128-19,0)*1+IF(HS128&gt;20,HS128-20,0)*1</f>
        <v>87.769230769230802</v>
      </c>
      <c r="HW128" s="78">
        <f>IF(HT128&lt;=0,1,0)+IF(HT128&gt;0,HT128+1,0)*1+IF(HT128&gt;12,HT128-12,0)*1+IF(HT128&gt;13,HT128-13,0)*1+IF(HT128&gt;14,HT128-14,0)*1+IF(HT128&gt;15,HT128-15,0)*1+IF(HT128&gt;16,HT128-16,0)*1+IF(HT128&gt;17,HT128-17,0)*1+IF(HT128&gt;18,HT128-18,0)*1+IF(HT128&gt;19,HT128-19,0)*1+IF(HT128&gt;20,HT128-20,0)*1</f>
        <v>1</v>
      </c>
      <c r="HX128" s="241">
        <f>IF((HV128-HW128)&gt;0,HV128-HW128,0)</f>
        <v>86.769230769230802</v>
      </c>
      <c r="HY128" s="42">
        <f>IF((HW128-HV128)&gt;0,HW128-HV128,0)</f>
        <v>0</v>
      </c>
      <c r="IA128" s="302" t="s">
        <v>351</v>
      </c>
      <c r="IB128" s="42" t="s">
        <v>170</v>
      </c>
      <c r="IC128" s="241" t="s">
        <v>133</v>
      </c>
      <c r="ID128" s="236"/>
      <c r="IE128" s="233">
        <f>Konvention_1slave-KLslave</f>
        <v>12</v>
      </c>
      <c r="IF128" s="233">
        <f>Konvention_1slave-INslave</f>
        <v>12</v>
      </c>
      <c r="IG128" s="233"/>
      <c r="IH128" s="233">
        <f>Konvention_1slave-FFslave</f>
        <v>12</v>
      </c>
      <c r="II128" s="233"/>
      <c r="IJ128" s="233"/>
      <c r="IK128" s="221"/>
      <c r="IL128" s="220">
        <f>(ID128+IE128+IF128+IG128+IH128+II128+IJ128+IK128)/3</f>
        <v>12</v>
      </c>
      <c r="IM128" s="220">
        <f>2*IL128</f>
        <v>24</v>
      </c>
      <c r="IN128" s="221">
        <f>3*IL128</f>
        <v>36</v>
      </c>
      <c r="IO128" s="236">
        <f t="shared" ref="IO128:IO151" si="1131">ID128*POWER(KLslave,SIGN(IE128))*POWER(INslave,SIGN(IF128))*POWER(CHslave,SIGN(IG128))*POWER(FFslave,SIGN(IH128))*POWER(GEslave,SIGN(II128))*POWER(KOslave,SIGN(IJ128))*POWER(KKslave_KK,SIGN(IK128))+IE128*POWER(MUslave,SIGN(ID128))*POWER(INslave,SIGN(IF128))*POWER(CHslave,SIGN(IG128))*POWER(FFslave,SIGN(IH128))*POWER(GEslave,SIGN(II128))*POWER(KOslave,SIGN(IJ128))*POWER(KKslave_KK,SIGN(IK128))+IF128*POWER(MUslave,SIGN(ID128))*POWER(KLslave,SIGN(IE128))*POWER(CHslave,SIGN(IG128))*POWER(FFslave,SIGN(IH128))*POWER(GEslave,SIGN(II128))*POWER(KOslave,SIGN(IJ128))*POWER(KKslave_KK,SIGN(IK128))+IG128*POWER(MUslave,SIGN(ID128))*POWER(KLslave,SIGN(IE128))*POWER(INslave,SIGN(IF128))*POWER(FFslave,SIGN(IH128))*POWER(GEslave,SIGN(II128))*POWER(KOslave,SIGN(IJ128))*POWER(KKslave_KK,SIGN(IK128))+IH128*POWER(MUslave,SIGN(ID128))*POWER(KLslave,SIGN(IE128))*POWER(INslave,SIGN(IF128))*POWER(CHslave,SIGN(IG128))*POWER(GEslave,SIGN(II128))*POWER(KOslave,SIGN(IJ128))*POWER(KKslave_KK,SIGN(IK128))+II128*POWER(MUslave,SIGN(ID128))*POWER(KLslave,SIGN(IE128))*POWER(INslave,SIGN(IF128))*POWER(CHslave,SIGN(IG128))*POWER(FFslave,SIGN(IH128))*POWER(KOslave,SIGN(IJ128))*POWER(KKslave_KK,SIGN(IK128))+IJ128*POWER(MUslave,SIGN(ID128))*POWER(KLslave,SIGN(IE128))*POWER(INslave,SIGN(IF128))*POWER(CHslave,SIGN(IG128))*POWER(FFslave,SIGN(IH128))*POWER(GEslave,SIGN(II128))*POWER(KKslave_KK,SIGN(IK128))+IK128*POWER(MUslave,SIGN(ID128))*POWER(KLslave,SIGN(IE128))*POWER(INslave,SIGN(IF128))*POWER(CHslave,SIGN(IG128))*POWER(FFslave,SIGN(IH128))*POWER(GEslave,SIGN(II128))*POWER(KOslave,SIGN(IJ128))</f>
        <v>2304</v>
      </c>
      <c r="IP128" s="233">
        <f>IE128*IF128*FFslave+IE128*INslave*IH128+KLslave*IF128*IH128</f>
        <v>3456</v>
      </c>
      <c r="IQ128" s="221">
        <f>IFERROR(ID128^SIGN(ID128),1)*IFERROR(IE128^SIGN(IE128),1)*IFERROR(IF128^SIGN(IF128),1)*IFERROR(IG128^SIGN(IG128),1)*IFERROR(IH128^SIGN(IH128),1)*IFERROR(II128^SIGN(II128),1)*IFERROR(IJ128^SIGN(IJ128),1)*IFERROR(IK128^SIGN(IK128),1)</f>
        <v>1728</v>
      </c>
      <c r="IR128" s="221">
        <f t="shared" ref="IR128:IR151" si="1132">SUM(IO128:IQ128)</f>
        <v>7488</v>
      </c>
      <c r="IS128" s="219">
        <f>IL128*IO128/IR128</f>
        <v>3.6923076923076925</v>
      </c>
      <c r="IT128" s="220">
        <f>IM128*IP128/IR128</f>
        <v>11.076923076923077</v>
      </c>
      <c r="IU128" s="241">
        <f>IN128*IQ128/IR128</f>
        <v>8.3076923076923084</v>
      </c>
      <c r="IV128" s="241">
        <f>SUM(IS128:IU128)</f>
        <v>23.07692307692308</v>
      </c>
      <c r="IW128" s="252">
        <f t="shared" ref="IW128:IW151" si="1133">HT128</f>
        <v>0</v>
      </c>
      <c r="IX128" s="309">
        <f>IV128-IW128</f>
        <v>23.07692307692308</v>
      </c>
      <c r="IY128" s="42">
        <f>IF(IV128&lt;=0,1,0)+IF(IV128&gt;0,IV128+1,0)*1+IF(IV128&gt;12,IV128-12,0)*1+IF(IV128&gt;13,IV128-13,0)*1+IF(IV128&gt;14,IV128-14,0)*1+IF(IV128&gt;15,IV128-15,0)*1+IF(IV128&gt;16,IV128-16,0)*1+IF(IV128&gt;17,IV128-17,0)*1+IF(IV128&gt;18,IV128-18,0)*1+IF(IV128&gt;19,IV128-19,0)*1+IF(IV128&gt;20,IV128-20,0)*1</f>
        <v>87.769230769230802</v>
      </c>
      <c r="IZ128" s="78">
        <f>IF(IW128&lt;=0,1,0)+IF(IW128&gt;0,IW128+1,0)*1+IF(IW128&gt;12,IW128-12,0)*1+IF(IW128&gt;13,IW128-13,0)*1+IF(IW128&gt;14,IW128-14,0)*1+IF(IW128&gt;15,IW128-15,0)*1+IF(IW128&gt;16,IW128-16,0)*1+IF(IW128&gt;17,IW128-17,0)*1+IF(IW128&gt;18,IW128-18,0)*1+IF(IW128&gt;19,IW128-19,0)*1+IF(IW128&gt;20,IW128-20,0)*1</f>
        <v>1</v>
      </c>
      <c r="JA128" s="241">
        <f>IF((IY128-IZ128)&gt;0,IY128-IZ128,0)</f>
        <v>86.769230769230802</v>
      </c>
      <c r="JB128" s="42">
        <f>IF((IZ128-IY128)&gt;0,IZ128-IY128,0)</f>
        <v>0</v>
      </c>
      <c r="JE128" s="148"/>
    </row>
    <row r="129" spans="2:265" ht="15" hidden="1" customHeight="1" outlineLevel="2">
      <c r="B129" s="148">
        <v>2</v>
      </c>
      <c r="C129" s="303" t="e">
        <f>VLOOKUP(AF129,Attribute!C:T,1,FALSE)</f>
        <v>#N/A</v>
      </c>
      <c r="D129" s="125" t="s">
        <v>170</v>
      </c>
      <c r="E129" s="127" t="s">
        <v>132</v>
      </c>
      <c r="F129" s="114"/>
      <c r="G129" s="113">
        <f>Konvention_1master-KLmaster</f>
        <v>12</v>
      </c>
      <c r="H129" s="113">
        <f>Konvention_1master-INmaster</f>
        <v>12</v>
      </c>
      <c r="I129" s="113"/>
      <c r="J129" s="113">
        <f>Konvention_1master-FFmaster</f>
        <v>12</v>
      </c>
      <c r="K129" s="113"/>
      <c r="L129" s="113"/>
      <c r="M129" s="119"/>
      <c r="N129" s="223">
        <f>(F129+G129+H129+I129+J129+K129+L129+M129)/3</f>
        <v>12</v>
      </c>
      <c r="O129" s="223">
        <f>2*N129</f>
        <v>24</v>
      </c>
      <c r="P129" s="224">
        <f>3*N129</f>
        <v>36</v>
      </c>
      <c r="Q129" s="237">
        <f>F129*POWER(KLmaster,SIGN(G129))*POWER(INmaster,SIGN(H129))*POWER(CHmaster,SIGN(I129))*POWER(FFmaster,SIGN(J129))*POWER(GEmaster,SIGN(K129))*POWER(KOmaster,SIGN(L129))*POWER(KKmaster,SIGN(M129))+G129*POWER(MUmaster,SIGN(F129))*POWER(INmaster,SIGN(H129))*POWER(CHmaster,SIGN(I129))*POWER(FFmaster,SIGN(J129))*POWER(GEmaster,SIGN(K129))*POWER(KOmaster,SIGN(L129))*POWER(KKmaster,SIGN(M129))+H129*POWER(MUmaster,SIGN(F129))*POWER(KLmaster,SIGN(G129))*POWER(CHmaster,SIGN(I129))*POWER(FFmaster,SIGN(J129))*POWER(GEmaster,SIGN(K129))*POWER(KOmaster,SIGN(L129))*POWER(KKmaster,SIGN(M129))+I129*POWER(MUmaster,SIGN(F129))*POWER(KLmaster,SIGN(G129))*POWER(INmaster,SIGN(H129))*POWER(FFmaster,SIGN(J129))*POWER(GEmaster,SIGN(K129))*POWER(KOmaster,SIGN(L129))*POWER(KKmaster,SIGN(M129))+J129*POWER(MUmaster,SIGN(F129))*POWER(KLmaster,SIGN(G129))*POWER(INmaster,SIGN(H129))*POWER(CHmaster,SIGN(I129))*POWER(GEmaster,SIGN(K129))*POWER(KOmaster,SIGN(L129))*POWER(KKmaster,SIGN(M129))+K129*POWER(MUmaster,SIGN(F129))*POWER(KLmaster,SIGN(G129))*POWER(INmaster,SIGN(H129))*POWER(CHmaster,SIGN(I129))*POWER(FFmaster,SIGN(J129))*POWER(KOmaster,SIGN(L129))*POWER(KKmaster,SIGN(M129))+L129*POWER(MUmaster,SIGN(F129))*POWER(KLmaster,SIGN(G129))*POWER(INmaster,SIGN(H129))*POWER(CHmaster,SIGN(I129))*POWER(FFmaster,SIGN(J129))*POWER(GEmaster,SIGN(K129))*POWER(KKmaster,SIGN(M129))+M129*POWER(MUmaster,SIGN(F129))*POWER(KLmaster,SIGN(G129))*POWER(INmaster,SIGN(H129))*POWER(CHmaster,SIGN(I129))*POWER(FFmaster,SIGN(J129))*POWER(GEmaster,SIGN(K129))*POWER(KOmaster,SIGN(L129))</f>
        <v>2304</v>
      </c>
      <c r="R129" s="113">
        <f>G129*H129*FFmaster+G129*INmaster*J129+KLmaster*H129*J129</f>
        <v>3456</v>
      </c>
      <c r="S129" s="224">
        <f>IFERROR(F129^SIGN(F129),1)*IFERROR(G129^SIGN(G129),1)*IFERROR(H129^SIGN(H129),1)*IFERROR(I129^SIGN(I129),1)*IFERROR(J129^SIGN(J129),1)*IFERROR(K129^SIGN(K129),1)*IFERROR(L129^SIGN(L129),1)*IFERROR(M129^SIGN(M129),1)</f>
        <v>1728</v>
      </c>
      <c r="T129" s="224">
        <f t="shared" si="1109"/>
        <v>7488</v>
      </c>
      <c r="U129" s="222">
        <f>N129*Q129/T129</f>
        <v>3.6923076923076925</v>
      </c>
      <c r="V129" s="223">
        <f>O129*R129/T129</f>
        <v>11.076923076923077</v>
      </c>
      <c r="W129" s="243">
        <f>P129*S129/T129</f>
        <v>8.3076923076923084</v>
      </c>
      <c r="X129" s="243">
        <f>SUM(U129:W129)</f>
        <v>23.07692307692308</v>
      </c>
      <c r="Y129" s="252">
        <v>0</v>
      </c>
      <c r="Z129" s="198">
        <f>X129-Y129</f>
        <v>23.07692307692308</v>
      </c>
      <c r="AA129" s="125">
        <f>IF(X129&lt;=0,2,0)+IF(X129&gt;0,X129+1,0)*2+IF(X129&gt;12,X129-12,0)*2+IF(X129&gt;13,X129-13,0)*2+IF(X129&gt;14,X129-14,0)*2+IF(X129&gt;15,X129-15,0)*2+IF(X129&gt;16,X129-16,0)*2+IF(X129&gt;17,X129-17,0)*2+IF(X129&gt;18,X129-18,0)*2+IF(X129&gt;19,X129-19,0)*2+IF(X129&gt;20,X129-20,0)*2</f>
        <v>175.5384615384616</v>
      </c>
      <c r="AB129" s="160">
        <f>IF(Y129&lt;=0,2,0)+IF(Y129&gt;0,Y129+1,0)*2+IF(Y129&gt;12,Y129-12,0)*2+IF(Y129&gt;13,Y129-13,0)*2+IF(Y129&gt;14,Y129-14,0)*2+IF(Y129&gt;15,Y129-15,0)*2+IF(Y129&gt;16,Y129-16,0)*2+IF(Y129&gt;17,Y129-17,0)*2+IF(Y129&gt;18,Y129-18,0)*2+IF(Y129&gt;19,Y129-19,0)*2+IF(Y129&gt;20,Y129-20,0)*2</f>
        <v>2</v>
      </c>
      <c r="AC129" s="127">
        <f>IF((AA129-AB129)&gt;0,AA129-AB129,0)</f>
        <v>173.5384615384616</v>
      </c>
      <c r="AD129" s="125">
        <f>IF((AB129-AA129)&gt;0,AB129-AA129,0)</f>
        <v>0</v>
      </c>
      <c r="AF129" s="163" t="s">
        <v>182</v>
      </c>
      <c r="AG129" s="125" t="s">
        <v>170</v>
      </c>
      <c r="AH129" s="127" t="s">
        <v>132</v>
      </c>
      <c r="AI129" s="114"/>
      <c r="AJ129" s="113">
        <f>Konvention_1slave-KLslave</f>
        <v>12</v>
      </c>
      <c r="AK129" s="113">
        <f>Konvention_1slave-INslave</f>
        <v>12</v>
      </c>
      <c r="AL129" s="113"/>
      <c r="AM129" s="113">
        <f>Konvention_1slave-FFslave</f>
        <v>12</v>
      </c>
      <c r="AN129" s="113"/>
      <c r="AO129" s="113"/>
      <c r="AP129" s="119"/>
      <c r="AQ129" s="47">
        <f>(AI129+AJ129+AK129+AL129+AM129+AN129+AO129+AP129)/3</f>
        <v>12</v>
      </c>
      <c r="AR129" s="47">
        <f>2*AQ129</f>
        <v>24</v>
      </c>
      <c r="AS129" s="119">
        <f>3*AQ129</f>
        <v>36</v>
      </c>
      <c r="AT129" s="114">
        <f t="shared" si="1110"/>
        <v>2304</v>
      </c>
      <c r="AU129" s="113">
        <f>AJ129*AK129*FFslave+AJ129*INslave*AM129+KLslave*AK129*AM129</f>
        <v>3456</v>
      </c>
      <c r="AV129" s="119">
        <f>IFERROR(AI129^SIGN(AI129),1)*IFERROR(AJ129^SIGN(AJ129),1)*IFERROR(AK129^SIGN(AK129),1)*IFERROR(AL129^SIGN(AL129),1)*IFERROR(AM129^SIGN(AM129),1)*IFERROR(AN129^SIGN(AN129),1)*IFERROR(AO129^SIGN(AO129),1)*IFERROR(AP129^SIGN(AP129),1)</f>
        <v>1728</v>
      </c>
      <c r="AW129" s="119">
        <f t="shared" si="1111"/>
        <v>7488</v>
      </c>
      <c r="AX129" s="89">
        <f>AQ129*AT129/AW129</f>
        <v>3.6923076923076925</v>
      </c>
      <c r="AY129" s="47">
        <f>AR129*AU129/AW129</f>
        <v>11.076923076923077</v>
      </c>
      <c r="AZ129" s="127">
        <f>AS129*AV129/AW129</f>
        <v>8.3076923076923084</v>
      </c>
      <c r="BA129" s="127">
        <f>SUM(AX129:AZ129)</f>
        <v>23.07692307692308</v>
      </c>
      <c r="BB129" s="165">
        <f t="shared" si="1112"/>
        <v>0</v>
      </c>
      <c r="BC129" s="198">
        <f>BA129-BB129</f>
        <v>23.07692307692308</v>
      </c>
      <c r="BD129" s="125">
        <f>IF(BA129&lt;=0,2,0)+IF(BA129&gt;0,BA129+1,0)*2+IF(BA129&gt;12,BA129-12,0)*2+IF(BA129&gt;13,BA129-13,0)*2+IF(BA129&gt;14,BA129-14,0)*2+IF(BA129&gt;15,BA129-15,0)*2+IF(BA129&gt;16,BA129-16,0)*2+IF(BA129&gt;17,BA129-17,0)*2+IF(BA129&gt;18,BA129-18,0)*2+IF(BA129&gt;19,BA129-19,0)*2+IF(BA129&gt;20,BA129-20,0)*2</f>
        <v>175.5384615384616</v>
      </c>
      <c r="BE129" s="160">
        <f>IF(BB129&lt;=0,2,0)+IF(BB129&gt;0,BB129+1,0)*2+IF(BB129&gt;12,BB129-12,0)*2+IF(BB129&gt;13,BB129-13,0)*2+IF(BB129&gt;14,BB129-14,0)*2+IF(BB129&gt;15,BB129-15,0)*2+IF(BB129&gt;16,BB129-16,0)*2+IF(BB129&gt;17,BB129-17,0)*2+IF(BB129&gt;18,BB129-18,0)*2+IF(BB129&gt;19,BB129-19,0)*2+IF(BB129&gt;20,BB129-20,0)*2</f>
        <v>2</v>
      </c>
      <c r="BF129" s="243">
        <f>IF((BD129-BE129)&gt;0,BD129-BE129,0)</f>
        <v>173.5384615384616</v>
      </c>
      <c r="BG129" s="218">
        <f>IF((BE129-BD129)&gt;0,BE129-BD129,0)</f>
        <v>0</v>
      </c>
      <c r="BI129" s="303" t="s">
        <v>182</v>
      </c>
      <c r="BJ129" s="218" t="s">
        <v>170</v>
      </c>
      <c r="BK129" s="243" t="s">
        <v>132</v>
      </c>
      <c r="BL129" s="237"/>
      <c r="BM129" s="234">
        <f>Konvention_1slave-KLslave_KL</f>
        <v>11</v>
      </c>
      <c r="BN129" s="234">
        <f>Konvention_1slave-INslave</f>
        <v>12</v>
      </c>
      <c r="BO129" s="234"/>
      <c r="BP129" s="234">
        <f>Konvention_1slave-FFslave</f>
        <v>12</v>
      </c>
      <c r="BQ129" s="234"/>
      <c r="BR129" s="234"/>
      <c r="BS129" s="224"/>
      <c r="BT129" s="223">
        <f>(BL129+BM129+BN129+BO129+BP129+BQ129+BR129+BS129)/3</f>
        <v>11.666666666666666</v>
      </c>
      <c r="BU129" s="223">
        <f>2*BT129</f>
        <v>23.333333333333332</v>
      </c>
      <c r="BV129" s="224">
        <f>3*BT129</f>
        <v>35</v>
      </c>
      <c r="BW129" s="237">
        <f t="shared" si="1113"/>
        <v>2432</v>
      </c>
      <c r="BX129" s="234">
        <f>BM129*BN129*FFslave+BM129*INslave*BP129+KLslave_KL*BN129*BP129</f>
        <v>3408</v>
      </c>
      <c r="BY129" s="224">
        <f>IFERROR(BL129^SIGN(BL129),1)*IFERROR(BM129^SIGN(BM129),1)*IFERROR(BN129^SIGN(BN129),1)*IFERROR(BO129^SIGN(BO129),1)*IFERROR(BP129^SIGN(BP129),1)*IFERROR(BQ129^SIGN(BQ129),1)*IFERROR(BR129^SIGN(BR129),1)*IFERROR(BS129^SIGN(BS129),1)</f>
        <v>1584</v>
      </c>
      <c r="BZ129" s="224">
        <f t="shared" si="1114"/>
        <v>7424</v>
      </c>
      <c r="CA129" s="222">
        <f>BT129*BW129/BZ129</f>
        <v>3.8218390804597702</v>
      </c>
      <c r="CB129" s="223">
        <f>BU129*BX129/BZ129</f>
        <v>10.711206896551724</v>
      </c>
      <c r="CC129" s="243">
        <f>BV129*BY129/BZ129</f>
        <v>7.4676724137931032</v>
      </c>
      <c r="CD129" s="243">
        <f>SUM(CA129:CC129)</f>
        <v>22.000718390804597</v>
      </c>
      <c r="CE129" s="252">
        <f t="shared" si="1115"/>
        <v>0</v>
      </c>
      <c r="CF129" s="309">
        <f>CD129-CE129</f>
        <v>22.000718390804597</v>
      </c>
      <c r="CG129" s="218">
        <f>IF(CD129&lt;=0,2,0)+IF(CD129&gt;0,CD129+1,0)*2+IF(CD129&gt;12,CD129-12,0)*2+IF(CD129&gt;13,CD129-13,0)*2+IF(CD129&gt;14,CD129-14,0)*2+IF(CD129&gt;15,CD129-15,0)*2+IF(CD129&gt;16,CD129-16,0)*2+IF(CD129&gt;17,CD129-17,0)*2+IF(CD129&gt;18,CD129-18,0)*2+IF(CD129&gt;19,CD129-19,0)*2+IF(CD129&gt;20,CD129-20,0)*2</f>
        <v>154.01436781609189</v>
      </c>
      <c r="CH129" s="242">
        <f>IF(CE129&lt;=0,2,0)+IF(CE129&gt;0,CE129+1,0)*2+IF(CE129&gt;12,CE129-12,0)*2+IF(CE129&gt;13,CE129-13,0)*2+IF(CE129&gt;14,CE129-14,0)*2+IF(CE129&gt;15,CE129-15,0)*2+IF(CE129&gt;16,CE129-16,0)*2+IF(CE129&gt;17,CE129-17,0)*2+IF(CE129&gt;18,CE129-18,0)*2+IF(CE129&gt;19,CE129-19,0)*2+IF(CE129&gt;20,CE129-20,0)*2</f>
        <v>2</v>
      </c>
      <c r="CI129" s="243">
        <f>IF((CG129-CH129)&gt;0,CG129-CH129,0)</f>
        <v>152.01436781609189</v>
      </c>
      <c r="CJ129" s="218">
        <f>IF((CH129-CG129)&gt;0,CH129-CG129,0)</f>
        <v>0</v>
      </c>
      <c r="CL129" s="303" t="s">
        <v>182</v>
      </c>
      <c r="CM129" s="218" t="s">
        <v>170</v>
      </c>
      <c r="CN129" s="243" t="s">
        <v>132</v>
      </c>
      <c r="CO129" s="237"/>
      <c r="CP129" s="234">
        <f>Konvention_1slave-KLslave</f>
        <v>12</v>
      </c>
      <c r="CQ129" s="234">
        <f>Konvention_1slave-INslave_IN</f>
        <v>11</v>
      </c>
      <c r="CR129" s="234"/>
      <c r="CS129" s="234">
        <f>Konvention_1slave-FFslave</f>
        <v>12</v>
      </c>
      <c r="CT129" s="234"/>
      <c r="CU129" s="234"/>
      <c r="CV129" s="224"/>
      <c r="CW129" s="223">
        <f>(CO129+CP129+CQ129+CR129+CS129+CT129+CU129+CV129)/3</f>
        <v>11.666666666666666</v>
      </c>
      <c r="CX129" s="223">
        <f>2*CW129</f>
        <v>23.333333333333332</v>
      </c>
      <c r="CY129" s="224">
        <f>3*CW129</f>
        <v>35</v>
      </c>
      <c r="CZ129" s="237">
        <f t="shared" si="1116"/>
        <v>2432</v>
      </c>
      <c r="DA129" s="234">
        <f>CP129*CQ129*FFslave+CP129*INslave_IN*CS129+KLslave*CQ129*CS129</f>
        <v>3408</v>
      </c>
      <c r="DB129" s="224">
        <f>IFERROR(CO129^SIGN(CO129),1)*IFERROR(CP129^SIGN(CP129),1)*IFERROR(CQ129^SIGN(CQ129),1)*IFERROR(CR129^SIGN(CR129),1)*IFERROR(CS129^SIGN(CS129),1)*IFERROR(CT129^SIGN(CT129),1)*IFERROR(CU129^SIGN(CU129),1)*IFERROR(CV129^SIGN(CV129),1)</f>
        <v>1584</v>
      </c>
      <c r="DC129" s="224">
        <f t="shared" si="1117"/>
        <v>7424</v>
      </c>
      <c r="DD129" s="222">
        <f>CW129*CZ129/DC129</f>
        <v>3.8218390804597702</v>
      </c>
      <c r="DE129" s="223">
        <f>CX129*DA129/DC129</f>
        <v>10.711206896551724</v>
      </c>
      <c r="DF129" s="243">
        <f>CY129*DB129/DC129</f>
        <v>7.4676724137931032</v>
      </c>
      <c r="DG129" s="243">
        <f>SUM(DD129:DF129)</f>
        <v>22.000718390804597</v>
      </c>
      <c r="DH129" s="252">
        <f t="shared" si="1118"/>
        <v>0</v>
      </c>
      <c r="DI129" s="309">
        <f>DG129-DH129</f>
        <v>22.000718390804597</v>
      </c>
      <c r="DJ129" s="218">
        <f>IF(DG129&lt;=0,2,0)+IF(DG129&gt;0,DG129+1,0)*2+IF(DG129&gt;12,DG129-12,0)*2+IF(DG129&gt;13,DG129-13,0)*2+IF(DG129&gt;14,DG129-14,0)*2+IF(DG129&gt;15,DG129-15,0)*2+IF(DG129&gt;16,DG129-16,0)*2+IF(DG129&gt;17,DG129-17,0)*2+IF(DG129&gt;18,DG129-18,0)*2+IF(DG129&gt;19,DG129-19,0)*2+IF(DG129&gt;20,DG129-20,0)*2</f>
        <v>154.01436781609189</v>
      </c>
      <c r="DK129" s="242">
        <f>IF(DH129&lt;=0,2,0)+IF(DH129&gt;0,DH129+1,0)*2+IF(DH129&gt;12,DH129-12,0)*2+IF(DH129&gt;13,DH129-13,0)*2+IF(DH129&gt;14,DH129-14,0)*2+IF(DH129&gt;15,DH129-15,0)*2+IF(DH129&gt;16,DH129-16,0)*2+IF(DH129&gt;17,DH129-17,0)*2+IF(DH129&gt;18,DH129-18,0)*2+IF(DH129&gt;19,DH129-19,0)*2+IF(DH129&gt;20,DH129-20,0)*2</f>
        <v>2</v>
      </c>
      <c r="DL129" s="243">
        <f>IF((DJ129-DK129)&gt;0,DJ129-DK129,0)</f>
        <v>152.01436781609189</v>
      </c>
      <c r="DM129" s="218">
        <f>IF((DK129-DJ129)&gt;0,DK129-DJ129,0)</f>
        <v>0</v>
      </c>
      <c r="DO129" s="303" t="s">
        <v>182</v>
      </c>
      <c r="DP129" s="218" t="s">
        <v>170</v>
      </c>
      <c r="DQ129" s="243" t="s">
        <v>132</v>
      </c>
      <c r="DR129" s="237"/>
      <c r="DS129" s="234">
        <f>Konvention_1slave-KLslave</f>
        <v>12</v>
      </c>
      <c r="DT129" s="234">
        <f>Konvention_1slave-INslave</f>
        <v>12</v>
      </c>
      <c r="DU129" s="234"/>
      <c r="DV129" s="234">
        <f>Konvention_1slave-FFslave</f>
        <v>12</v>
      </c>
      <c r="DW129" s="234"/>
      <c r="DX129" s="234"/>
      <c r="DY129" s="224"/>
      <c r="DZ129" s="223">
        <f>(DR129+DS129+DT129+DU129+DV129+DW129+DX129+DY129)/3</f>
        <v>12</v>
      </c>
      <c r="EA129" s="223">
        <f>2*DZ129</f>
        <v>24</v>
      </c>
      <c r="EB129" s="224">
        <f>3*DZ129</f>
        <v>36</v>
      </c>
      <c r="EC129" s="237">
        <f t="shared" si="1119"/>
        <v>2304</v>
      </c>
      <c r="ED129" s="234">
        <f>DS129*DT129*FFslave+DS129*INslave*DV129+KLslave*DT129*DV129</f>
        <v>3456</v>
      </c>
      <c r="EE129" s="224">
        <f>IFERROR(DR129^SIGN(DR129),1)*IFERROR(DS129^SIGN(DS129),1)*IFERROR(DT129^SIGN(DT129),1)*IFERROR(DU129^SIGN(DU129),1)*IFERROR(DV129^SIGN(DV129),1)*IFERROR(DW129^SIGN(DW129),1)*IFERROR(DX129^SIGN(DX129),1)*IFERROR(DY129^SIGN(DY129),1)</f>
        <v>1728</v>
      </c>
      <c r="EF129" s="224">
        <f t="shared" si="1120"/>
        <v>7488</v>
      </c>
      <c r="EG129" s="222">
        <f>DZ129*EC129/EF129</f>
        <v>3.6923076923076925</v>
      </c>
      <c r="EH129" s="223">
        <f>EA129*ED129/EF129</f>
        <v>11.076923076923077</v>
      </c>
      <c r="EI129" s="243">
        <f>EB129*EE129/EF129</f>
        <v>8.3076923076923084</v>
      </c>
      <c r="EJ129" s="243">
        <f>SUM(EG129:EI129)</f>
        <v>23.07692307692308</v>
      </c>
      <c r="EK129" s="252">
        <f t="shared" si="1121"/>
        <v>0</v>
      </c>
      <c r="EL129" s="309">
        <f>EJ129-EK129</f>
        <v>23.07692307692308</v>
      </c>
      <c r="EM129" s="218">
        <f>IF(EJ129&lt;=0,2,0)+IF(EJ129&gt;0,EJ129+1,0)*2+IF(EJ129&gt;12,EJ129-12,0)*2+IF(EJ129&gt;13,EJ129-13,0)*2+IF(EJ129&gt;14,EJ129-14,0)*2+IF(EJ129&gt;15,EJ129-15,0)*2+IF(EJ129&gt;16,EJ129-16,0)*2+IF(EJ129&gt;17,EJ129-17,0)*2+IF(EJ129&gt;18,EJ129-18,0)*2+IF(EJ129&gt;19,EJ129-19,0)*2+IF(EJ129&gt;20,EJ129-20,0)*2</f>
        <v>175.5384615384616</v>
      </c>
      <c r="EN129" s="242">
        <f>IF(EK129&lt;=0,2,0)+IF(EK129&gt;0,EK129+1,0)*2+IF(EK129&gt;12,EK129-12,0)*2+IF(EK129&gt;13,EK129-13,0)*2+IF(EK129&gt;14,EK129-14,0)*2+IF(EK129&gt;15,EK129-15,0)*2+IF(EK129&gt;16,EK129-16,0)*2+IF(EK129&gt;17,EK129-17,0)*2+IF(EK129&gt;18,EK129-18,0)*2+IF(EK129&gt;19,EK129-19,0)*2+IF(EK129&gt;20,EK129-20,0)*2</f>
        <v>2</v>
      </c>
      <c r="EO129" s="243">
        <f>IF((EM129-EN129)&gt;0,EM129-EN129,0)</f>
        <v>173.5384615384616</v>
      </c>
      <c r="EP129" s="218">
        <f>IF((EN129-EM129)&gt;0,EN129-EM129,0)</f>
        <v>0</v>
      </c>
      <c r="ER129" s="303" t="s">
        <v>182</v>
      </c>
      <c r="ES129" s="218" t="s">
        <v>170</v>
      </c>
      <c r="ET129" s="243" t="s">
        <v>132</v>
      </c>
      <c r="EU129" s="237"/>
      <c r="EV129" s="234">
        <f>Konvention_1slave-KLslave</f>
        <v>12</v>
      </c>
      <c r="EW129" s="234">
        <f>Konvention_1slave-INslave</f>
        <v>12</v>
      </c>
      <c r="EX129" s="234"/>
      <c r="EY129" s="234">
        <f>Konvention_1slave-FFslave_FF</f>
        <v>11</v>
      </c>
      <c r="EZ129" s="234"/>
      <c r="FA129" s="234"/>
      <c r="FB129" s="224"/>
      <c r="FC129" s="223">
        <f>(EU129+EV129+EW129+EX129+EY129+EZ129+FA129+FB129)/3</f>
        <v>11.666666666666666</v>
      </c>
      <c r="FD129" s="223">
        <f>2*FC129</f>
        <v>23.333333333333332</v>
      </c>
      <c r="FE129" s="224">
        <f>3*FC129</f>
        <v>35</v>
      </c>
      <c r="FF129" s="237">
        <f t="shared" si="1122"/>
        <v>2432</v>
      </c>
      <c r="FG129" s="234">
        <f>EV129*EW129*FFslave_FF+EV129*INslave*EY129+KLslave*EW129*EY129</f>
        <v>3408</v>
      </c>
      <c r="FH129" s="224">
        <f>IFERROR(EU129^SIGN(EU129),1)*IFERROR(EV129^SIGN(EV129),1)*IFERROR(EW129^SIGN(EW129),1)*IFERROR(EX129^SIGN(EX129),1)*IFERROR(EY129^SIGN(EY129),1)*IFERROR(EZ129^SIGN(EZ129),1)*IFERROR(FA129^SIGN(FA129),1)*IFERROR(FB129^SIGN(FB129),1)</f>
        <v>1584</v>
      </c>
      <c r="FI129" s="224">
        <f t="shared" si="1123"/>
        <v>7424</v>
      </c>
      <c r="FJ129" s="222">
        <f>FC129*FF129/FI129</f>
        <v>3.8218390804597702</v>
      </c>
      <c r="FK129" s="223">
        <f>FD129*FG129/FI129</f>
        <v>10.711206896551724</v>
      </c>
      <c r="FL129" s="243">
        <f>FE129*FH129/FI129</f>
        <v>7.4676724137931032</v>
      </c>
      <c r="FM129" s="243">
        <f>SUM(FJ129:FL129)</f>
        <v>22.000718390804597</v>
      </c>
      <c r="FN129" s="252">
        <f t="shared" si="1124"/>
        <v>0</v>
      </c>
      <c r="FO129" s="309">
        <f>FM129-FN129</f>
        <v>22.000718390804597</v>
      </c>
      <c r="FP129" s="218">
        <f>IF(FM129&lt;=0,2,0)+IF(FM129&gt;0,FM129+1,0)*2+IF(FM129&gt;12,FM129-12,0)*2+IF(FM129&gt;13,FM129-13,0)*2+IF(FM129&gt;14,FM129-14,0)*2+IF(FM129&gt;15,FM129-15,0)*2+IF(FM129&gt;16,FM129-16,0)*2+IF(FM129&gt;17,FM129-17,0)*2+IF(FM129&gt;18,FM129-18,0)*2+IF(FM129&gt;19,FM129-19,0)*2+IF(FM129&gt;20,FM129-20,0)*2</f>
        <v>154.01436781609189</v>
      </c>
      <c r="FQ129" s="242">
        <f>IF(FN129&lt;=0,2,0)+IF(FN129&gt;0,FN129+1,0)*2+IF(FN129&gt;12,FN129-12,0)*2+IF(FN129&gt;13,FN129-13,0)*2+IF(FN129&gt;14,FN129-14,0)*2+IF(FN129&gt;15,FN129-15,0)*2+IF(FN129&gt;16,FN129-16,0)*2+IF(FN129&gt;17,FN129-17,0)*2+IF(FN129&gt;18,FN129-18,0)*2+IF(FN129&gt;19,FN129-19,0)*2+IF(FN129&gt;20,FN129-20,0)*2</f>
        <v>2</v>
      </c>
      <c r="FR129" s="243">
        <f>IF((FP129-FQ129)&gt;0,FP129-FQ129,0)</f>
        <v>152.01436781609189</v>
      </c>
      <c r="FS129" s="218">
        <f>IF((FQ129-FP129)&gt;0,FQ129-FP129,0)</f>
        <v>0</v>
      </c>
      <c r="FU129" s="303" t="s">
        <v>182</v>
      </c>
      <c r="FV129" s="218" t="s">
        <v>170</v>
      </c>
      <c r="FW129" s="243" t="s">
        <v>132</v>
      </c>
      <c r="FX129" s="237"/>
      <c r="FY129" s="234">
        <f>Konvention_1slave-KLslave</f>
        <v>12</v>
      </c>
      <c r="FZ129" s="234">
        <f>Konvention_1slave-INslave</f>
        <v>12</v>
      </c>
      <c r="GA129" s="234"/>
      <c r="GB129" s="234">
        <f>Konvention_1slave-FFslave</f>
        <v>12</v>
      </c>
      <c r="GC129" s="234"/>
      <c r="GD129" s="234"/>
      <c r="GE129" s="224"/>
      <c r="GF129" s="223">
        <f>(FX129+FY129+FZ129+GA129+GB129+GC129+GD129+GE129)/3</f>
        <v>12</v>
      </c>
      <c r="GG129" s="223">
        <f>2*GF129</f>
        <v>24</v>
      </c>
      <c r="GH129" s="224">
        <f>3*GF129</f>
        <v>36</v>
      </c>
      <c r="GI129" s="237">
        <f t="shared" si="1125"/>
        <v>2304</v>
      </c>
      <c r="GJ129" s="234">
        <f>FY129*FZ129*FFslave+FY129*INslave*GB129+KLslave*FZ129*GB129</f>
        <v>3456</v>
      </c>
      <c r="GK129" s="224">
        <f>IFERROR(FX129^SIGN(FX129),1)*IFERROR(FY129^SIGN(FY129),1)*IFERROR(FZ129^SIGN(FZ129),1)*IFERROR(GA129^SIGN(GA129),1)*IFERROR(GB129^SIGN(GB129),1)*IFERROR(GC129^SIGN(GC129),1)*IFERROR(GD129^SIGN(GD129),1)*IFERROR(GE129^SIGN(GE129),1)</f>
        <v>1728</v>
      </c>
      <c r="GL129" s="224">
        <f t="shared" si="1126"/>
        <v>7488</v>
      </c>
      <c r="GM129" s="222">
        <f>GF129*GI129/GL129</f>
        <v>3.6923076923076925</v>
      </c>
      <c r="GN129" s="223">
        <f>GG129*GJ129/GL129</f>
        <v>11.076923076923077</v>
      </c>
      <c r="GO129" s="243">
        <f>GH129*GK129/GL129</f>
        <v>8.3076923076923084</v>
      </c>
      <c r="GP129" s="243">
        <f>SUM(GM129:GO129)</f>
        <v>23.07692307692308</v>
      </c>
      <c r="GQ129" s="252">
        <f t="shared" si="1127"/>
        <v>0</v>
      </c>
      <c r="GR129" s="309">
        <f>GP129-GQ129</f>
        <v>23.07692307692308</v>
      </c>
      <c r="GS129" s="218">
        <f>IF(GP129&lt;=0,2,0)+IF(GP129&gt;0,GP129+1,0)*2+IF(GP129&gt;12,GP129-12,0)*2+IF(GP129&gt;13,GP129-13,0)*2+IF(GP129&gt;14,GP129-14,0)*2+IF(GP129&gt;15,GP129-15,0)*2+IF(GP129&gt;16,GP129-16,0)*2+IF(GP129&gt;17,GP129-17,0)*2+IF(GP129&gt;18,GP129-18,0)*2+IF(GP129&gt;19,GP129-19,0)*2+IF(GP129&gt;20,GP129-20,0)*2</f>
        <v>175.5384615384616</v>
      </c>
      <c r="GT129" s="242">
        <f>IF(GQ129&lt;=0,2,0)+IF(GQ129&gt;0,GQ129+1,0)*2+IF(GQ129&gt;12,GQ129-12,0)*2+IF(GQ129&gt;13,GQ129-13,0)*2+IF(GQ129&gt;14,GQ129-14,0)*2+IF(GQ129&gt;15,GQ129-15,0)*2+IF(GQ129&gt;16,GQ129-16,0)*2+IF(GQ129&gt;17,GQ129-17,0)*2+IF(GQ129&gt;18,GQ129-18,0)*2+IF(GQ129&gt;19,GQ129-19,0)*2+IF(GQ129&gt;20,GQ129-20,0)*2</f>
        <v>2</v>
      </c>
      <c r="GU129" s="243">
        <f>IF((GS129-GT129)&gt;0,GS129-GT129,0)</f>
        <v>173.5384615384616</v>
      </c>
      <c r="GV129" s="218">
        <f>IF((GT129-GS129)&gt;0,GT129-GS129,0)</f>
        <v>0</v>
      </c>
      <c r="GX129" s="303" t="s">
        <v>182</v>
      </c>
      <c r="GY129" s="218" t="s">
        <v>170</v>
      </c>
      <c r="GZ129" s="243" t="s">
        <v>132</v>
      </c>
      <c r="HA129" s="237"/>
      <c r="HB129" s="234">
        <f>Konvention_1slave-KLslave</f>
        <v>12</v>
      </c>
      <c r="HC129" s="234">
        <f>Konvention_1slave-INslave</f>
        <v>12</v>
      </c>
      <c r="HD129" s="234"/>
      <c r="HE129" s="234">
        <f>Konvention_1slave-FFslave</f>
        <v>12</v>
      </c>
      <c r="HF129" s="234"/>
      <c r="HG129" s="234"/>
      <c r="HH129" s="224"/>
      <c r="HI129" s="223">
        <f>(HA129+HB129+HC129+HD129+HE129+HF129+HG129+HH129)/3</f>
        <v>12</v>
      </c>
      <c r="HJ129" s="223">
        <f>2*HI129</f>
        <v>24</v>
      </c>
      <c r="HK129" s="224">
        <f>3*HI129</f>
        <v>36</v>
      </c>
      <c r="HL129" s="237">
        <f t="shared" si="1128"/>
        <v>2304</v>
      </c>
      <c r="HM129" s="234">
        <f>HB129*HC129*FFslave+HB129*INslave*HE129+KLslave*HC129*HE129</f>
        <v>3456</v>
      </c>
      <c r="HN129" s="224">
        <f>IFERROR(HA129^SIGN(HA129),1)*IFERROR(HB129^SIGN(HB129),1)*IFERROR(HC129^SIGN(HC129),1)*IFERROR(HD129^SIGN(HD129),1)*IFERROR(HE129^SIGN(HE129),1)*IFERROR(HF129^SIGN(HF129),1)*IFERROR(HG129^SIGN(HG129),1)*IFERROR(HH129^SIGN(HH129),1)</f>
        <v>1728</v>
      </c>
      <c r="HO129" s="224">
        <f t="shared" si="1129"/>
        <v>7488</v>
      </c>
      <c r="HP129" s="222">
        <f>HI129*HL129/HO129</f>
        <v>3.6923076923076925</v>
      </c>
      <c r="HQ129" s="223">
        <f>HJ129*HM129/HO129</f>
        <v>11.076923076923077</v>
      </c>
      <c r="HR129" s="243">
        <f>HK129*HN129/HO129</f>
        <v>8.3076923076923084</v>
      </c>
      <c r="HS129" s="243">
        <f>SUM(HP129:HR129)</f>
        <v>23.07692307692308</v>
      </c>
      <c r="HT129" s="252">
        <f t="shared" si="1130"/>
        <v>0</v>
      </c>
      <c r="HU129" s="309">
        <f>HS129-HT129</f>
        <v>23.07692307692308</v>
      </c>
      <c r="HV129" s="218">
        <f>IF(HS129&lt;=0,2,0)+IF(HS129&gt;0,HS129+1,0)*2+IF(HS129&gt;12,HS129-12,0)*2+IF(HS129&gt;13,HS129-13,0)*2+IF(HS129&gt;14,HS129-14,0)*2+IF(HS129&gt;15,HS129-15,0)*2+IF(HS129&gt;16,HS129-16,0)*2+IF(HS129&gt;17,HS129-17,0)*2+IF(HS129&gt;18,HS129-18,0)*2+IF(HS129&gt;19,HS129-19,0)*2+IF(HS129&gt;20,HS129-20,0)*2</f>
        <v>175.5384615384616</v>
      </c>
      <c r="HW129" s="242">
        <f>IF(HT129&lt;=0,2,0)+IF(HT129&gt;0,HT129+1,0)*2+IF(HT129&gt;12,HT129-12,0)*2+IF(HT129&gt;13,HT129-13,0)*2+IF(HT129&gt;14,HT129-14,0)*2+IF(HT129&gt;15,HT129-15,0)*2+IF(HT129&gt;16,HT129-16,0)*2+IF(HT129&gt;17,HT129-17,0)*2+IF(HT129&gt;18,HT129-18,0)*2+IF(HT129&gt;19,HT129-19,0)*2+IF(HT129&gt;20,HT129-20,0)*2</f>
        <v>2</v>
      </c>
      <c r="HX129" s="243">
        <f>IF((HV129-HW129)&gt;0,HV129-HW129,0)</f>
        <v>173.5384615384616</v>
      </c>
      <c r="HY129" s="218">
        <f>IF((HW129-HV129)&gt;0,HW129-HV129,0)</f>
        <v>0</v>
      </c>
      <c r="IA129" s="303" t="s">
        <v>182</v>
      </c>
      <c r="IB129" s="218" t="s">
        <v>170</v>
      </c>
      <c r="IC129" s="243" t="s">
        <v>132</v>
      </c>
      <c r="ID129" s="237"/>
      <c r="IE129" s="234">
        <f>Konvention_1slave-KLslave</f>
        <v>12</v>
      </c>
      <c r="IF129" s="234">
        <f>Konvention_1slave-INslave</f>
        <v>12</v>
      </c>
      <c r="IG129" s="234"/>
      <c r="IH129" s="234">
        <f>Konvention_1slave-FFslave</f>
        <v>12</v>
      </c>
      <c r="II129" s="234"/>
      <c r="IJ129" s="234"/>
      <c r="IK129" s="224"/>
      <c r="IL129" s="223">
        <f>(ID129+IE129+IF129+IG129+IH129+II129+IJ129+IK129)/3</f>
        <v>12</v>
      </c>
      <c r="IM129" s="223">
        <f>2*IL129</f>
        <v>24</v>
      </c>
      <c r="IN129" s="224">
        <f>3*IL129</f>
        <v>36</v>
      </c>
      <c r="IO129" s="237">
        <f t="shared" si="1131"/>
        <v>2304</v>
      </c>
      <c r="IP129" s="234">
        <f>IE129*IF129*FFslave+IE129*INslave*IH129+KLslave*IF129*IH129</f>
        <v>3456</v>
      </c>
      <c r="IQ129" s="224">
        <f>IFERROR(ID129^SIGN(ID129),1)*IFERROR(IE129^SIGN(IE129),1)*IFERROR(IF129^SIGN(IF129),1)*IFERROR(IG129^SIGN(IG129),1)*IFERROR(IH129^SIGN(IH129),1)*IFERROR(II129^SIGN(II129),1)*IFERROR(IJ129^SIGN(IJ129),1)*IFERROR(IK129^SIGN(IK129),1)</f>
        <v>1728</v>
      </c>
      <c r="IR129" s="224">
        <f t="shared" si="1132"/>
        <v>7488</v>
      </c>
      <c r="IS129" s="222">
        <f>IL129*IO129/IR129</f>
        <v>3.6923076923076925</v>
      </c>
      <c r="IT129" s="223">
        <f>IM129*IP129/IR129</f>
        <v>11.076923076923077</v>
      </c>
      <c r="IU129" s="243">
        <f>IN129*IQ129/IR129</f>
        <v>8.3076923076923084</v>
      </c>
      <c r="IV129" s="243">
        <f>SUM(IS129:IU129)</f>
        <v>23.07692307692308</v>
      </c>
      <c r="IW129" s="252">
        <f t="shared" si="1133"/>
        <v>0</v>
      </c>
      <c r="IX129" s="309">
        <f>IV129-IW129</f>
        <v>23.07692307692308</v>
      </c>
      <c r="IY129" s="218">
        <f>IF(IV129&lt;=0,2,0)+IF(IV129&gt;0,IV129+1,0)*2+IF(IV129&gt;12,IV129-12,0)*2+IF(IV129&gt;13,IV129-13,0)*2+IF(IV129&gt;14,IV129-14,0)*2+IF(IV129&gt;15,IV129-15,0)*2+IF(IV129&gt;16,IV129-16,0)*2+IF(IV129&gt;17,IV129-17,0)*2+IF(IV129&gt;18,IV129-18,0)*2+IF(IV129&gt;19,IV129-19,0)*2+IF(IV129&gt;20,IV129-20,0)*2</f>
        <v>175.5384615384616</v>
      </c>
      <c r="IZ129" s="242">
        <f>IF(IW129&lt;=0,2,0)+IF(IW129&gt;0,IW129+1,0)*2+IF(IW129&gt;12,IW129-12,0)*2+IF(IW129&gt;13,IW129-13,0)*2+IF(IW129&gt;14,IW129-14,0)*2+IF(IW129&gt;15,IW129-15,0)*2+IF(IW129&gt;16,IW129-16,0)*2+IF(IW129&gt;17,IW129-17,0)*2+IF(IW129&gt;18,IW129-18,0)*2+IF(IW129&gt;19,IW129-19,0)*2+IF(IW129&gt;20,IW129-20,0)*2</f>
        <v>2</v>
      </c>
      <c r="JA129" s="243">
        <f>IF((IY129-IZ129)&gt;0,IY129-IZ129,0)</f>
        <v>173.5384615384616</v>
      </c>
      <c r="JB129" s="218">
        <f>IF((IZ129-IY129)&gt;0,IZ129-IY129,0)</f>
        <v>0</v>
      </c>
      <c r="JE129" s="148"/>
    </row>
    <row r="130" spans="2:265" ht="15" hidden="1" customHeight="1" outlineLevel="2">
      <c r="B130" s="148">
        <v>3</v>
      </c>
      <c r="C130" s="303" t="e">
        <f>VLOOKUP(AF130,Attribute!C:T,1,FALSE)</f>
        <v>#N/A</v>
      </c>
      <c r="D130" s="86" t="s">
        <v>86</v>
      </c>
      <c r="E130" s="127" t="s">
        <v>133</v>
      </c>
      <c r="F130" s="114">
        <f>Konvention_1master-MUmaster</f>
        <v>12</v>
      </c>
      <c r="G130" s="113"/>
      <c r="H130" s="113">
        <f>Konvention_1master-INmaster</f>
        <v>12</v>
      </c>
      <c r="I130" s="113">
        <f>Konvention_1master-CHmaster</f>
        <v>12</v>
      </c>
      <c r="J130" s="113"/>
      <c r="K130" s="113"/>
      <c r="L130" s="113"/>
      <c r="M130" s="119"/>
      <c r="N130" s="223">
        <f>(F130+G130+H130+I130+J130+K130+L130+M130)/3</f>
        <v>12</v>
      </c>
      <c r="O130" s="223">
        <f>2*N130</f>
        <v>24</v>
      </c>
      <c r="P130" s="224">
        <f>3*N130</f>
        <v>36</v>
      </c>
      <c r="Q130" s="237">
        <f>F130*POWER(KLmaster,SIGN(G130))*POWER(INmaster,SIGN(H130))*POWER(CHmaster,SIGN(I130))*POWER(FFmaster,SIGN(J130))*POWER(GEmaster,SIGN(K130))*POWER(KOmaster,SIGN(L130))*POWER(KKmaster,SIGN(M130))+G130*POWER(MUmaster,SIGN(F130))*POWER(INmaster,SIGN(H130))*POWER(CHmaster,SIGN(I130))*POWER(FFmaster,SIGN(J130))*POWER(GEmaster,SIGN(K130))*POWER(KOmaster,SIGN(L130))*POWER(KKmaster,SIGN(M130))+H130*POWER(MUmaster,SIGN(F130))*POWER(KLmaster,SIGN(G130))*POWER(CHmaster,SIGN(I130))*POWER(FFmaster,SIGN(J130))*POWER(GEmaster,SIGN(K130))*POWER(KOmaster,SIGN(L130))*POWER(KKmaster,SIGN(M130))+I130*POWER(MUmaster,SIGN(F130))*POWER(KLmaster,SIGN(G130))*POWER(INmaster,SIGN(H130))*POWER(FFmaster,SIGN(J130))*POWER(GEmaster,SIGN(K130))*POWER(KOmaster,SIGN(L130))*POWER(KKmaster,SIGN(M130))+J130*POWER(MUmaster,SIGN(F130))*POWER(KLmaster,SIGN(G130))*POWER(INmaster,SIGN(H130))*POWER(CHmaster,SIGN(I130))*POWER(GEmaster,SIGN(K130))*POWER(KOmaster,SIGN(L130))*POWER(KKmaster,SIGN(M130))+K130*POWER(MUmaster,SIGN(F130))*POWER(KLmaster,SIGN(G130))*POWER(INmaster,SIGN(H130))*POWER(CHmaster,SIGN(I130))*POWER(FFmaster,SIGN(J130))*POWER(KOmaster,SIGN(L130))*POWER(KKmaster,SIGN(M130))+L130*POWER(MUmaster,SIGN(F130))*POWER(KLmaster,SIGN(G130))*POWER(INmaster,SIGN(H130))*POWER(CHmaster,SIGN(I130))*POWER(FFmaster,SIGN(J130))*POWER(GEmaster,SIGN(K130))*POWER(KKmaster,SIGN(M130))+M130*POWER(MUmaster,SIGN(F130))*POWER(KLmaster,SIGN(G130))*POWER(INmaster,SIGN(H130))*POWER(CHmaster,SIGN(I130))*POWER(FFmaster,SIGN(J130))*POWER(GEmaster,SIGN(K130))*POWER(KOmaster,SIGN(L130))</f>
        <v>2304</v>
      </c>
      <c r="R130" s="113">
        <f>F130*H130*CHmaster+F130*INmaster*I130+MUmaster*H130*I130</f>
        <v>3456</v>
      </c>
      <c r="S130" s="224">
        <f>IFERROR(F130^SIGN(F130),1)*IFERROR(G130^SIGN(G130),1)*IFERROR(H130^SIGN(H130),1)*IFERROR(I130^SIGN(I130),1)*IFERROR(J130^SIGN(J130),1)*IFERROR(K130^SIGN(K130),1)*IFERROR(L130^SIGN(L130),1)*IFERROR(M130^SIGN(M130),1)</f>
        <v>1728</v>
      </c>
      <c r="T130" s="224">
        <f t="shared" si="1109"/>
        <v>7488</v>
      </c>
      <c r="U130" s="222">
        <f>N130*Q130/T130</f>
        <v>3.6923076923076925</v>
      </c>
      <c r="V130" s="223">
        <f>O130*R130/T130</f>
        <v>11.076923076923077</v>
      </c>
      <c r="W130" s="243">
        <f>P130*S130/T130</f>
        <v>8.3076923076923084</v>
      </c>
      <c r="X130" s="243">
        <f>SUM(U130:W130)</f>
        <v>23.07692307692308</v>
      </c>
      <c r="Y130" s="252">
        <v>0</v>
      </c>
      <c r="Z130" s="198">
        <f>X130-Y130</f>
        <v>23.07692307692308</v>
      </c>
      <c r="AA130" s="125">
        <f>IF(X130&lt;=0,1,0)+IF(X130&gt;0,X130+1,0)*1+IF(X130&gt;12,X130-12,0)*1+IF(X130&gt;13,X130-13,0)*1+IF(X130&gt;14,X130-14,0)*1+IF(X130&gt;15,X130-15,0)*1+IF(X130&gt;16,X130-16,0)*1+IF(X130&gt;17,X130-17,0)*1+IF(X130&gt;18,X130-18,0)*1+IF(X130&gt;19,X130-19,0)*1+IF(X130&gt;20,X130-20,0)*1</f>
        <v>87.769230769230802</v>
      </c>
      <c r="AB130" s="160">
        <f>IF(Y130&lt;=0,1,0)+IF(Y130&gt;0,Y130+1,0)*1+IF(Y130&gt;12,Y130-12,0)*1+IF(Y130&gt;13,Y130-13,0)*1+IF(Y130&gt;14,Y130-14,0)*1+IF(Y130&gt;15,Y130-15,0)*1+IF(Y130&gt;16,Y130-16,0)*1+IF(Y130&gt;17,Y130-17,0)*1+IF(Y130&gt;18,Y130-18,0)*1+IF(Y130&gt;19,Y130-19,0)*1+IF(Y130&gt;20,Y130-20,0)*1</f>
        <v>1</v>
      </c>
      <c r="AC130" s="127">
        <f>IF((AA130-AB130)&gt;0,AA130-AB130,0)</f>
        <v>86.769230769230802</v>
      </c>
      <c r="AD130" s="125">
        <f>IF((AB130-AA130)&gt;0,AB130-AA130,0)</f>
        <v>0</v>
      </c>
      <c r="AF130" s="163" t="s">
        <v>368</v>
      </c>
      <c r="AG130" s="125" t="s">
        <v>86</v>
      </c>
      <c r="AH130" s="127" t="s">
        <v>133</v>
      </c>
      <c r="AI130" s="114">
        <f>Konvention_1slave-MUslave_MU</f>
        <v>11</v>
      </c>
      <c r="AJ130" s="113"/>
      <c r="AK130" s="113">
        <f>Konvention_1slave-INslave</f>
        <v>12</v>
      </c>
      <c r="AL130" s="113">
        <f>Konvention_1slave-CHslave</f>
        <v>12</v>
      </c>
      <c r="AM130" s="113"/>
      <c r="AN130" s="113"/>
      <c r="AO130" s="113"/>
      <c r="AP130" s="119"/>
      <c r="AQ130" s="47">
        <f>(AI130+AJ130+AK130+AL130+AM130+AN130+AO130+AP130)/3</f>
        <v>11.666666666666666</v>
      </c>
      <c r="AR130" s="47">
        <f>2*AQ130</f>
        <v>23.333333333333332</v>
      </c>
      <c r="AS130" s="119">
        <f>3*AQ130</f>
        <v>35</v>
      </c>
      <c r="AT130" s="114">
        <f t="shared" si="1110"/>
        <v>2432</v>
      </c>
      <c r="AU130" s="113">
        <f>AI130*AK130*CHslave+AI130*INslave*AL130+MUslave_MU*AK130*AL130</f>
        <v>3408</v>
      </c>
      <c r="AV130" s="119">
        <f>IFERROR(AI130^SIGN(AI130),1)*IFERROR(AJ130^SIGN(AJ130),1)*IFERROR(AK130^SIGN(AK130),1)*IFERROR(AL130^SIGN(AL130),1)*IFERROR(AM130^SIGN(AM130),1)*IFERROR(AN130^SIGN(AN130),1)*IFERROR(AO130^SIGN(AO130),1)*IFERROR(AP130^SIGN(AP130),1)</f>
        <v>1584</v>
      </c>
      <c r="AW130" s="119">
        <f t="shared" si="1111"/>
        <v>7424</v>
      </c>
      <c r="AX130" s="89">
        <f>AQ130*AT130/AW130</f>
        <v>3.8218390804597702</v>
      </c>
      <c r="AY130" s="47">
        <f>AR130*AU130/AW130</f>
        <v>10.711206896551724</v>
      </c>
      <c r="AZ130" s="127">
        <f>AS130*AV130/AW130</f>
        <v>7.4676724137931032</v>
      </c>
      <c r="BA130" s="127">
        <f>SUM(AX130:AZ130)</f>
        <v>22.000718390804597</v>
      </c>
      <c r="BB130" s="165">
        <f t="shared" si="1112"/>
        <v>0</v>
      </c>
      <c r="BC130" s="198">
        <f>BA130-BB130</f>
        <v>22.000718390804597</v>
      </c>
      <c r="BD130" s="125">
        <f>IF(BA130&lt;=0,1,0)+IF(BA130&gt;0,BA130+1,0)*1+IF(BA130&gt;12,BA130-12,0)*1+IF(BA130&gt;13,BA130-13,0)*1+IF(BA130&gt;14,BA130-14,0)*1+IF(BA130&gt;15,BA130-15,0)*1+IF(BA130&gt;16,BA130-16,0)*1+IF(BA130&gt;17,BA130-17,0)*1+IF(BA130&gt;18,BA130-18,0)*1+IF(BA130&gt;19,BA130-19,0)*1+IF(BA130&gt;20,BA130-20,0)*1</f>
        <v>77.007183908045945</v>
      </c>
      <c r="BE130" s="160">
        <f>IF(BB130&lt;=0,1,0)+IF(BB130&gt;0,BB130+1,0)*1+IF(BB130&gt;12,BB130-12,0)*1+IF(BB130&gt;13,BB130-13,0)*1+IF(BB130&gt;14,BB130-14,0)*1+IF(BB130&gt;15,BB130-15,0)*1+IF(BB130&gt;16,BB130-16,0)*1+IF(BB130&gt;17,BB130-17,0)*1+IF(BB130&gt;18,BB130-18,0)*1+IF(BB130&gt;19,BB130-19,0)*1+IF(BB130&gt;20,BB130-20,0)*1</f>
        <v>1</v>
      </c>
      <c r="BF130" s="243">
        <f>IF((BD130-BE130)&gt;0,BD130-BE130,0)</f>
        <v>76.007183908045945</v>
      </c>
      <c r="BG130" s="218">
        <f>IF((BE130-BD130)&gt;0,BE130-BD130,0)</f>
        <v>0</v>
      </c>
      <c r="BI130" s="303" t="s">
        <v>368</v>
      </c>
      <c r="BJ130" s="218" t="s">
        <v>86</v>
      </c>
      <c r="BK130" s="243" t="s">
        <v>133</v>
      </c>
      <c r="BL130" s="237">
        <f>Konvention_1slave-MUslave</f>
        <v>12</v>
      </c>
      <c r="BM130" s="234"/>
      <c r="BN130" s="234">
        <f>Konvention_1slave-INslave</f>
        <v>12</v>
      </c>
      <c r="BO130" s="234">
        <f>Konvention_1slave-CHslave</f>
        <v>12</v>
      </c>
      <c r="BP130" s="234"/>
      <c r="BQ130" s="234"/>
      <c r="BR130" s="234"/>
      <c r="BS130" s="224"/>
      <c r="BT130" s="223">
        <f>(BL130+BM130+BN130+BO130+BP130+BQ130+BR130+BS130)/3</f>
        <v>12</v>
      </c>
      <c r="BU130" s="223">
        <f>2*BT130</f>
        <v>24</v>
      </c>
      <c r="BV130" s="224">
        <f>3*BT130</f>
        <v>36</v>
      </c>
      <c r="BW130" s="237">
        <f t="shared" si="1113"/>
        <v>2304</v>
      </c>
      <c r="BX130" s="234">
        <f>BL130*BN130*CHslave+BL130*INslave*BO130+MUslave*BN130*BO130</f>
        <v>3456</v>
      </c>
      <c r="BY130" s="224">
        <f>IFERROR(BL130^SIGN(BL130),1)*IFERROR(BM130^SIGN(BM130),1)*IFERROR(BN130^SIGN(BN130),1)*IFERROR(BO130^SIGN(BO130),1)*IFERROR(BP130^SIGN(BP130),1)*IFERROR(BQ130^SIGN(BQ130),1)*IFERROR(BR130^SIGN(BR130),1)*IFERROR(BS130^SIGN(BS130),1)</f>
        <v>1728</v>
      </c>
      <c r="BZ130" s="224">
        <f t="shared" si="1114"/>
        <v>7488</v>
      </c>
      <c r="CA130" s="222">
        <f>BT130*BW130/BZ130</f>
        <v>3.6923076923076925</v>
      </c>
      <c r="CB130" s="223">
        <f>BU130*BX130/BZ130</f>
        <v>11.076923076923077</v>
      </c>
      <c r="CC130" s="243">
        <f>BV130*BY130/BZ130</f>
        <v>8.3076923076923084</v>
      </c>
      <c r="CD130" s="243">
        <f>SUM(CA130:CC130)</f>
        <v>23.07692307692308</v>
      </c>
      <c r="CE130" s="252">
        <f t="shared" si="1115"/>
        <v>0</v>
      </c>
      <c r="CF130" s="309">
        <f>CD130-CE130</f>
        <v>23.07692307692308</v>
      </c>
      <c r="CG130" s="218">
        <f>IF(CD130&lt;=0,1,0)+IF(CD130&gt;0,CD130+1,0)*1+IF(CD130&gt;12,CD130-12,0)*1+IF(CD130&gt;13,CD130-13,0)*1+IF(CD130&gt;14,CD130-14,0)*1+IF(CD130&gt;15,CD130-15,0)*1+IF(CD130&gt;16,CD130-16,0)*1+IF(CD130&gt;17,CD130-17,0)*1+IF(CD130&gt;18,CD130-18,0)*1+IF(CD130&gt;19,CD130-19,0)*1+IF(CD130&gt;20,CD130-20,0)*1</f>
        <v>87.769230769230802</v>
      </c>
      <c r="CH130" s="242">
        <f>IF(CE130&lt;=0,1,0)+IF(CE130&gt;0,CE130+1,0)*1+IF(CE130&gt;12,CE130-12,0)*1+IF(CE130&gt;13,CE130-13,0)*1+IF(CE130&gt;14,CE130-14,0)*1+IF(CE130&gt;15,CE130-15,0)*1+IF(CE130&gt;16,CE130-16,0)*1+IF(CE130&gt;17,CE130-17,0)*1+IF(CE130&gt;18,CE130-18,0)*1+IF(CE130&gt;19,CE130-19,0)*1+IF(CE130&gt;20,CE130-20,0)*1</f>
        <v>1</v>
      </c>
      <c r="CI130" s="243">
        <f>IF((CG130-CH130)&gt;0,CG130-CH130,0)</f>
        <v>86.769230769230802</v>
      </c>
      <c r="CJ130" s="218">
        <f>IF((CH130-CG130)&gt;0,CH130-CG130,0)</f>
        <v>0</v>
      </c>
      <c r="CL130" s="303" t="s">
        <v>368</v>
      </c>
      <c r="CM130" s="218" t="s">
        <v>86</v>
      </c>
      <c r="CN130" s="243" t="s">
        <v>133</v>
      </c>
      <c r="CO130" s="237">
        <f>Konvention_1slave-MUslave</f>
        <v>12</v>
      </c>
      <c r="CP130" s="234"/>
      <c r="CQ130" s="234">
        <f>Konvention_1slave-INslave_IN</f>
        <v>11</v>
      </c>
      <c r="CR130" s="234">
        <f>Konvention_1slave-CHslave</f>
        <v>12</v>
      </c>
      <c r="CS130" s="234"/>
      <c r="CT130" s="234"/>
      <c r="CU130" s="234"/>
      <c r="CV130" s="224"/>
      <c r="CW130" s="223">
        <f>(CO130+CP130+CQ130+CR130+CS130+CT130+CU130+CV130)/3</f>
        <v>11.666666666666666</v>
      </c>
      <c r="CX130" s="223">
        <f>2*CW130</f>
        <v>23.333333333333332</v>
      </c>
      <c r="CY130" s="224">
        <f>3*CW130</f>
        <v>35</v>
      </c>
      <c r="CZ130" s="237">
        <f t="shared" si="1116"/>
        <v>2432</v>
      </c>
      <c r="DA130" s="234">
        <f>CO130*CQ130*CHslave+CO130*INslave_IN*CR130+MUslave*CQ130*CR130</f>
        <v>3408</v>
      </c>
      <c r="DB130" s="224">
        <f>IFERROR(CO130^SIGN(CO130),1)*IFERROR(CP130^SIGN(CP130),1)*IFERROR(CQ130^SIGN(CQ130),1)*IFERROR(CR130^SIGN(CR130),1)*IFERROR(CS130^SIGN(CS130),1)*IFERROR(CT130^SIGN(CT130),1)*IFERROR(CU130^SIGN(CU130),1)*IFERROR(CV130^SIGN(CV130),1)</f>
        <v>1584</v>
      </c>
      <c r="DC130" s="224">
        <f t="shared" si="1117"/>
        <v>7424</v>
      </c>
      <c r="DD130" s="222">
        <f>CW130*CZ130/DC130</f>
        <v>3.8218390804597702</v>
      </c>
      <c r="DE130" s="223">
        <f>CX130*DA130/DC130</f>
        <v>10.711206896551724</v>
      </c>
      <c r="DF130" s="243">
        <f>CY130*DB130/DC130</f>
        <v>7.4676724137931032</v>
      </c>
      <c r="DG130" s="243">
        <f>SUM(DD130:DF130)</f>
        <v>22.000718390804597</v>
      </c>
      <c r="DH130" s="252">
        <f t="shared" si="1118"/>
        <v>0</v>
      </c>
      <c r="DI130" s="309">
        <f>DG130-DH130</f>
        <v>22.000718390804597</v>
      </c>
      <c r="DJ130" s="218">
        <f>IF(DG130&lt;=0,1,0)+IF(DG130&gt;0,DG130+1,0)*1+IF(DG130&gt;12,DG130-12,0)*1+IF(DG130&gt;13,DG130-13,0)*1+IF(DG130&gt;14,DG130-14,0)*1+IF(DG130&gt;15,DG130-15,0)*1+IF(DG130&gt;16,DG130-16,0)*1+IF(DG130&gt;17,DG130-17,0)*1+IF(DG130&gt;18,DG130-18,0)*1+IF(DG130&gt;19,DG130-19,0)*1+IF(DG130&gt;20,DG130-20,0)*1</f>
        <v>77.007183908045945</v>
      </c>
      <c r="DK130" s="242">
        <f>IF(DH130&lt;=0,1,0)+IF(DH130&gt;0,DH130+1,0)*1+IF(DH130&gt;12,DH130-12,0)*1+IF(DH130&gt;13,DH130-13,0)*1+IF(DH130&gt;14,DH130-14,0)*1+IF(DH130&gt;15,DH130-15,0)*1+IF(DH130&gt;16,DH130-16,0)*1+IF(DH130&gt;17,DH130-17,0)*1+IF(DH130&gt;18,DH130-18,0)*1+IF(DH130&gt;19,DH130-19,0)*1+IF(DH130&gt;20,DH130-20,0)*1</f>
        <v>1</v>
      </c>
      <c r="DL130" s="243">
        <f>IF((DJ130-DK130)&gt;0,DJ130-DK130,0)</f>
        <v>76.007183908045945</v>
      </c>
      <c r="DM130" s="218">
        <f>IF((DK130-DJ130)&gt;0,DK130-DJ130,0)</f>
        <v>0</v>
      </c>
      <c r="DO130" s="303" t="s">
        <v>368</v>
      </c>
      <c r="DP130" s="218" t="s">
        <v>86</v>
      </c>
      <c r="DQ130" s="243" t="s">
        <v>133</v>
      </c>
      <c r="DR130" s="237">
        <f>Konvention_1slave-MUslave</f>
        <v>12</v>
      </c>
      <c r="DS130" s="234"/>
      <c r="DT130" s="234">
        <f>Konvention_1slave-INslave</f>
        <v>12</v>
      </c>
      <c r="DU130" s="234">
        <f>Konvention_1slave-CHslave_CH</f>
        <v>11</v>
      </c>
      <c r="DV130" s="234"/>
      <c r="DW130" s="234"/>
      <c r="DX130" s="234"/>
      <c r="DY130" s="224"/>
      <c r="DZ130" s="223">
        <f>(DR130+DS130+DT130+DU130+DV130+DW130+DX130+DY130)/3</f>
        <v>11.666666666666666</v>
      </c>
      <c r="EA130" s="223">
        <f>2*DZ130</f>
        <v>23.333333333333332</v>
      </c>
      <c r="EB130" s="224">
        <f>3*DZ130</f>
        <v>35</v>
      </c>
      <c r="EC130" s="237">
        <f t="shared" si="1119"/>
        <v>2432</v>
      </c>
      <c r="ED130" s="234">
        <f>DR130*DT130*CHslave_CH+DR130*INslave*DU130+MUslave*DT130*DU130</f>
        <v>3408</v>
      </c>
      <c r="EE130" s="224">
        <f>IFERROR(DR130^SIGN(DR130),1)*IFERROR(DS130^SIGN(DS130),1)*IFERROR(DT130^SIGN(DT130),1)*IFERROR(DU130^SIGN(DU130),1)*IFERROR(DV130^SIGN(DV130),1)*IFERROR(DW130^SIGN(DW130),1)*IFERROR(DX130^SIGN(DX130),1)*IFERROR(DY130^SIGN(DY130),1)</f>
        <v>1584</v>
      </c>
      <c r="EF130" s="224">
        <f t="shared" si="1120"/>
        <v>7424</v>
      </c>
      <c r="EG130" s="222">
        <f>DZ130*EC130/EF130</f>
        <v>3.8218390804597702</v>
      </c>
      <c r="EH130" s="223">
        <f>EA130*ED130/EF130</f>
        <v>10.711206896551724</v>
      </c>
      <c r="EI130" s="243">
        <f>EB130*EE130/EF130</f>
        <v>7.4676724137931032</v>
      </c>
      <c r="EJ130" s="243">
        <f>SUM(EG130:EI130)</f>
        <v>22.000718390804597</v>
      </c>
      <c r="EK130" s="252">
        <f t="shared" si="1121"/>
        <v>0</v>
      </c>
      <c r="EL130" s="309">
        <f>EJ130-EK130</f>
        <v>22.000718390804597</v>
      </c>
      <c r="EM130" s="218">
        <f>IF(EJ130&lt;=0,1,0)+IF(EJ130&gt;0,EJ130+1,0)*1+IF(EJ130&gt;12,EJ130-12,0)*1+IF(EJ130&gt;13,EJ130-13,0)*1+IF(EJ130&gt;14,EJ130-14,0)*1+IF(EJ130&gt;15,EJ130-15,0)*1+IF(EJ130&gt;16,EJ130-16,0)*1+IF(EJ130&gt;17,EJ130-17,0)*1+IF(EJ130&gt;18,EJ130-18,0)*1+IF(EJ130&gt;19,EJ130-19,0)*1+IF(EJ130&gt;20,EJ130-20,0)*1</f>
        <v>77.007183908045945</v>
      </c>
      <c r="EN130" s="242">
        <f>IF(EK130&lt;=0,1,0)+IF(EK130&gt;0,EK130+1,0)*1+IF(EK130&gt;12,EK130-12,0)*1+IF(EK130&gt;13,EK130-13,0)*1+IF(EK130&gt;14,EK130-14,0)*1+IF(EK130&gt;15,EK130-15,0)*1+IF(EK130&gt;16,EK130-16,0)*1+IF(EK130&gt;17,EK130-17,0)*1+IF(EK130&gt;18,EK130-18,0)*1+IF(EK130&gt;19,EK130-19,0)*1+IF(EK130&gt;20,EK130-20,0)*1</f>
        <v>1</v>
      </c>
      <c r="EO130" s="243">
        <f>IF((EM130-EN130)&gt;0,EM130-EN130,0)</f>
        <v>76.007183908045945</v>
      </c>
      <c r="EP130" s="218">
        <f>IF((EN130-EM130)&gt;0,EN130-EM130,0)</f>
        <v>0</v>
      </c>
      <c r="ER130" s="303" t="s">
        <v>368</v>
      </c>
      <c r="ES130" s="218" t="s">
        <v>86</v>
      </c>
      <c r="ET130" s="243" t="s">
        <v>133</v>
      </c>
      <c r="EU130" s="237">
        <f>Konvention_1slave-MUslave</f>
        <v>12</v>
      </c>
      <c r="EV130" s="234"/>
      <c r="EW130" s="234">
        <f>Konvention_1slave-INslave</f>
        <v>12</v>
      </c>
      <c r="EX130" s="234">
        <f>Konvention_1slave-CHslave</f>
        <v>12</v>
      </c>
      <c r="EY130" s="234"/>
      <c r="EZ130" s="234"/>
      <c r="FA130" s="234"/>
      <c r="FB130" s="224"/>
      <c r="FC130" s="223">
        <f>(EU130+EV130+EW130+EX130+EY130+EZ130+FA130+FB130)/3</f>
        <v>12</v>
      </c>
      <c r="FD130" s="223">
        <f>2*FC130</f>
        <v>24</v>
      </c>
      <c r="FE130" s="224">
        <f>3*FC130</f>
        <v>36</v>
      </c>
      <c r="FF130" s="237">
        <f t="shared" si="1122"/>
        <v>2304</v>
      </c>
      <c r="FG130" s="234">
        <f>EU130*EW130*CHslave+EU130*INslave*EX130+MUslave*EW130*EX130</f>
        <v>3456</v>
      </c>
      <c r="FH130" s="224">
        <f>IFERROR(EU130^SIGN(EU130),1)*IFERROR(EV130^SIGN(EV130),1)*IFERROR(EW130^SIGN(EW130),1)*IFERROR(EX130^SIGN(EX130),1)*IFERROR(EY130^SIGN(EY130),1)*IFERROR(EZ130^SIGN(EZ130),1)*IFERROR(FA130^SIGN(FA130),1)*IFERROR(FB130^SIGN(FB130),1)</f>
        <v>1728</v>
      </c>
      <c r="FI130" s="224">
        <f t="shared" si="1123"/>
        <v>7488</v>
      </c>
      <c r="FJ130" s="222">
        <f>FC130*FF130/FI130</f>
        <v>3.6923076923076925</v>
      </c>
      <c r="FK130" s="223">
        <f>FD130*FG130/FI130</f>
        <v>11.076923076923077</v>
      </c>
      <c r="FL130" s="243">
        <f>FE130*FH130/FI130</f>
        <v>8.3076923076923084</v>
      </c>
      <c r="FM130" s="243">
        <f>SUM(FJ130:FL130)</f>
        <v>23.07692307692308</v>
      </c>
      <c r="FN130" s="252">
        <f t="shared" si="1124"/>
        <v>0</v>
      </c>
      <c r="FO130" s="309">
        <f>FM130-FN130</f>
        <v>23.07692307692308</v>
      </c>
      <c r="FP130" s="218">
        <f>IF(FM130&lt;=0,1,0)+IF(FM130&gt;0,FM130+1,0)*1+IF(FM130&gt;12,FM130-12,0)*1+IF(FM130&gt;13,FM130-13,0)*1+IF(FM130&gt;14,FM130-14,0)*1+IF(FM130&gt;15,FM130-15,0)*1+IF(FM130&gt;16,FM130-16,0)*1+IF(FM130&gt;17,FM130-17,0)*1+IF(FM130&gt;18,FM130-18,0)*1+IF(FM130&gt;19,FM130-19,0)*1+IF(FM130&gt;20,FM130-20,0)*1</f>
        <v>87.769230769230802</v>
      </c>
      <c r="FQ130" s="242">
        <f>IF(FN130&lt;=0,1,0)+IF(FN130&gt;0,FN130+1,0)*1+IF(FN130&gt;12,FN130-12,0)*1+IF(FN130&gt;13,FN130-13,0)*1+IF(FN130&gt;14,FN130-14,0)*1+IF(FN130&gt;15,FN130-15,0)*1+IF(FN130&gt;16,FN130-16,0)*1+IF(FN130&gt;17,FN130-17,0)*1+IF(FN130&gt;18,FN130-18,0)*1+IF(FN130&gt;19,FN130-19,0)*1+IF(FN130&gt;20,FN130-20,0)*1</f>
        <v>1</v>
      </c>
      <c r="FR130" s="243">
        <f>IF((FP130-FQ130)&gt;0,FP130-FQ130,0)</f>
        <v>86.769230769230802</v>
      </c>
      <c r="FS130" s="218">
        <f>IF((FQ130-FP130)&gt;0,FQ130-FP130,0)</f>
        <v>0</v>
      </c>
      <c r="FU130" s="303" t="s">
        <v>368</v>
      </c>
      <c r="FV130" s="218" t="s">
        <v>86</v>
      </c>
      <c r="FW130" s="243" t="s">
        <v>133</v>
      </c>
      <c r="FX130" s="237">
        <f>Konvention_1slave-MUslave</f>
        <v>12</v>
      </c>
      <c r="FY130" s="234"/>
      <c r="FZ130" s="234">
        <f>Konvention_1slave-INslave</f>
        <v>12</v>
      </c>
      <c r="GA130" s="234">
        <f>Konvention_1slave-CHslave</f>
        <v>12</v>
      </c>
      <c r="GB130" s="234"/>
      <c r="GC130" s="234"/>
      <c r="GD130" s="234"/>
      <c r="GE130" s="224"/>
      <c r="GF130" s="223">
        <f>(FX130+FY130+FZ130+GA130+GB130+GC130+GD130+GE130)/3</f>
        <v>12</v>
      </c>
      <c r="GG130" s="223">
        <f>2*GF130</f>
        <v>24</v>
      </c>
      <c r="GH130" s="224">
        <f>3*GF130</f>
        <v>36</v>
      </c>
      <c r="GI130" s="237">
        <f t="shared" si="1125"/>
        <v>2304</v>
      </c>
      <c r="GJ130" s="234">
        <f>FX130*FZ130*CHslave+FX130*INslave*GA130+MUslave*FZ130*GA130</f>
        <v>3456</v>
      </c>
      <c r="GK130" s="224">
        <f>IFERROR(FX130^SIGN(FX130),1)*IFERROR(FY130^SIGN(FY130),1)*IFERROR(FZ130^SIGN(FZ130),1)*IFERROR(GA130^SIGN(GA130),1)*IFERROR(GB130^SIGN(GB130),1)*IFERROR(GC130^SIGN(GC130),1)*IFERROR(GD130^SIGN(GD130),1)*IFERROR(GE130^SIGN(GE130),1)</f>
        <v>1728</v>
      </c>
      <c r="GL130" s="224">
        <f t="shared" si="1126"/>
        <v>7488</v>
      </c>
      <c r="GM130" s="222">
        <f>GF130*GI130/GL130</f>
        <v>3.6923076923076925</v>
      </c>
      <c r="GN130" s="223">
        <f>GG130*GJ130/GL130</f>
        <v>11.076923076923077</v>
      </c>
      <c r="GO130" s="243">
        <f>GH130*GK130/GL130</f>
        <v>8.3076923076923084</v>
      </c>
      <c r="GP130" s="243">
        <f>SUM(GM130:GO130)</f>
        <v>23.07692307692308</v>
      </c>
      <c r="GQ130" s="252">
        <f t="shared" si="1127"/>
        <v>0</v>
      </c>
      <c r="GR130" s="309">
        <f>GP130-GQ130</f>
        <v>23.07692307692308</v>
      </c>
      <c r="GS130" s="218">
        <f>IF(GP130&lt;=0,1,0)+IF(GP130&gt;0,GP130+1,0)*1+IF(GP130&gt;12,GP130-12,0)*1+IF(GP130&gt;13,GP130-13,0)*1+IF(GP130&gt;14,GP130-14,0)*1+IF(GP130&gt;15,GP130-15,0)*1+IF(GP130&gt;16,GP130-16,0)*1+IF(GP130&gt;17,GP130-17,0)*1+IF(GP130&gt;18,GP130-18,0)*1+IF(GP130&gt;19,GP130-19,0)*1+IF(GP130&gt;20,GP130-20,0)*1</f>
        <v>87.769230769230802</v>
      </c>
      <c r="GT130" s="242">
        <f>IF(GQ130&lt;=0,1,0)+IF(GQ130&gt;0,GQ130+1,0)*1+IF(GQ130&gt;12,GQ130-12,0)*1+IF(GQ130&gt;13,GQ130-13,0)*1+IF(GQ130&gt;14,GQ130-14,0)*1+IF(GQ130&gt;15,GQ130-15,0)*1+IF(GQ130&gt;16,GQ130-16,0)*1+IF(GQ130&gt;17,GQ130-17,0)*1+IF(GQ130&gt;18,GQ130-18,0)*1+IF(GQ130&gt;19,GQ130-19,0)*1+IF(GQ130&gt;20,GQ130-20,0)*1</f>
        <v>1</v>
      </c>
      <c r="GU130" s="243">
        <f>IF((GS130-GT130)&gt;0,GS130-GT130,0)</f>
        <v>86.769230769230802</v>
      </c>
      <c r="GV130" s="218">
        <f>IF((GT130-GS130)&gt;0,GT130-GS130,0)</f>
        <v>0</v>
      </c>
      <c r="GX130" s="303" t="s">
        <v>368</v>
      </c>
      <c r="GY130" s="218" t="s">
        <v>86</v>
      </c>
      <c r="GZ130" s="243" t="s">
        <v>133</v>
      </c>
      <c r="HA130" s="237">
        <f>Konvention_1slave-MUslave</f>
        <v>12</v>
      </c>
      <c r="HB130" s="234"/>
      <c r="HC130" s="234">
        <f>Konvention_1slave-INslave</f>
        <v>12</v>
      </c>
      <c r="HD130" s="234">
        <f>Konvention_1slave-CHslave</f>
        <v>12</v>
      </c>
      <c r="HE130" s="234"/>
      <c r="HF130" s="234"/>
      <c r="HG130" s="234"/>
      <c r="HH130" s="224"/>
      <c r="HI130" s="223">
        <f>(HA130+HB130+HC130+HD130+HE130+HF130+HG130+HH130)/3</f>
        <v>12</v>
      </c>
      <c r="HJ130" s="223">
        <f>2*HI130</f>
        <v>24</v>
      </c>
      <c r="HK130" s="224">
        <f>3*HI130</f>
        <v>36</v>
      </c>
      <c r="HL130" s="237">
        <f t="shared" si="1128"/>
        <v>2304</v>
      </c>
      <c r="HM130" s="234">
        <f>HA130*HC130*CHslave+HA130*INslave*HD130+MUslave*HC130*HD130</f>
        <v>3456</v>
      </c>
      <c r="HN130" s="224">
        <f>IFERROR(HA130^SIGN(HA130),1)*IFERROR(HB130^SIGN(HB130),1)*IFERROR(HC130^SIGN(HC130),1)*IFERROR(HD130^SIGN(HD130),1)*IFERROR(HE130^SIGN(HE130),1)*IFERROR(HF130^SIGN(HF130),1)*IFERROR(HG130^SIGN(HG130),1)*IFERROR(HH130^SIGN(HH130),1)</f>
        <v>1728</v>
      </c>
      <c r="HO130" s="224">
        <f t="shared" si="1129"/>
        <v>7488</v>
      </c>
      <c r="HP130" s="222">
        <f>HI130*HL130/HO130</f>
        <v>3.6923076923076925</v>
      </c>
      <c r="HQ130" s="223">
        <f>HJ130*HM130/HO130</f>
        <v>11.076923076923077</v>
      </c>
      <c r="HR130" s="243">
        <f>HK130*HN130/HO130</f>
        <v>8.3076923076923084</v>
      </c>
      <c r="HS130" s="243">
        <f>SUM(HP130:HR130)</f>
        <v>23.07692307692308</v>
      </c>
      <c r="HT130" s="252">
        <f t="shared" si="1130"/>
        <v>0</v>
      </c>
      <c r="HU130" s="309">
        <f>HS130-HT130</f>
        <v>23.07692307692308</v>
      </c>
      <c r="HV130" s="218">
        <f>IF(HS130&lt;=0,1,0)+IF(HS130&gt;0,HS130+1,0)*1+IF(HS130&gt;12,HS130-12,0)*1+IF(HS130&gt;13,HS130-13,0)*1+IF(HS130&gt;14,HS130-14,0)*1+IF(HS130&gt;15,HS130-15,0)*1+IF(HS130&gt;16,HS130-16,0)*1+IF(HS130&gt;17,HS130-17,0)*1+IF(HS130&gt;18,HS130-18,0)*1+IF(HS130&gt;19,HS130-19,0)*1+IF(HS130&gt;20,HS130-20,0)*1</f>
        <v>87.769230769230802</v>
      </c>
      <c r="HW130" s="242">
        <f>IF(HT130&lt;=0,1,0)+IF(HT130&gt;0,HT130+1,0)*1+IF(HT130&gt;12,HT130-12,0)*1+IF(HT130&gt;13,HT130-13,0)*1+IF(HT130&gt;14,HT130-14,0)*1+IF(HT130&gt;15,HT130-15,0)*1+IF(HT130&gt;16,HT130-16,0)*1+IF(HT130&gt;17,HT130-17,0)*1+IF(HT130&gt;18,HT130-18,0)*1+IF(HT130&gt;19,HT130-19,0)*1+IF(HT130&gt;20,HT130-20,0)*1</f>
        <v>1</v>
      </c>
      <c r="HX130" s="243">
        <f>IF((HV130-HW130)&gt;0,HV130-HW130,0)</f>
        <v>86.769230769230802</v>
      </c>
      <c r="HY130" s="218">
        <f>IF((HW130-HV130)&gt;0,HW130-HV130,0)</f>
        <v>0</v>
      </c>
      <c r="IA130" s="303" t="s">
        <v>368</v>
      </c>
      <c r="IB130" s="218" t="s">
        <v>86</v>
      </c>
      <c r="IC130" s="243" t="s">
        <v>133</v>
      </c>
      <c r="ID130" s="237">
        <f>Konvention_1slave-MUslave</f>
        <v>12</v>
      </c>
      <c r="IE130" s="234"/>
      <c r="IF130" s="234">
        <f>Konvention_1slave-INslave</f>
        <v>12</v>
      </c>
      <c r="IG130" s="234">
        <f>Konvention_1slave-CHslave</f>
        <v>12</v>
      </c>
      <c r="IH130" s="234"/>
      <c r="II130" s="234"/>
      <c r="IJ130" s="234"/>
      <c r="IK130" s="224"/>
      <c r="IL130" s="223">
        <f>(ID130+IE130+IF130+IG130+IH130+II130+IJ130+IK130)/3</f>
        <v>12</v>
      </c>
      <c r="IM130" s="223">
        <f>2*IL130</f>
        <v>24</v>
      </c>
      <c r="IN130" s="224">
        <f>3*IL130</f>
        <v>36</v>
      </c>
      <c r="IO130" s="237">
        <f t="shared" si="1131"/>
        <v>2304</v>
      </c>
      <c r="IP130" s="234">
        <f>ID130*IF130*CHslave+ID130*INslave*IG130+MUslave*IF130*IG130</f>
        <v>3456</v>
      </c>
      <c r="IQ130" s="224">
        <f>IFERROR(ID130^SIGN(ID130),1)*IFERROR(IE130^SIGN(IE130),1)*IFERROR(IF130^SIGN(IF130),1)*IFERROR(IG130^SIGN(IG130),1)*IFERROR(IH130^SIGN(IH130),1)*IFERROR(II130^SIGN(II130),1)*IFERROR(IJ130^SIGN(IJ130),1)*IFERROR(IK130^SIGN(IK130),1)</f>
        <v>1728</v>
      </c>
      <c r="IR130" s="224">
        <f t="shared" si="1132"/>
        <v>7488</v>
      </c>
      <c r="IS130" s="222">
        <f>IL130*IO130/IR130</f>
        <v>3.6923076923076925</v>
      </c>
      <c r="IT130" s="223">
        <f>IM130*IP130/IR130</f>
        <v>11.076923076923077</v>
      </c>
      <c r="IU130" s="243">
        <f>IN130*IQ130/IR130</f>
        <v>8.3076923076923084</v>
      </c>
      <c r="IV130" s="243">
        <f>SUM(IS130:IU130)</f>
        <v>23.07692307692308</v>
      </c>
      <c r="IW130" s="252">
        <f t="shared" si="1133"/>
        <v>0</v>
      </c>
      <c r="IX130" s="309">
        <f>IV130-IW130</f>
        <v>23.07692307692308</v>
      </c>
      <c r="IY130" s="218">
        <f>IF(IV130&lt;=0,1,0)+IF(IV130&gt;0,IV130+1,0)*1+IF(IV130&gt;12,IV130-12,0)*1+IF(IV130&gt;13,IV130-13,0)*1+IF(IV130&gt;14,IV130-14,0)*1+IF(IV130&gt;15,IV130-15,0)*1+IF(IV130&gt;16,IV130-16,0)*1+IF(IV130&gt;17,IV130-17,0)*1+IF(IV130&gt;18,IV130-18,0)*1+IF(IV130&gt;19,IV130-19,0)*1+IF(IV130&gt;20,IV130-20,0)*1</f>
        <v>87.769230769230802</v>
      </c>
      <c r="IZ130" s="242">
        <f>IF(IW130&lt;=0,1,0)+IF(IW130&gt;0,IW130+1,0)*1+IF(IW130&gt;12,IW130-12,0)*1+IF(IW130&gt;13,IW130-13,0)*1+IF(IW130&gt;14,IW130-14,0)*1+IF(IW130&gt;15,IW130-15,0)*1+IF(IW130&gt;16,IW130-16,0)*1+IF(IW130&gt;17,IW130-17,0)*1+IF(IW130&gt;18,IW130-18,0)*1+IF(IW130&gt;19,IW130-19,0)*1+IF(IW130&gt;20,IW130-20,0)*1</f>
        <v>1</v>
      </c>
      <c r="JA130" s="243">
        <f>IF((IY130-IZ130)&gt;0,IY130-IZ130,0)</f>
        <v>86.769230769230802</v>
      </c>
      <c r="JB130" s="218">
        <f>IF((IZ130-IY130)&gt;0,IZ130-IY130,0)</f>
        <v>0</v>
      </c>
      <c r="JE130" s="148"/>
    </row>
    <row r="131" spans="2:265" ht="15" hidden="1" customHeight="1" outlineLevel="2">
      <c r="B131" s="148">
        <v>4</v>
      </c>
      <c r="C131" s="303" t="e">
        <f>VLOOKUP(AF131,Attribute!C:T,1,FALSE)</f>
        <v>#N/A</v>
      </c>
      <c r="D131" s="125" t="s">
        <v>170</v>
      </c>
      <c r="E131" s="127" t="s">
        <v>132</v>
      </c>
      <c r="F131" s="114"/>
      <c r="G131" s="113">
        <f>Konvention_1master-KLmaster</f>
        <v>12</v>
      </c>
      <c r="H131" s="113">
        <f>Konvention_1master-INmaster</f>
        <v>12</v>
      </c>
      <c r="I131" s="113"/>
      <c r="J131" s="113">
        <f>Konvention_1master-FFmaster</f>
        <v>12</v>
      </c>
      <c r="K131" s="113"/>
      <c r="L131" s="113"/>
      <c r="M131" s="119"/>
      <c r="N131" s="223">
        <f t="shared" ref="N131:N151" si="1134">(F131+G131+H131+I131+J131+K131+L131+M131)/3</f>
        <v>12</v>
      </c>
      <c r="O131" s="223">
        <f t="shared" ref="O131:O151" si="1135">2*N131</f>
        <v>24</v>
      </c>
      <c r="P131" s="224">
        <f t="shared" ref="P131:P151" si="1136">3*N131</f>
        <v>36</v>
      </c>
      <c r="Q131" s="237">
        <f t="shared" ref="Q131:Q151" si="1137">F131*POWER(KLmaster,SIGN(G131))*POWER(INmaster,SIGN(H131))*POWER(CHmaster,SIGN(I131))*POWER(FFmaster,SIGN(J131))*POWER(GEmaster,SIGN(K131))*POWER(KOmaster,SIGN(L131))*POWER(KKmaster,SIGN(M131))+G131*POWER(MUmaster,SIGN(F131))*POWER(INmaster,SIGN(H131))*POWER(CHmaster,SIGN(I131))*POWER(FFmaster,SIGN(J131))*POWER(GEmaster,SIGN(K131))*POWER(KOmaster,SIGN(L131))*POWER(KKmaster,SIGN(M131))+H131*POWER(MUmaster,SIGN(F131))*POWER(KLmaster,SIGN(G131))*POWER(CHmaster,SIGN(I131))*POWER(FFmaster,SIGN(J131))*POWER(GEmaster,SIGN(K131))*POWER(KOmaster,SIGN(L131))*POWER(KKmaster,SIGN(M131))+I131*POWER(MUmaster,SIGN(F131))*POWER(KLmaster,SIGN(G131))*POWER(INmaster,SIGN(H131))*POWER(FFmaster,SIGN(J131))*POWER(GEmaster,SIGN(K131))*POWER(KOmaster,SIGN(L131))*POWER(KKmaster,SIGN(M131))+J131*POWER(MUmaster,SIGN(F131))*POWER(KLmaster,SIGN(G131))*POWER(INmaster,SIGN(H131))*POWER(CHmaster,SIGN(I131))*POWER(GEmaster,SIGN(K131))*POWER(KOmaster,SIGN(L131))*POWER(KKmaster,SIGN(M131))+K131*POWER(MUmaster,SIGN(F131))*POWER(KLmaster,SIGN(G131))*POWER(INmaster,SIGN(H131))*POWER(CHmaster,SIGN(I131))*POWER(FFmaster,SIGN(J131))*POWER(KOmaster,SIGN(L131))*POWER(KKmaster,SIGN(M131))+L131*POWER(MUmaster,SIGN(F131))*POWER(KLmaster,SIGN(G131))*POWER(INmaster,SIGN(H131))*POWER(CHmaster,SIGN(I131))*POWER(FFmaster,SIGN(J131))*POWER(GEmaster,SIGN(K131))*POWER(KKmaster,SIGN(M131))+M131*POWER(MUmaster,SIGN(F131))*POWER(KLmaster,SIGN(G131))*POWER(INmaster,SIGN(H131))*POWER(CHmaster,SIGN(I131))*POWER(FFmaster,SIGN(J131))*POWER(GEmaster,SIGN(K131))*POWER(KOmaster,SIGN(L131))</f>
        <v>2304</v>
      </c>
      <c r="R131" s="113">
        <f>G131*H131*FFmaster+G131*INmaster*J131+KLmaster*H131*J131</f>
        <v>3456</v>
      </c>
      <c r="S131" s="224">
        <f t="shared" ref="S131:S151" si="1138">IFERROR(F131^SIGN(F131),1)*IFERROR(G131^SIGN(G131),1)*IFERROR(H131^SIGN(H131),1)*IFERROR(I131^SIGN(I131),1)*IFERROR(J131^SIGN(J131),1)*IFERROR(K131^SIGN(K131),1)*IFERROR(L131^SIGN(L131),1)*IFERROR(M131^SIGN(M131),1)</f>
        <v>1728</v>
      </c>
      <c r="T131" s="224">
        <f t="shared" si="1109"/>
        <v>7488</v>
      </c>
      <c r="U131" s="222">
        <f t="shared" ref="U131:U151" si="1139">N131*Q131/T131</f>
        <v>3.6923076923076925</v>
      </c>
      <c r="V131" s="223">
        <f t="shared" ref="V131:V151" si="1140">O131*R131/T131</f>
        <v>11.076923076923077</v>
      </c>
      <c r="W131" s="243">
        <f t="shared" ref="W131:W151" si="1141">P131*S131/T131</f>
        <v>8.3076923076923084</v>
      </c>
      <c r="X131" s="243">
        <f t="shared" ref="X131:X151" si="1142">SUM(U131:W131)</f>
        <v>23.07692307692308</v>
      </c>
      <c r="Y131" s="252">
        <v>0</v>
      </c>
      <c r="Z131" s="198">
        <f t="shared" ref="Z131:Z151" si="1143">X131-Y131</f>
        <v>23.07692307692308</v>
      </c>
      <c r="AA131" s="125">
        <f>IF(X131&lt;=0,2,0)+IF(X131&gt;0,X131+1,0)*2+IF(X131&gt;12,X131-12,0)*2+IF(X131&gt;13,X131-13,0)*2+IF(X131&gt;14,X131-14,0)*2+IF(X131&gt;15,X131-15,0)*2+IF(X131&gt;16,X131-16,0)*2+IF(X131&gt;17,X131-17,0)*2+IF(X131&gt;18,X131-18,0)*2+IF(X131&gt;19,X131-19,0)*2+IF(X131&gt;20,X131-20,0)*2</f>
        <v>175.5384615384616</v>
      </c>
      <c r="AB131" s="160">
        <f>IF(Y131&lt;=0,2,0)+IF(Y131&gt;0,Y131+1,0)*2+IF(Y131&gt;12,Y131-12,0)*2+IF(Y131&gt;13,Y131-13,0)*2+IF(Y131&gt;14,Y131-14,0)*2+IF(Y131&gt;15,Y131-15,0)*2+IF(Y131&gt;16,Y131-16,0)*2+IF(Y131&gt;17,Y131-17,0)*2+IF(Y131&gt;18,Y131-18,0)*2+IF(Y131&gt;19,Y131-19,0)*2+IF(Y131&gt;20,Y131-20,0)*2</f>
        <v>2</v>
      </c>
      <c r="AC131" s="127">
        <f t="shared" ref="AC131:AC151" si="1144">IF((AA131-AB131)&gt;0,AA131-AB131,0)</f>
        <v>173.5384615384616</v>
      </c>
      <c r="AD131" s="125">
        <f t="shared" ref="AD131:AD151" si="1145">IF((AB131-AA131)&gt;0,AB131-AA131,0)</f>
        <v>0</v>
      </c>
      <c r="AF131" s="163" t="s">
        <v>184</v>
      </c>
      <c r="AG131" s="125" t="s">
        <v>170</v>
      </c>
      <c r="AH131" s="127" t="s">
        <v>132</v>
      </c>
      <c r="AI131" s="114"/>
      <c r="AJ131" s="113">
        <f>Konvention_1slave-KLslave</f>
        <v>12</v>
      </c>
      <c r="AK131" s="113">
        <f>Konvention_1slave-INslave</f>
        <v>12</v>
      </c>
      <c r="AL131" s="113"/>
      <c r="AM131" s="113">
        <f>Konvention_1slave-FFslave</f>
        <v>12</v>
      </c>
      <c r="AN131" s="113"/>
      <c r="AO131" s="113"/>
      <c r="AP131" s="119"/>
      <c r="AQ131" s="47">
        <f t="shared" ref="AQ131:AQ151" si="1146">(AI131+AJ131+AK131+AL131+AM131+AN131+AO131+AP131)/3</f>
        <v>12</v>
      </c>
      <c r="AR131" s="47">
        <f t="shared" ref="AR131:AR151" si="1147">2*AQ131</f>
        <v>24</v>
      </c>
      <c r="AS131" s="119">
        <f t="shared" ref="AS131:AS151" si="1148">3*AQ131</f>
        <v>36</v>
      </c>
      <c r="AT131" s="114">
        <f t="shared" si="1110"/>
        <v>2304</v>
      </c>
      <c r="AU131" s="113">
        <f>AJ131*AK131*FFslave+AJ131*INslave*AM131+KLslave*AK131*AM131</f>
        <v>3456</v>
      </c>
      <c r="AV131" s="119">
        <f t="shared" ref="AV131:AV151" si="1149">IFERROR(AI131^SIGN(AI131),1)*IFERROR(AJ131^SIGN(AJ131),1)*IFERROR(AK131^SIGN(AK131),1)*IFERROR(AL131^SIGN(AL131),1)*IFERROR(AM131^SIGN(AM131),1)*IFERROR(AN131^SIGN(AN131),1)*IFERROR(AO131^SIGN(AO131),1)*IFERROR(AP131^SIGN(AP131),1)</f>
        <v>1728</v>
      </c>
      <c r="AW131" s="119">
        <f t="shared" si="1111"/>
        <v>7488</v>
      </c>
      <c r="AX131" s="89">
        <f t="shared" ref="AX131:AX151" si="1150">AQ131*AT131/AW131</f>
        <v>3.6923076923076925</v>
      </c>
      <c r="AY131" s="47">
        <f t="shared" ref="AY131:AY151" si="1151">AR131*AU131/AW131</f>
        <v>11.076923076923077</v>
      </c>
      <c r="AZ131" s="127">
        <f t="shared" ref="AZ131:AZ151" si="1152">AS131*AV131/AW131</f>
        <v>8.3076923076923084</v>
      </c>
      <c r="BA131" s="127">
        <f t="shared" ref="BA131:BA151" si="1153">SUM(AX131:AZ131)</f>
        <v>23.07692307692308</v>
      </c>
      <c r="BB131" s="165">
        <f t="shared" si="1112"/>
        <v>0</v>
      </c>
      <c r="BC131" s="198">
        <f t="shared" ref="BC131:BC151" si="1154">BA131-BB131</f>
        <v>23.07692307692308</v>
      </c>
      <c r="BD131" s="125">
        <f>IF(BA131&lt;=0,2,0)+IF(BA131&gt;0,BA131+1,0)*2+IF(BA131&gt;12,BA131-12,0)*2+IF(BA131&gt;13,BA131-13,0)*2+IF(BA131&gt;14,BA131-14,0)*2+IF(BA131&gt;15,BA131-15,0)*2+IF(BA131&gt;16,BA131-16,0)*2+IF(BA131&gt;17,BA131-17,0)*2+IF(BA131&gt;18,BA131-18,0)*2+IF(BA131&gt;19,BA131-19,0)*2+IF(BA131&gt;20,BA131-20,0)*2</f>
        <v>175.5384615384616</v>
      </c>
      <c r="BE131" s="160">
        <f>IF(BB131&lt;=0,2,0)+IF(BB131&gt;0,BB131+1,0)*2+IF(BB131&gt;12,BB131-12,0)*2+IF(BB131&gt;13,BB131-13,0)*2+IF(BB131&gt;14,BB131-14,0)*2+IF(BB131&gt;15,BB131-15,0)*2+IF(BB131&gt;16,BB131-16,0)*2+IF(BB131&gt;17,BB131-17,0)*2+IF(BB131&gt;18,BB131-18,0)*2+IF(BB131&gt;19,BB131-19,0)*2+IF(BB131&gt;20,BB131-20,0)*2</f>
        <v>2</v>
      </c>
      <c r="BF131" s="243">
        <f t="shared" ref="BF131:BF151" si="1155">IF((BD131-BE131)&gt;0,BD131-BE131,0)</f>
        <v>173.5384615384616</v>
      </c>
      <c r="BG131" s="218">
        <f t="shared" ref="BG131:BG151" si="1156">IF((BE131-BD131)&gt;0,BE131-BD131,0)</f>
        <v>0</v>
      </c>
      <c r="BI131" s="303" t="s">
        <v>184</v>
      </c>
      <c r="BJ131" s="218" t="s">
        <v>170</v>
      </c>
      <c r="BK131" s="243" t="s">
        <v>132</v>
      </c>
      <c r="BL131" s="237"/>
      <c r="BM131" s="234">
        <f>Konvention_1slave-KLslave_KL</f>
        <v>11</v>
      </c>
      <c r="BN131" s="234">
        <f>Konvention_1slave-INslave</f>
        <v>12</v>
      </c>
      <c r="BO131" s="234"/>
      <c r="BP131" s="234">
        <f>Konvention_1slave-FFslave</f>
        <v>12</v>
      </c>
      <c r="BQ131" s="234"/>
      <c r="BR131" s="234"/>
      <c r="BS131" s="224"/>
      <c r="BT131" s="223">
        <f t="shared" ref="BT131:BT151" si="1157">(BL131+BM131+BN131+BO131+BP131+BQ131+BR131+BS131)/3</f>
        <v>11.666666666666666</v>
      </c>
      <c r="BU131" s="223">
        <f t="shared" ref="BU131:BU151" si="1158">2*BT131</f>
        <v>23.333333333333332</v>
      </c>
      <c r="BV131" s="224">
        <f t="shared" ref="BV131:BV151" si="1159">3*BT131</f>
        <v>35</v>
      </c>
      <c r="BW131" s="237">
        <f t="shared" si="1113"/>
        <v>2432</v>
      </c>
      <c r="BX131" s="234">
        <f>BM131*BN131*FFslave+BM131*INslave*BP131+KLslave_KL*BN131*BP131</f>
        <v>3408</v>
      </c>
      <c r="BY131" s="224">
        <f t="shared" ref="BY131:BY151" si="1160">IFERROR(BL131^SIGN(BL131),1)*IFERROR(BM131^SIGN(BM131),1)*IFERROR(BN131^SIGN(BN131),1)*IFERROR(BO131^SIGN(BO131),1)*IFERROR(BP131^SIGN(BP131),1)*IFERROR(BQ131^SIGN(BQ131),1)*IFERROR(BR131^SIGN(BR131),1)*IFERROR(BS131^SIGN(BS131),1)</f>
        <v>1584</v>
      </c>
      <c r="BZ131" s="224">
        <f t="shared" si="1114"/>
        <v>7424</v>
      </c>
      <c r="CA131" s="222">
        <f t="shared" ref="CA131:CA151" si="1161">BT131*BW131/BZ131</f>
        <v>3.8218390804597702</v>
      </c>
      <c r="CB131" s="223">
        <f t="shared" ref="CB131:CB151" si="1162">BU131*BX131/BZ131</f>
        <v>10.711206896551724</v>
      </c>
      <c r="CC131" s="243">
        <f t="shared" ref="CC131:CC151" si="1163">BV131*BY131/BZ131</f>
        <v>7.4676724137931032</v>
      </c>
      <c r="CD131" s="243">
        <f t="shared" ref="CD131:CD151" si="1164">SUM(CA131:CC131)</f>
        <v>22.000718390804597</v>
      </c>
      <c r="CE131" s="252">
        <f t="shared" si="1115"/>
        <v>0</v>
      </c>
      <c r="CF131" s="309">
        <f t="shared" ref="CF131:CF151" si="1165">CD131-CE131</f>
        <v>22.000718390804597</v>
      </c>
      <c r="CG131" s="218">
        <f>IF(CD131&lt;=0,2,0)+IF(CD131&gt;0,CD131+1,0)*2+IF(CD131&gt;12,CD131-12,0)*2+IF(CD131&gt;13,CD131-13,0)*2+IF(CD131&gt;14,CD131-14,0)*2+IF(CD131&gt;15,CD131-15,0)*2+IF(CD131&gt;16,CD131-16,0)*2+IF(CD131&gt;17,CD131-17,0)*2+IF(CD131&gt;18,CD131-18,0)*2+IF(CD131&gt;19,CD131-19,0)*2+IF(CD131&gt;20,CD131-20,0)*2</f>
        <v>154.01436781609189</v>
      </c>
      <c r="CH131" s="242">
        <f>IF(CE131&lt;=0,2,0)+IF(CE131&gt;0,CE131+1,0)*2+IF(CE131&gt;12,CE131-12,0)*2+IF(CE131&gt;13,CE131-13,0)*2+IF(CE131&gt;14,CE131-14,0)*2+IF(CE131&gt;15,CE131-15,0)*2+IF(CE131&gt;16,CE131-16,0)*2+IF(CE131&gt;17,CE131-17,0)*2+IF(CE131&gt;18,CE131-18,0)*2+IF(CE131&gt;19,CE131-19,0)*2+IF(CE131&gt;20,CE131-20,0)*2</f>
        <v>2</v>
      </c>
      <c r="CI131" s="243">
        <f t="shared" ref="CI131:CI151" si="1166">IF((CG131-CH131)&gt;0,CG131-CH131,0)</f>
        <v>152.01436781609189</v>
      </c>
      <c r="CJ131" s="218">
        <f t="shared" ref="CJ131:CJ151" si="1167">IF((CH131-CG131)&gt;0,CH131-CG131,0)</f>
        <v>0</v>
      </c>
      <c r="CL131" s="303" t="s">
        <v>184</v>
      </c>
      <c r="CM131" s="218" t="s">
        <v>170</v>
      </c>
      <c r="CN131" s="243" t="s">
        <v>132</v>
      </c>
      <c r="CO131" s="237"/>
      <c r="CP131" s="234">
        <f>Konvention_1slave-KLslave</f>
        <v>12</v>
      </c>
      <c r="CQ131" s="234">
        <f>Konvention_1slave-INslave_IN</f>
        <v>11</v>
      </c>
      <c r="CR131" s="234"/>
      <c r="CS131" s="234">
        <f>Konvention_1slave-FFslave</f>
        <v>12</v>
      </c>
      <c r="CT131" s="234"/>
      <c r="CU131" s="234"/>
      <c r="CV131" s="224"/>
      <c r="CW131" s="223">
        <f t="shared" ref="CW131:CW151" si="1168">(CO131+CP131+CQ131+CR131+CS131+CT131+CU131+CV131)/3</f>
        <v>11.666666666666666</v>
      </c>
      <c r="CX131" s="223">
        <f t="shared" ref="CX131:CX151" si="1169">2*CW131</f>
        <v>23.333333333333332</v>
      </c>
      <c r="CY131" s="224">
        <f t="shared" ref="CY131:CY151" si="1170">3*CW131</f>
        <v>35</v>
      </c>
      <c r="CZ131" s="237">
        <f t="shared" si="1116"/>
        <v>2432</v>
      </c>
      <c r="DA131" s="234">
        <f>CP131*CQ131*FFslave+CP131*INslave_IN*CS131+KLslave*CQ131*CS131</f>
        <v>3408</v>
      </c>
      <c r="DB131" s="224">
        <f t="shared" ref="DB131:DB151" si="1171">IFERROR(CO131^SIGN(CO131),1)*IFERROR(CP131^SIGN(CP131),1)*IFERROR(CQ131^SIGN(CQ131),1)*IFERROR(CR131^SIGN(CR131),1)*IFERROR(CS131^SIGN(CS131),1)*IFERROR(CT131^SIGN(CT131),1)*IFERROR(CU131^SIGN(CU131),1)*IFERROR(CV131^SIGN(CV131),1)</f>
        <v>1584</v>
      </c>
      <c r="DC131" s="224">
        <f t="shared" si="1117"/>
        <v>7424</v>
      </c>
      <c r="DD131" s="222">
        <f t="shared" ref="DD131:DD151" si="1172">CW131*CZ131/DC131</f>
        <v>3.8218390804597702</v>
      </c>
      <c r="DE131" s="223">
        <f t="shared" ref="DE131:DE151" si="1173">CX131*DA131/DC131</f>
        <v>10.711206896551724</v>
      </c>
      <c r="DF131" s="243">
        <f t="shared" ref="DF131:DF151" si="1174">CY131*DB131/DC131</f>
        <v>7.4676724137931032</v>
      </c>
      <c r="DG131" s="243">
        <f t="shared" ref="DG131:DG151" si="1175">SUM(DD131:DF131)</f>
        <v>22.000718390804597</v>
      </c>
      <c r="DH131" s="252">
        <f t="shared" si="1118"/>
        <v>0</v>
      </c>
      <c r="DI131" s="309">
        <f t="shared" ref="DI131:DI151" si="1176">DG131-DH131</f>
        <v>22.000718390804597</v>
      </c>
      <c r="DJ131" s="218">
        <f>IF(DG131&lt;=0,2,0)+IF(DG131&gt;0,DG131+1,0)*2+IF(DG131&gt;12,DG131-12,0)*2+IF(DG131&gt;13,DG131-13,0)*2+IF(DG131&gt;14,DG131-14,0)*2+IF(DG131&gt;15,DG131-15,0)*2+IF(DG131&gt;16,DG131-16,0)*2+IF(DG131&gt;17,DG131-17,0)*2+IF(DG131&gt;18,DG131-18,0)*2+IF(DG131&gt;19,DG131-19,0)*2+IF(DG131&gt;20,DG131-20,0)*2</f>
        <v>154.01436781609189</v>
      </c>
      <c r="DK131" s="242">
        <f>IF(DH131&lt;=0,2,0)+IF(DH131&gt;0,DH131+1,0)*2+IF(DH131&gt;12,DH131-12,0)*2+IF(DH131&gt;13,DH131-13,0)*2+IF(DH131&gt;14,DH131-14,0)*2+IF(DH131&gt;15,DH131-15,0)*2+IF(DH131&gt;16,DH131-16,0)*2+IF(DH131&gt;17,DH131-17,0)*2+IF(DH131&gt;18,DH131-18,0)*2+IF(DH131&gt;19,DH131-19,0)*2+IF(DH131&gt;20,DH131-20,0)*2</f>
        <v>2</v>
      </c>
      <c r="DL131" s="243">
        <f t="shared" ref="DL131:DL151" si="1177">IF((DJ131-DK131)&gt;0,DJ131-DK131,0)</f>
        <v>152.01436781609189</v>
      </c>
      <c r="DM131" s="218">
        <f t="shared" ref="DM131:DM151" si="1178">IF((DK131-DJ131)&gt;0,DK131-DJ131,0)</f>
        <v>0</v>
      </c>
      <c r="DO131" s="303" t="s">
        <v>184</v>
      </c>
      <c r="DP131" s="218" t="s">
        <v>170</v>
      </c>
      <c r="DQ131" s="243" t="s">
        <v>132</v>
      </c>
      <c r="DR131" s="237"/>
      <c r="DS131" s="234">
        <f>Konvention_1slave-KLslave</f>
        <v>12</v>
      </c>
      <c r="DT131" s="234">
        <f>Konvention_1slave-INslave</f>
        <v>12</v>
      </c>
      <c r="DU131" s="234"/>
      <c r="DV131" s="234">
        <f>Konvention_1slave-FFslave</f>
        <v>12</v>
      </c>
      <c r="DW131" s="234"/>
      <c r="DX131" s="234"/>
      <c r="DY131" s="224"/>
      <c r="DZ131" s="223">
        <f t="shared" ref="DZ131:DZ151" si="1179">(DR131+DS131+DT131+DU131+DV131+DW131+DX131+DY131)/3</f>
        <v>12</v>
      </c>
      <c r="EA131" s="223">
        <f t="shared" ref="EA131:EA151" si="1180">2*DZ131</f>
        <v>24</v>
      </c>
      <c r="EB131" s="224">
        <f t="shared" ref="EB131:EB151" si="1181">3*DZ131</f>
        <v>36</v>
      </c>
      <c r="EC131" s="237">
        <f t="shared" si="1119"/>
        <v>2304</v>
      </c>
      <c r="ED131" s="234">
        <f>DS131*DT131*FFslave+DS131*INslave*DV131+KLslave*DT131*DV131</f>
        <v>3456</v>
      </c>
      <c r="EE131" s="224">
        <f t="shared" ref="EE131:EE151" si="1182">IFERROR(DR131^SIGN(DR131),1)*IFERROR(DS131^SIGN(DS131),1)*IFERROR(DT131^SIGN(DT131),1)*IFERROR(DU131^SIGN(DU131),1)*IFERROR(DV131^SIGN(DV131),1)*IFERROR(DW131^SIGN(DW131),1)*IFERROR(DX131^SIGN(DX131),1)*IFERROR(DY131^SIGN(DY131),1)</f>
        <v>1728</v>
      </c>
      <c r="EF131" s="224">
        <f t="shared" si="1120"/>
        <v>7488</v>
      </c>
      <c r="EG131" s="222">
        <f t="shared" ref="EG131:EG151" si="1183">DZ131*EC131/EF131</f>
        <v>3.6923076923076925</v>
      </c>
      <c r="EH131" s="223">
        <f t="shared" ref="EH131:EH151" si="1184">EA131*ED131/EF131</f>
        <v>11.076923076923077</v>
      </c>
      <c r="EI131" s="243">
        <f t="shared" ref="EI131:EI151" si="1185">EB131*EE131/EF131</f>
        <v>8.3076923076923084</v>
      </c>
      <c r="EJ131" s="243">
        <f t="shared" ref="EJ131:EJ151" si="1186">SUM(EG131:EI131)</f>
        <v>23.07692307692308</v>
      </c>
      <c r="EK131" s="252">
        <f t="shared" si="1121"/>
        <v>0</v>
      </c>
      <c r="EL131" s="309">
        <f t="shared" ref="EL131:EL151" si="1187">EJ131-EK131</f>
        <v>23.07692307692308</v>
      </c>
      <c r="EM131" s="218">
        <f>IF(EJ131&lt;=0,2,0)+IF(EJ131&gt;0,EJ131+1,0)*2+IF(EJ131&gt;12,EJ131-12,0)*2+IF(EJ131&gt;13,EJ131-13,0)*2+IF(EJ131&gt;14,EJ131-14,0)*2+IF(EJ131&gt;15,EJ131-15,0)*2+IF(EJ131&gt;16,EJ131-16,0)*2+IF(EJ131&gt;17,EJ131-17,0)*2+IF(EJ131&gt;18,EJ131-18,0)*2+IF(EJ131&gt;19,EJ131-19,0)*2+IF(EJ131&gt;20,EJ131-20,0)*2</f>
        <v>175.5384615384616</v>
      </c>
      <c r="EN131" s="242">
        <f>IF(EK131&lt;=0,2,0)+IF(EK131&gt;0,EK131+1,0)*2+IF(EK131&gt;12,EK131-12,0)*2+IF(EK131&gt;13,EK131-13,0)*2+IF(EK131&gt;14,EK131-14,0)*2+IF(EK131&gt;15,EK131-15,0)*2+IF(EK131&gt;16,EK131-16,0)*2+IF(EK131&gt;17,EK131-17,0)*2+IF(EK131&gt;18,EK131-18,0)*2+IF(EK131&gt;19,EK131-19,0)*2+IF(EK131&gt;20,EK131-20,0)*2</f>
        <v>2</v>
      </c>
      <c r="EO131" s="243">
        <f t="shared" ref="EO131:EO151" si="1188">IF((EM131-EN131)&gt;0,EM131-EN131,0)</f>
        <v>173.5384615384616</v>
      </c>
      <c r="EP131" s="218">
        <f t="shared" ref="EP131:EP151" si="1189">IF((EN131-EM131)&gt;0,EN131-EM131,0)</f>
        <v>0</v>
      </c>
      <c r="ER131" s="303" t="s">
        <v>184</v>
      </c>
      <c r="ES131" s="218" t="s">
        <v>170</v>
      </c>
      <c r="ET131" s="243" t="s">
        <v>132</v>
      </c>
      <c r="EU131" s="237"/>
      <c r="EV131" s="234">
        <f>Konvention_1slave-KLslave</f>
        <v>12</v>
      </c>
      <c r="EW131" s="234">
        <f>Konvention_1slave-INslave</f>
        <v>12</v>
      </c>
      <c r="EX131" s="234"/>
      <c r="EY131" s="234">
        <f>Konvention_1slave-FFslave_FF</f>
        <v>11</v>
      </c>
      <c r="EZ131" s="234"/>
      <c r="FA131" s="234"/>
      <c r="FB131" s="224"/>
      <c r="FC131" s="223">
        <f t="shared" ref="FC131:FC151" si="1190">(EU131+EV131+EW131+EX131+EY131+EZ131+FA131+FB131)/3</f>
        <v>11.666666666666666</v>
      </c>
      <c r="FD131" s="223">
        <f t="shared" ref="FD131:FD151" si="1191">2*FC131</f>
        <v>23.333333333333332</v>
      </c>
      <c r="FE131" s="224">
        <f t="shared" ref="FE131:FE151" si="1192">3*FC131</f>
        <v>35</v>
      </c>
      <c r="FF131" s="237">
        <f t="shared" si="1122"/>
        <v>2432</v>
      </c>
      <c r="FG131" s="234">
        <f>EV131*EW131*FFslave_FF+EV131*INslave*EY131+KLslave*EW131*EY131</f>
        <v>3408</v>
      </c>
      <c r="FH131" s="224">
        <f t="shared" ref="FH131:FH151" si="1193">IFERROR(EU131^SIGN(EU131),1)*IFERROR(EV131^SIGN(EV131),1)*IFERROR(EW131^SIGN(EW131),1)*IFERROR(EX131^SIGN(EX131),1)*IFERROR(EY131^SIGN(EY131),1)*IFERROR(EZ131^SIGN(EZ131),1)*IFERROR(FA131^SIGN(FA131),1)*IFERROR(FB131^SIGN(FB131),1)</f>
        <v>1584</v>
      </c>
      <c r="FI131" s="224">
        <f t="shared" si="1123"/>
        <v>7424</v>
      </c>
      <c r="FJ131" s="222">
        <f t="shared" ref="FJ131:FJ151" si="1194">FC131*FF131/FI131</f>
        <v>3.8218390804597702</v>
      </c>
      <c r="FK131" s="223">
        <f t="shared" ref="FK131:FK151" si="1195">FD131*FG131/FI131</f>
        <v>10.711206896551724</v>
      </c>
      <c r="FL131" s="243">
        <f t="shared" ref="FL131:FL151" si="1196">FE131*FH131/FI131</f>
        <v>7.4676724137931032</v>
      </c>
      <c r="FM131" s="243">
        <f t="shared" ref="FM131:FM151" si="1197">SUM(FJ131:FL131)</f>
        <v>22.000718390804597</v>
      </c>
      <c r="FN131" s="252">
        <f t="shared" si="1124"/>
        <v>0</v>
      </c>
      <c r="FO131" s="309">
        <f t="shared" ref="FO131:FO151" si="1198">FM131-FN131</f>
        <v>22.000718390804597</v>
      </c>
      <c r="FP131" s="218">
        <f>IF(FM131&lt;=0,2,0)+IF(FM131&gt;0,FM131+1,0)*2+IF(FM131&gt;12,FM131-12,0)*2+IF(FM131&gt;13,FM131-13,0)*2+IF(FM131&gt;14,FM131-14,0)*2+IF(FM131&gt;15,FM131-15,0)*2+IF(FM131&gt;16,FM131-16,0)*2+IF(FM131&gt;17,FM131-17,0)*2+IF(FM131&gt;18,FM131-18,0)*2+IF(FM131&gt;19,FM131-19,0)*2+IF(FM131&gt;20,FM131-20,0)*2</f>
        <v>154.01436781609189</v>
      </c>
      <c r="FQ131" s="242">
        <f>IF(FN131&lt;=0,2,0)+IF(FN131&gt;0,FN131+1,0)*2+IF(FN131&gt;12,FN131-12,0)*2+IF(FN131&gt;13,FN131-13,0)*2+IF(FN131&gt;14,FN131-14,0)*2+IF(FN131&gt;15,FN131-15,0)*2+IF(FN131&gt;16,FN131-16,0)*2+IF(FN131&gt;17,FN131-17,0)*2+IF(FN131&gt;18,FN131-18,0)*2+IF(FN131&gt;19,FN131-19,0)*2+IF(FN131&gt;20,FN131-20,0)*2</f>
        <v>2</v>
      </c>
      <c r="FR131" s="243">
        <f t="shared" ref="FR131:FR151" si="1199">IF((FP131-FQ131)&gt;0,FP131-FQ131,0)</f>
        <v>152.01436781609189</v>
      </c>
      <c r="FS131" s="218">
        <f t="shared" ref="FS131:FS151" si="1200">IF((FQ131-FP131)&gt;0,FQ131-FP131,0)</f>
        <v>0</v>
      </c>
      <c r="FU131" s="303" t="s">
        <v>184</v>
      </c>
      <c r="FV131" s="218" t="s">
        <v>170</v>
      </c>
      <c r="FW131" s="243" t="s">
        <v>132</v>
      </c>
      <c r="FX131" s="237"/>
      <c r="FY131" s="234">
        <f>Konvention_1slave-KLslave</f>
        <v>12</v>
      </c>
      <c r="FZ131" s="234">
        <f>Konvention_1slave-INslave</f>
        <v>12</v>
      </c>
      <c r="GA131" s="234"/>
      <c r="GB131" s="234">
        <f>Konvention_1slave-FFslave</f>
        <v>12</v>
      </c>
      <c r="GC131" s="234"/>
      <c r="GD131" s="234"/>
      <c r="GE131" s="224"/>
      <c r="GF131" s="223">
        <f t="shared" ref="GF131:GF151" si="1201">(FX131+FY131+FZ131+GA131+GB131+GC131+GD131+GE131)/3</f>
        <v>12</v>
      </c>
      <c r="GG131" s="223">
        <f t="shared" ref="GG131:GG151" si="1202">2*GF131</f>
        <v>24</v>
      </c>
      <c r="GH131" s="224">
        <f t="shared" ref="GH131:GH151" si="1203">3*GF131</f>
        <v>36</v>
      </c>
      <c r="GI131" s="237">
        <f t="shared" si="1125"/>
        <v>2304</v>
      </c>
      <c r="GJ131" s="234">
        <f>FY131*FZ131*FFslave+FY131*INslave*GB131+KLslave*FZ131*GB131</f>
        <v>3456</v>
      </c>
      <c r="GK131" s="224">
        <f t="shared" ref="GK131:GK151" si="1204">IFERROR(FX131^SIGN(FX131),1)*IFERROR(FY131^SIGN(FY131),1)*IFERROR(FZ131^SIGN(FZ131),1)*IFERROR(GA131^SIGN(GA131),1)*IFERROR(GB131^SIGN(GB131),1)*IFERROR(GC131^SIGN(GC131),1)*IFERROR(GD131^SIGN(GD131),1)*IFERROR(GE131^SIGN(GE131),1)</f>
        <v>1728</v>
      </c>
      <c r="GL131" s="224">
        <f t="shared" si="1126"/>
        <v>7488</v>
      </c>
      <c r="GM131" s="222">
        <f t="shared" ref="GM131:GM151" si="1205">GF131*GI131/GL131</f>
        <v>3.6923076923076925</v>
      </c>
      <c r="GN131" s="223">
        <f t="shared" ref="GN131:GN151" si="1206">GG131*GJ131/GL131</f>
        <v>11.076923076923077</v>
      </c>
      <c r="GO131" s="243">
        <f t="shared" ref="GO131:GO151" si="1207">GH131*GK131/GL131</f>
        <v>8.3076923076923084</v>
      </c>
      <c r="GP131" s="243">
        <f t="shared" ref="GP131:GP151" si="1208">SUM(GM131:GO131)</f>
        <v>23.07692307692308</v>
      </c>
      <c r="GQ131" s="252">
        <f t="shared" si="1127"/>
        <v>0</v>
      </c>
      <c r="GR131" s="309">
        <f t="shared" ref="GR131:GR151" si="1209">GP131-GQ131</f>
        <v>23.07692307692308</v>
      </c>
      <c r="GS131" s="218">
        <f>IF(GP131&lt;=0,2,0)+IF(GP131&gt;0,GP131+1,0)*2+IF(GP131&gt;12,GP131-12,0)*2+IF(GP131&gt;13,GP131-13,0)*2+IF(GP131&gt;14,GP131-14,0)*2+IF(GP131&gt;15,GP131-15,0)*2+IF(GP131&gt;16,GP131-16,0)*2+IF(GP131&gt;17,GP131-17,0)*2+IF(GP131&gt;18,GP131-18,0)*2+IF(GP131&gt;19,GP131-19,0)*2+IF(GP131&gt;20,GP131-20,0)*2</f>
        <v>175.5384615384616</v>
      </c>
      <c r="GT131" s="242">
        <f>IF(GQ131&lt;=0,2,0)+IF(GQ131&gt;0,GQ131+1,0)*2+IF(GQ131&gt;12,GQ131-12,0)*2+IF(GQ131&gt;13,GQ131-13,0)*2+IF(GQ131&gt;14,GQ131-14,0)*2+IF(GQ131&gt;15,GQ131-15,0)*2+IF(GQ131&gt;16,GQ131-16,0)*2+IF(GQ131&gt;17,GQ131-17,0)*2+IF(GQ131&gt;18,GQ131-18,0)*2+IF(GQ131&gt;19,GQ131-19,0)*2+IF(GQ131&gt;20,GQ131-20,0)*2</f>
        <v>2</v>
      </c>
      <c r="GU131" s="243">
        <f t="shared" ref="GU131:GU151" si="1210">IF((GS131-GT131)&gt;0,GS131-GT131,0)</f>
        <v>173.5384615384616</v>
      </c>
      <c r="GV131" s="218">
        <f t="shared" ref="GV131:GV151" si="1211">IF((GT131-GS131)&gt;0,GT131-GS131,0)</f>
        <v>0</v>
      </c>
      <c r="GX131" s="303" t="s">
        <v>184</v>
      </c>
      <c r="GY131" s="218" t="s">
        <v>170</v>
      </c>
      <c r="GZ131" s="243" t="s">
        <v>132</v>
      </c>
      <c r="HA131" s="237"/>
      <c r="HB131" s="234">
        <f>Konvention_1slave-KLslave</f>
        <v>12</v>
      </c>
      <c r="HC131" s="234">
        <f>Konvention_1slave-INslave</f>
        <v>12</v>
      </c>
      <c r="HD131" s="234"/>
      <c r="HE131" s="234">
        <f>Konvention_1slave-FFslave</f>
        <v>12</v>
      </c>
      <c r="HF131" s="234"/>
      <c r="HG131" s="234"/>
      <c r="HH131" s="224"/>
      <c r="HI131" s="223">
        <f t="shared" ref="HI131:HI151" si="1212">(HA131+HB131+HC131+HD131+HE131+HF131+HG131+HH131)/3</f>
        <v>12</v>
      </c>
      <c r="HJ131" s="223">
        <f t="shared" ref="HJ131:HJ151" si="1213">2*HI131</f>
        <v>24</v>
      </c>
      <c r="HK131" s="224">
        <f t="shared" ref="HK131:HK151" si="1214">3*HI131</f>
        <v>36</v>
      </c>
      <c r="HL131" s="237">
        <f t="shared" si="1128"/>
        <v>2304</v>
      </c>
      <c r="HM131" s="234">
        <f>HB131*HC131*FFslave+HB131*INslave*HE131+KLslave*HC131*HE131</f>
        <v>3456</v>
      </c>
      <c r="HN131" s="224">
        <f t="shared" ref="HN131:HN151" si="1215">IFERROR(HA131^SIGN(HA131),1)*IFERROR(HB131^SIGN(HB131),1)*IFERROR(HC131^SIGN(HC131),1)*IFERROR(HD131^SIGN(HD131),1)*IFERROR(HE131^SIGN(HE131),1)*IFERROR(HF131^SIGN(HF131),1)*IFERROR(HG131^SIGN(HG131),1)*IFERROR(HH131^SIGN(HH131),1)</f>
        <v>1728</v>
      </c>
      <c r="HO131" s="224">
        <f t="shared" si="1129"/>
        <v>7488</v>
      </c>
      <c r="HP131" s="222">
        <f t="shared" ref="HP131:HP151" si="1216">HI131*HL131/HO131</f>
        <v>3.6923076923076925</v>
      </c>
      <c r="HQ131" s="223">
        <f t="shared" ref="HQ131:HQ151" si="1217">HJ131*HM131/HO131</f>
        <v>11.076923076923077</v>
      </c>
      <c r="HR131" s="243">
        <f t="shared" ref="HR131:HR151" si="1218">HK131*HN131/HO131</f>
        <v>8.3076923076923084</v>
      </c>
      <c r="HS131" s="243">
        <f t="shared" ref="HS131:HS151" si="1219">SUM(HP131:HR131)</f>
        <v>23.07692307692308</v>
      </c>
      <c r="HT131" s="252">
        <f t="shared" si="1130"/>
        <v>0</v>
      </c>
      <c r="HU131" s="309">
        <f t="shared" ref="HU131:HU151" si="1220">HS131-HT131</f>
        <v>23.07692307692308</v>
      </c>
      <c r="HV131" s="218">
        <f>IF(HS131&lt;=0,2,0)+IF(HS131&gt;0,HS131+1,0)*2+IF(HS131&gt;12,HS131-12,0)*2+IF(HS131&gt;13,HS131-13,0)*2+IF(HS131&gt;14,HS131-14,0)*2+IF(HS131&gt;15,HS131-15,0)*2+IF(HS131&gt;16,HS131-16,0)*2+IF(HS131&gt;17,HS131-17,0)*2+IF(HS131&gt;18,HS131-18,0)*2+IF(HS131&gt;19,HS131-19,0)*2+IF(HS131&gt;20,HS131-20,0)*2</f>
        <v>175.5384615384616</v>
      </c>
      <c r="HW131" s="242">
        <f>IF(HT131&lt;=0,2,0)+IF(HT131&gt;0,HT131+1,0)*2+IF(HT131&gt;12,HT131-12,0)*2+IF(HT131&gt;13,HT131-13,0)*2+IF(HT131&gt;14,HT131-14,0)*2+IF(HT131&gt;15,HT131-15,0)*2+IF(HT131&gt;16,HT131-16,0)*2+IF(HT131&gt;17,HT131-17,0)*2+IF(HT131&gt;18,HT131-18,0)*2+IF(HT131&gt;19,HT131-19,0)*2+IF(HT131&gt;20,HT131-20,0)*2</f>
        <v>2</v>
      </c>
      <c r="HX131" s="243">
        <f t="shared" ref="HX131:HX151" si="1221">IF((HV131-HW131)&gt;0,HV131-HW131,0)</f>
        <v>173.5384615384616</v>
      </c>
      <c r="HY131" s="218">
        <f t="shared" ref="HY131:HY151" si="1222">IF((HW131-HV131)&gt;0,HW131-HV131,0)</f>
        <v>0</v>
      </c>
      <c r="IA131" s="303" t="s">
        <v>184</v>
      </c>
      <c r="IB131" s="218" t="s">
        <v>170</v>
      </c>
      <c r="IC131" s="243" t="s">
        <v>132</v>
      </c>
      <c r="ID131" s="237"/>
      <c r="IE131" s="234">
        <f>Konvention_1slave-KLslave</f>
        <v>12</v>
      </c>
      <c r="IF131" s="234">
        <f>Konvention_1slave-INslave</f>
        <v>12</v>
      </c>
      <c r="IG131" s="234"/>
      <c r="IH131" s="234">
        <f>Konvention_1slave-FFslave</f>
        <v>12</v>
      </c>
      <c r="II131" s="234"/>
      <c r="IJ131" s="234"/>
      <c r="IK131" s="224"/>
      <c r="IL131" s="223">
        <f t="shared" ref="IL131:IL151" si="1223">(ID131+IE131+IF131+IG131+IH131+II131+IJ131+IK131)/3</f>
        <v>12</v>
      </c>
      <c r="IM131" s="223">
        <f t="shared" ref="IM131:IM151" si="1224">2*IL131</f>
        <v>24</v>
      </c>
      <c r="IN131" s="224">
        <f t="shared" ref="IN131:IN151" si="1225">3*IL131</f>
        <v>36</v>
      </c>
      <c r="IO131" s="237">
        <f t="shared" si="1131"/>
        <v>2304</v>
      </c>
      <c r="IP131" s="234">
        <f>IE131*IF131*FFslave+IE131*INslave*IH131+KLslave*IF131*IH131</f>
        <v>3456</v>
      </c>
      <c r="IQ131" s="224">
        <f t="shared" ref="IQ131:IQ151" si="1226">IFERROR(ID131^SIGN(ID131),1)*IFERROR(IE131^SIGN(IE131),1)*IFERROR(IF131^SIGN(IF131),1)*IFERROR(IG131^SIGN(IG131),1)*IFERROR(IH131^SIGN(IH131),1)*IFERROR(II131^SIGN(II131),1)*IFERROR(IJ131^SIGN(IJ131),1)*IFERROR(IK131^SIGN(IK131),1)</f>
        <v>1728</v>
      </c>
      <c r="IR131" s="224">
        <f t="shared" si="1132"/>
        <v>7488</v>
      </c>
      <c r="IS131" s="222">
        <f t="shared" ref="IS131:IS151" si="1227">IL131*IO131/IR131</f>
        <v>3.6923076923076925</v>
      </c>
      <c r="IT131" s="223">
        <f t="shared" ref="IT131:IT151" si="1228">IM131*IP131/IR131</f>
        <v>11.076923076923077</v>
      </c>
      <c r="IU131" s="243">
        <f t="shared" ref="IU131:IU151" si="1229">IN131*IQ131/IR131</f>
        <v>8.3076923076923084</v>
      </c>
      <c r="IV131" s="243">
        <f t="shared" ref="IV131:IV151" si="1230">SUM(IS131:IU131)</f>
        <v>23.07692307692308</v>
      </c>
      <c r="IW131" s="252">
        <f t="shared" si="1133"/>
        <v>0</v>
      </c>
      <c r="IX131" s="309">
        <f t="shared" ref="IX131:IX151" si="1231">IV131-IW131</f>
        <v>23.07692307692308</v>
      </c>
      <c r="IY131" s="218">
        <f>IF(IV131&lt;=0,2,0)+IF(IV131&gt;0,IV131+1,0)*2+IF(IV131&gt;12,IV131-12,0)*2+IF(IV131&gt;13,IV131-13,0)*2+IF(IV131&gt;14,IV131-14,0)*2+IF(IV131&gt;15,IV131-15,0)*2+IF(IV131&gt;16,IV131-16,0)*2+IF(IV131&gt;17,IV131-17,0)*2+IF(IV131&gt;18,IV131-18,0)*2+IF(IV131&gt;19,IV131-19,0)*2+IF(IV131&gt;20,IV131-20,0)*2</f>
        <v>175.5384615384616</v>
      </c>
      <c r="IZ131" s="242">
        <f>IF(IW131&lt;=0,2,0)+IF(IW131&gt;0,IW131+1,0)*2+IF(IW131&gt;12,IW131-12,0)*2+IF(IW131&gt;13,IW131-13,0)*2+IF(IW131&gt;14,IW131-14,0)*2+IF(IW131&gt;15,IW131-15,0)*2+IF(IW131&gt;16,IW131-16,0)*2+IF(IW131&gt;17,IW131-17,0)*2+IF(IW131&gt;18,IW131-18,0)*2+IF(IW131&gt;19,IW131-19,0)*2+IF(IW131&gt;20,IW131-20,0)*2</f>
        <v>2</v>
      </c>
      <c r="JA131" s="243">
        <f t="shared" ref="JA131:JA151" si="1232">IF((IY131-IZ131)&gt;0,IY131-IZ131,0)</f>
        <v>173.5384615384616</v>
      </c>
      <c r="JB131" s="218">
        <f t="shared" ref="JB131:JB151" si="1233">IF((IZ131-IY131)&gt;0,IZ131-IY131,0)</f>
        <v>0</v>
      </c>
      <c r="JE131" s="148"/>
    </row>
    <row r="132" spans="2:265" ht="15" hidden="1" customHeight="1" outlineLevel="2">
      <c r="B132" s="148">
        <v>5</v>
      </c>
      <c r="C132" s="303" t="e">
        <f>VLOOKUP(AF132,Attribute!C:T,1,FALSE)</f>
        <v>#N/A</v>
      </c>
      <c r="D132" s="125" t="s">
        <v>438</v>
      </c>
      <c r="E132" s="127" t="s">
        <v>132</v>
      </c>
      <c r="F132" s="114"/>
      <c r="G132" s="113">
        <f>Konvention_1master-KLmaster</f>
        <v>12</v>
      </c>
      <c r="H132" s="113"/>
      <c r="I132" s="113">
        <f>Konvention_1master-CHmaster</f>
        <v>12</v>
      </c>
      <c r="J132" s="113"/>
      <c r="K132" s="113"/>
      <c r="L132" s="113"/>
      <c r="M132" s="119">
        <f>Konvention_1master-KKmaster</f>
        <v>12</v>
      </c>
      <c r="N132" s="223">
        <f t="shared" si="1134"/>
        <v>12</v>
      </c>
      <c r="O132" s="223">
        <f t="shared" si="1135"/>
        <v>24</v>
      </c>
      <c r="P132" s="224">
        <f t="shared" si="1136"/>
        <v>36</v>
      </c>
      <c r="Q132" s="237">
        <f t="shared" si="1137"/>
        <v>2304</v>
      </c>
      <c r="R132" s="113">
        <f>G132*I132*KKmaster+G132*CHmaster*M132+KLmaster*I132*M132</f>
        <v>3456</v>
      </c>
      <c r="S132" s="224">
        <f t="shared" si="1138"/>
        <v>1728</v>
      </c>
      <c r="T132" s="224">
        <f t="shared" si="1109"/>
        <v>7488</v>
      </c>
      <c r="U132" s="222">
        <f t="shared" si="1139"/>
        <v>3.6923076923076925</v>
      </c>
      <c r="V132" s="223">
        <f t="shared" si="1140"/>
        <v>11.076923076923077</v>
      </c>
      <c r="W132" s="243">
        <f t="shared" si="1141"/>
        <v>8.3076923076923084</v>
      </c>
      <c r="X132" s="243">
        <f t="shared" si="1142"/>
        <v>23.07692307692308</v>
      </c>
      <c r="Y132" s="252">
        <v>0</v>
      </c>
      <c r="Z132" s="198">
        <f t="shared" si="1143"/>
        <v>23.07692307692308</v>
      </c>
      <c r="AA132" s="125">
        <f>IF(X132&lt;=0,2,0)+IF(X132&gt;0,X132+1,0)*2+IF(X132&gt;12,X132-12,0)*2+IF(X132&gt;13,X132-13,0)*2+IF(X132&gt;14,X132-14,0)*2+IF(X132&gt;15,X132-15,0)*2+IF(X132&gt;16,X132-16,0)*2+IF(X132&gt;17,X132-17,0)*2+IF(X132&gt;18,X132-18,0)*2+IF(X132&gt;19,X132-19,0)*2+IF(X132&gt;20,X132-20,0)*2</f>
        <v>175.5384615384616</v>
      </c>
      <c r="AB132" s="160">
        <f>IF(Y132&lt;=0,2,0)+IF(Y132&gt;0,Y132+1,0)*2+IF(Y132&gt;12,Y132-12,0)*2+IF(Y132&gt;13,Y132-13,0)*2+IF(Y132&gt;14,Y132-14,0)*2+IF(Y132&gt;15,Y132-15,0)*2+IF(Y132&gt;16,Y132-16,0)*2+IF(Y132&gt;17,Y132-17,0)*2+IF(Y132&gt;18,Y132-18,0)*2+IF(Y132&gt;19,Y132-19,0)*2+IF(Y132&gt;20,Y132-20,0)*2</f>
        <v>2</v>
      </c>
      <c r="AC132" s="127">
        <f t="shared" si="1144"/>
        <v>173.5384615384616</v>
      </c>
      <c r="AD132" s="125">
        <f t="shared" si="1145"/>
        <v>0</v>
      </c>
      <c r="AF132" s="163" t="s">
        <v>356</v>
      </c>
      <c r="AG132" s="125" t="s">
        <v>438</v>
      </c>
      <c r="AH132" s="127" t="s">
        <v>132</v>
      </c>
      <c r="AI132" s="114"/>
      <c r="AJ132" s="113">
        <f>Konvention_1slave-KLslave</f>
        <v>12</v>
      </c>
      <c r="AK132" s="113"/>
      <c r="AL132" s="113">
        <f>Konvention_1slave-CHslave</f>
        <v>12</v>
      </c>
      <c r="AM132" s="113"/>
      <c r="AN132" s="113"/>
      <c r="AO132" s="113"/>
      <c r="AP132" s="119">
        <f>Konvention_1slave-KKslave</f>
        <v>12</v>
      </c>
      <c r="AQ132" s="47">
        <f t="shared" si="1146"/>
        <v>12</v>
      </c>
      <c r="AR132" s="47">
        <f t="shared" si="1147"/>
        <v>24</v>
      </c>
      <c r="AS132" s="119">
        <f t="shared" si="1148"/>
        <v>36</v>
      </c>
      <c r="AT132" s="114">
        <f t="shared" si="1110"/>
        <v>2304</v>
      </c>
      <c r="AU132" s="113">
        <f>AJ132*AL132*KKslave+AJ132*CHslave*AP132+KLslave*AL132*AP132</f>
        <v>3456</v>
      </c>
      <c r="AV132" s="119">
        <f t="shared" si="1149"/>
        <v>1728</v>
      </c>
      <c r="AW132" s="119">
        <f t="shared" si="1111"/>
        <v>7488</v>
      </c>
      <c r="AX132" s="89">
        <f t="shared" si="1150"/>
        <v>3.6923076923076925</v>
      </c>
      <c r="AY132" s="47">
        <f t="shared" si="1151"/>
        <v>11.076923076923077</v>
      </c>
      <c r="AZ132" s="127">
        <f t="shared" si="1152"/>
        <v>8.3076923076923084</v>
      </c>
      <c r="BA132" s="127">
        <f t="shared" si="1153"/>
        <v>23.07692307692308</v>
      </c>
      <c r="BB132" s="165">
        <f t="shared" si="1112"/>
        <v>0</v>
      </c>
      <c r="BC132" s="198">
        <f t="shared" si="1154"/>
        <v>23.07692307692308</v>
      </c>
      <c r="BD132" s="125">
        <f>IF(BA132&lt;=0,2,0)+IF(BA132&gt;0,BA132+1,0)*2+IF(BA132&gt;12,BA132-12,0)*2+IF(BA132&gt;13,BA132-13,0)*2+IF(BA132&gt;14,BA132-14,0)*2+IF(BA132&gt;15,BA132-15,0)*2+IF(BA132&gt;16,BA132-16,0)*2+IF(BA132&gt;17,BA132-17,0)*2+IF(BA132&gt;18,BA132-18,0)*2+IF(BA132&gt;19,BA132-19,0)*2+IF(BA132&gt;20,BA132-20,0)*2</f>
        <v>175.5384615384616</v>
      </c>
      <c r="BE132" s="160">
        <f>IF(BB132&lt;=0,2,0)+IF(BB132&gt;0,BB132+1,0)*2+IF(BB132&gt;12,BB132-12,0)*2+IF(BB132&gt;13,BB132-13,0)*2+IF(BB132&gt;14,BB132-14,0)*2+IF(BB132&gt;15,BB132-15,0)*2+IF(BB132&gt;16,BB132-16,0)*2+IF(BB132&gt;17,BB132-17,0)*2+IF(BB132&gt;18,BB132-18,0)*2+IF(BB132&gt;19,BB132-19,0)*2+IF(BB132&gt;20,BB132-20,0)*2</f>
        <v>2</v>
      </c>
      <c r="BF132" s="243">
        <f t="shared" si="1155"/>
        <v>173.5384615384616</v>
      </c>
      <c r="BG132" s="218">
        <f t="shared" si="1156"/>
        <v>0</v>
      </c>
      <c r="BI132" s="303" t="s">
        <v>356</v>
      </c>
      <c r="BJ132" s="218" t="s">
        <v>438</v>
      </c>
      <c r="BK132" s="243" t="s">
        <v>132</v>
      </c>
      <c r="BL132" s="237"/>
      <c r="BM132" s="234">
        <f>Konvention_1slave-KLslave_KL</f>
        <v>11</v>
      </c>
      <c r="BN132" s="234"/>
      <c r="BO132" s="234">
        <f>Konvention_1slave-CHslave</f>
        <v>12</v>
      </c>
      <c r="BP132" s="234"/>
      <c r="BQ132" s="234"/>
      <c r="BR132" s="234"/>
      <c r="BS132" s="224">
        <f>Konvention_1slave-KKslave</f>
        <v>12</v>
      </c>
      <c r="BT132" s="223">
        <f t="shared" si="1157"/>
        <v>11.666666666666666</v>
      </c>
      <c r="BU132" s="223">
        <f t="shared" si="1158"/>
        <v>23.333333333333332</v>
      </c>
      <c r="BV132" s="224">
        <f t="shared" si="1159"/>
        <v>35</v>
      </c>
      <c r="BW132" s="237">
        <f t="shared" si="1113"/>
        <v>2432</v>
      </c>
      <c r="BX132" s="234">
        <f>BM132*BO132*KKslave+BM132*CHslave*BS132+KLslave_KL*BO132*BS132</f>
        <v>3408</v>
      </c>
      <c r="BY132" s="224">
        <f t="shared" si="1160"/>
        <v>1584</v>
      </c>
      <c r="BZ132" s="224">
        <f t="shared" si="1114"/>
        <v>7424</v>
      </c>
      <c r="CA132" s="222">
        <f t="shared" si="1161"/>
        <v>3.8218390804597702</v>
      </c>
      <c r="CB132" s="223">
        <f t="shared" si="1162"/>
        <v>10.711206896551724</v>
      </c>
      <c r="CC132" s="243">
        <f t="shared" si="1163"/>
        <v>7.4676724137931032</v>
      </c>
      <c r="CD132" s="243">
        <f t="shared" si="1164"/>
        <v>22.000718390804597</v>
      </c>
      <c r="CE132" s="252">
        <f t="shared" si="1115"/>
        <v>0</v>
      </c>
      <c r="CF132" s="309">
        <f t="shared" si="1165"/>
        <v>22.000718390804597</v>
      </c>
      <c r="CG132" s="218">
        <f>IF(CD132&lt;=0,2,0)+IF(CD132&gt;0,CD132+1,0)*2+IF(CD132&gt;12,CD132-12,0)*2+IF(CD132&gt;13,CD132-13,0)*2+IF(CD132&gt;14,CD132-14,0)*2+IF(CD132&gt;15,CD132-15,0)*2+IF(CD132&gt;16,CD132-16,0)*2+IF(CD132&gt;17,CD132-17,0)*2+IF(CD132&gt;18,CD132-18,0)*2+IF(CD132&gt;19,CD132-19,0)*2+IF(CD132&gt;20,CD132-20,0)*2</f>
        <v>154.01436781609189</v>
      </c>
      <c r="CH132" s="242">
        <f>IF(CE132&lt;=0,2,0)+IF(CE132&gt;0,CE132+1,0)*2+IF(CE132&gt;12,CE132-12,0)*2+IF(CE132&gt;13,CE132-13,0)*2+IF(CE132&gt;14,CE132-14,0)*2+IF(CE132&gt;15,CE132-15,0)*2+IF(CE132&gt;16,CE132-16,0)*2+IF(CE132&gt;17,CE132-17,0)*2+IF(CE132&gt;18,CE132-18,0)*2+IF(CE132&gt;19,CE132-19,0)*2+IF(CE132&gt;20,CE132-20,0)*2</f>
        <v>2</v>
      </c>
      <c r="CI132" s="243">
        <f t="shared" si="1166"/>
        <v>152.01436781609189</v>
      </c>
      <c r="CJ132" s="218">
        <f t="shared" si="1167"/>
        <v>0</v>
      </c>
      <c r="CL132" s="303" t="s">
        <v>356</v>
      </c>
      <c r="CM132" s="218" t="s">
        <v>438</v>
      </c>
      <c r="CN132" s="243" t="s">
        <v>132</v>
      </c>
      <c r="CO132" s="237"/>
      <c r="CP132" s="234">
        <f>Konvention_1slave-KLslave</f>
        <v>12</v>
      </c>
      <c r="CQ132" s="234"/>
      <c r="CR132" s="234">
        <f>Konvention_1slave-CHslave</f>
        <v>12</v>
      </c>
      <c r="CS132" s="234"/>
      <c r="CT132" s="234"/>
      <c r="CU132" s="234"/>
      <c r="CV132" s="224">
        <f>Konvention_1slave-KKslave</f>
        <v>12</v>
      </c>
      <c r="CW132" s="223">
        <f t="shared" si="1168"/>
        <v>12</v>
      </c>
      <c r="CX132" s="223">
        <f t="shared" si="1169"/>
        <v>24</v>
      </c>
      <c r="CY132" s="224">
        <f t="shared" si="1170"/>
        <v>36</v>
      </c>
      <c r="CZ132" s="237">
        <f t="shared" si="1116"/>
        <v>2304</v>
      </c>
      <c r="DA132" s="234">
        <f>CP132*CR132*KKslave+CP132*CHslave*CV132+KLslave*CR132*CV132</f>
        <v>3456</v>
      </c>
      <c r="DB132" s="224">
        <f t="shared" si="1171"/>
        <v>1728</v>
      </c>
      <c r="DC132" s="224">
        <f t="shared" si="1117"/>
        <v>7488</v>
      </c>
      <c r="DD132" s="222">
        <f t="shared" si="1172"/>
        <v>3.6923076923076925</v>
      </c>
      <c r="DE132" s="223">
        <f t="shared" si="1173"/>
        <v>11.076923076923077</v>
      </c>
      <c r="DF132" s="243">
        <f t="shared" si="1174"/>
        <v>8.3076923076923084</v>
      </c>
      <c r="DG132" s="243">
        <f t="shared" si="1175"/>
        <v>23.07692307692308</v>
      </c>
      <c r="DH132" s="252">
        <f t="shared" si="1118"/>
        <v>0</v>
      </c>
      <c r="DI132" s="309">
        <f t="shared" si="1176"/>
        <v>23.07692307692308</v>
      </c>
      <c r="DJ132" s="218">
        <f>IF(DG132&lt;=0,2,0)+IF(DG132&gt;0,DG132+1,0)*2+IF(DG132&gt;12,DG132-12,0)*2+IF(DG132&gt;13,DG132-13,0)*2+IF(DG132&gt;14,DG132-14,0)*2+IF(DG132&gt;15,DG132-15,0)*2+IF(DG132&gt;16,DG132-16,0)*2+IF(DG132&gt;17,DG132-17,0)*2+IF(DG132&gt;18,DG132-18,0)*2+IF(DG132&gt;19,DG132-19,0)*2+IF(DG132&gt;20,DG132-20,0)*2</f>
        <v>175.5384615384616</v>
      </c>
      <c r="DK132" s="242">
        <f>IF(DH132&lt;=0,2,0)+IF(DH132&gt;0,DH132+1,0)*2+IF(DH132&gt;12,DH132-12,0)*2+IF(DH132&gt;13,DH132-13,0)*2+IF(DH132&gt;14,DH132-14,0)*2+IF(DH132&gt;15,DH132-15,0)*2+IF(DH132&gt;16,DH132-16,0)*2+IF(DH132&gt;17,DH132-17,0)*2+IF(DH132&gt;18,DH132-18,0)*2+IF(DH132&gt;19,DH132-19,0)*2+IF(DH132&gt;20,DH132-20,0)*2</f>
        <v>2</v>
      </c>
      <c r="DL132" s="243">
        <f t="shared" si="1177"/>
        <v>173.5384615384616</v>
      </c>
      <c r="DM132" s="218">
        <f t="shared" si="1178"/>
        <v>0</v>
      </c>
      <c r="DO132" s="303" t="s">
        <v>356</v>
      </c>
      <c r="DP132" s="218" t="s">
        <v>438</v>
      </c>
      <c r="DQ132" s="243" t="s">
        <v>132</v>
      </c>
      <c r="DR132" s="237"/>
      <c r="DS132" s="234">
        <f>Konvention_1slave-KLslave</f>
        <v>12</v>
      </c>
      <c r="DT132" s="234"/>
      <c r="DU132" s="234">
        <f>Konvention_1slave-CHslave_CH</f>
        <v>11</v>
      </c>
      <c r="DV132" s="234"/>
      <c r="DW132" s="234"/>
      <c r="DX132" s="234"/>
      <c r="DY132" s="224">
        <f>Konvention_1slave-KKslave</f>
        <v>12</v>
      </c>
      <c r="DZ132" s="223">
        <f t="shared" si="1179"/>
        <v>11.666666666666666</v>
      </c>
      <c r="EA132" s="223">
        <f t="shared" si="1180"/>
        <v>23.333333333333332</v>
      </c>
      <c r="EB132" s="224">
        <f t="shared" si="1181"/>
        <v>35</v>
      </c>
      <c r="EC132" s="237">
        <f t="shared" si="1119"/>
        <v>2432</v>
      </c>
      <c r="ED132" s="234">
        <f>DS132*DU132*KKslave+DS132*CHslave_CH*DY132+KLslave*DU132*DY132</f>
        <v>3408</v>
      </c>
      <c r="EE132" s="224">
        <f t="shared" si="1182"/>
        <v>1584</v>
      </c>
      <c r="EF132" s="224">
        <f t="shared" si="1120"/>
        <v>7424</v>
      </c>
      <c r="EG132" s="222">
        <f t="shared" si="1183"/>
        <v>3.8218390804597702</v>
      </c>
      <c r="EH132" s="223">
        <f t="shared" si="1184"/>
        <v>10.711206896551724</v>
      </c>
      <c r="EI132" s="243">
        <f t="shared" si="1185"/>
        <v>7.4676724137931032</v>
      </c>
      <c r="EJ132" s="243">
        <f t="shared" si="1186"/>
        <v>22.000718390804597</v>
      </c>
      <c r="EK132" s="252">
        <f t="shared" si="1121"/>
        <v>0</v>
      </c>
      <c r="EL132" s="309">
        <f t="shared" si="1187"/>
        <v>22.000718390804597</v>
      </c>
      <c r="EM132" s="218">
        <f>IF(EJ132&lt;=0,2,0)+IF(EJ132&gt;0,EJ132+1,0)*2+IF(EJ132&gt;12,EJ132-12,0)*2+IF(EJ132&gt;13,EJ132-13,0)*2+IF(EJ132&gt;14,EJ132-14,0)*2+IF(EJ132&gt;15,EJ132-15,0)*2+IF(EJ132&gt;16,EJ132-16,0)*2+IF(EJ132&gt;17,EJ132-17,0)*2+IF(EJ132&gt;18,EJ132-18,0)*2+IF(EJ132&gt;19,EJ132-19,0)*2+IF(EJ132&gt;20,EJ132-20,0)*2</f>
        <v>154.01436781609189</v>
      </c>
      <c r="EN132" s="242">
        <f>IF(EK132&lt;=0,2,0)+IF(EK132&gt;0,EK132+1,0)*2+IF(EK132&gt;12,EK132-12,0)*2+IF(EK132&gt;13,EK132-13,0)*2+IF(EK132&gt;14,EK132-14,0)*2+IF(EK132&gt;15,EK132-15,0)*2+IF(EK132&gt;16,EK132-16,0)*2+IF(EK132&gt;17,EK132-17,0)*2+IF(EK132&gt;18,EK132-18,0)*2+IF(EK132&gt;19,EK132-19,0)*2+IF(EK132&gt;20,EK132-20,0)*2</f>
        <v>2</v>
      </c>
      <c r="EO132" s="243">
        <f t="shared" si="1188"/>
        <v>152.01436781609189</v>
      </c>
      <c r="EP132" s="218">
        <f t="shared" si="1189"/>
        <v>0</v>
      </c>
      <c r="ER132" s="303" t="s">
        <v>356</v>
      </c>
      <c r="ES132" s="218" t="s">
        <v>438</v>
      </c>
      <c r="ET132" s="243" t="s">
        <v>132</v>
      </c>
      <c r="EU132" s="237"/>
      <c r="EV132" s="234">
        <f>Konvention_1slave-KLslave</f>
        <v>12</v>
      </c>
      <c r="EW132" s="234"/>
      <c r="EX132" s="234">
        <f>Konvention_1slave-CHslave</f>
        <v>12</v>
      </c>
      <c r="EY132" s="234"/>
      <c r="EZ132" s="234"/>
      <c r="FA132" s="234"/>
      <c r="FB132" s="224">
        <f>Konvention_1slave-KKslave</f>
        <v>12</v>
      </c>
      <c r="FC132" s="223">
        <f t="shared" si="1190"/>
        <v>12</v>
      </c>
      <c r="FD132" s="223">
        <f t="shared" si="1191"/>
        <v>24</v>
      </c>
      <c r="FE132" s="224">
        <f t="shared" si="1192"/>
        <v>36</v>
      </c>
      <c r="FF132" s="237">
        <f t="shared" si="1122"/>
        <v>2304</v>
      </c>
      <c r="FG132" s="234">
        <f>EV132*EX132*KKslave+EV132*CHslave*FB132+KLslave*EX132*FB132</f>
        <v>3456</v>
      </c>
      <c r="FH132" s="224">
        <f t="shared" si="1193"/>
        <v>1728</v>
      </c>
      <c r="FI132" s="224">
        <f t="shared" si="1123"/>
        <v>7488</v>
      </c>
      <c r="FJ132" s="222">
        <f t="shared" si="1194"/>
        <v>3.6923076923076925</v>
      </c>
      <c r="FK132" s="223">
        <f t="shared" si="1195"/>
        <v>11.076923076923077</v>
      </c>
      <c r="FL132" s="243">
        <f t="shared" si="1196"/>
        <v>8.3076923076923084</v>
      </c>
      <c r="FM132" s="243">
        <f t="shared" si="1197"/>
        <v>23.07692307692308</v>
      </c>
      <c r="FN132" s="252">
        <f t="shared" si="1124"/>
        <v>0</v>
      </c>
      <c r="FO132" s="309">
        <f t="shared" si="1198"/>
        <v>23.07692307692308</v>
      </c>
      <c r="FP132" s="218">
        <f>IF(FM132&lt;=0,2,0)+IF(FM132&gt;0,FM132+1,0)*2+IF(FM132&gt;12,FM132-12,0)*2+IF(FM132&gt;13,FM132-13,0)*2+IF(FM132&gt;14,FM132-14,0)*2+IF(FM132&gt;15,FM132-15,0)*2+IF(FM132&gt;16,FM132-16,0)*2+IF(FM132&gt;17,FM132-17,0)*2+IF(FM132&gt;18,FM132-18,0)*2+IF(FM132&gt;19,FM132-19,0)*2+IF(FM132&gt;20,FM132-20,0)*2</f>
        <v>175.5384615384616</v>
      </c>
      <c r="FQ132" s="242">
        <f>IF(FN132&lt;=0,2,0)+IF(FN132&gt;0,FN132+1,0)*2+IF(FN132&gt;12,FN132-12,0)*2+IF(FN132&gt;13,FN132-13,0)*2+IF(FN132&gt;14,FN132-14,0)*2+IF(FN132&gt;15,FN132-15,0)*2+IF(FN132&gt;16,FN132-16,0)*2+IF(FN132&gt;17,FN132-17,0)*2+IF(FN132&gt;18,FN132-18,0)*2+IF(FN132&gt;19,FN132-19,0)*2+IF(FN132&gt;20,FN132-20,0)*2</f>
        <v>2</v>
      </c>
      <c r="FR132" s="243">
        <f t="shared" si="1199"/>
        <v>173.5384615384616</v>
      </c>
      <c r="FS132" s="218">
        <f t="shared" si="1200"/>
        <v>0</v>
      </c>
      <c r="FU132" s="303" t="s">
        <v>356</v>
      </c>
      <c r="FV132" s="218" t="s">
        <v>438</v>
      </c>
      <c r="FW132" s="243" t="s">
        <v>132</v>
      </c>
      <c r="FX132" s="237"/>
      <c r="FY132" s="234">
        <f>Konvention_1slave-KLslave</f>
        <v>12</v>
      </c>
      <c r="FZ132" s="234"/>
      <c r="GA132" s="234">
        <f>Konvention_1slave-CHslave</f>
        <v>12</v>
      </c>
      <c r="GB132" s="234"/>
      <c r="GC132" s="234"/>
      <c r="GD132" s="234"/>
      <c r="GE132" s="224">
        <f>Konvention_1slave-KKslave</f>
        <v>12</v>
      </c>
      <c r="GF132" s="223">
        <f t="shared" si="1201"/>
        <v>12</v>
      </c>
      <c r="GG132" s="223">
        <f t="shared" si="1202"/>
        <v>24</v>
      </c>
      <c r="GH132" s="224">
        <f t="shared" si="1203"/>
        <v>36</v>
      </c>
      <c r="GI132" s="237">
        <f t="shared" si="1125"/>
        <v>2304</v>
      </c>
      <c r="GJ132" s="234">
        <f>FY132*GA132*KKslave+FY132*CHslave*GE132+KLslave*GA132*GE132</f>
        <v>3456</v>
      </c>
      <c r="GK132" s="224">
        <f t="shared" si="1204"/>
        <v>1728</v>
      </c>
      <c r="GL132" s="224">
        <f t="shared" si="1126"/>
        <v>7488</v>
      </c>
      <c r="GM132" s="222">
        <f t="shared" si="1205"/>
        <v>3.6923076923076925</v>
      </c>
      <c r="GN132" s="223">
        <f t="shared" si="1206"/>
        <v>11.076923076923077</v>
      </c>
      <c r="GO132" s="243">
        <f t="shared" si="1207"/>
        <v>8.3076923076923084</v>
      </c>
      <c r="GP132" s="243">
        <f t="shared" si="1208"/>
        <v>23.07692307692308</v>
      </c>
      <c r="GQ132" s="252">
        <f t="shared" si="1127"/>
        <v>0</v>
      </c>
      <c r="GR132" s="309">
        <f t="shared" si="1209"/>
        <v>23.07692307692308</v>
      </c>
      <c r="GS132" s="218">
        <f>IF(GP132&lt;=0,2,0)+IF(GP132&gt;0,GP132+1,0)*2+IF(GP132&gt;12,GP132-12,0)*2+IF(GP132&gt;13,GP132-13,0)*2+IF(GP132&gt;14,GP132-14,0)*2+IF(GP132&gt;15,GP132-15,0)*2+IF(GP132&gt;16,GP132-16,0)*2+IF(GP132&gt;17,GP132-17,0)*2+IF(GP132&gt;18,GP132-18,0)*2+IF(GP132&gt;19,GP132-19,0)*2+IF(GP132&gt;20,GP132-20,0)*2</f>
        <v>175.5384615384616</v>
      </c>
      <c r="GT132" s="242">
        <f>IF(GQ132&lt;=0,2,0)+IF(GQ132&gt;0,GQ132+1,0)*2+IF(GQ132&gt;12,GQ132-12,0)*2+IF(GQ132&gt;13,GQ132-13,0)*2+IF(GQ132&gt;14,GQ132-14,0)*2+IF(GQ132&gt;15,GQ132-15,0)*2+IF(GQ132&gt;16,GQ132-16,0)*2+IF(GQ132&gt;17,GQ132-17,0)*2+IF(GQ132&gt;18,GQ132-18,0)*2+IF(GQ132&gt;19,GQ132-19,0)*2+IF(GQ132&gt;20,GQ132-20,0)*2</f>
        <v>2</v>
      </c>
      <c r="GU132" s="243">
        <f t="shared" si="1210"/>
        <v>173.5384615384616</v>
      </c>
      <c r="GV132" s="218">
        <f t="shared" si="1211"/>
        <v>0</v>
      </c>
      <c r="GX132" s="303" t="s">
        <v>356</v>
      </c>
      <c r="GY132" s="218" t="s">
        <v>438</v>
      </c>
      <c r="GZ132" s="243" t="s">
        <v>132</v>
      </c>
      <c r="HA132" s="237"/>
      <c r="HB132" s="234">
        <f>Konvention_1slave-KLslave</f>
        <v>12</v>
      </c>
      <c r="HC132" s="234"/>
      <c r="HD132" s="234">
        <f>Konvention_1slave-CHslave</f>
        <v>12</v>
      </c>
      <c r="HE132" s="234"/>
      <c r="HF132" s="234"/>
      <c r="HG132" s="234"/>
      <c r="HH132" s="224">
        <f>Konvention_1slave-KKslave</f>
        <v>12</v>
      </c>
      <c r="HI132" s="223">
        <f t="shared" si="1212"/>
        <v>12</v>
      </c>
      <c r="HJ132" s="223">
        <f t="shared" si="1213"/>
        <v>24</v>
      </c>
      <c r="HK132" s="224">
        <f t="shared" si="1214"/>
        <v>36</v>
      </c>
      <c r="HL132" s="237">
        <f t="shared" si="1128"/>
        <v>2304</v>
      </c>
      <c r="HM132" s="234">
        <f>HB132*HD132*KKslave+HB132*CHslave*HH132+KLslave*HD132*HH132</f>
        <v>3456</v>
      </c>
      <c r="HN132" s="224">
        <f t="shared" si="1215"/>
        <v>1728</v>
      </c>
      <c r="HO132" s="224">
        <f t="shared" si="1129"/>
        <v>7488</v>
      </c>
      <c r="HP132" s="222">
        <f t="shared" si="1216"/>
        <v>3.6923076923076925</v>
      </c>
      <c r="HQ132" s="223">
        <f t="shared" si="1217"/>
        <v>11.076923076923077</v>
      </c>
      <c r="HR132" s="243">
        <f t="shared" si="1218"/>
        <v>8.3076923076923084</v>
      </c>
      <c r="HS132" s="243">
        <f t="shared" si="1219"/>
        <v>23.07692307692308</v>
      </c>
      <c r="HT132" s="252">
        <f t="shared" si="1130"/>
        <v>0</v>
      </c>
      <c r="HU132" s="309">
        <f t="shared" si="1220"/>
        <v>23.07692307692308</v>
      </c>
      <c r="HV132" s="218">
        <f>IF(HS132&lt;=0,2,0)+IF(HS132&gt;0,HS132+1,0)*2+IF(HS132&gt;12,HS132-12,0)*2+IF(HS132&gt;13,HS132-13,0)*2+IF(HS132&gt;14,HS132-14,0)*2+IF(HS132&gt;15,HS132-15,0)*2+IF(HS132&gt;16,HS132-16,0)*2+IF(HS132&gt;17,HS132-17,0)*2+IF(HS132&gt;18,HS132-18,0)*2+IF(HS132&gt;19,HS132-19,0)*2+IF(HS132&gt;20,HS132-20,0)*2</f>
        <v>175.5384615384616</v>
      </c>
      <c r="HW132" s="242">
        <f>IF(HT132&lt;=0,2,0)+IF(HT132&gt;0,HT132+1,0)*2+IF(HT132&gt;12,HT132-12,0)*2+IF(HT132&gt;13,HT132-13,0)*2+IF(HT132&gt;14,HT132-14,0)*2+IF(HT132&gt;15,HT132-15,0)*2+IF(HT132&gt;16,HT132-16,0)*2+IF(HT132&gt;17,HT132-17,0)*2+IF(HT132&gt;18,HT132-18,0)*2+IF(HT132&gt;19,HT132-19,0)*2+IF(HT132&gt;20,HT132-20,0)*2</f>
        <v>2</v>
      </c>
      <c r="HX132" s="243">
        <f t="shared" si="1221"/>
        <v>173.5384615384616</v>
      </c>
      <c r="HY132" s="218">
        <f t="shared" si="1222"/>
        <v>0</v>
      </c>
      <c r="IA132" s="303" t="s">
        <v>356</v>
      </c>
      <c r="IB132" s="218" t="s">
        <v>438</v>
      </c>
      <c r="IC132" s="243" t="s">
        <v>132</v>
      </c>
      <c r="ID132" s="237"/>
      <c r="IE132" s="234">
        <f>Konvention_1slave-KLslave</f>
        <v>12</v>
      </c>
      <c r="IF132" s="234"/>
      <c r="IG132" s="234">
        <f>Konvention_1slave-CHslave</f>
        <v>12</v>
      </c>
      <c r="IH132" s="234"/>
      <c r="II132" s="234"/>
      <c r="IJ132" s="234"/>
      <c r="IK132" s="224">
        <f>Konvention_1slave-KKslave_KK</f>
        <v>11</v>
      </c>
      <c r="IL132" s="223">
        <f t="shared" si="1223"/>
        <v>11.666666666666666</v>
      </c>
      <c r="IM132" s="223">
        <f t="shared" si="1224"/>
        <v>23.333333333333332</v>
      </c>
      <c r="IN132" s="224">
        <f t="shared" si="1225"/>
        <v>35</v>
      </c>
      <c r="IO132" s="237">
        <f t="shared" si="1131"/>
        <v>2432</v>
      </c>
      <c r="IP132" s="234">
        <f>IE132*IG132*KKslave_KK+IE132*CHslave*IK132+KLslave*IG132*IK132</f>
        <v>3408</v>
      </c>
      <c r="IQ132" s="224">
        <f t="shared" si="1226"/>
        <v>1584</v>
      </c>
      <c r="IR132" s="224">
        <f t="shared" si="1132"/>
        <v>7424</v>
      </c>
      <c r="IS132" s="222">
        <f t="shared" si="1227"/>
        <v>3.8218390804597702</v>
      </c>
      <c r="IT132" s="223">
        <f t="shared" si="1228"/>
        <v>10.711206896551724</v>
      </c>
      <c r="IU132" s="243">
        <f t="shared" si="1229"/>
        <v>7.4676724137931032</v>
      </c>
      <c r="IV132" s="243">
        <f t="shared" si="1230"/>
        <v>22.000718390804597</v>
      </c>
      <c r="IW132" s="252">
        <f t="shared" si="1133"/>
        <v>0</v>
      </c>
      <c r="IX132" s="309">
        <f t="shared" si="1231"/>
        <v>22.000718390804597</v>
      </c>
      <c r="IY132" s="218">
        <f>IF(IV132&lt;=0,2,0)+IF(IV132&gt;0,IV132+1,0)*2+IF(IV132&gt;12,IV132-12,0)*2+IF(IV132&gt;13,IV132-13,0)*2+IF(IV132&gt;14,IV132-14,0)*2+IF(IV132&gt;15,IV132-15,0)*2+IF(IV132&gt;16,IV132-16,0)*2+IF(IV132&gt;17,IV132-17,0)*2+IF(IV132&gt;18,IV132-18,0)*2+IF(IV132&gt;19,IV132-19,0)*2+IF(IV132&gt;20,IV132-20,0)*2</f>
        <v>154.01436781609189</v>
      </c>
      <c r="IZ132" s="242">
        <f>IF(IW132&lt;=0,2,0)+IF(IW132&gt;0,IW132+1,0)*2+IF(IW132&gt;12,IW132-12,0)*2+IF(IW132&gt;13,IW132-13,0)*2+IF(IW132&gt;14,IW132-14,0)*2+IF(IW132&gt;15,IW132-15,0)*2+IF(IW132&gt;16,IW132-16,0)*2+IF(IW132&gt;17,IW132-17,0)*2+IF(IW132&gt;18,IW132-18,0)*2+IF(IW132&gt;19,IW132-19,0)*2+IF(IW132&gt;20,IW132-20,0)*2</f>
        <v>2</v>
      </c>
      <c r="JA132" s="243">
        <f t="shared" si="1232"/>
        <v>152.01436781609189</v>
      </c>
      <c r="JB132" s="218">
        <f t="shared" si="1233"/>
        <v>0</v>
      </c>
      <c r="JE132" s="148"/>
    </row>
    <row r="133" spans="2:265" hidden="1" outlineLevel="2">
      <c r="B133" s="148">
        <v>6</v>
      </c>
      <c r="C133" s="303" t="e">
        <f>VLOOKUP(AF133,Attribute!C:T,1,FALSE)</f>
        <v>#N/A</v>
      </c>
      <c r="D133" s="86" t="s">
        <v>87</v>
      </c>
      <c r="E133" s="127" t="s">
        <v>133</v>
      </c>
      <c r="F133" s="114"/>
      <c r="G133" s="113">
        <f>Konvention_1master-KLmaster</f>
        <v>12</v>
      </c>
      <c r="H133" s="113">
        <f t="shared" ref="H133:H141" si="1234">Konvention_1master-INmaster</f>
        <v>12</v>
      </c>
      <c r="I133" s="113">
        <f>Konvention_1master-CHmaster</f>
        <v>12</v>
      </c>
      <c r="J133" s="113"/>
      <c r="K133" s="113"/>
      <c r="L133" s="113"/>
      <c r="M133" s="119"/>
      <c r="N133" s="223">
        <f>(F133+G133+H133+I133+J133+K133+L133+M133)/3</f>
        <v>12</v>
      </c>
      <c r="O133" s="223">
        <f>2*N133</f>
        <v>24</v>
      </c>
      <c r="P133" s="224">
        <f>3*N133</f>
        <v>36</v>
      </c>
      <c r="Q133" s="237">
        <f>F133*POWER(KLmaster,SIGN(G133))*POWER(INmaster,SIGN(H133))*POWER(CHmaster,SIGN(I133))*POWER(FFmaster,SIGN(J133))*POWER(GEmaster,SIGN(K133))*POWER(KOmaster,SIGN(L133))*POWER(KKmaster,SIGN(M133))+G133*POWER(MUmaster,SIGN(F133))*POWER(INmaster,SIGN(H133))*POWER(CHmaster,SIGN(I133))*POWER(FFmaster,SIGN(J133))*POWER(GEmaster,SIGN(K133))*POWER(KOmaster,SIGN(L133))*POWER(KKmaster,SIGN(M133))+H133*POWER(MUmaster,SIGN(F133))*POWER(KLmaster,SIGN(G133))*POWER(CHmaster,SIGN(I133))*POWER(FFmaster,SIGN(J133))*POWER(GEmaster,SIGN(K133))*POWER(KOmaster,SIGN(L133))*POWER(KKmaster,SIGN(M133))+I133*POWER(MUmaster,SIGN(F133))*POWER(KLmaster,SIGN(G133))*POWER(INmaster,SIGN(H133))*POWER(FFmaster,SIGN(J133))*POWER(GEmaster,SIGN(K133))*POWER(KOmaster,SIGN(L133))*POWER(KKmaster,SIGN(M133))+J133*POWER(MUmaster,SIGN(F133))*POWER(KLmaster,SIGN(G133))*POWER(INmaster,SIGN(H133))*POWER(CHmaster,SIGN(I133))*POWER(GEmaster,SIGN(K133))*POWER(KOmaster,SIGN(L133))*POWER(KKmaster,SIGN(M133))+K133*POWER(MUmaster,SIGN(F133))*POWER(KLmaster,SIGN(G133))*POWER(INmaster,SIGN(H133))*POWER(CHmaster,SIGN(I133))*POWER(FFmaster,SIGN(J133))*POWER(KOmaster,SIGN(L133))*POWER(KKmaster,SIGN(M133))+L133*POWER(MUmaster,SIGN(F133))*POWER(KLmaster,SIGN(G133))*POWER(INmaster,SIGN(H133))*POWER(CHmaster,SIGN(I133))*POWER(FFmaster,SIGN(J133))*POWER(GEmaster,SIGN(K133))*POWER(KKmaster,SIGN(M133))+M133*POWER(MUmaster,SIGN(F133))*POWER(KLmaster,SIGN(G133))*POWER(INmaster,SIGN(H133))*POWER(CHmaster,SIGN(I133))*POWER(FFmaster,SIGN(J133))*POWER(GEmaster,SIGN(K133))*POWER(KOmaster,SIGN(L133))</f>
        <v>2304</v>
      </c>
      <c r="R133" s="113">
        <f>G133*H133*CHmaster+G133*INmaster*I133+KLmaster*H133*I133</f>
        <v>3456</v>
      </c>
      <c r="S133" s="224">
        <f>IFERROR(F133^SIGN(F133),1)*IFERROR(G133^SIGN(G133),1)*IFERROR(H133^SIGN(H133),1)*IFERROR(I133^SIGN(I133),1)*IFERROR(J133^SIGN(J133),1)*IFERROR(K133^SIGN(K133),1)*IFERROR(L133^SIGN(L133),1)*IFERROR(M133^SIGN(M133),1)</f>
        <v>1728</v>
      </c>
      <c r="T133" s="224">
        <f t="shared" si="1109"/>
        <v>7488</v>
      </c>
      <c r="U133" s="222">
        <f>N133*Q133/T133</f>
        <v>3.6923076923076925</v>
      </c>
      <c r="V133" s="223">
        <f>O133*R133/T133</f>
        <v>11.076923076923077</v>
      </c>
      <c r="W133" s="243">
        <f>P133*S133/T133</f>
        <v>8.3076923076923084</v>
      </c>
      <c r="X133" s="243">
        <f>SUM(U133:W133)</f>
        <v>23.07692307692308</v>
      </c>
      <c r="Y133" s="252">
        <v>0</v>
      </c>
      <c r="Z133" s="198">
        <f>X133-Y133</f>
        <v>23.07692307692308</v>
      </c>
      <c r="AA133" s="125">
        <f>IF(X133&lt;=0,1,0)+IF(X133&gt;0,X133+1,0)*1+IF(X133&gt;12,X133-12,0)*1+IF(X133&gt;13,X133-13,0)*1+IF(X133&gt;14,X133-14,0)*1+IF(X133&gt;15,X133-15,0)*1+IF(X133&gt;16,X133-16,0)*1+IF(X133&gt;17,X133-17,0)*1+IF(X133&gt;18,X133-18,0)*1+IF(X133&gt;19,X133-19,0)*1+IF(X133&gt;20,X133-20,0)*1</f>
        <v>87.769230769230802</v>
      </c>
      <c r="AB133" s="160">
        <f>IF(Y133&lt;=0,1,0)+IF(Y133&gt;0,Y133+1,0)*1+IF(Y133&gt;12,Y133-12,0)*1+IF(Y133&gt;13,Y133-13,0)*1+IF(Y133&gt;14,Y133-14,0)*1+IF(Y133&gt;15,Y133-15,0)*1+IF(Y133&gt;16,Y133-16,0)*1+IF(Y133&gt;17,Y133-17,0)*1+IF(Y133&gt;18,Y133-18,0)*1+IF(Y133&gt;19,Y133-19,0)*1+IF(Y133&gt;20,Y133-20,0)*1</f>
        <v>1</v>
      </c>
      <c r="AC133" s="127">
        <f>IF((AA133-AB133)&gt;0,AA133-AB133,0)</f>
        <v>86.769230769230802</v>
      </c>
      <c r="AD133" s="125">
        <f>IF((AB133-AA133)&gt;0,AB133-AA133,0)</f>
        <v>0</v>
      </c>
      <c r="AF133" s="163" t="s">
        <v>369</v>
      </c>
      <c r="AG133" s="125" t="s">
        <v>87</v>
      </c>
      <c r="AH133" s="127" t="s">
        <v>133</v>
      </c>
      <c r="AI133" s="114"/>
      <c r="AJ133" s="113">
        <f>Konvention_1slave-KLslave</f>
        <v>12</v>
      </c>
      <c r="AK133" s="113">
        <f t="shared" ref="AK133:AK141" si="1235">Konvention_1slave-INslave</f>
        <v>12</v>
      </c>
      <c r="AL133" s="113">
        <f>Konvention_1slave-CHslave</f>
        <v>12</v>
      </c>
      <c r="AM133" s="113"/>
      <c r="AN133" s="113"/>
      <c r="AO133" s="113"/>
      <c r="AP133" s="119"/>
      <c r="AQ133" s="47">
        <f>(AI133+AJ133+AK133+AL133+AM133+AN133+AO133+AP133)/3</f>
        <v>12</v>
      </c>
      <c r="AR133" s="47">
        <f>2*AQ133</f>
        <v>24</v>
      </c>
      <c r="AS133" s="119">
        <f>3*AQ133</f>
        <v>36</v>
      </c>
      <c r="AT133" s="114">
        <f t="shared" si="1110"/>
        <v>2304</v>
      </c>
      <c r="AU133" s="113">
        <f>AJ133*AK133*CHslave+AJ133*INslave*AL133+KLslave*AK133*AL133</f>
        <v>3456</v>
      </c>
      <c r="AV133" s="119">
        <f>IFERROR(AI133^SIGN(AI133),1)*IFERROR(AJ133^SIGN(AJ133),1)*IFERROR(AK133^SIGN(AK133),1)*IFERROR(AL133^SIGN(AL133),1)*IFERROR(AM133^SIGN(AM133),1)*IFERROR(AN133^SIGN(AN133),1)*IFERROR(AO133^SIGN(AO133),1)*IFERROR(AP133^SIGN(AP133),1)</f>
        <v>1728</v>
      </c>
      <c r="AW133" s="119">
        <f t="shared" si="1111"/>
        <v>7488</v>
      </c>
      <c r="AX133" s="89">
        <f>AQ133*AT133/AW133</f>
        <v>3.6923076923076925</v>
      </c>
      <c r="AY133" s="47">
        <f>AR133*AU133/AW133</f>
        <v>11.076923076923077</v>
      </c>
      <c r="AZ133" s="127">
        <f>AS133*AV133/AW133</f>
        <v>8.3076923076923084</v>
      </c>
      <c r="BA133" s="127">
        <f>SUM(AX133:AZ133)</f>
        <v>23.07692307692308</v>
      </c>
      <c r="BB133" s="165">
        <f t="shared" si="1112"/>
        <v>0</v>
      </c>
      <c r="BC133" s="198">
        <f>BA133-BB133</f>
        <v>23.07692307692308</v>
      </c>
      <c r="BD133" s="125">
        <f>IF(BA133&lt;=0,1,0)+IF(BA133&gt;0,BA133+1,0)*1+IF(BA133&gt;12,BA133-12,0)*1+IF(BA133&gt;13,BA133-13,0)*1+IF(BA133&gt;14,BA133-14,0)*1+IF(BA133&gt;15,BA133-15,0)*1+IF(BA133&gt;16,BA133-16,0)*1+IF(BA133&gt;17,BA133-17,0)*1+IF(BA133&gt;18,BA133-18,0)*1+IF(BA133&gt;19,BA133-19,0)*1+IF(BA133&gt;20,BA133-20,0)*1</f>
        <v>87.769230769230802</v>
      </c>
      <c r="BE133" s="160">
        <f>IF(BB133&lt;=0,1,0)+IF(BB133&gt;0,BB133+1,0)*1+IF(BB133&gt;12,BB133-12,0)*1+IF(BB133&gt;13,BB133-13,0)*1+IF(BB133&gt;14,BB133-14,0)*1+IF(BB133&gt;15,BB133-15,0)*1+IF(BB133&gt;16,BB133-16,0)*1+IF(BB133&gt;17,BB133-17,0)*1+IF(BB133&gt;18,BB133-18,0)*1+IF(BB133&gt;19,BB133-19,0)*1+IF(BB133&gt;20,BB133-20,0)*1</f>
        <v>1</v>
      </c>
      <c r="BF133" s="243">
        <f>IF((BD133-BE133)&gt;0,BD133-BE133,0)</f>
        <v>86.769230769230802</v>
      </c>
      <c r="BG133" s="218">
        <f>IF((BE133-BD133)&gt;0,BE133-BD133,0)</f>
        <v>0</v>
      </c>
      <c r="BI133" s="303" t="s">
        <v>369</v>
      </c>
      <c r="BJ133" s="218" t="s">
        <v>87</v>
      </c>
      <c r="BK133" s="243" t="s">
        <v>133</v>
      </c>
      <c r="BL133" s="237"/>
      <c r="BM133" s="234">
        <f>Konvention_1slave-KLslave_KL</f>
        <v>11</v>
      </c>
      <c r="BN133" s="234">
        <f>Konvention_1slave-INslave</f>
        <v>12</v>
      </c>
      <c r="BO133" s="234">
        <f>Konvention_1slave-CHslave</f>
        <v>12</v>
      </c>
      <c r="BP133" s="234"/>
      <c r="BQ133" s="234"/>
      <c r="BR133" s="234"/>
      <c r="BS133" s="224"/>
      <c r="BT133" s="223">
        <f>(BL133+BM133+BN133+BO133+BP133+BQ133+BR133+BS133)/3</f>
        <v>11.666666666666666</v>
      </c>
      <c r="BU133" s="223">
        <f>2*BT133</f>
        <v>23.333333333333332</v>
      </c>
      <c r="BV133" s="224">
        <f>3*BT133</f>
        <v>35</v>
      </c>
      <c r="BW133" s="237">
        <f t="shared" si="1113"/>
        <v>2432</v>
      </c>
      <c r="BX133" s="234">
        <f>BM133*BN133*CHslave+BM133*INslave*BO133+KLslave_KL*BN133*BO133</f>
        <v>3408</v>
      </c>
      <c r="BY133" s="224">
        <f>IFERROR(BL133^SIGN(BL133),1)*IFERROR(BM133^SIGN(BM133),1)*IFERROR(BN133^SIGN(BN133),1)*IFERROR(BO133^SIGN(BO133),1)*IFERROR(BP133^SIGN(BP133),1)*IFERROR(BQ133^SIGN(BQ133),1)*IFERROR(BR133^SIGN(BR133),1)*IFERROR(BS133^SIGN(BS133),1)</f>
        <v>1584</v>
      </c>
      <c r="BZ133" s="224">
        <f t="shared" si="1114"/>
        <v>7424</v>
      </c>
      <c r="CA133" s="222">
        <f>BT133*BW133/BZ133</f>
        <v>3.8218390804597702</v>
      </c>
      <c r="CB133" s="223">
        <f>BU133*BX133/BZ133</f>
        <v>10.711206896551724</v>
      </c>
      <c r="CC133" s="243">
        <f>BV133*BY133/BZ133</f>
        <v>7.4676724137931032</v>
      </c>
      <c r="CD133" s="243">
        <f>SUM(CA133:CC133)</f>
        <v>22.000718390804597</v>
      </c>
      <c r="CE133" s="252">
        <f t="shared" si="1115"/>
        <v>0</v>
      </c>
      <c r="CF133" s="309">
        <f>CD133-CE133</f>
        <v>22.000718390804597</v>
      </c>
      <c r="CG133" s="218">
        <f>IF(CD133&lt;=0,1,0)+IF(CD133&gt;0,CD133+1,0)*1+IF(CD133&gt;12,CD133-12,0)*1+IF(CD133&gt;13,CD133-13,0)*1+IF(CD133&gt;14,CD133-14,0)*1+IF(CD133&gt;15,CD133-15,0)*1+IF(CD133&gt;16,CD133-16,0)*1+IF(CD133&gt;17,CD133-17,0)*1+IF(CD133&gt;18,CD133-18,0)*1+IF(CD133&gt;19,CD133-19,0)*1+IF(CD133&gt;20,CD133-20,0)*1</f>
        <v>77.007183908045945</v>
      </c>
      <c r="CH133" s="242">
        <f>IF(CE133&lt;=0,1,0)+IF(CE133&gt;0,CE133+1,0)*1+IF(CE133&gt;12,CE133-12,0)*1+IF(CE133&gt;13,CE133-13,0)*1+IF(CE133&gt;14,CE133-14,0)*1+IF(CE133&gt;15,CE133-15,0)*1+IF(CE133&gt;16,CE133-16,0)*1+IF(CE133&gt;17,CE133-17,0)*1+IF(CE133&gt;18,CE133-18,0)*1+IF(CE133&gt;19,CE133-19,0)*1+IF(CE133&gt;20,CE133-20,0)*1</f>
        <v>1</v>
      </c>
      <c r="CI133" s="243">
        <f>IF((CG133-CH133)&gt;0,CG133-CH133,0)</f>
        <v>76.007183908045945</v>
      </c>
      <c r="CJ133" s="218">
        <f>IF((CH133-CG133)&gt;0,CH133-CG133,0)</f>
        <v>0</v>
      </c>
      <c r="CL133" s="303" t="s">
        <v>369</v>
      </c>
      <c r="CM133" s="218" t="s">
        <v>87</v>
      </c>
      <c r="CN133" s="243" t="s">
        <v>133</v>
      </c>
      <c r="CO133" s="237"/>
      <c r="CP133" s="234">
        <f>Konvention_1slave-KLslave</f>
        <v>12</v>
      </c>
      <c r="CQ133" s="234">
        <f t="shared" ref="CQ133:CQ141" si="1236">Konvention_1slave-INslave_IN</f>
        <v>11</v>
      </c>
      <c r="CR133" s="234">
        <f>Konvention_1slave-CHslave</f>
        <v>12</v>
      </c>
      <c r="CS133" s="234"/>
      <c r="CT133" s="234"/>
      <c r="CU133" s="234"/>
      <c r="CV133" s="224"/>
      <c r="CW133" s="223">
        <f>(CO133+CP133+CQ133+CR133+CS133+CT133+CU133+CV133)/3</f>
        <v>11.666666666666666</v>
      </c>
      <c r="CX133" s="223">
        <f>2*CW133</f>
        <v>23.333333333333332</v>
      </c>
      <c r="CY133" s="224">
        <f>3*CW133</f>
        <v>35</v>
      </c>
      <c r="CZ133" s="237">
        <f t="shared" si="1116"/>
        <v>2432</v>
      </c>
      <c r="DA133" s="234">
        <f>CP133*CQ133*CHslave+CP133*INslave_IN*CR133+KLslave*CQ133*CR133</f>
        <v>3408</v>
      </c>
      <c r="DB133" s="224">
        <f>IFERROR(CO133^SIGN(CO133),1)*IFERROR(CP133^SIGN(CP133),1)*IFERROR(CQ133^SIGN(CQ133),1)*IFERROR(CR133^SIGN(CR133),1)*IFERROR(CS133^SIGN(CS133),1)*IFERROR(CT133^SIGN(CT133),1)*IFERROR(CU133^SIGN(CU133),1)*IFERROR(CV133^SIGN(CV133),1)</f>
        <v>1584</v>
      </c>
      <c r="DC133" s="224">
        <f t="shared" si="1117"/>
        <v>7424</v>
      </c>
      <c r="DD133" s="222">
        <f>CW133*CZ133/DC133</f>
        <v>3.8218390804597702</v>
      </c>
      <c r="DE133" s="223">
        <f>CX133*DA133/DC133</f>
        <v>10.711206896551724</v>
      </c>
      <c r="DF133" s="243">
        <f>CY133*DB133/DC133</f>
        <v>7.4676724137931032</v>
      </c>
      <c r="DG133" s="243">
        <f>SUM(DD133:DF133)</f>
        <v>22.000718390804597</v>
      </c>
      <c r="DH133" s="252">
        <f t="shared" si="1118"/>
        <v>0</v>
      </c>
      <c r="DI133" s="309">
        <f>DG133-DH133</f>
        <v>22.000718390804597</v>
      </c>
      <c r="DJ133" s="218">
        <f>IF(DG133&lt;=0,1,0)+IF(DG133&gt;0,DG133+1,0)*1+IF(DG133&gt;12,DG133-12,0)*1+IF(DG133&gt;13,DG133-13,0)*1+IF(DG133&gt;14,DG133-14,0)*1+IF(DG133&gt;15,DG133-15,0)*1+IF(DG133&gt;16,DG133-16,0)*1+IF(DG133&gt;17,DG133-17,0)*1+IF(DG133&gt;18,DG133-18,0)*1+IF(DG133&gt;19,DG133-19,0)*1+IF(DG133&gt;20,DG133-20,0)*1</f>
        <v>77.007183908045945</v>
      </c>
      <c r="DK133" s="242">
        <f>IF(DH133&lt;=0,1,0)+IF(DH133&gt;0,DH133+1,0)*1+IF(DH133&gt;12,DH133-12,0)*1+IF(DH133&gt;13,DH133-13,0)*1+IF(DH133&gt;14,DH133-14,0)*1+IF(DH133&gt;15,DH133-15,0)*1+IF(DH133&gt;16,DH133-16,0)*1+IF(DH133&gt;17,DH133-17,0)*1+IF(DH133&gt;18,DH133-18,0)*1+IF(DH133&gt;19,DH133-19,0)*1+IF(DH133&gt;20,DH133-20,0)*1</f>
        <v>1</v>
      </c>
      <c r="DL133" s="243">
        <f>IF((DJ133-DK133)&gt;0,DJ133-DK133,0)</f>
        <v>76.007183908045945</v>
      </c>
      <c r="DM133" s="218">
        <f>IF((DK133-DJ133)&gt;0,DK133-DJ133,0)</f>
        <v>0</v>
      </c>
      <c r="DO133" s="303" t="s">
        <v>369</v>
      </c>
      <c r="DP133" s="218" t="s">
        <v>87</v>
      </c>
      <c r="DQ133" s="243" t="s">
        <v>133</v>
      </c>
      <c r="DR133" s="237"/>
      <c r="DS133" s="234">
        <f>Konvention_1slave-KLslave</f>
        <v>12</v>
      </c>
      <c r="DT133" s="234">
        <f>Konvention_1slave-INslave</f>
        <v>12</v>
      </c>
      <c r="DU133" s="234">
        <f>Konvention_1slave-CHslave_CH</f>
        <v>11</v>
      </c>
      <c r="DV133" s="234"/>
      <c r="DW133" s="234"/>
      <c r="DX133" s="234"/>
      <c r="DY133" s="224"/>
      <c r="DZ133" s="223">
        <f>(DR133+DS133+DT133+DU133+DV133+DW133+DX133+DY133)/3</f>
        <v>11.666666666666666</v>
      </c>
      <c r="EA133" s="223">
        <f>2*DZ133</f>
        <v>23.333333333333332</v>
      </c>
      <c r="EB133" s="224">
        <f>3*DZ133</f>
        <v>35</v>
      </c>
      <c r="EC133" s="237">
        <f t="shared" si="1119"/>
        <v>2432</v>
      </c>
      <c r="ED133" s="234">
        <f>DS133*DT133*CHslave_CH+DS133*INslave*DU133+KLslave*DT133*DU133</f>
        <v>3408</v>
      </c>
      <c r="EE133" s="224">
        <f>IFERROR(DR133^SIGN(DR133),1)*IFERROR(DS133^SIGN(DS133),1)*IFERROR(DT133^SIGN(DT133),1)*IFERROR(DU133^SIGN(DU133),1)*IFERROR(DV133^SIGN(DV133),1)*IFERROR(DW133^SIGN(DW133),1)*IFERROR(DX133^SIGN(DX133),1)*IFERROR(DY133^SIGN(DY133),1)</f>
        <v>1584</v>
      </c>
      <c r="EF133" s="224">
        <f t="shared" si="1120"/>
        <v>7424</v>
      </c>
      <c r="EG133" s="222">
        <f>DZ133*EC133/EF133</f>
        <v>3.8218390804597702</v>
      </c>
      <c r="EH133" s="223">
        <f>EA133*ED133/EF133</f>
        <v>10.711206896551724</v>
      </c>
      <c r="EI133" s="243">
        <f>EB133*EE133/EF133</f>
        <v>7.4676724137931032</v>
      </c>
      <c r="EJ133" s="243">
        <f>SUM(EG133:EI133)</f>
        <v>22.000718390804597</v>
      </c>
      <c r="EK133" s="252">
        <f t="shared" si="1121"/>
        <v>0</v>
      </c>
      <c r="EL133" s="309">
        <f>EJ133-EK133</f>
        <v>22.000718390804597</v>
      </c>
      <c r="EM133" s="218">
        <f>IF(EJ133&lt;=0,1,0)+IF(EJ133&gt;0,EJ133+1,0)*1+IF(EJ133&gt;12,EJ133-12,0)*1+IF(EJ133&gt;13,EJ133-13,0)*1+IF(EJ133&gt;14,EJ133-14,0)*1+IF(EJ133&gt;15,EJ133-15,0)*1+IF(EJ133&gt;16,EJ133-16,0)*1+IF(EJ133&gt;17,EJ133-17,0)*1+IF(EJ133&gt;18,EJ133-18,0)*1+IF(EJ133&gt;19,EJ133-19,0)*1+IF(EJ133&gt;20,EJ133-20,0)*1</f>
        <v>77.007183908045945</v>
      </c>
      <c r="EN133" s="242">
        <f>IF(EK133&lt;=0,1,0)+IF(EK133&gt;0,EK133+1,0)*1+IF(EK133&gt;12,EK133-12,0)*1+IF(EK133&gt;13,EK133-13,0)*1+IF(EK133&gt;14,EK133-14,0)*1+IF(EK133&gt;15,EK133-15,0)*1+IF(EK133&gt;16,EK133-16,0)*1+IF(EK133&gt;17,EK133-17,0)*1+IF(EK133&gt;18,EK133-18,0)*1+IF(EK133&gt;19,EK133-19,0)*1+IF(EK133&gt;20,EK133-20,0)*1</f>
        <v>1</v>
      </c>
      <c r="EO133" s="243">
        <f>IF((EM133-EN133)&gt;0,EM133-EN133,0)</f>
        <v>76.007183908045945</v>
      </c>
      <c r="EP133" s="218">
        <f>IF((EN133-EM133)&gt;0,EN133-EM133,0)</f>
        <v>0</v>
      </c>
      <c r="ER133" s="303" t="s">
        <v>369</v>
      </c>
      <c r="ES133" s="218" t="s">
        <v>87</v>
      </c>
      <c r="ET133" s="243" t="s">
        <v>133</v>
      </c>
      <c r="EU133" s="237"/>
      <c r="EV133" s="234">
        <f>Konvention_1slave-KLslave</f>
        <v>12</v>
      </c>
      <c r="EW133" s="234">
        <f>Konvention_1slave-INslave</f>
        <v>12</v>
      </c>
      <c r="EX133" s="234">
        <f>Konvention_1slave-CHslave</f>
        <v>12</v>
      </c>
      <c r="EY133" s="234"/>
      <c r="EZ133" s="234"/>
      <c r="FA133" s="234"/>
      <c r="FB133" s="224"/>
      <c r="FC133" s="223">
        <f>(EU133+EV133+EW133+EX133+EY133+EZ133+FA133+FB133)/3</f>
        <v>12</v>
      </c>
      <c r="FD133" s="223">
        <f>2*FC133</f>
        <v>24</v>
      </c>
      <c r="FE133" s="224">
        <f>3*FC133</f>
        <v>36</v>
      </c>
      <c r="FF133" s="237">
        <f t="shared" si="1122"/>
        <v>2304</v>
      </c>
      <c r="FG133" s="234">
        <f>EV133*EW133*CHslave+EV133*INslave*EX133+KLslave*EW133*EX133</f>
        <v>3456</v>
      </c>
      <c r="FH133" s="224">
        <f>IFERROR(EU133^SIGN(EU133),1)*IFERROR(EV133^SIGN(EV133),1)*IFERROR(EW133^SIGN(EW133),1)*IFERROR(EX133^SIGN(EX133),1)*IFERROR(EY133^SIGN(EY133),1)*IFERROR(EZ133^SIGN(EZ133),1)*IFERROR(FA133^SIGN(FA133),1)*IFERROR(FB133^SIGN(FB133),1)</f>
        <v>1728</v>
      </c>
      <c r="FI133" s="224">
        <f t="shared" si="1123"/>
        <v>7488</v>
      </c>
      <c r="FJ133" s="222">
        <f>FC133*FF133/FI133</f>
        <v>3.6923076923076925</v>
      </c>
      <c r="FK133" s="223">
        <f>FD133*FG133/FI133</f>
        <v>11.076923076923077</v>
      </c>
      <c r="FL133" s="243">
        <f>FE133*FH133/FI133</f>
        <v>8.3076923076923084</v>
      </c>
      <c r="FM133" s="243">
        <f>SUM(FJ133:FL133)</f>
        <v>23.07692307692308</v>
      </c>
      <c r="FN133" s="252">
        <f t="shared" si="1124"/>
        <v>0</v>
      </c>
      <c r="FO133" s="309">
        <f>FM133-FN133</f>
        <v>23.07692307692308</v>
      </c>
      <c r="FP133" s="218">
        <f>IF(FM133&lt;=0,1,0)+IF(FM133&gt;0,FM133+1,0)*1+IF(FM133&gt;12,FM133-12,0)*1+IF(FM133&gt;13,FM133-13,0)*1+IF(FM133&gt;14,FM133-14,0)*1+IF(FM133&gt;15,FM133-15,0)*1+IF(FM133&gt;16,FM133-16,0)*1+IF(FM133&gt;17,FM133-17,0)*1+IF(FM133&gt;18,FM133-18,0)*1+IF(FM133&gt;19,FM133-19,0)*1+IF(FM133&gt;20,FM133-20,0)*1</f>
        <v>87.769230769230802</v>
      </c>
      <c r="FQ133" s="242">
        <f>IF(FN133&lt;=0,1,0)+IF(FN133&gt;0,FN133+1,0)*1+IF(FN133&gt;12,FN133-12,0)*1+IF(FN133&gt;13,FN133-13,0)*1+IF(FN133&gt;14,FN133-14,0)*1+IF(FN133&gt;15,FN133-15,0)*1+IF(FN133&gt;16,FN133-16,0)*1+IF(FN133&gt;17,FN133-17,0)*1+IF(FN133&gt;18,FN133-18,0)*1+IF(FN133&gt;19,FN133-19,0)*1+IF(FN133&gt;20,FN133-20,0)*1</f>
        <v>1</v>
      </c>
      <c r="FR133" s="243">
        <f>IF((FP133-FQ133)&gt;0,FP133-FQ133,0)</f>
        <v>86.769230769230802</v>
      </c>
      <c r="FS133" s="218">
        <f>IF((FQ133-FP133)&gt;0,FQ133-FP133,0)</f>
        <v>0</v>
      </c>
      <c r="FU133" s="303" t="s">
        <v>369</v>
      </c>
      <c r="FV133" s="218" t="s">
        <v>87</v>
      </c>
      <c r="FW133" s="243" t="s">
        <v>133</v>
      </c>
      <c r="FX133" s="237"/>
      <c r="FY133" s="234">
        <f>Konvention_1slave-KLslave</f>
        <v>12</v>
      </c>
      <c r="FZ133" s="234">
        <f>Konvention_1slave-INslave</f>
        <v>12</v>
      </c>
      <c r="GA133" s="234">
        <f>Konvention_1slave-CHslave</f>
        <v>12</v>
      </c>
      <c r="GB133" s="234"/>
      <c r="GC133" s="234"/>
      <c r="GD133" s="234"/>
      <c r="GE133" s="224"/>
      <c r="GF133" s="223">
        <f>(FX133+FY133+FZ133+GA133+GB133+GC133+GD133+GE133)/3</f>
        <v>12</v>
      </c>
      <c r="GG133" s="223">
        <f>2*GF133</f>
        <v>24</v>
      </c>
      <c r="GH133" s="224">
        <f>3*GF133</f>
        <v>36</v>
      </c>
      <c r="GI133" s="237">
        <f t="shared" si="1125"/>
        <v>2304</v>
      </c>
      <c r="GJ133" s="234">
        <f>FY133*FZ133*CHslave+FY133*INslave*GA133+KLslave*FZ133*GA133</f>
        <v>3456</v>
      </c>
      <c r="GK133" s="224">
        <f>IFERROR(FX133^SIGN(FX133),1)*IFERROR(FY133^SIGN(FY133),1)*IFERROR(FZ133^SIGN(FZ133),1)*IFERROR(GA133^SIGN(GA133),1)*IFERROR(GB133^SIGN(GB133),1)*IFERROR(GC133^SIGN(GC133),1)*IFERROR(GD133^SIGN(GD133),1)*IFERROR(GE133^SIGN(GE133),1)</f>
        <v>1728</v>
      </c>
      <c r="GL133" s="224">
        <f t="shared" si="1126"/>
        <v>7488</v>
      </c>
      <c r="GM133" s="222">
        <f>GF133*GI133/GL133</f>
        <v>3.6923076923076925</v>
      </c>
      <c r="GN133" s="223">
        <f>GG133*GJ133/GL133</f>
        <v>11.076923076923077</v>
      </c>
      <c r="GO133" s="243">
        <f>GH133*GK133/GL133</f>
        <v>8.3076923076923084</v>
      </c>
      <c r="GP133" s="243">
        <f>SUM(GM133:GO133)</f>
        <v>23.07692307692308</v>
      </c>
      <c r="GQ133" s="252">
        <f t="shared" si="1127"/>
        <v>0</v>
      </c>
      <c r="GR133" s="309">
        <f>GP133-GQ133</f>
        <v>23.07692307692308</v>
      </c>
      <c r="GS133" s="218">
        <f>IF(GP133&lt;=0,1,0)+IF(GP133&gt;0,GP133+1,0)*1+IF(GP133&gt;12,GP133-12,0)*1+IF(GP133&gt;13,GP133-13,0)*1+IF(GP133&gt;14,GP133-14,0)*1+IF(GP133&gt;15,GP133-15,0)*1+IF(GP133&gt;16,GP133-16,0)*1+IF(GP133&gt;17,GP133-17,0)*1+IF(GP133&gt;18,GP133-18,0)*1+IF(GP133&gt;19,GP133-19,0)*1+IF(GP133&gt;20,GP133-20,0)*1</f>
        <v>87.769230769230802</v>
      </c>
      <c r="GT133" s="242">
        <f>IF(GQ133&lt;=0,1,0)+IF(GQ133&gt;0,GQ133+1,0)*1+IF(GQ133&gt;12,GQ133-12,0)*1+IF(GQ133&gt;13,GQ133-13,0)*1+IF(GQ133&gt;14,GQ133-14,0)*1+IF(GQ133&gt;15,GQ133-15,0)*1+IF(GQ133&gt;16,GQ133-16,0)*1+IF(GQ133&gt;17,GQ133-17,0)*1+IF(GQ133&gt;18,GQ133-18,0)*1+IF(GQ133&gt;19,GQ133-19,0)*1+IF(GQ133&gt;20,GQ133-20,0)*1</f>
        <v>1</v>
      </c>
      <c r="GU133" s="243">
        <f>IF((GS133-GT133)&gt;0,GS133-GT133,0)</f>
        <v>86.769230769230802</v>
      </c>
      <c r="GV133" s="218">
        <f>IF((GT133-GS133)&gt;0,GT133-GS133,0)</f>
        <v>0</v>
      </c>
      <c r="GX133" s="303" t="s">
        <v>369</v>
      </c>
      <c r="GY133" s="218" t="s">
        <v>87</v>
      </c>
      <c r="GZ133" s="243" t="s">
        <v>133</v>
      </c>
      <c r="HA133" s="237"/>
      <c r="HB133" s="234">
        <f>Konvention_1slave-KLslave</f>
        <v>12</v>
      </c>
      <c r="HC133" s="234">
        <f>Konvention_1slave-INslave</f>
        <v>12</v>
      </c>
      <c r="HD133" s="234">
        <f>Konvention_1slave-CHslave</f>
        <v>12</v>
      </c>
      <c r="HE133" s="234"/>
      <c r="HF133" s="234"/>
      <c r="HG133" s="234"/>
      <c r="HH133" s="224"/>
      <c r="HI133" s="223">
        <f>(HA133+HB133+HC133+HD133+HE133+HF133+HG133+HH133)/3</f>
        <v>12</v>
      </c>
      <c r="HJ133" s="223">
        <f>2*HI133</f>
        <v>24</v>
      </c>
      <c r="HK133" s="224">
        <f>3*HI133</f>
        <v>36</v>
      </c>
      <c r="HL133" s="237">
        <f t="shared" si="1128"/>
        <v>2304</v>
      </c>
      <c r="HM133" s="234">
        <f>HB133*HC133*CHslave+HB133*INslave*HD133+KLslave*HC133*HD133</f>
        <v>3456</v>
      </c>
      <c r="HN133" s="224">
        <f>IFERROR(HA133^SIGN(HA133),1)*IFERROR(HB133^SIGN(HB133),1)*IFERROR(HC133^SIGN(HC133),1)*IFERROR(HD133^SIGN(HD133),1)*IFERROR(HE133^SIGN(HE133),1)*IFERROR(HF133^SIGN(HF133),1)*IFERROR(HG133^SIGN(HG133),1)*IFERROR(HH133^SIGN(HH133),1)</f>
        <v>1728</v>
      </c>
      <c r="HO133" s="224">
        <f t="shared" si="1129"/>
        <v>7488</v>
      </c>
      <c r="HP133" s="222">
        <f>HI133*HL133/HO133</f>
        <v>3.6923076923076925</v>
      </c>
      <c r="HQ133" s="223">
        <f>HJ133*HM133/HO133</f>
        <v>11.076923076923077</v>
      </c>
      <c r="HR133" s="243">
        <f>HK133*HN133/HO133</f>
        <v>8.3076923076923084</v>
      </c>
      <c r="HS133" s="243">
        <f>SUM(HP133:HR133)</f>
        <v>23.07692307692308</v>
      </c>
      <c r="HT133" s="252">
        <f t="shared" si="1130"/>
        <v>0</v>
      </c>
      <c r="HU133" s="309">
        <f>HS133-HT133</f>
        <v>23.07692307692308</v>
      </c>
      <c r="HV133" s="218">
        <f>IF(HS133&lt;=0,1,0)+IF(HS133&gt;0,HS133+1,0)*1+IF(HS133&gt;12,HS133-12,0)*1+IF(HS133&gt;13,HS133-13,0)*1+IF(HS133&gt;14,HS133-14,0)*1+IF(HS133&gt;15,HS133-15,0)*1+IF(HS133&gt;16,HS133-16,0)*1+IF(HS133&gt;17,HS133-17,0)*1+IF(HS133&gt;18,HS133-18,0)*1+IF(HS133&gt;19,HS133-19,0)*1+IF(HS133&gt;20,HS133-20,0)*1</f>
        <v>87.769230769230802</v>
      </c>
      <c r="HW133" s="242">
        <f>IF(HT133&lt;=0,1,0)+IF(HT133&gt;0,HT133+1,0)*1+IF(HT133&gt;12,HT133-12,0)*1+IF(HT133&gt;13,HT133-13,0)*1+IF(HT133&gt;14,HT133-14,0)*1+IF(HT133&gt;15,HT133-15,0)*1+IF(HT133&gt;16,HT133-16,0)*1+IF(HT133&gt;17,HT133-17,0)*1+IF(HT133&gt;18,HT133-18,0)*1+IF(HT133&gt;19,HT133-19,0)*1+IF(HT133&gt;20,HT133-20,0)*1</f>
        <v>1</v>
      </c>
      <c r="HX133" s="243">
        <f>IF((HV133-HW133)&gt;0,HV133-HW133,0)</f>
        <v>86.769230769230802</v>
      </c>
      <c r="HY133" s="218">
        <f>IF((HW133-HV133)&gt;0,HW133-HV133,0)</f>
        <v>0</v>
      </c>
      <c r="IA133" s="303" t="s">
        <v>369</v>
      </c>
      <c r="IB133" s="218" t="s">
        <v>87</v>
      </c>
      <c r="IC133" s="243" t="s">
        <v>133</v>
      </c>
      <c r="ID133" s="237"/>
      <c r="IE133" s="234">
        <f>Konvention_1slave-KLslave</f>
        <v>12</v>
      </c>
      <c r="IF133" s="234">
        <f>Konvention_1slave-INslave</f>
        <v>12</v>
      </c>
      <c r="IG133" s="234">
        <f>Konvention_1slave-CHslave</f>
        <v>12</v>
      </c>
      <c r="IH133" s="234"/>
      <c r="II133" s="234"/>
      <c r="IJ133" s="234"/>
      <c r="IK133" s="224"/>
      <c r="IL133" s="223">
        <f>(ID133+IE133+IF133+IG133+IH133+II133+IJ133+IK133)/3</f>
        <v>12</v>
      </c>
      <c r="IM133" s="223">
        <f>2*IL133</f>
        <v>24</v>
      </c>
      <c r="IN133" s="224">
        <f>3*IL133</f>
        <v>36</v>
      </c>
      <c r="IO133" s="237">
        <f t="shared" si="1131"/>
        <v>2304</v>
      </c>
      <c r="IP133" s="234">
        <f>IE133*IF133*CHslave+IE133*INslave*IG133+KLslave*IF133*IG133</f>
        <v>3456</v>
      </c>
      <c r="IQ133" s="224">
        <f>IFERROR(ID133^SIGN(ID133),1)*IFERROR(IE133^SIGN(IE133),1)*IFERROR(IF133^SIGN(IF133),1)*IFERROR(IG133^SIGN(IG133),1)*IFERROR(IH133^SIGN(IH133),1)*IFERROR(II133^SIGN(II133),1)*IFERROR(IJ133^SIGN(IJ133),1)*IFERROR(IK133^SIGN(IK133),1)</f>
        <v>1728</v>
      </c>
      <c r="IR133" s="224">
        <f t="shared" si="1132"/>
        <v>7488</v>
      </c>
      <c r="IS133" s="222">
        <f>IL133*IO133/IR133</f>
        <v>3.6923076923076925</v>
      </c>
      <c r="IT133" s="223">
        <f>IM133*IP133/IR133</f>
        <v>11.076923076923077</v>
      </c>
      <c r="IU133" s="243">
        <f>IN133*IQ133/IR133</f>
        <v>8.3076923076923084</v>
      </c>
      <c r="IV133" s="243">
        <f>SUM(IS133:IU133)</f>
        <v>23.07692307692308</v>
      </c>
      <c r="IW133" s="252">
        <f t="shared" si="1133"/>
        <v>0</v>
      </c>
      <c r="IX133" s="309">
        <f>IV133-IW133</f>
        <v>23.07692307692308</v>
      </c>
      <c r="IY133" s="218">
        <f>IF(IV133&lt;=0,1,0)+IF(IV133&gt;0,IV133+1,0)*1+IF(IV133&gt;12,IV133-12,0)*1+IF(IV133&gt;13,IV133-13,0)*1+IF(IV133&gt;14,IV133-14,0)*1+IF(IV133&gt;15,IV133-15,0)*1+IF(IV133&gt;16,IV133-16,0)*1+IF(IV133&gt;17,IV133-17,0)*1+IF(IV133&gt;18,IV133-18,0)*1+IF(IV133&gt;19,IV133-19,0)*1+IF(IV133&gt;20,IV133-20,0)*1</f>
        <v>87.769230769230802</v>
      </c>
      <c r="IZ133" s="242">
        <f>IF(IW133&lt;=0,1,0)+IF(IW133&gt;0,IW133+1,0)*1+IF(IW133&gt;12,IW133-12,0)*1+IF(IW133&gt;13,IW133-13,0)*1+IF(IW133&gt;14,IW133-14,0)*1+IF(IW133&gt;15,IW133-15,0)*1+IF(IW133&gt;16,IW133-16,0)*1+IF(IW133&gt;17,IW133-17,0)*1+IF(IW133&gt;18,IW133-18,0)*1+IF(IW133&gt;19,IW133-19,0)*1+IF(IW133&gt;20,IW133-20,0)*1</f>
        <v>1</v>
      </c>
      <c r="JA133" s="243">
        <f>IF((IY133-IZ133)&gt;0,IY133-IZ133,0)</f>
        <v>86.769230769230802</v>
      </c>
      <c r="JB133" s="218">
        <f>IF((IZ133-IY133)&gt;0,IZ133-IY133,0)</f>
        <v>0</v>
      </c>
      <c r="JE133" s="148"/>
    </row>
    <row r="134" spans="2:265" hidden="1" outlineLevel="2">
      <c r="B134" s="148">
        <v>7</v>
      </c>
      <c r="C134" s="303" t="e">
        <f>VLOOKUP(AF134,Attribute!C:T,1,FALSE)</f>
        <v>#N/A</v>
      </c>
      <c r="D134" s="86" t="s">
        <v>88</v>
      </c>
      <c r="E134" s="127" t="s">
        <v>132</v>
      </c>
      <c r="F134" s="114"/>
      <c r="G134" s="113"/>
      <c r="H134" s="113">
        <f t="shared" si="1234"/>
        <v>12</v>
      </c>
      <c r="I134" s="113">
        <f>Konvention_1master-CHmaster</f>
        <v>12</v>
      </c>
      <c r="J134" s="113"/>
      <c r="K134" s="113">
        <f>Konvention_1master-GEmaster</f>
        <v>12</v>
      </c>
      <c r="L134" s="113"/>
      <c r="M134" s="119"/>
      <c r="N134" s="223">
        <f>(F134+G134+H134+I134+J134+K134+L134+M134)/3</f>
        <v>12</v>
      </c>
      <c r="O134" s="223">
        <f>2*N134</f>
        <v>24</v>
      </c>
      <c r="P134" s="224">
        <f>3*N134</f>
        <v>36</v>
      </c>
      <c r="Q134" s="237">
        <f>F134*POWER(KLmaster,SIGN(G134))*POWER(INmaster,SIGN(H134))*POWER(CHmaster,SIGN(I134))*POWER(FFmaster,SIGN(J134))*POWER(GEmaster,SIGN(K134))*POWER(KOmaster,SIGN(L134))*POWER(KKmaster,SIGN(M134))+G134*POWER(MUmaster,SIGN(F134))*POWER(INmaster,SIGN(H134))*POWER(CHmaster,SIGN(I134))*POWER(FFmaster,SIGN(J134))*POWER(GEmaster,SIGN(K134))*POWER(KOmaster,SIGN(L134))*POWER(KKmaster,SIGN(M134))+H134*POWER(MUmaster,SIGN(F134))*POWER(KLmaster,SIGN(G134))*POWER(CHmaster,SIGN(I134))*POWER(FFmaster,SIGN(J134))*POWER(GEmaster,SIGN(K134))*POWER(KOmaster,SIGN(L134))*POWER(KKmaster,SIGN(M134))+I134*POWER(MUmaster,SIGN(F134))*POWER(KLmaster,SIGN(G134))*POWER(INmaster,SIGN(H134))*POWER(FFmaster,SIGN(J134))*POWER(GEmaster,SIGN(K134))*POWER(KOmaster,SIGN(L134))*POWER(KKmaster,SIGN(M134))+J134*POWER(MUmaster,SIGN(F134))*POWER(KLmaster,SIGN(G134))*POWER(INmaster,SIGN(H134))*POWER(CHmaster,SIGN(I134))*POWER(GEmaster,SIGN(K134))*POWER(KOmaster,SIGN(L134))*POWER(KKmaster,SIGN(M134))+K134*POWER(MUmaster,SIGN(F134))*POWER(KLmaster,SIGN(G134))*POWER(INmaster,SIGN(H134))*POWER(CHmaster,SIGN(I134))*POWER(FFmaster,SIGN(J134))*POWER(KOmaster,SIGN(L134))*POWER(KKmaster,SIGN(M134))+L134*POWER(MUmaster,SIGN(F134))*POWER(KLmaster,SIGN(G134))*POWER(INmaster,SIGN(H134))*POWER(CHmaster,SIGN(I134))*POWER(FFmaster,SIGN(J134))*POWER(GEmaster,SIGN(K134))*POWER(KKmaster,SIGN(M134))+M134*POWER(MUmaster,SIGN(F134))*POWER(KLmaster,SIGN(G134))*POWER(INmaster,SIGN(H134))*POWER(CHmaster,SIGN(I134))*POWER(FFmaster,SIGN(J134))*POWER(GEmaster,SIGN(K134))*POWER(KOmaster,SIGN(L134))</f>
        <v>2304</v>
      </c>
      <c r="R134" s="113">
        <f>H134*I134*GEmaster+H134*CHmaster*K134+INmaster*I134*K134</f>
        <v>3456</v>
      </c>
      <c r="S134" s="224">
        <f>IFERROR(F134^SIGN(F134),1)*IFERROR(G134^SIGN(G134),1)*IFERROR(H134^SIGN(H134),1)*IFERROR(I134^SIGN(I134),1)*IFERROR(J134^SIGN(J134),1)*IFERROR(K134^SIGN(K134),1)*IFERROR(L134^SIGN(L134),1)*IFERROR(M134^SIGN(M134),1)</f>
        <v>1728</v>
      </c>
      <c r="T134" s="224">
        <f t="shared" si="1109"/>
        <v>7488</v>
      </c>
      <c r="U134" s="222">
        <f>N134*Q134/T134</f>
        <v>3.6923076923076925</v>
      </c>
      <c r="V134" s="223">
        <f>O134*R134/T134</f>
        <v>11.076923076923077</v>
      </c>
      <c r="W134" s="243">
        <f>P134*S134/T134</f>
        <v>8.3076923076923084</v>
      </c>
      <c r="X134" s="243">
        <f>SUM(U134:W134)</f>
        <v>23.07692307692308</v>
      </c>
      <c r="Y134" s="252">
        <v>0</v>
      </c>
      <c r="Z134" s="198">
        <f>X134-Y134</f>
        <v>23.07692307692308</v>
      </c>
      <c r="AA134" s="125">
        <f>IF(X134&lt;=0,2,0)+IF(X134&gt;0,X134+1,0)*2+IF(X134&gt;12,X134-12,0)*2+IF(X134&gt;13,X134-13,0)*2+IF(X134&gt;14,X134-14,0)*2+IF(X134&gt;15,X134-15,0)*2+IF(X134&gt;16,X134-16,0)*2+IF(X134&gt;17,X134-17,0)*2+IF(X134&gt;18,X134-18,0)*2+IF(X134&gt;19,X134-19,0)*2+IF(X134&gt;20,X134-20,0)*2</f>
        <v>175.5384615384616</v>
      </c>
      <c r="AB134" s="160">
        <f>IF(Y134&lt;=0,2,0)+IF(Y134&gt;0,Y134+1,0)*2+IF(Y134&gt;12,Y134-12,0)*2+IF(Y134&gt;13,Y134-13,0)*2+IF(Y134&gt;14,Y134-14,0)*2+IF(Y134&gt;15,Y134-15,0)*2+IF(Y134&gt;16,Y134-16,0)*2+IF(Y134&gt;17,Y134-17,0)*2+IF(Y134&gt;18,Y134-18,0)*2+IF(Y134&gt;19,Y134-19,0)*2+IF(Y134&gt;20,Y134-20,0)*2</f>
        <v>2</v>
      </c>
      <c r="AC134" s="127">
        <f>IF((AA134-AB134)&gt;0,AA134-AB134,0)</f>
        <v>173.5384615384616</v>
      </c>
      <c r="AD134" s="125">
        <f>IF((AB134-AA134)&gt;0,AB134-AA134,0)</f>
        <v>0</v>
      </c>
      <c r="AF134" s="163" t="s">
        <v>370</v>
      </c>
      <c r="AG134" s="125" t="s">
        <v>88</v>
      </c>
      <c r="AH134" s="127" t="s">
        <v>132</v>
      </c>
      <c r="AI134" s="114"/>
      <c r="AJ134" s="113"/>
      <c r="AK134" s="113">
        <f t="shared" si="1235"/>
        <v>12</v>
      </c>
      <c r="AL134" s="113">
        <f>Konvention_1slave-CHslave</f>
        <v>12</v>
      </c>
      <c r="AM134" s="113"/>
      <c r="AN134" s="113">
        <f>Konvention_1slave-GEslave</f>
        <v>12</v>
      </c>
      <c r="AO134" s="113"/>
      <c r="AP134" s="119"/>
      <c r="AQ134" s="47">
        <f>(AI134+AJ134+AK134+AL134+AM134+AN134+AO134+AP134)/3</f>
        <v>12</v>
      </c>
      <c r="AR134" s="47">
        <f>2*AQ134</f>
        <v>24</v>
      </c>
      <c r="AS134" s="119">
        <f>3*AQ134</f>
        <v>36</v>
      </c>
      <c r="AT134" s="114">
        <f t="shared" si="1110"/>
        <v>2304</v>
      </c>
      <c r="AU134" s="113">
        <f>AK134*AL134*GEslave+AK134*CHslave*AN134+INslave*AL134*AN134</f>
        <v>3456</v>
      </c>
      <c r="AV134" s="119">
        <f>IFERROR(AI134^SIGN(AI134),1)*IFERROR(AJ134^SIGN(AJ134),1)*IFERROR(AK134^SIGN(AK134),1)*IFERROR(AL134^SIGN(AL134),1)*IFERROR(AM134^SIGN(AM134),1)*IFERROR(AN134^SIGN(AN134),1)*IFERROR(AO134^SIGN(AO134),1)*IFERROR(AP134^SIGN(AP134),1)</f>
        <v>1728</v>
      </c>
      <c r="AW134" s="119">
        <f t="shared" si="1111"/>
        <v>7488</v>
      </c>
      <c r="AX134" s="89">
        <f>AQ134*AT134/AW134</f>
        <v>3.6923076923076925</v>
      </c>
      <c r="AY134" s="47">
        <f>AR134*AU134/AW134</f>
        <v>11.076923076923077</v>
      </c>
      <c r="AZ134" s="127">
        <f>AS134*AV134/AW134</f>
        <v>8.3076923076923084</v>
      </c>
      <c r="BA134" s="127">
        <f>SUM(AX134:AZ134)</f>
        <v>23.07692307692308</v>
      </c>
      <c r="BB134" s="165">
        <f t="shared" si="1112"/>
        <v>0</v>
      </c>
      <c r="BC134" s="198">
        <f>BA134-BB134</f>
        <v>23.07692307692308</v>
      </c>
      <c r="BD134" s="125">
        <f>IF(BA134&lt;=0,2,0)+IF(BA134&gt;0,BA134+1,0)*2+IF(BA134&gt;12,BA134-12,0)*2+IF(BA134&gt;13,BA134-13,0)*2+IF(BA134&gt;14,BA134-14,0)*2+IF(BA134&gt;15,BA134-15,0)*2+IF(BA134&gt;16,BA134-16,0)*2+IF(BA134&gt;17,BA134-17,0)*2+IF(BA134&gt;18,BA134-18,0)*2+IF(BA134&gt;19,BA134-19,0)*2+IF(BA134&gt;20,BA134-20,0)*2</f>
        <v>175.5384615384616</v>
      </c>
      <c r="BE134" s="160">
        <f>IF(BB134&lt;=0,2,0)+IF(BB134&gt;0,BB134+1,0)*2+IF(BB134&gt;12,BB134-12,0)*2+IF(BB134&gt;13,BB134-13,0)*2+IF(BB134&gt;14,BB134-14,0)*2+IF(BB134&gt;15,BB134-15,0)*2+IF(BB134&gt;16,BB134-16,0)*2+IF(BB134&gt;17,BB134-17,0)*2+IF(BB134&gt;18,BB134-18,0)*2+IF(BB134&gt;19,BB134-19,0)*2+IF(BB134&gt;20,BB134-20,0)*2</f>
        <v>2</v>
      </c>
      <c r="BF134" s="243">
        <f>IF((BD134-BE134)&gt;0,BD134-BE134,0)</f>
        <v>173.5384615384616</v>
      </c>
      <c r="BG134" s="218">
        <f>IF((BE134-BD134)&gt;0,BE134-BD134,0)</f>
        <v>0</v>
      </c>
      <c r="BI134" s="303" t="s">
        <v>370</v>
      </c>
      <c r="BJ134" s="218" t="s">
        <v>88</v>
      </c>
      <c r="BK134" s="243" t="s">
        <v>132</v>
      </c>
      <c r="BL134" s="237"/>
      <c r="BM134" s="234"/>
      <c r="BN134" s="234">
        <f>Konvention_1slave-INslave</f>
        <v>12</v>
      </c>
      <c r="BO134" s="234">
        <f>Konvention_1slave-CHslave</f>
        <v>12</v>
      </c>
      <c r="BP134" s="234"/>
      <c r="BQ134" s="234">
        <f>Konvention_1slave-GEslave</f>
        <v>12</v>
      </c>
      <c r="BR134" s="234"/>
      <c r="BS134" s="224"/>
      <c r="BT134" s="223">
        <f>(BL134+BM134+BN134+BO134+BP134+BQ134+BR134+BS134)/3</f>
        <v>12</v>
      </c>
      <c r="BU134" s="223">
        <f>2*BT134</f>
        <v>24</v>
      </c>
      <c r="BV134" s="224">
        <f>3*BT134</f>
        <v>36</v>
      </c>
      <c r="BW134" s="237">
        <f t="shared" si="1113"/>
        <v>2304</v>
      </c>
      <c r="BX134" s="234">
        <f>BN134*BO134*GEslave+BN134*CHslave*BQ134+INslave*BO134*BQ134</f>
        <v>3456</v>
      </c>
      <c r="BY134" s="224">
        <f>IFERROR(BL134^SIGN(BL134),1)*IFERROR(BM134^SIGN(BM134),1)*IFERROR(BN134^SIGN(BN134),1)*IFERROR(BO134^SIGN(BO134),1)*IFERROR(BP134^SIGN(BP134),1)*IFERROR(BQ134^SIGN(BQ134),1)*IFERROR(BR134^SIGN(BR134),1)*IFERROR(BS134^SIGN(BS134),1)</f>
        <v>1728</v>
      </c>
      <c r="BZ134" s="224">
        <f t="shared" si="1114"/>
        <v>7488</v>
      </c>
      <c r="CA134" s="222">
        <f>BT134*BW134/BZ134</f>
        <v>3.6923076923076925</v>
      </c>
      <c r="CB134" s="223">
        <f>BU134*BX134/BZ134</f>
        <v>11.076923076923077</v>
      </c>
      <c r="CC134" s="243">
        <f>BV134*BY134/BZ134</f>
        <v>8.3076923076923084</v>
      </c>
      <c r="CD134" s="243">
        <f>SUM(CA134:CC134)</f>
        <v>23.07692307692308</v>
      </c>
      <c r="CE134" s="252">
        <f t="shared" si="1115"/>
        <v>0</v>
      </c>
      <c r="CF134" s="309">
        <f>CD134-CE134</f>
        <v>23.07692307692308</v>
      </c>
      <c r="CG134" s="218">
        <f>IF(CD134&lt;=0,2,0)+IF(CD134&gt;0,CD134+1,0)*2+IF(CD134&gt;12,CD134-12,0)*2+IF(CD134&gt;13,CD134-13,0)*2+IF(CD134&gt;14,CD134-14,0)*2+IF(CD134&gt;15,CD134-15,0)*2+IF(CD134&gt;16,CD134-16,0)*2+IF(CD134&gt;17,CD134-17,0)*2+IF(CD134&gt;18,CD134-18,0)*2+IF(CD134&gt;19,CD134-19,0)*2+IF(CD134&gt;20,CD134-20,0)*2</f>
        <v>175.5384615384616</v>
      </c>
      <c r="CH134" s="242">
        <f>IF(CE134&lt;=0,2,0)+IF(CE134&gt;0,CE134+1,0)*2+IF(CE134&gt;12,CE134-12,0)*2+IF(CE134&gt;13,CE134-13,0)*2+IF(CE134&gt;14,CE134-14,0)*2+IF(CE134&gt;15,CE134-15,0)*2+IF(CE134&gt;16,CE134-16,0)*2+IF(CE134&gt;17,CE134-17,0)*2+IF(CE134&gt;18,CE134-18,0)*2+IF(CE134&gt;19,CE134-19,0)*2+IF(CE134&gt;20,CE134-20,0)*2</f>
        <v>2</v>
      </c>
      <c r="CI134" s="243">
        <f>IF((CG134-CH134)&gt;0,CG134-CH134,0)</f>
        <v>173.5384615384616</v>
      </c>
      <c r="CJ134" s="218">
        <f>IF((CH134-CG134)&gt;0,CH134-CG134,0)</f>
        <v>0</v>
      </c>
      <c r="CL134" s="303" t="s">
        <v>370</v>
      </c>
      <c r="CM134" s="218" t="s">
        <v>88</v>
      </c>
      <c r="CN134" s="243" t="s">
        <v>132</v>
      </c>
      <c r="CO134" s="237"/>
      <c r="CP134" s="234"/>
      <c r="CQ134" s="234">
        <f t="shared" si="1236"/>
        <v>11</v>
      </c>
      <c r="CR134" s="234">
        <f>Konvention_1slave-CHslave</f>
        <v>12</v>
      </c>
      <c r="CS134" s="234"/>
      <c r="CT134" s="234">
        <f>Konvention_1slave-GEslave</f>
        <v>12</v>
      </c>
      <c r="CU134" s="234"/>
      <c r="CV134" s="224"/>
      <c r="CW134" s="223">
        <f>(CO134+CP134+CQ134+CR134+CS134+CT134+CU134+CV134)/3</f>
        <v>11.666666666666666</v>
      </c>
      <c r="CX134" s="223">
        <f>2*CW134</f>
        <v>23.333333333333332</v>
      </c>
      <c r="CY134" s="224">
        <f>3*CW134</f>
        <v>35</v>
      </c>
      <c r="CZ134" s="237">
        <f t="shared" si="1116"/>
        <v>2432</v>
      </c>
      <c r="DA134" s="234">
        <f>CQ134*CR134*GEslave+CQ134*CHslave*CT134+INslave_IN*CR134*CT134</f>
        <v>3408</v>
      </c>
      <c r="DB134" s="224">
        <f>IFERROR(CO134^SIGN(CO134),1)*IFERROR(CP134^SIGN(CP134),1)*IFERROR(CQ134^SIGN(CQ134),1)*IFERROR(CR134^SIGN(CR134),1)*IFERROR(CS134^SIGN(CS134),1)*IFERROR(CT134^SIGN(CT134),1)*IFERROR(CU134^SIGN(CU134),1)*IFERROR(CV134^SIGN(CV134),1)</f>
        <v>1584</v>
      </c>
      <c r="DC134" s="224">
        <f t="shared" si="1117"/>
        <v>7424</v>
      </c>
      <c r="DD134" s="222">
        <f>CW134*CZ134/DC134</f>
        <v>3.8218390804597702</v>
      </c>
      <c r="DE134" s="223">
        <f>CX134*DA134/DC134</f>
        <v>10.711206896551724</v>
      </c>
      <c r="DF134" s="243">
        <f>CY134*DB134/DC134</f>
        <v>7.4676724137931032</v>
      </c>
      <c r="DG134" s="243">
        <f>SUM(DD134:DF134)</f>
        <v>22.000718390804597</v>
      </c>
      <c r="DH134" s="252">
        <f t="shared" si="1118"/>
        <v>0</v>
      </c>
      <c r="DI134" s="309">
        <f>DG134-DH134</f>
        <v>22.000718390804597</v>
      </c>
      <c r="DJ134" s="218">
        <f>IF(DG134&lt;=0,2,0)+IF(DG134&gt;0,DG134+1,0)*2+IF(DG134&gt;12,DG134-12,0)*2+IF(DG134&gt;13,DG134-13,0)*2+IF(DG134&gt;14,DG134-14,0)*2+IF(DG134&gt;15,DG134-15,0)*2+IF(DG134&gt;16,DG134-16,0)*2+IF(DG134&gt;17,DG134-17,0)*2+IF(DG134&gt;18,DG134-18,0)*2+IF(DG134&gt;19,DG134-19,0)*2+IF(DG134&gt;20,DG134-20,0)*2</f>
        <v>154.01436781609189</v>
      </c>
      <c r="DK134" s="242">
        <f>IF(DH134&lt;=0,2,0)+IF(DH134&gt;0,DH134+1,0)*2+IF(DH134&gt;12,DH134-12,0)*2+IF(DH134&gt;13,DH134-13,0)*2+IF(DH134&gt;14,DH134-14,0)*2+IF(DH134&gt;15,DH134-15,0)*2+IF(DH134&gt;16,DH134-16,0)*2+IF(DH134&gt;17,DH134-17,0)*2+IF(DH134&gt;18,DH134-18,0)*2+IF(DH134&gt;19,DH134-19,0)*2+IF(DH134&gt;20,DH134-20,0)*2</f>
        <v>2</v>
      </c>
      <c r="DL134" s="243">
        <f>IF((DJ134-DK134)&gt;0,DJ134-DK134,0)</f>
        <v>152.01436781609189</v>
      </c>
      <c r="DM134" s="218">
        <f>IF((DK134-DJ134)&gt;0,DK134-DJ134,0)</f>
        <v>0</v>
      </c>
      <c r="DO134" s="303" t="s">
        <v>370</v>
      </c>
      <c r="DP134" s="218" t="s">
        <v>88</v>
      </c>
      <c r="DQ134" s="243" t="s">
        <v>132</v>
      </c>
      <c r="DR134" s="237"/>
      <c r="DS134" s="234"/>
      <c r="DT134" s="234">
        <f>Konvention_1slave-INslave</f>
        <v>12</v>
      </c>
      <c r="DU134" s="234">
        <f>Konvention_1slave-CHslave_CH</f>
        <v>11</v>
      </c>
      <c r="DV134" s="234"/>
      <c r="DW134" s="234">
        <f>Konvention_1slave-GEslave</f>
        <v>12</v>
      </c>
      <c r="DX134" s="234"/>
      <c r="DY134" s="224"/>
      <c r="DZ134" s="223">
        <f>(DR134+DS134+DT134+DU134+DV134+DW134+DX134+DY134)/3</f>
        <v>11.666666666666666</v>
      </c>
      <c r="EA134" s="223">
        <f>2*DZ134</f>
        <v>23.333333333333332</v>
      </c>
      <c r="EB134" s="224">
        <f>3*DZ134</f>
        <v>35</v>
      </c>
      <c r="EC134" s="237">
        <f t="shared" si="1119"/>
        <v>2432</v>
      </c>
      <c r="ED134" s="234">
        <f>DT134*DU134*GEslave+DT134*CHslave_CH*DW134+INslave*DU134*DW134</f>
        <v>3408</v>
      </c>
      <c r="EE134" s="224">
        <f>IFERROR(DR134^SIGN(DR134),1)*IFERROR(DS134^SIGN(DS134),1)*IFERROR(DT134^SIGN(DT134),1)*IFERROR(DU134^SIGN(DU134),1)*IFERROR(DV134^SIGN(DV134),1)*IFERROR(DW134^SIGN(DW134),1)*IFERROR(DX134^SIGN(DX134),1)*IFERROR(DY134^SIGN(DY134),1)</f>
        <v>1584</v>
      </c>
      <c r="EF134" s="224">
        <f t="shared" si="1120"/>
        <v>7424</v>
      </c>
      <c r="EG134" s="222">
        <f>DZ134*EC134/EF134</f>
        <v>3.8218390804597702</v>
      </c>
      <c r="EH134" s="223">
        <f>EA134*ED134/EF134</f>
        <v>10.711206896551724</v>
      </c>
      <c r="EI134" s="243">
        <f>EB134*EE134/EF134</f>
        <v>7.4676724137931032</v>
      </c>
      <c r="EJ134" s="243">
        <f>SUM(EG134:EI134)</f>
        <v>22.000718390804597</v>
      </c>
      <c r="EK134" s="252">
        <f t="shared" si="1121"/>
        <v>0</v>
      </c>
      <c r="EL134" s="309">
        <f>EJ134-EK134</f>
        <v>22.000718390804597</v>
      </c>
      <c r="EM134" s="218">
        <f>IF(EJ134&lt;=0,2,0)+IF(EJ134&gt;0,EJ134+1,0)*2+IF(EJ134&gt;12,EJ134-12,0)*2+IF(EJ134&gt;13,EJ134-13,0)*2+IF(EJ134&gt;14,EJ134-14,0)*2+IF(EJ134&gt;15,EJ134-15,0)*2+IF(EJ134&gt;16,EJ134-16,0)*2+IF(EJ134&gt;17,EJ134-17,0)*2+IF(EJ134&gt;18,EJ134-18,0)*2+IF(EJ134&gt;19,EJ134-19,0)*2+IF(EJ134&gt;20,EJ134-20,0)*2</f>
        <v>154.01436781609189</v>
      </c>
      <c r="EN134" s="242">
        <f>IF(EK134&lt;=0,2,0)+IF(EK134&gt;0,EK134+1,0)*2+IF(EK134&gt;12,EK134-12,0)*2+IF(EK134&gt;13,EK134-13,0)*2+IF(EK134&gt;14,EK134-14,0)*2+IF(EK134&gt;15,EK134-15,0)*2+IF(EK134&gt;16,EK134-16,0)*2+IF(EK134&gt;17,EK134-17,0)*2+IF(EK134&gt;18,EK134-18,0)*2+IF(EK134&gt;19,EK134-19,0)*2+IF(EK134&gt;20,EK134-20,0)*2</f>
        <v>2</v>
      </c>
      <c r="EO134" s="243">
        <f>IF((EM134-EN134)&gt;0,EM134-EN134,0)</f>
        <v>152.01436781609189</v>
      </c>
      <c r="EP134" s="218">
        <f>IF((EN134-EM134)&gt;0,EN134-EM134,0)</f>
        <v>0</v>
      </c>
      <c r="ER134" s="303" t="s">
        <v>370</v>
      </c>
      <c r="ES134" s="218" t="s">
        <v>88</v>
      </c>
      <c r="ET134" s="243" t="s">
        <v>132</v>
      </c>
      <c r="EU134" s="237"/>
      <c r="EV134" s="234"/>
      <c r="EW134" s="234">
        <f>Konvention_1slave-INslave</f>
        <v>12</v>
      </c>
      <c r="EX134" s="234">
        <f>Konvention_1slave-CHslave</f>
        <v>12</v>
      </c>
      <c r="EY134" s="234"/>
      <c r="EZ134" s="234">
        <f>Konvention_1slave-GEslave</f>
        <v>12</v>
      </c>
      <c r="FA134" s="234"/>
      <c r="FB134" s="224"/>
      <c r="FC134" s="223">
        <f>(EU134+EV134+EW134+EX134+EY134+EZ134+FA134+FB134)/3</f>
        <v>12</v>
      </c>
      <c r="FD134" s="223">
        <f>2*FC134</f>
        <v>24</v>
      </c>
      <c r="FE134" s="224">
        <f>3*FC134</f>
        <v>36</v>
      </c>
      <c r="FF134" s="237">
        <f t="shared" si="1122"/>
        <v>2304</v>
      </c>
      <c r="FG134" s="234">
        <f>EW134*EX134*GEslave+EW134*CHslave*EZ134+INslave*EX134*EZ134</f>
        <v>3456</v>
      </c>
      <c r="FH134" s="224">
        <f>IFERROR(EU134^SIGN(EU134),1)*IFERROR(EV134^SIGN(EV134),1)*IFERROR(EW134^SIGN(EW134),1)*IFERROR(EX134^SIGN(EX134),1)*IFERROR(EY134^SIGN(EY134),1)*IFERROR(EZ134^SIGN(EZ134),1)*IFERROR(FA134^SIGN(FA134),1)*IFERROR(FB134^SIGN(FB134),1)</f>
        <v>1728</v>
      </c>
      <c r="FI134" s="224">
        <f t="shared" si="1123"/>
        <v>7488</v>
      </c>
      <c r="FJ134" s="222">
        <f>FC134*FF134/FI134</f>
        <v>3.6923076923076925</v>
      </c>
      <c r="FK134" s="223">
        <f>FD134*FG134/FI134</f>
        <v>11.076923076923077</v>
      </c>
      <c r="FL134" s="243">
        <f>FE134*FH134/FI134</f>
        <v>8.3076923076923084</v>
      </c>
      <c r="FM134" s="243">
        <f>SUM(FJ134:FL134)</f>
        <v>23.07692307692308</v>
      </c>
      <c r="FN134" s="252">
        <f t="shared" si="1124"/>
        <v>0</v>
      </c>
      <c r="FO134" s="309">
        <f>FM134-FN134</f>
        <v>23.07692307692308</v>
      </c>
      <c r="FP134" s="218">
        <f>IF(FM134&lt;=0,2,0)+IF(FM134&gt;0,FM134+1,0)*2+IF(FM134&gt;12,FM134-12,0)*2+IF(FM134&gt;13,FM134-13,0)*2+IF(FM134&gt;14,FM134-14,0)*2+IF(FM134&gt;15,FM134-15,0)*2+IF(FM134&gt;16,FM134-16,0)*2+IF(FM134&gt;17,FM134-17,0)*2+IF(FM134&gt;18,FM134-18,0)*2+IF(FM134&gt;19,FM134-19,0)*2+IF(FM134&gt;20,FM134-20,0)*2</f>
        <v>175.5384615384616</v>
      </c>
      <c r="FQ134" s="242">
        <f>IF(FN134&lt;=0,2,0)+IF(FN134&gt;0,FN134+1,0)*2+IF(FN134&gt;12,FN134-12,0)*2+IF(FN134&gt;13,FN134-13,0)*2+IF(FN134&gt;14,FN134-14,0)*2+IF(FN134&gt;15,FN134-15,0)*2+IF(FN134&gt;16,FN134-16,0)*2+IF(FN134&gt;17,FN134-17,0)*2+IF(FN134&gt;18,FN134-18,0)*2+IF(FN134&gt;19,FN134-19,0)*2+IF(FN134&gt;20,FN134-20,0)*2</f>
        <v>2</v>
      </c>
      <c r="FR134" s="243">
        <f>IF((FP134-FQ134)&gt;0,FP134-FQ134,0)</f>
        <v>173.5384615384616</v>
      </c>
      <c r="FS134" s="218">
        <f>IF((FQ134-FP134)&gt;0,FQ134-FP134,0)</f>
        <v>0</v>
      </c>
      <c r="FU134" s="303" t="s">
        <v>370</v>
      </c>
      <c r="FV134" s="218" t="s">
        <v>88</v>
      </c>
      <c r="FW134" s="243" t="s">
        <v>132</v>
      </c>
      <c r="FX134" s="237"/>
      <c r="FY134" s="234"/>
      <c r="FZ134" s="234">
        <f>Konvention_1slave-INslave</f>
        <v>12</v>
      </c>
      <c r="GA134" s="234">
        <f>Konvention_1slave-CHslave</f>
        <v>12</v>
      </c>
      <c r="GB134" s="234"/>
      <c r="GC134" s="234">
        <f>Konvention_1slave-GEslave_GE</f>
        <v>11</v>
      </c>
      <c r="GD134" s="234"/>
      <c r="GE134" s="224"/>
      <c r="GF134" s="223">
        <f>(FX134+FY134+FZ134+GA134+GB134+GC134+GD134+GE134)/3</f>
        <v>11.666666666666666</v>
      </c>
      <c r="GG134" s="223">
        <f>2*GF134</f>
        <v>23.333333333333332</v>
      </c>
      <c r="GH134" s="224">
        <f>3*GF134</f>
        <v>35</v>
      </c>
      <c r="GI134" s="237">
        <f t="shared" si="1125"/>
        <v>2432</v>
      </c>
      <c r="GJ134" s="234">
        <f>FZ134*GA134*GEslave_GE+FZ134*CHslave*GC134+INslave*GA134*GC134</f>
        <v>3408</v>
      </c>
      <c r="GK134" s="224">
        <f>IFERROR(FX134^SIGN(FX134),1)*IFERROR(FY134^SIGN(FY134),1)*IFERROR(FZ134^SIGN(FZ134),1)*IFERROR(GA134^SIGN(GA134),1)*IFERROR(GB134^SIGN(GB134),1)*IFERROR(GC134^SIGN(GC134),1)*IFERROR(GD134^SIGN(GD134),1)*IFERROR(GE134^SIGN(GE134),1)</f>
        <v>1584</v>
      </c>
      <c r="GL134" s="224">
        <f t="shared" si="1126"/>
        <v>7424</v>
      </c>
      <c r="GM134" s="222">
        <f>GF134*GI134/GL134</f>
        <v>3.8218390804597702</v>
      </c>
      <c r="GN134" s="223">
        <f>GG134*GJ134/GL134</f>
        <v>10.711206896551724</v>
      </c>
      <c r="GO134" s="243">
        <f>GH134*GK134/GL134</f>
        <v>7.4676724137931032</v>
      </c>
      <c r="GP134" s="243">
        <f>SUM(GM134:GO134)</f>
        <v>22.000718390804597</v>
      </c>
      <c r="GQ134" s="252">
        <f t="shared" si="1127"/>
        <v>0</v>
      </c>
      <c r="GR134" s="309">
        <f>GP134-GQ134</f>
        <v>22.000718390804597</v>
      </c>
      <c r="GS134" s="218">
        <f>IF(GP134&lt;=0,2,0)+IF(GP134&gt;0,GP134+1,0)*2+IF(GP134&gt;12,GP134-12,0)*2+IF(GP134&gt;13,GP134-13,0)*2+IF(GP134&gt;14,GP134-14,0)*2+IF(GP134&gt;15,GP134-15,0)*2+IF(GP134&gt;16,GP134-16,0)*2+IF(GP134&gt;17,GP134-17,0)*2+IF(GP134&gt;18,GP134-18,0)*2+IF(GP134&gt;19,GP134-19,0)*2+IF(GP134&gt;20,GP134-20,0)*2</f>
        <v>154.01436781609189</v>
      </c>
      <c r="GT134" s="242">
        <f>IF(GQ134&lt;=0,2,0)+IF(GQ134&gt;0,GQ134+1,0)*2+IF(GQ134&gt;12,GQ134-12,0)*2+IF(GQ134&gt;13,GQ134-13,0)*2+IF(GQ134&gt;14,GQ134-14,0)*2+IF(GQ134&gt;15,GQ134-15,0)*2+IF(GQ134&gt;16,GQ134-16,0)*2+IF(GQ134&gt;17,GQ134-17,0)*2+IF(GQ134&gt;18,GQ134-18,0)*2+IF(GQ134&gt;19,GQ134-19,0)*2+IF(GQ134&gt;20,GQ134-20,0)*2</f>
        <v>2</v>
      </c>
      <c r="GU134" s="243">
        <f>IF((GS134-GT134)&gt;0,GS134-GT134,0)</f>
        <v>152.01436781609189</v>
      </c>
      <c r="GV134" s="218">
        <f>IF((GT134-GS134)&gt;0,GT134-GS134,0)</f>
        <v>0</v>
      </c>
      <c r="GX134" s="303" t="s">
        <v>370</v>
      </c>
      <c r="GY134" s="218" t="s">
        <v>88</v>
      </c>
      <c r="GZ134" s="243" t="s">
        <v>132</v>
      </c>
      <c r="HA134" s="237"/>
      <c r="HB134" s="234"/>
      <c r="HC134" s="234">
        <f>Konvention_1slave-INslave</f>
        <v>12</v>
      </c>
      <c r="HD134" s="234">
        <f>Konvention_1slave-CHslave</f>
        <v>12</v>
      </c>
      <c r="HE134" s="234"/>
      <c r="HF134" s="234">
        <f>Konvention_1slave-GEslave</f>
        <v>12</v>
      </c>
      <c r="HG134" s="234"/>
      <c r="HH134" s="224"/>
      <c r="HI134" s="223">
        <f>(HA134+HB134+HC134+HD134+HE134+HF134+HG134+HH134)/3</f>
        <v>12</v>
      </c>
      <c r="HJ134" s="223">
        <f>2*HI134</f>
        <v>24</v>
      </c>
      <c r="HK134" s="224">
        <f>3*HI134</f>
        <v>36</v>
      </c>
      <c r="HL134" s="237">
        <f t="shared" si="1128"/>
        <v>2304</v>
      </c>
      <c r="HM134" s="234">
        <f>HC134*HD134*GEslave+HC134*CHslave*HF134+INslave*HD134*HF134</f>
        <v>3456</v>
      </c>
      <c r="HN134" s="224">
        <f>IFERROR(HA134^SIGN(HA134),1)*IFERROR(HB134^SIGN(HB134),1)*IFERROR(HC134^SIGN(HC134),1)*IFERROR(HD134^SIGN(HD134),1)*IFERROR(HE134^SIGN(HE134),1)*IFERROR(HF134^SIGN(HF134),1)*IFERROR(HG134^SIGN(HG134),1)*IFERROR(HH134^SIGN(HH134),1)</f>
        <v>1728</v>
      </c>
      <c r="HO134" s="224">
        <f t="shared" si="1129"/>
        <v>7488</v>
      </c>
      <c r="HP134" s="222">
        <f>HI134*HL134/HO134</f>
        <v>3.6923076923076925</v>
      </c>
      <c r="HQ134" s="223">
        <f>HJ134*HM134/HO134</f>
        <v>11.076923076923077</v>
      </c>
      <c r="HR134" s="243">
        <f>HK134*HN134/HO134</f>
        <v>8.3076923076923084</v>
      </c>
      <c r="HS134" s="243">
        <f>SUM(HP134:HR134)</f>
        <v>23.07692307692308</v>
      </c>
      <c r="HT134" s="252">
        <f t="shared" si="1130"/>
        <v>0</v>
      </c>
      <c r="HU134" s="309">
        <f>HS134-HT134</f>
        <v>23.07692307692308</v>
      </c>
      <c r="HV134" s="218">
        <f>IF(HS134&lt;=0,2,0)+IF(HS134&gt;0,HS134+1,0)*2+IF(HS134&gt;12,HS134-12,0)*2+IF(HS134&gt;13,HS134-13,0)*2+IF(HS134&gt;14,HS134-14,0)*2+IF(HS134&gt;15,HS134-15,0)*2+IF(HS134&gt;16,HS134-16,0)*2+IF(HS134&gt;17,HS134-17,0)*2+IF(HS134&gt;18,HS134-18,0)*2+IF(HS134&gt;19,HS134-19,0)*2+IF(HS134&gt;20,HS134-20,0)*2</f>
        <v>175.5384615384616</v>
      </c>
      <c r="HW134" s="242">
        <f>IF(HT134&lt;=0,2,0)+IF(HT134&gt;0,HT134+1,0)*2+IF(HT134&gt;12,HT134-12,0)*2+IF(HT134&gt;13,HT134-13,0)*2+IF(HT134&gt;14,HT134-14,0)*2+IF(HT134&gt;15,HT134-15,0)*2+IF(HT134&gt;16,HT134-16,0)*2+IF(HT134&gt;17,HT134-17,0)*2+IF(HT134&gt;18,HT134-18,0)*2+IF(HT134&gt;19,HT134-19,0)*2+IF(HT134&gt;20,HT134-20,0)*2</f>
        <v>2</v>
      </c>
      <c r="HX134" s="243">
        <f>IF((HV134-HW134)&gt;0,HV134-HW134,0)</f>
        <v>173.5384615384616</v>
      </c>
      <c r="HY134" s="218">
        <f>IF((HW134-HV134)&gt;0,HW134-HV134,0)</f>
        <v>0</v>
      </c>
      <c r="IA134" s="303" t="s">
        <v>370</v>
      </c>
      <c r="IB134" s="218" t="s">
        <v>88</v>
      </c>
      <c r="IC134" s="243" t="s">
        <v>132</v>
      </c>
      <c r="ID134" s="237"/>
      <c r="IE134" s="234"/>
      <c r="IF134" s="234">
        <f>Konvention_1slave-INslave</f>
        <v>12</v>
      </c>
      <c r="IG134" s="234">
        <f>Konvention_1slave-CHslave</f>
        <v>12</v>
      </c>
      <c r="IH134" s="234"/>
      <c r="II134" s="234">
        <f>Konvention_1slave-GEslave</f>
        <v>12</v>
      </c>
      <c r="IJ134" s="234"/>
      <c r="IK134" s="224"/>
      <c r="IL134" s="223">
        <f>(ID134+IE134+IF134+IG134+IH134+II134+IJ134+IK134)/3</f>
        <v>12</v>
      </c>
      <c r="IM134" s="223">
        <f>2*IL134</f>
        <v>24</v>
      </c>
      <c r="IN134" s="224">
        <f>3*IL134</f>
        <v>36</v>
      </c>
      <c r="IO134" s="237">
        <f t="shared" si="1131"/>
        <v>2304</v>
      </c>
      <c r="IP134" s="234">
        <f>IF134*IG134*GEslave+IF134*CHslave*II134+INslave*IG134*II134</f>
        <v>3456</v>
      </c>
      <c r="IQ134" s="224">
        <f>IFERROR(ID134^SIGN(ID134),1)*IFERROR(IE134^SIGN(IE134),1)*IFERROR(IF134^SIGN(IF134),1)*IFERROR(IG134^SIGN(IG134),1)*IFERROR(IH134^SIGN(IH134),1)*IFERROR(II134^SIGN(II134),1)*IFERROR(IJ134^SIGN(IJ134),1)*IFERROR(IK134^SIGN(IK134),1)</f>
        <v>1728</v>
      </c>
      <c r="IR134" s="224">
        <f t="shared" si="1132"/>
        <v>7488</v>
      </c>
      <c r="IS134" s="222">
        <f>IL134*IO134/IR134</f>
        <v>3.6923076923076925</v>
      </c>
      <c r="IT134" s="223">
        <f>IM134*IP134/IR134</f>
        <v>11.076923076923077</v>
      </c>
      <c r="IU134" s="243">
        <f>IN134*IQ134/IR134</f>
        <v>8.3076923076923084</v>
      </c>
      <c r="IV134" s="243">
        <f>SUM(IS134:IU134)</f>
        <v>23.07692307692308</v>
      </c>
      <c r="IW134" s="252">
        <f t="shared" si="1133"/>
        <v>0</v>
      </c>
      <c r="IX134" s="309">
        <f>IV134-IW134</f>
        <v>23.07692307692308</v>
      </c>
      <c r="IY134" s="218">
        <f>IF(IV134&lt;=0,2,0)+IF(IV134&gt;0,IV134+1,0)*2+IF(IV134&gt;12,IV134-12,0)*2+IF(IV134&gt;13,IV134-13,0)*2+IF(IV134&gt;14,IV134-14,0)*2+IF(IV134&gt;15,IV134-15,0)*2+IF(IV134&gt;16,IV134-16,0)*2+IF(IV134&gt;17,IV134-17,0)*2+IF(IV134&gt;18,IV134-18,0)*2+IF(IV134&gt;19,IV134-19,0)*2+IF(IV134&gt;20,IV134-20,0)*2</f>
        <v>175.5384615384616</v>
      </c>
      <c r="IZ134" s="242">
        <f>IF(IW134&lt;=0,2,0)+IF(IW134&gt;0,IW134+1,0)*2+IF(IW134&gt;12,IW134-12,0)*2+IF(IW134&gt;13,IW134-13,0)*2+IF(IW134&gt;14,IW134-14,0)*2+IF(IW134&gt;15,IW134-15,0)*2+IF(IW134&gt;16,IW134-16,0)*2+IF(IW134&gt;17,IW134-17,0)*2+IF(IW134&gt;18,IW134-18,0)*2+IF(IW134&gt;19,IW134-19,0)*2+IF(IW134&gt;20,IW134-20,0)*2</f>
        <v>2</v>
      </c>
      <c r="JA134" s="243">
        <f>IF((IY134-IZ134)&gt;0,IY134-IZ134,0)</f>
        <v>173.5384615384616</v>
      </c>
      <c r="JB134" s="218">
        <f>IF((IZ134-IY134)&gt;0,IZ134-IY134,0)</f>
        <v>0</v>
      </c>
      <c r="JE134" s="148"/>
    </row>
    <row r="135" spans="2:265" hidden="1" outlineLevel="2">
      <c r="B135" s="148">
        <v>8</v>
      </c>
      <c r="C135" s="303" t="e">
        <f>VLOOKUP(AF135,Attribute!C:T,1,FALSE)</f>
        <v>#N/A</v>
      </c>
      <c r="D135" s="125" t="s">
        <v>101</v>
      </c>
      <c r="E135" s="127" t="s">
        <v>133</v>
      </c>
      <c r="F135" s="114"/>
      <c r="G135" s="113"/>
      <c r="H135" s="113">
        <f t="shared" si="1234"/>
        <v>12</v>
      </c>
      <c r="I135" s="113">
        <f>Konvention_1master-CHmaster</f>
        <v>12</v>
      </c>
      <c r="J135" s="113"/>
      <c r="K135" s="113"/>
      <c r="L135" s="113">
        <f>Konvention_1master-KOmaster</f>
        <v>12</v>
      </c>
      <c r="M135" s="119"/>
      <c r="N135" s="223">
        <f>(F135+G135+H135+I135+J135+K135+L135+M135)/3</f>
        <v>12</v>
      </c>
      <c r="O135" s="223">
        <f>2*N135</f>
        <v>24</v>
      </c>
      <c r="P135" s="224">
        <f>3*N135</f>
        <v>36</v>
      </c>
      <c r="Q135" s="237">
        <f>F135*POWER(KLmaster,SIGN(G135))*POWER(INmaster,SIGN(H135))*POWER(CHmaster,SIGN(I135))*POWER(FFmaster,SIGN(J135))*POWER(GEmaster,SIGN(K135))*POWER(KOmaster,SIGN(L135))*POWER(KKmaster,SIGN(M135))+G135*POWER(MUmaster,SIGN(F135))*POWER(INmaster,SIGN(H135))*POWER(CHmaster,SIGN(I135))*POWER(FFmaster,SIGN(J135))*POWER(GEmaster,SIGN(K135))*POWER(KOmaster,SIGN(L135))*POWER(KKmaster,SIGN(M135))+H135*POWER(MUmaster,SIGN(F135))*POWER(KLmaster,SIGN(G135))*POWER(CHmaster,SIGN(I135))*POWER(FFmaster,SIGN(J135))*POWER(GEmaster,SIGN(K135))*POWER(KOmaster,SIGN(L135))*POWER(KKmaster,SIGN(M135))+I135*POWER(MUmaster,SIGN(F135))*POWER(KLmaster,SIGN(G135))*POWER(INmaster,SIGN(H135))*POWER(FFmaster,SIGN(J135))*POWER(GEmaster,SIGN(K135))*POWER(KOmaster,SIGN(L135))*POWER(KKmaster,SIGN(M135))+J135*POWER(MUmaster,SIGN(F135))*POWER(KLmaster,SIGN(G135))*POWER(INmaster,SIGN(H135))*POWER(CHmaster,SIGN(I135))*POWER(GEmaster,SIGN(K135))*POWER(KOmaster,SIGN(L135))*POWER(KKmaster,SIGN(M135))+K135*POWER(MUmaster,SIGN(F135))*POWER(KLmaster,SIGN(G135))*POWER(INmaster,SIGN(H135))*POWER(CHmaster,SIGN(I135))*POWER(FFmaster,SIGN(J135))*POWER(KOmaster,SIGN(L135))*POWER(KKmaster,SIGN(M135))+L135*POWER(MUmaster,SIGN(F135))*POWER(KLmaster,SIGN(G135))*POWER(INmaster,SIGN(H135))*POWER(CHmaster,SIGN(I135))*POWER(FFmaster,SIGN(J135))*POWER(GEmaster,SIGN(K135))*POWER(KKmaster,SIGN(M135))+M135*POWER(MUmaster,SIGN(F135))*POWER(KLmaster,SIGN(G135))*POWER(INmaster,SIGN(H135))*POWER(CHmaster,SIGN(I135))*POWER(FFmaster,SIGN(J135))*POWER(GEmaster,SIGN(K135))*POWER(KOmaster,SIGN(L135))</f>
        <v>2304</v>
      </c>
      <c r="R135" s="113">
        <f>H135*I135*KOmaster+H135*CHmaster*L135+INmaster*I135*L135</f>
        <v>3456</v>
      </c>
      <c r="S135" s="224">
        <f>IFERROR(F135^SIGN(F135),1)*IFERROR(G135^SIGN(G135),1)*IFERROR(H135^SIGN(H135),1)*IFERROR(I135^SIGN(I135),1)*IFERROR(J135^SIGN(J135),1)*IFERROR(K135^SIGN(K135),1)*IFERROR(L135^SIGN(L135),1)*IFERROR(M135^SIGN(M135),1)</f>
        <v>1728</v>
      </c>
      <c r="T135" s="224">
        <f t="shared" si="1109"/>
        <v>7488</v>
      </c>
      <c r="U135" s="222">
        <f>N135*Q135/T135</f>
        <v>3.6923076923076925</v>
      </c>
      <c r="V135" s="223">
        <f>O135*R135/T135</f>
        <v>11.076923076923077</v>
      </c>
      <c r="W135" s="243">
        <f>P135*S135/T135</f>
        <v>8.3076923076923084</v>
      </c>
      <c r="X135" s="243">
        <f>SUM(U135:W135)</f>
        <v>23.07692307692308</v>
      </c>
      <c r="Y135" s="252">
        <v>0</v>
      </c>
      <c r="Z135" s="198">
        <f>X135-Y135</f>
        <v>23.07692307692308</v>
      </c>
      <c r="AA135" s="125">
        <f>IF(X135&lt;=0,1,0)+IF(X135&gt;0,X135+1,0)*1+IF(X135&gt;12,X135-12,0)*1+IF(X135&gt;13,X135-13,0)*1+IF(X135&gt;14,X135-14,0)*1+IF(X135&gt;15,X135-15,0)*1+IF(X135&gt;16,X135-16,0)*1+IF(X135&gt;17,X135-17,0)*1+IF(X135&gt;18,X135-18,0)*1+IF(X135&gt;19,X135-19,0)*1+IF(X135&gt;20,X135-20,0)*1</f>
        <v>87.769230769230802</v>
      </c>
      <c r="AB135" s="160">
        <f>IF(Y135&lt;=0,1,0)+IF(Y135&gt;0,Y135+1,0)*1+IF(Y135&gt;12,Y135-12,0)*1+IF(Y135&gt;13,Y135-13,0)*1+IF(Y135&gt;14,Y135-14,0)*1+IF(Y135&gt;15,Y135-15,0)*1+IF(Y135&gt;16,Y135-16,0)*1+IF(Y135&gt;17,Y135-17,0)*1+IF(Y135&gt;18,Y135-18,0)*1+IF(Y135&gt;19,Y135-19,0)*1+IF(Y135&gt;20,Y135-20,0)*1</f>
        <v>1</v>
      </c>
      <c r="AC135" s="127">
        <f>IF((AA135-AB135)&gt;0,AA135-AB135,0)</f>
        <v>86.769230769230802</v>
      </c>
      <c r="AD135" s="125">
        <f>IF((AB135-AA135)&gt;0,AB135-AA135,0)</f>
        <v>0</v>
      </c>
      <c r="AF135" s="163" t="s">
        <v>371</v>
      </c>
      <c r="AG135" s="125" t="s">
        <v>101</v>
      </c>
      <c r="AH135" s="127" t="s">
        <v>133</v>
      </c>
      <c r="AI135" s="114"/>
      <c r="AJ135" s="113"/>
      <c r="AK135" s="113">
        <f t="shared" si="1235"/>
        <v>12</v>
      </c>
      <c r="AL135" s="113">
        <f>Konvention_1slave-CHslave</f>
        <v>12</v>
      </c>
      <c r="AM135" s="113"/>
      <c r="AN135" s="113"/>
      <c r="AO135" s="113">
        <f>Konvention_1slave-KOslave</f>
        <v>12</v>
      </c>
      <c r="AP135" s="119"/>
      <c r="AQ135" s="47">
        <f>(AI135+AJ135+AK135+AL135+AM135+AN135+AO135+AP135)/3</f>
        <v>12</v>
      </c>
      <c r="AR135" s="47">
        <f>2*AQ135</f>
        <v>24</v>
      </c>
      <c r="AS135" s="119">
        <f>3*AQ135</f>
        <v>36</v>
      </c>
      <c r="AT135" s="114">
        <f t="shared" si="1110"/>
        <v>2304</v>
      </c>
      <c r="AU135" s="113">
        <f>AK135*AL135*KOslave+AK135*CHslave*AO135+INslave*AL135*AO135</f>
        <v>3456</v>
      </c>
      <c r="AV135" s="119">
        <f>IFERROR(AI135^SIGN(AI135),1)*IFERROR(AJ135^SIGN(AJ135),1)*IFERROR(AK135^SIGN(AK135),1)*IFERROR(AL135^SIGN(AL135),1)*IFERROR(AM135^SIGN(AM135),1)*IFERROR(AN135^SIGN(AN135),1)*IFERROR(AO135^SIGN(AO135),1)*IFERROR(AP135^SIGN(AP135),1)</f>
        <v>1728</v>
      </c>
      <c r="AW135" s="119">
        <f t="shared" si="1111"/>
        <v>7488</v>
      </c>
      <c r="AX135" s="89">
        <f>AQ135*AT135/AW135</f>
        <v>3.6923076923076925</v>
      </c>
      <c r="AY135" s="47">
        <f>AR135*AU135/AW135</f>
        <v>11.076923076923077</v>
      </c>
      <c r="AZ135" s="127">
        <f>AS135*AV135/AW135</f>
        <v>8.3076923076923084</v>
      </c>
      <c r="BA135" s="127">
        <f>SUM(AX135:AZ135)</f>
        <v>23.07692307692308</v>
      </c>
      <c r="BB135" s="165">
        <f t="shared" si="1112"/>
        <v>0</v>
      </c>
      <c r="BC135" s="198">
        <f>BA135-BB135</f>
        <v>23.07692307692308</v>
      </c>
      <c r="BD135" s="125">
        <f>IF(BA135&lt;=0,1,0)+IF(BA135&gt;0,BA135+1,0)*1+IF(BA135&gt;12,BA135-12,0)*1+IF(BA135&gt;13,BA135-13,0)*1+IF(BA135&gt;14,BA135-14,0)*1+IF(BA135&gt;15,BA135-15,0)*1+IF(BA135&gt;16,BA135-16,0)*1+IF(BA135&gt;17,BA135-17,0)*1+IF(BA135&gt;18,BA135-18,0)*1+IF(BA135&gt;19,BA135-19,0)*1+IF(BA135&gt;20,BA135-20,0)*1</f>
        <v>87.769230769230802</v>
      </c>
      <c r="BE135" s="160">
        <f>IF(BB135&lt;=0,1,0)+IF(BB135&gt;0,BB135+1,0)*1+IF(BB135&gt;12,BB135-12,0)*1+IF(BB135&gt;13,BB135-13,0)*1+IF(BB135&gt;14,BB135-14,0)*1+IF(BB135&gt;15,BB135-15,0)*1+IF(BB135&gt;16,BB135-16,0)*1+IF(BB135&gt;17,BB135-17,0)*1+IF(BB135&gt;18,BB135-18,0)*1+IF(BB135&gt;19,BB135-19,0)*1+IF(BB135&gt;20,BB135-20,0)*1</f>
        <v>1</v>
      </c>
      <c r="BF135" s="243">
        <f>IF((BD135-BE135)&gt;0,BD135-BE135,0)</f>
        <v>86.769230769230802</v>
      </c>
      <c r="BG135" s="218">
        <f>IF((BE135-BD135)&gt;0,BE135-BD135,0)</f>
        <v>0</v>
      </c>
      <c r="BI135" s="303" t="s">
        <v>371</v>
      </c>
      <c r="BJ135" s="218" t="s">
        <v>101</v>
      </c>
      <c r="BK135" s="243" t="s">
        <v>133</v>
      </c>
      <c r="BL135" s="237"/>
      <c r="BM135" s="234"/>
      <c r="BN135" s="234">
        <f t="shared" ref="BN135:BN141" si="1237">Konvention_1slave-INslave</f>
        <v>12</v>
      </c>
      <c r="BO135" s="234">
        <f>Konvention_1slave-CHslave</f>
        <v>12</v>
      </c>
      <c r="BP135" s="234"/>
      <c r="BQ135" s="234"/>
      <c r="BR135" s="234">
        <f>Konvention_1slave-KOslave</f>
        <v>12</v>
      </c>
      <c r="BS135" s="224"/>
      <c r="BT135" s="223">
        <f>(BL135+BM135+BN135+BO135+BP135+BQ135+BR135+BS135)/3</f>
        <v>12</v>
      </c>
      <c r="BU135" s="223">
        <f>2*BT135</f>
        <v>24</v>
      </c>
      <c r="BV135" s="224">
        <f>3*BT135</f>
        <v>36</v>
      </c>
      <c r="BW135" s="237">
        <f t="shared" si="1113"/>
        <v>2304</v>
      </c>
      <c r="BX135" s="234">
        <f>BN135*BO135*KOslave+BN135*CHslave*BR135+INslave*BO135*BR135</f>
        <v>3456</v>
      </c>
      <c r="BY135" s="224">
        <f>IFERROR(BL135^SIGN(BL135),1)*IFERROR(BM135^SIGN(BM135),1)*IFERROR(BN135^SIGN(BN135),1)*IFERROR(BO135^SIGN(BO135),1)*IFERROR(BP135^SIGN(BP135),1)*IFERROR(BQ135^SIGN(BQ135),1)*IFERROR(BR135^SIGN(BR135),1)*IFERROR(BS135^SIGN(BS135),1)</f>
        <v>1728</v>
      </c>
      <c r="BZ135" s="224">
        <f t="shared" si="1114"/>
        <v>7488</v>
      </c>
      <c r="CA135" s="222">
        <f>BT135*BW135/BZ135</f>
        <v>3.6923076923076925</v>
      </c>
      <c r="CB135" s="223">
        <f>BU135*BX135/BZ135</f>
        <v>11.076923076923077</v>
      </c>
      <c r="CC135" s="243">
        <f>BV135*BY135/BZ135</f>
        <v>8.3076923076923084</v>
      </c>
      <c r="CD135" s="243">
        <f>SUM(CA135:CC135)</f>
        <v>23.07692307692308</v>
      </c>
      <c r="CE135" s="252">
        <f t="shared" si="1115"/>
        <v>0</v>
      </c>
      <c r="CF135" s="309">
        <f>CD135-CE135</f>
        <v>23.07692307692308</v>
      </c>
      <c r="CG135" s="218">
        <f>IF(CD135&lt;=0,1,0)+IF(CD135&gt;0,CD135+1,0)*1+IF(CD135&gt;12,CD135-12,0)*1+IF(CD135&gt;13,CD135-13,0)*1+IF(CD135&gt;14,CD135-14,0)*1+IF(CD135&gt;15,CD135-15,0)*1+IF(CD135&gt;16,CD135-16,0)*1+IF(CD135&gt;17,CD135-17,0)*1+IF(CD135&gt;18,CD135-18,0)*1+IF(CD135&gt;19,CD135-19,0)*1+IF(CD135&gt;20,CD135-20,0)*1</f>
        <v>87.769230769230802</v>
      </c>
      <c r="CH135" s="242">
        <f>IF(CE135&lt;=0,1,0)+IF(CE135&gt;0,CE135+1,0)*1+IF(CE135&gt;12,CE135-12,0)*1+IF(CE135&gt;13,CE135-13,0)*1+IF(CE135&gt;14,CE135-14,0)*1+IF(CE135&gt;15,CE135-15,0)*1+IF(CE135&gt;16,CE135-16,0)*1+IF(CE135&gt;17,CE135-17,0)*1+IF(CE135&gt;18,CE135-18,0)*1+IF(CE135&gt;19,CE135-19,0)*1+IF(CE135&gt;20,CE135-20,0)*1</f>
        <v>1</v>
      </c>
      <c r="CI135" s="243">
        <f>IF((CG135-CH135)&gt;0,CG135-CH135,0)</f>
        <v>86.769230769230802</v>
      </c>
      <c r="CJ135" s="218">
        <f>IF((CH135-CG135)&gt;0,CH135-CG135,0)</f>
        <v>0</v>
      </c>
      <c r="CL135" s="303" t="s">
        <v>371</v>
      </c>
      <c r="CM135" s="218" t="s">
        <v>101</v>
      </c>
      <c r="CN135" s="243" t="s">
        <v>133</v>
      </c>
      <c r="CO135" s="237"/>
      <c r="CP135" s="234"/>
      <c r="CQ135" s="234">
        <f t="shared" si="1236"/>
        <v>11</v>
      </c>
      <c r="CR135" s="234">
        <f>Konvention_1slave-CHslave</f>
        <v>12</v>
      </c>
      <c r="CS135" s="234"/>
      <c r="CT135" s="234"/>
      <c r="CU135" s="234">
        <f>Konvention_1slave-KOslave</f>
        <v>12</v>
      </c>
      <c r="CV135" s="224"/>
      <c r="CW135" s="223">
        <f>(CO135+CP135+CQ135+CR135+CS135+CT135+CU135+CV135)/3</f>
        <v>11.666666666666666</v>
      </c>
      <c r="CX135" s="223">
        <f>2*CW135</f>
        <v>23.333333333333332</v>
      </c>
      <c r="CY135" s="224">
        <f>3*CW135</f>
        <v>35</v>
      </c>
      <c r="CZ135" s="237">
        <f t="shared" si="1116"/>
        <v>2432</v>
      </c>
      <c r="DA135" s="234">
        <f>CQ135*CR135*KOslave+CQ135*CHslave*CU135+INslave_IN*CR135*CU135</f>
        <v>3408</v>
      </c>
      <c r="DB135" s="224">
        <f>IFERROR(CO135^SIGN(CO135),1)*IFERROR(CP135^SIGN(CP135),1)*IFERROR(CQ135^SIGN(CQ135),1)*IFERROR(CR135^SIGN(CR135),1)*IFERROR(CS135^SIGN(CS135),1)*IFERROR(CT135^SIGN(CT135),1)*IFERROR(CU135^SIGN(CU135),1)*IFERROR(CV135^SIGN(CV135),1)</f>
        <v>1584</v>
      </c>
      <c r="DC135" s="224">
        <f t="shared" si="1117"/>
        <v>7424</v>
      </c>
      <c r="DD135" s="222">
        <f>CW135*CZ135/DC135</f>
        <v>3.8218390804597702</v>
      </c>
      <c r="DE135" s="223">
        <f>CX135*DA135/DC135</f>
        <v>10.711206896551724</v>
      </c>
      <c r="DF135" s="243">
        <f>CY135*DB135/DC135</f>
        <v>7.4676724137931032</v>
      </c>
      <c r="DG135" s="243">
        <f>SUM(DD135:DF135)</f>
        <v>22.000718390804597</v>
      </c>
      <c r="DH135" s="252">
        <f t="shared" si="1118"/>
        <v>0</v>
      </c>
      <c r="DI135" s="309">
        <f>DG135-DH135</f>
        <v>22.000718390804597</v>
      </c>
      <c r="DJ135" s="218">
        <f>IF(DG135&lt;=0,1,0)+IF(DG135&gt;0,DG135+1,0)*1+IF(DG135&gt;12,DG135-12,0)*1+IF(DG135&gt;13,DG135-13,0)*1+IF(DG135&gt;14,DG135-14,0)*1+IF(DG135&gt;15,DG135-15,0)*1+IF(DG135&gt;16,DG135-16,0)*1+IF(DG135&gt;17,DG135-17,0)*1+IF(DG135&gt;18,DG135-18,0)*1+IF(DG135&gt;19,DG135-19,0)*1+IF(DG135&gt;20,DG135-20,0)*1</f>
        <v>77.007183908045945</v>
      </c>
      <c r="DK135" s="242">
        <f>IF(DH135&lt;=0,1,0)+IF(DH135&gt;0,DH135+1,0)*1+IF(DH135&gt;12,DH135-12,0)*1+IF(DH135&gt;13,DH135-13,0)*1+IF(DH135&gt;14,DH135-14,0)*1+IF(DH135&gt;15,DH135-15,0)*1+IF(DH135&gt;16,DH135-16,0)*1+IF(DH135&gt;17,DH135-17,0)*1+IF(DH135&gt;18,DH135-18,0)*1+IF(DH135&gt;19,DH135-19,0)*1+IF(DH135&gt;20,DH135-20,0)*1</f>
        <v>1</v>
      </c>
      <c r="DL135" s="243">
        <f>IF((DJ135-DK135)&gt;0,DJ135-DK135,0)</f>
        <v>76.007183908045945</v>
      </c>
      <c r="DM135" s="218">
        <f>IF((DK135-DJ135)&gt;0,DK135-DJ135,0)</f>
        <v>0</v>
      </c>
      <c r="DO135" s="303" t="s">
        <v>371</v>
      </c>
      <c r="DP135" s="218" t="s">
        <v>101</v>
      </c>
      <c r="DQ135" s="243" t="s">
        <v>133</v>
      </c>
      <c r="DR135" s="237"/>
      <c r="DS135" s="234"/>
      <c r="DT135" s="234">
        <f t="shared" ref="DT135:DT141" si="1238">Konvention_1slave-INslave</f>
        <v>12</v>
      </c>
      <c r="DU135" s="234">
        <f>Konvention_1slave-CHslave_CH</f>
        <v>11</v>
      </c>
      <c r="DV135" s="234"/>
      <c r="DW135" s="234"/>
      <c r="DX135" s="234">
        <f>Konvention_1slave-KOslave</f>
        <v>12</v>
      </c>
      <c r="DY135" s="224"/>
      <c r="DZ135" s="223">
        <f>(DR135+DS135+DT135+DU135+DV135+DW135+DX135+DY135)/3</f>
        <v>11.666666666666666</v>
      </c>
      <c r="EA135" s="223">
        <f>2*DZ135</f>
        <v>23.333333333333332</v>
      </c>
      <c r="EB135" s="224">
        <f>3*DZ135</f>
        <v>35</v>
      </c>
      <c r="EC135" s="237">
        <f t="shared" si="1119"/>
        <v>2432</v>
      </c>
      <c r="ED135" s="234">
        <f>DT135*DU135*KOslave+DT135*CHslave_CH*DX135+INslave*DU135*DX135</f>
        <v>3408</v>
      </c>
      <c r="EE135" s="224">
        <f>IFERROR(DR135^SIGN(DR135),1)*IFERROR(DS135^SIGN(DS135),1)*IFERROR(DT135^SIGN(DT135),1)*IFERROR(DU135^SIGN(DU135),1)*IFERROR(DV135^SIGN(DV135),1)*IFERROR(DW135^SIGN(DW135),1)*IFERROR(DX135^SIGN(DX135),1)*IFERROR(DY135^SIGN(DY135),1)</f>
        <v>1584</v>
      </c>
      <c r="EF135" s="224">
        <f t="shared" si="1120"/>
        <v>7424</v>
      </c>
      <c r="EG135" s="222">
        <f>DZ135*EC135/EF135</f>
        <v>3.8218390804597702</v>
      </c>
      <c r="EH135" s="223">
        <f>EA135*ED135/EF135</f>
        <v>10.711206896551724</v>
      </c>
      <c r="EI135" s="243">
        <f>EB135*EE135/EF135</f>
        <v>7.4676724137931032</v>
      </c>
      <c r="EJ135" s="243">
        <f>SUM(EG135:EI135)</f>
        <v>22.000718390804597</v>
      </c>
      <c r="EK135" s="252">
        <f t="shared" si="1121"/>
        <v>0</v>
      </c>
      <c r="EL135" s="309">
        <f>EJ135-EK135</f>
        <v>22.000718390804597</v>
      </c>
      <c r="EM135" s="218">
        <f>IF(EJ135&lt;=0,1,0)+IF(EJ135&gt;0,EJ135+1,0)*1+IF(EJ135&gt;12,EJ135-12,0)*1+IF(EJ135&gt;13,EJ135-13,0)*1+IF(EJ135&gt;14,EJ135-14,0)*1+IF(EJ135&gt;15,EJ135-15,0)*1+IF(EJ135&gt;16,EJ135-16,0)*1+IF(EJ135&gt;17,EJ135-17,0)*1+IF(EJ135&gt;18,EJ135-18,0)*1+IF(EJ135&gt;19,EJ135-19,0)*1+IF(EJ135&gt;20,EJ135-20,0)*1</f>
        <v>77.007183908045945</v>
      </c>
      <c r="EN135" s="242">
        <f>IF(EK135&lt;=0,1,0)+IF(EK135&gt;0,EK135+1,0)*1+IF(EK135&gt;12,EK135-12,0)*1+IF(EK135&gt;13,EK135-13,0)*1+IF(EK135&gt;14,EK135-14,0)*1+IF(EK135&gt;15,EK135-15,0)*1+IF(EK135&gt;16,EK135-16,0)*1+IF(EK135&gt;17,EK135-17,0)*1+IF(EK135&gt;18,EK135-18,0)*1+IF(EK135&gt;19,EK135-19,0)*1+IF(EK135&gt;20,EK135-20,0)*1</f>
        <v>1</v>
      </c>
      <c r="EO135" s="243">
        <f>IF((EM135-EN135)&gt;0,EM135-EN135,0)</f>
        <v>76.007183908045945</v>
      </c>
      <c r="EP135" s="218">
        <f>IF((EN135-EM135)&gt;0,EN135-EM135,0)</f>
        <v>0</v>
      </c>
      <c r="ER135" s="303" t="s">
        <v>371</v>
      </c>
      <c r="ES135" s="218" t="s">
        <v>101</v>
      </c>
      <c r="ET135" s="243" t="s">
        <v>133</v>
      </c>
      <c r="EU135" s="237"/>
      <c r="EV135" s="234"/>
      <c r="EW135" s="234">
        <f t="shared" ref="EW135:EW141" si="1239">Konvention_1slave-INslave</f>
        <v>12</v>
      </c>
      <c r="EX135" s="234">
        <f>Konvention_1slave-CHslave</f>
        <v>12</v>
      </c>
      <c r="EY135" s="234"/>
      <c r="EZ135" s="234"/>
      <c r="FA135" s="234">
        <f>Konvention_1slave-KOslave</f>
        <v>12</v>
      </c>
      <c r="FB135" s="224"/>
      <c r="FC135" s="223">
        <f>(EU135+EV135+EW135+EX135+EY135+EZ135+FA135+FB135)/3</f>
        <v>12</v>
      </c>
      <c r="FD135" s="223">
        <f>2*FC135</f>
        <v>24</v>
      </c>
      <c r="FE135" s="224">
        <f>3*FC135</f>
        <v>36</v>
      </c>
      <c r="FF135" s="237">
        <f t="shared" si="1122"/>
        <v>2304</v>
      </c>
      <c r="FG135" s="234">
        <f>EW135*EX135*KOslave+EW135*CHslave*FA135+INslave*EX135*FA135</f>
        <v>3456</v>
      </c>
      <c r="FH135" s="224">
        <f>IFERROR(EU135^SIGN(EU135),1)*IFERROR(EV135^SIGN(EV135),1)*IFERROR(EW135^SIGN(EW135),1)*IFERROR(EX135^SIGN(EX135),1)*IFERROR(EY135^SIGN(EY135),1)*IFERROR(EZ135^SIGN(EZ135),1)*IFERROR(FA135^SIGN(FA135),1)*IFERROR(FB135^SIGN(FB135),1)</f>
        <v>1728</v>
      </c>
      <c r="FI135" s="224">
        <f t="shared" si="1123"/>
        <v>7488</v>
      </c>
      <c r="FJ135" s="222">
        <f>FC135*FF135/FI135</f>
        <v>3.6923076923076925</v>
      </c>
      <c r="FK135" s="223">
        <f>FD135*FG135/FI135</f>
        <v>11.076923076923077</v>
      </c>
      <c r="FL135" s="243">
        <f>FE135*FH135/FI135</f>
        <v>8.3076923076923084</v>
      </c>
      <c r="FM135" s="243">
        <f>SUM(FJ135:FL135)</f>
        <v>23.07692307692308</v>
      </c>
      <c r="FN135" s="252">
        <f t="shared" si="1124"/>
        <v>0</v>
      </c>
      <c r="FO135" s="309">
        <f>FM135-FN135</f>
        <v>23.07692307692308</v>
      </c>
      <c r="FP135" s="218">
        <f>IF(FM135&lt;=0,1,0)+IF(FM135&gt;0,FM135+1,0)*1+IF(FM135&gt;12,FM135-12,0)*1+IF(FM135&gt;13,FM135-13,0)*1+IF(FM135&gt;14,FM135-14,0)*1+IF(FM135&gt;15,FM135-15,0)*1+IF(FM135&gt;16,FM135-16,0)*1+IF(FM135&gt;17,FM135-17,0)*1+IF(FM135&gt;18,FM135-18,0)*1+IF(FM135&gt;19,FM135-19,0)*1+IF(FM135&gt;20,FM135-20,0)*1</f>
        <v>87.769230769230802</v>
      </c>
      <c r="FQ135" s="242">
        <f>IF(FN135&lt;=0,1,0)+IF(FN135&gt;0,FN135+1,0)*1+IF(FN135&gt;12,FN135-12,0)*1+IF(FN135&gt;13,FN135-13,0)*1+IF(FN135&gt;14,FN135-14,0)*1+IF(FN135&gt;15,FN135-15,0)*1+IF(FN135&gt;16,FN135-16,0)*1+IF(FN135&gt;17,FN135-17,0)*1+IF(FN135&gt;18,FN135-18,0)*1+IF(FN135&gt;19,FN135-19,0)*1+IF(FN135&gt;20,FN135-20,0)*1</f>
        <v>1</v>
      </c>
      <c r="FR135" s="243">
        <f>IF((FP135-FQ135)&gt;0,FP135-FQ135,0)</f>
        <v>86.769230769230802</v>
      </c>
      <c r="FS135" s="218">
        <f>IF((FQ135-FP135)&gt;0,FQ135-FP135,0)</f>
        <v>0</v>
      </c>
      <c r="FU135" s="303" t="s">
        <v>371</v>
      </c>
      <c r="FV135" s="218" t="s">
        <v>101</v>
      </c>
      <c r="FW135" s="243" t="s">
        <v>133</v>
      </c>
      <c r="FX135" s="237"/>
      <c r="FY135" s="234"/>
      <c r="FZ135" s="234">
        <f t="shared" ref="FZ135:FZ141" si="1240">Konvention_1slave-INslave</f>
        <v>12</v>
      </c>
      <c r="GA135" s="234">
        <f>Konvention_1slave-CHslave</f>
        <v>12</v>
      </c>
      <c r="GB135" s="234"/>
      <c r="GC135" s="234"/>
      <c r="GD135" s="234">
        <f>Konvention_1slave-KOslave</f>
        <v>12</v>
      </c>
      <c r="GE135" s="224"/>
      <c r="GF135" s="223">
        <f>(FX135+FY135+FZ135+GA135+GB135+GC135+GD135+GE135)/3</f>
        <v>12</v>
      </c>
      <c r="GG135" s="223">
        <f>2*GF135</f>
        <v>24</v>
      </c>
      <c r="GH135" s="224">
        <f>3*GF135</f>
        <v>36</v>
      </c>
      <c r="GI135" s="237">
        <f t="shared" si="1125"/>
        <v>2304</v>
      </c>
      <c r="GJ135" s="234">
        <f>FZ135*GA135*KOslave+FZ135*CHslave*GD135+INslave*GA135*GD135</f>
        <v>3456</v>
      </c>
      <c r="GK135" s="224">
        <f>IFERROR(FX135^SIGN(FX135),1)*IFERROR(FY135^SIGN(FY135),1)*IFERROR(FZ135^SIGN(FZ135),1)*IFERROR(GA135^SIGN(GA135),1)*IFERROR(GB135^SIGN(GB135),1)*IFERROR(GC135^SIGN(GC135),1)*IFERROR(GD135^SIGN(GD135),1)*IFERROR(GE135^SIGN(GE135),1)</f>
        <v>1728</v>
      </c>
      <c r="GL135" s="224">
        <f t="shared" si="1126"/>
        <v>7488</v>
      </c>
      <c r="GM135" s="222">
        <f>GF135*GI135/GL135</f>
        <v>3.6923076923076925</v>
      </c>
      <c r="GN135" s="223">
        <f>GG135*GJ135/GL135</f>
        <v>11.076923076923077</v>
      </c>
      <c r="GO135" s="243">
        <f>GH135*GK135/GL135</f>
        <v>8.3076923076923084</v>
      </c>
      <c r="GP135" s="243">
        <f>SUM(GM135:GO135)</f>
        <v>23.07692307692308</v>
      </c>
      <c r="GQ135" s="252">
        <f t="shared" si="1127"/>
        <v>0</v>
      </c>
      <c r="GR135" s="309">
        <f>GP135-GQ135</f>
        <v>23.07692307692308</v>
      </c>
      <c r="GS135" s="218">
        <f>IF(GP135&lt;=0,1,0)+IF(GP135&gt;0,GP135+1,0)*1+IF(GP135&gt;12,GP135-12,0)*1+IF(GP135&gt;13,GP135-13,0)*1+IF(GP135&gt;14,GP135-14,0)*1+IF(GP135&gt;15,GP135-15,0)*1+IF(GP135&gt;16,GP135-16,0)*1+IF(GP135&gt;17,GP135-17,0)*1+IF(GP135&gt;18,GP135-18,0)*1+IF(GP135&gt;19,GP135-19,0)*1+IF(GP135&gt;20,GP135-20,0)*1</f>
        <v>87.769230769230802</v>
      </c>
      <c r="GT135" s="242">
        <f>IF(GQ135&lt;=0,1,0)+IF(GQ135&gt;0,GQ135+1,0)*1+IF(GQ135&gt;12,GQ135-12,0)*1+IF(GQ135&gt;13,GQ135-13,0)*1+IF(GQ135&gt;14,GQ135-14,0)*1+IF(GQ135&gt;15,GQ135-15,0)*1+IF(GQ135&gt;16,GQ135-16,0)*1+IF(GQ135&gt;17,GQ135-17,0)*1+IF(GQ135&gt;18,GQ135-18,0)*1+IF(GQ135&gt;19,GQ135-19,0)*1+IF(GQ135&gt;20,GQ135-20,0)*1</f>
        <v>1</v>
      </c>
      <c r="GU135" s="243">
        <f>IF((GS135-GT135)&gt;0,GS135-GT135,0)</f>
        <v>86.769230769230802</v>
      </c>
      <c r="GV135" s="218">
        <f>IF((GT135-GS135)&gt;0,GT135-GS135,0)</f>
        <v>0</v>
      </c>
      <c r="GX135" s="303" t="s">
        <v>371</v>
      </c>
      <c r="GY135" s="218" t="s">
        <v>101</v>
      </c>
      <c r="GZ135" s="243" t="s">
        <v>133</v>
      </c>
      <c r="HA135" s="237"/>
      <c r="HB135" s="234"/>
      <c r="HC135" s="234">
        <f t="shared" ref="HC135:HC141" si="1241">Konvention_1slave-INslave</f>
        <v>12</v>
      </c>
      <c r="HD135" s="234">
        <f>Konvention_1slave-CHslave</f>
        <v>12</v>
      </c>
      <c r="HE135" s="234"/>
      <c r="HF135" s="234"/>
      <c r="HG135" s="234">
        <f>Konvention_1slave-KOslave_KO</f>
        <v>11</v>
      </c>
      <c r="HH135" s="224"/>
      <c r="HI135" s="223">
        <f>(HA135+HB135+HC135+HD135+HE135+HF135+HG135+HH135)/3</f>
        <v>11.666666666666666</v>
      </c>
      <c r="HJ135" s="223">
        <f>2*HI135</f>
        <v>23.333333333333332</v>
      </c>
      <c r="HK135" s="224">
        <f>3*HI135</f>
        <v>35</v>
      </c>
      <c r="HL135" s="237">
        <f t="shared" si="1128"/>
        <v>2432</v>
      </c>
      <c r="HM135" s="234">
        <f>HC135*HD135*KOslave_KO+HC135*CHslave*HG135+INslave*HD135*HG135</f>
        <v>3408</v>
      </c>
      <c r="HN135" s="224">
        <f>IFERROR(HA135^SIGN(HA135),1)*IFERROR(HB135^SIGN(HB135),1)*IFERROR(HC135^SIGN(HC135),1)*IFERROR(HD135^SIGN(HD135),1)*IFERROR(HE135^SIGN(HE135),1)*IFERROR(HF135^SIGN(HF135),1)*IFERROR(HG135^SIGN(HG135),1)*IFERROR(HH135^SIGN(HH135),1)</f>
        <v>1584</v>
      </c>
      <c r="HO135" s="224">
        <f t="shared" si="1129"/>
        <v>7424</v>
      </c>
      <c r="HP135" s="222">
        <f>HI135*HL135/HO135</f>
        <v>3.8218390804597702</v>
      </c>
      <c r="HQ135" s="223">
        <f>HJ135*HM135/HO135</f>
        <v>10.711206896551724</v>
      </c>
      <c r="HR135" s="243">
        <f>HK135*HN135/HO135</f>
        <v>7.4676724137931032</v>
      </c>
      <c r="HS135" s="243">
        <f>SUM(HP135:HR135)</f>
        <v>22.000718390804597</v>
      </c>
      <c r="HT135" s="252">
        <f t="shared" si="1130"/>
        <v>0</v>
      </c>
      <c r="HU135" s="309">
        <f>HS135-HT135</f>
        <v>22.000718390804597</v>
      </c>
      <c r="HV135" s="218">
        <f>IF(HS135&lt;=0,1,0)+IF(HS135&gt;0,HS135+1,0)*1+IF(HS135&gt;12,HS135-12,0)*1+IF(HS135&gt;13,HS135-13,0)*1+IF(HS135&gt;14,HS135-14,0)*1+IF(HS135&gt;15,HS135-15,0)*1+IF(HS135&gt;16,HS135-16,0)*1+IF(HS135&gt;17,HS135-17,0)*1+IF(HS135&gt;18,HS135-18,0)*1+IF(HS135&gt;19,HS135-19,0)*1+IF(HS135&gt;20,HS135-20,0)*1</f>
        <v>77.007183908045945</v>
      </c>
      <c r="HW135" s="242">
        <f>IF(HT135&lt;=0,1,0)+IF(HT135&gt;0,HT135+1,0)*1+IF(HT135&gt;12,HT135-12,0)*1+IF(HT135&gt;13,HT135-13,0)*1+IF(HT135&gt;14,HT135-14,0)*1+IF(HT135&gt;15,HT135-15,0)*1+IF(HT135&gt;16,HT135-16,0)*1+IF(HT135&gt;17,HT135-17,0)*1+IF(HT135&gt;18,HT135-18,0)*1+IF(HT135&gt;19,HT135-19,0)*1+IF(HT135&gt;20,HT135-20,0)*1</f>
        <v>1</v>
      </c>
      <c r="HX135" s="243">
        <f>IF((HV135-HW135)&gt;0,HV135-HW135,0)</f>
        <v>76.007183908045945</v>
      </c>
      <c r="HY135" s="218">
        <f>IF((HW135-HV135)&gt;0,HW135-HV135,0)</f>
        <v>0</v>
      </c>
      <c r="IA135" s="303" t="s">
        <v>371</v>
      </c>
      <c r="IB135" s="218" t="s">
        <v>101</v>
      </c>
      <c r="IC135" s="243" t="s">
        <v>133</v>
      </c>
      <c r="ID135" s="237"/>
      <c r="IE135" s="234"/>
      <c r="IF135" s="234">
        <f t="shared" ref="IF135:IF141" si="1242">Konvention_1slave-INslave</f>
        <v>12</v>
      </c>
      <c r="IG135" s="234">
        <f>Konvention_1slave-CHslave</f>
        <v>12</v>
      </c>
      <c r="IH135" s="234"/>
      <c r="II135" s="234"/>
      <c r="IJ135" s="234">
        <f>Konvention_1slave-KOslave</f>
        <v>12</v>
      </c>
      <c r="IK135" s="224"/>
      <c r="IL135" s="223">
        <f>(ID135+IE135+IF135+IG135+IH135+II135+IJ135+IK135)/3</f>
        <v>12</v>
      </c>
      <c r="IM135" s="223">
        <f>2*IL135</f>
        <v>24</v>
      </c>
      <c r="IN135" s="224">
        <f>3*IL135</f>
        <v>36</v>
      </c>
      <c r="IO135" s="237">
        <f t="shared" si="1131"/>
        <v>2304</v>
      </c>
      <c r="IP135" s="234">
        <f>IF135*IG135*KOslave+IF135*CHslave*IJ135+INslave*IG135*IJ135</f>
        <v>3456</v>
      </c>
      <c r="IQ135" s="224">
        <f>IFERROR(ID135^SIGN(ID135),1)*IFERROR(IE135^SIGN(IE135),1)*IFERROR(IF135^SIGN(IF135),1)*IFERROR(IG135^SIGN(IG135),1)*IFERROR(IH135^SIGN(IH135),1)*IFERROR(II135^SIGN(II135),1)*IFERROR(IJ135^SIGN(IJ135),1)*IFERROR(IK135^SIGN(IK135),1)</f>
        <v>1728</v>
      </c>
      <c r="IR135" s="224">
        <f t="shared" si="1132"/>
        <v>7488</v>
      </c>
      <c r="IS135" s="222">
        <f>IL135*IO135/IR135</f>
        <v>3.6923076923076925</v>
      </c>
      <c r="IT135" s="223">
        <f>IM135*IP135/IR135</f>
        <v>11.076923076923077</v>
      </c>
      <c r="IU135" s="243">
        <f>IN135*IQ135/IR135</f>
        <v>8.3076923076923084</v>
      </c>
      <c r="IV135" s="243">
        <f>SUM(IS135:IU135)</f>
        <v>23.07692307692308</v>
      </c>
      <c r="IW135" s="252">
        <f t="shared" si="1133"/>
        <v>0</v>
      </c>
      <c r="IX135" s="309">
        <f>IV135-IW135</f>
        <v>23.07692307692308</v>
      </c>
      <c r="IY135" s="218">
        <f>IF(IV135&lt;=0,1,0)+IF(IV135&gt;0,IV135+1,0)*1+IF(IV135&gt;12,IV135-12,0)*1+IF(IV135&gt;13,IV135-13,0)*1+IF(IV135&gt;14,IV135-14,0)*1+IF(IV135&gt;15,IV135-15,0)*1+IF(IV135&gt;16,IV135-16,0)*1+IF(IV135&gt;17,IV135-17,0)*1+IF(IV135&gt;18,IV135-18,0)*1+IF(IV135&gt;19,IV135-19,0)*1+IF(IV135&gt;20,IV135-20,0)*1</f>
        <v>87.769230769230802</v>
      </c>
      <c r="IZ135" s="242">
        <f>IF(IW135&lt;=0,1,0)+IF(IW135&gt;0,IW135+1,0)*1+IF(IW135&gt;12,IW135-12,0)*1+IF(IW135&gt;13,IW135-13,0)*1+IF(IW135&gt;14,IW135-14,0)*1+IF(IW135&gt;15,IW135-15,0)*1+IF(IW135&gt;16,IW135-16,0)*1+IF(IW135&gt;17,IW135-17,0)*1+IF(IW135&gt;18,IW135-18,0)*1+IF(IW135&gt;19,IW135-19,0)*1+IF(IW135&gt;20,IW135-20,0)*1</f>
        <v>1</v>
      </c>
      <c r="JA135" s="243">
        <f>IF((IY135-IZ135)&gt;0,IY135-IZ135,0)</f>
        <v>86.769230769230802</v>
      </c>
      <c r="JB135" s="218">
        <f>IF((IZ135-IY135)&gt;0,IZ135-IY135,0)</f>
        <v>0</v>
      </c>
      <c r="JE135" s="148"/>
    </row>
    <row r="136" spans="2:265" ht="15" hidden="1" customHeight="1" outlineLevel="2">
      <c r="B136" s="148">
        <v>9</v>
      </c>
      <c r="C136" s="303" t="e">
        <f>VLOOKUP(AF136,Attribute!C:T,1,FALSE)</f>
        <v>#N/A</v>
      </c>
      <c r="D136" s="86" t="s">
        <v>86</v>
      </c>
      <c r="E136" s="127" t="s">
        <v>132</v>
      </c>
      <c r="F136" s="114">
        <f>Konvention_1master-MUmaster</f>
        <v>12</v>
      </c>
      <c r="G136" s="113"/>
      <c r="H136" s="113">
        <f t="shared" si="1234"/>
        <v>12</v>
      </c>
      <c r="I136" s="113">
        <f>Konvention_1master-CHmaster</f>
        <v>12</v>
      </c>
      <c r="J136" s="113"/>
      <c r="K136" s="113"/>
      <c r="L136" s="113"/>
      <c r="M136" s="119"/>
      <c r="N136" s="223">
        <f>(F136+G136+H136+I136+J136+K136+L136+M136)/3</f>
        <v>12</v>
      </c>
      <c r="O136" s="223">
        <f>2*N136</f>
        <v>24</v>
      </c>
      <c r="P136" s="224">
        <f>3*N136</f>
        <v>36</v>
      </c>
      <c r="Q136" s="237">
        <f>F136*POWER(KLmaster,SIGN(G136))*POWER(INmaster,SIGN(H136))*POWER(CHmaster,SIGN(I136))*POWER(FFmaster,SIGN(J136))*POWER(GEmaster,SIGN(K136))*POWER(KOmaster,SIGN(L136))*POWER(KKmaster,SIGN(M136))+G136*POWER(MUmaster,SIGN(F136))*POWER(INmaster,SIGN(H136))*POWER(CHmaster,SIGN(I136))*POWER(FFmaster,SIGN(J136))*POWER(GEmaster,SIGN(K136))*POWER(KOmaster,SIGN(L136))*POWER(KKmaster,SIGN(M136))+H136*POWER(MUmaster,SIGN(F136))*POWER(KLmaster,SIGN(G136))*POWER(CHmaster,SIGN(I136))*POWER(FFmaster,SIGN(J136))*POWER(GEmaster,SIGN(K136))*POWER(KOmaster,SIGN(L136))*POWER(KKmaster,SIGN(M136))+I136*POWER(MUmaster,SIGN(F136))*POWER(KLmaster,SIGN(G136))*POWER(INmaster,SIGN(H136))*POWER(FFmaster,SIGN(J136))*POWER(GEmaster,SIGN(K136))*POWER(KOmaster,SIGN(L136))*POWER(KKmaster,SIGN(M136))+J136*POWER(MUmaster,SIGN(F136))*POWER(KLmaster,SIGN(G136))*POWER(INmaster,SIGN(H136))*POWER(CHmaster,SIGN(I136))*POWER(GEmaster,SIGN(K136))*POWER(KOmaster,SIGN(L136))*POWER(KKmaster,SIGN(M136))+K136*POWER(MUmaster,SIGN(F136))*POWER(KLmaster,SIGN(G136))*POWER(INmaster,SIGN(H136))*POWER(CHmaster,SIGN(I136))*POWER(FFmaster,SIGN(J136))*POWER(KOmaster,SIGN(L136))*POWER(KKmaster,SIGN(M136))+L136*POWER(MUmaster,SIGN(F136))*POWER(KLmaster,SIGN(G136))*POWER(INmaster,SIGN(H136))*POWER(CHmaster,SIGN(I136))*POWER(FFmaster,SIGN(J136))*POWER(GEmaster,SIGN(K136))*POWER(KKmaster,SIGN(M136))+M136*POWER(MUmaster,SIGN(F136))*POWER(KLmaster,SIGN(G136))*POWER(INmaster,SIGN(H136))*POWER(CHmaster,SIGN(I136))*POWER(FFmaster,SIGN(J136))*POWER(GEmaster,SIGN(K136))*POWER(KOmaster,SIGN(L136))</f>
        <v>2304</v>
      </c>
      <c r="R136" s="113">
        <f>F136*H136*CHmaster+F136*INmaster*I136+MUmaster*H136*I136</f>
        <v>3456</v>
      </c>
      <c r="S136" s="224">
        <f>IFERROR(F136^SIGN(F136),1)*IFERROR(G136^SIGN(G136),1)*IFERROR(H136^SIGN(H136),1)*IFERROR(I136^SIGN(I136),1)*IFERROR(J136^SIGN(J136),1)*IFERROR(K136^SIGN(K136),1)*IFERROR(L136^SIGN(L136),1)*IFERROR(M136^SIGN(M136),1)</f>
        <v>1728</v>
      </c>
      <c r="T136" s="224">
        <f t="shared" si="1109"/>
        <v>7488</v>
      </c>
      <c r="U136" s="222">
        <f>N136*Q136/T136</f>
        <v>3.6923076923076925</v>
      </c>
      <c r="V136" s="223">
        <f>O136*R136/T136</f>
        <v>11.076923076923077</v>
      </c>
      <c r="W136" s="243">
        <f>P136*S136/T136</f>
        <v>8.3076923076923084</v>
      </c>
      <c r="X136" s="243">
        <f>SUM(U136:W136)</f>
        <v>23.07692307692308</v>
      </c>
      <c r="Y136" s="252">
        <v>0</v>
      </c>
      <c r="Z136" s="198">
        <f>X136-Y136</f>
        <v>23.07692307692308</v>
      </c>
      <c r="AA136" s="125">
        <f>IF(X136&lt;=0,2,0)+IF(X136&gt;0,X136+1,0)*2+IF(X136&gt;12,X136-12,0)*2+IF(X136&gt;13,X136-13,0)*2+IF(X136&gt;14,X136-14,0)*2+IF(X136&gt;15,X136-15,0)*2+IF(X136&gt;16,X136-16,0)*2+IF(X136&gt;17,X136-17,0)*2+IF(X136&gt;18,X136-18,0)*2+IF(X136&gt;19,X136-19,0)*2+IF(X136&gt;20,X136-20,0)*2</f>
        <v>175.5384615384616</v>
      </c>
      <c r="AB136" s="160">
        <f>IF(Y136&lt;=0,2,0)+IF(Y136&gt;0,Y136+1,0)*2+IF(Y136&gt;12,Y136-12,0)*2+IF(Y136&gt;13,Y136-13,0)*2+IF(Y136&gt;14,Y136-14,0)*2+IF(Y136&gt;15,Y136-15,0)*2+IF(Y136&gt;16,Y136-16,0)*2+IF(Y136&gt;17,Y136-17,0)*2+IF(Y136&gt;18,Y136-18,0)*2+IF(Y136&gt;19,Y136-19,0)*2+IF(Y136&gt;20,Y136-20,0)*2</f>
        <v>2</v>
      </c>
      <c r="AC136" s="127">
        <f>IF((AA136-AB136)&gt;0,AA136-AB136,0)</f>
        <v>173.5384615384616</v>
      </c>
      <c r="AD136" s="125">
        <f>IF((AB136-AA136)&gt;0,AB136-AA136,0)</f>
        <v>0</v>
      </c>
      <c r="AF136" s="163" t="s">
        <v>286</v>
      </c>
      <c r="AG136" s="125" t="s">
        <v>86</v>
      </c>
      <c r="AH136" s="127" t="s">
        <v>132</v>
      </c>
      <c r="AI136" s="114">
        <f>Konvention_1slave-MUslave_MU</f>
        <v>11</v>
      </c>
      <c r="AJ136" s="113"/>
      <c r="AK136" s="113">
        <f t="shared" si="1235"/>
        <v>12</v>
      </c>
      <c r="AL136" s="113">
        <f>Konvention_1slave-CHslave</f>
        <v>12</v>
      </c>
      <c r="AM136" s="113"/>
      <c r="AN136" s="113"/>
      <c r="AO136" s="113"/>
      <c r="AP136" s="119"/>
      <c r="AQ136" s="47">
        <f>(AI136+AJ136+AK136+AL136+AM136+AN136+AO136+AP136)/3</f>
        <v>11.666666666666666</v>
      </c>
      <c r="AR136" s="47">
        <f>2*AQ136</f>
        <v>23.333333333333332</v>
      </c>
      <c r="AS136" s="119">
        <f>3*AQ136</f>
        <v>35</v>
      </c>
      <c r="AT136" s="114">
        <f t="shared" si="1110"/>
        <v>2432</v>
      </c>
      <c r="AU136" s="113">
        <f>AI136*AK136*CHslave+AI136*INslave*AL136+MUslave_MU*AK136*AL136</f>
        <v>3408</v>
      </c>
      <c r="AV136" s="119">
        <f>IFERROR(AI136^SIGN(AI136),1)*IFERROR(AJ136^SIGN(AJ136),1)*IFERROR(AK136^SIGN(AK136),1)*IFERROR(AL136^SIGN(AL136),1)*IFERROR(AM136^SIGN(AM136),1)*IFERROR(AN136^SIGN(AN136),1)*IFERROR(AO136^SIGN(AO136),1)*IFERROR(AP136^SIGN(AP136),1)</f>
        <v>1584</v>
      </c>
      <c r="AW136" s="119">
        <f t="shared" si="1111"/>
        <v>7424</v>
      </c>
      <c r="AX136" s="89">
        <f>AQ136*AT136/AW136</f>
        <v>3.8218390804597702</v>
      </c>
      <c r="AY136" s="47">
        <f>AR136*AU136/AW136</f>
        <v>10.711206896551724</v>
      </c>
      <c r="AZ136" s="127">
        <f>AS136*AV136/AW136</f>
        <v>7.4676724137931032</v>
      </c>
      <c r="BA136" s="127">
        <f>SUM(AX136:AZ136)</f>
        <v>22.000718390804597</v>
      </c>
      <c r="BB136" s="165">
        <f t="shared" si="1112"/>
        <v>0</v>
      </c>
      <c r="BC136" s="198">
        <f>BA136-BB136</f>
        <v>22.000718390804597</v>
      </c>
      <c r="BD136" s="125">
        <f>IF(BA136&lt;=0,2,0)+IF(BA136&gt;0,BA136+1,0)*2+IF(BA136&gt;12,BA136-12,0)*2+IF(BA136&gt;13,BA136-13,0)*2+IF(BA136&gt;14,BA136-14,0)*2+IF(BA136&gt;15,BA136-15,0)*2+IF(BA136&gt;16,BA136-16,0)*2+IF(BA136&gt;17,BA136-17,0)*2+IF(BA136&gt;18,BA136-18,0)*2+IF(BA136&gt;19,BA136-19,0)*2+IF(BA136&gt;20,BA136-20,0)*2</f>
        <v>154.01436781609189</v>
      </c>
      <c r="BE136" s="160">
        <f>IF(BB136&lt;=0,2,0)+IF(BB136&gt;0,BB136+1,0)*2+IF(BB136&gt;12,BB136-12,0)*2+IF(BB136&gt;13,BB136-13,0)*2+IF(BB136&gt;14,BB136-14,0)*2+IF(BB136&gt;15,BB136-15,0)*2+IF(BB136&gt;16,BB136-16,0)*2+IF(BB136&gt;17,BB136-17,0)*2+IF(BB136&gt;18,BB136-18,0)*2+IF(BB136&gt;19,BB136-19,0)*2+IF(BB136&gt;20,BB136-20,0)*2</f>
        <v>2</v>
      </c>
      <c r="BF136" s="243">
        <f>IF((BD136-BE136)&gt;0,BD136-BE136,0)</f>
        <v>152.01436781609189</v>
      </c>
      <c r="BG136" s="218">
        <f>IF((BE136-BD136)&gt;0,BE136-BD136,0)</f>
        <v>0</v>
      </c>
      <c r="BI136" s="303" t="s">
        <v>286</v>
      </c>
      <c r="BJ136" s="218" t="s">
        <v>86</v>
      </c>
      <c r="BK136" s="243" t="s">
        <v>132</v>
      </c>
      <c r="BL136" s="237">
        <f>Konvention_1slave-MUslave</f>
        <v>12</v>
      </c>
      <c r="BM136" s="234"/>
      <c r="BN136" s="234">
        <f t="shared" si="1237"/>
        <v>12</v>
      </c>
      <c r="BO136" s="234">
        <f>Konvention_1slave-CHslave</f>
        <v>12</v>
      </c>
      <c r="BP136" s="234"/>
      <c r="BQ136" s="234"/>
      <c r="BR136" s="234"/>
      <c r="BS136" s="224"/>
      <c r="BT136" s="223">
        <f>(BL136+BM136+BN136+BO136+BP136+BQ136+BR136+BS136)/3</f>
        <v>12</v>
      </c>
      <c r="BU136" s="223">
        <f>2*BT136</f>
        <v>24</v>
      </c>
      <c r="BV136" s="224">
        <f>3*BT136</f>
        <v>36</v>
      </c>
      <c r="BW136" s="237">
        <f t="shared" si="1113"/>
        <v>2304</v>
      </c>
      <c r="BX136" s="234">
        <f>BL136*BN136*CHslave+BL136*INslave*BO136+MUslave*BN136*BO136</f>
        <v>3456</v>
      </c>
      <c r="BY136" s="224">
        <f>IFERROR(BL136^SIGN(BL136),1)*IFERROR(BM136^SIGN(BM136),1)*IFERROR(BN136^SIGN(BN136),1)*IFERROR(BO136^SIGN(BO136),1)*IFERROR(BP136^SIGN(BP136),1)*IFERROR(BQ136^SIGN(BQ136),1)*IFERROR(BR136^SIGN(BR136),1)*IFERROR(BS136^SIGN(BS136),1)</f>
        <v>1728</v>
      </c>
      <c r="BZ136" s="224">
        <f t="shared" si="1114"/>
        <v>7488</v>
      </c>
      <c r="CA136" s="222">
        <f>BT136*BW136/BZ136</f>
        <v>3.6923076923076925</v>
      </c>
      <c r="CB136" s="223">
        <f>BU136*BX136/BZ136</f>
        <v>11.076923076923077</v>
      </c>
      <c r="CC136" s="243">
        <f>BV136*BY136/BZ136</f>
        <v>8.3076923076923084</v>
      </c>
      <c r="CD136" s="243">
        <f>SUM(CA136:CC136)</f>
        <v>23.07692307692308</v>
      </c>
      <c r="CE136" s="252">
        <f t="shared" si="1115"/>
        <v>0</v>
      </c>
      <c r="CF136" s="309">
        <f>CD136-CE136</f>
        <v>23.07692307692308</v>
      </c>
      <c r="CG136" s="218">
        <f>IF(CD136&lt;=0,2,0)+IF(CD136&gt;0,CD136+1,0)*2+IF(CD136&gt;12,CD136-12,0)*2+IF(CD136&gt;13,CD136-13,0)*2+IF(CD136&gt;14,CD136-14,0)*2+IF(CD136&gt;15,CD136-15,0)*2+IF(CD136&gt;16,CD136-16,0)*2+IF(CD136&gt;17,CD136-17,0)*2+IF(CD136&gt;18,CD136-18,0)*2+IF(CD136&gt;19,CD136-19,0)*2+IF(CD136&gt;20,CD136-20,0)*2</f>
        <v>175.5384615384616</v>
      </c>
      <c r="CH136" s="242">
        <f>IF(CE136&lt;=0,2,0)+IF(CE136&gt;0,CE136+1,0)*2+IF(CE136&gt;12,CE136-12,0)*2+IF(CE136&gt;13,CE136-13,0)*2+IF(CE136&gt;14,CE136-14,0)*2+IF(CE136&gt;15,CE136-15,0)*2+IF(CE136&gt;16,CE136-16,0)*2+IF(CE136&gt;17,CE136-17,0)*2+IF(CE136&gt;18,CE136-18,0)*2+IF(CE136&gt;19,CE136-19,0)*2+IF(CE136&gt;20,CE136-20,0)*2</f>
        <v>2</v>
      </c>
      <c r="CI136" s="243">
        <f>IF((CG136-CH136)&gt;0,CG136-CH136,0)</f>
        <v>173.5384615384616</v>
      </c>
      <c r="CJ136" s="218">
        <f>IF((CH136-CG136)&gt;0,CH136-CG136,0)</f>
        <v>0</v>
      </c>
      <c r="CL136" s="303" t="s">
        <v>286</v>
      </c>
      <c r="CM136" s="218" t="s">
        <v>86</v>
      </c>
      <c r="CN136" s="243" t="s">
        <v>132</v>
      </c>
      <c r="CO136" s="237">
        <f>Konvention_1slave-MUslave</f>
        <v>12</v>
      </c>
      <c r="CP136" s="234"/>
      <c r="CQ136" s="234">
        <f t="shared" si="1236"/>
        <v>11</v>
      </c>
      <c r="CR136" s="234">
        <f>Konvention_1slave-CHslave</f>
        <v>12</v>
      </c>
      <c r="CS136" s="234"/>
      <c r="CT136" s="234"/>
      <c r="CU136" s="234"/>
      <c r="CV136" s="224"/>
      <c r="CW136" s="223">
        <f>(CO136+CP136+CQ136+CR136+CS136+CT136+CU136+CV136)/3</f>
        <v>11.666666666666666</v>
      </c>
      <c r="CX136" s="223">
        <f>2*CW136</f>
        <v>23.333333333333332</v>
      </c>
      <c r="CY136" s="224">
        <f>3*CW136</f>
        <v>35</v>
      </c>
      <c r="CZ136" s="237">
        <f t="shared" si="1116"/>
        <v>2432</v>
      </c>
      <c r="DA136" s="234">
        <f>CO136*CQ136*CHslave+CO136*INslave_IN*CR136+MUslave*CQ136*CR136</f>
        <v>3408</v>
      </c>
      <c r="DB136" s="224">
        <f>IFERROR(CO136^SIGN(CO136),1)*IFERROR(CP136^SIGN(CP136),1)*IFERROR(CQ136^SIGN(CQ136),1)*IFERROR(CR136^SIGN(CR136),1)*IFERROR(CS136^SIGN(CS136),1)*IFERROR(CT136^SIGN(CT136),1)*IFERROR(CU136^SIGN(CU136),1)*IFERROR(CV136^SIGN(CV136),1)</f>
        <v>1584</v>
      </c>
      <c r="DC136" s="224">
        <f t="shared" si="1117"/>
        <v>7424</v>
      </c>
      <c r="DD136" s="222">
        <f>CW136*CZ136/DC136</f>
        <v>3.8218390804597702</v>
      </c>
      <c r="DE136" s="223">
        <f>CX136*DA136/DC136</f>
        <v>10.711206896551724</v>
      </c>
      <c r="DF136" s="243">
        <f>CY136*DB136/DC136</f>
        <v>7.4676724137931032</v>
      </c>
      <c r="DG136" s="243">
        <f>SUM(DD136:DF136)</f>
        <v>22.000718390804597</v>
      </c>
      <c r="DH136" s="252">
        <f t="shared" si="1118"/>
        <v>0</v>
      </c>
      <c r="DI136" s="309">
        <f>DG136-DH136</f>
        <v>22.000718390804597</v>
      </c>
      <c r="DJ136" s="218">
        <f>IF(DG136&lt;=0,2,0)+IF(DG136&gt;0,DG136+1,0)*2+IF(DG136&gt;12,DG136-12,0)*2+IF(DG136&gt;13,DG136-13,0)*2+IF(DG136&gt;14,DG136-14,0)*2+IF(DG136&gt;15,DG136-15,0)*2+IF(DG136&gt;16,DG136-16,0)*2+IF(DG136&gt;17,DG136-17,0)*2+IF(DG136&gt;18,DG136-18,0)*2+IF(DG136&gt;19,DG136-19,0)*2+IF(DG136&gt;20,DG136-20,0)*2</f>
        <v>154.01436781609189</v>
      </c>
      <c r="DK136" s="242">
        <f>IF(DH136&lt;=0,2,0)+IF(DH136&gt;0,DH136+1,0)*2+IF(DH136&gt;12,DH136-12,0)*2+IF(DH136&gt;13,DH136-13,0)*2+IF(DH136&gt;14,DH136-14,0)*2+IF(DH136&gt;15,DH136-15,0)*2+IF(DH136&gt;16,DH136-16,0)*2+IF(DH136&gt;17,DH136-17,0)*2+IF(DH136&gt;18,DH136-18,0)*2+IF(DH136&gt;19,DH136-19,0)*2+IF(DH136&gt;20,DH136-20,0)*2</f>
        <v>2</v>
      </c>
      <c r="DL136" s="243">
        <f>IF((DJ136-DK136)&gt;0,DJ136-DK136,0)</f>
        <v>152.01436781609189</v>
      </c>
      <c r="DM136" s="218">
        <f>IF((DK136-DJ136)&gt;0,DK136-DJ136,0)</f>
        <v>0</v>
      </c>
      <c r="DO136" s="303" t="s">
        <v>286</v>
      </c>
      <c r="DP136" s="218" t="s">
        <v>86</v>
      </c>
      <c r="DQ136" s="243" t="s">
        <v>132</v>
      </c>
      <c r="DR136" s="237">
        <f>Konvention_1slave-MUslave</f>
        <v>12</v>
      </c>
      <c r="DS136" s="234"/>
      <c r="DT136" s="234">
        <f t="shared" si="1238"/>
        <v>12</v>
      </c>
      <c r="DU136" s="234">
        <f>Konvention_1slave-CHslave_CH</f>
        <v>11</v>
      </c>
      <c r="DV136" s="234"/>
      <c r="DW136" s="234"/>
      <c r="DX136" s="234"/>
      <c r="DY136" s="224"/>
      <c r="DZ136" s="223">
        <f>(DR136+DS136+DT136+DU136+DV136+DW136+DX136+DY136)/3</f>
        <v>11.666666666666666</v>
      </c>
      <c r="EA136" s="223">
        <f>2*DZ136</f>
        <v>23.333333333333332</v>
      </c>
      <c r="EB136" s="224">
        <f>3*DZ136</f>
        <v>35</v>
      </c>
      <c r="EC136" s="237">
        <f t="shared" si="1119"/>
        <v>2432</v>
      </c>
      <c r="ED136" s="234">
        <f>DR136*DT136*CHslave_CH+DR136*INslave*DU136+MUslave*DT136*DU136</f>
        <v>3408</v>
      </c>
      <c r="EE136" s="224">
        <f>IFERROR(DR136^SIGN(DR136),1)*IFERROR(DS136^SIGN(DS136),1)*IFERROR(DT136^SIGN(DT136),1)*IFERROR(DU136^SIGN(DU136),1)*IFERROR(DV136^SIGN(DV136),1)*IFERROR(DW136^SIGN(DW136),1)*IFERROR(DX136^SIGN(DX136),1)*IFERROR(DY136^SIGN(DY136),1)</f>
        <v>1584</v>
      </c>
      <c r="EF136" s="224">
        <f t="shared" si="1120"/>
        <v>7424</v>
      </c>
      <c r="EG136" s="222">
        <f>DZ136*EC136/EF136</f>
        <v>3.8218390804597702</v>
      </c>
      <c r="EH136" s="223">
        <f>EA136*ED136/EF136</f>
        <v>10.711206896551724</v>
      </c>
      <c r="EI136" s="243">
        <f>EB136*EE136/EF136</f>
        <v>7.4676724137931032</v>
      </c>
      <c r="EJ136" s="243">
        <f>SUM(EG136:EI136)</f>
        <v>22.000718390804597</v>
      </c>
      <c r="EK136" s="252">
        <f t="shared" si="1121"/>
        <v>0</v>
      </c>
      <c r="EL136" s="309">
        <f>EJ136-EK136</f>
        <v>22.000718390804597</v>
      </c>
      <c r="EM136" s="218">
        <f>IF(EJ136&lt;=0,2,0)+IF(EJ136&gt;0,EJ136+1,0)*2+IF(EJ136&gt;12,EJ136-12,0)*2+IF(EJ136&gt;13,EJ136-13,0)*2+IF(EJ136&gt;14,EJ136-14,0)*2+IF(EJ136&gt;15,EJ136-15,0)*2+IF(EJ136&gt;16,EJ136-16,0)*2+IF(EJ136&gt;17,EJ136-17,0)*2+IF(EJ136&gt;18,EJ136-18,0)*2+IF(EJ136&gt;19,EJ136-19,0)*2+IF(EJ136&gt;20,EJ136-20,0)*2</f>
        <v>154.01436781609189</v>
      </c>
      <c r="EN136" s="242">
        <f>IF(EK136&lt;=0,2,0)+IF(EK136&gt;0,EK136+1,0)*2+IF(EK136&gt;12,EK136-12,0)*2+IF(EK136&gt;13,EK136-13,0)*2+IF(EK136&gt;14,EK136-14,0)*2+IF(EK136&gt;15,EK136-15,0)*2+IF(EK136&gt;16,EK136-16,0)*2+IF(EK136&gt;17,EK136-17,0)*2+IF(EK136&gt;18,EK136-18,0)*2+IF(EK136&gt;19,EK136-19,0)*2+IF(EK136&gt;20,EK136-20,0)*2</f>
        <v>2</v>
      </c>
      <c r="EO136" s="243">
        <f>IF((EM136-EN136)&gt;0,EM136-EN136,0)</f>
        <v>152.01436781609189</v>
      </c>
      <c r="EP136" s="218">
        <f>IF((EN136-EM136)&gt;0,EN136-EM136,0)</f>
        <v>0</v>
      </c>
      <c r="ER136" s="303" t="s">
        <v>286</v>
      </c>
      <c r="ES136" s="218" t="s">
        <v>86</v>
      </c>
      <c r="ET136" s="243" t="s">
        <v>132</v>
      </c>
      <c r="EU136" s="237">
        <f>Konvention_1slave-MUslave</f>
        <v>12</v>
      </c>
      <c r="EV136" s="234"/>
      <c r="EW136" s="234">
        <f t="shared" si="1239"/>
        <v>12</v>
      </c>
      <c r="EX136" s="234">
        <f>Konvention_1slave-CHslave</f>
        <v>12</v>
      </c>
      <c r="EY136" s="234"/>
      <c r="EZ136" s="234"/>
      <c r="FA136" s="234"/>
      <c r="FB136" s="224"/>
      <c r="FC136" s="223">
        <f>(EU136+EV136+EW136+EX136+EY136+EZ136+FA136+FB136)/3</f>
        <v>12</v>
      </c>
      <c r="FD136" s="223">
        <f>2*FC136</f>
        <v>24</v>
      </c>
      <c r="FE136" s="224">
        <f>3*FC136</f>
        <v>36</v>
      </c>
      <c r="FF136" s="237">
        <f t="shared" si="1122"/>
        <v>2304</v>
      </c>
      <c r="FG136" s="234">
        <f>EU136*EW136*CHslave+EU136*INslave*EX136+MUslave*EW136*EX136</f>
        <v>3456</v>
      </c>
      <c r="FH136" s="224">
        <f>IFERROR(EU136^SIGN(EU136),1)*IFERROR(EV136^SIGN(EV136),1)*IFERROR(EW136^SIGN(EW136),1)*IFERROR(EX136^SIGN(EX136),1)*IFERROR(EY136^SIGN(EY136),1)*IFERROR(EZ136^SIGN(EZ136),1)*IFERROR(FA136^SIGN(FA136),1)*IFERROR(FB136^SIGN(FB136),1)</f>
        <v>1728</v>
      </c>
      <c r="FI136" s="224">
        <f t="shared" si="1123"/>
        <v>7488</v>
      </c>
      <c r="FJ136" s="222">
        <f>FC136*FF136/FI136</f>
        <v>3.6923076923076925</v>
      </c>
      <c r="FK136" s="223">
        <f>FD136*FG136/FI136</f>
        <v>11.076923076923077</v>
      </c>
      <c r="FL136" s="243">
        <f>FE136*FH136/FI136</f>
        <v>8.3076923076923084</v>
      </c>
      <c r="FM136" s="243">
        <f>SUM(FJ136:FL136)</f>
        <v>23.07692307692308</v>
      </c>
      <c r="FN136" s="252">
        <f t="shared" si="1124"/>
        <v>0</v>
      </c>
      <c r="FO136" s="309">
        <f>FM136-FN136</f>
        <v>23.07692307692308</v>
      </c>
      <c r="FP136" s="218">
        <f>IF(FM136&lt;=0,2,0)+IF(FM136&gt;0,FM136+1,0)*2+IF(FM136&gt;12,FM136-12,0)*2+IF(FM136&gt;13,FM136-13,0)*2+IF(FM136&gt;14,FM136-14,0)*2+IF(FM136&gt;15,FM136-15,0)*2+IF(FM136&gt;16,FM136-16,0)*2+IF(FM136&gt;17,FM136-17,0)*2+IF(FM136&gt;18,FM136-18,0)*2+IF(FM136&gt;19,FM136-19,0)*2+IF(FM136&gt;20,FM136-20,0)*2</f>
        <v>175.5384615384616</v>
      </c>
      <c r="FQ136" s="242">
        <f>IF(FN136&lt;=0,2,0)+IF(FN136&gt;0,FN136+1,0)*2+IF(FN136&gt;12,FN136-12,0)*2+IF(FN136&gt;13,FN136-13,0)*2+IF(FN136&gt;14,FN136-14,0)*2+IF(FN136&gt;15,FN136-15,0)*2+IF(FN136&gt;16,FN136-16,0)*2+IF(FN136&gt;17,FN136-17,0)*2+IF(FN136&gt;18,FN136-18,0)*2+IF(FN136&gt;19,FN136-19,0)*2+IF(FN136&gt;20,FN136-20,0)*2</f>
        <v>2</v>
      </c>
      <c r="FR136" s="243">
        <f>IF((FP136-FQ136)&gt;0,FP136-FQ136,0)</f>
        <v>173.5384615384616</v>
      </c>
      <c r="FS136" s="218">
        <f>IF((FQ136-FP136)&gt;0,FQ136-FP136,0)</f>
        <v>0</v>
      </c>
      <c r="FU136" s="303" t="s">
        <v>286</v>
      </c>
      <c r="FV136" s="218" t="s">
        <v>86</v>
      </c>
      <c r="FW136" s="243" t="s">
        <v>132</v>
      </c>
      <c r="FX136" s="237">
        <f>Konvention_1slave-MUslave</f>
        <v>12</v>
      </c>
      <c r="FY136" s="234"/>
      <c r="FZ136" s="234">
        <f t="shared" si="1240"/>
        <v>12</v>
      </c>
      <c r="GA136" s="234">
        <f>Konvention_1slave-CHslave</f>
        <v>12</v>
      </c>
      <c r="GB136" s="234"/>
      <c r="GC136" s="234"/>
      <c r="GD136" s="234"/>
      <c r="GE136" s="224"/>
      <c r="GF136" s="223">
        <f>(FX136+FY136+FZ136+GA136+GB136+GC136+GD136+GE136)/3</f>
        <v>12</v>
      </c>
      <c r="GG136" s="223">
        <f>2*GF136</f>
        <v>24</v>
      </c>
      <c r="GH136" s="224">
        <f>3*GF136</f>
        <v>36</v>
      </c>
      <c r="GI136" s="237">
        <f t="shared" si="1125"/>
        <v>2304</v>
      </c>
      <c r="GJ136" s="234">
        <f>FX136*FZ136*CHslave+FX136*INslave*GA136+MUslave*FZ136*GA136</f>
        <v>3456</v>
      </c>
      <c r="GK136" s="224">
        <f>IFERROR(FX136^SIGN(FX136),1)*IFERROR(FY136^SIGN(FY136),1)*IFERROR(FZ136^SIGN(FZ136),1)*IFERROR(GA136^SIGN(GA136),1)*IFERROR(GB136^SIGN(GB136),1)*IFERROR(GC136^SIGN(GC136),1)*IFERROR(GD136^SIGN(GD136),1)*IFERROR(GE136^SIGN(GE136),1)</f>
        <v>1728</v>
      </c>
      <c r="GL136" s="224">
        <f t="shared" si="1126"/>
        <v>7488</v>
      </c>
      <c r="GM136" s="222">
        <f>GF136*GI136/GL136</f>
        <v>3.6923076923076925</v>
      </c>
      <c r="GN136" s="223">
        <f>GG136*GJ136/GL136</f>
        <v>11.076923076923077</v>
      </c>
      <c r="GO136" s="243">
        <f>GH136*GK136/GL136</f>
        <v>8.3076923076923084</v>
      </c>
      <c r="GP136" s="243">
        <f>SUM(GM136:GO136)</f>
        <v>23.07692307692308</v>
      </c>
      <c r="GQ136" s="252">
        <f t="shared" si="1127"/>
        <v>0</v>
      </c>
      <c r="GR136" s="309">
        <f>GP136-GQ136</f>
        <v>23.07692307692308</v>
      </c>
      <c r="GS136" s="218">
        <f>IF(GP136&lt;=0,2,0)+IF(GP136&gt;0,GP136+1,0)*2+IF(GP136&gt;12,GP136-12,0)*2+IF(GP136&gt;13,GP136-13,0)*2+IF(GP136&gt;14,GP136-14,0)*2+IF(GP136&gt;15,GP136-15,0)*2+IF(GP136&gt;16,GP136-16,0)*2+IF(GP136&gt;17,GP136-17,0)*2+IF(GP136&gt;18,GP136-18,0)*2+IF(GP136&gt;19,GP136-19,0)*2+IF(GP136&gt;20,GP136-20,0)*2</f>
        <v>175.5384615384616</v>
      </c>
      <c r="GT136" s="242">
        <f>IF(GQ136&lt;=0,2,0)+IF(GQ136&gt;0,GQ136+1,0)*2+IF(GQ136&gt;12,GQ136-12,0)*2+IF(GQ136&gt;13,GQ136-13,0)*2+IF(GQ136&gt;14,GQ136-14,0)*2+IF(GQ136&gt;15,GQ136-15,0)*2+IF(GQ136&gt;16,GQ136-16,0)*2+IF(GQ136&gt;17,GQ136-17,0)*2+IF(GQ136&gt;18,GQ136-18,0)*2+IF(GQ136&gt;19,GQ136-19,0)*2+IF(GQ136&gt;20,GQ136-20,0)*2</f>
        <v>2</v>
      </c>
      <c r="GU136" s="243">
        <f>IF((GS136-GT136)&gt;0,GS136-GT136,0)</f>
        <v>173.5384615384616</v>
      </c>
      <c r="GV136" s="218">
        <f>IF((GT136-GS136)&gt;0,GT136-GS136,0)</f>
        <v>0</v>
      </c>
      <c r="GX136" s="303" t="s">
        <v>286</v>
      </c>
      <c r="GY136" s="218" t="s">
        <v>86</v>
      </c>
      <c r="GZ136" s="243" t="s">
        <v>132</v>
      </c>
      <c r="HA136" s="237">
        <f>Konvention_1slave-MUslave</f>
        <v>12</v>
      </c>
      <c r="HB136" s="234"/>
      <c r="HC136" s="234">
        <f t="shared" si="1241"/>
        <v>12</v>
      </c>
      <c r="HD136" s="234">
        <f>Konvention_1slave-CHslave</f>
        <v>12</v>
      </c>
      <c r="HE136" s="234"/>
      <c r="HF136" s="234"/>
      <c r="HG136" s="234"/>
      <c r="HH136" s="224"/>
      <c r="HI136" s="223">
        <f>(HA136+HB136+HC136+HD136+HE136+HF136+HG136+HH136)/3</f>
        <v>12</v>
      </c>
      <c r="HJ136" s="223">
        <f>2*HI136</f>
        <v>24</v>
      </c>
      <c r="HK136" s="224">
        <f>3*HI136</f>
        <v>36</v>
      </c>
      <c r="HL136" s="237">
        <f t="shared" si="1128"/>
        <v>2304</v>
      </c>
      <c r="HM136" s="234">
        <f>HA136*HC136*CHslave+HA136*INslave*HD136+MUslave*HC136*HD136</f>
        <v>3456</v>
      </c>
      <c r="HN136" s="224">
        <f>IFERROR(HA136^SIGN(HA136),1)*IFERROR(HB136^SIGN(HB136),1)*IFERROR(HC136^SIGN(HC136),1)*IFERROR(HD136^SIGN(HD136),1)*IFERROR(HE136^SIGN(HE136),1)*IFERROR(HF136^SIGN(HF136),1)*IFERROR(HG136^SIGN(HG136),1)*IFERROR(HH136^SIGN(HH136),1)</f>
        <v>1728</v>
      </c>
      <c r="HO136" s="224">
        <f t="shared" si="1129"/>
        <v>7488</v>
      </c>
      <c r="HP136" s="222">
        <f>HI136*HL136/HO136</f>
        <v>3.6923076923076925</v>
      </c>
      <c r="HQ136" s="223">
        <f>HJ136*HM136/HO136</f>
        <v>11.076923076923077</v>
      </c>
      <c r="HR136" s="243">
        <f>HK136*HN136/HO136</f>
        <v>8.3076923076923084</v>
      </c>
      <c r="HS136" s="243">
        <f>SUM(HP136:HR136)</f>
        <v>23.07692307692308</v>
      </c>
      <c r="HT136" s="252">
        <f t="shared" si="1130"/>
        <v>0</v>
      </c>
      <c r="HU136" s="309">
        <f>HS136-HT136</f>
        <v>23.07692307692308</v>
      </c>
      <c r="HV136" s="218">
        <f>IF(HS136&lt;=0,2,0)+IF(HS136&gt;0,HS136+1,0)*2+IF(HS136&gt;12,HS136-12,0)*2+IF(HS136&gt;13,HS136-13,0)*2+IF(HS136&gt;14,HS136-14,0)*2+IF(HS136&gt;15,HS136-15,0)*2+IF(HS136&gt;16,HS136-16,0)*2+IF(HS136&gt;17,HS136-17,0)*2+IF(HS136&gt;18,HS136-18,0)*2+IF(HS136&gt;19,HS136-19,0)*2+IF(HS136&gt;20,HS136-20,0)*2</f>
        <v>175.5384615384616</v>
      </c>
      <c r="HW136" s="242">
        <f>IF(HT136&lt;=0,2,0)+IF(HT136&gt;0,HT136+1,0)*2+IF(HT136&gt;12,HT136-12,0)*2+IF(HT136&gt;13,HT136-13,0)*2+IF(HT136&gt;14,HT136-14,0)*2+IF(HT136&gt;15,HT136-15,0)*2+IF(HT136&gt;16,HT136-16,0)*2+IF(HT136&gt;17,HT136-17,0)*2+IF(HT136&gt;18,HT136-18,0)*2+IF(HT136&gt;19,HT136-19,0)*2+IF(HT136&gt;20,HT136-20,0)*2</f>
        <v>2</v>
      </c>
      <c r="HX136" s="243">
        <f>IF((HV136-HW136)&gt;0,HV136-HW136,0)</f>
        <v>173.5384615384616</v>
      </c>
      <c r="HY136" s="218">
        <f>IF((HW136-HV136)&gt;0,HW136-HV136,0)</f>
        <v>0</v>
      </c>
      <c r="IA136" s="303" t="s">
        <v>286</v>
      </c>
      <c r="IB136" s="218" t="s">
        <v>86</v>
      </c>
      <c r="IC136" s="243" t="s">
        <v>132</v>
      </c>
      <c r="ID136" s="237">
        <f>Konvention_1slave-MUslave</f>
        <v>12</v>
      </c>
      <c r="IE136" s="234"/>
      <c r="IF136" s="234">
        <f t="shared" si="1242"/>
        <v>12</v>
      </c>
      <c r="IG136" s="234">
        <f>Konvention_1slave-CHslave</f>
        <v>12</v>
      </c>
      <c r="IH136" s="234"/>
      <c r="II136" s="234"/>
      <c r="IJ136" s="234"/>
      <c r="IK136" s="224"/>
      <c r="IL136" s="223">
        <f>(ID136+IE136+IF136+IG136+IH136+II136+IJ136+IK136)/3</f>
        <v>12</v>
      </c>
      <c r="IM136" s="223">
        <f>2*IL136</f>
        <v>24</v>
      </c>
      <c r="IN136" s="224">
        <f>3*IL136</f>
        <v>36</v>
      </c>
      <c r="IO136" s="237">
        <f t="shared" si="1131"/>
        <v>2304</v>
      </c>
      <c r="IP136" s="234">
        <f>ID136*IF136*CHslave+ID136*INslave*IG136+MUslave*IF136*IG136</f>
        <v>3456</v>
      </c>
      <c r="IQ136" s="224">
        <f>IFERROR(ID136^SIGN(ID136),1)*IFERROR(IE136^SIGN(IE136),1)*IFERROR(IF136^SIGN(IF136),1)*IFERROR(IG136^SIGN(IG136),1)*IFERROR(IH136^SIGN(IH136),1)*IFERROR(II136^SIGN(II136),1)*IFERROR(IJ136^SIGN(IJ136),1)*IFERROR(IK136^SIGN(IK136),1)</f>
        <v>1728</v>
      </c>
      <c r="IR136" s="224">
        <f t="shared" si="1132"/>
        <v>7488</v>
      </c>
      <c r="IS136" s="222">
        <f>IL136*IO136/IR136</f>
        <v>3.6923076923076925</v>
      </c>
      <c r="IT136" s="223">
        <f>IM136*IP136/IR136</f>
        <v>11.076923076923077</v>
      </c>
      <c r="IU136" s="243">
        <f>IN136*IQ136/IR136</f>
        <v>8.3076923076923084</v>
      </c>
      <c r="IV136" s="243">
        <f>SUM(IS136:IU136)</f>
        <v>23.07692307692308</v>
      </c>
      <c r="IW136" s="252">
        <f t="shared" si="1133"/>
        <v>0</v>
      </c>
      <c r="IX136" s="309">
        <f>IV136-IW136</f>
        <v>23.07692307692308</v>
      </c>
      <c r="IY136" s="218">
        <f>IF(IV136&lt;=0,2,0)+IF(IV136&gt;0,IV136+1,0)*2+IF(IV136&gt;12,IV136-12,0)*2+IF(IV136&gt;13,IV136-13,0)*2+IF(IV136&gt;14,IV136-14,0)*2+IF(IV136&gt;15,IV136-15,0)*2+IF(IV136&gt;16,IV136-16,0)*2+IF(IV136&gt;17,IV136-17,0)*2+IF(IV136&gt;18,IV136-18,0)*2+IF(IV136&gt;19,IV136-19,0)*2+IF(IV136&gt;20,IV136-20,0)*2</f>
        <v>175.5384615384616</v>
      </c>
      <c r="IZ136" s="242">
        <f>IF(IW136&lt;=0,2,0)+IF(IW136&gt;0,IW136+1,0)*2+IF(IW136&gt;12,IW136-12,0)*2+IF(IW136&gt;13,IW136-13,0)*2+IF(IW136&gt;14,IW136-14,0)*2+IF(IW136&gt;15,IW136-15,0)*2+IF(IW136&gt;16,IW136-16,0)*2+IF(IW136&gt;17,IW136-17,0)*2+IF(IW136&gt;18,IW136-18,0)*2+IF(IW136&gt;19,IW136-19,0)*2+IF(IW136&gt;20,IW136-20,0)*2</f>
        <v>2</v>
      </c>
      <c r="JA136" s="243">
        <f>IF((IY136-IZ136)&gt;0,IY136-IZ136,0)</f>
        <v>173.5384615384616</v>
      </c>
      <c r="JB136" s="218">
        <f>IF((IZ136-IY136)&gt;0,IZ136-IY136,0)</f>
        <v>0</v>
      </c>
      <c r="JE136" s="148"/>
    </row>
    <row r="137" spans="2:265" ht="15" hidden="1" customHeight="1" outlineLevel="2">
      <c r="B137" s="148">
        <v>10</v>
      </c>
      <c r="C137" s="303" t="e">
        <f>VLOOKUP(AF137,Attribute!C:T,1,FALSE)</f>
        <v>#N/A</v>
      </c>
      <c r="D137" s="86" t="s">
        <v>95</v>
      </c>
      <c r="E137" s="127" t="s">
        <v>132</v>
      </c>
      <c r="F137" s="114">
        <f>Konvention_1master-MUmaster</f>
        <v>12</v>
      </c>
      <c r="G137" s="113">
        <f>Konvention_1master-KLmaster</f>
        <v>12</v>
      </c>
      <c r="H137" s="113">
        <f t="shared" si="1234"/>
        <v>12</v>
      </c>
      <c r="I137" s="113"/>
      <c r="J137" s="113"/>
      <c r="K137" s="113"/>
      <c r="L137" s="113"/>
      <c r="M137" s="119"/>
      <c r="N137" s="223">
        <f t="shared" si="1134"/>
        <v>12</v>
      </c>
      <c r="O137" s="223">
        <f t="shared" si="1135"/>
        <v>24</v>
      </c>
      <c r="P137" s="224">
        <f t="shared" si="1136"/>
        <v>36</v>
      </c>
      <c r="Q137" s="237">
        <f t="shared" si="1137"/>
        <v>2304</v>
      </c>
      <c r="R137" s="113">
        <f>F137*G137*INmaster+F137*KLmaster*H137+MUmaster*G137*H137</f>
        <v>3456</v>
      </c>
      <c r="S137" s="224">
        <f t="shared" si="1138"/>
        <v>1728</v>
      </c>
      <c r="T137" s="224">
        <f t="shared" si="1109"/>
        <v>7488</v>
      </c>
      <c r="U137" s="222">
        <f t="shared" si="1139"/>
        <v>3.6923076923076925</v>
      </c>
      <c r="V137" s="223">
        <f t="shared" si="1140"/>
        <v>11.076923076923077</v>
      </c>
      <c r="W137" s="243">
        <f t="shared" si="1141"/>
        <v>8.3076923076923084</v>
      </c>
      <c r="X137" s="243">
        <f t="shared" si="1142"/>
        <v>23.07692307692308</v>
      </c>
      <c r="Y137" s="252">
        <v>0</v>
      </c>
      <c r="Z137" s="198">
        <f t="shared" si="1143"/>
        <v>23.07692307692308</v>
      </c>
      <c r="AA137" s="125">
        <f>IF(X137&lt;=0,2,0)+IF(X137&gt;0,X137+1,0)*2+IF(X137&gt;12,X137-12,0)*2+IF(X137&gt;13,X137-13,0)*2+IF(X137&gt;14,X137-14,0)*2+IF(X137&gt;15,X137-15,0)*2+IF(X137&gt;16,X137-16,0)*2+IF(X137&gt;17,X137-17,0)*2+IF(X137&gt;18,X137-18,0)*2+IF(X137&gt;19,X137-19,0)*2+IF(X137&gt;20,X137-20,0)*2</f>
        <v>175.5384615384616</v>
      </c>
      <c r="AB137" s="160">
        <f>IF(Y137&lt;=0,2,0)+IF(Y137&gt;0,Y137+1,0)*2+IF(Y137&gt;12,Y137-12,0)*2+IF(Y137&gt;13,Y137-13,0)*2+IF(Y137&gt;14,Y137-14,0)*2+IF(Y137&gt;15,Y137-15,0)*2+IF(Y137&gt;16,Y137-16,0)*2+IF(Y137&gt;17,Y137-17,0)*2+IF(Y137&gt;18,Y137-18,0)*2+IF(Y137&gt;19,Y137-19,0)*2+IF(Y137&gt;20,Y137-20,0)*2</f>
        <v>2</v>
      </c>
      <c r="AC137" s="127">
        <f t="shared" si="1144"/>
        <v>173.5384615384616</v>
      </c>
      <c r="AD137" s="125">
        <f t="shared" si="1145"/>
        <v>0</v>
      </c>
      <c r="AF137" s="163" t="s">
        <v>192</v>
      </c>
      <c r="AG137" s="125" t="s">
        <v>95</v>
      </c>
      <c r="AH137" s="127" t="s">
        <v>132</v>
      </c>
      <c r="AI137" s="114">
        <f>Konvention_1slave-MUslave_MU</f>
        <v>11</v>
      </c>
      <c r="AJ137" s="113">
        <f>Konvention_1slave-KLslave</f>
        <v>12</v>
      </c>
      <c r="AK137" s="113">
        <f t="shared" si="1235"/>
        <v>12</v>
      </c>
      <c r="AL137" s="113"/>
      <c r="AM137" s="113"/>
      <c r="AN137" s="113"/>
      <c r="AO137" s="113"/>
      <c r="AP137" s="119"/>
      <c r="AQ137" s="47">
        <f t="shared" si="1146"/>
        <v>11.666666666666666</v>
      </c>
      <c r="AR137" s="47">
        <f t="shared" si="1147"/>
        <v>23.333333333333332</v>
      </c>
      <c r="AS137" s="119">
        <f t="shared" si="1148"/>
        <v>35</v>
      </c>
      <c r="AT137" s="114">
        <f t="shared" si="1110"/>
        <v>2432</v>
      </c>
      <c r="AU137" s="113">
        <f>AI137*AJ137*INslave+AI137*KLslave*AK137+MUslave_MU*AJ137*AK137</f>
        <v>3408</v>
      </c>
      <c r="AV137" s="119">
        <f t="shared" si="1149"/>
        <v>1584</v>
      </c>
      <c r="AW137" s="119">
        <f t="shared" si="1111"/>
        <v>7424</v>
      </c>
      <c r="AX137" s="89">
        <f t="shared" si="1150"/>
        <v>3.8218390804597702</v>
      </c>
      <c r="AY137" s="47">
        <f t="shared" si="1151"/>
        <v>10.711206896551724</v>
      </c>
      <c r="AZ137" s="127">
        <f t="shared" si="1152"/>
        <v>7.4676724137931032</v>
      </c>
      <c r="BA137" s="127">
        <f t="shared" si="1153"/>
        <v>22.000718390804597</v>
      </c>
      <c r="BB137" s="165">
        <f t="shared" si="1112"/>
        <v>0</v>
      </c>
      <c r="BC137" s="198">
        <f t="shared" si="1154"/>
        <v>22.000718390804597</v>
      </c>
      <c r="BD137" s="125">
        <f>IF(BA137&lt;=0,2,0)+IF(BA137&gt;0,BA137+1,0)*2+IF(BA137&gt;12,BA137-12,0)*2+IF(BA137&gt;13,BA137-13,0)*2+IF(BA137&gt;14,BA137-14,0)*2+IF(BA137&gt;15,BA137-15,0)*2+IF(BA137&gt;16,BA137-16,0)*2+IF(BA137&gt;17,BA137-17,0)*2+IF(BA137&gt;18,BA137-18,0)*2+IF(BA137&gt;19,BA137-19,0)*2+IF(BA137&gt;20,BA137-20,0)*2</f>
        <v>154.01436781609189</v>
      </c>
      <c r="BE137" s="160">
        <f>IF(BB137&lt;=0,2,0)+IF(BB137&gt;0,BB137+1,0)*2+IF(BB137&gt;12,BB137-12,0)*2+IF(BB137&gt;13,BB137-13,0)*2+IF(BB137&gt;14,BB137-14,0)*2+IF(BB137&gt;15,BB137-15,0)*2+IF(BB137&gt;16,BB137-16,0)*2+IF(BB137&gt;17,BB137-17,0)*2+IF(BB137&gt;18,BB137-18,0)*2+IF(BB137&gt;19,BB137-19,0)*2+IF(BB137&gt;20,BB137-20,0)*2</f>
        <v>2</v>
      </c>
      <c r="BF137" s="243">
        <f t="shared" si="1155"/>
        <v>152.01436781609189</v>
      </c>
      <c r="BG137" s="218">
        <f t="shared" si="1156"/>
        <v>0</v>
      </c>
      <c r="BI137" s="303" t="s">
        <v>192</v>
      </c>
      <c r="BJ137" s="218" t="s">
        <v>95</v>
      </c>
      <c r="BK137" s="243" t="s">
        <v>132</v>
      </c>
      <c r="BL137" s="237">
        <f>Konvention_1slave-MUslave</f>
        <v>12</v>
      </c>
      <c r="BM137" s="234">
        <f>Konvention_1slave-KLslave_KL</f>
        <v>11</v>
      </c>
      <c r="BN137" s="234">
        <f t="shared" si="1237"/>
        <v>12</v>
      </c>
      <c r="BO137" s="234"/>
      <c r="BP137" s="234"/>
      <c r="BQ137" s="234"/>
      <c r="BR137" s="234"/>
      <c r="BS137" s="224"/>
      <c r="BT137" s="223">
        <f t="shared" si="1157"/>
        <v>11.666666666666666</v>
      </c>
      <c r="BU137" s="223">
        <f t="shared" si="1158"/>
        <v>23.333333333333332</v>
      </c>
      <c r="BV137" s="224">
        <f t="shared" si="1159"/>
        <v>35</v>
      </c>
      <c r="BW137" s="237">
        <f t="shared" si="1113"/>
        <v>2432</v>
      </c>
      <c r="BX137" s="234">
        <f>BL137*BM137*INslave+BL137*KLslave_KL*BN137+MUslave*BM137*BN137</f>
        <v>3408</v>
      </c>
      <c r="BY137" s="224">
        <f t="shared" si="1160"/>
        <v>1584</v>
      </c>
      <c r="BZ137" s="224">
        <f t="shared" si="1114"/>
        <v>7424</v>
      </c>
      <c r="CA137" s="222">
        <f t="shared" si="1161"/>
        <v>3.8218390804597702</v>
      </c>
      <c r="CB137" s="223">
        <f t="shared" si="1162"/>
        <v>10.711206896551724</v>
      </c>
      <c r="CC137" s="243">
        <f t="shared" si="1163"/>
        <v>7.4676724137931032</v>
      </c>
      <c r="CD137" s="243">
        <f t="shared" si="1164"/>
        <v>22.000718390804597</v>
      </c>
      <c r="CE137" s="252">
        <f t="shared" si="1115"/>
        <v>0</v>
      </c>
      <c r="CF137" s="309">
        <f t="shared" si="1165"/>
        <v>22.000718390804597</v>
      </c>
      <c r="CG137" s="218">
        <f>IF(CD137&lt;=0,2,0)+IF(CD137&gt;0,CD137+1,0)*2+IF(CD137&gt;12,CD137-12,0)*2+IF(CD137&gt;13,CD137-13,0)*2+IF(CD137&gt;14,CD137-14,0)*2+IF(CD137&gt;15,CD137-15,0)*2+IF(CD137&gt;16,CD137-16,0)*2+IF(CD137&gt;17,CD137-17,0)*2+IF(CD137&gt;18,CD137-18,0)*2+IF(CD137&gt;19,CD137-19,0)*2+IF(CD137&gt;20,CD137-20,0)*2</f>
        <v>154.01436781609189</v>
      </c>
      <c r="CH137" s="242">
        <f>IF(CE137&lt;=0,2,0)+IF(CE137&gt;0,CE137+1,0)*2+IF(CE137&gt;12,CE137-12,0)*2+IF(CE137&gt;13,CE137-13,0)*2+IF(CE137&gt;14,CE137-14,0)*2+IF(CE137&gt;15,CE137-15,0)*2+IF(CE137&gt;16,CE137-16,0)*2+IF(CE137&gt;17,CE137-17,0)*2+IF(CE137&gt;18,CE137-18,0)*2+IF(CE137&gt;19,CE137-19,0)*2+IF(CE137&gt;20,CE137-20,0)*2</f>
        <v>2</v>
      </c>
      <c r="CI137" s="243">
        <f t="shared" si="1166"/>
        <v>152.01436781609189</v>
      </c>
      <c r="CJ137" s="218">
        <f t="shared" si="1167"/>
        <v>0</v>
      </c>
      <c r="CL137" s="303" t="s">
        <v>192</v>
      </c>
      <c r="CM137" s="218" t="s">
        <v>95</v>
      </c>
      <c r="CN137" s="243" t="s">
        <v>132</v>
      </c>
      <c r="CO137" s="237">
        <f>Konvention_1slave-MUslave</f>
        <v>12</v>
      </c>
      <c r="CP137" s="234">
        <f>Konvention_1slave-KLslave</f>
        <v>12</v>
      </c>
      <c r="CQ137" s="234">
        <f t="shared" si="1236"/>
        <v>11</v>
      </c>
      <c r="CR137" s="234"/>
      <c r="CS137" s="234"/>
      <c r="CT137" s="234"/>
      <c r="CU137" s="234"/>
      <c r="CV137" s="224"/>
      <c r="CW137" s="223">
        <f t="shared" si="1168"/>
        <v>11.666666666666666</v>
      </c>
      <c r="CX137" s="223">
        <f t="shared" si="1169"/>
        <v>23.333333333333332</v>
      </c>
      <c r="CY137" s="224">
        <f t="shared" si="1170"/>
        <v>35</v>
      </c>
      <c r="CZ137" s="237">
        <f t="shared" si="1116"/>
        <v>2432</v>
      </c>
      <c r="DA137" s="234">
        <f>CO137*CP137*INslave_IN+CO137*KLslave*CQ137+MUslave*CP137*CQ137</f>
        <v>3408</v>
      </c>
      <c r="DB137" s="224">
        <f t="shared" si="1171"/>
        <v>1584</v>
      </c>
      <c r="DC137" s="224">
        <f t="shared" si="1117"/>
        <v>7424</v>
      </c>
      <c r="DD137" s="222">
        <f t="shared" si="1172"/>
        <v>3.8218390804597702</v>
      </c>
      <c r="DE137" s="223">
        <f t="shared" si="1173"/>
        <v>10.711206896551724</v>
      </c>
      <c r="DF137" s="243">
        <f t="shared" si="1174"/>
        <v>7.4676724137931032</v>
      </c>
      <c r="DG137" s="243">
        <f t="shared" si="1175"/>
        <v>22.000718390804597</v>
      </c>
      <c r="DH137" s="252">
        <f t="shared" si="1118"/>
        <v>0</v>
      </c>
      <c r="DI137" s="309">
        <f t="shared" si="1176"/>
        <v>22.000718390804597</v>
      </c>
      <c r="DJ137" s="218">
        <f>IF(DG137&lt;=0,2,0)+IF(DG137&gt;0,DG137+1,0)*2+IF(DG137&gt;12,DG137-12,0)*2+IF(DG137&gt;13,DG137-13,0)*2+IF(DG137&gt;14,DG137-14,0)*2+IF(DG137&gt;15,DG137-15,0)*2+IF(DG137&gt;16,DG137-16,0)*2+IF(DG137&gt;17,DG137-17,0)*2+IF(DG137&gt;18,DG137-18,0)*2+IF(DG137&gt;19,DG137-19,0)*2+IF(DG137&gt;20,DG137-20,0)*2</f>
        <v>154.01436781609189</v>
      </c>
      <c r="DK137" s="242">
        <f>IF(DH137&lt;=0,2,0)+IF(DH137&gt;0,DH137+1,0)*2+IF(DH137&gt;12,DH137-12,0)*2+IF(DH137&gt;13,DH137-13,0)*2+IF(DH137&gt;14,DH137-14,0)*2+IF(DH137&gt;15,DH137-15,0)*2+IF(DH137&gt;16,DH137-16,0)*2+IF(DH137&gt;17,DH137-17,0)*2+IF(DH137&gt;18,DH137-18,0)*2+IF(DH137&gt;19,DH137-19,0)*2+IF(DH137&gt;20,DH137-20,0)*2</f>
        <v>2</v>
      </c>
      <c r="DL137" s="243">
        <f t="shared" si="1177"/>
        <v>152.01436781609189</v>
      </c>
      <c r="DM137" s="218">
        <f t="shared" si="1178"/>
        <v>0</v>
      </c>
      <c r="DO137" s="303" t="s">
        <v>192</v>
      </c>
      <c r="DP137" s="218" t="s">
        <v>95</v>
      </c>
      <c r="DQ137" s="243" t="s">
        <v>132</v>
      </c>
      <c r="DR137" s="237">
        <f>Konvention_1slave-MUslave</f>
        <v>12</v>
      </c>
      <c r="DS137" s="234">
        <f>Konvention_1slave-KLslave</f>
        <v>12</v>
      </c>
      <c r="DT137" s="234">
        <f t="shared" si="1238"/>
        <v>12</v>
      </c>
      <c r="DU137" s="234"/>
      <c r="DV137" s="234"/>
      <c r="DW137" s="234"/>
      <c r="DX137" s="234"/>
      <c r="DY137" s="224"/>
      <c r="DZ137" s="223">
        <f t="shared" si="1179"/>
        <v>12</v>
      </c>
      <c r="EA137" s="223">
        <f t="shared" si="1180"/>
        <v>24</v>
      </c>
      <c r="EB137" s="224">
        <f t="shared" si="1181"/>
        <v>36</v>
      </c>
      <c r="EC137" s="237">
        <f t="shared" si="1119"/>
        <v>2304</v>
      </c>
      <c r="ED137" s="234">
        <f>DR137*DS137*INslave+DR137*KLslave*DT137+MUslave*DS137*DT137</f>
        <v>3456</v>
      </c>
      <c r="EE137" s="224">
        <f t="shared" si="1182"/>
        <v>1728</v>
      </c>
      <c r="EF137" s="224">
        <f t="shared" si="1120"/>
        <v>7488</v>
      </c>
      <c r="EG137" s="222">
        <f t="shared" si="1183"/>
        <v>3.6923076923076925</v>
      </c>
      <c r="EH137" s="223">
        <f t="shared" si="1184"/>
        <v>11.076923076923077</v>
      </c>
      <c r="EI137" s="243">
        <f t="shared" si="1185"/>
        <v>8.3076923076923084</v>
      </c>
      <c r="EJ137" s="243">
        <f t="shared" si="1186"/>
        <v>23.07692307692308</v>
      </c>
      <c r="EK137" s="252">
        <f t="shared" si="1121"/>
        <v>0</v>
      </c>
      <c r="EL137" s="309">
        <f t="shared" si="1187"/>
        <v>23.07692307692308</v>
      </c>
      <c r="EM137" s="218">
        <f>IF(EJ137&lt;=0,2,0)+IF(EJ137&gt;0,EJ137+1,0)*2+IF(EJ137&gt;12,EJ137-12,0)*2+IF(EJ137&gt;13,EJ137-13,0)*2+IF(EJ137&gt;14,EJ137-14,0)*2+IF(EJ137&gt;15,EJ137-15,0)*2+IF(EJ137&gt;16,EJ137-16,0)*2+IF(EJ137&gt;17,EJ137-17,0)*2+IF(EJ137&gt;18,EJ137-18,0)*2+IF(EJ137&gt;19,EJ137-19,0)*2+IF(EJ137&gt;20,EJ137-20,0)*2</f>
        <v>175.5384615384616</v>
      </c>
      <c r="EN137" s="242">
        <f>IF(EK137&lt;=0,2,0)+IF(EK137&gt;0,EK137+1,0)*2+IF(EK137&gt;12,EK137-12,0)*2+IF(EK137&gt;13,EK137-13,0)*2+IF(EK137&gt;14,EK137-14,0)*2+IF(EK137&gt;15,EK137-15,0)*2+IF(EK137&gt;16,EK137-16,0)*2+IF(EK137&gt;17,EK137-17,0)*2+IF(EK137&gt;18,EK137-18,0)*2+IF(EK137&gt;19,EK137-19,0)*2+IF(EK137&gt;20,EK137-20,0)*2</f>
        <v>2</v>
      </c>
      <c r="EO137" s="243">
        <f t="shared" si="1188"/>
        <v>173.5384615384616</v>
      </c>
      <c r="EP137" s="218">
        <f t="shared" si="1189"/>
        <v>0</v>
      </c>
      <c r="ER137" s="303" t="s">
        <v>192</v>
      </c>
      <c r="ES137" s="218" t="s">
        <v>95</v>
      </c>
      <c r="ET137" s="243" t="s">
        <v>132</v>
      </c>
      <c r="EU137" s="237">
        <f>Konvention_1slave-MUslave</f>
        <v>12</v>
      </c>
      <c r="EV137" s="234">
        <f>Konvention_1slave-KLslave</f>
        <v>12</v>
      </c>
      <c r="EW137" s="234">
        <f t="shared" si="1239"/>
        <v>12</v>
      </c>
      <c r="EX137" s="234"/>
      <c r="EY137" s="234"/>
      <c r="EZ137" s="234"/>
      <c r="FA137" s="234"/>
      <c r="FB137" s="224"/>
      <c r="FC137" s="223">
        <f t="shared" si="1190"/>
        <v>12</v>
      </c>
      <c r="FD137" s="223">
        <f t="shared" si="1191"/>
        <v>24</v>
      </c>
      <c r="FE137" s="224">
        <f t="shared" si="1192"/>
        <v>36</v>
      </c>
      <c r="FF137" s="237">
        <f t="shared" si="1122"/>
        <v>2304</v>
      </c>
      <c r="FG137" s="234">
        <f>EU137*EV137*INslave+EU137*KLslave*EW137+MUslave*EV137*EW137</f>
        <v>3456</v>
      </c>
      <c r="FH137" s="224">
        <f t="shared" si="1193"/>
        <v>1728</v>
      </c>
      <c r="FI137" s="224">
        <f t="shared" si="1123"/>
        <v>7488</v>
      </c>
      <c r="FJ137" s="222">
        <f t="shared" si="1194"/>
        <v>3.6923076923076925</v>
      </c>
      <c r="FK137" s="223">
        <f t="shared" si="1195"/>
        <v>11.076923076923077</v>
      </c>
      <c r="FL137" s="243">
        <f t="shared" si="1196"/>
        <v>8.3076923076923084</v>
      </c>
      <c r="FM137" s="243">
        <f t="shared" si="1197"/>
        <v>23.07692307692308</v>
      </c>
      <c r="FN137" s="252">
        <f t="shared" si="1124"/>
        <v>0</v>
      </c>
      <c r="FO137" s="309">
        <f t="shared" si="1198"/>
        <v>23.07692307692308</v>
      </c>
      <c r="FP137" s="218">
        <f>IF(FM137&lt;=0,2,0)+IF(FM137&gt;0,FM137+1,0)*2+IF(FM137&gt;12,FM137-12,0)*2+IF(FM137&gt;13,FM137-13,0)*2+IF(FM137&gt;14,FM137-14,0)*2+IF(FM137&gt;15,FM137-15,0)*2+IF(FM137&gt;16,FM137-16,0)*2+IF(FM137&gt;17,FM137-17,0)*2+IF(FM137&gt;18,FM137-18,0)*2+IF(FM137&gt;19,FM137-19,0)*2+IF(FM137&gt;20,FM137-20,0)*2</f>
        <v>175.5384615384616</v>
      </c>
      <c r="FQ137" s="242">
        <f>IF(FN137&lt;=0,2,0)+IF(FN137&gt;0,FN137+1,0)*2+IF(FN137&gt;12,FN137-12,0)*2+IF(FN137&gt;13,FN137-13,0)*2+IF(FN137&gt;14,FN137-14,0)*2+IF(FN137&gt;15,FN137-15,0)*2+IF(FN137&gt;16,FN137-16,0)*2+IF(FN137&gt;17,FN137-17,0)*2+IF(FN137&gt;18,FN137-18,0)*2+IF(FN137&gt;19,FN137-19,0)*2+IF(FN137&gt;20,FN137-20,0)*2</f>
        <v>2</v>
      </c>
      <c r="FR137" s="243">
        <f t="shared" si="1199"/>
        <v>173.5384615384616</v>
      </c>
      <c r="FS137" s="218">
        <f t="shared" si="1200"/>
        <v>0</v>
      </c>
      <c r="FU137" s="303" t="s">
        <v>192</v>
      </c>
      <c r="FV137" s="218" t="s">
        <v>95</v>
      </c>
      <c r="FW137" s="243" t="s">
        <v>132</v>
      </c>
      <c r="FX137" s="237">
        <f>Konvention_1slave-MUslave</f>
        <v>12</v>
      </c>
      <c r="FY137" s="234">
        <f>Konvention_1slave-KLslave</f>
        <v>12</v>
      </c>
      <c r="FZ137" s="234">
        <f t="shared" si="1240"/>
        <v>12</v>
      </c>
      <c r="GA137" s="234"/>
      <c r="GB137" s="234"/>
      <c r="GC137" s="234"/>
      <c r="GD137" s="234"/>
      <c r="GE137" s="224"/>
      <c r="GF137" s="223">
        <f t="shared" si="1201"/>
        <v>12</v>
      </c>
      <c r="GG137" s="223">
        <f t="shared" si="1202"/>
        <v>24</v>
      </c>
      <c r="GH137" s="224">
        <f t="shared" si="1203"/>
        <v>36</v>
      </c>
      <c r="GI137" s="237">
        <f t="shared" si="1125"/>
        <v>2304</v>
      </c>
      <c r="GJ137" s="234">
        <f>FX137*FY137*INslave+FX137*KLslave*FZ137+MUslave*FY137*FZ137</f>
        <v>3456</v>
      </c>
      <c r="GK137" s="224">
        <f t="shared" si="1204"/>
        <v>1728</v>
      </c>
      <c r="GL137" s="224">
        <f t="shared" si="1126"/>
        <v>7488</v>
      </c>
      <c r="GM137" s="222">
        <f t="shared" si="1205"/>
        <v>3.6923076923076925</v>
      </c>
      <c r="GN137" s="223">
        <f t="shared" si="1206"/>
        <v>11.076923076923077</v>
      </c>
      <c r="GO137" s="243">
        <f t="shared" si="1207"/>
        <v>8.3076923076923084</v>
      </c>
      <c r="GP137" s="243">
        <f t="shared" si="1208"/>
        <v>23.07692307692308</v>
      </c>
      <c r="GQ137" s="252">
        <f t="shared" si="1127"/>
        <v>0</v>
      </c>
      <c r="GR137" s="309">
        <f t="shared" si="1209"/>
        <v>23.07692307692308</v>
      </c>
      <c r="GS137" s="218">
        <f>IF(GP137&lt;=0,2,0)+IF(GP137&gt;0,GP137+1,0)*2+IF(GP137&gt;12,GP137-12,0)*2+IF(GP137&gt;13,GP137-13,0)*2+IF(GP137&gt;14,GP137-14,0)*2+IF(GP137&gt;15,GP137-15,0)*2+IF(GP137&gt;16,GP137-16,0)*2+IF(GP137&gt;17,GP137-17,0)*2+IF(GP137&gt;18,GP137-18,0)*2+IF(GP137&gt;19,GP137-19,0)*2+IF(GP137&gt;20,GP137-20,0)*2</f>
        <v>175.5384615384616</v>
      </c>
      <c r="GT137" s="242">
        <f>IF(GQ137&lt;=0,2,0)+IF(GQ137&gt;0,GQ137+1,0)*2+IF(GQ137&gt;12,GQ137-12,0)*2+IF(GQ137&gt;13,GQ137-13,0)*2+IF(GQ137&gt;14,GQ137-14,0)*2+IF(GQ137&gt;15,GQ137-15,0)*2+IF(GQ137&gt;16,GQ137-16,0)*2+IF(GQ137&gt;17,GQ137-17,0)*2+IF(GQ137&gt;18,GQ137-18,0)*2+IF(GQ137&gt;19,GQ137-19,0)*2+IF(GQ137&gt;20,GQ137-20,0)*2</f>
        <v>2</v>
      </c>
      <c r="GU137" s="243">
        <f t="shared" si="1210"/>
        <v>173.5384615384616</v>
      </c>
      <c r="GV137" s="218">
        <f t="shared" si="1211"/>
        <v>0</v>
      </c>
      <c r="GX137" s="303" t="s">
        <v>192</v>
      </c>
      <c r="GY137" s="218" t="s">
        <v>95</v>
      </c>
      <c r="GZ137" s="243" t="s">
        <v>132</v>
      </c>
      <c r="HA137" s="237">
        <f>Konvention_1slave-MUslave</f>
        <v>12</v>
      </c>
      <c r="HB137" s="234">
        <f>Konvention_1slave-KLslave</f>
        <v>12</v>
      </c>
      <c r="HC137" s="234">
        <f t="shared" si="1241"/>
        <v>12</v>
      </c>
      <c r="HD137" s="234"/>
      <c r="HE137" s="234"/>
      <c r="HF137" s="234"/>
      <c r="HG137" s="234"/>
      <c r="HH137" s="224"/>
      <c r="HI137" s="223">
        <f t="shared" si="1212"/>
        <v>12</v>
      </c>
      <c r="HJ137" s="223">
        <f t="shared" si="1213"/>
        <v>24</v>
      </c>
      <c r="HK137" s="224">
        <f t="shared" si="1214"/>
        <v>36</v>
      </c>
      <c r="HL137" s="237">
        <f t="shared" si="1128"/>
        <v>2304</v>
      </c>
      <c r="HM137" s="234">
        <f>HA137*HB137*INslave+HA137*KLslave*HC137+MUslave*HB137*HC137</f>
        <v>3456</v>
      </c>
      <c r="HN137" s="224">
        <f t="shared" si="1215"/>
        <v>1728</v>
      </c>
      <c r="HO137" s="224">
        <f t="shared" si="1129"/>
        <v>7488</v>
      </c>
      <c r="HP137" s="222">
        <f t="shared" si="1216"/>
        <v>3.6923076923076925</v>
      </c>
      <c r="HQ137" s="223">
        <f t="shared" si="1217"/>
        <v>11.076923076923077</v>
      </c>
      <c r="HR137" s="243">
        <f t="shared" si="1218"/>
        <v>8.3076923076923084</v>
      </c>
      <c r="HS137" s="243">
        <f t="shared" si="1219"/>
        <v>23.07692307692308</v>
      </c>
      <c r="HT137" s="252">
        <f t="shared" si="1130"/>
        <v>0</v>
      </c>
      <c r="HU137" s="309">
        <f t="shared" si="1220"/>
        <v>23.07692307692308</v>
      </c>
      <c r="HV137" s="218">
        <f>IF(HS137&lt;=0,2,0)+IF(HS137&gt;0,HS137+1,0)*2+IF(HS137&gt;12,HS137-12,0)*2+IF(HS137&gt;13,HS137-13,0)*2+IF(HS137&gt;14,HS137-14,0)*2+IF(HS137&gt;15,HS137-15,0)*2+IF(HS137&gt;16,HS137-16,0)*2+IF(HS137&gt;17,HS137-17,0)*2+IF(HS137&gt;18,HS137-18,0)*2+IF(HS137&gt;19,HS137-19,0)*2+IF(HS137&gt;20,HS137-20,0)*2</f>
        <v>175.5384615384616</v>
      </c>
      <c r="HW137" s="242">
        <f>IF(HT137&lt;=0,2,0)+IF(HT137&gt;0,HT137+1,0)*2+IF(HT137&gt;12,HT137-12,0)*2+IF(HT137&gt;13,HT137-13,0)*2+IF(HT137&gt;14,HT137-14,0)*2+IF(HT137&gt;15,HT137-15,0)*2+IF(HT137&gt;16,HT137-16,0)*2+IF(HT137&gt;17,HT137-17,0)*2+IF(HT137&gt;18,HT137-18,0)*2+IF(HT137&gt;19,HT137-19,0)*2+IF(HT137&gt;20,HT137-20,0)*2</f>
        <v>2</v>
      </c>
      <c r="HX137" s="243">
        <f t="shared" si="1221"/>
        <v>173.5384615384616</v>
      </c>
      <c r="HY137" s="218">
        <f t="shared" si="1222"/>
        <v>0</v>
      </c>
      <c r="IA137" s="303" t="s">
        <v>192</v>
      </c>
      <c r="IB137" s="218" t="s">
        <v>95</v>
      </c>
      <c r="IC137" s="243" t="s">
        <v>132</v>
      </c>
      <c r="ID137" s="237">
        <f>Konvention_1slave-MUslave</f>
        <v>12</v>
      </c>
      <c r="IE137" s="234">
        <f>Konvention_1slave-KLslave</f>
        <v>12</v>
      </c>
      <c r="IF137" s="234">
        <f t="shared" si="1242"/>
        <v>12</v>
      </c>
      <c r="IG137" s="234"/>
      <c r="IH137" s="234"/>
      <c r="II137" s="234"/>
      <c r="IJ137" s="234"/>
      <c r="IK137" s="224"/>
      <c r="IL137" s="223">
        <f t="shared" si="1223"/>
        <v>12</v>
      </c>
      <c r="IM137" s="223">
        <f t="shared" si="1224"/>
        <v>24</v>
      </c>
      <c r="IN137" s="224">
        <f t="shared" si="1225"/>
        <v>36</v>
      </c>
      <c r="IO137" s="237">
        <f t="shared" si="1131"/>
        <v>2304</v>
      </c>
      <c r="IP137" s="234">
        <f>ID137*IE137*INslave+ID137*KLslave*IF137+MUslave*IE137*IF137</f>
        <v>3456</v>
      </c>
      <c r="IQ137" s="224">
        <f t="shared" si="1226"/>
        <v>1728</v>
      </c>
      <c r="IR137" s="224">
        <f t="shared" si="1132"/>
        <v>7488</v>
      </c>
      <c r="IS137" s="222">
        <f t="shared" si="1227"/>
        <v>3.6923076923076925</v>
      </c>
      <c r="IT137" s="223">
        <f t="shared" si="1228"/>
        <v>11.076923076923077</v>
      </c>
      <c r="IU137" s="243">
        <f t="shared" si="1229"/>
        <v>8.3076923076923084</v>
      </c>
      <c r="IV137" s="243">
        <f t="shared" si="1230"/>
        <v>23.07692307692308</v>
      </c>
      <c r="IW137" s="252">
        <f t="shared" si="1133"/>
        <v>0</v>
      </c>
      <c r="IX137" s="309">
        <f t="shared" si="1231"/>
        <v>23.07692307692308</v>
      </c>
      <c r="IY137" s="218">
        <f>IF(IV137&lt;=0,2,0)+IF(IV137&gt;0,IV137+1,0)*2+IF(IV137&gt;12,IV137-12,0)*2+IF(IV137&gt;13,IV137-13,0)*2+IF(IV137&gt;14,IV137-14,0)*2+IF(IV137&gt;15,IV137-15,0)*2+IF(IV137&gt;16,IV137-16,0)*2+IF(IV137&gt;17,IV137-17,0)*2+IF(IV137&gt;18,IV137-18,0)*2+IF(IV137&gt;19,IV137-19,0)*2+IF(IV137&gt;20,IV137-20,0)*2</f>
        <v>175.5384615384616</v>
      </c>
      <c r="IZ137" s="242">
        <f>IF(IW137&lt;=0,2,0)+IF(IW137&gt;0,IW137+1,0)*2+IF(IW137&gt;12,IW137-12,0)*2+IF(IW137&gt;13,IW137-13,0)*2+IF(IW137&gt;14,IW137-14,0)*2+IF(IW137&gt;15,IW137-15,0)*2+IF(IW137&gt;16,IW137-16,0)*2+IF(IW137&gt;17,IW137-17,0)*2+IF(IW137&gt;18,IW137-18,0)*2+IF(IW137&gt;19,IW137-19,0)*2+IF(IW137&gt;20,IW137-20,0)*2</f>
        <v>2</v>
      </c>
      <c r="JA137" s="243">
        <f t="shared" si="1232"/>
        <v>173.5384615384616</v>
      </c>
      <c r="JB137" s="218">
        <f t="shared" si="1233"/>
        <v>0</v>
      </c>
      <c r="JE137" s="148"/>
    </row>
    <row r="138" spans="2:265" ht="15" hidden="1" customHeight="1" outlineLevel="2">
      <c r="B138" s="148">
        <v>11</v>
      </c>
      <c r="C138" s="303" t="e">
        <f>VLOOKUP(AF138,Attribute!C:T,1,FALSE)</f>
        <v>#N/A</v>
      </c>
      <c r="D138" s="125" t="s">
        <v>226</v>
      </c>
      <c r="E138" s="127" t="s">
        <v>135</v>
      </c>
      <c r="F138" s="114"/>
      <c r="G138" s="113">
        <f>Konvention_1master-KLmaster</f>
        <v>12</v>
      </c>
      <c r="H138" s="113">
        <f t="shared" si="1234"/>
        <v>12</v>
      </c>
      <c r="I138" s="113"/>
      <c r="J138" s="113"/>
      <c r="K138" s="113"/>
      <c r="L138" s="113">
        <f>Konvention_1master-KOmaster</f>
        <v>12</v>
      </c>
      <c r="M138" s="119"/>
      <c r="N138" s="223">
        <f t="shared" si="1134"/>
        <v>12</v>
      </c>
      <c r="O138" s="223">
        <f t="shared" si="1135"/>
        <v>24</v>
      </c>
      <c r="P138" s="224">
        <f t="shared" si="1136"/>
        <v>36</v>
      </c>
      <c r="Q138" s="237">
        <f t="shared" si="1137"/>
        <v>2304</v>
      </c>
      <c r="R138" s="113">
        <f>G138*H138*KOmaster+G138*INmaster*L138+KLmaster*H138*L138</f>
        <v>3456</v>
      </c>
      <c r="S138" s="224">
        <f t="shared" si="1138"/>
        <v>1728</v>
      </c>
      <c r="T138" s="224">
        <f t="shared" si="1109"/>
        <v>7488</v>
      </c>
      <c r="U138" s="222">
        <f t="shared" si="1139"/>
        <v>3.6923076923076925</v>
      </c>
      <c r="V138" s="223">
        <f t="shared" si="1140"/>
        <v>11.076923076923077</v>
      </c>
      <c r="W138" s="243">
        <f t="shared" si="1141"/>
        <v>8.3076923076923084</v>
      </c>
      <c r="X138" s="243">
        <f t="shared" si="1142"/>
        <v>23.07692307692308</v>
      </c>
      <c r="Y138" s="252">
        <v>0</v>
      </c>
      <c r="Z138" s="198">
        <f t="shared" si="1143"/>
        <v>23.07692307692308</v>
      </c>
      <c r="AA138" s="125">
        <f>IF(X138&lt;=0,3,0)+IF(X138&gt;0,X138+1,0)*3+IF(X138&gt;12,X138-12,0)*3+IF(X138&gt;13,X138-13,0)*3+IF(X138&gt;14,X138-14,0)*3+IF(X138&gt;15,X138-15,0)*3+IF(X138&gt;16,X138-16,0)*3+IF(X138&gt;17,X138-17,0)*3+IF(X138&gt;18,X138-18,0)*3+IF(X138&gt;19,X138-19,0)*3+IF(X138&gt;20,X138-20,0)*3</f>
        <v>263.30769230769232</v>
      </c>
      <c r="AB138" s="160">
        <f>IF(Y138&lt;=0,3,0)+IF(Y138&gt;0,Y138+1,0)*3+IF(Y138&gt;12,Y138-12,0)*3+IF(Y138&gt;13,Y138-13,0)*3+IF(Y138&gt;14,Y138-14,0)*3+IF(Y138&gt;15,Y138-15,0)*3+IF(Y138&gt;16,Y138-16,0)*3+IF(Y138&gt;17,Y138-17,0)*3+IF(Y138&gt;18,Y138-18,0)*3+IF(Y138&gt;19,Y138-19,0)*3+IF(Y138&gt;20,Y138-20,0)*3</f>
        <v>3</v>
      </c>
      <c r="AC138" s="127">
        <f t="shared" si="1144"/>
        <v>260.30769230769232</v>
      </c>
      <c r="AD138" s="125">
        <f t="shared" si="1145"/>
        <v>0</v>
      </c>
      <c r="AF138" s="163" t="s">
        <v>194</v>
      </c>
      <c r="AG138" s="125" t="s">
        <v>226</v>
      </c>
      <c r="AH138" s="127" t="s">
        <v>135</v>
      </c>
      <c r="AI138" s="114"/>
      <c r="AJ138" s="113">
        <f>Konvention_1slave-KLslave</f>
        <v>12</v>
      </c>
      <c r="AK138" s="113">
        <f t="shared" si="1235"/>
        <v>12</v>
      </c>
      <c r="AL138" s="113"/>
      <c r="AM138" s="113"/>
      <c r="AN138" s="113"/>
      <c r="AO138" s="113">
        <f>Konvention_1slave-KOslave</f>
        <v>12</v>
      </c>
      <c r="AP138" s="119"/>
      <c r="AQ138" s="47">
        <f t="shared" si="1146"/>
        <v>12</v>
      </c>
      <c r="AR138" s="47">
        <f t="shared" si="1147"/>
        <v>24</v>
      </c>
      <c r="AS138" s="119">
        <f t="shared" si="1148"/>
        <v>36</v>
      </c>
      <c r="AT138" s="114">
        <f t="shared" si="1110"/>
        <v>2304</v>
      </c>
      <c r="AU138" s="113">
        <f>AJ138*AK138*KOslave+AJ138*INslave*AO138+KLslave*AK138*AO138</f>
        <v>3456</v>
      </c>
      <c r="AV138" s="119">
        <f t="shared" si="1149"/>
        <v>1728</v>
      </c>
      <c r="AW138" s="119">
        <f t="shared" si="1111"/>
        <v>7488</v>
      </c>
      <c r="AX138" s="89">
        <f t="shared" si="1150"/>
        <v>3.6923076923076925</v>
      </c>
      <c r="AY138" s="47">
        <f t="shared" si="1151"/>
        <v>11.076923076923077</v>
      </c>
      <c r="AZ138" s="127">
        <f t="shared" si="1152"/>
        <v>8.3076923076923084</v>
      </c>
      <c r="BA138" s="127">
        <f t="shared" si="1153"/>
        <v>23.07692307692308</v>
      </c>
      <c r="BB138" s="165">
        <f t="shared" si="1112"/>
        <v>0</v>
      </c>
      <c r="BC138" s="198">
        <f t="shared" si="1154"/>
        <v>23.07692307692308</v>
      </c>
      <c r="BD138" s="125">
        <f>IF(BA138&lt;=0,3,0)+IF(BA138&gt;0,BA138+1,0)*3+IF(BA138&gt;12,BA138-12,0)*3+IF(BA138&gt;13,BA138-13,0)*3+IF(BA138&gt;14,BA138-14,0)*3+IF(BA138&gt;15,BA138-15,0)*3+IF(BA138&gt;16,BA138-16,0)*3+IF(BA138&gt;17,BA138-17,0)*3+IF(BA138&gt;18,BA138-18,0)*3+IF(BA138&gt;19,BA138-19,0)*3+IF(BA138&gt;20,BA138-20,0)*3</f>
        <v>263.30769230769232</v>
      </c>
      <c r="BE138" s="160">
        <f>IF(BB138&lt;=0,3,0)+IF(BB138&gt;0,BB138+1,0)*3+IF(BB138&gt;12,BB138-12,0)*3+IF(BB138&gt;13,BB138-13,0)*3+IF(BB138&gt;14,BB138-14,0)*3+IF(BB138&gt;15,BB138-15,0)*3+IF(BB138&gt;16,BB138-16,0)*3+IF(BB138&gt;17,BB138-17,0)*3+IF(BB138&gt;18,BB138-18,0)*3+IF(BB138&gt;19,BB138-19,0)*3+IF(BB138&gt;20,BB138-20,0)*3</f>
        <v>3</v>
      </c>
      <c r="BF138" s="243">
        <f t="shared" si="1155"/>
        <v>260.30769230769232</v>
      </c>
      <c r="BG138" s="218">
        <f t="shared" si="1156"/>
        <v>0</v>
      </c>
      <c r="BI138" s="303" t="s">
        <v>194</v>
      </c>
      <c r="BJ138" s="218" t="s">
        <v>226</v>
      </c>
      <c r="BK138" s="243" t="s">
        <v>135</v>
      </c>
      <c r="BL138" s="237"/>
      <c r="BM138" s="234">
        <f>Konvention_1slave-KLslave_KL</f>
        <v>11</v>
      </c>
      <c r="BN138" s="234">
        <f t="shared" si="1237"/>
        <v>12</v>
      </c>
      <c r="BO138" s="234"/>
      <c r="BP138" s="234"/>
      <c r="BQ138" s="234"/>
      <c r="BR138" s="234">
        <f>Konvention_1slave-KOslave</f>
        <v>12</v>
      </c>
      <c r="BS138" s="224"/>
      <c r="BT138" s="223">
        <f t="shared" si="1157"/>
        <v>11.666666666666666</v>
      </c>
      <c r="BU138" s="223">
        <f t="shared" si="1158"/>
        <v>23.333333333333332</v>
      </c>
      <c r="BV138" s="224">
        <f t="shared" si="1159"/>
        <v>35</v>
      </c>
      <c r="BW138" s="237">
        <f t="shared" si="1113"/>
        <v>2432</v>
      </c>
      <c r="BX138" s="234">
        <f>BM138*BN138*KOslave+BM138*INslave*BR138+KLslave_KL*BN138*BR138</f>
        <v>3408</v>
      </c>
      <c r="BY138" s="224">
        <f t="shared" si="1160"/>
        <v>1584</v>
      </c>
      <c r="BZ138" s="224">
        <f t="shared" si="1114"/>
        <v>7424</v>
      </c>
      <c r="CA138" s="222">
        <f t="shared" si="1161"/>
        <v>3.8218390804597702</v>
      </c>
      <c r="CB138" s="223">
        <f t="shared" si="1162"/>
        <v>10.711206896551724</v>
      </c>
      <c r="CC138" s="243">
        <f t="shared" si="1163"/>
        <v>7.4676724137931032</v>
      </c>
      <c r="CD138" s="243">
        <f t="shared" si="1164"/>
        <v>22.000718390804597</v>
      </c>
      <c r="CE138" s="252">
        <f t="shared" si="1115"/>
        <v>0</v>
      </c>
      <c r="CF138" s="309">
        <f t="shared" si="1165"/>
        <v>22.000718390804597</v>
      </c>
      <c r="CG138" s="218">
        <f>IF(CD138&lt;=0,3,0)+IF(CD138&gt;0,CD138+1,0)*3+IF(CD138&gt;12,CD138-12,0)*3+IF(CD138&gt;13,CD138-13,0)*3+IF(CD138&gt;14,CD138-14,0)*3+IF(CD138&gt;15,CD138-15,0)*3+IF(CD138&gt;16,CD138-16,0)*3+IF(CD138&gt;17,CD138-17,0)*3+IF(CD138&gt;18,CD138-18,0)*3+IF(CD138&gt;19,CD138-19,0)*3+IF(CD138&gt;20,CD138-20,0)*3</f>
        <v>231.02155172413785</v>
      </c>
      <c r="CH138" s="242">
        <f>IF(CE138&lt;=0,3,0)+IF(CE138&gt;0,CE138+1,0)*3+IF(CE138&gt;12,CE138-12,0)*3+IF(CE138&gt;13,CE138-13,0)*3+IF(CE138&gt;14,CE138-14,0)*3+IF(CE138&gt;15,CE138-15,0)*3+IF(CE138&gt;16,CE138-16,0)*3+IF(CE138&gt;17,CE138-17,0)*3+IF(CE138&gt;18,CE138-18,0)*3+IF(CE138&gt;19,CE138-19,0)*3+IF(CE138&gt;20,CE138-20,0)*3</f>
        <v>3</v>
      </c>
      <c r="CI138" s="243">
        <f t="shared" si="1166"/>
        <v>228.02155172413785</v>
      </c>
      <c r="CJ138" s="218">
        <f t="shared" si="1167"/>
        <v>0</v>
      </c>
      <c r="CL138" s="303" t="s">
        <v>194</v>
      </c>
      <c r="CM138" s="218" t="s">
        <v>226</v>
      </c>
      <c r="CN138" s="243" t="s">
        <v>135</v>
      </c>
      <c r="CO138" s="237"/>
      <c r="CP138" s="234">
        <f>Konvention_1slave-KLslave</f>
        <v>12</v>
      </c>
      <c r="CQ138" s="234">
        <f t="shared" si="1236"/>
        <v>11</v>
      </c>
      <c r="CR138" s="234"/>
      <c r="CS138" s="234"/>
      <c r="CT138" s="234"/>
      <c r="CU138" s="234">
        <f>Konvention_1slave-KOslave</f>
        <v>12</v>
      </c>
      <c r="CV138" s="224"/>
      <c r="CW138" s="223">
        <f t="shared" si="1168"/>
        <v>11.666666666666666</v>
      </c>
      <c r="CX138" s="223">
        <f t="shared" si="1169"/>
        <v>23.333333333333332</v>
      </c>
      <c r="CY138" s="224">
        <f t="shared" si="1170"/>
        <v>35</v>
      </c>
      <c r="CZ138" s="237">
        <f t="shared" si="1116"/>
        <v>2432</v>
      </c>
      <c r="DA138" s="234">
        <f>CP138*CQ138*KOslave+CP138*INslave_IN*CU138+KLslave*CQ138*CU138</f>
        <v>3408</v>
      </c>
      <c r="DB138" s="224">
        <f t="shared" si="1171"/>
        <v>1584</v>
      </c>
      <c r="DC138" s="224">
        <f t="shared" si="1117"/>
        <v>7424</v>
      </c>
      <c r="DD138" s="222">
        <f t="shared" si="1172"/>
        <v>3.8218390804597702</v>
      </c>
      <c r="DE138" s="223">
        <f t="shared" si="1173"/>
        <v>10.711206896551724</v>
      </c>
      <c r="DF138" s="243">
        <f t="shared" si="1174"/>
        <v>7.4676724137931032</v>
      </c>
      <c r="DG138" s="243">
        <f t="shared" si="1175"/>
        <v>22.000718390804597</v>
      </c>
      <c r="DH138" s="252">
        <f t="shared" si="1118"/>
        <v>0</v>
      </c>
      <c r="DI138" s="309">
        <f t="shared" si="1176"/>
        <v>22.000718390804597</v>
      </c>
      <c r="DJ138" s="218">
        <f>IF(DG138&lt;=0,3,0)+IF(DG138&gt;0,DG138+1,0)*3+IF(DG138&gt;12,DG138-12,0)*3+IF(DG138&gt;13,DG138-13,0)*3+IF(DG138&gt;14,DG138-14,0)*3+IF(DG138&gt;15,DG138-15,0)*3+IF(DG138&gt;16,DG138-16,0)*3+IF(DG138&gt;17,DG138-17,0)*3+IF(DG138&gt;18,DG138-18,0)*3+IF(DG138&gt;19,DG138-19,0)*3+IF(DG138&gt;20,DG138-20,0)*3</f>
        <v>231.02155172413785</v>
      </c>
      <c r="DK138" s="242">
        <f>IF(DH138&lt;=0,3,0)+IF(DH138&gt;0,DH138+1,0)*3+IF(DH138&gt;12,DH138-12,0)*3+IF(DH138&gt;13,DH138-13,0)*3+IF(DH138&gt;14,DH138-14,0)*3+IF(DH138&gt;15,DH138-15,0)*3+IF(DH138&gt;16,DH138-16,0)*3+IF(DH138&gt;17,DH138-17,0)*3+IF(DH138&gt;18,DH138-18,0)*3+IF(DH138&gt;19,DH138-19,0)*3+IF(DH138&gt;20,DH138-20,0)*3</f>
        <v>3</v>
      </c>
      <c r="DL138" s="243">
        <f t="shared" si="1177"/>
        <v>228.02155172413785</v>
      </c>
      <c r="DM138" s="218">
        <f t="shared" si="1178"/>
        <v>0</v>
      </c>
      <c r="DO138" s="303" t="s">
        <v>194</v>
      </c>
      <c r="DP138" s="218" t="s">
        <v>226</v>
      </c>
      <c r="DQ138" s="243" t="s">
        <v>135</v>
      </c>
      <c r="DR138" s="237"/>
      <c r="DS138" s="234">
        <f>Konvention_1slave-KLslave</f>
        <v>12</v>
      </c>
      <c r="DT138" s="234">
        <f t="shared" si="1238"/>
        <v>12</v>
      </c>
      <c r="DU138" s="234"/>
      <c r="DV138" s="234"/>
      <c r="DW138" s="234"/>
      <c r="DX138" s="234">
        <f>Konvention_1slave-KOslave</f>
        <v>12</v>
      </c>
      <c r="DY138" s="224"/>
      <c r="DZ138" s="223">
        <f t="shared" si="1179"/>
        <v>12</v>
      </c>
      <c r="EA138" s="223">
        <f t="shared" si="1180"/>
        <v>24</v>
      </c>
      <c r="EB138" s="224">
        <f t="shared" si="1181"/>
        <v>36</v>
      </c>
      <c r="EC138" s="237">
        <f t="shared" si="1119"/>
        <v>2304</v>
      </c>
      <c r="ED138" s="234">
        <f>DS138*DT138*KOslave+DS138*INslave*DX138+KLslave*DT138*DX138</f>
        <v>3456</v>
      </c>
      <c r="EE138" s="224">
        <f t="shared" si="1182"/>
        <v>1728</v>
      </c>
      <c r="EF138" s="224">
        <f t="shared" si="1120"/>
        <v>7488</v>
      </c>
      <c r="EG138" s="222">
        <f t="shared" si="1183"/>
        <v>3.6923076923076925</v>
      </c>
      <c r="EH138" s="223">
        <f t="shared" si="1184"/>
        <v>11.076923076923077</v>
      </c>
      <c r="EI138" s="243">
        <f t="shared" si="1185"/>
        <v>8.3076923076923084</v>
      </c>
      <c r="EJ138" s="243">
        <f t="shared" si="1186"/>
        <v>23.07692307692308</v>
      </c>
      <c r="EK138" s="252">
        <f t="shared" si="1121"/>
        <v>0</v>
      </c>
      <c r="EL138" s="309">
        <f t="shared" si="1187"/>
        <v>23.07692307692308</v>
      </c>
      <c r="EM138" s="218">
        <f>IF(EJ138&lt;=0,3,0)+IF(EJ138&gt;0,EJ138+1,0)*3+IF(EJ138&gt;12,EJ138-12,0)*3+IF(EJ138&gt;13,EJ138-13,0)*3+IF(EJ138&gt;14,EJ138-14,0)*3+IF(EJ138&gt;15,EJ138-15,0)*3+IF(EJ138&gt;16,EJ138-16,0)*3+IF(EJ138&gt;17,EJ138-17,0)*3+IF(EJ138&gt;18,EJ138-18,0)*3+IF(EJ138&gt;19,EJ138-19,0)*3+IF(EJ138&gt;20,EJ138-20,0)*3</f>
        <v>263.30769230769232</v>
      </c>
      <c r="EN138" s="242">
        <f>IF(EK138&lt;=0,3,0)+IF(EK138&gt;0,EK138+1,0)*3+IF(EK138&gt;12,EK138-12,0)*3+IF(EK138&gt;13,EK138-13,0)*3+IF(EK138&gt;14,EK138-14,0)*3+IF(EK138&gt;15,EK138-15,0)*3+IF(EK138&gt;16,EK138-16,0)*3+IF(EK138&gt;17,EK138-17,0)*3+IF(EK138&gt;18,EK138-18,0)*3+IF(EK138&gt;19,EK138-19,0)*3+IF(EK138&gt;20,EK138-20,0)*3</f>
        <v>3</v>
      </c>
      <c r="EO138" s="243">
        <f t="shared" si="1188"/>
        <v>260.30769230769232</v>
      </c>
      <c r="EP138" s="218">
        <f t="shared" si="1189"/>
        <v>0</v>
      </c>
      <c r="ER138" s="303" t="s">
        <v>194</v>
      </c>
      <c r="ES138" s="218" t="s">
        <v>226</v>
      </c>
      <c r="ET138" s="243" t="s">
        <v>135</v>
      </c>
      <c r="EU138" s="237"/>
      <c r="EV138" s="234">
        <f>Konvention_1slave-KLslave</f>
        <v>12</v>
      </c>
      <c r="EW138" s="234">
        <f t="shared" si="1239"/>
        <v>12</v>
      </c>
      <c r="EX138" s="234"/>
      <c r="EY138" s="234"/>
      <c r="EZ138" s="234"/>
      <c r="FA138" s="234">
        <f>Konvention_1slave-KOslave</f>
        <v>12</v>
      </c>
      <c r="FB138" s="224"/>
      <c r="FC138" s="223">
        <f t="shared" si="1190"/>
        <v>12</v>
      </c>
      <c r="FD138" s="223">
        <f t="shared" si="1191"/>
        <v>24</v>
      </c>
      <c r="FE138" s="224">
        <f t="shared" si="1192"/>
        <v>36</v>
      </c>
      <c r="FF138" s="237">
        <f t="shared" si="1122"/>
        <v>2304</v>
      </c>
      <c r="FG138" s="234">
        <f>EV138*EW138*KOslave+EV138*INslave*FA138+KLslave*EW138*FA138</f>
        <v>3456</v>
      </c>
      <c r="FH138" s="224">
        <f t="shared" si="1193"/>
        <v>1728</v>
      </c>
      <c r="FI138" s="224">
        <f t="shared" si="1123"/>
        <v>7488</v>
      </c>
      <c r="FJ138" s="222">
        <f t="shared" si="1194"/>
        <v>3.6923076923076925</v>
      </c>
      <c r="FK138" s="223">
        <f t="shared" si="1195"/>
        <v>11.076923076923077</v>
      </c>
      <c r="FL138" s="243">
        <f t="shared" si="1196"/>
        <v>8.3076923076923084</v>
      </c>
      <c r="FM138" s="243">
        <f t="shared" si="1197"/>
        <v>23.07692307692308</v>
      </c>
      <c r="FN138" s="252">
        <f t="shared" si="1124"/>
        <v>0</v>
      </c>
      <c r="FO138" s="309">
        <f t="shared" si="1198"/>
        <v>23.07692307692308</v>
      </c>
      <c r="FP138" s="218">
        <f>IF(FM138&lt;=0,3,0)+IF(FM138&gt;0,FM138+1,0)*3+IF(FM138&gt;12,FM138-12,0)*3+IF(FM138&gt;13,FM138-13,0)*3+IF(FM138&gt;14,FM138-14,0)*3+IF(FM138&gt;15,FM138-15,0)*3+IF(FM138&gt;16,FM138-16,0)*3+IF(FM138&gt;17,FM138-17,0)*3+IF(FM138&gt;18,FM138-18,0)*3+IF(FM138&gt;19,FM138-19,0)*3+IF(FM138&gt;20,FM138-20,0)*3</f>
        <v>263.30769230769232</v>
      </c>
      <c r="FQ138" s="242">
        <f>IF(FN138&lt;=0,3,0)+IF(FN138&gt;0,FN138+1,0)*3+IF(FN138&gt;12,FN138-12,0)*3+IF(FN138&gt;13,FN138-13,0)*3+IF(FN138&gt;14,FN138-14,0)*3+IF(FN138&gt;15,FN138-15,0)*3+IF(FN138&gt;16,FN138-16,0)*3+IF(FN138&gt;17,FN138-17,0)*3+IF(FN138&gt;18,FN138-18,0)*3+IF(FN138&gt;19,FN138-19,0)*3+IF(FN138&gt;20,FN138-20,0)*3</f>
        <v>3</v>
      </c>
      <c r="FR138" s="243">
        <f t="shared" si="1199"/>
        <v>260.30769230769232</v>
      </c>
      <c r="FS138" s="218">
        <f t="shared" si="1200"/>
        <v>0</v>
      </c>
      <c r="FU138" s="303" t="s">
        <v>194</v>
      </c>
      <c r="FV138" s="218" t="s">
        <v>226</v>
      </c>
      <c r="FW138" s="243" t="s">
        <v>135</v>
      </c>
      <c r="FX138" s="237"/>
      <c r="FY138" s="234">
        <f>Konvention_1slave-KLslave</f>
        <v>12</v>
      </c>
      <c r="FZ138" s="234">
        <f t="shared" si="1240"/>
        <v>12</v>
      </c>
      <c r="GA138" s="234"/>
      <c r="GB138" s="234"/>
      <c r="GC138" s="234"/>
      <c r="GD138" s="234">
        <f>Konvention_1slave-KOslave</f>
        <v>12</v>
      </c>
      <c r="GE138" s="224"/>
      <c r="GF138" s="223">
        <f t="shared" si="1201"/>
        <v>12</v>
      </c>
      <c r="GG138" s="223">
        <f t="shared" si="1202"/>
        <v>24</v>
      </c>
      <c r="GH138" s="224">
        <f t="shared" si="1203"/>
        <v>36</v>
      </c>
      <c r="GI138" s="237">
        <f t="shared" si="1125"/>
        <v>2304</v>
      </c>
      <c r="GJ138" s="234">
        <f>FY138*FZ138*KOslave+FY138*INslave*GD138+KLslave*FZ138*GD138</f>
        <v>3456</v>
      </c>
      <c r="GK138" s="224">
        <f t="shared" si="1204"/>
        <v>1728</v>
      </c>
      <c r="GL138" s="224">
        <f t="shared" si="1126"/>
        <v>7488</v>
      </c>
      <c r="GM138" s="222">
        <f t="shared" si="1205"/>
        <v>3.6923076923076925</v>
      </c>
      <c r="GN138" s="223">
        <f t="shared" si="1206"/>
        <v>11.076923076923077</v>
      </c>
      <c r="GO138" s="243">
        <f t="shared" si="1207"/>
        <v>8.3076923076923084</v>
      </c>
      <c r="GP138" s="243">
        <f t="shared" si="1208"/>
        <v>23.07692307692308</v>
      </c>
      <c r="GQ138" s="252">
        <f t="shared" si="1127"/>
        <v>0</v>
      </c>
      <c r="GR138" s="309">
        <f t="shared" si="1209"/>
        <v>23.07692307692308</v>
      </c>
      <c r="GS138" s="218">
        <f>IF(GP138&lt;=0,3,0)+IF(GP138&gt;0,GP138+1,0)*3+IF(GP138&gt;12,GP138-12,0)*3+IF(GP138&gt;13,GP138-13,0)*3+IF(GP138&gt;14,GP138-14,0)*3+IF(GP138&gt;15,GP138-15,0)*3+IF(GP138&gt;16,GP138-16,0)*3+IF(GP138&gt;17,GP138-17,0)*3+IF(GP138&gt;18,GP138-18,0)*3+IF(GP138&gt;19,GP138-19,0)*3+IF(GP138&gt;20,GP138-20,0)*3</f>
        <v>263.30769230769232</v>
      </c>
      <c r="GT138" s="242">
        <f>IF(GQ138&lt;=0,3,0)+IF(GQ138&gt;0,GQ138+1,0)*3+IF(GQ138&gt;12,GQ138-12,0)*3+IF(GQ138&gt;13,GQ138-13,0)*3+IF(GQ138&gt;14,GQ138-14,0)*3+IF(GQ138&gt;15,GQ138-15,0)*3+IF(GQ138&gt;16,GQ138-16,0)*3+IF(GQ138&gt;17,GQ138-17,0)*3+IF(GQ138&gt;18,GQ138-18,0)*3+IF(GQ138&gt;19,GQ138-19,0)*3+IF(GQ138&gt;20,GQ138-20,0)*3</f>
        <v>3</v>
      </c>
      <c r="GU138" s="243">
        <f t="shared" si="1210"/>
        <v>260.30769230769232</v>
      </c>
      <c r="GV138" s="218">
        <f t="shared" si="1211"/>
        <v>0</v>
      </c>
      <c r="GX138" s="303" t="s">
        <v>194</v>
      </c>
      <c r="GY138" s="218" t="s">
        <v>226</v>
      </c>
      <c r="GZ138" s="243" t="s">
        <v>135</v>
      </c>
      <c r="HA138" s="237"/>
      <c r="HB138" s="234">
        <f>Konvention_1slave-KLslave</f>
        <v>12</v>
      </c>
      <c r="HC138" s="234">
        <f t="shared" si="1241"/>
        <v>12</v>
      </c>
      <c r="HD138" s="234"/>
      <c r="HE138" s="234"/>
      <c r="HF138" s="234"/>
      <c r="HG138" s="234">
        <f>Konvention_1slave-KOslave_KO</f>
        <v>11</v>
      </c>
      <c r="HH138" s="224"/>
      <c r="HI138" s="223">
        <f t="shared" si="1212"/>
        <v>11.666666666666666</v>
      </c>
      <c r="HJ138" s="223">
        <f t="shared" si="1213"/>
        <v>23.333333333333332</v>
      </c>
      <c r="HK138" s="224">
        <f t="shared" si="1214"/>
        <v>35</v>
      </c>
      <c r="HL138" s="237">
        <f t="shared" si="1128"/>
        <v>2432</v>
      </c>
      <c r="HM138" s="234">
        <f>HB138*HC138*KOslave_KO+HB138*INslave*HG138+KLslave*HC138*HG138</f>
        <v>3408</v>
      </c>
      <c r="HN138" s="224">
        <f t="shared" si="1215"/>
        <v>1584</v>
      </c>
      <c r="HO138" s="224">
        <f t="shared" si="1129"/>
        <v>7424</v>
      </c>
      <c r="HP138" s="222">
        <f t="shared" si="1216"/>
        <v>3.8218390804597702</v>
      </c>
      <c r="HQ138" s="223">
        <f t="shared" si="1217"/>
        <v>10.711206896551724</v>
      </c>
      <c r="HR138" s="243">
        <f t="shared" si="1218"/>
        <v>7.4676724137931032</v>
      </c>
      <c r="HS138" s="243">
        <f t="shared" si="1219"/>
        <v>22.000718390804597</v>
      </c>
      <c r="HT138" s="252">
        <f t="shared" si="1130"/>
        <v>0</v>
      </c>
      <c r="HU138" s="309">
        <f t="shared" si="1220"/>
        <v>22.000718390804597</v>
      </c>
      <c r="HV138" s="218">
        <f>IF(HS138&lt;=0,3,0)+IF(HS138&gt;0,HS138+1,0)*3+IF(HS138&gt;12,HS138-12,0)*3+IF(HS138&gt;13,HS138-13,0)*3+IF(HS138&gt;14,HS138-14,0)*3+IF(HS138&gt;15,HS138-15,0)*3+IF(HS138&gt;16,HS138-16,0)*3+IF(HS138&gt;17,HS138-17,0)*3+IF(HS138&gt;18,HS138-18,0)*3+IF(HS138&gt;19,HS138-19,0)*3+IF(HS138&gt;20,HS138-20,0)*3</f>
        <v>231.02155172413785</v>
      </c>
      <c r="HW138" s="242">
        <f>IF(HT138&lt;=0,3,0)+IF(HT138&gt;0,HT138+1,0)*3+IF(HT138&gt;12,HT138-12,0)*3+IF(HT138&gt;13,HT138-13,0)*3+IF(HT138&gt;14,HT138-14,0)*3+IF(HT138&gt;15,HT138-15,0)*3+IF(HT138&gt;16,HT138-16,0)*3+IF(HT138&gt;17,HT138-17,0)*3+IF(HT138&gt;18,HT138-18,0)*3+IF(HT138&gt;19,HT138-19,0)*3+IF(HT138&gt;20,HT138-20,0)*3</f>
        <v>3</v>
      </c>
      <c r="HX138" s="243">
        <f t="shared" si="1221"/>
        <v>228.02155172413785</v>
      </c>
      <c r="HY138" s="218">
        <f t="shared" si="1222"/>
        <v>0</v>
      </c>
      <c r="IA138" s="303" t="s">
        <v>194</v>
      </c>
      <c r="IB138" s="218" t="s">
        <v>226</v>
      </c>
      <c r="IC138" s="243" t="s">
        <v>135</v>
      </c>
      <c r="ID138" s="237"/>
      <c r="IE138" s="234">
        <f>Konvention_1slave-KLslave</f>
        <v>12</v>
      </c>
      <c r="IF138" s="234">
        <f t="shared" si="1242"/>
        <v>12</v>
      </c>
      <c r="IG138" s="234"/>
      <c r="IH138" s="234"/>
      <c r="II138" s="234"/>
      <c r="IJ138" s="234">
        <f>Konvention_1slave-KOslave</f>
        <v>12</v>
      </c>
      <c r="IK138" s="224"/>
      <c r="IL138" s="223">
        <f t="shared" si="1223"/>
        <v>12</v>
      </c>
      <c r="IM138" s="223">
        <f t="shared" si="1224"/>
        <v>24</v>
      </c>
      <c r="IN138" s="224">
        <f t="shared" si="1225"/>
        <v>36</v>
      </c>
      <c r="IO138" s="237">
        <f t="shared" si="1131"/>
        <v>2304</v>
      </c>
      <c r="IP138" s="234">
        <f>IE138*IF138*KOslave+IE138*INslave*IJ138+KLslave*IF138*IJ138</f>
        <v>3456</v>
      </c>
      <c r="IQ138" s="224">
        <f t="shared" si="1226"/>
        <v>1728</v>
      </c>
      <c r="IR138" s="224">
        <f t="shared" si="1132"/>
        <v>7488</v>
      </c>
      <c r="IS138" s="222">
        <f t="shared" si="1227"/>
        <v>3.6923076923076925</v>
      </c>
      <c r="IT138" s="223">
        <f t="shared" si="1228"/>
        <v>11.076923076923077</v>
      </c>
      <c r="IU138" s="243">
        <f t="shared" si="1229"/>
        <v>8.3076923076923084</v>
      </c>
      <c r="IV138" s="243">
        <f t="shared" si="1230"/>
        <v>23.07692307692308</v>
      </c>
      <c r="IW138" s="252">
        <f t="shared" si="1133"/>
        <v>0</v>
      </c>
      <c r="IX138" s="309">
        <f t="shared" si="1231"/>
        <v>23.07692307692308</v>
      </c>
      <c r="IY138" s="218">
        <f>IF(IV138&lt;=0,3,0)+IF(IV138&gt;0,IV138+1,0)*3+IF(IV138&gt;12,IV138-12,0)*3+IF(IV138&gt;13,IV138-13,0)*3+IF(IV138&gt;14,IV138-14,0)*3+IF(IV138&gt;15,IV138-15,0)*3+IF(IV138&gt;16,IV138-16,0)*3+IF(IV138&gt;17,IV138-17,0)*3+IF(IV138&gt;18,IV138-18,0)*3+IF(IV138&gt;19,IV138-19,0)*3+IF(IV138&gt;20,IV138-20,0)*3</f>
        <v>263.30769230769232</v>
      </c>
      <c r="IZ138" s="242">
        <f>IF(IW138&lt;=0,3,0)+IF(IW138&gt;0,IW138+1,0)*3+IF(IW138&gt;12,IW138-12,0)*3+IF(IW138&gt;13,IW138-13,0)*3+IF(IW138&gt;14,IW138-14,0)*3+IF(IW138&gt;15,IW138-15,0)*3+IF(IW138&gt;16,IW138-16,0)*3+IF(IW138&gt;17,IW138-17,0)*3+IF(IW138&gt;18,IW138-18,0)*3+IF(IW138&gt;19,IW138-19,0)*3+IF(IW138&gt;20,IW138-20,0)*3</f>
        <v>3</v>
      </c>
      <c r="JA138" s="243">
        <f t="shared" si="1232"/>
        <v>260.30769230769232</v>
      </c>
      <c r="JB138" s="218">
        <f t="shared" si="1233"/>
        <v>0</v>
      </c>
      <c r="JE138" s="148"/>
    </row>
    <row r="139" spans="2:265" hidden="1" outlineLevel="2">
      <c r="B139" s="148">
        <v>12</v>
      </c>
      <c r="C139" s="303" t="e">
        <f>VLOOKUP(AF139,Attribute!C:T,1,FALSE)</f>
        <v>#N/A</v>
      </c>
      <c r="D139" s="125" t="s">
        <v>101</v>
      </c>
      <c r="E139" s="127" t="s">
        <v>133</v>
      </c>
      <c r="F139" s="114"/>
      <c r="G139" s="113"/>
      <c r="H139" s="113">
        <f t="shared" si="1234"/>
        <v>12</v>
      </c>
      <c r="I139" s="113">
        <f>Konvention_1master-CHmaster</f>
        <v>12</v>
      </c>
      <c r="J139" s="113"/>
      <c r="K139" s="113"/>
      <c r="L139" s="113">
        <f>Konvention_1master-KOmaster</f>
        <v>12</v>
      </c>
      <c r="M139" s="119"/>
      <c r="N139" s="223">
        <f t="shared" si="1134"/>
        <v>12</v>
      </c>
      <c r="O139" s="223">
        <f t="shared" si="1135"/>
        <v>24</v>
      </c>
      <c r="P139" s="224">
        <f t="shared" si="1136"/>
        <v>36</v>
      </c>
      <c r="Q139" s="237">
        <f t="shared" si="1137"/>
        <v>2304</v>
      </c>
      <c r="R139" s="113">
        <f>H139*I139*KOmaster+H139*CHmaster*L139+INmaster*I139*L139</f>
        <v>3456</v>
      </c>
      <c r="S139" s="224">
        <f t="shared" si="1138"/>
        <v>1728</v>
      </c>
      <c r="T139" s="224">
        <f t="shared" si="1109"/>
        <v>7488</v>
      </c>
      <c r="U139" s="222">
        <f t="shared" si="1139"/>
        <v>3.6923076923076925</v>
      </c>
      <c r="V139" s="223">
        <f t="shared" si="1140"/>
        <v>11.076923076923077</v>
      </c>
      <c r="W139" s="243">
        <f t="shared" si="1141"/>
        <v>8.3076923076923084</v>
      </c>
      <c r="X139" s="243">
        <f t="shared" si="1142"/>
        <v>23.07692307692308</v>
      </c>
      <c r="Y139" s="252">
        <v>0</v>
      </c>
      <c r="Z139" s="198">
        <f t="shared" si="1143"/>
        <v>23.07692307692308</v>
      </c>
      <c r="AA139" s="125">
        <f>IF(X139&lt;=0,1,0)+IF(X139&gt;0,X139+1,0)*1+IF(X139&gt;12,X139-12,0)*1+IF(X139&gt;13,X139-13,0)*1+IF(X139&gt;14,X139-14,0)*1+IF(X139&gt;15,X139-15,0)*1+IF(X139&gt;16,X139-16,0)*1+IF(X139&gt;17,X139-17,0)*1+IF(X139&gt;18,X139-18,0)*1+IF(X139&gt;19,X139-19,0)*1+IF(X139&gt;20,X139-20,0)*1</f>
        <v>87.769230769230802</v>
      </c>
      <c r="AB139" s="160">
        <f>IF(Y139&lt;=0,1,0)+IF(Y139&gt;0,Y139+1,0)*1+IF(Y139&gt;12,Y139-12,0)*1+IF(Y139&gt;13,Y139-13,0)*1+IF(Y139&gt;14,Y139-14,0)*1+IF(Y139&gt;15,Y139-15,0)*1+IF(Y139&gt;16,Y139-16,0)*1+IF(Y139&gt;17,Y139-17,0)*1+IF(Y139&gt;18,Y139-18,0)*1+IF(Y139&gt;19,Y139-19,0)*1+IF(Y139&gt;20,Y139-20,0)*1</f>
        <v>1</v>
      </c>
      <c r="AC139" s="127">
        <f t="shared" si="1144"/>
        <v>86.769230769230802</v>
      </c>
      <c r="AD139" s="125">
        <f t="shared" si="1145"/>
        <v>0</v>
      </c>
      <c r="AF139" s="163" t="s">
        <v>372</v>
      </c>
      <c r="AG139" s="125" t="s">
        <v>101</v>
      </c>
      <c r="AH139" s="127" t="s">
        <v>133</v>
      </c>
      <c r="AI139" s="114"/>
      <c r="AJ139" s="113"/>
      <c r="AK139" s="113">
        <f t="shared" si="1235"/>
        <v>12</v>
      </c>
      <c r="AL139" s="113">
        <f>Konvention_1slave-CHslave</f>
        <v>12</v>
      </c>
      <c r="AM139" s="113"/>
      <c r="AN139" s="113"/>
      <c r="AO139" s="113">
        <f>Konvention_1slave-KOslave</f>
        <v>12</v>
      </c>
      <c r="AP139" s="119"/>
      <c r="AQ139" s="47">
        <f t="shared" si="1146"/>
        <v>12</v>
      </c>
      <c r="AR139" s="47">
        <f t="shared" si="1147"/>
        <v>24</v>
      </c>
      <c r="AS139" s="119">
        <f t="shared" si="1148"/>
        <v>36</v>
      </c>
      <c r="AT139" s="114">
        <f t="shared" si="1110"/>
        <v>2304</v>
      </c>
      <c r="AU139" s="113">
        <f>AK139*AL139*KOslave+AK139*CHslave*AO139+INslave*AL139*AO139</f>
        <v>3456</v>
      </c>
      <c r="AV139" s="119">
        <f t="shared" si="1149"/>
        <v>1728</v>
      </c>
      <c r="AW139" s="119">
        <f t="shared" si="1111"/>
        <v>7488</v>
      </c>
      <c r="AX139" s="89">
        <f t="shared" si="1150"/>
        <v>3.6923076923076925</v>
      </c>
      <c r="AY139" s="47">
        <f t="shared" si="1151"/>
        <v>11.076923076923077</v>
      </c>
      <c r="AZ139" s="127">
        <f t="shared" si="1152"/>
        <v>8.3076923076923084</v>
      </c>
      <c r="BA139" s="127">
        <f t="shared" si="1153"/>
        <v>23.07692307692308</v>
      </c>
      <c r="BB139" s="165">
        <f t="shared" si="1112"/>
        <v>0</v>
      </c>
      <c r="BC139" s="198">
        <f t="shared" si="1154"/>
        <v>23.07692307692308</v>
      </c>
      <c r="BD139" s="125">
        <f>IF(BA139&lt;=0,1,0)+IF(BA139&gt;0,BA139+1,0)*1+IF(BA139&gt;12,BA139-12,0)*1+IF(BA139&gt;13,BA139-13,0)*1+IF(BA139&gt;14,BA139-14,0)*1+IF(BA139&gt;15,BA139-15,0)*1+IF(BA139&gt;16,BA139-16,0)*1+IF(BA139&gt;17,BA139-17,0)*1+IF(BA139&gt;18,BA139-18,0)*1+IF(BA139&gt;19,BA139-19,0)*1+IF(BA139&gt;20,BA139-20,0)*1</f>
        <v>87.769230769230802</v>
      </c>
      <c r="BE139" s="160">
        <f>IF(BB139&lt;=0,1,0)+IF(BB139&gt;0,BB139+1,0)*1+IF(BB139&gt;12,BB139-12,0)*1+IF(BB139&gt;13,BB139-13,0)*1+IF(BB139&gt;14,BB139-14,0)*1+IF(BB139&gt;15,BB139-15,0)*1+IF(BB139&gt;16,BB139-16,0)*1+IF(BB139&gt;17,BB139-17,0)*1+IF(BB139&gt;18,BB139-18,0)*1+IF(BB139&gt;19,BB139-19,0)*1+IF(BB139&gt;20,BB139-20,0)*1</f>
        <v>1</v>
      </c>
      <c r="BF139" s="243">
        <f t="shared" si="1155"/>
        <v>86.769230769230802</v>
      </c>
      <c r="BG139" s="218">
        <f t="shared" si="1156"/>
        <v>0</v>
      </c>
      <c r="BI139" s="303" t="s">
        <v>372</v>
      </c>
      <c r="BJ139" s="218" t="s">
        <v>101</v>
      </c>
      <c r="BK139" s="243" t="s">
        <v>133</v>
      </c>
      <c r="BL139" s="237"/>
      <c r="BM139" s="234"/>
      <c r="BN139" s="234">
        <f t="shared" si="1237"/>
        <v>12</v>
      </c>
      <c r="BO139" s="234">
        <f>Konvention_1slave-CHslave</f>
        <v>12</v>
      </c>
      <c r="BP139" s="234"/>
      <c r="BQ139" s="234"/>
      <c r="BR139" s="234">
        <f>Konvention_1slave-KOslave</f>
        <v>12</v>
      </c>
      <c r="BS139" s="224"/>
      <c r="BT139" s="223">
        <f t="shared" si="1157"/>
        <v>12</v>
      </c>
      <c r="BU139" s="223">
        <f t="shared" si="1158"/>
        <v>24</v>
      </c>
      <c r="BV139" s="224">
        <f t="shared" si="1159"/>
        <v>36</v>
      </c>
      <c r="BW139" s="237">
        <f t="shared" si="1113"/>
        <v>2304</v>
      </c>
      <c r="BX139" s="234">
        <f>BN139*BO139*KOslave+BN139*CHslave*BR139+INslave*BO139*BR139</f>
        <v>3456</v>
      </c>
      <c r="BY139" s="224">
        <f t="shared" si="1160"/>
        <v>1728</v>
      </c>
      <c r="BZ139" s="224">
        <f t="shared" si="1114"/>
        <v>7488</v>
      </c>
      <c r="CA139" s="222">
        <f t="shared" si="1161"/>
        <v>3.6923076923076925</v>
      </c>
      <c r="CB139" s="223">
        <f t="shared" si="1162"/>
        <v>11.076923076923077</v>
      </c>
      <c r="CC139" s="243">
        <f t="shared" si="1163"/>
        <v>8.3076923076923084</v>
      </c>
      <c r="CD139" s="243">
        <f t="shared" si="1164"/>
        <v>23.07692307692308</v>
      </c>
      <c r="CE139" s="252">
        <f t="shared" si="1115"/>
        <v>0</v>
      </c>
      <c r="CF139" s="309">
        <f t="shared" si="1165"/>
        <v>23.07692307692308</v>
      </c>
      <c r="CG139" s="218">
        <f>IF(CD139&lt;=0,1,0)+IF(CD139&gt;0,CD139+1,0)*1+IF(CD139&gt;12,CD139-12,0)*1+IF(CD139&gt;13,CD139-13,0)*1+IF(CD139&gt;14,CD139-14,0)*1+IF(CD139&gt;15,CD139-15,0)*1+IF(CD139&gt;16,CD139-16,0)*1+IF(CD139&gt;17,CD139-17,0)*1+IF(CD139&gt;18,CD139-18,0)*1+IF(CD139&gt;19,CD139-19,0)*1+IF(CD139&gt;20,CD139-20,0)*1</f>
        <v>87.769230769230802</v>
      </c>
      <c r="CH139" s="242">
        <f>IF(CE139&lt;=0,1,0)+IF(CE139&gt;0,CE139+1,0)*1+IF(CE139&gt;12,CE139-12,0)*1+IF(CE139&gt;13,CE139-13,0)*1+IF(CE139&gt;14,CE139-14,0)*1+IF(CE139&gt;15,CE139-15,0)*1+IF(CE139&gt;16,CE139-16,0)*1+IF(CE139&gt;17,CE139-17,0)*1+IF(CE139&gt;18,CE139-18,0)*1+IF(CE139&gt;19,CE139-19,0)*1+IF(CE139&gt;20,CE139-20,0)*1</f>
        <v>1</v>
      </c>
      <c r="CI139" s="243">
        <f t="shared" si="1166"/>
        <v>86.769230769230802</v>
      </c>
      <c r="CJ139" s="218">
        <f t="shared" si="1167"/>
        <v>0</v>
      </c>
      <c r="CL139" s="303" t="s">
        <v>372</v>
      </c>
      <c r="CM139" s="218" t="s">
        <v>101</v>
      </c>
      <c r="CN139" s="243" t="s">
        <v>133</v>
      </c>
      <c r="CO139" s="237"/>
      <c r="CP139" s="234"/>
      <c r="CQ139" s="234">
        <f t="shared" si="1236"/>
        <v>11</v>
      </c>
      <c r="CR139" s="234">
        <f>Konvention_1slave-CHslave</f>
        <v>12</v>
      </c>
      <c r="CS139" s="234"/>
      <c r="CT139" s="234"/>
      <c r="CU139" s="234">
        <f>Konvention_1slave-KOslave</f>
        <v>12</v>
      </c>
      <c r="CV139" s="224"/>
      <c r="CW139" s="223">
        <f t="shared" si="1168"/>
        <v>11.666666666666666</v>
      </c>
      <c r="CX139" s="223">
        <f t="shared" si="1169"/>
        <v>23.333333333333332</v>
      </c>
      <c r="CY139" s="224">
        <f t="shared" si="1170"/>
        <v>35</v>
      </c>
      <c r="CZ139" s="237">
        <f t="shared" si="1116"/>
        <v>2432</v>
      </c>
      <c r="DA139" s="234">
        <f>CQ139*CR139*KOslave+CQ139*CHslave*CU139+INslave_IN*CR139*CU139</f>
        <v>3408</v>
      </c>
      <c r="DB139" s="224">
        <f t="shared" si="1171"/>
        <v>1584</v>
      </c>
      <c r="DC139" s="224">
        <f t="shared" si="1117"/>
        <v>7424</v>
      </c>
      <c r="DD139" s="222">
        <f t="shared" si="1172"/>
        <v>3.8218390804597702</v>
      </c>
      <c r="DE139" s="223">
        <f t="shared" si="1173"/>
        <v>10.711206896551724</v>
      </c>
      <c r="DF139" s="243">
        <f t="shared" si="1174"/>
        <v>7.4676724137931032</v>
      </c>
      <c r="DG139" s="243">
        <f t="shared" si="1175"/>
        <v>22.000718390804597</v>
      </c>
      <c r="DH139" s="252">
        <f t="shared" si="1118"/>
        <v>0</v>
      </c>
      <c r="DI139" s="309">
        <f t="shared" si="1176"/>
        <v>22.000718390804597</v>
      </c>
      <c r="DJ139" s="218">
        <f>IF(DG139&lt;=0,1,0)+IF(DG139&gt;0,DG139+1,0)*1+IF(DG139&gt;12,DG139-12,0)*1+IF(DG139&gt;13,DG139-13,0)*1+IF(DG139&gt;14,DG139-14,0)*1+IF(DG139&gt;15,DG139-15,0)*1+IF(DG139&gt;16,DG139-16,0)*1+IF(DG139&gt;17,DG139-17,0)*1+IF(DG139&gt;18,DG139-18,0)*1+IF(DG139&gt;19,DG139-19,0)*1+IF(DG139&gt;20,DG139-20,0)*1</f>
        <v>77.007183908045945</v>
      </c>
      <c r="DK139" s="242">
        <f>IF(DH139&lt;=0,1,0)+IF(DH139&gt;0,DH139+1,0)*1+IF(DH139&gt;12,DH139-12,0)*1+IF(DH139&gt;13,DH139-13,0)*1+IF(DH139&gt;14,DH139-14,0)*1+IF(DH139&gt;15,DH139-15,0)*1+IF(DH139&gt;16,DH139-16,0)*1+IF(DH139&gt;17,DH139-17,0)*1+IF(DH139&gt;18,DH139-18,0)*1+IF(DH139&gt;19,DH139-19,0)*1+IF(DH139&gt;20,DH139-20,0)*1</f>
        <v>1</v>
      </c>
      <c r="DL139" s="243">
        <f t="shared" si="1177"/>
        <v>76.007183908045945</v>
      </c>
      <c r="DM139" s="218">
        <f t="shared" si="1178"/>
        <v>0</v>
      </c>
      <c r="DO139" s="303" t="s">
        <v>372</v>
      </c>
      <c r="DP139" s="218" t="s">
        <v>101</v>
      </c>
      <c r="DQ139" s="243" t="s">
        <v>133</v>
      </c>
      <c r="DR139" s="237"/>
      <c r="DS139" s="234"/>
      <c r="DT139" s="234">
        <f t="shared" si="1238"/>
        <v>12</v>
      </c>
      <c r="DU139" s="234">
        <f>Konvention_1slave-CHslave_CH</f>
        <v>11</v>
      </c>
      <c r="DV139" s="234"/>
      <c r="DW139" s="234"/>
      <c r="DX139" s="234">
        <f>Konvention_1slave-KOslave</f>
        <v>12</v>
      </c>
      <c r="DY139" s="224"/>
      <c r="DZ139" s="223">
        <f t="shared" si="1179"/>
        <v>11.666666666666666</v>
      </c>
      <c r="EA139" s="223">
        <f t="shared" si="1180"/>
        <v>23.333333333333332</v>
      </c>
      <c r="EB139" s="224">
        <f t="shared" si="1181"/>
        <v>35</v>
      </c>
      <c r="EC139" s="237">
        <f t="shared" si="1119"/>
        <v>2432</v>
      </c>
      <c r="ED139" s="234">
        <f>DT139*DU139*KOslave+DT139*CHslave_CH*DX139+INslave*DU139*DX139</f>
        <v>3408</v>
      </c>
      <c r="EE139" s="224">
        <f t="shared" si="1182"/>
        <v>1584</v>
      </c>
      <c r="EF139" s="224">
        <f t="shared" si="1120"/>
        <v>7424</v>
      </c>
      <c r="EG139" s="222">
        <f t="shared" si="1183"/>
        <v>3.8218390804597702</v>
      </c>
      <c r="EH139" s="223">
        <f t="shared" si="1184"/>
        <v>10.711206896551724</v>
      </c>
      <c r="EI139" s="243">
        <f t="shared" si="1185"/>
        <v>7.4676724137931032</v>
      </c>
      <c r="EJ139" s="243">
        <f t="shared" si="1186"/>
        <v>22.000718390804597</v>
      </c>
      <c r="EK139" s="252">
        <f t="shared" si="1121"/>
        <v>0</v>
      </c>
      <c r="EL139" s="309">
        <f t="shared" si="1187"/>
        <v>22.000718390804597</v>
      </c>
      <c r="EM139" s="218">
        <f>IF(EJ139&lt;=0,1,0)+IF(EJ139&gt;0,EJ139+1,0)*1+IF(EJ139&gt;12,EJ139-12,0)*1+IF(EJ139&gt;13,EJ139-13,0)*1+IF(EJ139&gt;14,EJ139-14,0)*1+IF(EJ139&gt;15,EJ139-15,0)*1+IF(EJ139&gt;16,EJ139-16,0)*1+IF(EJ139&gt;17,EJ139-17,0)*1+IF(EJ139&gt;18,EJ139-18,0)*1+IF(EJ139&gt;19,EJ139-19,0)*1+IF(EJ139&gt;20,EJ139-20,0)*1</f>
        <v>77.007183908045945</v>
      </c>
      <c r="EN139" s="242">
        <f>IF(EK139&lt;=0,1,0)+IF(EK139&gt;0,EK139+1,0)*1+IF(EK139&gt;12,EK139-12,0)*1+IF(EK139&gt;13,EK139-13,0)*1+IF(EK139&gt;14,EK139-14,0)*1+IF(EK139&gt;15,EK139-15,0)*1+IF(EK139&gt;16,EK139-16,0)*1+IF(EK139&gt;17,EK139-17,0)*1+IF(EK139&gt;18,EK139-18,0)*1+IF(EK139&gt;19,EK139-19,0)*1+IF(EK139&gt;20,EK139-20,0)*1</f>
        <v>1</v>
      </c>
      <c r="EO139" s="243">
        <f t="shared" si="1188"/>
        <v>76.007183908045945</v>
      </c>
      <c r="EP139" s="218">
        <f t="shared" si="1189"/>
        <v>0</v>
      </c>
      <c r="ER139" s="303" t="s">
        <v>372</v>
      </c>
      <c r="ES139" s="218" t="s">
        <v>101</v>
      </c>
      <c r="ET139" s="243" t="s">
        <v>133</v>
      </c>
      <c r="EU139" s="237"/>
      <c r="EV139" s="234"/>
      <c r="EW139" s="234">
        <f t="shared" si="1239"/>
        <v>12</v>
      </c>
      <c r="EX139" s="234">
        <f>Konvention_1slave-CHslave</f>
        <v>12</v>
      </c>
      <c r="EY139" s="234"/>
      <c r="EZ139" s="234"/>
      <c r="FA139" s="234">
        <f>Konvention_1slave-KOslave</f>
        <v>12</v>
      </c>
      <c r="FB139" s="224"/>
      <c r="FC139" s="223">
        <f t="shared" si="1190"/>
        <v>12</v>
      </c>
      <c r="FD139" s="223">
        <f t="shared" si="1191"/>
        <v>24</v>
      </c>
      <c r="FE139" s="224">
        <f t="shared" si="1192"/>
        <v>36</v>
      </c>
      <c r="FF139" s="237">
        <f t="shared" si="1122"/>
        <v>2304</v>
      </c>
      <c r="FG139" s="234">
        <f>EW139*EX139*KOslave+EW139*CHslave*FA139+INslave*EX139*FA139</f>
        <v>3456</v>
      </c>
      <c r="FH139" s="224">
        <f t="shared" si="1193"/>
        <v>1728</v>
      </c>
      <c r="FI139" s="224">
        <f t="shared" si="1123"/>
        <v>7488</v>
      </c>
      <c r="FJ139" s="222">
        <f t="shared" si="1194"/>
        <v>3.6923076923076925</v>
      </c>
      <c r="FK139" s="223">
        <f t="shared" si="1195"/>
        <v>11.076923076923077</v>
      </c>
      <c r="FL139" s="243">
        <f t="shared" si="1196"/>
        <v>8.3076923076923084</v>
      </c>
      <c r="FM139" s="243">
        <f t="shared" si="1197"/>
        <v>23.07692307692308</v>
      </c>
      <c r="FN139" s="252">
        <f t="shared" si="1124"/>
        <v>0</v>
      </c>
      <c r="FO139" s="309">
        <f t="shared" si="1198"/>
        <v>23.07692307692308</v>
      </c>
      <c r="FP139" s="218">
        <f>IF(FM139&lt;=0,1,0)+IF(FM139&gt;0,FM139+1,0)*1+IF(FM139&gt;12,FM139-12,0)*1+IF(FM139&gt;13,FM139-13,0)*1+IF(FM139&gt;14,FM139-14,0)*1+IF(FM139&gt;15,FM139-15,0)*1+IF(FM139&gt;16,FM139-16,0)*1+IF(FM139&gt;17,FM139-17,0)*1+IF(FM139&gt;18,FM139-18,0)*1+IF(FM139&gt;19,FM139-19,0)*1+IF(FM139&gt;20,FM139-20,0)*1</f>
        <v>87.769230769230802</v>
      </c>
      <c r="FQ139" s="242">
        <f>IF(FN139&lt;=0,1,0)+IF(FN139&gt;0,FN139+1,0)*1+IF(FN139&gt;12,FN139-12,0)*1+IF(FN139&gt;13,FN139-13,0)*1+IF(FN139&gt;14,FN139-14,0)*1+IF(FN139&gt;15,FN139-15,0)*1+IF(FN139&gt;16,FN139-16,0)*1+IF(FN139&gt;17,FN139-17,0)*1+IF(FN139&gt;18,FN139-18,0)*1+IF(FN139&gt;19,FN139-19,0)*1+IF(FN139&gt;20,FN139-20,0)*1</f>
        <v>1</v>
      </c>
      <c r="FR139" s="243">
        <f t="shared" si="1199"/>
        <v>86.769230769230802</v>
      </c>
      <c r="FS139" s="218">
        <f t="shared" si="1200"/>
        <v>0</v>
      </c>
      <c r="FU139" s="303" t="s">
        <v>372</v>
      </c>
      <c r="FV139" s="218" t="s">
        <v>101</v>
      </c>
      <c r="FW139" s="243" t="s">
        <v>133</v>
      </c>
      <c r="FX139" s="237"/>
      <c r="FY139" s="234"/>
      <c r="FZ139" s="234">
        <f t="shared" si="1240"/>
        <v>12</v>
      </c>
      <c r="GA139" s="234">
        <f>Konvention_1slave-CHslave</f>
        <v>12</v>
      </c>
      <c r="GB139" s="234"/>
      <c r="GC139" s="234"/>
      <c r="GD139" s="234">
        <f>Konvention_1slave-KOslave</f>
        <v>12</v>
      </c>
      <c r="GE139" s="224"/>
      <c r="GF139" s="223">
        <f t="shared" si="1201"/>
        <v>12</v>
      </c>
      <c r="GG139" s="223">
        <f t="shared" si="1202"/>
        <v>24</v>
      </c>
      <c r="GH139" s="224">
        <f t="shared" si="1203"/>
        <v>36</v>
      </c>
      <c r="GI139" s="237">
        <f t="shared" si="1125"/>
        <v>2304</v>
      </c>
      <c r="GJ139" s="234">
        <f>FZ139*GA139*KOslave+FZ139*CHslave*GD139+INslave*GA139*GD139</f>
        <v>3456</v>
      </c>
      <c r="GK139" s="224">
        <f t="shared" si="1204"/>
        <v>1728</v>
      </c>
      <c r="GL139" s="224">
        <f t="shared" si="1126"/>
        <v>7488</v>
      </c>
      <c r="GM139" s="222">
        <f t="shared" si="1205"/>
        <v>3.6923076923076925</v>
      </c>
      <c r="GN139" s="223">
        <f t="shared" si="1206"/>
        <v>11.076923076923077</v>
      </c>
      <c r="GO139" s="243">
        <f t="shared" si="1207"/>
        <v>8.3076923076923084</v>
      </c>
      <c r="GP139" s="243">
        <f t="shared" si="1208"/>
        <v>23.07692307692308</v>
      </c>
      <c r="GQ139" s="252">
        <f t="shared" si="1127"/>
        <v>0</v>
      </c>
      <c r="GR139" s="309">
        <f t="shared" si="1209"/>
        <v>23.07692307692308</v>
      </c>
      <c r="GS139" s="218">
        <f>IF(GP139&lt;=0,1,0)+IF(GP139&gt;0,GP139+1,0)*1+IF(GP139&gt;12,GP139-12,0)*1+IF(GP139&gt;13,GP139-13,0)*1+IF(GP139&gt;14,GP139-14,0)*1+IF(GP139&gt;15,GP139-15,0)*1+IF(GP139&gt;16,GP139-16,0)*1+IF(GP139&gt;17,GP139-17,0)*1+IF(GP139&gt;18,GP139-18,0)*1+IF(GP139&gt;19,GP139-19,0)*1+IF(GP139&gt;20,GP139-20,0)*1</f>
        <v>87.769230769230802</v>
      </c>
      <c r="GT139" s="242">
        <f>IF(GQ139&lt;=0,1,0)+IF(GQ139&gt;0,GQ139+1,0)*1+IF(GQ139&gt;12,GQ139-12,0)*1+IF(GQ139&gt;13,GQ139-13,0)*1+IF(GQ139&gt;14,GQ139-14,0)*1+IF(GQ139&gt;15,GQ139-15,0)*1+IF(GQ139&gt;16,GQ139-16,0)*1+IF(GQ139&gt;17,GQ139-17,0)*1+IF(GQ139&gt;18,GQ139-18,0)*1+IF(GQ139&gt;19,GQ139-19,0)*1+IF(GQ139&gt;20,GQ139-20,0)*1</f>
        <v>1</v>
      </c>
      <c r="GU139" s="243">
        <f t="shared" si="1210"/>
        <v>86.769230769230802</v>
      </c>
      <c r="GV139" s="218">
        <f t="shared" si="1211"/>
        <v>0</v>
      </c>
      <c r="GX139" s="303" t="s">
        <v>372</v>
      </c>
      <c r="GY139" s="218" t="s">
        <v>101</v>
      </c>
      <c r="GZ139" s="243" t="s">
        <v>133</v>
      </c>
      <c r="HA139" s="237"/>
      <c r="HB139" s="234"/>
      <c r="HC139" s="234">
        <f t="shared" si="1241"/>
        <v>12</v>
      </c>
      <c r="HD139" s="234">
        <f>Konvention_1slave-CHslave</f>
        <v>12</v>
      </c>
      <c r="HE139" s="234"/>
      <c r="HF139" s="234"/>
      <c r="HG139" s="234">
        <f>Konvention_1slave-KOslave_KO</f>
        <v>11</v>
      </c>
      <c r="HH139" s="224"/>
      <c r="HI139" s="223">
        <f t="shared" si="1212"/>
        <v>11.666666666666666</v>
      </c>
      <c r="HJ139" s="223">
        <f t="shared" si="1213"/>
        <v>23.333333333333332</v>
      </c>
      <c r="HK139" s="224">
        <f t="shared" si="1214"/>
        <v>35</v>
      </c>
      <c r="HL139" s="237">
        <f t="shared" si="1128"/>
        <v>2432</v>
      </c>
      <c r="HM139" s="234">
        <f>HC139*HD139*KOslave_KO+HC139*CHslave*HG139+INslave*HD139*HG139</f>
        <v>3408</v>
      </c>
      <c r="HN139" s="224">
        <f t="shared" si="1215"/>
        <v>1584</v>
      </c>
      <c r="HO139" s="224">
        <f t="shared" si="1129"/>
        <v>7424</v>
      </c>
      <c r="HP139" s="222">
        <f t="shared" si="1216"/>
        <v>3.8218390804597702</v>
      </c>
      <c r="HQ139" s="223">
        <f t="shared" si="1217"/>
        <v>10.711206896551724</v>
      </c>
      <c r="HR139" s="243">
        <f t="shared" si="1218"/>
        <v>7.4676724137931032</v>
      </c>
      <c r="HS139" s="243">
        <f t="shared" si="1219"/>
        <v>22.000718390804597</v>
      </c>
      <c r="HT139" s="252">
        <f t="shared" si="1130"/>
        <v>0</v>
      </c>
      <c r="HU139" s="309">
        <f t="shared" si="1220"/>
        <v>22.000718390804597</v>
      </c>
      <c r="HV139" s="218">
        <f>IF(HS139&lt;=0,1,0)+IF(HS139&gt;0,HS139+1,0)*1+IF(HS139&gt;12,HS139-12,0)*1+IF(HS139&gt;13,HS139-13,0)*1+IF(HS139&gt;14,HS139-14,0)*1+IF(HS139&gt;15,HS139-15,0)*1+IF(HS139&gt;16,HS139-16,0)*1+IF(HS139&gt;17,HS139-17,0)*1+IF(HS139&gt;18,HS139-18,0)*1+IF(HS139&gt;19,HS139-19,0)*1+IF(HS139&gt;20,HS139-20,0)*1</f>
        <v>77.007183908045945</v>
      </c>
      <c r="HW139" s="242">
        <f>IF(HT139&lt;=0,1,0)+IF(HT139&gt;0,HT139+1,0)*1+IF(HT139&gt;12,HT139-12,0)*1+IF(HT139&gt;13,HT139-13,0)*1+IF(HT139&gt;14,HT139-14,0)*1+IF(HT139&gt;15,HT139-15,0)*1+IF(HT139&gt;16,HT139-16,0)*1+IF(HT139&gt;17,HT139-17,0)*1+IF(HT139&gt;18,HT139-18,0)*1+IF(HT139&gt;19,HT139-19,0)*1+IF(HT139&gt;20,HT139-20,0)*1</f>
        <v>1</v>
      </c>
      <c r="HX139" s="243">
        <f t="shared" si="1221"/>
        <v>76.007183908045945</v>
      </c>
      <c r="HY139" s="218">
        <f t="shared" si="1222"/>
        <v>0</v>
      </c>
      <c r="IA139" s="303" t="s">
        <v>372</v>
      </c>
      <c r="IB139" s="218" t="s">
        <v>101</v>
      </c>
      <c r="IC139" s="243" t="s">
        <v>133</v>
      </c>
      <c r="ID139" s="237"/>
      <c r="IE139" s="234"/>
      <c r="IF139" s="234">
        <f t="shared" si="1242"/>
        <v>12</v>
      </c>
      <c r="IG139" s="234">
        <f>Konvention_1slave-CHslave</f>
        <v>12</v>
      </c>
      <c r="IH139" s="234"/>
      <c r="II139" s="234"/>
      <c r="IJ139" s="234">
        <f>Konvention_1slave-KOslave</f>
        <v>12</v>
      </c>
      <c r="IK139" s="224"/>
      <c r="IL139" s="223">
        <f t="shared" si="1223"/>
        <v>12</v>
      </c>
      <c r="IM139" s="223">
        <f t="shared" si="1224"/>
        <v>24</v>
      </c>
      <c r="IN139" s="224">
        <f t="shared" si="1225"/>
        <v>36</v>
      </c>
      <c r="IO139" s="237">
        <f t="shared" si="1131"/>
        <v>2304</v>
      </c>
      <c r="IP139" s="234">
        <f>IF139*IG139*KOslave+IF139*CHslave*IJ139+INslave*IG139*IJ139</f>
        <v>3456</v>
      </c>
      <c r="IQ139" s="224">
        <f t="shared" si="1226"/>
        <v>1728</v>
      </c>
      <c r="IR139" s="224">
        <f t="shared" si="1132"/>
        <v>7488</v>
      </c>
      <c r="IS139" s="222">
        <f t="shared" si="1227"/>
        <v>3.6923076923076925</v>
      </c>
      <c r="IT139" s="223">
        <f t="shared" si="1228"/>
        <v>11.076923076923077</v>
      </c>
      <c r="IU139" s="243">
        <f t="shared" si="1229"/>
        <v>8.3076923076923084</v>
      </c>
      <c r="IV139" s="243">
        <f t="shared" si="1230"/>
        <v>23.07692307692308</v>
      </c>
      <c r="IW139" s="252">
        <f t="shared" si="1133"/>
        <v>0</v>
      </c>
      <c r="IX139" s="309">
        <f t="shared" si="1231"/>
        <v>23.07692307692308</v>
      </c>
      <c r="IY139" s="218">
        <f>IF(IV139&lt;=0,1,0)+IF(IV139&gt;0,IV139+1,0)*1+IF(IV139&gt;12,IV139-12,0)*1+IF(IV139&gt;13,IV139-13,0)*1+IF(IV139&gt;14,IV139-14,0)*1+IF(IV139&gt;15,IV139-15,0)*1+IF(IV139&gt;16,IV139-16,0)*1+IF(IV139&gt;17,IV139-17,0)*1+IF(IV139&gt;18,IV139-18,0)*1+IF(IV139&gt;19,IV139-19,0)*1+IF(IV139&gt;20,IV139-20,0)*1</f>
        <v>87.769230769230802</v>
      </c>
      <c r="IZ139" s="242">
        <f>IF(IW139&lt;=0,1,0)+IF(IW139&gt;0,IW139+1,0)*1+IF(IW139&gt;12,IW139-12,0)*1+IF(IW139&gt;13,IW139-13,0)*1+IF(IW139&gt;14,IW139-14,0)*1+IF(IW139&gt;15,IW139-15,0)*1+IF(IW139&gt;16,IW139-16,0)*1+IF(IW139&gt;17,IW139-17,0)*1+IF(IW139&gt;18,IW139-18,0)*1+IF(IW139&gt;19,IW139-19,0)*1+IF(IW139&gt;20,IW139-20,0)*1</f>
        <v>1</v>
      </c>
      <c r="JA139" s="243">
        <f t="shared" si="1232"/>
        <v>86.769230769230802</v>
      </c>
      <c r="JB139" s="218">
        <f t="shared" si="1233"/>
        <v>0</v>
      </c>
      <c r="JE139" s="148"/>
    </row>
    <row r="140" spans="2:265" ht="15" hidden="1" customHeight="1" outlineLevel="2">
      <c r="B140" s="148">
        <v>13</v>
      </c>
      <c r="C140" s="303" t="e">
        <f>VLOOKUP(AF140,Attribute!C:T,1,FALSE)</f>
        <v>#N/A</v>
      </c>
      <c r="D140" s="125" t="s">
        <v>437</v>
      </c>
      <c r="E140" s="127" t="s">
        <v>132</v>
      </c>
      <c r="F140" s="114"/>
      <c r="G140" s="113"/>
      <c r="H140" s="113">
        <f t="shared" si="1234"/>
        <v>12</v>
      </c>
      <c r="I140" s="113">
        <f>Konvention_1master-CHmaster</f>
        <v>12</v>
      </c>
      <c r="J140" s="113">
        <f>Konvention_1master-FFmaster</f>
        <v>12</v>
      </c>
      <c r="K140" s="113"/>
      <c r="L140" s="113"/>
      <c r="M140" s="119"/>
      <c r="N140" s="223">
        <f t="shared" si="1134"/>
        <v>12</v>
      </c>
      <c r="O140" s="223">
        <f t="shared" si="1135"/>
        <v>24</v>
      </c>
      <c r="P140" s="224">
        <f t="shared" si="1136"/>
        <v>36</v>
      </c>
      <c r="Q140" s="237">
        <f t="shared" si="1137"/>
        <v>2304</v>
      </c>
      <c r="R140" s="113">
        <f>H140*I140*FFmaster+H140*CHmaster*J140+INmaster*I140*J140</f>
        <v>3456</v>
      </c>
      <c r="S140" s="224">
        <f t="shared" si="1138"/>
        <v>1728</v>
      </c>
      <c r="T140" s="224">
        <f t="shared" si="1109"/>
        <v>7488</v>
      </c>
      <c r="U140" s="222">
        <f t="shared" si="1139"/>
        <v>3.6923076923076925</v>
      </c>
      <c r="V140" s="223">
        <f t="shared" si="1140"/>
        <v>11.076923076923077</v>
      </c>
      <c r="W140" s="243">
        <f t="shared" si="1141"/>
        <v>8.3076923076923084</v>
      </c>
      <c r="X140" s="243">
        <f t="shared" si="1142"/>
        <v>23.07692307692308</v>
      </c>
      <c r="Y140" s="252">
        <v>0</v>
      </c>
      <c r="Z140" s="198">
        <f t="shared" si="1143"/>
        <v>23.07692307692308</v>
      </c>
      <c r="AA140" s="125">
        <f>IF(X140&lt;=0,2,0)+IF(X140&gt;0,X140+1,0)*2+IF(X140&gt;12,X140-12,0)*2+IF(X140&gt;13,X140-13,0)*2+IF(X140&gt;14,X140-14,0)*2+IF(X140&gt;15,X140-15,0)*2+IF(X140&gt;16,X140-16,0)*2+IF(X140&gt;17,X140-17,0)*2+IF(X140&gt;18,X140-18,0)*2+IF(X140&gt;19,X140-19,0)*2+IF(X140&gt;20,X140-20,0)*2</f>
        <v>175.5384615384616</v>
      </c>
      <c r="AB140" s="160">
        <f>IF(Y140&lt;=0,2,0)+IF(Y140&gt;0,Y140+1,0)*2+IF(Y140&gt;12,Y140-12,0)*2+IF(Y140&gt;13,Y140-13,0)*2+IF(Y140&gt;14,Y140-14,0)*2+IF(Y140&gt;15,Y140-15,0)*2+IF(Y140&gt;16,Y140-16,0)*2+IF(Y140&gt;17,Y140-17,0)*2+IF(Y140&gt;18,Y140-18,0)*2+IF(Y140&gt;19,Y140-19,0)*2+IF(Y140&gt;20,Y140-20,0)*2</f>
        <v>2</v>
      </c>
      <c r="AC140" s="127">
        <f t="shared" si="1144"/>
        <v>173.5384615384616</v>
      </c>
      <c r="AD140" s="125">
        <f t="shared" si="1145"/>
        <v>0</v>
      </c>
      <c r="AF140" s="163" t="s">
        <v>373</v>
      </c>
      <c r="AG140" s="125" t="s">
        <v>437</v>
      </c>
      <c r="AH140" s="127" t="s">
        <v>132</v>
      </c>
      <c r="AI140" s="114"/>
      <c r="AJ140" s="113"/>
      <c r="AK140" s="113">
        <f t="shared" si="1235"/>
        <v>12</v>
      </c>
      <c r="AL140" s="113">
        <f>Konvention_1slave-CHslave</f>
        <v>12</v>
      </c>
      <c r="AM140" s="113">
        <f>Konvention_1slave-FFslave</f>
        <v>12</v>
      </c>
      <c r="AN140" s="113"/>
      <c r="AO140" s="113"/>
      <c r="AP140" s="119"/>
      <c r="AQ140" s="47">
        <f t="shared" si="1146"/>
        <v>12</v>
      </c>
      <c r="AR140" s="47">
        <f t="shared" si="1147"/>
        <v>24</v>
      </c>
      <c r="AS140" s="119">
        <f t="shared" si="1148"/>
        <v>36</v>
      </c>
      <c r="AT140" s="114">
        <f t="shared" si="1110"/>
        <v>2304</v>
      </c>
      <c r="AU140" s="113">
        <f>AK140*AL140*FFslave+AK140*CHslave*AM140+INslave*AL140*AM140</f>
        <v>3456</v>
      </c>
      <c r="AV140" s="119">
        <f t="shared" si="1149"/>
        <v>1728</v>
      </c>
      <c r="AW140" s="119">
        <f t="shared" si="1111"/>
        <v>7488</v>
      </c>
      <c r="AX140" s="89">
        <f t="shared" si="1150"/>
        <v>3.6923076923076925</v>
      </c>
      <c r="AY140" s="47">
        <f t="shared" si="1151"/>
        <v>11.076923076923077</v>
      </c>
      <c r="AZ140" s="127">
        <f t="shared" si="1152"/>
        <v>8.3076923076923084</v>
      </c>
      <c r="BA140" s="127">
        <f t="shared" si="1153"/>
        <v>23.07692307692308</v>
      </c>
      <c r="BB140" s="165">
        <f t="shared" si="1112"/>
        <v>0</v>
      </c>
      <c r="BC140" s="198">
        <f t="shared" si="1154"/>
        <v>23.07692307692308</v>
      </c>
      <c r="BD140" s="125">
        <f>IF(BA140&lt;=0,2,0)+IF(BA140&gt;0,BA140+1,0)*2+IF(BA140&gt;12,BA140-12,0)*2+IF(BA140&gt;13,BA140-13,0)*2+IF(BA140&gt;14,BA140-14,0)*2+IF(BA140&gt;15,BA140-15,0)*2+IF(BA140&gt;16,BA140-16,0)*2+IF(BA140&gt;17,BA140-17,0)*2+IF(BA140&gt;18,BA140-18,0)*2+IF(BA140&gt;19,BA140-19,0)*2+IF(BA140&gt;20,BA140-20,0)*2</f>
        <v>175.5384615384616</v>
      </c>
      <c r="BE140" s="160">
        <f>IF(BB140&lt;=0,2,0)+IF(BB140&gt;0,BB140+1,0)*2+IF(BB140&gt;12,BB140-12,0)*2+IF(BB140&gt;13,BB140-13,0)*2+IF(BB140&gt;14,BB140-14,0)*2+IF(BB140&gt;15,BB140-15,0)*2+IF(BB140&gt;16,BB140-16,0)*2+IF(BB140&gt;17,BB140-17,0)*2+IF(BB140&gt;18,BB140-18,0)*2+IF(BB140&gt;19,BB140-19,0)*2+IF(BB140&gt;20,BB140-20,0)*2</f>
        <v>2</v>
      </c>
      <c r="BF140" s="243">
        <f t="shared" si="1155"/>
        <v>173.5384615384616</v>
      </c>
      <c r="BG140" s="218">
        <f t="shared" si="1156"/>
        <v>0</v>
      </c>
      <c r="BI140" s="303" t="s">
        <v>373</v>
      </c>
      <c r="BJ140" s="218" t="s">
        <v>437</v>
      </c>
      <c r="BK140" s="243" t="s">
        <v>132</v>
      </c>
      <c r="BL140" s="237"/>
      <c r="BM140" s="234"/>
      <c r="BN140" s="234">
        <f t="shared" si="1237"/>
        <v>12</v>
      </c>
      <c r="BO140" s="234">
        <f>Konvention_1slave-CHslave</f>
        <v>12</v>
      </c>
      <c r="BP140" s="234">
        <f>Konvention_1slave-FFslave</f>
        <v>12</v>
      </c>
      <c r="BQ140" s="234"/>
      <c r="BR140" s="234"/>
      <c r="BS140" s="224"/>
      <c r="BT140" s="223">
        <f t="shared" si="1157"/>
        <v>12</v>
      </c>
      <c r="BU140" s="223">
        <f t="shared" si="1158"/>
        <v>24</v>
      </c>
      <c r="BV140" s="224">
        <f t="shared" si="1159"/>
        <v>36</v>
      </c>
      <c r="BW140" s="237">
        <f t="shared" si="1113"/>
        <v>2304</v>
      </c>
      <c r="BX140" s="234">
        <f>BN140*BO140*FFslave+BN140*CHslave*BP140+INslave*BO140*BP140</f>
        <v>3456</v>
      </c>
      <c r="BY140" s="224">
        <f t="shared" si="1160"/>
        <v>1728</v>
      </c>
      <c r="BZ140" s="224">
        <f t="shared" si="1114"/>
        <v>7488</v>
      </c>
      <c r="CA140" s="222">
        <f t="shared" si="1161"/>
        <v>3.6923076923076925</v>
      </c>
      <c r="CB140" s="223">
        <f t="shared" si="1162"/>
        <v>11.076923076923077</v>
      </c>
      <c r="CC140" s="243">
        <f t="shared" si="1163"/>
        <v>8.3076923076923084</v>
      </c>
      <c r="CD140" s="243">
        <f t="shared" si="1164"/>
        <v>23.07692307692308</v>
      </c>
      <c r="CE140" s="252">
        <f t="shared" si="1115"/>
        <v>0</v>
      </c>
      <c r="CF140" s="309">
        <f t="shared" si="1165"/>
        <v>23.07692307692308</v>
      </c>
      <c r="CG140" s="218">
        <f>IF(CD140&lt;=0,2,0)+IF(CD140&gt;0,CD140+1,0)*2+IF(CD140&gt;12,CD140-12,0)*2+IF(CD140&gt;13,CD140-13,0)*2+IF(CD140&gt;14,CD140-14,0)*2+IF(CD140&gt;15,CD140-15,0)*2+IF(CD140&gt;16,CD140-16,0)*2+IF(CD140&gt;17,CD140-17,0)*2+IF(CD140&gt;18,CD140-18,0)*2+IF(CD140&gt;19,CD140-19,0)*2+IF(CD140&gt;20,CD140-20,0)*2</f>
        <v>175.5384615384616</v>
      </c>
      <c r="CH140" s="242">
        <f>IF(CE140&lt;=0,2,0)+IF(CE140&gt;0,CE140+1,0)*2+IF(CE140&gt;12,CE140-12,0)*2+IF(CE140&gt;13,CE140-13,0)*2+IF(CE140&gt;14,CE140-14,0)*2+IF(CE140&gt;15,CE140-15,0)*2+IF(CE140&gt;16,CE140-16,0)*2+IF(CE140&gt;17,CE140-17,0)*2+IF(CE140&gt;18,CE140-18,0)*2+IF(CE140&gt;19,CE140-19,0)*2+IF(CE140&gt;20,CE140-20,0)*2</f>
        <v>2</v>
      </c>
      <c r="CI140" s="243">
        <f t="shared" si="1166"/>
        <v>173.5384615384616</v>
      </c>
      <c r="CJ140" s="218">
        <f t="shared" si="1167"/>
        <v>0</v>
      </c>
      <c r="CL140" s="303" t="s">
        <v>373</v>
      </c>
      <c r="CM140" s="218" t="s">
        <v>437</v>
      </c>
      <c r="CN140" s="243" t="s">
        <v>132</v>
      </c>
      <c r="CO140" s="237"/>
      <c r="CP140" s="234"/>
      <c r="CQ140" s="234">
        <f t="shared" si="1236"/>
        <v>11</v>
      </c>
      <c r="CR140" s="234">
        <f>Konvention_1slave-CHslave</f>
        <v>12</v>
      </c>
      <c r="CS140" s="234">
        <f>Konvention_1slave-FFslave</f>
        <v>12</v>
      </c>
      <c r="CT140" s="234"/>
      <c r="CU140" s="234"/>
      <c r="CV140" s="224"/>
      <c r="CW140" s="223">
        <f t="shared" si="1168"/>
        <v>11.666666666666666</v>
      </c>
      <c r="CX140" s="223">
        <f t="shared" si="1169"/>
        <v>23.333333333333332</v>
      </c>
      <c r="CY140" s="224">
        <f t="shared" si="1170"/>
        <v>35</v>
      </c>
      <c r="CZ140" s="237">
        <f t="shared" si="1116"/>
        <v>2432</v>
      </c>
      <c r="DA140" s="234">
        <f>CQ140*CR140*FFslave+CQ140*CHslave*CS140+INslave_IN*CR140*CS140</f>
        <v>3408</v>
      </c>
      <c r="DB140" s="224">
        <f t="shared" si="1171"/>
        <v>1584</v>
      </c>
      <c r="DC140" s="224">
        <f t="shared" si="1117"/>
        <v>7424</v>
      </c>
      <c r="DD140" s="222">
        <f t="shared" si="1172"/>
        <v>3.8218390804597702</v>
      </c>
      <c r="DE140" s="223">
        <f t="shared" si="1173"/>
        <v>10.711206896551724</v>
      </c>
      <c r="DF140" s="243">
        <f t="shared" si="1174"/>
        <v>7.4676724137931032</v>
      </c>
      <c r="DG140" s="243">
        <f t="shared" si="1175"/>
        <v>22.000718390804597</v>
      </c>
      <c r="DH140" s="252">
        <f t="shared" si="1118"/>
        <v>0</v>
      </c>
      <c r="DI140" s="309">
        <f t="shared" si="1176"/>
        <v>22.000718390804597</v>
      </c>
      <c r="DJ140" s="218">
        <f>IF(DG140&lt;=0,2,0)+IF(DG140&gt;0,DG140+1,0)*2+IF(DG140&gt;12,DG140-12,0)*2+IF(DG140&gt;13,DG140-13,0)*2+IF(DG140&gt;14,DG140-14,0)*2+IF(DG140&gt;15,DG140-15,0)*2+IF(DG140&gt;16,DG140-16,0)*2+IF(DG140&gt;17,DG140-17,0)*2+IF(DG140&gt;18,DG140-18,0)*2+IF(DG140&gt;19,DG140-19,0)*2+IF(DG140&gt;20,DG140-20,0)*2</f>
        <v>154.01436781609189</v>
      </c>
      <c r="DK140" s="242">
        <f>IF(DH140&lt;=0,2,0)+IF(DH140&gt;0,DH140+1,0)*2+IF(DH140&gt;12,DH140-12,0)*2+IF(DH140&gt;13,DH140-13,0)*2+IF(DH140&gt;14,DH140-14,0)*2+IF(DH140&gt;15,DH140-15,0)*2+IF(DH140&gt;16,DH140-16,0)*2+IF(DH140&gt;17,DH140-17,0)*2+IF(DH140&gt;18,DH140-18,0)*2+IF(DH140&gt;19,DH140-19,0)*2+IF(DH140&gt;20,DH140-20,0)*2</f>
        <v>2</v>
      </c>
      <c r="DL140" s="243">
        <f t="shared" si="1177"/>
        <v>152.01436781609189</v>
      </c>
      <c r="DM140" s="218">
        <f t="shared" si="1178"/>
        <v>0</v>
      </c>
      <c r="DO140" s="303" t="s">
        <v>373</v>
      </c>
      <c r="DP140" s="218" t="s">
        <v>437</v>
      </c>
      <c r="DQ140" s="243" t="s">
        <v>132</v>
      </c>
      <c r="DR140" s="237"/>
      <c r="DS140" s="234"/>
      <c r="DT140" s="234">
        <f t="shared" si="1238"/>
        <v>12</v>
      </c>
      <c r="DU140" s="234">
        <f>Konvention_1slave-CHslave_CH</f>
        <v>11</v>
      </c>
      <c r="DV140" s="234">
        <f>Konvention_1slave-FFslave</f>
        <v>12</v>
      </c>
      <c r="DW140" s="234"/>
      <c r="DX140" s="234"/>
      <c r="DY140" s="224"/>
      <c r="DZ140" s="223">
        <f t="shared" si="1179"/>
        <v>11.666666666666666</v>
      </c>
      <c r="EA140" s="223">
        <f t="shared" si="1180"/>
        <v>23.333333333333332</v>
      </c>
      <c r="EB140" s="224">
        <f t="shared" si="1181"/>
        <v>35</v>
      </c>
      <c r="EC140" s="237">
        <f t="shared" si="1119"/>
        <v>2432</v>
      </c>
      <c r="ED140" s="234">
        <f>DT140*DU140*FFslave+DT140*CHslave_CH*DV140+INslave*DU140*DV140</f>
        <v>3408</v>
      </c>
      <c r="EE140" s="224">
        <f t="shared" si="1182"/>
        <v>1584</v>
      </c>
      <c r="EF140" s="224">
        <f t="shared" si="1120"/>
        <v>7424</v>
      </c>
      <c r="EG140" s="222">
        <f t="shared" si="1183"/>
        <v>3.8218390804597702</v>
      </c>
      <c r="EH140" s="223">
        <f t="shared" si="1184"/>
        <v>10.711206896551724</v>
      </c>
      <c r="EI140" s="243">
        <f t="shared" si="1185"/>
        <v>7.4676724137931032</v>
      </c>
      <c r="EJ140" s="243">
        <f t="shared" si="1186"/>
        <v>22.000718390804597</v>
      </c>
      <c r="EK140" s="252">
        <f t="shared" si="1121"/>
        <v>0</v>
      </c>
      <c r="EL140" s="309">
        <f t="shared" si="1187"/>
        <v>22.000718390804597</v>
      </c>
      <c r="EM140" s="218">
        <f>IF(EJ140&lt;=0,2,0)+IF(EJ140&gt;0,EJ140+1,0)*2+IF(EJ140&gt;12,EJ140-12,0)*2+IF(EJ140&gt;13,EJ140-13,0)*2+IF(EJ140&gt;14,EJ140-14,0)*2+IF(EJ140&gt;15,EJ140-15,0)*2+IF(EJ140&gt;16,EJ140-16,0)*2+IF(EJ140&gt;17,EJ140-17,0)*2+IF(EJ140&gt;18,EJ140-18,0)*2+IF(EJ140&gt;19,EJ140-19,0)*2+IF(EJ140&gt;20,EJ140-20,0)*2</f>
        <v>154.01436781609189</v>
      </c>
      <c r="EN140" s="242">
        <f>IF(EK140&lt;=0,2,0)+IF(EK140&gt;0,EK140+1,0)*2+IF(EK140&gt;12,EK140-12,0)*2+IF(EK140&gt;13,EK140-13,0)*2+IF(EK140&gt;14,EK140-14,0)*2+IF(EK140&gt;15,EK140-15,0)*2+IF(EK140&gt;16,EK140-16,0)*2+IF(EK140&gt;17,EK140-17,0)*2+IF(EK140&gt;18,EK140-18,0)*2+IF(EK140&gt;19,EK140-19,0)*2+IF(EK140&gt;20,EK140-20,0)*2</f>
        <v>2</v>
      </c>
      <c r="EO140" s="243">
        <f t="shared" si="1188"/>
        <v>152.01436781609189</v>
      </c>
      <c r="EP140" s="218">
        <f t="shared" si="1189"/>
        <v>0</v>
      </c>
      <c r="ER140" s="303" t="s">
        <v>373</v>
      </c>
      <c r="ES140" s="218" t="s">
        <v>437</v>
      </c>
      <c r="ET140" s="243" t="s">
        <v>132</v>
      </c>
      <c r="EU140" s="237"/>
      <c r="EV140" s="234"/>
      <c r="EW140" s="234">
        <f t="shared" si="1239"/>
        <v>12</v>
      </c>
      <c r="EX140" s="234">
        <f>Konvention_1slave-CHslave</f>
        <v>12</v>
      </c>
      <c r="EY140" s="234">
        <f>Konvention_1slave-FFslave_FF</f>
        <v>11</v>
      </c>
      <c r="EZ140" s="234"/>
      <c r="FA140" s="234"/>
      <c r="FB140" s="224"/>
      <c r="FC140" s="223">
        <f t="shared" si="1190"/>
        <v>11.666666666666666</v>
      </c>
      <c r="FD140" s="223">
        <f t="shared" si="1191"/>
        <v>23.333333333333332</v>
      </c>
      <c r="FE140" s="224">
        <f t="shared" si="1192"/>
        <v>35</v>
      </c>
      <c r="FF140" s="237">
        <f t="shared" si="1122"/>
        <v>2432</v>
      </c>
      <c r="FG140" s="234">
        <f>EW140*EX140*FFslave_FF+EW140*CHslave*EY140+INslave*EX140*EY140</f>
        <v>3408</v>
      </c>
      <c r="FH140" s="224">
        <f t="shared" si="1193"/>
        <v>1584</v>
      </c>
      <c r="FI140" s="224">
        <f t="shared" si="1123"/>
        <v>7424</v>
      </c>
      <c r="FJ140" s="222">
        <f t="shared" si="1194"/>
        <v>3.8218390804597702</v>
      </c>
      <c r="FK140" s="223">
        <f t="shared" si="1195"/>
        <v>10.711206896551724</v>
      </c>
      <c r="FL140" s="243">
        <f t="shared" si="1196"/>
        <v>7.4676724137931032</v>
      </c>
      <c r="FM140" s="243">
        <f t="shared" si="1197"/>
        <v>22.000718390804597</v>
      </c>
      <c r="FN140" s="252">
        <f t="shared" si="1124"/>
        <v>0</v>
      </c>
      <c r="FO140" s="309">
        <f t="shared" si="1198"/>
        <v>22.000718390804597</v>
      </c>
      <c r="FP140" s="218">
        <f>IF(FM140&lt;=0,2,0)+IF(FM140&gt;0,FM140+1,0)*2+IF(FM140&gt;12,FM140-12,0)*2+IF(FM140&gt;13,FM140-13,0)*2+IF(FM140&gt;14,FM140-14,0)*2+IF(FM140&gt;15,FM140-15,0)*2+IF(FM140&gt;16,FM140-16,0)*2+IF(FM140&gt;17,FM140-17,0)*2+IF(FM140&gt;18,FM140-18,0)*2+IF(FM140&gt;19,FM140-19,0)*2+IF(FM140&gt;20,FM140-20,0)*2</f>
        <v>154.01436781609189</v>
      </c>
      <c r="FQ140" s="242">
        <f>IF(FN140&lt;=0,2,0)+IF(FN140&gt;0,FN140+1,0)*2+IF(FN140&gt;12,FN140-12,0)*2+IF(FN140&gt;13,FN140-13,0)*2+IF(FN140&gt;14,FN140-14,0)*2+IF(FN140&gt;15,FN140-15,0)*2+IF(FN140&gt;16,FN140-16,0)*2+IF(FN140&gt;17,FN140-17,0)*2+IF(FN140&gt;18,FN140-18,0)*2+IF(FN140&gt;19,FN140-19,0)*2+IF(FN140&gt;20,FN140-20,0)*2</f>
        <v>2</v>
      </c>
      <c r="FR140" s="243">
        <f t="shared" si="1199"/>
        <v>152.01436781609189</v>
      </c>
      <c r="FS140" s="218">
        <f t="shared" si="1200"/>
        <v>0</v>
      </c>
      <c r="FU140" s="303" t="s">
        <v>373</v>
      </c>
      <c r="FV140" s="218" t="s">
        <v>437</v>
      </c>
      <c r="FW140" s="243" t="s">
        <v>132</v>
      </c>
      <c r="FX140" s="237"/>
      <c r="FY140" s="234"/>
      <c r="FZ140" s="234">
        <f t="shared" si="1240"/>
        <v>12</v>
      </c>
      <c r="GA140" s="234">
        <f>Konvention_1slave-CHslave</f>
        <v>12</v>
      </c>
      <c r="GB140" s="234">
        <f>Konvention_1slave-FFslave</f>
        <v>12</v>
      </c>
      <c r="GC140" s="234"/>
      <c r="GD140" s="234"/>
      <c r="GE140" s="224"/>
      <c r="GF140" s="223">
        <f t="shared" si="1201"/>
        <v>12</v>
      </c>
      <c r="GG140" s="223">
        <f t="shared" si="1202"/>
        <v>24</v>
      </c>
      <c r="GH140" s="224">
        <f t="shared" si="1203"/>
        <v>36</v>
      </c>
      <c r="GI140" s="237">
        <f t="shared" si="1125"/>
        <v>2304</v>
      </c>
      <c r="GJ140" s="234">
        <f>FZ140*GA140*FFslave+FZ140*CHslave*GB140+INslave*GA140*GB140</f>
        <v>3456</v>
      </c>
      <c r="GK140" s="224">
        <f t="shared" si="1204"/>
        <v>1728</v>
      </c>
      <c r="GL140" s="224">
        <f t="shared" si="1126"/>
        <v>7488</v>
      </c>
      <c r="GM140" s="222">
        <f t="shared" si="1205"/>
        <v>3.6923076923076925</v>
      </c>
      <c r="GN140" s="223">
        <f t="shared" si="1206"/>
        <v>11.076923076923077</v>
      </c>
      <c r="GO140" s="243">
        <f t="shared" si="1207"/>
        <v>8.3076923076923084</v>
      </c>
      <c r="GP140" s="243">
        <f t="shared" si="1208"/>
        <v>23.07692307692308</v>
      </c>
      <c r="GQ140" s="252">
        <f t="shared" si="1127"/>
        <v>0</v>
      </c>
      <c r="GR140" s="309">
        <f t="shared" si="1209"/>
        <v>23.07692307692308</v>
      </c>
      <c r="GS140" s="218">
        <f>IF(GP140&lt;=0,2,0)+IF(GP140&gt;0,GP140+1,0)*2+IF(GP140&gt;12,GP140-12,0)*2+IF(GP140&gt;13,GP140-13,0)*2+IF(GP140&gt;14,GP140-14,0)*2+IF(GP140&gt;15,GP140-15,0)*2+IF(GP140&gt;16,GP140-16,0)*2+IF(GP140&gt;17,GP140-17,0)*2+IF(GP140&gt;18,GP140-18,0)*2+IF(GP140&gt;19,GP140-19,0)*2+IF(GP140&gt;20,GP140-20,0)*2</f>
        <v>175.5384615384616</v>
      </c>
      <c r="GT140" s="242">
        <f>IF(GQ140&lt;=0,2,0)+IF(GQ140&gt;0,GQ140+1,0)*2+IF(GQ140&gt;12,GQ140-12,0)*2+IF(GQ140&gt;13,GQ140-13,0)*2+IF(GQ140&gt;14,GQ140-14,0)*2+IF(GQ140&gt;15,GQ140-15,0)*2+IF(GQ140&gt;16,GQ140-16,0)*2+IF(GQ140&gt;17,GQ140-17,0)*2+IF(GQ140&gt;18,GQ140-18,0)*2+IF(GQ140&gt;19,GQ140-19,0)*2+IF(GQ140&gt;20,GQ140-20,0)*2</f>
        <v>2</v>
      </c>
      <c r="GU140" s="243">
        <f t="shared" si="1210"/>
        <v>173.5384615384616</v>
      </c>
      <c r="GV140" s="218">
        <f t="shared" si="1211"/>
        <v>0</v>
      </c>
      <c r="GX140" s="303" t="s">
        <v>373</v>
      </c>
      <c r="GY140" s="218" t="s">
        <v>437</v>
      </c>
      <c r="GZ140" s="243" t="s">
        <v>132</v>
      </c>
      <c r="HA140" s="237"/>
      <c r="HB140" s="234"/>
      <c r="HC140" s="234">
        <f t="shared" si="1241"/>
        <v>12</v>
      </c>
      <c r="HD140" s="234">
        <f>Konvention_1slave-CHslave</f>
        <v>12</v>
      </c>
      <c r="HE140" s="234">
        <f>Konvention_1slave-FFslave</f>
        <v>12</v>
      </c>
      <c r="HF140" s="234"/>
      <c r="HG140" s="234"/>
      <c r="HH140" s="224"/>
      <c r="HI140" s="223">
        <f t="shared" si="1212"/>
        <v>12</v>
      </c>
      <c r="HJ140" s="223">
        <f t="shared" si="1213"/>
        <v>24</v>
      </c>
      <c r="HK140" s="224">
        <f t="shared" si="1214"/>
        <v>36</v>
      </c>
      <c r="HL140" s="237">
        <f t="shared" si="1128"/>
        <v>2304</v>
      </c>
      <c r="HM140" s="234">
        <f>HC140*HD140*FFslave+HC140*CHslave*HE140+INslave*HD140*HE140</f>
        <v>3456</v>
      </c>
      <c r="HN140" s="224">
        <f t="shared" si="1215"/>
        <v>1728</v>
      </c>
      <c r="HO140" s="224">
        <f t="shared" si="1129"/>
        <v>7488</v>
      </c>
      <c r="HP140" s="222">
        <f t="shared" si="1216"/>
        <v>3.6923076923076925</v>
      </c>
      <c r="HQ140" s="223">
        <f t="shared" si="1217"/>
        <v>11.076923076923077</v>
      </c>
      <c r="HR140" s="243">
        <f t="shared" si="1218"/>
        <v>8.3076923076923084</v>
      </c>
      <c r="HS140" s="243">
        <f t="shared" si="1219"/>
        <v>23.07692307692308</v>
      </c>
      <c r="HT140" s="252">
        <f t="shared" si="1130"/>
        <v>0</v>
      </c>
      <c r="HU140" s="309">
        <f t="shared" si="1220"/>
        <v>23.07692307692308</v>
      </c>
      <c r="HV140" s="218">
        <f>IF(HS140&lt;=0,2,0)+IF(HS140&gt;0,HS140+1,0)*2+IF(HS140&gt;12,HS140-12,0)*2+IF(HS140&gt;13,HS140-13,0)*2+IF(HS140&gt;14,HS140-14,0)*2+IF(HS140&gt;15,HS140-15,0)*2+IF(HS140&gt;16,HS140-16,0)*2+IF(HS140&gt;17,HS140-17,0)*2+IF(HS140&gt;18,HS140-18,0)*2+IF(HS140&gt;19,HS140-19,0)*2+IF(HS140&gt;20,HS140-20,0)*2</f>
        <v>175.5384615384616</v>
      </c>
      <c r="HW140" s="242">
        <f>IF(HT140&lt;=0,2,0)+IF(HT140&gt;0,HT140+1,0)*2+IF(HT140&gt;12,HT140-12,0)*2+IF(HT140&gt;13,HT140-13,0)*2+IF(HT140&gt;14,HT140-14,0)*2+IF(HT140&gt;15,HT140-15,0)*2+IF(HT140&gt;16,HT140-16,0)*2+IF(HT140&gt;17,HT140-17,0)*2+IF(HT140&gt;18,HT140-18,0)*2+IF(HT140&gt;19,HT140-19,0)*2+IF(HT140&gt;20,HT140-20,0)*2</f>
        <v>2</v>
      </c>
      <c r="HX140" s="243">
        <f t="shared" si="1221"/>
        <v>173.5384615384616</v>
      </c>
      <c r="HY140" s="218">
        <f t="shared" si="1222"/>
        <v>0</v>
      </c>
      <c r="IA140" s="303" t="s">
        <v>373</v>
      </c>
      <c r="IB140" s="218" t="s">
        <v>437</v>
      </c>
      <c r="IC140" s="243" t="s">
        <v>132</v>
      </c>
      <c r="ID140" s="237"/>
      <c r="IE140" s="234"/>
      <c r="IF140" s="234">
        <f t="shared" si="1242"/>
        <v>12</v>
      </c>
      <c r="IG140" s="234">
        <f>Konvention_1slave-CHslave</f>
        <v>12</v>
      </c>
      <c r="IH140" s="234">
        <f>Konvention_1slave-FFslave</f>
        <v>12</v>
      </c>
      <c r="II140" s="234"/>
      <c r="IJ140" s="234"/>
      <c r="IK140" s="224"/>
      <c r="IL140" s="223">
        <f t="shared" si="1223"/>
        <v>12</v>
      </c>
      <c r="IM140" s="223">
        <f t="shared" si="1224"/>
        <v>24</v>
      </c>
      <c r="IN140" s="224">
        <f t="shared" si="1225"/>
        <v>36</v>
      </c>
      <c r="IO140" s="237">
        <f t="shared" si="1131"/>
        <v>2304</v>
      </c>
      <c r="IP140" s="234">
        <f>IF140*IG140*FFslave+IF140*CHslave*IH140+INslave*IG140*IH140</f>
        <v>3456</v>
      </c>
      <c r="IQ140" s="224">
        <f t="shared" si="1226"/>
        <v>1728</v>
      </c>
      <c r="IR140" s="224">
        <f t="shared" si="1132"/>
        <v>7488</v>
      </c>
      <c r="IS140" s="222">
        <f t="shared" si="1227"/>
        <v>3.6923076923076925</v>
      </c>
      <c r="IT140" s="223">
        <f t="shared" si="1228"/>
        <v>11.076923076923077</v>
      </c>
      <c r="IU140" s="243">
        <f t="shared" si="1229"/>
        <v>8.3076923076923084</v>
      </c>
      <c r="IV140" s="243">
        <f t="shared" si="1230"/>
        <v>23.07692307692308</v>
      </c>
      <c r="IW140" s="252">
        <f t="shared" si="1133"/>
        <v>0</v>
      </c>
      <c r="IX140" s="309">
        <f t="shared" si="1231"/>
        <v>23.07692307692308</v>
      </c>
      <c r="IY140" s="218">
        <f>IF(IV140&lt;=0,2,0)+IF(IV140&gt;0,IV140+1,0)*2+IF(IV140&gt;12,IV140-12,0)*2+IF(IV140&gt;13,IV140-13,0)*2+IF(IV140&gt;14,IV140-14,0)*2+IF(IV140&gt;15,IV140-15,0)*2+IF(IV140&gt;16,IV140-16,0)*2+IF(IV140&gt;17,IV140-17,0)*2+IF(IV140&gt;18,IV140-18,0)*2+IF(IV140&gt;19,IV140-19,0)*2+IF(IV140&gt;20,IV140-20,0)*2</f>
        <v>175.5384615384616</v>
      </c>
      <c r="IZ140" s="242">
        <f>IF(IW140&lt;=0,2,0)+IF(IW140&gt;0,IW140+1,0)*2+IF(IW140&gt;12,IW140-12,0)*2+IF(IW140&gt;13,IW140-13,0)*2+IF(IW140&gt;14,IW140-14,0)*2+IF(IW140&gt;15,IW140-15,0)*2+IF(IW140&gt;16,IW140-16,0)*2+IF(IW140&gt;17,IW140-17,0)*2+IF(IW140&gt;18,IW140-18,0)*2+IF(IW140&gt;19,IW140-19,0)*2+IF(IW140&gt;20,IW140-20,0)*2</f>
        <v>2</v>
      </c>
      <c r="JA140" s="243">
        <f t="shared" si="1232"/>
        <v>173.5384615384616</v>
      </c>
      <c r="JB140" s="218">
        <f t="shared" si="1233"/>
        <v>0</v>
      </c>
      <c r="JE140" s="148"/>
    </row>
    <row r="141" spans="2:265" hidden="1" outlineLevel="2">
      <c r="B141" s="148">
        <v>14</v>
      </c>
      <c r="C141" s="303" t="e">
        <f>VLOOKUP(AF141,Attribute!C:T,1,FALSE)</f>
        <v>#N/A</v>
      </c>
      <c r="D141" s="125" t="s">
        <v>100</v>
      </c>
      <c r="E141" s="127" t="s">
        <v>133</v>
      </c>
      <c r="F141" s="114">
        <f>Konvention_1master-MUmaster</f>
        <v>12</v>
      </c>
      <c r="G141" s="113"/>
      <c r="H141" s="113">
        <f t="shared" si="1234"/>
        <v>12</v>
      </c>
      <c r="I141" s="113"/>
      <c r="J141" s="113"/>
      <c r="K141" s="113"/>
      <c r="L141" s="113">
        <f>Konvention_1master-KOmaster</f>
        <v>12</v>
      </c>
      <c r="M141" s="119"/>
      <c r="N141" s="223">
        <f>(F141+G141+H141+I141+J141+K141+L141+M141)/3</f>
        <v>12</v>
      </c>
      <c r="O141" s="223">
        <f>2*N141</f>
        <v>24</v>
      </c>
      <c r="P141" s="224">
        <f>3*N141</f>
        <v>36</v>
      </c>
      <c r="Q141" s="237">
        <f>F141*POWER(KLmaster,SIGN(G141))*POWER(INmaster,SIGN(H141))*POWER(CHmaster,SIGN(I141))*POWER(FFmaster,SIGN(J141))*POWER(GEmaster,SIGN(K141))*POWER(KOmaster,SIGN(L141))*POWER(KKmaster,SIGN(M141))+G141*POWER(MUmaster,SIGN(F141))*POWER(INmaster,SIGN(H141))*POWER(CHmaster,SIGN(I141))*POWER(FFmaster,SIGN(J141))*POWER(GEmaster,SIGN(K141))*POWER(KOmaster,SIGN(L141))*POWER(KKmaster,SIGN(M141))+H141*POWER(MUmaster,SIGN(F141))*POWER(KLmaster,SIGN(G141))*POWER(CHmaster,SIGN(I141))*POWER(FFmaster,SIGN(J141))*POWER(GEmaster,SIGN(K141))*POWER(KOmaster,SIGN(L141))*POWER(KKmaster,SIGN(M141))+I141*POWER(MUmaster,SIGN(F141))*POWER(KLmaster,SIGN(G141))*POWER(INmaster,SIGN(H141))*POWER(FFmaster,SIGN(J141))*POWER(GEmaster,SIGN(K141))*POWER(KOmaster,SIGN(L141))*POWER(KKmaster,SIGN(M141))+J141*POWER(MUmaster,SIGN(F141))*POWER(KLmaster,SIGN(G141))*POWER(INmaster,SIGN(H141))*POWER(CHmaster,SIGN(I141))*POWER(GEmaster,SIGN(K141))*POWER(KOmaster,SIGN(L141))*POWER(KKmaster,SIGN(M141))+K141*POWER(MUmaster,SIGN(F141))*POWER(KLmaster,SIGN(G141))*POWER(INmaster,SIGN(H141))*POWER(CHmaster,SIGN(I141))*POWER(FFmaster,SIGN(J141))*POWER(KOmaster,SIGN(L141))*POWER(KKmaster,SIGN(M141))+L141*POWER(MUmaster,SIGN(F141))*POWER(KLmaster,SIGN(G141))*POWER(INmaster,SIGN(H141))*POWER(CHmaster,SIGN(I141))*POWER(FFmaster,SIGN(J141))*POWER(GEmaster,SIGN(K141))*POWER(KKmaster,SIGN(M141))+M141*POWER(MUmaster,SIGN(F141))*POWER(KLmaster,SIGN(G141))*POWER(INmaster,SIGN(H141))*POWER(CHmaster,SIGN(I141))*POWER(FFmaster,SIGN(J141))*POWER(GEmaster,SIGN(K141))*POWER(KOmaster,SIGN(L141))</f>
        <v>2304</v>
      </c>
      <c r="R141" s="113">
        <f>F141*H141*KOmaster+F141*INmaster*L141+MUmaster*H141*L141</f>
        <v>3456</v>
      </c>
      <c r="S141" s="224">
        <f>IFERROR(F141^SIGN(F141),1)*IFERROR(G141^SIGN(G141),1)*IFERROR(H141^SIGN(H141),1)*IFERROR(I141^SIGN(I141),1)*IFERROR(J141^SIGN(J141),1)*IFERROR(K141^SIGN(K141),1)*IFERROR(L141^SIGN(L141),1)*IFERROR(M141^SIGN(M141),1)</f>
        <v>1728</v>
      </c>
      <c r="T141" s="224">
        <f t="shared" si="1109"/>
        <v>7488</v>
      </c>
      <c r="U141" s="222">
        <f>N141*Q141/T141</f>
        <v>3.6923076923076925</v>
      </c>
      <c r="V141" s="223">
        <f>O141*R141/T141</f>
        <v>11.076923076923077</v>
      </c>
      <c r="W141" s="243">
        <f>P141*S141/T141</f>
        <v>8.3076923076923084</v>
      </c>
      <c r="X141" s="243">
        <f>SUM(U141:W141)</f>
        <v>23.07692307692308</v>
      </c>
      <c r="Y141" s="252">
        <v>0</v>
      </c>
      <c r="Z141" s="198">
        <f>X141-Y141</f>
        <v>23.07692307692308</v>
      </c>
      <c r="AA141" s="125">
        <f>IF(X141&lt;=0,1,0)+IF(X141&gt;0,X141+1,0)*1+IF(X141&gt;12,X141-12,0)*1+IF(X141&gt;13,X141-13,0)*1+IF(X141&gt;14,X141-14,0)*1+IF(X141&gt;15,X141-15,0)*1+IF(X141&gt;16,X141-16,0)*1+IF(X141&gt;17,X141-17,0)*1+IF(X141&gt;18,X141-18,0)*1+IF(X141&gt;19,X141-19,0)*1+IF(X141&gt;20,X141-20,0)*1</f>
        <v>87.769230769230802</v>
      </c>
      <c r="AB141" s="160">
        <f>IF(Y141&lt;=0,1,0)+IF(Y141&gt;0,Y141+1,0)*1+IF(Y141&gt;12,Y141-12,0)*1+IF(Y141&gt;13,Y141-13,0)*1+IF(Y141&gt;14,Y141-14,0)*1+IF(Y141&gt;15,Y141-15,0)*1+IF(Y141&gt;16,Y141-16,0)*1+IF(Y141&gt;17,Y141-17,0)*1+IF(Y141&gt;18,Y141-18,0)*1+IF(Y141&gt;19,Y141-19,0)*1+IF(Y141&gt;20,Y141-20,0)*1</f>
        <v>1</v>
      </c>
      <c r="AC141" s="127">
        <f>IF((AA141-AB141)&gt;0,AA141-AB141,0)</f>
        <v>86.769230769230802</v>
      </c>
      <c r="AD141" s="125">
        <f>IF((AB141-AA141)&gt;0,AB141-AA141,0)</f>
        <v>0</v>
      </c>
      <c r="AF141" s="163" t="s">
        <v>374</v>
      </c>
      <c r="AG141" s="125" t="s">
        <v>100</v>
      </c>
      <c r="AH141" s="127" t="s">
        <v>133</v>
      </c>
      <c r="AI141" s="114">
        <f>Konvention_1slave-MUslave_MU</f>
        <v>11</v>
      </c>
      <c r="AJ141" s="113"/>
      <c r="AK141" s="113">
        <f t="shared" si="1235"/>
        <v>12</v>
      </c>
      <c r="AL141" s="113"/>
      <c r="AM141" s="113"/>
      <c r="AN141" s="113"/>
      <c r="AO141" s="113">
        <f>Konvention_1slave-KOslave</f>
        <v>12</v>
      </c>
      <c r="AP141" s="119"/>
      <c r="AQ141" s="47">
        <f>(AI141+AJ141+AK141+AL141+AM141+AN141+AO141+AP141)/3</f>
        <v>11.666666666666666</v>
      </c>
      <c r="AR141" s="47">
        <f>2*AQ141</f>
        <v>23.333333333333332</v>
      </c>
      <c r="AS141" s="119">
        <f>3*AQ141</f>
        <v>35</v>
      </c>
      <c r="AT141" s="114">
        <f t="shared" si="1110"/>
        <v>2432</v>
      </c>
      <c r="AU141" s="113">
        <f>AI141*AK141*KOslave+AI141*INslave*AO141+MUslave_MU*AK141*AO141</f>
        <v>3408</v>
      </c>
      <c r="AV141" s="119">
        <f>IFERROR(AI141^SIGN(AI141),1)*IFERROR(AJ141^SIGN(AJ141),1)*IFERROR(AK141^SIGN(AK141),1)*IFERROR(AL141^SIGN(AL141),1)*IFERROR(AM141^SIGN(AM141),1)*IFERROR(AN141^SIGN(AN141),1)*IFERROR(AO141^SIGN(AO141),1)*IFERROR(AP141^SIGN(AP141),1)</f>
        <v>1584</v>
      </c>
      <c r="AW141" s="119">
        <f t="shared" si="1111"/>
        <v>7424</v>
      </c>
      <c r="AX141" s="89">
        <f>AQ141*AT141/AW141</f>
        <v>3.8218390804597702</v>
      </c>
      <c r="AY141" s="47">
        <f>AR141*AU141/AW141</f>
        <v>10.711206896551724</v>
      </c>
      <c r="AZ141" s="127">
        <f>AS141*AV141/AW141</f>
        <v>7.4676724137931032</v>
      </c>
      <c r="BA141" s="127">
        <f>SUM(AX141:AZ141)</f>
        <v>22.000718390804597</v>
      </c>
      <c r="BB141" s="165">
        <f t="shared" si="1112"/>
        <v>0</v>
      </c>
      <c r="BC141" s="198">
        <f>BA141-BB141</f>
        <v>22.000718390804597</v>
      </c>
      <c r="BD141" s="125">
        <f>IF(BA141&lt;=0,1,0)+IF(BA141&gt;0,BA141+1,0)*1+IF(BA141&gt;12,BA141-12,0)*1+IF(BA141&gt;13,BA141-13,0)*1+IF(BA141&gt;14,BA141-14,0)*1+IF(BA141&gt;15,BA141-15,0)*1+IF(BA141&gt;16,BA141-16,0)*1+IF(BA141&gt;17,BA141-17,0)*1+IF(BA141&gt;18,BA141-18,0)*1+IF(BA141&gt;19,BA141-19,0)*1+IF(BA141&gt;20,BA141-20,0)*1</f>
        <v>77.007183908045945</v>
      </c>
      <c r="BE141" s="160">
        <f>IF(BB141&lt;=0,1,0)+IF(BB141&gt;0,BB141+1,0)*1+IF(BB141&gt;12,BB141-12,0)*1+IF(BB141&gt;13,BB141-13,0)*1+IF(BB141&gt;14,BB141-14,0)*1+IF(BB141&gt;15,BB141-15,0)*1+IF(BB141&gt;16,BB141-16,0)*1+IF(BB141&gt;17,BB141-17,0)*1+IF(BB141&gt;18,BB141-18,0)*1+IF(BB141&gt;19,BB141-19,0)*1+IF(BB141&gt;20,BB141-20,0)*1</f>
        <v>1</v>
      </c>
      <c r="BF141" s="243">
        <f>IF((BD141-BE141)&gt;0,BD141-BE141,0)</f>
        <v>76.007183908045945</v>
      </c>
      <c r="BG141" s="218">
        <f>IF((BE141-BD141)&gt;0,BE141-BD141,0)</f>
        <v>0</v>
      </c>
      <c r="BI141" s="303" t="s">
        <v>374</v>
      </c>
      <c r="BJ141" s="218" t="s">
        <v>100</v>
      </c>
      <c r="BK141" s="243" t="s">
        <v>133</v>
      </c>
      <c r="BL141" s="237">
        <f>Konvention_1slave-MUslave</f>
        <v>12</v>
      </c>
      <c r="BM141" s="234"/>
      <c r="BN141" s="234">
        <f t="shared" si="1237"/>
        <v>12</v>
      </c>
      <c r="BO141" s="234"/>
      <c r="BP141" s="234"/>
      <c r="BQ141" s="234"/>
      <c r="BR141" s="234">
        <f>Konvention_1slave-KOslave</f>
        <v>12</v>
      </c>
      <c r="BS141" s="224"/>
      <c r="BT141" s="223">
        <f>(BL141+BM141+BN141+BO141+BP141+BQ141+BR141+BS141)/3</f>
        <v>12</v>
      </c>
      <c r="BU141" s="223">
        <f>2*BT141</f>
        <v>24</v>
      </c>
      <c r="BV141" s="224">
        <f>3*BT141</f>
        <v>36</v>
      </c>
      <c r="BW141" s="237">
        <f t="shared" si="1113"/>
        <v>2304</v>
      </c>
      <c r="BX141" s="234">
        <f>BL141*BN141*KOslave+BL141*INslave*BR141+MUslave*BN141*BR141</f>
        <v>3456</v>
      </c>
      <c r="BY141" s="224">
        <f>IFERROR(BL141^SIGN(BL141),1)*IFERROR(BM141^SIGN(BM141),1)*IFERROR(BN141^SIGN(BN141),1)*IFERROR(BO141^SIGN(BO141),1)*IFERROR(BP141^SIGN(BP141),1)*IFERROR(BQ141^SIGN(BQ141),1)*IFERROR(BR141^SIGN(BR141),1)*IFERROR(BS141^SIGN(BS141),1)</f>
        <v>1728</v>
      </c>
      <c r="BZ141" s="224">
        <f t="shared" si="1114"/>
        <v>7488</v>
      </c>
      <c r="CA141" s="222">
        <f>BT141*BW141/BZ141</f>
        <v>3.6923076923076925</v>
      </c>
      <c r="CB141" s="223">
        <f>BU141*BX141/BZ141</f>
        <v>11.076923076923077</v>
      </c>
      <c r="CC141" s="243">
        <f>BV141*BY141/BZ141</f>
        <v>8.3076923076923084</v>
      </c>
      <c r="CD141" s="243">
        <f>SUM(CA141:CC141)</f>
        <v>23.07692307692308</v>
      </c>
      <c r="CE141" s="252">
        <f t="shared" si="1115"/>
        <v>0</v>
      </c>
      <c r="CF141" s="309">
        <f>CD141-CE141</f>
        <v>23.07692307692308</v>
      </c>
      <c r="CG141" s="218">
        <f>IF(CD141&lt;=0,1,0)+IF(CD141&gt;0,CD141+1,0)*1+IF(CD141&gt;12,CD141-12,0)*1+IF(CD141&gt;13,CD141-13,0)*1+IF(CD141&gt;14,CD141-14,0)*1+IF(CD141&gt;15,CD141-15,0)*1+IF(CD141&gt;16,CD141-16,0)*1+IF(CD141&gt;17,CD141-17,0)*1+IF(CD141&gt;18,CD141-18,0)*1+IF(CD141&gt;19,CD141-19,0)*1+IF(CD141&gt;20,CD141-20,0)*1</f>
        <v>87.769230769230802</v>
      </c>
      <c r="CH141" s="242">
        <f>IF(CE141&lt;=0,1,0)+IF(CE141&gt;0,CE141+1,0)*1+IF(CE141&gt;12,CE141-12,0)*1+IF(CE141&gt;13,CE141-13,0)*1+IF(CE141&gt;14,CE141-14,0)*1+IF(CE141&gt;15,CE141-15,0)*1+IF(CE141&gt;16,CE141-16,0)*1+IF(CE141&gt;17,CE141-17,0)*1+IF(CE141&gt;18,CE141-18,0)*1+IF(CE141&gt;19,CE141-19,0)*1+IF(CE141&gt;20,CE141-20,0)*1</f>
        <v>1</v>
      </c>
      <c r="CI141" s="243">
        <f>IF((CG141-CH141)&gt;0,CG141-CH141,0)</f>
        <v>86.769230769230802</v>
      </c>
      <c r="CJ141" s="218">
        <f>IF((CH141-CG141)&gt;0,CH141-CG141,0)</f>
        <v>0</v>
      </c>
      <c r="CL141" s="303" t="s">
        <v>374</v>
      </c>
      <c r="CM141" s="218" t="s">
        <v>100</v>
      </c>
      <c r="CN141" s="243" t="s">
        <v>133</v>
      </c>
      <c r="CO141" s="237">
        <f>Konvention_1slave-MUslave</f>
        <v>12</v>
      </c>
      <c r="CP141" s="234"/>
      <c r="CQ141" s="234">
        <f t="shared" si="1236"/>
        <v>11</v>
      </c>
      <c r="CR141" s="234"/>
      <c r="CS141" s="234"/>
      <c r="CT141" s="234"/>
      <c r="CU141" s="234">
        <f>Konvention_1slave-KOslave</f>
        <v>12</v>
      </c>
      <c r="CV141" s="224"/>
      <c r="CW141" s="223">
        <f>(CO141+CP141+CQ141+CR141+CS141+CT141+CU141+CV141)/3</f>
        <v>11.666666666666666</v>
      </c>
      <c r="CX141" s="223">
        <f>2*CW141</f>
        <v>23.333333333333332</v>
      </c>
      <c r="CY141" s="224">
        <f>3*CW141</f>
        <v>35</v>
      </c>
      <c r="CZ141" s="237">
        <f t="shared" si="1116"/>
        <v>2432</v>
      </c>
      <c r="DA141" s="234">
        <f>CO141*CQ141*KOslave+CO141*INslave_IN*CU141+MUslave*CQ141*CU141</f>
        <v>3408</v>
      </c>
      <c r="DB141" s="224">
        <f>IFERROR(CO141^SIGN(CO141),1)*IFERROR(CP141^SIGN(CP141),1)*IFERROR(CQ141^SIGN(CQ141),1)*IFERROR(CR141^SIGN(CR141),1)*IFERROR(CS141^SIGN(CS141),1)*IFERROR(CT141^SIGN(CT141),1)*IFERROR(CU141^SIGN(CU141),1)*IFERROR(CV141^SIGN(CV141),1)</f>
        <v>1584</v>
      </c>
      <c r="DC141" s="224">
        <f t="shared" si="1117"/>
        <v>7424</v>
      </c>
      <c r="DD141" s="222">
        <f>CW141*CZ141/DC141</f>
        <v>3.8218390804597702</v>
      </c>
      <c r="DE141" s="223">
        <f>CX141*DA141/DC141</f>
        <v>10.711206896551724</v>
      </c>
      <c r="DF141" s="243">
        <f>CY141*DB141/DC141</f>
        <v>7.4676724137931032</v>
      </c>
      <c r="DG141" s="243">
        <f>SUM(DD141:DF141)</f>
        <v>22.000718390804597</v>
      </c>
      <c r="DH141" s="252">
        <f t="shared" si="1118"/>
        <v>0</v>
      </c>
      <c r="DI141" s="309">
        <f>DG141-DH141</f>
        <v>22.000718390804597</v>
      </c>
      <c r="DJ141" s="218">
        <f>IF(DG141&lt;=0,1,0)+IF(DG141&gt;0,DG141+1,0)*1+IF(DG141&gt;12,DG141-12,0)*1+IF(DG141&gt;13,DG141-13,0)*1+IF(DG141&gt;14,DG141-14,0)*1+IF(DG141&gt;15,DG141-15,0)*1+IF(DG141&gt;16,DG141-16,0)*1+IF(DG141&gt;17,DG141-17,0)*1+IF(DG141&gt;18,DG141-18,0)*1+IF(DG141&gt;19,DG141-19,0)*1+IF(DG141&gt;20,DG141-20,0)*1</f>
        <v>77.007183908045945</v>
      </c>
      <c r="DK141" s="242">
        <f>IF(DH141&lt;=0,1,0)+IF(DH141&gt;0,DH141+1,0)*1+IF(DH141&gt;12,DH141-12,0)*1+IF(DH141&gt;13,DH141-13,0)*1+IF(DH141&gt;14,DH141-14,0)*1+IF(DH141&gt;15,DH141-15,0)*1+IF(DH141&gt;16,DH141-16,0)*1+IF(DH141&gt;17,DH141-17,0)*1+IF(DH141&gt;18,DH141-18,0)*1+IF(DH141&gt;19,DH141-19,0)*1+IF(DH141&gt;20,DH141-20,0)*1</f>
        <v>1</v>
      </c>
      <c r="DL141" s="243">
        <f>IF((DJ141-DK141)&gt;0,DJ141-DK141,0)</f>
        <v>76.007183908045945</v>
      </c>
      <c r="DM141" s="218">
        <f>IF((DK141-DJ141)&gt;0,DK141-DJ141,0)</f>
        <v>0</v>
      </c>
      <c r="DO141" s="303" t="s">
        <v>374</v>
      </c>
      <c r="DP141" s="218" t="s">
        <v>100</v>
      </c>
      <c r="DQ141" s="243" t="s">
        <v>133</v>
      </c>
      <c r="DR141" s="237">
        <f>Konvention_1slave-MUslave</f>
        <v>12</v>
      </c>
      <c r="DS141" s="234"/>
      <c r="DT141" s="234">
        <f t="shared" si="1238"/>
        <v>12</v>
      </c>
      <c r="DU141" s="234"/>
      <c r="DV141" s="234"/>
      <c r="DW141" s="234"/>
      <c r="DX141" s="234">
        <f>Konvention_1slave-KOslave</f>
        <v>12</v>
      </c>
      <c r="DY141" s="224"/>
      <c r="DZ141" s="223">
        <f>(DR141+DS141+DT141+DU141+DV141+DW141+DX141+DY141)/3</f>
        <v>12</v>
      </c>
      <c r="EA141" s="223">
        <f>2*DZ141</f>
        <v>24</v>
      </c>
      <c r="EB141" s="224">
        <f>3*DZ141</f>
        <v>36</v>
      </c>
      <c r="EC141" s="237">
        <f t="shared" si="1119"/>
        <v>2304</v>
      </c>
      <c r="ED141" s="234">
        <f>DR141*DT141*KOslave+DR141*INslave*DX141+MUslave*DT141*DX141</f>
        <v>3456</v>
      </c>
      <c r="EE141" s="224">
        <f>IFERROR(DR141^SIGN(DR141),1)*IFERROR(DS141^SIGN(DS141),1)*IFERROR(DT141^SIGN(DT141),1)*IFERROR(DU141^SIGN(DU141),1)*IFERROR(DV141^SIGN(DV141),1)*IFERROR(DW141^SIGN(DW141),1)*IFERROR(DX141^SIGN(DX141),1)*IFERROR(DY141^SIGN(DY141),1)</f>
        <v>1728</v>
      </c>
      <c r="EF141" s="224">
        <f t="shared" si="1120"/>
        <v>7488</v>
      </c>
      <c r="EG141" s="222">
        <f>DZ141*EC141/EF141</f>
        <v>3.6923076923076925</v>
      </c>
      <c r="EH141" s="223">
        <f>EA141*ED141/EF141</f>
        <v>11.076923076923077</v>
      </c>
      <c r="EI141" s="243">
        <f>EB141*EE141/EF141</f>
        <v>8.3076923076923084</v>
      </c>
      <c r="EJ141" s="243">
        <f>SUM(EG141:EI141)</f>
        <v>23.07692307692308</v>
      </c>
      <c r="EK141" s="252">
        <f t="shared" si="1121"/>
        <v>0</v>
      </c>
      <c r="EL141" s="309">
        <f>EJ141-EK141</f>
        <v>23.07692307692308</v>
      </c>
      <c r="EM141" s="218">
        <f>IF(EJ141&lt;=0,1,0)+IF(EJ141&gt;0,EJ141+1,0)*1+IF(EJ141&gt;12,EJ141-12,0)*1+IF(EJ141&gt;13,EJ141-13,0)*1+IF(EJ141&gt;14,EJ141-14,0)*1+IF(EJ141&gt;15,EJ141-15,0)*1+IF(EJ141&gt;16,EJ141-16,0)*1+IF(EJ141&gt;17,EJ141-17,0)*1+IF(EJ141&gt;18,EJ141-18,0)*1+IF(EJ141&gt;19,EJ141-19,0)*1+IF(EJ141&gt;20,EJ141-20,0)*1</f>
        <v>87.769230769230802</v>
      </c>
      <c r="EN141" s="242">
        <f>IF(EK141&lt;=0,1,0)+IF(EK141&gt;0,EK141+1,0)*1+IF(EK141&gt;12,EK141-12,0)*1+IF(EK141&gt;13,EK141-13,0)*1+IF(EK141&gt;14,EK141-14,0)*1+IF(EK141&gt;15,EK141-15,0)*1+IF(EK141&gt;16,EK141-16,0)*1+IF(EK141&gt;17,EK141-17,0)*1+IF(EK141&gt;18,EK141-18,0)*1+IF(EK141&gt;19,EK141-19,0)*1+IF(EK141&gt;20,EK141-20,0)*1</f>
        <v>1</v>
      </c>
      <c r="EO141" s="243">
        <f>IF((EM141-EN141)&gt;0,EM141-EN141,0)</f>
        <v>86.769230769230802</v>
      </c>
      <c r="EP141" s="218">
        <f>IF((EN141-EM141)&gt;0,EN141-EM141,0)</f>
        <v>0</v>
      </c>
      <c r="ER141" s="303" t="s">
        <v>374</v>
      </c>
      <c r="ES141" s="218" t="s">
        <v>100</v>
      </c>
      <c r="ET141" s="243" t="s">
        <v>133</v>
      </c>
      <c r="EU141" s="237">
        <f>Konvention_1slave-MUslave</f>
        <v>12</v>
      </c>
      <c r="EV141" s="234"/>
      <c r="EW141" s="234">
        <f t="shared" si="1239"/>
        <v>12</v>
      </c>
      <c r="EX141" s="234"/>
      <c r="EY141" s="234"/>
      <c r="EZ141" s="234"/>
      <c r="FA141" s="234">
        <f>Konvention_1slave-KOslave</f>
        <v>12</v>
      </c>
      <c r="FB141" s="224"/>
      <c r="FC141" s="223">
        <f>(EU141+EV141+EW141+EX141+EY141+EZ141+FA141+FB141)/3</f>
        <v>12</v>
      </c>
      <c r="FD141" s="223">
        <f>2*FC141</f>
        <v>24</v>
      </c>
      <c r="FE141" s="224">
        <f>3*FC141</f>
        <v>36</v>
      </c>
      <c r="FF141" s="237">
        <f t="shared" si="1122"/>
        <v>2304</v>
      </c>
      <c r="FG141" s="234">
        <f>EU141*EW141*KOslave+EU141*INslave*FA141+MUslave*EW141*FA141</f>
        <v>3456</v>
      </c>
      <c r="FH141" s="224">
        <f>IFERROR(EU141^SIGN(EU141),1)*IFERROR(EV141^SIGN(EV141),1)*IFERROR(EW141^SIGN(EW141),1)*IFERROR(EX141^SIGN(EX141),1)*IFERROR(EY141^SIGN(EY141),1)*IFERROR(EZ141^SIGN(EZ141),1)*IFERROR(FA141^SIGN(FA141),1)*IFERROR(FB141^SIGN(FB141),1)</f>
        <v>1728</v>
      </c>
      <c r="FI141" s="224">
        <f t="shared" si="1123"/>
        <v>7488</v>
      </c>
      <c r="FJ141" s="222">
        <f>FC141*FF141/FI141</f>
        <v>3.6923076923076925</v>
      </c>
      <c r="FK141" s="223">
        <f>FD141*FG141/FI141</f>
        <v>11.076923076923077</v>
      </c>
      <c r="FL141" s="243">
        <f>FE141*FH141/FI141</f>
        <v>8.3076923076923084</v>
      </c>
      <c r="FM141" s="243">
        <f>SUM(FJ141:FL141)</f>
        <v>23.07692307692308</v>
      </c>
      <c r="FN141" s="252">
        <f t="shared" si="1124"/>
        <v>0</v>
      </c>
      <c r="FO141" s="309">
        <f>FM141-FN141</f>
        <v>23.07692307692308</v>
      </c>
      <c r="FP141" s="218">
        <f>IF(FM141&lt;=0,1,0)+IF(FM141&gt;0,FM141+1,0)*1+IF(FM141&gt;12,FM141-12,0)*1+IF(FM141&gt;13,FM141-13,0)*1+IF(FM141&gt;14,FM141-14,0)*1+IF(FM141&gt;15,FM141-15,0)*1+IF(FM141&gt;16,FM141-16,0)*1+IF(FM141&gt;17,FM141-17,0)*1+IF(FM141&gt;18,FM141-18,0)*1+IF(FM141&gt;19,FM141-19,0)*1+IF(FM141&gt;20,FM141-20,0)*1</f>
        <v>87.769230769230802</v>
      </c>
      <c r="FQ141" s="242">
        <f>IF(FN141&lt;=0,1,0)+IF(FN141&gt;0,FN141+1,0)*1+IF(FN141&gt;12,FN141-12,0)*1+IF(FN141&gt;13,FN141-13,0)*1+IF(FN141&gt;14,FN141-14,0)*1+IF(FN141&gt;15,FN141-15,0)*1+IF(FN141&gt;16,FN141-16,0)*1+IF(FN141&gt;17,FN141-17,0)*1+IF(FN141&gt;18,FN141-18,0)*1+IF(FN141&gt;19,FN141-19,0)*1+IF(FN141&gt;20,FN141-20,0)*1</f>
        <v>1</v>
      </c>
      <c r="FR141" s="243">
        <f>IF((FP141-FQ141)&gt;0,FP141-FQ141,0)</f>
        <v>86.769230769230802</v>
      </c>
      <c r="FS141" s="218">
        <f>IF((FQ141-FP141)&gt;0,FQ141-FP141,0)</f>
        <v>0</v>
      </c>
      <c r="FU141" s="303" t="s">
        <v>374</v>
      </c>
      <c r="FV141" s="218" t="s">
        <v>100</v>
      </c>
      <c r="FW141" s="243" t="s">
        <v>133</v>
      </c>
      <c r="FX141" s="237">
        <f>Konvention_1slave-MUslave</f>
        <v>12</v>
      </c>
      <c r="FY141" s="234"/>
      <c r="FZ141" s="234">
        <f t="shared" si="1240"/>
        <v>12</v>
      </c>
      <c r="GA141" s="234"/>
      <c r="GB141" s="234"/>
      <c r="GC141" s="234"/>
      <c r="GD141" s="234">
        <f>Konvention_1slave-KOslave</f>
        <v>12</v>
      </c>
      <c r="GE141" s="224"/>
      <c r="GF141" s="223">
        <f>(FX141+FY141+FZ141+GA141+GB141+GC141+GD141+GE141)/3</f>
        <v>12</v>
      </c>
      <c r="GG141" s="223">
        <f>2*GF141</f>
        <v>24</v>
      </c>
      <c r="GH141" s="224">
        <f>3*GF141</f>
        <v>36</v>
      </c>
      <c r="GI141" s="237">
        <f t="shared" si="1125"/>
        <v>2304</v>
      </c>
      <c r="GJ141" s="234">
        <f>FX141*FZ141*KOslave+FX141*INslave*GD141+MUslave*FZ141*GD141</f>
        <v>3456</v>
      </c>
      <c r="GK141" s="224">
        <f>IFERROR(FX141^SIGN(FX141),1)*IFERROR(FY141^SIGN(FY141),1)*IFERROR(FZ141^SIGN(FZ141),1)*IFERROR(GA141^SIGN(GA141),1)*IFERROR(GB141^SIGN(GB141),1)*IFERROR(GC141^SIGN(GC141),1)*IFERROR(GD141^SIGN(GD141),1)*IFERROR(GE141^SIGN(GE141),1)</f>
        <v>1728</v>
      </c>
      <c r="GL141" s="224">
        <f t="shared" si="1126"/>
        <v>7488</v>
      </c>
      <c r="GM141" s="222">
        <f>GF141*GI141/GL141</f>
        <v>3.6923076923076925</v>
      </c>
      <c r="GN141" s="223">
        <f>GG141*GJ141/GL141</f>
        <v>11.076923076923077</v>
      </c>
      <c r="GO141" s="243">
        <f>GH141*GK141/GL141</f>
        <v>8.3076923076923084</v>
      </c>
      <c r="GP141" s="243">
        <f>SUM(GM141:GO141)</f>
        <v>23.07692307692308</v>
      </c>
      <c r="GQ141" s="252">
        <f t="shared" si="1127"/>
        <v>0</v>
      </c>
      <c r="GR141" s="309">
        <f>GP141-GQ141</f>
        <v>23.07692307692308</v>
      </c>
      <c r="GS141" s="218">
        <f>IF(GP141&lt;=0,1,0)+IF(GP141&gt;0,GP141+1,0)*1+IF(GP141&gt;12,GP141-12,0)*1+IF(GP141&gt;13,GP141-13,0)*1+IF(GP141&gt;14,GP141-14,0)*1+IF(GP141&gt;15,GP141-15,0)*1+IF(GP141&gt;16,GP141-16,0)*1+IF(GP141&gt;17,GP141-17,0)*1+IF(GP141&gt;18,GP141-18,0)*1+IF(GP141&gt;19,GP141-19,0)*1+IF(GP141&gt;20,GP141-20,0)*1</f>
        <v>87.769230769230802</v>
      </c>
      <c r="GT141" s="242">
        <f>IF(GQ141&lt;=0,1,0)+IF(GQ141&gt;0,GQ141+1,0)*1+IF(GQ141&gt;12,GQ141-12,0)*1+IF(GQ141&gt;13,GQ141-13,0)*1+IF(GQ141&gt;14,GQ141-14,0)*1+IF(GQ141&gt;15,GQ141-15,0)*1+IF(GQ141&gt;16,GQ141-16,0)*1+IF(GQ141&gt;17,GQ141-17,0)*1+IF(GQ141&gt;18,GQ141-18,0)*1+IF(GQ141&gt;19,GQ141-19,0)*1+IF(GQ141&gt;20,GQ141-20,0)*1</f>
        <v>1</v>
      </c>
      <c r="GU141" s="243">
        <f>IF((GS141-GT141)&gt;0,GS141-GT141,0)</f>
        <v>86.769230769230802</v>
      </c>
      <c r="GV141" s="218">
        <f>IF((GT141-GS141)&gt;0,GT141-GS141,0)</f>
        <v>0</v>
      </c>
      <c r="GX141" s="303" t="s">
        <v>374</v>
      </c>
      <c r="GY141" s="218" t="s">
        <v>100</v>
      </c>
      <c r="GZ141" s="243" t="s">
        <v>133</v>
      </c>
      <c r="HA141" s="237">
        <f>Konvention_1slave-MUslave</f>
        <v>12</v>
      </c>
      <c r="HB141" s="234"/>
      <c r="HC141" s="234">
        <f t="shared" si="1241"/>
        <v>12</v>
      </c>
      <c r="HD141" s="234"/>
      <c r="HE141" s="234"/>
      <c r="HF141" s="234"/>
      <c r="HG141" s="234">
        <f>Konvention_1slave-KOslave_KO</f>
        <v>11</v>
      </c>
      <c r="HH141" s="224"/>
      <c r="HI141" s="223">
        <f>(HA141+HB141+HC141+HD141+HE141+HF141+HG141+HH141)/3</f>
        <v>11.666666666666666</v>
      </c>
      <c r="HJ141" s="223">
        <f>2*HI141</f>
        <v>23.333333333333332</v>
      </c>
      <c r="HK141" s="224">
        <f>3*HI141</f>
        <v>35</v>
      </c>
      <c r="HL141" s="237">
        <f t="shared" si="1128"/>
        <v>2432</v>
      </c>
      <c r="HM141" s="234">
        <f>HA141*HC141*KOslave_KO+HA141*INslave*HG141+MUslave*HC141*HG141</f>
        <v>3408</v>
      </c>
      <c r="HN141" s="224">
        <f>IFERROR(HA141^SIGN(HA141),1)*IFERROR(HB141^SIGN(HB141),1)*IFERROR(HC141^SIGN(HC141),1)*IFERROR(HD141^SIGN(HD141),1)*IFERROR(HE141^SIGN(HE141),1)*IFERROR(HF141^SIGN(HF141),1)*IFERROR(HG141^SIGN(HG141),1)*IFERROR(HH141^SIGN(HH141),1)</f>
        <v>1584</v>
      </c>
      <c r="HO141" s="224">
        <f t="shared" si="1129"/>
        <v>7424</v>
      </c>
      <c r="HP141" s="222">
        <f>HI141*HL141/HO141</f>
        <v>3.8218390804597702</v>
      </c>
      <c r="HQ141" s="223">
        <f>HJ141*HM141/HO141</f>
        <v>10.711206896551724</v>
      </c>
      <c r="HR141" s="243">
        <f>HK141*HN141/HO141</f>
        <v>7.4676724137931032</v>
      </c>
      <c r="HS141" s="243">
        <f>SUM(HP141:HR141)</f>
        <v>22.000718390804597</v>
      </c>
      <c r="HT141" s="252">
        <f t="shared" si="1130"/>
        <v>0</v>
      </c>
      <c r="HU141" s="309">
        <f>HS141-HT141</f>
        <v>22.000718390804597</v>
      </c>
      <c r="HV141" s="218">
        <f>IF(HS141&lt;=0,1,0)+IF(HS141&gt;0,HS141+1,0)*1+IF(HS141&gt;12,HS141-12,0)*1+IF(HS141&gt;13,HS141-13,0)*1+IF(HS141&gt;14,HS141-14,0)*1+IF(HS141&gt;15,HS141-15,0)*1+IF(HS141&gt;16,HS141-16,0)*1+IF(HS141&gt;17,HS141-17,0)*1+IF(HS141&gt;18,HS141-18,0)*1+IF(HS141&gt;19,HS141-19,0)*1+IF(HS141&gt;20,HS141-20,0)*1</f>
        <v>77.007183908045945</v>
      </c>
      <c r="HW141" s="242">
        <f>IF(HT141&lt;=0,1,0)+IF(HT141&gt;0,HT141+1,0)*1+IF(HT141&gt;12,HT141-12,0)*1+IF(HT141&gt;13,HT141-13,0)*1+IF(HT141&gt;14,HT141-14,0)*1+IF(HT141&gt;15,HT141-15,0)*1+IF(HT141&gt;16,HT141-16,0)*1+IF(HT141&gt;17,HT141-17,0)*1+IF(HT141&gt;18,HT141-18,0)*1+IF(HT141&gt;19,HT141-19,0)*1+IF(HT141&gt;20,HT141-20,0)*1</f>
        <v>1</v>
      </c>
      <c r="HX141" s="243">
        <f>IF((HV141-HW141)&gt;0,HV141-HW141,0)</f>
        <v>76.007183908045945</v>
      </c>
      <c r="HY141" s="218">
        <f>IF((HW141-HV141)&gt;0,HW141-HV141,0)</f>
        <v>0</v>
      </c>
      <c r="IA141" s="303" t="s">
        <v>374</v>
      </c>
      <c r="IB141" s="218" t="s">
        <v>100</v>
      </c>
      <c r="IC141" s="243" t="s">
        <v>133</v>
      </c>
      <c r="ID141" s="237">
        <f>Konvention_1slave-MUslave</f>
        <v>12</v>
      </c>
      <c r="IE141" s="234"/>
      <c r="IF141" s="234">
        <f t="shared" si="1242"/>
        <v>12</v>
      </c>
      <c r="IG141" s="234"/>
      <c r="IH141" s="234"/>
      <c r="II141" s="234"/>
      <c r="IJ141" s="234">
        <f>Konvention_1slave-KOslave</f>
        <v>12</v>
      </c>
      <c r="IK141" s="224"/>
      <c r="IL141" s="223">
        <f>(ID141+IE141+IF141+IG141+IH141+II141+IJ141+IK141)/3</f>
        <v>12</v>
      </c>
      <c r="IM141" s="223">
        <f>2*IL141</f>
        <v>24</v>
      </c>
      <c r="IN141" s="224">
        <f>3*IL141</f>
        <v>36</v>
      </c>
      <c r="IO141" s="237">
        <f t="shared" si="1131"/>
        <v>2304</v>
      </c>
      <c r="IP141" s="234">
        <f>ID141*IF141*KOslave+ID141*INslave*IJ141+MUslave*IF141*IJ141</f>
        <v>3456</v>
      </c>
      <c r="IQ141" s="224">
        <f>IFERROR(ID141^SIGN(ID141),1)*IFERROR(IE141^SIGN(IE141),1)*IFERROR(IF141^SIGN(IF141),1)*IFERROR(IG141^SIGN(IG141),1)*IFERROR(IH141^SIGN(IH141),1)*IFERROR(II141^SIGN(II141),1)*IFERROR(IJ141^SIGN(IJ141),1)*IFERROR(IK141^SIGN(IK141),1)</f>
        <v>1728</v>
      </c>
      <c r="IR141" s="224">
        <f t="shared" si="1132"/>
        <v>7488</v>
      </c>
      <c r="IS141" s="222">
        <f>IL141*IO141/IR141</f>
        <v>3.6923076923076925</v>
      </c>
      <c r="IT141" s="223">
        <f>IM141*IP141/IR141</f>
        <v>11.076923076923077</v>
      </c>
      <c r="IU141" s="243">
        <f>IN141*IQ141/IR141</f>
        <v>8.3076923076923084</v>
      </c>
      <c r="IV141" s="243">
        <f>SUM(IS141:IU141)</f>
        <v>23.07692307692308</v>
      </c>
      <c r="IW141" s="252">
        <f t="shared" si="1133"/>
        <v>0</v>
      </c>
      <c r="IX141" s="309">
        <f>IV141-IW141</f>
        <v>23.07692307692308</v>
      </c>
      <c r="IY141" s="218">
        <f>IF(IV141&lt;=0,1,0)+IF(IV141&gt;0,IV141+1,0)*1+IF(IV141&gt;12,IV141-12,0)*1+IF(IV141&gt;13,IV141-13,0)*1+IF(IV141&gt;14,IV141-14,0)*1+IF(IV141&gt;15,IV141-15,0)*1+IF(IV141&gt;16,IV141-16,0)*1+IF(IV141&gt;17,IV141-17,0)*1+IF(IV141&gt;18,IV141-18,0)*1+IF(IV141&gt;19,IV141-19,0)*1+IF(IV141&gt;20,IV141-20,0)*1</f>
        <v>87.769230769230802</v>
      </c>
      <c r="IZ141" s="242">
        <f>IF(IW141&lt;=0,1,0)+IF(IW141&gt;0,IW141+1,0)*1+IF(IW141&gt;12,IW141-12,0)*1+IF(IW141&gt;13,IW141-13,0)*1+IF(IW141&gt;14,IW141-14,0)*1+IF(IW141&gt;15,IW141-15,0)*1+IF(IW141&gt;16,IW141-16,0)*1+IF(IW141&gt;17,IW141-17,0)*1+IF(IW141&gt;18,IW141-18,0)*1+IF(IW141&gt;19,IW141-19,0)*1+IF(IW141&gt;20,IW141-20,0)*1</f>
        <v>1</v>
      </c>
      <c r="JA141" s="243">
        <f>IF((IY141-IZ141)&gt;0,IY141-IZ141,0)</f>
        <v>86.769230769230802</v>
      </c>
      <c r="JB141" s="218">
        <f>IF((IZ141-IY141)&gt;0,IZ141-IY141,0)</f>
        <v>0</v>
      </c>
      <c r="JE141" s="148"/>
    </row>
    <row r="142" spans="2:265" hidden="1" outlineLevel="2">
      <c r="B142" s="148">
        <v>15</v>
      </c>
      <c r="C142" s="303" t="e">
        <f>VLOOKUP(AF142,Attribute!C:T,1,FALSE)</f>
        <v>#N/A</v>
      </c>
      <c r="D142" s="125" t="s">
        <v>84</v>
      </c>
      <c r="E142" s="127" t="s">
        <v>135</v>
      </c>
      <c r="F142" s="114">
        <f>Konvention_1master-MUmaster</f>
        <v>12</v>
      </c>
      <c r="G142" s="113">
        <f>Konvention_1master-KLmaster</f>
        <v>12</v>
      </c>
      <c r="H142" s="113"/>
      <c r="I142" s="113">
        <f>Konvention_1master-CHmaster</f>
        <v>12</v>
      </c>
      <c r="J142" s="113"/>
      <c r="K142" s="113"/>
      <c r="L142" s="113"/>
      <c r="M142" s="119"/>
      <c r="N142" s="223">
        <f>(F142+G142+H142+I142+J142+K142+L142+M142)/3</f>
        <v>12</v>
      </c>
      <c r="O142" s="223">
        <f>2*N142</f>
        <v>24</v>
      </c>
      <c r="P142" s="224">
        <f>3*N142</f>
        <v>36</v>
      </c>
      <c r="Q142" s="237">
        <f>F142*POWER(KLmaster,SIGN(G142))*POWER(INmaster,SIGN(H142))*POWER(CHmaster,SIGN(I142))*POWER(FFmaster,SIGN(J142))*POWER(GEmaster,SIGN(K142))*POWER(KOmaster,SIGN(L142))*POWER(KKmaster,SIGN(M142))+G142*POWER(MUmaster,SIGN(F142))*POWER(INmaster,SIGN(H142))*POWER(CHmaster,SIGN(I142))*POWER(FFmaster,SIGN(J142))*POWER(GEmaster,SIGN(K142))*POWER(KOmaster,SIGN(L142))*POWER(KKmaster,SIGN(M142))+H142*POWER(MUmaster,SIGN(F142))*POWER(KLmaster,SIGN(G142))*POWER(CHmaster,SIGN(I142))*POWER(FFmaster,SIGN(J142))*POWER(GEmaster,SIGN(K142))*POWER(KOmaster,SIGN(L142))*POWER(KKmaster,SIGN(M142))+I142*POWER(MUmaster,SIGN(F142))*POWER(KLmaster,SIGN(G142))*POWER(INmaster,SIGN(H142))*POWER(FFmaster,SIGN(J142))*POWER(GEmaster,SIGN(K142))*POWER(KOmaster,SIGN(L142))*POWER(KKmaster,SIGN(M142))+J142*POWER(MUmaster,SIGN(F142))*POWER(KLmaster,SIGN(G142))*POWER(INmaster,SIGN(H142))*POWER(CHmaster,SIGN(I142))*POWER(GEmaster,SIGN(K142))*POWER(KOmaster,SIGN(L142))*POWER(KKmaster,SIGN(M142))+K142*POWER(MUmaster,SIGN(F142))*POWER(KLmaster,SIGN(G142))*POWER(INmaster,SIGN(H142))*POWER(CHmaster,SIGN(I142))*POWER(FFmaster,SIGN(J142))*POWER(KOmaster,SIGN(L142))*POWER(KKmaster,SIGN(M142))+L142*POWER(MUmaster,SIGN(F142))*POWER(KLmaster,SIGN(G142))*POWER(INmaster,SIGN(H142))*POWER(CHmaster,SIGN(I142))*POWER(FFmaster,SIGN(J142))*POWER(GEmaster,SIGN(K142))*POWER(KKmaster,SIGN(M142))+M142*POWER(MUmaster,SIGN(F142))*POWER(KLmaster,SIGN(G142))*POWER(INmaster,SIGN(H142))*POWER(CHmaster,SIGN(I142))*POWER(FFmaster,SIGN(J142))*POWER(GEmaster,SIGN(K142))*POWER(KOmaster,SIGN(L142))</f>
        <v>2304</v>
      </c>
      <c r="R142" s="113">
        <f>F142*G142*CHmaster+F142*KLmaster*I142+MUmaster*G142*I142</f>
        <v>3456</v>
      </c>
      <c r="S142" s="224">
        <f>IFERROR(F142^SIGN(F142),1)*IFERROR(G142^SIGN(G142),1)*IFERROR(H142^SIGN(H142),1)*IFERROR(I142^SIGN(I142),1)*IFERROR(J142^SIGN(J142),1)*IFERROR(K142^SIGN(K142),1)*IFERROR(L142^SIGN(L142),1)*IFERROR(M142^SIGN(M142),1)</f>
        <v>1728</v>
      </c>
      <c r="T142" s="224">
        <f t="shared" si="1109"/>
        <v>7488</v>
      </c>
      <c r="U142" s="222">
        <f>N142*Q142/T142</f>
        <v>3.6923076923076925</v>
      </c>
      <c r="V142" s="223">
        <f>O142*R142/T142</f>
        <v>11.076923076923077</v>
      </c>
      <c r="W142" s="243">
        <f>P142*S142/T142</f>
        <v>8.3076923076923084</v>
      </c>
      <c r="X142" s="243">
        <f>SUM(U142:W142)</f>
        <v>23.07692307692308</v>
      </c>
      <c r="Y142" s="252">
        <v>0</v>
      </c>
      <c r="Z142" s="198">
        <f>X142-Y142</f>
        <v>23.07692307692308</v>
      </c>
      <c r="AA142" s="125">
        <f>IF(X142&lt;=0,3,0)+IF(X142&gt;0,X142+1,0)*3+IF(X142&gt;12,X142-12,0)*3+IF(X142&gt;13,X142-13,0)*3+IF(X142&gt;14,X142-14,0)*3+IF(X142&gt;15,X142-15,0)*3+IF(X142&gt;16,X142-16,0)*3+IF(X142&gt;17,X142-17,0)*3+IF(X142&gt;18,X142-18,0)*3+IF(X142&gt;19,X142-19,0)*3+IF(X142&gt;20,X142-20,0)*3</f>
        <v>263.30769230769232</v>
      </c>
      <c r="AB142" s="160">
        <f>IF(Y142&lt;=0,3,0)+IF(Y142&gt;0,Y142+1,0)*3+IF(Y142&gt;12,Y142-12,0)*3+IF(Y142&gt;13,Y142-13,0)*3+IF(Y142&gt;14,Y142-14,0)*3+IF(Y142&gt;15,Y142-15,0)*3+IF(Y142&gt;16,Y142-16,0)*3+IF(Y142&gt;17,Y142-17,0)*3+IF(Y142&gt;18,Y142-18,0)*3+IF(Y142&gt;19,Y142-19,0)*3+IF(Y142&gt;20,Y142-20,0)*3</f>
        <v>3</v>
      </c>
      <c r="AC142" s="127">
        <f>IF((AA142-AB142)&gt;0,AA142-AB142,0)</f>
        <v>260.30769230769232</v>
      </c>
      <c r="AD142" s="125">
        <f>IF((AB142-AA142)&gt;0,AB142-AA142,0)</f>
        <v>0</v>
      </c>
      <c r="AF142" s="163" t="s">
        <v>208</v>
      </c>
      <c r="AG142" s="125" t="s">
        <v>84</v>
      </c>
      <c r="AH142" s="127" t="s">
        <v>135</v>
      </c>
      <c r="AI142" s="114">
        <f>Konvention_1slave-MUslave_MU</f>
        <v>11</v>
      </c>
      <c r="AJ142" s="113">
        <f>Konvention_1slave-KLslave</f>
        <v>12</v>
      </c>
      <c r="AK142" s="113"/>
      <c r="AL142" s="113">
        <f>Konvention_1slave-CHslave</f>
        <v>12</v>
      </c>
      <c r="AM142" s="113"/>
      <c r="AN142" s="113"/>
      <c r="AO142" s="113"/>
      <c r="AP142" s="119"/>
      <c r="AQ142" s="47">
        <f>(AI142+AJ142+AK142+AL142+AM142+AN142+AO142+AP142)/3</f>
        <v>11.666666666666666</v>
      </c>
      <c r="AR142" s="47">
        <f>2*AQ142</f>
        <v>23.333333333333332</v>
      </c>
      <c r="AS142" s="119">
        <f>3*AQ142</f>
        <v>35</v>
      </c>
      <c r="AT142" s="114">
        <f t="shared" si="1110"/>
        <v>2432</v>
      </c>
      <c r="AU142" s="113">
        <f>AI142*AJ142*CHslave+AI142*KLslave*AL142+MUslave_MU*AJ142*AL142</f>
        <v>3408</v>
      </c>
      <c r="AV142" s="119">
        <f>IFERROR(AI142^SIGN(AI142),1)*IFERROR(AJ142^SIGN(AJ142),1)*IFERROR(AK142^SIGN(AK142),1)*IFERROR(AL142^SIGN(AL142),1)*IFERROR(AM142^SIGN(AM142),1)*IFERROR(AN142^SIGN(AN142),1)*IFERROR(AO142^SIGN(AO142),1)*IFERROR(AP142^SIGN(AP142),1)</f>
        <v>1584</v>
      </c>
      <c r="AW142" s="119">
        <f t="shared" si="1111"/>
        <v>7424</v>
      </c>
      <c r="AX142" s="89">
        <f>AQ142*AT142/AW142</f>
        <v>3.8218390804597702</v>
      </c>
      <c r="AY142" s="47">
        <f>AR142*AU142/AW142</f>
        <v>10.711206896551724</v>
      </c>
      <c r="AZ142" s="127">
        <f>AS142*AV142/AW142</f>
        <v>7.4676724137931032</v>
      </c>
      <c r="BA142" s="127">
        <f>SUM(AX142:AZ142)</f>
        <v>22.000718390804597</v>
      </c>
      <c r="BB142" s="165">
        <f t="shared" si="1112"/>
        <v>0</v>
      </c>
      <c r="BC142" s="198">
        <f>BA142-BB142</f>
        <v>22.000718390804597</v>
      </c>
      <c r="BD142" s="125">
        <f>IF(BA142&lt;=0,3,0)+IF(BA142&gt;0,BA142+1,0)*3+IF(BA142&gt;12,BA142-12,0)*3+IF(BA142&gt;13,BA142-13,0)*3+IF(BA142&gt;14,BA142-14,0)*3+IF(BA142&gt;15,BA142-15,0)*3+IF(BA142&gt;16,BA142-16,0)*3+IF(BA142&gt;17,BA142-17,0)*3+IF(BA142&gt;18,BA142-18,0)*3+IF(BA142&gt;19,BA142-19,0)*3+IF(BA142&gt;20,BA142-20,0)*3</f>
        <v>231.02155172413785</v>
      </c>
      <c r="BE142" s="160">
        <f>IF(BB142&lt;=0,3,0)+IF(BB142&gt;0,BB142+1,0)*3+IF(BB142&gt;12,BB142-12,0)*3+IF(BB142&gt;13,BB142-13,0)*3+IF(BB142&gt;14,BB142-14,0)*3+IF(BB142&gt;15,BB142-15,0)*3+IF(BB142&gt;16,BB142-16,0)*3+IF(BB142&gt;17,BB142-17,0)*3+IF(BB142&gt;18,BB142-18,0)*3+IF(BB142&gt;19,BB142-19,0)*3+IF(BB142&gt;20,BB142-20,0)*3</f>
        <v>3</v>
      </c>
      <c r="BF142" s="243">
        <f>IF((BD142-BE142)&gt;0,BD142-BE142,0)</f>
        <v>228.02155172413785</v>
      </c>
      <c r="BG142" s="218">
        <f>IF((BE142-BD142)&gt;0,BE142-BD142,0)</f>
        <v>0</v>
      </c>
      <c r="BI142" s="303" t="s">
        <v>208</v>
      </c>
      <c r="BJ142" s="218" t="s">
        <v>84</v>
      </c>
      <c r="BK142" s="243" t="s">
        <v>135</v>
      </c>
      <c r="BL142" s="237">
        <f>Konvention_1slave-MUslave</f>
        <v>12</v>
      </c>
      <c r="BM142" s="234">
        <f>Konvention_1slave-KLslave_KL</f>
        <v>11</v>
      </c>
      <c r="BN142" s="234"/>
      <c r="BO142" s="234">
        <f>Konvention_1slave-CHslave</f>
        <v>12</v>
      </c>
      <c r="BP142" s="234"/>
      <c r="BQ142" s="234"/>
      <c r="BR142" s="234"/>
      <c r="BS142" s="224"/>
      <c r="BT142" s="223">
        <f>(BL142+BM142+BN142+BO142+BP142+BQ142+BR142+BS142)/3</f>
        <v>11.666666666666666</v>
      </c>
      <c r="BU142" s="223">
        <f>2*BT142</f>
        <v>23.333333333333332</v>
      </c>
      <c r="BV142" s="224">
        <f>3*BT142</f>
        <v>35</v>
      </c>
      <c r="BW142" s="237">
        <f t="shared" si="1113"/>
        <v>2432</v>
      </c>
      <c r="BX142" s="234">
        <f>BL142*BM142*CHslave+BL142*KLslave_KL*BO142+MUslave*BM142*BO142</f>
        <v>3408</v>
      </c>
      <c r="BY142" s="224">
        <f>IFERROR(BL142^SIGN(BL142),1)*IFERROR(BM142^SIGN(BM142),1)*IFERROR(BN142^SIGN(BN142),1)*IFERROR(BO142^SIGN(BO142),1)*IFERROR(BP142^SIGN(BP142),1)*IFERROR(BQ142^SIGN(BQ142),1)*IFERROR(BR142^SIGN(BR142),1)*IFERROR(BS142^SIGN(BS142),1)</f>
        <v>1584</v>
      </c>
      <c r="BZ142" s="224">
        <f t="shared" si="1114"/>
        <v>7424</v>
      </c>
      <c r="CA142" s="222">
        <f>BT142*BW142/BZ142</f>
        <v>3.8218390804597702</v>
      </c>
      <c r="CB142" s="223">
        <f>BU142*BX142/BZ142</f>
        <v>10.711206896551724</v>
      </c>
      <c r="CC142" s="243">
        <f>BV142*BY142/BZ142</f>
        <v>7.4676724137931032</v>
      </c>
      <c r="CD142" s="243">
        <f>SUM(CA142:CC142)</f>
        <v>22.000718390804597</v>
      </c>
      <c r="CE142" s="252">
        <f t="shared" si="1115"/>
        <v>0</v>
      </c>
      <c r="CF142" s="309">
        <f>CD142-CE142</f>
        <v>22.000718390804597</v>
      </c>
      <c r="CG142" s="218">
        <f>IF(CD142&lt;=0,3,0)+IF(CD142&gt;0,CD142+1,0)*3+IF(CD142&gt;12,CD142-12,0)*3+IF(CD142&gt;13,CD142-13,0)*3+IF(CD142&gt;14,CD142-14,0)*3+IF(CD142&gt;15,CD142-15,0)*3+IF(CD142&gt;16,CD142-16,0)*3+IF(CD142&gt;17,CD142-17,0)*3+IF(CD142&gt;18,CD142-18,0)*3+IF(CD142&gt;19,CD142-19,0)*3+IF(CD142&gt;20,CD142-20,0)*3</f>
        <v>231.02155172413785</v>
      </c>
      <c r="CH142" s="242">
        <f>IF(CE142&lt;=0,3,0)+IF(CE142&gt;0,CE142+1,0)*3+IF(CE142&gt;12,CE142-12,0)*3+IF(CE142&gt;13,CE142-13,0)*3+IF(CE142&gt;14,CE142-14,0)*3+IF(CE142&gt;15,CE142-15,0)*3+IF(CE142&gt;16,CE142-16,0)*3+IF(CE142&gt;17,CE142-17,0)*3+IF(CE142&gt;18,CE142-18,0)*3+IF(CE142&gt;19,CE142-19,0)*3+IF(CE142&gt;20,CE142-20,0)*3</f>
        <v>3</v>
      </c>
      <c r="CI142" s="243">
        <f>IF((CG142-CH142)&gt;0,CG142-CH142,0)</f>
        <v>228.02155172413785</v>
      </c>
      <c r="CJ142" s="218">
        <f>IF((CH142-CG142)&gt;0,CH142-CG142,0)</f>
        <v>0</v>
      </c>
      <c r="CL142" s="303" t="s">
        <v>208</v>
      </c>
      <c r="CM142" s="218" t="s">
        <v>84</v>
      </c>
      <c r="CN142" s="243" t="s">
        <v>135</v>
      </c>
      <c r="CO142" s="237">
        <f>Konvention_1slave-MUslave</f>
        <v>12</v>
      </c>
      <c r="CP142" s="234">
        <f>Konvention_1slave-KLslave</f>
        <v>12</v>
      </c>
      <c r="CQ142" s="234"/>
      <c r="CR142" s="234">
        <f>Konvention_1slave-CHslave</f>
        <v>12</v>
      </c>
      <c r="CS142" s="234"/>
      <c r="CT142" s="234"/>
      <c r="CU142" s="234"/>
      <c r="CV142" s="224"/>
      <c r="CW142" s="223">
        <f>(CO142+CP142+CQ142+CR142+CS142+CT142+CU142+CV142)/3</f>
        <v>12</v>
      </c>
      <c r="CX142" s="223">
        <f>2*CW142</f>
        <v>24</v>
      </c>
      <c r="CY142" s="224">
        <f>3*CW142</f>
        <v>36</v>
      </c>
      <c r="CZ142" s="237">
        <f t="shared" si="1116"/>
        <v>2304</v>
      </c>
      <c r="DA142" s="234">
        <f>CO142*CP142*CHslave+CO142*KLslave*CR142+MUslave*CP142*CR142</f>
        <v>3456</v>
      </c>
      <c r="DB142" s="224">
        <f>IFERROR(CO142^SIGN(CO142),1)*IFERROR(CP142^SIGN(CP142),1)*IFERROR(CQ142^SIGN(CQ142),1)*IFERROR(CR142^SIGN(CR142),1)*IFERROR(CS142^SIGN(CS142),1)*IFERROR(CT142^SIGN(CT142),1)*IFERROR(CU142^SIGN(CU142),1)*IFERROR(CV142^SIGN(CV142),1)</f>
        <v>1728</v>
      </c>
      <c r="DC142" s="224">
        <f t="shared" si="1117"/>
        <v>7488</v>
      </c>
      <c r="DD142" s="222">
        <f>CW142*CZ142/DC142</f>
        <v>3.6923076923076925</v>
      </c>
      <c r="DE142" s="223">
        <f>CX142*DA142/DC142</f>
        <v>11.076923076923077</v>
      </c>
      <c r="DF142" s="243">
        <f>CY142*DB142/DC142</f>
        <v>8.3076923076923084</v>
      </c>
      <c r="DG142" s="243">
        <f>SUM(DD142:DF142)</f>
        <v>23.07692307692308</v>
      </c>
      <c r="DH142" s="252">
        <f t="shared" si="1118"/>
        <v>0</v>
      </c>
      <c r="DI142" s="309">
        <f>DG142-DH142</f>
        <v>23.07692307692308</v>
      </c>
      <c r="DJ142" s="218">
        <f>IF(DG142&lt;=0,3,0)+IF(DG142&gt;0,DG142+1,0)*3+IF(DG142&gt;12,DG142-12,0)*3+IF(DG142&gt;13,DG142-13,0)*3+IF(DG142&gt;14,DG142-14,0)*3+IF(DG142&gt;15,DG142-15,0)*3+IF(DG142&gt;16,DG142-16,0)*3+IF(DG142&gt;17,DG142-17,0)*3+IF(DG142&gt;18,DG142-18,0)*3+IF(DG142&gt;19,DG142-19,0)*3+IF(DG142&gt;20,DG142-20,0)*3</f>
        <v>263.30769230769232</v>
      </c>
      <c r="DK142" s="242">
        <f>IF(DH142&lt;=0,3,0)+IF(DH142&gt;0,DH142+1,0)*3+IF(DH142&gt;12,DH142-12,0)*3+IF(DH142&gt;13,DH142-13,0)*3+IF(DH142&gt;14,DH142-14,0)*3+IF(DH142&gt;15,DH142-15,0)*3+IF(DH142&gt;16,DH142-16,0)*3+IF(DH142&gt;17,DH142-17,0)*3+IF(DH142&gt;18,DH142-18,0)*3+IF(DH142&gt;19,DH142-19,0)*3+IF(DH142&gt;20,DH142-20,0)*3</f>
        <v>3</v>
      </c>
      <c r="DL142" s="243">
        <f>IF((DJ142-DK142)&gt;0,DJ142-DK142,0)</f>
        <v>260.30769230769232</v>
      </c>
      <c r="DM142" s="218">
        <f>IF((DK142-DJ142)&gt;0,DK142-DJ142,0)</f>
        <v>0</v>
      </c>
      <c r="DO142" s="303" t="s">
        <v>208</v>
      </c>
      <c r="DP142" s="218" t="s">
        <v>84</v>
      </c>
      <c r="DQ142" s="243" t="s">
        <v>135</v>
      </c>
      <c r="DR142" s="237">
        <f>Konvention_1slave-MUslave</f>
        <v>12</v>
      </c>
      <c r="DS142" s="234">
        <f>Konvention_1slave-KLslave</f>
        <v>12</v>
      </c>
      <c r="DT142" s="234"/>
      <c r="DU142" s="234">
        <f>Konvention_1slave-CHslave_CH</f>
        <v>11</v>
      </c>
      <c r="DV142" s="234"/>
      <c r="DW142" s="234"/>
      <c r="DX142" s="234"/>
      <c r="DY142" s="224"/>
      <c r="DZ142" s="223">
        <f>(DR142+DS142+DT142+DU142+DV142+DW142+DX142+DY142)/3</f>
        <v>11.666666666666666</v>
      </c>
      <c r="EA142" s="223">
        <f>2*DZ142</f>
        <v>23.333333333333332</v>
      </c>
      <c r="EB142" s="224">
        <f>3*DZ142</f>
        <v>35</v>
      </c>
      <c r="EC142" s="237">
        <f t="shared" si="1119"/>
        <v>2432</v>
      </c>
      <c r="ED142" s="234">
        <f>DR142*DS142*CHslave_CH+DR142*KLslave*DU142+MUslave*DS142*DU142</f>
        <v>3408</v>
      </c>
      <c r="EE142" s="224">
        <f>IFERROR(DR142^SIGN(DR142),1)*IFERROR(DS142^SIGN(DS142),1)*IFERROR(DT142^SIGN(DT142),1)*IFERROR(DU142^SIGN(DU142),1)*IFERROR(DV142^SIGN(DV142),1)*IFERROR(DW142^SIGN(DW142),1)*IFERROR(DX142^SIGN(DX142),1)*IFERROR(DY142^SIGN(DY142),1)</f>
        <v>1584</v>
      </c>
      <c r="EF142" s="224">
        <f t="shared" si="1120"/>
        <v>7424</v>
      </c>
      <c r="EG142" s="222">
        <f>DZ142*EC142/EF142</f>
        <v>3.8218390804597702</v>
      </c>
      <c r="EH142" s="223">
        <f>EA142*ED142/EF142</f>
        <v>10.711206896551724</v>
      </c>
      <c r="EI142" s="243">
        <f>EB142*EE142/EF142</f>
        <v>7.4676724137931032</v>
      </c>
      <c r="EJ142" s="243">
        <f>SUM(EG142:EI142)</f>
        <v>22.000718390804597</v>
      </c>
      <c r="EK142" s="252">
        <f t="shared" si="1121"/>
        <v>0</v>
      </c>
      <c r="EL142" s="309">
        <f>EJ142-EK142</f>
        <v>22.000718390804597</v>
      </c>
      <c r="EM142" s="218">
        <f>IF(EJ142&lt;=0,3,0)+IF(EJ142&gt;0,EJ142+1,0)*3+IF(EJ142&gt;12,EJ142-12,0)*3+IF(EJ142&gt;13,EJ142-13,0)*3+IF(EJ142&gt;14,EJ142-14,0)*3+IF(EJ142&gt;15,EJ142-15,0)*3+IF(EJ142&gt;16,EJ142-16,0)*3+IF(EJ142&gt;17,EJ142-17,0)*3+IF(EJ142&gt;18,EJ142-18,0)*3+IF(EJ142&gt;19,EJ142-19,0)*3+IF(EJ142&gt;20,EJ142-20,0)*3</f>
        <v>231.02155172413785</v>
      </c>
      <c r="EN142" s="242">
        <f>IF(EK142&lt;=0,3,0)+IF(EK142&gt;0,EK142+1,0)*3+IF(EK142&gt;12,EK142-12,0)*3+IF(EK142&gt;13,EK142-13,0)*3+IF(EK142&gt;14,EK142-14,0)*3+IF(EK142&gt;15,EK142-15,0)*3+IF(EK142&gt;16,EK142-16,0)*3+IF(EK142&gt;17,EK142-17,0)*3+IF(EK142&gt;18,EK142-18,0)*3+IF(EK142&gt;19,EK142-19,0)*3+IF(EK142&gt;20,EK142-20,0)*3</f>
        <v>3</v>
      </c>
      <c r="EO142" s="243">
        <f>IF((EM142-EN142)&gt;0,EM142-EN142,0)</f>
        <v>228.02155172413785</v>
      </c>
      <c r="EP142" s="218">
        <f>IF((EN142-EM142)&gt;0,EN142-EM142,0)</f>
        <v>0</v>
      </c>
      <c r="ER142" s="303" t="s">
        <v>208</v>
      </c>
      <c r="ES142" s="218" t="s">
        <v>84</v>
      </c>
      <c r="ET142" s="243" t="s">
        <v>135</v>
      </c>
      <c r="EU142" s="237">
        <f>Konvention_1slave-MUslave</f>
        <v>12</v>
      </c>
      <c r="EV142" s="234">
        <f>Konvention_1slave-KLslave</f>
        <v>12</v>
      </c>
      <c r="EW142" s="234"/>
      <c r="EX142" s="234">
        <f>Konvention_1slave-CHslave</f>
        <v>12</v>
      </c>
      <c r="EY142" s="234"/>
      <c r="EZ142" s="234"/>
      <c r="FA142" s="234"/>
      <c r="FB142" s="224"/>
      <c r="FC142" s="223">
        <f>(EU142+EV142+EW142+EX142+EY142+EZ142+FA142+FB142)/3</f>
        <v>12</v>
      </c>
      <c r="FD142" s="223">
        <f>2*FC142</f>
        <v>24</v>
      </c>
      <c r="FE142" s="224">
        <f>3*FC142</f>
        <v>36</v>
      </c>
      <c r="FF142" s="237">
        <f t="shared" si="1122"/>
        <v>2304</v>
      </c>
      <c r="FG142" s="234">
        <f>EU142*EV142*CHslave+EU142*KLslave*EX142+MUslave*EV142*EX142</f>
        <v>3456</v>
      </c>
      <c r="FH142" s="224">
        <f>IFERROR(EU142^SIGN(EU142),1)*IFERROR(EV142^SIGN(EV142),1)*IFERROR(EW142^SIGN(EW142),1)*IFERROR(EX142^SIGN(EX142),1)*IFERROR(EY142^SIGN(EY142),1)*IFERROR(EZ142^SIGN(EZ142),1)*IFERROR(FA142^SIGN(FA142),1)*IFERROR(FB142^SIGN(FB142),1)</f>
        <v>1728</v>
      </c>
      <c r="FI142" s="224">
        <f t="shared" si="1123"/>
        <v>7488</v>
      </c>
      <c r="FJ142" s="222">
        <f>FC142*FF142/FI142</f>
        <v>3.6923076923076925</v>
      </c>
      <c r="FK142" s="223">
        <f>FD142*FG142/FI142</f>
        <v>11.076923076923077</v>
      </c>
      <c r="FL142" s="243">
        <f>FE142*FH142/FI142</f>
        <v>8.3076923076923084</v>
      </c>
      <c r="FM142" s="243">
        <f>SUM(FJ142:FL142)</f>
        <v>23.07692307692308</v>
      </c>
      <c r="FN142" s="252">
        <f t="shared" si="1124"/>
        <v>0</v>
      </c>
      <c r="FO142" s="309">
        <f>FM142-FN142</f>
        <v>23.07692307692308</v>
      </c>
      <c r="FP142" s="218">
        <f>IF(FM142&lt;=0,3,0)+IF(FM142&gt;0,FM142+1,0)*3+IF(FM142&gt;12,FM142-12,0)*3+IF(FM142&gt;13,FM142-13,0)*3+IF(FM142&gt;14,FM142-14,0)*3+IF(FM142&gt;15,FM142-15,0)*3+IF(FM142&gt;16,FM142-16,0)*3+IF(FM142&gt;17,FM142-17,0)*3+IF(FM142&gt;18,FM142-18,0)*3+IF(FM142&gt;19,FM142-19,0)*3+IF(FM142&gt;20,FM142-20,0)*3</f>
        <v>263.30769230769232</v>
      </c>
      <c r="FQ142" s="242">
        <f>IF(FN142&lt;=0,3,0)+IF(FN142&gt;0,FN142+1,0)*3+IF(FN142&gt;12,FN142-12,0)*3+IF(FN142&gt;13,FN142-13,0)*3+IF(FN142&gt;14,FN142-14,0)*3+IF(FN142&gt;15,FN142-15,0)*3+IF(FN142&gt;16,FN142-16,0)*3+IF(FN142&gt;17,FN142-17,0)*3+IF(FN142&gt;18,FN142-18,0)*3+IF(FN142&gt;19,FN142-19,0)*3+IF(FN142&gt;20,FN142-20,0)*3</f>
        <v>3</v>
      </c>
      <c r="FR142" s="243">
        <f>IF((FP142-FQ142)&gt;0,FP142-FQ142,0)</f>
        <v>260.30769230769232</v>
      </c>
      <c r="FS142" s="218">
        <f>IF((FQ142-FP142)&gt;0,FQ142-FP142,0)</f>
        <v>0</v>
      </c>
      <c r="FU142" s="303" t="s">
        <v>208</v>
      </c>
      <c r="FV142" s="218" t="s">
        <v>84</v>
      </c>
      <c r="FW142" s="243" t="s">
        <v>135</v>
      </c>
      <c r="FX142" s="237">
        <f>Konvention_1slave-MUslave</f>
        <v>12</v>
      </c>
      <c r="FY142" s="234">
        <f>Konvention_1slave-KLslave</f>
        <v>12</v>
      </c>
      <c r="FZ142" s="234"/>
      <c r="GA142" s="234">
        <f>Konvention_1slave-CHslave</f>
        <v>12</v>
      </c>
      <c r="GB142" s="234"/>
      <c r="GC142" s="234"/>
      <c r="GD142" s="234"/>
      <c r="GE142" s="224"/>
      <c r="GF142" s="223">
        <f>(FX142+FY142+FZ142+GA142+GB142+GC142+GD142+GE142)/3</f>
        <v>12</v>
      </c>
      <c r="GG142" s="223">
        <f>2*GF142</f>
        <v>24</v>
      </c>
      <c r="GH142" s="224">
        <f>3*GF142</f>
        <v>36</v>
      </c>
      <c r="GI142" s="237">
        <f t="shared" si="1125"/>
        <v>2304</v>
      </c>
      <c r="GJ142" s="234">
        <f>FX142*FY142*CHslave+FX142*KLslave*GA142+MUslave*FY142*GA142</f>
        <v>3456</v>
      </c>
      <c r="GK142" s="224">
        <f>IFERROR(FX142^SIGN(FX142),1)*IFERROR(FY142^SIGN(FY142),1)*IFERROR(FZ142^SIGN(FZ142),1)*IFERROR(GA142^SIGN(GA142),1)*IFERROR(GB142^SIGN(GB142),1)*IFERROR(GC142^SIGN(GC142),1)*IFERROR(GD142^SIGN(GD142),1)*IFERROR(GE142^SIGN(GE142),1)</f>
        <v>1728</v>
      </c>
      <c r="GL142" s="224">
        <f t="shared" si="1126"/>
        <v>7488</v>
      </c>
      <c r="GM142" s="222">
        <f>GF142*GI142/GL142</f>
        <v>3.6923076923076925</v>
      </c>
      <c r="GN142" s="223">
        <f>GG142*GJ142/GL142</f>
        <v>11.076923076923077</v>
      </c>
      <c r="GO142" s="243">
        <f>GH142*GK142/GL142</f>
        <v>8.3076923076923084</v>
      </c>
      <c r="GP142" s="243">
        <f>SUM(GM142:GO142)</f>
        <v>23.07692307692308</v>
      </c>
      <c r="GQ142" s="252">
        <f t="shared" si="1127"/>
        <v>0</v>
      </c>
      <c r="GR142" s="309">
        <f>GP142-GQ142</f>
        <v>23.07692307692308</v>
      </c>
      <c r="GS142" s="218">
        <f>IF(GP142&lt;=0,3,0)+IF(GP142&gt;0,GP142+1,0)*3+IF(GP142&gt;12,GP142-12,0)*3+IF(GP142&gt;13,GP142-13,0)*3+IF(GP142&gt;14,GP142-14,0)*3+IF(GP142&gt;15,GP142-15,0)*3+IF(GP142&gt;16,GP142-16,0)*3+IF(GP142&gt;17,GP142-17,0)*3+IF(GP142&gt;18,GP142-18,0)*3+IF(GP142&gt;19,GP142-19,0)*3+IF(GP142&gt;20,GP142-20,0)*3</f>
        <v>263.30769230769232</v>
      </c>
      <c r="GT142" s="242">
        <f>IF(GQ142&lt;=0,3,0)+IF(GQ142&gt;0,GQ142+1,0)*3+IF(GQ142&gt;12,GQ142-12,0)*3+IF(GQ142&gt;13,GQ142-13,0)*3+IF(GQ142&gt;14,GQ142-14,0)*3+IF(GQ142&gt;15,GQ142-15,0)*3+IF(GQ142&gt;16,GQ142-16,0)*3+IF(GQ142&gt;17,GQ142-17,0)*3+IF(GQ142&gt;18,GQ142-18,0)*3+IF(GQ142&gt;19,GQ142-19,0)*3+IF(GQ142&gt;20,GQ142-20,0)*3</f>
        <v>3</v>
      </c>
      <c r="GU142" s="243">
        <f>IF((GS142-GT142)&gt;0,GS142-GT142,0)</f>
        <v>260.30769230769232</v>
      </c>
      <c r="GV142" s="218">
        <f>IF((GT142-GS142)&gt;0,GT142-GS142,0)</f>
        <v>0</v>
      </c>
      <c r="GX142" s="303" t="s">
        <v>208</v>
      </c>
      <c r="GY142" s="218" t="s">
        <v>84</v>
      </c>
      <c r="GZ142" s="243" t="s">
        <v>135</v>
      </c>
      <c r="HA142" s="237">
        <f>Konvention_1slave-MUslave</f>
        <v>12</v>
      </c>
      <c r="HB142" s="234">
        <f>Konvention_1slave-KLslave</f>
        <v>12</v>
      </c>
      <c r="HC142" s="234"/>
      <c r="HD142" s="234">
        <f>Konvention_1slave-CHslave</f>
        <v>12</v>
      </c>
      <c r="HE142" s="234"/>
      <c r="HF142" s="234"/>
      <c r="HG142" s="234"/>
      <c r="HH142" s="224"/>
      <c r="HI142" s="223">
        <f>(HA142+HB142+HC142+HD142+HE142+HF142+HG142+HH142)/3</f>
        <v>12</v>
      </c>
      <c r="HJ142" s="223">
        <f>2*HI142</f>
        <v>24</v>
      </c>
      <c r="HK142" s="224">
        <f>3*HI142</f>
        <v>36</v>
      </c>
      <c r="HL142" s="237">
        <f t="shared" si="1128"/>
        <v>2304</v>
      </c>
      <c r="HM142" s="234">
        <f>HA142*HB142*CHslave+HA142*KLslave*HD142+MUslave*HB142*HD142</f>
        <v>3456</v>
      </c>
      <c r="HN142" s="224">
        <f>IFERROR(HA142^SIGN(HA142),1)*IFERROR(HB142^SIGN(HB142),1)*IFERROR(HC142^SIGN(HC142),1)*IFERROR(HD142^SIGN(HD142),1)*IFERROR(HE142^SIGN(HE142),1)*IFERROR(HF142^SIGN(HF142),1)*IFERROR(HG142^SIGN(HG142),1)*IFERROR(HH142^SIGN(HH142),1)</f>
        <v>1728</v>
      </c>
      <c r="HO142" s="224">
        <f t="shared" si="1129"/>
        <v>7488</v>
      </c>
      <c r="HP142" s="222">
        <f>HI142*HL142/HO142</f>
        <v>3.6923076923076925</v>
      </c>
      <c r="HQ142" s="223">
        <f>HJ142*HM142/HO142</f>
        <v>11.076923076923077</v>
      </c>
      <c r="HR142" s="243">
        <f>HK142*HN142/HO142</f>
        <v>8.3076923076923084</v>
      </c>
      <c r="HS142" s="243">
        <f>SUM(HP142:HR142)</f>
        <v>23.07692307692308</v>
      </c>
      <c r="HT142" s="252">
        <f t="shared" si="1130"/>
        <v>0</v>
      </c>
      <c r="HU142" s="309">
        <f>HS142-HT142</f>
        <v>23.07692307692308</v>
      </c>
      <c r="HV142" s="218">
        <f>IF(HS142&lt;=0,3,0)+IF(HS142&gt;0,HS142+1,0)*3+IF(HS142&gt;12,HS142-12,0)*3+IF(HS142&gt;13,HS142-13,0)*3+IF(HS142&gt;14,HS142-14,0)*3+IF(HS142&gt;15,HS142-15,0)*3+IF(HS142&gt;16,HS142-16,0)*3+IF(HS142&gt;17,HS142-17,0)*3+IF(HS142&gt;18,HS142-18,0)*3+IF(HS142&gt;19,HS142-19,0)*3+IF(HS142&gt;20,HS142-20,0)*3</f>
        <v>263.30769230769232</v>
      </c>
      <c r="HW142" s="242">
        <f>IF(HT142&lt;=0,3,0)+IF(HT142&gt;0,HT142+1,0)*3+IF(HT142&gt;12,HT142-12,0)*3+IF(HT142&gt;13,HT142-13,0)*3+IF(HT142&gt;14,HT142-14,0)*3+IF(HT142&gt;15,HT142-15,0)*3+IF(HT142&gt;16,HT142-16,0)*3+IF(HT142&gt;17,HT142-17,0)*3+IF(HT142&gt;18,HT142-18,0)*3+IF(HT142&gt;19,HT142-19,0)*3+IF(HT142&gt;20,HT142-20,0)*3</f>
        <v>3</v>
      </c>
      <c r="HX142" s="243">
        <f>IF((HV142-HW142)&gt;0,HV142-HW142,0)</f>
        <v>260.30769230769232</v>
      </c>
      <c r="HY142" s="218">
        <f>IF((HW142-HV142)&gt;0,HW142-HV142,0)</f>
        <v>0</v>
      </c>
      <c r="IA142" s="303" t="s">
        <v>208</v>
      </c>
      <c r="IB142" s="218" t="s">
        <v>84</v>
      </c>
      <c r="IC142" s="243" t="s">
        <v>135</v>
      </c>
      <c r="ID142" s="237">
        <f>Konvention_1slave-MUslave</f>
        <v>12</v>
      </c>
      <c r="IE142" s="234">
        <f>Konvention_1slave-KLslave</f>
        <v>12</v>
      </c>
      <c r="IF142" s="234"/>
      <c r="IG142" s="234">
        <f>Konvention_1slave-CHslave</f>
        <v>12</v>
      </c>
      <c r="IH142" s="234"/>
      <c r="II142" s="234"/>
      <c r="IJ142" s="234"/>
      <c r="IK142" s="224"/>
      <c r="IL142" s="223">
        <f>(ID142+IE142+IF142+IG142+IH142+II142+IJ142+IK142)/3</f>
        <v>12</v>
      </c>
      <c r="IM142" s="223">
        <f>2*IL142</f>
        <v>24</v>
      </c>
      <c r="IN142" s="224">
        <f>3*IL142</f>
        <v>36</v>
      </c>
      <c r="IO142" s="237">
        <f t="shared" si="1131"/>
        <v>2304</v>
      </c>
      <c r="IP142" s="234">
        <f>ID142*IE142*CHslave+ID142*KLslave*IG142+MUslave*IE142*IG142</f>
        <v>3456</v>
      </c>
      <c r="IQ142" s="224">
        <f>IFERROR(ID142^SIGN(ID142),1)*IFERROR(IE142^SIGN(IE142),1)*IFERROR(IF142^SIGN(IF142),1)*IFERROR(IG142^SIGN(IG142),1)*IFERROR(IH142^SIGN(IH142),1)*IFERROR(II142^SIGN(II142),1)*IFERROR(IJ142^SIGN(IJ142),1)*IFERROR(IK142^SIGN(IK142),1)</f>
        <v>1728</v>
      </c>
      <c r="IR142" s="224">
        <f t="shared" si="1132"/>
        <v>7488</v>
      </c>
      <c r="IS142" s="222">
        <f>IL142*IO142/IR142</f>
        <v>3.6923076923076925</v>
      </c>
      <c r="IT142" s="223">
        <f>IM142*IP142/IR142</f>
        <v>11.076923076923077</v>
      </c>
      <c r="IU142" s="243">
        <f>IN142*IQ142/IR142</f>
        <v>8.3076923076923084</v>
      </c>
      <c r="IV142" s="243">
        <f>SUM(IS142:IU142)</f>
        <v>23.07692307692308</v>
      </c>
      <c r="IW142" s="252">
        <f t="shared" si="1133"/>
        <v>0</v>
      </c>
      <c r="IX142" s="309">
        <f>IV142-IW142</f>
        <v>23.07692307692308</v>
      </c>
      <c r="IY142" s="218">
        <f>IF(IV142&lt;=0,3,0)+IF(IV142&gt;0,IV142+1,0)*3+IF(IV142&gt;12,IV142-12,0)*3+IF(IV142&gt;13,IV142-13,0)*3+IF(IV142&gt;14,IV142-14,0)*3+IF(IV142&gt;15,IV142-15,0)*3+IF(IV142&gt;16,IV142-16,0)*3+IF(IV142&gt;17,IV142-17,0)*3+IF(IV142&gt;18,IV142-18,0)*3+IF(IV142&gt;19,IV142-19,0)*3+IF(IV142&gt;20,IV142-20,0)*3</f>
        <v>263.30769230769232</v>
      </c>
      <c r="IZ142" s="242">
        <f>IF(IW142&lt;=0,3,0)+IF(IW142&gt;0,IW142+1,0)*3+IF(IW142&gt;12,IW142-12,0)*3+IF(IW142&gt;13,IW142-13,0)*3+IF(IW142&gt;14,IW142-14,0)*3+IF(IW142&gt;15,IW142-15,0)*3+IF(IW142&gt;16,IW142-16,0)*3+IF(IW142&gt;17,IW142-17,0)*3+IF(IW142&gt;18,IW142-18,0)*3+IF(IW142&gt;19,IW142-19,0)*3+IF(IW142&gt;20,IW142-20,0)*3</f>
        <v>3</v>
      </c>
      <c r="JA142" s="243">
        <f>IF((IY142-IZ142)&gt;0,IY142-IZ142,0)</f>
        <v>260.30769230769232</v>
      </c>
      <c r="JB142" s="218">
        <f>IF((IZ142-IY142)&gt;0,IZ142-IY142,0)</f>
        <v>0</v>
      </c>
      <c r="JE142" s="148"/>
    </row>
    <row r="143" spans="2:265" hidden="1" outlineLevel="2">
      <c r="B143" s="148">
        <v>16</v>
      </c>
      <c r="C143" s="303" t="e">
        <f>VLOOKUP(AF143,Attribute!C:T,1,FALSE)</f>
        <v>#N/A</v>
      </c>
      <c r="D143" s="86" t="s">
        <v>101</v>
      </c>
      <c r="E143" s="167" t="s">
        <v>134</v>
      </c>
      <c r="F143" s="120"/>
      <c r="G143" s="117"/>
      <c r="H143" s="117">
        <f>Konvention_1master-INmaster</f>
        <v>12</v>
      </c>
      <c r="I143" s="117">
        <f>Konvention_1master-CHmaster</f>
        <v>12</v>
      </c>
      <c r="J143" s="117"/>
      <c r="K143" s="117"/>
      <c r="L143" s="117">
        <f>Konvention_1master-KOmaster</f>
        <v>12</v>
      </c>
      <c r="M143" s="121"/>
      <c r="N143" s="223">
        <f>(F143+G143+H143+I143+J143+K143+L143+M143)/3</f>
        <v>12</v>
      </c>
      <c r="O143" s="223">
        <f>2*N143</f>
        <v>24</v>
      </c>
      <c r="P143" s="224">
        <f>3*N143</f>
        <v>36</v>
      </c>
      <c r="Q143" s="237">
        <f>F143*POWER(KLmaster,SIGN(G143))*POWER(INmaster,SIGN(H143))*POWER(CHmaster,SIGN(I143))*POWER(FFmaster,SIGN(J143))*POWER(GEmaster,SIGN(K143))*POWER(KOmaster,SIGN(L143))*POWER(KKmaster,SIGN(M143))+G143*POWER(MUmaster,SIGN(F143))*POWER(INmaster,SIGN(H143))*POWER(CHmaster,SIGN(I143))*POWER(FFmaster,SIGN(J143))*POWER(GEmaster,SIGN(K143))*POWER(KOmaster,SIGN(L143))*POWER(KKmaster,SIGN(M143))+H143*POWER(MUmaster,SIGN(F143))*POWER(KLmaster,SIGN(G143))*POWER(CHmaster,SIGN(I143))*POWER(FFmaster,SIGN(J143))*POWER(GEmaster,SIGN(K143))*POWER(KOmaster,SIGN(L143))*POWER(KKmaster,SIGN(M143))+I143*POWER(MUmaster,SIGN(F143))*POWER(KLmaster,SIGN(G143))*POWER(INmaster,SIGN(H143))*POWER(FFmaster,SIGN(J143))*POWER(GEmaster,SIGN(K143))*POWER(KOmaster,SIGN(L143))*POWER(KKmaster,SIGN(M143))+J143*POWER(MUmaster,SIGN(F143))*POWER(KLmaster,SIGN(G143))*POWER(INmaster,SIGN(H143))*POWER(CHmaster,SIGN(I143))*POWER(GEmaster,SIGN(K143))*POWER(KOmaster,SIGN(L143))*POWER(KKmaster,SIGN(M143))+K143*POWER(MUmaster,SIGN(F143))*POWER(KLmaster,SIGN(G143))*POWER(INmaster,SIGN(H143))*POWER(CHmaster,SIGN(I143))*POWER(FFmaster,SIGN(J143))*POWER(KOmaster,SIGN(L143))*POWER(KKmaster,SIGN(M143))+L143*POWER(MUmaster,SIGN(F143))*POWER(KLmaster,SIGN(G143))*POWER(INmaster,SIGN(H143))*POWER(CHmaster,SIGN(I143))*POWER(FFmaster,SIGN(J143))*POWER(GEmaster,SIGN(K143))*POWER(KKmaster,SIGN(M143))+M143*POWER(MUmaster,SIGN(F143))*POWER(KLmaster,SIGN(G143))*POWER(INmaster,SIGN(H143))*POWER(CHmaster,SIGN(I143))*POWER(FFmaster,SIGN(J143))*POWER(GEmaster,SIGN(K143))*POWER(KOmaster,SIGN(L143))</f>
        <v>2304</v>
      </c>
      <c r="R143" s="117">
        <f>H143*I143*KOmaster+H143*CHmaster*L143+INmaster*I143*L143</f>
        <v>3456</v>
      </c>
      <c r="S143" s="224">
        <f>IFERROR(F143^SIGN(F143),1)*IFERROR(G143^SIGN(G143),1)*IFERROR(H143^SIGN(H143),1)*IFERROR(I143^SIGN(I143),1)*IFERROR(J143^SIGN(J143),1)*IFERROR(K143^SIGN(K143),1)*IFERROR(L143^SIGN(L143),1)*IFERROR(M143^SIGN(M143),1)</f>
        <v>1728</v>
      </c>
      <c r="T143" s="224">
        <f t="shared" si="1109"/>
        <v>7488</v>
      </c>
      <c r="U143" s="222">
        <f>N143*Q143/T143</f>
        <v>3.6923076923076925</v>
      </c>
      <c r="V143" s="223">
        <f>O143*R143/T143</f>
        <v>11.076923076923077</v>
      </c>
      <c r="W143" s="243">
        <f>P143*S143/T143</f>
        <v>8.3076923076923084</v>
      </c>
      <c r="X143" s="243">
        <f>SUM(U143:W143)</f>
        <v>23.07692307692308</v>
      </c>
      <c r="Y143" s="252">
        <v>0</v>
      </c>
      <c r="Z143" s="198">
        <f>X143-Y143</f>
        <v>23.07692307692308</v>
      </c>
      <c r="AA143" s="125">
        <f>IF(X143&lt;=0,4,0)+IF(X143&gt;0,X143+1,0)*4+IF(X143&gt;12,X143-12,0)*4+IF(X143&gt;13,X143-13,0)*4+IF(X143&gt;14,X143-14,0)*4+IF(X143&gt;15,X143-15,0)*4+IF(X143&gt;16,X143-16,0)*4+IF(X143&gt;17,X143-17,0)*4+IF(X143&gt;18,X143-18,0)*4+IF(X143&gt;19,X143-19,0)*4+IF(X143&gt;20,X143-20,0)*4</f>
        <v>351.07692307692321</v>
      </c>
      <c r="AB143" s="160">
        <f>IF(Y143&lt;=0,4,0)+IF(Y143&gt;0,Y143+1,0)*4+IF(Y143&gt;12,Y143-12,0)*4+IF(Y143&gt;13,Y143-13,0)*4+IF(Y143&gt;14,Y143-14,0)*4+IF(Y143&gt;15,Y143-15,0)*4+IF(Y143&gt;16,Y143-16,0)*4+IF(Y143&gt;17,Y143-17,0)*4+IF(Y143&gt;18,Y143-18,0)*4+IF(Y143&gt;19,Y143-19,0)*4+IF(Y143&gt;20,Y143-20,0)*4</f>
        <v>4</v>
      </c>
      <c r="AC143" s="127">
        <f>IF((AA143-AB143)&gt;0,AA143-AB143,0)</f>
        <v>347.07692307692321</v>
      </c>
      <c r="AD143" s="125">
        <f>IF((AB143-AA143)&gt;0,AB143-AA143,0)</f>
        <v>0</v>
      </c>
      <c r="AF143" s="163" t="s">
        <v>375</v>
      </c>
      <c r="AG143" s="86" t="s">
        <v>101</v>
      </c>
      <c r="AH143" s="167" t="s">
        <v>134</v>
      </c>
      <c r="AI143" s="120"/>
      <c r="AJ143" s="117"/>
      <c r="AK143" s="117">
        <f>Konvention_1slave-INslave</f>
        <v>12</v>
      </c>
      <c r="AL143" s="117">
        <f>Konvention_1slave-CHslave</f>
        <v>12</v>
      </c>
      <c r="AM143" s="117"/>
      <c r="AN143" s="117"/>
      <c r="AO143" s="117">
        <f>Konvention_1slave-KOslave</f>
        <v>12</v>
      </c>
      <c r="AP143" s="121"/>
      <c r="AQ143" s="47">
        <f>(AI143+AJ143+AK143+AL143+AM143+AN143+AO143+AP143)/3</f>
        <v>12</v>
      </c>
      <c r="AR143" s="3">
        <f>2*AQ143</f>
        <v>24</v>
      </c>
      <c r="AS143" s="174">
        <f>3*AQ143</f>
        <v>36</v>
      </c>
      <c r="AT143" s="114">
        <f t="shared" si="1110"/>
        <v>2304</v>
      </c>
      <c r="AU143" s="117">
        <f>AK143*AL143*KOslave+AK143*CHslave*AO143+INslave*AL143*AO143</f>
        <v>3456</v>
      </c>
      <c r="AV143" s="119">
        <f>IFERROR(AI143^SIGN(AI143),1)*IFERROR(AJ143^SIGN(AJ143),1)*IFERROR(AK143^SIGN(AK143),1)*IFERROR(AL143^SIGN(AL143),1)*IFERROR(AM143^SIGN(AM143),1)*IFERROR(AN143^SIGN(AN143),1)*IFERROR(AO143^SIGN(AO143),1)*IFERROR(AP143^SIGN(AP143),1)</f>
        <v>1728</v>
      </c>
      <c r="AW143" s="119">
        <f t="shared" si="1111"/>
        <v>7488</v>
      </c>
      <c r="AX143" s="89">
        <f>AQ143*AT143/AW143</f>
        <v>3.6923076923076925</v>
      </c>
      <c r="AY143" s="47">
        <f>AR143*AU143/AW143</f>
        <v>11.076923076923077</v>
      </c>
      <c r="AZ143" s="127">
        <f>AS143*AV143/AW143</f>
        <v>8.3076923076923084</v>
      </c>
      <c r="BA143" s="127">
        <f>SUM(AX143:AZ143)</f>
        <v>23.07692307692308</v>
      </c>
      <c r="BB143" s="165">
        <f t="shared" si="1112"/>
        <v>0</v>
      </c>
      <c r="BC143" s="198">
        <f>BA143-BB143</f>
        <v>23.07692307692308</v>
      </c>
      <c r="BD143" s="125">
        <f>IF(BA143&lt;=0,4,0)+IF(BA143&gt;0,BA143+1,0)*4+IF(BA143&gt;12,BA143-12,0)*4+IF(BA143&gt;13,BA143-13,0)*4+IF(BA143&gt;14,BA143-14,0)*4+IF(BA143&gt;15,BA143-15,0)*4+IF(BA143&gt;16,BA143-16,0)*4+IF(BA143&gt;17,BA143-17,0)*4+IF(BA143&gt;18,BA143-18,0)*4+IF(BA143&gt;19,BA143-19,0)*4+IF(BA143&gt;20,BA143-20,0)*4</f>
        <v>351.07692307692321</v>
      </c>
      <c r="BE143" s="160">
        <f>IF(BB143&lt;=0,4,0)+IF(BB143&gt;0,BB143+1,0)*4+IF(BB143&gt;12,BB143-12,0)*4+IF(BB143&gt;13,BB143-13,0)*4+IF(BB143&gt;14,BB143-14,0)*4+IF(BB143&gt;15,BB143-15,0)*4+IF(BB143&gt;16,BB143-16,0)*4+IF(BB143&gt;17,BB143-17,0)*4+IF(BB143&gt;18,BB143-18,0)*4+IF(BB143&gt;19,BB143-19,0)*4+IF(BB143&gt;20,BB143-20,0)*4</f>
        <v>4</v>
      </c>
      <c r="BF143" s="243">
        <f>IF((BD143-BE143)&gt;0,BD143-BE143,0)</f>
        <v>347.07692307692321</v>
      </c>
      <c r="BG143" s="218">
        <f>IF((BE143-BD143)&gt;0,BE143-BD143,0)</f>
        <v>0</v>
      </c>
      <c r="BI143" s="303" t="s">
        <v>375</v>
      </c>
      <c r="BJ143" s="304" t="s">
        <v>101</v>
      </c>
      <c r="BK143" s="305" t="s">
        <v>134</v>
      </c>
      <c r="BL143" s="317"/>
      <c r="BM143" s="254"/>
      <c r="BN143" s="254">
        <f>Konvention_1slave-INslave</f>
        <v>12</v>
      </c>
      <c r="BO143" s="254">
        <f>Konvention_1slave-CHslave</f>
        <v>12</v>
      </c>
      <c r="BP143" s="254"/>
      <c r="BQ143" s="254"/>
      <c r="BR143" s="254">
        <f>Konvention_1slave-KOslave</f>
        <v>12</v>
      </c>
      <c r="BS143" s="318"/>
      <c r="BT143" s="223">
        <f>(BL143+BM143+BN143+BO143+BP143+BQ143+BR143+BS143)/3</f>
        <v>12</v>
      </c>
      <c r="BU143" s="223">
        <f>2*BT143</f>
        <v>24</v>
      </c>
      <c r="BV143" s="224">
        <f>3*BT143</f>
        <v>36</v>
      </c>
      <c r="BW143" s="237">
        <f t="shared" si="1113"/>
        <v>2304</v>
      </c>
      <c r="BX143" s="254">
        <f>BN143*BO143*KOslave+BN143*CHslave*BR143+INslave*BO143*BR143</f>
        <v>3456</v>
      </c>
      <c r="BY143" s="224">
        <f>IFERROR(BL143^SIGN(BL143),1)*IFERROR(BM143^SIGN(BM143),1)*IFERROR(BN143^SIGN(BN143),1)*IFERROR(BO143^SIGN(BO143),1)*IFERROR(BP143^SIGN(BP143),1)*IFERROR(BQ143^SIGN(BQ143),1)*IFERROR(BR143^SIGN(BR143),1)*IFERROR(BS143^SIGN(BS143),1)</f>
        <v>1728</v>
      </c>
      <c r="BZ143" s="224">
        <f t="shared" si="1114"/>
        <v>7488</v>
      </c>
      <c r="CA143" s="222">
        <f>BT143*BW143/BZ143</f>
        <v>3.6923076923076925</v>
      </c>
      <c r="CB143" s="223">
        <f>BU143*BX143/BZ143</f>
        <v>11.076923076923077</v>
      </c>
      <c r="CC143" s="243">
        <f>BV143*BY143/BZ143</f>
        <v>8.3076923076923084</v>
      </c>
      <c r="CD143" s="243">
        <f>SUM(CA143:CC143)</f>
        <v>23.07692307692308</v>
      </c>
      <c r="CE143" s="252">
        <f t="shared" si="1115"/>
        <v>0</v>
      </c>
      <c r="CF143" s="309">
        <f>CD143-CE143</f>
        <v>23.07692307692308</v>
      </c>
      <c r="CG143" s="218">
        <f>IF(CD143&lt;=0,4,0)+IF(CD143&gt;0,CD143+1,0)*4+IF(CD143&gt;12,CD143-12,0)*4+IF(CD143&gt;13,CD143-13,0)*4+IF(CD143&gt;14,CD143-14,0)*4+IF(CD143&gt;15,CD143-15,0)*4+IF(CD143&gt;16,CD143-16,0)*4+IF(CD143&gt;17,CD143-17,0)*4+IF(CD143&gt;18,CD143-18,0)*4+IF(CD143&gt;19,CD143-19,0)*4+IF(CD143&gt;20,CD143-20,0)*4</f>
        <v>351.07692307692321</v>
      </c>
      <c r="CH143" s="242">
        <f>IF(CE143&lt;=0,4,0)+IF(CE143&gt;0,CE143+1,0)*4+IF(CE143&gt;12,CE143-12,0)*4+IF(CE143&gt;13,CE143-13,0)*4+IF(CE143&gt;14,CE143-14,0)*4+IF(CE143&gt;15,CE143-15,0)*4+IF(CE143&gt;16,CE143-16,0)*4+IF(CE143&gt;17,CE143-17,0)*4+IF(CE143&gt;18,CE143-18,0)*4+IF(CE143&gt;19,CE143-19,0)*4+IF(CE143&gt;20,CE143-20,0)*4</f>
        <v>4</v>
      </c>
      <c r="CI143" s="243">
        <f>IF((CG143-CH143)&gt;0,CG143-CH143,0)</f>
        <v>347.07692307692321</v>
      </c>
      <c r="CJ143" s="218">
        <f>IF((CH143-CG143)&gt;0,CH143-CG143,0)</f>
        <v>0</v>
      </c>
      <c r="CL143" s="303" t="s">
        <v>375</v>
      </c>
      <c r="CM143" s="304" t="s">
        <v>101</v>
      </c>
      <c r="CN143" s="305" t="s">
        <v>134</v>
      </c>
      <c r="CO143" s="317"/>
      <c r="CP143" s="254"/>
      <c r="CQ143" s="254">
        <f>Konvention_1slave-INslave_IN</f>
        <v>11</v>
      </c>
      <c r="CR143" s="254">
        <f>Konvention_1slave-CHslave</f>
        <v>12</v>
      </c>
      <c r="CS143" s="254"/>
      <c r="CT143" s="254"/>
      <c r="CU143" s="254">
        <f>Konvention_1slave-KOslave</f>
        <v>12</v>
      </c>
      <c r="CV143" s="318"/>
      <c r="CW143" s="223">
        <f>(CO143+CP143+CQ143+CR143+CS143+CT143+CU143+CV143)/3</f>
        <v>11.666666666666666</v>
      </c>
      <c r="CX143" s="223">
        <f>2*CW143</f>
        <v>23.333333333333332</v>
      </c>
      <c r="CY143" s="224">
        <f>3*CW143</f>
        <v>35</v>
      </c>
      <c r="CZ143" s="237">
        <f t="shared" si="1116"/>
        <v>2432</v>
      </c>
      <c r="DA143" s="254">
        <f>CQ143*CR143*KOslave+CQ143*CHslave*CU143+INslave_IN*CR143*CU143</f>
        <v>3408</v>
      </c>
      <c r="DB143" s="224">
        <f>IFERROR(CO143^SIGN(CO143),1)*IFERROR(CP143^SIGN(CP143),1)*IFERROR(CQ143^SIGN(CQ143),1)*IFERROR(CR143^SIGN(CR143),1)*IFERROR(CS143^SIGN(CS143),1)*IFERROR(CT143^SIGN(CT143),1)*IFERROR(CU143^SIGN(CU143),1)*IFERROR(CV143^SIGN(CV143),1)</f>
        <v>1584</v>
      </c>
      <c r="DC143" s="224">
        <f t="shared" si="1117"/>
        <v>7424</v>
      </c>
      <c r="DD143" s="222">
        <f>CW143*CZ143/DC143</f>
        <v>3.8218390804597702</v>
      </c>
      <c r="DE143" s="223">
        <f>CX143*DA143/DC143</f>
        <v>10.711206896551724</v>
      </c>
      <c r="DF143" s="243">
        <f>CY143*DB143/DC143</f>
        <v>7.4676724137931032</v>
      </c>
      <c r="DG143" s="243">
        <f>SUM(DD143:DF143)</f>
        <v>22.000718390804597</v>
      </c>
      <c r="DH143" s="252">
        <f t="shared" si="1118"/>
        <v>0</v>
      </c>
      <c r="DI143" s="309">
        <f>DG143-DH143</f>
        <v>22.000718390804597</v>
      </c>
      <c r="DJ143" s="218">
        <f>IF(DG143&lt;=0,4,0)+IF(DG143&gt;0,DG143+1,0)*4+IF(DG143&gt;12,DG143-12,0)*4+IF(DG143&gt;13,DG143-13,0)*4+IF(DG143&gt;14,DG143-14,0)*4+IF(DG143&gt;15,DG143-15,0)*4+IF(DG143&gt;16,DG143-16,0)*4+IF(DG143&gt;17,DG143-17,0)*4+IF(DG143&gt;18,DG143-18,0)*4+IF(DG143&gt;19,DG143-19,0)*4+IF(DG143&gt;20,DG143-20,0)*4</f>
        <v>308.02873563218378</v>
      </c>
      <c r="DK143" s="242">
        <f>IF(DH143&lt;=0,4,0)+IF(DH143&gt;0,DH143+1,0)*4+IF(DH143&gt;12,DH143-12,0)*4+IF(DH143&gt;13,DH143-13,0)*4+IF(DH143&gt;14,DH143-14,0)*4+IF(DH143&gt;15,DH143-15,0)*4+IF(DH143&gt;16,DH143-16,0)*4+IF(DH143&gt;17,DH143-17,0)*4+IF(DH143&gt;18,DH143-18,0)*4+IF(DH143&gt;19,DH143-19,0)*4+IF(DH143&gt;20,DH143-20,0)*4</f>
        <v>4</v>
      </c>
      <c r="DL143" s="243">
        <f>IF((DJ143-DK143)&gt;0,DJ143-DK143,0)</f>
        <v>304.02873563218378</v>
      </c>
      <c r="DM143" s="218">
        <f>IF((DK143-DJ143)&gt;0,DK143-DJ143,0)</f>
        <v>0</v>
      </c>
      <c r="DO143" s="303" t="s">
        <v>375</v>
      </c>
      <c r="DP143" s="304" t="s">
        <v>101</v>
      </c>
      <c r="DQ143" s="305" t="s">
        <v>134</v>
      </c>
      <c r="DR143" s="317"/>
      <c r="DS143" s="254"/>
      <c r="DT143" s="254">
        <f>Konvention_1slave-INslave</f>
        <v>12</v>
      </c>
      <c r="DU143" s="254">
        <f>Konvention_1slave-CHslave_CH</f>
        <v>11</v>
      </c>
      <c r="DV143" s="254"/>
      <c r="DW143" s="254"/>
      <c r="DX143" s="254">
        <f>Konvention_1slave-KOslave</f>
        <v>12</v>
      </c>
      <c r="DY143" s="318"/>
      <c r="DZ143" s="223">
        <f>(DR143+DS143+DT143+DU143+DV143+DW143+DX143+DY143)/3</f>
        <v>11.666666666666666</v>
      </c>
      <c r="EA143" s="223">
        <f>2*DZ143</f>
        <v>23.333333333333332</v>
      </c>
      <c r="EB143" s="224">
        <f>3*DZ143</f>
        <v>35</v>
      </c>
      <c r="EC143" s="237">
        <f t="shared" si="1119"/>
        <v>2432</v>
      </c>
      <c r="ED143" s="254">
        <f>DT143*DU143*KOslave+DT143*CHslave_CH*DX143+INslave*DU143*DX143</f>
        <v>3408</v>
      </c>
      <c r="EE143" s="224">
        <f>IFERROR(DR143^SIGN(DR143),1)*IFERROR(DS143^SIGN(DS143),1)*IFERROR(DT143^SIGN(DT143),1)*IFERROR(DU143^SIGN(DU143),1)*IFERROR(DV143^SIGN(DV143),1)*IFERROR(DW143^SIGN(DW143),1)*IFERROR(DX143^SIGN(DX143),1)*IFERROR(DY143^SIGN(DY143),1)</f>
        <v>1584</v>
      </c>
      <c r="EF143" s="224">
        <f t="shared" si="1120"/>
        <v>7424</v>
      </c>
      <c r="EG143" s="222">
        <f>DZ143*EC143/EF143</f>
        <v>3.8218390804597702</v>
      </c>
      <c r="EH143" s="223">
        <f>EA143*ED143/EF143</f>
        <v>10.711206896551724</v>
      </c>
      <c r="EI143" s="243">
        <f>EB143*EE143/EF143</f>
        <v>7.4676724137931032</v>
      </c>
      <c r="EJ143" s="243">
        <f>SUM(EG143:EI143)</f>
        <v>22.000718390804597</v>
      </c>
      <c r="EK143" s="252">
        <f t="shared" si="1121"/>
        <v>0</v>
      </c>
      <c r="EL143" s="309">
        <f>EJ143-EK143</f>
        <v>22.000718390804597</v>
      </c>
      <c r="EM143" s="218">
        <f>IF(EJ143&lt;=0,4,0)+IF(EJ143&gt;0,EJ143+1,0)*4+IF(EJ143&gt;12,EJ143-12,0)*4+IF(EJ143&gt;13,EJ143-13,0)*4+IF(EJ143&gt;14,EJ143-14,0)*4+IF(EJ143&gt;15,EJ143-15,0)*4+IF(EJ143&gt;16,EJ143-16,0)*4+IF(EJ143&gt;17,EJ143-17,0)*4+IF(EJ143&gt;18,EJ143-18,0)*4+IF(EJ143&gt;19,EJ143-19,0)*4+IF(EJ143&gt;20,EJ143-20,0)*4</f>
        <v>308.02873563218378</v>
      </c>
      <c r="EN143" s="242">
        <f>IF(EK143&lt;=0,4,0)+IF(EK143&gt;0,EK143+1,0)*4+IF(EK143&gt;12,EK143-12,0)*4+IF(EK143&gt;13,EK143-13,0)*4+IF(EK143&gt;14,EK143-14,0)*4+IF(EK143&gt;15,EK143-15,0)*4+IF(EK143&gt;16,EK143-16,0)*4+IF(EK143&gt;17,EK143-17,0)*4+IF(EK143&gt;18,EK143-18,0)*4+IF(EK143&gt;19,EK143-19,0)*4+IF(EK143&gt;20,EK143-20,0)*4</f>
        <v>4</v>
      </c>
      <c r="EO143" s="243">
        <f>IF((EM143-EN143)&gt;0,EM143-EN143,0)</f>
        <v>304.02873563218378</v>
      </c>
      <c r="EP143" s="218">
        <f>IF((EN143-EM143)&gt;0,EN143-EM143,0)</f>
        <v>0</v>
      </c>
      <c r="ER143" s="303" t="s">
        <v>375</v>
      </c>
      <c r="ES143" s="304" t="s">
        <v>101</v>
      </c>
      <c r="ET143" s="305" t="s">
        <v>134</v>
      </c>
      <c r="EU143" s="317"/>
      <c r="EV143" s="254"/>
      <c r="EW143" s="254">
        <f>Konvention_1slave-INslave</f>
        <v>12</v>
      </c>
      <c r="EX143" s="254">
        <f>Konvention_1slave-CHslave</f>
        <v>12</v>
      </c>
      <c r="EY143" s="254"/>
      <c r="EZ143" s="254"/>
      <c r="FA143" s="254">
        <f>Konvention_1slave-KOslave</f>
        <v>12</v>
      </c>
      <c r="FB143" s="318"/>
      <c r="FC143" s="223">
        <f>(EU143+EV143+EW143+EX143+EY143+EZ143+FA143+FB143)/3</f>
        <v>12</v>
      </c>
      <c r="FD143" s="223">
        <f>2*FC143</f>
        <v>24</v>
      </c>
      <c r="FE143" s="224">
        <f>3*FC143</f>
        <v>36</v>
      </c>
      <c r="FF143" s="237">
        <f t="shared" si="1122"/>
        <v>2304</v>
      </c>
      <c r="FG143" s="254">
        <f>EW143*EX143*KOslave+EW143*CHslave*FA143+INslave*EX143*FA143</f>
        <v>3456</v>
      </c>
      <c r="FH143" s="224">
        <f>IFERROR(EU143^SIGN(EU143),1)*IFERROR(EV143^SIGN(EV143),1)*IFERROR(EW143^SIGN(EW143),1)*IFERROR(EX143^SIGN(EX143),1)*IFERROR(EY143^SIGN(EY143),1)*IFERROR(EZ143^SIGN(EZ143),1)*IFERROR(FA143^SIGN(FA143),1)*IFERROR(FB143^SIGN(FB143),1)</f>
        <v>1728</v>
      </c>
      <c r="FI143" s="224">
        <f t="shared" si="1123"/>
        <v>7488</v>
      </c>
      <c r="FJ143" s="222">
        <f>FC143*FF143/FI143</f>
        <v>3.6923076923076925</v>
      </c>
      <c r="FK143" s="223">
        <f>FD143*FG143/FI143</f>
        <v>11.076923076923077</v>
      </c>
      <c r="FL143" s="243">
        <f>FE143*FH143/FI143</f>
        <v>8.3076923076923084</v>
      </c>
      <c r="FM143" s="243">
        <f>SUM(FJ143:FL143)</f>
        <v>23.07692307692308</v>
      </c>
      <c r="FN143" s="252">
        <f t="shared" si="1124"/>
        <v>0</v>
      </c>
      <c r="FO143" s="309">
        <f>FM143-FN143</f>
        <v>23.07692307692308</v>
      </c>
      <c r="FP143" s="218">
        <f>IF(FM143&lt;=0,4,0)+IF(FM143&gt;0,FM143+1,0)*4+IF(FM143&gt;12,FM143-12,0)*4+IF(FM143&gt;13,FM143-13,0)*4+IF(FM143&gt;14,FM143-14,0)*4+IF(FM143&gt;15,FM143-15,0)*4+IF(FM143&gt;16,FM143-16,0)*4+IF(FM143&gt;17,FM143-17,0)*4+IF(FM143&gt;18,FM143-18,0)*4+IF(FM143&gt;19,FM143-19,0)*4+IF(FM143&gt;20,FM143-20,0)*4</f>
        <v>351.07692307692321</v>
      </c>
      <c r="FQ143" s="242">
        <f>IF(FN143&lt;=0,4,0)+IF(FN143&gt;0,FN143+1,0)*4+IF(FN143&gt;12,FN143-12,0)*4+IF(FN143&gt;13,FN143-13,0)*4+IF(FN143&gt;14,FN143-14,0)*4+IF(FN143&gt;15,FN143-15,0)*4+IF(FN143&gt;16,FN143-16,0)*4+IF(FN143&gt;17,FN143-17,0)*4+IF(FN143&gt;18,FN143-18,0)*4+IF(FN143&gt;19,FN143-19,0)*4+IF(FN143&gt;20,FN143-20,0)*4</f>
        <v>4</v>
      </c>
      <c r="FR143" s="243">
        <f>IF((FP143-FQ143)&gt;0,FP143-FQ143,0)</f>
        <v>347.07692307692321</v>
      </c>
      <c r="FS143" s="218">
        <f>IF((FQ143-FP143)&gt;0,FQ143-FP143,0)</f>
        <v>0</v>
      </c>
      <c r="FU143" s="303" t="s">
        <v>375</v>
      </c>
      <c r="FV143" s="304" t="s">
        <v>101</v>
      </c>
      <c r="FW143" s="305" t="s">
        <v>134</v>
      </c>
      <c r="FX143" s="317"/>
      <c r="FY143" s="254"/>
      <c r="FZ143" s="254">
        <f>Konvention_1slave-INslave</f>
        <v>12</v>
      </c>
      <c r="GA143" s="254">
        <f>Konvention_1slave-CHslave</f>
        <v>12</v>
      </c>
      <c r="GB143" s="254"/>
      <c r="GC143" s="254"/>
      <c r="GD143" s="254">
        <f>Konvention_1slave-KOslave</f>
        <v>12</v>
      </c>
      <c r="GE143" s="318"/>
      <c r="GF143" s="223">
        <f>(FX143+FY143+FZ143+GA143+GB143+GC143+GD143+GE143)/3</f>
        <v>12</v>
      </c>
      <c r="GG143" s="223">
        <f>2*GF143</f>
        <v>24</v>
      </c>
      <c r="GH143" s="224">
        <f>3*GF143</f>
        <v>36</v>
      </c>
      <c r="GI143" s="237">
        <f t="shared" si="1125"/>
        <v>2304</v>
      </c>
      <c r="GJ143" s="254">
        <f>FZ143*GA143*KOslave+FZ143*CHslave*GD143+INslave*GA143*GD143</f>
        <v>3456</v>
      </c>
      <c r="GK143" s="224">
        <f>IFERROR(FX143^SIGN(FX143),1)*IFERROR(FY143^SIGN(FY143),1)*IFERROR(FZ143^SIGN(FZ143),1)*IFERROR(GA143^SIGN(GA143),1)*IFERROR(GB143^SIGN(GB143),1)*IFERROR(GC143^SIGN(GC143),1)*IFERROR(GD143^SIGN(GD143),1)*IFERROR(GE143^SIGN(GE143),1)</f>
        <v>1728</v>
      </c>
      <c r="GL143" s="224">
        <f t="shared" si="1126"/>
        <v>7488</v>
      </c>
      <c r="GM143" s="222">
        <f>GF143*GI143/GL143</f>
        <v>3.6923076923076925</v>
      </c>
      <c r="GN143" s="223">
        <f>GG143*GJ143/GL143</f>
        <v>11.076923076923077</v>
      </c>
      <c r="GO143" s="243">
        <f>GH143*GK143/GL143</f>
        <v>8.3076923076923084</v>
      </c>
      <c r="GP143" s="243">
        <f>SUM(GM143:GO143)</f>
        <v>23.07692307692308</v>
      </c>
      <c r="GQ143" s="252">
        <f t="shared" si="1127"/>
        <v>0</v>
      </c>
      <c r="GR143" s="309">
        <f>GP143-GQ143</f>
        <v>23.07692307692308</v>
      </c>
      <c r="GS143" s="218">
        <f>IF(GP143&lt;=0,4,0)+IF(GP143&gt;0,GP143+1,0)*4+IF(GP143&gt;12,GP143-12,0)*4+IF(GP143&gt;13,GP143-13,0)*4+IF(GP143&gt;14,GP143-14,0)*4+IF(GP143&gt;15,GP143-15,0)*4+IF(GP143&gt;16,GP143-16,0)*4+IF(GP143&gt;17,GP143-17,0)*4+IF(GP143&gt;18,GP143-18,0)*4+IF(GP143&gt;19,GP143-19,0)*4+IF(GP143&gt;20,GP143-20,0)*4</f>
        <v>351.07692307692321</v>
      </c>
      <c r="GT143" s="242">
        <f>IF(GQ143&lt;=0,4,0)+IF(GQ143&gt;0,GQ143+1,0)*4+IF(GQ143&gt;12,GQ143-12,0)*4+IF(GQ143&gt;13,GQ143-13,0)*4+IF(GQ143&gt;14,GQ143-14,0)*4+IF(GQ143&gt;15,GQ143-15,0)*4+IF(GQ143&gt;16,GQ143-16,0)*4+IF(GQ143&gt;17,GQ143-17,0)*4+IF(GQ143&gt;18,GQ143-18,0)*4+IF(GQ143&gt;19,GQ143-19,0)*4+IF(GQ143&gt;20,GQ143-20,0)*4</f>
        <v>4</v>
      </c>
      <c r="GU143" s="243">
        <f>IF((GS143-GT143)&gt;0,GS143-GT143,0)</f>
        <v>347.07692307692321</v>
      </c>
      <c r="GV143" s="218">
        <f>IF((GT143-GS143)&gt;0,GT143-GS143,0)</f>
        <v>0</v>
      </c>
      <c r="GX143" s="303" t="s">
        <v>375</v>
      </c>
      <c r="GY143" s="304" t="s">
        <v>101</v>
      </c>
      <c r="GZ143" s="305" t="s">
        <v>134</v>
      </c>
      <c r="HA143" s="317"/>
      <c r="HB143" s="254"/>
      <c r="HC143" s="254">
        <f>Konvention_1slave-INslave</f>
        <v>12</v>
      </c>
      <c r="HD143" s="254">
        <f>Konvention_1slave-CHslave</f>
        <v>12</v>
      </c>
      <c r="HE143" s="254"/>
      <c r="HF143" s="254"/>
      <c r="HG143" s="254">
        <f>Konvention_1slave-KOslave_KO</f>
        <v>11</v>
      </c>
      <c r="HH143" s="318"/>
      <c r="HI143" s="223">
        <f>(HA143+HB143+HC143+HD143+HE143+HF143+HG143+HH143)/3</f>
        <v>11.666666666666666</v>
      </c>
      <c r="HJ143" s="223">
        <f>2*HI143</f>
        <v>23.333333333333332</v>
      </c>
      <c r="HK143" s="224">
        <f>3*HI143</f>
        <v>35</v>
      </c>
      <c r="HL143" s="237">
        <f t="shared" si="1128"/>
        <v>2432</v>
      </c>
      <c r="HM143" s="254">
        <f>HC143*HD143*KOslave_KO+HC143*CHslave*HG143+INslave*HD143*HG143</f>
        <v>3408</v>
      </c>
      <c r="HN143" s="224">
        <f>IFERROR(HA143^SIGN(HA143),1)*IFERROR(HB143^SIGN(HB143),1)*IFERROR(HC143^SIGN(HC143),1)*IFERROR(HD143^SIGN(HD143),1)*IFERROR(HE143^SIGN(HE143),1)*IFERROR(HF143^SIGN(HF143),1)*IFERROR(HG143^SIGN(HG143),1)*IFERROR(HH143^SIGN(HH143),1)</f>
        <v>1584</v>
      </c>
      <c r="HO143" s="224">
        <f t="shared" si="1129"/>
        <v>7424</v>
      </c>
      <c r="HP143" s="222">
        <f>HI143*HL143/HO143</f>
        <v>3.8218390804597702</v>
      </c>
      <c r="HQ143" s="223">
        <f>HJ143*HM143/HO143</f>
        <v>10.711206896551724</v>
      </c>
      <c r="HR143" s="243">
        <f>HK143*HN143/HO143</f>
        <v>7.4676724137931032</v>
      </c>
      <c r="HS143" s="243">
        <f>SUM(HP143:HR143)</f>
        <v>22.000718390804597</v>
      </c>
      <c r="HT143" s="252">
        <f t="shared" si="1130"/>
        <v>0</v>
      </c>
      <c r="HU143" s="309">
        <f>HS143-HT143</f>
        <v>22.000718390804597</v>
      </c>
      <c r="HV143" s="218">
        <f>IF(HS143&lt;=0,4,0)+IF(HS143&gt;0,HS143+1,0)*4+IF(HS143&gt;12,HS143-12,0)*4+IF(HS143&gt;13,HS143-13,0)*4+IF(HS143&gt;14,HS143-14,0)*4+IF(HS143&gt;15,HS143-15,0)*4+IF(HS143&gt;16,HS143-16,0)*4+IF(HS143&gt;17,HS143-17,0)*4+IF(HS143&gt;18,HS143-18,0)*4+IF(HS143&gt;19,HS143-19,0)*4+IF(HS143&gt;20,HS143-20,0)*4</f>
        <v>308.02873563218378</v>
      </c>
      <c r="HW143" s="242">
        <f>IF(HT143&lt;=0,4,0)+IF(HT143&gt;0,HT143+1,0)*4+IF(HT143&gt;12,HT143-12,0)*4+IF(HT143&gt;13,HT143-13,0)*4+IF(HT143&gt;14,HT143-14,0)*4+IF(HT143&gt;15,HT143-15,0)*4+IF(HT143&gt;16,HT143-16,0)*4+IF(HT143&gt;17,HT143-17,0)*4+IF(HT143&gt;18,HT143-18,0)*4+IF(HT143&gt;19,HT143-19,0)*4+IF(HT143&gt;20,HT143-20,0)*4</f>
        <v>4</v>
      </c>
      <c r="HX143" s="243">
        <f>IF((HV143-HW143)&gt;0,HV143-HW143,0)</f>
        <v>304.02873563218378</v>
      </c>
      <c r="HY143" s="218">
        <f>IF((HW143-HV143)&gt;0,HW143-HV143,0)</f>
        <v>0</v>
      </c>
      <c r="IA143" s="303" t="s">
        <v>375</v>
      </c>
      <c r="IB143" s="304" t="s">
        <v>101</v>
      </c>
      <c r="IC143" s="305" t="s">
        <v>134</v>
      </c>
      <c r="ID143" s="317"/>
      <c r="IE143" s="254"/>
      <c r="IF143" s="254">
        <f>Konvention_1slave-INslave</f>
        <v>12</v>
      </c>
      <c r="IG143" s="254">
        <f>Konvention_1slave-CHslave</f>
        <v>12</v>
      </c>
      <c r="IH143" s="254"/>
      <c r="II143" s="254"/>
      <c r="IJ143" s="254">
        <f>Konvention_1slave-KOslave</f>
        <v>12</v>
      </c>
      <c r="IK143" s="318"/>
      <c r="IL143" s="223">
        <f>(ID143+IE143+IF143+IG143+IH143+II143+IJ143+IK143)/3</f>
        <v>12</v>
      </c>
      <c r="IM143" s="223">
        <f>2*IL143</f>
        <v>24</v>
      </c>
      <c r="IN143" s="224">
        <f>3*IL143</f>
        <v>36</v>
      </c>
      <c r="IO143" s="237">
        <f t="shared" si="1131"/>
        <v>2304</v>
      </c>
      <c r="IP143" s="254">
        <f>IF143*IG143*KOslave+IF143*CHslave*IJ143+INslave*IG143*IJ143</f>
        <v>3456</v>
      </c>
      <c r="IQ143" s="224">
        <f>IFERROR(ID143^SIGN(ID143),1)*IFERROR(IE143^SIGN(IE143),1)*IFERROR(IF143^SIGN(IF143),1)*IFERROR(IG143^SIGN(IG143),1)*IFERROR(IH143^SIGN(IH143),1)*IFERROR(II143^SIGN(II143),1)*IFERROR(IJ143^SIGN(IJ143),1)*IFERROR(IK143^SIGN(IK143),1)</f>
        <v>1728</v>
      </c>
      <c r="IR143" s="224">
        <f t="shared" si="1132"/>
        <v>7488</v>
      </c>
      <c r="IS143" s="222">
        <f>IL143*IO143/IR143</f>
        <v>3.6923076923076925</v>
      </c>
      <c r="IT143" s="223">
        <f>IM143*IP143/IR143</f>
        <v>11.076923076923077</v>
      </c>
      <c r="IU143" s="243">
        <f>IN143*IQ143/IR143</f>
        <v>8.3076923076923084</v>
      </c>
      <c r="IV143" s="243">
        <f>SUM(IS143:IU143)</f>
        <v>23.07692307692308</v>
      </c>
      <c r="IW143" s="252">
        <f t="shared" si="1133"/>
        <v>0</v>
      </c>
      <c r="IX143" s="309">
        <f>IV143-IW143</f>
        <v>23.07692307692308</v>
      </c>
      <c r="IY143" s="218">
        <f>IF(IV143&lt;=0,4,0)+IF(IV143&gt;0,IV143+1,0)*4+IF(IV143&gt;12,IV143-12,0)*4+IF(IV143&gt;13,IV143-13,0)*4+IF(IV143&gt;14,IV143-14,0)*4+IF(IV143&gt;15,IV143-15,0)*4+IF(IV143&gt;16,IV143-16,0)*4+IF(IV143&gt;17,IV143-17,0)*4+IF(IV143&gt;18,IV143-18,0)*4+IF(IV143&gt;19,IV143-19,0)*4+IF(IV143&gt;20,IV143-20,0)*4</f>
        <v>351.07692307692321</v>
      </c>
      <c r="IZ143" s="242">
        <f>IF(IW143&lt;=0,4,0)+IF(IW143&gt;0,IW143+1,0)*4+IF(IW143&gt;12,IW143-12,0)*4+IF(IW143&gt;13,IW143-13,0)*4+IF(IW143&gt;14,IW143-14,0)*4+IF(IW143&gt;15,IW143-15,0)*4+IF(IW143&gt;16,IW143-16,0)*4+IF(IW143&gt;17,IW143-17,0)*4+IF(IW143&gt;18,IW143-18,0)*4+IF(IW143&gt;19,IW143-19,0)*4+IF(IW143&gt;20,IW143-20,0)*4</f>
        <v>4</v>
      </c>
      <c r="JA143" s="243">
        <f>IF((IY143-IZ143)&gt;0,IY143-IZ143,0)</f>
        <v>347.07692307692321</v>
      </c>
      <c r="JB143" s="218">
        <f>IF((IZ143-IY143)&gt;0,IZ143-IY143,0)</f>
        <v>0</v>
      </c>
      <c r="JE143" s="148"/>
    </row>
    <row r="144" spans="2:265" ht="15" hidden="1" customHeight="1" outlineLevel="2">
      <c r="B144" s="148">
        <v>17</v>
      </c>
      <c r="C144" s="303" t="e">
        <f>VLOOKUP(AF144,Attribute!C:T,1,FALSE)</f>
        <v>#N/A</v>
      </c>
      <c r="D144" s="86" t="s">
        <v>86</v>
      </c>
      <c r="E144" s="127" t="s">
        <v>132</v>
      </c>
      <c r="F144" s="114">
        <f>Konvention_1master-MUmaster</f>
        <v>12</v>
      </c>
      <c r="G144" s="113"/>
      <c r="H144" s="113">
        <f>Konvention_1master-INmaster</f>
        <v>12</v>
      </c>
      <c r="I144" s="113">
        <f>Konvention_1master-CHmaster</f>
        <v>12</v>
      </c>
      <c r="J144" s="113"/>
      <c r="K144" s="113"/>
      <c r="L144" s="113"/>
      <c r="M144" s="119"/>
      <c r="N144" s="223">
        <f>(F144+G144+H144+I144+J144+K144+L144+M144)/3</f>
        <v>12</v>
      </c>
      <c r="O144" s="223">
        <f>2*N144</f>
        <v>24</v>
      </c>
      <c r="P144" s="224">
        <f>3*N144</f>
        <v>36</v>
      </c>
      <c r="Q144" s="237">
        <f>F144*POWER(KLmaster,SIGN(G144))*POWER(INmaster,SIGN(H144))*POWER(CHmaster,SIGN(I144))*POWER(FFmaster,SIGN(J144))*POWER(GEmaster,SIGN(K144))*POWER(KOmaster,SIGN(L144))*POWER(KKmaster,SIGN(M144))+G144*POWER(MUmaster,SIGN(F144))*POWER(INmaster,SIGN(H144))*POWER(CHmaster,SIGN(I144))*POWER(FFmaster,SIGN(J144))*POWER(GEmaster,SIGN(K144))*POWER(KOmaster,SIGN(L144))*POWER(KKmaster,SIGN(M144))+H144*POWER(MUmaster,SIGN(F144))*POWER(KLmaster,SIGN(G144))*POWER(CHmaster,SIGN(I144))*POWER(FFmaster,SIGN(J144))*POWER(GEmaster,SIGN(K144))*POWER(KOmaster,SIGN(L144))*POWER(KKmaster,SIGN(M144))+I144*POWER(MUmaster,SIGN(F144))*POWER(KLmaster,SIGN(G144))*POWER(INmaster,SIGN(H144))*POWER(FFmaster,SIGN(J144))*POWER(GEmaster,SIGN(K144))*POWER(KOmaster,SIGN(L144))*POWER(KKmaster,SIGN(M144))+J144*POWER(MUmaster,SIGN(F144))*POWER(KLmaster,SIGN(G144))*POWER(INmaster,SIGN(H144))*POWER(CHmaster,SIGN(I144))*POWER(GEmaster,SIGN(K144))*POWER(KOmaster,SIGN(L144))*POWER(KKmaster,SIGN(M144))+K144*POWER(MUmaster,SIGN(F144))*POWER(KLmaster,SIGN(G144))*POWER(INmaster,SIGN(H144))*POWER(CHmaster,SIGN(I144))*POWER(FFmaster,SIGN(J144))*POWER(KOmaster,SIGN(L144))*POWER(KKmaster,SIGN(M144))+L144*POWER(MUmaster,SIGN(F144))*POWER(KLmaster,SIGN(G144))*POWER(INmaster,SIGN(H144))*POWER(CHmaster,SIGN(I144))*POWER(FFmaster,SIGN(J144))*POWER(GEmaster,SIGN(K144))*POWER(KKmaster,SIGN(M144))+M144*POWER(MUmaster,SIGN(F144))*POWER(KLmaster,SIGN(G144))*POWER(INmaster,SIGN(H144))*POWER(CHmaster,SIGN(I144))*POWER(FFmaster,SIGN(J144))*POWER(GEmaster,SIGN(K144))*POWER(KOmaster,SIGN(L144))</f>
        <v>2304</v>
      </c>
      <c r="R144" s="113">
        <f>F144*H144*CHmaster+F144*INmaster*I144+MUmaster*H144*I144</f>
        <v>3456</v>
      </c>
      <c r="S144" s="224">
        <f>IFERROR(F144^SIGN(F144),1)*IFERROR(G144^SIGN(G144),1)*IFERROR(H144^SIGN(H144),1)*IFERROR(I144^SIGN(I144),1)*IFERROR(J144^SIGN(J144),1)*IFERROR(K144^SIGN(K144),1)*IFERROR(L144^SIGN(L144),1)*IFERROR(M144^SIGN(M144),1)</f>
        <v>1728</v>
      </c>
      <c r="T144" s="224">
        <f t="shared" si="1109"/>
        <v>7488</v>
      </c>
      <c r="U144" s="222">
        <f>N144*Q144/T144</f>
        <v>3.6923076923076925</v>
      </c>
      <c r="V144" s="223">
        <f>O144*R144/T144</f>
        <v>11.076923076923077</v>
      </c>
      <c r="W144" s="243">
        <f>P144*S144/T144</f>
        <v>8.3076923076923084</v>
      </c>
      <c r="X144" s="243">
        <f>SUM(U144:W144)</f>
        <v>23.07692307692308</v>
      </c>
      <c r="Y144" s="252">
        <v>0</v>
      </c>
      <c r="Z144" s="198">
        <f>X144-Y144</f>
        <v>23.07692307692308</v>
      </c>
      <c r="AA144" s="125">
        <f>IF(X144&lt;=0,2,0)+IF(X144&gt;0,X144+1,0)*2+IF(X144&gt;12,X144-12,0)*2+IF(X144&gt;13,X144-13,0)*2+IF(X144&gt;14,X144-14,0)*2+IF(X144&gt;15,X144-15,0)*2+IF(X144&gt;16,X144-16,0)*2+IF(X144&gt;17,X144-17,0)*2+IF(X144&gt;18,X144-18,0)*2+IF(X144&gt;19,X144-19,0)*2+IF(X144&gt;20,X144-20,0)*2</f>
        <v>175.5384615384616</v>
      </c>
      <c r="AB144" s="160">
        <f>IF(Y144&lt;=0,2,0)+IF(Y144&gt;0,Y144+1,0)*2+IF(Y144&gt;12,Y144-12,0)*2+IF(Y144&gt;13,Y144-13,0)*2+IF(Y144&gt;14,Y144-14,0)*2+IF(Y144&gt;15,Y144-15,0)*2+IF(Y144&gt;16,Y144-16,0)*2+IF(Y144&gt;17,Y144-17,0)*2+IF(Y144&gt;18,Y144-18,0)*2+IF(Y144&gt;19,Y144-19,0)*2+IF(Y144&gt;20,Y144-20,0)*2</f>
        <v>2</v>
      </c>
      <c r="AC144" s="127">
        <f>IF((AA144-AB144)&gt;0,AA144-AB144,0)</f>
        <v>173.5384615384616</v>
      </c>
      <c r="AD144" s="125">
        <f>IF((AB144-AA144)&gt;0,AB144-AA144,0)</f>
        <v>0</v>
      </c>
      <c r="AF144" s="163" t="s">
        <v>401</v>
      </c>
      <c r="AG144" s="125" t="s">
        <v>86</v>
      </c>
      <c r="AH144" s="127" t="s">
        <v>132</v>
      </c>
      <c r="AI144" s="114">
        <f>Konvention_1slave-MUslave_MU</f>
        <v>11</v>
      </c>
      <c r="AJ144" s="113"/>
      <c r="AK144" s="113">
        <f>Konvention_1slave-INslave</f>
        <v>12</v>
      </c>
      <c r="AL144" s="113">
        <f>Konvention_1slave-CHslave</f>
        <v>12</v>
      </c>
      <c r="AM144" s="113"/>
      <c r="AN144" s="113"/>
      <c r="AO144" s="113"/>
      <c r="AP144" s="119"/>
      <c r="AQ144" s="47">
        <f>(AI144+AJ144+AK144+AL144+AM144+AN144+AO144+AP144)/3</f>
        <v>11.666666666666666</v>
      </c>
      <c r="AR144" s="47">
        <f>2*AQ144</f>
        <v>23.333333333333332</v>
      </c>
      <c r="AS144" s="119">
        <f>3*AQ144</f>
        <v>35</v>
      </c>
      <c r="AT144" s="114">
        <f t="shared" si="1110"/>
        <v>2432</v>
      </c>
      <c r="AU144" s="113">
        <f>AI144*AK144*CHslave+AI144*INslave*AL144+MUslave_MU*AK144*AL144</f>
        <v>3408</v>
      </c>
      <c r="AV144" s="119">
        <f>IFERROR(AI144^SIGN(AI144),1)*IFERROR(AJ144^SIGN(AJ144),1)*IFERROR(AK144^SIGN(AK144),1)*IFERROR(AL144^SIGN(AL144),1)*IFERROR(AM144^SIGN(AM144),1)*IFERROR(AN144^SIGN(AN144),1)*IFERROR(AO144^SIGN(AO144),1)*IFERROR(AP144^SIGN(AP144),1)</f>
        <v>1584</v>
      </c>
      <c r="AW144" s="119">
        <f t="shared" si="1111"/>
        <v>7424</v>
      </c>
      <c r="AX144" s="89">
        <f>AQ144*AT144/AW144</f>
        <v>3.8218390804597702</v>
      </c>
      <c r="AY144" s="47">
        <f>AR144*AU144/AW144</f>
        <v>10.711206896551724</v>
      </c>
      <c r="AZ144" s="127">
        <f>AS144*AV144/AW144</f>
        <v>7.4676724137931032</v>
      </c>
      <c r="BA144" s="127">
        <f>SUM(AX144:AZ144)</f>
        <v>22.000718390804597</v>
      </c>
      <c r="BB144" s="165">
        <f t="shared" si="1112"/>
        <v>0</v>
      </c>
      <c r="BC144" s="198">
        <f>BA144-BB144</f>
        <v>22.000718390804597</v>
      </c>
      <c r="BD144" s="125">
        <f>IF(BA144&lt;=0,2,0)+IF(BA144&gt;0,BA144+1,0)*2+IF(BA144&gt;12,BA144-12,0)*2+IF(BA144&gt;13,BA144-13,0)*2+IF(BA144&gt;14,BA144-14,0)*2+IF(BA144&gt;15,BA144-15,0)*2+IF(BA144&gt;16,BA144-16,0)*2+IF(BA144&gt;17,BA144-17,0)*2+IF(BA144&gt;18,BA144-18,0)*2+IF(BA144&gt;19,BA144-19,0)*2+IF(BA144&gt;20,BA144-20,0)*2</f>
        <v>154.01436781609189</v>
      </c>
      <c r="BE144" s="160">
        <f>IF(BB144&lt;=0,2,0)+IF(BB144&gt;0,BB144+1,0)*2+IF(BB144&gt;12,BB144-12,0)*2+IF(BB144&gt;13,BB144-13,0)*2+IF(BB144&gt;14,BB144-14,0)*2+IF(BB144&gt;15,BB144-15,0)*2+IF(BB144&gt;16,BB144-16,0)*2+IF(BB144&gt;17,BB144-17,0)*2+IF(BB144&gt;18,BB144-18,0)*2+IF(BB144&gt;19,BB144-19,0)*2+IF(BB144&gt;20,BB144-20,0)*2</f>
        <v>2</v>
      </c>
      <c r="BF144" s="243">
        <f>IF((BD144-BE144)&gt;0,BD144-BE144,0)</f>
        <v>152.01436781609189</v>
      </c>
      <c r="BG144" s="218">
        <f>IF((BE144-BD144)&gt;0,BE144-BD144,0)</f>
        <v>0</v>
      </c>
      <c r="BI144" s="303" t="s">
        <v>401</v>
      </c>
      <c r="BJ144" s="218" t="s">
        <v>86</v>
      </c>
      <c r="BK144" s="243" t="s">
        <v>132</v>
      </c>
      <c r="BL144" s="237">
        <f>Konvention_1slave-MUslave</f>
        <v>12</v>
      </c>
      <c r="BM144" s="234"/>
      <c r="BN144" s="234">
        <f>Konvention_1slave-INslave</f>
        <v>12</v>
      </c>
      <c r="BO144" s="234">
        <f>Konvention_1slave-CHslave</f>
        <v>12</v>
      </c>
      <c r="BP144" s="234"/>
      <c r="BQ144" s="234"/>
      <c r="BR144" s="234"/>
      <c r="BS144" s="224"/>
      <c r="BT144" s="223">
        <f>(BL144+BM144+BN144+BO144+BP144+BQ144+BR144+BS144)/3</f>
        <v>12</v>
      </c>
      <c r="BU144" s="223">
        <f>2*BT144</f>
        <v>24</v>
      </c>
      <c r="BV144" s="224">
        <f>3*BT144</f>
        <v>36</v>
      </c>
      <c r="BW144" s="237">
        <f t="shared" si="1113"/>
        <v>2304</v>
      </c>
      <c r="BX144" s="234">
        <f>BL144*BN144*CHslave+BL144*INslave*BO144+MUslave*BN144*BO144</f>
        <v>3456</v>
      </c>
      <c r="BY144" s="224">
        <f>IFERROR(BL144^SIGN(BL144),1)*IFERROR(BM144^SIGN(BM144),1)*IFERROR(BN144^SIGN(BN144),1)*IFERROR(BO144^SIGN(BO144),1)*IFERROR(BP144^SIGN(BP144),1)*IFERROR(BQ144^SIGN(BQ144),1)*IFERROR(BR144^SIGN(BR144),1)*IFERROR(BS144^SIGN(BS144),1)</f>
        <v>1728</v>
      </c>
      <c r="BZ144" s="224">
        <f t="shared" si="1114"/>
        <v>7488</v>
      </c>
      <c r="CA144" s="222">
        <f>BT144*BW144/BZ144</f>
        <v>3.6923076923076925</v>
      </c>
      <c r="CB144" s="223">
        <f>BU144*BX144/BZ144</f>
        <v>11.076923076923077</v>
      </c>
      <c r="CC144" s="243">
        <f>BV144*BY144/BZ144</f>
        <v>8.3076923076923084</v>
      </c>
      <c r="CD144" s="243">
        <f>SUM(CA144:CC144)</f>
        <v>23.07692307692308</v>
      </c>
      <c r="CE144" s="252">
        <f t="shared" si="1115"/>
        <v>0</v>
      </c>
      <c r="CF144" s="309">
        <f>CD144-CE144</f>
        <v>23.07692307692308</v>
      </c>
      <c r="CG144" s="218">
        <f>IF(CD144&lt;=0,2,0)+IF(CD144&gt;0,CD144+1,0)*2+IF(CD144&gt;12,CD144-12,0)*2+IF(CD144&gt;13,CD144-13,0)*2+IF(CD144&gt;14,CD144-14,0)*2+IF(CD144&gt;15,CD144-15,0)*2+IF(CD144&gt;16,CD144-16,0)*2+IF(CD144&gt;17,CD144-17,0)*2+IF(CD144&gt;18,CD144-18,0)*2+IF(CD144&gt;19,CD144-19,0)*2+IF(CD144&gt;20,CD144-20,0)*2</f>
        <v>175.5384615384616</v>
      </c>
      <c r="CH144" s="242">
        <f>IF(CE144&lt;=0,2,0)+IF(CE144&gt;0,CE144+1,0)*2+IF(CE144&gt;12,CE144-12,0)*2+IF(CE144&gt;13,CE144-13,0)*2+IF(CE144&gt;14,CE144-14,0)*2+IF(CE144&gt;15,CE144-15,0)*2+IF(CE144&gt;16,CE144-16,0)*2+IF(CE144&gt;17,CE144-17,0)*2+IF(CE144&gt;18,CE144-18,0)*2+IF(CE144&gt;19,CE144-19,0)*2+IF(CE144&gt;20,CE144-20,0)*2</f>
        <v>2</v>
      </c>
      <c r="CI144" s="243">
        <f>IF((CG144-CH144)&gt;0,CG144-CH144,0)</f>
        <v>173.5384615384616</v>
      </c>
      <c r="CJ144" s="218">
        <f>IF((CH144-CG144)&gt;0,CH144-CG144,0)</f>
        <v>0</v>
      </c>
      <c r="CL144" s="303" t="s">
        <v>401</v>
      </c>
      <c r="CM144" s="218" t="s">
        <v>86</v>
      </c>
      <c r="CN144" s="243" t="s">
        <v>132</v>
      </c>
      <c r="CO144" s="237">
        <f>Konvention_1slave-MUslave</f>
        <v>12</v>
      </c>
      <c r="CP144" s="234"/>
      <c r="CQ144" s="234">
        <f>Konvention_1slave-INslave_IN</f>
        <v>11</v>
      </c>
      <c r="CR144" s="234">
        <f>Konvention_1slave-CHslave</f>
        <v>12</v>
      </c>
      <c r="CS144" s="234"/>
      <c r="CT144" s="234"/>
      <c r="CU144" s="234"/>
      <c r="CV144" s="224"/>
      <c r="CW144" s="223">
        <f>(CO144+CP144+CQ144+CR144+CS144+CT144+CU144+CV144)/3</f>
        <v>11.666666666666666</v>
      </c>
      <c r="CX144" s="223">
        <f>2*CW144</f>
        <v>23.333333333333332</v>
      </c>
      <c r="CY144" s="224">
        <f>3*CW144</f>
        <v>35</v>
      </c>
      <c r="CZ144" s="237">
        <f t="shared" si="1116"/>
        <v>2432</v>
      </c>
      <c r="DA144" s="234">
        <f>CO144*CQ144*CHslave+CO144*INslave_IN*CR144+MUslave*CQ144*CR144</f>
        <v>3408</v>
      </c>
      <c r="DB144" s="224">
        <f>IFERROR(CO144^SIGN(CO144),1)*IFERROR(CP144^SIGN(CP144),1)*IFERROR(CQ144^SIGN(CQ144),1)*IFERROR(CR144^SIGN(CR144),1)*IFERROR(CS144^SIGN(CS144),1)*IFERROR(CT144^SIGN(CT144),1)*IFERROR(CU144^SIGN(CU144),1)*IFERROR(CV144^SIGN(CV144),1)</f>
        <v>1584</v>
      </c>
      <c r="DC144" s="224">
        <f t="shared" si="1117"/>
        <v>7424</v>
      </c>
      <c r="DD144" s="222">
        <f>CW144*CZ144/DC144</f>
        <v>3.8218390804597702</v>
      </c>
      <c r="DE144" s="223">
        <f>CX144*DA144/DC144</f>
        <v>10.711206896551724</v>
      </c>
      <c r="DF144" s="243">
        <f>CY144*DB144/DC144</f>
        <v>7.4676724137931032</v>
      </c>
      <c r="DG144" s="243">
        <f>SUM(DD144:DF144)</f>
        <v>22.000718390804597</v>
      </c>
      <c r="DH144" s="252">
        <f t="shared" si="1118"/>
        <v>0</v>
      </c>
      <c r="DI144" s="309">
        <f>DG144-DH144</f>
        <v>22.000718390804597</v>
      </c>
      <c r="DJ144" s="218">
        <f>IF(DG144&lt;=0,2,0)+IF(DG144&gt;0,DG144+1,0)*2+IF(DG144&gt;12,DG144-12,0)*2+IF(DG144&gt;13,DG144-13,0)*2+IF(DG144&gt;14,DG144-14,0)*2+IF(DG144&gt;15,DG144-15,0)*2+IF(DG144&gt;16,DG144-16,0)*2+IF(DG144&gt;17,DG144-17,0)*2+IF(DG144&gt;18,DG144-18,0)*2+IF(DG144&gt;19,DG144-19,0)*2+IF(DG144&gt;20,DG144-20,0)*2</f>
        <v>154.01436781609189</v>
      </c>
      <c r="DK144" s="242">
        <f>IF(DH144&lt;=0,2,0)+IF(DH144&gt;0,DH144+1,0)*2+IF(DH144&gt;12,DH144-12,0)*2+IF(DH144&gt;13,DH144-13,0)*2+IF(DH144&gt;14,DH144-14,0)*2+IF(DH144&gt;15,DH144-15,0)*2+IF(DH144&gt;16,DH144-16,0)*2+IF(DH144&gt;17,DH144-17,0)*2+IF(DH144&gt;18,DH144-18,0)*2+IF(DH144&gt;19,DH144-19,0)*2+IF(DH144&gt;20,DH144-20,0)*2</f>
        <v>2</v>
      </c>
      <c r="DL144" s="243">
        <f>IF((DJ144-DK144)&gt;0,DJ144-DK144,0)</f>
        <v>152.01436781609189</v>
      </c>
      <c r="DM144" s="218">
        <f>IF((DK144-DJ144)&gt;0,DK144-DJ144,0)</f>
        <v>0</v>
      </c>
      <c r="DO144" s="303" t="s">
        <v>401</v>
      </c>
      <c r="DP144" s="218" t="s">
        <v>86</v>
      </c>
      <c r="DQ144" s="243" t="s">
        <v>132</v>
      </c>
      <c r="DR144" s="237">
        <f>Konvention_1slave-MUslave</f>
        <v>12</v>
      </c>
      <c r="DS144" s="234"/>
      <c r="DT144" s="234">
        <f>Konvention_1slave-INslave</f>
        <v>12</v>
      </c>
      <c r="DU144" s="234">
        <f>Konvention_1slave-CHslave_CH</f>
        <v>11</v>
      </c>
      <c r="DV144" s="234"/>
      <c r="DW144" s="234"/>
      <c r="DX144" s="234"/>
      <c r="DY144" s="224"/>
      <c r="DZ144" s="223">
        <f>(DR144+DS144+DT144+DU144+DV144+DW144+DX144+DY144)/3</f>
        <v>11.666666666666666</v>
      </c>
      <c r="EA144" s="223">
        <f>2*DZ144</f>
        <v>23.333333333333332</v>
      </c>
      <c r="EB144" s="224">
        <f>3*DZ144</f>
        <v>35</v>
      </c>
      <c r="EC144" s="237">
        <f t="shared" si="1119"/>
        <v>2432</v>
      </c>
      <c r="ED144" s="234">
        <f>DR144*DT144*CHslave_CH+DR144*INslave*DU144+MUslave*DT144*DU144</f>
        <v>3408</v>
      </c>
      <c r="EE144" s="224">
        <f>IFERROR(DR144^SIGN(DR144),1)*IFERROR(DS144^SIGN(DS144),1)*IFERROR(DT144^SIGN(DT144),1)*IFERROR(DU144^SIGN(DU144),1)*IFERROR(DV144^SIGN(DV144),1)*IFERROR(DW144^SIGN(DW144),1)*IFERROR(DX144^SIGN(DX144),1)*IFERROR(DY144^SIGN(DY144),1)</f>
        <v>1584</v>
      </c>
      <c r="EF144" s="224">
        <f t="shared" si="1120"/>
        <v>7424</v>
      </c>
      <c r="EG144" s="222">
        <f>DZ144*EC144/EF144</f>
        <v>3.8218390804597702</v>
      </c>
      <c r="EH144" s="223">
        <f>EA144*ED144/EF144</f>
        <v>10.711206896551724</v>
      </c>
      <c r="EI144" s="243">
        <f>EB144*EE144/EF144</f>
        <v>7.4676724137931032</v>
      </c>
      <c r="EJ144" s="243">
        <f>SUM(EG144:EI144)</f>
        <v>22.000718390804597</v>
      </c>
      <c r="EK144" s="252">
        <f t="shared" si="1121"/>
        <v>0</v>
      </c>
      <c r="EL144" s="309">
        <f>EJ144-EK144</f>
        <v>22.000718390804597</v>
      </c>
      <c r="EM144" s="218">
        <f>IF(EJ144&lt;=0,2,0)+IF(EJ144&gt;0,EJ144+1,0)*2+IF(EJ144&gt;12,EJ144-12,0)*2+IF(EJ144&gt;13,EJ144-13,0)*2+IF(EJ144&gt;14,EJ144-14,0)*2+IF(EJ144&gt;15,EJ144-15,0)*2+IF(EJ144&gt;16,EJ144-16,0)*2+IF(EJ144&gt;17,EJ144-17,0)*2+IF(EJ144&gt;18,EJ144-18,0)*2+IF(EJ144&gt;19,EJ144-19,0)*2+IF(EJ144&gt;20,EJ144-20,0)*2</f>
        <v>154.01436781609189</v>
      </c>
      <c r="EN144" s="242">
        <f>IF(EK144&lt;=0,2,0)+IF(EK144&gt;0,EK144+1,0)*2+IF(EK144&gt;12,EK144-12,0)*2+IF(EK144&gt;13,EK144-13,0)*2+IF(EK144&gt;14,EK144-14,0)*2+IF(EK144&gt;15,EK144-15,0)*2+IF(EK144&gt;16,EK144-16,0)*2+IF(EK144&gt;17,EK144-17,0)*2+IF(EK144&gt;18,EK144-18,0)*2+IF(EK144&gt;19,EK144-19,0)*2+IF(EK144&gt;20,EK144-20,0)*2</f>
        <v>2</v>
      </c>
      <c r="EO144" s="243">
        <f>IF((EM144-EN144)&gt;0,EM144-EN144,0)</f>
        <v>152.01436781609189</v>
      </c>
      <c r="EP144" s="218">
        <f>IF((EN144-EM144)&gt;0,EN144-EM144,0)</f>
        <v>0</v>
      </c>
      <c r="ER144" s="303" t="s">
        <v>401</v>
      </c>
      <c r="ES144" s="218" t="s">
        <v>86</v>
      </c>
      <c r="ET144" s="243" t="s">
        <v>132</v>
      </c>
      <c r="EU144" s="237">
        <f>Konvention_1slave-MUslave</f>
        <v>12</v>
      </c>
      <c r="EV144" s="234"/>
      <c r="EW144" s="234">
        <f>Konvention_1slave-INslave</f>
        <v>12</v>
      </c>
      <c r="EX144" s="234">
        <f>Konvention_1slave-CHslave</f>
        <v>12</v>
      </c>
      <c r="EY144" s="234"/>
      <c r="EZ144" s="234"/>
      <c r="FA144" s="234"/>
      <c r="FB144" s="224"/>
      <c r="FC144" s="223">
        <f>(EU144+EV144+EW144+EX144+EY144+EZ144+FA144+FB144)/3</f>
        <v>12</v>
      </c>
      <c r="FD144" s="223">
        <f>2*FC144</f>
        <v>24</v>
      </c>
      <c r="FE144" s="224">
        <f>3*FC144</f>
        <v>36</v>
      </c>
      <c r="FF144" s="237">
        <f t="shared" si="1122"/>
        <v>2304</v>
      </c>
      <c r="FG144" s="234">
        <f>EU144*EW144*CHslave+EU144*INslave*EX144+MUslave*EW144*EX144</f>
        <v>3456</v>
      </c>
      <c r="FH144" s="224">
        <f>IFERROR(EU144^SIGN(EU144),1)*IFERROR(EV144^SIGN(EV144),1)*IFERROR(EW144^SIGN(EW144),1)*IFERROR(EX144^SIGN(EX144),1)*IFERROR(EY144^SIGN(EY144),1)*IFERROR(EZ144^SIGN(EZ144),1)*IFERROR(FA144^SIGN(FA144),1)*IFERROR(FB144^SIGN(FB144),1)</f>
        <v>1728</v>
      </c>
      <c r="FI144" s="224">
        <f t="shared" si="1123"/>
        <v>7488</v>
      </c>
      <c r="FJ144" s="222">
        <f>FC144*FF144/FI144</f>
        <v>3.6923076923076925</v>
      </c>
      <c r="FK144" s="223">
        <f>FD144*FG144/FI144</f>
        <v>11.076923076923077</v>
      </c>
      <c r="FL144" s="243">
        <f>FE144*FH144/FI144</f>
        <v>8.3076923076923084</v>
      </c>
      <c r="FM144" s="243">
        <f>SUM(FJ144:FL144)</f>
        <v>23.07692307692308</v>
      </c>
      <c r="FN144" s="252">
        <f t="shared" si="1124"/>
        <v>0</v>
      </c>
      <c r="FO144" s="309">
        <f>FM144-FN144</f>
        <v>23.07692307692308</v>
      </c>
      <c r="FP144" s="218">
        <f>IF(FM144&lt;=0,2,0)+IF(FM144&gt;0,FM144+1,0)*2+IF(FM144&gt;12,FM144-12,0)*2+IF(FM144&gt;13,FM144-13,0)*2+IF(FM144&gt;14,FM144-14,0)*2+IF(FM144&gt;15,FM144-15,0)*2+IF(FM144&gt;16,FM144-16,0)*2+IF(FM144&gt;17,FM144-17,0)*2+IF(FM144&gt;18,FM144-18,0)*2+IF(FM144&gt;19,FM144-19,0)*2+IF(FM144&gt;20,FM144-20,0)*2</f>
        <v>175.5384615384616</v>
      </c>
      <c r="FQ144" s="242">
        <f>IF(FN144&lt;=0,2,0)+IF(FN144&gt;0,FN144+1,0)*2+IF(FN144&gt;12,FN144-12,0)*2+IF(FN144&gt;13,FN144-13,0)*2+IF(FN144&gt;14,FN144-14,0)*2+IF(FN144&gt;15,FN144-15,0)*2+IF(FN144&gt;16,FN144-16,0)*2+IF(FN144&gt;17,FN144-17,0)*2+IF(FN144&gt;18,FN144-18,0)*2+IF(FN144&gt;19,FN144-19,0)*2+IF(FN144&gt;20,FN144-20,0)*2</f>
        <v>2</v>
      </c>
      <c r="FR144" s="243">
        <f>IF((FP144-FQ144)&gt;0,FP144-FQ144,0)</f>
        <v>173.5384615384616</v>
      </c>
      <c r="FS144" s="218">
        <f>IF((FQ144-FP144)&gt;0,FQ144-FP144,0)</f>
        <v>0</v>
      </c>
      <c r="FU144" s="303" t="s">
        <v>401</v>
      </c>
      <c r="FV144" s="218" t="s">
        <v>86</v>
      </c>
      <c r="FW144" s="243" t="s">
        <v>132</v>
      </c>
      <c r="FX144" s="237">
        <f>Konvention_1slave-MUslave</f>
        <v>12</v>
      </c>
      <c r="FY144" s="234"/>
      <c r="FZ144" s="234">
        <f>Konvention_1slave-INslave</f>
        <v>12</v>
      </c>
      <c r="GA144" s="234">
        <f>Konvention_1slave-CHslave</f>
        <v>12</v>
      </c>
      <c r="GB144" s="234"/>
      <c r="GC144" s="234"/>
      <c r="GD144" s="234"/>
      <c r="GE144" s="224"/>
      <c r="GF144" s="223">
        <f>(FX144+FY144+FZ144+GA144+GB144+GC144+GD144+GE144)/3</f>
        <v>12</v>
      </c>
      <c r="GG144" s="223">
        <f>2*GF144</f>
        <v>24</v>
      </c>
      <c r="GH144" s="224">
        <f>3*GF144</f>
        <v>36</v>
      </c>
      <c r="GI144" s="237">
        <f t="shared" si="1125"/>
        <v>2304</v>
      </c>
      <c r="GJ144" s="234">
        <f>FX144*FZ144*CHslave+FX144*INslave*GA144+MUslave*FZ144*GA144</f>
        <v>3456</v>
      </c>
      <c r="GK144" s="224">
        <f>IFERROR(FX144^SIGN(FX144),1)*IFERROR(FY144^SIGN(FY144),1)*IFERROR(FZ144^SIGN(FZ144),1)*IFERROR(GA144^SIGN(GA144),1)*IFERROR(GB144^SIGN(GB144),1)*IFERROR(GC144^SIGN(GC144),1)*IFERROR(GD144^SIGN(GD144),1)*IFERROR(GE144^SIGN(GE144),1)</f>
        <v>1728</v>
      </c>
      <c r="GL144" s="224">
        <f t="shared" si="1126"/>
        <v>7488</v>
      </c>
      <c r="GM144" s="222">
        <f>GF144*GI144/GL144</f>
        <v>3.6923076923076925</v>
      </c>
      <c r="GN144" s="223">
        <f>GG144*GJ144/GL144</f>
        <v>11.076923076923077</v>
      </c>
      <c r="GO144" s="243">
        <f>GH144*GK144/GL144</f>
        <v>8.3076923076923084</v>
      </c>
      <c r="GP144" s="243">
        <f>SUM(GM144:GO144)</f>
        <v>23.07692307692308</v>
      </c>
      <c r="GQ144" s="252">
        <f t="shared" si="1127"/>
        <v>0</v>
      </c>
      <c r="GR144" s="309">
        <f>GP144-GQ144</f>
        <v>23.07692307692308</v>
      </c>
      <c r="GS144" s="218">
        <f>IF(GP144&lt;=0,2,0)+IF(GP144&gt;0,GP144+1,0)*2+IF(GP144&gt;12,GP144-12,0)*2+IF(GP144&gt;13,GP144-13,0)*2+IF(GP144&gt;14,GP144-14,0)*2+IF(GP144&gt;15,GP144-15,0)*2+IF(GP144&gt;16,GP144-16,0)*2+IF(GP144&gt;17,GP144-17,0)*2+IF(GP144&gt;18,GP144-18,0)*2+IF(GP144&gt;19,GP144-19,0)*2+IF(GP144&gt;20,GP144-20,0)*2</f>
        <v>175.5384615384616</v>
      </c>
      <c r="GT144" s="242">
        <f>IF(GQ144&lt;=0,2,0)+IF(GQ144&gt;0,GQ144+1,0)*2+IF(GQ144&gt;12,GQ144-12,0)*2+IF(GQ144&gt;13,GQ144-13,0)*2+IF(GQ144&gt;14,GQ144-14,0)*2+IF(GQ144&gt;15,GQ144-15,0)*2+IF(GQ144&gt;16,GQ144-16,0)*2+IF(GQ144&gt;17,GQ144-17,0)*2+IF(GQ144&gt;18,GQ144-18,0)*2+IF(GQ144&gt;19,GQ144-19,0)*2+IF(GQ144&gt;20,GQ144-20,0)*2</f>
        <v>2</v>
      </c>
      <c r="GU144" s="243">
        <f>IF((GS144-GT144)&gt;0,GS144-GT144,0)</f>
        <v>173.5384615384616</v>
      </c>
      <c r="GV144" s="218">
        <f>IF((GT144-GS144)&gt;0,GT144-GS144,0)</f>
        <v>0</v>
      </c>
      <c r="GX144" s="303" t="s">
        <v>401</v>
      </c>
      <c r="GY144" s="218" t="s">
        <v>86</v>
      </c>
      <c r="GZ144" s="243" t="s">
        <v>132</v>
      </c>
      <c r="HA144" s="237">
        <f>Konvention_1slave-MUslave</f>
        <v>12</v>
      </c>
      <c r="HB144" s="234"/>
      <c r="HC144" s="234">
        <f>Konvention_1slave-INslave</f>
        <v>12</v>
      </c>
      <c r="HD144" s="234">
        <f>Konvention_1slave-CHslave</f>
        <v>12</v>
      </c>
      <c r="HE144" s="234"/>
      <c r="HF144" s="234"/>
      <c r="HG144" s="234"/>
      <c r="HH144" s="224"/>
      <c r="HI144" s="223">
        <f>(HA144+HB144+HC144+HD144+HE144+HF144+HG144+HH144)/3</f>
        <v>12</v>
      </c>
      <c r="HJ144" s="223">
        <f>2*HI144</f>
        <v>24</v>
      </c>
      <c r="HK144" s="224">
        <f>3*HI144</f>
        <v>36</v>
      </c>
      <c r="HL144" s="237">
        <f t="shared" si="1128"/>
        <v>2304</v>
      </c>
      <c r="HM144" s="234">
        <f>HA144*HC144*CHslave+HA144*INslave*HD144+MUslave*HC144*HD144</f>
        <v>3456</v>
      </c>
      <c r="HN144" s="224">
        <f>IFERROR(HA144^SIGN(HA144),1)*IFERROR(HB144^SIGN(HB144),1)*IFERROR(HC144^SIGN(HC144),1)*IFERROR(HD144^SIGN(HD144),1)*IFERROR(HE144^SIGN(HE144),1)*IFERROR(HF144^SIGN(HF144),1)*IFERROR(HG144^SIGN(HG144),1)*IFERROR(HH144^SIGN(HH144),1)</f>
        <v>1728</v>
      </c>
      <c r="HO144" s="224">
        <f t="shared" si="1129"/>
        <v>7488</v>
      </c>
      <c r="HP144" s="222">
        <f>HI144*HL144/HO144</f>
        <v>3.6923076923076925</v>
      </c>
      <c r="HQ144" s="223">
        <f>HJ144*HM144/HO144</f>
        <v>11.076923076923077</v>
      </c>
      <c r="HR144" s="243">
        <f>HK144*HN144/HO144</f>
        <v>8.3076923076923084</v>
      </c>
      <c r="HS144" s="243">
        <f>SUM(HP144:HR144)</f>
        <v>23.07692307692308</v>
      </c>
      <c r="HT144" s="252">
        <f t="shared" si="1130"/>
        <v>0</v>
      </c>
      <c r="HU144" s="309">
        <f>HS144-HT144</f>
        <v>23.07692307692308</v>
      </c>
      <c r="HV144" s="218">
        <f>IF(HS144&lt;=0,2,0)+IF(HS144&gt;0,HS144+1,0)*2+IF(HS144&gt;12,HS144-12,0)*2+IF(HS144&gt;13,HS144-13,0)*2+IF(HS144&gt;14,HS144-14,0)*2+IF(HS144&gt;15,HS144-15,0)*2+IF(HS144&gt;16,HS144-16,0)*2+IF(HS144&gt;17,HS144-17,0)*2+IF(HS144&gt;18,HS144-18,0)*2+IF(HS144&gt;19,HS144-19,0)*2+IF(HS144&gt;20,HS144-20,0)*2</f>
        <v>175.5384615384616</v>
      </c>
      <c r="HW144" s="242">
        <f>IF(HT144&lt;=0,2,0)+IF(HT144&gt;0,HT144+1,0)*2+IF(HT144&gt;12,HT144-12,0)*2+IF(HT144&gt;13,HT144-13,0)*2+IF(HT144&gt;14,HT144-14,0)*2+IF(HT144&gt;15,HT144-15,0)*2+IF(HT144&gt;16,HT144-16,0)*2+IF(HT144&gt;17,HT144-17,0)*2+IF(HT144&gt;18,HT144-18,0)*2+IF(HT144&gt;19,HT144-19,0)*2+IF(HT144&gt;20,HT144-20,0)*2</f>
        <v>2</v>
      </c>
      <c r="HX144" s="243">
        <f>IF((HV144-HW144)&gt;0,HV144-HW144,0)</f>
        <v>173.5384615384616</v>
      </c>
      <c r="HY144" s="218">
        <f>IF((HW144-HV144)&gt;0,HW144-HV144,0)</f>
        <v>0</v>
      </c>
      <c r="IA144" s="303" t="s">
        <v>401</v>
      </c>
      <c r="IB144" s="218" t="s">
        <v>86</v>
      </c>
      <c r="IC144" s="243" t="s">
        <v>132</v>
      </c>
      <c r="ID144" s="237">
        <f>Konvention_1slave-MUslave</f>
        <v>12</v>
      </c>
      <c r="IE144" s="234"/>
      <c r="IF144" s="234">
        <f>Konvention_1slave-INslave</f>
        <v>12</v>
      </c>
      <c r="IG144" s="234">
        <f>Konvention_1slave-CHslave</f>
        <v>12</v>
      </c>
      <c r="IH144" s="234"/>
      <c r="II144" s="234"/>
      <c r="IJ144" s="234"/>
      <c r="IK144" s="224"/>
      <c r="IL144" s="223">
        <f>(ID144+IE144+IF144+IG144+IH144+II144+IJ144+IK144)/3</f>
        <v>12</v>
      </c>
      <c r="IM144" s="223">
        <f>2*IL144</f>
        <v>24</v>
      </c>
      <c r="IN144" s="224">
        <f>3*IL144</f>
        <v>36</v>
      </c>
      <c r="IO144" s="237">
        <f t="shared" si="1131"/>
        <v>2304</v>
      </c>
      <c r="IP144" s="234">
        <f>ID144*IF144*CHslave+ID144*INslave*IG144+MUslave*IF144*IG144</f>
        <v>3456</v>
      </c>
      <c r="IQ144" s="224">
        <f>IFERROR(ID144^SIGN(ID144),1)*IFERROR(IE144^SIGN(IE144),1)*IFERROR(IF144^SIGN(IF144),1)*IFERROR(IG144^SIGN(IG144),1)*IFERROR(IH144^SIGN(IH144),1)*IFERROR(II144^SIGN(II144),1)*IFERROR(IJ144^SIGN(IJ144),1)*IFERROR(IK144^SIGN(IK144),1)</f>
        <v>1728</v>
      </c>
      <c r="IR144" s="224">
        <f t="shared" si="1132"/>
        <v>7488</v>
      </c>
      <c r="IS144" s="222">
        <f>IL144*IO144/IR144</f>
        <v>3.6923076923076925</v>
      </c>
      <c r="IT144" s="223">
        <f>IM144*IP144/IR144</f>
        <v>11.076923076923077</v>
      </c>
      <c r="IU144" s="243">
        <f>IN144*IQ144/IR144</f>
        <v>8.3076923076923084</v>
      </c>
      <c r="IV144" s="243">
        <f>SUM(IS144:IU144)</f>
        <v>23.07692307692308</v>
      </c>
      <c r="IW144" s="252">
        <f t="shared" si="1133"/>
        <v>0</v>
      </c>
      <c r="IX144" s="309">
        <f>IV144-IW144</f>
        <v>23.07692307692308</v>
      </c>
      <c r="IY144" s="218">
        <f>IF(IV144&lt;=0,2,0)+IF(IV144&gt;0,IV144+1,0)*2+IF(IV144&gt;12,IV144-12,0)*2+IF(IV144&gt;13,IV144-13,0)*2+IF(IV144&gt;14,IV144-14,0)*2+IF(IV144&gt;15,IV144-15,0)*2+IF(IV144&gt;16,IV144-16,0)*2+IF(IV144&gt;17,IV144-17,0)*2+IF(IV144&gt;18,IV144-18,0)*2+IF(IV144&gt;19,IV144-19,0)*2+IF(IV144&gt;20,IV144-20,0)*2</f>
        <v>175.5384615384616</v>
      </c>
      <c r="IZ144" s="242">
        <f>IF(IW144&lt;=0,2,0)+IF(IW144&gt;0,IW144+1,0)*2+IF(IW144&gt;12,IW144-12,0)*2+IF(IW144&gt;13,IW144-13,0)*2+IF(IW144&gt;14,IW144-14,0)*2+IF(IW144&gt;15,IW144-15,0)*2+IF(IW144&gt;16,IW144-16,0)*2+IF(IW144&gt;17,IW144-17,0)*2+IF(IW144&gt;18,IW144-18,0)*2+IF(IW144&gt;19,IW144-19,0)*2+IF(IW144&gt;20,IW144-20,0)*2</f>
        <v>2</v>
      </c>
      <c r="JA144" s="243">
        <f>IF((IY144-IZ144)&gt;0,IY144-IZ144,0)</f>
        <v>173.5384615384616</v>
      </c>
      <c r="JB144" s="218">
        <f>IF((IZ144-IY144)&gt;0,IZ144-IY144,0)</f>
        <v>0</v>
      </c>
      <c r="JE144" s="148"/>
    </row>
    <row r="145" spans="2:265" ht="15" hidden="1" customHeight="1" outlineLevel="2">
      <c r="B145" s="148">
        <v>18</v>
      </c>
      <c r="C145" s="303" t="e">
        <f>VLOOKUP(AF145,Attribute!C:T,1,FALSE)</f>
        <v>#N/A</v>
      </c>
      <c r="D145" s="125" t="s">
        <v>89</v>
      </c>
      <c r="E145" s="127" t="s">
        <v>132</v>
      </c>
      <c r="F145" s="114"/>
      <c r="G145" s="113">
        <f>Konvention_1master-KLmaster</f>
        <v>12</v>
      </c>
      <c r="H145" s="113"/>
      <c r="I145" s="113"/>
      <c r="J145" s="113">
        <f>Konvention_1master-FFmaster</f>
        <v>12</v>
      </c>
      <c r="K145" s="113"/>
      <c r="L145" s="113"/>
      <c r="M145" s="119">
        <f>Konvention_1master-KKmaster</f>
        <v>12</v>
      </c>
      <c r="N145" s="223">
        <f t="shared" si="1134"/>
        <v>12</v>
      </c>
      <c r="O145" s="223">
        <f t="shared" si="1135"/>
        <v>24</v>
      </c>
      <c r="P145" s="224">
        <f t="shared" si="1136"/>
        <v>36</v>
      </c>
      <c r="Q145" s="237">
        <f t="shared" si="1137"/>
        <v>2304</v>
      </c>
      <c r="R145" s="113">
        <f>G145*J145*KKmaster+G145*FFmaster*M145+KLmaster*J145*M145</f>
        <v>3456</v>
      </c>
      <c r="S145" s="224">
        <f t="shared" si="1138"/>
        <v>1728</v>
      </c>
      <c r="T145" s="224">
        <f t="shared" si="1109"/>
        <v>7488</v>
      </c>
      <c r="U145" s="222">
        <f t="shared" si="1139"/>
        <v>3.6923076923076925</v>
      </c>
      <c r="V145" s="223">
        <f t="shared" si="1140"/>
        <v>11.076923076923077</v>
      </c>
      <c r="W145" s="243">
        <f t="shared" si="1141"/>
        <v>8.3076923076923084</v>
      </c>
      <c r="X145" s="243">
        <f t="shared" si="1142"/>
        <v>23.07692307692308</v>
      </c>
      <c r="Y145" s="252">
        <v>0</v>
      </c>
      <c r="Z145" s="198">
        <f t="shared" si="1143"/>
        <v>23.07692307692308</v>
      </c>
      <c r="AA145" s="125">
        <f>IF(X145&lt;=0,2,0)+IF(X145&gt;0,X145+1,0)*2+IF(X145&gt;12,X145-12,0)*2+IF(X145&gt;13,X145-13,0)*2+IF(X145&gt;14,X145-14,0)*2+IF(X145&gt;15,X145-15,0)*2+IF(X145&gt;16,X145-16,0)*2+IF(X145&gt;17,X145-17,0)*2+IF(X145&gt;18,X145-18,0)*2+IF(X145&gt;19,X145-19,0)*2+IF(X145&gt;20,X145-20,0)*2</f>
        <v>175.5384615384616</v>
      </c>
      <c r="AB145" s="160">
        <f>IF(Y145&lt;=0,2,0)+IF(Y145&gt;0,Y145+1,0)*2+IF(Y145&gt;12,Y145-12,0)*2+IF(Y145&gt;13,Y145-13,0)*2+IF(Y145&gt;14,Y145-14,0)*2+IF(Y145&gt;15,Y145-15,0)*2+IF(Y145&gt;16,Y145-16,0)*2+IF(Y145&gt;17,Y145-17,0)*2+IF(Y145&gt;18,Y145-18,0)*2+IF(Y145&gt;19,Y145-19,0)*2+IF(Y145&gt;20,Y145-20,0)*2</f>
        <v>2</v>
      </c>
      <c r="AC145" s="127">
        <f t="shared" si="1144"/>
        <v>173.5384615384616</v>
      </c>
      <c r="AD145" s="125">
        <f t="shared" si="1145"/>
        <v>0</v>
      </c>
      <c r="AF145" s="163" t="s">
        <v>219</v>
      </c>
      <c r="AG145" s="125" t="s">
        <v>89</v>
      </c>
      <c r="AH145" s="127" t="s">
        <v>132</v>
      </c>
      <c r="AI145" s="114"/>
      <c r="AJ145" s="113">
        <f>Konvention_1slave-KLslave</f>
        <v>12</v>
      </c>
      <c r="AK145" s="113"/>
      <c r="AL145" s="113"/>
      <c r="AM145" s="113">
        <f>Konvention_1slave-FFslave</f>
        <v>12</v>
      </c>
      <c r="AN145" s="113"/>
      <c r="AO145" s="113"/>
      <c r="AP145" s="119">
        <f>Konvention_1slave-KKslave</f>
        <v>12</v>
      </c>
      <c r="AQ145" s="47">
        <f t="shared" si="1146"/>
        <v>12</v>
      </c>
      <c r="AR145" s="47">
        <f t="shared" si="1147"/>
        <v>24</v>
      </c>
      <c r="AS145" s="119">
        <f t="shared" si="1148"/>
        <v>36</v>
      </c>
      <c r="AT145" s="114">
        <f t="shared" si="1110"/>
        <v>2304</v>
      </c>
      <c r="AU145" s="113">
        <f>AJ145*AM145*KKslave+AJ145*FFslave*AP145+KLslave*AM145*AP145</f>
        <v>3456</v>
      </c>
      <c r="AV145" s="119">
        <f t="shared" si="1149"/>
        <v>1728</v>
      </c>
      <c r="AW145" s="119">
        <f t="shared" si="1111"/>
        <v>7488</v>
      </c>
      <c r="AX145" s="89">
        <f t="shared" si="1150"/>
        <v>3.6923076923076925</v>
      </c>
      <c r="AY145" s="47">
        <f t="shared" si="1151"/>
        <v>11.076923076923077</v>
      </c>
      <c r="AZ145" s="127">
        <f t="shared" si="1152"/>
        <v>8.3076923076923084</v>
      </c>
      <c r="BA145" s="127">
        <f t="shared" si="1153"/>
        <v>23.07692307692308</v>
      </c>
      <c r="BB145" s="165">
        <f t="shared" si="1112"/>
        <v>0</v>
      </c>
      <c r="BC145" s="198">
        <f t="shared" si="1154"/>
        <v>23.07692307692308</v>
      </c>
      <c r="BD145" s="125">
        <f>IF(BA145&lt;=0,2,0)+IF(BA145&gt;0,BA145+1,0)*2+IF(BA145&gt;12,BA145-12,0)*2+IF(BA145&gt;13,BA145-13,0)*2+IF(BA145&gt;14,BA145-14,0)*2+IF(BA145&gt;15,BA145-15,0)*2+IF(BA145&gt;16,BA145-16,0)*2+IF(BA145&gt;17,BA145-17,0)*2+IF(BA145&gt;18,BA145-18,0)*2+IF(BA145&gt;19,BA145-19,0)*2+IF(BA145&gt;20,BA145-20,0)*2</f>
        <v>175.5384615384616</v>
      </c>
      <c r="BE145" s="160">
        <f>IF(BB145&lt;=0,2,0)+IF(BB145&gt;0,BB145+1,0)*2+IF(BB145&gt;12,BB145-12,0)*2+IF(BB145&gt;13,BB145-13,0)*2+IF(BB145&gt;14,BB145-14,0)*2+IF(BB145&gt;15,BB145-15,0)*2+IF(BB145&gt;16,BB145-16,0)*2+IF(BB145&gt;17,BB145-17,0)*2+IF(BB145&gt;18,BB145-18,0)*2+IF(BB145&gt;19,BB145-19,0)*2+IF(BB145&gt;20,BB145-20,0)*2</f>
        <v>2</v>
      </c>
      <c r="BF145" s="243">
        <f t="shared" si="1155"/>
        <v>173.5384615384616</v>
      </c>
      <c r="BG145" s="218">
        <f t="shared" si="1156"/>
        <v>0</v>
      </c>
      <c r="BI145" s="303" t="s">
        <v>219</v>
      </c>
      <c r="BJ145" s="218" t="s">
        <v>89</v>
      </c>
      <c r="BK145" s="243" t="s">
        <v>132</v>
      </c>
      <c r="BL145" s="237"/>
      <c r="BM145" s="234">
        <f>Konvention_1slave-KLslave_KL</f>
        <v>11</v>
      </c>
      <c r="BN145" s="234"/>
      <c r="BO145" s="234"/>
      <c r="BP145" s="234">
        <f>Konvention_1slave-FFslave</f>
        <v>12</v>
      </c>
      <c r="BQ145" s="234"/>
      <c r="BR145" s="234"/>
      <c r="BS145" s="224">
        <f>Konvention_1slave-KKslave</f>
        <v>12</v>
      </c>
      <c r="BT145" s="223">
        <f t="shared" si="1157"/>
        <v>11.666666666666666</v>
      </c>
      <c r="BU145" s="223">
        <f t="shared" si="1158"/>
        <v>23.333333333333332</v>
      </c>
      <c r="BV145" s="224">
        <f t="shared" si="1159"/>
        <v>35</v>
      </c>
      <c r="BW145" s="237">
        <f t="shared" si="1113"/>
        <v>2432</v>
      </c>
      <c r="BX145" s="234">
        <f>BM145*BP145*KKslave+BM145*FFslave*BS145+KLslave_KL*BP145*BS145</f>
        <v>3408</v>
      </c>
      <c r="BY145" s="224">
        <f t="shared" si="1160"/>
        <v>1584</v>
      </c>
      <c r="BZ145" s="224">
        <f t="shared" si="1114"/>
        <v>7424</v>
      </c>
      <c r="CA145" s="222">
        <f t="shared" si="1161"/>
        <v>3.8218390804597702</v>
      </c>
      <c r="CB145" s="223">
        <f t="shared" si="1162"/>
        <v>10.711206896551724</v>
      </c>
      <c r="CC145" s="243">
        <f t="shared" si="1163"/>
        <v>7.4676724137931032</v>
      </c>
      <c r="CD145" s="243">
        <f t="shared" si="1164"/>
        <v>22.000718390804597</v>
      </c>
      <c r="CE145" s="252">
        <f t="shared" si="1115"/>
        <v>0</v>
      </c>
      <c r="CF145" s="309">
        <f t="shared" si="1165"/>
        <v>22.000718390804597</v>
      </c>
      <c r="CG145" s="218">
        <f>IF(CD145&lt;=0,2,0)+IF(CD145&gt;0,CD145+1,0)*2+IF(CD145&gt;12,CD145-12,0)*2+IF(CD145&gt;13,CD145-13,0)*2+IF(CD145&gt;14,CD145-14,0)*2+IF(CD145&gt;15,CD145-15,0)*2+IF(CD145&gt;16,CD145-16,0)*2+IF(CD145&gt;17,CD145-17,0)*2+IF(CD145&gt;18,CD145-18,0)*2+IF(CD145&gt;19,CD145-19,0)*2+IF(CD145&gt;20,CD145-20,0)*2</f>
        <v>154.01436781609189</v>
      </c>
      <c r="CH145" s="242">
        <f>IF(CE145&lt;=0,2,0)+IF(CE145&gt;0,CE145+1,0)*2+IF(CE145&gt;12,CE145-12,0)*2+IF(CE145&gt;13,CE145-13,0)*2+IF(CE145&gt;14,CE145-14,0)*2+IF(CE145&gt;15,CE145-15,0)*2+IF(CE145&gt;16,CE145-16,0)*2+IF(CE145&gt;17,CE145-17,0)*2+IF(CE145&gt;18,CE145-18,0)*2+IF(CE145&gt;19,CE145-19,0)*2+IF(CE145&gt;20,CE145-20,0)*2</f>
        <v>2</v>
      </c>
      <c r="CI145" s="243">
        <f t="shared" si="1166"/>
        <v>152.01436781609189</v>
      </c>
      <c r="CJ145" s="218">
        <f t="shared" si="1167"/>
        <v>0</v>
      </c>
      <c r="CL145" s="303" t="s">
        <v>219</v>
      </c>
      <c r="CM145" s="218" t="s">
        <v>89</v>
      </c>
      <c r="CN145" s="243" t="s">
        <v>132</v>
      </c>
      <c r="CO145" s="237"/>
      <c r="CP145" s="234">
        <f>Konvention_1slave-KLslave</f>
        <v>12</v>
      </c>
      <c r="CQ145" s="234"/>
      <c r="CR145" s="234"/>
      <c r="CS145" s="234">
        <f>Konvention_1slave-FFslave</f>
        <v>12</v>
      </c>
      <c r="CT145" s="234"/>
      <c r="CU145" s="234"/>
      <c r="CV145" s="224">
        <f>Konvention_1slave-KKslave</f>
        <v>12</v>
      </c>
      <c r="CW145" s="223">
        <f t="shared" si="1168"/>
        <v>12</v>
      </c>
      <c r="CX145" s="223">
        <f t="shared" si="1169"/>
        <v>24</v>
      </c>
      <c r="CY145" s="224">
        <f t="shared" si="1170"/>
        <v>36</v>
      </c>
      <c r="CZ145" s="237">
        <f t="shared" si="1116"/>
        <v>2304</v>
      </c>
      <c r="DA145" s="234">
        <f>CP145*CS145*KKslave+CP145*FFslave*CV145+KLslave*CS145*CV145</f>
        <v>3456</v>
      </c>
      <c r="DB145" s="224">
        <f t="shared" si="1171"/>
        <v>1728</v>
      </c>
      <c r="DC145" s="224">
        <f t="shared" si="1117"/>
        <v>7488</v>
      </c>
      <c r="DD145" s="222">
        <f t="shared" si="1172"/>
        <v>3.6923076923076925</v>
      </c>
      <c r="DE145" s="223">
        <f t="shared" si="1173"/>
        <v>11.076923076923077</v>
      </c>
      <c r="DF145" s="243">
        <f t="shared" si="1174"/>
        <v>8.3076923076923084</v>
      </c>
      <c r="DG145" s="243">
        <f t="shared" si="1175"/>
        <v>23.07692307692308</v>
      </c>
      <c r="DH145" s="252">
        <f t="shared" si="1118"/>
        <v>0</v>
      </c>
      <c r="DI145" s="309">
        <f t="shared" si="1176"/>
        <v>23.07692307692308</v>
      </c>
      <c r="DJ145" s="218">
        <f>IF(DG145&lt;=0,2,0)+IF(DG145&gt;0,DG145+1,0)*2+IF(DG145&gt;12,DG145-12,0)*2+IF(DG145&gt;13,DG145-13,0)*2+IF(DG145&gt;14,DG145-14,0)*2+IF(DG145&gt;15,DG145-15,0)*2+IF(DG145&gt;16,DG145-16,0)*2+IF(DG145&gt;17,DG145-17,0)*2+IF(DG145&gt;18,DG145-18,0)*2+IF(DG145&gt;19,DG145-19,0)*2+IF(DG145&gt;20,DG145-20,0)*2</f>
        <v>175.5384615384616</v>
      </c>
      <c r="DK145" s="242">
        <f>IF(DH145&lt;=0,2,0)+IF(DH145&gt;0,DH145+1,0)*2+IF(DH145&gt;12,DH145-12,0)*2+IF(DH145&gt;13,DH145-13,0)*2+IF(DH145&gt;14,DH145-14,0)*2+IF(DH145&gt;15,DH145-15,0)*2+IF(DH145&gt;16,DH145-16,0)*2+IF(DH145&gt;17,DH145-17,0)*2+IF(DH145&gt;18,DH145-18,0)*2+IF(DH145&gt;19,DH145-19,0)*2+IF(DH145&gt;20,DH145-20,0)*2</f>
        <v>2</v>
      </c>
      <c r="DL145" s="243">
        <f t="shared" si="1177"/>
        <v>173.5384615384616</v>
      </c>
      <c r="DM145" s="218">
        <f t="shared" si="1178"/>
        <v>0</v>
      </c>
      <c r="DO145" s="303" t="s">
        <v>219</v>
      </c>
      <c r="DP145" s="218" t="s">
        <v>89</v>
      </c>
      <c r="DQ145" s="243" t="s">
        <v>132</v>
      </c>
      <c r="DR145" s="237"/>
      <c r="DS145" s="234">
        <f>Konvention_1slave-KLslave</f>
        <v>12</v>
      </c>
      <c r="DT145" s="234"/>
      <c r="DU145" s="234"/>
      <c r="DV145" s="234">
        <f>Konvention_1slave-FFslave</f>
        <v>12</v>
      </c>
      <c r="DW145" s="234"/>
      <c r="DX145" s="234"/>
      <c r="DY145" s="224">
        <f>Konvention_1slave-KKslave</f>
        <v>12</v>
      </c>
      <c r="DZ145" s="223">
        <f t="shared" si="1179"/>
        <v>12</v>
      </c>
      <c r="EA145" s="223">
        <f t="shared" si="1180"/>
        <v>24</v>
      </c>
      <c r="EB145" s="224">
        <f t="shared" si="1181"/>
        <v>36</v>
      </c>
      <c r="EC145" s="237">
        <f t="shared" si="1119"/>
        <v>2304</v>
      </c>
      <c r="ED145" s="234">
        <f>DS145*DV145*KKslave+DS145*FFslave*DY145+KLslave*DV145*DY145</f>
        <v>3456</v>
      </c>
      <c r="EE145" s="224">
        <f t="shared" si="1182"/>
        <v>1728</v>
      </c>
      <c r="EF145" s="224">
        <f t="shared" si="1120"/>
        <v>7488</v>
      </c>
      <c r="EG145" s="222">
        <f t="shared" si="1183"/>
        <v>3.6923076923076925</v>
      </c>
      <c r="EH145" s="223">
        <f t="shared" si="1184"/>
        <v>11.076923076923077</v>
      </c>
      <c r="EI145" s="243">
        <f t="shared" si="1185"/>
        <v>8.3076923076923084</v>
      </c>
      <c r="EJ145" s="243">
        <f t="shared" si="1186"/>
        <v>23.07692307692308</v>
      </c>
      <c r="EK145" s="252">
        <f t="shared" si="1121"/>
        <v>0</v>
      </c>
      <c r="EL145" s="309">
        <f t="shared" si="1187"/>
        <v>23.07692307692308</v>
      </c>
      <c r="EM145" s="218">
        <f>IF(EJ145&lt;=0,2,0)+IF(EJ145&gt;0,EJ145+1,0)*2+IF(EJ145&gt;12,EJ145-12,0)*2+IF(EJ145&gt;13,EJ145-13,0)*2+IF(EJ145&gt;14,EJ145-14,0)*2+IF(EJ145&gt;15,EJ145-15,0)*2+IF(EJ145&gt;16,EJ145-16,0)*2+IF(EJ145&gt;17,EJ145-17,0)*2+IF(EJ145&gt;18,EJ145-18,0)*2+IF(EJ145&gt;19,EJ145-19,0)*2+IF(EJ145&gt;20,EJ145-20,0)*2</f>
        <v>175.5384615384616</v>
      </c>
      <c r="EN145" s="242">
        <f>IF(EK145&lt;=0,2,0)+IF(EK145&gt;0,EK145+1,0)*2+IF(EK145&gt;12,EK145-12,0)*2+IF(EK145&gt;13,EK145-13,0)*2+IF(EK145&gt;14,EK145-14,0)*2+IF(EK145&gt;15,EK145-15,0)*2+IF(EK145&gt;16,EK145-16,0)*2+IF(EK145&gt;17,EK145-17,0)*2+IF(EK145&gt;18,EK145-18,0)*2+IF(EK145&gt;19,EK145-19,0)*2+IF(EK145&gt;20,EK145-20,0)*2</f>
        <v>2</v>
      </c>
      <c r="EO145" s="243">
        <f t="shared" si="1188"/>
        <v>173.5384615384616</v>
      </c>
      <c r="EP145" s="218">
        <f t="shared" si="1189"/>
        <v>0</v>
      </c>
      <c r="ER145" s="303" t="s">
        <v>219</v>
      </c>
      <c r="ES145" s="218" t="s">
        <v>89</v>
      </c>
      <c r="ET145" s="243" t="s">
        <v>132</v>
      </c>
      <c r="EU145" s="237"/>
      <c r="EV145" s="234">
        <f>Konvention_1slave-KLslave</f>
        <v>12</v>
      </c>
      <c r="EW145" s="234"/>
      <c r="EX145" s="234"/>
      <c r="EY145" s="234">
        <f>Konvention_1slave-FFslave_FF</f>
        <v>11</v>
      </c>
      <c r="EZ145" s="234"/>
      <c r="FA145" s="234"/>
      <c r="FB145" s="224">
        <f>Konvention_1slave-KKslave</f>
        <v>12</v>
      </c>
      <c r="FC145" s="223">
        <f t="shared" si="1190"/>
        <v>11.666666666666666</v>
      </c>
      <c r="FD145" s="223">
        <f t="shared" si="1191"/>
        <v>23.333333333333332</v>
      </c>
      <c r="FE145" s="224">
        <f t="shared" si="1192"/>
        <v>35</v>
      </c>
      <c r="FF145" s="237">
        <f t="shared" si="1122"/>
        <v>2432</v>
      </c>
      <c r="FG145" s="234">
        <f>EV145*EY145*KKslave+EV145*FFslave_FF*FB145+KLslave*EY145*FB145</f>
        <v>3408</v>
      </c>
      <c r="FH145" s="224">
        <f t="shared" si="1193"/>
        <v>1584</v>
      </c>
      <c r="FI145" s="224">
        <f t="shared" si="1123"/>
        <v>7424</v>
      </c>
      <c r="FJ145" s="222">
        <f t="shared" si="1194"/>
        <v>3.8218390804597702</v>
      </c>
      <c r="FK145" s="223">
        <f t="shared" si="1195"/>
        <v>10.711206896551724</v>
      </c>
      <c r="FL145" s="243">
        <f t="shared" si="1196"/>
        <v>7.4676724137931032</v>
      </c>
      <c r="FM145" s="243">
        <f t="shared" si="1197"/>
        <v>22.000718390804597</v>
      </c>
      <c r="FN145" s="252">
        <f t="shared" si="1124"/>
        <v>0</v>
      </c>
      <c r="FO145" s="309">
        <f t="shared" si="1198"/>
        <v>22.000718390804597</v>
      </c>
      <c r="FP145" s="218">
        <f>IF(FM145&lt;=0,2,0)+IF(FM145&gt;0,FM145+1,0)*2+IF(FM145&gt;12,FM145-12,0)*2+IF(FM145&gt;13,FM145-13,0)*2+IF(FM145&gt;14,FM145-14,0)*2+IF(FM145&gt;15,FM145-15,0)*2+IF(FM145&gt;16,FM145-16,0)*2+IF(FM145&gt;17,FM145-17,0)*2+IF(FM145&gt;18,FM145-18,0)*2+IF(FM145&gt;19,FM145-19,0)*2+IF(FM145&gt;20,FM145-20,0)*2</f>
        <v>154.01436781609189</v>
      </c>
      <c r="FQ145" s="242">
        <f>IF(FN145&lt;=0,2,0)+IF(FN145&gt;0,FN145+1,0)*2+IF(FN145&gt;12,FN145-12,0)*2+IF(FN145&gt;13,FN145-13,0)*2+IF(FN145&gt;14,FN145-14,0)*2+IF(FN145&gt;15,FN145-15,0)*2+IF(FN145&gt;16,FN145-16,0)*2+IF(FN145&gt;17,FN145-17,0)*2+IF(FN145&gt;18,FN145-18,0)*2+IF(FN145&gt;19,FN145-19,0)*2+IF(FN145&gt;20,FN145-20,0)*2</f>
        <v>2</v>
      </c>
      <c r="FR145" s="243">
        <f t="shared" si="1199"/>
        <v>152.01436781609189</v>
      </c>
      <c r="FS145" s="218">
        <f t="shared" si="1200"/>
        <v>0</v>
      </c>
      <c r="FU145" s="303" t="s">
        <v>219</v>
      </c>
      <c r="FV145" s="218" t="s">
        <v>89</v>
      </c>
      <c r="FW145" s="243" t="s">
        <v>132</v>
      </c>
      <c r="FX145" s="237"/>
      <c r="FY145" s="234">
        <f>Konvention_1slave-KLslave</f>
        <v>12</v>
      </c>
      <c r="FZ145" s="234"/>
      <c r="GA145" s="234"/>
      <c r="GB145" s="234">
        <f>Konvention_1slave-FFslave</f>
        <v>12</v>
      </c>
      <c r="GC145" s="234"/>
      <c r="GD145" s="234"/>
      <c r="GE145" s="224">
        <f>Konvention_1slave-KKslave</f>
        <v>12</v>
      </c>
      <c r="GF145" s="223">
        <f t="shared" si="1201"/>
        <v>12</v>
      </c>
      <c r="GG145" s="223">
        <f t="shared" si="1202"/>
        <v>24</v>
      </c>
      <c r="GH145" s="224">
        <f t="shared" si="1203"/>
        <v>36</v>
      </c>
      <c r="GI145" s="237">
        <f t="shared" si="1125"/>
        <v>2304</v>
      </c>
      <c r="GJ145" s="234">
        <f>FY145*GB145*KKslave+FY145*FFslave*GE145+KLslave*GB145*GE145</f>
        <v>3456</v>
      </c>
      <c r="GK145" s="224">
        <f t="shared" si="1204"/>
        <v>1728</v>
      </c>
      <c r="GL145" s="224">
        <f t="shared" si="1126"/>
        <v>7488</v>
      </c>
      <c r="GM145" s="222">
        <f t="shared" si="1205"/>
        <v>3.6923076923076925</v>
      </c>
      <c r="GN145" s="223">
        <f t="shared" si="1206"/>
        <v>11.076923076923077</v>
      </c>
      <c r="GO145" s="243">
        <f t="shared" si="1207"/>
        <v>8.3076923076923084</v>
      </c>
      <c r="GP145" s="243">
        <f t="shared" si="1208"/>
        <v>23.07692307692308</v>
      </c>
      <c r="GQ145" s="252">
        <f t="shared" si="1127"/>
        <v>0</v>
      </c>
      <c r="GR145" s="309">
        <f t="shared" si="1209"/>
        <v>23.07692307692308</v>
      </c>
      <c r="GS145" s="218">
        <f>IF(GP145&lt;=0,2,0)+IF(GP145&gt;0,GP145+1,0)*2+IF(GP145&gt;12,GP145-12,0)*2+IF(GP145&gt;13,GP145-13,0)*2+IF(GP145&gt;14,GP145-14,0)*2+IF(GP145&gt;15,GP145-15,0)*2+IF(GP145&gt;16,GP145-16,0)*2+IF(GP145&gt;17,GP145-17,0)*2+IF(GP145&gt;18,GP145-18,0)*2+IF(GP145&gt;19,GP145-19,0)*2+IF(GP145&gt;20,GP145-20,0)*2</f>
        <v>175.5384615384616</v>
      </c>
      <c r="GT145" s="242">
        <f>IF(GQ145&lt;=0,2,0)+IF(GQ145&gt;0,GQ145+1,0)*2+IF(GQ145&gt;12,GQ145-12,0)*2+IF(GQ145&gt;13,GQ145-13,0)*2+IF(GQ145&gt;14,GQ145-14,0)*2+IF(GQ145&gt;15,GQ145-15,0)*2+IF(GQ145&gt;16,GQ145-16,0)*2+IF(GQ145&gt;17,GQ145-17,0)*2+IF(GQ145&gt;18,GQ145-18,0)*2+IF(GQ145&gt;19,GQ145-19,0)*2+IF(GQ145&gt;20,GQ145-20,0)*2</f>
        <v>2</v>
      </c>
      <c r="GU145" s="243">
        <f t="shared" si="1210"/>
        <v>173.5384615384616</v>
      </c>
      <c r="GV145" s="218">
        <f t="shared" si="1211"/>
        <v>0</v>
      </c>
      <c r="GX145" s="303" t="s">
        <v>219</v>
      </c>
      <c r="GY145" s="218" t="s">
        <v>89</v>
      </c>
      <c r="GZ145" s="243" t="s">
        <v>132</v>
      </c>
      <c r="HA145" s="237"/>
      <c r="HB145" s="234">
        <f>Konvention_1slave-KLslave</f>
        <v>12</v>
      </c>
      <c r="HC145" s="234"/>
      <c r="HD145" s="234"/>
      <c r="HE145" s="234">
        <f>Konvention_1slave-FFslave</f>
        <v>12</v>
      </c>
      <c r="HF145" s="234"/>
      <c r="HG145" s="234"/>
      <c r="HH145" s="224">
        <f>Konvention_1slave-KKslave</f>
        <v>12</v>
      </c>
      <c r="HI145" s="223">
        <f t="shared" si="1212"/>
        <v>12</v>
      </c>
      <c r="HJ145" s="223">
        <f t="shared" si="1213"/>
        <v>24</v>
      </c>
      <c r="HK145" s="224">
        <f t="shared" si="1214"/>
        <v>36</v>
      </c>
      <c r="HL145" s="237">
        <f t="shared" si="1128"/>
        <v>2304</v>
      </c>
      <c r="HM145" s="234">
        <f>HB145*HE145*KKslave+HB145*FFslave*HH145+KLslave*HE145*HH145</f>
        <v>3456</v>
      </c>
      <c r="HN145" s="224">
        <f t="shared" si="1215"/>
        <v>1728</v>
      </c>
      <c r="HO145" s="224">
        <f t="shared" si="1129"/>
        <v>7488</v>
      </c>
      <c r="HP145" s="222">
        <f t="shared" si="1216"/>
        <v>3.6923076923076925</v>
      </c>
      <c r="HQ145" s="223">
        <f t="shared" si="1217"/>
        <v>11.076923076923077</v>
      </c>
      <c r="HR145" s="243">
        <f t="shared" si="1218"/>
        <v>8.3076923076923084</v>
      </c>
      <c r="HS145" s="243">
        <f t="shared" si="1219"/>
        <v>23.07692307692308</v>
      </c>
      <c r="HT145" s="252">
        <f t="shared" si="1130"/>
        <v>0</v>
      </c>
      <c r="HU145" s="309">
        <f t="shared" si="1220"/>
        <v>23.07692307692308</v>
      </c>
      <c r="HV145" s="218">
        <f>IF(HS145&lt;=0,2,0)+IF(HS145&gt;0,HS145+1,0)*2+IF(HS145&gt;12,HS145-12,0)*2+IF(HS145&gt;13,HS145-13,0)*2+IF(HS145&gt;14,HS145-14,0)*2+IF(HS145&gt;15,HS145-15,0)*2+IF(HS145&gt;16,HS145-16,0)*2+IF(HS145&gt;17,HS145-17,0)*2+IF(HS145&gt;18,HS145-18,0)*2+IF(HS145&gt;19,HS145-19,0)*2+IF(HS145&gt;20,HS145-20,0)*2</f>
        <v>175.5384615384616</v>
      </c>
      <c r="HW145" s="242">
        <f>IF(HT145&lt;=0,2,0)+IF(HT145&gt;0,HT145+1,0)*2+IF(HT145&gt;12,HT145-12,0)*2+IF(HT145&gt;13,HT145-13,0)*2+IF(HT145&gt;14,HT145-14,0)*2+IF(HT145&gt;15,HT145-15,0)*2+IF(HT145&gt;16,HT145-16,0)*2+IF(HT145&gt;17,HT145-17,0)*2+IF(HT145&gt;18,HT145-18,0)*2+IF(HT145&gt;19,HT145-19,0)*2+IF(HT145&gt;20,HT145-20,0)*2</f>
        <v>2</v>
      </c>
      <c r="HX145" s="243">
        <f t="shared" si="1221"/>
        <v>173.5384615384616</v>
      </c>
      <c r="HY145" s="218">
        <f t="shared" si="1222"/>
        <v>0</v>
      </c>
      <c r="IA145" s="303" t="s">
        <v>219</v>
      </c>
      <c r="IB145" s="218" t="s">
        <v>89</v>
      </c>
      <c r="IC145" s="243" t="s">
        <v>132</v>
      </c>
      <c r="ID145" s="237"/>
      <c r="IE145" s="234">
        <f>Konvention_1slave-KLslave</f>
        <v>12</v>
      </c>
      <c r="IF145" s="234"/>
      <c r="IG145" s="234"/>
      <c r="IH145" s="234">
        <f>Konvention_1slave-FFslave</f>
        <v>12</v>
      </c>
      <c r="II145" s="234"/>
      <c r="IJ145" s="234"/>
      <c r="IK145" s="224">
        <f>Konvention_1slave-KKslave_KK</f>
        <v>11</v>
      </c>
      <c r="IL145" s="223">
        <f t="shared" si="1223"/>
        <v>11.666666666666666</v>
      </c>
      <c r="IM145" s="223">
        <f t="shared" si="1224"/>
        <v>23.333333333333332</v>
      </c>
      <c r="IN145" s="224">
        <f t="shared" si="1225"/>
        <v>35</v>
      </c>
      <c r="IO145" s="237">
        <f t="shared" si="1131"/>
        <v>2432</v>
      </c>
      <c r="IP145" s="234">
        <f>IE145*IH145*KKslave_KK+IE145*FFslave*IK145+KLslave*IH145*IK145</f>
        <v>3408</v>
      </c>
      <c r="IQ145" s="224">
        <f t="shared" si="1226"/>
        <v>1584</v>
      </c>
      <c r="IR145" s="224">
        <f t="shared" si="1132"/>
        <v>7424</v>
      </c>
      <c r="IS145" s="222">
        <f t="shared" si="1227"/>
        <v>3.8218390804597702</v>
      </c>
      <c r="IT145" s="223">
        <f t="shared" si="1228"/>
        <v>10.711206896551724</v>
      </c>
      <c r="IU145" s="243">
        <f t="shared" si="1229"/>
        <v>7.4676724137931032</v>
      </c>
      <c r="IV145" s="243">
        <f t="shared" si="1230"/>
        <v>22.000718390804597</v>
      </c>
      <c r="IW145" s="252">
        <f t="shared" si="1133"/>
        <v>0</v>
      </c>
      <c r="IX145" s="309">
        <f t="shared" si="1231"/>
        <v>22.000718390804597</v>
      </c>
      <c r="IY145" s="218">
        <f>IF(IV145&lt;=0,2,0)+IF(IV145&gt;0,IV145+1,0)*2+IF(IV145&gt;12,IV145-12,0)*2+IF(IV145&gt;13,IV145-13,0)*2+IF(IV145&gt;14,IV145-14,0)*2+IF(IV145&gt;15,IV145-15,0)*2+IF(IV145&gt;16,IV145-16,0)*2+IF(IV145&gt;17,IV145-17,0)*2+IF(IV145&gt;18,IV145-18,0)*2+IF(IV145&gt;19,IV145-19,0)*2+IF(IV145&gt;20,IV145-20,0)*2</f>
        <v>154.01436781609189</v>
      </c>
      <c r="IZ145" s="242">
        <f>IF(IW145&lt;=0,2,0)+IF(IW145&gt;0,IW145+1,0)*2+IF(IW145&gt;12,IW145-12,0)*2+IF(IW145&gt;13,IW145-13,0)*2+IF(IW145&gt;14,IW145-14,0)*2+IF(IW145&gt;15,IW145-15,0)*2+IF(IW145&gt;16,IW145-16,0)*2+IF(IW145&gt;17,IW145-17,0)*2+IF(IW145&gt;18,IW145-18,0)*2+IF(IW145&gt;19,IW145-19,0)*2+IF(IW145&gt;20,IW145-20,0)*2</f>
        <v>2</v>
      </c>
      <c r="JA145" s="243">
        <f t="shared" si="1232"/>
        <v>152.01436781609189</v>
      </c>
      <c r="JB145" s="218">
        <f t="shared" si="1233"/>
        <v>0</v>
      </c>
      <c r="JE145" s="148"/>
    </row>
    <row r="146" spans="2:265" hidden="1" outlineLevel="2">
      <c r="B146" s="148">
        <v>19</v>
      </c>
      <c r="C146" s="303" t="e">
        <f>VLOOKUP(AF146,Attribute!C:T,1,FALSE)</f>
        <v>#N/A</v>
      </c>
      <c r="D146" s="125" t="s">
        <v>100</v>
      </c>
      <c r="E146" s="127" t="s">
        <v>135</v>
      </c>
      <c r="F146" s="114">
        <f>Konvention_1master-MUmaster</f>
        <v>12</v>
      </c>
      <c r="G146" s="113"/>
      <c r="H146" s="113">
        <f>Konvention_1master-INmaster</f>
        <v>12</v>
      </c>
      <c r="I146" s="113"/>
      <c r="J146" s="113"/>
      <c r="K146" s="113"/>
      <c r="L146" s="113">
        <f>Konvention_1master-KOmaster</f>
        <v>12</v>
      </c>
      <c r="M146" s="119"/>
      <c r="N146" s="223">
        <f t="shared" si="1134"/>
        <v>12</v>
      </c>
      <c r="O146" s="223">
        <f t="shared" si="1135"/>
        <v>24</v>
      </c>
      <c r="P146" s="224">
        <f t="shared" si="1136"/>
        <v>36</v>
      </c>
      <c r="Q146" s="237">
        <f t="shared" si="1137"/>
        <v>2304</v>
      </c>
      <c r="R146" s="113">
        <f>F146*H146*KOmaster+F146*INmaster*L146+MUmaster*H146*L146</f>
        <v>3456</v>
      </c>
      <c r="S146" s="224">
        <f t="shared" si="1138"/>
        <v>1728</v>
      </c>
      <c r="T146" s="224">
        <f t="shared" si="1109"/>
        <v>7488</v>
      </c>
      <c r="U146" s="222">
        <f t="shared" si="1139"/>
        <v>3.6923076923076925</v>
      </c>
      <c r="V146" s="223">
        <f t="shared" si="1140"/>
        <v>11.076923076923077</v>
      </c>
      <c r="W146" s="243">
        <f t="shared" si="1141"/>
        <v>8.3076923076923084</v>
      </c>
      <c r="X146" s="243">
        <f t="shared" si="1142"/>
        <v>23.07692307692308</v>
      </c>
      <c r="Y146" s="252">
        <v>0</v>
      </c>
      <c r="Z146" s="198">
        <f t="shared" si="1143"/>
        <v>23.07692307692308</v>
      </c>
      <c r="AA146" s="125">
        <f>IF(X146&lt;=0,3,0)+IF(X146&gt;0,X146+1,0)*3+IF(X146&gt;12,X146-12,0)*3+IF(X146&gt;13,X146-13,0)*3+IF(X146&gt;14,X146-14,0)*3+IF(X146&gt;15,X146-15,0)*3+IF(X146&gt;16,X146-16,0)*3+IF(X146&gt;17,X146-17,0)*3+IF(X146&gt;18,X146-18,0)*3+IF(X146&gt;19,X146-19,0)*3+IF(X146&gt;20,X146-20,0)*3</f>
        <v>263.30769230769232</v>
      </c>
      <c r="AB146" s="160">
        <f>IF(Y146&lt;=0,3,0)+IF(Y146&gt;0,Y146+1,0)*3+IF(Y146&gt;12,Y146-12,0)*3+IF(Y146&gt;13,Y146-13,0)*3+IF(Y146&gt;14,Y146-14,0)*3+IF(Y146&gt;15,Y146-15,0)*3+IF(Y146&gt;16,Y146-16,0)*3+IF(Y146&gt;17,Y146-17,0)*3+IF(Y146&gt;18,Y146-18,0)*3+IF(Y146&gt;19,Y146-19,0)*3+IF(Y146&gt;20,Y146-20,0)*3</f>
        <v>3</v>
      </c>
      <c r="AC146" s="127">
        <f t="shared" si="1144"/>
        <v>260.30769230769232</v>
      </c>
      <c r="AD146" s="125">
        <f t="shared" si="1145"/>
        <v>0</v>
      </c>
      <c r="AF146" s="163" t="s">
        <v>376</v>
      </c>
      <c r="AG146" s="125" t="s">
        <v>100</v>
      </c>
      <c r="AH146" s="127" t="s">
        <v>135</v>
      </c>
      <c r="AI146" s="114">
        <f>Konvention_1slave-MUslave_MU</f>
        <v>11</v>
      </c>
      <c r="AJ146" s="113"/>
      <c r="AK146" s="113">
        <f>Konvention_1slave-INslave</f>
        <v>12</v>
      </c>
      <c r="AL146" s="113"/>
      <c r="AM146" s="113"/>
      <c r="AN146" s="113"/>
      <c r="AO146" s="113">
        <f>Konvention_1slave-KOslave</f>
        <v>12</v>
      </c>
      <c r="AP146" s="119"/>
      <c r="AQ146" s="47">
        <f t="shared" si="1146"/>
        <v>11.666666666666666</v>
      </c>
      <c r="AR146" s="47">
        <f t="shared" si="1147"/>
        <v>23.333333333333332</v>
      </c>
      <c r="AS146" s="119">
        <f t="shared" si="1148"/>
        <v>35</v>
      </c>
      <c r="AT146" s="114">
        <f t="shared" si="1110"/>
        <v>2432</v>
      </c>
      <c r="AU146" s="113">
        <f>AI146*AK146*KOslave+AI146*INslave*AO146+MUslave_MU*AK146*AO146</f>
        <v>3408</v>
      </c>
      <c r="AV146" s="119">
        <f t="shared" si="1149"/>
        <v>1584</v>
      </c>
      <c r="AW146" s="119">
        <f t="shared" si="1111"/>
        <v>7424</v>
      </c>
      <c r="AX146" s="89">
        <f t="shared" si="1150"/>
        <v>3.8218390804597702</v>
      </c>
      <c r="AY146" s="47">
        <f t="shared" si="1151"/>
        <v>10.711206896551724</v>
      </c>
      <c r="AZ146" s="127">
        <f t="shared" si="1152"/>
        <v>7.4676724137931032</v>
      </c>
      <c r="BA146" s="127">
        <f t="shared" si="1153"/>
        <v>22.000718390804597</v>
      </c>
      <c r="BB146" s="165">
        <f t="shared" si="1112"/>
        <v>0</v>
      </c>
      <c r="BC146" s="198">
        <f t="shared" si="1154"/>
        <v>22.000718390804597</v>
      </c>
      <c r="BD146" s="125">
        <f>IF(BA146&lt;=0,3,0)+IF(BA146&gt;0,BA146+1,0)*3+IF(BA146&gt;12,BA146-12,0)*3+IF(BA146&gt;13,BA146-13,0)*3+IF(BA146&gt;14,BA146-14,0)*3+IF(BA146&gt;15,BA146-15,0)*3+IF(BA146&gt;16,BA146-16,0)*3+IF(BA146&gt;17,BA146-17,0)*3+IF(BA146&gt;18,BA146-18,0)*3+IF(BA146&gt;19,BA146-19,0)*3+IF(BA146&gt;20,BA146-20,0)*3</f>
        <v>231.02155172413785</v>
      </c>
      <c r="BE146" s="160">
        <f>IF(BB146&lt;=0,3,0)+IF(BB146&gt;0,BB146+1,0)*3+IF(BB146&gt;12,BB146-12,0)*3+IF(BB146&gt;13,BB146-13,0)*3+IF(BB146&gt;14,BB146-14,0)*3+IF(BB146&gt;15,BB146-15,0)*3+IF(BB146&gt;16,BB146-16,0)*3+IF(BB146&gt;17,BB146-17,0)*3+IF(BB146&gt;18,BB146-18,0)*3+IF(BB146&gt;19,BB146-19,0)*3+IF(BB146&gt;20,BB146-20,0)*3</f>
        <v>3</v>
      </c>
      <c r="BF146" s="243">
        <f t="shared" si="1155"/>
        <v>228.02155172413785</v>
      </c>
      <c r="BG146" s="218">
        <f t="shared" si="1156"/>
        <v>0</v>
      </c>
      <c r="BI146" s="303" t="s">
        <v>376</v>
      </c>
      <c r="BJ146" s="218" t="s">
        <v>100</v>
      </c>
      <c r="BK146" s="243" t="s">
        <v>135</v>
      </c>
      <c r="BL146" s="237">
        <f>Konvention_1slave-MUslave</f>
        <v>12</v>
      </c>
      <c r="BM146" s="234"/>
      <c r="BN146" s="234">
        <f>Konvention_1slave-INslave</f>
        <v>12</v>
      </c>
      <c r="BO146" s="234"/>
      <c r="BP146" s="234"/>
      <c r="BQ146" s="234"/>
      <c r="BR146" s="234">
        <f>Konvention_1slave-KOslave</f>
        <v>12</v>
      </c>
      <c r="BS146" s="224"/>
      <c r="BT146" s="223">
        <f t="shared" si="1157"/>
        <v>12</v>
      </c>
      <c r="BU146" s="223">
        <f t="shared" si="1158"/>
        <v>24</v>
      </c>
      <c r="BV146" s="224">
        <f t="shared" si="1159"/>
        <v>36</v>
      </c>
      <c r="BW146" s="237">
        <f t="shared" si="1113"/>
        <v>2304</v>
      </c>
      <c r="BX146" s="234">
        <f>BL146*BN146*KOslave+BL146*INslave*BR146+MUslave*BN146*BR146</f>
        <v>3456</v>
      </c>
      <c r="BY146" s="224">
        <f t="shared" si="1160"/>
        <v>1728</v>
      </c>
      <c r="BZ146" s="224">
        <f t="shared" si="1114"/>
        <v>7488</v>
      </c>
      <c r="CA146" s="222">
        <f t="shared" si="1161"/>
        <v>3.6923076923076925</v>
      </c>
      <c r="CB146" s="223">
        <f t="shared" si="1162"/>
        <v>11.076923076923077</v>
      </c>
      <c r="CC146" s="243">
        <f t="shared" si="1163"/>
        <v>8.3076923076923084</v>
      </c>
      <c r="CD146" s="243">
        <f t="shared" si="1164"/>
        <v>23.07692307692308</v>
      </c>
      <c r="CE146" s="252">
        <f t="shared" si="1115"/>
        <v>0</v>
      </c>
      <c r="CF146" s="309">
        <f t="shared" si="1165"/>
        <v>23.07692307692308</v>
      </c>
      <c r="CG146" s="218">
        <f>IF(CD146&lt;=0,3,0)+IF(CD146&gt;0,CD146+1,0)*3+IF(CD146&gt;12,CD146-12,0)*3+IF(CD146&gt;13,CD146-13,0)*3+IF(CD146&gt;14,CD146-14,0)*3+IF(CD146&gt;15,CD146-15,0)*3+IF(CD146&gt;16,CD146-16,0)*3+IF(CD146&gt;17,CD146-17,0)*3+IF(CD146&gt;18,CD146-18,0)*3+IF(CD146&gt;19,CD146-19,0)*3+IF(CD146&gt;20,CD146-20,0)*3</f>
        <v>263.30769230769232</v>
      </c>
      <c r="CH146" s="242">
        <f>IF(CE146&lt;=0,3,0)+IF(CE146&gt;0,CE146+1,0)*3+IF(CE146&gt;12,CE146-12,0)*3+IF(CE146&gt;13,CE146-13,0)*3+IF(CE146&gt;14,CE146-14,0)*3+IF(CE146&gt;15,CE146-15,0)*3+IF(CE146&gt;16,CE146-16,0)*3+IF(CE146&gt;17,CE146-17,0)*3+IF(CE146&gt;18,CE146-18,0)*3+IF(CE146&gt;19,CE146-19,0)*3+IF(CE146&gt;20,CE146-20,0)*3</f>
        <v>3</v>
      </c>
      <c r="CI146" s="243">
        <f t="shared" si="1166"/>
        <v>260.30769230769232</v>
      </c>
      <c r="CJ146" s="218">
        <f t="shared" si="1167"/>
        <v>0</v>
      </c>
      <c r="CL146" s="303" t="s">
        <v>376</v>
      </c>
      <c r="CM146" s="218" t="s">
        <v>100</v>
      </c>
      <c r="CN146" s="243" t="s">
        <v>135</v>
      </c>
      <c r="CO146" s="237">
        <f>Konvention_1slave-MUslave</f>
        <v>12</v>
      </c>
      <c r="CP146" s="234"/>
      <c r="CQ146" s="234">
        <f>Konvention_1slave-INslave_IN</f>
        <v>11</v>
      </c>
      <c r="CR146" s="234"/>
      <c r="CS146" s="234"/>
      <c r="CT146" s="234"/>
      <c r="CU146" s="234">
        <f>Konvention_1slave-KOslave</f>
        <v>12</v>
      </c>
      <c r="CV146" s="224"/>
      <c r="CW146" s="223">
        <f t="shared" si="1168"/>
        <v>11.666666666666666</v>
      </c>
      <c r="CX146" s="223">
        <f t="shared" si="1169"/>
        <v>23.333333333333332</v>
      </c>
      <c r="CY146" s="224">
        <f t="shared" si="1170"/>
        <v>35</v>
      </c>
      <c r="CZ146" s="237">
        <f t="shared" si="1116"/>
        <v>2432</v>
      </c>
      <c r="DA146" s="234">
        <f>CO146*CQ146*KOslave+CO146*INslave_IN*CU146+MUslave*CQ146*CU146</f>
        <v>3408</v>
      </c>
      <c r="DB146" s="224">
        <f t="shared" si="1171"/>
        <v>1584</v>
      </c>
      <c r="DC146" s="224">
        <f t="shared" si="1117"/>
        <v>7424</v>
      </c>
      <c r="DD146" s="222">
        <f t="shared" si="1172"/>
        <v>3.8218390804597702</v>
      </c>
      <c r="DE146" s="223">
        <f t="shared" si="1173"/>
        <v>10.711206896551724</v>
      </c>
      <c r="DF146" s="243">
        <f t="shared" si="1174"/>
        <v>7.4676724137931032</v>
      </c>
      <c r="DG146" s="243">
        <f t="shared" si="1175"/>
        <v>22.000718390804597</v>
      </c>
      <c r="DH146" s="252">
        <f t="shared" si="1118"/>
        <v>0</v>
      </c>
      <c r="DI146" s="309">
        <f t="shared" si="1176"/>
        <v>22.000718390804597</v>
      </c>
      <c r="DJ146" s="218">
        <f>IF(DG146&lt;=0,3,0)+IF(DG146&gt;0,DG146+1,0)*3+IF(DG146&gt;12,DG146-12,0)*3+IF(DG146&gt;13,DG146-13,0)*3+IF(DG146&gt;14,DG146-14,0)*3+IF(DG146&gt;15,DG146-15,0)*3+IF(DG146&gt;16,DG146-16,0)*3+IF(DG146&gt;17,DG146-17,0)*3+IF(DG146&gt;18,DG146-18,0)*3+IF(DG146&gt;19,DG146-19,0)*3+IF(DG146&gt;20,DG146-20,0)*3</f>
        <v>231.02155172413785</v>
      </c>
      <c r="DK146" s="242">
        <f>IF(DH146&lt;=0,3,0)+IF(DH146&gt;0,DH146+1,0)*3+IF(DH146&gt;12,DH146-12,0)*3+IF(DH146&gt;13,DH146-13,0)*3+IF(DH146&gt;14,DH146-14,0)*3+IF(DH146&gt;15,DH146-15,0)*3+IF(DH146&gt;16,DH146-16,0)*3+IF(DH146&gt;17,DH146-17,0)*3+IF(DH146&gt;18,DH146-18,0)*3+IF(DH146&gt;19,DH146-19,0)*3+IF(DH146&gt;20,DH146-20,0)*3</f>
        <v>3</v>
      </c>
      <c r="DL146" s="243">
        <f t="shared" si="1177"/>
        <v>228.02155172413785</v>
      </c>
      <c r="DM146" s="218">
        <f t="shared" si="1178"/>
        <v>0</v>
      </c>
      <c r="DO146" s="303" t="s">
        <v>376</v>
      </c>
      <c r="DP146" s="218" t="s">
        <v>100</v>
      </c>
      <c r="DQ146" s="243" t="s">
        <v>135</v>
      </c>
      <c r="DR146" s="237">
        <f>Konvention_1slave-MUslave</f>
        <v>12</v>
      </c>
      <c r="DS146" s="234"/>
      <c r="DT146" s="234">
        <f>Konvention_1slave-INslave</f>
        <v>12</v>
      </c>
      <c r="DU146" s="234"/>
      <c r="DV146" s="234"/>
      <c r="DW146" s="234"/>
      <c r="DX146" s="234">
        <f>Konvention_1slave-KOslave</f>
        <v>12</v>
      </c>
      <c r="DY146" s="224"/>
      <c r="DZ146" s="223">
        <f t="shared" si="1179"/>
        <v>12</v>
      </c>
      <c r="EA146" s="223">
        <f t="shared" si="1180"/>
        <v>24</v>
      </c>
      <c r="EB146" s="224">
        <f t="shared" si="1181"/>
        <v>36</v>
      </c>
      <c r="EC146" s="237">
        <f t="shared" si="1119"/>
        <v>2304</v>
      </c>
      <c r="ED146" s="234">
        <f>DR146*DT146*KOslave+DR146*INslave*DX146+MUslave*DT146*DX146</f>
        <v>3456</v>
      </c>
      <c r="EE146" s="224">
        <f t="shared" si="1182"/>
        <v>1728</v>
      </c>
      <c r="EF146" s="224">
        <f t="shared" si="1120"/>
        <v>7488</v>
      </c>
      <c r="EG146" s="222">
        <f t="shared" si="1183"/>
        <v>3.6923076923076925</v>
      </c>
      <c r="EH146" s="223">
        <f t="shared" si="1184"/>
        <v>11.076923076923077</v>
      </c>
      <c r="EI146" s="243">
        <f t="shared" si="1185"/>
        <v>8.3076923076923084</v>
      </c>
      <c r="EJ146" s="243">
        <f t="shared" si="1186"/>
        <v>23.07692307692308</v>
      </c>
      <c r="EK146" s="252">
        <f t="shared" si="1121"/>
        <v>0</v>
      </c>
      <c r="EL146" s="309">
        <f t="shared" si="1187"/>
        <v>23.07692307692308</v>
      </c>
      <c r="EM146" s="218">
        <f>IF(EJ146&lt;=0,3,0)+IF(EJ146&gt;0,EJ146+1,0)*3+IF(EJ146&gt;12,EJ146-12,0)*3+IF(EJ146&gt;13,EJ146-13,0)*3+IF(EJ146&gt;14,EJ146-14,0)*3+IF(EJ146&gt;15,EJ146-15,0)*3+IF(EJ146&gt;16,EJ146-16,0)*3+IF(EJ146&gt;17,EJ146-17,0)*3+IF(EJ146&gt;18,EJ146-18,0)*3+IF(EJ146&gt;19,EJ146-19,0)*3+IF(EJ146&gt;20,EJ146-20,0)*3</f>
        <v>263.30769230769232</v>
      </c>
      <c r="EN146" s="242">
        <f>IF(EK146&lt;=0,3,0)+IF(EK146&gt;0,EK146+1,0)*3+IF(EK146&gt;12,EK146-12,0)*3+IF(EK146&gt;13,EK146-13,0)*3+IF(EK146&gt;14,EK146-14,0)*3+IF(EK146&gt;15,EK146-15,0)*3+IF(EK146&gt;16,EK146-16,0)*3+IF(EK146&gt;17,EK146-17,0)*3+IF(EK146&gt;18,EK146-18,0)*3+IF(EK146&gt;19,EK146-19,0)*3+IF(EK146&gt;20,EK146-20,0)*3</f>
        <v>3</v>
      </c>
      <c r="EO146" s="243">
        <f t="shared" si="1188"/>
        <v>260.30769230769232</v>
      </c>
      <c r="EP146" s="218">
        <f t="shared" si="1189"/>
        <v>0</v>
      </c>
      <c r="ER146" s="303" t="s">
        <v>376</v>
      </c>
      <c r="ES146" s="218" t="s">
        <v>100</v>
      </c>
      <c r="ET146" s="243" t="s">
        <v>135</v>
      </c>
      <c r="EU146" s="237">
        <f>Konvention_1slave-MUslave</f>
        <v>12</v>
      </c>
      <c r="EV146" s="234"/>
      <c r="EW146" s="234">
        <f>Konvention_1slave-INslave</f>
        <v>12</v>
      </c>
      <c r="EX146" s="234"/>
      <c r="EY146" s="234"/>
      <c r="EZ146" s="234"/>
      <c r="FA146" s="234">
        <f>Konvention_1slave-KOslave</f>
        <v>12</v>
      </c>
      <c r="FB146" s="224"/>
      <c r="FC146" s="223">
        <f t="shared" si="1190"/>
        <v>12</v>
      </c>
      <c r="FD146" s="223">
        <f t="shared" si="1191"/>
        <v>24</v>
      </c>
      <c r="FE146" s="224">
        <f t="shared" si="1192"/>
        <v>36</v>
      </c>
      <c r="FF146" s="237">
        <f t="shared" si="1122"/>
        <v>2304</v>
      </c>
      <c r="FG146" s="234">
        <f>EU146*EW146*KOslave+EU146*INslave*FA146+MUslave*EW146*FA146</f>
        <v>3456</v>
      </c>
      <c r="FH146" s="224">
        <f t="shared" si="1193"/>
        <v>1728</v>
      </c>
      <c r="FI146" s="224">
        <f t="shared" si="1123"/>
        <v>7488</v>
      </c>
      <c r="FJ146" s="222">
        <f t="shared" si="1194"/>
        <v>3.6923076923076925</v>
      </c>
      <c r="FK146" s="223">
        <f t="shared" si="1195"/>
        <v>11.076923076923077</v>
      </c>
      <c r="FL146" s="243">
        <f t="shared" si="1196"/>
        <v>8.3076923076923084</v>
      </c>
      <c r="FM146" s="243">
        <f t="shared" si="1197"/>
        <v>23.07692307692308</v>
      </c>
      <c r="FN146" s="252">
        <f t="shared" si="1124"/>
        <v>0</v>
      </c>
      <c r="FO146" s="309">
        <f t="shared" si="1198"/>
        <v>23.07692307692308</v>
      </c>
      <c r="FP146" s="218">
        <f>IF(FM146&lt;=0,3,0)+IF(FM146&gt;0,FM146+1,0)*3+IF(FM146&gt;12,FM146-12,0)*3+IF(FM146&gt;13,FM146-13,0)*3+IF(FM146&gt;14,FM146-14,0)*3+IF(FM146&gt;15,FM146-15,0)*3+IF(FM146&gt;16,FM146-16,0)*3+IF(FM146&gt;17,FM146-17,0)*3+IF(FM146&gt;18,FM146-18,0)*3+IF(FM146&gt;19,FM146-19,0)*3+IF(FM146&gt;20,FM146-20,0)*3</f>
        <v>263.30769230769232</v>
      </c>
      <c r="FQ146" s="242">
        <f>IF(FN146&lt;=0,3,0)+IF(FN146&gt;0,FN146+1,0)*3+IF(FN146&gt;12,FN146-12,0)*3+IF(FN146&gt;13,FN146-13,0)*3+IF(FN146&gt;14,FN146-14,0)*3+IF(FN146&gt;15,FN146-15,0)*3+IF(FN146&gt;16,FN146-16,0)*3+IF(FN146&gt;17,FN146-17,0)*3+IF(FN146&gt;18,FN146-18,0)*3+IF(FN146&gt;19,FN146-19,0)*3+IF(FN146&gt;20,FN146-20,0)*3</f>
        <v>3</v>
      </c>
      <c r="FR146" s="243">
        <f t="shared" si="1199"/>
        <v>260.30769230769232</v>
      </c>
      <c r="FS146" s="218">
        <f t="shared" si="1200"/>
        <v>0</v>
      </c>
      <c r="FU146" s="303" t="s">
        <v>376</v>
      </c>
      <c r="FV146" s="218" t="s">
        <v>100</v>
      </c>
      <c r="FW146" s="243" t="s">
        <v>135</v>
      </c>
      <c r="FX146" s="237">
        <f>Konvention_1slave-MUslave</f>
        <v>12</v>
      </c>
      <c r="FY146" s="234"/>
      <c r="FZ146" s="234">
        <f>Konvention_1slave-INslave</f>
        <v>12</v>
      </c>
      <c r="GA146" s="234"/>
      <c r="GB146" s="234"/>
      <c r="GC146" s="234"/>
      <c r="GD146" s="234">
        <f>Konvention_1slave-KOslave</f>
        <v>12</v>
      </c>
      <c r="GE146" s="224"/>
      <c r="GF146" s="223">
        <f t="shared" si="1201"/>
        <v>12</v>
      </c>
      <c r="GG146" s="223">
        <f t="shared" si="1202"/>
        <v>24</v>
      </c>
      <c r="GH146" s="224">
        <f t="shared" si="1203"/>
        <v>36</v>
      </c>
      <c r="GI146" s="237">
        <f t="shared" si="1125"/>
        <v>2304</v>
      </c>
      <c r="GJ146" s="234">
        <f>FX146*FZ146*KOslave+FX146*INslave*GD146+MUslave*FZ146*GD146</f>
        <v>3456</v>
      </c>
      <c r="GK146" s="224">
        <f t="shared" si="1204"/>
        <v>1728</v>
      </c>
      <c r="GL146" s="224">
        <f t="shared" si="1126"/>
        <v>7488</v>
      </c>
      <c r="GM146" s="222">
        <f t="shared" si="1205"/>
        <v>3.6923076923076925</v>
      </c>
      <c r="GN146" s="223">
        <f t="shared" si="1206"/>
        <v>11.076923076923077</v>
      </c>
      <c r="GO146" s="243">
        <f t="shared" si="1207"/>
        <v>8.3076923076923084</v>
      </c>
      <c r="GP146" s="243">
        <f t="shared" si="1208"/>
        <v>23.07692307692308</v>
      </c>
      <c r="GQ146" s="252">
        <f t="shared" si="1127"/>
        <v>0</v>
      </c>
      <c r="GR146" s="309">
        <f t="shared" si="1209"/>
        <v>23.07692307692308</v>
      </c>
      <c r="GS146" s="218">
        <f>IF(GP146&lt;=0,3,0)+IF(GP146&gt;0,GP146+1,0)*3+IF(GP146&gt;12,GP146-12,0)*3+IF(GP146&gt;13,GP146-13,0)*3+IF(GP146&gt;14,GP146-14,0)*3+IF(GP146&gt;15,GP146-15,0)*3+IF(GP146&gt;16,GP146-16,0)*3+IF(GP146&gt;17,GP146-17,0)*3+IF(GP146&gt;18,GP146-18,0)*3+IF(GP146&gt;19,GP146-19,0)*3+IF(GP146&gt;20,GP146-20,0)*3</f>
        <v>263.30769230769232</v>
      </c>
      <c r="GT146" s="242">
        <f>IF(GQ146&lt;=0,3,0)+IF(GQ146&gt;0,GQ146+1,0)*3+IF(GQ146&gt;12,GQ146-12,0)*3+IF(GQ146&gt;13,GQ146-13,0)*3+IF(GQ146&gt;14,GQ146-14,0)*3+IF(GQ146&gt;15,GQ146-15,0)*3+IF(GQ146&gt;16,GQ146-16,0)*3+IF(GQ146&gt;17,GQ146-17,0)*3+IF(GQ146&gt;18,GQ146-18,0)*3+IF(GQ146&gt;19,GQ146-19,0)*3+IF(GQ146&gt;20,GQ146-20,0)*3</f>
        <v>3</v>
      </c>
      <c r="GU146" s="243">
        <f t="shared" si="1210"/>
        <v>260.30769230769232</v>
      </c>
      <c r="GV146" s="218">
        <f t="shared" si="1211"/>
        <v>0</v>
      </c>
      <c r="GX146" s="303" t="s">
        <v>376</v>
      </c>
      <c r="GY146" s="218" t="s">
        <v>100</v>
      </c>
      <c r="GZ146" s="243" t="s">
        <v>135</v>
      </c>
      <c r="HA146" s="237">
        <f>Konvention_1slave-MUslave</f>
        <v>12</v>
      </c>
      <c r="HB146" s="234"/>
      <c r="HC146" s="234">
        <f>Konvention_1slave-INslave</f>
        <v>12</v>
      </c>
      <c r="HD146" s="234"/>
      <c r="HE146" s="234"/>
      <c r="HF146" s="234"/>
      <c r="HG146" s="234">
        <f>Konvention_1slave-KOslave_KO</f>
        <v>11</v>
      </c>
      <c r="HH146" s="224"/>
      <c r="HI146" s="223">
        <f t="shared" si="1212"/>
        <v>11.666666666666666</v>
      </c>
      <c r="HJ146" s="223">
        <f t="shared" si="1213"/>
        <v>23.333333333333332</v>
      </c>
      <c r="HK146" s="224">
        <f t="shared" si="1214"/>
        <v>35</v>
      </c>
      <c r="HL146" s="237">
        <f t="shared" si="1128"/>
        <v>2432</v>
      </c>
      <c r="HM146" s="234">
        <f>HA146*HC146*KOslave_KO+HA146*INslave*HG146+MUslave*HC146*HG146</f>
        <v>3408</v>
      </c>
      <c r="HN146" s="224">
        <f t="shared" si="1215"/>
        <v>1584</v>
      </c>
      <c r="HO146" s="224">
        <f t="shared" si="1129"/>
        <v>7424</v>
      </c>
      <c r="HP146" s="222">
        <f t="shared" si="1216"/>
        <v>3.8218390804597702</v>
      </c>
      <c r="HQ146" s="223">
        <f t="shared" si="1217"/>
        <v>10.711206896551724</v>
      </c>
      <c r="HR146" s="243">
        <f t="shared" si="1218"/>
        <v>7.4676724137931032</v>
      </c>
      <c r="HS146" s="243">
        <f t="shared" si="1219"/>
        <v>22.000718390804597</v>
      </c>
      <c r="HT146" s="252">
        <f t="shared" si="1130"/>
        <v>0</v>
      </c>
      <c r="HU146" s="309">
        <f t="shared" si="1220"/>
        <v>22.000718390804597</v>
      </c>
      <c r="HV146" s="218">
        <f>IF(HS146&lt;=0,3,0)+IF(HS146&gt;0,HS146+1,0)*3+IF(HS146&gt;12,HS146-12,0)*3+IF(HS146&gt;13,HS146-13,0)*3+IF(HS146&gt;14,HS146-14,0)*3+IF(HS146&gt;15,HS146-15,0)*3+IF(HS146&gt;16,HS146-16,0)*3+IF(HS146&gt;17,HS146-17,0)*3+IF(HS146&gt;18,HS146-18,0)*3+IF(HS146&gt;19,HS146-19,0)*3+IF(HS146&gt;20,HS146-20,0)*3</f>
        <v>231.02155172413785</v>
      </c>
      <c r="HW146" s="242">
        <f>IF(HT146&lt;=0,3,0)+IF(HT146&gt;0,HT146+1,0)*3+IF(HT146&gt;12,HT146-12,0)*3+IF(HT146&gt;13,HT146-13,0)*3+IF(HT146&gt;14,HT146-14,0)*3+IF(HT146&gt;15,HT146-15,0)*3+IF(HT146&gt;16,HT146-16,0)*3+IF(HT146&gt;17,HT146-17,0)*3+IF(HT146&gt;18,HT146-18,0)*3+IF(HT146&gt;19,HT146-19,0)*3+IF(HT146&gt;20,HT146-20,0)*3</f>
        <v>3</v>
      </c>
      <c r="HX146" s="243">
        <f t="shared" si="1221"/>
        <v>228.02155172413785</v>
      </c>
      <c r="HY146" s="218">
        <f t="shared" si="1222"/>
        <v>0</v>
      </c>
      <c r="IA146" s="303" t="s">
        <v>376</v>
      </c>
      <c r="IB146" s="218" t="s">
        <v>100</v>
      </c>
      <c r="IC146" s="243" t="s">
        <v>135</v>
      </c>
      <c r="ID146" s="237">
        <f>Konvention_1slave-MUslave</f>
        <v>12</v>
      </c>
      <c r="IE146" s="234"/>
      <c r="IF146" s="234">
        <f>Konvention_1slave-INslave</f>
        <v>12</v>
      </c>
      <c r="IG146" s="234"/>
      <c r="IH146" s="234"/>
      <c r="II146" s="234"/>
      <c r="IJ146" s="234">
        <f>Konvention_1slave-KOslave</f>
        <v>12</v>
      </c>
      <c r="IK146" s="224"/>
      <c r="IL146" s="223">
        <f t="shared" si="1223"/>
        <v>12</v>
      </c>
      <c r="IM146" s="223">
        <f t="shared" si="1224"/>
        <v>24</v>
      </c>
      <c r="IN146" s="224">
        <f t="shared" si="1225"/>
        <v>36</v>
      </c>
      <c r="IO146" s="237">
        <f t="shared" si="1131"/>
        <v>2304</v>
      </c>
      <c r="IP146" s="234">
        <f>ID146*IF146*KOslave+ID146*INslave*IJ146+MUslave*IF146*IJ146</f>
        <v>3456</v>
      </c>
      <c r="IQ146" s="224">
        <f t="shared" si="1226"/>
        <v>1728</v>
      </c>
      <c r="IR146" s="224">
        <f t="shared" si="1132"/>
        <v>7488</v>
      </c>
      <c r="IS146" s="222">
        <f t="shared" si="1227"/>
        <v>3.6923076923076925</v>
      </c>
      <c r="IT146" s="223">
        <f t="shared" si="1228"/>
        <v>11.076923076923077</v>
      </c>
      <c r="IU146" s="243">
        <f t="shared" si="1229"/>
        <v>8.3076923076923084</v>
      </c>
      <c r="IV146" s="243">
        <f t="shared" si="1230"/>
        <v>23.07692307692308</v>
      </c>
      <c r="IW146" s="252">
        <f t="shared" si="1133"/>
        <v>0</v>
      </c>
      <c r="IX146" s="309">
        <f t="shared" si="1231"/>
        <v>23.07692307692308</v>
      </c>
      <c r="IY146" s="218">
        <f>IF(IV146&lt;=0,3,0)+IF(IV146&gt;0,IV146+1,0)*3+IF(IV146&gt;12,IV146-12,0)*3+IF(IV146&gt;13,IV146-13,0)*3+IF(IV146&gt;14,IV146-14,0)*3+IF(IV146&gt;15,IV146-15,0)*3+IF(IV146&gt;16,IV146-16,0)*3+IF(IV146&gt;17,IV146-17,0)*3+IF(IV146&gt;18,IV146-18,0)*3+IF(IV146&gt;19,IV146-19,0)*3+IF(IV146&gt;20,IV146-20,0)*3</f>
        <v>263.30769230769232</v>
      </c>
      <c r="IZ146" s="242">
        <f>IF(IW146&lt;=0,3,0)+IF(IW146&gt;0,IW146+1,0)*3+IF(IW146&gt;12,IW146-12,0)*3+IF(IW146&gt;13,IW146-13,0)*3+IF(IW146&gt;14,IW146-14,0)*3+IF(IW146&gt;15,IW146-15,0)*3+IF(IW146&gt;16,IW146-16,0)*3+IF(IW146&gt;17,IW146-17,0)*3+IF(IW146&gt;18,IW146-18,0)*3+IF(IW146&gt;19,IW146-19,0)*3+IF(IW146&gt;20,IW146-20,0)*3</f>
        <v>3</v>
      </c>
      <c r="JA146" s="243">
        <f t="shared" si="1232"/>
        <v>260.30769230769232</v>
      </c>
      <c r="JB146" s="218">
        <f t="shared" si="1233"/>
        <v>0</v>
      </c>
      <c r="JE146" s="148"/>
    </row>
    <row r="147" spans="2:265" ht="15" hidden="1" customHeight="1" outlineLevel="2">
      <c r="B147" s="148">
        <v>20</v>
      </c>
      <c r="C147" s="303" t="e">
        <f>VLOOKUP(AF147,Attribute!C:T,1,FALSE)</f>
        <v>#N/A</v>
      </c>
      <c r="D147" s="86" t="s">
        <v>86</v>
      </c>
      <c r="E147" s="127" t="s">
        <v>132</v>
      </c>
      <c r="F147" s="114">
        <f>Konvention_1master-MUmaster</f>
        <v>12</v>
      </c>
      <c r="G147" s="113"/>
      <c r="H147" s="113">
        <f>Konvention_1master-INmaster</f>
        <v>12</v>
      </c>
      <c r="I147" s="113">
        <f>Konvention_1master-CHmaster</f>
        <v>12</v>
      </c>
      <c r="J147" s="113"/>
      <c r="K147" s="113"/>
      <c r="L147" s="113"/>
      <c r="M147" s="119"/>
      <c r="N147" s="223">
        <f t="shared" si="1134"/>
        <v>12</v>
      </c>
      <c r="O147" s="223">
        <f t="shared" si="1135"/>
        <v>24</v>
      </c>
      <c r="P147" s="224">
        <f t="shared" si="1136"/>
        <v>36</v>
      </c>
      <c r="Q147" s="237">
        <f t="shared" si="1137"/>
        <v>2304</v>
      </c>
      <c r="R147" s="113">
        <f>F147*H147*CHmaster+F147*INmaster*I147+MUmaster*H147*I147</f>
        <v>3456</v>
      </c>
      <c r="S147" s="224">
        <f t="shared" si="1138"/>
        <v>1728</v>
      </c>
      <c r="T147" s="224">
        <f t="shared" si="1109"/>
        <v>7488</v>
      </c>
      <c r="U147" s="222">
        <f t="shared" si="1139"/>
        <v>3.6923076923076925</v>
      </c>
      <c r="V147" s="223">
        <f t="shared" si="1140"/>
        <v>11.076923076923077</v>
      </c>
      <c r="W147" s="243">
        <f t="shared" si="1141"/>
        <v>8.3076923076923084</v>
      </c>
      <c r="X147" s="243">
        <f t="shared" si="1142"/>
        <v>23.07692307692308</v>
      </c>
      <c r="Y147" s="252">
        <v>0</v>
      </c>
      <c r="Z147" s="198">
        <f t="shared" si="1143"/>
        <v>23.07692307692308</v>
      </c>
      <c r="AA147" s="125">
        <f>IF(X147&lt;=0,2,0)+IF(X147&gt;0,X147+1,0)*2+IF(X147&gt;12,X147-12,0)*2+IF(X147&gt;13,X147-13,0)*2+IF(X147&gt;14,X147-14,0)*2+IF(X147&gt;15,X147-15,0)*2+IF(X147&gt;16,X147-16,0)*2+IF(X147&gt;17,X147-17,0)*2+IF(X147&gt;18,X147-18,0)*2+IF(X147&gt;19,X147-19,0)*2+IF(X147&gt;20,X147-20,0)*2</f>
        <v>175.5384615384616</v>
      </c>
      <c r="AB147" s="160">
        <f>IF(Y147&lt;=0,2,0)+IF(Y147&gt;0,Y147+1,0)*2+IF(Y147&gt;12,Y147-12,0)*2+IF(Y147&gt;13,Y147-13,0)*2+IF(Y147&gt;14,Y147-14,0)*2+IF(Y147&gt;15,Y147-15,0)*2+IF(Y147&gt;16,Y147-16,0)*2+IF(Y147&gt;17,Y147-17,0)*2+IF(Y147&gt;18,Y147-18,0)*2+IF(Y147&gt;19,Y147-19,0)*2+IF(Y147&gt;20,Y147-20,0)*2</f>
        <v>2</v>
      </c>
      <c r="AC147" s="127">
        <f t="shared" si="1144"/>
        <v>173.5384615384616</v>
      </c>
      <c r="AD147" s="125">
        <f t="shared" si="1145"/>
        <v>0</v>
      </c>
      <c r="AF147" s="163" t="s">
        <v>220</v>
      </c>
      <c r="AG147" s="125" t="s">
        <v>86</v>
      </c>
      <c r="AH147" s="127" t="s">
        <v>132</v>
      </c>
      <c r="AI147" s="114">
        <f>Konvention_1slave-MUslave_MU</f>
        <v>11</v>
      </c>
      <c r="AJ147" s="113"/>
      <c r="AK147" s="113">
        <f>Konvention_1slave-INslave</f>
        <v>12</v>
      </c>
      <c r="AL147" s="113">
        <f>Konvention_1slave-CHslave</f>
        <v>12</v>
      </c>
      <c r="AM147" s="113"/>
      <c r="AN147" s="113"/>
      <c r="AO147" s="113"/>
      <c r="AP147" s="119"/>
      <c r="AQ147" s="47">
        <f t="shared" si="1146"/>
        <v>11.666666666666666</v>
      </c>
      <c r="AR147" s="47">
        <f t="shared" si="1147"/>
        <v>23.333333333333332</v>
      </c>
      <c r="AS147" s="119">
        <f t="shared" si="1148"/>
        <v>35</v>
      </c>
      <c r="AT147" s="114">
        <f t="shared" si="1110"/>
        <v>2432</v>
      </c>
      <c r="AU147" s="113">
        <f>AI147*AK147*CHslave+AI147*INslave*AL147+MUslave_MU*AK147*AL147</f>
        <v>3408</v>
      </c>
      <c r="AV147" s="119">
        <f t="shared" si="1149"/>
        <v>1584</v>
      </c>
      <c r="AW147" s="119">
        <f t="shared" si="1111"/>
        <v>7424</v>
      </c>
      <c r="AX147" s="89">
        <f t="shared" si="1150"/>
        <v>3.8218390804597702</v>
      </c>
      <c r="AY147" s="47">
        <f t="shared" si="1151"/>
        <v>10.711206896551724</v>
      </c>
      <c r="AZ147" s="127">
        <f t="shared" si="1152"/>
        <v>7.4676724137931032</v>
      </c>
      <c r="BA147" s="127">
        <f t="shared" si="1153"/>
        <v>22.000718390804597</v>
      </c>
      <c r="BB147" s="165">
        <f t="shared" si="1112"/>
        <v>0</v>
      </c>
      <c r="BC147" s="198">
        <f t="shared" si="1154"/>
        <v>22.000718390804597</v>
      </c>
      <c r="BD147" s="125">
        <f>IF(BA147&lt;=0,2,0)+IF(BA147&gt;0,BA147+1,0)*2+IF(BA147&gt;12,BA147-12,0)*2+IF(BA147&gt;13,BA147-13,0)*2+IF(BA147&gt;14,BA147-14,0)*2+IF(BA147&gt;15,BA147-15,0)*2+IF(BA147&gt;16,BA147-16,0)*2+IF(BA147&gt;17,BA147-17,0)*2+IF(BA147&gt;18,BA147-18,0)*2+IF(BA147&gt;19,BA147-19,0)*2+IF(BA147&gt;20,BA147-20,0)*2</f>
        <v>154.01436781609189</v>
      </c>
      <c r="BE147" s="160">
        <f>IF(BB147&lt;=0,2,0)+IF(BB147&gt;0,BB147+1,0)*2+IF(BB147&gt;12,BB147-12,0)*2+IF(BB147&gt;13,BB147-13,0)*2+IF(BB147&gt;14,BB147-14,0)*2+IF(BB147&gt;15,BB147-15,0)*2+IF(BB147&gt;16,BB147-16,0)*2+IF(BB147&gt;17,BB147-17,0)*2+IF(BB147&gt;18,BB147-18,0)*2+IF(BB147&gt;19,BB147-19,0)*2+IF(BB147&gt;20,BB147-20,0)*2</f>
        <v>2</v>
      </c>
      <c r="BF147" s="243">
        <f t="shared" si="1155"/>
        <v>152.01436781609189</v>
      </c>
      <c r="BG147" s="218">
        <f t="shared" si="1156"/>
        <v>0</v>
      </c>
      <c r="BI147" s="303" t="s">
        <v>220</v>
      </c>
      <c r="BJ147" s="218" t="s">
        <v>86</v>
      </c>
      <c r="BK147" s="243" t="s">
        <v>132</v>
      </c>
      <c r="BL147" s="237">
        <f>Konvention_1slave-MUslave</f>
        <v>12</v>
      </c>
      <c r="BM147" s="234"/>
      <c r="BN147" s="234">
        <f>Konvention_1slave-INslave</f>
        <v>12</v>
      </c>
      <c r="BO147" s="234">
        <f>Konvention_1slave-CHslave</f>
        <v>12</v>
      </c>
      <c r="BP147" s="234"/>
      <c r="BQ147" s="234"/>
      <c r="BR147" s="234"/>
      <c r="BS147" s="224"/>
      <c r="BT147" s="223">
        <f t="shared" si="1157"/>
        <v>12</v>
      </c>
      <c r="BU147" s="223">
        <f t="shared" si="1158"/>
        <v>24</v>
      </c>
      <c r="BV147" s="224">
        <f t="shared" si="1159"/>
        <v>36</v>
      </c>
      <c r="BW147" s="237">
        <f t="shared" si="1113"/>
        <v>2304</v>
      </c>
      <c r="BX147" s="234">
        <f>BL147*BN147*CHslave+BL147*INslave*BO147+MUslave*BN147*BO147</f>
        <v>3456</v>
      </c>
      <c r="BY147" s="224">
        <f t="shared" si="1160"/>
        <v>1728</v>
      </c>
      <c r="BZ147" s="224">
        <f t="shared" si="1114"/>
        <v>7488</v>
      </c>
      <c r="CA147" s="222">
        <f t="shared" si="1161"/>
        <v>3.6923076923076925</v>
      </c>
      <c r="CB147" s="223">
        <f t="shared" si="1162"/>
        <v>11.076923076923077</v>
      </c>
      <c r="CC147" s="243">
        <f t="shared" si="1163"/>
        <v>8.3076923076923084</v>
      </c>
      <c r="CD147" s="243">
        <f t="shared" si="1164"/>
        <v>23.07692307692308</v>
      </c>
      <c r="CE147" s="252">
        <f t="shared" si="1115"/>
        <v>0</v>
      </c>
      <c r="CF147" s="309">
        <f t="shared" si="1165"/>
        <v>23.07692307692308</v>
      </c>
      <c r="CG147" s="218">
        <f>IF(CD147&lt;=0,2,0)+IF(CD147&gt;0,CD147+1,0)*2+IF(CD147&gt;12,CD147-12,0)*2+IF(CD147&gt;13,CD147-13,0)*2+IF(CD147&gt;14,CD147-14,0)*2+IF(CD147&gt;15,CD147-15,0)*2+IF(CD147&gt;16,CD147-16,0)*2+IF(CD147&gt;17,CD147-17,0)*2+IF(CD147&gt;18,CD147-18,0)*2+IF(CD147&gt;19,CD147-19,0)*2+IF(CD147&gt;20,CD147-20,0)*2</f>
        <v>175.5384615384616</v>
      </c>
      <c r="CH147" s="242">
        <f>IF(CE147&lt;=0,2,0)+IF(CE147&gt;0,CE147+1,0)*2+IF(CE147&gt;12,CE147-12,0)*2+IF(CE147&gt;13,CE147-13,0)*2+IF(CE147&gt;14,CE147-14,0)*2+IF(CE147&gt;15,CE147-15,0)*2+IF(CE147&gt;16,CE147-16,0)*2+IF(CE147&gt;17,CE147-17,0)*2+IF(CE147&gt;18,CE147-18,0)*2+IF(CE147&gt;19,CE147-19,0)*2+IF(CE147&gt;20,CE147-20,0)*2</f>
        <v>2</v>
      </c>
      <c r="CI147" s="243">
        <f t="shared" si="1166"/>
        <v>173.5384615384616</v>
      </c>
      <c r="CJ147" s="218">
        <f t="shared" si="1167"/>
        <v>0</v>
      </c>
      <c r="CL147" s="303" t="s">
        <v>220</v>
      </c>
      <c r="CM147" s="218" t="s">
        <v>86</v>
      </c>
      <c r="CN147" s="243" t="s">
        <v>132</v>
      </c>
      <c r="CO147" s="237">
        <f>Konvention_1slave-MUslave</f>
        <v>12</v>
      </c>
      <c r="CP147" s="234"/>
      <c r="CQ147" s="234">
        <f>Konvention_1slave-INslave_IN</f>
        <v>11</v>
      </c>
      <c r="CR147" s="234">
        <f>Konvention_1slave-CHslave</f>
        <v>12</v>
      </c>
      <c r="CS147" s="234"/>
      <c r="CT147" s="234"/>
      <c r="CU147" s="234"/>
      <c r="CV147" s="224"/>
      <c r="CW147" s="223">
        <f t="shared" si="1168"/>
        <v>11.666666666666666</v>
      </c>
      <c r="CX147" s="223">
        <f t="shared" si="1169"/>
        <v>23.333333333333332</v>
      </c>
      <c r="CY147" s="224">
        <f t="shared" si="1170"/>
        <v>35</v>
      </c>
      <c r="CZ147" s="237">
        <f t="shared" si="1116"/>
        <v>2432</v>
      </c>
      <c r="DA147" s="234">
        <f>CO147*CQ147*CHslave+CO147*INslave_IN*CR147+MUslave*CQ147*CR147</f>
        <v>3408</v>
      </c>
      <c r="DB147" s="224">
        <f t="shared" si="1171"/>
        <v>1584</v>
      </c>
      <c r="DC147" s="224">
        <f t="shared" si="1117"/>
        <v>7424</v>
      </c>
      <c r="DD147" s="222">
        <f t="shared" si="1172"/>
        <v>3.8218390804597702</v>
      </c>
      <c r="DE147" s="223">
        <f t="shared" si="1173"/>
        <v>10.711206896551724</v>
      </c>
      <c r="DF147" s="243">
        <f t="shared" si="1174"/>
        <v>7.4676724137931032</v>
      </c>
      <c r="DG147" s="243">
        <f t="shared" si="1175"/>
        <v>22.000718390804597</v>
      </c>
      <c r="DH147" s="252">
        <f t="shared" si="1118"/>
        <v>0</v>
      </c>
      <c r="DI147" s="309">
        <f t="shared" si="1176"/>
        <v>22.000718390804597</v>
      </c>
      <c r="DJ147" s="218">
        <f>IF(DG147&lt;=0,2,0)+IF(DG147&gt;0,DG147+1,0)*2+IF(DG147&gt;12,DG147-12,0)*2+IF(DG147&gt;13,DG147-13,0)*2+IF(DG147&gt;14,DG147-14,0)*2+IF(DG147&gt;15,DG147-15,0)*2+IF(DG147&gt;16,DG147-16,0)*2+IF(DG147&gt;17,DG147-17,0)*2+IF(DG147&gt;18,DG147-18,0)*2+IF(DG147&gt;19,DG147-19,0)*2+IF(DG147&gt;20,DG147-20,0)*2</f>
        <v>154.01436781609189</v>
      </c>
      <c r="DK147" s="242">
        <f>IF(DH147&lt;=0,2,0)+IF(DH147&gt;0,DH147+1,0)*2+IF(DH147&gt;12,DH147-12,0)*2+IF(DH147&gt;13,DH147-13,0)*2+IF(DH147&gt;14,DH147-14,0)*2+IF(DH147&gt;15,DH147-15,0)*2+IF(DH147&gt;16,DH147-16,0)*2+IF(DH147&gt;17,DH147-17,0)*2+IF(DH147&gt;18,DH147-18,0)*2+IF(DH147&gt;19,DH147-19,0)*2+IF(DH147&gt;20,DH147-20,0)*2</f>
        <v>2</v>
      </c>
      <c r="DL147" s="243">
        <f t="shared" si="1177"/>
        <v>152.01436781609189</v>
      </c>
      <c r="DM147" s="218">
        <f t="shared" si="1178"/>
        <v>0</v>
      </c>
      <c r="DO147" s="303" t="s">
        <v>220</v>
      </c>
      <c r="DP147" s="218" t="s">
        <v>86</v>
      </c>
      <c r="DQ147" s="243" t="s">
        <v>132</v>
      </c>
      <c r="DR147" s="237">
        <f>Konvention_1slave-MUslave</f>
        <v>12</v>
      </c>
      <c r="DS147" s="234"/>
      <c r="DT147" s="234">
        <f>Konvention_1slave-INslave</f>
        <v>12</v>
      </c>
      <c r="DU147" s="234">
        <f>Konvention_1slave-CHslave_CH</f>
        <v>11</v>
      </c>
      <c r="DV147" s="234"/>
      <c r="DW147" s="234"/>
      <c r="DX147" s="234"/>
      <c r="DY147" s="224"/>
      <c r="DZ147" s="223">
        <f t="shared" si="1179"/>
        <v>11.666666666666666</v>
      </c>
      <c r="EA147" s="223">
        <f t="shared" si="1180"/>
        <v>23.333333333333332</v>
      </c>
      <c r="EB147" s="224">
        <f t="shared" si="1181"/>
        <v>35</v>
      </c>
      <c r="EC147" s="237">
        <f t="shared" si="1119"/>
        <v>2432</v>
      </c>
      <c r="ED147" s="234">
        <f>DR147*DT147*CHslave_CH+DR147*INslave*DU147+MUslave*DT147*DU147</f>
        <v>3408</v>
      </c>
      <c r="EE147" s="224">
        <f t="shared" si="1182"/>
        <v>1584</v>
      </c>
      <c r="EF147" s="224">
        <f t="shared" si="1120"/>
        <v>7424</v>
      </c>
      <c r="EG147" s="222">
        <f t="shared" si="1183"/>
        <v>3.8218390804597702</v>
      </c>
      <c r="EH147" s="223">
        <f t="shared" si="1184"/>
        <v>10.711206896551724</v>
      </c>
      <c r="EI147" s="243">
        <f t="shared" si="1185"/>
        <v>7.4676724137931032</v>
      </c>
      <c r="EJ147" s="243">
        <f t="shared" si="1186"/>
        <v>22.000718390804597</v>
      </c>
      <c r="EK147" s="252">
        <f t="shared" si="1121"/>
        <v>0</v>
      </c>
      <c r="EL147" s="309">
        <f t="shared" si="1187"/>
        <v>22.000718390804597</v>
      </c>
      <c r="EM147" s="218">
        <f>IF(EJ147&lt;=0,2,0)+IF(EJ147&gt;0,EJ147+1,0)*2+IF(EJ147&gt;12,EJ147-12,0)*2+IF(EJ147&gt;13,EJ147-13,0)*2+IF(EJ147&gt;14,EJ147-14,0)*2+IF(EJ147&gt;15,EJ147-15,0)*2+IF(EJ147&gt;16,EJ147-16,0)*2+IF(EJ147&gt;17,EJ147-17,0)*2+IF(EJ147&gt;18,EJ147-18,0)*2+IF(EJ147&gt;19,EJ147-19,0)*2+IF(EJ147&gt;20,EJ147-20,0)*2</f>
        <v>154.01436781609189</v>
      </c>
      <c r="EN147" s="242">
        <f>IF(EK147&lt;=0,2,0)+IF(EK147&gt;0,EK147+1,0)*2+IF(EK147&gt;12,EK147-12,0)*2+IF(EK147&gt;13,EK147-13,0)*2+IF(EK147&gt;14,EK147-14,0)*2+IF(EK147&gt;15,EK147-15,0)*2+IF(EK147&gt;16,EK147-16,0)*2+IF(EK147&gt;17,EK147-17,0)*2+IF(EK147&gt;18,EK147-18,0)*2+IF(EK147&gt;19,EK147-19,0)*2+IF(EK147&gt;20,EK147-20,0)*2</f>
        <v>2</v>
      </c>
      <c r="EO147" s="243">
        <f t="shared" si="1188"/>
        <v>152.01436781609189</v>
      </c>
      <c r="EP147" s="218">
        <f t="shared" si="1189"/>
        <v>0</v>
      </c>
      <c r="ER147" s="303" t="s">
        <v>220</v>
      </c>
      <c r="ES147" s="218" t="s">
        <v>86</v>
      </c>
      <c r="ET147" s="243" t="s">
        <v>132</v>
      </c>
      <c r="EU147" s="237">
        <f>Konvention_1slave-MUslave</f>
        <v>12</v>
      </c>
      <c r="EV147" s="234"/>
      <c r="EW147" s="234">
        <f>Konvention_1slave-INslave</f>
        <v>12</v>
      </c>
      <c r="EX147" s="234">
        <f>Konvention_1slave-CHslave</f>
        <v>12</v>
      </c>
      <c r="EY147" s="234"/>
      <c r="EZ147" s="234"/>
      <c r="FA147" s="234"/>
      <c r="FB147" s="224"/>
      <c r="FC147" s="223">
        <f t="shared" si="1190"/>
        <v>12</v>
      </c>
      <c r="FD147" s="223">
        <f t="shared" si="1191"/>
        <v>24</v>
      </c>
      <c r="FE147" s="224">
        <f t="shared" si="1192"/>
        <v>36</v>
      </c>
      <c r="FF147" s="237">
        <f t="shared" si="1122"/>
        <v>2304</v>
      </c>
      <c r="FG147" s="234">
        <f>EU147*EW147*CHslave+EU147*INslave*EX147+MUslave*EW147*EX147</f>
        <v>3456</v>
      </c>
      <c r="FH147" s="224">
        <f t="shared" si="1193"/>
        <v>1728</v>
      </c>
      <c r="FI147" s="224">
        <f t="shared" si="1123"/>
        <v>7488</v>
      </c>
      <c r="FJ147" s="222">
        <f t="shared" si="1194"/>
        <v>3.6923076923076925</v>
      </c>
      <c r="FK147" s="223">
        <f t="shared" si="1195"/>
        <v>11.076923076923077</v>
      </c>
      <c r="FL147" s="243">
        <f t="shared" si="1196"/>
        <v>8.3076923076923084</v>
      </c>
      <c r="FM147" s="243">
        <f t="shared" si="1197"/>
        <v>23.07692307692308</v>
      </c>
      <c r="FN147" s="252">
        <f t="shared" si="1124"/>
        <v>0</v>
      </c>
      <c r="FO147" s="309">
        <f t="shared" si="1198"/>
        <v>23.07692307692308</v>
      </c>
      <c r="FP147" s="218">
        <f>IF(FM147&lt;=0,2,0)+IF(FM147&gt;0,FM147+1,0)*2+IF(FM147&gt;12,FM147-12,0)*2+IF(FM147&gt;13,FM147-13,0)*2+IF(FM147&gt;14,FM147-14,0)*2+IF(FM147&gt;15,FM147-15,0)*2+IF(FM147&gt;16,FM147-16,0)*2+IF(FM147&gt;17,FM147-17,0)*2+IF(FM147&gt;18,FM147-18,0)*2+IF(FM147&gt;19,FM147-19,0)*2+IF(FM147&gt;20,FM147-20,0)*2</f>
        <v>175.5384615384616</v>
      </c>
      <c r="FQ147" s="242">
        <f>IF(FN147&lt;=0,2,0)+IF(FN147&gt;0,FN147+1,0)*2+IF(FN147&gt;12,FN147-12,0)*2+IF(FN147&gt;13,FN147-13,0)*2+IF(FN147&gt;14,FN147-14,0)*2+IF(FN147&gt;15,FN147-15,0)*2+IF(FN147&gt;16,FN147-16,0)*2+IF(FN147&gt;17,FN147-17,0)*2+IF(FN147&gt;18,FN147-18,0)*2+IF(FN147&gt;19,FN147-19,0)*2+IF(FN147&gt;20,FN147-20,0)*2</f>
        <v>2</v>
      </c>
      <c r="FR147" s="243">
        <f t="shared" si="1199"/>
        <v>173.5384615384616</v>
      </c>
      <c r="FS147" s="218">
        <f t="shared" si="1200"/>
        <v>0</v>
      </c>
      <c r="FU147" s="303" t="s">
        <v>220</v>
      </c>
      <c r="FV147" s="218" t="s">
        <v>86</v>
      </c>
      <c r="FW147" s="243" t="s">
        <v>132</v>
      </c>
      <c r="FX147" s="237">
        <f>Konvention_1slave-MUslave</f>
        <v>12</v>
      </c>
      <c r="FY147" s="234"/>
      <c r="FZ147" s="234">
        <f>Konvention_1slave-INslave</f>
        <v>12</v>
      </c>
      <c r="GA147" s="234">
        <f>Konvention_1slave-CHslave</f>
        <v>12</v>
      </c>
      <c r="GB147" s="234"/>
      <c r="GC147" s="234"/>
      <c r="GD147" s="234"/>
      <c r="GE147" s="224"/>
      <c r="GF147" s="223">
        <f t="shared" si="1201"/>
        <v>12</v>
      </c>
      <c r="GG147" s="223">
        <f t="shared" si="1202"/>
        <v>24</v>
      </c>
      <c r="GH147" s="224">
        <f t="shared" si="1203"/>
        <v>36</v>
      </c>
      <c r="GI147" s="237">
        <f t="shared" si="1125"/>
        <v>2304</v>
      </c>
      <c r="GJ147" s="234">
        <f>FX147*FZ147*CHslave+FX147*INslave*GA147+MUslave*FZ147*GA147</f>
        <v>3456</v>
      </c>
      <c r="GK147" s="224">
        <f t="shared" si="1204"/>
        <v>1728</v>
      </c>
      <c r="GL147" s="224">
        <f t="shared" si="1126"/>
        <v>7488</v>
      </c>
      <c r="GM147" s="222">
        <f t="shared" si="1205"/>
        <v>3.6923076923076925</v>
      </c>
      <c r="GN147" s="223">
        <f t="shared" si="1206"/>
        <v>11.076923076923077</v>
      </c>
      <c r="GO147" s="243">
        <f t="shared" si="1207"/>
        <v>8.3076923076923084</v>
      </c>
      <c r="GP147" s="243">
        <f t="shared" si="1208"/>
        <v>23.07692307692308</v>
      </c>
      <c r="GQ147" s="252">
        <f t="shared" si="1127"/>
        <v>0</v>
      </c>
      <c r="GR147" s="309">
        <f t="shared" si="1209"/>
        <v>23.07692307692308</v>
      </c>
      <c r="GS147" s="218">
        <f>IF(GP147&lt;=0,2,0)+IF(GP147&gt;0,GP147+1,0)*2+IF(GP147&gt;12,GP147-12,0)*2+IF(GP147&gt;13,GP147-13,0)*2+IF(GP147&gt;14,GP147-14,0)*2+IF(GP147&gt;15,GP147-15,0)*2+IF(GP147&gt;16,GP147-16,0)*2+IF(GP147&gt;17,GP147-17,0)*2+IF(GP147&gt;18,GP147-18,0)*2+IF(GP147&gt;19,GP147-19,0)*2+IF(GP147&gt;20,GP147-20,0)*2</f>
        <v>175.5384615384616</v>
      </c>
      <c r="GT147" s="242">
        <f>IF(GQ147&lt;=0,2,0)+IF(GQ147&gt;0,GQ147+1,0)*2+IF(GQ147&gt;12,GQ147-12,0)*2+IF(GQ147&gt;13,GQ147-13,0)*2+IF(GQ147&gt;14,GQ147-14,0)*2+IF(GQ147&gt;15,GQ147-15,0)*2+IF(GQ147&gt;16,GQ147-16,0)*2+IF(GQ147&gt;17,GQ147-17,0)*2+IF(GQ147&gt;18,GQ147-18,0)*2+IF(GQ147&gt;19,GQ147-19,0)*2+IF(GQ147&gt;20,GQ147-20,0)*2</f>
        <v>2</v>
      </c>
      <c r="GU147" s="243">
        <f t="shared" si="1210"/>
        <v>173.5384615384616</v>
      </c>
      <c r="GV147" s="218">
        <f t="shared" si="1211"/>
        <v>0</v>
      </c>
      <c r="GX147" s="303" t="s">
        <v>220</v>
      </c>
      <c r="GY147" s="218" t="s">
        <v>86</v>
      </c>
      <c r="GZ147" s="243" t="s">
        <v>132</v>
      </c>
      <c r="HA147" s="237">
        <f>Konvention_1slave-MUslave</f>
        <v>12</v>
      </c>
      <c r="HB147" s="234"/>
      <c r="HC147" s="234">
        <f>Konvention_1slave-INslave</f>
        <v>12</v>
      </c>
      <c r="HD147" s="234">
        <f>Konvention_1slave-CHslave</f>
        <v>12</v>
      </c>
      <c r="HE147" s="234"/>
      <c r="HF147" s="234"/>
      <c r="HG147" s="234"/>
      <c r="HH147" s="224"/>
      <c r="HI147" s="223">
        <f t="shared" si="1212"/>
        <v>12</v>
      </c>
      <c r="HJ147" s="223">
        <f t="shared" si="1213"/>
        <v>24</v>
      </c>
      <c r="HK147" s="224">
        <f t="shared" si="1214"/>
        <v>36</v>
      </c>
      <c r="HL147" s="237">
        <f t="shared" si="1128"/>
        <v>2304</v>
      </c>
      <c r="HM147" s="234">
        <f>HA147*HC147*CHslave+HA147*INslave*HD147+MUslave*HC147*HD147</f>
        <v>3456</v>
      </c>
      <c r="HN147" s="224">
        <f t="shared" si="1215"/>
        <v>1728</v>
      </c>
      <c r="HO147" s="224">
        <f t="shared" si="1129"/>
        <v>7488</v>
      </c>
      <c r="HP147" s="222">
        <f t="shared" si="1216"/>
        <v>3.6923076923076925</v>
      </c>
      <c r="HQ147" s="223">
        <f t="shared" si="1217"/>
        <v>11.076923076923077</v>
      </c>
      <c r="HR147" s="243">
        <f t="shared" si="1218"/>
        <v>8.3076923076923084</v>
      </c>
      <c r="HS147" s="243">
        <f t="shared" si="1219"/>
        <v>23.07692307692308</v>
      </c>
      <c r="HT147" s="252">
        <f t="shared" si="1130"/>
        <v>0</v>
      </c>
      <c r="HU147" s="309">
        <f t="shared" si="1220"/>
        <v>23.07692307692308</v>
      </c>
      <c r="HV147" s="218">
        <f>IF(HS147&lt;=0,2,0)+IF(HS147&gt;0,HS147+1,0)*2+IF(HS147&gt;12,HS147-12,0)*2+IF(HS147&gt;13,HS147-13,0)*2+IF(HS147&gt;14,HS147-14,0)*2+IF(HS147&gt;15,HS147-15,0)*2+IF(HS147&gt;16,HS147-16,0)*2+IF(HS147&gt;17,HS147-17,0)*2+IF(HS147&gt;18,HS147-18,0)*2+IF(HS147&gt;19,HS147-19,0)*2+IF(HS147&gt;20,HS147-20,0)*2</f>
        <v>175.5384615384616</v>
      </c>
      <c r="HW147" s="242">
        <f>IF(HT147&lt;=0,2,0)+IF(HT147&gt;0,HT147+1,0)*2+IF(HT147&gt;12,HT147-12,0)*2+IF(HT147&gt;13,HT147-13,0)*2+IF(HT147&gt;14,HT147-14,0)*2+IF(HT147&gt;15,HT147-15,0)*2+IF(HT147&gt;16,HT147-16,0)*2+IF(HT147&gt;17,HT147-17,0)*2+IF(HT147&gt;18,HT147-18,0)*2+IF(HT147&gt;19,HT147-19,0)*2+IF(HT147&gt;20,HT147-20,0)*2</f>
        <v>2</v>
      </c>
      <c r="HX147" s="243">
        <f t="shared" si="1221"/>
        <v>173.5384615384616</v>
      </c>
      <c r="HY147" s="218">
        <f t="shared" si="1222"/>
        <v>0</v>
      </c>
      <c r="IA147" s="303" t="s">
        <v>220</v>
      </c>
      <c r="IB147" s="218" t="s">
        <v>86</v>
      </c>
      <c r="IC147" s="243" t="s">
        <v>132</v>
      </c>
      <c r="ID147" s="237">
        <f>Konvention_1slave-MUslave</f>
        <v>12</v>
      </c>
      <c r="IE147" s="234"/>
      <c r="IF147" s="234">
        <f>Konvention_1slave-INslave</f>
        <v>12</v>
      </c>
      <c r="IG147" s="234">
        <f>Konvention_1slave-CHslave</f>
        <v>12</v>
      </c>
      <c r="IH147" s="234"/>
      <c r="II147" s="234"/>
      <c r="IJ147" s="234"/>
      <c r="IK147" s="224"/>
      <c r="IL147" s="223">
        <f t="shared" si="1223"/>
        <v>12</v>
      </c>
      <c r="IM147" s="223">
        <f t="shared" si="1224"/>
        <v>24</v>
      </c>
      <c r="IN147" s="224">
        <f t="shared" si="1225"/>
        <v>36</v>
      </c>
      <c r="IO147" s="237">
        <f t="shared" si="1131"/>
        <v>2304</v>
      </c>
      <c r="IP147" s="234">
        <f>ID147*IF147*CHslave+ID147*INslave*IG147+MUslave*IF147*IG147</f>
        <v>3456</v>
      </c>
      <c r="IQ147" s="224">
        <f t="shared" si="1226"/>
        <v>1728</v>
      </c>
      <c r="IR147" s="224">
        <f t="shared" si="1132"/>
        <v>7488</v>
      </c>
      <c r="IS147" s="222">
        <f t="shared" si="1227"/>
        <v>3.6923076923076925</v>
      </c>
      <c r="IT147" s="223">
        <f t="shared" si="1228"/>
        <v>11.076923076923077</v>
      </c>
      <c r="IU147" s="243">
        <f t="shared" si="1229"/>
        <v>8.3076923076923084</v>
      </c>
      <c r="IV147" s="243">
        <f t="shared" si="1230"/>
        <v>23.07692307692308</v>
      </c>
      <c r="IW147" s="252">
        <f t="shared" si="1133"/>
        <v>0</v>
      </c>
      <c r="IX147" s="309">
        <f t="shared" si="1231"/>
        <v>23.07692307692308</v>
      </c>
      <c r="IY147" s="218">
        <f>IF(IV147&lt;=0,2,0)+IF(IV147&gt;0,IV147+1,0)*2+IF(IV147&gt;12,IV147-12,0)*2+IF(IV147&gt;13,IV147-13,0)*2+IF(IV147&gt;14,IV147-14,0)*2+IF(IV147&gt;15,IV147-15,0)*2+IF(IV147&gt;16,IV147-16,0)*2+IF(IV147&gt;17,IV147-17,0)*2+IF(IV147&gt;18,IV147-18,0)*2+IF(IV147&gt;19,IV147-19,0)*2+IF(IV147&gt;20,IV147-20,0)*2</f>
        <v>175.5384615384616</v>
      </c>
      <c r="IZ147" s="242">
        <f>IF(IW147&lt;=0,2,0)+IF(IW147&gt;0,IW147+1,0)*2+IF(IW147&gt;12,IW147-12,0)*2+IF(IW147&gt;13,IW147-13,0)*2+IF(IW147&gt;14,IW147-14,0)*2+IF(IW147&gt;15,IW147-15,0)*2+IF(IW147&gt;16,IW147-16,0)*2+IF(IW147&gt;17,IW147-17,0)*2+IF(IW147&gt;18,IW147-18,0)*2+IF(IW147&gt;19,IW147-19,0)*2+IF(IW147&gt;20,IW147-20,0)*2</f>
        <v>2</v>
      </c>
      <c r="JA147" s="243">
        <f t="shared" si="1232"/>
        <v>173.5384615384616</v>
      </c>
      <c r="JB147" s="218">
        <f t="shared" si="1233"/>
        <v>0</v>
      </c>
      <c r="JE147" s="148"/>
    </row>
    <row r="148" spans="2:265" ht="15" hidden="1" customHeight="1" outlineLevel="2">
      <c r="B148" s="148">
        <v>21</v>
      </c>
      <c r="C148" s="303" t="e">
        <f>VLOOKUP(AF148,Attribute!C:T,1,FALSE)</f>
        <v>#N/A</v>
      </c>
      <c r="D148" s="125" t="s">
        <v>89</v>
      </c>
      <c r="E148" s="127" t="s">
        <v>132</v>
      </c>
      <c r="F148" s="114"/>
      <c r="G148" s="113">
        <f>Konvention_1master-KLmaster</f>
        <v>12</v>
      </c>
      <c r="H148" s="113"/>
      <c r="I148" s="113"/>
      <c r="J148" s="113">
        <f>Konvention_1master-FFmaster</f>
        <v>12</v>
      </c>
      <c r="K148" s="113"/>
      <c r="L148" s="113"/>
      <c r="M148" s="119">
        <f>Konvention_1master-KKmaster</f>
        <v>12</v>
      </c>
      <c r="N148" s="223">
        <f t="shared" si="1134"/>
        <v>12</v>
      </c>
      <c r="O148" s="223">
        <f t="shared" si="1135"/>
        <v>24</v>
      </c>
      <c r="P148" s="224">
        <f t="shared" si="1136"/>
        <v>36</v>
      </c>
      <c r="Q148" s="237">
        <f t="shared" si="1137"/>
        <v>2304</v>
      </c>
      <c r="R148" s="113">
        <f>G148*J148*KKmaster+G148*FFmaster*M148+KLmaster*J148*M148</f>
        <v>3456</v>
      </c>
      <c r="S148" s="224">
        <f t="shared" si="1138"/>
        <v>1728</v>
      </c>
      <c r="T148" s="224">
        <f t="shared" si="1109"/>
        <v>7488</v>
      </c>
      <c r="U148" s="222">
        <f t="shared" si="1139"/>
        <v>3.6923076923076925</v>
      </c>
      <c r="V148" s="223">
        <f t="shared" si="1140"/>
        <v>11.076923076923077</v>
      </c>
      <c r="W148" s="243">
        <f t="shared" si="1141"/>
        <v>8.3076923076923084</v>
      </c>
      <c r="X148" s="243">
        <f t="shared" si="1142"/>
        <v>23.07692307692308</v>
      </c>
      <c r="Y148" s="252">
        <v>0</v>
      </c>
      <c r="Z148" s="198">
        <f t="shared" si="1143"/>
        <v>23.07692307692308</v>
      </c>
      <c r="AA148" s="125">
        <f>IF(X148&lt;=0,2,0)+IF(X148&gt;0,X148+1,0)*2+IF(X148&gt;12,X148-12,0)*2+IF(X148&gt;13,X148-13,0)*2+IF(X148&gt;14,X148-14,0)*2+IF(X148&gt;15,X148-15,0)*2+IF(X148&gt;16,X148-16,0)*2+IF(X148&gt;17,X148-17,0)*2+IF(X148&gt;18,X148-18,0)*2+IF(X148&gt;19,X148-19,0)*2+IF(X148&gt;20,X148-20,0)*2</f>
        <v>175.5384615384616</v>
      </c>
      <c r="AB148" s="160">
        <f>IF(Y148&lt;=0,2,0)+IF(Y148&gt;0,Y148+1,0)*2+IF(Y148&gt;12,Y148-12,0)*2+IF(Y148&gt;13,Y148-13,0)*2+IF(Y148&gt;14,Y148-14,0)*2+IF(Y148&gt;15,Y148-15,0)*2+IF(Y148&gt;16,Y148-16,0)*2+IF(Y148&gt;17,Y148-17,0)*2+IF(Y148&gt;18,Y148-18,0)*2+IF(Y148&gt;19,Y148-19,0)*2+IF(Y148&gt;20,Y148-20,0)*2</f>
        <v>2</v>
      </c>
      <c r="AC148" s="127">
        <f t="shared" si="1144"/>
        <v>173.5384615384616</v>
      </c>
      <c r="AD148" s="125">
        <f t="shared" si="1145"/>
        <v>0</v>
      </c>
      <c r="AF148" s="163" t="s">
        <v>222</v>
      </c>
      <c r="AG148" s="125" t="s">
        <v>89</v>
      </c>
      <c r="AH148" s="127" t="s">
        <v>132</v>
      </c>
      <c r="AI148" s="114"/>
      <c r="AJ148" s="113">
        <f>Konvention_1slave-KLslave</f>
        <v>12</v>
      </c>
      <c r="AK148" s="113"/>
      <c r="AL148" s="113"/>
      <c r="AM148" s="113">
        <f>Konvention_1slave-FFslave</f>
        <v>12</v>
      </c>
      <c r="AN148" s="113"/>
      <c r="AO148" s="113"/>
      <c r="AP148" s="119">
        <f>Konvention_1slave-KKslave</f>
        <v>12</v>
      </c>
      <c r="AQ148" s="47">
        <f t="shared" si="1146"/>
        <v>12</v>
      </c>
      <c r="AR148" s="47">
        <f t="shared" si="1147"/>
        <v>24</v>
      </c>
      <c r="AS148" s="119">
        <f t="shared" si="1148"/>
        <v>36</v>
      </c>
      <c r="AT148" s="114">
        <f t="shared" si="1110"/>
        <v>2304</v>
      </c>
      <c r="AU148" s="113">
        <f>AJ148*AM148*KKslave+AJ148*FFslave*AP148+KLslave*AM148*AP148</f>
        <v>3456</v>
      </c>
      <c r="AV148" s="119">
        <f t="shared" si="1149"/>
        <v>1728</v>
      </c>
      <c r="AW148" s="119">
        <f t="shared" si="1111"/>
        <v>7488</v>
      </c>
      <c r="AX148" s="89">
        <f t="shared" si="1150"/>
        <v>3.6923076923076925</v>
      </c>
      <c r="AY148" s="47">
        <f t="shared" si="1151"/>
        <v>11.076923076923077</v>
      </c>
      <c r="AZ148" s="127">
        <f t="shared" si="1152"/>
        <v>8.3076923076923084</v>
      </c>
      <c r="BA148" s="127">
        <f t="shared" si="1153"/>
        <v>23.07692307692308</v>
      </c>
      <c r="BB148" s="165">
        <f t="shared" si="1112"/>
        <v>0</v>
      </c>
      <c r="BC148" s="198">
        <f t="shared" si="1154"/>
        <v>23.07692307692308</v>
      </c>
      <c r="BD148" s="125">
        <f>IF(BA148&lt;=0,2,0)+IF(BA148&gt;0,BA148+1,0)*2+IF(BA148&gt;12,BA148-12,0)*2+IF(BA148&gt;13,BA148-13,0)*2+IF(BA148&gt;14,BA148-14,0)*2+IF(BA148&gt;15,BA148-15,0)*2+IF(BA148&gt;16,BA148-16,0)*2+IF(BA148&gt;17,BA148-17,0)*2+IF(BA148&gt;18,BA148-18,0)*2+IF(BA148&gt;19,BA148-19,0)*2+IF(BA148&gt;20,BA148-20,0)*2</f>
        <v>175.5384615384616</v>
      </c>
      <c r="BE148" s="160">
        <f>IF(BB148&lt;=0,2,0)+IF(BB148&gt;0,BB148+1,0)*2+IF(BB148&gt;12,BB148-12,0)*2+IF(BB148&gt;13,BB148-13,0)*2+IF(BB148&gt;14,BB148-14,0)*2+IF(BB148&gt;15,BB148-15,0)*2+IF(BB148&gt;16,BB148-16,0)*2+IF(BB148&gt;17,BB148-17,0)*2+IF(BB148&gt;18,BB148-18,0)*2+IF(BB148&gt;19,BB148-19,0)*2+IF(BB148&gt;20,BB148-20,0)*2</f>
        <v>2</v>
      </c>
      <c r="BF148" s="243">
        <f t="shared" si="1155"/>
        <v>173.5384615384616</v>
      </c>
      <c r="BG148" s="218">
        <f t="shared" si="1156"/>
        <v>0</v>
      </c>
      <c r="BI148" s="303" t="s">
        <v>222</v>
      </c>
      <c r="BJ148" s="218" t="s">
        <v>89</v>
      </c>
      <c r="BK148" s="243" t="s">
        <v>132</v>
      </c>
      <c r="BL148" s="237"/>
      <c r="BM148" s="234">
        <f>Konvention_1slave-KLslave_KL</f>
        <v>11</v>
      </c>
      <c r="BN148" s="234"/>
      <c r="BO148" s="234"/>
      <c r="BP148" s="234">
        <f>Konvention_1slave-FFslave</f>
        <v>12</v>
      </c>
      <c r="BQ148" s="234"/>
      <c r="BR148" s="234"/>
      <c r="BS148" s="224">
        <f>Konvention_1slave-KKslave</f>
        <v>12</v>
      </c>
      <c r="BT148" s="223">
        <f t="shared" si="1157"/>
        <v>11.666666666666666</v>
      </c>
      <c r="BU148" s="223">
        <f t="shared" si="1158"/>
        <v>23.333333333333332</v>
      </c>
      <c r="BV148" s="224">
        <f t="shared" si="1159"/>
        <v>35</v>
      </c>
      <c r="BW148" s="237">
        <f t="shared" si="1113"/>
        <v>2432</v>
      </c>
      <c r="BX148" s="234">
        <f>BM148*BP148*KKslave+BM148*FFslave*BS148+KLslave_KL*BP148*BS148</f>
        <v>3408</v>
      </c>
      <c r="BY148" s="224">
        <f t="shared" si="1160"/>
        <v>1584</v>
      </c>
      <c r="BZ148" s="224">
        <f t="shared" si="1114"/>
        <v>7424</v>
      </c>
      <c r="CA148" s="222">
        <f t="shared" si="1161"/>
        <v>3.8218390804597702</v>
      </c>
      <c r="CB148" s="223">
        <f t="shared" si="1162"/>
        <v>10.711206896551724</v>
      </c>
      <c r="CC148" s="243">
        <f t="shared" si="1163"/>
        <v>7.4676724137931032</v>
      </c>
      <c r="CD148" s="243">
        <f t="shared" si="1164"/>
        <v>22.000718390804597</v>
      </c>
      <c r="CE148" s="252">
        <f t="shared" si="1115"/>
        <v>0</v>
      </c>
      <c r="CF148" s="309">
        <f t="shared" si="1165"/>
        <v>22.000718390804597</v>
      </c>
      <c r="CG148" s="218">
        <f>IF(CD148&lt;=0,2,0)+IF(CD148&gt;0,CD148+1,0)*2+IF(CD148&gt;12,CD148-12,0)*2+IF(CD148&gt;13,CD148-13,0)*2+IF(CD148&gt;14,CD148-14,0)*2+IF(CD148&gt;15,CD148-15,0)*2+IF(CD148&gt;16,CD148-16,0)*2+IF(CD148&gt;17,CD148-17,0)*2+IF(CD148&gt;18,CD148-18,0)*2+IF(CD148&gt;19,CD148-19,0)*2+IF(CD148&gt;20,CD148-20,0)*2</f>
        <v>154.01436781609189</v>
      </c>
      <c r="CH148" s="242">
        <f>IF(CE148&lt;=0,2,0)+IF(CE148&gt;0,CE148+1,0)*2+IF(CE148&gt;12,CE148-12,0)*2+IF(CE148&gt;13,CE148-13,0)*2+IF(CE148&gt;14,CE148-14,0)*2+IF(CE148&gt;15,CE148-15,0)*2+IF(CE148&gt;16,CE148-16,0)*2+IF(CE148&gt;17,CE148-17,0)*2+IF(CE148&gt;18,CE148-18,0)*2+IF(CE148&gt;19,CE148-19,0)*2+IF(CE148&gt;20,CE148-20,0)*2</f>
        <v>2</v>
      </c>
      <c r="CI148" s="243">
        <f t="shared" si="1166"/>
        <v>152.01436781609189</v>
      </c>
      <c r="CJ148" s="218">
        <f t="shared" si="1167"/>
        <v>0</v>
      </c>
      <c r="CL148" s="303" t="s">
        <v>222</v>
      </c>
      <c r="CM148" s="218" t="s">
        <v>89</v>
      </c>
      <c r="CN148" s="243" t="s">
        <v>132</v>
      </c>
      <c r="CO148" s="237"/>
      <c r="CP148" s="234">
        <f>Konvention_1slave-KLslave</f>
        <v>12</v>
      </c>
      <c r="CQ148" s="234"/>
      <c r="CR148" s="234"/>
      <c r="CS148" s="234">
        <f>Konvention_1slave-FFslave</f>
        <v>12</v>
      </c>
      <c r="CT148" s="234"/>
      <c r="CU148" s="234"/>
      <c r="CV148" s="224">
        <f>Konvention_1slave-KKslave</f>
        <v>12</v>
      </c>
      <c r="CW148" s="223">
        <f t="shared" si="1168"/>
        <v>12</v>
      </c>
      <c r="CX148" s="223">
        <f t="shared" si="1169"/>
        <v>24</v>
      </c>
      <c r="CY148" s="224">
        <f t="shared" si="1170"/>
        <v>36</v>
      </c>
      <c r="CZ148" s="237">
        <f t="shared" si="1116"/>
        <v>2304</v>
      </c>
      <c r="DA148" s="234">
        <f>CP148*CS148*KKslave+CP148*FFslave*CV148+KLslave*CS148*CV148</f>
        <v>3456</v>
      </c>
      <c r="DB148" s="224">
        <f t="shared" si="1171"/>
        <v>1728</v>
      </c>
      <c r="DC148" s="224">
        <f t="shared" si="1117"/>
        <v>7488</v>
      </c>
      <c r="DD148" s="222">
        <f t="shared" si="1172"/>
        <v>3.6923076923076925</v>
      </c>
      <c r="DE148" s="223">
        <f t="shared" si="1173"/>
        <v>11.076923076923077</v>
      </c>
      <c r="DF148" s="243">
        <f t="shared" si="1174"/>
        <v>8.3076923076923084</v>
      </c>
      <c r="DG148" s="243">
        <f t="shared" si="1175"/>
        <v>23.07692307692308</v>
      </c>
      <c r="DH148" s="252">
        <f t="shared" si="1118"/>
        <v>0</v>
      </c>
      <c r="DI148" s="309">
        <f t="shared" si="1176"/>
        <v>23.07692307692308</v>
      </c>
      <c r="DJ148" s="218">
        <f>IF(DG148&lt;=0,2,0)+IF(DG148&gt;0,DG148+1,0)*2+IF(DG148&gt;12,DG148-12,0)*2+IF(DG148&gt;13,DG148-13,0)*2+IF(DG148&gt;14,DG148-14,0)*2+IF(DG148&gt;15,DG148-15,0)*2+IF(DG148&gt;16,DG148-16,0)*2+IF(DG148&gt;17,DG148-17,0)*2+IF(DG148&gt;18,DG148-18,0)*2+IF(DG148&gt;19,DG148-19,0)*2+IF(DG148&gt;20,DG148-20,0)*2</f>
        <v>175.5384615384616</v>
      </c>
      <c r="DK148" s="242">
        <f>IF(DH148&lt;=0,2,0)+IF(DH148&gt;0,DH148+1,0)*2+IF(DH148&gt;12,DH148-12,0)*2+IF(DH148&gt;13,DH148-13,0)*2+IF(DH148&gt;14,DH148-14,0)*2+IF(DH148&gt;15,DH148-15,0)*2+IF(DH148&gt;16,DH148-16,0)*2+IF(DH148&gt;17,DH148-17,0)*2+IF(DH148&gt;18,DH148-18,0)*2+IF(DH148&gt;19,DH148-19,0)*2+IF(DH148&gt;20,DH148-20,0)*2</f>
        <v>2</v>
      </c>
      <c r="DL148" s="243">
        <f t="shared" si="1177"/>
        <v>173.5384615384616</v>
      </c>
      <c r="DM148" s="218">
        <f t="shared" si="1178"/>
        <v>0</v>
      </c>
      <c r="DO148" s="303" t="s">
        <v>222</v>
      </c>
      <c r="DP148" s="218" t="s">
        <v>89</v>
      </c>
      <c r="DQ148" s="243" t="s">
        <v>132</v>
      </c>
      <c r="DR148" s="237"/>
      <c r="DS148" s="234">
        <f>Konvention_1slave-KLslave</f>
        <v>12</v>
      </c>
      <c r="DT148" s="234"/>
      <c r="DU148" s="234"/>
      <c r="DV148" s="234">
        <f>Konvention_1slave-FFslave</f>
        <v>12</v>
      </c>
      <c r="DW148" s="234"/>
      <c r="DX148" s="234"/>
      <c r="DY148" s="224">
        <f>Konvention_1slave-KKslave</f>
        <v>12</v>
      </c>
      <c r="DZ148" s="223">
        <f t="shared" si="1179"/>
        <v>12</v>
      </c>
      <c r="EA148" s="223">
        <f t="shared" si="1180"/>
        <v>24</v>
      </c>
      <c r="EB148" s="224">
        <f t="shared" si="1181"/>
        <v>36</v>
      </c>
      <c r="EC148" s="237">
        <f t="shared" si="1119"/>
        <v>2304</v>
      </c>
      <c r="ED148" s="234">
        <f>DS148*DV148*KKslave+DS148*FFslave*DY148+KLslave*DV148*DY148</f>
        <v>3456</v>
      </c>
      <c r="EE148" s="224">
        <f t="shared" si="1182"/>
        <v>1728</v>
      </c>
      <c r="EF148" s="224">
        <f t="shared" si="1120"/>
        <v>7488</v>
      </c>
      <c r="EG148" s="222">
        <f t="shared" si="1183"/>
        <v>3.6923076923076925</v>
      </c>
      <c r="EH148" s="223">
        <f t="shared" si="1184"/>
        <v>11.076923076923077</v>
      </c>
      <c r="EI148" s="243">
        <f t="shared" si="1185"/>
        <v>8.3076923076923084</v>
      </c>
      <c r="EJ148" s="243">
        <f t="shared" si="1186"/>
        <v>23.07692307692308</v>
      </c>
      <c r="EK148" s="252">
        <f t="shared" si="1121"/>
        <v>0</v>
      </c>
      <c r="EL148" s="309">
        <f t="shared" si="1187"/>
        <v>23.07692307692308</v>
      </c>
      <c r="EM148" s="218">
        <f>IF(EJ148&lt;=0,2,0)+IF(EJ148&gt;0,EJ148+1,0)*2+IF(EJ148&gt;12,EJ148-12,0)*2+IF(EJ148&gt;13,EJ148-13,0)*2+IF(EJ148&gt;14,EJ148-14,0)*2+IF(EJ148&gt;15,EJ148-15,0)*2+IF(EJ148&gt;16,EJ148-16,0)*2+IF(EJ148&gt;17,EJ148-17,0)*2+IF(EJ148&gt;18,EJ148-18,0)*2+IF(EJ148&gt;19,EJ148-19,0)*2+IF(EJ148&gt;20,EJ148-20,0)*2</f>
        <v>175.5384615384616</v>
      </c>
      <c r="EN148" s="242">
        <f>IF(EK148&lt;=0,2,0)+IF(EK148&gt;0,EK148+1,0)*2+IF(EK148&gt;12,EK148-12,0)*2+IF(EK148&gt;13,EK148-13,0)*2+IF(EK148&gt;14,EK148-14,0)*2+IF(EK148&gt;15,EK148-15,0)*2+IF(EK148&gt;16,EK148-16,0)*2+IF(EK148&gt;17,EK148-17,0)*2+IF(EK148&gt;18,EK148-18,0)*2+IF(EK148&gt;19,EK148-19,0)*2+IF(EK148&gt;20,EK148-20,0)*2</f>
        <v>2</v>
      </c>
      <c r="EO148" s="243">
        <f t="shared" si="1188"/>
        <v>173.5384615384616</v>
      </c>
      <c r="EP148" s="218">
        <f t="shared" si="1189"/>
        <v>0</v>
      </c>
      <c r="ER148" s="303" t="s">
        <v>222</v>
      </c>
      <c r="ES148" s="218" t="s">
        <v>89</v>
      </c>
      <c r="ET148" s="243" t="s">
        <v>132</v>
      </c>
      <c r="EU148" s="237"/>
      <c r="EV148" s="234">
        <f>Konvention_1slave-KLslave</f>
        <v>12</v>
      </c>
      <c r="EW148" s="234"/>
      <c r="EX148" s="234"/>
      <c r="EY148" s="234">
        <f>Konvention_1slave-FFslave_FF</f>
        <v>11</v>
      </c>
      <c r="EZ148" s="234"/>
      <c r="FA148" s="234"/>
      <c r="FB148" s="224">
        <f>Konvention_1slave-KKslave</f>
        <v>12</v>
      </c>
      <c r="FC148" s="223">
        <f t="shared" si="1190"/>
        <v>11.666666666666666</v>
      </c>
      <c r="FD148" s="223">
        <f t="shared" si="1191"/>
        <v>23.333333333333332</v>
      </c>
      <c r="FE148" s="224">
        <f t="shared" si="1192"/>
        <v>35</v>
      </c>
      <c r="FF148" s="237">
        <f t="shared" si="1122"/>
        <v>2432</v>
      </c>
      <c r="FG148" s="234">
        <f>EV148*EY148*KKslave+EV148*FFslave_FF*FB148+KLslave*EY148*FB148</f>
        <v>3408</v>
      </c>
      <c r="FH148" s="224">
        <f t="shared" si="1193"/>
        <v>1584</v>
      </c>
      <c r="FI148" s="224">
        <f t="shared" si="1123"/>
        <v>7424</v>
      </c>
      <c r="FJ148" s="222">
        <f t="shared" si="1194"/>
        <v>3.8218390804597702</v>
      </c>
      <c r="FK148" s="223">
        <f t="shared" si="1195"/>
        <v>10.711206896551724</v>
      </c>
      <c r="FL148" s="243">
        <f t="shared" si="1196"/>
        <v>7.4676724137931032</v>
      </c>
      <c r="FM148" s="243">
        <f t="shared" si="1197"/>
        <v>22.000718390804597</v>
      </c>
      <c r="FN148" s="252">
        <f t="shared" si="1124"/>
        <v>0</v>
      </c>
      <c r="FO148" s="309">
        <f t="shared" si="1198"/>
        <v>22.000718390804597</v>
      </c>
      <c r="FP148" s="218">
        <f>IF(FM148&lt;=0,2,0)+IF(FM148&gt;0,FM148+1,0)*2+IF(FM148&gt;12,FM148-12,0)*2+IF(FM148&gt;13,FM148-13,0)*2+IF(FM148&gt;14,FM148-14,0)*2+IF(FM148&gt;15,FM148-15,0)*2+IF(FM148&gt;16,FM148-16,0)*2+IF(FM148&gt;17,FM148-17,0)*2+IF(FM148&gt;18,FM148-18,0)*2+IF(FM148&gt;19,FM148-19,0)*2+IF(FM148&gt;20,FM148-20,0)*2</f>
        <v>154.01436781609189</v>
      </c>
      <c r="FQ148" s="242">
        <f>IF(FN148&lt;=0,2,0)+IF(FN148&gt;0,FN148+1,0)*2+IF(FN148&gt;12,FN148-12,0)*2+IF(FN148&gt;13,FN148-13,0)*2+IF(FN148&gt;14,FN148-14,0)*2+IF(FN148&gt;15,FN148-15,0)*2+IF(FN148&gt;16,FN148-16,0)*2+IF(FN148&gt;17,FN148-17,0)*2+IF(FN148&gt;18,FN148-18,0)*2+IF(FN148&gt;19,FN148-19,0)*2+IF(FN148&gt;20,FN148-20,0)*2</f>
        <v>2</v>
      </c>
      <c r="FR148" s="243">
        <f t="shared" si="1199"/>
        <v>152.01436781609189</v>
      </c>
      <c r="FS148" s="218">
        <f t="shared" si="1200"/>
        <v>0</v>
      </c>
      <c r="FU148" s="303" t="s">
        <v>222</v>
      </c>
      <c r="FV148" s="218" t="s">
        <v>89</v>
      </c>
      <c r="FW148" s="243" t="s">
        <v>132</v>
      </c>
      <c r="FX148" s="237"/>
      <c r="FY148" s="234">
        <f>Konvention_1slave-KLslave</f>
        <v>12</v>
      </c>
      <c r="FZ148" s="234"/>
      <c r="GA148" s="234"/>
      <c r="GB148" s="234">
        <f>Konvention_1slave-FFslave</f>
        <v>12</v>
      </c>
      <c r="GC148" s="234"/>
      <c r="GD148" s="234"/>
      <c r="GE148" s="224">
        <f>Konvention_1slave-KKslave</f>
        <v>12</v>
      </c>
      <c r="GF148" s="223">
        <f t="shared" si="1201"/>
        <v>12</v>
      </c>
      <c r="GG148" s="223">
        <f t="shared" si="1202"/>
        <v>24</v>
      </c>
      <c r="GH148" s="224">
        <f t="shared" si="1203"/>
        <v>36</v>
      </c>
      <c r="GI148" s="237">
        <f t="shared" si="1125"/>
        <v>2304</v>
      </c>
      <c r="GJ148" s="234">
        <f>FY148*GB148*KKslave+FY148*FFslave*GE148+KLslave*GB148*GE148</f>
        <v>3456</v>
      </c>
      <c r="GK148" s="224">
        <f t="shared" si="1204"/>
        <v>1728</v>
      </c>
      <c r="GL148" s="224">
        <f t="shared" si="1126"/>
        <v>7488</v>
      </c>
      <c r="GM148" s="222">
        <f t="shared" si="1205"/>
        <v>3.6923076923076925</v>
      </c>
      <c r="GN148" s="223">
        <f t="shared" si="1206"/>
        <v>11.076923076923077</v>
      </c>
      <c r="GO148" s="243">
        <f t="shared" si="1207"/>
        <v>8.3076923076923084</v>
      </c>
      <c r="GP148" s="243">
        <f t="shared" si="1208"/>
        <v>23.07692307692308</v>
      </c>
      <c r="GQ148" s="252">
        <f t="shared" si="1127"/>
        <v>0</v>
      </c>
      <c r="GR148" s="309">
        <f t="shared" si="1209"/>
        <v>23.07692307692308</v>
      </c>
      <c r="GS148" s="218">
        <f>IF(GP148&lt;=0,2,0)+IF(GP148&gt;0,GP148+1,0)*2+IF(GP148&gt;12,GP148-12,0)*2+IF(GP148&gt;13,GP148-13,0)*2+IF(GP148&gt;14,GP148-14,0)*2+IF(GP148&gt;15,GP148-15,0)*2+IF(GP148&gt;16,GP148-16,0)*2+IF(GP148&gt;17,GP148-17,0)*2+IF(GP148&gt;18,GP148-18,0)*2+IF(GP148&gt;19,GP148-19,0)*2+IF(GP148&gt;20,GP148-20,0)*2</f>
        <v>175.5384615384616</v>
      </c>
      <c r="GT148" s="242">
        <f>IF(GQ148&lt;=0,2,0)+IF(GQ148&gt;0,GQ148+1,0)*2+IF(GQ148&gt;12,GQ148-12,0)*2+IF(GQ148&gt;13,GQ148-13,0)*2+IF(GQ148&gt;14,GQ148-14,0)*2+IF(GQ148&gt;15,GQ148-15,0)*2+IF(GQ148&gt;16,GQ148-16,0)*2+IF(GQ148&gt;17,GQ148-17,0)*2+IF(GQ148&gt;18,GQ148-18,0)*2+IF(GQ148&gt;19,GQ148-19,0)*2+IF(GQ148&gt;20,GQ148-20,0)*2</f>
        <v>2</v>
      </c>
      <c r="GU148" s="243">
        <f t="shared" si="1210"/>
        <v>173.5384615384616</v>
      </c>
      <c r="GV148" s="218">
        <f t="shared" si="1211"/>
        <v>0</v>
      </c>
      <c r="GX148" s="303" t="s">
        <v>222</v>
      </c>
      <c r="GY148" s="218" t="s">
        <v>89</v>
      </c>
      <c r="GZ148" s="243" t="s">
        <v>132</v>
      </c>
      <c r="HA148" s="237"/>
      <c r="HB148" s="234">
        <f>Konvention_1slave-KLslave</f>
        <v>12</v>
      </c>
      <c r="HC148" s="234"/>
      <c r="HD148" s="234"/>
      <c r="HE148" s="234">
        <f>Konvention_1slave-FFslave</f>
        <v>12</v>
      </c>
      <c r="HF148" s="234"/>
      <c r="HG148" s="234"/>
      <c r="HH148" s="224">
        <f>Konvention_1slave-KKslave</f>
        <v>12</v>
      </c>
      <c r="HI148" s="223">
        <f t="shared" si="1212"/>
        <v>12</v>
      </c>
      <c r="HJ148" s="223">
        <f t="shared" si="1213"/>
        <v>24</v>
      </c>
      <c r="HK148" s="224">
        <f t="shared" si="1214"/>
        <v>36</v>
      </c>
      <c r="HL148" s="237">
        <f t="shared" si="1128"/>
        <v>2304</v>
      </c>
      <c r="HM148" s="234">
        <f>HB148*HE148*KKslave+HB148*FFslave*HH148+KLslave*HE148*HH148</f>
        <v>3456</v>
      </c>
      <c r="HN148" s="224">
        <f t="shared" si="1215"/>
        <v>1728</v>
      </c>
      <c r="HO148" s="224">
        <f t="shared" si="1129"/>
        <v>7488</v>
      </c>
      <c r="HP148" s="222">
        <f t="shared" si="1216"/>
        <v>3.6923076923076925</v>
      </c>
      <c r="HQ148" s="223">
        <f t="shared" si="1217"/>
        <v>11.076923076923077</v>
      </c>
      <c r="HR148" s="243">
        <f t="shared" si="1218"/>
        <v>8.3076923076923084</v>
      </c>
      <c r="HS148" s="243">
        <f t="shared" si="1219"/>
        <v>23.07692307692308</v>
      </c>
      <c r="HT148" s="252">
        <f t="shared" si="1130"/>
        <v>0</v>
      </c>
      <c r="HU148" s="309">
        <f t="shared" si="1220"/>
        <v>23.07692307692308</v>
      </c>
      <c r="HV148" s="218">
        <f>IF(HS148&lt;=0,2,0)+IF(HS148&gt;0,HS148+1,0)*2+IF(HS148&gt;12,HS148-12,0)*2+IF(HS148&gt;13,HS148-13,0)*2+IF(HS148&gt;14,HS148-14,0)*2+IF(HS148&gt;15,HS148-15,0)*2+IF(HS148&gt;16,HS148-16,0)*2+IF(HS148&gt;17,HS148-17,0)*2+IF(HS148&gt;18,HS148-18,0)*2+IF(HS148&gt;19,HS148-19,0)*2+IF(HS148&gt;20,HS148-20,0)*2</f>
        <v>175.5384615384616</v>
      </c>
      <c r="HW148" s="242">
        <f>IF(HT148&lt;=0,2,0)+IF(HT148&gt;0,HT148+1,0)*2+IF(HT148&gt;12,HT148-12,0)*2+IF(HT148&gt;13,HT148-13,0)*2+IF(HT148&gt;14,HT148-14,0)*2+IF(HT148&gt;15,HT148-15,0)*2+IF(HT148&gt;16,HT148-16,0)*2+IF(HT148&gt;17,HT148-17,0)*2+IF(HT148&gt;18,HT148-18,0)*2+IF(HT148&gt;19,HT148-19,0)*2+IF(HT148&gt;20,HT148-20,0)*2</f>
        <v>2</v>
      </c>
      <c r="HX148" s="243">
        <f t="shared" si="1221"/>
        <v>173.5384615384616</v>
      </c>
      <c r="HY148" s="218">
        <f t="shared" si="1222"/>
        <v>0</v>
      </c>
      <c r="IA148" s="303" t="s">
        <v>222</v>
      </c>
      <c r="IB148" s="218" t="s">
        <v>89</v>
      </c>
      <c r="IC148" s="243" t="s">
        <v>132</v>
      </c>
      <c r="ID148" s="237"/>
      <c r="IE148" s="234">
        <f>Konvention_1slave-KLslave</f>
        <v>12</v>
      </c>
      <c r="IF148" s="234"/>
      <c r="IG148" s="234"/>
      <c r="IH148" s="234">
        <f>Konvention_1slave-FFslave</f>
        <v>12</v>
      </c>
      <c r="II148" s="234"/>
      <c r="IJ148" s="234"/>
      <c r="IK148" s="224">
        <f>Konvention_1slave-KKslave_KK</f>
        <v>11</v>
      </c>
      <c r="IL148" s="223">
        <f t="shared" si="1223"/>
        <v>11.666666666666666</v>
      </c>
      <c r="IM148" s="223">
        <f t="shared" si="1224"/>
        <v>23.333333333333332</v>
      </c>
      <c r="IN148" s="224">
        <f t="shared" si="1225"/>
        <v>35</v>
      </c>
      <c r="IO148" s="237">
        <f t="shared" si="1131"/>
        <v>2432</v>
      </c>
      <c r="IP148" s="234">
        <f>IE148*IH148*KKslave_KK+IE148*FFslave*IK148+KLslave*IH148*IK148</f>
        <v>3408</v>
      </c>
      <c r="IQ148" s="224">
        <f t="shared" si="1226"/>
        <v>1584</v>
      </c>
      <c r="IR148" s="224">
        <f t="shared" si="1132"/>
        <v>7424</v>
      </c>
      <c r="IS148" s="222">
        <f t="shared" si="1227"/>
        <v>3.8218390804597702</v>
      </c>
      <c r="IT148" s="223">
        <f t="shared" si="1228"/>
        <v>10.711206896551724</v>
      </c>
      <c r="IU148" s="243">
        <f t="shared" si="1229"/>
        <v>7.4676724137931032</v>
      </c>
      <c r="IV148" s="243">
        <f t="shared" si="1230"/>
        <v>22.000718390804597</v>
      </c>
      <c r="IW148" s="252">
        <f t="shared" si="1133"/>
        <v>0</v>
      </c>
      <c r="IX148" s="309">
        <f t="shared" si="1231"/>
        <v>22.000718390804597</v>
      </c>
      <c r="IY148" s="218">
        <f>IF(IV148&lt;=0,2,0)+IF(IV148&gt;0,IV148+1,0)*2+IF(IV148&gt;12,IV148-12,0)*2+IF(IV148&gt;13,IV148-13,0)*2+IF(IV148&gt;14,IV148-14,0)*2+IF(IV148&gt;15,IV148-15,0)*2+IF(IV148&gt;16,IV148-16,0)*2+IF(IV148&gt;17,IV148-17,0)*2+IF(IV148&gt;18,IV148-18,0)*2+IF(IV148&gt;19,IV148-19,0)*2+IF(IV148&gt;20,IV148-20,0)*2</f>
        <v>154.01436781609189</v>
      </c>
      <c r="IZ148" s="242">
        <f>IF(IW148&lt;=0,2,0)+IF(IW148&gt;0,IW148+1,0)*2+IF(IW148&gt;12,IW148-12,0)*2+IF(IW148&gt;13,IW148-13,0)*2+IF(IW148&gt;14,IW148-14,0)*2+IF(IW148&gt;15,IW148-15,0)*2+IF(IW148&gt;16,IW148-16,0)*2+IF(IW148&gt;17,IW148-17,0)*2+IF(IW148&gt;18,IW148-18,0)*2+IF(IW148&gt;19,IW148-19,0)*2+IF(IW148&gt;20,IW148-20,0)*2</f>
        <v>2</v>
      </c>
      <c r="JA148" s="243">
        <f t="shared" si="1232"/>
        <v>152.01436781609189</v>
      </c>
      <c r="JB148" s="218">
        <f t="shared" si="1233"/>
        <v>0</v>
      </c>
      <c r="JE148" s="148"/>
    </row>
    <row r="149" spans="2:265" ht="15" hidden="1" customHeight="1" outlineLevel="2">
      <c r="B149" s="148">
        <v>22</v>
      </c>
      <c r="C149" s="303" t="e">
        <f>VLOOKUP(AF149,Attribute!C:T,1,FALSE)</f>
        <v>#N/A</v>
      </c>
      <c r="D149" s="86" t="s">
        <v>86</v>
      </c>
      <c r="E149" s="127" t="s">
        <v>133</v>
      </c>
      <c r="F149" s="114">
        <f>Konvention_1master-MUmaster</f>
        <v>12</v>
      </c>
      <c r="G149" s="113"/>
      <c r="H149" s="113">
        <f>Konvention_1master-INmaster</f>
        <v>12</v>
      </c>
      <c r="I149" s="113">
        <f>Konvention_1master-CHmaster</f>
        <v>12</v>
      </c>
      <c r="J149" s="113"/>
      <c r="K149" s="113"/>
      <c r="L149" s="113"/>
      <c r="M149" s="119"/>
      <c r="N149" s="223">
        <f t="shared" si="1134"/>
        <v>12</v>
      </c>
      <c r="O149" s="223">
        <f t="shared" si="1135"/>
        <v>24</v>
      </c>
      <c r="P149" s="224">
        <f t="shared" si="1136"/>
        <v>36</v>
      </c>
      <c r="Q149" s="237">
        <f>F149*POWER(KLmaster,SIGN(G149))*POWER(INmaster,SIGN(H149))*POWER(CHmaster,SIGN(I149))*POWER(FFmaster,SIGN(J149))*POWER(GEmaster,SIGN(K149))*POWER(KOmaster,SIGN(L149))*POWER(KKmaster,SIGN(M149))+G149*POWER(MUmaster,SIGN(F149))*POWER(INmaster,SIGN(H149))*POWER(CHmaster,SIGN(I149))*POWER(FFmaster,SIGN(J149))*POWER(GEmaster,SIGN(K149))*POWER(KOmaster,SIGN(L149))*POWER(KKmaster,SIGN(M149))+H149*POWER(MUmaster,SIGN(F149))*POWER(KLmaster,SIGN(G149))*POWER(CHmaster,SIGN(I149))*POWER(FFmaster,SIGN(J149))*POWER(GEmaster,SIGN(K149))*POWER(KOmaster,SIGN(L149))*POWER(KKmaster,SIGN(M149))+I149*POWER(MUmaster,SIGN(F149))*POWER(KLmaster,SIGN(G149))*POWER(INmaster,SIGN(H149))*POWER(FFmaster,SIGN(J149))*POWER(GEmaster,SIGN(K149))*POWER(KOmaster,SIGN(L149))*POWER(KKmaster,SIGN(M149))+J149*POWER(MUmaster,SIGN(F149))*POWER(KLmaster,SIGN(G149))*POWER(INmaster,SIGN(H149))*POWER(CHmaster,SIGN(I149))*POWER(GEmaster,SIGN(K149))*POWER(KOmaster,SIGN(L149))*POWER(KKmaster,SIGN(M149))+K149*POWER(MUmaster,SIGN(F149))*POWER(KLmaster,SIGN(G149))*POWER(INmaster,SIGN(H149))*POWER(CHmaster,SIGN(I149))*POWER(FFmaster,SIGN(J149))*POWER(KOmaster,SIGN(L149))*POWER(KKmaster,SIGN(M149))+L149*POWER(MUmaster,SIGN(F149))*POWER(KLmaster,SIGN(G149))*POWER(INmaster,SIGN(H149))*POWER(CHmaster,SIGN(I149))*POWER(FFmaster,SIGN(J149))*POWER(GEmaster,SIGN(K149))*POWER(KKmaster,SIGN(M149))+M149*POWER(MUmaster,SIGN(F149))*POWER(KLmaster,SIGN(G149))*POWER(INmaster,SIGN(H149))*POWER(CHmaster,SIGN(I149))*POWER(FFmaster,SIGN(J149))*POWER(GEmaster,SIGN(K149))*POWER(KOmaster,SIGN(L149))</f>
        <v>2304</v>
      </c>
      <c r="R149" s="113">
        <f>F149*H149*CHmaster+F149*INmaster*I149+MUmaster*H149*I149</f>
        <v>3456</v>
      </c>
      <c r="S149" s="224">
        <f t="shared" si="1138"/>
        <v>1728</v>
      </c>
      <c r="T149" s="224">
        <f t="shared" si="1109"/>
        <v>7488</v>
      </c>
      <c r="U149" s="222">
        <f>N149*Q149/T149</f>
        <v>3.6923076923076925</v>
      </c>
      <c r="V149" s="223">
        <f>O149*R149/T149</f>
        <v>11.076923076923077</v>
      </c>
      <c r="W149" s="243">
        <f>P149*S149/T149</f>
        <v>8.3076923076923084</v>
      </c>
      <c r="X149" s="243">
        <f>SUM(U149:W149)</f>
        <v>23.07692307692308</v>
      </c>
      <c r="Y149" s="252">
        <v>0</v>
      </c>
      <c r="Z149" s="198">
        <f>X149-Y149</f>
        <v>23.07692307692308</v>
      </c>
      <c r="AA149" s="125">
        <f>IF(X149&lt;=0,1,0)+IF(X149&gt;0,X149+1,0)*1+IF(X149&gt;12,X149-12,0)*1+IF(X149&gt;13,X149-13,0)*1+IF(X149&gt;14,X149-14,0)*1+IF(X149&gt;15,X149-15,0)*1+IF(X149&gt;16,X149-16,0)*1+IF(X149&gt;17,X149-17,0)*1+IF(X149&gt;18,X149-18,0)*1+IF(X149&gt;19,X149-19,0)*1+IF(X149&gt;20,X149-20,0)*1</f>
        <v>87.769230769230802</v>
      </c>
      <c r="AB149" s="160">
        <f>IF(Y149&lt;=0,1,0)+IF(Y149&gt;0,Y149+1,0)*1+IF(Y149&gt;12,Y149-12,0)*1+IF(Y149&gt;13,Y149-13,0)*1+IF(Y149&gt;14,Y149-14,0)*1+IF(Y149&gt;15,Y149-15,0)*1+IF(Y149&gt;16,Y149-16,0)*1+IF(Y149&gt;17,Y149-17,0)*1+IF(Y149&gt;18,Y149-18,0)*1+IF(Y149&gt;19,Y149-19,0)*1+IF(Y149&gt;20,Y149-20,0)*1</f>
        <v>1</v>
      </c>
      <c r="AC149" s="127">
        <f t="shared" si="1144"/>
        <v>86.769230769230802</v>
      </c>
      <c r="AD149" s="125">
        <f t="shared" si="1145"/>
        <v>0</v>
      </c>
      <c r="AF149" s="163" t="s">
        <v>377</v>
      </c>
      <c r="AG149" s="125" t="s">
        <v>86</v>
      </c>
      <c r="AH149" s="127" t="s">
        <v>133</v>
      </c>
      <c r="AI149" s="114">
        <f>Konvention_1slave-MUslave_MU</f>
        <v>11</v>
      </c>
      <c r="AJ149" s="113"/>
      <c r="AK149" s="113">
        <f>Konvention_1slave-INslave</f>
        <v>12</v>
      </c>
      <c r="AL149" s="113">
        <f>Konvention_1slave-CHslave</f>
        <v>12</v>
      </c>
      <c r="AM149" s="113"/>
      <c r="AN149" s="113"/>
      <c r="AO149" s="113"/>
      <c r="AP149" s="119"/>
      <c r="AQ149" s="47">
        <f t="shared" si="1146"/>
        <v>11.666666666666666</v>
      </c>
      <c r="AR149" s="47">
        <f t="shared" si="1147"/>
        <v>23.333333333333332</v>
      </c>
      <c r="AS149" s="119">
        <f t="shared" si="1148"/>
        <v>35</v>
      </c>
      <c r="AT149" s="114">
        <f t="shared" si="1110"/>
        <v>2432</v>
      </c>
      <c r="AU149" s="113">
        <f>AI149*AK149*CHslave+AI149*INslave*AL149+MUslave_MU*AK149*AL149</f>
        <v>3408</v>
      </c>
      <c r="AV149" s="119">
        <f t="shared" si="1149"/>
        <v>1584</v>
      </c>
      <c r="AW149" s="119">
        <f t="shared" si="1111"/>
        <v>7424</v>
      </c>
      <c r="AX149" s="89">
        <f>AQ149*AT149/AW149</f>
        <v>3.8218390804597702</v>
      </c>
      <c r="AY149" s="47">
        <f>AR149*AU149/AW149</f>
        <v>10.711206896551724</v>
      </c>
      <c r="AZ149" s="127">
        <f>AS149*AV149/AW149</f>
        <v>7.4676724137931032</v>
      </c>
      <c r="BA149" s="127">
        <f>SUM(AX149:AZ149)</f>
        <v>22.000718390804597</v>
      </c>
      <c r="BB149" s="165">
        <f t="shared" si="1112"/>
        <v>0</v>
      </c>
      <c r="BC149" s="198">
        <f t="shared" si="1154"/>
        <v>22.000718390804597</v>
      </c>
      <c r="BD149" s="125">
        <f>IF(BA149&lt;=0,1,0)+IF(BA149&gt;0,BA149+1,0)*1+IF(BA149&gt;12,BA149-12,0)*1+IF(BA149&gt;13,BA149-13,0)*1+IF(BA149&gt;14,BA149-14,0)*1+IF(BA149&gt;15,BA149-15,0)*1+IF(BA149&gt;16,BA149-16,0)*1+IF(BA149&gt;17,BA149-17,0)*1+IF(BA149&gt;18,BA149-18,0)*1+IF(BA149&gt;19,BA149-19,0)*1+IF(BA149&gt;20,BA149-20,0)*1</f>
        <v>77.007183908045945</v>
      </c>
      <c r="BE149" s="160">
        <f>IF(BB149&lt;=0,1,0)+IF(BB149&gt;0,BB149+1,0)*1+IF(BB149&gt;12,BB149-12,0)*1+IF(BB149&gt;13,BB149-13,0)*1+IF(BB149&gt;14,BB149-14,0)*1+IF(BB149&gt;15,BB149-15,0)*1+IF(BB149&gt;16,BB149-16,0)*1+IF(BB149&gt;17,BB149-17,0)*1+IF(BB149&gt;18,BB149-18,0)*1+IF(BB149&gt;19,BB149-19,0)*1+IF(BB149&gt;20,BB149-20,0)*1</f>
        <v>1</v>
      </c>
      <c r="BF149" s="243">
        <f t="shared" si="1155"/>
        <v>76.007183908045945</v>
      </c>
      <c r="BG149" s="218">
        <f t="shared" si="1156"/>
        <v>0</v>
      </c>
      <c r="BI149" s="303" t="s">
        <v>377</v>
      </c>
      <c r="BJ149" s="218" t="s">
        <v>86</v>
      </c>
      <c r="BK149" s="243" t="s">
        <v>133</v>
      </c>
      <c r="BL149" s="237">
        <f>Konvention_1slave-MUslave</f>
        <v>12</v>
      </c>
      <c r="BM149" s="234"/>
      <c r="BN149" s="234">
        <f>Konvention_1slave-INslave</f>
        <v>12</v>
      </c>
      <c r="BO149" s="234">
        <f>Konvention_1slave-CHslave</f>
        <v>12</v>
      </c>
      <c r="BP149" s="234"/>
      <c r="BQ149" s="234"/>
      <c r="BR149" s="234"/>
      <c r="BS149" s="224"/>
      <c r="BT149" s="223">
        <f t="shared" si="1157"/>
        <v>12</v>
      </c>
      <c r="BU149" s="223">
        <f t="shared" si="1158"/>
        <v>24</v>
      </c>
      <c r="BV149" s="224">
        <f t="shared" si="1159"/>
        <v>36</v>
      </c>
      <c r="BW149" s="237">
        <f t="shared" si="1113"/>
        <v>2304</v>
      </c>
      <c r="BX149" s="234">
        <f>BL149*BN149*CHslave+BL149*INslave*BO149+MUslave*BN149*BO149</f>
        <v>3456</v>
      </c>
      <c r="BY149" s="224">
        <f t="shared" si="1160"/>
        <v>1728</v>
      </c>
      <c r="BZ149" s="224">
        <f t="shared" si="1114"/>
        <v>7488</v>
      </c>
      <c r="CA149" s="222">
        <f>BT149*BW149/BZ149</f>
        <v>3.6923076923076925</v>
      </c>
      <c r="CB149" s="223">
        <f>BU149*BX149/BZ149</f>
        <v>11.076923076923077</v>
      </c>
      <c r="CC149" s="243">
        <f>BV149*BY149/BZ149</f>
        <v>8.3076923076923084</v>
      </c>
      <c r="CD149" s="243">
        <f>SUM(CA149:CC149)</f>
        <v>23.07692307692308</v>
      </c>
      <c r="CE149" s="252">
        <f t="shared" si="1115"/>
        <v>0</v>
      </c>
      <c r="CF149" s="309">
        <f t="shared" si="1165"/>
        <v>23.07692307692308</v>
      </c>
      <c r="CG149" s="218">
        <f>IF(CD149&lt;=0,1,0)+IF(CD149&gt;0,CD149+1,0)*1+IF(CD149&gt;12,CD149-12,0)*1+IF(CD149&gt;13,CD149-13,0)*1+IF(CD149&gt;14,CD149-14,0)*1+IF(CD149&gt;15,CD149-15,0)*1+IF(CD149&gt;16,CD149-16,0)*1+IF(CD149&gt;17,CD149-17,0)*1+IF(CD149&gt;18,CD149-18,0)*1+IF(CD149&gt;19,CD149-19,0)*1+IF(CD149&gt;20,CD149-20,0)*1</f>
        <v>87.769230769230802</v>
      </c>
      <c r="CH149" s="242">
        <f>IF(CE149&lt;=0,1,0)+IF(CE149&gt;0,CE149+1,0)*1+IF(CE149&gt;12,CE149-12,0)*1+IF(CE149&gt;13,CE149-13,0)*1+IF(CE149&gt;14,CE149-14,0)*1+IF(CE149&gt;15,CE149-15,0)*1+IF(CE149&gt;16,CE149-16,0)*1+IF(CE149&gt;17,CE149-17,0)*1+IF(CE149&gt;18,CE149-18,0)*1+IF(CE149&gt;19,CE149-19,0)*1+IF(CE149&gt;20,CE149-20,0)*1</f>
        <v>1</v>
      </c>
      <c r="CI149" s="243">
        <f t="shared" si="1166"/>
        <v>86.769230769230802</v>
      </c>
      <c r="CJ149" s="218">
        <f t="shared" si="1167"/>
        <v>0</v>
      </c>
      <c r="CL149" s="303" t="s">
        <v>377</v>
      </c>
      <c r="CM149" s="218" t="s">
        <v>86</v>
      </c>
      <c r="CN149" s="243" t="s">
        <v>133</v>
      </c>
      <c r="CO149" s="237">
        <f>Konvention_1slave-MUslave</f>
        <v>12</v>
      </c>
      <c r="CP149" s="234"/>
      <c r="CQ149" s="234">
        <f>Konvention_1slave-INslave_IN</f>
        <v>11</v>
      </c>
      <c r="CR149" s="234">
        <f>Konvention_1slave-CHslave</f>
        <v>12</v>
      </c>
      <c r="CS149" s="234"/>
      <c r="CT149" s="234"/>
      <c r="CU149" s="234"/>
      <c r="CV149" s="224"/>
      <c r="CW149" s="223">
        <f t="shared" si="1168"/>
        <v>11.666666666666666</v>
      </c>
      <c r="CX149" s="223">
        <f t="shared" si="1169"/>
        <v>23.333333333333332</v>
      </c>
      <c r="CY149" s="224">
        <f t="shared" si="1170"/>
        <v>35</v>
      </c>
      <c r="CZ149" s="237">
        <f t="shared" si="1116"/>
        <v>2432</v>
      </c>
      <c r="DA149" s="234">
        <f>CO149*CQ149*CHslave+CO149*INslave_IN*CR149+MUslave*CQ149*CR149</f>
        <v>3408</v>
      </c>
      <c r="DB149" s="224">
        <f t="shared" si="1171"/>
        <v>1584</v>
      </c>
      <c r="DC149" s="224">
        <f t="shared" si="1117"/>
        <v>7424</v>
      </c>
      <c r="DD149" s="222">
        <f>CW149*CZ149/DC149</f>
        <v>3.8218390804597702</v>
      </c>
      <c r="DE149" s="223">
        <f>CX149*DA149/DC149</f>
        <v>10.711206896551724</v>
      </c>
      <c r="DF149" s="243">
        <f>CY149*DB149/DC149</f>
        <v>7.4676724137931032</v>
      </c>
      <c r="DG149" s="243">
        <f>SUM(DD149:DF149)</f>
        <v>22.000718390804597</v>
      </c>
      <c r="DH149" s="252">
        <f t="shared" si="1118"/>
        <v>0</v>
      </c>
      <c r="DI149" s="309">
        <f t="shared" si="1176"/>
        <v>22.000718390804597</v>
      </c>
      <c r="DJ149" s="218">
        <f>IF(DG149&lt;=0,1,0)+IF(DG149&gt;0,DG149+1,0)*1+IF(DG149&gt;12,DG149-12,0)*1+IF(DG149&gt;13,DG149-13,0)*1+IF(DG149&gt;14,DG149-14,0)*1+IF(DG149&gt;15,DG149-15,0)*1+IF(DG149&gt;16,DG149-16,0)*1+IF(DG149&gt;17,DG149-17,0)*1+IF(DG149&gt;18,DG149-18,0)*1+IF(DG149&gt;19,DG149-19,0)*1+IF(DG149&gt;20,DG149-20,0)*1</f>
        <v>77.007183908045945</v>
      </c>
      <c r="DK149" s="242">
        <f>IF(DH149&lt;=0,1,0)+IF(DH149&gt;0,DH149+1,0)*1+IF(DH149&gt;12,DH149-12,0)*1+IF(DH149&gt;13,DH149-13,0)*1+IF(DH149&gt;14,DH149-14,0)*1+IF(DH149&gt;15,DH149-15,0)*1+IF(DH149&gt;16,DH149-16,0)*1+IF(DH149&gt;17,DH149-17,0)*1+IF(DH149&gt;18,DH149-18,0)*1+IF(DH149&gt;19,DH149-19,0)*1+IF(DH149&gt;20,DH149-20,0)*1</f>
        <v>1</v>
      </c>
      <c r="DL149" s="243">
        <f t="shared" si="1177"/>
        <v>76.007183908045945</v>
      </c>
      <c r="DM149" s="218">
        <f t="shared" si="1178"/>
        <v>0</v>
      </c>
      <c r="DO149" s="303" t="s">
        <v>377</v>
      </c>
      <c r="DP149" s="218" t="s">
        <v>86</v>
      </c>
      <c r="DQ149" s="243" t="s">
        <v>133</v>
      </c>
      <c r="DR149" s="237">
        <f>Konvention_1slave-MUslave</f>
        <v>12</v>
      </c>
      <c r="DS149" s="234"/>
      <c r="DT149" s="234">
        <f>Konvention_1slave-INslave</f>
        <v>12</v>
      </c>
      <c r="DU149" s="234">
        <f>Konvention_1slave-CHslave_CH</f>
        <v>11</v>
      </c>
      <c r="DV149" s="234"/>
      <c r="DW149" s="234"/>
      <c r="DX149" s="234"/>
      <c r="DY149" s="224"/>
      <c r="DZ149" s="223">
        <f t="shared" si="1179"/>
        <v>11.666666666666666</v>
      </c>
      <c r="EA149" s="223">
        <f t="shared" si="1180"/>
        <v>23.333333333333332</v>
      </c>
      <c r="EB149" s="224">
        <f t="shared" si="1181"/>
        <v>35</v>
      </c>
      <c r="EC149" s="237">
        <f t="shared" si="1119"/>
        <v>2432</v>
      </c>
      <c r="ED149" s="234">
        <f>DR149*DT149*CHslave_CH+DR149*INslave*DU149+MUslave*DT149*DU149</f>
        <v>3408</v>
      </c>
      <c r="EE149" s="224">
        <f t="shared" si="1182"/>
        <v>1584</v>
      </c>
      <c r="EF149" s="224">
        <f t="shared" si="1120"/>
        <v>7424</v>
      </c>
      <c r="EG149" s="222">
        <f>DZ149*EC149/EF149</f>
        <v>3.8218390804597702</v>
      </c>
      <c r="EH149" s="223">
        <f>EA149*ED149/EF149</f>
        <v>10.711206896551724</v>
      </c>
      <c r="EI149" s="243">
        <f>EB149*EE149/EF149</f>
        <v>7.4676724137931032</v>
      </c>
      <c r="EJ149" s="243">
        <f>SUM(EG149:EI149)</f>
        <v>22.000718390804597</v>
      </c>
      <c r="EK149" s="252">
        <f t="shared" si="1121"/>
        <v>0</v>
      </c>
      <c r="EL149" s="309">
        <f t="shared" si="1187"/>
        <v>22.000718390804597</v>
      </c>
      <c r="EM149" s="218">
        <f>IF(EJ149&lt;=0,1,0)+IF(EJ149&gt;0,EJ149+1,0)*1+IF(EJ149&gt;12,EJ149-12,0)*1+IF(EJ149&gt;13,EJ149-13,0)*1+IF(EJ149&gt;14,EJ149-14,0)*1+IF(EJ149&gt;15,EJ149-15,0)*1+IF(EJ149&gt;16,EJ149-16,0)*1+IF(EJ149&gt;17,EJ149-17,0)*1+IF(EJ149&gt;18,EJ149-18,0)*1+IF(EJ149&gt;19,EJ149-19,0)*1+IF(EJ149&gt;20,EJ149-20,0)*1</f>
        <v>77.007183908045945</v>
      </c>
      <c r="EN149" s="242">
        <f>IF(EK149&lt;=0,1,0)+IF(EK149&gt;0,EK149+1,0)*1+IF(EK149&gt;12,EK149-12,0)*1+IF(EK149&gt;13,EK149-13,0)*1+IF(EK149&gt;14,EK149-14,0)*1+IF(EK149&gt;15,EK149-15,0)*1+IF(EK149&gt;16,EK149-16,0)*1+IF(EK149&gt;17,EK149-17,0)*1+IF(EK149&gt;18,EK149-18,0)*1+IF(EK149&gt;19,EK149-19,0)*1+IF(EK149&gt;20,EK149-20,0)*1</f>
        <v>1</v>
      </c>
      <c r="EO149" s="243">
        <f t="shared" si="1188"/>
        <v>76.007183908045945</v>
      </c>
      <c r="EP149" s="218">
        <f t="shared" si="1189"/>
        <v>0</v>
      </c>
      <c r="ER149" s="303" t="s">
        <v>377</v>
      </c>
      <c r="ES149" s="218" t="s">
        <v>86</v>
      </c>
      <c r="ET149" s="243" t="s">
        <v>133</v>
      </c>
      <c r="EU149" s="237">
        <f>Konvention_1slave-MUslave</f>
        <v>12</v>
      </c>
      <c r="EV149" s="234"/>
      <c r="EW149" s="234">
        <f>Konvention_1slave-INslave</f>
        <v>12</v>
      </c>
      <c r="EX149" s="234">
        <f>Konvention_1slave-CHslave</f>
        <v>12</v>
      </c>
      <c r="EY149" s="234"/>
      <c r="EZ149" s="234"/>
      <c r="FA149" s="234"/>
      <c r="FB149" s="224"/>
      <c r="FC149" s="223">
        <f t="shared" si="1190"/>
        <v>12</v>
      </c>
      <c r="FD149" s="223">
        <f t="shared" si="1191"/>
        <v>24</v>
      </c>
      <c r="FE149" s="224">
        <f t="shared" si="1192"/>
        <v>36</v>
      </c>
      <c r="FF149" s="237">
        <f t="shared" si="1122"/>
        <v>2304</v>
      </c>
      <c r="FG149" s="234">
        <f>EU149*EW149*CHslave+EU149*INslave*EX149+MUslave*EW149*EX149</f>
        <v>3456</v>
      </c>
      <c r="FH149" s="224">
        <f t="shared" si="1193"/>
        <v>1728</v>
      </c>
      <c r="FI149" s="224">
        <f t="shared" si="1123"/>
        <v>7488</v>
      </c>
      <c r="FJ149" s="222">
        <f>FC149*FF149/FI149</f>
        <v>3.6923076923076925</v>
      </c>
      <c r="FK149" s="223">
        <f>FD149*FG149/FI149</f>
        <v>11.076923076923077</v>
      </c>
      <c r="FL149" s="243">
        <f>FE149*FH149/FI149</f>
        <v>8.3076923076923084</v>
      </c>
      <c r="FM149" s="243">
        <f>SUM(FJ149:FL149)</f>
        <v>23.07692307692308</v>
      </c>
      <c r="FN149" s="252">
        <f t="shared" si="1124"/>
        <v>0</v>
      </c>
      <c r="FO149" s="309">
        <f t="shared" si="1198"/>
        <v>23.07692307692308</v>
      </c>
      <c r="FP149" s="218">
        <f>IF(FM149&lt;=0,1,0)+IF(FM149&gt;0,FM149+1,0)*1+IF(FM149&gt;12,FM149-12,0)*1+IF(FM149&gt;13,FM149-13,0)*1+IF(FM149&gt;14,FM149-14,0)*1+IF(FM149&gt;15,FM149-15,0)*1+IF(FM149&gt;16,FM149-16,0)*1+IF(FM149&gt;17,FM149-17,0)*1+IF(FM149&gt;18,FM149-18,0)*1+IF(FM149&gt;19,FM149-19,0)*1+IF(FM149&gt;20,FM149-20,0)*1</f>
        <v>87.769230769230802</v>
      </c>
      <c r="FQ149" s="242">
        <f>IF(FN149&lt;=0,1,0)+IF(FN149&gt;0,FN149+1,0)*1+IF(FN149&gt;12,FN149-12,0)*1+IF(FN149&gt;13,FN149-13,0)*1+IF(FN149&gt;14,FN149-14,0)*1+IF(FN149&gt;15,FN149-15,0)*1+IF(FN149&gt;16,FN149-16,0)*1+IF(FN149&gt;17,FN149-17,0)*1+IF(FN149&gt;18,FN149-18,0)*1+IF(FN149&gt;19,FN149-19,0)*1+IF(FN149&gt;20,FN149-20,0)*1</f>
        <v>1</v>
      </c>
      <c r="FR149" s="243">
        <f t="shared" si="1199"/>
        <v>86.769230769230802</v>
      </c>
      <c r="FS149" s="218">
        <f t="shared" si="1200"/>
        <v>0</v>
      </c>
      <c r="FU149" s="303" t="s">
        <v>377</v>
      </c>
      <c r="FV149" s="218" t="s">
        <v>86</v>
      </c>
      <c r="FW149" s="243" t="s">
        <v>133</v>
      </c>
      <c r="FX149" s="237">
        <f>Konvention_1slave-MUslave</f>
        <v>12</v>
      </c>
      <c r="FY149" s="234"/>
      <c r="FZ149" s="234">
        <f>Konvention_1slave-INslave</f>
        <v>12</v>
      </c>
      <c r="GA149" s="234">
        <f>Konvention_1slave-CHslave</f>
        <v>12</v>
      </c>
      <c r="GB149" s="234"/>
      <c r="GC149" s="234"/>
      <c r="GD149" s="234"/>
      <c r="GE149" s="224"/>
      <c r="GF149" s="223">
        <f t="shared" si="1201"/>
        <v>12</v>
      </c>
      <c r="GG149" s="223">
        <f t="shared" si="1202"/>
        <v>24</v>
      </c>
      <c r="GH149" s="224">
        <f t="shared" si="1203"/>
        <v>36</v>
      </c>
      <c r="GI149" s="237">
        <f t="shared" si="1125"/>
        <v>2304</v>
      </c>
      <c r="GJ149" s="234">
        <f>FX149*FZ149*CHslave+FX149*INslave*GA149+MUslave*FZ149*GA149</f>
        <v>3456</v>
      </c>
      <c r="GK149" s="224">
        <f t="shared" si="1204"/>
        <v>1728</v>
      </c>
      <c r="GL149" s="224">
        <f t="shared" si="1126"/>
        <v>7488</v>
      </c>
      <c r="GM149" s="222">
        <f>GF149*GI149/GL149</f>
        <v>3.6923076923076925</v>
      </c>
      <c r="GN149" s="223">
        <f>GG149*GJ149/GL149</f>
        <v>11.076923076923077</v>
      </c>
      <c r="GO149" s="243">
        <f>GH149*GK149/GL149</f>
        <v>8.3076923076923084</v>
      </c>
      <c r="GP149" s="243">
        <f>SUM(GM149:GO149)</f>
        <v>23.07692307692308</v>
      </c>
      <c r="GQ149" s="252">
        <f t="shared" si="1127"/>
        <v>0</v>
      </c>
      <c r="GR149" s="309">
        <f t="shared" si="1209"/>
        <v>23.07692307692308</v>
      </c>
      <c r="GS149" s="218">
        <f>IF(GP149&lt;=0,1,0)+IF(GP149&gt;0,GP149+1,0)*1+IF(GP149&gt;12,GP149-12,0)*1+IF(GP149&gt;13,GP149-13,0)*1+IF(GP149&gt;14,GP149-14,0)*1+IF(GP149&gt;15,GP149-15,0)*1+IF(GP149&gt;16,GP149-16,0)*1+IF(GP149&gt;17,GP149-17,0)*1+IF(GP149&gt;18,GP149-18,0)*1+IF(GP149&gt;19,GP149-19,0)*1+IF(GP149&gt;20,GP149-20,0)*1</f>
        <v>87.769230769230802</v>
      </c>
      <c r="GT149" s="242">
        <f>IF(GQ149&lt;=0,1,0)+IF(GQ149&gt;0,GQ149+1,0)*1+IF(GQ149&gt;12,GQ149-12,0)*1+IF(GQ149&gt;13,GQ149-13,0)*1+IF(GQ149&gt;14,GQ149-14,0)*1+IF(GQ149&gt;15,GQ149-15,0)*1+IF(GQ149&gt;16,GQ149-16,0)*1+IF(GQ149&gt;17,GQ149-17,0)*1+IF(GQ149&gt;18,GQ149-18,0)*1+IF(GQ149&gt;19,GQ149-19,0)*1+IF(GQ149&gt;20,GQ149-20,0)*1</f>
        <v>1</v>
      </c>
      <c r="GU149" s="243">
        <f t="shared" si="1210"/>
        <v>86.769230769230802</v>
      </c>
      <c r="GV149" s="218">
        <f t="shared" si="1211"/>
        <v>0</v>
      </c>
      <c r="GX149" s="303" t="s">
        <v>377</v>
      </c>
      <c r="GY149" s="218" t="s">
        <v>86</v>
      </c>
      <c r="GZ149" s="243" t="s">
        <v>133</v>
      </c>
      <c r="HA149" s="237">
        <f>Konvention_1slave-MUslave</f>
        <v>12</v>
      </c>
      <c r="HB149" s="234"/>
      <c r="HC149" s="234">
        <f>Konvention_1slave-INslave</f>
        <v>12</v>
      </c>
      <c r="HD149" s="234">
        <f>Konvention_1slave-CHslave</f>
        <v>12</v>
      </c>
      <c r="HE149" s="234"/>
      <c r="HF149" s="234"/>
      <c r="HG149" s="234"/>
      <c r="HH149" s="224"/>
      <c r="HI149" s="223">
        <f t="shared" si="1212"/>
        <v>12</v>
      </c>
      <c r="HJ149" s="223">
        <f t="shared" si="1213"/>
        <v>24</v>
      </c>
      <c r="HK149" s="224">
        <f t="shared" si="1214"/>
        <v>36</v>
      </c>
      <c r="HL149" s="237">
        <f t="shared" si="1128"/>
        <v>2304</v>
      </c>
      <c r="HM149" s="234">
        <f>HA149*HC149*CHslave+HA149*INslave*HD149+MUslave*HC149*HD149</f>
        <v>3456</v>
      </c>
      <c r="HN149" s="224">
        <f t="shared" si="1215"/>
        <v>1728</v>
      </c>
      <c r="HO149" s="224">
        <f t="shared" si="1129"/>
        <v>7488</v>
      </c>
      <c r="HP149" s="222">
        <f>HI149*HL149/HO149</f>
        <v>3.6923076923076925</v>
      </c>
      <c r="HQ149" s="223">
        <f>HJ149*HM149/HO149</f>
        <v>11.076923076923077</v>
      </c>
      <c r="HR149" s="243">
        <f>HK149*HN149/HO149</f>
        <v>8.3076923076923084</v>
      </c>
      <c r="HS149" s="243">
        <f>SUM(HP149:HR149)</f>
        <v>23.07692307692308</v>
      </c>
      <c r="HT149" s="252">
        <f t="shared" si="1130"/>
        <v>0</v>
      </c>
      <c r="HU149" s="309">
        <f t="shared" si="1220"/>
        <v>23.07692307692308</v>
      </c>
      <c r="HV149" s="218">
        <f>IF(HS149&lt;=0,1,0)+IF(HS149&gt;0,HS149+1,0)*1+IF(HS149&gt;12,HS149-12,0)*1+IF(HS149&gt;13,HS149-13,0)*1+IF(HS149&gt;14,HS149-14,0)*1+IF(HS149&gt;15,HS149-15,0)*1+IF(HS149&gt;16,HS149-16,0)*1+IF(HS149&gt;17,HS149-17,0)*1+IF(HS149&gt;18,HS149-18,0)*1+IF(HS149&gt;19,HS149-19,0)*1+IF(HS149&gt;20,HS149-20,0)*1</f>
        <v>87.769230769230802</v>
      </c>
      <c r="HW149" s="242">
        <f>IF(HT149&lt;=0,1,0)+IF(HT149&gt;0,HT149+1,0)*1+IF(HT149&gt;12,HT149-12,0)*1+IF(HT149&gt;13,HT149-13,0)*1+IF(HT149&gt;14,HT149-14,0)*1+IF(HT149&gt;15,HT149-15,0)*1+IF(HT149&gt;16,HT149-16,0)*1+IF(HT149&gt;17,HT149-17,0)*1+IF(HT149&gt;18,HT149-18,0)*1+IF(HT149&gt;19,HT149-19,0)*1+IF(HT149&gt;20,HT149-20,0)*1</f>
        <v>1</v>
      </c>
      <c r="HX149" s="243">
        <f t="shared" si="1221"/>
        <v>86.769230769230802</v>
      </c>
      <c r="HY149" s="218">
        <f t="shared" si="1222"/>
        <v>0</v>
      </c>
      <c r="IA149" s="303" t="s">
        <v>377</v>
      </c>
      <c r="IB149" s="218" t="s">
        <v>86</v>
      </c>
      <c r="IC149" s="243" t="s">
        <v>133</v>
      </c>
      <c r="ID149" s="237">
        <f>Konvention_1slave-MUslave</f>
        <v>12</v>
      </c>
      <c r="IE149" s="234"/>
      <c r="IF149" s="234">
        <f>Konvention_1slave-INslave</f>
        <v>12</v>
      </c>
      <c r="IG149" s="234">
        <f>Konvention_1slave-CHslave</f>
        <v>12</v>
      </c>
      <c r="IH149" s="234"/>
      <c r="II149" s="234"/>
      <c r="IJ149" s="234"/>
      <c r="IK149" s="224"/>
      <c r="IL149" s="223">
        <f t="shared" si="1223"/>
        <v>12</v>
      </c>
      <c r="IM149" s="223">
        <f t="shared" si="1224"/>
        <v>24</v>
      </c>
      <c r="IN149" s="224">
        <f t="shared" si="1225"/>
        <v>36</v>
      </c>
      <c r="IO149" s="237">
        <f t="shared" si="1131"/>
        <v>2304</v>
      </c>
      <c r="IP149" s="234">
        <f>ID149*IF149*CHslave+ID149*INslave*IG149+MUslave*IF149*IG149</f>
        <v>3456</v>
      </c>
      <c r="IQ149" s="224">
        <f t="shared" si="1226"/>
        <v>1728</v>
      </c>
      <c r="IR149" s="224">
        <f t="shared" si="1132"/>
        <v>7488</v>
      </c>
      <c r="IS149" s="222">
        <f>IL149*IO149/IR149</f>
        <v>3.6923076923076925</v>
      </c>
      <c r="IT149" s="223">
        <f>IM149*IP149/IR149</f>
        <v>11.076923076923077</v>
      </c>
      <c r="IU149" s="243">
        <f>IN149*IQ149/IR149</f>
        <v>8.3076923076923084</v>
      </c>
      <c r="IV149" s="243">
        <f>SUM(IS149:IU149)</f>
        <v>23.07692307692308</v>
      </c>
      <c r="IW149" s="252">
        <f t="shared" si="1133"/>
        <v>0</v>
      </c>
      <c r="IX149" s="309">
        <f t="shared" si="1231"/>
        <v>23.07692307692308</v>
      </c>
      <c r="IY149" s="218">
        <f>IF(IV149&lt;=0,1,0)+IF(IV149&gt;0,IV149+1,0)*1+IF(IV149&gt;12,IV149-12,0)*1+IF(IV149&gt;13,IV149-13,0)*1+IF(IV149&gt;14,IV149-14,0)*1+IF(IV149&gt;15,IV149-15,0)*1+IF(IV149&gt;16,IV149-16,0)*1+IF(IV149&gt;17,IV149-17,0)*1+IF(IV149&gt;18,IV149-18,0)*1+IF(IV149&gt;19,IV149-19,0)*1+IF(IV149&gt;20,IV149-20,0)*1</f>
        <v>87.769230769230802</v>
      </c>
      <c r="IZ149" s="242">
        <f>IF(IW149&lt;=0,1,0)+IF(IW149&gt;0,IW149+1,0)*1+IF(IW149&gt;12,IW149-12,0)*1+IF(IW149&gt;13,IW149-13,0)*1+IF(IW149&gt;14,IW149-14,0)*1+IF(IW149&gt;15,IW149-15,0)*1+IF(IW149&gt;16,IW149-16,0)*1+IF(IW149&gt;17,IW149-17,0)*1+IF(IW149&gt;18,IW149-18,0)*1+IF(IW149&gt;19,IW149-19,0)*1+IF(IW149&gt;20,IW149-20,0)*1</f>
        <v>1</v>
      </c>
      <c r="JA149" s="243">
        <f t="shared" si="1232"/>
        <v>86.769230769230802</v>
      </c>
      <c r="JB149" s="218">
        <f t="shared" si="1233"/>
        <v>0</v>
      </c>
      <c r="JE149" s="148"/>
    </row>
    <row r="150" spans="2:265" ht="15" hidden="1" customHeight="1" outlineLevel="2">
      <c r="B150" s="148">
        <v>23</v>
      </c>
      <c r="C150" s="303" t="e">
        <f>VLOOKUP(AF150,Attribute!C:T,1,FALSE)</f>
        <v>#N/A</v>
      </c>
      <c r="D150" s="125" t="s">
        <v>226</v>
      </c>
      <c r="E150" s="127" t="s">
        <v>132</v>
      </c>
      <c r="F150" s="114"/>
      <c r="G150" s="113">
        <f>Konvention_1master-KLmaster</f>
        <v>12</v>
      </c>
      <c r="H150" s="113">
        <f>Konvention_1master-INmaster</f>
        <v>12</v>
      </c>
      <c r="I150" s="113"/>
      <c r="J150" s="113"/>
      <c r="K150" s="113"/>
      <c r="L150" s="113">
        <f>Konvention_1master-KOmaster</f>
        <v>12</v>
      </c>
      <c r="M150" s="119"/>
      <c r="N150" s="223">
        <f t="shared" si="1134"/>
        <v>12</v>
      </c>
      <c r="O150" s="223">
        <f t="shared" si="1135"/>
        <v>24</v>
      </c>
      <c r="P150" s="224">
        <f t="shared" si="1136"/>
        <v>36</v>
      </c>
      <c r="Q150" s="237">
        <f t="shared" si="1137"/>
        <v>2304</v>
      </c>
      <c r="R150" s="113">
        <f>G150*H150*KOmaster+G150*INmaster*L150+KLmaster*H150*L150</f>
        <v>3456</v>
      </c>
      <c r="S150" s="224">
        <f t="shared" si="1138"/>
        <v>1728</v>
      </c>
      <c r="T150" s="224">
        <f t="shared" si="1109"/>
        <v>7488</v>
      </c>
      <c r="U150" s="222">
        <f t="shared" si="1139"/>
        <v>3.6923076923076925</v>
      </c>
      <c r="V150" s="223">
        <f t="shared" si="1140"/>
        <v>11.076923076923077</v>
      </c>
      <c r="W150" s="243">
        <f t="shared" si="1141"/>
        <v>8.3076923076923084</v>
      </c>
      <c r="X150" s="243">
        <f t="shared" si="1142"/>
        <v>23.07692307692308</v>
      </c>
      <c r="Y150" s="252">
        <v>0</v>
      </c>
      <c r="Z150" s="198">
        <f t="shared" si="1143"/>
        <v>23.07692307692308</v>
      </c>
      <c r="AA150" s="125">
        <f>IF(X150&lt;=0,2,0)+IF(X150&gt;0,X150+1,0)*2+IF(X150&gt;12,X150-12,0)*2+IF(X150&gt;13,X150-13,0)*2+IF(X150&gt;14,X150-14,0)*2+IF(X150&gt;15,X150-15,0)*2+IF(X150&gt;16,X150-16,0)*2+IF(X150&gt;17,X150-17,0)*2+IF(X150&gt;18,X150-18,0)*2+IF(X150&gt;19,X150-19,0)*2+IF(X150&gt;20,X150-20,0)*2</f>
        <v>175.5384615384616</v>
      </c>
      <c r="AB150" s="160">
        <f>IF(Y150&lt;=0,2,0)+IF(Y150&gt;0,Y150+1,0)*2+IF(Y150&gt;12,Y150-12,0)*2+IF(Y150&gt;13,Y150-13,0)*2+IF(Y150&gt;14,Y150-14,0)*2+IF(Y150&gt;15,Y150-15,0)*2+IF(Y150&gt;16,Y150-16,0)*2+IF(Y150&gt;17,Y150-17,0)*2+IF(Y150&gt;18,Y150-18,0)*2+IF(Y150&gt;19,Y150-19,0)*2+IF(Y150&gt;20,Y150-20,0)*2</f>
        <v>2</v>
      </c>
      <c r="AC150" s="127">
        <f t="shared" si="1144"/>
        <v>173.5384615384616</v>
      </c>
      <c r="AD150" s="125">
        <f t="shared" si="1145"/>
        <v>0</v>
      </c>
      <c r="AF150" s="163" t="s">
        <v>224</v>
      </c>
      <c r="AG150" s="125" t="s">
        <v>226</v>
      </c>
      <c r="AH150" s="127" t="s">
        <v>132</v>
      </c>
      <c r="AI150" s="114"/>
      <c r="AJ150" s="113">
        <f>Konvention_1slave-KLslave</f>
        <v>12</v>
      </c>
      <c r="AK150" s="113">
        <f>Konvention_1slave-INslave</f>
        <v>12</v>
      </c>
      <c r="AL150" s="113"/>
      <c r="AM150" s="113"/>
      <c r="AN150" s="113"/>
      <c r="AO150" s="113">
        <f>Konvention_1slave-KOslave</f>
        <v>12</v>
      </c>
      <c r="AP150" s="119"/>
      <c r="AQ150" s="47">
        <f t="shared" si="1146"/>
        <v>12</v>
      </c>
      <c r="AR150" s="47">
        <f t="shared" si="1147"/>
        <v>24</v>
      </c>
      <c r="AS150" s="119">
        <f t="shared" si="1148"/>
        <v>36</v>
      </c>
      <c r="AT150" s="114">
        <f t="shared" si="1110"/>
        <v>2304</v>
      </c>
      <c r="AU150" s="113">
        <f>AJ150*AK150*KOslave+AJ150*INslave*AO150+KLslave*AK150*AO150</f>
        <v>3456</v>
      </c>
      <c r="AV150" s="119">
        <f t="shared" si="1149"/>
        <v>1728</v>
      </c>
      <c r="AW150" s="119">
        <f t="shared" si="1111"/>
        <v>7488</v>
      </c>
      <c r="AX150" s="89">
        <f t="shared" si="1150"/>
        <v>3.6923076923076925</v>
      </c>
      <c r="AY150" s="47">
        <f t="shared" si="1151"/>
        <v>11.076923076923077</v>
      </c>
      <c r="AZ150" s="127">
        <f t="shared" si="1152"/>
        <v>8.3076923076923084</v>
      </c>
      <c r="BA150" s="127">
        <f t="shared" si="1153"/>
        <v>23.07692307692308</v>
      </c>
      <c r="BB150" s="165">
        <f t="shared" si="1112"/>
        <v>0</v>
      </c>
      <c r="BC150" s="198">
        <f t="shared" si="1154"/>
        <v>23.07692307692308</v>
      </c>
      <c r="BD150" s="125">
        <f>IF(BA150&lt;=0,2,0)+IF(BA150&gt;0,BA150+1,0)*2+IF(BA150&gt;12,BA150-12,0)*2+IF(BA150&gt;13,BA150-13,0)*2+IF(BA150&gt;14,BA150-14,0)*2+IF(BA150&gt;15,BA150-15,0)*2+IF(BA150&gt;16,BA150-16,0)*2+IF(BA150&gt;17,BA150-17,0)*2+IF(BA150&gt;18,BA150-18,0)*2+IF(BA150&gt;19,BA150-19,0)*2+IF(BA150&gt;20,BA150-20,0)*2</f>
        <v>175.5384615384616</v>
      </c>
      <c r="BE150" s="160">
        <f>IF(BB150&lt;=0,2,0)+IF(BB150&gt;0,BB150+1,0)*2+IF(BB150&gt;12,BB150-12,0)*2+IF(BB150&gt;13,BB150-13,0)*2+IF(BB150&gt;14,BB150-14,0)*2+IF(BB150&gt;15,BB150-15,0)*2+IF(BB150&gt;16,BB150-16,0)*2+IF(BB150&gt;17,BB150-17,0)*2+IF(BB150&gt;18,BB150-18,0)*2+IF(BB150&gt;19,BB150-19,0)*2+IF(BB150&gt;20,BB150-20,0)*2</f>
        <v>2</v>
      </c>
      <c r="BF150" s="243">
        <f t="shared" si="1155"/>
        <v>173.5384615384616</v>
      </c>
      <c r="BG150" s="218">
        <f t="shared" si="1156"/>
        <v>0</v>
      </c>
      <c r="BI150" s="303" t="s">
        <v>224</v>
      </c>
      <c r="BJ150" s="218" t="s">
        <v>226</v>
      </c>
      <c r="BK150" s="243" t="s">
        <v>132</v>
      </c>
      <c r="BL150" s="237"/>
      <c r="BM150" s="234">
        <f>Konvention_1slave-KLslave_KL</f>
        <v>11</v>
      </c>
      <c r="BN150" s="234">
        <f>Konvention_1slave-INslave</f>
        <v>12</v>
      </c>
      <c r="BO150" s="234"/>
      <c r="BP150" s="234"/>
      <c r="BQ150" s="234"/>
      <c r="BR150" s="234">
        <f>Konvention_1slave-KOslave</f>
        <v>12</v>
      </c>
      <c r="BS150" s="224"/>
      <c r="BT150" s="223">
        <f t="shared" si="1157"/>
        <v>11.666666666666666</v>
      </c>
      <c r="BU150" s="223">
        <f t="shared" si="1158"/>
        <v>23.333333333333332</v>
      </c>
      <c r="BV150" s="224">
        <f t="shared" si="1159"/>
        <v>35</v>
      </c>
      <c r="BW150" s="237">
        <f t="shared" si="1113"/>
        <v>2432</v>
      </c>
      <c r="BX150" s="234">
        <f>BM150*BN150*KOslave+BM150*INslave*BR150+KLslave_KL*BN150*BR150</f>
        <v>3408</v>
      </c>
      <c r="BY150" s="224">
        <f t="shared" si="1160"/>
        <v>1584</v>
      </c>
      <c r="BZ150" s="224">
        <f t="shared" si="1114"/>
        <v>7424</v>
      </c>
      <c r="CA150" s="222">
        <f t="shared" si="1161"/>
        <v>3.8218390804597702</v>
      </c>
      <c r="CB150" s="223">
        <f t="shared" si="1162"/>
        <v>10.711206896551724</v>
      </c>
      <c r="CC150" s="243">
        <f t="shared" si="1163"/>
        <v>7.4676724137931032</v>
      </c>
      <c r="CD150" s="243">
        <f t="shared" si="1164"/>
        <v>22.000718390804597</v>
      </c>
      <c r="CE150" s="252">
        <f t="shared" si="1115"/>
        <v>0</v>
      </c>
      <c r="CF150" s="309">
        <f t="shared" si="1165"/>
        <v>22.000718390804597</v>
      </c>
      <c r="CG150" s="218">
        <f>IF(CD150&lt;=0,2,0)+IF(CD150&gt;0,CD150+1,0)*2+IF(CD150&gt;12,CD150-12,0)*2+IF(CD150&gt;13,CD150-13,0)*2+IF(CD150&gt;14,CD150-14,0)*2+IF(CD150&gt;15,CD150-15,0)*2+IF(CD150&gt;16,CD150-16,0)*2+IF(CD150&gt;17,CD150-17,0)*2+IF(CD150&gt;18,CD150-18,0)*2+IF(CD150&gt;19,CD150-19,0)*2+IF(CD150&gt;20,CD150-20,0)*2</f>
        <v>154.01436781609189</v>
      </c>
      <c r="CH150" s="242">
        <f>IF(CE150&lt;=0,2,0)+IF(CE150&gt;0,CE150+1,0)*2+IF(CE150&gt;12,CE150-12,0)*2+IF(CE150&gt;13,CE150-13,0)*2+IF(CE150&gt;14,CE150-14,0)*2+IF(CE150&gt;15,CE150-15,0)*2+IF(CE150&gt;16,CE150-16,0)*2+IF(CE150&gt;17,CE150-17,0)*2+IF(CE150&gt;18,CE150-18,0)*2+IF(CE150&gt;19,CE150-19,0)*2+IF(CE150&gt;20,CE150-20,0)*2</f>
        <v>2</v>
      </c>
      <c r="CI150" s="243">
        <f t="shared" si="1166"/>
        <v>152.01436781609189</v>
      </c>
      <c r="CJ150" s="218">
        <f t="shared" si="1167"/>
        <v>0</v>
      </c>
      <c r="CL150" s="303" t="s">
        <v>224</v>
      </c>
      <c r="CM150" s="218" t="s">
        <v>226</v>
      </c>
      <c r="CN150" s="243" t="s">
        <v>132</v>
      </c>
      <c r="CO150" s="237"/>
      <c r="CP150" s="234">
        <f>Konvention_1slave-KLslave</f>
        <v>12</v>
      </c>
      <c r="CQ150" s="234">
        <f>Konvention_1slave-INslave_IN</f>
        <v>11</v>
      </c>
      <c r="CR150" s="234"/>
      <c r="CS150" s="234"/>
      <c r="CT150" s="234"/>
      <c r="CU150" s="234">
        <f>Konvention_1slave-KOslave</f>
        <v>12</v>
      </c>
      <c r="CV150" s="224"/>
      <c r="CW150" s="223">
        <f t="shared" si="1168"/>
        <v>11.666666666666666</v>
      </c>
      <c r="CX150" s="223">
        <f t="shared" si="1169"/>
        <v>23.333333333333332</v>
      </c>
      <c r="CY150" s="224">
        <f t="shared" si="1170"/>
        <v>35</v>
      </c>
      <c r="CZ150" s="237">
        <f t="shared" si="1116"/>
        <v>2432</v>
      </c>
      <c r="DA150" s="234">
        <f>CP150*CQ150*KOslave+CP150*INslave_IN*CU150+KLslave*CQ150*CU150</f>
        <v>3408</v>
      </c>
      <c r="DB150" s="224">
        <f t="shared" si="1171"/>
        <v>1584</v>
      </c>
      <c r="DC150" s="224">
        <f t="shared" si="1117"/>
        <v>7424</v>
      </c>
      <c r="DD150" s="222">
        <f t="shared" si="1172"/>
        <v>3.8218390804597702</v>
      </c>
      <c r="DE150" s="223">
        <f t="shared" si="1173"/>
        <v>10.711206896551724</v>
      </c>
      <c r="DF150" s="243">
        <f t="shared" si="1174"/>
        <v>7.4676724137931032</v>
      </c>
      <c r="DG150" s="243">
        <f t="shared" si="1175"/>
        <v>22.000718390804597</v>
      </c>
      <c r="DH150" s="252">
        <f t="shared" si="1118"/>
        <v>0</v>
      </c>
      <c r="DI150" s="309">
        <f t="shared" si="1176"/>
        <v>22.000718390804597</v>
      </c>
      <c r="DJ150" s="218">
        <f>IF(DG150&lt;=0,2,0)+IF(DG150&gt;0,DG150+1,0)*2+IF(DG150&gt;12,DG150-12,0)*2+IF(DG150&gt;13,DG150-13,0)*2+IF(DG150&gt;14,DG150-14,0)*2+IF(DG150&gt;15,DG150-15,0)*2+IF(DG150&gt;16,DG150-16,0)*2+IF(DG150&gt;17,DG150-17,0)*2+IF(DG150&gt;18,DG150-18,0)*2+IF(DG150&gt;19,DG150-19,0)*2+IF(DG150&gt;20,DG150-20,0)*2</f>
        <v>154.01436781609189</v>
      </c>
      <c r="DK150" s="242">
        <f>IF(DH150&lt;=0,2,0)+IF(DH150&gt;0,DH150+1,0)*2+IF(DH150&gt;12,DH150-12,0)*2+IF(DH150&gt;13,DH150-13,0)*2+IF(DH150&gt;14,DH150-14,0)*2+IF(DH150&gt;15,DH150-15,0)*2+IF(DH150&gt;16,DH150-16,0)*2+IF(DH150&gt;17,DH150-17,0)*2+IF(DH150&gt;18,DH150-18,0)*2+IF(DH150&gt;19,DH150-19,0)*2+IF(DH150&gt;20,DH150-20,0)*2</f>
        <v>2</v>
      </c>
      <c r="DL150" s="243">
        <f t="shared" si="1177"/>
        <v>152.01436781609189</v>
      </c>
      <c r="DM150" s="218">
        <f t="shared" si="1178"/>
        <v>0</v>
      </c>
      <c r="DO150" s="303" t="s">
        <v>224</v>
      </c>
      <c r="DP150" s="218" t="s">
        <v>226</v>
      </c>
      <c r="DQ150" s="243" t="s">
        <v>132</v>
      </c>
      <c r="DR150" s="237"/>
      <c r="DS150" s="234">
        <f>Konvention_1slave-KLslave</f>
        <v>12</v>
      </c>
      <c r="DT150" s="234">
        <f>Konvention_1slave-INslave</f>
        <v>12</v>
      </c>
      <c r="DU150" s="234"/>
      <c r="DV150" s="234"/>
      <c r="DW150" s="234"/>
      <c r="DX150" s="234">
        <f>Konvention_1slave-KOslave</f>
        <v>12</v>
      </c>
      <c r="DY150" s="224"/>
      <c r="DZ150" s="223">
        <f t="shared" si="1179"/>
        <v>12</v>
      </c>
      <c r="EA150" s="223">
        <f t="shared" si="1180"/>
        <v>24</v>
      </c>
      <c r="EB150" s="224">
        <f t="shared" si="1181"/>
        <v>36</v>
      </c>
      <c r="EC150" s="237">
        <f t="shared" si="1119"/>
        <v>2304</v>
      </c>
      <c r="ED150" s="234">
        <f>DS150*DT150*KOslave+DS150*INslave*DX150+KLslave*DT150*DX150</f>
        <v>3456</v>
      </c>
      <c r="EE150" s="224">
        <f t="shared" si="1182"/>
        <v>1728</v>
      </c>
      <c r="EF150" s="224">
        <f t="shared" si="1120"/>
        <v>7488</v>
      </c>
      <c r="EG150" s="222">
        <f t="shared" si="1183"/>
        <v>3.6923076923076925</v>
      </c>
      <c r="EH150" s="223">
        <f t="shared" si="1184"/>
        <v>11.076923076923077</v>
      </c>
      <c r="EI150" s="243">
        <f t="shared" si="1185"/>
        <v>8.3076923076923084</v>
      </c>
      <c r="EJ150" s="243">
        <f t="shared" si="1186"/>
        <v>23.07692307692308</v>
      </c>
      <c r="EK150" s="252">
        <f t="shared" si="1121"/>
        <v>0</v>
      </c>
      <c r="EL150" s="309">
        <f t="shared" si="1187"/>
        <v>23.07692307692308</v>
      </c>
      <c r="EM150" s="218">
        <f>IF(EJ150&lt;=0,2,0)+IF(EJ150&gt;0,EJ150+1,0)*2+IF(EJ150&gt;12,EJ150-12,0)*2+IF(EJ150&gt;13,EJ150-13,0)*2+IF(EJ150&gt;14,EJ150-14,0)*2+IF(EJ150&gt;15,EJ150-15,0)*2+IF(EJ150&gt;16,EJ150-16,0)*2+IF(EJ150&gt;17,EJ150-17,0)*2+IF(EJ150&gt;18,EJ150-18,0)*2+IF(EJ150&gt;19,EJ150-19,0)*2+IF(EJ150&gt;20,EJ150-20,0)*2</f>
        <v>175.5384615384616</v>
      </c>
      <c r="EN150" s="242">
        <f>IF(EK150&lt;=0,2,0)+IF(EK150&gt;0,EK150+1,0)*2+IF(EK150&gt;12,EK150-12,0)*2+IF(EK150&gt;13,EK150-13,0)*2+IF(EK150&gt;14,EK150-14,0)*2+IF(EK150&gt;15,EK150-15,0)*2+IF(EK150&gt;16,EK150-16,0)*2+IF(EK150&gt;17,EK150-17,0)*2+IF(EK150&gt;18,EK150-18,0)*2+IF(EK150&gt;19,EK150-19,0)*2+IF(EK150&gt;20,EK150-20,0)*2</f>
        <v>2</v>
      </c>
      <c r="EO150" s="243">
        <f t="shared" si="1188"/>
        <v>173.5384615384616</v>
      </c>
      <c r="EP150" s="218">
        <f t="shared" si="1189"/>
        <v>0</v>
      </c>
      <c r="ER150" s="303" t="s">
        <v>224</v>
      </c>
      <c r="ES150" s="218" t="s">
        <v>226</v>
      </c>
      <c r="ET150" s="243" t="s">
        <v>132</v>
      </c>
      <c r="EU150" s="237"/>
      <c r="EV150" s="234">
        <f>Konvention_1slave-KLslave</f>
        <v>12</v>
      </c>
      <c r="EW150" s="234">
        <f>Konvention_1slave-INslave</f>
        <v>12</v>
      </c>
      <c r="EX150" s="234"/>
      <c r="EY150" s="234"/>
      <c r="EZ150" s="234"/>
      <c r="FA150" s="234">
        <f>Konvention_1slave-KOslave</f>
        <v>12</v>
      </c>
      <c r="FB150" s="224"/>
      <c r="FC150" s="223">
        <f t="shared" si="1190"/>
        <v>12</v>
      </c>
      <c r="FD150" s="223">
        <f t="shared" si="1191"/>
        <v>24</v>
      </c>
      <c r="FE150" s="224">
        <f t="shared" si="1192"/>
        <v>36</v>
      </c>
      <c r="FF150" s="237">
        <f t="shared" si="1122"/>
        <v>2304</v>
      </c>
      <c r="FG150" s="234">
        <f>EV150*EW150*KOslave+EV150*INslave*FA150+KLslave*EW150*FA150</f>
        <v>3456</v>
      </c>
      <c r="FH150" s="224">
        <f t="shared" si="1193"/>
        <v>1728</v>
      </c>
      <c r="FI150" s="224">
        <f t="shared" si="1123"/>
        <v>7488</v>
      </c>
      <c r="FJ150" s="222">
        <f t="shared" si="1194"/>
        <v>3.6923076923076925</v>
      </c>
      <c r="FK150" s="223">
        <f t="shared" si="1195"/>
        <v>11.076923076923077</v>
      </c>
      <c r="FL150" s="243">
        <f t="shared" si="1196"/>
        <v>8.3076923076923084</v>
      </c>
      <c r="FM150" s="243">
        <f t="shared" si="1197"/>
        <v>23.07692307692308</v>
      </c>
      <c r="FN150" s="252">
        <f t="shared" si="1124"/>
        <v>0</v>
      </c>
      <c r="FO150" s="309">
        <f t="shared" si="1198"/>
        <v>23.07692307692308</v>
      </c>
      <c r="FP150" s="218">
        <f>IF(FM150&lt;=0,2,0)+IF(FM150&gt;0,FM150+1,0)*2+IF(FM150&gt;12,FM150-12,0)*2+IF(FM150&gt;13,FM150-13,0)*2+IF(FM150&gt;14,FM150-14,0)*2+IF(FM150&gt;15,FM150-15,0)*2+IF(FM150&gt;16,FM150-16,0)*2+IF(FM150&gt;17,FM150-17,0)*2+IF(FM150&gt;18,FM150-18,0)*2+IF(FM150&gt;19,FM150-19,0)*2+IF(FM150&gt;20,FM150-20,0)*2</f>
        <v>175.5384615384616</v>
      </c>
      <c r="FQ150" s="242">
        <f>IF(FN150&lt;=0,2,0)+IF(FN150&gt;0,FN150+1,0)*2+IF(FN150&gt;12,FN150-12,0)*2+IF(FN150&gt;13,FN150-13,0)*2+IF(FN150&gt;14,FN150-14,0)*2+IF(FN150&gt;15,FN150-15,0)*2+IF(FN150&gt;16,FN150-16,0)*2+IF(FN150&gt;17,FN150-17,0)*2+IF(FN150&gt;18,FN150-18,0)*2+IF(FN150&gt;19,FN150-19,0)*2+IF(FN150&gt;20,FN150-20,0)*2</f>
        <v>2</v>
      </c>
      <c r="FR150" s="243">
        <f t="shared" si="1199"/>
        <v>173.5384615384616</v>
      </c>
      <c r="FS150" s="218">
        <f t="shared" si="1200"/>
        <v>0</v>
      </c>
      <c r="FU150" s="303" t="s">
        <v>224</v>
      </c>
      <c r="FV150" s="218" t="s">
        <v>226</v>
      </c>
      <c r="FW150" s="243" t="s">
        <v>132</v>
      </c>
      <c r="FX150" s="237"/>
      <c r="FY150" s="234">
        <f>Konvention_1slave-KLslave</f>
        <v>12</v>
      </c>
      <c r="FZ150" s="234">
        <f>Konvention_1slave-INslave</f>
        <v>12</v>
      </c>
      <c r="GA150" s="234"/>
      <c r="GB150" s="234"/>
      <c r="GC150" s="234"/>
      <c r="GD150" s="234">
        <f>Konvention_1slave-KOslave</f>
        <v>12</v>
      </c>
      <c r="GE150" s="224"/>
      <c r="GF150" s="223">
        <f t="shared" si="1201"/>
        <v>12</v>
      </c>
      <c r="GG150" s="223">
        <f t="shared" si="1202"/>
        <v>24</v>
      </c>
      <c r="GH150" s="224">
        <f t="shared" si="1203"/>
        <v>36</v>
      </c>
      <c r="GI150" s="237">
        <f t="shared" si="1125"/>
        <v>2304</v>
      </c>
      <c r="GJ150" s="234">
        <f>FY150*FZ150*KOslave+FY150*INslave*GD150+KLslave*FZ150*GD150</f>
        <v>3456</v>
      </c>
      <c r="GK150" s="224">
        <f t="shared" si="1204"/>
        <v>1728</v>
      </c>
      <c r="GL150" s="224">
        <f t="shared" si="1126"/>
        <v>7488</v>
      </c>
      <c r="GM150" s="222">
        <f t="shared" si="1205"/>
        <v>3.6923076923076925</v>
      </c>
      <c r="GN150" s="223">
        <f t="shared" si="1206"/>
        <v>11.076923076923077</v>
      </c>
      <c r="GO150" s="243">
        <f t="shared" si="1207"/>
        <v>8.3076923076923084</v>
      </c>
      <c r="GP150" s="243">
        <f t="shared" si="1208"/>
        <v>23.07692307692308</v>
      </c>
      <c r="GQ150" s="252">
        <f t="shared" si="1127"/>
        <v>0</v>
      </c>
      <c r="GR150" s="309">
        <f t="shared" si="1209"/>
        <v>23.07692307692308</v>
      </c>
      <c r="GS150" s="218">
        <f>IF(GP150&lt;=0,2,0)+IF(GP150&gt;0,GP150+1,0)*2+IF(GP150&gt;12,GP150-12,0)*2+IF(GP150&gt;13,GP150-13,0)*2+IF(GP150&gt;14,GP150-14,0)*2+IF(GP150&gt;15,GP150-15,0)*2+IF(GP150&gt;16,GP150-16,0)*2+IF(GP150&gt;17,GP150-17,0)*2+IF(GP150&gt;18,GP150-18,0)*2+IF(GP150&gt;19,GP150-19,0)*2+IF(GP150&gt;20,GP150-20,0)*2</f>
        <v>175.5384615384616</v>
      </c>
      <c r="GT150" s="242">
        <f>IF(GQ150&lt;=0,2,0)+IF(GQ150&gt;0,GQ150+1,0)*2+IF(GQ150&gt;12,GQ150-12,0)*2+IF(GQ150&gt;13,GQ150-13,0)*2+IF(GQ150&gt;14,GQ150-14,0)*2+IF(GQ150&gt;15,GQ150-15,0)*2+IF(GQ150&gt;16,GQ150-16,0)*2+IF(GQ150&gt;17,GQ150-17,0)*2+IF(GQ150&gt;18,GQ150-18,0)*2+IF(GQ150&gt;19,GQ150-19,0)*2+IF(GQ150&gt;20,GQ150-20,0)*2</f>
        <v>2</v>
      </c>
      <c r="GU150" s="243">
        <f t="shared" si="1210"/>
        <v>173.5384615384616</v>
      </c>
      <c r="GV150" s="218">
        <f t="shared" si="1211"/>
        <v>0</v>
      </c>
      <c r="GX150" s="303" t="s">
        <v>224</v>
      </c>
      <c r="GY150" s="218" t="s">
        <v>226</v>
      </c>
      <c r="GZ150" s="243" t="s">
        <v>132</v>
      </c>
      <c r="HA150" s="237"/>
      <c r="HB150" s="234">
        <f>Konvention_1slave-KLslave</f>
        <v>12</v>
      </c>
      <c r="HC150" s="234">
        <f>Konvention_1slave-INslave</f>
        <v>12</v>
      </c>
      <c r="HD150" s="234"/>
      <c r="HE150" s="234"/>
      <c r="HF150" s="234"/>
      <c r="HG150" s="234">
        <f>Konvention_1slave-KOslave_KO</f>
        <v>11</v>
      </c>
      <c r="HH150" s="224"/>
      <c r="HI150" s="223">
        <f t="shared" si="1212"/>
        <v>11.666666666666666</v>
      </c>
      <c r="HJ150" s="223">
        <f t="shared" si="1213"/>
        <v>23.333333333333332</v>
      </c>
      <c r="HK150" s="224">
        <f t="shared" si="1214"/>
        <v>35</v>
      </c>
      <c r="HL150" s="237">
        <f t="shared" si="1128"/>
        <v>2432</v>
      </c>
      <c r="HM150" s="234">
        <f>HB150*HC150*KOslave_KO+HB150*INslave*HG150+KLslave*HC150*HG150</f>
        <v>3408</v>
      </c>
      <c r="HN150" s="224">
        <f t="shared" si="1215"/>
        <v>1584</v>
      </c>
      <c r="HO150" s="224">
        <f t="shared" si="1129"/>
        <v>7424</v>
      </c>
      <c r="HP150" s="222">
        <f t="shared" si="1216"/>
        <v>3.8218390804597702</v>
      </c>
      <c r="HQ150" s="223">
        <f t="shared" si="1217"/>
        <v>10.711206896551724</v>
      </c>
      <c r="HR150" s="243">
        <f t="shared" si="1218"/>
        <v>7.4676724137931032</v>
      </c>
      <c r="HS150" s="243">
        <f t="shared" si="1219"/>
        <v>22.000718390804597</v>
      </c>
      <c r="HT150" s="252">
        <f t="shared" si="1130"/>
        <v>0</v>
      </c>
      <c r="HU150" s="309">
        <f t="shared" si="1220"/>
        <v>22.000718390804597</v>
      </c>
      <c r="HV150" s="218">
        <f>IF(HS150&lt;=0,2,0)+IF(HS150&gt;0,HS150+1,0)*2+IF(HS150&gt;12,HS150-12,0)*2+IF(HS150&gt;13,HS150-13,0)*2+IF(HS150&gt;14,HS150-14,0)*2+IF(HS150&gt;15,HS150-15,0)*2+IF(HS150&gt;16,HS150-16,0)*2+IF(HS150&gt;17,HS150-17,0)*2+IF(HS150&gt;18,HS150-18,0)*2+IF(HS150&gt;19,HS150-19,0)*2+IF(HS150&gt;20,HS150-20,0)*2</f>
        <v>154.01436781609189</v>
      </c>
      <c r="HW150" s="242">
        <f>IF(HT150&lt;=0,2,0)+IF(HT150&gt;0,HT150+1,0)*2+IF(HT150&gt;12,HT150-12,0)*2+IF(HT150&gt;13,HT150-13,0)*2+IF(HT150&gt;14,HT150-14,0)*2+IF(HT150&gt;15,HT150-15,0)*2+IF(HT150&gt;16,HT150-16,0)*2+IF(HT150&gt;17,HT150-17,0)*2+IF(HT150&gt;18,HT150-18,0)*2+IF(HT150&gt;19,HT150-19,0)*2+IF(HT150&gt;20,HT150-20,0)*2</f>
        <v>2</v>
      </c>
      <c r="HX150" s="243">
        <f t="shared" si="1221"/>
        <v>152.01436781609189</v>
      </c>
      <c r="HY150" s="218">
        <f t="shared" si="1222"/>
        <v>0</v>
      </c>
      <c r="IA150" s="303" t="s">
        <v>224</v>
      </c>
      <c r="IB150" s="218" t="s">
        <v>226</v>
      </c>
      <c r="IC150" s="243" t="s">
        <v>132</v>
      </c>
      <c r="ID150" s="237"/>
      <c r="IE150" s="234">
        <f>Konvention_1slave-KLslave</f>
        <v>12</v>
      </c>
      <c r="IF150" s="234">
        <f>Konvention_1slave-INslave</f>
        <v>12</v>
      </c>
      <c r="IG150" s="234"/>
      <c r="IH150" s="234"/>
      <c r="II150" s="234"/>
      <c r="IJ150" s="234">
        <f>Konvention_1slave-KOslave</f>
        <v>12</v>
      </c>
      <c r="IK150" s="224"/>
      <c r="IL150" s="223">
        <f t="shared" si="1223"/>
        <v>12</v>
      </c>
      <c r="IM150" s="223">
        <f t="shared" si="1224"/>
        <v>24</v>
      </c>
      <c r="IN150" s="224">
        <f t="shared" si="1225"/>
        <v>36</v>
      </c>
      <c r="IO150" s="237">
        <f t="shared" si="1131"/>
        <v>2304</v>
      </c>
      <c r="IP150" s="234">
        <f>IE150*IF150*KOslave+IE150*INslave*IJ150+KLslave*IF150*IJ150</f>
        <v>3456</v>
      </c>
      <c r="IQ150" s="224">
        <f t="shared" si="1226"/>
        <v>1728</v>
      </c>
      <c r="IR150" s="224">
        <f t="shared" si="1132"/>
        <v>7488</v>
      </c>
      <c r="IS150" s="222">
        <f t="shared" si="1227"/>
        <v>3.6923076923076925</v>
      </c>
      <c r="IT150" s="223">
        <f t="shared" si="1228"/>
        <v>11.076923076923077</v>
      </c>
      <c r="IU150" s="243">
        <f t="shared" si="1229"/>
        <v>8.3076923076923084</v>
      </c>
      <c r="IV150" s="243">
        <f t="shared" si="1230"/>
        <v>23.07692307692308</v>
      </c>
      <c r="IW150" s="252">
        <f t="shared" si="1133"/>
        <v>0</v>
      </c>
      <c r="IX150" s="309">
        <f t="shared" si="1231"/>
        <v>23.07692307692308</v>
      </c>
      <c r="IY150" s="218">
        <f>IF(IV150&lt;=0,2,0)+IF(IV150&gt;0,IV150+1,0)*2+IF(IV150&gt;12,IV150-12,0)*2+IF(IV150&gt;13,IV150-13,0)*2+IF(IV150&gt;14,IV150-14,0)*2+IF(IV150&gt;15,IV150-15,0)*2+IF(IV150&gt;16,IV150-16,0)*2+IF(IV150&gt;17,IV150-17,0)*2+IF(IV150&gt;18,IV150-18,0)*2+IF(IV150&gt;19,IV150-19,0)*2+IF(IV150&gt;20,IV150-20,0)*2</f>
        <v>175.5384615384616</v>
      </c>
      <c r="IZ150" s="242">
        <f>IF(IW150&lt;=0,2,0)+IF(IW150&gt;0,IW150+1,0)*2+IF(IW150&gt;12,IW150-12,0)*2+IF(IW150&gt;13,IW150-13,0)*2+IF(IW150&gt;14,IW150-14,0)*2+IF(IW150&gt;15,IW150-15,0)*2+IF(IW150&gt;16,IW150-16,0)*2+IF(IW150&gt;17,IW150-17,0)*2+IF(IW150&gt;18,IW150-18,0)*2+IF(IW150&gt;19,IW150-19,0)*2+IF(IW150&gt;20,IW150-20,0)*2</f>
        <v>2</v>
      </c>
      <c r="JA150" s="243">
        <f t="shared" si="1232"/>
        <v>173.5384615384616</v>
      </c>
      <c r="JB150" s="218">
        <f t="shared" si="1233"/>
        <v>0</v>
      </c>
      <c r="JE150" s="148"/>
    </row>
    <row r="151" spans="2:265" ht="15" hidden="1" customHeight="1" outlineLevel="2">
      <c r="B151" s="148">
        <v>24</v>
      </c>
      <c r="C151" s="306" t="e">
        <f>VLOOKUP(AF151,Attribute!C:T,1,FALSE)</f>
        <v>#N/A</v>
      </c>
      <c r="D151" s="159" t="s">
        <v>226</v>
      </c>
      <c r="E151" s="128" t="s">
        <v>132</v>
      </c>
      <c r="F151" s="115"/>
      <c r="G151" s="122">
        <f>Konvention_1master-KLmaster</f>
        <v>12</v>
      </c>
      <c r="H151" s="122">
        <f>Konvention_1master-INmaster</f>
        <v>12</v>
      </c>
      <c r="I151" s="122"/>
      <c r="J151" s="122"/>
      <c r="K151" s="122"/>
      <c r="L151" s="122">
        <f>Konvention_1master-KOmaster</f>
        <v>12</v>
      </c>
      <c r="M151" s="123"/>
      <c r="N151" s="226">
        <f t="shared" si="1134"/>
        <v>12</v>
      </c>
      <c r="O151" s="226">
        <f t="shared" si="1135"/>
        <v>24</v>
      </c>
      <c r="P151" s="227">
        <f t="shared" si="1136"/>
        <v>36</v>
      </c>
      <c r="Q151" s="238">
        <f t="shared" si="1137"/>
        <v>2304</v>
      </c>
      <c r="R151" s="122">
        <f>G151*H151*KOmaster+G151*INmaster*L151+KLmaster*H151*L151</f>
        <v>3456</v>
      </c>
      <c r="S151" s="227">
        <f t="shared" si="1138"/>
        <v>1728</v>
      </c>
      <c r="T151" s="227">
        <f t="shared" si="1109"/>
        <v>7488</v>
      </c>
      <c r="U151" s="225">
        <f t="shared" si="1139"/>
        <v>3.6923076923076925</v>
      </c>
      <c r="V151" s="226">
        <f t="shared" si="1140"/>
        <v>11.076923076923077</v>
      </c>
      <c r="W151" s="245">
        <f t="shared" si="1141"/>
        <v>8.3076923076923084</v>
      </c>
      <c r="X151" s="245">
        <f t="shared" si="1142"/>
        <v>23.07692307692308</v>
      </c>
      <c r="Y151" s="252">
        <v>0</v>
      </c>
      <c r="Z151" s="198">
        <f t="shared" si="1143"/>
        <v>23.07692307692308</v>
      </c>
      <c r="AA151" s="159">
        <f>IF(X151&lt;=0,2,0)+IF(X151&gt;0,X151+1,0)*2+IF(X151&gt;12,X151-12,0)*2+IF(X151&gt;13,X151-13,0)*2+IF(X151&gt;14,X151-14,0)*2+IF(X151&gt;15,X151-15,0)*2+IF(X151&gt;16,X151-16,0)*2+IF(X151&gt;17,X151-17,0)*2+IF(X151&gt;18,X151-18,0)*2+IF(X151&gt;19,X151-19,0)*2+IF(X151&gt;20,X151-20,0)*2</f>
        <v>175.5384615384616</v>
      </c>
      <c r="AB151" s="161">
        <f>IF(Y151&lt;=0,2,0)+IF(Y151&gt;0,Y151+1,0)*2+IF(Y151&gt;12,Y151-12,0)*2+IF(Y151&gt;13,Y151-13,0)*2+IF(Y151&gt;14,Y151-14,0)*2+IF(Y151&gt;15,Y151-15,0)*2+IF(Y151&gt;16,Y151-16,0)*2+IF(Y151&gt;17,Y151-17,0)*2+IF(Y151&gt;18,Y151-18,0)*2+IF(Y151&gt;19,Y151-19,0)*2+IF(Y151&gt;20,Y151-20,0)*2</f>
        <v>2</v>
      </c>
      <c r="AC151" s="128">
        <f t="shared" si="1144"/>
        <v>173.5384615384616</v>
      </c>
      <c r="AD151" s="159">
        <f t="shared" si="1145"/>
        <v>0</v>
      </c>
      <c r="AF151" s="164" t="s">
        <v>225</v>
      </c>
      <c r="AG151" s="159" t="s">
        <v>226</v>
      </c>
      <c r="AH151" s="128" t="s">
        <v>132</v>
      </c>
      <c r="AI151" s="115"/>
      <c r="AJ151" s="122">
        <f>Konvention_1slave-KLslave</f>
        <v>12</v>
      </c>
      <c r="AK151" s="122">
        <f>Konvention_1slave-INslave</f>
        <v>12</v>
      </c>
      <c r="AL151" s="122"/>
      <c r="AM151" s="122"/>
      <c r="AN151" s="122"/>
      <c r="AO151" s="122">
        <f>Konvention_1slave-KOslave</f>
        <v>12</v>
      </c>
      <c r="AP151" s="123"/>
      <c r="AQ151" s="88">
        <f t="shared" si="1146"/>
        <v>12</v>
      </c>
      <c r="AR151" s="88">
        <f t="shared" si="1147"/>
        <v>24</v>
      </c>
      <c r="AS151" s="123">
        <f t="shared" si="1148"/>
        <v>36</v>
      </c>
      <c r="AT151" s="115">
        <f t="shared" si="1110"/>
        <v>2304</v>
      </c>
      <c r="AU151" s="122">
        <f>AJ151*AK151*KOslave+AJ151*INslave*AO151+KLslave*AK151*AO151</f>
        <v>3456</v>
      </c>
      <c r="AV151" s="123">
        <f t="shared" si="1149"/>
        <v>1728</v>
      </c>
      <c r="AW151" s="123">
        <f t="shared" si="1111"/>
        <v>7488</v>
      </c>
      <c r="AX151" s="90">
        <f t="shared" si="1150"/>
        <v>3.6923076923076925</v>
      </c>
      <c r="AY151" s="88">
        <f t="shared" si="1151"/>
        <v>11.076923076923077</v>
      </c>
      <c r="AZ151" s="128">
        <f t="shared" si="1152"/>
        <v>8.3076923076923084</v>
      </c>
      <c r="BA151" s="128">
        <f t="shared" si="1153"/>
        <v>23.07692307692308</v>
      </c>
      <c r="BB151" s="165">
        <f t="shared" si="1112"/>
        <v>0</v>
      </c>
      <c r="BC151" s="198">
        <f t="shared" si="1154"/>
        <v>23.07692307692308</v>
      </c>
      <c r="BD151" s="159">
        <f>IF(BA151&lt;=0,2,0)+IF(BA151&gt;0,BA151+1,0)*2+IF(BA151&gt;12,BA151-12,0)*2+IF(BA151&gt;13,BA151-13,0)*2+IF(BA151&gt;14,BA151-14,0)*2+IF(BA151&gt;15,BA151-15,0)*2+IF(BA151&gt;16,BA151-16,0)*2+IF(BA151&gt;17,BA151-17,0)*2+IF(BA151&gt;18,BA151-18,0)*2+IF(BA151&gt;19,BA151-19,0)*2+IF(BA151&gt;20,BA151-20,0)*2</f>
        <v>175.5384615384616</v>
      </c>
      <c r="BE151" s="161">
        <f>IF(BB151&lt;=0,2,0)+IF(BB151&gt;0,BB151+1,0)*2+IF(BB151&gt;12,BB151-12,0)*2+IF(BB151&gt;13,BB151-13,0)*2+IF(BB151&gt;14,BB151-14,0)*2+IF(BB151&gt;15,BB151-15,0)*2+IF(BB151&gt;16,BB151-16,0)*2+IF(BB151&gt;17,BB151-17,0)*2+IF(BB151&gt;18,BB151-18,0)*2+IF(BB151&gt;19,BB151-19,0)*2+IF(BB151&gt;20,BB151-20,0)*2</f>
        <v>2</v>
      </c>
      <c r="BF151" s="245">
        <f t="shared" si="1155"/>
        <v>173.5384615384616</v>
      </c>
      <c r="BG151" s="246">
        <f t="shared" si="1156"/>
        <v>0</v>
      </c>
      <c r="BI151" s="306" t="s">
        <v>225</v>
      </c>
      <c r="BJ151" s="246" t="s">
        <v>226</v>
      </c>
      <c r="BK151" s="245" t="s">
        <v>132</v>
      </c>
      <c r="BL151" s="238"/>
      <c r="BM151" s="235">
        <f>Konvention_1slave-KLslave_KL</f>
        <v>11</v>
      </c>
      <c r="BN151" s="235">
        <f>Konvention_1slave-INslave</f>
        <v>12</v>
      </c>
      <c r="BO151" s="235"/>
      <c r="BP151" s="235"/>
      <c r="BQ151" s="235"/>
      <c r="BR151" s="235">
        <f>Konvention_1slave-KOslave</f>
        <v>12</v>
      </c>
      <c r="BS151" s="227"/>
      <c r="BT151" s="226">
        <f t="shared" si="1157"/>
        <v>11.666666666666666</v>
      </c>
      <c r="BU151" s="226">
        <f t="shared" si="1158"/>
        <v>23.333333333333332</v>
      </c>
      <c r="BV151" s="227">
        <f t="shared" si="1159"/>
        <v>35</v>
      </c>
      <c r="BW151" s="238">
        <f t="shared" si="1113"/>
        <v>2432</v>
      </c>
      <c r="BX151" s="235">
        <f>BM151*BN151*KOslave+BM151*INslave*BR151+KLslave_KL*BN151*BR151</f>
        <v>3408</v>
      </c>
      <c r="BY151" s="227">
        <f t="shared" si="1160"/>
        <v>1584</v>
      </c>
      <c r="BZ151" s="227">
        <f t="shared" si="1114"/>
        <v>7424</v>
      </c>
      <c r="CA151" s="225">
        <f t="shared" si="1161"/>
        <v>3.8218390804597702</v>
      </c>
      <c r="CB151" s="226">
        <f t="shared" si="1162"/>
        <v>10.711206896551724</v>
      </c>
      <c r="CC151" s="245">
        <f t="shared" si="1163"/>
        <v>7.4676724137931032</v>
      </c>
      <c r="CD151" s="245">
        <f t="shared" si="1164"/>
        <v>22.000718390804597</v>
      </c>
      <c r="CE151" s="252">
        <f t="shared" si="1115"/>
        <v>0</v>
      </c>
      <c r="CF151" s="309">
        <f t="shared" si="1165"/>
        <v>22.000718390804597</v>
      </c>
      <c r="CG151" s="246">
        <f>IF(CD151&lt;=0,2,0)+IF(CD151&gt;0,CD151+1,0)*2+IF(CD151&gt;12,CD151-12,0)*2+IF(CD151&gt;13,CD151-13,0)*2+IF(CD151&gt;14,CD151-14,0)*2+IF(CD151&gt;15,CD151-15,0)*2+IF(CD151&gt;16,CD151-16,0)*2+IF(CD151&gt;17,CD151-17,0)*2+IF(CD151&gt;18,CD151-18,0)*2+IF(CD151&gt;19,CD151-19,0)*2+IF(CD151&gt;20,CD151-20,0)*2</f>
        <v>154.01436781609189</v>
      </c>
      <c r="CH151" s="244">
        <f>IF(CE151&lt;=0,2,0)+IF(CE151&gt;0,CE151+1,0)*2+IF(CE151&gt;12,CE151-12,0)*2+IF(CE151&gt;13,CE151-13,0)*2+IF(CE151&gt;14,CE151-14,0)*2+IF(CE151&gt;15,CE151-15,0)*2+IF(CE151&gt;16,CE151-16,0)*2+IF(CE151&gt;17,CE151-17,0)*2+IF(CE151&gt;18,CE151-18,0)*2+IF(CE151&gt;19,CE151-19,0)*2+IF(CE151&gt;20,CE151-20,0)*2</f>
        <v>2</v>
      </c>
      <c r="CI151" s="245">
        <f t="shared" si="1166"/>
        <v>152.01436781609189</v>
      </c>
      <c r="CJ151" s="246">
        <f t="shared" si="1167"/>
        <v>0</v>
      </c>
      <c r="CL151" s="306" t="s">
        <v>225</v>
      </c>
      <c r="CM151" s="246" t="s">
        <v>226</v>
      </c>
      <c r="CN151" s="245" t="s">
        <v>132</v>
      </c>
      <c r="CO151" s="238"/>
      <c r="CP151" s="235">
        <f>Konvention_1slave-KLslave</f>
        <v>12</v>
      </c>
      <c r="CQ151" s="235">
        <f>Konvention_1slave-INslave_IN</f>
        <v>11</v>
      </c>
      <c r="CR151" s="235"/>
      <c r="CS151" s="235"/>
      <c r="CT151" s="235"/>
      <c r="CU151" s="235">
        <f>Konvention_1slave-KOslave</f>
        <v>12</v>
      </c>
      <c r="CV151" s="227"/>
      <c r="CW151" s="226">
        <f t="shared" si="1168"/>
        <v>11.666666666666666</v>
      </c>
      <c r="CX151" s="226">
        <f t="shared" si="1169"/>
        <v>23.333333333333332</v>
      </c>
      <c r="CY151" s="227">
        <f t="shared" si="1170"/>
        <v>35</v>
      </c>
      <c r="CZ151" s="238">
        <f t="shared" si="1116"/>
        <v>2432</v>
      </c>
      <c r="DA151" s="235">
        <f>CP151*CQ151*KOslave+CP151*INslave_IN*CU151+KLslave*CQ151*CU151</f>
        <v>3408</v>
      </c>
      <c r="DB151" s="227">
        <f t="shared" si="1171"/>
        <v>1584</v>
      </c>
      <c r="DC151" s="227">
        <f t="shared" si="1117"/>
        <v>7424</v>
      </c>
      <c r="DD151" s="225">
        <f t="shared" si="1172"/>
        <v>3.8218390804597702</v>
      </c>
      <c r="DE151" s="226">
        <f t="shared" si="1173"/>
        <v>10.711206896551724</v>
      </c>
      <c r="DF151" s="245">
        <f t="shared" si="1174"/>
        <v>7.4676724137931032</v>
      </c>
      <c r="DG151" s="245">
        <f t="shared" si="1175"/>
        <v>22.000718390804597</v>
      </c>
      <c r="DH151" s="252">
        <f t="shared" si="1118"/>
        <v>0</v>
      </c>
      <c r="DI151" s="309">
        <f t="shared" si="1176"/>
        <v>22.000718390804597</v>
      </c>
      <c r="DJ151" s="246">
        <f>IF(DG151&lt;=0,2,0)+IF(DG151&gt;0,DG151+1,0)*2+IF(DG151&gt;12,DG151-12,0)*2+IF(DG151&gt;13,DG151-13,0)*2+IF(DG151&gt;14,DG151-14,0)*2+IF(DG151&gt;15,DG151-15,0)*2+IF(DG151&gt;16,DG151-16,0)*2+IF(DG151&gt;17,DG151-17,0)*2+IF(DG151&gt;18,DG151-18,0)*2+IF(DG151&gt;19,DG151-19,0)*2+IF(DG151&gt;20,DG151-20,0)*2</f>
        <v>154.01436781609189</v>
      </c>
      <c r="DK151" s="244">
        <f>IF(DH151&lt;=0,2,0)+IF(DH151&gt;0,DH151+1,0)*2+IF(DH151&gt;12,DH151-12,0)*2+IF(DH151&gt;13,DH151-13,0)*2+IF(DH151&gt;14,DH151-14,0)*2+IF(DH151&gt;15,DH151-15,0)*2+IF(DH151&gt;16,DH151-16,0)*2+IF(DH151&gt;17,DH151-17,0)*2+IF(DH151&gt;18,DH151-18,0)*2+IF(DH151&gt;19,DH151-19,0)*2+IF(DH151&gt;20,DH151-20,0)*2</f>
        <v>2</v>
      </c>
      <c r="DL151" s="245">
        <f t="shared" si="1177"/>
        <v>152.01436781609189</v>
      </c>
      <c r="DM151" s="246">
        <f t="shared" si="1178"/>
        <v>0</v>
      </c>
      <c r="DO151" s="306" t="s">
        <v>225</v>
      </c>
      <c r="DP151" s="246" t="s">
        <v>226</v>
      </c>
      <c r="DQ151" s="245" t="s">
        <v>132</v>
      </c>
      <c r="DR151" s="238"/>
      <c r="DS151" s="235">
        <f>Konvention_1slave-KLslave</f>
        <v>12</v>
      </c>
      <c r="DT151" s="235">
        <f>Konvention_1slave-INslave</f>
        <v>12</v>
      </c>
      <c r="DU151" s="235"/>
      <c r="DV151" s="235"/>
      <c r="DW151" s="235"/>
      <c r="DX151" s="235">
        <f>Konvention_1slave-KOslave</f>
        <v>12</v>
      </c>
      <c r="DY151" s="227"/>
      <c r="DZ151" s="226">
        <f t="shared" si="1179"/>
        <v>12</v>
      </c>
      <c r="EA151" s="226">
        <f t="shared" si="1180"/>
        <v>24</v>
      </c>
      <c r="EB151" s="227">
        <f t="shared" si="1181"/>
        <v>36</v>
      </c>
      <c r="EC151" s="238">
        <f t="shared" si="1119"/>
        <v>2304</v>
      </c>
      <c r="ED151" s="235">
        <f>DS151*DT151*KOslave+DS151*INslave*DX151+KLslave*DT151*DX151</f>
        <v>3456</v>
      </c>
      <c r="EE151" s="227">
        <f t="shared" si="1182"/>
        <v>1728</v>
      </c>
      <c r="EF151" s="227">
        <f t="shared" si="1120"/>
        <v>7488</v>
      </c>
      <c r="EG151" s="225">
        <f t="shared" si="1183"/>
        <v>3.6923076923076925</v>
      </c>
      <c r="EH151" s="226">
        <f t="shared" si="1184"/>
        <v>11.076923076923077</v>
      </c>
      <c r="EI151" s="245">
        <f t="shared" si="1185"/>
        <v>8.3076923076923084</v>
      </c>
      <c r="EJ151" s="245">
        <f t="shared" si="1186"/>
        <v>23.07692307692308</v>
      </c>
      <c r="EK151" s="252">
        <f t="shared" si="1121"/>
        <v>0</v>
      </c>
      <c r="EL151" s="309">
        <f t="shared" si="1187"/>
        <v>23.07692307692308</v>
      </c>
      <c r="EM151" s="246">
        <f>IF(EJ151&lt;=0,2,0)+IF(EJ151&gt;0,EJ151+1,0)*2+IF(EJ151&gt;12,EJ151-12,0)*2+IF(EJ151&gt;13,EJ151-13,0)*2+IF(EJ151&gt;14,EJ151-14,0)*2+IF(EJ151&gt;15,EJ151-15,0)*2+IF(EJ151&gt;16,EJ151-16,0)*2+IF(EJ151&gt;17,EJ151-17,0)*2+IF(EJ151&gt;18,EJ151-18,0)*2+IF(EJ151&gt;19,EJ151-19,0)*2+IF(EJ151&gt;20,EJ151-20,0)*2</f>
        <v>175.5384615384616</v>
      </c>
      <c r="EN151" s="244">
        <f>IF(EK151&lt;=0,2,0)+IF(EK151&gt;0,EK151+1,0)*2+IF(EK151&gt;12,EK151-12,0)*2+IF(EK151&gt;13,EK151-13,0)*2+IF(EK151&gt;14,EK151-14,0)*2+IF(EK151&gt;15,EK151-15,0)*2+IF(EK151&gt;16,EK151-16,0)*2+IF(EK151&gt;17,EK151-17,0)*2+IF(EK151&gt;18,EK151-18,0)*2+IF(EK151&gt;19,EK151-19,0)*2+IF(EK151&gt;20,EK151-20,0)*2</f>
        <v>2</v>
      </c>
      <c r="EO151" s="245">
        <f t="shared" si="1188"/>
        <v>173.5384615384616</v>
      </c>
      <c r="EP151" s="246">
        <f t="shared" si="1189"/>
        <v>0</v>
      </c>
      <c r="ER151" s="306" t="s">
        <v>225</v>
      </c>
      <c r="ES151" s="246" t="s">
        <v>226</v>
      </c>
      <c r="ET151" s="245" t="s">
        <v>132</v>
      </c>
      <c r="EU151" s="238"/>
      <c r="EV151" s="235">
        <f>Konvention_1slave-KLslave</f>
        <v>12</v>
      </c>
      <c r="EW151" s="235">
        <f>Konvention_1slave-INslave</f>
        <v>12</v>
      </c>
      <c r="EX151" s="235"/>
      <c r="EY151" s="235"/>
      <c r="EZ151" s="235"/>
      <c r="FA151" s="235">
        <f>Konvention_1slave-KOslave</f>
        <v>12</v>
      </c>
      <c r="FB151" s="227"/>
      <c r="FC151" s="226">
        <f t="shared" si="1190"/>
        <v>12</v>
      </c>
      <c r="FD151" s="226">
        <f t="shared" si="1191"/>
        <v>24</v>
      </c>
      <c r="FE151" s="227">
        <f t="shared" si="1192"/>
        <v>36</v>
      </c>
      <c r="FF151" s="238">
        <f t="shared" si="1122"/>
        <v>2304</v>
      </c>
      <c r="FG151" s="235">
        <f>EV151*EW151*KOslave+EV151*INslave*FA151+KLslave*EW151*FA151</f>
        <v>3456</v>
      </c>
      <c r="FH151" s="227">
        <f t="shared" si="1193"/>
        <v>1728</v>
      </c>
      <c r="FI151" s="227">
        <f t="shared" si="1123"/>
        <v>7488</v>
      </c>
      <c r="FJ151" s="225">
        <f t="shared" si="1194"/>
        <v>3.6923076923076925</v>
      </c>
      <c r="FK151" s="226">
        <f t="shared" si="1195"/>
        <v>11.076923076923077</v>
      </c>
      <c r="FL151" s="245">
        <f t="shared" si="1196"/>
        <v>8.3076923076923084</v>
      </c>
      <c r="FM151" s="245">
        <f t="shared" si="1197"/>
        <v>23.07692307692308</v>
      </c>
      <c r="FN151" s="252">
        <f t="shared" si="1124"/>
        <v>0</v>
      </c>
      <c r="FO151" s="309">
        <f t="shared" si="1198"/>
        <v>23.07692307692308</v>
      </c>
      <c r="FP151" s="246">
        <f>IF(FM151&lt;=0,2,0)+IF(FM151&gt;0,FM151+1,0)*2+IF(FM151&gt;12,FM151-12,0)*2+IF(FM151&gt;13,FM151-13,0)*2+IF(FM151&gt;14,FM151-14,0)*2+IF(FM151&gt;15,FM151-15,0)*2+IF(FM151&gt;16,FM151-16,0)*2+IF(FM151&gt;17,FM151-17,0)*2+IF(FM151&gt;18,FM151-18,0)*2+IF(FM151&gt;19,FM151-19,0)*2+IF(FM151&gt;20,FM151-20,0)*2</f>
        <v>175.5384615384616</v>
      </c>
      <c r="FQ151" s="244">
        <f>IF(FN151&lt;=0,2,0)+IF(FN151&gt;0,FN151+1,0)*2+IF(FN151&gt;12,FN151-12,0)*2+IF(FN151&gt;13,FN151-13,0)*2+IF(FN151&gt;14,FN151-14,0)*2+IF(FN151&gt;15,FN151-15,0)*2+IF(FN151&gt;16,FN151-16,0)*2+IF(FN151&gt;17,FN151-17,0)*2+IF(FN151&gt;18,FN151-18,0)*2+IF(FN151&gt;19,FN151-19,0)*2+IF(FN151&gt;20,FN151-20,0)*2</f>
        <v>2</v>
      </c>
      <c r="FR151" s="245">
        <f t="shared" si="1199"/>
        <v>173.5384615384616</v>
      </c>
      <c r="FS151" s="246">
        <f t="shared" si="1200"/>
        <v>0</v>
      </c>
      <c r="FU151" s="306" t="s">
        <v>225</v>
      </c>
      <c r="FV151" s="246" t="s">
        <v>226</v>
      </c>
      <c r="FW151" s="245" t="s">
        <v>132</v>
      </c>
      <c r="FX151" s="238"/>
      <c r="FY151" s="235">
        <f>Konvention_1slave-KLslave</f>
        <v>12</v>
      </c>
      <c r="FZ151" s="235">
        <f>Konvention_1slave-INslave</f>
        <v>12</v>
      </c>
      <c r="GA151" s="235"/>
      <c r="GB151" s="235"/>
      <c r="GC151" s="235"/>
      <c r="GD151" s="235">
        <f>Konvention_1slave-KOslave</f>
        <v>12</v>
      </c>
      <c r="GE151" s="227"/>
      <c r="GF151" s="226">
        <f t="shared" si="1201"/>
        <v>12</v>
      </c>
      <c r="GG151" s="226">
        <f t="shared" si="1202"/>
        <v>24</v>
      </c>
      <c r="GH151" s="227">
        <f t="shared" si="1203"/>
        <v>36</v>
      </c>
      <c r="GI151" s="238">
        <f t="shared" si="1125"/>
        <v>2304</v>
      </c>
      <c r="GJ151" s="235">
        <f>FY151*FZ151*KOslave+FY151*INslave*GD151+KLslave*FZ151*GD151</f>
        <v>3456</v>
      </c>
      <c r="GK151" s="227">
        <f t="shared" si="1204"/>
        <v>1728</v>
      </c>
      <c r="GL151" s="227">
        <f t="shared" si="1126"/>
        <v>7488</v>
      </c>
      <c r="GM151" s="225">
        <f t="shared" si="1205"/>
        <v>3.6923076923076925</v>
      </c>
      <c r="GN151" s="226">
        <f t="shared" si="1206"/>
        <v>11.076923076923077</v>
      </c>
      <c r="GO151" s="245">
        <f t="shared" si="1207"/>
        <v>8.3076923076923084</v>
      </c>
      <c r="GP151" s="245">
        <f t="shared" si="1208"/>
        <v>23.07692307692308</v>
      </c>
      <c r="GQ151" s="252">
        <f t="shared" si="1127"/>
        <v>0</v>
      </c>
      <c r="GR151" s="309">
        <f t="shared" si="1209"/>
        <v>23.07692307692308</v>
      </c>
      <c r="GS151" s="246">
        <f>IF(GP151&lt;=0,2,0)+IF(GP151&gt;0,GP151+1,0)*2+IF(GP151&gt;12,GP151-12,0)*2+IF(GP151&gt;13,GP151-13,0)*2+IF(GP151&gt;14,GP151-14,0)*2+IF(GP151&gt;15,GP151-15,0)*2+IF(GP151&gt;16,GP151-16,0)*2+IF(GP151&gt;17,GP151-17,0)*2+IF(GP151&gt;18,GP151-18,0)*2+IF(GP151&gt;19,GP151-19,0)*2+IF(GP151&gt;20,GP151-20,0)*2</f>
        <v>175.5384615384616</v>
      </c>
      <c r="GT151" s="244">
        <f>IF(GQ151&lt;=0,2,0)+IF(GQ151&gt;0,GQ151+1,0)*2+IF(GQ151&gt;12,GQ151-12,0)*2+IF(GQ151&gt;13,GQ151-13,0)*2+IF(GQ151&gt;14,GQ151-14,0)*2+IF(GQ151&gt;15,GQ151-15,0)*2+IF(GQ151&gt;16,GQ151-16,0)*2+IF(GQ151&gt;17,GQ151-17,0)*2+IF(GQ151&gt;18,GQ151-18,0)*2+IF(GQ151&gt;19,GQ151-19,0)*2+IF(GQ151&gt;20,GQ151-20,0)*2</f>
        <v>2</v>
      </c>
      <c r="GU151" s="245">
        <f t="shared" si="1210"/>
        <v>173.5384615384616</v>
      </c>
      <c r="GV151" s="246">
        <f t="shared" si="1211"/>
        <v>0</v>
      </c>
      <c r="GX151" s="306" t="s">
        <v>225</v>
      </c>
      <c r="GY151" s="246" t="s">
        <v>226</v>
      </c>
      <c r="GZ151" s="245" t="s">
        <v>132</v>
      </c>
      <c r="HA151" s="238"/>
      <c r="HB151" s="235">
        <f>Konvention_1slave-KLslave</f>
        <v>12</v>
      </c>
      <c r="HC151" s="235">
        <f>Konvention_1slave-INslave</f>
        <v>12</v>
      </c>
      <c r="HD151" s="235"/>
      <c r="HE151" s="235"/>
      <c r="HF151" s="235"/>
      <c r="HG151" s="235">
        <f>Konvention_1slave-KOslave_KO</f>
        <v>11</v>
      </c>
      <c r="HH151" s="227"/>
      <c r="HI151" s="226">
        <f t="shared" si="1212"/>
        <v>11.666666666666666</v>
      </c>
      <c r="HJ151" s="226">
        <f t="shared" si="1213"/>
        <v>23.333333333333332</v>
      </c>
      <c r="HK151" s="227">
        <f t="shared" si="1214"/>
        <v>35</v>
      </c>
      <c r="HL151" s="238">
        <f t="shared" si="1128"/>
        <v>2432</v>
      </c>
      <c r="HM151" s="235">
        <f>HB151*HC151*KOslave_KO+HB151*INslave*HG151+KLslave*HC151*HG151</f>
        <v>3408</v>
      </c>
      <c r="HN151" s="227">
        <f t="shared" si="1215"/>
        <v>1584</v>
      </c>
      <c r="HO151" s="227">
        <f t="shared" si="1129"/>
        <v>7424</v>
      </c>
      <c r="HP151" s="225">
        <f t="shared" si="1216"/>
        <v>3.8218390804597702</v>
      </c>
      <c r="HQ151" s="226">
        <f t="shared" si="1217"/>
        <v>10.711206896551724</v>
      </c>
      <c r="HR151" s="245">
        <f t="shared" si="1218"/>
        <v>7.4676724137931032</v>
      </c>
      <c r="HS151" s="245">
        <f t="shared" si="1219"/>
        <v>22.000718390804597</v>
      </c>
      <c r="HT151" s="252">
        <f t="shared" si="1130"/>
        <v>0</v>
      </c>
      <c r="HU151" s="309">
        <f t="shared" si="1220"/>
        <v>22.000718390804597</v>
      </c>
      <c r="HV151" s="246">
        <f>IF(HS151&lt;=0,2,0)+IF(HS151&gt;0,HS151+1,0)*2+IF(HS151&gt;12,HS151-12,0)*2+IF(HS151&gt;13,HS151-13,0)*2+IF(HS151&gt;14,HS151-14,0)*2+IF(HS151&gt;15,HS151-15,0)*2+IF(HS151&gt;16,HS151-16,0)*2+IF(HS151&gt;17,HS151-17,0)*2+IF(HS151&gt;18,HS151-18,0)*2+IF(HS151&gt;19,HS151-19,0)*2+IF(HS151&gt;20,HS151-20,0)*2</f>
        <v>154.01436781609189</v>
      </c>
      <c r="HW151" s="244">
        <f>IF(HT151&lt;=0,2,0)+IF(HT151&gt;0,HT151+1,0)*2+IF(HT151&gt;12,HT151-12,0)*2+IF(HT151&gt;13,HT151-13,0)*2+IF(HT151&gt;14,HT151-14,0)*2+IF(HT151&gt;15,HT151-15,0)*2+IF(HT151&gt;16,HT151-16,0)*2+IF(HT151&gt;17,HT151-17,0)*2+IF(HT151&gt;18,HT151-18,0)*2+IF(HT151&gt;19,HT151-19,0)*2+IF(HT151&gt;20,HT151-20,0)*2</f>
        <v>2</v>
      </c>
      <c r="HX151" s="245">
        <f t="shared" si="1221"/>
        <v>152.01436781609189</v>
      </c>
      <c r="HY151" s="246">
        <f t="shared" si="1222"/>
        <v>0</v>
      </c>
      <c r="IA151" s="306" t="s">
        <v>225</v>
      </c>
      <c r="IB151" s="246" t="s">
        <v>226</v>
      </c>
      <c r="IC151" s="245" t="s">
        <v>132</v>
      </c>
      <c r="ID151" s="238"/>
      <c r="IE151" s="235">
        <f>Konvention_1slave-KLslave</f>
        <v>12</v>
      </c>
      <c r="IF151" s="235">
        <f>Konvention_1slave-INslave</f>
        <v>12</v>
      </c>
      <c r="IG151" s="235"/>
      <c r="IH151" s="235"/>
      <c r="II151" s="235"/>
      <c r="IJ151" s="235">
        <f>Konvention_1slave-KOslave</f>
        <v>12</v>
      </c>
      <c r="IK151" s="227"/>
      <c r="IL151" s="226">
        <f t="shared" si="1223"/>
        <v>12</v>
      </c>
      <c r="IM151" s="226">
        <f t="shared" si="1224"/>
        <v>24</v>
      </c>
      <c r="IN151" s="227">
        <f t="shared" si="1225"/>
        <v>36</v>
      </c>
      <c r="IO151" s="238">
        <f t="shared" si="1131"/>
        <v>2304</v>
      </c>
      <c r="IP151" s="235">
        <f>IE151*IF151*KOslave+IE151*INslave*IJ151+KLslave*IF151*IJ151</f>
        <v>3456</v>
      </c>
      <c r="IQ151" s="227">
        <f t="shared" si="1226"/>
        <v>1728</v>
      </c>
      <c r="IR151" s="227">
        <f t="shared" si="1132"/>
        <v>7488</v>
      </c>
      <c r="IS151" s="225">
        <f t="shared" si="1227"/>
        <v>3.6923076923076925</v>
      </c>
      <c r="IT151" s="226">
        <f t="shared" si="1228"/>
        <v>11.076923076923077</v>
      </c>
      <c r="IU151" s="245">
        <f t="shared" si="1229"/>
        <v>8.3076923076923084</v>
      </c>
      <c r="IV151" s="245">
        <f t="shared" si="1230"/>
        <v>23.07692307692308</v>
      </c>
      <c r="IW151" s="252">
        <f t="shared" si="1133"/>
        <v>0</v>
      </c>
      <c r="IX151" s="309">
        <f t="shared" si="1231"/>
        <v>23.07692307692308</v>
      </c>
      <c r="IY151" s="246">
        <f>IF(IV151&lt;=0,2,0)+IF(IV151&gt;0,IV151+1,0)*2+IF(IV151&gt;12,IV151-12,0)*2+IF(IV151&gt;13,IV151-13,0)*2+IF(IV151&gt;14,IV151-14,0)*2+IF(IV151&gt;15,IV151-15,0)*2+IF(IV151&gt;16,IV151-16,0)*2+IF(IV151&gt;17,IV151-17,0)*2+IF(IV151&gt;18,IV151-18,0)*2+IF(IV151&gt;19,IV151-19,0)*2+IF(IV151&gt;20,IV151-20,0)*2</f>
        <v>175.5384615384616</v>
      </c>
      <c r="IZ151" s="244">
        <f>IF(IW151&lt;=0,2,0)+IF(IW151&gt;0,IW151+1,0)*2+IF(IW151&gt;12,IW151-12,0)*2+IF(IW151&gt;13,IW151-13,0)*2+IF(IW151&gt;14,IW151-14,0)*2+IF(IW151&gt;15,IW151-15,0)*2+IF(IW151&gt;16,IW151-16,0)*2+IF(IW151&gt;17,IW151-17,0)*2+IF(IW151&gt;18,IW151-18,0)*2+IF(IW151&gt;19,IW151-19,0)*2+IF(IW151&gt;20,IW151-20,0)*2</f>
        <v>2</v>
      </c>
      <c r="JA151" s="245">
        <f t="shared" si="1232"/>
        <v>173.5384615384616</v>
      </c>
      <c r="JB151" s="246">
        <f t="shared" si="1233"/>
        <v>0</v>
      </c>
      <c r="JE151" s="148"/>
    </row>
    <row r="152" spans="2:265" hidden="1" outlineLevel="1" collapsed="1">
      <c r="B152" s="134" t="s">
        <v>329</v>
      </c>
      <c r="C152" s="307" t="s">
        <v>281</v>
      </c>
      <c r="D152" s="84" t="s">
        <v>279</v>
      </c>
      <c r="E152" s="84" t="s">
        <v>280</v>
      </c>
      <c r="Y152" s="251"/>
      <c r="Z152" s="197"/>
      <c r="AF152" s="83" t="s">
        <v>281</v>
      </c>
      <c r="AG152" s="84" t="s">
        <v>279</v>
      </c>
      <c r="AH152" s="84" t="s">
        <v>280</v>
      </c>
      <c r="BB152" s="197"/>
      <c r="BC152" s="197"/>
      <c r="BI152" s="307" t="s">
        <v>281</v>
      </c>
      <c r="BJ152" s="308" t="s">
        <v>279</v>
      </c>
      <c r="BK152" s="308" t="s">
        <v>280</v>
      </c>
      <c r="CE152" s="251"/>
      <c r="CF152" s="251"/>
      <c r="CL152" s="307" t="s">
        <v>281</v>
      </c>
      <c r="CM152" s="308" t="s">
        <v>279</v>
      </c>
      <c r="CN152" s="308" t="s">
        <v>280</v>
      </c>
      <c r="DH152" s="251"/>
      <c r="DI152" s="251"/>
      <c r="DO152" s="307" t="s">
        <v>281</v>
      </c>
      <c r="DP152" s="308" t="s">
        <v>279</v>
      </c>
      <c r="DQ152" s="308" t="s">
        <v>280</v>
      </c>
      <c r="EK152" s="251"/>
      <c r="EL152" s="251"/>
      <c r="ER152" s="307" t="s">
        <v>281</v>
      </c>
      <c r="ES152" s="308" t="s">
        <v>279</v>
      </c>
      <c r="ET152" s="308" t="s">
        <v>280</v>
      </c>
      <c r="FN152" s="251"/>
      <c r="FO152" s="251"/>
      <c r="FU152" s="307" t="s">
        <v>281</v>
      </c>
      <c r="FV152" s="308" t="s">
        <v>279</v>
      </c>
      <c r="FW152" s="308" t="s">
        <v>280</v>
      </c>
      <c r="GQ152" s="251"/>
      <c r="GR152" s="251"/>
      <c r="GX152" s="307" t="s">
        <v>281</v>
      </c>
      <c r="GY152" s="308" t="s">
        <v>279</v>
      </c>
      <c r="GZ152" s="308" t="s">
        <v>280</v>
      </c>
      <c r="HT152" s="251"/>
      <c r="HU152" s="251"/>
      <c r="IA152" s="307" t="s">
        <v>281</v>
      </c>
      <c r="IB152" s="308" t="s">
        <v>279</v>
      </c>
      <c r="IC152" s="308" t="s">
        <v>280</v>
      </c>
      <c r="IW152" s="251"/>
      <c r="IX152" s="251"/>
      <c r="JE152" s="148"/>
    </row>
    <row r="153" spans="2:265" hidden="1" outlineLevel="2">
      <c r="B153" s="148">
        <v>1</v>
      </c>
      <c r="C153" s="302" t="e">
        <f>VLOOKUP(AF153,Attribute!C:T,1,FALSE)</f>
        <v>#N/A</v>
      </c>
      <c r="D153" s="85" t="s">
        <v>84</v>
      </c>
      <c r="E153" s="168" t="s">
        <v>134</v>
      </c>
      <c r="F153" s="171">
        <f>Konvention_1master-MUmaster</f>
        <v>12</v>
      </c>
      <c r="G153" s="170">
        <f>Konvention_1master-KLmaster</f>
        <v>12</v>
      </c>
      <c r="H153" s="170"/>
      <c r="I153" s="170">
        <f>Konvention_1master-CHmaster</f>
        <v>12</v>
      </c>
      <c r="J153" s="170"/>
      <c r="K153" s="170"/>
      <c r="L153" s="170"/>
      <c r="M153" s="172"/>
      <c r="N153" s="220">
        <f>(F153+G153+H153+I153+J153+K153+L153+M153)/3</f>
        <v>12</v>
      </c>
      <c r="O153" s="220">
        <f t="shared" ref="O153:O160" si="1243">2*N153</f>
        <v>24</v>
      </c>
      <c r="P153" s="221">
        <f t="shared" ref="P153:P160" si="1244">3*N153</f>
        <v>36</v>
      </c>
      <c r="Q153" s="236">
        <f>F153*POWER(KLmaster,SIGN(G153))*POWER(INmaster,SIGN(H153))*POWER(CHmaster,SIGN(I153))*POWER(FFmaster,SIGN(J153))*POWER(GEmaster,SIGN(K153))*POWER(KOmaster,SIGN(L153))*POWER(KKmaster,SIGN(M153))+G153*POWER(MUmaster,SIGN(F153))*POWER(INmaster,SIGN(H153))*POWER(CHmaster,SIGN(I153))*POWER(FFmaster,SIGN(J153))*POWER(GEmaster,SIGN(K153))*POWER(KOmaster,SIGN(L153))*POWER(KKmaster,SIGN(M153))+H153*POWER(MUmaster,SIGN(F153))*POWER(KLmaster,SIGN(G153))*POWER(CHmaster,SIGN(I153))*POWER(FFmaster,SIGN(J153))*POWER(GEmaster,SIGN(K153))*POWER(KOmaster,SIGN(L153))*POWER(KKmaster,SIGN(M153))+I153*POWER(MUmaster,SIGN(F153))*POWER(KLmaster,SIGN(G153))*POWER(INmaster,SIGN(H153))*POWER(FFmaster,SIGN(J153))*POWER(GEmaster,SIGN(K153))*POWER(KOmaster,SIGN(L153))*POWER(KKmaster,SIGN(M153))+J153*POWER(MUmaster,SIGN(F153))*POWER(KLmaster,SIGN(G153))*POWER(INmaster,SIGN(H153))*POWER(CHmaster,SIGN(I153))*POWER(GEmaster,SIGN(K153))*POWER(KOmaster,SIGN(L153))*POWER(KKmaster,SIGN(M153))+K153*POWER(MUmaster,SIGN(F153))*POWER(KLmaster,SIGN(G153))*POWER(INmaster,SIGN(H153))*POWER(CHmaster,SIGN(I153))*POWER(FFmaster,SIGN(J153))*POWER(KOmaster,SIGN(L153))*POWER(KKmaster,SIGN(M153))+L153*POWER(MUmaster,SIGN(F153))*POWER(KLmaster,SIGN(G153))*POWER(INmaster,SIGN(H153))*POWER(CHmaster,SIGN(I153))*POWER(FFmaster,SIGN(J153))*POWER(GEmaster,SIGN(K153))*POWER(KKmaster,SIGN(M153))+M153*POWER(MUmaster,SIGN(F153))*POWER(KLmaster,SIGN(G153))*POWER(INmaster,SIGN(H153))*POWER(CHmaster,SIGN(I153))*POWER(FFmaster,SIGN(J153))*POWER(GEmaster,SIGN(K153))*POWER(KOmaster,SIGN(L153))</f>
        <v>2304</v>
      </c>
      <c r="R153" s="170">
        <f>F153*G153*CHmaster+F153*KLmaster*I153+MUmaster*G153*I153</f>
        <v>3456</v>
      </c>
      <c r="S153" s="221">
        <f>IFERROR(F153^SIGN(F153),1)*IFERROR(G153^SIGN(G153),1)*IFERROR(H153^SIGN(H153),1)*IFERROR(I153^SIGN(I153),1)*IFERROR(J153^SIGN(J153),1)*IFERROR(K153^SIGN(K153),1)*IFERROR(L153^SIGN(L153),1)*IFERROR(M153^SIGN(M153),1)</f>
        <v>1728</v>
      </c>
      <c r="T153" s="221">
        <f t="shared" ref="T153:T168" si="1245">SUM(Q153:S153)</f>
        <v>7488</v>
      </c>
      <c r="U153" s="219">
        <f t="shared" ref="U153:U160" si="1246">N153*Q153/T153</f>
        <v>3.6923076923076925</v>
      </c>
      <c r="V153" s="220">
        <f t="shared" ref="V153:V160" si="1247">O153*R153/T153</f>
        <v>11.076923076923077</v>
      </c>
      <c r="W153" s="241">
        <f t="shared" ref="W153:W160" si="1248">P153*S153/T153</f>
        <v>8.3076923076923084</v>
      </c>
      <c r="X153" s="241">
        <f t="shared" ref="X153:X160" si="1249">SUM(U153:W153)</f>
        <v>23.07692307692308</v>
      </c>
      <c r="Y153" s="252">
        <v>0</v>
      </c>
      <c r="Z153" s="198">
        <f t="shared" ref="Z153:Z160" si="1250">X153-Y153</f>
        <v>23.07692307692308</v>
      </c>
      <c r="AA153" s="158">
        <f>IF(X153&lt;=0,4,0)+IF(X153&gt;0,X153+1,0)*4+IF(X153&gt;12,X153-12,0)*4+IF(X153&gt;13,X153-13,0)*4+IF(X153&gt;14,X153-14,0)*4+IF(X153&gt;15,X153-15,0)*4+IF(X153&gt;16,X153-16,0)*4+IF(X153&gt;17,X153-17,0)*4+IF(X153&gt;18,X153-18,0)*4+IF(X153&gt;19,X153-19,0)*4+IF(X153&gt;20,X153-20,0)*4</f>
        <v>351.07692307692321</v>
      </c>
      <c r="AB153" s="91">
        <f>IF(Y153&lt;=0,4,0)+IF(Y153&gt;0,Y153+1,0)*4+IF(Y153&gt;12,Y153-12,0)*4+IF(Y153&gt;13,Y153-13,0)*4+IF(Y153&gt;14,Y153-14,0)*4+IF(Y153&gt;15,Y153-15,0)*4+IF(Y153&gt;16,Y153-16,0)*4+IF(Y153&gt;17,Y153-17,0)*4+IF(Y153&gt;18,Y153-18,0)*4+IF(Y153&gt;19,Y153-19,0)*4+IF(Y153&gt;20,Y153-20,0)*4</f>
        <v>4</v>
      </c>
      <c r="AC153" s="126">
        <f t="shared" ref="AC153:AC160" si="1251">IF((AA153-AB153)&gt;0,AA153-AB153,0)</f>
        <v>347.07692307692321</v>
      </c>
      <c r="AD153" s="158">
        <f t="shared" ref="AD153:AD160" si="1252">IF((AB153-AA153)&gt;0,AB153-AA153,0)</f>
        <v>0</v>
      </c>
      <c r="AF153" s="162" t="s">
        <v>379</v>
      </c>
      <c r="AG153" s="85" t="s">
        <v>84</v>
      </c>
      <c r="AH153" s="168" t="s">
        <v>134</v>
      </c>
      <c r="AI153" s="171">
        <f>Konvention_1slave-MUslave_MU</f>
        <v>11</v>
      </c>
      <c r="AJ153" s="170">
        <f>Konvention_1slave-KLslave</f>
        <v>12</v>
      </c>
      <c r="AK153" s="170"/>
      <c r="AL153" s="170">
        <f>Konvention_1slave-CHslave</f>
        <v>12</v>
      </c>
      <c r="AM153" s="170"/>
      <c r="AN153" s="170"/>
      <c r="AO153" s="170"/>
      <c r="AP153" s="172"/>
      <c r="AQ153" s="116">
        <f>(AI153+AJ153+AK153+AL153+AM153+AN153+AO153+AP153)/3</f>
        <v>11.666666666666666</v>
      </c>
      <c r="AR153" s="194">
        <f t="shared" ref="AR153:AR160" si="1253">2*AQ153</f>
        <v>23.333333333333332</v>
      </c>
      <c r="AS153" s="192">
        <f t="shared" ref="AS153:AS160" si="1254">3*AQ153</f>
        <v>35</v>
      </c>
      <c r="AT153" s="191">
        <f>AI153*POWER(KLslave,SIGN(AJ153))*POWER(INslave,SIGN(AK153))*POWER(CHslave,SIGN(AL153))*POWER(FFslave,SIGN(AM153))*POWER(GEslave,SIGN(AN153))*POWER(KOslave,SIGN(AO153))*POWER(KKslave,SIGN(AP153))+AJ153*POWER(MUslave_MU,SIGN(AI153))*POWER(INslave,SIGN(AK153))*POWER(CHslave,SIGN(AL153))*POWER(FFslave,SIGN(AM153))*POWER(GEslave,SIGN(AN153))*POWER(KOslave,SIGN(AO153))*POWER(KKslave,SIGN(AP153))+AK153*POWER(MUslave_MU,SIGN(AI153))*POWER(KLslave,SIGN(AJ153))*POWER(CHslave,SIGN(AL153))*POWER(FFslave,SIGN(AM153))*POWER(GEslave,SIGN(AN153))*POWER(KOslave,SIGN(AO153))*POWER(KKslave,SIGN(AP153))+AL153*POWER(MUslave_MU,SIGN(AI153))*POWER(KLslave,SIGN(AJ153))*POWER(INslave,SIGN(AK153))*POWER(FFslave,SIGN(AM153))*POWER(GEslave,SIGN(AN153))*POWER(KOslave,SIGN(AO153))*POWER(KKslave,SIGN(AP153))+AM153*POWER(MUslave_MU,SIGN(AI153))*POWER(KLslave,SIGN(AJ153))*POWER(INslave,SIGN(AK153))*POWER(CHslave,SIGN(AL153))*POWER(GEslave,SIGN(AN153))*POWER(KOslave,SIGN(AO153))*POWER(KKslave,SIGN(AP153))+AN153*POWER(MUslave_MU,SIGN(AI153))*POWER(KLslave,SIGN(AJ153))*POWER(INslave,SIGN(AK153))*POWER(CHslave,SIGN(AL153))*POWER(FFslave,SIGN(AM153))*POWER(KOslave,SIGN(AO153))*POWER(KKslave,SIGN(AP153))+AO153*POWER(MUslave_MU,SIGN(AI153))*POWER(KLslave,SIGN(AJ153))*POWER(INslave,SIGN(AK153))*POWER(CHslave,SIGN(AL153))*POWER(FFslave,SIGN(AM153))*POWER(GEslave,SIGN(AN153))*POWER(KKslave,SIGN(AP153))+AP153*POWER(MUslave_MU,SIGN(AI153))*POWER(KLslave,SIGN(AJ153))*POWER(INslave,SIGN(AK153))*POWER(CHslave,SIGN(AL153))*POWER(FFslave,SIGN(AM153))*POWER(GEslave,SIGN(AN153))*POWER(KOslave,SIGN(AO153))</f>
        <v>2432</v>
      </c>
      <c r="AU153" s="170">
        <f>AI153*AJ153*CHslave+AI153*KLslave*AL153+MUslave_MU*AJ153*AL153</f>
        <v>3408</v>
      </c>
      <c r="AV153" s="92">
        <f>IFERROR(AI153^SIGN(AI153),1)*IFERROR(AJ153^SIGN(AJ153),1)*IFERROR(AK153^SIGN(AK153),1)*IFERROR(AL153^SIGN(AL153),1)*IFERROR(AM153^SIGN(AM153),1)*IFERROR(AN153^SIGN(AN153),1)*IFERROR(AO153^SIGN(AO153),1)*IFERROR(AP153^SIGN(AP153),1)</f>
        <v>1584</v>
      </c>
      <c r="AW153" s="92">
        <f t="shared" ref="AW153:AW196" si="1255">SUM(AT153:AV153)</f>
        <v>7424</v>
      </c>
      <c r="AX153" s="193">
        <f t="shared" ref="AX153:AX160" si="1256">AQ153*AT153/AW153</f>
        <v>3.8218390804597702</v>
      </c>
      <c r="AY153" s="116">
        <f t="shared" ref="AY153:AY160" si="1257">AR153*AU153/AW153</f>
        <v>10.711206896551724</v>
      </c>
      <c r="AZ153" s="126">
        <f t="shared" ref="AZ153:AZ160" si="1258">AS153*AV153/AW153</f>
        <v>7.4676724137931032</v>
      </c>
      <c r="BA153" s="126">
        <f t="shared" ref="BA153:BA160" si="1259">SUM(AX153:AZ153)</f>
        <v>22.000718390804597</v>
      </c>
      <c r="BB153" s="165">
        <f t="shared" ref="BB153:BB211" si="1260">Y153</f>
        <v>0</v>
      </c>
      <c r="BC153" s="198">
        <f t="shared" ref="BC153:BC160" si="1261">BA153-BB153</f>
        <v>22.000718390804597</v>
      </c>
      <c r="BD153" s="158">
        <f>IF(BA153&lt;=0,4,0)+IF(BA153&gt;0,BA153+1,0)*4+IF(BA153&gt;12,BA153-12,0)*4+IF(BA153&gt;13,BA153-13,0)*4+IF(BA153&gt;14,BA153-14,0)*4+IF(BA153&gt;15,BA153-15,0)*4+IF(BA153&gt;16,BA153-16,0)*4+IF(BA153&gt;17,BA153-17,0)*4+IF(BA153&gt;18,BA153-18,0)*4+IF(BA153&gt;19,BA153-19,0)*4+IF(BA153&gt;20,BA153-20,0)*4</f>
        <v>308.02873563218378</v>
      </c>
      <c r="BE153" s="91">
        <f>IF(BB153&lt;=0,4,0)+IF(BB153&gt;0,BB153+1,0)*4+IF(BB153&gt;12,BB153-12,0)*4+IF(BB153&gt;13,BB153-13,0)*4+IF(BB153&gt;14,BB153-14,0)*4+IF(BB153&gt;15,BB153-15,0)*4+IF(BB153&gt;16,BB153-16,0)*4+IF(BB153&gt;17,BB153-17,0)*4+IF(BB153&gt;18,BB153-18,0)*4+IF(BB153&gt;19,BB153-19,0)*4+IF(BB153&gt;20,BB153-20,0)*4</f>
        <v>4</v>
      </c>
      <c r="BF153" s="241">
        <f t="shared" ref="BF153:BF160" si="1262">IF((BD153-BE153)&gt;0,BD153-BE153,0)</f>
        <v>304.02873563218378</v>
      </c>
      <c r="BG153" s="42">
        <f t="shared" ref="BG153:BG160" si="1263">IF((BE153-BD153)&gt;0,BE153-BD153,0)</f>
        <v>0</v>
      </c>
      <c r="BI153" s="302" t="s">
        <v>379</v>
      </c>
      <c r="BJ153" s="43" t="s">
        <v>84</v>
      </c>
      <c r="BK153" s="310" t="s">
        <v>134</v>
      </c>
      <c r="BL153" s="319">
        <f>Konvention_1slave-MUslave</f>
        <v>12</v>
      </c>
      <c r="BM153" s="316">
        <f>Konvention_1slave-KLslave_KL</f>
        <v>11</v>
      </c>
      <c r="BN153" s="316"/>
      <c r="BO153" s="316">
        <f>Konvention_1slave-CHslave</f>
        <v>12</v>
      </c>
      <c r="BP153" s="316"/>
      <c r="BQ153" s="316"/>
      <c r="BR153" s="316"/>
      <c r="BS153" s="320"/>
      <c r="BT153" s="220">
        <f>(BL153+BM153+BN153+BO153+BP153+BQ153+BR153+BS153)/3</f>
        <v>11.666666666666666</v>
      </c>
      <c r="BU153" s="220">
        <f t="shared" ref="BU153:BU160" si="1264">2*BT153</f>
        <v>23.333333333333332</v>
      </c>
      <c r="BV153" s="221">
        <f t="shared" ref="BV153:BV160" si="1265">3*BT153</f>
        <v>35</v>
      </c>
      <c r="BW153" s="236">
        <f>BL153*POWER(KLslave_KL,SIGN(BM153))*POWER(INslave,SIGN(BN153))*POWER(CHslave,SIGN(BO153))*POWER(FFslave,SIGN(BP153))*POWER(GEslave,SIGN(BQ153))*POWER(KOslave,SIGN(BR153))*POWER(KKslave,SIGN(BS153))+BM153*POWER(MUslave,SIGN(BL153))*POWER(INslave,SIGN(BN153))*POWER(CHslave,SIGN(BO153))*POWER(FFslave,SIGN(BP153))*POWER(GEslave,SIGN(BQ153))*POWER(KOslave,SIGN(BR153))*POWER(KKslave,SIGN(BS153))+BN153*POWER(MUslave,SIGN(BL153))*POWER(KLslave_KL,SIGN(BM153))*POWER(CHslave,SIGN(BO153))*POWER(FFslave,SIGN(BP153))*POWER(GEslave,SIGN(BQ153))*POWER(KOslave,SIGN(BR153))*POWER(KKslave,SIGN(BS153))+BO153*POWER(MUslave,SIGN(BL153))*POWER(KLslave_KL,SIGN(BM153))*POWER(INslave,SIGN(BN153))*POWER(FFslave,SIGN(BP153))*POWER(GEslave,SIGN(BQ153))*POWER(KOslave,SIGN(BR153))*POWER(KKslave,SIGN(BS153))+BP153*POWER(MUslave,SIGN(BL153))*POWER(KLslave_KL,SIGN(BM153))*POWER(INslave,SIGN(BN153))*POWER(CHslave,SIGN(BO153))*POWER(GEslave,SIGN(BQ153))*POWER(KOslave,SIGN(BR153))*POWER(KKslave,SIGN(BS153))+BQ153*POWER(MUslave,SIGN(BL153))*POWER(KLslave_KL,SIGN(BM153))*POWER(INslave,SIGN(BN153))*POWER(CHslave,SIGN(BO153))*POWER(FFslave,SIGN(BP153))*POWER(KOslave,SIGN(BR153))*POWER(KKslave,SIGN(BS153))+BR153*POWER(MUslave,SIGN(BL153))*POWER(KLslave_KL,SIGN(BM153))*POWER(INslave,SIGN(BN153))*POWER(CHslave,SIGN(BO153))*POWER(FFslave,SIGN(BP153))*POWER(GEslave,SIGN(BQ153))*POWER(KKslave,SIGN(BS153))+BS153*POWER(MUslave,SIGN(BL153))*POWER(KLslave_KL,SIGN(BM153))*POWER(INslave,SIGN(BN153))*POWER(CHslave,SIGN(BO153))*POWER(FFslave,SIGN(BP153))*POWER(GEslave,SIGN(BQ153))*POWER(KOslave,SIGN(BR153))</f>
        <v>2432</v>
      </c>
      <c r="BX153" s="316">
        <f>BL153*BM153*CHslave+BL153*KLslave_KL*BO153+MUslave*BM153*BO153</f>
        <v>3408</v>
      </c>
      <c r="BY153" s="221">
        <f>IFERROR(BL153^SIGN(BL153),1)*IFERROR(BM153^SIGN(BM153),1)*IFERROR(BN153^SIGN(BN153),1)*IFERROR(BO153^SIGN(BO153),1)*IFERROR(BP153^SIGN(BP153),1)*IFERROR(BQ153^SIGN(BQ153),1)*IFERROR(BR153^SIGN(BR153),1)*IFERROR(BS153^SIGN(BS153),1)</f>
        <v>1584</v>
      </c>
      <c r="BZ153" s="221">
        <f t="shared" ref="BZ153:BZ196" si="1266">SUM(BW153:BY153)</f>
        <v>7424</v>
      </c>
      <c r="CA153" s="219">
        <f t="shared" ref="CA153:CA160" si="1267">BT153*BW153/BZ153</f>
        <v>3.8218390804597702</v>
      </c>
      <c r="CB153" s="220">
        <f t="shared" ref="CB153:CB160" si="1268">BU153*BX153/BZ153</f>
        <v>10.711206896551724</v>
      </c>
      <c r="CC153" s="241">
        <f t="shared" ref="CC153:CC160" si="1269">BV153*BY153/BZ153</f>
        <v>7.4676724137931032</v>
      </c>
      <c r="CD153" s="241">
        <f t="shared" ref="CD153:CD160" si="1270">SUM(CA153:CC153)</f>
        <v>22.000718390804597</v>
      </c>
      <c r="CE153" s="252">
        <f t="shared" ref="CE153:CE211" si="1271">BB153</f>
        <v>0</v>
      </c>
      <c r="CF153" s="309">
        <f t="shared" ref="CF153:CF160" si="1272">CD153-CE153</f>
        <v>22.000718390804597</v>
      </c>
      <c r="CG153" s="42">
        <f>IF(CD153&lt;=0,4,0)+IF(CD153&gt;0,CD153+1,0)*4+IF(CD153&gt;12,CD153-12,0)*4+IF(CD153&gt;13,CD153-13,0)*4+IF(CD153&gt;14,CD153-14,0)*4+IF(CD153&gt;15,CD153-15,0)*4+IF(CD153&gt;16,CD153-16,0)*4+IF(CD153&gt;17,CD153-17,0)*4+IF(CD153&gt;18,CD153-18,0)*4+IF(CD153&gt;19,CD153-19,0)*4+IF(CD153&gt;20,CD153-20,0)*4</f>
        <v>308.02873563218378</v>
      </c>
      <c r="CH153" s="78">
        <f>IF(CE153&lt;=0,4,0)+IF(CE153&gt;0,CE153+1,0)*4+IF(CE153&gt;12,CE153-12,0)*4+IF(CE153&gt;13,CE153-13,0)*4+IF(CE153&gt;14,CE153-14,0)*4+IF(CE153&gt;15,CE153-15,0)*4+IF(CE153&gt;16,CE153-16,0)*4+IF(CE153&gt;17,CE153-17,0)*4+IF(CE153&gt;18,CE153-18,0)*4+IF(CE153&gt;19,CE153-19,0)*4+IF(CE153&gt;20,CE153-20,0)*4</f>
        <v>4</v>
      </c>
      <c r="CI153" s="241">
        <f t="shared" ref="CI153:CI160" si="1273">IF((CG153-CH153)&gt;0,CG153-CH153,0)</f>
        <v>304.02873563218378</v>
      </c>
      <c r="CJ153" s="42">
        <f t="shared" ref="CJ153:CJ160" si="1274">IF((CH153-CG153)&gt;0,CH153-CG153,0)</f>
        <v>0</v>
      </c>
      <c r="CL153" s="302" t="s">
        <v>379</v>
      </c>
      <c r="CM153" s="43" t="s">
        <v>84</v>
      </c>
      <c r="CN153" s="310" t="s">
        <v>134</v>
      </c>
      <c r="CO153" s="319">
        <f>Konvention_1slave-MUslave</f>
        <v>12</v>
      </c>
      <c r="CP153" s="316">
        <f>Konvention_1slave-KLslave</f>
        <v>12</v>
      </c>
      <c r="CQ153" s="316"/>
      <c r="CR153" s="316">
        <f>Konvention_1slave-CHslave</f>
        <v>12</v>
      </c>
      <c r="CS153" s="316"/>
      <c r="CT153" s="316"/>
      <c r="CU153" s="316"/>
      <c r="CV153" s="320"/>
      <c r="CW153" s="220">
        <f>(CO153+CP153+CQ153+CR153+CS153+CT153+CU153+CV153)/3</f>
        <v>12</v>
      </c>
      <c r="CX153" s="220">
        <f t="shared" ref="CX153:CX160" si="1275">2*CW153</f>
        <v>24</v>
      </c>
      <c r="CY153" s="221">
        <f t="shared" ref="CY153:CY160" si="1276">3*CW153</f>
        <v>36</v>
      </c>
      <c r="CZ153" s="236">
        <f>CO153*POWER(KLslave,SIGN(CP153))*POWER(INslave_IN,SIGN(CQ153))*POWER(CHslave,SIGN(CR153))*POWER(FFslave,SIGN(CS153))*POWER(GEslave,SIGN(CT153))*POWER(KOslave,SIGN(CU153))*POWER(KKslave,SIGN(CV153))+CP153*POWER(MUslave,SIGN(CO153))*POWER(INslave_IN,SIGN(CQ153))*POWER(CHslave,SIGN(CR153))*POWER(FFslave,SIGN(CS153))*POWER(GEslave,SIGN(CT153))*POWER(KOslave,SIGN(CU153))*POWER(KKslave,SIGN(CV153))+CQ153*POWER(MUslave,SIGN(CO153))*POWER(KLslave,SIGN(CP153))*POWER(CHslave,SIGN(CR153))*POWER(FFslave,SIGN(CS153))*POWER(GEslave,SIGN(CT153))*POWER(KOslave,SIGN(CU153))*POWER(KKslave,SIGN(CV153))+CR153*POWER(MUslave,SIGN(CO153))*POWER(KLslave,SIGN(CP153))*POWER(INslave_IN,SIGN(CQ153))*POWER(FFslave,SIGN(CS153))*POWER(GEslave,SIGN(CT153))*POWER(KOslave,SIGN(CU153))*POWER(KKslave,SIGN(CV153))+CS153*POWER(MUslave,SIGN(CO153))*POWER(KLslave,SIGN(CP153))*POWER(INslave_IN,SIGN(CQ153))*POWER(CHslave,SIGN(CR153))*POWER(GEslave,SIGN(CT153))*POWER(KOslave,SIGN(CU153))*POWER(KKslave,SIGN(CV153))+CT153*POWER(MUslave,SIGN(CO153))*POWER(KLslave,SIGN(CP153))*POWER(INslave_IN,SIGN(CQ153))*POWER(CHslave,SIGN(CR153))*POWER(FFslave,SIGN(CS153))*POWER(KOslave,SIGN(CU153))*POWER(KKslave,SIGN(CV153))+CU153*POWER(MUslave,SIGN(CO153))*POWER(KLslave,SIGN(CP153))*POWER(INslave_IN,SIGN(CQ153))*POWER(CHslave,SIGN(CR153))*POWER(FFslave,SIGN(CS153))*POWER(GEslave,SIGN(CT153))*POWER(KKslave,SIGN(CV153))+CV153*POWER(MUslave,SIGN(CO153))*POWER(KLslave,SIGN(CP153))*POWER(INslave_IN,SIGN(CQ153))*POWER(CHslave,SIGN(CR153))*POWER(FFslave,SIGN(CS153))*POWER(GEslave,SIGN(CT153))*POWER(KOslave,SIGN(CU153))</f>
        <v>2304</v>
      </c>
      <c r="DA153" s="316">
        <f>CO153*CP153*CHslave+CO153*KLslave*CR153+MUslave*CP153*CR153</f>
        <v>3456</v>
      </c>
      <c r="DB153" s="221">
        <f>IFERROR(CO153^SIGN(CO153),1)*IFERROR(CP153^SIGN(CP153),1)*IFERROR(CQ153^SIGN(CQ153),1)*IFERROR(CR153^SIGN(CR153),1)*IFERROR(CS153^SIGN(CS153),1)*IFERROR(CT153^SIGN(CT153),1)*IFERROR(CU153^SIGN(CU153),1)*IFERROR(CV153^SIGN(CV153),1)</f>
        <v>1728</v>
      </c>
      <c r="DC153" s="221">
        <f t="shared" ref="DC153:DC196" si="1277">SUM(CZ153:DB153)</f>
        <v>7488</v>
      </c>
      <c r="DD153" s="219">
        <f t="shared" ref="DD153:DD160" si="1278">CW153*CZ153/DC153</f>
        <v>3.6923076923076925</v>
      </c>
      <c r="DE153" s="220">
        <f t="shared" ref="DE153:DE160" si="1279">CX153*DA153/DC153</f>
        <v>11.076923076923077</v>
      </c>
      <c r="DF153" s="241">
        <f t="shared" ref="DF153:DF160" si="1280">CY153*DB153/DC153</f>
        <v>8.3076923076923084</v>
      </c>
      <c r="DG153" s="241">
        <f t="shared" ref="DG153:DG160" si="1281">SUM(DD153:DF153)</f>
        <v>23.07692307692308</v>
      </c>
      <c r="DH153" s="252">
        <f t="shared" ref="DH153:DH211" si="1282">CE153</f>
        <v>0</v>
      </c>
      <c r="DI153" s="309">
        <f t="shared" ref="DI153:DI160" si="1283">DG153-DH153</f>
        <v>23.07692307692308</v>
      </c>
      <c r="DJ153" s="42">
        <f>IF(DG153&lt;=0,4,0)+IF(DG153&gt;0,DG153+1,0)*4+IF(DG153&gt;12,DG153-12,0)*4+IF(DG153&gt;13,DG153-13,0)*4+IF(DG153&gt;14,DG153-14,0)*4+IF(DG153&gt;15,DG153-15,0)*4+IF(DG153&gt;16,DG153-16,0)*4+IF(DG153&gt;17,DG153-17,0)*4+IF(DG153&gt;18,DG153-18,0)*4+IF(DG153&gt;19,DG153-19,0)*4+IF(DG153&gt;20,DG153-20,0)*4</f>
        <v>351.07692307692321</v>
      </c>
      <c r="DK153" s="78">
        <f>IF(DH153&lt;=0,4,0)+IF(DH153&gt;0,DH153+1,0)*4+IF(DH153&gt;12,DH153-12,0)*4+IF(DH153&gt;13,DH153-13,0)*4+IF(DH153&gt;14,DH153-14,0)*4+IF(DH153&gt;15,DH153-15,0)*4+IF(DH153&gt;16,DH153-16,0)*4+IF(DH153&gt;17,DH153-17,0)*4+IF(DH153&gt;18,DH153-18,0)*4+IF(DH153&gt;19,DH153-19,0)*4+IF(DH153&gt;20,DH153-20,0)*4</f>
        <v>4</v>
      </c>
      <c r="DL153" s="241">
        <f t="shared" ref="DL153:DL160" si="1284">IF((DJ153-DK153)&gt;0,DJ153-DK153,0)</f>
        <v>347.07692307692321</v>
      </c>
      <c r="DM153" s="42">
        <f t="shared" ref="DM153:DM160" si="1285">IF((DK153-DJ153)&gt;0,DK153-DJ153,0)</f>
        <v>0</v>
      </c>
      <c r="DO153" s="302" t="s">
        <v>379</v>
      </c>
      <c r="DP153" s="43" t="s">
        <v>84</v>
      </c>
      <c r="DQ153" s="310" t="s">
        <v>134</v>
      </c>
      <c r="DR153" s="319">
        <f>Konvention_1slave-MUslave</f>
        <v>12</v>
      </c>
      <c r="DS153" s="316">
        <f>Konvention_1slave-KLslave</f>
        <v>12</v>
      </c>
      <c r="DT153" s="316"/>
      <c r="DU153" s="316">
        <f>Konvention_1slave-CHslave_CH</f>
        <v>11</v>
      </c>
      <c r="DV153" s="316"/>
      <c r="DW153" s="316"/>
      <c r="DX153" s="316"/>
      <c r="DY153" s="320"/>
      <c r="DZ153" s="220">
        <f>(DR153+DS153+DT153+DU153+DV153+DW153+DX153+DY153)/3</f>
        <v>11.666666666666666</v>
      </c>
      <c r="EA153" s="220">
        <f t="shared" ref="EA153:EA160" si="1286">2*DZ153</f>
        <v>23.333333333333332</v>
      </c>
      <c r="EB153" s="221">
        <f t="shared" ref="EB153:EB160" si="1287">3*DZ153</f>
        <v>35</v>
      </c>
      <c r="EC153" s="236">
        <f>DR153*POWER(KLslave,SIGN(DS153))*POWER(INslave,SIGN(DT153))*POWER(CHslave_CH,SIGN(DU153))*POWER(FFslave,SIGN(DV153))*POWER(GEslave,SIGN(DW153))*POWER(KOslave,SIGN(DX153))*POWER(KKslave,SIGN(DY153))+DS153*POWER(MUslave,SIGN(DR153))*POWER(INslave,SIGN(DT153))*POWER(CHslave_CH,SIGN(DU153))*POWER(FFslave,SIGN(DV153))*POWER(GEslave,SIGN(DW153))*POWER(KOslave,SIGN(DX153))*POWER(KKslave,SIGN(DY153))+DT153*POWER(MUslave,SIGN(DR153))*POWER(KLslave,SIGN(DS153))*POWER(CHslave_CH,SIGN(DU153))*POWER(FFslave,SIGN(DV153))*POWER(GEslave,SIGN(DW153))*POWER(KOslave,SIGN(DX153))*POWER(KKslave,SIGN(DY153))+DU153*POWER(MUslave,SIGN(DR153))*POWER(KLslave,SIGN(DS153))*POWER(INslave,SIGN(DT153))*POWER(FFslave,SIGN(DV153))*POWER(GEslave,SIGN(DW153))*POWER(KOslave,SIGN(DX153))*POWER(KKslave,SIGN(DY153))+DV153*POWER(MUslave,SIGN(DR153))*POWER(KLslave,SIGN(DS153))*POWER(INslave,SIGN(DT153))*POWER(CHslave_CH,SIGN(DU153))*POWER(GEslave,SIGN(DW153))*POWER(KOslave,SIGN(DX153))*POWER(KKslave,SIGN(DY153))+DW153*POWER(MUslave,SIGN(DR153))*POWER(KLslave,SIGN(DS153))*POWER(INslave,SIGN(DT153))*POWER(CHslave_CH,SIGN(DU153))*POWER(FFslave,SIGN(DV153))*POWER(KOslave,SIGN(DX153))*POWER(KKslave,SIGN(DY153))+DX153*POWER(MUslave,SIGN(DR153))*POWER(KLslave,SIGN(DS153))*POWER(INslave,SIGN(DT153))*POWER(CHslave_CH,SIGN(DU153))*POWER(FFslave,SIGN(DV153))*POWER(GEslave,SIGN(DW153))*POWER(KKslave,SIGN(DY153))+DY153*POWER(MUslave,SIGN(DR153))*POWER(KLslave,SIGN(DS153))*POWER(INslave,SIGN(DT153))*POWER(CHslave_CH,SIGN(DU153))*POWER(FFslave,SIGN(DV153))*POWER(GEslave,SIGN(DW153))*POWER(KOslave,SIGN(DX153))</f>
        <v>2432</v>
      </c>
      <c r="ED153" s="316">
        <f>DR153*DS153*CHslave_CH+DR153*KLslave*DU153+MUslave*DS153*DU153</f>
        <v>3408</v>
      </c>
      <c r="EE153" s="221">
        <f>IFERROR(DR153^SIGN(DR153),1)*IFERROR(DS153^SIGN(DS153),1)*IFERROR(DT153^SIGN(DT153),1)*IFERROR(DU153^SIGN(DU153),1)*IFERROR(DV153^SIGN(DV153),1)*IFERROR(DW153^SIGN(DW153),1)*IFERROR(DX153^SIGN(DX153),1)*IFERROR(DY153^SIGN(DY153),1)</f>
        <v>1584</v>
      </c>
      <c r="EF153" s="221">
        <f t="shared" ref="EF153:EF196" si="1288">SUM(EC153:EE153)</f>
        <v>7424</v>
      </c>
      <c r="EG153" s="219">
        <f t="shared" ref="EG153:EG160" si="1289">DZ153*EC153/EF153</f>
        <v>3.8218390804597702</v>
      </c>
      <c r="EH153" s="220">
        <f t="shared" ref="EH153:EH160" si="1290">EA153*ED153/EF153</f>
        <v>10.711206896551724</v>
      </c>
      <c r="EI153" s="241">
        <f t="shared" ref="EI153:EI160" si="1291">EB153*EE153/EF153</f>
        <v>7.4676724137931032</v>
      </c>
      <c r="EJ153" s="241">
        <f t="shared" ref="EJ153:EJ160" si="1292">SUM(EG153:EI153)</f>
        <v>22.000718390804597</v>
      </c>
      <c r="EK153" s="252">
        <f t="shared" ref="EK153:EK211" si="1293">DH153</f>
        <v>0</v>
      </c>
      <c r="EL153" s="309">
        <f t="shared" ref="EL153:EL160" si="1294">EJ153-EK153</f>
        <v>22.000718390804597</v>
      </c>
      <c r="EM153" s="42">
        <f>IF(EJ153&lt;=0,4,0)+IF(EJ153&gt;0,EJ153+1,0)*4+IF(EJ153&gt;12,EJ153-12,0)*4+IF(EJ153&gt;13,EJ153-13,0)*4+IF(EJ153&gt;14,EJ153-14,0)*4+IF(EJ153&gt;15,EJ153-15,0)*4+IF(EJ153&gt;16,EJ153-16,0)*4+IF(EJ153&gt;17,EJ153-17,0)*4+IF(EJ153&gt;18,EJ153-18,0)*4+IF(EJ153&gt;19,EJ153-19,0)*4+IF(EJ153&gt;20,EJ153-20,0)*4</f>
        <v>308.02873563218378</v>
      </c>
      <c r="EN153" s="78">
        <f>IF(EK153&lt;=0,4,0)+IF(EK153&gt;0,EK153+1,0)*4+IF(EK153&gt;12,EK153-12,0)*4+IF(EK153&gt;13,EK153-13,0)*4+IF(EK153&gt;14,EK153-14,0)*4+IF(EK153&gt;15,EK153-15,0)*4+IF(EK153&gt;16,EK153-16,0)*4+IF(EK153&gt;17,EK153-17,0)*4+IF(EK153&gt;18,EK153-18,0)*4+IF(EK153&gt;19,EK153-19,0)*4+IF(EK153&gt;20,EK153-20,0)*4</f>
        <v>4</v>
      </c>
      <c r="EO153" s="241">
        <f t="shared" ref="EO153:EO160" si="1295">IF((EM153-EN153)&gt;0,EM153-EN153,0)</f>
        <v>304.02873563218378</v>
      </c>
      <c r="EP153" s="42">
        <f t="shared" ref="EP153:EP160" si="1296">IF((EN153-EM153)&gt;0,EN153-EM153,0)</f>
        <v>0</v>
      </c>
      <c r="ER153" s="302" t="s">
        <v>379</v>
      </c>
      <c r="ES153" s="43" t="s">
        <v>84</v>
      </c>
      <c r="ET153" s="310" t="s">
        <v>134</v>
      </c>
      <c r="EU153" s="319">
        <f>Konvention_1slave-MUslave</f>
        <v>12</v>
      </c>
      <c r="EV153" s="316">
        <f>Konvention_1slave-KLslave</f>
        <v>12</v>
      </c>
      <c r="EW153" s="316"/>
      <c r="EX153" s="316">
        <f>Konvention_1slave-CHslave</f>
        <v>12</v>
      </c>
      <c r="EY153" s="316"/>
      <c r="EZ153" s="316"/>
      <c r="FA153" s="316"/>
      <c r="FB153" s="320"/>
      <c r="FC153" s="220">
        <f>(EU153+EV153+EW153+EX153+EY153+EZ153+FA153+FB153)/3</f>
        <v>12</v>
      </c>
      <c r="FD153" s="220">
        <f t="shared" ref="FD153:FD160" si="1297">2*FC153</f>
        <v>24</v>
      </c>
      <c r="FE153" s="221">
        <f t="shared" ref="FE153:FE160" si="1298">3*FC153</f>
        <v>36</v>
      </c>
      <c r="FF153" s="236">
        <f>EU153*POWER(KLslave,SIGN(EV153))*POWER(INslave,SIGN(EW153))*POWER(CHslave,SIGN(EX153))*POWER(FFslave_FF,SIGN(EY153))*POWER(GEslave,SIGN(EZ153))*POWER(KOslave,SIGN(FA153))*POWER(KKslave,SIGN(FB153))+EV153*POWER(MUslave,SIGN(EU153))*POWER(INslave,SIGN(EW153))*POWER(CHslave,SIGN(EX153))*POWER(FFslave_FF,SIGN(EY153))*POWER(GEslave,SIGN(EZ153))*POWER(KOslave,SIGN(FA153))*POWER(KKslave,SIGN(FB153))+EW153*POWER(MUslave,SIGN(EU153))*POWER(KLslave,SIGN(EV153))*POWER(CHslave,SIGN(EX153))*POWER(FFslave_FF,SIGN(EY153))*POWER(GEslave,SIGN(EZ153))*POWER(KOslave,SIGN(FA153))*POWER(KKslave,SIGN(FB153))+EX153*POWER(MUslave,SIGN(EU153))*POWER(KLslave,SIGN(EV153))*POWER(INslave,SIGN(EW153))*POWER(FFslave_FF,SIGN(EY153))*POWER(GEslave,SIGN(EZ153))*POWER(KOslave,SIGN(FA153))*POWER(KKslave,SIGN(FB153))+EY153*POWER(MUslave,SIGN(EU153))*POWER(KLslave,SIGN(EV153))*POWER(INslave,SIGN(EW153))*POWER(CHslave,SIGN(EX153))*POWER(GEslave,SIGN(EZ153))*POWER(KOslave,SIGN(FA153))*POWER(KKslave,SIGN(FB153))+EZ153*POWER(MUslave,SIGN(EU153))*POWER(KLslave,SIGN(EV153))*POWER(INslave,SIGN(EW153))*POWER(CHslave,SIGN(EX153))*POWER(FFslave_FF,SIGN(EY153))*POWER(KOslave,SIGN(FA153))*POWER(KKslave,SIGN(FB153))+FA153*POWER(MUslave,SIGN(EU153))*POWER(KLslave,SIGN(EV153))*POWER(INslave,SIGN(EW153))*POWER(CHslave,SIGN(EX153))*POWER(FFslave_FF,SIGN(EY153))*POWER(GEslave,SIGN(EZ153))*POWER(KKslave,SIGN(FB153))+FB153*POWER(MUslave,SIGN(EU153))*POWER(KLslave,SIGN(EV153))*POWER(INslave,SIGN(EW153))*POWER(CHslave,SIGN(EX153))*POWER(FFslave_FF,SIGN(EY153))*POWER(GEslave,SIGN(EZ153))*POWER(KOslave,SIGN(FA153))</f>
        <v>2304</v>
      </c>
      <c r="FG153" s="316">
        <f>EU153*EV153*CHslave+EU153*KLslave*EX153+MUslave*EV153*EX153</f>
        <v>3456</v>
      </c>
      <c r="FH153" s="221">
        <f>IFERROR(EU153^SIGN(EU153),1)*IFERROR(EV153^SIGN(EV153),1)*IFERROR(EW153^SIGN(EW153),1)*IFERROR(EX153^SIGN(EX153),1)*IFERROR(EY153^SIGN(EY153),1)*IFERROR(EZ153^SIGN(EZ153),1)*IFERROR(FA153^SIGN(FA153),1)*IFERROR(FB153^SIGN(FB153),1)</f>
        <v>1728</v>
      </c>
      <c r="FI153" s="221">
        <f t="shared" ref="FI153:FI196" si="1299">SUM(FF153:FH153)</f>
        <v>7488</v>
      </c>
      <c r="FJ153" s="219">
        <f t="shared" ref="FJ153:FJ160" si="1300">FC153*FF153/FI153</f>
        <v>3.6923076923076925</v>
      </c>
      <c r="FK153" s="220">
        <f t="shared" ref="FK153:FK160" si="1301">FD153*FG153/FI153</f>
        <v>11.076923076923077</v>
      </c>
      <c r="FL153" s="241">
        <f t="shared" ref="FL153:FL160" si="1302">FE153*FH153/FI153</f>
        <v>8.3076923076923084</v>
      </c>
      <c r="FM153" s="241">
        <f t="shared" ref="FM153:FM160" si="1303">SUM(FJ153:FL153)</f>
        <v>23.07692307692308</v>
      </c>
      <c r="FN153" s="252">
        <f t="shared" ref="FN153:FN211" si="1304">EK153</f>
        <v>0</v>
      </c>
      <c r="FO153" s="309">
        <f t="shared" ref="FO153:FO160" si="1305">FM153-FN153</f>
        <v>23.07692307692308</v>
      </c>
      <c r="FP153" s="42">
        <f>IF(FM153&lt;=0,4,0)+IF(FM153&gt;0,FM153+1,0)*4+IF(FM153&gt;12,FM153-12,0)*4+IF(FM153&gt;13,FM153-13,0)*4+IF(FM153&gt;14,FM153-14,0)*4+IF(FM153&gt;15,FM153-15,0)*4+IF(FM153&gt;16,FM153-16,0)*4+IF(FM153&gt;17,FM153-17,0)*4+IF(FM153&gt;18,FM153-18,0)*4+IF(FM153&gt;19,FM153-19,0)*4+IF(FM153&gt;20,FM153-20,0)*4</f>
        <v>351.07692307692321</v>
      </c>
      <c r="FQ153" s="78">
        <f>IF(FN153&lt;=0,4,0)+IF(FN153&gt;0,FN153+1,0)*4+IF(FN153&gt;12,FN153-12,0)*4+IF(FN153&gt;13,FN153-13,0)*4+IF(FN153&gt;14,FN153-14,0)*4+IF(FN153&gt;15,FN153-15,0)*4+IF(FN153&gt;16,FN153-16,0)*4+IF(FN153&gt;17,FN153-17,0)*4+IF(FN153&gt;18,FN153-18,0)*4+IF(FN153&gt;19,FN153-19,0)*4+IF(FN153&gt;20,FN153-20,0)*4</f>
        <v>4</v>
      </c>
      <c r="FR153" s="241">
        <f t="shared" ref="FR153:FR160" si="1306">IF((FP153-FQ153)&gt;0,FP153-FQ153,0)</f>
        <v>347.07692307692321</v>
      </c>
      <c r="FS153" s="42">
        <f t="shared" ref="FS153:FS160" si="1307">IF((FQ153-FP153)&gt;0,FQ153-FP153,0)</f>
        <v>0</v>
      </c>
      <c r="FU153" s="302" t="s">
        <v>379</v>
      </c>
      <c r="FV153" s="43" t="s">
        <v>84</v>
      </c>
      <c r="FW153" s="310" t="s">
        <v>134</v>
      </c>
      <c r="FX153" s="319">
        <f>Konvention_1slave-MUslave</f>
        <v>12</v>
      </c>
      <c r="FY153" s="316">
        <f>Konvention_1slave-KLslave</f>
        <v>12</v>
      </c>
      <c r="FZ153" s="316"/>
      <c r="GA153" s="316">
        <f>Konvention_1slave-CHslave</f>
        <v>12</v>
      </c>
      <c r="GB153" s="316"/>
      <c r="GC153" s="316"/>
      <c r="GD153" s="316"/>
      <c r="GE153" s="320"/>
      <c r="GF153" s="220">
        <f>(FX153+FY153+FZ153+GA153+GB153+GC153+GD153+GE153)/3</f>
        <v>12</v>
      </c>
      <c r="GG153" s="220">
        <f t="shared" ref="GG153:GG160" si="1308">2*GF153</f>
        <v>24</v>
      </c>
      <c r="GH153" s="221">
        <f t="shared" ref="GH153:GH160" si="1309">3*GF153</f>
        <v>36</v>
      </c>
      <c r="GI153" s="236">
        <f>FX153*POWER(KLslave,SIGN(FY153))*POWER(INslave,SIGN(FZ153))*POWER(CHslave,SIGN(GA153))*POWER(FFslave,SIGN(GB153))*POWER(GEslave_GE,SIGN(GC153))*POWER(KOslave,SIGN(GD153))*POWER(KKslave,SIGN(GE153))+FY153*POWER(MUslave,SIGN(FX153))*POWER(INslave,SIGN(FZ153))*POWER(CHslave,SIGN(GA153))*POWER(FFslave,SIGN(GB153))*POWER(GEslave_GE,SIGN(GC153))*POWER(KOslave,SIGN(GD153))*POWER(KKslave,SIGN(GE153))+FZ153*POWER(MUslave,SIGN(FX153))*POWER(KLslave,SIGN(FY153))*POWER(CHslave,SIGN(GA153))*POWER(FFslave,SIGN(GB153))*POWER(GEslave_GE,SIGN(GC153))*POWER(KOslave,SIGN(GD153))*POWER(KKslave,SIGN(GE153))+GA153*POWER(MUslave,SIGN(FX153))*POWER(KLslave,SIGN(FY153))*POWER(INslave,SIGN(FZ153))*POWER(FFslave,SIGN(GB153))*POWER(GEslave_GE,SIGN(GC153))*POWER(KOslave,SIGN(GD153))*POWER(KKslave,SIGN(GE153))+GB153*POWER(MUslave,SIGN(FX153))*POWER(KLslave,SIGN(FY153))*POWER(INslave,SIGN(FZ153))*POWER(CHslave,SIGN(GA153))*POWER(GEslave_GE,SIGN(GC153))*POWER(KOslave,SIGN(GD153))*POWER(KKslave,SIGN(GE153))+GC153*POWER(MUslave,SIGN(FX153))*POWER(KLslave,SIGN(FY153))*POWER(INslave,SIGN(FZ153))*POWER(CHslave,SIGN(GA153))*POWER(FFslave,SIGN(GB153))*POWER(KOslave,SIGN(GD153))*POWER(KKslave,SIGN(GE153))+GD153*POWER(MUslave,SIGN(FX153))*POWER(KLslave,SIGN(FY153))*POWER(INslave,SIGN(FZ153))*POWER(CHslave,SIGN(GA153))*POWER(FFslave,SIGN(GB153))*POWER(GEslave_GE,SIGN(GC153))*POWER(KKslave,SIGN(GE153))+GE153*POWER(MUslave,SIGN(FX153))*POWER(KLslave,SIGN(FY153))*POWER(INslave,SIGN(FZ153))*POWER(CHslave,SIGN(GA153))*POWER(FFslave,SIGN(GB153))*POWER(GEslave_GE,SIGN(GC153))*POWER(KOslave,SIGN(GD153))</f>
        <v>2304</v>
      </c>
      <c r="GJ153" s="316">
        <f>FX153*FY153*CHslave+FX153*KLslave*GA153+MUslave*FY153*GA153</f>
        <v>3456</v>
      </c>
      <c r="GK153" s="221">
        <f>IFERROR(FX153^SIGN(FX153),1)*IFERROR(FY153^SIGN(FY153),1)*IFERROR(FZ153^SIGN(FZ153),1)*IFERROR(GA153^SIGN(GA153),1)*IFERROR(GB153^SIGN(GB153),1)*IFERROR(GC153^SIGN(GC153),1)*IFERROR(GD153^SIGN(GD153),1)*IFERROR(GE153^SIGN(GE153),1)</f>
        <v>1728</v>
      </c>
      <c r="GL153" s="221">
        <f t="shared" ref="GL153:GL196" si="1310">SUM(GI153:GK153)</f>
        <v>7488</v>
      </c>
      <c r="GM153" s="219">
        <f t="shared" ref="GM153:GM160" si="1311">GF153*GI153/GL153</f>
        <v>3.6923076923076925</v>
      </c>
      <c r="GN153" s="220">
        <f t="shared" ref="GN153:GN160" si="1312">GG153*GJ153/GL153</f>
        <v>11.076923076923077</v>
      </c>
      <c r="GO153" s="241">
        <f t="shared" ref="GO153:GO160" si="1313">GH153*GK153/GL153</f>
        <v>8.3076923076923084</v>
      </c>
      <c r="GP153" s="241">
        <f t="shared" ref="GP153:GP160" si="1314">SUM(GM153:GO153)</f>
        <v>23.07692307692308</v>
      </c>
      <c r="GQ153" s="252">
        <f t="shared" ref="GQ153:GQ211" si="1315">FN153</f>
        <v>0</v>
      </c>
      <c r="GR153" s="309">
        <f t="shared" ref="GR153:GR160" si="1316">GP153-GQ153</f>
        <v>23.07692307692308</v>
      </c>
      <c r="GS153" s="42">
        <f>IF(GP153&lt;=0,4,0)+IF(GP153&gt;0,GP153+1,0)*4+IF(GP153&gt;12,GP153-12,0)*4+IF(GP153&gt;13,GP153-13,0)*4+IF(GP153&gt;14,GP153-14,0)*4+IF(GP153&gt;15,GP153-15,0)*4+IF(GP153&gt;16,GP153-16,0)*4+IF(GP153&gt;17,GP153-17,0)*4+IF(GP153&gt;18,GP153-18,0)*4+IF(GP153&gt;19,GP153-19,0)*4+IF(GP153&gt;20,GP153-20,0)*4</f>
        <v>351.07692307692321</v>
      </c>
      <c r="GT153" s="78">
        <f>IF(GQ153&lt;=0,4,0)+IF(GQ153&gt;0,GQ153+1,0)*4+IF(GQ153&gt;12,GQ153-12,0)*4+IF(GQ153&gt;13,GQ153-13,0)*4+IF(GQ153&gt;14,GQ153-14,0)*4+IF(GQ153&gt;15,GQ153-15,0)*4+IF(GQ153&gt;16,GQ153-16,0)*4+IF(GQ153&gt;17,GQ153-17,0)*4+IF(GQ153&gt;18,GQ153-18,0)*4+IF(GQ153&gt;19,GQ153-19,0)*4+IF(GQ153&gt;20,GQ153-20,0)*4</f>
        <v>4</v>
      </c>
      <c r="GU153" s="241">
        <f t="shared" ref="GU153:GU160" si="1317">IF((GS153-GT153)&gt;0,GS153-GT153,0)</f>
        <v>347.07692307692321</v>
      </c>
      <c r="GV153" s="42">
        <f t="shared" ref="GV153:GV160" si="1318">IF((GT153-GS153)&gt;0,GT153-GS153,0)</f>
        <v>0</v>
      </c>
      <c r="GX153" s="302" t="s">
        <v>379</v>
      </c>
      <c r="GY153" s="43" t="s">
        <v>84</v>
      </c>
      <c r="GZ153" s="310" t="s">
        <v>134</v>
      </c>
      <c r="HA153" s="319">
        <f>Konvention_1slave-MUslave</f>
        <v>12</v>
      </c>
      <c r="HB153" s="316">
        <f>Konvention_1slave-KLslave</f>
        <v>12</v>
      </c>
      <c r="HC153" s="316"/>
      <c r="HD153" s="316">
        <f>Konvention_1slave-CHslave</f>
        <v>12</v>
      </c>
      <c r="HE153" s="316"/>
      <c r="HF153" s="316"/>
      <c r="HG153" s="316"/>
      <c r="HH153" s="320"/>
      <c r="HI153" s="220">
        <f>(HA153+HB153+HC153+HD153+HE153+HF153+HG153+HH153)/3</f>
        <v>12</v>
      </c>
      <c r="HJ153" s="220">
        <f t="shared" ref="HJ153:HJ160" si="1319">2*HI153</f>
        <v>24</v>
      </c>
      <c r="HK153" s="221">
        <f t="shared" ref="HK153:HK160" si="1320">3*HI153</f>
        <v>36</v>
      </c>
      <c r="HL153" s="236">
        <f>HA153*POWER(KLslave,SIGN(HB153))*POWER(INslave,SIGN(HC153))*POWER(CHslave,SIGN(HD153))*POWER(FFslave,SIGN(HE153))*POWER(GEslave,SIGN(HF153))*POWER(KOslave_KO,SIGN(HG153))*POWER(KKslave,SIGN(HH153))+HB153*POWER(MUslave,SIGN(HA153))*POWER(INslave,SIGN(HC153))*POWER(CHslave,SIGN(HD153))*POWER(FFslave,SIGN(HE153))*POWER(GEslave,SIGN(HF153))*POWER(KOslave_KO,SIGN(HG153))*POWER(KKslave,SIGN(HH153))+HC153*POWER(MUslave,SIGN(HA153))*POWER(KLslave,SIGN(HB153))*POWER(CHslave,SIGN(HD153))*POWER(FFslave,SIGN(HE153))*POWER(GEslave,SIGN(HF153))*POWER(KOslave_KO,SIGN(HG153))*POWER(KKslave,SIGN(HH153))+HD153*POWER(MUslave,SIGN(HA153))*POWER(KLslave,SIGN(HB153))*POWER(INslave,SIGN(HC153))*POWER(FFslave,SIGN(HE153))*POWER(GEslave,SIGN(HF153))*POWER(KOslave_KO,SIGN(HG153))*POWER(KKslave,SIGN(HH153))+HE153*POWER(MUslave,SIGN(HA153))*POWER(KLslave,SIGN(HB153))*POWER(INslave,SIGN(HC153))*POWER(CHslave,SIGN(HD153))*POWER(GEslave,SIGN(HF153))*POWER(KOslave_KO,SIGN(HG153))*POWER(KKslave,SIGN(HH153))+HF153*POWER(MUslave,SIGN(HA153))*POWER(KLslave,SIGN(HB153))*POWER(INslave,SIGN(HC153))*POWER(CHslave,SIGN(HD153))*POWER(FFslave,SIGN(HE153))*POWER(KOslave_KO,SIGN(HG153))*POWER(KKslave,SIGN(HH153))+HG153*POWER(MUslave,SIGN(HA153))*POWER(KLslave,SIGN(HB153))*POWER(INslave,SIGN(HC153))*POWER(CHslave,SIGN(HD153))*POWER(FFslave,SIGN(HE153))*POWER(GEslave,SIGN(HF153))*POWER(KKslave,SIGN(HH153))+HH153*POWER(MUslave,SIGN(HA153))*POWER(KLslave,SIGN(HB153))*POWER(INslave,SIGN(HC153))*POWER(CHslave,SIGN(HD153))*POWER(FFslave,SIGN(HE153))*POWER(GEslave,SIGN(HF153))*POWER(KOslave_KO,SIGN(HG153))</f>
        <v>2304</v>
      </c>
      <c r="HM153" s="316">
        <f>HA153*HB153*CHslave+HA153*KLslave*HD153+MUslave*HB153*HD153</f>
        <v>3456</v>
      </c>
      <c r="HN153" s="221">
        <f>IFERROR(HA153^SIGN(HA153),1)*IFERROR(HB153^SIGN(HB153),1)*IFERROR(HC153^SIGN(HC153),1)*IFERROR(HD153^SIGN(HD153),1)*IFERROR(HE153^SIGN(HE153),1)*IFERROR(HF153^SIGN(HF153),1)*IFERROR(HG153^SIGN(HG153),1)*IFERROR(HH153^SIGN(HH153),1)</f>
        <v>1728</v>
      </c>
      <c r="HO153" s="221">
        <f t="shared" ref="HO153:HO196" si="1321">SUM(HL153:HN153)</f>
        <v>7488</v>
      </c>
      <c r="HP153" s="219">
        <f t="shared" ref="HP153:HP160" si="1322">HI153*HL153/HO153</f>
        <v>3.6923076923076925</v>
      </c>
      <c r="HQ153" s="220">
        <f t="shared" ref="HQ153:HQ160" si="1323">HJ153*HM153/HO153</f>
        <v>11.076923076923077</v>
      </c>
      <c r="HR153" s="241">
        <f t="shared" ref="HR153:HR160" si="1324">HK153*HN153/HO153</f>
        <v>8.3076923076923084</v>
      </c>
      <c r="HS153" s="241">
        <f t="shared" ref="HS153:HS160" si="1325">SUM(HP153:HR153)</f>
        <v>23.07692307692308</v>
      </c>
      <c r="HT153" s="252">
        <f t="shared" ref="HT153:HT211" si="1326">GQ153</f>
        <v>0</v>
      </c>
      <c r="HU153" s="309">
        <f t="shared" ref="HU153:HU160" si="1327">HS153-HT153</f>
        <v>23.07692307692308</v>
      </c>
      <c r="HV153" s="42">
        <f>IF(HS153&lt;=0,4,0)+IF(HS153&gt;0,HS153+1,0)*4+IF(HS153&gt;12,HS153-12,0)*4+IF(HS153&gt;13,HS153-13,0)*4+IF(HS153&gt;14,HS153-14,0)*4+IF(HS153&gt;15,HS153-15,0)*4+IF(HS153&gt;16,HS153-16,0)*4+IF(HS153&gt;17,HS153-17,0)*4+IF(HS153&gt;18,HS153-18,0)*4+IF(HS153&gt;19,HS153-19,0)*4+IF(HS153&gt;20,HS153-20,0)*4</f>
        <v>351.07692307692321</v>
      </c>
      <c r="HW153" s="78">
        <f>IF(HT153&lt;=0,4,0)+IF(HT153&gt;0,HT153+1,0)*4+IF(HT153&gt;12,HT153-12,0)*4+IF(HT153&gt;13,HT153-13,0)*4+IF(HT153&gt;14,HT153-14,0)*4+IF(HT153&gt;15,HT153-15,0)*4+IF(HT153&gt;16,HT153-16,0)*4+IF(HT153&gt;17,HT153-17,0)*4+IF(HT153&gt;18,HT153-18,0)*4+IF(HT153&gt;19,HT153-19,0)*4+IF(HT153&gt;20,HT153-20,0)*4</f>
        <v>4</v>
      </c>
      <c r="HX153" s="241">
        <f t="shared" ref="HX153:HX160" si="1328">IF((HV153-HW153)&gt;0,HV153-HW153,0)</f>
        <v>347.07692307692321</v>
      </c>
      <c r="HY153" s="42">
        <f t="shared" ref="HY153:HY160" si="1329">IF((HW153-HV153)&gt;0,HW153-HV153,0)</f>
        <v>0</v>
      </c>
      <c r="IA153" s="302" t="s">
        <v>379</v>
      </c>
      <c r="IB153" s="43" t="s">
        <v>84</v>
      </c>
      <c r="IC153" s="310" t="s">
        <v>134</v>
      </c>
      <c r="ID153" s="319">
        <f>Konvention_1slave-MUslave</f>
        <v>12</v>
      </c>
      <c r="IE153" s="316">
        <f>Konvention_1slave-KLslave</f>
        <v>12</v>
      </c>
      <c r="IF153" s="316"/>
      <c r="IG153" s="316">
        <f>Konvention_1slave-CHslave</f>
        <v>12</v>
      </c>
      <c r="IH153" s="316"/>
      <c r="II153" s="316"/>
      <c r="IJ153" s="316"/>
      <c r="IK153" s="320"/>
      <c r="IL153" s="220">
        <f>(ID153+IE153+IF153+IG153+IH153+II153+IJ153+IK153)/3</f>
        <v>12</v>
      </c>
      <c r="IM153" s="220">
        <f t="shared" ref="IM153:IM160" si="1330">2*IL153</f>
        <v>24</v>
      </c>
      <c r="IN153" s="221">
        <f t="shared" ref="IN153:IN160" si="1331">3*IL153</f>
        <v>36</v>
      </c>
      <c r="IO153" s="236">
        <f>ID153*POWER(KLslave,SIGN(IE153))*POWER(INslave,SIGN(IF153))*POWER(CHslave,SIGN(IG153))*POWER(FFslave,SIGN(IH153))*POWER(GEslave,SIGN(II153))*POWER(KOslave,SIGN(IJ153))*POWER(KKslave_KK,SIGN(IK153))+IE153*POWER(MUslave,SIGN(ID153))*POWER(INslave,SIGN(IF153))*POWER(CHslave,SIGN(IG153))*POWER(FFslave,SIGN(IH153))*POWER(GEslave,SIGN(II153))*POWER(KOslave,SIGN(IJ153))*POWER(KKslave_KK,SIGN(IK153))+IF153*POWER(MUslave,SIGN(ID153))*POWER(KLslave,SIGN(IE153))*POWER(CHslave,SIGN(IG153))*POWER(FFslave,SIGN(IH153))*POWER(GEslave,SIGN(II153))*POWER(KOslave,SIGN(IJ153))*POWER(KKslave_KK,SIGN(IK153))+IG153*POWER(MUslave,SIGN(ID153))*POWER(KLslave,SIGN(IE153))*POWER(INslave,SIGN(IF153))*POWER(FFslave,SIGN(IH153))*POWER(GEslave,SIGN(II153))*POWER(KOslave,SIGN(IJ153))*POWER(KKslave_KK,SIGN(IK153))+IH153*POWER(MUslave,SIGN(ID153))*POWER(KLslave,SIGN(IE153))*POWER(INslave,SIGN(IF153))*POWER(CHslave,SIGN(IG153))*POWER(GEslave,SIGN(II153))*POWER(KOslave,SIGN(IJ153))*POWER(KKslave_KK,SIGN(IK153))+II153*POWER(MUslave,SIGN(ID153))*POWER(KLslave,SIGN(IE153))*POWER(INslave,SIGN(IF153))*POWER(CHslave,SIGN(IG153))*POWER(FFslave,SIGN(IH153))*POWER(KOslave,SIGN(IJ153))*POWER(KKslave_KK,SIGN(IK153))+IJ153*POWER(MUslave,SIGN(ID153))*POWER(KLslave,SIGN(IE153))*POWER(INslave,SIGN(IF153))*POWER(CHslave,SIGN(IG153))*POWER(FFslave,SIGN(IH153))*POWER(GEslave,SIGN(II153))*POWER(KKslave_KK,SIGN(IK153))+IK153*POWER(MUslave,SIGN(ID153))*POWER(KLslave,SIGN(IE153))*POWER(INslave,SIGN(IF153))*POWER(CHslave,SIGN(IG153))*POWER(FFslave,SIGN(IH153))*POWER(GEslave,SIGN(II153))*POWER(KOslave,SIGN(IJ153))</f>
        <v>2304</v>
      </c>
      <c r="IP153" s="316">
        <f>ID153*IE153*CHslave+ID153*KLslave*IG153+MUslave*IE153*IG153</f>
        <v>3456</v>
      </c>
      <c r="IQ153" s="221">
        <f>IFERROR(ID153^SIGN(ID153),1)*IFERROR(IE153^SIGN(IE153),1)*IFERROR(IF153^SIGN(IF153),1)*IFERROR(IG153^SIGN(IG153),1)*IFERROR(IH153^SIGN(IH153),1)*IFERROR(II153^SIGN(II153),1)*IFERROR(IJ153^SIGN(IJ153),1)*IFERROR(IK153^SIGN(IK153),1)</f>
        <v>1728</v>
      </c>
      <c r="IR153" s="221">
        <f t="shared" ref="IR153:IR196" si="1332">SUM(IO153:IQ153)</f>
        <v>7488</v>
      </c>
      <c r="IS153" s="219">
        <f t="shared" ref="IS153:IS160" si="1333">IL153*IO153/IR153</f>
        <v>3.6923076923076925</v>
      </c>
      <c r="IT153" s="220">
        <f t="shared" ref="IT153:IT160" si="1334">IM153*IP153/IR153</f>
        <v>11.076923076923077</v>
      </c>
      <c r="IU153" s="241">
        <f t="shared" ref="IU153:IU160" si="1335">IN153*IQ153/IR153</f>
        <v>8.3076923076923084</v>
      </c>
      <c r="IV153" s="241">
        <f t="shared" ref="IV153:IV160" si="1336">SUM(IS153:IU153)</f>
        <v>23.07692307692308</v>
      </c>
      <c r="IW153" s="252">
        <f t="shared" ref="IW153:IW211" si="1337">HT153</f>
        <v>0</v>
      </c>
      <c r="IX153" s="309">
        <f t="shared" ref="IX153:IX160" si="1338">IV153-IW153</f>
        <v>23.07692307692308</v>
      </c>
      <c r="IY153" s="42">
        <f>IF(IV153&lt;=0,4,0)+IF(IV153&gt;0,IV153+1,0)*4+IF(IV153&gt;12,IV153-12,0)*4+IF(IV153&gt;13,IV153-13,0)*4+IF(IV153&gt;14,IV153-14,0)*4+IF(IV153&gt;15,IV153-15,0)*4+IF(IV153&gt;16,IV153-16,0)*4+IF(IV153&gt;17,IV153-17,0)*4+IF(IV153&gt;18,IV153-18,0)*4+IF(IV153&gt;19,IV153-19,0)*4+IF(IV153&gt;20,IV153-20,0)*4</f>
        <v>351.07692307692321</v>
      </c>
      <c r="IZ153" s="78">
        <f>IF(IW153&lt;=0,4,0)+IF(IW153&gt;0,IW153+1,0)*4+IF(IW153&gt;12,IW153-12,0)*4+IF(IW153&gt;13,IW153-13,0)*4+IF(IW153&gt;14,IW153-14,0)*4+IF(IW153&gt;15,IW153-15,0)*4+IF(IW153&gt;16,IW153-16,0)*4+IF(IW153&gt;17,IW153-17,0)*4+IF(IW153&gt;18,IW153-18,0)*4+IF(IW153&gt;19,IW153-19,0)*4+IF(IW153&gt;20,IW153-20,0)*4</f>
        <v>4</v>
      </c>
      <c r="JA153" s="241">
        <f t="shared" ref="JA153:JA160" si="1339">IF((IY153-IZ153)&gt;0,IY153-IZ153,0)</f>
        <v>347.07692307692321</v>
      </c>
      <c r="JB153" s="42">
        <f t="shared" ref="JB153:JB160" si="1340">IF((IZ153-IY153)&gt;0,IZ153-IY153,0)</f>
        <v>0</v>
      </c>
      <c r="JE153" s="148"/>
    </row>
    <row r="154" spans="2:265" ht="15" hidden="1" customHeight="1" outlineLevel="2">
      <c r="B154" s="148">
        <v>2</v>
      </c>
      <c r="C154" s="303" t="e">
        <f>VLOOKUP(AF154,Attribute!C:T,1,FALSE)</f>
        <v>#N/A</v>
      </c>
      <c r="D154" s="86" t="s">
        <v>170</v>
      </c>
      <c r="E154" s="167" t="s">
        <v>133</v>
      </c>
      <c r="F154" s="120"/>
      <c r="G154" s="117">
        <f>Konvention_1master-KLmaster</f>
        <v>12</v>
      </c>
      <c r="H154" s="117">
        <f>Konvention_1master-INmaster</f>
        <v>12</v>
      </c>
      <c r="I154" s="117"/>
      <c r="J154" s="117">
        <f>Konvention_1master-FFmaster</f>
        <v>12</v>
      </c>
      <c r="K154" s="117"/>
      <c r="L154" s="117"/>
      <c r="M154" s="121"/>
      <c r="N154" s="223">
        <f>(F154+G154+H154+I154+J154+K154+L154+M154)/3</f>
        <v>12</v>
      </c>
      <c r="O154" s="223">
        <f t="shared" si="1243"/>
        <v>24</v>
      </c>
      <c r="P154" s="224">
        <f t="shared" si="1244"/>
        <v>36</v>
      </c>
      <c r="Q154" s="237">
        <f>F154*POWER(KLmaster,SIGN(G154))*POWER(INmaster,SIGN(H154))*POWER(CHmaster,SIGN(I154))*POWER(FFmaster,SIGN(J154))*POWER(GEmaster,SIGN(K154))*POWER(KOmaster,SIGN(L154))*POWER(KKmaster,SIGN(M154))+G154*POWER(MUmaster,SIGN(F154))*POWER(INmaster,SIGN(H154))*POWER(CHmaster,SIGN(I154))*POWER(FFmaster,SIGN(J154))*POWER(GEmaster,SIGN(K154))*POWER(KOmaster,SIGN(L154))*POWER(KKmaster,SIGN(M154))+H154*POWER(MUmaster,SIGN(F154))*POWER(KLmaster,SIGN(G154))*POWER(CHmaster,SIGN(I154))*POWER(FFmaster,SIGN(J154))*POWER(GEmaster,SIGN(K154))*POWER(KOmaster,SIGN(L154))*POWER(KKmaster,SIGN(M154))+I154*POWER(MUmaster,SIGN(F154))*POWER(KLmaster,SIGN(G154))*POWER(INmaster,SIGN(H154))*POWER(FFmaster,SIGN(J154))*POWER(GEmaster,SIGN(K154))*POWER(KOmaster,SIGN(L154))*POWER(KKmaster,SIGN(M154))+J154*POWER(MUmaster,SIGN(F154))*POWER(KLmaster,SIGN(G154))*POWER(INmaster,SIGN(H154))*POWER(CHmaster,SIGN(I154))*POWER(GEmaster,SIGN(K154))*POWER(KOmaster,SIGN(L154))*POWER(KKmaster,SIGN(M154))+K154*POWER(MUmaster,SIGN(F154))*POWER(KLmaster,SIGN(G154))*POWER(INmaster,SIGN(H154))*POWER(CHmaster,SIGN(I154))*POWER(FFmaster,SIGN(J154))*POWER(KOmaster,SIGN(L154))*POWER(KKmaster,SIGN(M154))+L154*POWER(MUmaster,SIGN(F154))*POWER(KLmaster,SIGN(G154))*POWER(INmaster,SIGN(H154))*POWER(CHmaster,SIGN(I154))*POWER(FFmaster,SIGN(J154))*POWER(GEmaster,SIGN(K154))*POWER(KKmaster,SIGN(M154))+M154*POWER(MUmaster,SIGN(F154))*POWER(KLmaster,SIGN(G154))*POWER(INmaster,SIGN(H154))*POWER(CHmaster,SIGN(I154))*POWER(FFmaster,SIGN(J154))*POWER(GEmaster,SIGN(K154))*POWER(KOmaster,SIGN(L154))</f>
        <v>2304</v>
      </c>
      <c r="R154" s="117">
        <f>G154*H154*FFmaster+G154*INmaster*J154+KLmaster*H154*J154</f>
        <v>3456</v>
      </c>
      <c r="S154" s="224">
        <f>IFERROR(F154^SIGN(F154),1)*IFERROR(G154^SIGN(G154),1)*IFERROR(H154^SIGN(H154),1)*IFERROR(I154^SIGN(I154),1)*IFERROR(J154^SIGN(J154),1)*IFERROR(K154^SIGN(K154),1)*IFERROR(L154^SIGN(L154),1)*IFERROR(M154^SIGN(M154),1)</f>
        <v>1728</v>
      </c>
      <c r="T154" s="224">
        <f t="shared" si="1245"/>
        <v>7488</v>
      </c>
      <c r="U154" s="222">
        <f t="shared" si="1246"/>
        <v>3.6923076923076925</v>
      </c>
      <c r="V154" s="223">
        <f t="shared" si="1247"/>
        <v>11.076923076923077</v>
      </c>
      <c r="W154" s="243">
        <f t="shared" si="1248"/>
        <v>8.3076923076923084</v>
      </c>
      <c r="X154" s="243">
        <f t="shared" si="1249"/>
        <v>23.07692307692308</v>
      </c>
      <c r="Y154" s="252">
        <v>0</v>
      </c>
      <c r="Z154" s="198">
        <f t="shared" si="1250"/>
        <v>23.07692307692308</v>
      </c>
      <c r="AA154" s="125">
        <f>IF(X154&lt;=0,1,0)+IF(X154&gt;0,X154+1,0)*1+IF(X154&gt;12,X154-12,0)*1+IF(X154&gt;13,X154-13,0)*1+IF(X154&gt;14,X154-14,0)*1+IF(X154&gt;15,X154-15,0)*1+IF(X154&gt;16,X154-16,0)*1+IF(X154&gt;17,X154-17,0)*1+IF(X154&gt;18,X154-18,0)*1+IF(X154&gt;19,X154-19,0)*1+IF(X154&gt;20,X154-20,0)*1</f>
        <v>87.769230769230802</v>
      </c>
      <c r="AB154" s="160">
        <f>IF(Y154&lt;=0,1,0)+IF(Y154&gt;0,Y154+1,0)*1+IF(Y154&gt;12,Y154-12,0)*1+IF(Y154&gt;13,Y154-13,0)*1+IF(Y154&gt;14,Y154-14,0)*1+IF(Y154&gt;15,Y154-15,0)*1+IF(Y154&gt;16,Y154-16,0)*1+IF(Y154&gt;17,Y154-17,0)*1+IF(Y154&gt;18,Y154-18,0)*1+IF(Y154&gt;19,Y154-19,0)*1+IF(Y154&gt;20,Y154-20,0)*1</f>
        <v>1</v>
      </c>
      <c r="AC154" s="127">
        <f t="shared" si="1251"/>
        <v>86.769230769230802</v>
      </c>
      <c r="AD154" s="125">
        <f t="shared" si="1252"/>
        <v>0</v>
      </c>
      <c r="AF154" s="163" t="s">
        <v>351</v>
      </c>
      <c r="AG154" s="86" t="s">
        <v>170</v>
      </c>
      <c r="AH154" s="167" t="s">
        <v>133</v>
      </c>
      <c r="AI154" s="120"/>
      <c r="AJ154" s="117">
        <f>Konvention_1slave-KLslave</f>
        <v>12</v>
      </c>
      <c r="AK154" s="117">
        <f>Konvention_1slave-INslave</f>
        <v>12</v>
      </c>
      <c r="AL154" s="117"/>
      <c r="AM154" s="117">
        <f>Konvention_1slave-FFslave</f>
        <v>12</v>
      </c>
      <c r="AN154" s="117"/>
      <c r="AO154" s="117"/>
      <c r="AP154" s="121"/>
      <c r="AQ154" s="47">
        <f>(AI154+AJ154+AK154+AL154+AM154+AN154+AO154+AP154)/3</f>
        <v>12</v>
      </c>
      <c r="AR154" s="3">
        <f t="shared" si="1253"/>
        <v>24</v>
      </c>
      <c r="AS154" s="174">
        <f t="shared" si="1254"/>
        <v>36</v>
      </c>
      <c r="AT154" s="114">
        <f>AI154*POWER(KLslave,SIGN(AJ154))*POWER(INslave,SIGN(AK154))*POWER(CHslave,SIGN(AL154))*POWER(FFslave,SIGN(AM154))*POWER(GEslave,SIGN(AN154))*POWER(KOslave,SIGN(AO154))*POWER(KKslave,SIGN(AP154))+AJ154*POWER(MUslave_MU,SIGN(AI154))*POWER(INslave,SIGN(AK154))*POWER(CHslave,SIGN(AL154))*POWER(FFslave,SIGN(AM154))*POWER(GEslave,SIGN(AN154))*POWER(KOslave,SIGN(AO154))*POWER(KKslave,SIGN(AP154))+AK154*POWER(MUslave_MU,SIGN(AI154))*POWER(KLslave,SIGN(AJ154))*POWER(CHslave,SIGN(AL154))*POWER(FFslave,SIGN(AM154))*POWER(GEslave,SIGN(AN154))*POWER(KOslave,SIGN(AO154))*POWER(KKslave,SIGN(AP154))+AL154*POWER(MUslave_MU,SIGN(AI154))*POWER(KLslave,SIGN(AJ154))*POWER(INslave,SIGN(AK154))*POWER(FFslave,SIGN(AM154))*POWER(GEslave,SIGN(AN154))*POWER(KOslave,SIGN(AO154))*POWER(KKslave,SIGN(AP154))+AM154*POWER(MUslave_MU,SIGN(AI154))*POWER(KLslave,SIGN(AJ154))*POWER(INslave,SIGN(AK154))*POWER(CHslave,SIGN(AL154))*POWER(GEslave,SIGN(AN154))*POWER(KOslave,SIGN(AO154))*POWER(KKslave,SIGN(AP154))+AN154*POWER(MUslave_MU,SIGN(AI154))*POWER(KLslave,SIGN(AJ154))*POWER(INslave,SIGN(AK154))*POWER(CHslave,SIGN(AL154))*POWER(FFslave,SIGN(AM154))*POWER(KOslave,SIGN(AO154))*POWER(KKslave,SIGN(AP154))+AO154*POWER(MUslave_MU,SIGN(AI154))*POWER(KLslave,SIGN(AJ154))*POWER(INslave,SIGN(AK154))*POWER(CHslave,SIGN(AL154))*POWER(FFslave,SIGN(AM154))*POWER(GEslave,SIGN(AN154))*POWER(KKslave,SIGN(AP154))+AP154*POWER(MUslave_MU,SIGN(AI154))*POWER(KLslave,SIGN(AJ154))*POWER(INslave,SIGN(AK154))*POWER(CHslave,SIGN(AL154))*POWER(FFslave,SIGN(AM154))*POWER(GEslave,SIGN(AN154))*POWER(KOslave,SIGN(AO154))</f>
        <v>2304</v>
      </c>
      <c r="AU154" s="117">
        <f>AJ154*AK154*FFslave+AJ154*INslave*AM154+KLslave*AK154*AM154</f>
        <v>3456</v>
      </c>
      <c r="AV154" s="119">
        <f>IFERROR(AI154^SIGN(AI154),1)*IFERROR(AJ154^SIGN(AJ154),1)*IFERROR(AK154^SIGN(AK154),1)*IFERROR(AL154^SIGN(AL154),1)*IFERROR(AM154^SIGN(AM154),1)*IFERROR(AN154^SIGN(AN154),1)*IFERROR(AO154^SIGN(AO154),1)*IFERROR(AP154^SIGN(AP154),1)</f>
        <v>1728</v>
      </c>
      <c r="AW154" s="119">
        <f t="shared" si="1255"/>
        <v>7488</v>
      </c>
      <c r="AX154" s="89">
        <f t="shared" si="1256"/>
        <v>3.6923076923076925</v>
      </c>
      <c r="AY154" s="47">
        <f t="shared" si="1257"/>
        <v>11.076923076923077</v>
      </c>
      <c r="AZ154" s="127">
        <f t="shared" si="1258"/>
        <v>8.3076923076923084</v>
      </c>
      <c r="BA154" s="127">
        <f t="shared" si="1259"/>
        <v>23.07692307692308</v>
      </c>
      <c r="BB154" s="165">
        <f t="shared" si="1260"/>
        <v>0</v>
      </c>
      <c r="BC154" s="198">
        <f t="shared" si="1261"/>
        <v>23.07692307692308</v>
      </c>
      <c r="BD154" s="125">
        <f>IF(BA154&lt;=0,1,0)+IF(BA154&gt;0,BA154+1,0)*1+IF(BA154&gt;12,BA154-12,0)*1+IF(BA154&gt;13,BA154-13,0)*1+IF(BA154&gt;14,BA154-14,0)*1+IF(BA154&gt;15,BA154-15,0)*1+IF(BA154&gt;16,BA154-16,0)*1+IF(BA154&gt;17,BA154-17,0)*1+IF(BA154&gt;18,BA154-18,0)*1+IF(BA154&gt;19,BA154-19,0)*1+IF(BA154&gt;20,BA154-20,0)*1</f>
        <v>87.769230769230802</v>
      </c>
      <c r="BE154" s="160">
        <f>IF(BB154&lt;=0,1,0)+IF(BB154&gt;0,BB154+1,0)*1+IF(BB154&gt;12,BB154-12,0)*1+IF(BB154&gt;13,BB154-13,0)*1+IF(BB154&gt;14,BB154-14,0)*1+IF(BB154&gt;15,BB154-15,0)*1+IF(BB154&gt;16,BB154-16,0)*1+IF(BB154&gt;17,BB154-17,0)*1+IF(BB154&gt;18,BB154-18,0)*1+IF(BB154&gt;19,BB154-19,0)*1+IF(BB154&gt;20,BB154-20,0)*1</f>
        <v>1</v>
      </c>
      <c r="BF154" s="243">
        <f t="shared" si="1262"/>
        <v>86.769230769230802</v>
      </c>
      <c r="BG154" s="218">
        <f t="shared" si="1263"/>
        <v>0</v>
      </c>
      <c r="BI154" s="303" t="s">
        <v>351</v>
      </c>
      <c r="BJ154" s="304" t="s">
        <v>170</v>
      </c>
      <c r="BK154" s="305" t="s">
        <v>133</v>
      </c>
      <c r="BL154" s="317"/>
      <c r="BM154" s="254">
        <f>Konvention_1slave-KLslave_KL</f>
        <v>11</v>
      </c>
      <c r="BN154" s="254">
        <f>Konvention_1slave-INslave</f>
        <v>12</v>
      </c>
      <c r="BO154" s="254"/>
      <c r="BP154" s="254">
        <f>Konvention_1slave-FFslave</f>
        <v>12</v>
      </c>
      <c r="BQ154" s="254"/>
      <c r="BR154" s="254"/>
      <c r="BS154" s="318"/>
      <c r="BT154" s="223">
        <f>(BL154+BM154+BN154+BO154+BP154+BQ154+BR154+BS154)/3</f>
        <v>11.666666666666666</v>
      </c>
      <c r="BU154" s="223">
        <f t="shared" si="1264"/>
        <v>23.333333333333332</v>
      </c>
      <c r="BV154" s="224">
        <f t="shared" si="1265"/>
        <v>35</v>
      </c>
      <c r="BW154" s="237">
        <f>BL154*POWER(KLslave_KL,SIGN(BM154))*POWER(INslave,SIGN(BN154))*POWER(CHslave,SIGN(BO154))*POWER(FFslave,SIGN(BP154))*POWER(GEslave,SIGN(BQ154))*POWER(KOslave,SIGN(BR154))*POWER(KKslave,SIGN(BS154))+BM154*POWER(MUslave,SIGN(BL154))*POWER(INslave,SIGN(BN154))*POWER(CHslave,SIGN(BO154))*POWER(FFslave,SIGN(BP154))*POWER(GEslave,SIGN(BQ154))*POWER(KOslave,SIGN(BR154))*POWER(KKslave,SIGN(BS154))+BN154*POWER(MUslave,SIGN(BL154))*POWER(KLslave_KL,SIGN(BM154))*POWER(CHslave,SIGN(BO154))*POWER(FFslave,SIGN(BP154))*POWER(GEslave,SIGN(BQ154))*POWER(KOslave,SIGN(BR154))*POWER(KKslave,SIGN(BS154))+BO154*POWER(MUslave,SIGN(BL154))*POWER(KLslave_KL,SIGN(BM154))*POWER(INslave,SIGN(BN154))*POWER(FFslave,SIGN(BP154))*POWER(GEslave,SIGN(BQ154))*POWER(KOslave,SIGN(BR154))*POWER(KKslave,SIGN(BS154))+BP154*POWER(MUslave,SIGN(BL154))*POWER(KLslave_KL,SIGN(BM154))*POWER(INslave,SIGN(BN154))*POWER(CHslave,SIGN(BO154))*POWER(GEslave,SIGN(BQ154))*POWER(KOslave,SIGN(BR154))*POWER(KKslave,SIGN(BS154))+BQ154*POWER(MUslave,SIGN(BL154))*POWER(KLslave_KL,SIGN(BM154))*POWER(INslave,SIGN(BN154))*POWER(CHslave,SIGN(BO154))*POWER(FFslave,SIGN(BP154))*POWER(KOslave,SIGN(BR154))*POWER(KKslave,SIGN(BS154))+BR154*POWER(MUslave,SIGN(BL154))*POWER(KLslave_KL,SIGN(BM154))*POWER(INslave,SIGN(BN154))*POWER(CHslave,SIGN(BO154))*POWER(FFslave,SIGN(BP154))*POWER(GEslave,SIGN(BQ154))*POWER(KKslave,SIGN(BS154))+BS154*POWER(MUslave,SIGN(BL154))*POWER(KLslave_KL,SIGN(BM154))*POWER(INslave,SIGN(BN154))*POWER(CHslave,SIGN(BO154))*POWER(FFslave,SIGN(BP154))*POWER(GEslave,SIGN(BQ154))*POWER(KOslave,SIGN(BR154))</f>
        <v>2432</v>
      </c>
      <c r="BX154" s="254">
        <f>BM154*BN154*FFslave+BM154*INslave*BP154+KLslave_KL*BN154*BP154</f>
        <v>3408</v>
      </c>
      <c r="BY154" s="224">
        <f>IFERROR(BL154^SIGN(BL154),1)*IFERROR(BM154^SIGN(BM154),1)*IFERROR(BN154^SIGN(BN154),1)*IFERROR(BO154^SIGN(BO154),1)*IFERROR(BP154^SIGN(BP154),1)*IFERROR(BQ154^SIGN(BQ154),1)*IFERROR(BR154^SIGN(BR154),1)*IFERROR(BS154^SIGN(BS154),1)</f>
        <v>1584</v>
      </c>
      <c r="BZ154" s="224">
        <f t="shared" si="1266"/>
        <v>7424</v>
      </c>
      <c r="CA154" s="222">
        <f t="shared" si="1267"/>
        <v>3.8218390804597702</v>
      </c>
      <c r="CB154" s="223">
        <f t="shared" si="1268"/>
        <v>10.711206896551724</v>
      </c>
      <c r="CC154" s="243">
        <f t="shared" si="1269"/>
        <v>7.4676724137931032</v>
      </c>
      <c r="CD154" s="243">
        <f t="shared" si="1270"/>
        <v>22.000718390804597</v>
      </c>
      <c r="CE154" s="252">
        <f t="shared" si="1271"/>
        <v>0</v>
      </c>
      <c r="CF154" s="309">
        <f t="shared" si="1272"/>
        <v>22.000718390804597</v>
      </c>
      <c r="CG154" s="218">
        <f>IF(CD154&lt;=0,1,0)+IF(CD154&gt;0,CD154+1,0)*1+IF(CD154&gt;12,CD154-12,0)*1+IF(CD154&gt;13,CD154-13,0)*1+IF(CD154&gt;14,CD154-14,0)*1+IF(CD154&gt;15,CD154-15,0)*1+IF(CD154&gt;16,CD154-16,0)*1+IF(CD154&gt;17,CD154-17,0)*1+IF(CD154&gt;18,CD154-18,0)*1+IF(CD154&gt;19,CD154-19,0)*1+IF(CD154&gt;20,CD154-20,0)*1</f>
        <v>77.007183908045945</v>
      </c>
      <c r="CH154" s="242">
        <f>IF(CE154&lt;=0,1,0)+IF(CE154&gt;0,CE154+1,0)*1+IF(CE154&gt;12,CE154-12,0)*1+IF(CE154&gt;13,CE154-13,0)*1+IF(CE154&gt;14,CE154-14,0)*1+IF(CE154&gt;15,CE154-15,0)*1+IF(CE154&gt;16,CE154-16,0)*1+IF(CE154&gt;17,CE154-17,0)*1+IF(CE154&gt;18,CE154-18,0)*1+IF(CE154&gt;19,CE154-19,0)*1+IF(CE154&gt;20,CE154-20,0)*1</f>
        <v>1</v>
      </c>
      <c r="CI154" s="243">
        <f t="shared" si="1273"/>
        <v>76.007183908045945</v>
      </c>
      <c r="CJ154" s="218">
        <f t="shared" si="1274"/>
        <v>0</v>
      </c>
      <c r="CL154" s="303" t="s">
        <v>351</v>
      </c>
      <c r="CM154" s="304" t="s">
        <v>170</v>
      </c>
      <c r="CN154" s="305" t="s">
        <v>133</v>
      </c>
      <c r="CO154" s="317"/>
      <c r="CP154" s="254">
        <f>Konvention_1slave-KLslave</f>
        <v>12</v>
      </c>
      <c r="CQ154" s="254">
        <f>Konvention_1slave-INslave_IN</f>
        <v>11</v>
      </c>
      <c r="CR154" s="254"/>
      <c r="CS154" s="254">
        <f>Konvention_1slave-FFslave</f>
        <v>12</v>
      </c>
      <c r="CT154" s="254"/>
      <c r="CU154" s="254"/>
      <c r="CV154" s="318"/>
      <c r="CW154" s="223">
        <f>(CO154+CP154+CQ154+CR154+CS154+CT154+CU154+CV154)/3</f>
        <v>11.666666666666666</v>
      </c>
      <c r="CX154" s="223">
        <f t="shared" si="1275"/>
        <v>23.333333333333332</v>
      </c>
      <c r="CY154" s="224">
        <f t="shared" si="1276"/>
        <v>35</v>
      </c>
      <c r="CZ154" s="237">
        <f>CO154*POWER(KLslave,SIGN(CP154))*POWER(INslave_IN,SIGN(CQ154))*POWER(CHslave,SIGN(CR154))*POWER(FFslave,SIGN(CS154))*POWER(GEslave,SIGN(CT154))*POWER(KOslave,SIGN(CU154))*POWER(KKslave,SIGN(CV154))+CP154*POWER(MUslave,SIGN(CO154))*POWER(INslave_IN,SIGN(CQ154))*POWER(CHslave,SIGN(CR154))*POWER(FFslave,SIGN(CS154))*POWER(GEslave,SIGN(CT154))*POWER(KOslave,SIGN(CU154))*POWER(KKslave,SIGN(CV154))+CQ154*POWER(MUslave,SIGN(CO154))*POWER(KLslave,SIGN(CP154))*POWER(CHslave,SIGN(CR154))*POWER(FFslave,SIGN(CS154))*POWER(GEslave,SIGN(CT154))*POWER(KOslave,SIGN(CU154))*POWER(KKslave,SIGN(CV154))+CR154*POWER(MUslave,SIGN(CO154))*POWER(KLslave,SIGN(CP154))*POWER(INslave_IN,SIGN(CQ154))*POWER(FFslave,SIGN(CS154))*POWER(GEslave,SIGN(CT154))*POWER(KOslave,SIGN(CU154))*POWER(KKslave,SIGN(CV154))+CS154*POWER(MUslave,SIGN(CO154))*POWER(KLslave,SIGN(CP154))*POWER(INslave_IN,SIGN(CQ154))*POWER(CHslave,SIGN(CR154))*POWER(GEslave,SIGN(CT154))*POWER(KOslave,SIGN(CU154))*POWER(KKslave,SIGN(CV154))+CT154*POWER(MUslave,SIGN(CO154))*POWER(KLslave,SIGN(CP154))*POWER(INslave_IN,SIGN(CQ154))*POWER(CHslave,SIGN(CR154))*POWER(FFslave,SIGN(CS154))*POWER(KOslave,SIGN(CU154))*POWER(KKslave,SIGN(CV154))+CU154*POWER(MUslave,SIGN(CO154))*POWER(KLslave,SIGN(CP154))*POWER(INslave_IN,SIGN(CQ154))*POWER(CHslave,SIGN(CR154))*POWER(FFslave,SIGN(CS154))*POWER(GEslave,SIGN(CT154))*POWER(KKslave,SIGN(CV154))+CV154*POWER(MUslave,SIGN(CO154))*POWER(KLslave,SIGN(CP154))*POWER(INslave_IN,SIGN(CQ154))*POWER(CHslave,SIGN(CR154))*POWER(FFslave,SIGN(CS154))*POWER(GEslave,SIGN(CT154))*POWER(KOslave,SIGN(CU154))</f>
        <v>2432</v>
      </c>
      <c r="DA154" s="254">
        <f>CP154*CQ154*FFslave+CP154*INslave_IN*CS154+KLslave*CQ154*CS154</f>
        <v>3408</v>
      </c>
      <c r="DB154" s="224">
        <f>IFERROR(CO154^SIGN(CO154),1)*IFERROR(CP154^SIGN(CP154),1)*IFERROR(CQ154^SIGN(CQ154),1)*IFERROR(CR154^SIGN(CR154),1)*IFERROR(CS154^SIGN(CS154),1)*IFERROR(CT154^SIGN(CT154),1)*IFERROR(CU154^SIGN(CU154),1)*IFERROR(CV154^SIGN(CV154),1)</f>
        <v>1584</v>
      </c>
      <c r="DC154" s="224">
        <f t="shared" si="1277"/>
        <v>7424</v>
      </c>
      <c r="DD154" s="222">
        <f t="shared" si="1278"/>
        <v>3.8218390804597702</v>
      </c>
      <c r="DE154" s="223">
        <f t="shared" si="1279"/>
        <v>10.711206896551724</v>
      </c>
      <c r="DF154" s="243">
        <f t="shared" si="1280"/>
        <v>7.4676724137931032</v>
      </c>
      <c r="DG154" s="243">
        <f t="shared" si="1281"/>
        <v>22.000718390804597</v>
      </c>
      <c r="DH154" s="252">
        <f t="shared" si="1282"/>
        <v>0</v>
      </c>
      <c r="DI154" s="309">
        <f t="shared" si="1283"/>
        <v>22.000718390804597</v>
      </c>
      <c r="DJ154" s="218">
        <f>IF(DG154&lt;=0,1,0)+IF(DG154&gt;0,DG154+1,0)*1+IF(DG154&gt;12,DG154-12,0)*1+IF(DG154&gt;13,DG154-13,0)*1+IF(DG154&gt;14,DG154-14,0)*1+IF(DG154&gt;15,DG154-15,0)*1+IF(DG154&gt;16,DG154-16,0)*1+IF(DG154&gt;17,DG154-17,0)*1+IF(DG154&gt;18,DG154-18,0)*1+IF(DG154&gt;19,DG154-19,0)*1+IF(DG154&gt;20,DG154-20,0)*1</f>
        <v>77.007183908045945</v>
      </c>
      <c r="DK154" s="242">
        <f>IF(DH154&lt;=0,1,0)+IF(DH154&gt;0,DH154+1,0)*1+IF(DH154&gt;12,DH154-12,0)*1+IF(DH154&gt;13,DH154-13,0)*1+IF(DH154&gt;14,DH154-14,0)*1+IF(DH154&gt;15,DH154-15,0)*1+IF(DH154&gt;16,DH154-16,0)*1+IF(DH154&gt;17,DH154-17,0)*1+IF(DH154&gt;18,DH154-18,0)*1+IF(DH154&gt;19,DH154-19,0)*1+IF(DH154&gt;20,DH154-20,0)*1</f>
        <v>1</v>
      </c>
      <c r="DL154" s="243">
        <f t="shared" si="1284"/>
        <v>76.007183908045945</v>
      </c>
      <c r="DM154" s="218">
        <f t="shared" si="1285"/>
        <v>0</v>
      </c>
      <c r="DO154" s="303" t="s">
        <v>351</v>
      </c>
      <c r="DP154" s="304" t="s">
        <v>170</v>
      </c>
      <c r="DQ154" s="305" t="s">
        <v>133</v>
      </c>
      <c r="DR154" s="317"/>
      <c r="DS154" s="254">
        <f>Konvention_1slave-KLslave</f>
        <v>12</v>
      </c>
      <c r="DT154" s="254">
        <f>Konvention_1slave-INslave</f>
        <v>12</v>
      </c>
      <c r="DU154" s="254"/>
      <c r="DV154" s="254">
        <f>Konvention_1slave-FFslave</f>
        <v>12</v>
      </c>
      <c r="DW154" s="254"/>
      <c r="DX154" s="254"/>
      <c r="DY154" s="318"/>
      <c r="DZ154" s="223">
        <f>(DR154+DS154+DT154+DU154+DV154+DW154+DX154+DY154)/3</f>
        <v>12</v>
      </c>
      <c r="EA154" s="223">
        <f t="shared" si="1286"/>
        <v>24</v>
      </c>
      <c r="EB154" s="224">
        <f t="shared" si="1287"/>
        <v>36</v>
      </c>
      <c r="EC154" s="237">
        <f>DR154*POWER(KLslave,SIGN(DS154))*POWER(INslave,SIGN(DT154))*POWER(CHslave_CH,SIGN(DU154))*POWER(FFslave,SIGN(DV154))*POWER(GEslave,SIGN(DW154))*POWER(KOslave,SIGN(DX154))*POWER(KKslave,SIGN(DY154))+DS154*POWER(MUslave,SIGN(DR154))*POWER(INslave,SIGN(DT154))*POWER(CHslave_CH,SIGN(DU154))*POWER(FFslave,SIGN(DV154))*POWER(GEslave,SIGN(DW154))*POWER(KOslave,SIGN(DX154))*POWER(KKslave,SIGN(DY154))+DT154*POWER(MUslave,SIGN(DR154))*POWER(KLslave,SIGN(DS154))*POWER(CHslave_CH,SIGN(DU154))*POWER(FFslave,SIGN(DV154))*POWER(GEslave,SIGN(DW154))*POWER(KOslave,SIGN(DX154))*POWER(KKslave,SIGN(DY154))+DU154*POWER(MUslave,SIGN(DR154))*POWER(KLslave,SIGN(DS154))*POWER(INslave,SIGN(DT154))*POWER(FFslave,SIGN(DV154))*POWER(GEslave,SIGN(DW154))*POWER(KOslave,SIGN(DX154))*POWER(KKslave,SIGN(DY154))+DV154*POWER(MUslave,SIGN(DR154))*POWER(KLslave,SIGN(DS154))*POWER(INslave,SIGN(DT154))*POWER(CHslave_CH,SIGN(DU154))*POWER(GEslave,SIGN(DW154))*POWER(KOslave,SIGN(DX154))*POWER(KKslave,SIGN(DY154))+DW154*POWER(MUslave,SIGN(DR154))*POWER(KLslave,SIGN(DS154))*POWER(INslave,SIGN(DT154))*POWER(CHslave_CH,SIGN(DU154))*POWER(FFslave,SIGN(DV154))*POWER(KOslave,SIGN(DX154))*POWER(KKslave,SIGN(DY154))+DX154*POWER(MUslave,SIGN(DR154))*POWER(KLslave,SIGN(DS154))*POWER(INslave,SIGN(DT154))*POWER(CHslave_CH,SIGN(DU154))*POWER(FFslave,SIGN(DV154))*POWER(GEslave,SIGN(DW154))*POWER(KKslave,SIGN(DY154))+DY154*POWER(MUslave,SIGN(DR154))*POWER(KLslave,SIGN(DS154))*POWER(INslave,SIGN(DT154))*POWER(CHslave_CH,SIGN(DU154))*POWER(FFslave,SIGN(DV154))*POWER(GEslave,SIGN(DW154))*POWER(KOslave,SIGN(DX154))</f>
        <v>2304</v>
      </c>
      <c r="ED154" s="254">
        <f>DS154*DT154*FFslave+DS154*INslave*DV154+KLslave*DT154*DV154</f>
        <v>3456</v>
      </c>
      <c r="EE154" s="224">
        <f>IFERROR(DR154^SIGN(DR154),1)*IFERROR(DS154^SIGN(DS154),1)*IFERROR(DT154^SIGN(DT154),1)*IFERROR(DU154^SIGN(DU154),1)*IFERROR(DV154^SIGN(DV154),1)*IFERROR(DW154^SIGN(DW154),1)*IFERROR(DX154^SIGN(DX154),1)*IFERROR(DY154^SIGN(DY154),1)</f>
        <v>1728</v>
      </c>
      <c r="EF154" s="224">
        <f t="shared" si="1288"/>
        <v>7488</v>
      </c>
      <c r="EG154" s="222">
        <f t="shared" si="1289"/>
        <v>3.6923076923076925</v>
      </c>
      <c r="EH154" s="223">
        <f t="shared" si="1290"/>
        <v>11.076923076923077</v>
      </c>
      <c r="EI154" s="243">
        <f t="shared" si="1291"/>
        <v>8.3076923076923084</v>
      </c>
      <c r="EJ154" s="243">
        <f t="shared" si="1292"/>
        <v>23.07692307692308</v>
      </c>
      <c r="EK154" s="252">
        <f t="shared" si="1293"/>
        <v>0</v>
      </c>
      <c r="EL154" s="309">
        <f t="shared" si="1294"/>
        <v>23.07692307692308</v>
      </c>
      <c r="EM154" s="218">
        <f>IF(EJ154&lt;=0,1,0)+IF(EJ154&gt;0,EJ154+1,0)*1+IF(EJ154&gt;12,EJ154-12,0)*1+IF(EJ154&gt;13,EJ154-13,0)*1+IF(EJ154&gt;14,EJ154-14,0)*1+IF(EJ154&gt;15,EJ154-15,0)*1+IF(EJ154&gt;16,EJ154-16,0)*1+IF(EJ154&gt;17,EJ154-17,0)*1+IF(EJ154&gt;18,EJ154-18,0)*1+IF(EJ154&gt;19,EJ154-19,0)*1+IF(EJ154&gt;20,EJ154-20,0)*1</f>
        <v>87.769230769230802</v>
      </c>
      <c r="EN154" s="242">
        <f>IF(EK154&lt;=0,1,0)+IF(EK154&gt;0,EK154+1,0)*1+IF(EK154&gt;12,EK154-12,0)*1+IF(EK154&gt;13,EK154-13,0)*1+IF(EK154&gt;14,EK154-14,0)*1+IF(EK154&gt;15,EK154-15,0)*1+IF(EK154&gt;16,EK154-16,0)*1+IF(EK154&gt;17,EK154-17,0)*1+IF(EK154&gt;18,EK154-18,0)*1+IF(EK154&gt;19,EK154-19,0)*1+IF(EK154&gt;20,EK154-20,0)*1</f>
        <v>1</v>
      </c>
      <c r="EO154" s="243">
        <f t="shared" si="1295"/>
        <v>86.769230769230802</v>
      </c>
      <c r="EP154" s="218">
        <f t="shared" si="1296"/>
        <v>0</v>
      </c>
      <c r="ER154" s="303" t="s">
        <v>351</v>
      </c>
      <c r="ES154" s="304" t="s">
        <v>170</v>
      </c>
      <c r="ET154" s="305" t="s">
        <v>133</v>
      </c>
      <c r="EU154" s="317"/>
      <c r="EV154" s="254">
        <f>Konvention_1slave-KLslave</f>
        <v>12</v>
      </c>
      <c r="EW154" s="254">
        <f>Konvention_1slave-INslave</f>
        <v>12</v>
      </c>
      <c r="EX154" s="254"/>
      <c r="EY154" s="254">
        <f>Konvention_1slave-FFslave_FF</f>
        <v>11</v>
      </c>
      <c r="EZ154" s="254"/>
      <c r="FA154" s="254"/>
      <c r="FB154" s="318"/>
      <c r="FC154" s="223">
        <f>(EU154+EV154+EW154+EX154+EY154+EZ154+FA154+FB154)/3</f>
        <v>11.666666666666666</v>
      </c>
      <c r="FD154" s="223">
        <f t="shared" si="1297"/>
        <v>23.333333333333332</v>
      </c>
      <c r="FE154" s="224">
        <f t="shared" si="1298"/>
        <v>35</v>
      </c>
      <c r="FF154" s="237">
        <f>EU154*POWER(KLslave,SIGN(EV154))*POWER(INslave,SIGN(EW154))*POWER(CHslave,SIGN(EX154))*POWER(FFslave_FF,SIGN(EY154))*POWER(GEslave,SIGN(EZ154))*POWER(KOslave,SIGN(FA154))*POWER(KKslave,SIGN(FB154))+EV154*POWER(MUslave,SIGN(EU154))*POWER(INslave,SIGN(EW154))*POWER(CHslave,SIGN(EX154))*POWER(FFslave_FF,SIGN(EY154))*POWER(GEslave,SIGN(EZ154))*POWER(KOslave,SIGN(FA154))*POWER(KKslave,SIGN(FB154))+EW154*POWER(MUslave,SIGN(EU154))*POWER(KLslave,SIGN(EV154))*POWER(CHslave,SIGN(EX154))*POWER(FFslave_FF,SIGN(EY154))*POWER(GEslave,SIGN(EZ154))*POWER(KOslave,SIGN(FA154))*POWER(KKslave,SIGN(FB154))+EX154*POWER(MUslave,SIGN(EU154))*POWER(KLslave,SIGN(EV154))*POWER(INslave,SIGN(EW154))*POWER(FFslave_FF,SIGN(EY154))*POWER(GEslave,SIGN(EZ154))*POWER(KOslave,SIGN(FA154))*POWER(KKslave,SIGN(FB154))+EY154*POWER(MUslave,SIGN(EU154))*POWER(KLslave,SIGN(EV154))*POWER(INslave,SIGN(EW154))*POWER(CHslave,SIGN(EX154))*POWER(GEslave,SIGN(EZ154))*POWER(KOslave,SIGN(FA154))*POWER(KKslave,SIGN(FB154))+EZ154*POWER(MUslave,SIGN(EU154))*POWER(KLslave,SIGN(EV154))*POWER(INslave,SIGN(EW154))*POWER(CHslave,SIGN(EX154))*POWER(FFslave_FF,SIGN(EY154))*POWER(KOslave,SIGN(FA154))*POWER(KKslave,SIGN(FB154))+FA154*POWER(MUslave,SIGN(EU154))*POWER(KLslave,SIGN(EV154))*POWER(INslave,SIGN(EW154))*POWER(CHslave,SIGN(EX154))*POWER(FFslave_FF,SIGN(EY154))*POWER(GEslave,SIGN(EZ154))*POWER(KKslave,SIGN(FB154))+FB154*POWER(MUslave,SIGN(EU154))*POWER(KLslave,SIGN(EV154))*POWER(INslave,SIGN(EW154))*POWER(CHslave,SIGN(EX154))*POWER(FFslave_FF,SIGN(EY154))*POWER(GEslave,SIGN(EZ154))*POWER(KOslave,SIGN(FA154))</f>
        <v>2432</v>
      </c>
      <c r="FG154" s="254">
        <f>EV154*EW154*FFslave_FF+EV154*INslave*EY154+KLslave*EW154*EY154</f>
        <v>3408</v>
      </c>
      <c r="FH154" s="224">
        <f>IFERROR(EU154^SIGN(EU154),1)*IFERROR(EV154^SIGN(EV154),1)*IFERROR(EW154^SIGN(EW154),1)*IFERROR(EX154^SIGN(EX154),1)*IFERROR(EY154^SIGN(EY154),1)*IFERROR(EZ154^SIGN(EZ154),1)*IFERROR(FA154^SIGN(FA154),1)*IFERROR(FB154^SIGN(FB154),1)</f>
        <v>1584</v>
      </c>
      <c r="FI154" s="224">
        <f t="shared" si="1299"/>
        <v>7424</v>
      </c>
      <c r="FJ154" s="222">
        <f t="shared" si="1300"/>
        <v>3.8218390804597702</v>
      </c>
      <c r="FK154" s="223">
        <f t="shared" si="1301"/>
        <v>10.711206896551724</v>
      </c>
      <c r="FL154" s="243">
        <f t="shared" si="1302"/>
        <v>7.4676724137931032</v>
      </c>
      <c r="FM154" s="243">
        <f t="shared" si="1303"/>
        <v>22.000718390804597</v>
      </c>
      <c r="FN154" s="252">
        <f t="shared" si="1304"/>
        <v>0</v>
      </c>
      <c r="FO154" s="309">
        <f t="shared" si="1305"/>
        <v>22.000718390804597</v>
      </c>
      <c r="FP154" s="218">
        <f>IF(FM154&lt;=0,1,0)+IF(FM154&gt;0,FM154+1,0)*1+IF(FM154&gt;12,FM154-12,0)*1+IF(FM154&gt;13,FM154-13,0)*1+IF(FM154&gt;14,FM154-14,0)*1+IF(FM154&gt;15,FM154-15,0)*1+IF(FM154&gt;16,FM154-16,0)*1+IF(FM154&gt;17,FM154-17,0)*1+IF(FM154&gt;18,FM154-18,0)*1+IF(FM154&gt;19,FM154-19,0)*1+IF(FM154&gt;20,FM154-20,0)*1</f>
        <v>77.007183908045945</v>
      </c>
      <c r="FQ154" s="242">
        <f>IF(FN154&lt;=0,1,0)+IF(FN154&gt;0,FN154+1,0)*1+IF(FN154&gt;12,FN154-12,0)*1+IF(FN154&gt;13,FN154-13,0)*1+IF(FN154&gt;14,FN154-14,0)*1+IF(FN154&gt;15,FN154-15,0)*1+IF(FN154&gt;16,FN154-16,0)*1+IF(FN154&gt;17,FN154-17,0)*1+IF(FN154&gt;18,FN154-18,0)*1+IF(FN154&gt;19,FN154-19,0)*1+IF(FN154&gt;20,FN154-20,0)*1</f>
        <v>1</v>
      </c>
      <c r="FR154" s="243">
        <f t="shared" si="1306"/>
        <v>76.007183908045945</v>
      </c>
      <c r="FS154" s="218">
        <f t="shared" si="1307"/>
        <v>0</v>
      </c>
      <c r="FU154" s="303" t="s">
        <v>351</v>
      </c>
      <c r="FV154" s="304" t="s">
        <v>170</v>
      </c>
      <c r="FW154" s="305" t="s">
        <v>133</v>
      </c>
      <c r="FX154" s="317"/>
      <c r="FY154" s="254">
        <f>Konvention_1slave-KLslave</f>
        <v>12</v>
      </c>
      <c r="FZ154" s="254">
        <f>Konvention_1slave-INslave</f>
        <v>12</v>
      </c>
      <c r="GA154" s="254"/>
      <c r="GB154" s="254">
        <f>Konvention_1slave-FFslave</f>
        <v>12</v>
      </c>
      <c r="GC154" s="254"/>
      <c r="GD154" s="254"/>
      <c r="GE154" s="318"/>
      <c r="GF154" s="223">
        <f>(FX154+FY154+FZ154+GA154+GB154+GC154+GD154+GE154)/3</f>
        <v>12</v>
      </c>
      <c r="GG154" s="223">
        <f t="shared" si="1308"/>
        <v>24</v>
      </c>
      <c r="GH154" s="224">
        <f t="shared" si="1309"/>
        <v>36</v>
      </c>
      <c r="GI154" s="237">
        <f>FX154*POWER(KLslave,SIGN(FY154))*POWER(INslave,SIGN(FZ154))*POWER(CHslave,SIGN(GA154))*POWER(FFslave,SIGN(GB154))*POWER(GEslave_GE,SIGN(GC154))*POWER(KOslave,SIGN(GD154))*POWER(KKslave,SIGN(GE154))+FY154*POWER(MUslave,SIGN(FX154))*POWER(INslave,SIGN(FZ154))*POWER(CHslave,SIGN(GA154))*POWER(FFslave,SIGN(GB154))*POWER(GEslave_GE,SIGN(GC154))*POWER(KOslave,SIGN(GD154))*POWER(KKslave,SIGN(GE154))+FZ154*POWER(MUslave,SIGN(FX154))*POWER(KLslave,SIGN(FY154))*POWER(CHslave,SIGN(GA154))*POWER(FFslave,SIGN(GB154))*POWER(GEslave_GE,SIGN(GC154))*POWER(KOslave,SIGN(GD154))*POWER(KKslave,SIGN(GE154))+GA154*POWER(MUslave,SIGN(FX154))*POWER(KLslave,SIGN(FY154))*POWER(INslave,SIGN(FZ154))*POWER(FFslave,SIGN(GB154))*POWER(GEslave_GE,SIGN(GC154))*POWER(KOslave,SIGN(GD154))*POWER(KKslave,SIGN(GE154))+GB154*POWER(MUslave,SIGN(FX154))*POWER(KLslave,SIGN(FY154))*POWER(INslave,SIGN(FZ154))*POWER(CHslave,SIGN(GA154))*POWER(GEslave_GE,SIGN(GC154))*POWER(KOslave,SIGN(GD154))*POWER(KKslave,SIGN(GE154))+GC154*POWER(MUslave,SIGN(FX154))*POWER(KLslave,SIGN(FY154))*POWER(INslave,SIGN(FZ154))*POWER(CHslave,SIGN(GA154))*POWER(FFslave,SIGN(GB154))*POWER(KOslave,SIGN(GD154))*POWER(KKslave,SIGN(GE154))+GD154*POWER(MUslave,SIGN(FX154))*POWER(KLslave,SIGN(FY154))*POWER(INslave,SIGN(FZ154))*POWER(CHslave,SIGN(GA154))*POWER(FFslave,SIGN(GB154))*POWER(GEslave_GE,SIGN(GC154))*POWER(KKslave,SIGN(GE154))+GE154*POWER(MUslave,SIGN(FX154))*POWER(KLslave,SIGN(FY154))*POWER(INslave,SIGN(FZ154))*POWER(CHslave,SIGN(GA154))*POWER(FFslave,SIGN(GB154))*POWER(GEslave_GE,SIGN(GC154))*POWER(KOslave,SIGN(GD154))</f>
        <v>2304</v>
      </c>
      <c r="GJ154" s="254">
        <f>FY154*FZ154*FFslave+FY154*INslave*GB154+KLslave*FZ154*GB154</f>
        <v>3456</v>
      </c>
      <c r="GK154" s="224">
        <f>IFERROR(FX154^SIGN(FX154),1)*IFERROR(FY154^SIGN(FY154),1)*IFERROR(FZ154^SIGN(FZ154),1)*IFERROR(GA154^SIGN(GA154),1)*IFERROR(GB154^SIGN(GB154),1)*IFERROR(GC154^SIGN(GC154),1)*IFERROR(GD154^SIGN(GD154),1)*IFERROR(GE154^SIGN(GE154),1)</f>
        <v>1728</v>
      </c>
      <c r="GL154" s="224">
        <f t="shared" si="1310"/>
        <v>7488</v>
      </c>
      <c r="GM154" s="222">
        <f t="shared" si="1311"/>
        <v>3.6923076923076925</v>
      </c>
      <c r="GN154" s="223">
        <f t="shared" si="1312"/>
        <v>11.076923076923077</v>
      </c>
      <c r="GO154" s="243">
        <f t="shared" si="1313"/>
        <v>8.3076923076923084</v>
      </c>
      <c r="GP154" s="243">
        <f t="shared" si="1314"/>
        <v>23.07692307692308</v>
      </c>
      <c r="GQ154" s="252">
        <f t="shared" si="1315"/>
        <v>0</v>
      </c>
      <c r="GR154" s="309">
        <f t="shared" si="1316"/>
        <v>23.07692307692308</v>
      </c>
      <c r="GS154" s="218">
        <f>IF(GP154&lt;=0,1,0)+IF(GP154&gt;0,GP154+1,0)*1+IF(GP154&gt;12,GP154-12,0)*1+IF(GP154&gt;13,GP154-13,0)*1+IF(GP154&gt;14,GP154-14,0)*1+IF(GP154&gt;15,GP154-15,0)*1+IF(GP154&gt;16,GP154-16,0)*1+IF(GP154&gt;17,GP154-17,0)*1+IF(GP154&gt;18,GP154-18,0)*1+IF(GP154&gt;19,GP154-19,0)*1+IF(GP154&gt;20,GP154-20,0)*1</f>
        <v>87.769230769230802</v>
      </c>
      <c r="GT154" s="242">
        <f>IF(GQ154&lt;=0,1,0)+IF(GQ154&gt;0,GQ154+1,0)*1+IF(GQ154&gt;12,GQ154-12,0)*1+IF(GQ154&gt;13,GQ154-13,0)*1+IF(GQ154&gt;14,GQ154-14,0)*1+IF(GQ154&gt;15,GQ154-15,0)*1+IF(GQ154&gt;16,GQ154-16,0)*1+IF(GQ154&gt;17,GQ154-17,0)*1+IF(GQ154&gt;18,GQ154-18,0)*1+IF(GQ154&gt;19,GQ154-19,0)*1+IF(GQ154&gt;20,GQ154-20,0)*1</f>
        <v>1</v>
      </c>
      <c r="GU154" s="243">
        <f t="shared" si="1317"/>
        <v>86.769230769230802</v>
      </c>
      <c r="GV154" s="218">
        <f t="shared" si="1318"/>
        <v>0</v>
      </c>
      <c r="GX154" s="303" t="s">
        <v>351</v>
      </c>
      <c r="GY154" s="304" t="s">
        <v>170</v>
      </c>
      <c r="GZ154" s="305" t="s">
        <v>133</v>
      </c>
      <c r="HA154" s="317"/>
      <c r="HB154" s="254">
        <f>Konvention_1slave-KLslave</f>
        <v>12</v>
      </c>
      <c r="HC154" s="254">
        <f>Konvention_1slave-INslave</f>
        <v>12</v>
      </c>
      <c r="HD154" s="254"/>
      <c r="HE154" s="254">
        <f>Konvention_1slave-FFslave</f>
        <v>12</v>
      </c>
      <c r="HF154" s="254"/>
      <c r="HG154" s="254"/>
      <c r="HH154" s="318"/>
      <c r="HI154" s="223">
        <f>(HA154+HB154+HC154+HD154+HE154+HF154+HG154+HH154)/3</f>
        <v>12</v>
      </c>
      <c r="HJ154" s="223">
        <f t="shared" si="1319"/>
        <v>24</v>
      </c>
      <c r="HK154" s="224">
        <f t="shared" si="1320"/>
        <v>36</v>
      </c>
      <c r="HL154" s="237">
        <f>HA154*POWER(KLslave,SIGN(HB154))*POWER(INslave,SIGN(HC154))*POWER(CHslave,SIGN(HD154))*POWER(FFslave,SIGN(HE154))*POWER(GEslave,SIGN(HF154))*POWER(KOslave_KO,SIGN(HG154))*POWER(KKslave,SIGN(HH154))+HB154*POWER(MUslave,SIGN(HA154))*POWER(INslave,SIGN(HC154))*POWER(CHslave,SIGN(HD154))*POWER(FFslave,SIGN(HE154))*POWER(GEslave,SIGN(HF154))*POWER(KOslave_KO,SIGN(HG154))*POWER(KKslave,SIGN(HH154))+HC154*POWER(MUslave,SIGN(HA154))*POWER(KLslave,SIGN(HB154))*POWER(CHslave,SIGN(HD154))*POWER(FFslave,SIGN(HE154))*POWER(GEslave,SIGN(HF154))*POWER(KOslave_KO,SIGN(HG154))*POWER(KKslave,SIGN(HH154))+HD154*POWER(MUslave,SIGN(HA154))*POWER(KLslave,SIGN(HB154))*POWER(INslave,SIGN(HC154))*POWER(FFslave,SIGN(HE154))*POWER(GEslave,SIGN(HF154))*POWER(KOslave_KO,SIGN(HG154))*POWER(KKslave,SIGN(HH154))+HE154*POWER(MUslave,SIGN(HA154))*POWER(KLslave,SIGN(HB154))*POWER(INslave,SIGN(HC154))*POWER(CHslave,SIGN(HD154))*POWER(GEslave,SIGN(HF154))*POWER(KOslave_KO,SIGN(HG154))*POWER(KKslave,SIGN(HH154))+HF154*POWER(MUslave,SIGN(HA154))*POWER(KLslave,SIGN(HB154))*POWER(INslave,SIGN(HC154))*POWER(CHslave,SIGN(HD154))*POWER(FFslave,SIGN(HE154))*POWER(KOslave_KO,SIGN(HG154))*POWER(KKslave,SIGN(HH154))+HG154*POWER(MUslave,SIGN(HA154))*POWER(KLslave,SIGN(HB154))*POWER(INslave,SIGN(HC154))*POWER(CHslave,SIGN(HD154))*POWER(FFslave,SIGN(HE154))*POWER(GEslave,SIGN(HF154))*POWER(KKslave,SIGN(HH154))+HH154*POWER(MUslave,SIGN(HA154))*POWER(KLslave,SIGN(HB154))*POWER(INslave,SIGN(HC154))*POWER(CHslave,SIGN(HD154))*POWER(FFslave,SIGN(HE154))*POWER(GEslave,SIGN(HF154))*POWER(KOslave_KO,SIGN(HG154))</f>
        <v>2304</v>
      </c>
      <c r="HM154" s="254">
        <f>HB154*HC154*FFslave+HB154*INslave*HE154+KLslave*HC154*HE154</f>
        <v>3456</v>
      </c>
      <c r="HN154" s="224">
        <f>IFERROR(HA154^SIGN(HA154),1)*IFERROR(HB154^SIGN(HB154),1)*IFERROR(HC154^SIGN(HC154),1)*IFERROR(HD154^SIGN(HD154),1)*IFERROR(HE154^SIGN(HE154),1)*IFERROR(HF154^SIGN(HF154),1)*IFERROR(HG154^SIGN(HG154),1)*IFERROR(HH154^SIGN(HH154),1)</f>
        <v>1728</v>
      </c>
      <c r="HO154" s="224">
        <f t="shared" si="1321"/>
        <v>7488</v>
      </c>
      <c r="HP154" s="222">
        <f t="shared" si="1322"/>
        <v>3.6923076923076925</v>
      </c>
      <c r="HQ154" s="223">
        <f t="shared" si="1323"/>
        <v>11.076923076923077</v>
      </c>
      <c r="HR154" s="243">
        <f t="shared" si="1324"/>
        <v>8.3076923076923084</v>
      </c>
      <c r="HS154" s="243">
        <f t="shared" si="1325"/>
        <v>23.07692307692308</v>
      </c>
      <c r="HT154" s="252">
        <f t="shared" si="1326"/>
        <v>0</v>
      </c>
      <c r="HU154" s="309">
        <f t="shared" si="1327"/>
        <v>23.07692307692308</v>
      </c>
      <c r="HV154" s="218">
        <f>IF(HS154&lt;=0,1,0)+IF(HS154&gt;0,HS154+1,0)*1+IF(HS154&gt;12,HS154-12,0)*1+IF(HS154&gt;13,HS154-13,0)*1+IF(HS154&gt;14,HS154-14,0)*1+IF(HS154&gt;15,HS154-15,0)*1+IF(HS154&gt;16,HS154-16,0)*1+IF(HS154&gt;17,HS154-17,0)*1+IF(HS154&gt;18,HS154-18,0)*1+IF(HS154&gt;19,HS154-19,0)*1+IF(HS154&gt;20,HS154-20,0)*1</f>
        <v>87.769230769230802</v>
      </c>
      <c r="HW154" s="242">
        <f>IF(HT154&lt;=0,1,0)+IF(HT154&gt;0,HT154+1,0)*1+IF(HT154&gt;12,HT154-12,0)*1+IF(HT154&gt;13,HT154-13,0)*1+IF(HT154&gt;14,HT154-14,0)*1+IF(HT154&gt;15,HT154-15,0)*1+IF(HT154&gt;16,HT154-16,0)*1+IF(HT154&gt;17,HT154-17,0)*1+IF(HT154&gt;18,HT154-18,0)*1+IF(HT154&gt;19,HT154-19,0)*1+IF(HT154&gt;20,HT154-20,0)*1</f>
        <v>1</v>
      </c>
      <c r="HX154" s="243">
        <f t="shared" si="1328"/>
        <v>86.769230769230802</v>
      </c>
      <c r="HY154" s="218">
        <f t="shared" si="1329"/>
        <v>0</v>
      </c>
      <c r="IA154" s="303" t="s">
        <v>351</v>
      </c>
      <c r="IB154" s="304" t="s">
        <v>170</v>
      </c>
      <c r="IC154" s="305" t="s">
        <v>133</v>
      </c>
      <c r="ID154" s="317"/>
      <c r="IE154" s="254">
        <f>Konvention_1slave-KLslave</f>
        <v>12</v>
      </c>
      <c r="IF154" s="254">
        <f>Konvention_1slave-INslave</f>
        <v>12</v>
      </c>
      <c r="IG154" s="254"/>
      <c r="IH154" s="254">
        <f>Konvention_1slave-FFslave</f>
        <v>12</v>
      </c>
      <c r="II154" s="254"/>
      <c r="IJ154" s="254"/>
      <c r="IK154" s="318"/>
      <c r="IL154" s="223">
        <f>(ID154+IE154+IF154+IG154+IH154+II154+IJ154+IK154)/3</f>
        <v>12</v>
      </c>
      <c r="IM154" s="223">
        <f t="shared" si="1330"/>
        <v>24</v>
      </c>
      <c r="IN154" s="224">
        <f t="shared" si="1331"/>
        <v>36</v>
      </c>
      <c r="IO154" s="237">
        <f>ID154*POWER(KLslave,SIGN(IE154))*POWER(INslave,SIGN(IF154))*POWER(CHslave,SIGN(IG154))*POWER(FFslave,SIGN(IH154))*POWER(GEslave,SIGN(II154))*POWER(KOslave,SIGN(IJ154))*POWER(KKslave_KK,SIGN(IK154))+IE154*POWER(MUslave,SIGN(ID154))*POWER(INslave,SIGN(IF154))*POWER(CHslave,SIGN(IG154))*POWER(FFslave,SIGN(IH154))*POWER(GEslave,SIGN(II154))*POWER(KOslave,SIGN(IJ154))*POWER(KKslave_KK,SIGN(IK154))+IF154*POWER(MUslave,SIGN(ID154))*POWER(KLslave,SIGN(IE154))*POWER(CHslave,SIGN(IG154))*POWER(FFslave,SIGN(IH154))*POWER(GEslave,SIGN(II154))*POWER(KOslave,SIGN(IJ154))*POWER(KKslave_KK,SIGN(IK154))+IG154*POWER(MUslave,SIGN(ID154))*POWER(KLslave,SIGN(IE154))*POWER(INslave,SIGN(IF154))*POWER(FFslave,SIGN(IH154))*POWER(GEslave,SIGN(II154))*POWER(KOslave,SIGN(IJ154))*POWER(KKslave_KK,SIGN(IK154))+IH154*POWER(MUslave,SIGN(ID154))*POWER(KLslave,SIGN(IE154))*POWER(INslave,SIGN(IF154))*POWER(CHslave,SIGN(IG154))*POWER(GEslave,SIGN(II154))*POWER(KOslave,SIGN(IJ154))*POWER(KKslave_KK,SIGN(IK154))+II154*POWER(MUslave,SIGN(ID154))*POWER(KLslave,SIGN(IE154))*POWER(INslave,SIGN(IF154))*POWER(CHslave,SIGN(IG154))*POWER(FFslave,SIGN(IH154))*POWER(KOslave,SIGN(IJ154))*POWER(KKslave_KK,SIGN(IK154))+IJ154*POWER(MUslave,SIGN(ID154))*POWER(KLslave,SIGN(IE154))*POWER(INslave,SIGN(IF154))*POWER(CHslave,SIGN(IG154))*POWER(FFslave,SIGN(IH154))*POWER(GEslave,SIGN(II154))*POWER(KKslave_KK,SIGN(IK154))+IK154*POWER(MUslave,SIGN(ID154))*POWER(KLslave,SIGN(IE154))*POWER(INslave,SIGN(IF154))*POWER(CHslave,SIGN(IG154))*POWER(FFslave,SIGN(IH154))*POWER(GEslave,SIGN(II154))*POWER(KOslave,SIGN(IJ154))</f>
        <v>2304</v>
      </c>
      <c r="IP154" s="254">
        <f>IE154*IF154*FFslave+IE154*INslave*IH154+KLslave*IF154*IH154</f>
        <v>3456</v>
      </c>
      <c r="IQ154" s="224">
        <f>IFERROR(ID154^SIGN(ID154),1)*IFERROR(IE154^SIGN(IE154),1)*IFERROR(IF154^SIGN(IF154),1)*IFERROR(IG154^SIGN(IG154),1)*IFERROR(IH154^SIGN(IH154),1)*IFERROR(II154^SIGN(II154),1)*IFERROR(IJ154^SIGN(IJ154),1)*IFERROR(IK154^SIGN(IK154),1)</f>
        <v>1728</v>
      </c>
      <c r="IR154" s="224">
        <f t="shared" si="1332"/>
        <v>7488</v>
      </c>
      <c r="IS154" s="222">
        <f t="shared" si="1333"/>
        <v>3.6923076923076925</v>
      </c>
      <c r="IT154" s="223">
        <f t="shared" si="1334"/>
        <v>11.076923076923077</v>
      </c>
      <c r="IU154" s="243">
        <f t="shared" si="1335"/>
        <v>8.3076923076923084</v>
      </c>
      <c r="IV154" s="243">
        <f t="shared" si="1336"/>
        <v>23.07692307692308</v>
      </c>
      <c r="IW154" s="252">
        <f t="shared" si="1337"/>
        <v>0</v>
      </c>
      <c r="IX154" s="309">
        <f t="shared" si="1338"/>
        <v>23.07692307692308</v>
      </c>
      <c r="IY154" s="218">
        <f>IF(IV154&lt;=0,1,0)+IF(IV154&gt;0,IV154+1,0)*1+IF(IV154&gt;12,IV154-12,0)*1+IF(IV154&gt;13,IV154-13,0)*1+IF(IV154&gt;14,IV154-14,0)*1+IF(IV154&gt;15,IV154-15,0)*1+IF(IV154&gt;16,IV154-16,0)*1+IF(IV154&gt;17,IV154-17,0)*1+IF(IV154&gt;18,IV154-18,0)*1+IF(IV154&gt;19,IV154-19,0)*1+IF(IV154&gt;20,IV154-20,0)*1</f>
        <v>87.769230769230802</v>
      </c>
      <c r="IZ154" s="242">
        <f>IF(IW154&lt;=0,1,0)+IF(IW154&gt;0,IW154+1,0)*1+IF(IW154&gt;12,IW154-12,0)*1+IF(IW154&gt;13,IW154-13,0)*1+IF(IW154&gt;14,IW154-14,0)*1+IF(IW154&gt;15,IW154-15,0)*1+IF(IW154&gt;16,IW154-16,0)*1+IF(IW154&gt;17,IW154-17,0)*1+IF(IW154&gt;18,IW154-18,0)*1+IF(IW154&gt;19,IW154-19,0)*1+IF(IW154&gt;20,IW154-20,0)*1</f>
        <v>1</v>
      </c>
      <c r="JA154" s="243">
        <f t="shared" si="1339"/>
        <v>86.769230769230802</v>
      </c>
      <c r="JB154" s="218">
        <f t="shared" si="1340"/>
        <v>0</v>
      </c>
      <c r="JE154" s="148"/>
    </row>
    <row r="155" spans="2:265" ht="15" hidden="1" customHeight="1" outlineLevel="2">
      <c r="B155" s="148">
        <v>3</v>
      </c>
      <c r="C155" s="303" t="e">
        <f>VLOOKUP(AF155,Attribute!C:T,1,FALSE)</f>
        <v>#N/A</v>
      </c>
      <c r="D155" s="86" t="s">
        <v>172</v>
      </c>
      <c r="E155" s="167" t="s">
        <v>135</v>
      </c>
      <c r="F155" s="120">
        <f>Konvention_1master-MUmaster</f>
        <v>12</v>
      </c>
      <c r="G155" s="117"/>
      <c r="H155" s="117"/>
      <c r="I155" s="117">
        <f>Konvention_1master-CHmaster</f>
        <v>12</v>
      </c>
      <c r="J155" s="117"/>
      <c r="K155" s="117">
        <f>Konvention_1master-GEmaster</f>
        <v>12</v>
      </c>
      <c r="L155" s="117"/>
      <c r="M155" s="121"/>
      <c r="N155" s="223">
        <f>(F155+G155+H155+I155+J155+K155+L155+M155)/3</f>
        <v>12</v>
      </c>
      <c r="O155" s="223">
        <f t="shared" si="1243"/>
        <v>24</v>
      </c>
      <c r="P155" s="224">
        <f t="shared" si="1244"/>
        <v>36</v>
      </c>
      <c r="Q155" s="237">
        <f>F155*POWER(KLmaster,SIGN(G155))*POWER(INmaster,SIGN(H155))*POWER(CHmaster,SIGN(I155))*POWER(FFmaster,SIGN(J155))*POWER(GEmaster,SIGN(K155))*POWER(KOmaster,SIGN(L155))*POWER(KKmaster,SIGN(M155))+G155*POWER(MUmaster,SIGN(F155))*POWER(INmaster,SIGN(H155))*POWER(CHmaster,SIGN(I155))*POWER(FFmaster,SIGN(J155))*POWER(GEmaster,SIGN(K155))*POWER(KOmaster,SIGN(L155))*POWER(KKmaster,SIGN(M155))+H155*POWER(MUmaster,SIGN(F155))*POWER(KLmaster,SIGN(G155))*POWER(CHmaster,SIGN(I155))*POWER(FFmaster,SIGN(J155))*POWER(GEmaster,SIGN(K155))*POWER(KOmaster,SIGN(L155))*POWER(KKmaster,SIGN(M155))+I155*POWER(MUmaster,SIGN(F155))*POWER(KLmaster,SIGN(G155))*POWER(INmaster,SIGN(H155))*POWER(FFmaster,SIGN(J155))*POWER(GEmaster,SIGN(K155))*POWER(KOmaster,SIGN(L155))*POWER(KKmaster,SIGN(M155))+J155*POWER(MUmaster,SIGN(F155))*POWER(KLmaster,SIGN(G155))*POWER(INmaster,SIGN(H155))*POWER(CHmaster,SIGN(I155))*POWER(GEmaster,SIGN(K155))*POWER(KOmaster,SIGN(L155))*POWER(KKmaster,SIGN(M155))+K155*POWER(MUmaster,SIGN(F155))*POWER(KLmaster,SIGN(G155))*POWER(INmaster,SIGN(H155))*POWER(CHmaster,SIGN(I155))*POWER(FFmaster,SIGN(J155))*POWER(KOmaster,SIGN(L155))*POWER(KKmaster,SIGN(M155))+L155*POWER(MUmaster,SIGN(F155))*POWER(KLmaster,SIGN(G155))*POWER(INmaster,SIGN(H155))*POWER(CHmaster,SIGN(I155))*POWER(FFmaster,SIGN(J155))*POWER(GEmaster,SIGN(K155))*POWER(KKmaster,SIGN(M155))+M155*POWER(MUmaster,SIGN(F155))*POWER(KLmaster,SIGN(G155))*POWER(INmaster,SIGN(H155))*POWER(CHmaster,SIGN(I155))*POWER(FFmaster,SIGN(J155))*POWER(GEmaster,SIGN(K155))*POWER(KOmaster,SIGN(L155))</f>
        <v>2304</v>
      </c>
      <c r="R155" s="117">
        <f>F155*I155*GEmaster+F155*CHmaster*K155+MUmaster*I155*K155</f>
        <v>3456</v>
      </c>
      <c r="S155" s="224">
        <f>IFERROR(F155^SIGN(F155),1)*IFERROR(G155^SIGN(G155),1)*IFERROR(H155^SIGN(H155),1)*IFERROR(I155^SIGN(I155),1)*IFERROR(J155^SIGN(J155),1)*IFERROR(K155^SIGN(K155),1)*IFERROR(L155^SIGN(L155),1)*IFERROR(M155^SIGN(M155),1)</f>
        <v>1728</v>
      </c>
      <c r="T155" s="224">
        <f t="shared" si="1245"/>
        <v>7488</v>
      </c>
      <c r="U155" s="222">
        <f t="shared" si="1246"/>
        <v>3.6923076923076925</v>
      </c>
      <c r="V155" s="223">
        <f t="shared" si="1247"/>
        <v>11.076923076923077</v>
      </c>
      <c r="W155" s="243">
        <f t="shared" si="1248"/>
        <v>8.3076923076923084</v>
      </c>
      <c r="X155" s="243">
        <f t="shared" si="1249"/>
        <v>23.07692307692308</v>
      </c>
      <c r="Y155" s="252">
        <v>0</v>
      </c>
      <c r="Z155" s="198">
        <f t="shared" si="1250"/>
        <v>23.07692307692308</v>
      </c>
      <c r="AA155" s="125">
        <f>IF(X155&lt;=0,3,0)+IF(X155&gt;0,X155+1,0)*3+IF(X155&gt;12,X155-12,0)*3+IF(X155&gt;13,X155-13,0)*3+IF(X155&gt;14,X155-14,0)*3+IF(X155&gt;15,X155-15,0)*3+IF(X155&gt;16,X155-16,0)*3+IF(X155&gt;17,X155-17,0)*3+IF(X155&gt;18,X155-18,0)*3+IF(X155&gt;19,X155-19,0)*3+IF(X155&gt;20,X155-20,0)*3</f>
        <v>263.30769230769232</v>
      </c>
      <c r="AB155" s="160">
        <f>IF(Y155&lt;=0,3,0)+IF(Y155&gt;0,Y155+1,0)*3+IF(Y155&gt;12,Y155-12,0)*3+IF(Y155&gt;13,Y155-13,0)*3+IF(Y155&gt;14,Y155-14,0)*3+IF(Y155&gt;15,Y155-15,0)*3+IF(Y155&gt;16,Y155-16,0)*3+IF(Y155&gt;17,Y155-17,0)*3+IF(Y155&gt;18,Y155-18,0)*3+IF(Y155&gt;19,Y155-19,0)*3+IF(Y155&gt;20,Y155-20,0)*3</f>
        <v>3</v>
      </c>
      <c r="AC155" s="127">
        <f t="shared" si="1251"/>
        <v>260.30769230769232</v>
      </c>
      <c r="AD155" s="125">
        <f t="shared" si="1252"/>
        <v>0</v>
      </c>
      <c r="AF155" s="163" t="s">
        <v>378</v>
      </c>
      <c r="AG155" s="86" t="s">
        <v>172</v>
      </c>
      <c r="AH155" s="167" t="s">
        <v>135</v>
      </c>
      <c r="AI155" s="120">
        <f>Konvention_1slave-MUslave_MU</f>
        <v>11</v>
      </c>
      <c r="AJ155" s="117"/>
      <c r="AK155" s="117"/>
      <c r="AL155" s="117">
        <f>Konvention_1slave-CHslave</f>
        <v>12</v>
      </c>
      <c r="AM155" s="117"/>
      <c r="AN155" s="117">
        <f>Konvention_1slave-GEslave</f>
        <v>12</v>
      </c>
      <c r="AO155" s="117"/>
      <c r="AP155" s="121"/>
      <c r="AQ155" s="47">
        <f>(AI155+AJ155+AK155+AL155+AM155+AN155+AO155+AP155)/3</f>
        <v>11.666666666666666</v>
      </c>
      <c r="AR155" s="3">
        <f t="shared" si="1253"/>
        <v>23.333333333333332</v>
      </c>
      <c r="AS155" s="174">
        <f t="shared" si="1254"/>
        <v>35</v>
      </c>
      <c r="AT155" s="114">
        <f>AI155*POWER(KLslave,SIGN(AJ155))*POWER(INslave,SIGN(AK155))*POWER(CHslave,SIGN(AL155))*POWER(FFslave,SIGN(AM155))*POWER(GEslave,SIGN(AN155))*POWER(KOslave,SIGN(AO155))*POWER(KKslave,SIGN(AP155))+AJ155*POWER(MUslave_MU,SIGN(AI155))*POWER(INslave,SIGN(AK155))*POWER(CHslave,SIGN(AL155))*POWER(FFslave,SIGN(AM155))*POWER(GEslave,SIGN(AN155))*POWER(KOslave,SIGN(AO155))*POWER(KKslave,SIGN(AP155))+AK155*POWER(MUslave_MU,SIGN(AI155))*POWER(KLslave,SIGN(AJ155))*POWER(CHslave,SIGN(AL155))*POWER(FFslave,SIGN(AM155))*POWER(GEslave,SIGN(AN155))*POWER(KOslave,SIGN(AO155))*POWER(KKslave,SIGN(AP155))+AL155*POWER(MUslave_MU,SIGN(AI155))*POWER(KLslave,SIGN(AJ155))*POWER(INslave,SIGN(AK155))*POWER(FFslave,SIGN(AM155))*POWER(GEslave,SIGN(AN155))*POWER(KOslave,SIGN(AO155))*POWER(KKslave,SIGN(AP155))+AM155*POWER(MUslave_MU,SIGN(AI155))*POWER(KLslave,SIGN(AJ155))*POWER(INslave,SIGN(AK155))*POWER(CHslave,SIGN(AL155))*POWER(GEslave,SIGN(AN155))*POWER(KOslave,SIGN(AO155))*POWER(KKslave,SIGN(AP155))+AN155*POWER(MUslave_MU,SIGN(AI155))*POWER(KLslave,SIGN(AJ155))*POWER(INslave,SIGN(AK155))*POWER(CHslave,SIGN(AL155))*POWER(FFslave,SIGN(AM155))*POWER(KOslave,SIGN(AO155))*POWER(KKslave,SIGN(AP155))+AO155*POWER(MUslave_MU,SIGN(AI155))*POWER(KLslave,SIGN(AJ155))*POWER(INslave,SIGN(AK155))*POWER(CHslave,SIGN(AL155))*POWER(FFslave,SIGN(AM155))*POWER(GEslave,SIGN(AN155))*POWER(KKslave,SIGN(AP155))+AP155*POWER(MUslave_MU,SIGN(AI155))*POWER(KLslave,SIGN(AJ155))*POWER(INslave,SIGN(AK155))*POWER(CHslave,SIGN(AL155))*POWER(FFslave,SIGN(AM155))*POWER(GEslave,SIGN(AN155))*POWER(KOslave,SIGN(AO155))</f>
        <v>2432</v>
      </c>
      <c r="AU155" s="117">
        <f>AI155*AL155*GEslave+AI155*CHslave*AN155+MUslave_MU*AL155*AN155</f>
        <v>3408</v>
      </c>
      <c r="AV155" s="119">
        <f>IFERROR(AI155^SIGN(AI155),1)*IFERROR(AJ155^SIGN(AJ155),1)*IFERROR(AK155^SIGN(AK155),1)*IFERROR(AL155^SIGN(AL155),1)*IFERROR(AM155^SIGN(AM155),1)*IFERROR(AN155^SIGN(AN155),1)*IFERROR(AO155^SIGN(AO155),1)*IFERROR(AP155^SIGN(AP155),1)</f>
        <v>1584</v>
      </c>
      <c r="AW155" s="119">
        <f t="shared" si="1255"/>
        <v>7424</v>
      </c>
      <c r="AX155" s="89">
        <f t="shared" si="1256"/>
        <v>3.8218390804597702</v>
      </c>
      <c r="AY155" s="47">
        <f t="shared" si="1257"/>
        <v>10.711206896551724</v>
      </c>
      <c r="AZ155" s="127">
        <f t="shared" si="1258"/>
        <v>7.4676724137931032</v>
      </c>
      <c r="BA155" s="127">
        <f t="shared" si="1259"/>
        <v>22.000718390804597</v>
      </c>
      <c r="BB155" s="165">
        <f t="shared" si="1260"/>
        <v>0</v>
      </c>
      <c r="BC155" s="198">
        <f t="shared" si="1261"/>
        <v>22.000718390804597</v>
      </c>
      <c r="BD155" s="125">
        <f>IF(BA155&lt;=0,3,0)+IF(BA155&gt;0,BA155+1,0)*3+IF(BA155&gt;12,BA155-12,0)*3+IF(BA155&gt;13,BA155-13,0)*3+IF(BA155&gt;14,BA155-14,0)*3+IF(BA155&gt;15,BA155-15,0)*3+IF(BA155&gt;16,BA155-16,0)*3+IF(BA155&gt;17,BA155-17,0)*3+IF(BA155&gt;18,BA155-18,0)*3+IF(BA155&gt;19,BA155-19,0)*3+IF(BA155&gt;20,BA155-20,0)*3</f>
        <v>231.02155172413785</v>
      </c>
      <c r="BE155" s="160">
        <f>IF(BB155&lt;=0,3,0)+IF(BB155&gt;0,BB155+1,0)*3+IF(BB155&gt;12,BB155-12,0)*3+IF(BB155&gt;13,BB155-13,0)*3+IF(BB155&gt;14,BB155-14,0)*3+IF(BB155&gt;15,BB155-15,0)*3+IF(BB155&gt;16,BB155-16,0)*3+IF(BB155&gt;17,BB155-17,0)*3+IF(BB155&gt;18,BB155-18,0)*3+IF(BB155&gt;19,BB155-19,0)*3+IF(BB155&gt;20,BB155-20,0)*3</f>
        <v>3</v>
      </c>
      <c r="BF155" s="243">
        <f t="shared" si="1262"/>
        <v>228.02155172413785</v>
      </c>
      <c r="BG155" s="218">
        <f t="shared" si="1263"/>
        <v>0</v>
      </c>
      <c r="BI155" s="303" t="s">
        <v>378</v>
      </c>
      <c r="BJ155" s="304" t="s">
        <v>172</v>
      </c>
      <c r="BK155" s="305" t="s">
        <v>135</v>
      </c>
      <c r="BL155" s="317">
        <f>Konvention_1slave-MUslave</f>
        <v>12</v>
      </c>
      <c r="BM155" s="254"/>
      <c r="BN155" s="254"/>
      <c r="BO155" s="254">
        <f>Konvention_1slave-CHslave</f>
        <v>12</v>
      </c>
      <c r="BP155" s="254"/>
      <c r="BQ155" s="254">
        <f>Konvention_1slave-GEslave</f>
        <v>12</v>
      </c>
      <c r="BR155" s="254"/>
      <c r="BS155" s="318"/>
      <c r="BT155" s="223">
        <f>(BL155+BM155+BN155+BO155+BP155+BQ155+BR155+BS155)/3</f>
        <v>12</v>
      </c>
      <c r="BU155" s="223">
        <f t="shared" si="1264"/>
        <v>24</v>
      </c>
      <c r="BV155" s="224">
        <f t="shared" si="1265"/>
        <v>36</v>
      </c>
      <c r="BW155" s="237">
        <f>BL155*POWER(KLslave_KL,SIGN(BM155))*POWER(INslave,SIGN(BN155))*POWER(CHslave,SIGN(BO155))*POWER(FFslave,SIGN(BP155))*POWER(GEslave,SIGN(BQ155))*POWER(KOslave,SIGN(BR155))*POWER(KKslave,SIGN(BS155))+BM155*POWER(MUslave,SIGN(BL155))*POWER(INslave,SIGN(BN155))*POWER(CHslave,SIGN(BO155))*POWER(FFslave,SIGN(BP155))*POWER(GEslave,SIGN(BQ155))*POWER(KOslave,SIGN(BR155))*POWER(KKslave,SIGN(BS155))+BN155*POWER(MUslave,SIGN(BL155))*POWER(KLslave_KL,SIGN(BM155))*POWER(CHslave,SIGN(BO155))*POWER(FFslave,SIGN(BP155))*POWER(GEslave,SIGN(BQ155))*POWER(KOslave,SIGN(BR155))*POWER(KKslave,SIGN(BS155))+BO155*POWER(MUslave,SIGN(BL155))*POWER(KLslave_KL,SIGN(BM155))*POWER(INslave,SIGN(BN155))*POWER(FFslave,SIGN(BP155))*POWER(GEslave,SIGN(BQ155))*POWER(KOslave,SIGN(BR155))*POWER(KKslave,SIGN(BS155))+BP155*POWER(MUslave,SIGN(BL155))*POWER(KLslave_KL,SIGN(BM155))*POWER(INslave,SIGN(BN155))*POWER(CHslave,SIGN(BO155))*POWER(GEslave,SIGN(BQ155))*POWER(KOslave,SIGN(BR155))*POWER(KKslave,SIGN(BS155))+BQ155*POWER(MUslave,SIGN(BL155))*POWER(KLslave_KL,SIGN(BM155))*POWER(INslave,SIGN(BN155))*POWER(CHslave,SIGN(BO155))*POWER(FFslave,SIGN(BP155))*POWER(KOslave,SIGN(BR155))*POWER(KKslave,SIGN(BS155))+BR155*POWER(MUslave,SIGN(BL155))*POWER(KLslave_KL,SIGN(BM155))*POWER(INslave,SIGN(BN155))*POWER(CHslave,SIGN(BO155))*POWER(FFslave,SIGN(BP155))*POWER(GEslave,SIGN(BQ155))*POWER(KKslave,SIGN(BS155))+BS155*POWER(MUslave,SIGN(BL155))*POWER(KLslave_KL,SIGN(BM155))*POWER(INslave,SIGN(BN155))*POWER(CHslave,SIGN(BO155))*POWER(FFslave,SIGN(BP155))*POWER(GEslave,SIGN(BQ155))*POWER(KOslave,SIGN(BR155))</f>
        <v>2304</v>
      </c>
      <c r="BX155" s="254">
        <f>BL155*BO155*GEslave+BL155*CHslave*BQ155+MUslave*BO155*BQ155</f>
        <v>3456</v>
      </c>
      <c r="BY155" s="224">
        <f>IFERROR(BL155^SIGN(BL155),1)*IFERROR(BM155^SIGN(BM155),1)*IFERROR(BN155^SIGN(BN155),1)*IFERROR(BO155^SIGN(BO155),1)*IFERROR(BP155^SIGN(BP155),1)*IFERROR(BQ155^SIGN(BQ155),1)*IFERROR(BR155^SIGN(BR155),1)*IFERROR(BS155^SIGN(BS155),1)</f>
        <v>1728</v>
      </c>
      <c r="BZ155" s="224">
        <f t="shared" si="1266"/>
        <v>7488</v>
      </c>
      <c r="CA155" s="222">
        <f t="shared" si="1267"/>
        <v>3.6923076923076925</v>
      </c>
      <c r="CB155" s="223">
        <f t="shared" si="1268"/>
        <v>11.076923076923077</v>
      </c>
      <c r="CC155" s="243">
        <f t="shared" si="1269"/>
        <v>8.3076923076923084</v>
      </c>
      <c r="CD155" s="243">
        <f t="shared" si="1270"/>
        <v>23.07692307692308</v>
      </c>
      <c r="CE155" s="252">
        <f t="shared" si="1271"/>
        <v>0</v>
      </c>
      <c r="CF155" s="309">
        <f t="shared" si="1272"/>
        <v>23.07692307692308</v>
      </c>
      <c r="CG155" s="218">
        <f>IF(CD155&lt;=0,3,0)+IF(CD155&gt;0,CD155+1,0)*3+IF(CD155&gt;12,CD155-12,0)*3+IF(CD155&gt;13,CD155-13,0)*3+IF(CD155&gt;14,CD155-14,0)*3+IF(CD155&gt;15,CD155-15,0)*3+IF(CD155&gt;16,CD155-16,0)*3+IF(CD155&gt;17,CD155-17,0)*3+IF(CD155&gt;18,CD155-18,0)*3+IF(CD155&gt;19,CD155-19,0)*3+IF(CD155&gt;20,CD155-20,0)*3</f>
        <v>263.30769230769232</v>
      </c>
      <c r="CH155" s="242">
        <f>IF(CE155&lt;=0,3,0)+IF(CE155&gt;0,CE155+1,0)*3+IF(CE155&gt;12,CE155-12,0)*3+IF(CE155&gt;13,CE155-13,0)*3+IF(CE155&gt;14,CE155-14,0)*3+IF(CE155&gt;15,CE155-15,0)*3+IF(CE155&gt;16,CE155-16,0)*3+IF(CE155&gt;17,CE155-17,0)*3+IF(CE155&gt;18,CE155-18,0)*3+IF(CE155&gt;19,CE155-19,0)*3+IF(CE155&gt;20,CE155-20,0)*3</f>
        <v>3</v>
      </c>
      <c r="CI155" s="243">
        <f t="shared" si="1273"/>
        <v>260.30769230769232</v>
      </c>
      <c r="CJ155" s="218">
        <f t="shared" si="1274"/>
        <v>0</v>
      </c>
      <c r="CL155" s="303" t="s">
        <v>378</v>
      </c>
      <c r="CM155" s="304" t="s">
        <v>172</v>
      </c>
      <c r="CN155" s="305" t="s">
        <v>135</v>
      </c>
      <c r="CO155" s="317">
        <f>Konvention_1slave-MUslave</f>
        <v>12</v>
      </c>
      <c r="CP155" s="254"/>
      <c r="CQ155" s="254"/>
      <c r="CR155" s="254">
        <f>Konvention_1slave-CHslave</f>
        <v>12</v>
      </c>
      <c r="CS155" s="254"/>
      <c r="CT155" s="254">
        <f>Konvention_1slave-GEslave</f>
        <v>12</v>
      </c>
      <c r="CU155" s="254"/>
      <c r="CV155" s="318"/>
      <c r="CW155" s="223">
        <f>(CO155+CP155+CQ155+CR155+CS155+CT155+CU155+CV155)/3</f>
        <v>12</v>
      </c>
      <c r="CX155" s="223">
        <f t="shared" si="1275"/>
        <v>24</v>
      </c>
      <c r="CY155" s="224">
        <f t="shared" si="1276"/>
        <v>36</v>
      </c>
      <c r="CZ155" s="237">
        <f>CO155*POWER(KLslave,SIGN(CP155))*POWER(INslave_IN,SIGN(CQ155))*POWER(CHslave,SIGN(CR155))*POWER(FFslave,SIGN(CS155))*POWER(GEslave,SIGN(CT155))*POWER(KOslave,SIGN(CU155))*POWER(KKslave,SIGN(CV155))+CP155*POWER(MUslave,SIGN(CO155))*POWER(INslave_IN,SIGN(CQ155))*POWER(CHslave,SIGN(CR155))*POWER(FFslave,SIGN(CS155))*POWER(GEslave,SIGN(CT155))*POWER(KOslave,SIGN(CU155))*POWER(KKslave,SIGN(CV155))+CQ155*POWER(MUslave,SIGN(CO155))*POWER(KLslave,SIGN(CP155))*POWER(CHslave,SIGN(CR155))*POWER(FFslave,SIGN(CS155))*POWER(GEslave,SIGN(CT155))*POWER(KOslave,SIGN(CU155))*POWER(KKslave,SIGN(CV155))+CR155*POWER(MUslave,SIGN(CO155))*POWER(KLslave,SIGN(CP155))*POWER(INslave_IN,SIGN(CQ155))*POWER(FFslave,SIGN(CS155))*POWER(GEslave,SIGN(CT155))*POWER(KOslave,SIGN(CU155))*POWER(KKslave,SIGN(CV155))+CS155*POWER(MUslave,SIGN(CO155))*POWER(KLslave,SIGN(CP155))*POWER(INslave_IN,SIGN(CQ155))*POWER(CHslave,SIGN(CR155))*POWER(GEslave,SIGN(CT155))*POWER(KOslave,SIGN(CU155))*POWER(KKslave,SIGN(CV155))+CT155*POWER(MUslave,SIGN(CO155))*POWER(KLslave,SIGN(CP155))*POWER(INslave_IN,SIGN(CQ155))*POWER(CHslave,SIGN(CR155))*POWER(FFslave,SIGN(CS155))*POWER(KOslave,SIGN(CU155))*POWER(KKslave,SIGN(CV155))+CU155*POWER(MUslave,SIGN(CO155))*POWER(KLslave,SIGN(CP155))*POWER(INslave_IN,SIGN(CQ155))*POWER(CHslave,SIGN(CR155))*POWER(FFslave,SIGN(CS155))*POWER(GEslave,SIGN(CT155))*POWER(KKslave,SIGN(CV155))+CV155*POWER(MUslave,SIGN(CO155))*POWER(KLslave,SIGN(CP155))*POWER(INslave_IN,SIGN(CQ155))*POWER(CHslave,SIGN(CR155))*POWER(FFslave,SIGN(CS155))*POWER(GEslave,SIGN(CT155))*POWER(KOslave,SIGN(CU155))</f>
        <v>2304</v>
      </c>
      <c r="DA155" s="254">
        <f>CO155*CR155*GEslave+CO155*CHslave*CT155+MUslave*CR155*CT155</f>
        <v>3456</v>
      </c>
      <c r="DB155" s="224">
        <f>IFERROR(CO155^SIGN(CO155),1)*IFERROR(CP155^SIGN(CP155),1)*IFERROR(CQ155^SIGN(CQ155),1)*IFERROR(CR155^SIGN(CR155),1)*IFERROR(CS155^SIGN(CS155),1)*IFERROR(CT155^SIGN(CT155),1)*IFERROR(CU155^SIGN(CU155),1)*IFERROR(CV155^SIGN(CV155),1)</f>
        <v>1728</v>
      </c>
      <c r="DC155" s="224">
        <f t="shared" si="1277"/>
        <v>7488</v>
      </c>
      <c r="DD155" s="222">
        <f t="shared" si="1278"/>
        <v>3.6923076923076925</v>
      </c>
      <c r="DE155" s="223">
        <f t="shared" si="1279"/>
        <v>11.076923076923077</v>
      </c>
      <c r="DF155" s="243">
        <f t="shared" si="1280"/>
        <v>8.3076923076923084</v>
      </c>
      <c r="DG155" s="243">
        <f t="shared" si="1281"/>
        <v>23.07692307692308</v>
      </c>
      <c r="DH155" s="252">
        <f t="shared" si="1282"/>
        <v>0</v>
      </c>
      <c r="DI155" s="309">
        <f t="shared" si="1283"/>
        <v>23.07692307692308</v>
      </c>
      <c r="DJ155" s="218">
        <f>IF(DG155&lt;=0,3,0)+IF(DG155&gt;0,DG155+1,0)*3+IF(DG155&gt;12,DG155-12,0)*3+IF(DG155&gt;13,DG155-13,0)*3+IF(DG155&gt;14,DG155-14,0)*3+IF(DG155&gt;15,DG155-15,0)*3+IF(DG155&gt;16,DG155-16,0)*3+IF(DG155&gt;17,DG155-17,0)*3+IF(DG155&gt;18,DG155-18,0)*3+IF(DG155&gt;19,DG155-19,0)*3+IF(DG155&gt;20,DG155-20,0)*3</f>
        <v>263.30769230769232</v>
      </c>
      <c r="DK155" s="242">
        <f>IF(DH155&lt;=0,3,0)+IF(DH155&gt;0,DH155+1,0)*3+IF(DH155&gt;12,DH155-12,0)*3+IF(DH155&gt;13,DH155-13,0)*3+IF(DH155&gt;14,DH155-14,0)*3+IF(DH155&gt;15,DH155-15,0)*3+IF(DH155&gt;16,DH155-16,0)*3+IF(DH155&gt;17,DH155-17,0)*3+IF(DH155&gt;18,DH155-18,0)*3+IF(DH155&gt;19,DH155-19,0)*3+IF(DH155&gt;20,DH155-20,0)*3</f>
        <v>3</v>
      </c>
      <c r="DL155" s="243">
        <f t="shared" si="1284"/>
        <v>260.30769230769232</v>
      </c>
      <c r="DM155" s="218">
        <f t="shared" si="1285"/>
        <v>0</v>
      </c>
      <c r="DO155" s="303" t="s">
        <v>378</v>
      </c>
      <c r="DP155" s="304" t="s">
        <v>172</v>
      </c>
      <c r="DQ155" s="305" t="s">
        <v>135</v>
      </c>
      <c r="DR155" s="317">
        <f>Konvention_1slave-MUslave</f>
        <v>12</v>
      </c>
      <c r="DS155" s="254"/>
      <c r="DT155" s="254"/>
      <c r="DU155" s="254">
        <f>Konvention_1slave-CHslave_CH</f>
        <v>11</v>
      </c>
      <c r="DV155" s="254"/>
      <c r="DW155" s="254">
        <f>Konvention_1slave-GEslave</f>
        <v>12</v>
      </c>
      <c r="DX155" s="254"/>
      <c r="DY155" s="318"/>
      <c r="DZ155" s="223">
        <f>(DR155+DS155+DT155+DU155+DV155+DW155+DX155+DY155)/3</f>
        <v>11.666666666666666</v>
      </c>
      <c r="EA155" s="223">
        <f t="shared" si="1286"/>
        <v>23.333333333333332</v>
      </c>
      <c r="EB155" s="224">
        <f t="shared" si="1287"/>
        <v>35</v>
      </c>
      <c r="EC155" s="237">
        <f>DR155*POWER(KLslave,SIGN(DS155))*POWER(INslave,SIGN(DT155))*POWER(CHslave_CH,SIGN(DU155))*POWER(FFslave,SIGN(DV155))*POWER(GEslave,SIGN(DW155))*POWER(KOslave,SIGN(DX155))*POWER(KKslave,SIGN(DY155))+DS155*POWER(MUslave,SIGN(DR155))*POWER(INslave,SIGN(DT155))*POWER(CHslave_CH,SIGN(DU155))*POWER(FFslave,SIGN(DV155))*POWER(GEslave,SIGN(DW155))*POWER(KOslave,SIGN(DX155))*POWER(KKslave,SIGN(DY155))+DT155*POWER(MUslave,SIGN(DR155))*POWER(KLslave,SIGN(DS155))*POWER(CHslave_CH,SIGN(DU155))*POWER(FFslave,SIGN(DV155))*POWER(GEslave,SIGN(DW155))*POWER(KOslave,SIGN(DX155))*POWER(KKslave,SIGN(DY155))+DU155*POWER(MUslave,SIGN(DR155))*POWER(KLslave,SIGN(DS155))*POWER(INslave,SIGN(DT155))*POWER(FFslave,SIGN(DV155))*POWER(GEslave,SIGN(DW155))*POWER(KOslave,SIGN(DX155))*POWER(KKslave,SIGN(DY155))+DV155*POWER(MUslave,SIGN(DR155))*POWER(KLslave,SIGN(DS155))*POWER(INslave,SIGN(DT155))*POWER(CHslave_CH,SIGN(DU155))*POWER(GEslave,SIGN(DW155))*POWER(KOslave,SIGN(DX155))*POWER(KKslave,SIGN(DY155))+DW155*POWER(MUslave,SIGN(DR155))*POWER(KLslave,SIGN(DS155))*POWER(INslave,SIGN(DT155))*POWER(CHslave_CH,SIGN(DU155))*POWER(FFslave,SIGN(DV155))*POWER(KOslave,SIGN(DX155))*POWER(KKslave,SIGN(DY155))+DX155*POWER(MUslave,SIGN(DR155))*POWER(KLslave,SIGN(DS155))*POWER(INslave,SIGN(DT155))*POWER(CHslave_CH,SIGN(DU155))*POWER(FFslave,SIGN(DV155))*POWER(GEslave,SIGN(DW155))*POWER(KKslave,SIGN(DY155))+DY155*POWER(MUslave,SIGN(DR155))*POWER(KLslave,SIGN(DS155))*POWER(INslave,SIGN(DT155))*POWER(CHslave_CH,SIGN(DU155))*POWER(FFslave,SIGN(DV155))*POWER(GEslave,SIGN(DW155))*POWER(KOslave,SIGN(DX155))</f>
        <v>2432</v>
      </c>
      <c r="ED155" s="254">
        <f>DR155*DU155*GEslave+DR155*CHslave_CH*DW155+MUslave*DU155*DW155</f>
        <v>3408</v>
      </c>
      <c r="EE155" s="224">
        <f>IFERROR(DR155^SIGN(DR155),1)*IFERROR(DS155^SIGN(DS155),1)*IFERROR(DT155^SIGN(DT155),1)*IFERROR(DU155^SIGN(DU155),1)*IFERROR(DV155^SIGN(DV155),1)*IFERROR(DW155^SIGN(DW155),1)*IFERROR(DX155^SIGN(DX155),1)*IFERROR(DY155^SIGN(DY155),1)</f>
        <v>1584</v>
      </c>
      <c r="EF155" s="224">
        <f t="shared" si="1288"/>
        <v>7424</v>
      </c>
      <c r="EG155" s="222">
        <f t="shared" si="1289"/>
        <v>3.8218390804597702</v>
      </c>
      <c r="EH155" s="223">
        <f t="shared" si="1290"/>
        <v>10.711206896551724</v>
      </c>
      <c r="EI155" s="243">
        <f t="shared" si="1291"/>
        <v>7.4676724137931032</v>
      </c>
      <c r="EJ155" s="243">
        <f t="shared" si="1292"/>
        <v>22.000718390804597</v>
      </c>
      <c r="EK155" s="252">
        <f t="shared" si="1293"/>
        <v>0</v>
      </c>
      <c r="EL155" s="309">
        <f t="shared" si="1294"/>
        <v>22.000718390804597</v>
      </c>
      <c r="EM155" s="218">
        <f>IF(EJ155&lt;=0,3,0)+IF(EJ155&gt;0,EJ155+1,0)*3+IF(EJ155&gt;12,EJ155-12,0)*3+IF(EJ155&gt;13,EJ155-13,0)*3+IF(EJ155&gt;14,EJ155-14,0)*3+IF(EJ155&gt;15,EJ155-15,0)*3+IF(EJ155&gt;16,EJ155-16,0)*3+IF(EJ155&gt;17,EJ155-17,0)*3+IF(EJ155&gt;18,EJ155-18,0)*3+IF(EJ155&gt;19,EJ155-19,0)*3+IF(EJ155&gt;20,EJ155-20,0)*3</f>
        <v>231.02155172413785</v>
      </c>
      <c r="EN155" s="242">
        <f>IF(EK155&lt;=0,3,0)+IF(EK155&gt;0,EK155+1,0)*3+IF(EK155&gt;12,EK155-12,0)*3+IF(EK155&gt;13,EK155-13,0)*3+IF(EK155&gt;14,EK155-14,0)*3+IF(EK155&gt;15,EK155-15,0)*3+IF(EK155&gt;16,EK155-16,0)*3+IF(EK155&gt;17,EK155-17,0)*3+IF(EK155&gt;18,EK155-18,0)*3+IF(EK155&gt;19,EK155-19,0)*3+IF(EK155&gt;20,EK155-20,0)*3</f>
        <v>3</v>
      </c>
      <c r="EO155" s="243">
        <f t="shared" si="1295"/>
        <v>228.02155172413785</v>
      </c>
      <c r="EP155" s="218">
        <f t="shared" si="1296"/>
        <v>0</v>
      </c>
      <c r="ER155" s="303" t="s">
        <v>378</v>
      </c>
      <c r="ES155" s="304" t="s">
        <v>172</v>
      </c>
      <c r="ET155" s="305" t="s">
        <v>135</v>
      </c>
      <c r="EU155" s="317">
        <f>Konvention_1slave-MUslave</f>
        <v>12</v>
      </c>
      <c r="EV155" s="254"/>
      <c r="EW155" s="254"/>
      <c r="EX155" s="254">
        <f>Konvention_1slave-CHslave</f>
        <v>12</v>
      </c>
      <c r="EY155" s="254"/>
      <c r="EZ155" s="254">
        <f>Konvention_1slave-GEslave</f>
        <v>12</v>
      </c>
      <c r="FA155" s="254"/>
      <c r="FB155" s="318"/>
      <c r="FC155" s="223">
        <f>(EU155+EV155+EW155+EX155+EY155+EZ155+FA155+FB155)/3</f>
        <v>12</v>
      </c>
      <c r="FD155" s="223">
        <f t="shared" si="1297"/>
        <v>24</v>
      </c>
      <c r="FE155" s="224">
        <f t="shared" si="1298"/>
        <v>36</v>
      </c>
      <c r="FF155" s="237">
        <f>EU155*POWER(KLslave,SIGN(EV155))*POWER(INslave,SIGN(EW155))*POWER(CHslave,SIGN(EX155))*POWER(FFslave_FF,SIGN(EY155))*POWER(GEslave,SIGN(EZ155))*POWER(KOslave,SIGN(FA155))*POWER(KKslave,SIGN(FB155))+EV155*POWER(MUslave,SIGN(EU155))*POWER(INslave,SIGN(EW155))*POWER(CHslave,SIGN(EX155))*POWER(FFslave_FF,SIGN(EY155))*POWER(GEslave,SIGN(EZ155))*POWER(KOslave,SIGN(FA155))*POWER(KKslave,SIGN(FB155))+EW155*POWER(MUslave,SIGN(EU155))*POWER(KLslave,SIGN(EV155))*POWER(CHslave,SIGN(EX155))*POWER(FFslave_FF,SIGN(EY155))*POWER(GEslave,SIGN(EZ155))*POWER(KOslave,SIGN(FA155))*POWER(KKslave,SIGN(FB155))+EX155*POWER(MUslave,SIGN(EU155))*POWER(KLslave,SIGN(EV155))*POWER(INslave,SIGN(EW155))*POWER(FFslave_FF,SIGN(EY155))*POWER(GEslave,SIGN(EZ155))*POWER(KOslave,SIGN(FA155))*POWER(KKslave,SIGN(FB155))+EY155*POWER(MUslave,SIGN(EU155))*POWER(KLslave,SIGN(EV155))*POWER(INslave,SIGN(EW155))*POWER(CHslave,SIGN(EX155))*POWER(GEslave,SIGN(EZ155))*POWER(KOslave,SIGN(FA155))*POWER(KKslave,SIGN(FB155))+EZ155*POWER(MUslave,SIGN(EU155))*POWER(KLslave,SIGN(EV155))*POWER(INslave,SIGN(EW155))*POWER(CHslave,SIGN(EX155))*POWER(FFslave_FF,SIGN(EY155))*POWER(KOslave,SIGN(FA155))*POWER(KKslave,SIGN(FB155))+FA155*POWER(MUslave,SIGN(EU155))*POWER(KLslave,SIGN(EV155))*POWER(INslave,SIGN(EW155))*POWER(CHslave,SIGN(EX155))*POWER(FFslave_FF,SIGN(EY155))*POWER(GEslave,SIGN(EZ155))*POWER(KKslave,SIGN(FB155))+FB155*POWER(MUslave,SIGN(EU155))*POWER(KLslave,SIGN(EV155))*POWER(INslave,SIGN(EW155))*POWER(CHslave,SIGN(EX155))*POWER(FFslave_FF,SIGN(EY155))*POWER(GEslave,SIGN(EZ155))*POWER(KOslave,SIGN(FA155))</f>
        <v>2304</v>
      </c>
      <c r="FG155" s="254">
        <f>EU155*EX155*GEslave+EU155*CHslave*EZ155+MUslave*EX155*EZ155</f>
        <v>3456</v>
      </c>
      <c r="FH155" s="224">
        <f>IFERROR(EU155^SIGN(EU155),1)*IFERROR(EV155^SIGN(EV155),1)*IFERROR(EW155^SIGN(EW155),1)*IFERROR(EX155^SIGN(EX155),1)*IFERROR(EY155^SIGN(EY155),1)*IFERROR(EZ155^SIGN(EZ155),1)*IFERROR(FA155^SIGN(FA155),1)*IFERROR(FB155^SIGN(FB155),1)</f>
        <v>1728</v>
      </c>
      <c r="FI155" s="224">
        <f t="shared" si="1299"/>
        <v>7488</v>
      </c>
      <c r="FJ155" s="222">
        <f t="shared" si="1300"/>
        <v>3.6923076923076925</v>
      </c>
      <c r="FK155" s="223">
        <f t="shared" si="1301"/>
        <v>11.076923076923077</v>
      </c>
      <c r="FL155" s="243">
        <f t="shared" si="1302"/>
        <v>8.3076923076923084</v>
      </c>
      <c r="FM155" s="243">
        <f t="shared" si="1303"/>
        <v>23.07692307692308</v>
      </c>
      <c r="FN155" s="252">
        <f t="shared" si="1304"/>
        <v>0</v>
      </c>
      <c r="FO155" s="309">
        <f t="shared" si="1305"/>
        <v>23.07692307692308</v>
      </c>
      <c r="FP155" s="218">
        <f>IF(FM155&lt;=0,3,0)+IF(FM155&gt;0,FM155+1,0)*3+IF(FM155&gt;12,FM155-12,0)*3+IF(FM155&gt;13,FM155-13,0)*3+IF(FM155&gt;14,FM155-14,0)*3+IF(FM155&gt;15,FM155-15,0)*3+IF(FM155&gt;16,FM155-16,0)*3+IF(FM155&gt;17,FM155-17,0)*3+IF(FM155&gt;18,FM155-18,0)*3+IF(FM155&gt;19,FM155-19,0)*3+IF(FM155&gt;20,FM155-20,0)*3</f>
        <v>263.30769230769232</v>
      </c>
      <c r="FQ155" s="242">
        <f>IF(FN155&lt;=0,3,0)+IF(FN155&gt;0,FN155+1,0)*3+IF(FN155&gt;12,FN155-12,0)*3+IF(FN155&gt;13,FN155-13,0)*3+IF(FN155&gt;14,FN155-14,0)*3+IF(FN155&gt;15,FN155-15,0)*3+IF(FN155&gt;16,FN155-16,0)*3+IF(FN155&gt;17,FN155-17,0)*3+IF(FN155&gt;18,FN155-18,0)*3+IF(FN155&gt;19,FN155-19,0)*3+IF(FN155&gt;20,FN155-20,0)*3</f>
        <v>3</v>
      </c>
      <c r="FR155" s="243">
        <f t="shared" si="1306"/>
        <v>260.30769230769232</v>
      </c>
      <c r="FS155" s="218">
        <f t="shared" si="1307"/>
        <v>0</v>
      </c>
      <c r="FU155" s="303" t="s">
        <v>378</v>
      </c>
      <c r="FV155" s="304" t="s">
        <v>172</v>
      </c>
      <c r="FW155" s="305" t="s">
        <v>135</v>
      </c>
      <c r="FX155" s="317">
        <f>Konvention_1slave-MUslave</f>
        <v>12</v>
      </c>
      <c r="FY155" s="254"/>
      <c r="FZ155" s="254"/>
      <c r="GA155" s="254">
        <f>Konvention_1slave-CHslave</f>
        <v>12</v>
      </c>
      <c r="GB155" s="254"/>
      <c r="GC155" s="254">
        <f>Konvention_1slave-GEslave_GE</f>
        <v>11</v>
      </c>
      <c r="GD155" s="254"/>
      <c r="GE155" s="318"/>
      <c r="GF155" s="223">
        <f>(FX155+FY155+FZ155+GA155+GB155+GC155+GD155+GE155)/3</f>
        <v>11.666666666666666</v>
      </c>
      <c r="GG155" s="223">
        <f t="shared" si="1308"/>
        <v>23.333333333333332</v>
      </c>
      <c r="GH155" s="224">
        <f t="shared" si="1309"/>
        <v>35</v>
      </c>
      <c r="GI155" s="237">
        <f>FX155*POWER(KLslave,SIGN(FY155))*POWER(INslave,SIGN(FZ155))*POWER(CHslave,SIGN(GA155))*POWER(FFslave,SIGN(GB155))*POWER(GEslave_GE,SIGN(GC155))*POWER(KOslave,SIGN(GD155))*POWER(KKslave,SIGN(GE155))+FY155*POWER(MUslave,SIGN(FX155))*POWER(INslave,SIGN(FZ155))*POWER(CHslave,SIGN(GA155))*POWER(FFslave,SIGN(GB155))*POWER(GEslave_GE,SIGN(GC155))*POWER(KOslave,SIGN(GD155))*POWER(KKslave,SIGN(GE155))+FZ155*POWER(MUslave,SIGN(FX155))*POWER(KLslave,SIGN(FY155))*POWER(CHslave,SIGN(GA155))*POWER(FFslave,SIGN(GB155))*POWER(GEslave_GE,SIGN(GC155))*POWER(KOslave,SIGN(GD155))*POWER(KKslave,SIGN(GE155))+GA155*POWER(MUslave,SIGN(FX155))*POWER(KLslave,SIGN(FY155))*POWER(INslave,SIGN(FZ155))*POWER(FFslave,SIGN(GB155))*POWER(GEslave_GE,SIGN(GC155))*POWER(KOslave,SIGN(GD155))*POWER(KKslave,SIGN(GE155))+GB155*POWER(MUslave,SIGN(FX155))*POWER(KLslave,SIGN(FY155))*POWER(INslave,SIGN(FZ155))*POWER(CHslave,SIGN(GA155))*POWER(GEslave_GE,SIGN(GC155))*POWER(KOslave,SIGN(GD155))*POWER(KKslave,SIGN(GE155))+GC155*POWER(MUslave,SIGN(FX155))*POWER(KLslave,SIGN(FY155))*POWER(INslave,SIGN(FZ155))*POWER(CHslave,SIGN(GA155))*POWER(FFslave,SIGN(GB155))*POWER(KOslave,SIGN(GD155))*POWER(KKslave,SIGN(GE155))+GD155*POWER(MUslave,SIGN(FX155))*POWER(KLslave,SIGN(FY155))*POWER(INslave,SIGN(FZ155))*POWER(CHslave,SIGN(GA155))*POWER(FFslave,SIGN(GB155))*POWER(GEslave_GE,SIGN(GC155))*POWER(KKslave,SIGN(GE155))+GE155*POWER(MUslave,SIGN(FX155))*POWER(KLslave,SIGN(FY155))*POWER(INslave,SIGN(FZ155))*POWER(CHslave,SIGN(GA155))*POWER(FFslave,SIGN(GB155))*POWER(GEslave_GE,SIGN(GC155))*POWER(KOslave,SIGN(GD155))</f>
        <v>2432</v>
      </c>
      <c r="GJ155" s="254">
        <f>FX155*GA155*GEslave_GE+FX155*CHslave*GC155+MUslave*GA155*GC155</f>
        <v>3408</v>
      </c>
      <c r="GK155" s="224">
        <f>IFERROR(FX155^SIGN(FX155),1)*IFERROR(FY155^SIGN(FY155),1)*IFERROR(FZ155^SIGN(FZ155),1)*IFERROR(GA155^SIGN(GA155),1)*IFERROR(GB155^SIGN(GB155),1)*IFERROR(GC155^SIGN(GC155),1)*IFERROR(GD155^SIGN(GD155),1)*IFERROR(GE155^SIGN(GE155),1)</f>
        <v>1584</v>
      </c>
      <c r="GL155" s="224">
        <f t="shared" si="1310"/>
        <v>7424</v>
      </c>
      <c r="GM155" s="222">
        <f t="shared" si="1311"/>
        <v>3.8218390804597702</v>
      </c>
      <c r="GN155" s="223">
        <f t="shared" si="1312"/>
        <v>10.711206896551724</v>
      </c>
      <c r="GO155" s="243">
        <f t="shared" si="1313"/>
        <v>7.4676724137931032</v>
      </c>
      <c r="GP155" s="243">
        <f t="shared" si="1314"/>
        <v>22.000718390804597</v>
      </c>
      <c r="GQ155" s="252">
        <f t="shared" si="1315"/>
        <v>0</v>
      </c>
      <c r="GR155" s="309">
        <f t="shared" si="1316"/>
        <v>22.000718390804597</v>
      </c>
      <c r="GS155" s="218">
        <f>IF(GP155&lt;=0,3,0)+IF(GP155&gt;0,GP155+1,0)*3+IF(GP155&gt;12,GP155-12,0)*3+IF(GP155&gt;13,GP155-13,0)*3+IF(GP155&gt;14,GP155-14,0)*3+IF(GP155&gt;15,GP155-15,0)*3+IF(GP155&gt;16,GP155-16,0)*3+IF(GP155&gt;17,GP155-17,0)*3+IF(GP155&gt;18,GP155-18,0)*3+IF(GP155&gt;19,GP155-19,0)*3+IF(GP155&gt;20,GP155-20,0)*3</f>
        <v>231.02155172413785</v>
      </c>
      <c r="GT155" s="242">
        <f>IF(GQ155&lt;=0,3,0)+IF(GQ155&gt;0,GQ155+1,0)*3+IF(GQ155&gt;12,GQ155-12,0)*3+IF(GQ155&gt;13,GQ155-13,0)*3+IF(GQ155&gt;14,GQ155-14,0)*3+IF(GQ155&gt;15,GQ155-15,0)*3+IF(GQ155&gt;16,GQ155-16,0)*3+IF(GQ155&gt;17,GQ155-17,0)*3+IF(GQ155&gt;18,GQ155-18,0)*3+IF(GQ155&gt;19,GQ155-19,0)*3+IF(GQ155&gt;20,GQ155-20,0)*3</f>
        <v>3</v>
      </c>
      <c r="GU155" s="243">
        <f t="shared" si="1317"/>
        <v>228.02155172413785</v>
      </c>
      <c r="GV155" s="218">
        <f t="shared" si="1318"/>
        <v>0</v>
      </c>
      <c r="GX155" s="303" t="s">
        <v>378</v>
      </c>
      <c r="GY155" s="304" t="s">
        <v>172</v>
      </c>
      <c r="GZ155" s="305" t="s">
        <v>135</v>
      </c>
      <c r="HA155" s="317">
        <f>Konvention_1slave-MUslave</f>
        <v>12</v>
      </c>
      <c r="HB155" s="254"/>
      <c r="HC155" s="254"/>
      <c r="HD155" s="254">
        <f>Konvention_1slave-CHslave</f>
        <v>12</v>
      </c>
      <c r="HE155" s="254"/>
      <c r="HF155" s="254">
        <f>Konvention_1slave-GEslave</f>
        <v>12</v>
      </c>
      <c r="HG155" s="254"/>
      <c r="HH155" s="318"/>
      <c r="HI155" s="223">
        <f>(HA155+HB155+HC155+HD155+HE155+HF155+HG155+HH155)/3</f>
        <v>12</v>
      </c>
      <c r="HJ155" s="223">
        <f t="shared" si="1319"/>
        <v>24</v>
      </c>
      <c r="HK155" s="224">
        <f t="shared" si="1320"/>
        <v>36</v>
      </c>
      <c r="HL155" s="237">
        <f>HA155*POWER(KLslave,SIGN(HB155))*POWER(INslave,SIGN(HC155))*POWER(CHslave,SIGN(HD155))*POWER(FFslave,SIGN(HE155))*POWER(GEslave,SIGN(HF155))*POWER(KOslave_KO,SIGN(HG155))*POWER(KKslave,SIGN(HH155))+HB155*POWER(MUslave,SIGN(HA155))*POWER(INslave,SIGN(HC155))*POWER(CHslave,SIGN(HD155))*POWER(FFslave,SIGN(HE155))*POWER(GEslave,SIGN(HF155))*POWER(KOslave_KO,SIGN(HG155))*POWER(KKslave,SIGN(HH155))+HC155*POWER(MUslave,SIGN(HA155))*POWER(KLslave,SIGN(HB155))*POWER(CHslave,SIGN(HD155))*POWER(FFslave,SIGN(HE155))*POWER(GEslave,SIGN(HF155))*POWER(KOslave_KO,SIGN(HG155))*POWER(KKslave,SIGN(HH155))+HD155*POWER(MUslave,SIGN(HA155))*POWER(KLslave,SIGN(HB155))*POWER(INslave,SIGN(HC155))*POWER(FFslave,SIGN(HE155))*POWER(GEslave,SIGN(HF155))*POWER(KOslave_KO,SIGN(HG155))*POWER(KKslave,SIGN(HH155))+HE155*POWER(MUslave,SIGN(HA155))*POWER(KLslave,SIGN(HB155))*POWER(INslave,SIGN(HC155))*POWER(CHslave,SIGN(HD155))*POWER(GEslave,SIGN(HF155))*POWER(KOslave_KO,SIGN(HG155))*POWER(KKslave,SIGN(HH155))+HF155*POWER(MUslave,SIGN(HA155))*POWER(KLslave,SIGN(HB155))*POWER(INslave,SIGN(HC155))*POWER(CHslave,SIGN(HD155))*POWER(FFslave,SIGN(HE155))*POWER(KOslave_KO,SIGN(HG155))*POWER(KKslave,SIGN(HH155))+HG155*POWER(MUslave,SIGN(HA155))*POWER(KLslave,SIGN(HB155))*POWER(INslave,SIGN(HC155))*POWER(CHslave,SIGN(HD155))*POWER(FFslave,SIGN(HE155))*POWER(GEslave,SIGN(HF155))*POWER(KKslave,SIGN(HH155))+HH155*POWER(MUslave,SIGN(HA155))*POWER(KLslave,SIGN(HB155))*POWER(INslave,SIGN(HC155))*POWER(CHslave,SIGN(HD155))*POWER(FFslave,SIGN(HE155))*POWER(GEslave,SIGN(HF155))*POWER(KOslave_KO,SIGN(HG155))</f>
        <v>2304</v>
      </c>
      <c r="HM155" s="254">
        <f>HA155*HD155*GEslave+HA155*CHslave*HF155+MUslave*HD155*HF155</f>
        <v>3456</v>
      </c>
      <c r="HN155" s="224">
        <f>IFERROR(HA155^SIGN(HA155),1)*IFERROR(HB155^SIGN(HB155),1)*IFERROR(HC155^SIGN(HC155),1)*IFERROR(HD155^SIGN(HD155),1)*IFERROR(HE155^SIGN(HE155),1)*IFERROR(HF155^SIGN(HF155),1)*IFERROR(HG155^SIGN(HG155),1)*IFERROR(HH155^SIGN(HH155),1)</f>
        <v>1728</v>
      </c>
      <c r="HO155" s="224">
        <f t="shared" si="1321"/>
        <v>7488</v>
      </c>
      <c r="HP155" s="222">
        <f t="shared" si="1322"/>
        <v>3.6923076923076925</v>
      </c>
      <c r="HQ155" s="223">
        <f t="shared" si="1323"/>
        <v>11.076923076923077</v>
      </c>
      <c r="HR155" s="243">
        <f t="shared" si="1324"/>
        <v>8.3076923076923084</v>
      </c>
      <c r="HS155" s="243">
        <f t="shared" si="1325"/>
        <v>23.07692307692308</v>
      </c>
      <c r="HT155" s="252">
        <f t="shared" si="1326"/>
        <v>0</v>
      </c>
      <c r="HU155" s="309">
        <f t="shared" si="1327"/>
        <v>23.07692307692308</v>
      </c>
      <c r="HV155" s="218">
        <f>IF(HS155&lt;=0,3,0)+IF(HS155&gt;0,HS155+1,0)*3+IF(HS155&gt;12,HS155-12,0)*3+IF(HS155&gt;13,HS155-13,0)*3+IF(HS155&gt;14,HS155-14,0)*3+IF(HS155&gt;15,HS155-15,0)*3+IF(HS155&gt;16,HS155-16,0)*3+IF(HS155&gt;17,HS155-17,0)*3+IF(HS155&gt;18,HS155-18,0)*3+IF(HS155&gt;19,HS155-19,0)*3+IF(HS155&gt;20,HS155-20,0)*3</f>
        <v>263.30769230769232</v>
      </c>
      <c r="HW155" s="242">
        <f>IF(HT155&lt;=0,3,0)+IF(HT155&gt;0,HT155+1,0)*3+IF(HT155&gt;12,HT155-12,0)*3+IF(HT155&gt;13,HT155-13,0)*3+IF(HT155&gt;14,HT155-14,0)*3+IF(HT155&gt;15,HT155-15,0)*3+IF(HT155&gt;16,HT155-16,0)*3+IF(HT155&gt;17,HT155-17,0)*3+IF(HT155&gt;18,HT155-18,0)*3+IF(HT155&gt;19,HT155-19,0)*3+IF(HT155&gt;20,HT155-20,0)*3</f>
        <v>3</v>
      </c>
      <c r="HX155" s="243">
        <f t="shared" si="1328"/>
        <v>260.30769230769232</v>
      </c>
      <c r="HY155" s="218">
        <f t="shared" si="1329"/>
        <v>0</v>
      </c>
      <c r="IA155" s="303" t="s">
        <v>378</v>
      </c>
      <c r="IB155" s="304" t="s">
        <v>172</v>
      </c>
      <c r="IC155" s="305" t="s">
        <v>135</v>
      </c>
      <c r="ID155" s="317">
        <f>Konvention_1slave-MUslave</f>
        <v>12</v>
      </c>
      <c r="IE155" s="254"/>
      <c r="IF155" s="254"/>
      <c r="IG155" s="254">
        <f>Konvention_1slave-CHslave</f>
        <v>12</v>
      </c>
      <c r="IH155" s="254"/>
      <c r="II155" s="254">
        <f>Konvention_1slave-GEslave</f>
        <v>12</v>
      </c>
      <c r="IJ155" s="254"/>
      <c r="IK155" s="318"/>
      <c r="IL155" s="223">
        <f>(ID155+IE155+IF155+IG155+IH155+II155+IJ155+IK155)/3</f>
        <v>12</v>
      </c>
      <c r="IM155" s="223">
        <f t="shared" si="1330"/>
        <v>24</v>
      </c>
      <c r="IN155" s="224">
        <f t="shared" si="1331"/>
        <v>36</v>
      </c>
      <c r="IO155" s="237">
        <f>ID155*POWER(KLslave,SIGN(IE155))*POWER(INslave,SIGN(IF155))*POWER(CHslave,SIGN(IG155))*POWER(FFslave,SIGN(IH155))*POWER(GEslave,SIGN(II155))*POWER(KOslave,SIGN(IJ155))*POWER(KKslave_KK,SIGN(IK155))+IE155*POWER(MUslave,SIGN(ID155))*POWER(INslave,SIGN(IF155))*POWER(CHslave,SIGN(IG155))*POWER(FFslave,SIGN(IH155))*POWER(GEslave,SIGN(II155))*POWER(KOslave,SIGN(IJ155))*POWER(KKslave_KK,SIGN(IK155))+IF155*POWER(MUslave,SIGN(ID155))*POWER(KLslave,SIGN(IE155))*POWER(CHslave,SIGN(IG155))*POWER(FFslave,SIGN(IH155))*POWER(GEslave,SIGN(II155))*POWER(KOslave,SIGN(IJ155))*POWER(KKslave_KK,SIGN(IK155))+IG155*POWER(MUslave,SIGN(ID155))*POWER(KLslave,SIGN(IE155))*POWER(INslave,SIGN(IF155))*POWER(FFslave,SIGN(IH155))*POWER(GEslave,SIGN(II155))*POWER(KOslave,SIGN(IJ155))*POWER(KKslave_KK,SIGN(IK155))+IH155*POWER(MUslave,SIGN(ID155))*POWER(KLslave,SIGN(IE155))*POWER(INslave,SIGN(IF155))*POWER(CHslave,SIGN(IG155))*POWER(GEslave,SIGN(II155))*POWER(KOslave,SIGN(IJ155))*POWER(KKslave_KK,SIGN(IK155))+II155*POWER(MUslave,SIGN(ID155))*POWER(KLslave,SIGN(IE155))*POWER(INslave,SIGN(IF155))*POWER(CHslave,SIGN(IG155))*POWER(FFslave,SIGN(IH155))*POWER(KOslave,SIGN(IJ155))*POWER(KKslave_KK,SIGN(IK155))+IJ155*POWER(MUslave,SIGN(ID155))*POWER(KLslave,SIGN(IE155))*POWER(INslave,SIGN(IF155))*POWER(CHslave,SIGN(IG155))*POWER(FFslave,SIGN(IH155))*POWER(GEslave,SIGN(II155))*POWER(KKslave_KK,SIGN(IK155))+IK155*POWER(MUslave,SIGN(ID155))*POWER(KLslave,SIGN(IE155))*POWER(INslave,SIGN(IF155))*POWER(CHslave,SIGN(IG155))*POWER(FFslave,SIGN(IH155))*POWER(GEslave,SIGN(II155))*POWER(KOslave,SIGN(IJ155))</f>
        <v>2304</v>
      </c>
      <c r="IP155" s="254">
        <f>ID155*IG155*GEslave+ID155*CHslave*II155+MUslave*IG155*II155</f>
        <v>3456</v>
      </c>
      <c r="IQ155" s="224">
        <f>IFERROR(ID155^SIGN(ID155),1)*IFERROR(IE155^SIGN(IE155),1)*IFERROR(IF155^SIGN(IF155),1)*IFERROR(IG155^SIGN(IG155),1)*IFERROR(IH155^SIGN(IH155),1)*IFERROR(II155^SIGN(II155),1)*IFERROR(IJ155^SIGN(IJ155),1)*IFERROR(IK155^SIGN(IK155),1)</f>
        <v>1728</v>
      </c>
      <c r="IR155" s="224">
        <f t="shared" si="1332"/>
        <v>7488</v>
      </c>
      <c r="IS155" s="222">
        <f t="shared" si="1333"/>
        <v>3.6923076923076925</v>
      </c>
      <c r="IT155" s="223">
        <f t="shared" si="1334"/>
        <v>11.076923076923077</v>
      </c>
      <c r="IU155" s="243">
        <f t="shared" si="1335"/>
        <v>8.3076923076923084</v>
      </c>
      <c r="IV155" s="243">
        <f t="shared" si="1336"/>
        <v>23.07692307692308</v>
      </c>
      <c r="IW155" s="252">
        <f t="shared" si="1337"/>
        <v>0</v>
      </c>
      <c r="IX155" s="309">
        <f t="shared" si="1338"/>
        <v>23.07692307692308</v>
      </c>
      <c r="IY155" s="218">
        <f>IF(IV155&lt;=0,3,0)+IF(IV155&gt;0,IV155+1,0)*3+IF(IV155&gt;12,IV155-12,0)*3+IF(IV155&gt;13,IV155-13,0)*3+IF(IV155&gt;14,IV155-14,0)*3+IF(IV155&gt;15,IV155-15,0)*3+IF(IV155&gt;16,IV155-16,0)*3+IF(IV155&gt;17,IV155-17,0)*3+IF(IV155&gt;18,IV155-18,0)*3+IF(IV155&gt;19,IV155-19,0)*3+IF(IV155&gt;20,IV155-20,0)*3</f>
        <v>263.30769230769232</v>
      </c>
      <c r="IZ155" s="242">
        <f>IF(IW155&lt;=0,3,0)+IF(IW155&gt;0,IW155+1,0)*3+IF(IW155&gt;12,IW155-12,0)*3+IF(IW155&gt;13,IW155-13,0)*3+IF(IW155&gt;14,IW155-14,0)*3+IF(IW155&gt;15,IW155-15,0)*3+IF(IW155&gt;16,IW155-16,0)*3+IF(IW155&gt;17,IW155-17,0)*3+IF(IW155&gt;18,IW155-18,0)*3+IF(IW155&gt;19,IW155-19,0)*3+IF(IW155&gt;20,IW155-20,0)*3</f>
        <v>3</v>
      </c>
      <c r="JA155" s="243">
        <f t="shared" si="1339"/>
        <v>260.30769230769232</v>
      </c>
      <c r="JB155" s="218">
        <f t="shared" si="1340"/>
        <v>0</v>
      </c>
      <c r="JE155" s="148"/>
    </row>
    <row r="156" spans="2:265" hidden="1" outlineLevel="2">
      <c r="B156" s="148">
        <v>4</v>
      </c>
      <c r="C156" s="303" t="e">
        <f>VLOOKUP(AF156,Attribute!C:T,1,FALSE)</f>
        <v>#N/A</v>
      </c>
      <c r="D156" s="86" t="s">
        <v>94</v>
      </c>
      <c r="E156" s="167" t="s">
        <v>132</v>
      </c>
      <c r="F156" s="120"/>
      <c r="G156" s="117">
        <f>Konvention_1master-KLmaster</f>
        <v>12</v>
      </c>
      <c r="H156" s="117">
        <f t="shared" ref="H156:H162" si="1341">Konvention_1master-INmaster</f>
        <v>12</v>
      </c>
      <c r="I156" s="117"/>
      <c r="J156" s="117"/>
      <c r="K156" s="117"/>
      <c r="L156" s="117"/>
      <c r="M156" s="121"/>
      <c r="N156" s="223">
        <f>(G156+G156+H156)/3</f>
        <v>12</v>
      </c>
      <c r="O156" s="223">
        <f t="shared" si="1243"/>
        <v>24</v>
      </c>
      <c r="P156" s="224">
        <f t="shared" si="1244"/>
        <v>36</v>
      </c>
      <c r="Q156" s="237">
        <f>G156*POWER(INmaster,SIGN(H156))*POWER(KLmaster,SIGN(G156))+G156*POWER(INmaster,SIGN(H156))*POWER(KLmaster,SIGN(G156))+H156*POWER(KLmaster,SIGN(G156))*POWER(KLmaster,SIGN(G156))</f>
        <v>2304</v>
      </c>
      <c r="R156" s="117">
        <f>G156*G156*INmaster+G156*KLmaster*H156+KLmaster*G156*H156</f>
        <v>3456</v>
      </c>
      <c r="S156" s="224">
        <f>G156*G156*H156</f>
        <v>1728</v>
      </c>
      <c r="T156" s="224">
        <f t="shared" si="1245"/>
        <v>7488</v>
      </c>
      <c r="U156" s="222">
        <f t="shared" si="1246"/>
        <v>3.6923076923076925</v>
      </c>
      <c r="V156" s="223">
        <f t="shared" si="1247"/>
        <v>11.076923076923077</v>
      </c>
      <c r="W156" s="243">
        <f t="shared" si="1248"/>
        <v>8.3076923076923084</v>
      </c>
      <c r="X156" s="243">
        <f t="shared" si="1249"/>
        <v>23.07692307692308</v>
      </c>
      <c r="Y156" s="252">
        <v>0</v>
      </c>
      <c r="Z156" s="198">
        <f t="shared" si="1250"/>
        <v>23.07692307692308</v>
      </c>
      <c r="AA156" s="125">
        <f>IF(X156&lt;=0,2,0)+IF(X156&gt;0,X156+1,0)*2+IF(X156&gt;12,X156-12,0)*2+IF(X156&gt;13,X156-13,0)*2+IF(X156&gt;14,X156-14,0)*2+IF(X156&gt;15,X156-15,0)*2+IF(X156&gt;16,X156-16,0)*2+IF(X156&gt;17,X156-17,0)*2+IF(X156&gt;18,X156-18,0)*2+IF(X156&gt;19,X156-19,0)*2+IF(X156&gt;20,X156-20,0)*2</f>
        <v>175.5384615384616</v>
      </c>
      <c r="AB156" s="160">
        <f>IF(Y156&lt;=0,2,0)+IF(Y156&gt;0,Y156+1,0)*2+IF(Y156&gt;12,Y156-12,0)*2+IF(Y156&gt;13,Y156-13,0)*2+IF(Y156&gt;14,Y156-14,0)*2+IF(Y156&gt;15,Y156-15,0)*2+IF(Y156&gt;16,Y156-16,0)*2+IF(Y156&gt;17,Y156-17,0)*2+IF(Y156&gt;18,Y156-18,0)*2+IF(Y156&gt;19,Y156-19,0)*2+IF(Y156&gt;20,Y156-20,0)*2</f>
        <v>2</v>
      </c>
      <c r="AC156" s="127">
        <f t="shared" si="1251"/>
        <v>173.5384615384616</v>
      </c>
      <c r="AD156" s="125">
        <f t="shared" si="1252"/>
        <v>0</v>
      </c>
      <c r="AF156" s="163" t="s">
        <v>355</v>
      </c>
      <c r="AG156" s="86" t="s">
        <v>94</v>
      </c>
      <c r="AH156" s="167" t="s">
        <v>132</v>
      </c>
      <c r="AI156" s="120"/>
      <c r="AJ156" s="117">
        <f>Konvention_1slave-KLslave</f>
        <v>12</v>
      </c>
      <c r="AK156" s="117">
        <f t="shared" ref="AK156:AK162" si="1342">Konvention_1slave-INslave</f>
        <v>12</v>
      </c>
      <c r="AL156" s="117"/>
      <c r="AM156" s="117"/>
      <c r="AN156" s="117"/>
      <c r="AO156" s="117"/>
      <c r="AP156" s="121"/>
      <c r="AQ156" s="47">
        <f>(AJ156+AJ156+AK156)/3</f>
        <v>12</v>
      </c>
      <c r="AR156" s="3">
        <f t="shared" si="1253"/>
        <v>24</v>
      </c>
      <c r="AS156" s="174">
        <f t="shared" si="1254"/>
        <v>36</v>
      </c>
      <c r="AT156" s="114">
        <f>AJ156*POWER(INslave,SIGN(AK156))*POWER(KLslave,SIGN(AJ156))+AJ156*POWER(INslave,SIGN(AK156))*POWER(KLslave,SIGN(AJ156))+AK156*POWER(KLslave,SIGN(AJ156))*POWER(KLslave,SIGN(AJ156))</f>
        <v>2304</v>
      </c>
      <c r="AU156" s="117">
        <f>AJ156*AJ156*INslave+AJ156*KLslave*AK156+KLslave*AJ156*AK156</f>
        <v>3456</v>
      </c>
      <c r="AV156" s="119">
        <f>AJ156*AJ156*AK156</f>
        <v>1728</v>
      </c>
      <c r="AW156" s="119">
        <f t="shared" si="1255"/>
        <v>7488</v>
      </c>
      <c r="AX156" s="89">
        <f t="shared" si="1256"/>
        <v>3.6923076923076925</v>
      </c>
      <c r="AY156" s="47">
        <f t="shared" si="1257"/>
        <v>11.076923076923077</v>
      </c>
      <c r="AZ156" s="127">
        <f t="shared" si="1258"/>
        <v>8.3076923076923084</v>
      </c>
      <c r="BA156" s="127">
        <f t="shared" si="1259"/>
        <v>23.07692307692308</v>
      </c>
      <c r="BB156" s="165">
        <f t="shared" si="1260"/>
        <v>0</v>
      </c>
      <c r="BC156" s="198">
        <f t="shared" si="1261"/>
        <v>23.07692307692308</v>
      </c>
      <c r="BD156" s="125">
        <f>IF(BA156&lt;=0,2,0)+IF(BA156&gt;0,BA156+1,0)*2+IF(BA156&gt;12,BA156-12,0)*2+IF(BA156&gt;13,BA156-13,0)*2+IF(BA156&gt;14,BA156-14,0)*2+IF(BA156&gt;15,BA156-15,0)*2+IF(BA156&gt;16,BA156-16,0)*2+IF(BA156&gt;17,BA156-17,0)*2+IF(BA156&gt;18,BA156-18,0)*2+IF(BA156&gt;19,BA156-19,0)*2+IF(BA156&gt;20,BA156-20,0)*2</f>
        <v>175.5384615384616</v>
      </c>
      <c r="BE156" s="160">
        <f>IF(BB156&lt;=0,2,0)+IF(BB156&gt;0,BB156+1,0)*2+IF(BB156&gt;12,BB156-12,0)*2+IF(BB156&gt;13,BB156-13,0)*2+IF(BB156&gt;14,BB156-14,0)*2+IF(BB156&gt;15,BB156-15,0)*2+IF(BB156&gt;16,BB156-16,0)*2+IF(BB156&gt;17,BB156-17,0)*2+IF(BB156&gt;18,BB156-18,0)*2+IF(BB156&gt;19,BB156-19,0)*2+IF(BB156&gt;20,BB156-20,0)*2</f>
        <v>2</v>
      </c>
      <c r="BF156" s="243">
        <f t="shared" si="1262"/>
        <v>173.5384615384616</v>
      </c>
      <c r="BG156" s="218">
        <f t="shared" si="1263"/>
        <v>0</v>
      </c>
      <c r="BI156" s="303" t="s">
        <v>355</v>
      </c>
      <c r="BJ156" s="304" t="s">
        <v>94</v>
      </c>
      <c r="BK156" s="305" t="s">
        <v>132</v>
      </c>
      <c r="BL156" s="317"/>
      <c r="BM156" s="254">
        <f>Konvention_1slave-KLslave_KL</f>
        <v>11</v>
      </c>
      <c r="BN156" s="254">
        <f t="shared" ref="BN156:BN162" si="1343">Konvention_1slave-INslave</f>
        <v>12</v>
      </c>
      <c r="BO156" s="254"/>
      <c r="BP156" s="254"/>
      <c r="BQ156" s="254"/>
      <c r="BR156" s="254"/>
      <c r="BS156" s="318"/>
      <c r="BT156" s="223">
        <f>(BM156+BM156+BN156)/3</f>
        <v>11.333333333333334</v>
      </c>
      <c r="BU156" s="223">
        <f t="shared" si="1264"/>
        <v>22.666666666666668</v>
      </c>
      <c r="BV156" s="224">
        <f t="shared" si="1265"/>
        <v>34</v>
      </c>
      <c r="BW156" s="237">
        <f>BM156*POWER(INslave,SIGN(BN156))*POWER(KLslave_KL,SIGN(BM156))+BM156*POWER(INslave,SIGN(BN156))*POWER(KLslave_KL,SIGN(BM156))+BN156*POWER(KLslave_KL,SIGN(BM156))*POWER(KLslave_KL,SIGN(BM156))</f>
        <v>2556</v>
      </c>
      <c r="BX156" s="254">
        <f>BM156*BM156*INslave+BM156*KLslave_KL*BN156+KLslave_KL*BM156*BN156</f>
        <v>3344</v>
      </c>
      <c r="BY156" s="224">
        <f>BM156*BM156*BN156</f>
        <v>1452</v>
      </c>
      <c r="BZ156" s="224">
        <f t="shared" si="1266"/>
        <v>7352</v>
      </c>
      <c r="CA156" s="222">
        <f t="shared" si="1267"/>
        <v>3.940152339499456</v>
      </c>
      <c r="CB156" s="223">
        <f t="shared" si="1268"/>
        <v>10.309756982227059</v>
      </c>
      <c r="CC156" s="243">
        <f t="shared" si="1269"/>
        <v>6.714907508161045</v>
      </c>
      <c r="CD156" s="243">
        <f t="shared" si="1270"/>
        <v>20.96481682988756</v>
      </c>
      <c r="CE156" s="252">
        <f t="shared" si="1271"/>
        <v>0</v>
      </c>
      <c r="CF156" s="309">
        <f t="shared" si="1272"/>
        <v>20.96481682988756</v>
      </c>
      <c r="CG156" s="218">
        <f>IF(CD156&lt;=0,2,0)+IF(CD156&gt;0,CD156+1,0)*2+IF(CD156&gt;12,CD156-12,0)*2+IF(CD156&gt;13,CD156-13,0)*2+IF(CD156&gt;14,CD156-14,0)*2+IF(CD156&gt;15,CD156-15,0)*2+IF(CD156&gt;16,CD156-16,0)*2+IF(CD156&gt;17,CD156-17,0)*2+IF(CD156&gt;18,CD156-18,0)*2+IF(CD156&gt;19,CD156-19,0)*2+IF(CD156&gt;20,CD156-20,0)*2</f>
        <v>133.29633659775118</v>
      </c>
      <c r="CH156" s="242">
        <f>IF(CE156&lt;=0,2,0)+IF(CE156&gt;0,CE156+1,0)*2+IF(CE156&gt;12,CE156-12,0)*2+IF(CE156&gt;13,CE156-13,0)*2+IF(CE156&gt;14,CE156-14,0)*2+IF(CE156&gt;15,CE156-15,0)*2+IF(CE156&gt;16,CE156-16,0)*2+IF(CE156&gt;17,CE156-17,0)*2+IF(CE156&gt;18,CE156-18,0)*2+IF(CE156&gt;19,CE156-19,0)*2+IF(CE156&gt;20,CE156-20,0)*2</f>
        <v>2</v>
      </c>
      <c r="CI156" s="243">
        <f t="shared" si="1273"/>
        <v>131.29633659775118</v>
      </c>
      <c r="CJ156" s="218">
        <f t="shared" si="1274"/>
        <v>0</v>
      </c>
      <c r="CL156" s="303" t="s">
        <v>355</v>
      </c>
      <c r="CM156" s="304" t="s">
        <v>94</v>
      </c>
      <c r="CN156" s="305" t="s">
        <v>132</v>
      </c>
      <c r="CO156" s="317"/>
      <c r="CP156" s="254">
        <f>Konvention_1slave-KLslave</f>
        <v>12</v>
      </c>
      <c r="CQ156" s="254">
        <f t="shared" ref="CQ156:CQ162" si="1344">Konvention_1slave-INslave_IN</f>
        <v>11</v>
      </c>
      <c r="CR156" s="254"/>
      <c r="CS156" s="254"/>
      <c r="CT156" s="254"/>
      <c r="CU156" s="254"/>
      <c r="CV156" s="318"/>
      <c r="CW156" s="223">
        <f>(CP156+CP156+CQ156)/3</f>
        <v>11.666666666666666</v>
      </c>
      <c r="CX156" s="223">
        <f t="shared" si="1275"/>
        <v>23.333333333333332</v>
      </c>
      <c r="CY156" s="224">
        <f t="shared" si="1276"/>
        <v>35</v>
      </c>
      <c r="CZ156" s="237">
        <f>CP156*POWER(INslave_IN,SIGN(CQ156))*POWER(KLslave,SIGN(CP156))+CP156*POWER(INslave_IN,SIGN(CQ156))*POWER(KLslave,SIGN(CP156))+CQ156*POWER(KLslave,SIGN(CP156))*POWER(KLslave,SIGN(CP156))</f>
        <v>2432</v>
      </c>
      <c r="DA156" s="254">
        <f>CP156*CP156*INslave_IN+CP156*KLslave*CQ156+KLslave*CP156*CQ156</f>
        <v>3408</v>
      </c>
      <c r="DB156" s="224">
        <f>CP156*CP156*CQ156</f>
        <v>1584</v>
      </c>
      <c r="DC156" s="224">
        <f t="shared" si="1277"/>
        <v>7424</v>
      </c>
      <c r="DD156" s="222">
        <f t="shared" si="1278"/>
        <v>3.8218390804597702</v>
      </c>
      <c r="DE156" s="223">
        <f t="shared" si="1279"/>
        <v>10.711206896551724</v>
      </c>
      <c r="DF156" s="243">
        <f t="shared" si="1280"/>
        <v>7.4676724137931032</v>
      </c>
      <c r="DG156" s="243">
        <f t="shared" si="1281"/>
        <v>22.000718390804597</v>
      </c>
      <c r="DH156" s="252">
        <f t="shared" si="1282"/>
        <v>0</v>
      </c>
      <c r="DI156" s="309">
        <f t="shared" si="1283"/>
        <v>22.000718390804597</v>
      </c>
      <c r="DJ156" s="218">
        <f>IF(DG156&lt;=0,2,0)+IF(DG156&gt;0,DG156+1,0)*2+IF(DG156&gt;12,DG156-12,0)*2+IF(DG156&gt;13,DG156-13,0)*2+IF(DG156&gt;14,DG156-14,0)*2+IF(DG156&gt;15,DG156-15,0)*2+IF(DG156&gt;16,DG156-16,0)*2+IF(DG156&gt;17,DG156-17,0)*2+IF(DG156&gt;18,DG156-18,0)*2+IF(DG156&gt;19,DG156-19,0)*2+IF(DG156&gt;20,DG156-20,0)*2</f>
        <v>154.01436781609189</v>
      </c>
      <c r="DK156" s="242">
        <f>IF(DH156&lt;=0,2,0)+IF(DH156&gt;0,DH156+1,0)*2+IF(DH156&gt;12,DH156-12,0)*2+IF(DH156&gt;13,DH156-13,0)*2+IF(DH156&gt;14,DH156-14,0)*2+IF(DH156&gt;15,DH156-15,0)*2+IF(DH156&gt;16,DH156-16,0)*2+IF(DH156&gt;17,DH156-17,0)*2+IF(DH156&gt;18,DH156-18,0)*2+IF(DH156&gt;19,DH156-19,0)*2+IF(DH156&gt;20,DH156-20,0)*2</f>
        <v>2</v>
      </c>
      <c r="DL156" s="243">
        <f t="shared" si="1284"/>
        <v>152.01436781609189</v>
      </c>
      <c r="DM156" s="218">
        <f t="shared" si="1285"/>
        <v>0</v>
      </c>
      <c r="DO156" s="303" t="s">
        <v>355</v>
      </c>
      <c r="DP156" s="304" t="s">
        <v>94</v>
      </c>
      <c r="DQ156" s="305" t="s">
        <v>132</v>
      </c>
      <c r="DR156" s="317"/>
      <c r="DS156" s="254">
        <f>Konvention_1slave-KLslave</f>
        <v>12</v>
      </c>
      <c r="DT156" s="254">
        <f t="shared" ref="DT156:DT162" si="1345">Konvention_1slave-INslave</f>
        <v>12</v>
      </c>
      <c r="DU156" s="254"/>
      <c r="DV156" s="254"/>
      <c r="DW156" s="254"/>
      <c r="DX156" s="254"/>
      <c r="DY156" s="318"/>
      <c r="DZ156" s="223">
        <f>(DS156+DS156+DT156)/3</f>
        <v>12</v>
      </c>
      <c r="EA156" s="223">
        <f t="shared" si="1286"/>
        <v>24</v>
      </c>
      <c r="EB156" s="224">
        <f t="shared" si="1287"/>
        <v>36</v>
      </c>
      <c r="EC156" s="237">
        <f>DS156*POWER(INslave,SIGN(DT156))*POWER(KLslave,SIGN(DS156))+DS156*POWER(INslave,SIGN(DT156))*POWER(KLslave,SIGN(DS156))+DT156*POWER(KLslave,SIGN(DS156))*POWER(KLslave,SIGN(DS156))</f>
        <v>2304</v>
      </c>
      <c r="ED156" s="254">
        <f>DS156*DS156*INslave+DS156*KLslave*DT156+KLslave*DS156*DT156</f>
        <v>3456</v>
      </c>
      <c r="EE156" s="224">
        <f>DS156*DS156*DT156</f>
        <v>1728</v>
      </c>
      <c r="EF156" s="224">
        <f t="shared" si="1288"/>
        <v>7488</v>
      </c>
      <c r="EG156" s="222">
        <f t="shared" si="1289"/>
        <v>3.6923076923076925</v>
      </c>
      <c r="EH156" s="223">
        <f t="shared" si="1290"/>
        <v>11.076923076923077</v>
      </c>
      <c r="EI156" s="243">
        <f t="shared" si="1291"/>
        <v>8.3076923076923084</v>
      </c>
      <c r="EJ156" s="243">
        <f t="shared" si="1292"/>
        <v>23.07692307692308</v>
      </c>
      <c r="EK156" s="252">
        <f t="shared" si="1293"/>
        <v>0</v>
      </c>
      <c r="EL156" s="309">
        <f t="shared" si="1294"/>
        <v>23.07692307692308</v>
      </c>
      <c r="EM156" s="218">
        <f>IF(EJ156&lt;=0,2,0)+IF(EJ156&gt;0,EJ156+1,0)*2+IF(EJ156&gt;12,EJ156-12,0)*2+IF(EJ156&gt;13,EJ156-13,0)*2+IF(EJ156&gt;14,EJ156-14,0)*2+IF(EJ156&gt;15,EJ156-15,0)*2+IF(EJ156&gt;16,EJ156-16,0)*2+IF(EJ156&gt;17,EJ156-17,0)*2+IF(EJ156&gt;18,EJ156-18,0)*2+IF(EJ156&gt;19,EJ156-19,0)*2+IF(EJ156&gt;20,EJ156-20,0)*2</f>
        <v>175.5384615384616</v>
      </c>
      <c r="EN156" s="242">
        <f>IF(EK156&lt;=0,2,0)+IF(EK156&gt;0,EK156+1,0)*2+IF(EK156&gt;12,EK156-12,0)*2+IF(EK156&gt;13,EK156-13,0)*2+IF(EK156&gt;14,EK156-14,0)*2+IF(EK156&gt;15,EK156-15,0)*2+IF(EK156&gt;16,EK156-16,0)*2+IF(EK156&gt;17,EK156-17,0)*2+IF(EK156&gt;18,EK156-18,0)*2+IF(EK156&gt;19,EK156-19,0)*2+IF(EK156&gt;20,EK156-20,0)*2</f>
        <v>2</v>
      </c>
      <c r="EO156" s="243">
        <f t="shared" si="1295"/>
        <v>173.5384615384616</v>
      </c>
      <c r="EP156" s="218">
        <f t="shared" si="1296"/>
        <v>0</v>
      </c>
      <c r="ER156" s="303" t="s">
        <v>355</v>
      </c>
      <c r="ES156" s="304" t="s">
        <v>94</v>
      </c>
      <c r="ET156" s="305" t="s">
        <v>132</v>
      </c>
      <c r="EU156" s="317"/>
      <c r="EV156" s="254">
        <f>Konvention_1slave-KLslave</f>
        <v>12</v>
      </c>
      <c r="EW156" s="254">
        <f t="shared" ref="EW156:EW162" si="1346">Konvention_1slave-INslave</f>
        <v>12</v>
      </c>
      <c r="EX156" s="254"/>
      <c r="EY156" s="254"/>
      <c r="EZ156" s="254"/>
      <c r="FA156" s="254"/>
      <c r="FB156" s="318"/>
      <c r="FC156" s="223">
        <f>(EV156+EV156+EW156)/3</f>
        <v>12</v>
      </c>
      <c r="FD156" s="223">
        <f t="shared" si="1297"/>
        <v>24</v>
      </c>
      <c r="FE156" s="224">
        <f t="shared" si="1298"/>
        <v>36</v>
      </c>
      <c r="FF156" s="237">
        <f>EV156*POWER(INslave,SIGN(EW156))*POWER(KLslave,SIGN(EV156))+EV156*POWER(INslave,SIGN(EW156))*POWER(KLslave,SIGN(EV156))+EW156*POWER(KLslave,SIGN(EV156))*POWER(KLslave,SIGN(EV156))</f>
        <v>2304</v>
      </c>
      <c r="FG156" s="254">
        <f>EV156*EV156*INslave+EV156*KLslave*EW156+KLslave*EV156*EW156</f>
        <v>3456</v>
      </c>
      <c r="FH156" s="224">
        <f>EV156*EV156*EW156</f>
        <v>1728</v>
      </c>
      <c r="FI156" s="224">
        <f t="shared" si="1299"/>
        <v>7488</v>
      </c>
      <c r="FJ156" s="222">
        <f t="shared" si="1300"/>
        <v>3.6923076923076925</v>
      </c>
      <c r="FK156" s="223">
        <f t="shared" si="1301"/>
        <v>11.076923076923077</v>
      </c>
      <c r="FL156" s="243">
        <f t="shared" si="1302"/>
        <v>8.3076923076923084</v>
      </c>
      <c r="FM156" s="243">
        <f t="shared" si="1303"/>
        <v>23.07692307692308</v>
      </c>
      <c r="FN156" s="252">
        <f t="shared" si="1304"/>
        <v>0</v>
      </c>
      <c r="FO156" s="309">
        <f t="shared" si="1305"/>
        <v>23.07692307692308</v>
      </c>
      <c r="FP156" s="218">
        <f>IF(FM156&lt;=0,2,0)+IF(FM156&gt;0,FM156+1,0)*2+IF(FM156&gt;12,FM156-12,0)*2+IF(FM156&gt;13,FM156-13,0)*2+IF(FM156&gt;14,FM156-14,0)*2+IF(FM156&gt;15,FM156-15,0)*2+IF(FM156&gt;16,FM156-16,0)*2+IF(FM156&gt;17,FM156-17,0)*2+IF(FM156&gt;18,FM156-18,0)*2+IF(FM156&gt;19,FM156-19,0)*2+IF(FM156&gt;20,FM156-20,0)*2</f>
        <v>175.5384615384616</v>
      </c>
      <c r="FQ156" s="242">
        <f>IF(FN156&lt;=0,2,0)+IF(FN156&gt;0,FN156+1,0)*2+IF(FN156&gt;12,FN156-12,0)*2+IF(FN156&gt;13,FN156-13,0)*2+IF(FN156&gt;14,FN156-14,0)*2+IF(FN156&gt;15,FN156-15,0)*2+IF(FN156&gt;16,FN156-16,0)*2+IF(FN156&gt;17,FN156-17,0)*2+IF(FN156&gt;18,FN156-18,0)*2+IF(FN156&gt;19,FN156-19,0)*2+IF(FN156&gt;20,FN156-20,0)*2</f>
        <v>2</v>
      </c>
      <c r="FR156" s="243">
        <f t="shared" si="1306"/>
        <v>173.5384615384616</v>
      </c>
      <c r="FS156" s="218">
        <f t="shared" si="1307"/>
        <v>0</v>
      </c>
      <c r="FU156" s="303" t="s">
        <v>355</v>
      </c>
      <c r="FV156" s="304" t="s">
        <v>94</v>
      </c>
      <c r="FW156" s="305" t="s">
        <v>132</v>
      </c>
      <c r="FX156" s="317"/>
      <c r="FY156" s="254">
        <f>Konvention_1slave-KLslave</f>
        <v>12</v>
      </c>
      <c r="FZ156" s="254">
        <f t="shared" ref="FZ156:FZ162" si="1347">Konvention_1slave-INslave</f>
        <v>12</v>
      </c>
      <c r="GA156" s="254"/>
      <c r="GB156" s="254"/>
      <c r="GC156" s="254"/>
      <c r="GD156" s="254"/>
      <c r="GE156" s="318"/>
      <c r="GF156" s="223">
        <f>(FY156+FY156+FZ156)/3</f>
        <v>12</v>
      </c>
      <c r="GG156" s="223">
        <f t="shared" si="1308"/>
        <v>24</v>
      </c>
      <c r="GH156" s="224">
        <f t="shared" si="1309"/>
        <v>36</v>
      </c>
      <c r="GI156" s="237">
        <f>FY156*POWER(INslave,SIGN(FZ156))*POWER(KLslave,SIGN(FY156))+FY156*POWER(INslave,SIGN(FZ156))*POWER(KLslave,SIGN(FY156))+FZ156*POWER(KLslave,SIGN(FY156))*POWER(KLslave,SIGN(FY156))</f>
        <v>2304</v>
      </c>
      <c r="GJ156" s="254">
        <f>FY156*FY156*INslave+FY156*KLslave*FZ156+KLslave*FY156*FZ156</f>
        <v>3456</v>
      </c>
      <c r="GK156" s="224">
        <f>FY156*FY156*FZ156</f>
        <v>1728</v>
      </c>
      <c r="GL156" s="224">
        <f t="shared" si="1310"/>
        <v>7488</v>
      </c>
      <c r="GM156" s="222">
        <f t="shared" si="1311"/>
        <v>3.6923076923076925</v>
      </c>
      <c r="GN156" s="223">
        <f t="shared" si="1312"/>
        <v>11.076923076923077</v>
      </c>
      <c r="GO156" s="243">
        <f t="shared" si="1313"/>
        <v>8.3076923076923084</v>
      </c>
      <c r="GP156" s="243">
        <f t="shared" si="1314"/>
        <v>23.07692307692308</v>
      </c>
      <c r="GQ156" s="252">
        <f t="shared" si="1315"/>
        <v>0</v>
      </c>
      <c r="GR156" s="309">
        <f t="shared" si="1316"/>
        <v>23.07692307692308</v>
      </c>
      <c r="GS156" s="218">
        <f>IF(GP156&lt;=0,2,0)+IF(GP156&gt;0,GP156+1,0)*2+IF(GP156&gt;12,GP156-12,0)*2+IF(GP156&gt;13,GP156-13,0)*2+IF(GP156&gt;14,GP156-14,0)*2+IF(GP156&gt;15,GP156-15,0)*2+IF(GP156&gt;16,GP156-16,0)*2+IF(GP156&gt;17,GP156-17,0)*2+IF(GP156&gt;18,GP156-18,0)*2+IF(GP156&gt;19,GP156-19,0)*2+IF(GP156&gt;20,GP156-20,0)*2</f>
        <v>175.5384615384616</v>
      </c>
      <c r="GT156" s="242">
        <f>IF(GQ156&lt;=0,2,0)+IF(GQ156&gt;0,GQ156+1,0)*2+IF(GQ156&gt;12,GQ156-12,0)*2+IF(GQ156&gt;13,GQ156-13,0)*2+IF(GQ156&gt;14,GQ156-14,0)*2+IF(GQ156&gt;15,GQ156-15,0)*2+IF(GQ156&gt;16,GQ156-16,0)*2+IF(GQ156&gt;17,GQ156-17,0)*2+IF(GQ156&gt;18,GQ156-18,0)*2+IF(GQ156&gt;19,GQ156-19,0)*2+IF(GQ156&gt;20,GQ156-20,0)*2</f>
        <v>2</v>
      </c>
      <c r="GU156" s="243">
        <f t="shared" si="1317"/>
        <v>173.5384615384616</v>
      </c>
      <c r="GV156" s="218">
        <f t="shared" si="1318"/>
        <v>0</v>
      </c>
      <c r="GX156" s="303" t="s">
        <v>355</v>
      </c>
      <c r="GY156" s="304" t="s">
        <v>94</v>
      </c>
      <c r="GZ156" s="305" t="s">
        <v>132</v>
      </c>
      <c r="HA156" s="317"/>
      <c r="HB156" s="254">
        <f>Konvention_1slave-KLslave</f>
        <v>12</v>
      </c>
      <c r="HC156" s="254">
        <f t="shared" ref="HC156:HC162" si="1348">Konvention_1slave-INslave</f>
        <v>12</v>
      </c>
      <c r="HD156" s="254"/>
      <c r="HE156" s="254"/>
      <c r="HF156" s="254"/>
      <c r="HG156" s="254"/>
      <c r="HH156" s="318"/>
      <c r="HI156" s="223">
        <f>(HB156+HB156+HC156)/3</f>
        <v>12</v>
      </c>
      <c r="HJ156" s="223">
        <f t="shared" si="1319"/>
        <v>24</v>
      </c>
      <c r="HK156" s="224">
        <f t="shared" si="1320"/>
        <v>36</v>
      </c>
      <c r="HL156" s="237">
        <f>HB156*POWER(INslave,SIGN(HC156))*POWER(KLslave,SIGN(HB156))+HB156*POWER(INslave,SIGN(HC156))*POWER(KLslave,SIGN(HB156))+HC156*POWER(KLslave,SIGN(HB156))*POWER(KLslave,SIGN(HB156))</f>
        <v>2304</v>
      </c>
      <c r="HM156" s="254">
        <f>HB156*HB156*INslave+HB156*KLslave*HC156+KLslave*HB156*HC156</f>
        <v>3456</v>
      </c>
      <c r="HN156" s="224">
        <f>HB156*HB156*HC156</f>
        <v>1728</v>
      </c>
      <c r="HO156" s="224">
        <f t="shared" si="1321"/>
        <v>7488</v>
      </c>
      <c r="HP156" s="222">
        <f t="shared" si="1322"/>
        <v>3.6923076923076925</v>
      </c>
      <c r="HQ156" s="223">
        <f t="shared" si="1323"/>
        <v>11.076923076923077</v>
      </c>
      <c r="HR156" s="243">
        <f t="shared" si="1324"/>
        <v>8.3076923076923084</v>
      </c>
      <c r="HS156" s="243">
        <f t="shared" si="1325"/>
        <v>23.07692307692308</v>
      </c>
      <c r="HT156" s="252">
        <f t="shared" si="1326"/>
        <v>0</v>
      </c>
      <c r="HU156" s="309">
        <f t="shared" si="1327"/>
        <v>23.07692307692308</v>
      </c>
      <c r="HV156" s="218">
        <f>IF(HS156&lt;=0,2,0)+IF(HS156&gt;0,HS156+1,0)*2+IF(HS156&gt;12,HS156-12,0)*2+IF(HS156&gt;13,HS156-13,0)*2+IF(HS156&gt;14,HS156-14,0)*2+IF(HS156&gt;15,HS156-15,0)*2+IF(HS156&gt;16,HS156-16,0)*2+IF(HS156&gt;17,HS156-17,0)*2+IF(HS156&gt;18,HS156-18,0)*2+IF(HS156&gt;19,HS156-19,0)*2+IF(HS156&gt;20,HS156-20,0)*2</f>
        <v>175.5384615384616</v>
      </c>
      <c r="HW156" s="242">
        <f>IF(HT156&lt;=0,2,0)+IF(HT156&gt;0,HT156+1,0)*2+IF(HT156&gt;12,HT156-12,0)*2+IF(HT156&gt;13,HT156-13,0)*2+IF(HT156&gt;14,HT156-14,0)*2+IF(HT156&gt;15,HT156-15,0)*2+IF(HT156&gt;16,HT156-16,0)*2+IF(HT156&gt;17,HT156-17,0)*2+IF(HT156&gt;18,HT156-18,0)*2+IF(HT156&gt;19,HT156-19,0)*2+IF(HT156&gt;20,HT156-20,0)*2</f>
        <v>2</v>
      </c>
      <c r="HX156" s="243">
        <f t="shared" si="1328"/>
        <v>173.5384615384616</v>
      </c>
      <c r="HY156" s="218">
        <f t="shared" si="1329"/>
        <v>0</v>
      </c>
      <c r="IA156" s="303" t="s">
        <v>355</v>
      </c>
      <c r="IB156" s="304" t="s">
        <v>94</v>
      </c>
      <c r="IC156" s="305" t="s">
        <v>132</v>
      </c>
      <c r="ID156" s="317"/>
      <c r="IE156" s="254">
        <f>Konvention_1slave-KLslave</f>
        <v>12</v>
      </c>
      <c r="IF156" s="254">
        <f t="shared" ref="IF156:IF162" si="1349">Konvention_1slave-INslave</f>
        <v>12</v>
      </c>
      <c r="IG156" s="254"/>
      <c r="IH156" s="254"/>
      <c r="II156" s="254"/>
      <c r="IJ156" s="254"/>
      <c r="IK156" s="318"/>
      <c r="IL156" s="223">
        <f>(IE156+IE156+IF156)/3</f>
        <v>12</v>
      </c>
      <c r="IM156" s="223">
        <f t="shared" si="1330"/>
        <v>24</v>
      </c>
      <c r="IN156" s="224">
        <f t="shared" si="1331"/>
        <v>36</v>
      </c>
      <c r="IO156" s="237">
        <f>IE156*POWER(INslave,SIGN(IF156))*POWER(KLslave,SIGN(IE156))+IE156*POWER(INslave,SIGN(IF156))*POWER(KLslave,SIGN(IE156))+IF156*POWER(KLslave,SIGN(IE156))*POWER(KLslave,SIGN(IE156))</f>
        <v>2304</v>
      </c>
      <c r="IP156" s="254">
        <f>IE156*IE156*INslave+IE156*KLslave*IF156+KLslave*IE156*IF156</f>
        <v>3456</v>
      </c>
      <c r="IQ156" s="224">
        <f>IE156*IE156*IF156</f>
        <v>1728</v>
      </c>
      <c r="IR156" s="224">
        <f t="shared" si="1332"/>
        <v>7488</v>
      </c>
      <c r="IS156" s="222">
        <f t="shared" si="1333"/>
        <v>3.6923076923076925</v>
      </c>
      <c r="IT156" s="223">
        <f t="shared" si="1334"/>
        <v>11.076923076923077</v>
      </c>
      <c r="IU156" s="243">
        <f t="shared" si="1335"/>
        <v>8.3076923076923084</v>
      </c>
      <c r="IV156" s="243">
        <f t="shared" si="1336"/>
        <v>23.07692307692308</v>
      </c>
      <c r="IW156" s="252">
        <f t="shared" si="1337"/>
        <v>0</v>
      </c>
      <c r="IX156" s="309">
        <f t="shared" si="1338"/>
        <v>23.07692307692308</v>
      </c>
      <c r="IY156" s="218">
        <f>IF(IV156&lt;=0,2,0)+IF(IV156&gt;0,IV156+1,0)*2+IF(IV156&gt;12,IV156-12,0)*2+IF(IV156&gt;13,IV156-13,0)*2+IF(IV156&gt;14,IV156-14,0)*2+IF(IV156&gt;15,IV156-15,0)*2+IF(IV156&gt;16,IV156-16,0)*2+IF(IV156&gt;17,IV156-17,0)*2+IF(IV156&gt;18,IV156-18,0)*2+IF(IV156&gt;19,IV156-19,0)*2+IF(IV156&gt;20,IV156-20,0)*2</f>
        <v>175.5384615384616</v>
      </c>
      <c r="IZ156" s="242">
        <f>IF(IW156&lt;=0,2,0)+IF(IW156&gt;0,IW156+1,0)*2+IF(IW156&gt;12,IW156-12,0)*2+IF(IW156&gt;13,IW156-13,0)*2+IF(IW156&gt;14,IW156-14,0)*2+IF(IW156&gt;15,IW156-15,0)*2+IF(IW156&gt;16,IW156-16,0)*2+IF(IW156&gt;17,IW156-17,0)*2+IF(IW156&gt;18,IW156-18,0)*2+IF(IW156&gt;19,IW156-19,0)*2+IF(IW156&gt;20,IW156-20,0)*2</f>
        <v>2</v>
      </c>
      <c r="JA156" s="243">
        <f t="shared" si="1339"/>
        <v>173.5384615384616</v>
      </c>
      <c r="JB156" s="218">
        <f t="shared" si="1340"/>
        <v>0</v>
      </c>
      <c r="JE156" s="148"/>
    </row>
    <row r="157" spans="2:265" ht="15" hidden="1" customHeight="1" outlineLevel="2">
      <c r="B157" s="148">
        <v>5</v>
      </c>
      <c r="C157" s="303" t="e">
        <f>VLOOKUP(AF157,Attribute!C:T,1,FALSE)</f>
        <v>#N/A</v>
      </c>
      <c r="D157" s="86" t="s">
        <v>298</v>
      </c>
      <c r="E157" s="167" t="s">
        <v>132</v>
      </c>
      <c r="F157" s="120"/>
      <c r="G157" s="117">
        <f>Konvention_1master-KLmaster</f>
        <v>12</v>
      </c>
      <c r="H157" s="117">
        <f t="shared" si="1341"/>
        <v>12</v>
      </c>
      <c r="I157" s="117"/>
      <c r="J157" s="117"/>
      <c r="K157" s="117"/>
      <c r="L157" s="117"/>
      <c r="M157" s="121">
        <f>Konvention_1master-KKmaster</f>
        <v>12</v>
      </c>
      <c r="N157" s="223">
        <f>(F157+G157+H157+I157+J157+K157+L157+M157)/3</f>
        <v>12</v>
      </c>
      <c r="O157" s="223">
        <f t="shared" si="1243"/>
        <v>24</v>
      </c>
      <c r="P157" s="224">
        <f t="shared" si="1244"/>
        <v>36</v>
      </c>
      <c r="Q157" s="237">
        <f t="shared" ref="Q157:Q188" si="1350">F157*POWER(KLmaster,SIGN(G157))*POWER(INmaster,SIGN(H157))*POWER(CHmaster,SIGN(I157))*POWER(FFmaster,SIGN(J157))*POWER(GEmaster,SIGN(K157))*POWER(KOmaster,SIGN(L157))*POWER(KKmaster,SIGN(M157))+G157*POWER(MUmaster,SIGN(F157))*POWER(INmaster,SIGN(H157))*POWER(CHmaster,SIGN(I157))*POWER(FFmaster,SIGN(J157))*POWER(GEmaster,SIGN(K157))*POWER(KOmaster,SIGN(L157))*POWER(KKmaster,SIGN(M157))+H157*POWER(MUmaster,SIGN(F157))*POWER(KLmaster,SIGN(G157))*POWER(CHmaster,SIGN(I157))*POWER(FFmaster,SIGN(J157))*POWER(GEmaster,SIGN(K157))*POWER(KOmaster,SIGN(L157))*POWER(KKmaster,SIGN(M157))+I157*POWER(MUmaster,SIGN(F157))*POWER(KLmaster,SIGN(G157))*POWER(INmaster,SIGN(H157))*POWER(FFmaster,SIGN(J157))*POWER(GEmaster,SIGN(K157))*POWER(KOmaster,SIGN(L157))*POWER(KKmaster,SIGN(M157))+J157*POWER(MUmaster,SIGN(F157))*POWER(KLmaster,SIGN(G157))*POWER(INmaster,SIGN(H157))*POWER(CHmaster,SIGN(I157))*POWER(GEmaster,SIGN(K157))*POWER(KOmaster,SIGN(L157))*POWER(KKmaster,SIGN(M157))+K157*POWER(MUmaster,SIGN(F157))*POWER(KLmaster,SIGN(G157))*POWER(INmaster,SIGN(H157))*POWER(CHmaster,SIGN(I157))*POWER(FFmaster,SIGN(J157))*POWER(KOmaster,SIGN(L157))*POWER(KKmaster,SIGN(M157))+L157*POWER(MUmaster,SIGN(F157))*POWER(KLmaster,SIGN(G157))*POWER(INmaster,SIGN(H157))*POWER(CHmaster,SIGN(I157))*POWER(FFmaster,SIGN(J157))*POWER(GEmaster,SIGN(K157))*POWER(KKmaster,SIGN(M157))+M157*POWER(MUmaster,SIGN(F157))*POWER(KLmaster,SIGN(G157))*POWER(INmaster,SIGN(H157))*POWER(CHmaster,SIGN(I157))*POWER(FFmaster,SIGN(J157))*POWER(GEmaster,SIGN(K157))*POWER(KOmaster,SIGN(L157))</f>
        <v>2304</v>
      </c>
      <c r="R157" s="117">
        <f>G157*H157*KKmaster+G157*INmaster*M157+KLmaster*H157*M157</f>
        <v>3456</v>
      </c>
      <c r="S157" s="224">
        <f>IFERROR(F157^SIGN(F157),1)*IFERROR(G157^SIGN(G157),1)*IFERROR(H157^SIGN(H157),1)*IFERROR(I157^SIGN(I157),1)*IFERROR(J157^SIGN(J157),1)*IFERROR(K157^SIGN(K157),1)*IFERROR(L157^SIGN(L157),1)*IFERROR(M157^SIGN(M157),1)</f>
        <v>1728</v>
      </c>
      <c r="T157" s="224">
        <f t="shared" si="1245"/>
        <v>7488</v>
      </c>
      <c r="U157" s="222">
        <f t="shared" si="1246"/>
        <v>3.6923076923076925</v>
      </c>
      <c r="V157" s="223">
        <f t="shared" si="1247"/>
        <v>11.076923076923077</v>
      </c>
      <c r="W157" s="243">
        <f t="shared" si="1248"/>
        <v>8.3076923076923084</v>
      </c>
      <c r="X157" s="243">
        <f t="shared" si="1249"/>
        <v>23.07692307692308</v>
      </c>
      <c r="Y157" s="252">
        <v>0</v>
      </c>
      <c r="Z157" s="198">
        <f t="shared" si="1250"/>
        <v>23.07692307692308</v>
      </c>
      <c r="AA157" s="125">
        <f>IF(X157&lt;=0,2,0)+IF(X157&gt;0,X157+1,0)*2+IF(X157&gt;12,X157-12,0)*2+IF(X157&gt;13,X157-13,0)*2+IF(X157&gt;14,X157-14,0)*2+IF(X157&gt;15,X157-15,0)*2+IF(X157&gt;16,X157-16,0)*2+IF(X157&gt;17,X157-17,0)*2+IF(X157&gt;18,X157-18,0)*2+IF(X157&gt;19,X157-19,0)*2+IF(X157&gt;20,X157-20,0)*2</f>
        <v>175.5384615384616</v>
      </c>
      <c r="AB157" s="160">
        <f>IF(Y157&lt;=0,2,0)+IF(Y157&gt;0,Y157+1,0)*2+IF(Y157&gt;12,Y157-12,0)*2+IF(Y157&gt;13,Y157-13,0)*2+IF(Y157&gt;14,Y157-14,0)*2+IF(Y157&gt;15,Y157-15,0)*2+IF(Y157&gt;16,Y157-16,0)*2+IF(Y157&gt;17,Y157-17,0)*2+IF(Y157&gt;18,Y157-18,0)*2+IF(Y157&gt;19,Y157-19,0)*2+IF(Y157&gt;20,Y157-20,0)*2</f>
        <v>2</v>
      </c>
      <c r="AC157" s="127">
        <f t="shared" si="1251"/>
        <v>173.5384615384616</v>
      </c>
      <c r="AD157" s="125">
        <f t="shared" si="1252"/>
        <v>0</v>
      </c>
      <c r="AF157" s="163" t="s">
        <v>297</v>
      </c>
      <c r="AG157" s="86" t="s">
        <v>298</v>
      </c>
      <c r="AH157" s="167" t="s">
        <v>132</v>
      </c>
      <c r="AI157" s="120"/>
      <c r="AJ157" s="117">
        <f>Konvention_1slave-KLslave</f>
        <v>12</v>
      </c>
      <c r="AK157" s="117">
        <f t="shared" si="1342"/>
        <v>12</v>
      </c>
      <c r="AL157" s="117"/>
      <c r="AM157" s="117"/>
      <c r="AN157" s="117"/>
      <c r="AO157" s="117"/>
      <c r="AP157" s="121">
        <f>Konvention_1slave-KKslave</f>
        <v>12</v>
      </c>
      <c r="AQ157" s="47">
        <f>(AI157+AJ157+AK157+AL157+AM157+AN157+AO157+AP157)/3</f>
        <v>12</v>
      </c>
      <c r="AR157" s="3">
        <f t="shared" si="1253"/>
        <v>24</v>
      </c>
      <c r="AS157" s="174">
        <f t="shared" si="1254"/>
        <v>36</v>
      </c>
      <c r="AT157" s="114">
        <f t="shared" ref="AT157:AT188" si="1351">AI157*POWER(KLslave,SIGN(AJ157))*POWER(INslave,SIGN(AK157))*POWER(CHslave,SIGN(AL157))*POWER(FFslave,SIGN(AM157))*POWER(GEslave,SIGN(AN157))*POWER(KOslave,SIGN(AO157))*POWER(KKslave,SIGN(AP157))+AJ157*POWER(MUslave_MU,SIGN(AI157))*POWER(INslave,SIGN(AK157))*POWER(CHslave,SIGN(AL157))*POWER(FFslave,SIGN(AM157))*POWER(GEslave,SIGN(AN157))*POWER(KOslave,SIGN(AO157))*POWER(KKslave,SIGN(AP157))+AK157*POWER(MUslave_MU,SIGN(AI157))*POWER(KLslave,SIGN(AJ157))*POWER(CHslave,SIGN(AL157))*POWER(FFslave,SIGN(AM157))*POWER(GEslave,SIGN(AN157))*POWER(KOslave,SIGN(AO157))*POWER(KKslave,SIGN(AP157))+AL157*POWER(MUslave_MU,SIGN(AI157))*POWER(KLslave,SIGN(AJ157))*POWER(INslave,SIGN(AK157))*POWER(FFslave,SIGN(AM157))*POWER(GEslave,SIGN(AN157))*POWER(KOslave,SIGN(AO157))*POWER(KKslave,SIGN(AP157))+AM157*POWER(MUslave_MU,SIGN(AI157))*POWER(KLslave,SIGN(AJ157))*POWER(INslave,SIGN(AK157))*POWER(CHslave,SIGN(AL157))*POWER(GEslave,SIGN(AN157))*POWER(KOslave,SIGN(AO157))*POWER(KKslave,SIGN(AP157))+AN157*POWER(MUslave_MU,SIGN(AI157))*POWER(KLslave,SIGN(AJ157))*POWER(INslave,SIGN(AK157))*POWER(CHslave,SIGN(AL157))*POWER(FFslave,SIGN(AM157))*POWER(KOslave,SIGN(AO157))*POWER(KKslave,SIGN(AP157))+AO157*POWER(MUslave_MU,SIGN(AI157))*POWER(KLslave,SIGN(AJ157))*POWER(INslave,SIGN(AK157))*POWER(CHslave,SIGN(AL157))*POWER(FFslave,SIGN(AM157))*POWER(GEslave,SIGN(AN157))*POWER(KKslave,SIGN(AP157))+AP157*POWER(MUslave_MU,SIGN(AI157))*POWER(KLslave,SIGN(AJ157))*POWER(INslave,SIGN(AK157))*POWER(CHslave,SIGN(AL157))*POWER(FFslave,SIGN(AM157))*POWER(GEslave,SIGN(AN157))*POWER(KOslave,SIGN(AO157))</f>
        <v>2304</v>
      </c>
      <c r="AU157" s="117">
        <f>AJ157*AK157*KKslave+AJ157*INslave*AP157+KLslave*AK157*AP157</f>
        <v>3456</v>
      </c>
      <c r="AV157" s="119">
        <f>IFERROR(AI157^SIGN(AI157),1)*IFERROR(AJ157^SIGN(AJ157),1)*IFERROR(AK157^SIGN(AK157),1)*IFERROR(AL157^SIGN(AL157),1)*IFERROR(AM157^SIGN(AM157),1)*IFERROR(AN157^SIGN(AN157),1)*IFERROR(AO157^SIGN(AO157),1)*IFERROR(AP157^SIGN(AP157),1)</f>
        <v>1728</v>
      </c>
      <c r="AW157" s="119">
        <f t="shared" si="1255"/>
        <v>7488</v>
      </c>
      <c r="AX157" s="89">
        <f t="shared" si="1256"/>
        <v>3.6923076923076925</v>
      </c>
      <c r="AY157" s="47">
        <f t="shared" si="1257"/>
        <v>11.076923076923077</v>
      </c>
      <c r="AZ157" s="127">
        <f t="shared" si="1258"/>
        <v>8.3076923076923084</v>
      </c>
      <c r="BA157" s="127">
        <f t="shared" si="1259"/>
        <v>23.07692307692308</v>
      </c>
      <c r="BB157" s="165">
        <f t="shared" si="1260"/>
        <v>0</v>
      </c>
      <c r="BC157" s="198">
        <f t="shared" si="1261"/>
        <v>23.07692307692308</v>
      </c>
      <c r="BD157" s="125">
        <f>IF(BA157&lt;=0,2,0)+IF(BA157&gt;0,BA157+1,0)*2+IF(BA157&gt;12,BA157-12,0)*2+IF(BA157&gt;13,BA157-13,0)*2+IF(BA157&gt;14,BA157-14,0)*2+IF(BA157&gt;15,BA157-15,0)*2+IF(BA157&gt;16,BA157-16,0)*2+IF(BA157&gt;17,BA157-17,0)*2+IF(BA157&gt;18,BA157-18,0)*2+IF(BA157&gt;19,BA157-19,0)*2+IF(BA157&gt;20,BA157-20,0)*2</f>
        <v>175.5384615384616</v>
      </c>
      <c r="BE157" s="160">
        <f>IF(BB157&lt;=0,2,0)+IF(BB157&gt;0,BB157+1,0)*2+IF(BB157&gt;12,BB157-12,0)*2+IF(BB157&gt;13,BB157-13,0)*2+IF(BB157&gt;14,BB157-14,0)*2+IF(BB157&gt;15,BB157-15,0)*2+IF(BB157&gt;16,BB157-16,0)*2+IF(BB157&gt;17,BB157-17,0)*2+IF(BB157&gt;18,BB157-18,0)*2+IF(BB157&gt;19,BB157-19,0)*2+IF(BB157&gt;20,BB157-20,0)*2</f>
        <v>2</v>
      </c>
      <c r="BF157" s="243">
        <f t="shared" si="1262"/>
        <v>173.5384615384616</v>
      </c>
      <c r="BG157" s="218">
        <f t="shared" si="1263"/>
        <v>0</v>
      </c>
      <c r="BI157" s="303" t="s">
        <v>297</v>
      </c>
      <c r="BJ157" s="304" t="s">
        <v>298</v>
      </c>
      <c r="BK157" s="305" t="s">
        <v>132</v>
      </c>
      <c r="BL157" s="317"/>
      <c r="BM157" s="254">
        <f>Konvention_1slave-KLslave_KL</f>
        <v>11</v>
      </c>
      <c r="BN157" s="254">
        <f t="shared" si="1343"/>
        <v>12</v>
      </c>
      <c r="BO157" s="254"/>
      <c r="BP157" s="254"/>
      <c r="BQ157" s="254"/>
      <c r="BR157" s="254"/>
      <c r="BS157" s="318">
        <f>Konvention_1slave-KKslave</f>
        <v>12</v>
      </c>
      <c r="BT157" s="223">
        <f>(BL157+BM157+BN157+BO157+BP157+BQ157+BR157+BS157)/3</f>
        <v>11.666666666666666</v>
      </c>
      <c r="BU157" s="223">
        <f t="shared" si="1264"/>
        <v>23.333333333333332</v>
      </c>
      <c r="BV157" s="224">
        <f t="shared" si="1265"/>
        <v>35</v>
      </c>
      <c r="BW157" s="237">
        <f t="shared" ref="BW157:BW188" si="1352">BL157*POWER(KLslave_KL,SIGN(BM157))*POWER(INslave,SIGN(BN157))*POWER(CHslave,SIGN(BO157))*POWER(FFslave,SIGN(BP157))*POWER(GEslave,SIGN(BQ157))*POWER(KOslave,SIGN(BR157))*POWER(KKslave,SIGN(BS157))+BM157*POWER(MUslave,SIGN(BL157))*POWER(INslave,SIGN(BN157))*POWER(CHslave,SIGN(BO157))*POWER(FFslave,SIGN(BP157))*POWER(GEslave,SIGN(BQ157))*POWER(KOslave,SIGN(BR157))*POWER(KKslave,SIGN(BS157))+BN157*POWER(MUslave,SIGN(BL157))*POWER(KLslave_KL,SIGN(BM157))*POWER(CHslave,SIGN(BO157))*POWER(FFslave,SIGN(BP157))*POWER(GEslave,SIGN(BQ157))*POWER(KOslave,SIGN(BR157))*POWER(KKslave,SIGN(BS157))+BO157*POWER(MUslave,SIGN(BL157))*POWER(KLslave_KL,SIGN(BM157))*POWER(INslave,SIGN(BN157))*POWER(FFslave,SIGN(BP157))*POWER(GEslave,SIGN(BQ157))*POWER(KOslave,SIGN(BR157))*POWER(KKslave,SIGN(BS157))+BP157*POWER(MUslave,SIGN(BL157))*POWER(KLslave_KL,SIGN(BM157))*POWER(INslave,SIGN(BN157))*POWER(CHslave,SIGN(BO157))*POWER(GEslave,SIGN(BQ157))*POWER(KOslave,SIGN(BR157))*POWER(KKslave,SIGN(BS157))+BQ157*POWER(MUslave,SIGN(BL157))*POWER(KLslave_KL,SIGN(BM157))*POWER(INslave,SIGN(BN157))*POWER(CHslave,SIGN(BO157))*POWER(FFslave,SIGN(BP157))*POWER(KOslave,SIGN(BR157))*POWER(KKslave,SIGN(BS157))+BR157*POWER(MUslave,SIGN(BL157))*POWER(KLslave_KL,SIGN(BM157))*POWER(INslave,SIGN(BN157))*POWER(CHslave,SIGN(BO157))*POWER(FFslave,SIGN(BP157))*POWER(GEslave,SIGN(BQ157))*POWER(KKslave,SIGN(BS157))+BS157*POWER(MUslave,SIGN(BL157))*POWER(KLslave_KL,SIGN(BM157))*POWER(INslave,SIGN(BN157))*POWER(CHslave,SIGN(BO157))*POWER(FFslave,SIGN(BP157))*POWER(GEslave,SIGN(BQ157))*POWER(KOslave,SIGN(BR157))</f>
        <v>2432</v>
      </c>
      <c r="BX157" s="254">
        <f>BM157*BN157*KKslave+BM157*INslave*BS157+KLslave_KL*BN157*BS157</f>
        <v>3408</v>
      </c>
      <c r="BY157" s="224">
        <f>IFERROR(BL157^SIGN(BL157),1)*IFERROR(BM157^SIGN(BM157),1)*IFERROR(BN157^SIGN(BN157),1)*IFERROR(BO157^SIGN(BO157),1)*IFERROR(BP157^SIGN(BP157),1)*IFERROR(BQ157^SIGN(BQ157),1)*IFERROR(BR157^SIGN(BR157),1)*IFERROR(BS157^SIGN(BS157),1)</f>
        <v>1584</v>
      </c>
      <c r="BZ157" s="224">
        <f t="shared" si="1266"/>
        <v>7424</v>
      </c>
      <c r="CA157" s="222">
        <f t="shared" si="1267"/>
        <v>3.8218390804597702</v>
      </c>
      <c r="CB157" s="223">
        <f t="shared" si="1268"/>
        <v>10.711206896551724</v>
      </c>
      <c r="CC157" s="243">
        <f t="shared" si="1269"/>
        <v>7.4676724137931032</v>
      </c>
      <c r="CD157" s="243">
        <f t="shared" si="1270"/>
        <v>22.000718390804597</v>
      </c>
      <c r="CE157" s="252">
        <f t="shared" si="1271"/>
        <v>0</v>
      </c>
      <c r="CF157" s="309">
        <f t="shared" si="1272"/>
        <v>22.000718390804597</v>
      </c>
      <c r="CG157" s="218">
        <f>IF(CD157&lt;=0,2,0)+IF(CD157&gt;0,CD157+1,0)*2+IF(CD157&gt;12,CD157-12,0)*2+IF(CD157&gt;13,CD157-13,0)*2+IF(CD157&gt;14,CD157-14,0)*2+IF(CD157&gt;15,CD157-15,0)*2+IF(CD157&gt;16,CD157-16,0)*2+IF(CD157&gt;17,CD157-17,0)*2+IF(CD157&gt;18,CD157-18,0)*2+IF(CD157&gt;19,CD157-19,0)*2+IF(CD157&gt;20,CD157-20,0)*2</f>
        <v>154.01436781609189</v>
      </c>
      <c r="CH157" s="242">
        <f>IF(CE157&lt;=0,2,0)+IF(CE157&gt;0,CE157+1,0)*2+IF(CE157&gt;12,CE157-12,0)*2+IF(CE157&gt;13,CE157-13,0)*2+IF(CE157&gt;14,CE157-14,0)*2+IF(CE157&gt;15,CE157-15,0)*2+IF(CE157&gt;16,CE157-16,0)*2+IF(CE157&gt;17,CE157-17,0)*2+IF(CE157&gt;18,CE157-18,0)*2+IF(CE157&gt;19,CE157-19,0)*2+IF(CE157&gt;20,CE157-20,0)*2</f>
        <v>2</v>
      </c>
      <c r="CI157" s="243">
        <f t="shared" si="1273"/>
        <v>152.01436781609189</v>
      </c>
      <c r="CJ157" s="218">
        <f t="shared" si="1274"/>
        <v>0</v>
      </c>
      <c r="CL157" s="303" t="s">
        <v>297</v>
      </c>
      <c r="CM157" s="304" t="s">
        <v>298</v>
      </c>
      <c r="CN157" s="305" t="s">
        <v>132</v>
      </c>
      <c r="CO157" s="317"/>
      <c r="CP157" s="254">
        <f>Konvention_1slave-KLslave</f>
        <v>12</v>
      </c>
      <c r="CQ157" s="254">
        <f t="shared" si="1344"/>
        <v>11</v>
      </c>
      <c r="CR157" s="254"/>
      <c r="CS157" s="254"/>
      <c r="CT157" s="254"/>
      <c r="CU157" s="254"/>
      <c r="CV157" s="318">
        <f>Konvention_1slave-KKslave</f>
        <v>12</v>
      </c>
      <c r="CW157" s="223">
        <f>(CO157+CP157+CQ157+CR157+CS157+CT157+CU157+CV157)/3</f>
        <v>11.666666666666666</v>
      </c>
      <c r="CX157" s="223">
        <f t="shared" si="1275"/>
        <v>23.333333333333332</v>
      </c>
      <c r="CY157" s="224">
        <f t="shared" si="1276"/>
        <v>35</v>
      </c>
      <c r="CZ157" s="237">
        <f t="shared" ref="CZ157:CZ188" si="1353">CO157*POWER(KLslave,SIGN(CP157))*POWER(INslave_IN,SIGN(CQ157))*POWER(CHslave,SIGN(CR157))*POWER(FFslave,SIGN(CS157))*POWER(GEslave,SIGN(CT157))*POWER(KOslave,SIGN(CU157))*POWER(KKslave,SIGN(CV157))+CP157*POWER(MUslave,SIGN(CO157))*POWER(INslave_IN,SIGN(CQ157))*POWER(CHslave,SIGN(CR157))*POWER(FFslave,SIGN(CS157))*POWER(GEslave,SIGN(CT157))*POWER(KOslave,SIGN(CU157))*POWER(KKslave,SIGN(CV157))+CQ157*POWER(MUslave,SIGN(CO157))*POWER(KLslave,SIGN(CP157))*POWER(CHslave,SIGN(CR157))*POWER(FFslave,SIGN(CS157))*POWER(GEslave,SIGN(CT157))*POWER(KOslave,SIGN(CU157))*POWER(KKslave,SIGN(CV157))+CR157*POWER(MUslave,SIGN(CO157))*POWER(KLslave,SIGN(CP157))*POWER(INslave_IN,SIGN(CQ157))*POWER(FFslave,SIGN(CS157))*POWER(GEslave,SIGN(CT157))*POWER(KOslave,SIGN(CU157))*POWER(KKslave,SIGN(CV157))+CS157*POWER(MUslave,SIGN(CO157))*POWER(KLslave,SIGN(CP157))*POWER(INslave_IN,SIGN(CQ157))*POWER(CHslave,SIGN(CR157))*POWER(GEslave,SIGN(CT157))*POWER(KOslave,SIGN(CU157))*POWER(KKslave,SIGN(CV157))+CT157*POWER(MUslave,SIGN(CO157))*POWER(KLslave,SIGN(CP157))*POWER(INslave_IN,SIGN(CQ157))*POWER(CHslave,SIGN(CR157))*POWER(FFslave,SIGN(CS157))*POWER(KOslave,SIGN(CU157))*POWER(KKslave,SIGN(CV157))+CU157*POWER(MUslave,SIGN(CO157))*POWER(KLslave,SIGN(CP157))*POWER(INslave_IN,SIGN(CQ157))*POWER(CHslave,SIGN(CR157))*POWER(FFslave,SIGN(CS157))*POWER(GEslave,SIGN(CT157))*POWER(KKslave,SIGN(CV157))+CV157*POWER(MUslave,SIGN(CO157))*POWER(KLslave,SIGN(CP157))*POWER(INslave_IN,SIGN(CQ157))*POWER(CHslave,SIGN(CR157))*POWER(FFslave,SIGN(CS157))*POWER(GEslave,SIGN(CT157))*POWER(KOslave,SIGN(CU157))</f>
        <v>2432</v>
      </c>
      <c r="DA157" s="254">
        <f>CP157*CQ157*KKslave+CP157*INslave_IN*CV157+KLslave*CQ157*CV157</f>
        <v>3408</v>
      </c>
      <c r="DB157" s="224">
        <f>IFERROR(CO157^SIGN(CO157),1)*IFERROR(CP157^SIGN(CP157),1)*IFERROR(CQ157^SIGN(CQ157),1)*IFERROR(CR157^SIGN(CR157),1)*IFERROR(CS157^SIGN(CS157),1)*IFERROR(CT157^SIGN(CT157),1)*IFERROR(CU157^SIGN(CU157),1)*IFERROR(CV157^SIGN(CV157),1)</f>
        <v>1584</v>
      </c>
      <c r="DC157" s="224">
        <f t="shared" si="1277"/>
        <v>7424</v>
      </c>
      <c r="DD157" s="222">
        <f t="shared" si="1278"/>
        <v>3.8218390804597702</v>
      </c>
      <c r="DE157" s="223">
        <f t="shared" si="1279"/>
        <v>10.711206896551724</v>
      </c>
      <c r="DF157" s="243">
        <f t="shared" si="1280"/>
        <v>7.4676724137931032</v>
      </c>
      <c r="DG157" s="243">
        <f t="shared" si="1281"/>
        <v>22.000718390804597</v>
      </c>
      <c r="DH157" s="252">
        <f t="shared" si="1282"/>
        <v>0</v>
      </c>
      <c r="DI157" s="309">
        <f t="shared" si="1283"/>
        <v>22.000718390804597</v>
      </c>
      <c r="DJ157" s="218">
        <f>IF(DG157&lt;=0,2,0)+IF(DG157&gt;0,DG157+1,0)*2+IF(DG157&gt;12,DG157-12,0)*2+IF(DG157&gt;13,DG157-13,0)*2+IF(DG157&gt;14,DG157-14,0)*2+IF(DG157&gt;15,DG157-15,0)*2+IF(DG157&gt;16,DG157-16,0)*2+IF(DG157&gt;17,DG157-17,0)*2+IF(DG157&gt;18,DG157-18,0)*2+IF(DG157&gt;19,DG157-19,0)*2+IF(DG157&gt;20,DG157-20,0)*2</f>
        <v>154.01436781609189</v>
      </c>
      <c r="DK157" s="242">
        <f>IF(DH157&lt;=0,2,0)+IF(DH157&gt;0,DH157+1,0)*2+IF(DH157&gt;12,DH157-12,0)*2+IF(DH157&gt;13,DH157-13,0)*2+IF(DH157&gt;14,DH157-14,0)*2+IF(DH157&gt;15,DH157-15,0)*2+IF(DH157&gt;16,DH157-16,0)*2+IF(DH157&gt;17,DH157-17,0)*2+IF(DH157&gt;18,DH157-18,0)*2+IF(DH157&gt;19,DH157-19,0)*2+IF(DH157&gt;20,DH157-20,0)*2</f>
        <v>2</v>
      </c>
      <c r="DL157" s="243">
        <f t="shared" si="1284"/>
        <v>152.01436781609189</v>
      </c>
      <c r="DM157" s="218">
        <f t="shared" si="1285"/>
        <v>0</v>
      </c>
      <c r="DO157" s="303" t="s">
        <v>297</v>
      </c>
      <c r="DP157" s="304" t="s">
        <v>298</v>
      </c>
      <c r="DQ157" s="305" t="s">
        <v>132</v>
      </c>
      <c r="DR157" s="317"/>
      <c r="DS157" s="254">
        <f>Konvention_1slave-KLslave</f>
        <v>12</v>
      </c>
      <c r="DT157" s="254">
        <f t="shared" si="1345"/>
        <v>12</v>
      </c>
      <c r="DU157" s="254"/>
      <c r="DV157" s="254"/>
      <c r="DW157" s="254"/>
      <c r="DX157" s="254"/>
      <c r="DY157" s="318">
        <f>Konvention_1slave-KKslave</f>
        <v>12</v>
      </c>
      <c r="DZ157" s="223">
        <f>(DR157+DS157+DT157+DU157+DV157+DW157+DX157+DY157)/3</f>
        <v>12</v>
      </c>
      <c r="EA157" s="223">
        <f t="shared" si="1286"/>
        <v>24</v>
      </c>
      <c r="EB157" s="224">
        <f t="shared" si="1287"/>
        <v>36</v>
      </c>
      <c r="EC157" s="237">
        <f t="shared" ref="EC157:EC188" si="1354">DR157*POWER(KLslave,SIGN(DS157))*POWER(INslave,SIGN(DT157))*POWER(CHslave_CH,SIGN(DU157))*POWER(FFslave,SIGN(DV157))*POWER(GEslave,SIGN(DW157))*POWER(KOslave,SIGN(DX157))*POWER(KKslave,SIGN(DY157))+DS157*POWER(MUslave,SIGN(DR157))*POWER(INslave,SIGN(DT157))*POWER(CHslave_CH,SIGN(DU157))*POWER(FFslave,SIGN(DV157))*POWER(GEslave,SIGN(DW157))*POWER(KOslave,SIGN(DX157))*POWER(KKslave,SIGN(DY157))+DT157*POWER(MUslave,SIGN(DR157))*POWER(KLslave,SIGN(DS157))*POWER(CHslave_CH,SIGN(DU157))*POWER(FFslave,SIGN(DV157))*POWER(GEslave,SIGN(DW157))*POWER(KOslave,SIGN(DX157))*POWER(KKslave,SIGN(DY157))+DU157*POWER(MUslave,SIGN(DR157))*POWER(KLslave,SIGN(DS157))*POWER(INslave,SIGN(DT157))*POWER(FFslave,SIGN(DV157))*POWER(GEslave,SIGN(DW157))*POWER(KOslave,SIGN(DX157))*POWER(KKslave,SIGN(DY157))+DV157*POWER(MUslave,SIGN(DR157))*POWER(KLslave,SIGN(DS157))*POWER(INslave,SIGN(DT157))*POWER(CHslave_CH,SIGN(DU157))*POWER(GEslave,SIGN(DW157))*POWER(KOslave,SIGN(DX157))*POWER(KKslave,SIGN(DY157))+DW157*POWER(MUslave,SIGN(DR157))*POWER(KLslave,SIGN(DS157))*POWER(INslave,SIGN(DT157))*POWER(CHslave_CH,SIGN(DU157))*POWER(FFslave,SIGN(DV157))*POWER(KOslave,SIGN(DX157))*POWER(KKslave,SIGN(DY157))+DX157*POWER(MUslave,SIGN(DR157))*POWER(KLslave,SIGN(DS157))*POWER(INslave,SIGN(DT157))*POWER(CHslave_CH,SIGN(DU157))*POWER(FFslave,SIGN(DV157))*POWER(GEslave,SIGN(DW157))*POWER(KKslave,SIGN(DY157))+DY157*POWER(MUslave,SIGN(DR157))*POWER(KLslave,SIGN(DS157))*POWER(INslave,SIGN(DT157))*POWER(CHslave_CH,SIGN(DU157))*POWER(FFslave,SIGN(DV157))*POWER(GEslave,SIGN(DW157))*POWER(KOslave,SIGN(DX157))</f>
        <v>2304</v>
      </c>
      <c r="ED157" s="254">
        <f>DS157*DT157*KKslave+DS157*INslave*DY157+KLslave*DT157*DY157</f>
        <v>3456</v>
      </c>
      <c r="EE157" s="224">
        <f>IFERROR(DR157^SIGN(DR157),1)*IFERROR(DS157^SIGN(DS157),1)*IFERROR(DT157^SIGN(DT157),1)*IFERROR(DU157^SIGN(DU157),1)*IFERROR(DV157^SIGN(DV157),1)*IFERROR(DW157^SIGN(DW157),1)*IFERROR(DX157^SIGN(DX157),1)*IFERROR(DY157^SIGN(DY157),1)</f>
        <v>1728</v>
      </c>
      <c r="EF157" s="224">
        <f t="shared" si="1288"/>
        <v>7488</v>
      </c>
      <c r="EG157" s="222">
        <f t="shared" si="1289"/>
        <v>3.6923076923076925</v>
      </c>
      <c r="EH157" s="223">
        <f t="shared" si="1290"/>
        <v>11.076923076923077</v>
      </c>
      <c r="EI157" s="243">
        <f t="shared" si="1291"/>
        <v>8.3076923076923084</v>
      </c>
      <c r="EJ157" s="243">
        <f t="shared" si="1292"/>
        <v>23.07692307692308</v>
      </c>
      <c r="EK157" s="252">
        <f t="shared" si="1293"/>
        <v>0</v>
      </c>
      <c r="EL157" s="309">
        <f t="shared" si="1294"/>
        <v>23.07692307692308</v>
      </c>
      <c r="EM157" s="218">
        <f>IF(EJ157&lt;=0,2,0)+IF(EJ157&gt;0,EJ157+1,0)*2+IF(EJ157&gt;12,EJ157-12,0)*2+IF(EJ157&gt;13,EJ157-13,0)*2+IF(EJ157&gt;14,EJ157-14,0)*2+IF(EJ157&gt;15,EJ157-15,0)*2+IF(EJ157&gt;16,EJ157-16,0)*2+IF(EJ157&gt;17,EJ157-17,0)*2+IF(EJ157&gt;18,EJ157-18,0)*2+IF(EJ157&gt;19,EJ157-19,0)*2+IF(EJ157&gt;20,EJ157-20,0)*2</f>
        <v>175.5384615384616</v>
      </c>
      <c r="EN157" s="242">
        <f>IF(EK157&lt;=0,2,0)+IF(EK157&gt;0,EK157+1,0)*2+IF(EK157&gt;12,EK157-12,0)*2+IF(EK157&gt;13,EK157-13,0)*2+IF(EK157&gt;14,EK157-14,0)*2+IF(EK157&gt;15,EK157-15,0)*2+IF(EK157&gt;16,EK157-16,0)*2+IF(EK157&gt;17,EK157-17,0)*2+IF(EK157&gt;18,EK157-18,0)*2+IF(EK157&gt;19,EK157-19,0)*2+IF(EK157&gt;20,EK157-20,0)*2</f>
        <v>2</v>
      </c>
      <c r="EO157" s="243">
        <f t="shared" si="1295"/>
        <v>173.5384615384616</v>
      </c>
      <c r="EP157" s="218">
        <f t="shared" si="1296"/>
        <v>0</v>
      </c>
      <c r="ER157" s="303" t="s">
        <v>297</v>
      </c>
      <c r="ES157" s="304" t="s">
        <v>298</v>
      </c>
      <c r="ET157" s="305" t="s">
        <v>132</v>
      </c>
      <c r="EU157" s="317"/>
      <c r="EV157" s="254">
        <f>Konvention_1slave-KLslave</f>
        <v>12</v>
      </c>
      <c r="EW157" s="254">
        <f t="shared" si="1346"/>
        <v>12</v>
      </c>
      <c r="EX157" s="254"/>
      <c r="EY157" s="254"/>
      <c r="EZ157" s="254"/>
      <c r="FA157" s="254"/>
      <c r="FB157" s="318">
        <f>Konvention_1slave-KKslave</f>
        <v>12</v>
      </c>
      <c r="FC157" s="223">
        <f>(EU157+EV157+EW157+EX157+EY157+EZ157+FA157+FB157)/3</f>
        <v>12</v>
      </c>
      <c r="FD157" s="223">
        <f t="shared" si="1297"/>
        <v>24</v>
      </c>
      <c r="FE157" s="224">
        <f t="shared" si="1298"/>
        <v>36</v>
      </c>
      <c r="FF157" s="237">
        <f t="shared" ref="FF157:FF188" si="1355">EU157*POWER(KLslave,SIGN(EV157))*POWER(INslave,SIGN(EW157))*POWER(CHslave,SIGN(EX157))*POWER(FFslave_FF,SIGN(EY157))*POWER(GEslave,SIGN(EZ157))*POWER(KOslave,SIGN(FA157))*POWER(KKslave,SIGN(FB157))+EV157*POWER(MUslave,SIGN(EU157))*POWER(INslave,SIGN(EW157))*POWER(CHslave,SIGN(EX157))*POWER(FFslave_FF,SIGN(EY157))*POWER(GEslave,SIGN(EZ157))*POWER(KOslave,SIGN(FA157))*POWER(KKslave,SIGN(FB157))+EW157*POWER(MUslave,SIGN(EU157))*POWER(KLslave,SIGN(EV157))*POWER(CHslave,SIGN(EX157))*POWER(FFslave_FF,SIGN(EY157))*POWER(GEslave,SIGN(EZ157))*POWER(KOslave,SIGN(FA157))*POWER(KKslave,SIGN(FB157))+EX157*POWER(MUslave,SIGN(EU157))*POWER(KLslave,SIGN(EV157))*POWER(INslave,SIGN(EW157))*POWER(FFslave_FF,SIGN(EY157))*POWER(GEslave,SIGN(EZ157))*POWER(KOslave,SIGN(FA157))*POWER(KKslave,SIGN(FB157))+EY157*POWER(MUslave,SIGN(EU157))*POWER(KLslave,SIGN(EV157))*POWER(INslave,SIGN(EW157))*POWER(CHslave,SIGN(EX157))*POWER(GEslave,SIGN(EZ157))*POWER(KOslave,SIGN(FA157))*POWER(KKslave,SIGN(FB157))+EZ157*POWER(MUslave,SIGN(EU157))*POWER(KLslave,SIGN(EV157))*POWER(INslave,SIGN(EW157))*POWER(CHslave,SIGN(EX157))*POWER(FFslave_FF,SIGN(EY157))*POWER(KOslave,SIGN(FA157))*POWER(KKslave,SIGN(FB157))+FA157*POWER(MUslave,SIGN(EU157))*POWER(KLslave,SIGN(EV157))*POWER(INslave,SIGN(EW157))*POWER(CHslave,SIGN(EX157))*POWER(FFslave_FF,SIGN(EY157))*POWER(GEslave,SIGN(EZ157))*POWER(KKslave,SIGN(FB157))+FB157*POWER(MUslave,SIGN(EU157))*POWER(KLslave,SIGN(EV157))*POWER(INslave,SIGN(EW157))*POWER(CHslave,SIGN(EX157))*POWER(FFslave_FF,SIGN(EY157))*POWER(GEslave,SIGN(EZ157))*POWER(KOslave,SIGN(FA157))</f>
        <v>2304</v>
      </c>
      <c r="FG157" s="254">
        <f>EV157*EW157*KKslave+EV157*INslave*FB157+KLslave*EW157*FB157</f>
        <v>3456</v>
      </c>
      <c r="FH157" s="224">
        <f>IFERROR(EU157^SIGN(EU157),1)*IFERROR(EV157^SIGN(EV157),1)*IFERROR(EW157^SIGN(EW157),1)*IFERROR(EX157^SIGN(EX157),1)*IFERROR(EY157^SIGN(EY157),1)*IFERROR(EZ157^SIGN(EZ157),1)*IFERROR(FA157^SIGN(FA157),1)*IFERROR(FB157^SIGN(FB157),1)</f>
        <v>1728</v>
      </c>
      <c r="FI157" s="224">
        <f t="shared" si="1299"/>
        <v>7488</v>
      </c>
      <c r="FJ157" s="222">
        <f t="shared" si="1300"/>
        <v>3.6923076923076925</v>
      </c>
      <c r="FK157" s="223">
        <f t="shared" si="1301"/>
        <v>11.076923076923077</v>
      </c>
      <c r="FL157" s="243">
        <f t="shared" si="1302"/>
        <v>8.3076923076923084</v>
      </c>
      <c r="FM157" s="243">
        <f t="shared" si="1303"/>
        <v>23.07692307692308</v>
      </c>
      <c r="FN157" s="252">
        <f t="shared" si="1304"/>
        <v>0</v>
      </c>
      <c r="FO157" s="309">
        <f t="shared" si="1305"/>
        <v>23.07692307692308</v>
      </c>
      <c r="FP157" s="218">
        <f>IF(FM157&lt;=0,2,0)+IF(FM157&gt;0,FM157+1,0)*2+IF(FM157&gt;12,FM157-12,0)*2+IF(FM157&gt;13,FM157-13,0)*2+IF(FM157&gt;14,FM157-14,0)*2+IF(FM157&gt;15,FM157-15,0)*2+IF(FM157&gt;16,FM157-16,0)*2+IF(FM157&gt;17,FM157-17,0)*2+IF(FM157&gt;18,FM157-18,0)*2+IF(FM157&gt;19,FM157-19,0)*2+IF(FM157&gt;20,FM157-20,0)*2</f>
        <v>175.5384615384616</v>
      </c>
      <c r="FQ157" s="242">
        <f>IF(FN157&lt;=0,2,0)+IF(FN157&gt;0,FN157+1,0)*2+IF(FN157&gt;12,FN157-12,0)*2+IF(FN157&gt;13,FN157-13,0)*2+IF(FN157&gt;14,FN157-14,0)*2+IF(FN157&gt;15,FN157-15,0)*2+IF(FN157&gt;16,FN157-16,0)*2+IF(FN157&gt;17,FN157-17,0)*2+IF(FN157&gt;18,FN157-18,0)*2+IF(FN157&gt;19,FN157-19,0)*2+IF(FN157&gt;20,FN157-20,0)*2</f>
        <v>2</v>
      </c>
      <c r="FR157" s="243">
        <f t="shared" si="1306"/>
        <v>173.5384615384616</v>
      </c>
      <c r="FS157" s="218">
        <f t="shared" si="1307"/>
        <v>0</v>
      </c>
      <c r="FU157" s="303" t="s">
        <v>297</v>
      </c>
      <c r="FV157" s="304" t="s">
        <v>298</v>
      </c>
      <c r="FW157" s="305" t="s">
        <v>132</v>
      </c>
      <c r="FX157" s="317"/>
      <c r="FY157" s="254">
        <f>Konvention_1slave-KLslave</f>
        <v>12</v>
      </c>
      <c r="FZ157" s="254">
        <f t="shared" si="1347"/>
        <v>12</v>
      </c>
      <c r="GA157" s="254"/>
      <c r="GB157" s="254"/>
      <c r="GC157" s="254"/>
      <c r="GD157" s="254"/>
      <c r="GE157" s="318">
        <f>Konvention_1slave-KKslave</f>
        <v>12</v>
      </c>
      <c r="GF157" s="223">
        <f>(FX157+FY157+FZ157+GA157+GB157+GC157+GD157+GE157)/3</f>
        <v>12</v>
      </c>
      <c r="GG157" s="223">
        <f t="shared" si="1308"/>
        <v>24</v>
      </c>
      <c r="GH157" s="224">
        <f t="shared" si="1309"/>
        <v>36</v>
      </c>
      <c r="GI157" s="237">
        <f t="shared" ref="GI157:GI188" si="1356">FX157*POWER(KLslave,SIGN(FY157))*POWER(INslave,SIGN(FZ157))*POWER(CHslave,SIGN(GA157))*POWER(FFslave,SIGN(GB157))*POWER(GEslave_GE,SIGN(GC157))*POWER(KOslave,SIGN(GD157))*POWER(KKslave,SIGN(GE157))+FY157*POWER(MUslave,SIGN(FX157))*POWER(INslave,SIGN(FZ157))*POWER(CHslave,SIGN(GA157))*POWER(FFslave,SIGN(GB157))*POWER(GEslave_GE,SIGN(GC157))*POWER(KOslave,SIGN(GD157))*POWER(KKslave,SIGN(GE157))+FZ157*POWER(MUslave,SIGN(FX157))*POWER(KLslave,SIGN(FY157))*POWER(CHslave,SIGN(GA157))*POWER(FFslave,SIGN(GB157))*POWER(GEslave_GE,SIGN(GC157))*POWER(KOslave,SIGN(GD157))*POWER(KKslave,SIGN(GE157))+GA157*POWER(MUslave,SIGN(FX157))*POWER(KLslave,SIGN(FY157))*POWER(INslave,SIGN(FZ157))*POWER(FFslave,SIGN(GB157))*POWER(GEslave_GE,SIGN(GC157))*POWER(KOslave,SIGN(GD157))*POWER(KKslave,SIGN(GE157))+GB157*POWER(MUslave,SIGN(FX157))*POWER(KLslave,SIGN(FY157))*POWER(INslave,SIGN(FZ157))*POWER(CHslave,SIGN(GA157))*POWER(GEslave_GE,SIGN(GC157))*POWER(KOslave,SIGN(GD157))*POWER(KKslave,SIGN(GE157))+GC157*POWER(MUslave,SIGN(FX157))*POWER(KLslave,SIGN(FY157))*POWER(INslave,SIGN(FZ157))*POWER(CHslave,SIGN(GA157))*POWER(FFslave,SIGN(GB157))*POWER(KOslave,SIGN(GD157))*POWER(KKslave,SIGN(GE157))+GD157*POWER(MUslave,SIGN(FX157))*POWER(KLslave,SIGN(FY157))*POWER(INslave,SIGN(FZ157))*POWER(CHslave,SIGN(GA157))*POWER(FFslave,SIGN(GB157))*POWER(GEslave_GE,SIGN(GC157))*POWER(KKslave,SIGN(GE157))+GE157*POWER(MUslave,SIGN(FX157))*POWER(KLslave,SIGN(FY157))*POWER(INslave,SIGN(FZ157))*POWER(CHslave,SIGN(GA157))*POWER(FFslave,SIGN(GB157))*POWER(GEslave_GE,SIGN(GC157))*POWER(KOslave,SIGN(GD157))</f>
        <v>2304</v>
      </c>
      <c r="GJ157" s="254">
        <f>FY157*FZ157*KKslave+FY157*INslave*GE157+KLslave*FZ157*GE157</f>
        <v>3456</v>
      </c>
      <c r="GK157" s="224">
        <f>IFERROR(FX157^SIGN(FX157),1)*IFERROR(FY157^SIGN(FY157),1)*IFERROR(FZ157^SIGN(FZ157),1)*IFERROR(GA157^SIGN(GA157),1)*IFERROR(GB157^SIGN(GB157),1)*IFERROR(GC157^SIGN(GC157),1)*IFERROR(GD157^SIGN(GD157),1)*IFERROR(GE157^SIGN(GE157),1)</f>
        <v>1728</v>
      </c>
      <c r="GL157" s="224">
        <f t="shared" si="1310"/>
        <v>7488</v>
      </c>
      <c r="GM157" s="222">
        <f t="shared" si="1311"/>
        <v>3.6923076923076925</v>
      </c>
      <c r="GN157" s="223">
        <f t="shared" si="1312"/>
        <v>11.076923076923077</v>
      </c>
      <c r="GO157" s="243">
        <f t="shared" si="1313"/>
        <v>8.3076923076923084</v>
      </c>
      <c r="GP157" s="243">
        <f t="shared" si="1314"/>
        <v>23.07692307692308</v>
      </c>
      <c r="GQ157" s="252">
        <f t="shared" si="1315"/>
        <v>0</v>
      </c>
      <c r="GR157" s="309">
        <f t="shared" si="1316"/>
        <v>23.07692307692308</v>
      </c>
      <c r="GS157" s="218">
        <f>IF(GP157&lt;=0,2,0)+IF(GP157&gt;0,GP157+1,0)*2+IF(GP157&gt;12,GP157-12,0)*2+IF(GP157&gt;13,GP157-13,0)*2+IF(GP157&gt;14,GP157-14,0)*2+IF(GP157&gt;15,GP157-15,0)*2+IF(GP157&gt;16,GP157-16,0)*2+IF(GP157&gt;17,GP157-17,0)*2+IF(GP157&gt;18,GP157-18,0)*2+IF(GP157&gt;19,GP157-19,0)*2+IF(GP157&gt;20,GP157-20,0)*2</f>
        <v>175.5384615384616</v>
      </c>
      <c r="GT157" s="242">
        <f>IF(GQ157&lt;=0,2,0)+IF(GQ157&gt;0,GQ157+1,0)*2+IF(GQ157&gt;12,GQ157-12,0)*2+IF(GQ157&gt;13,GQ157-13,0)*2+IF(GQ157&gt;14,GQ157-14,0)*2+IF(GQ157&gt;15,GQ157-15,0)*2+IF(GQ157&gt;16,GQ157-16,0)*2+IF(GQ157&gt;17,GQ157-17,0)*2+IF(GQ157&gt;18,GQ157-18,0)*2+IF(GQ157&gt;19,GQ157-19,0)*2+IF(GQ157&gt;20,GQ157-20,0)*2</f>
        <v>2</v>
      </c>
      <c r="GU157" s="243">
        <f t="shared" si="1317"/>
        <v>173.5384615384616</v>
      </c>
      <c r="GV157" s="218">
        <f t="shared" si="1318"/>
        <v>0</v>
      </c>
      <c r="GX157" s="303" t="s">
        <v>297</v>
      </c>
      <c r="GY157" s="304" t="s">
        <v>298</v>
      </c>
      <c r="GZ157" s="305" t="s">
        <v>132</v>
      </c>
      <c r="HA157" s="317"/>
      <c r="HB157" s="254">
        <f>Konvention_1slave-KLslave</f>
        <v>12</v>
      </c>
      <c r="HC157" s="254">
        <f t="shared" si="1348"/>
        <v>12</v>
      </c>
      <c r="HD157" s="254"/>
      <c r="HE157" s="254"/>
      <c r="HF157" s="254"/>
      <c r="HG157" s="254"/>
      <c r="HH157" s="318">
        <f>Konvention_1slave-KKslave</f>
        <v>12</v>
      </c>
      <c r="HI157" s="223">
        <f>(HA157+HB157+HC157+HD157+HE157+HF157+HG157+HH157)/3</f>
        <v>12</v>
      </c>
      <c r="HJ157" s="223">
        <f t="shared" si="1319"/>
        <v>24</v>
      </c>
      <c r="HK157" s="224">
        <f t="shared" si="1320"/>
        <v>36</v>
      </c>
      <c r="HL157" s="237">
        <f t="shared" ref="HL157:HL188" si="1357">HA157*POWER(KLslave,SIGN(HB157))*POWER(INslave,SIGN(HC157))*POWER(CHslave,SIGN(HD157))*POWER(FFslave,SIGN(HE157))*POWER(GEslave,SIGN(HF157))*POWER(KOslave_KO,SIGN(HG157))*POWER(KKslave,SIGN(HH157))+HB157*POWER(MUslave,SIGN(HA157))*POWER(INslave,SIGN(HC157))*POWER(CHslave,SIGN(HD157))*POWER(FFslave,SIGN(HE157))*POWER(GEslave,SIGN(HF157))*POWER(KOslave_KO,SIGN(HG157))*POWER(KKslave,SIGN(HH157))+HC157*POWER(MUslave,SIGN(HA157))*POWER(KLslave,SIGN(HB157))*POWER(CHslave,SIGN(HD157))*POWER(FFslave,SIGN(HE157))*POWER(GEslave,SIGN(HF157))*POWER(KOslave_KO,SIGN(HG157))*POWER(KKslave,SIGN(HH157))+HD157*POWER(MUslave,SIGN(HA157))*POWER(KLslave,SIGN(HB157))*POWER(INslave,SIGN(HC157))*POWER(FFslave,SIGN(HE157))*POWER(GEslave,SIGN(HF157))*POWER(KOslave_KO,SIGN(HG157))*POWER(KKslave,SIGN(HH157))+HE157*POWER(MUslave,SIGN(HA157))*POWER(KLslave,SIGN(HB157))*POWER(INslave,SIGN(HC157))*POWER(CHslave,SIGN(HD157))*POWER(GEslave,SIGN(HF157))*POWER(KOslave_KO,SIGN(HG157))*POWER(KKslave,SIGN(HH157))+HF157*POWER(MUslave,SIGN(HA157))*POWER(KLslave,SIGN(HB157))*POWER(INslave,SIGN(HC157))*POWER(CHslave,SIGN(HD157))*POWER(FFslave,SIGN(HE157))*POWER(KOslave_KO,SIGN(HG157))*POWER(KKslave,SIGN(HH157))+HG157*POWER(MUslave,SIGN(HA157))*POWER(KLslave,SIGN(HB157))*POWER(INslave,SIGN(HC157))*POWER(CHslave,SIGN(HD157))*POWER(FFslave,SIGN(HE157))*POWER(GEslave,SIGN(HF157))*POWER(KKslave,SIGN(HH157))+HH157*POWER(MUslave,SIGN(HA157))*POWER(KLslave,SIGN(HB157))*POWER(INslave,SIGN(HC157))*POWER(CHslave,SIGN(HD157))*POWER(FFslave,SIGN(HE157))*POWER(GEslave,SIGN(HF157))*POWER(KOslave_KO,SIGN(HG157))</f>
        <v>2304</v>
      </c>
      <c r="HM157" s="254">
        <f>HB157*HC157*KKslave+HB157*INslave*HH157+KLslave*HC157*HH157</f>
        <v>3456</v>
      </c>
      <c r="HN157" s="224">
        <f>IFERROR(HA157^SIGN(HA157),1)*IFERROR(HB157^SIGN(HB157),1)*IFERROR(HC157^SIGN(HC157),1)*IFERROR(HD157^SIGN(HD157),1)*IFERROR(HE157^SIGN(HE157),1)*IFERROR(HF157^SIGN(HF157),1)*IFERROR(HG157^SIGN(HG157),1)*IFERROR(HH157^SIGN(HH157),1)</f>
        <v>1728</v>
      </c>
      <c r="HO157" s="224">
        <f t="shared" si="1321"/>
        <v>7488</v>
      </c>
      <c r="HP157" s="222">
        <f t="shared" si="1322"/>
        <v>3.6923076923076925</v>
      </c>
      <c r="HQ157" s="223">
        <f t="shared" si="1323"/>
        <v>11.076923076923077</v>
      </c>
      <c r="HR157" s="243">
        <f t="shared" si="1324"/>
        <v>8.3076923076923084</v>
      </c>
      <c r="HS157" s="243">
        <f t="shared" si="1325"/>
        <v>23.07692307692308</v>
      </c>
      <c r="HT157" s="252">
        <f t="shared" si="1326"/>
        <v>0</v>
      </c>
      <c r="HU157" s="309">
        <f t="shared" si="1327"/>
        <v>23.07692307692308</v>
      </c>
      <c r="HV157" s="218">
        <f>IF(HS157&lt;=0,2,0)+IF(HS157&gt;0,HS157+1,0)*2+IF(HS157&gt;12,HS157-12,0)*2+IF(HS157&gt;13,HS157-13,0)*2+IF(HS157&gt;14,HS157-14,0)*2+IF(HS157&gt;15,HS157-15,0)*2+IF(HS157&gt;16,HS157-16,0)*2+IF(HS157&gt;17,HS157-17,0)*2+IF(HS157&gt;18,HS157-18,0)*2+IF(HS157&gt;19,HS157-19,0)*2+IF(HS157&gt;20,HS157-20,0)*2</f>
        <v>175.5384615384616</v>
      </c>
      <c r="HW157" s="242">
        <f>IF(HT157&lt;=0,2,0)+IF(HT157&gt;0,HT157+1,0)*2+IF(HT157&gt;12,HT157-12,0)*2+IF(HT157&gt;13,HT157-13,0)*2+IF(HT157&gt;14,HT157-14,0)*2+IF(HT157&gt;15,HT157-15,0)*2+IF(HT157&gt;16,HT157-16,0)*2+IF(HT157&gt;17,HT157-17,0)*2+IF(HT157&gt;18,HT157-18,0)*2+IF(HT157&gt;19,HT157-19,0)*2+IF(HT157&gt;20,HT157-20,0)*2</f>
        <v>2</v>
      </c>
      <c r="HX157" s="243">
        <f t="shared" si="1328"/>
        <v>173.5384615384616</v>
      </c>
      <c r="HY157" s="218">
        <f t="shared" si="1329"/>
        <v>0</v>
      </c>
      <c r="IA157" s="303" t="s">
        <v>297</v>
      </c>
      <c r="IB157" s="304" t="s">
        <v>298</v>
      </c>
      <c r="IC157" s="305" t="s">
        <v>132</v>
      </c>
      <c r="ID157" s="317"/>
      <c r="IE157" s="254">
        <f>Konvention_1slave-KLslave</f>
        <v>12</v>
      </c>
      <c r="IF157" s="254">
        <f t="shared" si="1349"/>
        <v>12</v>
      </c>
      <c r="IG157" s="254"/>
      <c r="IH157" s="254"/>
      <c r="II157" s="254"/>
      <c r="IJ157" s="254"/>
      <c r="IK157" s="318">
        <f>Konvention_1slave-KKslave_KK</f>
        <v>11</v>
      </c>
      <c r="IL157" s="223">
        <f>(ID157+IE157+IF157+IG157+IH157+II157+IJ157+IK157)/3</f>
        <v>11.666666666666666</v>
      </c>
      <c r="IM157" s="223">
        <f t="shared" si="1330"/>
        <v>23.333333333333332</v>
      </c>
      <c r="IN157" s="224">
        <f t="shared" si="1331"/>
        <v>35</v>
      </c>
      <c r="IO157" s="237">
        <f t="shared" ref="IO157:IO188" si="1358">ID157*POWER(KLslave,SIGN(IE157))*POWER(INslave,SIGN(IF157))*POWER(CHslave,SIGN(IG157))*POWER(FFslave,SIGN(IH157))*POWER(GEslave,SIGN(II157))*POWER(KOslave,SIGN(IJ157))*POWER(KKslave_KK,SIGN(IK157))+IE157*POWER(MUslave,SIGN(ID157))*POWER(INslave,SIGN(IF157))*POWER(CHslave,SIGN(IG157))*POWER(FFslave,SIGN(IH157))*POWER(GEslave,SIGN(II157))*POWER(KOslave,SIGN(IJ157))*POWER(KKslave_KK,SIGN(IK157))+IF157*POWER(MUslave,SIGN(ID157))*POWER(KLslave,SIGN(IE157))*POWER(CHslave,SIGN(IG157))*POWER(FFslave,SIGN(IH157))*POWER(GEslave,SIGN(II157))*POWER(KOslave,SIGN(IJ157))*POWER(KKslave_KK,SIGN(IK157))+IG157*POWER(MUslave,SIGN(ID157))*POWER(KLslave,SIGN(IE157))*POWER(INslave,SIGN(IF157))*POWER(FFslave,SIGN(IH157))*POWER(GEslave,SIGN(II157))*POWER(KOslave,SIGN(IJ157))*POWER(KKslave_KK,SIGN(IK157))+IH157*POWER(MUslave,SIGN(ID157))*POWER(KLslave,SIGN(IE157))*POWER(INslave,SIGN(IF157))*POWER(CHslave,SIGN(IG157))*POWER(GEslave,SIGN(II157))*POWER(KOslave,SIGN(IJ157))*POWER(KKslave_KK,SIGN(IK157))+II157*POWER(MUslave,SIGN(ID157))*POWER(KLslave,SIGN(IE157))*POWER(INslave,SIGN(IF157))*POWER(CHslave,SIGN(IG157))*POWER(FFslave,SIGN(IH157))*POWER(KOslave,SIGN(IJ157))*POWER(KKslave_KK,SIGN(IK157))+IJ157*POWER(MUslave,SIGN(ID157))*POWER(KLslave,SIGN(IE157))*POWER(INslave,SIGN(IF157))*POWER(CHslave,SIGN(IG157))*POWER(FFslave,SIGN(IH157))*POWER(GEslave,SIGN(II157))*POWER(KKslave_KK,SIGN(IK157))+IK157*POWER(MUslave,SIGN(ID157))*POWER(KLslave,SIGN(IE157))*POWER(INslave,SIGN(IF157))*POWER(CHslave,SIGN(IG157))*POWER(FFslave,SIGN(IH157))*POWER(GEslave,SIGN(II157))*POWER(KOslave,SIGN(IJ157))</f>
        <v>2432</v>
      </c>
      <c r="IP157" s="254">
        <f>IE157*IF157*KKslave_KK+IE157*INslave*IK157+KLslave*IF157*IK157</f>
        <v>3408</v>
      </c>
      <c r="IQ157" s="224">
        <f>IFERROR(ID157^SIGN(ID157),1)*IFERROR(IE157^SIGN(IE157),1)*IFERROR(IF157^SIGN(IF157),1)*IFERROR(IG157^SIGN(IG157),1)*IFERROR(IH157^SIGN(IH157),1)*IFERROR(II157^SIGN(II157),1)*IFERROR(IJ157^SIGN(IJ157),1)*IFERROR(IK157^SIGN(IK157),1)</f>
        <v>1584</v>
      </c>
      <c r="IR157" s="224">
        <f t="shared" si="1332"/>
        <v>7424</v>
      </c>
      <c r="IS157" s="222">
        <f t="shared" si="1333"/>
        <v>3.8218390804597702</v>
      </c>
      <c r="IT157" s="223">
        <f t="shared" si="1334"/>
        <v>10.711206896551724</v>
      </c>
      <c r="IU157" s="243">
        <f t="shared" si="1335"/>
        <v>7.4676724137931032</v>
      </c>
      <c r="IV157" s="243">
        <f t="shared" si="1336"/>
        <v>22.000718390804597</v>
      </c>
      <c r="IW157" s="252">
        <f t="shared" si="1337"/>
        <v>0</v>
      </c>
      <c r="IX157" s="309">
        <f t="shared" si="1338"/>
        <v>22.000718390804597</v>
      </c>
      <c r="IY157" s="218">
        <f>IF(IV157&lt;=0,2,0)+IF(IV157&gt;0,IV157+1,0)*2+IF(IV157&gt;12,IV157-12,0)*2+IF(IV157&gt;13,IV157-13,0)*2+IF(IV157&gt;14,IV157-14,0)*2+IF(IV157&gt;15,IV157-15,0)*2+IF(IV157&gt;16,IV157-16,0)*2+IF(IV157&gt;17,IV157-17,0)*2+IF(IV157&gt;18,IV157-18,0)*2+IF(IV157&gt;19,IV157-19,0)*2+IF(IV157&gt;20,IV157-20,0)*2</f>
        <v>154.01436781609189</v>
      </c>
      <c r="IZ157" s="242">
        <f>IF(IW157&lt;=0,2,0)+IF(IW157&gt;0,IW157+1,0)*2+IF(IW157&gt;12,IW157-12,0)*2+IF(IW157&gt;13,IW157-13,0)*2+IF(IW157&gt;14,IW157-14,0)*2+IF(IW157&gt;15,IW157-15,0)*2+IF(IW157&gt;16,IW157-16,0)*2+IF(IW157&gt;17,IW157-17,0)*2+IF(IW157&gt;18,IW157-18,0)*2+IF(IW157&gt;19,IW157-19,0)*2+IF(IW157&gt;20,IW157-20,0)*2</f>
        <v>2</v>
      </c>
      <c r="JA157" s="243">
        <f t="shared" si="1339"/>
        <v>152.01436781609189</v>
      </c>
      <c r="JB157" s="218">
        <f t="shared" si="1340"/>
        <v>0</v>
      </c>
      <c r="JE157" s="148"/>
    </row>
    <row r="158" spans="2:265" ht="15" hidden="1" customHeight="1" outlineLevel="2">
      <c r="B158" s="148">
        <v>6</v>
      </c>
      <c r="C158" s="303" t="e">
        <f>VLOOKUP(AF158,Attribute!C:T,1,FALSE)</f>
        <v>#N/A</v>
      </c>
      <c r="D158" s="86" t="s">
        <v>86</v>
      </c>
      <c r="E158" s="167" t="s">
        <v>133</v>
      </c>
      <c r="F158" s="120">
        <f>Konvention_1master-MUmaster</f>
        <v>12</v>
      </c>
      <c r="G158" s="117"/>
      <c r="H158" s="117">
        <f t="shared" si="1341"/>
        <v>12</v>
      </c>
      <c r="I158" s="117">
        <f>Konvention_1master-CHmaster</f>
        <v>12</v>
      </c>
      <c r="J158" s="117"/>
      <c r="K158" s="117"/>
      <c r="L158" s="117"/>
      <c r="M158" s="121"/>
      <c r="N158" s="223">
        <f>(F158+G158+H158+I158+J158+K158+L158+M158)/3</f>
        <v>12</v>
      </c>
      <c r="O158" s="223">
        <f t="shared" si="1243"/>
        <v>24</v>
      </c>
      <c r="P158" s="224">
        <f t="shared" si="1244"/>
        <v>36</v>
      </c>
      <c r="Q158" s="237">
        <f t="shared" si="1350"/>
        <v>2304</v>
      </c>
      <c r="R158" s="117">
        <f>F158*H158*CHmaster+F158*INmaster*I158+MUmaster*H158*I158</f>
        <v>3456</v>
      </c>
      <c r="S158" s="224">
        <f>IFERROR(F158^SIGN(F158),1)*IFERROR(G158^SIGN(G158),1)*IFERROR(H158^SIGN(H158),1)*IFERROR(I158^SIGN(I158),1)*IFERROR(J158^SIGN(J158),1)*IFERROR(K158^SIGN(K158),1)*IFERROR(L158^SIGN(L158),1)*IFERROR(M158^SIGN(M158),1)</f>
        <v>1728</v>
      </c>
      <c r="T158" s="224">
        <f t="shared" si="1245"/>
        <v>7488</v>
      </c>
      <c r="U158" s="222">
        <f t="shared" si="1246"/>
        <v>3.6923076923076925</v>
      </c>
      <c r="V158" s="223">
        <f t="shared" si="1247"/>
        <v>11.076923076923077</v>
      </c>
      <c r="W158" s="243">
        <f t="shared" si="1248"/>
        <v>8.3076923076923084</v>
      </c>
      <c r="X158" s="243">
        <f t="shared" si="1249"/>
        <v>23.07692307692308</v>
      </c>
      <c r="Y158" s="252">
        <v>0</v>
      </c>
      <c r="Z158" s="198">
        <f t="shared" si="1250"/>
        <v>23.07692307692308</v>
      </c>
      <c r="AA158" s="125">
        <f>IF(X158&lt;=0,1,0)+IF(X158&gt;0,X158+1,0)*1+IF(X158&gt;12,X158-12,0)*1+IF(X158&gt;13,X158-13,0)*1+IF(X158&gt;14,X158-14,0)*1+IF(X158&gt;15,X158-15,0)*1+IF(X158&gt;16,X158-16,0)*1+IF(X158&gt;17,X158-17,0)*1+IF(X158&gt;18,X158-18,0)*1+IF(X158&gt;19,X158-19,0)*1+IF(X158&gt;20,X158-20,0)*1</f>
        <v>87.769230769230802</v>
      </c>
      <c r="AB158" s="160">
        <f>IF(Y158&lt;=0,1,0)+IF(Y158&gt;0,Y158+1,0)*1+IF(Y158&gt;12,Y158-12,0)*1+IF(Y158&gt;13,Y158-13,0)*1+IF(Y158&gt;14,Y158-14,0)*1+IF(Y158&gt;15,Y158-15,0)*1+IF(Y158&gt;16,Y158-16,0)*1+IF(Y158&gt;17,Y158-17,0)*1+IF(Y158&gt;18,Y158-18,0)*1+IF(Y158&gt;19,Y158-19,0)*1+IF(Y158&gt;20,Y158-20,0)*1</f>
        <v>1</v>
      </c>
      <c r="AC158" s="127">
        <f t="shared" si="1251"/>
        <v>86.769230769230802</v>
      </c>
      <c r="AD158" s="125">
        <f t="shared" si="1252"/>
        <v>0</v>
      </c>
      <c r="AF158" s="163" t="s">
        <v>368</v>
      </c>
      <c r="AG158" s="86" t="s">
        <v>86</v>
      </c>
      <c r="AH158" s="167" t="s">
        <v>133</v>
      </c>
      <c r="AI158" s="120">
        <f>Konvention_1slave-MUslave_MU</f>
        <v>11</v>
      </c>
      <c r="AJ158" s="117"/>
      <c r="AK158" s="117">
        <f t="shared" si="1342"/>
        <v>12</v>
      </c>
      <c r="AL158" s="117">
        <f>Konvention_1slave-CHslave</f>
        <v>12</v>
      </c>
      <c r="AM158" s="117"/>
      <c r="AN158" s="117"/>
      <c r="AO158" s="117"/>
      <c r="AP158" s="121"/>
      <c r="AQ158" s="47">
        <f>(AI158+AJ158+AK158+AL158+AM158+AN158+AO158+AP158)/3</f>
        <v>11.666666666666666</v>
      </c>
      <c r="AR158" s="3">
        <f t="shared" si="1253"/>
        <v>23.333333333333332</v>
      </c>
      <c r="AS158" s="174">
        <f t="shared" si="1254"/>
        <v>35</v>
      </c>
      <c r="AT158" s="114">
        <f t="shared" si="1351"/>
        <v>2432</v>
      </c>
      <c r="AU158" s="117">
        <f>AI158*AK158*CHslave+AI158*INslave*AL158+MUslave_MU*AK158*AL158</f>
        <v>3408</v>
      </c>
      <c r="AV158" s="119">
        <f>IFERROR(AI158^SIGN(AI158),1)*IFERROR(AJ158^SIGN(AJ158),1)*IFERROR(AK158^SIGN(AK158),1)*IFERROR(AL158^SIGN(AL158),1)*IFERROR(AM158^SIGN(AM158),1)*IFERROR(AN158^SIGN(AN158),1)*IFERROR(AO158^SIGN(AO158),1)*IFERROR(AP158^SIGN(AP158),1)</f>
        <v>1584</v>
      </c>
      <c r="AW158" s="119">
        <f t="shared" si="1255"/>
        <v>7424</v>
      </c>
      <c r="AX158" s="89">
        <f t="shared" si="1256"/>
        <v>3.8218390804597702</v>
      </c>
      <c r="AY158" s="47">
        <f t="shared" si="1257"/>
        <v>10.711206896551724</v>
      </c>
      <c r="AZ158" s="127">
        <f t="shared" si="1258"/>
        <v>7.4676724137931032</v>
      </c>
      <c r="BA158" s="127">
        <f t="shared" si="1259"/>
        <v>22.000718390804597</v>
      </c>
      <c r="BB158" s="165">
        <f t="shared" si="1260"/>
        <v>0</v>
      </c>
      <c r="BC158" s="198">
        <f t="shared" si="1261"/>
        <v>22.000718390804597</v>
      </c>
      <c r="BD158" s="125">
        <f>IF(BA158&lt;=0,1,0)+IF(BA158&gt;0,BA158+1,0)*1+IF(BA158&gt;12,BA158-12,0)*1+IF(BA158&gt;13,BA158-13,0)*1+IF(BA158&gt;14,BA158-14,0)*1+IF(BA158&gt;15,BA158-15,0)*1+IF(BA158&gt;16,BA158-16,0)*1+IF(BA158&gt;17,BA158-17,0)*1+IF(BA158&gt;18,BA158-18,0)*1+IF(BA158&gt;19,BA158-19,0)*1+IF(BA158&gt;20,BA158-20,0)*1</f>
        <v>77.007183908045945</v>
      </c>
      <c r="BE158" s="160">
        <f>IF(BB158&lt;=0,1,0)+IF(BB158&gt;0,BB158+1,0)*1+IF(BB158&gt;12,BB158-12,0)*1+IF(BB158&gt;13,BB158-13,0)*1+IF(BB158&gt;14,BB158-14,0)*1+IF(BB158&gt;15,BB158-15,0)*1+IF(BB158&gt;16,BB158-16,0)*1+IF(BB158&gt;17,BB158-17,0)*1+IF(BB158&gt;18,BB158-18,0)*1+IF(BB158&gt;19,BB158-19,0)*1+IF(BB158&gt;20,BB158-20,0)*1</f>
        <v>1</v>
      </c>
      <c r="BF158" s="243">
        <f t="shared" si="1262"/>
        <v>76.007183908045945</v>
      </c>
      <c r="BG158" s="218">
        <f t="shared" si="1263"/>
        <v>0</v>
      </c>
      <c r="BI158" s="303" t="s">
        <v>368</v>
      </c>
      <c r="BJ158" s="304" t="s">
        <v>86</v>
      </c>
      <c r="BK158" s="305" t="s">
        <v>133</v>
      </c>
      <c r="BL158" s="317">
        <f>Konvention_1slave-MUslave</f>
        <v>12</v>
      </c>
      <c r="BM158" s="254"/>
      <c r="BN158" s="254">
        <f t="shared" si="1343"/>
        <v>12</v>
      </c>
      <c r="BO158" s="254">
        <f>Konvention_1slave-CHslave</f>
        <v>12</v>
      </c>
      <c r="BP158" s="254"/>
      <c r="BQ158" s="254"/>
      <c r="BR158" s="254"/>
      <c r="BS158" s="318"/>
      <c r="BT158" s="223">
        <f>(BL158+BM158+BN158+BO158+BP158+BQ158+BR158+BS158)/3</f>
        <v>12</v>
      </c>
      <c r="BU158" s="223">
        <f t="shared" si="1264"/>
        <v>24</v>
      </c>
      <c r="BV158" s="224">
        <f t="shared" si="1265"/>
        <v>36</v>
      </c>
      <c r="BW158" s="237">
        <f t="shared" si="1352"/>
        <v>2304</v>
      </c>
      <c r="BX158" s="254">
        <f>BL158*BN158*CHslave+BL158*INslave*BO158+MUslave*BN158*BO158</f>
        <v>3456</v>
      </c>
      <c r="BY158" s="224">
        <f>IFERROR(BL158^SIGN(BL158),1)*IFERROR(BM158^SIGN(BM158),1)*IFERROR(BN158^SIGN(BN158),1)*IFERROR(BO158^SIGN(BO158),1)*IFERROR(BP158^SIGN(BP158),1)*IFERROR(BQ158^SIGN(BQ158),1)*IFERROR(BR158^SIGN(BR158),1)*IFERROR(BS158^SIGN(BS158),1)</f>
        <v>1728</v>
      </c>
      <c r="BZ158" s="224">
        <f t="shared" si="1266"/>
        <v>7488</v>
      </c>
      <c r="CA158" s="222">
        <f t="shared" si="1267"/>
        <v>3.6923076923076925</v>
      </c>
      <c r="CB158" s="223">
        <f t="shared" si="1268"/>
        <v>11.076923076923077</v>
      </c>
      <c r="CC158" s="243">
        <f t="shared" si="1269"/>
        <v>8.3076923076923084</v>
      </c>
      <c r="CD158" s="243">
        <f t="shared" si="1270"/>
        <v>23.07692307692308</v>
      </c>
      <c r="CE158" s="252">
        <f t="shared" si="1271"/>
        <v>0</v>
      </c>
      <c r="CF158" s="309">
        <f t="shared" si="1272"/>
        <v>23.07692307692308</v>
      </c>
      <c r="CG158" s="218">
        <f>IF(CD158&lt;=0,1,0)+IF(CD158&gt;0,CD158+1,0)*1+IF(CD158&gt;12,CD158-12,0)*1+IF(CD158&gt;13,CD158-13,0)*1+IF(CD158&gt;14,CD158-14,0)*1+IF(CD158&gt;15,CD158-15,0)*1+IF(CD158&gt;16,CD158-16,0)*1+IF(CD158&gt;17,CD158-17,0)*1+IF(CD158&gt;18,CD158-18,0)*1+IF(CD158&gt;19,CD158-19,0)*1+IF(CD158&gt;20,CD158-20,0)*1</f>
        <v>87.769230769230802</v>
      </c>
      <c r="CH158" s="242">
        <f>IF(CE158&lt;=0,1,0)+IF(CE158&gt;0,CE158+1,0)*1+IF(CE158&gt;12,CE158-12,0)*1+IF(CE158&gt;13,CE158-13,0)*1+IF(CE158&gt;14,CE158-14,0)*1+IF(CE158&gt;15,CE158-15,0)*1+IF(CE158&gt;16,CE158-16,0)*1+IF(CE158&gt;17,CE158-17,0)*1+IF(CE158&gt;18,CE158-18,0)*1+IF(CE158&gt;19,CE158-19,0)*1+IF(CE158&gt;20,CE158-20,0)*1</f>
        <v>1</v>
      </c>
      <c r="CI158" s="243">
        <f t="shared" si="1273"/>
        <v>86.769230769230802</v>
      </c>
      <c r="CJ158" s="218">
        <f t="shared" si="1274"/>
        <v>0</v>
      </c>
      <c r="CL158" s="303" t="s">
        <v>368</v>
      </c>
      <c r="CM158" s="304" t="s">
        <v>86</v>
      </c>
      <c r="CN158" s="305" t="s">
        <v>133</v>
      </c>
      <c r="CO158" s="317">
        <f>Konvention_1slave-MUslave</f>
        <v>12</v>
      </c>
      <c r="CP158" s="254"/>
      <c r="CQ158" s="254">
        <f t="shared" si="1344"/>
        <v>11</v>
      </c>
      <c r="CR158" s="254">
        <f>Konvention_1slave-CHslave</f>
        <v>12</v>
      </c>
      <c r="CS158" s="254"/>
      <c r="CT158" s="254"/>
      <c r="CU158" s="254"/>
      <c r="CV158" s="318"/>
      <c r="CW158" s="223">
        <f>(CO158+CP158+CQ158+CR158+CS158+CT158+CU158+CV158)/3</f>
        <v>11.666666666666666</v>
      </c>
      <c r="CX158" s="223">
        <f t="shared" si="1275"/>
        <v>23.333333333333332</v>
      </c>
      <c r="CY158" s="224">
        <f t="shared" si="1276"/>
        <v>35</v>
      </c>
      <c r="CZ158" s="237">
        <f t="shared" si="1353"/>
        <v>2432</v>
      </c>
      <c r="DA158" s="254">
        <f>CO158*CQ158*CHslave+CO158*INslave_IN*CR158+MUslave*CQ158*CR158</f>
        <v>3408</v>
      </c>
      <c r="DB158" s="224">
        <f>IFERROR(CO158^SIGN(CO158),1)*IFERROR(CP158^SIGN(CP158),1)*IFERROR(CQ158^SIGN(CQ158),1)*IFERROR(CR158^SIGN(CR158),1)*IFERROR(CS158^SIGN(CS158),1)*IFERROR(CT158^SIGN(CT158),1)*IFERROR(CU158^SIGN(CU158),1)*IFERROR(CV158^SIGN(CV158),1)</f>
        <v>1584</v>
      </c>
      <c r="DC158" s="224">
        <f t="shared" si="1277"/>
        <v>7424</v>
      </c>
      <c r="DD158" s="222">
        <f t="shared" si="1278"/>
        <v>3.8218390804597702</v>
      </c>
      <c r="DE158" s="223">
        <f t="shared" si="1279"/>
        <v>10.711206896551724</v>
      </c>
      <c r="DF158" s="243">
        <f t="shared" si="1280"/>
        <v>7.4676724137931032</v>
      </c>
      <c r="DG158" s="243">
        <f t="shared" si="1281"/>
        <v>22.000718390804597</v>
      </c>
      <c r="DH158" s="252">
        <f t="shared" si="1282"/>
        <v>0</v>
      </c>
      <c r="DI158" s="309">
        <f t="shared" si="1283"/>
        <v>22.000718390804597</v>
      </c>
      <c r="DJ158" s="218">
        <f>IF(DG158&lt;=0,1,0)+IF(DG158&gt;0,DG158+1,0)*1+IF(DG158&gt;12,DG158-12,0)*1+IF(DG158&gt;13,DG158-13,0)*1+IF(DG158&gt;14,DG158-14,0)*1+IF(DG158&gt;15,DG158-15,0)*1+IF(DG158&gt;16,DG158-16,0)*1+IF(DG158&gt;17,DG158-17,0)*1+IF(DG158&gt;18,DG158-18,0)*1+IF(DG158&gt;19,DG158-19,0)*1+IF(DG158&gt;20,DG158-20,0)*1</f>
        <v>77.007183908045945</v>
      </c>
      <c r="DK158" s="242">
        <f>IF(DH158&lt;=0,1,0)+IF(DH158&gt;0,DH158+1,0)*1+IF(DH158&gt;12,DH158-12,0)*1+IF(DH158&gt;13,DH158-13,0)*1+IF(DH158&gt;14,DH158-14,0)*1+IF(DH158&gt;15,DH158-15,0)*1+IF(DH158&gt;16,DH158-16,0)*1+IF(DH158&gt;17,DH158-17,0)*1+IF(DH158&gt;18,DH158-18,0)*1+IF(DH158&gt;19,DH158-19,0)*1+IF(DH158&gt;20,DH158-20,0)*1</f>
        <v>1</v>
      </c>
      <c r="DL158" s="243">
        <f t="shared" si="1284"/>
        <v>76.007183908045945</v>
      </c>
      <c r="DM158" s="218">
        <f t="shared" si="1285"/>
        <v>0</v>
      </c>
      <c r="DO158" s="303" t="s">
        <v>368</v>
      </c>
      <c r="DP158" s="304" t="s">
        <v>86</v>
      </c>
      <c r="DQ158" s="305" t="s">
        <v>133</v>
      </c>
      <c r="DR158" s="317">
        <f>Konvention_1slave-MUslave</f>
        <v>12</v>
      </c>
      <c r="DS158" s="254"/>
      <c r="DT158" s="254">
        <f t="shared" si="1345"/>
        <v>12</v>
      </c>
      <c r="DU158" s="254">
        <f>Konvention_1slave-CHslave_CH</f>
        <v>11</v>
      </c>
      <c r="DV158" s="254"/>
      <c r="DW158" s="254"/>
      <c r="DX158" s="254"/>
      <c r="DY158" s="318"/>
      <c r="DZ158" s="223">
        <f>(DR158+DS158+DT158+DU158+DV158+DW158+DX158+DY158)/3</f>
        <v>11.666666666666666</v>
      </c>
      <c r="EA158" s="223">
        <f t="shared" si="1286"/>
        <v>23.333333333333332</v>
      </c>
      <c r="EB158" s="224">
        <f t="shared" si="1287"/>
        <v>35</v>
      </c>
      <c r="EC158" s="237">
        <f t="shared" si="1354"/>
        <v>2432</v>
      </c>
      <c r="ED158" s="254">
        <f>DR158*DT158*CHslave_CH+DR158*INslave*DU158+MUslave*DT158*DU158</f>
        <v>3408</v>
      </c>
      <c r="EE158" s="224">
        <f>IFERROR(DR158^SIGN(DR158),1)*IFERROR(DS158^SIGN(DS158),1)*IFERROR(DT158^SIGN(DT158),1)*IFERROR(DU158^SIGN(DU158),1)*IFERROR(DV158^SIGN(DV158),1)*IFERROR(DW158^SIGN(DW158),1)*IFERROR(DX158^SIGN(DX158),1)*IFERROR(DY158^SIGN(DY158),1)</f>
        <v>1584</v>
      </c>
      <c r="EF158" s="224">
        <f t="shared" si="1288"/>
        <v>7424</v>
      </c>
      <c r="EG158" s="222">
        <f t="shared" si="1289"/>
        <v>3.8218390804597702</v>
      </c>
      <c r="EH158" s="223">
        <f t="shared" si="1290"/>
        <v>10.711206896551724</v>
      </c>
      <c r="EI158" s="243">
        <f t="shared" si="1291"/>
        <v>7.4676724137931032</v>
      </c>
      <c r="EJ158" s="243">
        <f t="shared" si="1292"/>
        <v>22.000718390804597</v>
      </c>
      <c r="EK158" s="252">
        <f t="shared" si="1293"/>
        <v>0</v>
      </c>
      <c r="EL158" s="309">
        <f t="shared" si="1294"/>
        <v>22.000718390804597</v>
      </c>
      <c r="EM158" s="218">
        <f>IF(EJ158&lt;=0,1,0)+IF(EJ158&gt;0,EJ158+1,0)*1+IF(EJ158&gt;12,EJ158-12,0)*1+IF(EJ158&gt;13,EJ158-13,0)*1+IF(EJ158&gt;14,EJ158-14,0)*1+IF(EJ158&gt;15,EJ158-15,0)*1+IF(EJ158&gt;16,EJ158-16,0)*1+IF(EJ158&gt;17,EJ158-17,0)*1+IF(EJ158&gt;18,EJ158-18,0)*1+IF(EJ158&gt;19,EJ158-19,0)*1+IF(EJ158&gt;20,EJ158-20,0)*1</f>
        <v>77.007183908045945</v>
      </c>
      <c r="EN158" s="242">
        <f>IF(EK158&lt;=0,1,0)+IF(EK158&gt;0,EK158+1,0)*1+IF(EK158&gt;12,EK158-12,0)*1+IF(EK158&gt;13,EK158-13,0)*1+IF(EK158&gt;14,EK158-14,0)*1+IF(EK158&gt;15,EK158-15,0)*1+IF(EK158&gt;16,EK158-16,0)*1+IF(EK158&gt;17,EK158-17,0)*1+IF(EK158&gt;18,EK158-18,0)*1+IF(EK158&gt;19,EK158-19,0)*1+IF(EK158&gt;20,EK158-20,0)*1</f>
        <v>1</v>
      </c>
      <c r="EO158" s="243">
        <f t="shared" si="1295"/>
        <v>76.007183908045945</v>
      </c>
      <c r="EP158" s="218">
        <f t="shared" si="1296"/>
        <v>0</v>
      </c>
      <c r="ER158" s="303" t="s">
        <v>368</v>
      </c>
      <c r="ES158" s="304" t="s">
        <v>86</v>
      </c>
      <c r="ET158" s="305" t="s">
        <v>133</v>
      </c>
      <c r="EU158" s="317">
        <f>Konvention_1slave-MUslave</f>
        <v>12</v>
      </c>
      <c r="EV158" s="254"/>
      <c r="EW158" s="254">
        <f t="shared" si="1346"/>
        <v>12</v>
      </c>
      <c r="EX158" s="254">
        <f>Konvention_1slave-CHslave</f>
        <v>12</v>
      </c>
      <c r="EY158" s="254"/>
      <c r="EZ158" s="254"/>
      <c r="FA158" s="254"/>
      <c r="FB158" s="318"/>
      <c r="FC158" s="223">
        <f>(EU158+EV158+EW158+EX158+EY158+EZ158+FA158+FB158)/3</f>
        <v>12</v>
      </c>
      <c r="FD158" s="223">
        <f t="shared" si="1297"/>
        <v>24</v>
      </c>
      <c r="FE158" s="224">
        <f t="shared" si="1298"/>
        <v>36</v>
      </c>
      <c r="FF158" s="237">
        <f t="shared" si="1355"/>
        <v>2304</v>
      </c>
      <c r="FG158" s="254">
        <f>EU158*EW158*CHslave+EU158*INslave*EX158+MUslave*EW158*EX158</f>
        <v>3456</v>
      </c>
      <c r="FH158" s="224">
        <f>IFERROR(EU158^SIGN(EU158),1)*IFERROR(EV158^SIGN(EV158),1)*IFERROR(EW158^SIGN(EW158),1)*IFERROR(EX158^SIGN(EX158),1)*IFERROR(EY158^SIGN(EY158),1)*IFERROR(EZ158^SIGN(EZ158),1)*IFERROR(FA158^SIGN(FA158),1)*IFERROR(FB158^SIGN(FB158),1)</f>
        <v>1728</v>
      </c>
      <c r="FI158" s="224">
        <f t="shared" si="1299"/>
        <v>7488</v>
      </c>
      <c r="FJ158" s="222">
        <f t="shared" si="1300"/>
        <v>3.6923076923076925</v>
      </c>
      <c r="FK158" s="223">
        <f t="shared" si="1301"/>
        <v>11.076923076923077</v>
      </c>
      <c r="FL158" s="243">
        <f t="shared" si="1302"/>
        <v>8.3076923076923084</v>
      </c>
      <c r="FM158" s="243">
        <f t="shared" si="1303"/>
        <v>23.07692307692308</v>
      </c>
      <c r="FN158" s="252">
        <f t="shared" si="1304"/>
        <v>0</v>
      </c>
      <c r="FO158" s="309">
        <f t="shared" si="1305"/>
        <v>23.07692307692308</v>
      </c>
      <c r="FP158" s="218">
        <f>IF(FM158&lt;=0,1,0)+IF(FM158&gt;0,FM158+1,0)*1+IF(FM158&gt;12,FM158-12,0)*1+IF(FM158&gt;13,FM158-13,0)*1+IF(FM158&gt;14,FM158-14,0)*1+IF(FM158&gt;15,FM158-15,0)*1+IF(FM158&gt;16,FM158-16,0)*1+IF(FM158&gt;17,FM158-17,0)*1+IF(FM158&gt;18,FM158-18,0)*1+IF(FM158&gt;19,FM158-19,0)*1+IF(FM158&gt;20,FM158-20,0)*1</f>
        <v>87.769230769230802</v>
      </c>
      <c r="FQ158" s="242">
        <f>IF(FN158&lt;=0,1,0)+IF(FN158&gt;0,FN158+1,0)*1+IF(FN158&gt;12,FN158-12,0)*1+IF(FN158&gt;13,FN158-13,0)*1+IF(FN158&gt;14,FN158-14,0)*1+IF(FN158&gt;15,FN158-15,0)*1+IF(FN158&gt;16,FN158-16,0)*1+IF(FN158&gt;17,FN158-17,0)*1+IF(FN158&gt;18,FN158-18,0)*1+IF(FN158&gt;19,FN158-19,0)*1+IF(FN158&gt;20,FN158-20,0)*1</f>
        <v>1</v>
      </c>
      <c r="FR158" s="243">
        <f t="shared" si="1306"/>
        <v>86.769230769230802</v>
      </c>
      <c r="FS158" s="218">
        <f t="shared" si="1307"/>
        <v>0</v>
      </c>
      <c r="FU158" s="303" t="s">
        <v>368</v>
      </c>
      <c r="FV158" s="304" t="s">
        <v>86</v>
      </c>
      <c r="FW158" s="305" t="s">
        <v>133</v>
      </c>
      <c r="FX158" s="317">
        <f>Konvention_1slave-MUslave</f>
        <v>12</v>
      </c>
      <c r="FY158" s="254"/>
      <c r="FZ158" s="254">
        <f t="shared" si="1347"/>
        <v>12</v>
      </c>
      <c r="GA158" s="254">
        <f>Konvention_1slave-CHslave</f>
        <v>12</v>
      </c>
      <c r="GB158" s="254"/>
      <c r="GC158" s="254"/>
      <c r="GD158" s="254"/>
      <c r="GE158" s="318"/>
      <c r="GF158" s="223">
        <f>(FX158+FY158+FZ158+GA158+GB158+GC158+GD158+GE158)/3</f>
        <v>12</v>
      </c>
      <c r="GG158" s="223">
        <f t="shared" si="1308"/>
        <v>24</v>
      </c>
      <c r="GH158" s="224">
        <f t="shared" si="1309"/>
        <v>36</v>
      </c>
      <c r="GI158" s="237">
        <f t="shared" si="1356"/>
        <v>2304</v>
      </c>
      <c r="GJ158" s="254">
        <f>FX158*FZ158*CHslave+FX158*INslave*GA158+MUslave*FZ158*GA158</f>
        <v>3456</v>
      </c>
      <c r="GK158" s="224">
        <f>IFERROR(FX158^SIGN(FX158),1)*IFERROR(FY158^SIGN(FY158),1)*IFERROR(FZ158^SIGN(FZ158),1)*IFERROR(GA158^SIGN(GA158),1)*IFERROR(GB158^SIGN(GB158),1)*IFERROR(GC158^SIGN(GC158),1)*IFERROR(GD158^SIGN(GD158),1)*IFERROR(GE158^SIGN(GE158),1)</f>
        <v>1728</v>
      </c>
      <c r="GL158" s="224">
        <f t="shared" si="1310"/>
        <v>7488</v>
      </c>
      <c r="GM158" s="222">
        <f t="shared" si="1311"/>
        <v>3.6923076923076925</v>
      </c>
      <c r="GN158" s="223">
        <f t="shared" si="1312"/>
        <v>11.076923076923077</v>
      </c>
      <c r="GO158" s="243">
        <f t="shared" si="1313"/>
        <v>8.3076923076923084</v>
      </c>
      <c r="GP158" s="243">
        <f t="shared" si="1314"/>
        <v>23.07692307692308</v>
      </c>
      <c r="GQ158" s="252">
        <f t="shared" si="1315"/>
        <v>0</v>
      </c>
      <c r="GR158" s="309">
        <f t="shared" si="1316"/>
        <v>23.07692307692308</v>
      </c>
      <c r="GS158" s="218">
        <f>IF(GP158&lt;=0,1,0)+IF(GP158&gt;0,GP158+1,0)*1+IF(GP158&gt;12,GP158-12,0)*1+IF(GP158&gt;13,GP158-13,0)*1+IF(GP158&gt;14,GP158-14,0)*1+IF(GP158&gt;15,GP158-15,0)*1+IF(GP158&gt;16,GP158-16,0)*1+IF(GP158&gt;17,GP158-17,0)*1+IF(GP158&gt;18,GP158-18,0)*1+IF(GP158&gt;19,GP158-19,0)*1+IF(GP158&gt;20,GP158-20,0)*1</f>
        <v>87.769230769230802</v>
      </c>
      <c r="GT158" s="242">
        <f>IF(GQ158&lt;=0,1,0)+IF(GQ158&gt;0,GQ158+1,0)*1+IF(GQ158&gt;12,GQ158-12,0)*1+IF(GQ158&gt;13,GQ158-13,0)*1+IF(GQ158&gt;14,GQ158-14,0)*1+IF(GQ158&gt;15,GQ158-15,0)*1+IF(GQ158&gt;16,GQ158-16,0)*1+IF(GQ158&gt;17,GQ158-17,0)*1+IF(GQ158&gt;18,GQ158-18,0)*1+IF(GQ158&gt;19,GQ158-19,0)*1+IF(GQ158&gt;20,GQ158-20,0)*1</f>
        <v>1</v>
      </c>
      <c r="GU158" s="243">
        <f t="shared" si="1317"/>
        <v>86.769230769230802</v>
      </c>
      <c r="GV158" s="218">
        <f t="shared" si="1318"/>
        <v>0</v>
      </c>
      <c r="GX158" s="303" t="s">
        <v>368</v>
      </c>
      <c r="GY158" s="304" t="s">
        <v>86</v>
      </c>
      <c r="GZ158" s="305" t="s">
        <v>133</v>
      </c>
      <c r="HA158" s="317">
        <f>Konvention_1slave-MUslave</f>
        <v>12</v>
      </c>
      <c r="HB158" s="254"/>
      <c r="HC158" s="254">
        <f t="shared" si="1348"/>
        <v>12</v>
      </c>
      <c r="HD158" s="254">
        <f>Konvention_1slave-CHslave</f>
        <v>12</v>
      </c>
      <c r="HE158" s="254"/>
      <c r="HF158" s="254"/>
      <c r="HG158" s="254"/>
      <c r="HH158" s="318"/>
      <c r="HI158" s="223">
        <f>(HA158+HB158+HC158+HD158+HE158+HF158+HG158+HH158)/3</f>
        <v>12</v>
      </c>
      <c r="HJ158" s="223">
        <f t="shared" si="1319"/>
        <v>24</v>
      </c>
      <c r="HK158" s="224">
        <f t="shared" si="1320"/>
        <v>36</v>
      </c>
      <c r="HL158" s="237">
        <f t="shared" si="1357"/>
        <v>2304</v>
      </c>
      <c r="HM158" s="254">
        <f>HA158*HC158*CHslave+HA158*INslave*HD158+MUslave*HC158*HD158</f>
        <v>3456</v>
      </c>
      <c r="HN158" s="224">
        <f>IFERROR(HA158^SIGN(HA158),1)*IFERROR(HB158^SIGN(HB158),1)*IFERROR(HC158^SIGN(HC158),1)*IFERROR(HD158^SIGN(HD158),1)*IFERROR(HE158^SIGN(HE158),1)*IFERROR(HF158^SIGN(HF158),1)*IFERROR(HG158^SIGN(HG158),1)*IFERROR(HH158^SIGN(HH158),1)</f>
        <v>1728</v>
      </c>
      <c r="HO158" s="224">
        <f t="shared" si="1321"/>
        <v>7488</v>
      </c>
      <c r="HP158" s="222">
        <f t="shared" si="1322"/>
        <v>3.6923076923076925</v>
      </c>
      <c r="HQ158" s="223">
        <f t="shared" si="1323"/>
        <v>11.076923076923077</v>
      </c>
      <c r="HR158" s="243">
        <f t="shared" si="1324"/>
        <v>8.3076923076923084</v>
      </c>
      <c r="HS158" s="243">
        <f t="shared" si="1325"/>
        <v>23.07692307692308</v>
      </c>
      <c r="HT158" s="252">
        <f t="shared" si="1326"/>
        <v>0</v>
      </c>
      <c r="HU158" s="309">
        <f t="shared" si="1327"/>
        <v>23.07692307692308</v>
      </c>
      <c r="HV158" s="218">
        <f>IF(HS158&lt;=0,1,0)+IF(HS158&gt;0,HS158+1,0)*1+IF(HS158&gt;12,HS158-12,0)*1+IF(HS158&gt;13,HS158-13,0)*1+IF(HS158&gt;14,HS158-14,0)*1+IF(HS158&gt;15,HS158-15,0)*1+IF(HS158&gt;16,HS158-16,0)*1+IF(HS158&gt;17,HS158-17,0)*1+IF(HS158&gt;18,HS158-18,0)*1+IF(HS158&gt;19,HS158-19,0)*1+IF(HS158&gt;20,HS158-20,0)*1</f>
        <v>87.769230769230802</v>
      </c>
      <c r="HW158" s="242">
        <f>IF(HT158&lt;=0,1,0)+IF(HT158&gt;0,HT158+1,0)*1+IF(HT158&gt;12,HT158-12,0)*1+IF(HT158&gt;13,HT158-13,0)*1+IF(HT158&gt;14,HT158-14,0)*1+IF(HT158&gt;15,HT158-15,0)*1+IF(HT158&gt;16,HT158-16,0)*1+IF(HT158&gt;17,HT158-17,0)*1+IF(HT158&gt;18,HT158-18,0)*1+IF(HT158&gt;19,HT158-19,0)*1+IF(HT158&gt;20,HT158-20,0)*1</f>
        <v>1</v>
      </c>
      <c r="HX158" s="243">
        <f t="shared" si="1328"/>
        <v>86.769230769230802</v>
      </c>
      <c r="HY158" s="218">
        <f t="shared" si="1329"/>
        <v>0</v>
      </c>
      <c r="IA158" s="303" t="s">
        <v>368</v>
      </c>
      <c r="IB158" s="304" t="s">
        <v>86</v>
      </c>
      <c r="IC158" s="305" t="s">
        <v>133</v>
      </c>
      <c r="ID158" s="317">
        <f>Konvention_1slave-MUslave</f>
        <v>12</v>
      </c>
      <c r="IE158" s="254"/>
      <c r="IF158" s="254">
        <f t="shared" si="1349"/>
        <v>12</v>
      </c>
      <c r="IG158" s="254">
        <f>Konvention_1slave-CHslave</f>
        <v>12</v>
      </c>
      <c r="IH158" s="254"/>
      <c r="II158" s="254"/>
      <c r="IJ158" s="254"/>
      <c r="IK158" s="318"/>
      <c r="IL158" s="223">
        <f>(ID158+IE158+IF158+IG158+IH158+II158+IJ158+IK158)/3</f>
        <v>12</v>
      </c>
      <c r="IM158" s="223">
        <f t="shared" si="1330"/>
        <v>24</v>
      </c>
      <c r="IN158" s="224">
        <f t="shared" si="1331"/>
        <v>36</v>
      </c>
      <c r="IO158" s="237">
        <f t="shared" si="1358"/>
        <v>2304</v>
      </c>
      <c r="IP158" s="254">
        <f>ID158*IF158*CHslave+ID158*INslave*IG158+MUslave*IF158*IG158</f>
        <v>3456</v>
      </c>
      <c r="IQ158" s="224">
        <f>IFERROR(ID158^SIGN(ID158),1)*IFERROR(IE158^SIGN(IE158),1)*IFERROR(IF158^SIGN(IF158),1)*IFERROR(IG158^SIGN(IG158),1)*IFERROR(IH158^SIGN(IH158),1)*IFERROR(II158^SIGN(II158),1)*IFERROR(IJ158^SIGN(IJ158),1)*IFERROR(IK158^SIGN(IK158),1)</f>
        <v>1728</v>
      </c>
      <c r="IR158" s="224">
        <f t="shared" si="1332"/>
        <v>7488</v>
      </c>
      <c r="IS158" s="222">
        <f t="shared" si="1333"/>
        <v>3.6923076923076925</v>
      </c>
      <c r="IT158" s="223">
        <f t="shared" si="1334"/>
        <v>11.076923076923077</v>
      </c>
      <c r="IU158" s="243">
        <f t="shared" si="1335"/>
        <v>8.3076923076923084</v>
      </c>
      <c r="IV158" s="243">
        <f t="shared" si="1336"/>
        <v>23.07692307692308</v>
      </c>
      <c r="IW158" s="252">
        <f t="shared" si="1337"/>
        <v>0</v>
      </c>
      <c r="IX158" s="309">
        <f t="shared" si="1338"/>
        <v>23.07692307692308</v>
      </c>
      <c r="IY158" s="218">
        <f>IF(IV158&lt;=0,1,0)+IF(IV158&gt;0,IV158+1,0)*1+IF(IV158&gt;12,IV158-12,0)*1+IF(IV158&gt;13,IV158-13,0)*1+IF(IV158&gt;14,IV158-14,0)*1+IF(IV158&gt;15,IV158-15,0)*1+IF(IV158&gt;16,IV158-16,0)*1+IF(IV158&gt;17,IV158-17,0)*1+IF(IV158&gt;18,IV158-18,0)*1+IF(IV158&gt;19,IV158-19,0)*1+IF(IV158&gt;20,IV158-20,0)*1</f>
        <v>87.769230769230802</v>
      </c>
      <c r="IZ158" s="242">
        <f>IF(IW158&lt;=0,1,0)+IF(IW158&gt;0,IW158+1,0)*1+IF(IW158&gt;12,IW158-12,0)*1+IF(IW158&gt;13,IW158-13,0)*1+IF(IW158&gt;14,IW158-14,0)*1+IF(IW158&gt;15,IW158-15,0)*1+IF(IW158&gt;16,IW158-16,0)*1+IF(IW158&gt;17,IW158-17,0)*1+IF(IW158&gt;18,IW158-18,0)*1+IF(IW158&gt;19,IW158-19,0)*1+IF(IW158&gt;20,IW158-20,0)*1</f>
        <v>1</v>
      </c>
      <c r="JA158" s="243">
        <f t="shared" si="1339"/>
        <v>86.769230769230802</v>
      </c>
      <c r="JB158" s="218">
        <f t="shared" si="1340"/>
        <v>0</v>
      </c>
      <c r="JE158" s="148"/>
    </row>
    <row r="159" spans="2:265" ht="15" hidden="1" customHeight="1" outlineLevel="2">
      <c r="B159" s="148">
        <v>7</v>
      </c>
      <c r="C159" s="303" t="e">
        <f>VLOOKUP(AF159,Attribute!C:T,1,FALSE)</f>
        <v>#N/A</v>
      </c>
      <c r="D159" s="86" t="s">
        <v>436</v>
      </c>
      <c r="E159" s="167" t="s">
        <v>134</v>
      </c>
      <c r="F159" s="120">
        <f>Konvention_1master-MUmaster</f>
        <v>12</v>
      </c>
      <c r="G159" s="117"/>
      <c r="H159" s="117">
        <f t="shared" si="1341"/>
        <v>12</v>
      </c>
      <c r="I159" s="117"/>
      <c r="J159" s="117"/>
      <c r="K159" s="117"/>
      <c r="L159" s="117"/>
      <c r="M159" s="121">
        <f>Konvention_1master-KKmaster</f>
        <v>12</v>
      </c>
      <c r="N159" s="223">
        <f>(F159+G159+H159+I159+J159+K159+L159+M159)/3</f>
        <v>12</v>
      </c>
      <c r="O159" s="223">
        <f t="shared" si="1243"/>
        <v>24</v>
      </c>
      <c r="P159" s="224">
        <f t="shared" si="1244"/>
        <v>36</v>
      </c>
      <c r="Q159" s="237">
        <f t="shared" si="1350"/>
        <v>2304</v>
      </c>
      <c r="R159" s="117">
        <f>F159*H159*KKmaster+F159*INmaster*M159+MUmaster*H159*M159</f>
        <v>3456</v>
      </c>
      <c r="S159" s="224">
        <f>IFERROR(F159^SIGN(F159),1)*IFERROR(G159^SIGN(G159),1)*IFERROR(H159^SIGN(H159),1)*IFERROR(I159^SIGN(I159),1)*IFERROR(J159^SIGN(J159),1)*IFERROR(K159^SIGN(K159),1)*IFERROR(L159^SIGN(L159),1)*IFERROR(M159^SIGN(M159),1)</f>
        <v>1728</v>
      </c>
      <c r="T159" s="224">
        <f t="shared" si="1245"/>
        <v>7488</v>
      </c>
      <c r="U159" s="222">
        <f t="shared" si="1246"/>
        <v>3.6923076923076925</v>
      </c>
      <c r="V159" s="223">
        <f t="shared" si="1247"/>
        <v>11.076923076923077</v>
      </c>
      <c r="W159" s="243">
        <f t="shared" si="1248"/>
        <v>8.3076923076923084</v>
      </c>
      <c r="X159" s="243">
        <f t="shared" si="1249"/>
        <v>23.07692307692308</v>
      </c>
      <c r="Y159" s="252">
        <v>0</v>
      </c>
      <c r="Z159" s="198">
        <f t="shared" si="1250"/>
        <v>23.07692307692308</v>
      </c>
      <c r="AA159" s="125">
        <f>IF(X159&lt;=0,4,0)+IF(X159&gt;0,X159+1,0)*4+IF(X159&gt;12,X159-12,0)*4+IF(X159&gt;13,X159-13,0)*4+IF(X159&gt;14,X159-14,0)*4+IF(X159&gt;15,X159-15,0)*4+IF(X159&gt;16,X159-16,0)*4+IF(X159&gt;17,X159-17,0)*4+IF(X159&gt;18,X159-18,0)*4+IF(X159&gt;19,X159-19,0)*4+IF(X159&gt;20,X159-20,0)*4</f>
        <v>351.07692307692321</v>
      </c>
      <c r="AB159" s="160">
        <f>IF(Y159&lt;=0,4,0)+IF(Y159&gt;0,Y159+1,0)*4+IF(Y159&gt;12,Y159-12,0)*4+IF(Y159&gt;13,Y159-13,0)*4+IF(Y159&gt;14,Y159-14,0)*4+IF(Y159&gt;15,Y159-15,0)*4+IF(Y159&gt;16,Y159-16,0)*4+IF(Y159&gt;17,Y159-17,0)*4+IF(Y159&gt;18,Y159-18,0)*4+IF(Y159&gt;19,Y159-19,0)*4+IF(Y159&gt;20,Y159-20,0)*4</f>
        <v>4</v>
      </c>
      <c r="AC159" s="127">
        <f t="shared" si="1251"/>
        <v>347.07692307692321</v>
      </c>
      <c r="AD159" s="125">
        <f t="shared" si="1252"/>
        <v>0</v>
      </c>
      <c r="AF159" s="163" t="s">
        <v>380</v>
      </c>
      <c r="AG159" s="86" t="s">
        <v>436</v>
      </c>
      <c r="AH159" s="167" t="s">
        <v>134</v>
      </c>
      <c r="AI159" s="120">
        <f>Konvention_1slave-MUslave_MU</f>
        <v>11</v>
      </c>
      <c r="AJ159" s="117"/>
      <c r="AK159" s="117">
        <f t="shared" si="1342"/>
        <v>12</v>
      </c>
      <c r="AL159" s="117"/>
      <c r="AM159" s="117"/>
      <c r="AN159" s="117"/>
      <c r="AO159" s="117"/>
      <c r="AP159" s="121">
        <f>Konvention_1slave-KKslave</f>
        <v>12</v>
      </c>
      <c r="AQ159" s="47">
        <f>(AI159+AJ159+AK159+AL159+AM159+AN159+AO159+AP159)/3</f>
        <v>11.666666666666666</v>
      </c>
      <c r="AR159" s="3">
        <f t="shared" si="1253"/>
        <v>23.333333333333332</v>
      </c>
      <c r="AS159" s="174">
        <f t="shared" si="1254"/>
        <v>35</v>
      </c>
      <c r="AT159" s="114">
        <f t="shared" si="1351"/>
        <v>2432</v>
      </c>
      <c r="AU159" s="117">
        <f>AI159*AK159*KKslave+AI159*INslave*AP159+MUslave_MU*AK159*AP159</f>
        <v>3408</v>
      </c>
      <c r="AV159" s="119">
        <f>IFERROR(AI159^SIGN(AI159),1)*IFERROR(AJ159^SIGN(AJ159),1)*IFERROR(AK159^SIGN(AK159),1)*IFERROR(AL159^SIGN(AL159),1)*IFERROR(AM159^SIGN(AM159),1)*IFERROR(AN159^SIGN(AN159),1)*IFERROR(AO159^SIGN(AO159),1)*IFERROR(AP159^SIGN(AP159),1)</f>
        <v>1584</v>
      </c>
      <c r="AW159" s="119">
        <f t="shared" si="1255"/>
        <v>7424</v>
      </c>
      <c r="AX159" s="89">
        <f t="shared" si="1256"/>
        <v>3.8218390804597702</v>
      </c>
      <c r="AY159" s="47">
        <f t="shared" si="1257"/>
        <v>10.711206896551724</v>
      </c>
      <c r="AZ159" s="127">
        <f t="shared" si="1258"/>
        <v>7.4676724137931032</v>
      </c>
      <c r="BA159" s="127">
        <f t="shared" si="1259"/>
        <v>22.000718390804597</v>
      </c>
      <c r="BB159" s="165">
        <f t="shared" si="1260"/>
        <v>0</v>
      </c>
      <c r="BC159" s="198">
        <f t="shared" si="1261"/>
        <v>22.000718390804597</v>
      </c>
      <c r="BD159" s="125">
        <f>IF(BA159&lt;=0,4,0)+IF(BA159&gt;0,BA159+1,0)*4+IF(BA159&gt;12,BA159-12,0)*4+IF(BA159&gt;13,BA159-13,0)*4+IF(BA159&gt;14,BA159-14,0)*4+IF(BA159&gt;15,BA159-15,0)*4+IF(BA159&gt;16,BA159-16,0)*4+IF(BA159&gt;17,BA159-17,0)*4+IF(BA159&gt;18,BA159-18,0)*4+IF(BA159&gt;19,BA159-19,0)*4+IF(BA159&gt;20,BA159-20,0)*4</f>
        <v>308.02873563218378</v>
      </c>
      <c r="BE159" s="160">
        <f>IF(BB159&lt;=0,4,0)+IF(BB159&gt;0,BB159+1,0)*4+IF(BB159&gt;12,BB159-12,0)*4+IF(BB159&gt;13,BB159-13,0)*4+IF(BB159&gt;14,BB159-14,0)*4+IF(BB159&gt;15,BB159-15,0)*4+IF(BB159&gt;16,BB159-16,0)*4+IF(BB159&gt;17,BB159-17,0)*4+IF(BB159&gt;18,BB159-18,0)*4+IF(BB159&gt;19,BB159-19,0)*4+IF(BB159&gt;20,BB159-20,0)*4</f>
        <v>4</v>
      </c>
      <c r="BF159" s="243">
        <f t="shared" si="1262"/>
        <v>304.02873563218378</v>
      </c>
      <c r="BG159" s="218">
        <f t="shared" si="1263"/>
        <v>0</v>
      </c>
      <c r="BI159" s="303" t="s">
        <v>380</v>
      </c>
      <c r="BJ159" s="304" t="s">
        <v>436</v>
      </c>
      <c r="BK159" s="305" t="s">
        <v>134</v>
      </c>
      <c r="BL159" s="317">
        <f>Konvention_1slave-MUslave</f>
        <v>12</v>
      </c>
      <c r="BM159" s="254"/>
      <c r="BN159" s="254">
        <f t="shared" si="1343"/>
        <v>12</v>
      </c>
      <c r="BO159" s="254"/>
      <c r="BP159" s="254"/>
      <c r="BQ159" s="254"/>
      <c r="BR159" s="254"/>
      <c r="BS159" s="318">
        <f>Konvention_1slave-KKslave</f>
        <v>12</v>
      </c>
      <c r="BT159" s="223">
        <f>(BL159+BM159+BN159+BO159+BP159+BQ159+BR159+BS159)/3</f>
        <v>12</v>
      </c>
      <c r="BU159" s="223">
        <f t="shared" si="1264"/>
        <v>24</v>
      </c>
      <c r="BV159" s="224">
        <f t="shared" si="1265"/>
        <v>36</v>
      </c>
      <c r="BW159" s="237">
        <f t="shared" si="1352"/>
        <v>2304</v>
      </c>
      <c r="BX159" s="254">
        <f>BL159*BN159*KKslave+BL159*INslave*BS159+MUslave*BN159*BS159</f>
        <v>3456</v>
      </c>
      <c r="BY159" s="224">
        <f>IFERROR(BL159^SIGN(BL159),1)*IFERROR(BM159^SIGN(BM159),1)*IFERROR(BN159^SIGN(BN159),1)*IFERROR(BO159^SIGN(BO159),1)*IFERROR(BP159^SIGN(BP159),1)*IFERROR(BQ159^SIGN(BQ159),1)*IFERROR(BR159^SIGN(BR159),1)*IFERROR(BS159^SIGN(BS159),1)</f>
        <v>1728</v>
      </c>
      <c r="BZ159" s="224">
        <f t="shared" si="1266"/>
        <v>7488</v>
      </c>
      <c r="CA159" s="222">
        <f t="shared" si="1267"/>
        <v>3.6923076923076925</v>
      </c>
      <c r="CB159" s="223">
        <f t="shared" si="1268"/>
        <v>11.076923076923077</v>
      </c>
      <c r="CC159" s="243">
        <f t="shared" si="1269"/>
        <v>8.3076923076923084</v>
      </c>
      <c r="CD159" s="243">
        <f t="shared" si="1270"/>
        <v>23.07692307692308</v>
      </c>
      <c r="CE159" s="252">
        <f t="shared" si="1271"/>
        <v>0</v>
      </c>
      <c r="CF159" s="309">
        <f t="shared" si="1272"/>
        <v>23.07692307692308</v>
      </c>
      <c r="CG159" s="218">
        <f>IF(CD159&lt;=0,4,0)+IF(CD159&gt;0,CD159+1,0)*4+IF(CD159&gt;12,CD159-12,0)*4+IF(CD159&gt;13,CD159-13,0)*4+IF(CD159&gt;14,CD159-14,0)*4+IF(CD159&gt;15,CD159-15,0)*4+IF(CD159&gt;16,CD159-16,0)*4+IF(CD159&gt;17,CD159-17,0)*4+IF(CD159&gt;18,CD159-18,0)*4+IF(CD159&gt;19,CD159-19,0)*4+IF(CD159&gt;20,CD159-20,0)*4</f>
        <v>351.07692307692321</v>
      </c>
      <c r="CH159" s="242">
        <f>IF(CE159&lt;=0,4,0)+IF(CE159&gt;0,CE159+1,0)*4+IF(CE159&gt;12,CE159-12,0)*4+IF(CE159&gt;13,CE159-13,0)*4+IF(CE159&gt;14,CE159-14,0)*4+IF(CE159&gt;15,CE159-15,0)*4+IF(CE159&gt;16,CE159-16,0)*4+IF(CE159&gt;17,CE159-17,0)*4+IF(CE159&gt;18,CE159-18,0)*4+IF(CE159&gt;19,CE159-19,0)*4+IF(CE159&gt;20,CE159-20,0)*4</f>
        <v>4</v>
      </c>
      <c r="CI159" s="243">
        <f t="shared" si="1273"/>
        <v>347.07692307692321</v>
      </c>
      <c r="CJ159" s="218">
        <f t="shared" si="1274"/>
        <v>0</v>
      </c>
      <c r="CL159" s="303" t="s">
        <v>380</v>
      </c>
      <c r="CM159" s="304" t="s">
        <v>436</v>
      </c>
      <c r="CN159" s="305" t="s">
        <v>134</v>
      </c>
      <c r="CO159" s="317">
        <f>Konvention_1slave-MUslave</f>
        <v>12</v>
      </c>
      <c r="CP159" s="254"/>
      <c r="CQ159" s="254">
        <f t="shared" si="1344"/>
        <v>11</v>
      </c>
      <c r="CR159" s="254"/>
      <c r="CS159" s="254"/>
      <c r="CT159" s="254"/>
      <c r="CU159" s="254"/>
      <c r="CV159" s="318">
        <f>Konvention_1slave-KKslave</f>
        <v>12</v>
      </c>
      <c r="CW159" s="223">
        <f>(CO159+CP159+CQ159+CR159+CS159+CT159+CU159+CV159)/3</f>
        <v>11.666666666666666</v>
      </c>
      <c r="CX159" s="223">
        <f t="shared" si="1275"/>
        <v>23.333333333333332</v>
      </c>
      <c r="CY159" s="224">
        <f t="shared" si="1276"/>
        <v>35</v>
      </c>
      <c r="CZ159" s="237">
        <f t="shared" si="1353"/>
        <v>2432</v>
      </c>
      <c r="DA159" s="254">
        <f>CO159*CQ159*KKslave+CO159*INslave_IN*CV159+MUslave*CQ159*CV159</f>
        <v>3408</v>
      </c>
      <c r="DB159" s="224">
        <f>IFERROR(CO159^SIGN(CO159),1)*IFERROR(CP159^SIGN(CP159),1)*IFERROR(CQ159^SIGN(CQ159),1)*IFERROR(CR159^SIGN(CR159),1)*IFERROR(CS159^SIGN(CS159),1)*IFERROR(CT159^SIGN(CT159),1)*IFERROR(CU159^SIGN(CU159),1)*IFERROR(CV159^SIGN(CV159),1)</f>
        <v>1584</v>
      </c>
      <c r="DC159" s="224">
        <f t="shared" si="1277"/>
        <v>7424</v>
      </c>
      <c r="DD159" s="222">
        <f t="shared" si="1278"/>
        <v>3.8218390804597702</v>
      </c>
      <c r="DE159" s="223">
        <f t="shared" si="1279"/>
        <v>10.711206896551724</v>
      </c>
      <c r="DF159" s="243">
        <f t="shared" si="1280"/>
        <v>7.4676724137931032</v>
      </c>
      <c r="DG159" s="243">
        <f t="shared" si="1281"/>
        <v>22.000718390804597</v>
      </c>
      <c r="DH159" s="252">
        <f t="shared" si="1282"/>
        <v>0</v>
      </c>
      <c r="DI159" s="309">
        <f t="shared" si="1283"/>
        <v>22.000718390804597</v>
      </c>
      <c r="DJ159" s="218">
        <f>IF(DG159&lt;=0,4,0)+IF(DG159&gt;0,DG159+1,0)*4+IF(DG159&gt;12,DG159-12,0)*4+IF(DG159&gt;13,DG159-13,0)*4+IF(DG159&gt;14,DG159-14,0)*4+IF(DG159&gt;15,DG159-15,0)*4+IF(DG159&gt;16,DG159-16,0)*4+IF(DG159&gt;17,DG159-17,0)*4+IF(DG159&gt;18,DG159-18,0)*4+IF(DG159&gt;19,DG159-19,0)*4+IF(DG159&gt;20,DG159-20,0)*4</f>
        <v>308.02873563218378</v>
      </c>
      <c r="DK159" s="242">
        <f>IF(DH159&lt;=0,4,0)+IF(DH159&gt;0,DH159+1,0)*4+IF(DH159&gt;12,DH159-12,0)*4+IF(DH159&gt;13,DH159-13,0)*4+IF(DH159&gt;14,DH159-14,0)*4+IF(DH159&gt;15,DH159-15,0)*4+IF(DH159&gt;16,DH159-16,0)*4+IF(DH159&gt;17,DH159-17,0)*4+IF(DH159&gt;18,DH159-18,0)*4+IF(DH159&gt;19,DH159-19,0)*4+IF(DH159&gt;20,DH159-20,0)*4</f>
        <v>4</v>
      </c>
      <c r="DL159" s="243">
        <f t="shared" si="1284"/>
        <v>304.02873563218378</v>
      </c>
      <c r="DM159" s="218">
        <f t="shared" si="1285"/>
        <v>0</v>
      </c>
      <c r="DO159" s="303" t="s">
        <v>380</v>
      </c>
      <c r="DP159" s="304" t="s">
        <v>436</v>
      </c>
      <c r="DQ159" s="305" t="s">
        <v>134</v>
      </c>
      <c r="DR159" s="317">
        <f>Konvention_1slave-MUslave</f>
        <v>12</v>
      </c>
      <c r="DS159" s="254"/>
      <c r="DT159" s="254">
        <f t="shared" si="1345"/>
        <v>12</v>
      </c>
      <c r="DU159" s="254"/>
      <c r="DV159" s="254"/>
      <c r="DW159" s="254"/>
      <c r="DX159" s="254"/>
      <c r="DY159" s="318">
        <f>Konvention_1slave-KKslave</f>
        <v>12</v>
      </c>
      <c r="DZ159" s="223">
        <f>(DR159+DS159+DT159+DU159+DV159+DW159+DX159+DY159)/3</f>
        <v>12</v>
      </c>
      <c r="EA159" s="223">
        <f t="shared" si="1286"/>
        <v>24</v>
      </c>
      <c r="EB159" s="224">
        <f t="shared" si="1287"/>
        <v>36</v>
      </c>
      <c r="EC159" s="237">
        <f t="shared" si="1354"/>
        <v>2304</v>
      </c>
      <c r="ED159" s="254">
        <f>DR159*DT159*KKslave+DR159*INslave*DY159+MUslave*DT159*DY159</f>
        <v>3456</v>
      </c>
      <c r="EE159" s="224">
        <f>IFERROR(DR159^SIGN(DR159),1)*IFERROR(DS159^SIGN(DS159),1)*IFERROR(DT159^SIGN(DT159),1)*IFERROR(DU159^SIGN(DU159),1)*IFERROR(DV159^SIGN(DV159),1)*IFERROR(DW159^SIGN(DW159),1)*IFERROR(DX159^SIGN(DX159),1)*IFERROR(DY159^SIGN(DY159),1)</f>
        <v>1728</v>
      </c>
      <c r="EF159" s="224">
        <f t="shared" si="1288"/>
        <v>7488</v>
      </c>
      <c r="EG159" s="222">
        <f t="shared" si="1289"/>
        <v>3.6923076923076925</v>
      </c>
      <c r="EH159" s="223">
        <f t="shared" si="1290"/>
        <v>11.076923076923077</v>
      </c>
      <c r="EI159" s="243">
        <f t="shared" si="1291"/>
        <v>8.3076923076923084</v>
      </c>
      <c r="EJ159" s="243">
        <f t="shared" si="1292"/>
        <v>23.07692307692308</v>
      </c>
      <c r="EK159" s="252">
        <f t="shared" si="1293"/>
        <v>0</v>
      </c>
      <c r="EL159" s="309">
        <f t="shared" si="1294"/>
        <v>23.07692307692308</v>
      </c>
      <c r="EM159" s="218">
        <f>IF(EJ159&lt;=0,4,0)+IF(EJ159&gt;0,EJ159+1,0)*4+IF(EJ159&gt;12,EJ159-12,0)*4+IF(EJ159&gt;13,EJ159-13,0)*4+IF(EJ159&gt;14,EJ159-14,0)*4+IF(EJ159&gt;15,EJ159-15,0)*4+IF(EJ159&gt;16,EJ159-16,0)*4+IF(EJ159&gt;17,EJ159-17,0)*4+IF(EJ159&gt;18,EJ159-18,0)*4+IF(EJ159&gt;19,EJ159-19,0)*4+IF(EJ159&gt;20,EJ159-20,0)*4</f>
        <v>351.07692307692321</v>
      </c>
      <c r="EN159" s="242">
        <f>IF(EK159&lt;=0,4,0)+IF(EK159&gt;0,EK159+1,0)*4+IF(EK159&gt;12,EK159-12,0)*4+IF(EK159&gt;13,EK159-13,0)*4+IF(EK159&gt;14,EK159-14,0)*4+IF(EK159&gt;15,EK159-15,0)*4+IF(EK159&gt;16,EK159-16,0)*4+IF(EK159&gt;17,EK159-17,0)*4+IF(EK159&gt;18,EK159-18,0)*4+IF(EK159&gt;19,EK159-19,0)*4+IF(EK159&gt;20,EK159-20,0)*4</f>
        <v>4</v>
      </c>
      <c r="EO159" s="243">
        <f t="shared" si="1295"/>
        <v>347.07692307692321</v>
      </c>
      <c r="EP159" s="218">
        <f t="shared" si="1296"/>
        <v>0</v>
      </c>
      <c r="ER159" s="303" t="s">
        <v>380</v>
      </c>
      <c r="ES159" s="304" t="s">
        <v>436</v>
      </c>
      <c r="ET159" s="305" t="s">
        <v>134</v>
      </c>
      <c r="EU159" s="317">
        <f>Konvention_1slave-MUslave</f>
        <v>12</v>
      </c>
      <c r="EV159" s="254"/>
      <c r="EW159" s="254">
        <f t="shared" si="1346"/>
        <v>12</v>
      </c>
      <c r="EX159" s="254"/>
      <c r="EY159" s="254"/>
      <c r="EZ159" s="254"/>
      <c r="FA159" s="254"/>
      <c r="FB159" s="318">
        <f>Konvention_1slave-KKslave</f>
        <v>12</v>
      </c>
      <c r="FC159" s="223">
        <f>(EU159+EV159+EW159+EX159+EY159+EZ159+FA159+FB159)/3</f>
        <v>12</v>
      </c>
      <c r="FD159" s="223">
        <f t="shared" si="1297"/>
        <v>24</v>
      </c>
      <c r="FE159" s="224">
        <f t="shared" si="1298"/>
        <v>36</v>
      </c>
      <c r="FF159" s="237">
        <f t="shared" si="1355"/>
        <v>2304</v>
      </c>
      <c r="FG159" s="254">
        <f>EU159*EW159*KKslave+EU159*INslave*FB159+MUslave*EW159*FB159</f>
        <v>3456</v>
      </c>
      <c r="FH159" s="224">
        <f>IFERROR(EU159^SIGN(EU159),1)*IFERROR(EV159^SIGN(EV159),1)*IFERROR(EW159^SIGN(EW159),1)*IFERROR(EX159^SIGN(EX159),1)*IFERROR(EY159^SIGN(EY159),1)*IFERROR(EZ159^SIGN(EZ159),1)*IFERROR(FA159^SIGN(FA159),1)*IFERROR(FB159^SIGN(FB159),1)</f>
        <v>1728</v>
      </c>
      <c r="FI159" s="224">
        <f t="shared" si="1299"/>
        <v>7488</v>
      </c>
      <c r="FJ159" s="222">
        <f t="shared" si="1300"/>
        <v>3.6923076923076925</v>
      </c>
      <c r="FK159" s="223">
        <f t="shared" si="1301"/>
        <v>11.076923076923077</v>
      </c>
      <c r="FL159" s="243">
        <f t="shared" si="1302"/>
        <v>8.3076923076923084</v>
      </c>
      <c r="FM159" s="243">
        <f t="shared" si="1303"/>
        <v>23.07692307692308</v>
      </c>
      <c r="FN159" s="252">
        <f t="shared" si="1304"/>
        <v>0</v>
      </c>
      <c r="FO159" s="309">
        <f t="shared" si="1305"/>
        <v>23.07692307692308</v>
      </c>
      <c r="FP159" s="218">
        <f>IF(FM159&lt;=0,4,0)+IF(FM159&gt;0,FM159+1,0)*4+IF(FM159&gt;12,FM159-12,0)*4+IF(FM159&gt;13,FM159-13,0)*4+IF(FM159&gt;14,FM159-14,0)*4+IF(FM159&gt;15,FM159-15,0)*4+IF(FM159&gt;16,FM159-16,0)*4+IF(FM159&gt;17,FM159-17,0)*4+IF(FM159&gt;18,FM159-18,0)*4+IF(FM159&gt;19,FM159-19,0)*4+IF(FM159&gt;20,FM159-20,0)*4</f>
        <v>351.07692307692321</v>
      </c>
      <c r="FQ159" s="242">
        <f>IF(FN159&lt;=0,4,0)+IF(FN159&gt;0,FN159+1,0)*4+IF(FN159&gt;12,FN159-12,0)*4+IF(FN159&gt;13,FN159-13,0)*4+IF(FN159&gt;14,FN159-14,0)*4+IF(FN159&gt;15,FN159-15,0)*4+IF(FN159&gt;16,FN159-16,0)*4+IF(FN159&gt;17,FN159-17,0)*4+IF(FN159&gt;18,FN159-18,0)*4+IF(FN159&gt;19,FN159-19,0)*4+IF(FN159&gt;20,FN159-20,0)*4</f>
        <v>4</v>
      </c>
      <c r="FR159" s="243">
        <f t="shared" si="1306"/>
        <v>347.07692307692321</v>
      </c>
      <c r="FS159" s="218">
        <f t="shared" si="1307"/>
        <v>0</v>
      </c>
      <c r="FU159" s="303" t="s">
        <v>380</v>
      </c>
      <c r="FV159" s="304" t="s">
        <v>436</v>
      </c>
      <c r="FW159" s="305" t="s">
        <v>134</v>
      </c>
      <c r="FX159" s="317">
        <f>Konvention_1slave-MUslave</f>
        <v>12</v>
      </c>
      <c r="FY159" s="254"/>
      <c r="FZ159" s="254">
        <f t="shared" si="1347"/>
        <v>12</v>
      </c>
      <c r="GA159" s="254"/>
      <c r="GB159" s="254"/>
      <c r="GC159" s="254"/>
      <c r="GD159" s="254"/>
      <c r="GE159" s="318">
        <f>Konvention_1slave-KKslave</f>
        <v>12</v>
      </c>
      <c r="GF159" s="223">
        <f>(FX159+FY159+FZ159+GA159+GB159+GC159+GD159+GE159)/3</f>
        <v>12</v>
      </c>
      <c r="GG159" s="223">
        <f t="shared" si="1308"/>
        <v>24</v>
      </c>
      <c r="GH159" s="224">
        <f t="shared" si="1309"/>
        <v>36</v>
      </c>
      <c r="GI159" s="237">
        <f t="shared" si="1356"/>
        <v>2304</v>
      </c>
      <c r="GJ159" s="254">
        <f>FX159*FZ159*KKslave+FX159*INslave*GE159+MUslave*FZ159*GE159</f>
        <v>3456</v>
      </c>
      <c r="GK159" s="224">
        <f>IFERROR(FX159^SIGN(FX159),1)*IFERROR(FY159^SIGN(FY159),1)*IFERROR(FZ159^SIGN(FZ159),1)*IFERROR(GA159^SIGN(GA159),1)*IFERROR(GB159^SIGN(GB159),1)*IFERROR(GC159^SIGN(GC159),1)*IFERROR(GD159^SIGN(GD159),1)*IFERROR(GE159^SIGN(GE159),1)</f>
        <v>1728</v>
      </c>
      <c r="GL159" s="224">
        <f t="shared" si="1310"/>
        <v>7488</v>
      </c>
      <c r="GM159" s="222">
        <f t="shared" si="1311"/>
        <v>3.6923076923076925</v>
      </c>
      <c r="GN159" s="223">
        <f t="shared" si="1312"/>
        <v>11.076923076923077</v>
      </c>
      <c r="GO159" s="243">
        <f t="shared" si="1313"/>
        <v>8.3076923076923084</v>
      </c>
      <c r="GP159" s="243">
        <f t="shared" si="1314"/>
        <v>23.07692307692308</v>
      </c>
      <c r="GQ159" s="252">
        <f t="shared" si="1315"/>
        <v>0</v>
      </c>
      <c r="GR159" s="309">
        <f t="shared" si="1316"/>
        <v>23.07692307692308</v>
      </c>
      <c r="GS159" s="218">
        <f>IF(GP159&lt;=0,4,0)+IF(GP159&gt;0,GP159+1,0)*4+IF(GP159&gt;12,GP159-12,0)*4+IF(GP159&gt;13,GP159-13,0)*4+IF(GP159&gt;14,GP159-14,0)*4+IF(GP159&gt;15,GP159-15,0)*4+IF(GP159&gt;16,GP159-16,0)*4+IF(GP159&gt;17,GP159-17,0)*4+IF(GP159&gt;18,GP159-18,0)*4+IF(GP159&gt;19,GP159-19,0)*4+IF(GP159&gt;20,GP159-20,0)*4</f>
        <v>351.07692307692321</v>
      </c>
      <c r="GT159" s="242">
        <f>IF(GQ159&lt;=0,4,0)+IF(GQ159&gt;0,GQ159+1,0)*4+IF(GQ159&gt;12,GQ159-12,0)*4+IF(GQ159&gt;13,GQ159-13,0)*4+IF(GQ159&gt;14,GQ159-14,0)*4+IF(GQ159&gt;15,GQ159-15,0)*4+IF(GQ159&gt;16,GQ159-16,0)*4+IF(GQ159&gt;17,GQ159-17,0)*4+IF(GQ159&gt;18,GQ159-18,0)*4+IF(GQ159&gt;19,GQ159-19,0)*4+IF(GQ159&gt;20,GQ159-20,0)*4</f>
        <v>4</v>
      </c>
      <c r="GU159" s="243">
        <f t="shared" si="1317"/>
        <v>347.07692307692321</v>
      </c>
      <c r="GV159" s="218">
        <f t="shared" si="1318"/>
        <v>0</v>
      </c>
      <c r="GX159" s="303" t="s">
        <v>380</v>
      </c>
      <c r="GY159" s="304" t="s">
        <v>436</v>
      </c>
      <c r="GZ159" s="305" t="s">
        <v>134</v>
      </c>
      <c r="HA159" s="317">
        <f>Konvention_1slave-MUslave</f>
        <v>12</v>
      </c>
      <c r="HB159" s="254"/>
      <c r="HC159" s="254">
        <f t="shared" si="1348"/>
        <v>12</v>
      </c>
      <c r="HD159" s="254"/>
      <c r="HE159" s="254"/>
      <c r="HF159" s="254"/>
      <c r="HG159" s="254"/>
      <c r="HH159" s="318">
        <f>Konvention_1slave-KKslave</f>
        <v>12</v>
      </c>
      <c r="HI159" s="223">
        <f>(HA159+HB159+HC159+HD159+HE159+HF159+HG159+HH159)/3</f>
        <v>12</v>
      </c>
      <c r="HJ159" s="223">
        <f t="shared" si="1319"/>
        <v>24</v>
      </c>
      <c r="HK159" s="224">
        <f t="shared" si="1320"/>
        <v>36</v>
      </c>
      <c r="HL159" s="237">
        <f t="shared" si="1357"/>
        <v>2304</v>
      </c>
      <c r="HM159" s="254">
        <f>HA159*HC159*KKslave+HA159*INslave*HH159+MUslave*HC159*HH159</f>
        <v>3456</v>
      </c>
      <c r="HN159" s="224">
        <f>IFERROR(HA159^SIGN(HA159),1)*IFERROR(HB159^SIGN(HB159),1)*IFERROR(HC159^SIGN(HC159),1)*IFERROR(HD159^SIGN(HD159),1)*IFERROR(HE159^SIGN(HE159),1)*IFERROR(HF159^SIGN(HF159),1)*IFERROR(HG159^SIGN(HG159),1)*IFERROR(HH159^SIGN(HH159),1)</f>
        <v>1728</v>
      </c>
      <c r="HO159" s="224">
        <f t="shared" si="1321"/>
        <v>7488</v>
      </c>
      <c r="HP159" s="222">
        <f t="shared" si="1322"/>
        <v>3.6923076923076925</v>
      </c>
      <c r="HQ159" s="223">
        <f t="shared" si="1323"/>
        <v>11.076923076923077</v>
      </c>
      <c r="HR159" s="243">
        <f t="shared" si="1324"/>
        <v>8.3076923076923084</v>
      </c>
      <c r="HS159" s="243">
        <f t="shared" si="1325"/>
        <v>23.07692307692308</v>
      </c>
      <c r="HT159" s="252">
        <f t="shared" si="1326"/>
        <v>0</v>
      </c>
      <c r="HU159" s="309">
        <f t="shared" si="1327"/>
        <v>23.07692307692308</v>
      </c>
      <c r="HV159" s="218">
        <f>IF(HS159&lt;=0,4,0)+IF(HS159&gt;0,HS159+1,0)*4+IF(HS159&gt;12,HS159-12,0)*4+IF(HS159&gt;13,HS159-13,0)*4+IF(HS159&gt;14,HS159-14,0)*4+IF(HS159&gt;15,HS159-15,0)*4+IF(HS159&gt;16,HS159-16,0)*4+IF(HS159&gt;17,HS159-17,0)*4+IF(HS159&gt;18,HS159-18,0)*4+IF(HS159&gt;19,HS159-19,0)*4+IF(HS159&gt;20,HS159-20,0)*4</f>
        <v>351.07692307692321</v>
      </c>
      <c r="HW159" s="242">
        <f>IF(HT159&lt;=0,4,0)+IF(HT159&gt;0,HT159+1,0)*4+IF(HT159&gt;12,HT159-12,0)*4+IF(HT159&gt;13,HT159-13,0)*4+IF(HT159&gt;14,HT159-14,0)*4+IF(HT159&gt;15,HT159-15,0)*4+IF(HT159&gt;16,HT159-16,0)*4+IF(HT159&gt;17,HT159-17,0)*4+IF(HT159&gt;18,HT159-18,0)*4+IF(HT159&gt;19,HT159-19,0)*4+IF(HT159&gt;20,HT159-20,0)*4</f>
        <v>4</v>
      </c>
      <c r="HX159" s="243">
        <f t="shared" si="1328"/>
        <v>347.07692307692321</v>
      </c>
      <c r="HY159" s="218">
        <f t="shared" si="1329"/>
        <v>0</v>
      </c>
      <c r="IA159" s="303" t="s">
        <v>380</v>
      </c>
      <c r="IB159" s="304" t="s">
        <v>436</v>
      </c>
      <c r="IC159" s="305" t="s">
        <v>134</v>
      </c>
      <c r="ID159" s="317">
        <f>Konvention_1slave-MUslave</f>
        <v>12</v>
      </c>
      <c r="IE159" s="254"/>
      <c r="IF159" s="254">
        <f t="shared" si="1349"/>
        <v>12</v>
      </c>
      <c r="IG159" s="254"/>
      <c r="IH159" s="254"/>
      <c r="II159" s="254"/>
      <c r="IJ159" s="254"/>
      <c r="IK159" s="318">
        <f>Konvention_1slave-KKslave_KK</f>
        <v>11</v>
      </c>
      <c r="IL159" s="223">
        <f>(ID159+IE159+IF159+IG159+IH159+II159+IJ159+IK159)/3</f>
        <v>11.666666666666666</v>
      </c>
      <c r="IM159" s="223">
        <f t="shared" si="1330"/>
        <v>23.333333333333332</v>
      </c>
      <c r="IN159" s="224">
        <f t="shared" si="1331"/>
        <v>35</v>
      </c>
      <c r="IO159" s="237">
        <f t="shared" si="1358"/>
        <v>2432</v>
      </c>
      <c r="IP159" s="254">
        <f>ID159*IF159*KKslave_KK+ID159*INslave*IK159+MUslave*IF159*IK159</f>
        <v>3408</v>
      </c>
      <c r="IQ159" s="224">
        <f>IFERROR(ID159^SIGN(ID159),1)*IFERROR(IE159^SIGN(IE159),1)*IFERROR(IF159^SIGN(IF159),1)*IFERROR(IG159^SIGN(IG159),1)*IFERROR(IH159^SIGN(IH159),1)*IFERROR(II159^SIGN(II159),1)*IFERROR(IJ159^SIGN(IJ159),1)*IFERROR(IK159^SIGN(IK159),1)</f>
        <v>1584</v>
      </c>
      <c r="IR159" s="224">
        <f t="shared" si="1332"/>
        <v>7424</v>
      </c>
      <c r="IS159" s="222">
        <f t="shared" si="1333"/>
        <v>3.8218390804597702</v>
      </c>
      <c r="IT159" s="223">
        <f t="shared" si="1334"/>
        <v>10.711206896551724</v>
      </c>
      <c r="IU159" s="243">
        <f t="shared" si="1335"/>
        <v>7.4676724137931032</v>
      </c>
      <c r="IV159" s="243">
        <f t="shared" si="1336"/>
        <v>22.000718390804597</v>
      </c>
      <c r="IW159" s="252">
        <f t="shared" si="1337"/>
        <v>0</v>
      </c>
      <c r="IX159" s="309">
        <f t="shared" si="1338"/>
        <v>22.000718390804597</v>
      </c>
      <c r="IY159" s="218">
        <f>IF(IV159&lt;=0,4,0)+IF(IV159&gt;0,IV159+1,0)*4+IF(IV159&gt;12,IV159-12,0)*4+IF(IV159&gt;13,IV159-13,0)*4+IF(IV159&gt;14,IV159-14,0)*4+IF(IV159&gt;15,IV159-15,0)*4+IF(IV159&gt;16,IV159-16,0)*4+IF(IV159&gt;17,IV159-17,0)*4+IF(IV159&gt;18,IV159-18,0)*4+IF(IV159&gt;19,IV159-19,0)*4+IF(IV159&gt;20,IV159-20,0)*4</f>
        <v>308.02873563218378</v>
      </c>
      <c r="IZ159" s="242">
        <f>IF(IW159&lt;=0,4,0)+IF(IW159&gt;0,IW159+1,0)*4+IF(IW159&gt;12,IW159-12,0)*4+IF(IW159&gt;13,IW159-13,0)*4+IF(IW159&gt;14,IW159-14,0)*4+IF(IW159&gt;15,IW159-15,0)*4+IF(IW159&gt;16,IW159-16,0)*4+IF(IW159&gt;17,IW159-17,0)*4+IF(IW159&gt;18,IW159-18,0)*4+IF(IW159&gt;19,IW159-19,0)*4+IF(IW159&gt;20,IW159-20,0)*4</f>
        <v>4</v>
      </c>
      <c r="JA159" s="243">
        <f t="shared" si="1339"/>
        <v>304.02873563218378</v>
      </c>
      <c r="JB159" s="218">
        <f t="shared" si="1340"/>
        <v>0</v>
      </c>
      <c r="JE159" s="148"/>
    </row>
    <row r="160" spans="2:265" hidden="1" outlineLevel="2">
      <c r="B160" s="148">
        <v>8</v>
      </c>
      <c r="C160" s="303" t="e">
        <f>VLOOKUP(AF160,Attribute!C:T,1,FALSE)</f>
        <v>#N/A</v>
      </c>
      <c r="D160" s="86" t="s">
        <v>87</v>
      </c>
      <c r="E160" s="167" t="s">
        <v>132</v>
      </c>
      <c r="F160" s="120"/>
      <c r="G160" s="117">
        <f>Konvention_1master-KLmaster</f>
        <v>12</v>
      </c>
      <c r="H160" s="117">
        <f t="shared" si="1341"/>
        <v>12</v>
      </c>
      <c r="I160" s="117">
        <f>Konvention_1master-CHmaster</f>
        <v>12</v>
      </c>
      <c r="J160" s="117"/>
      <c r="K160" s="117"/>
      <c r="L160" s="117"/>
      <c r="M160" s="121"/>
      <c r="N160" s="223">
        <f>(F160+G160+H160+I160+J160+K160+L160+M160)/3</f>
        <v>12</v>
      </c>
      <c r="O160" s="223">
        <f t="shared" si="1243"/>
        <v>24</v>
      </c>
      <c r="P160" s="224">
        <f t="shared" si="1244"/>
        <v>36</v>
      </c>
      <c r="Q160" s="237">
        <f t="shared" si="1350"/>
        <v>2304</v>
      </c>
      <c r="R160" s="117">
        <f>G160*H160*CHmaster+G160*INmaster*I160+KLmaster*H160*I160</f>
        <v>3456</v>
      </c>
      <c r="S160" s="224">
        <f>IFERROR(F160^SIGN(F160),1)*IFERROR(G160^SIGN(G160),1)*IFERROR(H160^SIGN(H160),1)*IFERROR(I160^SIGN(I160),1)*IFERROR(J160^SIGN(J160),1)*IFERROR(K160^SIGN(K160),1)*IFERROR(L160^SIGN(L160),1)*IFERROR(M160^SIGN(M160),1)</f>
        <v>1728</v>
      </c>
      <c r="T160" s="224">
        <f t="shared" si="1245"/>
        <v>7488</v>
      </c>
      <c r="U160" s="222">
        <f t="shared" si="1246"/>
        <v>3.6923076923076925</v>
      </c>
      <c r="V160" s="223">
        <f t="shared" si="1247"/>
        <v>11.076923076923077</v>
      </c>
      <c r="W160" s="243">
        <f t="shared" si="1248"/>
        <v>8.3076923076923084</v>
      </c>
      <c r="X160" s="243">
        <f t="shared" si="1249"/>
        <v>23.07692307692308</v>
      </c>
      <c r="Y160" s="252">
        <v>0</v>
      </c>
      <c r="Z160" s="198">
        <f t="shared" si="1250"/>
        <v>23.07692307692308</v>
      </c>
      <c r="AA160" s="125">
        <f>IF(X160&lt;=0,2,0)+IF(X160&gt;0,X160+1,0)*2+IF(X160&gt;12,X160-12,0)*2+IF(X160&gt;13,X160-13,0)*2+IF(X160&gt;14,X160-14,0)*2+IF(X160&gt;15,X160-15,0)*2+IF(X160&gt;16,X160-16,0)*2+IF(X160&gt;17,X160-17,0)*2+IF(X160&gt;18,X160-18,0)*2+IF(X160&gt;19,X160-19,0)*2+IF(X160&gt;20,X160-20,0)*2</f>
        <v>175.5384615384616</v>
      </c>
      <c r="AB160" s="160">
        <f>IF(Y160&lt;=0,2,0)+IF(Y160&gt;0,Y160+1,0)*2+IF(Y160&gt;12,Y160-12,0)*2+IF(Y160&gt;13,Y160-13,0)*2+IF(Y160&gt;14,Y160-14,0)*2+IF(Y160&gt;15,Y160-15,0)*2+IF(Y160&gt;16,Y160-16,0)*2+IF(Y160&gt;17,Y160-17,0)*2+IF(Y160&gt;18,Y160-18,0)*2+IF(Y160&gt;19,Y160-19,0)*2+IF(Y160&gt;20,Y160-20,0)*2</f>
        <v>2</v>
      </c>
      <c r="AC160" s="127">
        <f t="shared" si="1251"/>
        <v>173.5384615384616</v>
      </c>
      <c r="AD160" s="125">
        <f t="shared" si="1252"/>
        <v>0</v>
      </c>
      <c r="AF160" s="163" t="s">
        <v>381</v>
      </c>
      <c r="AG160" s="86" t="s">
        <v>87</v>
      </c>
      <c r="AH160" s="167" t="s">
        <v>132</v>
      </c>
      <c r="AI160" s="120"/>
      <c r="AJ160" s="117">
        <f>Konvention_1slave-KLslave</f>
        <v>12</v>
      </c>
      <c r="AK160" s="117">
        <f t="shared" si="1342"/>
        <v>12</v>
      </c>
      <c r="AL160" s="117">
        <f>Konvention_1slave-CHslave</f>
        <v>12</v>
      </c>
      <c r="AM160" s="117"/>
      <c r="AN160" s="117"/>
      <c r="AO160" s="117"/>
      <c r="AP160" s="121"/>
      <c r="AQ160" s="47">
        <f>(AI160+AJ160+AK160+AL160+AM160+AN160+AO160+AP160)/3</f>
        <v>12</v>
      </c>
      <c r="AR160" s="3">
        <f t="shared" si="1253"/>
        <v>24</v>
      </c>
      <c r="AS160" s="174">
        <f t="shared" si="1254"/>
        <v>36</v>
      </c>
      <c r="AT160" s="114">
        <f t="shared" si="1351"/>
        <v>2304</v>
      </c>
      <c r="AU160" s="117">
        <f>AJ160*AK160*CHslave+AJ160*INslave*AL160+KLslave*AK160*AL160</f>
        <v>3456</v>
      </c>
      <c r="AV160" s="119">
        <f>IFERROR(AI160^SIGN(AI160),1)*IFERROR(AJ160^SIGN(AJ160),1)*IFERROR(AK160^SIGN(AK160),1)*IFERROR(AL160^SIGN(AL160),1)*IFERROR(AM160^SIGN(AM160),1)*IFERROR(AN160^SIGN(AN160),1)*IFERROR(AO160^SIGN(AO160),1)*IFERROR(AP160^SIGN(AP160),1)</f>
        <v>1728</v>
      </c>
      <c r="AW160" s="119">
        <f t="shared" si="1255"/>
        <v>7488</v>
      </c>
      <c r="AX160" s="89">
        <f t="shared" si="1256"/>
        <v>3.6923076923076925</v>
      </c>
      <c r="AY160" s="47">
        <f t="shared" si="1257"/>
        <v>11.076923076923077</v>
      </c>
      <c r="AZ160" s="127">
        <f t="shared" si="1258"/>
        <v>8.3076923076923084</v>
      </c>
      <c r="BA160" s="127">
        <f t="shared" si="1259"/>
        <v>23.07692307692308</v>
      </c>
      <c r="BB160" s="165">
        <f t="shared" si="1260"/>
        <v>0</v>
      </c>
      <c r="BC160" s="198">
        <f t="shared" si="1261"/>
        <v>23.07692307692308</v>
      </c>
      <c r="BD160" s="125">
        <f>IF(BA160&lt;=0,2,0)+IF(BA160&gt;0,BA160+1,0)*2+IF(BA160&gt;12,BA160-12,0)*2+IF(BA160&gt;13,BA160-13,0)*2+IF(BA160&gt;14,BA160-14,0)*2+IF(BA160&gt;15,BA160-15,0)*2+IF(BA160&gt;16,BA160-16,0)*2+IF(BA160&gt;17,BA160-17,0)*2+IF(BA160&gt;18,BA160-18,0)*2+IF(BA160&gt;19,BA160-19,0)*2+IF(BA160&gt;20,BA160-20,0)*2</f>
        <v>175.5384615384616</v>
      </c>
      <c r="BE160" s="160">
        <f>IF(BB160&lt;=0,2,0)+IF(BB160&gt;0,BB160+1,0)*2+IF(BB160&gt;12,BB160-12,0)*2+IF(BB160&gt;13,BB160-13,0)*2+IF(BB160&gt;14,BB160-14,0)*2+IF(BB160&gt;15,BB160-15,0)*2+IF(BB160&gt;16,BB160-16,0)*2+IF(BB160&gt;17,BB160-17,0)*2+IF(BB160&gt;18,BB160-18,0)*2+IF(BB160&gt;19,BB160-19,0)*2+IF(BB160&gt;20,BB160-20,0)*2</f>
        <v>2</v>
      </c>
      <c r="BF160" s="243">
        <f t="shared" si="1262"/>
        <v>173.5384615384616</v>
      </c>
      <c r="BG160" s="218">
        <f t="shared" si="1263"/>
        <v>0</v>
      </c>
      <c r="BI160" s="303" t="s">
        <v>381</v>
      </c>
      <c r="BJ160" s="304" t="s">
        <v>87</v>
      </c>
      <c r="BK160" s="305" t="s">
        <v>132</v>
      </c>
      <c r="BL160" s="317"/>
      <c r="BM160" s="254">
        <f>Konvention_1slave-KLslave_KL</f>
        <v>11</v>
      </c>
      <c r="BN160" s="254">
        <f t="shared" si="1343"/>
        <v>12</v>
      </c>
      <c r="BO160" s="254">
        <f>Konvention_1slave-CHslave</f>
        <v>12</v>
      </c>
      <c r="BP160" s="254"/>
      <c r="BQ160" s="254"/>
      <c r="BR160" s="254"/>
      <c r="BS160" s="318"/>
      <c r="BT160" s="223">
        <f>(BL160+BM160+BN160+BO160+BP160+BQ160+BR160+BS160)/3</f>
        <v>11.666666666666666</v>
      </c>
      <c r="BU160" s="223">
        <f t="shared" si="1264"/>
        <v>23.333333333333332</v>
      </c>
      <c r="BV160" s="224">
        <f t="shared" si="1265"/>
        <v>35</v>
      </c>
      <c r="BW160" s="237">
        <f t="shared" si="1352"/>
        <v>2432</v>
      </c>
      <c r="BX160" s="254">
        <f>BM160*BN160*CHslave+BM160*INslave*BO160+KLslave_KL*BN160*BO160</f>
        <v>3408</v>
      </c>
      <c r="BY160" s="224">
        <f>IFERROR(BL160^SIGN(BL160),1)*IFERROR(BM160^SIGN(BM160),1)*IFERROR(BN160^SIGN(BN160),1)*IFERROR(BO160^SIGN(BO160),1)*IFERROR(BP160^SIGN(BP160),1)*IFERROR(BQ160^SIGN(BQ160),1)*IFERROR(BR160^SIGN(BR160),1)*IFERROR(BS160^SIGN(BS160),1)</f>
        <v>1584</v>
      </c>
      <c r="BZ160" s="224">
        <f t="shared" si="1266"/>
        <v>7424</v>
      </c>
      <c r="CA160" s="222">
        <f t="shared" si="1267"/>
        <v>3.8218390804597702</v>
      </c>
      <c r="CB160" s="223">
        <f t="shared" si="1268"/>
        <v>10.711206896551724</v>
      </c>
      <c r="CC160" s="243">
        <f t="shared" si="1269"/>
        <v>7.4676724137931032</v>
      </c>
      <c r="CD160" s="243">
        <f t="shared" si="1270"/>
        <v>22.000718390804597</v>
      </c>
      <c r="CE160" s="252">
        <f t="shared" si="1271"/>
        <v>0</v>
      </c>
      <c r="CF160" s="309">
        <f t="shared" si="1272"/>
        <v>22.000718390804597</v>
      </c>
      <c r="CG160" s="218">
        <f>IF(CD160&lt;=0,2,0)+IF(CD160&gt;0,CD160+1,0)*2+IF(CD160&gt;12,CD160-12,0)*2+IF(CD160&gt;13,CD160-13,0)*2+IF(CD160&gt;14,CD160-14,0)*2+IF(CD160&gt;15,CD160-15,0)*2+IF(CD160&gt;16,CD160-16,0)*2+IF(CD160&gt;17,CD160-17,0)*2+IF(CD160&gt;18,CD160-18,0)*2+IF(CD160&gt;19,CD160-19,0)*2+IF(CD160&gt;20,CD160-20,0)*2</f>
        <v>154.01436781609189</v>
      </c>
      <c r="CH160" s="242">
        <f>IF(CE160&lt;=0,2,0)+IF(CE160&gt;0,CE160+1,0)*2+IF(CE160&gt;12,CE160-12,0)*2+IF(CE160&gt;13,CE160-13,0)*2+IF(CE160&gt;14,CE160-14,0)*2+IF(CE160&gt;15,CE160-15,0)*2+IF(CE160&gt;16,CE160-16,0)*2+IF(CE160&gt;17,CE160-17,0)*2+IF(CE160&gt;18,CE160-18,0)*2+IF(CE160&gt;19,CE160-19,0)*2+IF(CE160&gt;20,CE160-20,0)*2</f>
        <v>2</v>
      </c>
      <c r="CI160" s="243">
        <f t="shared" si="1273"/>
        <v>152.01436781609189</v>
      </c>
      <c r="CJ160" s="218">
        <f t="shared" si="1274"/>
        <v>0</v>
      </c>
      <c r="CL160" s="303" t="s">
        <v>381</v>
      </c>
      <c r="CM160" s="304" t="s">
        <v>87</v>
      </c>
      <c r="CN160" s="305" t="s">
        <v>132</v>
      </c>
      <c r="CO160" s="317"/>
      <c r="CP160" s="254">
        <f>Konvention_1slave-KLslave</f>
        <v>12</v>
      </c>
      <c r="CQ160" s="254">
        <f t="shared" si="1344"/>
        <v>11</v>
      </c>
      <c r="CR160" s="254">
        <f>Konvention_1slave-CHslave</f>
        <v>12</v>
      </c>
      <c r="CS160" s="254"/>
      <c r="CT160" s="254"/>
      <c r="CU160" s="254"/>
      <c r="CV160" s="318"/>
      <c r="CW160" s="223">
        <f>(CO160+CP160+CQ160+CR160+CS160+CT160+CU160+CV160)/3</f>
        <v>11.666666666666666</v>
      </c>
      <c r="CX160" s="223">
        <f t="shared" si="1275"/>
        <v>23.333333333333332</v>
      </c>
      <c r="CY160" s="224">
        <f t="shared" si="1276"/>
        <v>35</v>
      </c>
      <c r="CZ160" s="237">
        <f t="shared" si="1353"/>
        <v>2432</v>
      </c>
      <c r="DA160" s="254">
        <f>CP160*CQ160*CHslave+CP160*INslave_IN*CR160+KLslave*CQ160*CR160</f>
        <v>3408</v>
      </c>
      <c r="DB160" s="224">
        <f>IFERROR(CO160^SIGN(CO160),1)*IFERROR(CP160^SIGN(CP160),1)*IFERROR(CQ160^SIGN(CQ160),1)*IFERROR(CR160^SIGN(CR160),1)*IFERROR(CS160^SIGN(CS160),1)*IFERROR(CT160^SIGN(CT160),1)*IFERROR(CU160^SIGN(CU160),1)*IFERROR(CV160^SIGN(CV160),1)</f>
        <v>1584</v>
      </c>
      <c r="DC160" s="224">
        <f t="shared" si="1277"/>
        <v>7424</v>
      </c>
      <c r="DD160" s="222">
        <f t="shared" si="1278"/>
        <v>3.8218390804597702</v>
      </c>
      <c r="DE160" s="223">
        <f t="shared" si="1279"/>
        <v>10.711206896551724</v>
      </c>
      <c r="DF160" s="243">
        <f t="shared" si="1280"/>
        <v>7.4676724137931032</v>
      </c>
      <c r="DG160" s="243">
        <f t="shared" si="1281"/>
        <v>22.000718390804597</v>
      </c>
      <c r="DH160" s="252">
        <f t="shared" si="1282"/>
        <v>0</v>
      </c>
      <c r="DI160" s="309">
        <f t="shared" si="1283"/>
        <v>22.000718390804597</v>
      </c>
      <c r="DJ160" s="218">
        <f>IF(DG160&lt;=0,2,0)+IF(DG160&gt;0,DG160+1,0)*2+IF(DG160&gt;12,DG160-12,0)*2+IF(DG160&gt;13,DG160-13,0)*2+IF(DG160&gt;14,DG160-14,0)*2+IF(DG160&gt;15,DG160-15,0)*2+IF(DG160&gt;16,DG160-16,0)*2+IF(DG160&gt;17,DG160-17,0)*2+IF(DG160&gt;18,DG160-18,0)*2+IF(DG160&gt;19,DG160-19,0)*2+IF(DG160&gt;20,DG160-20,0)*2</f>
        <v>154.01436781609189</v>
      </c>
      <c r="DK160" s="242">
        <f>IF(DH160&lt;=0,2,0)+IF(DH160&gt;0,DH160+1,0)*2+IF(DH160&gt;12,DH160-12,0)*2+IF(DH160&gt;13,DH160-13,0)*2+IF(DH160&gt;14,DH160-14,0)*2+IF(DH160&gt;15,DH160-15,0)*2+IF(DH160&gt;16,DH160-16,0)*2+IF(DH160&gt;17,DH160-17,0)*2+IF(DH160&gt;18,DH160-18,0)*2+IF(DH160&gt;19,DH160-19,0)*2+IF(DH160&gt;20,DH160-20,0)*2</f>
        <v>2</v>
      </c>
      <c r="DL160" s="243">
        <f t="shared" si="1284"/>
        <v>152.01436781609189</v>
      </c>
      <c r="DM160" s="218">
        <f t="shared" si="1285"/>
        <v>0</v>
      </c>
      <c r="DO160" s="303" t="s">
        <v>381</v>
      </c>
      <c r="DP160" s="304" t="s">
        <v>87</v>
      </c>
      <c r="DQ160" s="305" t="s">
        <v>132</v>
      </c>
      <c r="DR160" s="317"/>
      <c r="DS160" s="254">
        <f>Konvention_1slave-KLslave</f>
        <v>12</v>
      </c>
      <c r="DT160" s="254">
        <f t="shared" si="1345"/>
        <v>12</v>
      </c>
      <c r="DU160" s="254">
        <f>Konvention_1slave-CHslave_CH</f>
        <v>11</v>
      </c>
      <c r="DV160" s="254"/>
      <c r="DW160" s="254"/>
      <c r="DX160" s="254"/>
      <c r="DY160" s="318"/>
      <c r="DZ160" s="223">
        <f>(DR160+DS160+DT160+DU160+DV160+DW160+DX160+DY160)/3</f>
        <v>11.666666666666666</v>
      </c>
      <c r="EA160" s="223">
        <f t="shared" si="1286"/>
        <v>23.333333333333332</v>
      </c>
      <c r="EB160" s="224">
        <f t="shared" si="1287"/>
        <v>35</v>
      </c>
      <c r="EC160" s="237">
        <f t="shared" si="1354"/>
        <v>2432</v>
      </c>
      <c r="ED160" s="254">
        <f>DS160*DT160*CHslave_CH+DS160*INslave*DU160+KLslave*DT160*DU160</f>
        <v>3408</v>
      </c>
      <c r="EE160" s="224">
        <f>IFERROR(DR160^SIGN(DR160),1)*IFERROR(DS160^SIGN(DS160),1)*IFERROR(DT160^SIGN(DT160),1)*IFERROR(DU160^SIGN(DU160),1)*IFERROR(DV160^SIGN(DV160),1)*IFERROR(DW160^SIGN(DW160),1)*IFERROR(DX160^SIGN(DX160),1)*IFERROR(DY160^SIGN(DY160),1)</f>
        <v>1584</v>
      </c>
      <c r="EF160" s="224">
        <f t="shared" si="1288"/>
        <v>7424</v>
      </c>
      <c r="EG160" s="222">
        <f t="shared" si="1289"/>
        <v>3.8218390804597702</v>
      </c>
      <c r="EH160" s="223">
        <f t="shared" si="1290"/>
        <v>10.711206896551724</v>
      </c>
      <c r="EI160" s="243">
        <f t="shared" si="1291"/>
        <v>7.4676724137931032</v>
      </c>
      <c r="EJ160" s="243">
        <f t="shared" si="1292"/>
        <v>22.000718390804597</v>
      </c>
      <c r="EK160" s="252">
        <f t="shared" si="1293"/>
        <v>0</v>
      </c>
      <c r="EL160" s="309">
        <f t="shared" si="1294"/>
        <v>22.000718390804597</v>
      </c>
      <c r="EM160" s="218">
        <f>IF(EJ160&lt;=0,2,0)+IF(EJ160&gt;0,EJ160+1,0)*2+IF(EJ160&gt;12,EJ160-12,0)*2+IF(EJ160&gt;13,EJ160-13,0)*2+IF(EJ160&gt;14,EJ160-14,0)*2+IF(EJ160&gt;15,EJ160-15,0)*2+IF(EJ160&gt;16,EJ160-16,0)*2+IF(EJ160&gt;17,EJ160-17,0)*2+IF(EJ160&gt;18,EJ160-18,0)*2+IF(EJ160&gt;19,EJ160-19,0)*2+IF(EJ160&gt;20,EJ160-20,0)*2</f>
        <v>154.01436781609189</v>
      </c>
      <c r="EN160" s="242">
        <f>IF(EK160&lt;=0,2,0)+IF(EK160&gt;0,EK160+1,0)*2+IF(EK160&gt;12,EK160-12,0)*2+IF(EK160&gt;13,EK160-13,0)*2+IF(EK160&gt;14,EK160-14,0)*2+IF(EK160&gt;15,EK160-15,0)*2+IF(EK160&gt;16,EK160-16,0)*2+IF(EK160&gt;17,EK160-17,0)*2+IF(EK160&gt;18,EK160-18,0)*2+IF(EK160&gt;19,EK160-19,0)*2+IF(EK160&gt;20,EK160-20,0)*2</f>
        <v>2</v>
      </c>
      <c r="EO160" s="243">
        <f t="shared" si="1295"/>
        <v>152.01436781609189</v>
      </c>
      <c r="EP160" s="218">
        <f t="shared" si="1296"/>
        <v>0</v>
      </c>
      <c r="ER160" s="303" t="s">
        <v>381</v>
      </c>
      <c r="ES160" s="304" t="s">
        <v>87</v>
      </c>
      <c r="ET160" s="305" t="s">
        <v>132</v>
      </c>
      <c r="EU160" s="317"/>
      <c r="EV160" s="254">
        <f>Konvention_1slave-KLslave</f>
        <v>12</v>
      </c>
      <c r="EW160" s="254">
        <f t="shared" si="1346"/>
        <v>12</v>
      </c>
      <c r="EX160" s="254">
        <f>Konvention_1slave-CHslave</f>
        <v>12</v>
      </c>
      <c r="EY160" s="254"/>
      <c r="EZ160" s="254"/>
      <c r="FA160" s="254"/>
      <c r="FB160" s="318"/>
      <c r="FC160" s="223">
        <f>(EU160+EV160+EW160+EX160+EY160+EZ160+FA160+FB160)/3</f>
        <v>12</v>
      </c>
      <c r="FD160" s="223">
        <f t="shared" si="1297"/>
        <v>24</v>
      </c>
      <c r="FE160" s="224">
        <f t="shared" si="1298"/>
        <v>36</v>
      </c>
      <c r="FF160" s="237">
        <f t="shared" si="1355"/>
        <v>2304</v>
      </c>
      <c r="FG160" s="254">
        <f>EV160*EW160*CHslave+EV160*INslave*EX160+KLslave*EW160*EX160</f>
        <v>3456</v>
      </c>
      <c r="FH160" s="224">
        <f>IFERROR(EU160^SIGN(EU160),1)*IFERROR(EV160^SIGN(EV160),1)*IFERROR(EW160^SIGN(EW160),1)*IFERROR(EX160^SIGN(EX160),1)*IFERROR(EY160^SIGN(EY160),1)*IFERROR(EZ160^SIGN(EZ160),1)*IFERROR(FA160^SIGN(FA160),1)*IFERROR(FB160^SIGN(FB160),1)</f>
        <v>1728</v>
      </c>
      <c r="FI160" s="224">
        <f t="shared" si="1299"/>
        <v>7488</v>
      </c>
      <c r="FJ160" s="222">
        <f t="shared" si="1300"/>
        <v>3.6923076923076925</v>
      </c>
      <c r="FK160" s="223">
        <f t="shared" si="1301"/>
        <v>11.076923076923077</v>
      </c>
      <c r="FL160" s="243">
        <f t="shared" si="1302"/>
        <v>8.3076923076923084</v>
      </c>
      <c r="FM160" s="243">
        <f t="shared" si="1303"/>
        <v>23.07692307692308</v>
      </c>
      <c r="FN160" s="252">
        <f t="shared" si="1304"/>
        <v>0</v>
      </c>
      <c r="FO160" s="309">
        <f t="shared" si="1305"/>
        <v>23.07692307692308</v>
      </c>
      <c r="FP160" s="218">
        <f>IF(FM160&lt;=0,2,0)+IF(FM160&gt;0,FM160+1,0)*2+IF(FM160&gt;12,FM160-12,0)*2+IF(FM160&gt;13,FM160-13,0)*2+IF(FM160&gt;14,FM160-14,0)*2+IF(FM160&gt;15,FM160-15,0)*2+IF(FM160&gt;16,FM160-16,0)*2+IF(FM160&gt;17,FM160-17,0)*2+IF(FM160&gt;18,FM160-18,0)*2+IF(FM160&gt;19,FM160-19,0)*2+IF(FM160&gt;20,FM160-20,0)*2</f>
        <v>175.5384615384616</v>
      </c>
      <c r="FQ160" s="242">
        <f>IF(FN160&lt;=0,2,0)+IF(FN160&gt;0,FN160+1,0)*2+IF(FN160&gt;12,FN160-12,0)*2+IF(FN160&gt;13,FN160-13,0)*2+IF(FN160&gt;14,FN160-14,0)*2+IF(FN160&gt;15,FN160-15,0)*2+IF(FN160&gt;16,FN160-16,0)*2+IF(FN160&gt;17,FN160-17,0)*2+IF(FN160&gt;18,FN160-18,0)*2+IF(FN160&gt;19,FN160-19,0)*2+IF(FN160&gt;20,FN160-20,0)*2</f>
        <v>2</v>
      </c>
      <c r="FR160" s="243">
        <f t="shared" si="1306"/>
        <v>173.5384615384616</v>
      </c>
      <c r="FS160" s="218">
        <f t="shared" si="1307"/>
        <v>0</v>
      </c>
      <c r="FU160" s="303" t="s">
        <v>381</v>
      </c>
      <c r="FV160" s="304" t="s">
        <v>87</v>
      </c>
      <c r="FW160" s="305" t="s">
        <v>132</v>
      </c>
      <c r="FX160" s="317"/>
      <c r="FY160" s="254">
        <f>Konvention_1slave-KLslave</f>
        <v>12</v>
      </c>
      <c r="FZ160" s="254">
        <f t="shared" si="1347"/>
        <v>12</v>
      </c>
      <c r="GA160" s="254">
        <f>Konvention_1slave-CHslave</f>
        <v>12</v>
      </c>
      <c r="GB160" s="254"/>
      <c r="GC160" s="254"/>
      <c r="GD160" s="254"/>
      <c r="GE160" s="318"/>
      <c r="GF160" s="223">
        <f>(FX160+FY160+FZ160+GA160+GB160+GC160+GD160+GE160)/3</f>
        <v>12</v>
      </c>
      <c r="GG160" s="223">
        <f t="shared" si="1308"/>
        <v>24</v>
      </c>
      <c r="GH160" s="224">
        <f t="shared" si="1309"/>
        <v>36</v>
      </c>
      <c r="GI160" s="237">
        <f t="shared" si="1356"/>
        <v>2304</v>
      </c>
      <c r="GJ160" s="254">
        <f>FY160*FZ160*CHslave+FY160*INslave*GA160+KLslave*FZ160*GA160</f>
        <v>3456</v>
      </c>
      <c r="GK160" s="224">
        <f>IFERROR(FX160^SIGN(FX160),1)*IFERROR(FY160^SIGN(FY160),1)*IFERROR(FZ160^SIGN(FZ160),1)*IFERROR(GA160^SIGN(GA160),1)*IFERROR(GB160^SIGN(GB160),1)*IFERROR(GC160^SIGN(GC160),1)*IFERROR(GD160^SIGN(GD160),1)*IFERROR(GE160^SIGN(GE160),1)</f>
        <v>1728</v>
      </c>
      <c r="GL160" s="224">
        <f t="shared" si="1310"/>
        <v>7488</v>
      </c>
      <c r="GM160" s="222">
        <f t="shared" si="1311"/>
        <v>3.6923076923076925</v>
      </c>
      <c r="GN160" s="223">
        <f t="shared" si="1312"/>
        <v>11.076923076923077</v>
      </c>
      <c r="GO160" s="243">
        <f t="shared" si="1313"/>
        <v>8.3076923076923084</v>
      </c>
      <c r="GP160" s="243">
        <f t="shared" si="1314"/>
        <v>23.07692307692308</v>
      </c>
      <c r="GQ160" s="252">
        <f t="shared" si="1315"/>
        <v>0</v>
      </c>
      <c r="GR160" s="309">
        <f t="shared" si="1316"/>
        <v>23.07692307692308</v>
      </c>
      <c r="GS160" s="218">
        <f>IF(GP160&lt;=0,2,0)+IF(GP160&gt;0,GP160+1,0)*2+IF(GP160&gt;12,GP160-12,0)*2+IF(GP160&gt;13,GP160-13,0)*2+IF(GP160&gt;14,GP160-14,0)*2+IF(GP160&gt;15,GP160-15,0)*2+IF(GP160&gt;16,GP160-16,0)*2+IF(GP160&gt;17,GP160-17,0)*2+IF(GP160&gt;18,GP160-18,0)*2+IF(GP160&gt;19,GP160-19,0)*2+IF(GP160&gt;20,GP160-20,0)*2</f>
        <v>175.5384615384616</v>
      </c>
      <c r="GT160" s="242">
        <f>IF(GQ160&lt;=0,2,0)+IF(GQ160&gt;0,GQ160+1,0)*2+IF(GQ160&gt;12,GQ160-12,0)*2+IF(GQ160&gt;13,GQ160-13,0)*2+IF(GQ160&gt;14,GQ160-14,0)*2+IF(GQ160&gt;15,GQ160-15,0)*2+IF(GQ160&gt;16,GQ160-16,0)*2+IF(GQ160&gt;17,GQ160-17,0)*2+IF(GQ160&gt;18,GQ160-18,0)*2+IF(GQ160&gt;19,GQ160-19,0)*2+IF(GQ160&gt;20,GQ160-20,0)*2</f>
        <v>2</v>
      </c>
      <c r="GU160" s="243">
        <f t="shared" si="1317"/>
        <v>173.5384615384616</v>
      </c>
      <c r="GV160" s="218">
        <f t="shared" si="1318"/>
        <v>0</v>
      </c>
      <c r="GX160" s="303" t="s">
        <v>381</v>
      </c>
      <c r="GY160" s="304" t="s">
        <v>87</v>
      </c>
      <c r="GZ160" s="305" t="s">
        <v>132</v>
      </c>
      <c r="HA160" s="317"/>
      <c r="HB160" s="254">
        <f>Konvention_1slave-KLslave</f>
        <v>12</v>
      </c>
      <c r="HC160" s="254">
        <f t="shared" si="1348"/>
        <v>12</v>
      </c>
      <c r="HD160" s="254">
        <f>Konvention_1slave-CHslave</f>
        <v>12</v>
      </c>
      <c r="HE160" s="254"/>
      <c r="HF160" s="254"/>
      <c r="HG160" s="254"/>
      <c r="HH160" s="318"/>
      <c r="HI160" s="223">
        <f>(HA160+HB160+HC160+HD160+HE160+HF160+HG160+HH160)/3</f>
        <v>12</v>
      </c>
      <c r="HJ160" s="223">
        <f t="shared" si="1319"/>
        <v>24</v>
      </c>
      <c r="HK160" s="224">
        <f t="shared" si="1320"/>
        <v>36</v>
      </c>
      <c r="HL160" s="237">
        <f t="shared" si="1357"/>
        <v>2304</v>
      </c>
      <c r="HM160" s="254">
        <f>HB160*HC160*CHslave+HB160*INslave*HD160+KLslave*HC160*HD160</f>
        <v>3456</v>
      </c>
      <c r="HN160" s="224">
        <f>IFERROR(HA160^SIGN(HA160),1)*IFERROR(HB160^SIGN(HB160),1)*IFERROR(HC160^SIGN(HC160),1)*IFERROR(HD160^SIGN(HD160),1)*IFERROR(HE160^SIGN(HE160),1)*IFERROR(HF160^SIGN(HF160),1)*IFERROR(HG160^SIGN(HG160),1)*IFERROR(HH160^SIGN(HH160),1)</f>
        <v>1728</v>
      </c>
      <c r="HO160" s="224">
        <f t="shared" si="1321"/>
        <v>7488</v>
      </c>
      <c r="HP160" s="222">
        <f t="shared" si="1322"/>
        <v>3.6923076923076925</v>
      </c>
      <c r="HQ160" s="223">
        <f t="shared" si="1323"/>
        <v>11.076923076923077</v>
      </c>
      <c r="HR160" s="243">
        <f t="shared" si="1324"/>
        <v>8.3076923076923084</v>
      </c>
      <c r="HS160" s="243">
        <f t="shared" si="1325"/>
        <v>23.07692307692308</v>
      </c>
      <c r="HT160" s="252">
        <f t="shared" si="1326"/>
        <v>0</v>
      </c>
      <c r="HU160" s="309">
        <f t="shared" si="1327"/>
        <v>23.07692307692308</v>
      </c>
      <c r="HV160" s="218">
        <f>IF(HS160&lt;=0,2,0)+IF(HS160&gt;0,HS160+1,0)*2+IF(HS160&gt;12,HS160-12,0)*2+IF(HS160&gt;13,HS160-13,0)*2+IF(HS160&gt;14,HS160-14,0)*2+IF(HS160&gt;15,HS160-15,0)*2+IF(HS160&gt;16,HS160-16,0)*2+IF(HS160&gt;17,HS160-17,0)*2+IF(HS160&gt;18,HS160-18,0)*2+IF(HS160&gt;19,HS160-19,0)*2+IF(HS160&gt;20,HS160-20,0)*2</f>
        <v>175.5384615384616</v>
      </c>
      <c r="HW160" s="242">
        <f>IF(HT160&lt;=0,2,0)+IF(HT160&gt;0,HT160+1,0)*2+IF(HT160&gt;12,HT160-12,0)*2+IF(HT160&gt;13,HT160-13,0)*2+IF(HT160&gt;14,HT160-14,0)*2+IF(HT160&gt;15,HT160-15,0)*2+IF(HT160&gt;16,HT160-16,0)*2+IF(HT160&gt;17,HT160-17,0)*2+IF(HT160&gt;18,HT160-18,0)*2+IF(HT160&gt;19,HT160-19,0)*2+IF(HT160&gt;20,HT160-20,0)*2</f>
        <v>2</v>
      </c>
      <c r="HX160" s="243">
        <f t="shared" si="1328"/>
        <v>173.5384615384616</v>
      </c>
      <c r="HY160" s="218">
        <f t="shared" si="1329"/>
        <v>0</v>
      </c>
      <c r="IA160" s="303" t="s">
        <v>381</v>
      </c>
      <c r="IB160" s="304" t="s">
        <v>87</v>
      </c>
      <c r="IC160" s="305" t="s">
        <v>132</v>
      </c>
      <c r="ID160" s="317"/>
      <c r="IE160" s="254">
        <f>Konvention_1slave-KLslave</f>
        <v>12</v>
      </c>
      <c r="IF160" s="254">
        <f t="shared" si="1349"/>
        <v>12</v>
      </c>
      <c r="IG160" s="254">
        <f>Konvention_1slave-CHslave</f>
        <v>12</v>
      </c>
      <c r="IH160" s="254"/>
      <c r="II160" s="254"/>
      <c r="IJ160" s="254"/>
      <c r="IK160" s="318"/>
      <c r="IL160" s="223">
        <f>(ID160+IE160+IF160+IG160+IH160+II160+IJ160+IK160)/3</f>
        <v>12</v>
      </c>
      <c r="IM160" s="223">
        <f t="shared" si="1330"/>
        <v>24</v>
      </c>
      <c r="IN160" s="224">
        <f t="shared" si="1331"/>
        <v>36</v>
      </c>
      <c r="IO160" s="237">
        <f t="shared" si="1358"/>
        <v>2304</v>
      </c>
      <c r="IP160" s="254">
        <f>IE160*IF160*CHslave+IE160*INslave*IG160+KLslave*IF160*IG160</f>
        <v>3456</v>
      </c>
      <c r="IQ160" s="224">
        <f>IFERROR(ID160^SIGN(ID160),1)*IFERROR(IE160^SIGN(IE160),1)*IFERROR(IF160^SIGN(IF160),1)*IFERROR(IG160^SIGN(IG160),1)*IFERROR(IH160^SIGN(IH160),1)*IFERROR(II160^SIGN(II160),1)*IFERROR(IJ160^SIGN(IJ160),1)*IFERROR(IK160^SIGN(IK160),1)</f>
        <v>1728</v>
      </c>
      <c r="IR160" s="224">
        <f t="shared" si="1332"/>
        <v>7488</v>
      </c>
      <c r="IS160" s="222">
        <f t="shared" si="1333"/>
        <v>3.6923076923076925</v>
      </c>
      <c r="IT160" s="223">
        <f t="shared" si="1334"/>
        <v>11.076923076923077</v>
      </c>
      <c r="IU160" s="243">
        <f t="shared" si="1335"/>
        <v>8.3076923076923084</v>
      </c>
      <c r="IV160" s="243">
        <f t="shared" si="1336"/>
        <v>23.07692307692308</v>
      </c>
      <c r="IW160" s="252">
        <f t="shared" si="1337"/>
        <v>0</v>
      </c>
      <c r="IX160" s="309">
        <f t="shared" si="1338"/>
        <v>23.07692307692308</v>
      </c>
      <c r="IY160" s="218">
        <f>IF(IV160&lt;=0,2,0)+IF(IV160&gt;0,IV160+1,0)*2+IF(IV160&gt;12,IV160-12,0)*2+IF(IV160&gt;13,IV160-13,0)*2+IF(IV160&gt;14,IV160-14,0)*2+IF(IV160&gt;15,IV160-15,0)*2+IF(IV160&gt;16,IV160-16,0)*2+IF(IV160&gt;17,IV160-17,0)*2+IF(IV160&gt;18,IV160-18,0)*2+IF(IV160&gt;19,IV160-19,0)*2+IF(IV160&gt;20,IV160-20,0)*2</f>
        <v>175.5384615384616</v>
      </c>
      <c r="IZ160" s="242">
        <f>IF(IW160&lt;=0,2,0)+IF(IW160&gt;0,IW160+1,0)*2+IF(IW160&gt;12,IW160-12,0)*2+IF(IW160&gt;13,IW160-13,0)*2+IF(IW160&gt;14,IW160-14,0)*2+IF(IW160&gt;15,IW160-15,0)*2+IF(IW160&gt;16,IW160-16,0)*2+IF(IW160&gt;17,IW160-17,0)*2+IF(IW160&gt;18,IW160-18,0)*2+IF(IW160&gt;19,IW160-19,0)*2+IF(IW160&gt;20,IW160-20,0)*2</f>
        <v>2</v>
      </c>
      <c r="JA160" s="243">
        <f t="shared" si="1339"/>
        <v>173.5384615384616</v>
      </c>
      <c r="JB160" s="218">
        <f t="shared" si="1340"/>
        <v>0</v>
      </c>
      <c r="JE160" s="148"/>
    </row>
    <row r="161" spans="2:265" ht="15" hidden="1" customHeight="1" outlineLevel="2">
      <c r="B161" s="148">
        <v>9</v>
      </c>
      <c r="C161" s="303" t="e">
        <f>VLOOKUP(AF161,Attribute!C:T,1,FALSE)</f>
        <v>#N/A</v>
      </c>
      <c r="D161" s="86" t="s">
        <v>170</v>
      </c>
      <c r="E161" s="167" t="s">
        <v>132</v>
      </c>
      <c r="F161" s="120"/>
      <c r="G161" s="117">
        <f>Konvention_1master-KLmaster</f>
        <v>12</v>
      </c>
      <c r="H161" s="117">
        <f t="shared" si="1341"/>
        <v>12</v>
      </c>
      <c r="I161" s="117"/>
      <c r="J161" s="117">
        <f>Konvention_1master-FFmaster</f>
        <v>12</v>
      </c>
      <c r="K161" s="117"/>
      <c r="L161" s="117"/>
      <c r="M161" s="121"/>
      <c r="N161" s="223">
        <f t="shared" ref="N161:N206" si="1359">(F161+G161+H161+I161+J161+K161+L161+M161)/3</f>
        <v>12</v>
      </c>
      <c r="O161" s="223">
        <f t="shared" ref="O161:O206" si="1360">2*N161</f>
        <v>24</v>
      </c>
      <c r="P161" s="224">
        <f t="shared" ref="P161:P206" si="1361">3*N161</f>
        <v>36</v>
      </c>
      <c r="Q161" s="237">
        <f t="shared" si="1350"/>
        <v>2304</v>
      </c>
      <c r="R161" s="117">
        <f>G161*H161*FFmaster+G161*INmaster*J161+KLmaster*H161*J161</f>
        <v>3456</v>
      </c>
      <c r="S161" s="224">
        <f t="shared" ref="S161:S206" si="1362">IFERROR(F161^SIGN(F161),1)*IFERROR(G161^SIGN(G161),1)*IFERROR(H161^SIGN(H161),1)*IFERROR(I161^SIGN(I161),1)*IFERROR(J161^SIGN(J161),1)*IFERROR(K161^SIGN(K161),1)*IFERROR(L161^SIGN(L161),1)*IFERROR(M161^SIGN(M161),1)</f>
        <v>1728</v>
      </c>
      <c r="T161" s="224">
        <f t="shared" si="1245"/>
        <v>7488</v>
      </c>
      <c r="U161" s="222">
        <f t="shared" ref="U161:U205" si="1363">N161*Q161/T161</f>
        <v>3.6923076923076925</v>
      </c>
      <c r="V161" s="223">
        <f t="shared" ref="V161:V205" si="1364">O161*R161/T161</f>
        <v>11.076923076923077</v>
      </c>
      <c r="W161" s="243">
        <f t="shared" ref="W161:W205" si="1365">P161*S161/T161</f>
        <v>8.3076923076923084</v>
      </c>
      <c r="X161" s="243">
        <f t="shared" ref="X161:X205" si="1366">SUM(U161:W161)</f>
        <v>23.07692307692308</v>
      </c>
      <c r="Y161" s="252">
        <v>0</v>
      </c>
      <c r="Z161" s="198">
        <f t="shared" ref="Z161:Z205" si="1367">X161-Y161</f>
        <v>23.07692307692308</v>
      </c>
      <c r="AA161" s="125">
        <f>IF(X161&lt;=0,2,0)+IF(X161&gt;0,X161+1,0)*2+IF(X161&gt;12,X161-12,0)*2+IF(X161&gt;13,X161-13,0)*2+IF(X161&gt;14,X161-14,0)*2+IF(X161&gt;15,X161-15,0)*2+IF(X161&gt;16,X161-16,0)*2+IF(X161&gt;17,X161-17,0)*2+IF(X161&gt;18,X161-18,0)*2+IF(X161&gt;19,X161-19,0)*2+IF(X161&gt;20,X161-20,0)*2</f>
        <v>175.5384615384616</v>
      </c>
      <c r="AB161" s="160">
        <f>IF(Y161&lt;=0,2,0)+IF(Y161&gt;0,Y161+1,0)*2+IF(Y161&gt;12,Y161-12,0)*2+IF(Y161&gt;13,Y161-13,0)*2+IF(Y161&gt;14,Y161-14,0)*2+IF(Y161&gt;15,Y161-15,0)*2+IF(Y161&gt;16,Y161-16,0)*2+IF(Y161&gt;17,Y161-17,0)*2+IF(Y161&gt;18,Y161-18,0)*2+IF(Y161&gt;19,Y161-19,0)*2+IF(Y161&gt;20,Y161-20,0)*2</f>
        <v>2</v>
      </c>
      <c r="AC161" s="127">
        <f t="shared" ref="AC161:AC206" si="1368">IF((AA161-AB161)&gt;0,AA161-AB161,0)</f>
        <v>173.5384615384616</v>
      </c>
      <c r="AD161" s="125">
        <f t="shared" ref="AD161:AD206" si="1369">IF((AB161-AA161)&gt;0,AB161-AA161,0)</f>
        <v>0</v>
      </c>
      <c r="AF161" s="163" t="s">
        <v>299</v>
      </c>
      <c r="AG161" s="86" t="s">
        <v>170</v>
      </c>
      <c r="AH161" s="167" t="s">
        <v>132</v>
      </c>
      <c r="AI161" s="120"/>
      <c r="AJ161" s="117">
        <f>Konvention_1slave-KLslave</f>
        <v>12</v>
      </c>
      <c r="AK161" s="117">
        <f t="shared" si="1342"/>
        <v>12</v>
      </c>
      <c r="AL161" s="117"/>
      <c r="AM161" s="117">
        <f>Konvention_1slave-FFslave</f>
        <v>12</v>
      </c>
      <c r="AN161" s="117"/>
      <c r="AO161" s="117"/>
      <c r="AP161" s="121"/>
      <c r="AQ161" s="47">
        <f t="shared" ref="AQ161:AQ206" si="1370">(AI161+AJ161+AK161+AL161+AM161+AN161+AO161+AP161)/3</f>
        <v>12</v>
      </c>
      <c r="AR161" s="3">
        <f t="shared" ref="AR161:AR206" si="1371">2*AQ161</f>
        <v>24</v>
      </c>
      <c r="AS161" s="174">
        <f t="shared" ref="AS161:AS206" si="1372">3*AQ161</f>
        <v>36</v>
      </c>
      <c r="AT161" s="114">
        <f t="shared" si="1351"/>
        <v>2304</v>
      </c>
      <c r="AU161" s="117">
        <f>AJ161*AK161*FFslave+AJ161*INslave*AM161+KLslave*AK161*AM161</f>
        <v>3456</v>
      </c>
      <c r="AV161" s="119">
        <f t="shared" ref="AV161:AV206" si="1373">IFERROR(AI161^SIGN(AI161),1)*IFERROR(AJ161^SIGN(AJ161),1)*IFERROR(AK161^SIGN(AK161),1)*IFERROR(AL161^SIGN(AL161),1)*IFERROR(AM161^SIGN(AM161),1)*IFERROR(AN161^SIGN(AN161),1)*IFERROR(AO161^SIGN(AO161),1)*IFERROR(AP161^SIGN(AP161),1)</f>
        <v>1728</v>
      </c>
      <c r="AW161" s="119">
        <f t="shared" si="1255"/>
        <v>7488</v>
      </c>
      <c r="AX161" s="89">
        <f t="shared" ref="AX161:AX205" si="1374">AQ161*AT161/AW161</f>
        <v>3.6923076923076925</v>
      </c>
      <c r="AY161" s="47">
        <f t="shared" ref="AY161:AY205" si="1375">AR161*AU161/AW161</f>
        <v>11.076923076923077</v>
      </c>
      <c r="AZ161" s="127">
        <f t="shared" ref="AZ161:AZ205" si="1376">AS161*AV161/AW161</f>
        <v>8.3076923076923084</v>
      </c>
      <c r="BA161" s="127">
        <f t="shared" ref="BA161:BA205" si="1377">SUM(AX161:AZ161)</f>
        <v>23.07692307692308</v>
      </c>
      <c r="BB161" s="165">
        <f t="shared" si="1260"/>
        <v>0</v>
      </c>
      <c r="BC161" s="198">
        <f t="shared" ref="BC161:BC206" si="1378">BA161-BB161</f>
        <v>23.07692307692308</v>
      </c>
      <c r="BD161" s="125">
        <f>IF(BA161&lt;=0,2,0)+IF(BA161&gt;0,BA161+1,0)*2+IF(BA161&gt;12,BA161-12,0)*2+IF(BA161&gt;13,BA161-13,0)*2+IF(BA161&gt;14,BA161-14,0)*2+IF(BA161&gt;15,BA161-15,0)*2+IF(BA161&gt;16,BA161-16,0)*2+IF(BA161&gt;17,BA161-17,0)*2+IF(BA161&gt;18,BA161-18,0)*2+IF(BA161&gt;19,BA161-19,0)*2+IF(BA161&gt;20,BA161-20,0)*2</f>
        <v>175.5384615384616</v>
      </c>
      <c r="BE161" s="160">
        <f>IF(BB161&lt;=0,2,0)+IF(BB161&gt;0,BB161+1,0)*2+IF(BB161&gt;12,BB161-12,0)*2+IF(BB161&gt;13,BB161-13,0)*2+IF(BB161&gt;14,BB161-14,0)*2+IF(BB161&gt;15,BB161-15,0)*2+IF(BB161&gt;16,BB161-16,0)*2+IF(BB161&gt;17,BB161-17,0)*2+IF(BB161&gt;18,BB161-18,0)*2+IF(BB161&gt;19,BB161-19,0)*2+IF(BB161&gt;20,BB161-20,0)*2</f>
        <v>2</v>
      </c>
      <c r="BF161" s="243">
        <f t="shared" ref="BF161:BF206" si="1379">IF((BD161-BE161)&gt;0,BD161-BE161,0)</f>
        <v>173.5384615384616</v>
      </c>
      <c r="BG161" s="218">
        <f t="shared" ref="BG161:BG206" si="1380">IF((BE161-BD161)&gt;0,BE161-BD161,0)</f>
        <v>0</v>
      </c>
      <c r="BI161" s="303" t="s">
        <v>299</v>
      </c>
      <c r="BJ161" s="304" t="s">
        <v>170</v>
      </c>
      <c r="BK161" s="305" t="s">
        <v>132</v>
      </c>
      <c r="BL161" s="317"/>
      <c r="BM161" s="254">
        <f>Konvention_1slave-KLslave_KL</f>
        <v>11</v>
      </c>
      <c r="BN161" s="254">
        <f t="shared" si="1343"/>
        <v>12</v>
      </c>
      <c r="BO161" s="254"/>
      <c r="BP161" s="254">
        <f>Konvention_1slave-FFslave</f>
        <v>12</v>
      </c>
      <c r="BQ161" s="254"/>
      <c r="BR161" s="254"/>
      <c r="BS161" s="318"/>
      <c r="BT161" s="223">
        <f t="shared" ref="BT161:BT206" si="1381">(BL161+BM161+BN161+BO161+BP161+BQ161+BR161+BS161)/3</f>
        <v>11.666666666666666</v>
      </c>
      <c r="BU161" s="223">
        <f t="shared" ref="BU161:BU206" si="1382">2*BT161</f>
        <v>23.333333333333332</v>
      </c>
      <c r="BV161" s="224">
        <f t="shared" ref="BV161:BV206" si="1383">3*BT161</f>
        <v>35</v>
      </c>
      <c r="BW161" s="237">
        <f t="shared" si="1352"/>
        <v>2432</v>
      </c>
      <c r="BX161" s="254">
        <f>BM161*BN161*FFslave+BM161*INslave*BP161+KLslave_KL*BN161*BP161</f>
        <v>3408</v>
      </c>
      <c r="BY161" s="224">
        <f t="shared" ref="BY161:BY206" si="1384">IFERROR(BL161^SIGN(BL161),1)*IFERROR(BM161^SIGN(BM161),1)*IFERROR(BN161^SIGN(BN161),1)*IFERROR(BO161^SIGN(BO161),1)*IFERROR(BP161^SIGN(BP161),1)*IFERROR(BQ161^SIGN(BQ161),1)*IFERROR(BR161^SIGN(BR161),1)*IFERROR(BS161^SIGN(BS161),1)</f>
        <v>1584</v>
      </c>
      <c r="BZ161" s="224">
        <f t="shared" si="1266"/>
        <v>7424</v>
      </c>
      <c r="CA161" s="222">
        <f t="shared" ref="CA161:CA205" si="1385">BT161*BW161/BZ161</f>
        <v>3.8218390804597702</v>
      </c>
      <c r="CB161" s="223">
        <f t="shared" ref="CB161:CB205" si="1386">BU161*BX161/BZ161</f>
        <v>10.711206896551724</v>
      </c>
      <c r="CC161" s="243">
        <f t="shared" ref="CC161:CC205" si="1387">BV161*BY161/BZ161</f>
        <v>7.4676724137931032</v>
      </c>
      <c r="CD161" s="243">
        <f t="shared" ref="CD161:CD205" si="1388">SUM(CA161:CC161)</f>
        <v>22.000718390804597</v>
      </c>
      <c r="CE161" s="252">
        <f t="shared" si="1271"/>
        <v>0</v>
      </c>
      <c r="CF161" s="309">
        <f t="shared" ref="CF161:CF206" si="1389">CD161-CE161</f>
        <v>22.000718390804597</v>
      </c>
      <c r="CG161" s="218">
        <f>IF(CD161&lt;=0,2,0)+IF(CD161&gt;0,CD161+1,0)*2+IF(CD161&gt;12,CD161-12,0)*2+IF(CD161&gt;13,CD161-13,0)*2+IF(CD161&gt;14,CD161-14,0)*2+IF(CD161&gt;15,CD161-15,0)*2+IF(CD161&gt;16,CD161-16,0)*2+IF(CD161&gt;17,CD161-17,0)*2+IF(CD161&gt;18,CD161-18,0)*2+IF(CD161&gt;19,CD161-19,0)*2+IF(CD161&gt;20,CD161-20,0)*2</f>
        <v>154.01436781609189</v>
      </c>
      <c r="CH161" s="242">
        <f>IF(CE161&lt;=0,2,0)+IF(CE161&gt;0,CE161+1,0)*2+IF(CE161&gt;12,CE161-12,0)*2+IF(CE161&gt;13,CE161-13,0)*2+IF(CE161&gt;14,CE161-14,0)*2+IF(CE161&gt;15,CE161-15,0)*2+IF(CE161&gt;16,CE161-16,0)*2+IF(CE161&gt;17,CE161-17,0)*2+IF(CE161&gt;18,CE161-18,0)*2+IF(CE161&gt;19,CE161-19,0)*2+IF(CE161&gt;20,CE161-20,0)*2</f>
        <v>2</v>
      </c>
      <c r="CI161" s="243">
        <f t="shared" ref="CI161:CI206" si="1390">IF((CG161-CH161)&gt;0,CG161-CH161,0)</f>
        <v>152.01436781609189</v>
      </c>
      <c r="CJ161" s="218">
        <f t="shared" ref="CJ161:CJ206" si="1391">IF((CH161-CG161)&gt;0,CH161-CG161,0)</f>
        <v>0</v>
      </c>
      <c r="CL161" s="303" t="s">
        <v>299</v>
      </c>
      <c r="CM161" s="304" t="s">
        <v>170</v>
      </c>
      <c r="CN161" s="305" t="s">
        <v>132</v>
      </c>
      <c r="CO161" s="317"/>
      <c r="CP161" s="254">
        <f>Konvention_1slave-KLslave</f>
        <v>12</v>
      </c>
      <c r="CQ161" s="254">
        <f t="shared" si="1344"/>
        <v>11</v>
      </c>
      <c r="CR161" s="254"/>
      <c r="CS161" s="254">
        <f>Konvention_1slave-FFslave</f>
        <v>12</v>
      </c>
      <c r="CT161" s="254"/>
      <c r="CU161" s="254"/>
      <c r="CV161" s="318"/>
      <c r="CW161" s="223">
        <f t="shared" ref="CW161:CW206" si="1392">(CO161+CP161+CQ161+CR161+CS161+CT161+CU161+CV161)/3</f>
        <v>11.666666666666666</v>
      </c>
      <c r="CX161" s="223">
        <f t="shared" ref="CX161:CX206" si="1393">2*CW161</f>
        <v>23.333333333333332</v>
      </c>
      <c r="CY161" s="224">
        <f t="shared" ref="CY161:CY206" si="1394">3*CW161</f>
        <v>35</v>
      </c>
      <c r="CZ161" s="237">
        <f t="shared" si="1353"/>
        <v>2432</v>
      </c>
      <c r="DA161" s="254">
        <f>CP161*CQ161*FFslave+CP161*INslave_IN*CS161+KLslave*CQ161*CS161</f>
        <v>3408</v>
      </c>
      <c r="DB161" s="224">
        <f t="shared" ref="DB161:DB206" si="1395">IFERROR(CO161^SIGN(CO161),1)*IFERROR(CP161^SIGN(CP161),1)*IFERROR(CQ161^SIGN(CQ161),1)*IFERROR(CR161^SIGN(CR161),1)*IFERROR(CS161^SIGN(CS161),1)*IFERROR(CT161^SIGN(CT161),1)*IFERROR(CU161^SIGN(CU161),1)*IFERROR(CV161^SIGN(CV161),1)</f>
        <v>1584</v>
      </c>
      <c r="DC161" s="224">
        <f t="shared" si="1277"/>
        <v>7424</v>
      </c>
      <c r="DD161" s="222">
        <f t="shared" ref="DD161:DD205" si="1396">CW161*CZ161/DC161</f>
        <v>3.8218390804597702</v>
      </c>
      <c r="DE161" s="223">
        <f t="shared" ref="DE161:DE205" si="1397">CX161*DA161/DC161</f>
        <v>10.711206896551724</v>
      </c>
      <c r="DF161" s="243">
        <f t="shared" ref="DF161:DF205" si="1398">CY161*DB161/DC161</f>
        <v>7.4676724137931032</v>
      </c>
      <c r="DG161" s="243">
        <f t="shared" ref="DG161:DG205" si="1399">SUM(DD161:DF161)</f>
        <v>22.000718390804597</v>
      </c>
      <c r="DH161" s="252">
        <f t="shared" si="1282"/>
        <v>0</v>
      </c>
      <c r="DI161" s="309">
        <f t="shared" ref="DI161:DI206" si="1400">DG161-DH161</f>
        <v>22.000718390804597</v>
      </c>
      <c r="DJ161" s="218">
        <f>IF(DG161&lt;=0,2,0)+IF(DG161&gt;0,DG161+1,0)*2+IF(DG161&gt;12,DG161-12,0)*2+IF(DG161&gt;13,DG161-13,0)*2+IF(DG161&gt;14,DG161-14,0)*2+IF(DG161&gt;15,DG161-15,0)*2+IF(DG161&gt;16,DG161-16,0)*2+IF(DG161&gt;17,DG161-17,0)*2+IF(DG161&gt;18,DG161-18,0)*2+IF(DG161&gt;19,DG161-19,0)*2+IF(DG161&gt;20,DG161-20,0)*2</f>
        <v>154.01436781609189</v>
      </c>
      <c r="DK161" s="242">
        <f>IF(DH161&lt;=0,2,0)+IF(DH161&gt;0,DH161+1,0)*2+IF(DH161&gt;12,DH161-12,0)*2+IF(DH161&gt;13,DH161-13,0)*2+IF(DH161&gt;14,DH161-14,0)*2+IF(DH161&gt;15,DH161-15,0)*2+IF(DH161&gt;16,DH161-16,0)*2+IF(DH161&gt;17,DH161-17,0)*2+IF(DH161&gt;18,DH161-18,0)*2+IF(DH161&gt;19,DH161-19,0)*2+IF(DH161&gt;20,DH161-20,0)*2</f>
        <v>2</v>
      </c>
      <c r="DL161" s="243">
        <f t="shared" ref="DL161:DL206" si="1401">IF((DJ161-DK161)&gt;0,DJ161-DK161,0)</f>
        <v>152.01436781609189</v>
      </c>
      <c r="DM161" s="218">
        <f t="shared" ref="DM161:DM206" si="1402">IF((DK161-DJ161)&gt;0,DK161-DJ161,0)</f>
        <v>0</v>
      </c>
      <c r="DO161" s="303" t="s">
        <v>299</v>
      </c>
      <c r="DP161" s="304" t="s">
        <v>170</v>
      </c>
      <c r="DQ161" s="305" t="s">
        <v>132</v>
      </c>
      <c r="DR161" s="317"/>
      <c r="DS161" s="254">
        <f>Konvention_1slave-KLslave</f>
        <v>12</v>
      </c>
      <c r="DT161" s="254">
        <f t="shared" si="1345"/>
        <v>12</v>
      </c>
      <c r="DU161" s="254"/>
      <c r="DV161" s="254">
        <f>Konvention_1slave-FFslave</f>
        <v>12</v>
      </c>
      <c r="DW161" s="254"/>
      <c r="DX161" s="254"/>
      <c r="DY161" s="318"/>
      <c r="DZ161" s="223">
        <f t="shared" ref="DZ161:DZ206" si="1403">(DR161+DS161+DT161+DU161+DV161+DW161+DX161+DY161)/3</f>
        <v>12</v>
      </c>
      <c r="EA161" s="223">
        <f t="shared" ref="EA161:EA206" si="1404">2*DZ161</f>
        <v>24</v>
      </c>
      <c r="EB161" s="224">
        <f t="shared" ref="EB161:EB206" si="1405">3*DZ161</f>
        <v>36</v>
      </c>
      <c r="EC161" s="237">
        <f t="shared" si="1354"/>
        <v>2304</v>
      </c>
      <c r="ED161" s="254">
        <f>DS161*DT161*FFslave+DS161*INslave*DV161+KLslave*DT161*DV161</f>
        <v>3456</v>
      </c>
      <c r="EE161" s="224">
        <f t="shared" ref="EE161:EE206" si="1406">IFERROR(DR161^SIGN(DR161),1)*IFERROR(DS161^SIGN(DS161),1)*IFERROR(DT161^SIGN(DT161),1)*IFERROR(DU161^SIGN(DU161),1)*IFERROR(DV161^SIGN(DV161),1)*IFERROR(DW161^SIGN(DW161),1)*IFERROR(DX161^SIGN(DX161),1)*IFERROR(DY161^SIGN(DY161),1)</f>
        <v>1728</v>
      </c>
      <c r="EF161" s="224">
        <f t="shared" si="1288"/>
        <v>7488</v>
      </c>
      <c r="EG161" s="222">
        <f t="shared" ref="EG161:EG205" si="1407">DZ161*EC161/EF161</f>
        <v>3.6923076923076925</v>
      </c>
      <c r="EH161" s="223">
        <f t="shared" ref="EH161:EH205" si="1408">EA161*ED161/EF161</f>
        <v>11.076923076923077</v>
      </c>
      <c r="EI161" s="243">
        <f t="shared" ref="EI161:EI205" si="1409">EB161*EE161/EF161</f>
        <v>8.3076923076923084</v>
      </c>
      <c r="EJ161" s="243">
        <f t="shared" ref="EJ161:EJ205" si="1410">SUM(EG161:EI161)</f>
        <v>23.07692307692308</v>
      </c>
      <c r="EK161" s="252">
        <f t="shared" si="1293"/>
        <v>0</v>
      </c>
      <c r="EL161" s="309">
        <f t="shared" ref="EL161:EL206" si="1411">EJ161-EK161</f>
        <v>23.07692307692308</v>
      </c>
      <c r="EM161" s="218">
        <f>IF(EJ161&lt;=0,2,0)+IF(EJ161&gt;0,EJ161+1,0)*2+IF(EJ161&gt;12,EJ161-12,0)*2+IF(EJ161&gt;13,EJ161-13,0)*2+IF(EJ161&gt;14,EJ161-14,0)*2+IF(EJ161&gt;15,EJ161-15,0)*2+IF(EJ161&gt;16,EJ161-16,0)*2+IF(EJ161&gt;17,EJ161-17,0)*2+IF(EJ161&gt;18,EJ161-18,0)*2+IF(EJ161&gt;19,EJ161-19,0)*2+IF(EJ161&gt;20,EJ161-20,0)*2</f>
        <v>175.5384615384616</v>
      </c>
      <c r="EN161" s="242">
        <f>IF(EK161&lt;=0,2,0)+IF(EK161&gt;0,EK161+1,0)*2+IF(EK161&gt;12,EK161-12,0)*2+IF(EK161&gt;13,EK161-13,0)*2+IF(EK161&gt;14,EK161-14,0)*2+IF(EK161&gt;15,EK161-15,0)*2+IF(EK161&gt;16,EK161-16,0)*2+IF(EK161&gt;17,EK161-17,0)*2+IF(EK161&gt;18,EK161-18,0)*2+IF(EK161&gt;19,EK161-19,0)*2+IF(EK161&gt;20,EK161-20,0)*2</f>
        <v>2</v>
      </c>
      <c r="EO161" s="243">
        <f t="shared" ref="EO161:EO206" si="1412">IF((EM161-EN161)&gt;0,EM161-EN161,0)</f>
        <v>173.5384615384616</v>
      </c>
      <c r="EP161" s="218">
        <f t="shared" ref="EP161:EP206" si="1413">IF((EN161-EM161)&gt;0,EN161-EM161,0)</f>
        <v>0</v>
      </c>
      <c r="ER161" s="303" t="s">
        <v>299</v>
      </c>
      <c r="ES161" s="304" t="s">
        <v>170</v>
      </c>
      <c r="ET161" s="305" t="s">
        <v>132</v>
      </c>
      <c r="EU161" s="317"/>
      <c r="EV161" s="254">
        <f>Konvention_1slave-KLslave</f>
        <v>12</v>
      </c>
      <c r="EW161" s="254">
        <f t="shared" si="1346"/>
        <v>12</v>
      </c>
      <c r="EX161" s="254"/>
      <c r="EY161" s="254">
        <f>Konvention_1slave-FFslave_FF</f>
        <v>11</v>
      </c>
      <c r="EZ161" s="254"/>
      <c r="FA161" s="254"/>
      <c r="FB161" s="318"/>
      <c r="FC161" s="223">
        <f t="shared" ref="FC161:FC206" si="1414">(EU161+EV161+EW161+EX161+EY161+EZ161+FA161+FB161)/3</f>
        <v>11.666666666666666</v>
      </c>
      <c r="FD161" s="223">
        <f t="shared" ref="FD161:FD206" si="1415">2*FC161</f>
        <v>23.333333333333332</v>
      </c>
      <c r="FE161" s="224">
        <f t="shared" ref="FE161:FE206" si="1416">3*FC161</f>
        <v>35</v>
      </c>
      <c r="FF161" s="237">
        <f t="shared" si="1355"/>
        <v>2432</v>
      </c>
      <c r="FG161" s="254">
        <f>EV161*EW161*FFslave_FF+EV161*INslave*EY161+KLslave*EW161*EY161</f>
        <v>3408</v>
      </c>
      <c r="FH161" s="224">
        <f t="shared" ref="FH161:FH206" si="1417">IFERROR(EU161^SIGN(EU161),1)*IFERROR(EV161^SIGN(EV161),1)*IFERROR(EW161^SIGN(EW161),1)*IFERROR(EX161^SIGN(EX161),1)*IFERROR(EY161^SIGN(EY161),1)*IFERROR(EZ161^SIGN(EZ161),1)*IFERROR(FA161^SIGN(FA161),1)*IFERROR(FB161^SIGN(FB161),1)</f>
        <v>1584</v>
      </c>
      <c r="FI161" s="224">
        <f t="shared" si="1299"/>
        <v>7424</v>
      </c>
      <c r="FJ161" s="222">
        <f t="shared" ref="FJ161:FJ205" si="1418">FC161*FF161/FI161</f>
        <v>3.8218390804597702</v>
      </c>
      <c r="FK161" s="223">
        <f t="shared" ref="FK161:FK205" si="1419">FD161*FG161/FI161</f>
        <v>10.711206896551724</v>
      </c>
      <c r="FL161" s="243">
        <f t="shared" ref="FL161:FL205" si="1420">FE161*FH161/FI161</f>
        <v>7.4676724137931032</v>
      </c>
      <c r="FM161" s="243">
        <f t="shared" ref="FM161:FM205" si="1421">SUM(FJ161:FL161)</f>
        <v>22.000718390804597</v>
      </c>
      <c r="FN161" s="252">
        <f t="shared" si="1304"/>
        <v>0</v>
      </c>
      <c r="FO161" s="309">
        <f t="shared" ref="FO161:FO206" si="1422">FM161-FN161</f>
        <v>22.000718390804597</v>
      </c>
      <c r="FP161" s="218">
        <f>IF(FM161&lt;=0,2,0)+IF(FM161&gt;0,FM161+1,0)*2+IF(FM161&gt;12,FM161-12,0)*2+IF(FM161&gt;13,FM161-13,0)*2+IF(FM161&gt;14,FM161-14,0)*2+IF(FM161&gt;15,FM161-15,0)*2+IF(FM161&gt;16,FM161-16,0)*2+IF(FM161&gt;17,FM161-17,0)*2+IF(FM161&gt;18,FM161-18,0)*2+IF(FM161&gt;19,FM161-19,0)*2+IF(FM161&gt;20,FM161-20,0)*2</f>
        <v>154.01436781609189</v>
      </c>
      <c r="FQ161" s="242">
        <f>IF(FN161&lt;=0,2,0)+IF(FN161&gt;0,FN161+1,0)*2+IF(FN161&gt;12,FN161-12,0)*2+IF(FN161&gt;13,FN161-13,0)*2+IF(FN161&gt;14,FN161-14,0)*2+IF(FN161&gt;15,FN161-15,0)*2+IF(FN161&gt;16,FN161-16,0)*2+IF(FN161&gt;17,FN161-17,0)*2+IF(FN161&gt;18,FN161-18,0)*2+IF(FN161&gt;19,FN161-19,0)*2+IF(FN161&gt;20,FN161-20,0)*2</f>
        <v>2</v>
      </c>
      <c r="FR161" s="243">
        <f t="shared" ref="FR161:FR206" si="1423">IF((FP161-FQ161)&gt;0,FP161-FQ161,0)</f>
        <v>152.01436781609189</v>
      </c>
      <c r="FS161" s="218">
        <f t="shared" ref="FS161:FS206" si="1424">IF((FQ161-FP161)&gt;0,FQ161-FP161,0)</f>
        <v>0</v>
      </c>
      <c r="FU161" s="303" t="s">
        <v>299</v>
      </c>
      <c r="FV161" s="304" t="s">
        <v>170</v>
      </c>
      <c r="FW161" s="305" t="s">
        <v>132</v>
      </c>
      <c r="FX161" s="317"/>
      <c r="FY161" s="254">
        <f>Konvention_1slave-KLslave</f>
        <v>12</v>
      </c>
      <c r="FZ161" s="254">
        <f t="shared" si="1347"/>
        <v>12</v>
      </c>
      <c r="GA161" s="254"/>
      <c r="GB161" s="254">
        <f>Konvention_1slave-FFslave</f>
        <v>12</v>
      </c>
      <c r="GC161" s="254"/>
      <c r="GD161" s="254"/>
      <c r="GE161" s="318"/>
      <c r="GF161" s="223">
        <f t="shared" ref="GF161:GF206" si="1425">(FX161+FY161+FZ161+GA161+GB161+GC161+GD161+GE161)/3</f>
        <v>12</v>
      </c>
      <c r="GG161" s="223">
        <f t="shared" ref="GG161:GG206" si="1426">2*GF161</f>
        <v>24</v>
      </c>
      <c r="GH161" s="224">
        <f t="shared" ref="GH161:GH206" si="1427">3*GF161</f>
        <v>36</v>
      </c>
      <c r="GI161" s="237">
        <f t="shared" si="1356"/>
        <v>2304</v>
      </c>
      <c r="GJ161" s="254">
        <f>FY161*FZ161*FFslave+FY161*INslave*GB161+KLslave*FZ161*GB161</f>
        <v>3456</v>
      </c>
      <c r="GK161" s="224">
        <f t="shared" ref="GK161:GK206" si="1428">IFERROR(FX161^SIGN(FX161),1)*IFERROR(FY161^SIGN(FY161),1)*IFERROR(FZ161^SIGN(FZ161),1)*IFERROR(GA161^SIGN(GA161),1)*IFERROR(GB161^SIGN(GB161),1)*IFERROR(GC161^SIGN(GC161),1)*IFERROR(GD161^SIGN(GD161),1)*IFERROR(GE161^SIGN(GE161),1)</f>
        <v>1728</v>
      </c>
      <c r="GL161" s="224">
        <f t="shared" si="1310"/>
        <v>7488</v>
      </c>
      <c r="GM161" s="222">
        <f t="shared" ref="GM161:GM205" si="1429">GF161*GI161/GL161</f>
        <v>3.6923076923076925</v>
      </c>
      <c r="GN161" s="223">
        <f t="shared" ref="GN161:GN205" si="1430">GG161*GJ161/GL161</f>
        <v>11.076923076923077</v>
      </c>
      <c r="GO161" s="243">
        <f t="shared" ref="GO161:GO205" si="1431">GH161*GK161/GL161</f>
        <v>8.3076923076923084</v>
      </c>
      <c r="GP161" s="243">
        <f t="shared" ref="GP161:GP205" si="1432">SUM(GM161:GO161)</f>
        <v>23.07692307692308</v>
      </c>
      <c r="GQ161" s="252">
        <f t="shared" si="1315"/>
        <v>0</v>
      </c>
      <c r="GR161" s="309">
        <f t="shared" ref="GR161:GR206" si="1433">GP161-GQ161</f>
        <v>23.07692307692308</v>
      </c>
      <c r="GS161" s="218">
        <f>IF(GP161&lt;=0,2,0)+IF(GP161&gt;0,GP161+1,0)*2+IF(GP161&gt;12,GP161-12,0)*2+IF(GP161&gt;13,GP161-13,0)*2+IF(GP161&gt;14,GP161-14,0)*2+IF(GP161&gt;15,GP161-15,0)*2+IF(GP161&gt;16,GP161-16,0)*2+IF(GP161&gt;17,GP161-17,0)*2+IF(GP161&gt;18,GP161-18,0)*2+IF(GP161&gt;19,GP161-19,0)*2+IF(GP161&gt;20,GP161-20,0)*2</f>
        <v>175.5384615384616</v>
      </c>
      <c r="GT161" s="242">
        <f>IF(GQ161&lt;=0,2,0)+IF(GQ161&gt;0,GQ161+1,0)*2+IF(GQ161&gt;12,GQ161-12,0)*2+IF(GQ161&gt;13,GQ161-13,0)*2+IF(GQ161&gt;14,GQ161-14,0)*2+IF(GQ161&gt;15,GQ161-15,0)*2+IF(GQ161&gt;16,GQ161-16,0)*2+IF(GQ161&gt;17,GQ161-17,0)*2+IF(GQ161&gt;18,GQ161-18,0)*2+IF(GQ161&gt;19,GQ161-19,0)*2+IF(GQ161&gt;20,GQ161-20,0)*2</f>
        <v>2</v>
      </c>
      <c r="GU161" s="243">
        <f t="shared" ref="GU161:GU206" si="1434">IF((GS161-GT161)&gt;0,GS161-GT161,0)</f>
        <v>173.5384615384616</v>
      </c>
      <c r="GV161" s="218">
        <f t="shared" ref="GV161:GV206" si="1435">IF((GT161-GS161)&gt;0,GT161-GS161,0)</f>
        <v>0</v>
      </c>
      <c r="GX161" s="303" t="s">
        <v>299</v>
      </c>
      <c r="GY161" s="304" t="s">
        <v>170</v>
      </c>
      <c r="GZ161" s="305" t="s">
        <v>132</v>
      </c>
      <c r="HA161" s="317"/>
      <c r="HB161" s="254">
        <f>Konvention_1slave-KLslave</f>
        <v>12</v>
      </c>
      <c r="HC161" s="254">
        <f t="shared" si="1348"/>
        <v>12</v>
      </c>
      <c r="HD161" s="254"/>
      <c r="HE161" s="254">
        <f>Konvention_1slave-FFslave</f>
        <v>12</v>
      </c>
      <c r="HF161" s="254"/>
      <c r="HG161" s="254"/>
      <c r="HH161" s="318"/>
      <c r="HI161" s="223">
        <f t="shared" ref="HI161:HI206" si="1436">(HA161+HB161+HC161+HD161+HE161+HF161+HG161+HH161)/3</f>
        <v>12</v>
      </c>
      <c r="HJ161" s="223">
        <f t="shared" ref="HJ161:HJ206" si="1437">2*HI161</f>
        <v>24</v>
      </c>
      <c r="HK161" s="224">
        <f t="shared" ref="HK161:HK206" si="1438">3*HI161</f>
        <v>36</v>
      </c>
      <c r="HL161" s="237">
        <f t="shared" si="1357"/>
        <v>2304</v>
      </c>
      <c r="HM161" s="254">
        <f>HB161*HC161*FFslave+HB161*INslave*HE161+KLslave*HC161*HE161</f>
        <v>3456</v>
      </c>
      <c r="HN161" s="224">
        <f t="shared" ref="HN161:HN206" si="1439">IFERROR(HA161^SIGN(HA161),1)*IFERROR(HB161^SIGN(HB161),1)*IFERROR(HC161^SIGN(HC161),1)*IFERROR(HD161^SIGN(HD161),1)*IFERROR(HE161^SIGN(HE161),1)*IFERROR(HF161^SIGN(HF161),1)*IFERROR(HG161^SIGN(HG161),1)*IFERROR(HH161^SIGN(HH161),1)</f>
        <v>1728</v>
      </c>
      <c r="HO161" s="224">
        <f t="shared" si="1321"/>
        <v>7488</v>
      </c>
      <c r="HP161" s="222">
        <f t="shared" ref="HP161:HP205" si="1440">HI161*HL161/HO161</f>
        <v>3.6923076923076925</v>
      </c>
      <c r="HQ161" s="223">
        <f t="shared" ref="HQ161:HQ205" si="1441">HJ161*HM161/HO161</f>
        <v>11.076923076923077</v>
      </c>
      <c r="HR161" s="243">
        <f t="shared" ref="HR161:HR205" si="1442">HK161*HN161/HO161</f>
        <v>8.3076923076923084</v>
      </c>
      <c r="HS161" s="243">
        <f t="shared" ref="HS161:HS205" si="1443">SUM(HP161:HR161)</f>
        <v>23.07692307692308</v>
      </c>
      <c r="HT161" s="252">
        <f t="shared" si="1326"/>
        <v>0</v>
      </c>
      <c r="HU161" s="309">
        <f t="shared" ref="HU161:HU206" si="1444">HS161-HT161</f>
        <v>23.07692307692308</v>
      </c>
      <c r="HV161" s="218">
        <f>IF(HS161&lt;=0,2,0)+IF(HS161&gt;0,HS161+1,0)*2+IF(HS161&gt;12,HS161-12,0)*2+IF(HS161&gt;13,HS161-13,0)*2+IF(HS161&gt;14,HS161-14,0)*2+IF(HS161&gt;15,HS161-15,0)*2+IF(HS161&gt;16,HS161-16,0)*2+IF(HS161&gt;17,HS161-17,0)*2+IF(HS161&gt;18,HS161-18,0)*2+IF(HS161&gt;19,HS161-19,0)*2+IF(HS161&gt;20,HS161-20,0)*2</f>
        <v>175.5384615384616</v>
      </c>
      <c r="HW161" s="242">
        <f>IF(HT161&lt;=0,2,0)+IF(HT161&gt;0,HT161+1,0)*2+IF(HT161&gt;12,HT161-12,0)*2+IF(HT161&gt;13,HT161-13,0)*2+IF(HT161&gt;14,HT161-14,0)*2+IF(HT161&gt;15,HT161-15,0)*2+IF(HT161&gt;16,HT161-16,0)*2+IF(HT161&gt;17,HT161-17,0)*2+IF(HT161&gt;18,HT161-18,0)*2+IF(HT161&gt;19,HT161-19,0)*2+IF(HT161&gt;20,HT161-20,0)*2</f>
        <v>2</v>
      </c>
      <c r="HX161" s="243">
        <f t="shared" ref="HX161:HX206" si="1445">IF((HV161-HW161)&gt;0,HV161-HW161,0)</f>
        <v>173.5384615384616</v>
      </c>
      <c r="HY161" s="218">
        <f t="shared" ref="HY161:HY206" si="1446">IF((HW161-HV161)&gt;0,HW161-HV161,0)</f>
        <v>0</v>
      </c>
      <c r="IA161" s="303" t="s">
        <v>299</v>
      </c>
      <c r="IB161" s="304" t="s">
        <v>170</v>
      </c>
      <c r="IC161" s="305" t="s">
        <v>132</v>
      </c>
      <c r="ID161" s="317"/>
      <c r="IE161" s="254">
        <f>Konvention_1slave-KLslave</f>
        <v>12</v>
      </c>
      <c r="IF161" s="254">
        <f t="shared" si="1349"/>
        <v>12</v>
      </c>
      <c r="IG161" s="254"/>
      <c r="IH161" s="254">
        <f>Konvention_1slave-FFslave</f>
        <v>12</v>
      </c>
      <c r="II161" s="254"/>
      <c r="IJ161" s="254"/>
      <c r="IK161" s="318"/>
      <c r="IL161" s="223">
        <f t="shared" ref="IL161:IL206" si="1447">(ID161+IE161+IF161+IG161+IH161+II161+IJ161+IK161)/3</f>
        <v>12</v>
      </c>
      <c r="IM161" s="223">
        <f t="shared" ref="IM161:IM206" si="1448">2*IL161</f>
        <v>24</v>
      </c>
      <c r="IN161" s="224">
        <f t="shared" ref="IN161:IN206" si="1449">3*IL161</f>
        <v>36</v>
      </c>
      <c r="IO161" s="237">
        <f t="shared" si="1358"/>
        <v>2304</v>
      </c>
      <c r="IP161" s="254">
        <f>IE161*IF161*FFslave+IE161*INslave*IH161+KLslave*IF161*IH161</f>
        <v>3456</v>
      </c>
      <c r="IQ161" s="224">
        <f t="shared" ref="IQ161:IQ206" si="1450">IFERROR(ID161^SIGN(ID161),1)*IFERROR(IE161^SIGN(IE161),1)*IFERROR(IF161^SIGN(IF161),1)*IFERROR(IG161^SIGN(IG161),1)*IFERROR(IH161^SIGN(IH161),1)*IFERROR(II161^SIGN(II161),1)*IFERROR(IJ161^SIGN(IJ161),1)*IFERROR(IK161^SIGN(IK161),1)</f>
        <v>1728</v>
      </c>
      <c r="IR161" s="224">
        <f t="shared" si="1332"/>
        <v>7488</v>
      </c>
      <c r="IS161" s="222">
        <f t="shared" ref="IS161:IS205" si="1451">IL161*IO161/IR161</f>
        <v>3.6923076923076925</v>
      </c>
      <c r="IT161" s="223">
        <f t="shared" ref="IT161:IT205" si="1452">IM161*IP161/IR161</f>
        <v>11.076923076923077</v>
      </c>
      <c r="IU161" s="243">
        <f t="shared" ref="IU161:IU205" si="1453">IN161*IQ161/IR161</f>
        <v>8.3076923076923084</v>
      </c>
      <c r="IV161" s="243">
        <f t="shared" ref="IV161:IV205" si="1454">SUM(IS161:IU161)</f>
        <v>23.07692307692308</v>
      </c>
      <c r="IW161" s="252">
        <f t="shared" si="1337"/>
        <v>0</v>
      </c>
      <c r="IX161" s="309">
        <f t="shared" ref="IX161:IX206" si="1455">IV161-IW161</f>
        <v>23.07692307692308</v>
      </c>
      <c r="IY161" s="218">
        <f>IF(IV161&lt;=0,2,0)+IF(IV161&gt;0,IV161+1,0)*2+IF(IV161&gt;12,IV161-12,0)*2+IF(IV161&gt;13,IV161-13,0)*2+IF(IV161&gt;14,IV161-14,0)*2+IF(IV161&gt;15,IV161-15,0)*2+IF(IV161&gt;16,IV161-16,0)*2+IF(IV161&gt;17,IV161-17,0)*2+IF(IV161&gt;18,IV161-18,0)*2+IF(IV161&gt;19,IV161-19,0)*2+IF(IV161&gt;20,IV161-20,0)*2</f>
        <v>175.5384615384616</v>
      </c>
      <c r="IZ161" s="242">
        <f>IF(IW161&lt;=0,2,0)+IF(IW161&gt;0,IW161+1,0)*2+IF(IW161&gt;12,IW161-12,0)*2+IF(IW161&gt;13,IW161-13,0)*2+IF(IW161&gt;14,IW161-14,0)*2+IF(IW161&gt;15,IW161-15,0)*2+IF(IW161&gt;16,IW161-16,0)*2+IF(IW161&gt;17,IW161-17,0)*2+IF(IW161&gt;18,IW161-18,0)*2+IF(IW161&gt;19,IW161-19,0)*2+IF(IW161&gt;20,IW161-20,0)*2</f>
        <v>2</v>
      </c>
      <c r="JA161" s="243">
        <f t="shared" ref="JA161:JA206" si="1456">IF((IY161-IZ161)&gt;0,IY161-IZ161,0)</f>
        <v>173.5384615384616</v>
      </c>
      <c r="JB161" s="218">
        <f t="shared" ref="JB161:JB206" si="1457">IF((IZ161-IY161)&gt;0,IZ161-IY161,0)</f>
        <v>0</v>
      </c>
      <c r="JE161" s="148"/>
    </row>
    <row r="162" spans="2:265" ht="15" hidden="1" customHeight="1" outlineLevel="2">
      <c r="B162" s="148">
        <v>10</v>
      </c>
      <c r="C162" s="303" t="e">
        <f>VLOOKUP(AF162,Attribute!C:T,1,FALSE)</f>
        <v>#N/A</v>
      </c>
      <c r="D162" s="86" t="s">
        <v>226</v>
      </c>
      <c r="E162" s="167" t="s">
        <v>135</v>
      </c>
      <c r="F162" s="120"/>
      <c r="G162" s="117">
        <f>Konvention_1master-KLmaster</f>
        <v>12</v>
      </c>
      <c r="H162" s="117">
        <f t="shared" si="1341"/>
        <v>12</v>
      </c>
      <c r="I162" s="117"/>
      <c r="J162" s="117"/>
      <c r="K162" s="117"/>
      <c r="L162" s="117">
        <f>Konvention_1master-KOmaster</f>
        <v>12</v>
      </c>
      <c r="M162" s="121"/>
      <c r="N162" s="223">
        <f t="shared" si="1359"/>
        <v>12</v>
      </c>
      <c r="O162" s="223">
        <f t="shared" si="1360"/>
        <v>24</v>
      </c>
      <c r="P162" s="224">
        <f t="shared" si="1361"/>
        <v>36</v>
      </c>
      <c r="Q162" s="237">
        <f t="shared" si="1350"/>
        <v>2304</v>
      </c>
      <c r="R162" s="117">
        <f>G162*H162*KOmaster+G162*INmaster*L162+KLmaster*H162*L162</f>
        <v>3456</v>
      </c>
      <c r="S162" s="224">
        <f t="shared" si="1362"/>
        <v>1728</v>
      </c>
      <c r="T162" s="224">
        <f t="shared" si="1245"/>
        <v>7488</v>
      </c>
      <c r="U162" s="222">
        <f t="shared" si="1363"/>
        <v>3.6923076923076925</v>
      </c>
      <c r="V162" s="223">
        <f t="shared" si="1364"/>
        <v>11.076923076923077</v>
      </c>
      <c r="W162" s="243">
        <f t="shared" si="1365"/>
        <v>8.3076923076923084</v>
      </c>
      <c r="X162" s="243">
        <f t="shared" si="1366"/>
        <v>23.07692307692308</v>
      </c>
      <c r="Y162" s="252">
        <v>0</v>
      </c>
      <c r="Z162" s="198">
        <f t="shared" si="1367"/>
        <v>23.07692307692308</v>
      </c>
      <c r="AA162" s="125">
        <f>IF(X162&lt;=0,3,0)+IF(X162&gt;0,X162+1,0)*3+IF(X162&gt;12,X162-12,0)*3+IF(X162&gt;13,X162-13,0)*3+IF(X162&gt;14,X162-14,0)*3+IF(X162&gt;15,X162-15,0)*3+IF(X162&gt;16,X162-16,0)*3+IF(X162&gt;17,X162-17,0)*3+IF(X162&gt;18,X162-18,0)*3+IF(X162&gt;19,X162-19,0)*3+IF(X162&gt;20,X162-20,0)*3</f>
        <v>263.30769230769232</v>
      </c>
      <c r="AB162" s="160">
        <f>IF(Y162&lt;=0,3,0)+IF(Y162&gt;0,Y162+1,0)*3+IF(Y162&gt;12,Y162-12,0)*3+IF(Y162&gt;13,Y162-13,0)*3+IF(Y162&gt;14,Y162-14,0)*3+IF(Y162&gt;15,Y162-15,0)*3+IF(Y162&gt;16,Y162-16,0)*3+IF(Y162&gt;17,Y162-17,0)*3+IF(Y162&gt;18,Y162-18,0)*3+IF(Y162&gt;19,Y162-19,0)*3+IF(Y162&gt;20,Y162-20,0)*3</f>
        <v>3</v>
      </c>
      <c r="AC162" s="127">
        <f t="shared" si="1368"/>
        <v>260.30769230769232</v>
      </c>
      <c r="AD162" s="125">
        <f t="shared" si="1369"/>
        <v>0</v>
      </c>
      <c r="AF162" s="163" t="s">
        <v>189</v>
      </c>
      <c r="AG162" s="86" t="s">
        <v>226</v>
      </c>
      <c r="AH162" s="167" t="s">
        <v>135</v>
      </c>
      <c r="AI162" s="120"/>
      <c r="AJ162" s="117">
        <f>Konvention_1slave-KLslave</f>
        <v>12</v>
      </c>
      <c r="AK162" s="117">
        <f t="shared" si="1342"/>
        <v>12</v>
      </c>
      <c r="AL162" s="117"/>
      <c r="AM162" s="117"/>
      <c r="AN162" s="117"/>
      <c r="AO162" s="117">
        <f>Konvention_1slave-KOslave</f>
        <v>12</v>
      </c>
      <c r="AP162" s="121"/>
      <c r="AQ162" s="47">
        <f t="shared" si="1370"/>
        <v>12</v>
      </c>
      <c r="AR162" s="3">
        <f t="shared" si="1371"/>
        <v>24</v>
      </c>
      <c r="AS162" s="174">
        <f t="shared" si="1372"/>
        <v>36</v>
      </c>
      <c r="AT162" s="114">
        <f t="shared" si="1351"/>
        <v>2304</v>
      </c>
      <c r="AU162" s="117">
        <f>AJ162*AK162*KOslave+AJ162*INslave*AO162+KLslave*AK162*AO162</f>
        <v>3456</v>
      </c>
      <c r="AV162" s="119">
        <f t="shared" si="1373"/>
        <v>1728</v>
      </c>
      <c r="AW162" s="119">
        <f t="shared" si="1255"/>
        <v>7488</v>
      </c>
      <c r="AX162" s="89">
        <f t="shared" si="1374"/>
        <v>3.6923076923076925</v>
      </c>
      <c r="AY162" s="47">
        <f t="shared" si="1375"/>
        <v>11.076923076923077</v>
      </c>
      <c r="AZ162" s="127">
        <f t="shared" si="1376"/>
        <v>8.3076923076923084</v>
      </c>
      <c r="BA162" s="127">
        <f t="shared" si="1377"/>
        <v>23.07692307692308</v>
      </c>
      <c r="BB162" s="165">
        <f t="shared" si="1260"/>
        <v>0</v>
      </c>
      <c r="BC162" s="198">
        <f t="shared" si="1378"/>
        <v>23.07692307692308</v>
      </c>
      <c r="BD162" s="125">
        <f>IF(BA162&lt;=0,3,0)+IF(BA162&gt;0,BA162+1,0)*3+IF(BA162&gt;12,BA162-12,0)*3+IF(BA162&gt;13,BA162-13,0)*3+IF(BA162&gt;14,BA162-14,0)*3+IF(BA162&gt;15,BA162-15,0)*3+IF(BA162&gt;16,BA162-16,0)*3+IF(BA162&gt;17,BA162-17,0)*3+IF(BA162&gt;18,BA162-18,0)*3+IF(BA162&gt;19,BA162-19,0)*3+IF(BA162&gt;20,BA162-20,0)*3</f>
        <v>263.30769230769232</v>
      </c>
      <c r="BE162" s="160">
        <f>IF(BB162&lt;=0,3,0)+IF(BB162&gt;0,BB162+1,0)*3+IF(BB162&gt;12,BB162-12,0)*3+IF(BB162&gt;13,BB162-13,0)*3+IF(BB162&gt;14,BB162-14,0)*3+IF(BB162&gt;15,BB162-15,0)*3+IF(BB162&gt;16,BB162-16,0)*3+IF(BB162&gt;17,BB162-17,0)*3+IF(BB162&gt;18,BB162-18,0)*3+IF(BB162&gt;19,BB162-19,0)*3+IF(BB162&gt;20,BB162-20,0)*3</f>
        <v>3</v>
      </c>
      <c r="BF162" s="243">
        <f t="shared" si="1379"/>
        <v>260.30769230769232</v>
      </c>
      <c r="BG162" s="218">
        <f t="shared" si="1380"/>
        <v>0</v>
      </c>
      <c r="BI162" s="303" t="s">
        <v>189</v>
      </c>
      <c r="BJ162" s="304" t="s">
        <v>226</v>
      </c>
      <c r="BK162" s="305" t="s">
        <v>135</v>
      </c>
      <c r="BL162" s="317"/>
      <c r="BM162" s="254">
        <f>Konvention_1slave-KLslave_KL</f>
        <v>11</v>
      </c>
      <c r="BN162" s="254">
        <f t="shared" si="1343"/>
        <v>12</v>
      </c>
      <c r="BO162" s="254"/>
      <c r="BP162" s="254"/>
      <c r="BQ162" s="254"/>
      <c r="BR162" s="254">
        <f>Konvention_1slave-KOslave</f>
        <v>12</v>
      </c>
      <c r="BS162" s="318"/>
      <c r="BT162" s="223">
        <f t="shared" si="1381"/>
        <v>11.666666666666666</v>
      </c>
      <c r="BU162" s="223">
        <f t="shared" si="1382"/>
        <v>23.333333333333332</v>
      </c>
      <c r="BV162" s="224">
        <f t="shared" si="1383"/>
        <v>35</v>
      </c>
      <c r="BW162" s="237">
        <f t="shared" si="1352"/>
        <v>2432</v>
      </c>
      <c r="BX162" s="254">
        <f>BM162*BN162*KOslave+BM162*INslave*BR162+KLslave_KL*BN162*BR162</f>
        <v>3408</v>
      </c>
      <c r="BY162" s="224">
        <f t="shared" si="1384"/>
        <v>1584</v>
      </c>
      <c r="BZ162" s="224">
        <f t="shared" si="1266"/>
        <v>7424</v>
      </c>
      <c r="CA162" s="222">
        <f t="shared" si="1385"/>
        <v>3.8218390804597702</v>
      </c>
      <c r="CB162" s="223">
        <f t="shared" si="1386"/>
        <v>10.711206896551724</v>
      </c>
      <c r="CC162" s="243">
        <f t="shared" si="1387"/>
        <v>7.4676724137931032</v>
      </c>
      <c r="CD162" s="243">
        <f t="shared" si="1388"/>
        <v>22.000718390804597</v>
      </c>
      <c r="CE162" s="252">
        <f t="shared" si="1271"/>
        <v>0</v>
      </c>
      <c r="CF162" s="309">
        <f t="shared" si="1389"/>
        <v>22.000718390804597</v>
      </c>
      <c r="CG162" s="218">
        <f>IF(CD162&lt;=0,3,0)+IF(CD162&gt;0,CD162+1,0)*3+IF(CD162&gt;12,CD162-12,0)*3+IF(CD162&gt;13,CD162-13,0)*3+IF(CD162&gt;14,CD162-14,0)*3+IF(CD162&gt;15,CD162-15,0)*3+IF(CD162&gt;16,CD162-16,0)*3+IF(CD162&gt;17,CD162-17,0)*3+IF(CD162&gt;18,CD162-18,0)*3+IF(CD162&gt;19,CD162-19,0)*3+IF(CD162&gt;20,CD162-20,0)*3</f>
        <v>231.02155172413785</v>
      </c>
      <c r="CH162" s="242">
        <f>IF(CE162&lt;=0,3,0)+IF(CE162&gt;0,CE162+1,0)*3+IF(CE162&gt;12,CE162-12,0)*3+IF(CE162&gt;13,CE162-13,0)*3+IF(CE162&gt;14,CE162-14,0)*3+IF(CE162&gt;15,CE162-15,0)*3+IF(CE162&gt;16,CE162-16,0)*3+IF(CE162&gt;17,CE162-17,0)*3+IF(CE162&gt;18,CE162-18,0)*3+IF(CE162&gt;19,CE162-19,0)*3+IF(CE162&gt;20,CE162-20,0)*3</f>
        <v>3</v>
      </c>
      <c r="CI162" s="243">
        <f t="shared" si="1390"/>
        <v>228.02155172413785</v>
      </c>
      <c r="CJ162" s="218">
        <f t="shared" si="1391"/>
        <v>0</v>
      </c>
      <c r="CL162" s="303" t="s">
        <v>189</v>
      </c>
      <c r="CM162" s="304" t="s">
        <v>226</v>
      </c>
      <c r="CN162" s="305" t="s">
        <v>135</v>
      </c>
      <c r="CO162" s="317"/>
      <c r="CP162" s="254">
        <f>Konvention_1slave-KLslave</f>
        <v>12</v>
      </c>
      <c r="CQ162" s="254">
        <f t="shared" si="1344"/>
        <v>11</v>
      </c>
      <c r="CR162" s="254"/>
      <c r="CS162" s="254"/>
      <c r="CT162" s="254"/>
      <c r="CU162" s="254">
        <f>Konvention_1slave-KOslave</f>
        <v>12</v>
      </c>
      <c r="CV162" s="318"/>
      <c r="CW162" s="223">
        <f t="shared" si="1392"/>
        <v>11.666666666666666</v>
      </c>
      <c r="CX162" s="223">
        <f t="shared" si="1393"/>
        <v>23.333333333333332</v>
      </c>
      <c r="CY162" s="224">
        <f t="shared" si="1394"/>
        <v>35</v>
      </c>
      <c r="CZ162" s="237">
        <f t="shared" si="1353"/>
        <v>2432</v>
      </c>
      <c r="DA162" s="254">
        <f>CP162*CQ162*KOslave+CP162*INslave_IN*CU162+KLslave*CQ162*CU162</f>
        <v>3408</v>
      </c>
      <c r="DB162" s="224">
        <f t="shared" si="1395"/>
        <v>1584</v>
      </c>
      <c r="DC162" s="224">
        <f t="shared" si="1277"/>
        <v>7424</v>
      </c>
      <c r="DD162" s="222">
        <f t="shared" si="1396"/>
        <v>3.8218390804597702</v>
      </c>
      <c r="DE162" s="223">
        <f t="shared" si="1397"/>
        <v>10.711206896551724</v>
      </c>
      <c r="DF162" s="243">
        <f t="shared" si="1398"/>
        <v>7.4676724137931032</v>
      </c>
      <c r="DG162" s="243">
        <f t="shared" si="1399"/>
        <v>22.000718390804597</v>
      </c>
      <c r="DH162" s="252">
        <f t="shared" si="1282"/>
        <v>0</v>
      </c>
      <c r="DI162" s="309">
        <f t="shared" si="1400"/>
        <v>22.000718390804597</v>
      </c>
      <c r="DJ162" s="218">
        <f>IF(DG162&lt;=0,3,0)+IF(DG162&gt;0,DG162+1,0)*3+IF(DG162&gt;12,DG162-12,0)*3+IF(DG162&gt;13,DG162-13,0)*3+IF(DG162&gt;14,DG162-14,0)*3+IF(DG162&gt;15,DG162-15,0)*3+IF(DG162&gt;16,DG162-16,0)*3+IF(DG162&gt;17,DG162-17,0)*3+IF(DG162&gt;18,DG162-18,0)*3+IF(DG162&gt;19,DG162-19,0)*3+IF(DG162&gt;20,DG162-20,0)*3</f>
        <v>231.02155172413785</v>
      </c>
      <c r="DK162" s="242">
        <f>IF(DH162&lt;=0,3,0)+IF(DH162&gt;0,DH162+1,0)*3+IF(DH162&gt;12,DH162-12,0)*3+IF(DH162&gt;13,DH162-13,0)*3+IF(DH162&gt;14,DH162-14,0)*3+IF(DH162&gt;15,DH162-15,0)*3+IF(DH162&gt;16,DH162-16,0)*3+IF(DH162&gt;17,DH162-17,0)*3+IF(DH162&gt;18,DH162-18,0)*3+IF(DH162&gt;19,DH162-19,0)*3+IF(DH162&gt;20,DH162-20,0)*3</f>
        <v>3</v>
      </c>
      <c r="DL162" s="243">
        <f t="shared" si="1401"/>
        <v>228.02155172413785</v>
      </c>
      <c r="DM162" s="218">
        <f t="shared" si="1402"/>
        <v>0</v>
      </c>
      <c r="DO162" s="303" t="s">
        <v>189</v>
      </c>
      <c r="DP162" s="304" t="s">
        <v>226</v>
      </c>
      <c r="DQ162" s="305" t="s">
        <v>135</v>
      </c>
      <c r="DR162" s="317"/>
      <c r="DS162" s="254">
        <f>Konvention_1slave-KLslave</f>
        <v>12</v>
      </c>
      <c r="DT162" s="254">
        <f t="shared" si="1345"/>
        <v>12</v>
      </c>
      <c r="DU162" s="254"/>
      <c r="DV162" s="254"/>
      <c r="DW162" s="254"/>
      <c r="DX162" s="254">
        <f>Konvention_1slave-KOslave</f>
        <v>12</v>
      </c>
      <c r="DY162" s="318"/>
      <c r="DZ162" s="223">
        <f t="shared" si="1403"/>
        <v>12</v>
      </c>
      <c r="EA162" s="223">
        <f t="shared" si="1404"/>
        <v>24</v>
      </c>
      <c r="EB162" s="224">
        <f t="shared" si="1405"/>
        <v>36</v>
      </c>
      <c r="EC162" s="237">
        <f t="shared" si="1354"/>
        <v>2304</v>
      </c>
      <c r="ED162" s="254">
        <f>DS162*DT162*KOslave+DS162*INslave*DX162+KLslave*DT162*DX162</f>
        <v>3456</v>
      </c>
      <c r="EE162" s="224">
        <f t="shared" si="1406"/>
        <v>1728</v>
      </c>
      <c r="EF162" s="224">
        <f t="shared" si="1288"/>
        <v>7488</v>
      </c>
      <c r="EG162" s="222">
        <f t="shared" si="1407"/>
        <v>3.6923076923076925</v>
      </c>
      <c r="EH162" s="223">
        <f t="shared" si="1408"/>
        <v>11.076923076923077</v>
      </c>
      <c r="EI162" s="243">
        <f t="shared" si="1409"/>
        <v>8.3076923076923084</v>
      </c>
      <c r="EJ162" s="243">
        <f t="shared" si="1410"/>
        <v>23.07692307692308</v>
      </c>
      <c r="EK162" s="252">
        <f t="shared" si="1293"/>
        <v>0</v>
      </c>
      <c r="EL162" s="309">
        <f t="shared" si="1411"/>
        <v>23.07692307692308</v>
      </c>
      <c r="EM162" s="218">
        <f>IF(EJ162&lt;=0,3,0)+IF(EJ162&gt;0,EJ162+1,0)*3+IF(EJ162&gt;12,EJ162-12,0)*3+IF(EJ162&gt;13,EJ162-13,0)*3+IF(EJ162&gt;14,EJ162-14,0)*3+IF(EJ162&gt;15,EJ162-15,0)*3+IF(EJ162&gt;16,EJ162-16,0)*3+IF(EJ162&gt;17,EJ162-17,0)*3+IF(EJ162&gt;18,EJ162-18,0)*3+IF(EJ162&gt;19,EJ162-19,0)*3+IF(EJ162&gt;20,EJ162-20,0)*3</f>
        <v>263.30769230769232</v>
      </c>
      <c r="EN162" s="242">
        <f>IF(EK162&lt;=0,3,0)+IF(EK162&gt;0,EK162+1,0)*3+IF(EK162&gt;12,EK162-12,0)*3+IF(EK162&gt;13,EK162-13,0)*3+IF(EK162&gt;14,EK162-14,0)*3+IF(EK162&gt;15,EK162-15,0)*3+IF(EK162&gt;16,EK162-16,0)*3+IF(EK162&gt;17,EK162-17,0)*3+IF(EK162&gt;18,EK162-18,0)*3+IF(EK162&gt;19,EK162-19,0)*3+IF(EK162&gt;20,EK162-20,0)*3</f>
        <v>3</v>
      </c>
      <c r="EO162" s="243">
        <f t="shared" si="1412"/>
        <v>260.30769230769232</v>
      </c>
      <c r="EP162" s="218">
        <f t="shared" si="1413"/>
        <v>0</v>
      </c>
      <c r="ER162" s="303" t="s">
        <v>189</v>
      </c>
      <c r="ES162" s="304" t="s">
        <v>226</v>
      </c>
      <c r="ET162" s="305" t="s">
        <v>135</v>
      </c>
      <c r="EU162" s="317"/>
      <c r="EV162" s="254">
        <f>Konvention_1slave-KLslave</f>
        <v>12</v>
      </c>
      <c r="EW162" s="254">
        <f t="shared" si="1346"/>
        <v>12</v>
      </c>
      <c r="EX162" s="254"/>
      <c r="EY162" s="254"/>
      <c r="EZ162" s="254"/>
      <c r="FA162" s="254">
        <f>Konvention_1slave-KOslave</f>
        <v>12</v>
      </c>
      <c r="FB162" s="318"/>
      <c r="FC162" s="223">
        <f t="shared" si="1414"/>
        <v>12</v>
      </c>
      <c r="FD162" s="223">
        <f t="shared" si="1415"/>
        <v>24</v>
      </c>
      <c r="FE162" s="224">
        <f t="shared" si="1416"/>
        <v>36</v>
      </c>
      <c r="FF162" s="237">
        <f t="shared" si="1355"/>
        <v>2304</v>
      </c>
      <c r="FG162" s="254">
        <f>EV162*EW162*KOslave+EV162*INslave*FA162+KLslave*EW162*FA162</f>
        <v>3456</v>
      </c>
      <c r="FH162" s="224">
        <f t="shared" si="1417"/>
        <v>1728</v>
      </c>
      <c r="FI162" s="224">
        <f t="shared" si="1299"/>
        <v>7488</v>
      </c>
      <c r="FJ162" s="222">
        <f t="shared" si="1418"/>
        <v>3.6923076923076925</v>
      </c>
      <c r="FK162" s="223">
        <f t="shared" si="1419"/>
        <v>11.076923076923077</v>
      </c>
      <c r="FL162" s="243">
        <f t="shared" si="1420"/>
        <v>8.3076923076923084</v>
      </c>
      <c r="FM162" s="243">
        <f t="shared" si="1421"/>
        <v>23.07692307692308</v>
      </c>
      <c r="FN162" s="252">
        <f t="shared" si="1304"/>
        <v>0</v>
      </c>
      <c r="FO162" s="309">
        <f t="shared" si="1422"/>
        <v>23.07692307692308</v>
      </c>
      <c r="FP162" s="218">
        <f>IF(FM162&lt;=0,3,0)+IF(FM162&gt;0,FM162+1,0)*3+IF(FM162&gt;12,FM162-12,0)*3+IF(FM162&gt;13,FM162-13,0)*3+IF(FM162&gt;14,FM162-14,0)*3+IF(FM162&gt;15,FM162-15,0)*3+IF(FM162&gt;16,FM162-16,0)*3+IF(FM162&gt;17,FM162-17,0)*3+IF(FM162&gt;18,FM162-18,0)*3+IF(FM162&gt;19,FM162-19,0)*3+IF(FM162&gt;20,FM162-20,0)*3</f>
        <v>263.30769230769232</v>
      </c>
      <c r="FQ162" s="242">
        <f>IF(FN162&lt;=0,3,0)+IF(FN162&gt;0,FN162+1,0)*3+IF(FN162&gt;12,FN162-12,0)*3+IF(FN162&gt;13,FN162-13,0)*3+IF(FN162&gt;14,FN162-14,0)*3+IF(FN162&gt;15,FN162-15,0)*3+IF(FN162&gt;16,FN162-16,0)*3+IF(FN162&gt;17,FN162-17,0)*3+IF(FN162&gt;18,FN162-18,0)*3+IF(FN162&gt;19,FN162-19,0)*3+IF(FN162&gt;20,FN162-20,0)*3</f>
        <v>3</v>
      </c>
      <c r="FR162" s="243">
        <f t="shared" si="1423"/>
        <v>260.30769230769232</v>
      </c>
      <c r="FS162" s="218">
        <f t="shared" si="1424"/>
        <v>0</v>
      </c>
      <c r="FU162" s="303" t="s">
        <v>189</v>
      </c>
      <c r="FV162" s="304" t="s">
        <v>226</v>
      </c>
      <c r="FW162" s="305" t="s">
        <v>135</v>
      </c>
      <c r="FX162" s="317"/>
      <c r="FY162" s="254">
        <f>Konvention_1slave-KLslave</f>
        <v>12</v>
      </c>
      <c r="FZ162" s="254">
        <f t="shared" si="1347"/>
        <v>12</v>
      </c>
      <c r="GA162" s="254"/>
      <c r="GB162" s="254"/>
      <c r="GC162" s="254"/>
      <c r="GD162" s="254">
        <f>Konvention_1slave-KOslave</f>
        <v>12</v>
      </c>
      <c r="GE162" s="318"/>
      <c r="GF162" s="223">
        <f t="shared" si="1425"/>
        <v>12</v>
      </c>
      <c r="GG162" s="223">
        <f t="shared" si="1426"/>
        <v>24</v>
      </c>
      <c r="GH162" s="224">
        <f t="shared" si="1427"/>
        <v>36</v>
      </c>
      <c r="GI162" s="237">
        <f t="shared" si="1356"/>
        <v>2304</v>
      </c>
      <c r="GJ162" s="254">
        <f>FY162*FZ162*KOslave+FY162*INslave*GD162+KLslave*FZ162*GD162</f>
        <v>3456</v>
      </c>
      <c r="GK162" s="224">
        <f t="shared" si="1428"/>
        <v>1728</v>
      </c>
      <c r="GL162" s="224">
        <f t="shared" si="1310"/>
        <v>7488</v>
      </c>
      <c r="GM162" s="222">
        <f t="shared" si="1429"/>
        <v>3.6923076923076925</v>
      </c>
      <c r="GN162" s="223">
        <f t="shared" si="1430"/>
        <v>11.076923076923077</v>
      </c>
      <c r="GO162" s="243">
        <f t="shared" si="1431"/>
        <v>8.3076923076923084</v>
      </c>
      <c r="GP162" s="243">
        <f t="shared" si="1432"/>
        <v>23.07692307692308</v>
      </c>
      <c r="GQ162" s="252">
        <f t="shared" si="1315"/>
        <v>0</v>
      </c>
      <c r="GR162" s="309">
        <f t="shared" si="1433"/>
        <v>23.07692307692308</v>
      </c>
      <c r="GS162" s="218">
        <f>IF(GP162&lt;=0,3,0)+IF(GP162&gt;0,GP162+1,0)*3+IF(GP162&gt;12,GP162-12,0)*3+IF(GP162&gt;13,GP162-13,0)*3+IF(GP162&gt;14,GP162-14,0)*3+IF(GP162&gt;15,GP162-15,0)*3+IF(GP162&gt;16,GP162-16,0)*3+IF(GP162&gt;17,GP162-17,0)*3+IF(GP162&gt;18,GP162-18,0)*3+IF(GP162&gt;19,GP162-19,0)*3+IF(GP162&gt;20,GP162-20,0)*3</f>
        <v>263.30769230769232</v>
      </c>
      <c r="GT162" s="242">
        <f>IF(GQ162&lt;=0,3,0)+IF(GQ162&gt;0,GQ162+1,0)*3+IF(GQ162&gt;12,GQ162-12,0)*3+IF(GQ162&gt;13,GQ162-13,0)*3+IF(GQ162&gt;14,GQ162-14,0)*3+IF(GQ162&gt;15,GQ162-15,0)*3+IF(GQ162&gt;16,GQ162-16,0)*3+IF(GQ162&gt;17,GQ162-17,0)*3+IF(GQ162&gt;18,GQ162-18,0)*3+IF(GQ162&gt;19,GQ162-19,0)*3+IF(GQ162&gt;20,GQ162-20,0)*3</f>
        <v>3</v>
      </c>
      <c r="GU162" s="243">
        <f t="shared" si="1434"/>
        <v>260.30769230769232</v>
      </c>
      <c r="GV162" s="218">
        <f t="shared" si="1435"/>
        <v>0</v>
      </c>
      <c r="GX162" s="303" t="s">
        <v>189</v>
      </c>
      <c r="GY162" s="304" t="s">
        <v>226</v>
      </c>
      <c r="GZ162" s="305" t="s">
        <v>135</v>
      </c>
      <c r="HA162" s="317"/>
      <c r="HB162" s="254">
        <f>Konvention_1slave-KLslave</f>
        <v>12</v>
      </c>
      <c r="HC162" s="254">
        <f t="shared" si="1348"/>
        <v>12</v>
      </c>
      <c r="HD162" s="254"/>
      <c r="HE162" s="254"/>
      <c r="HF162" s="254"/>
      <c r="HG162" s="254">
        <f>Konvention_1slave-KOslave_KO</f>
        <v>11</v>
      </c>
      <c r="HH162" s="318"/>
      <c r="HI162" s="223">
        <f t="shared" si="1436"/>
        <v>11.666666666666666</v>
      </c>
      <c r="HJ162" s="223">
        <f t="shared" si="1437"/>
        <v>23.333333333333332</v>
      </c>
      <c r="HK162" s="224">
        <f t="shared" si="1438"/>
        <v>35</v>
      </c>
      <c r="HL162" s="237">
        <f t="shared" si="1357"/>
        <v>2432</v>
      </c>
      <c r="HM162" s="254">
        <f>HB162*HC162*KOslave_KO+HB162*INslave*HG162+KLslave*HC162*HG162</f>
        <v>3408</v>
      </c>
      <c r="HN162" s="224">
        <f t="shared" si="1439"/>
        <v>1584</v>
      </c>
      <c r="HO162" s="224">
        <f t="shared" si="1321"/>
        <v>7424</v>
      </c>
      <c r="HP162" s="222">
        <f t="shared" si="1440"/>
        <v>3.8218390804597702</v>
      </c>
      <c r="HQ162" s="223">
        <f t="shared" si="1441"/>
        <v>10.711206896551724</v>
      </c>
      <c r="HR162" s="243">
        <f t="shared" si="1442"/>
        <v>7.4676724137931032</v>
      </c>
      <c r="HS162" s="243">
        <f t="shared" si="1443"/>
        <v>22.000718390804597</v>
      </c>
      <c r="HT162" s="252">
        <f t="shared" si="1326"/>
        <v>0</v>
      </c>
      <c r="HU162" s="309">
        <f t="shared" si="1444"/>
        <v>22.000718390804597</v>
      </c>
      <c r="HV162" s="218">
        <f>IF(HS162&lt;=0,3,0)+IF(HS162&gt;0,HS162+1,0)*3+IF(HS162&gt;12,HS162-12,0)*3+IF(HS162&gt;13,HS162-13,0)*3+IF(HS162&gt;14,HS162-14,0)*3+IF(HS162&gt;15,HS162-15,0)*3+IF(HS162&gt;16,HS162-16,0)*3+IF(HS162&gt;17,HS162-17,0)*3+IF(HS162&gt;18,HS162-18,0)*3+IF(HS162&gt;19,HS162-19,0)*3+IF(HS162&gt;20,HS162-20,0)*3</f>
        <v>231.02155172413785</v>
      </c>
      <c r="HW162" s="242">
        <f>IF(HT162&lt;=0,3,0)+IF(HT162&gt;0,HT162+1,0)*3+IF(HT162&gt;12,HT162-12,0)*3+IF(HT162&gt;13,HT162-13,0)*3+IF(HT162&gt;14,HT162-14,0)*3+IF(HT162&gt;15,HT162-15,0)*3+IF(HT162&gt;16,HT162-16,0)*3+IF(HT162&gt;17,HT162-17,0)*3+IF(HT162&gt;18,HT162-18,0)*3+IF(HT162&gt;19,HT162-19,0)*3+IF(HT162&gt;20,HT162-20,0)*3</f>
        <v>3</v>
      </c>
      <c r="HX162" s="243">
        <f t="shared" si="1445"/>
        <v>228.02155172413785</v>
      </c>
      <c r="HY162" s="218">
        <f t="shared" si="1446"/>
        <v>0</v>
      </c>
      <c r="IA162" s="303" t="s">
        <v>189</v>
      </c>
      <c r="IB162" s="304" t="s">
        <v>226</v>
      </c>
      <c r="IC162" s="305" t="s">
        <v>135</v>
      </c>
      <c r="ID162" s="317"/>
      <c r="IE162" s="254">
        <f>Konvention_1slave-KLslave</f>
        <v>12</v>
      </c>
      <c r="IF162" s="254">
        <f t="shared" si="1349"/>
        <v>12</v>
      </c>
      <c r="IG162" s="254"/>
      <c r="IH162" s="254"/>
      <c r="II162" s="254"/>
      <c r="IJ162" s="254">
        <f>Konvention_1slave-KOslave</f>
        <v>12</v>
      </c>
      <c r="IK162" s="318"/>
      <c r="IL162" s="223">
        <f t="shared" si="1447"/>
        <v>12</v>
      </c>
      <c r="IM162" s="223">
        <f t="shared" si="1448"/>
        <v>24</v>
      </c>
      <c r="IN162" s="224">
        <f t="shared" si="1449"/>
        <v>36</v>
      </c>
      <c r="IO162" s="237">
        <f t="shared" si="1358"/>
        <v>2304</v>
      </c>
      <c r="IP162" s="254">
        <f>IE162*IF162*KOslave+IE162*INslave*IJ162+KLslave*IF162*IJ162</f>
        <v>3456</v>
      </c>
      <c r="IQ162" s="224">
        <f t="shared" si="1450"/>
        <v>1728</v>
      </c>
      <c r="IR162" s="224">
        <f t="shared" si="1332"/>
        <v>7488</v>
      </c>
      <c r="IS162" s="222">
        <f t="shared" si="1451"/>
        <v>3.6923076923076925</v>
      </c>
      <c r="IT162" s="223">
        <f t="shared" si="1452"/>
        <v>11.076923076923077</v>
      </c>
      <c r="IU162" s="243">
        <f t="shared" si="1453"/>
        <v>8.3076923076923084</v>
      </c>
      <c r="IV162" s="243">
        <f t="shared" si="1454"/>
        <v>23.07692307692308</v>
      </c>
      <c r="IW162" s="252">
        <f t="shared" si="1337"/>
        <v>0</v>
      </c>
      <c r="IX162" s="309">
        <f t="shared" si="1455"/>
        <v>23.07692307692308</v>
      </c>
      <c r="IY162" s="218">
        <f>IF(IV162&lt;=0,3,0)+IF(IV162&gt;0,IV162+1,0)*3+IF(IV162&gt;12,IV162-12,0)*3+IF(IV162&gt;13,IV162-13,0)*3+IF(IV162&gt;14,IV162-14,0)*3+IF(IV162&gt;15,IV162-15,0)*3+IF(IV162&gt;16,IV162-16,0)*3+IF(IV162&gt;17,IV162-17,0)*3+IF(IV162&gt;18,IV162-18,0)*3+IF(IV162&gt;19,IV162-19,0)*3+IF(IV162&gt;20,IV162-20,0)*3</f>
        <v>263.30769230769232</v>
      </c>
      <c r="IZ162" s="242">
        <f>IF(IW162&lt;=0,3,0)+IF(IW162&gt;0,IW162+1,0)*3+IF(IW162&gt;12,IW162-12,0)*3+IF(IW162&gt;13,IW162-13,0)*3+IF(IW162&gt;14,IW162-14,0)*3+IF(IW162&gt;15,IW162-15,0)*3+IF(IW162&gt;16,IW162-16,0)*3+IF(IW162&gt;17,IW162-17,0)*3+IF(IW162&gt;18,IW162-18,0)*3+IF(IW162&gt;19,IW162-19,0)*3+IF(IW162&gt;20,IW162-20,0)*3</f>
        <v>3</v>
      </c>
      <c r="JA162" s="243">
        <f t="shared" si="1456"/>
        <v>260.30769230769232</v>
      </c>
      <c r="JB162" s="218">
        <f t="shared" si="1457"/>
        <v>0</v>
      </c>
      <c r="JE162" s="148"/>
    </row>
    <row r="163" spans="2:265" hidden="1" outlineLevel="2">
      <c r="B163" s="148">
        <v>11</v>
      </c>
      <c r="C163" s="303" t="e">
        <f>VLOOKUP(AF163,Attribute!C:T,1,FALSE)</f>
        <v>#N/A</v>
      </c>
      <c r="D163" s="86" t="s">
        <v>79</v>
      </c>
      <c r="E163" s="167" t="s">
        <v>132</v>
      </c>
      <c r="F163" s="120"/>
      <c r="G163" s="117">
        <f>Konvention_1master-KLmaster</f>
        <v>12</v>
      </c>
      <c r="H163" s="117"/>
      <c r="I163" s="117">
        <f t="shared" ref="I163:I173" si="1458">Konvention_1master-CHmaster</f>
        <v>12</v>
      </c>
      <c r="J163" s="117"/>
      <c r="K163" s="117"/>
      <c r="L163" s="117">
        <f>Konvention_1master-KOmaster</f>
        <v>12</v>
      </c>
      <c r="M163" s="121"/>
      <c r="N163" s="223">
        <f>(F163+G163+H163+I163+J163+K163+L163+M163)/3</f>
        <v>12</v>
      </c>
      <c r="O163" s="223">
        <f t="shared" si="1360"/>
        <v>24</v>
      </c>
      <c r="P163" s="224">
        <f t="shared" si="1361"/>
        <v>36</v>
      </c>
      <c r="Q163" s="237">
        <f t="shared" si="1350"/>
        <v>2304</v>
      </c>
      <c r="R163" s="117">
        <f>G163*I163*KOmaster+G163*CHmaster*L163+KLmaster*I163*L163</f>
        <v>3456</v>
      </c>
      <c r="S163" s="224">
        <f t="shared" si="1362"/>
        <v>1728</v>
      </c>
      <c r="T163" s="224">
        <f t="shared" si="1245"/>
        <v>7488</v>
      </c>
      <c r="U163" s="222">
        <f t="shared" si="1363"/>
        <v>3.6923076923076925</v>
      </c>
      <c r="V163" s="223">
        <f t="shared" si="1364"/>
        <v>11.076923076923077</v>
      </c>
      <c r="W163" s="243">
        <f t="shared" si="1365"/>
        <v>8.3076923076923084</v>
      </c>
      <c r="X163" s="243">
        <f t="shared" si="1366"/>
        <v>23.07692307692308</v>
      </c>
      <c r="Y163" s="252">
        <v>0</v>
      </c>
      <c r="Z163" s="198">
        <f t="shared" si="1367"/>
        <v>23.07692307692308</v>
      </c>
      <c r="AA163" s="125">
        <f t="shared" ref="AA163:AA168" si="1459">IF(X163&lt;=0,2,0)+IF(X163&gt;0,X163+1,0)*2+IF(X163&gt;12,X163-12,0)*2+IF(X163&gt;13,X163-13,0)*2+IF(X163&gt;14,X163-14,0)*2+IF(X163&gt;15,X163-15,0)*2+IF(X163&gt;16,X163-16,0)*2+IF(X163&gt;17,X163-17,0)*2+IF(X163&gt;18,X163-18,0)*2+IF(X163&gt;19,X163-19,0)*2+IF(X163&gt;20,X163-20,0)*2</f>
        <v>175.5384615384616</v>
      </c>
      <c r="AB163" s="160">
        <f t="shared" ref="AB163:AB168" si="1460">IF(Y163&lt;=0,2,0)+IF(Y163&gt;0,Y163+1,0)*2+IF(Y163&gt;12,Y163-12,0)*2+IF(Y163&gt;13,Y163-13,0)*2+IF(Y163&gt;14,Y163-14,0)*2+IF(Y163&gt;15,Y163-15,0)*2+IF(Y163&gt;16,Y163-16,0)*2+IF(Y163&gt;17,Y163-17,0)*2+IF(Y163&gt;18,Y163-18,0)*2+IF(Y163&gt;19,Y163-19,0)*2+IF(Y163&gt;20,Y163-20,0)*2</f>
        <v>2</v>
      </c>
      <c r="AC163" s="127">
        <f t="shared" si="1368"/>
        <v>173.5384615384616</v>
      </c>
      <c r="AD163" s="125">
        <f t="shared" si="1369"/>
        <v>0</v>
      </c>
      <c r="AF163" s="163" t="s">
        <v>300</v>
      </c>
      <c r="AG163" s="86" t="s">
        <v>79</v>
      </c>
      <c r="AH163" s="167" t="s">
        <v>132</v>
      </c>
      <c r="AI163" s="120"/>
      <c r="AJ163" s="117">
        <f>Konvention_1slave-KLslave</f>
        <v>12</v>
      </c>
      <c r="AK163" s="117"/>
      <c r="AL163" s="117">
        <f>Konvention_1slave-CHslave</f>
        <v>12</v>
      </c>
      <c r="AM163" s="117"/>
      <c r="AN163" s="117"/>
      <c r="AO163" s="117">
        <f>Konvention_1slave-KOslave</f>
        <v>12</v>
      </c>
      <c r="AP163" s="121"/>
      <c r="AQ163" s="47">
        <f>(AI163+AJ163+AK163+AL163+AM163+AN163+AO163+AP163)/3</f>
        <v>12</v>
      </c>
      <c r="AR163" s="3">
        <f t="shared" si="1371"/>
        <v>24</v>
      </c>
      <c r="AS163" s="174">
        <f t="shared" si="1372"/>
        <v>36</v>
      </c>
      <c r="AT163" s="114">
        <f t="shared" si="1351"/>
        <v>2304</v>
      </c>
      <c r="AU163" s="117">
        <f>AJ163*AL163*KOslave+AJ163*CHslave*AO163+KLslave*AL163*AO163</f>
        <v>3456</v>
      </c>
      <c r="AV163" s="119">
        <f t="shared" si="1373"/>
        <v>1728</v>
      </c>
      <c r="AW163" s="119">
        <f t="shared" si="1255"/>
        <v>7488</v>
      </c>
      <c r="AX163" s="89">
        <f t="shared" si="1374"/>
        <v>3.6923076923076925</v>
      </c>
      <c r="AY163" s="47">
        <f t="shared" si="1375"/>
        <v>11.076923076923077</v>
      </c>
      <c r="AZ163" s="127">
        <f t="shared" si="1376"/>
        <v>8.3076923076923084</v>
      </c>
      <c r="BA163" s="127">
        <f t="shared" si="1377"/>
        <v>23.07692307692308</v>
      </c>
      <c r="BB163" s="165">
        <f t="shared" si="1260"/>
        <v>0</v>
      </c>
      <c r="BC163" s="198">
        <f t="shared" si="1378"/>
        <v>23.07692307692308</v>
      </c>
      <c r="BD163" s="125">
        <f t="shared" ref="BD163:BD168" si="1461">IF(BA163&lt;=0,2,0)+IF(BA163&gt;0,BA163+1,0)*2+IF(BA163&gt;12,BA163-12,0)*2+IF(BA163&gt;13,BA163-13,0)*2+IF(BA163&gt;14,BA163-14,0)*2+IF(BA163&gt;15,BA163-15,0)*2+IF(BA163&gt;16,BA163-16,0)*2+IF(BA163&gt;17,BA163-17,0)*2+IF(BA163&gt;18,BA163-18,0)*2+IF(BA163&gt;19,BA163-19,0)*2+IF(BA163&gt;20,BA163-20,0)*2</f>
        <v>175.5384615384616</v>
      </c>
      <c r="BE163" s="160">
        <f t="shared" ref="BE163:BE168" si="1462">IF(BB163&lt;=0,2,0)+IF(BB163&gt;0,BB163+1,0)*2+IF(BB163&gt;12,BB163-12,0)*2+IF(BB163&gt;13,BB163-13,0)*2+IF(BB163&gt;14,BB163-14,0)*2+IF(BB163&gt;15,BB163-15,0)*2+IF(BB163&gt;16,BB163-16,0)*2+IF(BB163&gt;17,BB163-17,0)*2+IF(BB163&gt;18,BB163-18,0)*2+IF(BB163&gt;19,BB163-19,0)*2+IF(BB163&gt;20,BB163-20,0)*2</f>
        <v>2</v>
      </c>
      <c r="BF163" s="243">
        <f t="shared" si="1379"/>
        <v>173.5384615384616</v>
      </c>
      <c r="BG163" s="218">
        <f t="shared" si="1380"/>
        <v>0</v>
      </c>
      <c r="BI163" s="303" t="s">
        <v>300</v>
      </c>
      <c r="BJ163" s="304" t="s">
        <v>79</v>
      </c>
      <c r="BK163" s="305" t="s">
        <v>132</v>
      </c>
      <c r="BL163" s="317"/>
      <c r="BM163" s="254">
        <f>Konvention_1slave-KLslave_KL</f>
        <v>11</v>
      </c>
      <c r="BN163" s="254"/>
      <c r="BO163" s="254">
        <f t="shared" ref="BO163:BO173" si="1463">Konvention_1slave-CHslave</f>
        <v>12</v>
      </c>
      <c r="BP163" s="254"/>
      <c r="BQ163" s="254"/>
      <c r="BR163" s="254">
        <f>Konvention_1slave-KOslave</f>
        <v>12</v>
      </c>
      <c r="BS163" s="318"/>
      <c r="BT163" s="223">
        <f>(BL163+BM163+BN163+BO163+BP163+BQ163+BR163+BS163)/3</f>
        <v>11.666666666666666</v>
      </c>
      <c r="BU163" s="223">
        <f t="shared" si="1382"/>
        <v>23.333333333333332</v>
      </c>
      <c r="BV163" s="224">
        <f t="shared" si="1383"/>
        <v>35</v>
      </c>
      <c r="BW163" s="237">
        <f t="shared" si="1352"/>
        <v>2432</v>
      </c>
      <c r="BX163" s="254">
        <f>BM163*BO163*KOslave+BM163*CHslave*BR163+KLslave_KL*BO163*BR163</f>
        <v>3408</v>
      </c>
      <c r="BY163" s="224">
        <f t="shared" si="1384"/>
        <v>1584</v>
      </c>
      <c r="BZ163" s="224">
        <f t="shared" si="1266"/>
        <v>7424</v>
      </c>
      <c r="CA163" s="222">
        <f t="shared" si="1385"/>
        <v>3.8218390804597702</v>
      </c>
      <c r="CB163" s="223">
        <f t="shared" si="1386"/>
        <v>10.711206896551724</v>
      </c>
      <c r="CC163" s="243">
        <f t="shared" si="1387"/>
        <v>7.4676724137931032</v>
      </c>
      <c r="CD163" s="243">
        <f t="shared" si="1388"/>
        <v>22.000718390804597</v>
      </c>
      <c r="CE163" s="252">
        <f t="shared" si="1271"/>
        <v>0</v>
      </c>
      <c r="CF163" s="309">
        <f t="shared" si="1389"/>
        <v>22.000718390804597</v>
      </c>
      <c r="CG163" s="218">
        <f t="shared" ref="CG163:CG168" si="1464">IF(CD163&lt;=0,2,0)+IF(CD163&gt;0,CD163+1,0)*2+IF(CD163&gt;12,CD163-12,0)*2+IF(CD163&gt;13,CD163-13,0)*2+IF(CD163&gt;14,CD163-14,0)*2+IF(CD163&gt;15,CD163-15,0)*2+IF(CD163&gt;16,CD163-16,0)*2+IF(CD163&gt;17,CD163-17,0)*2+IF(CD163&gt;18,CD163-18,0)*2+IF(CD163&gt;19,CD163-19,0)*2+IF(CD163&gt;20,CD163-20,0)*2</f>
        <v>154.01436781609189</v>
      </c>
      <c r="CH163" s="242">
        <f t="shared" ref="CH163:CH168" si="1465">IF(CE163&lt;=0,2,0)+IF(CE163&gt;0,CE163+1,0)*2+IF(CE163&gt;12,CE163-12,0)*2+IF(CE163&gt;13,CE163-13,0)*2+IF(CE163&gt;14,CE163-14,0)*2+IF(CE163&gt;15,CE163-15,0)*2+IF(CE163&gt;16,CE163-16,0)*2+IF(CE163&gt;17,CE163-17,0)*2+IF(CE163&gt;18,CE163-18,0)*2+IF(CE163&gt;19,CE163-19,0)*2+IF(CE163&gt;20,CE163-20,0)*2</f>
        <v>2</v>
      </c>
      <c r="CI163" s="243">
        <f t="shared" si="1390"/>
        <v>152.01436781609189</v>
      </c>
      <c r="CJ163" s="218">
        <f t="shared" si="1391"/>
        <v>0</v>
      </c>
      <c r="CL163" s="303" t="s">
        <v>300</v>
      </c>
      <c r="CM163" s="304" t="s">
        <v>79</v>
      </c>
      <c r="CN163" s="305" t="s">
        <v>132</v>
      </c>
      <c r="CO163" s="317"/>
      <c r="CP163" s="254">
        <f>Konvention_1slave-KLslave</f>
        <v>12</v>
      </c>
      <c r="CQ163" s="254"/>
      <c r="CR163" s="254">
        <f t="shared" ref="CR163:CR173" si="1466">Konvention_1slave-CHslave</f>
        <v>12</v>
      </c>
      <c r="CS163" s="254"/>
      <c r="CT163" s="254"/>
      <c r="CU163" s="254">
        <f>Konvention_1slave-KOslave</f>
        <v>12</v>
      </c>
      <c r="CV163" s="318"/>
      <c r="CW163" s="223">
        <f>(CO163+CP163+CQ163+CR163+CS163+CT163+CU163+CV163)/3</f>
        <v>12</v>
      </c>
      <c r="CX163" s="223">
        <f t="shared" si="1393"/>
        <v>24</v>
      </c>
      <c r="CY163" s="224">
        <f t="shared" si="1394"/>
        <v>36</v>
      </c>
      <c r="CZ163" s="237">
        <f t="shared" si="1353"/>
        <v>2304</v>
      </c>
      <c r="DA163" s="254">
        <f>CP163*CR163*KOslave+CP163*CHslave*CU163+KLslave*CR163*CU163</f>
        <v>3456</v>
      </c>
      <c r="DB163" s="224">
        <f t="shared" si="1395"/>
        <v>1728</v>
      </c>
      <c r="DC163" s="224">
        <f t="shared" si="1277"/>
        <v>7488</v>
      </c>
      <c r="DD163" s="222">
        <f t="shared" si="1396"/>
        <v>3.6923076923076925</v>
      </c>
      <c r="DE163" s="223">
        <f t="shared" si="1397"/>
        <v>11.076923076923077</v>
      </c>
      <c r="DF163" s="243">
        <f t="shared" si="1398"/>
        <v>8.3076923076923084</v>
      </c>
      <c r="DG163" s="243">
        <f t="shared" si="1399"/>
        <v>23.07692307692308</v>
      </c>
      <c r="DH163" s="252">
        <f t="shared" si="1282"/>
        <v>0</v>
      </c>
      <c r="DI163" s="309">
        <f t="shared" si="1400"/>
        <v>23.07692307692308</v>
      </c>
      <c r="DJ163" s="218">
        <f t="shared" ref="DJ163:DJ168" si="1467">IF(DG163&lt;=0,2,0)+IF(DG163&gt;0,DG163+1,0)*2+IF(DG163&gt;12,DG163-12,0)*2+IF(DG163&gt;13,DG163-13,0)*2+IF(DG163&gt;14,DG163-14,0)*2+IF(DG163&gt;15,DG163-15,0)*2+IF(DG163&gt;16,DG163-16,0)*2+IF(DG163&gt;17,DG163-17,0)*2+IF(DG163&gt;18,DG163-18,0)*2+IF(DG163&gt;19,DG163-19,0)*2+IF(DG163&gt;20,DG163-20,0)*2</f>
        <v>175.5384615384616</v>
      </c>
      <c r="DK163" s="242">
        <f t="shared" ref="DK163:DK168" si="1468">IF(DH163&lt;=0,2,0)+IF(DH163&gt;0,DH163+1,0)*2+IF(DH163&gt;12,DH163-12,0)*2+IF(DH163&gt;13,DH163-13,0)*2+IF(DH163&gt;14,DH163-14,0)*2+IF(DH163&gt;15,DH163-15,0)*2+IF(DH163&gt;16,DH163-16,0)*2+IF(DH163&gt;17,DH163-17,0)*2+IF(DH163&gt;18,DH163-18,0)*2+IF(DH163&gt;19,DH163-19,0)*2+IF(DH163&gt;20,DH163-20,0)*2</f>
        <v>2</v>
      </c>
      <c r="DL163" s="243">
        <f t="shared" si="1401"/>
        <v>173.5384615384616</v>
      </c>
      <c r="DM163" s="218">
        <f t="shared" si="1402"/>
        <v>0</v>
      </c>
      <c r="DO163" s="303" t="s">
        <v>300</v>
      </c>
      <c r="DP163" s="304" t="s">
        <v>79</v>
      </c>
      <c r="DQ163" s="305" t="s">
        <v>132</v>
      </c>
      <c r="DR163" s="317"/>
      <c r="DS163" s="254">
        <f>Konvention_1slave-KLslave</f>
        <v>12</v>
      </c>
      <c r="DT163" s="254"/>
      <c r="DU163" s="254">
        <f t="shared" ref="DU163:DU173" si="1469">Konvention_1slave-CHslave_CH</f>
        <v>11</v>
      </c>
      <c r="DV163" s="254"/>
      <c r="DW163" s="254"/>
      <c r="DX163" s="254">
        <f>Konvention_1slave-KOslave</f>
        <v>12</v>
      </c>
      <c r="DY163" s="318"/>
      <c r="DZ163" s="223">
        <f>(DR163+DS163+DT163+DU163+DV163+DW163+DX163+DY163)/3</f>
        <v>11.666666666666666</v>
      </c>
      <c r="EA163" s="223">
        <f t="shared" si="1404"/>
        <v>23.333333333333332</v>
      </c>
      <c r="EB163" s="224">
        <f t="shared" si="1405"/>
        <v>35</v>
      </c>
      <c r="EC163" s="237">
        <f t="shared" si="1354"/>
        <v>2432</v>
      </c>
      <c r="ED163" s="254">
        <f>DS163*DU163*KOslave+DS163*CHslave_CH*DX163+KLslave*DU163*DX163</f>
        <v>3408</v>
      </c>
      <c r="EE163" s="224">
        <f t="shared" si="1406"/>
        <v>1584</v>
      </c>
      <c r="EF163" s="224">
        <f t="shared" si="1288"/>
        <v>7424</v>
      </c>
      <c r="EG163" s="222">
        <f t="shared" si="1407"/>
        <v>3.8218390804597702</v>
      </c>
      <c r="EH163" s="223">
        <f t="shared" si="1408"/>
        <v>10.711206896551724</v>
      </c>
      <c r="EI163" s="243">
        <f t="shared" si="1409"/>
        <v>7.4676724137931032</v>
      </c>
      <c r="EJ163" s="243">
        <f t="shared" si="1410"/>
        <v>22.000718390804597</v>
      </c>
      <c r="EK163" s="252">
        <f t="shared" si="1293"/>
        <v>0</v>
      </c>
      <c r="EL163" s="309">
        <f t="shared" si="1411"/>
        <v>22.000718390804597</v>
      </c>
      <c r="EM163" s="218">
        <f t="shared" ref="EM163:EM168" si="1470">IF(EJ163&lt;=0,2,0)+IF(EJ163&gt;0,EJ163+1,0)*2+IF(EJ163&gt;12,EJ163-12,0)*2+IF(EJ163&gt;13,EJ163-13,0)*2+IF(EJ163&gt;14,EJ163-14,0)*2+IF(EJ163&gt;15,EJ163-15,0)*2+IF(EJ163&gt;16,EJ163-16,0)*2+IF(EJ163&gt;17,EJ163-17,0)*2+IF(EJ163&gt;18,EJ163-18,0)*2+IF(EJ163&gt;19,EJ163-19,0)*2+IF(EJ163&gt;20,EJ163-20,0)*2</f>
        <v>154.01436781609189</v>
      </c>
      <c r="EN163" s="242">
        <f t="shared" ref="EN163:EN168" si="1471">IF(EK163&lt;=0,2,0)+IF(EK163&gt;0,EK163+1,0)*2+IF(EK163&gt;12,EK163-12,0)*2+IF(EK163&gt;13,EK163-13,0)*2+IF(EK163&gt;14,EK163-14,0)*2+IF(EK163&gt;15,EK163-15,0)*2+IF(EK163&gt;16,EK163-16,0)*2+IF(EK163&gt;17,EK163-17,0)*2+IF(EK163&gt;18,EK163-18,0)*2+IF(EK163&gt;19,EK163-19,0)*2+IF(EK163&gt;20,EK163-20,0)*2</f>
        <v>2</v>
      </c>
      <c r="EO163" s="243">
        <f t="shared" si="1412"/>
        <v>152.01436781609189</v>
      </c>
      <c r="EP163" s="218">
        <f t="shared" si="1413"/>
        <v>0</v>
      </c>
      <c r="ER163" s="303" t="s">
        <v>300</v>
      </c>
      <c r="ES163" s="304" t="s">
        <v>79</v>
      </c>
      <c r="ET163" s="305" t="s">
        <v>132</v>
      </c>
      <c r="EU163" s="317"/>
      <c r="EV163" s="254">
        <f>Konvention_1slave-KLslave</f>
        <v>12</v>
      </c>
      <c r="EW163" s="254"/>
      <c r="EX163" s="254">
        <f t="shared" ref="EX163:EX173" si="1472">Konvention_1slave-CHslave</f>
        <v>12</v>
      </c>
      <c r="EY163" s="254"/>
      <c r="EZ163" s="254"/>
      <c r="FA163" s="254">
        <f>Konvention_1slave-KOslave</f>
        <v>12</v>
      </c>
      <c r="FB163" s="318"/>
      <c r="FC163" s="223">
        <f>(EU163+EV163+EW163+EX163+EY163+EZ163+FA163+FB163)/3</f>
        <v>12</v>
      </c>
      <c r="FD163" s="223">
        <f t="shared" si="1415"/>
        <v>24</v>
      </c>
      <c r="FE163" s="224">
        <f t="shared" si="1416"/>
        <v>36</v>
      </c>
      <c r="FF163" s="237">
        <f t="shared" si="1355"/>
        <v>2304</v>
      </c>
      <c r="FG163" s="254">
        <f>EV163*EX163*KOslave+EV163*CHslave*FA163+KLslave*EX163*FA163</f>
        <v>3456</v>
      </c>
      <c r="FH163" s="224">
        <f t="shared" si="1417"/>
        <v>1728</v>
      </c>
      <c r="FI163" s="224">
        <f t="shared" si="1299"/>
        <v>7488</v>
      </c>
      <c r="FJ163" s="222">
        <f t="shared" si="1418"/>
        <v>3.6923076923076925</v>
      </c>
      <c r="FK163" s="223">
        <f t="shared" si="1419"/>
        <v>11.076923076923077</v>
      </c>
      <c r="FL163" s="243">
        <f t="shared" si="1420"/>
        <v>8.3076923076923084</v>
      </c>
      <c r="FM163" s="243">
        <f t="shared" si="1421"/>
        <v>23.07692307692308</v>
      </c>
      <c r="FN163" s="252">
        <f t="shared" si="1304"/>
        <v>0</v>
      </c>
      <c r="FO163" s="309">
        <f t="shared" si="1422"/>
        <v>23.07692307692308</v>
      </c>
      <c r="FP163" s="218">
        <f t="shared" ref="FP163:FP168" si="1473">IF(FM163&lt;=0,2,0)+IF(FM163&gt;0,FM163+1,0)*2+IF(FM163&gt;12,FM163-12,0)*2+IF(FM163&gt;13,FM163-13,0)*2+IF(FM163&gt;14,FM163-14,0)*2+IF(FM163&gt;15,FM163-15,0)*2+IF(FM163&gt;16,FM163-16,0)*2+IF(FM163&gt;17,FM163-17,0)*2+IF(FM163&gt;18,FM163-18,0)*2+IF(FM163&gt;19,FM163-19,0)*2+IF(FM163&gt;20,FM163-20,0)*2</f>
        <v>175.5384615384616</v>
      </c>
      <c r="FQ163" s="242">
        <f t="shared" ref="FQ163:FQ168" si="1474">IF(FN163&lt;=0,2,0)+IF(FN163&gt;0,FN163+1,0)*2+IF(FN163&gt;12,FN163-12,0)*2+IF(FN163&gt;13,FN163-13,0)*2+IF(FN163&gt;14,FN163-14,0)*2+IF(FN163&gt;15,FN163-15,0)*2+IF(FN163&gt;16,FN163-16,0)*2+IF(FN163&gt;17,FN163-17,0)*2+IF(FN163&gt;18,FN163-18,0)*2+IF(FN163&gt;19,FN163-19,0)*2+IF(FN163&gt;20,FN163-20,0)*2</f>
        <v>2</v>
      </c>
      <c r="FR163" s="243">
        <f t="shared" si="1423"/>
        <v>173.5384615384616</v>
      </c>
      <c r="FS163" s="218">
        <f t="shared" si="1424"/>
        <v>0</v>
      </c>
      <c r="FU163" s="303" t="s">
        <v>300</v>
      </c>
      <c r="FV163" s="304" t="s">
        <v>79</v>
      </c>
      <c r="FW163" s="305" t="s">
        <v>132</v>
      </c>
      <c r="FX163" s="317"/>
      <c r="FY163" s="254">
        <f>Konvention_1slave-KLslave</f>
        <v>12</v>
      </c>
      <c r="FZ163" s="254"/>
      <c r="GA163" s="254">
        <f t="shared" ref="GA163:GA173" si="1475">Konvention_1slave-CHslave</f>
        <v>12</v>
      </c>
      <c r="GB163" s="254"/>
      <c r="GC163" s="254"/>
      <c r="GD163" s="254">
        <f>Konvention_1slave-KOslave</f>
        <v>12</v>
      </c>
      <c r="GE163" s="318"/>
      <c r="GF163" s="223">
        <f>(FX163+FY163+FZ163+GA163+GB163+GC163+GD163+GE163)/3</f>
        <v>12</v>
      </c>
      <c r="GG163" s="223">
        <f t="shared" si="1426"/>
        <v>24</v>
      </c>
      <c r="GH163" s="224">
        <f t="shared" si="1427"/>
        <v>36</v>
      </c>
      <c r="GI163" s="237">
        <f t="shared" si="1356"/>
        <v>2304</v>
      </c>
      <c r="GJ163" s="254">
        <f>FY163*GA163*KOslave+FY163*CHslave*GD163+KLslave*GA163*GD163</f>
        <v>3456</v>
      </c>
      <c r="GK163" s="224">
        <f t="shared" si="1428"/>
        <v>1728</v>
      </c>
      <c r="GL163" s="224">
        <f t="shared" si="1310"/>
        <v>7488</v>
      </c>
      <c r="GM163" s="222">
        <f t="shared" si="1429"/>
        <v>3.6923076923076925</v>
      </c>
      <c r="GN163" s="223">
        <f t="shared" si="1430"/>
        <v>11.076923076923077</v>
      </c>
      <c r="GO163" s="243">
        <f t="shared" si="1431"/>
        <v>8.3076923076923084</v>
      </c>
      <c r="GP163" s="243">
        <f t="shared" si="1432"/>
        <v>23.07692307692308</v>
      </c>
      <c r="GQ163" s="252">
        <f t="shared" si="1315"/>
        <v>0</v>
      </c>
      <c r="GR163" s="309">
        <f t="shared" si="1433"/>
        <v>23.07692307692308</v>
      </c>
      <c r="GS163" s="218">
        <f t="shared" ref="GS163:GS168" si="1476">IF(GP163&lt;=0,2,0)+IF(GP163&gt;0,GP163+1,0)*2+IF(GP163&gt;12,GP163-12,0)*2+IF(GP163&gt;13,GP163-13,0)*2+IF(GP163&gt;14,GP163-14,0)*2+IF(GP163&gt;15,GP163-15,0)*2+IF(GP163&gt;16,GP163-16,0)*2+IF(GP163&gt;17,GP163-17,0)*2+IF(GP163&gt;18,GP163-18,0)*2+IF(GP163&gt;19,GP163-19,0)*2+IF(GP163&gt;20,GP163-20,0)*2</f>
        <v>175.5384615384616</v>
      </c>
      <c r="GT163" s="242">
        <f t="shared" ref="GT163:GT168" si="1477">IF(GQ163&lt;=0,2,0)+IF(GQ163&gt;0,GQ163+1,0)*2+IF(GQ163&gt;12,GQ163-12,0)*2+IF(GQ163&gt;13,GQ163-13,0)*2+IF(GQ163&gt;14,GQ163-14,0)*2+IF(GQ163&gt;15,GQ163-15,0)*2+IF(GQ163&gt;16,GQ163-16,0)*2+IF(GQ163&gt;17,GQ163-17,0)*2+IF(GQ163&gt;18,GQ163-18,0)*2+IF(GQ163&gt;19,GQ163-19,0)*2+IF(GQ163&gt;20,GQ163-20,0)*2</f>
        <v>2</v>
      </c>
      <c r="GU163" s="243">
        <f t="shared" si="1434"/>
        <v>173.5384615384616</v>
      </c>
      <c r="GV163" s="218">
        <f t="shared" si="1435"/>
        <v>0</v>
      </c>
      <c r="GX163" s="303" t="s">
        <v>300</v>
      </c>
      <c r="GY163" s="304" t="s">
        <v>79</v>
      </c>
      <c r="GZ163" s="305" t="s">
        <v>132</v>
      </c>
      <c r="HA163" s="317"/>
      <c r="HB163" s="254">
        <f>Konvention_1slave-KLslave</f>
        <v>12</v>
      </c>
      <c r="HC163" s="254"/>
      <c r="HD163" s="254">
        <f t="shared" ref="HD163:HD173" si="1478">Konvention_1slave-CHslave</f>
        <v>12</v>
      </c>
      <c r="HE163" s="254"/>
      <c r="HF163" s="254"/>
      <c r="HG163" s="254">
        <f>Konvention_1slave-KOslave_KO</f>
        <v>11</v>
      </c>
      <c r="HH163" s="318"/>
      <c r="HI163" s="223">
        <f>(HA163+HB163+HC163+HD163+HE163+HF163+HG163+HH163)/3</f>
        <v>11.666666666666666</v>
      </c>
      <c r="HJ163" s="223">
        <f t="shared" si="1437"/>
        <v>23.333333333333332</v>
      </c>
      <c r="HK163" s="224">
        <f t="shared" si="1438"/>
        <v>35</v>
      </c>
      <c r="HL163" s="237">
        <f t="shared" si="1357"/>
        <v>2432</v>
      </c>
      <c r="HM163" s="254">
        <f>HB163*HD163*KOslave_KO+HB163*CHslave*HG163+KLslave*HD163*HG163</f>
        <v>3408</v>
      </c>
      <c r="HN163" s="224">
        <f t="shared" si="1439"/>
        <v>1584</v>
      </c>
      <c r="HO163" s="224">
        <f t="shared" si="1321"/>
        <v>7424</v>
      </c>
      <c r="HP163" s="222">
        <f t="shared" si="1440"/>
        <v>3.8218390804597702</v>
      </c>
      <c r="HQ163" s="223">
        <f t="shared" si="1441"/>
        <v>10.711206896551724</v>
      </c>
      <c r="HR163" s="243">
        <f t="shared" si="1442"/>
        <v>7.4676724137931032</v>
      </c>
      <c r="HS163" s="243">
        <f t="shared" si="1443"/>
        <v>22.000718390804597</v>
      </c>
      <c r="HT163" s="252">
        <f t="shared" si="1326"/>
        <v>0</v>
      </c>
      <c r="HU163" s="309">
        <f t="shared" si="1444"/>
        <v>22.000718390804597</v>
      </c>
      <c r="HV163" s="218">
        <f t="shared" ref="HV163:HV168" si="1479">IF(HS163&lt;=0,2,0)+IF(HS163&gt;0,HS163+1,0)*2+IF(HS163&gt;12,HS163-12,0)*2+IF(HS163&gt;13,HS163-13,0)*2+IF(HS163&gt;14,HS163-14,0)*2+IF(HS163&gt;15,HS163-15,0)*2+IF(HS163&gt;16,HS163-16,0)*2+IF(HS163&gt;17,HS163-17,0)*2+IF(HS163&gt;18,HS163-18,0)*2+IF(HS163&gt;19,HS163-19,0)*2+IF(HS163&gt;20,HS163-20,0)*2</f>
        <v>154.01436781609189</v>
      </c>
      <c r="HW163" s="242">
        <f t="shared" ref="HW163:HW168" si="1480">IF(HT163&lt;=0,2,0)+IF(HT163&gt;0,HT163+1,0)*2+IF(HT163&gt;12,HT163-12,0)*2+IF(HT163&gt;13,HT163-13,0)*2+IF(HT163&gt;14,HT163-14,0)*2+IF(HT163&gt;15,HT163-15,0)*2+IF(HT163&gt;16,HT163-16,0)*2+IF(HT163&gt;17,HT163-17,0)*2+IF(HT163&gt;18,HT163-18,0)*2+IF(HT163&gt;19,HT163-19,0)*2+IF(HT163&gt;20,HT163-20,0)*2</f>
        <v>2</v>
      </c>
      <c r="HX163" s="243">
        <f t="shared" si="1445"/>
        <v>152.01436781609189</v>
      </c>
      <c r="HY163" s="218">
        <f t="shared" si="1446"/>
        <v>0</v>
      </c>
      <c r="IA163" s="303" t="s">
        <v>300</v>
      </c>
      <c r="IB163" s="304" t="s">
        <v>79</v>
      </c>
      <c r="IC163" s="305" t="s">
        <v>132</v>
      </c>
      <c r="ID163" s="317"/>
      <c r="IE163" s="254">
        <f>Konvention_1slave-KLslave</f>
        <v>12</v>
      </c>
      <c r="IF163" s="254"/>
      <c r="IG163" s="254">
        <f t="shared" ref="IG163:IG173" si="1481">Konvention_1slave-CHslave</f>
        <v>12</v>
      </c>
      <c r="IH163" s="254"/>
      <c r="II163" s="254"/>
      <c r="IJ163" s="254">
        <f>Konvention_1slave-KOslave</f>
        <v>12</v>
      </c>
      <c r="IK163" s="318"/>
      <c r="IL163" s="223">
        <f>(ID163+IE163+IF163+IG163+IH163+II163+IJ163+IK163)/3</f>
        <v>12</v>
      </c>
      <c r="IM163" s="223">
        <f t="shared" si="1448"/>
        <v>24</v>
      </c>
      <c r="IN163" s="224">
        <f t="shared" si="1449"/>
        <v>36</v>
      </c>
      <c r="IO163" s="237">
        <f t="shared" si="1358"/>
        <v>2304</v>
      </c>
      <c r="IP163" s="254">
        <f>IE163*IG163*KOslave+IE163*CHslave*IJ163+KLslave*IG163*IJ163</f>
        <v>3456</v>
      </c>
      <c r="IQ163" s="224">
        <f t="shared" si="1450"/>
        <v>1728</v>
      </c>
      <c r="IR163" s="224">
        <f t="shared" si="1332"/>
        <v>7488</v>
      </c>
      <c r="IS163" s="222">
        <f t="shared" si="1451"/>
        <v>3.6923076923076925</v>
      </c>
      <c r="IT163" s="223">
        <f t="shared" si="1452"/>
        <v>11.076923076923077</v>
      </c>
      <c r="IU163" s="243">
        <f t="shared" si="1453"/>
        <v>8.3076923076923084</v>
      </c>
      <c r="IV163" s="243">
        <f t="shared" si="1454"/>
        <v>23.07692307692308</v>
      </c>
      <c r="IW163" s="252">
        <f t="shared" si="1337"/>
        <v>0</v>
      </c>
      <c r="IX163" s="309">
        <f t="shared" si="1455"/>
        <v>23.07692307692308</v>
      </c>
      <c r="IY163" s="218">
        <f t="shared" ref="IY163:IY168" si="1482">IF(IV163&lt;=0,2,0)+IF(IV163&gt;0,IV163+1,0)*2+IF(IV163&gt;12,IV163-12,0)*2+IF(IV163&gt;13,IV163-13,0)*2+IF(IV163&gt;14,IV163-14,0)*2+IF(IV163&gt;15,IV163-15,0)*2+IF(IV163&gt;16,IV163-16,0)*2+IF(IV163&gt;17,IV163-17,0)*2+IF(IV163&gt;18,IV163-18,0)*2+IF(IV163&gt;19,IV163-19,0)*2+IF(IV163&gt;20,IV163-20,0)*2</f>
        <v>175.5384615384616</v>
      </c>
      <c r="IZ163" s="242">
        <f t="shared" ref="IZ163:IZ168" si="1483">IF(IW163&lt;=0,2,0)+IF(IW163&gt;0,IW163+1,0)*2+IF(IW163&gt;12,IW163-12,0)*2+IF(IW163&gt;13,IW163-13,0)*2+IF(IW163&gt;14,IW163-14,0)*2+IF(IW163&gt;15,IW163-15,0)*2+IF(IW163&gt;16,IW163-16,0)*2+IF(IW163&gt;17,IW163-17,0)*2+IF(IW163&gt;18,IW163-18,0)*2+IF(IW163&gt;19,IW163-19,0)*2+IF(IW163&gt;20,IW163-20,0)*2</f>
        <v>2</v>
      </c>
      <c r="JA163" s="243">
        <f t="shared" si="1456"/>
        <v>173.5384615384616</v>
      </c>
      <c r="JB163" s="218">
        <f t="shared" si="1457"/>
        <v>0</v>
      </c>
      <c r="JE163" s="148"/>
    </row>
    <row r="164" spans="2:265" ht="15" hidden="1" customHeight="1" outlineLevel="2">
      <c r="B164" s="148">
        <v>12</v>
      </c>
      <c r="C164" s="303" t="e">
        <f>VLOOKUP(AF164,Attribute!C:T,1,FALSE)</f>
        <v>#N/A</v>
      </c>
      <c r="D164" s="86" t="s">
        <v>227</v>
      </c>
      <c r="E164" s="167" t="s">
        <v>132</v>
      </c>
      <c r="F164" s="120">
        <f>Konvention_1master-MUmaster</f>
        <v>12</v>
      </c>
      <c r="G164" s="117"/>
      <c r="H164" s="117"/>
      <c r="I164" s="117">
        <f t="shared" si="1458"/>
        <v>12</v>
      </c>
      <c r="J164" s="117"/>
      <c r="K164" s="117"/>
      <c r="L164" s="117">
        <f>Konvention_1master-KOmaster</f>
        <v>12</v>
      </c>
      <c r="M164" s="121"/>
      <c r="N164" s="223">
        <f>(F164+G164+H164+I164+J164+K164+L164+M164)/3</f>
        <v>12</v>
      </c>
      <c r="O164" s="223">
        <f>2*N164</f>
        <v>24</v>
      </c>
      <c r="P164" s="224">
        <f>3*N164</f>
        <v>36</v>
      </c>
      <c r="Q164" s="237">
        <f t="shared" si="1350"/>
        <v>2304</v>
      </c>
      <c r="R164" s="117">
        <f>F164*I164*KOmaster+F164*CHmaster*L164+MUmaster*I164*L164</f>
        <v>3456</v>
      </c>
      <c r="S164" s="224">
        <f>IFERROR(F164^SIGN(F164),1)*IFERROR(G164^SIGN(G164),1)*IFERROR(H164^SIGN(H164),1)*IFERROR(I164^SIGN(I164),1)*IFERROR(J164^SIGN(J164),1)*IFERROR(K164^SIGN(K164),1)*IFERROR(L164^SIGN(L164),1)*IFERROR(M164^SIGN(M164),1)</f>
        <v>1728</v>
      </c>
      <c r="T164" s="224">
        <f t="shared" si="1245"/>
        <v>7488</v>
      </c>
      <c r="U164" s="222">
        <f>N164*Q164/T164</f>
        <v>3.6923076923076925</v>
      </c>
      <c r="V164" s="223">
        <f>O164*R164/T164</f>
        <v>11.076923076923077</v>
      </c>
      <c r="W164" s="243">
        <f>P164*S164/T164</f>
        <v>8.3076923076923084</v>
      </c>
      <c r="X164" s="243">
        <f>SUM(U164:W164)</f>
        <v>23.07692307692308</v>
      </c>
      <c r="Y164" s="252">
        <v>0</v>
      </c>
      <c r="Z164" s="198">
        <f>X164-Y164</f>
        <v>23.07692307692308</v>
      </c>
      <c r="AA164" s="125">
        <f t="shared" si="1459"/>
        <v>175.5384615384616</v>
      </c>
      <c r="AB164" s="160">
        <f t="shared" si="1460"/>
        <v>2</v>
      </c>
      <c r="AC164" s="127">
        <f>IF((AA164-AB164)&gt;0,AA164-AB164,0)</f>
        <v>173.5384615384616</v>
      </c>
      <c r="AD164" s="125">
        <f>IF((AB164-AA164)&gt;0,AB164-AA164,0)</f>
        <v>0</v>
      </c>
      <c r="AF164" s="163" t="s">
        <v>382</v>
      </c>
      <c r="AG164" s="86" t="s">
        <v>227</v>
      </c>
      <c r="AH164" s="167" t="s">
        <v>132</v>
      </c>
      <c r="AI164" s="120">
        <f>Konvention_1slave-MUslave_MU</f>
        <v>11</v>
      </c>
      <c r="AJ164" s="117"/>
      <c r="AK164" s="117"/>
      <c r="AL164" s="117">
        <f>Konvention_1slave-CHslave</f>
        <v>12</v>
      </c>
      <c r="AM164" s="117"/>
      <c r="AN164" s="117"/>
      <c r="AO164" s="117">
        <f>Konvention_1slave-KOslave</f>
        <v>12</v>
      </c>
      <c r="AP164" s="121"/>
      <c r="AQ164" s="47">
        <f>(AI164+AJ164+AK164+AL164+AM164+AN164+AO164+AP164)/3</f>
        <v>11.666666666666666</v>
      </c>
      <c r="AR164" s="3">
        <f>2*AQ164</f>
        <v>23.333333333333332</v>
      </c>
      <c r="AS164" s="174">
        <f>3*AQ164</f>
        <v>35</v>
      </c>
      <c r="AT164" s="114">
        <f t="shared" si="1351"/>
        <v>2432</v>
      </c>
      <c r="AU164" s="117">
        <f>AI164*AL164*KOslave+AI164*CHslave*AO164+MUslave_MU*AL164*AO164</f>
        <v>3408</v>
      </c>
      <c r="AV164" s="119">
        <f>IFERROR(AI164^SIGN(AI164),1)*IFERROR(AJ164^SIGN(AJ164),1)*IFERROR(AK164^SIGN(AK164),1)*IFERROR(AL164^SIGN(AL164),1)*IFERROR(AM164^SIGN(AM164),1)*IFERROR(AN164^SIGN(AN164),1)*IFERROR(AO164^SIGN(AO164),1)*IFERROR(AP164^SIGN(AP164),1)</f>
        <v>1584</v>
      </c>
      <c r="AW164" s="119">
        <f t="shared" si="1255"/>
        <v>7424</v>
      </c>
      <c r="AX164" s="89">
        <f>AQ164*AT164/AW164</f>
        <v>3.8218390804597702</v>
      </c>
      <c r="AY164" s="47">
        <f>AR164*AU164/AW164</f>
        <v>10.711206896551724</v>
      </c>
      <c r="AZ164" s="127">
        <f>AS164*AV164/AW164</f>
        <v>7.4676724137931032</v>
      </c>
      <c r="BA164" s="127">
        <f>SUM(AX164:AZ164)</f>
        <v>22.000718390804597</v>
      </c>
      <c r="BB164" s="165">
        <f t="shared" si="1260"/>
        <v>0</v>
      </c>
      <c r="BC164" s="198">
        <f>BA164-BB164</f>
        <v>22.000718390804597</v>
      </c>
      <c r="BD164" s="125">
        <f t="shared" si="1461"/>
        <v>154.01436781609189</v>
      </c>
      <c r="BE164" s="160">
        <f t="shared" si="1462"/>
        <v>2</v>
      </c>
      <c r="BF164" s="243">
        <f>IF((BD164-BE164)&gt;0,BD164-BE164,0)</f>
        <v>152.01436781609189</v>
      </c>
      <c r="BG164" s="218">
        <f>IF((BE164-BD164)&gt;0,BE164-BD164,0)</f>
        <v>0</v>
      </c>
      <c r="BI164" s="303" t="s">
        <v>382</v>
      </c>
      <c r="BJ164" s="304" t="s">
        <v>227</v>
      </c>
      <c r="BK164" s="305" t="s">
        <v>132</v>
      </c>
      <c r="BL164" s="317">
        <f>Konvention_1slave-MUslave</f>
        <v>12</v>
      </c>
      <c r="BM164" s="254"/>
      <c r="BN164" s="254"/>
      <c r="BO164" s="254">
        <f t="shared" si="1463"/>
        <v>12</v>
      </c>
      <c r="BP164" s="254"/>
      <c r="BQ164" s="254"/>
      <c r="BR164" s="254">
        <f>Konvention_1slave-KOslave</f>
        <v>12</v>
      </c>
      <c r="BS164" s="318"/>
      <c r="BT164" s="223">
        <f>(BL164+BM164+BN164+BO164+BP164+BQ164+BR164+BS164)/3</f>
        <v>12</v>
      </c>
      <c r="BU164" s="223">
        <f>2*BT164</f>
        <v>24</v>
      </c>
      <c r="BV164" s="224">
        <f>3*BT164</f>
        <v>36</v>
      </c>
      <c r="BW164" s="237">
        <f t="shared" si="1352"/>
        <v>2304</v>
      </c>
      <c r="BX164" s="254">
        <f>BL164*BO164*KOslave+BL164*CHslave*BR164+MUslave*BO164*BR164</f>
        <v>3456</v>
      </c>
      <c r="BY164" s="224">
        <f>IFERROR(BL164^SIGN(BL164),1)*IFERROR(BM164^SIGN(BM164),1)*IFERROR(BN164^SIGN(BN164),1)*IFERROR(BO164^SIGN(BO164),1)*IFERROR(BP164^SIGN(BP164),1)*IFERROR(BQ164^SIGN(BQ164),1)*IFERROR(BR164^SIGN(BR164),1)*IFERROR(BS164^SIGN(BS164),1)</f>
        <v>1728</v>
      </c>
      <c r="BZ164" s="224">
        <f t="shared" si="1266"/>
        <v>7488</v>
      </c>
      <c r="CA164" s="222">
        <f>BT164*BW164/BZ164</f>
        <v>3.6923076923076925</v>
      </c>
      <c r="CB164" s="223">
        <f>BU164*BX164/BZ164</f>
        <v>11.076923076923077</v>
      </c>
      <c r="CC164" s="243">
        <f>BV164*BY164/BZ164</f>
        <v>8.3076923076923084</v>
      </c>
      <c r="CD164" s="243">
        <f>SUM(CA164:CC164)</f>
        <v>23.07692307692308</v>
      </c>
      <c r="CE164" s="252">
        <f t="shared" si="1271"/>
        <v>0</v>
      </c>
      <c r="CF164" s="309">
        <f>CD164-CE164</f>
        <v>23.07692307692308</v>
      </c>
      <c r="CG164" s="218">
        <f t="shared" si="1464"/>
        <v>175.5384615384616</v>
      </c>
      <c r="CH164" s="242">
        <f t="shared" si="1465"/>
        <v>2</v>
      </c>
      <c r="CI164" s="243">
        <f>IF((CG164-CH164)&gt;0,CG164-CH164,0)</f>
        <v>173.5384615384616</v>
      </c>
      <c r="CJ164" s="218">
        <f>IF((CH164-CG164)&gt;0,CH164-CG164,0)</f>
        <v>0</v>
      </c>
      <c r="CL164" s="303" t="s">
        <v>382</v>
      </c>
      <c r="CM164" s="304" t="s">
        <v>227</v>
      </c>
      <c r="CN164" s="305" t="s">
        <v>132</v>
      </c>
      <c r="CO164" s="317">
        <f>Konvention_1slave-MUslave</f>
        <v>12</v>
      </c>
      <c r="CP164" s="254"/>
      <c r="CQ164" s="254"/>
      <c r="CR164" s="254">
        <f t="shared" si="1466"/>
        <v>12</v>
      </c>
      <c r="CS164" s="254"/>
      <c r="CT164" s="254"/>
      <c r="CU164" s="254">
        <f>Konvention_1slave-KOslave</f>
        <v>12</v>
      </c>
      <c r="CV164" s="318"/>
      <c r="CW164" s="223">
        <f>(CO164+CP164+CQ164+CR164+CS164+CT164+CU164+CV164)/3</f>
        <v>12</v>
      </c>
      <c r="CX164" s="223">
        <f>2*CW164</f>
        <v>24</v>
      </c>
      <c r="CY164" s="224">
        <f>3*CW164</f>
        <v>36</v>
      </c>
      <c r="CZ164" s="237">
        <f t="shared" si="1353"/>
        <v>2304</v>
      </c>
      <c r="DA164" s="254">
        <f>CO164*CR164*KOslave+CO164*CHslave*CU164+MUslave*CR164*CU164</f>
        <v>3456</v>
      </c>
      <c r="DB164" s="224">
        <f>IFERROR(CO164^SIGN(CO164),1)*IFERROR(CP164^SIGN(CP164),1)*IFERROR(CQ164^SIGN(CQ164),1)*IFERROR(CR164^SIGN(CR164),1)*IFERROR(CS164^SIGN(CS164),1)*IFERROR(CT164^SIGN(CT164),1)*IFERROR(CU164^SIGN(CU164),1)*IFERROR(CV164^SIGN(CV164),1)</f>
        <v>1728</v>
      </c>
      <c r="DC164" s="224">
        <f t="shared" si="1277"/>
        <v>7488</v>
      </c>
      <c r="DD164" s="222">
        <f>CW164*CZ164/DC164</f>
        <v>3.6923076923076925</v>
      </c>
      <c r="DE164" s="223">
        <f>CX164*DA164/DC164</f>
        <v>11.076923076923077</v>
      </c>
      <c r="DF164" s="243">
        <f>CY164*DB164/DC164</f>
        <v>8.3076923076923084</v>
      </c>
      <c r="DG164" s="243">
        <f>SUM(DD164:DF164)</f>
        <v>23.07692307692308</v>
      </c>
      <c r="DH164" s="252">
        <f t="shared" si="1282"/>
        <v>0</v>
      </c>
      <c r="DI164" s="309">
        <f>DG164-DH164</f>
        <v>23.07692307692308</v>
      </c>
      <c r="DJ164" s="218">
        <f t="shared" si="1467"/>
        <v>175.5384615384616</v>
      </c>
      <c r="DK164" s="242">
        <f t="shared" si="1468"/>
        <v>2</v>
      </c>
      <c r="DL164" s="243">
        <f>IF((DJ164-DK164)&gt;0,DJ164-DK164,0)</f>
        <v>173.5384615384616</v>
      </c>
      <c r="DM164" s="218">
        <f>IF((DK164-DJ164)&gt;0,DK164-DJ164,0)</f>
        <v>0</v>
      </c>
      <c r="DO164" s="303" t="s">
        <v>382</v>
      </c>
      <c r="DP164" s="304" t="s">
        <v>227</v>
      </c>
      <c r="DQ164" s="305" t="s">
        <v>132</v>
      </c>
      <c r="DR164" s="317">
        <f>Konvention_1slave-MUslave</f>
        <v>12</v>
      </c>
      <c r="DS164" s="254"/>
      <c r="DT164" s="254"/>
      <c r="DU164" s="254">
        <f t="shared" si="1469"/>
        <v>11</v>
      </c>
      <c r="DV164" s="254"/>
      <c r="DW164" s="254"/>
      <c r="DX164" s="254">
        <f>Konvention_1slave-KOslave</f>
        <v>12</v>
      </c>
      <c r="DY164" s="318"/>
      <c r="DZ164" s="223">
        <f>(DR164+DS164+DT164+DU164+DV164+DW164+DX164+DY164)/3</f>
        <v>11.666666666666666</v>
      </c>
      <c r="EA164" s="223">
        <f>2*DZ164</f>
        <v>23.333333333333332</v>
      </c>
      <c r="EB164" s="224">
        <f>3*DZ164</f>
        <v>35</v>
      </c>
      <c r="EC164" s="237">
        <f t="shared" si="1354"/>
        <v>2432</v>
      </c>
      <c r="ED164" s="254">
        <f>DR164*DU164*KOslave+DR164*CHslave_CH*DX164+MUslave*DU164*DX164</f>
        <v>3408</v>
      </c>
      <c r="EE164" s="224">
        <f>IFERROR(DR164^SIGN(DR164),1)*IFERROR(DS164^SIGN(DS164),1)*IFERROR(DT164^SIGN(DT164),1)*IFERROR(DU164^SIGN(DU164),1)*IFERROR(DV164^SIGN(DV164),1)*IFERROR(DW164^SIGN(DW164),1)*IFERROR(DX164^SIGN(DX164),1)*IFERROR(DY164^SIGN(DY164),1)</f>
        <v>1584</v>
      </c>
      <c r="EF164" s="224">
        <f t="shared" si="1288"/>
        <v>7424</v>
      </c>
      <c r="EG164" s="222">
        <f>DZ164*EC164/EF164</f>
        <v>3.8218390804597702</v>
      </c>
      <c r="EH164" s="223">
        <f>EA164*ED164/EF164</f>
        <v>10.711206896551724</v>
      </c>
      <c r="EI164" s="243">
        <f>EB164*EE164/EF164</f>
        <v>7.4676724137931032</v>
      </c>
      <c r="EJ164" s="243">
        <f>SUM(EG164:EI164)</f>
        <v>22.000718390804597</v>
      </c>
      <c r="EK164" s="252">
        <f t="shared" si="1293"/>
        <v>0</v>
      </c>
      <c r="EL164" s="309">
        <f>EJ164-EK164</f>
        <v>22.000718390804597</v>
      </c>
      <c r="EM164" s="218">
        <f t="shared" si="1470"/>
        <v>154.01436781609189</v>
      </c>
      <c r="EN164" s="242">
        <f t="shared" si="1471"/>
        <v>2</v>
      </c>
      <c r="EO164" s="243">
        <f>IF((EM164-EN164)&gt;0,EM164-EN164,0)</f>
        <v>152.01436781609189</v>
      </c>
      <c r="EP164" s="218">
        <f>IF((EN164-EM164)&gt;0,EN164-EM164,0)</f>
        <v>0</v>
      </c>
      <c r="ER164" s="303" t="s">
        <v>382</v>
      </c>
      <c r="ES164" s="304" t="s">
        <v>227</v>
      </c>
      <c r="ET164" s="305" t="s">
        <v>132</v>
      </c>
      <c r="EU164" s="317">
        <f>Konvention_1slave-MUslave</f>
        <v>12</v>
      </c>
      <c r="EV164" s="254"/>
      <c r="EW164" s="254"/>
      <c r="EX164" s="254">
        <f t="shared" si="1472"/>
        <v>12</v>
      </c>
      <c r="EY164" s="254"/>
      <c r="EZ164" s="254"/>
      <c r="FA164" s="254">
        <f>Konvention_1slave-KOslave</f>
        <v>12</v>
      </c>
      <c r="FB164" s="318"/>
      <c r="FC164" s="223">
        <f>(EU164+EV164+EW164+EX164+EY164+EZ164+FA164+FB164)/3</f>
        <v>12</v>
      </c>
      <c r="FD164" s="223">
        <f>2*FC164</f>
        <v>24</v>
      </c>
      <c r="FE164" s="224">
        <f>3*FC164</f>
        <v>36</v>
      </c>
      <c r="FF164" s="237">
        <f t="shared" si="1355"/>
        <v>2304</v>
      </c>
      <c r="FG164" s="254">
        <f>EU164*EX164*KOslave+EU164*CHslave*FA164+MUslave*EX164*FA164</f>
        <v>3456</v>
      </c>
      <c r="FH164" s="224">
        <f>IFERROR(EU164^SIGN(EU164),1)*IFERROR(EV164^SIGN(EV164),1)*IFERROR(EW164^SIGN(EW164),1)*IFERROR(EX164^SIGN(EX164),1)*IFERROR(EY164^SIGN(EY164),1)*IFERROR(EZ164^SIGN(EZ164),1)*IFERROR(FA164^SIGN(FA164),1)*IFERROR(FB164^SIGN(FB164),1)</f>
        <v>1728</v>
      </c>
      <c r="FI164" s="224">
        <f t="shared" si="1299"/>
        <v>7488</v>
      </c>
      <c r="FJ164" s="222">
        <f>FC164*FF164/FI164</f>
        <v>3.6923076923076925</v>
      </c>
      <c r="FK164" s="223">
        <f>FD164*FG164/FI164</f>
        <v>11.076923076923077</v>
      </c>
      <c r="FL164" s="243">
        <f>FE164*FH164/FI164</f>
        <v>8.3076923076923084</v>
      </c>
      <c r="FM164" s="243">
        <f>SUM(FJ164:FL164)</f>
        <v>23.07692307692308</v>
      </c>
      <c r="FN164" s="252">
        <f t="shared" si="1304"/>
        <v>0</v>
      </c>
      <c r="FO164" s="309">
        <f>FM164-FN164</f>
        <v>23.07692307692308</v>
      </c>
      <c r="FP164" s="218">
        <f t="shared" si="1473"/>
        <v>175.5384615384616</v>
      </c>
      <c r="FQ164" s="242">
        <f t="shared" si="1474"/>
        <v>2</v>
      </c>
      <c r="FR164" s="243">
        <f>IF((FP164-FQ164)&gt;0,FP164-FQ164,0)</f>
        <v>173.5384615384616</v>
      </c>
      <c r="FS164" s="218">
        <f>IF((FQ164-FP164)&gt;0,FQ164-FP164,0)</f>
        <v>0</v>
      </c>
      <c r="FU164" s="303" t="s">
        <v>382</v>
      </c>
      <c r="FV164" s="304" t="s">
        <v>227</v>
      </c>
      <c r="FW164" s="305" t="s">
        <v>132</v>
      </c>
      <c r="FX164" s="317">
        <f>Konvention_1slave-MUslave</f>
        <v>12</v>
      </c>
      <c r="FY164" s="254"/>
      <c r="FZ164" s="254"/>
      <c r="GA164" s="254">
        <f t="shared" si="1475"/>
        <v>12</v>
      </c>
      <c r="GB164" s="254"/>
      <c r="GC164" s="254"/>
      <c r="GD164" s="254">
        <f>Konvention_1slave-KOslave</f>
        <v>12</v>
      </c>
      <c r="GE164" s="318"/>
      <c r="GF164" s="223">
        <f>(FX164+FY164+FZ164+GA164+GB164+GC164+GD164+GE164)/3</f>
        <v>12</v>
      </c>
      <c r="GG164" s="223">
        <f>2*GF164</f>
        <v>24</v>
      </c>
      <c r="GH164" s="224">
        <f>3*GF164</f>
        <v>36</v>
      </c>
      <c r="GI164" s="237">
        <f t="shared" si="1356"/>
        <v>2304</v>
      </c>
      <c r="GJ164" s="254">
        <f>FX164*GA164*KOslave+FX164*CHslave*GD164+MUslave*GA164*GD164</f>
        <v>3456</v>
      </c>
      <c r="GK164" s="224">
        <f>IFERROR(FX164^SIGN(FX164),1)*IFERROR(FY164^SIGN(FY164),1)*IFERROR(FZ164^SIGN(FZ164),1)*IFERROR(GA164^SIGN(GA164),1)*IFERROR(GB164^SIGN(GB164),1)*IFERROR(GC164^SIGN(GC164),1)*IFERROR(GD164^SIGN(GD164),1)*IFERROR(GE164^SIGN(GE164),1)</f>
        <v>1728</v>
      </c>
      <c r="GL164" s="224">
        <f t="shared" si="1310"/>
        <v>7488</v>
      </c>
      <c r="GM164" s="222">
        <f>GF164*GI164/GL164</f>
        <v>3.6923076923076925</v>
      </c>
      <c r="GN164" s="223">
        <f>GG164*GJ164/GL164</f>
        <v>11.076923076923077</v>
      </c>
      <c r="GO164" s="243">
        <f>GH164*GK164/GL164</f>
        <v>8.3076923076923084</v>
      </c>
      <c r="GP164" s="243">
        <f>SUM(GM164:GO164)</f>
        <v>23.07692307692308</v>
      </c>
      <c r="GQ164" s="252">
        <f t="shared" si="1315"/>
        <v>0</v>
      </c>
      <c r="GR164" s="309">
        <f>GP164-GQ164</f>
        <v>23.07692307692308</v>
      </c>
      <c r="GS164" s="218">
        <f t="shared" si="1476"/>
        <v>175.5384615384616</v>
      </c>
      <c r="GT164" s="242">
        <f t="shared" si="1477"/>
        <v>2</v>
      </c>
      <c r="GU164" s="243">
        <f>IF((GS164-GT164)&gt;0,GS164-GT164,0)</f>
        <v>173.5384615384616</v>
      </c>
      <c r="GV164" s="218">
        <f>IF((GT164-GS164)&gt;0,GT164-GS164,0)</f>
        <v>0</v>
      </c>
      <c r="GX164" s="303" t="s">
        <v>382</v>
      </c>
      <c r="GY164" s="304" t="s">
        <v>227</v>
      </c>
      <c r="GZ164" s="305" t="s">
        <v>132</v>
      </c>
      <c r="HA164" s="317">
        <f>Konvention_1slave-MUslave</f>
        <v>12</v>
      </c>
      <c r="HB164" s="254"/>
      <c r="HC164" s="254"/>
      <c r="HD164" s="254">
        <f t="shared" si="1478"/>
        <v>12</v>
      </c>
      <c r="HE164" s="254"/>
      <c r="HF164" s="254"/>
      <c r="HG164" s="254">
        <f>Konvention_1slave-KOslave_KO</f>
        <v>11</v>
      </c>
      <c r="HH164" s="318"/>
      <c r="HI164" s="223">
        <f>(HA164+HB164+HC164+HD164+HE164+HF164+HG164+HH164)/3</f>
        <v>11.666666666666666</v>
      </c>
      <c r="HJ164" s="223">
        <f>2*HI164</f>
        <v>23.333333333333332</v>
      </c>
      <c r="HK164" s="224">
        <f>3*HI164</f>
        <v>35</v>
      </c>
      <c r="HL164" s="237">
        <f t="shared" si="1357"/>
        <v>2432</v>
      </c>
      <c r="HM164" s="254">
        <f>HA164*HD164*KOslave_KO+HA164*CHslave*HG164+MUslave*HD164*HG164</f>
        <v>3408</v>
      </c>
      <c r="HN164" s="224">
        <f>IFERROR(HA164^SIGN(HA164),1)*IFERROR(HB164^SIGN(HB164),1)*IFERROR(HC164^SIGN(HC164),1)*IFERROR(HD164^SIGN(HD164),1)*IFERROR(HE164^SIGN(HE164),1)*IFERROR(HF164^SIGN(HF164),1)*IFERROR(HG164^SIGN(HG164),1)*IFERROR(HH164^SIGN(HH164),1)</f>
        <v>1584</v>
      </c>
      <c r="HO164" s="224">
        <f t="shared" si="1321"/>
        <v>7424</v>
      </c>
      <c r="HP164" s="222">
        <f>HI164*HL164/HO164</f>
        <v>3.8218390804597702</v>
      </c>
      <c r="HQ164" s="223">
        <f>HJ164*HM164/HO164</f>
        <v>10.711206896551724</v>
      </c>
      <c r="HR164" s="243">
        <f>HK164*HN164/HO164</f>
        <v>7.4676724137931032</v>
      </c>
      <c r="HS164" s="243">
        <f>SUM(HP164:HR164)</f>
        <v>22.000718390804597</v>
      </c>
      <c r="HT164" s="252">
        <f t="shared" si="1326"/>
        <v>0</v>
      </c>
      <c r="HU164" s="309">
        <f>HS164-HT164</f>
        <v>22.000718390804597</v>
      </c>
      <c r="HV164" s="218">
        <f t="shared" si="1479"/>
        <v>154.01436781609189</v>
      </c>
      <c r="HW164" s="242">
        <f t="shared" si="1480"/>
        <v>2</v>
      </c>
      <c r="HX164" s="243">
        <f>IF((HV164-HW164)&gt;0,HV164-HW164,0)</f>
        <v>152.01436781609189</v>
      </c>
      <c r="HY164" s="218">
        <f>IF((HW164-HV164)&gt;0,HW164-HV164,0)</f>
        <v>0</v>
      </c>
      <c r="IA164" s="303" t="s">
        <v>382</v>
      </c>
      <c r="IB164" s="304" t="s">
        <v>227</v>
      </c>
      <c r="IC164" s="305" t="s">
        <v>132</v>
      </c>
      <c r="ID164" s="317">
        <f>Konvention_1slave-MUslave</f>
        <v>12</v>
      </c>
      <c r="IE164" s="254"/>
      <c r="IF164" s="254"/>
      <c r="IG164" s="254">
        <f t="shared" si="1481"/>
        <v>12</v>
      </c>
      <c r="IH164" s="254"/>
      <c r="II164" s="254"/>
      <c r="IJ164" s="254">
        <f>Konvention_1slave-KOslave</f>
        <v>12</v>
      </c>
      <c r="IK164" s="318"/>
      <c r="IL164" s="223">
        <f>(ID164+IE164+IF164+IG164+IH164+II164+IJ164+IK164)/3</f>
        <v>12</v>
      </c>
      <c r="IM164" s="223">
        <f>2*IL164</f>
        <v>24</v>
      </c>
      <c r="IN164" s="224">
        <f>3*IL164</f>
        <v>36</v>
      </c>
      <c r="IO164" s="237">
        <f t="shared" si="1358"/>
        <v>2304</v>
      </c>
      <c r="IP164" s="254">
        <f>ID164*IG164*KOslave+ID164*CHslave*IJ164+MUslave*IG164*IJ164</f>
        <v>3456</v>
      </c>
      <c r="IQ164" s="224">
        <f>IFERROR(ID164^SIGN(ID164),1)*IFERROR(IE164^SIGN(IE164),1)*IFERROR(IF164^SIGN(IF164),1)*IFERROR(IG164^SIGN(IG164),1)*IFERROR(IH164^SIGN(IH164),1)*IFERROR(II164^SIGN(II164),1)*IFERROR(IJ164^SIGN(IJ164),1)*IFERROR(IK164^SIGN(IK164),1)</f>
        <v>1728</v>
      </c>
      <c r="IR164" s="224">
        <f t="shared" si="1332"/>
        <v>7488</v>
      </c>
      <c r="IS164" s="222">
        <f>IL164*IO164/IR164</f>
        <v>3.6923076923076925</v>
      </c>
      <c r="IT164" s="223">
        <f>IM164*IP164/IR164</f>
        <v>11.076923076923077</v>
      </c>
      <c r="IU164" s="243">
        <f>IN164*IQ164/IR164</f>
        <v>8.3076923076923084</v>
      </c>
      <c r="IV164" s="243">
        <f>SUM(IS164:IU164)</f>
        <v>23.07692307692308</v>
      </c>
      <c r="IW164" s="252">
        <f t="shared" si="1337"/>
        <v>0</v>
      </c>
      <c r="IX164" s="309">
        <f>IV164-IW164</f>
        <v>23.07692307692308</v>
      </c>
      <c r="IY164" s="218">
        <f t="shared" si="1482"/>
        <v>175.5384615384616</v>
      </c>
      <c r="IZ164" s="242">
        <f t="shared" si="1483"/>
        <v>2</v>
      </c>
      <c r="JA164" s="243">
        <f>IF((IY164-IZ164)&gt;0,IY164-IZ164,0)</f>
        <v>173.5384615384616</v>
      </c>
      <c r="JB164" s="218">
        <f>IF((IZ164-IY164)&gt;0,IZ164-IY164,0)</f>
        <v>0</v>
      </c>
      <c r="JE164" s="148"/>
    </row>
    <row r="165" spans="2:265" hidden="1" outlineLevel="2">
      <c r="B165" s="148">
        <v>13</v>
      </c>
      <c r="C165" s="303" t="e">
        <f>VLOOKUP(AF165,Attribute!C:T,1,FALSE)</f>
        <v>#N/A</v>
      </c>
      <c r="D165" s="86" t="s">
        <v>84</v>
      </c>
      <c r="E165" s="167" t="s">
        <v>132</v>
      </c>
      <c r="F165" s="120">
        <f>Konvention_1master-MUmaster</f>
        <v>12</v>
      </c>
      <c r="G165" s="117">
        <f>Konvention_1master-KLmaster</f>
        <v>12</v>
      </c>
      <c r="H165" s="117"/>
      <c r="I165" s="117">
        <f t="shared" si="1458"/>
        <v>12</v>
      </c>
      <c r="J165" s="117"/>
      <c r="K165" s="117"/>
      <c r="L165" s="117"/>
      <c r="M165" s="121"/>
      <c r="N165" s="223">
        <f>(F165+G165+H165+I165+J165+K165+L165+M165)/3</f>
        <v>12</v>
      </c>
      <c r="O165" s="223">
        <f>2*N165</f>
        <v>24</v>
      </c>
      <c r="P165" s="224">
        <f>3*N165</f>
        <v>36</v>
      </c>
      <c r="Q165" s="237">
        <f t="shared" si="1350"/>
        <v>2304</v>
      </c>
      <c r="R165" s="117">
        <f>F165*G165*CHmaster+F165*KLmaster*I165+MUmaster*G165*I165</f>
        <v>3456</v>
      </c>
      <c r="S165" s="224">
        <f>IFERROR(F165^SIGN(F165),1)*IFERROR(G165^SIGN(G165),1)*IFERROR(H165^SIGN(H165),1)*IFERROR(I165^SIGN(I165),1)*IFERROR(J165^SIGN(J165),1)*IFERROR(K165^SIGN(K165),1)*IFERROR(L165^SIGN(L165),1)*IFERROR(M165^SIGN(M165),1)</f>
        <v>1728</v>
      </c>
      <c r="T165" s="224">
        <f t="shared" si="1245"/>
        <v>7488</v>
      </c>
      <c r="U165" s="222">
        <f>N165*Q165/T165</f>
        <v>3.6923076923076925</v>
      </c>
      <c r="V165" s="223">
        <f>O165*R165/T165</f>
        <v>11.076923076923077</v>
      </c>
      <c r="W165" s="243">
        <f>P165*S165/T165</f>
        <v>8.3076923076923084</v>
      </c>
      <c r="X165" s="243">
        <f>SUM(U165:W165)</f>
        <v>23.07692307692308</v>
      </c>
      <c r="Y165" s="252">
        <v>0</v>
      </c>
      <c r="Z165" s="198">
        <f>X165-Y165</f>
        <v>23.07692307692308</v>
      </c>
      <c r="AA165" s="125">
        <f t="shared" si="1459"/>
        <v>175.5384615384616</v>
      </c>
      <c r="AB165" s="160">
        <f t="shared" si="1460"/>
        <v>2</v>
      </c>
      <c r="AC165" s="127">
        <f>IF((AA165-AB165)&gt;0,AA165-AB165,0)</f>
        <v>173.5384615384616</v>
      </c>
      <c r="AD165" s="125">
        <f>IF((AB165-AA165)&gt;0,AB165-AA165,0)</f>
        <v>0</v>
      </c>
      <c r="AF165" s="163" t="s">
        <v>383</v>
      </c>
      <c r="AG165" s="86" t="s">
        <v>84</v>
      </c>
      <c r="AH165" s="167" t="s">
        <v>132</v>
      </c>
      <c r="AI165" s="120">
        <f>Konvention_1slave-MUslave_MU</f>
        <v>11</v>
      </c>
      <c r="AJ165" s="117">
        <f>Konvention_1slave-KLslave</f>
        <v>12</v>
      </c>
      <c r="AK165" s="117"/>
      <c r="AL165" s="117">
        <f t="shared" ref="AL165:AL171" si="1484">Konvention_1slave-CHslave</f>
        <v>12</v>
      </c>
      <c r="AM165" s="117"/>
      <c r="AN165" s="117"/>
      <c r="AO165" s="117"/>
      <c r="AP165" s="121"/>
      <c r="AQ165" s="47">
        <f>(AI165+AJ165+AK165+AL165+AM165+AN165+AO165+AP165)/3</f>
        <v>11.666666666666666</v>
      </c>
      <c r="AR165" s="3">
        <f>2*AQ165</f>
        <v>23.333333333333332</v>
      </c>
      <c r="AS165" s="174">
        <f>3*AQ165</f>
        <v>35</v>
      </c>
      <c r="AT165" s="114">
        <f t="shared" si="1351"/>
        <v>2432</v>
      </c>
      <c r="AU165" s="117">
        <f>AI165*AJ165*CHslave+AI165*KLslave*AL165+MUslave_MU*AJ165*AL165</f>
        <v>3408</v>
      </c>
      <c r="AV165" s="119">
        <f>IFERROR(AI165^SIGN(AI165),1)*IFERROR(AJ165^SIGN(AJ165),1)*IFERROR(AK165^SIGN(AK165),1)*IFERROR(AL165^SIGN(AL165),1)*IFERROR(AM165^SIGN(AM165),1)*IFERROR(AN165^SIGN(AN165),1)*IFERROR(AO165^SIGN(AO165),1)*IFERROR(AP165^SIGN(AP165),1)</f>
        <v>1584</v>
      </c>
      <c r="AW165" s="119">
        <f t="shared" si="1255"/>
        <v>7424</v>
      </c>
      <c r="AX165" s="89">
        <f>AQ165*AT165/AW165</f>
        <v>3.8218390804597702</v>
      </c>
      <c r="AY165" s="47">
        <f>AR165*AU165/AW165</f>
        <v>10.711206896551724</v>
      </c>
      <c r="AZ165" s="127">
        <f>AS165*AV165/AW165</f>
        <v>7.4676724137931032</v>
      </c>
      <c r="BA165" s="127">
        <f>SUM(AX165:AZ165)</f>
        <v>22.000718390804597</v>
      </c>
      <c r="BB165" s="165">
        <f t="shared" si="1260"/>
        <v>0</v>
      </c>
      <c r="BC165" s="198">
        <f>BA165-BB165</f>
        <v>22.000718390804597</v>
      </c>
      <c r="BD165" s="125">
        <f t="shared" si="1461"/>
        <v>154.01436781609189</v>
      </c>
      <c r="BE165" s="160">
        <f t="shared" si="1462"/>
        <v>2</v>
      </c>
      <c r="BF165" s="243">
        <f>IF((BD165-BE165)&gt;0,BD165-BE165,0)</f>
        <v>152.01436781609189</v>
      </c>
      <c r="BG165" s="218">
        <f>IF((BE165-BD165)&gt;0,BE165-BD165,0)</f>
        <v>0</v>
      </c>
      <c r="BI165" s="303" t="s">
        <v>383</v>
      </c>
      <c r="BJ165" s="304" t="s">
        <v>84</v>
      </c>
      <c r="BK165" s="305" t="s">
        <v>132</v>
      </c>
      <c r="BL165" s="317">
        <f>Konvention_1slave-MUslave</f>
        <v>12</v>
      </c>
      <c r="BM165" s="254">
        <f>Konvention_1slave-KLslave_KL</f>
        <v>11</v>
      </c>
      <c r="BN165" s="254"/>
      <c r="BO165" s="254">
        <f t="shared" si="1463"/>
        <v>12</v>
      </c>
      <c r="BP165" s="254"/>
      <c r="BQ165" s="254"/>
      <c r="BR165" s="254"/>
      <c r="BS165" s="318"/>
      <c r="BT165" s="223">
        <f>(BL165+BM165+BN165+BO165+BP165+BQ165+BR165+BS165)/3</f>
        <v>11.666666666666666</v>
      </c>
      <c r="BU165" s="223">
        <f>2*BT165</f>
        <v>23.333333333333332</v>
      </c>
      <c r="BV165" s="224">
        <f>3*BT165</f>
        <v>35</v>
      </c>
      <c r="BW165" s="237">
        <f t="shared" si="1352"/>
        <v>2432</v>
      </c>
      <c r="BX165" s="254">
        <f>BL165*BM165*CHslave+BL165*KLslave_KL*BO165+MUslave*BM165*BO165</f>
        <v>3408</v>
      </c>
      <c r="BY165" s="224">
        <f>IFERROR(BL165^SIGN(BL165),1)*IFERROR(BM165^SIGN(BM165),1)*IFERROR(BN165^SIGN(BN165),1)*IFERROR(BO165^SIGN(BO165),1)*IFERROR(BP165^SIGN(BP165),1)*IFERROR(BQ165^SIGN(BQ165),1)*IFERROR(BR165^SIGN(BR165),1)*IFERROR(BS165^SIGN(BS165),1)</f>
        <v>1584</v>
      </c>
      <c r="BZ165" s="224">
        <f t="shared" si="1266"/>
        <v>7424</v>
      </c>
      <c r="CA165" s="222">
        <f>BT165*BW165/BZ165</f>
        <v>3.8218390804597702</v>
      </c>
      <c r="CB165" s="223">
        <f>BU165*BX165/BZ165</f>
        <v>10.711206896551724</v>
      </c>
      <c r="CC165" s="243">
        <f>BV165*BY165/BZ165</f>
        <v>7.4676724137931032</v>
      </c>
      <c r="CD165" s="243">
        <f>SUM(CA165:CC165)</f>
        <v>22.000718390804597</v>
      </c>
      <c r="CE165" s="252">
        <f t="shared" si="1271"/>
        <v>0</v>
      </c>
      <c r="CF165" s="309">
        <f>CD165-CE165</f>
        <v>22.000718390804597</v>
      </c>
      <c r="CG165" s="218">
        <f t="shared" si="1464"/>
        <v>154.01436781609189</v>
      </c>
      <c r="CH165" s="242">
        <f t="shared" si="1465"/>
        <v>2</v>
      </c>
      <c r="CI165" s="243">
        <f>IF((CG165-CH165)&gt;0,CG165-CH165,0)</f>
        <v>152.01436781609189</v>
      </c>
      <c r="CJ165" s="218">
        <f>IF((CH165-CG165)&gt;0,CH165-CG165,0)</f>
        <v>0</v>
      </c>
      <c r="CL165" s="303" t="s">
        <v>383</v>
      </c>
      <c r="CM165" s="304" t="s">
        <v>84</v>
      </c>
      <c r="CN165" s="305" t="s">
        <v>132</v>
      </c>
      <c r="CO165" s="317">
        <f>Konvention_1slave-MUslave</f>
        <v>12</v>
      </c>
      <c r="CP165" s="254">
        <f>Konvention_1slave-KLslave</f>
        <v>12</v>
      </c>
      <c r="CQ165" s="254"/>
      <c r="CR165" s="254">
        <f t="shared" si="1466"/>
        <v>12</v>
      </c>
      <c r="CS165" s="254"/>
      <c r="CT165" s="254"/>
      <c r="CU165" s="254"/>
      <c r="CV165" s="318"/>
      <c r="CW165" s="223">
        <f>(CO165+CP165+CQ165+CR165+CS165+CT165+CU165+CV165)/3</f>
        <v>12</v>
      </c>
      <c r="CX165" s="223">
        <f>2*CW165</f>
        <v>24</v>
      </c>
      <c r="CY165" s="224">
        <f>3*CW165</f>
        <v>36</v>
      </c>
      <c r="CZ165" s="237">
        <f t="shared" si="1353"/>
        <v>2304</v>
      </c>
      <c r="DA165" s="254">
        <f>CO165*CP165*CHslave+CO165*KLslave*CR165+MUslave*CP165*CR165</f>
        <v>3456</v>
      </c>
      <c r="DB165" s="224">
        <f>IFERROR(CO165^SIGN(CO165),1)*IFERROR(CP165^SIGN(CP165),1)*IFERROR(CQ165^SIGN(CQ165),1)*IFERROR(CR165^SIGN(CR165),1)*IFERROR(CS165^SIGN(CS165),1)*IFERROR(CT165^SIGN(CT165),1)*IFERROR(CU165^SIGN(CU165),1)*IFERROR(CV165^SIGN(CV165),1)</f>
        <v>1728</v>
      </c>
      <c r="DC165" s="224">
        <f t="shared" si="1277"/>
        <v>7488</v>
      </c>
      <c r="DD165" s="222">
        <f>CW165*CZ165/DC165</f>
        <v>3.6923076923076925</v>
      </c>
      <c r="DE165" s="223">
        <f>CX165*DA165/DC165</f>
        <v>11.076923076923077</v>
      </c>
      <c r="DF165" s="243">
        <f>CY165*DB165/DC165</f>
        <v>8.3076923076923084</v>
      </c>
      <c r="DG165" s="243">
        <f>SUM(DD165:DF165)</f>
        <v>23.07692307692308</v>
      </c>
      <c r="DH165" s="252">
        <f t="shared" si="1282"/>
        <v>0</v>
      </c>
      <c r="DI165" s="309">
        <f>DG165-DH165</f>
        <v>23.07692307692308</v>
      </c>
      <c r="DJ165" s="218">
        <f t="shared" si="1467"/>
        <v>175.5384615384616</v>
      </c>
      <c r="DK165" s="242">
        <f t="shared" si="1468"/>
        <v>2</v>
      </c>
      <c r="DL165" s="243">
        <f>IF((DJ165-DK165)&gt;0,DJ165-DK165,0)</f>
        <v>173.5384615384616</v>
      </c>
      <c r="DM165" s="218">
        <f>IF((DK165-DJ165)&gt;0,DK165-DJ165,0)</f>
        <v>0</v>
      </c>
      <c r="DO165" s="303" t="s">
        <v>383</v>
      </c>
      <c r="DP165" s="304" t="s">
        <v>84</v>
      </c>
      <c r="DQ165" s="305" t="s">
        <v>132</v>
      </c>
      <c r="DR165" s="317">
        <f>Konvention_1slave-MUslave</f>
        <v>12</v>
      </c>
      <c r="DS165" s="254">
        <f>Konvention_1slave-KLslave</f>
        <v>12</v>
      </c>
      <c r="DT165" s="254"/>
      <c r="DU165" s="254">
        <f t="shared" si="1469"/>
        <v>11</v>
      </c>
      <c r="DV165" s="254"/>
      <c r="DW165" s="254"/>
      <c r="DX165" s="254"/>
      <c r="DY165" s="318"/>
      <c r="DZ165" s="223">
        <f>(DR165+DS165+DT165+DU165+DV165+DW165+DX165+DY165)/3</f>
        <v>11.666666666666666</v>
      </c>
      <c r="EA165" s="223">
        <f>2*DZ165</f>
        <v>23.333333333333332</v>
      </c>
      <c r="EB165" s="224">
        <f>3*DZ165</f>
        <v>35</v>
      </c>
      <c r="EC165" s="237">
        <f t="shared" si="1354"/>
        <v>2432</v>
      </c>
      <c r="ED165" s="254">
        <f>DR165*DS165*CHslave_CH+DR165*KLslave*DU165+MUslave*DS165*DU165</f>
        <v>3408</v>
      </c>
      <c r="EE165" s="224">
        <f>IFERROR(DR165^SIGN(DR165),1)*IFERROR(DS165^SIGN(DS165),1)*IFERROR(DT165^SIGN(DT165),1)*IFERROR(DU165^SIGN(DU165),1)*IFERROR(DV165^SIGN(DV165),1)*IFERROR(DW165^SIGN(DW165),1)*IFERROR(DX165^SIGN(DX165),1)*IFERROR(DY165^SIGN(DY165),1)</f>
        <v>1584</v>
      </c>
      <c r="EF165" s="224">
        <f t="shared" si="1288"/>
        <v>7424</v>
      </c>
      <c r="EG165" s="222">
        <f>DZ165*EC165/EF165</f>
        <v>3.8218390804597702</v>
      </c>
      <c r="EH165" s="223">
        <f>EA165*ED165/EF165</f>
        <v>10.711206896551724</v>
      </c>
      <c r="EI165" s="243">
        <f>EB165*EE165/EF165</f>
        <v>7.4676724137931032</v>
      </c>
      <c r="EJ165" s="243">
        <f>SUM(EG165:EI165)</f>
        <v>22.000718390804597</v>
      </c>
      <c r="EK165" s="252">
        <f t="shared" si="1293"/>
        <v>0</v>
      </c>
      <c r="EL165" s="309">
        <f>EJ165-EK165</f>
        <v>22.000718390804597</v>
      </c>
      <c r="EM165" s="218">
        <f t="shared" si="1470"/>
        <v>154.01436781609189</v>
      </c>
      <c r="EN165" s="242">
        <f t="shared" si="1471"/>
        <v>2</v>
      </c>
      <c r="EO165" s="243">
        <f>IF((EM165-EN165)&gt;0,EM165-EN165,0)</f>
        <v>152.01436781609189</v>
      </c>
      <c r="EP165" s="218">
        <f>IF((EN165-EM165)&gt;0,EN165-EM165,0)</f>
        <v>0</v>
      </c>
      <c r="ER165" s="303" t="s">
        <v>383</v>
      </c>
      <c r="ES165" s="304" t="s">
        <v>84</v>
      </c>
      <c r="ET165" s="305" t="s">
        <v>132</v>
      </c>
      <c r="EU165" s="317">
        <f>Konvention_1slave-MUslave</f>
        <v>12</v>
      </c>
      <c r="EV165" s="254">
        <f>Konvention_1slave-KLslave</f>
        <v>12</v>
      </c>
      <c r="EW165" s="254"/>
      <c r="EX165" s="254">
        <f t="shared" si="1472"/>
        <v>12</v>
      </c>
      <c r="EY165" s="254"/>
      <c r="EZ165" s="254"/>
      <c r="FA165" s="254"/>
      <c r="FB165" s="318"/>
      <c r="FC165" s="223">
        <f>(EU165+EV165+EW165+EX165+EY165+EZ165+FA165+FB165)/3</f>
        <v>12</v>
      </c>
      <c r="FD165" s="223">
        <f>2*FC165</f>
        <v>24</v>
      </c>
      <c r="FE165" s="224">
        <f>3*FC165</f>
        <v>36</v>
      </c>
      <c r="FF165" s="237">
        <f t="shared" si="1355"/>
        <v>2304</v>
      </c>
      <c r="FG165" s="254">
        <f>EU165*EV165*CHslave+EU165*KLslave*EX165+MUslave*EV165*EX165</f>
        <v>3456</v>
      </c>
      <c r="FH165" s="224">
        <f>IFERROR(EU165^SIGN(EU165),1)*IFERROR(EV165^SIGN(EV165),1)*IFERROR(EW165^SIGN(EW165),1)*IFERROR(EX165^SIGN(EX165),1)*IFERROR(EY165^SIGN(EY165),1)*IFERROR(EZ165^SIGN(EZ165),1)*IFERROR(FA165^SIGN(FA165),1)*IFERROR(FB165^SIGN(FB165),1)</f>
        <v>1728</v>
      </c>
      <c r="FI165" s="224">
        <f t="shared" si="1299"/>
        <v>7488</v>
      </c>
      <c r="FJ165" s="222">
        <f>FC165*FF165/FI165</f>
        <v>3.6923076923076925</v>
      </c>
      <c r="FK165" s="223">
        <f>FD165*FG165/FI165</f>
        <v>11.076923076923077</v>
      </c>
      <c r="FL165" s="243">
        <f>FE165*FH165/FI165</f>
        <v>8.3076923076923084</v>
      </c>
      <c r="FM165" s="243">
        <f>SUM(FJ165:FL165)</f>
        <v>23.07692307692308</v>
      </c>
      <c r="FN165" s="252">
        <f t="shared" si="1304"/>
        <v>0</v>
      </c>
      <c r="FO165" s="309">
        <f>FM165-FN165</f>
        <v>23.07692307692308</v>
      </c>
      <c r="FP165" s="218">
        <f t="shared" si="1473"/>
        <v>175.5384615384616</v>
      </c>
      <c r="FQ165" s="242">
        <f t="shared" si="1474"/>
        <v>2</v>
      </c>
      <c r="FR165" s="243">
        <f>IF((FP165-FQ165)&gt;0,FP165-FQ165,0)</f>
        <v>173.5384615384616</v>
      </c>
      <c r="FS165" s="218">
        <f>IF((FQ165-FP165)&gt;0,FQ165-FP165,0)</f>
        <v>0</v>
      </c>
      <c r="FU165" s="303" t="s">
        <v>383</v>
      </c>
      <c r="FV165" s="304" t="s">
        <v>84</v>
      </c>
      <c r="FW165" s="305" t="s">
        <v>132</v>
      </c>
      <c r="FX165" s="317">
        <f>Konvention_1slave-MUslave</f>
        <v>12</v>
      </c>
      <c r="FY165" s="254">
        <f>Konvention_1slave-KLslave</f>
        <v>12</v>
      </c>
      <c r="FZ165" s="254"/>
      <c r="GA165" s="254">
        <f t="shared" si="1475"/>
        <v>12</v>
      </c>
      <c r="GB165" s="254"/>
      <c r="GC165" s="254"/>
      <c r="GD165" s="254"/>
      <c r="GE165" s="318"/>
      <c r="GF165" s="223">
        <f>(FX165+FY165+FZ165+GA165+GB165+GC165+GD165+GE165)/3</f>
        <v>12</v>
      </c>
      <c r="GG165" s="223">
        <f>2*GF165</f>
        <v>24</v>
      </c>
      <c r="GH165" s="224">
        <f>3*GF165</f>
        <v>36</v>
      </c>
      <c r="GI165" s="237">
        <f t="shared" si="1356"/>
        <v>2304</v>
      </c>
      <c r="GJ165" s="254">
        <f>FX165*FY165*CHslave+FX165*KLslave*GA165+MUslave*FY165*GA165</f>
        <v>3456</v>
      </c>
      <c r="GK165" s="224">
        <f>IFERROR(FX165^SIGN(FX165),1)*IFERROR(FY165^SIGN(FY165),1)*IFERROR(FZ165^SIGN(FZ165),1)*IFERROR(GA165^SIGN(GA165),1)*IFERROR(GB165^SIGN(GB165),1)*IFERROR(GC165^SIGN(GC165),1)*IFERROR(GD165^SIGN(GD165),1)*IFERROR(GE165^SIGN(GE165),1)</f>
        <v>1728</v>
      </c>
      <c r="GL165" s="224">
        <f t="shared" si="1310"/>
        <v>7488</v>
      </c>
      <c r="GM165" s="222">
        <f>GF165*GI165/GL165</f>
        <v>3.6923076923076925</v>
      </c>
      <c r="GN165" s="223">
        <f>GG165*GJ165/GL165</f>
        <v>11.076923076923077</v>
      </c>
      <c r="GO165" s="243">
        <f>GH165*GK165/GL165</f>
        <v>8.3076923076923084</v>
      </c>
      <c r="GP165" s="243">
        <f>SUM(GM165:GO165)</f>
        <v>23.07692307692308</v>
      </c>
      <c r="GQ165" s="252">
        <f t="shared" si="1315"/>
        <v>0</v>
      </c>
      <c r="GR165" s="309">
        <f>GP165-GQ165</f>
        <v>23.07692307692308</v>
      </c>
      <c r="GS165" s="218">
        <f t="shared" si="1476"/>
        <v>175.5384615384616</v>
      </c>
      <c r="GT165" s="242">
        <f t="shared" si="1477"/>
        <v>2</v>
      </c>
      <c r="GU165" s="243">
        <f>IF((GS165-GT165)&gt;0,GS165-GT165,0)</f>
        <v>173.5384615384616</v>
      </c>
      <c r="GV165" s="218">
        <f>IF((GT165-GS165)&gt;0,GT165-GS165,0)</f>
        <v>0</v>
      </c>
      <c r="GX165" s="303" t="s">
        <v>383</v>
      </c>
      <c r="GY165" s="304" t="s">
        <v>84</v>
      </c>
      <c r="GZ165" s="305" t="s">
        <v>132</v>
      </c>
      <c r="HA165" s="317">
        <f>Konvention_1slave-MUslave</f>
        <v>12</v>
      </c>
      <c r="HB165" s="254">
        <f>Konvention_1slave-KLslave</f>
        <v>12</v>
      </c>
      <c r="HC165" s="254"/>
      <c r="HD165" s="254">
        <f t="shared" si="1478"/>
        <v>12</v>
      </c>
      <c r="HE165" s="254"/>
      <c r="HF165" s="254"/>
      <c r="HG165" s="254"/>
      <c r="HH165" s="318"/>
      <c r="HI165" s="223">
        <f>(HA165+HB165+HC165+HD165+HE165+HF165+HG165+HH165)/3</f>
        <v>12</v>
      </c>
      <c r="HJ165" s="223">
        <f>2*HI165</f>
        <v>24</v>
      </c>
      <c r="HK165" s="224">
        <f>3*HI165</f>
        <v>36</v>
      </c>
      <c r="HL165" s="237">
        <f t="shared" si="1357"/>
        <v>2304</v>
      </c>
      <c r="HM165" s="254">
        <f>HA165*HB165*CHslave+HA165*KLslave*HD165+MUslave*HB165*HD165</f>
        <v>3456</v>
      </c>
      <c r="HN165" s="224">
        <f>IFERROR(HA165^SIGN(HA165),1)*IFERROR(HB165^SIGN(HB165),1)*IFERROR(HC165^SIGN(HC165),1)*IFERROR(HD165^SIGN(HD165),1)*IFERROR(HE165^SIGN(HE165),1)*IFERROR(HF165^SIGN(HF165),1)*IFERROR(HG165^SIGN(HG165),1)*IFERROR(HH165^SIGN(HH165),1)</f>
        <v>1728</v>
      </c>
      <c r="HO165" s="224">
        <f t="shared" si="1321"/>
        <v>7488</v>
      </c>
      <c r="HP165" s="222">
        <f>HI165*HL165/HO165</f>
        <v>3.6923076923076925</v>
      </c>
      <c r="HQ165" s="223">
        <f>HJ165*HM165/HO165</f>
        <v>11.076923076923077</v>
      </c>
      <c r="HR165" s="243">
        <f>HK165*HN165/HO165</f>
        <v>8.3076923076923084</v>
      </c>
      <c r="HS165" s="243">
        <f>SUM(HP165:HR165)</f>
        <v>23.07692307692308</v>
      </c>
      <c r="HT165" s="252">
        <f t="shared" si="1326"/>
        <v>0</v>
      </c>
      <c r="HU165" s="309">
        <f>HS165-HT165</f>
        <v>23.07692307692308</v>
      </c>
      <c r="HV165" s="218">
        <f t="shared" si="1479"/>
        <v>175.5384615384616</v>
      </c>
      <c r="HW165" s="242">
        <f t="shared" si="1480"/>
        <v>2</v>
      </c>
      <c r="HX165" s="243">
        <f>IF((HV165-HW165)&gt;0,HV165-HW165,0)</f>
        <v>173.5384615384616</v>
      </c>
      <c r="HY165" s="218">
        <f>IF((HW165-HV165)&gt;0,HW165-HV165,0)</f>
        <v>0</v>
      </c>
      <c r="IA165" s="303" t="s">
        <v>383</v>
      </c>
      <c r="IB165" s="304" t="s">
        <v>84</v>
      </c>
      <c r="IC165" s="305" t="s">
        <v>132</v>
      </c>
      <c r="ID165" s="317">
        <f>Konvention_1slave-MUslave</f>
        <v>12</v>
      </c>
      <c r="IE165" s="254">
        <f>Konvention_1slave-KLslave</f>
        <v>12</v>
      </c>
      <c r="IF165" s="254"/>
      <c r="IG165" s="254">
        <f t="shared" si="1481"/>
        <v>12</v>
      </c>
      <c r="IH165" s="254"/>
      <c r="II165" s="254"/>
      <c r="IJ165" s="254"/>
      <c r="IK165" s="318"/>
      <c r="IL165" s="223">
        <f>(ID165+IE165+IF165+IG165+IH165+II165+IJ165+IK165)/3</f>
        <v>12</v>
      </c>
      <c r="IM165" s="223">
        <f>2*IL165</f>
        <v>24</v>
      </c>
      <c r="IN165" s="224">
        <f>3*IL165</f>
        <v>36</v>
      </c>
      <c r="IO165" s="237">
        <f t="shared" si="1358"/>
        <v>2304</v>
      </c>
      <c r="IP165" s="254">
        <f>ID165*IE165*CHslave+ID165*KLslave*IG165+MUslave*IE165*IG165</f>
        <v>3456</v>
      </c>
      <c r="IQ165" s="224">
        <f>IFERROR(ID165^SIGN(ID165),1)*IFERROR(IE165^SIGN(IE165),1)*IFERROR(IF165^SIGN(IF165),1)*IFERROR(IG165^SIGN(IG165),1)*IFERROR(IH165^SIGN(IH165),1)*IFERROR(II165^SIGN(II165),1)*IFERROR(IJ165^SIGN(IJ165),1)*IFERROR(IK165^SIGN(IK165),1)</f>
        <v>1728</v>
      </c>
      <c r="IR165" s="224">
        <f t="shared" si="1332"/>
        <v>7488</v>
      </c>
      <c r="IS165" s="222">
        <f>IL165*IO165/IR165</f>
        <v>3.6923076923076925</v>
      </c>
      <c r="IT165" s="223">
        <f>IM165*IP165/IR165</f>
        <v>11.076923076923077</v>
      </c>
      <c r="IU165" s="243">
        <f>IN165*IQ165/IR165</f>
        <v>8.3076923076923084</v>
      </c>
      <c r="IV165" s="243">
        <f>SUM(IS165:IU165)</f>
        <v>23.07692307692308</v>
      </c>
      <c r="IW165" s="252">
        <f t="shared" si="1337"/>
        <v>0</v>
      </c>
      <c r="IX165" s="309">
        <f>IV165-IW165</f>
        <v>23.07692307692308</v>
      </c>
      <c r="IY165" s="218">
        <f t="shared" si="1482"/>
        <v>175.5384615384616</v>
      </c>
      <c r="IZ165" s="242">
        <f t="shared" si="1483"/>
        <v>2</v>
      </c>
      <c r="JA165" s="243">
        <f>IF((IY165-IZ165)&gt;0,IY165-IZ165,0)</f>
        <v>173.5384615384616</v>
      </c>
      <c r="JB165" s="218">
        <f>IF((IZ165-IY165)&gt;0,IZ165-IY165,0)</f>
        <v>0</v>
      </c>
      <c r="JE165" s="148"/>
    </row>
    <row r="166" spans="2:265" hidden="1" outlineLevel="2">
      <c r="B166" s="148">
        <v>14</v>
      </c>
      <c r="C166" s="303" t="e">
        <f>VLOOKUP(AF166,Attribute!C:T,1,FALSE)</f>
        <v>#N/A</v>
      </c>
      <c r="D166" s="86" t="s">
        <v>84</v>
      </c>
      <c r="E166" s="167" t="s">
        <v>132</v>
      </c>
      <c r="F166" s="120">
        <f>Konvention_1master-MUmaster</f>
        <v>12</v>
      </c>
      <c r="G166" s="117">
        <f>Konvention_1master-KLmaster</f>
        <v>12</v>
      </c>
      <c r="H166" s="117"/>
      <c r="I166" s="117">
        <f t="shared" si="1458"/>
        <v>12</v>
      </c>
      <c r="J166" s="117"/>
      <c r="K166" s="117"/>
      <c r="L166" s="117"/>
      <c r="M166" s="121"/>
      <c r="N166" s="223">
        <f>(F166+G166+H166+I166+J166+K166+L166+M166)/3</f>
        <v>12</v>
      </c>
      <c r="O166" s="223">
        <f>2*N166</f>
        <v>24</v>
      </c>
      <c r="P166" s="224">
        <f>3*N166</f>
        <v>36</v>
      </c>
      <c r="Q166" s="237">
        <f t="shared" si="1350"/>
        <v>2304</v>
      </c>
      <c r="R166" s="117">
        <f>F166*G166*CHmaster+F166*KLmaster*I166+MUmaster*G166*I166</f>
        <v>3456</v>
      </c>
      <c r="S166" s="224">
        <f>IFERROR(F166^SIGN(F166),1)*IFERROR(G166^SIGN(G166),1)*IFERROR(H166^SIGN(H166),1)*IFERROR(I166^SIGN(I166),1)*IFERROR(J166^SIGN(J166),1)*IFERROR(K166^SIGN(K166),1)*IFERROR(L166^SIGN(L166),1)*IFERROR(M166^SIGN(M166),1)</f>
        <v>1728</v>
      </c>
      <c r="T166" s="224">
        <f t="shared" si="1245"/>
        <v>7488</v>
      </c>
      <c r="U166" s="222">
        <f>N166*Q166/T166</f>
        <v>3.6923076923076925</v>
      </c>
      <c r="V166" s="223">
        <f>O166*R166/T166</f>
        <v>11.076923076923077</v>
      </c>
      <c r="W166" s="243">
        <f>P166*S166/T166</f>
        <v>8.3076923076923084</v>
      </c>
      <c r="X166" s="243">
        <f>SUM(U166:W166)</f>
        <v>23.07692307692308</v>
      </c>
      <c r="Y166" s="252">
        <v>0</v>
      </c>
      <c r="Z166" s="198">
        <f>X166-Y166</f>
        <v>23.07692307692308</v>
      </c>
      <c r="AA166" s="125">
        <f t="shared" si="1459"/>
        <v>175.5384615384616</v>
      </c>
      <c r="AB166" s="160">
        <f t="shared" si="1460"/>
        <v>2</v>
      </c>
      <c r="AC166" s="127">
        <f>IF((AA166-AB166)&gt;0,AA166-AB166,0)</f>
        <v>173.5384615384616</v>
      </c>
      <c r="AD166" s="125">
        <f>IF((AB166-AA166)&gt;0,AB166-AA166,0)</f>
        <v>0</v>
      </c>
      <c r="AF166" s="163" t="s">
        <v>384</v>
      </c>
      <c r="AG166" s="86" t="s">
        <v>84</v>
      </c>
      <c r="AH166" s="167" t="s">
        <v>132</v>
      </c>
      <c r="AI166" s="120">
        <f>Konvention_1slave-MUslave_MU</f>
        <v>11</v>
      </c>
      <c r="AJ166" s="117">
        <f>Konvention_1slave-KLslave</f>
        <v>12</v>
      </c>
      <c r="AK166" s="117"/>
      <c r="AL166" s="117">
        <f t="shared" si="1484"/>
        <v>12</v>
      </c>
      <c r="AM166" s="117"/>
      <c r="AN166" s="117"/>
      <c r="AO166" s="117"/>
      <c r="AP166" s="121"/>
      <c r="AQ166" s="47">
        <f>(AI166+AJ166+AK166+AL166+AM166+AN166+AO166+AP166)/3</f>
        <v>11.666666666666666</v>
      </c>
      <c r="AR166" s="3">
        <f>2*AQ166</f>
        <v>23.333333333333332</v>
      </c>
      <c r="AS166" s="174">
        <f>3*AQ166</f>
        <v>35</v>
      </c>
      <c r="AT166" s="114">
        <f t="shared" si="1351"/>
        <v>2432</v>
      </c>
      <c r="AU166" s="117">
        <f>AI166*AJ166*CHslave+AI166*KLslave*AL166+MUslave_MU*AJ166*AL166</f>
        <v>3408</v>
      </c>
      <c r="AV166" s="119">
        <f>IFERROR(AI166^SIGN(AI166),1)*IFERROR(AJ166^SIGN(AJ166),1)*IFERROR(AK166^SIGN(AK166),1)*IFERROR(AL166^SIGN(AL166),1)*IFERROR(AM166^SIGN(AM166),1)*IFERROR(AN166^SIGN(AN166),1)*IFERROR(AO166^SIGN(AO166),1)*IFERROR(AP166^SIGN(AP166),1)</f>
        <v>1584</v>
      </c>
      <c r="AW166" s="119">
        <f t="shared" si="1255"/>
        <v>7424</v>
      </c>
      <c r="AX166" s="89">
        <f>AQ166*AT166/AW166</f>
        <v>3.8218390804597702</v>
      </c>
      <c r="AY166" s="47">
        <f>AR166*AU166/AW166</f>
        <v>10.711206896551724</v>
      </c>
      <c r="AZ166" s="127">
        <f>AS166*AV166/AW166</f>
        <v>7.4676724137931032</v>
      </c>
      <c r="BA166" s="127">
        <f>SUM(AX166:AZ166)</f>
        <v>22.000718390804597</v>
      </c>
      <c r="BB166" s="165">
        <f t="shared" si="1260"/>
        <v>0</v>
      </c>
      <c r="BC166" s="198">
        <f>BA166-BB166</f>
        <v>22.000718390804597</v>
      </c>
      <c r="BD166" s="125">
        <f t="shared" si="1461"/>
        <v>154.01436781609189</v>
      </c>
      <c r="BE166" s="160">
        <f t="shared" si="1462"/>
        <v>2</v>
      </c>
      <c r="BF166" s="243">
        <f>IF((BD166-BE166)&gt;0,BD166-BE166,0)</f>
        <v>152.01436781609189</v>
      </c>
      <c r="BG166" s="218">
        <f>IF((BE166-BD166)&gt;0,BE166-BD166,0)</f>
        <v>0</v>
      </c>
      <c r="BI166" s="303" t="s">
        <v>384</v>
      </c>
      <c r="BJ166" s="304" t="s">
        <v>84</v>
      </c>
      <c r="BK166" s="305" t="s">
        <v>132</v>
      </c>
      <c r="BL166" s="317">
        <f>Konvention_1slave-MUslave</f>
        <v>12</v>
      </c>
      <c r="BM166" s="254">
        <f>Konvention_1slave-KLslave_KL</f>
        <v>11</v>
      </c>
      <c r="BN166" s="254"/>
      <c r="BO166" s="254">
        <f t="shared" si="1463"/>
        <v>12</v>
      </c>
      <c r="BP166" s="254"/>
      <c r="BQ166" s="254"/>
      <c r="BR166" s="254"/>
      <c r="BS166" s="318"/>
      <c r="BT166" s="223">
        <f>(BL166+BM166+BN166+BO166+BP166+BQ166+BR166+BS166)/3</f>
        <v>11.666666666666666</v>
      </c>
      <c r="BU166" s="223">
        <f>2*BT166</f>
        <v>23.333333333333332</v>
      </c>
      <c r="BV166" s="224">
        <f>3*BT166</f>
        <v>35</v>
      </c>
      <c r="BW166" s="237">
        <f t="shared" si="1352"/>
        <v>2432</v>
      </c>
      <c r="BX166" s="254">
        <f>BL166*BM166*CHslave+BL166*KLslave_KL*BO166+MUslave*BM166*BO166</f>
        <v>3408</v>
      </c>
      <c r="BY166" s="224">
        <f>IFERROR(BL166^SIGN(BL166),1)*IFERROR(BM166^SIGN(BM166),1)*IFERROR(BN166^SIGN(BN166),1)*IFERROR(BO166^SIGN(BO166),1)*IFERROR(BP166^SIGN(BP166),1)*IFERROR(BQ166^SIGN(BQ166),1)*IFERROR(BR166^SIGN(BR166),1)*IFERROR(BS166^SIGN(BS166),1)</f>
        <v>1584</v>
      </c>
      <c r="BZ166" s="224">
        <f t="shared" si="1266"/>
        <v>7424</v>
      </c>
      <c r="CA166" s="222">
        <f>BT166*BW166/BZ166</f>
        <v>3.8218390804597702</v>
      </c>
      <c r="CB166" s="223">
        <f>BU166*BX166/BZ166</f>
        <v>10.711206896551724</v>
      </c>
      <c r="CC166" s="243">
        <f>BV166*BY166/BZ166</f>
        <v>7.4676724137931032</v>
      </c>
      <c r="CD166" s="243">
        <f>SUM(CA166:CC166)</f>
        <v>22.000718390804597</v>
      </c>
      <c r="CE166" s="252">
        <f t="shared" si="1271"/>
        <v>0</v>
      </c>
      <c r="CF166" s="309">
        <f>CD166-CE166</f>
        <v>22.000718390804597</v>
      </c>
      <c r="CG166" s="218">
        <f t="shared" si="1464"/>
        <v>154.01436781609189</v>
      </c>
      <c r="CH166" s="242">
        <f t="shared" si="1465"/>
        <v>2</v>
      </c>
      <c r="CI166" s="243">
        <f>IF((CG166-CH166)&gt;0,CG166-CH166,0)</f>
        <v>152.01436781609189</v>
      </c>
      <c r="CJ166" s="218">
        <f>IF((CH166-CG166)&gt;0,CH166-CG166,0)</f>
        <v>0</v>
      </c>
      <c r="CL166" s="303" t="s">
        <v>384</v>
      </c>
      <c r="CM166" s="304" t="s">
        <v>84</v>
      </c>
      <c r="CN166" s="305" t="s">
        <v>132</v>
      </c>
      <c r="CO166" s="317">
        <f>Konvention_1slave-MUslave</f>
        <v>12</v>
      </c>
      <c r="CP166" s="254">
        <f>Konvention_1slave-KLslave</f>
        <v>12</v>
      </c>
      <c r="CQ166" s="254"/>
      <c r="CR166" s="254">
        <f t="shared" si="1466"/>
        <v>12</v>
      </c>
      <c r="CS166" s="254"/>
      <c r="CT166" s="254"/>
      <c r="CU166" s="254"/>
      <c r="CV166" s="318"/>
      <c r="CW166" s="223">
        <f>(CO166+CP166+CQ166+CR166+CS166+CT166+CU166+CV166)/3</f>
        <v>12</v>
      </c>
      <c r="CX166" s="223">
        <f>2*CW166</f>
        <v>24</v>
      </c>
      <c r="CY166" s="224">
        <f>3*CW166</f>
        <v>36</v>
      </c>
      <c r="CZ166" s="237">
        <f t="shared" si="1353"/>
        <v>2304</v>
      </c>
      <c r="DA166" s="254">
        <f>CO166*CP166*CHslave+CO166*KLslave*CR166+MUslave*CP166*CR166</f>
        <v>3456</v>
      </c>
      <c r="DB166" s="224">
        <f>IFERROR(CO166^SIGN(CO166),1)*IFERROR(CP166^SIGN(CP166),1)*IFERROR(CQ166^SIGN(CQ166),1)*IFERROR(CR166^SIGN(CR166),1)*IFERROR(CS166^SIGN(CS166),1)*IFERROR(CT166^SIGN(CT166),1)*IFERROR(CU166^SIGN(CU166),1)*IFERROR(CV166^SIGN(CV166),1)</f>
        <v>1728</v>
      </c>
      <c r="DC166" s="224">
        <f t="shared" si="1277"/>
        <v>7488</v>
      </c>
      <c r="DD166" s="222">
        <f>CW166*CZ166/DC166</f>
        <v>3.6923076923076925</v>
      </c>
      <c r="DE166" s="223">
        <f>CX166*DA166/DC166</f>
        <v>11.076923076923077</v>
      </c>
      <c r="DF166" s="243">
        <f>CY166*DB166/DC166</f>
        <v>8.3076923076923084</v>
      </c>
      <c r="DG166" s="243">
        <f>SUM(DD166:DF166)</f>
        <v>23.07692307692308</v>
      </c>
      <c r="DH166" s="252">
        <f t="shared" si="1282"/>
        <v>0</v>
      </c>
      <c r="DI166" s="309">
        <f>DG166-DH166</f>
        <v>23.07692307692308</v>
      </c>
      <c r="DJ166" s="218">
        <f t="shared" si="1467"/>
        <v>175.5384615384616</v>
      </c>
      <c r="DK166" s="242">
        <f t="shared" si="1468"/>
        <v>2</v>
      </c>
      <c r="DL166" s="243">
        <f>IF((DJ166-DK166)&gt;0,DJ166-DK166,0)</f>
        <v>173.5384615384616</v>
      </c>
      <c r="DM166" s="218">
        <f>IF((DK166-DJ166)&gt;0,DK166-DJ166,0)</f>
        <v>0</v>
      </c>
      <c r="DO166" s="303" t="s">
        <v>384</v>
      </c>
      <c r="DP166" s="304" t="s">
        <v>84</v>
      </c>
      <c r="DQ166" s="305" t="s">
        <v>132</v>
      </c>
      <c r="DR166" s="317">
        <f>Konvention_1slave-MUslave</f>
        <v>12</v>
      </c>
      <c r="DS166" s="254">
        <f>Konvention_1slave-KLslave</f>
        <v>12</v>
      </c>
      <c r="DT166" s="254"/>
      <c r="DU166" s="254">
        <f t="shared" si="1469"/>
        <v>11</v>
      </c>
      <c r="DV166" s="254"/>
      <c r="DW166" s="254"/>
      <c r="DX166" s="254"/>
      <c r="DY166" s="318"/>
      <c r="DZ166" s="223">
        <f>(DR166+DS166+DT166+DU166+DV166+DW166+DX166+DY166)/3</f>
        <v>11.666666666666666</v>
      </c>
      <c r="EA166" s="223">
        <f>2*DZ166</f>
        <v>23.333333333333332</v>
      </c>
      <c r="EB166" s="224">
        <f>3*DZ166</f>
        <v>35</v>
      </c>
      <c r="EC166" s="237">
        <f t="shared" si="1354"/>
        <v>2432</v>
      </c>
      <c r="ED166" s="254">
        <f>DR166*DS166*CHslave_CH+DR166*KLslave*DU166+MUslave*DS166*DU166</f>
        <v>3408</v>
      </c>
      <c r="EE166" s="224">
        <f>IFERROR(DR166^SIGN(DR166),1)*IFERROR(DS166^SIGN(DS166),1)*IFERROR(DT166^SIGN(DT166),1)*IFERROR(DU166^SIGN(DU166),1)*IFERROR(DV166^SIGN(DV166),1)*IFERROR(DW166^SIGN(DW166),1)*IFERROR(DX166^SIGN(DX166),1)*IFERROR(DY166^SIGN(DY166),1)</f>
        <v>1584</v>
      </c>
      <c r="EF166" s="224">
        <f t="shared" si="1288"/>
        <v>7424</v>
      </c>
      <c r="EG166" s="222">
        <f>DZ166*EC166/EF166</f>
        <v>3.8218390804597702</v>
      </c>
      <c r="EH166" s="223">
        <f>EA166*ED166/EF166</f>
        <v>10.711206896551724</v>
      </c>
      <c r="EI166" s="243">
        <f>EB166*EE166/EF166</f>
        <v>7.4676724137931032</v>
      </c>
      <c r="EJ166" s="243">
        <f>SUM(EG166:EI166)</f>
        <v>22.000718390804597</v>
      </c>
      <c r="EK166" s="252">
        <f t="shared" si="1293"/>
        <v>0</v>
      </c>
      <c r="EL166" s="309">
        <f>EJ166-EK166</f>
        <v>22.000718390804597</v>
      </c>
      <c r="EM166" s="218">
        <f t="shared" si="1470"/>
        <v>154.01436781609189</v>
      </c>
      <c r="EN166" s="242">
        <f t="shared" si="1471"/>
        <v>2</v>
      </c>
      <c r="EO166" s="243">
        <f>IF((EM166-EN166)&gt;0,EM166-EN166,0)</f>
        <v>152.01436781609189</v>
      </c>
      <c r="EP166" s="218">
        <f>IF((EN166-EM166)&gt;0,EN166-EM166,0)</f>
        <v>0</v>
      </c>
      <c r="ER166" s="303" t="s">
        <v>384</v>
      </c>
      <c r="ES166" s="304" t="s">
        <v>84</v>
      </c>
      <c r="ET166" s="305" t="s">
        <v>132</v>
      </c>
      <c r="EU166" s="317">
        <f>Konvention_1slave-MUslave</f>
        <v>12</v>
      </c>
      <c r="EV166" s="254">
        <f>Konvention_1slave-KLslave</f>
        <v>12</v>
      </c>
      <c r="EW166" s="254"/>
      <c r="EX166" s="254">
        <f t="shared" si="1472"/>
        <v>12</v>
      </c>
      <c r="EY166" s="254"/>
      <c r="EZ166" s="254"/>
      <c r="FA166" s="254"/>
      <c r="FB166" s="318"/>
      <c r="FC166" s="223">
        <f>(EU166+EV166+EW166+EX166+EY166+EZ166+FA166+FB166)/3</f>
        <v>12</v>
      </c>
      <c r="FD166" s="223">
        <f>2*FC166</f>
        <v>24</v>
      </c>
      <c r="FE166" s="224">
        <f>3*FC166</f>
        <v>36</v>
      </c>
      <c r="FF166" s="237">
        <f t="shared" si="1355"/>
        <v>2304</v>
      </c>
      <c r="FG166" s="254">
        <f>EU166*EV166*CHslave+EU166*KLslave*EX166+MUslave*EV166*EX166</f>
        <v>3456</v>
      </c>
      <c r="FH166" s="224">
        <f>IFERROR(EU166^SIGN(EU166),1)*IFERROR(EV166^SIGN(EV166),1)*IFERROR(EW166^SIGN(EW166),1)*IFERROR(EX166^SIGN(EX166),1)*IFERROR(EY166^SIGN(EY166),1)*IFERROR(EZ166^SIGN(EZ166),1)*IFERROR(FA166^SIGN(FA166),1)*IFERROR(FB166^SIGN(FB166),1)</f>
        <v>1728</v>
      </c>
      <c r="FI166" s="224">
        <f t="shared" si="1299"/>
        <v>7488</v>
      </c>
      <c r="FJ166" s="222">
        <f>FC166*FF166/FI166</f>
        <v>3.6923076923076925</v>
      </c>
      <c r="FK166" s="223">
        <f>FD166*FG166/FI166</f>
        <v>11.076923076923077</v>
      </c>
      <c r="FL166" s="243">
        <f>FE166*FH166/FI166</f>
        <v>8.3076923076923084</v>
      </c>
      <c r="FM166" s="243">
        <f>SUM(FJ166:FL166)</f>
        <v>23.07692307692308</v>
      </c>
      <c r="FN166" s="252">
        <f t="shared" si="1304"/>
        <v>0</v>
      </c>
      <c r="FO166" s="309">
        <f>FM166-FN166</f>
        <v>23.07692307692308</v>
      </c>
      <c r="FP166" s="218">
        <f t="shared" si="1473"/>
        <v>175.5384615384616</v>
      </c>
      <c r="FQ166" s="242">
        <f t="shared" si="1474"/>
        <v>2</v>
      </c>
      <c r="FR166" s="243">
        <f>IF((FP166-FQ166)&gt;0,FP166-FQ166,0)</f>
        <v>173.5384615384616</v>
      </c>
      <c r="FS166" s="218">
        <f>IF((FQ166-FP166)&gt;0,FQ166-FP166,0)</f>
        <v>0</v>
      </c>
      <c r="FU166" s="303" t="s">
        <v>384</v>
      </c>
      <c r="FV166" s="304" t="s">
        <v>84</v>
      </c>
      <c r="FW166" s="305" t="s">
        <v>132</v>
      </c>
      <c r="FX166" s="317">
        <f>Konvention_1slave-MUslave</f>
        <v>12</v>
      </c>
      <c r="FY166" s="254">
        <f>Konvention_1slave-KLslave</f>
        <v>12</v>
      </c>
      <c r="FZ166" s="254"/>
      <c r="GA166" s="254">
        <f t="shared" si="1475"/>
        <v>12</v>
      </c>
      <c r="GB166" s="254"/>
      <c r="GC166" s="254"/>
      <c r="GD166" s="254"/>
      <c r="GE166" s="318"/>
      <c r="GF166" s="223">
        <f>(FX166+FY166+FZ166+GA166+GB166+GC166+GD166+GE166)/3</f>
        <v>12</v>
      </c>
      <c r="GG166" s="223">
        <f>2*GF166</f>
        <v>24</v>
      </c>
      <c r="GH166" s="224">
        <f>3*GF166</f>
        <v>36</v>
      </c>
      <c r="GI166" s="237">
        <f t="shared" si="1356"/>
        <v>2304</v>
      </c>
      <c r="GJ166" s="254">
        <f>FX166*FY166*CHslave+FX166*KLslave*GA166+MUslave*FY166*GA166</f>
        <v>3456</v>
      </c>
      <c r="GK166" s="224">
        <f>IFERROR(FX166^SIGN(FX166),1)*IFERROR(FY166^SIGN(FY166),1)*IFERROR(FZ166^SIGN(FZ166),1)*IFERROR(GA166^SIGN(GA166),1)*IFERROR(GB166^SIGN(GB166),1)*IFERROR(GC166^SIGN(GC166),1)*IFERROR(GD166^SIGN(GD166),1)*IFERROR(GE166^SIGN(GE166),1)</f>
        <v>1728</v>
      </c>
      <c r="GL166" s="224">
        <f t="shared" si="1310"/>
        <v>7488</v>
      </c>
      <c r="GM166" s="222">
        <f>GF166*GI166/GL166</f>
        <v>3.6923076923076925</v>
      </c>
      <c r="GN166" s="223">
        <f>GG166*GJ166/GL166</f>
        <v>11.076923076923077</v>
      </c>
      <c r="GO166" s="243">
        <f>GH166*GK166/GL166</f>
        <v>8.3076923076923084</v>
      </c>
      <c r="GP166" s="243">
        <f>SUM(GM166:GO166)</f>
        <v>23.07692307692308</v>
      </c>
      <c r="GQ166" s="252">
        <f t="shared" si="1315"/>
        <v>0</v>
      </c>
      <c r="GR166" s="309">
        <f>GP166-GQ166</f>
        <v>23.07692307692308</v>
      </c>
      <c r="GS166" s="218">
        <f t="shared" si="1476"/>
        <v>175.5384615384616</v>
      </c>
      <c r="GT166" s="242">
        <f t="shared" si="1477"/>
        <v>2</v>
      </c>
      <c r="GU166" s="243">
        <f>IF((GS166-GT166)&gt;0,GS166-GT166,0)</f>
        <v>173.5384615384616</v>
      </c>
      <c r="GV166" s="218">
        <f>IF((GT166-GS166)&gt;0,GT166-GS166,0)</f>
        <v>0</v>
      </c>
      <c r="GX166" s="303" t="s">
        <v>384</v>
      </c>
      <c r="GY166" s="304" t="s">
        <v>84</v>
      </c>
      <c r="GZ166" s="305" t="s">
        <v>132</v>
      </c>
      <c r="HA166" s="317">
        <f>Konvention_1slave-MUslave</f>
        <v>12</v>
      </c>
      <c r="HB166" s="254">
        <f>Konvention_1slave-KLslave</f>
        <v>12</v>
      </c>
      <c r="HC166" s="254"/>
      <c r="HD166" s="254">
        <f t="shared" si="1478"/>
        <v>12</v>
      </c>
      <c r="HE166" s="254"/>
      <c r="HF166" s="254"/>
      <c r="HG166" s="254"/>
      <c r="HH166" s="318"/>
      <c r="HI166" s="223">
        <f>(HA166+HB166+HC166+HD166+HE166+HF166+HG166+HH166)/3</f>
        <v>12</v>
      </c>
      <c r="HJ166" s="223">
        <f>2*HI166</f>
        <v>24</v>
      </c>
      <c r="HK166" s="224">
        <f>3*HI166</f>
        <v>36</v>
      </c>
      <c r="HL166" s="237">
        <f t="shared" si="1357"/>
        <v>2304</v>
      </c>
      <c r="HM166" s="254">
        <f>HA166*HB166*CHslave+HA166*KLslave*HD166+MUslave*HB166*HD166</f>
        <v>3456</v>
      </c>
      <c r="HN166" s="224">
        <f>IFERROR(HA166^SIGN(HA166),1)*IFERROR(HB166^SIGN(HB166),1)*IFERROR(HC166^SIGN(HC166),1)*IFERROR(HD166^SIGN(HD166),1)*IFERROR(HE166^SIGN(HE166),1)*IFERROR(HF166^SIGN(HF166),1)*IFERROR(HG166^SIGN(HG166),1)*IFERROR(HH166^SIGN(HH166),1)</f>
        <v>1728</v>
      </c>
      <c r="HO166" s="224">
        <f t="shared" si="1321"/>
        <v>7488</v>
      </c>
      <c r="HP166" s="222">
        <f>HI166*HL166/HO166</f>
        <v>3.6923076923076925</v>
      </c>
      <c r="HQ166" s="223">
        <f>HJ166*HM166/HO166</f>
        <v>11.076923076923077</v>
      </c>
      <c r="HR166" s="243">
        <f>HK166*HN166/HO166</f>
        <v>8.3076923076923084</v>
      </c>
      <c r="HS166" s="243">
        <f>SUM(HP166:HR166)</f>
        <v>23.07692307692308</v>
      </c>
      <c r="HT166" s="252">
        <f t="shared" si="1326"/>
        <v>0</v>
      </c>
      <c r="HU166" s="309">
        <f>HS166-HT166</f>
        <v>23.07692307692308</v>
      </c>
      <c r="HV166" s="218">
        <f t="shared" si="1479"/>
        <v>175.5384615384616</v>
      </c>
      <c r="HW166" s="242">
        <f t="shared" si="1480"/>
        <v>2</v>
      </c>
      <c r="HX166" s="243">
        <f>IF((HV166-HW166)&gt;0,HV166-HW166,0)</f>
        <v>173.5384615384616</v>
      </c>
      <c r="HY166" s="218">
        <f>IF((HW166-HV166)&gt;0,HW166-HV166,0)</f>
        <v>0</v>
      </c>
      <c r="IA166" s="303" t="s">
        <v>384</v>
      </c>
      <c r="IB166" s="304" t="s">
        <v>84</v>
      </c>
      <c r="IC166" s="305" t="s">
        <v>132</v>
      </c>
      <c r="ID166" s="317">
        <f>Konvention_1slave-MUslave</f>
        <v>12</v>
      </c>
      <c r="IE166" s="254">
        <f>Konvention_1slave-KLslave</f>
        <v>12</v>
      </c>
      <c r="IF166" s="254"/>
      <c r="IG166" s="254">
        <f t="shared" si="1481"/>
        <v>12</v>
      </c>
      <c r="IH166" s="254"/>
      <c r="II166" s="254"/>
      <c r="IJ166" s="254"/>
      <c r="IK166" s="318"/>
      <c r="IL166" s="223">
        <f>(ID166+IE166+IF166+IG166+IH166+II166+IJ166+IK166)/3</f>
        <v>12</v>
      </c>
      <c r="IM166" s="223">
        <f>2*IL166</f>
        <v>24</v>
      </c>
      <c r="IN166" s="224">
        <f>3*IL166</f>
        <v>36</v>
      </c>
      <c r="IO166" s="237">
        <f t="shared" si="1358"/>
        <v>2304</v>
      </c>
      <c r="IP166" s="254">
        <f>ID166*IE166*CHslave+ID166*KLslave*IG166+MUslave*IE166*IG166</f>
        <v>3456</v>
      </c>
      <c r="IQ166" s="224">
        <f>IFERROR(ID166^SIGN(ID166),1)*IFERROR(IE166^SIGN(IE166),1)*IFERROR(IF166^SIGN(IF166),1)*IFERROR(IG166^SIGN(IG166),1)*IFERROR(IH166^SIGN(IH166),1)*IFERROR(II166^SIGN(II166),1)*IFERROR(IJ166^SIGN(IJ166),1)*IFERROR(IK166^SIGN(IK166),1)</f>
        <v>1728</v>
      </c>
      <c r="IR166" s="224">
        <f t="shared" si="1332"/>
        <v>7488</v>
      </c>
      <c r="IS166" s="222">
        <f>IL166*IO166/IR166</f>
        <v>3.6923076923076925</v>
      </c>
      <c r="IT166" s="223">
        <f>IM166*IP166/IR166</f>
        <v>11.076923076923077</v>
      </c>
      <c r="IU166" s="243">
        <f>IN166*IQ166/IR166</f>
        <v>8.3076923076923084</v>
      </c>
      <c r="IV166" s="243">
        <f>SUM(IS166:IU166)</f>
        <v>23.07692307692308</v>
      </c>
      <c r="IW166" s="252">
        <f t="shared" si="1337"/>
        <v>0</v>
      </c>
      <c r="IX166" s="309">
        <f>IV166-IW166</f>
        <v>23.07692307692308</v>
      </c>
      <c r="IY166" s="218">
        <f t="shared" si="1482"/>
        <v>175.5384615384616</v>
      </c>
      <c r="IZ166" s="242">
        <f t="shared" si="1483"/>
        <v>2</v>
      </c>
      <c r="JA166" s="243">
        <f>IF((IY166-IZ166)&gt;0,IY166-IZ166,0)</f>
        <v>173.5384615384616</v>
      </c>
      <c r="JB166" s="218">
        <f>IF((IZ166-IY166)&gt;0,IZ166-IY166,0)</f>
        <v>0</v>
      </c>
      <c r="JE166" s="148"/>
    </row>
    <row r="167" spans="2:265" ht="15" hidden="1" customHeight="1" outlineLevel="2">
      <c r="B167" s="148">
        <v>15</v>
      </c>
      <c r="C167" s="303" t="e">
        <f>VLOOKUP(AF167,Attribute!C:T,1,FALSE)</f>
        <v>#N/A</v>
      </c>
      <c r="D167" s="86" t="s">
        <v>438</v>
      </c>
      <c r="E167" s="167" t="s">
        <v>132</v>
      </c>
      <c r="F167" s="120"/>
      <c r="G167" s="117">
        <f>Konvention_1master-KLmaster</f>
        <v>12</v>
      </c>
      <c r="H167" s="117"/>
      <c r="I167" s="117">
        <f t="shared" si="1458"/>
        <v>12</v>
      </c>
      <c r="J167" s="117"/>
      <c r="K167" s="117"/>
      <c r="L167" s="117"/>
      <c r="M167" s="121">
        <f>Konvention_1master-KKmaster</f>
        <v>12</v>
      </c>
      <c r="N167" s="223">
        <f>(F167+G167+H167+I167+J167+K167+L167+M167)/3</f>
        <v>12</v>
      </c>
      <c r="O167" s="223">
        <f>2*N167</f>
        <v>24</v>
      </c>
      <c r="P167" s="224">
        <f>3*N167</f>
        <v>36</v>
      </c>
      <c r="Q167" s="237">
        <f t="shared" si="1350"/>
        <v>2304</v>
      </c>
      <c r="R167" s="117">
        <f>G167*I167*KKmaster+G167*CHmaster*M167+KLmaster*I167*M167</f>
        <v>3456</v>
      </c>
      <c r="S167" s="224">
        <f>IFERROR(F167^SIGN(F167),1)*IFERROR(G167^SIGN(G167),1)*IFERROR(H167^SIGN(H167),1)*IFERROR(I167^SIGN(I167),1)*IFERROR(J167^SIGN(J167),1)*IFERROR(K167^SIGN(K167),1)*IFERROR(L167^SIGN(L167),1)*IFERROR(M167^SIGN(M167),1)</f>
        <v>1728</v>
      </c>
      <c r="T167" s="224">
        <f t="shared" si="1245"/>
        <v>7488</v>
      </c>
      <c r="U167" s="222">
        <f>N167*Q167/T167</f>
        <v>3.6923076923076925</v>
      </c>
      <c r="V167" s="223">
        <f>O167*R167/T167</f>
        <v>11.076923076923077</v>
      </c>
      <c r="W167" s="243">
        <f>P167*S167/T167</f>
        <v>8.3076923076923084</v>
      </c>
      <c r="X167" s="243">
        <f>SUM(U167:W167)</f>
        <v>23.07692307692308</v>
      </c>
      <c r="Y167" s="252">
        <v>0</v>
      </c>
      <c r="Z167" s="198">
        <f>X167-Y167</f>
        <v>23.07692307692308</v>
      </c>
      <c r="AA167" s="125">
        <f t="shared" si="1459"/>
        <v>175.5384615384616</v>
      </c>
      <c r="AB167" s="160">
        <f t="shared" si="1460"/>
        <v>2</v>
      </c>
      <c r="AC167" s="127">
        <f>IF((AA167-AB167)&gt;0,AA167-AB167,0)</f>
        <v>173.5384615384616</v>
      </c>
      <c r="AD167" s="125">
        <f>IF((AB167-AA167)&gt;0,AB167-AA167,0)</f>
        <v>0</v>
      </c>
      <c r="AF167" s="163" t="s">
        <v>385</v>
      </c>
      <c r="AG167" s="86" t="s">
        <v>438</v>
      </c>
      <c r="AH167" s="167" t="s">
        <v>132</v>
      </c>
      <c r="AI167" s="120"/>
      <c r="AJ167" s="117">
        <f>Konvention_1slave-KLslave</f>
        <v>12</v>
      </c>
      <c r="AK167" s="117"/>
      <c r="AL167" s="117">
        <f>Konvention_1slave-CHslave</f>
        <v>12</v>
      </c>
      <c r="AM167" s="117"/>
      <c r="AN167" s="117"/>
      <c r="AO167" s="117"/>
      <c r="AP167" s="121">
        <f>Konvention_1slave-KKslave</f>
        <v>12</v>
      </c>
      <c r="AQ167" s="47">
        <f>(AI167+AJ167+AK167+AL167+AM167+AN167+AO167+AP167)/3</f>
        <v>12</v>
      </c>
      <c r="AR167" s="3">
        <f>2*AQ167</f>
        <v>24</v>
      </c>
      <c r="AS167" s="174">
        <f>3*AQ167</f>
        <v>36</v>
      </c>
      <c r="AT167" s="114">
        <f t="shared" si="1351"/>
        <v>2304</v>
      </c>
      <c r="AU167" s="117">
        <f>AJ167*AL167*KKslave+AJ167*CHslave*AP167+KLslave*AL167*AP167</f>
        <v>3456</v>
      </c>
      <c r="AV167" s="119">
        <f>IFERROR(AI167^SIGN(AI167),1)*IFERROR(AJ167^SIGN(AJ167),1)*IFERROR(AK167^SIGN(AK167),1)*IFERROR(AL167^SIGN(AL167),1)*IFERROR(AM167^SIGN(AM167),1)*IFERROR(AN167^SIGN(AN167),1)*IFERROR(AO167^SIGN(AO167),1)*IFERROR(AP167^SIGN(AP167),1)</f>
        <v>1728</v>
      </c>
      <c r="AW167" s="119">
        <f t="shared" si="1255"/>
        <v>7488</v>
      </c>
      <c r="AX167" s="89">
        <f>AQ167*AT167/AW167</f>
        <v>3.6923076923076925</v>
      </c>
      <c r="AY167" s="47">
        <f>AR167*AU167/AW167</f>
        <v>11.076923076923077</v>
      </c>
      <c r="AZ167" s="127">
        <f>AS167*AV167/AW167</f>
        <v>8.3076923076923084</v>
      </c>
      <c r="BA167" s="127">
        <f>SUM(AX167:AZ167)</f>
        <v>23.07692307692308</v>
      </c>
      <c r="BB167" s="165">
        <f t="shared" si="1260"/>
        <v>0</v>
      </c>
      <c r="BC167" s="198">
        <f>BA167-BB167</f>
        <v>23.07692307692308</v>
      </c>
      <c r="BD167" s="125">
        <f t="shared" si="1461"/>
        <v>175.5384615384616</v>
      </c>
      <c r="BE167" s="160">
        <f t="shared" si="1462"/>
        <v>2</v>
      </c>
      <c r="BF167" s="243">
        <f>IF((BD167-BE167)&gt;0,BD167-BE167,0)</f>
        <v>173.5384615384616</v>
      </c>
      <c r="BG167" s="218">
        <f>IF((BE167-BD167)&gt;0,BE167-BD167,0)</f>
        <v>0</v>
      </c>
      <c r="BI167" s="303" t="s">
        <v>385</v>
      </c>
      <c r="BJ167" s="304" t="s">
        <v>438</v>
      </c>
      <c r="BK167" s="305" t="s">
        <v>132</v>
      </c>
      <c r="BL167" s="317"/>
      <c r="BM167" s="254">
        <f>Konvention_1slave-KLslave_KL</f>
        <v>11</v>
      </c>
      <c r="BN167" s="254"/>
      <c r="BO167" s="254">
        <f t="shared" si="1463"/>
        <v>12</v>
      </c>
      <c r="BP167" s="254"/>
      <c r="BQ167" s="254"/>
      <c r="BR167" s="254"/>
      <c r="BS167" s="318">
        <f>Konvention_1slave-KKslave</f>
        <v>12</v>
      </c>
      <c r="BT167" s="223">
        <f>(BL167+BM167+BN167+BO167+BP167+BQ167+BR167+BS167)/3</f>
        <v>11.666666666666666</v>
      </c>
      <c r="BU167" s="223">
        <f>2*BT167</f>
        <v>23.333333333333332</v>
      </c>
      <c r="BV167" s="224">
        <f>3*BT167</f>
        <v>35</v>
      </c>
      <c r="BW167" s="237">
        <f t="shared" si="1352"/>
        <v>2432</v>
      </c>
      <c r="BX167" s="254">
        <f>BM167*BO167*KKslave+BM167*CHslave*BS167+KLslave_KL*BO167*BS167</f>
        <v>3408</v>
      </c>
      <c r="BY167" s="224">
        <f>IFERROR(BL167^SIGN(BL167),1)*IFERROR(BM167^SIGN(BM167),1)*IFERROR(BN167^SIGN(BN167),1)*IFERROR(BO167^SIGN(BO167),1)*IFERROR(BP167^SIGN(BP167),1)*IFERROR(BQ167^SIGN(BQ167),1)*IFERROR(BR167^SIGN(BR167),1)*IFERROR(BS167^SIGN(BS167),1)</f>
        <v>1584</v>
      </c>
      <c r="BZ167" s="224">
        <f t="shared" si="1266"/>
        <v>7424</v>
      </c>
      <c r="CA167" s="222">
        <f>BT167*BW167/BZ167</f>
        <v>3.8218390804597702</v>
      </c>
      <c r="CB167" s="223">
        <f>BU167*BX167/BZ167</f>
        <v>10.711206896551724</v>
      </c>
      <c r="CC167" s="243">
        <f>BV167*BY167/BZ167</f>
        <v>7.4676724137931032</v>
      </c>
      <c r="CD167" s="243">
        <f>SUM(CA167:CC167)</f>
        <v>22.000718390804597</v>
      </c>
      <c r="CE167" s="252">
        <f t="shared" si="1271"/>
        <v>0</v>
      </c>
      <c r="CF167" s="309">
        <f>CD167-CE167</f>
        <v>22.000718390804597</v>
      </c>
      <c r="CG167" s="218">
        <f t="shared" si="1464"/>
        <v>154.01436781609189</v>
      </c>
      <c r="CH167" s="242">
        <f t="shared" si="1465"/>
        <v>2</v>
      </c>
      <c r="CI167" s="243">
        <f>IF((CG167-CH167)&gt;0,CG167-CH167,0)</f>
        <v>152.01436781609189</v>
      </c>
      <c r="CJ167" s="218">
        <f>IF((CH167-CG167)&gt;0,CH167-CG167,0)</f>
        <v>0</v>
      </c>
      <c r="CL167" s="303" t="s">
        <v>385</v>
      </c>
      <c r="CM167" s="304" t="s">
        <v>438</v>
      </c>
      <c r="CN167" s="305" t="s">
        <v>132</v>
      </c>
      <c r="CO167" s="317"/>
      <c r="CP167" s="254">
        <f>Konvention_1slave-KLslave</f>
        <v>12</v>
      </c>
      <c r="CQ167" s="254"/>
      <c r="CR167" s="254">
        <f t="shared" si="1466"/>
        <v>12</v>
      </c>
      <c r="CS167" s="254"/>
      <c r="CT167" s="254"/>
      <c r="CU167" s="254"/>
      <c r="CV167" s="318">
        <f>Konvention_1slave-KKslave</f>
        <v>12</v>
      </c>
      <c r="CW167" s="223">
        <f>(CO167+CP167+CQ167+CR167+CS167+CT167+CU167+CV167)/3</f>
        <v>12</v>
      </c>
      <c r="CX167" s="223">
        <f>2*CW167</f>
        <v>24</v>
      </c>
      <c r="CY167" s="224">
        <f>3*CW167</f>
        <v>36</v>
      </c>
      <c r="CZ167" s="237">
        <f t="shared" si="1353"/>
        <v>2304</v>
      </c>
      <c r="DA167" s="254">
        <f>CP167*CR167*KKslave+CP167*CHslave*CV167+KLslave*CR167*CV167</f>
        <v>3456</v>
      </c>
      <c r="DB167" s="224">
        <f>IFERROR(CO167^SIGN(CO167),1)*IFERROR(CP167^SIGN(CP167),1)*IFERROR(CQ167^SIGN(CQ167),1)*IFERROR(CR167^SIGN(CR167),1)*IFERROR(CS167^SIGN(CS167),1)*IFERROR(CT167^SIGN(CT167),1)*IFERROR(CU167^SIGN(CU167),1)*IFERROR(CV167^SIGN(CV167),1)</f>
        <v>1728</v>
      </c>
      <c r="DC167" s="224">
        <f t="shared" si="1277"/>
        <v>7488</v>
      </c>
      <c r="DD167" s="222">
        <f>CW167*CZ167/DC167</f>
        <v>3.6923076923076925</v>
      </c>
      <c r="DE167" s="223">
        <f>CX167*DA167/DC167</f>
        <v>11.076923076923077</v>
      </c>
      <c r="DF167" s="243">
        <f>CY167*DB167/DC167</f>
        <v>8.3076923076923084</v>
      </c>
      <c r="DG167" s="243">
        <f>SUM(DD167:DF167)</f>
        <v>23.07692307692308</v>
      </c>
      <c r="DH167" s="252">
        <f t="shared" si="1282"/>
        <v>0</v>
      </c>
      <c r="DI167" s="309">
        <f>DG167-DH167</f>
        <v>23.07692307692308</v>
      </c>
      <c r="DJ167" s="218">
        <f t="shared" si="1467"/>
        <v>175.5384615384616</v>
      </c>
      <c r="DK167" s="242">
        <f t="shared" si="1468"/>
        <v>2</v>
      </c>
      <c r="DL167" s="243">
        <f>IF((DJ167-DK167)&gt;0,DJ167-DK167,0)</f>
        <v>173.5384615384616</v>
      </c>
      <c r="DM167" s="218">
        <f>IF((DK167-DJ167)&gt;0,DK167-DJ167,0)</f>
        <v>0</v>
      </c>
      <c r="DO167" s="303" t="s">
        <v>385</v>
      </c>
      <c r="DP167" s="304" t="s">
        <v>438</v>
      </c>
      <c r="DQ167" s="305" t="s">
        <v>132</v>
      </c>
      <c r="DR167" s="317"/>
      <c r="DS167" s="254">
        <f>Konvention_1slave-KLslave</f>
        <v>12</v>
      </c>
      <c r="DT167" s="254"/>
      <c r="DU167" s="254">
        <f t="shared" si="1469"/>
        <v>11</v>
      </c>
      <c r="DV167" s="254"/>
      <c r="DW167" s="254"/>
      <c r="DX167" s="254"/>
      <c r="DY167" s="318">
        <f>Konvention_1slave-KKslave</f>
        <v>12</v>
      </c>
      <c r="DZ167" s="223">
        <f>(DR167+DS167+DT167+DU167+DV167+DW167+DX167+DY167)/3</f>
        <v>11.666666666666666</v>
      </c>
      <c r="EA167" s="223">
        <f>2*DZ167</f>
        <v>23.333333333333332</v>
      </c>
      <c r="EB167" s="224">
        <f>3*DZ167</f>
        <v>35</v>
      </c>
      <c r="EC167" s="237">
        <f t="shared" si="1354"/>
        <v>2432</v>
      </c>
      <c r="ED167" s="254">
        <f>DS167*DU167*KKslave+DS167*CHslave_CH*DY167+KLslave*DU167*DY167</f>
        <v>3408</v>
      </c>
      <c r="EE167" s="224">
        <f>IFERROR(DR167^SIGN(DR167),1)*IFERROR(DS167^SIGN(DS167),1)*IFERROR(DT167^SIGN(DT167),1)*IFERROR(DU167^SIGN(DU167),1)*IFERROR(DV167^SIGN(DV167),1)*IFERROR(DW167^SIGN(DW167),1)*IFERROR(DX167^SIGN(DX167),1)*IFERROR(DY167^SIGN(DY167),1)</f>
        <v>1584</v>
      </c>
      <c r="EF167" s="224">
        <f t="shared" si="1288"/>
        <v>7424</v>
      </c>
      <c r="EG167" s="222">
        <f>DZ167*EC167/EF167</f>
        <v>3.8218390804597702</v>
      </c>
      <c r="EH167" s="223">
        <f>EA167*ED167/EF167</f>
        <v>10.711206896551724</v>
      </c>
      <c r="EI167" s="243">
        <f>EB167*EE167/EF167</f>
        <v>7.4676724137931032</v>
      </c>
      <c r="EJ167" s="243">
        <f>SUM(EG167:EI167)</f>
        <v>22.000718390804597</v>
      </c>
      <c r="EK167" s="252">
        <f t="shared" si="1293"/>
        <v>0</v>
      </c>
      <c r="EL167" s="309">
        <f>EJ167-EK167</f>
        <v>22.000718390804597</v>
      </c>
      <c r="EM167" s="218">
        <f t="shared" si="1470"/>
        <v>154.01436781609189</v>
      </c>
      <c r="EN167" s="242">
        <f t="shared" si="1471"/>
        <v>2</v>
      </c>
      <c r="EO167" s="243">
        <f>IF((EM167-EN167)&gt;0,EM167-EN167,0)</f>
        <v>152.01436781609189</v>
      </c>
      <c r="EP167" s="218">
        <f>IF((EN167-EM167)&gt;0,EN167-EM167,0)</f>
        <v>0</v>
      </c>
      <c r="ER167" s="303" t="s">
        <v>385</v>
      </c>
      <c r="ES167" s="304" t="s">
        <v>438</v>
      </c>
      <c r="ET167" s="305" t="s">
        <v>132</v>
      </c>
      <c r="EU167" s="317"/>
      <c r="EV167" s="254">
        <f>Konvention_1slave-KLslave</f>
        <v>12</v>
      </c>
      <c r="EW167" s="254"/>
      <c r="EX167" s="254">
        <f t="shared" si="1472"/>
        <v>12</v>
      </c>
      <c r="EY167" s="254"/>
      <c r="EZ167" s="254"/>
      <c r="FA167" s="254"/>
      <c r="FB167" s="318">
        <f>Konvention_1slave-KKslave</f>
        <v>12</v>
      </c>
      <c r="FC167" s="223">
        <f>(EU167+EV167+EW167+EX167+EY167+EZ167+FA167+FB167)/3</f>
        <v>12</v>
      </c>
      <c r="FD167" s="223">
        <f>2*FC167</f>
        <v>24</v>
      </c>
      <c r="FE167" s="224">
        <f>3*FC167</f>
        <v>36</v>
      </c>
      <c r="FF167" s="237">
        <f t="shared" si="1355"/>
        <v>2304</v>
      </c>
      <c r="FG167" s="254">
        <f>EV167*EX167*KKslave+EV167*CHslave*FB167+KLslave*EX167*FB167</f>
        <v>3456</v>
      </c>
      <c r="FH167" s="224">
        <f>IFERROR(EU167^SIGN(EU167),1)*IFERROR(EV167^SIGN(EV167),1)*IFERROR(EW167^SIGN(EW167),1)*IFERROR(EX167^SIGN(EX167),1)*IFERROR(EY167^SIGN(EY167),1)*IFERROR(EZ167^SIGN(EZ167),1)*IFERROR(FA167^SIGN(FA167),1)*IFERROR(FB167^SIGN(FB167),1)</f>
        <v>1728</v>
      </c>
      <c r="FI167" s="224">
        <f t="shared" si="1299"/>
        <v>7488</v>
      </c>
      <c r="FJ167" s="222">
        <f>FC167*FF167/FI167</f>
        <v>3.6923076923076925</v>
      </c>
      <c r="FK167" s="223">
        <f>FD167*FG167/FI167</f>
        <v>11.076923076923077</v>
      </c>
      <c r="FL167" s="243">
        <f>FE167*FH167/FI167</f>
        <v>8.3076923076923084</v>
      </c>
      <c r="FM167" s="243">
        <f>SUM(FJ167:FL167)</f>
        <v>23.07692307692308</v>
      </c>
      <c r="FN167" s="252">
        <f t="shared" si="1304"/>
        <v>0</v>
      </c>
      <c r="FO167" s="309">
        <f>FM167-FN167</f>
        <v>23.07692307692308</v>
      </c>
      <c r="FP167" s="218">
        <f t="shared" si="1473"/>
        <v>175.5384615384616</v>
      </c>
      <c r="FQ167" s="242">
        <f t="shared" si="1474"/>
        <v>2</v>
      </c>
      <c r="FR167" s="243">
        <f>IF((FP167-FQ167)&gt;0,FP167-FQ167,0)</f>
        <v>173.5384615384616</v>
      </c>
      <c r="FS167" s="218">
        <f>IF((FQ167-FP167)&gt;0,FQ167-FP167,0)</f>
        <v>0</v>
      </c>
      <c r="FU167" s="303" t="s">
        <v>385</v>
      </c>
      <c r="FV167" s="304" t="s">
        <v>438</v>
      </c>
      <c r="FW167" s="305" t="s">
        <v>132</v>
      </c>
      <c r="FX167" s="317"/>
      <c r="FY167" s="254">
        <f>Konvention_1slave-KLslave</f>
        <v>12</v>
      </c>
      <c r="FZ167" s="254"/>
      <c r="GA167" s="254">
        <f t="shared" si="1475"/>
        <v>12</v>
      </c>
      <c r="GB167" s="254"/>
      <c r="GC167" s="254"/>
      <c r="GD167" s="254"/>
      <c r="GE167" s="318">
        <f>Konvention_1slave-KKslave</f>
        <v>12</v>
      </c>
      <c r="GF167" s="223">
        <f>(FX167+FY167+FZ167+GA167+GB167+GC167+GD167+GE167)/3</f>
        <v>12</v>
      </c>
      <c r="GG167" s="223">
        <f>2*GF167</f>
        <v>24</v>
      </c>
      <c r="GH167" s="224">
        <f>3*GF167</f>
        <v>36</v>
      </c>
      <c r="GI167" s="237">
        <f t="shared" si="1356"/>
        <v>2304</v>
      </c>
      <c r="GJ167" s="254">
        <f>FY167*GA167*KKslave+FY167*CHslave*GE167+KLslave*GA167*GE167</f>
        <v>3456</v>
      </c>
      <c r="GK167" s="224">
        <f>IFERROR(FX167^SIGN(FX167),1)*IFERROR(FY167^SIGN(FY167),1)*IFERROR(FZ167^SIGN(FZ167),1)*IFERROR(GA167^SIGN(GA167),1)*IFERROR(GB167^SIGN(GB167),1)*IFERROR(GC167^SIGN(GC167),1)*IFERROR(GD167^SIGN(GD167),1)*IFERROR(GE167^SIGN(GE167),1)</f>
        <v>1728</v>
      </c>
      <c r="GL167" s="224">
        <f t="shared" si="1310"/>
        <v>7488</v>
      </c>
      <c r="GM167" s="222">
        <f>GF167*GI167/GL167</f>
        <v>3.6923076923076925</v>
      </c>
      <c r="GN167" s="223">
        <f>GG167*GJ167/GL167</f>
        <v>11.076923076923077</v>
      </c>
      <c r="GO167" s="243">
        <f>GH167*GK167/GL167</f>
        <v>8.3076923076923084</v>
      </c>
      <c r="GP167" s="243">
        <f>SUM(GM167:GO167)</f>
        <v>23.07692307692308</v>
      </c>
      <c r="GQ167" s="252">
        <f t="shared" si="1315"/>
        <v>0</v>
      </c>
      <c r="GR167" s="309">
        <f>GP167-GQ167</f>
        <v>23.07692307692308</v>
      </c>
      <c r="GS167" s="218">
        <f t="shared" si="1476"/>
        <v>175.5384615384616</v>
      </c>
      <c r="GT167" s="242">
        <f t="shared" si="1477"/>
        <v>2</v>
      </c>
      <c r="GU167" s="243">
        <f>IF((GS167-GT167)&gt;0,GS167-GT167,0)</f>
        <v>173.5384615384616</v>
      </c>
      <c r="GV167" s="218">
        <f>IF((GT167-GS167)&gt;0,GT167-GS167,0)</f>
        <v>0</v>
      </c>
      <c r="GX167" s="303" t="s">
        <v>385</v>
      </c>
      <c r="GY167" s="304" t="s">
        <v>438</v>
      </c>
      <c r="GZ167" s="305" t="s">
        <v>132</v>
      </c>
      <c r="HA167" s="317"/>
      <c r="HB167" s="254">
        <f>Konvention_1slave-KLslave</f>
        <v>12</v>
      </c>
      <c r="HC167" s="254"/>
      <c r="HD167" s="254">
        <f t="shared" si="1478"/>
        <v>12</v>
      </c>
      <c r="HE167" s="254"/>
      <c r="HF167" s="254"/>
      <c r="HG167" s="254"/>
      <c r="HH167" s="318">
        <f>Konvention_1slave-KKslave</f>
        <v>12</v>
      </c>
      <c r="HI167" s="223">
        <f>(HA167+HB167+HC167+HD167+HE167+HF167+HG167+HH167)/3</f>
        <v>12</v>
      </c>
      <c r="HJ167" s="223">
        <f>2*HI167</f>
        <v>24</v>
      </c>
      <c r="HK167" s="224">
        <f>3*HI167</f>
        <v>36</v>
      </c>
      <c r="HL167" s="237">
        <f t="shared" si="1357"/>
        <v>2304</v>
      </c>
      <c r="HM167" s="254">
        <f>HB167*HD167*KKslave+HB167*CHslave*HH167+KLslave*HD167*HH167</f>
        <v>3456</v>
      </c>
      <c r="HN167" s="224">
        <f>IFERROR(HA167^SIGN(HA167),1)*IFERROR(HB167^SIGN(HB167),1)*IFERROR(HC167^SIGN(HC167),1)*IFERROR(HD167^SIGN(HD167),1)*IFERROR(HE167^SIGN(HE167),1)*IFERROR(HF167^SIGN(HF167),1)*IFERROR(HG167^SIGN(HG167),1)*IFERROR(HH167^SIGN(HH167),1)</f>
        <v>1728</v>
      </c>
      <c r="HO167" s="224">
        <f t="shared" si="1321"/>
        <v>7488</v>
      </c>
      <c r="HP167" s="222">
        <f>HI167*HL167/HO167</f>
        <v>3.6923076923076925</v>
      </c>
      <c r="HQ167" s="223">
        <f>HJ167*HM167/HO167</f>
        <v>11.076923076923077</v>
      </c>
      <c r="HR167" s="243">
        <f>HK167*HN167/HO167</f>
        <v>8.3076923076923084</v>
      </c>
      <c r="HS167" s="243">
        <f>SUM(HP167:HR167)</f>
        <v>23.07692307692308</v>
      </c>
      <c r="HT167" s="252">
        <f t="shared" si="1326"/>
        <v>0</v>
      </c>
      <c r="HU167" s="309">
        <f>HS167-HT167</f>
        <v>23.07692307692308</v>
      </c>
      <c r="HV167" s="218">
        <f t="shared" si="1479"/>
        <v>175.5384615384616</v>
      </c>
      <c r="HW167" s="242">
        <f t="shared" si="1480"/>
        <v>2</v>
      </c>
      <c r="HX167" s="243">
        <f>IF((HV167-HW167)&gt;0,HV167-HW167,0)</f>
        <v>173.5384615384616</v>
      </c>
      <c r="HY167" s="218">
        <f>IF((HW167-HV167)&gt;0,HW167-HV167,0)</f>
        <v>0</v>
      </c>
      <c r="IA167" s="303" t="s">
        <v>385</v>
      </c>
      <c r="IB167" s="304" t="s">
        <v>438</v>
      </c>
      <c r="IC167" s="305" t="s">
        <v>132</v>
      </c>
      <c r="ID167" s="317"/>
      <c r="IE167" s="254">
        <f>Konvention_1slave-KLslave</f>
        <v>12</v>
      </c>
      <c r="IF167" s="254"/>
      <c r="IG167" s="254">
        <f t="shared" si="1481"/>
        <v>12</v>
      </c>
      <c r="IH167" s="254"/>
      <c r="II167" s="254"/>
      <c r="IJ167" s="254"/>
      <c r="IK167" s="318">
        <f>Konvention_1slave-KKslave_KK</f>
        <v>11</v>
      </c>
      <c r="IL167" s="223">
        <f>(ID167+IE167+IF167+IG167+IH167+II167+IJ167+IK167)/3</f>
        <v>11.666666666666666</v>
      </c>
      <c r="IM167" s="223">
        <f>2*IL167</f>
        <v>23.333333333333332</v>
      </c>
      <c r="IN167" s="224">
        <f>3*IL167</f>
        <v>35</v>
      </c>
      <c r="IO167" s="237">
        <f t="shared" si="1358"/>
        <v>2432</v>
      </c>
      <c r="IP167" s="254">
        <f>IE167*IG167*KKslave_KK+IE167*CHslave*IK167+KLslave*IG167*IK167</f>
        <v>3408</v>
      </c>
      <c r="IQ167" s="224">
        <f>IFERROR(ID167^SIGN(ID167),1)*IFERROR(IE167^SIGN(IE167),1)*IFERROR(IF167^SIGN(IF167),1)*IFERROR(IG167^SIGN(IG167),1)*IFERROR(IH167^SIGN(IH167),1)*IFERROR(II167^SIGN(II167),1)*IFERROR(IJ167^SIGN(IJ167),1)*IFERROR(IK167^SIGN(IK167),1)</f>
        <v>1584</v>
      </c>
      <c r="IR167" s="224">
        <f t="shared" si="1332"/>
        <v>7424</v>
      </c>
      <c r="IS167" s="222">
        <f>IL167*IO167/IR167</f>
        <v>3.8218390804597702</v>
      </c>
      <c r="IT167" s="223">
        <f>IM167*IP167/IR167</f>
        <v>10.711206896551724</v>
      </c>
      <c r="IU167" s="243">
        <f>IN167*IQ167/IR167</f>
        <v>7.4676724137931032</v>
      </c>
      <c r="IV167" s="243">
        <f>SUM(IS167:IU167)</f>
        <v>22.000718390804597</v>
      </c>
      <c r="IW167" s="252">
        <f t="shared" si="1337"/>
        <v>0</v>
      </c>
      <c r="IX167" s="309">
        <f>IV167-IW167</f>
        <v>22.000718390804597</v>
      </c>
      <c r="IY167" s="218">
        <f t="shared" si="1482"/>
        <v>154.01436781609189</v>
      </c>
      <c r="IZ167" s="242">
        <f t="shared" si="1483"/>
        <v>2</v>
      </c>
      <c r="JA167" s="243">
        <f>IF((IY167-IZ167)&gt;0,IY167-IZ167,0)</f>
        <v>152.01436781609189</v>
      </c>
      <c r="JB167" s="218">
        <f>IF((IZ167-IY167)&gt;0,IZ167-IY167,0)</f>
        <v>0</v>
      </c>
      <c r="JE167" s="148"/>
    </row>
    <row r="168" spans="2:265" ht="15" hidden="1" customHeight="1" outlineLevel="2">
      <c r="B168" s="148">
        <v>16</v>
      </c>
      <c r="C168" s="303" t="e">
        <f>VLOOKUP(AF168,Attribute!C:T,1,FALSE)</f>
        <v>#N/A</v>
      </c>
      <c r="D168" s="86" t="s">
        <v>87</v>
      </c>
      <c r="E168" s="167" t="s">
        <v>132</v>
      </c>
      <c r="F168" s="120"/>
      <c r="G168" s="117">
        <f>Konvention_1master-KLmaster</f>
        <v>12</v>
      </c>
      <c r="H168" s="117">
        <f>Konvention_1master-INmaster</f>
        <v>12</v>
      </c>
      <c r="I168" s="117">
        <f t="shared" si="1458"/>
        <v>12</v>
      </c>
      <c r="J168" s="117"/>
      <c r="K168" s="117"/>
      <c r="L168" s="117"/>
      <c r="M168" s="121"/>
      <c r="N168" s="223">
        <f t="shared" si="1359"/>
        <v>12</v>
      </c>
      <c r="O168" s="223">
        <f t="shared" si="1360"/>
        <v>24</v>
      </c>
      <c r="P168" s="224">
        <f t="shared" si="1361"/>
        <v>36</v>
      </c>
      <c r="Q168" s="237">
        <f t="shared" si="1350"/>
        <v>2304</v>
      </c>
      <c r="R168" s="117">
        <f>G168*H168*CHmaster+G168*INmaster*I168+KLmaster*H168*I168</f>
        <v>3456</v>
      </c>
      <c r="S168" s="224">
        <f t="shared" si="1362"/>
        <v>1728</v>
      </c>
      <c r="T168" s="224">
        <f t="shared" si="1245"/>
        <v>7488</v>
      </c>
      <c r="U168" s="222">
        <f t="shared" si="1363"/>
        <v>3.6923076923076925</v>
      </c>
      <c r="V168" s="223">
        <f t="shared" si="1364"/>
        <v>11.076923076923077</v>
      </c>
      <c r="W168" s="243">
        <f t="shared" si="1365"/>
        <v>8.3076923076923084</v>
      </c>
      <c r="X168" s="243">
        <f t="shared" si="1366"/>
        <v>23.07692307692308</v>
      </c>
      <c r="Y168" s="252">
        <v>0</v>
      </c>
      <c r="Z168" s="198">
        <f t="shared" si="1367"/>
        <v>23.07692307692308</v>
      </c>
      <c r="AA168" s="125">
        <f t="shared" si="1459"/>
        <v>175.5384615384616</v>
      </c>
      <c r="AB168" s="160">
        <f t="shared" si="1460"/>
        <v>2</v>
      </c>
      <c r="AC168" s="127">
        <f t="shared" si="1368"/>
        <v>173.5384615384616</v>
      </c>
      <c r="AD168" s="125">
        <f t="shared" si="1369"/>
        <v>0</v>
      </c>
      <c r="AF168" s="163" t="s">
        <v>285</v>
      </c>
      <c r="AG168" s="86" t="s">
        <v>87</v>
      </c>
      <c r="AH168" s="167" t="s">
        <v>132</v>
      </c>
      <c r="AI168" s="120"/>
      <c r="AJ168" s="117">
        <f>Konvention_1slave-KLslave</f>
        <v>12</v>
      </c>
      <c r="AK168" s="117">
        <f>Konvention_1slave-INslave</f>
        <v>12</v>
      </c>
      <c r="AL168" s="117">
        <f t="shared" si="1484"/>
        <v>12</v>
      </c>
      <c r="AM168" s="117"/>
      <c r="AN168" s="117"/>
      <c r="AO168" s="117"/>
      <c r="AP168" s="121"/>
      <c r="AQ168" s="47">
        <f t="shared" si="1370"/>
        <v>12</v>
      </c>
      <c r="AR168" s="3">
        <f t="shared" si="1371"/>
        <v>24</v>
      </c>
      <c r="AS168" s="174">
        <f t="shared" si="1372"/>
        <v>36</v>
      </c>
      <c r="AT168" s="114">
        <f t="shared" si="1351"/>
        <v>2304</v>
      </c>
      <c r="AU168" s="117">
        <f>AJ168*AK168*CHslave+AJ168*INslave*AL168+KLslave*AK168*AL168</f>
        <v>3456</v>
      </c>
      <c r="AV168" s="119">
        <f t="shared" si="1373"/>
        <v>1728</v>
      </c>
      <c r="AW168" s="119">
        <f t="shared" si="1255"/>
        <v>7488</v>
      </c>
      <c r="AX168" s="89">
        <f t="shared" si="1374"/>
        <v>3.6923076923076925</v>
      </c>
      <c r="AY168" s="47">
        <f t="shared" si="1375"/>
        <v>11.076923076923077</v>
      </c>
      <c r="AZ168" s="127">
        <f t="shared" si="1376"/>
        <v>8.3076923076923084</v>
      </c>
      <c r="BA168" s="127">
        <f t="shared" si="1377"/>
        <v>23.07692307692308</v>
      </c>
      <c r="BB168" s="165">
        <f t="shared" si="1260"/>
        <v>0</v>
      </c>
      <c r="BC168" s="198">
        <f t="shared" si="1378"/>
        <v>23.07692307692308</v>
      </c>
      <c r="BD168" s="125">
        <f t="shared" si="1461"/>
        <v>175.5384615384616</v>
      </c>
      <c r="BE168" s="160">
        <f t="shared" si="1462"/>
        <v>2</v>
      </c>
      <c r="BF168" s="243">
        <f t="shared" si="1379"/>
        <v>173.5384615384616</v>
      </c>
      <c r="BG168" s="218">
        <f t="shared" si="1380"/>
        <v>0</v>
      </c>
      <c r="BI168" s="303" t="s">
        <v>285</v>
      </c>
      <c r="BJ168" s="304" t="s">
        <v>87</v>
      </c>
      <c r="BK168" s="305" t="s">
        <v>132</v>
      </c>
      <c r="BL168" s="317"/>
      <c r="BM168" s="254">
        <f>Konvention_1slave-KLslave_KL</f>
        <v>11</v>
      </c>
      <c r="BN168" s="254">
        <f>Konvention_1slave-INslave</f>
        <v>12</v>
      </c>
      <c r="BO168" s="254">
        <f t="shared" si="1463"/>
        <v>12</v>
      </c>
      <c r="BP168" s="254"/>
      <c r="BQ168" s="254"/>
      <c r="BR168" s="254"/>
      <c r="BS168" s="318"/>
      <c r="BT168" s="223">
        <f t="shared" si="1381"/>
        <v>11.666666666666666</v>
      </c>
      <c r="BU168" s="223">
        <f t="shared" si="1382"/>
        <v>23.333333333333332</v>
      </c>
      <c r="BV168" s="224">
        <f t="shared" si="1383"/>
        <v>35</v>
      </c>
      <c r="BW168" s="237">
        <f t="shared" si="1352"/>
        <v>2432</v>
      </c>
      <c r="BX168" s="254">
        <f>BM168*BN168*CHslave+BM168*INslave*BO168+KLslave_KL*BN168*BO168</f>
        <v>3408</v>
      </c>
      <c r="BY168" s="224">
        <f t="shared" si="1384"/>
        <v>1584</v>
      </c>
      <c r="BZ168" s="224">
        <f t="shared" si="1266"/>
        <v>7424</v>
      </c>
      <c r="CA168" s="222">
        <f t="shared" si="1385"/>
        <v>3.8218390804597702</v>
      </c>
      <c r="CB168" s="223">
        <f t="shared" si="1386"/>
        <v>10.711206896551724</v>
      </c>
      <c r="CC168" s="243">
        <f t="shared" si="1387"/>
        <v>7.4676724137931032</v>
      </c>
      <c r="CD168" s="243">
        <f t="shared" si="1388"/>
        <v>22.000718390804597</v>
      </c>
      <c r="CE168" s="252">
        <f t="shared" si="1271"/>
        <v>0</v>
      </c>
      <c r="CF168" s="309">
        <f t="shared" si="1389"/>
        <v>22.000718390804597</v>
      </c>
      <c r="CG168" s="218">
        <f t="shared" si="1464"/>
        <v>154.01436781609189</v>
      </c>
      <c r="CH168" s="242">
        <f t="shared" si="1465"/>
        <v>2</v>
      </c>
      <c r="CI168" s="243">
        <f t="shared" si="1390"/>
        <v>152.01436781609189</v>
      </c>
      <c r="CJ168" s="218">
        <f t="shared" si="1391"/>
        <v>0</v>
      </c>
      <c r="CL168" s="303" t="s">
        <v>285</v>
      </c>
      <c r="CM168" s="304" t="s">
        <v>87</v>
      </c>
      <c r="CN168" s="305" t="s">
        <v>132</v>
      </c>
      <c r="CO168" s="317"/>
      <c r="CP168" s="254">
        <f>Konvention_1slave-KLslave</f>
        <v>12</v>
      </c>
      <c r="CQ168" s="254">
        <f>Konvention_1slave-INslave_IN</f>
        <v>11</v>
      </c>
      <c r="CR168" s="254">
        <f t="shared" si="1466"/>
        <v>12</v>
      </c>
      <c r="CS168" s="254"/>
      <c r="CT168" s="254"/>
      <c r="CU168" s="254"/>
      <c r="CV168" s="318"/>
      <c r="CW168" s="223">
        <f t="shared" si="1392"/>
        <v>11.666666666666666</v>
      </c>
      <c r="CX168" s="223">
        <f t="shared" si="1393"/>
        <v>23.333333333333332</v>
      </c>
      <c r="CY168" s="224">
        <f t="shared" si="1394"/>
        <v>35</v>
      </c>
      <c r="CZ168" s="237">
        <f t="shared" si="1353"/>
        <v>2432</v>
      </c>
      <c r="DA168" s="254">
        <f>CP168*CQ168*CHslave+CP168*INslave_IN*CR168+KLslave*CQ168*CR168</f>
        <v>3408</v>
      </c>
      <c r="DB168" s="224">
        <f t="shared" si="1395"/>
        <v>1584</v>
      </c>
      <c r="DC168" s="224">
        <f t="shared" si="1277"/>
        <v>7424</v>
      </c>
      <c r="DD168" s="222">
        <f t="shared" si="1396"/>
        <v>3.8218390804597702</v>
      </c>
      <c r="DE168" s="223">
        <f t="shared" si="1397"/>
        <v>10.711206896551724</v>
      </c>
      <c r="DF168" s="243">
        <f t="shared" si="1398"/>
        <v>7.4676724137931032</v>
      </c>
      <c r="DG168" s="243">
        <f t="shared" si="1399"/>
        <v>22.000718390804597</v>
      </c>
      <c r="DH168" s="252">
        <f t="shared" si="1282"/>
        <v>0</v>
      </c>
      <c r="DI168" s="309">
        <f t="shared" si="1400"/>
        <v>22.000718390804597</v>
      </c>
      <c r="DJ168" s="218">
        <f t="shared" si="1467"/>
        <v>154.01436781609189</v>
      </c>
      <c r="DK168" s="242">
        <f t="shared" si="1468"/>
        <v>2</v>
      </c>
      <c r="DL168" s="243">
        <f t="shared" si="1401"/>
        <v>152.01436781609189</v>
      </c>
      <c r="DM168" s="218">
        <f t="shared" si="1402"/>
        <v>0</v>
      </c>
      <c r="DO168" s="303" t="s">
        <v>285</v>
      </c>
      <c r="DP168" s="304" t="s">
        <v>87</v>
      </c>
      <c r="DQ168" s="305" t="s">
        <v>132</v>
      </c>
      <c r="DR168" s="317"/>
      <c r="DS168" s="254">
        <f>Konvention_1slave-KLslave</f>
        <v>12</v>
      </c>
      <c r="DT168" s="254">
        <f>Konvention_1slave-INslave</f>
        <v>12</v>
      </c>
      <c r="DU168" s="254">
        <f t="shared" si="1469"/>
        <v>11</v>
      </c>
      <c r="DV168" s="254"/>
      <c r="DW168" s="254"/>
      <c r="DX168" s="254"/>
      <c r="DY168" s="318"/>
      <c r="DZ168" s="223">
        <f t="shared" si="1403"/>
        <v>11.666666666666666</v>
      </c>
      <c r="EA168" s="223">
        <f t="shared" si="1404"/>
        <v>23.333333333333332</v>
      </c>
      <c r="EB168" s="224">
        <f t="shared" si="1405"/>
        <v>35</v>
      </c>
      <c r="EC168" s="237">
        <f t="shared" si="1354"/>
        <v>2432</v>
      </c>
      <c r="ED168" s="254">
        <f>DS168*DT168*CHslave_CH+DS168*INslave*DU168+KLslave*DT168*DU168</f>
        <v>3408</v>
      </c>
      <c r="EE168" s="224">
        <f t="shared" si="1406"/>
        <v>1584</v>
      </c>
      <c r="EF168" s="224">
        <f t="shared" si="1288"/>
        <v>7424</v>
      </c>
      <c r="EG168" s="222">
        <f t="shared" si="1407"/>
        <v>3.8218390804597702</v>
      </c>
      <c r="EH168" s="223">
        <f t="shared" si="1408"/>
        <v>10.711206896551724</v>
      </c>
      <c r="EI168" s="243">
        <f t="shared" si="1409"/>
        <v>7.4676724137931032</v>
      </c>
      <c r="EJ168" s="243">
        <f t="shared" si="1410"/>
        <v>22.000718390804597</v>
      </c>
      <c r="EK168" s="252">
        <f t="shared" si="1293"/>
        <v>0</v>
      </c>
      <c r="EL168" s="309">
        <f t="shared" si="1411"/>
        <v>22.000718390804597</v>
      </c>
      <c r="EM168" s="218">
        <f t="shared" si="1470"/>
        <v>154.01436781609189</v>
      </c>
      <c r="EN168" s="242">
        <f t="shared" si="1471"/>
        <v>2</v>
      </c>
      <c r="EO168" s="243">
        <f t="shared" si="1412"/>
        <v>152.01436781609189</v>
      </c>
      <c r="EP168" s="218">
        <f t="shared" si="1413"/>
        <v>0</v>
      </c>
      <c r="ER168" s="303" t="s">
        <v>285</v>
      </c>
      <c r="ES168" s="304" t="s">
        <v>87</v>
      </c>
      <c r="ET168" s="305" t="s">
        <v>132</v>
      </c>
      <c r="EU168" s="317"/>
      <c r="EV168" s="254">
        <f>Konvention_1slave-KLslave</f>
        <v>12</v>
      </c>
      <c r="EW168" s="254">
        <f>Konvention_1slave-INslave</f>
        <v>12</v>
      </c>
      <c r="EX168" s="254">
        <f t="shared" si="1472"/>
        <v>12</v>
      </c>
      <c r="EY168" s="254"/>
      <c r="EZ168" s="254"/>
      <c r="FA168" s="254"/>
      <c r="FB168" s="318"/>
      <c r="FC168" s="223">
        <f t="shared" si="1414"/>
        <v>12</v>
      </c>
      <c r="FD168" s="223">
        <f t="shared" si="1415"/>
        <v>24</v>
      </c>
      <c r="FE168" s="224">
        <f t="shared" si="1416"/>
        <v>36</v>
      </c>
      <c r="FF168" s="237">
        <f t="shared" si="1355"/>
        <v>2304</v>
      </c>
      <c r="FG168" s="254">
        <f>EV168*EW168*CHslave+EV168*INslave*EX168+KLslave*EW168*EX168</f>
        <v>3456</v>
      </c>
      <c r="FH168" s="224">
        <f t="shared" si="1417"/>
        <v>1728</v>
      </c>
      <c r="FI168" s="224">
        <f t="shared" si="1299"/>
        <v>7488</v>
      </c>
      <c r="FJ168" s="222">
        <f t="shared" si="1418"/>
        <v>3.6923076923076925</v>
      </c>
      <c r="FK168" s="223">
        <f t="shared" si="1419"/>
        <v>11.076923076923077</v>
      </c>
      <c r="FL168" s="243">
        <f t="shared" si="1420"/>
        <v>8.3076923076923084</v>
      </c>
      <c r="FM168" s="243">
        <f t="shared" si="1421"/>
        <v>23.07692307692308</v>
      </c>
      <c r="FN168" s="252">
        <f t="shared" si="1304"/>
        <v>0</v>
      </c>
      <c r="FO168" s="309">
        <f t="shared" si="1422"/>
        <v>23.07692307692308</v>
      </c>
      <c r="FP168" s="218">
        <f t="shared" si="1473"/>
        <v>175.5384615384616</v>
      </c>
      <c r="FQ168" s="242">
        <f t="shared" si="1474"/>
        <v>2</v>
      </c>
      <c r="FR168" s="243">
        <f t="shared" si="1423"/>
        <v>173.5384615384616</v>
      </c>
      <c r="FS168" s="218">
        <f t="shared" si="1424"/>
        <v>0</v>
      </c>
      <c r="FU168" s="303" t="s">
        <v>285</v>
      </c>
      <c r="FV168" s="304" t="s">
        <v>87</v>
      </c>
      <c r="FW168" s="305" t="s">
        <v>132</v>
      </c>
      <c r="FX168" s="317"/>
      <c r="FY168" s="254">
        <f>Konvention_1slave-KLslave</f>
        <v>12</v>
      </c>
      <c r="FZ168" s="254">
        <f>Konvention_1slave-INslave</f>
        <v>12</v>
      </c>
      <c r="GA168" s="254">
        <f t="shared" si="1475"/>
        <v>12</v>
      </c>
      <c r="GB168" s="254"/>
      <c r="GC168" s="254"/>
      <c r="GD168" s="254"/>
      <c r="GE168" s="318"/>
      <c r="GF168" s="223">
        <f t="shared" si="1425"/>
        <v>12</v>
      </c>
      <c r="GG168" s="223">
        <f t="shared" si="1426"/>
        <v>24</v>
      </c>
      <c r="GH168" s="224">
        <f t="shared" si="1427"/>
        <v>36</v>
      </c>
      <c r="GI168" s="237">
        <f t="shared" si="1356"/>
        <v>2304</v>
      </c>
      <c r="GJ168" s="254">
        <f>FY168*FZ168*CHslave+FY168*INslave*GA168+KLslave*FZ168*GA168</f>
        <v>3456</v>
      </c>
      <c r="GK168" s="224">
        <f t="shared" si="1428"/>
        <v>1728</v>
      </c>
      <c r="GL168" s="224">
        <f t="shared" si="1310"/>
        <v>7488</v>
      </c>
      <c r="GM168" s="222">
        <f t="shared" si="1429"/>
        <v>3.6923076923076925</v>
      </c>
      <c r="GN168" s="223">
        <f t="shared" si="1430"/>
        <v>11.076923076923077</v>
      </c>
      <c r="GO168" s="243">
        <f t="shared" si="1431"/>
        <v>8.3076923076923084</v>
      </c>
      <c r="GP168" s="243">
        <f t="shared" si="1432"/>
        <v>23.07692307692308</v>
      </c>
      <c r="GQ168" s="252">
        <f t="shared" si="1315"/>
        <v>0</v>
      </c>
      <c r="GR168" s="309">
        <f t="shared" si="1433"/>
        <v>23.07692307692308</v>
      </c>
      <c r="GS168" s="218">
        <f t="shared" si="1476"/>
        <v>175.5384615384616</v>
      </c>
      <c r="GT168" s="242">
        <f t="shared" si="1477"/>
        <v>2</v>
      </c>
      <c r="GU168" s="243">
        <f t="shared" si="1434"/>
        <v>173.5384615384616</v>
      </c>
      <c r="GV168" s="218">
        <f t="shared" si="1435"/>
        <v>0</v>
      </c>
      <c r="GX168" s="303" t="s">
        <v>285</v>
      </c>
      <c r="GY168" s="304" t="s">
        <v>87</v>
      </c>
      <c r="GZ168" s="305" t="s">
        <v>132</v>
      </c>
      <c r="HA168" s="317"/>
      <c r="HB168" s="254">
        <f>Konvention_1slave-KLslave</f>
        <v>12</v>
      </c>
      <c r="HC168" s="254">
        <f>Konvention_1slave-INslave</f>
        <v>12</v>
      </c>
      <c r="HD168" s="254">
        <f t="shared" si="1478"/>
        <v>12</v>
      </c>
      <c r="HE168" s="254"/>
      <c r="HF168" s="254"/>
      <c r="HG168" s="254"/>
      <c r="HH168" s="318"/>
      <c r="HI168" s="223">
        <f t="shared" si="1436"/>
        <v>12</v>
      </c>
      <c r="HJ168" s="223">
        <f t="shared" si="1437"/>
        <v>24</v>
      </c>
      <c r="HK168" s="224">
        <f t="shared" si="1438"/>
        <v>36</v>
      </c>
      <c r="HL168" s="237">
        <f t="shared" si="1357"/>
        <v>2304</v>
      </c>
      <c r="HM168" s="254">
        <f>HB168*HC168*CHslave+HB168*INslave*HD168+KLslave*HC168*HD168</f>
        <v>3456</v>
      </c>
      <c r="HN168" s="224">
        <f t="shared" si="1439"/>
        <v>1728</v>
      </c>
      <c r="HO168" s="224">
        <f t="shared" si="1321"/>
        <v>7488</v>
      </c>
      <c r="HP168" s="222">
        <f t="shared" si="1440"/>
        <v>3.6923076923076925</v>
      </c>
      <c r="HQ168" s="223">
        <f t="shared" si="1441"/>
        <v>11.076923076923077</v>
      </c>
      <c r="HR168" s="243">
        <f t="shared" si="1442"/>
        <v>8.3076923076923084</v>
      </c>
      <c r="HS168" s="243">
        <f t="shared" si="1443"/>
        <v>23.07692307692308</v>
      </c>
      <c r="HT168" s="252">
        <f t="shared" si="1326"/>
        <v>0</v>
      </c>
      <c r="HU168" s="309">
        <f t="shared" si="1444"/>
        <v>23.07692307692308</v>
      </c>
      <c r="HV168" s="218">
        <f t="shared" si="1479"/>
        <v>175.5384615384616</v>
      </c>
      <c r="HW168" s="242">
        <f t="shared" si="1480"/>
        <v>2</v>
      </c>
      <c r="HX168" s="243">
        <f t="shared" si="1445"/>
        <v>173.5384615384616</v>
      </c>
      <c r="HY168" s="218">
        <f t="shared" si="1446"/>
        <v>0</v>
      </c>
      <c r="IA168" s="303" t="s">
        <v>285</v>
      </c>
      <c r="IB168" s="304" t="s">
        <v>87</v>
      </c>
      <c r="IC168" s="305" t="s">
        <v>132</v>
      </c>
      <c r="ID168" s="317"/>
      <c r="IE168" s="254">
        <f>Konvention_1slave-KLslave</f>
        <v>12</v>
      </c>
      <c r="IF168" s="254">
        <f>Konvention_1slave-INslave</f>
        <v>12</v>
      </c>
      <c r="IG168" s="254">
        <f t="shared" si="1481"/>
        <v>12</v>
      </c>
      <c r="IH168" s="254"/>
      <c r="II168" s="254"/>
      <c r="IJ168" s="254"/>
      <c r="IK168" s="318"/>
      <c r="IL168" s="223">
        <f t="shared" si="1447"/>
        <v>12</v>
      </c>
      <c r="IM168" s="223">
        <f t="shared" si="1448"/>
        <v>24</v>
      </c>
      <c r="IN168" s="224">
        <f t="shared" si="1449"/>
        <v>36</v>
      </c>
      <c r="IO168" s="237">
        <f t="shared" si="1358"/>
        <v>2304</v>
      </c>
      <c r="IP168" s="254">
        <f>IE168*IF168*CHslave+IE168*INslave*IG168+KLslave*IF168*IG168</f>
        <v>3456</v>
      </c>
      <c r="IQ168" s="224">
        <f t="shared" si="1450"/>
        <v>1728</v>
      </c>
      <c r="IR168" s="224">
        <f t="shared" si="1332"/>
        <v>7488</v>
      </c>
      <c r="IS168" s="222">
        <f t="shared" si="1451"/>
        <v>3.6923076923076925</v>
      </c>
      <c r="IT168" s="223">
        <f t="shared" si="1452"/>
        <v>11.076923076923077</v>
      </c>
      <c r="IU168" s="243">
        <f t="shared" si="1453"/>
        <v>8.3076923076923084</v>
      </c>
      <c r="IV168" s="243">
        <f t="shared" si="1454"/>
        <v>23.07692307692308</v>
      </c>
      <c r="IW168" s="252">
        <f t="shared" si="1337"/>
        <v>0</v>
      </c>
      <c r="IX168" s="309">
        <f t="shared" si="1455"/>
        <v>23.07692307692308</v>
      </c>
      <c r="IY168" s="218">
        <f t="shared" si="1482"/>
        <v>175.5384615384616</v>
      </c>
      <c r="IZ168" s="242">
        <f t="shared" si="1483"/>
        <v>2</v>
      </c>
      <c r="JA168" s="243">
        <f t="shared" si="1456"/>
        <v>173.5384615384616</v>
      </c>
      <c r="JB168" s="218">
        <f t="shared" si="1457"/>
        <v>0</v>
      </c>
      <c r="JE168" s="148"/>
    </row>
    <row r="169" spans="2:265" ht="15" hidden="1" customHeight="1" outlineLevel="2">
      <c r="B169" s="148">
        <v>17</v>
      </c>
      <c r="C169" s="303" t="e">
        <f>VLOOKUP(AF169,Attribute!C:T,1,FALSE)</f>
        <v>#N/A</v>
      </c>
      <c r="D169" s="86" t="s">
        <v>87</v>
      </c>
      <c r="E169" s="167" t="s">
        <v>135</v>
      </c>
      <c r="F169" s="120"/>
      <c r="G169" s="117">
        <f>Konvention_1master-KLmaster</f>
        <v>12</v>
      </c>
      <c r="H169" s="117">
        <f>Konvention_1master-INmaster</f>
        <v>12</v>
      </c>
      <c r="I169" s="117">
        <f t="shared" si="1458"/>
        <v>12</v>
      </c>
      <c r="J169" s="117"/>
      <c r="K169" s="117"/>
      <c r="L169" s="117"/>
      <c r="M169" s="121"/>
      <c r="N169" s="223">
        <f t="shared" si="1359"/>
        <v>12</v>
      </c>
      <c r="O169" s="223">
        <f t="shared" si="1360"/>
        <v>24</v>
      </c>
      <c r="P169" s="224">
        <f t="shared" si="1361"/>
        <v>36</v>
      </c>
      <c r="Q169" s="237">
        <f t="shared" si="1350"/>
        <v>2304</v>
      </c>
      <c r="R169" s="117">
        <f>G169*H169*CHmaster+G169*INmaster*I169+KLmaster*H169*I169</f>
        <v>3456</v>
      </c>
      <c r="S169" s="224">
        <f t="shared" si="1362"/>
        <v>1728</v>
      </c>
      <c r="T169" s="224">
        <f t="shared" ref="T169:T182" si="1485">SUM(Q169:S169)</f>
        <v>7488</v>
      </c>
      <c r="U169" s="222">
        <f t="shared" si="1363"/>
        <v>3.6923076923076925</v>
      </c>
      <c r="V169" s="223">
        <f t="shared" si="1364"/>
        <v>11.076923076923077</v>
      </c>
      <c r="W169" s="243">
        <f t="shared" si="1365"/>
        <v>8.3076923076923084</v>
      </c>
      <c r="X169" s="243">
        <f t="shared" si="1366"/>
        <v>23.07692307692308</v>
      </c>
      <c r="Y169" s="252">
        <v>0</v>
      </c>
      <c r="Z169" s="198">
        <f t="shared" si="1367"/>
        <v>23.07692307692308</v>
      </c>
      <c r="AA169" s="125">
        <f t="shared" ref="AA169:AB174" si="1486">IF(X169&lt;=0,3,0)+IF(X169&gt;0,X169+1,0)*3+IF(X169&gt;12,X169-12,0)*3+IF(X169&gt;13,X169-13,0)*3+IF(X169&gt;14,X169-14,0)*3+IF(X169&gt;15,X169-15,0)*3+IF(X169&gt;16,X169-16,0)*3+IF(X169&gt;17,X169-17,0)*3+IF(X169&gt;18,X169-18,0)*3+IF(X169&gt;19,X169-19,0)*3+IF(X169&gt;20,X169-20,0)*3</f>
        <v>263.30769230769232</v>
      </c>
      <c r="AB169" s="160">
        <f t="shared" si="1486"/>
        <v>3</v>
      </c>
      <c r="AC169" s="127">
        <f t="shared" si="1368"/>
        <v>260.30769230769232</v>
      </c>
      <c r="AD169" s="125">
        <f t="shared" si="1369"/>
        <v>0</v>
      </c>
      <c r="AF169" s="163" t="s">
        <v>191</v>
      </c>
      <c r="AG169" s="86" t="s">
        <v>87</v>
      </c>
      <c r="AH169" s="167" t="s">
        <v>135</v>
      </c>
      <c r="AI169" s="120"/>
      <c r="AJ169" s="117">
        <f>Konvention_1slave-KLslave</f>
        <v>12</v>
      </c>
      <c r="AK169" s="117">
        <f>Konvention_1slave-INslave</f>
        <v>12</v>
      </c>
      <c r="AL169" s="117">
        <f t="shared" si="1484"/>
        <v>12</v>
      </c>
      <c r="AM169" s="117"/>
      <c r="AN169" s="117"/>
      <c r="AO169" s="117"/>
      <c r="AP169" s="121"/>
      <c r="AQ169" s="47">
        <f t="shared" si="1370"/>
        <v>12</v>
      </c>
      <c r="AR169" s="3">
        <f t="shared" si="1371"/>
        <v>24</v>
      </c>
      <c r="AS169" s="174">
        <f t="shared" si="1372"/>
        <v>36</v>
      </c>
      <c r="AT169" s="114">
        <f t="shared" si="1351"/>
        <v>2304</v>
      </c>
      <c r="AU169" s="117">
        <f>AJ169*AK169*CHslave+AJ169*INslave*AL169+KLslave*AK169*AL169</f>
        <v>3456</v>
      </c>
      <c r="AV169" s="119">
        <f t="shared" si="1373"/>
        <v>1728</v>
      </c>
      <c r="AW169" s="119">
        <f t="shared" si="1255"/>
        <v>7488</v>
      </c>
      <c r="AX169" s="89">
        <f t="shared" si="1374"/>
        <v>3.6923076923076925</v>
      </c>
      <c r="AY169" s="47">
        <f t="shared" si="1375"/>
        <v>11.076923076923077</v>
      </c>
      <c r="AZ169" s="127">
        <f t="shared" si="1376"/>
        <v>8.3076923076923084</v>
      </c>
      <c r="BA169" s="127">
        <f t="shared" si="1377"/>
        <v>23.07692307692308</v>
      </c>
      <c r="BB169" s="165">
        <f t="shared" si="1260"/>
        <v>0</v>
      </c>
      <c r="BC169" s="198">
        <f t="shared" si="1378"/>
        <v>23.07692307692308</v>
      </c>
      <c r="BD169" s="125">
        <f>IF(BA169&lt;=0,3,0)+IF(BA169&gt;0,BA169+1,0)*3+IF(BA169&gt;12,BA169-12,0)*3+IF(BA169&gt;13,BA169-13,0)*3+IF(BA169&gt;14,BA169-14,0)*3+IF(BA169&gt;15,BA169-15,0)*3+IF(BA169&gt;16,BA169-16,0)*3+IF(BA169&gt;17,BA169-17,0)*3+IF(BA169&gt;18,BA169-18,0)*3+IF(BA169&gt;19,BA169-19,0)*3+IF(BA169&gt;20,BA169-20,0)*3</f>
        <v>263.30769230769232</v>
      </c>
      <c r="BE169" s="160">
        <f>IF(BB169&lt;=0,3,0)+IF(BB169&gt;0,BB169+1,0)*3+IF(BB169&gt;12,BB169-12,0)*3+IF(BB169&gt;13,BB169-13,0)*3+IF(BB169&gt;14,BB169-14,0)*3+IF(BB169&gt;15,BB169-15,0)*3+IF(BB169&gt;16,BB169-16,0)*3+IF(BB169&gt;17,BB169-17,0)*3+IF(BB169&gt;18,BB169-18,0)*3+IF(BB169&gt;19,BB169-19,0)*3+IF(BB169&gt;20,BB169-20,0)*3</f>
        <v>3</v>
      </c>
      <c r="BF169" s="243">
        <f t="shared" si="1379"/>
        <v>260.30769230769232</v>
      </c>
      <c r="BG169" s="218">
        <f t="shared" si="1380"/>
        <v>0</v>
      </c>
      <c r="BI169" s="303" t="s">
        <v>191</v>
      </c>
      <c r="BJ169" s="304" t="s">
        <v>87</v>
      </c>
      <c r="BK169" s="305" t="s">
        <v>135</v>
      </c>
      <c r="BL169" s="317"/>
      <c r="BM169" s="254">
        <f>Konvention_1slave-KLslave_KL</f>
        <v>11</v>
      </c>
      <c r="BN169" s="254">
        <f>Konvention_1slave-INslave</f>
        <v>12</v>
      </c>
      <c r="BO169" s="254">
        <f t="shared" si="1463"/>
        <v>12</v>
      </c>
      <c r="BP169" s="254"/>
      <c r="BQ169" s="254"/>
      <c r="BR169" s="254"/>
      <c r="BS169" s="318"/>
      <c r="BT169" s="223">
        <f t="shared" si="1381"/>
        <v>11.666666666666666</v>
      </c>
      <c r="BU169" s="223">
        <f t="shared" si="1382"/>
        <v>23.333333333333332</v>
      </c>
      <c r="BV169" s="224">
        <f t="shared" si="1383"/>
        <v>35</v>
      </c>
      <c r="BW169" s="237">
        <f t="shared" si="1352"/>
        <v>2432</v>
      </c>
      <c r="BX169" s="254">
        <f>BM169*BN169*CHslave+BM169*INslave*BO169+KLslave_KL*BN169*BO169</f>
        <v>3408</v>
      </c>
      <c r="BY169" s="224">
        <f t="shared" si="1384"/>
        <v>1584</v>
      </c>
      <c r="BZ169" s="224">
        <f t="shared" si="1266"/>
        <v>7424</v>
      </c>
      <c r="CA169" s="222">
        <f t="shared" si="1385"/>
        <v>3.8218390804597702</v>
      </c>
      <c r="CB169" s="223">
        <f t="shared" si="1386"/>
        <v>10.711206896551724</v>
      </c>
      <c r="CC169" s="243">
        <f t="shared" si="1387"/>
        <v>7.4676724137931032</v>
      </c>
      <c r="CD169" s="243">
        <f t="shared" si="1388"/>
        <v>22.000718390804597</v>
      </c>
      <c r="CE169" s="252">
        <f t="shared" si="1271"/>
        <v>0</v>
      </c>
      <c r="CF169" s="309">
        <f t="shared" si="1389"/>
        <v>22.000718390804597</v>
      </c>
      <c r="CG169" s="218">
        <f>IF(CD169&lt;=0,3,0)+IF(CD169&gt;0,CD169+1,0)*3+IF(CD169&gt;12,CD169-12,0)*3+IF(CD169&gt;13,CD169-13,0)*3+IF(CD169&gt;14,CD169-14,0)*3+IF(CD169&gt;15,CD169-15,0)*3+IF(CD169&gt;16,CD169-16,0)*3+IF(CD169&gt;17,CD169-17,0)*3+IF(CD169&gt;18,CD169-18,0)*3+IF(CD169&gt;19,CD169-19,0)*3+IF(CD169&gt;20,CD169-20,0)*3</f>
        <v>231.02155172413785</v>
      </c>
      <c r="CH169" s="242">
        <f>IF(CE169&lt;=0,3,0)+IF(CE169&gt;0,CE169+1,0)*3+IF(CE169&gt;12,CE169-12,0)*3+IF(CE169&gt;13,CE169-13,0)*3+IF(CE169&gt;14,CE169-14,0)*3+IF(CE169&gt;15,CE169-15,0)*3+IF(CE169&gt;16,CE169-16,0)*3+IF(CE169&gt;17,CE169-17,0)*3+IF(CE169&gt;18,CE169-18,0)*3+IF(CE169&gt;19,CE169-19,0)*3+IF(CE169&gt;20,CE169-20,0)*3</f>
        <v>3</v>
      </c>
      <c r="CI169" s="243">
        <f t="shared" si="1390"/>
        <v>228.02155172413785</v>
      </c>
      <c r="CJ169" s="218">
        <f t="shared" si="1391"/>
        <v>0</v>
      </c>
      <c r="CL169" s="303" t="s">
        <v>191</v>
      </c>
      <c r="CM169" s="304" t="s">
        <v>87</v>
      </c>
      <c r="CN169" s="305" t="s">
        <v>135</v>
      </c>
      <c r="CO169" s="317"/>
      <c r="CP169" s="254">
        <f>Konvention_1slave-KLslave</f>
        <v>12</v>
      </c>
      <c r="CQ169" s="254">
        <f>Konvention_1slave-INslave_IN</f>
        <v>11</v>
      </c>
      <c r="CR169" s="254">
        <f t="shared" si="1466"/>
        <v>12</v>
      </c>
      <c r="CS169" s="254"/>
      <c r="CT169" s="254"/>
      <c r="CU169" s="254"/>
      <c r="CV169" s="318"/>
      <c r="CW169" s="223">
        <f t="shared" si="1392"/>
        <v>11.666666666666666</v>
      </c>
      <c r="CX169" s="223">
        <f t="shared" si="1393"/>
        <v>23.333333333333332</v>
      </c>
      <c r="CY169" s="224">
        <f t="shared" si="1394"/>
        <v>35</v>
      </c>
      <c r="CZ169" s="237">
        <f t="shared" si="1353"/>
        <v>2432</v>
      </c>
      <c r="DA169" s="254">
        <f>CP169*CQ169*CHslave+CP169*INslave_IN*CR169+KLslave*CQ169*CR169</f>
        <v>3408</v>
      </c>
      <c r="DB169" s="224">
        <f t="shared" si="1395"/>
        <v>1584</v>
      </c>
      <c r="DC169" s="224">
        <f t="shared" si="1277"/>
        <v>7424</v>
      </c>
      <c r="DD169" s="222">
        <f t="shared" si="1396"/>
        <v>3.8218390804597702</v>
      </c>
      <c r="DE169" s="223">
        <f t="shared" si="1397"/>
        <v>10.711206896551724</v>
      </c>
      <c r="DF169" s="243">
        <f t="shared" si="1398"/>
        <v>7.4676724137931032</v>
      </c>
      <c r="DG169" s="243">
        <f t="shared" si="1399"/>
        <v>22.000718390804597</v>
      </c>
      <c r="DH169" s="252">
        <f t="shared" si="1282"/>
        <v>0</v>
      </c>
      <c r="DI169" s="309">
        <f t="shared" si="1400"/>
        <v>22.000718390804597</v>
      </c>
      <c r="DJ169" s="218">
        <f>IF(DG169&lt;=0,3,0)+IF(DG169&gt;0,DG169+1,0)*3+IF(DG169&gt;12,DG169-12,0)*3+IF(DG169&gt;13,DG169-13,0)*3+IF(DG169&gt;14,DG169-14,0)*3+IF(DG169&gt;15,DG169-15,0)*3+IF(DG169&gt;16,DG169-16,0)*3+IF(DG169&gt;17,DG169-17,0)*3+IF(DG169&gt;18,DG169-18,0)*3+IF(DG169&gt;19,DG169-19,0)*3+IF(DG169&gt;20,DG169-20,0)*3</f>
        <v>231.02155172413785</v>
      </c>
      <c r="DK169" s="242">
        <f>IF(DH169&lt;=0,3,0)+IF(DH169&gt;0,DH169+1,0)*3+IF(DH169&gt;12,DH169-12,0)*3+IF(DH169&gt;13,DH169-13,0)*3+IF(DH169&gt;14,DH169-14,0)*3+IF(DH169&gt;15,DH169-15,0)*3+IF(DH169&gt;16,DH169-16,0)*3+IF(DH169&gt;17,DH169-17,0)*3+IF(DH169&gt;18,DH169-18,0)*3+IF(DH169&gt;19,DH169-19,0)*3+IF(DH169&gt;20,DH169-20,0)*3</f>
        <v>3</v>
      </c>
      <c r="DL169" s="243">
        <f t="shared" si="1401"/>
        <v>228.02155172413785</v>
      </c>
      <c r="DM169" s="218">
        <f t="shared" si="1402"/>
        <v>0</v>
      </c>
      <c r="DO169" s="303" t="s">
        <v>191</v>
      </c>
      <c r="DP169" s="304" t="s">
        <v>87</v>
      </c>
      <c r="DQ169" s="305" t="s">
        <v>135</v>
      </c>
      <c r="DR169" s="317"/>
      <c r="DS169" s="254">
        <f>Konvention_1slave-KLslave</f>
        <v>12</v>
      </c>
      <c r="DT169" s="254">
        <f>Konvention_1slave-INslave</f>
        <v>12</v>
      </c>
      <c r="DU169" s="254">
        <f t="shared" si="1469"/>
        <v>11</v>
      </c>
      <c r="DV169" s="254"/>
      <c r="DW169" s="254"/>
      <c r="DX169" s="254"/>
      <c r="DY169" s="318"/>
      <c r="DZ169" s="223">
        <f t="shared" si="1403"/>
        <v>11.666666666666666</v>
      </c>
      <c r="EA169" s="223">
        <f t="shared" si="1404"/>
        <v>23.333333333333332</v>
      </c>
      <c r="EB169" s="224">
        <f t="shared" si="1405"/>
        <v>35</v>
      </c>
      <c r="EC169" s="237">
        <f t="shared" si="1354"/>
        <v>2432</v>
      </c>
      <c r="ED169" s="254">
        <f>DS169*DT169*CHslave_CH+DS169*INslave*DU169+KLslave*DT169*DU169</f>
        <v>3408</v>
      </c>
      <c r="EE169" s="224">
        <f t="shared" si="1406"/>
        <v>1584</v>
      </c>
      <c r="EF169" s="224">
        <f t="shared" si="1288"/>
        <v>7424</v>
      </c>
      <c r="EG169" s="222">
        <f t="shared" si="1407"/>
        <v>3.8218390804597702</v>
      </c>
      <c r="EH169" s="223">
        <f t="shared" si="1408"/>
        <v>10.711206896551724</v>
      </c>
      <c r="EI169" s="243">
        <f t="shared" si="1409"/>
        <v>7.4676724137931032</v>
      </c>
      <c r="EJ169" s="243">
        <f t="shared" si="1410"/>
        <v>22.000718390804597</v>
      </c>
      <c r="EK169" s="252">
        <f t="shared" si="1293"/>
        <v>0</v>
      </c>
      <c r="EL169" s="309">
        <f t="shared" si="1411"/>
        <v>22.000718390804597</v>
      </c>
      <c r="EM169" s="218">
        <f>IF(EJ169&lt;=0,3,0)+IF(EJ169&gt;0,EJ169+1,0)*3+IF(EJ169&gt;12,EJ169-12,0)*3+IF(EJ169&gt;13,EJ169-13,0)*3+IF(EJ169&gt;14,EJ169-14,0)*3+IF(EJ169&gt;15,EJ169-15,0)*3+IF(EJ169&gt;16,EJ169-16,0)*3+IF(EJ169&gt;17,EJ169-17,0)*3+IF(EJ169&gt;18,EJ169-18,0)*3+IF(EJ169&gt;19,EJ169-19,0)*3+IF(EJ169&gt;20,EJ169-20,0)*3</f>
        <v>231.02155172413785</v>
      </c>
      <c r="EN169" s="242">
        <f>IF(EK169&lt;=0,3,0)+IF(EK169&gt;0,EK169+1,0)*3+IF(EK169&gt;12,EK169-12,0)*3+IF(EK169&gt;13,EK169-13,0)*3+IF(EK169&gt;14,EK169-14,0)*3+IF(EK169&gt;15,EK169-15,0)*3+IF(EK169&gt;16,EK169-16,0)*3+IF(EK169&gt;17,EK169-17,0)*3+IF(EK169&gt;18,EK169-18,0)*3+IF(EK169&gt;19,EK169-19,0)*3+IF(EK169&gt;20,EK169-20,0)*3</f>
        <v>3</v>
      </c>
      <c r="EO169" s="243">
        <f t="shared" si="1412"/>
        <v>228.02155172413785</v>
      </c>
      <c r="EP169" s="218">
        <f t="shared" si="1413"/>
        <v>0</v>
      </c>
      <c r="ER169" s="303" t="s">
        <v>191</v>
      </c>
      <c r="ES169" s="304" t="s">
        <v>87</v>
      </c>
      <c r="ET169" s="305" t="s">
        <v>135</v>
      </c>
      <c r="EU169" s="317"/>
      <c r="EV169" s="254">
        <f>Konvention_1slave-KLslave</f>
        <v>12</v>
      </c>
      <c r="EW169" s="254">
        <f>Konvention_1slave-INslave</f>
        <v>12</v>
      </c>
      <c r="EX169" s="254">
        <f t="shared" si="1472"/>
        <v>12</v>
      </c>
      <c r="EY169" s="254"/>
      <c r="EZ169" s="254"/>
      <c r="FA169" s="254"/>
      <c r="FB169" s="318"/>
      <c r="FC169" s="223">
        <f t="shared" si="1414"/>
        <v>12</v>
      </c>
      <c r="FD169" s="223">
        <f t="shared" si="1415"/>
        <v>24</v>
      </c>
      <c r="FE169" s="224">
        <f t="shared" si="1416"/>
        <v>36</v>
      </c>
      <c r="FF169" s="237">
        <f t="shared" si="1355"/>
        <v>2304</v>
      </c>
      <c r="FG169" s="254">
        <f>EV169*EW169*CHslave+EV169*INslave*EX169+KLslave*EW169*EX169</f>
        <v>3456</v>
      </c>
      <c r="FH169" s="224">
        <f t="shared" si="1417"/>
        <v>1728</v>
      </c>
      <c r="FI169" s="224">
        <f t="shared" si="1299"/>
        <v>7488</v>
      </c>
      <c r="FJ169" s="222">
        <f t="shared" si="1418"/>
        <v>3.6923076923076925</v>
      </c>
      <c r="FK169" s="223">
        <f t="shared" si="1419"/>
        <v>11.076923076923077</v>
      </c>
      <c r="FL169" s="243">
        <f t="shared" si="1420"/>
        <v>8.3076923076923084</v>
      </c>
      <c r="FM169" s="243">
        <f t="shared" si="1421"/>
        <v>23.07692307692308</v>
      </c>
      <c r="FN169" s="252">
        <f t="shared" si="1304"/>
        <v>0</v>
      </c>
      <c r="FO169" s="309">
        <f t="shared" si="1422"/>
        <v>23.07692307692308</v>
      </c>
      <c r="FP169" s="218">
        <f>IF(FM169&lt;=0,3,0)+IF(FM169&gt;0,FM169+1,0)*3+IF(FM169&gt;12,FM169-12,0)*3+IF(FM169&gt;13,FM169-13,0)*3+IF(FM169&gt;14,FM169-14,0)*3+IF(FM169&gt;15,FM169-15,0)*3+IF(FM169&gt;16,FM169-16,0)*3+IF(FM169&gt;17,FM169-17,0)*3+IF(FM169&gt;18,FM169-18,0)*3+IF(FM169&gt;19,FM169-19,0)*3+IF(FM169&gt;20,FM169-20,0)*3</f>
        <v>263.30769230769232</v>
      </c>
      <c r="FQ169" s="242">
        <f>IF(FN169&lt;=0,3,0)+IF(FN169&gt;0,FN169+1,0)*3+IF(FN169&gt;12,FN169-12,0)*3+IF(FN169&gt;13,FN169-13,0)*3+IF(FN169&gt;14,FN169-14,0)*3+IF(FN169&gt;15,FN169-15,0)*3+IF(FN169&gt;16,FN169-16,0)*3+IF(FN169&gt;17,FN169-17,0)*3+IF(FN169&gt;18,FN169-18,0)*3+IF(FN169&gt;19,FN169-19,0)*3+IF(FN169&gt;20,FN169-20,0)*3</f>
        <v>3</v>
      </c>
      <c r="FR169" s="243">
        <f t="shared" si="1423"/>
        <v>260.30769230769232</v>
      </c>
      <c r="FS169" s="218">
        <f t="shared" si="1424"/>
        <v>0</v>
      </c>
      <c r="FU169" s="303" t="s">
        <v>191</v>
      </c>
      <c r="FV169" s="304" t="s">
        <v>87</v>
      </c>
      <c r="FW169" s="305" t="s">
        <v>135</v>
      </c>
      <c r="FX169" s="317"/>
      <c r="FY169" s="254">
        <f>Konvention_1slave-KLslave</f>
        <v>12</v>
      </c>
      <c r="FZ169" s="254">
        <f>Konvention_1slave-INslave</f>
        <v>12</v>
      </c>
      <c r="GA169" s="254">
        <f t="shared" si="1475"/>
        <v>12</v>
      </c>
      <c r="GB169" s="254"/>
      <c r="GC169" s="254"/>
      <c r="GD169" s="254"/>
      <c r="GE169" s="318"/>
      <c r="GF169" s="223">
        <f t="shared" si="1425"/>
        <v>12</v>
      </c>
      <c r="GG169" s="223">
        <f t="shared" si="1426"/>
        <v>24</v>
      </c>
      <c r="GH169" s="224">
        <f t="shared" si="1427"/>
        <v>36</v>
      </c>
      <c r="GI169" s="237">
        <f t="shared" si="1356"/>
        <v>2304</v>
      </c>
      <c r="GJ169" s="254">
        <f>FY169*FZ169*CHslave+FY169*INslave*GA169+KLslave*FZ169*GA169</f>
        <v>3456</v>
      </c>
      <c r="GK169" s="224">
        <f t="shared" si="1428"/>
        <v>1728</v>
      </c>
      <c r="GL169" s="224">
        <f t="shared" si="1310"/>
        <v>7488</v>
      </c>
      <c r="GM169" s="222">
        <f t="shared" si="1429"/>
        <v>3.6923076923076925</v>
      </c>
      <c r="GN169" s="223">
        <f t="shared" si="1430"/>
        <v>11.076923076923077</v>
      </c>
      <c r="GO169" s="243">
        <f t="shared" si="1431"/>
        <v>8.3076923076923084</v>
      </c>
      <c r="GP169" s="243">
        <f t="shared" si="1432"/>
        <v>23.07692307692308</v>
      </c>
      <c r="GQ169" s="252">
        <f t="shared" si="1315"/>
        <v>0</v>
      </c>
      <c r="GR169" s="309">
        <f t="shared" si="1433"/>
        <v>23.07692307692308</v>
      </c>
      <c r="GS169" s="218">
        <f>IF(GP169&lt;=0,3,0)+IF(GP169&gt;0,GP169+1,0)*3+IF(GP169&gt;12,GP169-12,0)*3+IF(GP169&gt;13,GP169-13,0)*3+IF(GP169&gt;14,GP169-14,0)*3+IF(GP169&gt;15,GP169-15,0)*3+IF(GP169&gt;16,GP169-16,0)*3+IF(GP169&gt;17,GP169-17,0)*3+IF(GP169&gt;18,GP169-18,0)*3+IF(GP169&gt;19,GP169-19,0)*3+IF(GP169&gt;20,GP169-20,0)*3</f>
        <v>263.30769230769232</v>
      </c>
      <c r="GT169" s="242">
        <f>IF(GQ169&lt;=0,3,0)+IF(GQ169&gt;0,GQ169+1,0)*3+IF(GQ169&gt;12,GQ169-12,0)*3+IF(GQ169&gt;13,GQ169-13,0)*3+IF(GQ169&gt;14,GQ169-14,0)*3+IF(GQ169&gt;15,GQ169-15,0)*3+IF(GQ169&gt;16,GQ169-16,0)*3+IF(GQ169&gt;17,GQ169-17,0)*3+IF(GQ169&gt;18,GQ169-18,0)*3+IF(GQ169&gt;19,GQ169-19,0)*3+IF(GQ169&gt;20,GQ169-20,0)*3</f>
        <v>3</v>
      </c>
      <c r="GU169" s="243">
        <f t="shared" si="1434"/>
        <v>260.30769230769232</v>
      </c>
      <c r="GV169" s="218">
        <f t="shared" si="1435"/>
        <v>0</v>
      </c>
      <c r="GX169" s="303" t="s">
        <v>191</v>
      </c>
      <c r="GY169" s="304" t="s">
        <v>87</v>
      </c>
      <c r="GZ169" s="305" t="s">
        <v>135</v>
      </c>
      <c r="HA169" s="317"/>
      <c r="HB169" s="254">
        <f>Konvention_1slave-KLslave</f>
        <v>12</v>
      </c>
      <c r="HC169" s="254">
        <f>Konvention_1slave-INslave</f>
        <v>12</v>
      </c>
      <c r="HD169" s="254">
        <f t="shared" si="1478"/>
        <v>12</v>
      </c>
      <c r="HE169" s="254"/>
      <c r="HF169" s="254"/>
      <c r="HG169" s="254"/>
      <c r="HH169" s="318"/>
      <c r="HI169" s="223">
        <f t="shared" si="1436"/>
        <v>12</v>
      </c>
      <c r="HJ169" s="223">
        <f t="shared" si="1437"/>
        <v>24</v>
      </c>
      <c r="HK169" s="224">
        <f t="shared" si="1438"/>
        <v>36</v>
      </c>
      <c r="HL169" s="237">
        <f t="shared" si="1357"/>
        <v>2304</v>
      </c>
      <c r="HM169" s="254">
        <f>HB169*HC169*CHslave+HB169*INslave*HD169+KLslave*HC169*HD169</f>
        <v>3456</v>
      </c>
      <c r="HN169" s="224">
        <f t="shared" si="1439"/>
        <v>1728</v>
      </c>
      <c r="HO169" s="224">
        <f t="shared" si="1321"/>
        <v>7488</v>
      </c>
      <c r="HP169" s="222">
        <f t="shared" si="1440"/>
        <v>3.6923076923076925</v>
      </c>
      <c r="HQ169" s="223">
        <f t="shared" si="1441"/>
        <v>11.076923076923077</v>
      </c>
      <c r="HR169" s="243">
        <f t="shared" si="1442"/>
        <v>8.3076923076923084</v>
      </c>
      <c r="HS169" s="243">
        <f t="shared" si="1443"/>
        <v>23.07692307692308</v>
      </c>
      <c r="HT169" s="252">
        <f t="shared" si="1326"/>
        <v>0</v>
      </c>
      <c r="HU169" s="309">
        <f t="shared" si="1444"/>
        <v>23.07692307692308</v>
      </c>
      <c r="HV169" s="218">
        <f>IF(HS169&lt;=0,3,0)+IF(HS169&gt;0,HS169+1,0)*3+IF(HS169&gt;12,HS169-12,0)*3+IF(HS169&gt;13,HS169-13,0)*3+IF(HS169&gt;14,HS169-14,0)*3+IF(HS169&gt;15,HS169-15,0)*3+IF(HS169&gt;16,HS169-16,0)*3+IF(HS169&gt;17,HS169-17,0)*3+IF(HS169&gt;18,HS169-18,0)*3+IF(HS169&gt;19,HS169-19,0)*3+IF(HS169&gt;20,HS169-20,0)*3</f>
        <v>263.30769230769232</v>
      </c>
      <c r="HW169" s="242">
        <f>IF(HT169&lt;=0,3,0)+IF(HT169&gt;0,HT169+1,0)*3+IF(HT169&gt;12,HT169-12,0)*3+IF(HT169&gt;13,HT169-13,0)*3+IF(HT169&gt;14,HT169-14,0)*3+IF(HT169&gt;15,HT169-15,0)*3+IF(HT169&gt;16,HT169-16,0)*3+IF(HT169&gt;17,HT169-17,0)*3+IF(HT169&gt;18,HT169-18,0)*3+IF(HT169&gt;19,HT169-19,0)*3+IF(HT169&gt;20,HT169-20,0)*3</f>
        <v>3</v>
      </c>
      <c r="HX169" s="243">
        <f t="shared" si="1445"/>
        <v>260.30769230769232</v>
      </c>
      <c r="HY169" s="218">
        <f t="shared" si="1446"/>
        <v>0</v>
      </c>
      <c r="IA169" s="303" t="s">
        <v>191</v>
      </c>
      <c r="IB169" s="304" t="s">
        <v>87</v>
      </c>
      <c r="IC169" s="305" t="s">
        <v>135</v>
      </c>
      <c r="ID169" s="317"/>
      <c r="IE169" s="254">
        <f>Konvention_1slave-KLslave</f>
        <v>12</v>
      </c>
      <c r="IF169" s="254">
        <f>Konvention_1slave-INslave</f>
        <v>12</v>
      </c>
      <c r="IG169" s="254">
        <f t="shared" si="1481"/>
        <v>12</v>
      </c>
      <c r="IH169" s="254"/>
      <c r="II169" s="254"/>
      <c r="IJ169" s="254"/>
      <c r="IK169" s="318"/>
      <c r="IL169" s="223">
        <f t="shared" si="1447"/>
        <v>12</v>
      </c>
      <c r="IM169" s="223">
        <f t="shared" si="1448"/>
        <v>24</v>
      </c>
      <c r="IN169" s="224">
        <f t="shared" si="1449"/>
        <v>36</v>
      </c>
      <c r="IO169" s="237">
        <f t="shared" si="1358"/>
        <v>2304</v>
      </c>
      <c r="IP169" s="254">
        <f>IE169*IF169*CHslave+IE169*INslave*IG169+KLslave*IF169*IG169</f>
        <v>3456</v>
      </c>
      <c r="IQ169" s="224">
        <f t="shared" si="1450"/>
        <v>1728</v>
      </c>
      <c r="IR169" s="224">
        <f t="shared" si="1332"/>
        <v>7488</v>
      </c>
      <c r="IS169" s="222">
        <f t="shared" si="1451"/>
        <v>3.6923076923076925</v>
      </c>
      <c r="IT169" s="223">
        <f t="shared" si="1452"/>
        <v>11.076923076923077</v>
      </c>
      <c r="IU169" s="243">
        <f t="shared" si="1453"/>
        <v>8.3076923076923084</v>
      </c>
      <c r="IV169" s="243">
        <f t="shared" si="1454"/>
        <v>23.07692307692308</v>
      </c>
      <c r="IW169" s="252">
        <f t="shared" si="1337"/>
        <v>0</v>
      </c>
      <c r="IX169" s="309">
        <f t="shared" si="1455"/>
        <v>23.07692307692308</v>
      </c>
      <c r="IY169" s="218">
        <f>IF(IV169&lt;=0,3,0)+IF(IV169&gt;0,IV169+1,0)*3+IF(IV169&gt;12,IV169-12,0)*3+IF(IV169&gt;13,IV169-13,0)*3+IF(IV169&gt;14,IV169-14,0)*3+IF(IV169&gt;15,IV169-15,0)*3+IF(IV169&gt;16,IV169-16,0)*3+IF(IV169&gt;17,IV169-17,0)*3+IF(IV169&gt;18,IV169-18,0)*3+IF(IV169&gt;19,IV169-19,0)*3+IF(IV169&gt;20,IV169-20,0)*3</f>
        <v>263.30769230769232</v>
      </c>
      <c r="IZ169" s="242">
        <f>IF(IW169&lt;=0,3,0)+IF(IW169&gt;0,IW169+1,0)*3+IF(IW169&gt;12,IW169-12,0)*3+IF(IW169&gt;13,IW169-13,0)*3+IF(IW169&gt;14,IW169-14,0)*3+IF(IW169&gt;15,IW169-15,0)*3+IF(IW169&gt;16,IW169-16,0)*3+IF(IW169&gt;17,IW169-17,0)*3+IF(IW169&gt;18,IW169-18,0)*3+IF(IW169&gt;19,IW169-19,0)*3+IF(IW169&gt;20,IW169-20,0)*3</f>
        <v>3</v>
      </c>
      <c r="JA169" s="243">
        <f t="shared" si="1456"/>
        <v>260.30769230769232</v>
      </c>
      <c r="JB169" s="218">
        <f t="shared" si="1457"/>
        <v>0</v>
      </c>
      <c r="JE169" s="148"/>
    </row>
    <row r="170" spans="2:265" ht="15" hidden="1" customHeight="1" outlineLevel="2">
      <c r="B170" s="148">
        <v>18</v>
      </c>
      <c r="C170" s="303" t="e">
        <f>VLOOKUP(AF170,Attribute!C:T,1,FALSE)</f>
        <v>#N/A</v>
      </c>
      <c r="D170" s="86" t="s">
        <v>86</v>
      </c>
      <c r="E170" s="167" t="s">
        <v>135</v>
      </c>
      <c r="F170" s="120">
        <f>Konvention_1master-MUmaster</f>
        <v>12</v>
      </c>
      <c r="G170" s="117"/>
      <c r="H170" s="117">
        <f t="shared" ref="H170:H175" si="1487">Konvention_1master-INmaster</f>
        <v>12</v>
      </c>
      <c r="I170" s="117">
        <f t="shared" si="1458"/>
        <v>12</v>
      </c>
      <c r="J170" s="117"/>
      <c r="K170" s="117"/>
      <c r="L170" s="117"/>
      <c r="M170" s="121"/>
      <c r="N170" s="223">
        <f t="shared" si="1359"/>
        <v>12</v>
      </c>
      <c r="O170" s="223">
        <f t="shared" si="1360"/>
        <v>24</v>
      </c>
      <c r="P170" s="224">
        <f t="shared" si="1361"/>
        <v>36</v>
      </c>
      <c r="Q170" s="237">
        <f t="shared" si="1350"/>
        <v>2304</v>
      </c>
      <c r="R170" s="117">
        <f>F170*H170*CHmaster+F170*INmaster*I170+MUmaster*H170*I170</f>
        <v>3456</v>
      </c>
      <c r="S170" s="224">
        <f t="shared" si="1362"/>
        <v>1728</v>
      </c>
      <c r="T170" s="224">
        <f t="shared" si="1485"/>
        <v>7488</v>
      </c>
      <c r="U170" s="222">
        <f t="shared" si="1363"/>
        <v>3.6923076923076925</v>
      </c>
      <c r="V170" s="223">
        <f t="shared" si="1364"/>
        <v>11.076923076923077</v>
      </c>
      <c r="W170" s="243">
        <f t="shared" si="1365"/>
        <v>8.3076923076923084</v>
      </c>
      <c r="X170" s="243">
        <f t="shared" si="1366"/>
        <v>23.07692307692308</v>
      </c>
      <c r="Y170" s="252">
        <v>0</v>
      </c>
      <c r="Z170" s="198">
        <f t="shared" si="1367"/>
        <v>23.07692307692308</v>
      </c>
      <c r="AA170" s="125">
        <f t="shared" si="1486"/>
        <v>263.30769230769232</v>
      </c>
      <c r="AB170" s="160">
        <f t="shared" si="1486"/>
        <v>3</v>
      </c>
      <c r="AC170" s="127">
        <f t="shared" si="1368"/>
        <v>260.30769230769232</v>
      </c>
      <c r="AD170" s="125">
        <f t="shared" si="1369"/>
        <v>0</v>
      </c>
      <c r="AF170" s="163" t="s">
        <v>301</v>
      </c>
      <c r="AG170" s="86" t="s">
        <v>86</v>
      </c>
      <c r="AH170" s="167" t="s">
        <v>135</v>
      </c>
      <c r="AI170" s="120">
        <f>Konvention_1slave-MUslave_MU</f>
        <v>11</v>
      </c>
      <c r="AJ170" s="117"/>
      <c r="AK170" s="117">
        <f>Konvention_1slave-INslave</f>
        <v>12</v>
      </c>
      <c r="AL170" s="117">
        <f t="shared" si="1484"/>
        <v>12</v>
      </c>
      <c r="AM170" s="117"/>
      <c r="AN170" s="117"/>
      <c r="AO170" s="117"/>
      <c r="AP170" s="121"/>
      <c r="AQ170" s="47">
        <f t="shared" si="1370"/>
        <v>11.666666666666666</v>
      </c>
      <c r="AR170" s="3">
        <f t="shared" si="1371"/>
        <v>23.333333333333332</v>
      </c>
      <c r="AS170" s="174">
        <f t="shared" si="1372"/>
        <v>35</v>
      </c>
      <c r="AT170" s="114">
        <f t="shared" si="1351"/>
        <v>2432</v>
      </c>
      <c r="AU170" s="117">
        <f>AI170*AK170*CHslave+AI170*INslave*AL170+MUslave_MU*AK170*AL170</f>
        <v>3408</v>
      </c>
      <c r="AV170" s="119">
        <f t="shared" si="1373"/>
        <v>1584</v>
      </c>
      <c r="AW170" s="119">
        <f t="shared" si="1255"/>
        <v>7424</v>
      </c>
      <c r="AX170" s="89">
        <f t="shared" si="1374"/>
        <v>3.8218390804597702</v>
      </c>
      <c r="AY170" s="47">
        <f t="shared" si="1375"/>
        <v>10.711206896551724</v>
      </c>
      <c r="AZ170" s="127">
        <f t="shared" si="1376"/>
        <v>7.4676724137931032</v>
      </c>
      <c r="BA170" s="127">
        <f t="shared" si="1377"/>
        <v>22.000718390804597</v>
      </c>
      <c r="BB170" s="165">
        <f t="shared" si="1260"/>
        <v>0</v>
      </c>
      <c r="BC170" s="198">
        <f t="shared" si="1378"/>
        <v>22.000718390804597</v>
      </c>
      <c r="BD170" s="125">
        <f>IF(BA170&lt;=0,3,0)+IF(BA170&gt;0,BA170+1,0)*3+IF(BA170&gt;12,BA170-12,0)*3+IF(BA170&gt;13,BA170-13,0)*3+IF(BA170&gt;14,BA170-14,0)*3+IF(BA170&gt;15,BA170-15,0)*3+IF(BA170&gt;16,BA170-16,0)*3+IF(BA170&gt;17,BA170-17,0)*3+IF(BA170&gt;18,BA170-18,0)*3+IF(BA170&gt;19,BA170-19,0)*3+IF(BA170&gt;20,BA170-20,0)*3</f>
        <v>231.02155172413785</v>
      </c>
      <c r="BE170" s="160">
        <f>IF(BB170&lt;=0,3,0)+IF(BB170&gt;0,BB170+1,0)*3+IF(BB170&gt;12,BB170-12,0)*3+IF(BB170&gt;13,BB170-13,0)*3+IF(BB170&gt;14,BB170-14,0)*3+IF(BB170&gt;15,BB170-15,0)*3+IF(BB170&gt;16,BB170-16,0)*3+IF(BB170&gt;17,BB170-17,0)*3+IF(BB170&gt;18,BB170-18,0)*3+IF(BB170&gt;19,BB170-19,0)*3+IF(BB170&gt;20,BB170-20,0)*3</f>
        <v>3</v>
      </c>
      <c r="BF170" s="243">
        <f t="shared" si="1379"/>
        <v>228.02155172413785</v>
      </c>
      <c r="BG170" s="218">
        <f t="shared" si="1380"/>
        <v>0</v>
      </c>
      <c r="BI170" s="303" t="s">
        <v>301</v>
      </c>
      <c r="BJ170" s="304" t="s">
        <v>86</v>
      </c>
      <c r="BK170" s="305" t="s">
        <v>135</v>
      </c>
      <c r="BL170" s="317">
        <f>Konvention_1slave-MUslave</f>
        <v>12</v>
      </c>
      <c r="BM170" s="254"/>
      <c r="BN170" s="254">
        <f>Konvention_1slave-INslave</f>
        <v>12</v>
      </c>
      <c r="BO170" s="254">
        <f t="shared" si="1463"/>
        <v>12</v>
      </c>
      <c r="BP170" s="254"/>
      <c r="BQ170" s="254"/>
      <c r="BR170" s="254"/>
      <c r="BS170" s="318"/>
      <c r="BT170" s="223">
        <f t="shared" si="1381"/>
        <v>12</v>
      </c>
      <c r="BU170" s="223">
        <f t="shared" si="1382"/>
        <v>24</v>
      </c>
      <c r="BV170" s="224">
        <f t="shared" si="1383"/>
        <v>36</v>
      </c>
      <c r="BW170" s="237">
        <f t="shared" si="1352"/>
        <v>2304</v>
      </c>
      <c r="BX170" s="254">
        <f>BL170*BN170*CHslave+BL170*INslave*BO170+MUslave*BN170*BO170</f>
        <v>3456</v>
      </c>
      <c r="BY170" s="224">
        <f t="shared" si="1384"/>
        <v>1728</v>
      </c>
      <c r="BZ170" s="224">
        <f t="shared" si="1266"/>
        <v>7488</v>
      </c>
      <c r="CA170" s="222">
        <f t="shared" si="1385"/>
        <v>3.6923076923076925</v>
      </c>
      <c r="CB170" s="223">
        <f t="shared" si="1386"/>
        <v>11.076923076923077</v>
      </c>
      <c r="CC170" s="243">
        <f t="shared" si="1387"/>
        <v>8.3076923076923084</v>
      </c>
      <c r="CD170" s="243">
        <f t="shared" si="1388"/>
        <v>23.07692307692308</v>
      </c>
      <c r="CE170" s="252">
        <f t="shared" si="1271"/>
        <v>0</v>
      </c>
      <c r="CF170" s="309">
        <f t="shared" si="1389"/>
        <v>23.07692307692308</v>
      </c>
      <c r="CG170" s="218">
        <f>IF(CD170&lt;=0,3,0)+IF(CD170&gt;0,CD170+1,0)*3+IF(CD170&gt;12,CD170-12,0)*3+IF(CD170&gt;13,CD170-13,0)*3+IF(CD170&gt;14,CD170-14,0)*3+IF(CD170&gt;15,CD170-15,0)*3+IF(CD170&gt;16,CD170-16,0)*3+IF(CD170&gt;17,CD170-17,0)*3+IF(CD170&gt;18,CD170-18,0)*3+IF(CD170&gt;19,CD170-19,0)*3+IF(CD170&gt;20,CD170-20,0)*3</f>
        <v>263.30769230769232</v>
      </c>
      <c r="CH170" s="242">
        <f>IF(CE170&lt;=0,3,0)+IF(CE170&gt;0,CE170+1,0)*3+IF(CE170&gt;12,CE170-12,0)*3+IF(CE170&gt;13,CE170-13,0)*3+IF(CE170&gt;14,CE170-14,0)*3+IF(CE170&gt;15,CE170-15,0)*3+IF(CE170&gt;16,CE170-16,0)*3+IF(CE170&gt;17,CE170-17,0)*3+IF(CE170&gt;18,CE170-18,0)*3+IF(CE170&gt;19,CE170-19,0)*3+IF(CE170&gt;20,CE170-20,0)*3</f>
        <v>3</v>
      </c>
      <c r="CI170" s="243">
        <f t="shared" si="1390"/>
        <v>260.30769230769232</v>
      </c>
      <c r="CJ170" s="218">
        <f t="shared" si="1391"/>
        <v>0</v>
      </c>
      <c r="CL170" s="303" t="s">
        <v>301</v>
      </c>
      <c r="CM170" s="304" t="s">
        <v>86</v>
      </c>
      <c r="CN170" s="305" t="s">
        <v>135</v>
      </c>
      <c r="CO170" s="317">
        <f>Konvention_1slave-MUslave</f>
        <v>12</v>
      </c>
      <c r="CP170" s="254"/>
      <c r="CQ170" s="254">
        <f>Konvention_1slave-INslave_IN</f>
        <v>11</v>
      </c>
      <c r="CR170" s="254">
        <f t="shared" si="1466"/>
        <v>12</v>
      </c>
      <c r="CS170" s="254"/>
      <c r="CT170" s="254"/>
      <c r="CU170" s="254"/>
      <c r="CV170" s="318"/>
      <c r="CW170" s="223">
        <f t="shared" si="1392"/>
        <v>11.666666666666666</v>
      </c>
      <c r="CX170" s="223">
        <f t="shared" si="1393"/>
        <v>23.333333333333332</v>
      </c>
      <c r="CY170" s="224">
        <f t="shared" si="1394"/>
        <v>35</v>
      </c>
      <c r="CZ170" s="237">
        <f t="shared" si="1353"/>
        <v>2432</v>
      </c>
      <c r="DA170" s="254">
        <f>CO170*CQ170*CHslave+CO170*INslave_IN*CR170+MUslave*CQ170*CR170</f>
        <v>3408</v>
      </c>
      <c r="DB170" s="224">
        <f t="shared" si="1395"/>
        <v>1584</v>
      </c>
      <c r="DC170" s="224">
        <f t="shared" si="1277"/>
        <v>7424</v>
      </c>
      <c r="DD170" s="222">
        <f t="shared" si="1396"/>
        <v>3.8218390804597702</v>
      </c>
      <c r="DE170" s="223">
        <f t="shared" si="1397"/>
        <v>10.711206896551724</v>
      </c>
      <c r="DF170" s="243">
        <f t="shared" si="1398"/>
        <v>7.4676724137931032</v>
      </c>
      <c r="DG170" s="243">
        <f t="shared" si="1399"/>
        <v>22.000718390804597</v>
      </c>
      <c r="DH170" s="252">
        <f t="shared" si="1282"/>
        <v>0</v>
      </c>
      <c r="DI170" s="309">
        <f t="shared" si="1400"/>
        <v>22.000718390804597</v>
      </c>
      <c r="DJ170" s="218">
        <f>IF(DG170&lt;=0,3,0)+IF(DG170&gt;0,DG170+1,0)*3+IF(DG170&gt;12,DG170-12,0)*3+IF(DG170&gt;13,DG170-13,0)*3+IF(DG170&gt;14,DG170-14,0)*3+IF(DG170&gt;15,DG170-15,0)*3+IF(DG170&gt;16,DG170-16,0)*3+IF(DG170&gt;17,DG170-17,0)*3+IF(DG170&gt;18,DG170-18,0)*3+IF(DG170&gt;19,DG170-19,0)*3+IF(DG170&gt;20,DG170-20,0)*3</f>
        <v>231.02155172413785</v>
      </c>
      <c r="DK170" s="242">
        <f>IF(DH170&lt;=0,3,0)+IF(DH170&gt;0,DH170+1,0)*3+IF(DH170&gt;12,DH170-12,0)*3+IF(DH170&gt;13,DH170-13,0)*3+IF(DH170&gt;14,DH170-14,0)*3+IF(DH170&gt;15,DH170-15,0)*3+IF(DH170&gt;16,DH170-16,0)*3+IF(DH170&gt;17,DH170-17,0)*3+IF(DH170&gt;18,DH170-18,0)*3+IF(DH170&gt;19,DH170-19,0)*3+IF(DH170&gt;20,DH170-20,0)*3</f>
        <v>3</v>
      </c>
      <c r="DL170" s="243">
        <f t="shared" si="1401"/>
        <v>228.02155172413785</v>
      </c>
      <c r="DM170" s="218">
        <f t="shared" si="1402"/>
        <v>0</v>
      </c>
      <c r="DO170" s="303" t="s">
        <v>301</v>
      </c>
      <c r="DP170" s="304" t="s">
        <v>86</v>
      </c>
      <c r="DQ170" s="305" t="s">
        <v>135</v>
      </c>
      <c r="DR170" s="317">
        <f>Konvention_1slave-MUslave</f>
        <v>12</v>
      </c>
      <c r="DS170" s="254"/>
      <c r="DT170" s="254">
        <f>Konvention_1slave-INslave</f>
        <v>12</v>
      </c>
      <c r="DU170" s="254">
        <f t="shared" si="1469"/>
        <v>11</v>
      </c>
      <c r="DV170" s="254"/>
      <c r="DW170" s="254"/>
      <c r="DX170" s="254"/>
      <c r="DY170" s="318"/>
      <c r="DZ170" s="223">
        <f t="shared" si="1403"/>
        <v>11.666666666666666</v>
      </c>
      <c r="EA170" s="223">
        <f t="shared" si="1404"/>
        <v>23.333333333333332</v>
      </c>
      <c r="EB170" s="224">
        <f t="shared" si="1405"/>
        <v>35</v>
      </c>
      <c r="EC170" s="237">
        <f t="shared" si="1354"/>
        <v>2432</v>
      </c>
      <c r="ED170" s="254">
        <f>DR170*DT170*CHslave_CH+DR170*INslave*DU170+MUslave*DT170*DU170</f>
        <v>3408</v>
      </c>
      <c r="EE170" s="224">
        <f t="shared" si="1406"/>
        <v>1584</v>
      </c>
      <c r="EF170" s="224">
        <f t="shared" si="1288"/>
        <v>7424</v>
      </c>
      <c r="EG170" s="222">
        <f t="shared" si="1407"/>
        <v>3.8218390804597702</v>
      </c>
      <c r="EH170" s="223">
        <f t="shared" si="1408"/>
        <v>10.711206896551724</v>
      </c>
      <c r="EI170" s="243">
        <f t="shared" si="1409"/>
        <v>7.4676724137931032</v>
      </c>
      <c r="EJ170" s="243">
        <f t="shared" si="1410"/>
        <v>22.000718390804597</v>
      </c>
      <c r="EK170" s="252">
        <f t="shared" si="1293"/>
        <v>0</v>
      </c>
      <c r="EL170" s="309">
        <f t="shared" si="1411"/>
        <v>22.000718390804597</v>
      </c>
      <c r="EM170" s="218">
        <f>IF(EJ170&lt;=0,3,0)+IF(EJ170&gt;0,EJ170+1,0)*3+IF(EJ170&gt;12,EJ170-12,0)*3+IF(EJ170&gt;13,EJ170-13,0)*3+IF(EJ170&gt;14,EJ170-14,0)*3+IF(EJ170&gt;15,EJ170-15,0)*3+IF(EJ170&gt;16,EJ170-16,0)*3+IF(EJ170&gt;17,EJ170-17,0)*3+IF(EJ170&gt;18,EJ170-18,0)*3+IF(EJ170&gt;19,EJ170-19,0)*3+IF(EJ170&gt;20,EJ170-20,0)*3</f>
        <v>231.02155172413785</v>
      </c>
      <c r="EN170" s="242">
        <f>IF(EK170&lt;=0,3,0)+IF(EK170&gt;0,EK170+1,0)*3+IF(EK170&gt;12,EK170-12,0)*3+IF(EK170&gt;13,EK170-13,0)*3+IF(EK170&gt;14,EK170-14,0)*3+IF(EK170&gt;15,EK170-15,0)*3+IF(EK170&gt;16,EK170-16,0)*3+IF(EK170&gt;17,EK170-17,0)*3+IF(EK170&gt;18,EK170-18,0)*3+IF(EK170&gt;19,EK170-19,0)*3+IF(EK170&gt;20,EK170-20,0)*3</f>
        <v>3</v>
      </c>
      <c r="EO170" s="243">
        <f t="shared" si="1412"/>
        <v>228.02155172413785</v>
      </c>
      <c r="EP170" s="218">
        <f t="shared" si="1413"/>
        <v>0</v>
      </c>
      <c r="ER170" s="303" t="s">
        <v>301</v>
      </c>
      <c r="ES170" s="304" t="s">
        <v>86</v>
      </c>
      <c r="ET170" s="305" t="s">
        <v>135</v>
      </c>
      <c r="EU170" s="317">
        <f>Konvention_1slave-MUslave</f>
        <v>12</v>
      </c>
      <c r="EV170" s="254"/>
      <c r="EW170" s="254">
        <f>Konvention_1slave-INslave</f>
        <v>12</v>
      </c>
      <c r="EX170" s="254">
        <f t="shared" si="1472"/>
        <v>12</v>
      </c>
      <c r="EY170" s="254"/>
      <c r="EZ170" s="254"/>
      <c r="FA170" s="254"/>
      <c r="FB170" s="318"/>
      <c r="FC170" s="223">
        <f t="shared" si="1414"/>
        <v>12</v>
      </c>
      <c r="FD170" s="223">
        <f t="shared" si="1415"/>
        <v>24</v>
      </c>
      <c r="FE170" s="224">
        <f t="shared" si="1416"/>
        <v>36</v>
      </c>
      <c r="FF170" s="237">
        <f t="shared" si="1355"/>
        <v>2304</v>
      </c>
      <c r="FG170" s="254">
        <f>EU170*EW170*CHslave+EU170*INslave*EX170+MUslave*EW170*EX170</f>
        <v>3456</v>
      </c>
      <c r="FH170" s="224">
        <f t="shared" si="1417"/>
        <v>1728</v>
      </c>
      <c r="FI170" s="224">
        <f t="shared" si="1299"/>
        <v>7488</v>
      </c>
      <c r="FJ170" s="222">
        <f t="shared" si="1418"/>
        <v>3.6923076923076925</v>
      </c>
      <c r="FK170" s="223">
        <f t="shared" si="1419"/>
        <v>11.076923076923077</v>
      </c>
      <c r="FL170" s="243">
        <f t="shared" si="1420"/>
        <v>8.3076923076923084</v>
      </c>
      <c r="FM170" s="243">
        <f t="shared" si="1421"/>
        <v>23.07692307692308</v>
      </c>
      <c r="FN170" s="252">
        <f t="shared" si="1304"/>
        <v>0</v>
      </c>
      <c r="FO170" s="309">
        <f t="shared" si="1422"/>
        <v>23.07692307692308</v>
      </c>
      <c r="FP170" s="218">
        <f>IF(FM170&lt;=0,3,0)+IF(FM170&gt;0,FM170+1,0)*3+IF(FM170&gt;12,FM170-12,0)*3+IF(FM170&gt;13,FM170-13,0)*3+IF(FM170&gt;14,FM170-14,0)*3+IF(FM170&gt;15,FM170-15,0)*3+IF(FM170&gt;16,FM170-16,0)*3+IF(FM170&gt;17,FM170-17,0)*3+IF(FM170&gt;18,FM170-18,0)*3+IF(FM170&gt;19,FM170-19,0)*3+IF(FM170&gt;20,FM170-20,0)*3</f>
        <v>263.30769230769232</v>
      </c>
      <c r="FQ170" s="242">
        <f>IF(FN170&lt;=0,3,0)+IF(FN170&gt;0,FN170+1,0)*3+IF(FN170&gt;12,FN170-12,0)*3+IF(FN170&gt;13,FN170-13,0)*3+IF(FN170&gt;14,FN170-14,0)*3+IF(FN170&gt;15,FN170-15,0)*3+IF(FN170&gt;16,FN170-16,0)*3+IF(FN170&gt;17,FN170-17,0)*3+IF(FN170&gt;18,FN170-18,0)*3+IF(FN170&gt;19,FN170-19,0)*3+IF(FN170&gt;20,FN170-20,0)*3</f>
        <v>3</v>
      </c>
      <c r="FR170" s="243">
        <f t="shared" si="1423"/>
        <v>260.30769230769232</v>
      </c>
      <c r="FS170" s="218">
        <f t="shared" si="1424"/>
        <v>0</v>
      </c>
      <c r="FU170" s="303" t="s">
        <v>301</v>
      </c>
      <c r="FV170" s="304" t="s">
        <v>86</v>
      </c>
      <c r="FW170" s="305" t="s">
        <v>135</v>
      </c>
      <c r="FX170" s="317">
        <f>Konvention_1slave-MUslave</f>
        <v>12</v>
      </c>
      <c r="FY170" s="254"/>
      <c r="FZ170" s="254">
        <f>Konvention_1slave-INslave</f>
        <v>12</v>
      </c>
      <c r="GA170" s="254">
        <f t="shared" si="1475"/>
        <v>12</v>
      </c>
      <c r="GB170" s="254"/>
      <c r="GC170" s="254"/>
      <c r="GD170" s="254"/>
      <c r="GE170" s="318"/>
      <c r="GF170" s="223">
        <f t="shared" si="1425"/>
        <v>12</v>
      </c>
      <c r="GG170" s="223">
        <f t="shared" si="1426"/>
        <v>24</v>
      </c>
      <c r="GH170" s="224">
        <f t="shared" si="1427"/>
        <v>36</v>
      </c>
      <c r="GI170" s="237">
        <f t="shared" si="1356"/>
        <v>2304</v>
      </c>
      <c r="GJ170" s="254">
        <f>FX170*FZ170*CHslave+FX170*INslave*GA170+MUslave*FZ170*GA170</f>
        <v>3456</v>
      </c>
      <c r="GK170" s="224">
        <f t="shared" si="1428"/>
        <v>1728</v>
      </c>
      <c r="GL170" s="224">
        <f t="shared" si="1310"/>
        <v>7488</v>
      </c>
      <c r="GM170" s="222">
        <f t="shared" si="1429"/>
        <v>3.6923076923076925</v>
      </c>
      <c r="GN170" s="223">
        <f t="shared" si="1430"/>
        <v>11.076923076923077</v>
      </c>
      <c r="GO170" s="243">
        <f t="shared" si="1431"/>
        <v>8.3076923076923084</v>
      </c>
      <c r="GP170" s="243">
        <f t="shared" si="1432"/>
        <v>23.07692307692308</v>
      </c>
      <c r="GQ170" s="252">
        <f t="shared" si="1315"/>
        <v>0</v>
      </c>
      <c r="GR170" s="309">
        <f t="shared" si="1433"/>
        <v>23.07692307692308</v>
      </c>
      <c r="GS170" s="218">
        <f>IF(GP170&lt;=0,3,0)+IF(GP170&gt;0,GP170+1,0)*3+IF(GP170&gt;12,GP170-12,0)*3+IF(GP170&gt;13,GP170-13,0)*3+IF(GP170&gt;14,GP170-14,0)*3+IF(GP170&gt;15,GP170-15,0)*3+IF(GP170&gt;16,GP170-16,0)*3+IF(GP170&gt;17,GP170-17,0)*3+IF(GP170&gt;18,GP170-18,0)*3+IF(GP170&gt;19,GP170-19,0)*3+IF(GP170&gt;20,GP170-20,0)*3</f>
        <v>263.30769230769232</v>
      </c>
      <c r="GT170" s="242">
        <f>IF(GQ170&lt;=0,3,0)+IF(GQ170&gt;0,GQ170+1,0)*3+IF(GQ170&gt;12,GQ170-12,0)*3+IF(GQ170&gt;13,GQ170-13,0)*3+IF(GQ170&gt;14,GQ170-14,0)*3+IF(GQ170&gt;15,GQ170-15,0)*3+IF(GQ170&gt;16,GQ170-16,0)*3+IF(GQ170&gt;17,GQ170-17,0)*3+IF(GQ170&gt;18,GQ170-18,0)*3+IF(GQ170&gt;19,GQ170-19,0)*3+IF(GQ170&gt;20,GQ170-20,0)*3</f>
        <v>3</v>
      </c>
      <c r="GU170" s="243">
        <f t="shared" si="1434"/>
        <v>260.30769230769232</v>
      </c>
      <c r="GV170" s="218">
        <f t="shared" si="1435"/>
        <v>0</v>
      </c>
      <c r="GX170" s="303" t="s">
        <v>301</v>
      </c>
      <c r="GY170" s="304" t="s">
        <v>86</v>
      </c>
      <c r="GZ170" s="305" t="s">
        <v>135</v>
      </c>
      <c r="HA170" s="317">
        <f>Konvention_1slave-MUslave</f>
        <v>12</v>
      </c>
      <c r="HB170" s="254"/>
      <c r="HC170" s="254">
        <f>Konvention_1slave-INslave</f>
        <v>12</v>
      </c>
      <c r="HD170" s="254">
        <f t="shared" si="1478"/>
        <v>12</v>
      </c>
      <c r="HE170" s="254"/>
      <c r="HF170" s="254"/>
      <c r="HG170" s="254"/>
      <c r="HH170" s="318"/>
      <c r="HI170" s="223">
        <f t="shared" si="1436"/>
        <v>12</v>
      </c>
      <c r="HJ170" s="223">
        <f t="shared" si="1437"/>
        <v>24</v>
      </c>
      <c r="HK170" s="224">
        <f t="shared" si="1438"/>
        <v>36</v>
      </c>
      <c r="HL170" s="237">
        <f t="shared" si="1357"/>
        <v>2304</v>
      </c>
      <c r="HM170" s="254">
        <f>HA170*HC170*CHslave+HA170*INslave*HD170+MUslave*HC170*HD170</f>
        <v>3456</v>
      </c>
      <c r="HN170" s="224">
        <f t="shared" si="1439"/>
        <v>1728</v>
      </c>
      <c r="HO170" s="224">
        <f t="shared" si="1321"/>
        <v>7488</v>
      </c>
      <c r="HP170" s="222">
        <f t="shared" si="1440"/>
        <v>3.6923076923076925</v>
      </c>
      <c r="HQ170" s="223">
        <f t="shared" si="1441"/>
        <v>11.076923076923077</v>
      </c>
      <c r="HR170" s="243">
        <f t="shared" si="1442"/>
        <v>8.3076923076923084</v>
      </c>
      <c r="HS170" s="243">
        <f t="shared" si="1443"/>
        <v>23.07692307692308</v>
      </c>
      <c r="HT170" s="252">
        <f t="shared" si="1326"/>
        <v>0</v>
      </c>
      <c r="HU170" s="309">
        <f t="shared" si="1444"/>
        <v>23.07692307692308</v>
      </c>
      <c r="HV170" s="218">
        <f>IF(HS170&lt;=0,3,0)+IF(HS170&gt;0,HS170+1,0)*3+IF(HS170&gt;12,HS170-12,0)*3+IF(HS170&gt;13,HS170-13,0)*3+IF(HS170&gt;14,HS170-14,0)*3+IF(HS170&gt;15,HS170-15,0)*3+IF(HS170&gt;16,HS170-16,0)*3+IF(HS170&gt;17,HS170-17,0)*3+IF(HS170&gt;18,HS170-18,0)*3+IF(HS170&gt;19,HS170-19,0)*3+IF(HS170&gt;20,HS170-20,0)*3</f>
        <v>263.30769230769232</v>
      </c>
      <c r="HW170" s="242">
        <f>IF(HT170&lt;=0,3,0)+IF(HT170&gt;0,HT170+1,0)*3+IF(HT170&gt;12,HT170-12,0)*3+IF(HT170&gt;13,HT170-13,0)*3+IF(HT170&gt;14,HT170-14,0)*3+IF(HT170&gt;15,HT170-15,0)*3+IF(HT170&gt;16,HT170-16,0)*3+IF(HT170&gt;17,HT170-17,0)*3+IF(HT170&gt;18,HT170-18,0)*3+IF(HT170&gt;19,HT170-19,0)*3+IF(HT170&gt;20,HT170-20,0)*3</f>
        <v>3</v>
      </c>
      <c r="HX170" s="243">
        <f t="shared" si="1445"/>
        <v>260.30769230769232</v>
      </c>
      <c r="HY170" s="218">
        <f t="shared" si="1446"/>
        <v>0</v>
      </c>
      <c r="IA170" s="303" t="s">
        <v>301</v>
      </c>
      <c r="IB170" s="304" t="s">
        <v>86</v>
      </c>
      <c r="IC170" s="305" t="s">
        <v>135</v>
      </c>
      <c r="ID170" s="317">
        <f>Konvention_1slave-MUslave</f>
        <v>12</v>
      </c>
      <c r="IE170" s="254"/>
      <c r="IF170" s="254">
        <f>Konvention_1slave-INslave</f>
        <v>12</v>
      </c>
      <c r="IG170" s="254">
        <f t="shared" si="1481"/>
        <v>12</v>
      </c>
      <c r="IH170" s="254"/>
      <c r="II170" s="254"/>
      <c r="IJ170" s="254"/>
      <c r="IK170" s="318"/>
      <c r="IL170" s="223">
        <f t="shared" si="1447"/>
        <v>12</v>
      </c>
      <c r="IM170" s="223">
        <f t="shared" si="1448"/>
        <v>24</v>
      </c>
      <c r="IN170" s="224">
        <f t="shared" si="1449"/>
        <v>36</v>
      </c>
      <c r="IO170" s="237">
        <f t="shared" si="1358"/>
        <v>2304</v>
      </c>
      <c r="IP170" s="254">
        <f>ID170*IF170*CHslave+ID170*INslave*IG170+MUslave*IF170*IG170</f>
        <v>3456</v>
      </c>
      <c r="IQ170" s="224">
        <f t="shared" si="1450"/>
        <v>1728</v>
      </c>
      <c r="IR170" s="224">
        <f t="shared" si="1332"/>
        <v>7488</v>
      </c>
      <c r="IS170" s="222">
        <f t="shared" si="1451"/>
        <v>3.6923076923076925</v>
      </c>
      <c r="IT170" s="223">
        <f t="shared" si="1452"/>
        <v>11.076923076923077</v>
      </c>
      <c r="IU170" s="243">
        <f t="shared" si="1453"/>
        <v>8.3076923076923084</v>
      </c>
      <c r="IV170" s="243">
        <f t="shared" si="1454"/>
        <v>23.07692307692308</v>
      </c>
      <c r="IW170" s="252">
        <f t="shared" si="1337"/>
        <v>0</v>
      </c>
      <c r="IX170" s="309">
        <f t="shared" si="1455"/>
        <v>23.07692307692308</v>
      </c>
      <c r="IY170" s="218">
        <f>IF(IV170&lt;=0,3,0)+IF(IV170&gt;0,IV170+1,0)*3+IF(IV170&gt;12,IV170-12,0)*3+IF(IV170&gt;13,IV170-13,0)*3+IF(IV170&gt;14,IV170-14,0)*3+IF(IV170&gt;15,IV170-15,0)*3+IF(IV170&gt;16,IV170-16,0)*3+IF(IV170&gt;17,IV170-17,0)*3+IF(IV170&gt;18,IV170-18,0)*3+IF(IV170&gt;19,IV170-19,0)*3+IF(IV170&gt;20,IV170-20,0)*3</f>
        <v>263.30769230769232</v>
      </c>
      <c r="IZ170" s="242">
        <f>IF(IW170&lt;=0,3,0)+IF(IW170&gt;0,IW170+1,0)*3+IF(IW170&gt;12,IW170-12,0)*3+IF(IW170&gt;13,IW170-13,0)*3+IF(IW170&gt;14,IW170-14,0)*3+IF(IW170&gt;15,IW170-15,0)*3+IF(IW170&gt;16,IW170-16,0)*3+IF(IW170&gt;17,IW170-17,0)*3+IF(IW170&gt;18,IW170-18,0)*3+IF(IW170&gt;19,IW170-19,0)*3+IF(IW170&gt;20,IW170-20,0)*3</f>
        <v>3</v>
      </c>
      <c r="JA170" s="243">
        <f t="shared" si="1456"/>
        <v>260.30769230769232</v>
      </c>
      <c r="JB170" s="218">
        <f t="shared" si="1457"/>
        <v>0</v>
      </c>
      <c r="JE170" s="148"/>
    </row>
    <row r="171" spans="2:265" hidden="1" outlineLevel="2">
      <c r="B171" s="148">
        <v>19</v>
      </c>
      <c r="C171" s="303" t="e">
        <f>VLOOKUP(AF171,Attribute!C:T,1,FALSE)</f>
        <v>#N/A</v>
      </c>
      <c r="D171" s="86" t="s">
        <v>87</v>
      </c>
      <c r="E171" s="167" t="s">
        <v>132</v>
      </c>
      <c r="F171" s="120"/>
      <c r="G171" s="117">
        <f>Konvention_1master-KLmaster</f>
        <v>12</v>
      </c>
      <c r="H171" s="117">
        <f t="shared" si="1487"/>
        <v>12</v>
      </c>
      <c r="I171" s="117">
        <f t="shared" si="1458"/>
        <v>12</v>
      </c>
      <c r="J171" s="117"/>
      <c r="K171" s="117"/>
      <c r="L171" s="117"/>
      <c r="M171" s="121"/>
      <c r="N171" s="223">
        <f t="shared" si="1359"/>
        <v>12</v>
      </c>
      <c r="O171" s="223">
        <f t="shared" si="1360"/>
        <v>24</v>
      </c>
      <c r="P171" s="224">
        <f t="shared" si="1361"/>
        <v>36</v>
      </c>
      <c r="Q171" s="237">
        <f t="shared" si="1350"/>
        <v>2304</v>
      </c>
      <c r="R171" s="117">
        <f>G171*H171*CHmaster+G171*INmaster*I171+KLmaster*H171*I171</f>
        <v>3456</v>
      </c>
      <c r="S171" s="224">
        <f t="shared" si="1362"/>
        <v>1728</v>
      </c>
      <c r="T171" s="224">
        <f>SUM(Q171:S171)</f>
        <v>7488</v>
      </c>
      <c r="U171" s="222">
        <f t="shared" si="1363"/>
        <v>3.6923076923076925</v>
      </c>
      <c r="V171" s="223">
        <f t="shared" si="1364"/>
        <v>11.076923076923077</v>
      </c>
      <c r="W171" s="243">
        <f t="shared" si="1365"/>
        <v>8.3076923076923084</v>
      </c>
      <c r="X171" s="243">
        <f t="shared" si="1366"/>
        <v>23.07692307692308</v>
      </c>
      <c r="Y171" s="252">
        <v>0</v>
      </c>
      <c r="Z171" s="198">
        <f t="shared" si="1367"/>
        <v>23.07692307692308</v>
      </c>
      <c r="AA171" s="125">
        <f>IF(X171&lt;=0,2,0)+IF(X171&gt;0,X171+1,0)*2+IF(X171&gt;12,X171-12,0)*2+IF(X171&gt;13,X171-13,0)*2+IF(X171&gt;14,X171-14,0)*2+IF(X171&gt;15,X171-15,0)*2+IF(X171&gt;16,X171-16,0)*2+IF(X171&gt;17,X171-17,0)*2+IF(X171&gt;18,X171-18,0)*2+IF(X171&gt;19,X171-19,0)*2+IF(X171&gt;20,X171-20,0)*2</f>
        <v>175.5384615384616</v>
      </c>
      <c r="AB171" s="160">
        <f>IF(Y171&lt;=0,2,0)+IF(Y171&gt;0,Y171+1,0)*2+IF(Y171&gt;12,Y171-12,0)*2+IF(Y171&gt;13,Y171-13,0)*2+IF(Y171&gt;14,Y171-14,0)*2+IF(Y171&gt;15,Y171-15,0)*2+IF(Y171&gt;16,Y171-16,0)*2+IF(Y171&gt;17,Y171-17,0)*2+IF(Y171&gt;18,Y171-18,0)*2+IF(Y171&gt;19,Y171-19,0)*2+IF(Y171&gt;20,Y171-20,0)*2</f>
        <v>2</v>
      </c>
      <c r="AC171" s="127">
        <f t="shared" si="1368"/>
        <v>173.5384615384616</v>
      </c>
      <c r="AD171" s="125">
        <f t="shared" si="1369"/>
        <v>0</v>
      </c>
      <c r="AF171" s="163" t="s">
        <v>357</v>
      </c>
      <c r="AG171" s="86" t="s">
        <v>87</v>
      </c>
      <c r="AH171" s="167" t="s">
        <v>132</v>
      </c>
      <c r="AI171" s="120"/>
      <c r="AJ171" s="117">
        <f>Konvention_1slave-KLslave</f>
        <v>12</v>
      </c>
      <c r="AK171" s="117">
        <f>Konvention_1slave-INslave</f>
        <v>12</v>
      </c>
      <c r="AL171" s="117">
        <f t="shared" si="1484"/>
        <v>12</v>
      </c>
      <c r="AM171" s="117"/>
      <c r="AN171" s="117"/>
      <c r="AO171" s="117"/>
      <c r="AP171" s="121"/>
      <c r="AQ171" s="47">
        <f t="shared" si="1370"/>
        <v>12</v>
      </c>
      <c r="AR171" s="3">
        <f t="shared" si="1371"/>
        <v>24</v>
      </c>
      <c r="AS171" s="174">
        <f t="shared" si="1372"/>
        <v>36</v>
      </c>
      <c r="AT171" s="114">
        <f t="shared" si="1351"/>
        <v>2304</v>
      </c>
      <c r="AU171" s="117">
        <f>AJ171*AK171*CHslave+AJ171*INslave*AL171+KLslave*AK171*AL171</f>
        <v>3456</v>
      </c>
      <c r="AV171" s="119">
        <f t="shared" si="1373"/>
        <v>1728</v>
      </c>
      <c r="AW171" s="119">
        <f t="shared" si="1255"/>
        <v>7488</v>
      </c>
      <c r="AX171" s="89">
        <f t="shared" si="1374"/>
        <v>3.6923076923076925</v>
      </c>
      <c r="AY171" s="47">
        <f t="shared" si="1375"/>
        <v>11.076923076923077</v>
      </c>
      <c r="AZ171" s="127">
        <f t="shared" si="1376"/>
        <v>8.3076923076923084</v>
      </c>
      <c r="BA171" s="127">
        <f t="shared" si="1377"/>
        <v>23.07692307692308</v>
      </c>
      <c r="BB171" s="165">
        <f t="shared" si="1260"/>
        <v>0</v>
      </c>
      <c r="BC171" s="198">
        <f t="shared" si="1378"/>
        <v>23.07692307692308</v>
      </c>
      <c r="BD171" s="125">
        <f>IF(BA171&lt;=0,2,0)+IF(BA171&gt;0,BA171+1,0)*2+IF(BA171&gt;12,BA171-12,0)*2+IF(BA171&gt;13,BA171-13,0)*2+IF(BA171&gt;14,BA171-14,0)*2+IF(BA171&gt;15,BA171-15,0)*2+IF(BA171&gt;16,BA171-16,0)*2+IF(BA171&gt;17,BA171-17,0)*2+IF(BA171&gt;18,BA171-18,0)*2+IF(BA171&gt;19,BA171-19,0)*2+IF(BA171&gt;20,BA171-20,0)*2</f>
        <v>175.5384615384616</v>
      </c>
      <c r="BE171" s="160">
        <f>IF(BB171&lt;=0,2,0)+IF(BB171&gt;0,BB171+1,0)*2+IF(BB171&gt;12,BB171-12,0)*2+IF(BB171&gt;13,BB171-13,0)*2+IF(BB171&gt;14,BB171-14,0)*2+IF(BB171&gt;15,BB171-15,0)*2+IF(BB171&gt;16,BB171-16,0)*2+IF(BB171&gt;17,BB171-17,0)*2+IF(BB171&gt;18,BB171-18,0)*2+IF(BB171&gt;19,BB171-19,0)*2+IF(BB171&gt;20,BB171-20,0)*2</f>
        <v>2</v>
      </c>
      <c r="BF171" s="243">
        <f t="shared" si="1379"/>
        <v>173.5384615384616</v>
      </c>
      <c r="BG171" s="218">
        <f t="shared" si="1380"/>
        <v>0</v>
      </c>
      <c r="BI171" s="303" t="s">
        <v>357</v>
      </c>
      <c r="BJ171" s="304" t="s">
        <v>87</v>
      </c>
      <c r="BK171" s="305" t="s">
        <v>132</v>
      </c>
      <c r="BL171" s="317"/>
      <c r="BM171" s="254">
        <f>Konvention_1slave-KLslave_KL</f>
        <v>11</v>
      </c>
      <c r="BN171" s="254">
        <f>Konvention_1slave-INslave</f>
        <v>12</v>
      </c>
      <c r="BO171" s="254">
        <f t="shared" si="1463"/>
        <v>12</v>
      </c>
      <c r="BP171" s="254"/>
      <c r="BQ171" s="254"/>
      <c r="BR171" s="254"/>
      <c r="BS171" s="318"/>
      <c r="BT171" s="223">
        <f t="shared" si="1381"/>
        <v>11.666666666666666</v>
      </c>
      <c r="BU171" s="223">
        <f t="shared" si="1382"/>
        <v>23.333333333333332</v>
      </c>
      <c r="BV171" s="224">
        <f t="shared" si="1383"/>
        <v>35</v>
      </c>
      <c r="BW171" s="237">
        <f t="shared" si="1352"/>
        <v>2432</v>
      </c>
      <c r="BX171" s="254">
        <f>BM171*BN171*CHslave+BM171*INslave*BO171+KLslave_KL*BN171*BO171</f>
        <v>3408</v>
      </c>
      <c r="BY171" s="224">
        <f t="shared" si="1384"/>
        <v>1584</v>
      </c>
      <c r="BZ171" s="224">
        <f t="shared" si="1266"/>
        <v>7424</v>
      </c>
      <c r="CA171" s="222">
        <f t="shared" si="1385"/>
        <v>3.8218390804597702</v>
      </c>
      <c r="CB171" s="223">
        <f t="shared" si="1386"/>
        <v>10.711206896551724</v>
      </c>
      <c r="CC171" s="243">
        <f t="shared" si="1387"/>
        <v>7.4676724137931032</v>
      </c>
      <c r="CD171" s="243">
        <f t="shared" si="1388"/>
        <v>22.000718390804597</v>
      </c>
      <c r="CE171" s="252">
        <f t="shared" si="1271"/>
        <v>0</v>
      </c>
      <c r="CF171" s="309">
        <f t="shared" si="1389"/>
        <v>22.000718390804597</v>
      </c>
      <c r="CG171" s="218">
        <f>IF(CD171&lt;=0,2,0)+IF(CD171&gt;0,CD171+1,0)*2+IF(CD171&gt;12,CD171-12,0)*2+IF(CD171&gt;13,CD171-13,0)*2+IF(CD171&gt;14,CD171-14,0)*2+IF(CD171&gt;15,CD171-15,0)*2+IF(CD171&gt;16,CD171-16,0)*2+IF(CD171&gt;17,CD171-17,0)*2+IF(CD171&gt;18,CD171-18,0)*2+IF(CD171&gt;19,CD171-19,0)*2+IF(CD171&gt;20,CD171-20,0)*2</f>
        <v>154.01436781609189</v>
      </c>
      <c r="CH171" s="242">
        <f>IF(CE171&lt;=0,2,0)+IF(CE171&gt;0,CE171+1,0)*2+IF(CE171&gt;12,CE171-12,0)*2+IF(CE171&gt;13,CE171-13,0)*2+IF(CE171&gt;14,CE171-14,0)*2+IF(CE171&gt;15,CE171-15,0)*2+IF(CE171&gt;16,CE171-16,0)*2+IF(CE171&gt;17,CE171-17,0)*2+IF(CE171&gt;18,CE171-18,0)*2+IF(CE171&gt;19,CE171-19,0)*2+IF(CE171&gt;20,CE171-20,0)*2</f>
        <v>2</v>
      </c>
      <c r="CI171" s="243">
        <f t="shared" si="1390"/>
        <v>152.01436781609189</v>
      </c>
      <c r="CJ171" s="218">
        <f t="shared" si="1391"/>
        <v>0</v>
      </c>
      <c r="CL171" s="303" t="s">
        <v>357</v>
      </c>
      <c r="CM171" s="304" t="s">
        <v>87</v>
      </c>
      <c r="CN171" s="305" t="s">
        <v>132</v>
      </c>
      <c r="CO171" s="317"/>
      <c r="CP171" s="254">
        <f>Konvention_1slave-KLslave</f>
        <v>12</v>
      </c>
      <c r="CQ171" s="254">
        <f>Konvention_1slave-INslave_IN</f>
        <v>11</v>
      </c>
      <c r="CR171" s="254">
        <f t="shared" si="1466"/>
        <v>12</v>
      </c>
      <c r="CS171" s="254"/>
      <c r="CT171" s="254"/>
      <c r="CU171" s="254"/>
      <c r="CV171" s="318"/>
      <c r="CW171" s="223">
        <f t="shared" si="1392"/>
        <v>11.666666666666666</v>
      </c>
      <c r="CX171" s="223">
        <f t="shared" si="1393"/>
        <v>23.333333333333332</v>
      </c>
      <c r="CY171" s="224">
        <f t="shared" si="1394"/>
        <v>35</v>
      </c>
      <c r="CZ171" s="237">
        <f t="shared" si="1353"/>
        <v>2432</v>
      </c>
      <c r="DA171" s="254">
        <f>CP171*CQ171*CHslave+CP171*INslave_IN*CR171+KLslave*CQ171*CR171</f>
        <v>3408</v>
      </c>
      <c r="DB171" s="224">
        <f t="shared" si="1395"/>
        <v>1584</v>
      </c>
      <c r="DC171" s="224">
        <f t="shared" si="1277"/>
        <v>7424</v>
      </c>
      <c r="DD171" s="222">
        <f t="shared" si="1396"/>
        <v>3.8218390804597702</v>
      </c>
      <c r="DE171" s="223">
        <f t="shared" si="1397"/>
        <v>10.711206896551724</v>
      </c>
      <c r="DF171" s="243">
        <f t="shared" si="1398"/>
        <v>7.4676724137931032</v>
      </c>
      <c r="DG171" s="243">
        <f t="shared" si="1399"/>
        <v>22.000718390804597</v>
      </c>
      <c r="DH171" s="252">
        <f t="shared" si="1282"/>
        <v>0</v>
      </c>
      <c r="DI171" s="309">
        <f t="shared" si="1400"/>
        <v>22.000718390804597</v>
      </c>
      <c r="DJ171" s="218">
        <f>IF(DG171&lt;=0,2,0)+IF(DG171&gt;0,DG171+1,0)*2+IF(DG171&gt;12,DG171-12,0)*2+IF(DG171&gt;13,DG171-13,0)*2+IF(DG171&gt;14,DG171-14,0)*2+IF(DG171&gt;15,DG171-15,0)*2+IF(DG171&gt;16,DG171-16,0)*2+IF(DG171&gt;17,DG171-17,0)*2+IF(DG171&gt;18,DG171-18,0)*2+IF(DG171&gt;19,DG171-19,0)*2+IF(DG171&gt;20,DG171-20,0)*2</f>
        <v>154.01436781609189</v>
      </c>
      <c r="DK171" s="242">
        <f>IF(DH171&lt;=0,2,0)+IF(DH171&gt;0,DH171+1,0)*2+IF(DH171&gt;12,DH171-12,0)*2+IF(DH171&gt;13,DH171-13,0)*2+IF(DH171&gt;14,DH171-14,0)*2+IF(DH171&gt;15,DH171-15,0)*2+IF(DH171&gt;16,DH171-16,0)*2+IF(DH171&gt;17,DH171-17,0)*2+IF(DH171&gt;18,DH171-18,0)*2+IF(DH171&gt;19,DH171-19,0)*2+IF(DH171&gt;20,DH171-20,0)*2</f>
        <v>2</v>
      </c>
      <c r="DL171" s="243">
        <f t="shared" si="1401"/>
        <v>152.01436781609189</v>
      </c>
      <c r="DM171" s="218">
        <f t="shared" si="1402"/>
        <v>0</v>
      </c>
      <c r="DO171" s="303" t="s">
        <v>357</v>
      </c>
      <c r="DP171" s="304" t="s">
        <v>87</v>
      </c>
      <c r="DQ171" s="305" t="s">
        <v>132</v>
      </c>
      <c r="DR171" s="317"/>
      <c r="DS171" s="254">
        <f>Konvention_1slave-KLslave</f>
        <v>12</v>
      </c>
      <c r="DT171" s="254">
        <f>Konvention_1slave-INslave</f>
        <v>12</v>
      </c>
      <c r="DU171" s="254">
        <f t="shared" si="1469"/>
        <v>11</v>
      </c>
      <c r="DV171" s="254"/>
      <c r="DW171" s="254"/>
      <c r="DX171" s="254"/>
      <c r="DY171" s="318"/>
      <c r="DZ171" s="223">
        <f t="shared" si="1403"/>
        <v>11.666666666666666</v>
      </c>
      <c r="EA171" s="223">
        <f t="shared" si="1404"/>
        <v>23.333333333333332</v>
      </c>
      <c r="EB171" s="224">
        <f t="shared" si="1405"/>
        <v>35</v>
      </c>
      <c r="EC171" s="237">
        <f t="shared" si="1354"/>
        <v>2432</v>
      </c>
      <c r="ED171" s="254">
        <f>DS171*DT171*CHslave_CH+DS171*INslave*DU171+KLslave*DT171*DU171</f>
        <v>3408</v>
      </c>
      <c r="EE171" s="224">
        <f t="shared" si="1406"/>
        <v>1584</v>
      </c>
      <c r="EF171" s="224">
        <f t="shared" si="1288"/>
        <v>7424</v>
      </c>
      <c r="EG171" s="222">
        <f t="shared" si="1407"/>
        <v>3.8218390804597702</v>
      </c>
      <c r="EH171" s="223">
        <f t="shared" si="1408"/>
        <v>10.711206896551724</v>
      </c>
      <c r="EI171" s="243">
        <f t="shared" si="1409"/>
        <v>7.4676724137931032</v>
      </c>
      <c r="EJ171" s="243">
        <f t="shared" si="1410"/>
        <v>22.000718390804597</v>
      </c>
      <c r="EK171" s="252">
        <f t="shared" si="1293"/>
        <v>0</v>
      </c>
      <c r="EL171" s="309">
        <f t="shared" si="1411"/>
        <v>22.000718390804597</v>
      </c>
      <c r="EM171" s="218">
        <f>IF(EJ171&lt;=0,2,0)+IF(EJ171&gt;0,EJ171+1,0)*2+IF(EJ171&gt;12,EJ171-12,0)*2+IF(EJ171&gt;13,EJ171-13,0)*2+IF(EJ171&gt;14,EJ171-14,0)*2+IF(EJ171&gt;15,EJ171-15,0)*2+IF(EJ171&gt;16,EJ171-16,0)*2+IF(EJ171&gt;17,EJ171-17,0)*2+IF(EJ171&gt;18,EJ171-18,0)*2+IF(EJ171&gt;19,EJ171-19,0)*2+IF(EJ171&gt;20,EJ171-20,0)*2</f>
        <v>154.01436781609189</v>
      </c>
      <c r="EN171" s="242">
        <f>IF(EK171&lt;=0,2,0)+IF(EK171&gt;0,EK171+1,0)*2+IF(EK171&gt;12,EK171-12,0)*2+IF(EK171&gt;13,EK171-13,0)*2+IF(EK171&gt;14,EK171-14,0)*2+IF(EK171&gt;15,EK171-15,0)*2+IF(EK171&gt;16,EK171-16,0)*2+IF(EK171&gt;17,EK171-17,0)*2+IF(EK171&gt;18,EK171-18,0)*2+IF(EK171&gt;19,EK171-19,0)*2+IF(EK171&gt;20,EK171-20,0)*2</f>
        <v>2</v>
      </c>
      <c r="EO171" s="243">
        <f t="shared" si="1412"/>
        <v>152.01436781609189</v>
      </c>
      <c r="EP171" s="218">
        <f t="shared" si="1413"/>
        <v>0</v>
      </c>
      <c r="ER171" s="303" t="s">
        <v>357</v>
      </c>
      <c r="ES171" s="304" t="s">
        <v>87</v>
      </c>
      <c r="ET171" s="305" t="s">
        <v>132</v>
      </c>
      <c r="EU171" s="317"/>
      <c r="EV171" s="254">
        <f>Konvention_1slave-KLslave</f>
        <v>12</v>
      </c>
      <c r="EW171" s="254">
        <f>Konvention_1slave-INslave</f>
        <v>12</v>
      </c>
      <c r="EX171" s="254">
        <f t="shared" si="1472"/>
        <v>12</v>
      </c>
      <c r="EY171" s="254"/>
      <c r="EZ171" s="254"/>
      <c r="FA171" s="254"/>
      <c r="FB171" s="318"/>
      <c r="FC171" s="223">
        <f t="shared" si="1414"/>
        <v>12</v>
      </c>
      <c r="FD171" s="223">
        <f t="shared" si="1415"/>
        <v>24</v>
      </c>
      <c r="FE171" s="224">
        <f t="shared" si="1416"/>
        <v>36</v>
      </c>
      <c r="FF171" s="237">
        <f t="shared" si="1355"/>
        <v>2304</v>
      </c>
      <c r="FG171" s="254">
        <f>EV171*EW171*CHslave+EV171*INslave*EX171+KLslave*EW171*EX171</f>
        <v>3456</v>
      </c>
      <c r="FH171" s="224">
        <f t="shared" si="1417"/>
        <v>1728</v>
      </c>
      <c r="FI171" s="224">
        <f t="shared" si="1299"/>
        <v>7488</v>
      </c>
      <c r="FJ171" s="222">
        <f t="shared" si="1418"/>
        <v>3.6923076923076925</v>
      </c>
      <c r="FK171" s="223">
        <f t="shared" si="1419"/>
        <v>11.076923076923077</v>
      </c>
      <c r="FL171" s="243">
        <f t="shared" si="1420"/>
        <v>8.3076923076923084</v>
      </c>
      <c r="FM171" s="243">
        <f t="shared" si="1421"/>
        <v>23.07692307692308</v>
      </c>
      <c r="FN171" s="252">
        <f t="shared" si="1304"/>
        <v>0</v>
      </c>
      <c r="FO171" s="309">
        <f t="shared" si="1422"/>
        <v>23.07692307692308</v>
      </c>
      <c r="FP171" s="218">
        <f>IF(FM171&lt;=0,2,0)+IF(FM171&gt;0,FM171+1,0)*2+IF(FM171&gt;12,FM171-12,0)*2+IF(FM171&gt;13,FM171-13,0)*2+IF(FM171&gt;14,FM171-14,0)*2+IF(FM171&gt;15,FM171-15,0)*2+IF(FM171&gt;16,FM171-16,0)*2+IF(FM171&gt;17,FM171-17,0)*2+IF(FM171&gt;18,FM171-18,0)*2+IF(FM171&gt;19,FM171-19,0)*2+IF(FM171&gt;20,FM171-20,0)*2</f>
        <v>175.5384615384616</v>
      </c>
      <c r="FQ171" s="242">
        <f>IF(FN171&lt;=0,2,0)+IF(FN171&gt;0,FN171+1,0)*2+IF(FN171&gt;12,FN171-12,0)*2+IF(FN171&gt;13,FN171-13,0)*2+IF(FN171&gt;14,FN171-14,0)*2+IF(FN171&gt;15,FN171-15,0)*2+IF(FN171&gt;16,FN171-16,0)*2+IF(FN171&gt;17,FN171-17,0)*2+IF(FN171&gt;18,FN171-18,0)*2+IF(FN171&gt;19,FN171-19,0)*2+IF(FN171&gt;20,FN171-20,0)*2</f>
        <v>2</v>
      </c>
      <c r="FR171" s="243">
        <f t="shared" si="1423"/>
        <v>173.5384615384616</v>
      </c>
      <c r="FS171" s="218">
        <f t="shared" si="1424"/>
        <v>0</v>
      </c>
      <c r="FU171" s="303" t="s">
        <v>357</v>
      </c>
      <c r="FV171" s="304" t="s">
        <v>87</v>
      </c>
      <c r="FW171" s="305" t="s">
        <v>132</v>
      </c>
      <c r="FX171" s="317"/>
      <c r="FY171" s="254">
        <f>Konvention_1slave-KLslave</f>
        <v>12</v>
      </c>
      <c r="FZ171" s="254">
        <f>Konvention_1slave-INslave</f>
        <v>12</v>
      </c>
      <c r="GA171" s="254">
        <f t="shared" si="1475"/>
        <v>12</v>
      </c>
      <c r="GB171" s="254"/>
      <c r="GC171" s="254"/>
      <c r="GD171" s="254"/>
      <c r="GE171" s="318"/>
      <c r="GF171" s="223">
        <f t="shared" si="1425"/>
        <v>12</v>
      </c>
      <c r="GG171" s="223">
        <f t="shared" si="1426"/>
        <v>24</v>
      </c>
      <c r="GH171" s="224">
        <f t="shared" si="1427"/>
        <v>36</v>
      </c>
      <c r="GI171" s="237">
        <f t="shared" si="1356"/>
        <v>2304</v>
      </c>
      <c r="GJ171" s="254">
        <f>FY171*FZ171*CHslave+FY171*INslave*GA171+KLslave*FZ171*GA171</f>
        <v>3456</v>
      </c>
      <c r="GK171" s="224">
        <f t="shared" si="1428"/>
        <v>1728</v>
      </c>
      <c r="GL171" s="224">
        <f t="shared" si="1310"/>
        <v>7488</v>
      </c>
      <c r="GM171" s="222">
        <f t="shared" si="1429"/>
        <v>3.6923076923076925</v>
      </c>
      <c r="GN171" s="223">
        <f t="shared" si="1430"/>
        <v>11.076923076923077</v>
      </c>
      <c r="GO171" s="243">
        <f t="shared" si="1431"/>
        <v>8.3076923076923084</v>
      </c>
      <c r="GP171" s="243">
        <f t="shared" si="1432"/>
        <v>23.07692307692308</v>
      </c>
      <c r="GQ171" s="252">
        <f t="shared" si="1315"/>
        <v>0</v>
      </c>
      <c r="GR171" s="309">
        <f t="shared" si="1433"/>
        <v>23.07692307692308</v>
      </c>
      <c r="GS171" s="218">
        <f>IF(GP171&lt;=0,2,0)+IF(GP171&gt;0,GP171+1,0)*2+IF(GP171&gt;12,GP171-12,0)*2+IF(GP171&gt;13,GP171-13,0)*2+IF(GP171&gt;14,GP171-14,0)*2+IF(GP171&gt;15,GP171-15,0)*2+IF(GP171&gt;16,GP171-16,0)*2+IF(GP171&gt;17,GP171-17,0)*2+IF(GP171&gt;18,GP171-18,0)*2+IF(GP171&gt;19,GP171-19,0)*2+IF(GP171&gt;20,GP171-20,0)*2</f>
        <v>175.5384615384616</v>
      </c>
      <c r="GT171" s="242">
        <f>IF(GQ171&lt;=0,2,0)+IF(GQ171&gt;0,GQ171+1,0)*2+IF(GQ171&gt;12,GQ171-12,0)*2+IF(GQ171&gt;13,GQ171-13,0)*2+IF(GQ171&gt;14,GQ171-14,0)*2+IF(GQ171&gt;15,GQ171-15,0)*2+IF(GQ171&gt;16,GQ171-16,0)*2+IF(GQ171&gt;17,GQ171-17,0)*2+IF(GQ171&gt;18,GQ171-18,0)*2+IF(GQ171&gt;19,GQ171-19,0)*2+IF(GQ171&gt;20,GQ171-20,0)*2</f>
        <v>2</v>
      </c>
      <c r="GU171" s="243">
        <f t="shared" si="1434"/>
        <v>173.5384615384616</v>
      </c>
      <c r="GV171" s="218">
        <f t="shared" si="1435"/>
        <v>0</v>
      </c>
      <c r="GX171" s="303" t="s">
        <v>357</v>
      </c>
      <c r="GY171" s="304" t="s">
        <v>87</v>
      </c>
      <c r="GZ171" s="305" t="s">
        <v>132</v>
      </c>
      <c r="HA171" s="317"/>
      <c r="HB171" s="254">
        <f>Konvention_1slave-KLslave</f>
        <v>12</v>
      </c>
      <c r="HC171" s="254">
        <f>Konvention_1slave-INslave</f>
        <v>12</v>
      </c>
      <c r="HD171" s="254">
        <f t="shared" si="1478"/>
        <v>12</v>
      </c>
      <c r="HE171" s="254"/>
      <c r="HF171" s="254"/>
      <c r="HG171" s="254"/>
      <c r="HH171" s="318"/>
      <c r="HI171" s="223">
        <f t="shared" si="1436"/>
        <v>12</v>
      </c>
      <c r="HJ171" s="223">
        <f t="shared" si="1437"/>
        <v>24</v>
      </c>
      <c r="HK171" s="224">
        <f t="shared" si="1438"/>
        <v>36</v>
      </c>
      <c r="HL171" s="237">
        <f t="shared" si="1357"/>
        <v>2304</v>
      </c>
      <c r="HM171" s="254">
        <f>HB171*HC171*CHslave+HB171*INslave*HD171+KLslave*HC171*HD171</f>
        <v>3456</v>
      </c>
      <c r="HN171" s="224">
        <f t="shared" si="1439"/>
        <v>1728</v>
      </c>
      <c r="HO171" s="224">
        <f t="shared" si="1321"/>
        <v>7488</v>
      </c>
      <c r="HP171" s="222">
        <f t="shared" si="1440"/>
        <v>3.6923076923076925</v>
      </c>
      <c r="HQ171" s="223">
        <f t="shared" si="1441"/>
        <v>11.076923076923077</v>
      </c>
      <c r="HR171" s="243">
        <f t="shared" si="1442"/>
        <v>8.3076923076923084</v>
      </c>
      <c r="HS171" s="243">
        <f t="shared" si="1443"/>
        <v>23.07692307692308</v>
      </c>
      <c r="HT171" s="252">
        <f t="shared" si="1326"/>
        <v>0</v>
      </c>
      <c r="HU171" s="309">
        <f t="shared" si="1444"/>
        <v>23.07692307692308</v>
      </c>
      <c r="HV171" s="218">
        <f>IF(HS171&lt;=0,2,0)+IF(HS171&gt;0,HS171+1,0)*2+IF(HS171&gt;12,HS171-12,0)*2+IF(HS171&gt;13,HS171-13,0)*2+IF(HS171&gt;14,HS171-14,0)*2+IF(HS171&gt;15,HS171-15,0)*2+IF(HS171&gt;16,HS171-16,0)*2+IF(HS171&gt;17,HS171-17,0)*2+IF(HS171&gt;18,HS171-18,0)*2+IF(HS171&gt;19,HS171-19,0)*2+IF(HS171&gt;20,HS171-20,0)*2</f>
        <v>175.5384615384616</v>
      </c>
      <c r="HW171" s="242">
        <f>IF(HT171&lt;=0,2,0)+IF(HT171&gt;0,HT171+1,0)*2+IF(HT171&gt;12,HT171-12,0)*2+IF(HT171&gt;13,HT171-13,0)*2+IF(HT171&gt;14,HT171-14,0)*2+IF(HT171&gt;15,HT171-15,0)*2+IF(HT171&gt;16,HT171-16,0)*2+IF(HT171&gt;17,HT171-17,0)*2+IF(HT171&gt;18,HT171-18,0)*2+IF(HT171&gt;19,HT171-19,0)*2+IF(HT171&gt;20,HT171-20,0)*2</f>
        <v>2</v>
      </c>
      <c r="HX171" s="243">
        <f t="shared" si="1445"/>
        <v>173.5384615384616</v>
      </c>
      <c r="HY171" s="218">
        <f t="shared" si="1446"/>
        <v>0</v>
      </c>
      <c r="IA171" s="303" t="s">
        <v>357</v>
      </c>
      <c r="IB171" s="304" t="s">
        <v>87</v>
      </c>
      <c r="IC171" s="305" t="s">
        <v>132</v>
      </c>
      <c r="ID171" s="317"/>
      <c r="IE171" s="254">
        <f>Konvention_1slave-KLslave</f>
        <v>12</v>
      </c>
      <c r="IF171" s="254">
        <f>Konvention_1slave-INslave</f>
        <v>12</v>
      </c>
      <c r="IG171" s="254">
        <f t="shared" si="1481"/>
        <v>12</v>
      </c>
      <c r="IH171" s="254"/>
      <c r="II171" s="254"/>
      <c r="IJ171" s="254"/>
      <c r="IK171" s="318"/>
      <c r="IL171" s="223">
        <f t="shared" si="1447"/>
        <v>12</v>
      </c>
      <c r="IM171" s="223">
        <f t="shared" si="1448"/>
        <v>24</v>
      </c>
      <c r="IN171" s="224">
        <f t="shared" si="1449"/>
        <v>36</v>
      </c>
      <c r="IO171" s="237">
        <f t="shared" si="1358"/>
        <v>2304</v>
      </c>
      <c r="IP171" s="254">
        <f>IE171*IF171*CHslave+IE171*INslave*IG171+KLslave*IF171*IG171</f>
        <v>3456</v>
      </c>
      <c r="IQ171" s="224">
        <f t="shared" si="1450"/>
        <v>1728</v>
      </c>
      <c r="IR171" s="224">
        <f t="shared" si="1332"/>
        <v>7488</v>
      </c>
      <c r="IS171" s="222">
        <f t="shared" si="1451"/>
        <v>3.6923076923076925</v>
      </c>
      <c r="IT171" s="223">
        <f t="shared" si="1452"/>
        <v>11.076923076923077</v>
      </c>
      <c r="IU171" s="243">
        <f t="shared" si="1453"/>
        <v>8.3076923076923084</v>
      </c>
      <c r="IV171" s="243">
        <f t="shared" si="1454"/>
        <v>23.07692307692308</v>
      </c>
      <c r="IW171" s="252">
        <f t="shared" si="1337"/>
        <v>0</v>
      </c>
      <c r="IX171" s="309">
        <f t="shared" si="1455"/>
        <v>23.07692307692308</v>
      </c>
      <c r="IY171" s="218">
        <f>IF(IV171&lt;=0,2,0)+IF(IV171&gt;0,IV171+1,0)*2+IF(IV171&gt;12,IV171-12,0)*2+IF(IV171&gt;13,IV171-13,0)*2+IF(IV171&gt;14,IV171-14,0)*2+IF(IV171&gt;15,IV171-15,0)*2+IF(IV171&gt;16,IV171-16,0)*2+IF(IV171&gt;17,IV171-17,0)*2+IF(IV171&gt;18,IV171-18,0)*2+IF(IV171&gt;19,IV171-19,0)*2+IF(IV171&gt;20,IV171-20,0)*2</f>
        <v>175.5384615384616</v>
      </c>
      <c r="IZ171" s="242">
        <f>IF(IW171&lt;=0,2,0)+IF(IW171&gt;0,IW171+1,0)*2+IF(IW171&gt;12,IW171-12,0)*2+IF(IW171&gt;13,IW171-13,0)*2+IF(IW171&gt;14,IW171-14,0)*2+IF(IW171&gt;15,IW171-15,0)*2+IF(IW171&gt;16,IW171-16,0)*2+IF(IW171&gt;17,IW171-17,0)*2+IF(IW171&gt;18,IW171-18,0)*2+IF(IW171&gt;19,IW171-19,0)*2+IF(IW171&gt;20,IW171-20,0)*2</f>
        <v>2</v>
      </c>
      <c r="JA171" s="243">
        <f t="shared" si="1456"/>
        <v>173.5384615384616</v>
      </c>
      <c r="JB171" s="218">
        <f t="shared" si="1457"/>
        <v>0</v>
      </c>
      <c r="JE171" s="148"/>
    </row>
    <row r="172" spans="2:265" hidden="1" outlineLevel="2">
      <c r="B172" s="148">
        <v>20</v>
      </c>
      <c r="C172" s="303" t="e">
        <f>VLOOKUP(AF172,Attribute!C:T,1,FALSE)</f>
        <v>#N/A</v>
      </c>
      <c r="D172" s="86" t="s">
        <v>81</v>
      </c>
      <c r="E172" s="167" t="s">
        <v>135</v>
      </c>
      <c r="F172" s="120"/>
      <c r="G172" s="117">
        <f>Konvention_1master-KLmaster</f>
        <v>12</v>
      </c>
      <c r="H172" s="117"/>
      <c r="I172" s="117">
        <f t="shared" si="1458"/>
        <v>12</v>
      </c>
      <c r="J172" s="117"/>
      <c r="K172" s="117">
        <f>Konvention_1master-GEmaster</f>
        <v>12</v>
      </c>
      <c r="L172" s="117"/>
      <c r="M172" s="121"/>
      <c r="N172" s="223">
        <f>(F172+G172+H172+I172+J172+K172+L172+M172)/3</f>
        <v>12</v>
      </c>
      <c r="O172" s="223">
        <f t="shared" si="1360"/>
        <v>24</v>
      </c>
      <c r="P172" s="224">
        <f t="shared" si="1361"/>
        <v>36</v>
      </c>
      <c r="Q172" s="237">
        <f t="shared" si="1350"/>
        <v>2304</v>
      </c>
      <c r="R172" s="117">
        <f>G172*I172*GEmaster+G172*CHmaster*K172+KLmaster*I172*K172</f>
        <v>3456</v>
      </c>
      <c r="S172" s="224">
        <f t="shared" si="1362"/>
        <v>1728</v>
      </c>
      <c r="T172" s="224">
        <f>SUM(Q172:S172)</f>
        <v>7488</v>
      </c>
      <c r="U172" s="222">
        <f t="shared" si="1363"/>
        <v>3.6923076923076925</v>
      </c>
      <c r="V172" s="223">
        <f t="shared" si="1364"/>
        <v>11.076923076923077</v>
      </c>
      <c r="W172" s="243">
        <f t="shared" si="1365"/>
        <v>8.3076923076923084</v>
      </c>
      <c r="X172" s="243">
        <f t="shared" si="1366"/>
        <v>23.07692307692308</v>
      </c>
      <c r="Y172" s="252">
        <v>0</v>
      </c>
      <c r="Z172" s="198">
        <f t="shared" si="1367"/>
        <v>23.07692307692308</v>
      </c>
      <c r="AA172" s="125">
        <f>IF(X172&lt;=0,3,0)+IF(X172&gt;0,X172+1,0)*3+IF(X172&gt;12,X172-12,0)*3+IF(X172&gt;13,X172-13,0)*3+IF(X172&gt;14,X172-14,0)*3+IF(X172&gt;15,X172-15,0)*3+IF(X172&gt;16,X172-16,0)*3+IF(X172&gt;17,X172-17,0)*3+IF(X172&gt;18,X172-18,0)*3+IF(X172&gt;19,X172-19,0)*3+IF(X172&gt;20,X172-20,0)*3</f>
        <v>263.30769230769232</v>
      </c>
      <c r="AB172" s="160">
        <f>IF(Y172&lt;=0,3,0)+IF(Y172&gt;0,Y172+1,0)*3+IF(Y172&gt;12,Y172-12,0)*3+IF(Y172&gt;13,Y172-13,0)*3+IF(Y172&gt;14,Y172-14,0)*3+IF(Y172&gt;15,Y172-15,0)*3+IF(Y172&gt;16,Y172-16,0)*3+IF(Y172&gt;17,Y172-17,0)*3+IF(Y172&gt;18,Y172-18,0)*3+IF(Y172&gt;19,Y172-19,0)*3+IF(Y172&gt;20,Y172-20,0)*3</f>
        <v>3</v>
      </c>
      <c r="AC172" s="127">
        <f t="shared" si="1368"/>
        <v>260.30769230769232</v>
      </c>
      <c r="AD172" s="125">
        <f t="shared" si="1369"/>
        <v>0</v>
      </c>
      <c r="AF172" s="163" t="s">
        <v>386</v>
      </c>
      <c r="AG172" s="86" t="s">
        <v>81</v>
      </c>
      <c r="AH172" s="167" t="s">
        <v>135</v>
      </c>
      <c r="AI172" s="120"/>
      <c r="AJ172" s="117">
        <f>Konvention_1slave-KLslave</f>
        <v>12</v>
      </c>
      <c r="AK172" s="117"/>
      <c r="AL172" s="117">
        <f>Konvention_1slave-CHslave</f>
        <v>12</v>
      </c>
      <c r="AM172" s="117"/>
      <c r="AN172" s="117">
        <f>Konvention_1slave-GEslave</f>
        <v>12</v>
      </c>
      <c r="AO172" s="117"/>
      <c r="AP172" s="121"/>
      <c r="AQ172" s="47">
        <f>(AI172+AJ172+AK172+AL172+AM172+AN172+AO172+AP172)/3</f>
        <v>12</v>
      </c>
      <c r="AR172" s="3">
        <f t="shared" si="1371"/>
        <v>24</v>
      </c>
      <c r="AS172" s="174">
        <f t="shared" si="1372"/>
        <v>36</v>
      </c>
      <c r="AT172" s="114">
        <f t="shared" si="1351"/>
        <v>2304</v>
      </c>
      <c r="AU172" s="117">
        <f>AJ172*AL172*GEslave+AJ172*CHslave*AN172+KLslave*AL172*AN172</f>
        <v>3456</v>
      </c>
      <c r="AV172" s="119">
        <f t="shared" si="1373"/>
        <v>1728</v>
      </c>
      <c r="AW172" s="119">
        <f t="shared" si="1255"/>
        <v>7488</v>
      </c>
      <c r="AX172" s="89">
        <f t="shared" si="1374"/>
        <v>3.6923076923076925</v>
      </c>
      <c r="AY172" s="47">
        <f t="shared" si="1375"/>
        <v>11.076923076923077</v>
      </c>
      <c r="AZ172" s="127">
        <f t="shared" si="1376"/>
        <v>8.3076923076923084</v>
      </c>
      <c r="BA172" s="127">
        <f t="shared" si="1377"/>
        <v>23.07692307692308</v>
      </c>
      <c r="BB172" s="165">
        <f t="shared" si="1260"/>
        <v>0</v>
      </c>
      <c r="BC172" s="198">
        <f t="shared" si="1378"/>
        <v>23.07692307692308</v>
      </c>
      <c r="BD172" s="125">
        <f>IF(BA172&lt;=0,3,0)+IF(BA172&gt;0,BA172+1,0)*3+IF(BA172&gt;12,BA172-12,0)*3+IF(BA172&gt;13,BA172-13,0)*3+IF(BA172&gt;14,BA172-14,0)*3+IF(BA172&gt;15,BA172-15,0)*3+IF(BA172&gt;16,BA172-16,0)*3+IF(BA172&gt;17,BA172-17,0)*3+IF(BA172&gt;18,BA172-18,0)*3+IF(BA172&gt;19,BA172-19,0)*3+IF(BA172&gt;20,BA172-20,0)*3</f>
        <v>263.30769230769232</v>
      </c>
      <c r="BE172" s="160">
        <f>IF(BB172&lt;=0,3,0)+IF(BB172&gt;0,BB172+1,0)*3+IF(BB172&gt;12,BB172-12,0)*3+IF(BB172&gt;13,BB172-13,0)*3+IF(BB172&gt;14,BB172-14,0)*3+IF(BB172&gt;15,BB172-15,0)*3+IF(BB172&gt;16,BB172-16,0)*3+IF(BB172&gt;17,BB172-17,0)*3+IF(BB172&gt;18,BB172-18,0)*3+IF(BB172&gt;19,BB172-19,0)*3+IF(BB172&gt;20,BB172-20,0)*3</f>
        <v>3</v>
      </c>
      <c r="BF172" s="243">
        <f t="shared" si="1379"/>
        <v>260.30769230769232</v>
      </c>
      <c r="BG172" s="218">
        <f t="shared" si="1380"/>
        <v>0</v>
      </c>
      <c r="BI172" s="303" t="s">
        <v>386</v>
      </c>
      <c r="BJ172" s="304" t="s">
        <v>81</v>
      </c>
      <c r="BK172" s="305" t="s">
        <v>135</v>
      </c>
      <c r="BL172" s="317"/>
      <c r="BM172" s="254">
        <f>Konvention_1slave-KLslave_KL</f>
        <v>11</v>
      </c>
      <c r="BN172" s="254"/>
      <c r="BO172" s="254">
        <f t="shared" si="1463"/>
        <v>12</v>
      </c>
      <c r="BP172" s="254"/>
      <c r="BQ172" s="254">
        <f>Konvention_1slave-GEslave</f>
        <v>12</v>
      </c>
      <c r="BR172" s="254"/>
      <c r="BS172" s="318"/>
      <c r="BT172" s="223">
        <f>(BL172+BM172+BN172+BO172+BP172+BQ172+BR172+BS172)/3</f>
        <v>11.666666666666666</v>
      </c>
      <c r="BU172" s="223">
        <f t="shared" si="1382"/>
        <v>23.333333333333332</v>
      </c>
      <c r="BV172" s="224">
        <f t="shared" si="1383"/>
        <v>35</v>
      </c>
      <c r="BW172" s="237">
        <f t="shared" si="1352"/>
        <v>2432</v>
      </c>
      <c r="BX172" s="254">
        <f>BM172*BO172*GEslave+BM172*CHslave*BQ172+KLslave_KL*BO172*BQ172</f>
        <v>3408</v>
      </c>
      <c r="BY172" s="224">
        <f t="shared" si="1384"/>
        <v>1584</v>
      </c>
      <c r="BZ172" s="224">
        <f t="shared" si="1266"/>
        <v>7424</v>
      </c>
      <c r="CA172" s="222">
        <f t="shared" si="1385"/>
        <v>3.8218390804597702</v>
      </c>
      <c r="CB172" s="223">
        <f t="shared" si="1386"/>
        <v>10.711206896551724</v>
      </c>
      <c r="CC172" s="243">
        <f t="shared" si="1387"/>
        <v>7.4676724137931032</v>
      </c>
      <c r="CD172" s="243">
        <f t="shared" si="1388"/>
        <v>22.000718390804597</v>
      </c>
      <c r="CE172" s="252">
        <f t="shared" si="1271"/>
        <v>0</v>
      </c>
      <c r="CF172" s="309">
        <f t="shared" si="1389"/>
        <v>22.000718390804597</v>
      </c>
      <c r="CG172" s="218">
        <f>IF(CD172&lt;=0,3,0)+IF(CD172&gt;0,CD172+1,0)*3+IF(CD172&gt;12,CD172-12,0)*3+IF(CD172&gt;13,CD172-13,0)*3+IF(CD172&gt;14,CD172-14,0)*3+IF(CD172&gt;15,CD172-15,0)*3+IF(CD172&gt;16,CD172-16,0)*3+IF(CD172&gt;17,CD172-17,0)*3+IF(CD172&gt;18,CD172-18,0)*3+IF(CD172&gt;19,CD172-19,0)*3+IF(CD172&gt;20,CD172-20,0)*3</f>
        <v>231.02155172413785</v>
      </c>
      <c r="CH172" s="242">
        <f>IF(CE172&lt;=0,3,0)+IF(CE172&gt;0,CE172+1,0)*3+IF(CE172&gt;12,CE172-12,0)*3+IF(CE172&gt;13,CE172-13,0)*3+IF(CE172&gt;14,CE172-14,0)*3+IF(CE172&gt;15,CE172-15,0)*3+IF(CE172&gt;16,CE172-16,0)*3+IF(CE172&gt;17,CE172-17,0)*3+IF(CE172&gt;18,CE172-18,0)*3+IF(CE172&gt;19,CE172-19,0)*3+IF(CE172&gt;20,CE172-20,0)*3</f>
        <v>3</v>
      </c>
      <c r="CI172" s="243">
        <f t="shared" si="1390"/>
        <v>228.02155172413785</v>
      </c>
      <c r="CJ172" s="218">
        <f t="shared" si="1391"/>
        <v>0</v>
      </c>
      <c r="CL172" s="303" t="s">
        <v>386</v>
      </c>
      <c r="CM172" s="304" t="s">
        <v>81</v>
      </c>
      <c r="CN172" s="305" t="s">
        <v>135</v>
      </c>
      <c r="CO172" s="317"/>
      <c r="CP172" s="254">
        <f>Konvention_1slave-KLslave</f>
        <v>12</v>
      </c>
      <c r="CQ172" s="254"/>
      <c r="CR172" s="254">
        <f t="shared" si="1466"/>
        <v>12</v>
      </c>
      <c r="CS172" s="254"/>
      <c r="CT172" s="254">
        <f>Konvention_1slave-GEslave</f>
        <v>12</v>
      </c>
      <c r="CU172" s="254"/>
      <c r="CV172" s="318"/>
      <c r="CW172" s="223">
        <f>(CO172+CP172+CQ172+CR172+CS172+CT172+CU172+CV172)/3</f>
        <v>12</v>
      </c>
      <c r="CX172" s="223">
        <f t="shared" si="1393"/>
        <v>24</v>
      </c>
      <c r="CY172" s="224">
        <f t="shared" si="1394"/>
        <v>36</v>
      </c>
      <c r="CZ172" s="237">
        <f t="shared" si="1353"/>
        <v>2304</v>
      </c>
      <c r="DA172" s="254">
        <f>CP172*CR172*GEslave+CP172*CHslave*CT172+KLslave*CR172*CT172</f>
        <v>3456</v>
      </c>
      <c r="DB172" s="224">
        <f t="shared" si="1395"/>
        <v>1728</v>
      </c>
      <c r="DC172" s="224">
        <f t="shared" si="1277"/>
        <v>7488</v>
      </c>
      <c r="DD172" s="222">
        <f t="shared" si="1396"/>
        <v>3.6923076923076925</v>
      </c>
      <c r="DE172" s="223">
        <f t="shared" si="1397"/>
        <v>11.076923076923077</v>
      </c>
      <c r="DF172" s="243">
        <f t="shared" si="1398"/>
        <v>8.3076923076923084</v>
      </c>
      <c r="DG172" s="243">
        <f t="shared" si="1399"/>
        <v>23.07692307692308</v>
      </c>
      <c r="DH172" s="252">
        <f t="shared" si="1282"/>
        <v>0</v>
      </c>
      <c r="DI172" s="309">
        <f t="shared" si="1400"/>
        <v>23.07692307692308</v>
      </c>
      <c r="DJ172" s="218">
        <f>IF(DG172&lt;=0,3,0)+IF(DG172&gt;0,DG172+1,0)*3+IF(DG172&gt;12,DG172-12,0)*3+IF(DG172&gt;13,DG172-13,0)*3+IF(DG172&gt;14,DG172-14,0)*3+IF(DG172&gt;15,DG172-15,0)*3+IF(DG172&gt;16,DG172-16,0)*3+IF(DG172&gt;17,DG172-17,0)*3+IF(DG172&gt;18,DG172-18,0)*3+IF(DG172&gt;19,DG172-19,0)*3+IF(DG172&gt;20,DG172-20,0)*3</f>
        <v>263.30769230769232</v>
      </c>
      <c r="DK172" s="242">
        <f>IF(DH172&lt;=0,3,0)+IF(DH172&gt;0,DH172+1,0)*3+IF(DH172&gt;12,DH172-12,0)*3+IF(DH172&gt;13,DH172-13,0)*3+IF(DH172&gt;14,DH172-14,0)*3+IF(DH172&gt;15,DH172-15,0)*3+IF(DH172&gt;16,DH172-16,0)*3+IF(DH172&gt;17,DH172-17,0)*3+IF(DH172&gt;18,DH172-18,0)*3+IF(DH172&gt;19,DH172-19,0)*3+IF(DH172&gt;20,DH172-20,0)*3</f>
        <v>3</v>
      </c>
      <c r="DL172" s="243">
        <f t="shared" si="1401"/>
        <v>260.30769230769232</v>
      </c>
      <c r="DM172" s="218">
        <f t="shared" si="1402"/>
        <v>0</v>
      </c>
      <c r="DO172" s="303" t="s">
        <v>386</v>
      </c>
      <c r="DP172" s="304" t="s">
        <v>81</v>
      </c>
      <c r="DQ172" s="305" t="s">
        <v>135</v>
      </c>
      <c r="DR172" s="317"/>
      <c r="DS172" s="254">
        <f>Konvention_1slave-KLslave</f>
        <v>12</v>
      </c>
      <c r="DT172" s="254"/>
      <c r="DU172" s="254">
        <f t="shared" si="1469"/>
        <v>11</v>
      </c>
      <c r="DV172" s="254"/>
      <c r="DW172" s="254">
        <f>Konvention_1slave-GEslave</f>
        <v>12</v>
      </c>
      <c r="DX172" s="254"/>
      <c r="DY172" s="318"/>
      <c r="DZ172" s="223">
        <f>(DR172+DS172+DT172+DU172+DV172+DW172+DX172+DY172)/3</f>
        <v>11.666666666666666</v>
      </c>
      <c r="EA172" s="223">
        <f t="shared" si="1404"/>
        <v>23.333333333333332</v>
      </c>
      <c r="EB172" s="224">
        <f t="shared" si="1405"/>
        <v>35</v>
      </c>
      <c r="EC172" s="237">
        <f t="shared" si="1354"/>
        <v>2432</v>
      </c>
      <c r="ED172" s="254">
        <f>DS172*DU172*GEslave+DS172*CHslave_CH*DW172+KLslave*DU172*DW172</f>
        <v>3408</v>
      </c>
      <c r="EE172" s="224">
        <f t="shared" si="1406"/>
        <v>1584</v>
      </c>
      <c r="EF172" s="224">
        <f t="shared" si="1288"/>
        <v>7424</v>
      </c>
      <c r="EG172" s="222">
        <f t="shared" si="1407"/>
        <v>3.8218390804597702</v>
      </c>
      <c r="EH172" s="223">
        <f t="shared" si="1408"/>
        <v>10.711206896551724</v>
      </c>
      <c r="EI172" s="243">
        <f t="shared" si="1409"/>
        <v>7.4676724137931032</v>
      </c>
      <c r="EJ172" s="243">
        <f t="shared" si="1410"/>
        <v>22.000718390804597</v>
      </c>
      <c r="EK172" s="252">
        <f t="shared" si="1293"/>
        <v>0</v>
      </c>
      <c r="EL172" s="309">
        <f t="shared" si="1411"/>
        <v>22.000718390804597</v>
      </c>
      <c r="EM172" s="218">
        <f>IF(EJ172&lt;=0,3,0)+IF(EJ172&gt;0,EJ172+1,0)*3+IF(EJ172&gt;12,EJ172-12,0)*3+IF(EJ172&gt;13,EJ172-13,0)*3+IF(EJ172&gt;14,EJ172-14,0)*3+IF(EJ172&gt;15,EJ172-15,0)*3+IF(EJ172&gt;16,EJ172-16,0)*3+IF(EJ172&gt;17,EJ172-17,0)*3+IF(EJ172&gt;18,EJ172-18,0)*3+IF(EJ172&gt;19,EJ172-19,0)*3+IF(EJ172&gt;20,EJ172-20,0)*3</f>
        <v>231.02155172413785</v>
      </c>
      <c r="EN172" s="242">
        <f>IF(EK172&lt;=0,3,0)+IF(EK172&gt;0,EK172+1,0)*3+IF(EK172&gt;12,EK172-12,0)*3+IF(EK172&gt;13,EK172-13,0)*3+IF(EK172&gt;14,EK172-14,0)*3+IF(EK172&gt;15,EK172-15,0)*3+IF(EK172&gt;16,EK172-16,0)*3+IF(EK172&gt;17,EK172-17,0)*3+IF(EK172&gt;18,EK172-18,0)*3+IF(EK172&gt;19,EK172-19,0)*3+IF(EK172&gt;20,EK172-20,0)*3</f>
        <v>3</v>
      </c>
      <c r="EO172" s="243">
        <f t="shared" si="1412"/>
        <v>228.02155172413785</v>
      </c>
      <c r="EP172" s="218">
        <f t="shared" si="1413"/>
        <v>0</v>
      </c>
      <c r="ER172" s="303" t="s">
        <v>386</v>
      </c>
      <c r="ES172" s="304" t="s">
        <v>81</v>
      </c>
      <c r="ET172" s="305" t="s">
        <v>135</v>
      </c>
      <c r="EU172" s="317"/>
      <c r="EV172" s="254">
        <f>Konvention_1slave-KLslave</f>
        <v>12</v>
      </c>
      <c r="EW172" s="254"/>
      <c r="EX172" s="254">
        <f t="shared" si="1472"/>
        <v>12</v>
      </c>
      <c r="EY172" s="254"/>
      <c r="EZ172" s="254">
        <f>Konvention_1slave-GEslave</f>
        <v>12</v>
      </c>
      <c r="FA172" s="254"/>
      <c r="FB172" s="318"/>
      <c r="FC172" s="223">
        <f>(EU172+EV172+EW172+EX172+EY172+EZ172+FA172+FB172)/3</f>
        <v>12</v>
      </c>
      <c r="FD172" s="223">
        <f t="shared" si="1415"/>
        <v>24</v>
      </c>
      <c r="FE172" s="224">
        <f t="shared" si="1416"/>
        <v>36</v>
      </c>
      <c r="FF172" s="237">
        <f t="shared" si="1355"/>
        <v>2304</v>
      </c>
      <c r="FG172" s="254">
        <f>EV172*EX172*GEslave+EV172*CHslave*EZ172+KLslave*EX172*EZ172</f>
        <v>3456</v>
      </c>
      <c r="FH172" s="224">
        <f t="shared" si="1417"/>
        <v>1728</v>
      </c>
      <c r="FI172" s="224">
        <f t="shared" si="1299"/>
        <v>7488</v>
      </c>
      <c r="FJ172" s="222">
        <f t="shared" si="1418"/>
        <v>3.6923076923076925</v>
      </c>
      <c r="FK172" s="223">
        <f t="shared" si="1419"/>
        <v>11.076923076923077</v>
      </c>
      <c r="FL172" s="243">
        <f t="shared" si="1420"/>
        <v>8.3076923076923084</v>
      </c>
      <c r="FM172" s="243">
        <f t="shared" si="1421"/>
        <v>23.07692307692308</v>
      </c>
      <c r="FN172" s="252">
        <f t="shared" si="1304"/>
        <v>0</v>
      </c>
      <c r="FO172" s="309">
        <f t="shared" si="1422"/>
        <v>23.07692307692308</v>
      </c>
      <c r="FP172" s="218">
        <f>IF(FM172&lt;=0,3,0)+IF(FM172&gt;0,FM172+1,0)*3+IF(FM172&gt;12,FM172-12,0)*3+IF(FM172&gt;13,FM172-13,0)*3+IF(FM172&gt;14,FM172-14,0)*3+IF(FM172&gt;15,FM172-15,0)*3+IF(FM172&gt;16,FM172-16,0)*3+IF(FM172&gt;17,FM172-17,0)*3+IF(FM172&gt;18,FM172-18,0)*3+IF(FM172&gt;19,FM172-19,0)*3+IF(FM172&gt;20,FM172-20,0)*3</f>
        <v>263.30769230769232</v>
      </c>
      <c r="FQ172" s="242">
        <f>IF(FN172&lt;=0,3,0)+IF(FN172&gt;0,FN172+1,0)*3+IF(FN172&gt;12,FN172-12,0)*3+IF(FN172&gt;13,FN172-13,0)*3+IF(FN172&gt;14,FN172-14,0)*3+IF(FN172&gt;15,FN172-15,0)*3+IF(FN172&gt;16,FN172-16,0)*3+IF(FN172&gt;17,FN172-17,0)*3+IF(FN172&gt;18,FN172-18,0)*3+IF(FN172&gt;19,FN172-19,0)*3+IF(FN172&gt;20,FN172-20,0)*3</f>
        <v>3</v>
      </c>
      <c r="FR172" s="243">
        <f t="shared" si="1423"/>
        <v>260.30769230769232</v>
      </c>
      <c r="FS172" s="218">
        <f t="shared" si="1424"/>
        <v>0</v>
      </c>
      <c r="FU172" s="303" t="s">
        <v>386</v>
      </c>
      <c r="FV172" s="304" t="s">
        <v>81</v>
      </c>
      <c r="FW172" s="305" t="s">
        <v>135</v>
      </c>
      <c r="FX172" s="317"/>
      <c r="FY172" s="254">
        <f>Konvention_1slave-KLslave</f>
        <v>12</v>
      </c>
      <c r="FZ172" s="254"/>
      <c r="GA172" s="254">
        <f t="shared" si="1475"/>
        <v>12</v>
      </c>
      <c r="GB172" s="254"/>
      <c r="GC172" s="254">
        <f>Konvention_1slave-GEslave_GE</f>
        <v>11</v>
      </c>
      <c r="GD172" s="254"/>
      <c r="GE172" s="318"/>
      <c r="GF172" s="223">
        <f>(FX172+FY172+FZ172+GA172+GB172+GC172+GD172+GE172)/3</f>
        <v>11.666666666666666</v>
      </c>
      <c r="GG172" s="223">
        <f t="shared" si="1426"/>
        <v>23.333333333333332</v>
      </c>
      <c r="GH172" s="224">
        <f t="shared" si="1427"/>
        <v>35</v>
      </c>
      <c r="GI172" s="237">
        <f t="shared" si="1356"/>
        <v>2432</v>
      </c>
      <c r="GJ172" s="254">
        <f>FY172*GA172*GEslave_GE+FY172*CHslave*GC172+KLslave*GA172*GC172</f>
        <v>3408</v>
      </c>
      <c r="GK172" s="224">
        <f t="shared" si="1428"/>
        <v>1584</v>
      </c>
      <c r="GL172" s="224">
        <f t="shared" si="1310"/>
        <v>7424</v>
      </c>
      <c r="GM172" s="222">
        <f t="shared" si="1429"/>
        <v>3.8218390804597702</v>
      </c>
      <c r="GN172" s="223">
        <f t="shared" si="1430"/>
        <v>10.711206896551724</v>
      </c>
      <c r="GO172" s="243">
        <f t="shared" si="1431"/>
        <v>7.4676724137931032</v>
      </c>
      <c r="GP172" s="243">
        <f t="shared" si="1432"/>
        <v>22.000718390804597</v>
      </c>
      <c r="GQ172" s="252">
        <f t="shared" si="1315"/>
        <v>0</v>
      </c>
      <c r="GR172" s="309">
        <f t="shared" si="1433"/>
        <v>22.000718390804597</v>
      </c>
      <c r="GS172" s="218">
        <f>IF(GP172&lt;=0,3,0)+IF(GP172&gt;0,GP172+1,0)*3+IF(GP172&gt;12,GP172-12,0)*3+IF(GP172&gt;13,GP172-13,0)*3+IF(GP172&gt;14,GP172-14,0)*3+IF(GP172&gt;15,GP172-15,0)*3+IF(GP172&gt;16,GP172-16,0)*3+IF(GP172&gt;17,GP172-17,0)*3+IF(GP172&gt;18,GP172-18,0)*3+IF(GP172&gt;19,GP172-19,0)*3+IF(GP172&gt;20,GP172-20,0)*3</f>
        <v>231.02155172413785</v>
      </c>
      <c r="GT172" s="242">
        <f>IF(GQ172&lt;=0,3,0)+IF(GQ172&gt;0,GQ172+1,0)*3+IF(GQ172&gt;12,GQ172-12,0)*3+IF(GQ172&gt;13,GQ172-13,0)*3+IF(GQ172&gt;14,GQ172-14,0)*3+IF(GQ172&gt;15,GQ172-15,0)*3+IF(GQ172&gt;16,GQ172-16,0)*3+IF(GQ172&gt;17,GQ172-17,0)*3+IF(GQ172&gt;18,GQ172-18,0)*3+IF(GQ172&gt;19,GQ172-19,0)*3+IF(GQ172&gt;20,GQ172-20,0)*3</f>
        <v>3</v>
      </c>
      <c r="GU172" s="243">
        <f t="shared" si="1434"/>
        <v>228.02155172413785</v>
      </c>
      <c r="GV172" s="218">
        <f t="shared" si="1435"/>
        <v>0</v>
      </c>
      <c r="GX172" s="303" t="s">
        <v>386</v>
      </c>
      <c r="GY172" s="304" t="s">
        <v>81</v>
      </c>
      <c r="GZ172" s="305" t="s">
        <v>135</v>
      </c>
      <c r="HA172" s="317"/>
      <c r="HB172" s="254">
        <f>Konvention_1slave-KLslave</f>
        <v>12</v>
      </c>
      <c r="HC172" s="254"/>
      <c r="HD172" s="254">
        <f t="shared" si="1478"/>
        <v>12</v>
      </c>
      <c r="HE172" s="254"/>
      <c r="HF172" s="254">
        <f>Konvention_1slave-GEslave</f>
        <v>12</v>
      </c>
      <c r="HG172" s="254"/>
      <c r="HH172" s="318"/>
      <c r="HI172" s="223">
        <f>(HA172+HB172+HC172+HD172+HE172+HF172+HG172+HH172)/3</f>
        <v>12</v>
      </c>
      <c r="HJ172" s="223">
        <f t="shared" si="1437"/>
        <v>24</v>
      </c>
      <c r="HK172" s="224">
        <f t="shared" si="1438"/>
        <v>36</v>
      </c>
      <c r="HL172" s="237">
        <f t="shared" si="1357"/>
        <v>2304</v>
      </c>
      <c r="HM172" s="254">
        <f>HB172*HD172*GEslave+HB172*CHslave*HF172+KLslave*HD172*HF172</f>
        <v>3456</v>
      </c>
      <c r="HN172" s="224">
        <f t="shared" si="1439"/>
        <v>1728</v>
      </c>
      <c r="HO172" s="224">
        <f t="shared" si="1321"/>
        <v>7488</v>
      </c>
      <c r="HP172" s="222">
        <f t="shared" si="1440"/>
        <v>3.6923076923076925</v>
      </c>
      <c r="HQ172" s="223">
        <f t="shared" si="1441"/>
        <v>11.076923076923077</v>
      </c>
      <c r="HR172" s="243">
        <f t="shared" si="1442"/>
        <v>8.3076923076923084</v>
      </c>
      <c r="HS172" s="243">
        <f t="shared" si="1443"/>
        <v>23.07692307692308</v>
      </c>
      <c r="HT172" s="252">
        <f t="shared" si="1326"/>
        <v>0</v>
      </c>
      <c r="HU172" s="309">
        <f t="shared" si="1444"/>
        <v>23.07692307692308</v>
      </c>
      <c r="HV172" s="218">
        <f>IF(HS172&lt;=0,3,0)+IF(HS172&gt;0,HS172+1,0)*3+IF(HS172&gt;12,HS172-12,0)*3+IF(HS172&gt;13,HS172-13,0)*3+IF(HS172&gt;14,HS172-14,0)*3+IF(HS172&gt;15,HS172-15,0)*3+IF(HS172&gt;16,HS172-16,0)*3+IF(HS172&gt;17,HS172-17,0)*3+IF(HS172&gt;18,HS172-18,0)*3+IF(HS172&gt;19,HS172-19,0)*3+IF(HS172&gt;20,HS172-20,0)*3</f>
        <v>263.30769230769232</v>
      </c>
      <c r="HW172" s="242">
        <f>IF(HT172&lt;=0,3,0)+IF(HT172&gt;0,HT172+1,0)*3+IF(HT172&gt;12,HT172-12,0)*3+IF(HT172&gt;13,HT172-13,0)*3+IF(HT172&gt;14,HT172-14,0)*3+IF(HT172&gt;15,HT172-15,0)*3+IF(HT172&gt;16,HT172-16,0)*3+IF(HT172&gt;17,HT172-17,0)*3+IF(HT172&gt;18,HT172-18,0)*3+IF(HT172&gt;19,HT172-19,0)*3+IF(HT172&gt;20,HT172-20,0)*3</f>
        <v>3</v>
      </c>
      <c r="HX172" s="243">
        <f t="shared" si="1445"/>
        <v>260.30769230769232</v>
      </c>
      <c r="HY172" s="218">
        <f t="shared" si="1446"/>
        <v>0</v>
      </c>
      <c r="IA172" s="303" t="s">
        <v>386</v>
      </c>
      <c r="IB172" s="304" t="s">
        <v>81</v>
      </c>
      <c r="IC172" s="305" t="s">
        <v>135</v>
      </c>
      <c r="ID172" s="317"/>
      <c r="IE172" s="254">
        <f>Konvention_1slave-KLslave</f>
        <v>12</v>
      </c>
      <c r="IF172" s="254"/>
      <c r="IG172" s="254">
        <f t="shared" si="1481"/>
        <v>12</v>
      </c>
      <c r="IH172" s="254"/>
      <c r="II172" s="254">
        <f>Konvention_1slave-GEslave</f>
        <v>12</v>
      </c>
      <c r="IJ172" s="254"/>
      <c r="IK172" s="318"/>
      <c r="IL172" s="223">
        <f>(ID172+IE172+IF172+IG172+IH172+II172+IJ172+IK172)/3</f>
        <v>12</v>
      </c>
      <c r="IM172" s="223">
        <f t="shared" si="1448"/>
        <v>24</v>
      </c>
      <c r="IN172" s="224">
        <f t="shared" si="1449"/>
        <v>36</v>
      </c>
      <c r="IO172" s="237">
        <f t="shared" si="1358"/>
        <v>2304</v>
      </c>
      <c r="IP172" s="254">
        <f>IE172*IG172*GEslave+IE172*CHslave*II172+KLslave*IG172*II172</f>
        <v>3456</v>
      </c>
      <c r="IQ172" s="224">
        <f t="shared" si="1450"/>
        <v>1728</v>
      </c>
      <c r="IR172" s="224">
        <f t="shared" si="1332"/>
        <v>7488</v>
      </c>
      <c r="IS172" s="222">
        <f t="shared" si="1451"/>
        <v>3.6923076923076925</v>
      </c>
      <c r="IT172" s="223">
        <f t="shared" si="1452"/>
        <v>11.076923076923077</v>
      </c>
      <c r="IU172" s="243">
        <f t="shared" si="1453"/>
        <v>8.3076923076923084</v>
      </c>
      <c r="IV172" s="243">
        <f t="shared" si="1454"/>
        <v>23.07692307692308</v>
      </c>
      <c r="IW172" s="252">
        <f t="shared" si="1337"/>
        <v>0</v>
      </c>
      <c r="IX172" s="309">
        <f t="shared" si="1455"/>
        <v>23.07692307692308</v>
      </c>
      <c r="IY172" s="218">
        <f>IF(IV172&lt;=0,3,0)+IF(IV172&gt;0,IV172+1,0)*3+IF(IV172&gt;12,IV172-12,0)*3+IF(IV172&gt;13,IV172-13,0)*3+IF(IV172&gt;14,IV172-14,0)*3+IF(IV172&gt;15,IV172-15,0)*3+IF(IV172&gt;16,IV172-16,0)*3+IF(IV172&gt;17,IV172-17,0)*3+IF(IV172&gt;18,IV172-18,0)*3+IF(IV172&gt;19,IV172-19,0)*3+IF(IV172&gt;20,IV172-20,0)*3</f>
        <v>263.30769230769232</v>
      </c>
      <c r="IZ172" s="242">
        <f>IF(IW172&lt;=0,3,0)+IF(IW172&gt;0,IW172+1,0)*3+IF(IW172&gt;12,IW172-12,0)*3+IF(IW172&gt;13,IW172-13,0)*3+IF(IW172&gt;14,IW172-14,0)*3+IF(IW172&gt;15,IW172-15,0)*3+IF(IW172&gt;16,IW172-16,0)*3+IF(IW172&gt;17,IW172-17,0)*3+IF(IW172&gt;18,IW172-18,0)*3+IF(IW172&gt;19,IW172-19,0)*3+IF(IW172&gt;20,IW172-20,0)*3</f>
        <v>3</v>
      </c>
      <c r="JA172" s="243">
        <f t="shared" si="1456"/>
        <v>260.30769230769232</v>
      </c>
      <c r="JB172" s="218">
        <f t="shared" si="1457"/>
        <v>0</v>
      </c>
      <c r="JE172" s="148"/>
    </row>
    <row r="173" spans="2:265" ht="15" hidden="1" customHeight="1" outlineLevel="2">
      <c r="B173" s="148">
        <v>21</v>
      </c>
      <c r="C173" s="303" t="e">
        <f>VLOOKUP(AF173,Attribute!C:T,1,FALSE)</f>
        <v>#N/A</v>
      </c>
      <c r="D173" s="86" t="s">
        <v>86</v>
      </c>
      <c r="E173" s="167" t="s">
        <v>132</v>
      </c>
      <c r="F173" s="120">
        <f>Konvention_1master-MUmaster</f>
        <v>12</v>
      </c>
      <c r="G173" s="117"/>
      <c r="H173" s="117">
        <f>Konvention_1master-INmaster</f>
        <v>12</v>
      </c>
      <c r="I173" s="117">
        <f t="shared" si="1458"/>
        <v>12</v>
      </c>
      <c r="J173" s="117"/>
      <c r="K173" s="117"/>
      <c r="L173" s="117"/>
      <c r="M173" s="121"/>
      <c r="N173" s="223">
        <f>(F173+G173+H173+I173+J173+K173+L173+M173)/3</f>
        <v>12</v>
      </c>
      <c r="O173" s="223">
        <f>2*N173</f>
        <v>24</v>
      </c>
      <c r="P173" s="224">
        <f>3*N173</f>
        <v>36</v>
      </c>
      <c r="Q173" s="237">
        <f t="shared" si="1350"/>
        <v>2304</v>
      </c>
      <c r="R173" s="117">
        <f>F173*H173*CHmaster+F173*INmaster*I173+MUmaster*H173*I173</f>
        <v>3456</v>
      </c>
      <c r="S173" s="224">
        <f>IFERROR(F173^SIGN(F173),1)*IFERROR(G173^SIGN(G173),1)*IFERROR(H173^SIGN(H173),1)*IFERROR(I173^SIGN(I173),1)*IFERROR(J173^SIGN(J173),1)*IFERROR(K173^SIGN(K173),1)*IFERROR(L173^SIGN(L173),1)*IFERROR(M173^SIGN(M173),1)</f>
        <v>1728</v>
      </c>
      <c r="T173" s="224">
        <f>SUM(Q173:S173)</f>
        <v>7488</v>
      </c>
      <c r="U173" s="222">
        <f>N173*Q173/T173</f>
        <v>3.6923076923076925</v>
      </c>
      <c r="V173" s="223">
        <f>O173*R173/T173</f>
        <v>11.076923076923077</v>
      </c>
      <c r="W173" s="243">
        <f>P173*S173/T173</f>
        <v>8.3076923076923084</v>
      </c>
      <c r="X173" s="243">
        <f>SUM(U173:W173)</f>
        <v>23.07692307692308</v>
      </c>
      <c r="Y173" s="252">
        <v>0</v>
      </c>
      <c r="Z173" s="198">
        <f>X173-Y173</f>
        <v>23.07692307692308</v>
      </c>
      <c r="AA173" s="125">
        <f>IF(X173&lt;=0,2,0)+IF(X173&gt;0,X173+1,0)*2+IF(X173&gt;12,X173-12,0)*2+IF(X173&gt;13,X173-13,0)*2+IF(X173&gt;14,X173-14,0)*2+IF(X173&gt;15,X173-15,0)*2+IF(X173&gt;16,X173-16,0)*2+IF(X173&gt;17,X173-17,0)*2+IF(X173&gt;18,X173-18,0)*2+IF(X173&gt;19,X173-19,0)*2+IF(X173&gt;20,X173-20,0)*2</f>
        <v>175.5384615384616</v>
      </c>
      <c r="AB173" s="160">
        <f>IF(Y173&lt;=0,2,0)+IF(Y173&gt;0,Y173+1,0)*2+IF(Y173&gt;12,Y173-12,0)*2+IF(Y173&gt;13,Y173-13,0)*2+IF(Y173&gt;14,Y173-14,0)*2+IF(Y173&gt;15,Y173-15,0)*2+IF(Y173&gt;16,Y173-16,0)*2+IF(Y173&gt;17,Y173-17,0)*2+IF(Y173&gt;18,Y173-18,0)*2+IF(Y173&gt;19,Y173-19,0)*2+IF(Y173&gt;20,Y173-20,0)*2</f>
        <v>2</v>
      </c>
      <c r="AC173" s="127">
        <f>IF((AA173-AB173)&gt;0,AA173-AB173,0)</f>
        <v>173.5384615384616</v>
      </c>
      <c r="AD173" s="125">
        <f>IF((AB173-AA173)&gt;0,AB173-AA173,0)</f>
        <v>0</v>
      </c>
      <c r="AF173" s="163" t="s">
        <v>359</v>
      </c>
      <c r="AG173" s="86" t="s">
        <v>86</v>
      </c>
      <c r="AH173" s="167" t="s">
        <v>132</v>
      </c>
      <c r="AI173" s="120">
        <f>Konvention_1slave-MUslave_MU</f>
        <v>11</v>
      </c>
      <c r="AJ173" s="117"/>
      <c r="AK173" s="117">
        <f>Konvention_1slave-INslave</f>
        <v>12</v>
      </c>
      <c r="AL173" s="117">
        <f>Konvention_1slave-CHslave</f>
        <v>12</v>
      </c>
      <c r="AM173" s="117"/>
      <c r="AN173" s="117"/>
      <c r="AO173" s="117"/>
      <c r="AP173" s="121"/>
      <c r="AQ173" s="47">
        <f>(AI173+AJ173+AK173+AL173+AM173+AN173+AO173+AP173)/3</f>
        <v>11.666666666666666</v>
      </c>
      <c r="AR173" s="3">
        <f>2*AQ173</f>
        <v>23.333333333333332</v>
      </c>
      <c r="AS173" s="174">
        <f>3*AQ173</f>
        <v>35</v>
      </c>
      <c r="AT173" s="114">
        <f t="shared" si="1351"/>
        <v>2432</v>
      </c>
      <c r="AU173" s="117">
        <f>AI173*AK173*CHslave+AI173*INslave*AL173+MUslave_MU*AK173*AL173</f>
        <v>3408</v>
      </c>
      <c r="AV173" s="119">
        <f>IFERROR(AI173^SIGN(AI173),1)*IFERROR(AJ173^SIGN(AJ173),1)*IFERROR(AK173^SIGN(AK173),1)*IFERROR(AL173^SIGN(AL173),1)*IFERROR(AM173^SIGN(AM173),1)*IFERROR(AN173^SIGN(AN173),1)*IFERROR(AO173^SIGN(AO173),1)*IFERROR(AP173^SIGN(AP173),1)</f>
        <v>1584</v>
      </c>
      <c r="AW173" s="119">
        <f t="shared" si="1255"/>
        <v>7424</v>
      </c>
      <c r="AX173" s="89">
        <f>AQ173*AT173/AW173</f>
        <v>3.8218390804597702</v>
      </c>
      <c r="AY173" s="47">
        <f>AR173*AU173/AW173</f>
        <v>10.711206896551724</v>
      </c>
      <c r="AZ173" s="127">
        <f>AS173*AV173/AW173</f>
        <v>7.4676724137931032</v>
      </c>
      <c r="BA173" s="127">
        <f>SUM(AX173:AZ173)</f>
        <v>22.000718390804597</v>
      </c>
      <c r="BB173" s="165">
        <f t="shared" si="1260"/>
        <v>0</v>
      </c>
      <c r="BC173" s="198">
        <f>BA173-BB173</f>
        <v>22.000718390804597</v>
      </c>
      <c r="BD173" s="125">
        <f>IF(BA173&lt;=0,2,0)+IF(BA173&gt;0,BA173+1,0)*2+IF(BA173&gt;12,BA173-12,0)*2+IF(BA173&gt;13,BA173-13,0)*2+IF(BA173&gt;14,BA173-14,0)*2+IF(BA173&gt;15,BA173-15,0)*2+IF(BA173&gt;16,BA173-16,0)*2+IF(BA173&gt;17,BA173-17,0)*2+IF(BA173&gt;18,BA173-18,0)*2+IF(BA173&gt;19,BA173-19,0)*2+IF(BA173&gt;20,BA173-20,0)*2</f>
        <v>154.01436781609189</v>
      </c>
      <c r="BE173" s="160">
        <f>IF(BB173&lt;=0,2,0)+IF(BB173&gt;0,BB173+1,0)*2+IF(BB173&gt;12,BB173-12,0)*2+IF(BB173&gt;13,BB173-13,0)*2+IF(BB173&gt;14,BB173-14,0)*2+IF(BB173&gt;15,BB173-15,0)*2+IF(BB173&gt;16,BB173-16,0)*2+IF(BB173&gt;17,BB173-17,0)*2+IF(BB173&gt;18,BB173-18,0)*2+IF(BB173&gt;19,BB173-19,0)*2+IF(BB173&gt;20,BB173-20,0)*2</f>
        <v>2</v>
      </c>
      <c r="BF173" s="243">
        <f>IF((BD173-BE173)&gt;0,BD173-BE173,0)</f>
        <v>152.01436781609189</v>
      </c>
      <c r="BG173" s="218">
        <f>IF((BE173-BD173)&gt;0,BE173-BD173,0)</f>
        <v>0</v>
      </c>
      <c r="BI173" s="303" t="s">
        <v>359</v>
      </c>
      <c r="BJ173" s="304" t="s">
        <v>86</v>
      </c>
      <c r="BK173" s="305" t="s">
        <v>132</v>
      </c>
      <c r="BL173" s="317">
        <f>Konvention_1slave-MUslave</f>
        <v>12</v>
      </c>
      <c r="BM173" s="254"/>
      <c r="BN173" s="254">
        <f>Konvention_1slave-INslave</f>
        <v>12</v>
      </c>
      <c r="BO173" s="254">
        <f t="shared" si="1463"/>
        <v>12</v>
      </c>
      <c r="BP173" s="254"/>
      <c r="BQ173" s="254"/>
      <c r="BR173" s="254"/>
      <c r="BS173" s="318"/>
      <c r="BT173" s="223">
        <f>(BL173+BM173+BN173+BO173+BP173+BQ173+BR173+BS173)/3</f>
        <v>12</v>
      </c>
      <c r="BU173" s="223">
        <f>2*BT173</f>
        <v>24</v>
      </c>
      <c r="BV173" s="224">
        <f>3*BT173</f>
        <v>36</v>
      </c>
      <c r="BW173" s="237">
        <f t="shared" si="1352"/>
        <v>2304</v>
      </c>
      <c r="BX173" s="254">
        <f>BL173*BN173*CHslave+BL173*INslave*BO173+MUslave*BN173*BO173</f>
        <v>3456</v>
      </c>
      <c r="BY173" s="224">
        <f>IFERROR(BL173^SIGN(BL173),1)*IFERROR(BM173^SIGN(BM173),1)*IFERROR(BN173^SIGN(BN173),1)*IFERROR(BO173^SIGN(BO173),1)*IFERROR(BP173^SIGN(BP173),1)*IFERROR(BQ173^SIGN(BQ173),1)*IFERROR(BR173^SIGN(BR173),1)*IFERROR(BS173^SIGN(BS173),1)</f>
        <v>1728</v>
      </c>
      <c r="BZ173" s="224">
        <f t="shared" si="1266"/>
        <v>7488</v>
      </c>
      <c r="CA173" s="222">
        <f>BT173*BW173/BZ173</f>
        <v>3.6923076923076925</v>
      </c>
      <c r="CB173" s="223">
        <f>BU173*BX173/BZ173</f>
        <v>11.076923076923077</v>
      </c>
      <c r="CC173" s="243">
        <f>BV173*BY173/BZ173</f>
        <v>8.3076923076923084</v>
      </c>
      <c r="CD173" s="243">
        <f>SUM(CA173:CC173)</f>
        <v>23.07692307692308</v>
      </c>
      <c r="CE173" s="252">
        <f t="shared" si="1271"/>
        <v>0</v>
      </c>
      <c r="CF173" s="309">
        <f>CD173-CE173</f>
        <v>23.07692307692308</v>
      </c>
      <c r="CG173" s="218">
        <f>IF(CD173&lt;=0,2,0)+IF(CD173&gt;0,CD173+1,0)*2+IF(CD173&gt;12,CD173-12,0)*2+IF(CD173&gt;13,CD173-13,0)*2+IF(CD173&gt;14,CD173-14,0)*2+IF(CD173&gt;15,CD173-15,0)*2+IF(CD173&gt;16,CD173-16,0)*2+IF(CD173&gt;17,CD173-17,0)*2+IF(CD173&gt;18,CD173-18,0)*2+IF(CD173&gt;19,CD173-19,0)*2+IF(CD173&gt;20,CD173-20,0)*2</f>
        <v>175.5384615384616</v>
      </c>
      <c r="CH173" s="242">
        <f>IF(CE173&lt;=0,2,0)+IF(CE173&gt;0,CE173+1,0)*2+IF(CE173&gt;12,CE173-12,0)*2+IF(CE173&gt;13,CE173-13,0)*2+IF(CE173&gt;14,CE173-14,0)*2+IF(CE173&gt;15,CE173-15,0)*2+IF(CE173&gt;16,CE173-16,0)*2+IF(CE173&gt;17,CE173-17,0)*2+IF(CE173&gt;18,CE173-18,0)*2+IF(CE173&gt;19,CE173-19,0)*2+IF(CE173&gt;20,CE173-20,0)*2</f>
        <v>2</v>
      </c>
      <c r="CI173" s="243">
        <f>IF((CG173-CH173)&gt;0,CG173-CH173,0)</f>
        <v>173.5384615384616</v>
      </c>
      <c r="CJ173" s="218">
        <f>IF((CH173-CG173)&gt;0,CH173-CG173,0)</f>
        <v>0</v>
      </c>
      <c r="CL173" s="303" t="s">
        <v>359</v>
      </c>
      <c r="CM173" s="304" t="s">
        <v>86</v>
      </c>
      <c r="CN173" s="305" t="s">
        <v>132</v>
      </c>
      <c r="CO173" s="317">
        <f>Konvention_1slave-MUslave</f>
        <v>12</v>
      </c>
      <c r="CP173" s="254"/>
      <c r="CQ173" s="254">
        <f>Konvention_1slave-INslave_IN</f>
        <v>11</v>
      </c>
      <c r="CR173" s="254">
        <f t="shared" si="1466"/>
        <v>12</v>
      </c>
      <c r="CS173" s="254"/>
      <c r="CT173" s="254"/>
      <c r="CU173" s="254"/>
      <c r="CV173" s="318"/>
      <c r="CW173" s="223">
        <f>(CO173+CP173+CQ173+CR173+CS173+CT173+CU173+CV173)/3</f>
        <v>11.666666666666666</v>
      </c>
      <c r="CX173" s="223">
        <f>2*CW173</f>
        <v>23.333333333333332</v>
      </c>
      <c r="CY173" s="224">
        <f>3*CW173</f>
        <v>35</v>
      </c>
      <c r="CZ173" s="237">
        <f t="shared" si="1353"/>
        <v>2432</v>
      </c>
      <c r="DA173" s="254">
        <f>CO173*CQ173*CHslave+CO173*INslave_IN*CR173+MUslave*CQ173*CR173</f>
        <v>3408</v>
      </c>
      <c r="DB173" s="224">
        <f>IFERROR(CO173^SIGN(CO173),1)*IFERROR(CP173^SIGN(CP173),1)*IFERROR(CQ173^SIGN(CQ173),1)*IFERROR(CR173^SIGN(CR173),1)*IFERROR(CS173^SIGN(CS173),1)*IFERROR(CT173^SIGN(CT173),1)*IFERROR(CU173^SIGN(CU173),1)*IFERROR(CV173^SIGN(CV173),1)</f>
        <v>1584</v>
      </c>
      <c r="DC173" s="224">
        <f t="shared" si="1277"/>
        <v>7424</v>
      </c>
      <c r="DD173" s="222">
        <f>CW173*CZ173/DC173</f>
        <v>3.8218390804597702</v>
      </c>
      <c r="DE173" s="223">
        <f>CX173*DA173/DC173</f>
        <v>10.711206896551724</v>
      </c>
      <c r="DF173" s="243">
        <f>CY173*DB173/DC173</f>
        <v>7.4676724137931032</v>
      </c>
      <c r="DG173" s="243">
        <f>SUM(DD173:DF173)</f>
        <v>22.000718390804597</v>
      </c>
      <c r="DH173" s="252">
        <f t="shared" si="1282"/>
        <v>0</v>
      </c>
      <c r="DI173" s="309">
        <f>DG173-DH173</f>
        <v>22.000718390804597</v>
      </c>
      <c r="DJ173" s="218">
        <f>IF(DG173&lt;=0,2,0)+IF(DG173&gt;0,DG173+1,0)*2+IF(DG173&gt;12,DG173-12,0)*2+IF(DG173&gt;13,DG173-13,0)*2+IF(DG173&gt;14,DG173-14,0)*2+IF(DG173&gt;15,DG173-15,0)*2+IF(DG173&gt;16,DG173-16,0)*2+IF(DG173&gt;17,DG173-17,0)*2+IF(DG173&gt;18,DG173-18,0)*2+IF(DG173&gt;19,DG173-19,0)*2+IF(DG173&gt;20,DG173-20,0)*2</f>
        <v>154.01436781609189</v>
      </c>
      <c r="DK173" s="242">
        <f>IF(DH173&lt;=0,2,0)+IF(DH173&gt;0,DH173+1,0)*2+IF(DH173&gt;12,DH173-12,0)*2+IF(DH173&gt;13,DH173-13,0)*2+IF(DH173&gt;14,DH173-14,0)*2+IF(DH173&gt;15,DH173-15,0)*2+IF(DH173&gt;16,DH173-16,0)*2+IF(DH173&gt;17,DH173-17,0)*2+IF(DH173&gt;18,DH173-18,0)*2+IF(DH173&gt;19,DH173-19,0)*2+IF(DH173&gt;20,DH173-20,0)*2</f>
        <v>2</v>
      </c>
      <c r="DL173" s="243">
        <f>IF((DJ173-DK173)&gt;0,DJ173-DK173,0)</f>
        <v>152.01436781609189</v>
      </c>
      <c r="DM173" s="218">
        <f>IF((DK173-DJ173)&gt;0,DK173-DJ173,0)</f>
        <v>0</v>
      </c>
      <c r="DO173" s="303" t="s">
        <v>359</v>
      </c>
      <c r="DP173" s="304" t="s">
        <v>86</v>
      </c>
      <c r="DQ173" s="305" t="s">
        <v>132</v>
      </c>
      <c r="DR173" s="317">
        <f>Konvention_1slave-MUslave</f>
        <v>12</v>
      </c>
      <c r="DS173" s="254"/>
      <c r="DT173" s="254">
        <f>Konvention_1slave-INslave</f>
        <v>12</v>
      </c>
      <c r="DU173" s="254">
        <f t="shared" si="1469"/>
        <v>11</v>
      </c>
      <c r="DV173" s="254"/>
      <c r="DW173" s="254"/>
      <c r="DX173" s="254"/>
      <c r="DY173" s="318"/>
      <c r="DZ173" s="223">
        <f>(DR173+DS173+DT173+DU173+DV173+DW173+DX173+DY173)/3</f>
        <v>11.666666666666666</v>
      </c>
      <c r="EA173" s="223">
        <f>2*DZ173</f>
        <v>23.333333333333332</v>
      </c>
      <c r="EB173" s="224">
        <f>3*DZ173</f>
        <v>35</v>
      </c>
      <c r="EC173" s="237">
        <f t="shared" si="1354"/>
        <v>2432</v>
      </c>
      <c r="ED173" s="254">
        <f>DR173*DT173*CHslave_CH+DR173*INslave*DU173+MUslave*DT173*DU173</f>
        <v>3408</v>
      </c>
      <c r="EE173" s="224">
        <f>IFERROR(DR173^SIGN(DR173),1)*IFERROR(DS173^SIGN(DS173),1)*IFERROR(DT173^SIGN(DT173),1)*IFERROR(DU173^SIGN(DU173),1)*IFERROR(DV173^SIGN(DV173),1)*IFERROR(DW173^SIGN(DW173),1)*IFERROR(DX173^SIGN(DX173),1)*IFERROR(DY173^SIGN(DY173),1)</f>
        <v>1584</v>
      </c>
      <c r="EF173" s="224">
        <f t="shared" si="1288"/>
        <v>7424</v>
      </c>
      <c r="EG173" s="222">
        <f>DZ173*EC173/EF173</f>
        <v>3.8218390804597702</v>
      </c>
      <c r="EH173" s="223">
        <f>EA173*ED173/EF173</f>
        <v>10.711206896551724</v>
      </c>
      <c r="EI173" s="243">
        <f>EB173*EE173/EF173</f>
        <v>7.4676724137931032</v>
      </c>
      <c r="EJ173" s="243">
        <f>SUM(EG173:EI173)</f>
        <v>22.000718390804597</v>
      </c>
      <c r="EK173" s="252">
        <f t="shared" si="1293"/>
        <v>0</v>
      </c>
      <c r="EL173" s="309">
        <f>EJ173-EK173</f>
        <v>22.000718390804597</v>
      </c>
      <c r="EM173" s="218">
        <f>IF(EJ173&lt;=0,2,0)+IF(EJ173&gt;0,EJ173+1,0)*2+IF(EJ173&gt;12,EJ173-12,0)*2+IF(EJ173&gt;13,EJ173-13,0)*2+IF(EJ173&gt;14,EJ173-14,0)*2+IF(EJ173&gt;15,EJ173-15,0)*2+IF(EJ173&gt;16,EJ173-16,0)*2+IF(EJ173&gt;17,EJ173-17,0)*2+IF(EJ173&gt;18,EJ173-18,0)*2+IF(EJ173&gt;19,EJ173-19,0)*2+IF(EJ173&gt;20,EJ173-20,0)*2</f>
        <v>154.01436781609189</v>
      </c>
      <c r="EN173" s="242">
        <f>IF(EK173&lt;=0,2,0)+IF(EK173&gt;0,EK173+1,0)*2+IF(EK173&gt;12,EK173-12,0)*2+IF(EK173&gt;13,EK173-13,0)*2+IF(EK173&gt;14,EK173-14,0)*2+IF(EK173&gt;15,EK173-15,0)*2+IF(EK173&gt;16,EK173-16,0)*2+IF(EK173&gt;17,EK173-17,0)*2+IF(EK173&gt;18,EK173-18,0)*2+IF(EK173&gt;19,EK173-19,0)*2+IF(EK173&gt;20,EK173-20,0)*2</f>
        <v>2</v>
      </c>
      <c r="EO173" s="243">
        <f>IF((EM173-EN173)&gt;0,EM173-EN173,0)</f>
        <v>152.01436781609189</v>
      </c>
      <c r="EP173" s="218">
        <f>IF((EN173-EM173)&gt;0,EN173-EM173,0)</f>
        <v>0</v>
      </c>
      <c r="ER173" s="303" t="s">
        <v>359</v>
      </c>
      <c r="ES173" s="304" t="s">
        <v>86</v>
      </c>
      <c r="ET173" s="305" t="s">
        <v>132</v>
      </c>
      <c r="EU173" s="317">
        <f>Konvention_1slave-MUslave</f>
        <v>12</v>
      </c>
      <c r="EV173" s="254"/>
      <c r="EW173" s="254">
        <f>Konvention_1slave-INslave</f>
        <v>12</v>
      </c>
      <c r="EX173" s="254">
        <f t="shared" si="1472"/>
        <v>12</v>
      </c>
      <c r="EY173" s="254"/>
      <c r="EZ173" s="254"/>
      <c r="FA173" s="254"/>
      <c r="FB173" s="318"/>
      <c r="FC173" s="223">
        <f>(EU173+EV173+EW173+EX173+EY173+EZ173+FA173+FB173)/3</f>
        <v>12</v>
      </c>
      <c r="FD173" s="223">
        <f>2*FC173</f>
        <v>24</v>
      </c>
      <c r="FE173" s="224">
        <f>3*FC173</f>
        <v>36</v>
      </c>
      <c r="FF173" s="237">
        <f t="shared" si="1355"/>
        <v>2304</v>
      </c>
      <c r="FG173" s="254">
        <f>EU173*EW173*CHslave+EU173*INslave*EX173+MUslave*EW173*EX173</f>
        <v>3456</v>
      </c>
      <c r="FH173" s="224">
        <f>IFERROR(EU173^SIGN(EU173),1)*IFERROR(EV173^SIGN(EV173),1)*IFERROR(EW173^SIGN(EW173),1)*IFERROR(EX173^SIGN(EX173),1)*IFERROR(EY173^SIGN(EY173),1)*IFERROR(EZ173^SIGN(EZ173),1)*IFERROR(FA173^SIGN(FA173),1)*IFERROR(FB173^SIGN(FB173),1)</f>
        <v>1728</v>
      </c>
      <c r="FI173" s="224">
        <f t="shared" si="1299"/>
        <v>7488</v>
      </c>
      <c r="FJ173" s="222">
        <f>FC173*FF173/FI173</f>
        <v>3.6923076923076925</v>
      </c>
      <c r="FK173" s="223">
        <f>FD173*FG173/FI173</f>
        <v>11.076923076923077</v>
      </c>
      <c r="FL173" s="243">
        <f>FE173*FH173/FI173</f>
        <v>8.3076923076923084</v>
      </c>
      <c r="FM173" s="243">
        <f>SUM(FJ173:FL173)</f>
        <v>23.07692307692308</v>
      </c>
      <c r="FN173" s="252">
        <f t="shared" si="1304"/>
        <v>0</v>
      </c>
      <c r="FO173" s="309">
        <f>FM173-FN173</f>
        <v>23.07692307692308</v>
      </c>
      <c r="FP173" s="218">
        <f>IF(FM173&lt;=0,2,0)+IF(FM173&gt;0,FM173+1,0)*2+IF(FM173&gt;12,FM173-12,0)*2+IF(FM173&gt;13,FM173-13,0)*2+IF(FM173&gt;14,FM173-14,0)*2+IF(FM173&gt;15,FM173-15,0)*2+IF(FM173&gt;16,FM173-16,0)*2+IF(FM173&gt;17,FM173-17,0)*2+IF(FM173&gt;18,FM173-18,0)*2+IF(FM173&gt;19,FM173-19,0)*2+IF(FM173&gt;20,FM173-20,0)*2</f>
        <v>175.5384615384616</v>
      </c>
      <c r="FQ173" s="242">
        <f>IF(FN173&lt;=0,2,0)+IF(FN173&gt;0,FN173+1,0)*2+IF(FN173&gt;12,FN173-12,0)*2+IF(FN173&gt;13,FN173-13,0)*2+IF(FN173&gt;14,FN173-14,0)*2+IF(FN173&gt;15,FN173-15,0)*2+IF(FN173&gt;16,FN173-16,0)*2+IF(FN173&gt;17,FN173-17,0)*2+IF(FN173&gt;18,FN173-18,0)*2+IF(FN173&gt;19,FN173-19,0)*2+IF(FN173&gt;20,FN173-20,0)*2</f>
        <v>2</v>
      </c>
      <c r="FR173" s="243">
        <f>IF((FP173-FQ173)&gt;0,FP173-FQ173,0)</f>
        <v>173.5384615384616</v>
      </c>
      <c r="FS173" s="218">
        <f>IF((FQ173-FP173)&gt;0,FQ173-FP173,0)</f>
        <v>0</v>
      </c>
      <c r="FU173" s="303" t="s">
        <v>359</v>
      </c>
      <c r="FV173" s="304" t="s">
        <v>86</v>
      </c>
      <c r="FW173" s="305" t="s">
        <v>132</v>
      </c>
      <c r="FX173" s="317">
        <f>Konvention_1slave-MUslave</f>
        <v>12</v>
      </c>
      <c r="FY173" s="254"/>
      <c r="FZ173" s="254">
        <f>Konvention_1slave-INslave</f>
        <v>12</v>
      </c>
      <c r="GA173" s="254">
        <f t="shared" si="1475"/>
        <v>12</v>
      </c>
      <c r="GB173" s="254"/>
      <c r="GC173" s="254"/>
      <c r="GD173" s="254"/>
      <c r="GE173" s="318"/>
      <c r="GF173" s="223">
        <f>(FX173+FY173+FZ173+GA173+GB173+GC173+GD173+GE173)/3</f>
        <v>12</v>
      </c>
      <c r="GG173" s="223">
        <f>2*GF173</f>
        <v>24</v>
      </c>
      <c r="GH173" s="224">
        <f>3*GF173</f>
        <v>36</v>
      </c>
      <c r="GI173" s="237">
        <f t="shared" si="1356"/>
        <v>2304</v>
      </c>
      <c r="GJ173" s="254">
        <f>FX173*FZ173*CHslave+FX173*INslave*GA173+MUslave*FZ173*GA173</f>
        <v>3456</v>
      </c>
      <c r="GK173" s="224">
        <f>IFERROR(FX173^SIGN(FX173),1)*IFERROR(FY173^SIGN(FY173),1)*IFERROR(FZ173^SIGN(FZ173),1)*IFERROR(GA173^SIGN(GA173),1)*IFERROR(GB173^SIGN(GB173),1)*IFERROR(GC173^SIGN(GC173),1)*IFERROR(GD173^SIGN(GD173),1)*IFERROR(GE173^SIGN(GE173),1)</f>
        <v>1728</v>
      </c>
      <c r="GL173" s="224">
        <f t="shared" si="1310"/>
        <v>7488</v>
      </c>
      <c r="GM173" s="222">
        <f>GF173*GI173/GL173</f>
        <v>3.6923076923076925</v>
      </c>
      <c r="GN173" s="223">
        <f>GG173*GJ173/GL173</f>
        <v>11.076923076923077</v>
      </c>
      <c r="GO173" s="243">
        <f>GH173*GK173/GL173</f>
        <v>8.3076923076923084</v>
      </c>
      <c r="GP173" s="243">
        <f>SUM(GM173:GO173)</f>
        <v>23.07692307692308</v>
      </c>
      <c r="GQ173" s="252">
        <f t="shared" si="1315"/>
        <v>0</v>
      </c>
      <c r="GR173" s="309">
        <f>GP173-GQ173</f>
        <v>23.07692307692308</v>
      </c>
      <c r="GS173" s="218">
        <f>IF(GP173&lt;=0,2,0)+IF(GP173&gt;0,GP173+1,0)*2+IF(GP173&gt;12,GP173-12,0)*2+IF(GP173&gt;13,GP173-13,0)*2+IF(GP173&gt;14,GP173-14,0)*2+IF(GP173&gt;15,GP173-15,0)*2+IF(GP173&gt;16,GP173-16,0)*2+IF(GP173&gt;17,GP173-17,0)*2+IF(GP173&gt;18,GP173-18,0)*2+IF(GP173&gt;19,GP173-19,0)*2+IF(GP173&gt;20,GP173-20,0)*2</f>
        <v>175.5384615384616</v>
      </c>
      <c r="GT173" s="242">
        <f>IF(GQ173&lt;=0,2,0)+IF(GQ173&gt;0,GQ173+1,0)*2+IF(GQ173&gt;12,GQ173-12,0)*2+IF(GQ173&gt;13,GQ173-13,0)*2+IF(GQ173&gt;14,GQ173-14,0)*2+IF(GQ173&gt;15,GQ173-15,0)*2+IF(GQ173&gt;16,GQ173-16,0)*2+IF(GQ173&gt;17,GQ173-17,0)*2+IF(GQ173&gt;18,GQ173-18,0)*2+IF(GQ173&gt;19,GQ173-19,0)*2+IF(GQ173&gt;20,GQ173-20,0)*2</f>
        <v>2</v>
      </c>
      <c r="GU173" s="243">
        <f>IF((GS173-GT173)&gt;0,GS173-GT173,0)</f>
        <v>173.5384615384616</v>
      </c>
      <c r="GV173" s="218">
        <f>IF((GT173-GS173)&gt;0,GT173-GS173,0)</f>
        <v>0</v>
      </c>
      <c r="GX173" s="303" t="s">
        <v>359</v>
      </c>
      <c r="GY173" s="304" t="s">
        <v>86</v>
      </c>
      <c r="GZ173" s="305" t="s">
        <v>132</v>
      </c>
      <c r="HA173" s="317">
        <f>Konvention_1slave-MUslave</f>
        <v>12</v>
      </c>
      <c r="HB173" s="254"/>
      <c r="HC173" s="254">
        <f>Konvention_1slave-INslave</f>
        <v>12</v>
      </c>
      <c r="HD173" s="254">
        <f t="shared" si="1478"/>
        <v>12</v>
      </c>
      <c r="HE173" s="254"/>
      <c r="HF173" s="254"/>
      <c r="HG173" s="254"/>
      <c r="HH173" s="318"/>
      <c r="HI173" s="223">
        <f>(HA173+HB173+HC173+HD173+HE173+HF173+HG173+HH173)/3</f>
        <v>12</v>
      </c>
      <c r="HJ173" s="223">
        <f>2*HI173</f>
        <v>24</v>
      </c>
      <c r="HK173" s="224">
        <f>3*HI173</f>
        <v>36</v>
      </c>
      <c r="HL173" s="237">
        <f t="shared" si="1357"/>
        <v>2304</v>
      </c>
      <c r="HM173" s="254">
        <f>HA173*HC173*CHslave+HA173*INslave*HD173+MUslave*HC173*HD173</f>
        <v>3456</v>
      </c>
      <c r="HN173" s="224">
        <f>IFERROR(HA173^SIGN(HA173),1)*IFERROR(HB173^SIGN(HB173),1)*IFERROR(HC173^SIGN(HC173),1)*IFERROR(HD173^SIGN(HD173),1)*IFERROR(HE173^SIGN(HE173),1)*IFERROR(HF173^SIGN(HF173),1)*IFERROR(HG173^SIGN(HG173),1)*IFERROR(HH173^SIGN(HH173),1)</f>
        <v>1728</v>
      </c>
      <c r="HO173" s="224">
        <f t="shared" si="1321"/>
        <v>7488</v>
      </c>
      <c r="HP173" s="222">
        <f>HI173*HL173/HO173</f>
        <v>3.6923076923076925</v>
      </c>
      <c r="HQ173" s="223">
        <f>HJ173*HM173/HO173</f>
        <v>11.076923076923077</v>
      </c>
      <c r="HR173" s="243">
        <f>HK173*HN173/HO173</f>
        <v>8.3076923076923084</v>
      </c>
      <c r="HS173" s="243">
        <f>SUM(HP173:HR173)</f>
        <v>23.07692307692308</v>
      </c>
      <c r="HT173" s="252">
        <f t="shared" si="1326"/>
        <v>0</v>
      </c>
      <c r="HU173" s="309">
        <f>HS173-HT173</f>
        <v>23.07692307692308</v>
      </c>
      <c r="HV173" s="218">
        <f>IF(HS173&lt;=0,2,0)+IF(HS173&gt;0,HS173+1,0)*2+IF(HS173&gt;12,HS173-12,0)*2+IF(HS173&gt;13,HS173-13,0)*2+IF(HS173&gt;14,HS173-14,0)*2+IF(HS173&gt;15,HS173-15,0)*2+IF(HS173&gt;16,HS173-16,0)*2+IF(HS173&gt;17,HS173-17,0)*2+IF(HS173&gt;18,HS173-18,0)*2+IF(HS173&gt;19,HS173-19,0)*2+IF(HS173&gt;20,HS173-20,0)*2</f>
        <v>175.5384615384616</v>
      </c>
      <c r="HW173" s="242">
        <f>IF(HT173&lt;=0,2,0)+IF(HT173&gt;0,HT173+1,0)*2+IF(HT173&gt;12,HT173-12,0)*2+IF(HT173&gt;13,HT173-13,0)*2+IF(HT173&gt;14,HT173-14,0)*2+IF(HT173&gt;15,HT173-15,0)*2+IF(HT173&gt;16,HT173-16,0)*2+IF(HT173&gt;17,HT173-17,0)*2+IF(HT173&gt;18,HT173-18,0)*2+IF(HT173&gt;19,HT173-19,0)*2+IF(HT173&gt;20,HT173-20,0)*2</f>
        <v>2</v>
      </c>
      <c r="HX173" s="243">
        <f>IF((HV173-HW173)&gt;0,HV173-HW173,0)</f>
        <v>173.5384615384616</v>
      </c>
      <c r="HY173" s="218">
        <f>IF((HW173-HV173)&gt;0,HW173-HV173,0)</f>
        <v>0</v>
      </c>
      <c r="IA173" s="303" t="s">
        <v>359</v>
      </c>
      <c r="IB173" s="304" t="s">
        <v>86</v>
      </c>
      <c r="IC173" s="305" t="s">
        <v>132</v>
      </c>
      <c r="ID173" s="317">
        <f>Konvention_1slave-MUslave</f>
        <v>12</v>
      </c>
      <c r="IE173" s="254"/>
      <c r="IF173" s="254">
        <f>Konvention_1slave-INslave</f>
        <v>12</v>
      </c>
      <c r="IG173" s="254">
        <f t="shared" si="1481"/>
        <v>12</v>
      </c>
      <c r="IH173" s="254"/>
      <c r="II173" s="254"/>
      <c r="IJ173" s="254"/>
      <c r="IK173" s="318"/>
      <c r="IL173" s="223">
        <f>(ID173+IE173+IF173+IG173+IH173+II173+IJ173+IK173)/3</f>
        <v>12</v>
      </c>
      <c r="IM173" s="223">
        <f>2*IL173</f>
        <v>24</v>
      </c>
      <c r="IN173" s="224">
        <f>3*IL173</f>
        <v>36</v>
      </c>
      <c r="IO173" s="237">
        <f t="shared" si="1358"/>
        <v>2304</v>
      </c>
      <c r="IP173" s="254">
        <f>ID173*IF173*CHslave+ID173*INslave*IG173+MUslave*IF173*IG173</f>
        <v>3456</v>
      </c>
      <c r="IQ173" s="224">
        <f>IFERROR(ID173^SIGN(ID173),1)*IFERROR(IE173^SIGN(IE173),1)*IFERROR(IF173^SIGN(IF173),1)*IFERROR(IG173^SIGN(IG173),1)*IFERROR(IH173^SIGN(IH173),1)*IFERROR(II173^SIGN(II173),1)*IFERROR(IJ173^SIGN(IJ173),1)*IFERROR(IK173^SIGN(IK173),1)</f>
        <v>1728</v>
      </c>
      <c r="IR173" s="224">
        <f t="shared" si="1332"/>
        <v>7488</v>
      </c>
      <c r="IS173" s="222">
        <f>IL173*IO173/IR173</f>
        <v>3.6923076923076925</v>
      </c>
      <c r="IT173" s="223">
        <f>IM173*IP173/IR173</f>
        <v>11.076923076923077</v>
      </c>
      <c r="IU173" s="243">
        <f>IN173*IQ173/IR173</f>
        <v>8.3076923076923084</v>
      </c>
      <c r="IV173" s="243">
        <f>SUM(IS173:IU173)</f>
        <v>23.07692307692308</v>
      </c>
      <c r="IW173" s="252">
        <f t="shared" si="1337"/>
        <v>0</v>
      </c>
      <c r="IX173" s="309">
        <f>IV173-IW173</f>
        <v>23.07692307692308</v>
      </c>
      <c r="IY173" s="218">
        <f>IF(IV173&lt;=0,2,0)+IF(IV173&gt;0,IV173+1,0)*2+IF(IV173&gt;12,IV173-12,0)*2+IF(IV173&gt;13,IV173-13,0)*2+IF(IV173&gt;14,IV173-14,0)*2+IF(IV173&gt;15,IV173-15,0)*2+IF(IV173&gt;16,IV173-16,0)*2+IF(IV173&gt;17,IV173-17,0)*2+IF(IV173&gt;18,IV173-18,0)*2+IF(IV173&gt;19,IV173-19,0)*2+IF(IV173&gt;20,IV173-20,0)*2</f>
        <v>175.5384615384616</v>
      </c>
      <c r="IZ173" s="242">
        <f>IF(IW173&lt;=0,2,0)+IF(IW173&gt;0,IW173+1,0)*2+IF(IW173&gt;12,IW173-12,0)*2+IF(IW173&gt;13,IW173-13,0)*2+IF(IW173&gt;14,IW173-14,0)*2+IF(IW173&gt;15,IW173-15,0)*2+IF(IW173&gt;16,IW173-16,0)*2+IF(IW173&gt;17,IW173-17,0)*2+IF(IW173&gt;18,IW173-18,0)*2+IF(IW173&gt;19,IW173-19,0)*2+IF(IW173&gt;20,IW173-20,0)*2</f>
        <v>2</v>
      </c>
      <c r="JA173" s="243">
        <f>IF((IY173-IZ173)&gt;0,IY173-IZ173,0)</f>
        <v>173.5384615384616</v>
      </c>
      <c r="JB173" s="218">
        <f>IF((IZ173-IY173)&gt;0,IZ173-IY173,0)</f>
        <v>0</v>
      </c>
      <c r="JE173" s="148"/>
    </row>
    <row r="174" spans="2:265" ht="15" hidden="1" customHeight="1" outlineLevel="2">
      <c r="B174" s="148">
        <v>22</v>
      </c>
      <c r="C174" s="303" t="e">
        <f>VLOOKUP(AF174,Attribute!C:T,1,FALSE)</f>
        <v>#N/A</v>
      </c>
      <c r="D174" s="86" t="s">
        <v>170</v>
      </c>
      <c r="E174" s="167" t="s">
        <v>135</v>
      </c>
      <c r="F174" s="120"/>
      <c r="G174" s="117">
        <f>Konvention_1master-KLmaster</f>
        <v>12</v>
      </c>
      <c r="H174" s="117">
        <f t="shared" si="1487"/>
        <v>12</v>
      </c>
      <c r="I174" s="117"/>
      <c r="J174" s="117">
        <f>Konvention_1master-FFmaster</f>
        <v>12</v>
      </c>
      <c r="K174" s="117"/>
      <c r="L174" s="117"/>
      <c r="M174" s="121"/>
      <c r="N174" s="223">
        <f t="shared" si="1359"/>
        <v>12</v>
      </c>
      <c r="O174" s="223">
        <f t="shared" si="1360"/>
        <v>24</v>
      </c>
      <c r="P174" s="224">
        <f t="shared" si="1361"/>
        <v>36</v>
      </c>
      <c r="Q174" s="237">
        <f t="shared" si="1350"/>
        <v>2304</v>
      </c>
      <c r="R174" s="117">
        <f>G174*H174*FFmaster+G174*INmaster*J174+KLmaster*H174*J174</f>
        <v>3456</v>
      </c>
      <c r="S174" s="224">
        <f t="shared" si="1362"/>
        <v>1728</v>
      </c>
      <c r="T174" s="224">
        <f t="shared" si="1485"/>
        <v>7488</v>
      </c>
      <c r="U174" s="222">
        <f t="shared" si="1363"/>
        <v>3.6923076923076925</v>
      </c>
      <c r="V174" s="223">
        <f t="shared" si="1364"/>
        <v>11.076923076923077</v>
      </c>
      <c r="W174" s="243">
        <f t="shared" si="1365"/>
        <v>8.3076923076923084</v>
      </c>
      <c r="X174" s="243">
        <f t="shared" si="1366"/>
        <v>23.07692307692308</v>
      </c>
      <c r="Y174" s="252">
        <v>0</v>
      </c>
      <c r="Z174" s="198">
        <f t="shared" si="1367"/>
        <v>23.07692307692308</v>
      </c>
      <c r="AA174" s="125">
        <f t="shared" si="1486"/>
        <v>263.30769230769232</v>
      </c>
      <c r="AB174" s="160">
        <f t="shared" si="1486"/>
        <v>3</v>
      </c>
      <c r="AC174" s="127">
        <f t="shared" si="1368"/>
        <v>260.30769230769232</v>
      </c>
      <c r="AD174" s="125">
        <f t="shared" si="1369"/>
        <v>0</v>
      </c>
      <c r="AF174" s="163" t="s">
        <v>302</v>
      </c>
      <c r="AG174" s="86" t="s">
        <v>170</v>
      </c>
      <c r="AH174" s="167" t="s">
        <v>135</v>
      </c>
      <c r="AI174" s="120"/>
      <c r="AJ174" s="117">
        <f>Konvention_1slave-KLslave</f>
        <v>12</v>
      </c>
      <c r="AK174" s="117">
        <f>Konvention_1slave-INslave</f>
        <v>12</v>
      </c>
      <c r="AL174" s="117"/>
      <c r="AM174" s="117">
        <f>Konvention_1slave-FFslave</f>
        <v>12</v>
      </c>
      <c r="AN174" s="117"/>
      <c r="AO174" s="117"/>
      <c r="AP174" s="121"/>
      <c r="AQ174" s="47">
        <f t="shared" si="1370"/>
        <v>12</v>
      </c>
      <c r="AR174" s="3">
        <f t="shared" si="1371"/>
        <v>24</v>
      </c>
      <c r="AS174" s="174">
        <f t="shared" si="1372"/>
        <v>36</v>
      </c>
      <c r="AT174" s="114">
        <f t="shared" si="1351"/>
        <v>2304</v>
      </c>
      <c r="AU174" s="117">
        <f>AJ174*AK174*FFslave+AJ174*INslave*AM174+KLslave*AK174*AM174</f>
        <v>3456</v>
      </c>
      <c r="AV174" s="119">
        <f t="shared" si="1373"/>
        <v>1728</v>
      </c>
      <c r="AW174" s="119">
        <f t="shared" si="1255"/>
        <v>7488</v>
      </c>
      <c r="AX174" s="89">
        <f t="shared" si="1374"/>
        <v>3.6923076923076925</v>
      </c>
      <c r="AY174" s="47">
        <f t="shared" si="1375"/>
        <v>11.076923076923077</v>
      </c>
      <c r="AZ174" s="127">
        <f t="shared" si="1376"/>
        <v>8.3076923076923084</v>
      </c>
      <c r="BA174" s="127">
        <f t="shared" si="1377"/>
        <v>23.07692307692308</v>
      </c>
      <c r="BB174" s="165">
        <f t="shared" si="1260"/>
        <v>0</v>
      </c>
      <c r="BC174" s="198">
        <f t="shared" si="1378"/>
        <v>23.07692307692308</v>
      </c>
      <c r="BD174" s="125">
        <f>IF(BA174&lt;=0,3,0)+IF(BA174&gt;0,BA174+1,0)*3+IF(BA174&gt;12,BA174-12,0)*3+IF(BA174&gt;13,BA174-13,0)*3+IF(BA174&gt;14,BA174-14,0)*3+IF(BA174&gt;15,BA174-15,0)*3+IF(BA174&gt;16,BA174-16,0)*3+IF(BA174&gt;17,BA174-17,0)*3+IF(BA174&gt;18,BA174-18,0)*3+IF(BA174&gt;19,BA174-19,0)*3+IF(BA174&gt;20,BA174-20,0)*3</f>
        <v>263.30769230769232</v>
      </c>
      <c r="BE174" s="160">
        <f>IF(BB174&lt;=0,3,0)+IF(BB174&gt;0,BB174+1,0)*3+IF(BB174&gt;12,BB174-12,0)*3+IF(BB174&gt;13,BB174-13,0)*3+IF(BB174&gt;14,BB174-14,0)*3+IF(BB174&gt;15,BB174-15,0)*3+IF(BB174&gt;16,BB174-16,0)*3+IF(BB174&gt;17,BB174-17,0)*3+IF(BB174&gt;18,BB174-18,0)*3+IF(BB174&gt;19,BB174-19,0)*3+IF(BB174&gt;20,BB174-20,0)*3</f>
        <v>3</v>
      </c>
      <c r="BF174" s="243">
        <f t="shared" si="1379"/>
        <v>260.30769230769232</v>
      </c>
      <c r="BG174" s="218">
        <f t="shared" si="1380"/>
        <v>0</v>
      </c>
      <c r="BI174" s="303" t="s">
        <v>302</v>
      </c>
      <c r="BJ174" s="304" t="s">
        <v>170</v>
      </c>
      <c r="BK174" s="305" t="s">
        <v>135</v>
      </c>
      <c r="BL174" s="317"/>
      <c r="BM174" s="254">
        <f>Konvention_1slave-KLslave_KL</f>
        <v>11</v>
      </c>
      <c r="BN174" s="254">
        <f>Konvention_1slave-INslave</f>
        <v>12</v>
      </c>
      <c r="BO174" s="254"/>
      <c r="BP174" s="254">
        <f>Konvention_1slave-FFslave</f>
        <v>12</v>
      </c>
      <c r="BQ174" s="254"/>
      <c r="BR174" s="254"/>
      <c r="BS174" s="318"/>
      <c r="BT174" s="223">
        <f t="shared" si="1381"/>
        <v>11.666666666666666</v>
      </c>
      <c r="BU174" s="223">
        <f t="shared" si="1382"/>
        <v>23.333333333333332</v>
      </c>
      <c r="BV174" s="224">
        <f t="shared" si="1383"/>
        <v>35</v>
      </c>
      <c r="BW174" s="237">
        <f t="shared" si="1352"/>
        <v>2432</v>
      </c>
      <c r="BX174" s="254">
        <f>BM174*BN174*FFslave+BM174*INslave*BP174+KLslave_KL*BN174*BP174</f>
        <v>3408</v>
      </c>
      <c r="BY174" s="224">
        <f t="shared" si="1384"/>
        <v>1584</v>
      </c>
      <c r="BZ174" s="224">
        <f t="shared" si="1266"/>
        <v>7424</v>
      </c>
      <c r="CA174" s="222">
        <f t="shared" si="1385"/>
        <v>3.8218390804597702</v>
      </c>
      <c r="CB174" s="223">
        <f t="shared" si="1386"/>
        <v>10.711206896551724</v>
      </c>
      <c r="CC174" s="243">
        <f t="shared" si="1387"/>
        <v>7.4676724137931032</v>
      </c>
      <c r="CD174" s="243">
        <f t="shared" si="1388"/>
        <v>22.000718390804597</v>
      </c>
      <c r="CE174" s="252">
        <f t="shared" si="1271"/>
        <v>0</v>
      </c>
      <c r="CF174" s="309">
        <f t="shared" si="1389"/>
        <v>22.000718390804597</v>
      </c>
      <c r="CG174" s="218">
        <f>IF(CD174&lt;=0,3,0)+IF(CD174&gt;0,CD174+1,0)*3+IF(CD174&gt;12,CD174-12,0)*3+IF(CD174&gt;13,CD174-13,0)*3+IF(CD174&gt;14,CD174-14,0)*3+IF(CD174&gt;15,CD174-15,0)*3+IF(CD174&gt;16,CD174-16,0)*3+IF(CD174&gt;17,CD174-17,0)*3+IF(CD174&gt;18,CD174-18,0)*3+IF(CD174&gt;19,CD174-19,0)*3+IF(CD174&gt;20,CD174-20,0)*3</f>
        <v>231.02155172413785</v>
      </c>
      <c r="CH174" s="242">
        <f>IF(CE174&lt;=0,3,0)+IF(CE174&gt;0,CE174+1,0)*3+IF(CE174&gt;12,CE174-12,0)*3+IF(CE174&gt;13,CE174-13,0)*3+IF(CE174&gt;14,CE174-14,0)*3+IF(CE174&gt;15,CE174-15,0)*3+IF(CE174&gt;16,CE174-16,0)*3+IF(CE174&gt;17,CE174-17,0)*3+IF(CE174&gt;18,CE174-18,0)*3+IF(CE174&gt;19,CE174-19,0)*3+IF(CE174&gt;20,CE174-20,0)*3</f>
        <v>3</v>
      </c>
      <c r="CI174" s="243">
        <f t="shared" si="1390"/>
        <v>228.02155172413785</v>
      </c>
      <c r="CJ174" s="218">
        <f t="shared" si="1391"/>
        <v>0</v>
      </c>
      <c r="CL174" s="303" t="s">
        <v>302</v>
      </c>
      <c r="CM174" s="304" t="s">
        <v>170</v>
      </c>
      <c r="CN174" s="305" t="s">
        <v>135</v>
      </c>
      <c r="CO174" s="317"/>
      <c r="CP174" s="254">
        <f>Konvention_1slave-KLslave</f>
        <v>12</v>
      </c>
      <c r="CQ174" s="254">
        <f>Konvention_1slave-INslave_IN</f>
        <v>11</v>
      </c>
      <c r="CR174" s="254"/>
      <c r="CS174" s="254">
        <f>Konvention_1slave-FFslave</f>
        <v>12</v>
      </c>
      <c r="CT174" s="254"/>
      <c r="CU174" s="254"/>
      <c r="CV174" s="318"/>
      <c r="CW174" s="223">
        <f t="shared" si="1392"/>
        <v>11.666666666666666</v>
      </c>
      <c r="CX174" s="223">
        <f t="shared" si="1393"/>
        <v>23.333333333333332</v>
      </c>
      <c r="CY174" s="224">
        <f t="shared" si="1394"/>
        <v>35</v>
      </c>
      <c r="CZ174" s="237">
        <f t="shared" si="1353"/>
        <v>2432</v>
      </c>
      <c r="DA174" s="254">
        <f>CP174*CQ174*FFslave+CP174*INslave_IN*CS174+KLslave*CQ174*CS174</f>
        <v>3408</v>
      </c>
      <c r="DB174" s="224">
        <f t="shared" si="1395"/>
        <v>1584</v>
      </c>
      <c r="DC174" s="224">
        <f t="shared" si="1277"/>
        <v>7424</v>
      </c>
      <c r="DD174" s="222">
        <f t="shared" si="1396"/>
        <v>3.8218390804597702</v>
      </c>
      <c r="DE174" s="223">
        <f t="shared" si="1397"/>
        <v>10.711206896551724</v>
      </c>
      <c r="DF174" s="243">
        <f t="shared" si="1398"/>
        <v>7.4676724137931032</v>
      </c>
      <c r="DG174" s="243">
        <f t="shared" si="1399"/>
        <v>22.000718390804597</v>
      </c>
      <c r="DH174" s="252">
        <f t="shared" si="1282"/>
        <v>0</v>
      </c>
      <c r="DI174" s="309">
        <f t="shared" si="1400"/>
        <v>22.000718390804597</v>
      </c>
      <c r="DJ174" s="218">
        <f>IF(DG174&lt;=0,3,0)+IF(DG174&gt;0,DG174+1,0)*3+IF(DG174&gt;12,DG174-12,0)*3+IF(DG174&gt;13,DG174-13,0)*3+IF(DG174&gt;14,DG174-14,0)*3+IF(DG174&gt;15,DG174-15,0)*3+IF(DG174&gt;16,DG174-16,0)*3+IF(DG174&gt;17,DG174-17,0)*3+IF(DG174&gt;18,DG174-18,0)*3+IF(DG174&gt;19,DG174-19,0)*3+IF(DG174&gt;20,DG174-20,0)*3</f>
        <v>231.02155172413785</v>
      </c>
      <c r="DK174" s="242">
        <f>IF(DH174&lt;=0,3,0)+IF(DH174&gt;0,DH174+1,0)*3+IF(DH174&gt;12,DH174-12,0)*3+IF(DH174&gt;13,DH174-13,0)*3+IF(DH174&gt;14,DH174-14,0)*3+IF(DH174&gt;15,DH174-15,0)*3+IF(DH174&gt;16,DH174-16,0)*3+IF(DH174&gt;17,DH174-17,0)*3+IF(DH174&gt;18,DH174-18,0)*3+IF(DH174&gt;19,DH174-19,0)*3+IF(DH174&gt;20,DH174-20,0)*3</f>
        <v>3</v>
      </c>
      <c r="DL174" s="243">
        <f t="shared" si="1401"/>
        <v>228.02155172413785</v>
      </c>
      <c r="DM174" s="218">
        <f t="shared" si="1402"/>
        <v>0</v>
      </c>
      <c r="DO174" s="303" t="s">
        <v>302</v>
      </c>
      <c r="DP174" s="304" t="s">
        <v>170</v>
      </c>
      <c r="DQ174" s="305" t="s">
        <v>135</v>
      </c>
      <c r="DR174" s="317"/>
      <c r="DS174" s="254">
        <f>Konvention_1slave-KLslave</f>
        <v>12</v>
      </c>
      <c r="DT174" s="254">
        <f>Konvention_1slave-INslave</f>
        <v>12</v>
      </c>
      <c r="DU174" s="254"/>
      <c r="DV174" s="254">
        <f>Konvention_1slave-FFslave</f>
        <v>12</v>
      </c>
      <c r="DW174" s="254"/>
      <c r="DX174" s="254"/>
      <c r="DY174" s="318"/>
      <c r="DZ174" s="223">
        <f t="shared" si="1403"/>
        <v>12</v>
      </c>
      <c r="EA174" s="223">
        <f t="shared" si="1404"/>
        <v>24</v>
      </c>
      <c r="EB174" s="224">
        <f t="shared" si="1405"/>
        <v>36</v>
      </c>
      <c r="EC174" s="237">
        <f t="shared" si="1354"/>
        <v>2304</v>
      </c>
      <c r="ED174" s="254">
        <f>DS174*DT174*FFslave+DS174*INslave*DV174+KLslave*DT174*DV174</f>
        <v>3456</v>
      </c>
      <c r="EE174" s="224">
        <f t="shared" si="1406"/>
        <v>1728</v>
      </c>
      <c r="EF174" s="224">
        <f t="shared" si="1288"/>
        <v>7488</v>
      </c>
      <c r="EG174" s="222">
        <f t="shared" si="1407"/>
        <v>3.6923076923076925</v>
      </c>
      <c r="EH174" s="223">
        <f t="shared" si="1408"/>
        <v>11.076923076923077</v>
      </c>
      <c r="EI174" s="243">
        <f t="shared" si="1409"/>
        <v>8.3076923076923084</v>
      </c>
      <c r="EJ174" s="243">
        <f t="shared" si="1410"/>
        <v>23.07692307692308</v>
      </c>
      <c r="EK174" s="252">
        <f t="shared" si="1293"/>
        <v>0</v>
      </c>
      <c r="EL174" s="309">
        <f t="shared" si="1411"/>
        <v>23.07692307692308</v>
      </c>
      <c r="EM174" s="218">
        <f>IF(EJ174&lt;=0,3,0)+IF(EJ174&gt;0,EJ174+1,0)*3+IF(EJ174&gt;12,EJ174-12,0)*3+IF(EJ174&gt;13,EJ174-13,0)*3+IF(EJ174&gt;14,EJ174-14,0)*3+IF(EJ174&gt;15,EJ174-15,0)*3+IF(EJ174&gt;16,EJ174-16,0)*3+IF(EJ174&gt;17,EJ174-17,0)*3+IF(EJ174&gt;18,EJ174-18,0)*3+IF(EJ174&gt;19,EJ174-19,0)*3+IF(EJ174&gt;20,EJ174-20,0)*3</f>
        <v>263.30769230769232</v>
      </c>
      <c r="EN174" s="242">
        <f>IF(EK174&lt;=0,3,0)+IF(EK174&gt;0,EK174+1,0)*3+IF(EK174&gt;12,EK174-12,0)*3+IF(EK174&gt;13,EK174-13,0)*3+IF(EK174&gt;14,EK174-14,0)*3+IF(EK174&gt;15,EK174-15,0)*3+IF(EK174&gt;16,EK174-16,0)*3+IF(EK174&gt;17,EK174-17,0)*3+IF(EK174&gt;18,EK174-18,0)*3+IF(EK174&gt;19,EK174-19,0)*3+IF(EK174&gt;20,EK174-20,0)*3</f>
        <v>3</v>
      </c>
      <c r="EO174" s="243">
        <f t="shared" si="1412"/>
        <v>260.30769230769232</v>
      </c>
      <c r="EP174" s="218">
        <f t="shared" si="1413"/>
        <v>0</v>
      </c>
      <c r="ER174" s="303" t="s">
        <v>302</v>
      </c>
      <c r="ES174" s="304" t="s">
        <v>170</v>
      </c>
      <c r="ET174" s="305" t="s">
        <v>135</v>
      </c>
      <c r="EU174" s="317"/>
      <c r="EV174" s="254">
        <f>Konvention_1slave-KLslave</f>
        <v>12</v>
      </c>
      <c r="EW174" s="254">
        <f>Konvention_1slave-INslave</f>
        <v>12</v>
      </c>
      <c r="EX174" s="254"/>
      <c r="EY174" s="254">
        <f>Konvention_1slave-FFslave_FF</f>
        <v>11</v>
      </c>
      <c r="EZ174" s="254"/>
      <c r="FA174" s="254"/>
      <c r="FB174" s="318"/>
      <c r="FC174" s="223">
        <f t="shared" si="1414"/>
        <v>11.666666666666666</v>
      </c>
      <c r="FD174" s="223">
        <f t="shared" si="1415"/>
        <v>23.333333333333332</v>
      </c>
      <c r="FE174" s="224">
        <f t="shared" si="1416"/>
        <v>35</v>
      </c>
      <c r="FF174" s="237">
        <f t="shared" si="1355"/>
        <v>2432</v>
      </c>
      <c r="FG174" s="254">
        <f>EV174*EW174*FFslave_FF+EV174*INslave*EY174+KLslave*EW174*EY174</f>
        <v>3408</v>
      </c>
      <c r="FH174" s="224">
        <f t="shared" si="1417"/>
        <v>1584</v>
      </c>
      <c r="FI174" s="224">
        <f t="shared" si="1299"/>
        <v>7424</v>
      </c>
      <c r="FJ174" s="222">
        <f t="shared" si="1418"/>
        <v>3.8218390804597702</v>
      </c>
      <c r="FK174" s="223">
        <f t="shared" si="1419"/>
        <v>10.711206896551724</v>
      </c>
      <c r="FL174" s="243">
        <f t="shared" si="1420"/>
        <v>7.4676724137931032</v>
      </c>
      <c r="FM174" s="243">
        <f t="shared" si="1421"/>
        <v>22.000718390804597</v>
      </c>
      <c r="FN174" s="252">
        <f t="shared" si="1304"/>
        <v>0</v>
      </c>
      <c r="FO174" s="309">
        <f t="shared" si="1422"/>
        <v>22.000718390804597</v>
      </c>
      <c r="FP174" s="218">
        <f>IF(FM174&lt;=0,3,0)+IF(FM174&gt;0,FM174+1,0)*3+IF(FM174&gt;12,FM174-12,0)*3+IF(FM174&gt;13,FM174-13,0)*3+IF(FM174&gt;14,FM174-14,0)*3+IF(FM174&gt;15,FM174-15,0)*3+IF(FM174&gt;16,FM174-16,0)*3+IF(FM174&gt;17,FM174-17,0)*3+IF(FM174&gt;18,FM174-18,0)*3+IF(FM174&gt;19,FM174-19,0)*3+IF(FM174&gt;20,FM174-20,0)*3</f>
        <v>231.02155172413785</v>
      </c>
      <c r="FQ174" s="242">
        <f>IF(FN174&lt;=0,3,0)+IF(FN174&gt;0,FN174+1,0)*3+IF(FN174&gt;12,FN174-12,0)*3+IF(FN174&gt;13,FN174-13,0)*3+IF(FN174&gt;14,FN174-14,0)*3+IF(FN174&gt;15,FN174-15,0)*3+IF(FN174&gt;16,FN174-16,0)*3+IF(FN174&gt;17,FN174-17,0)*3+IF(FN174&gt;18,FN174-18,0)*3+IF(FN174&gt;19,FN174-19,0)*3+IF(FN174&gt;20,FN174-20,0)*3</f>
        <v>3</v>
      </c>
      <c r="FR174" s="243">
        <f t="shared" si="1423"/>
        <v>228.02155172413785</v>
      </c>
      <c r="FS174" s="218">
        <f t="shared" si="1424"/>
        <v>0</v>
      </c>
      <c r="FU174" s="303" t="s">
        <v>302</v>
      </c>
      <c r="FV174" s="304" t="s">
        <v>170</v>
      </c>
      <c r="FW174" s="305" t="s">
        <v>135</v>
      </c>
      <c r="FX174" s="317"/>
      <c r="FY174" s="254">
        <f>Konvention_1slave-KLslave</f>
        <v>12</v>
      </c>
      <c r="FZ174" s="254">
        <f>Konvention_1slave-INslave</f>
        <v>12</v>
      </c>
      <c r="GA174" s="254"/>
      <c r="GB174" s="254">
        <f>Konvention_1slave-FFslave</f>
        <v>12</v>
      </c>
      <c r="GC174" s="254"/>
      <c r="GD174" s="254"/>
      <c r="GE174" s="318"/>
      <c r="GF174" s="223">
        <f t="shared" si="1425"/>
        <v>12</v>
      </c>
      <c r="GG174" s="223">
        <f t="shared" si="1426"/>
        <v>24</v>
      </c>
      <c r="GH174" s="224">
        <f t="shared" si="1427"/>
        <v>36</v>
      </c>
      <c r="GI174" s="237">
        <f t="shared" si="1356"/>
        <v>2304</v>
      </c>
      <c r="GJ174" s="254">
        <f>FY174*FZ174*FFslave+FY174*INslave*GB174+KLslave*FZ174*GB174</f>
        <v>3456</v>
      </c>
      <c r="GK174" s="224">
        <f t="shared" si="1428"/>
        <v>1728</v>
      </c>
      <c r="GL174" s="224">
        <f t="shared" si="1310"/>
        <v>7488</v>
      </c>
      <c r="GM174" s="222">
        <f t="shared" si="1429"/>
        <v>3.6923076923076925</v>
      </c>
      <c r="GN174" s="223">
        <f t="shared" si="1430"/>
        <v>11.076923076923077</v>
      </c>
      <c r="GO174" s="243">
        <f t="shared" si="1431"/>
        <v>8.3076923076923084</v>
      </c>
      <c r="GP174" s="243">
        <f t="shared" si="1432"/>
        <v>23.07692307692308</v>
      </c>
      <c r="GQ174" s="252">
        <f t="shared" si="1315"/>
        <v>0</v>
      </c>
      <c r="GR174" s="309">
        <f t="shared" si="1433"/>
        <v>23.07692307692308</v>
      </c>
      <c r="GS174" s="218">
        <f>IF(GP174&lt;=0,3,0)+IF(GP174&gt;0,GP174+1,0)*3+IF(GP174&gt;12,GP174-12,0)*3+IF(GP174&gt;13,GP174-13,0)*3+IF(GP174&gt;14,GP174-14,0)*3+IF(GP174&gt;15,GP174-15,0)*3+IF(GP174&gt;16,GP174-16,0)*3+IF(GP174&gt;17,GP174-17,0)*3+IF(GP174&gt;18,GP174-18,0)*3+IF(GP174&gt;19,GP174-19,0)*3+IF(GP174&gt;20,GP174-20,0)*3</f>
        <v>263.30769230769232</v>
      </c>
      <c r="GT174" s="242">
        <f>IF(GQ174&lt;=0,3,0)+IF(GQ174&gt;0,GQ174+1,0)*3+IF(GQ174&gt;12,GQ174-12,0)*3+IF(GQ174&gt;13,GQ174-13,0)*3+IF(GQ174&gt;14,GQ174-14,0)*3+IF(GQ174&gt;15,GQ174-15,0)*3+IF(GQ174&gt;16,GQ174-16,0)*3+IF(GQ174&gt;17,GQ174-17,0)*3+IF(GQ174&gt;18,GQ174-18,0)*3+IF(GQ174&gt;19,GQ174-19,0)*3+IF(GQ174&gt;20,GQ174-20,0)*3</f>
        <v>3</v>
      </c>
      <c r="GU174" s="243">
        <f t="shared" si="1434"/>
        <v>260.30769230769232</v>
      </c>
      <c r="GV174" s="218">
        <f t="shared" si="1435"/>
        <v>0</v>
      </c>
      <c r="GX174" s="303" t="s">
        <v>302</v>
      </c>
      <c r="GY174" s="304" t="s">
        <v>170</v>
      </c>
      <c r="GZ174" s="305" t="s">
        <v>135</v>
      </c>
      <c r="HA174" s="317"/>
      <c r="HB174" s="254">
        <f>Konvention_1slave-KLslave</f>
        <v>12</v>
      </c>
      <c r="HC174" s="254">
        <f>Konvention_1slave-INslave</f>
        <v>12</v>
      </c>
      <c r="HD174" s="254"/>
      <c r="HE174" s="254">
        <f>Konvention_1slave-FFslave</f>
        <v>12</v>
      </c>
      <c r="HF174" s="254"/>
      <c r="HG174" s="254"/>
      <c r="HH174" s="318"/>
      <c r="HI174" s="223">
        <f t="shared" si="1436"/>
        <v>12</v>
      </c>
      <c r="HJ174" s="223">
        <f t="shared" si="1437"/>
        <v>24</v>
      </c>
      <c r="HK174" s="224">
        <f t="shared" si="1438"/>
        <v>36</v>
      </c>
      <c r="HL174" s="237">
        <f t="shared" si="1357"/>
        <v>2304</v>
      </c>
      <c r="HM174" s="254">
        <f>HB174*HC174*FFslave+HB174*INslave*HE174+KLslave*HC174*HE174</f>
        <v>3456</v>
      </c>
      <c r="HN174" s="224">
        <f t="shared" si="1439"/>
        <v>1728</v>
      </c>
      <c r="HO174" s="224">
        <f t="shared" si="1321"/>
        <v>7488</v>
      </c>
      <c r="HP174" s="222">
        <f t="shared" si="1440"/>
        <v>3.6923076923076925</v>
      </c>
      <c r="HQ174" s="223">
        <f t="shared" si="1441"/>
        <v>11.076923076923077</v>
      </c>
      <c r="HR174" s="243">
        <f t="shared" si="1442"/>
        <v>8.3076923076923084</v>
      </c>
      <c r="HS174" s="243">
        <f t="shared" si="1443"/>
        <v>23.07692307692308</v>
      </c>
      <c r="HT174" s="252">
        <f t="shared" si="1326"/>
        <v>0</v>
      </c>
      <c r="HU174" s="309">
        <f t="shared" si="1444"/>
        <v>23.07692307692308</v>
      </c>
      <c r="HV174" s="218">
        <f>IF(HS174&lt;=0,3,0)+IF(HS174&gt;0,HS174+1,0)*3+IF(HS174&gt;12,HS174-12,0)*3+IF(HS174&gt;13,HS174-13,0)*3+IF(HS174&gt;14,HS174-14,0)*3+IF(HS174&gt;15,HS174-15,0)*3+IF(HS174&gt;16,HS174-16,0)*3+IF(HS174&gt;17,HS174-17,0)*3+IF(HS174&gt;18,HS174-18,0)*3+IF(HS174&gt;19,HS174-19,0)*3+IF(HS174&gt;20,HS174-20,0)*3</f>
        <v>263.30769230769232</v>
      </c>
      <c r="HW174" s="242">
        <f>IF(HT174&lt;=0,3,0)+IF(HT174&gt;0,HT174+1,0)*3+IF(HT174&gt;12,HT174-12,0)*3+IF(HT174&gt;13,HT174-13,0)*3+IF(HT174&gt;14,HT174-14,0)*3+IF(HT174&gt;15,HT174-15,0)*3+IF(HT174&gt;16,HT174-16,0)*3+IF(HT174&gt;17,HT174-17,0)*3+IF(HT174&gt;18,HT174-18,0)*3+IF(HT174&gt;19,HT174-19,0)*3+IF(HT174&gt;20,HT174-20,0)*3</f>
        <v>3</v>
      </c>
      <c r="HX174" s="243">
        <f t="shared" si="1445"/>
        <v>260.30769230769232</v>
      </c>
      <c r="HY174" s="218">
        <f t="shared" si="1446"/>
        <v>0</v>
      </c>
      <c r="IA174" s="303" t="s">
        <v>302</v>
      </c>
      <c r="IB174" s="304" t="s">
        <v>170</v>
      </c>
      <c r="IC174" s="305" t="s">
        <v>135</v>
      </c>
      <c r="ID174" s="317"/>
      <c r="IE174" s="254">
        <f>Konvention_1slave-KLslave</f>
        <v>12</v>
      </c>
      <c r="IF174" s="254">
        <f>Konvention_1slave-INslave</f>
        <v>12</v>
      </c>
      <c r="IG174" s="254"/>
      <c r="IH174" s="254">
        <f>Konvention_1slave-FFslave</f>
        <v>12</v>
      </c>
      <c r="II174" s="254"/>
      <c r="IJ174" s="254"/>
      <c r="IK174" s="318"/>
      <c r="IL174" s="223">
        <f t="shared" si="1447"/>
        <v>12</v>
      </c>
      <c r="IM174" s="223">
        <f t="shared" si="1448"/>
        <v>24</v>
      </c>
      <c r="IN174" s="224">
        <f t="shared" si="1449"/>
        <v>36</v>
      </c>
      <c r="IO174" s="237">
        <f t="shared" si="1358"/>
        <v>2304</v>
      </c>
      <c r="IP174" s="254">
        <f>IE174*IF174*FFslave+IE174*INslave*IH174+KLslave*IF174*IH174</f>
        <v>3456</v>
      </c>
      <c r="IQ174" s="224">
        <f t="shared" si="1450"/>
        <v>1728</v>
      </c>
      <c r="IR174" s="224">
        <f t="shared" si="1332"/>
        <v>7488</v>
      </c>
      <c r="IS174" s="222">
        <f t="shared" si="1451"/>
        <v>3.6923076923076925</v>
      </c>
      <c r="IT174" s="223">
        <f t="shared" si="1452"/>
        <v>11.076923076923077</v>
      </c>
      <c r="IU174" s="243">
        <f t="shared" si="1453"/>
        <v>8.3076923076923084</v>
      </c>
      <c r="IV174" s="243">
        <f t="shared" si="1454"/>
        <v>23.07692307692308</v>
      </c>
      <c r="IW174" s="252">
        <f t="shared" si="1337"/>
        <v>0</v>
      </c>
      <c r="IX174" s="309">
        <f t="shared" si="1455"/>
        <v>23.07692307692308</v>
      </c>
      <c r="IY174" s="218">
        <f>IF(IV174&lt;=0,3,0)+IF(IV174&gt;0,IV174+1,0)*3+IF(IV174&gt;12,IV174-12,0)*3+IF(IV174&gt;13,IV174-13,0)*3+IF(IV174&gt;14,IV174-14,0)*3+IF(IV174&gt;15,IV174-15,0)*3+IF(IV174&gt;16,IV174-16,0)*3+IF(IV174&gt;17,IV174-17,0)*3+IF(IV174&gt;18,IV174-18,0)*3+IF(IV174&gt;19,IV174-19,0)*3+IF(IV174&gt;20,IV174-20,0)*3</f>
        <v>263.30769230769232</v>
      </c>
      <c r="IZ174" s="242">
        <f>IF(IW174&lt;=0,3,0)+IF(IW174&gt;0,IW174+1,0)*3+IF(IW174&gt;12,IW174-12,0)*3+IF(IW174&gt;13,IW174-13,0)*3+IF(IW174&gt;14,IW174-14,0)*3+IF(IW174&gt;15,IW174-15,0)*3+IF(IW174&gt;16,IW174-16,0)*3+IF(IW174&gt;17,IW174-17,0)*3+IF(IW174&gt;18,IW174-18,0)*3+IF(IW174&gt;19,IW174-19,0)*3+IF(IW174&gt;20,IW174-20,0)*3</f>
        <v>3</v>
      </c>
      <c r="JA174" s="243">
        <f t="shared" si="1456"/>
        <v>260.30769230769232</v>
      </c>
      <c r="JB174" s="218">
        <f t="shared" si="1457"/>
        <v>0</v>
      </c>
      <c r="JE174" s="148"/>
    </row>
    <row r="175" spans="2:265" ht="15" hidden="1" customHeight="1" outlineLevel="2">
      <c r="B175" s="148">
        <v>23</v>
      </c>
      <c r="C175" s="303" t="e">
        <f>VLOOKUP(AF175,Attribute!C:T,1,FALSE)</f>
        <v>#N/A</v>
      </c>
      <c r="D175" s="86" t="s">
        <v>100</v>
      </c>
      <c r="E175" s="167" t="s">
        <v>132</v>
      </c>
      <c r="F175" s="120">
        <f t="shared" ref="F175:F193" si="1488">Konvention_1master-MUmaster</f>
        <v>12</v>
      </c>
      <c r="G175" s="117"/>
      <c r="H175" s="117">
        <f t="shared" si="1487"/>
        <v>12</v>
      </c>
      <c r="I175" s="117"/>
      <c r="J175" s="117"/>
      <c r="K175" s="117"/>
      <c r="L175" s="117">
        <f>Konvention_1master-KOmaster</f>
        <v>12</v>
      </c>
      <c r="M175" s="121"/>
      <c r="N175" s="223">
        <f t="shared" si="1359"/>
        <v>12</v>
      </c>
      <c r="O175" s="223">
        <f t="shared" si="1360"/>
        <v>24</v>
      </c>
      <c r="P175" s="224">
        <f t="shared" si="1361"/>
        <v>36</v>
      </c>
      <c r="Q175" s="237">
        <f t="shared" si="1350"/>
        <v>2304</v>
      </c>
      <c r="R175" s="117">
        <f>F175*H175*KOmaster+F175*INmaster*L175+MUmaster*H175*L175</f>
        <v>3456</v>
      </c>
      <c r="S175" s="224">
        <f t="shared" si="1362"/>
        <v>1728</v>
      </c>
      <c r="T175" s="224">
        <f t="shared" si="1485"/>
        <v>7488</v>
      </c>
      <c r="U175" s="222">
        <f t="shared" si="1363"/>
        <v>3.6923076923076925</v>
      </c>
      <c r="V175" s="223">
        <f t="shared" si="1364"/>
        <v>11.076923076923077</v>
      </c>
      <c r="W175" s="243">
        <f t="shared" si="1365"/>
        <v>8.3076923076923084</v>
      </c>
      <c r="X175" s="243">
        <f t="shared" si="1366"/>
        <v>23.07692307692308</v>
      </c>
      <c r="Y175" s="252">
        <v>0</v>
      </c>
      <c r="Z175" s="198">
        <f t="shared" si="1367"/>
        <v>23.07692307692308</v>
      </c>
      <c r="AA175" s="125">
        <f t="shared" ref="AA175:AB178" si="1489">IF(X175&lt;=0,2,0)+IF(X175&gt;0,X175+1,0)*2+IF(X175&gt;12,X175-12,0)*2+IF(X175&gt;13,X175-13,0)*2+IF(X175&gt;14,X175-14,0)*2+IF(X175&gt;15,X175-15,0)*2+IF(X175&gt;16,X175-16,0)*2+IF(X175&gt;17,X175-17,0)*2+IF(X175&gt;18,X175-18,0)*2+IF(X175&gt;19,X175-19,0)*2+IF(X175&gt;20,X175-20,0)*2</f>
        <v>175.5384615384616</v>
      </c>
      <c r="AB175" s="160">
        <f t="shared" si="1489"/>
        <v>2</v>
      </c>
      <c r="AC175" s="127">
        <f t="shared" si="1368"/>
        <v>173.5384615384616</v>
      </c>
      <c r="AD175" s="125">
        <f t="shared" si="1369"/>
        <v>0</v>
      </c>
      <c r="AF175" s="163" t="s">
        <v>303</v>
      </c>
      <c r="AG175" s="86" t="s">
        <v>100</v>
      </c>
      <c r="AH175" s="167" t="s">
        <v>132</v>
      </c>
      <c r="AI175" s="120">
        <f>Konvention_1slave-MUslave_MU</f>
        <v>11</v>
      </c>
      <c r="AJ175" s="117"/>
      <c r="AK175" s="117">
        <f>Konvention_1slave-INslave</f>
        <v>12</v>
      </c>
      <c r="AL175" s="117"/>
      <c r="AM175" s="117"/>
      <c r="AN175" s="117"/>
      <c r="AO175" s="117">
        <f>Konvention_1slave-KOslave</f>
        <v>12</v>
      </c>
      <c r="AP175" s="121"/>
      <c r="AQ175" s="47">
        <f t="shared" si="1370"/>
        <v>11.666666666666666</v>
      </c>
      <c r="AR175" s="3">
        <f t="shared" si="1371"/>
        <v>23.333333333333332</v>
      </c>
      <c r="AS175" s="174">
        <f t="shared" si="1372"/>
        <v>35</v>
      </c>
      <c r="AT175" s="114">
        <f t="shared" si="1351"/>
        <v>2432</v>
      </c>
      <c r="AU175" s="117">
        <f>AI175*AK175*KOslave+AI175*INslave*AO175+MUslave_MU*AK175*AO175</f>
        <v>3408</v>
      </c>
      <c r="AV175" s="119">
        <f t="shared" si="1373"/>
        <v>1584</v>
      </c>
      <c r="AW175" s="119">
        <f t="shared" si="1255"/>
        <v>7424</v>
      </c>
      <c r="AX175" s="89">
        <f t="shared" si="1374"/>
        <v>3.8218390804597702</v>
      </c>
      <c r="AY175" s="47">
        <f t="shared" si="1375"/>
        <v>10.711206896551724</v>
      </c>
      <c r="AZ175" s="127">
        <f t="shared" si="1376"/>
        <v>7.4676724137931032</v>
      </c>
      <c r="BA175" s="127">
        <f t="shared" si="1377"/>
        <v>22.000718390804597</v>
      </c>
      <c r="BB175" s="165">
        <f t="shared" si="1260"/>
        <v>0</v>
      </c>
      <c r="BC175" s="198">
        <f t="shared" si="1378"/>
        <v>22.000718390804597</v>
      </c>
      <c r="BD175" s="125">
        <f t="shared" ref="BD175:BE178" si="1490">IF(BA175&lt;=0,2,0)+IF(BA175&gt;0,BA175+1,0)*2+IF(BA175&gt;12,BA175-12,0)*2+IF(BA175&gt;13,BA175-13,0)*2+IF(BA175&gt;14,BA175-14,0)*2+IF(BA175&gt;15,BA175-15,0)*2+IF(BA175&gt;16,BA175-16,0)*2+IF(BA175&gt;17,BA175-17,0)*2+IF(BA175&gt;18,BA175-18,0)*2+IF(BA175&gt;19,BA175-19,0)*2+IF(BA175&gt;20,BA175-20,0)*2</f>
        <v>154.01436781609189</v>
      </c>
      <c r="BE175" s="160">
        <f t="shared" si="1490"/>
        <v>2</v>
      </c>
      <c r="BF175" s="243">
        <f t="shared" si="1379"/>
        <v>152.01436781609189</v>
      </c>
      <c r="BG175" s="218">
        <f t="shared" si="1380"/>
        <v>0</v>
      </c>
      <c r="BI175" s="303" t="s">
        <v>303</v>
      </c>
      <c r="BJ175" s="304" t="s">
        <v>100</v>
      </c>
      <c r="BK175" s="305" t="s">
        <v>132</v>
      </c>
      <c r="BL175" s="317">
        <f>Konvention_1slave-MUslave</f>
        <v>12</v>
      </c>
      <c r="BM175" s="254"/>
      <c r="BN175" s="254">
        <f>Konvention_1slave-INslave</f>
        <v>12</v>
      </c>
      <c r="BO175" s="254"/>
      <c r="BP175" s="254"/>
      <c r="BQ175" s="254"/>
      <c r="BR175" s="254">
        <f>Konvention_1slave-KOslave</f>
        <v>12</v>
      </c>
      <c r="BS175" s="318"/>
      <c r="BT175" s="223">
        <f t="shared" si="1381"/>
        <v>12</v>
      </c>
      <c r="BU175" s="223">
        <f t="shared" si="1382"/>
        <v>24</v>
      </c>
      <c r="BV175" s="224">
        <f t="shared" si="1383"/>
        <v>36</v>
      </c>
      <c r="BW175" s="237">
        <f t="shared" si="1352"/>
        <v>2304</v>
      </c>
      <c r="BX175" s="254">
        <f>BL175*BN175*KOslave+BL175*INslave*BR175+MUslave*BN175*BR175</f>
        <v>3456</v>
      </c>
      <c r="BY175" s="224">
        <f t="shared" si="1384"/>
        <v>1728</v>
      </c>
      <c r="BZ175" s="224">
        <f t="shared" si="1266"/>
        <v>7488</v>
      </c>
      <c r="CA175" s="222">
        <f t="shared" si="1385"/>
        <v>3.6923076923076925</v>
      </c>
      <c r="CB175" s="223">
        <f t="shared" si="1386"/>
        <v>11.076923076923077</v>
      </c>
      <c r="CC175" s="243">
        <f t="shared" si="1387"/>
        <v>8.3076923076923084</v>
      </c>
      <c r="CD175" s="243">
        <f t="shared" si="1388"/>
        <v>23.07692307692308</v>
      </c>
      <c r="CE175" s="252">
        <f t="shared" si="1271"/>
        <v>0</v>
      </c>
      <c r="CF175" s="309">
        <f t="shared" si="1389"/>
        <v>23.07692307692308</v>
      </c>
      <c r="CG175" s="218">
        <f t="shared" ref="CG175:CH178" si="1491">IF(CD175&lt;=0,2,0)+IF(CD175&gt;0,CD175+1,0)*2+IF(CD175&gt;12,CD175-12,0)*2+IF(CD175&gt;13,CD175-13,0)*2+IF(CD175&gt;14,CD175-14,0)*2+IF(CD175&gt;15,CD175-15,0)*2+IF(CD175&gt;16,CD175-16,0)*2+IF(CD175&gt;17,CD175-17,0)*2+IF(CD175&gt;18,CD175-18,0)*2+IF(CD175&gt;19,CD175-19,0)*2+IF(CD175&gt;20,CD175-20,0)*2</f>
        <v>175.5384615384616</v>
      </c>
      <c r="CH175" s="242">
        <f t="shared" si="1491"/>
        <v>2</v>
      </c>
      <c r="CI175" s="243">
        <f t="shared" si="1390"/>
        <v>173.5384615384616</v>
      </c>
      <c r="CJ175" s="218">
        <f t="shared" si="1391"/>
        <v>0</v>
      </c>
      <c r="CL175" s="303" t="s">
        <v>303</v>
      </c>
      <c r="CM175" s="304" t="s">
        <v>100</v>
      </c>
      <c r="CN175" s="305" t="s">
        <v>132</v>
      </c>
      <c r="CO175" s="317">
        <f>Konvention_1slave-MUslave</f>
        <v>12</v>
      </c>
      <c r="CP175" s="254"/>
      <c r="CQ175" s="254">
        <f>Konvention_1slave-INslave_IN</f>
        <v>11</v>
      </c>
      <c r="CR175" s="254"/>
      <c r="CS175" s="254"/>
      <c r="CT175" s="254"/>
      <c r="CU175" s="254">
        <f>Konvention_1slave-KOslave</f>
        <v>12</v>
      </c>
      <c r="CV175" s="318"/>
      <c r="CW175" s="223">
        <f t="shared" si="1392"/>
        <v>11.666666666666666</v>
      </c>
      <c r="CX175" s="223">
        <f t="shared" si="1393"/>
        <v>23.333333333333332</v>
      </c>
      <c r="CY175" s="224">
        <f t="shared" si="1394"/>
        <v>35</v>
      </c>
      <c r="CZ175" s="237">
        <f t="shared" si="1353"/>
        <v>2432</v>
      </c>
      <c r="DA175" s="254">
        <f>CO175*CQ175*KOslave+CO175*INslave_IN*CU175+MUslave*CQ175*CU175</f>
        <v>3408</v>
      </c>
      <c r="DB175" s="224">
        <f t="shared" si="1395"/>
        <v>1584</v>
      </c>
      <c r="DC175" s="224">
        <f t="shared" si="1277"/>
        <v>7424</v>
      </c>
      <c r="DD175" s="222">
        <f t="shared" si="1396"/>
        <v>3.8218390804597702</v>
      </c>
      <c r="DE175" s="223">
        <f t="shared" si="1397"/>
        <v>10.711206896551724</v>
      </c>
      <c r="DF175" s="243">
        <f t="shared" si="1398"/>
        <v>7.4676724137931032</v>
      </c>
      <c r="DG175" s="243">
        <f t="shared" si="1399"/>
        <v>22.000718390804597</v>
      </c>
      <c r="DH175" s="252">
        <f t="shared" si="1282"/>
        <v>0</v>
      </c>
      <c r="DI175" s="309">
        <f t="shared" si="1400"/>
        <v>22.000718390804597</v>
      </c>
      <c r="DJ175" s="218">
        <f t="shared" ref="DJ175:DK178" si="1492">IF(DG175&lt;=0,2,0)+IF(DG175&gt;0,DG175+1,0)*2+IF(DG175&gt;12,DG175-12,0)*2+IF(DG175&gt;13,DG175-13,0)*2+IF(DG175&gt;14,DG175-14,0)*2+IF(DG175&gt;15,DG175-15,0)*2+IF(DG175&gt;16,DG175-16,0)*2+IF(DG175&gt;17,DG175-17,0)*2+IF(DG175&gt;18,DG175-18,0)*2+IF(DG175&gt;19,DG175-19,0)*2+IF(DG175&gt;20,DG175-20,0)*2</f>
        <v>154.01436781609189</v>
      </c>
      <c r="DK175" s="242">
        <f t="shared" si="1492"/>
        <v>2</v>
      </c>
      <c r="DL175" s="243">
        <f t="shared" si="1401"/>
        <v>152.01436781609189</v>
      </c>
      <c r="DM175" s="218">
        <f t="shared" si="1402"/>
        <v>0</v>
      </c>
      <c r="DO175" s="303" t="s">
        <v>303</v>
      </c>
      <c r="DP175" s="304" t="s">
        <v>100</v>
      </c>
      <c r="DQ175" s="305" t="s">
        <v>132</v>
      </c>
      <c r="DR175" s="317">
        <f>Konvention_1slave-MUslave</f>
        <v>12</v>
      </c>
      <c r="DS175" s="254"/>
      <c r="DT175" s="254">
        <f>Konvention_1slave-INslave</f>
        <v>12</v>
      </c>
      <c r="DU175" s="254"/>
      <c r="DV175" s="254"/>
      <c r="DW175" s="254"/>
      <c r="DX175" s="254">
        <f>Konvention_1slave-KOslave</f>
        <v>12</v>
      </c>
      <c r="DY175" s="318"/>
      <c r="DZ175" s="223">
        <f t="shared" si="1403"/>
        <v>12</v>
      </c>
      <c r="EA175" s="223">
        <f t="shared" si="1404"/>
        <v>24</v>
      </c>
      <c r="EB175" s="224">
        <f t="shared" si="1405"/>
        <v>36</v>
      </c>
      <c r="EC175" s="237">
        <f t="shared" si="1354"/>
        <v>2304</v>
      </c>
      <c r="ED175" s="254">
        <f>DR175*DT175*KOslave+DR175*INslave*DX175+MUslave*DT175*DX175</f>
        <v>3456</v>
      </c>
      <c r="EE175" s="224">
        <f t="shared" si="1406"/>
        <v>1728</v>
      </c>
      <c r="EF175" s="224">
        <f t="shared" si="1288"/>
        <v>7488</v>
      </c>
      <c r="EG175" s="222">
        <f t="shared" si="1407"/>
        <v>3.6923076923076925</v>
      </c>
      <c r="EH175" s="223">
        <f t="shared" si="1408"/>
        <v>11.076923076923077</v>
      </c>
      <c r="EI175" s="243">
        <f t="shared" si="1409"/>
        <v>8.3076923076923084</v>
      </c>
      <c r="EJ175" s="243">
        <f t="shared" si="1410"/>
        <v>23.07692307692308</v>
      </c>
      <c r="EK175" s="252">
        <f t="shared" si="1293"/>
        <v>0</v>
      </c>
      <c r="EL175" s="309">
        <f t="shared" si="1411"/>
        <v>23.07692307692308</v>
      </c>
      <c r="EM175" s="218">
        <f t="shared" ref="EM175:EN178" si="1493">IF(EJ175&lt;=0,2,0)+IF(EJ175&gt;0,EJ175+1,0)*2+IF(EJ175&gt;12,EJ175-12,0)*2+IF(EJ175&gt;13,EJ175-13,0)*2+IF(EJ175&gt;14,EJ175-14,0)*2+IF(EJ175&gt;15,EJ175-15,0)*2+IF(EJ175&gt;16,EJ175-16,0)*2+IF(EJ175&gt;17,EJ175-17,0)*2+IF(EJ175&gt;18,EJ175-18,0)*2+IF(EJ175&gt;19,EJ175-19,0)*2+IF(EJ175&gt;20,EJ175-20,0)*2</f>
        <v>175.5384615384616</v>
      </c>
      <c r="EN175" s="242">
        <f t="shared" si="1493"/>
        <v>2</v>
      </c>
      <c r="EO175" s="243">
        <f t="shared" si="1412"/>
        <v>173.5384615384616</v>
      </c>
      <c r="EP175" s="218">
        <f t="shared" si="1413"/>
        <v>0</v>
      </c>
      <c r="ER175" s="303" t="s">
        <v>303</v>
      </c>
      <c r="ES175" s="304" t="s">
        <v>100</v>
      </c>
      <c r="ET175" s="305" t="s">
        <v>132</v>
      </c>
      <c r="EU175" s="317">
        <f>Konvention_1slave-MUslave</f>
        <v>12</v>
      </c>
      <c r="EV175" s="254"/>
      <c r="EW175" s="254">
        <f>Konvention_1slave-INslave</f>
        <v>12</v>
      </c>
      <c r="EX175" s="254"/>
      <c r="EY175" s="254"/>
      <c r="EZ175" s="254"/>
      <c r="FA175" s="254">
        <f>Konvention_1slave-KOslave</f>
        <v>12</v>
      </c>
      <c r="FB175" s="318"/>
      <c r="FC175" s="223">
        <f t="shared" si="1414"/>
        <v>12</v>
      </c>
      <c r="FD175" s="223">
        <f t="shared" si="1415"/>
        <v>24</v>
      </c>
      <c r="FE175" s="224">
        <f t="shared" si="1416"/>
        <v>36</v>
      </c>
      <c r="FF175" s="237">
        <f t="shared" si="1355"/>
        <v>2304</v>
      </c>
      <c r="FG175" s="254">
        <f>EU175*EW175*KOslave+EU175*INslave*FA175+MUslave*EW175*FA175</f>
        <v>3456</v>
      </c>
      <c r="FH175" s="224">
        <f t="shared" si="1417"/>
        <v>1728</v>
      </c>
      <c r="FI175" s="224">
        <f t="shared" si="1299"/>
        <v>7488</v>
      </c>
      <c r="FJ175" s="222">
        <f t="shared" si="1418"/>
        <v>3.6923076923076925</v>
      </c>
      <c r="FK175" s="223">
        <f t="shared" si="1419"/>
        <v>11.076923076923077</v>
      </c>
      <c r="FL175" s="243">
        <f t="shared" si="1420"/>
        <v>8.3076923076923084</v>
      </c>
      <c r="FM175" s="243">
        <f t="shared" si="1421"/>
        <v>23.07692307692308</v>
      </c>
      <c r="FN175" s="252">
        <f t="shared" si="1304"/>
        <v>0</v>
      </c>
      <c r="FO175" s="309">
        <f t="shared" si="1422"/>
        <v>23.07692307692308</v>
      </c>
      <c r="FP175" s="218">
        <f t="shared" ref="FP175:FQ178" si="1494">IF(FM175&lt;=0,2,0)+IF(FM175&gt;0,FM175+1,0)*2+IF(FM175&gt;12,FM175-12,0)*2+IF(FM175&gt;13,FM175-13,0)*2+IF(FM175&gt;14,FM175-14,0)*2+IF(FM175&gt;15,FM175-15,0)*2+IF(FM175&gt;16,FM175-16,0)*2+IF(FM175&gt;17,FM175-17,0)*2+IF(FM175&gt;18,FM175-18,0)*2+IF(FM175&gt;19,FM175-19,0)*2+IF(FM175&gt;20,FM175-20,0)*2</f>
        <v>175.5384615384616</v>
      </c>
      <c r="FQ175" s="242">
        <f t="shared" si="1494"/>
        <v>2</v>
      </c>
      <c r="FR175" s="243">
        <f t="shared" si="1423"/>
        <v>173.5384615384616</v>
      </c>
      <c r="FS175" s="218">
        <f t="shared" si="1424"/>
        <v>0</v>
      </c>
      <c r="FU175" s="303" t="s">
        <v>303</v>
      </c>
      <c r="FV175" s="304" t="s">
        <v>100</v>
      </c>
      <c r="FW175" s="305" t="s">
        <v>132</v>
      </c>
      <c r="FX175" s="317">
        <f>Konvention_1slave-MUslave</f>
        <v>12</v>
      </c>
      <c r="FY175" s="254"/>
      <c r="FZ175" s="254">
        <f>Konvention_1slave-INslave</f>
        <v>12</v>
      </c>
      <c r="GA175" s="254"/>
      <c r="GB175" s="254"/>
      <c r="GC175" s="254"/>
      <c r="GD175" s="254">
        <f>Konvention_1slave-KOslave</f>
        <v>12</v>
      </c>
      <c r="GE175" s="318"/>
      <c r="GF175" s="223">
        <f t="shared" si="1425"/>
        <v>12</v>
      </c>
      <c r="GG175" s="223">
        <f t="shared" si="1426"/>
        <v>24</v>
      </c>
      <c r="GH175" s="224">
        <f t="shared" si="1427"/>
        <v>36</v>
      </c>
      <c r="GI175" s="237">
        <f t="shared" si="1356"/>
        <v>2304</v>
      </c>
      <c r="GJ175" s="254">
        <f>FX175*FZ175*KOslave+FX175*INslave*GD175+MUslave*FZ175*GD175</f>
        <v>3456</v>
      </c>
      <c r="GK175" s="224">
        <f t="shared" si="1428"/>
        <v>1728</v>
      </c>
      <c r="GL175" s="224">
        <f t="shared" si="1310"/>
        <v>7488</v>
      </c>
      <c r="GM175" s="222">
        <f t="shared" si="1429"/>
        <v>3.6923076923076925</v>
      </c>
      <c r="GN175" s="223">
        <f t="shared" si="1430"/>
        <v>11.076923076923077</v>
      </c>
      <c r="GO175" s="243">
        <f t="shared" si="1431"/>
        <v>8.3076923076923084</v>
      </c>
      <c r="GP175" s="243">
        <f t="shared" si="1432"/>
        <v>23.07692307692308</v>
      </c>
      <c r="GQ175" s="252">
        <f t="shared" si="1315"/>
        <v>0</v>
      </c>
      <c r="GR175" s="309">
        <f t="shared" si="1433"/>
        <v>23.07692307692308</v>
      </c>
      <c r="GS175" s="218">
        <f t="shared" ref="GS175:GT178" si="1495">IF(GP175&lt;=0,2,0)+IF(GP175&gt;0,GP175+1,0)*2+IF(GP175&gt;12,GP175-12,0)*2+IF(GP175&gt;13,GP175-13,0)*2+IF(GP175&gt;14,GP175-14,0)*2+IF(GP175&gt;15,GP175-15,0)*2+IF(GP175&gt;16,GP175-16,0)*2+IF(GP175&gt;17,GP175-17,0)*2+IF(GP175&gt;18,GP175-18,0)*2+IF(GP175&gt;19,GP175-19,0)*2+IF(GP175&gt;20,GP175-20,0)*2</f>
        <v>175.5384615384616</v>
      </c>
      <c r="GT175" s="242">
        <f t="shared" si="1495"/>
        <v>2</v>
      </c>
      <c r="GU175" s="243">
        <f t="shared" si="1434"/>
        <v>173.5384615384616</v>
      </c>
      <c r="GV175" s="218">
        <f t="shared" si="1435"/>
        <v>0</v>
      </c>
      <c r="GX175" s="303" t="s">
        <v>303</v>
      </c>
      <c r="GY175" s="304" t="s">
        <v>100</v>
      </c>
      <c r="GZ175" s="305" t="s">
        <v>132</v>
      </c>
      <c r="HA175" s="317">
        <f>Konvention_1slave-MUslave</f>
        <v>12</v>
      </c>
      <c r="HB175" s="254"/>
      <c r="HC175" s="254">
        <f>Konvention_1slave-INslave</f>
        <v>12</v>
      </c>
      <c r="HD175" s="254"/>
      <c r="HE175" s="254"/>
      <c r="HF175" s="254"/>
      <c r="HG175" s="254">
        <f>Konvention_1slave-KOslave_KO</f>
        <v>11</v>
      </c>
      <c r="HH175" s="318"/>
      <c r="HI175" s="223">
        <f t="shared" si="1436"/>
        <v>11.666666666666666</v>
      </c>
      <c r="HJ175" s="223">
        <f t="shared" si="1437"/>
        <v>23.333333333333332</v>
      </c>
      <c r="HK175" s="224">
        <f t="shared" si="1438"/>
        <v>35</v>
      </c>
      <c r="HL175" s="237">
        <f t="shared" si="1357"/>
        <v>2432</v>
      </c>
      <c r="HM175" s="254">
        <f>HA175*HC175*KOslave_KO+HA175*INslave*HG175+MUslave*HC175*HG175</f>
        <v>3408</v>
      </c>
      <c r="HN175" s="224">
        <f t="shared" si="1439"/>
        <v>1584</v>
      </c>
      <c r="HO175" s="224">
        <f t="shared" si="1321"/>
        <v>7424</v>
      </c>
      <c r="HP175" s="222">
        <f t="shared" si="1440"/>
        <v>3.8218390804597702</v>
      </c>
      <c r="HQ175" s="223">
        <f t="shared" si="1441"/>
        <v>10.711206896551724</v>
      </c>
      <c r="HR175" s="243">
        <f t="shared" si="1442"/>
        <v>7.4676724137931032</v>
      </c>
      <c r="HS175" s="243">
        <f t="shared" si="1443"/>
        <v>22.000718390804597</v>
      </c>
      <c r="HT175" s="252">
        <f t="shared" si="1326"/>
        <v>0</v>
      </c>
      <c r="HU175" s="309">
        <f t="shared" si="1444"/>
        <v>22.000718390804597</v>
      </c>
      <c r="HV175" s="218">
        <f t="shared" ref="HV175:HW178" si="1496">IF(HS175&lt;=0,2,0)+IF(HS175&gt;0,HS175+1,0)*2+IF(HS175&gt;12,HS175-12,0)*2+IF(HS175&gt;13,HS175-13,0)*2+IF(HS175&gt;14,HS175-14,0)*2+IF(HS175&gt;15,HS175-15,0)*2+IF(HS175&gt;16,HS175-16,0)*2+IF(HS175&gt;17,HS175-17,0)*2+IF(HS175&gt;18,HS175-18,0)*2+IF(HS175&gt;19,HS175-19,0)*2+IF(HS175&gt;20,HS175-20,0)*2</f>
        <v>154.01436781609189</v>
      </c>
      <c r="HW175" s="242">
        <f t="shared" si="1496"/>
        <v>2</v>
      </c>
      <c r="HX175" s="243">
        <f t="shared" si="1445"/>
        <v>152.01436781609189</v>
      </c>
      <c r="HY175" s="218">
        <f t="shared" si="1446"/>
        <v>0</v>
      </c>
      <c r="IA175" s="303" t="s">
        <v>303</v>
      </c>
      <c r="IB175" s="304" t="s">
        <v>100</v>
      </c>
      <c r="IC175" s="305" t="s">
        <v>132</v>
      </c>
      <c r="ID175" s="317">
        <f>Konvention_1slave-MUslave</f>
        <v>12</v>
      </c>
      <c r="IE175" s="254"/>
      <c r="IF175" s="254">
        <f>Konvention_1slave-INslave</f>
        <v>12</v>
      </c>
      <c r="IG175" s="254"/>
      <c r="IH175" s="254"/>
      <c r="II175" s="254"/>
      <c r="IJ175" s="254">
        <f>Konvention_1slave-KOslave</f>
        <v>12</v>
      </c>
      <c r="IK175" s="318"/>
      <c r="IL175" s="223">
        <f t="shared" si="1447"/>
        <v>12</v>
      </c>
      <c r="IM175" s="223">
        <f t="shared" si="1448"/>
        <v>24</v>
      </c>
      <c r="IN175" s="224">
        <f t="shared" si="1449"/>
        <v>36</v>
      </c>
      <c r="IO175" s="237">
        <f t="shared" si="1358"/>
        <v>2304</v>
      </c>
      <c r="IP175" s="254">
        <f>ID175*IF175*KOslave+ID175*INslave*IJ175+MUslave*IF175*IJ175</f>
        <v>3456</v>
      </c>
      <c r="IQ175" s="224">
        <f t="shared" si="1450"/>
        <v>1728</v>
      </c>
      <c r="IR175" s="224">
        <f t="shared" si="1332"/>
        <v>7488</v>
      </c>
      <c r="IS175" s="222">
        <f t="shared" si="1451"/>
        <v>3.6923076923076925</v>
      </c>
      <c r="IT175" s="223">
        <f t="shared" si="1452"/>
        <v>11.076923076923077</v>
      </c>
      <c r="IU175" s="243">
        <f t="shared" si="1453"/>
        <v>8.3076923076923084</v>
      </c>
      <c r="IV175" s="243">
        <f t="shared" si="1454"/>
        <v>23.07692307692308</v>
      </c>
      <c r="IW175" s="252">
        <f t="shared" si="1337"/>
        <v>0</v>
      </c>
      <c r="IX175" s="309">
        <f t="shared" si="1455"/>
        <v>23.07692307692308</v>
      </c>
      <c r="IY175" s="218">
        <f t="shared" ref="IY175:IZ178" si="1497">IF(IV175&lt;=0,2,0)+IF(IV175&gt;0,IV175+1,0)*2+IF(IV175&gt;12,IV175-12,0)*2+IF(IV175&gt;13,IV175-13,0)*2+IF(IV175&gt;14,IV175-14,0)*2+IF(IV175&gt;15,IV175-15,0)*2+IF(IV175&gt;16,IV175-16,0)*2+IF(IV175&gt;17,IV175-17,0)*2+IF(IV175&gt;18,IV175-18,0)*2+IF(IV175&gt;19,IV175-19,0)*2+IF(IV175&gt;20,IV175-20,0)*2</f>
        <v>175.5384615384616</v>
      </c>
      <c r="IZ175" s="242">
        <f t="shared" si="1497"/>
        <v>2</v>
      </c>
      <c r="JA175" s="243">
        <f t="shared" si="1456"/>
        <v>173.5384615384616</v>
      </c>
      <c r="JB175" s="218">
        <f t="shared" si="1457"/>
        <v>0</v>
      </c>
      <c r="JE175" s="148"/>
    </row>
    <row r="176" spans="2:265" hidden="1" outlineLevel="2">
      <c r="B176" s="148">
        <v>24</v>
      </c>
      <c r="C176" s="303" t="e">
        <f>VLOOKUP(AF176,Attribute!C:T,1,FALSE)</f>
        <v>#N/A</v>
      </c>
      <c r="D176" s="86" t="s">
        <v>84</v>
      </c>
      <c r="E176" s="167" t="s">
        <v>132</v>
      </c>
      <c r="F176" s="120">
        <f>Konvention_1master-MUmaster</f>
        <v>12</v>
      </c>
      <c r="G176" s="117">
        <f>Konvention_1master-KLmaster</f>
        <v>12</v>
      </c>
      <c r="H176" s="117"/>
      <c r="I176" s="117">
        <f t="shared" ref="I176:I182" si="1498">Konvention_1master-CHmaster</f>
        <v>12</v>
      </c>
      <c r="J176" s="117"/>
      <c r="K176" s="117"/>
      <c r="L176" s="117"/>
      <c r="M176" s="121"/>
      <c r="N176" s="223">
        <f>(F176+G176+H176+I176+J176+K176+L176+M176)/3</f>
        <v>12</v>
      </c>
      <c r="O176" s="223">
        <f t="shared" si="1360"/>
        <v>24</v>
      </c>
      <c r="P176" s="224">
        <f t="shared" si="1361"/>
        <v>36</v>
      </c>
      <c r="Q176" s="237">
        <f t="shared" si="1350"/>
        <v>2304</v>
      </c>
      <c r="R176" s="117">
        <f>F176*G176*CHmaster+F176*KLmaster*I176+MUmaster*G176*I176</f>
        <v>3456</v>
      </c>
      <c r="S176" s="224">
        <f t="shared" si="1362"/>
        <v>1728</v>
      </c>
      <c r="T176" s="224">
        <f>SUM(Q176:S176)</f>
        <v>7488</v>
      </c>
      <c r="U176" s="222">
        <f t="shared" si="1363"/>
        <v>3.6923076923076925</v>
      </c>
      <c r="V176" s="223">
        <f t="shared" si="1364"/>
        <v>11.076923076923077</v>
      </c>
      <c r="W176" s="243">
        <f t="shared" si="1365"/>
        <v>8.3076923076923084</v>
      </c>
      <c r="X176" s="243">
        <f t="shared" si="1366"/>
        <v>23.07692307692308</v>
      </c>
      <c r="Y176" s="252">
        <v>0</v>
      </c>
      <c r="Z176" s="198">
        <f t="shared" si="1367"/>
        <v>23.07692307692308</v>
      </c>
      <c r="AA176" s="125">
        <f t="shared" si="1489"/>
        <v>175.5384615384616</v>
      </c>
      <c r="AB176" s="160">
        <f t="shared" si="1489"/>
        <v>2</v>
      </c>
      <c r="AC176" s="127">
        <f t="shared" si="1368"/>
        <v>173.5384615384616</v>
      </c>
      <c r="AD176" s="125">
        <f t="shared" si="1369"/>
        <v>0</v>
      </c>
      <c r="AF176" s="163" t="s">
        <v>195</v>
      </c>
      <c r="AG176" s="86" t="s">
        <v>84</v>
      </c>
      <c r="AH176" s="167" t="s">
        <v>132</v>
      </c>
      <c r="AI176" s="120">
        <f>Konvention_1slave-MUslave_MU</f>
        <v>11</v>
      </c>
      <c r="AJ176" s="117">
        <f>Konvention_1slave-KLslave</f>
        <v>12</v>
      </c>
      <c r="AK176" s="117"/>
      <c r="AL176" s="117">
        <f t="shared" ref="AL176:AL182" si="1499">Konvention_1slave-CHslave</f>
        <v>12</v>
      </c>
      <c r="AM176" s="117"/>
      <c r="AN176" s="117"/>
      <c r="AO176" s="117"/>
      <c r="AP176" s="121"/>
      <c r="AQ176" s="47">
        <f>(AI176+AJ176+AK176+AL176+AM176+AN176+AO176+AP176)/3</f>
        <v>11.666666666666666</v>
      </c>
      <c r="AR176" s="3">
        <f t="shared" si="1371"/>
        <v>23.333333333333332</v>
      </c>
      <c r="AS176" s="174">
        <f t="shared" si="1372"/>
        <v>35</v>
      </c>
      <c r="AT176" s="114">
        <f t="shared" si="1351"/>
        <v>2432</v>
      </c>
      <c r="AU176" s="117">
        <f>AI176*AJ176*CHslave+AI176*KLslave*AL176+MUslave_MU*AJ176*AL176</f>
        <v>3408</v>
      </c>
      <c r="AV176" s="119">
        <f t="shared" si="1373"/>
        <v>1584</v>
      </c>
      <c r="AW176" s="119">
        <f t="shared" si="1255"/>
        <v>7424</v>
      </c>
      <c r="AX176" s="89">
        <f t="shared" si="1374"/>
        <v>3.8218390804597702</v>
      </c>
      <c r="AY176" s="47">
        <f t="shared" si="1375"/>
        <v>10.711206896551724</v>
      </c>
      <c r="AZ176" s="127">
        <f t="shared" si="1376"/>
        <v>7.4676724137931032</v>
      </c>
      <c r="BA176" s="127">
        <f t="shared" si="1377"/>
        <v>22.000718390804597</v>
      </c>
      <c r="BB176" s="165">
        <f t="shared" si="1260"/>
        <v>0</v>
      </c>
      <c r="BC176" s="198">
        <f t="shared" si="1378"/>
        <v>22.000718390804597</v>
      </c>
      <c r="BD176" s="125">
        <f t="shared" si="1490"/>
        <v>154.01436781609189</v>
      </c>
      <c r="BE176" s="160">
        <f t="shared" si="1490"/>
        <v>2</v>
      </c>
      <c r="BF176" s="243">
        <f t="shared" si="1379"/>
        <v>152.01436781609189</v>
      </c>
      <c r="BG176" s="218">
        <f t="shared" si="1380"/>
        <v>0</v>
      </c>
      <c r="BI176" s="303" t="s">
        <v>195</v>
      </c>
      <c r="BJ176" s="304" t="s">
        <v>84</v>
      </c>
      <c r="BK176" s="305" t="s">
        <v>132</v>
      </c>
      <c r="BL176" s="317">
        <f>Konvention_1slave-MUslave</f>
        <v>12</v>
      </c>
      <c r="BM176" s="254">
        <f>Konvention_1slave-KLslave_KL</f>
        <v>11</v>
      </c>
      <c r="BN176" s="254"/>
      <c r="BO176" s="254">
        <f t="shared" ref="BO176:BO182" si="1500">Konvention_1slave-CHslave</f>
        <v>12</v>
      </c>
      <c r="BP176" s="254"/>
      <c r="BQ176" s="254"/>
      <c r="BR176" s="254"/>
      <c r="BS176" s="318"/>
      <c r="BT176" s="223">
        <f>(BL176+BM176+BN176+BO176+BP176+BQ176+BR176+BS176)/3</f>
        <v>11.666666666666666</v>
      </c>
      <c r="BU176" s="223">
        <f t="shared" si="1382"/>
        <v>23.333333333333332</v>
      </c>
      <c r="BV176" s="224">
        <f t="shared" si="1383"/>
        <v>35</v>
      </c>
      <c r="BW176" s="237">
        <f t="shared" si="1352"/>
        <v>2432</v>
      </c>
      <c r="BX176" s="254">
        <f>BL176*BM176*CHslave+BL176*KLslave_KL*BO176+MUslave*BM176*BO176</f>
        <v>3408</v>
      </c>
      <c r="BY176" s="224">
        <f t="shared" si="1384"/>
        <v>1584</v>
      </c>
      <c r="BZ176" s="224">
        <f t="shared" si="1266"/>
        <v>7424</v>
      </c>
      <c r="CA176" s="222">
        <f t="shared" si="1385"/>
        <v>3.8218390804597702</v>
      </c>
      <c r="CB176" s="223">
        <f t="shared" si="1386"/>
        <v>10.711206896551724</v>
      </c>
      <c r="CC176" s="243">
        <f t="shared" si="1387"/>
        <v>7.4676724137931032</v>
      </c>
      <c r="CD176" s="243">
        <f t="shared" si="1388"/>
        <v>22.000718390804597</v>
      </c>
      <c r="CE176" s="252">
        <f t="shared" si="1271"/>
        <v>0</v>
      </c>
      <c r="CF176" s="309">
        <f t="shared" si="1389"/>
        <v>22.000718390804597</v>
      </c>
      <c r="CG176" s="218">
        <f t="shared" si="1491"/>
        <v>154.01436781609189</v>
      </c>
      <c r="CH176" s="242">
        <f t="shared" si="1491"/>
        <v>2</v>
      </c>
      <c r="CI176" s="243">
        <f t="shared" si="1390"/>
        <v>152.01436781609189</v>
      </c>
      <c r="CJ176" s="218">
        <f t="shared" si="1391"/>
        <v>0</v>
      </c>
      <c r="CL176" s="303" t="s">
        <v>195</v>
      </c>
      <c r="CM176" s="304" t="s">
        <v>84</v>
      </c>
      <c r="CN176" s="305" t="s">
        <v>132</v>
      </c>
      <c r="CO176" s="317">
        <f>Konvention_1slave-MUslave</f>
        <v>12</v>
      </c>
      <c r="CP176" s="254">
        <f>Konvention_1slave-KLslave</f>
        <v>12</v>
      </c>
      <c r="CQ176" s="254"/>
      <c r="CR176" s="254">
        <f t="shared" ref="CR176:CR182" si="1501">Konvention_1slave-CHslave</f>
        <v>12</v>
      </c>
      <c r="CS176" s="254"/>
      <c r="CT176" s="254"/>
      <c r="CU176" s="254"/>
      <c r="CV176" s="318"/>
      <c r="CW176" s="223">
        <f>(CO176+CP176+CQ176+CR176+CS176+CT176+CU176+CV176)/3</f>
        <v>12</v>
      </c>
      <c r="CX176" s="223">
        <f t="shared" si="1393"/>
        <v>24</v>
      </c>
      <c r="CY176" s="224">
        <f t="shared" si="1394"/>
        <v>36</v>
      </c>
      <c r="CZ176" s="237">
        <f t="shared" si="1353"/>
        <v>2304</v>
      </c>
      <c r="DA176" s="254">
        <f>CO176*CP176*CHslave+CO176*KLslave*CR176+MUslave*CP176*CR176</f>
        <v>3456</v>
      </c>
      <c r="DB176" s="224">
        <f t="shared" si="1395"/>
        <v>1728</v>
      </c>
      <c r="DC176" s="224">
        <f t="shared" si="1277"/>
        <v>7488</v>
      </c>
      <c r="DD176" s="222">
        <f t="shared" si="1396"/>
        <v>3.6923076923076925</v>
      </c>
      <c r="DE176" s="223">
        <f t="shared" si="1397"/>
        <v>11.076923076923077</v>
      </c>
      <c r="DF176" s="243">
        <f t="shared" si="1398"/>
        <v>8.3076923076923084</v>
      </c>
      <c r="DG176" s="243">
        <f t="shared" si="1399"/>
        <v>23.07692307692308</v>
      </c>
      <c r="DH176" s="252">
        <f t="shared" si="1282"/>
        <v>0</v>
      </c>
      <c r="DI176" s="309">
        <f t="shared" si="1400"/>
        <v>23.07692307692308</v>
      </c>
      <c r="DJ176" s="218">
        <f t="shared" si="1492"/>
        <v>175.5384615384616</v>
      </c>
      <c r="DK176" s="242">
        <f t="shared" si="1492"/>
        <v>2</v>
      </c>
      <c r="DL176" s="243">
        <f t="shared" si="1401"/>
        <v>173.5384615384616</v>
      </c>
      <c r="DM176" s="218">
        <f t="shared" si="1402"/>
        <v>0</v>
      </c>
      <c r="DO176" s="303" t="s">
        <v>195</v>
      </c>
      <c r="DP176" s="304" t="s">
        <v>84</v>
      </c>
      <c r="DQ176" s="305" t="s">
        <v>132</v>
      </c>
      <c r="DR176" s="317">
        <f>Konvention_1slave-MUslave</f>
        <v>12</v>
      </c>
      <c r="DS176" s="254">
        <f>Konvention_1slave-KLslave</f>
        <v>12</v>
      </c>
      <c r="DT176" s="254"/>
      <c r="DU176" s="254">
        <f t="shared" ref="DU176:DU182" si="1502">Konvention_1slave-CHslave_CH</f>
        <v>11</v>
      </c>
      <c r="DV176" s="254"/>
      <c r="DW176" s="254"/>
      <c r="DX176" s="254"/>
      <c r="DY176" s="318"/>
      <c r="DZ176" s="223">
        <f>(DR176+DS176+DT176+DU176+DV176+DW176+DX176+DY176)/3</f>
        <v>11.666666666666666</v>
      </c>
      <c r="EA176" s="223">
        <f t="shared" si="1404"/>
        <v>23.333333333333332</v>
      </c>
      <c r="EB176" s="224">
        <f t="shared" si="1405"/>
        <v>35</v>
      </c>
      <c r="EC176" s="237">
        <f t="shared" si="1354"/>
        <v>2432</v>
      </c>
      <c r="ED176" s="254">
        <f>DR176*DS176*CHslave_CH+DR176*KLslave*DU176+MUslave*DS176*DU176</f>
        <v>3408</v>
      </c>
      <c r="EE176" s="224">
        <f t="shared" si="1406"/>
        <v>1584</v>
      </c>
      <c r="EF176" s="224">
        <f t="shared" si="1288"/>
        <v>7424</v>
      </c>
      <c r="EG176" s="222">
        <f t="shared" si="1407"/>
        <v>3.8218390804597702</v>
      </c>
      <c r="EH176" s="223">
        <f t="shared" si="1408"/>
        <v>10.711206896551724</v>
      </c>
      <c r="EI176" s="243">
        <f t="shared" si="1409"/>
        <v>7.4676724137931032</v>
      </c>
      <c r="EJ176" s="243">
        <f t="shared" si="1410"/>
        <v>22.000718390804597</v>
      </c>
      <c r="EK176" s="252">
        <f t="shared" si="1293"/>
        <v>0</v>
      </c>
      <c r="EL176" s="309">
        <f t="shared" si="1411"/>
        <v>22.000718390804597</v>
      </c>
      <c r="EM176" s="218">
        <f t="shared" si="1493"/>
        <v>154.01436781609189</v>
      </c>
      <c r="EN176" s="242">
        <f t="shared" si="1493"/>
        <v>2</v>
      </c>
      <c r="EO176" s="243">
        <f t="shared" si="1412"/>
        <v>152.01436781609189</v>
      </c>
      <c r="EP176" s="218">
        <f t="shared" si="1413"/>
        <v>0</v>
      </c>
      <c r="ER176" s="303" t="s">
        <v>195</v>
      </c>
      <c r="ES176" s="304" t="s">
        <v>84</v>
      </c>
      <c r="ET176" s="305" t="s">
        <v>132</v>
      </c>
      <c r="EU176" s="317">
        <f>Konvention_1slave-MUslave</f>
        <v>12</v>
      </c>
      <c r="EV176" s="254">
        <f>Konvention_1slave-KLslave</f>
        <v>12</v>
      </c>
      <c r="EW176" s="254"/>
      <c r="EX176" s="254">
        <f t="shared" ref="EX176:EX182" si="1503">Konvention_1slave-CHslave</f>
        <v>12</v>
      </c>
      <c r="EY176" s="254"/>
      <c r="EZ176" s="254"/>
      <c r="FA176" s="254"/>
      <c r="FB176" s="318"/>
      <c r="FC176" s="223">
        <f>(EU176+EV176+EW176+EX176+EY176+EZ176+FA176+FB176)/3</f>
        <v>12</v>
      </c>
      <c r="FD176" s="223">
        <f t="shared" si="1415"/>
        <v>24</v>
      </c>
      <c r="FE176" s="224">
        <f t="shared" si="1416"/>
        <v>36</v>
      </c>
      <c r="FF176" s="237">
        <f t="shared" si="1355"/>
        <v>2304</v>
      </c>
      <c r="FG176" s="254">
        <f>EU176*EV176*CHslave+EU176*KLslave*EX176+MUslave*EV176*EX176</f>
        <v>3456</v>
      </c>
      <c r="FH176" s="224">
        <f t="shared" si="1417"/>
        <v>1728</v>
      </c>
      <c r="FI176" s="224">
        <f t="shared" si="1299"/>
        <v>7488</v>
      </c>
      <c r="FJ176" s="222">
        <f t="shared" si="1418"/>
        <v>3.6923076923076925</v>
      </c>
      <c r="FK176" s="223">
        <f t="shared" si="1419"/>
        <v>11.076923076923077</v>
      </c>
      <c r="FL176" s="243">
        <f t="shared" si="1420"/>
        <v>8.3076923076923084</v>
      </c>
      <c r="FM176" s="243">
        <f t="shared" si="1421"/>
        <v>23.07692307692308</v>
      </c>
      <c r="FN176" s="252">
        <f t="shared" si="1304"/>
        <v>0</v>
      </c>
      <c r="FO176" s="309">
        <f t="shared" si="1422"/>
        <v>23.07692307692308</v>
      </c>
      <c r="FP176" s="218">
        <f t="shared" si="1494"/>
        <v>175.5384615384616</v>
      </c>
      <c r="FQ176" s="242">
        <f t="shared" si="1494"/>
        <v>2</v>
      </c>
      <c r="FR176" s="243">
        <f t="shared" si="1423"/>
        <v>173.5384615384616</v>
      </c>
      <c r="FS176" s="218">
        <f t="shared" si="1424"/>
        <v>0</v>
      </c>
      <c r="FU176" s="303" t="s">
        <v>195</v>
      </c>
      <c r="FV176" s="304" t="s">
        <v>84</v>
      </c>
      <c r="FW176" s="305" t="s">
        <v>132</v>
      </c>
      <c r="FX176" s="317">
        <f>Konvention_1slave-MUslave</f>
        <v>12</v>
      </c>
      <c r="FY176" s="254">
        <f>Konvention_1slave-KLslave</f>
        <v>12</v>
      </c>
      <c r="FZ176" s="254"/>
      <c r="GA176" s="254">
        <f t="shared" ref="GA176:GA182" si="1504">Konvention_1slave-CHslave</f>
        <v>12</v>
      </c>
      <c r="GB176" s="254"/>
      <c r="GC176" s="254"/>
      <c r="GD176" s="254"/>
      <c r="GE176" s="318"/>
      <c r="GF176" s="223">
        <f>(FX176+FY176+FZ176+GA176+GB176+GC176+GD176+GE176)/3</f>
        <v>12</v>
      </c>
      <c r="GG176" s="223">
        <f t="shared" si="1426"/>
        <v>24</v>
      </c>
      <c r="GH176" s="224">
        <f t="shared" si="1427"/>
        <v>36</v>
      </c>
      <c r="GI176" s="237">
        <f t="shared" si="1356"/>
        <v>2304</v>
      </c>
      <c r="GJ176" s="254">
        <f>FX176*FY176*CHslave+FX176*KLslave*GA176+MUslave*FY176*GA176</f>
        <v>3456</v>
      </c>
      <c r="GK176" s="224">
        <f t="shared" si="1428"/>
        <v>1728</v>
      </c>
      <c r="GL176" s="224">
        <f t="shared" si="1310"/>
        <v>7488</v>
      </c>
      <c r="GM176" s="222">
        <f t="shared" si="1429"/>
        <v>3.6923076923076925</v>
      </c>
      <c r="GN176" s="223">
        <f t="shared" si="1430"/>
        <v>11.076923076923077</v>
      </c>
      <c r="GO176" s="243">
        <f t="shared" si="1431"/>
        <v>8.3076923076923084</v>
      </c>
      <c r="GP176" s="243">
        <f t="shared" si="1432"/>
        <v>23.07692307692308</v>
      </c>
      <c r="GQ176" s="252">
        <f t="shared" si="1315"/>
        <v>0</v>
      </c>
      <c r="GR176" s="309">
        <f t="shared" si="1433"/>
        <v>23.07692307692308</v>
      </c>
      <c r="GS176" s="218">
        <f t="shared" si="1495"/>
        <v>175.5384615384616</v>
      </c>
      <c r="GT176" s="242">
        <f t="shared" si="1495"/>
        <v>2</v>
      </c>
      <c r="GU176" s="243">
        <f t="shared" si="1434"/>
        <v>173.5384615384616</v>
      </c>
      <c r="GV176" s="218">
        <f t="shared" si="1435"/>
        <v>0</v>
      </c>
      <c r="GX176" s="303" t="s">
        <v>195</v>
      </c>
      <c r="GY176" s="304" t="s">
        <v>84</v>
      </c>
      <c r="GZ176" s="305" t="s">
        <v>132</v>
      </c>
      <c r="HA176" s="317">
        <f>Konvention_1slave-MUslave</f>
        <v>12</v>
      </c>
      <c r="HB176" s="254">
        <f>Konvention_1slave-KLslave</f>
        <v>12</v>
      </c>
      <c r="HC176" s="254"/>
      <c r="HD176" s="254">
        <f t="shared" ref="HD176:HD182" si="1505">Konvention_1slave-CHslave</f>
        <v>12</v>
      </c>
      <c r="HE176" s="254"/>
      <c r="HF176" s="254"/>
      <c r="HG176" s="254"/>
      <c r="HH176" s="318"/>
      <c r="HI176" s="223">
        <f>(HA176+HB176+HC176+HD176+HE176+HF176+HG176+HH176)/3</f>
        <v>12</v>
      </c>
      <c r="HJ176" s="223">
        <f t="shared" si="1437"/>
        <v>24</v>
      </c>
      <c r="HK176" s="224">
        <f t="shared" si="1438"/>
        <v>36</v>
      </c>
      <c r="HL176" s="237">
        <f t="shared" si="1357"/>
        <v>2304</v>
      </c>
      <c r="HM176" s="254">
        <f>HA176*HB176*CHslave+HA176*KLslave*HD176+MUslave*HB176*HD176</f>
        <v>3456</v>
      </c>
      <c r="HN176" s="224">
        <f t="shared" si="1439"/>
        <v>1728</v>
      </c>
      <c r="HO176" s="224">
        <f t="shared" si="1321"/>
        <v>7488</v>
      </c>
      <c r="HP176" s="222">
        <f t="shared" si="1440"/>
        <v>3.6923076923076925</v>
      </c>
      <c r="HQ176" s="223">
        <f t="shared" si="1441"/>
        <v>11.076923076923077</v>
      </c>
      <c r="HR176" s="243">
        <f t="shared" si="1442"/>
        <v>8.3076923076923084</v>
      </c>
      <c r="HS176" s="243">
        <f t="shared" si="1443"/>
        <v>23.07692307692308</v>
      </c>
      <c r="HT176" s="252">
        <f t="shared" si="1326"/>
        <v>0</v>
      </c>
      <c r="HU176" s="309">
        <f t="shared" si="1444"/>
        <v>23.07692307692308</v>
      </c>
      <c r="HV176" s="218">
        <f t="shared" si="1496"/>
        <v>175.5384615384616</v>
      </c>
      <c r="HW176" s="242">
        <f t="shared" si="1496"/>
        <v>2</v>
      </c>
      <c r="HX176" s="243">
        <f t="shared" si="1445"/>
        <v>173.5384615384616</v>
      </c>
      <c r="HY176" s="218">
        <f t="shared" si="1446"/>
        <v>0</v>
      </c>
      <c r="IA176" s="303" t="s">
        <v>195</v>
      </c>
      <c r="IB176" s="304" t="s">
        <v>84</v>
      </c>
      <c r="IC176" s="305" t="s">
        <v>132</v>
      </c>
      <c r="ID176" s="317">
        <f>Konvention_1slave-MUslave</f>
        <v>12</v>
      </c>
      <c r="IE176" s="254">
        <f>Konvention_1slave-KLslave</f>
        <v>12</v>
      </c>
      <c r="IF176" s="254"/>
      <c r="IG176" s="254">
        <f t="shared" ref="IG176:IG182" si="1506">Konvention_1slave-CHslave</f>
        <v>12</v>
      </c>
      <c r="IH176" s="254"/>
      <c r="II176" s="254"/>
      <c r="IJ176" s="254"/>
      <c r="IK176" s="318"/>
      <c r="IL176" s="223">
        <f>(ID176+IE176+IF176+IG176+IH176+II176+IJ176+IK176)/3</f>
        <v>12</v>
      </c>
      <c r="IM176" s="223">
        <f t="shared" si="1448"/>
        <v>24</v>
      </c>
      <c r="IN176" s="224">
        <f t="shared" si="1449"/>
        <v>36</v>
      </c>
      <c r="IO176" s="237">
        <f t="shared" si="1358"/>
        <v>2304</v>
      </c>
      <c r="IP176" s="254">
        <f>ID176*IE176*CHslave+ID176*KLslave*IG176+MUslave*IE176*IG176</f>
        <v>3456</v>
      </c>
      <c r="IQ176" s="224">
        <f t="shared" si="1450"/>
        <v>1728</v>
      </c>
      <c r="IR176" s="224">
        <f t="shared" si="1332"/>
        <v>7488</v>
      </c>
      <c r="IS176" s="222">
        <f t="shared" si="1451"/>
        <v>3.6923076923076925</v>
      </c>
      <c r="IT176" s="223">
        <f t="shared" si="1452"/>
        <v>11.076923076923077</v>
      </c>
      <c r="IU176" s="243">
        <f t="shared" si="1453"/>
        <v>8.3076923076923084</v>
      </c>
      <c r="IV176" s="243">
        <f t="shared" si="1454"/>
        <v>23.07692307692308</v>
      </c>
      <c r="IW176" s="252">
        <f t="shared" si="1337"/>
        <v>0</v>
      </c>
      <c r="IX176" s="309">
        <f t="shared" si="1455"/>
        <v>23.07692307692308</v>
      </c>
      <c r="IY176" s="218">
        <f t="shared" si="1497"/>
        <v>175.5384615384616</v>
      </c>
      <c r="IZ176" s="242">
        <f t="shared" si="1497"/>
        <v>2</v>
      </c>
      <c r="JA176" s="243">
        <f t="shared" si="1456"/>
        <v>173.5384615384616</v>
      </c>
      <c r="JB176" s="218">
        <f t="shared" si="1457"/>
        <v>0</v>
      </c>
      <c r="JE176" s="148"/>
    </row>
    <row r="177" spans="2:265" ht="15" hidden="1" customHeight="1" outlineLevel="2">
      <c r="B177" s="148">
        <v>25</v>
      </c>
      <c r="C177" s="303" t="e">
        <f>VLOOKUP(AF177,Attribute!C:T,1,FALSE)</f>
        <v>#N/A</v>
      </c>
      <c r="D177" s="86" t="s">
        <v>440</v>
      </c>
      <c r="E177" s="167" t="s">
        <v>132</v>
      </c>
      <c r="F177" s="120"/>
      <c r="G177" s="117">
        <f>Konvention_1master-KLmaster</f>
        <v>12</v>
      </c>
      <c r="H177" s="117"/>
      <c r="I177" s="117">
        <f t="shared" si="1498"/>
        <v>12</v>
      </c>
      <c r="J177" s="117">
        <f>Konvention_1master-FFmaster</f>
        <v>12</v>
      </c>
      <c r="K177" s="117"/>
      <c r="L177" s="117"/>
      <c r="M177" s="121"/>
      <c r="N177" s="223">
        <f>(F177+G177+H177+I177+J177+K177+L177+M177)/3</f>
        <v>12</v>
      </c>
      <c r="O177" s="223">
        <f t="shared" si="1360"/>
        <v>24</v>
      </c>
      <c r="P177" s="224">
        <f t="shared" si="1361"/>
        <v>36</v>
      </c>
      <c r="Q177" s="237">
        <f t="shared" si="1350"/>
        <v>2304</v>
      </c>
      <c r="R177" s="117">
        <f>G177*I177*FFmaster+G177*CHmaster*J177+KLmaster*I177*J177</f>
        <v>3456</v>
      </c>
      <c r="S177" s="224">
        <f t="shared" si="1362"/>
        <v>1728</v>
      </c>
      <c r="T177" s="224">
        <f>SUM(Q177:S177)</f>
        <v>7488</v>
      </c>
      <c r="U177" s="222">
        <f t="shared" si="1363"/>
        <v>3.6923076923076925</v>
      </c>
      <c r="V177" s="223">
        <f t="shared" si="1364"/>
        <v>11.076923076923077</v>
      </c>
      <c r="W177" s="243">
        <f t="shared" si="1365"/>
        <v>8.3076923076923084</v>
      </c>
      <c r="X177" s="243">
        <f t="shared" si="1366"/>
        <v>23.07692307692308</v>
      </c>
      <c r="Y177" s="252">
        <v>0</v>
      </c>
      <c r="Z177" s="198">
        <f t="shared" si="1367"/>
        <v>23.07692307692308</v>
      </c>
      <c r="AA177" s="125">
        <f t="shared" si="1489"/>
        <v>175.5384615384616</v>
      </c>
      <c r="AB177" s="160">
        <f t="shared" si="1489"/>
        <v>2</v>
      </c>
      <c r="AC177" s="127">
        <f t="shared" si="1368"/>
        <v>173.5384615384616</v>
      </c>
      <c r="AD177" s="125">
        <f t="shared" si="1369"/>
        <v>0</v>
      </c>
      <c r="AF177" s="163" t="s">
        <v>387</v>
      </c>
      <c r="AG177" s="86" t="s">
        <v>440</v>
      </c>
      <c r="AH177" s="167" t="s">
        <v>132</v>
      </c>
      <c r="AI177" s="120"/>
      <c r="AJ177" s="117">
        <f>Konvention_1slave-KLslave</f>
        <v>12</v>
      </c>
      <c r="AK177" s="117"/>
      <c r="AL177" s="117">
        <f t="shared" si="1499"/>
        <v>12</v>
      </c>
      <c r="AM177" s="117">
        <f>Konvention_1slave-FFslave</f>
        <v>12</v>
      </c>
      <c r="AN177" s="117"/>
      <c r="AO177" s="117"/>
      <c r="AP177" s="121"/>
      <c r="AQ177" s="47">
        <f>(AI177+AJ177+AK177+AL177+AM177+AN177+AO177+AP177)/3</f>
        <v>12</v>
      </c>
      <c r="AR177" s="3">
        <f t="shared" si="1371"/>
        <v>24</v>
      </c>
      <c r="AS177" s="174">
        <f t="shared" si="1372"/>
        <v>36</v>
      </c>
      <c r="AT177" s="114">
        <f t="shared" si="1351"/>
        <v>2304</v>
      </c>
      <c r="AU177" s="117">
        <f>AJ177*AL177*FFslave+AJ177*CHslave*AM177+KLslave*AL177*AM177</f>
        <v>3456</v>
      </c>
      <c r="AV177" s="119">
        <f t="shared" si="1373"/>
        <v>1728</v>
      </c>
      <c r="AW177" s="119">
        <f t="shared" si="1255"/>
        <v>7488</v>
      </c>
      <c r="AX177" s="89">
        <f t="shared" si="1374"/>
        <v>3.6923076923076925</v>
      </c>
      <c r="AY177" s="47">
        <f t="shared" si="1375"/>
        <v>11.076923076923077</v>
      </c>
      <c r="AZ177" s="127">
        <f t="shared" si="1376"/>
        <v>8.3076923076923084</v>
      </c>
      <c r="BA177" s="127">
        <f t="shared" si="1377"/>
        <v>23.07692307692308</v>
      </c>
      <c r="BB177" s="165">
        <f t="shared" si="1260"/>
        <v>0</v>
      </c>
      <c r="BC177" s="198">
        <f t="shared" si="1378"/>
        <v>23.07692307692308</v>
      </c>
      <c r="BD177" s="125">
        <f t="shared" si="1490"/>
        <v>175.5384615384616</v>
      </c>
      <c r="BE177" s="160">
        <f t="shared" si="1490"/>
        <v>2</v>
      </c>
      <c r="BF177" s="243">
        <f t="shared" si="1379"/>
        <v>173.5384615384616</v>
      </c>
      <c r="BG177" s="218">
        <f t="shared" si="1380"/>
        <v>0</v>
      </c>
      <c r="BI177" s="303" t="s">
        <v>387</v>
      </c>
      <c r="BJ177" s="304" t="s">
        <v>440</v>
      </c>
      <c r="BK177" s="305" t="s">
        <v>132</v>
      </c>
      <c r="BL177" s="317"/>
      <c r="BM177" s="254">
        <f>Konvention_1slave-KLslave_KL</f>
        <v>11</v>
      </c>
      <c r="BN177" s="254"/>
      <c r="BO177" s="254">
        <f t="shared" si="1500"/>
        <v>12</v>
      </c>
      <c r="BP177" s="254">
        <f>Konvention_1slave-FFslave</f>
        <v>12</v>
      </c>
      <c r="BQ177" s="254"/>
      <c r="BR177" s="254"/>
      <c r="BS177" s="318"/>
      <c r="BT177" s="223">
        <f>(BL177+BM177+BN177+BO177+BP177+BQ177+BR177+BS177)/3</f>
        <v>11.666666666666666</v>
      </c>
      <c r="BU177" s="223">
        <f t="shared" si="1382"/>
        <v>23.333333333333332</v>
      </c>
      <c r="BV177" s="224">
        <f t="shared" si="1383"/>
        <v>35</v>
      </c>
      <c r="BW177" s="237">
        <f t="shared" si="1352"/>
        <v>2432</v>
      </c>
      <c r="BX177" s="254">
        <f>BM177*BO177*FFslave+BM177*CHslave*BP177+KLslave_KL*BO177*BP177</f>
        <v>3408</v>
      </c>
      <c r="BY177" s="224">
        <f t="shared" si="1384"/>
        <v>1584</v>
      </c>
      <c r="BZ177" s="224">
        <f t="shared" si="1266"/>
        <v>7424</v>
      </c>
      <c r="CA177" s="222">
        <f t="shared" si="1385"/>
        <v>3.8218390804597702</v>
      </c>
      <c r="CB177" s="223">
        <f t="shared" si="1386"/>
        <v>10.711206896551724</v>
      </c>
      <c r="CC177" s="243">
        <f t="shared" si="1387"/>
        <v>7.4676724137931032</v>
      </c>
      <c r="CD177" s="243">
        <f t="shared" si="1388"/>
        <v>22.000718390804597</v>
      </c>
      <c r="CE177" s="252">
        <f t="shared" si="1271"/>
        <v>0</v>
      </c>
      <c r="CF177" s="309">
        <f t="shared" si="1389"/>
        <v>22.000718390804597</v>
      </c>
      <c r="CG177" s="218">
        <f t="shared" si="1491"/>
        <v>154.01436781609189</v>
      </c>
      <c r="CH177" s="242">
        <f t="shared" si="1491"/>
        <v>2</v>
      </c>
      <c r="CI177" s="243">
        <f t="shared" si="1390"/>
        <v>152.01436781609189</v>
      </c>
      <c r="CJ177" s="218">
        <f t="shared" si="1391"/>
        <v>0</v>
      </c>
      <c r="CL177" s="303" t="s">
        <v>387</v>
      </c>
      <c r="CM177" s="304" t="s">
        <v>440</v>
      </c>
      <c r="CN177" s="305" t="s">
        <v>132</v>
      </c>
      <c r="CO177" s="317"/>
      <c r="CP177" s="254">
        <f>Konvention_1slave-KLslave</f>
        <v>12</v>
      </c>
      <c r="CQ177" s="254"/>
      <c r="CR177" s="254">
        <f t="shared" si="1501"/>
        <v>12</v>
      </c>
      <c r="CS177" s="254">
        <f>Konvention_1slave-FFslave</f>
        <v>12</v>
      </c>
      <c r="CT177" s="254"/>
      <c r="CU177" s="254"/>
      <c r="CV177" s="318"/>
      <c r="CW177" s="223">
        <f>(CO177+CP177+CQ177+CR177+CS177+CT177+CU177+CV177)/3</f>
        <v>12</v>
      </c>
      <c r="CX177" s="223">
        <f t="shared" si="1393"/>
        <v>24</v>
      </c>
      <c r="CY177" s="224">
        <f t="shared" si="1394"/>
        <v>36</v>
      </c>
      <c r="CZ177" s="237">
        <f t="shared" si="1353"/>
        <v>2304</v>
      </c>
      <c r="DA177" s="254">
        <f>CP177*CR177*FFslave+CP177*CHslave*CS177+KLslave*CR177*CS177</f>
        <v>3456</v>
      </c>
      <c r="DB177" s="224">
        <f t="shared" si="1395"/>
        <v>1728</v>
      </c>
      <c r="DC177" s="224">
        <f t="shared" si="1277"/>
        <v>7488</v>
      </c>
      <c r="DD177" s="222">
        <f t="shared" si="1396"/>
        <v>3.6923076923076925</v>
      </c>
      <c r="DE177" s="223">
        <f t="shared" si="1397"/>
        <v>11.076923076923077</v>
      </c>
      <c r="DF177" s="243">
        <f t="shared" si="1398"/>
        <v>8.3076923076923084</v>
      </c>
      <c r="DG177" s="243">
        <f t="shared" si="1399"/>
        <v>23.07692307692308</v>
      </c>
      <c r="DH177" s="252">
        <f t="shared" si="1282"/>
        <v>0</v>
      </c>
      <c r="DI177" s="309">
        <f t="shared" si="1400"/>
        <v>23.07692307692308</v>
      </c>
      <c r="DJ177" s="218">
        <f t="shared" si="1492"/>
        <v>175.5384615384616</v>
      </c>
      <c r="DK177" s="242">
        <f t="shared" si="1492"/>
        <v>2</v>
      </c>
      <c r="DL177" s="243">
        <f t="shared" si="1401"/>
        <v>173.5384615384616</v>
      </c>
      <c r="DM177" s="218">
        <f t="shared" si="1402"/>
        <v>0</v>
      </c>
      <c r="DO177" s="303" t="s">
        <v>387</v>
      </c>
      <c r="DP177" s="304" t="s">
        <v>440</v>
      </c>
      <c r="DQ177" s="305" t="s">
        <v>132</v>
      </c>
      <c r="DR177" s="317"/>
      <c r="DS177" s="254">
        <f>Konvention_1slave-KLslave</f>
        <v>12</v>
      </c>
      <c r="DT177" s="254"/>
      <c r="DU177" s="254">
        <f t="shared" si="1502"/>
        <v>11</v>
      </c>
      <c r="DV177" s="254">
        <f>Konvention_1slave-FFslave</f>
        <v>12</v>
      </c>
      <c r="DW177" s="254"/>
      <c r="DX177" s="254"/>
      <c r="DY177" s="318"/>
      <c r="DZ177" s="223">
        <f>(DR177+DS177+DT177+DU177+DV177+DW177+DX177+DY177)/3</f>
        <v>11.666666666666666</v>
      </c>
      <c r="EA177" s="223">
        <f t="shared" si="1404"/>
        <v>23.333333333333332</v>
      </c>
      <c r="EB177" s="224">
        <f t="shared" si="1405"/>
        <v>35</v>
      </c>
      <c r="EC177" s="237">
        <f t="shared" si="1354"/>
        <v>2432</v>
      </c>
      <c r="ED177" s="254">
        <f>DS177*DU177*FFslave+DS177*CHslave_CH*DV177+KLslave*DU177*DV177</f>
        <v>3408</v>
      </c>
      <c r="EE177" s="224">
        <f t="shared" si="1406"/>
        <v>1584</v>
      </c>
      <c r="EF177" s="224">
        <f t="shared" si="1288"/>
        <v>7424</v>
      </c>
      <c r="EG177" s="222">
        <f t="shared" si="1407"/>
        <v>3.8218390804597702</v>
      </c>
      <c r="EH177" s="223">
        <f t="shared" si="1408"/>
        <v>10.711206896551724</v>
      </c>
      <c r="EI177" s="243">
        <f t="shared" si="1409"/>
        <v>7.4676724137931032</v>
      </c>
      <c r="EJ177" s="243">
        <f t="shared" si="1410"/>
        <v>22.000718390804597</v>
      </c>
      <c r="EK177" s="252">
        <f t="shared" si="1293"/>
        <v>0</v>
      </c>
      <c r="EL177" s="309">
        <f t="shared" si="1411"/>
        <v>22.000718390804597</v>
      </c>
      <c r="EM177" s="218">
        <f t="shared" si="1493"/>
        <v>154.01436781609189</v>
      </c>
      <c r="EN177" s="242">
        <f t="shared" si="1493"/>
        <v>2</v>
      </c>
      <c r="EO177" s="243">
        <f t="shared" si="1412"/>
        <v>152.01436781609189</v>
      </c>
      <c r="EP177" s="218">
        <f t="shared" si="1413"/>
        <v>0</v>
      </c>
      <c r="ER177" s="303" t="s">
        <v>387</v>
      </c>
      <c r="ES177" s="304" t="s">
        <v>440</v>
      </c>
      <c r="ET177" s="305" t="s">
        <v>132</v>
      </c>
      <c r="EU177" s="317"/>
      <c r="EV177" s="254">
        <f>Konvention_1slave-KLslave</f>
        <v>12</v>
      </c>
      <c r="EW177" s="254"/>
      <c r="EX177" s="254">
        <f t="shared" si="1503"/>
        <v>12</v>
      </c>
      <c r="EY177" s="254">
        <f>Konvention_1slave-FFslave_FF</f>
        <v>11</v>
      </c>
      <c r="EZ177" s="254"/>
      <c r="FA177" s="254"/>
      <c r="FB177" s="318"/>
      <c r="FC177" s="223">
        <f>(EU177+EV177+EW177+EX177+EY177+EZ177+FA177+FB177)/3</f>
        <v>11.666666666666666</v>
      </c>
      <c r="FD177" s="223">
        <f t="shared" si="1415"/>
        <v>23.333333333333332</v>
      </c>
      <c r="FE177" s="224">
        <f t="shared" si="1416"/>
        <v>35</v>
      </c>
      <c r="FF177" s="237">
        <f t="shared" si="1355"/>
        <v>2432</v>
      </c>
      <c r="FG177" s="254">
        <f>EV177*EX177*FFslave_FF+EV177*CHslave*EY177+KLslave*EX177*EY177</f>
        <v>3408</v>
      </c>
      <c r="FH177" s="224">
        <f t="shared" si="1417"/>
        <v>1584</v>
      </c>
      <c r="FI177" s="224">
        <f t="shared" si="1299"/>
        <v>7424</v>
      </c>
      <c r="FJ177" s="222">
        <f t="shared" si="1418"/>
        <v>3.8218390804597702</v>
      </c>
      <c r="FK177" s="223">
        <f t="shared" si="1419"/>
        <v>10.711206896551724</v>
      </c>
      <c r="FL177" s="243">
        <f t="shared" si="1420"/>
        <v>7.4676724137931032</v>
      </c>
      <c r="FM177" s="243">
        <f t="shared" si="1421"/>
        <v>22.000718390804597</v>
      </c>
      <c r="FN177" s="252">
        <f t="shared" si="1304"/>
        <v>0</v>
      </c>
      <c r="FO177" s="309">
        <f t="shared" si="1422"/>
        <v>22.000718390804597</v>
      </c>
      <c r="FP177" s="218">
        <f t="shared" si="1494"/>
        <v>154.01436781609189</v>
      </c>
      <c r="FQ177" s="242">
        <f t="shared" si="1494"/>
        <v>2</v>
      </c>
      <c r="FR177" s="243">
        <f t="shared" si="1423"/>
        <v>152.01436781609189</v>
      </c>
      <c r="FS177" s="218">
        <f t="shared" si="1424"/>
        <v>0</v>
      </c>
      <c r="FU177" s="303" t="s">
        <v>387</v>
      </c>
      <c r="FV177" s="304" t="s">
        <v>440</v>
      </c>
      <c r="FW177" s="305" t="s">
        <v>132</v>
      </c>
      <c r="FX177" s="317"/>
      <c r="FY177" s="254">
        <f>Konvention_1slave-KLslave</f>
        <v>12</v>
      </c>
      <c r="FZ177" s="254"/>
      <c r="GA177" s="254">
        <f t="shared" si="1504"/>
        <v>12</v>
      </c>
      <c r="GB177" s="254">
        <f>Konvention_1slave-FFslave</f>
        <v>12</v>
      </c>
      <c r="GC177" s="254"/>
      <c r="GD177" s="254"/>
      <c r="GE177" s="318"/>
      <c r="GF177" s="223">
        <f>(FX177+FY177+FZ177+GA177+GB177+GC177+GD177+GE177)/3</f>
        <v>12</v>
      </c>
      <c r="GG177" s="223">
        <f t="shared" si="1426"/>
        <v>24</v>
      </c>
      <c r="GH177" s="224">
        <f t="shared" si="1427"/>
        <v>36</v>
      </c>
      <c r="GI177" s="237">
        <f t="shared" si="1356"/>
        <v>2304</v>
      </c>
      <c r="GJ177" s="254">
        <f>FY177*GA177*FFslave+FY177*CHslave*GB177+KLslave*GA177*GB177</f>
        <v>3456</v>
      </c>
      <c r="GK177" s="224">
        <f t="shared" si="1428"/>
        <v>1728</v>
      </c>
      <c r="GL177" s="224">
        <f t="shared" si="1310"/>
        <v>7488</v>
      </c>
      <c r="GM177" s="222">
        <f t="shared" si="1429"/>
        <v>3.6923076923076925</v>
      </c>
      <c r="GN177" s="223">
        <f t="shared" si="1430"/>
        <v>11.076923076923077</v>
      </c>
      <c r="GO177" s="243">
        <f t="shared" si="1431"/>
        <v>8.3076923076923084</v>
      </c>
      <c r="GP177" s="243">
        <f t="shared" si="1432"/>
        <v>23.07692307692308</v>
      </c>
      <c r="GQ177" s="252">
        <f t="shared" si="1315"/>
        <v>0</v>
      </c>
      <c r="GR177" s="309">
        <f t="shared" si="1433"/>
        <v>23.07692307692308</v>
      </c>
      <c r="GS177" s="218">
        <f t="shared" si="1495"/>
        <v>175.5384615384616</v>
      </c>
      <c r="GT177" s="242">
        <f t="shared" si="1495"/>
        <v>2</v>
      </c>
      <c r="GU177" s="243">
        <f t="shared" si="1434"/>
        <v>173.5384615384616</v>
      </c>
      <c r="GV177" s="218">
        <f t="shared" si="1435"/>
        <v>0</v>
      </c>
      <c r="GX177" s="303" t="s">
        <v>387</v>
      </c>
      <c r="GY177" s="304" t="s">
        <v>440</v>
      </c>
      <c r="GZ177" s="305" t="s">
        <v>132</v>
      </c>
      <c r="HA177" s="317"/>
      <c r="HB177" s="254">
        <f>Konvention_1slave-KLslave</f>
        <v>12</v>
      </c>
      <c r="HC177" s="254"/>
      <c r="HD177" s="254">
        <f t="shared" si="1505"/>
        <v>12</v>
      </c>
      <c r="HE177" s="254">
        <f>Konvention_1slave-FFslave</f>
        <v>12</v>
      </c>
      <c r="HF177" s="254"/>
      <c r="HG177" s="254"/>
      <c r="HH177" s="318"/>
      <c r="HI177" s="223">
        <f>(HA177+HB177+HC177+HD177+HE177+HF177+HG177+HH177)/3</f>
        <v>12</v>
      </c>
      <c r="HJ177" s="223">
        <f t="shared" si="1437"/>
        <v>24</v>
      </c>
      <c r="HK177" s="224">
        <f t="shared" si="1438"/>
        <v>36</v>
      </c>
      <c r="HL177" s="237">
        <f t="shared" si="1357"/>
        <v>2304</v>
      </c>
      <c r="HM177" s="254">
        <f>HB177*HD177*FFslave+HB177*CHslave*HE177+KLslave*HD177*HE177</f>
        <v>3456</v>
      </c>
      <c r="HN177" s="224">
        <f t="shared" si="1439"/>
        <v>1728</v>
      </c>
      <c r="HO177" s="224">
        <f t="shared" si="1321"/>
        <v>7488</v>
      </c>
      <c r="HP177" s="222">
        <f t="shared" si="1440"/>
        <v>3.6923076923076925</v>
      </c>
      <c r="HQ177" s="223">
        <f t="shared" si="1441"/>
        <v>11.076923076923077</v>
      </c>
      <c r="HR177" s="243">
        <f t="shared" si="1442"/>
        <v>8.3076923076923084</v>
      </c>
      <c r="HS177" s="243">
        <f t="shared" si="1443"/>
        <v>23.07692307692308</v>
      </c>
      <c r="HT177" s="252">
        <f t="shared" si="1326"/>
        <v>0</v>
      </c>
      <c r="HU177" s="309">
        <f t="shared" si="1444"/>
        <v>23.07692307692308</v>
      </c>
      <c r="HV177" s="218">
        <f t="shared" si="1496"/>
        <v>175.5384615384616</v>
      </c>
      <c r="HW177" s="242">
        <f t="shared" si="1496"/>
        <v>2</v>
      </c>
      <c r="HX177" s="243">
        <f t="shared" si="1445"/>
        <v>173.5384615384616</v>
      </c>
      <c r="HY177" s="218">
        <f t="shared" si="1446"/>
        <v>0</v>
      </c>
      <c r="IA177" s="303" t="s">
        <v>387</v>
      </c>
      <c r="IB177" s="304" t="s">
        <v>440</v>
      </c>
      <c r="IC177" s="305" t="s">
        <v>132</v>
      </c>
      <c r="ID177" s="317"/>
      <c r="IE177" s="254">
        <f>Konvention_1slave-KLslave</f>
        <v>12</v>
      </c>
      <c r="IF177" s="254"/>
      <c r="IG177" s="254">
        <f t="shared" si="1506"/>
        <v>12</v>
      </c>
      <c r="IH177" s="254">
        <f>Konvention_1slave-FFslave</f>
        <v>12</v>
      </c>
      <c r="II177" s="254"/>
      <c r="IJ177" s="254"/>
      <c r="IK177" s="318"/>
      <c r="IL177" s="223">
        <f>(ID177+IE177+IF177+IG177+IH177+II177+IJ177+IK177)/3</f>
        <v>12</v>
      </c>
      <c r="IM177" s="223">
        <f t="shared" si="1448"/>
        <v>24</v>
      </c>
      <c r="IN177" s="224">
        <f t="shared" si="1449"/>
        <v>36</v>
      </c>
      <c r="IO177" s="237">
        <f t="shared" si="1358"/>
        <v>2304</v>
      </c>
      <c r="IP177" s="254">
        <f>IE177*IG177*FFslave+IE177*CHslave*IH177+KLslave*IG177*IH177</f>
        <v>3456</v>
      </c>
      <c r="IQ177" s="224">
        <f t="shared" si="1450"/>
        <v>1728</v>
      </c>
      <c r="IR177" s="224">
        <f t="shared" si="1332"/>
        <v>7488</v>
      </c>
      <c r="IS177" s="222">
        <f t="shared" si="1451"/>
        <v>3.6923076923076925</v>
      </c>
      <c r="IT177" s="223">
        <f t="shared" si="1452"/>
        <v>11.076923076923077</v>
      </c>
      <c r="IU177" s="243">
        <f t="shared" si="1453"/>
        <v>8.3076923076923084</v>
      </c>
      <c r="IV177" s="243">
        <f t="shared" si="1454"/>
        <v>23.07692307692308</v>
      </c>
      <c r="IW177" s="252">
        <f t="shared" si="1337"/>
        <v>0</v>
      </c>
      <c r="IX177" s="309">
        <f t="shared" si="1455"/>
        <v>23.07692307692308</v>
      </c>
      <c r="IY177" s="218">
        <f t="shared" si="1497"/>
        <v>175.5384615384616</v>
      </c>
      <c r="IZ177" s="242">
        <f t="shared" si="1497"/>
        <v>2</v>
      </c>
      <c r="JA177" s="243">
        <f t="shared" si="1456"/>
        <v>173.5384615384616</v>
      </c>
      <c r="JB177" s="218">
        <f t="shared" si="1457"/>
        <v>0</v>
      </c>
      <c r="JE177" s="148"/>
    </row>
    <row r="178" spans="2:265" hidden="1" outlineLevel="2">
      <c r="B178" s="148">
        <v>26</v>
      </c>
      <c r="C178" s="303" t="e">
        <f>VLOOKUP(AF178,Attribute!C:T,1,FALSE)</f>
        <v>#N/A</v>
      </c>
      <c r="D178" s="86" t="s">
        <v>87</v>
      </c>
      <c r="E178" s="167" t="s">
        <v>132</v>
      </c>
      <c r="F178" s="120"/>
      <c r="G178" s="117">
        <f>Konvention_1master-KLmaster</f>
        <v>12</v>
      </c>
      <c r="H178" s="117">
        <f>Konvention_1master-INmaster</f>
        <v>12</v>
      </c>
      <c r="I178" s="117">
        <f t="shared" si="1498"/>
        <v>12</v>
      </c>
      <c r="J178" s="117"/>
      <c r="K178" s="117"/>
      <c r="L178" s="117"/>
      <c r="M178" s="121"/>
      <c r="N178" s="223">
        <f>(F178+G178+H178+I178+J178+K178+L178+M178)/3</f>
        <v>12</v>
      </c>
      <c r="O178" s="223">
        <f>2*N178</f>
        <v>24</v>
      </c>
      <c r="P178" s="224">
        <f>3*N178</f>
        <v>36</v>
      </c>
      <c r="Q178" s="237">
        <f t="shared" si="1350"/>
        <v>2304</v>
      </c>
      <c r="R178" s="117">
        <f>G178*H178*CHmaster+G178*INmaster*I178+KLmaster*H178*I178</f>
        <v>3456</v>
      </c>
      <c r="S178" s="224">
        <f>IFERROR(F178^SIGN(F178),1)*IFERROR(G178^SIGN(G178),1)*IFERROR(H178^SIGN(H178),1)*IFERROR(I178^SIGN(I178),1)*IFERROR(J178^SIGN(J178),1)*IFERROR(K178^SIGN(K178),1)*IFERROR(L178^SIGN(L178),1)*IFERROR(M178^SIGN(M178),1)</f>
        <v>1728</v>
      </c>
      <c r="T178" s="224">
        <f>SUM(Q178:S178)</f>
        <v>7488</v>
      </c>
      <c r="U178" s="222">
        <f>N178*Q178/T178</f>
        <v>3.6923076923076925</v>
      </c>
      <c r="V178" s="223">
        <f>O178*R178/T178</f>
        <v>11.076923076923077</v>
      </c>
      <c r="W178" s="243">
        <f>P178*S178/T178</f>
        <v>8.3076923076923084</v>
      </c>
      <c r="X178" s="243">
        <f>SUM(U178:W178)</f>
        <v>23.07692307692308</v>
      </c>
      <c r="Y178" s="252">
        <v>0</v>
      </c>
      <c r="Z178" s="198">
        <f>X178-Y178</f>
        <v>23.07692307692308</v>
      </c>
      <c r="AA178" s="125">
        <f t="shared" si="1489"/>
        <v>175.5384615384616</v>
      </c>
      <c r="AB178" s="160">
        <f t="shared" si="1489"/>
        <v>2</v>
      </c>
      <c r="AC178" s="127">
        <f>IF((AA178-AB178)&gt;0,AA178-AB178,0)</f>
        <v>173.5384615384616</v>
      </c>
      <c r="AD178" s="125">
        <f>IF((AB178-AA178)&gt;0,AB178-AA178,0)</f>
        <v>0</v>
      </c>
      <c r="AF178" s="163" t="s">
        <v>360</v>
      </c>
      <c r="AG178" s="86" t="s">
        <v>87</v>
      </c>
      <c r="AH178" s="167" t="s">
        <v>132</v>
      </c>
      <c r="AI178" s="120"/>
      <c r="AJ178" s="117">
        <f>Konvention_1slave-KLslave</f>
        <v>12</v>
      </c>
      <c r="AK178" s="117">
        <f>Konvention_1slave-INslave</f>
        <v>12</v>
      </c>
      <c r="AL178" s="117">
        <f t="shared" si="1499"/>
        <v>12</v>
      </c>
      <c r="AM178" s="117"/>
      <c r="AN178" s="117"/>
      <c r="AO178" s="117"/>
      <c r="AP178" s="121"/>
      <c r="AQ178" s="47">
        <f>(AI178+AJ178+AK178+AL178+AM178+AN178+AO178+AP178)/3</f>
        <v>12</v>
      </c>
      <c r="AR178" s="3">
        <f>2*AQ178</f>
        <v>24</v>
      </c>
      <c r="AS178" s="174">
        <f>3*AQ178</f>
        <v>36</v>
      </c>
      <c r="AT178" s="114">
        <f t="shared" si="1351"/>
        <v>2304</v>
      </c>
      <c r="AU178" s="117">
        <f>AJ178*AK178*CHslave+AJ178*INslave*AL178+KLslave*AK178*AL178</f>
        <v>3456</v>
      </c>
      <c r="AV178" s="119">
        <f>IFERROR(AI178^SIGN(AI178),1)*IFERROR(AJ178^SIGN(AJ178),1)*IFERROR(AK178^SIGN(AK178),1)*IFERROR(AL178^SIGN(AL178),1)*IFERROR(AM178^SIGN(AM178),1)*IFERROR(AN178^SIGN(AN178),1)*IFERROR(AO178^SIGN(AO178),1)*IFERROR(AP178^SIGN(AP178),1)</f>
        <v>1728</v>
      </c>
      <c r="AW178" s="119">
        <f t="shared" si="1255"/>
        <v>7488</v>
      </c>
      <c r="AX178" s="89">
        <f>AQ178*AT178/AW178</f>
        <v>3.6923076923076925</v>
      </c>
      <c r="AY178" s="47">
        <f>AR178*AU178/AW178</f>
        <v>11.076923076923077</v>
      </c>
      <c r="AZ178" s="127">
        <f>AS178*AV178/AW178</f>
        <v>8.3076923076923084</v>
      </c>
      <c r="BA178" s="127">
        <f>SUM(AX178:AZ178)</f>
        <v>23.07692307692308</v>
      </c>
      <c r="BB178" s="165">
        <f t="shared" si="1260"/>
        <v>0</v>
      </c>
      <c r="BC178" s="198">
        <f>BA178-BB178</f>
        <v>23.07692307692308</v>
      </c>
      <c r="BD178" s="125">
        <f t="shared" si="1490"/>
        <v>175.5384615384616</v>
      </c>
      <c r="BE178" s="160">
        <f t="shared" si="1490"/>
        <v>2</v>
      </c>
      <c r="BF178" s="243">
        <f>IF((BD178-BE178)&gt;0,BD178-BE178,0)</f>
        <v>173.5384615384616</v>
      </c>
      <c r="BG178" s="218">
        <f>IF((BE178-BD178)&gt;0,BE178-BD178,0)</f>
        <v>0</v>
      </c>
      <c r="BI178" s="303" t="s">
        <v>360</v>
      </c>
      <c r="BJ178" s="304" t="s">
        <v>87</v>
      </c>
      <c r="BK178" s="305" t="s">
        <v>132</v>
      </c>
      <c r="BL178" s="317"/>
      <c r="BM178" s="254">
        <f>Konvention_1slave-KLslave_KL</f>
        <v>11</v>
      </c>
      <c r="BN178" s="254">
        <f>Konvention_1slave-INslave</f>
        <v>12</v>
      </c>
      <c r="BO178" s="254">
        <f t="shared" si="1500"/>
        <v>12</v>
      </c>
      <c r="BP178" s="254"/>
      <c r="BQ178" s="254"/>
      <c r="BR178" s="254"/>
      <c r="BS178" s="318"/>
      <c r="BT178" s="223">
        <f>(BL178+BM178+BN178+BO178+BP178+BQ178+BR178+BS178)/3</f>
        <v>11.666666666666666</v>
      </c>
      <c r="BU178" s="223">
        <f>2*BT178</f>
        <v>23.333333333333332</v>
      </c>
      <c r="BV178" s="224">
        <f>3*BT178</f>
        <v>35</v>
      </c>
      <c r="BW178" s="237">
        <f t="shared" si="1352"/>
        <v>2432</v>
      </c>
      <c r="BX178" s="254">
        <f>BM178*BN178*CHslave+BM178*INslave*BO178+KLslave_KL*BN178*BO178</f>
        <v>3408</v>
      </c>
      <c r="BY178" s="224">
        <f>IFERROR(BL178^SIGN(BL178),1)*IFERROR(BM178^SIGN(BM178),1)*IFERROR(BN178^SIGN(BN178),1)*IFERROR(BO178^SIGN(BO178),1)*IFERROR(BP178^SIGN(BP178),1)*IFERROR(BQ178^SIGN(BQ178),1)*IFERROR(BR178^SIGN(BR178),1)*IFERROR(BS178^SIGN(BS178),1)</f>
        <v>1584</v>
      </c>
      <c r="BZ178" s="224">
        <f t="shared" si="1266"/>
        <v>7424</v>
      </c>
      <c r="CA178" s="222">
        <f>BT178*BW178/BZ178</f>
        <v>3.8218390804597702</v>
      </c>
      <c r="CB178" s="223">
        <f>BU178*BX178/BZ178</f>
        <v>10.711206896551724</v>
      </c>
      <c r="CC178" s="243">
        <f>BV178*BY178/BZ178</f>
        <v>7.4676724137931032</v>
      </c>
      <c r="CD178" s="243">
        <f>SUM(CA178:CC178)</f>
        <v>22.000718390804597</v>
      </c>
      <c r="CE178" s="252">
        <f t="shared" si="1271"/>
        <v>0</v>
      </c>
      <c r="CF178" s="309">
        <f>CD178-CE178</f>
        <v>22.000718390804597</v>
      </c>
      <c r="CG178" s="218">
        <f t="shared" si="1491"/>
        <v>154.01436781609189</v>
      </c>
      <c r="CH178" s="242">
        <f t="shared" si="1491"/>
        <v>2</v>
      </c>
      <c r="CI178" s="243">
        <f>IF((CG178-CH178)&gt;0,CG178-CH178,0)</f>
        <v>152.01436781609189</v>
      </c>
      <c r="CJ178" s="218">
        <f>IF((CH178-CG178)&gt;0,CH178-CG178,0)</f>
        <v>0</v>
      </c>
      <c r="CL178" s="303" t="s">
        <v>360</v>
      </c>
      <c r="CM178" s="304" t="s">
        <v>87</v>
      </c>
      <c r="CN178" s="305" t="s">
        <v>132</v>
      </c>
      <c r="CO178" s="317"/>
      <c r="CP178" s="254">
        <f>Konvention_1slave-KLslave</f>
        <v>12</v>
      </c>
      <c r="CQ178" s="254">
        <f>Konvention_1slave-INslave_IN</f>
        <v>11</v>
      </c>
      <c r="CR178" s="254">
        <f t="shared" si="1501"/>
        <v>12</v>
      </c>
      <c r="CS178" s="254"/>
      <c r="CT178" s="254"/>
      <c r="CU178" s="254"/>
      <c r="CV178" s="318"/>
      <c r="CW178" s="223">
        <f>(CO178+CP178+CQ178+CR178+CS178+CT178+CU178+CV178)/3</f>
        <v>11.666666666666666</v>
      </c>
      <c r="CX178" s="223">
        <f>2*CW178</f>
        <v>23.333333333333332</v>
      </c>
      <c r="CY178" s="224">
        <f>3*CW178</f>
        <v>35</v>
      </c>
      <c r="CZ178" s="237">
        <f t="shared" si="1353"/>
        <v>2432</v>
      </c>
      <c r="DA178" s="254">
        <f>CP178*CQ178*CHslave+CP178*INslave_IN*CR178+KLslave*CQ178*CR178</f>
        <v>3408</v>
      </c>
      <c r="DB178" s="224">
        <f>IFERROR(CO178^SIGN(CO178),1)*IFERROR(CP178^SIGN(CP178),1)*IFERROR(CQ178^SIGN(CQ178),1)*IFERROR(CR178^SIGN(CR178),1)*IFERROR(CS178^SIGN(CS178),1)*IFERROR(CT178^SIGN(CT178),1)*IFERROR(CU178^SIGN(CU178),1)*IFERROR(CV178^SIGN(CV178),1)</f>
        <v>1584</v>
      </c>
      <c r="DC178" s="224">
        <f t="shared" si="1277"/>
        <v>7424</v>
      </c>
      <c r="DD178" s="222">
        <f>CW178*CZ178/DC178</f>
        <v>3.8218390804597702</v>
      </c>
      <c r="DE178" s="223">
        <f>CX178*DA178/DC178</f>
        <v>10.711206896551724</v>
      </c>
      <c r="DF178" s="243">
        <f>CY178*DB178/DC178</f>
        <v>7.4676724137931032</v>
      </c>
      <c r="DG178" s="243">
        <f>SUM(DD178:DF178)</f>
        <v>22.000718390804597</v>
      </c>
      <c r="DH178" s="252">
        <f t="shared" si="1282"/>
        <v>0</v>
      </c>
      <c r="DI178" s="309">
        <f>DG178-DH178</f>
        <v>22.000718390804597</v>
      </c>
      <c r="DJ178" s="218">
        <f t="shared" si="1492"/>
        <v>154.01436781609189</v>
      </c>
      <c r="DK178" s="242">
        <f t="shared" si="1492"/>
        <v>2</v>
      </c>
      <c r="DL178" s="243">
        <f>IF((DJ178-DK178)&gt;0,DJ178-DK178,0)</f>
        <v>152.01436781609189</v>
      </c>
      <c r="DM178" s="218">
        <f>IF((DK178-DJ178)&gt;0,DK178-DJ178,0)</f>
        <v>0</v>
      </c>
      <c r="DO178" s="303" t="s">
        <v>360</v>
      </c>
      <c r="DP178" s="304" t="s">
        <v>87</v>
      </c>
      <c r="DQ178" s="305" t="s">
        <v>132</v>
      </c>
      <c r="DR178" s="317"/>
      <c r="DS178" s="254">
        <f>Konvention_1slave-KLslave</f>
        <v>12</v>
      </c>
      <c r="DT178" s="254">
        <f>Konvention_1slave-INslave</f>
        <v>12</v>
      </c>
      <c r="DU178" s="254">
        <f t="shared" si="1502"/>
        <v>11</v>
      </c>
      <c r="DV178" s="254"/>
      <c r="DW178" s="254"/>
      <c r="DX178" s="254"/>
      <c r="DY178" s="318"/>
      <c r="DZ178" s="223">
        <f>(DR178+DS178+DT178+DU178+DV178+DW178+DX178+DY178)/3</f>
        <v>11.666666666666666</v>
      </c>
      <c r="EA178" s="223">
        <f>2*DZ178</f>
        <v>23.333333333333332</v>
      </c>
      <c r="EB178" s="224">
        <f>3*DZ178</f>
        <v>35</v>
      </c>
      <c r="EC178" s="237">
        <f t="shared" si="1354"/>
        <v>2432</v>
      </c>
      <c r="ED178" s="254">
        <f>DS178*DT178*CHslave_CH+DS178*INslave*DU178+KLslave*DT178*DU178</f>
        <v>3408</v>
      </c>
      <c r="EE178" s="224">
        <f>IFERROR(DR178^SIGN(DR178),1)*IFERROR(DS178^SIGN(DS178),1)*IFERROR(DT178^SIGN(DT178),1)*IFERROR(DU178^SIGN(DU178),1)*IFERROR(DV178^SIGN(DV178),1)*IFERROR(DW178^SIGN(DW178),1)*IFERROR(DX178^SIGN(DX178),1)*IFERROR(DY178^SIGN(DY178),1)</f>
        <v>1584</v>
      </c>
      <c r="EF178" s="224">
        <f t="shared" si="1288"/>
        <v>7424</v>
      </c>
      <c r="EG178" s="222">
        <f>DZ178*EC178/EF178</f>
        <v>3.8218390804597702</v>
      </c>
      <c r="EH178" s="223">
        <f>EA178*ED178/EF178</f>
        <v>10.711206896551724</v>
      </c>
      <c r="EI178" s="243">
        <f>EB178*EE178/EF178</f>
        <v>7.4676724137931032</v>
      </c>
      <c r="EJ178" s="243">
        <f>SUM(EG178:EI178)</f>
        <v>22.000718390804597</v>
      </c>
      <c r="EK178" s="252">
        <f t="shared" si="1293"/>
        <v>0</v>
      </c>
      <c r="EL178" s="309">
        <f>EJ178-EK178</f>
        <v>22.000718390804597</v>
      </c>
      <c r="EM178" s="218">
        <f t="shared" si="1493"/>
        <v>154.01436781609189</v>
      </c>
      <c r="EN178" s="242">
        <f t="shared" si="1493"/>
        <v>2</v>
      </c>
      <c r="EO178" s="243">
        <f>IF((EM178-EN178)&gt;0,EM178-EN178,0)</f>
        <v>152.01436781609189</v>
      </c>
      <c r="EP178" s="218">
        <f>IF((EN178-EM178)&gt;0,EN178-EM178,0)</f>
        <v>0</v>
      </c>
      <c r="ER178" s="303" t="s">
        <v>360</v>
      </c>
      <c r="ES178" s="304" t="s">
        <v>87</v>
      </c>
      <c r="ET178" s="305" t="s">
        <v>132</v>
      </c>
      <c r="EU178" s="317"/>
      <c r="EV178" s="254">
        <f>Konvention_1slave-KLslave</f>
        <v>12</v>
      </c>
      <c r="EW178" s="254">
        <f>Konvention_1slave-INslave</f>
        <v>12</v>
      </c>
      <c r="EX178" s="254">
        <f t="shared" si="1503"/>
        <v>12</v>
      </c>
      <c r="EY178" s="254"/>
      <c r="EZ178" s="254"/>
      <c r="FA178" s="254"/>
      <c r="FB178" s="318"/>
      <c r="FC178" s="223">
        <f>(EU178+EV178+EW178+EX178+EY178+EZ178+FA178+FB178)/3</f>
        <v>12</v>
      </c>
      <c r="FD178" s="223">
        <f>2*FC178</f>
        <v>24</v>
      </c>
      <c r="FE178" s="224">
        <f>3*FC178</f>
        <v>36</v>
      </c>
      <c r="FF178" s="237">
        <f t="shared" si="1355"/>
        <v>2304</v>
      </c>
      <c r="FG178" s="254">
        <f>EV178*EW178*CHslave+EV178*INslave*EX178+KLslave*EW178*EX178</f>
        <v>3456</v>
      </c>
      <c r="FH178" s="224">
        <f>IFERROR(EU178^SIGN(EU178),1)*IFERROR(EV178^SIGN(EV178),1)*IFERROR(EW178^SIGN(EW178),1)*IFERROR(EX178^SIGN(EX178),1)*IFERROR(EY178^SIGN(EY178),1)*IFERROR(EZ178^SIGN(EZ178),1)*IFERROR(FA178^SIGN(FA178),1)*IFERROR(FB178^SIGN(FB178),1)</f>
        <v>1728</v>
      </c>
      <c r="FI178" s="224">
        <f t="shared" si="1299"/>
        <v>7488</v>
      </c>
      <c r="FJ178" s="222">
        <f>FC178*FF178/FI178</f>
        <v>3.6923076923076925</v>
      </c>
      <c r="FK178" s="223">
        <f>FD178*FG178/FI178</f>
        <v>11.076923076923077</v>
      </c>
      <c r="FL178" s="243">
        <f>FE178*FH178/FI178</f>
        <v>8.3076923076923084</v>
      </c>
      <c r="FM178" s="243">
        <f>SUM(FJ178:FL178)</f>
        <v>23.07692307692308</v>
      </c>
      <c r="FN178" s="252">
        <f t="shared" si="1304"/>
        <v>0</v>
      </c>
      <c r="FO178" s="309">
        <f>FM178-FN178</f>
        <v>23.07692307692308</v>
      </c>
      <c r="FP178" s="218">
        <f t="shared" si="1494"/>
        <v>175.5384615384616</v>
      </c>
      <c r="FQ178" s="242">
        <f t="shared" si="1494"/>
        <v>2</v>
      </c>
      <c r="FR178" s="243">
        <f>IF((FP178-FQ178)&gt;0,FP178-FQ178,0)</f>
        <v>173.5384615384616</v>
      </c>
      <c r="FS178" s="218">
        <f>IF((FQ178-FP178)&gt;0,FQ178-FP178,0)</f>
        <v>0</v>
      </c>
      <c r="FU178" s="303" t="s">
        <v>360</v>
      </c>
      <c r="FV178" s="304" t="s">
        <v>87</v>
      </c>
      <c r="FW178" s="305" t="s">
        <v>132</v>
      </c>
      <c r="FX178" s="317"/>
      <c r="FY178" s="254">
        <f>Konvention_1slave-KLslave</f>
        <v>12</v>
      </c>
      <c r="FZ178" s="254">
        <f>Konvention_1slave-INslave</f>
        <v>12</v>
      </c>
      <c r="GA178" s="254">
        <f t="shared" si="1504"/>
        <v>12</v>
      </c>
      <c r="GB178" s="254"/>
      <c r="GC178" s="254"/>
      <c r="GD178" s="254"/>
      <c r="GE178" s="318"/>
      <c r="GF178" s="223">
        <f>(FX178+FY178+FZ178+GA178+GB178+GC178+GD178+GE178)/3</f>
        <v>12</v>
      </c>
      <c r="GG178" s="223">
        <f>2*GF178</f>
        <v>24</v>
      </c>
      <c r="GH178" s="224">
        <f>3*GF178</f>
        <v>36</v>
      </c>
      <c r="GI178" s="237">
        <f t="shared" si="1356"/>
        <v>2304</v>
      </c>
      <c r="GJ178" s="254">
        <f>FY178*FZ178*CHslave+FY178*INslave*GA178+KLslave*FZ178*GA178</f>
        <v>3456</v>
      </c>
      <c r="GK178" s="224">
        <f>IFERROR(FX178^SIGN(FX178),1)*IFERROR(FY178^SIGN(FY178),1)*IFERROR(FZ178^SIGN(FZ178),1)*IFERROR(GA178^SIGN(GA178),1)*IFERROR(GB178^SIGN(GB178),1)*IFERROR(GC178^SIGN(GC178),1)*IFERROR(GD178^SIGN(GD178),1)*IFERROR(GE178^SIGN(GE178),1)</f>
        <v>1728</v>
      </c>
      <c r="GL178" s="224">
        <f t="shared" si="1310"/>
        <v>7488</v>
      </c>
      <c r="GM178" s="222">
        <f>GF178*GI178/GL178</f>
        <v>3.6923076923076925</v>
      </c>
      <c r="GN178" s="223">
        <f>GG178*GJ178/GL178</f>
        <v>11.076923076923077</v>
      </c>
      <c r="GO178" s="243">
        <f>GH178*GK178/GL178</f>
        <v>8.3076923076923084</v>
      </c>
      <c r="GP178" s="243">
        <f>SUM(GM178:GO178)</f>
        <v>23.07692307692308</v>
      </c>
      <c r="GQ178" s="252">
        <f t="shared" si="1315"/>
        <v>0</v>
      </c>
      <c r="GR178" s="309">
        <f>GP178-GQ178</f>
        <v>23.07692307692308</v>
      </c>
      <c r="GS178" s="218">
        <f t="shared" si="1495"/>
        <v>175.5384615384616</v>
      </c>
      <c r="GT178" s="242">
        <f t="shared" si="1495"/>
        <v>2</v>
      </c>
      <c r="GU178" s="243">
        <f>IF((GS178-GT178)&gt;0,GS178-GT178,0)</f>
        <v>173.5384615384616</v>
      </c>
      <c r="GV178" s="218">
        <f>IF((GT178-GS178)&gt;0,GT178-GS178,0)</f>
        <v>0</v>
      </c>
      <c r="GX178" s="303" t="s">
        <v>360</v>
      </c>
      <c r="GY178" s="304" t="s">
        <v>87</v>
      </c>
      <c r="GZ178" s="305" t="s">
        <v>132</v>
      </c>
      <c r="HA178" s="317"/>
      <c r="HB178" s="254">
        <f>Konvention_1slave-KLslave</f>
        <v>12</v>
      </c>
      <c r="HC178" s="254">
        <f>Konvention_1slave-INslave</f>
        <v>12</v>
      </c>
      <c r="HD178" s="254">
        <f t="shared" si="1505"/>
        <v>12</v>
      </c>
      <c r="HE178" s="254"/>
      <c r="HF178" s="254"/>
      <c r="HG178" s="254"/>
      <c r="HH178" s="318"/>
      <c r="HI178" s="223">
        <f>(HA178+HB178+HC178+HD178+HE178+HF178+HG178+HH178)/3</f>
        <v>12</v>
      </c>
      <c r="HJ178" s="223">
        <f>2*HI178</f>
        <v>24</v>
      </c>
      <c r="HK178" s="224">
        <f>3*HI178</f>
        <v>36</v>
      </c>
      <c r="HL178" s="237">
        <f t="shared" si="1357"/>
        <v>2304</v>
      </c>
      <c r="HM178" s="254">
        <f>HB178*HC178*CHslave+HB178*INslave*HD178+KLslave*HC178*HD178</f>
        <v>3456</v>
      </c>
      <c r="HN178" s="224">
        <f>IFERROR(HA178^SIGN(HA178),1)*IFERROR(HB178^SIGN(HB178),1)*IFERROR(HC178^SIGN(HC178),1)*IFERROR(HD178^SIGN(HD178),1)*IFERROR(HE178^SIGN(HE178),1)*IFERROR(HF178^SIGN(HF178),1)*IFERROR(HG178^SIGN(HG178),1)*IFERROR(HH178^SIGN(HH178),1)</f>
        <v>1728</v>
      </c>
      <c r="HO178" s="224">
        <f t="shared" si="1321"/>
        <v>7488</v>
      </c>
      <c r="HP178" s="222">
        <f>HI178*HL178/HO178</f>
        <v>3.6923076923076925</v>
      </c>
      <c r="HQ178" s="223">
        <f>HJ178*HM178/HO178</f>
        <v>11.076923076923077</v>
      </c>
      <c r="HR178" s="243">
        <f>HK178*HN178/HO178</f>
        <v>8.3076923076923084</v>
      </c>
      <c r="HS178" s="243">
        <f>SUM(HP178:HR178)</f>
        <v>23.07692307692308</v>
      </c>
      <c r="HT178" s="252">
        <f t="shared" si="1326"/>
        <v>0</v>
      </c>
      <c r="HU178" s="309">
        <f>HS178-HT178</f>
        <v>23.07692307692308</v>
      </c>
      <c r="HV178" s="218">
        <f t="shared" si="1496"/>
        <v>175.5384615384616</v>
      </c>
      <c r="HW178" s="242">
        <f t="shared" si="1496"/>
        <v>2</v>
      </c>
      <c r="HX178" s="243">
        <f>IF((HV178-HW178)&gt;0,HV178-HW178,0)</f>
        <v>173.5384615384616</v>
      </c>
      <c r="HY178" s="218">
        <f>IF((HW178-HV178)&gt;0,HW178-HV178,0)</f>
        <v>0</v>
      </c>
      <c r="IA178" s="303" t="s">
        <v>360</v>
      </c>
      <c r="IB178" s="304" t="s">
        <v>87</v>
      </c>
      <c r="IC178" s="305" t="s">
        <v>132</v>
      </c>
      <c r="ID178" s="317"/>
      <c r="IE178" s="254">
        <f>Konvention_1slave-KLslave</f>
        <v>12</v>
      </c>
      <c r="IF178" s="254">
        <f>Konvention_1slave-INslave</f>
        <v>12</v>
      </c>
      <c r="IG178" s="254">
        <f t="shared" si="1506"/>
        <v>12</v>
      </c>
      <c r="IH178" s="254"/>
      <c r="II178" s="254"/>
      <c r="IJ178" s="254"/>
      <c r="IK178" s="318"/>
      <c r="IL178" s="223">
        <f>(ID178+IE178+IF178+IG178+IH178+II178+IJ178+IK178)/3</f>
        <v>12</v>
      </c>
      <c r="IM178" s="223">
        <f>2*IL178</f>
        <v>24</v>
      </c>
      <c r="IN178" s="224">
        <f>3*IL178</f>
        <v>36</v>
      </c>
      <c r="IO178" s="237">
        <f t="shared" si="1358"/>
        <v>2304</v>
      </c>
      <c r="IP178" s="254">
        <f>IE178*IF178*CHslave+IE178*INslave*IG178+KLslave*IF178*IG178</f>
        <v>3456</v>
      </c>
      <c r="IQ178" s="224">
        <f>IFERROR(ID178^SIGN(ID178),1)*IFERROR(IE178^SIGN(IE178),1)*IFERROR(IF178^SIGN(IF178),1)*IFERROR(IG178^SIGN(IG178),1)*IFERROR(IH178^SIGN(IH178),1)*IFERROR(II178^SIGN(II178),1)*IFERROR(IJ178^SIGN(IJ178),1)*IFERROR(IK178^SIGN(IK178),1)</f>
        <v>1728</v>
      </c>
      <c r="IR178" s="224">
        <f t="shared" si="1332"/>
        <v>7488</v>
      </c>
      <c r="IS178" s="222">
        <f>IL178*IO178/IR178</f>
        <v>3.6923076923076925</v>
      </c>
      <c r="IT178" s="223">
        <f>IM178*IP178/IR178</f>
        <v>11.076923076923077</v>
      </c>
      <c r="IU178" s="243">
        <f>IN178*IQ178/IR178</f>
        <v>8.3076923076923084</v>
      </c>
      <c r="IV178" s="243">
        <f>SUM(IS178:IU178)</f>
        <v>23.07692307692308</v>
      </c>
      <c r="IW178" s="252">
        <f t="shared" si="1337"/>
        <v>0</v>
      </c>
      <c r="IX178" s="309">
        <f>IV178-IW178</f>
        <v>23.07692307692308</v>
      </c>
      <c r="IY178" s="218">
        <f t="shared" si="1497"/>
        <v>175.5384615384616</v>
      </c>
      <c r="IZ178" s="242">
        <f t="shared" si="1497"/>
        <v>2</v>
      </c>
      <c r="JA178" s="243">
        <f>IF((IY178-IZ178)&gt;0,IY178-IZ178,0)</f>
        <v>173.5384615384616</v>
      </c>
      <c r="JB178" s="218">
        <f>IF((IZ178-IY178)&gt;0,IZ178-IY178,0)</f>
        <v>0</v>
      </c>
      <c r="JE178" s="148"/>
    </row>
    <row r="179" spans="2:265" ht="15" hidden="1" customHeight="1" outlineLevel="2">
      <c r="B179" s="148">
        <v>27</v>
      </c>
      <c r="C179" s="303" t="e">
        <f>VLOOKUP(AF179,Attribute!C:T,1,FALSE)</f>
        <v>#N/A</v>
      </c>
      <c r="D179" s="86" t="s">
        <v>441</v>
      </c>
      <c r="E179" s="167" t="s">
        <v>135</v>
      </c>
      <c r="F179" s="120">
        <f t="shared" si="1488"/>
        <v>12</v>
      </c>
      <c r="G179" s="117"/>
      <c r="H179" s="117"/>
      <c r="I179" s="117">
        <f t="shared" si="1498"/>
        <v>12</v>
      </c>
      <c r="J179" s="117"/>
      <c r="K179" s="117"/>
      <c r="L179" s="117"/>
      <c r="M179" s="121">
        <f>Konvention_1master-KKmaster</f>
        <v>12</v>
      </c>
      <c r="N179" s="223">
        <f>(F179+G179+H179+I179+J179+K179+L179+M179)/3</f>
        <v>12</v>
      </c>
      <c r="O179" s="223">
        <f>2*N179</f>
        <v>24</v>
      </c>
      <c r="P179" s="224">
        <f>3*N179</f>
        <v>36</v>
      </c>
      <c r="Q179" s="237">
        <f t="shared" si="1350"/>
        <v>2304</v>
      </c>
      <c r="R179" s="117">
        <f>F179*I179*KKmaster+F179*CHmaster*M179+MUmaster*I179*M179</f>
        <v>3456</v>
      </c>
      <c r="S179" s="224">
        <f>IFERROR(F179^SIGN(F179),1)*IFERROR(G179^SIGN(G179),1)*IFERROR(H179^SIGN(H179),1)*IFERROR(I179^SIGN(I179),1)*IFERROR(J179^SIGN(J179),1)*IFERROR(K179^SIGN(K179),1)*IFERROR(L179^SIGN(L179),1)*IFERROR(M179^SIGN(M179),1)</f>
        <v>1728</v>
      </c>
      <c r="T179" s="224">
        <f>SUM(Q179:S179)</f>
        <v>7488</v>
      </c>
      <c r="U179" s="222">
        <f>N179*Q179/T179</f>
        <v>3.6923076923076925</v>
      </c>
      <c r="V179" s="223">
        <f>O179*R179/T179</f>
        <v>11.076923076923077</v>
      </c>
      <c r="W179" s="243">
        <f>P179*S179/T179</f>
        <v>8.3076923076923084</v>
      </c>
      <c r="X179" s="243">
        <f>SUM(U179:W179)</f>
        <v>23.07692307692308</v>
      </c>
      <c r="Y179" s="252">
        <v>0</v>
      </c>
      <c r="Z179" s="198">
        <f>X179-Y179</f>
        <v>23.07692307692308</v>
      </c>
      <c r="AA179" s="125">
        <f>IF(X179&lt;=0,3,0)+IF(X179&gt;0,X179+1,0)*3+IF(X179&gt;12,X179-12,0)*3+IF(X179&gt;13,X179-13,0)*3+IF(X179&gt;14,X179-14,0)*3+IF(X179&gt;15,X179-15,0)*3+IF(X179&gt;16,X179-16,0)*3+IF(X179&gt;17,X179-17,0)*3+IF(X179&gt;18,X179-18,0)*3+IF(X179&gt;19,X179-19,0)*3+IF(X179&gt;20,X179-20,0)*3</f>
        <v>263.30769230769232</v>
      </c>
      <c r="AB179" s="160">
        <f>IF(Y179&lt;=0,3,0)+IF(Y179&gt;0,Y179+1,0)*3+IF(Y179&gt;12,Y179-12,0)*3+IF(Y179&gt;13,Y179-13,0)*3+IF(Y179&gt;14,Y179-14,0)*3+IF(Y179&gt;15,Y179-15,0)*3+IF(Y179&gt;16,Y179-16,0)*3+IF(Y179&gt;17,Y179-17,0)*3+IF(Y179&gt;18,Y179-18,0)*3+IF(Y179&gt;19,Y179-19,0)*3+IF(Y179&gt;20,Y179-20,0)*3</f>
        <v>3</v>
      </c>
      <c r="AC179" s="127">
        <f>IF((AA179-AB179)&gt;0,AA179-AB179,0)</f>
        <v>260.30769230769232</v>
      </c>
      <c r="AD179" s="125">
        <f>IF((AB179-AA179)&gt;0,AB179-AA179,0)</f>
        <v>0</v>
      </c>
      <c r="AF179" s="163" t="s">
        <v>388</v>
      </c>
      <c r="AG179" s="86" t="s">
        <v>441</v>
      </c>
      <c r="AH179" s="167" t="s">
        <v>135</v>
      </c>
      <c r="AI179" s="120">
        <f>Konvention_1slave-MUslave_MU</f>
        <v>11</v>
      </c>
      <c r="AJ179" s="117"/>
      <c r="AK179" s="117"/>
      <c r="AL179" s="117">
        <f t="shared" si="1499"/>
        <v>12</v>
      </c>
      <c r="AM179" s="117"/>
      <c r="AN179" s="117"/>
      <c r="AO179" s="117"/>
      <c r="AP179" s="121">
        <f>Konvention_1slave-KKslave</f>
        <v>12</v>
      </c>
      <c r="AQ179" s="47">
        <f>(AI179+AJ179+AK179+AL179+AM179+AN179+AO179+AP179)/3</f>
        <v>11.666666666666666</v>
      </c>
      <c r="AR179" s="3">
        <f>2*AQ179</f>
        <v>23.333333333333332</v>
      </c>
      <c r="AS179" s="174">
        <f>3*AQ179</f>
        <v>35</v>
      </c>
      <c r="AT179" s="114">
        <f t="shared" si="1351"/>
        <v>2432</v>
      </c>
      <c r="AU179" s="117">
        <f>AI179*AL179*KKslave+AI179*CHslave*AP179+MUslave_MU*AL179*AP179</f>
        <v>3408</v>
      </c>
      <c r="AV179" s="119">
        <f>IFERROR(AI179^SIGN(AI179),1)*IFERROR(AJ179^SIGN(AJ179),1)*IFERROR(AK179^SIGN(AK179),1)*IFERROR(AL179^SIGN(AL179),1)*IFERROR(AM179^SIGN(AM179),1)*IFERROR(AN179^SIGN(AN179),1)*IFERROR(AO179^SIGN(AO179),1)*IFERROR(AP179^SIGN(AP179),1)</f>
        <v>1584</v>
      </c>
      <c r="AW179" s="119">
        <f t="shared" si="1255"/>
        <v>7424</v>
      </c>
      <c r="AX179" s="89">
        <f>AQ179*AT179/AW179</f>
        <v>3.8218390804597702</v>
      </c>
      <c r="AY179" s="47">
        <f>AR179*AU179/AW179</f>
        <v>10.711206896551724</v>
      </c>
      <c r="AZ179" s="127">
        <f>AS179*AV179/AW179</f>
        <v>7.4676724137931032</v>
      </c>
      <c r="BA179" s="127">
        <f>SUM(AX179:AZ179)</f>
        <v>22.000718390804597</v>
      </c>
      <c r="BB179" s="165">
        <f t="shared" si="1260"/>
        <v>0</v>
      </c>
      <c r="BC179" s="198">
        <f>BA179-BB179</f>
        <v>22.000718390804597</v>
      </c>
      <c r="BD179" s="125">
        <f>IF(BA179&lt;=0,3,0)+IF(BA179&gt;0,BA179+1,0)*3+IF(BA179&gt;12,BA179-12,0)*3+IF(BA179&gt;13,BA179-13,0)*3+IF(BA179&gt;14,BA179-14,0)*3+IF(BA179&gt;15,BA179-15,0)*3+IF(BA179&gt;16,BA179-16,0)*3+IF(BA179&gt;17,BA179-17,0)*3+IF(BA179&gt;18,BA179-18,0)*3+IF(BA179&gt;19,BA179-19,0)*3+IF(BA179&gt;20,BA179-20,0)*3</f>
        <v>231.02155172413785</v>
      </c>
      <c r="BE179" s="160">
        <f>IF(BB179&lt;=0,3,0)+IF(BB179&gt;0,BB179+1,0)*3+IF(BB179&gt;12,BB179-12,0)*3+IF(BB179&gt;13,BB179-13,0)*3+IF(BB179&gt;14,BB179-14,0)*3+IF(BB179&gt;15,BB179-15,0)*3+IF(BB179&gt;16,BB179-16,0)*3+IF(BB179&gt;17,BB179-17,0)*3+IF(BB179&gt;18,BB179-18,0)*3+IF(BB179&gt;19,BB179-19,0)*3+IF(BB179&gt;20,BB179-20,0)*3</f>
        <v>3</v>
      </c>
      <c r="BF179" s="243">
        <f>IF((BD179-BE179)&gt;0,BD179-BE179,0)</f>
        <v>228.02155172413785</v>
      </c>
      <c r="BG179" s="218">
        <f>IF((BE179-BD179)&gt;0,BE179-BD179,0)</f>
        <v>0</v>
      </c>
      <c r="BI179" s="303" t="s">
        <v>388</v>
      </c>
      <c r="BJ179" s="304" t="s">
        <v>441</v>
      </c>
      <c r="BK179" s="305" t="s">
        <v>135</v>
      </c>
      <c r="BL179" s="317">
        <f>Konvention_1slave-MUslave</f>
        <v>12</v>
      </c>
      <c r="BM179" s="254"/>
      <c r="BN179" s="254"/>
      <c r="BO179" s="254">
        <f t="shared" si="1500"/>
        <v>12</v>
      </c>
      <c r="BP179" s="254"/>
      <c r="BQ179" s="254"/>
      <c r="BR179" s="254"/>
      <c r="BS179" s="318">
        <f>Konvention_1slave-KKslave</f>
        <v>12</v>
      </c>
      <c r="BT179" s="223">
        <f>(BL179+BM179+BN179+BO179+BP179+BQ179+BR179+BS179)/3</f>
        <v>12</v>
      </c>
      <c r="BU179" s="223">
        <f>2*BT179</f>
        <v>24</v>
      </c>
      <c r="BV179" s="224">
        <f>3*BT179</f>
        <v>36</v>
      </c>
      <c r="BW179" s="237">
        <f t="shared" si="1352"/>
        <v>2304</v>
      </c>
      <c r="BX179" s="254">
        <f>BL179*BO179*KKslave+BL179*CHslave*BS179+MUslave*BO179*BS179</f>
        <v>3456</v>
      </c>
      <c r="BY179" s="224">
        <f>IFERROR(BL179^SIGN(BL179),1)*IFERROR(BM179^SIGN(BM179),1)*IFERROR(BN179^SIGN(BN179),1)*IFERROR(BO179^SIGN(BO179),1)*IFERROR(BP179^SIGN(BP179),1)*IFERROR(BQ179^SIGN(BQ179),1)*IFERROR(BR179^SIGN(BR179),1)*IFERROR(BS179^SIGN(BS179),1)</f>
        <v>1728</v>
      </c>
      <c r="BZ179" s="224">
        <f t="shared" si="1266"/>
        <v>7488</v>
      </c>
      <c r="CA179" s="222">
        <f>BT179*BW179/BZ179</f>
        <v>3.6923076923076925</v>
      </c>
      <c r="CB179" s="223">
        <f>BU179*BX179/BZ179</f>
        <v>11.076923076923077</v>
      </c>
      <c r="CC179" s="243">
        <f>BV179*BY179/BZ179</f>
        <v>8.3076923076923084</v>
      </c>
      <c r="CD179" s="243">
        <f>SUM(CA179:CC179)</f>
        <v>23.07692307692308</v>
      </c>
      <c r="CE179" s="252">
        <f t="shared" si="1271"/>
        <v>0</v>
      </c>
      <c r="CF179" s="309">
        <f>CD179-CE179</f>
        <v>23.07692307692308</v>
      </c>
      <c r="CG179" s="218">
        <f>IF(CD179&lt;=0,3,0)+IF(CD179&gt;0,CD179+1,0)*3+IF(CD179&gt;12,CD179-12,0)*3+IF(CD179&gt;13,CD179-13,0)*3+IF(CD179&gt;14,CD179-14,0)*3+IF(CD179&gt;15,CD179-15,0)*3+IF(CD179&gt;16,CD179-16,0)*3+IF(CD179&gt;17,CD179-17,0)*3+IF(CD179&gt;18,CD179-18,0)*3+IF(CD179&gt;19,CD179-19,0)*3+IF(CD179&gt;20,CD179-20,0)*3</f>
        <v>263.30769230769232</v>
      </c>
      <c r="CH179" s="242">
        <f>IF(CE179&lt;=0,3,0)+IF(CE179&gt;0,CE179+1,0)*3+IF(CE179&gt;12,CE179-12,0)*3+IF(CE179&gt;13,CE179-13,0)*3+IF(CE179&gt;14,CE179-14,0)*3+IF(CE179&gt;15,CE179-15,0)*3+IF(CE179&gt;16,CE179-16,0)*3+IF(CE179&gt;17,CE179-17,0)*3+IF(CE179&gt;18,CE179-18,0)*3+IF(CE179&gt;19,CE179-19,0)*3+IF(CE179&gt;20,CE179-20,0)*3</f>
        <v>3</v>
      </c>
      <c r="CI179" s="243">
        <f>IF((CG179-CH179)&gt;0,CG179-CH179,0)</f>
        <v>260.30769230769232</v>
      </c>
      <c r="CJ179" s="218">
        <f>IF((CH179-CG179)&gt;0,CH179-CG179,0)</f>
        <v>0</v>
      </c>
      <c r="CL179" s="303" t="s">
        <v>388</v>
      </c>
      <c r="CM179" s="304" t="s">
        <v>441</v>
      </c>
      <c r="CN179" s="305" t="s">
        <v>135</v>
      </c>
      <c r="CO179" s="317">
        <f>Konvention_1slave-MUslave</f>
        <v>12</v>
      </c>
      <c r="CP179" s="254"/>
      <c r="CQ179" s="254"/>
      <c r="CR179" s="254">
        <f t="shared" si="1501"/>
        <v>12</v>
      </c>
      <c r="CS179" s="254"/>
      <c r="CT179" s="254"/>
      <c r="CU179" s="254"/>
      <c r="CV179" s="318">
        <f>Konvention_1slave-KKslave</f>
        <v>12</v>
      </c>
      <c r="CW179" s="223">
        <f>(CO179+CP179+CQ179+CR179+CS179+CT179+CU179+CV179)/3</f>
        <v>12</v>
      </c>
      <c r="CX179" s="223">
        <f>2*CW179</f>
        <v>24</v>
      </c>
      <c r="CY179" s="224">
        <f>3*CW179</f>
        <v>36</v>
      </c>
      <c r="CZ179" s="237">
        <f t="shared" si="1353"/>
        <v>2304</v>
      </c>
      <c r="DA179" s="254">
        <f>CO179*CR179*KKslave+CO179*CHslave*CV179+MUslave*CR179*CV179</f>
        <v>3456</v>
      </c>
      <c r="DB179" s="224">
        <f>IFERROR(CO179^SIGN(CO179),1)*IFERROR(CP179^SIGN(CP179),1)*IFERROR(CQ179^SIGN(CQ179),1)*IFERROR(CR179^SIGN(CR179),1)*IFERROR(CS179^SIGN(CS179),1)*IFERROR(CT179^SIGN(CT179),1)*IFERROR(CU179^SIGN(CU179),1)*IFERROR(CV179^SIGN(CV179),1)</f>
        <v>1728</v>
      </c>
      <c r="DC179" s="224">
        <f t="shared" si="1277"/>
        <v>7488</v>
      </c>
      <c r="DD179" s="222">
        <f>CW179*CZ179/DC179</f>
        <v>3.6923076923076925</v>
      </c>
      <c r="DE179" s="223">
        <f>CX179*DA179/DC179</f>
        <v>11.076923076923077</v>
      </c>
      <c r="DF179" s="243">
        <f>CY179*DB179/DC179</f>
        <v>8.3076923076923084</v>
      </c>
      <c r="DG179" s="243">
        <f>SUM(DD179:DF179)</f>
        <v>23.07692307692308</v>
      </c>
      <c r="DH179" s="252">
        <f t="shared" si="1282"/>
        <v>0</v>
      </c>
      <c r="DI179" s="309">
        <f>DG179-DH179</f>
        <v>23.07692307692308</v>
      </c>
      <c r="DJ179" s="218">
        <f>IF(DG179&lt;=0,3,0)+IF(DG179&gt;0,DG179+1,0)*3+IF(DG179&gt;12,DG179-12,0)*3+IF(DG179&gt;13,DG179-13,0)*3+IF(DG179&gt;14,DG179-14,0)*3+IF(DG179&gt;15,DG179-15,0)*3+IF(DG179&gt;16,DG179-16,0)*3+IF(DG179&gt;17,DG179-17,0)*3+IF(DG179&gt;18,DG179-18,0)*3+IF(DG179&gt;19,DG179-19,0)*3+IF(DG179&gt;20,DG179-20,0)*3</f>
        <v>263.30769230769232</v>
      </c>
      <c r="DK179" s="242">
        <f>IF(DH179&lt;=0,3,0)+IF(DH179&gt;0,DH179+1,0)*3+IF(DH179&gt;12,DH179-12,0)*3+IF(DH179&gt;13,DH179-13,0)*3+IF(DH179&gt;14,DH179-14,0)*3+IF(DH179&gt;15,DH179-15,0)*3+IF(DH179&gt;16,DH179-16,0)*3+IF(DH179&gt;17,DH179-17,0)*3+IF(DH179&gt;18,DH179-18,0)*3+IF(DH179&gt;19,DH179-19,0)*3+IF(DH179&gt;20,DH179-20,0)*3</f>
        <v>3</v>
      </c>
      <c r="DL179" s="243">
        <f>IF((DJ179-DK179)&gt;0,DJ179-DK179,0)</f>
        <v>260.30769230769232</v>
      </c>
      <c r="DM179" s="218">
        <f>IF((DK179-DJ179)&gt;0,DK179-DJ179,0)</f>
        <v>0</v>
      </c>
      <c r="DO179" s="303" t="s">
        <v>388</v>
      </c>
      <c r="DP179" s="304" t="s">
        <v>441</v>
      </c>
      <c r="DQ179" s="305" t="s">
        <v>135</v>
      </c>
      <c r="DR179" s="317">
        <f>Konvention_1slave-MUslave</f>
        <v>12</v>
      </c>
      <c r="DS179" s="254"/>
      <c r="DT179" s="254"/>
      <c r="DU179" s="254">
        <f t="shared" si="1502"/>
        <v>11</v>
      </c>
      <c r="DV179" s="254"/>
      <c r="DW179" s="254"/>
      <c r="DX179" s="254"/>
      <c r="DY179" s="318">
        <f>Konvention_1slave-KKslave</f>
        <v>12</v>
      </c>
      <c r="DZ179" s="223">
        <f>(DR179+DS179+DT179+DU179+DV179+DW179+DX179+DY179)/3</f>
        <v>11.666666666666666</v>
      </c>
      <c r="EA179" s="223">
        <f>2*DZ179</f>
        <v>23.333333333333332</v>
      </c>
      <c r="EB179" s="224">
        <f>3*DZ179</f>
        <v>35</v>
      </c>
      <c r="EC179" s="237">
        <f t="shared" si="1354"/>
        <v>2432</v>
      </c>
      <c r="ED179" s="254">
        <f>DR179*DU179*KKslave+DR179*CHslave_CH*DY179+MUslave*DU179*DY179</f>
        <v>3408</v>
      </c>
      <c r="EE179" s="224">
        <f>IFERROR(DR179^SIGN(DR179),1)*IFERROR(DS179^SIGN(DS179),1)*IFERROR(DT179^SIGN(DT179),1)*IFERROR(DU179^SIGN(DU179),1)*IFERROR(DV179^SIGN(DV179),1)*IFERROR(DW179^SIGN(DW179),1)*IFERROR(DX179^SIGN(DX179),1)*IFERROR(DY179^SIGN(DY179),1)</f>
        <v>1584</v>
      </c>
      <c r="EF179" s="224">
        <f t="shared" si="1288"/>
        <v>7424</v>
      </c>
      <c r="EG179" s="222">
        <f>DZ179*EC179/EF179</f>
        <v>3.8218390804597702</v>
      </c>
      <c r="EH179" s="223">
        <f>EA179*ED179/EF179</f>
        <v>10.711206896551724</v>
      </c>
      <c r="EI179" s="243">
        <f>EB179*EE179/EF179</f>
        <v>7.4676724137931032</v>
      </c>
      <c r="EJ179" s="243">
        <f>SUM(EG179:EI179)</f>
        <v>22.000718390804597</v>
      </c>
      <c r="EK179" s="252">
        <f t="shared" si="1293"/>
        <v>0</v>
      </c>
      <c r="EL179" s="309">
        <f>EJ179-EK179</f>
        <v>22.000718390804597</v>
      </c>
      <c r="EM179" s="218">
        <f>IF(EJ179&lt;=0,3,0)+IF(EJ179&gt;0,EJ179+1,0)*3+IF(EJ179&gt;12,EJ179-12,0)*3+IF(EJ179&gt;13,EJ179-13,0)*3+IF(EJ179&gt;14,EJ179-14,0)*3+IF(EJ179&gt;15,EJ179-15,0)*3+IF(EJ179&gt;16,EJ179-16,0)*3+IF(EJ179&gt;17,EJ179-17,0)*3+IF(EJ179&gt;18,EJ179-18,0)*3+IF(EJ179&gt;19,EJ179-19,0)*3+IF(EJ179&gt;20,EJ179-20,0)*3</f>
        <v>231.02155172413785</v>
      </c>
      <c r="EN179" s="242">
        <f>IF(EK179&lt;=0,3,0)+IF(EK179&gt;0,EK179+1,0)*3+IF(EK179&gt;12,EK179-12,0)*3+IF(EK179&gt;13,EK179-13,0)*3+IF(EK179&gt;14,EK179-14,0)*3+IF(EK179&gt;15,EK179-15,0)*3+IF(EK179&gt;16,EK179-16,0)*3+IF(EK179&gt;17,EK179-17,0)*3+IF(EK179&gt;18,EK179-18,0)*3+IF(EK179&gt;19,EK179-19,0)*3+IF(EK179&gt;20,EK179-20,0)*3</f>
        <v>3</v>
      </c>
      <c r="EO179" s="243">
        <f>IF((EM179-EN179)&gt;0,EM179-EN179,0)</f>
        <v>228.02155172413785</v>
      </c>
      <c r="EP179" s="218">
        <f>IF((EN179-EM179)&gt;0,EN179-EM179,0)</f>
        <v>0</v>
      </c>
      <c r="ER179" s="303" t="s">
        <v>388</v>
      </c>
      <c r="ES179" s="304" t="s">
        <v>441</v>
      </c>
      <c r="ET179" s="305" t="s">
        <v>135</v>
      </c>
      <c r="EU179" s="317">
        <f>Konvention_1slave-MUslave</f>
        <v>12</v>
      </c>
      <c r="EV179" s="254"/>
      <c r="EW179" s="254"/>
      <c r="EX179" s="254">
        <f t="shared" si="1503"/>
        <v>12</v>
      </c>
      <c r="EY179" s="254"/>
      <c r="EZ179" s="254"/>
      <c r="FA179" s="254"/>
      <c r="FB179" s="318">
        <f>Konvention_1slave-KKslave</f>
        <v>12</v>
      </c>
      <c r="FC179" s="223">
        <f>(EU179+EV179+EW179+EX179+EY179+EZ179+FA179+FB179)/3</f>
        <v>12</v>
      </c>
      <c r="FD179" s="223">
        <f>2*FC179</f>
        <v>24</v>
      </c>
      <c r="FE179" s="224">
        <f>3*FC179</f>
        <v>36</v>
      </c>
      <c r="FF179" s="237">
        <f t="shared" si="1355"/>
        <v>2304</v>
      </c>
      <c r="FG179" s="254">
        <f>EU179*EX179*KKslave+EU179*CHslave*FB179+MUslave*EX179*FB179</f>
        <v>3456</v>
      </c>
      <c r="FH179" s="224">
        <f>IFERROR(EU179^SIGN(EU179),1)*IFERROR(EV179^SIGN(EV179),1)*IFERROR(EW179^SIGN(EW179),1)*IFERROR(EX179^SIGN(EX179),1)*IFERROR(EY179^SIGN(EY179),1)*IFERROR(EZ179^SIGN(EZ179),1)*IFERROR(FA179^SIGN(FA179),1)*IFERROR(FB179^SIGN(FB179),1)</f>
        <v>1728</v>
      </c>
      <c r="FI179" s="224">
        <f t="shared" si="1299"/>
        <v>7488</v>
      </c>
      <c r="FJ179" s="222">
        <f>FC179*FF179/FI179</f>
        <v>3.6923076923076925</v>
      </c>
      <c r="FK179" s="223">
        <f>FD179*FG179/FI179</f>
        <v>11.076923076923077</v>
      </c>
      <c r="FL179" s="243">
        <f>FE179*FH179/FI179</f>
        <v>8.3076923076923084</v>
      </c>
      <c r="FM179" s="243">
        <f>SUM(FJ179:FL179)</f>
        <v>23.07692307692308</v>
      </c>
      <c r="FN179" s="252">
        <f t="shared" si="1304"/>
        <v>0</v>
      </c>
      <c r="FO179" s="309">
        <f>FM179-FN179</f>
        <v>23.07692307692308</v>
      </c>
      <c r="FP179" s="218">
        <f>IF(FM179&lt;=0,3,0)+IF(FM179&gt;0,FM179+1,0)*3+IF(FM179&gt;12,FM179-12,0)*3+IF(FM179&gt;13,FM179-13,0)*3+IF(FM179&gt;14,FM179-14,0)*3+IF(FM179&gt;15,FM179-15,0)*3+IF(FM179&gt;16,FM179-16,0)*3+IF(FM179&gt;17,FM179-17,0)*3+IF(FM179&gt;18,FM179-18,0)*3+IF(FM179&gt;19,FM179-19,0)*3+IF(FM179&gt;20,FM179-20,0)*3</f>
        <v>263.30769230769232</v>
      </c>
      <c r="FQ179" s="242">
        <f>IF(FN179&lt;=0,3,0)+IF(FN179&gt;0,FN179+1,0)*3+IF(FN179&gt;12,FN179-12,0)*3+IF(FN179&gt;13,FN179-13,0)*3+IF(FN179&gt;14,FN179-14,0)*3+IF(FN179&gt;15,FN179-15,0)*3+IF(FN179&gt;16,FN179-16,0)*3+IF(FN179&gt;17,FN179-17,0)*3+IF(FN179&gt;18,FN179-18,0)*3+IF(FN179&gt;19,FN179-19,0)*3+IF(FN179&gt;20,FN179-20,0)*3</f>
        <v>3</v>
      </c>
      <c r="FR179" s="243">
        <f>IF((FP179-FQ179)&gt;0,FP179-FQ179,0)</f>
        <v>260.30769230769232</v>
      </c>
      <c r="FS179" s="218">
        <f>IF((FQ179-FP179)&gt;0,FQ179-FP179,0)</f>
        <v>0</v>
      </c>
      <c r="FU179" s="303" t="s">
        <v>388</v>
      </c>
      <c r="FV179" s="304" t="s">
        <v>441</v>
      </c>
      <c r="FW179" s="305" t="s">
        <v>135</v>
      </c>
      <c r="FX179" s="317">
        <f>Konvention_1slave-MUslave</f>
        <v>12</v>
      </c>
      <c r="FY179" s="254"/>
      <c r="FZ179" s="254"/>
      <c r="GA179" s="254">
        <f t="shared" si="1504"/>
        <v>12</v>
      </c>
      <c r="GB179" s="254"/>
      <c r="GC179" s="254"/>
      <c r="GD179" s="254"/>
      <c r="GE179" s="318">
        <f>Konvention_1slave-KKslave</f>
        <v>12</v>
      </c>
      <c r="GF179" s="223">
        <f>(FX179+FY179+FZ179+GA179+GB179+GC179+GD179+GE179)/3</f>
        <v>12</v>
      </c>
      <c r="GG179" s="223">
        <f>2*GF179</f>
        <v>24</v>
      </c>
      <c r="GH179" s="224">
        <f>3*GF179</f>
        <v>36</v>
      </c>
      <c r="GI179" s="237">
        <f t="shared" si="1356"/>
        <v>2304</v>
      </c>
      <c r="GJ179" s="254">
        <f>FX179*GA179*KKslave+FX179*CHslave*GE179+MUslave*GA179*GE179</f>
        <v>3456</v>
      </c>
      <c r="GK179" s="224">
        <f>IFERROR(FX179^SIGN(FX179),1)*IFERROR(FY179^SIGN(FY179),1)*IFERROR(FZ179^SIGN(FZ179),1)*IFERROR(GA179^SIGN(GA179),1)*IFERROR(GB179^SIGN(GB179),1)*IFERROR(GC179^SIGN(GC179),1)*IFERROR(GD179^SIGN(GD179),1)*IFERROR(GE179^SIGN(GE179),1)</f>
        <v>1728</v>
      </c>
      <c r="GL179" s="224">
        <f t="shared" si="1310"/>
        <v>7488</v>
      </c>
      <c r="GM179" s="222">
        <f>GF179*GI179/GL179</f>
        <v>3.6923076923076925</v>
      </c>
      <c r="GN179" s="223">
        <f>GG179*GJ179/GL179</f>
        <v>11.076923076923077</v>
      </c>
      <c r="GO179" s="243">
        <f>GH179*GK179/GL179</f>
        <v>8.3076923076923084</v>
      </c>
      <c r="GP179" s="243">
        <f>SUM(GM179:GO179)</f>
        <v>23.07692307692308</v>
      </c>
      <c r="GQ179" s="252">
        <f t="shared" si="1315"/>
        <v>0</v>
      </c>
      <c r="GR179" s="309">
        <f>GP179-GQ179</f>
        <v>23.07692307692308</v>
      </c>
      <c r="GS179" s="218">
        <f>IF(GP179&lt;=0,3,0)+IF(GP179&gt;0,GP179+1,0)*3+IF(GP179&gt;12,GP179-12,0)*3+IF(GP179&gt;13,GP179-13,0)*3+IF(GP179&gt;14,GP179-14,0)*3+IF(GP179&gt;15,GP179-15,0)*3+IF(GP179&gt;16,GP179-16,0)*3+IF(GP179&gt;17,GP179-17,0)*3+IF(GP179&gt;18,GP179-18,0)*3+IF(GP179&gt;19,GP179-19,0)*3+IF(GP179&gt;20,GP179-20,0)*3</f>
        <v>263.30769230769232</v>
      </c>
      <c r="GT179" s="242">
        <f>IF(GQ179&lt;=0,3,0)+IF(GQ179&gt;0,GQ179+1,0)*3+IF(GQ179&gt;12,GQ179-12,0)*3+IF(GQ179&gt;13,GQ179-13,0)*3+IF(GQ179&gt;14,GQ179-14,0)*3+IF(GQ179&gt;15,GQ179-15,0)*3+IF(GQ179&gt;16,GQ179-16,0)*3+IF(GQ179&gt;17,GQ179-17,0)*3+IF(GQ179&gt;18,GQ179-18,0)*3+IF(GQ179&gt;19,GQ179-19,0)*3+IF(GQ179&gt;20,GQ179-20,0)*3</f>
        <v>3</v>
      </c>
      <c r="GU179" s="243">
        <f>IF((GS179-GT179)&gt;0,GS179-GT179,0)</f>
        <v>260.30769230769232</v>
      </c>
      <c r="GV179" s="218">
        <f>IF((GT179-GS179)&gt;0,GT179-GS179,0)</f>
        <v>0</v>
      </c>
      <c r="GX179" s="303" t="s">
        <v>388</v>
      </c>
      <c r="GY179" s="304" t="s">
        <v>441</v>
      </c>
      <c r="GZ179" s="305" t="s">
        <v>135</v>
      </c>
      <c r="HA179" s="317">
        <f>Konvention_1slave-MUslave</f>
        <v>12</v>
      </c>
      <c r="HB179" s="254"/>
      <c r="HC179" s="254"/>
      <c r="HD179" s="254">
        <f t="shared" si="1505"/>
        <v>12</v>
      </c>
      <c r="HE179" s="254"/>
      <c r="HF179" s="254"/>
      <c r="HG179" s="254"/>
      <c r="HH179" s="318">
        <f>Konvention_1slave-KKslave</f>
        <v>12</v>
      </c>
      <c r="HI179" s="223">
        <f>(HA179+HB179+HC179+HD179+HE179+HF179+HG179+HH179)/3</f>
        <v>12</v>
      </c>
      <c r="HJ179" s="223">
        <f>2*HI179</f>
        <v>24</v>
      </c>
      <c r="HK179" s="224">
        <f>3*HI179</f>
        <v>36</v>
      </c>
      <c r="HL179" s="237">
        <f t="shared" si="1357"/>
        <v>2304</v>
      </c>
      <c r="HM179" s="254">
        <f>HA179*HD179*KKslave+HA179*CHslave*HH179+MUslave*HD179*HH179</f>
        <v>3456</v>
      </c>
      <c r="HN179" s="224">
        <f>IFERROR(HA179^SIGN(HA179),1)*IFERROR(HB179^SIGN(HB179),1)*IFERROR(HC179^SIGN(HC179),1)*IFERROR(HD179^SIGN(HD179),1)*IFERROR(HE179^SIGN(HE179),1)*IFERROR(HF179^SIGN(HF179),1)*IFERROR(HG179^SIGN(HG179),1)*IFERROR(HH179^SIGN(HH179),1)</f>
        <v>1728</v>
      </c>
      <c r="HO179" s="224">
        <f t="shared" si="1321"/>
        <v>7488</v>
      </c>
      <c r="HP179" s="222">
        <f>HI179*HL179/HO179</f>
        <v>3.6923076923076925</v>
      </c>
      <c r="HQ179" s="223">
        <f>HJ179*HM179/HO179</f>
        <v>11.076923076923077</v>
      </c>
      <c r="HR179" s="243">
        <f>HK179*HN179/HO179</f>
        <v>8.3076923076923084</v>
      </c>
      <c r="HS179" s="243">
        <f>SUM(HP179:HR179)</f>
        <v>23.07692307692308</v>
      </c>
      <c r="HT179" s="252">
        <f t="shared" si="1326"/>
        <v>0</v>
      </c>
      <c r="HU179" s="309">
        <f>HS179-HT179</f>
        <v>23.07692307692308</v>
      </c>
      <c r="HV179" s="218">
        <f>IF(HS179&lt;=0,3,0)+IF(HS179&gt;0,HS179+1,0)*3+IF(HS179&gt;12,HS179-12,0)*3+IF(HS179&gt;13,HS179-13,0)*3+IF(HS179&gt;14,HS179-14,0)*3+IF(HS179&gt;15,HS179-15,0)*3+IF(HS179&gt;16,HS179-16,0)*3+IF(HS179&gt;17,HS179-17,0)*3+IF(HS179&gt;18,HS179-18,0)*3+IF(HS179&gt;19,HS179-19,0)*3+IF(HS179&gt;20,HS179-20,0)*3</f>
        <v>263.30769230769232</v>
      </c>
      <c r="HW179" s="242">
        <f>IF(HT179&lt;=0,3,0)+IF(HT179&gt;0,HT179+1,0)*3+IF(HT179&gt;12,HT179-12,0)*3+IF(HT179&gt;13,HT179-13,0)*3+IF(HT179&gt;14,HT179-14,0)*3+IF(HT179&gt;15,HT179-15,0)*3+IF(HT179&gt;16,HT179-16,0)*3+IF(HT179&gt;17,HT179-17,0)*3+IF(HT179&gt;18,HT179-18,0)*3+IF(HT179&gt;19,HT179-19,0)*3+IF(HT179&gt;20,HT179-20,0)*3</f>
        <v>3</v>
      </c>
      <c r="HX179" s="243">
        <f>IF((HV179-HW179)&gt;0,HV179-HW179,0)</f>
        <v>260.30769230769232</v>
      </c>
      <c r="HY179" s="218">
        <f>IF((HW179-HV179)&gt;0,HW179-HV179,0)</f>
        <v>0</v>
      </c>
      <c r="IA179" s="303" t="s">
        <v>388</v>
      </c>
      <c r="IB179" s="304" t="s">
        <v>441</v>
      </c>
      <c r="IC179" s="305" t="s">
        <v>135</v>
      </c>
      <c r="ID179" s="317">
        <f>Konvention_1slave-MUslave</f>
        <v>12</v>
      </c>
      <c r="IE179" s="254"/>
      <c r="IF179" s="254"/>
      <c r="IG179" s="254">
        <f t="shared" si="1506"/>
        <v>12</v>
      </c>
      <c r="IH179" s="254"/>
      <c r="II179" s="254"/>
      <c r="IJ179" s="254"/>
      <c r="IK179" s="318">
        <f>Konvention_1slave-KKslave_KK</f>
        <v>11</v>
      </c>
      <c r="IL179" s="223">
        <f>(ID179+IE179+IF179+IG179+IH179+II179+IJ179+IK179)/3</f>
        <v>11.666666666666666</v>
      </c>
      <c r="IM179" s="223">
        <f>2*IL179</f>
        <v>23.333333333333332</v>
      </c>
      <c r="IN179" s="224">
        <f>3*IL179</f>
        <v>35</v>
      </c>
      <c r="IO179" s="237">
        <f t="shared" si="1358"/>
        <v>2432</v>
      </c>
      <c r="IP179" s="254">
        <f>ID179*IG179*KKslave_KK+ID179*CHslave*IK179+MUslave*IG179*IK179</f>
        <v>3408</v>
      </c>
      <c r="IQ179" s="224">
        <f>IFERROR(ID179^SIGN(ID179),1)*IFERROR(IE179^SIGN(IE179),1)*IFERROR(IF179^SIGN(IF179),1)*IFERROR(IG179^SIGN(IG179),1)*IFERROR(IH179^SIGN(IH179),1)*IFERROR(II179^SIGN(II179),1)*IFERROR(IJ179^SIGN(IJ179),1)*IFERROR(IK179^SIGN(IK179),1)</f>
        <v>1584</v>
      </c>
      <c r="IR179" s="224">
        <f t="shared" si="1332"/>
        <v>7424</v>
      </c>
      <c r="IS179" s="222">
        <f>IL179*IO179/IR179</f>
        <v>3.8218390804597702</v>
      </c>
      <c r="IT179" s="223">
        <f>IM179*IP179/IR179</f>
        <v>10.711206896551724</v>
      </c>
      <c r="IU179" s="243">
        <f>IN179*IQ179/IR179</f>
        <v>7.4676724137931032</v>
      </c>
      <c r="IV179" s="243">
        <f>SUM(IS179:IU179)</f>
        <v>22.000718390804597</v>
      </c>
      <c r="IW179" s="252">
        <f t="shared" si="1337"/>
        <v>0</v>
      </c>
      <c r="IX179" s="309">
        <f>IV179-IW179</f>
        <v>22.000718390804597</v>
      </c>
      <c r="IY179" s="218">
        <f>IF(IV179&lt;=0,3,0)+IF(IV179&gt;0,IV179+1,0)*3+IF(IV179&gt;12,IV179-12,0)*3+IF(IV179&gt;13,IV179-13,0)*3+IF(IV179&gt;14,IV179-14,0)*3+IF(IV179&gt;15,IV179-15,0)*3+IF(IV179&gt;16,IV179-16,0)*3+IF(IV179&gt;17,IV179-17,0)*3+IF(IV179&gt;18,IV179-18,0)*3+IF(IV179&gt;19,IV179-19,0)*3+IF(IV179&gt;20,IV179-20,0)*3</f>
        <v>231.02155172413785</v>
      </c>
      <c r="IZ179" s="242">
        <f>IF(IW179&lt;=0,3,0)+IF(IW179&gt;0,IW179+1,0)*3+IF(IW179&gt;12,IW179-12,0)*3+IF(IW179&gt;13,IW179-13,0)*3+IF(IW179&gt;14,IW179-14,0)*3+IF(IW179&gt;15,IW179-15,0)*3+IF(IW179&gt;16,IW179-16,0)*3+IF(IW179&gt;17,IW179-17,0)*3+IF(IW179&gt;18,IW179-18,0)*3+IF(IW179&gt;19,IW179-19,0)*3+IF(IW179&gt;20,IW179-20,0)*3</f>
        <v>3</v>
      </c>
      <c r="JA179" s="243">
        <f>IF((IY179-IZ179)&gt;0,IY179-IZ179,0)</f>
        <v>228.02155172413785</v>
      </c>
      <c r="JB179" s="218">
        <f>IF((IZ179-IY179)&gt;0,IZ179-IY179,0)</f>
        <v>0</v>
      </c>
      <c r="JE179" s="148"/>
    </row>
    <row r="180" spans="2:265" ht="15" hidden="1" customHeight="1" outlineLevel="2">
      <c r="B180" s="148">
        <v>28</v>
      </c>
      <c r="C180" s="303" t="e">
        <f>VLOOKUP(AF180,Attribute!C:T,1,FALSE)</f>
        <v>#N/A</v>
      </c>
      <c r="D180" s="86" t="s">
        <v>86</v>
      </c>
      <c r="E180" s="167" t="s">
        <v>132</v>
      </c>
      <c r="F180" s="120">
        <f t="shared" si="1488"/>
        <v>12</v>
      </c>
      <c r="G180" s="117"/>
      <c r="H180" s="117">
        <f>Konvention_1master-INmaster</f>
        <v>12</v>
      </c>
      <c r="I180" s="117">
        <f t="shared" si="1498"/>
        <v>12</v>
      </c>
      <c r="J180" s="117"/>
      <c r="K180" s="117"/>
      <c r="L180" s="117"/>
      <c r="M180" s="121"/>
      <c r="N180" s="223">
        <f t="shared" si="1359"/>
        <v>12</v>
      </c>
      <c r="O180" s="223">
        <f t="shared" si="1360"/>
        <v>24</v>
      </c>
      <c r="P180" s="224">
        <f t="shared" si="1361"/>
        <v>36</v>
      </c>
      <c r="Q180" s="237">
        <f t="shared" si="1350"/>
        <v>2304</v>
      </c>
      <c r="R180" s="117">
        <f>F180*H180*CHmaster+F180*INmaster*I180+MUmaster*H180*I180</f>
        <v>3456</v>
      </c>
      <c r="S180" s="224">
        <f t="shared" si="1362"/>
        <v>1728</v>
      </c>
      <c r="T180" s="224">
        <f t="shared" si="1485"/>
        <v>7488</v>
      </c>
      <c r="U180" s="222">
        <f t="shared" si="1363"/>
        <v>3.6923076923076925</v>
      </c>
      <c r="V180" s="223">
        <f t="shared" si="1364"/>
        <v>11.076923076923077</v>
      </c>
      <c r="W180" s="243">
        <f t="shared" si="1365"/>
        <v>8.3076923076923084</v>
      </c>
      <c r="X180" s="243">
        <f t="shared" si="1366"/>
        <v>23.07692307692308</v>
      </c>
      <c r="Y180" s="252">
        <v>0</v>
      </c>
      <c r="Z180" s="198">
        <f t="shared" si="1367"/>
        <v>23.07692307692308</v>
      </c>
      <c r="AA180" s="125">
        <f>IF(X180&lt;=0,2,0)+IF(X180&gt;0,X180+1,0)*2+IF(X180&gt;12,X180-12,0)*2+IF(X180&gt;13,X180-13,0)*2+IF(X180&gt;14,X180-14,0)*2+IF(X180&gt;15,X180-15,0)*2+IF(X180&gt;16,X180-16,0)*2+IF(X180&gt;17,X180-17,0)*2+IF(X180&gt;18,X180-18,0)*2+IF(X180&gt;19,X180-19,0)*2+IF(X180&gt;20,X180-20,0)*2</f>
        <v>175.5384615384616</v>
      </c>
      <c r="AB180" s="160">
        <f>IF(Y180&lt;=0,2,0)+IF(Y180&gt;0,Y180+1,0)*2+IF(Y180&gt;12,Y180-12,0)*2+IF(Y180&gt;13,Y180-13,0)*2+IF(Y180&gt;14,Y180-14,0)*2+IF(Y180&gt;15,Y180-15,0)*2+IF(Y180&gt;16,Y180-16,0)*2+IF(Y180&gt;17,Y180-17,0)*2+IF(Y180&gt;18,Y180-18,0)*2+IF(Y180&gt;19,Y180-19,0)*2+IF(Y180&gt;20,Y180-20,0)*2</f>
        <v>2</v>
      </c>
      <c r="AC180" s="127">
        <f t="shared" si="1368"/>
        <v>173.5384615384616</v>
      </c>
      <c r="AD180" s="125">
        <f t="shared" si="1369"/>
        <v>0</v>
      </c>
      <c r="AF180" s="163" t="s">
        <v>306</v>
      </c>
      <c r="AG180" s="86" t="s">
        <v>86</v>
      </c>
      <c r="AH180" s="167" t="s">
        <v>132</v>
      </c>
      <c r="AI180" s="120">
        <f>Konvention_1slave-MUslave_MU</f>
        <v>11</v>
      </c>
      <c r="AJ180" s="117"/>
      <c r="AK180" s="117">
        <f>Konvention_1slave-INslave</f>
        <v>12</v>
      </c>
      <c r="AL180" s="117">
        <f t="shared" si="1499"/>
        <v>12</v>
      </c>
      <c r="AM180" s="117"/>
      <c r="AN180" s="117"/>
      <c r="AO180" s="117"/>
      <c r="AP180" s="121"/>
      <c r="AQ180" s="47">
        <f t="shared" si="1370"/>
        <v>11.666666666666666</v>
      </c>
      <c r="AR180" s="3">
        <f t="shared" si="1371"/>
        <v>23.333333333333332</v>
      </c>
      <c r="AS180" s="174">
        <f t="shared" si="1372"/>
        <v>35</v>
      </c>
      <c r="AT180" s="114">
        <f t="shared" si="1351"/>
        <v>2432</v>
      </c>
      <c r="AU180" s="117">
        <f>AI180*AK180*CHslave+AI180*INslave*AL180+MUslave_MU*AK180*AL180</f>
        <v>3408</v>
      </c>
      <c r="AV180" s="119">
        <f t="shared" si="1373"/>
        <v>1584</v>
      </c>
      <c r="AW180" s="119">
        <f t="shared" si="1255"/>
        <v>7424</v>
      </c>
      <c r="AX180" s="89">
        <f t="shared" si="1374"/>
        <v>3.8218390804597702</v>
      </c>
      <c r="AY180" s="47">
        <f t="shared" si="1375"/>
        <v>10.711206896551724</v>
      </c>
      <c r="AZ180" s="127">
        <f t="shared" si="1376"/>
        <v>7.4676724137931032</v>
      </c>
      <c r="BA180" s="127">
        <f t="shared" si="1377"/>
        <v>22.000718390804597</v>
      </c>
      <c r="BB180" s="165">
        <f t="shared" si="1260"/>
        <v>0</v>
      </c>
      <c r="BC180" s="198">
        <f t="shared" si="1378"/>
        <v>22.000718390804597</v>
      </c>
      <c r="BD180" s="125">
        <f>IF(BA180&lt;=0,2,0)+IF(BA180&gt;0,BA180+1,0)*2+IF(BA180&gt;12,BA180-12,0)*2+IF(BA180&gt;13,BA180-13,0)*2+IF(BA180&gt;14,BA180-14,0)*2+IF(BA180&gt;15,BA180-15,0)*2+IF(BA180&gt;16,BA180-16,0)*2+IF(BA180&gt;17,BA180-17,0)*2+IF(BA180&gt;18,BA180-18,0)*2+IF(BA180&gt;19,BA180-19,0)*2+IF(BA180&gt;20,BA180-20,0)*2</f>
        <v>154.01436781609189</v>
      </c>
      <c r="BE180" s="160">
        <f>IF(BB180&lt;=0,2,0)+IF(BB180&gt;0,BB180+1,0)*2+IF(BB180&gt;12,BB180-12,0)*2+IF(BB180&gt;13,BB180-13,0)*2+IF(BB180&gt;14,BB180-14,0)*2+IF(BB180&gt;15,BB180-15,0)*2+IF(BB180&gt;16,BB180-16,0)*2+IF(BB180&gt;17,BB180-17,0)*2+IF(BB180&gt;18,BB180-18,0)*2+IF(BB180&gt;19,BB180-19,0)*2+IF(BB180&gt;20,BB180-20,0)*2</f>
        <v>2</v>
      </c>
      <c r="BF180" s="243">
        <f t="shared" si="1379"/>
        <v>152.01436781609189</v>
      </c>
      <c r="BG180" s="218">
        <f t="shared" si="1380"/>
        <v>0</v>
      </c>
      <c r="BI180" s="303" t="s">
        <v>306</v>
      </c>
      <c r="BJ180" s="304" t="s">
        <v>86</v>
      </c>
      <c r="BK180" s="305" t="s">
        <v>132</v>
      </c>
      <c r="BL180" s="317">
        <f>Konvention_1slave-MUslave</f>
        <v>12</v>
      </c>
      <c r="BM180" s="254"/>
      <c r="BN180" s="254">
        <f>Konvention_1slave-INslave</f>
        <v>12</v>
      </c>
      <c r="BO180" s="254">
        <f t="shared" si="1500"/>
        <v>12</v>
      </c>
      <c r="BP180" s="254"/>
      <c r="BQ180" s="254"/>
      <c r="BR180" s="254"/>
      <c r="BS180" s="318"/>
      <c r="BT180" s="223">
        <f t="shared" si="1381"/>
        <v>12</v>
      </c>
      <c r="BU180" s="223">
        <f t="shared" si="1382"/>
        <v>24</v>
      </c>
      <c r="BV180" s="224">
        <f t="shared" si="1383"/>
        <v>36</v>
      </c>
      <c r="BW180" s="237">
        <f t="shared" si="1352"/>
        <v>2304</v>
      </c>
      <c r="BX180" s="254">
        <f>BL180*BN180*CHslave+BL180*INslave*BO180+MUslave*BN180*BO180</f>
        <v>3456</v>
      </c>
      <c r="BY180" s="224">
        <f t="shared" si="1384"/>
        <v>1728</v>
      </c>
      <c r="BZ180" s="224">
        <f t="shared" si="1266"/>
        <v>7488</v>
      </c>
      <c r="CA180" s="222">
        <f t="shared" si="1385"/>
        <v>3.6923076923076925</v>
      </c>
      <c r="CB180" s="223">
        <f t="shared" si="1386"/>
        <v>11.076923076923077</v>
      </c>
      <c r="CC180" s="243">
        <f t="shared" si="1387"/>
        <v>8.3076923076923084</v>
      </c>
      <c r="CD180" s="243">
        <f t="shared" si="1388"/>
        <v>23.07692307692308</v>
      </c>
      <c r="CE180" s="252">
        <f t="shared" si="1271"/>
        <v>0</v>
      </c>
      <c r="CF180" s="309">
        <f t="shared" si="1389"/>
        <v>23.07692307692308</v>
      </c>
      <c r="CG180" s="218">
        <f>IF(CD180&lt;=0,2,0)+IF(CD180&gt;0,CD180+1,0)*2+IF(CD180&gt;12,CD180-12,0)*2+IF(CD180&gt;13,CD180-13,0)*2+IF(CD180&gt;14,CD180-14,0)*2+IF(CD180&gt;15,CD180-15,0)*2+IF(CD180&gt;16,CD180-16,0)*2+IF(CD180&gt;17,CD180-17,0)*2+IF(CD180&gt;18,CD180-18,0)*2+IF(CD180&gt;19,CD180-19,0)*2+IF(CD180&gt;20,CD180-20,0)*2</f>
        <v>175.5384615384616</v>
      </c>
      <c r="CH180" s="242">
        <f>IF(CE180&lt;=0,2,0)+IF(CE180&gt;0,CE180+1,0)*2+IF(CE180&gt;12,CE180-12,0)*2+IF(CE180&gt;13,CE180-13,0)*2+IF(CE180&gt;14,CE180-14,0)*2+IF(CE180&gt;15,CE180-15,0)*2+IF(CE180&gt;16,CE180-16,0)*2+IF(CE180&gt;17,CE180-17,0)*2+IF(CE180&gt;18,CE180-18,0)*2+IF(CE180&gt;19,CE180-19,0)*2+IF(CE180&gt;20,CE180-20,0)*2</f>
        <v>2</v>
      </c>
      <c r="CI180" s="243">
        <f t="shared" si="1390"/>
        <v>173.5384615384616</v>
      </c>
      <c r="CJ180" s="218">
        <f t="shared" si="1391"/>
        <v>0</v>
      </c>
      <c r="CL180" s="303" t="s">
        <v>306</v>
      </c>
      <c r="CM180" s="304" t="s">
        <v>86</v>
      </c>
      <c r="CN180" s="305" t="s">
        <v>132</v>
      </c>
      <c r="CO180" s="317">
        <f>Konvention_1slave-MUslave</f>
        <v>12</v>
      </c>
      <c r="CP180" s="254"/>
      <c r="CQ180" s="254">
        <f>Konvention_1slave-INslave_IN</f>
        <v>11</v>
      </c>
      <c r="CR180" s="254">
        <f t="shared" si="1501"/>
        <v>12</v>
      </c>
      <c r="CS180" s="254"/>
      <c r="CT180" s="254"/>
      <c r="CU180" s="254"/>
      <c r="CV180" s="318"/>
      <c r="CW180" s="223">
        <f t="shared" si="1392"/>
        <v>11.666666666666666</v>
      </c>
      <c r="CX180" s="223">
        <f t="shared" si="1393"/>
        <v>23.333333333333332</v>
      </c>
      <c r="CY180" s="224">
        <f t="shared" si="1394"/>
        <v>35</v>
      </c>
      <c r="CZ180" s="237">
        <f t="shared" si="1353"/>
        <v>2432</v>
      </c>
      <c r="DA180" s="254">
        <f>CO180*CQ180*CHslave+CO180*INslave_IN*CR180+MUslave*CQ180*CR180</f>
        <v>3408</v>
      </c>
      <c r="DB180" s="224">
        <f t="shared" si="1395"/>
        <v>1584</v>
      </c>
      <c r="DC180" s="224">
        <f t="shared" si="1277"/>
        <v>7424</v>
      </c>
      <c r="DD180" s="222">
        <f t="shared" si="1396"/>
        <v>3.8218390804597702</v>
      </c>
      <c r="DE180" s="223">
        <f t="shared" si="1397"/>
        <v>10.711206896551724</v>
      </c>
      <c r="DF180" s="243">
        <f t="shared" si="1398"/>
        <v>7.4676724137931032</v>
      </c>
      <c r="DG180" s="243">
        <f t="shared" si="1399"/>
        <v>22.000718390804597</v>
      </c>
      <c r="DH180" s="252">
        <f t="shared" si="1282"/>
        <v>0</v>
      </c>
      <c r="DI180" s="309">
        <f t="shared" si="1400"/>
        <v>22.000718390804597</v>
      </c>
      <c r="DJ180" s="218">
        <f>IF(DG180&lt;=0,2,0)+IF(DG180&gt;0,DG180+1,0)*2+IF(DG180&gt;12,DG180-12,0)*2+IF(DG180&gt;13,DG180-13,0)*2+IF(DG180&gt;14,DG180-14,0)*2+IF(DG180&gt;15,DG180-15,0)*2+IF(DG180&gt;16,DG180-16,0)*2+IF(DG180&gt;17,DG180-17,0)*2+IF(DG180&gt;18,DG180-18,0)*2+IF(DG180&gt;19,DG180-19,0)*2+IF(DG180&gt;20,DG180-20,0)*2</f>
        <v>154.01436781609189</v>
      </c>
      <c r="DK180" s="242">
        <f>IF(DH180&lt;=0,2,0)+IF(DH180&gt;0,DH180+1,0)*2+IF(DH180&gt;12,DH180-12,0)*2+IF(DH180&gt;13,DH180-13,0)*2+IF(DH180&gt;14,DH180-14,0)*2+IF(DH180&gt;15,DH180-15,0)*2+IF(DH180&gt;16,DH180-16,0)*2+IF(DH180&gt;17,DH180-17,0)*2+IF(DH180&gt;18,DH180-18,0)*2+IF(DH180&gt;19,DH180-19,0)*2+IF(DH180&gt;20,DH180-20,0)*2</f>
        <v>2</v>
      </c>
      <c r="DL180" s="243">
        <f t="shared" si="1401"/>
        <v>152.01436781609189</v>
      </c>
      <c r="DM180" s="218">
        <f t="shared" si="1402"/>
        <v>0</v>
      </c>
      <c r="DO180" s="303" t="s">
        <v>306</v>
      </c>
      <c r="DP180" s="304" t="s">
        <v>86</v>
      </c>
      <c r="DQ180" s="305" t="s">
        <v>132</v>
      </c>
      <c r="DR180" s="317">
        <f>Konvention_1slave-MUslave</f>
        <v>12</v>
      </c>
      <c r="DS180" s="254"/>
      <c r="DT180" s="254">
        <f>Konvention_1slave-INslave</f>
        <v>12</v>
      </c>
      <c r="DU180" s="254">
        <f t="shared" si="1502"/>
        <v>11</v>
      </c>
      <c r="DV180" s="254"/>
      <c r="DW180" s="254"/>
      <c r="DX180" s="254"/>
      <c r="DY180" s="318"/>
      <c r="DZ180" s="223">
        <f t="shared" si="1403"/>
        <v>11.666666666666666</v>
      </c>
      <c r="EA180" s="223">
        <f t="shared" si="1404"/>
        <v>23.333333333333332</v>
      </c>
      <c r="EB180" s="224">
        <f t="shared" si="1405"/>
        <v>35</v>
      </c>
      <c r="EC180" s="237">
        <f t="shared" si="1354"/>
        <v>2432</v>
      </c>
      <c r="ED180" s="254">
        <f>DR180*DT180*CHslave_CH+DR180*INslave*DU180+MUslave*DT180*DU180</f>
        <v>3408</v>
      </c>
      <c r="EE180" s="224">
        <f t="shared" si="1406"/>
        <v>1584</v>
      </c>
      <c r="EF180" s="224">
        <f t="shared" si="1288"/>
        <v>7424</v>
      </c>
      <c r="EG180" s="222">
        <f t="shared" si="1407"/>
        <v>3.8218390804597702</v>
      </c>
      <c r="EH180" s="223">
        <f t="shared" si="1408"/>
        <v>10.711206896551724</v>
      </c>
      <c r="EI180" s="243">
        <f t="shared" si="1409"/>
        <v>7.4676724137931032</v>
      </c>
      <c r="EJ180" s="243">
        <f t="shared" si="1410"/>
        <v>22.000718390804597</v>
      </c>
      <c r="EK180" s="252">
        <f t="shared" si="1293"/>
        <v>0</v>
      </c>
      <c r="EL180" s="309">
        <f t="shared" si="1411"/>
        <v>22.000718390804597</v>
      </c>
      <c r="EM180" s="218">
        <f>IF(EJ180&lt;=0,2,0)+IF(EJ180&gt;0,EJ180+1,0)*2+IF(EJ180&gt;12,EJ180-12,0)*2+IF(EJ180&gt;13,EJ180-13,0)*2+IF(EJ180&gt;14,EJ180-14,0)*2+IF(EJ180&gt;15,EJ180-15,0)*2+IF(EJ180&gt;16,EJ180-16,0)*2+IF(EJ180&gt;17,EJ180-17,0)*2+IF(EJ180&gt;18,EJ180-18,0)*2+IF(EJ180&gt;19,EJ180-19,0)*2+IF(EJ180&gt;20,EJ180-20,0)*2</f>
        <v>154.01436781609189</v>
      </c>
      <c r="EN180" s="242">
        <f>IF(EK180&lt;=0,2,0)+IF(EK180&gt;0,EK180+1,0)*2+IF(EK180&gt;12,EK180-12,0)*2+IF(EK180&gt;13,EK180-13,0)*2+IF(EK180&gt;14,EK180-14,0)*2+IF(EK180&gt;15,EK180-15,0)*2+IF(EK180&gt;16,EK180-16,0)*2+IF(EK180&gt;17,EK180-17,0)*2+IF(EK180&gt;18,EK180-18,0)*2+IF(EK180&gt;19,EK180-19,0)*2+IF(EK180&gt;20,EK180-20,0)*2</f>
        <v>2</v>
      </c>
      <c r="EO180" s="243">
        <f t="shared" si="1412"/>
        <v>152.01436781609189</v>
      </c>
      <c r="EP180" s="218">
        <f t="shared" si="1413"/>
        <v>0</v>
      </c>
      <c r="ER180" s="303" t="s">
        <v>306</v>
      </c>
      <c r="ES180" s="304" t="s">
        <v>86</v>
      </c>
      <c r="ET180" s="305" t="s">
        <v>132</v>
      </c>
      <c r="EU180" s="317">
        <f>Konvention_1slave-MUslave</f>
        <v>12</v>
      </c>
      <c r="EV180" s="254"/>
      <c r="EW180" s="254">
        <f>Konvention_1slave-INslave</f>
        <v>12</v>
      </c>
      <c r="EX180" s="254">
        <f t="shared" si="1503"/>
        <v>12</v>
      </c>
      <c r="EY180" s="254"/>
      <c r="EZ180" s="254"/>
      <c r="FA180" s="254"/>
      <c r="FB180" s="318"/>
      <c r="FC180" s="223">
        <f t="shared" si="1414"/>
        <v>12</v>
      </c>
      <c r="FD180" s="223">
        <f t="shared" si="1415"/>
        <v>24</v>
      </c>
      <c r="FE180" s="224">
        <f t="shared" si="1416"/>
        <v>36</v>
      </c>
      <c r="FF180" s="237">
        <f t="shared" si="1355"/>
        <v>2304</v>
      </c>
      <c r="FG180" s="254">
        <f>EU180*EW180*CHslave+EU180*INslave*EX180+MUslave*EW180*EX180</f>
        <v>3456</v>
      </c>
      <c r="FH180" s="224">
        <f t="shared" si="1417"/>
        <v>1728</v>
      </c>
      <c r="FI180" s="224">
        <f t="shared" si="1299"/>
        <v>7488</v>
      </c>
      <c r="FJ180" s="222">
        <f t="shared" si="1418"/>
        <v>3.6923076923076925</v>
      </c>
      <c r="FK180" s="223">
        <f t="shared" si="1419"/>
        <v>11.076923076923077</v>
      </c>
      <c r="FL180" s="243">
        <f t="shared" si="1420"/>
        <v>8.3076923076923084</v>
      </c>
      <c r="FM180" s="243">
        <f t="shared" si="1421"/>
        <v>23.07692307692308</v>
      </c>
      <c r="FN180" s="252">
        <f t="shared" si="1304"/>
        <v>0</v>
      </c>
      <c r="FO180" s="309">
        <f t="shared" si="1422"/>
        <v>23.07692307692308</v>
      </c>
      <c r="FP180" s="218">
        <f>IF(FM180&lt;=0,2,0)+IF(FM180&gt;0,FM180+1,0)*2+IF(FM180&gt;12,FM180-12,0)*2+IF(FM180&gt;13,FM180-13,0)*2+IF(FM180&gt;14,FM180-14,0)*2+IF(FM180&gt;15,FM180-15,0)*2+IF(FM180&gt;16,FM180-16,0)*2+IF(FM180&gt;17,FM180-17,0)*2+IF(FM180&gt;18,FM180-18,0)*2+IF(FM180&gt;19,FM180-19,0)*2+IF(FM180&gt;20,FM180-20,0)*2</f>
        <v>175.5384615384616</v>
      </c>
      <c r="FQ180" s="242">
        <f>IF(FN180&lt;=0,2,0)+IF(FN180&gt;0,FN180+1,0)*2+IF(FN180&gt;12,FN180-12,0)*2+IF(FN180&gt;13,FN180-13,0)*2+IF(FN180&gt;14,FN180-14,0)*2+IF(FN180&gt;15,FN180-15,0)*2+IF(FN180&gt;16,FN180-16,0)*2+IF(FN180&gt;17,FN180-17,0)*2+IF(FN180&gt;18,FN180-18,0)*2+IF(FN180&gt;19,FN180-19,0)*2+IF(FN180&gt;20,FN180-20,0)*2</f>
        <v>2</v>
      </c>
      <c r="FR180" s="243">
        <f t="shared" si="1423"/>
        <v>173.5384615384616</v>
      </c>
      <c r="FS180" s="218">
        <f t="shared" si="1424"/>
        <v>0</v>
      </c>
      <c r="FU180" s="303" t="s">
        <v>306</v>
      </c>
      <c r="FV180" s="304" t="s">
        <v>86</v>
      </c>
      <c r="FW180" s="305" t="s">
        <v>132</v>
      </c>
      <c r="FX180" s="317">
        <f>Konvention_1slave-MUslave</f>
        <v>12</v>
      </c>
      <c r="FY180" s="254"/>
      <c r="FZ180" s="254">
        <f>Konvention_1slave-INslave</f>
        <v>12</v>
      </c>
      <c r="GA180" s="254">
        <f t="shared" si="1504"/>
        <v>12</v>
      </c>
      <c r="GB180" s="254"/>
      <c r="GC180" s="254"/>
      <c r="GD180" s="254"/>
      <c r="GE180" s="318"/>
      <c r="GF180" s="223">
        <f t="shared" si="1425"/>
        <v>12</v>
      </c>
      <c r="GG180" s="223">
        <f t="shared" si="1426"/>
        <v>24</v>
      </c>
      <c r="GH180" s="224">
        <f t="shared" si="1427"/>
        <v>36</v>
      </c>
      <c r="GI180" s="237">
        <f t="shared" si="1356"/>
        <v>2304</v>
      </c>
      <c r="GJ180" s="254">
        <f>FX180*FZ180*CHslave+FX180*INslave*GA180+MUslave*FZ180*GA180</f>
        <v>3456</v>
      </c>
      <c r="GK180" s="224">
        <f t="shared" si="1428"/>
        <v>1728</v>
      </c>
      <c r="GL180" s="224">
        <f t="shared" si="1310"/>
        <v>7488</v>
      </c>
      <c r="GM180" s="222">
        <f t="shared" si="1429"/>
        <v>3.6923076923076925</v>
      </c>
      <c r="GN180" s="223">
        <f t="shared" si="1430"/>
        <v>11.076923076923077</v>
      </c>
      <c r="GO180" s="243">
        <f t="shared" si="1431"/>
        <v>8.3076923076923084</v>
      </c>
      <c r="GP180" s="243">
        <f t="shared" si="1432"/>
        <v>23.07692307692308</v>
      </c>
      <c r="GQ180" s="252">
        <f t="shared" si="1315"/>
        <v>0</v>
      </c>
      <c r="GR180" s="309">
        <f t="shared" si="1433"/>
        <v>23.07692307692308</v>
      </c>
      <c r="GS180" s="218">
        <f>IF(GP180&lt;=0,2,0)+IF(GP180&gt;0,GP180+1,0)*2+IF(GP180&gt;12,GP180-12,0)*2+IF(GP180&gt;13,GP180-13,0)*2+IF(GP180&gt;14,GP180-14,0)*2+IF(GP180&gt;15,GP180-15,0)*2+IF(GP180&gt;16,GP180-16,0)*2+IF(GP180&gt;17,GP180-17,0)*2+IF(GP180&gt;18,GP180-18,0)*2+IF(GP180&gt;19,GP180-19,0)*2+IF(GP180&gt;20,GP180-20,0)*2</f>
        <v>175.5384615384616</v>
      </c>
      <c r="GT180" s="242">
        <f>IF(GQ180&lt;=0,2,0)+IF(GQ180&gt;0,GQ180+1,0)*2+IF(GQ180&gt;12,GQ180-12,0)*2+IF(GQ180&gt;13,GQ180-13,0)*2+IF(GQ180&gt;14,GQ180-14,0)*2+IF(GQ180&gt;15,GQ180-15,0)*2+IF(GQ180&gt;16,GQ180-16,0)*2+IF(GQ180&gt;17,GQ180-17,0)*2+IF(GQ180&gt;18,GQ180-18,0)*2+IF(GQ180&gt;19,GQ180-19,0)*2+IF(GQ180&gt;20,GQ180-20,0)*2</f>
        <v>2</v>
      </c>
      <c r="GU180" s="243">
        <f t="shared" si="1434"/>
        <v>173.5384615384616</v>
      </c>
      <c r="GV180" s="218">
        <f t="shared" si="1435"/>
        <v>0</v>
      </c>
      <c r="GX180" s="303" t="s">
        <v>306</v>
      </c>
      <c r="GY180" s="304" t="s">
        <v>86</v>
      </c>
      <c r="GZ180" s="305" t="s">
        <v>132</v>
      </c>
      <c r="HA180" s="317">
        <f>Konvention_1slave-MUslave</f>
        <v>12</v>
      </c>
      <c r="HB180" s="254"/>
      <c r="HC180" s="254">
        <f>Konvention_1slave-INslave</f>
        <v>12</v>
      </c>
      <c r="HD180" s="254">
        <f t="shared" si="1505"/>
        <v>12</v>
      </c>
      <c r="HE180" s="254"/>
      <c r="HF180" s="254"/>
      <c r="HG180" s="254"/>
      <c r="HH180" s="318"/>
      <c r="HI180" s="223">
        <f t="shared" si="1436"/>
        <v>12</v>
      </c>
      <c r="HJ180" s="223">
        <f t="shared" si="1437"/>
        <v>24</v>
      </c>
      <c r="HK180" s="224">
        <f t="shared" si="1438"/>
        <v>36</v>
      </c>
      <c r="HL180" s="237">
        <f t="shared" si="1357"/>
        <v>2304</v>
      </c>
      <c r="HM180" s="254">
        <f>HA180*HC180*CHslave+HA180*INslave*HD180+MUslave*HC180*HD180</f>
        <v>3456</v>
      </c>
      <c r="HN180" s="224">
        <f t="shared" si="1439"/>
        <v>1728</v>
      </c>
      <c r="HO180" s="224">
        <f t="shared" si="1321"/>
        <v>7488</v>
      </c>
      <c r="HP180" s="222">
        <f t="shared" si="1440"/>
        <v>3.6923076923076925</v>
      </c>
      <c r="HQ180" s="223">
        <f t="shared" si="1441"/>
        <v>11.076923076923077</v>
      </c>
      <c r="HR180" s="243">
        <f t="shared" si="1442"/>
        <v>8.3076923076923084</v>
      </c>
      <c r="HS180" s="243">
        <f t="shared" si="1443"/>
        <v>23.07692307692308</v>
      </c>
      <c r="HT180" s="252">
        <f t="shared" si="1326"/>
        <v>0</v>
      </c>
      <c r="HU180" s="309">
        <f t="shared" si="1444"/>
        <v>23.07692307692308</v>
      </c>
      <c r="HV180" s="218">
        <f>IF(HS180&lt;=0,2,0)+IF(HS180&gt;0,HS180+1,0)*2+IF(HS180&gt;12,HS180-12,0)*2+IF(HS180&gt;13,HS180-13,0)*2+IF(HS180&gt;14,HS180-14,0)*2+IF(HS180&gt;15,HS180-15,0)*2+IF(HS180&gt;16,HS180-16,0)*2+IF(HS180&gt;17,HS180-17,0)*2+IF(HS180&gt;18,HS180-18,0)*2+IF(HS180&gt;19,HS180-19,0)*2+IF(HS180&gt;20,HS180-20,0)*2</f>
        <v>175.5384615384616</v>
      </c>
      <c r="HW180" s="242">
        <f>IF(HT180&lt;=0,2,0)+IF(HT180&gt;0,HT180+1,0)*2+IF(HT180&gt;12,HT180-12,0)*2+IF(HT180&gt;13,HT180-13,0)*2+IF(HT180&gt;14,HT180-14,0)*2+IF(HT180&gt;15,HT180-15,0)*2+IF(HT180&gt;16,HT180-16,0)*2+IF(HT180&gt;17,HT180-17,0)*2+IF(HT180&gt;18,HT180-18,0)*2+IF(HT180&gt;19,HT180-19,0)*2+IF(HT180&gt;20,HT180-20,0)*2</f>
        <v>2</v>
      </c>
      <c r="HX180" s="243">
        <f t="shared" si="1445"/>
        <v>173.5384615384616</v>
      </c>
      <c r="HY180" s="218">
        <f t="shared" si="1446"/>
        <v>0</v>
      </c>
      <c r="IA180" s="303" t="s">
        <v>306</v>
      </c>
      <c r="IB180" s="304" t="s">
        <v>86</v>
      </c>
      <c r="IC180" s="305" t="s">
        <v>132</v>
      </c>
      <c r="ID180" s="317">
        <f>Konvention_1slave-MUslave</f>
        <v>12</v>
      </c>
      <c r="IE180" s="254"/>
      <c r="IF180" s="254">
        <f>Konvention_1slave-INslave</f>
        <v>12</v>
      </c>
      <c r="IG180" s="254">
        <f t="shared" si="1506"/>
        <v>12</v>
      </c>
      <c r="IH180" s="254"/>
      <c r="II180" s="254"/>
      <c r="IJ180" s="254"/>
      <c r="IK180" s="318"/>
      <c r="IL180" s="223">
        <f t="shared" si="1447"/>
        <v>12</v>
      </c>
      <c r="IM180" s="223">
        <f t="shared" si="1448"/>
        <v>24</v>
      </c>
      <c r="IN180" s="224">
        <f t="shared" si="1449"/>
        <v>36</v>
      </c>
      <c r="IO180" s="237">
        <f t="shared" si="1358"/>
        <v>2304</v>
      </c>
      <c r="IP180" s="254">
        <f>ID180*IF180*CHslave+ID180*INslave*IG180+MUslave*IF180*IG180</f>
        <v>3456</v>
      </c>
      <c r="IQ180" s="224">
        <f t="shared" si="1450"/>
        <v>1728</v>
      </c>
      <c r="IR180" s="224">
        <f t="shared" si="1332"/>
        <v>7488</v>
      </c>
      <c r="IS180" s="222">
        <f t="shared" si="1451"/>
        <v>3.6923076923076925</v>
      </c>
      <c r="IT180" s="223">
        <f t="shared" si="1452"/>
        <v>11.076923076923077</v>
      </c>
      <c r="IU180" s="243">
        <f t="shared" si="1453"/>
        <v>8.3076923076923084</v>
      </c>
      <c r="IV180" s="243">
        <f t="shared" si="1454"/>
        <v>23.07692307692308</v>
      </c>
      <c r="IW180" s="252">
        <f t="shared" si="1337"/>
        <v>0</v>
      </c>
      <c r="IX180" s="309">
        <f t="shared" si="1455"/>
        <v>23.07692307692308</v>
      </c>
      <c r="IY180" s="218">
        <f>IF(IV180&lt;=0,2,0)+IF(IV180&gt;0,IV180+1,0)*2+IF(IV180&gt;12,IV180-12,0)*2+IF(IV180&gt;13,IV180-13,0)*2+IF(IV180&gt;14,IV180-14,0)*2+IF(IV180&gt;15,IV180-15,0)*2+IF(IV180&gt;16,IV180-16,0)*2+IF(IV180&gt;17,IV180-17,0)*2+IF(IV180&gt;18,IV180-18,0)*2+IF(IV180&gt;19,IV180-19,0)*2+IF(IV180&gt;20,IV180-20,0)*2</f>
        <v>175.5384615384616</v>
      </c>
      <c r="IZ180" s="242">
        <f>IF(IW180&lt;=0,2,0)+IF(IW180&gt;0,IW180+1,0)*2+IF(IW180&gt;12,IW180-12,0)*2+IF(IW180&gt;13,IW180-13,0)*2+IF(IW180&gt;14,IW180-14,0)*2+IF(IW180&gt;15,IW180-15,0)*2+IF(IW180&gt;16,IW180-16,0)*2+IF(IW180&gt;17,IW180-17,0)*2+IF(IW180&gt;18,IW180-18,0)*2+IF(IW180&gt;19,IW180-19,0)*2+IF(IW180&gt;20,IW180-20,0)*2</f>
        <v>2</v>
      </c>
      <c r="JA180" s="243">
        <f t="shared" si="1456"/>
        <v>173.5384615384616</v>
      </c>
      <c r="JB180" s="218">
        <f t="shared" si="1457"/>
        <v>0</v>
      </c>
      <c r="JE180" s="148"/>
    </row>
    <row r="181" spans="2:265" ht="15" hidden="1" customHeight="1" outlineLevel="2">
      <c r="B181" s="148">
        <v>29</v>
      </c>
      <c r="C181" s="303" t="e">
        <f>VLOOKUP(AF181,Attribute!C:T,1,FALSE)</f>
        <v>#N/A</v>
      </c>
      <c r="D181" s="86" t="s">
        <v>86</v>
      </c>
      <c r="E181" s="167" t="s">
        <v>132</v>
      </c>
      <c r="F181" s="120">
        <f t="shared" si="1488"/>
        <v>12</v>
      </c>
      <c r="G181" s="117"/>
      <c r="H181" s="117">
        <f>Konvention_1master-INmaster</f>
        <v>12</v>
      </c>
      <c r="I181" s="117">
        <f t="shared" si="1498"/>
        <v>12</v>
      </c>
      <c r="J181" s="117"/>
      <c r="K181" s="117"/>
      <c r="L181" s="117"/>
      <c r="M181" s="121"/>
      <c r="N181" s="223">
        <f t="shared" si="1359"/>
        <v>12</v>
      </c>
      <c r="O181" s="223">
        <f t="shared" si="1360"/>
        <v>24</v>
      </c>
      <c r="P181" s="224">
        <f t="shared" si="1361"/>
        <v>36</v>
      </c>
      <c r="Q181" s="237">
        <f t="shared" si="1350"/>
        <v>2304</v>
      </c>
      <c r="R181" s="117">
        <f>F181*H181*CHmaster+F181*INmaster*I181+MUmaster*H181*I181</f>
        <v>3456</v>
      </c>
      <c r="S181" s="224">
        <f t="shared" si="1362"/>
        <v>1728</v>
      </c>
      <c r="T181" s="224">
        <f t="shared" si="1485"/>
        <v>7488</v>
      </c>
      <c r="U181" s="222">
        <f t="shared" si="1363"/>
        <v>3.6923076923076925</v>
      </c>
      <c r="V181" s="223">
        <f t="shared" si="1364"/>
        <v>11.076923076923077</v>
      </c>
      <c r="W181" s="243">
        <f t="shared" si="1365"/>
        <v>8.3076923076923084</v>
      </c>
      <c r="X181" s="243">
        <f t="shared" si="1366"/>
        <v>23.07692307692308</v>
      </c>
      <c r="Y181" s="252">
        <v>0</v>
      </c>
      <c r="Z181" s="198">
        <f t="shared" si="1367"/>
        <v>23.07692307692308</v>
      </c>
      <c r="AA181" s="125">
        <f>IF(X181&lt;=0,2,0)+IF(X181&gt;0,X181+1,0)*2+IF(X181&gt;12,X181-12,0)*2+IF(X181&gt;13,X181-13,0)*2+IF(X181&gt;14,X181-14,0)*2+IF(X181&gt;15,X181-15,0)*2+IF(X181&gt;16,X181-16,0)*2+IF(X181&gt;17,X181-17,0)*2+IF(X181&gt;18,X181-18,0)*2+IF(X181&gt;19,X181-19,0)*2+IF(X181&gt;20,X181-20,0)*2</f>
        <v>175.5384615384616</v>
      </c>
      <c r="AB181" s="160">
        <f>IF(Y181&lt;=0,2,0)+IF(Y181&gt;0,Y181+1,0)*2+IF(Y181&gt;12,Y181-12,0)*2+IF(Y181&gt;13,Y181-13,0)*2+IF(Y181&gt;14,Y181-14,0)*2+IF(Y181&gt;15,Y181-15,0)*2+IF(Y181&gt;16,Y181-16,0)*2+IF(Y181&gt;17,Y181-17,0)*2+IF(Y181&gt;18,Y181-18,0)*2+IF(Y181&gt;19,Y181-19,0)*2+IF(Y181&gt;20,Y181-20,0)*2</f>
        <v>2</v>
      </c>
      <c r="AC181" s="127">
        <f t="shared" si="1368"/>
        <v>173.5384615384616</v>
      </c>
      <c r="AD181" s="125">
        <f t="shared" si="1369"/>
        <v>0</v>
      </c>
      <c r="AF181" s="163" t="s">
        <v>200</v>
      </c>
      <c r="AG181" s="86" t="s">
        <v>86</v>
      </c>
      <c r="AH181" s="167" t="s">
        <v>132</v>
      </c>
      <c r="AI181" s="120">
        <f>Konvention_1slave-MUslave_MU</f>
        <v>11</v>
      </c>
      <c r="AJ181" s="117"/>
      <c r="AK181" s="117">
        <f>Konvention_1slave-INslave</f>
        <v>12</v>
      </c>
      <c r="AL181" s="117">
        <f t="shared" si="1499"/>
        <v>12</v>
      </c>
      <c r="AM181" s="117"/>
      <c r="AN181" s="117"/>
      <c r="AO181" s="117"/>
      <c r="AP181" s="121"/>
      <c r="AQ181" s="47">
        <f t="shared" si="1370"/>
        <v>11.666666666666666</v>
      </c>
      <c r="AR181" s="3">
        <f t="shared" si="1371"/>
        <v>23.333333333333332</v>
      </c>
      <c r="AS181" s="174">
        <f t="shared" si="1372"/>
        <v>35</v>
      </c>
      <c r="AT181" s="114">
        <f t="shared" si="1351"/>
        <v>2432</v>
      </c>
      <c r="AU181" s="117">
        <f>AI181*AK181*CHslave+AI181*INslave*AL181+MUslave_MU*AK181*AL181</f>
        <v>3408</v>
      </c>
      <c r="AV181" s="119">
        <f t="shared" si="1373"/>
        <v>1584</v>
      </c>
      <c r="AW181" s="119">
        <f t="shared" si="1255"/>
        <v>7424</v>
      </c>
      <c r="AX181" s="89">
        <f t="shared" si="1374"/>
        <v>3.8218390804597702</v>
      </c>
      <c r="AY181" s="47">
        <f t="shared" si="1375"/>
        <v>10.711206896551724</v>
      </c>
      <c r="AZ181" s="127">
        <f t="shared" si="1376"/>
        <v>7.4676724137931032</v>
      </c>
      <c r="BA181" s="127">
        <f t="shared" si="1377"/>
        <v>22.000718390804597</v>
      </c>
      <c r="BB181" s="165">
        <f t="shared" si="1260"/>
        <v>0</v>
      </c>
      <c r="BC181" s="198">
        <f t="shared" si="1378"/>
        <v>22.000718390804597</v>
      </c>
      <c r="BD181" s="125">
        <f>IF(BA181&lt;=0,2,0)+IF(BA181&gt;0,BA181+1,0)*2+IF(BA181&gt;12,BA181-12,0)*2+IF(BA181&gt;13,BA181-13,0)*2+IF(BA181&gt;14,BA181-14,0)*2+IF(BA181&gt;15,BA181-15,0)*2+IF(BA181&gt;16,BA181-16,0)*2+IF(BA181&gt;17,BA181-17,0)*2+IF(BA181&gt;18,BA181-18,0)*2+IF(BA181&gt;19,BA181-19,0)*2+IF(BA181&gt;20,BA181-20,0)*2</f>
        <v>154.01436781609189</v>
      </c>
      <c r="BE181" s="160">
        <f>IF(BB181&lt;=0,2,0)+IF(BB181&gt;0,BB181+1,0)*2+IF(BB181&gt;12,BB181-12,0)*2+IF(BB181&gt;13,BB181-13,0)*2+IF(BB181&gt;14,BB181-14,0)*2+IF(BB181&gt;15,BB181-15,0)*2+IF(BB181&gt;16,BB181-16,0)*2+IF(BB181&gt;17,BB181-17,0)*2+IF(BB181&gt;18,BB181-18,0)*2+IF(BB181&gt;19,BB181-19,0)*2+IF(BB181&gt;20,BB181-20,0)*2</f>
        <v>2</v>
      </c>
      <c r="BF181" s="243">
        <f t="shared" si="1379"/>
        <v>152.01436781609189</v>
      </c>
      <c r="BG181" s="218">
        <f t="shared" si="1380"/>
        <v>0</v>
      </c>
      <c r="BI181" s="303" t="s">
        <v>200</v>
      </c>
      <c r="BJ181" s="304" t="s">
        <v>86</v>
      </c>
      <c r="BK181" s="305" t="s">
        <v>132</v>
      </c>
      <c r="BL181" s="317">
        <f>Konvention_1slave-MUslave</f>
        <v>12</v>
      </c>
      <c r="BM181" s="254"/>
      <c r="BN181" s="254">
        <f>Konvention_1slave-INslave</f>
        <v>12</v>
      </c>
      <c r="BO181" s="254">
        <f t="shared" si="1500"/>
        <v>12</v>
      </c>
      <c r="BP181" s="254"/>
      <c r="BQ181" s="254"/>
      <c r="BR181" s="254"/>
      <c r="BS181" s="318"/>
      <c r="BT181" s="223">
        <f t="shared" si="1381"/>
        <v>12</v>
      </c>
      <c r="BU181" s="223">
        <f t="shared" si="1382"/>
        <v>24</v>
      </c>
      <c r="BV181" s="224">
        <f t="shared" si="1383"/>
        <v>36</v>
      </c>
      <c r="BW181" s="237">
        <f t="shared" si="1352"/>
        <v>2304</v>
      </c>
      <c r="BX181" s="254">
        <f>BL181*BN181*CHslave+BL181*INslave*BO181+MUslave*BN181*BO181</f>
        <v>3456</v>
      </c>
      <c r="BY181" s="224">
        <f t="shared" si="1384"/>
        <v>1728</v>
      </c>
      <c r="BZ181" s="224">
        <f t="shared" si="1266"/>
        <v>7488</v>
      </c>
      <c r="CA181" s="222">
        <f t="shared" si="1385"/>
        <v>3.6923076923076925</v>
      </c>
      <c r="CB181" s="223">
        <f t="shared" si="1386"/>
        <v>11.076923076923077</v>
      </c>
      <c r="CC181" s="243">
        <f t="shared" si="1387"/>
        <v>8.3076923076923084</v>
      </c>
      <c r="CD181" s="243">
        <f t="shared" si="1388"/>
        <v>23.07692307692308</v>
      </c>
      <c r="CE181" s="252">
        <f t="shared" si="1271"/>
        <v>0</v>
      </c>
      <c r="CF181" s="309">
        <f t="shared" si="1389"/>
        <v>23.07692307692308</v>
      </c>
      <c r="CG181" s="218">
        <f>IF(CD181&lt;=0,2,0)+IF(CD181&gt;0,CD181+1,0)*2+IF(CD181&gt;12,CD181-12,0)*2+IF(CD181&gt;13,CD181-13,0)*2+IF(CD181&gt;14,CD181-14,0)*2+IF(CD181&gt;15,CD181-15,0)*2+IF(CD181&gt;16,CD181-16,0)*2+IF(CD181&gt;17,CD181-17,0)*2+IF(CD181&gt;18,CD181-18,0)*2+IF(CD181&gt;19,CD181-19,0)*2+IF(CD181&gt;20,CD181-20,0)*2</f>
        <v>175.5384615384616</v>
      </c>
      <c r="CH181" s="242">
        <f>IF(CE181&lt;=0,2,0)+IF(CE181&gt;0,CE181+1,0)*2+IF(CE181&gt;12,CE181-12,0)*2+IF(CE181&gt;13,CE181-13,0)*2+IF(CE181&gt;14,CE181-14,0)*2+IF(CE181&gt;15,CE181-15,0)*2+IF(CE181&gt;16,CE181-16,0)*2+IF(CE181&gt;17,CE181-17,0)*2+IF(CE181&gt;18,CE181-18,0)*2+IF(CE181&gt;19,CE181-19,0)*2+IF(CE181&gt;20,CE181-20,0)*2</f>
        <v>2</v>
      </c>
      <c r="CI181" s="243">
        <f t="shared" si="1390"/>
        <v>173.5384615384616</v>
      </c>
      <c r="CJ181" s="218">
        <f t="shared" si="1391"/>
        <v>0</v>
      </c>
      <c r="CL181" s="303" t="s">
        <v>200</v>
      </c>
      <c r="CM181" s="304" t="s">
        <v>86</v>
      </c>
      <c r="CN181" s="305" t="s">
        <v>132</v>
      </c>
      <c r="CO181" s="317">
        <f>Konvention_1slave-MUslave</f>
        <v>12</v>
      </c>
      <c r="CP181" s="254"/>
      <c r="CQ181" s="254">
        <f>Konvention_1slave-INslave_IN</f>
        <v>11</v>
      </c>
      <c r="CR181" s="254">
        <f t="shared" si="1501"/>
        <v>12</v>
      </c>
      <c r="CS181" s="254"/>
      <c r="CT181" s="254"/>
      <c r="CU181" s="254"/>
      <c r="CV181" s="318"/>
      <c r="CW181" s="223">
        <f t="shared" si="1392"/>
        <v>11.666666666666666</v>
      </c>
      <c r="CX181" s="223">
        <f t="shared" si="1393"/>
        <v>23.333333333333332</v>
      </c>
      <c r="CY181" s="224">
        <f t="shared" si="1394"/>
        <v>35</v>
      </c>
      <c r="CZ181" s="237">
        <f t="shared" si="1353"/>
        <v>2432</v>
      </c>
      <c r="DA181" s="254">
        <f>CO181*CQ181*CHslave+CO181*INslave_IN*CR181+MUslave*CQ181*CR181</f>
        <v>3408</v>
      </c>
      <c r="DB181" s="224">
        <f t="shared" si="1395"/>
        <v>1584</v>
      </c>
      <c r="DC181" s="224">
        <f t="shared" si="1277"/>
        <v>7424</v>
      </c>
      <c r="DD181" s="222">
        <f t="shared" si="1396"/>
        <v>3.8218390804597702</v>
      </c>
      <c r="DE181" s="223">
        <f t="shared" si="1397"/>
        <v>10.711206896551724</v>
      </c>
      <c r="DF181" s="243">
        <f t="shared" si="1398"/>
        <v>7.4676724137931032</v>
      </c>
      <c r="DG181" s="243">
        <f t="shared" si="1399"/>
        <v>22.000718390804597</v>
      </c>
      <c r="DH181" s="252">
        <f t="shared" si="1282"/>
        <v>0</v>
      </c>
      <c r="DI181" s="309">
        <f t="shared" si="1400"/>
        <v>22.000718390804597</v>
      </c>
      <c r="DJ181" s="218">
        <f>IF(DG181&lt;=0,2,0)+IF(DG181&gt;0,DG181+1,0)*2+IF(DG181&gt;12,DG181-12,0)*2+IF(DG181&gt;13,DG181-13,0)*2+IF(DG181&gt;14,DG181-14,0)*2+IF(DG181&gt;15,DG181-15,0)*2+IF(DG181&gt;16,DG181-16,0)*2+IF(DG181&gt;17,DG181-17,0)*2+IF(DG181&gt;18,DG181-18,0)*2+IF(DG181&gt;19,DG181-19,0)*2+IF(DG181&gt;20,DG181-20,0)*2</f>
        <v>154.01436781609189</v>
      </c>
      <c r="DK181" s="242">
        <f>IF(DH181&lt;=0,2,0)+IF(DH181&gt;0,DH181+1,0)*2+IF(DH181&gt;12,DH181-12,0)*2+IF(DH181&gt;13,DH181-13,0)*2+IF(DH181&gt;14,DH181-14,0)*2+IF(DH181&gt;15,DH181-15,0)*2+IF(DH181&gt;16,DH181-16,0)*2+IF(DH181&gt;17,DH181-17,0)*2+IF(DH181&gt;18,DH181-18,0)*2+IF(DH181&gt;19,DH181-19,0)*2+IF(DH181&gt;20,DH181-20,0)*2</f>
        <v>2</v>
      </c>
      <c r="DL181" s="243">
        <f t="shared" si="1401"/>
        <v>152.01436781609189</v>
      </c>
      <c r="DM181" s="218">
        <f t="shared" si="1402"/>
        <v>0</v>
      </c>
      <c r="DO181" s="303" t="s">
        <v>200</v>
      </c>
      <c r="DP181" s="304" t="s">
        <v>86</v>
      </c>
      <c r="DQ181" s="305" t="s">
        <v>132</v>
      </c>
      <c r="DR181" s="317">
        <f>Konvention_1slave-MUslave</f>
        <v>12</v>
      </c>
      <c r="DS181" s="254"/>
      <c r="DT181" s="254">
        <f>Konvention_1slave-INslave</f>
        <v>12</v>
      </c>
      <c r="DU181" s="254">
        <f t="shared" si="1502"/>
        <v>11</v>
      </c>
      <c r="DV181" s="254"/>
      <c r="DW181" s="254"/>
      <c r="DX181" s="254"/>
      <c r="DY181" s="318"/>
      <c r="DZ181" s="223">
        <f t="shared" si="1403"/>
        <v>11.666666666666666</v>
      </c>
      <c r="EA181" s="223">
        <f t="shared" si="1404"/>
        <v>23.333333333333332</v>
      </c>
      <c r="EB181" s="224">
        <f t="shared" si="1405"/>
        <v>35</v>
      </c>
      <c r="EC181" s="237">
        <f t="shared" si="1354"/>
        <v>2432</v>
      </c>
      <c r="ED181" s="254">
        <f>DR181*DT181*CHslave_CH+DR181*INslave*DU181+MUslave*DT181*DU181</f>
        <v>3408</v>
      </c>
      <c r="EE181" s="224">
        <f t="shared" si="1406"/>
        <v>1584</v>
      </c>
      <c r="EF181" s="224">
        <f t="shared" si="1288"/>
        <v>7424</v>
      </c>
      <c r="EG181" s="222">
        <f t="shared" si="1407"/>
        <v>3.8218390804597702</v>
      </c>
      <c r="EH181" s="223">
        <f t="shared" si="1408"/>
        <v>10.711206896551724</v>
      </c>
      <c r="EI181" s="243">
        <f t="shared" si="1409"/>
        <v>7.4676724137931032</v>
      </c>
      <c r="EJ181" s="243">
        <f t="shared" si="1410"/>
        <v>22.000718390804597</v>
      </c>
      <c r="EK181" s="252">
        <f t="shared" si="1293"/>
        <v>0</v>
      </c>
      <c r="EL181" s="309">
        <f t="shared" si="1411"/>
        <v>22.000718390804597</v>
      </c>
      <c r="EM181" s="218">
        <f>IF(EJ181&lt;=0,2,0)+IF(EJ181&gt;0,EJ181+1,0)*2+IF(EJ181&gt;12,EJ181-12,0)*2+IF(EJ181&gt;13,EJ181-13,0)*2+IF(EJ181&gt;14,EJ181-14,0)*2+IF(EJ181&gt;15,EJ181-15,0)*2+IF(EJ181&gt;16,EJ181-16,0)*2+IF(EJ181&gt;17,EJ181-17,0)*2+IF(EJ181&gt;18,EJ181-18,0)*2+IF(EJ181&gt;19,EJ181-19,0)*2+IF(EJ181&gt;20,EJ181-20,0)*2</f>
        <v>154.01436781609189</v>
      </c>
      <c r="EN181" s="242">
        <f>IF(EK181&lt;=0,2,0)+IF(EK181&gt;0,EK181+1,0)*2+IF(EK181&gt;12,EK181-12,0)*2+IF(EK181&gt;13,EK181-13,0)*2+IF(EK181&gt;14,EK181-14,0)*2+IF(EK181&gt;15,EK181-15,0)*2+IF(EK181&gt;16,EK181-16,0)*2+IF(EK181&gt;17,EK181-17,0)*2+IF(EK181&gt;18,EK181-18,0)*2+IF(EK181&gt;19,EK181-19,0)*2+IF(EK181&gt;20,EK181-20,0)*2</f>
        <v>2</v>
      </c>
      <c r="EO181" s="243">
        <f t="shared" si="1412"/>
        <v>152.01436781609189</v>
      </c>
      <c r="EP181" s="218">
        <f t="shared" si="1413"/>
        <v>0</v>
      </c>
      <c r="ER181" s="303" t="s">
        <v>200</v>
      </c>
      <c r="ES181" s="304" t="s">
        <v>86</v>
      </c>
      <c r="ET181" s="305" t="s">
        <v>132</v>
      </c>
      <c r="EU181" s="317">
        <f>Konvention_1slave-MUslave</f>
        <v>12</v>
      </c>
      <c r="EV181" s="254"/>
      <c r="EW181" s="254">
        <f>Konvention_1slave-INslave</f>
        <v>12</v>
      </c>
      <c r="EX181" s="254">
        <f t="shared" si="1503"/>
        <v>12</v>
      </c>
      <c r="EY181" s="254"/>
      <c r="EZ181" s="254"/>
      <c r="FA181" s="254"/>
      <c r="FB181" s="318"/>
      <c r="FC181" s="223">
        <f t="shared" si="1414"/>
        <v>12</v>
      </c>
      <c r="FD181" s="223">
        <f t="shared" si="1415"/>
        <v>24</v>
      </c>
      <c r="FE181" s="224">
        <f t="shared" si="1416"/>
        <v>36</v>
      </c>
      <c r="FF181" s="237">
        <f t="shared" si="1355"/>
        <v>2304</v>
      </c>
      <c r="FG181" s="254">
        <f>EU181*EW181*CHslave+EU181*INslave*EX181+MUslave*EW181*EX181</f>
        <v>3456</v>
      </c>
      <c r="FH181" s="224">
        <f t="shared" si="1417"/>
        <v>1728</v>
      </c>
      <c r="FI181" s="224">
        <f t="shared" si="1299"/>
        <v>7488</v>
      </c>
      <c r="FJ181" s="222">
        <f t="shared" si="1418"/>
        <v>3.6923076923076925</v>
      </c>
      <c r="FK181" s="223">
        <f t="shared" si="1419"/>
        <v>11.076923076923077</v>
      </c>
      <c r="FL181" s="243">
        <f t="shared" si="1420"/>
        <v>8.3076923076923084</v>
      </c>
      <c r="FM181" s="243">
        <f t="shared" si="1421"/>
        <v>23.07692307692308</v>
      </c>
      <c r="FN181" s="252">
        <f t="shared" si="1304"/>
        <v>0</v>
      </c>
      <c r="FO181" s="309">
        <f t="shared" si="1422"/>
        <v>23.07692307692308</v>
      </c>
      <c r="FP181" s="218">
        <f>IF(FM181&lt;=0,2,0)+IF(FM181&gt;0,FM181+1,0)*2+IF(FM181&gt;12,FM181-12,0)*2+IF(FM181&gt;13,FM181-13,0)*2+IF(FM181&gt;14,FM181-14,0)*2+IF(FM181&gt;15,FM181-15,0)*2+IF(FM181&gt;16,FM181-16,0)*2+IF(FM181&gt;17,FM181-17,0)*2+IF(FM181&gt;18,FM181-18,0)*2+IF(FM181&gt;19,FM181-19,0)*2+IF(FM181&gt;20,FM181-20,0)*2</f>
        <v>175.5384615384616</v>
      </c>
      <c r="FQ181" s="242">
        <f>IF(FN181&lt;=0,2,0)+IF(FN181&gt;0,FN181+1,0)*2+IF(FN181&gt;12,FN181-12,0)*2+IF(FN181&gt;13,FN181-13,0)*2+IF(FN181&gt;14,FN181-14,0)*2+IF(FN181&gt;15,FN181-15,0)*2+IF(FN181&gt;16,FN181-16,0)*2+IF(FN181&gt;17,FN181-17,0)*2+IF(FN181&gt;18,FN181-18,0)*2+IF(FN181&gt;19,FN181-19,0)*2+IF(FN181&gt;20,FN181-20,0)*2</f>
        <v>2</v>
      </c>
      <c r="FR181" s="243">
        <f t="shared" si="1423"/>
        <v>173.5384615384616</v>
      </c>
      <c r="FS181" s="218">
        <f t="shared" si="1424"/>
        <v>0</v>
      </c>
      <c r="FU181" s="303" t="s">
        <v>200</v>
      </c>
      <c r="FV181" s="304" t="s">
        <v>86</v>
      </c>
      <c r="FW181" s="305" t="s">
        <v>132</v>
      </c>
      <c r="FX181" s="317">
        <f>Konvention_1slave-MUslave</f>
        <v>12</v>
      </c>
      <c r="FY181" s="254"/>
      <c r="FZ181" s="254">
        <f>Konvention_1slave-INslave</f>
        <v>12</v>
      </c>
      <c r="GA181" s="254">
        <f t="shared" si="1504"/>
        <v>12</v>
      </c>
      <c r="GB181" s="254"/>
      <c r="GC181" s="254"/>
      <c r="GD181" s="254"/>
      <c r="GE181" s="318"/>
      <c r="GF181" s="223">
        <f t="shared" si="1425"/>
        <v>12</v>
      </c>
      <c r="GG181" s="223">
        <f t="shared" si="1426"/>
        <v>24</v>
      </c>
      <c r="GH181" s="224">
        <f t="shared" si="1427"/>
        <v>36</v>
      </c>
      <c r="GI181" s="237">
        <f t="shared" si="1356"/>
        <v>2304</v>
      </c>
      <c r="GJ181" s="254">
        <f>FX181*FZ181*CHslave+FX181*INslave*GA181+MUslave*FZ181*GA181</f>
        <v>3456</v>
      </c>
      <c r="GK181" s="224">
        <f t="shared" si="1428"/>
        <v>1728</v>
      </c>
      <c r="GL181" s="224">
        <f t="shared" si="1310"/>
        <v>7488</v>
      </c>
      <c r="GM181" s="222">
        <f t="shared" si="1429"/>
        <v>3.6923076923076925</v>
      </c>
      <c r="GN181" s="223">
        <f t="shared" si="1430"/>
        <v>11.076923076923077</v>
      </c>
      <c r="GO181" s="243">
        <f t="shared" si="1431"/>
        <v>8.3076923076923084</v>
      </c>
      <c r="GP181" s="243">
        <f t="shared" si="1432"/>
        <v>23.07692307692308</v>
      </c>
      <c r="GQ181" s="252">
        <f t="shared" si="1315"/>
        <v>0</v>
      </c>
      <c r="GR181" s="309">
        <f t="shared" si="1433"/>
        <v>23.07692307692308</v>
      </c>
      <c r="GS181" s="218">
        <f>IF(GP181&lt;=0,2,0)+IF(GP181&gt;0,GP181+1,0)*2+IF(GP181&gt;12,GP181-12,0)*2+IF(GP181&gt;13,GP181-13,0)*2+IF(GP181&gt;14,GP181-14,0)*2+IF(GP181&gt;15,GP181-15,0)*2+IF(GP181&gt;16,GP181-16,0)*2+IF(GP181&gt;17,GP181-17,0)*2+IF(GP181&gt;18,GP181-18,0)*2+IF(GP181&gt;19,GP181-19,0)*2+IF(GP181&gt;20,GP181-20,0)*2</f>
        <v>175.5384615384616</v>
      </c>
      <c r="GT181" s="242">
        <f>IF(GQ181&lt;=0,2,0)+IF(GQ181&gt;0,GQ181+1,0)*2+IF(GQ181&gt;12,GQ181-12,0)*2+IF(GQ181&gt;13,GQ181-13,0)*2+IF(GQ181&gt;14,GQ181-14,0)*2+IF(GQ181&gt;15,GQ181-15,0)*2+IF(GQ181&gt;16,GQ181-16,0)*2+IF(GQ181&gt;17,GQ181-17,0)*2+IF(GQ181&gt;18,GQ181-18,0)*2+IF(GQ181&gt;19,GQ181-19,0)*2+IF(GQ181&gt;20,GQ181-20,0)*2</f>
        <v>2</v>
      </c>
      <c r="GU181" s="243">
        <f t="shared" si="1434"/>
        <v>173.5384615384616</v>
      </c>
      <c r="GV181" s="218">
        <f t="shared" si="1435"/>
        <v>0</v>
      </c>
      <c r="GX181" s="303" t="s">
        <v>200</v>
      </c>
      <c r="GY181" s="304" t="s">
        <v>86</v>
      </c>
      <c r="GZ181" s="305" t="s">
        <v>132</v>
      </c>
      <c r="HA181" s="317">
        <f>Konvention_1slave-MUslave</f>
        <v>12</v>
      </c>
      <c r="HB181" s="254"/>
      <c r="HC181" s="254">
        <f>Konvention_1slave-INslave</f>
        <v>12</v>
      </c>
      <c r="HD181" s="254">
        <f t="shared" si="1505"/>
        <v>12</v>
      </c>
      <c r="HE181" s="254"/>
      <c r="HF181" s="254"/>
      <c r="HG181" s="254"/>
      <c r="HH181" s="318"/>
      <c r="HI181" s="223">
        <f t="shared" si="1436"/>
        <v>12</v>
      </c>
      <c r="HJ181" s="223">
        <f t="shared" si="1437"/>
        <v>24</v>
      </c>
      <c r="HK181" s="224">
        <f t="shared" si="1438"/>
        <v>36</v>
      </c>
      <c r="HL181" s="237">
        <f t="shared" si="1357"/>
        <v>2304</v>
      </c>
      <c r="HM181" s="254">
        <f>HA181*HC181*CHslave+HA181*INslave*HD181+MUslave*HC181*HD181</f>
        <v>3456</v>
      </c>
      <c r="HN181" s="224">
        <f t="shared" si="1439"/>
        <v>1728</v>
      </c>
      <c r="HO181" s="224">
        <f t="shared" si="1321"/>
        <v>7488</v>
      </c>
      <c r="HP181" s="222">
        <f t="shared" si="1440"/>
        <v>3.6923076923076925</v>
      </c>
      <c r="HQ181" s="223">
        <f t="shared" si="1441"/>
        <v>11.076923076923077</v>
      </c>
      <c r="HR181" s="243">
        <f t="shared" si="1442"/>
        <v>8.3076923076923084</v>
      </c>
      <c r="HS181" s="243">
        <f t="shared" si="1443"/>
        <v>23.07692307692308</v>
      </c>
      <c r="HT181" s="252">
        <f t="shared" si="1326"/>
        <v>0</v>
      </c>
      <c r="HU181" s="309">
        <f t="shared" si="1444"/>
        <v>23.07692307692308</v>
      </c>
      <c r="HV181" s="218">
        <f>IF(HS181&lt;=0,2,0)+IF(HS181&gt;0,HS181+1,0)*2+IF(HS181&gt;12,HS181-12,0)*2+IF(HS181&gt;13,HS181-13,0)*2+IF(HS181&gt;14,HS181-14,0)*2+IF(HS181&gt;15,HS181-15,0)*2+IF(HS181&gt;16,HS181-16,0)*2+IF(HS181&gt;17,HS181-17,0)*2+IF(HS181&gt;18,HS181-18,0)*2+IF(HS181&gt;19,HS181-19,0)*2+IF(HS181&gt;20,HS181-20,0)*2</f>
        <v>175.5384615384616</v>
      </c>
      <c r="HW181" s="242">
        <f>IF(HT181&lt;=0,2,0)+IF(HT181&gt;0,HT181+1,0)*2+IF(HT181&gt;12,HT181-12,0)*2+IF(HT181&gt;13,HT181-13,0)*2+IF(HT181&gt;14,HT181-14,0)*2+IF(HT181&gt;15,HT181-15,0)*2+IF(HT181&gt;16,HT181-16,0)*2+IF(HT181&gt;17,HT181-17,0)*2+IF(HT181&gt;18,HT181-18,0)*2+IF(HT181&gt;19,HT181-19,0)*2+IF(HT181&gt;20,HT181-20,0)*2</f>
        <v>2</v>
      </c>
      <c r="HX181" s="243">
        <f t="shared" si="1445"/>
        <v>173.5384615384616</v>
      </c>
      <c r="HY181" s="218">
        <f t="shared" si="1446"/>
        <v>0</v>
      </c>
      <c r="IA181" s="303" t="s">
        <v>200</v>
      </c>
      <c r="IB181" s="304" t="s">
        <v>86</v>
      </c>
      <c r="IC181" s="305" t="s">
        <v>132</v>
      </c>
      <c r="ID181" s="317">
        <f>Konvention_1slave-MUslave</f>
        <v>12</v>
      </c>
      <c r="IE181" s="254"/>
      <c r="IF181" s="254">
        <f>Konvention_1slave-INslave</f>
        <v>12</v>
      </c>
      <c r="IG181" s="254">
        <f t="shared" si="1506"/>
        <v>12</v>
      </c>
      <c r="IH181" s="254"/>
      <c r="II181" s="254"/>
      <c r="IJ181" s="254"/>
      <c r="IK181" s="318"/>
      <c r="IL181" s="223">
        <f t="shared" si="1447"/>
        <v>12</v>
      </c>
      <c r="IM181" s="223">
        <f t="shared" si="1448"/>
        <v>24</v>
      </c>
      <c r="IN181" s="224">
        <f t="shared" si="1449"/>
        <v>36</v>
      </c>
      <c r="IO181" s="237">
        <f t="shared" si="1358"/>
        <v>2304</v>
      </c>
      <c r="IP181" s="254">
        <f>ID181*IF181*CHslave+ID181*INslave*IG181+MUslave*IF181*IG181</f>
        <v>3456</v>
      </c>
      <c r="IQ181" s="224">
        <f t="shared" si="1450"/>
        <v>1728</v>
      </c>
      <c r="IR181" s="224">
        <f t="shared" si="1332"/>
        <v>7488</v>
      </c>
      <c r="IS181" s="222">
        <f t="shared" si="1451"/>
        <v>3.6923076923076925</v>
      </c>
      <c r="IT181" s="223">
        <f t="shared" si="1452"/>
        <v>11.076923076923077</v>
      </c>
      <c r="IU181" s="243">
        <f t="shared" si="1453"/>
        <v>8.3076923076923084</v>
      </c>
      <c r="IV181" s="243">
        <f t="shared" si="1454"/>
        <v>23.07692307692308</v>
      </c>
      <c r="IW181" s="252">
        <f t="shared" si="1337"/>
        <v>0</v>
      </c>
      <c r="IX181" s="309">
        <f t="shared" si="1455"/>
        <v>23.07692307692308</v>
      </c>
      <c r="IY181" s="218">
        <f>IF(IV181&lt;=0,2,0)+IF(IV181&gt;0,IV181+1,0)*2+IF(IV181&gt;12,IV181-12,0)*2+IF(IV181&gt;13,IV181-13,0)*2+IF(IV181&gt;14,IV181-14,0)*2+IF(IV181&gt;15,IV181-15,0)*2+IF(IV181&gt;16,IV181-16,0)*2+IF(IV181&gt;17,IV181-17,0)*2+IF(IV181&gt;18,IV181-18,0)*2+IF(IV181&gt;19,IV181-19,0)*2+IF(IV181&gt;20,IV181-20,0)*2</f>
        <v>175.5384615384616</v>
      </c>
      <c r="IZ181" s="242">
        <f>IF(IW181&lt;=0,2,0)+IF(IW181&gt;0,IW181+1,0)*2+IF(IW181&gt;12,IW181-12,0)*2+IF(IW181&gt;13,IW181-13,0)*2+IF(IW181&gt;14,IW181-14,0)*2+IF(IW181&gt;15,IW181-15,0)*2+IF(IW181&gt;16,IW181-16,0)*2+IF(IW181&gt;17,IW181-17,0)*2+IF(IW181&gt;18,IW181-18,0)*2+IF(IW181&gt;19,IW181-19,0)*2+IF(IW181&gt;20,IW181-20,0)*2</f>
        <v>2</v>
      </c>
      <c r="JA181" s="243">
        <f t="shared" si="1456"/>
        <v>173.5384615384616</v>
      </c>
      <c r="JB181" s="218">
        <f t="shared" si="1457"/>
        <v>0</v>
      </c>
      <c r="JE181" s="148"/>
    </row>
    <row r="182" spans="2:265" ht="15" hidden="1" customHeight="1" outlineLevel="2">
      <c r="B182" s="148">
        <v>30</v>
      </c>
      <c r="C182" s="303" t="e">
        <f>VLOOKUP(AF182,Attribute!C:T,1,FALSE)</f>
        <v>#N/A</v>
      </c>
      <c r="D182" s="86" t="s">
        <v>84</v>
      </c>
      <c r="E182" s="167" t="s">
        <v>135</v>
      </c>
      <c r="F182" s="120">
        <f t="shared" si="1488"/>
        <v>12</v>
      </c>
      <c r="G182" s="117">
        <f>Konvention_1master-KLmaster</f>
        <v>12</v>
      </c>
      <c r="H182" s="117"/>
      <c r="I182" s="117">
        <f t="shared" si="1498"/>
        <v>12</v>
      </c>
      <c r="J182" s="117"/>
      <c r="K182" s="117"/>
      <c r="L182" s="117"/>
      <c r="M182" s="121"/>
      <c r="N182" s="223">
        <f t="shared" si="1359"/>
        <v>12</v>
      </c>
      <c r="O182" s="223">
        <f t="shared" si="1360"/>
        <v>24</v>
      </c>
      <c r="P182" s="224">
        <f t="shared" si="1361"/>
        <v>36</v>
      </c>
      <c r="Q182" s="237">
        <f t="shared" si="1350"/>
        <v>2304</v>
      </c>
      <c r="R182" s="117">
        <f>F182*G182*CHmaster+F182*KLmaster*I182+MUmaster*G182*I182</f>
        <v>3456</v>
      </c>
      <c r="S182" s="224">
        <f t="shared" si="1362"/>
        <v>1728</v>
      </c>
      <c r="T182" s="224">
        <f t="shared" si="1485"/>
        <v>7488</v>
      </c>
      <c r="U182" s="222">
        <f t="shared" si="1363"/>
        <v>3.6923076923076925</v>
      </c>
      <c r="V182" s="223">
        <f t="shared" si="1364"/>
        <v>11.076923076923077</v>
      </c>
      <c r="W182" s="243">
        <f t="shared" si="1365"/>
        <v>8.3076923076923084</v>
      </c>
      <c r="X182" s="243">
        <f t="shared" si="1366"/>
        <v>23.07692307692308</v>
      </c>
      <c r="Y182" s="252">
        <v>0</v>
      </c>
      <c r="Z182" s="198">
        <f t="shared" si="1367"/>
        <v>23.07692307692308</v>
      </c>
      <c r="AA182" s="125">
        <f>IF(X182&lt;=0,3,0)+IF(X182&gt;0,X182+1,0)*3+IF(X182&gt;12,X182-12,0)*3+IF(X182&gt;13,X182-13,0)*3+IF(X182&gt;14,X182-14,0)*3+IF(X182&gt;15,X182-15,0)*3+IF(X182&gt;16,X182-16,0)*3+IF(X182&gt;17,X182-17,0)*3+IF(X182&gt;18,X182-18,0)*3+IF(X182&gt;19,X182-19,0)*3+IF(X182&gt;20,X182-20,0)*3</f>
        <v>263.30769230769232</v>
      </c>
      <c r="AB182" s="160">
        <f>IF(Y182&lt;=0,3,0)+IF(Y182&gt;0,Y182+1,0)*3+IF(Y182&gt;12,Y182-12,0)*3+IF(Y182&gt;13,Y182-13,0)*3+IF(Y182&gt;14,Y182-14,0)*3+IF(Y182&gt;15,Y182-15,0)*3+IF(Y182&gt;16,Y182-16,0)*3+IF(Y182&gt;17,Y182-17,0)*3+IF(Y182&gt;18,Y182-18,0)*3+IF(Y182&gt;19,Y182-19,0)*3+IF(Y182&gt;20,Y182-20,0)*3</f>
        <v>3</v>
      </c>
      <c r="AC182" s="127">
        <f t="shared" si="1368"/>
        <v>260.30769230769232</v>
      </c>
      <c r="AD182" s="125">
        <f t="shared" si="1369"/>
        <v>0</v>
      </c>
      <c r="AF182" s="163" t="s">
        <v>201</v>
      </c>
      <c r="AG182" s="86" t="s">
        <v>84</v>
      </c>
      <c r="AH182" s="167" t="s">
        <v>135</v>
      </c>
      <c r="AI182" s="120">
        <f>Konvention_1slave-MUslave_MU</f>
        <v>11</v>
      </c>
      <c r="AJ182" s="117">
        <f>Konvention_1slave-KLslave</f>
        <v>12</v>
      </c>
      <c r="AK182" s="117"/>
      <c r="AL182" s="117">
        <f t="shared" si="1499"/>
        <v>12</v>
      </c>
      <c r="AM182" s="117"/>
      <c r="AN182" s="117"/>
      <c r="AO182" s="117"/>
      <c r="AP182" s="121"/>
      <c r="AQ182" s="47">
        <f t="shared" si="1370"/>
        <v>11.666666666666666</v>
      </c>
      <c r="AR182" s="3">
        <f t="shared" si="1371"/>
        <v>23.333333333333332</v>
      </c>
      <c r="AS182" s="174">
        <f t="shared" si="1372"/>
        <v>35</v>
      </c>
      <c r="AT182" s="114">
        <f t="shared" si="1351"/>
        <v>2432</v>
      </c>
      <c r="AU182" s="117">
        <f>AI182*AJ182*CHslave+AI182*KLslave*AL182+MUslave_MU*AJ182*AL182</f>
        <v>3408</v>
      </c>
      <c r="AV182" s="119">
        <f t="shared" si="1373"/>
        <v>1584</v>
      </c>
      <c r="AW182" s="119">
        <f t="shared" si="1255"/>
        <v>7424</v>
      </c>
      <c r="AX182" s="89">
        <f t="shared" si="1374"/>
        <v>3.8218390804597702</v>
      </c>
      <c r="AY182" s="47">
        <f t="shared" si="1375"/>
        <v>10.711206896551724</v>
      </c>
      <c r="AZ182" s="127">
        <f t="shared" si="1376"/>
        <v>7.4676724137931032</v>
      </c>
      <c r="BA182" s="127">
        <f t="shared" si="1377"/>
        <v>22.000718390804597</v>
      </c>
      <c r="BB182" s="165">
        <f t="shared" si="1260"/>
        <v>0</v>
      </c>
      <c r="BC182" s="198">
        <f t="shared" si="1378"/>
        <v>22.000718390804597</v>
      </c>
      <c r="BD182" s="125">
        <f>IF(BA182&lt;=0,3,0)+IF(BA182&gt;0,BA182+1,0)*3+IF(BA182&gt;12,BA182-12,0)*3+IF(BA182&gt;13,BA182-13,0)*3+IF(BA182&gt;14,BA182-14,0)*3+IF(BA182&gt;15,BA182-15,0)*3+IF(BA182&gt;16,BA182-16,0)*3+IF(BA182&gt;17,BA182-17,0)*3+IF(BA182&gt;18,BA182-18,0)*3+IF(BA182&gt;19,BA182-19,0)*3+IF(BA182&gt;20,BA182-20,0)*3</f>
        <v>231.02155172413785</v>
      </c>
      <c r="BE182" s="160">
        <f>IF(BB182&lt;=0,3,0)+IF(BB182&gt;0,BB182+1,0)*3+IF(BB182&gt;12,BB182-12,0)*3+IF(BB182&gt;13,BB182-13,0)*3+IF(BB182&gt;14,BB182-14,0)*3+IF(BB182&gt;15,BB182-15,0)*3+IF(BB182&gt;16,BB182-16,0)*3+IF(BB182&gt;17,BB182-17,0)*3+IF(BB182&gt;18,BB182-18,0)*3+IF(BB182&gt;19,BB182-19,0)*3+IF(BB182&gt;20,BB182-20,0)*3</f>
        <v>3</v>
      </c>
      <c r="BF182" s="243">
        <f t="shared" si="1379"/>
        <v>228.02155172413785</v>
      </c>
      <c r="BG182" s="218">
        <f t="shared" si="1380"/>
        <v>0</v>
      </c>
      <c r="BI182" s="303" t="s">
        <v>201</v>
      </c>
      <c r="BJ182" s="304" t="s">
        <v>84</v>
      </c>
      <c r="BK182" s="305" t="s">
        <v>135</v>
      </c>
      <c r="BL182" s="317">
        <f>Konvention_1slave-MUslave</f>
        <v>12</v>
      </c>
      <c r="BM182" s="254">
        <f>Konvention_1slave-KLslave_KL</f>
        <v>11</v>
      </c>
      <c r="BN182" s="254"/>
      <c r="BO182" s="254">
        <f t="shared" si="1500"/>
        <v>12</v>
      </c>
      <c r="BP182" s="254"/>
      <c r="BQ182" s="254"/>
      <c r="BR182" s="254"/>
      <c r="BS182" s="318"/>
      <c r="BT182" s="223">
        <f t="shared" si="1381"/>
        <v>11.666666666666666</v>
      </c>
      <c r="BU182" s="223">
        <f t="shared" si="1382"/>
        <v>23.333333333333332</v>
      </c>
      <c r="BV182" s="224">
        <f t="shared" si="1383"/>
        <v>35</v>
      </c>
      <c r="BW182" s="237">
        <f t="shared" si="1352"/>
        <v>2432</v>
      </c>
      <c r="BX182" s="254">
        <f>BL182*BM182*CHslave+BL182*KLslave_KL*BO182+MUslave*BM182*BO182</f>
        <v>3408</v>
      </c>
      <c r="BY182" s="224">
        <f t="shared" si="1384"/>
        <v>1584</v>
      </c>
      <c r="BZ182" s="224">
        <f t="shared" si="1266"/>
        <v>7424</v>
      </c>
      <c r="CA182" s="222">
        <f t="shared" si="1385"/>
        <v>3.8218390804597702</v>
      </c>
      <c r="CB182" s="223">
        <f t="shared" si="1386"/>
        <v>10.711206896551724</v>
      </c>
      <c r="CC182" s="243">
        <f t="shared" si="1387"/>
        <v>7.4676724137931032</v>
      </c>
      <c r="CD182" s="243">
        <f t="shared" si="1388"/>
        <v>22.000718390804597</v>
      </c>
      <c r="CE182" s="252">
        <f t="shared" si="1271"/>
        <v>0</v>
      </c>
      <c r="CF182" s="309">
        <f t="shared" si="1389"/>
        <v>22.000718390804597</v>
      </c>
      <c r="CG182" s="218">
        <f>IF(CD182&lt;=0,3,0)+IF(CD182&gt;0,CD182+1,0)*3+IF(CD182&gt;12,CD182-12,0)*3+IF(CD182&gt;13,CD182-13,0)*3+IF(CD182&gt;14,CD182-14,0)*3+IF(CD182&gt;15,CD182-15,0)*3+IF(CD182&gt;16,CD182-16,0)*3+IF(CD182&gt;17,CD182-17,0)*3+IF(CD182&gt;18,CD182-18,0)*3+IF(CD182&gt;19,CD182-19,0)*3+IF(CD182&gt;20,CD182-20,0)*3</f>
        <v>231.02155172413785</v>
      </c>
      <c r="CH182" s="242">
        <f>IF(CE182&lt;=0,3,0)+IF(CE182&gt;0,CE182+1,0)*3+IF(CE182&gt;12,CE182-12,0)*3+IF(CE182&gt;13,CE182-13,0)*3+IF(CE182&gt;14,CE182-14,0)*3+IF(CE182&gt;15,CE182-15,0)*3+IF(CE182&gt;16,CE182-16,0)*3+IF(CE182&gt;17,CE182-17,0)*3+IF(CE182&gt;18,CE182-18,0)*3+IF(CE182&gt;19,CE182-19,0)*3+IF(CE182&gt;20,CE182-20,0)*3</f>
        <v>3</v>
      </c>
      <c r="CI182" s="243">
        <f t="shared" si="1390"/>
        <v>228.02155172413785</v>
      </c>
      <c r="CJ182" s="218">
        <f t="shared" si="1391"/>
        <v>0</v>
      </c>
      <c r="CL182" s="303" t="s">
        <v>201</v>
      </c>
      <c r="CM182" s="304" t="s">
        <v>84</v>
      </c>
      <c r="CN182" s="305" t="s">
        <v>135</v>
      </c>
      <c r="CO182" s="317">
        <f>Konvention_1slave-MUslave</f>
        <v>12</v>
      </c>
      <c r="CP182" s="254">
        <f>Konvention_1slave-KLslave</f>
        <v>12</v>
      </c>
      <c r="CQ182" s="254"/>
      <c r="CR182" s="254">
        <f t="shared" si="1501"/>
        <v>12</v>
      </c>
      <c r="CS182" s="254"/>
      <c r="CT182" s="254"/>
      <c r="CU182" s="254"/>
      <c r="CV182" s="318"/>
      <c r="CW182" s="223">
        <f t="shared" si="1392"/>
        <v>12</v>
      </c>
      <c r="CX182" s="223">
        <f t="shared" si="1393"/>
        <v>24</v>
      </c>
      <c r="CY182" s="224">
        <f t="shared" si="1394"/>
        <v>36</v>
      </c>
      <c r="CZ182" s="237">
        <f t="shared" si="1353"/>
        <v>2304</v>
      </c>
      <c r="DA182" s="254">
        <f>CO182*CP182*CHslave+CO182*KLslave*CR182+MUslave*CP182*CR182</f>
        <v>3456</v>
      </c>
      <c r="DB182" s="224">
        <f t="shared" si="1395"/>
        <v>1728</v>
      </c>
      <c r="DC182" s="224">
        <f t="shared" si="1277"/>
        <v>7488</v>
      </c>
      <c r="DD182" s="222">
        <f t="shared" si="1396"/>
        <v>3.6923076923076925</v>
      </c>
      <c r="DE182" s="223">
        <f t="shared" si="1397"/>
        <v>11.076923076923077</v>
      </c>
      <c r="DF182" s="243">
        <f t="shared" si="1398"/>
        <v>8.3076923076923084</v>
      </c>
      <c r="DG182" s="243">
        <f t="shared" si="1399"/>
        <v>23.07692307692308</v>
      </c>
      <c r="DH182" s="252">
        <f t="shared" si="1282"/>
        <v>0</v>
      </c>
      <c r="DI182" s="309">
        <f t="shared" si="1400"/>
        <v>23.07692307692308</v>
      </c>
      <c r="DJ182" s="218">
        <f>IF(DG182&lt;=0,3,0)+IF(DG182&gt;0,DG182+1,0)*3+IF(DG182&gt;12,DG182-12,0)*3+IF(DG182&gt;13,DG182-13,0)*3+IF(DG182&gt;14,DG182-14,0)*3+IF(DG182&gt;15,DG182-15,0)*3+IF(DG182&gt;16,DG182-16,0)*3+IF(DG182&gt;17,DG182-17,0)*3+IF(DG182&gt;18,DG182-18,0)*3+IF(DG182&gt;19,DG182-19,0)*3+IF(DG182&gt;20,DG182-20,0)*3</f>
        <v>263.30769230769232</v>
      </c>
      <c r="DK182" s="242">
        <f>IF(DH182&lt;=0,3,0)+IF(DH182&gt;0,DH182+1,0)*3+IF(DH182&gt;12,DH182-12,0)*3+IF(DH182&gt;13,DH182-13,0)*3+IF(DH182&gt;14,DH182-14,0)*3+IF(DH182&gt;15,DH182-15,0)*3+IF(DH182&gt;16,DH182-16,0)*3+IF(DH182&gt;17,DH182-17,0)*3+IF(DH182&gt;18,DH182-18,0)*3+IF(DH182&gt;19,DH182-19,0)*3+IF(DH182&gt;20,DH182-20,0)*3</f>
        <v>3</v>
      </c>
      <c r="DL182" s="243">
        <f t="shared" si="1401"/>
        <v>260.30769230769232</v>
      </c>
      <c r="DM182" s="218">
        <f t="shared" si="1402"/>
        <v>0</v>
      </c>
      <c r="DO182" s="303" t="s">
        <v>201</v>
      </c>
      <c r="DP182" s="304" t="s">
        <v>84</v>
      </c>
      <c r="DQ182" s="305" t="s">
        <v>135</v>
      </c>
      <c r="DR182" s="317">
        <f>Konvention_1slave-MUslave</f>
        <v>12</v>
      </c>
      <c r="DS182" s="254">
        <f>Konvention_1slave-KLslave</f>
        <v>12</v>
      </c>
      <c r="DT182" s="254"/>
      <c r="DU182" s="254">
        <f t="shared" si="1502"/>
        <v>11</v>
      </c>
      <c r="DV182" s="254"/>
      <c r="DW182" s="254"/>
      <c r="DX182" s="254"/>
      <c r="DY182" s="318"/>
      <c r="DZ182" s="223">
        <f t="shared" si="1403"/>
        <v>11.666666666666666</v>
      </c>
      <c r="EA182" s="223">
        <f t="shared" si="1404"/>
        <v>23.333333333333332</v>
      </c>
      <c r="EB182" s="224">
        <f t="shared" si="1405"/>
        <v>35</v>
      </c>
      <c r="EC182" s="237">
        <f t="shared" si="1354"/>
        <v>2432</v>
      </c>
      <c r="ED182" s="254">
        <f>DR182*DS182*CHslave_CH+DR182*KLslave*DU182+MUslave*DS182*DU182</f>
        <v>3408</v>
      </c>
      <c r="EE182" s="224">
        <f t="shared" si="1406"/>
        <v>1584</v>
      </c>
      <c r="EF182" s="224">
        <f t="shared" si="1288"/>
        <v>7424</v>
      </c>
      <c r="EG182" s="222">
        <f t="shared" si="1407"/>
        <v>3.8218390804597702</v>
      </c>
      <c r="EH182" s="223">
        <f t="shared" si="1408"/>
        <v>10.711206896551724</v>
      </c>
      <c r="EI182" s="243">
        <f t="shared" si="1409"/>
        <v>7.4676724137931032</v>
      </c>
      <c r="EJ182" s="243">
        <f t="shared" si="1410"/>
        <v>22.000718390804597</v>
      </c>
      <c r="EK182" s="252">
        <f t="shared" si="1293"/>
        <v>0</v>
      </c>
      <c r="EL182" s="309">
        <f t="shared" si="1411"/>
        <v>22.000718390804597</v>
      </c>
      <c r="EM182" s="218">
        <f>IF(EJ182&lt;=0,3,0)+IF(EJ182&gt;0,EJ182+1,0)*3+IF(EJ182&gt;12,EJ182-12,0)*3+IF(EJ182&gt;13,EJ182-13,0)*3+IF(EJ182&gt;14,EJ182-14,0)*3+IF(EJ182&gt;15,EJ182-15,0)*3+IF(EJ182&gt;16,EJ182-16,0)*3+IF(EJ182&gt;17,EJ182-17,0)*3+IF(EJ182&gt;18,EJ182-18,0)*3+IF(EJ182&gt;19,EJ182-19,0)*3+IF(EJ182&gt;20,EJ182-20,0)*3</f>
        <v>231.02155172413785</v>
      </c>
      <c r="EN182" s="242">
        <f>IF(EK182&lt;=0,3,0)+IF(EK182&gt;0,EK182+1,0)*3+IF(EK182&gt;12,EK182-12,0)*3+IF(EK182&gt;13,EK182-13,0)*3+IF(EK182&gt;14,EK182-14,0)*3+IF(EK182&gt;15,EK182-15,0)*3+IF(EK182&gt;16,EK182-16,0)*3+IF(EK182&gt;17,EK182-17,0)*3+IF(EK182&gt;18,EK182-18,0)*3+IF(EK182&gt;19,EK182-19,0)*3+IF(EK182&gt;20,EK182-20,0)*3</f>
        <v>3</v>
      </c>
      <c r="EO182" s="243">
        <f t="shared" si="1412"/>
        <v>228.02155172413785</v>
      </c>
      <c r="EP182" s="218">
        <f t="shared" si="1413"/>
        <v>0</v>
      </c>
      <c r="ER182" s="303" t="s">
        <v>201</v>
      </c>
      <c r="ES182" s="304" t="s">
        <v>84</v>
      </c>
      <c r="ET182" s="305" t="s">
        <v>135</v>
      </c>
      <c r="EU182" s="317">
        <f>Konvention_1slave-MUslave</f>
        <v>12</v>
      </c>
      <c r="EV182" s="254">
        <f>Konvention_1slave-KLslave</f>
        <v>12</v>
      </c>
      <c r="EW182" s="254"/>
      <c r="EX182" s="254">
        <f t="shared" si="1503"/>
        <v>12</v>
      </c>
      <c r="EY182" s="254"/>
      <c r="EZ182" s="254"/>
      <c r="FA182" s="254"/>
      <c r="FB182" s="318"/>
      <c r="FC182" s="223">
        <f t="shared" si="1414"/>
        <v>12</v>
      </c>
      <c r="FD182" s="223">
        <f t="shared" si="1415"/>
        <v>24</v>
      </c>
      <c r="FE182" s="224">
        <f t="shared" si="1416"/>
        <v>36</v>
      </c>
      <c r="FF182" s="237">
        <f t="shared" si="1355"/>
        <v>2304</v>
      </c>
      <c r="FG182" s="254">
        <f>EU182*EV182*CHslave+EU182*KLslave*EX182+MUslave*EV182*EX182</f>
        <v>3456</v>
      </c>
      <c r="FH182" s="224">
        <f t="shared" si="1417"/>
        <v>1728</v>
      </c>
      <c r="FI182" s="224">
        <f t="shared" si="1299"/>
        <v>7488</v>
      </c>
      <c r="FJ182" s="222">
        <f t="shared" si="1418"/>
        <v>3.6923076923076925</v>
      </c>
      <c r="FK182" s="223">
        <f t="shared" si="1419"/>
        <v>11.076923076923077</v>
      </c>
      <c r="FL182" s="243">
        <f t="shared" si="1420"/>
        <v>8.3076923076923084</v>
      </c>
      <c r="FM182" s="243">
        <f t="shared" si="1421"/>
        <v>23.07692307692308</v>
      </c>
      <c r="FN182" s="252">
        <f t="shared" si="1304"/>
        <v>0</v>
      </c>
      <c r="FO182" s="309">
        <f t="shared" si="1422"/>
        <v>23.07692307692308</v>
      </c>
      <c r="FP182" s="218">
        <f>IF(FM182&lt;=0,3,0)+IF(FM182&gt;0,FM182+1,0)*3+IF(FM182&gt;12,FM182-12,0)*3+IF(FM182&gt;13,FM182-13,0)*3+IF(FM182&gt;14,FM182-14,0)*3+IF(FM182&gt;15,FM182-15,0)*3+IF(FM182&gt;16,FM182-16,0)*3+IF(FM182&gt;17,FM182-17,0)*3+IF(FM182&gt;18,FM182-18,0)*3+IF(FM182&gt;19,FM182-19,0)*3+IF(FM182&gt;20,FM182-20,0)*3</f>
        <v>263.30769230769232</v>
      </c>
      <c r="FQ182" s="242">
        <f>IF(FN182&lt;=0,3,0)+IF(FN182&gt;0,FN182+1,0)*3+IF(FN182&gt;12,FN182-12,0)*3+IF(FN182&gt;13,FN182-13,0)*3+IF(FN182&gt;14,FN182-14,0)*3+IF(FN182&gt;15,FN182-15,0)*3+IF(FN182&gt;16,FN182-16,0)*3+IF(FN182&gt;17,FN182-17,0)*3+IF(FN182&gt;18,FN182-18,0)*3+IF(FN182&gt;19,FN182-19,0)*3+IF(FN182&gt;20,FN182-20,0)*3</f>
        <v>3</v>
      </c>
      <c r="FR182" s="243">
        <f t="shared" si="1423"/>
        <v>260.30769230769232</v>
      </c>
      <c r="FS182" s="218">
        <f t="shared" si="1424"/>
        <v>0</v>
      </c>
      <c r="FU182" s="303" t="s">
        <v>201</v>
      </c>
      <c r="FV182" s="304" t="s">
        <v>84</v>
      </c>
      <c r="FW182" s="305" t="s">
        <v>135</v>
      </c>
      <c r="FX182" s="317">
        <f>Konvention_1slave-MUslave</f>
        <v>12</v>
      </c>
      <c r="FY182" s="254">
        <f>Konvention_1slave-KLslave</f>
        <v>12</v>
      </c>
      <c r="FZ182" s="254"/>
      <c r="GA182" s="254">
        <f t="shared" si="1504"/>
        <v>12</v>
      </c>
      <c r="GB182" s="254"/>
      <c r="GC182" s="254"/>
      <c r="GD182" s="254"/>
      <c r="GE182" s="318"/>
      <c r="GF182" s="223">
        <f t="shared" si="1425"/>
        <v>12</v>
      </c>
      <c r="GG182" s="223">
        <f t="shared" si="1426"/>
        <v>24</v>
      </c>
      <c r="GH182" s="224">
        <f t="shared" si="1427"/>
        <v>36</v>
      </c>
      <c r="GI182" s="237">
        <f t="shared" si="1356"/>
        <v>2304</v>
      </c>
      <c r="GJ182" s="254">
        <f>FX182*FY182*CHslave+FX182*KLslave*GA182+MUslave*FY182*GA182</f>
        <v>3456</v>
      </c>
      <c r="GK182" s="224">
        <f t="shared" si="1428"/>
        <v>1728</v>
      </c>
      <c r="GL182" s="224">
        <f t="shared" si="1310"/>
        <v>7488</v>
      </c>
      <c r="GM182" s="222">
        <f t="shared" si="1429"/>
        <v>3.6923076923076925</v>
      </c>
      <c r="GN182" s="223">
        <f t="shared" si="1430"/>
        <v>11.076923076923077</v>
      </c>
      <c r="GO182" s="243">
        <f t="shared" si="1431"/>
        <v>8.3076923076923084</v>
      </c>
      <c r="GP182" s="243">
        <f t="shared" si="1432"/>
        <v>23.07692307692308</v>
      </c>
      <c r="GQ182" s="252">
        <f t="shared" si="1315"/>
        <v>0</v>
      </c>
      <c r="GR182" s="309">
        <f t="shared" si="1433"/>
        <v>23.07692307692308</v>
      </c>
      <c r="GS182" s="218">
        <f>IF(GP182&lt;=0,3,0)+IF(GP182&gt;0,GP182+1,0)*3+IF(GP182&gt;12,GP182-12,0)*3+IF(GP182&gt;13,GP182-13,0)*3+IF(GP182&gt;14,GP182-14,0)*3+IF(GP182&gt;15,GP182-15,0)*3+IF(GP182&gt;16,GP182-16,0)*3+IF(GP182&gt;17,GP182-17,0)*3+IF(GP182&gt;18,GP182-18,0)*3+IF(GP182&gt;19,GP182-19,0)*3+IF(GP182&gt;20,GP182-20,0)*3</f>
        <v>263.30769230769232</v>
      </c>
      <c r="GT182" s="242">
        <f>IF(GQ182&lt;=0,3,0)+IF(GQ182&gt;0,GQ182+1,0)*3+IF(GQ182&gt;12,GQ182-12,0)*3+IF(GQ182&gt;13,GQ182-13,0)*3+IF(GQ182&gt;14,GQ182-14,0)*3+IF(GQ182&gt;15,GQ182-15,0)*3+IF(GQ182&gt;16,GQ182-16,0)*3+IF(GQ182&gt;17,GQ182-17,0)*3+IF(GQ182&gt;18,GQ182-18,0)*3+IF(GQ182&gt;19,GQ182-19,0)*3+IF(GQ182&gt;20,GQ182-20,0)*3</f>
        <v>3</v>
      </c>
      <c r="GU182" s="243">
        <f t="shared" si="1434"/>
        <v>260.30769230769232</v>
      </c>
      <c r="GV182" s="218">
        <f t="shared" si="1435"/>
        <v>0</v>
      </c>
      <c r="GX182" s="303" t="s">
        <v>201</v>
      </c>
      <c r="GY182" s="304" t="s">
        <v>84</v>
      </c>
      <c r="GZ182" s="305" t="s">
        <v>135</v>
      </c>
      <c r="HA182" s="317">
        <f>Konvention_1slave-MUslave</f>
        <v>12</v>
      </c>
      <c r="HB182" s="254">
        <f>Konvention_1slave-KLslave</f>
        <v>12</v>
      </c>
      <c r="HC182" s="254"/>
      <c r="HD182" s="254">
        <f t="shared" si="1505"/>
        <v>12</v>
      </c>
      <c r="HE182" s="254"/>
      <c r="HF182" s="254"/>
      <c r="HG182" s="254"/>
      <c r="HH182" s="318"/>
      <c r="HI182" s="223">
        <f t="shared" si="1436"/>
        <v>12</v>
      </c>
      <c r="HJ182" s="223">
        <f t="shared" si="1437"/>
        <v>24</v>
      </c>
      <c r="HK182" s="224">
        <f t="shared" si="1438"/>
        <v>36</v>
      </c>
      <c r="HL182" s="237">
        <f t="shared" si="1357"/>
        <v>2304</v>
      </c>
      <c r="HM182" s="254">
        <f>HA182*HB182*CHslave+HA182*KLslave*HD182+MUslave*HB182*HD182</f>
        <v>3456</v>
      </c>
      <c r="HN182" s="224">
        <f t="shared" si="1439"/>
        <v>1728</v>
      </c>
      <c r="HO182" s="224">
        <f t="shared" si="1321"/>
        <v>7488</v>
      </c>
      <c r="HP182" s="222">
        <f t="shared" si="1440"/>
        <v>3.6923076923076925</v>
      </c>
      <c r="HQ182" s="223">
        <f t="shared" si="1441"/>
        <v>11.076923076923077</v>
      </c>
      <c r="HR182" s="243">
        <f t="shared" si="1442"/>
        <v>8.3076923076923084</v>
      </c>
      <c r="HS182" s="243">
        <f t="shared" si="1443"/>
        <v>23.07692307692308</v>
      </c>
      <c r="HT182" s="252">
        <f t="shared" si="1326"/>
        <v>0</v>
      </c>
      <c r="HU182" s="309">
        <f t="shared" si="1444"/>
        <v>23.07692307692308</v>
      </c>
      <c r="HV182" s="218">
        <f>IF(HS182&lt;=0,3,0)+IF(HS182&gt;0,HS182+1,0)*3+IF(HS182&gt;12,HS182-12,0)*3+IF(HS182&gt;13,HS182-13,0)*3+IF(HS182&gt;14,HS182-14,0)*3+IF(HS182&gt;15,HS182-15,0)*3+IF(HS182&gt;16,HS182-16,0)*3+IF(HS182&gt;17,HS182-17,0)*3+IF(HS182&gt;18,HS182-18,0)*3+IF(HS182&gt;19,HS182-19,0)*3+IF(HS182&gt;20,HS182-20,0)*3</f>
        <v>263.30769230769232</v>
      </c>
      <c r="HW182" s="242">
        <f>IF(HT182&lt;=0,3,0)+IF(HT182&gt;0,HT182+1,0)*3+IF(HT182&gt;12,HT182-12,0)*3+IF(HT182&gt;13,HT182-13,0)*3+IF(HT182&gt;14,HT182-14,0)*3+IF(HT182&gt;15,HT182-15,0)*3+IF(HT182&gt;16,HT182-16,0)*3+IF(HT182&gt;17,HT182-17,0)*3+IF(HT182&gt;18,HT182-18,0)*3+IF(HT182&gt;19,HT182-19,0)*3+IF(HT182&gt;20,HT182-20,0)*3</f>
        <v>3</v>
      </c>
      <c r="HX182" s="243">
        <f t="shared" si="1445"/>
        <v>260.30769230769232</v>
      </c>
      <c r="HY182" s="218">
        <f t="shared" si="1446"/>
        <v>0</v>
      </c>
      <c r="IA182" s="303" t="s">
        <v>201</v>
      </c>
      <c r="IB182" s="304" t="s">
        <v>84</v>
      </c>
      <c r="IC182" s="305" t="s">
        <v>135</v>
      </c>
      <c r="ID182" s="317">
        <f>Konvention_1slave-MUslave</f>
        <v>12</v>
      </c>
      <c r="IE182" s="254">
        <f>Konvention_1slave-KLslave</f>
        <v>12</v>
      </c>
      <c r="IF182" s="254"/>
      <c r="IG182" s="254">
        <f t="shared" si="1506"/>
        <v>12</v>
      </c>
      <c r="IH182" s="254"/>
      <c r="II182" s="254"/>
      <c r="IJ182" s="254"/>
      <c r="IK182" s="318"/>
      <c r="IL182" s="223">
        <f t="shared" si="1447"/>
        <v>12</v>
      </c>
      <c r="IM182" s="223">
        <f t="shared" si="1448"/>
        <v>24</v>
      </c>
      <c r="IN182" s="224">
        <f t="shared" si="1449"/>
        <v>36</v>
      </c>
      <c r="IO182" s="237">
        <f t="shared" si="1358"/>
        <v>2304</v>
      </c>
      <c r="IP182" s="254">
        <f>ID182*IE182*CHslave+ID182*KLslave*IG182+MUslave*IE182*IG182</f>
        <v>3456</v>
      </c>
      <c r="IQ182" s="224">
        <f t="shared" si="1450"/>
        <v>1728</v>
      </c>
      <c r="IR182" s="224">
        <f t="shared" si="1332"/>
        <v>7488</v>
      </c>
      <c r="IS182" s="222">
        <f t="shared" si="1451"/>
        <v>3.6923076923076925</v>
      </c>
      <c r="IT182" s="223">
        <f t="shared" si="1452"/>
        <v>11.076923076923077</v>
      </c>
      <c r="IU182" s="243">
        <f t="shared" si="1453"/>
        <v>8.3076923076923084</v>
      </c>
      <c r="IV182" s="243">
        <f t="shared" si="1454"/>
        <v>23.07692307692308</v>
      </c>
      <c r="IW182" s="252">
        <f t="shared" si="1337"/>
        <v>0</v>
      </c>
      <c r="IX182" s="309">
        <f t="shared" si="1455"/>
        <v>23.07692307692308</v>
      </c>
      <c r="IY182" s="218">
        <f>IF(IV182&lt;=0,3,0)+IF(IV182&gt;0,IV182+1,0)*3+IF(IV182&gt;12,IV182-12,0)*3+IF(IV182&gt;13,IV182-13,0)*3+IF(IV182&gt;14,IV182-14,0)*3+IF(IV182&gt;15,IV182-15,0)*3+IF(IV182&gt;16,IV182-16,0)*3+IF(IV182&gt;17,IV182-17,0)*3+IF(IV182&gt;18,IV182-18,0)*3+IF(IV182&gt;19,IV182-19,0)*3+IF(IV182&gt;20,IV182-20,0)*3</f>
        <v>263.30769230769232</v>
      </c>
      <c r="IZ182" s="242">
        <f>IF(IW182&lt;=0,3,0)+IF(IW182&gt;0,IW182+1,0)*3+IF(IW182&gt;12,IW182-12,0)*3+IF(IW182&gt;13,IW182-13,0)*3+IF(IW182&gt;14,IW182-14,0)*3+IF(IW182&gt;15,IW182-15,0)*3+IF(IW182&gt;16,IW182-16,0)*3+IF(IW182&gt;17,IW182-17,0)*3+IF(IW182&gt;18,IW182-18,0)*3+IF(IW182&gt;19,IW182-19,0)*3+IF(IW182&gt;20,IW182-20,0)*3</f>
        <v>3</v>
      </c>
      <c r="JA182" s="243">
        <f t="shared" si="1456"/>
        <v>260.30769230769232</v>
      </c>
      <c r="JB182" s="218">
        <f t="shared" si="1457"/>
        <v>0</v>
      </c>
      <c r="JE182" s="148"/>
    </row>
    <row r="183" spans="2:265" ht="15" hidden="1" customHeight="1" outlineLevel="2">
      <c r="B183" s="148">
        <v>31</v>
      </c>
      <c r="C183" s="303" t="e">
        <f>VLOOKUP(AF183,Attribute!C:T,1,FALSE)</f>
        <v>#N/A</v>
      </c>
      <c r="D183" s="86" t="s">
        <v>308</v>
      </c>
      <c r="E183" s="167" t="s">
        <v>134</v>
      </c>
      <c r="F183" s="120">
        <f t="shared" si="1488"/>
        <v>12</v>
      </c>
      <c r="G183" s="117">
        <f>Konvention_1master-KLmaster</f>
        <v>12</v>
      </c>
      <c r="H183" s="117"/>
      <c r="I183" s="117"/>
      <c r="J183" s="117"/>
      <c r="K183" s="117"/>
      <c r="L183" s="117">
        <f>Konvention_1master-KOmaster</f>
        <v>12</v>
      </c>
      <c r="M183" s="121"/>
      <c r="N183" s="223">
        <f t="shared" si="1359"/>
        <v>12</v>
      </c>
      <c r="O183" s="223">
        <f t="shared" si="1360"/>
        <v>24</v>
      </c>
      <c r="P183" s="224">
        <f t="shared" si="1361"/>
        <v>36</v>
      </c>
      <c r="Q183" s="237">
        <f t="shared" si="1350"/>
        <v>2304</v>
      </c>
      <c r="R183" s="117">
        <f>F183*G183*KOmaster+F183*KLmaster*L183+MUmaster*G183*L183</f>
        <v>3456</v>
      </c>
      <c r="S183" s="224">
        <f t="shared" si="1362"/>
        <v>1728</v>
      </c>
      <c r="T183" s="224">
        <f t="shared" ref="T183:T211" si="1507">SUM(Q183:S183)</f>
        <v>7488</v>
      </c>
      <c r="U183" s="222">
        <f t="shared" si="1363"/>
        <v>3.6923076923076925</v>
      </c>
      <c r="V183" s="223">
        <f t="shared" si="1364"/>
        <v>11.076923076923077</v>
      </c>
      <c r="W183" s="243">
        <f t="shared" si="1365"/>
        <v>8.3076923076923084</v>
      </c>
      <c r="X183" s="243">
        <f t="shared" si="1366"/>
        <v>23.07692307692308</v>
      </c>
      <c r="Y183" s="252">
        <v>0</v>
      </c>
      <c r="Z183" s="198">
        <f t="shared" si="1367"/>
        <v>23.07692307692308</v>
      </c>
      <c r="AA183" s="125">
        <f>IF(X183&lt;=0,4,0)+IF(X183&gt;0,X183+1,0)*4+IF(X183&gt;12,X183-12,0)*4+IF(X183&gt;13,X183-13,0)*4+IF(X183&gt;14,X183-14,0)*4+IF(X183&gt;15,X183-15,0)*4+IF(X183&gt;16,X183-16,0)*4+IF(X183&gt;17,X183-17,0)*4+IF(X183&gt;18,X183-18,0)*4+IF(X183&gt;19,X183-19,0)*4+IF(X183&gt;20,X183-20,0)*4</f>
        <v>351.07692307692321</v>
      </c>
      <c r="AB183" s="160">
        <f>IF(Y183&lt;=0,4,0)+IF(Y183&gt;0,Y183+1,0)*4+IF(Y183&gt;12,Y183-12,0)*4+IF(Y183&gt;13,Y183-13,0)*4+IF(Y183&gt;14,Y183-14,0)*4+IF(Y183&gt;15,Y183-15,0)*4+IF(Y183&gt;16,Y183-16,0)*4+IF(Y183&gt;17,Y183-17,0)*4+IF(Y183&gt;18,Y183-18,0)*4+IF(Y183&gt;19,Y183-19,0)*4+IF(Y183&gt;20,Y183-20,0)*4</f>
        <v>4</v>
      </c>
      <c r="AC183" s="127">
        <f t="shared" si="1368"/>
        <v>347.07692307692321</v>
      </c>
      <c r="AD183" s="125">
        <f t="shared" si="1369"/>
        <v>0</v>
      </c>
      <c r="AF183" s="163" t="s">
        <v>307</v>
      </c>
      <c r="AG183" s="86" t="s">
        <v>308</v>
      </c>
      <c r="AH183" s="167" t="s">
        <v>134</v>
      </c>
      <c r="AI183" s="120">
        <f>Konvention_1slave-MUslave_MU</f>
        <v>11</v>
      </c>
      <c r="AJ183" s="117">
        <f>Konvention_1slave-KLslave</f>
        <v>12</v>
      </c>
      <c r="AK183" s="117"/>
      <c r="AL183" s="117"/>
      <c r="AM183" s="117"/>
      <c r="AN183" s="117"/>
      <c r="AO183" s="117">
        <f>Konvention_1slave-KOslave</f>
        <v>12</v>
      </c>
      <c r="AP183" s="121"/>
      <c r="AQ183" s="47">
        <f t="shared" si="1370"/>
        <v>11.666666666666666</v>
      </c>
      <c r="AR183" s="3">
        <f t="shared" si="1371"/>
        <v>23.333333333333332</v>
      </c>
      <c r="AS183" s="174">
        <f t="shared" si="1372"/>
        <v>35</v>
      </c>
      <c r="AT183" s="114">
        <f t="shared" si="1351"/>
        <v>2432</v>
      </c>
      <c r="AU183" s="117">
        <f>AI183*AJ183*KOslave+AI183*KLslave*AO183+MUslave_MU*AJ183*AO183</f>
        <v>3408</v>
      </c>
      <c r="AV183" s="119">
        <f t="shared" si="1373"/>
        <v>1584</v>
      </c>
      <c r="AW183" s="119">
        <f t="shared" si="1255"/>
        <v>7424</v>
      </c>
      <c r="AX183" s="89">
        <f t="shared" si="1374"/>
        <v>3.8218390804597702</v>
      </c>
      <c r="AY183" s="47">
        <f t="shared" si="1375"/>
        <v>10.711206896551724</v>
      </c>
      <c r="AZ183" s="127">
        <f t="shared" si="1376"/>
        <v>7.4676724137931032</v>
      </c>
      <c r="BA183" s="127">
        <f t="shared" si="1377"/>
        <v>22.000718390804597</v>
      </c>
      <c r="BB183" s="165">
        <f t="shared" si="1260"/>
        <v>0</v>
      </c>
      <c r="BC183" s="198">
        <f t="shared" si="1378"/>
        <v>22.000718390804597</v>
      </c>
      <c r="BD183" s="125">
        <f>IF(BA183&lt;=0,4,0)+IF(BA183&gt;0,BA183+1,0)*4+IF(BA183&gt;12,BA183-12,0)*4+IF(BA183&gt;13,BA183-13,0)*4+IF(BA183&gt;14,BA183-14,0)*4+IF(BA183&gt;15,BA183-15,0)*4+IF(BA183&gt;16,BA183-16,0)*4+IF(BA183&gt;17,BA183-17,0)*4+IF(BA183&gt;18,BA183-18,0)*4+IF(BA183&gt;19,BA183-19,0)*4+IF(BA183&gt;20,BA183-20,0)*4</f>
        <v>308.02873563218378</v>
      </c>
      <c r="BE183" s="160">
        <f>IF(BB183&lt;=0,4,0)+IF(BB183&gt;0,BB183+1,0)*4+IF(BB183&gt;12,BB183-12,0)*4+IF(BB183&gt;13,BB183-13,0)*4+IF(BB183&gt;14,BB183-14,0)*4+IF(BB183&gt;15,BB183-15,0)*4+IF(BB183&gt;16,BB183-16,0)*4+IF(BB183&gt;17,BB183-17,0)*4+IF(BB183&gt;18,BB183-18,0)*4+IF(BB183&gt;19,BB183-19,0)*4+IF(BB183&gt;20,BB183-20,0)*4</f>
        <v>4</v>
      </c>
      <c r="BF183" s="243">
        <f t="shared" si="1379"/>
        <v>304.02873563218378</v>
      </c>
      <c r="BG183" s="218">
        <f t="shared" si="1380"/>
        <v>0</v>
      </c>
      <c r="BI183" s="303" t="s">
        <v>307</v>
      </c>
      <c r="BJ183" s="304" t="s">
        <v>308</v>
      </c>
      <c r="BK183" s="305" t="s">
        <v>134</v>
      </c>
      <c r="BL183" s="317">
        <f>Konvention_1slave-MUslave</f>
        <v>12</v>
      </c>
      <c r="BM183" s="254">
        <f>Konvention_1slave-KLslave_KL</f>
        <v>11</v>
      </c>
      <c r="BN183" s="254"/>
      <c r="BO183" s="254"/>
      <c r="BP183" s="254"/>
      <c r="BQ183" s="254"/>
      <c r="BR183" s="254">
        <f>Konvention_1slave-KOslave</f>
        <v>12</v>
      </c>
      <c r="BS183" s="318"/>
      <c r="BT183" s="223">
        <f t="shared" si="1381"/>
        <v>11.666666666666666</v>
      </c>
      <c r="BU183" s="223">
        <f t="shared" si="1382"/>
        <v>23.333333333333332</v>
      </c>
      <c r="BV183" s="224">
        <f t="shared" si="1383"/>
        <v>35</v>
      </c>
      <c r="BW183" s="237">
        <f t="shared" si="1352"/>
        <v>2432</v>
      </c>
      <c r="BX183" s="254">
        <f>BL183*BM183*KOslave+BL183*KLslave_KL*BR183+MUslave*BM183*BR183</f>
        <v>3408</v>
      </c>
      <c r="BY183" s="224">
        <f t="shared" si="1384"/>
        <v>1584</v>
      </c>
      <c r="BZ183" s="224">
        <f t="shared" si="1266"/>
        <v>7424</v>
      </c>
      <c r="CA183" s="222">
        <f t="shared" si="1385"/>
        <v>3.8218390804597702</v>
      </c>
      <c r="CB183" s="223">
        <f t="shared" si="1386"/>
        <v>10.711206896551724</v>
      </c>
      <c r="CC183" s="243">
        <f t="shared" si="1387"/>
        <v>7.4676724137931032</v>
      </c>
      <c r="CD183" s="243">
        <f t="shared" si="1388"/>
        <v>22.000718390804597</v>
      </c>
      <c r="CE183" s="252">
        <f t="shared" si="1271"/>
        <v>0</v>
      </c>
      <c r="CF183" s="309">
        <f t="shared" si="1389"/>
        <v>22.000718390804597</v>
      </c>
      <c r="CG183" s="218">
        <f>IF(CD183&lt;=0,4,0)+IF(CD183&gt;0,CD183+1,0)*4+IF(CD183&gt;12,CD183-12,0)*4+IF(CD183&gt;13,CD183-13,0)*4+IF(CD183&gt;14,CD183-14,0)*4+IF(CD183&gt;15,CD183-15,0)*4+IF(CD183&gt;16,CD183-16,0)*4+IF(CD183&gt;17,CD183-17,0)*4+IF(CD183&gt;18,CD183-18,0)*4+IF(CD183&gt;19,CD183-19,0)*4+IF(CD183&gt;20,CD183-20,0)*4</f>
        <v>308.02873563218378</v>
      </c>
      <c r="CH183" s="242">
        <f>IF(CE183&lt;=0,4,0)+IF(CE183&gt;0,CE183+1,0)*4+IF(CE183&gt;12,CE183-12,0)*4+IF(CE183&gt;13,CE183-13,0)*4+IF(CE183&gt;14,CE183-14,0)*4+IF(CE183&gt;15,CE183-15,0)*4+IF(CE183&gt;16,CE183-16,0)*4+IF(CE183&gt;17,CE183-17,0)*4+IF(CE183&gt;18,CE183-18,0)*4+IF(CE183&gt;19,CE183-19,0)*4+IF(CE183&gt;20,CE183-20,0)*4</f>
        <v>4</v>
      </c>
      <c r="CI183" s="243">
        <f t="shared" si="1390"/>
        <v>304.02873563218378</v>
      </c>
      <c r="CJ183" s="218">
        <f t="shared" si="1391"/>
        <v>0</v>
      </c>
      <c r="CL183" s="303" t="s">
        <v>307</v>
      </c>
      <c r="CM183" s="304" t="s">
        <v>308</v>
      </c>
      <c r="CN183" s="305" t="s">
        <v>134</v>
      </c>
      <c r="CO183" s="317">
        <f>Konvention_1slave-MUslave</f>
        <v>12</v>
      </c>
      <c r="CP183" s="254">
        <f>Konvention_1slave-KLslave</f>
        <v>12</v>
      </c>
      <c r="CQ183" s="254"/>
      <c r="CR183" s="254"/>
      <c r="CS183" s="254"/>
      <c r="CT183" s="254"/>
      <c r="CU183" s="254">
        <f>Konvention_1slave-KOslave</f>
        <v>12</v>
      </c>
      <c r="CV183" s="318"/>
      <c r="CW183" s="223">
        <f t="shared" si="1392"/>
        <v>12</v>
      </c>
      <c r="CX183" s="223">
        <f t="shared" si="1393"/>
        <v>24</v>
      </c>
      <c r="CY183" s="224">
        <f t="shared" si="1394"/>
        <v>36</v>
      </c>
      <c r="CZ183" s="237">
        <f t="shared" si="1353"/>
        <v>2304</v>
      </c>
      <c r="DA183" s="254">
        <f>CO183*CP183*KOslave+CO183*KLslave*CU183+MUslave*CP183*CU183</f>
        <v>3456</v>
      </c>
      <c r="DB183" s="224">
        <f t="shared" si="1395"/>
        <v>1728</v>
      </c>
      <c r="DC183" s="224">
        <f t="shared" si="1277"/>
        <v>7488</v>
      </c>
      <c r="DD183" s="222">
        <f t="shared" si="1396"/>
        <v>3.6923076923076925</v>
      </c>
      <c r="DE183" s="223">
        <f t="shared" si="1397"/>
        <v>11.076923076923077</v>
      </c>
      <c r="DF183" s="243">
        <f t="shared" si="1398"/>
        <v>8.3076923076923084</v>
      </c>
      <c r="DG183" s="243">
        <f t="shared" si="1399"/>
        <v>23.07692307692308</v>
      </c>
      <c r="DH183" s="252">
        <f t="shared" si="1282"/>
        <v>0</v>
      </c>
      <c r="DI183" s="309">
        <f t="shared" si="1400"/>
        <v>23.07692307692308</v>
      </c>
      <c r="DJ183" s="218">
        <f>IF(DG183&lt;=0,4,0)+IF(DG183&gt;0,DG183+1,0)*4+IF(DG183&gt;12,DG183-12,0)*4+IF(DG183&gt;13,DG183-13,0)*4+IF(DG183&gt;14,DG183-14,0)*4+IF(DG183&gt;15,DG183-15,0)*4+IF(DG183&gt;16,DG183-16,0)*4+IF(DG183&gt;17,DG183-17,0)*4+IF(DG183&gt;18,DG183-18,0)*4+IF(DG183&gt;19,DG183-19,0)*4+IF(DG183&gt;20,DG183-20,0)*4</f>
        <v>351.07692307692321</v>
      </c>
      <c r="DK183" s="242">
        <f>IF(DH183&lt;=0,4,0)+IF(DH183&gt;0,DH183+1,0)*4+IF(DH183&gt;12,DH183-12,0)*4+IF(DH183&gt;13,DH183-13,0)*4+IF(DH183&gt;14,DH183-14,0)*4+IF(DH183&gt;15,DH183-15,0)*4+IF(DH183&gt;16,DH183-16,0)*4+IF(DH183&gt;17,DH183-17,0)*4+IF(DH183&gt;18,DH183-18,0)*4+IF(DH183&gt;19,DH183-19,0)*4+IF(DH183&gt;20,DH183-20,0)*4</f>
        <v>4</v>
      </c>
      <c r="DL183" s="243">
        <f t="shared" si="1401"/>
        <v>347.07692307692321</v>
      </c>
      <c r="DM183" s="218">
        <f t="shared" si="1402"/>
        <v>0</v>
      </c>
      <c r="DO183" s="303" t="s">
        <v>307</v>
      </c>
      <c r="DP183" s="304" t="s">
        <v>308</v>
      </c>
      <c r="DQ183" s="305" t="s">
        <v>134</v>
      </c>
      <c r="DR183" s="317">
        <f>Konvention_1slave-MUslave</f>
        <v>12</v>
      </c>
      <c r="DS183" s="254">
        <f>Konvention_1slave-KLslave</f>
        <v>12</v>
      </c>
      <c r="DT183" s="254"/>
      <c r="DU183" s="254"/>
      <c r="DV183" s="254"/>
      <c r="DW183" s="254"/>
      <c r="DX183" s="254">
        <f>Konvention_1slave-KOslave</f>
        <v>12</v>
      </c>
      <c r="DY183" s="318"/>
      <c r="DZ183" s="223">
        <f t="shared" si="1403"/>
        <v>12</v>
      </c>
      <c r="EA183" s="223">
        <f t="shared" si="1404"/>
        <v>24</v>
      </c>
      <c r="EB183" s="224">
        <f t="shared" si="1405"/>
        <v>36</v>
      </c>
      <c r="EC183" s="237">
        <f t="shared" si="1354"/>
        <v>2304</v>
      </c>
      <c r="ED183" s="254">
        <f>DR183*DS183*KOslave+DR183*KLslave*DX183+MUslave*DS183*DX183</f>
        <v>3456</v>
      </c>
      <c r="EE183" s="224">
        <f t="shared" si="1406"/>
        <v>1728</v>
      </c>
      <c r="EF183" s="224">
        <f t="shared" si="1288"/>
        <v>7488</v>
      </c>
      <c r="EG183" s="222">
        <f t="shared" si="1407"/>
        <v>3.6923076923076925</v>
      </c>
      <c r="EH183" s="223">
        <f t="shared" si="1408"/>
        <v>11.076923076923077</v>
      </c>
      <c r="EI183" s="243">
        <f t="shared" si="1409"/>
        <v>8.3076923076923084</v>
      </c>
      <c r="EJ183" s="243">
        <f t="shared" si="1410"/>
        <v>23.07692307692308</v>
      </c>
      <c r="EK183" s="252">
        <f t="shared" si="1293"/>
        <v>0</v>
      </c>
      <c r="EL183" s="309">
        <f t="shared" si="1411"/>
        <v>23.07692307692308</v>
      </c>
      <c r="EM183" s="218">
        <f>IF(EJ183&lt;=0,4,0)+IF(EJ183&gt;0,EJ183+1,0)*4+IF(EJ183&gt;12,EJ183-12,0)*4+IF(EJ183&gt;13,EJ183-13,0)*4+IF(EJ183&gt;14,EJ183-14,0)*4+IF(EJ183&gt;15,EJ183-15,0)*4+IF(EJ183&gt;16,EJ183-16,0)*4+IF(EJ183&gt;17,EJ183-17,0)*4+IF(EJ183&gt;18,EJ183-18,0)*4+IF(EJ183&gt;19,EJ183-19,0)*4+IF(EJ183&gt;20,EJ183-20,0)*4</f>
        <v>351.07692307692321</v>
      </c>
      <c r="EN183" s="242">
        <f>IF(EK183&lt;=0,4,0)+IF(EK183&gt;0,EK183+1,0)*4+IF(EK183&gt;12,EK183-12,0)*4+IF(EK183&gt;13,EK183-13,0)*4+IF(EK183&gt;14,EK183-14,0)*4+IF(EK183&gt;15,EK183-15,0)*4+IF(EK183&gt;16,EK183-16,0)*4+IF(EK183&gt;17,EK183-17,0)*4+IF(EK183&gt;18,EK183-18,0)*4+IF(EK183&gt;19,EK183-19,0)*4+IF(EK183&gt;20,EK183-20,0)*4</f>
        <v>4</v>
      </c>
      <c r="EO183" s="243">
        <f t="shared" si="1412"/>
        <v>347.07692307692321</v>
      </c>
      <c r="EP183" s="218">
        <f t="shared" si="1413"/>
        <v>0</v>
      </c>
      <c r="ER183" s="303" t="s">
        <v>307</v>
      </c>
      <c r="ES183" s="304" t="s">
        <v>308</v>
      </c>
      <c r="ET183" s="305" t="s">
        <v>134</v>
      </c>
      <c r="EU183" s="317">
        <f>Konvention_1slave-MUslave</f>
        <v>12</v>
      </c>
      <c r="EV183" s="254">
        <f>Konvention_1slave-KLslave</f>
        <v>12</v>
      </c>
      <c r="EW183" s="254"/>
      <c r="EX183" s="254"/>
      <c r="EY183" s="254"/>
      <c r="EZ183" s="254"/>
      <c r="FA183" s="254">
        <f>Konvention_1slave-KOslave</f>
        <v>12</v>
      </c>
      <c r="FB183" s="318"/>
      <c r="FC183" s="223">
        <f t="shared" si="1414"/>
        <v>12</v>
      </c>
      <c r="FD183" s="223">
        <f t="shared" si="1415"/>
        <v>24</v>
      </c>
      <c r="FE183" s="224">
        <f t="shared" si="1416"/>
        <v>36</v>
      </c>
      <c r="FF183" s="237">
        <f t="shared" si="1355"/>
        <v>2304</v>
      </c>
      <c r="FG183" s="254">
        <f>EU183*EV183*KOslave+EU183*KLslave*FA183+MUslave*EV183*FA183</f>
        <v>3456</v>
      </c>
      <c r="FH183" s="224">
        <f t="shared" si="1417"/>
        <v>1728</v>
      </c>
      <c r="FI183" s="224">
        <f t="shared" si="1299"/>
        <v>7488</v>
      </c>
      <c r="FJ183" s="222">
        <f t="shared" si="1418"/>
        <v>3.6923076923076925</v>
      </c>
      <c r="FK183" s="223">
        <f t="shared" si="1419"/>
        <v>11.076923076923077</v>
      </c>
      <c r="FL183" s="243">
        <f t="shared" si="1420"/>
        <v>8.3076923076923084</v>
      </c>
      <c r="FM183" s="243">
        <f t="shared" si="1421"/>
        <v>23.07692307692308</v>
      </c>
      <c r="FN183" s="252">
        <f t="shared" si="1304"/>
        <v>0</v>
      </c>
      <c r="FO183" s="309">
        <f t="shared" si="1422"/>
        <v>23.07692307692308</v>
      </c>
      <c r="FP183" s="218">
        <f>IF(FM183&lt;=0,4,0)+IF(FM183&gt;0,FM183+1,0)*4+IF(FM183&gt;12,FM183-12,0)*4+IF(FM183&gt;13,FM183-13,0)*4+IF(FM183&gt;14,FM183-14,0)*4+IF(FM183&gt;15,FM183-15,0)*4+IF(FM183&gt;16,FM183-16,0)*4+IF(FM183&gt;17,FM183-17,0)*4+IF(FM183&gt;18,FM183-18,0)*4+IF(FM183&gt;19,FM183-19,0)*4+IF(FM183&gt;20,FM183-20,0)*4</f>
        <v>351.07692307692321</v>
      </c>
      <c r="FQ183" s="242">
        <f>IF(FN183&lt;=0,4,0)+IF(FN183&gt;0,FN183+1,0)*4+IF(FN183&gt;12,FN183-12,0)*4+IF(FN183&gt;13,FN183-13,0)*4+IF(FN183&gt;14,FN183-14,0)*4+IF(FN183&gt;15,FN183-15,0)*4+IF(FN183&gt;16,FN183-16,0)*4+IF(FN183&gt;17,FN183-17,0)*4+IF(FN183&gt;18,FN183-18,0)*4+IF(FN183&gt;19,FN183-19,0)*4+IF(FN183&gt;20,FN183-20,0)*4</f>
        <v>4</v>
      </c>
      <c r="FR183" s="243">
        <f t="shared" si="1423"/>
        <v>347.07692307692321</v>
      </c>
      <c r="FS183" s="218">
        <f t="shared" si="1424"/>
        <v>0</v>
      </c>
      <c r="FU183" s="303" t="s">
        <v>307</v>
      </c>
      <c r="FV183" s="304" t="s">
        <v>308</v>
      </c>
      <c r="FW183" s="305" t="s">
        <v>134</v>
      </c>
      <c r="FX183" s="317">
        <f>Konvention_1slave-MUslave</f>
        <v>12</v>
      </c>
      <c r="FY183" s="254">
        <f>Konvention_1slave-KLslave</f>
        <v>12</v>
      </c>
      <c r="FZ183" s="254"/>
      <c r="GA183" s="254"/>
      <c r="GB183" s="254"/>
      <c r="GC183" s="254"/>
      <c r="GD183" s="254">
        <f>Konvention_1slave-KOslave</f>
        <v>12</v>
      </c>
      <c r="GE183" s="318"/>
      <c r="GF183" s="223">
        <f t="shared" si="1425"/>
        <v>12</v>
      </c>
      <c r="GG183" s="223">
        <f t="shared" si="1426"/>
        <v>24</v>
      </c>
      <c r="GH183" s="224">
        <f t="shared" si="1427"/>
        <v>36</v>
      </c>
      <c r="GI183" s="237">
        <f t="shared" si="1356"/>
        <v>2304</v>
      </c>
      <c r="GJ183" s="254">
        <f>FX183*FY183*KOslave+FX183*KLslave*GD183+MUslave*FY183*GD183</f>
        <v>3456</v>
      </c>
      <c r="GK183" s="224">
        <f t="shared" si="1428"/>
        <v>1728</v>
      </c>
      <c r="GL183" s="224">
        <f t="shared" si="1310"/>
        <v>7488</v>
      </c>
      <c r="GM183" s="222">
        <f t="shared" si="1429"/>
        <v>3.6923076923076925</v>
      </c>
      <c r="GN183" s="223">
        <f t="shared" si="1430"/>
        <v>11.076923076923077</v>
      </c>
      <c r="GO183" s="243">
        <f t="shared" si="1431"/>
        <v>8.3076923076923084</v>
      </c>
      <c r="GP183" s="243">
        <f t="shared" si="1432"/>
        <v>23.07692307692308</v>
      </c>
      <c r="GQ183" s="252">
        <f t="shared" si="1315"/>
        <v>0</v>
      </c>
      <c r="GR183" s="309">
        <f t="shared" si="1433"/>
        <v>23.07692307692308</v>
      </c>
      <c r="GS183" s="218">
        <f>IF(GP183&lt;=0,4,0)+IF(GP183&gt;0,GP183+1,0)*4+IF(GP183&gt;12,GP183-12,0)*4+IF(GP183&gt;13,GP183-13,0)*4+IF(GP183&gt;14,GP183-14,0)*4+IF(GP183&gt;15,GP183-15,0)*4+IF(GP183&gt;16,GP183-16,0)*4+IF(GP183&gt;17,GP183-17,0)*4+IF(GP183&gt;18,GP183-18,0)*4+IF(GP183&gt;19,GP183-19,0)*4+IF(GP183&gt;20,GP183-20,0)*4</f>
        <v>351.07692307692321</v>
      </c>
      <c r="GT183" s="242">
        <f>IF(GQ183&lt;=0,4,0)+IF(GQ183&gt;0,GQ183+1,0)*4+IF(GQ183&gt;12,GQ183-12,0)*4+IF(GQ183&gt;13,GQ183-13,0)*4+IF(GQ183&gt;14,GQ183-14,0)*4+IF(GQ183&gt;15,GQ183-15,0)*4+IF(GQ183&gt;16,GQ183-16,0)*4+IF(GQ183&gt;17,GQ183-17,0)*4+IF(GQ183&gt;18,GQ183-18,0)*4+IF(GQ183&gt;19,GQ183-19,0)*4+IF(GQ183&gt;20,GQ183-20,0)*4</f>
        <v>4</v>
      </c>
      <c r="GU183" s="243">
        <f t="shared" si="1434"/>
        <v>347.07692307692321</v>
      </c>
      <c r="GV183" s="218">
        <f t="shared" si="1435"/>
        <v>0</v>
      </c>
      <c r="GX183" s="303" t="s">
        <v>307</v>
      </c>
      <c r="GY183" s="304" t="s">
        <v>308</v>
      </c>
      <c r="GZ183" s="305" t="s">
        <v>134</v>
      </c>
      <c r="HA183" s="317">
        <f>Konvention_1slave-MUslave</f>
        <v>12</v>
      </c>
      <c r="HB183" s="254">
        <f>Konvention_1slave-KLslave</f>
        <v>12</v>
      </c>
      <c r="HC183" s="254"/>
      <c r="HD183" s="254"/>
      <c r="HE183" s="254"/>
      <c r="HF183" s="254"/>
      <c r="HG183" s="254">
        <f>Konvention_1slave-KOslave_KO</f>
        <v>11</v>
      </c>
      <c r="HH183" s="318"/>
      <c r="HI183" s="223">
        <f t="shared" si="1436"/>
        <v>11.666666666666666</v>
      </c>
      <c r="HJ183" s="223">
        <f t="shared" si="1437"/>
        <v>23.333333333333332</v>
      </c>
      <c r="HK183" s="224">
        <f t="shared" si="1438"/>
        <v>35</v>
      </c>
      <c r="HL183" s="237">
        <f t="shared" si="1357"/>
        <v>2432</v>
      </c>
      <c r="HM183" s="254">
        <f>HA183*HB183*KOslave_KO+HA183*KLslave*HG183+MUslave*HB183*HG183</f>
        <v>3408</v>
      </c>
      <c r="HN183" s="224">
        <f t="shared" si="1439"/>
        <v>1584</v>
      </c>
      <c r="HO183" s="224">
        <f t="shared" si="1321"/>
        <v>7424</v>
      </c>
      <c r="HP183" s="222">
        <f t="shared" si="1440"/>
        <v>3.8218390804597702</v>
      </c>
      <c r="HQ183" s="223">
        <f t="shared" si="1441"/>
        <v>10.711206896551724</v>
      </c>
      <c r="HR183" s="243">
        <f t="shared" si="1442"/>
        <v>7.4676724137931032</v>
      </c>
      <c r="HS183" s="243">
        <f t="shared" si="1443"/>
        <v>22.000718390804597</v>
      </c>
      <c r="HT183" s="252">
        <f t="shared" si="1326"/>
        <v>0</v>
      </c>
      <c r="HU183" s="309">
        <f t="shared" si="1444"/>
        <v>22.000718390804597</v>
      </c>
      <c r="HV183" s="218">
        <f>IF(HS183&lt;=0,4,0)+IF(HS183&gt;0,HS183+1,0)*4+IF(HS183&gt;12,HS183-12,0)*4+IF(HS183&gt;13,HS183-13,0)*4+IF(HS183&gt;14,HS183-14,0)*4+IF(HS183&gt;15,HS183-15,0)*4+IF(HS183&gt;16,HS183-16,0)*4+IF(HS183&gt;17,HS183-17,0)*4+IF(HS183&gt;18,HS183-18,0)*4+IF(HS183&gt;19,HS183-19,0)*4+IF(HS183&gt;20,HS183-20,0)*4</f>
        <v>308.02873563218378</v>
      </c>
      <c r="HW183" s="242">
        <f>IF(HT183&lt;=0,4,0)+IF(HT183&gt;0,HT183+1,0)*4+IF(HT183&gt;12,HT183-12,0)*4+IF(HT183&gt;13,HT183-13,0)*4+IF(HT183&gt;14,HT183-14,0)*4+IF(HT183&gt;15,HT183-15,0)*4+IF(HT183&gt;16,HT183-16,0)*4+IF(HT183&gt;17,HT183-17,0)*4+IF(HT183&gt;18,HT183-18,0)*4+IF(HT183&gt;19,HT183-19,0)*4+IF(HT183&gt;20,HT183-20,0)*4</f>
        <v>4</v>
      </c>
      <c r="HX183" s="243">
        <f t="shared" si="1445"/>
        <v>304.02873563218378</v>
      </c>
      <c r="HY183" s="218">
        <f t="shared" si="1446"/>
        <v>0</v>
      </c>
      <c r="IA183" s="303" t="s">
        <v>307</v>
      </c>
      <c r="IB183" s="304" t="s">
        <v>308</v>
      </c>
      <c r="IC183" s="305" t="s">
        <v>134</v>
      </c>
      <c r="ID183" s="317">
        <f>Konvention_1slave-MUslave</f>
        <v>12</v>
      </c>
      <c r="IE183" s="254">
        <f>Konvention_1slave-KLslave</f>
        <v>12</v>
      </c>
      <c r="IF183" s="254"/>
      <c r="IG183" s="254"/>
      <c r="IH183" s="254"/>
      <c r="II183" s="254"/>
      <c r="IJ183" s="254">
        <f>Konvention_1slave-KOslave</f>
        <v>12</v>
      </c>
      <c r="IK183" s="318"/>
      <c r="IL183" s="223">
        <f t="shared" si="1447"/>
        <v>12</v>
      </c>
      <c r="IM183" s="223">
        <f t="shared" si="1448"/>
        <v>24</v>
      </c>
      <c r="IN183" s="224">
        <f t="shared" si="1449"/>
        <v>36</v>
      </c>
      <c r="IO183" s="237">
        <f t="shared" si="1358"/>
        <v>2304</v>
      </c>
      <c r="IP183" s="254">
        <f>ID183*IE183*KOslave+ID183*KLslave*IJ183+MUslave*IE183*IJ183</f>
        <v>3456</v>
      </c>
      <c r="IQ183" s="224">
        <f t="shared" si="1450"/>
        <v>1728</v>
      </c>
      <c r="IR183" s="224">
        <f t="shared" si="1332"/>
        <v>7488</v>
      </c>
      <c r="IS183" s="222">
        <f t="shared" si="1451"/>
        <v>3.6923076923076925</v>
      </c>
      <c r="IT183" s="223">
        <f t="shared" si="1452"/>
        <v>11.076923076923077</v>
      </c>
      <c r="IU183" s="243">
        <f t="shared" si="1453"/>
        <v>8.3076923076923084</v>
      </c>
      <c r="IV183" s="243">
        <f t="shared" si="1454"/>
        <v>23.07692307692308</v>
      </c>
      <c r="IW183" s="252">
        <f t="shared" si="1337"/>
        <v>0</v>
      </c>
      <c r="IX183" s="309">
        <f t="shared" si="1455"/>
        <v>23.07692307692308</v>
      </c>
      <c r="IY183" s="218">
        <f>IF(IV183&lt;=0,4,0)+IF(IV183&gt;0,IV183+1,0)*4+IF(IV183&gt;12,IV183-12,0)*4+IF(IV183&gt;13,IV183-13,0)*4+IF(IV183&gt;14,IV183-14,0)*4+IF(IV183&gt;15,IV183-15,0)*4+IF(IV183&gt;16,IV183-16,0)*4+IF(IV183&gt;17,IV183-17,0)*4+IF(IV183&gt;18,IV183-18,0)*4+IF(IV183&gt;19,IV183-19,0)*4+IF(IV183&gt;20,IV183-20,0)*4</f>
        <v>351.07692307692321</v>
      </c>
      <c r="IZ183" s="242">
        <f>IF(IW183&lt;=0,4,0)+IF(IW183&gt;0,IW183+1,0)*4+IF(IW183&gt;12,IW183-12,0)*4+IF(IW183&gt;13,IW183-13,0)*4+IF(IW183&gt;14,IW183-14,0)*4+IF(IW183&gt;15,IW183-15,0)*4+IF(IW183&gt;16,IW183-16,0)*4+IF(IW183&gt;17,IW183-17,0)*4+IF(IW183&gt;18,IW183-18,0)*4+IF(IW183&gt;19,IW183-19,0)*4+IF(IW183&gt;20,IW183-20,0)*4</f>
        <v>4</v>
      </c>
      <c r="JA183" s="243">
        <f t="shared" si="1456"/>
        <v>347.07692307692321</v>
      </c>
      <c r="JB183" s="218">
        <f t="shared" si="1457"/>
        <v>0</v>
      </c>
      <c r="JE183" s="148"/>
    </row>
    <row r="184" spans="2:265" hidden="1" outlineLevel="2">
      <c r="B184" s="148">
        <v>32</v>
      </c>
      <c r="C184" s="303" t="e">
        <f>VLOOKUP(AF184,Attribute!C:T,1,FALSE)</f>
        <v>#N/A</v>
      </c>
      <c r="D184" s="86" t="s">
        <v>87</v>
      </c>
      <c r="E184" s="167" t="s">
        <v>132</v>
      </c>
      <c r="F184" s="120"/>
      <c r="G184" s="117">
        <f>Konvention_1master-KLmaster</f>
        <v>12</v>
      </c>
      <c r="H184" s="117">
        <f>Konvention_1master-INmaster</f>
        <v>12</v>
      </c>
      <c r="I184" s="117">
        <f>Konvention_1master-CHmaster</f>
        <v>12</v>
      </c>
      <c r="J184" s="117"/>
      <c r="K184" s="117"/>
      <c r="L184" s="117"/>
      <c r="M184" s="121"/>
      <c r="N184" s="223">
        <f t="shared" si="1359"/>
        <v>12</v>
      </c>
      <c r="O184" s="223">
        <f t="shared" si="1360"/>
        <v>24</v>
      </c>
      <c r="P184" s="224">
        <f t="shared" si="1361"/>
        <v>36</v>
      </c>
      <c r="Q184" s="237">
        <f t="shared" si="1350"/>
        <v>2304</v>
      </c>
      <c r="R184" s="117">
        <f>G184*H184*CHmaster+G184*INmaster*I184+KLmaster*H184*I184</f>
        <v>3456</v>
      </c>
      <c r="S184" s="224">
        <f t="shared" si="1362"/>
        <v>1728</v>
      </c>
      <c r="T184" s="224">
        <f t="shared" si="1507"/>
        <v>7488</v>
      </c>
      <c r="U184" s="222">
        <f t="shared" si="1363"/>
        <v>3.6923076923076925</v>
      </c>
      <c r="V184" s="223">
        <f t="shared" si="1364"/>
        <v>11.076923076923077</v>
      </c>
      <c r="W184" s="243">
        <f t="shared" si="1365"/>
        <v>8.3076923076923084</v>
      </c>
      <c r="X184" s="243">
        <f t="shared" si="1366"/>
        <v>23.07692307692308</v>
      </c>
      <c r="Y184" s="252">
        <v>0</v>
      </c>
      <c r="Z184" s="198">
        <f t="shared" si="1367"/>
        <v>23.07692307692308</v>
      </c>
      <c r="AA184" s="125">
        <f>IF(X184&lt;=0,2,0)+IF(X184&gt;0,X184+1,0)*2+IF(X184&gt;12,X184-12,0)*2+IF(X184&gt;13,X184-13,0)*2+IF(X184&gt;14,X184-14,0)*2+IF(X184&gt;15,X184-15,0)*2+IF(X184&gt;16,X184-16,0)*2+IF(X184&gt;17,X184-17,0)*2+IF(X184&gt;18,X184-18,0)*2+IF(X184&gt;19,X184-19,0)*2+IF(X184&gt;20,X184-20,0)*2</f>
        <v>175.5384615384616</v>
      </c>
      <c r="AB184" s="160">
        <f>IF(Y184&lt;=0,2,0)+IF(Y184&gt;0,Y184+1,0)*2+IF(Y184&gt;12,Y184-12,0)*2+IF(Y184&gt;13,Y184-13,0)*2+IF(Y184&gt;14,Y184-14,0)*2+IF(Y184&gt;15,Y184-15,0)*2+IF(Y184&gt;16,Y184-16,0)*2+IF(Y184&gt;17,Y184-17,0)*2+IF(Y184&gt;18,Y184-18,0)*2+IF(Y184&gt;19,Y184-19,0)*2+IF(Y184&gt;20,Y184-20,0)*2</f>
        <v>2</v>
      </c>
      <c r="AC184" s="127">
        <f t="shared" si="1368"/>
        <v>173.5384615384616</v>
      </c>
      <c r="AD184" s="125">
        <f t="shared" si="1369"/>
        <v>0</v>
      </c>
      <c r="AF184" s="163" t="s">
        <v>389</v>
      </c>
      <c r="AG184" s="86" t="s">
        <v>87</v>
      </c>
      <c r="AH184" s="167" t="s">
        <v>132</v>
      </c>
      <c r="AI184" s="120"/>
      <c r="AJ184" s="117">
        <f>Konvention_1slave-KLslave</f>
        <v>12</v>
      </c>
      <c r="AK184" s="117">
        <f>Konvention_1slave-INslave</f>
        <v>12</v>
      </c>
      <c r="AL184" s="117">
        <f>Konvention_1slave-CHslave</f>
        <v>12</v>
      </c>
      <c r="AM184" s="117"/>
      <c r="AN184" s="117"/>
      <c r="AO184" s="117"/>
      <c r="AP184" s="121"/>
      <c r="AQ184" s="47">
        <f t="shared" si="1370"/>
        <v>12</v>
      </c>
      <c r="AR184" s="3">
        <f t="shared" si="1371"/>
        <v>24</v>
      </c>
      <c r="AS184" s="174">
        <f t="shared" si="1372"/>
        <v>36</v>
      </c>
      <c r="AT184" s="114">
        <f t="shared" si="1351"/>
        <v>2304</v>
      </c>
      <c r="AU184" s="117">
        <f>AJ184*AK184*CHslave+AJ184*INslave*AL184+KLslave*AK184*AL184</f>
        <v>3456</v>
      </c>
      <c r="AV184" s="119">
        <f t="shared" si="1373"/>
        <v>1728</v>
      </c>
      <c r="AW184" s="119">
        <f t="shared" si="1255"/>
        <v>7488</v>
      </c>
      <c r="AX184" s="89">
        <f t="shared" si="1374"/>
        <v>3.6923076923076925</v>
      </c>
      <c r="AY184" s="47">
        <f t="shared" si="1375"/>
        <v>11.076923076923077</v>
      </c>
      <c r="AZ184" s="127">
        <f t="shared" si="1376"/>
        <v>8.3076923076923084</v>
      </c>
      <c r="BA184" s="127">
        <f t="shared" si="1377"/>
        <v>23.07692307692308</v>
      </c>
      <c r="BB184" s="165">
        <f t="shared" si="1260"/>
        <v>0</v>
      </c>
      <c r="BC184" s="198">
        <f t="shared" si="1378"/>
        <v>23.07692307692308</v>
      </c>
      <c r="BD184" s="125">
        <f>IF(BA184&lt;=0,2,0)+IF(BA184&gt;0,BA184+1,0)*2+IF(BA184&gt;12,BA184-12,0)*2+IF(BA184&gt;13,BA184-13,0)*2+IF(BA184&gt;14,BA184-14,0)*2+IF(BA184&gt;15,BA184-15,0)*2+IF(BA184&gt;16,BA184-16,0)*2+IF(BA184&gt;17,BA184-17,0)*2+IF(BA184&gt;18,BA184-18,0)*2+IF(BA184&gt;19,BA184-19,0)*2+IF(BA184&gt;20,BA184-20,0)*2</f>
        <v>175.5384615384616</v>
      </c>
      <c r="BE184" s="160">
        <f>IF(BB184&lt;=0,2,0)+IF(BB184&gt;0,BB184+1,0)*2+IF(BB184&gt;12,BB184-12,0)*2+IF(BB184&gt;13,BB184-13,0)*2+IF(BB184&gt;14,BB184-14,0)*2+IF(BB184&gt;15,BB184-15,0)*2+IF(BB184&gt;16,BB184-16,0)*2+IF(BB184&gt;17,BB184-17,0)*2+IF(BB184&gt;18,BB184-18,0)*2+IF(BB184&gt;19,BB184-19,0)*2+IF(BB184&gt;20,BB184-20,0)*2</f>
        <v>2</v>
      </c>
      <c r="BF184" s="243">
        <f t="shared" si="1379"/>
        <v>173.5384615384616</v>
      </c>
      <c r="BG184" s="218">
        <f t="shared" si="1380"/>
        <v>0</v>
      </c>
      <c r="BI184" s="303" t="s">
        <v>389</v>
      </c>
      <c r="BJ184" s="304" t="s">
        <v>87</v>
      </c>
      <c r="BK184" s="305" t="s">
        <v>132</v>
      </c>
      <c r="BL184" s="317"/>
      <c r="BM184" s="254">
        <f>Konvention_1slave-KLslave_KL</f>
        <v>11</v>
      </c>
      <c r="BN184" s="254">
        <f>Konvention_1slave-INslave</f>
        <v>12</v>
      </c>
      <c r="BO184" s="254">
        <f>Konvention_1slave-CHslave</f>
        <v>12</v>
      </c>
      <c r="BP184" s="254"/>
      <c r="BQ184" s="254"/>
      <c r="BR184" s="254"/>
      <c r="BS184" s="318"/>
      <c r="BT184" s="223">
        <f t="shared" si="1381"/>
        <v>11.666666666666666</v>
      </c>
      <c r="BU184" s="223">
        <f t="shared" si="1382"/>
        <v>23.333333333333332</v>
      </c>
      <c r="BV184" s="224">
        <f t="shared" si="1383"/>
        <v>35</v>
      </c>
      <c r="BW184" s="237">
        <f t="shared" si="1352"/>
        <v>2432</v>
      </c>
      <c r="BX184" s="254">
        <f>BM184*BN184*CHslave+BM184*INslave*BO184+KLslave_KL*BN184*BO184</f>
        <v>3408</v>
      </c>
      <c r="BY184" s="224">
        <f t="shared" si="1384"/>
        <v>1584</v>
      </c>
      <c r="BZ184" s="224">
        <f t="shared" si="1266"/>
        <v>7424</v>
      </c>
      <c r="CA184" s="222">
        <f t="shared" si="1385"/>
        <v>3.8218390804597702</v>
      </c>
      <c r="CB184" s="223">
        <f t="shared" si="1386"/>
        <v>10.711206896551724</v>
      </c>
      <c r="CC184" s="243">
        <f t="shared" si="1387"/>
        <v>7.4676724137931032</v>
      </c>
      <c r="CD184" s="243">
        <f t="shared" si="1388"/>
        <v>22.000718390804597</v>
      </c>
      <c r="CE184" s="252">
        <f t="shared" si="1271"/>
        <v>0</v>
      </c>
      <c r="CF184" s="309">
        <f t="shared" si="1389"/>
        <v>22.000718390804597</v>
      </c>
      <c r="CG184" s="218">
        <f>IF(CD184&lt;=0,2,0)+IF(CD184&gt;0,CD184+1,0)*2+IF(CD184&gt;12,CD184-12,0)*2+IF(CD184&gt;13,CD184-13,0)*2+IF(CD184&gt;14,CD184-14,0)*2+IF(CD184&gt;15,CD184-15,0)*2+IF(CD184&gt;16,CD184-16,0)*2+IF(CD184&gt;17,CD184-17,0)*2+IF(CD184&gt;18,CD184-18,0)*2+IF(CD184&gt;19,CD184-19,0)*2+IF(CD184&gt;20,CD184-20,0)*2</f>
        <v>154.01436781609189</v>
      </c>
      <c r="CH184" s="242">
        <f>IF(CE184&lt;=0,2,0)+IF(CE184&gt;0,CE184+1,0)*2+IF(CE184&gt;12,CE184-12,0)*2+IF(CE184&gt;13,CE184-13,0)*2+IF(CE184&gt;14,CE184-14,0)*2+IF(CE184&gt;15,CE184-15,0)*2+IF(CE184&gt;16,CE184-16,0)*2+IF(CE184&gt;17,CE184-17,0)*2+IF(CE184&gt;18,CE184-18,0)*2+IF(CE184&gt;19,CE184-19,0)*2+IF(CE184&gt;20,CE184-20,0)*2</f>
        <v>2</v>
      </c>
      <c r="CI184" s="243">
        <f t="shared" si="1390"/>
        <v>152.01436781609189</v>
      </c>
      <c r="CJ184" s="218">
        <f t="shared" si="1391"/>
        <v>0</v>
      </c>
      <c r="CL184" s="303" t="s">
        <v>389</v>
      </c>
      <c r="CM184" s="304" t="s">
        <v>87</v>
      </c>
      <c r="CN184" s="305" t="s">
        <v>132</v>
      </c>
      <c r="CO184" s="317"/>
      <c r="CP184" s="254">
        <f>Konvention_1slave-KLslave</f>
        <v>12</v>
      </c>
      <c r="CQ184" s="254">
        <f>Konvention_1slave-INslave_IN</f>
        <v>11</v>
      </c>
      <c r="CR184" s="254">
        <f>Konvention_1slave-CHslave</f>
        <v>12</v>
      </c>
      <c r="CS184" s="254"/>
      <c r="CT184" s="254"/>
      <c r="CU184" s="254"/>
      <c r="CV184" s="318"/>
      <c r="CW184" s="223">
        <f t="shared" si="1392"/>
        <v>11.666666666666666</v>
      </c>
      <c r="CX184" s="223">
        <f t="shared" si="1393"/>
        <v>23.333333333333332</v>
      </c>
      <c r="CY184" s="224">
        <f t="shared" si="1394"/>
        <v>35</v>
      </c>
      <c r="CZ184" s="237">
        <f t="shared" si="1353"/>
        <v>2432</v>
      </c>
      <c r="DA184" s="254">
        <f>CP184*CQ184*CHslave+CP184*INslave_IN*CR184+KLslave*CQ184*CR184</f>
        <v>3408</v>
      </c>
      <c r="DB184" s="224">
        <f t="shared" si="1395"/>
        <v>1584</v>
      </c>
      <c r="DC184" s="224">
        <f t="shared" si="1277"/>
        <v>7424</v>
      </c>
      <c r="DD184" s="222">
        <f t="shared" si="1396"/>
        <v>3.8218390804597702</v>
      </c>
      <c r="DE184" s="223">
        <f t="shared" si="1397"/>
        <v>10.711206896551724</v>
      </c>
      <c r="DF184" s="243">
        <f t="shared" si="1398"/>
        <v>7.4676724137931032</v>
      </c>
      <c r="DG184" s="243">
        <f t="shared" si="1399"/>
        <v>22.000718390804597</v>
      </c>
      <c r="DH184" s="252">
        <f t="shared" si="1282"/>
        <v>0</v>
      </c>
      <c r="DI184" s="309">
        <f t="shared" si="1400"/>
        <v>22.000718390804597</v>
      </c>
      <c r="DJ184" s="218">
        <f>IF(DG184&lt;=0,2,0)+IF(DG184&gt;0,DG184+1,0)*2+IF(DG184&gt;12,DG184-12,0)*2+IF(DG184&gt;13,DG184-13,0)*2+IF(DG184&gt;14,DG184-14,0)*2+IF(DG184&gt;15,DG184-15,0)*2+IF(DG184&gt;16,DG184-16,0)*2+IF(DG184&gt;17,DG184-17,0)*2+IF(DG184&gt;18,DG184-18,0)*2+IF(DG184&gt;19,DG184-19,0)*2+IF(DG184&gt;20,DG184-20,0)*2</f>
        <v>154.01436781609189</v>
      </c>
      <c r="DK184" s="242">
        <f>IF(DH184&lt;=0,2,0)+IF(DH184&gt;0,DH184+1,0)*2+IF(DH184&gt;12,DH184-12,0)*2+IF(DH184&gt;13,DH184-13,0)*2+IF(DH184&gt;14,DH184-14,0)*2+IF(DH184&gt;15,DH184-15,0)*2+IF(DH184&gt;16,DH184-16,0)*2+IF(DH184&gt;17,DH184-17,0)*2+IF(DH184&gt;18,DH184-18,0)*2+IF(DH184&gt;19,DH184-19,0)*2+IF(DH184&gt;20,DH184-20,0)*2</f>
        <v>2</v>
      </c>
      <c r="DL184" s="243">
        <f t="shared" si="1401"/>
        <v>152.01436781609189</v>
      </c>
      <c r="DM184" s="218">
        <f t="shared" si="1402"/>
        <v>0</v>
      </c>
      <c r="DO184" s="303" t="s">
        <v>389</v>
      </c>
      <c r="DP184" s="304" t="s">
        <v>87</v>
      </c>
      <c r="DQ184" s="305" t="s">
        <v>132</v>
      </c>
      <c r="DR184" s="317"/>
      <c r="DS184" s="254">
        <f>Konvention_1slave-KLslave</f>
        <v>12</v>
      </c>
      <c r="DT184" s="254">
        <f>Konvention_1slave-INslave</f>
        <v>12</v>
      </c>
      <c r="DU184" s="254">
        <f>Konvention_1slave-CHslave_CH</f>
        <v>11</v>
      </c>
      <c r="DV184" s="254"/>
      <c r="DW184" s="254"/>
      <c r="DX184" s="254"/>
      <c r="DY184" s="318"/>
      <c r="DZ184" s="223">
        <f t="shared" si="1403"/>
        <v>11.666666666666666</v>
      </c>
      <c r="EA184" s="223">
        <f t="shared" si="1404"/>
        <v>23.333333333333332</v>
      </c>
      <c r="EB184" s="224">
        <f t="shared" si="1405"/>
        <v>35</v>
      </c>
      <c r="EC184" s="237">
        <f t="shared" si="1354"/>
        <v>2432</v>
      </c>
      <c r="ED184" s="254">
        <f>DS184*DT184*CHslave_CH+DS184*INslave*DU184+KLslave*DT184*DU184</f>
        <v>3408</v>
      </c>
      <c r="EE184" s="224">
        <f t="shared" si="1406"/>
        <v>1584</v>
      </c>
      <c r="EF184" s="224">
        <f t="shared" si="1288"/>
        <v>7424</v>
      </c>
      <c r="EG184" s="222">
        <f t="shared" si="1407"/>
        <v>3.8218390804597702</v>
      </c>
      <c r="EH184" s="223">
        <f t="shared" si="1408"/>
        <v>10.711206896551724</v>
      </c>
      <c r="EI184" s="243">
        <f t="shared" si="1409"/>
        <v>7.4676724137931032</v>
      </c>
      <c r="EJ184" s="243">
        <f t="shared" si="1410"/>
        <v>22.000718390804597</v>
      </c>
      <c r="EK184" s="252">
        <f t="shared" si="1293"/>
        <v>0</v>
      </c>
      <c r="EL184" s="309">
        <f t="shared" si="1411"/>
        <v>22.000718390804597</v>
      </c>
      <c r="EM184" s="218">
        <f>IF(EJ184&lt;=0,2,0)+IF(EJ184&gt;0,EJ184+1,0)*2+IF(EJ184&gt;12,EJ184-12,0)*2+IF(EJ184&gt;13,EJ184-13,0)*2+IF(EJ184&gt;14,EJ184-14,0)*2+IF(EJ184&gt;15,EJ184-15,0)*2+IF(EJ184&gt;16,EJ184-16,0)*2+IF(EJ184&gt;17,EJ184-17,0)*2+IF(EJ184&gt;18,EJ184-18,0)*2+IF(EJ184&gt;19,EJ184-19,0)*2+IF(EJ184&gt;20,EJ184-20,0)*2</f>
        <v>154.01436781609189</v>
      </c>
      <c r="EN184" s="242">
        <f>IF(EK184&lt;=0,2,0)+IF(EK184&gt;0,EK184+1,0)*2+IF(EK184&gt;12,EK184-12,0)*2+IF(EK184&gt;13,EK184-13,0)*2+IF(EK184&gt;14,EK184-14,0)*2+IF(EK184&gt;15,EK184-15,0)*2+IF(EK184&gt;16,EK184-16,0)*2+IF(EK184&gt;17,EK184-17,0)*2+IF(EK184&gt;18,EK184-18,0)*2+IF(EK184&gt;19,EK184-19,0)*2+IF(EK184&gt;20,EK184-20,0)*2</f>
        <v>2</v>
      </c>
      <c r="EO184" s="243">
        <f t="shared" si="1412"/>
        <v>152.01436781609189</v>
      </c>
      <c r="EP184" s="218">
        <f t="shared" si="1413"/>
        <v>0</v>
      </c>
      <c r="ER184" s="303" t="s">
        <v>389</v>
      </c>
      <c r="ES184" s="304" t="s">
        <v>87</v>
      </c>
      <c r="ET184" s="305" t="s">
        <v>132</v>
      </c>
      <c r="EU184" s="317"/>
      <c r="EV184" s="254">
        <f>Konvention_1slave-KLslave</f>
        <v>12</v>
      </c>
      <c r="EW184" s="254">
        <f>Konvention_1slave-INslave</f>
        <v>12</v>
      </c>
      <c r="EX184" s="254">
        <f>Konvention_1slave-CHslave</f>
        <v>12</v>
      </c>
      <c r="EY184" s="254"/>
      <c r="EZ184" s="254"/>
      <c r="FA184" s="254"/>
      <c r="FB184" s="318"/>
      <c r="FC184" s="223">
        <f t="shared" si="1414"/>
        <v>12</v>
      </c>
      <c r="FD184" s="223">
        <f t="shared" si="1415"/>
        <v>24</v>
      </c>
      <c r="FE184" s="224">
        <f t="shared" si="1416"/>
        <v>36</v>
      </c>
      <c r="FF184" s="237">
        <f t="shared" si="1355"/>
        <v>2304</v>
      </c>
      <c r="FG184" s="254">
        <f>EV184*EW184*CHslave+EV184*INslave*EX184+KLslave*EW184*EX184</f>
        <v>3456</v>
      </c>
      <c r="FH184" s="224">
        <f t="shared" si="1417"/>
        <v>1728</v>
      </c>
      <c r="FI184" s="224">
        <f t="shared" si="1299"/>
        <v>7488</v>
      </c>
      <c r="FJ184" s="222">
        <f t="shared" si="1418"/>
        <v>3.6923076923076925</v>
      </c>
      <c r="FK184" s="223">
        <f t="shared" si="1419"/>
        <v>11.076923076923077</v>
      </c>
      <c r="FL184" s="243">
        <f t="shared" si="1420"/>
        <v>8.3076923076923084</v>
      </c>
      <c r="FM184" s="243">
        <f t="shared" si="1421"/>
        <v>23.07692307692308</v>
      </c>
      <c r="FN184" s="252">
        <f t="shared" si="1304"/>
        <v>0</v>
      </c>
      <c r="FO184" s="309">
        <f t="shared" si="1422"/>
        <v>23.07692307692308</v>
      </c>
      <c r="FP184" s="218">
        <f>IF(FM184&lt;=0,2,0)+IF(FM184&gt;0,FM184+1,0)*2+IF(FM184&gt;12,FM184-12,0)*2+IF(FM184&gt;13,FM184-13,0)*2+IF(FM184&gt;14,FM184-14,0)*2+IF(FM184&gt;15,FM184-15,0)*2+IF(FM184&gt;16,FM184-16,0)*2+IF(FM184&gt;17,FM184-17,0)*2+IF(FM184&gt;18,FM184-18,0)*2+IF(FM184&gt;19,FM184-19,0)*2+IF(FM184&gt;20,FM184-20,0)*2</f>
        <v>175.5384615384616</v>
      </c>
      <c r="FQ184" s="242">
        <f>IF(FN184&lt;=0,2,0)+IF(FN184&gt;0,FN184+1,0)*2+IF(FN184&gt;12,FN184-12,0)*2+IF(FN184&gt;13,FN184-13,0)*2+IF(FN184&gt;14,FN184-14,0)*2+IF(FN184&gt;15,FN184-15,0)*2+IF(FN184&gt;16,FN184-16,0)*2+IF(FN184&gt;17,FN184-17,0)*2+IF(FN184&gt;18,FN184-18,0)*2+IF(FN184&gt;19,FN184-19,0)*2+IF(FN184&gt;20,FN184-20,0)*2</f>
        <v>2</v>
      </c>
      <c r="FR184" s="243">
        <f t="shared" si="1423"/>
        <v>173.5384615384616</v>
      </c>
      <c r="FS184" s="218">
        <f t="shared" si="1424"/>
        <v>0</v>
      </c>
      <c r="FU184" s="303" t="s">
        <v>389</v>
      </c>
      <c r="FV184" s="304" t="s">
        <v>87</v>
      </c>
      <c r="FW184" s="305" t="s">
        <v>132</v>
      </c>
      <c r="FX184" s="317"/>
      <c r="FY184" s="254">
        <f>Konvention_1slave-KLslave</f>
        <v>12</v>
      </c>
      <c r="FZ184" s="254">
        <f>Konvention_1slave-INslave</f>
        <v>12</v>
      </c>
      <c r="GA184" s="254">
        <f>Konvention_1slave-CHslave</f>
        <v>12</v>
      </c>
      <c r="GB184" s="254"/>
      <c r="GC184" s="254"/>
      <c r="GD184" s="254"/>
      <c r="GE184" s="318"/>
      <c r="GF184" s="223">
        <f t="shared" si="1425"/>
        <v>12</v>
      </c>
      <c r="GG184" s="223">
        <f t="shared" si="1426"/>
        <v>24</v>
      </c>
      <c r="GH184" s="224">
        <f t="shared" si="1427"/>
        <v>36</v>
      </c>
      <c r="GI184" s="237">
        <f t="shared" si="1356"/>
        <v>2304</v>
      </c>
      <c r="GJ184" s="254">
        <f>FY184*FZ184*CHslave+FY184*INslave*GA184+KLslave*FZ184*GA184</f>
        <v>3456</v>
      </c>
      <c r="GK184" s="224">
        <f t="shared" si="1428"/>
        <v>1728</v>
      </c>
      <c r="GL184" s="224">
        <f t="shared" si="1310"/>
        <v>7488</v>
      </c>
      <c r="GM184" s="222">
        <f t="shared" si="1429"/>
        <v>3.6923076923076925</v>
      </c>
      <c r="GN184" s="223">
        <f t="shared" si="1430"/>
        <v>11.076923076923077</v>
      </c>
      <c r="GO184" s="243">
        <f t="shared" si="1431"/>
        <v>8.3076923076923084</v>
      </c>
      <c r="GP184" s="243">
        <f t="shared" si="1432"/>
        <v>23.07692307692308</v>
      </c>
      <c r="GQ184" s="252">
        <f t="shared" si="1315"/>
        <v>0</v>
      </c>
      <c r="GR184" s="309">
        <f t="shared" si="1433"/>
        <v>23.07692307692308</v>
      </c>
      <c r="GS184" s="218">
        <f>IF(GP184&lt;=0,2,0)+IF(GP184&gt;0,GP184+1,0)*2+IF(GP184&gt;12,GP184-12,0)*2+IF(GP184&gt;13,GP184-13,0)*2+IF(GP184&gt;14,GP184-14,0)*2+IF(GP184&gt;15,GP184-15,0)*2+IF(GP184&gt;16,GP184-16,0)*2+IF(GP184&gt;17,GP184-17,0)*2+IF(GP184&gt;18,GP184-18,0)*2+IF(GP184&gt;19,GP184-19,0)*2+IF(GP184&gt;20,GP184-20,0)*2</f>
        <v>175.5384615384616</v>
      </c>
      <c r="GT184" s="242">
        <f>IF(GQ184&lt;=0,2,0)+IF(GQ184&gt;0,GQ184+1,0)*2+IF(GQ184&gt;12,GQ184-12,0)*2+IF(GQ184&gt;13,GQ184-13,0)*2+IF(GQ184&gt;14,GQ184-14,0)*2+IF(GQ184&gt;15,GQ184-15,0)*2+IF(GQ184&gt;16,GQ184-16,0)*2+IF(GQ184&gt;17,GQ184-17,0)*2+IF(GQ184&gt;18,GQ184-18,0)*2+IF(GQ184&gt;19,GQ184-19,0)*2+IF(GQ184&gt;20,GQ184-20,0)*2</f>
        <v>2</v>
      </c>
      <c r="GU184" s="243">
        <f t="shared" si="1434"/>
        <v>173.5384615384616</v>
      </c>
      <c r="GV184" s="218">
        <f t="shared" si="1435"/>
        <v>0</v>
      </c>
      <c r="GX184" s="303" t="s">
        <v>389</v>
      </c>
      <c r="GY184" s="304" t="s">
        <v>87</v>
      </c>
      <c r="GZ184" s="305" t="s">
        <v>132</v>
      </c>
      <c r="HA184" s="317"/>
      <c r="HB184" s="254">
        <f>Konvention_1slave-KLslave</f>
        <v>12</v>
      </c>
      <c r="HC184" s="254">
        <f>Konvention_1slave-INslave</f>
        <v>12</v>
      </c>
      <c r="HD184" s="254">
        <f>Konvention_1slave-CHslave</f>
        <v>12</v>
      </c>
      <c r="HE184" s="254"/>
      <c r="HF184" s="254"/>
      <c r="HG184" s="254"/>
      <c r="HH184" s="318"/>
      <c r="HI184" s="223">
        <f t="shared" si="1436"/>
        <v>12</v>
      </c>
      <c r="HJ184" s="223">
        <f t="shared" si="1437"/>
        <v>24</v>
      </c>
      <c r="HK184" s="224">
        <f t="shared" si="1438"/>
        <v>36</v>
      </c>
      <c r="HL184" s="237">
        <f t="shared" si="1357"/>
        <v>2304</v>
      </c>
      <c r="HM184" s="254">
        <f>HB184*HC184*CHslave+HB184*INslave*HD184+KLslave*HC184*HD184</f>
        <v>3456</v>
      </c>
      <c r="HN184" s="224">
        <f t="shared" si="1439"/>
        <v>1728</v>
      </c>
      <c r="HO184" s="224">
        <f t="shared" si="1321"/>
        <v>7488</v>
      </c>
      <c r="HP184" s="222">
        <f t="shared" si="1440"/>
        <v>3.6923076923076925</v>
      </c>
      <c r="HQ184" s="223">
        <f t="shared" si="1441"/>
        <v>11.076923076923077</v>
      </c>
      <c r="HR184" s="243">
        <f t="shared" si="1442"/>
        <v>8.3076923076923084</v>
      </c>
      <c r="HS184" s="243">
        <f t="shared" si="1443"/>
        <v>23.07692307692308</v>
      </c>
      <c r="HT184" s="252">
        <f t="shared" si="1326"/>
        <v>0</v>
      </c>
      <c r="HU184" s="309">
        <f t="shared" si="1444"/>
        <v>23.07692307692308</v>
      </c>
      <c r="HV184" s="218">
        <f>IF(HS184&lt;=0,2,0)+IF(HS184&gt;0,HS184+1,0)*2+IF(HS184&gt;12,HS184-12,0)*2+IF(HS184&gt;13,HS184-13,0)*2+IF(HS184&gt;14,HS184-14,0)*2+IF(HS184&gt;15,HS184-15,0)*2+IF(HS184&gt;16,HS184-16,0)*2+IF(HS184&gt;17,HS184-17,0)*2+IF(HS184&gt;18,HS184-18,0)*2+IF(HS184&gt;19,HS184-19,0)*2+IF(HS184&gt;20,HS184-20,0)*2</f>
        <v>175.5384615384616</v>
      </c>
      <c r="HW184" s="242">
        <f>IF(HT184&lt;=0,2,0)+IF(HT184&gt;0,HT184+1,0)*2+IF(HT184&gt;12,HT184-12,0)*2+IF(HT184&gt;13,HT184-13,0)*2+IF(HT184&gt;14,HT184-14,0)*2+IF(HT184&gt;15,HT184-15,0)*2+IF(HT184&gt;16,HT184-16,0)*2+IF(HT184&gt;17,HT184-17,0)*2+IF(HT184&gt;18,HT184-18,0)*2+IF(HT184&gt;19,HT184-19,0)*2+IF(HT184&gt;20,HT184-20,0)*2</f>
        <v>2</v>
      </c>
      <c r="HX184" s="243">
        <f t="shared" si="1445"/>
        <v>173.5384615384616</v>
      </c>
      <c r="HY184" s="218">
        <f t="shared" si="1446"/>
        <v>0</v>
      </c>
      <c r="IA184" s="303" t="s">
        <v>389</v>
      </c>
      <c r="IB184" s="304" t="s">
        <v>87</v>
      </c>
      <c r="IC184" s="305" t="s">
        <v>132</v>
      </c>
      <c r="ID184" s="317"/>
      <c r="IE184" s="254">
        <f>Konvention_1slave-KLslave</f>
        <v>12</v>
      </c>
      <c r="IF184" s="254">
        <f>Konvention_1slave-INslave</f>
        <v>12</v>
      </c>
      <c r="IG184" s="254">
        <f>Konvention_1slave-CHslave</f>
        <v>12</v>
      </c>
      <c r="IH184" s="254"/>
      <c r="II184" s="254"/>
      <c r="IJ184" s="254"/>
      <c r="IK184" s="318"/>
      <c r="IL184" s="223">
        <f t="shared" si="1447"/>
        <v>12</v>
      </c>
      <c r="IM184" s="223">
        <f t="shared" si="1448"/>
        <v>24</v>
      </c>
      <c r="IN184" s="224">
        <f t="shared" si="1449"/>
        <v>36</v>
      </c>
      <c r="IO184" s="237">
        <f t="shared" si="1358"/>
        <v>2304</v>
      </c>
      <c r="IP184" s="254">
        <f>IE184*IF184*CHslave+IE184*INslave*IG184+KLslave*IF184*IG184</f>
        <v>3456</v>
      </c>
      <c r="IQ184" s="224">
        <f t="shared" si="1450"/>
        <v>1728</v>
      </c>
      <c r="IR184" s="224">
        <f t="shared" si="1332"/>
        <v>7488</v>
      </c>
      <c r="IS184" s="222">
        <f t="shared" si="1451"/>
        <v>3.6923076923076925</v>
      </c>
      <c r="IT184" s="223">
        <f t="shared" si="1452"/>
        <v>11.076923076923077</v>
      </c>
      <c r="IU184" s="243">
        <f t="shared" si="1453"/>
        <v>8.3076923076923084</v>
      </c>
      <c r="IV184" s="243">
        <f t="shared" si="1454"/>
        <v>23.07692307692308</v>
      </c>
      <c r="IW184" s="252">
        <f t="shared" si="1337"/>
        <v>0</v>
      </c>
      <c r="IX184" s="309">
        <f t="shared" si="1455"/>
        <v>23.07692307692308</v>
      </c>
      <c r="IY184" s="218">
        <f>IF(IV184&lt;=0,2,0)+IF(IV184&gt;0,IV184+1,0)*2+IF(IV184&gt;12,IV184-12,0)*2+IF(IV184&gt;13,IV184-13,0)*2+IF(IV184&gt;14,IV184-14,0)*2+IF(IV184&gt;15,IV184-15,0)*2+IF(IV184&gt;16,IV184-16,0)*2+IF(IV184&gt;17,IV184-17,0)*2+IF(IV184&gt;18,IV184-18,0)*2+IF(IV184&gt;19,IV184-19,0)*2+IF(IV184&gt;20,IV184-20,0)*2</f>
        <v>175.5384615384616</v>
      </c>
      <c r="IZ184" s="242">
        <f>IF(IW184&lt;=0,2,0)+IF(IW184&gt;0,IW184+1,0)*2+IF(IW184&gt;12,IW184-12,0)*2+IF(IW184&gt;13,IW184-13,0)*2+IF(IW184&gt;14,IW184-14,0)*2+IF(IW184&gt;15,IW184-15,0)*2+IF(IW184&gt;16,IW184-16,0)*2+IF(IW184&gt;17,IW184-17,0)*2+IF(IW184&gt;18,IW184-18,0)*2+IF(IW184&gt;19,IW184-19,0)*2+IF(IW184&gt;20,IW184-20,0)*2</f>
        <v>2</v>
      </c>
      <c r="JA184" s="243">
        <f t="shared" si="1456"/>
        <v>173.5384615384616</v>
      </c>
      <c r="JB184" s="218">
        <f t="shared" si="1457"/>
        <v>0</v>
      </c>
      <c r="JE184" s="148"/>
    </row>
    <row r="185" spans="2:265" hidden="1" outlineLevel="2">
      <c r="B185" s="148">
        <v>33</v>
      </c>
      <c r="C185" s="303" t="e">
        <f>VLOOKUP(AF185,Attribute!C:T,1,FALSE)</f>
        <v>#N/A</v>
      </c>
      <c r="D185" s="86" t="s">
        <v>84</v>
      </c>
      <c r="E185" s="167" t="s">
        <v>135</v>
      </c>
      <c r="F185" s="120">
        <f>Konvention_1master-MUmaster</f>
        <v>12</v>
      </c>
      <c r="G185" s="117">
        <f>Konvention_1master-KLmaster</f>
        <v>12</v>
      </c>
      <c r="H185" s="117"/>
      <c r="I185" s="117">
        <f>Konvention_1master-CHmaster</f>
        <v>12</v>
      </c>
      <c r="J185" s="117"/>
      <c r="K185" s="117"/>
      <c r="L185" s="117"/>
      <c r="M185" s="121"/>
      <c r="N185" s="223">
        <f>(F185+G185+H185+I185+J185+K185+L185+M185)/3</f>
        <v>12</v>
      </c>
      <c r="O185" s="223">
        <f>2*N185</f>
        <v>24</v>
      </c>
      <c r="P185" s="224">
        <f>3*N185</f>
        <v>36</v>
      </c>
      <c r="Q185" s="237">
        <f t="shared" si="1350"/>
        <v>2304</v>
      </c>
      <c r="R185" s="117">
        <f>F185*G185*CHmaster+F185*KLmaster*I185+MUmaster*G185*I185</f>
        <v>3456</v>
      </c>
      <c r="S185" s="224">
        <f>IFERROR(F185^SIGN(F185),1)*IFERROR(G185^SIGN(G185),1)*IFERROR(H185^SIGN(H185),1)*IFERROR(I185^SIGN(I185),1)*IFERROR(J185^SIGN(J185),1)*IFERROR(K185^SIGN(K185),1)*IFERROR(L185^SIGN(L185),1)*IFERROR(M185^SIGN(M185),1)</f>
        <v>1728</v>
      </c>
      <c r="T185" s="224">
        <f t="shared" si="1507"/>
        <v>7488</v>
      </c>
      <c r="U185" s="222">
        <f>N185*Q185/T185</f>
        <v>3.6923076923076925</v>
      </c>
      <c r="V185" s="223">
        <f>O185*R185/T185</f>
        <v>11.076923076923077</v>
      </c>
      <c r="W185" s="243">
        <f>P185*S185/T185</f>
        <v>8.3076923076923084</v>
      </c>
      <c r="X185" s="243">
        <f>SUM(U185:W185)</f>
        <v>23.07692307692308</v>
      </c>
      <c r="Y185" s="252">
        <v>0</v>
      </c>
      <c r="Z185" s="198">
        <f>X185-Y185</f>
        <v>23.07692307692308</v>
      </c>
      <c r="AA185" s="125">
        <f>IF(X185&lt;=0,3,0)+IF(X185&gt;0,X185+1,0)*3+IF(X185&gt;12,X185-12,0)*3+IF(X185&gt;13,X185-13,0)*3+IF(X185&gt;14,X185-14,0)*3+IF(X185&gt;15,X185-15,0)*3+IF(X185&gt;16,X185-16,0)*3+IF(X185&gt;17,X185-17,0)*3+IF(X185&gt;18,X185-18,0)*3+IF(X185&gt;19,X185-19,0)*3+IF(X185&gt;20,X185-20,0)*3</f>
        <v>263.30769230769232</v>
      </c>
      <c r="AB185" s="160">
        <f>IF(Y185&lt;=0,3,0)+IF(Y185&gt;0,Y185+1,0)*3+IF(Y185&gt;12,Y185-12,0)*3+IF(Y185&gt;13,Y185-13,0)*3+IF(Y185&gt;14,Y185-14,0)*3+IF(Y185&gt;15,Y185-15,0)*3+IF(Y185&gt;16,Y185-16,0)*3+IF(Y185&gt;17,Y185-17,0)*3+IF(Y185&gt;18,Y185-18,0)*3+IF(Y185&gt;19,Y185-19,0)*3+IF(Y185&gt;20,Y185-20,0)*3</f>
        <v>3</v>
      </c>
      <c r="AC185" s="127">
        <f>IF((AA185-AB185)&gt;0,AA185-AB185,0)</f>
        <v>260.30769230769232</v>
      </c>
      <c r="AD185" s="125">
        <f>IF((AB185-AA185)&gt;0,AB185-AA185,0)</f>
        <v>0</v>
      </c>
      <c r="AF185" s="163" t="s">
        <v>362</v>
      </c>
      <c r="AG185" s="86" t="s">
        <v>84</v>
      </c>
      <c r="AH185" s="167" t="s">
        <v>135</v>
      </c>
      <c r="AI185" s="120">
        <f>Konvention_1slave-MUslave_MU</f>
        <v>11</v>
      </c>
      <c r="AJ185" s="117">
        <f>Konvention_1slave-KLslave</f>
        <v>12</v>
      </c>
      <c r="AK185" s="117"/>
      <c r="AL185" s="117">
        <f>Konvention_1slave-CHslave</f>
        <v>12</v>
      </c>
      <c r="AM185" s="117"/>
      <c r="AN185" s="117"/>
      <c r="AO185" s="117"/>
      <c r="AP185" s="121"/>
      <c r="AQ185" s="47">
        <f>(AI185+AJ185+AK185+AL185+AM185+AN185+AO185+AP185)/3</f>
        <v>11.666666666666666</v>
      </c>
      <c r="AR185" s="3">
        <f>2*AQ185</f>
        <v>23.333333333333332</v>
      </c>
      <c r="AS185" s="174">
        <f>3*AQ185</f>
        <v>35</v>
      </c>
      <c r="AT185" s="114">
        <f t="shared" si="1351"/>
        <v>2432</v>
      </c>
      <c r="AU185" s="117">
        <f>AI185*AJ185*CHslave+AI185*KLslave*AL185+MUslave_MU*AJ185*AL185</f>
        <v>3408</v>
      </c>
      <c r="AV185" s="119">
        <f>IFERROR(AI185^SIGN(AI185),1)*IFERROR(AJ185^SIGN(AJ185),1)*IFERROR(AK185^SIGN(AK185),1)*IFERROR(AL185^SIGN(AL185),1)*IFERROR(AM185^SIGN(AM185),1)*IFERROR(AN185^SIGN(AN185),1)*IFERROR(AO185^SIGN(AO185),1)*IFERROR(AP185^SIGN(AP185),1)</f>
        <v>1584</v>
      </c>
      <c r="AW185" s="119">
        <f t="shared" si="1255"/>
        <v>7424</v>
      </c>
      <c r="AX185" s="89">
        <f>AQ185*AT185/AW185</f>
        <v>3.8218390804597702</v>
      </c>
      <c r="AY185" s="47">
        <f>AR185*AU185/AW185</f>
        <v>10.711206896551724</v>
      </c>
      <c r="AZ185" s="127">
        <f>AS185*AV185/AW185</f>
        <v>7.4676724137931032</v>
      </c>
      <c r="BA185" s="127">
        <f>SUM(AX185:AZ185)</f>
        <v>22.000718390804597</v>
      </c>
      <c r="BB185" s="165">
        <f t="shared" si="1260"/>
        <v>0</v>
      </c>
      <c r="BC185" s="198">
        <f>BA185-BB185</f>
        <v>22.000718390804597</v>
      </c>
      <c r="BD185" s="125">
        <f>IF(BA185&lt;=0,3,0)+IF(BA185&gt;0,BA185+1,0)*3+IF(BA185&gt;12,BA185-12,0)*3+IF(BA185&gt;13,BA185-13,0)*3+IF(BA185&gt;14,BA185-14,0)*3+IF(BA185&gt;15,BA185-15,0)*3+IF(BA185&gt;16,BA185-16,0)*3+IF(BA185&gt;17,BA185-17,0)*3+IF(BA185&gt;18,BA185-18,0)*3+IF(BA185&gt;19,BA185-19,0)*3+IF(BA185&gt;20,BA185-20,0)*3</f>
        <v>231.02155172413785</v>
      </c>
      <c r="BE185" s="160">
        <f>IF(BB185&lt;=0,3,0)+IF(BB185&gt;0,BB185+1,0)*3+IF(BB185&gt;12,BB185-12,0)*3+IF(BB185&gt;13,BB185-13,0)*3+IF(BB185&gt;14,BB185-14,0)*3+IF(BB185&gt;15,BB185-15,0)*3+IF(BB185&gt;16,BB185-16,0)*3+IF(BB185&gt;17,BB185-17,0)*3+IF(BB185&gt;18,BB185-18,0)*3+IF(BB185&gt;19,BB185-19,0)*3+IF(BB185&gt;20,BB185-20,0)*3</f>
        <v>3</v>
      </c>
      <c r="BF185" s="243">
        <f>IF((BD185-BE185)&gt;0,BD185-BE185,0)</f>
        <v>228.02155172413785</v>
      </c>
      <c r="BG185" s="218">
        <f>IF((BE185-BD185)&gt;0,BE185-BD185,0)</f>
        <v>0</v>
      </c>
      <c r="BI185" s="303" t="s">
        <v>362</v>
      </c>
      <c r="BJ185" s="304" t="s">
        <v>84</v>
      </c>
      <c r="BK185" s="305" t="s">
        <v>135</v>
      </c>
      <c r="BL185" s="317">
        <f>Konvention_1slave-MUslave</f>
        <v>12</v>
      </c>
      <c r="BM185" s="254">
        <f>Konvention_1slave-KLslave_KL</f>
        <v>11</v>
      </c>
      <c r="BN185" s="254"/>
      <c r="BO185" s="254">
        <f>Konvention_1slave-CHslave</f>
        <v>12</v>
      </c>
      <c r="BP185" s="254"/>
      <c r="BQ185" s="254"/>
      <c r="BR185" s="254"/>
      <c r="BS185" s="318"/>
      <c r="BT185" s="223">
        <f>(BL185+BM185+BN185+BO185+BP185+BQ185+BR185+BS185)/3</f>
        <v>11.666666666666666</v>
      </c>
      <c r="BU185" s="223">
        <f>2*BT185</f>
        <v>23.333333333333332</v>
      </c>
      <c r="BV185" s="224">
        <f>3*BT185</f>
        <v>35</v>
      </c>
      <c r="BW185" s="237">
        <f t="shared" si="1352"/>
        <v>2432</v>
      </c>
      <c r="BX185" s="254">
        <f>BL185*BM185*CHslave+BL185*KLslave_KL*BO185+MUslave*BM185*BO185</f>
        <v>3408</v>
      </c>
      <c r="BY185" s="224">
        <f>IFERROR(BL185^SIGN(BL185),1)*IFERROR(BM185^SIGN(BM185),1)*IFERROR(BN185^SIGN(BN185),1)*IFERROR(BO185^SIGN(BO185),1)*IFERROR(BP185^SIGN(BP185),1)*IFERROR(BQ185^SIGN(BQ185),1)*IFERROR(BR185^SIGN(BR185),1)*IFERROR(BS185^SIGN(BS185),1)</f>
        <v>1584</v>
      </c>
      <c r="BZ185" s="224">
        <f t="shared" si="1266"/>
        <v>7424</v>
      </c>
      <c r="CA185" s="222">
        <f>BT185*BW185/BZ185</f>
        <v>3.8218390804597702</v>
      </c>
      <c r="CB185" s="223">
        <f>BU185*BX185/BZ185</f>
        <v>10.711206896551724</v>
      </c>
      <c r="CC185" s="243">
        <f>BV185*BY185/BZ185</f>
        <v>7.4676724137931032</v>
      </c>
      <c r="CD185" s="243">
        <f>SUM(CA185:CC185)</f>
        <v>22.000718390804597</v>
      </c>
      <c r="CE185" s="252">
        <f t="shared" si="1271"/>
        <v>0</v>
      </c>
      <c r="CF185" s="309">
        <f>CD185-CE185</f>
        <v>22.000718390804597</v>
      </c>
      <c r="CG185" s="218">
        <f>IF(CD185&lt;=0,3,0)+IF(CD185&gt;0,CD185+1,0)*3+IF(CD185&gt;12,CD185-12,0)*3+IF(CD185&gt;13,CD185-13,0)*3+IF(CD185&gt;14,CD185-14,0)*3+IF(CD185&gt;15,CD185-15,0)*3+IF(CD185&gt;16,CD185-16,0)*3+IF(CD185&gt;17,CD185-17,0)*3+IF(CD185&gt;18,CD185-18,0)*3+IF(CD185&gt;19,CD185-19,0)*3+IF(CD185&gt;20,CD185-20,0)*3</f>
        <v>231.02155172413785</v>
      </c>
      <c r="CH185" s="242">
        <f>IF(CE185&lt;=0,3,0)+IF(CE185&gt;0,CE185+1,0)*3+IF(CE185&gt;12,CE185-12,0)*3+IF(CE185&gt;13,CE185-13,0)*3+IF(CE185&gt;14,CE185-14,0)*3+IF(CE185&gt;15,CE185-15,0)*3+IF(CE185&gt;16,CE185-16,0)*3+IF(CE185&gt;17,CE185-17,0)*3+IF(CE185&gt;18,CE185-18,0)*3+IF(CE185&gt;19,CE185-19,0)*3+IF(CE185&gt;20,CE185-20,0)*3</f>
        <v>3</v>
      </c>
      <c r="CI185" s="243">
        <f>IF((CG185-CH185)&gt;0,CG185-CH185,0)</f>
        <v>228.02155172413785</v>
      </c>
      <c r="CJ185" s="218">
        <f>IF((CH185-CG185)&gt;0,CH185-CG185,0)</f>
        <v>0</v>
      </c>
      <c r="CL185" s="303" t="s">
        <v>362</v>
      </c>
      <c r="CM185" s="304" t="s">
        <v>84</v>
      </c>
      <c r="CN185" s="305" t="s">
        <v>135</v>
      </c>
      <c r="CO185" s="317">
        <f>Konvention_1slave-MUslave</f>
        <v>12</v>
      </c>
      <c r="CP185" s="254">
        <f>Konvention_1slave-KLslave</f>
        <v>12</v>
      </c>
      <c r="CQ185" s="254"/>
      <c r="CR185" s="254">
        <f>Konvention_1slave-CHslave</f>
        <v>12</v>
      </c>
      <c r="CS185" s="254"/>
      <c r="CT185" s="254"/>
      <c r="CU185" s="254"/>
      <c r="CV185" s="318"/>
      <c r="CW185" s="223">
        <f>(CO185+CP185+CQ185+CR185+CS185+CT185+CU185+CV185)/3</f>
        <v>12</v>
      </c>
      <c r="CX185" s="223">
        <f>2*CW185</f>
        <v>24</v>
      </c>
      <c r="CY185" s="224">
        <f>3*CW185</f>
        <v>36</v>
      </c>
      <c r="CZ185" s="237">
        <f t="shared" si="1353"/>
        <v>2304</v>
      </c>
      <c r="DA185" s="254">
        <f>CO185*CP185*CHslave+CO185*KLslave*CR185+MUslave*CP185*CR185</f>
        <v>3456</v>
      </c>
      <c r="DB185" s="224">
        <f>IFERROR(CO185^SIGN(CO185),1)*IFERROR(CP185^SIGN(CP185),1)*IFERROR(CQ185^SIGN(CQ185),1)*IFERROR(CR185^SIGN(CR185),1)*IFERROR(CS185^SIGN(CS185),1)*IFERROR(CT185^SIGN(CT185),1)*IFERROR(CU185^SIGN(CU185),1)*IFERROR(CV185^SIGN(CV185),1)</f>
        <v>1728</v>
      </c>
      <c r="DC185" s="224">
        <f t="shared" si="1277"/>
        <v>7488</v>
      </c>
      <c r="DD185" s="222">
        <f>CW185*CZ185/DC185</f>
        <v>3.6923076923076925</v>
      </c>
      <c r="DE185" s="223">
        <f>CX185*DA185/DC185</f>
        <v>11.076923076923077</v>
      </c>
      <c r="DF185" s="243">
        <f>CY185*DB185/DC185</f>
        <v>8.3076923076923084</v>
      </c>
      <c r="DG185" s="243">
        <f>SUM(DD185:DF185)</f>
        <v>23.07692307692308</v>
      </c>
      <c r="DH185" s="252">
        <f t="shared" si="1282"/>
        <v>0</v>
      </c>
      <c r="DI185" s="309">
        <f>DG185-DH185</f>
        <v>23.07692307692308</v>
      </c>
      <c r="DJ185" s="218">
        <f>IF(DG185&lt;=0,3,0)+IF(DG185&gt;0,DG185+1,0)*3+IF(DG185&gt;12,DG185-12,0)*3+IF(DG185&gt;13,DG185-13,0)*3+IF(DG185&gt;14,DG185-14,0)*3+IF(DG185&gt;15,DG185-15,0)*3+IF(DG185&gt;16,DG185-16,0)*3+IF(DG185&gt;17,DG185-17,0)*3+IF(DG185&gt;18,DG185-18,0)*3+IF(DG185&gt;19,DG185-19,0)*3+IF(DG185&gt;20,DG185-20,0)*3</f>
        <v>263.30769230769232</v>
      </c>
      <c r="DK185" s="242">
        <f>IF(DH185&lt;=0,3,0)+IF(DH185&gt;0,DH185+1,0)*3+IF(DH185&gt;12,DH185-12,0)*3+IF(DH185&gt;13,DH185-13,0)*3+IF(DH185&gt;14,DH185-14,0)*3+IF(DH185&gt;15,DH185-15,0)*3+IF(DH185&gt;16,DH185-16,0)*3+IF(DH185&gt;17,DH185-17,0)*3+IF(DH185&gt;18,DH185-18,0)*3+IF(DH185&gt;19,DH185-19,0)*3+IF(DH185&gt;20,DH185-20,0)*3</f>
        <v>3</v>
      </c>
      <c r="DL185" s="243">
        <f>IF((DJ185-DK185)&gt;0,DJ185-DK185,0)</f>
        <v>260.30769230769232</v>
      </c>
      <c r="DM185" s="218">
        <f>IF((DK185-DJ185)&gt;0,DK185-DJ185,0)</f>
        <v>0</v>
      </c>
      <c r="DO185" s="303" t="s">
        <v>362</v>
      </c>
      <c r="DP185" s="304" t="s">
        <v>84</v>
      </c>
      <c r="DQ185" s="305" t="s">
        <v>135</v>
      </c>
      <c r="DR185" s="317">
        <f>Konvention_1slave-MUslave</f>
        <v>12</v>
      </c>
      <c r="DS185" s="254">
        <f>Konvention_1slave-KLslave</f>
        <v>12</v>
      </c>
      <c r="DT185" s="254"/>
      <c r="DU185" s="254">
        <f>Konvention_1slave-CHslave_CH</f>
        <v>11</v>
      </c>
      <c r="DV185" s="254"/>
      <c r="DW185" s="254"/>
      <c r="DX185" s="254"/>
      <c r="DY185" s="318"/>
      <c r="DZ185" s="223">
        <f>(DR185+DS185+DT185+DU185+DV185+DW185+DX185+DY185)/3</f>
        <v>11.666666666666666</v>
      </c>
      <c r="EA185" s="223">
        <f>2*DZ185</f>
        <v>23.333333333333332</v>
      </c>
      <c r="EB185" s="224">
        <f>3*DZ185</f>
        <v>35</v>
      </c>
      <c r="EC185" s="237">
        <f t="shared" si="1354"/>
        <v>2432</v>
      </c>
      <c r="ED185" s="254">
        <f>DR185*DS185*CHslave_CH+DR185*KLslave*DU185+MUslave*DS185*DU185</f>
        <v>3408</v>
      </c>
      <c r="EE185" s="224">
        <f>IFERROR(DR185^SIGN(DR185),1)*IFERROR(DS185^SIGN(DS185),1)*IFERROR(DT185^SIGN(DT185),1)*IFERROR(DU185^SIGN(DU185),1)*IFERROR(DV185^SIGN(DV185),1)*IFERROR(DW185^SIGN(DW185),1)*IFERROR(DX185^SIGN(DX185),1)*IFERROR(DY185^SIGN(DY185),1)</f>
        <v>1584</v>
      </c>
      <c r="EF185" s="224">
        <f t="shared" si="1288"/>
        <v>7424</v>
      </c>
      <c r="EG185" s="222">
        <f>DZ185*EC185/EF185</f>
        <v>3.8218390804597702</v>
      </c>
      <c r="EH185" s="223">
        <f>EA185*ED185/EF185</f>
        <v>10.711206896551724</v>
      </c>
      <c r="EI185" s="243">
        <f>EB185*EE185/EF185</f>
        <v>7.4676724137931032</v>
      </c>
      <c r="EJ185" s="243">
        <f>SUM(EG185:EI185)</f>
        <v>22.000718390804597</v>
      </c>
      <c r="EK185" s="252">
        <f t="shared" si="1293"/>
        <v>0</v>
      </c>
      <c r="EL185" s="309">
        <f>EJ185-EK185</f>
        <v>22.000718390804597</v>
      </c>
      <c r="EM185" s="218">
        <f>IF(EJ185&lt;=0,3,0)+IF(EJ185&gt;0,EJ185+1,0)*3+IF(EJ185&gt;12,EJ185-12,0)*3+IF(EJ185&gt;13,EJ185-13,0)*3+IF(EJ185&gt;14,EJ185-14,0)*3+IF(EJ185&gt;15,EJ185-15,0)*3+IF(EJ185&gt;16,EJ185-16,0)*3+IF(EJ185&gt;17,EJ185-17,0)*3+IF(EJ185&gt;18,EJ185-18,0)*3+IF(EJ185&gt;19,EJ185-19,0)*3+IF(EJ185&gt;20,EJ185-20,0)*3</f>
        <v>231.02155172413785</v>
      </c>
      <c r="EN185" s="242">
        <f>IF(EK185&lt;=0,3,0)+IF(EK185&gt;0,EK185+1,0)*3+IF(EK185&gt;12,EK185-12,0)*3+IF(EK185&gt;13,EK185-13,0)*3+IF(EK185&gt;14,EK185-14,0)*3+IF(EK185&gt;15,EK185-15,0)*3+IF(EK185&gt;16,EK185-16,0)*3+IF(EK185&gt;17,EK185-17,0)*3+IF(EK185&gt;18,EK185-18,0)*3+IF(EK185&gt;19,EK185-19,0)*3+IF(EK185&gt;20,EK185-20,0)*3</f>
        <v>3</v>
      </c>
      <c r="EO185" s="243">
        <f>IF((EM185-EN185)&gt;0,EM185-EN185,0)</f>
        <v>228.02155172413785</v>
      </c>
      <c r="EP185" s="218">
        <f>IF((EN185-EM185)&gt;0,EN185-EM185,0)</f>
        <v>0</v>
      </c>
      <c r="ER185" s="303" t="s">
        <v>362</v>
      </c>
      <c r="ES185" s="304" t="s">
        <v>84</v>
      </c>
      <c r="ET185" s="305" t="s">
        <v>135</v>
      </c>
      <c r="EU185" s="317">
        <f>Konvention_1slave-MUslave</f>
        <v>12</v>
      </c>
      <c r="EV185" s="254">
        <f>Konvention_1slave-KLslave</f>
        <v>12</v>
      </c>
      <c r="EW185" s="254"/>
      <c r="EX185" s="254">
        <f>Konvention_1slave-CHslave</f>
        <v>12</v>
      </c>
      <c r="EY185" s="254"/>
      <c r="EZ185" s="254"/>
      <c r="FA185" s="254"/>
      <c r="FB185" s="318"/>
      <c r="FC185" s="223">
        <f>(EU185+EV185+EW185+EX185+EY185+EZ185+FA185+FB185)/3</f>
        <v>12</v>
      </c>
      <c r="FD185" s="223">
        <f>2*FC185</f>
        <v>24</v>
      </c>
      <c r="FE185" s="224">
        <f>3*FC185</f>
        <v>36</v>
      </c>
      <c r="FF185" s="237">
        <f t="shared" si="1355"/>
        <v>2304</v>
      </c>
      <c r="FG185" s="254">
        <f>EU185*EV185*CHslave+EU185*KLslave*EX185+MUslave*EV185*EX185</f>
        <v>3456</v>
      </c>
      <c r="FH185" s="224">
        <f>IFERROR(EU185^SIGN(EU185),1)*IFERROR(EV185^SIGN(EV185),1)*IFERROR(EW185^SIGN(EW185),1)*IFERROR(EX185^SIGN(EX185),1)*IFERROR(EY185^SIGN(EY185),1)*IFERROR(EZ185^SIGN(EZ185),1)*IFERROR(FA185^SIGN(FA185),1)*IFERROR(FB185^SIGN(FB185),1)</f>
        <v>1728</v>
      </c>
      <c r="FI185" s="224">
        <f t="shared" si="1299"/>
        <v>7488</v>
      </c>
      <c r="FJ185" s="222">
        <f>FC185*FF185/FI185</f>
        <v>3.6923076923076925</v>
      </c>
      <c r="FK185" s="223">
        <f>FD185*FG185/FI185</f>
        <v>11.076923076923077</v>
      </c>
      <c r="FL185" s="243">
        <f>FE185*FH185/FI185</f>
        <v>8.3076923076923084</v>
      </c>
      <c r="FM185" s="243">
        <f>SUM(FJ185:FL185)</f>
        <v>23.07692307692308</v>
      </c>
      <c r="FN185" s="252">
        <f t="shared" si="1304"/>
        <v>0</v>
      </c>
      <c r="FO185" s="309">
        <f>FM185-FN185</f>
        <v>23.07692307692308</v>
      </c>
      <c r="FP185" s="218">
        <f>IF(FM185&lt;=0,3,0)+IF(FM185&gt;0,FM185+1,0)*3+IF(FM185&gt;12,FM185-12,0)*3+IF(FM185&gt;13,FM185-13,0)*3+IF(FM185&gt;14,FM185-14,0)*3+IF(FM185&gt;15,FM185-15,0)*3+IF(FM185&gt;16,FM185-16,0)*3+IF(FM185&gt;17,FM185-17,0)*3+IF(FM185&gt;18,FM185-18,0)*3+IF(FM185&gt;19,FM185-19,0)*3+IF(FM185&gt;20,FM185-20,0)*3</f>
        <v>263.30769230769232</v>
      </c>
      <c r="FQ185" s="242">
        <f>IF(FN185&lt;=0,3,0)+IF(FN185&gt;0,FN185+1,0)*3+IF(FN185&gt;12,FN185-12,0)*3+IF(FN185&gt;13,FN185-13,0)*3+IF(FN185&gt;14,FN185-14,0)*3+IF(FN185&gt;15,FN185-15,0)*3+IF(FN185&gt;16,FN185-16,0)*3+IF(FN185&gt;17,FN185-17,0)*3+IF(FN185&gt;18,FN185-18,0)*3+IF(FN185&gt;19,FN185-19,0)*3+IF(FN185&gt;20,FN185-20,0)*3</f>
        <v>3</v>
      </c>
      <c r="FR185" s="243">
        <f>IF((FP185-FQ185)&gt;0,FP185-FQ185,0)</f>
        <v>260.30769230769232</v>
      </c>
      <c r="FS185" s="218">
        <f>IF((FQ185-FP185)&gt;0,FQ185-FP185,0)</f>
        <v>0</v>
      </c>
      <c r="FU185" s="303" t="s">
        <v>362</v>
      </c>
      <c r="FV185" s="304" t="s">
        <v>84</v>
      </c>
      <c r="FW185" s="305" t="s">
        <v>135</v>
      </c>
      <c r="FX185" s="317">
        <f>Konvention_1slave-MUslave</f>
        <v>12</v>
      </c>
      <c r="FY185" s="254">
        <f>Konvention_1slave-KLslave</f>
        <v>12</v>
      </c>
      <c r="FZ185" s="254"/>
      <c r="GA185" s="254">
        <f>Konvention_1slave-CHslave</f>
        <v>12</v>
      </c>
      <c r="GB185" s="254"/>
      <c r="GC185" s="254"/>
      <c r="GD185" s="254"/>
      <c r="GE185" s="318"/>
      <c r="GF185" s="223">
        <f>(FX185+FY185+FZ185+GA185+GB185+GC185+GD185+GE185)/3</f>
        <v>12</v>
      </c>
      <c r="GG185" s="223">
        <f>2*GF185</f>
        <v>24</v>
      </c>
      <c r="GH185" s="224">
        <f>3*GF185</f>
        <v>36</v>
      </c>
      <c r="GI185" s="237">
        <f t="shared" si="1356"/>
        <v>2304</v>
      </c>
      <c r="GJ185" s="254">
        <f>FX185*FY185*CHslave+FX185*KLslave*GA185+MUslave*FY185*GA185</f>
        <v>3456</v>
      </c>
      <c r="GK185" s="224">
        <f>IFERROR(FX185^SIGN(FX185),1)*IFERROR(FY185^SIGN(FY185),1)*IFERROR(FZ185^SIGN(FZ185),1)*IFERROR(GA185^SIGN(GA185),1)*IFERROR(GB185^SIGN(GB185),1)*IFERROR(GC185^SIGN(GC185),1)*IFERROR(GD185^SIGN(GD185),1)*IFERROR(GE185^SIGN(GE185),1)</f>
        <v>1728</v>
      </c>
      <c r="GL185" s="224">
        <f t="shared" si="1310"/>
        <v>7488</v>
      </c>
      <c r="GM185" s="222">
        <f>GF185*GI185/GL185</f>
        <v>3.6923076923076925</v>
      </c>
      <c r="GN185" s="223">
        <f>GG185*GJ185/GL185</f>
        <v>11.076923076923077</v>
      </c>
      <c r="GO185" s="243">
        <f>GH185*GK185/GL185</f>
        <v>8.3076923076923084</v>
      </c>
      <c r="GP185" s="243">
        <f>SUM(GM185:GO185)</f>
        <v>23.07692307692308</v>
      </c>
      <c r="GQ185" s="252">
        <f t="shared" si="1315"/>
        <v>0</v>
      </c>
      <c r="GR185" s="309">
        <f>GP185-GQ185</f>
        <v>23.07692307692308</v>
      </c>
      <c r="GS185" s="218">
        <f>IF(GP185&lt;=0,3,0)+IF(GP185&gt;0,GP185+1,0)*3+IF(GP185&gt;12,GP185-12,0)*3+IF(GP185&gt;13,GP185-13,0)*3+IF(GP185&gt;14,GP185-14,0)*3+IF(GP185&gt;15,GP185-15,0)*3+IF(GP185&gt;16,GP185-16,0)*3+IF(GP185&gt;17,GP185-17,0)*3+IF(GP185&gt;18,GP185-18,0)*3+IF(GP185&gt;19,GP185-19,0)*3+IF(GP185&gt;20,GP185-20,0)*3</f>
        <v>263.30769230769232</v>
      </c>
      <c r="GT185" s="242">
        <f>IF(GQ185&lt;=0,3,0)+IF(GQ185&gt;0,GQ185+1,0)*3+IF(GQ185&gt;12,GQ185-12,0)*3+IF(GQ185&gt;13,GQ185-13,0)*3+IF(GQ185&gt;14,GQ185-14,0)*3+IF(GQ185&gt;15,GQ185-15,0)*3+IF(GQ185&gt;16,GQ185-16,0)*3+IF(GQ185&gt;17,GQ185-17,0)*3+IF(GQ185&gt;18,GQ185-18,0)*3+IF(GQ185&gt;19,GQ185-19,0)*3+IF(GQ185&gt;20,GQ185-20,0)*3</f>
        <v>3</v>
      </c>
      <c r="GU185" s="243">
        <f>IF((GS185-GT185)&gt;0,GS185-GT185,0)</f>
        <v>260.30769230769232</v>
      </c>
      <c r="GV185" s="218">
        <f>IF((GT185-GS185)&gt;0,GT185-GS185,0)</f>
        <v>0</v>
      </c>
      <c r="GX185" s="303" t="s">
        <v>362</v>
      </c>
      <c r="GY185" s="304" t="s">
        <v>84</v>
      </c>
      <c r="GZ185" s="305" t="s">
        <v>135</v>
      </c>
      <c r="HA185" s="317">
        <f>Konvention_1slave-MUslave</f>
        <v>12</v>
      </c>
      <c r="HB185" s="254">
        <f>Konvention_1slave-KLslave</f>
        <v>12</v>
      </c>
      <c r="HC185" s="254"/>
      <c r="HD185" s="254">
        <f>Konvention_1slave-CHslave</f>
        <v>12</v>
      </c>
      <c r="HE185" s="254"/>
      <c r="HF185" s="254"/>
      <c r="HG185" s="254"/>
      <c r="HH185" s="318"/>
      <c r="HI185" s="223">
        <f>(HA185+HB185+HC185+HD185+HE185+HF185+HG185+HH185)/3</f>
        <v>12</v>
      </c>
      <c r="HJ185" s="223">
        <f>2*HI185</f>
        <v>24</v>
      </c>
      <c r="HK185" s="224">
        <f>3*HI185</f>
        <v>36</v>
      </c>
      <c r="HL185" s="237">
        <f t="shared" si="1357"/>
        <v>2304</v>
      </c>
      <c r="HM185" s="254">
        <f>HA185*HB185*CHslave+HA185*KLslave*HD185+MUslave*HB185*HD185</f>
        <v>3456</v>
      </c>
      <c r="HN185" s="224">
        <f>IFERROR(HA185^SIGN(HA185),1)*IFERROR(HB185^SIGN(HB185),1)*IFERROR(HC185^SIGN(HC185),1)*IFERROR(HD185^SIGN(HD185),1)*IFERROR(HE185^SIGN(HE185),1)*IFERROR(HF185^SIGN(HF185),1)*IFERROR(HG185^SIGN(HG185),1)*IFERROR(HH185^SIGN(HH185),1)</f>
        <v>1728</v>
      </c>
      <c r="HO185" s="224">
        <f t="shared" si="1321"/>
        <v>7488</v>
      </c>
      <c r="HP185" s="222">
        <f>HI185*HL185/HO185</f>
        <v>3.6923076923076925</v>
      </c>
      <c r="HQ185" s="223">
        <f>HJ185*HM185/HO185</f>
        <v>11.076923076923077</v>
      </c>
      <c r="HR185" s="243">
        <f>HK185*HN185/HO185</f>
        <v>8.3076923076923084</v>
      </c>
      <c r="HS185" s="243">
        <f>SUM(HP185:HR185)</f>
        <v>23.07692307692308</v>
      </c>
      <c r="HT185" s="252">
        <f t="shared" si="1326"/>
        <v>0</v>
      </c>
      <c r="HU185" s="309">
        <f>HS185-HT185</f>
        <v>23.07692307692308</v>
      </c>
      <c r="HV185" s="218">
        <f>IF(HS185&lt;=0,3,0)+IF(HS185&gt;0,HS185+1,0)*3+IF(HS185&gt;12,HS185-12,0)*3+IF(HS185&gt;13,HS185-13,0)*3+IF(HS185&gt;14,HS185-14,0)*3+IF(HS185&gt;15,HS185-15,0)*3+IF(HS185&gt;16,HS185-16,0)*3+IF(HS185&gt;17,HS185-17,0)*3+IF(HS185&gt;18,HS185-18,0)*3+IF(HS185&gt;19,HS185-19,0)*3+IF(HS185&gt;20,HS185-20,0)*3</f>
        <v>263.30769230769232</v>
      </c>
      <c r="HW185" s="242">
        <f>IF(HT185&lt;=0,3,0)+IF(HT185&gt;0,HT185+1,0)*3+IF(HT185&gt;12,HT185-12,0)*3+IF(HT185&gt;13,HT185-13,0)*3+IF(HT185&gt;14,HT185-14,0)*3+IF(HT185&gt;15,HT185-15,0)*3+IF(HT185&gt;16,HT185-16,0)*3+IF(HT185&gt;17,HT185-17,0)*3+IF(HT185&gt;18,HT185-18,0)*3+IF(HT185&gt;19,HT185-19,0)*3+IF(HT185&gt;20,HT185-20,0)*3</f>
        <v>3</v>
      </c>
      <c r="HX185" s="243">
        <f>IF((HV185-HW185)&gt;0,HV185-HW185,0)</f>
        <v>260.30769230769232</v>
      </c>
      <c r="HY185" s="218">
        <f>IF((HW185-HV185)&gt;0,HW185-HV185,0)</f>
        <v>0</v>
      </c>
      <c r="IA185" s="303" t="s">
        <v>362</v>
      </c>
      <c r="IB185" s="304" t="s">
        <v>84</v>
      </c>
      <c r="IC185" s="305" t="s">
        <v>135</v>
      </c>
      <c r="ID185" s="317">
        <f>Konvention_1slave-MUslave</f>
        <v>12</v>
      </c>
      <c r="IE185" s="254">
        <f>Konvention_1slave-KLslave</f>
        <v>12</v>
      </c>
      <c r="IF185" s="254"/>
      <c r="IG185" s="254">
        <f>Konvention_1slave-CHslave</f>
        <v>12</v>
      </c>
      <c r="IH185" s="254"/>
      <c r="II185" s="254"/>
      <c r="IJ185" s="254"/>
      <c r="IK185" s="318"/>
      <c r="IL185" s="223">
        <f>(ID185+IE185+IF185+IG185+IH185+II185+IJ185+IK185)/3</f>
        <v>12</v>
      </c>
      <c r="IM185" s="223">
        <f>2*IL185</f>
        <v>24</v>
      </c>
      <c r="IN185" s="224">
        <f>3*IL185</f>
        <v>36</v>
      </c>
      <c r="IO185" s="237">
        <f t="shared" si="1358"/>
        <v>2304</v>
      </c>
      <c r="IP185" s="254">
        <f>ID185*IE185*CHslave+ID185*KLslave*IG185+MUslave*IE185*IG185</f>
        <v>3456</v>
      </c>
      <c r="IQ185" s="224">
        <f>IFERROR(ID185^SIGN(ID185),1)*IFERROR(IE185^SIGN(IE185),1)*IFERROR(IF185^SIGN(IF185),1)*IFERROR(IG185^SIGN(IG185),1)*IFERROR(IH185^SIGN(IH185),1)*IFERROR(II185^SIGN(II185),1)*IFERROR(IJ185^SIGN(IJ185),1)*IFERROR(IK185^SIGN(IK185),1)</f>
        <v>1728</v>
      </c>
      <c r="IR185" s="224">
        <f t="shared" si="1332"/>
        <v>7488</v>
      </c>
      <c r="IS185" s="222">
        <f>IL185*IO185/IR185</f>
        <v>3.6923076923076925</v>
      </c>
      <c r="IT185" s="223">
        <f>IM185*IP185/IR185</f>
        <v>11.076923076923077</v>
      </c>
      <c r="IU185" s="243">
        <f>IN185*IQ185/IR185</f>
        <v>8.3076923076923084</v>
      </c>
      <c r="IV185" s="243">
        <f>SUM(IS185:IU185)</f>
        <v>23.07692307692308</v>
      </c>
      <c r="IW185" s="252">
        <f t="shared" si="1337"/>
        <v>0</v>
      </c>
      <c r="IX185" s="309">
        <f>IV185-IW185</f>
        <v>23.07692307692308</v>
      </c>
      <c r="IY185" s="218">
        <f>IF(IV185&lt;=0,3,0)+IF(IV185&gt;0,IV185+1,0)*3+IF(IV185&gt;12,IV185-12,0)*3+IF(IV185&gt;13,IV185-13,0)*3+IF(IV185&gt;14,IV185-14,0)*3+IF(IV185&gt;15,IV185-15,0)*3+IF(IV185&gt;16,IV185-16,0)*3+IF(IV185&gt;17,IV185-17,0)*3+IF(IV185&gt;18,IV185-18,0)*3+IF(IV185&gt;19,IV185-19,0)*3+IF(IV185&gt;20,IV185-20,0)*3</f>
        <v>263.30769230769232</v>
      </c>
      <c r="IZ185" s="242">
        <f>IF(IW185&lt;=0,3,0)+IF(IW185&gt;0,IW185+1,0)*3+IF(IW185&gt;12,IW185-12,0)*3+IF(IW185&gt;13,IW185-13,0)*3+IF(IW185&gt;14,IW185-14,0)*3+IF(IW185&gt;15,IW185-15,0)*3+IF(IW185&gt;16,IW185-16,0)*3+IF(IW185&gt;17,IW185-17,0)*3+IF(IW185&gt;18,IW185-18,0)*3+IF(IW185&gt;19,IW185-19,0)*3+IF(IW185&gt;20,IW185-20,0)*3</f>
        <v>3</v>
      </c>
      <c r="JA185" s="243">
        <f>IF((IY185-IZ185)&gt;0,IY185-IZ185,0)</f>
        <v>260.30769230769232</v>
      </c>
      <c r="JB185" s="218">
        <f>IF((IZ185-IY185)&gt;0,IZ185-IY185,0)</f>
        <v>0</v>
      </c>
      <c r="JE185" s="148"/>
    </row>
    <row r="186" spans="2:265" hidden="1" outlineLevel="2">
      <c r="B186" s="148">
        <v>34</v>
      </c>
      <c r="C186" s="303" t="e">
        <f>VLOOKUP(AF186,Attribute!C:T,1,FALSE)</f>
        <v>#N/A</v>
      </c>
      <c r="D186" s="86" t="s">
        <v>79</v>
      </c>
      <c r="E186" s="167" t="s">
        <v>132</v>
      </c>
      <c r="F186" s="120"/>
      <c r="G186" s="117">
        <f>Konvention_1master-KLmaster</f>
        <v>12</v>
      </c>
      <c r="H186" s="117"/>
      <c r="I186" s="117">
        <f>Konvention_1master-CHmaster</f>
        <v>12</v>
      </c>
      <c r="J186" s="117"/>
      <c r="K186" s="117"/>
      <c r="L186" s="117">
        <f>Konvention_1master-KOmaster</f>
        <v>12</v>
      </c>
      <c r="M186" s="121"/>
      <c r="N186" s="223">
        <f>(F186+G186+H186+I186+J186+K186+L186+M186)/3</f>
        <v>12</v>
      </c>
      <c r="O186" s="223">
        <f>2*N186</f>
        <v>24</v>
      </c>
      <c r="P186" s="224">
        <f>3*N186</f>
        <v>36</v>
      </c>
      <c r="Q186" s="237">
        <f t="shared" si="1350"/>
        <v>2304</v>
      </c>
      <c r="R186" s="117">
        <f>G186*I186*KOmaster+G186*CHmaster*L186+KLmaster*I186*L186</f>
        <v>3456</v>
      </c>
      <c r="S186" s="224">
        <f>IFERROR(F186^SIGN(F186),1)*IFERROR(G186^SIGN(G186),1)*IFERROR(H186^SIGN(H186),1)*IFERROR(I186^SIGN(I186),1)*IFERROR(J186^SIGN(J186),1)*IFERROR(K186^SIGN(K186),1)*IFERROR(L186^SIGN(L186),1)*IFERROR(M186^SIGN(M186),1)</f>
        <v>1728</v>
      </c>
      <c r="T186" s="224">
        <f t="shared" si="1507"/>
        <v>7488</v>
      </c>
      <c r="U186" s="222">
        <f>N186*Q186/T186</f>
        <v>3.6923076923076925</v>
      </c>
      <c r="V186" s="223">
        <f>O186*R186/T186</f>
        <v>11.076923076923077</v>
      </c>
      <c r="W186" s="243">
        <f>P186*S186/T186</f>
        <v>8.3076923076923084</v>
      </c>
      <c r="X186" s="243">
        <f>SUM(U186:W186)</f>
        <v>23.07692307692308</v>
      </c>
      <c r="Y186" s="252">
        <v>0</v>
      </c>
      <c r="Z186" s="198">
        <f>X186-Y186</f>
        <v>23.07692307692308</v>
      </c>
      <c r="AA186" s="125">
        <f>IF(X186&lt;=0,2,0)+IF(X186&gt;0,X186+1,0)*2+IF(X186&gt;12,X186-12,0)*2+IF(X186&gt;13,X186-13,0)*2+IF(X186&gt;14,X186-14,0)*2+IF(X186&gt;15,X186-15,0)*2+IF(X186&gt;16,X186-16,0)*2+IF(X186&gt;17,X186-17,0)*2+IF(X186&gt;18,X186-18,0)*2+IF(X186&gt;19,X186-19,0)*2+IF(X186&gt;20,X186-20,0)*2</f>
        <v>175.5384615384616</v>
      </c>
      <c r="AB186" s="160">
        <f>IF(Y186&lt;=0,2,0)+IF(Y186&gt;0,Y186+1,0)*2+IF(Y186&gt;12,Y186-12,0)*2+IF(Y186&gt;13,Y186-13,0)*2+IF(Y186&gt;14,Y186-14,0)*2+IF(Y186&gt;15,Y186-15,0)*2+IF(Y186&gt;16,Y186-16,0)*2+IF(Y186&gt;17,Y186-17,0)*2+IF(Y186&gt;18,Y186-18,0)*2+IF(Y186&gt;19,Y186-19,0)*2+IF(Y186&gt;20,Y186-20,0)*2</f>
        <v>2</v>
      </c>
      <c r="AC186" s="127">
        <f>IF((AA186-AB186)&gt;0,AA186-AB186,0)</f>
        <v>173.5384615384616</v>
      </c>
      <c r="AD186" s="125">
        <f>IF((AB186-AA186)&gt;0,AB186-AA186,0)</f>
        <v>0</v>
      </c>
      <c r="AF186" s="163" t="s">
        <v>390</v>
      </c>
      <c r="AG186" s="86" t="s">
        <v>79</v>
      </c>
      <c r="AH186" s="167" t="s">
        <v>132</v>
      </c>
      <c r="AI186" s="120"/>
      <c r="AJ186" s="117">
        <f>Konvention_1slave-KLslave</f>
        <v>12</v>
      </c>
      <c r="AK186" s="117"/>
      <c r="AL186" s="117">
        <f>Konvention_1slave-CHslave</f>
        <v>12</v>
      </c>
      <c r="AM186" s="117"/>
      <c r="AN186" s="117"/>
      <c r="AO186" s="117">
        <f>Konvention_1slave-KOslave</f>
        <v>12</v>
      </c>
      <c r="AP186" s="121"/>
      <c r="AQ186" s="47">
        <f>(AI186+AJ186+AK186+AL186+AM186+AN186+AO186+AP186)/3</f>
        <v>12</v>
      </c>
      <c r="AR186" s="3">
        <f>2*AQ186</f>
        <v>24</v>
      </c>
      <c r="AS186" s="174">
        <f>3*AQ186</f>
        <v>36</v>
      </c>
      <c r="AT186" s="114">
        <f t="shared" si="1351"/>
        <v>2304</v>
      </c>
      <c r="AU186" s="117">
        <f>AJ186*AL186*KOslave+AJ186*CHslave*AO186+KLslave*AL186*AO186</f>
        <v>3456</v>
      </c>
      <c r="AV186" s="119">
        <f>IFERROR(AI186^SIGN(AI186),1)*IFERROR(AJ186^SIGN(AJ186),1)*IFERROR(AK186^SIGN(AK186),1)*IFERROR(AL186^SIGN(AL186),1)*IFERROR(AM186^SIGN(AM186),1)*IFERROR(AN186^SIGN(AN186),1)*IFERROR(AO186^SIGN(AO186),1)*IFERROR(AP186^SIGN(AP186),1)</f>
        <v>1728</v>
      </c>
      <c r="AW186" s="119">
        <f t="shared" si="1255"/>
        <v>7488</v>
      </c>
      <c r="AX186" s="89">
        <f>AQ186*AT186/AW186</f>
        <v>3.6923076923076925</v>
      </c>
      <c r="AY186" s="47">
        <f>AR186*AU186/AW186</f>
        <v>11.076923076923077</v>
      </c>
      <c r="AZ186" s="127">
        <f>AS186*AV186/AW186</f>
        <v>8.3076923076923084</v>
      </c>
      <c r="BA186" s="127">
        <f>SUM(AX186:AZ186)</f>
        <v>23.07692307692308</v>
      </c>
      <c r="BB186" s="165">
        <f t="shared" si="1260"/>
        <v>0</v>
      </c>
      <c r="BC186" s="198">
        <f>BA186-BB186</f>
        <v>23.07692307692308</v>
      </c>
      <c r="BD186" s="125">
        <f>IF(BA186&lt;=0,2,0)+IF(BA186&gt;0,BA186+1,0)*2+IF(BA186&gt;12,BA186-12,0)*2+IF(BA186&gt;13,BA186-13,0)*2+IF(BA186&gt;14,BA186-14,0)*2+IF(BA186&gt;15,BA186-15,0)*2+IF(BA186&gt;16,BA186-16,0)*2+IF(BA186&gt;17,BA186-17,0)*2+IF(BA186&gt;18,BA186-18,0)*2+IF(BA186&gt;19,BA186-19,0)*2+IF(BA186&gt;20,BA186-20,0)*2</f>
        <v>175.5384615384616</v>
      </c>
      <c r="BE186" s="160">
        <f>IF(BB186&lt;=0,2,0)+IF(BB186&gt;0,BB186+1,0)*2+IF(BB186&gt;12,BB186-12,0)*2+IF(BB186&gt;13,BB186-13,0)*2+IF(BB186&gt;14,BB186-14,0)*2+IF(BB186&gt;15,BB186-15,0)*2+IF(BB186&gt;16,BB186-16,0)*2+IF(BB186&gt;17,BB186-17,0)*2+IF(BB186&gt;18,BB186-18,0)*2+IF(BB186&gt;19,BB186-19,0)*2+IF(BB186&gt;20,BB186-20,0)*2</f>
        <v>2</v>
      </c>
      <c r="BF186" s="243">
        <f>IF((BD186-BE186)&gt;0,BD186-BE186,0)</f>
        <v>173.5384615384616</v>
      </c>
      <c r="BG186" s="218">
        <f>IF((BE186-BD186)&gt;0,BE186-BD186,0)</f>
        <v>0</v>
      </c>
      <c r="BI186" s="303" t="s">
        <v>390</v>
      </c>
      <c r="BJ186" s="304" t="s">
        <v>79</v>
      </c>
      <c r="BK186" s="305" t="s">
        <v>132</v>
      </c>
      <c r="BL186" s="317"/>
      <c r="BM186" s="254">
        <f>Konvention_1slave-KLslave_KL</f>
        <v>11</v>
      </c>
      <c r="BN186" s="254"/>
      <c r="BO186" s="254">
        <f>Konvention_1slave-CHslave</f>
        <v>12</v>
      </c>
      <c r="BP186" s="254"/>
      <c r="BQ186" s="254"/>
      <c r="BR186" s="254">
        <f>Konvention_1slave-KOslave</f>
        <v>12</v>
      </c>
      <c r="BS186" s="318"/>
      <c r="BT186" s="223">
        <f>(BL186+BM186+BN186+BO186+BP186+BQ186+BR186+BS186)/3</f>
        <v>11.666666666666666</v>
      </c>
      <c r="BU186" s="223">
        <f>2*BT186</f>
        <v>23.333333333333332</v>
      </c>
      <c r="BV186" s="224">
        <f>3*BT186</f>
        <v>35</v>
      </c>
      <c r="BW186" s="237">
        <f t="shared" si="1352"/>
        <v>2432</v>
      </c>
      <c r="BX186" s="254">
        <f>BM186*BO186*KOslave+BM186*CHslave*BR186+KLslave_KL*BO186*BR186</f>
        <v>3408</v>
      </c>
      <c r="BY186" s="224">
        <f>IFERROR(BL186^SIGN(BL186),1)*IFERROR(BM186^SIGN(BM186),1)*IFERROR(BN186^SIGN(BN186),1)*IFERROR(BO186^SIGN(BO186),1)*IFERROR(BP186^SIGN(BP186),1)*IFERROR(BQ186^SIGN(BQ186),1)*IFERROR(BR186^SIGN(BR186),1)*IFERROR(BS186^SIGN(BS186),1)</f>
        <v>1584</v>
      </c>
      <c r="BZ186" s="224">
        <f t="shared" si="1266"/>
        <v>7424</v>
      </c>
      <c r="CA186" s="222">
        <f>BT186*BW186/BZ186</f>
        <v>3.8218390804597702</v>
      </c>
      <c r="CB186" s="223">
        <f>BU186*BX186/BZ186</f>
        <v>10.711206896551724</v>
      </c>
      <c r="CC186" s="243">
        <f>BV186*BY186/BZ186</f>
        <v>7.4676724137931032</v>
      </c>
      <c r="CD186" s="243">
        <f>SUM(CA186:CC186)</f>
        <v>22.000718390804597</v>
      </c>
      <c r="CE186" s="252">
        <f t="shared" si="1271"/>
        <v>0</v>
      </c>
      <c r="CF186" s="309">
        <f>CD186-CE186</f>
        <v>22.000718390804597</v>
      </c>
      <c r="CG186" s="218">
        <f>IF(CD186&lt;=0,2,0)+IF(CD186&gt;0,CD186+1,0)*2+IF(CD186&gt;12,CD186-12,0)*2+IF(CD186&gt;13,CD186-13,0)*2+IF(CD186&gt;14,CD186-14,0)*2+IF(CD186&gt;15,CD186-15,0)*2+IF(CD186&gt;16,CD186-16,0)*2+IF(CD186&gt;17,CD186-17,0)*2+IF(CD186&gt;18,CD186-18,0)*2+IF(CD186&gt;19,CD186-19,0)*2+IF(CD186&gt;20,CD186-20,0)*2</f>
        <v>154.01436781609189</v>
      </c>
      <c r="CH186" s="242">
        <f>IF(CE186&lt;=0,2,0)+IF(CE186&gt;0,CE186+1,0)*2+IF(CE186&gt;12,CE186-12,0)*2+IF(CE186&gt;13,CE186-13,0)*2+IF(CE186&gt;14,CE186-14,0)*2+IF(CE186&gt;15,CE186-15,0)*2+IF(CE186&gt;16,CE186-16,0)*2+IF(CE186&gt;17,CE186-17,0)*2+IF(CE186&gt;18,CE186-18,0)*2+IF(CE186&gt;19,CE186-19,0)*2+IF(CE186&gt;20,CE186-20,0)*2</f>
        <v>2</v>
      </c>
      <c r="CI186" s="243">
        <f>IF((CG186-CH186)&gt;0,CG186-CH186,0)</f>
        <v>152.01436781609189</v>
      </c>
      <c r="CJ186" s="218">
        <f>IF((CH186-CG186)&gt;0,CH186-CG186,0)</f>
        <v>0</v>
      </c>
      <c r="CL186" s="303" t="s">
        <v>390</v>
      </c>
      <c r="CM186" s="304" t="s">
        <v>79</v>
      </c>
      <c r="CN186" s="305" t="s">
        <v>132</v>
      </c>
      <c r="CO186" s="317"/>
      <c r="CP186" s="254">
        <f>Konvention_1slave-KLslave</f>
        <v>12</v>
      </c>
      <c r="CQ186" s="254"/>
      <c r="CR186" s="254">
        <f>Konvention_1slave-CHslave</f>
        <v>12</v>
      </c>
      <c r="CS186" s="254"/>
      <c r="CT186" s="254"/>
      <c r="CU186" s="254">
        <f>Konvention_1slave-KOslave</f>
        <v>12</v>
      </c>
      <c r="CV186" s="318"/>
      <c r="CW186" s="223">
        <f>(CO186+CP186+CQ186+CR186+CS186+CT186+CU186+CV186)/3</f>
        <v>12</v>
      </c>
      <c r="CX186" s="223">
        <f>2*CW186</f>
        <v>24</v>
      </c>
      <c r="CY186" s="224">
        <f>3*CW186</f>
        <v>36</v>
      </c>
      <c r="CZ186" s="237">
        <f t="shared" si="1353"/>
        <v>2304</v>
      </c>
      <c r="DA186" s="254">
        <f>CP186*CR186*KOslave+CP186*CHslave*CU186+KLslave*CR186*CU186</f>
        <v>3456</v>
      </c>
      <c r="DB186" s="224">
        <f>IFERROR(CO186^SIGN(CO186),1)*IFERROR(CP186^SIGN(CP186),1)*IFERROR(CQ186^SIGN(CQ186),1)*IFERROR(CR186^SIGN(CR186),1)*IFERROR(CS186^SIGN(CS186),1)*IFERROR(CT186^SIGN(CT186),1)*IFERROR(CU186^SIGN(CU186),1)*IFERROR(CV186^SIGN(CV186),1)</f>
        <v>1728</v>
      </c>
      <c r="DC186" s="224">
        <f t="shared" si="1277"/>
        <v>7488</v>
      </c>
      <c r="DD186" s="222">
        <f>CW186*CZ186/DC186</f>
        <v>3.6923076923076925</v>
      </c>
      <c r="DE186" s="223">
        <f>CX186*DA186/DC186</f>
        <v>11.076923076923077</v>
      </c>
      <c r="DF186" s="243">
        <f>CY186*DB186/DC186</f>
        <v>8.3076923076923084</v>
      </c>
      <c r="DG186" s="243">
        <f>SUM(DD186:DF186)</f>
        <v>23.07692307692308</v>
      </c>
      <c r="DH186" s="252">
        <f t="shared" si="1282"/>
        <v>0</v>
      </c>
      <c r="DI186" s="309">
        <f>DG186-DH186</f>
        <v>23.07692307692308</v>
      </c>
      <c r="DJ186" s="218">
        <f>IF(DG186&lt;=0,2,0)+IF(DG186&gt;0,DG186+1,0)*2+IF(DG186&gt;12,DG186-12,0)*2+IF(DG186&gt;13,DG186-13,0)*2+IF(DG186&gt;14,DG186-14,0)*2+IF(DG186&gt;15,DG186-15,0)*2+IF(DG186&gt;16,DG186-16,0)*2+IF(DG186&gt;17,DG186-17,0)*2+IF(DG186&gt;18,DG186-18,0)*2+IF(DG186&gt;19,DG186-19,0)*2+IF(DG186&gt;20,DG186-20,0)*2</f>
        <v>175.5384615384616</v>
      </c>
      <c r="DK186" s="242">
        <f>IF(DH186&lt;=0,2,0)+IF(DH186&gt;0,DH186+1,0)*2+IF(DH186&gt;12,DH186-12,0)*2+IF(DH186&gt;13,DH186-13,0)*2+IF(DH186&gt;14,DH186-14,0)*2+IF(DH186&gt;15,DH186-15,0)*2+IF(DH186&gt;16,DH186-16,0)*2+IF(DH186&gt;17,DH186-17,0)*2+IF(DH186&gt;18,DH186-18,0)*2+IF(DH186&gt;19,DH186-19,0)*2+IF(DH186&gt;20,DH186-20,0)*2</f>
        <v>2</v>
      </c>
      <c r="DL186" s="243">
        <f>IF((DJ186-DK186)&gt;0,DJ186-DK186,0)</f>
        <v>173.5384615384616</v>
      </c>
      <c r="DM186" s="218">
        <f>IF((DK186-DJ186)&gt;0,DK186-DJ186,0)</f>
        <v>0</v>
      </c>
      <c r="DO186" s="303" t="s">
        <v>390</v>
      </c>
      <c r="DP186" s="304" t="s">
        <v>79</v>
      </c>
      <c r="DQ186" s="305" t="s">
        <v>132</v>
      </c>
      <c r="DR186" s="317"/>
      <c r="DS186" s="254">
        <f>Konvention_1slave-KLslave</f>
        <v>12</v>
      </c>
      <c r="DT186" s="254"/>
      <c r="DU186" s="254">
        <f>Konvention_1slave-CHslave_CH</f>
        <v>11</v>
      </c>
      <c r="DV186" s="254"/>
      <c r="DW186" s="254"/>
      <c r="DX186" s="254">
        <f>Konvention_1slave-KOslave</f>
        <v>12</v>
      </c>
      <c r="DY186" s="318"/>
      <c r="DZ186" s="223">
        <f>(DR186+DS186+DT186+DU186+DV186+DW186+DX186+DY186)/3</f>
        <v>11.666666666666666</v>
      </c>
      <c r="EA186" s="223">
        <f>2*DZ186</f>
        <v>23.333333333333332</v>
      </c>
      <c r="EB186" s="224">
        <f>3*DZ186</f>
        <v>35</v>
      </c>
      <c r="EC186" s="237">
        <f t="shared" si="1354"/>
        <v>2432</v>
      </c>
      <c r="ED186" s="254">
        <f>DS186*DU186*KOslave+DS186*CHslave_CH*DX186+KLslave*DU186*DX186</f>
        <v>3408</v>
      </c>
      <c r="EE186" s="224">
        <f>IFERROR(DR186^SIGN(DR186),1)*IFERROR(DS186^SIGN(DS186),1)*IFERROR(DT186^SIGN(DT186),1)*IFERROR(DU186^SIGN(DU186),1)*IFERROR(DV186^SIGN(DV186),1)*IFERROR(DW186^SIGN(DW186),1)*IFERROR(DX186^SIGN(DX186),1)*IFERROR(DY186^SIGN(DY186),1)</f>
        <v>1584</v>
      </c>
      <c r="EF186" s="224">
        <f t="shared" si="1288"/>
        <v>7424</v>
      </c>
      <c r="EG186" s="222">
        <f>DZ186*EC186/EF186</f>
        <v>3.8218390804597702</v>
      </c>
      <c r="EH186" s="223">
        <f>EA186*ED186/EF186</f>
        <v>10.711206896551724</v>
      </c>
      <c r="EI186" s="243">
        <f>EB186*EE186/EF186</f>
        <v>7.4676724137931032</v>
      </c>
      <c r="EJ186" s="243">
        <f>SUM(EG186:EI186)</f>
        <v>22.000718390804597</v>
      </c>
      <c r="EK186" s="252">
        <f t="shared" si="1293"/>
        <v>0</v>
      </c>
      <c r="EL186" s="309">
        <f>EJ186-EK186</f>
        <v>22.000718390804597</v>
      </c>
      <c r="EM186" s="218">
        <f>IF(EJ186&lt;=0,2,0)+IF(EJ186&gt;0,EJ186+1,0)*2+IF(EJ186&gt;12,EJ186-12,0)*2+IF(EJ186&gt;13,EJ186-13,0)*2+IF(EJ186&gt;14,EJ186-14,0)*2+IF(EJ186&gt;15,EJ186-15,0)*2+IF(EJ186&gt;16,EJ186-16,0)*2+IF(EJ186&gt;17,EJ186-17,0)*2+IF(EJ186&gt;18,EJ186-18,0)*2+IF(EJ186&gt;19,EJ186-19,0)*2+IF(EJ186&gt;20,EJ186-20,0)*2</f>
        <v>154.01436781609189</v>
      </c>
      <c r="EN186" s="242">
        <f>IF(EK186&lt;=0,2,0)+IF(EK186&gt;0,EK186+1,0)*2+IF(EK186&gt;12,EK186-12,0)*2+IF(EK186&gt;13,EK186-13,0)*2+IF(EK186&gt;14,EK186-14,0)*2+IF(EK186&gt;15,EK186-15,0)*2+IF(EK186&gt;16,EK186-16,0)*2+IF(EK186&gt;17,EK186-17,0)*2+IF(EK186&gt;18,EK186-18,0)*2+IF(EK186&gt;19,EK186-19,0)*2+IF(EK186&gt;20,EK186-20,0)*2</f>
        <v>2</v>
      </c>
      <c r="EO186" s="243">
        <f>IF((EM186-EN186)&gt;0,EM186-EN186,0)</f>
        <v>152.01436781609189</v>
      </c>
      <c r="EP186" s="218">
        <f>IF((EN186-EM186)&gt;0,EN186-EM186,0)</f>
        <v>0</v>
      </c>
      <c r="ER186" s="303" t="s">
        <v>390</v>
      </c>
      <c r="ES186" s="304" t="s">
        <v>79</v>
      </c>
      <c r="ET186" s="305" t="s">
        <v>132</v>
      </c>
      <c r="EU186" s="317"/>
      <c r="EV186" s="254">
        <f>Konvention_1slave-KLslave</f>
        <v>12</v>
      </c>
      <c r="EW186" s="254"/>
      <c r="EX186" s="254">
        <f>Konvention_1slave-CHslave</f>
        <v>12</v>
      </c>
      <c r="EY186" s="254"/>
      <c r="EZ186" s="254"/>
      <c r="FA186" s="254">
        <f>Konvention_1slave-KOslave</f>
        <v>12</v>
      </c>
      <c r="FB186" s="318"/>
      <c r="FC186" s="223">
        <f>(EU186+EV186+EW186+EX186+EY186+EZ186+FA186+FB186)/3</f>
        <v>12</v>
      </c>
      <c r="FD186" s="223">
        <f>2*FC186</f>
        <v>24</v>
      </c>
      <c r="FE186" s="224">
        <f>3*FC186</f>
        <v>36</v>
      </c>
      <c r="FF186" s="237">
        <f t="shared" si="1355"/>
        <v>2304</v>
      </c>
      <c r="FG186" s="254">
        <f>EV186*EX186*KOslave+EV186*CHslave*FA186+KLslave*EX186*FA186</f>
        <v>3456</v>
      </c>
      <c r="FH186" s="224">
        <f>IFERROR(EU186^SIGN(EU186),1)*IFERROR(EV186^SIGN(EV186),1)*IFERROR(EW186^SIGN(EW186),1)*IFERROR(EX186^SIGN(EX186),1)*IFERROR(EY186^SIGN(EY186),1)*IFERROR(EZ186^SIGN(EZ186),1)*IFERROR(FA186^SIGN(FA186),1)*IFERROR(FB186^SIGN(FB186),1)</f>
        <v>1728</v>
      </c>
      <c r="FI186" s="224">
        <f t="shared" si="1299"/>
        <v>7488</v>
      </c>
      <c r="FJ186" s="222">
        <f>FC186*FF186/FI186</f>
        <v>3.6923076923076925</v>
      </c>
      <c r="FK186" s="223">
        <f>FD186*FG186/FI186</f>
        <v>11.076923076923077</v>
      </c>
      <c r="FL186" s="243">
        <f>FE186*FH186/FI186</f>
        <v>8.3076923076923084</v>
      </c>
      <c r="FM186" s="243">
        <f>SUM(FJ186:FL186)</f>
        <v>23.07692307692308</v>
      </c>
      <c r="FN186" s="252">
        <f t="shared" si="1304"/>
        <v>0</v>
      </c>
      <c r="FO186" s="309">
        <f>FM186-FN186</f>
        <v>23.07692307692308</v>
      </c>
      <c r="FP186" s="218">
        <f>IF(FM186&lt;=0,2,0)+IF(FM186&gt;0,FM186+1,0)*2+IF(FM186&gt;12,FM186-12,0)*2+IF(FM186&gt;13,FM186-13,0)*2+IF(FM186&gt;14,FM186-14,0)*2+IF(FM186&gt;15,FM186-15,0)*2+IF(FM186&gt;16,FM186-16,0)*2+IF(FM186&gt;17,FM186-17,0)*2+IF(FM186&gt;18,FM186-18,0)*2+IF(FM186&gt;19,FM186-19,0)*2+IF(FM186&gt;20,FM186-20,0)*2</f>
        <v>175.5384615384616</v>
      </c>
      <c r="FQ186" s="242">
        <f>IF(FN186&lt;=0,2,0)+IF(FN186&gt;0,FN186+1,0)*2+IF(FN186&gt;12,FN186-12,0)*2+IF(FN186&gt;13,FN186-13,0)*2+IF(FN186&gt;14,FN186-14,0)*2+IF(FN186&gt;15,FN186-15,0)*2+IF(FN186&gt;16,FN186-16,0)*2+IF(FN186&gt;17,FN186-17,0)*2+IF(FN186&gt;18,FN186-18,0)*2+IF(FN186&gt;19,FN186-19,0)*2+IF(FN186&gt;20,FN186-20,0)*2</f>
        <v>2</v>
      </c>
      <c r="FR186" s="243">
        <f>IF((FP186-FQ186)&gt;0,FP186-FQ186,0)</f>
        <v>173.5384615384616</v>
      </c>
      <c r="FS186" s="218">
        <f>IF((FQ186-FP186)&gt;0,FQ186-FP186,0)</f>
        <v>0</v>
      </c>
      <c r="FU186" s="303" t="s">
        <v>390</v>
      </c>
      <c r="FV186" s="304" t="s">
        <v>79</v>
      </c>
      <c r="FW186" s="305" t="s">
        <v>132</v>
      </c>
      <c r="FX186" s="317"/>
      <c r="FY186" s="254">
        <f>Konvention_1slave-KLslave</f>
        <v>12</v>
      </c>
      <c r="FZ186" s="254"/>
      <c r="GA186" s="254">
        <f>Konvention_1slave-CHslave</f>
        <v>12</v>
      </c>
      <c r="GB186" s="254"/>
      <c r="GC186" s="254"/>
      <c r="GD186" s="254">
        <f>Konvention_1slave-KOslave</f>
        <v>12</v>
      </c>
      <c r="GE186" s="318"/>
      <c r="GF186" s="223">
        <f>(FX186+FY186+FZ186+GA186+GB186+GC186+GD186+GE186)/3</f>
        <v>12</v>
      </c>
      <c r="GG186" s="223">
        <f>2*GF186</f>
        <v>24</v>
      </c>
      <c r="GH186" s="224">
        <f>3*GF186</f>
        <v>36</v>
      </c>
      <c r="GI186" s="237">
        <f t="shared" si="1356"/>
        <v>2304</v>
      </c>
      <c r="GJ186" s="254">
        <f>FY186*GA186*KOslave+FY186*CHslave*GD186+KLslave*GA186*GD186</f>
        <v>3456</v>
      </c>
      <c r="GK186" s="224">
        <f>IFERROR(FX186^SIGN(FX186),1)*IFERROR(FY186^SIGN(FY186),1)*IFERROR(FZ186^SIGN(FZ186),1)*IFERROR(GA186^SIGN(GA186),1)*IFERROR(GB186^SIGN(GB186),1)*IFERROR(GC186^SIGN(GC186),1)*IFERROR(GD186^SIGN(GD186),1)*IFERROR(GE186^SIGN(GE186),1)</f>
        <v>1728</v>
      </c>
      <c r="GL186" s="224">
        <f t="shared" si="1310"/>
        <v>7488</v>
      </c>
      <c r="GM186" s="222">
        <f>GF186*GI186/GL186</f>
        <v>3.6923076923076925</v>
      </c>
      <c r="GN186" s="223">
        <f>GG186*GJ186/GL186</f>
        <v>11.076923076923077</v>
      </c>
      <c r="GO186" s="243">
        <f>GH186*GK186/GL186</f>
        <v>8.3076923076923084</v>
      </c>
      <c r="GP186" s="243">
        <f>SUM(GM186:GO186)</f>
        <v>23.07692307692308</v>
      </c>
      <c r="GQ186" s="252">
        <f t="shared" si="1315"/>
        <v>0</v>
      </c>
      <c r="GR186" s="309">
        <f>GP186-GQ186</f>
        <v>23.07692307692308</v>
      </c>
      <c r="GS186" s="218">
        <f>IF(GP186&lt;=0,2,0)+IF(GP186&gt;0,GP186+1,0)*2+IF(GP186&gt;12,GP186-12,0)*2+IF(GP186&gt;13,GP186-13,0)*2+IF(GP186&gt;14,GP186-14,0)*2+IF(GP186&gt;15,GP186-15,0)*2+IF(GP186&gt;16,GP186-16,0)*2+IF(GP186&gt;17,GP186-17,0)*2+IF(GP186&gt;18,GP186-18,0)*2+IF(GP186&gt;19,GP186-19,0)*2+IF(GP186&gt;20,GP186-20,0)*2</f>
        <v>175.5384615384616</v>
      </c>
      <c r="GT186" s="242">
        <f>IF(GQ186&lt;=0,2,0)+IF(GQ186&gt;0,GQ186+1,0)*2+IF(GQ186&gt;12,GQ186-12,0)*2+IF(GQ186&gt;13,GQ186-13,0)*2+IF(GQ186&gt;14,GQ186-14,0)*2+IF(GQ186&gt;15,GQ186-15,0)*2+IF(GQ186&gt;16,GQ186-16,0)*2+IF(GQ186&gt;17,GQ186-17,0)*2+IF(GQ186&gt;18,GQ186-18,0)*2+IF(GQ186&gt;19,GQ186-19,0)*2+IF(GQ186&gt;20,GQ186-20,0)*2</f>
        <v>2</v>
      </c>
      <c r="GU186" s="243">
        <f>IF((GS186-GT186)&gt;0,GS186-GT186,0)</f>
        <v>173.5384615384616</v>
      </c>
      <c r="GV186" s="218">
        <f>IF((GT186-GS186)&gt;0,GT186-GS186,0)</f>
        <v>0</v>
      </c>
      <c r="GX186" s="303" t="s">
        <v>390</v>
      </c>
      <c r="GY186" s="304" t="s">
        <v>79</v>
      </c>
      <c r="GZ186" s="305" t="s">
        <v>132</v>
      </c>
      <c r="HA186" s="317"/>
      <c r="HB186" s="254">
        <f>Konvention_1slave-KLslave</f>
        <v>12</v>
      </c>
      <c r="HC186" s="254"/>
      <c r="HD186" s="254">
        <f>Konvention_1slave-CHslave</f>
        <v>12</v>
      </c>
      <c r="HE186" s="254"/>
      <c r="HF186" s="254"/>
      <c r="HG186" s="254">
        <f>Konvention_1slave-KOslave_KO</f>
        <v>11</v>
      </c>
      <c r="HH186" s="318"/>
      <c r="HI186" s="223">
        <f>(HA186+HB186+HC186+HD186+HE186+HF186+HG186+HH186)/3</f>
        <v>11.666666666666666</v>
      </c>
      <c r="HJ186" s="223">
        <f>2*HI186</f>
        <v>23.333333333333332</v>
      </c>
      <c r="HK186" s="224">
        <f>3*HI186</f>
        <v>35</v>
      </c>
      <c r="HL186" s="237">
        <f t="shared" si="1357"/>
        <v>2432</v>
      </c>
      <c r="HM186" s="254">
        <f>HB186*HD186*KOslave_KO+HB186*CHslave*HG186+KLslave*HD186*HG186</f>
        <v>3408</v>
      </c>
      <c r="HN186" s="224">
        <f>IFERROR(HA186^SIGN(HA186),1)*IFERROR(HB186^SIGN(HB186),1)*IFERROR(HC186^SIGN(HC186),1)*IFERROR(HD186^SIGN(HD186),1)*IFERROR(HE186^SIGN(HE186),1)*IFERROR(HF186^SIGN(HF186),1)*IFERROR(HG186^SIGN(HG186),1)*IFERROR(HH186^SIGN(HH186),1)</f>
        <v>1584</v>
      </c>
      <c r="HO186" s="224">
        <f t="shared" si="1321"/>
        <v>7424</v>
      </c>
      <c r="HP186" s="222">
        <f>HI186*HL186/HO186</f>
        <v>3.8218390804597702</v>
      </c>
      <c r="HQ186" s="223">
        <f>HJ186*HM186/HO186</f>
        <v>10.711206896551724</v>
      </c>
      <c r="HR186" s="243">
        <f>HK186*HN186/HO186</f>
        <v>7.4676724137931032</v>
      </c>
      <c r="HS186" s="243">
        <f>SUM(HP186:HR186)</f>
        <v>22.000718390804597</v>
      </c>
      <c r="HT186" s="252">
        <f t="shared" si="1326"/>
        <v>0</v>
      </c>
      <c r="HU186" s="309">
        <f>HS186-HT186</f>
        <v>22.000718390804597</v>
      </c>
      <c r="HV186" s="218">
        <f>IF(HS186&lt;=0,2,0)+IF(HS186&gt;0,HS186+1,0)*2+IF(HS186&gt;12,HS186-12,0)*2+IF(HS186&gt;13,HS186-13,0)*2+IF(HS186&gt;14,HS186-14,0)*2+IF(HS186&gt;15,HS186-15,0)*2+IF(HS186&gt;16,HS186-16,0)*2+IF(HS186&gt;17,HS186-17,0)*2+IF(HS186&gt;18,HS186-18,0)*2+IF(HS186&gt;19,HS186-19,0)*2+IF(HS186&gt;20,HS186-20,0)*2</f>
        <v>154.01436781609189</v>
      </c>
      <c r="HW186" s="242">
        <f>IF(HT186&lt;=0,2,0)+IF(HT186&gt;0,HT186+1,0)*2+IF(HT186&gt;12,HT186-12,0)*2+IF(HT186&gt;13,HT186-13,0)*2+IF(HT186&gt;14,HT186-14,0)*2+IF(HT186&gt;15,HT186-15,0)*2+IF(HT186&gt;16,HT186-16,0)*2+IF(HT186&gt;17,HT186-17,0)*2+IF(HT186&gt;18,HT186-18,0)*2+IF(HT186&gt;19,HT186-19,0)*2+IF(HT186&gt;20,HT186-20,0)*2</f>
        <v>2</v>
      </c>
      <c r="HX186" s="243">
        <f>IF((HV186-HW186)&gt;0,HV186-HW186,0)</f>
        <v>152.01436781609189</v>
      </c>
      <c r="HY186" s="218">
        <f>IF((HW186-HV186)&gt;0,HW186-HV186,0)</f>
        <v>0</v>
      </c>
      <c r="IA186" s="303" t="s">
        <v>390</v>
      </c>
      <c r="IB186" s="304" t="s">
        <v>79</v>
      </c>
      <c r="IC186" s="305" t="s">
        <v>132</v>
      </c>
      <c r="ID186" s="317"/>
      <c r="IE186" s="254">
        <f>Konvention_1slave-KLslave</f>
        <v>12</v>
      </c>
      <c r="IF186" s="254"/>
      <c r="IG186" s="254">
        <f>Konvention_1slave-CHslave</f>
        <v>12</v>
      </c>
      <c r="IH186" s="254"/>
      <c r="II186" s="254"/>
      <c r="IJ186" s="254">
        <f>Konvention_1slave-KOslave</f>
        <v>12</v>
      </c>
      <c r="IK186" s="318"/>
      <c r="IL186" s="223">
        <f>(ID186+IE186+IF186+IG186+IH186+II186+IJ186+IK186)/3</f>
        <v>12</v>
      </c>
      <c r="IM186" s="223">
        <f>2*IL186</f>
        <v>24</v>
      </c>
      <c r="IN186" s="224">
        <f>3*IL186</f>
        <v>36</v>
      </c>
      <c r="IO186" s="237">
        <f t="shared" si="1358"/>
        <v>2304</v>
      </c>
      <c r="IP186" s="254">
        <f>IE186*IG186*KOslave+IE186*CHslave*IJ186+KLslave*IG186*IJ186</f>
        <v>3456</v>
      </c>
      <c r="IQ186" s="224">
        <f>IFERROR(ID186^SIGN(ID186),1)*IFERROR(IE186^SIGN(IE186),1)*IFERROR(IF186^SIGN(IF186),1)*IFERROR(IG186^SIGN(IG186),1)*IFERROR(IH186^SIGN(IH186),1)*IFERROR(II186^SIGN(II186),1)*IFERROR(IJ186^SIGN(IJ186),1)*IFERROR(IK186^SIGN(IK186),1)</f>
        <v>1728</v>
      </c>
      <c r="IR186" s="224">
        <f t="shared" si="1332"/>
        <v>7488</v>
      </c>
      <c r="IS186" s="222">
        <f>IL186*IO186/IR186</f>
        <v>3.6923076923076925</v>
      </c>
      <c r="IT186" s="223">
        <f>IM186*IP186/IR186</f>
        <v>11.076923076923077</v>
      </c>
      <c r="IU186" s="243">
        <f>IN186*IQ186/IR186</f>
        <v>8.3076923076923084</v>
      </c>
      <c r="IV186" s="243">
        <f>SUM(IS186:IU186)</f>
        <v>23.07692307692308</v>
      </c>
      <c r="IW186" s="252">
        <f t="shared" si="1337"/>
        <v>0</v>
      </c>
      <c r="IX186" s="309">
        <f>IV186-IW186</f>
        <v>23.07692307692308</v>
      </c>
      <c r="IY186" s="218">
        <f>IF(IV186&lt;=0,2,0)+IF(IV186&gt;0,IV186+1,0)*2+IF(IV186&gt;12,IV186-12,0)*2+IF(IV186&gt;13,IV186-13,0)*2+IF(IV186&gt;14,IV186-14,0)*2+IF(IV186&gt;15,IV186-15,0)*2+IF(IV186&gt;16,IV186-16,0)*2+IF(IV186&gt;17,IV186-17,0)*2+IF(IV186&gt;18,IV186-18,0)*2+IF(IV186&gt;19,IV186-19,0)*2+IF(IV186&gt;20,IV186-20,0)*2</f>
        <v>175.5384615384616</v>
      </c>
      <c r="IZ186" s="242">
        <f>IF(IW186&lt;=0,2,0)+IF(IW186&gt;0,IW186+1,0)*2+IF(IW186&gt;12,IW186-12,0)*2+IF(IW186&gt;13,IW186-13,0)*2+IF(IW186&gt;14,IW186-14,0)*2+IF(IW186&gt;15,IW186-15,0)*2+IF(IW186&gt;16,IW186-16,0)*2+IF(IW186&gt;17,IW186-17,0)*2+IF(IW186&gt;18,IW186-18,0)*2+IF(IW186&gt;19,IW186-19,0)*2+IF(IW186&gt;20,IW186-20,0)*2</f>
        <v>2</v>
      </c>
      <c r="JA186" s="243">
        <f>IF((IY186-IZ186)&gt;0,IY186-IZ186,0)</f>
        <v>173.5384615384616</v>
      </c>
      <c r="JB186" s="218">
        <f>IF((IZ186-IY186)&gt;0,IZ186-IY186,0)</f>
        <v>0</v>
      </c>
      <c r="JE186" s="148"/>
    </row>
    <row r="187" spans="2:265" ht="15" hidden="1" customHeight="1" outlineLevel="2">
      <c r="B187" s="148">
        <v>35</v>
      </c>
      <c r="C187" s="303" t="e">
        <f>VLOOKUP(AF187,Attribute!C:T,1,FALSE)</f>
        <v>#N/A</v>
      </c>
      <c r="D187" s="86" t="s">
        <v>442</v>
      </c>
      <c r="E187" s="167" t="s">
        <v>135</v>
      </c>
      <c r="F187" s="120">
        <f t="shared" si="1488"/>
        <v>12</v>
      </c>
      <c r="G187" s="117"/>
      <c r="H187" s="117">
        <f>Konvention_1master-INmaster</f>
        <v>12</v>
      </c>
      <c r="I187" s="117"/>
      <c r="J187" s="117">
        <f>Konvention_1master-FFmaster</f>
        <v>12</v>
      </c>
      <c r="K187" s="117"/>
      <c r="L187" s="117"/>
      <c r="M187" s="121"/>
      <c r="N187" s="223">
        <f>(F187+G187+H187+I187+J187+K187+L187+M187)/3</f>
        <v>12</v>
      </c>
      <c r="O187" s="223">
        <f>2*N187</f>
        <v>24</v>
      </c>
      <c r="P187" s="224">
        <f>3*N187</f>
        <v>36</v>
      </c>
      <c r="Q187" s="237">
        <f t="shared" si="1350"/>
        <v>2304</v>
      </c>
      <c r="R187" s="117">
        <f>F187*H187*FFmaster+F187*INmaster*J187+MUmaster*H187*J187</f>
        <v>3456</v>
      </c>
      <c r="S187" s="224">
        <f>IFERROR(F187^SIGN(F187),1)*IFERROR(G187^SIGN(G187),1)*IFERROR(H187^SIGN(H187),1)*IFERROR(I187^SIGN(I187),1)*IFERROR(J187^SIGN(J187),1)*IFERROR(K187^SIGN(K187),1)*IFERROR(L187^SIGN(L187),1)*IFERROR(M187^SIGN(M187),1)</f>
        <v>1728</v>
      </c>
      <c r="T187" s="224">
        <f t="shared" si="1507"/>
        <v>7488</v>
      </c>
      <c r="U187" s="222">
        <f>N187*Q187/T187</f>
        <v>3.6923076923076925</v>
      </c>
      <c r="V187" s="223">
        <f>O187*R187/T187</f>
        <v>11.076923076923077</v>
      </c>
      <c r="W187" s="243">
        <f>P187*S187/T187</f>
        <v>8.3076923076923084</v>
      </c>
      <c r="X187" s="243">
        <f>SUM(U187:W187)</f>
        <v>23.07692307692308</v>
      </c>
      <c r="Y187" s="252">
        <v>0</v>
      </c>
      <c r="Z187" s="198">
        <f>X187-Y187</f>
        <v>23.07692307692308</v>
      </c>
      <c r="AA187" s="125">
        <f>IF(X187&lt;=0,3,0)+IF(X187&gt;0,X187+1,0)*3+IF(X187&gt;12,X187-12,0)*3+IF(X187&gt;13,X187-13,0)*3+IF(X187&gt;14,X187-14,0)*3+IF(X187&gt;15,X187-15,0)*3+IF(X187&gt;16,X187-16,0)*3+IF(X187&gt;17,X187-17,0)*3+IF(X187&gt;18,X187-18,0)*3+IF(X187&gt;19,X187-19,0)*3+IF(X187&gt;20,X187-20,0)*3</f>
        <v>263.30769230769232</v>
      </c>
      <c r="AB187" s="160">
        <f>IF(Y187&lt;=0,3,0)+IF(Y187&gt;0,Y187+1,0)*3+IF(Y187&gt;12,Y187-12,0)*3+IF(Y187&gt;13,Y187-13,0)*3+IF(Y187&gt;14,Y187-14,0)*3+IF(Y187&gt;15,Y187-15,0)*3+IF(Y187&gt;16,Y187-16,0)*3+IF(Y187&gt;17,Y187-17,0)*3+IF(Y187&gt;18,Y187-18,0)*3+IF(Y187&gt;19,Y187-19,0)*3+IF(Y187&gt;20,Y187-20,0)*3</f>
        <v>3</v>
      </c>
      <c r="AC187" s="127">
        <f>IF((AA187-AB187)&gt;0,AA187-AB187,0)</f>
        <v>260.30769230769232</v>
      </c>
      <c r="AD187" s="125">
        <f>IF((AB187-AA187)&gt;0,AB187-AA187,0)</f>
        <v>0</v>
      </c>
      <c r="AF187" s="163" t="s">
        <v>391</v>
      </c>
      <c r="AG187" s="86" t="s">
        <v>442</v>
      </c>
      <c r="AH187" s="167" t="s">
        <v>135</v>
      </c>
      <c r="AI187" s="120">
        <f>Konvention_1slave-MUslave_MU</f>
        <v>11</v>
      </c>
      <c r="AJ187" s="117"/>
      <c r="AK187" s="117">
        <f>Konvention_1slave-INslave</f>
        <v>12</v>
      </c>
      <c r="AL187" s="117"/>
      <c r="AM187" s="117">
        <f>Konvention_1slave-FFslave</f>
        <v>12</v>
      </c>
      <c r="AN187" s="117"/>
      <c r="AO187" s="117"/>
      <c r="AP187" s="121"/>
      <c r="AQ187" s="47">
        <f>(AI187+AJ187+AK187+AL187+AM187+AN187+AO187+AP187)/3</f>
        <v>11.666666666666666</v>
      </c>
      <c r="AR187" s="3">
        <f>2*AQ187</f>
        <v>23.333333333333332</v>
      </c>
      <c r="AS187" s="174">
        <f>3*AQ187</f>
        <v>35</v>
      </c>
      <c r="AT187" s="114">
        <f t="shared" si="1351"/>
        <v>2432</v>
      </c>
      <c r="AU187" s="117">
        <f>AI187*AK187*FFslave+AI187*INslave*AM187+MUslave_MU*AK187*AM187</f>
        <v>3408</v>
      </c>
      <c r="AV187" s="119">
        <f>IFERROR(AI187^SIGN(AI187),1)*IFERROR(AJ187^SIGN(AJ187),1)*IFERROR(AK187^SIGN(AK187),1)*IFERROR(AL187^SIGN(AL187),1)*IFERROR(AM187^SIGN(AM187),1)*IFERROR(AN187^SIGN(AN187),1)*IFERROR(AO187^SIGN(AO187),1)*IFERROR(AP187^SIGN(AP187),1)</f>
        <v>1584</v>
      </c>
      <c r="AW187" s="119">
        <f t="shared" si="1255"/>
        <v>7424</v>
      </c>
      <c r="AX187" s="89">
        <f>AQ187*AT187/AW187</f>
        <v>3.8218390804597702</v>
      </c>
      <c r="AY187" s="47">
        <f>AR187*AU187/AW187</f>
        <v>10.711206896551724</v>
      </c>
      <c r="AZ187" s="127">
        <f>AS187*AV187/AW187</f>
        <v>7.4676724137931032</v>
      </c>
      <c r="BA187" s="127">
        <f>SUM(AX187:AZ187)</f>
        <v>22.000718390804597</v>
      </c>
      <c r="BB187" s="165">
        <f t="shared" si="1260"/>
        <v>0</v>
      </c>
      <c r="BC187" s="198">
        <f>BA187-BB187</f>
        <v>22.000718390804597</v>
      </c>
      <c r="BD187" s="125">
        <f>IF(BA187&lt;=0,3,0)+IF(BA187&gt;0,BA187+1,0)*3+IF(BA187&gt;12,BA187-12,0)*3+IF(BA187&gt;13,BA187-13,0)*3+IF(BA187&gt;14,BA187-14,0)*3+IF(BA187&gt;15,BA187-15,0)*3+IF(BA187&gt;16,BA187-16,0)*3+IF(BA187&gt;17,BA187-17,0)*3+IF(BA187&gt;18,BA187-18,0)*3+IF(BA187&gt;19,BA187-19,0)*3+IF(BA187&gt;20,BA187-20,0)*3</f>
        <v>231.02155172413785</v>
      </c>
      <c r="BE187" s="160">
        <f>IF(BB187&lt;=0,3,0)+IF(BB187&gt;0,BB187+1,0)*3+IF(BB187&gt;12,BB187-12,0)*3+IF(BB187&gt;13,BB187-13,0)*3+IF(BB187&gt;14,BB187-14,0)*3+IF(BB187&gt;15,BB187-15,0)*3+IF(BB187&gt;16,BB187-16,0)*3+IF(BB187&gt;17,BB187-17,0)*3+IF(BB187&gt;18,BB187-18,0)*3+IF(BB187&gt;19,BB187-19,0)*3+IF(BB187&gt;20,BB187-20,0)*3</f>
        <v>3</v>
      </c>
      <c r="BF187" s="243">
        <f>IF((BD187-BE187)&gt;0,BD187-BE187,0)</f>
        <v>228.02155172413785</v>
      </c>
      <c r="BG187" s="218">
        <f>IF((BE187-BD187)&gt;0,BE187-BD187,0)</f>
        <v>0</v>
      </c>
      <c r="BI187" s="303" t="s">
        <v>391</v>
      </c>
      <c r="BJ187" s="304" t="s">
        <v>442</v>
      </c>
      <c r="BK187" s="305" t="s">
        <v>135</v>
      </c>
      <c r="BL187" s="317">
        <f>Konvention_1slave-MUslave</f>
        <v>12</v>
      </c>
      <c r="BM187" s="254"/>
      <c r="BN187" s="254">
        <f>Konvention_1slave-INslave</f>
        <v>12</v>
      </c>
      <c r="BO187" s="254"/>
      <c r="BP187" s="254">
        <f>Konvention_1slave-FFslave</f>
        <v>12</v>
      </c>
      <c r="BQ187" s="254"/>
      <c r="BR187" s="254"/>
      <c r="BS187" s="318"/>
      <c r="BT187" s="223">
        <f>(BL187+BM187+BN187+BO187+BP187+BQ187+BR187+BS187)/3</f>
        <v>12</v>
      </c>
      <c r="BU187" s="223">
        <f>2*BT187</f>
        <v>24</v>
      </c>
      <c r="BV187" s="224">
        <f>3*BT187</f>
        <v>36</v>
      </c>
      <c r="BW187" s="237">
        <f t="shared" si="1352"/>
        <v>2304</v>
      </c>
      <c r="BX187" s="254">
        <f>BL187*BN187*FFslave+BL187*INslave*BP187+MUslave*BN187*BP187</f>
        <v>3456</v>
      </c>
      <c r="BY187" s="224">
        <f>IFERROR(BL187^SIGN(BL187),1)*IFERROR(BM187^SIGN(BM187),1)*IFERROR(BN187^SIGN(BN187),1)*IFERROR(BO187^SIGN(BO187),1)*IFERROR(BP187^SIGN(BP187),1)*IFERROR(BQ187^SIGN(BQ187),1)*IFERROR(BR187^SIGN(BR187),1)*IFERROR(BS187^SIGN(BS187),1)</f>
        <v>1728</v>
      </c>
      <c r="BZ187" s="224">
        <f t="shared" si="1266"/>
        <v>7488</v>
      </c>
      <c r="CA187" s="222">
        <f>BT187*BW187/BZ187</f>
        <v>3.6923076923076925</v>
      </c>
      <c r="CB187" s="223">
        <f>BU187*BX187/BZ187</f>
        <v>11.076923076923077</v>
      </c>
      <c r="CC187" s="243">
        <f>BV187*BY187/BZ187</f>
        <v>8.3076923076923084</v>
      </c>
      <c r="CD187" s="243">
        <f>SUM(CA187:CC187)</f>
        <v>23.07692307692308</v>
      </c>
      <c r="CE187" s="252">
        <f t="shared" si="1271"/>
        <v>0</v>
      </c>
      <c r="CF187" s="309">
        <f>CD187-CE187</f>
        <v>23.07692307692308</v>
      </c>
      <c r="CG187" s="218">
        <f>IF(CD187&lt;=0,3,0)+IF(CD187&gt;0,CD187+1,0)*3+IF(CD187&gt;12,CD187-12,0)*3+IF(CD187&gt;13,CD187-13,0)*3+IF(CD187&gt;14,CD187-14,0)*3+IF(CD187&gt;15,CD187-15,0)*3+IF(CD187&gt;16,CD187-16,0)*3+IF(CD187&gt;17,CD187-17,0)*3+IF(CD187&gt;18,CD187-18,0)*3+IF(CD187&gt;19,CD187-19,0)*3+IF(CD187&gt;20,CD187-20,0)*3</f>
        <v>263.30769230769232</v>
      </c>
      <c r="CH187" s="242">
        <f>IF(CE187&lt;=0,3,0)+IF(CE187&gt;0,CE187+1,0)*3+IF(CE187&gt;12,CE187-12,0)*3+IF(CE187&gt;13,CE187-13,0)*3+IF(CE187&gt;14,CE187-14,0)*3+IF(CE187&gt;15,CE187-15,0)*3+IF(CE187&gt;16,CE187-16,0)*3+IF(CE187&gt;17,CE187-17,0)*3+IF(CE187&gt;18,CE187-18,0)*3+IF(CE187&gt;19,CE187-19,0)*3+IF(CE187&gt;20,CE187-20,0)*3</f>
        <v>3</v>
      </c>
      <c r="CI187" s="243">
        <f>IF((CG187-CH187)&gt;0,CG187-CH187,0)</f>
        <v>260.30769230769232</v>
      </c>
      <c r="CJ187" s="218">
        <f>IF((CH187-CG187)&gt;0,CH187-CG187,0)</f>
        <v>0</v>
      </c>
      <c r="CL187" s="303" t="s">
        <v>391</v>
      </c>
      <c r="CM187" s="304" t="s">
        <v>442</v>
      </c>
      <c r="CN187" s="305" t="s">
        <v>135</v>
      </c>
      <c r="CO187" s="317">
        <f>Konvention_1slave-MUslave</f>
        <v>12</v>
      </c>
      <c r="CP187" s="254"/>
      <c r="CQ187" s="254">
        <f>Konvention_1slave-INslave_IN</f>
        <v>11</v>
      </c>
      <c r="CR187" s="254"/>
      <c r="CS187" s="254">
        <f>Konvention_1slave-FFslave</f>
        <v>12</v>
      </c>
      <c r="CT187" s="254"/>
      <c r="CU187" s="254"/>
      <c r="CV187" s="318"/>
      <c r="CW187" s="223">
        <f>(CO187+CP187+CQ187+CR187+CS187+CT187+CU187+CV187)/3</f>
        <v>11.666666666666666</v>
      </c>
      <c r="CX187" s="223">
        <f>2*CW187</f>
        <v>23.333333333333332</v>
      </c>
      <c r="CY187" s="224">
        <f>3*CW187</f>
        <v>35</v>
      </c>
      <c r="CZ187" s="237">
        <f t="shared" si="1353"/>
        <v>2432</v>
      </c>
      <c r="DA187" s="254">
        <f>CO187*CQ187*FFslave+CO187*INslave_IN*CS187+MUslave*CQ187*CS187</f>
        <v>3408</v>
      </c>
      <c r="DB187" s="224">
        <f>IFERROR(CO187^SIGN(CO187),1)*IFERROR(CP187^SIGN(CP187),1)*IFERROR(CQ187^SIGN(CQ187),1)*IFERROR(CR187^SIGN(CR187),1)*IFERROR(CS187^SIGN(CS187),1)*IFERROR(CT187^SIGN(CT187),1)*IFERROR(CU187^SIGN(CU187),1)*IFERROR(CV187^SIGN(CV187),1)</f>
        <v>1584</v>
      </c>
      <c r="DC187" s="224">
        <f t="shared" si="1277"/>
        <v>7424</v>
      </c>
      <c r="DD187" s="222">
        <f>CW187*CZ187/DC187</f>
        <v>3.8218390804597702</v>
      </c>
      <c r="DE187" s="223">
        <f>CX187*DA187/DC187</f>
        <v>10.711206896551724</v>
      </c>
      <c r="DF187" s="243">
        <f>CY187*DB187/DC187</f>
        <v>7.4676724137931032</v>
      </c>
      <c r="DG187" s="243">
        <f>SUM(DD187:DF187)</f>
        <v>22.000718390804597</v>
      </c>
      <c r="DH187" s="252">
        <f t="shared" si="1282"/>
        <v>0</v>
      </c>
      <c r="DI187" s="309">
        <f>DG187-DH187</f>
        <v>22.000718390804597</v>
      </c>
      <c r="DJ187" s="218">
        <f>IF(DG187&lt;=0,3,0)+IF(DG187&gt;0,DG187+1,0)*3+IF(DG187&gt;12,DG187-12,0)*3+IF(DG187&gt;13,DG187-13,0)*3+IF(DG187&gt;14,DG187-14,0)*3+IF(DG187&gt;15,DG187-15,0)*3+IF(DG187&gt;16,DG187-16,0)*3+IF(DG187&gt;17,DG187-17,0)*3+IF(DG187&gt;18,DG187-18,0)*3+IF(DG187&gt;19,DG187-19,0)*3+IF(DG187&gt;20,DG187-20,0)*3</f>
        <v>231.02155172413785</v>
      </c>
      <c r="DK187" s="242">
        <f>IF(DH187&lt;=0,3,0)+IF(DH187&gt;0,DH187+1,0)*3+IF(DH187&gt;12,DH187-12,0)*3+IF(DH187&gt;13,DH187-13,0)*3+IF(DH187&gt;14,DH187-14,0)*3+IF(DH187&gt;15,DH187-15,0)*3+IF(DH187&gt;16,DH187-16,0)*3+IF(DH187&gt;17,DH187-17,0)*3+IF(DH187&gt;18,DH187-18,0)*3+IF(DH187&gt;19,DH187-19,0)*3+IF(DH187&gt;20,DH187-20,0)*3</f>
        <v>3</v>
      </c>
      <c r="DL187" s="243">
        <f>IF((DJ187-DK187)&gt;0,DJ187-DK187,0)</f>
        <v>228.02155172413785</v>
      </c>
      <c r="DM187" s="218">
        <f>IF((DK187-DJ187)&gt;0,DK187-DJ187,0)</f>
        <v>0</v>
      </c>
      <c r="DO187" s="303" t="s">
        <v>391</v>
      </c>
      <c r="DP187" s="304" t="s">
        <v>442</v>
      </c>
      <c r="DQ187" s="305" t="s">
        <v>135</v>
      </c>
      <c r="DR187" s="317">
        <f>Konvention_1slave-MUslave</f>
        <v>12</v>
      </c>
      <c r="DS187" s="254"/>
      <c r="DT187" s="254">
        <f>Konvention_1slave-INslave</f>
        <v>12</v>
      </c>
      <c r="DU187" s="254"/>
      <c r="DV187" s="254">
        <f>Konvention_1slave-FFslave</f>
        <v>12</v>
      </c>
      <c r="DW187" s="254"/>
      <c r="DX187" s="254"/>
      <c r="DY187" s="318"/>
      <c r="DZ187" s="223">
        <f>(DR187+DS187+DT187+DU187+DV187+DW187+DX187+DY187)/3</f>
        <v>12</v>
      </c>
      <c r="EA187" s="223">
        <f>2*DZ187</f>
        <v>24</v>
      </c>
      <c r="EB187" s="224">
        <f>3*DZ187</f>
        <v>36</v>
      </c>
      <c r="EC187" s="237">
        <f t="shared" si="1354"/>
        <v>2304</v>
      </c>
      <c r="ED187" s="254">
        <f>DR187*DT187*FFslave+DR187*INslave*DV187+MUslave*DT187*DV187</f>
        <v>3456</v>
      </c>
      <c r="EE187" s="224">
        <f>IFERROR(DR187^SIGN(DR187),1)*IFERROR(DS187^SIGN(DS187),1)*IFERROR(DT187^SIGN(DT187),1)*IFERROR(DU187^SIGN(DU187),1)*IFERROR(DV187^SIGN(DV187),1)*IFERROR(DW187^SIGN(DW187),1)*IFERROR(DX187^SIGN(DX187),1)*IFERROR(DY187^SIGN(DY187),1)</f>
        <v>1728</v>
      </c>
      <c r="EF187" s="224">
        <f t="shared" si="1288"/>
        <v>7488</v>
      </c>
      <c r="EG187" s="222">
        <f>DZ187*EC187/EF187</f>
        <v>3.6923076923076925</v>
      </c>
      <c r="EH187" s="223">
        <f>EA187*ED187/EF187</f>
        <v>11.076923076923077</v>
      </c>
      <c r="EI187" s="243">
        <f>EB187*EE187/EF187</f>
        <v>8.3076923076923084</v>
      </c>
      <c r="EJ187" s="243">
        <f>SUM(EG187:EI187)</f>
        <v>23.07692307692308</v>
      </c>
      <c r="EK187" s="252">
        <f t="shared" si="1293"/>
        <v>0</v>
      </c>
      <c r="EL187" s="309">
        <f>EJ187-EK187</f>
        <v>23.07692307692308</v>
      </c>
      <c r="EM187" s="218">
        <f>IF(EJ187&lt;=0,3,0)+IF(EJ187&gt;0,EJ187+1,0)*3+IF(EJ187&gt;12,EJ187-12,0)*3+IF(EJ187&gt;13,EJ187-13,0)*3+IF(EJ187&gt;14,EJ187-14,0)*3+IF(EJ187&gt;15,EJ187-15,0)*3+IF(EJ187&gt;16,EJ187-16,0)*3+IF(EJ187&gt;17,EJ187-17,0)*3+IF(EJ187&gt;18,EJ187-18,0)*3+IF(EJ187&gt;19,EJ187-19,0)*3+IF(EJ187&gt;20,EJ187-20,0)*3</f>
        <v>263.30769230769232</v>
      </c>
      <c r="EN187" s="242">
        <f>IF(EK187&lt;=0,3,0)+IF(EK187&gt;0,EK187+1,0)*3+IF(EK187&gt;12,EK187-12,0)*3+IF(EK187&gt;13,EK187-13,0)*3+IF(EK187&gt;14,EK187-14,0)*3+IF(EK187&gt;15,EK187-15,0)*3+IF(EK187&gt;16,EK187-16,0)*3+IF(EK187&gt;17,EK187-17,0)*3+IF(EK187&gt;18,EK187-18,0)*3+IF(EK187&gt;19,EK187-19,0)*3+IF(EK187&gt;20,EK187-20,0)*3</f>
        <v>3</v>
      </c>
      <c r="EO187" s="243">
        <f>IF((EM187-EN187)&gt;0,EM187-EN187,0)</f>
        <v>260.30769230769232</v>
      </c>
      <c r="EP187" s="218">
        <f>IF((EN187-EM187)&gt;0,EN187-EM187,0)</f>
        <v>0</v>
      </c>
      <c r="ER187" s="303" t="s">
        <v>391</v>
      </c>
      <c r="ES187" s="304" t="s">
        <v>442</v>
      </c>
      <c r="ET187" s="305" t="s">
        <v>135</v>
      </c>
      <c r="EU187" s="317">
        <f>Konvention_1slave-MUslave</f>
        <v>12</v>
      </c>
      <c r="EV187" s="254"/>
      <c r="EW187" s="254">
        <f>Konvention_1slave-INslave</f>
        <v>12</v>
      </c>
      <c r="EX187" s="254"/>
      <c r="EY187" s="254">
        <f>Konvention_1slave-FFslave_FF</f>
        <v>11</v>
      </c>
      <c r="EZ187" s="254"/>
      <c r="FA187" s="254"/>
      <c r="FB187" s="318"/>
      <c r="FC187" s="223">
        <f>(EU187+EV187+EW187+EX187+EY187+EZ187+FA187+FB187)/3</f>
        <v>11.666666666666666</v>
      </c>
      <c r="FD187" s="223">
        <f>2*FC187</f>
        <v>23.333333333333332</v>
      </c>
      <c r="FE187" s="224">
        <f>3*FC187</f>
        <v>35</v>
      </c>
      <c r="FF187" s="237">
        <f t="shared" si="1355"/>
        <v>2432</v>
      </c>
      <c r="FG187" s="254">
        <f>EU187*EW187*FFslave_FF+EU187*INslave*EY187+MUslave*EW187*EY187</f>
        <v>3408</v>
      </c>
      <c r="FH187" s="224">
        <f>IFERROR(EU187^SIGN(EU187),1)*IFERROR(EV187^SIGN(EV187),1)*IFERROR(EW187^SIGN(EW187),1)*IFERROR(EX187^SIGN(EX187),1)*IFERROR(EY187^SIGN(EY187),1)*IFERROR(EZ187^SIGN(EZ187),1)*IFERROR(FA187^SIGN(FA187),1)*IFERROR(FB187^SIGN(FB187),1)</f>
        <v>1584</v>
      </c>
      <c r="FI187" s="224">
        <f t="shared" si="1299"/>
        <v>7424</v>
      </c>
      <c r="FJ187" s="222">
        <f>FC187*FF187/FI187</f>
        <v>3.8218390804597702</v>
      </c>
      <c r="FK187" s="223">
        <f>FD187*FG187/FI187</f>
        <v>10.711206896551724</v>
      </c>
      <c r="FL187" s="243">
        <f>FE187*FH187/FI187</f>
        <v>7.4676724137931032</v>
      </c>
      <c r="FM187" s="243">
        <f>SUM(FJ187:FL187)</f>
        <v>22.000718390804597</v>
      </c>
      <c r="FN187" s="252">
        <f t="shared" si="1304"/>
        <v>0</v>
      </c>
      <c r="FO187" s="309">
        <f>FM187-FN187</f>
        <v>22.000718390804597</v>
      </c>
      <c r="FP187" s="218">
        <f>IF(FM187&lt;=0,3,0)+IF(FM187&gt;0,FM187+1,0)*3+IF(FM187&gt;12,FM187-12,0)*3+IF(FM187&gt;13,FM187-13,0)*3+IF(FM187&gt;14,FM187-14,0)*3+IF(FM187&gt;15,FM187-15,0)*3+IF(FM187&gt;16,FM187-16,0)*3+IF(FM187&gt;17,FM187-17,0)*3+IF(FM187&gt;18,FM187-18,0)*3+IF(FM187&gt;19,FM187-19,0)*3+IF(FM187&gt;20,FM187-20,0)*3</f>
        <v>231.02155172413785</v>
      </c>
      <c r="FQ187" s="242">
        <f>IF(FN187&lt;=0,3,0)+IF(FN187&gt;0,FN187+1,0)*3+IF(FN187&gt;12,FN187-12,0)*3+IF(FN187&gt;13,FN187-13,0)*3+IF(FN187&gt;14,FN187-14,0)*3+IF(FN187&gt;15,FN187-15,0)*3+IF(FN187&gt;16,FN187-16,0)*3+IF(FN187&gt;17,FN187-17,0)*3+IF(FN187&gt;18,FN187-18,0)*3+IF(FN187&gt;19,FN187-19,0)*3+IF(FN187&gt;20,FN187-20,0)*3</f>
        <v>3</v>
      </c>
      <c r="FR187" s="243">
        <f>IF((FP187-FQ187)&gt;0,FP187-FQ187,0)</f>
        <v>228.02155172413785</v>
      </c>
      <c r="FS187" s="218">
        <f>IF((FQ187-FP187)&gt;0,FQ187-FP187,0)</f>
        <v>0</v>
      </c>
      <c r="FU187" s="303" t="s">
        <v>391</v>
      </c>
      <c r="FV187" s="304" t="s">
        <v>442</v>
      </c>
      <c r="FW187" s="305" t="s">
        <v>135</v>
      </c>
      <c r="FX187" s="317">
        <f>Konvention_1slave-MUslave</f>
        <v>12</v>
      </c>
      <c r="FY187" s="254"/>
      <c r="FZ187" s="254">
        <f>Konvention_1slave-INslave</f>
        <v>12</v>
      </c>
      <c r="GA187" s="254"/>
      <c r="GB187" s="254">
        <f>Konvention_1slave-FFslave</f>
        <v>12</v>
      </c>
      <c r="GC187" s="254"/>
      <c r="GD187" s="254"/>
      <c r="GE187" s="318"/>
      <c r="GF187" s="223">
        <f>(FX187+FY187+FZ187+GA187+GB187+GC187+GD187+GE187)/3</f>
        <v>12</v>
      </c>
      <c r="GG187" s="223">
        <f>2*GF187</f>
        <v>24</v>
      </c>
      <c r="GH187" s="224">
        <f>3*GF187</f>
        <v>36</v>
      </c>
      <c r="GI187" s="237">
        <f t="shared" si="1356"/>
        <v>2304</v>
      </c>
      <c r="GJ187" s="254">
        <f>FX187*FZ187*FFslave+FX187*INslave*GB187+MUslave*FZ187*GB187</f>
        <v>3456</v>
      </c>
      <c r="GK187" s="224">
        <f>IFERROR(FX187^SIGN(FX187),1)*IFERROR(FY187^SIGN(FY187),1)*IFERROR(FZ187^SIGN(FZ187),1)*IFERROR(GA187^SIGN(GA187),1)*IFERROR(GB187^SIGN(GB187),1)*IFERROR(GC187^SIGN(GC187),1)*IFERROR(GD187^SIGN(GD187),1)*IFERROR(GE187^SIGN(GE187),1)</f>
        <v>1728</v>
      </c>
      <c r="GL187" s="224">
        <f t="shared" si="1310"/>
        <v>7488</v>
      </c>
      <c r="GM187" s="222">
        <f>GF187*GI187/GL187</f>
        <v>3.6923076923076925</v>
      </c>
      <c r="GN187" s="223">
        <f>GG187*GJ187/GL187</f>
        <v>11.076923076923077</v>
      </c>
      <c r="GO187" s="243">
        <f>GH187*GK187/GL187</f>
        <v>8.3076923076923084</v>
      </c>
      <c r="GP187" s="243">
        <f>SUM(GM187:GO187)</f>
        <v>23.07692307692308</v>
      </c>
      <c r="GQ187" s="252">
        <f t="shared" si="1315"/>
        <v>0</v>
      </c>
      <c r="GR187" s="309">
        <f>GP187-GQ187</f>
        <v>23.07692307692308</v>
      </c>
      <c r="GS187" s="218">
        <f>IF(GP187&lt;=0,3,0)+IF(GP187&gt;0,GP187+1,0)*3+IF(GP187&gt;12,GP187-12,0)*3+IF(GP187&gt;13,GP187-13,0)*3+IF(GP187&gt;14,GP187-14,0)*3+IF(GP187&gt;15,GP187-15,0)*3+IF(GP187&gt;16,GP187-16,0)*3+IF(GP187&gt;17,GP187-17,0)*3+IF(GP187&gt;18,GP187-18,0)*3+IF(GP187&gt;19,GP187-19,0)*3+IF(GP187&gt;20,GP187-20,0)*3</f>
        <v>263.30769230769232</v>
      </c>
      <c r="GT187" s="242">
        <f>IF(GQ187&lt;=0,3,0)+IF(GQ187&gt;0,GQ187+1,0)*3+IF(GQ187&gt;12,GQ187-12,0)*3+IF(GQ187&gt;13,GQ187-13,0)*3+IF(GQ187&gt;14,GQ187-14,0)*3+IF(GQ187&gt;15,GQ187-15,0)*3+IF(GQ187&gt;16,GQ187-16,0)*3+IF(GQ187&gt;17,GQ187-17,0)*3+IF(GQ187&gt;18,GQ187-18,0)*3+IF(GQ187&gt;19,GQ187-19,0)*3+IF(GQ187&gt;20,GQ187-20,0)*3</f>
        <v>3</v>
      </c>
      <c r="GU187" s="243">
        <f>IF((GS187-GT187)&gt;0,GS187-GT187,0)</f>
        <v>260.30769230769232</v>
      </c>
      <c r="GV187" s="218">
        <f>IF((GT187-GS187)&gt;0,GT187-GS187,0)</f>
        <v>0</v>
      </c>
      <c r="GX187" s="303" t="s">
        <v>391</v>
      </c>
      <c r="GY187" s="304" t="s">
        <v>442</v>
      </c>
      <c r="GZ187" s="305" t="s">
        <v>135</v>
      </c>
      <c r="HA187" s="317">
        <f>Konvention_1slave-MUslave</f>
        <v>12</v>
      </c>
      <c r="HB187" s="254"/>
      <c r="HC187" s="254">
        <f>Konvention_1slave-INslave</f>
        <v>12</v>
      </c>
      <c r="HD187" s="254"/>
      <c r="HE187" s="254">
        <f>Konvention_1slave-FFslave</f>
        <v>12</v>
      </c>
      <c r="HF187" s="254"/>
      <c r="HG187" s="254"/>
      <c r="HH187" s="318"/>
      <c r="HI187" s="223">
        <f>(HA187+HB187+HC187+HD187+HE187+HF187+HG187+HH187)/3</f>
        <v>12</v>
      </c>
      <c r="HJ187" s="223">
        <f>2*HI187</f>
        <v>24</v>
      </c>
      <c r="HK187" s="224">
        <f>3*HI187</f>
        <v>36</v>
      </c>
      <c r="HL187" s="237">
        <f t="shared" si="1357"/>
        <v>2304</v>
      </c>
      <c r="HM187" s="254">
        <f>HA187*HC187*FFslave+HA187*INslave*HE187+MUslave*HC187*HE187</f>
        <v>3456</v>
      </c>
      <c r="HN187" s="224">
        <f>IFERROR(HA187^SIGN(HA187),1)*IFERROR(HB187^SIGN(HB187),1)*IFERROR(HC187^SIGN(HC187),1)*IFERROR(HD187^SIGN(HD187),1)*IFERROR(HE187^SIGN(HE187),1)*IFERROR(HF187^SIGN(HF187),1)*IFERROR(HG187^SIGN(HG187),1)*IFERROR(HH187^SIGN(HH187),1)</f>
        <v>1728</v>
      </c>
      <c r="HO187" s="224">
        <f t="shared" si="1321"/>
        <v>7488</v>
      </c>
      <c r="HP187" s="222">
        <f>HI187*HL187/HO187</f>
        <v>3.6923076923076925</v>
      </c>
      <c r="HQ187" s="223">
        <f>HJ187*HM187/HO187</f>
        <v>11.076923076923077</v>
      </c>
      <c r="HR187" s="243">
        <f>HK187*HN187/HO187</f>
        <v>8.3076923076923084</v>
      </c>
      <c r="HS187" s="243">
        <f>SUM(HP187:HR187)</f>
        <v>23.07692307692308</v>
      </c>
      <c r="HT187" s="252">
        <f t="shared" si="1326"/>
        <v>0</v>
      </c>
      <c r="HU187" s="309">
        <f>HS187-HT187</f>
        <v>23.07692307692308</v>
      </c>
      <c r="HV187" s="218">
        <f>IF(HS187&lt;=0,3,0)+IF(HS187&gt;0,HS187+1,0)*3+IF(HS187&gt;12,HS187-12,0)*3+IF(HS187&gt;13,HS187-13,0)*3+IF(HS187&gt;14,HS187-14,0)*3+IF(HS187&gt;15,HS187-15,0)*3+IF(HS187&gt;16,HS187-16,0)*3+IF(HS187&gt;17,HS187-17,0)*3+IF(HS187&gt;18,HS187-18,0)*3+IF(HS187&gt;19,HS187-19,0)*3+IF(HS187&gt;20,HS187-20,0)*3</f>
        <v>263.30769230769232</v>
      </c>
      <c r="HW187" s="242">
        <f>IF(HT187&lt;=0,3,0)+IF(HT187&gt;0,HT187+1,0)*3+IF(HT187&gt;12,HT187-12,0)*3+IF(HT187&gt;13,HT187-13,0)*3+IF(HT187&gt;14,HT187-14,0)*3+IF(HT187&gt;15,HT187-15,0)*3+IF(HT187&gt;16,HT187-16,0)*3+IF(HT187&gt;17,HT187-17,0)*3+IF(HT187&gt;18,HT187-18,0)*3+IF(HT187&gt;19,HT187-19,0)*3+IF(HT187&gt;20,HT187-20,0)*3</f>
        <v>3</v>
      </c>
      <c r="HX187" s="243">
        <f>IF((HV187-HW187)&gt;0,HV187-HW187,0)</f>
        <v>260.30769230769232</v>
      </c>
      <c r="HY187" s="218">
        <f>IF((HW187-HV187)&gt;0,HW187-HV187,0)</f>
        <v>0</v>
      </c>
      <c r="IA187" s="303" t="s">
        <v>391</v>
      </c>
      <c r="IB187" s="304" t="s">
        <v>442</v>
      </c>
      <c r="IC187" s="305" t="s">
        <v>135</v>
      </c>
      <c r="ID187" s="317">
        <f>Konvention_1slave-MUslave</f>
        <v>12</v>
      </c>
      <c r="IE187" s="254"/>
      <c r="IF187" s="254">
        <f>Konvention_1slave-INslave</f>
        <v>12</v>
      </c>
      <c r="IG187" s="254"/>
      <c r="IH187" s="254">
        <f>Konvention_1slave-FFslave</f>
        <v>12</v>
      </c>
      <c r="II187" s="254"/>
      <c r="IJ187" s="254"/>
      <c r="IK187" s="318"/>
      <c r="IL187" s="223">
        <f>(ID187+IE187+IF187+IG187+IH187+II187+IJ187+IK187)/3</f>
        <v>12</v>
      </c>
      <c r="IM187" s="223">
        <f>2*IL187</f>
        <v>24</v>
      </c>
      <c r="IN187" s="224">
        <f>3*IL187</f>
        <v>36</v>
      </c>
      <c r="IO187" s="237">
        <f t="shared" si="1358"/>
        <v>2304</v>
      </c>
      <c r="IP187" s="254">
        <f>ID187*IF187*FFslave+ID187*INslave*IH187+MUslave*IF187*IH187</f>
        <v>3456</v>
      </c>
      <c r="IQ187" s="224">
        <f>IFERROR(ID187^SIGN(ID187),1)*IFERROR(IE187^SIGN(IE187),1)*IFERROR(IF187^SIGN(IF187),1)*IFERROR(IG187^SIGN(IG187),1)*IFERROR(IH187^SIGN(IH187),1)*IFERROR(II187^SIGN(II187),1)*IFERROR(IJ187^SIGN(IJ187),1)*IFERROR(IK187^SIGN(IK187),1)</f>
        <v>1728</v>
      </c>
      <c r="IR187" s="224">
        <f t="shared" si="1332"/>
        <v>7488</v>
      </c>
      <c r="IS187" s="222">
        <f>IL187*IO187/IR187</f>
        <v>3.6923076923076925</v>
      </c>
      <c r="IT187" s="223">
        <f>IM187*IP187/IR187</f>
        <v>11.076923076923077</v>
      </c>
      <c r="IU187" s="243">
        <f>IN187*IQ187/IR187</f>
        <v>8.3076923076923084</v>
      </c>
      <c r="IV187" s="243">
        <f>SUM(IS187:IU187)</f>
        <v>23.07692307692308</v>
      </c>
      <c r="IW187" s="252">
        <f t="shared" si="1337"/>
        <v>0</v>
      </c>
      <c r="IX187" s="309">
        <f>IV187-IW187</f>
        <v>23.07692307692308</v>
      </c>
      <c r="IY187" s="218">
        <f>IF(IV187&lt;=0,3,0)+IF(IV187&gt;0,IV187+1,0)*3+IF(IV187&gt;12,IV187-12,0)*3+IF(IV187&gt;13,IV187-13,0)*3+IF(IV187&gt;14,IV187-14,0)*3+IF(IV187&gt;15,IV187-15,0)*3+IF(IV187&gt;16,IV187-16,0)*3+IF(IV187&gt;17,IV187-17,0)*3+IF(IV187&gt;18,IV187-18,0)*3+IF(IV187&gt;19,IV187-19,0)*3+IF(IV187&gt;20,IV187-20,0)*3</f>
        <v>263.30769230769232</v>
      </c>
      <c r="IZ187" s="242">
        <f>IF(IW187&lt;=0,3,0)+IF(IW187&gt;0,IW187+1,0)*3+IF(IW187&gt;12,IW187-12,0)*3+IF(IW187&gt;13,IW187-13,0)*3+IF(IW187&gt;14,IW187-14,0)*3+IF(IW187&gt;15,IW187-15,0)*3+IF(IW187&gt;16,IW187-16,0)*3+IF(IW187&gt;17,IW187-17,0)*3+IF(IW187&gt;18,IW187-18,0)*3+IF(IW187&gt;19,IW187-19,0)*3+IF(IW187&gt;20,IW187-20,0)*3</f>
        <v>3</v>
      </c>
      <c r="JA187" s="243">
        <f>IF((IY187-IZ187)&gt;0,IY187-IZ187,0)</f>
        <v>260.30769230769232</v>
      </c>
      <c r="JB187" s="218">
        <f>IF((IZ187-IY187)&gt;0,IZ187-IY187,0)</f>
        <v>0</v>
      </c>
      <c r="JE187" s="148"/>
    </row>
    <row r="188" spans="2:265" ht="15" hidden="1" customHeight="1" outlineLevel="2">
      <c r="B188" s="148">
        <v>36</v>
      </c>
      <c r="C188" s="303" t="e">
        <f>VLOOKUP(AF188,Attribute!C:T,1,FALSE)</f>
        <v>#N/A</v>
      </c>
      <c r="D188" s="86" t="s">
        <v>227</v>
      </c>
      <c r="E188" s="167" t="s">
        <v>133</v>
      </c>
      <c r="F188" s="120">
        <f t="shared" si="1488"/>
        <v>12</v>
      </c>
      <c r="G188" s="117"/>
      <c r="H188" s="117"/>
      <c r="I188" s="117">
        <f>Konvention_1master-CHmaster</f>
        <v>12</v>
      </c>
      <c r="J188" s="117"/>
      <c r="K188" s="117"/>
      <c r="L188" s="117">
        <f>Konvention_1master-KOmaster</f>
        <v>12</v>
      </c>
      <c r="M188" s="121"/>
      <c r="N188" s="223">
        <f t="shared" si="1359"/>
        <v>12</v>
      </c>
      <c r="O188" s="223">
        <f t="shared" si="1360"/>
        <v>24</v>
      </c>
      <c r="P188" s="224">
        <f t="shared" si="1361"/>
        <v>36</v>
      </c>
      <c r="Q188" s="237">
        <f t="shared" si="1350"/>
        <v>2304</v>
      </c>
      <c r="R188" s="117">
        <f>F188*I188*KOmaster+F188*CHmaster*L188+MUmaster*I188*L188</f>
        <v>3456</v>
      </c>
      <c r="S188" s="224">
        <f t="shared" si="1362"/>
        <v>1728</v>
      </c>
      <c r="T188" s="224">
        <f t="shared" si="1507"/>
        <v>7488</v>
      </c>
      <c r="U188" s="222">
        <f t="shared" si="1363"/>
        <v>3.6923076923076925</v>
      </c>
      <c r="V188" s="223">
        <f t="shared" si="1364"/>
        <v>11.076923076923077</v>
      </c>
      <c r="W188" s="243">
        <f t="shared" si="1365"/>
        <v>8.3076923076923084</v>
      </c>
      <c r="X188" s="243">
        <f t="shared" si="1366"/>
        <v>23.07692307692308</v>
      </c>
      <c r="Y188" s="252">
        <v>0</v>
      </c>
      <c r="Z188" s="198">
        <f t="shared" si="1367"/>
        <v>23.07692307692308</v>
      </c>
      <c r="AA188" s="125">
        <f>IF(X188&lt;=0,1,0)+IF(X188&gt;0,X188+1,0)*1+IF(X188&gt;12,X188-12,0)*1+IF(X188&gt;13,X188-13,0)*1+IF(X188&gt;14,X188-14,0)*1+IF(X188&gt;15,X188-15,0)*1+IF(X188&gt;16,X188-16,0)*1+IF(X188&gt;17,X188-17,0)*1+IF(X188&gt;18,X188-18,0)*1+IF(X188&gt;19,X188-19,0)*1+IF(X188&gt;20,X188-20,0)*1</f>
        <v>87.769230769230802</v>
      </c>
      <c r="AB188" s="160">
        <f>IF(Y188&lt;=0,1,0)+IF(Y188&gt;0,Y188+1,0)*1+IF(Y188&gt;12,Y188-12,0)*1+IF(Y188&gt;13,Y188-13,0)*1+IF(Y188&gt;14,Y188-14,0)*1+IF(Y188&gt;15,Y188-15,0)*1+IF(Y188&gt;16,Y188-16,0)*1+IF(Y188&gt;17,Y188-17,0)*1+IF(Y188&gt;18,Y188-18,0)*1+IF(Y188&gt;19,Y188-19,0)*1+IF(Y188&gt;20,Y188-20,0)*1</f>
        <v>1</v>
      </c>
      <c r="AC188" s="127">
        <f t="shared" si="1368"/>
        <v>86.769230769230802</v>
      </c>
      <c r="AD188" s="125">
        <f t="shared" si="1369"/>
        <v>0</v>
      </c>
      <c r="AF188" s="163" t="s">
        <v>202</v>
      </c>
      <c r="AG188" s="86" t="s">
        <v>227</v>
      </c>
      <c r="AH188" s="167" t="s">
        <v>133</v>
      </c>
      <c r="AI188" s="120">
        <f>Konvention_1slave-MUslave_MU</f>
        <v>11</v>
      </c>
      <c r="AJ188" s="117"/>
      <c r="AK188" s="117"/>
      <c r="AL188" s="117">
        <f>Konvention_1slave-CHslave</f>
        <v>12</v>
      </c>
      <c r="AM188" s="117"/>
      <c r="AN188" s="117"/>
      <c r="AO188" s="117">
        <f>Konvention_1slave-KOslave</f>
        <v>12</v>
      </c>
      <c r="AP188" s="121"/>
      <c r="AQ188" s="47">
        <f t="shared" si="1370"/>
        <v>11.666666666666666</v>
      </c>
      <c r="AR188" s="3">
        <f t="shared" si="1371"/>
        <v>23.333333333333332</v>
      </c>
      <c r="AS188" s="174">
        <f t="shared" si="1372"/>
        <v>35</v>
      </c>
      <c r="AT188" s="114">
        <f t="shared" si="1351"/>
        <v>2432</v>
      </c>
      <c r="AU188" s="117">
        <f>AI188*AL188*KOslave+AI188*CHslave*AO188+MUslave_MU*AL188*AO188</f>
        <v>3408</v>
      </c>
      <c r="AV188" s="119">
        <f t="shared" si="1373"/>
        <v>1584</v>
      </c>
      <c r="AW188" s="119">
        <f t="shared" si="1255"/>
        <v>7424</v>
      </c>
      <c r="AX188" s="89">
        <f t="shared" si="1374"/>
        <v>3.8218390804597702</v>
      </c>
      <c r="AY188" s="47">
        <f t="shared" si="1375"/>
        <v>10.711206896551724</v>
      </c>
      <c r="AZ188" s="127">
        <f t="shared" si="1376"/>
        <v>7.4676724137931032</v>
      </c>
      <c r="BA188" s="127">
        <f t="shared" si="1377"/>
        <v>22.000718390804597</v>
      </c>
      <c r="BB188" s="165">
        <f t="shared" si="1260"/>
        <v>0</v>
      </c>
      <c r="BC188" s="198">
        <f t="shared" si="1378"/>
        <v>22.000718390804597</v>
      </c>
      <c r="BD188" s="125">
        <f>IF(BA188&lt;=0,1,0)+IF(BA188&gt;0,BA188+1,0)*1+IF(BA188&gt;12,BA188-12,0)*1+IF(BA188&gt;13,BA188-13,0)*1+IF(BA188&gt;14,BA188-14,0)*1+IF(BA188&gt;15,BA188-15,0)*1+IF(BA188&gt;16,BA188-16,0)*1+IF(BA188&gt;17,BA188-17,0)*1+IF(BA188&gt;18,BA188-18,0)*1+IF(BA188&gt;19,BA188-19,0)*1+IF(BA188&gt;20,BA188-20,0)*1</f>
        <v>77.007183908045945</v>
      </c>
      <c r="BE188" s="160">
        <f>IF(BB188&lt;=0,1,0)+IF(BB188&gt;0,BB188+1,0)*1+IF(BB188&gt;12,BB188-12,0)*1+IF(BB188&gt;13,BB188-13,0)*1+IF(BB188&gt;14,BB188-14,0)*1+IF(BB188&gt;15,BB188-15,0)*1+IF(BB188&gt;16,BB188-16,0)*1+IF(BB188&gt;17,BB188-17,0)*1+IF(BB188&gt;18,BB188-18,0)*1+IF(BB188&gt;19,BB188-19,0)*1+IF(BB188&gt;20,BB188-20,0)*1</f>
        <v>1</v>
      </c>
      <c r="BF188" s="243">
        <f t="shared" si="1379"/>
        <v>76.007183908045945</v>
      </c>
      <c r="BG188" s="218">
        <f t="shared" si="1380"/>
        <v>0</v>
      </c>
      <c r="BI188" s="303" t="s">
        <v>202</v>
      </c>
      <c r="BJ188" s="304" t="s">
        <v>227</v>
      </c>
      <c r="BK188" s="305" t="s">
        <v>133</v>
      </c>
      <c r="BL188" s="317">
        <f>Konvention_1slave-MUslave</f>
        <v>12</v>
      </c>
      <c r="BM188" s="254"/>
      <c r="BN188" s="254"/>
      <c r="BO188" s="254">
        <f>Konvention_1slave-CHslave</f>
        <v>12</v>
      </c>
      <c r="BP188" s="254"/>
      <c r="BQ188" s="254"/>
      <c r="BR188" s="254">
        <f>Konvention_1slave-KOslave</f>
        <v>12</v>
      </c>
      <c r="BS188" s="318"/>
      <c r="BT188" s="223">
        <f t="shared" si="1381"/>
        <v>12</v>
      </c>
      <c r="BU188" s="223">
        <f t="shared" si="1382"/>
        <v>24</v>
      </c>
      <c r="BV188" s="224">
        <f t="shared" si="1383"/>
        <v>36</v>
      </c>
      <c r="BW188" s="237">
        <f t="shared" si="1352"/>
        <v>2304</v>
      </c>
      <c r="BX188" s="254">
        <f>BL188*BO188*KOslave+BL188*CHslave*BR188+MUslave*BO188*BR188</f>
        <v>3456</v>
      </c>
      <c r="BY188" s="224">
        <f t="shared" si="1384"/>
        <v>1728</v>
      </c>
      <c r="BZ188" s="224">
        <f t="shared" si="1266"/>
        <v>7488</v>
      </c>
      <c r="CA188" s="222">
        <f t="shared" si="1385"/>
        <v>3.6923076923076925</v>
      </c>
      <c r="CB188" s="223">
        <f t="shared" si="1386"/>
        <v>11.076923076923077</v>
      </c>
      <c r="CC188" s="243">
        <f t="shared" si="1387"/>
        <v>8.3076923076923084</v>
      </c>
      <c r="CD188" s="243">
        <f t="shared" si="1388"/>
        <v>23.07692307692308</v>
      </c>
      <c r="CE188" s="252">
        <f t="shared" si="1271"/>
        <v>0</v>
      </c>
      <c r="CF188" s="309">
        <f t="shared" si="1389"/>
        <v>23.07692307692308</v>
      </c>
      <c r="CG188" s="218">
        <f>IF(CD188&lt;=0,1,0)+IF(CD188&gt;0,CD188+1,0)*1+IF(CD188&gt;12,CD188-12,0)*1+IF(CD188&gt;13,CD188-13,0)*1+IF(CD188&gt;14,CD188-14,0)*1+IF(CD188&gt;15,CD188-15,0)*1+IF(CD188&gt;16,CD188-16,0)*1+IF(CD188&gt;17,CD188-17,0)*1+IF(CD188&gt;18,CD188-18,0)*1+IF(CD188&gt;19,CD188-19,0)*1+IF(CD188&gt;20,CD188-20,0)*1</f>
        <v>87.769230769230802</v>
      </c>
      <c r="CH188" s="242">
        <f>IF(CE188&lt;=0,1,0)+IF(CE188&gt;0,CE188+1,0)*1+IF(CE188&gt;12,CE188-12,0)*1+IF(CE188&gt;13,CE188-13,0)*1+IF(CE188&gt;14,CE188-14,0)*1+IF(CE188&gt;15,CE188-15,0)*1+IF(CE188&gt;16,CE188-16,0)*1+IF(CE188&gt;17,CE188-17,0)*1+IF(CE188&gt;18,CE188-18,0)*1+IF(CE188&gt;19,CE188-19,0)*1+IF(CE188&gt;20,CE188-20,0)*1</f>
        <v>1</v>
      </c>
      <c r="CI188" s="243">
        <f t="shared" si="1390"/>
        <v>86.769230769230802</v>
      </c>
      <c r="CJ188" s="218">
        <f t="shared" si="1391"/>
        <v>0</v>
      </c>
      <c r="CL188" s="303" t="s">
        <v>202</v>
      </c>
      <c r="CM188" s="304" t="s">
        <v>227</v>
      </c>
      <c r="CN188" s="305" t="s">
        <v>133</v>
      </c>
      <c r="CO188" s="317">
        <f>Konvention_1slave-MUslave</f>
        <v>12</v>
      </c>
      <c r="CP188" s="254"/>
      <c r="CQ188" s="254"/>
      <c r="CR188" s="254">
        <f>Konvention_1slave-CHslave</f>
        <v>12</v>
      </c>
      <c r="CS188" s="254"/>
      <c r="CT188" s="254"/>
      <c r="CU188" s="254">
        <f>Konvention_1slave-KOslave</f>
        <v>12</v>
      </c>
      <c r="CV188" s="318"/>
      <c r="CW188" s="223">
        <f t="shared" si="1392"/>
        <v>12</v>
      </c>
      <c r="CX188" s="223">
        <f t="shared" si="1393"/>
        <v>24</v>
      </c>
      <c r="CY188" s="224">
        <f t="shared" si="1394"/>
        <v>36</v>
      </c>
      <c r="CZ188" s="237">
        <f t="shared" si="1353"/>
        <v>2304</v>
      </c>
      <c r="DA188" s="254">
        <f>CO188*CR188*KOslave+CO188*CHslave*CU188+MUslave*CR188*CU188</f>
        <v>3456</v>
      </c>
      <c r="DB188" s="224">
        <f t="shared" si="1395"/>
        <v>1728</v>
      </c>
      <c r="DC188" s="224">
        <f t="shared" si="1277"/>
        <v>7488</v>
      </c>
      <c r="DD188" s="222">
        <f t="shared" si="1396"/>
        <v>3.6923076923076925</v>
      </c>
      <c r="DE188" s="223">
        <f t="shared" si="1397"/>
        <v>11.076923076923077</v>
      </c>
      <c r="DF188" s="243">
        <f t="shared" si="1398"/>
        <v>8.3076923076923084</v>
      </c>
      <c r="DG188" s="243">
        <f t="shared" si="1399"/>
        <v>23.07692307692308</v>
      </c>
      <c r="DH188" s="252">
        <f t="shared" si="1282"/>
        <v>0</v>
      </c>
      <c r="DI188" s="309">
        <f t="shared" si="1400"/>
        <v>23.07692307692308</v>
      </c>
      <c r="DJ188" s="218">
        <f>IF(DG188&lt;=0,1,0)+IF(DG188&gt;0,DG188+1,0)*1+IF(DG188&gt;12,DG188-12,0)*1+IF(DG188&gt;13,DG188-13,0)*1+IF(DG188&gt;14,DG188-14,0)*1+IF(DG188&gt;15,DG188-15,0)*1+IF(DG188&gt;16,DG188-16,0)*1+IF(DG188&gt;17,DG188-17,0)*1+IF(DG188&gt;18,DG188-18,0)*1+IF(DG188&gt;19,DG188-19,0)*1+IF(DG188&gt;20,DG188-20,0)*1</f>
        <v>87.769230769230802</v>
      </c>
      <c r="DK188" s="242">
        <f>IF(DH188&lt;=0,1,0)+IF(DH188&gt;0,DH188+1,0)*1+IF(DH188&gt;12,DH188-12,0)*1+IF(DH188&gt;13,DH188-13,0)*1+IF(DH188&gt;14,DH188-14,0)*1+IF(DH188&gt;15,DH188-15,0)*1+IF(DH188&gt;16,DH188-16,0)*1+IF(DH188&gt;17,DH188-17,0)*1+IF(DH188&gt;18,DH188-18,0)*1+IF(DH188&gt;19,DH188-19,0)*1+IF(DH188&gt;20,DH188-20,0)*1</f>
        <v>1</v>
      </c>
      <c r="DL188" s="243">
        <f t="shared" si="1401"/>
        <v>86.769230769230802</v>
      </c>
      <c r="DM188" s="218">
        <f t="shared" si="1402"/>
        <v>0</v>
      </c>
      <c r="DO188" s="303" t="s">
        <v>202</v>
      </c>
      <c r="DP188" s="304" t="s">
        <v>227</v>
      </c>
      <c r="DQ188" s="305" t="s">
        <v>133</v>
      </c>
      <c r="DR188" s="317">
        <f>Konvention_1slave-MUslave</f>
        <v>12</v>
      </c>
      <c r="DS188" s="254"/>
      <c r="DT188" s="254"/>
      <c r="DU188" s="254">
        <f>Konvention_1slave-CHslave_CH</f>
        <v>11</v>
      </c>
      <c r="DV188" s="254"/>
      <c r="DW188" s="254"/>
      <c r="DX188" s="254">
        <f>Konvention_1slave-KOslave</f>
        <v>12</v>
      </c>
      <c r="DY188" s="318"/>
      <c r="DZ188" s="223">
        <f t="shared" si="1403"/>
        <v>11.666666666666666</v>
      </c>
      <c r="EA188" s="223">
        <f t="shared" si="1404"/>
        <v>23.333333333333332</v>
      </c>
      <c r="EB188" s="224">
        <f t="shared" si="1405"/>
        <v>35</v>
      </c>
      <c r="EC188" s="237">
        <f t="shared" si="1354"/>
        <v>2432</v>
      </c>
      <c r="ED188" s="254">
        <f>DR188*DU188*KOslave+DR188*CHslave_CH*DX188+MUslave*DU188*DX188</f>
        <v>3408</v>
      </c>
      <c r="EE188" s="224">
        <f t="shared" si="1406"/>
        <v>1584</v>
      </c>
      <c r="EF188" s="224">
        <f t="shared" si="1288"/>
        <v>7424</v>
      </c>
      <c r="EG188" s="222">
        <f t="shared" si="1407"/>
        <v>3.8218390804597702</v>
      </c>
      <c r="EH188" s="223">
        <f t="shared" si="1408"/>
        <v>10.711206896551724</v>
      </c>
      <c r="EI188" s="243">
        <f t="shared" si="1409"/>
        <v>7.4676724137931032</v>
      </c>
      <c r="EJ188" s="243">
        <f t="shared" si="1410"/>
        <v>22.000718390804597</v>
      </c>
      <c r="EK188" s="252">
        <f t="shared" si="1293"/>
        <v>0</v>
      </c>
      <c r="EL188" s="309">
        <f t="shared" si="1411"/>
        <v>22.000718390804597</v>
      </c>
      <c r="EM188" s="218">
        <f>IF(EJ188&lt;=0,1,0)+IF(EJ188&gt;0,EJ188+1,0)*1+IF(EJ188&gt;12,EJ188-12,0)*1+IF(EJ188&gt;13,EJ188-13,0)*1+IF(EJ188&gt;14,EJ188-14,0)*1+IF(EJ188&gt;15,EJ188-15,0)*1+IF(EJ188&gt;16,EJ188-16,0)*1+IF(EJ188&gt;17,EJ188-17,0)*1+IF(EJ188&gt;18,EJ188-18,0)*1+IF(EJ188&gt;19,EJ188-19,0)*1+IF(EJ188&gt;20,EJ188-20,0)*1</f>
        <v>77.007183908045945</v>
      </c>
      <c r="EN188" s="242">
        <f>IF(EK188&lt;=0,1,0)+IF(EK188&gt;0,EK188+1,0)*1+IF(EK188&gt;12,EK188-12,0)*1+IF(EK188&gt;13,EK188-13,0)*1+IF(EK188&gt;14,EK188-14,0)*1+IF(EK188&gt;15,EK188-15,0)*1+IF(EK188&gt;16,EK188-16,0)*1+IF(EK188&gt;17,EK188-17,0)*1+IF(EK188&gt;18,EK188-18,0)*1+IF(EK188&gt;19,EK188-19,0)*1+IF(EK188&gt;20,EK188-20,0)*1</f>
        <v>1</v>
      </c>
      <c r="EO188" s="243">
        <f t="shared" si="1412"/>
        <v>76.007183908045945</v>
      </c>
      <c r="EP188" s="218">
        <f t="shared" si="1413"/>
        <v>0</v>
      </c>
      <c r="ER188" s="303" t="s">
        <v>202</v>
      </c>
      <c r="ES188" s="304" t="s">
        <v>227</v>
      </c>
      <c r="ET188" s="305" t="s">
        <v>133</v>
      </c>
      <c r="EU188" s="317">
        <f>Konvention_1slave-MUslave</f>
        <v>12</v>
      </c>
      <c r="EV188" s="254"/>
      <c r="EW188" s="254"/>
      <c r="EX188" s="254">
        <f>Konvention_1slave-CHslave</f>
        <v>12</v>
      </c>
      <c r="EY188" s="254"/>
      <c r="EZ188" s="254"/>
      <c r="FA188" s="254">
        <f>Konvention_1slave-KOslave</f>
        <v>12</v>
      </c>
      <c r="FB188" s="318"/>
      <c r="FC188" s="223">
        <f t="shared" si="1414"/>
        <v>12</v>
      </c>
      <c r="FD188" s="223">
        <f t="shared" si="1415"/>
        <v>24</v>
      </c>
      <c r="FE188" s="224">
        <f t="shared" si="1416"/>
        <v>36</v>
      </c>
      <c r="FF188" s="237">
        <f t="shared" si="1355"/>
        <v>2304</v>
      </c>
      <c r="FG188" s="254">
        <f>EU188*EX188*KOslave+EU188*CHslave*FA188+MUslave*EX188*FA188</f>
        <v>3456</v>
      </c>
      <c r="FH188" s="224">
        <f t="shared" si="1417"/>
        <v>1728</v>
      </c>
      <c r="FI188" s="224">
        <f t="shared" si="1299"/>
        <v>7488</v>
      </c>
      <c r="FJ188" s="222">
        <f t="shared" si="1418"/>
        <v>3.6923076923076925</v>
      </c>
      <c r="FK188" s="223">
        <f t="shared" si="1419"/>
        <v>11.076923076923077</v>
      </c>
      <c r="FL188" s="243">
        <f t="shared" si="1420"/>
        <v>8.3076923076923084</v>
      </c>
      <c r="FM188" s="243">
        <f t="shared" si="1421"/>
        <v>23.07692307692308</v>
      </c>
      <c r="FN188" s="252">
        <f t="shared" si="1304"/>
        <v>0</v>
      </c>
      <c r="FO188" s="309">
        <f t="shared" si="1422"/>
        <v>23.07692307692308</v>
      </c>
      <c r="FP188" s="218">
        <f>IF(FM188&lt;=0,1,0)+IF(FM188&gt;0,FM188+1,0)*1+IF(FM188&gt;12,FM188-12,0)*1+IF(FM188&gt;13,FM188-13,0)*1+IF(FM188&gt;14,FM188-14,0)*1+IF(FM188&gt;15,FM188-15,0)*1+IF(FM188&gt;16,FM188-16,0)*1+IF(FM188&gt;17,FM188-17,0)*1+IF(FM188&gt;18,FM188-18,0)*1+IF(FM188&gt;19,FM188-19,0)*1+IF(FM188&gt;20,FM188-20,0)*1</f>
        <v>87.769230769230802</v>
      </c>
      <c r="FQ188" s="242">
        <f>IF(FN188&lt;=0,1,0)+IF(FN188&gt;0,FN188+1,0)*1+IF(FN188&gt;12,FN188-12,0)*1+IF(FN188&gt;13,FN188-13,0)*1+IF(FN188&gt;14,FN188-14,0)*1+IF(FN188&gt;15,FN188-15,0)*1+IF(FN188&gt;16,FN188-16,0)*1+IF(FN188&gt;17,FN188-17,0)*1+IF(FN188&gt;18,FN188-18,0)*1+IF(FN188&gt;19,FN188-19,0)*1+IF(FN188&gt;20,FN188-20,0)*1</f>
        <v>1</v>
      </c>
      <c r="FR188" s="243">
        <f t="shared" si="1423"/>
        <v>86.769230769230802</v>
      </c>
      <c r="FS188" s="218">
        <f t="shared" si="1424"/>
        <v>0</v>
      </c>
      <c r="FU188" s="303" t="s">
        <v>202</v>
      </c>
      <c r="FV188" s="304" t="s">
        <v>227</v>
      </c>
      <c r="FW188" s="305" t="s">
        <v>133</v>
      </c>
      <c r="FX188" s="317">
        <f>Konvention_1slave-MUslave</f>
        <v>12</v>
      </c>
      <c r="FY188" s="254"/>
      <c r="FZ188" s="254"/>
      <c r="GA188" s="254">
        <f>Konvention_1slave-CHslave</f>
        <v>12</v>
      </c>
      <c r="GB188" s="254"/>
      <c r="GC188" s="254"/>
      <c r="GD188" s="254">
        <f>Konvention_1slave-KOslave</f>
        <v>12</v>
      </c>
      <c r="GE188" s="318"/>
      <c r="GF188" s="223">
        <f t="shared" si="1425"/>
        <v>12</v>
      </c>
      <c r="GG188" s="223">
        <f t="shared" si="1426"/>
        <v>24</v>
      </c>
      <c r="GH188" s="224">
        <f t="shared" si="1427"/>
        <v>36</v>
      </c>
      <c r="GI188" s="237">
        <f t="shared" si="1356"/>
        <v>2304</v>
      </c>
      <c r="GJ188" s="254">
        <f>FX188*GA188*KOslave+FX188*CHslave*GD188+MUslave*GA188*GD188</f>
        <v>3456</v>
      </c>
      <c r="GK188" s="224">
        <f t="shared" si="1428"/>
        <v>1728</v>
      </c>
      <c r="GL188" s="224">
        <f t="shared" si="1310"/>
        <v>7488</v>
      </c>
      <c r="GM188" s="222">
        <f t="shared" si="1429"/>
        <v>3.6923076923076925</v>
      </c>
      <c r="GN188" s="223">
        <f t="shared" si="1430"/>
        <v>11.076923076923077</v>
      </c>
      <c r="GO188" s="243">
        <f t="shared" si="1431"/>
        <v>8.3076923076923084</v>
      </c>
      <c r="GP188" s="243">
        <f t="shared" si="1432"/>
        <v>23.07692307692308</v>
      </c>
      <c r="GQ188" s="252">
        <f t="shared" si="1315"/>
        <v>0</v>
      </c>
      <c r="GR188" s="309">
        <f t="shared" si="1433"/>
        <v>23.07692307692308</v>
      </c>
      <c r="GS188" s="218">
        <f>IF(GP188&lt;=0,1,0)+IF(GP188&gt;0,GP188+1,0)*1+IF(GP188&gt;12,GP188-12,0)*1+IF(GP188&gt;13,GP188-13,0)*1+IF(GP188&gt;14,GP188-14,0)*1+IF(GP188&gt;15,GP188-15,0)*1+IF(GP188&gt;16,GP188-16,0)*1+IF(GP188&gt;17,GP188-17,0)*1+IF(GP188&gt;18,GP188-18,0)*1+IF(GP188&gt;19,GP188-19,0)*1+IF(GP188&gt;20,GP188-20,0)*1</f>
        <v>87.769230769230802</v>
      </c>
      <c r="GT188" s="242">
        <f>IF(GQ188&lt;=0,1,0)+IF(GQ188&gt;0,GQ188+1,0)*1+IF(GQ188&gt;12,GQ188-12,0)*1+IF(GQ188&gt;13,GQ188-13,0)*1+IF(GQ188&gt;14,GQ188-14,0)*1+IF(GQ188&gt;15,GQ188-15,0)*1+IF(GQ188&gt;16,GQ188-16,0)*1+IF(GQ188&gt;17,GQ188-17,0)*1+IF(GQ188&gt;18,GQ188-18,0)*1+IF(GQ188&gt;19,GQ188-19,0)*1+IF(GQ188&gt;20,GQ188-20,0)*1</f>
        <v>1</v>
      </c>
      <c r="GU188" s="243">
        <f t="shared" si="1434"/>
        <v>86.769230769230802</v>
      </c>
      <c r="GV188" s="218">
        <f t="shared" si="1435"/>
        <v>0</v>
      </c>
      <c r="GX188" s="303" t="s">
        <v>202</v>
      </c>
      <c r="GY188" s="304" t="s">
        <v>227</v>
      </c>
      <c r="GZ188" s="305" t="s">
        <v>133</v>
      </c>
      <c r="HA188" s="317">
        <f>Konvention_1slave-MUslave</f>
        <v>12</v>
      </c>
      <c r="HB188" s="254"/>
      <c r="HC188" s="254"/>
      <c r="HD188" s="254">
        <f>Konvention_1slave-CHslave</f>
        <v>12</v>
      </c>
      <c r="HE188" s="254"/>
      <c r="HF188" s="254"/>
      <c r="HG188" s="254">
        <f>Konvention_1slave-KOslave_KO</f>
        <v>11</v>
      </c>
      <c r="HH188" s="318"/>
      <c r="HI188" s="223">
        <f t="shared" si="1436"/>
        <v>11.666666666666666</v>
      </c>
      <c r="HJ188" s="223">
        <f t="shared" si="1437"/>
        <v>23.333333333333332</v>
      </c>
      <c r="HK188" s="224">
        <f t="shared" si="1438"/>
        <v>35</v>
      </c>
      <c r="HL188" s="237">
        <f t="shared" si="1357"/>
        <v>2432</v>
      </c>
      <c r="HM188" s="254">
        <f>HA188*HD188*KOslave_KO+HA188*CHslave*HG188+MUslave*HD188*HG188</f>
        <v>3408</v>
      </c>
      <c r="HN188" s="224">
        <f t="shared" si="1439"/>
        <v>1584</v>
      </c>
      <c r="HO188" s="224">
        <f t="shared" si="1321"/>
        <v>7424</v>
      </c>
      <c r="HP188" s="222">
        <f t="shared" si="1440"/>
        <v>3.8218390804597702</v>
      </c>
      <c r="HQ188" s="223">
        <f t="shared" si="1441"/>
        <v>10.711206896551724</v>
      </c>
      <c r="HR188" s="243">
        <f t="shared" si="1442"/>
        <v>7.4676724137931032</v>
      </c>
      <c r="HS188" s="243">
        <f t="shared" si="1443"/>
        <v>22.000718390804597</v>
      </c>
      <c r="HT188" s="252">
        <f t="shared" si="1326"/>
        <v>0</v>
      </c>
      <c r="HU188" s="309">
        <f t="shared" si="1444"/>
        <v>22.000718390804597</v>
      </c>
      <c r="HV188" s="218">
        <f>IF(HS188&lt;=0,1,0)+IF(HS188&gt;0,HS188+1,0)*1+IF(HS188&gt;12,HS188-12,0)*1+IF(HS188&gt;13,HS188-13,0)*1+IF(HS188&gt;14,HS188-14,0)*1+IF(HS188&gt;15,HS188-15,0)*1+IF(HS188&gt;16,HS188-16,0)*1+IF(HS188&gt;17,HS188-17,0)*1+IF(HS188&gt;18,HS188-18,0)*1+IF(HS188&gt;19,HS188-19,0)*1+IF(HS188&gt;20,HS188-20,0)*1</f>
        <v>77.007183908045945</v>
      </c>
      <c r="HW188" s="242">
        <f>IF(HT188&lt;=0,1,0)+IF(HT188&gt;0,HT188+1,0)*1+IF(HT188&gt;12,HT188-12,0)*1+IF(HT188&gt;13,HT188-13,0)*1+IF(HT188&gt;14,HT188-14,0)*1+IF(HT188&gt;15,HT188-15,0)*1+IF(HT188&gt;16,HT188-16,0)*1+IF(HT188&gt;17,HT188-17,0)*1+IF(HT188&gt;18,HT188-18,0)*1+IF(HT188&gt;19,HT188-19,0)*1+IF(HT188&gt;20,HT188-20,0)*1</f>
        <v>1</v>
      </c>
      <c r="HX188" s="243">
        <f t="shared" si="1445"/>
        <v>76.007183908045945</v>
      </c>
      <c r="HY188" s="218">
        <f t="shared" si="1446"/>
        <v>0</v>
      </c>
      <c r="IA188" s="303" t="s">
        <v>202</v>
      </c>
      <c r="IB188" s="304" t="s">
        <v>227</v>
      </c>
      <c r="IC188" s="305" t="s">
        <v>133</v>
      </c>
      <c r="ID188" s="317">
        <f>Konvention_1slave-MUslave</f>
        <v>12</v>
      </c>
      <c r="IE188" s="254"/>
      <c r="IF188" s="254"/>
      <c r="IG188" s="254">
        <f>Konvention_1slave-CHslave</f>
        <v>12</v>
      </c>
      <c r="IH188" s="254"/>
      <c r="II188" s="254"/>
      <c r="IJ188" s="254">
        <f>Konvention_1slave-KOslave</f>
        <v>12</v>
      </c>
      <c r="IK188" s="318"/>
      <c r="IL188" s="223">
        <f t="shared" si="1447"/>
        <v>12</v>
      </c>
      <c r="IM188" s="223">
        <f t="shared" si="1448"/>
        <v>24</v>
      </c>
      <c r="IN188" s="224">
        <f t="shared" si="1449"/>
        <v>36</v>
      </c>
      <c r="IO188" s="237">
        <f t="shared" si="1358"/>
        <v>2304</v>
      </c>
      <c r="IP188" s="254">
        <f>ID188*IG188*KOslave+ID188*CHslave*IJ188+MUslave*IG188*IJ188</f>
        <v>3456</v>
      </c>
      <c r="IQ188" s="224">
        <f t="shared" si="1450"/>
        <v>1728</v>
      </c>
      <c r="IR188" s="224">
        <f t="shared" si="1332"/>
        <v>7488</v>
      </c>
      <c r="IS188" s="222">
        <f t="shared" si="1451"/>
        <v>3.6923076923076925</v>
      </c>
      <c r="IT188" s="223">
        <f t="shared" si="1452"/>
        <v>11.076923076923077</v>
      </c>
      <c r="IU188" s="243">
        <f t="shared" si="1453"/>
        <v>8.3076923076923084</v>
      </c>
      <c r="IV188" s="243">
        <f t="shared" si="1454"/>
        <v>23.07692307692308</v>
      </c>
      <c r="IW188" s="252">
        <f t="shared" si="1337"/>
        <v>0</v>
      </c>
      <c r="IX188" s="309">
        <f t="shared" si="1455"/>
        <v>23.07692307692308</v>
      </c>
      <c r="IY188" s="218">
        <f>IF(IV188&lt;=0,1,0)+IF(IV188&gt;0,IV188+1,0)*1+IF(IV188&gt;12,IV188-12,0)*1+IF(IV188&gt;13,IV188-13,0)*1+IF(IV188&gt;14,IV188-14,0)*1+IF(IV188&gt;15,IV188-15,0)*1+IF(IV188&gt;16,IV188-16,0)*1+IF(IV188&gt;17,IV188-17,0)*1+IF(IV188&gt;18,IV188-18,0)*1+IF(IV188&gt;19,IV188-19,0)*1+IF(IV188&gt;20,IV188-20,0)*1</f>
        <v>87.769230769230802</v>
      </c>
      <c r="IZ188" s="242">
        <f>IF(IW188&lt;=0,1,0)+IF(IW188&gt;0,IW188+1,0)*1+IF(IW188&gt;12,IW188-12,0)*1+IF(IW188&gt;13,IW188-13,0)*1+IF(IW188&gt;14,IW188-14,0)*1+IF(IW188&gt;15,IW188-15,0)*1+IF(IW188&gt;16,IW188-16,0)*1+IF(IW188&gt;17,IW188-17,0)*1+IF(IW188&gt;18,IW188-18,0)*1+IF(IW188&gt;19,IW188-19,0)*1+IF(IW188&gt;20,IW188-20,0)*1</f>
        <v>1</v>
      </c>
      <c r="JA188" s="243">
        <f t="shared" si="1456"/>
        <v>86.769230769230802</v>
      </c>
      <c r="JB188" s="218">
        <f t="shared" si="1457"/>
        <v>0</v>
      </c>
      <c r="JE188" s="148"/>
    </row>
    <row r="189" spans="2:265" ht="15" hidden="1" customHeight="1" outlineLevel="2">
      <c r="B189" s="148">
        <v>37</v>
      </c>
      <c r="C189" s="303" t="e">
        <f>VLOOKUP(AF189,Attribute!C:T,1,FALSE)</f>
        <v>#N/A</v>
      </c>
      <c r="D189" s="86" t="s">
        <v>86</v>
      </c>
      <c r="E189" s="167" t="s">
        <v>132</v>
      </c>
      <c r="F189" s="120">
        <f>Konvention_1master-MUmaster</f>
        <v>12</v>
      </c>
      <c r="G189" s="117"/>
      <c r="H189" s="117">
        <f>Konvention_1master-INmaster</f>
        <v>12</v>
      </c>
      <c r="I189" s="117">
        <f>Konvention_1master-CHmaster</f>
        <v>12</v>
      </c>
      <c r="J189" s="117"/>
      <c r="K189" s="117"/>
      <c r="L189" s="117"/>
      <c r="M189" s="121"/>
      <c r="N189" s="223">
        <f t="shared" si="1359"/>
        <v>12</v>
      </c>
      <c r="O189" s="223">
        <f t="shared" si="1360"/>
        <v>24</v>
      </c>
      <c r="P189" s="224">
        <f t="shared" si="1361"/>
        <v>36</v>
      </c>
      <c r="Q189" s="237">
        <f t="shared" ref="Q189:Q211" si="1508">F189*POWER(KLmaster,SIGN(G189))*POWER(INmaster,SIGN(H189))*POWER(CHmaster,SIGN(I189))*POWER(FFmaster,SIGN(J189))*POWER(GEmaster,SIGN(K189))*POWER(KOmaster,SIGN(L189))*POWER(KKmaster,SIGN(M189))+G189*POWER(MUmaster,SIGN(F189))*POWER(INmaster,SIGN(H189))*POWER(CHmaster,SIGN(I189))*POWER(FFmaster,SIGN(J189))*POWER(GEmaster,SIGN(K189))*POWER(KOmaster,SIGN(L189))*POWER(KKmaster,SIGN(M189))+H189*POWER(MUmaster,SIGN(F189))*POWER(KLmaster,SIGN(G189))*POWER(CHmaster,SIGN(I189))*POWER(FFmaster,SIGN(J189))*POWER(GEmaster,SIGN(K189))*POWER(KOmaster,SIGN(L189))*POWER(KKmaster,SIGN(M189))+I189*POWER(MUmaster,SIGN(F189))*POWER(KLmaster,SIGN(G189))*POWER(INmaster,SIGN(H189))*POWER(FFmaster,SIGN(J189))*POWER(GEmaster,SIGN(K189))*POWER(KOmaster,SIGN(L189))*POWER(KKmaster,SIGN(M189))+J189*POWER(MUmaster,SIGN(F189))*POWER(KLmaster,SIGN(G189))*POWER(INmaster,SIGN(H189))*POWER(CHmaster,SIGN(I189))*POWER(GEmaster,SIGN(K189))*POWER(KOmaster,SIGN(L189))*POWER(KKmaster,SIGN(M189))+K189*POWER(MUmaster,SIGN(F189))*POWER(KLmaster,SIGN(G189))*POWER(INmaster,SIGN(H189))*POWER(CHmaster,SIGN(I189))*POWER(FFmaster,SIGN(J189))*POWER(KOmaster,SIGN(L189))*POWER(KKmaster,SIGN(M189))+L189*POWER(MUmaster,SIGN(F189))*POWER(KLmaster,SIGN(G189))*POWER(INmaster,SIGN(H189))*POWER(CHmaster,SIGN(I189))*POWER(FFmaster,SIGN(J189))*POWER(GEmaster,SIGN(K189))*POWER(KKmaster,SIGN(M189))+M189*POWER(MUmaster,SIGN(F189))*POWER(KLmaster,SIGN(G189))*POWER(INmaster,SIGN(H189))*POWER(CHmaster,SIGN(I189))*POWER(FFmaster,SIGN(J189))*POWER(GEmaster,SIGN(K189))*POWER(KOmaster,SIGN(L189))</f>
        <v>2304</v>
      </c>
      <c r="R189" s="117">
        <f>F189*H189*CHmaster+F189*INmaster*I189+MUmaster*H189*I189</f>
        <v>3456</v>
      </c>
      <c r="S189" s="224">
        <f t="shared" si="1362"/>
        <v>1728</v>
      </c>
      <c r="T189" s="224">
        <f t="shared" si="1507"/>
        <v>7488</v>
      </c>
      <c r="U189" s="222">
        <f>N189*Q189/T189</f>
        <v>3.6923076923076925</v>
      </c>
      <c r="V189" s="223">
        <f>O189*R189/T189</f>
        <v>11.076923076923077</v>
      </c>
      <c r="W189" s="243">
        <f>P189*S189/T189</f>
        <v>8.3076923076923084</v>
      </c>
      <c r="X189" s="243">
        <f>SUM(U189:W189)</f>
        <v>23.07692307692308</v>
      </c>
      <c r="Y189" s="252">
        <v>0</v>
      </c>
      <c r="Z189" s="198">
        <f>X189-Y189</f>
        <v>23.07692307692308</v>
      </c>
      <c r="AA189" s="125">
        <f>IF(X189&lt;=0,2,0)+IF(X189&gt;0,X189+1,0)*2+IF(X189&gt;12,X189-12,0)*2+IF(X189&gt;13,X189-13,0)*2+IF(X189&gt;14,X189-14,0)*2+IF(X189&gt;15,X189-15,0)*2+IF(X189&gt;16,X189-16,0)*2+IF(X189&gt;17,X189-17,0)*2+IF(X189&gt;18,X189-18,0)*2+IF(X189&gt;19,X189-19,0)*2+IF(X189&gt;20,X189-20,0)*2</f>
        <v>175.5384615384616</v>
      </c>
      <c r="AB189" s="160">
        <f>IF(Y189&lt;=0,2,0)+IF(Y189&gt;0,Y189+1,0)*2+IF(Y189&gt;12,Y189-12,0)*2+IF(Y189&gt;13,Y189-13,0)*2+IF(Y189&gt;14,Y189-14,0)*2+IF(Y189&gt;15,Y189-15,0)*2+IF(Y189&gt;16,Y189-16,0)*2+IF(Y189&gt;17,Y189-17,0)*2+IF(Y189&gt;18,Y189-18,0)*2+IF(Y189&gt;19,Y189-19,0)*2+IF(Y189&gt;20,Y189-20,0)*2</f>
        <v>2</v>
      </c>
      <c r="AC189" s="127">
        <f t="shared" si="1368"/>
        <v>173.5384615384616</v>
      </c>
      <c r="AD189" s="125">
        <f t="shared" si="1369"/>
        <v>0</v>
      </c>
      <c r="AF189" s="163" t="s">
        <v>392</v>
      </c>
      <c r="AG189" s="86" t="s">
        <v>86</v>
      </c>
      <c r="AH189" s="167" t="s">
        <v>132</v>
      </c>
      <c r="AI189" s="120">
        <f>Konvention_1slave-MUslave_MU</f>
        <v>11</v>
      </c>
      <c r="AJ189" s="117"/>
      <c r="AK189" s="117">
        <f>Konvention_1slave-INslave</f>
        <v>12</v>
      </c>
      <c r="AL189" s="117">
        <f>Konvention_1slave-CHslave</f>
        <v>12</v>
      </c>
      <c r="AM189" s="117"/>
      <c r="AN189" s="117"/>
      <c r="AO189" s="117"/>
      <c r="AP189" s="121"/>
      <c r="AQ189" s="47">
        <f t="shared" si="1370"/>
        <v>11.666666666666666</v>
      </c>
      <c r="AR189" s="3">
        <f t="shared" si="1371"/>
        <v>23.333333333333332</v>
      </c>
      <c r="AS189" s="174">
        <f t="shared" si="1372"/>
        <v>35</v>
      </c>
      <c r="AT189" s="114">
        <f t="shared" ref="AT189:AT211" si="1509">AI189*POWER(KLslave,SIGN(AJ189))*POWER(INslave,SIGN(AK189))*POWER(CHslave,SIGN(AL189))*POWER(FFslave,SIGN(AM189))*POWER(GEslave,SIGN(AN189))*POWER(KOslave,SIGN(AO189))*POWER(KKslave,SIGN(AP189))+AJ189*POWER(MUslave_MU,SIGN(AI189))*POWER(INslave,SIGN(AK189))*POWER(CHslave,SIGN(AL189))*POWER(FFslave,SIGN(AM189))*POWER(GEslave,SIGN(AN189))*POWER(KOslave,SIGN(AO189))*POWER(KKslave,SIGN(AP189))+AK189*POWER(MUslave_MU,SIGN(AI189))*POWER(KLslave,SIGN(AJ189))*POWER(CHslave,SIGN(AL189))*POWER(FFslave,SIGN(AM189))*POWER(GEslave,SIGN(AN189))*POWER(KOslave,SIGN(AO189))*POWER(KKslave,SIGN(AP189))+AL189*POWER(MUslave_MU,SIGN(AI189))*POWER(KLslave,SIGN(AJ189))*POWER(INslave,SIGN(AK189))*POWER(FFslave,SIGN(AM189))*POWER(GEslave,SIGN(AN189))*POWER(KOslave,SIGN(AO189))*POWER(KKslave,SIGN(AP189))+AM189*POWER(MUslave_MU,SIGN(AI189))*POWER(KLslave,SIGN(AJ189))*POWER(INslave,SIGN(AK189))*POWER(CHslave,SIGN(AL189))*POWER(GEslave,SIGN(AN189))*POWER(KOslave,SIGN(AO189))*POWER(KKslave,SIGN(AP189))+AN189*POWER(MUslave_MU,SIGN(AI189))*POWER(KLslave,SIGN(AJ189))*POWER(INslave,SIGN(AK189))*POWER(CHslave,SIGN(AL189))*POWER(FFslave,SIGN(AM189))*POWER(KOslave,SIGN(AO189))*POWER(KKslave,SIGN(AP189))+AO189*POWER(MUslave_MU,SIGN(AI189))*POWER(KLslave,SIGN(AJ189))*POWER(INslave,SIGN(AK189))*POWER(CHslave,SIGN(AL189))*POWER(FFslave,SIGN(AM189))*POWER(GEslave,SIGN(AN189))*POWER(KKslave,SIGN(AP189))+AP189*POWER(MUslave_MU,SIGN(AI189))*POWER(KLslave,SIGN(AJ189))*POWER(INslave,SIGN(AK189))*POWER(CHslave,SIGN(AL189))*POWER(FFslave,SIGN(AM189))*POWER(GEslave,SIGN(AN189))*POWER(KOslave,SIGN(AO189))</f>
        <v>2432</v>
      </c>
      <c r="AU189" s="117">
        <f>AI189*AK189*CHslave+AI189*INslave*AL189+MUslave_MU*AK189*AL189</f>
        <v>3408</v>
      </c>
      <c r="AV189" s="119">
        <f t="shared" si="1373"/>
        <v>1584</v>
      </c>
      <c r="AW189" s="119">
        <f t="shared" si="1255"/>
        <v>7424</v>
      </c>
      <c r="AX189" s="89">
        <f>AQ189*AT189/AW189</f>
        <v>3.8218390804597702</v>
      </c>
      <c r="AY189" s="47">
        <f>AR189*AU189/AW189</f>
        <v>10.711206896551724</v>
      </c>
      <c r="AZ189" s="127">
        <f>AS189*AV189/AW189</f>
        <v>7.4676724137931032</v>
      </c>
      <c r="BA189" s="127">
        <f>SUM(AX189:AZ189)</f>
        <v>22.000718390804597</v>
      </c>
      <c r="BB189" s="165">
        <f t="shared" si="1260"/>
        <v>0</v>
      </c>
      <c r="BC189" s="198">
        <f t="shared" si="1378"/>
        <v>22.000718390804597</v>
      </c>
      <c r="BD189" s="125">
        <f>IF(BA189&lt;=0,2,0)+IF(BA189&gt;0,BA189+1,0)*2+IF(BA189&gt;12,BA189-12,0)*2+IF(BA189&gt;13,BA189-13,0)*2+IF(BA189&gt;14,BA189-14,0)*2+IF(BA189&gt;15,BA189-15,0)*2+IF(BA189&gt;16,BA189-16,0)*2+IF(BA189&gt;17,BA189-17,0)*2+IF(BA189&gt;18,BA189-18,0)*2+IF(BA189&gt;19,BA189-19,0)*2+IF(BA189&gt;20,BA189-20,0)*2</f>
        <v>154.01436781609189</v>
      </c>
      <c r="BE189" s="160">
        <f>IF(BB189&lt;=0,2,0)+IF(BB189&gt;0,BB189+1,0)*2+IF(BB189&gt;12,BB189-12,0)*2+IF(BB189&gt;13,BB189-13,0)*2+IF(BB189&gt;14,BB189-14,0)*2+IF(BB189&gt;15,BB189-15,0)*2+IF(BB189&gt;16,BB189-16,0)*2+IF(BB189&gt;17,BB189-17,0)*2+IF(BB189&gt;18,BB189-18,0)*2+IF(BB189&gt;19,BB189-19,0)*2+IF(BB189&gt;20,BB189-20,0)*2</f>
        <v>2</v>
      </c>
      <c r="BF189" s="243">
        <f t="shared" si="1379"/>
        <v>152.01436781609189</v>
      </c>
      <c r="BG189" s="218">
        <f t="shared" si="1380"/>
        <v>0</v>
      </c>
      <c r="BI189" s="303" t="s">
        <v>392</v>
      </c>
      <c r="BJ189" s="304" t="s">
        <v>86</v>
      </c>
      <c r="BK189" s="305" t="s">
        <v>132</v>
      </c>
      <c r="BL189" s="317">
        <f>Konvention_1slave-MUslave</f>
        <v>12</v>
      </c>
      <c r="BM189" s="254"/>
      <c r="BN189" s="254">
        <f>Konvention_1slave-INslave</f>
        <v>12</v>
      </c>
      <c r="BO189" s="254">
        <f>Konvention_1slave-CHslave</f>
        <v>12</v>
      </c>
      <c r="BP189" s="254"/>
      <c r="BQ189" s="254"/>
      <c r="BR189" s="254"/>
      <c r="BS189" s="318"/>
      <c r="BT189" s="223">
        <f t="shared" si="1381"/>
        <v>12</v>
      </c>
      <c r="BU189" s="223">
        <f t="shared" si="1382"/>
        <v>24</v>
      </c>
      <c r="BV189" s="224">
        <f t="shared" si="1383"/>
        <v>36</v>
      </c>
      <c r="BW189" s="237">
        <f t="shared" ref="BW189:BW211" si="1510">BL189*POWER(KLslave_KL,SIGN(BM189))*POWER(INslave,SIGN(BN189))*POWER(CHslave,SIGN(BO189))*POWER(FFslave,SIGN(BP189))*POWER(GEslave,SIGN(BQ189))*POWER(KOslave,SIGN(BR189))*POWER(KKslave,SIGN(BS189))+BM189*POWER(MUslave,SIGN(BL189))*POWER(INslave,SIGN(BN189))*POWER(CHslave,SIGN(BO189))*POWER(FFslave,SIGN(BP189))*POWER(GEslave,SIGN(BQ189))*POWER(KOslave,SIGN(BR189))*POWER(KKslave,SIGN(BS189))+BN189*POWER(MUslave,SIGN(BL189))*POWER(KLslave_KL,SIGN(BM189))*POWER(CHslave,SIGN(BO189))*POWER(FFslave,SIGN(BP189))*POWER(GEslave,SIGN(BQ189))*POWER(KOslave,SIGN(BR189))*POWER(KKslave,SIGN(BS189))+BO189*POWER(MUslave,SIGN(BL189))*POWER(KLslave_KL,SIGN(BM189))*POWER(INslave,SIGN(BN189))*POWER(FFslave,SIGN(BP189))*POWER(GEslave,SIGN(BQ189))*POWER(KOslave,SIGN(BR189))*POWER(KKslave,SIGN(BS189))+BP189*POWER(MUslave,SIGN(BL189))*POWER(KLslave_KL,SIGN(BM189))*POWER(INslave,SIGN(BN189))*POWER(CHslave,SIGN(BO189))*POWER(GEslave,SIGN(BQ189))*POWER(KOslave,SIGN(BR189))*POWER(KKslave,SIGN(BS189))+BQ189*POWER(MUslave,SIGN(BL189))*POWER(KLslave_KL,SIGN(BM189))*POWER(INslave,SIGN(BN189))*POWER(CHslave,SIGN(BO189))*POWER(FFslave,SIGN(BP189))*POWER(KOslave,SIGN(BR189))*POWER(KKslave,SIGN(BS189))+BR189*POWER(MUslave,SIGN(BL189))*POWER(KLslave_KL,SIGN(BM189))*POWER(INslave,SIGN(BN189))*POWER(CHslave,SIGN(BO189))*POWER(FFslave,SIGN(BP189))*POWER(GEslave,SIGN(BQ189))*POWER(KKslave,SIGN(BS189))+BS189*POWER(MUslave,SIGN(BL189))*POWER(KLslave_KL,SIGN(BM189))*POWER(INslave,SIGN(BN189))*POWER(CHslave,SIGN(BO189))*POWER(FFslave,SIGN(BP189))*POWER(GEslave,SIGN(BQ189))*POWER(KOslave,SIGN(BR189))</f>
        <v>2304</v>
      </c>
      <c r="BX189" s="254">
        <f>BL189*BN189*CHslave+BL189*INslave*BO189+MUslave*BN189*BO189</f>
        <v>3456</v>
      </c>
      <c r="BY189" s="224">
        <f t="shared" si="1384"/>
        <v>1728</v>
      </c>
      <c r="BZ189" s="224">
        <f t="shared" si="1266"/>
        <v>7488</v>
      </c>
      <c r="CA189" s="222">
        <f>BT189*BW189/BZ189</f>
        <v>3.6923076923076925</v>
      </c>
      <c r="CB189" s="223">
        <f>BU189*BX189/BZ189</f>
        <v>11.076923076923077</v>
      </c>
      <c r="CC189" s="243">
        <f>BV189*BY189/BZ189</f>
        <v>8.3076923076923084</v>
      </c>
      <c r="CD189" s="243">
        <f>SUM(CA189:CC189)</f>
        <v>23.07692307692308</v>
      </c>
      <c r="CE189" s="252">
        <f t="shared" si="1271"/>
        <v>0</v>
      </c>
      <c r="CF189" s="309">
        <f t="shared" si="1389"/>
        <v>23.07692307692308</v>
      </c>
      <c r="CG189" s="218">
        <f>IF(CD189&lt;=0,2,0)+IF(CD189&gt;0,CD189+1,0)*2+IF(CD189&gt;12,CD189-12,0)*2+IF(CD189&gt;13,CD189-13,0)*2+IF(CD189&gt;14,CD189-14,0)*2+IF(CD189&gt;15,CD189-15,0)*2+IF(CD189&gt;16,CD189-16,0)*2+IF(CD189&gt;17,CD189-17,0)*2+IF(CD189&gt;18,CD189-18,0)*2+IF(CD189&gt;19,CD189-19,0)*2+IF(CD189&gt;20,CD189-20,0)*2</f>
        <v>175.5384615384616</v>
      </c>
      <c r="CH189" s="242">
        <f>IF(CE189&lt;=0,2,0)+IF(CE189&gt;0,CE189+1,0)*2+IF(CE189&gt;12,CE189-12,0)*2+IF(CE189&gt;13,CE189-13,0)*2+IF(CE189&gt;14,CE189-14,0)*2+IF(CE189&gt;15,CE189-15,0)*2+IF(CE189&gt;16,CE189-16,0)*2+IF(CE189&gt;17,CE189-17,0)*2+IF(CE189&gt;18,CE189-18,0)*2+IF(CE189&gt;19,CE189-19,0)*2+IF(CE189&gt;20,CE189-20,0)*2</f>
        <v>2</v>
      </c>
      <c r="CI189" s="243">
        <f t="shared" si="1390"/>
        <v>173.5384615384616</v>
      </c>
      <c r="CJ189" s="218">
        <f t="shared" si="1391"/>
        <v>0</v>
      </c>
      <c r="CL189" s="303" t="s">
        <v>392</v>
      </c>
      <c r="CM189" s="304" t="s">
        <v>86</v>
      </c>
      <c r="CN189" s="305" t="s">
        <v>132</v>
      </c>
      <c r="CO189" s="317">
        <f>Konvention_1slave-MUslave</f>
        <v>12</v>
      </c>
      <c r="CP189" s="254"/>
      <c r="CQ189" s="254">
        <f>Konvention_1slave-INslave_IN</f>
        <v>11</v>
      </c>
      <c r="CR189" s="254">
        <f>Konvention_1slave-CHslave</f>
        <v>12</v>
      </c>
      <c r="CS189" s="254"/>
      <c r="CT189" s="254"/>
      <c r="CU189" s="254"/>
      <c r="CV189" s="318"/>
      <c r="CW189" s="223">
        <f t="shared" si="1392"/>
        <v>11.666666666666666</v>
      </c>
      <c r="CX189" s="223">
        <f t="shared" si="1393"/>
        <v>23.333333333333332</v>
      </c>
      <c r="CY189" s="224">
        <f t="shared" si="1394"/>
        <v>35</v>
      </c>
      <c r="CZ189" s="237">
        <f t="shared" ref="CZ189:CZ211" si="1511">CO189*POWER(KLslave,SIGN(CP189))*POWER(INslave_IN,SIGN(CQ189))*POWER(CHslave,SIGN(CR189))*POWER(FFslave,SIGN(CS189))*POWER(GEslave,SIGN(CT189))*POWER(KOslave,SIGN(CU189))*POWER(KKslave,SIGN(CV189))+CP189*POWER(MUslave,SIGN(CO189))*POWER(INslave_IN,SIGN(CQ189))*POWER(CHslave,SIGN(CR189))*POWER(FFslave,SIGN(CS189))*POWER(GEslave,SIGN(CT189))*POWER(KOslave,SIGN(CU189))*POWER(KKslave,SIGN(CV189))+CQ189*POWER(MUslave,SIGN(CO189))*POWER(KLslave,SIGN(CP189))*POWER(CHslave,SIGN(CR189))*POWER(FFslave,SIGN(CS189))*POWER(GEslave,SIGN(CT189))*POWER(KOslave,SIGN(CU189))*POWER(KKslave,SIGN(CV189))+CR189*POWER(MUslave,SIGN(CO189))*POWER(KLslave,SIGN(CP189))*POWER(INslave_IN,SIGN(CQ189))*POWER(FFslave,SIGN(CS189))*POWER(GEslave,SIGN(CT189))*POWER(KOslave,SIGN(CU189))*POWER(KKslave,SIGN(CV189))+CS189*POWER(MUslave,SIGN(CO189))*POWER(KLslave,SIGN(CP189))*POWER(INslave_IN,SIGN(CQ189))*POWER(CHslave,SIGN(CR189))*POWER(GEslave,SIGN(CT189))*POWER(KOslave,SIGN(CU189))*POWER(KKslave,SIGN(CV189))+CT189*POWER(MUslave,SIGN(CO189))*POWER(KLslave,SIGN(CP189))*POWER(INslave_IN,SIGN(CQ189))*POWER(CHslave,SIGN(CR189))*POWER(FFslave,SIGN(CS189))*POWER(KOslave,SIGN(CU189))*POWER(KKslave,SIGN(CV189))+CU189*POWER(MUslave,SIGN(CO189))*POWER(KLslave,SIGN(CP189))*POWER(INslave_IN,SIGN(CQ189))*POWER(CHslave,SIGN(CR189))*POWER(FFslave,SIGN(CS189))*POWER(GEslave,SIGN(CT189))*POWER(KKslave,SIGN(CV189))+CV189*POWER(MUslave,SIGN(CO189))*POWER(KLslave,SIGN(CP189))*POWER(INslave_IN,SIGN(CQ189))*POWER(CHslave,SIGN(CR189))*POWER(FFslave,SIGN(CS189))*POWER(GEslave,SIGN(CT189))*POWER(KOslave,SIGN(CU189))</f>
        <v>2432</v>
      </c>
      <c r="DA189" s="254">
        <f>CO189*CQ189*CHslave+CO189*INslave_IN*CR189+MUslave*CQ189*CR189</f>
        <v>3408</v>
      </c>
      <c r="DB189" s="224">
        <f t="shared" si="1395"/>
        <v>1584</v>
      </c>
      <c r="DC189" s="224">
        <f t="shared" si="1277"/>
        <v>7424</v>
      </c>
      <c r="DD189" s="222">
        <f>CW189*CZ189/DC189</f>
        <v>3.8218390804597702</v>
      </c>
      <c r="DE189" s="223">
        <f>CX189*DA189/DC189</f>
        <v>10.711206896551724</v>
      </c>
      <c r="DF189" s="243">
        <f>CY189*DB189/DC189</f>
        <v>7.4676724137931032</v>
      </c>
      <c r="DG189" s="243">
        <f>SUM(DD189:DF189)</f>
        <v>22.000718390804597</v>
      </c>
      <c r="DH189" s="252">
        <f t="shared" si="1282"/>
        <v>0</v>
      </c>
      <c r="DI189" s="309">
        <f t="shared" si="1400"/>
        <v>22.000718390804597</v>
      </c>
      <c r="DJ189" s="218">
        <f>IF(DG189&lt;=0,2,0)+IF(DG189&gt;0,DG189+1,0)*2+IF(DG189&gt;12,DG189-12,0)*2+IF(DG189&gt;13,DG189-13,0)*2+IF(DG189&gt;14,DG189-14,0)*2+IF(DG189&gt;15,DG189-15,0)*2+IF(DG189&gt;16,DG189-16,0)*2+IF(DG189&gt;17,DG189-17,0)*2+IF(DG189&gt;18,DG189-18,0)*2+IF(DG189&gt;19,DG189-19,0)*2+IF(DG189&gt;20,DG189-20,0)*2</f>
        <v>154.01436781609189</v>
      </c>
      <c r="DK189" s="242">
        <f>IF(DH189&lt;=0,2,0)+IF(DH189&gt;0,DH189+1,0)*2+IF(DH189&gt;12,DH189-12,0)*2+IF(DH189&gt;13,DH189-13,0)*2+IF(DH189&gt;14,DH189-14,0)*2+IF(DH189&gt;15,DH189-15,0)*2+IF(DH189&gt;16,DH189-16,0)*2+IF(DH189&gt;17,DH189-17,0)*2+IF(DH189&gt;18,DH189-18,0)*2+IF(DH189&gt;19,DH189-19,0)*2+IF(DH189&gt;20,DH189-20,0)*2</f>
        <v>2</v>
      </c>
      <c r="DL189" s="243">
        <f t="shared" si="1401"/>
        <v>152.01436781609189</v>
      </c>
      <c r="DM189" s="218">
        <f t="shared" si="1402"/>
        <v>0</v>
      </c>
      <c r="DO189" s="303" t="s">
        <v>392</v>
      </c>
      <c r="DP189" s="304" t="s">
        <v>86</v>
      </c>
      <c r="DQ189" s="305" t="s">
        <v>132</v>
      </c>
      <c r="DR189" s="317">
        <f>Konvention_1slave-MUslave</f>
        <v>12</v>
      </c>
      <c r="DS189" s="254"/>
      <c r="DT189" s="254">
        <f>Konvention_1slave-INslave</f>
        <v>12</v>
      </c>
      <c r="DU189" s="254">
        <f>Konvention_1slave-CHslave_CH</f>
        <v>11</v>
      </c>
      <c r="DV189" s="254"/>
      <c r="DW189" s="254"/>
      <c r="DX189" s="254"/>
      <c r="DY189" s="318"/>
      <c r="DZ189" s="223">
        <f t="shared" si="1403"/>
        <v>11.666666666666666</v>
      </c>
      <c r="EA189" s="223">
        <f t="shared" si="1404"/>
        <v>23.333333333333332</v>
      </c>
      <c r="EB189" s="224">
        <f t="shared" si="1405"/>
        <v>35</v>
      </c>
      <c r="EC189" s="237">
        <f t="shared" ref="EC189:EC211" si="1512">DR189*POWER(KLslave,SIGN(DS189))*POWER(INslave,SIGN(DT189))*POWER(CHslave_CH,SIGN(DU189))*POWER(FFslave,SIGN(DV189))*POWER(GEslave,SIGN(DW189))*POWER(KOslave,SIGN(DX189))*POWER(KKslave,SIGN(DY189))+DS189*POWER(MUslave,SIGN(DR189))*POWER(INslave,SIGN(DT189))*POWER(CHslave_CH,SIGN(DU189))*POWER(FFslave,SIGN(DV189))*POWER(GEslave,SIGN(DW189))*POWER(KOslave,SIGN(DX189))*POWER(KKslave,SIGN(DY189))+DT189*POWER(MUslave,SIGN(DR189))*POWER(KLslave,SIGN(DS189))*POWER(CHslave_CH,SIGN(DU189))*POWER(FFslave,SIGN(DV189))*POWER(GEslave,SIGN(DW189))*POWER(KOslave,SIGN(DX189))*POWER(KKslave,SIGN(DY189))+DU189*POWER(MUslave,SIGN(DR189))*POWER(KLslave,SIGN(DS189))*POWER(INslave,SIGN(DT189))*POWER(FFslave,SIGN(DV189))*POWER(GEslave,SIGN(DW189))*POWER(KOslave,SIGN(DX189))*POWER(KKslave,SIGN(DY189))+DV189*POWER(MUslave,SIGN(DR189))*POWER(KLslave,SIGN(DS189))*POWER(INslave,SIGN(DT189))*POWER(CHslave_CH,SIGN(DU189))*POWER(GEslave,SIGN(DW189))*POWER(KOslave,SIGN(DX189))*POWER(KKslave,SIGN(DY189))+DW189*POWER(MUslave,SIGN(DR189))*POWER(KLslave,SIGN(DS189))*POWER(INslave,SIGN(DT189))*POWER(CHslave_CH,SIGN(DU189))*POWER(FFslave,SIGN(DV189))*POWER(KOslave,SIGN(DX189))*POWER(KKslave,SIGN(DY189))+DX189*POWER(MUslave,SIGN(DR189))*POWER(KLslave,SIGN(DS189))*POWER(INslave,SIGN(DT189))*POWER(CHslave_CH,SIGN(DU189))*POWER(FFslave,SIGN(DV189))*POWER(GEslave,SIGN(DW189))*POWER(KKslave,SIGN(DY189))+DY189*POWER(MUslave,SIGN(DR189))*POWER(KLslave,SIGN(DS189))*POWER(INslave,SIGN(DT189))*POWER(CHslave_CH,SIGN(DU189))*POWER(FFslave,SIGN(DV189))*POWER(GEslave,SIGN(DW189))*POWER(KOslave,SIGN(DX189))</f>
        <v>2432</v>
      </c>
      <c r="ED189" s="254">
        <f>DR189*DT189*CHslave_CH+DR189*INslave*DU189+MUslave*DT189*DU189</f>
        <v>3408</v>
      </c>
      <c r="EE189" s="224">
        <f t="shared" si="1406"/>
        <v>1584</v>
      </c>
      <c r="EF189" s="224">
        <f t="shared" si="1288"/>
        <v>7424</v>
      </c>
      <c r="EG189" s="222">
        <f>DZ189*EC189/EF189</f>
        <v>3.8218390804597702</v>
      </c>
      <c r="EH189" s="223">
        <f>EA189*ED189/EF189</f>
        <v>10.711206896551724</v>
      </c>
      <c r="EI189" s="243">
        <f>EB189*EE189/EF189</f>
        <v>7.4676724137931032</v>
      </c>
      <c r="EJ189" s="243">
        <f>SUM(EG189:EI189)</f>
        <v>22.000718390804597</v>
      </c>
      <c r="EK189" s="252">
        <f t="shared" si="1293"/>
        <v>0</v>
      </c>
      <c r="EL189" s="309">
        <f t="shared" si="1411"/>
        <v>22.000718390804597</v>
      </c>
      <c r="EM189" s="218">
        <f>IF(EJ189&lt;=0,2,0)+IF(EJ189&gt;0,EJ189+1,0)*2+IF(EJ189&gt;12,EJ189-12,0)*2+IF(EJ189&gt;13,EJ189-13,0)*2+IF(EJ189&gt;14,EJ189-14,0)*2+IF(EJ189&gt;15,EJ189-15,0)*2+IF(EJ189&gt;16,EJ189-16,0)*2+IF(EJ189&gt;17,EJ189-17,0)*2+IF(EJ189&gt;18,EJ189-18,0)*2+IF(EJ189&gt;19,EJ189-19,0)*2+IF(EJ189&gt;20,EJ189-20,0)*2</f>
        <v>154.01436781609189</v>
      </c>
      <c r="EN189" s="242">
        <f>IF(EK189&lt;=0,2,0)+IF(EK189&gt;0,EK189+1,0)*2+IF(EK189&gt;12,EK189-12,0)*2+IF(EK189&gt;13,EK189-13,0)*2+IF(EK189&gt;14,EK189-14,0)*2+IF(EK189&gt;15,EK189-15,0)*2+IF(EK189&gt;16,EK189-16,0)*2+IF(EK189&gt;17,EK189-17,0)*2+IF(EK189&gt;18,EK189-18,0)*2+IF(EK189&gt;19,EK189-19,0)*2+IF(EK189&gt;20,EK189-20,0)*2</f>
        <v>2</v>
      </c>
      <c r="EO189" s="243">
        <f t="shared" si="1412"/>
        <v>152.01436781609189</v>
      </c>
      <c r="EP189" s="218">
        <f t="shared" si="1413"/>
        <v>0</v>
      </c>
      <c r="ER189" s="303" t="s">
        <v>392</v>
      </c>
      <c r="ES189" s="304" t="s">
        <v>86</v>
      </c>
      <c r="ET189" s="305" t="s">
        <v>132</v>
      </c>
      <c r="EU189" s="317">
        <f>Konvention_1slave-MUslave</f>
        <v>12</v>
      </c>
      <c r="EV189" s="254"/>
      <c r="EW189" s="254">
        <f>Konvention_1slave-INslave</f>
        <v>12</v>
      </c>
      <c r="EX189" s="254">
        <f>Konvention_1slave-CHslave</f>
        <v>12</v>
      </c>
      <c r="EY189" s="254"/>
      <c r="EZ189" s="254"/>
      <c r="FA189" s="254"/>
      <c r="FB189" s="318"/>
      <c r="FC189" s="223">
        <f t="shared" si="1414"/>
        <v>12</v>
      </c>
      <c r="FD189" s="223">
        <f t="shared" si="1415"/>
        <v>24</v>
      </c>
      <c r="FE189" s="224">
        <f t="shared" si="1416"/>
        <v>36</v>
      </c>
      <c r="FF189" s="237">
        <f t="shared" ref="FF189:FF211" si="1513">EU189*POWER(KLslave,SIGN(EV189))*POWER(INslave,SIGN(EW189))*POWER(CHslave,SIGN(EX189))*POWER(FFslave_FF,SIGN(EY189))*POWER(GEslave,SIGN(EZ189))*POWER(KOslave,SIGN(FA189))*POWER(KKslave,SIGN(FB189))+EV189*POWER(MUslave,SIGN(EU189))*POWER(INslave,SIGN(EW189))*POWER(CHslave,SIGN(EX189))*POWER(FFslave_FF,SIGN(EY189))*POWER(GEslave,SIGN(EZ189))*POWER(KOslave,SIGN(FA189))*POWER(KKslave,SIGN(FB189))+EW189*POWER(MUslave,SIGN(EU189))*POWER(KLslave,SIGN(EV189))*POWER(CHslave,SIGN(EX189))*POWER(FFslave_FF,SIGN(EY189))*POWER(GEslave,SIGN(EZ189))*POWER(KOslave,SIGN(FA189))*POWER(KKslave,SIGN(FB189))+EX189*POWER(MUslave,SIGN(EU189))*POWER(KLslave,SIGN(EV189))*POWER(INslave,SIGN(EW189))*POWER(FFslave_FF,SIGN(EY189))*POWER(GEslave,SIGN(EZ189))*POWER(KOslave,SIGN(FA189))*POWER(KKslave,SIGN(FB189))+EY189*POWER(MUslave,SIGN(EU189))*POWER(KLslave,SIGN(EV189))*POWER(INslave,SIGN(EW189))*POWER(CHslave,SIGN(EX189))*POWER(GEslave,SIGN(EZ189))*POWER(KOslave,SIGN(FA189))*POWER(KKslave,SIGN(FB189))+EZ189*POWER(MUslave,SIGN(EU189))*POWER(KLslave,SIGN(EV189))*POWER(INslave,SIGN(EW189))*POWER(CHslave,SIGN(EX189))*POWER(FFslave_FF,SIGN(EY189))*POWER(KOslave,SIGN(FA189))*POWER(KKslave,SIGN(FB189))+FA189*POWER(MUslave,SIGN(EU189))*POWER(KLslave,SIGN(EV189))*POWER(INslave,SIGN(EW189))*POWER(CHslave,SIGN(EX189))*POWER(FFslave_FF,SIGN(EY189))*POWER(GEslave,SIGN(EZ189))*POWER(KKslave,SIGN(FB189))+FB189*POWER(MUslave,SIGN(EU189))*POWER(KLslave,SIGN(EV189))*POWER(INslave,SIGN(EW189))*POWER(CHslave,SIGN(EX189))*POWER(FFslave_FF,SIGN(EY189))*POWER(GEslave,SIGN(EZ189))*POWER(KOslave,SIGN(FA189))</f>
        <v>2304</v>
      </c>
      <c r="FG189" s="254">
        <f>EU189*EW189*CHslave+EU189*INslave*EX189+MUslave*EW189*EX189</f>
        <v>3456</v>
      </c>
      <c r="FH189" s="224">
        <f t="shared" si="1417"/>
        <v>1728</v>
      </c>
      <c r="FI189" s="224">
        <f t="shared" si="1299"/>
        <v>7488</v>
      </c>
      <c r="FJ189" s="222">
        <f>FC189*FF189/FI189</f>
        <v>3.6923076923076925</v>
      </c>
      <c r="FK189" s="223">
        <f>FD189*FG189/FI189</f>
        <v>11.076923076923077</v>
      </c>
      <c r="FL189" s="243">
        <f>FE189*FH189/FI189</f>
        <v>8.3076923076923084</v>
      </c>
      <c r="FM189" s="243">
        <f>SUM(FJ189:FL189)</f>
        <v>23.07692307692308</v>
      </c>
      <c r="FN189" s="252">
        <f t="shared" si="1304"/>
        <v>0</v>
      </c>
      <c r="FO189" s="309">
        <f t="shared" si="1422"/>
        <v>23.07692307692308</v>
      </c>
      <c r="FP189" s="218">
        <f>IF(FM189&lt;=0,2,0)+IF(FM189&gt;0,FM189+1,0)*2+IF(FM189&gt;12,FM189-12,0)*2+IF(FM189&gt;13,FM189-13,0)*2+IF(FM189&gt;14,FM189-14,0)*2+IF(FM189&gt;15,FM189-15,0)*2+IF(FM189&gt;16,FM189-16,0)*2+IF(FM189&gt;17,FM189-17,0)*2+IF(FM189&gt;18,FM189-18,0)*2+IF(FM189&gt;19,FM189-19,0)*2+IF(FM189&gt;20,FM189-20,0)*2</f>
        <v>175.5384615384616</v>
      </c>
      <c r="FQ189" s="242">
        <f>IF(FN189&lt;=0,2,0)+IF(FN189&gt;0,FN189+1,0)*2+IF(FN189&gt;12,FN189-12,0)*2+IF(FN189&gt;13,FN189-13,0)*2+IF(FN189&gt;14,FN189-14,0)*2+IF(FN189&gt;15,FN189-15,0)*2+IF(FN189&gt;16,FN189-16,0)*2+IF(FN189&gt;17,FN189-17,0)*2+IF(FN189&gt;18,FN189-18,0)*2+IF(FN189&gt;19,FN189-19,0)*2+IF(FN189&gt;20,FN189-20,0)*2</f>
        <v>2</v>
      </c>
      <c r="FR189" s="243">
        <f t="shared" si="1423"/>
        <v>173.5384615384616</v>
      </c>
      <c r="FS189" s="218">
        <f t="shared" si="1424"/>
        <v>0</v>
      </c>
      <c r="FU189" s="303" t="s">
        <v>392</v>
      </c>
      <c r="FV189" s="304" t="s">
        <v>86</v>
      </c>
      <c r="FW189" s="305" t="s">
        <v>132</v>
      </c>
      <c r="FX189" s="317">
        <f>Konvention_1slave-MUslave</f>
        <v>12</v>
      </c>
      <c r="FY189" s="254"/>
      <c r="FZ189" s="254">
        <f>Konvention_1slave-INslave</f>
        <v>12</v>
      </c>
      <c r="GA189" s="254">
        <f>Konvention_1slave-CHslave</f>
        <v>12</v>
      </c>
      <c r="GB189" s="254"/>
      <c r="GC189" s="254"/>
      <c r="GD189" s="254"/>
      <c r="GE189" s="318"/>
      <c r="GF189" s="223">
        <f t="shared" si="1425"/>
        <v>12</v>
      </c>
      <c r="GG189" s="223">
        <f t="shared" si="1426"/>
        <v>24</v>
      </c>
      <c r="GH189" s="224">
        <f t="shared" si="1427"/>
        <v>36</v>
      </c>
      <c r="GI189" s="237">
        <f t="shared" ref="GI189:GI211" si="1514">FX189*POWER(KLslave,SIGN(FY189))*POWER(INslave,SIGN(FZ189))*POWER(CHslave,SIGN(GA189))*POWER(FFslave,SIGN(GB189))*POWER(GEslave_GE,SIGN(GC189))*POWER(KOslave,SIGN(GD189))*POWER(KKslave,SIGN(GE189))+FY189*POWER(MUslave,SIGN(FX189))*POWER(INslave,SIGN(FZ189))*POWER(CHslave,SIGN(GA189))*POWER(FFslave,SIGN(GB189))*POWER(GEslave_GE,SIGN(GC189))*POWER(KOslave,SIGN(GD189))*POWER(KKslave,SIGN(GE189))+FZ189*POWER(MUslave,SIGN(FX189))*POWER(KLslave,SIGN(FY189))*POWER(CHslave,SIGN(GA189))*POWER(FFslave,SIGN(GB189))*POWER(GEslave_GE,SIGN(GC189))*POWER(KOslave,SIGN(GD189))*POWER(KKslave,SIGN(GE189))+GA189*POWER(MUslave,SIGN(FX189))*POWER(KLslave,SIGN(FY189))*POWER(INslave,SIGN(FZ189))*POWER(FFslave,SIGN(GB189))*POWER(GEslave_GE,SIGN(GC189))*POWER(KOslave,SIGN(GD189))*POWER(KKslave,SIGN(GE189))+GB189*POWER(MUslave,SIGN(FX189))*POWER(KLslave,SIGN(FY189))*POWER(INslave,SIGN(FZ189))*POWER(CHslave,SIGN(GA189))*POWER(GEslave_GE,SIGN(GC189))*POWER(KOslave,SIGN(GD189))*POWER(KKslave,SIGN(GE189))+GC189*POWER(MUslave,SIGN(FX189))*POWER(KLslave,SIGN(FY189))*POWER(INslave,SIGN(FZ189))*POWER(CHslave,SIGN(GA189))*POWER(FFslave,SIGN(GB189))*POWER(KOslave,SIGN(GD189))*POWER(KKslave,SIGN(GE189))+GD189*POWER(MUslave,SIGN(FX189))*POWER(KLslave,SIGN(FY189))*POWER(INslave,SIGN(FZ189))*POWER(CHslave,SIGN(GA189))*POWER(FFslave,SIGN(GB189))*POWER(GEslave_GE,SIGN(GC189))*POWER(KKslave,SIGN(GE189))+GE189*POWER(MUslave,SIGN(FX189))*POWER(KLslave,SIGN(FY189))*POWER(INslave,SIGN(FZ189))*POWER(CHslave,SIGN(GA189))*POWER(FFslave,SIGN(GB189))*POWER(GEslave_GE,SIGN(GC189))*POWER(KOslave,SIGN(GD189))</f>
        <v>2304</v>
      </c>
      <c r="GJ189" s="254">
        <f>FX189*FZ189*CHslave+FX189*INslave*GA189+MUslave*FZ189*GA189</f>
        <v>3456</v>
      </c>
      <c r="GK189" s="224">
        <f t="shared" si="1428"/>
        <v>1728</v>
      </c>
      <c r="GL189" s="224">
        <f t="shared" si="1310"/>
        <v>7488</v>
      </c>
      <c r="GM189" s="222">
        <f>GF189*GI189/GL189</f>
        <v>3.6923076923076925</v>
      </c>
      <c r="GN189" s="223">
        <f>GG189*GJ189/GL189</f>
        <v>11.076923076923077</v>
      </c>
      <c r="GO189" s="243">
        <f>GH189*GK189/GL189</f>
        <v>8.3076923076923084</v>
      </c>
      <c r="GP189" s="243">
        <f>SUM(GM189:GO189)</f>
        <v>23.07692307692308</v>
      </c>
      <c r="GQ189" s="252">
        <f t="shared" si="1315"/>
        <v>0</v>
      </c>
      <c r="GR189" s="309">
        <f t="shared" si="1433"/>
        <v>23.07692307692308</v>
      </c>
      <c r="GS189" s="218">
        <f>IF(GP189&lt;=0,2,0)+IF(GP189&gt;0,GP189+1,0)*2+IF(GP189&gt;12,GP189-12,0)*2+IF(GP189&gt;13,GP189-13,0)*2+IF(GP189&gt;14,GP189-14,0)*2+IF(GP189&gt;15,GP189-15,0)*2+IF(GP189&gt;16,GP189-16,0)*2+IF(GP189&gt;17,GP189-17,0)*2+IF(GP189&gt;18,GP189-18,0)*2+IF(GP189&gt;19,GP189-19,0)*2+IF(GP189&gt;20,GP189-20,0)*2</f>
        <v>175.5384615384616</v>
      </c>
      <c r="GT189" s="242">
        <f>IF(GQ189&lt;=0,2,0)+IF(GQ189&gt;0,GQ189+1,0)*2+IF(GQ189&gt;12,GQ189-12,0)*2+IF(GQ189&gt;13,GQ189-13,0)*2+IF(GQ189&gt;14,GQ189-14,0)*2+IF(GQ189&gt;15,GQ189-15,0)*2+IF(GQ189&gt;16,GQ189-16,0)*2+IF(GQ189&gt;17,GQ189-17,0)*2+IF(GQ189&gt;18,GQ189-18,0)*2+IF(GQ189&gt;19,GQ189-19,0)*2+IF(GQ189&gt;20,GQ189-20,0)*2</f>
        <v>2</v>
      </c>
      <c r="GU189" s="243">
        <f t="shared" si="1434"/>
        <v>173.5384615384616</v>
      </c>
      <c r="GV189" s="218">
        <f t="shared" si="1435"/>
        <v>0</v>
      </c>
      <c r="GX189" s="303" t="s">
        <v>392</v>
      </c>
      <c r="GY189" s="304" t="s">
        <v>86</v>
      </c>
      <c r="GZ189" s="305" t="s">
        <v>132</v>
      </c>
      <c r="HA189" s="317">
        <f>Konvention_1slave-MUslave</f>
        <v>12</v>
      </c>
      <c r="HB189" s="254"/>
      <c r="HC189" s="254">
        <f>Konvention_1slave-INslave</f>
        <v>12</v>
      </c>
      <c r="HD189" s="254">
        <f>Konvention_1slave-CHslave</f>
        <v>12</v>
      </c>
      <c r="HE189" s="254"/>
      <c r="HF189" s="254"/>
      <c r="HG189" s="254"/>
      <c r="HH189" s="318"/>
      <c r="HI189" s="223">
        <f t="shared" si="1436"/>
        <v>12</v>
      </c>
      <c r="HJ189" s="223">
        <f t="shared" si="1437"/>
        <v>24</v>
      </c>
      <c r="HK189" s="224">
        <f t="shared" si="1438"/>
        <v>36</v>
      </c>
      <c r="HL189" s="237">
        <f t="shared" ref="HL189:HL211" si="1515">HA189*POWER(KLslave,SIGN(HB189))*POWER(INslave,SIGN(HC189))*POWER(CHslave,SIGN(HD189))*POWER(FFslave,SIGN(HE189))*POWER(GEslave,SIGN(HF189))*POWER(KOslave_KO,SIGN(HG189))*POWER(KKslave,SIGN(HH189))+HB189*POWER(MUslave,SIGN(HA189))*POWER(INslave,SIGN(HC189))*POWER(CHslave,SIGN(HD189))*POWER(FFslave,SIGN(HE189))*POWER(GEslave,SIGN(HF189))*POWER(KOslave_KO,SIGN(HG189))*POWER(KKslave,SIGN(HH189))+HC189*POWER(MUslave,SIGN(HA189))*POWER(KLslave,SIGN(HB189))*POWER(CHslave,SIGN(HD189))*POWER(FFslave,SIGN(HE189))*POWER(GEslave,SIGN(HF189))*POWER(KOslave_KO,SIGN(HG189))*POWER(KKslave,SIGN(HH189))+HD189*POWER(MUslave,SIGN(HA189))*POWER(KLslave,SIGN(HB189))*POWER(INslave,SIGN(HC189))*POWER(FFslave,SIGN(HE189))*POWER(GEslave,SIGN(HF189))*POWER(KOslave_KO,SIGN(HG189))*POWER(KKslave,SIGN(HH189))+HE189*POWER(MUslave,SIGN(HA189))*POWER(KLslave,SIGN(HB189))*POWER(INslave,SIGN(HC189))*POWER(CHslave,SIGN(HD189))*POWER(GEslave,SIGN(HF189))*POWER(KOslave_KO,SIGN(HG189))*POWER(KKslave,SIGN(HH189))+HF189*POWER(MUslave,SIGN(HA189))*POWER(KLslave,SIGN(HB189))*POWER(INslave,SIGN(HC189))*POWER(CHslave,SIGN(HD189))*POWER(FFslave,SIGN(HE189))*POWER(KOslave_KO,SIGN(HG189))*POWER(KKslave,SIGN(HH189))+HG189*POWER(MUslave,SIGN(HA189))*POWER(KLslave,SIGN(HB189))*POWER(INslave,SIGN(HC189))*POWER(CHslave,SIGN(HD189))*POWER(FFslave,SIGN(HE189))*POWER(GEslave,SIGN(HF189))*POWER(KKslave,SIGN(HH189))+HH189*POWER(MUslave,SIGN(HA189))*POWER(KLslave,SIGN(HB189))*POWER(INslave,SIGN(HC189))*POWER(CHslave,SIGN(HD189))*POWER(FFslave,SIGN(HE189))*POWER(GEslave,SIGN(HF189))*POWER(KOslave_KO,SIGN(HG189))</f>
        <v>2304</v>
      </c>
      <c r="HM189" s="254">
        <f>HA189*HC189*CHslave+HA189*INslave*HD189+MUslave*HC189*HD189</f>
        <v>3456</v>
      </c>
      <c r="HN189" s="224">
        <f t="shared" si="1439"/>
        <v>1728</v>
      </c>
      <c r="HO189" s="224">
        <f t="shared" si="1321"/>
        <v>7488</v>
      </c>
      <c r="HP189" s="222">
        <f>HI189*HL189/HO189</f>
        <v>3.6923076923076925</v>
      </c>
      <c r="HQ189" s="223">
        <f>HJ189*HM189/HO189</f>
        <v>11.076923076923077</v>
      </c>
      <c r="HR189" s="243">
        <f>HK189*HN189/HO189</f>
        <v>8.3076923076923084</v>
      </c>
      <c r="HS189" s="243">
        <f>SUM(HP189:HR189)</f>
        <v>23.07692307692308</v>
      </c>
      <c r="HT189" s="252">
        <f t="shared" si="1326"/>
        <v>0</v>
      </c>
      <c r="HU189" s="309">
        <f t="shared" si="1444"/>
        <v>23.07692307692308</v>
      </c>
      <c r="HV189" s="218">
        <f>IF(HS189&lt;=0,2,0)+IF(HS189&gt;0,HS189+1,0)*2+IF(HS189&gt;12,HS189-12,0)*2+IF(HS189&gt;13,HS189-13,0)*2+IF(HS189&gt;14,HS189-14,0)*2+IF(HS189&gt;15,HS189-15,0)*2+IF(HS189&gt;16,HS189-16,0)*2+IF(HS189&gt;17,HS189-17,0)*2+IF(HS189&gt;18,HS189-18,0)*2+IF(HS189&gt;19,HS189-19,0)*2+IF(HS189&gt;20,HS189-20,0)*2</f>
        <v>175.5384615384616</v>
      </c>
      <c r="HW189" s="242">
        <f>IF(HT189&lt;=0,2,0)+IF(HT189&gt;0,HT189+1,0)*2+IF(HT189&gt;12,HT189-12,0)*2+IF(HT189&gt;13,HT189-13,0)*2+IF(HT189&gt;14,HT189-14,0)*2+IF(HT189&gt;15,HT189-15,0)*2+IF(HT189&gt;16,HT189-16,0)*2+IF(HT189&gt;17,HT189-17,0)*2+IF(HT189&gt;18,HT189-18,0)*2+IF(HT189&gt;19,HT189-19,0)*2+IF(HT189&gt;20,HT189-20,0)*2</f>
        <v>2</v>
      </c>
      <c r="HX189" s="243">
        <f t="shared" si="1445"/>
        <v>173.5384615384616</v>
      </c>
      <c r="HY189" s="218">
        <f t="shared" si="1446"/>
        <v>0</v>
      </c>
      <c r="IA189" s="303" t="s">
        <v>392</v>
      </c>
      <c r="IB189" s="304" t="s">
        <v>86</v>
      </c>
      <c r="IC189" s="305" t="s">
        <v>132</v>
      </c>
      <c r="ID189" s="317">
        <f>Konvention_1slave-MUslave</f>
        <v>12</v>
      </c>
      <c r="IE189" s="254"/>
      <c r="IF189" s="254">
        <f>Konvention_1slave-INslave</f>
        <v>12</v>
      </c>
      <c r="IG189" s="254">
        <f>Konvention_1slave-CHslave</f>
        <v>12</v>
      </c>
      <c r="IH189" s="254"/>
      <c r="II189" s="254"/>
      <c r="IJ189" s="254"/>
      <c r="IK189" s="318"/>
      <c r="IL189" s="223">
        <f t="shared" si="1447"/>
        <v>12</v>
      </c>
      <c r="IM189" s="223">
        <f t="shared" si="1448"/>
        <v>24</v>
      </c>
      <c r="IN189" s="224">
        <f t="shared" si="1449"/>
        <v>36</v>
      </c>
      <c r="IO189" s="237">
        <f t="shared" ref="IO189:IO211" si="1516">ID189*POWER(KLslave,SIGN(IE189))*POWER(INslave,SIGN(IF189))*POWER(CHslave,SIGN(IG189))*POWER(FFslave,SIGN(IH189))*POWER(GEslave,SIGN(II189))*POWER(KOslave,SIGN(IJ189))*POWER(KKslave_KK,SIGN(IK189))+IE189*POWER(MUslave,SIGN(ID189))*POWER(INslave,SIGN(IF189))*POWER(CHslave,SIGN(IG189))*POWER(FFslave,SIGN(IH189))*POWER(GEslave,SIGN(II189))*POWER(KOslave,SIGN(IJ189))*POWER(KKslave_KK,SIGN(IK189))+IF189*POWER(MUslave,SIGN(ID189))*POWER(KLslave,SIGN(IE189))*POWER(CHslave,SIGN(IG189))*POWER(FFslave,SIGN(IH189))*POWER(GEslave,SIGN(II189))*POWER(KOslave,SIGN(IJ189))*POWER(KKslave_KK,SIGN(IK189))+IG189*POWER(MUslave,SIGN(ID189))*POWER(KLslave,SIGN(IE189))*POWER(INslave,SIGN(IF189))*POWER(FFslave,SIGN(IH189))*POWER(GEslave,SIGN(II189))*POWER(KOslave,SIGN(IJ189))*POWER(KKslave_KK,SIGN(IK189))+IH189*POWER(MUslave,SIGN(ID189))*POWER(KLslave,SIGN(IE189))*POWER(INslave,SIGN(IF189))*POWER(CHslave,SIGN(IG189))*POWER(GEslave,SIGN(II189))*POWER(KOslave,SIGN(IJ189))*POWER(KKslave_KK,SIGN(IK189))+II189*POWER(MUslave,SIGN(ID189))*POWER(KLslave,SIGN(IE189))*POWER(INslave,SIGN(IF189))*POWER(CHslave,SIGN(IG189))*POWER(FFslave,SIGN(IH189))*POWER(KOslave,SIGN(IJ189))*POWER(KKslave_KK,SIGN(IK189))+IJ189*POWER(MUslave,SIGN(ID189))*POWER(KLslave,SIGN(IE189))*POWER(INslave,SIGN(IF189))*POWER(CHslave,SIGN(IG189))*POWER(FFslave,SIGN(IH189))*POWER(GEslave,SIGN(II189))*POWER(KKslave_KK,SIGN(IK189))+IK189*POWER(MUslave,SIGN(ID189))*POWER(KLslave,SIGN(IE189))*POWER(INslave,SIGN(IF189))*POWER(CHslave,SIGN(IG189))*POWER(FFslave,SIGN(IH189))*POWER(GEslave,SIGN(II189))*POWER(KOslave,SIGN(IJ189))</f>
        <v>2304</v>
      </c>
      <c r="IP189" s="254">
        <f>ID189*IF189*CHslave+ID189*INslave*IG189+MUslave*IF189*IG189</f>
        <v>3456</v>
      </c>
      <c r="IQ189" s="224">
        <f t="shared" si="1450"/>
        <v>1728</v>
      </c>
      <c r="IR189" s="224">
        <f t="shared" si="1332"/>
        <v>7488</v>
      </c>
      <c r="IS189" s="222">
        <f>IL189*IO189/IR189</f>
        <v>3.6923076923076925</v>
      </c>
      <c r="IT189" s="223">
        <f>IM189*IP189/IR189</f>
        <v>11.076923076923077</v>
      </c>
      <c r="IU189" s="243">
        <f>IN189*IQ189/IR189</f>
        <v>8.3076923076923084</v>
      </c>
      <c r="IV189" s="243">
        <f>SUM(IS189:IU189)</f>
        <v>23.07692307692308</v>
      </c>
      <c r="IW189" s="252">
        <f t="shared" si="1337"/>
        <v>0</v>
      </c>
      <c r="IX189" s="309">
        <f t="shared" si="1455"/>
        <v>23.07692307692308</v>
      </c>
      <c r="IY189" s="218">
        <f>IF(IV189&lt;=0,2,0)+IF(IV189&gt;0,IV189+1,0)*2+IF(IV189&gt;12,IV189-12,0)*2+IF(IV189&gt;13,IV189-13,0)*2+IF(IV189&gt;14,IV189-14,0)*2+IF(IV189&gt;15,IV189-15,0)*2+IF(IV189&gt;16,IV189-16,0)*2+IF(IV189&gt;17,IV189-17,0)*2+IF(IV189&gt;18,IV189-18,0)*2+IF(IV189&gt;19,IV189-19,0)*2+IF(IV189&gt;20,IV189-20,0)*2</f>
        <v>175.5384615384616</v>
      </c>
      <c r="IZ189" s="242">
        <f>IF(IW189&lt;=0,2,0)+IF(IW189&gt;0,IW189+1,0)*2+IF(IW189&gt;12,IW189-12,0)*2+IF(IW189&gt;13,IW189-13,0)*2+IF(IW189&gt;14,IW189-14,0)*2+IF(IW189&gt;15,IW189-15,0)*2+IF(IW189&gt;16,IW189-16,0)*2+IF(IW189&gt;17,IW189-17,0)*2+IF(IW189&gt;18,IW189-18,0)*2+IF(IW189&gt;19,IW189-19,0)*2+IF(IW189&gt;20,IW189-20,0)*2</f>
        <v>2</v>
      </c>
      <c r="JA189" s="243">
        <f t="shared" si="1456"/>
        <v>173.5384615384616</v>
      </c>
      <c r="JB189" s="218">
        <f t="shared" si="1457"/>
        <v>0</v>
      </c>
      <c r="JE189" s="148"/>
    </row>
    <row r="190" spans="2:265" hidden="1" outlineLevel="2">
      <c r="B190" s="148">
        <v>38</v>
      </c>
      <c r="C190" s="303" t="e">
        <f>VLOOKUP(AF190,Attribute!C:T,1,FALSE)</f>
        <v>#N/A</v>
      </c>
      <c r="D190" s="86" t="s">
        <v>101</v>
      </c>
      <c r="E190" s="167" t="s">
        <v>135</v>
      </c>
      <c r="F190" s="120"/>
      <c r="G190" s="117"/>
      <c r="H190" s="117">
        <f>Konvention_1master-INmaster</f>
        <v>12</v>
      </c>
      <c r="I190" s="117">
        <f>Konvention_1master-CHmaster</f>
        <v>12</v>
      </c>
      <c r="J190" s="117"/>
      <c r="K190" s="117"/>
      <c r="L190" s="117">
        <f>Konvention_1master-KOmaster</f>
        <v>12</v>
      </c>
      <c r="M190" s="121"/>
      <c r="N190" s="223">
        <f>(F190+G190+H190+I190+J190+K190+L190+M190)/3</f>
        <v>12</v>
      </c>
      <c r="O190" s="223">
        <f>2*N190</f>
        <v>24</v>
      </c>
      <c r="P190" s="224">
        <f>3*N190</f>
        <v>36</v>
      </c>
      <c r="Q190" s="237">
        <f t="shared" si="1508"/>
        <v>2304</v>
      </c>
      <c r="R190" s="117">
        <f>H190*I190*KOmaster+H190*CHmaster*L190+INmaster*I190*L190</f>
        <v>3456</v>
      </c>
      <c r="S190" s="224">
        <f>IFERROR(F190^SIGN(F190),1)*IFERROR(G190^SIGN(G190),1)*IFERROR(H190^SIGN(H190),1)*IFERROR(I190^SIGN(I190),1)*IFERROR(J190^SIGN(J190),1)*IFERROR(K190^SIGN(K190),1)*IFERROR(L190^SIGN(L190),1)*IFERROR(M190^SIGN(M190),1)</f>
        <v>1728</v>
      </c>
      <c r="T190" s="224">
        <f t="shared" si="1507"/>
        <v>7488</v>
      </c>
      <c r="U190" s="222">
        <f>N190*Q190/T190</f>
        <v>3.6923076923076925</v>
      </c>
      <c r="V190" s="223">
        <f>O190*R190/T190</f>
        <v>11.076923076923077</v>
      </c>
      <c r="W190" s="243">
        <f>P190*S190/T190</f>
        <v>8.3076923076923084</v>
      </c>
      <c r="X190" s="243">
        <f>SUM(U190:W190)</f>
        <v>23.07692307692308</v>
      </c>
      <c r="Y190" s="252">
        <v>0</v>
      </c>
      <c r="Z190" s="198">
        <f>X190-Y190</f>
        <v>23.07692307692308</v>
      </c>
      <c r="AA190" s="125">
        <f>IF(X190&lt;=0,3,0)+IF(X190&gt;0,X190+1,0)*3+IF(X190&gt;12,X190-12,0)*3+IF(X190&gt;13,X190-13,0)*3+IF(X190&gt;14,X190-14,0)*3+IF(X190&gt;15,X190-15,0)*3+IF(X190&gt;16,X190-16,0)*3+IF(X190&gt;17,X190-17,0)*3+IF(X190&gt;18,X190-18,0)*3+IF(X190&gt;19,X190-19,0)*3+IF(X190&gt;20,X190-20,0)*3</f>
        <v>263.30769230769232</v>
      </c>
      <c r="AB190" s="160">
        <f>IF(Y190&lt;=0,3,0)+IF(Y190&gt;0,Y190+1,0)*3+IF(Y190&gt;12,Y190-12,0)*3+IF(Y190&gt;13,Y190-13,0)*3+IF(Y190&gt;14,Y190-14,0)*3+IF(Y190&gt;15,Y190-15,0)*3+IF(Y190&gt;16,Y190-16,0)*3+IF(Y190&gt;17,Y190-17,0)*3+IF(Y190&gt;18,Y190-18,0)*3+IF(Y190&gt;19,Y190-19,0)*3+IF(Y190&gt;20,Y190-20,0)*3</f>
        <v>3</v>
      </c>
      <c r="AC190" s="127">
        <f>IF((AA190-AB190)&gt;0,AA190-AB190,0)</f>
        <v>260.30769230769232</v>
      </c>
      <c r="AD190" s="125">
        <f>IF((AB190-AA190)&gt;0,AB190-AA190,0)</f>
        <v>0</v>
      </c>
      <c r="AF190" s="163" t="s">
        <v>393</v>
      </c>
      <c r="AG190" s="86" t="s">
        <v>101</v>
      </c>
      <c r="AH190" s="167" t="s">
        <v>135</v>
      </c>
      <c r="AI190" s="120"/>
      <c r="AJ190" s="117"/>
      <c r="AK190" s="117">
        <f>Konvention_1slave-INslave</f>
        <v>12</v>
      </c>
      <c r="AL190" s="117">
        <f>Konvention_1slave-CHslave</f>
        <v>12</v>
      </c>
      <c r="AM190" s="117"/>
      <c r="AN190" s="117"/>
      <c r="AO190" s="117">
        <f>Konvention_1slave-KOslave</f>
        <v>12</v>
      </c>
      <c r="AP190" s="121"/>
      <c r="AQ190" s="47">
        <f>(AI190+AJ190+AK190+AL190+AM190+AN190+AO190+AP190)/3</f>
        <v>12</v>
      </c>
      <c r="AR190" s="3">
        <f>2*AQ190</f>
        <v>24</v>
      </c>
      <c r="AS190" s="174">
        <f>3*AQ190</f>
        <v>36</v>
      </c>
      <c r="AT190" s="114">
        <f t="shared" si="1509"/>
        <v>2304</v>
      </c>
      <c r="AU190" s="117">
        <f>AK190*AL190*KOslave+AK190*CHslave*AO190+INslave*AL190*AO190</f>
        <v>3456</v>
      </c>
      <c r="AV190" s="119">
        <f>IFERROR(AI190^SIGN(AI190),1)*IFERROR(AJ190^SIGN(AJ190),1)*IFERROR(AK190^SIGN(AK190),1)*IFERROR(AL190^SIGN(AL190),1)*IFERROR(AM190^SIGN(AM190),1)*IFERROR(AN190^SIGN(AN190),1)*IFERROR(AO190^SIGN(AO190),1)*IFERROR(AP190^SIGN(AP190),1)</f>
        <v>1728</v>
      </c>
      <c r="AW190" s="119">
        <f t="shared" si="1255"/>
        <v>7488</v>
      </c>
      <c r="AX190" s="89">
        <f>AQ190*AT190/AW190</f>
        <v>3.6923076923076925</v>
      </c>
      <c r="AY190" s="47">
        <f>AR190*AU190/AW190</f>
        <v>11.076923076923077</v>
      </c>
      <c r="AZ190" s="127">
        <f>AS190*AV190/AW190</f>
        <v>8.3076923076923084</v>
      </c>
      <c r="BA190" s="127">
        <f>SUM(AX190:AZ190)</f>
        <v>23.07692307692308</v>
      </c>
      <c r="BB190" s="165">
        <f t="shared" si="1260"/>
        <v>0</v>
      </c>
      <c r="BC190" s="198">
        <f>BA190-BB190</f>
        <v>23.07692307692308</v>
      </c>
      <c r="BD190" s="125">
        <f>IF(BA190&lt;=0,3,0)+IF(BA190&gt;0,BA190+1,0)*3+IF(BA190&gt;12,BA190-12,0)*3+IF(BA190&gt;13,BA190-13,0)*3+IF(BA190&gt;14,BA190-14,0)*3+IF(BA190&gt;15,BA190-15,0)*3+IF(BA190&gt;16,BA190-16,0)*3+IF(BA190&gt;17,BA190-17,0)*3+IF(BA190&gt;18,BA190-18,0)*3+IF(BA190&gt;19,BA190-19,0)*3+IF(BA190&gt;20,BA190-20,0)*3</f>
        <v>263.30769230769232</v>
      </c>
      <c r="BE190" s="160">
        <f>IF(BB190&lt;=0,3,0)+IF(BB190&gt;0,BB190+1,0)*3+IF(BB190&gt;12,BB190-12,0)*3+IF(BB190&gt;13,BB190-13,0)*3+IF(BB190&gt;14,BB190-14,0)*3+IF(BB190&gt;15,BB190-15,0)*3+IF(BB190&gt;16,BB190-16,0)*3+IF(BB190&gt;17,BB190-17,0)*3+IF(BB190&gt;18,BB190-18,0)*3+IF(BB190&gt;19,BB190-19,0)*3+IF(BB190&gt;20,BB190-20,0)*3</f>
        <v>3</v>
      </c>
      <c r="BF190" s="243">
        <f>IF((BD190-BE190)&gt;0,BD190-BE190,0)</f>
        <v>260.30769230769232</v>
      </c>
      <c r="BG190" s="218">
        <f>IF((BE190-BD190)&gt;0,BE190-BD190,0)</f>
        <v>0</v>
      </c>
      <c r="BI190" s="303" t="s">
        <v>393</v>
      </c>
      <c r="BJ190" s="304" t="s">
        <v>101</v>
      </c>
      <c r="BK190" s="305" t="s">
        <v>135</v>
      </c>
      <c r="BL190" s="317"/>
      <c r="BM190" s="254"/>
      <c r="BN190" s="254">
        <f>Konvention_1slave-INslave</f>
        <v>12</v>
      </c>
      <c r="BO190" s="254">
        <f>Konvention_1slave-CHslave</f>
        <v>12</v>
      </c>
      <c r="BP190" s="254"/>
      <c r="BQ190" s="254"/>
      <c r="BR190" s="254">
        <f>Konvention_1slave-KOslave</f>
        <v>12</v>
      </c>
      <c r="BS190" s="318"/>
      <c r="BT190" s="223">
        <f>(BL190+BM190+BN190+BO190+BP190+BQ190+BR190+BS190)/3</f>
        <v>12</v>
      </c>
      <c r="BU190" s="223">
        <f>2*BT190</f>
        <v>24</v>
      </c>
      <c r="BV190" s="224">
        <f>3*BT190</f>
        <v>36</v>
      </c>
      <c r="BW190" s="237">
        <f t="shared" si="1510"/>
        <v>2304</v>
      </c>
      <c r="BX190" s="254">
        <f>BN190*BO190*KOslave+BN190*CHslave*BR190+INslave*BO190*BR190</f>
        <v>3456</v>
      </c>
      <c r="BY190" s="224">
        <f>IFERROR(BL190^SIGN(BL190),1)*IFERROR(BM190^SIGN(BM190),1)*IFERROR(BN190^SIGN(BN190),1)*IFERROR(BO190^SIGN(BO190),1)*IFERROR(BP190^SIGN(BP190),1)*IFERROR(BQ190^SIGN(BQ190),1)*IFERROR(BR190^SIGN(BR190),1)*IFERROR(BS190^SIGN(BS190),1)</f>
        <v>1728</v>
      </c>
      <c r="BZ190" s="224">
        <f t="shared" si="1266"/>
        <v>7488</v>
      </c>
      <c r="CA190" s="222">
        <f>BT190*BW190/BZ190</f>
        <v>3.6923076923076925</v>
      </c>
      <c r="CB190" s="223">
        <f>BU190*BX190/BZ190</f>
        <v>11.076923076923077</v>
      </c>
      <c r="CC190" s="243">
        <f>BV190*BY190/BZ190</f>
        <v>8.3076923076923084</v>
      </c>
      <c r="CD190" s="243">
        <f>SUM(CA190:CC190)</f>
        <v>23.07692307692308</v>
      </c>
      <c r="CE190" s="252">
        <f t="shared" si="1271"/>
        <v>0</v>
      </c>
      <c r="CF190" s="309">
        <f>CD190-CE190</f>
        <v>23.07692307692308</v>
      </c>
      <c r="CG190" s="218">
        <f>IF(CD190&lt;=0,3,0)+IF(CD190&gt;0,CD190+1,0)*3+IF(CD190&gt;12,CD190-12,0)*3+IF(CD190&gt;13,CD190-13,0)*3+IF(CD190&gt;14,CD190-14,0)*3+IF(CD190&gt;15,CD190-15,0)*3+IF(CD190&gt;16,CD190-16,0)*3+IF(CD190&gt;17,CD190-17,0)*3+IF(CD190&gt;18,CD190-18,0)*3+IF(CD190&gt;19,CD190-19,0)*3+IF(CD190&gt;20,CD190-20,0)*3</f>
        <v>263.30769230769232</v>
      </c>
      <c r="CH190" s="242">
        <f>IF(CE190&lt;=0,3,0)+IF(CE190&gt;0,CE190+1,0)*3+IF(CE190&gt;12,CE190-12,0)*3+IF(CE190&gt;13,CE190-13,0)*3+IF(CE190&gt;14,CE190-14,0)*3+IF(CE190&gt;15,CE190-15,0)*3+IF(CE190&gt;16,CE190-16,0)*3+IF(CE190&gt;17,CE190-17,0)*3+IF(CE190&gt;18,CE190-18,0)*3+IF(CE190&gt;19,CE190-19,0)*3+IF(CE190&gt;20,CE190-20,0)*3</f>
        <v>3</v>
      </c>
      <c r="CI190" s="243">
        <f>IF((CG190-CH190)&gt;0,CG190-CH190,0)</f>
        <v>260.30769230769232</v>
      </c>
      <c r="CJ190" s="218">
        <f>IF((CH190-CG190)&gt;0,CH190-CG190,0)</f>
        <v>0</v>
      </c>
      <c r="CL190" s="303" t="s">
        <v>393</v>
      </c>
      <c r="CM190" s="304" t="s">
        <v>101</v>
      </c>
      <c r="CN190" s="305" t="s">
        <v>135</v>
      </c>
      <c r="CO190" s="317"/>
      <c r="CP190" s="254"/>
      <c r="CQ190" s="254">
        <f>Konvention_1slave-INslave_IN</f>
        <v>11</v>
      </c>
      <c r="CR190" s="254">
        <f>Konvention_1slave-CHslave</f>
        <v>12</v>
      </c>
      <c r="CS190" s="254"/>
      <c r="CT190" s="254"/>
      <c r="CU190" s="254">
        <f>Konvention_1slave-KOslave</f>
        <v>12</v>
      </c>
      <c r="CV190" s="318"/>
      <c r="CW190" s="223">
        <f>(CO190+CP190+CQ190+CR190+CS190+CT190+CU190+CV190)/3</f>
        <v>11.666666666666666</v>
      </c>
      <c r="CX190" s="223">
        <f>2*CW190</f>
        <v>23.333333333333332</v>
      </c>
      <c r="CY190" s="224">
        <f>3*CW190</f>
        <v>35</v>
      </c>
      <c r="CZ190" s="237">
        <f t="shared" si="1511"/>
        <v>2432</v>
      </c>
      <c r="DA190" s="254">
        <f>CQ190*CR190*KOslave+CQ190*CHslave*CU190+INslave_IN*CR190*CU190</f>
        <v>3408</v>
      </c>
      <c r="DB190" s="224">
        <f>IFERROR(CO190^SIGN(CO190),1)*IFERROR(CP190^SIGN(CP190),1)*IFERROR(CQ190^SIGN(CQ190),1)*IFERROR(CR190^SIGN(CR190),1)*IFERROR(CS190^SIGN(CS190),1)*IFERROR(CT190^SIGN(CT190),1)*IFERROR(CU190^SIGN(CU190),1)*IFERROR(CV190^SIGN(CV190),1)</f>
        <v>1584</v>
      </c>
      <c r="DC190" s="224">
        <f t="shared" si="1277"/>
        <v>7424</v>
      </c>
      <c r="DD190" s="222">
        <f>CW190*CZ190/DC190</f>
        <v>3.8218390804597702</v>
      </c>
      <c r="DE190" s="223">
        <f>CX190*DA190/DC190</f>
        <v>10.711206896551724</v>
      </c>
      <c r="DF190" s="243">
        <f>CY190*DB190/DC190</f>
        <v>7.4676724137931032</v>
      </c>
      <c r="DG190" s="243">
        <f>SUM(DD190:DF190)</f>
        <v>22.000718390804597</v>
      </c>
      <c r="DH190" s="252">
        <f t="shared" si="1282"/>
        <v>0</v>
      </c>
      <c r="DI190" s="309">
        <f>DG190-DH190</f>
        <v>22.000718390804597</v>
      </c>
      <c r="DJ190" s="218">
        <f>IF(DG190&lt;=0,3,0)+IF(DG190&gt;0,DG190+1,0)*3+IF(DG190&gt;12,DG190-12,0)*3+IF(DG190&gt;13,DG190-13,0)*3+IF(DG190&gt;14,DG190-14,0)*3+IF(DG190&gt;15,DG190-15,0)*3+IF(DG190&gt;16,DG190-16,0)*3+IF(DG190&gt;17,DG190-17,0)*3+IF(DG190&gt;18,DG190-18,0)*3+IF(DG190&gt;19,DG190-19,0)*3+IF(DG190&gt;20,DG190-20,0)*3</f>
        <v>231.02155172413785</v>
      </c>
      <c r="DK190" s="242">
        <f>IF(DH190&lt;=0,3,0)+IF(DH190&gt;0,DH190+1,0)*3+IF(DH190&gt;12,DH190-12,0)*3+IF(DH190&gt;13,DH190-13,0)*3+IF(DH190&gt;14,DH190-14,0)*3+IF(DH190&gt;15,DH190-15,0)*3+IF(DH190&gt;16,DH190-16,0)*3+IF(DH190&gt;17,DH190-17,0)*3+IF(DH190&gt;18,DH190-18,0)*3+IF(DH190&gt;19,DH190-19,0)*3+IF(DH190&gt;20,DH190-20,0)*3</f>
        <v>3</v>
      </c>
      <c r="DL190" s="243">
        <f>IF((DJ190-DK190)&gt;0,DJ190-DK190,0)</f>
        <v>228.02155172413785</v>
      </c>
      <c r="DM190" s="218">
        <f>IF((DK190-DJ190)&gt;0,DK190-DJ190,0)</f>
        <v>0</v>
      </c>
      <c r="DO190" s="303" t="s">
        <v>393</v>
      </c>
      <c r="DP190" s="304" t="s">
        <v>101</v>
      </c>
      <c r="DQ190" s="305" t="s">
        <v>135</v>
      </c>
      <c r="DR190" s="317"/>
      <c r="DS190" s="254"/>
      <c r="DT190" s="254">
        <f>Konvention_1slave-INslave</f>
        <v>12</v>
      </c>
      <c r="DU190" s="254">
        <f>Konvention_1slave-CHslave_CH</f>
        <v>11</v>
      </c>
      <c r="DV190" s="254"/>
      <c r="DW190" s="254"/>
      <c r="DX190" s="254">
        <f>Konvention_1slave-KOslave</f>
        <v>12</v>
      </c>
      <c r="DY190" s="318"/>
      <c r="DZ190" s="223">
        <f>(DR190+DS190+DT190+DU190+DV190+DW190+DX190+DY190)/3</f>
        <v>11.666666666666666</v>
      </c>
      <c r="EA190" s="223">
        <f>2*DZ190</f>
        <v>23.333333333333332</v>
      </c>
      <c r="EB190" s="224">
        <f>3*DZ190</f>
        <v>35</v>
      </c>
      <c r="EC190" s="237">
        <f t="shared" si="1512"/>
        <v>2432</v>
      </c>
      <c r="ED190" s="254">
        <f>DT190*DU190*KOslave+DT190*CHslave_CH*DX190+INslave*DU190*DX190</f>
        <v>3408</v>
      </c>
      <c r="EE190" s="224">
        <f>IFERROR(DR190^SIGN(DR190),1)*IFERROR(DS190^SIGN(DS190),1)*IFERROR(DT190^SIGN(DT190),1)*IFERROR(DU190^SIGN(DU190),1)*IFERROR(DV190^SIGN(DV190),1)*IFERROR(DW190^SIGN(DW190),1)*IFERROR(DX190^SIGN(DX190),1)*IFERROR(DY190^SIGN(DY190),1)</f>
        <v>1584</v>
      </c>
      <c r="EF190" s="224">
        <f t="shared" si="1288"/>
        <v>7424</v>
      </c>
      <c r="EG190" s="222">
        <f>DZ190*EC190/EF190</f>
        <v>3.8218390804597702</v>
      </c>
      <c r="EH190" s="223">
        <f>EA190*ED190/EF190</f>
        <v>10.711206896551724</v>
      </c>
      <c r="EI190" s="243">
        <f>EB190*EE190/EF190</f>
        <v>7.4676724137931032</v>
      </c>
      <c r="EJ190" s="243">
        <f>SUM(EG190:EI190)</f>
        <v>22.000718390804597</v>
      </c>
      <c r="EK190" s="252">
        <f t="shared" si="1293"/>
        <v>0</v>
      </c>
      <c r="EL190" s="309">
        <f>EJ190-EK190</f>
        <v>22.000718390804597</v>
      </c>
      <c r="EM190" s="218">
        <f>IF(EJ190&lt;=0,3,0)+IF(EJ190&gt;0,EJ190+1,0)*3+IF(EJ190&gt;12,EJ190-12,0)*3+IF(EJ190&gt;13,EJ190-13,0)*3+IF(EJ190&gt;14,EJ190-14,0)*3+IF(EJ190&gt;15,EJ190-15,0)*3+IF(EJ190&gt;16,EJ190-16,0)*3+IF(EJ190&gt;17,EJ190-17,0)*3+IF(EJ190&gt;18,EJ190-18,0)*3+IF(EJ190&gt;19,EJ190-19,0)*3+IF(EJ190&gt;20,EJ190-20,0)*3</f>
        <v>231.02155172413785</v>
      </c>
      <c r="EN190" s="242">
        <f>IF(EK190&lt;=0,3,0)+IF(EK190&gt;0,EK190+1,0)*3+IF(EK190&gt;12,EK190-12,0)*3+IF(EK190&gt;13,EK190-13,0)*3+IF(EK190&gt;14,EK190-14,0)*3+IF(EK190&gt;15,EK190-15,0)*3+IF(EK190&gt;16,EK190-16,0)*3+IF(EK190&gt;17,EK190-17,0)*3+IF(EK190&gt;18,EK190-18,0)*3+IF(EK190&gt;19,EK190-19,0)*3+IF(EK190&gt;20,EK190-20,0)*3</f>
        <v>3</v>
      </c>
      <c r="EO190" s="243">
        <f>IF((EM190-EN190)&gt;0,EM190-EN190,0)</f>
        <v>228.02155172413785</v>
      </c>
      <c r="EP190" s="218">
        <f>IF((EN190-EM190)&gt;0,EN190-EM190,0)</f>
        <v>0</v>
      </c>
      <c r="ER190" s="303" t="s">
        <v>393</v>
      </c>
      <c r="ES190" s="304" t="s">
        <v>101</v>
      </c>
      <c r="ET190" s="305" t="s">
        <v>135</v>
      </c>
      <c r="EU190" s="317"/>
      <c r="EV190" s="254"/>
      <c r="EW190" s="254">
        <f>Konvention_1slave-INslave</f>
        <v>12</v>
      </c>
      <c r="EX190" s="254">
        <f>Konvention_1slave-CHslave</f>
        <v>12</v>
      </c>
      <c r="EY190" s="254"/>
      <c r="EZ190" s="254"/>
      <c r="FA190" s="254">
        <f>Konvention_1slave-KOslave</f>
        <v>12</v>
      </c>
      <c r="FB190" s="318"/>
      <c r="FC190" s="223">
        <f>(EU190+EV190+EW190+EX190+EY190+EZ190+FA190+FB190)/3</f>
        <v>12</v>
      </c>
      <c r="FD190" s="223">
        <f>2*FC190</f>
        <v>24</v>
      </c>
      <c r="FE190" s="224">
        <f>3*FC190</f>
        <v>36</v>
      </c>
      <c r="FF190" s="237">
        <f t="shared" si="1513"/>
        <v>2304</v>
      </c>
      <c r="FG190" s="254">
        <f>EW190*EX190*KOslave+EW190*CHslave*FA190+INslave*EX190*FA190</f>
        <v>3456</v>
      </c>
      <c r="FH190" s="224">
        <f>IFERROR(EU190^SIGN(EU190),1)*IFERROR(EV190^SIGN(EV190),1)*IFERROR(EW190^SIGN(EW190),1)*IFERROR(EX190^SIGN(EX190),1)*IFERROR(EY190^SIGN(EY190),1)*IFERROR(EZ190^SIGN(EZ190),1)*IFERROR(FA190^SIGN(FA190),1)*IFERROR(FB190^SIGN(FB190),1)</f>
        <v>1728</v>
      </c>
      <c r="FI190" s="224">
        <f t="shared" si="1299"/>
        <v>7488</v>
      </c>
      <c r="FJ190" s="222">
        <f>FC190*FF190/FI190</f>
        <v>3.6923076923076925</v>
      </c>
      <c r="FK190" s="223">
        <f>FD190*FG190/FI190</f>
        <v>11.076923076923077</v>
      </c>
      <c r="FL190" s="243">
        <f>FE190*FH190/FI190</f>
        <v>8.3076923076923084</v>
      </c>
      <c r="FM190" s="243">
        <f>SUM(FJ190:FL190)</f>
        <v>23.07692307692308</v>
      </c>
      <c r="FN190" s="252">
        <f t="shared" si="1304"/>
        <v>0</v>
      </c>
      <c r="FO190" s="309">
        <f>FM190-FN190</f>
        <v>23.07692307692308</v>
      </c>
      <c r="FP190" s="218">
        <f>IF(FM190&lt;=0,3,0)+IF(FM190&gt;0,FM190+1,0)*3+IF(FM190&gt;12,FM190-12,0)*3+IF(FM190&gt;13,FM190-13,0)*3+IF(FM190&gt;14,FM190-14,0)*3+IF(FM190&gt;15,FM190-15,0)*3+IF(FM190&gt;16,FM190-16,0)*3+IF(FM190&gt;17,FM190-17,0)*3+IF(FM190&gt;18,FM190-18,0)*3+IF(FM190&gt;19,FM190-19,0)*3+IF(FM190&gt;20,FM190-20,0)*3</f>
        <v>263.30769230769232</v>
      </c>
      <c r="FQ190" s="242">
        <f>IF(FN190&lt;=0,3,0)+IF(FN190&gt;0,FN190+1,0)*3+IF(FN190&gt;12,FN190-12,0)*3+IF(FN190&gt;13,FN190-13,0)*3+IF(FN190&gt;14,FN190-14,0)*3+IF(FN190&gt;15,FN190-15,0)*3+IF(FN190&gt;16,FN190-16,0)*3+IF(FN190&gt;17,FN190-17,0)*3+IF(FN190&gt;18,FN190-18,0)*3+IF(FN190&gt;19,FN190-19,0)*3+IF(FN190&gt;20,FN190-20,0)*3</f>
        <v>3</v>
      </c>
      <c r="FR190" s="243">
        <f>IF((FP190-FQ190)&gt;0,FP190-FQ190,0)</f>
        <v>260.30769230769232</v>
      </c>
      <c r="FS190" s="218">
        <f>IF((FQ190-FP190)&gt;0,FQ190-FP190,0)</f>
        <v>0</v>
      </c>
      <c r="FU190" s="303" t="s">
        <v>393</v>
      </c>
      <c r="FV190" s="304" t="s">
        <v>101</v>
      </c>
      <c r="FW190" s="305" t="s">
        <v>135</v>
      </c>
      <c r="FX190" s="317"/>
      <c r="FY190" s="254"/>
      <c r="FZ190" s="254">
        <f>Konvention_1slave-INslave</f>
        <v>12</v>
      </c>
      <c r="GA190" s="254">
        <f>Konvention_1slave-CHslave</f>
        <v>12</v>
      </c>
      <c r="GB190" s="254"/>
      <c r="GC190" s="254"/>
      <c r="GD190" s="254">
        <f>Konvention_1slave-KOslave</f>
        <v>12</v>
      </c>
      <c r="GE190" s="318"/>
      <c r="GF190" s="223">
        <f>(FX190+FY190+FZ190+GA190+GB190+GC190+GD190+GE190)/3</f>
        <v>12</v>
      </c>
      <c r="GG190" s="223">
        <f>2*GF190</f>
        <v>24</v>
      </c>
      <c r="GH190" s="224">
        <f>3*GF190</f>
        <v>36</v>
      </c>
      <c r="GI190" s="237">
        <f t="shared" si="1514"/>
        <v>2304</v>
      </c>
      <c r="GJ190" s="254">
        <f>FZ190*GA190*KOslave+FZ190*CHslave*GD190+INslave*GA190*GD190</f>
        <v>3456</v>
      </c>
      <c r="GK190" s="224">
        <f>IFERROR(FX190^SIGN(FX190),1)*IFERROR(FY190^SIGN(FY190),1)*IFERROR(FZ190^SIGN(FZ190),1)*IFERROR(GA190^SIGN(GA190),1)*IFERROR(GB190^SIGN(GB190),1)*IFERROR(GC190^SIGN(GC190),1)*IFERROR(GD190^SIGN(GD190),1)*IFERROR(GE190^SIGN(GE190),1)</f>
        <v>1728</v>
      </c>
      <c r="GL190" s="224">
        <f t="shared" si="1310"/>
        <v>7488</v>
      </c>
      <c r="GM190" s="222">
        <f>GF190*GI190/GL190</f>
        <v>3.6923076923076925</v>
      </c>
      <c r="GN190" s="223">
        <f>GG190*GJ190/GL190</f>
        <v>11.076923076923077</v>
      </c>
      <c r="GO190" s="243">
        <f>GH190*GK190/GL190</f>
        <v>8.3076923076923084</v>
      </c>
      <c r="GP190" s="243">
        <f>SUM(GM190:GO190)</f>
        <v>23.07692307692308</v>
      </c>
      <c r="GQ190" s="252">
        <f t="shared" si="1315"/>
        <v>0</v>
      </c>
      <c r="GR190" s="309">
        <f>GP190-GQ190</f>
        <v>23.07692307692308</v>
      </c>
      <c r="GS190" s="218">
        <f>IF(GP190&lt;=0,3,0)+IF(GP190&gt;0,GP190+1,0)*3+IF(GP190&gt;12,GP190-12,0)*3+IF(GP190&gt;13,GP190-13,0)*3+IF(GP190&gt;14,GP190-14,0)*3+IF(GP190&gt;15,GP190-15,0)*3+IF(GP190&gt;16,GP190-16,0)*3+IF(GP190&gt;17,GP190-17,0)*3+IF(GP190&gt;18,GP190-18,0)*3+IF(GP190&gt;19,GP190-19,0)*3+IF(GP190&gt;20,GP190-20,0)*3</f>
        <v>263.30769230769232</v>
      </c>
      <c r="GT190" s="242">
        <f>IF(GQ190&lt;=0,3,0)+IF(GQ190&gt;0,GQ190+1,0)*3+IF(GQ190&gt;12,GQ190-12,0)*3+IF(GQ190&gt;13,GQ190-13,0)*3+IF(GQ190&gt;14,GQ190-14,0)*3+IF(GQ190&gt;15,GQ190-15,0)*3+IF(GQ190&gt;16,GQ190-16,0)*3+IF(GQ190&gt;17,GQ190-17,0)*3+IF(GQ190&gt;18,GQ190-18,0)*3+IF(GQ190&gt;19,GQ190-19,0)*3+IF(GQ190&gt;20,GQ190-20,0)*3</f>
        <v>3</v>
      </c>
      <c r="GU190" s="243">
        <f>IF((GS190-GT190)&gt;0,GS190-GT190,0)</f>
        <v>260.30769230769232</v>
      </c>
      <c r="GV190" s="218">
        <f>IF((GT190-GS190)&gt;0,GT190-GS190,0)</f>
        <v>0</v>
      </c>
      <c r="GX190" s="303" t="s">
        <v>393</v>
      </c>
      <c r="GY190" s="304" t="s">
        <v>101</v>
      </c>
      <c r="GZ190" s="305" t="s">
        <v>135</v>
      </c>
      <c r="HA190" s="317"/>
      <c r="HB190" s="254"/>
      <c r="HC190" s="254">
        <f>Konvention_1slave-INslave</f>
        <v>12</v>
      </c>
      <c r="HD190" s="254">
        <f>Konvention_1slave-CHslave</f>
        <v>12</v>
      </c>
      <c r="HE190" s="254"/>
      <c r="HF190" s="254"/>
      <c r="HG190" s="254">
        <f>Konvention_1slave-KOslave_KO</f>
        <v>11</v>
      </c>
      <c r="HH190" s="318"/>
      <c r="HI190" s="223">
        <f>(HA190+HB190+HC190+HD190+HE190+HF190+HG190+HH190)/3</f>
        <v>11.666666666666666</v>
      </c>
      <c r="HJ190" s="223">
        <f>2*HI190</f>
        <v>23.333333333333332</v>
      </c>
      <c r="HK190" s="224">
        <f>3*HI190</f>
        <v>35</v>
      </c>
      <c r="HL190" s="237">
        <f t="shared" si="1515"/>
        <v>2432</v>
      </c>
      <c r="HM190" s="254">
        <f>HC190*HD190*KOslave_KO+HC190*CHslave*HG190+INslave*HD190*HG190</f>
        <v>3408</v>
      </c>
      <c r="HN190" s="224">
        <f>IFERROR(HA190^SIGN(HA190),1)*IFERROR(HB190^SIGN(HB190),1)*IFERROR(HC190^SIGN(HC190),1)*IFERROR(HD190^SIGN(HD190),1)*IFERROR(HE190^SIGN(HE190),1)*IFERROR(HF190^SIGN(HF190),1)*IFERROR(HG190^SIGN(HG190),1)*IFERROR(HH190^SIGN(HH190),1)</f>
        <v>1584</v>
      </c>
      <c r="HO190" s="224">
        <f t="shared" si="1321"/>
        <v>7424</v>
      </c>
      <c r="HP190" s="222">
        <f>HI190*HL190/HO190</f>
        <v>3.8218390804597702</v>
      </c>
      <c r="HQ190" s="223">
        <f>HJ190*HM190/HO190</f>
        <v>10.711206896551724</v>
      </c>
      <c r="HR190" s="243">
        <f>HK190*HN190/HO190</f>
        <v>7.4676724137931032</v>
      </c>
      <c r="HS190" s="243">
        <f>SUM(HP190:HR190)</f>
        <v>22.000718390804597</v>
      </c>
      <c r="HT190" s="252">
        <f t="shared" si="1326"/>
        <v>0</v>
      </c>
      <c r="HU190" s="309">
        <f>HS190-HT190</f>
        <v>22.000718390804597</v>
      </c>
      <c r="HV190" s="218">
        <f>IF(HS190&lt;=0,3,0)+IF(HS190&gt;0,HS190+1,0)*3+IF(HS190&gt;12,HS190-12,0)*3+IF(HS190&gt;13,HS190-13,0)*3+IF(HS190&gt;14,HS190-14,0)*3+IF(HS190&gt;15,HS190-15,0)*3+IF(HS190&gt;16,HS190-16,0)*3+IF(HS190&gt;17,HS190-17,0)*3+IF(HS190&gt;18,HS190-18,0)*3+IF(HS190&gt;19,HS190-19,0)*3+IF(HS190&gt;20,HS190-20,0)*3</f>
        <v>231.02155172413785</v>
      </c>
      <c r="HW190" s="242">
        <f>IF(HT190&lt;=0,3,0)+IF(HT190&gt;0,HT190+1,0)*3+IF(HT190&gt;12,HT190-12,0)*3+IF(HT190&gt;13,HT190-13,0)*3+IF(HT190&gt;14,HT190-14,0)*3+IF(HT190&gt;15,HT190-15,0)*3+IF(HT190&gt;16,HT190-16,0)*3+IF(HT190&gt;17,HT190-17,0)*3+IF(HT190&gt;18,HT190-18,0)*3+IF(HT190&gt;19,HT190-19,0)*3+IF(HT190&gt;20,HT190-20,0)*3</f>
        <v>3</v>
      </c>
      <c r="HX190" s="243">
        <f>IF((HV190-HW190)&gt;0,HV190-HW190,0)</f>
        <v>228.02155172413785</v>
      </c>
      <c r="HY190" s="218">
        <f>IF((HW190-HV190)&gt;0,HW190-HV190,0)</f>
        <v>0</v>
      </c>
      <c r="IA190" s="303" t="s">
        <v>393</v>
      </c>
      <c r="IB190" s="304" t="s">
        <v>101</v>
      </c>
      <c r="IC190" s="305" t="s">
        <v>135</v>
      </c>
      <c r="ID190" s="317"/>
      <c r="IE190" s="254"/>
      <c r="IF190" s="254">
        <f>Konvention_1slave-INslave</f>
        <v>12</v>
      </c>
      <c r="IG190" s="254">
        <f>Konvention_1slave-CHslave</f>
        <v>12</v>
      </c>
      <c r="IH190" s="254"/>
      <c r="II190" s="254"/>
      <c r="IJ190" s="254">
        <f>Konvention_1slave-KOslave</f>
        <v>12</v>
      </c>
      <c r="IK190" s="318"/>
      <c r="IL190" s="223">
        <f>(ID190+IE190+IF190+IG190+IH190+II190+IJ190+IK190)/3</f>
        <v>12</v>
      </c>
      <c r="IM190" s="223">
        <f>2*IL190</f>
        <v>24</v>
      </c>
      <c r="IN190" s="224">
        <f>3*IL190</f>
        <v>36</v>
      </c>
      <c r="IO190" s="237">
        <f t="shared" si="1516"/>
        <v>2304</v>
      </c>
      <c r="IP190" s="254">
        <f>IF190*IG190*KOslave+IF190*CHslave*IJ190+INslave*IG190*IJ190</f>
        <v>3456</v>
      </c>
      <c r="IQ190" s="224">
        <f>IFERROR(ID190^SIGN(ID190),1)*IFERROR(IE190^SIGN(IE190),1)*IFERROR(IF190^SIGN(IF190),1)*IFERROR(IG190^SIGN(IG190),1)*IFERROR(IH190^SIGN(IH190),1)*IFERROR(II190^SIGN(II190),1)*IFERROR(IJ190^SIGN(IJ190),1)*IFERROR(IK190^SIGN(IK190),1)</f>
        <v>1728</v>
      </c>
      <c r="IR190" s="224">
        <f t="shared" si="1332"/>
        <v>7488</v>
      </c>
      <c r="IS190" s="222">
        <f>IL190*IO190/IR190</f>
        <v>3.6923076923076925</v>
      </c>
      <c r="IT190" s="223">
        <f>IM190*IP190/IR190</f>
        <v>11.076923076923077</v>
      </c>
      <c r="IU190" s="243">
        <f>IN190*IQ190/IR190</f>
        <v>8.3076923076923084</v>
      </c>
      <c r="IV190" s="243">
        <f>SUM(IS190:IU190)</f>
        <v>23.07692307692308</v>
      </c>
      <c r="IW190" s="252">
        <f t="shared" si="1337"/>
        <v>0</v>
      </c>
      <c r="IX190" s="309">
        <f>IV190-IW190</f>
        <v>23.07692307692308</v>
      </c>
      <c r="IY190" s="218">
        <f>IF(IV190&lt;=0,3,0)+IF(IV190&gt;0,IV190+1,0)*3+IF(IV190&gt;12,IV190-12,0)*3+IF(IV190&gt;13,IV190-13,0)*3+IF(IV190&gt;14,IV190-14,0)*3+IF(IV190&gt;15,IV190-15,0)*3+IF(IV190&gt;16,IV190-16,0)*3+IF(IV190&gt;17,IV190-17,0)*3+IF(IV190&gt;18,IV190-18,0)*3+IF(IV190&gt;19,IV190-19,0)*3+IF(IV190&gt;20,IV190-20,0)*3</f>
        <v>263.30769230769232</v>
      </c>
      <c r="IZ190" s="242">
        <f>IF(IW190&lt;=0,3,0)+IF(IW190&gt;0,IW190+1,0)*3+IF(IW190&gt;12,IW190-12,0)*3+IF(IW190&gt;13,IW190-13,0)*3+IF(IW190&gt;14,IW190-14,0)*3+IF(IW190&gt;15,IW190-15,0)*3+IF(IW190&gt;16,IW190-16,0)*3+IF(IW190&gt;17,IW190-17,0)*3+IF(IW190&gt;18,IW190-18,0)*3+IF(IW190&gt;19,IW190-19,0)*3+IF(IW190&gt;20,IW190-20,0)*3</f>
        <v>3</v>
      </c>
      <c r="JA190" s="243">
        <f>IF((IY190-IZ190)&gt;0,IY190-IZ190,0)</f>
        <v>260.30769230769232</v>
      </c>
      <c r="JB190" s="218">
        <f>IF((IZ190-IY190)&gt;0,IZ190-IY190,0)</f>
        <v>0</v>
      </c>
      <c r="JE190" s="148"/>
    </row>
    <row r="191" spans="2:265" hidden="1" outlineLevel="2">
      <c r="B191" s="148">
        <v>39</v>
      </c>
      <c r="C191" s="303" t="e">
        <f>VLOOKUP(AF191,Attribute!C:T,1,FALSE)</f>
        <v>#N/A</v>
      </c>
      <c r="D191" s="86" t="s">
        <v>100</v>
      </c>
      <c r="E191" s="167" t="s">
        <v>133</v>
      </c>
      <c r="F191" s="120">
        <f>Konvention_1master-MUmaster</f>
        <v>12</v>
      </c>
      <c r="G191" s="117"/>
      <c r="H191" s="117">
        <f>Konvention_1master-INmaster</f>
        <v>12</v>
      </c>
      <c r="I191" s="117"/>
      <c r="J191" s="117"/>
      <c r="K191" s="117"/>
      <c r="L191" s="117">
        <f>Konvention_1master-KOmaster</f>
        <v>12</v>
      </c>
      <c r="M191" s="121"/>
      <c r="N191" s="223">
        <f>(F191+G191+H191+I191+J191+K191+L191+M191)/3</f>
        <v>12</v>
      </c>
      <c r="O191" s="223">
        <f>2*N191</f>
        <v>24</v>
      </c>
      <c r="P191" s="224">
        <f>3*N191</f>
        <v>36</v>
      </c>
      <c r="Q191" s="237">
        <f t="shared" si="1508"/>
        <v>2304</v>
      </c>
      <c r="R191" s="117">
        <f>F191*H191*KOmaster+F191*INmaster*L191+MUmaster*H191*L191</f>
        <v>3456</v>
      </c>
      <c r="S191" s="224">
        <f>IFERROR(F191^SIGN(F191),1)*IFERROR(G191^SIGN(G191),1)*IFERROR(H191^SIGN(H191),1)*IFERROR(I191^SIGN(I191),1)*IFERROR(J191^SIGN(J191),1)*IFERROR(K191^SIGN(K191),1)*IFERROR(L191^SIGN(L191),1)*IFERROR(M191^SIGN(M191),1)</f>
        <v>1728</v>
      </c>
      <c r="T191" s="224">
        <f t="shared" si="1507"/>
        <v>7488</v>
      </c>
      <c r="U191" s="222">
        <f>N191*Q191/T191</f>
        <v>3.6923076923076925</v>
      </c>
      <c r="V191" s="223">
        <f>O191*R191/T191</f>
        <v>11.076923076923077</v>
      </c>
      <c r="W191" s="243">
        <f>P191*S191/T191</f>
        <v>8.3076923076923084</v>
      </c>
      <c r="X191" s="243">
        <f>SUM(U191:W191)</f>
        <v>23.07692307692308</v>
      </c>
      <c r="Y191" s="252">
        <v>0</v>
      </c>
      <c r="Z191" s="198">
        <f>X191-Y191</f>
        <v>23.07692307692308</v>
      </c>
      <c r="AA191" s="125">
        <f>IF(X191&lt;=0,1,0)+IF(X191&gt;0,X191+1,0)*1+IF(X191&gt;12,X191-12,0)*1+IF(X191&gt;13,X191-13,0)*1+IF(X191&gt;14,X191-14,0)*1+IF(X191&gt;15,X191-15,0)*1+IF(X191&gt;16,X191-16,0)*1+IF(X191&gt;17,X191-17,0)*1+IF(X191&gt;18,X191-18,0)*1+IF(X191&gt;19,X191-19,0)*1+IF(X191&gt;20,X191-20,0)*1</f>
        <v>87.769230769230802</v>
      </c>
      <c r="AB191" s="160">
        <f>IF(Y191&lt;=0,1,0)+IF(Y191&gt;0,Y191+1,0)*1+IF(Y191&gt;12,Y191-12,0)*1+IF(Y191&gt;13,Y191-13,0)*1+IF(Y191&gt;14,Y191-14,0)*1+IF(Y191&gt;15,Y191-15,0)*1+IF(Y191&gt;16,Y191-16,0)*1+IF(Y191&gt;17,Y191-17,0)*1+IF(Y191&gt;18,Y191-18,0)*1+IF(Y191&gt;19,Y191-19,0)*1+IF(Y191&gt;20,Y191-20,0)*1</f>
        <v>1</v>
      </c>
      <c r="AC191" s="127">
        <f>IF((AA191-AB191)&gt;0,AA191-AB191,0)</f>
        <v>86.769230769230802</v>
      </c>
      <c r="AD191" s="125">
        <f>IF((AB191-AA191)&gt;0,AB191-AA191,0)</f>
        <v>0</v>
      </c>
      <c r="AF191" s="163" t="s">
        <v>374</v>
      </c>
      <c r="AG191" s="86" t="s">
        <v>100</v>
      </c>
      <c r="AH191" s="167" t="s">
        <v>133</v>
      </c>
      <c r="AI191" s="120">
        <f>Konvention_1slave-MUslave_MU</f>
        <v>11</v>
      </c>
      <c r="AJ191" s="117"/>
      <c r="AK191" s="117">
        <f>Konvention_1slave-INslave</f>
        <v>12</v>
      </c>
      <c r="AL191" s="117"/>
      <c r="AM191" s="117"/>
      <c r="AN191" s="117"/>
      <c r="AO191" s="117">
        <f>Konvention_1slave-KOslave</f>
        <v>12</v>
      </c>
      <c r="AP191" s="121"/>
      <c r="AQ191" s="47">
        <f>(AI191+AJ191+AK191+AL191+AM191+AN191+AO191+AP191)/3</f>
        <v>11.666666666666666</v>
      </c>
      <c r="AR191" s="3">
        <f>2*AQ191</f>
        <v>23.333333333333332</v>
      </c>
      <c r="AS191" s="174">
        <f>3*AQ191</f>
        <v>35</v>
      </c>
      <c r="AT191" s="114">
        <f t="shared" si="1509"/>
        <v>2432</v>
      </c>
      <c r="AU191" s="117">
        <f>AI191*AK191*KOslave+AI191*INslave*AO191+MUslave_MU*AK191*AO191</f>
        <v>3408</v>
      </c>
      <c r="AV191" s="119">
        <f>IFERROR(AI191^SIGN(AI191),1)*IFERROR(AJ191^SIGN(AJ191),1)*IFERROR(AK191^SIGN(AK191),1)*IFERROR(AL191^SIGN(AL191),1)*IFERROR(AM191^SIGN(AM191),1)*IFERROR(AN191^SIGN(AN191),1)*IFERROR(AO191^SIGN(AO191),1)*IFERROR(AP191^SIGN(AP191),1)</f>
        <v>1584</v>
      </c>
      <c r="AW191" s="119">
        <f t="shared" si="1255"/>
        <v>7424</v>
      </c>
      <c r="AX191" s="89">
        <f>AQ191*AT191/AW191</f>
        <v>3.8218390804597702</v>
      </c>
      <c r="AY191" s="47">
        <f>AR191*AU191/AW191</f>
        <v>10.711206896551724</v>
      </c>
      <c r="AZ191" s="127">
        <f>AS191*AV191/AW191</f>
        <v>7.4676724137931032</v>
      </c>
      <c r="BA191" s="127">
        <f>SUM(AX191:AZ191)</f>
        <v>22.000718390804597</v>
      </c>
      <c r="BB191" s="165">
        <f t="shared" si="1260"/>
        <v>0</v>
      </c>
      <c r="BC191" s="198">
        <f>BA191-BB191</f>
        <v>22.000718390804597</v>
      </c>
      <c r="BD191" s="125">
        <f>IF(BA191&lt;=0,1,0)+IF(BA191&gt;0,BA191+1,0)*1+IF(BA191&gt;12,BA191-12,0)*1+IF(BA191&gt;13,BA191-13,0)*1+IF(BA191&gt;14,BA191-14,0)*1+IF(BA191&gt;15,BA191-15,0)*1+IF(BA191&gt;16,BA191-16,0)*1+IF(BA191&gt;17,BA191-17,0)*1+IF(BA191&gt;18,BA191-18,0)*1+IF(BA191&gt;19,BA191-19,0)*1+IF(BA191&gt;20,BA191-20,0)*1</f>
        <v>77.007183908045945</v>
      </c>
      <c r="BE191" s="160">
        <f>IF(BB191&lt;=0,1,0)+IF(BB191&gt;0,BB191+1,0)*1+IF(BB191&gt;12,BB191-12,0)*1+IF(BB191&gt;13,BB191-13,0)*1+IF(BB191&gt;14,BB191-14,0)*1+IF(BB191&gt;15,BB191-15,0)*1+IF(BB191&gt;16,BB191-16,0)*1+IF(BB191&gt;17,BB191-17,0)*1+IF(BB191&gt;18,BB191-18,0)*1+IF(BB191&gt;19,BB191-19,0)*1+IF(BB191&gt;20,BB191-20,0)*1</f>
        <v>1</v>
      </c>
      <c r="BF191" s="243">
        <f>IF((BD191-BE191)&gt;0,BD191-BE191,0)</f>
        <v>76.007183908045945</v>
      </c>
      <c r="BG191" s="218">
        <f>IF((BE191-BD191)&gt;0,BE191-BD191,0)</f>
        <v>0</v>
      </c>
      <c r="BI191" s="303" t="s">
        <v>374</v>
      </c>
      <c r="BJ191" s="304" t="s">
        <v>100</v>
      </c>
      <c r="BK191" s="305" t="s">
        <v>133</v>
      </c>
      <c r="BL191" s="317">
        <f>Konvention_1slave-MUslave</f>
        <v>12</v>
      </c>
      <c r="BM191" s="254"/>
      <c r="BN191" s="254">
        <f>Konvention_1slave-INslave</f>
        <v>12</v>
      </c>
      <c r="BO191" s="254"/>
      <c r="BP191" s="254"/>
      <c r="BQ191" s="254"/>
      <c r="BR191" s="254">
        <f>Konvention_1slave-KOslave</f>
        <v>12</v>
      </c>
      <c r="BS191" s="318"/>
      <c r="BT191" s="223">
        <f>(BL191+BM191+BN191+BO191+BP191+BQ191+BR191+BS191)/3</f>
        <v>12</v>
      </c>
      <c r="BU191" s="223">
        <f>2*BT191</f>
        <v>24</v>
      </c>
      <c r="BV191" s="224">
        <f>3*BT191</f>
        <v>36</v>
      </c>
      <c r="BW191" s="237">
        <f t="shared" si="1510"/>
        <v>2304</v>
      </c>
      <c r="BX191" s="254">
        <f>BL191*BN191*KOslave+BL191*INslave*BR191+MUslave*BN191*BR191</f>
        <v>3456</v>
      </c>
      <c r="BY191" s="224">
        <f>IFERROR(BL191^SIGN(BL191),1)*IFERROR(BM191^SIGN(BM191),1)*IFERROR(BN191^SIGN(BN191),1)*IFERROR(BO191^SIGN(BO191),1)*IFERROR(BP191^SIGN(BP191),1)*IFERROR(BQ191^SIGN(BQ191),1)*IFERROR(BR191^SIGN(BR191),1)*IFERROR(BS191^SIGN(BS191),1)</f>
        <v>1728</v>
      </c>
      <c r="BZ191" s="224">
        <f t="shared" si="1266"/>
        <v>7488</v>
      </c>
      <c r="CA191" s="222">
        <f>BT191*BW191/BZ191</f>
        <v>3.6923076923076925</v>
      </c>
      <c r="CB191" s="223">
        <f>BU191*BX191/BZ191</f>
        <v>11.076923076923077</v>
      </c>
      <c r="CC191" s="243">
        <f>BV191*BY191/BZ191</f>
        <v>8.3076923076923084</v>
      </c>
      <c r="CD191" s="243">
        <f>SUM(CA191:CC191)</f>
        <v>23.07692307692308</v>
      </c>
      <c r="CE191" s="252">
        <f t="shared" si="1271"/>
        <v>0</v>
      </c>
      <c r="CF191" s="309">
        <f>CD191-CE191</f>
        <v>23.07692307692308</v>
      </c>
      <c r="CG191" s="218">
        <f>IF(CD191&lt;=0,1,0)+IF(CD191&gt;0,CD191+1,0)*1+IF(CD191&gt;12,CD191-12,0)*1+IF(CD191&gt;13,CD191-13,0)*1+IF(CD191&gt;14,CD191-14,0)*1+IF(CD191&gt;15,CD191-15,0)*1+IF(CD191&gt;16,CD191-16,0)*1+IF(CD191&gt;17,CD191-17,0)*1+IF(CD191&gt;18,CD191-18,0)*1+IF(CD191&gt;19,CD191-19,0)*1+IF(CD191&gt;20,CD191-20,0)*1</f>
        <v>87.769230769230802</v>
      </c>
      <c r="CH191" s="242">
        <f>IF(CE191&lt;=0,1,0)+IF(CE191&gt;0,CE191+1,0)*1+IF(CE191&gt;12,CE191-12,0)*1+IF(CE191&gt;13,CE191-13,0)*1+IF(CE191&gt;14,CE191-14,0)*1+IF(CE191&gt;15,CE191-15,0)*1+IF(CE191&gt;16,CE191-16,0)*1+IF(CE191&gt;17,CE191-17,0)*1+IF(CE191&gt;18,CE191-18,0)*1+IF(CE191&gt;19,CE191-19,0)*1+IF(CE191&gt;20,CE191-20,0)*1</f>
        <v>1</v>
      </c>
      <c r="CI191" s="243">
        <f>IF((CG191-CH191)&gt;0,CG191-CH191,0)</f>
        <v>86.769230769230802</v>
      </c>
      <c r="CJ191" s="218">
        <f>IF((CH191-CG191)&gt;0,CH191-CG191,0)</f>
        <v>0</v>
      </c>
      <c r="CL191" s="303" t="s">
        <v>374</v>
      </c>
      <c r="CM191" s="304" t="s">
        <v>100</v>
      </c>
      <c r="CN191" s="305" t="s">
        <v>133</v>
      </c>
      <c r="CO191" s="317">
        <f>Konvention_1slave-MUslave</f>
        <v>12</v>
      </c>
      <c r="CP191" s="254"/>
      <c r="CQ191" s="254">
        <f>Konvention_1slave-INslave_IN</f>
        <v>11</v>
      </c>
      <c r="CR191" s="254"/>
      <c r="CS191" s="254"/>
      <c r="CT191" s="254"/>
      <c r="CU191" s="254">
        <f>Konvention_1slave-KOslave</f>
        <v>12</v>
      </c>
      <c r="CV191" s="318"/>
      <c r="CW191" s="223">
        <f>(CO191+CP191+CQ191+CR191+CS191+CT191+CU191+CV191)/3</f>
        <v>11.666666666666666</v>
      </c>
      <c r="CX191" s="223">
        <f>2*CW191</f>
        <v>23.333333333333332</v>
      </c>
      <c r="CY191" s="224">
        <f>3*CW191</f>
        <v>35</v>
      </c>
      <c r="CZ191" s="237">
        <f t="shared" si="1511"/>
        <v>2432</v>
      </c>
      <c r="DA191" s="254">
        <f>CO191*CQ191*KOslave+CO191*INslave_IN*CU191+MUslave*CQ191*CU191</f>
        <v>3408</v>
      </c>
      <c r="DB191" s="224">
        <f>IFERROR(CO191^SIGN(CO191),1)*IFERROR(CP191^SIGN(CP191),1)*IFERROR(CQ191^SIGN(CQ191),1)*IFERROR(CR191^SIGN(CR191),1)*IFERROR(CS191^SIGN(CS191),1)*IFERROR(CT191^SIGN(CT191),1)*IFERROR(CU191^SIGN(CU191),1)*IFERROR(CV191^SIGN(CV191),1)</f>
        <v>1584</v>
      </c>
      <c r="DC191" s="224">
        <f t="shared" si="1277"/>
        <v>7424</v>
      </c>
      <c r="DD191" s="222">
        <f>CW191*CZ191/DC191</f>
        <v>3.8218390804597702</v>
      </c>
      <c r="DE191" s="223">
        <f>CX191*DA191/DC191</f>
        <v>10.711206896551724</v>
      </c>
      <c r="DF191" s="243">
        <f>CY191*DB191/DC191</f>
        <v>7.4676724137931032</v>
      </c>
      <c r="DG191" s="243">
        <f>SUM(DD191:DF191)</f>
        <v>22.000718390804597</v>
      </c>
      <c r="DH191" s="252">
        <f t="shared" si="1282"/>
        <v>0</v>
      </c>
      <c r="DI191" s="309">
        <f>DG191-DH191</f>
        <v>22.000718390804597</v>
      </c>
      <c r="DJ191" s="218">
        <f>IF(DG191&lt;=0,1,0)+IF(DG191&gt;0,DG191+1,0)*1+IF(DG191&gt;12,DG191-12,0)*1+IF(DG191&gt;13,DG191-13,0)*1+IF(DG191&gt;14,DG191-14,0)*1+IF(DG191&gt;15,DG191-15,0)*1+IF(DG191&gt;16,DG191-16,0)*1+IF(DG191&gt;17,DG191-17,0)*1+IF(DG191&gt;18,DG191-18,0)*1+IF(DG191&gt;19,DG191-19,0)*1+IF(DG191&gt;20,DG191-20,0)*1</f>
        <v>77.007183908045945</v>
      </c>
      <c r="DK191" s="242">
        <f>IF(DH191&lt;=0,1,0)+IF(DH191&gt;0,DH191+1,0)*1+IF(DH191&gt;12,DH191-12,0)*1+IF(DH191&gt;13,DH191-13,0)*1+IF(DH191&gt;14,DH191-14,0)*1+IF(DH191&gt;15,DH191-15,0)*1+IF(DH191&gt;16,DH191-16,0)*1+IF(DH191&gt;17,DH191-17,0)*1+IF(DH191&gt;18,DH191-18,0)*1+IF(DH191&gt;19,DH191-19,0)*1+IF(DH191&gt;20,DH191-20,0)*1</f>
        <v>1</v>
      </c>
      <c r="DL191" s="243">
        <f>IF((DJ191-DK191)&gt;0,DJ191-DK191,0)</f>
        <v>76.007183908045945</v>
      </c>
      <c r="DM191" s="218">
        <f>IF((DK191-DJ191)&gt;0,DK191-DJ191,0)</f>
        <v>0</v>
      </c>
      <c r="DO191" s="303" t="s">
        <v>374</v>
      </c>
      <c r="DP191" s="304" t="s">
        <v>100</v>
      </c>
      <c r="DQ191" s="305" t="s">
        <v>133</v>
      </c>
      <c r="DR191" s="317">
        <f>Konvention_1slave-MUslave</f>
        <v>12</v>
      </c>
      <c r="DS191" s="254"/>
      <c r="DT191" s="254">
        <f>Konvention_1slave-INslave</f>
        <v>12</v>
      </c>
      <c r="DU191" s="254"/>
      <c r="DV191" s="254"/>
      <c r="DW191" s="254"/>
      <c r="DX191" s="254">
        <f>Konvention_1slave-KOslave</f>
        <v>12</v>
      </c>
      <c r="DY191" s="318"/>
      <c r="DZ191" s="223">
        <f>(DR191+DS191+DT191+DU191+DV191+DW191+DX191+DY191)/3</f>
        <v>12</v>
      </c>
      <c r="EA191" s="223">
        <f>2*DZ191</f>
        <v>24</v>
      </c>
      <c r="EB191" s="224">
        <f>3*DZ191</f>
        <v>36</v>
      </c>
      <c r="EC191" s="237">
        <f t="shared" si="1512"/>
        <v>2304</v>
      </c>
      <c r="ED191" s="254">
        <f>DR191*DT191*KOslave+DR191*INslave*DX191+MUslave*DT191*DX191</f>
        <v>3456</v>
      </c>
      <c r="EE191" s="224">
        <f>IFERROR(DR191^SIGN(DR191),1)*IFERROR(DS191^SIGN(DS191),1)*IFERROR(DT191^SIGN(DT191),1)*IFERROR(DU191^SIGN(DU191),1)*IFERROR(DV191^SIGN(DV191),1)*IFERROR(DW191^SIGN(DW191),1)*IFERROR(DX191^SIGN(DX191),1)*IFERROR(DY191^SIGN(DY191),1)</f>
        <v>1728</v>
      </c>
      <c r="EF191" s="224">
        <f t="shared" si="1288"/>
        <v>7488</v>
      </c>
      <c r="EG191" s="222">
        <f>DZ191*EC191/EF191</f>
        <v>3.6923076923076925</v>
      </c>
      <c r="EH191" s="223">
        <f>EA191*ED191/EF191</f>
        <v>11.076923076923077</v>
      </c>
      <c r="EI191" s="243">
        <f>EB191*EE191/EF191</f>
        <v>8.3076923076923084</v>
      </c>
      <c r="EJ191" s="243">
        <f>SUM(EG191:EI191)</f>
        <v>23.07692307692308</v>
      </c>
      <c r="EK191" s="252">
        <f t="shared" si="1293"/>
        <v>0</v>
      </c>
      <c r="EL191" s="309">
        <f>EJ191-EK191</f>
        <v>23.07692307692308</v>
      </c>
      <c r="EM191" s="218">
        <f>IF(EJ191&lt;=0,1,0)+IF(EJ191&gt;0,EJ191+1,0)*1+IF(EJ191&gt;12,EJ191-12,0)*1+IF(EJ191&gt;13,EJ191-13,0)*1+IF(EJ191&gt;14,EJ191-14,0)*1+IF(EJ191&gt;15,EJ191-15,0)*1+IF(EJ191&gt;16,EJ191-16,0)*1+IF(EJ191&gt;17,EJ191-17,0)*1+IF(EJ191&gt;18,EJ191-18,0)*1+IF(EJ191&gt;19,EJ191-19,0)*1+IF(EJ191&gt;20,EJ191-20,0)*1</f>
        <v>87.769230769230802</v>
      </c>
      <c r="EN191" s="242">
        <f>IF(EK191&lt;=0,1,0)+IF(EK191&gt;0,EK191+1,0)*1+IF(EK191&gt;12,EK191-12,0)*1+IF(EK191&gt;13,EK191-13,0)*1+IF(EK191&gt;14,EK191-14,0)*1+IF(EK191&gt;15,EK191-15,0)*1+IF(EK191&gt;16,EK191-16,0)*1+IF(EK191&gt;17,EK191-17,0)*1+IF(EK191&gt;18,EK191-18,0)*1+IF(EK191&gt;19,EK191-19,0)*1+IF(EK191&gt;20,EK191-20,0)*1</f>
        <v>1</v>
      </c>
      <c r="EO191" s="243">
        <f>IF((EM191-EN191)&gt;0,EM191-EN191,0)</f>
        <v>86.769230769230802</v>
      </c>
      <c r="EP191" s="218">
        <f>IF((EN191-EM191)&gt;0,EN191-EM191,0)</f>
        <v>0</v>
      </c>
      <c r="ER191" s="303" t="s">
        <v>374</v>
      </c>
      <c r="ES191" s="304" t="s">
        <v>100</v>
      </c>
      <c r="ET191" s="305" t="s">
        <v>133</v>
      </c>
      <c r="EU191" s="317">
        <f>Konvention_1slave-MUslave</f>
        <v>12</v>
      </c>
      <c r="EV191" s="254"/>
      <c r="EW191" s="254">
        <f>Konvention_1slave-INslave</f>
        <v>12</v>
      </c>
      <c r="EX191" s="254"/>
      <c r="EY191" s="254"/>
      <c r="EZ191" s="254"/>
      <c r="FA191" s="254">
        <f>Konvention_1slave-KOslave</f>
        <v>12</v>
      </c>
      <c r="FB191" s="318"/>
      <c r="FC191" s="223">
        <f>(EU191+EV191+EW191+EX191+EY191+EZ191+FA191+FB191)/3</f>
        <v>12</v>
      </c>
      <c r="FD191" s="223">
        <f>2*FC191</f>
        <v>24</v>
      </c>
      <c r="FE191" s="224">
        <f>3*FC191</f>
        <v>36</v>
      </c>
      <c r="FF191" s="237">
        <f t="shared" si="1513"/>
        <v>2304</v>
      </c>
      <c r="FG191" s="254">
        <f>EU191*EW191*KOslave+EU191*INslave*FA191+MUslave*EW191*FA191</f>
        <v>3456</v>
      </c>
      <c r="FH191" s="224">
        <f>IFERROR(EU191^SIGN(EU191),1)*IFERROR(EV191^SIGN(EV191),1)*IFERROR(EW191^SIGN(EW191),1)*IFERROR(EX191^SIGN(EX191),1)*IFERROR(EY191^SIGN(EY191),1)*IFERROR(EZ191^SIGN(EZ191),1)*IFERROR(FA191^SIGN(FA191),1)*IFERROR(FB191^SIGN(FB191),1)</f>
        <v>1728</v>
      </c>
      <c r="FI191" s="224">
        <f t="shared" si="1299"/>
        <v>7488</v>
      </c>
      <c r="FJ191" s="222">
        <f>FC191*FF191/FI191</f>
        <v>3.6923076923076925</v>
      </c>
      <c r="FK191" s="223">
        <f>FD191*FG191/FI191</f>
        <v>11.076923076923077</v>
      </c>
      <c r="FL191" s="243">
        <f>FE191*FH191/FI191</f>
        <v>8.3076923076923084</v>
      </c>
      <c r="FM191" s="243">
        <f>SUM(FJ191:FL191)</f>
        <v>23.07692307692308</v>
      </c>
      <c r="FN191" s="252">
        <f t="shared" si="1304"/>
        <v>0</v>
      </c>
      <c r="FO191" s="309">
        <f>FM191-FN191</f>
        <v>23.07692307692308</v>
      </c>
      <c r="FP191" s="218">
        <f>IF(FM191&lt;=0,1,0)+IF(FM191&gt;0,FM191+1,0)*1+IF(FM191&gt;12,FM191-12,0)*1+IF(FM191&gt;13,FM191-13,0)*1+IF(FM191&gt;14,FM191-14,0)*1+IF(FM191&gt;15,FM191-15,0)*1+IF(FM191&gt;16,FM191-16,0)*1+IF(FM191&gt;17,FM191-17,0)*1+IF(FM191&gt;18,FM191-18,0)*1+IF(FM191&gt;19,FM191-19,0)*1+IF(FM191&gt;20,FM191-20,0)*1</f>
        <v>87.769230769230802</v>
      </c>
      <c r="FQ191" s="242">
        <f>IF(FN191&lt;=0,1,0)+IF(FN191&gt;0,FN191+1,0)*1+IF(FN191&gt;12,FN191-12,0)*1+IF(FN191&gt;13,FN191-13,0)*1+IF(FN191&gt;14,FN191-14,0)*1+IF(FN191&gt;15,FN191-15,0)*1+IF(FN191&gt;16,FN191-16,0)*1+IF(FN191&gt;17,FN191-17,0)*1+IF(FN191&gt;18,FN191-18,0)*1+IF(FN191&gt;19,FN191-19,0)*1+IF(FN191&gt;20,FN191-20,0)*1</f>
        <v>1</v>
      </c>
      <c r="FR191" s="243">
        <f>IF((FP191-FQ191)&gt;0,FP191-FQ191,0)</f>
        <v>86.769230769230802</v>
      </c>
      <c r="FS191" s="218">
        <f>IF((FQ191-FP191)&gt;0,FQ191-FP191,0)</f>
        <v>0</v>
      </c>
      <c r="FU191" s="303" t="s">
        <v>374</v>
      </c>
      <c r="FV191" s="304" t="s">
        <v>100</v>
      </c>
      <c r="FW191" s="305" t="s">
        <v>133</v>
      </c>
      <c r="FX191" s="317">
        <f>Konvention_1slave-MUslave</f>
        <v>12</v>
      </c>
      <c r="FY191" s="254"/>
      <c r="FZ191" s="254">
        <f>Konvention_1slave-INslave</f>
        <v>12</v>
      </c>
      <c r="GA191" s="254"/>
      <c r="GB191" s="254"/>
      <c r="GC191" s="254"/>
      <c r="GD191" s="254">
        <f>Konvention_1slave-KOslave</f>
        <v>12</v>
      </c>
      <c r="GE191" s="318"/>
      <c r="GF191" s="223">
        <f>(FX191+FY191+FZ191+GA191+GB191+GC191+GD191+GE191)/3</f>
        <v>12</v>
      </c>
      <c r="GG191" s="223">
        <f>2*GF191</f>
        <v>24</v>
      </c>
      <c r="GH191" s="224">
        <f>3*GF191</f>
        <v>36</v>
      </c>
      <c r="GI191" s="237">
        <f t="shared" si="1514"/>
        <v>2304</v>
      </c>
      <c r="GJ191" s="254">
        <f>FX191*FZ191*KOslave+FX191*INslave*GD191+MUslave*FZ191*GD191</f>
        <v>3456</v>
      </c>
      <c r="GK191" s="224">
        <f>IFERROR(FX191^SIGN(FX191),1)*IFERROR(FY191^SIGN(FY191),1)*IFERROR(FZ191^SIGN(FZ191),1)*IFERROR(GA191^SIGN(GA191),1)*IFERROR(GB191^SIGN(GB191),1)*IFERROR(GC191^SIGN(GC191),1)*IFERROR(GD191^SIGN(GD191),1)*IFERROR(GE191^SIGN(GE191),1)</f>
        <v>1728</v>
      </c>
      <c r="GL191" s="224">
        <f t="shared" si="1310"/>
        <v>7488</v>
      </c>
      <c r="GM191" s="222">
        <f>GF191*GI191/GL191</f>
        <v>3.6923076923076925</v>
      </c>
      <c r="GN191" s="223">
        <f>GG191*GJ191/GL191</f>
        <v>11.076923076923077</v>
      </c>
      <c r="GO191" s="243">
        <f>GH191*GK191/GL191</f>
        <v>8.3076923076923084</v>
      </c>
      <c r="GP191" s="243">
        <f>SUM(GM191:GO191)</f>
        <v>23.07692307692308</v>
      </c>
      <c r="GQ191" s="252">
        <f t="shared" si="1315"/>
        <v>0</v>
      </c>
      <c r="GR191" s="309">
        <f>GP191-GQ191</f>
        <v>23.07692307692308</v>
      </c>
      <c r="GS191" s="218">
        <f>IF(GP191&lt;=0,1,0)+IF(GP191&gt;0,GP191+1,0)*1+IF(GP191&gt;12,GP191-12,0)*1+IF(GP191&gt;13,GP191-13,0)*1+IF(GP191&gt;14,GP191-14,0)*1+IF(GP191&gt;15,GP191-15,0)*1+IF(GP191&gt;16,GP191-16,0)*1+IF(GP191&gt;17,GP191-17,0)*1+IF(GP191&gt;18,GP191-18,0)*1+IF(GP191&gt;19,GP191-19,0)*1+IF(GP191&gt;20,GP191-20,0)*1</f>
        <v>87.769230769230802</v>
      </c>
      <c r="GT191" s="242">
        <f>IF(GQ191&lt;=0,1,0)+IF(GQ191&gt;0,GQ191+1,0)*1+IF(GQ191&gt;12,GQ191-12,0)*1+IF(GQ191&gt;13,GQ191-13,0)*1+IF(GQ191&gt;14,GQ191-14,0)*1+IF(GQ191&gt;15,GQ191-15,0)*1+IF(GQ191&gt;16,GQ191-16,0)*1+IF(GQ191&gt;17,GQ191-17,0)*1+IF(GQ191&gt;18,GQ191-18,0)*1+IF(GQ191&gt;19,GQ191-19,0)*1+IF(GQ191&gt;20,GQ191-20,0)*1</f>
        <v>1</v>
      </c>
      <c r="GU191" s="243">
        <f>IF((GS191-GT191)&gt;0,GS191-GT191,0)</f>
        <v>86.769230769230802</v>
      </c>
      <c r="GV191" s="218">
        <f>IF((GT191-GS191)&gt;0,GT191-GS191,0)</f>
        <v>0</v>
      </c>
      <c r="GX191" s="303" t="s">
        <v>374</v>
      </c>
      <c r="GY191" s="304" t="s">
        <v>100</v>
      </c>
      <c r="GZ191" s="305" t="s">
        <v>133</v>
      </c>
      <c r="HA191" s="317">
        <f>Konvention_1slave-MUslave</f>
        <v>12</v>
      </c>
      <c r="HB191" s="254"/>
      <c r="HC191" s="254">
        <f>Konvention_1slave-INslave</f>
        <v>12</v>
      </c>
      <c r="HD191" s="254"/>
      <c r="HE191" s="254"/>
      <c r="HF191" s="254"/>
      <c r="HG191" s="254">
        <f>Konvention_1slave-KOslave_KO</f>
        <v>11</v>
      </c>
      <c r="HH191" s="318"/>
      <c r="HI191" s="223">
        <f>(HA191+HB191+HC191+HD191+HE191+HF191+HG191+HH191)/3</f>
        <v>11.666666666666666</v>
      </c>
      <c r="HJ191" s="223">
        <f>2*HI191</f>
        <v>23.333333333333332</v>
      </c>
      <c r="HK191" s="224">
        <f>3*HI191</f>
        <v>35</v>
      </c>
      <c r="HL191" s="237">
        <f t="shared" si="1515"/>
        <v>2432</v>
      </c>
      <c r="HM191" s="254">
        <f>HA191*HC191*KOslave_KO+HA191*INslave*HG191+MUslave*HC191*HG191</f>
        <v>3408</v>
      </c>
      <c r="HN191" s="224">
        <f>IFERROR(HA191^SIGN(HA191),1)*IFERROR(HB191^SIGN(HB191),1)*IFERROR(HC191^SIGN(HC191),1)*IFERROR(HD191^SIGN(HD191),1)*IFERROR(HE191^SIGN(HE191),1)*IFERROR(HF191^SIGN(HF191),1)*IFERROR(HG191^SIGN(HG191),1)*IFERROR(HH191^SIGN(HH191),1)</f>
        <v>1584</v>
      </c>
      <c r="HO191" s="224">
        <f t="shared" si="1321"/>
        <v>7424</v>
      </c>
      <c r="HP191" s="222">
        <f>HI191*HL191/HO191</f>
        <v>3.8218390804597702</v>
      </c>
      <c r="HQ191" s="223">
        <f>HJ191*HM191/HO191</f>
        <v>10.711206896551724</v>
      </c>
      <c r="HR191" s="243">
        <f>HK191*HN191/HO191</f>
        <v>7.4676724137931032</v>
      </c>
      <c r="HS191" s="243">
        <f>SUM(HP191:HR191)</f>
        <v>22.000718390804597</v>
      </c>
      <c r="HT191" s="252">
        <f t="shared" si="1326"/>
        <v>0</v>
      </c>
      <c r="HU191" s="309">
        <f>HS191-HT191</f>
        <v>22.000718390804597</v>
      </c>
      <c r="HV191" s="218">
        <f>IF(HS191&lt;=0,1,0)+IF(HS191&gt;0,HS191+1,0)*1+IF(HS191&gt;12,HS191-12,0)*1+IF(HS191&gt;13,HS191-13,0)*1+IF(HS191&gt;14,HS191-14,0)*1+IF(HS191&gt;15,HS191-15,0)*1+IF(HS191&gt;16,HS191-16,0)*1+IF(HS191&gt;17,HS191-17,0)*1+IF(HS191&gt;18,HS191-18,0)*1+IF(HS191&gt;19,HS191-19,0)*1+IF(HS191&gt;20,HS191-20,0)*1</f>
        <v>77.007183908045945</v>
      </c>
      <c r="HW191" s="242">
        <f>IF(HT191&lt;=0,1,0)+IF(HT191&gt;0,HT191+1,0)*1+IF(HT191&gt;12,HT191-12,0)*1+IF(HT191&gt;13,HT191-13,0)*1+IF(HT191&gt;14,HT191-14,0)*1+IF(HT191&gt;15,HT191-15,0)*1+IF(HT191&gt;16,HT191-16,0)*1+IF(HT191&gt;17,HT191-17,0)*1+IF(HT191&gt;18,HT191-18,0)*1+IF(HT191&gt;19,HT191-19,0)*1+IF(HT191&gt;20,HT191-20,0)*1</f>
        <v>1</v>
      </c>
      <c r="HX191" s="243">
        <f>IF((HV191-HW191)&gt;0,HV191-HW191,0)</f>
        <v>76.007183908045945</v>
      </c>
      <c r="HY191" s="218">
        <f>IF((HW191-HV191)&gt;0,HW191-HV191,0)</f>
        <v>0</v>
      </c>
      <c r="IA191" s="303" t="s">
        <v>374</v>
      </c>
      <c r="IB191" s="304" t="s">
        <v>100</v>
      </c>
      <c r="IC191" s="305" t="s">
        <v>133</v>
      </c>
      <c r="ID191" s="317">
        <f>Konvention_1slave-MUslave</f>
        <v>12</v>
      </c>
      <c r="IE191" s="254"/>
      <c r="IF191" s="254">
        <f>Konvention_1slave-INslave</f>
        <v>12</v>
      </c>
      <c r="IG191" s="254"/>
      <c r="IH191" s="254"/>
      <c r="II191" s="254"/>
      <c r="IJ191" s="254">
        <f>Konvention_1slave-KOslave</f>
        <v>12</v>
      </c>
      <c r="IK191" s="318"/>
      <c r="IL191" s="223">
        <f>(ID191+IE191+IF191+IG191+IH191+II191+IJ191+IK191)/3</f>
        <v>12</v>
      </c>
      <c r="IM191" s="223">
        <f>2*IL191</f>
        <v>24</v>
      </c>
      <c r="IN191" s="224">
        <f>3*IL191</f>
        <v>36</v>
      </c>
      <c r="IO191" s="237">
        <f t="shared" si="1516"/>
        <v>2304</v>
      </c>
      <c r="IP191" s="254">
        <f>ID191*IF191*KOslave+ID191*INslave*IJ191+MUslave*IF191*IJ191</f>
        <v>3456</v>
      </c>
      <c r="IQ191" s="224">
        <f>IFERROR(ID191^SIGN(ID191),1)*IFERROR(IE191^SIGN(IE191),1)*IFERROR(IF191^SIGN(IF191),1)*IFERROR(IG191^SIGN(IG191),1)*IFERROR(IH191^SIGN(IH191),1)*IFERROR(II191^SIGN(II191),1)*IFERROR(IJ191^SIGN(IJ191),1)*IFERROR(IK191^SIGN(IK191),1)</f>
        <v>1728</v>
      </c>
      <c r="IR191" s="224">
        <f t="shared" si="1332"/>
        <v>7488</v>
      </c>
      <c r="IS191" s="222">
        <f>IL191*IO191/IR191</f>
        <v>3.6923076923076925</v>
      </c>
      <c r="IT191" s="223">
        <f>IM191*IP191/IR191</f>
        <v>11.076923076923077</v>
      </c>
      <c r="IU191" s="243">
        <f>IN191*IQ191/IR191</f>
        <v>8.3076923076923084</v>
      </c>
      <c r="IV191" s="243">
        <f>SUM(IS191:IU191)</f>
        <v>23.07692307692308</v>
      </c>
      <c r="IW191" s="252">
        <f t="shared" si="1337"/>
        <v>0</v>
      </c>
      <c r="IX191" s="309">
        <f>IV191-IW191</f>
        <v>23.07692307692308</v>
      </c>
      <c r="IY191" s="218">
        <f>IF(IV191&lt;=0,1,0)+IF(IV191&gt;0,IV191+1,0)*1+IF(IV191&gt;12,IV191-12,0)*1+IF(IV191&gt;13,IV191-13,0)*1+IF(IV191&gt;14,IV191-14,0)*1+IF(IV191&gt;15,IV191-15,0)*1+IF(IV191&gt;16,IV191-16,0)*1+IF(IV191&gt;17,IV191-17,0)*1+IF(IV191&gt;18,IV191-18,0)*1+IF(IV191&gt;19,IV191-19,0)*1+IF(IV191&gt;20,IV191-20,0)*1</f>
        <v>87.769230769230802</v>
      </c>
      <c r="IZ191" s="242">
        <f>IF(IW191&lt;=0,1,0)+IF(IW191&gt;0,IW191+1,0)*1+IF(IW191&gt;12,IW191-12,0)*1+IF(IW191&gt;13,IW191-13,0)*1+IF(IW191&gt;14,IW191-14,0)*1+IF(IW191&gt;15,IW191-15,0)*1+IF(IW191&gt;16,IW191-16,0)*1+IF(IW191&gt;17,IW191-17,0)*1+IF(IW191&gt;18,IW191-18,0)*1+IF(IW191&gt;19,IW191-19,0)*1+IF(IW191&gt;20,IW191-20,0)*1</f>
        <v>1</v>
      </c>
      <c r="JA191" s="243">
        <f>IF((IY191-IZ191)&gt;0,IY191-IZ191,0)</f>
        <v>86.769230769230802</v>
      </c>
      <c r="JB191" s="218">
        <f>IF((IZ191-IY191)&gt;0,IZ191-IY191,0)</f>
        <v>0</v>
      </c>
      <c r="JE191" s="148"/>
    </row>
    <row r="192" spans="2:265" hidden="1" outlineLevel="2">
      <c r="B192" s="148">
        <v>40</v>
      </c>
      <c r="C192" s="303" t="e">
        <f>VLOOKUP(AF192,Attribute!C:T,1,FALSE)</f>
        <v>#N/A</v>
      </c>
      <c r="D192" s="86" t="s">
        <v>87</v>
      </c>
      <c r="E192" s="127" t="s">
        <v>133</v>
      </c>
      <c r="F192" s="114"/>
      <c r="G192" s="113">
        <f>Konvention_1master-KLmaster</f>
        <v>12</v>
      </c>
      <c r="H192" s="113">
        <f>Konvention_1master-INmaster</f>
        <v>12</v>
      </c>
      <c r="I192" s="113">
        <f>Konvention_1master-CHmaster</f>
        <v>12</v>
      </c>
      <c r="J192" s="113"/>
      <c r="K192" s="113"/>
      <c r="L192" s="113"/>
      <c r="M192" s="119"/>
      <c r="N192" s="223">
        <f>(F192+G192+H192+I192+J192+K192+L192+M192)/3</f>
        <v>12</v>
      </c>
      <c r="O192" s="223">
        <f>2*N192</f>
        <v>24</v>
      </c>
      <c r="P192" s="224">
        <f>3*N192</f>
        <v>36</v>
      </c>
      <c r="Q192" s="237">
        <f t="shared" si="1508"/>
        <v>2304</v>
      </c>
      <c r="R192" s="113">
        <f>G192*H192*CHmaster+G192*INmaster*I192+KLmaster*H192*I192</f>
        <v>3456</v>
      </c>
      <c r="S192" s="224">
        <f>IFERROR(F192^SIGN(F192),1)*IFERROR(G192^SIGN(G192),1)*IFERROR(H192^SIGN(H192),1)*IFERROR(I192^SIGN(I192),1)*IFERROR(J192^SIGN(J192),1)*IFERROR(K192^SIGN(K192),1)*IFERROR(L192^SIGN(L192),1)*IFERROR(M192^SIGN(M192),1)</f>
        <v>1728</v>
      </c>
      <c r="T192" s="224">
        <f t="shared" si="1507"/>
        <v>7488</v>
      </c>
      <c r="U192" s="222">
        <f>N192*Q192/T192</f>
        <v>3.6923076923076925</v>
      </c>
      <c r="V192" s="223">
        <f>O192*R192/T192</f>
        <v>11.076923076923077</v>
      </c>
      <c r="W192" s="243">
        <f>P192*S192/T192</f>
        <v>8.3076923076923084</v>
      </c>
      <c r="X192" s="243">
        <f>SUM(U192:W192)</f>
        <v>23.07692307692308</v>
      </c>
      <c r="Y192" s="252">
        <v>0</v>
      </c>
      <c r="Z192" s="198">
        <f>X192-Y192</f>
        <v>23.07692307692308</v>
      </c>
      <c r="AA192" s="125">
        <f>IF(X192&lt;=0,1,0)+IF(X192&gt;0,X192+1,0)*1+IF(X192&gt;12,X192-12,0)*1+IF(X192&gt;13,X192-13,0)*1+IF(X192&gt;14,X192-14,0)*1+IF(X192&gt;15,X192-15,0)*1+IF(X192&gt;16,X192-16,0)*1+IF(X192&gt;17,X192-17,0)*1+IF(X192&gt;18,X192-18,0)*1+IF(X192&gt;19,X192-19,0)*1+IF(X192&gt;20,X192-20,0)*1</f>
        <v>87.769230769230802</v>
      </c>
      <c r="AB192" s="160">
        <f>IF(Y192&lt;=0,1,0)+IF(Y192&gt;0,Y192+1,0)*1+IF(Y192&gt;12,Y192-12,0)*1+IF(Y192&gt;13,Y192-13,0)*1+IF(Y192&gt;14,Y192-14,0)*1+IF(Y192&gt;15,Y192-15,0)*1+IF(Y192&gt;16,Y192-16,0)*1+IF(Y192&gt;17,Y192-17,0)*1+IF(Y192&gt;18,Y192-18,0)*1+IF(Y192&gt;19,Y192-19,0)*1+IF(Y192&gt;20,Y192-20,0)*1</f>
        <v>1</v>
      </c>
      <c r="AC192" s="127">
        <f>IF((AA192-AB192)&gt;0,AA192-AB192,0)</f>
        <v>86.769230769230802</v>
      </c>
      <c r="AD192" s="125">
        <f>IF((AB192-AA192)&gt;0,AB192-AA192,0)</f>
        <v>0</v>
      </c>
      <c r="AF192" s="163" t="s">
        <v>394</v>
      </c>
      <c r="AG192" s="125" t="s">
        <v>87</v>
      </c>
      <c r="AH192" s="127" t="s">
        <v>133</v>
      </c>
      <c r="AI192" s="114"/>
      <c r="AJ192" s="113">
        <f>Konvention_1slave-KLslave</f>
        <v>12</v>
      </c>
      <c r="AK192" s="113">
        <f>Konvention_1slave-INslave</f>
        <v>12</v>
      </c>
      <c r="AL192" s="113">
        <f>Konvention_1slave-CHslave</f>
        <v>12</v>
      </c>
      <c r="AM192" s="113"/>
      <c r="AN192" s="113"/>
      <c r="AO192" s="113"/>
      <c r="AP192" s="119"/>
      <c r="AQ192" s="47">
        <f>(AI192+AJ192+AK192+AL192+AM192+AN192+AO192+AP192)/3</f>
        <v>12</v>
      </c>
      <c r="AR192" s="47">
        <f>2*AQ192</f>
        <v>24</v>
      </c>
      <c r="AS192" s="119">
        <f>3*AQ192</f>
        <v>36</v>
      </c>
      <c r="AT192" s="114">
        <f t="shared" si="1509"/>
        <v>2304</v>
      </c>
      <c r="AU192" s="113">
        <f>AJ192*AK192*CHslave+AJ192*INslave*AL192+KLslave*AK192*AL192</f>
        <v>3456</v>
      </c>
      <c r="AV192" s="119">
        <f>IFERROR(AI192^SIGN(AI192),1)*IFERROR(AJ192^SIGN(AJ192),1)*IFERROR(AK192^SIGN(AK192),1)*IFERROR(AL192^SIGN(AL192),1)*IFERROR(AM192^SIGN(AM192),1)*IFERROR(AN192^SIGN(AN192),1)*IFERROR(AO192^SIGN(AO192),1)*IFERROR(AP192^SIGN(AP192),1)</f>
        <v>1728</v>
      </c>
      <c r="AW192" s="119">
        <f t="shared" si="1255"/>
        <v>7488</v>
      </c>
      <c r="AX192" s="89">
        <f>AQ192*AT192/AW192</f>
        <v>3.6923076923076925</v>
      </c>
      <c r="AY192" s="47">
        <f>AR192*AU192/AW192</f>
        <v>11.076923076923077</v>
      </c>
      <c r="AZ192" s="127">
        <f>AS192*AV192/AW192</f>
        <v>8.3076923076923084</v>
      </c>
      <c r="BA192" s="127">
        <f>SUM(AX192:AZ192)</f>
        <v>23.07692307692308</v>
      </c>
      <c r="BB192" s="165">
        <f t="shared" si="1260"/>
        <v>0</v>
      </c>
      <c r="BC192" s="198">
        <f>BA192-BB192</f>
        <v>23.07692307692308</v>
      </c>
      <c r="BD192" s="125">
        <f>IF(BA192&lt;=0,1,0)+IF(BA192&gt;0,BA192+1,0)*1+IF(BA192&gt;12,BA192-12,0)*1+IF(BA192&gt;13,BA192-13,0)*1+IF(BA192&gt;14,BA192-14,0)*1+IF(BA192&gt;15,BA192-15,0)*1+IF(BA192&gt;16,BA192-16,0)*1+IF(BA192&gt;17,BA192-17,0)*1+IF(BA192&gt;18,BA192-18,0)*1+IF(BA192&gt;19,BA192-19,0)*1+IF(BA192&gt;20,BA192-20,0)*1</f>
        <v>87.769230769230802</v>
      </c>
      <c r="BE192" s="160">
        <f>IF(BB192&lt;=0,1,0)+IF(BB192&gt;0,BB192+1,0)*1+IF(BB192&gt;12,BB192-12,0)*1+IF(BB192&gt;13,BB192-13,0)*1+IF(BB192&gt;14,BB192-14,0)*1+IF(BB192&gt;15,BB192-15,0)*1+IF(BB192&gt;16,BB192-16,0)*1+IF(BB192&gt;17,BB192-17,0)*1+IF(BB192&gt;18,BB192-18,0)*1+IF(BB192&gt;19,BB192-19,0)*1+IF(BB192&gt;20,BB192-20,0)*1</f>
        <v>1</v>
      </c>
      <c r="BF192" s="243">
        <f>IF((BD192-BE192)&gt;0,BD192-BE192,0)</f>
        <v>86.769230769230802</v>
      </c>
      <c r="BG192" s="218">
        <f>IF((BE192-BD192)&gt;0,BE192-BD192,0)</f>
        <v>0</v>
      </c>
      <c r="BI192" s="303" t="s">
        <v>394</v>
      </c>
      <c r="BJ192" s="218" t="s">
        <v>87</v>
      </c>
      <c r="BK192" s="243" t="s">
        <v>133</v>
      </c>
      <c r="BL192" s="237"/>
      <c r="BM192" s="234">
        <f>Konvention_1slave-KLslave_KL</f>
        <v>11</v>
      </c>
      <c r="BN192" s="234">
        <f>Konvention_1slave-INslave</f>
        <v>12</v>
      </c>
      <c r="BO192" s="234">
        <f>Konvention_1slave-CHslave</f>
        <v>12</v>
      </c>
      <c r="BP192" s="234"/>
      <c r="BQ192" s="234"/>
      <c r="BR192" s="234"/>
      <c r="BS192" s="224"/>
      <c r="BT192" s="223">
        <f>(BL192+BM192+BN192+BO192+BP192+BQ192+BR192+BS192)/3</f>
        <v>11.666666666666666</v>
      </c>
      <c r="BU192" s="223">
        <f>2*BT192</f>
        <v>23.333333333333332</v>
      </c>
      <c r="BV192" s="224">
        <f>3*BT192</f>
        <v>35</v>
      </c>
      <c r="BW192" s="237">
        <f t="shared" si="1510"/>
        <v>2432</v>
      </c>
      <c r="BX192" s="234">
        <f>BM192*BN192*CHslave+BM192*INslave*BO192+KLslave_KL*BN192*BO192</f>
        <v>3408</v>
      </c>
      <c r="BY192" s="224">
        <f>IFERROR(BL192^SIGN(BL192),1)*IFERROR(BM192^SIGN(BM192),1)*IFERROR(BN192^SIGN(BN192),1)*IFERROR(BO192^SIGN(BO192),1)*IFERROR(BP192^SIGN(BP192),1)*IFERROR(BQ192^SIGN(BQ192),1)*IFERROR(BR192^SIGN(BR192),1)*IFERROR(BS192^SIGN(BS192),1)</f>
        <v>1584</v>
      </c>
      <c r="BZ192" s="224">
        <f t="shared" si="1266"/>
        <v>7424</v>
      </c>
      <c r="CA192" s="222">
        <f>BT192*BW192/BZ192</f>
        <v>3.8218390804597702</v>
      </c>
      <c r="CB192" s="223">
        <f>BU192*BX192/BZ192</f>
        <v>10.711206896551724</v>
      </c>
      <c r="CC192" s="243">
        <f>BV192*BY192/BZ192</f>
        <v>7.4676724137931032</v>
      </c>
      <c r="CD192" s="243">
        <f>SUM(CA192:CC192)</f>
        <v>22.000718390804597</v>
      </c>
      <c r="CE192" s="252">
        <f t="shared" si="1271"/>
        <v>0</v>
      </c>
      <c r="CF192" s="309">
        <f>CD192-CE192</f>
        <v>22.000718390804597</v>
      </c>
      <c r="CG192" s="218">
        <f>IF(CD192&lt;=0,1,0)+IF(CD192&gt;0,CD192+1,0)*1+IF(CD192&gt;12,CD192-12,0)*1+IF(CD192&gt;13,CD192-13,0)*1+IF(CD192&gt;14,CD192-14,0)*1+IF(CD192&gt;15,CD192-15,0)*1+IF(CD192&gt;16,CD192-16,0)*1+IF(CD192&gt;17,CD192-17,0)*1+IF(CD192&gt;18,CD192-18,0)*1+IF(CD192&gt;19,CD192-19,0)*1+IF(CD192&gt;20,CD192-20,0)*1</f>
        <v>77.007183908045945</v>
      </c>
      <c r="CH192" s="242">
        <f>IF(CE192&lt;=0,1,0)+IF(CE192&gt;0,CE192+1,0)*1+IF(CE192&gt;12,CE192-12,0)*1+IF(CE192&gt;13,CE192-13,0)*1+IF(CE192&gt;14,CE192-14,0)*1+IF(CE192&gt;15,CE192-15,0)*1+IF(CE192&gt;16,CE192-16,0)*1+IF(CE192&gt;17,CE192-17,0)*1+IF(CE192&gt;18,CE192-18,0)*1+IF(CE192&gt;19,CE192-19,0)*1+IF(CE192&gt;20,CE192-20,0)*1</f>
        <v>1</v>
      </c>
      <c r="CI192" s="243">
        <f>IF((CG192-CH192)&gt;0,CG192-CH192,0)</f>
        <v>76.007183908045945</v>
      </c>
      <c r="CJ192" s="218">
        <f>IF((CH192-CG192)&gt;0,CH192-CG192,0)</f>
        <v>0</v>
      </c>
      <c r="CL192" s="303" t="s">
        <v>394</v>
      </c>
      <c r="CM192" s="218" t="s">
        <v>87</v>
      </c>
      <c r="CN192" s="243" t="s">
        <v>133</v>
      </c>
      <c r="CO192" s="237"/>
      <c r="CP192" s="234">
        <f>Konvention_1slave-KLslave</f>
        <v>12</v>
      </c>
      <c r="CQ192" s="234">
        <f>Konvention_1slave-INslave_IN</f>
        <v>11</v>
      </c>
      <c r="CR192" s="234">
        <f>Konvention_1slave-CHslave</f>
        <v>12</v>
      </c>
      <c r="CS192" s="234"/>
      <c r="CT192" s="234"/>
      <c r="CU192" s="234"/>
      <c r="CV192" s="224"/>
      <c r="CW192" s="223">
        <f>(CO192+CP192+CQ192+CR192+CS192+CT192+CU192+CV192)/3</f>
        <v>11.666666666666666</v>
      </c>
      <c r="CX192" s="223">
        <f>2*CW192</f>
        <v>23.333333333333332</v>
      </c>
      <c r="CY192" s="224">
        <f>3*CW192</f>
        <v>35</v>
      </c>
      <c r="CZ192" s="237">
        <f t="shared" si="1511"/>
        <v>2432</v>
      </c>
      <c r="DA192" s="234">
        <f>CP192*CQ192*CHslave+CP192*INslave_IN*CR192+KLslave*CQ192*CR192</f>
        <v>3408</v>
      </c>
      <c r="DB192" s="224">
        <f>IFERROR(CO192^SIGN(CO192),1)*IFERROR(CP192^SIGN(CP192),1)*IFERROR(CQ192^SIGN(CQ192),1)*IFERROR(CR192^SIGN(CR192),1)*IFERROR(CS192^SIGN(CS192),1)*IFERROR(CT192^SIGN(CT192),1)*IFERROR(CU192^SIGN(CU192),1)*IFERROR(CV192^SIGN(CV192),1)</f>
        <v>1584</v>
      </c>
      <c r="DC192" s="224">
        <f t="shared" si="1277"/>
        <v>7424</v>
      </c>
      <c r="DD192" s="222">
        <f>CW192*CZ192/DC192</f>
        <v>3.8218390804597702</v>
      </c>
      <c r="DE192" s="223">
        <f>CX192*DA192/DC192</f>
        <v>10.711206896551724</v>
      </c>
      <c r="DF192" s="243">
        <f>CY192*DB192/DC192</f>
        <v>7.4676724137931032</v>
      </c>
      <c r="DG192" s="243">
        <f>SUM(DD192:DF192)</f>
        <v>22.000718390804597</v>
      </c>
      <c r="DH192" s="252">
        <f t="shared" si="1282"/>
        <v>0</v>
      </c>
      <c r="DI192" s="309">
        <f>DG192-DH192</f>
        <v>22.000718390804597</v>
      </c>
      <c r="DJ192" s="218">
        <f>IF(DG192&lt;=0,1,0)+IF(DG192&gt;0,DG192+1,0)*1+IF(DG192&gt;12,DG192-12,0)*1+IF(DG192&gt;13,DG192-13,0)*1+IF(DG192&gt;14,DG192-14,0)*1+IF(DG192&gt;15,DG192-15,0)*1+IF(DG192&gt;16,DG192-16,0)*1+IF(DG192&gt;17,DG192-17,0)*1+IF(DG192&gt;18,DG192-18,0)*1+IF(DG192&gt;19,DG192-19,0)*1+IF(DG192&gt;20,DG192-20,0)*1</f>
        <v>77.007183908045945</v>
      </c>
      <c r="DK192" s="242">
        <f>IF(DH192&lt;=0,1,0)+IF(DH192&gt;0,DH192+1,0)*1+IF(DH192&gt;12,DH192-12,0)*1+IF(DH192&gt;13,DH192-13,0)*1+IF(DH192&gt;14,DH192-14,0)*1+IF(DH192&gt;15,DH192-15,0)*1+IF(DH192&gt;16,DH192-16,0)*1+IF(DH192&gt;17,DH192-17,0)*1+IF(DH192&gt;18,DH192-18,0)*1+IF(DH192&gt;19,DH192-19,0)*1+IF(DH192&gt;20,DH192-20,0)*1</f>
        <v>1</v>
      </c>
      <c r="DL192" s="243">
        <f>IF((DJ192-DK192)&gt;0,DJ192-DK192,0)</f>
        <v>76.007183908045945</v>
      </c>
      <c r="DM192" s="218">
        <f>IF((DK192-DJ192)&gt;0,DK192-DJ192,0)</f>
        <v>0</v>
      </c>
      <c r="DO192" s="303" t="s">
        <v>394</v>
      </c>
      <c r="DP192" s="218" t="s">
        <v>87</v>
      </c>
      <c r="DQ192" s="243" t="s">
        <v>133</v>
      </c>
      <c r="DR192" s="237"/>
      <c r="DS192" s="234">
        <f>Konvention_1slave-KLslave</f>
        <v>12</v>
      </c>
      <c r="DT192" s="234">
        <f>Konvention_1slave-INslave</f>
        <v>12</v>
      </c>
      <c r="DU192" s="234">
        <f>Konvention_1slave-CHslave_CH</f>
        <v>11</v>
      </c>
      <c r="DV192" s="234"/>
      <c r="DW192" s="234"/>
      <c r="DX192" s="234"/>
      <c r="DY192" s="224"/>
      <c r="DZ192" s="223">
        <f>(DR192+DS192+DT192+DU192+DV192+DW192+DX192+DY192)/3</f>
        <v>11.666666666666666</v>
      </c>
      <c r="EA192" s="223">
        <f>2*DZ192</f>
        <v>23.333333333333332</v>
      </c>
      <c r="EB192" s="224">
        <f>3*DZ192</f>
        <v>35</v>
      </c>
      <c r="EC192" s="237">
        <f t="shared" si="1512"/>
        <v>2432</v>
      </c>
      <c r="ED192" s="234">
        <f>DS192*DT192*CHslave_CH+DS192*INslave*DU192+KLslave*DT192*DU192</f>
        <v>3408</v>
      </c>
      <c r="EE192" s="224">
        <f>IFERROR(DR192^SIGN(DR192),1)*IFERROR(DS192^SIGN(DS192),1)*IFERROR(DT192^SIGN(DT192),1)*IFERROR(DU192^SIGN(DU192),1)*IFERROR(DV192^SIGN(DV192),1)*IFERROR(DW192^SIGN(DW192),1)*IFERROR(DX192^SIGN(DX192),1)*IFERROR(DY192^SIGN(DY192),1)</f>
        <v>1584</v>
      </c>
      <c r="EF192" s="224">
        <f t="shared" si="1288"/>
        <v>7424</v>
      </c>
      <c r="EG192" s="222">
        <f>DZ192*EC192/EF192</f>
        <v>3.8218390804597702</v>
      </c>
      <c r="EH192" s="223">
        <f>EA192*ED192/EF192</f>
        <v>10.711206896551724</v>
      </c>
      <c r="EI192" s="243">
        <f>EB192*EE192/EF192</f>
        <v>7.4676724137931032</v>
      </c>
      <c r="EJ192" s="243">
        <f>SUM(EG192:EI192)</f>
        <v>22.000718390804597</v>
      </c>
      <c r="EK192" s="252">
        <f t="shared" si="1293"/>
        <v>0</v>
      </c>
      <c r="EL192" s="309">
        <f>EJ192-EK192</f>
        <v>22.000718390804597</v>
      </c>
      <c r="EM192" s="218">
        <f>IF(EJ192&lt;=0,1,0)+IF(EJ192&gt;0,EJ192+1,0)*1+IF(EJ192&gt;12,EJ192-12,0)*1+IF(EJ192&gt;13,EJ192-13,0)*1+IF(EJ192&gt;14,EJ192-14,0)*1+IF(EJ192&gt;15,EJ192-15,0)*1+IF(EJ192&gt;16,EJ192-16,0)*1+IF(EJ192&gt;17,EJ192-17,0)*1+IF(EJ192&gt;18,EJ192-18,0)*1+IF(EJ192&gt;19,EJ192-19,0)*1+IF(EJ192&gt;20,EJ192-20,0)*1</f>
        <v>77.007183908045945</v>
      </c>
      <c r="EN192" s="242">
        <f>IF(EK192&lt;=0,1,0)+IF(EK192&gt;0,EK192+1,0)*1+IF(EK192&gt;12,EK192-12,0)*1+IF(EK192&gt;13,EK192-13,0)*1+IF(EK192&gt;14,EK192-14,0)*1+IF(EK192&gt;15,EK192-15,0)*1+IF(EK192&gt;16,EK192-16,0)*1+IF(EK192&gt;17,EK192-17,0)*1+IF(EK192&gt;18,EK192-18,0)*1+IF(EK192&gt;19,EK192-19,0)*1+IF(EK192&gt;20,EK192-20,0)*1</f>
        <v>1</v>
      </c>
      <c r="EO192" s="243">
        <f>IF((EM192-EN192)&gt;0,EM192-EN192,0)</f>
        <v>76.007183908045945</v>
      </c>
      <c r="EP192" s="218">
        <f>IF((EN192-EM192)&gt;0,EN192-EM192,0)</f>
        <v>0</v>
      </c>
      <c r="ER192" s="303" t="s">
        <v>394</v>
      </c>
      <c r="ES192" s="218" t="s">
        <v>87</v>
      </c>
      <c r="ET192" s="243" t="s">
        <v>133</v>
      </c>
      <c r="EU192" s="237"/>
      <c r="EV192" s="234">
        <f>Konvention_1slave-KLslave</f>
        <v>12</v>
      </c>
      <c r="EW192" s="234">
        <f>Konvention_1slave-INslave</f>
        <v>12</v>
      </c>
      <c r="EX192" s="234">
        <f>Konvention_1slave-CHslave</f>
        <v>12</v>
      </c>
      <c r="EY192" s="234"/>
      <c r="EZ192" s="234"/>
      <c r="FA192" s="234"/>
      <c r="FB192" s="224"/>
      <c r="FC192" s="223">
        <f>(EU192+EV192+EW192+EX192+EY192+EZ192+FA192+FB192)/3</f>
        <v>12</v>
      </c>
      <c r="FD192" s="223">
        <f>2*FC192</f>
        <v>24</v>
      </c>
      <c r="FE192" s="224">
        <f>3*FC192</f>
        <v>36</v>
      </c>
      <c r="FF192" s="237">
        <f t="shared" si="1513"/>
        <v>2304</v>
      </c>
      <c r="FG192" s="234">
        <f>EV192*EW192*CHslave+EV192*INslave*EX192+KLslave*EW192*EX192</f>
        <v>3456</v>
      </c>
      <c r="FH192" s="224">
        <f>IFERROR(EU192^SIGN(EU192),1)*IFERROR(EV192^SIGN(EV192),1)*IFERROR(EW192^SIGN(EW192),1)*IFERROR(EX192^SIGN(EX192),1)*IFERROR(EY192^SIGN(EY192),1)*IFERROR(EZ192^SIGN(EZ192),1)*IFERROR(FA192^SIGN(FA192),1)*IFERROR(FB192^SIGN(FB192),1)</f>
        <v>1728</v>
      </c>
      <c r="FI192" s="224">
        <f t="shared" si="1299"/>
        <v>7488</v>
      </c>
      <c r="FJ192" s="222">
        <f>FC192*FF192/FI192</f>
        <v>3.6923076923076925</v>
      </c>
      <c r="FK192" s="223">
        <f>FD192*FG192/FI192</f>
        <v>11.076923076923077</v>
      </c>
      <c r="FL192" s="243">
        <f>FE192*FH192/FI192</f>
        <v>8.3076923076923084</v>
      </c>
      <c r="FM192" s="243">
        <f>SUM(FJ192:FL192)</f>
        <v>23.07692307692308</v>
      </c>
      <c r="FN192" s="252">
        <f t="shared" si="1304"/>
        <v>0</v>
      </c>
      <c r="FO192" s="309">
        <f>FM192-FN192</f>
        <v>23.07692307692308</v>
      </c>
      <c r="FP192" s="218">
        <f>IF(FM192&lt;=0,1,0)+IF(FM192&gt;0,FM192+1,0)*1+IF(FM192&gt;12,FM192-12,0)*1+IF(FM192&gt;13,FM192-13,0)*1+IF(FM192&gt;14,FM192-14,0)*1+IF(FM192&gt;15,FM192-15,0)*1+IF(FM192&gt;16,FM192-16,0)*1+IF(FM192&gt;17,FM192-17,0)*1+IF(FM192&gt;18,FM192-18,0)*1+IF(FM192&gt;19,FM192-19,0)*1+IF(FM192&gt;20,FM192-20,0)*1</f>
        <v>87.769230769230802</v>
      </c>
      <c r="FQ192" s="242">
        <f>IF(FN192&lt;=0,1,0)+IF(FN192&gt;0,FN192+1,0)*1+IF(FN192&gt;12,FN192-12,0)*1+IF(FN192&gt;13,FN192-13,0)*1+IF(FN192&gt;14,FN192-14,0)*1+IF(FN192&gt;15,FN192-15,0)*1+IF(FN192&gt;16,FN192-16,0)*1+IF(FN192&gt;17,FN192-17,0)*1+IF(FN192&gt;18,FN192-18,0)*1+IF(FN192&gt;19,FN192-19,0)*1+IF(FN192&gt;20,FN192-20,0)*1</f>
        <v>1</v>
      </c>
      <c r="FR192" s="243">
        <f>IF((FP192-FQ192)&gt;0,FP192-FQ192,0)</f>
        <v>86.769230769230802</v>
      </c>
      <c r="FS192" s="218">
        <f>IF((FQ192-FP192)&gt;0,FQ192-FP192,0)</f>
        <v>0</v>
      </c>
      <c r="FU192" s="303" t="s">
        <v>394</v>
      </c>
      <c r="FV192" s="218" t="s">
        <v>87</v>
      </c>
      <c r="FW192" s="243" t="s">
        <v>133</v>
      </c>
      <c r="FX192" s="237"/>
      <c r="FY192" s="234">
        <f>Konvention_1slave-KLslave</f>
        <v>12</v>
      </c>
      <c r="FZ192" s="234">
        <f>Konvention_1slave-INslave</f>
        <v>12</v>
      </c>
      <c r="GA192" s="234">
        <f>Konvention_1slave-CHslave</f>
        <v>12</v>
      </c>
      <c r="GB192" s="234"/>
      <c r="GC192" s="234"/>
      <c r="GD192" s="234"/>
      <c r="GE192" s="224"/>
      <c r="GF192" s="223">
        <f>(FX192+FY192+FZ192+GA192+GB192+GC192+GD192+GE192)/3</f>
        <v>12</v>
      </c>
      <c r="GG192" s="223">
        <f>2*GF192</f>
        <v>24</v>
      </c>
      <c r="GH192" s="224">
        <f>3*GF192</f>
        <v>36</v>
      </c>
      <c r="GI192" s="237">
        <f t="shared" si="1514"/>
        <v>2304</v>
      </c>
      <c r="GJ192" s="234">
        <f>FY192*FZ192*CHslave+FY192*INslave*GA192+KLslave*FZ192*GA192</f>
        <v>3456</v>
      </c>
      <c r="GK192" s="224">
        <f>IFERROR(FX192^SIGN(FX192),1)*IFERROR(FY192^SIGN(FY192),1)*IFERROR(FZ192^SIGN(FZ192),1)*IFERROR(GA192^SIGN(GA192),1)*IFERROR(GB192^SIGN(GB192),1)*IFERROR(GC192^SIGN(GC192),1)*IFERROR(GD192^SIGN(GD192),1)*IFERROR(GE192^SIGN(GE192),1)</f>
        <v>1728</v>
      </c>
      <c r="GL192" s="224">
        <f t="shared" si="1310"/>
        <v>7488</v>
      </c>
      <c r="GM192" s="222">
        <f>GF192*GI192/GL192</f>
        <v>3.6923076923076925</v>
      </c>
      <c r="GN192" s="223">
        <f>GG192*GJ192/GL192</f>
        <v>11.076923076923077</v>
      </c>
      <c r="GO192" s="243">
        <f>GH192*GK192/GL192</f>
        <v>8.3076923076923084</v>
      </c>
      <c r="GP192" s="243">
        <f>SUM(GM192:GO192)</f>
        <v>23.07692307692308</v>
      </c>
      <c r="GQ192" s="252">
        <f t="shared" si="1315"/>
        <v>0</v>
      </c>
      <c r="GR192" s="309">
        <f>GP192-GQ192</f>
        <v>23.07692307692308</v>
      </c>
      <c r="GS192" s="218">
        <f>IF(GP192&lt;=0,1,0)+IF(GP192&gt;0,GP192+1,0)*1+IF(GP192&gt;12,GP192-12,0)*1+IF(GP192&gt;13,GP192-13,0)*1+IF(GP192&gt;14,GP192-14,0)*1+IF(GP192&gt;15,GP192-15,0)*1+IF(GP192&gt;16,GP192-16,0)*1+IF(GP192&gt;17,GP192-17,0)*1+IF(GP192&gt;18,GP192-18,0)*1+IF(GP192&gt;19,GP192-19,0)*1+IF(GP192&gt;20,GP192-20,0)*1</f>
        <v>87.769230769230802</v>
      </c>
      <c r="GT192" s="242">
        <f>IF(GQ192&lt;=0,1,0)+IF(GQ192&gt;0,GQ192+1,0)*1+IF(GQ192&gt;12,GQ192-12,0)*1+IF(GQ192&gt;13,GQ192-13,0)*1+IF(GQ192&gt;14,GQ192-14,0)*1+IF(GQ192&gt;15,GQ192-15,0)*1+IF(GQ192&gt;16,GQ192-16,0)*1+IF(GQ192&gt;17,GQ192-17,0)*1+IF(GQ192&gt;18,GQ192-18,0)*1+IF(GQ192&gt;19,GQ192-19,0)*1+IF(GQ192&gt;20,GQ192-20,0)*1</f>
        <v>1</v>
      </c>
      <c r="GU192" s="243">
        <f>IF((GS192-GT192)&gt;0,GS192-GT192,0)</f>
        <v>86.769230769230802</v>
      </c>
      <c r="GV192" s="218">
        <f>IF((GT192-GS192)&gt;0,GT192-GS192,0)</f>
        <v>0</v>
      </c>
      <c r="GX192" s="303" t="s">
        <v>394</v>
      </c>
      <c r="GY192" s="218" t="s">
        <v>87</v>
      </c>
      <c r="GZ192" s="243" t="s">
        <v>133</v>
      </c>
      <c r="HA192" s="237"/>
      <c r="HB192" s="234">
        <f>Konvention_1slave-KLslave</f>
        <v>12</v>
      </c>
      <c r="HC192" s="234">
        <f>Konvention_1slave-INslave</f>
        <v>12</v>
      </c>
      <c r="HD192" s="234">
        <f>Konvention_1slave-CHslave</f>
        <v>12</v>
      </c>
      <c r="HE192" s="234"/>
      <c r="HF192" s="234"/>
      <c r="HG192" s="234"/>
      <c r="HH192" s="224"/>
      <c r="HI192" s="223">
        <f>(HA192+HB192+HC192+HD192+HE192+HF192+HG192+HH192)/3</f>
        <v>12</v>
      </c>
      <c r="HJ192" s="223">
        <f>2*HI192</f>
        <v>24</v>
      </c>
      <c r="HK192" s="224">
        <f>3*HI192</f>
        <v>36</v>
      </c>
      <c r="HL192" s="237">
        <f t="shared" si="1515"/>
        <v>2304</v>
      </c>
      <c r="HM192" s="234">
        <f>HB192*HC192*CHslave+HB192*INslave*HD192+KLslave*HC192*HD192</f>
        <v>3456</v>
      </c>
      <c r="HN192" s="224">
        <f>IFERROR(HA192^SIGN(HA192),1)*IFERROR(HB192^SIGN(HB192),1)*IFERROR(HC192^SIGN(HC192),1)*IFERROR(HD192^SIGN(HD192),1)*IFERROR(HE192^SIGN(HE192),1)*IFERROR(HF192^SIGN(HF192),1)*IFERROR(HG192^SIGN(HG192),1)*IFERROR(HH192^SIGN(HH192),1)</f>
        <v>1728</v>
      </c>
      <c r="HO192" s="224">
        <f t="shared" si="1321"/>
        <v>7488</v>
      </c>
      <c r="HP192" s="222">
        <f>HI192*HL192/HO192</f>
        <v>3.6923076923076925</v>
      </c>
      <c r="HQ192" s="223">
        <f>HJ192*HM192/HO192</f>
        <v>11.076923076923077</v>
      </c>
      <c r="HR192" s="243">
        <f>HK192*HN192/HO192</f>
        <v>8.3076923076923084</v>
      </c>
      <c r="HS192" s="243">
        <f>SUM(HP192:HR192)</f>
        <v>23.07692307692308</v>
      </c>
      <c r="HT192" s="252">
        <f t="shared" si="1326"/>
        <v>0</v>
      </c>
      <c r="HU192" s="309">
        <f>HS192-HT192</f>
        <v>23.07692307692308</v>
      </c>
      <c r="HV192" s="218">
        <f>IF(HS192&lt;=0,1,0)+IF(HS192&gt;0,HS192+1,0)*1+IF(HS192&gt;12,HS192-12,0)*1+IF(HS192&gt;13,HS192-13,0)*1+IF(HS192&gt;14,HS192-14,0)*1+IF(HS192&gt;15,HS192-15,0)*1+IF(HS192&gt;16,HS192-16,0)*1+IF(HS192&gt;17,HS192-17,0)*1+IF(HS192&gt;18,HS192-18,0)*1+IF(HS192&gt;19,HS192-19,0)*1+IF(HS192&gt;20,HS192-20,0)*1</f>
        <v>87.769230769230802</v>
      </c>
      <c r="HW192" s="242">
        <f>IF(HT192&lt;=0,1,0)+IF(HT192&gt;0,HT192+1,0)*1+IF(HT192&gt;12,HT192-12,0)*1+IF(HT192&gt;13,HT192-13,0)*1+IF(HT192&gt;14,HT192-14,0)*1+IF(HT192&gt;15,HT192-15,0)*1+IF(HT192&gt;16,HT192-16,0)*1+IF(HT192&gt;17,HT192-17,0)*1+IF(HT192&gt;18,HT192-18,0)*1+IF(HT192&gt;19,HT192-19,0)*1+IF(HT192&gt;20,HT192-20,0)*1</f>
        <v>1</v>
      </c>
      <c r="HX192" s="243">
        <f>IF((HV192-HW192)&gt;0,HV192-HW192,0)</f>
        <v>86.769230769230802</v>
      </c>
      <c r="HY192" s="218">
        <f>IF((HW192-HV192)&gt;0,HW192-HV192,0)</f>
        <v>0</v>
      </c>
      <c r="IA192" s="303" t="s">
        <v>394</v>
      </c>
      <c r="IB192" s="218" t="s">
        <v>87</v>
      </c>
      <c r="IC192" s="243" t="s">
        <v>133</v>
      </c>
      <c r="ID192" s="237"/>
      <c r="IE192" s="234">
        <f>Konvention_1slave-KLslave</f>
        <v>12</v>
      </c>
      <c r="IF192" s="234">
        <f>Konvention_1slave-INslave</f>
        <v>12</v>
      </c>
      <c r="IG192" s="234">
        <f>Konvention_1slave-CHslave</f>
        <v>12</v>
      </c>
      <c r="IH192" s="234"/>
      <c r="II192" s="234"/>
      <c r="IJ192" s="234"/>
      <c r="IK192" s="224"/>
      <c r="IL192" s="223">
        <f>(ID192+IE192+IF192+IG192+IH192+II192+IJ192+IK192)/3</f>
        <v>12</v>
      </c>
      <c r="IM192" s="223">
        <f>2*IL192</f>
        <v>24</v>
      </c>
      <c r="IN192" s="224">
        <f>3*IL192</f>
        <v>36</v>
      </c>
      <c r="IO192" s="237">
        <f t="shared" si="1516"/>
        <v>2304</v>
      </c>
      <c r="IP192" s="234">
        <f>IE192*IF192*CHslave+IE192*INslave*IG192+KLslave*IF192*IG192</f>
        <v>3456</v>
      </c>
      <c r="IQ192" s="224">
        <f>IFERROR(ID192^SIGN(ID192),1)*IFERROR(IE192^SIGN(IE192),1)*IFERROR(IF192^SIGN(IF192),1)*IFERROR(IG192^SIGN(IG192),1)*IFERROR(IH192^SIGN(IH192),1)*IFERROR(II192^SIGN(II192),1)*IFERROR(IJ192^SIGN(IJ192),1)*IFERROR(IK192^SIGN(IK192),1)</f>
        <v>1728</v>
      </c>
      <c r="IR192" s="224">
        <f t="shared" si="1332"/>
        <v>7488</v>
      </c>
      <c r="IS192" s="222">
        <f>IL192*IO192/IR192</f>
        <v>3.6923076923076925</v>
      </c>
      <c r="IT192" s="223">
        <f>IM192*IP192/IR192</f>
        <v>11.076923076923077</v>
      </c>
      <c r="IU192" s="243">
        <f>IN192*IQ192/IR192</f>
        <v>8.3076923076923084</v>
      </c>
      <c r="IV192" s="243">
        <f>SUM(IS192:IU192)</f>
        <v>23.07692307692308</v>
      </c>
      <c r="IW192" s="252">
        <f t="shared" si="1337"/>
        <v>0</v>
      </c>
      <c r="IX192" s="309">
        <f>IV192-IW192</f>
        <v>23.07692307692308</v>
      </c>
      <c r="IY192" s="218">
        <f>IF(IV192&lt;=0,1,0)+IF(IV192&gt;0,IV192+1,0)*1+IF(IV192&gt;12,IV192-12,0)*1+IF(IV192&gt;13,IV192-13,0)*1+IF(IV192&gt;14,IV192-14,0)*1+IF(IV192&gt;15,IV192-15,0)*1+IF(IV192&gt;16,IV192-16,0)*1+IF(IV192&gt;17,IV192-17,0)*1+IF(IV192&gt;18,IV192-18,0)*1+IF(IV192&gt;19,IV192-19,0)*1+IF(IV192&gt;20,IV192-20,0)*1</f>
        <v>87.769230769230802</v>
      </c>
      <c r="IZ192" s="242">
        <f>IF(IW192&lt;=0,1,0)+IF(IW192&gt;0,IW192+1,0)*1+IF(IW192&gt;12,IW192-12,0)*1+IF(IW192&gt;13,IW192-13,0)*1+IF(IW192&gt;14,IW192-14,0)*1+IF(IW192&gt;15,IW192-15,0)*1+IF(IW192&gt;16,IW192-16,0)*1+IF(IW192&gt;17,IW192-17,0)*1+IF(IW192&gt;18,IW192-18,0)*1+IF(IW192&gt;19,IW192-19,0)*1+IF(IW192&gt;20,IW192-20,0)*1</f>
        <v>1</v>
      </c>
      <c r="JA192" s="243">
        <f>IF((IY192-IZ192)&gt;0,IY192-IZ192,0)</f>
        <v>86.769230769230802</v>
      </c>
      <c r="JB192" s="218">
        <f>IF((IZ192-IY192)&gt;0,IZ192-IY192,0)</f>
        <v>0</v>
      </c>
      <c r="JE192" s="148"/>
    </row>
    <row r="193" spans="2:265" ht="15" hidden="1" customHeight="1" outlineLevel="2">
      <c r="B193" s="148">
        <v>41</v>
      </c>
      <c r="C193" s="303" t="e">
        <f>VLOOKUP(AF193,Attribute!C:T,1,FALSE)</f>
        <v>#N/A</v>
      </c>
      <c r="D193" s="86" t="s">
        <v>172</v>
      </c>
      <c r="E193" s="167" t="s">
        <v>132</v>
      </c>
      <c r="F193" s="120">
        <f t="shared" si="1488"/>
        <v>12</v>
      </c>
      <c r="G193" s="117"/>
      <c r="H193" s="117"/>
      <c r="I193" s="117">
        <f>Konvention_1master-CHmaster</f>
        <v>12</v>
      </c>
      <c r="J193" s="117"/>
      <c r="K193" s="117">
        <f>Konvention_1master-GEmaster</f>
        <v>12</v>
      </c>
      <c r="L193" s="117"/>
      <c r="M193" s="121"/>
      <c r="N193" s="223">
        <f t="shared" si="1359"/>
        <v>12</v>
      </c>
      <c r="O193" s="223">
        <f t="shared" si="1360"/>
        <v>24</v>
      </c>
      <c r="P193" s="224">
        <f t="shared" si="1361"/>
        <v>36</v>
      </c>
      <c r="Q193" s="237">
        <f t="shared" si="1508"/>
        <v>2304</v>
      </c>
      <c r="R193" s="117">
        <f>F193*I193*GEmaster+F193*CHmaster*K193+MUmaster*I193*K193</f>
        <v>3456</v>
      </c>
      <c r="S193" s="224">
        <f t="shared" si="1362"/>
        <v>1728</v>
      </c>
      <c r="T193" s="224">
        <f t="shared" si="1507"/>
        <v>7488</v>
      </c>
      <c r="U193" s="222">
        <f t="shared" si="1363"/>
        <v>3.6923076923076925</v>
      </c>
      <c r="V193" s="223">
        <f t="shared" si="1364"/>
        <v>11.076923076923077</v>
      </c>
      <c r="W193" s="243">
        <f t="shared" si="1365"/>
        <v>8.3076923076923084</v>
      </c>
      <c r="X193" s="243">
        <f t="shared" si="1366"/>
        <v>23.07692307692308</v>
      </c>
      <c r="Y193" s="252">
        <v>0</v>
      </c>
      <c r="Z193" s="198">
        <f t="shared" si="1367"/>
        <v>23.07692307692308</v>
      </c>
      <c r="AA193" s="125">
        <f>IF(X193&lt;=0,2,0)+IF(X193&gt;0,X193+1,0)*2+IF(X193&gt;12,X193-12,0)*2+IF(X193&gt;13,X193-13,0)*2+IF(X193&gt;14,X193-14,0)*2+IF(X193&gt;15,X193-15,0)*2+IF(X193&gt;16,X193-16,0)*2+IF(X193&gt;17,X193-17,0)*2+IF(X193&gt;18,X193-18,0)*2+IF(X193&gt;19,X193-19,0)*2+IF(X193&gt;20,X193-20,0)*2</f>
        <v>175.5384615384616</v>
      </c>
      <c r="AB193" s="160">
        <f>IF(Y193&lt;=0,2,0)+IF(Y193&gt;0,Y193+1,0)*2+IF(Y193&gt;12,Y193-12,0)*2+IF(Y193&gt;13,Y193-13,0)*2+IF(Y193&gt;14,Y193-14,0)*2+IF(Y193&gt;15,Y193-15,0)*2+IF(Y193&gt;16,Y193-16,0)*2+IF(Y193&gt;17,Y193-17,0)*2+IF(Y193&gt;18,Y193-18,0)*2+IF(Y193&gt;19,Y193-19,0)*2+IF(Y193&gt;20,Y193-20,0)*2</f>
        <v>2</v>
      </c>
      <c r="AC193" s="127">
        <f t="shared" si="1368"/>
        <v>173.5384615384616</v>
      </c>
      <c r="AD193" s="125">
        <f t="shared" si="1369"/>
        <v>0</v>
      </c>
      <c r="AF193" s="163" t="s">
        <v>289</v>
      </c>
      <c r="AG193" s="86" t="s">
        <v>172</v>
      </c>
      <c r="AH193" s="167" t="s">
        <v>132</v>
      </c>
      <c r="AI193" s="120">
        <f>Konvention_1slave-MUslave_MU</f>
        <v>11</v>
      </c>
      <c r="AJ193" s="117"/>
      <c r="AK193" s="117"/>
      <c r="AL193" s="117">
        <f>Konvention_1slave-CHslave</f>
        <v>12</v>
      </c>
      <c r="AM193" s="117"/>
      <c r="AN193" s="117">
        <f>Konvention_1slave-GEslave</f>
        <v>12</v>
      </c>
      <c r="AO193" s="117"/>
      <c r="AP193" s="121"/>
      <c r="AQ193" s="47">
        <f t="shared" si="1370"/>
        <v>11.666666666666666</v>
      </c>
      <c r="AR193" s="3">
        <f t="shared" si="1371"/>
        <v>23.333333333333332</v>
      </c>
      <c r="AS193" s="174">
        <f t="shared" si="1372"/>
        <v>35</v>
      </c>
      <c r="AT193" s="114">
        <f t="shared" si="1509"/>
        <v>2432</v>
      </c>
      <c r="AU193" s="117">
        <f>AI193*AL193*GEslave+AI193*CHslave*AN193+MUslave_MU*AL193*AN193</f>
        <v>3408</v>
      </c>
      <c r="AV193" s="119">
        <f t="shared" si="1373"/>
        <v>1584</v>
      </c>
      <c r="AW193" s="119">
        <f t="shared" si="1255"/>
        <v>7424</v>
      </c>
      <c r="AX193" s="89">
        <f t="shared" si="1374"/>
        <v>3.8218390804597702</v>
      </c>
      <c r="AY193" s="47">
        <f t="shared" si="1375"/>
        <v>10.711206896551724</v>
      </c>
      <c r="AZ193" s="127">
        <f t="shared" si="1376"/>
        <v>7.4676724137931032</v>
      </c>
      <c r="BA193" s="127">
        <f t="shared" si="1377"/>
        <v>22.000718390804597</v>
      </c>
      <c r="BB193" s="165">
        <f t="shared" si="1260"/>
        <v>0</v>
      </c>
      <c r="BC193" s="198">
        <f t="shared" si="1378"/>
        <v>22.000718390804597</v>
      </c>
      <c r="BD193" s="125">
        <f>IF(BA193&lt;=0,2,0)+IF(BA193&gt;0,BA193+1,0)*2+IF(BA193&gt;12,BA193-12,0)*2+IF(BA193&gt;13,BA193-13,0)*2+IF(BA193&gt;14,BA193-14,0)*2+IF(BA193&gt;15,BA193-15,0)*2+IF(BA193&gt;16,BA193-16,0)*2+IF(BA193&gt;17,BA193-17,0)*2+IF(BA193&gt;18,BA193-18,0)*2+IF(BA193&gt;19,BA193-19,0)*2+IF(BA193&gt;20,BA193-20,0)*2</f>
        <v>154.01436781609189</v>
      </c>
      <c r="BE193" s="160">
        <f>IF(BB193&lt;=0,2,0)+IF(BB193&gt;0,BB193+1,0)*2+IF(BB193&gt;12,BB193-12,0)*2+IF(BB193&gt;13,BB193-13,0)*2+IF(BB193&gt;14,BB193-14,0)*2+IF(BB193&gt;15,BB193-15,0)*2+IF(BB193&gt;16,BB193-16,0)*2+IF(BB193&gt;17,BB193-17,0)*2+IF(BB193&gt;18,BB193-18,0)*2+IF(BB193&gt;19,BB193-19,0)*2+IF(BB193&gt;20,BB193-20,0)*2</f>
        <v>2</v>
      </c>
      <c r="BF193" s="243">
        <f t="shared" si="1379"/>
        <v>152.01436781609189</v>
      </c>
      <c r="BG193" s="218">
        <f t="shared" si="1380"/>
        <v>0</v>
      </c>
      <c r="BI193" s="303" t="s">
        <v>289</v>
      </c>
      <c r="BJ193" s="304" t="s">
        <v>172</v>
      </c>
      <c r="BK193" s="305" t="s">
        <v>132</v>
      </c>
      <c r="BL193" s="317">
        <f>Konvention_1slave-MUslave</f>
        <v>12</v>
      </c>
      <c r="BM193" s="254"/>
      <c r="BN193" s="254"/>
      <c r="BO193" s="254">
        <f>Konvention_1slave-CHslave</f>
        <v>12</v>
      </c>
      <c r="BP193" s="254"/>
      <c r="BQ193" s="254">
        <f>Konvention_1slave-GEslave</f>
        <v>12</v>
      </c>
      <c r="BR193" s="254"/>
      <c r="BS193" s="318"/>
      <c r="BT193" s="223">
        <f t="shared" si="1381"/>
        <v>12</v>
      </c>
      <c r="BU193" s="223">
        <f t="shared" si="1382"/>
        <v>24</v>
      </c>
      <c r="BV193" s="224">
        <f t="shared" si="1383"/>
        <v>36</v>
      </c>
      <c r="BW193" s="237">
        <f t="shared" si="1510"/>
        <v>2304</v>
      </c>
      <c r="BX193" s="254">
        <f>BL193*BO193*GEslave+BL193*CHslave*BQ193+MUslave*BO193*BQ193</f>
        <v>3456</v>
      </c>
      <c r="BY193" s="224">
        <f t="shared" si="1384"/>
        <v>1728</v>
      </c>
      <c r="BZ193" s="224">
        <f t="shared" si="1266"/>
        <v>7488</v>
      </c>
      <c r="CA193" s="222">
        <f t="shared" si="1385"/>
        <v>3.6923076923076925</v>
      </c>
      <c r="CB193" s="223">
        <f t="shared" si="1386"/>
        <v>11.076923076923077</v>
      </c>
      <c r="CC193" s="243">
        <f t="shared" si="1387"/>
        <v>8.3076923076923084</v>
      </c>
      <c r="CD193" s="243">
        <f t="shared" si="1388"/>
        <v>23.07692307692308</v>
      </c>
      <c r="CE193" s="252">
        <f t="shared" si="1271"/>
        <v>0</v>
      </c>
      <c r="CF193" s="309">
        <f t="shared" si="1389"/>
        <v>23.07692307692308</v>
      </c>
      <c r="CG193" s="218">
        <f>IF(CD193&lt;=0,2,0)+IF(CD193&gt;0,CD193+1,0)*2+IF(CD193&gt;12,CD193-12,0)*2+IF(CD193&gt;13,CD193-13,0)*2+IF(CD193&gt;14,CD193-14,0)*2+IF(CD193&gt;15,CD193-15,0)*2+IF(CD193&gt;16,CD193-16,0)*2+IF(CD193&gt;17,CD193-17,0)*2+IF(CD193&gt;18,CD193-18,0)*2+IF(CD193&gt;19,CD193-19,0)*2+IF(CD193&gt;20,CD193-20,0)*2</f>
        <v>175.5384615384616</v>
      </c>
      <c r="CH193" s="242">
        <f>IF(CE193&lt;=0,2,0)+IF(CE193&gt;0,CE193+1,0)*2+IF(CE193&gt;12,CE193-12,0)*2+IF(CE193&gt;13,CE193-13,0)*2+IF(CE193&gt;14,CE193-14,0)*2+IF(CE193&gt;15,CE193-15,0)*2+IF(CE193&gt;16,CE193-16,0)*2+IF(CE193&gt;17,CE193-17,0)*2+IF(CE193&gt;18,CE193-18,0)*2+IF(CE193&gt;19,CE193-19,0)*2+IF(CE193&gt;20,CE193-20,0)*2</f>
        <v>2</v>
      </c>
      <c r="CI193" s="243">
        <f t="shared" si="1390"/>
        <v>173.5384615384616</v>
      </c>
      <c r="CJ193" s="218">
        <f t="shared" si="1391"/>
        <v>0</v>
      </c>
      <c r="CL193" s="303" t="s">
        <v>289</v>
      </c>
      <c r="CM193" s="304" t="s">
        <v>172</v>
      </c>
      <c r="CN193" s="305" t="s">
        <v>132</v>
      </c>
      <c r="CO193" s="317">
        <f>Konvention_1slave-MUslave</f>
        <v>12</v>
      </c>
      <c r="CP193" s="254"/>
      <c r="CQ193" s="254"/>
      <c r="CR193" s="254">
        <f>Konvention_1slave-CHslave</f>
        <v>12</v>
      </c>
      <c r="CS193" s="254"/>
      <c r="CT193" s="254">
        <f>Konvention_1slave-GEslave</f>
        <v>12</v>
      </c>
      <c r="CU193" s="254"/>
      <c r="CV193" s="318"/>
      <c r="CW193" s="223">
        <f t="shared" si="1392"/>
        <v>12</v>
      </c>
      <c r="CX193" s="223">
        <f t="shared" si="1393"/>
        <v>24</v>
      </c>
      <c r="CY193" s="224">
        <f t="shared" si="1394"/>
        <v>36</v>
      </c>
      <c r="CZ193" s="237">
        <f t="shared" si="1511"/>
        <v>2304</v>
      </c>
      <c r="DA193" s="254">
        <f>CO193*CR193*GEslave+CO193*CHslave*CT193+MUslave*CR193*CT193</f>
        <v>3456</v>
      </c>
      <c r="DB193" s="224">
        <f t="shared" si="1395"/>
        <v>1728</v>
      </c>
      <c r="DC193" s="224">
        <f t="shared" si="1277"/>
        <v>7488</v>
      </c>
      <c r="DD193" s="222">
        <f t="shared" si="1396"/>
        <v>3.6923076923076925</v>
      </c>
      <c r="DE193" s="223">
        <f t="shared" si="1397"/>
        <v>11.076923076923077</v>
      </c>
      <c r="DF193" s="243">
        <f t="shared" si="1398"/>
        <v>8.3076923076923084</v>
      </c>
      <c r="DG193" s="243">
        <f t="shared" si="1399"/>
        <v>23.07692307692308</v>
      </c>
      <c r="DH193" s="252">
        <f t="shared" si="1282"/>
        <v>0</v>
      </c>
      <c r="DI193" s="309">
        <f t="shared" si="1400"/>
        <v>23.07692307692308</v>
      </c>
      <c r="DJ193" s="218">
        <f>IF(DG193&lt;=0,2,0)+IF(DG193&gt;0,DG193+1,0)*2+IF(DG193&gt;12,DG193-12,0)*2+IF(DG193&gt;13,DG193-13,0)*2+IF(DG193&gt;14,DG193-14,0)*2+IF(DG193&gt;15,DG193-15,0)*2+IF(DG193&gt;16,DG193-16,0)*2+IF(DG193&gt;17,DG193-17,0)*2+IF(DG193&gt;18,DG193-18,0)*2+IF(DG193&gt;19,DG193-19,0)*2+IF(DG193&gt;20,DG193-20,0)*2</f>
        <v>175.5384615384616</v>
      </c>
      <c r="DK193" s="242">
        <f>IF(DH193&lt;=0,2,0)+IF(DH193&gt;0,DH193+1,0)*2+IF(DH193&gt;12,DH193-12,0)*2+IF(DH193&gt;13,DH193-13,0)*2+IF(DH193&gt;14,DH193-14,0)*2+IF(DH193&gt;15,DH193-15,0)*2+IF(DH193&gt;16,DH193-16,0)*2+IF(DH193&gt;17,DH193-17,0)*2+IF(DH193&gt;18,DH193-18,0)*2+IF(DH193&gt;19,DH193-19,0)*2+IF(DH193&gt;20,DH193-20,0)*2</f>
        <v>2</v>
      </c>
      <c r="DL193" s="243">
        <f t="shared" si="1401"/>
        <v>173.5384615384616</v>
      </c>
      <c r="DM193" s="218">
        <f t="shared" si="1402"/>
        <v>0</v>
      </c>
      <c r="DO193" s="303" t="s">
        <v>289</v>
      </c>
      <c r="DP193" s="304" t="s">
        <v>172</v>
      </c>
      <c r="DQ193" s="305" t="s">
        <v>132</v>
      </c>
      <c r="DR193" s="317">
        <f>Konvention_1slave-MUslave</f>
        <v>12</v>
      </c>
      <c r="DS193" s="254"/>
      <c r="DT193" s="254"/>
      <c r="DU193" s="254">
        <f>Konvention_1slave-CHslave_CH</f>
        <v>11</v>
      </c>
      <c r="DV193" s="254"/>
      <c r="DW193" s="254">
        <f>Konvention_1slave-GEslave</f>
        <v>12</v>
      </c>
      <c r="DX193" s="254"/>
      <c r="DY193" s="318"/>
      <c r="DZ193" s="223">
        <f t="shared" si="1403"/>
        <v>11.666666666666666</v>
      </c>
      <c r="EA193" s="223">
        <f t="shared" si="1404"/>
        <v>23.333333333333332</v>
      </c>
      <c r="EB193" s="224">
        <f t="shared" si="1405"/>
        <v>35</v>
      </c>
      <c r="EC193" s="237">
        <f t="shared" si="1512"/>
        <v>2432</v>
      </c>
      <c r="ED193" s="254">
        <f>DR193*DU193*GEslave+DR193*CHslave_CH*DW193+MUslave*DU193*DW193</f>
        <v>3408</v>
      </c>
      <c r="EE193" s="224">
        <f t="shared" si="1406"/>
        <v>1584</v>
      </c>
      <c r="EF193" s="224">
        <f t="shared" si="1288"/>
        <v>7424</v>
      </c>
      <c r="EG193" s="222">
        <f t="shared" si="1407"/>
        <v>3.8218390804597702</v>
      </c>
      <c r="EH193" s="223">
        <f t="shared" si="1408"/>
        <v>10.711206896551724</v>
      </c>
      <c r="EI193" s="243">
        <f t="shared" si="1409"/>
        <v>7.4676724137931032</v>
      </c>
      <c r="EJ193" s="243">
        <f t="shared" si="1410"/>
        <v>22.000718390804597</v>
      </c>
      <c r="EK193" s="252">
        <f t="shared" si="1293"/>
        <v>0</v>
      </c>
      <c r="EL193" s="309">
        <f t="shared" si="1411"/>
        <v>22.000718390804597</v>
      </c>
      <c r="EM193" s="218">
        <f>IF(EJ193&lt;=0,2,0)+IF(EJ193&gt;0,EJ193+1,0)*2+IF(EJ193&gt;12,EJ193-12,0)*2+IF(EJ193&gt;13,EJ193-13,0)*2+IF(EJ193&gt;14,EJ193-14,0)*2+IF(EJ193&gt;15,EJ193-15,0)*2+IF(EJ193&gt;16,EJ193-16,0)*2+IF(EJ193&gt;17,EJ193-17,0)*2+IF(EJ193&gt;18,EJ193-18,0)*2+IF(EJ193&gt;19,EJ193-19,0)*2+IF(EJ193&gt;20,EJ193-20,0)*2</f>
        <v>154.01436781609189</v>
      </c>
      <c r="EN193" s="242">
        <f>IF(EK193&lt;=0,2,0)+IF(EK193&gt;0,EK193+1,0)*2+IF(EK193&gt;12,EK193-12,0)*2+IF(EK193&gt;13,EK193-13,0)*2+IF(EK193&gt;14,EK193-14,0)*2+IF(EK193&gt;15,EK193-15,0)*2+IF(EK193&gt;16,EK193-16,0)*2+IF(EK193&gt;17,EK193-17,0)*2+IF(EK193&gt;18,EK193-18,0)*2+IF(EK193&gt;19,EK193-19,0)*2+IF(EK193&gt;20,EK193-20,0)*2</f>
        <v>2</v>
      </c>
      <c r="EO193" s="243">
        <f t="shared" si="1412"/>
        <v>152.01436781609189</v>
      </c>
      <c r="EP193" s="218">
        <f t="shared" si="1413"/>
        <v>0</v>
      </c>
      <c r="ER193" s="303" t="s">
        <v>289</v>
      </c>
      <c r="ES193" s="304" t="s">
        <v>172</v>
      </c>
      <c r="ET193" s="305" t="s">
        <v>132</v>
      </c>
      <c r="EU193" s="317">
        <f>Konvention_1slave-MUslave</f>
        <v>12</v>
      </c>
      <c r="EV193" s="254"/>
      <c r="EW193" s="254"/>
      <c r="EX193" s="254">
        <f>Konvention_1slave-CHslave</f>
        <v>12</v>
      </c>
      <c r="EY193" s="254"/>
      <c r="EZ193" s="254">
        <f>Konvention_1slave-GEslave</f>
        <v>12</v>
      </c>
      <c r="FA193" s="254"/>
      <c r="FB193" s="318"/>
      <c r="FC193" s="223">
        <f t="shared" si="1414"/>
        <v>12</v>
      </c>
      <c r="FD193" s="223">
        <f t="shared" si="1415"/>
        <v>24</v>
      </c>
      <c r="FE193" s="224">
        <f t="shared" si="1416"/>
        <v>36</v>
      </c>
      <c r="FF193" s="237">
        <f t="shared" si="1513"/>
        <v>2304</v>
      </c>
      <c r="FG193" s="254">
        <f>EU193*EX193*GEslave+EU193*CHslave*EZ193+MUslave*EX193*EZ193</f>
        <v>3456</v>
      </c>
      <c r="FH193" s="224">
        <f t="shared" si="1417"/>
        <v>1728</v>
      </c>
      <c r="FI193" s="224">
        <f t="shared" si="1299"/>
        <v>7488</v>
      </c>
      <c r="FJ193" s="222">
        <f t="shared" si="1418"/>
        <v>3.6923076923076925</v>
      </c>
      <c r="FK193" s="223">
        <f t="shared" si="1419"/>
        <v>11.076923076923077</v>
      </c>
      <c r="FL193" s="243">
        <f t="shared" si="1420"/>
        <v>8.3076923076923084</v>
      </c>
      <c r="FM193" s="243">
        <f t="shared" si="1421"/>
        <v>23.07692307692308</v>
      </c>
      <c r="FN193" s="252">
        <f t="shared" si="1304"/>
        <v>0</v>
      </c>
      <c r="FO193" s="309">
        <f t="shared" si="1422"/>
        <v>23.07692307692308</v>
      </c>
      <c r="FP193" s="218">
        <f>IF(FM193&lt;=0,2,0)+IF(FM193&gt;0,FM193+1,0)*2+IF(FM193&gt;12,FM193-12,0)*2+IF(FM193&gt;13,FM193-13,0)*2+IF(FM193&gt;14,FM193-14,0)*2+IF(FM193&gt;15,FM193-15,0)*2+IF(FM193&gt;16,FM193-16,0)*2+IF(FM193&gt;17,FM193-17,0)*2+IF(FM193&gt;18,FM193-18,0)*2+IF(FM193&gt;19,FM193-19,0)*2+IF(FM193&gt;20,FM193-20,0)*2</f>
        <v>175.5384615384616</v>
      </c>
      <c r="FQ193" s="242">
        <f>IF(FN193&lt;=0,2,0)+IF(FN193&gt;0,FN193+1,0)*2+IF(FN193&gt;12,FN193-12,0)*2+IF(FN193&gt;13,FN193-13,0)*2+IF(FN193&gt;14,FN193-14,0)*2+IF(FN193&gt;15,FN193-15,0)*2+IF(FN193&gt;16,FN193-16,0)*2+IF(FN193&gt;17,FN193-17,0)*2+IF(FN193&gt;18,FN193-18,0)*2+IF(FN193&gt;19,FN193-19,0)*2+IF(FN193&gt;20,FN193-20,0)*2</f>
        <v>2</v>
      </c>
      <c r="FR193" s="243">
        <f t="shared" si="1423"/>
        <v>173.5384615384616</v>
      </c>
      <c r="FS193" s="218">
        <f t="shared" si="1424"/>
        <v>0</v>
      </c>
      <c r="FU193" s="303" t="s">
        <v>289</v>
      </c>
      <c r="FV193" s="304" t="s">
        <v>172</v>
      </c>
      <c r="FW193" s="305" t="s">
        <v>132</v>
      </c>
      <c r="FX193" s="317">
        <f>Konvention_1slave-MUslave</f>
        <v>12</v>
      </c>
      <c r="FY193" s="254"/>
      <c r="FZ193" s="254"/>
      <c r="GA193" s="254">
        <f>Konvention_1slave-CHslave</f>
        <v>12</v>
      </c>
      <c r="GB193" s="254"/>
      <c r="GC193" s="254">
        <f>Konvention_1slave-GEslave_GE</f>
        <v>11</v>
      </c>
      <c r="GD193" s="254"/>
      <c r="GE193" s="318"/>
      <c r="GF193" s="223">
        <f t="shared" si="1425"/>
        <v>11.666666666666666</v>
      </c>
      <c r="GG193" s="223">
        <f t="shared" si="1426"/>
        <v>23.333333333333332</v>
      </c>
      <c r="GH193" s="224">
        <f t="shared" si="1427"/>
        <v>35</v>
      </c>
      <c r="GI193" s="237">
        <f t="shared" si="1514"/>
        <v>2432</v>
      </c>
      <c r="GJ193" s="254">
        <f>FX193*GA193*GEslave_GE+FX193*CHslave*GC193+MUslave*GA193*GC193</f>
        <v>3408</v>
      </c>
      <c r="GK193" s="224">
        <f t="shared" si="1428"/>
        <v>1584</v>
      </c>
      <c r="GL193" s="224">
        <f t="shared" si="1310"/>
        <v>7424</v>
      </c>
      <c r="GM193" s="222">
        <f t="shared" si="1429"/>
        <v>3.8218390804597702</v>
      </c>
      <c r="GN193" s="223">
        <f t="shared" si="1430"/>
        <v>10.711206896551724</v>
      </c>
      <c r="GO193" s="243">
        <f t="shared" si="1431"/>
        <v>7.4676724137931032</v>
      </c>
      <c r="GP193" s="243">
        <f t="shared" si="1432"/>
        <v>22.000718390804597</v>
      </c>
      <c r="GQ193" s="252">
        <f t="shared" si="1315"/>
        <v>0</v>
      </c>
      <c r="GR193" s="309">
        <f t="shared" si="1433"/>
        <v>22.000718390804597</v>
      </c>
      <c r="GS193" s="218">
        <f>IF(GP193&lt;=0,2,0)+IF(GP193&gt;0,GP193+1,0)*2+IF(GP193&gt;12,GP193-12,0)*2+IF(GP193&gt;13,GP193-13,0)*2+IF(GP193&gt;14,GP193-14,0)*2+IF(GP193&gt;15,GP193-15,0)*2+IF(GP193&gt;16,GP193-16,0)*2+IF(GP193&gt;17,GP193-17,0)*2+IF(GP193&gt;18,GP193-18,0)*2+IF(GP193&gt;19,GP193-19,0)*2+IF(GP193&gt;20,GP193-20,0)*2</f>
        <v>154.01436781609189</v>
      </c>
      <c r="GT193" s="242">
        <f>IF(GQ193&lt;=0,2,0)+IF(GQ193&gt;0,GQ193+1,0)*2+IF(GQ193&gt;12,GQ193-12,0)*2+IF(GQ193&gt;13,GQ193-13,0)*2+IF(GQ193&gt;14,GQ193-14,0)*2+IF(GQ193&gt;15,GQ193-15,0)*2+IF(GQ193&gt;16,GQ193-16,0)*2+IF(GQ193&gt;17,GQ193-17,0)*2+IF(GQ193&gt;18,GQ193-18,0)*2+IF(GQ193&gt;19,GQ193-19,0)*2+IF(GQ193&gt;20,GQ193-20,0)*2</f>
        <v>2</v>
      </c>
      <c r="GU193" s="243">
        <f t="shared" si="1434"/>
        <v>152.01436781609189</v>
      </c>
      <c r="GV193" s="218">
        <f t="shared" si="1435"/>
        <v>0</v>
      </c>
      <c r="GX193" s="303" t="s">
        <v>289</v>
      </c>
      <c r="GY193" s="304" t="s">
        <v>172</v>
      </c>
      <c r="GZ193" s="305" t="s">
        <v>132</v>
      </c>
      <c r="HA193" s="317">
        <f>Konvention_1slave-MUslave</f>
        <v>12</v>
      </c>
      <c r="HB193" s="254"/>
      <c r="HC193" s="254"/>
      <c r="HD193" s="254">
        <f>Konvention_1slave-CHslave</f>
        <v>12</v>
      </c>
      <c r="HE193" s="254"/>
      <c r="HF193" s="254">
        <f>Konvention_1slave-GEslave</f>
        <v>12</v>
      </c>
      <c r="HG193" s="254"/>
      <c r="HH193" s="318"/>
      <c r="HI193" s="223">
        <f t="shared" si="1436"/>
        <v>12</v>
      </c>
      <c r="HJ193" s="223">
        <f t="shared" si="1437"/>
        <v>24</v>
      </c>
      <c r="HK193" s="224">
        <f t="shared" si="1438"/>
        <v>36</v>
      </c>
      <c r="HL193" s="237">
        <f t="shared" si="1515"/>
        <v>2304</v>
      </c>
      <c r="HM193" s="254">
        <f>HA193*HD193*GEslave+HA193*CHslave*HF193+MUslave*HD193*HF193</f>
        <v>3456</v>
      </c>
      <c r="HN193" s="224">
        <f t="shared" si="1439"/>
        <v>1728</v>
      </c>
      <c r="HO193" s="224">
        <f t="shared" si="1321"/>
        <v>7488</v>
      </c>
      <c r="HP193" s="222">
        <f t="shared" si="1440"/>
        <v>3.6923076923076925</v>
      </c>
      <c r="HQ193" s="223">
        <f t="shared" si="1441"/>
        <v>11.076923076923077</v>
      </c>
      <c r="HR193" s="243">
        <f t="shared" si="1442"/>
        <v>8.3076923076923084</v>
      </c>
      <c r="HS193" s="243">
        <f t="shared" si="1443"/>
        <v>23.07692307692308</v>
      </c>
      <c r="HT193" s="252">
        <f t="shared" si="1326"/>
        <v>0</v>
      </c>
      <c r="HU193" s="309">
        <f t="shared" si="1444"/>
        <v>23.07692307692308</v>
      </c>
      <c r="HV193" s="218">
        <f>IF(HS193&lt;=0,2,0)+IF(HS193&gt;0,HS193+1,0)*2+IF(HS193&gt;12,HS193-12,0)*2+IF(HS193&gt;13,HS193-13,0)*2+IF(HS193&gt;14,HS193-14,0)*2+IF(HS193&gt;15,HS193-15,0)*2+IF(HS193&gt;16,HS193-16,0)*2+IF(HS193&gt;17,HS193-17,0)*2+IF(HS193&gt;18,HS193-18,0)*2+IF(HS193&gt;19,HS193-19,0)*2+IF(HS193&gt;20,HS193-20,0)*2</f>
        <v>175.5384615384616</v>
      </c>
      <c r="HW193" s="242">
        <f>IF(HT193&lt;=0,2,0)+IF(HT193&gt;0,HT193+1,0)*2+IF(HT193&gt;12,HT193-12,0)*2+IF(HT193&gt;13,HT193-13,0)*2+IF(HT193&gt;14,HT193-14,0)*2+IF(HT193&gt;15,HT193-15,0)*2+IF(HT193&gt;16,HT193-16,0)*2+IF(HT193&gt;17,HT193-17,0)*2+IF(HT193&gt;18,HT193-18,0)*2+IF(HT193&gt;19,HT193-19,0)*2+IF(HT193&gt;20,HT193-20,0)*2</f>
        <v>2</v>
      </c>
      <c r="HX193" s="243">
        <f t="shared" si="1445"/>
        <v>173.5384615384616</v>
      </c>
      <c r="HY193" s="218">
        <f t="shared" si="1446"/>
        <v>0</v>
      </c>
      <c r="IA193" s="303" t="s">
        <v>289</v>
      </c>
      <c r="IB193" s="304" t="s">
        <v>172</v>
      </c>
      <c r="IC193" s="305" t="s">
        <v>132</v>
      </c>
      <c r="ID193" s="317">
        <f>Konvention_1slave-MUslave</f>
        <v>12</v>
      </c>
      <c r="IE193" s="254"/>
      <c r="IF193" s="254"/>
      <c r="IG193" s="254">
        <f>Konvention_1slave-CHslave</f>
        <v>12</v>
      </c>
      <c r="IH193" s="254"/>
      <c r="II193" s="254">
        <f>Konvention_1slave-GEslave</f>
        <v>12</v>
      </c>
      <c r="IJ193" s="254"/>
      <c r="IK193" s="318"/>
      <c r="IL193" s="223">
        <f t="shared" si="1447"/>
        <v>12</v>
      </c>
      <c r="IM193" s="223">
        <f t="shared" si="1448"/>
        <v>24</v>
      </c>
      <c r="IN193" s="224">
        <f t="shared" si="1449"/>
        <v>36</v>
      </c>
      <c r="IO193" s="237">
        <f t="shared" si="1516"/>
        <v>2304</v>
      </c>
      <c r="IP193" s="254">
        <f>ID193*IG193*GEslave+ID193*CHslave*II193+MUslave*IG193*II193</f>
        <v>3456</v>
      </c>
      <c r="IQ193" s="224">
        <f t="shared" si="1450"/>
        <v>1728</v>
      </c>
      <c r="IR193" s="224">
        <f t="shared" si="1332"/>
        <v>7488</v>
      </c>
      <c r="IS193" s="222">
        <f t="shared" si="1451"/>
        <v>3.6923076923076925</v>
      </c>
      <c r="IT193" s="223">
        <f t="shared" si="1452"/>
        <v>11.076923076923077</v>
      </c>
      <c r="IU193" s="243">
        <f t="shared" si="1453"/>
        <v>8.3076923076923084</v>
      </c>
      <c r="IV193" s="243">
        <f t="shared" si="1454"/>
        <v>23.07692307692308</v>
      </c>
      <c r="IW193" s="252">
        <f t="shared" si="1337"/>
        <v>0</v>
      </c>
      <c r="IX193" s="309">
        <f t="shared" si="1455"/>
        <v>23.07692307692308</v>
      </c>
      <c r="IY193" s="218">
        <f>IF(IV193&lt;=0,2,0)+IF(IV193&gt;0,IV193+1,0)*2+IF(IV193&gt;12,IV193-12,0)*2+IF(IV193&gt;13,IV193-13,0)*2+IF(IV193&gt;14,IV193-14,0)*2+IF(IV193&gt;15,IV193-15,0)*2+IF(IV193&gt;16,IV193-16,0)*2+IF(IV193&gt;17,IV193-17,0)*2+IF(IV193&gt;18,IV193-18,0)*2+IF(IV193&gt;19,IV193-19,0)*2+IF(IV193&gt;20,IV193-20,0)*2</f>
        <v>175.5384615384616</v>
      </c>
      <c r="IZ193" s="242">
        <f>IF(IW193&lt;=0,2,0)+IF(IW193&gt;0,IW193+1,0)*2+IF(IW193&gt;12,IW193-12,0)*2+IF(IW193&gt;13,IW193-13,0)*2+IF(IW193&gt;14,IW193-14,0)*2+IF(IW193&gt;15,IW193-15,0)*2+IF(IW193&gt;16,IW193-16,0)*2+IF(IW193&gt;17,IW193-17,0)*2+IF(IW193&gt;18,IW193-18,0)*2+IF(IW193&gt;19,IW193-19,0)*2+IF(IW193&gt;20,IW193-20,0)*2</f>
        <v>2</v>
      </c>
      <c r="JA193" s="243">
        <f t="shared" si="1456"/>
        <v>173.5384615384616</v>
      </c>
      <c r="JB193" s="218">
        <f t="shared" si="1457"/>
        <v>0</v>
      </c>
      <c r="JE193" s="148"/>
    </row>
    <row r="194" spans="2:265" ht="15" hidden="1" customHeight="1" outlineLevel="2">
      <c r="B194" s="148">
        <v>42</v>
      </c>
      <c r="C194" s="303" t="e">
        <f>VLOOKUP(AF194,Attribute!C:T,1,FALSE)</f>
        <v>#N/A</v>
      </c>
      <c r="D194" s="86" t="s">
        <v>440</v>
      </c>
      <c r="E194" s="167" t="s">
        <v>133</v>
      </c>
      <c r="F194" s="120"/>
      <c r="G194" s="117">
        <f t="shared" ref="G194:G202" si="1517">Konvention_1master-KLmaster</f>
        <v>12</v>
      </c>
      <c r="H194" s="117"/>
      <c r="I194" s="117">
        <f>Konvention_1master-CHmaster</f>
        <v>12</v>
      </c>
      <c r="J194" s="117">
        <f>Konvention_1master-FFmaster</f>
        <v>12</v>
      </c>
      <c r="K194" s="117"/>
      <c r="L194" s="117"/>
      <c r="M194" s="121"/>
      <c r="N194" s="223">
        <f t="shared" si="1359"/>
        <v>12</v>
      </c>
      <c r="O194" s="223">
        <f>2*N194</f>
        <v>24</v>
      </c>
      <c r="P194" s="224">
        <f>3*N194</f>
        <v>36</v>
      </c>
      <c r="Q194" s="237">
        <f t="shared" si="1508"/>
        <v>2304</v>
      </c>
      <c r="R194" s="117">
        <f>G194*I194*FFmaster+G194*CHmaster*J194+KLmaster*I194*J194</f>
        <v>3456</v>
      </c>
      <c r="S194" s="224">
        <f>IFERROR(F194^SIGN(F194),1)*IFERROR(G194^SIGN(G194),1)*IFERROR(H194^SIGN(H194),1)*IFERROR(I194^SIGN(I194),1)*IFERROR(J194^SIGN(J194),1)*IFERROR(K194^SIGN(K194),1)*IFERROR(L194^SIGN(L194),1)*IFERROR(M194^SIGN(M194),1)</f>
        <v>1728</v>
      </c>
      <c r="T194" s="224">
        <f t="shared" si="1507"/>
        <v>7488</v>
      </c>
      <c r="U194" s="222">
        <f>N194*Q194/T194</f>
        <v>3.6923076923076925</v>
      </c>
      <c r="V194" s="223">
        <f>O194*R194/T194</f>
        <v>11.076923076923077</v>
      </c>
      <c r="W194" s="243">
        <f>P194*S194/T194</f>
        <v>8.3076923076923084</v>
      </c>
      <c r="X194" s="243">
        <f>SUM(U194:W194)</f>
        <v>23.07692307692308</v>
      </c>
      <c r="Y194" s="252">
        <v>0</v>
      </c>
      <c r="Z194" s="198">
        <f>X194-Y194</f>
        <v>23.07692307692308</v>
      </c>
      <c r="AA194" s="125">
        <f>IF(X194&lt;=0,1,0)+IF(X194&gt;0,X194+1,0)*1+IF(X194&gt;12,X194-12,0)*1+IF(X194&gt;13,X194-13,0)*1+IF(X194&gt;14,X194-14,0)*1+IF(X194&gt;15,X194-15,0)*1+IF(X194&gt;16,X194-16,0)*1+IF(X194&gt;17,X194-17,0)*1+IF(X194&gt;18,X194-18,0)*1+IF(X194&gt;19,X194-19,0)*1+IF(X194&gt;20,X194-20,0)*1</f>
        <v>87.769230769230802</v>
      </c>
      <c r="AB194" s="160">
        <f>IF(Y194&lt;=0,1,0)+IF(Y194&gt;0,Y194+1,0)*1+IF(Y194&gt;12,Y194-12,0)*1+IF(Y194&gt;13,Y194-13,0)*1+IF(Y194&gt;14,Y194-14,0)*1+IF(Y194&gt;15,Y194-15,0)*1+IF(Y194&gt;16,Y194-16,0)*1+IF(Y194&gt;17,Y194-17,0)*1+IF(Y194&gt;18,Y194-18,0)*1+IF(Y194&gt;19,Y194-19,0)*1+IF(Y194&gt;20,Y194-20,0)*1</f>
        <v>1</v>
      </c>
      <c r="AC194" s="127">
        <f>IF((AA194-AB194)&gt;0,AA194-AB194,0)</f>
        <v>86.769230769230802</v>
      </c>
      <c r="AD194" s="125">
        <f>IF((AB194-AA194)&gt;0,AB194-AA194,0)</f>
        <v>0</v>
      </c>
      <c r="AF194" s="163" t="s">
        <v>395</v>
      </c>
      <c r="AG194" s="86" t="s">
        <v>440</v>
      </c>
      <c r="AH194" s="167" t="s">
        <v>133</v>
      </c>
      <c r="AI194" s="120"/>
      <c r="AJ194" s="117">
        <f>Konvention_1slave-KLslave</f>
        <v>12</v>
      </c>
      <c r="AK194" s="117"/>
      <c r="AL194" s="117">
        <f>Konvention_1slave-CHslave</f>
        <v>12</v>
      </c>
      <c r="AM194" s="117">
        <f>Konvention_1slave-FFslave</f>
        <v>12</v>
      </c>
      <c r="AN194" s="117"/>
      <c r="AO194" s="117"/>
      <c r="AP194" s="121"/>
      <c r="AQ194" s="47">
        <f t="shared" si="1370"/>
        <v>12</v>
      </c>
      <c r="AR194" s="3">
        <f>2*AQ194</f>
        <v>24</v>
      </c>
      <c r="AS194" s="174">
        <f>3*AQ194</f>
        <v>36</v>
      </c>
      <c r="AT194" s="114">
        <f t="shared" si="1509"/>
        <v>2304</v>
      </c>
      <c r="AU194" s="117">
        <f>AJ194*AL194*FFslave+AJ194*CHslave*AM194+KLslave*AL194*AM194</f>
        <v>3456</v>
      </c>
      <c r="AV194" s="119">
        <f>IFERROR(AI194^SIGN(AI194),1)*IFERROR(AJ194^SIGN(AJ194),1)*IFERROR(AK194^SIGN(AK194),1)*IFERROR(AL194^SIGN(AL194),1)*IFERROR(AM194^SIGN(AM194),1)*IFERROR(AN194^SIGN(AN194),1)*IFERROR(AO194^SIGN(AO194),1)*IFERROR(AP194^SIGN(AP194),1)</f>
        <v>1728</v>
      </c>
      <c r="AW194" s="119">
        <f t="shared" si="1255"/>
        <v>7488</v>
      </c>
      <c r="AX194" s="89">
        <f>AQ194*AT194/AW194</f>
        <v>3.6923076923076925</v>
      </c>
      <c r="AY194" s="47">
        <f>AR194*AU194/AW194</f>
        <v>11.076923076923077</v>
      </c>
      <c r="AZ194" s="127">
        <f>AS194*AV194/AW194</f>
        <v>8.3076923076923084</v>
      </c>
      <c r="BA194" s="127">
        <f>SUM(AX194:AZ194)</f>
        <v>23.07692307692308</v>
      </c>
      <c r="BB194" s="165">
        <f t="shared" si="1260"/>
        <v>0</v>
      </c>
      <c r="BC194" s="198">
        <f>BA194-BB194</f>
        <v>23.07692307692308</v>
      </c>
      <c r="BD194" s="125">
        <f>IF(BA194&lt;=0,1,0)+IF(BA194&gt;0,BA194+1,0)*1+IF(BA194&gt;12,BA194-12,0)*1+IF(BA194&gt;13,BA194-13,0)*1+IF(BA194&gt;14,BA194-14,0)*1+IF(BA194&gt;15,BA194-15,0)*1+IF(BA194&gt;16,BA194-16,0)*1+IF(BA194&gt;17,BA194-17,0)*1+IF(BA194&gt;18,BA194-18,0)*1+IF(BA194&gt;19,BA194-19,0)*1+IF(BA194&gt;20,BA194-20,0)*1</f>
        <v>87.769230769230802</v>
      </c>
      <c r="BE194" s="160">
        <f>IF(BB194&lt;=0,1,0)+IF(BB194&gt;0,BB194+1,0)*1+IF(BB194&gt;12,BB194-12,0)*1+IF(BB194&gt;13,BB194-13,0)*1+IF(BB194&gt;14,BB194-14,0)*1+IF(BB194&gt;15,BB194-15,0)*1+IF(BB194&gt;16,BB194-16,0)*1+IF(BB194&gt;17,BB194-17,0)*1+IF(BB194&gt;18,BB194-18,0)*1+IF(BB194&gt;19,BB194-19,0)*1+IF(BB194&gt;20,BB194-20,0)*1</f>
        <v>1</v>
      </c>
      <c r="BF194" s="243">
        <f>IF((BD194-BE194)&gt;0,BD194-BE194,0)</f>
        <v>86.769230769230802</v>
      </c>
      <c r="BG194" s="218">
        <f>IF((BE194-BD194)&gt;0,BE194-BD194,0)</f>
        <v>0</v>
      </c>
      <c r="BI194" s="303" t="s">
        <v>395</v>
      </c>
      <c r="BJ194" s="304" t="s">
        <v>440</v>
      </c>
      <c r="BK194" s="305" t="s">
        <v>133</v>
      </c>
      <c r="BL194" s="317"/>
      <c r="BM194" s="254">
        <f t="shared" ref="BM194:BM202" si="1518">Konvention_1slave-KLslave_KL</f>
        <v>11</v>
      </c>
      <c r="BN194" s="254"/>
      <c r="BO194" s="254">
        <f>Konvention_1slave-CHslave</f>
        <v>12</v>
      </c>
      <c r="BP194" s="254">
        <f>Konvention_1slave-FFslave</f>
        <v>12</v>
      </c>
      <c r="BQ194" s="254"/>
      <c r="BR194" s="254"/>
      <c r="BS194" s="318"/>
      <c r="BT194" s="223">
        <f t="shared" si="1381"/>
        <v>11.666666666666666</v>
      </c>
      <c r="BU194" s="223">
        <f>2*BT194</f>
        <v>23.333333333333332</v>
      </c>
      <c r="BV194" s="224">
        <f>3*BT194</f>
        <v>35</v>
      </c>
      <c r="BW194" s="237">
        <f t="shared" si="1510"/>
        <v>2432</v>
      </c>
      <c r="BX194" s="254">
        <f>BM194*BO194*FFslave+BM194*CHslave*BP194+KLslave_KL*BO194*BP194</f>
        <v>3408</v>
      </c>
      <c r="BY194" s="224">
        <f>IFERROR(BL194^SIGN(BL194),1)*IFERROR(BM194^SIGN(BM194),1)*IFERROR(BN194^SIGN(BN194),1)*IFERROR(BO194^SIGN(BO194),1)*IFERROR(BP194^SIGN(BP194),1)*IFERROR(BQ194^SIGN(BQ194),1)*IFERROR(BR194^SIGN(BR194),1)*IFERROR(BS194^SIGN(BS194),1)</f>
        <v>1584</v>
      </c>
      <c r="BZ194" s="224">
        <f t="shared" si="1266"/>
        <v>7424</v>
      </c>
      <c r="CA194" s="222">
        <f>BT194*BW194/BZ194</f>
        <v>3.8218390804597702</v>
      </c>
      <c r="CB194" s="223">
        <f>BU194*BX194/BZ194</f>
        <v>10.711206896551724</v>
      </c>
      <c r="CC194" s="243">
        <f>BV194*BY194/BZ194</f>
        <v>7.4676724137931032</v>
      </c>
      <c r="CD194" s="243">
        <f>SUM(CA194:CC194)</f>
        <v>22.000718390804597</v>
      </c>
      <c r="CE194" s="252">
        <f t="shared" si="1271"/>
        <v>0</v>
      </c>
      <c r="CF194" s="309">
        <f>CD194-CE194</f>
        <v>22.000718390804597</v>
      </c>
      <c r="CG194" s="218">
        <f>IF(CD194&lt;=0,1,0)+IF(CD194&gt;0,CD194+1,0)*1+IF(CD194&gt;12,CD194-12,0)*1+IF(CD194&gt;13,CD194-13,0)*1+IF(CD194&gt;14,CD194-14,0)*1+IF(CD194&gt;15,CD194-15,0)*1+IF(CD194&gt;16,CD194-16,0)*1+IF(CD194&gt;17,CD194-17,0)*1+IF(CD194&gt;18,CD194-18,0)*1+IF(CD194&gt;19,CD194-19,0)*1+IF(CD194&gt;20,CD194-20,0)*1</f>
        <v>77.007183908045945</v>
      </c>
      <c r="CH194" s="242">
        <f>IF(CE194&lt;=0,1,0)+IF(CE194&gt;0,CE194+1,0)*1+IF(CE194&gt;12,CE194-12,0)*1+IF(CE194&gt;13,CE194-13,0)*1+IF(CE194&gt;14,CE194-14,0)*1+IF(CE194&gt;15,CE194-15,0)*1+IF(CE194&gt;16,CE194-16,0)*1+IF(CE194&gt;17,CE194-17,0)*1+IF(CE194&gt;18,CE194-18,0)*1+IF(CE194&gt;19,CE194-19,0)*1+IF(CE194&gt;20,CE194-20,0)*1</f>
        <v>1</v>
      </c>
      <c r="CI194" s="243">
        <f>IF((CG194-CH194)&gt;0,CG194-CH194,0)</f>
        <v>76.007183908045945</v>
      </c>
      <c r="CJ194" s="218">
        <f>IF((CH194-CG194)&gt;0,CH194-CG194,0)</f>
        <v>0</v>
      </c>
      <c r="CL194" s="303" t="s">
        <v>395</v>
      </c>
      <c r="CM194" s="304" t="s">
        <v>440</v>
      </c>
      <c r="CN194" s="305" t="s">
        <v>133</v>
      </c>
      <c r="CO194" s="317"/>
      <c r="CP194" s="254">
        <f>Konvention_1slave-KLslave</f>
        <v>12</v>
      </c>
      <c r="CQ194" s="254"/>
      <c r="CR194" s="254">
        <f>Konvention_1slave-CHslave</f>
        <v>12</v>
      </c>
      <c r="CS194" s="254">
        <f>Konvention_1slave-FFslave</f>
        <v>12</v>
      </c>
      <c r="CT194" s="254"/>
      <c r="CU194" s="254"/>
      <c r="CV194" s="318"/>
      <c r="CW194" s="223">
        <f t="shared" si="1392"/>
        <v>12</v>
      </c>
      <c r="CX194" s="223">
        <f>2*CW194</f>
        <v>24</v>
      </c>
      <c r="CY194" s="224">
        <f>3*CW194</f>
        <v>36</v>
      </c>
      <c r="CZ194" s="237">
        <f t="shared" si="1511"/>
        <v>2304</v>
      </c>
      <c r="DA194" s="254">
        <f>CP194*CR194*FFslave+CP194*CHslave*CS194+KLslave*CR194*CS194</f>
        <v>3456</v>
      </c>
      <c r="DB194" s="224">
        <f>IFERROR(CO194^SIGN(CO194),1)*IFERROR(CP194^SIGN(CP194),1)*IFERROR(CQ194^SIGN(CQ194),1)*IFERROR(CR194^SIGN(CR194),1)*IFERROR(CS194^SIGN(CS194),1)*IFERROR(CT194^SIGN(CT194),1)*IFERROR(CU194^SIGN(CU194),1)*IFERROR(CV194^SIGN(CV194),1)</f>
        <v>1728</v>
      </c>
      <c r="DC194" s="224">
        <f t="shared" si="1277"/>
        <v>7488</v>
      </c>
      <c r="DD194" s="222">
        <f>CW194*CZ194/DC194</f>
        <v>3.6923076923076925</v>
      </c>
      <c r="DE194" s="223">
        <f>CX194*DA194/DC194</f>
        <v>11.076923076923077</v>
      </c>
      <c r="DF194" s="243">
        <f>CY194*DB194/DC194</f>
        <v>8.3076923076923084</v>
      </c>
      <c r="DG194" s="243">
        <f>SUM(DD194:DF194)</f>
        <v>23.07692307692308</v>
      </c>
      <c r="DH194" s="252">
        <f t="shared" si="1282"/>
        <v>0</v>
      </c>
      <c r="DI194" s="309">
        <f>DG194-DH194</f>
        <v>23.07692307692308</v>
      </c>
      <c r="DJ194" s="218">
        <f>IF(DG194&lt;=0,1,0)+IF(DG194&gt;0,DG194+1,0)*1+IF(DG194&gt;12,DG194-12,0)*1+IF(DG194&gt;13,DG194-13,0)*1+IF(DG194&gt;14,DG194-14,0)*1+IF(DG194&gt;15,DG194-15,0)*1+IF(DG194&gt;16,DG194-16,0)*1+IF(DG194&gt;17,DG194-17,0)*1+IF(DG194&gt;18,DG194-18,0)*1+IF(DG194&gt;19,DG194-19,0)*1+IF(DG194&gt;20,DG194-20,0)*1</f>
        <v>87.769230769230802</v>
      </c>
      <c r="DK194" s="242">
        <f>IF(DH194&lt;=0,1,0)+IF(DH194&gt;0,DH194+1,0)*1+IF(DH194&gt;12,DH194-12,0)*1+IF(DH194&gt;13,DH194-13,0)*1+IF(DH194&gt;14,DH194-14,0)*1+IF(DH194&gt;15,DH194-15,0)*1+IF(DH194&gt;16,DH194-16,0)*1+IF(DH194&gt;17,DH194-17,0)*1+IF(DH194&gt;18,DH194-18,0)*1+IF(DH194&gt;19,DH194-19,0)*1+IF(DH194&gt;20,DH194-20,0)*1</f>
        <v>1</v>
      </c>
      <c r="DL194" s="243">
        <f>IF((DJ194-DK194)&gt;0,DJ194-DK194,0)</f>
        <v>86.769230769230802</v>
      </c>
      <c r="DM194" s="218">
        <f>IF((DK194-DJ194)&gt;0,DK194-DJ194,0)</f>
        <v>0</v>
      </c>
      <c r="DO194" s="303" t="s">
        <v>395</v>
      </c>
      <c r="DP194" s="304" t="s">
        <v>440</v>
      </c>
      <c r="DQ194" s="305" t="s">
        <v>133</v>
      </c>
      <c r="DR194" s="317"/>
      <c r="DS194" s="254">
        <f>Konvention_1slave-KLslave</f>
        <v>12</v>
      </c>
      <c r="DT194" s="254"/>
      <c r="DU194" s="254">
        <f>Konvention_1slave-CHslave_CH</f>
        <v>11</v>
      </c>
      <c r="DV194" s="254">
        <f>Konvention_1slave-FFslave</f>
        <v>12</v>
      </c>
      <c r="DW194" s="254"/>
      <c r="DX194" s="254"/>
      <c r="DY194" s="318"/>
      <c r="DZ194" s="223">
        <f t="shared" si="1403"/>
        <v>11.666666666666666</v>
      </c>
      <c r="EA194" s="223">
        <f>2*DZ194</f>
        <v>23.333333333333332</v>
      </c>
      <c r="EB194" s="224">
        <f>3*DZ194</f>
        <v>35</v>
      </c>
      <c r="EC194" s="237">
        <f t="shared" si="1512"/>
        <v>2432</v>
      </c>
      <c r="ED194" s="254">
        <f>DS194*DU194*FFslave+DS194*CHslave_CH*DV194+KLslave*DU194*DV194</f>
        <v>3408</v>
      </c>
      <c r="EE194" s="224">
        <f>IFERROR(DR194^SIGN(DR194),1)*IFERROR(DS194^SIGN(DS194),1)*IFERROR(DT194^SIGN(DT194),1)*IFERROR(DU194^SIGN(DU194),1)*IFERROR(DV194^SIGN(DV194),1)*IFERROR(DW194^SIGN(DW194),1)*IFERROR(DX194^SIGN(DX194),1)*IFERROR(DY194^SIGN(DY194),1)</f>
        <v>1584</v>
      </c>
      <c r="EF194" s="224">
        <f t="shared" si="1288"/>
        <v>7424</v>
      </c>
      <c r="EG194" s="222">
        <f>DZ194*EC194/EF194</f>
        <v>3.8218390804597702</v>
      </c>
      <c r="EH194" s="223">
        <f>EA194*ED194/EF194</f>
        <v>10.711206896551724</v>
      </c>
      <c r="EI194" s="243">
        <f>EB194*EE194/EF194</f>
        <v>7.4676724137931032</v>
      </c>
      <c r="EJ194" s="243">
        <f>SUM(EG194:EI194)</f>
        <v>22.000718390804597</v>
      </c>
      <c r="EK194" s="252">
        <f t="shared" si="1293"/>
        <v>0</v>
      </c>
      <c r="EL194" s="309">
        <f>EJ194-EK194</f>
        <v>22.000718390804597</v>
      </c>
      <c r="EM194" s="218">
        <f>IF(EJ194&lt;=0,1,0)+IF(EJ194&gt;0,EJ194+1,0)*1+IF(EJ194&gt;12,EJ194-12,0)*1+IF(EJ194&gt;13,EJ194-13,0)*1+IF(EJ194&gt;14,EJ194-14,0)*1+IF(EJ194&gt;15,EJ194-15,0)*1+IF(EJ194&gt;16,EJ194-16,0)*1+IF(EJ194&gt;17,EJ194-17,0)*1+IF(EJ194&gt;18,EJ194-18,0)*1+IF(EJ194&gt;19,EJ194-19,0)*1+IF(EJ194&gt;20,EJ194-20,0)*1</f>
        <v>77.007183908045945</v>
      </c>
      <c r="EN194" s="242">
        <f>IF(EK194&lt;=0,1,0)+IF(EK194&gt;0,EK194+1,0)*1+IF(EK194&gt;12,EK194-12,0)*1+IF(EK194&gt;13,EK194-13,0)*1+IF(EK194&gt;14,EK194-14,0)*1+IF(EK194&gt;15,EK194-15,0)*1+IF(EK194&gt;16,EK194-16,0)*1+IF(EK194&gt;17,EK194-17,0)*1+IF(EK194&gt;18,EK194-18,0)*1+IF(EK194&gt;19,EK194-19,0)*1+IF(EK194&gt;20,EK194-20,0)*1</f>
        <v>1</v>
      </c>
      <c r="EO194" s="243">
        <f>IF((EM194-EN194)&gt;0,EM194-EN194,0)</f>
        <v>76.007183908045945</v>
      </c>
      <c r="EP194" s="218">
        <f>IF((EN194-EM194)&gt;0,EN194-EM194,0)</f>
        <v>0</v>
      </c>
      <c r="ER194" s="303" t="s">
        <v>395</v>
      </c>
      <c r="ES194" s="304" t="s">
        <v>440</v>
      </c>
      <c r="ET194" s="305" t="s">
        <v>133</v>
      </c>
      <c r="EU194" s="317"/>
      <c r="EV194" s="254">
        <f>Konvention_1slave-KLslave</f>
        <v>12</v>
      </c>
      <c r="EW194" s="254"/>
      <c r="EX194" s="254">
        <f>Konvention_1slave-CHslave</f>
        <v>12</v>
      </c>
      <c r="EY194" s="254">
        <f>Konvention_1slave-FFslave_FF</f>
        <v>11</v>
      </c>
      <c r="EZ194" s="254"/>
      <c r="FA194" s="254"/>
      <c r="FB194" s="318"/>
      <c r="FC194" s="223">
        <f t="shared" si="1414"/>
        <v>11.666666666666666</v>
      </c>
      <c r="FD194" s="223">
        <f>2*FC194</f>
        <v>23.333333333333332</v>
      </c>
      <c r="FE194" s="224">
        <f>3*FC194</f>
        <v>35</v>
      </c>
      <c r="FF194" s="237">
        <f t="shared" si="1513"/>
        <v>2432</v>
      </c>
      <c r="FG194" s="254">
        <f>EV194*EX194*FFslave_FF+EV194*CHslave*EY194+KLslave*EX194*EY194</f>
        <v>3408</v>
      </c>
      <c r="FH194" s="224">
        <f>IFERROR(EU194^SIGN(EU194),1)*IFERROR(EV194^SIGN(EV194),1)*IFERROR(EW194^SIGN(EW194),1)*IFERROR(EX194^SIGN(EX194),1)*IFERROR(EY194^SIGN(EY194),1)*IFERROR(EZ194^SIGN(EZ194),1)*IFERROR(FA194^SIGN(FA194),1)*IFERROR(FB194^SIGN(FB194),1)</f>
        <v>1584</v>
      </c>
      <c r="FI194" s="224">
        <f t="shared" si="1299"/>
        <v>7424</v>
      </c>
      <c r="FJ194" s="222">
        <f>FC194*FF194/FI194</f>
        <v>3.8218390804597702</v>
      </c>
      <c r="FK194" s="223">
        <f>FD194*FG194/FI194</f>
        <v>10.711206896551724</v>
      </c>
      <c r="FL194" s="243">
        <f>FE194*FH194/FI194</f>
        <v>7.4676724137931032</v>
      </c>
      <c r="FM194" s="243">
        <f>SUM(FJ194:FL194)</f>
        <v>22.000718390804597</v>
      </c>
      <c r="FN194" s="252">
        <f t="shared" si="1304"/>
        <v>0</v>
      </c>
      <c r="FO194" s="309">
        <f>FM194-FN194</f>
        <v>22.000718390804597</v>
      </c>
      <c r="FP194" s="218">
        <f>IF(FM194&lt;=0,1,0)+IF(FM194&gt;0,FM194+1,0)*1+IF(FM194&gt;12,FM194-12,0)*1+IF(FM194&gt;13,FM194-13,0)*1+IF(FM194&gt;14,FM194-14,0)*1+IF(FM194&gt;15,FM194-15,0)*1+IF(FM194&gt;16,FM194-16,0)*1+IF(FM194&gt;17,FM194-17,0)*1+IF(FM194&gt;18,FM194-18,0)*1+IF(FM194&gt;19,FM194-19,0)*1+IF(FM194&gt;20,FM194-20,0)*1</f>
        <v>77.007183908045945</v>
      </c>
      <c r="FQ194" s="242">
        <f>IF(FN194&lt;=0,1,0)+IF(FN194&gt;0,FN194+1,0)*1+IF(FN194&gt;12,FN194-12,0)*1+IF(FN194&gt;13,FN194-13,0)*1+IF(FN194&gt;14,FN194-14,0)*1+IF(FN194&gt;15,FN194-15,0)*1+IF(FN194&gt;16,FN194-16,0)*1+IF(FN194&gt;17,FN194-17,0)*1+IF(FN194&gt;18,FN194-18,0)*1+IF(FN194&gt;19,FN194-19,0)*1+IF(FN194&gt;20,FN194-20,0)*1</f>
        <v>1</v>
      </c>
      <c r="FR194" s="243">
        <f>IF((FP194-FQ194)&gt;0,FP194-FQ194,0)</f>
        <v>76.007183908045945</v>
      </c>
      <c r="FS194" s="218">
        <f>IF((FQ194-FP194)&gt;0,FQ194-FP194,0)</f>
        <v>0</v>
      </c>
      <c r="FU194" s="303" t="s">
        <v>395</v>
      </c>
      <c r="FV194" s="304" t="s">
        <v>440</v>
      </c>
      <c r="FW194" s="305" t="s">
        <v>133</v>
      </c>
      <c r="FX194" s="317"/>
      <c r="FY194" s="254">
        <f>Konvention_1slave-KLslave</f>
        <v>12</v>
      </c>
      <c r="FZ194" s="254"/>
      <c r="GA194" s="254">
        <f>Konvention_1slave-CHslave</f>
        <v>12</v>
      </c>
      <c r="GB194" s="254">
        <f>Konvention_1slave-FFslave</f>
        <v>12</v>
      </c>
      <c r="GC194" s="254"/>
      <c r="GD194" s="254"/>
      <c r="GE194" s="318"/>
      <c r="GF194" s="223">
        <f t="shared" si="1425"/>
        <v>12</v>
      </c>
      <c r="GG194" s="223">
        <f>2*GF194</f>
        <v>24</v>
      </c>
      <c r="GH194" s="224">
        <f>3*GF194</f>
        <v>36</v>
      </c>
      <c r="GI194" s="237">
        <f t="shared" si="1514"/>
        <v>2304</v>
      </c>
      <c r="GJ194" s="254">
        <f>FY194*GA194*FFslave+FY194*CHslave*GB194+KLslave*GA194*GB194</f>
        <v>3456</v>
      </c>
      <c r="GK194" s="224">
        <f>IFERROR(FX194^SIGN(FX194),1)*IFERROR(FY194^SIGN(FY194),1)*IFERROR(FZ194^SIGN(FZ194),1)*IFERROR(GA194^SIGN(GA194),1)*IFERROR(GB194^SIGN(GB194),1)*IFERROR(GC194^SIGN(GC194),1)*IFERROR(GD194^SIGN(GD194),1)*IFERROR(GE194^SIGN(GE194),1)</f>
        <v>1728</v>
      </c>
      <c r="GL194" s="224">
        <f t="shared" si="1310"/>
        <v>7488</v>
      </c>
      <c r="GM194" s="222">
        <f>GF194*GI194/GL194</f>
        <v>3.6923076923076925</v>
      </c>
      <c r="GN194" s="223">
        <f>GG194*GJ194/GL194</f>
        <v>11.076923076923077</v>
      </c>
      <c r="GO194" s="243">
        <f>GH194*GK194/GL194</f>
        <v>8.3076923076923084</v>
      </c>
      <c r="GP194" s="243">
        <f>SUM(GM194:GO194)</f>
        <v>23.07692307692308</v>
      </c>
      <c r="GQ194" s="252">
        <f t="shared" si="1315"/>
        <v>0</v>
      </c>
      <c r="GR194" s="309">
        <f>GP194-GQ194</f>
        <v>23.07692307692308</v>
      </c>
      <c r="GS194" s="218">
        <f>IF(GP194&lt;=0,1,0)+IF(GP194&gt;0,GP194+1,0)*1+IF(GP194&gt;12,GP194-12,0)*1+IF(GP194&gt;13,GP194-13,0)*1+IF(GP194&gt;14,GP194-14,0)*1+IF(GP194&gt;15,GP194-15,0)*1+IF(GP194&gt;16,GP194-16,0)*1+IF(GP194&gt;17,GP194-17,0)*1+IF(GP194&gt;18,GP194-18,0)*1+IF(GP194&gt;19,GP194-19,0)*1+IF(GP194&gt;20,GP194-20,0)*1</f>
        <v>87.769230769230802</v>
      </c>
      <c r="GT194" s="242">
        <f>IF(GQ194&lt;=0,1,0)+IF(GQ194&gt;0,GQ194+1,0)*1+IF(GQ194&gt;12,GQ194-12,0)*1+IF(GQ194&gt;13,GQ194-13,0)*1+IF(GQ194&gt;14,GQ194-14,0)*1+IF(GQ194&gt;15,GQ194-15,0)*1+IF(GQ194&gt;16,GQ194-16,0)*1+IF(GQ194&gt;17,GQ194-17,0)*1+IF(GQ194&gt;18,GQ194-18,0)*1+IF(GQ194&gt;19,GQ194-19,0)*1+IF(GQ194&gt;20,GQ194-20,0)*1</f>
        <v>1</v>
      </c>
      <c r="GU194" s="243">
        <f>IF((GS194-GT194)&gt;0,GS194-GT194,0)</f>
        <v>86.769230769230802</v>
      </c>
      <c r="GV194" s="218">
        <f>IF((GT194-GS194)&gt;0,GT194-GS194,0)</f>
        <v>0</v>
      </c>
      <c r="GX194" s="303" t="s">
        <v>395</v>
      </c>
      <c r="GY194" s="304" t="s">
        <v>440</v>
      </c>
      <c r="GZ194" s="305" t="s">
        <v>133</v>
      </c>
      <c r="HA194" s="317"/>
      <c r="HB194" s="254">
        <f>Konvention_1slave-KLslave</f>
        <v>12</v>
      </c>
      <c r="HC194" s="254"/>
      <c r="HD194" s="254">
        <f>Konvention_1slave-CHslave</f>
        <v>12</v>
      </c>
      <c r="HE194" s="254">
        <f>Konvention_1slave-FFslave</f>
        <v>12</v>
      </c>
      <c r="HF194" s="254"/>
      <c r="HG194" s="254"/>
      <c r="HH194" s="318"/>
      <c r="HI194" s="223">
        <f t="shared" si="1436"/>
        <v>12</v>
      </c>
      <c r="HJ194" s="223">
        <f>2*HI194</f>
        <v>24</v>
      </c>
      <c r="HK194" s="224">
        <f>3*HI194</f>
        <v>36</v>
      </c>
      <c r="HL194" s="237">
        <f t="shared" si="1515"/>
        <v>2304</v>
      </c>
      <c r="HM194" s="254">
        <f>HB194*HD194*FFslave+HB194*CHslave*HE194+KLslave*HD194*HE194</f>
        <v>3456</v>
      </c>
      <c r="HN194" s="224">
        <f>IFERROR(HA194^SIGN(HA194),1)*IFERROR(HB194^SIGN(HB194),1)*IFERROR(HC194^SIGN(HC194),1)*IFERROR(HD194^SIGN(HD194),1)*IFERROR(HE194^SIGN(HE194),1)*IFERROR(HF194^SIGN(HF194),1)*IFERROR(HG194^SIGN(HG194),1)*IFERROR(HH194^SIGN(HH194),1)</f>
        <v>1728</v>
      </c>
      <c r="HO194" s="224">
        <f t="shared" si="1321"/>
        <v>7488</v>
      </c>
      <c r="HP194" s="222">
        <f>HI194*HL194/HO194</f>
        <v>3.6923076923076925</v>
      </c>
      <c r="HQ194" s="223">
        <f>HJ194*HM194/HO194</f>
        <v>11.076923076923077</v>
      </c>
      <c r="HR194" s="243">
        <f>HK194*HN194/HO194</f>
        <v>8.3076923076923084</v>
      </c>
      <c r="HS194" s="243">
        <f>SUM(HP194:HR194)</f>
        <v>23.07692307692308</v>
      </c>
      <c r="HT194" s="252">
        <f t="shared" si="1326"/>
        <v>0</v>
      </c>
      <c r="HU194" s="309">
        <f>HS194-HT194</f>
        <v>23.07692307692308</v>
      </c>
      <c r="HV194" s="218">
        <f>IF(HS194&lt;=0,1,0)+IF(HS194&gt;0,HS194+1,0)*1+IF(HS194&gt;12,HS194-12,0)*1+IF(HS194&gt;13,HS194-13,0)*1+IF(HS194&gt;14,HS194-14,0)*1+IF(HS194&gt;15,HS194-15,0)*1+IF(HS194&gt;16,HS194-16,0)*1+IF(HS194&gt;17,HS194-17,0)*1+IF(HS194&gt;18,HS194-18,0)*1+IF(HS194&gt;19,HS194-19,0)*1+IF(HS194&gt;20,HS194-20,0)*1</f>
        <v>87.769230769230802</v>
      </c>
      <c r="HW194" s="242">
        <f>IF(HT194&lt;=0,1,0)+IF(HT194&gt;0,HT194+1,0)*1+IF(HT194&gt;12,HT194-12,0)*1+IF(HT194&gt;13,HT194-13,0)*1+IF(HT194&gt;14,HT194-14,0)*1+IF(HT194&gt;15,HT194-15,0)*1+IF(HT194&gt;16,HT194-16,0)*1+IF(HT194&gt;17,HT194-17,0)*1+IF(HT194&gt;18,HT194-18,0)*1+IF(HT194&gt;19,HT194-19,0)*1+IF(HT194&gt;20,HT194-20,0)*1</f>
        <v>1</v>
      </c>
      <c r="HX194" s="243">
        <f>IF((HV194-HW194)&gt;0,HV194-HW194,0)</f>
        <v>86.769230769230802</v>
      </c>
      <c r="HY194" s="218">
        <f>IF((HW194-HV194)&gt;0,HW194-HV194,0)</f>
        <v>0</v>
      </c>
      <c r="IA194" s="303" t="s">
        <v>395</v>
      </c>
      <c r="IB194" s="304" t="s">
        <v>440</v>
      </c>
      <c r="IC194" s="305" t="s">
        <v>133</v>
      </c>
      <c r="ID194" s="317"/>
      <c r="IE194" s="254">
        <f>Konvention_1slave-KLslave</f>
        <v>12</v>
      </c>
      <c r="IF194" s="254"/>
      <c r="IG194" s="254">
        <f>Konvention_1slave-CHslave</f>
        <v>12</v>
      </c>
      <c r="IH194" s="254">
        <f>Konvention_1slave-FFslave</f>
        <v>12</v>
      </c>
      <c r="II194" s="254"/>
      <c r="IJ194" s="254"/>
      <c r="IK194" s="318"/>
      <c r="IL194" s="223">
        <f t="shared" si="1447"/>
        <v>12</v>
      </c>
      <c r="IM194" s="223">
        <f>2*IL194</f>
        <v>24</v>
      </c>
      <c r="IN194" s="224">
        <f>3*IL194</f>
        <v>36</v>
      </c>
      <c r="IO194" s="237">
        <f t="shared" si="1516"/>
        <v>2304</v>
      </c>
      <c r="IP194" s="254">
        <f>IE194*IG194*FFslave+IE194*CHslave*IH194+KLslave*IG194*IH194</f>
        <v>3456</v>
      </c>
      <c r="IQ194" s="224">
        <f>IFERROR(ID194^SIGN(ID194),1)*IFERROR(IE194^SIGN(IE194),1)*IFERROR(IF194^SIGN(IF194),1)*IFERROR(IG194^SIGN(IG194),1)*IFERROR(IH194^SIGN(IH194),1)*IFERROR(II194^SIGN(II194),1)*IFERROR(IJ194^SIGN(IJ194),1)*IFERROR(IK194^SIGN(IK194),1)</f>
        <v>1728</v>
      </c>
      <c r="IR194" s="224">
        <f t="shared" si="1332"/>
        <v>7488</v>
      </c>
      <c r="IS194" s="222">
        <f>IL194*IO194/IR194</f>
        <v>3.6923076923076925</v>
      </c>
      <c r="IT194" s="223">
        <f>IM194*IP194/IR194</f>
        <v>11.076923076923077</v>
      </c>
      <c r="IU194" s="243">
        <f>IN194*IQ194/IR194</f>
        <v>8.3076923076923084</v>
      </c>
      <c r="IV194" s="243">
        <f>SUM(IS194:IU194)</f>
        <v>23.07692307692308</v>
      </c>
      <c r="IW194" s="252">
        <f t="shared" si="1337"/>
        <v>0</v>
      </c>
      <c r="IX194" s="309">
        <f>IV194-IW194</f>
        <v>23.07692307692308</v>
      </c>
      <c r="IY194" s="218">
        <f>IF(IV194&lt;=0,1,0)+IF(IV194&gt;0,IV194+1,0)*1+IF(IV194&gt;12,IV194-12,0)*1+IF(IV194&gt;13,IV194-13,0)*1+IF(IV194&gt;14,IV194-14,0)*1+IF(IV194&gt;15,IV194-15,0)*1+IF(IV194&gt;16,IV194-16,0)*1+IF(IV194&gt;17,IV194-17,0)*1+IF(IV194&gt;18,IV194-18,0)*1+IF(IV194&gt;19,IV194-19,0)*1+IF(IV194&gt;20,IV194-20,0)*1</f>
        <v>87.769230769230802</v>
      </c>
      <c r="IZ194" s="242">
        <f>IF(IW194&lt;=0,1,0)+IF(IW194&gt;0,IW194+1,0)*1+IF(IW194&gt;12,IW194-12,0)*1+IF(IW194&gt;13,IW194-13,0)*1+IF(IW194&gt;14,IW194-14,0)*1+IF(IW194&gt;15,IW194-15,0)*1+IF(IW194&gt;16,IW194-16,0)*1+IF(IW194&gt;17,IW194-17,0)*1+IF(IW194&gt;18,IW194-18,0)*1+IF(IW194&gt;19,IW194-19,0)*1+IF(IW194&gt;20,IW194-20,0)*1</f>
        <v>1</v>
      </c>
      <c r="JA194" s="243">
        <f>IF((IY194-IZ194)&gt;0,IY194-IZ194,0)</f>
        <v>86.769230769230802</v>
      </c>
      <c r="JB194" s="218">
        <f>IF((IZ194-IY194)&gt;0,IZ194-IY194,0)</f>
        <v>0</v>
      </c>
      <c r="JE194" s="148"/>
    </row>
    <row r="195" spans="2:265" hidden="1" outlineLevel="2">
      <c r="B195" s="148">
        <v>43</v>
      </c>
      <c r="C195" s="303" t="e">
        <f>VLOOKUP(AF195,Attribute!C:T,1,FALSE)</f>
        <v>#N/A</v>
      </c>
      <c r="D195" s="125" t="s">
        <v>84</v>
      </c>
      <c r="E195" s="127" t="s">
        <v>132</v>
      </c>
      <c r="F195" s="114">
        <f>Konvention_1master-MUmaster</f>
        <v>12</v>
      </c>
      <c r="G195" s="113">
        <f t="shared" si="1517"/>
        <v>12</v>
      </c>
      <c r="H195" s="113"/>
      <c r="I195" s="113">
        <f>Konvention_1master-CHmaster</f>
        <v>12</v>
      </c>
      <c r="J195" s="113"/>
      <c r="K195" s="113"/>
      <c r="L195" s="113"/>
      <c r="M195" s="119"/>
      <c r="N195" s="223">
        <f>(F195+G195+H195+I195+J195+K195+L195+M195)/3</f>
        <v>12</v>
      </c>
      <c r="O195" s="223">
        <f>2*N195</f>
        <v>24</v>
      </c>
      <c r="P195" s="224">
        <f>3*N195</f>
        <v>36</v>
      </c>
      <c r="Q195" s="237">
        <f t="shared" si="1508"/>
        <v>2304</v>
      </c>
      <c r="R195" s="113">
        <f>F195*G195*CHmaster+F195*KLmaster*I195+MUmaster*G195*I195</f>
        <v>3456</v>
      </c>
      <c r="S195" s="224">
        <f>IFERROR(F195^SIGN(F195),1)*IFERROR(G195^SIGN(G195),1)*IFERROR(H195^SIGN(H195),1)*IFERROR(I195^SIGN(I195),1)*IFERROR(J195^SIGN(J195),1)*IFERROR(K195^SIGN(K195),1)*IFERROR(L195^SIGN(L195),1)*IFERROR(M195^SIGN(M195),1)</f>
        <v>1728</v>
      </c>
      <c r="T195" s="224">
        <f t="shared" si="1507"/>
        <v>7488</v>
      </c>
      <c r="U195" s="222">
        <f>N195*Q195/T195</f>
        <v>3.6923076923076925</v>
      </c>
      <c r="V195" s="223">
        <f>O195*R195/T195</f>
        <v>11.076923076923077</v>
      </c>
      <c r="W195" s="243">
        <f>P195*S195/T195</f>
        <v>8.3076923076923084</v>
      </c>
      <c r="X195" s="243">
        <f>SUM(U195:W195)</f>
        <v>23.07692307692308</v>
      </c>
      <c r="Y195" s="252">
        <v>0</v>
      </c>
      <c r="Z195" s="198">
        <f>X195-Y195</f>
        <v>23.07692307692308</v>
      </c>
      <c r="AA195" s="125">
        <f t="shared" ref="AA195:AB197" si="1519">IF(X195&lt;=0,2,0)+IF(X195&gt;0,X195+1,0)*2+IF(X195&gt;12,X195-12,0)*2+IF(X195&gt;13,X195-13,0)*2+IF(X195&gt;14,X195-14,0)*2+IF(X195&gt;15,X195-15,0)*2+IF(X195&gt;16,X195-16,0)*2+IF(X195&gt;17,X195-17,0)*2+IF(X195&gt;18,X195-18,0)*2+IF(X195&gt;19,X195-19,0)*2+IF(X195&gt;20,X195-20,0)*2</f>
        <v>175.5384615384616</v>
      </c>
      <c r="AB195" s="160">
        <f t="shared" si="1519"/>
        <v>2</v>
      </c>
      <c r="AC195" s="127">
        <f>IF((AA195-AB195)&gt;0,AA195-AB195,0)</f>
        <v>173.5384615384616</v>
      </c>
      <c r="AD195" s="125">
        <f>IF((AB195-AA195)&gt;0,AB195-AA195,0)</f>
        <v>0</v>
      </c>
      <c r="AF195" s="163" t="s">
        <v>396</v>
      </c>
      <c r="AG195" s="125" t="s">
        <v>84</v>
      </c>
      <c r="AH195" s="127" t="s">
        <v>132</v>
      </c>
      <c r="AI195" s="114">
        <f>Konvention_1slave-MUslave_MU</f>
        <v>11</v>
      </c>
      <c r="AJ195" s="113">
        <f t="shared" ref="AJ195:AJ202" si="1520">Konvention_1slave-KLslave</f>
        <v>12</v>
      </c>
      <c r="AK195" s="113"/>
      <c r="AL195" s="113">
        <f>Konvention_1slave-CHslave</f>
        <v>12</v>
      </c>
      <c r="AM195" s="113"/>
      <c r="AN195" s="113"/>
      <c r="AO195" s="113"/>
      <c r="AP195" s="119"/>
      <c r="AQ195" s="47">
        <f>(AI195+AJ195+AK195+AL195+AM195+AN195+AO195+AP195)/3</f>
        <v>11.666666666666666</v>
      </c>
      <c r="AR195" s="47">
        <f>2*AQ195</f>
        <v>23.333333333333332</v>
      </c>
      <c r="AS195" s="119">
        <f>3*AQ195</f>
        <v>35</v>
      </c>
      <c r="AT195" s="114">
        <f t="shared" si="1509"/>
        <v>2432</v>
      </c>
      <c r="AU195" s="113">
        <f>AI195*AJ195*CHslave+AI195*KLslave*AL195+MUslave_MU*AJ195*AL195</f>
        <v>3408</v>
      </c>
      <c r="AV195" s="119">
        <f>IFERROR(AI195^SIGN(AI195),1)*IFERROR(AJ195^SIGN(AJ195),1)*IFERROR(AK195^SIGN(AK195),1)*IFERROR(AL195^SIGN(AL195),1)*IFERROR(AM195^SIGN(AM195),1)*IFERROR(AN195^SIGN(AN195),1)*IFERROR(AO195^SIGN(AO195),1)*IFERROR(AP195^SIGN(AP195),1)</f>
        <v>1584</v>
      </c>
      <c r="AW195" s="119">
        <f t="shared" si="1255"/>
        <v>7424</v>
      </c>
      <c r="AX195" s="89">
        <f>AQ195*AT195/AW195</f>
        <v>3.8218390804597702</v>
      </c>
      <c r="AY195" s="47">
        <f>AR195*AU195/AW195</f>
        <v>10.711206896551724</v>
      </c>
      <c r="AZ195" s="127">
        <f>AS195*AV195/AW195</f>
        <v>7.4676724137931032</v>
      </c>
      <c r="BA195" s="127">
        <f>SUM(AX195:AZ195)</f>
        <v>22.000718390804597</v>
      </c>
      <c r="BB195" s="165">
        <f t="shared" si="1260"/>
        <v>0</v>
      </c>
      <c r="BC195" s="198">
        <f>BA195-BB195</f>
        <v>22.000718390804597</v>
      </c>
      <c r="BD195" s="125">
        <f t="shared" ref="BD195:BE197" si="1521">IF(BA195&lt;=0,2,0)+IF(BA195&gt;0,BA195+1,0)*2+IF(BA195&gt;12,BA195-12,0)*2+IF(BA195&gt;13,BA195-13,0)*2+IF(BA195&gt;14,BA195-14,0)*2+IF(BA195&gt;15,BA195-15,0)*2+IF(BA195&gt;16,BA195-16,0)*2+IF(BA195&gt;17,BA195-17,0)*2+IF(BA195&gt;18,BA195-18,0)*2+IF(BA195&gt;19,BA195-19,0)*2+IF(BA195&gt;20,BA195-20,0)*2</f>
        <v>154.01436781609189</v>
      </c>
      <c r="BE195" s="160">
        <f t="shared" si="1521"/>
        <v>2</v>
      </c>
      <c r="BF195" s="243">
        <f>IF((BD195-BE195)&gt;0,BD195-BE195,0)</f>
        <v>152.01436781609189</v>
      </c>
      <c r="BG195" s="218">
        <f>IF((BE195-BD195)&gt;0,BE195-BD195,0)</f>
        <v>0</v>
      </c>
      <c r="BI195" s="303" t="s">
        <v>396</v>
      </c>
      <c r="BJ195" s="218" t="s">
        <v>84</v>
      </c>
      <c r="BK195" s="243" t="s">
        <v>132</v>
      </c>
      <c r="BL195" s="237">
        <f>Konvention_1slave-MUslave</f>
        <v>12</v>
      </c>
      <c r="BM195" s="234">
        <f t="shared" si="1518"/>
        <v>11</v>
      </c>
      <c r="BN195" s="234"/>
      <c r="BO195" s="234">
        <f>Konvention_1slave-CHslave</f>
        <v>12</v>
      </c>
      <c r="BP195" s="234"/>
      <c r="BQ195" s="234"/>
      <c r="BR195" s="234"/>
      <c r="BS195" s="224"/>
      <c r="BT195" s="223">
        <f>(BL195+BM195+BN195+BO195+BP195+BQ195+BR195+BS195)/3</f>
        <v>11.666666666666666</v>
      </c>
      <c r="BU195" s="223">
        <f>2*BT195</f>
        <v>23.333333333333332</v>
      </c>
      <c r="BV195" s="224">
        <f>3*BT195</f>
        <v>35</v>
      </c>
      <c r="BW195" s="237">
        <f t="shared" si="1510"/>
        <v>2432</v>
      </c>
      <c r="BX195" s="234">
        <f>BL195*BM195*CHslave+BL195*KLslave_KL*BO195+MUslave*BM195*BO195</f>
        <v>3408</v>
      </c>
      <c r="BY195" s="224">
        <f>IFERROR(BL195^SIGN(BL195),1)*IFERROR(BM195^SIGN(BM195),1)*IFERROR(BN195^SIGN(BN195),1)*IFERROR(BO195^SIGN(BO195),1)*IFERROR(BP195^SIGN(BP195),1)*IFERROR(BQ195^SIGN(BQ195),1)*IFERROR(BR195^SIGN(BR195),1)*IFERROR(BS195^SIGN(BS195),1)</f>
        <v>1584</v>
      </c>
      <c r="BZ195" s="224">
        <f t="shared" si="1266"/>
        <v>7424</v>
      </c>
      <c r="CA195" s="222">
        <f>BT195*BW195/BZ195</f>
        <v>3.8218390804597702</v>
      </c>
      <c r="CB195" s="223">
        <f>BU195*BX195/BZ195</f>
        <v>10.711206896551724</v>
      </c>
      <c r="CC195" s="243">
        <f>BV195*BY195/BZ195</f>
        <v>7.4676724137931032</v>
      </c>
      <c r="CD195" s="243">
        <f>SUM(CA195:CC195)</f>
        <v>22.000718390804597</v>
      </c>
      <c r="CE195" s="252">
        <f t="shared" si="1271"/>
        <v>0</v>
      </c>
      <c r="CF195" s="309">
        <f>CD195-CE195</f>
        <v>22.000718390804597</v>
      </c>
      <c r="CG195" s="218">
        <f t="shared" ref="CG195:CH197" si="1522">IF(CD195&lt;=0,2,0)+IF(CD195&gt;0,CD195+1,0)*2+IF(CD195&gt;12,CD195-12,0)*2+IF(CD195&gt;13,CD195-13,0)*2+IF(CD195&gt;14,CD195-14,0)*2+IF(CD195&gt;15,CD195-15,0)*2+IF(CD195&gt;16,CD195-16,0)*2+IF(CD195&gt;17,CD195-17,0)*2+IF(CD195&gt;18,CD195-18,0)*2+IF(CD195&gt;19,CD195-19,0)*2+IF(CD195&gt;20,CD195-20,0)*2</f>
        <v>154.01436781609189</v>
      </c>
      <c r="CH195" s="242">
        <f t="shared" si="1522"/>
        <v>2</v>
      </c>
      <c r="CI195" s="243">
        <f>IF((CG195-CH195)&gt;0,CG195-CH195,0)</f>
        <v>152.01436781609189</v>
      </c>
      <c r="CJ195" s="218">
        <f>IF((CH195-CG195)&gt;0,CH195-CG195,0)</f>
        <v>0</v>
      </c>
      <c r="CL195" s="303" t="s">
        <v>396</v>
      </c>
      <c r="CM195" s="218" t="s">
        <v>84</v>
      </c>
      <c r="CN195" s="243" t="s">
        <v>132</v>
      </c>
      <c r="CO195" s="237">
        <f>Konvention_1slave-MUslave</f>
        <v>12</v>
      </c>
      <c r="CP195" s="234">
        <f t="shared" ref="CP195:CP202" si="1523">Konvention_1slave-KLslave</f>
        <v>12</v>
      </c>
      <c r="CQ195" s="234"/>
      <c r="CR195" s="234">
        <f>Konvention_1slave-CHslave</f>
        <v>12</v>
      </c>
      <c r="CS195" s="234"/>
      <c r="CT195" s="234"/>
      <c r="CU195" s="234"/>
      <c r="CV195" s="224"/>
      <c r="CW195" s="223">
        <f>(CO195+CP195+CQ195+CR195+CS195+CT195+CU195+CV195)/3</f>
        <v>12</v>
      </c>
      <c r="CX195" s="223">
        <f>2*CW195</f>
        <v>24</v>
      </c>
      <c r="CY195" s="224">
        <f>3*CW195</f>
        <v>36</v>
      </c>
      <c r="CZ195" s="237">
        <f t="shared" si="1511"/>
        <v>2304</v>
      </c>
      <c r="DA195" s="234">
        <f>CO195*CP195*CHslave+CO195*KLslave*CR195+MUslave*CP195*CR195</f>
        <v>3456</v>
      </c>
      <c r="DB195" s="224">
        <f>IFERROR(CO195^SIGN(CO195),1)*IFERROR(CP195^SIGN(CP195),1)*IFERROR(CQ195^SIGN(CQ195),1)*IFERROR(CR195^SIGN(CR195),1)*IFERROR(CS195^SIGN(CS195),1)*IFERROR(CT195^SIGN(CT195),1)*IFERROR(CU195^SIGN(CU195),1)*IFERROR(CV195^SIGN(CV195),1)</f>
        <v>1728</v>
      </c>
      <c r="DC195" s="224">
        <f t="shared" si="1277"/>
        <v>7488</v>
      </c>
      <c r="DD195" s="222">
        <f>CW195*CZ195/DC195</f>
        <v>3.6923076923076925</v>
      </c>
      <c r="DE195" s="223">
        <f>CX195*DA195/DC195</f>
        <v>11.076923076923077</v>
      </c>
      <c r="DF195" s="243">
        <f>CY195*DB195/DC195</f>
        <v>8.3076923076923084</v>
      </c>
      <c r="DG195" s="243">
        <f>SUM(DD195:DF195)</f>
        <v>23.07692307692308</v>
      </c>
      <c r="DH195" s="252">
        <f t="shared" si="1282"/>
        <v>0</v>
      </c>
      <c r="DI195" s="309">
        <f>DG195-DH195</f>
        <v>23.07692307692308</v>
      </c>
      <c r="DJ195" s="218">
        <f t="shared" ref="DJ195:DK197" si="1524">IF(DG195&lt;=0,2,0)+IF(DG195&gt;0,DG195+1,0)*2+IF(DG195&gt;12,DG195-12,0)*2+IF(DG195&gt;13,DG195-13,0)*2+IF(DG195&gt;14,DG195-14,0)*2+IF(DG195&gt;15,DG195-15,0)*2+IF(DG195&gt;16,DG195-16,0)*2+IF(DG195&gt;17,DG195-17,0)*2+IF(DG195&gt;18,DG195-18,0)*2+IF(DG195&gt;19,DG195-19,0)*2+IF(DG195&gt;20,DG195-20,0)*2</f>
        <v>175.5384615384616</v>
      </c>
      <c r="DK195" s="242">
        <f t="shared" si="1524"/>
        <v>2</v>
      </c>
      <c r="DL195" s="243">
        <f>IF((DJ195-DK195)&gt;0,DJ195-DK195,0)</f>
        <v>173.5384615384616</v>
      </c>
      <c r="DM195" s="218">
        <f>IF((DK195-DJ195)&gt;0,DK195-DJ195,0)</f>
        <v>0</v>
      </c>
      <c r="DO195" s="303" t="s">
        <v>396</v>
      </c>
      <c r="DP195" s="218" t="s">
        <v>84</v>
      </c>
      <c r="DQ195" s="243" t="s">
        <v>132</v>
      </c>
      <c r="DR195" s="237">
        <f>Konvention_1slave-MUslave</f>
        <v>12</v>
      </c>
      <c r="DS195" s="234">
        <f t="shared" ref="DS195:DS202" si="1525">Konvention_1slave-KLslave</f>
        <v>12</v>
      </c>
      <c r="DT195" s="234"/>
      <c r="DU195" s="234">
        <f>Konvention_1slave-CHslave_CH</f>
        <v>11</v>
      </c>
      <c r="DV195" s="234"/>
      <c r="DW195" s="234"/>
      <c r="DX195" s="234"/>
      <c r="DY195" s="224"/>
      <c r="DZ195" s="223">
        <f>(DR195+DS195+DT195+DU195+DV195+DW195+DX195+DY195)/3</f>
        <v>11.666666666666666</v>
      </c>
      <c r="EA195" s="223">
        <f>2*DZ195</f>
        <v>23.333333333333332</v>
      </c>
      <c r="EB195" s="224">
        <f>3*DZ195</f>
        <v>35</v>
      </c>
      <c r="EC195" s="237">
        <f t="shared" si="1512"/>
        <v>2432</v>
      </c>
      <c r="ED195" s="234">
        <f>DR195*DS195*CHslave_CH+DR195*KLslave*DU195+MUslave*DS195*DU195</f>
        <v>3408</v>
      </c>
      <c r="EE195" s="224">
        <f>IFERROR(DR195^SIGN(DR195),1)*IFERROR(DS195^SIGN(DS195),1)*IFERROR(DT195^SIGN(DT195),1)*IFERROR(DU195^SIGN(DU195),1)*IFERROR(DV195^SIGN(DV195),1)*IFERROR(DW195^SIGN(DW195),1)*IFERROR(DX195^SIGN(DX195),1)*IFERROR(DY195^SIGN(DY195),1)</f>
        <v>1584</v>
      </c>
      <c r="EF195" s="224">
        <f t="shared" si="1288"/>
        <v>7424</v>
      </c>
      <c r="EG195" s="222">
        <f>DZ195*EC195/EF195</f>
        <v>3.8218390804597702</v>
      </c>
      <c r="EH195" s="223">
        <f>EA195*ED195/EF195</f>
        <v>10.711206896551724</v>
      </c>
      <c r="EI195" s="243">
        <f>EB195*EE195/EF195</f>
        <v>7.4676724137931032</v>
      </c>
      <c r="EJ195" s="243">
        <f>SUM(EG195:EI195)</f>
        <v>22.000718390804597</v>
      </c>
      <c r="EK195" s="252">
        <f t="shared" si="1293"/>
        <v>0</v>
      </c>
      <c r="EL195" s="309">
        <f>EJ195-EK195</f>
        <v>22.000718390804597</v>
      </c>
      <c r="EM195" s="218">
        <f t="shared" ref="EM195:EN197" si="1526">IF(EJ195&lt;=0,2,0)+IF(EJ195&gt;0,EJ195+1,0)*2+IF(EJ195&gt;12,EJ195-12,0)*2+IF(EJ195&gt;13,EJ195-13,0)*2+IF(EJ195&gt;14,EJ195-14,0)*2+IF(EJ195&gt;15,EJ195-15,0)*2+IF(EJ195&gt;16,EJ195-16,0)*2+IF(EJ195&gt;17,EJ195-17,0)*2+IF(EJ195&gt;18,EJ195-18,0)*2+IF(EJ195&gt;19,EJ195-19,0)*2+IF(EJ195&gt;20,EJ195-20,0)*2</f>
        <v>154.01436781609189</v>
      </c>
      <c r="EN195" s="242">
        <f t="shared" si="1526"/>
        <v>2</v>
      </c>
      <c r="EO195" s="243">
        <f>IF((EM195-EN195)&gt;0,EM195-EN195,0)</f>
        <v>152.01436781609189</v>
      </c>
      <c r="EP195" s="218">
        <f>IF((EN195-EM195)&gt;0,EN195-EM195,0)</f>
        <v>0</v>
      </c>
      <c r="ER195" s="303" t="s">
        <v>396</v>
      </c>
      <c r="ES195" s="218" t="s">
        <v>84</v>
      </c>
      <c r="ET195" s="243" t="s">
        <v>132</v>
      </c>
      <c r="EU195" s="237">
        <f>Konvention_1slave-MUslave</f>
        <v>12</v>
      </c>
      <c r="EV195" s="234">
        <f t="shared" ref="EV195:EV202" si="1527">Konvention_1slave-KLslave</f>
        <v>12</v>
      </c>
      <c r="EW195" s="234"/>
      <c r="EX195" s="234">
        <f>Konvention_1slave-CHslave</f>
        <v>12</v>
      </c>
      <c r="EY195" s="234"/>
      <c r="EZ195" s="234"/>
      <c r="FA195" s="234"/>
      <c r="FB195" s="224"/>
      <c r="FC195" s="223">
        <f>(EU195+EV195+EW195+EX195+EY195+EZ195+FA195+FB195)/3</f>
        <v>12</v>
      </c>
      <c r="FD195" s="223">
        <f>2*FC195</f>
        <v>24</v>
      </c>
      <c r="FE195" s="224">
        <f>3*FC195</f>
        <v>36</v>
      </c>
      <c r="FF195" s="237">
        <f t="shared" si="1513"/>
        <v>2304</v>
      </c>
      <c r="FG195" s="234">
        <f>EU195*EV195*CHslave+EU195*KLslave*EX195+MUslave*EV195*EX195</f>
        <v>3456</v>
      </c>
      <c r="FH195" s="224">
        <f>IFERROR(EU195^SIGN(EU195),1)*IFERROR(EV195^SIGN(EV195),1)*IFERROR(EW195^SIGN(EW195),1)*IFERROR(EX195^SIGN(EX195),1)*IFERROR(EY195^SIGN(EY195),1)*IFERROR(EZ195^SIGN(EZ195),1)*IFERROR(FA195^SIGN(FA195),1)*IFERROR(FB195^SIGN(FB195),1)</f>
        <v>1728</v>
      </c>
      <c r="FI195" s="224">
        <f t="shared" si="1299"/>
        <v>7488</v>
      </c>
      <c r="FJ195" s="222">
        <f>FC195*FF195/FI195</f>
        <v>3.6923076923076925</v>
      </c>
      <c r="FK195" s="223">
        <f>FD195*FG195/FI195</f>
        <v>11.076923076923077</v>
      </c>
      <c r="FL195" s="243">
        <f>FE195*FH195/FI195</f>
        <v>8.3076923076923084</v>
      </c>
      <c r="FM195" s="243">
        <f>SUM(FJ195:FL195)</f>
        <v>23.07692307692308</v>
      </c>
      <c r="FN195" s="252">
        <f t="shared" si="1304"/>
        <v>0</v>
      </c>
      <c r="FO195" s="309">
        <f>FM195-FN195</f>
        <v>23.07692307692308</v>
      </c>
      <c r="FP195" s="218">
        <f t="shared" ref="FP195:FQ197" si="1528">IF(FM195&lt;=0,2,0)+IF(FM195&gt;0,FM195+1,0)*2+IF(FM195&gt;12,FM195-12,0)*2+IF(FM195&gt;13,FM195-13,0)*2+IF(FM195&gt;14,FM195-14,0)*2+IF(FM195&gt;15,FM195-15,0)*2+IF(FM195&gt;16,FM195-16,0)*2+IF(FM195&gt;17,FM195-17,0)*2+IF(FM195&gt;18,FM195-18,0)*2+IF(FM195&gt;19,FM195-19,0)*2+IF(FM195&gt;20,FM195-20,0)*2</f>
        <v>175.5384615384616</v>
      </c>
      <c r="FQ195" s="242">
        <f t="shared" si="1528"/>
        <v>2</v>
      </c>
      <c r="FR195" s="243">
        <f>IF((FP195-FQ195)&gt;0,FP195-FQ195,0)</f>
        <v>173.5384615384616</v>
      </c>
      <c r="FS195" s="218">
        <f>IF((FQ195-FP195)&gt;0,FQ195-FP195,0)</f>
        <v>0</v>
      </c>
      <c r="FU195" s="303" t="s">
        <v>396</v>
      </c>
      <c r="FV195" s="218" t="s">
        <v>84</v>
      </c>
      <c r="FW195" s="243" t="s">
        <v>132</v>
      </c>
      <c r="FX195" s="237">
        <f>Konvention_1slave-MUslave</f>
        <v>12</v>
      </c>
      <c r="FY195" s="234">
        <f t="shared" ref="FY195:FY202" si="1529">Konvention_1slave-KLslave</f>
        <v>12</v>
      </c>
      <c r="FZ195" s="234"/>
      <c r="GA195" s="234">
        <f>Konvention_1slave-CHslave</f>
        <v>12</v>
      </c>
      <c r="GB195" s="234"/>
      <c r="GC195" s="234"/>
      <c r="GD195" s="234"/>
      <c r="GE195" s="224"/>
      <c r="GF195" s="223">
        <f>(FX195+FY195+FZ195+GA195+GB195+GC195+GD195+GE195)/3</f>
        <v>12</v>
      </c>
      <c r="GG195" s="223">
        <f>2*GF195</f>
        <v>24</v>
      </c>
      <c r="GH195" s="224">
        <f>3*GF195</f>
        <v>36</v>
      </c>
      <c r="GI195" s="237">
        <f t="shared" si="1514"/>
        <v>2304</v>
      </c>
      <c r="GJ195" s="234">
        <f>FX195*FY195*CHslave+FX195*KLslave*GA195+MUslave*FY195*GA195</f>
        <v>3456</v>
      </c>
      <c r="GK195" s="224">
        <f>IFERROR(FX195^SIGN(FX195),1)*IFERROR(FY195^SIGN(FY195),1)*IFERROR(FZ195^SIGN(FZ195),1)*IFERROR(GA195^SIGN(GA195),1)*IFERROR(GB195^SIGN(GB195),1)*IFERROR(GC195^SIGN(GC195),1)*IFERROR(GD195^SIGN(GD195),1)*IFERROR(GE195^SIGN(GE195),1)</f>
        <v>1728</v>
      </c>
      <c r="GL195" s="224">
        <f t="shared" si="1310"/>
        <v>7488</v>
      </c>
      <c r="GM195" s="222">
        <f>GF195*GI195/GL195</f>
        <v>3.6923076923076925</v>
      </c>
      <c r="GN195" s="223">
        <f>GG195*GJ195/GL195</f>
        <v>11.076923076923077</v>
      </c>
      <c r="GO195" s="243">
        <f>GH195*GK195/GL195</f>
        <v>8.3076923076923084</v>
      </c>
      <c r="GP195" s="243">
        <f>SUM(GM195:GO195)</f>
        <v>23.07692307692308</v>
      </c>
      <c r="GQ195" s="252">
        <f t="shared" si="1315"/>
        <v>0</v>
      </c>
      <c r="GR195" s="309">
        <f>GP195-GQ195</f>
        <v>23.07692307692308</v>
      </c>
      <c r="GS195" s="218">
        <f t="shared" ref="GS195:GT197" si="1530">IF(GP195&lt;=0,2,0)+IF(GP195&gt;0,GP195+1,0)*2+IF(GP195&gt;12,GP195-12,0)*2+IF(GP195&gt;13,GP195-13,0)*2+IF(GP195&gt;14,GP195-14,0)*2+IF(GP195&gt;15,GP195-15,0)*2+IF(GP195&gt;16,GP195-16,0)*2+IF(GP195&gt;17,GP195-17,0)*2+IF(GP195&gt;18,GP195-18,0)*2+IF(GP195&gt;19,GP195-19,0)*2+IF(GP195&gt;20,GP195-20,0)*2</f>
        <v>175.5384615384616</v>
      </c>
      <c r="GT195" s="242">
        <f t="shared" si="1530"/>
        <v>2</v>
      </c>
      <c r="GU195" s="243">
        <f>IF((GS195-GT195)&gt;0,GS195-GT195,0)</f>
        <v>173.5384615384616</v>
      </c>
      <c r="GV195" s="218">
        <f>IF((GT195-GS195)&gt;0,GT195-GS195,0)</f>
        <v>0</v>
      </c>
      <c r="GX195" s="303" t="s">
        <v>396</v>
      </c>
      <c r="GY195" s="218" t="s">
        <v>84</v>
      </c>
      <c r="GZ195" s="243" t="s">
        <v>132</v>
      </c>
      <c r="HA195" s="237">
        <f>Konvention_1slave-MUslave</f>
        <v>12</v>
      </c>
      <c r="HB195" s="234">
        <f t="shared" ref="HB195:HB202" si="1531">Konvention_1slave-KLslave</f>
        <v>12</v>
      </c>
      <c r="HC195" s="234"/>
      <c r="HD195" s="234">
        <f>Konvention_1slave-CHslave</f>
        <v>12</v>
      </c>
      <c r="HE195" s="234"/>
      <c r="HF195" s="234"/>
      <c r="HG195" s="234"/>
      <c r="HH195" s="224"/>
      <c r="HI195" s="223">
        <f>(HA195+HB195+HC195+HD195+HE195+HF195+HG195+HH195)/3</f>
        <v>12</v>
      </c>
      <c r="HJ195" s="223">
        <f>2*HI195</f>
        <v>24</v>
      </c>
      <c r="HK195" s="224">
        <f>3*HI195</f>
        <v>36</v>
      </c>
      <c r="HL195" s="237">
        <f t="shared" si="1515"/>
        <v>2304</v>
      </c>
      <c r="HM195" s="234">
        <f>HA195*HB195*CHslave+HA195*KLslave*HD195+MUslave*HB195*HD195</f>
        <v>3456</v>
      </c>
      <c r="HN195" s="224">
        <f>IFERROR(HA195^SIGN(HA195),1)*IFERROR(HB195^SIGN(HB195),1)*IFERROR(HC195^SIGN(HC195),1)*IFERROR(HD195^SIGN(HD195),1)*IFERROR(HE195^SIGN(HE195),1)*IFERROR(HF195^SIGN(HF195),1)*IFERROR(HG195^SIGN(HG195),1)*IFERROR(HH195^SIGN(HH195),1)</f>
        <v>1728</v>
      </c>
      <c r="HO195" s="224">
        <f t="shared" si="1321"/>
        <v>7488</v>
      </c>
      <c r="HP195" s="222">
        <f>HI195*HL195/HO195</f>
        <v>3.6923076923076925</v>
      </c>
      <c r="HQ195" s="223">
        <f>HJ195*HM195/HO195</f>
        <v>11.076923076923077</v>
      </c>
      <c r="HR195" s="243">
        <f>HK195*HN195/HO195</f>
        <v>8.3076923076923084</v>
      </c>
      <c r="HS195" s="243">
        <f>SUM(HP195:HR195)</f>
        <v>23.07692307692308</v>
      </c>
      <c r="HT195" s="252">
        <f t="shared" si="1326"/>
        <v>0</v>
      </c>
      <c r="HU195" s="309">
        <f>HS195-HT195</f>
        <v>23.07692307692308</v>
      </c>
      <c r="HV195" s="218">
        <f t="shared" ref="HV195:HW197" si="1532">IF(HS195&lt;=0,2,0)+IF(HS195&gt;0,HS195+1,0)*2+IF(HS195&gt;12,HS195-12,0)*2+IF(HS195&gt;13,HS195-13,0)*2+IF(HS195&gt;14,HS195-14,0)*2+IF(HS195&gt;15,HS195-15,0)*2+IF(HS195&gt;16,HS195-16,0)*2+IF(HS195&gt;17,HS195-17,0)*2+IF(HS195&gt;18,HS195-18,0)*2+IF(HS195&gt;19,HS195-19,0)*2+IF(HS195&gt;20,HS195-20,0)*2</f>
        <v>175.5384615384616</v>
      </c>
      <c r="HW195" s="242">
        <f t="shared" si="1532"/>
        <v>2</v>
      </c>
      <c r="HX195" s="243">
        <f>IF((HV195-HW195)&gt;0,HV195-HW195,0)</f>
        <v>173.5384615384616</v>
      </c>
      <c r="HY195" s="218">
        <f>IF((HW195-HV195)&gt;0,HW195-HV195,0)</f>
        <v>0</v>
      </c>
      <c r="IA195" s="303" t="s">
        <v>396</v>
      </c>
      <c r="IB195" s="218" t="s">
        <v>84</v>
      </c>
      <c r="IC195" s="243" t="s">
        <v>132</v>
      </c>
      <c r="ID195" s="237">
        <f>Konvention_1slave-MUslave</f>
        <v>12</v>
      </c>
      <c r="IE195" s="234">
        <f t="shared" ref="IE195:IE202" si="1533">Konvention_1slave-KLslave</f>
        <v>12</v>
      </c>
      <c r="IF195" s="234"/>
      <c r="IG195" s="234">
        <f>Konvention_1slave-CHslave</f>
        <v>12</v>
      </c>
      <c r="IH195" s="234"/>
      <c r="II195" s="234"/>
      <c r="IJ195" s="234"/>
      <c r="IK195" s="224"/>
      <c r="IL195" s="223">
        <f>(ID195+IE195+IF195+IG195+IH195+II195+IJ195+IK195)/3</f>
        <v>12</v>
      </c>
      <c r="IM195" s="223">
        <f>2*IL195</f>
        <v>24</v>
      </c>
      <c r="IN195" s="224">
        <f>3*IL195</f>
        <v>36</v>
      </c>
      <c r="IO195" s="237">
        <f t="shared" si="1516"/>
        <v>2304</v>
      </c>
      <c r="IP195" s="234">
        <f>ID195*IE195*CHslave+ID195*KLslave*IG195+MUslave*IE195*IG195</f>
        <v>3456</v>
      </c>
      <c r="IQ195" s="224">
        <f>IFERROR(ID195^SIGN(ID195),1)*IFERROR(IE195^SIGN(IE195),1)*IFERROR(IF195^SIGN(IF195),1)*IFERROR(IG195^SIGN(IG195),1)*IFERROR(IH195^SIGN(IH195),1)*IFERROR(II195^SIGN(II195),1)*IFERROR(IJ195^SIGN(IJ195),1)*IFERROR(IK195^SIGN(IK195),1)</f>
        <v>1728</v>
      </c>
      <c r="IR195" s="224">
        <f t="shared" si="1332"/>
        <v>7488</v>
      </c>
      <c r="IS195" s="222">
        <f>IL195*IO195/IR195</f>
        <v>3.6923076923076925</v>
      </c>
      <c r="IT195" s="223">
        <f>IM195*IP195/IR195</f>
        <v>11.076923076923077</v>
      </c>
      <c r="IU195" s="243">
        <f>IN195*IQ195/IR195</f>
        <v>8.3076923076923084</v>
      </c>
      <c r="IV195" s="243">
        <f>SUM(IS195:IU195)</f>
        <v>23.07692307692308</v>
      </c>
      <c r="IW195" s="252">
        <f t="shared" si="1337"/>
        <v>0</v>
      </c>
      <c r="IX195" s="309">
        <f>IV195-IW195</f>
        <v>23.07692307692308</v>
      </c>
      <c r="IY195" s="218">
        <f t="shared" ref="IY195:IZ197" si="1534">IF(IV195&lt;=0,2,0)+IF(IV195&gt;0,IV195+1,0)*2+IF(IV195&gt;12,IV195-12,0)*2+IF(IV195&gt;13,IV195-13,0)*2+IF(IV195&gt;14,IV195-14,0)*2+IF(IV195&gt;15,IV195-15,0)*2+IF(IV195&gt;16,IV195-16,0)*2+IF(IV195&gt;17,IV195-17,0)*2+IF(IV195&gt;18,IV195-18,0)*2+IF(IV195&gt;19,IV195-19,0)*2+IF(IV195&gt;20,IV195-20,0)*2</f>
        <v>175.5384615384616</v>
      </c>
      <c r="IZ195" s="242">
        <f t="shared" si="1534"/>
        <v>2</v>
      </c>
      <c r="JA195" s="243">
        <f>IF((IY195-IZ195)&gt;0,IY195-IZ195,0)</f>
        <v>173.5384615384616</v>
      </c>
      <c r="JB195" s="218">
        <f>IF((IZ195-IY195)&gt;0,IZ195-IY195,0)</f>
        <v>0</v>
      </c>
      <c r="JE195" s="148"/>
    </row>
    <row r="196" spans="2:265" ht="15" hidden="1" customHeight="1" outlineLevel="2">
      <c r="B196" s="148">
        <v>44</v>
      </c>
      <c r="C196" s="303" t="e">
        <f>VLOOKUP(AF196,Attribute!C:T,1,FALSE)</f>
        <v>#N/A</v>
      </c>
      <c r="D196" s="86" t="s">
        <v>170</v>
      </c>
      <c r="E196" s="167" t="s">
        <v>132</v>
      </c>
      <c r="F196" s="120"/>
      <c r="G196" s="117">
        <f t="shared" si="1517"/>
        <v>12</v>
      </c>
      <c r="H196" s="117">
        <f>Konvention_1master-INmaster</f>
        <v>12</v>
      </c>
      <c r="I196" s="117"/>
      <c r="J196" s="117">
        <f>Konvention_1master-FFmaster</f>
        <v>12</v>
      </c>
      <c r="K196" s="117"/>
      <c r="L196" s="117"/>
      <c r="M196" s="121"/>
      <c r="N196" s="223">
        <f>(F196+G196+H196+I196+J196+K196+L196+M196)/3</f>
        <v>12</v>
      </c>
      <c r="O196" s="223">
        <f>2*N196</f>
        <v>24</v>
      </c>
      <c r="P196" s="224">
        <f>3*N196</f>
        <v>36</v>
      </c>
      <c r="Q196" s="237">
        <f t="shared" si="1508"/>
        <v>2304</v>
      </c>
      <c r="R196" s="117">
        <f>G196*H196*FFmaster+G196*INmaster*J196+KLmaster*H196*J196</f>
        <v>3456</v>
      </c>
      <c r="S196" s="224">
        <f>IFERROR(F196^SIGN(F196),1)*IFERROR(G196^SIGN(G196),1)*IFERROR(H196^SIGN(H196),1)*IFERROR(I196^SIGN(I196),1)*IFERROR(J196^SIGN(J196),1)*IFERROR(K196^SIGN(K196),1)*IFERROR(L196^SIGN(L196),1)*IFERROR(M196^SIGN(M196),1)</f>
        <v>1728</v>
      </c>
      <c r="T196" s="224">
        <f t="shared" si="1507"/>
        <v>7488</v>
      </c>
      <c r="U196" s="222">
        <f>N196*Q196/T196</f>
        <v>3.6923076923076925</v>
      </c>
      <c r="V196" s="223">
        <f>O196*R196/T196</f>
        <v>11.076923076923077</v>
      </c>
      <c r="W196" s="243">
        <f>P196*S196/T196</f>
        <v>8.3076923076923084</v>
      </c>
      <c r="X196" s="243">
        <f>SUM(U196:W196)</f>
        <v>23.07692307692308</v>
      </c>
      <c r="Y196" s="252">
        <v>0</v>
      </c>
      <c r="Z196" s="198">
        <f>X196-Y196</f>
        <v>23.07692307692308</v>
      </c>
      <c r="AA196" s="125">
        <f t="shared" si="1519"/>
        <v>175.5384615384616</v>
      </c>
      <c r="AB196" s="160">
        <f t="shared" si="1519"/>
        <v>2</v>
      </c>
      <c r="AC196" s="127">
        <f>IF((AA196-AB196)&gt;0,AA196-AB196,0)</f>
        <v>173.5384615384616</v>
      </c>
      <c r="AD196" s="125">
        <f>IF((AB196-AA196)&gt;0,AB196-AA196,0)</f>
        <v>0</v>
      </c>
      <c r="AF196" s="163" t="s">
        <v>397</v>
      </c>
      <c r="AG196" s="86" t="s">
        <v>170</v>
      </c>
      <c r="AH196" s="167" t="s">
        <v>132</v>
      </c>
      <c r="AI196" s="120"/>
      <c r="AJ196" s="117">
        <f t="shared" si="1520"/>
        <v>12</v>
      </c>
      <c r="AK196" s="117">
        <f>Konvention_1slave-INslave</f>
        <v>12</v>
      </c>
      <c r="AL196" s="117"/>
      <c r="AM196" s="117">
        <f>Konvention_1slave-FFslave</f>
        <v>12</v>
      </c>
      <c r="AN196" s="117"/>
      <c r="AO196" s="117"/>
      <c r="AP196" s="121"/>
      <c r="AQ196" s="47">
        <f>(AI196+AJ196+AK196+AL196+AM196+AN196+AO196+AP196)/3</f>
        <v>12</v>
      </c>
      <c r="AR196" s="3">
        <f>2*AQ196</f>
        <v>24</v>
      </c>
      <c r="AS196" s="174">
        <f>3*AQ196</f>
        <v>36</v>
      </c>
      <c r="AT196" s="114">
        <f t="shared" si="1509"/>
        <v>2304</v>
      </c>
      <c r="AU196" s="117">
        <f>AJ196*AK196*FFslave+AJ196*INslave*AM196+KLslave*AK196*AM196</f>
        <v>3456</v>
      </c>
      <c r="AV196" s="119">
        <f>IFERROR(AI196^SIGN(AI196),1)*IFERROR(AJ196^SIGN(AJ196),1)*IFERROR(AK196^SIGN(AK196),1)*IFERROR(AL196^SIGN(AL196),1)*IFERROR(AM196^SIGN(AM196),1)*IFERROR(AN196^SIGN(AN196),1)*IFERROR(AO196^SIGN(AO196),1)*IFERROR(AP196^SIGN(AP196),1)</f>
        <v>1728</v>
      </c>
      <c r="AW196" s="119">
        <f t="shared" si="1255"/>
        <v>7488</v>
      </c>
      <c r="AX196" s="89">
        <f>AQ196*AT196/AW196</f>
        <v>3.6923076923076925</v>
      </c>
      <c r="AY196" s="47">
        <f>AR196*AU196/AW196</f>
        <v>11.076923076923077</v>
      </c>
      <c r="AZ196" s="127">
        <f>AS196*AV196/AW196</f>
        <v>8.3076923076923084</v>
      </c>
      <c r="BA196" s="127">
        <f>SUM(AX196:AZ196)</f>
        <v>23.07692307692308</v>
      </c>
      <c r="BB196" s="165">
        <f t="shared" si="1260"/>
        <v>0</v>
      </c>
      <c r="BC196" s="198">
        <f>BA196-BB196</f>
        <v>23.07692307692308</v>
      </c>
      <c r="BD196" s="125">
        <f t="shared" si="1521"/>
        <v>175.5384615384616</v>
      </c>
      <c r="BE196" s="160">
        <f t="shared" si="1521"/>
        <v>2</v>
      </c>
      <c r="BF196" s="243">
        <f>IF((BD196-BE196)&gt;0,BD196-BE196,0)</f>
        <v>173.5384615384616</v>
      </c>
      <c r="BG196" s="218">
        <f>IF((BE196-BD196)&gt;0,BE196-BD196,0)</f>
        <v>0</v>
      </c>
      <c r="BI196" s="303" t="s">
        <v>397</v>
      </c>
      <c r="BJ196" s="304" t="s">
        <v>170</v>
      </c>
      <c r="BK196" s="305" t="s">
        <v>132</v>
      </c>
      <c r="BL196" s="317"/>
      <c r="BM196" s="254">
        <f t="shared" si="1518"/>
        <v>11</v>
      </c>
      <c r="BN196" s="254">
        <f>Konvention_1slave-INslave</f>
        <v>12</v>
      </c>
      <c r="BO196" s="254"/>
      <c r="BP196" s="254">
        <f>Konvention_1slave-FFslave</f>
        <v>12</v>
      </c>
      <c r="BQ196" s="254"/>
      <c r="BR196" s="254"/>
      <c r="BS196" s="318"/>
      <c r="BT196" s="223">
        <f>(BL196+BM196+BN196+BO196+BP196+BQ196+BR196+BS196)/3</f>
        <v>11.666666666666666</v>
      </c>
      <c r="BU196" s="223">
        <f>2*BT196</f>
        <v>23.333333333333332</v>
      </c>
      <c r="BV196" s="224">
        <f>3*BT196</f>
        <v>35</v>
      </c>
      <c r="BW196" s="237">
        <f t="shared" si="1510"/>
        <v>2432</v>
      </c>
      <c r="BX196" s="254">
        <f>BM196*BN196*FFslave+BM196*INslave*BP196+KLslave_KL*BN196*BP196</f>
        <v>3408</v>
      </c>
      <c r="BY196" s="224">
        <f>IFERROR(BL196^SIGN(BL196),1)*IFERROR(BM196^SIGN(BM196),1)*IFERROR(BN196^SIGN(BN196),1)*IFERROR(BO196^SIGN(BO196),1)*IFERROR(BP196^SIGN(BP196),1)*IFERROR(BQ196^SIGN(BQ196),1)*IFERROR(BR196^SIGN(BR196),1)*IFERROR(BS196^SIGN(BS196),1)</f>
        <v>1584</v>
      </c>
      <c r="BZ196" s="224">
        <f t="shared" si="1266"/>
        <v>7424</v>
      </c>
      <c r="CA196" s="222">
        <f>BT196*BW196/BZ196</f>
        <v>3.8218390804597702</v>
      </c>
      <c r="CB196" s="223">
        <f>BU196*BX196/BZ196</f>
        <v>10.711206896551724</v>
      </c>
      <c r="CC196" s="243">
        <f>BV196*BY196/BZ196</f>
        <v>7.4676724137931032</v>
      </c>
      <c r="CD196" s="243">
        <f>SUM(CA196:CC196)</f>
        <v>22.000718390804597</v>
      </c>
      <c r="CE196" s="252">
        <f t="shared" si="1271"/>
        <v>0</v>
      </c>
      <c r="CF196" s="309">
        <f>CD196-CE196</f>
        <v>22.000718390804597</v>
      </c>
      <c r="CG196" s="218">
        <f t="shared" si="1522"/>
        <v>154.01436781609189</v>
      </c>
      <c r="CH196" s="242">
        <f t="shared" si="1522"/>
        <v>2</v>
      </c>
      <c r="CI196" s="243">
        <f>IF((CG196-CH196)&gt;0,CG196-CH196,0)</f>
        <v>152.01436781609189</v>
      </c>
      <c r="CJ196" s="218">
        <f>IF((CH196-CG196)&gt;0,CH196-CG196,0)</f>
        <v>0</v>
      </c>
      <c r="CL196" s="303" t="s">
        <v>397</v>
      </c>
      <c r="CM196" s="304" t="s">
        <v>170</v>
      </c>
      <c r="CN196" s="305" t="s">
        <v>132</v>
      </c>
      <c r="CO196" s="317"/>
      <c r="CP196" s="254">
        <f t="shared" si="1523"/>
        <v>12</v>
      </c>
      <c r="CQ196" s="254">
        <f>Konvention_1slave-INslave_IN</f>
        <v>11</v>
      </c>
      <c r="CR196" s="254"/>
      <c r="CS196" s="254">
        <f>Konvention_1slave-FFslave</f>
        <v>12</v>
      </c>
      <c r="CT196" s="254"/>
      <c r="CU196" s="254"/>
      <c r="CV196" s="318"/>
      <c r="CW196" s="223">
        <f>(CO196+CP196+CQ196+CR196+CS196+CT196+CU196+CV196)/3</f>
        <v>11.666666666666666</v>
      </c>
      <c r="CX196" s="223">
        <f>2*CW196</f>
        <v>23.333333333333332</v>
      </c>
      <c r="CY196" s="224">
        <f>3*CW196</f>
        <v>35</v>
      </c>
      <c r="CZ196" s="237">
        <f t="shared" si="1511"/>
        <v>2432</v>
      </c>
      <c r="DA196" s="254">
        <f>CP196*CQ196*FFslave+CP196*INslave_IN*CS196+KLslave*CQ196*CS196</f>
        <v>3408</v>
      </c>
      <c r="DB196" s="224">
        <f>IFERROR(CO196^SIGN(CO196),1)*IFERROR(CP196^SIGN(CP196),1)*IFERROR(CQ196^SIGN(CQ196),1)*IFERROR(CR196^SIGN(CR196),1)*IFERROR(CS196^SIGN(CS196),1)*IFERROR(CT196^SIGN(CT196),1)*IFERROR(CU196^SIGN(CU196),1)*IFERROR(CV196^SIGN(CV196),1)</f>
        <v>1584</v>
      </c>
      <c r="DC196" s="224">
        <f t="shared" si="1277"/>
        <v>7424</v>
      </c>
      <c r="DD196" s="222">
        <f>CW196*CZ196/DC196</f>
        <v>3.8218390804597702</v>
      </c>
      <c r="DE196" s="223">
        <f>CX196*DA196/DC196</f>
        <v>10.711206896551724</v>
      </c>
      <c r="DF196" s="243">
        <f>CY196*DB196/DC196</f>
        <v>7.4676724137931032</v>
      </c>
      <c r="DG196" s="243">
        <f>SUM(DD196:DF196)</f>
        <v>22.000718390804597</v>
      </c>
      <c r="DH196" s="252">
        <f t="shared" si="1282"/>
        <v>0</v>
      </c>
      <c r="DI196" s="309">
        <f>DG196-DH196</f>
        <v>22.000718390804597</v>
      </c>
      <c r="DJ196" s="218">
        <f t="shared" si="1524"/>
        <v>154.01436781609189</v>
      </c>
      <c r="DK196" s="242">
        <f t="shared" si="1524"/>
        <v>2</v>
      </c>
      <c r="DL196" s="243">
        <f>IF((DJ196-DK196)&gt;0,DJ196-DK196,0)</f>
        <v>152.01436781609189</v>
      </c>
      <c r="DM196" s="218">
        <f>IF((DK196-DJ196)&gt;0,DK196-DJ196,0)</f>
        <v>0</v>
      </c>
      <c r="DO196" s="303" t="s">
        <v>397</v>
      </c>
      <c r="DP196" s="304" t="s">
        <v>170</v>
      </c>
      <c r="DQ196" s="305" t="s">
        <v>132</v>
      </c>
      <c r="DR196" s="317"/>
      <c r="DS196" s="254">
        <f t="shared" si="1525"/>
        <v>12</v>
      </c>
      <c r="DT196" s="254">
        <f>Konvention_1slave-INslave</f>
        <v>12</v>
      </c>
      <c r="DU196" s="254"/>
      <c r="DV196" s="254">
        <f>Konvention_1slave-FFslave</f>
        <v>12</v>
      </c>
      <c r="DW196" s="254"/>
      <c r="DX196" s="254"/>
      <c r="DY196" s="318"/>
      <c r="DZ196" s="223">
        <f>(DR196+DS196+DT196+DU196+DV196+DW196+DX196+DY196)/3</f>
        <v>12</v>
      </c>
      <c r="EA196" s="223">
        <f>2*DZ196</f>
        <v>24</v>
      </c>
      <c r="EB196" s="224">
        <f>3*DZ196</f>
        <v>36</v>
      </c>
      <c r="EC196" s="237">
        <f t="shared" si="1512"/>
        <v>2304</v>
      </c>
      <c r="ED196" s="254">
        <f>DS196*DT196*FFslave+DS196*INslave*DV196+KLslave*DT196*DV196</f>
        <v>3456</v>
      </c>
      <c r="EE196" s="224">
        <f>IFERROR(DR196^SIGN(DR196),1)*IFERROR(DS196^SIGN(DS196),1)*IFERROR(DT196^SIGN(DT196),1)*IFERROR(DU196^SIGN(DU196),1)*IFERROR(DV196^SIGN(DV196),1)*IFERROR(DW196^SIGN(DW196),1)*IFERROR(DX196^SIGN(DX196),1)*IFERROR(DY196^SIGN(DY196),1)</f>
        <v>1728</v>
      </c>
      <c r="EF196" s="224">
        <f t="shared" si="1288"/>
        <v>7488</v>
      </c>
      <c r="EG196" s="222">
        <f>DZ196*EC196/EF196</f>
        <v>3.6923076923076925</v>
      </c>
      <c r="EH196" s="223">
        <f>EA196*ED196/EF196</f>
        <v>11.076923076923077</v>
      </c>
      <c r="EI196" s="243">
        <f>EB196*EE196/EF196</f>
        <v>8.3076923076923084</v>
      </c>
      <c r="EJ196" s="243">
        <f>SUM(EG196:EI196)</f>
        <v>23.07692307692308</v>
      </c>
      <c r="EK196" s="252">
        <f t="shared" si="1293"/>
        <v>0</v>
      </c>
      <c r="EL196" s="309">
        <f>EJ196-EK196</f>
        <v>23.07692307692308</v>
      </c>
      <c r="EM196" s="218">
        <f t="shared" si="1526"/>
        <v>175.5384615384616</v>
      </c>
      <c r="EN196" s="242">
        <f t="shared" si="1526"/>
        <v>2</v>
      </c>
      <c r="EO196" s="243">
        <f>IF((EM196-EN196)&gt;0,EM196-EN196,0)</f>
        <v>173.5384615384616</v>
      </c>
      <c r="EP196" s="218">
        <f>IF((EN196-EM196)&gt;0,EN196-EM196,0)</f>
        <v>0</v>
      </c>
      <c r="ER196" s="303" t="s">
        <v>397</v>
      </c>
      <c r="ES196" s="304" t="s">
        <v>170</v>
      </c>
      <c r="ET196" s="305" t="s">
        <v>132</v>
      </c>
      <c r="EU196" s="317"/>
      <c r="EV196" s="254">
        <f t="shared" si="1527"/>
        <v>12</v>
      </c>
      <c r="EW196" s="254">
        <f>Konvention_1slave-INslave</f>
        <v>12</v>
      </c>
      <c r="EX196" s="254"/>
      <c r="EY196" s="254">
        <f>Konvention_1slave-FFslave_FF</f>
        <v>11</v>
      </c>
      <c r="EZ196" s="254"/>
      <c r="FA196" s="254"/>
      <c r="FB196" s="318"/>
      <c r="FC196" s="223">
        <f>(EU196+EV196+EW196+EX196+EY196+EZ196+FA196+FB196)/3</f>
        <v>11.666666666666666</v>
      </c>
      <c r="FD196" s="223">
        <f>2*FC196</f>
        <v>23.333333333333332</v>
      </c>
      <c r="FE196" s="224">
        <f>3*FC196</f>
        <v>35</v>
      </c>
      <c r="FF196" s="237">
        <f t="shared" si="1513"/>
        <v>2432</v>
      </c>
      <c r="FG196" s="254">
        <f>EV196*EW196*FFslave_FF+EV196*INslave*EY196+KLslave*EW196*EY196</f>
        <v>3408</v>
      </c>
      <c r="FH196" s="224">
        <f>IFERROR(EU196^SIGN(EU196),1)*IFERROR(EV196^SIGN(EV196),1)*IFERROR(EW196^SIGN(EW196),1)*IFERROR(EX196^SIGN(EX196),1)*IFERROR(EY196^SIGN(EY196),1)*IFERROR(EZ196^SIGN(EZ196),1)*IFERROR(FA196^SIGN(FA196),1)*IFERROR(FB196^SIGN(FB196),1)</f>
        <v>1584</v>
      </c>
      <c r="FI196" s="224">
        <f t="shared" si="1299"/>
        <v>7424</v>
      </c>
      <c r="FJ196" s="222">
        <f>FC196*FF196/FI196</f>
        <v>3.8218390804597702</v>
      </c>
      <c r="FK196" s="223">
        <f>FD196*FG196/FI196</f>
        <v>10.711206896551724</v>
      </c>
      <c r="FL196" s="243">
        <f>FE196*FH196/FI196</f>
        <v>7.4676724137931032</v>
      </c>
      <c r="FM196" s="243">
        <f>SUM(FJ196:FL196)</f>
        <v>22.000718390804597</v>
      </c>
      <c r="FN196" s="252">
        <f t="shared" si="1304"/>
        <v>0</v>
      </c>
      <c r="FO196" s="309">
        <f>FM196-FN196</f>
        <v>22.000718390804597</v>
      </c>
      <c r="FP196" s="218">
        <f t="shared" si="1528"/>
        <v>154.01436781609189</v>
      </c>
      <c r="FQ196" s="242">
        <f t="shared" si="1528"/>
        <v>2</v>
      </c>
      <c r="FR196" s="243">
        <f>IF((FP196-FQ196)&gt;0,FP196-FQ196,0)</f>
        <v>152.01436781609189</v>
      </c>
      <c r="FS196" s="218">
        <f>IF((FQ196-FP196)&gt;0,FQ196-FP196,0)</f>
        <v>0</v>
      </c>
      <c r="FU196" s="303" t="s">
        <v>397</v>
      </c>
      <c r="FV196" s="304" t="s">
        <v>170</v>
      </c>
      <c r="FW196" s="305" t="s">
        <v>132</v>
      </c>
      <c r="FX196" s="317"/>
      <c r="FY196" s="254">
        <f t="shared" si="1529"/>
        <v>12</v>
      </c>
      <c r="FZ196" s="254">
        <f>Konvention_1slave-INslave</f>
        <v>12</v>
      </c>
      <c r="GA196" s="254"/>
      <c r="GB196" s="254">
        <f>Konvention_1slave-FFslave</f>
        <v>12</v>
      </c>
      <c r="GC196" s="254"/>
      <c r="GD196" s="254"/>
      <c r="GE196" s="318"/>
      <c r="GF196" s="223">
        <f>(FX196+FY196+FZ196+GA196+GB196+GC196+GD196+GE196)/3</f>
        <v>12</v>
      </c>
      <c r="GG196" s="223">
        <f>2*GF196</f>
        <v>24</v>
      </c>
      <c r="GH196" s="224">
        <f>3*GF196</f>
        <v>36</v>
      </c>
      <c r="GI196" s="237">
        <f t="shared" si="1514"/>
        <v>2304</v>
      </c>
      <c r="GJ196" s="254">
        <f>FY196*FZ196*FFslave+FY196*INslave*GB196+KLslave*FZ196*GB196</f>
        <v>3456</v>
      </c>
      <c r="GK196" s="224">
        <f>IFERROR(FX196^SIGN(FX196),1)*IFERROR(FY196^SIGN(FY196),1)*IFERROR(FZ196^SIGN(FZ196),1)*IFERROR(GA196^SIGN(GA196),1)*IFERROR(GB196^SIGN(GB196),1)*IFERROR(GC196^SIGN(GC196),1)*IFERROR(GD196^SIGN(GD196),1)*IFERROR(GE196^SIGN(GE196),1)</f>
        <v>1728</v>
      </c>
      <c r="GL196" s="224">
        <f t="shared" si="1310"/>
        <v>7488</v>
      </c>
      <c r="GM196" s="222">
        <f>GF196*GI196/GL196</f>
        <v>3.6923076923076925</v>
      </c>
      <c r="GN196" s="223">
        <f>GG196*GJ196/GL196</f>
        <v>11.076923076923077</v>
      </c>
      <c r="GO196" s="243">
        <f>GH196*GK196/GL196</f>
        <v>8.3076923076923084</v>
      </c>
      <c r="GP196" s="243">
        <f>SUM(GM196:GO196)</f>
        <v>23.07692307692308</v>
      </c>
      <c r="GQ196" s="252">
        <f t="shared" si="1315"/>
        <v>0</v>
      </c>
      <c r="GR196" s="309">
        <f>GP196-GQ196</f>
        <v>23.07692307692308</v>
      </c>
      <c r="GS196" s="218">
        <f t="shared" si="1530"/>
        <v>175.5384615384616</v>
      </c>
      <c r="GT196" s="242">
        <f t="shared" si="1530"/>
        <v>2</v>
      </c>
      <c r="GU196" s="243">
        <f>IF((GS196-GT196)&gt;0,GS196-GT196,0)</f>
        <v>173.5384615384616</v>
      </c>
      <c r="GV196" s="218">
        <f>IF((GT196-GS196)&gt;0,GT196-GS196,0)</f>
        <v>0</v>
      </c>
      <c r="GX196" s="303" t="s">
        <v>397</v>
      </c>
      <c r="GY196" s="304" t="s">
        <v>170</v>
      </c>
      <c r="GZ196" s="305" t="s">
        <v>132</v>
      </c>
      <c r="HA196" s="317"/>
      <c r="HB196" s="254">
        <f t="shared" si="1531"/>
        <v>12</v>
      </c>
      <c r="HC196" s="254">
        <f>Konvention_1slave-INslave</f>
        <v>12</v>
      </c>
      <c r="HD196" s="254"/>
      <c r="HE196" s="254">
        <f>Konvention_1slave-FFslave</f>
        <v>12</v>
      </c>
      <c r="HF196" s="254"/>
      <c r="HG196" s="254"/>
      <c r="HH196" s="318"/>
      <c r="HI196" s="223">
        <f>(HA196+HB196+HC196+HD196+HE196+HF196+HG196+HH196)/3</f>
        <v>12</v>
      </c>
      <c r="HJ196" s="223">
        <f>2*HI196</f>
        <v>24</v>
      </c>
      <c r="HK196" s="224">
        <f>3*HI196</f>
        <v>36</v>
      </c>
      <c r="HL196" s="237">
        <f t="shared" si="1515"/>
        <v>2304</v>
      </c>
      <c r="HM196" s="254">
        <f>HB196*HC196*FFslave+HB196*INslave*HE196+KLslave*HC196*HE196</f>
        <v>3456</v>
      </c>
      <c r="HN196" s="224">
        <f>IFERROR(HA196^SIGN(HA196),1)*IFERROR(HB196^SIGN(HB196),1)*IFERROR(HC196^SIGN(HC196),1)*IFERROR(HD196^SIGN(HD196),1)*IFERROR(HE196^SIGN(HE196),1)*IFERROR(HF196^SIGN(HF196),1)*IFERROR(HG196^SIGN(HG196),1)*IFERROR(HH196^SIGN(HH196),1)</f>
        <v>1728</v>
      </c>
      <c r="HO196" s="224">
        <f t="shared" si="1321"/>
        <v>7488</v>
      </c>
      <c r="HP196" s="222">
        <f>HI196*HL196/HO196</f>
        <v>3.6923076923076925</v>
      </c>
      <c r="HQ196" s="223">
        <f>HJ196*HM196/HO196</f>
        <v>11.076923076923077</v>
      </c>
      <c r="HR196" s="243">
        <f>HK196*HN196/HO196</f>
        <v>8.3076923076923084</v>
      </c>
      <c r="HS196" s="243">
        <f>SUM(HP196:HR196)</f>
        <v>23.07692307692308</v>
      </c>
      <c r="HT196" s="252">
        <f t="shared" si="1326"/>
        <v>0</v>
      </c>
      <c r="HU196" s="309">
        <f>HS196-HT196</f>
        <v>23.07692307692308</v>
      </c>
      <c r="HV196" s="218">
        <f t="shared" si="1532"/>
        <v>175.5384615384616</v>
      </c>
      <c r="HW196" s="242">
        <f t="shared" si="1532"/>
        <v>2</v>
      </c>
      <c r="HX196" s="243">
        <f>IF((HV196-HW196)&gt;0,HV196-HW196,0)</f>
        <v>173.5384615384616</v>
      </c>
      <c r="HY196" s="218">
        <f>IF((HW196-HV196)&gt;0,HW196-HV196,0)</f>
        <v>0</v>
      </c>
      <c r="IA196" s="303" t="s">
        <v>397</v>
      </c>
      <c r="IB196" s="304" t="s">
        <v>170</v>
      </c>
      <c r="IC196" s="305" t="s">
        <v>132</v>
      </c>
      <c r="ID196" s="317"/>
      <c r="IE196" s="254">
        <f t="shared" si="1533"/>
        <v>12</v>
      </c>
      <c r="IF196" s="254">
        <f>Konvention_1slave-INslave</f>
        <v>12</v>
      </c>
      <c r="IG196" s="254"/>
      <c r="IH196" s="254">
        <f>Konvention_1slave-FFslave</f>
        <v>12</v>
      </c>
      <c r="II196" s="254"/>
      <c r="IJ196" s="254"/>
      <c r="IK196" s="318"/>
      <c r="IL196" s="223">
        <f>(ID196+IE196+IF196+IG196+IH196+II196+IJ196+IK196)/3</f>
        <v>12</v>
      </c>
      <c r="IM196" s="223">
        <f>2*IL196</f>
        <v>24</v>
      </c>
      <c r="IN196" s="224">
        <f>3*IL196</f>
        <v>36</v>
      </c>
      <c r="IO196" s="237">
        <f t="shared" si="1516"/>
        <v>2304</v>
      </c>
      <c r="IP196" s="254">
        <f>IE196*IF196*FFslave+IE196*INslave*IH196+KLslave*IF196*IH196</f>
        <v>3456</v>
      </c>
      <c r="IQ196" s="224">
        <f>IFERROR(ID196^SIGN(ID196),1)*IFERROR(IE196^SIGN(IE196),1)*IFERROR(IF196^SIGN(IF196),1)*IFERROR(IG196^SIGN(IG196),1)*IFERROR(IH196^SIGN(IH196),1)*IFERROR(II196^SIGN(II196),1)*IFERROR(IJ196^SIGN(IJ196),1)*IFERROR(IK196^SIGN(IK196),1)</f>
        <v>1728</v>
      </c>
      <c r="IR196" s="224">
        <f t="shared" si="1332"/>
        <v>7488</v>
      </c>
      <c r="IS196" s="222">
        <f>IL196*IO196/IR196</f>
        <v>3.6923076923076925</v>
      </c>
      <c r="IT196" s="223">
        <f>IM196*IP196/IR196</f>
        <v>11.076923076923077</v>
      </c>
      <c r="IU196" s="243">
        <f>IN196*IQ196/IR196</f>
        <v>8.3076923076923084</v>
      </c>
      <c r="IV196" s="243">
        <f>SUM(IS196:IU196)</f>
        <v>23.07692307692308</v>
      </c>
      <c r="IW196" s="252">
        <f t="shared" si="1337"/>
        <v>0</v>
      </c>
      <c r="IX196" s="309">
        <f>IV196-IW196</f>
        <v>23.07692307692308</v>
      </c>
      <c r="IY196" s="218">
        <f t="shared" si="1534"/>
        <v>175.5384615384616</v>
      </c>
      <c r="IZ196" s="242">
        <f t="shared" si="1534"/>
        <v>2</v>
      </c>
      <c r="JA196" s="243">
        <f>IF((IY196-IZ196)&gt;0,IY196-IZ196,0)</f>
        <v>173.5384615384616</v>
      </c>
      <c r="JB196" s="218">
        <f>IF((IZ196-IY196)&gt;0,IZ196-IY196,0)</f>
        <v>0</v>
      </c>
      <c r="JE196" s="148"/>
    </row>
    <row r="197" spans="2:265" ht="15" hidden="1" customHeight="1" outlineLevel="2">
      <c r="B197" s="148">
        <v>45</v>
      </c>
      <c r="C197" s="303" t="e">
        <f>VLOOKUP(AF197,Attribute!C:T,1,FALSE)</f>
        <v>#N/A</v>
      </c>
      <c r="D197" s="86" t="s">
        <v>87</v>
      </c>
      <c r="E197" s="167" t="s">
        <v>132</v>
      </c>
      <c r="F197" s="120"/>
      <c r="G197" s="117">
        <f t="shared" si="1517"/>
        <v>12</v>
      </c>
      <c r="H197" s="117">
        <f>Konvention_1master-INmaster</f>
        <v>12</v>
      </c>
      <c r="I197" s="117">
        <f>Konvention_1master-CHmaster</f>
        <v>12</v>
      </c>
      <c r="J197" s="117"/>
      <c r="K197" s="117"/>
      <c r="L197" s="117"/>
      <c r="M197" s="121"/>
      <c r="N197" s="223">
        <f t="shared" si="1359"/>
        <v>12</v>
      </c>
      <c r="O197" s="223">
        <f t="shared" si="1360"/>
        <v>24</v>
      </c>
      <c r="P197" s="224">
        <f t="shared" si="1361"/>
        <v>36</v>
      </c>
      <c r="Q197" s="237">
        <f t="shared" si="1508"/>
        <v>2304</v>
      </c>
      <c r="R197" s="117">
        <f>G197*H197*CHmaster+G197*INmaster*I197+KLmaster*H197*I197</f>
        <v>3456</v>
      </c>
      <c r="S197" s="224">
        <f t="shared" si="1362"/>
        <v>1728</v>
      </c>
      <c r="T197" s="224">
        <f t="shared" si="1507"/>
        <v>7488</v>
      </c>
      <c r="U197" s="222">
        <f t="shared" si="1363"/>
        <v>3.6923076923076925</v>
      </c>
      <c r="V197" s="223">
        <f t="shared" si="1364"/>
        <v>11.076923076923077</v>
      </c>
      <c r="W197" s="243">
        <f t="shared" si="1365"/>
        <v>8.3076923076923084</v>
      </c>
      <c r="X197" s="243">
        <f t="shared" si="1366"/>
        <v>23.07692307692308</v>
      </c>
      <c r="Y197" s="252">
        <v>0</v>
      </c>
      <c r="Z197" s="198">
        <f t="shared" si="1367"/>
        <v>23.07692307692308</v>
      </c>
      <c r="AA197" s="125">
        <f t="shared" si="1519"/>
        <v>175.5384615384616</v>
      </c>
      <c r="AB197" s="160">
        <f t="shared" si="1519"/>
        <v>2</v>
      </c>
      <c r="AC197" s="127">
        <f t="shared" si="1368"/>
        <v>173.5384615384616</v>
      </c>
      <c r="AD197" s="125">
        <f t="shared" si="1369"/>
        <v>0</v>
      </c>
      <c r="AF197" s="163" t="s">
        <v>209</v>
      </c>
      <c r="AG197" s="86" t="s">
        <v>87</v>
      </c>
      <c r="AH197" s="167" t="s">
        <v>132</v>
      </c>
      <c r="AI197" s="120"/>
      <c r="AJ197" s="117">
        <f t="shared" si="1520"/>
        <v>12</v>
      </c>
      <c r="AK197" s="117">
        <f>Konvention_1slave-INslave</f>
        <v>12</v>
      </c>
      <c r="AL197" s="117">
        <f>Konvention_1slave-CHslave</f>
        <v>12</v>
      </c>
      <c r="AM197" s="117"/>
      <c r="AN197" s="117"/>
      <c r="AO197" s="117"/>
      <c r="AP197" s="121"/>
      <c r="AQ197" s="47">
        <f t="shared" si="1370"/>
        <v>12</v>
      </c>
      <c r="AR197" s="3">
        <f t="shared" si="1371"/>
        <v>24</v>
      </c>
      <c r="AS197" s="174">
        <f t="shared" si="1372"/>
        <v>36</v>
      </c>
      <c r="AT197" s="114">
        <f t="shared" si="1509"/>
        <v>2304</v>
      </c>
      <c r="AU197" s="117">
        <f>AJ197*AK197*CHslave+AJ197*INslave*AL197+KLslave*AK197*AL197</f>
        <v>3456</v>
      </c>
      <c r="AV197" s="119">
        <f t="shared" si="1373"/>
        <v>1728</v>
      </c>
      <c r="AW197" s="119">
        <f t="shared" ref="AW197:AW205" si="1535">SUM(AT197:AV197)</f>
        <v>7488</v>
      </c>
      <c r="AX197" s="89">
        <f t="shared" si="1374"/>
        <v>3.6923076923076925</v>
      </c>
      <c r="AY197" s="47">
        <f t="shared" si="1375"/>
        <v>11.076923076923077</v>
      </c>
      <c r="AZ197" s="127">
        <f t="shared" si="1376"/>
        <v>8.3076923076923084</v>
      </c>
      <c r="BA197" s="127">
        <f t="shared" si="1377"/>
        <v>23.07692307692308</v>
      </c>
      <c r="BB197" s="165">
        <f t="shared" si="1260"/>
        <v>0</v>
      </c>
      <c r="BC197" s="198">
        <f t="shared" si="1378"/>
        <v>23.07692307692308</v>
      </c>
      <c r="BD197" s="125">
        <f t="shared" si="1521"/>
        <v>175.5384615384616</v>
      </c>
      <c r="BE197" s="160">
        <f t="shared" si="1521"/>
        <v>2</v>
      </c>
      <c r="BF197" s="243">
        <f t="shared" si="1379"/>
        <v>173.5384615384616</v>
      </c>
      <c r="BG197" s="218">
        <f t="shared" si="1380"/>
        <v>0</v>
      </c>
      <c r="BI197" s="303" t="s">
        <v>209</v>
      </c>
      <c r="BJ197" s="304" t="s">
        <v>87</v>
      </c>
      <c r="BK197" s="305" t="s">
        <v>132</v>
      </c>
      <c r="BL197" s="317"/>
      <c r="BM197" s="254">
        <f t="shared" si="1518"/>
        <v>11</v>
      </c>
      <c r="BN197" s="254">
        <f>Konvention_1slave-INslave</f>
        <v>12</v>
      </c>
      <c r="BO197" s="254">
        <f>Konvention_1slave-CHslave</f>
        <v>12</v>
      </c>
      <c r="BP197" s="254"/>
      <c r="BQ197" s="254"/>
      <c r="BR197" s="254"/>
      <c r="BS197" s="318"/>
      <c r="BT197" s="223">
        <f t="shared" si="1381"/>
        <v>11.666666666666666</v>
      </c>
      <c r="BU197" s="223">
        <f t="shared" si="1382"/>
        <v>23.333333333333332</v>
      </c>
      <c r="BV197" s="224">
        <f t="shared" si="1383"/>
        <v>35</v>
      </c>
      <c r="BW197" s="237">
        <f t="shared" si="1510"/>
        <v>2432</v>
      </c>
      <c r="BX197" s="254">
        <f>BM197*BN197*CHslave+BM197*INslave*BO197+KLslave_KL*BN197*BO197</f>
        <v>3408</v>
      </c>
      <c r="BY197" s="224">
        <f t="shared" si="1384"/>
        <v>1584</v>
      </c>
      <c r="BZ197" s="224">
        <f t="shared" ref="BZ197:BZ205" si="1536">SUM(BW197:BY197)</f>
        <v>7424</v>
      </c>
      <c r="CA197" s="222">
        <f t="shared" si="1385"/>
        <v>3.8218390804597702</v>
      </c>
      <c r="CB197" s="223">
        <f t="shared" si="1386"/>
        <v>10.711206896551724</v>
      </c>
      <c r="CC197" s="243">
        <f t="shared" si="1387"/>
        <v>7.4676724137931032</v>
      </c>
      <c r="CD197" s="243">
        <f t="shared" si="1388"/>
        <v>22.000718390804597</v>
      </c>
      <c r="CE197" s="252">
        <f t="shared" si="1271"/>
        <v>0</v>
      </c>
      <c r="CF197" s="309">
        <f t="shared" si="1389"/>
        <v>22.000718390804597</v>
      </c>
      <c r="CG197" s="218">
        <f t="shared" si="1522"/>
        <v>154.01436781609189</v>
      </c>
      <c r="CH197" s="242">
        <f t="shared" si="1522"/>
        <v>2</v>
      </c>
      <c r="CI197" s="243">
        <f t="shared" si="1390"/>
        <v>152.01436781609189</v>
      </c>
      <c r="CJ197" s="218">
        <f t="shared" si="1391"/>
        <v>0</v>
      </c>
      <c r="CL197" s="303" t="s">
        <v>209</v>
      </c>
      <c r="CM197" s="304" t="s">
        <v>87</v>
      </c>
      <c r="CN197" s="305" t="s">
        <v>132</v>
      </c>
      <c r="CO197" s="317"/>
      <c r="CP197" s="254">
        <f t="shared" si="1523"/>
        <v>12</v>
      </c>
      <c r="CQ197" s="254">
        <f>Konvention_1slave-INslave_IN</f>
        <v>11</v>
      </c>
      <c r="CR197" s="254">
        <f>Konvention_1slave-CHslave</f>
        <v>12</v>
      </c>
      <c r="CS197" s="254"/>
      <c r="CT197" s="254"/>
      <c r="CU197" s="254"/>
      <c r="CV197" s="318"/>
      <c r="CW197" s="223">
        <f t="shared" si="1392"/>
        <v>11.666666666666666</v>
      </c>
      <c r="CX197" s="223">
        <f t="shared" si="1393"/>
        <v>23.333333333333332</v>
      </c>
      <c r="CY197" s="224">
        <f t="shared" si="1394"/>
        <v>35</v>
      </c>
      <c r="CZ197" s="237">
        <f t="shared" si="1511"/>
        <v>2432</v>
      </c>
      <c r="DA197" s="254">
        <f>CP197*CQ197*CHslave+CP197*INslave_IN*CR197+KLslave*CQ197*CR197</f>
        <v>3408</v>
      </c>
      <c r="DB197" s="224">
        <f t="shared" si="1395"/>
        <v>1584</v>
      </c>
      <c r="DC197" s="224">
        <f t="shared" ref="DC197:DC205" si="1537">SUM(CZ197:DB197)</f>
        <v>7424</v>
      </c>
      <c r="DD197" s="222">
        <f t="shared" si="1396"/>
        <v>3.8218390804597702</v>
      </c>
      <c r="DE197" s="223">
        <f t="shared" si="1397"/>
        <v>10.711206896551724</v>
      </c>
      <c r="DF197" s="243">
        <f t="shared" si="1398"/>
        <v>7.4676724137931032</v>
      </c>
      <c r="DG197" s="243">
        <f t="shared" si="1399"/>
        <v>22.000718390804597</v>
      </c>
      <c r="DH197" s="252">
        <f t="shared" si="1282"/>
        <v>0</v>
      </c>
      <c r="DI197" s="309">
        <f t="shared" si="1400"/>
        <v>22.000718390804597</v>
      </c>
      <c r="DJ197" s="218">
        <f t="shared" si="1524"/>
        <v>154.01436781609189</v>
      </c>
      <c r="DK197" s="242">
        <f t="shared" si="1524"/>
        <v>2</v>
      </c>
      <c r="DL197" s="243">
        <f t="shared" si="1401"/>
        <v>152.01436781609189</v>
      </c>
      <c r="DM197" s="218">
        <f t="shared" si="1402"/>
        <v>0</v>
      </c>
      <c r="DO197" s="303" t="s">
        <v>209</v>
      </c>
      <c r="DP197" s="304" t="s">
        <v>87</v>
      </c>
      <c r="DQ197" s="305" t="s">
        <v>132</v>
      </c>
      <c r="DR197" s="317"/>
      <c r="DS197" s="254">
        <f t="shared" si="1525"/>
        <v>12</v>
      </c>
      <c r="DT197" s="254">
        <f>Konvention_1slave-INslave</f>
        <v>12</v>
      </c>
      <c r="DU197" s="254">
        <f>Konvention_1slave-CHslave_CH</f>
        <v>11</v>
      </c>
      <c r="DV197" s="254"/>
      <c r="DW197" s="254"/>
      <c r="DX197" s="254"/>
      <c r="DY197" s="318"/>
      <c r="DZ197" s="223">
        <f t="shared" si="1403"/>
        <v>11.666666666666666</v>
      </c>
      <c r="EA197" s="223">
        <f t="shared" si="1404"/>
        <v>23.333333333333332</v>
      </c>
      <c r="EB197" s="224">
        <f t="shared" si="1405"/>
        <v>35</v>
      </c>
      <c r="EC197" s="237">
        <f t="shared" si="1512"/>
        <v>2432</v>
      </c>
      <c r="ED197" s="254">
        <f>DS197*DT197*CHslave_CH+DS197*INslave*DU197+KLslave*DT197*DU197</f>
        <v>3408</v>
      </c>
      <c r="EE197" s="224">
        <f t="shared" si="1406"/>
        <v>1584</v>
      </c>
      <c r="EF197" s="224">
        <f t="shared" ref="EF197:EF205" si="1538">SUM(EC197:EE197)</f>
        <v>7424</v>
      </c>
      <c r="EG197" s="222">
        <f t="shared" si="1407"/>
        <v>3.8218390804597702</v>
      </c>
      <c r="EH197" s="223">
        <f t="shared" si="1408"/>
        <v>10.711206896551724</v>
      </c>
      <c r="EI197" s="243">
        <f t="shared" si="1409"/>
        <v>7.4676724137931032</v>
      </c>
      <c r="EJ197" s="243">
        <f t="shared" si="1410"/>
        <v>22.000718390804597</v>
      </c>
      <c r="EK197" s="252">
        <f t="shared" si="1293"/>
        <v>0</v>
      </c>
      <c r="EL197" s="309">
        <f t="shared" si="1411"/>
        <v>22.000718390804597</v>
      </c>
      <c r="EM197" s="218">
        <f t="shared" si="1526"/>
        <v>154.01436781609189</v>
      </c>
      <c r="EN197" s="242">
        <f t="shared" si="1526"/>
        <v>2</v>
      </c>
      <c r="EO197" s="243">
        <f t="shared" si="1412"/>
        <v>152.01436781609189</v>
      </c>
      <c r="EP197" s="218">
        <f t="shared" si="1413"/>
        <v>0</v>
      </c>
      <c r="ER197" s="303" t="s">
        <v>209</v>
      </c>
      <c r="ES197" s="304" t="s">
        <v>87</v>
      </c>
      <c r="ET197" s="305" t="s">
        <v>132</v>
      </c>
      <c r="EU197" s="317"/>
      <c r="EV197" s="254">
        <f t="shared" si="1527"/>
        <v>12</v>
      </c>
      <c r="EW197" s="254">
        <f>Konvention_1slave-INslave</f>
        <v>12</v>
      </c>
      <c r="EX197" s="254">
        <f>Konvention_1slave-CHslave</f>
        <v>12</v>
      </c>
      <c r="EY197" s="254"/>
      <c r="EZ197" s="254"/>
      <c r="FA197" s="254"/>
      <c r="FB197" s="318"/>
      <c r="FC197" s="223">
        <f t="shared" si="1414"/>
        <v>12</v>
      </c>
      <c r="FD197" s="223">
        <f t="shared" si="1415"/>
        <v>24</v>
      </c>
      <c r="FE197" s="224">
        <f t="shared" si="1416"/>
        <v>36</v>
      </c>
      <c r="FF197" s="237">
        <f t="shared" si="1513"/>
        <v>2304</v>
      </c>
      <c r="FG197" s="254">
        <f>EV197*EW197*CHslave+EV197*INslave*EX197+KLslave*EW197*EX197</f>
        <v>3456</v>
      </c>
      <c r="FH197" s="224">
        <f t="shared" si="1417"/>
        <v>1728</v>
      </c>
      <c r="FI197" s="224">
        <f t="shared" ref="FI197:FI205" si="1539">SUM(FF197:FH197)</f>
        <v>7488</v>
      </c>
      <c r="FJ197" s="222">
        <f t="shared" si="1418"/>
        <v>3.6923076923076925</v>
      </c>
      <c r="FK197" s="223">
        <f t="shared" si="1419"/>
        <v>11.076923076923077</v>
      </c>
      <c r="FL197" s="243">
        <f t="shared" si="1420"/>
        <v>8.3076923076923084</v>
      </c>
      <c r="FM197" s="243">
        <f t="shared" si="1421"/>
        <v>23.07692307692308</v>
      </c>
      <c r="FN197" s="252">
        <f t="shared" si="1304"/>
        <v>0</v>
      </c>
      <c r="FO197" s="309">
        <f t="shared" si="1422"/>
        <v>23.07692307692308</v>
      </c>
      <c r="FP197" s="218">
        <f t="shared" si="1528"/>
        <v>175.5384615384616</v>
      </c>
      <c r="FQ197" s="242">
        <f t="shared" si="1528"/>
        <v>2</v>
      </c>
      <c r="FR197" s="243">
        <f t="shared" si="1423"/>
        <v>173.5384615384616</v>
      </c>
      <c r="FS197" s="218">
        <f t="shared" si="1424"/>
        <v>0</v>
      </c>
      <c r="FU197" s="303" t="s">
        <v>209</v>
      </c>
      <c r="FV197" s="304" t="s">
        <v>87</v>
      </c>
      <c r="FW197" s="305" t="s">
        <v>132</v>
      </c>
      <c r="FX197" s="317"/>
      <c r="FY197" s="254">
        <f t="shared" si="1529"/>
        <v>12</v>
      </c>
      <c r="FZ197" s="254">
        <f>Konvention_1slave-INslave</f>
        <v>12</v>
      </c>
      <c r="GA197" s="254">
        <f>Konvention_1slave-CHslave</f>
        <v>12</v>
      </c>
      <c r="GB197" s="254"/>
      <c r="GC197" s="254"/>
      <c r="GD197" s="254"/>
      <c r="GE197" s="318"/>
      <c r="GF197" s="223">
        <f t="shared" si="1425"/>
        <v>12</v>
      </c>
      <c r="GG197" s="223">
        <f t="shared" si="1426"/>
        <v>24</v>
      </c>
      <c r="GH197" s="224">
        <f t="shared" si="1427"/>
        <v>36</v>
      </c>
      <c r="GI197" s="237">
        <f t="shared" si="1514"/>
        <v>2304</v>
      </c>
      <c r="GJ197" s="254">
        <f>FY197*FZ197*CHslave+FY197*INslave*GA197+KLslave*FZ197*GA197</f>
        <v>3456</v>
      </c>
      <c r="GK197" s="224">
        <f t="shared" si="1428"/>
        <v>1728</v>
      </c>
      <c r="GL197" s="224">
        <f t="shared" ref="GL197:GL205" si="1540">SUM(GI197:GK197)</f>
        <v>7488</v>
      </c>
      <c r="GM197" s="222">
        <f t="shared" si="1429"/>
        <v>3.6923076923076925</v>
      </c>
      <c r="GN197" s="223">
        <f t="shared" si="1430"/>
        <v>11.076923076923077</v>
      </c>
      <c r="GO197" s="243">
        <f t="shared" si="1431"/>
        <v>8.3076923076923084</v>
      </c>
      <c r="GP197" s="243">
        <f t="shared" si="1432"/>
        <v>23.07692307692308</v>
      </c>
      <c r="GQ197" s="252">
        <f t="shared" si="1315"/>
        <v>0</v>
      </c>
      <c r="GR197" s="309">
        <f t="shared" si="1433"/>
        <v>23.07692307692308</v>
      </c>
      <c r="GS197" s="218">
        <f t="shared" si="1530"/>
        <v>175.5384615384616</v>
      </c>
      <c r="GT197" s="242">
        <f t="shared" si="1530"/>
        <v>2</v>
      </c>
      <c r="GU197" s="243">
        <f t="shared" si="1434"/>
        <v>173.5384615384616</v>
      </c>
      <c r="GV197" s="218">
        <f t="shared" si="1435"/>
        <v>0</v>
      </c>
      <c r="GX197" s="303" t="s">
        <v>209</v>
      </c>
      <c r="GY197" s="304" t="s">
        <v>87</v>
      </c>
      <c r="GZ197" s="305" t="s">
        <v>132</v>
      </c>
      <c r="HA197" s="317"/>
      <c r="HB197" s="254">
        <f t="shared" si="1531"/>
        <v>12</v>
      </c>
      <c r="HC197" s="254">
        <f>Konvention_1slave-INslave</f>
        <v>12</v>
      </c>
      <c r="HD197" s="254">
        <f>Konvention_1slave-CHslave</f>
        <v>12</v>
      </c>
      <c r="HE197" s="254"/>
      <c r="HF197" s="254"/>
      <c r="HG197" s="254"/>
      <c r="HH197" s="318"/>
      <c r="HI197" s="223">
        <f t="shared" si="1436"/>
        <v>12</v>
      </c>
      <c r="HJ197" s="223">
        <f t="shared" si="1437"/>
        <v>24</v>
      </c>
      <c r="HK197" s="224">
        <f t="shared" si="1438"/>
        <v>36</v>
      </c>
      <c r="HL197" s="237">
        <f t="shared" si="1515"/>
        <v>2304</v>
      </c>
      <c r="HM197" s="254">
        <f>HB197*HC197*CHslave+HB197*INslave*HD197+KLslave*HC197*HD197</f>
        <v>3456</v>
      </c>
      <c r="HN197" s="224">
        <f t="shared" si="1439"/>
        <v>1728</v>
      </c>
      <c r="HO197" s="224">
        <f t="shared" ref="HO197:HO205" si="1541">SUM(HL197:HN197)</f>
        <v>7488</v>
      </c>
      <c r="HP197" s="222">
        <f t="shared" si="1440"/>
        <v>3.6923076923076925</v>
      </c>
      <c r="HQ197" s="223">
        <f t="shared" si="1441"/>
        <v>11.076923076923077</v>
      </c>
      <c r="HR197" s="243">
        <f t="shared" si="1442"/>
        <v>8.3076923076923084</v>
      </c>
      <c r="HS197" s="243">
        <f t="shared" si="1443"/>
        <v>23.07692307692308</v>
      </c>
      <c r="HT197" s="252">
        <f t="shared" si="1326"/>
        <v>0</v>
      </c>
      <c r="HU197" s="309">
        <f t="shared" si="1444"/>
        <v>23.07692307692308</v>
      </c>
      <c r="HV197" s="218">
        <f t="shared" si="1532"/>
        <v>175.5384615384616</v>
      </c>
      <c r="HW197" s="242">
        <f t="shared" si="1532"/>
        <v>2</v>
      </c>
      <c r="HX197" s="243">
        <f t="shared" si="1445"/>
        <v>173.5384615384616</v>
      </c>
      <c r="HY197" s="218">
        <f t="shared" si="1446"/>
        <v>0</v>
      </c>
      <c r="IA197" s="303" t="s">
        <v>209</v>
      </c>
      <c r="IB197" s="304" t="s">
        <v>87</v>
      </c>
      <c r="IC197" s="305" t="s">
        <v>132</v>
      </c>
      <c r="ID197" s="317"/>
      <c r="IE197" s="254">
        <f t="shared" si="1533"/>
        <v>12</v>
      </c>
      <c r="IF197" s="254">
        <f>Konvention_1slave-INslave</f>
        <v>12</v>
      </c>
      <c r="IG197" s="254">
        <f>Konvention_1slave-CHslave</f>
        <v>12</v>
      </c>
      <c r="IH197" s="254"/>
      <c r="II197" s="254"/>
      <c r="IJ197" s="254"/>
      <c r="IK197" s="318"/>
      <c r="IL197" s="223">
        <f t="shared" si="1447"/>
        <v>12</v>
      </c>
      <c r="IM197" s="223">
        <f t="shared" si="1448"/>
        <v>24</v>
      </c>
      <c r="IN197" s="224">
        <f t="shared" si="1449"/>
        <v>36</v>
      </c>
      <c r="IO197" s="237">
        <f t="shared" si="1516"/>
        <v>2304</v>
      </c>
      <c r="IP197" s="254">
        <f>IE197*IF197*CHslave+IE197*INslave*IG197+KLslave*IF197*IG197</f>
        <v>3456</v>
      </c>
      <c r="IQ197" s="224">
        <f t="shared" si="1450"/>
        <v>1728</v>
      </c>
      <c r="IR197" s="224">
        <f t="shared" ref="IR197:IR205" si="1542">SUM(IO197:IQ197)</f>
        <v>7488</v>
      </c>
      <c r="IS197" s="222">
        <f t="shared" si="1451"/>
        <v>3.6923076923076925</v>
      </c>
      <c r="IT197" s="223">
        <f t="shared" si="1452"/>
        <v>11.076923076923077</v>
      </c>
      <c r="IU197" s="243">
        <f t="shared" si="1453"/>
        <v>8.3076923076923084</v>
      </c>
      <c r="IV197" s="243">
        <f t="shared" si="1454"/>
        <v>23.07692307692308</v>
      </c>
      <c r="IW197" s="252">
        <f t="shared" si="1337"/>
        <v>0</v>
      </c>
      <c r="IX197" s="309">
        <f t="shared" si="1455"/>
        <v>23.07692307692308</v>
      </c>
      <c r="IY197" s="218">
        <f t="shared" si="1534"/>
        <v>175.5384615384616</v>
      </c>
      <c r="IZ197" s="242">
        <f t="shared" si="1534"/>
        <v>2</v>
      </c>
      <c r="JA197" s="243">
        <f t="shared" si="1456"/>
        <v>173.5384615384616</v>
      </c>
      <c r="JB197" s="218">
        <f t="shared" si="1457"/>
        <v>0</v>
      </c>
      <c r="JE197" s="148"/>
    </row>
    <row r="198" spans="2:265" hidden="1" outlineLevel="2">
      <c r="B198" s="148">
        <v>46</v>
      </c>
      <c r="C198" s="303" t="e">
        <f>VLOOKUP(AF198,Attribute!C:T,1,FALSE)</f>
        <v>#N/A</v>
      </c>
      <c r="D198" s="86" t="s">
        <v>84</v>
      </c>
      <c r="E198" s="167" t="s">
        <v>135</v>
      </c>
      <c r="F198" s="120">
        <f>Konvention_1master-MUmaster</f>
        <v>12</v>
      </c>
      <c r="G198" s="117">
        <f t="shared" si="1517"/>
        <v>12</v>
      </c>
      <c r="H198" s="117"/>
      <c r="I198" s="117">
        <f>Konvention_1master-CHmaster</f>
        <v>12</v>
      </c>
      <c r="J198" s="117"/>
      <c r="K198" s="117"/>
      <c r="L198" s="117"/>
      <c r="M198" s="121"/>
      <c r="N198" s="223">
        <f>(F198+G198+H198+I198+J198+K198+L198+M198)/3</f>
        <v>12</v>
      </c>
      <c r="O198" s="223">
        <f t="shared" si="1360"/>
        <v>24</v>
      </c>
      <c r="P198" s="224">
        <f t="shared" si="1361"/>
        <v>36</v>
      </c>
      <c r="Q198" s="237">
        <f t="shared" si="1508"/>
        <v>2304</v>
      </c>
      <c r="R198" s="117">
        <f>F198*G198*CHmaster+F198*KLmaster*I198+MUmaster*G198*I198</f>
        <v>3456</v>
      </c>
      <c r="S198" s="224">
        <f t="shared" si="1362"/>
        <v>1728</v>
      </c>
      <c r="T198" s="224">
        <f t="shared" si="1507"/>
        <v>7488</v>
      </c>
      <c r="U198" s="222">
        <f t="shared" si="1363"/>
        <v>3.6923076923076925</v>
      </c>
      <c r="V198" s="223">
        <f t="shared" si="1364"/>
        <v>11.076923076923077</v>
      </c>
      <c r="W198" s="243">
        <f t="shared" si="1365"/>
        <v>8.3076923076923084</v>
      </c>
      <c r="X198" s="243">
        <f t="shared" si="1366"/>
        <v>23.07692307692308</v>
      </c>
      <c r="Y198" s="252">
        <v>0</v>
      </c>
      <c r="Z198" s="198">
        <f t="shared" si="1367"/>
        <v>23.07692307692308</v>
      </c>
      <c r="AA198" s="125">
        <f>IF(X198&lt;=0,3,0)+IF(X198&gt;0,X198+1,0)*3+IF(X198&gt;12,X198-12,0)*3+IF(X198&gt;13,X198-13,0)*3+IF(X198&gt;14,X198-14,0)*3+IF(X198&gt;15,X198-15,0)*3+IF(X198&gt;16,X198-16,0)*3+IF(X198&gt;17,X198-17,0)*3+IF(X198&gt;18,X198-18,0)*3+IF(X198&gt;19,X198-19,0)*3+IF(X198&gt;20,X198-20,0)*3</f>
        <v>263.30769230769232</v>
      </c>
      <c r="AB198" s="160">
        <f>IF(Y198&lt;=0,3,0)+IF(Y198&gt;0,Y198+1,0)*3+IF(Y198&gt;12,Y198-12,0)*3+IF(Y198&gt;13,Y198-13,0)*3+IF(Y198&gt;14,Y198-14,0)*3+IF(Y198&gt;15,Y198-15,0)*3+IF(Y198&gt;16,Y198-16,0)*3+IF(Y198&gt;17,Y198-17,0)*3+IF(Y198&gt;18,Y198-18,0)*3+IF(Y198&gt;19,Y198-19,0)*3+IF(Y198&gt;20,Y198-20,0)*3</f>
        <v>3</v>
      </c>
      <c r="AC198" s="127">
        <f t="shared" si="1368"/>
        <v>260.30769230769232</v>
      </c>
      <c r="AD198" s="125">
        <f t="shared" si="1369"/>
        <v>0</v>
      </c>
      <c r="AF198" s="163" t="s">
        <v>364</v>
      </c>
      <c r="AG198" s="86" t="s">
        <v>84</v>
      </c>
      <c r="AH198" s="167" t="s">
        <v>135</v>
      </c>
      <c r="AI198" s="120">
        <f>Konvention_1slave-MUslave_MU</f>
        <v>11</v>
      </c>
      <c r="AJ198" s="117">
        <f t="shared" si="1520"/>
        <v>12</v>
      </c>
      <c r="AK198" s="117"/>
      <c r="AL198" s="117">
        <f>Konvention_1slave-CHslave</f>
        <v>12</v>
      </c>
      <c r="AM198" s="117"/>
      <c r="AN198" s="117"/>
      <c r="AO198" s="117"/>
      <c r="AP198" s="121"/>
      <c r="AQ198" s="47">
        <f>(AI198+AJ198+AK198+AL198+AM198+AN198+AO198+AP198)/3</f>
        <v>11.666666666666666</v>
      </c>
      <c r="AR198" s="3">
        <f t="shared" si="1371"/>
        <v>23.333333333333332</v>
      </c>
      <c r="AS198" s="174">
        <f t="shared" si="1372"/>
        <v>35</v>
      </c>
      <c r="AT198" s="114">
        <f t="shared" si="1509"/>
        <v>2432</v>
      </c>
      <c r="AU198" s="117">
        <f>AI198*AJ198*CHslave+AI198*KLslave*AL198+MUslave_MU*AJ198*AL198</f>
        <v>3408</v>
      </c>
      <c r="AV198" s="119">
        <f t="shared" si="1373"/>
        <v>1584</v>
      </c>
      <c r="AW198" s="119">
        <f>SUM(AT198:AV198)</f>
        <v>7424</v>
      </c>
      <c r="AX198" s="89">
        <f t="shared" si="1374"/>
        <v>3.8218390804597702</v>
      </c>
      <c r="AY198" s="47">
        <f t="shared" si="1375"/>
        <v>10.711206896551724</v>
      </c>
      <c r="AZ198" s="127">
        <f t="shared" si="1376"/>
        <v>7.4676724137931032</v>
      </c>
      <c r="BA198" s="127">
        <f t="shared" si="1377"/>
        <v>22.000718390804597</v>
      </c>
      <c r="BB198" s="165">
        <f t="shared" si="1260"/>
        <v>0</v>
      </c>
      <c r="BC198" s="198">
        <f t="shared" si="1378"/>
        <v>22.000718390804597</v>
      </c>
      <c r="BD198" s="125">
        <f>IF(BA198&lt;=0,3,0)+IF(BA198&gt;0,BA198+1,0)*3+IF(BA198&gt;12,BA198-12,0)*3+IF(BA198&gt;13,BA198-13,0)*3+IF(BA198&gt;14,BA198-14,0)*3+IF(BA198&gt;15,BA198-15,0)*3+IF(BA198&gt;16,BA198-16,0)*3+IF(BA198&gt;17,BA198-17,0)*3+IF(BA198&gt;18,BA198-18,0)*3+IF(BA198&gt;19,BA198-19,0)*3+IF(BA198&gt;20,BA198-20,0)*3</f>
        <v>231.02155172413785</v>
      </c>
      <c r="BE198" s="160">
        <f>IF(BB198&lt;=0,3,0)+IF(BB198&gt;0,BB198+1,0)*3+IF(BB198&gt;12,BB198-12,0)*3+IF(BB198&gt;13,BB198-13,0)*3+IF(BB198&gt;14,BB198-14,0)*3+IF(BB198&gt;15,BB198-15,0)*3+IF(BB198&gt;16,BB198-16,0)*3+IF(BB198&gt;17,BB198-17,0)*3+IF(BB198&gt;18,BB198-18,0)*3+IF(BB198&gt;19,BB198-19,0)*3+IF(BB198&gt;20,BB198-20,0)*3</f>
        <v>3</v>
      </c>
      <c r="BF198" s="243">
        <f t="shared" si="1379"/>
        <v>228.02155172413785</v>
      </c>
      <c r="BG198" s="218">
        <f t="shared" si="1380"/>
        <v>0</v>
      </c>
      <c r="BI198" s="303" t="s">
        <v>364</v>
      </c>
      <c r="BJ198" s="304" t="s">
        <v>84</v>
      </c>
      <c r="BK198" s="305" t="s">
        <v>135</v>
      </c>
      <c r="BL198" s="317">
        <f>Konvention_1slave-MUslave</f>
        <v>12</v>
      </c>
      <c r="BM198" s="254">
        <f t="shared" si="1518"/>
        <v>11</v>
      </c>
      <c r="BN198" s="254"/>
      <c r="BO198" s="254">
        <f>Konvention_1slave-CHslave</f>
        <v>12</v>
      </c>
      <c r="BP198" s="254"/>
      <c r="BQ198" s="254"/>
      <c r="BR198" s="254"/>
      <c r="BS198" s="318"/>
      <c r="BT198" s="223">
        <f>(BL198+BM198+BN198+BO198+BP198+BQ198+BR198+BS198)/3</f>
        <v>11.666666666666666</v>
      </c>
      <c r="BU198" s="223">
        <f t="shared" si="1382"/>
        <v>23.333333333333332</v>
      </c>
      <c r="BV198" s="224">
        <f t="shared" si="1383"/>
        <v>35</v>
      </c>
      <c r="BW198" s="237">
        <f t="shared" si="1510"/>
        <v>2432</v>
      </c>
      <c r="BX198" s="254">
        <f>BL198*BM198*CHslave+BL198*KLslave_KL*BO198+MUslave*BM198*BO198</f>
        <v>3408</v>
      </c>
      <c r="BY198" s="224">
        <f t="shared" si="1384"/>
        <v>1584</v>
      </c>
      <c r="BZ198" s="224">
        <f>SUM(BW198:BY198)</f>
        <v>7424</v>
      </c>
      <c r="CA198" s="222">
        <f t="shared" si="1385"/>
        <v>3.8218390804597702</v>
      </c>
      <c r="CB198" s="223">
        <f t="shared" si="1386"/>
        <v>10.711206896551724</v>
      </c>
      <c r="CC198" s="243">
        <f t="shared" si="1387"/>
        <v>7.4676724137931032</v>
      </c>
      <c r="CD198" s="243">
        <f t="shared" si="1388"/>
        <v>22.000718390804597</v>
      </c>
      <c r="CE198" s="252">
        <f t="shared" si="1271"/>
        <v>0</v>
      </c>
      <c r="CF198" s="309">
        <f t="shared" si="1389"/>
        <v>22.000718390804597</v>
      </c>
      <c r="CG198" s="218">
        <f>IF(CD198&lt;=0,3,0)+IF(CD198&gt;0,CD198+1,0)*3+IF(CD198&gt;12,CD198-12,0)*3+IF(CD198&gt;13,CD198-13,0)*3+IF(CD198&gt;14,CD198-14,0)*3+IF(CD198&gt;15,CD198-15,0)*3+IF(CD198&gt;16,CD198-16,0)*3+IF(CD198&gt;17,CD198-17,0)*3+IF(CD198&gt;18,CD198-18,0)*3+IF(CD198&gt;19,CD198-19,0)*3+IF(CD198&gt;20,CD198-20,0)*3</f>
        <v>231.02155172413785</v>
      </c>
      <c r="CH198" s="242">
        <f>IF(CE198&lt;=0,3,0)+IF(CE198&gt;0,CE198+1,0)*3+IF(CE198&gt;12,CE198-12,0)*3+IF(CE198&gt;13,CE198-13,0)*3+IF(CE198&gt;14,CE198-14,0)*3+IF(CE198&gt;15,CE198-15,0)*3+IF(CE198&gt;16,CE198-16,0)*3+IF(CE198&gt;17,CE198-17,0)*3+IF(CE198&gt;18,CE198-18,0)*3+IF(CE198&gt;19,CE198-19,0)*3+IF(CE198&gt;20,CE198-20,0)*3</f>
        <v>3</v>
      </c>
      <c r="CI198" s="243">
        <f t="shared" si="1390"/>
        <v>228.02155172413785</v>
      </c>
      <c r="CJ198" s="218">
        <f t="shared" si="1391"/>
        <v>0</v>
      </c>
      <c r="CL198" s="303" t="s">
        <v>364</v>
      </c>
      <c r="CM198" s="304" t="s">
        <v>84</v>
      </c>
      <c r="CN198" s="305" t="s">
        <v>135</v>
      </c>
      <c r="CO198" s="317">
        <f>Konvention_1slave-MUslave</f>
        <v>12</v>
      </c>
      <c r="CP198" s="254">
        <f t="shared" si="1523"/>
        <v>12</v>
      </c>
      <c r="CQ198" s="254"/>
      <c r="CR198" s="254">
        <f>Konvention_1slave-CHslave</f>
        <v>12</v>
      </c>
      <c r="CS198" s="254"/>
      <c r="CT198" s="254"/>
      <c r="CU198" s="254"/>
      <c r="CV198" s="318"/>
      <c r="CW198" s="223">
        <f>(CO198+CP198+CQ198+CR198+CS198+CT198+CU198+CV198)/3</f>
        <v>12</v>
      </c>
      <c r="CX198" s="223">
        <f t="shared" si="1393"/>
        <v>24</v>
      </c>
      <c r="CY198" s="224">
        <f t="shared" si="1394"/>
        <v>36</v>
      </c>
      <c r="CZ198" s="237">
        <f t="shared" si="1511"/>
        <v>2304</v>
      </c>
      <c r="DA198" s="254">
        <f>CO198*CP198*CHslave+CO198*KLslave*CR198+MUslave*CP198*CR198</f>
        <v>3456</v>
      </c>
      <c r="DB198" s="224">
        <f t="shared" si="1395"/>
        <v>1728</v>
      </c>
      <c r="DC198" s="224">
        <f>SUM(CZ198:DB198)</f>
        <v>7488</v>
      </c>
      <c r="DD198" s="222">
        <f t="shared" si="1396"/>
        <v>3.6923076923076925</v>
      </c>
      <c r="DE198" s="223">
        <f t="shared" si="1397"/>
        <v>11.076923076923077</v>
      </c>
      <c r="DF198" s="243">
        <f t="shared" si="1398"/>
        <v>8.3076923076923084</v>
      </c>
      <c r="DG198" s="243">
        <f t="shared" si="1399"/>
        <v>23.07692307692308</v>
      </c>
      <c r="DH198" s="252">
        <f t="shared" si="1282"/>
        <v>0</v>
      </c>
      <c r="DI198" s="309">
        <f t="shared" si="1400"/>
        <v>23.07692307692308</v>
      </c>
      <c r="DJ198" s="218">
        <f>IF(DG198&lt;=0,3,0)+IF(DG198&gt;0,DG198+1,0)*3+IF(DG198&gt;12,DG198-12,0)*3+IF(DG198&gt;13,DG198-13,0)*3+IF(DG198&gt;14,DG198-14,0)*3+IF(DG198&gt;15,DG198-15,0)*3+IF(DG198&gt;16,DG198-16,0)*3+IF(DG198&gt;17,DG198-17,0)*3+IF(DG198&gt;18,DG198-18,0)*3+IF(DG198&gt;19,DG198-19,0)*3+IF(DG198&gt;20,DG198-20,0)*3</f>
        <v>263.30769230769232</v>
      </c>
      <c r="DK198" s="242">
        <f>IF(DH198&lt;=0,3,0)+IF(DH198&gt;0,DH198+1,0)*3+IF(DH198&gt;12,DH198-12,0)*3+IF(DH198&gt;13,DH198-13,0)*3+IF(DH198&gt;14,DH198-14,0)*3+IF(DH198&gt;15,DH198-15,0)*3+IF(DH198&gt;16,DH198-16,0)*3+IF(DH198&gt;17,DH198-17,0)*3+IF(DH198&gt;18,DH198-18,0)*3+IF(DH198&gt;19,DH198-19,0)*3+IF(DH198&gt;20,DH198-20,0)*3</f>
        <v>3</v>
      </c>
      <c r="DL198" s="243">
        <f t="shared" si="1401"/>
        <v>260.30769230769232</v>
      </c>
      <c r="DM198" s="218">
        <f t="shared" si="1402"/>
        <v>0</v>
      </c>
      <c r="DO198" s="303" t="s">
        <v>364</v>
      </c>
      <c r="DP198" s="304" t="s">
        <v>84</v>
      </c>
      <c r="DQ198" s="305" t="s">
        <v>135</v>
      </c>
      <c r="DR198" s="317">
        <f>Konvention_1slave-MUslave</f>
        <v>12</v>
      </c>
      <c r="DS198" s="254">
        <f t="shared" si="1525"/>
        <v>12</v>
      </c>
      <c r="DT198" s="254"/>
      <c r="DU198" s="254">
        <f>Konvention_1slave-CHslave_CH</f>
        <v>11</v>
      </c>
      <c r="DV198" s="254"/>
      <c r="DW198" s="254"/>
      <c r="DX198" s="254"/>
      <c r="DY198" s="318"/>
      <c r="DZ198" s="223">
        <f>(DR198+DS198+DT198+DU198+DV198+DW198+DX198+DY198)/3</f>
        <v>11.666666666666666</v>
      </c>
      <c r="EA198" s="223">
        <f t="shared" si="1404"/>
        <v>23.333333333333332</v>
      </c>
      <c r="EB198" s="224">
        <f t="shared" si="1405"/>
        <v>35</v>
      </c>
      <c r="EC198" s="237">
        <f t="shared" si="1512"/>
        <v>2432</v>
      </c>
      <c r="ED198" s="254">
        <f>DR198*DS198*CHslave_CH+DR198*KLslave*DU198+MUslave*DS198*DU198</f>
        <v>3408</v>
      </c>
      <c r="EE198" s="224">
        <f t="shared" si="1406"/>
        <v>1584</v>
      </c>
      <c r="EF198" s="224">
        <f>SUM(EC198:EE198)</f>
        <v>7424</v>
      </c>
      <c r="EG198" s="222">
        <f t="shared" si="1407"/>
        <v>3.8218390804597702</v>
      </c>
      <c r="EH198" s="223">
        <f t="shared" si="1408"/>
        <v>10.711206896551724</v>
      </c>
      <c r="EI198" s="243">
        <f t="shared" si="1409"/>
        <v>7.4676724137931032</v>
      </c>
      <c r="EJ198" s="243">
        <f t="shared" si="1410"/>
        <v>22.000718390804597</v>
      </c>
      <c r="EK198" s="252">
        <f t="shared" si="1293"/>
        <v>0</v>
      </c>
      <c r="EL198" s="309">
        <f t="shared" si="1411"/>
        <v>22.000718390804597</v>
      </c>
      <c r="EM198" s="218">
        <f>IF(EJ198&lt;=0,3,0)+IF(EJ198&gt;0,EJ198+1,0)*3+IF(EJ198&gt;12,EJ198-12,0)*3+IF(EJ198&gt;13,EJ198-13,0)*3+IF(EJ198&gt;14,EJ198-14,0)*3+IF(EJ198&gt;15,EJ198-15,0)*3+IF(EJ198&gt;16,EJ198-16,0)*3+IF(EJ198&gt;17,EJ198-17,0)*3+IF(EJ198&gt;18,EJ198-18,0)*3+IF(EJ198&gt;19,EJ198-19,0)*3+IF(EJ198&gt;20,EJ198-20,0)*3</f>
        <v>231.02155172413785</v>
      </c>
      <c r="EN198" s="242">
        <f>IF(EK198&lt;=0,3,0)+IF(EK198&gt;0,EK198+1,0)*3+IF(EK198&gt;12,EK198-12,0)*3+IF(EK198&gt;13,EK198-13,0)*3+IF(EK198&gt;14,EK198-14,0)*3+IF(EK198&gt;15,EK198-15,0)*3+IF(EK198&gt;16,EK198-16,0)*3+IF(EK198&gt;17,EK198-17,0)*3+IF(EK198&gt;18,EK198-18,0)*3+IF(EK198&gt;19,EK198-19,0)*3+IF(EK198&gt;20,EK198-20,0)*3</f>
        <v>3</v>
      </c>
      <c r="EO198" s="243">
        <f t="shared" si="1412"/>
        <v>228.02155172413785</v>
      </c>
      <c r="EP198" s="218">
        <f t="shared" si="1413"/>
        <v>0</v>
      </c>
      <c r="ER198" s="303" t="s">
        <v>364</v>
      </c>
      <c r="ES198" s="304" t="s">
        <v>84</v>
      </c>
      <c r="ET198" s="305" t="s">
        <v>135</v>
      </c>
      <c r="EU198" s="317">
        <f>Konvention_1slave-MUslave</f>
        <v>12</v>
      </c>
      <c r="EV198" s="254">
        <f t="shared" si="1527"/>
        <v>12</v>
      </c>
      <c r="EW198" s="254"/>
      <c r="EX198" s="254">
        <f>Konvention_1slave-CHslave</f>
        <v>12</v>
      </c>
      <c r="EY198" s="254"/>
      <c r="EZ198" s="254"/>
      <c r="FA198" s="254"/>
      <c r="FB198" s="318"/>
      <c r="FC198" s="223">
        <f>(EU198+EV198+EW198+EX198+EY198+EZ198+FA198+FB198)/3</f>
        <v>12</v>
      </c>
      <c r="FD198" s="223">
        <f t="shared" si="1415"/>
        <v>24</v>
      </c>
      <c r="FE198" s="224">
        <f t="shared" si="1416"/>
        <v>36</v>
      </c>
      <c r="FF198" s="237">
        <f t="shared" si="1513"/>
        <v>2304</v>
      </c>
      <c r="FG198" s="254">
        <f>EU198*EV198*CHslave+EU198*KLslave*EX198+MUslave*EV198*EX198</f>
        <v>3456</v>
      </c>
      <c r="FH198" s="224">
        <f t="shared" si="1417"/>
        <v>1728</v>
      </c>
      <c r="FI198" s="224">
        <f>SUM(FF198:FH198)</f>
        <v>7488</v>
      </c>
      <c r="FJ198" s="222">
        <f t="shared" si="1418"/>
        <v>3.6923076923076925</v>
      </c>
      <c r="FK198" s="223">
        <f t="shared" si="1419"/>
        <v>11.076923076923077</v>
      </c>
      <c r="FL198" s="243">
        <f t="shared" si="1420"/>
        <v>8.3076923076923084</v>
      </c>
      <c r="FM198" s="243">
        <f t="shared" si="1421"/>
        <v>23.07692307692308</v>
      </c>
      <c r="FN198" s="252">
        <f t="shared" si="1304"/>
        <v>0</v>
      </c>
      <c r="FO198" s="309">
        <f t="shared" si="1422"/>
        <v>23.07692307692308</v>
      </c>
      <c r="FP198" s="218">
        <f>IF(FM198&lt;=0,3,0)+IF(FM198&gt;0,FM198+1,0)*3+IF(FM198&gt;12,FM198-12,0)*3+IF(FM198&gt;13,FM198-13,0)*3+IF(FM198&gt;14,FM198-14,0)*3+IF(FM198&gt;15,FM198-15,0)*3+IF(FM198&gt;16,FM198-16,0)*3+IF(FM198&gt;17,FM198-17,0)*3+IF(FM198&gt;18,FM198-18,0)*3+IF(FM198&gt;19,FM198-19,0)*3+IF(FM198&gt;20,FM198-20,0)*3</f>
        <v>263.30769230769232</v>
      </c>
      <c r="FQ198" s="242">
        <f>IF(FN198&lt;=0,3,0)+IF(FN198&gt;0,FN198+1,0)*3+IF(FN198&gt;12,FN198-12,0)*3+IF(FN198&gt;13,FN198-13,0)*3+IF(FN198&gt;14,FN198-14,0)*3+IF(FN198&gt;15,FN198-15,0)*3+IF(FN198&gt;16,FN198-16,0)*3+IF(FN198&gt;17,FN198-17,0)*3+IF(FN198&gt;18,FN198-18,0)*3+IF(FN198&gt;19,FN198-19,0)*3+IF(FN198&gt;20,FN198-20,0)*3</f>
        <v>3</v>
      </c>
      <c r="FR198" s="243">
        <f t="shared" si="1423"/>
        <v>260.30769230769232</v>
      </c>
      <c r="FS198" s="218">
        <f t="shared" si="1424"/>
        <v>0</v>
      </c>
      <c r="FU198" s="303" t="s">
        <v>364</v>
      </c>
      <c r="FV198" s="304" t="s">
        <v>84</v>
      </c>
      <c r="FW198" s="305" t="s">
        <v>135</v>
      </c>
      <c r="FX198" s="317">
        <f>Konvention_1slave-MUslave</f>
        <v>12</v>
      </c>
      <c r="FY198" s="254">
        <f t="shared" si="1529"/>
        <v>12</v>
      </c>
      <c r="FZ198" s="254"/>
      <c r="GA198" s="254">
        <f>Konvention_1slave-CHslave</f>
        <v>12</v>
      </c>
      <c r="GB198" s="254"/>
      <c r="GC198" s="254"/>
      <c r="GD198" s="254"/>
      <c r="GE198" s="318"/>
      <c r="GF198" s="223">
        <f>(FX198+FY198+FZ198+GA198+GB198+GC198+GD198+GE198)/3</f>
        <v>12</v>
      </c>
      <c r="GG198" s="223">
        <f t="shared" si="1426"/>
        <v>24</v>
      </c>
      <c r="GH198" s="224">
        <f t="shared" si="1427"/>
        <v>36</v>
      </c>
      <c r="GI198" s="237">
        <f t="shared" si="1514"/>
        <v>2304</v>
      </c>
      <c r="GJ198" s="254">
        <f>FX198*FY198*CHslave+FX198*KLslave*GA198+MUslave*FY198*GA198</f>
        <v>3456</v>
      </c>
      <c r="GK198" s="224">
        <f t="shared" si="1428"/>
        <v>1728</v>
      </c>
      <c r="GL198" s="224">
        <f>SUM(GI198:GK198)</f>
        <v>7488</v>
      </c>
      <c r="GM198" s="222">
        <f t="shared" si="1429"/>
        <v>3.6923076923076925</v>
      </c>
      <c r="GN198" s="223">
        <f t="shared" si="1430"/>
        <v>11.076923076923077</v>
      </c>
      <c r="GO198" s="243">
        <f t="shared" si="1431"/>
        <v>8.3076923076923084</v>
      </c>
      <c r="GP198" s="243">
        <f t="shared" si="1432"/>
        <v>23.07692307692308</v>
      </c>
      <c r="GQ198" s="252">
        <f t="shared" si="1315"/>
        <v>0</v>
      </c>
      <c r="GR198" s="309">
        <f t="shared" si="1433"/>
        <v>23.07692307692308</v>
      </c>
      <c r="GS198" s="218">
        <f>IF(GP198&lt;=0,3,0)+IF(GP198&gt;0,GP198+1,0)*3+IF(GP198&gt;12,GP198-12,0)*3+IF(GP198&gt;13,GP198-13,0)*3+IF(GP198&gt;14,GP198-14,0)*3+IF(GP198&gt;15,GP198-15,0)*3+IF(GP198&gt;16,GP198-16,0)*3+IF(GP198&gt;17,GP198-17,0)*3+IF(GP198&gt;18,GP198-18,0)*3+IF(GP198&gt;19,GP198-19,0)*3+IF(GP198&gt;20,GP198-20,0)*3</f>
        <v>263.30769230769232</v>
      </c>
      <c r="GT198" s="242">
        <f>IF(GQ198&lt;=0,3,0)+IF(GQ198&gt;0,GQ198+1,0)*3+IF(GQ198&gt;12,GQ198-12,0)*3+IF(GQ198&gt;13,GQ198-13,0)*3+IF(GQ198&gt;14,GQ198-14,0)*3+IF(GQ198&gt;15,GQ198-15,0)*3+IF(GQ198&gt;16,GQ198-16,0)*3+IF(GQ198&gt;17,GQ198-17,0)*3+IF(GQ198&gt;18,GQ198-18,0)*3+IF(GQ198&gt;19,GQ198-19,0)*3+IF(GQ198&gt;20,GQ198-20,0)*3</f>
        <v>3</v>
      </c>
      <c r="GU198" s="243">
        <f t="shared" si="1434"/>
        <v>260.30769230769232</v>
      </c>
      <c r="GV198" s="218">
        <f t="shared" si="1435"/>
        <v>0</v>
      </c>
      <c r="GX198" s="303" t="s">
        <v>364</v>
      </c>
      <c r="GY198" s="304" t="s">
        <v>84</v>
      </c>
      <c r="GZ198" s="305" t="s">
        <v>135</v>
      </c>
      <c r="HA198" s="317">
        <f>Konvention_1slave-MUslave</f>
        <v>12</v>
      </c>
      <c r="HB198" s="254">
        <f t="shared" si="1531"/>
        <v>12</v>
      </c>
      <c r="HC198" s="254"/>
      <c r="HD198" s="254">
        <f>Konvention_1slave-CHslave</f>
        <v>12</v>
      </c>
      <c r="HE198" s="254"/>
      <c r="HF198" s="254"/>
      <c r="HG198" s="254"/>
      <c r="HH198" s="318"/>
      <c r="HI198" s="223">
        <f>(HA198+HB198+HC198+HD198+HE198+HF198+HG198+HH198)/3</f>
        <v>12</v>
      </c>
      <c r="HJ198" s="223">
        <f t="shared" si="1437"/>
        <v>24</v>
      </c>
      <c r="HK198" s="224">
        <f t="shared" si="1438"/>
        <v>36</v>
      </c>
      <c r="HL198" s="237">
        <f t="shared" si="1515"/>
        <v>2304</v>
      </c>
      <c r="HM198" s="254">
        <f>HA198*HB198*CHslave+HA198*KLslave*HD198+MUslave*HB198*HD198</f>
        <v>3456</v>
      </c>
      <c r="HN198" s="224">
        <f t="shared" si="1439"/>
        <v>1728</v>
      </c>
      <c r="HO198" s="224">
        <f>SUM(HL198:HN198)</f>
        <v>7488</v>
      </c>
      <c r="HP198" s="222">
        <f t="shared" si="1440"/>
        <v>3.6923076923076925</v>
      </c>
      <c r="HQ198" s="223">
        <f t="shared" si="1441"/>
        <v>11.076923076923077</v>
      </c>
      <c r="HR198" s="243">
        <f t="shared" si="1442"/>
        <v>8.3076923076923084</v>
      </c>
      <c r="HS198" s="243">
        <f t="shared" si="1443"/>
        <v>23.07692307692308</v>
      </c>
      <c r="HT198" s="252">
        <f t="shared" si="1326"/>
        <v>0</v>
      </c>
      <c r="HU198" s="309">
        <f t="shared" si="1444"/>
        <v>23.07692307692308</v>
      </c>
      <c r="HV198" s="218">
        <f>IF(HS198&lt;=0,3,0)+IF(HS198&gt;0,HS198+1,0)*3+IF(HS198&gt;12,HS198-12,0)*3+IF(HS198&gt;13,HS198-13,0)*3+IF(HS198&gt;14,HS198-14,0)*3+IF(HS198&gt;15,HS198-15,0)*3+IF(HS198&gt;16,HS198-16,0)*3+IF(HS198&gt;17,HS198-17,0)*3+IF(HS198&gt;18,HS198-18,0)*3+IF(HS198&gt;19,HS198-19,0)*3+IF(HS198&gt;20,HS198-20,0)*3</f>
        <v>263.30769230769232</v>
      </c>
      <c r="HW198" s="242">
        <f>IF(HT198&lt;=0,3,0)+IF(HT198&gt;0,HT198+1,0)*3+IF(HT198&gt;12,HT198-12,0)*3+IF(HT198&gt;13,HT198-13,0)*3+IF(HT198&gt;14,HT198-14,0)*3+IF(HT198&gt;15,HT198-15,0)*3+IF(HT198&gt;16,HT198-16,0)*3+IF(HT198&gt;17,HT198-17,0)*3+IF(HT198&gt;18,HT198-18,0)*3+IF(HT198&gt;19,HT198-19,0)*3+IF(HT198&gt;20,HT198-20,0)*3</f>
        <v>3</v>
      </c>
      <c r="HX198" s="243">
        <f t="shared" si="1445"/>
        <v>260.30769230769232</v>
      </c>
      <c r="HY198" s="218">
        <f t="shared" si="1446"/>
        <v>0</v>
      </c>
      <c r="IA198" s="303" t="s">
        <v>364</v>
      </c>
      <c r="IB198" s="304" t="s">
        <v>84</v>
      </c>
      <c r="IC198" s="305" t="s">
        <v>135</v>
      </c>
      <c r="ID198" s="317">
        <f>Konvention_1slave-MUslave</f>
        <v>12</v>
      </c>
      <c r="IE198" s="254">
        <f t="shared" si="1533"/>
        <v>12</v>
      </c>
      <c r="IF198" s="254"/>
      <c r="IG198" s="254">
        <f>Konvention_1slave-CHslave</f>
        <v>12</v>
      </c>
      <c r="IH198" s="254"/>
      <c r="II198" s="254"/>
      <c r="IJ198" s="254"/>
      <c r="IK198" s="318"/>
      <c r="IL198" s="223">
        <f>(ID198+IE198+IF198+IG198+IH198+II198+IJ198+IK198)/3</f>
        <v>12</v>
      </c>
      <c r="IM198" s="223">
        <f t="shared" si="1448"/>
        <v>24</v>
      </c>
      <c r="IN198" s="224">
        <f t="shared" si="1449"/>
        <v>36</v>
      </c>
      <c r="IO198" s="237">
        <f t="shared" si="1516"/>
        <v>2304</v>
      </c>
      <c r="IP198" s="254">
        <f>ID198*IE198*CHslave+ID198*KLslave*IG198+MUslave*IE198*IG198</f>
        <v>3456</v>
      </c>
      <c r="IQ198" s="224">
        <f t="shared" si="1450"/>
        <v>1728</v>
      </c>
      <c r="IR198" s="224">
        <f>SUM(IO198:IQ198)</f>
        <v>7488</v>
      </c>
      <c r="IS198" s="222">
        <f t="shared" si="1451"/>
        <v>3.6923076923076925</v>
      </c>
      <c r="IT198" s="223">
        <f t="shared" si="1452"/>
        <v>11.076923076923077</v>
      </c>
      <c r="IU198" s="243">
        <f t="shared" si="1453"/>
        <v>8.3076923076923084</v>
      </c>
      <c r="IV198" s="243">
        <f t="shared" si="1454"/>
        <v>23.07692307692308</v>
      </c>
      <c r="IW198" s="252">
        <f t="shared" si="1337"/>
        <v>0</v>
      </c>
      <c r="IX198" s="309">
        <f t="shared" si="1455"/>
        <v>23.07692307692308</v>
      </c>
      <c r="IY198" s="218">
        <f>IF(IV198&lt;=0,3,0)+IF(IV198&gt;0,IV198+1,0)*3+IF(IV198&gt;12,IV198-12,0)*3+IF(IV198&gt;13,IV198-13,0)*3+IF(IV198&gt;14,IV198-14,0)*3+IF(IV198&gt;15,IV198-15,0)*3+IF(IV198&gt;16,IV198-16,0)*3+IF(IV198&gt;17,IV198-17,0)*3+IF(IV198&gt;18,IV198-18,0)*3+IF(IV198&gt;19,IV198-19,0)*3+IF(IV198&gt;20,IV198-20,0)*3</f>
        <v>263.30769230769232</v>
      </c>
      <c r="IZ198" s="242">
        <f>IF(IW198&lt;=0,3,0)+IF(IW198&gt;0,IW198+1,0)*3+IF(IW198&gt;12,IW198-12,0)*3+IF(IW198&gt;13,IW198-13,0)*3+IF(IW198&gt;14,IW198-14,0)*3+IF(IW198&gt;15,IW198-15,0)*3+IF(IW198&gt;16,IW198-16,0)*3+IF(IW198&gt;17,IW198-17,0)*3+IF(IW198&gt;18,IW198-18,0)*3+IF(IW198&gt;19,IW198-19,0)*3+IF(IW198&gt;20,IW198-20,0)*3</f>
        <v>3</v>
      </c>
      <c r="JA198" s="243">
        <f t="shared" si="1456"/>
        <v>260.30769230769232</v>
      </c>
      <c r="JB198" s="218">
        <f t="shared" si="1457"/>
        <v>0</v>
      </c>
      <c r="JE198" s="148"/>
    </row>
    <row r="199" spans="2:265" ht="15" hidden="1" customHeight="1" outlineLevel="2">
      <c r="B199" s="148">
        <v>47</v>
      </c>
      <c r="C199" s="303" t="e">
        <f>VLOOKUP(AF199,Attribute!C:T,1,FALSE)</f>
        <v>#N/A</v>
      </c>
      <c r="D199" s="125" t="s">
        <v>226</v>
      </c>
      <c r="E199" s="127" t="s">
        <v>132</v>
      </c>
      <c r="F199" s="114"/>
      <c r="G199" s="113">
        <f t="shared" si="1517"/>
        <v>12</v>
      </c>
      <c r="H199" s="113">
        <f>Konvention_1master-INmaster</f>
        <v>12</v>
      </c>
      <c r="I199" s="113"/>
      <c r="J199" s="113"/>
      <c r="K199" s="113"/>
      <c r="L199" s="113">
        <f>Konvention_1master-KOmaster</f>
        <v>12</v>
      </c>
      <c r="M199" s="119"/>
      <c r="N199" s="223">
        <f t="shared" si="1359"/>
        <v>12</v>
      </c>
      <c r="O199" s="223">
        <f t="shared" si="1360"/>
        <v>24</v>
      </c>
      <c r="P199" s="224">
        <f t="shared" si="1361"/>
        <v>36</v>
      </c>
      <c r="Q199" s="237">
        <f t="shared" si="1508"/>
        <v>2304</v>
      </c>
      <c r="R199" s="113">
        <f>G199*H199*KOmaster+G199*INmaster*L199+KLmaster*H199*L199</f>
        <v>3456</v>
      </c>
      <c r="S199" s="224">
        <f t="shared" si="1362"/>
        <v>1728</v>
      </c>
      <c r="T199" s="224">
        <f t="shared" si="1507"/>
        <v>7488</v>
      </c>
      <c r="U199" s="222">
        <f t="shared" si="1363"/>
        <v>3.6923076923076925</v>
      </c>
      <c r="V199" s="223">
        <f t="shared" si="1364"/>
        <v>11.076923076923077</v>
      </c>
      <c r="W199" s="243">
        <f t="shared" si="1365"/>
        <v>8.3076923076923084</v>
      </c>
      <c r="X199" s="243">
        <f t="shared" si="1366"/>
        <v>23.07692307692308</v>
      </c>
      <c r="Y199" s="252">
        <v>0</v>
      </c>
      <c r="Z199" s="198">
        <f t="shared" si="1367"/>
        <v>23.07692307692308</v>
      </c>
      <c r="AA199" s="125">
        <f>IF(X199&lt;=0,2,0)+IF(X199&gt;0,X199+1,0)*2+IF(X199&gt;12,X199-12,0)*2+IF(X199&gt;13,X199-13,0)*2+IF(X199&gt;14,X199-14,0)*2+IF(X199&gt;15,X199-15,0)*2+IF(X199&gt;16,X199-16,0)*2+IF(X199&gt;17,X199-17,0)*2+IF(X199&gt;18,X199-18,0)*2+IF(X199&gt;19,X199-19,0)*2+IF(X199&gt;20,X199-20,0)*2</f>
        <v>175.5384615384616</v>
      </c>
      <c r="AB199" s="160">
        <f>IF(Y199&lt;=0,2,0)+IF(Y199&gt;0,Y199+1,0)*2+IF(Y199&gt;12,Y199-12,0)*2+IF(Y199&gt;13,Y199-13,0)*2+IF(Y199&gt;14,Y199-14,0)*2+IF(Y199&gt;15,Y199-15,0)*2+IF(Y199&gt;16,Y199-16,0)*2+IF(Y199&gt;17,Y199-17,0)*2+IF(Y199&gt;18,Y199-18,0)*2+IF(Y199&gt;19,Y199-19,0)*2+IF(Y199&gt;20,Y199-20,0)*2</f>
        <v>2</v>
      </c>
      <c r="AC199" s="127">
        <f t="shared" si="1368"/>
        <v>173.5384615384616</v>
      </c>
      <c r="AD199" s="125">
        <f t="shared" si="1369"/>
        <v>0</v>
      </c>
      <c r="AF199" s="163" t="s">
        <v>211</v>
      </c>
      <c r="AG199" s="125" t="s">
        <v>226</v>
      </c>
      <c r="AH199" s="127" t="s">
        <v>132</v>
      </c>
      <c r="AI199" s="114"/>
      <c r="AJ199" s="113">
        <f t="shared" si="1520"/>
        <v>12</v>
      </c>
      <c r="AK199" s="113">
        <f>Konvention_1slave-INslave</f>
        <v>12</v>
      </c>
      <c r="AL199" s="113"/>
      <c r="AM199" s="113"/>
      <c r="AN199" s="113"/>
      <c r="AO199" s="113">
        <f>Konvention_1slave-KOslave</f>
        <v>12</v>
      </c>
      <c r="AP199" s="119"/>
      <c r="AQ199" s="47">
        <f t="shared" si="1370"/>
        <v>12</v>
      </c>
      <c r="AR199" s="47">
        <f t="shared" si="1371"/>
        <v>24</v>
      </c>
      <c r="AS199" s="119">
        <f t="shared" si="1372"/>
        <v>36</v>
      </c>
      <c r="AT199" s="114">
        <f t="shared" si="1509"/>
        <v>2304</v>
      </c>
      <c r="AU199" s="113">
        <f>AJ199*AK199*KOslave+AJ199*INslave*AO199+KLslave*AK199*AO199</f>
        <v>3456</v>
      </c>
      <c r="AV199" s="119">
        <f t="shared" si="1373"/>
        <v>1728</v>
      </c>
      <c r="AW199" s="119">
        <f t="shared" si="1535"/>
        <v>7488</v>
      </c>
      <c r="AX199" s="89">
        <f t="shared" si="1374"/>
        <v>3.6923076923076925</v>
      </c>
      <c r="AY199" s="47">
        <f t="shared" si="1375"/>
        <v>11.076923076923077</v>
      </c>
      <c r="AZ199" s="127">
        <f t="shared" si="1376"/>
        <v>8.3076923076923084</v>
      </c>
      <c r="BA199" s="127">
        <f t="shared" si="1377"/>
        <v>23.07692307692308</v>
      </c>
      <c r="BB199" s="165">
        <f t="shared" si="1260"/>
        <v>0</v>
      </c>
      <c r="BC199" s="198">
        <f t="shared" si="1378"/>
        <v>23.07692307692308</v>
      </c>
      <c r="BD199" s="125">
        <f>IF(BA199&lt;=0,2,0)+IF(BA199&gt;0,BA199+1,0)*2+IF(BA199&gt;12,BA199-12,0)*2+IF(BA199&gt;13,BA199-13,0)*2+IF(BA199&gt;14,BA199-14,0)*2+IF(BA199&gt;15,BA199-15,0)*2+IF(BA199&gt;16,BA199-16,0)*2+IF(BA199&gt;17,BA199-17,0)*2+IF(BA199&gt;18,BA199-18,0)*2+IF(BA199&gt;19,BA199-19,0)*2+IF(BA199&gt;20,BA199-20,0)*2</f>
        <v>175.5384615384616</v>
      </c>
      <c r="BE199" s="160">
        <f>IF(BB199&lt;=0,2,0)+IF(BB199&gt;0,BB199+1,0)*2+IF(BB199&gt;12,BB199-12,0)*2+IF(BB199&gt;13,BB199-13,0)*2+IF(BB199&gt;14,BB199-14,0)*2+IF(BB199&gt;15,BB199-15,0)*2+IF(BB199&gt;16,BB199-16,0)*2+IF(BB199&gt;17,BB199-17,0)*2+IF(BB199&gt;18,BB199-18,0)*2+IF(BB199&gt;19,BB199-19,0)*2+IF(BB199&gt;20,BB199-20,0)*2</f>
        <v>2</v>
      </c>
      <c r="BF199" s="243">
        <f t="shared" si="1379"/>
        <v>173.5384615384616</v>
      </c>
      <c r="BG199" s="218">
        <f t="shared" si="1380"/>
        <v>0</v>
      </c>
      <c r="BI199" s="303" t="s">
        <v>211</v>
      </c>
      <c r="BJ199" s="218" t="s">
        <v>226</v>
      </c>
      <c r="BK199" s="243" t="s">
        <v>132</v>
      </c>
      <c r="BL199" s="237"/>
      <c r="BM199" s="234">
        <f t="shared" si="1518"/>
        <v>11</v>
      </c>
      <c r="BN199" s="234">
        <f>Konvention_1slave-INslave</f>
        <v>12</v>
      </c>
      <c r="BO199" s="234"/>
      <c r="BP199" s="234"/>
      <c r="BQ199" s="234"/>
      <c r="BR199" s="234">
        <f>Konvention_1slave-KOslave</f>
        <v>12</v>
      </c>
      <c r="BS199" s="224"/>
      <c r="BT199" s="223">
        <f t="shared" si="1381"/>
        <v>11.666666666666666</v>
      </c>
      <c r="BU199" s="223">
        <f t="shared" si="1382"/>
        <v>23.333333333333332</v>
      </c>
      <c r="BV199" s="224">
        <f t="shared" si="1383"/>
        <v>35</v>
      </c>
      <c r="BW199" s="237">
        <f t="shared" si="1510"/>
        <v>2432</v>
      </c>
      <c r="BX199" s="234">
        <f>BM199*BN199*KOslave+BM199*INslave*BR199+KLslave_KL*BN199*BR199</f>
        <v>3408</v>
      </c>
      <c r="BY199" s="224">
        <f t="shared" si="1384"/>
        <v>1584</v>
      </c>
      <c r="BZ199" s="224">
        <f t="shared" si="1536"/>
        <v>7424</v>
      </c>
      <c r="CA199" s="222">
        <f t="shared" si="1385"/>
        <v>3.8218390804597702</v>
      </c>
      <c r="CB199" s="223">
        <f t="shared" si="1386"/>
        <v>10.711206896551724</v>
      </c>
      <c r="CC199" s="243">
        <f t="shared" si="1387"/>
        <v>7.4676724137931032</v>
      </c>
      <c r="CD199" s="243">
        <f t="shared" si="1388"/>
        <v>22.000718390804597</v>
      </c>
      <c r="CE199" s="252">
        <f t="shared" si="1271"/>
        <v>0</v>
      </c>
      <c r="CF199" s="309">
        <f t="shared" si="1389"/>
        <v>22.000718390804597</v>
      </c>
      <c r="CG199" s="218">
        <f>IF(CD199&lt;=0,2,0)+IF(CD199&gt;0,CD199+1,0)*2+IF(CD199&gt;12,CD199-12,0)*2+IF(CD199&gt;13,CD199-13,0)*2+IF(CD199&gt;14,CD199-14,0)*2+IF(CD199&gt;15,CD199-15,0)*2+IF(CD199&gt;16,CD199-16,0)*2+IF(CD199&gt;17,CD199-17,0)*2+IF(CD199&gt;18,CD199-18,0)*2+IF(CD199&gt;19,CD199-19,0)*2+IF(CD199&gt;20,CD199-20,0)*2</f>
        <v>154.01436781609189</v>
      </c>
      <c r="CH199" s="242">
        <f>IF(CE199&lt;=0,2,0)+IF(CE199&gt;0,CE199+1,0)*2+IF(CE199&gt;12,CE199-12,0)*2+IF(CE199&gt;13,CE199-13,0)*2+IF(CE199&gt;14,CE199-14,0)*2+IF(CE199&gt;15,CE199-15,0)*2+IF(CE199&gt;16,CE199-16,0)*2+IF(CE199&gt;17,CE199-17,0)*2+IF(CE199&gt;18,CE199-18,0)*2+IF(CE199&gt;19,CE199-19,0)*2+IF(CE199&gt;20,CE199-20,0)*2</f>
        <v>2</v>
      </c>
      <c r="CI199" s="243">
        <f t="shared" si="1390"/>
        <v>152.01436781609189</v>
      </c>
      <c r="CJ199" s="218">
        <f t="shared" si="1391"/>
        <v>0</v>
      </c>
      <c r="CL199" s="303" t="s">
        <v>211</v>
      </c>
      <c r="CM199" s="218" t="s">
        <v>226</v>
      </c>
      <c r="CN199" s="243" t="s">
        <v>132</v>
      </c>
      <c r="CO199" s="237"/>
      <c r="CP199" s="234">
        <f t="shared" si="1523"/>
        <v>12</v>
      </c>
      <c r="CQ199" s="234">
        <f>Konvention_1slave-INslave_IN</f>
        <v>11</v>
      </c>
      <c r="CR199" s="234"/>
      <c r="CS199" s="234"/>
      <c r="CT199" s="234"/>
      <c r="CU199" s="234">
        <f>Konvention_1slave-KOslave</f>
        <v>12</v>
      </c>
      <c r="CV199" s="224"/>
      <c r="CW199" s="223">
        <f t="shared" si="1392"/>
        <v>11.666666666666666</v>
      </c>
      <c r="CX199" s="223">
        <f t="shared" si="1393"/>
        <v>23.333333333333332</v>
      </c>
      <c r="CY199" s="224">
        <f t="shared" si="1394"/>
        <v>35</v>
      </c>
      <c r="CZ199" s="237">
        <f t="shared" si="1511"/>
        <v>2432</v>
      </c>
      <c r="DA199" s="234">
        <f>CP199*CQ199*KOslave+CP199*INslave_IN*CU199+KLslave*CQ199*CU199</f>
        <v>3408</v>
      </c>
      <c r="DB199" s="224">
        <f t="shared" si="1395"/>
        <v>1584</v>
      </c>
      <c r="DC199" s="224">
        <f t="shared" si="1537"/>
        <v>7424</v>
      </c>
      <c r="DD199" s="222">
        <f t="shared" si="1396"/>
        <v>3.8218390804597702</v>
      </c>
      <c r="DE199" s="223">
        <f t="shared" si="1397"/>
        <v>10.711206896551724</v>
      </c>
      <c r="DF199" s="243">
        <f t="shared" si="1398"/>
        <v>7.4676724137931032</v>
      </c>
      <c r="DG199" s="243">
        <f t="shared" si="1399"/>
        <v>22.000718390804597</v>
      </c>
      <c r="DH199" s="252">
        <f t="shared" si="1282"/>
        <v>0</v>
      </c>
      <c r="DI199" s="309">
        <f t="shared" si="1400"/>
        <v>22.000718390804597</v>
      </c>
      <c r="DJ199" s="218">
        <f>IF(DG199&lt;=0,2,0)+IF(DG199&gt;0,DG199+1,0)*2+IF(DG199&gt;12,DG199-12,0)*2+IF(DG199&gt;13,DG199-13,0)*2+IF(DG199&gt;14,DG199-14,0)*2+IF(DG199&gt;15,DG199-15,0)*2+IF(DG199&gt;16,DG199-16,0)*2+IF(DG199&gt;17,DG199-17,0)*2+IF(DG199&gt;18,DG199-18,0)*2+IF(DG199&gt;19,DG199-19,0)*2+IF(DG199&gt;20,DG199-20,0)*2</f>
        <v>154.01436781609189</v>
      </c>
      <c r="DK199" s="242">
        <f>IF(DH199&lt;=0,2,0)+IF(DH199&gt;0,DH199+1,0)*2+IF(DH199&gt;12,DH199-12,0)*2+IF(DH199&gt;13,DH199-13,0)*2+IF(DH199&gt;14,DH199-14,0)*2+IF(DH199&gt;15,DH199-15,0)*2+IF(DH199&gt;16,DH199-16,0)*2+IF(DH199&gt;17,DH199-17,0)*2+IF(DH199&gt;18,DH199-18,0)*2+IF(DH199&gt;19,DH199-19,0)*2+IF(DH199&gt;20,DH199-20,0)*2</f>
        <v>2</v>
      </c>
      <c r="DL199" s="243">
        <f t="shared" si="1401"/>
        <v>152.01436781609189</v>
      </c>
      <c r="DM199" s="218">
        <f t="shared" si="1402"/>
        <v>0</v>
      </c>
      <c r="DO199" s="303" t="s">
        <v>211</v>
      </c>
      <c r="DP199" s="218" t="s">
        <v>226</v>
      </c>
      <c r="DQ199" s="243" t="s">
        <v>132</v>
      </c>
      <c r="DR199" s="237"/>
      <c r="DS199" s="234">
        <f t="shared" si="1525"/>
        <v>12</v>
      </c>
      <c r="DT199" s="234">
        <f>Konvention_1slave-INslave</f>
        <v>12</v>
      </c>
      <c r="DU199" s="234"/>
      <c r="DV199" s="234"/>
      <c r="DW199" s="234"/>
      <c r="DX199" s="234">
        <f>Konvention_1slave-KOslave</f>
        <v>12</v>
      </c>
      <c r="DY199" s="224"/>
      <c r="DZ199" s="223">
        <f t="shared" si="1403"/>
        <v>12</v>
      </c>
      <c r="EA199" s="223">
        <f t="shared" si="1404"/>
        <v>24</v>
      </c>
      <c r="EB199" s="224">
        <f t="shared" si="1405"/>
        <v>36</v>
      </c>
      <c r="EC199" s="237">
        <f t="shared" si="1512"/>
        <v>2304</v>
      </c>
      <c r="ED199" s="234">
        <f>DS199*DT199*KOslave+DS199*INslave*DX199+KLslave*DT199*DX199</f>
        <v>3456</v>
      </c>
      <c r="EE199" s="224">
        <f t="shared" si="1406"/>
        <v>1728</v>
      </c>
      <c r="EF199" s="224">
        <f t="shared" si="1538"/>
        <v>7488</v>
      </c>
      <c r="EG199" s="222">
        <f t="shared" si="1407"/>
        <v>3.6923076923076925</v>
      </c>
      <c r="EH199" s="223">
        <f t="shared" si="1408"/>
        <v>11.076923076923077</v>
      </c>
      <c r="EI199" s="243">
        <f t="shared" si="1409"/>
        <v>8.3076923076923084</v>
      </c>
      <c r="EJ199" s="243">
        <f t="shared" si="1410"/>
        <v>23.07692307692308</v>
      </c>
      <c r="EK199" s="252">
        <f t="shared" si="1293"/>
        <v>0</v>
      </c>
      <c r="EL199" s="309">
        <f t="shared" si="1411"/>
        <v>23.07692307692308</v>
      </c>
      <c r="EM199" s="218">
        <f>IF(EJ199&lt;=0,2,0)+IF(EJ199&gt;0,EJ199+1,0)*2+IF(EJ199&gt;12,EJ199-12,0)*2+IF(EJ199&gt;13,EJ199-13,0)*2+IF(EJ199&gt;14,EJ199-14,0)*2+IF(EJ199&gt;15,EJ199-15,0)*2+IF(EJ199&gt;16,EJ199-16,0)*2+IF(EJ199&gt;17,EJ199-17,0)*2+IF(EJ199&gt;18,EJ199-18,0)*2+IF(EJ199&gt;19,EJ199-19,0)*2+IF(EJ199&gt;20,EJ199-20,0)*2</f>
        <v>175.5384615384616</v>
      </c>
      <c r="EN199" s="242">
        <f>IF(EK199&lt;=0,2,0)+IF(EK199&gt;0,EK199+1,0)*2+IF(EK199&gt;12,EK199-12,0)*2+IF(EK199&gt;13,EK199-13,0)*2+IF(EK199&gt;14,EK199-14,0)*2+IF(EK199&gt;15,EK199-15,0)*2+IF(EK199&gt;16,EK199-16,0)*2+IF(EK199&gt;17,EK199-17,0)*2+IF(EK199&gt;18,EK199-18,0)*2+IF(EK199&gt;19,EK199-19,0)*2+IF(EK199&gt;20,EK199-20,0)*2</f>
        <v>2</v>
      </c>
      <c r="EO199" s="243">
        <f t="shared" si="1412"/>
        <v>173.5384615384616</v>
      </c>
      <c r="EP199" s="218">
        <f t="shared" si="1413"/>
        <v>0</v>
      </c>
      <c r="ER199" s="303" t="s">
        <v>211</v>
      </c>
      <c r="ES199" s="218" t="s">
        <v>226</v>
      </c>
      <c r="ET199" s="243" t="s">
        <v>132</v>
      </c>
      <c r="EU199" s="237"/>
      <c r="EV199" s="234">
        <f t="shared" si="1527"/>
        <v>12</v>
      </c>
      <c r="EW199" s="234">
        <f>Konvention_1slave-INslave</f>
        <v>12</v>
      </c>
      <c r="EX199" s="234"/>
      <c r="EY199" s="234"/>
      <c r="EZ199" s="234"/>
      <c r="FA199" s="234">
        <f>Konvention_1slave-KOslave</f>
        <v>12</v>
      </c>
      <c r="FB199" s="224"/>
      <c r="FC199" s="223">
        <f t="shared" si="1414"/>
        <v>12</v>
      </c>
      <c r="FD199" s="223">
        <f t="shared" si="1415"/>
        <v>24</v>
      </c>
      <c r="FE199" s="224">
        <f t="shared" si="1416"/>
        <v>36</v>
      </c>
      <c r="FF199" s="237">
        <f t="shared" si="1513"/>
        <v>2304</v>
      </c>
      <c r="FG199" s="234">
        <f>EV199*EW199*KOslave+EV199*INslave*FA199+KLslave*EW199*FA199</f>
        <v>3456</v>
      </c>
      <c r="FH199" s="224">
        <f t="shared" si="1417"/>
        <v>1728</v>
      </c>
      <c r="FI199" s="224">
        <f t="shared" si="1539"/>
        <v>7488</v>
      </c>
      <c r="FJ199" s="222">
        <f t="shared" si="1418"/>
        <v>3.6923076923076925</v>
      </c>
      <c r="FK199" s="223">
        <f t="shared" si="1419"/>
        <v>11.076923076923077</v>
      </c>
      <c r="FL199" s="243">
        <f t="shared" si="1420"/>
        <v>8.3076923076923084</v>
      </c>
      <c r="FM199" s="243">
        <f t="shared" si="1421"/>
        <v>23.07692307692308</v>
      </c>
      <c r="FN199" s="252">
        <f t="shared" si="1304"/>
        <v>0</v>
      </c>
      <c r="FO199" s="309">
        <f t="shared" si="1422"/>
        <v>23.07692307692308</v>
      </c>
      <c r="FP199" s="218">
        <f>IF(FM199&lt;=0,2,0)+IF(FM199&gt;0,FM199+1,0)*2+IF(FM199&gt;12,FM199-12,0)*2+IF(FM199&gt;13,FM199-13,0)*2+IF(FM199&gt;14,FM199-14,0)*2+IF(FM199&gt;15,FM199-15,0)*2+IF(FM199&gt;16,FM199-16,0)*2+IF(FM199&gt;17,FM199-17,0)*2+IF(FM199&gt;18,FM199-18,0)*2+IF(FM199&gt;19,FM199-19,0)*2+IF(FM199&gt;20,FM199-20,0)*2</f>
        <v>175.5384615384616</v>
      </c>
      <c r="FQ199" s="242">
        <f>IF(FN199&lt;=0,2,0)+IF(FN199&gt;0,FN199+1,0)*2+IF(FN199&gt;12,FN199-12,0)*2+IF(FN199&gt;13,FN199-13,0)*2+IF(FN199&gt;14,FN199-14,0)*2+IF(FN199&gt;15,FN199-15,0)*2+IF(FN199&gt;16,FN199-16,0)*2+IF(FN199&gt;17,FN199-17,0)*2+IF(FN199&gt;18,FN199-18,0)*2+IF(FN199&gt;19,FN199-19,0)*2+IF(FN199&gt;20,FN199-20,0)*2</f>
        <v>2</v>
      </c>
      <c r="FR199" s="243">
        <f t="shared" si="1423"/>
        <v>173.5384615384616</v>
      </c>
      <c r="FS199" s="218">
        <f t="shared" si="1424"/>
        <v>0</v>
      </c>
      <c r="FU199" s="303" t="s">
        <v>211</v>
      </c>
      <c r="FV199" s="218" t="s">
        <v>226</v>
      </c>
      <c r="FW199" s="243" t="s">
        <v>132</v>
      </c>
      <c r="FX199" s="237"/>
      <c r="FY199" s="234">
        <f t="shared" si="1529"/>
        <v>12</v>
      </c>
      <c r="FZ199" s="234">
        <f>Konvention_1slave-INslave</f>
        <v>12</v>
      </c>
      <c r="GA199" s="234"/>
      <c r="GB199" s="234"/>
      <c r="GC199" s="234"/>
      <c r="GD199" s="234">
        <f>Konvention_1slave-KOslave</f>
        <v>12</v>
      </c>
      <c r="GE199" s="224"/>
      <c r="GF199" s="223">
        <f t="shared" si="1425"/>
        <v>12</v>
      </c>
      <c r="GG199" s="223">
        <f t="shared" si="1426"/>
        <v>24</v>
      </c>
      <c r="GH199" s="224">
        <f t="shared" si="1427"/>
        <v>36</v>
      </c>
      <c r="GI199" s="237">
        <f t="shared" si="1514"/>
        <v>2304</v>
      </c>
      <c r="GJ199" s="234">
        <f>FY199*FZ199*KOslave+FY199*INslave*GD199+KLslave*FZ199*GD199</f>
        <v>3456</v>
      </c>
      <c r="GK199" s="224">
        <f t="shared" si="1428"/>
        <v>1728</v>
      </c>
      <c r="GL199" s="224">
        <f t="shared" si="1540"/>
        <v>7488</v>
      </c>
      <c r="GM199" s="222">
        <f t="shared" si="1429"/>
        <v>3.6923076923076925</v>
      </c>
      <c r="GN199" s="223">
        <f t="shared" si="1430"/>
        <v>11.076923076923077</v>
      </c>
      <c r="GO199" s="243">
        <f t="shared" si="1431"/>
        <v>8.3076923076923084</v>
      </c>
      <c r="GP199" s="243">
        <f t="shared" si="1432"/>
        <v>23.07692307692308</v>
      </c>
      <c r="GQ199" s="252">
        <f t="shared" si="1315"/>
        <v>0</v>
      </c>
      <c r="GR199" s="309">
        <f t="shared" si="1433"/>
        <v>23.07692307692308</v>
      </c>
      <c r="GS199" s="218">
        <f>IF(GP199&lt;=0,2,0)+IF(GP199&gt;0,GP199+1,0)*2+IF(GP199&gt;12,GP199-12,0)*2+IF(GP199&gt;13,GP199-13,0)*2+IF(GP199&gt;14,GP199-14,0)*2+IF(GP199&gt;15,GP199-15,0)*2+IF(GP199&gt;16,GP199-16,0)*2+IF(GP199&gt;17,GP199-17,0)*2+IF(GP199&gt;18,GP199-18,0)*2+IF(GP199&gt;19,GP199-19,0)*2+IF(GP199&gt;20,GP199-20,0)*2</f>
        <v>175.5384615384616</v>
      </c>
      <c r="GT199" s="242">
        <f>IF(GQ199&lt;=0,2,0)+IF(GQ199&gt;0,GQ199+1,0)*2+IF(GQ199&gt;12,GQ199-12,0)*2+IF(GQ199&gt;13,GQ199-13,0)*2+IF(GQ199&gt;14,GQ199-14,0)*2+IF(GQ199&gt;15,GQ199-15,0)*2+IF(GQ199&gt;16,GQ199-16,0)*2+IF(GQ199&gt;17,GQ199-17,0)*2+IF(GQ199&gt;18,GQ199-18,0)*2+IF(GQ199&gt;19,GQ199-19,0)*2+IF(GQ199&gt;20,GQ199-20,0)*2</f>
        <v>2</v>
      </c>
      <c r="GU199" s="243">
        <f t="shared" si="1434"/>
        <v>173.5384615384616</v>
      </c>
      <c r="GV199" s="218">
        <f t="shared" si="1435"/>
        <v>0</v>
      </c>
      <c r="GX199" s="303" t="s">
        <v>211</v>
      </c>
      <c r="GY199" s="218" t="s">
        <v>226</v>
      </c>
      <c r="GZ199" s="243" t="s">
        <v>132</v>
      </c>
      <c r="HA199" s="237"/>
      <c r="HB199" s="234">
        <f t="shared" si="1531"/>
        <v>12</v>
      </c>
      <c r="HC199" s="234">
        <f>Konvention_1slave-INslave</f>
        <v>12</v>
      </c>
      <c r="HD199" s="234"/>
      <c r="HE199" s="234"/>
      <c r="HF199" s="234"/>
      <c r="HG199" s="234">
        <f>Konvention_1slave-KOslave_KO</f>
        <v>11</v>
      </c>
      <c r="HH199" s="224"/>
      <c r="HI199" s="223">
        <f t="shared" si="1436"/>
        <v>11.666666666666666</v>
      </c>
      <c r="HJ199" s="223">
        <f t="shared" si="1437"/>
        <v>23.333333333333332</v>
      </c>
      <c r="HK199" s="224">
        <f t="shared" si="1438"/>
        <v>35</v>
      </c>
      <c r="HL199" s="237">
        <f t="shared" si="1515"/>
        <v>2432</v>
      </c>
      <c r="HM199" s="234">
        <f>HB199*HC199*KOslave_KO+HB199*INslave*HG199+KLslave*HC199*HG199</f>
        <v>3408</v>
      </c>
      <c r="HN199" s="224">
        <f t="shared" si="1439"/>
        <v>1584</v>
      </c>
      <c r="HO199" s="224">
        <f t="shared" si="1541"/>
        <v>7424</v>
      </c>
      <c r="HP199" s="222">
        <f t="shared" si="1440"/>
        <v>3.8218390804597702</v>
      </c>
      <c r="HQ199" s="223">
        <f t="shared" si="1441"/>
        <v>10.711206896551724</v>
      </c>
      <c r="HR199" s="243">
        <f t="shared" si="1442"/>
        <v>7.4676724137931032</v>
      </c>
      <c r="HS199" s="243">
        <f t="shared" si="1443"/>
        <v>22.000718390804597</v>
      </c>
      <c r="HT199" s="252">
        <f t="shared" si="1326"/>
        <v>0</v>
      </c>
      <c r="HU199" s="309">
        <f t="shared" si="1444"/>
        <v>22.000718390804597</v>
      </c>
      <c r="HV199" s="218">
        <f>IF(HS199&lt;=0,2,0)+IF(HS199&gt;0,HS199+1,0)*2+IF(HS199&gt;12,HS199-12,0)*2+IF(HS199&gt;13,HS199-13,0)*2+IF(HS199&gt;14,HS199-14,0)*2+IF(HS199&gt;15,HS199-15,0)*2+IF(HS199&gt;16,HS199-16,0)*2+IF(HS199&gt;17,HS199-17,0)*2+IF(HS199&gt;18,HS199-18,0)*2+IF(HS199&gt;19,HS199-19,0)*2+IF(HS199&gt;20,HS199-20,0)*2</f>
        <v>154.01436781609189</v>
      </c>
      <c r="HW199" s="242">
        <f>IF(HT199&lt;=0,2,0)+IF(HT199&gt;0,HT199+1,0)*2+IF(HT199&gt;12,HT199-12,0)*2+IF(HT199&gt;13,HT199-13,0)*2+IF(HT199&gt;14,HT199-14,0)*2+IF(HT199&gt;15,HT199-15,0)*2+IF(HT199&gt;16,HT199-16,0)*2+IF(HT199&gt;17,HT199-17,0)*2+IF(HT199&gt;18,HT199-18,0)*2+IF(HT199&gt;19,HT199-19,0)*2+IF(HT199&gt;20,HT199-20,0)*2</f>
        <v>2</v>
      </c>
      <c r="HX199" s="243">
        <f t="shared" si="1445"/>
        <v>152.01436781609189</v>
      </c>
      <c r="HY199" s="218">
        <f t="shared" si="1446"/>
        <v>0</v>
      </c>
      <c r="IA199" s="303" t="s">
        <v>211</v>
      </c>
      <c r="IB199" s="218" t="s">
        <v>226</v>
      </c>
      <c r="IC199" s="243" t="s">
        <v>132</v>
      </c>
      <c r="ID199" s="237"/>
      <c r="IE199" s="234">
        <f t="shared" si="1533"/>
        <v>12</v>
      </c>
      <c r="IF199" s="234">
        <f>Konvention_1slave-INslave</f>
        <v>12</v>
      </c>
      <c r="IG199" s="234"/>
      <c r="IH199" s="234"/>
      <c r="II199" s="234"/>
      <c r="IJ199" s="234">
        <f>Konvention_1slave-KOslave</f>
        <v>12</v>
      </c>
      <c r="IK199" s="224"/>
      <c r="IL199" s="223">
        <f t="shared" si="1447"/>
        <v>12</v>
      </c>
      <c r="IM199" s="223">
        <f t="shared" si="1448"/>
        <v>24</v>
      </c>
      <c r="IN199" s="224">
        <f t="shared" si="1449"/>
        <v>36</v>
      </c>
      <c r="IO199" s="237">
        <f t="shared" si="1516"/>
        <v>2304</v>
      </c>
      <c r="IP199" s="234">
        <f>IE199*IF199*KOslave+IE199*INslave*IJ199+KLslave*IF199*IJ199</f>
        <v>3456</v>
      </c>
      <c r="IQ199" s="224">
        <f t="shared" si="1450"/>
        <v>1728</v>
      </c>
      <c r="IR199" s="224">
        <f t="shared" si="1542"/>
        <v>7488</v>
      </c>
      <c r="IS199" s="222">
        <f t="shared" si="1451"/>
        <v>3.6923076923076925</v>
      </c>
      <c r="IT199" s="223">
        <f t="shared" si="1452"/>
        <v>11.076923076923077</v>
      </c>
      <c r="IU199" s="243">
        <f t="shared" si="1453"/>
        <v>8.3076923076923084</v>
      </c>
      <c r="IV199" s="243">
        <f t="shared" si="1454"/>
        <v>23.07692307692308</v>
      </c>
      <c r="IW199" s="252">
        <f t="shared" si="1337"/>
        <v>0</v>
      </c>
      <c r="IX199" s="309">
        <f t="shared" si="1455"/>
        <v>23.07692307692308</v>
      </c>
      <c r="IY199" s="218">
        <f>IF(IV199&lt;=0,2,0)+IF(IV199&gt;0,IV199+1,0)*2+IF(IV199&gt;12,IV199-12,0)*2+IF(IV199&gt;13,IV199-13,0)*2+IF(IV199&gt;14,IV199-14,0)*2+IF(IV199&gt;15,IV199-15,0)*2+IF(IV199&gt;16,IV199-16,0)*2+IF(IV199&gt;17,IV199-17,0)*2+IF(IV199&gt;18,IV199-18,0)*2+IF(IV199&gt;19,IV199-19,0)*2+IF(IV199&gt;20,IV199-20,0)*2</f>
        <v>175.5384615384616</v>
      </c>
      <c r="IZ199" s="242">
        <f>IF(IW199&lt;=0,2,0)+IF(IW199&gt;0,IW199+1,0)*2+IF(IW199&gt;12,IW199-12,0)*2+IF(IW199&gt;13,IW199-13,0)*2+IF(IW199&gt;14,IW199-14,0)*2+IF(IW199&gt;15,IW199-15,0)*2+IF(IW199&gt;16,IW199-16,0)*2+IF(IW199&gt;17,IW199-17,0)*2+IF(IW199&gt;18,IW199-18,0)*2+IF(IW199&gt;19,IW199-19,0)*2+IF(IW199&gt;20,IW199-20,0)*2</f>
        <v>2</v>
      </c>
      <c r="JA199" s="243">
        <f t="shared" si="1456"/>
        <v>173.5384615384616</v>
      </c>
      <c r="JB199" s="218">
        <f t="shared" si="1457"/>
        <v>0</v>
      </c>
      <c r="JE199" s="148"/>
    </row>
    <row r="200" spans="2:265" ht="15" hidden="1" customHeight="1" outlineLevel="2">
      <c r="B200" s="148">
        <v>48</v>
      </c>
      <c r="C200" s="303" t="e">
        <f>VLOOKUP(AF200,Attribute!C:T,1,FALSE)</f>
        <v>#N/A</v>
      </c>
      <c r="D200" s="86" t="s">
        <v>95</v>
      </c>
      <c r="E200" s="167" t="s">
        <v>132</v>
      </c>
      <c r="F200" s="120">
        <f>Konvention_1master-MUmaster</f>
        <v>12</v>
      </c>
      <c r="G200" s="117">
        <f t="shared" si="1517"/>
        <v>12</v>
      </c>
      <c r="H200" s="117">
        <f>Konvention_1master-INmaster</f>
        <v>12</v>
      </c>
      <c r="I200" s="117"/>
      <c r="J200" s="117"/>
      <c r="K200" s="117"/>
      <c r="L200" s="117"/>
      <c r="M200" s="121"/>
      <c r="N200" s="223">
        <f t="shared" si="1359"/>
        <v>12</v>
      </c>
      <c r="O200" s="223">
        <f t="shared" si="1360"/>
        <v>24</v>
      </c>
      <c r="P200" s="224">
        <f t="shared" si="1361"/>
        <v>36</v>
      </c>
      <c r="Q200" s="237">
        <f t="shared" si="1508"/>
        <v>2304</v>
      </c>
      <c r="R200" s="117">
        <f>F200*G200*INmaster+F200*KLmaster*H200+MUmaster*G200*H200</f>
        <v>3456</v>
      </c>
      <c r="S200" s="224">
        <f t="shared" si="1362"/>
        <v>1728</v>
      </c>
      <c r="T200" s="224">
        <f t="shared" si="1507"/>
        <v>7488</v>
      </c>
      <c r="U200" s="222">
        <f t="shared" si="1363"/>
        <v>3.6923076923076925</v>
      </c>
      <c r="V200" s="223">
        <f t="shared" si="1364"/>
        <v>11.076923076923077</v>
      </c>
      <c r="W200" s="243">
        <f t="shared" si="1365"/>
        <v>8.3076923076923084</v>
      </c>
      <c r="X200" s="243">
        <f t="shared" si="1366"/>
        <v>23.07692307692308</v>
      </c>
      <c r="Y200" s="252">
        <v>0</v>
      </c>
      <c r="Z200" s="198">
        <f t="shared" si="1367"/>
        <v>23.07692307692308</v>
      </c>
      <c r="AA200" s="125">
        <f>IF(X200&lt;=0,2,0)+IF(X200&gt;0,X200+1,0)*2+IF(X200&gt;12,X200-12,0)*2+IF(X200&gt;13,X200-13,0)*2+IF(X200&gt;14,X200-14,0)*2+IF(X200&gt;15,X200-15,0)*2+IF(X200&gt;16,X200-16,0)*2+IF(X200&gt;17,X200-17,0)*2+IF(X200&gt;18,X200-18,0)*2+IF(X200&gt;19,X200-19,0)*2+IF(X200&gt;20,X200-20,0)*2</f>
        <v>175.5384615384616</v>
      </c>
      <c r="AB200" s="160">
        <f>IF(Y200&lt;=0,2,0)+IF(Y200&gt;0,Y200+1,0)*2+IF(Y200&gt;12,Y200-12,0)*2+IF(Y200&gt;13,Y200-13,0)*2+IF(Y200&gt;14,Y200-14,0)*2+IF(Y200&gt;15,Y200-15,0)*2+IF(Y200&gt;16,Y200-16,0)*2+IF(Y200&gt;17,Y200-17,0)*2+IF(Y200&gt;18,Y200-18,0)*2+IF(Y200&gt;19,Y200-19,0)*2+IF(Y200&gt;20,Y200-20,0)*2</f>
        <v>2</v>
      </c>
      <c r="AC200" s="127">
        <f t="shared" si="1368"/>
        <v>173.5384615384616</v>
      </c>
      <c r="AD200" s="125">
        <f t="shared" si="1369"/>
        <v>0</v>
      </c>
      <c r="AF200" s="163" t="s">
        <v>212</v>
      </c>
      <c r="AG200" s="86" t="s">
        <v>95</v>
      </c>
      <c r="AH200" s="167" t="s">
        <v>132</v>
      </c>
      <c r="AI200" s="120">
        <f>Konvention_1slave-MUslave_MU</f>
        <v>11</v>
      </c>
      <c r="AJ200" s="117">
        <f t="shared" si="1520"/>
        <v>12</v>
      </c>
      <c r="AK200" s="117">
        <f>Konvention_1slave-INslave</f>
        <v>12</v>
      </c>
      <c r="AL200" s="117"/>
      <c r="AM200" s="117"/>
      <c r="AN200" s="117"/>
      <c r="AO200" s="117"/>
      <c r="AP200" s="121"/>
      <c r="AQ200" s="47">
        <f t="shared" si="1370"/>
        <v>11.666666666666666</v>
      </c>
      <c r="AR200" s="3">
        <f t="shared" si="1371"/>
        <v>23.333333333333332</v>
      </c>
      <c r="AS200" s="174">
        <f t="shared" si="1372"/>
        <v>35</v>
      </c>
      <c r="AT200" s="114">
        <f t="shared" si="1509"/>
        <v>2432</v>
      </c>
      <c r="AU200" s="117">
        <f>AI200*AJ200*INslave+AI200*KLslave*AK200+MUslave_MU*AJ200*AK200</f>
        <v>3408</v>
      </c>
      <c r="AV200" s="119">
        <f t="shared" si="1373"/>
        <v>1584</v>
      </c>
      <c r="AW200" s="119">
        <f t="shared" si="1535"/>
        <v>7424</v>
      </c>
      <c r="AX200" s="89">
        <f t="shared" si="1374"/>
        <v>3.8218390804597702</v>
      </c>
      <c r="AY200" s="47">
        <f t="shared" si="1375"/>
        <v>10.711206896551724</v>
      </c>
      <c r="AZ200" s="127">
        <f t="shared" si="1376"/>
        <v>7.4676724137931032</v>
      </c>
      <c r="BA200" s="127">
        <f t="shared" si="1377"/>
        <v>22.000718390804597</v>
      </c>
      <c r="BB200" s="165">
        <f t="shared" si="1260"/>
        <v>0</v>
      </c>
      <c r="BC200" s="198">
        <f t="shared" si="1378"/>
        <v>22.000718390804597</v>
      </c>
      <c r="BD200" s="125">
        <f>IF(BA200&lt;=0,2,0)+IF(BA200&gt;0,BA200+1,0)*2+IF(BA200&gt;12,BA200-12,0)*2+IF(BA200&gt;13,BA200-13,0)*2+IF(BA200&gt;14,BA200-14,0)*2+IF(BA200&gt;15,BA200-15,0)*2+IF(BA200&gt;16,BA200-16,0)*2+IF(BA200&gt;17,BA200-17,0)*2+IF(BA200&gt;18,BA200-18,0)*2+IF(BA200&gt;19,BA200-19,0)*2+IF(BA200&gt;20,BA200-20,0)*2</f>
        <v>154.01436781609189</v>
      </c>
      <c r="BE200" s="160">
        <f>IF(BB200&lt;=0,2,0)+IF(BB200&gt;0,BB200+1,0)*2+IF(BB200&gt;12,BB200-12,0)*2+IF(BB200&gt;13,BB200-13,0)*2+IF(BB200&gt;14,BB200-14,0)*2+IF(BB200&gt;15,BB200-15,0)*2+IF(BB200&gt;16,BB200-16,0)*2+IF(BB200&gt;17,BB200-17,0)*2+IF(BB200&gt;18,BB200-18,0)*2+IF(BB200&gt;19,BB200-19,0)*2+IF(BB200&gt;20,BB200-20,0)*2</f>
        <v>2</v>
      </c>
      <c r="BF200" s="243">
        <f t="shared" si="1379"/>
        <v>152.01436781609189</v>
      </c>
      <c r="BG200" s="218">
        <f t="shared" si="1380"/>
        <v>0</v>
      </c>
      <c r="BI200" s="303" t="s">
        <v>212</v>
      </c>
      <c r="BJ200" s="304" t="s">
        <v>95</v>
      </c>
      <c r="BK200" s="305" t="s">
        <v>132</v>
      </c>
      <c r="BL200" s="317">
        <f>Konvention_1slave-MUslave</f>
        <v>12</v>
      </c>
      <c r="BM200" s="254">
        <f t="shared" si="1518"/>
        <v>11</v>
      </c>
      <c r="BN200" s="254">
        <f>Konvention_1slave-INslave</f>
        <v>12</v>
      </c>
      <c r="BO200" s="254"/>
      <c r="BP200" s="254"/>
      <c r="BQ200" s="254"/>
      <c r="BR200" s="254"/>
      <c r="BS200" s="318"/>
      <c r="BT200" s="223">
        <f t="shared" si="1381"/>
        <v>11.666666666666666</v>
      </c>
      <c r="BU200" s="223">
        <f t="shared" si="1382"/>
        <v>23.333333333333332</v>
      </c>
      <c r="BV200" s="224">
        <f t="shared" si="1383"/>
        <v>35</v>
      </c>
      <c r="BW200" s="237">
        <f t="shared" si="1510"/>
        <v>2432</v>
      </c>
      <c r="BX200" s="254">
        <f>BL200*BM200*INslave+BL200*KLslave_KL*BN200+MUslave*BM200*BN200</f>
        <v>3408</v>
      </c>
      <c r="BY200" s="224">
        <f t="shared" si="1384"/>
        <v>1584</v>
      </c>
      <c r="BZ200" s="224">
        <f t="shared" si="1536"/>
        <v>7424</v>
      </c>
      <c r="CA200" s="222">
        <f t="shared" si="1385"/>
        <v>3.8218390804597702</v>
      </c>
      <c r="CB200" s="223">
        <f t="shared" si="1386"/>
        <v>10.711206896551724</v>
      </c>
      <c r="CC200" s="243">
        <f t="shared" si="1387"/>
        <v>7.4676724137931032</v>
      </c>
      <c r="CD200" s="243">
        <f t="shared" si="1388"/>
        <v>22.000718390804597</v>
      </c>
      <c r="CE200" s="252">
        <f t="shared" si="1271"/>
        <v>0</v>
      </c>
      <c r="CF200" s="309">
        <f t="shared" si="1389"/>
        <v>22.000718390804597</v>
      </c>
      <c r="CG200" s="218">
        <f>IF(CD200&lt;=0,2,0)+IF(CD200&gt;0,CD200+1,0)*2+IF(CD200&gt;12,CD200-12,0)*2+IF(CD200&gt;13,CD200-13,0)*2+IF(CD200&gt;14,CD200-14,0)*2+IF(CD200&gt;15,CD200-15,0)*2+IF(CD200&gt;16,CD200-16,0)*2+IF(CD200&gt;17,CD200-17,0)*2+IF(CD200&gt;18,CD200-18,0)*2+IF(CD200&gt;19,CD200-19,0)*2+IF(CD200&gt;20,CD200-20,0)*2</f>
        <v>154.01436781609189</v>
      </c>
      <c r="CH200" s="242">
        <f>IF(CE200&lt;=0,2,0)+IF(CE200&gt;0,CE200+1,0)*2+IF(CE200&gt;12,CE200-12,0)*2+IF(CE200&gt;13,CE200-13,0)*2+IF(CE200&gt;14,CE200-14,0)*2+IF(CE200&gt;15,CE200-15,0)*2+IF(CE200&gt;16,CE200-16,0)*2+IF(CE200&gt;17,CE200-17,0)*2+IF(CE200&gt;18,CE200-18,0)*2+IF(CE200&gt;19,CE200-19,0)*2+IF(CE200&gt;20,CE200-20,0)*2</f>
        <v>2</v>
      </c>
      <c r="CI200" s="243">
        <f t="shared" si="1390"/>
        <v>152.01436781609189</v>
      </c>
      <c r="CJ200" s="218">
        <f t="shared" si="1391"/>
        <v>0</v>
      </c>
      <c r="CL200" s="303" t="s">
        <v>212</v>
      </c>
      <c r="CM200" s="304" t="s">
        <v>95</v>
      </c>
      <c r="CN200" s="305" t="s">
        <v>132</v>
      </c>
      <c r="CO200" s="317">
        <f>Konvention_1slave-MUslave</f>
        <v>12</v>
      </c>
      <c r="CP200" s="254">
        <f t="shared" si="1523"/>
        <v>12</v>
      </c>
      <c r="CQ200" s="254">
        <f>Konvention_1slave-INslave_IN</f>
        <v>11</v>
      </c>
      <c r="CR200" s="254"/>
      <c r="CS200" s="254"/>
      <c r="CT200" s="254"/>
      <c r="CU200" s="254"/>
      <c r="CV200" s="318"/>
      <c r="CW200" s="223">
        <f t="shared" si="1392"/>
        <v>11.666666666666666</v>
      </c>
      <c r="CX200" s="223">
        <f t="shared" si="1393"/>
        <v>23.333333333333332</v>
      </c>
      <c r="CY200" s="224">
        <f t="shared" si="1394"/>
        <v>35</v>
      </c>
      <c r="CZ200" s="237">
        <f t="shared" si="1511"/>
        <v>2432</v>
      </c>
      <c r="DA200" s="254">
        <f>CO200*CP200*INslave_IN+CO200*KLslave*CQ200+MUslave*CP200*CQ200</f>
        <v>3408</v>
      </c>
      <c r="DB200" s="224">
        <f t="shared" si="1395"/>
        <v>1584</v>
      </c>
      <c r="DC200" s="224">
        <f t="shared" si="1537"/>
        <v>7424</v>
      </c>
      <c r="DD200" s="222">
        <f t="shared" si="1396"/>
        <v>3.8218390804597702</v>
      </c>
      <c r="DE200" s="223">
        <f t="shared" si="1397"/>
        <v>10.711206896551724</v>
      </c>
      <c r="DF200" s="243">
        <f t="shared" si="1398"/>
        <v>7.4676724137931032</v>
      </c>
      <c r="DG200" s="243">
        <f t="shared" si="1399"/>
        <v>22.000718390804597</v>
      </c>
      <c r="DH200" s="252">
        <f t="shared" si="1282"/>
        <v>0</v>
      </c>
      <c r="DI200" s="309">
        <f t="shared" si="1400"/>
        <v>22.000718390804597</v>
      </c>
      <c r="DJ200" s="218">
        <f>IF(DG200&lt;=0,2,0)+IF(DG200&gt;0,DG200+1,0)*2+IF(DG200&gt;12,DG200-12,0)*2+IF(DG200&gt;13,DG200-13,0)*2+IF(DG200&gt;14,DG200-14,0)*2+IF(DG200&gt;15,DG200-15,0)*2+IF(DG200&gt;16,DG200-16,0)*2+IF(DG200&gt;17,DG200-17,0)*2+IF(DG200&gt;18,DG200-18,0)*2+IF(DG200&gt;19,DG200-19,0)*2+IF(DG200&gt;20,DG200-20,0)*2</f>
        <v>154.01436781609189</v>
      </c>
      <c r="DK200" s="242">
        <f>IF(DH200&lt;=0,2,0)+IF(DH200&gt;0,DH200+1,0)*2+IF(DH200&gt;12,DH200-12,0)*2+IF(DH200&gt;13,DH200-13,0)*2+IF(DH200&gt;14,DH200-14,0)*2+IF(DH200&gt;15,DH200-15,0)*2+IF(DH200&gt;16,DH200-16,0)*2+IF(DH200&gt;17,DH200-17,0)*2+IF(DH200&gt;18,DH200-18,0)*2+IF(DH200&gt;19,DH200-19,0)*2+IF(DH200&gt;20,DH200-20,0)*2</f>
        <v>2</v>
      </c>
      <c r="DL200" s="243">
        <f t="shared" si="1401"/>
        <v>152.01436781609189</v>
      </c>
      <c r="DM200" s="218">
        <f t="shared" si="1402"/>
        <v>0</v>
      </c>
      <c r="DO200" s="303" t="s">
        <v>212</v>
      </c>
      <c r="DP200" s="304" t="s">
        <v>95</v>
      </c>
      <c r="DQ200" s="305" t="s">
        <v>132</v>
      </c>
      <c r="DR200" s="317">
        <f>Konvention_1slave-MUslave</f>
        <v>12</v>
      </c>
      <c r="DS200" s="254">
        <f t="shared" si="1525"/>
        <v>12</v>
      </c>
      <c r="DT200" s="254">
        <f>Konvention_1slave-INslave</f>
        <v>12</v>
      </c>
      <c r="DU200" s="254"/>
      <c r="DV200" s="254"/>
      <c r="DW200" s="254"/>
      <c r="DX200" s="254"/>
      <c r="DY200" s="318"/>
      <c r="DZ200" s="223">
        <f t="shared" si="1403"/>
        <v>12</v>
      </c>
      <c r="EA200" s="223">
        <f t="shared" si="1404"/>
        <v>24</v>
      </c>
      <c r="EB200" s="224">
        <f t="shared" si="1405"/>
        <v>36</v>
      </c>
      <c r="EC200" s="237">
        <f t="shared" si="1512"/>
        <v>2304</v>
      </c>
      <c r="ED200" s="254">
        <f>DR200*DS200*INslave+DR200*KLslave*DT200+MUslave*DS200*DT200</f>
        <v>3456</v>
      </c>
      <c r="EE200" s="224">
        <f t="shared" si="1406"/>
        <v>1728</v>
      </c>
      <c r="EF200" s="224">
        <f t="shared" si="1538"/>
        <v>7488</v>
      </c>
      <c r="EG200" s="222">
        <f t="shared" si="1407"/>
        <v>3.6923076923076925</v>
      </c>
      <c r="EH200" s="223">
        <f t="shared" si="1408"/>
        <v>11.076923076923077</v>
      </c>
      <c r="EI200" s="243">
        <f t="shared" si="1409"/>
        <v>8.3076923076923084</v>
      </c>
      <c r="EJ200" s="243">
        <f t="shared" si="1410"/>
        <v>23.07692307692308</v>
      </c>
      <c r="EK200" s="252">
        <f t="shared" si="1293"/>
        <v>0</v>
      </c>
      <c r="EL200" s="309">
        <f t="shared" si="1411"/>
        <v>23.07692307692308</v>
      </c>
      <c r="EM200" s="218">
        <f>IF(EJ200&lt;=0,2,0)+IF(EJ200&gt;0,EJ200+1,0)*2+IF(EJ200&gt;12,EJ200-12,0)*2+IF(EJ200&gt;13,EJ200-13,0)*2+IF(EJ200&gt;14,EJ200-14,0)*2+IF(EJ200&gt;15,EJ200-15,0)*2+IF(EJ200&gt;16,EJ200-16,0)*2+IF(EJ200&gt;17,EJ200-17,0)*2+IF(EJ200&gt;18,EJ200-18,0)*2+IF(EJ200&gt;19,EJ200-19,0)*2+IF(EJ200&gt;20,EJ200-20,0)*2</f>
        <v>175.5384615384616</v>
      </c>
      <c r="EN200" s="242">
        <f>IF(EK200&lt;=0,2,0)+IF(EK200&gt;0,EK200+1,0)*2+IF(EK200&gt;12,EK200-12,0)*2+IF(EK200&gt;13,EK200-13,0)*2+IF(EK200&gt;14,EK200-14,0)*2+IF(EK200&gt;15,EK200-15,0)*2+IF(EK200&gt;16,EK200-16,0)*2+IF(EK200&gt;17,EK200-17,0)*2+IF(EK200&gt;18,EK200-18,0)*2+IF(EK200&gt;19,EK200-19,0)*2+IF(EK200&gt;20,EK200-20,0)*2</f>
        <v>2</v>
      </c>
      <c r="EO200" s="243">
        <f t="shared" si="1412"/>
        <v>173.5384615384616</v>
      </c>
      <c r="EP200" s="218">
        <f t="shared" si="1413"/>
        <v>0</v>
      </c>
      <c r="ER200" s="303" t="s">
        <v>212</v>
      </c>
      <c r="ES200" s="304" t="s">
        <v>95</v>
      </c>
      <c r="ET200" s="305" t="s">
        <v>132</v>
      </c>
      <c r="EU200" s="317">
        <f>Konvention_1slave-MUslave</f>
        <v>12</v>
      </c>
      <c r="EV200" s="254">
        <f t="shared" si="1527"/>
        <v>12</v>
      </c>
      <c r="EW200" s="254">
        <f>Konvention_1slave-INslave</f>
        <v>12</v>
      </c>
      <c r="EX200" s="254"/>
      <c r="EY200" s="254"/>
      <c r="EZ200" s="254"/>
      <c r="FA200" s="254"/>
      <c r="FB200" s="318"/>
      <c r="FC200" s="223">
        <f t="shared" si="1414"/>
        <v>12</v>
      </c>
      <c r="FD200" s="223">
        <f t="shared" si="1415"/>
        <v>24</v>
      </c>
      <c r="FE200" s="224">
        <f t="shared" si="1416"/>
        <v>36</v>
      </c>
      <c r="FF200" s="237">
        <f t="shared" si="1513"/>
        <v>2304</v>
      </c>
      <c r="FG200" s="254">
        <f>EU200*EV200*INslave+EU200*KLslave*EW200+MUslave*EV200*EW200</f>
        <v>3456</v>
      </c>
      <c r="FH200" s="224">
        <f t="shared" si="1417"/>
        <v>1728</v>
      </c>
      <c r="FI200" s="224">
        <f t="shared" si="1539"/>
        <v>7488</v>
      </c>
      <c r="FJ200" s="222">
        <f t="shared" si="1418"/>
        <v>3.6923076923076925</v>
      </c>
      <c r="FK200" s="223">
        <f t="shared" si="1419"/>
        <v>11.076923076923077</v>
      </c>
      <c r="FL200" s="243">
        <f t="shared" si="1420"/>
        <v>8.3076923076923084</v>
      </c>
      <c r="FM200" s="243">
        <f t="shared" si="1421"/>
        <v>23.07692307692308</v>
      </c>
      <c r="FN200" s="252">
        <f t="shared" si="1304"/>
        <v>0</v>
      </c>
      <c r="FO200" s="309">
        <f t="shared" si="1422"/>
        <v>23.07692307692308</v>
      </c>
      <c r="FP200" s="218">
        <f>IF(FM200&lt;=0,2,0)+IF(FM200&gt;0,FM200+1,0)*2+IF(FM200&gt;12,FM200-12,0)*2+IF(FM200&gt;13,FM200-13,0)*2+IF(FM200&gt;14,FM200-14,0)*2+IF(FM200&gt;15,FM200-15,0)*2+IF(FM200&gt;16,FM200-16,0)*2+IF(FM200&gt;17,FM200-17,0)*2+IF(FM200&gt;18,FM200-18,0)*2+IF(FM200&gt;19,FM200-19,0)*2+IF(FM200&gt;20,FM200-20,0)*2</f>
        <v>175.5384615384616</v>
      </c>
      <c r="FQ200" s="242">
        <f>IF(FN200&lt;=0,2,0)+IF(FN200&gt;0,FN200+1,0)*2+IF(FN200&gt;12,FN200-12,0)*2+IF(FN200&gt;13,FN200-13,0)*2+IF(FN200&gt;14,FN200-14,0)*2+IF(FN200&gt;15,FN200-15,0)*2+IF(FN200&gt;16,FN200-16,0)*2+IF(FN200&gt;17,FN200-17,0)*2+IF(FN200&gt;18,FN200-18,0)*2+IF(FN200&gt;19,FN200-19,0)*2+IF(FN200&gt;20,FN200-20,0)*2</f>
        <v>2</v>
      </c>
      <c r="FR200" s="243">
        <f t="shared" si="1423"/>
        <v>173.5384615384616</v>
      </c>
      <c r="FS200" s="218">
        <f t="shared" si="1424"/>
        <v>0</v>
      </c>
      <c r="FU200" s="303" t="s">
        <v>212</v>
      </c>
      <c r="FV200" s="304" t="s">
        <v>95</v>
      </c>
      <c r="FW200" s="305" t="s">
        <v>132</v>
      </c>
      <c r="FX200" s="317">
        <f>Konvention_1slave-MUslave</f>
        <v>12</v>
      </c>
      <c r="FY200" s="254">
        <f t="shared" si="1529"/>
        <v>12</v>
      </c>
      <c r="FZ200" s="254">
        <f>Konvention_1slave-INslave</f>
        <v>12</v>
      </c>
      <c r="GA200" s="254"/>
      <c r="GB200" s="254"/>
      <c r="GC200" s="254"/>
      <c r="GD200" s="254"/>
      <c r="GE200" s="318"/>
      <c r="GF200" s="223">
        <f t="shared" si="1425"/>
        <v>12</v>
      </c>
      <c r="GG200" s="223">
        <f t="shared" si="1426"/>
        <v>24</v>
      </c>
      <c r="GH200" s="224">
        <f t="shared" si="1427"/>
        <v>36</v>
      </c>
      <c r="GI200" s="237">
        <f t="shared" si="1514"/>
        <v>2304</v>
      </c>
      <c r="GJ200" s="254">
        <f>FX200*FY200*INslave+FX200*KLslave*FZ200+MUslave*FY200*FZ200</f>
        <v>3456</v>
      </c>
      <c r="GK200" s="224">
        <f t="shared" si="1428"/>
        <v>1728</v>
      </c>
      <c r="GL200" s="224">
        <f t="shared" si="1540"/>
        <v>7488</v>
      </c>
      <c r="GM200" s="222">
        <f t="shared" si="1429"/>
        <v>3.6923076923076925</v>
      </c>
      <c r="GN200" s="223">
        <f t="shared" si="1430"/>
        <v>11.076923076923077</v>
      </c>
      <c r="GO200" s="243">
        <f t="shared" si="1431"/>
        <v>8.3076923076923084</v>
      </c>
      <c r="GP200" s="243">
        <f t="shared" si="1432"/>
        <v>23.07692307692308</v>
      </c>
      <c r="GQ200" s="252">
        <f t="shared" si="1315"/>
        <v>0</v>
      </c>
      <c r="GR200" s="309">
        <f t="shared" si="1433"/>
        <v>23.07692307692308</v>
      </c>
      <c r="GS200" s="218">
        <f>IF(GP200&lt;=0,2,0)+IF(GP200&gt;0,GP200+1,0)*2+IF(GP200&gt;12,GP200-12,0)*2+IF(GP200&gt;13,GP200-13,0)*2+IF(GP200&gt;14,GP200-14,0)*2+IF(GP200&gt;15,GP200-15,0)*2+IF(GP200&gt;16,GP200-16,0)*2+IF(GP200&gt;17,GP200-17,0)*2+IF(GP200&gt;18,GP200-18,0)*2+IF(GP200&gt;19,GP200-19,0)*2+IF(GP200&gt;20,GP200-20,0)*2</f>
        <v>175.5384615384616</v>
      </c>
      <c r="GT200" s="242">
        <f>IF(GQ200&lt;=0,2,0)+IF(GQ200&gt;0,GQ200+1,0)*2+IF(GQ200&gt;12,GQ200-12,0)*2+IF(GQ200&gt;13,GQ200-13,0)*2+IF(GQ200&gt;14,GQ200-14,0)*2+IF(GQ200&gt;15,GQ200-15,0)*2+IF(GQ200&gt;16,GQ200-16,0)*2+IF(GQ200&gt;17,GQ200-17,0)*2+IF(GQ200&gt;18,GQ200-18,0)*2+IF(GQ200&gt;19,GQ200-19,0)*2+IF(GQ200&gt;20,GQ200-20,0)*2</f>
        <v>2</v>
      </c>
      <c r="GU200" s="243">
        <f t="shared" si="1434"/>
        <v>173.5384615384616</v>
      </c>
      <c r="GV200" s="218">
        <f t="shared" si="1435"/>
        <v>0</v>
      </c>
      <c r="GX200" s="303" t="s">
        <v>212</v>
      </c>
      <c r="GY200" s="304" t="s">
        <v>95</v>
      </c>
      <c r="GZ200" s="305" t="s">
        <v>132</v>
      </c>
      <c r="HA200" s="317">
        <f>Konvention_1slave-MUslave</f>
        <v>12</v>
      </c>
      <c r="HB200" s="254">
        <f t="shared" si="1531"/>
        <v>12</v>
      </c>
      <c r="HC200" s="254">
        <f>Konvention_1slave-INslave</f>
        <v>12</v>
      </c>
      <c r="HD200" s="254"/>
      <c r="HE200" s="254"/>
      <c r="HF200" s="254"/>
      <c r="HG200" s="254"/>
      <c r="HH200" s="318"/>
      <c r="HI200" s="223">
        <f t="shared" si="1436"/>
        <v>12</v>
      </c>
      <c r="HJ200" s="223">
        <f t="shared" si="1437"/>
        <v>24</v>
      </c>
      <c r="HK200" s="224">
        <f t="shared" si="1438"/>
        <v>36</v>
      </c>
      <c r="HL200" s="237">
        <f t="shared" si="1515"/>
        <v>2304</v>
      </c>
      <c r="HM200" s="254">
        <f>HA200*HB200*INslave+HA200*KLslave*HC200+MUslave*HB200*HC200</f>
        <v>3456</v>
      </c>
      <c r="HN200" s="224">
        <f t="shared" si="1439"/>
        <v>1728</v>
      </c>
      <c r="HO200" s="224">
        <f t="shared" si="1541"/>
        <v>7488</v>
      </c>
      <c r="HP200" s="222">
        <f t="shared" si="1440"/>
        <v>3.6923076923076925</v>
      </c>
      <c r="HQ200" s="223">
        <f t="shared" si="1441"/>
        <v>11.076923076923077</v>
      </c>
      <c r="HR200" s="243">
        <f t="shared" si="1442"/>
        <v>8.3076923076923084</v>
      </c>
      <c r="HS200" s="243">
        <f t="shared" si="1443"/>
        <v>23.07692307692308</v>
      </c>
      <c r="HT200" s="252">
        <f t="shared" si="1326"/>
        <v>0</v>
      </c>
      <c r="HU200" s="309">
        <f t="shared" si="1444"/>
        <v>23.07692307692308</v>
      </c>
      <c r="HV200" s="218">
        <f>IF(HS200&lt;=0,2,0)+IF(HS200&gt;0,HS200+1,0)*2+IF(HS200&gt;12,HS200-12,0)*2+IF(HS200&gt;13,HS200-13,0)*2+IF(HS200&gt;14,HS200-14,0)*2+IF(HS200&gt;15,HS200-15,0)*2+IF(HS200&gt;16,HS200-16,0)*2+IF(HS200&gt;17,HS200-17,0)*2+IF(HS200&gt;18,HS200-18,0)*2+IF(HS200&gt;19,HS200-19,0)*2+IF(HS200&gt;20,HS200-20,0)*2</f>
        <v>175.5384615384616</v>
      </c>
      <c r="HW200" s="242">
        <f>IF(HT200&lt;=0,2,0)+IF(HT200&gt;0,HT200+1,0)*2+IF(HT200&gt;12,HT200-12,0)*2+IF(HT200&gt;13,HT200-13,0)*2+IF(HT200&gt;14,HT200-14,0)*2+IF(HT200&gt;15,HT200-15,0)*2+IF(HT200&gt;16,HT200-16,0)*2+IF(HT200&gt;17,HT200-17,0)*2+IF(HT200&gt;18,HT200-18,0)*2+IF(HT200&gt;19,HT200-19,0)*2+IF(HT200&gt;20,HT200-20,0)*2</f>
        <v>2</v>
      </c>
      <c r="HX200" s="243">
        <f t="shared" si="1445"/>
        <v>173.5384615384616</v>
      </c>
      <c r="HY200" s="218">
        <f t="shared" si="1446"/>
        <v>0</v>
      </c>
      <c r="IA200" s="303" t="s">
        <v>212</v>
      </c>
      <c r="IB200" s="304" t="s">
        <v>95</v>
      </c>
      <c r="IC200" s="305" t="s">
        <v>132</v>
      </c>
      <c r="ID200" s="317">
        <f>Konvention_1slave-MUslave</f>
        <v>12</v>
      </c>
      <c r="IE200" s="254">
        <f t="shared" si="1533"/>
        <v>12</v>
      </c>
      <c r="IF200" s="254">
        <f>Konvention_1slave-INslave</f>
        <v>12</v>
      </c>
      <c r="IG200" s="254"/>
      <c r="IH200" s="254"/>
      <c r="II200" s="254"/>
      <c r="IJ200" s="254"/>
      <c r="IK200" s="318"/>
      <c r="IL200" s="223">
        <f t="shared" si="1447"/>
        <v>12</v>
      </c>
      <c r="IM200" s="223">
        <f t="shared" si="1448"/>
        <v>24</v>
      </c>
      <c r="IN200" s="224">
        <f t="shared" si="1449"/>
        <v>36</v>
      </c>
      <c r="IO200" s="237">
        <f t="shared" si="1516"/>
        <v>2304</v>
      </c>
      <c r="IP200" s="254">
        <f>ID200*IE200*INslave+ID200*KLslave*IF200+MUslave*IE200*IF200</f>
        <v>3456</v>
      </c>
      <c r="IQ200" s="224">
        <f t="shared" si="1450"/>
        <v>1728</v>
      </c>
      <c r="IR200" s="224">
        <f t="shared" si="1542"/>
        <v>7488</v>
      </c>
      <c r="IS200" s="222">
        <f t="shared" si="1451"/>
        <v>3.6923076923076925</v>
      </c>
      <c r="IT200" s="223">
        <f t="shared" si="1452"/>
        <v>11.076923076923077</v>
      </c>
      <c r="IU200" s="243">
        <f t="shared" si="1453"/>
        <v>8.3076923076923084</v>
      </c>
      <c r="IV200" s="243">
        <f t="shared" si="1454"/>
        <v>23.07692307692308</v>
      </c>
      <c r="IW200" s="252">
        <f t="shared" si="1337"/>
        <v>0</v>
      </c>
      <c r="IX200" s="309">
        <f t="shared" si="1455"/>
        <v>23.07692307692308</v>
      </c>
      <c r="IY200" s="218">
        <f>IF(IV200&lt;=0,2,0)+IF(IV200&gt;0,IV200+1,0)*2+IF(IV200&gt;12,IV200-12,0)*2+IF(IV200&gt;13,IV200-13,0)*2+IF(IV200&gt;14,IV200-14,0)*2+IF(IV200&gt;15,IV200-15,0)*2+IF(IV200&gt;16,IV200-16,0)*2+IF(IV200&gt;17,IV200-17,0)*2+IF(IV200&gt;18,IV200-18,0)*2+IF(IV200&gt;19,IV200-19,0)*2+IF(IV200&gt;20,IV200-20,0)*2</f>
        <v>175.5384615384616</v>
      </c>
      <c r="IZ200" s="242">
        <f>IF(IW200&lt;=0,2,0)+IF(IW200&gt;0,IW200+1,0)*2+IF(IW200&gt;12,IW200-12,0)*2+IF(IW200&gt;13,IW200-13,0)*2+IF(IW200&gt;14,IW200-14,0)*2+IF(IW200&gt;15,IW200-15,0)*2+IF(IW200&gt;16,IW200-16,0)*2+IF(IW200&gt;17,IW200-17,0)*2+IF(IW200&gt;18,IW200-18,0)*2+IF(IW200&gt;19,IW200-19,0)*2+IF(IW200&gt;20,IW200-20,0)*2</f>
        <v>2</v>
      </c>
      <c r="JA200" s="243">
        <f t="shared" si="1456"/>
        <v>173.5384615384616</v>
      </c>
      <c r="JB200" s="218">
        <f t="shared" si="1457"/>
        <v>0</v>
      </c>
      <c r="JE200" s="148"/>
    </row>
    <row r="201" spans="2:265" hidden="1" outlineLevel="2">
      <c r="B201" s="148">
        <v>49</v>
      </c>
      <c r="C201" s="303" t="e">
        <f>VLOOKUP(AF201,Attribute!C:T,1,FALSE)</f>
        <v>#N/A</v>
      </c>
      <c r="D201" s="125" t="s">
        <v>84</v>
      </c>
      <c r="E201" s="127" t="s">
        <v>135</v>
      </c>
      <c r="F201" s="114">
        <f>Konvention_1master-MUmaster</f>
        <v>12</v>
      </c>
      <c r="G201" s="113">
        <f t="shared" si="1517"/>
        <v>12</v>
      </c>
      <c r="H201" s="113"/>
      <c r="I201" s="113">
        <f>Konvention_1master-CHmaster</f>
        <v>12</v>
      </c>
      <c r="J201" s="113"/>
      <c r="K201" s="113"/>
      <c r="L201" s="113"/>
      <c r="M201" s="119"/>
      <c r="N201" s="223">
        <f>(F201+G201+H201+I201+J201+K201+L201+M201)/3</f>
        <v>12</v>
      </c>
      <c r="O201" s="223">
        <f t="shared" si="1360"/>
        <v>24</v>
      </c>
      <c r="P201" s="224">
        <f t="shared" si="1361"/>
        <v>36</v>
      </c>
      <c r="Q201" s="237">
        <f t="shared" si="1508"/>
        <v>2304</v>
      </c>
      <c r="R201" s="113">
        <f>F201*G201*CHmaster+F201*KLmaster*I201+MUmaster*G201*I201</f>
        <v>3456</v>
      </c>
      <c r="S201" s="224">
        <f t="shared" si="1362"/>
        <v>1728</v>
      </c>
      <c r="T201" s="224">
        <f t="shared" si="1507"/>
        <v>7488</v>
      </c>
      <c r="U201" s="222">
        <f t="shared" si="1363"/>
        <v>3.6923076923076925</v>
      </c>
      <c r="V201" s="223">
        <f t="shared" si="1364"/>
        <v>11.076923076923077</v>
      </c>
      <c r="W201" s="243">
        <f t="shared" si="1365"/>
        <v>8.3076923076923084</v>
      </c>
      <c r="X201" s="243">
        <f t="shared" si="1366"/>
        <v>23.07692307692308</v>
      </c>
      <c r="Y201" s="252">
        <v>0</v>
      </c>
      <c r="Z201" s="198">
        <f t="shared" si="1367"/>
        <v>23.07692307692308</v>
      </c>
      <c r="AA201" s="125">
        <f>IF(X201&lt;=0,3,0)+IF(X201&gt;0,X201+1,0)*3+IF(X201&gt;12,X201-12,0)*3+IF(X201&gt;13,X201-13,0)*3+IF(X201&gt;14,X201-14,0)*3+IF(X201&gt;15,X201-15,0)*3+IF(X201&gt;16,X201-16,0)*3+IF(X201&gt;17,X201-17,0)*3+IF(X201&gt;18,X201-18,0)*3+IF(X201&gt;19,X201-19,0)*3+IF(X201&gt;20,X201-20,0)*3</f>
        <v>263.30769230769232</v>
      </c>
      <c r="AB201" s="160">
        <f>IF(Y201&lt;=0,3,0)+IF(Y201&gt;0,Y201+1,0)*3+IF(Y201&gt;12,Y201-12,0)*3+IF(Y201&gt;13,Y201-13,0)*3+IF(Y201&gt;14,Y201-14,0)*3+IF(Y201&gt;15,Y201-15,0)*3+IF(Y201&gt;16,Y201-16,0)*3+IF(Y201&gt;17,Y201-17,0)*3+IF(Y201&gt;18,Y201-18,0)*3+IF(Y201&gt;19,Y201-19,0)*3+IF(Y201&gt;20,Y201-20,0)*3</f>
        <v>3</v>
      </c>
      <c r="AC201" s="127">
        <f t="shared" si="1368"/>
        <v>260.30769230769232</v>
      </c>
      <c r="AD201" s="125">
        <f t="shared" si="1369"/>
        <v>0</v>
      </c>
      <c r="AF201" s="163" t="s">
        <v>398</v>
      </c>
      <c r="AG201" s="125" t="s">
        <v>84</v>
      </c>
      <c r="AH201" s="127" t="s">
        <v>135</v>
      </c>
      <c r="AI201" s="114">
        <f>Konvention_1slave-MUslave_MU</f>
        <v>11</v>
      </c>
      <c r="AJ201" s="113">
        <f t="shared" si="1520"/>
        <v>12</v>
      </c>
      <c r="AK201" s="113"/>
      <c r="AL201" s="113">
        <f>Konvention_1slave-CHslave</f>
        <v>12</v>
      </c>
      <c r="AM201" s="113"/>
      <c r="AN201" s="113"/>
      <c r="AO201" s="113"/>
      <c r="AP201" s="119"/>
      <c r="AQ201" s="47">
        <f>(AI201+AJ201+AK201+AL201+AM201+AN201+AO201+AP201)/3</f>
        <v>11.666666666666666</v>
      </c>
      <c r="AR201" s="47">
        <f t="shared" si="1371"/>
        <v>23.333333333333332</v>
      </c>
      <c r="AS201" s="119">
        <f t="shared" si="1372"/>
        <v>35</v>
      </c>
      <c r="AT201" s="114">
        <f t="shared" si="1509"/>
        <v>2432</v>
      </c>
      <c r="AU201" s="113">
        <f>AI201*AJ201*CHslave+AI201*KLslave*AL201+MUslave_MU*AJ201*AL201</f>
        <v>3408</v>
      </c>
      <c r="AV201" s="119">
        <f t="shared" si="1373"/>
        <v>1584</v>
      </c>
      <c r="AW201" s="119">
        <f>SUM(AT201:AV201)</f>
        <v>7424</v>
      </c>
      <c r="AX201" s="89">
        <f t="shared" si="1374"/>
        <v>3.8218390804597702</v>
      </c>
      <c r="AY201" s="47">
        <f t="shared" si="1375"/>
        <v>10.711206896551724</v>
      </c>
      <c r="AZ201" s="127">
        <f t="shared" si="1376"/>
        <v>7.4676724137931032</v>
      </c>
      <c r="BA201" s="127">
        <f t="shared" si="1377"/>
        <v>22.000718390804597</v>
      </c>
      <c r="BB201" s="165">
        <f t="shared" si="1260"/>
        <v>0</v>
      </c>
      <c r="BC201" s="198">
        <f t="shared" si="1378"/>
        <v>22.000718390804597</v>
      </c>
      <c r="BD201" s="125">
        <f>IF(BA201&lt;=0,3,0)+IF(BA201&gt;0,BA201+1,0)*3+IF(BA201&gt;12,BA201-12,0)*3+IF(BA201&gt;13,BA201-13,0)*3+IF(BA201&gt;14,BA201-14,0)*3+IF(BA201&gt;15,BA201-15,0)*3+IF(BA201&gt;16,BA201-16,0)*3+IF(BA201&gt;17,BA201-17,0)*3+IF(BA201&gt;18,BA201-18,0)*3+IF(BA201&gt;19,BA201-19,0)*3+IF(BA201&gt;20,BA201-20,0)*3</f>
        <v>231.02155172413785</v>
      </c>
      <c r="BE201" s="160">
        <f>IF(BB201&lt;=0,3,0)+IF(BB201&gt;0,BB201+1,0)*3+IF(BB201&gt;12,BB201-12,0)*3+IF(BB201&gt;13,BB201-13,0)*3+IF(BB201&gt;14,BB201-14,0)*3+IF(BB201&gt;15,BB201-15,0)*3+IF(BB201&gt;16,BB201-16,0)*3+IF(BB201&gt;17,BB201-17,0)*3+IF(BB201&gt;18,BB201-18,0)*3+IF(BB201&gt;19,BB201-19,0)*3+IF(BB201&gt;20,BB201-20,0)*3</f>
        <v>3</v>
      </c>
      <c r="BF201" s="243">
        <f t="shared" si="1379"/>
        <v>228.02155172413785</v>
      </c>
      <c r="BG201" s="218">
        <f t="shared" si="1380"/>
        <v>0</v>
      </c>
      <c r="BI201" s="303" t="s">
        <v>398</v>
      </c>
      <c r="BJ201" s="218" t="s">
        <v>84</v>
      </c>
      <c r="BK201" s="243" t="s">
        <v>135</v>
      </c>
      <c r="BL201" s="237">
        <f>Konvention_1slave-MUslave</f>
        <v>12</v>
      </c>
      <c r="BM201" s="234">
        <f t="shared" si="1518"/>
        <v>11</v>
      </c>
      <c r="BN201" s="234"/>
      <c r="BO201" s="234">
        <f>Konvention_1slave-CHslave</f>
        <v>12</v>
      </c>
      <c r="BP201" s="234"/>
      <c r="BQ201" s="234"/>
      <c r="BR201" s="234"/>
      <c r="BS201" s="224"/>
      <c r="BT201" s="223">
        <f>(BL201+BM201+BN201+BO201+BP201+BQ201+BR201+BS201)/3</f>
        <v>11.666666666666666</v>
      </c>
      <c r="BU201" s="223">
        <f t="shared" si="1382"/>
        <v>23.333333333333332</v>
      </c>
      <c r="BV201" s="224">
        <f t="shared" si="1383"/>
        <v>35</v>
      </c>
      <c r="BW201" s="237">
        <f t="shared" si="1510"/>
        <v>2432</v>
      </c>
      <c r="BX201" s="234">
        <f>BL201*BM201*CHslave+BL201*KLslave_KL*BO201+MUslave*BM201*BO201</f>
        <v>3408</v>
      </c>
      <c r="BY201" s="224">
        <f t="shared" si="1384"/>
        <v>1584</v>
      </c>
      <c r="BZ201" s="224">
        <f>SUM(BW201:BY201)</f>
        <v>7424</v>
      </c>
      <c r="CA201" s="222">
        <f t="shared" si="1385"/>
        <v>3.8218390804597702</v>
      </c>
      <c r="CB201" s="223">
        <f t="shared" si="1386"/>
        <v>10.711206896551724</v>
      </c>
      <c r="CC201" s="243">
        <f t="shared" si="1387"/>
        <v>7.4676724137931032</v>
      </c>
      <c r="CD201" s="243">
        <f t="shared" si="1388"/>
        <v>22.000718390804597</v>
      </c>
      <c r="CE201" s="252">
        <f t="shared" si="1271"/>
        <v>0</v>
      </c>
      <c r="CF201" s="309">
        <f t="shared" si="1389"/>
        <v>22.000718390804597</v>
      </c>
      <c r="CG201" s="218">
        <f>IF(CD201&lt;=0,3,0)+IF(CD201&gt;0,CD201+1,0)*3+IF(CD201&gt;12,CD201-12,0)*3+IF(CD201&gt;13,CD201-13,0)*3+IF(CD201&gt;14,CD201-14,0)*3+IF(CD201&gt;15,CD201-15,0)*3+IF(CD201&gt;16,CD201-16,0)*3+IF(CD201&gt;17,CD201-17,0)*3+IF(CD201&gt;18,CD201-18,0)*3+IF(CD201&gt;19,CD201-19,0)*3+IF(CD201&gt;20,CD201-20,0)*3</f>
        <v>231.02155172413785</v>
      </c>
      <c r="CH201" s="242">
        <f>IF(CE201&lt;=0,3,0)+IF(CE201&gt;0,CE201+1,0)*3+IF(CE201&gt;12,CE201-12,0)*3+IF(CE201&gt;13,CE201-13,0)*3+IF(CE201&gt;14,CE201-14,0)*3+IF(CE201&gt;15,CE201-15,0)*3+IF(CE201&gt;16,CE201-16,0)*3+IF(CE201&gt;17,CE201-17,0)*3+IF(CE201&gt;18,CE201-18,0)*3+IF(CE201&gt;19,CE201-19,0)*3+IF(CE201&gt;20,CE201-20,0)*3</f>
        <v>3</v>
      </c>
      <c r="CI201" s="243">
        <f t="shared" si="1390"/>
        <v>228.02155172413785</v>
      </c>
      <c r="CJ201" s="218">
        <f t="shared" si="1391"/>
        <v>0</v>
      </c>
      <c r="CL201" s="303" t="s">
        <v>398</v>
      </c>
      <c r="CM201" s="218" t="s">
        <v>84</v>
      </c>
      <c r="CN201" s="243" t="s">
        <v>135</v>
      </c>
      <c r="CO201" s="237">
        <f>Konvention_1slave-MUslave</f>
        <v>12</v>
      </c>
      <c r="CP201" s="234">
        <f t="shared" si="1523"/>
        <v>12</v>
      </c>
      <c r="CQ201" s="234"/>
      <c r="CR201" s="234">
        <f>Konvention_1slave-CHslave</f>
        <v>12</v>
      </c>
      <c r="CS201" s="234"/>
      <c r="CT201" s="234"/>
      <c r="CU201" s="234"/>
      <c r="CV201" s="224"/>
      <c r="CW201" s="223">
        <f>(CO201+CP201+CQ201+CR201+CS201+CT201+CU201+CV201)/3</f>
        <v>12</v>
      </c>
      <c r="CX201" s="223">
        <f t="shared" si="1393"/>
        <v>24</v>
      </c>
      <c r="CY201" s="224">
        <f t="shared" si="1394"/>
        <v>36</v>
      </c>
      <c r="CZ201" s="237">
        <f t="shared" si="1511"/>
        <v>2304</v>
      </c>
      <c r="DA201" s="234">
        <f>CO201*CP201*CHslave+CO201*KLslave*CR201+MUslave*CP201*CR201</f>
        <v>3456</v>
      </c>
      <c r="DB201" s="224">
        <f t="shared" si="1395"/>
        <v>1728</v>
      </c>
      <c r="DC201" s="224">
        <f>SUM(CZ201:DB201)</f>
        <v>7488</v>
      </c>
      <c r="DD201" s="222">
        <f t="shared" si="1396"/>
        <v>3.6923076923076925</v>
      </c>
      <c r="DE201" s="223">
        <f t="shared" si="1397"/>
        <v>11.076923076923077</v>
      </c>
      <c r="DF201" s="243">
        <f t="shared" si="1398"/>
        <v>8.3076923076923084</v>
      </c>
      <c r="DG201" s="243">
        <f t="shared" si="1399"/>
        <v>23.07692307692308</v>
      </c>
      <c r="DH201" s="252">
        <f t="shared" si="1282"/>
        <v>0</v>
      </c>
      <c r="DI201" s="309">
        <f t="shared" si="1400"/>
        <v>23.07692307692308</v>
      </c>
      <c r="DJ201" s="218">
        <f>IF(DG201&lt;=0,3,0)+IF(DG201&gt;0,DG201+1,0)*3+IF(DG201&gt;12,DG201-12,0)*3+IF(DG201&gt;13,DG201-13,0)*3+IF(DG201&gt;14,DG201-14,0)*3+IF(DG201&gt;15,DG201-15,0)*3+IF(DG201&gt;16,DG201-16,0)*3+IF(DG201&gt;17,DG201-17,0)*3+IF(DG201&gt;18,DG201-18,0)*3+IF(DG201&gt;19,DG201-19,0)*3+IF(DG201&gt;20,DG201-20,0)*3</f>
        <v>263.30769230769232</v>
      </c>
      <c r="DK201" s="242">
        <f>IF(DH201&lt;=0,3,0)+IF(DH201&gt;0,DH201+1,0)*3+IF(DH201&gt;12,DH201-12,0)*3+IF(DH201&gt;13,DH201-13,0)*3+IF(DH201&gt;14,DH201-14,0)*3+IF(DH201&gt;15,DH201-15,0)*3+IF(DH201&gt;16,DH201-16,0)*3+IF(DH201&gt;17,DH201-17,0)*3+IF(DH201&gt;18,DH201-18,0)*3+IF(DH201&gt;19,DH201-19,0)*3+IF(DH201&gt;20,DH201-20,0)*3</f>
        <v>3</v>
      </c>
      <c r="DL201" s="243">
        <f t="shared" si="1401"/>
        <v>260.30769230769232</v>
      </c>
      <c r="DM201" s="218">
        <f t="shared" si="1402"/>
        <v>0</v>
      </c>
      <c r="DO201" s="303" t="s">
        <v>398</v>
      </c>
      <c r="DP201" s="218" t="s">
        <v>84</v>
      </c>
      <c r="DQ201" s="243" t="s">
        <v>135</v>
      </c>
      <c r="DR201" s="237">
        <f>Konvention_1slave-MUslave</f>
        <v>12</v>
      </c>
      <c r="DS201" s="234">
        <f t="shared" si="1525"/>
        <v>12</v>
      </c>
      <c r="DT201" s="234"/>
      <c r="DU201" s="234">
        <f>Konvention_1slave-CHslave_CH</f>
        <v>11</v>
      </c>
      <c r="DV201" s="234"/>
      <c r="DW201" s="234"/>
      <c r="DX201" s="234"/>
      <c r="DY201" s="224"/>
      <c r="DZ201" s="223">
        <f>(DR201+DS201+DT201+DU201+DV201+DW201+DX201+DY201)/3</f>
        <v>11.666666666666666</v>
      </c>
      <c r="EA201" s="223">
        <f t="shared" si="1404"/>
        <v>23.333333333333332</v>
      </c>
      <c r="EB201" s="224">
        <f t="shared" si="1405"/>
        <v>35</v>
      </c>
      <c r="EC201" s="237">
        <f t="shared" si="1512"/>
        <v>2432</v>
      </c>
      <c r="ED201" s="234">
        <f>DR201*DS201*CHslave_CH+DR201*KLslave*DU201+MUslave*DS201*DU201</f>
        <v>3408</v>
      </c>
      <c r="EE201" s="224">
        <f t="shared" si="1406"/>
        <v>1584</v>
      </c>
      <c r="EF201" s="224">
        <f>SUM(EC201:EE201)</f>
        <v>7424</v>
      </c>
      <c r="EG201" s="222">
        <f t="shared" si="1407"/>
        <v>3.8218390804597702</v>
      </c>
      <c r="EH201" s="223">
        <f t="shared" si="1408"/>
        <v>10.711206896551724</v>
      </c>
      <c r="EI201" s="243">
        <f t="shared" si="1409"/>
        <v>7.4676724137931032</v>
      </c>
      <c r="EJ201" s="243">
        <f t="shared" si="1410"/>
        <v>22.000718390804597</v>
      </c>
      <c r="EK201" s="252">
        <f t="shared" si="1293"/>
        <v>0</v>
      </c>
      <c r="EL201" s="309">
        <f t="shared" si="1411"/>
        <v>22.000718390804597</v>
      </c>
      <c r="EM201" s="218">
        <f>IF(EJ201&lt;=0,3,0)+IF(EJ201&gt;0,EJ201+1,0)*3+IF(EJ201&gt;12,EJ201-12,0)*3+IF(EJ201&gt;13,EJ201-13,0)*3+IF(EJ201&gt;14,EJ201-14,0)*3+IF(EJ201&gt;15,EJ201-15,0)*3+IF(EJ201&gt;16,EJ201-16,0)*3+IF(EJ201&gt;17,EJ201-17,0)*3+IF(EJ201&gt;18,EJ201-18,0)*3+IF(EJ201&gt;19,EJ201-19,0)*3+IF(EJ201&gt;20,EJ201-20,0)*3</f>
        <v>231.02155172413785</v>
      </c>
      <c r="EN201" s="242">
        <f>IF(EK201&lt;=0,3,0)+IF(EK201&gt;0,EK201+1,0)*3+IF(EK201&gt;12,EK201-12,0)*3+IF(EK201&gt;13,EK201-13,0)*3+IF(EK201&gt;14,EK201-14,0)*3+IF(EK201&gt;15,EK201-15,0)*3+IF(EK201&gt;16,EK201-16,0)*3+IF(EK201&gt;17,EK201-17,0)*3+IF(EK201&gt;18,EK201-18,0)*3+IF(EK201&gt;19,EK201-19,0)*3+IF(EK201&gt;20,EK201-20,0)*3</f>
        <v>3</v>
      </c>
      <c r="EO201" s="243">
        <f t="shared" si="1412"/>
        <v>228.02155172413785</v>
      </c>
      <c r="EP201" s="218">
        <f t="shared" si="1413"/>
        <v>0</v>
      </c>
      <c r="ER201" s="303" t="s">
        <v>398</v>
      </c>
      <c r="ES201" s="218" t="s">
        <v>84</v>
      </c>
      <c r="ET201" s="243" t="s">
        <v>135</v>
      </c>
      <c r="EU201" s="237">
        <f>Konvention_1slave-MUslave</f>
        <v>12</v>
      </c>
      <c r="EV201" s="234">
        <f t="shared" si="1527"/>
        <v>12</v>
      </c>
      <c r="EW201" s="234"/>
      <c r="EX201" s="234">
        <f>Konvention_1slave-CHslave</f>
        <v>12</v>
      </c>
      <c r="EY201" s="234"/>
      <c r="EZ201" s="234"/>
      <c r="FA201" s="234"/>
      <c r="FB201" s="224"/>
      <c r="FC201" s="223">
        <f>(EU201+EV201+EW201+EX201+EY201+EZ201+FA201+FB201)/3</f>
        <v>12</v>
      </c>
      <c r="FD201" s="223">
        <f t="shared" si="1415"/>
        <v>24</v>
      </c>
      <c r="FE201" s="224">
        <f t="shared" si="1416"/>
        <v>36</v>
      </c>
      <c r="FF201" s="237">
        <f t="shared" si="1513"/>
        <v>2304</v>
      </c>
      <c r="FG201" s="234">
        <f>EU201*EV201*CHslave+EU201*KLslave*EX201+MUslave*EV201*EX201</f>
        <v>3456</v>
      </c>
      <c r="FH201" s="224">
        <f t="shared" si="1417"/>
        <v>1728</v>
      </c>
      <c r="FI201" s="224">
        <f>SUM(FF201:FH201)</f>
        <v>7488</v>
      </c>
      <c r="FJ201" s="222">
        <f t="shared" si="1418"/>
        <v>3.6923076923076925</v>
      </c>
      <c r="FK201" s="223">
        <f t="shared" si="1419"/>
        <v>11.076923076923077</v>
      </c>
      <c r="FL201" s="243">
        <f t="shared" si="1420"/>
        <v>8.3076923076923084</v>
      </c>
      <c r="FM201" s="243">
        <f t="shared" si="1421"/>
        <v>23.07692307692308</v>
      </c>
      <c r="FN201" s="252">
        <f t="shared" si="1304"/>
        <v>0</v>
      </c>
      <c r="FO201" s="309">
        <f t="shared" si="1422"/>
        <v>23.07692307692308</v>
      </c>
      <c r="FP201" s="218">
        <f>IF(FM201&lt;=0,3,0)+IF(FM201&gt;0,FM201+1,0)*3+IF(FM201&gt;12,FM201-12,0)*3+IF(FM201&gt;13,FM201-13,0)*3+IF(FM201&gt;14,FM201-14,0)*3+IF(FM201&gt;15,FM201-15,0)*3+IF(FM201&gt;16,FM201-16,0)*3+IF(FM201&gt;17,FM201-17,0)*3+IF(FM201&gt;18,FM201-18,0)*3+IF(FM201&gt;19,FM201-19,0)*3+IF(FM201&gt;20,FM201-20,0)*3</f>
        <v>263.30769230769232</v>
      </c>
      <c r="FQ201" s="242">
        <f>IF(FN201&lt;=0,3,0)+IF(FN201&gt;0,FN201+1,0)*3+IF(FN201&gt;12,FN201-12,0)*3+IF(FN201&gt;13,FN201-13,0)*3+IF(FN201&gt;14,FN201-14,0)*3+IF(FN201&gt;15,FN201-15,0)*3+IF(FN201&gt;16,FN201-16,0)*3+IF(FN201&gt;17,FN201-17,0)*3+IF(FN201&gt;18,FN201-18,0)*3+IF(FN201&gt;19,FN201-19,0)*3+IF(FN201&gt;20,FN201-20,0)*3</f>
        <v>3</v>
      </c>
      <c r="FR201" s="243">
        <f t="shared" si="1423"/>
        <v>260.30769230769232</v>
      </c>
      <c r="FS201" s="218">
        <f t="shared" si="1424"/>
        <v>0</v>
      </c>
      <c r="FU201" s="303" t="s">
        <v>398</v>
      </c>
      <c r="FV201" s="218" t="s">
        <v>84</v>
      </c>
      <c r="FW201" s="243" t="s">
        <v>135</v>
      </c>
      <c r="FX201" s="237">
        <f>Konvention_1slave-MUslave</f>
        <v>12</v>
      </c>
      <c r="FY201" s="234">
        <f t="shared" si="1529"/>
        <v>12</v>
      </c>
      <c r="FZ201" s="234"/>
      <c r="GA201" s="234">
        <f>Konvention_1slave-CHslave</f>
        <v>12</v>
      </c>
      <c r="GB201" s="234"/>
      <c r="GC201" s="234"/>
      <c r="GD201" s="234"/>
      <c r="GE201" s="224"/>
      <c r="GF201" s="223">
        <f>(FX201+FY201+FZ201+GA201+GB201+GC201+GD201+GE201)/3</f>
        <v>12</v>
      </c>
      <c r="GG201" s="223">
        <f t="shared" si="1426"/>
        <v>24</v>
      </c>
      <c r="GH201" s="224">
        <f t="shared" si="1427"/>
        <v>36</v>
      </c>
      <c r="GI201" s="237">
        <f t="shared" si="1514"/>
        <v>2304</v>
      </c>
      <c r="GJ201" s="234">
        <f>FX201*FY201*CHslave+FX201*KLslave*GA201+MUslave*FY201*GA201</f>
        <v>3456</v>
      </c>
      <c r="GK201" s="224">
        <f t="shared" si="1428"/>
        <v>1728</v>
      </c>
      <c r="GL201" s="224">
        <f>SUM(GI201:GK201)</f>
        <v>7488</v>
      </c>
      <c r="GM201" s="222">
        <f t="shared" si="1429"/>
        <v>3.6923076923076925</v>
      </c>
      <c r="GN201" s="223">
        <f t="shared" si="1430"/>
        <v>11.076923076923077</v>
      </c>
      <c r="GO201" s="243">
        <f t="shared" si="1431"/>
        <v>8.3076923076923084</v>
      </c>
      <c r="GP201" s="243">
        <f t="shared" si="1432"/>
        <v>23.07692307692308</v>
      </c>
      <c r="GQ201" s="252">
        <f t="shared" si="1315"/>
        <v>0</v>
      </c>
      <c r="GR201" s="309">
        <f t="shared" si="1433"/>
        <v>23.07692307692308</v>
      </c>
      <c r="GS201" s="218">
        <f>IF(GP201&lt;=0,3,0)+IF(GP201&gt;0,GP201+1,0)*3+IF(GP201&gt;12,GP201-12,0)*3+IF(GP201&gt;13,GP201-13,0)*3+IF(GP201&gt;14,GP201-14,0)*3+IF(GP201&gt;15,GP201-15,0)*3+IF(GP201&gt;16,GP201-16,0)*3+IF(GP201&gt;17,GP201-17,0)*3+IF(GP201&gt;18,GP201-18,0)*3+IF(GP201&gt;19,GP201-19,0)*3+IF(GP201&gt;20,GP201-20,0)*3</f>
        <v>263.30769230769232</v>
      </c>
      <c r="GT201" s="242">
        <f>IF(GQ201&lt;=0,3,0)+IF(GQ201&gt;0,GQ201+1,0)*3+IF(GQ201&gt;12,GQ201-12,0)*3+IF(GQ201&gt;13,GQ201-13,0)*3+IF(GQ201&gt;14,GQ201-14,0)*3+IF(GQ201&gt;15,GQ201-15,0)*3+IF(GQ201&gt;16,GQ201-16,0)*3+IF(GQ201&gt;17,GQ201-17,0)*3+IF(GQ201&gt;18,GQ201-18,0)*3+IF(GQ201&gt;19,GQ201-19,0)*3+IF(GQ201&gt;20,GQ201-20,0)*3</f>
        <v>3</v>
      </c>
      <c r="GU201" s="243">
        <f t="shared" si="1434"/>
        <v>260.30769230769232</v>
      </c>
      <c r="GV201" s="218">
        <f t="shared" si="1435"/>
        <v>0</v>
      </c>
      <c r="GX201" s="303" t="s">
        <v>398</v>
      </c>
      <c r="GY201" s="218" t="s">
        <v>84</v>
      </c>
      <c r="GZ201" s="243" t="s">
        <v>135</v>
      </c>
      <c r="HA201" s="237">
        <f>Konvention_1slave-MUslave</f>
        <v>12</v>
      </c>
      <c r="HB201" s="234">
        <f t="shared" si="1531"/>
        <v>12</v>
      </c>
      <c r="HC201" s="234"/>
      <c r="HD201" s="234">
        <f>Konvention_1slave-CHslave</f>
        <v>12</v>
      </c>
      <c r="HE201" s="234"/>
      <c r="HF201" s="234"/>
      <c r="HG201" s="234"/>
      <c r="HH201" s="224"/>
      <c r="HI201" s="223">
        <f>(HA201+HB201+HC201+HD201+HE201+HF201+HG201+HH201)/3</f>
        <v>12</v>
      </c>
      <c r="HJ201" s="223">
        <f t="shared" si="1437"/>
        <v>24</v>
      </c>
      <c r="HK201" s="224">
        <f t="shared" si="1438"/>
        <v>36</v>
      </c>
      <c r="HL201" s="237">
        <f t="shared" si="1515"/>
        <v>2304</v>
      </c>
      <c r="HM201" s="234">
        <f>HA201*HB201*CHslave+HA201*KLslave*HD201+MUslave*HB201*HD201</f>
        <v>3456</v>
      </c>
      <c r="HN201" s="224">
        <f t="shared" si="1439"/>
        <v>1728</v>
      </c>
      <c r="HO201" s="224">
        <f>SUM(HL201:HN201)</f>
        <v>7488</v>
      </c>
      <c r="HP201" s="222">
        <f t="shared" si="1440"/>
        <v>3.6923076923076925</v>
      </c>
      <c r="HQ201" s="223">
        <f t="shared" si="1441"/>
        <v>11.076923076923077</v>
      </c>
      <c r="HR201" s="243">
        <f t="shared" si="1442"/>
        <v>8.3076923076923084</v>
      </c>
      <c r="HS201" s="243">
        <f t="shared" si="1443"/>
        <v>23.07692307692308</v>
      </c>
      <c r="HT201" s="252">
        <f t="shared" si="1326"/>
        <v>0</v>
      </c>
      <c r="HU201" s="309">
        <f t="shared" si="1444"/>
        <v>23.07692307692308</v>
      </c>
      <c r="HV201" s="218">
        <f>IF(HS201&lt;=0,3,0)+IF(HS201&gt;0,HS201+1,0)*3+IF(HS201&gt;12,HS201-12,0)*3+IF(HS201&gt;13,HS201-13,0)*3+IF(HS201&gt;14,HS201-14,0)*3+IF(HS201&gt;15,HS201-15,0)*3+IF(HS201&gt;16,HS201-16,0)*3+IF(HS201&gt;17,HS201-17,0)*3+IF(HS201&gt;18,HS201-18,0)*3+IF(HS201&gt;19,HS201-19,0)*3+IF(HS201&gt;20,HS201-20,0)*3</f>
        <v>263.30769230769232</v>
      </c>
      <c r="HW201" s="242">
        <f>IF(HT201&lt;=0,3,0)+IF(HT201&gt;0,HT201+1,0)*3+IF(HT201&gt;12,HT201-12,0)*3+IF(HT201&gt;13,HT201-13,0)*3+IF(HT201&gt;14,HT201-14,0)*3+IF(HT201&gt;15,HT201-15,0)*3+IF(HT201&gt;16,HT201-16,0)*3+IF(HT201&gt;17,HT201-17,0)*3+IF(HT201&gt;18,HT201-18,0)*3+IF(HT201&gt;19,HT201-19,0)*3+IF(HT201&gt;20,HT201-20,0)*3</f>
        <v>3</v>
      </c>
      <c r="HX201" s="243">
        <f t="shared" si="1445"/>
        <v>260.30769230769232</v>
      </c>
      <c r="HY201" s="218">
        <f t="shared" si="1446"/>
        <v>0</v>
      </c>
      <c r="IA201" s="303" t="s">
        <v>398</v>
      </c>
      <c r="IB201" s="218" t="s">
        <v>84</v>
      </c>
      <c r="IC201" s="243" t="s">
        <v>135</v>
      </c>
      <c r="ID201" s="237">
        <f>Konvention_1slave-MUslave</f>
        <v>12</v>
      </c>
      <c r="IE201" s="234">
        <f t="shared" si="1533"/>
        <v>12</v>
      </c>
      <c r="IF201" s="234"/>
      <c r="IG201" s="234">
        <f>Konvention_1slave-CHslave</f>
        <v>12</v>
      </c>
      <c r="IH201" s="234"/>
      <c r="II201" s="234"/>
      <c r="IJ201" s="234"/>
      <c r="IK201" s="224"/>
      <c r="IL201" s="223">
        <f>(ID201+IE201+IF201+IG201+IH201+II201+IJ201+IK201)/3</f>
        <v>12</v>
      </c>
      <c r="IM201" s="223">
        <f t="shared" si="1448"/>
        <v>24</v>
      </c>
      <c r="IN201" s="224">
        <f t="shared" si="1449"/>
        <v>36</v>
      </c>
      <c r="IO201" s="237">
        <f t="shared" si="1516"/>
        <v>2304</v>
      </c>
      <c r="IP201" s="234">
        <f>ID201*IE201*CHslave+ID201*KLslave*IG201+MUslave*IE201*IG201</f>
        <v>3456</v>
      </c>
      <c r="IQ201" s="224">
        <f t="shared" si="1450"/>
        <v>1728</v>
      </c>
      <c r="IR201" s="224">
        <f>SUM(IO201:IQ201)</f>
        <v>7488</v>
      </c>
      <c r="IS201" s="222">
        <f t="shared" si="1451"/>
        <v>3.6923076923076925</v>
      </c>
      <c r="IT201" s="223">
        <f t="shared" si="1452"/>
        <v>11.076923076923077</v>
      </c>
      <c r="IU201" s="243">
        <f t="shared" si="1453"/>
        <v>8.3076923076923084</v>
      </c>
      <c r="IV201" s="243">
        <f t="shared" si="1454"/>
        <v>23.07692307692308</v>
      </c>
      <c r="IW201" s="252">
        <f t="shared" si="1337"/>
        <v>0</v>
      </c>
      <c r="IX201" s="309">
        <f t="shared" si="1455"/>
        <v>23.07692307692308</v>
      </c>
      <c r="IY201" s="218">
        <f>IF(IV201&lt;=0,3,0)+IF(IV201&gt;0,IV201+1,0)*3+IF(IV201&gt;12,IV201-12,0)*3+IF(IV201&gt;13,IV201-13,0)*3+IF(IV201&gt;14,IV201-14,0)*3+IF(IV201&gt;15,IV201-15,0)*3+IF(IV201&gt;16,IV201-16,0)*3+IF(IV201&gt;17,IV201-17,0)*3+IF(IV201&gt;18,IV201-18,0)*3+IF(IV201&gt;19,IV201-19,0)*3+IF(IV201&gt;20,IV201-20,0)*3</f>
        <v>263.30769230769232</v>
      </c>
      <c r="IZ201" s="242">
        <f>IF(IW201&lt;=0,3,0)+IF(IW201&gt;0,IW201+1,0)*3+IF(IW201&gt;12,IW201-12,0)*3+IF(IW201&gt;13,IW201-13,0)*3+IF(IW201&gt;14,IW201-14,0)*3+IF(IW201&gt;15,IW201-15,0)*3+IF(IW201&gt;16,IW201-16,0)*3+IF(IW201&gt;17,IW201-17,0)*3+IF(IW201&gt;18,IW201-18,0)*3+IF(IW201&gt;19,IW201-19,0)*3+IF(IW201&gt;20,IW201-20,0)*3</f>
        <v>3</v>
      </c>
      <c r="JA201" s="243">
        <f t="shared" si="1456"/>
        <v>260.30769230769232</v>
      </c>
      <c r="JB201" s="218">
        <f t="shared" si="1457"/>
        <v>0</v>
      </c>
      <c r="JE201" s="148"/>
    </row>
    <row r="202" spans="2:265" ht="15" hidden="1" customHeight="1" outlineLevel="2">
      <c r="B202" s="148">
        <v>50</v>
      </c>
      <c r="C202" s="303" t="e">
        <f>VLOOKUP(AF202,Attribute!C:T,1,FALSE)</f>
        <v>#N/A</v>
      </c>
      <c r="D202" s="125" t="s">
        <v>170</v>
      </c>
      <c r="E202" s="127" t="s">
        <v>132</v>
      </c>
      <c r="F202" s="114"/>
      <c r="G202" s="113">
        <f t="shared" si="1517"/>
        <v>12</v>
      </c>
      <c r="H202" s="113">
        <f>Konvention_1master-INmaster</f>
        <v>12</v>
      </c>
      <c r="I202" s="113"/>
      <c r="J202" s="113">
        <f>Konvention_1master-FFmaster</f>
        <v>12</v>
      </c>
      <c r="K202" s="113"/>
      <c r="L202" s="113"/>
      <c r="M202" s="119"/>
      <c r="N202" s="223">
        <f>(F202+G202+H202+I202+J202+K202+L202+M202)/3</f>
        <v>12</v>
      </c>
      <c r="O202" s="223">
        <f t="shared" si="1360"/>
        <v>24</v>
      </c>
      <c r="P202" s="224">
        <f t="shared" si="1361"/>
        <v>36</v>
      </c>
      <c r="Q202" s="237">
        <f t="shared" si="1508"/>
        <v>2304</v>
      </c>
      <c r="R202" s="113">
        <f>G202*H202*FFmaster+G202*INmaster*J202+KLmaster*H202*J202</f>
        <v>3456</v>
      </c>
      <c r="S202" s="224">
        <f t="shared" si="1362"/>
        <v>1728</v>
      </c>
      <c r="T202" s="224">
        <f t="shared" si="1507"/>
        <v>7488</v>
      </c>
      <c r="U202" s="222">
        <f t="shared" si="1363"/>
        <v>3.6923076923076925</v>
      </c>
      <c r="V202" s="223">
        <f t="shared" si="1364"/>
        <v>11.076923076923077</v>
      </c>
      <c r="W202" s="243">
        <f t="shared" si="1365"/>
        <v>8.3076923076923084</v>
      </c>
      <c r="X202" s="243">
        <f t="shared" si="1366"/>
        <v>23.07692307692308</v>
      </c>
      <c r="Y202" s="252">
        <v>0</v>
      </c>
      <c r="Z202" s="198">
        <f t="shared" si="1367"/>
        <v>23.07692307692308</v>
      </c>
      <c r="AA202" s="125">
        <f t="shared" ref="AA202:AB204" si="1543">IF(X202&lt;=0,2,0)+IF(X202&gt;0,X202+1,0)*2+IF(X202&gt;12,X202-12,0)*2+IF(X202&gt;13,X202-13,0)*2+IF(X202&gt;14,X202-14,0)*2+IF(X202&gt;15,X202-15,0)*2+IF(X202&gt;16,X202-16,0)*2+IF(X202&gt;17,X202-17,0)*2+IF(X202&gt;18,X202-18,0)*2+IF(X202&gt;19,X202-19,0)*2+IF(X202&gt;20,X202-20,0)*2</f>
        <v>175.5384615384616</v>
      </c>
      <c r="AB202" s="160">
        <f t="shared" si="1543"/>
        <v>2</v>
      </c>
      <c r="AC202" s="127">
        <f t="shared" si="1368"/>
        <v>173.5384615384616</v>
      </c>
      <c r="AD202" s="125">
        <f t="shared" si="1369"/>
        <v>0</v>
      </c>
      <c r="AF202" s="163" t="s">
        <v>399</v>
      </c>
      <c r="AG202" s="125" t="s">
        <v>170</v>
      </c>
      <c r="AH202" s="127" t="s">
        <v>132</v>
      </c>
      <c r="AI202" s="114"/>
      <c r="AJ202" s="113">
        <f t="shared" si="1520"/>
        <v>12</v>
      </c>
      <c r="AK202" s="113">
        <f>Konvention_1slave-INslave</f>
        <v>12</v>
      </c>
      <c r="AL202" s="113"/>
      <c r="AM202" s="113">
        <f>Konvention_1slave-FFslave</f>
        <v>12</v>
      </c>
      <c r="AN202" s="113"/>
      <c r="AO202" s="113"/>
      <c r="AP202" s="119"/>
      <c r="AQ202" s="47">
        <f>(AI202+AJ202+AK202+AL202+AM202+AN202+AO202+AP202)/3</f>
        <v>12</v>
      </c>
      <c r="AR202" s="47">
        <f t="shared" si="1371"/>
        <v>24</v>
      </c>
      <c r="AS202" s="119">
        <f t="shared" si="1372"/>
        <v>36</v>
      </c>
      <c r="AT202" s="114">
        <f t="shared" si="1509"/>
        <v>2304</v>
      </c>
      <c r="AU202" s="113">
        <f>AJ202*AK202*FFslave+AJ202*INslave*AM202+KLslave*AK202*AM202</f>
        <v>3456</v>
      </c>
      <c r="AV202" s="119">
        <f t="shared" si="1373"/>
        <v>1728</v>
      </c>
      <c r="AW202" s="119">
        <f>SUM(AT202:AV202)</f>
        <v>7488</v>
      </c>
      <c r="AX202" s="89">
        <f t="shared" si="1374"/>
        <v>3.6923076923076925</v>
      </c>
      <c r="AY202" s="47">
        <f t="shared" si="1375"/>
        <v>11.076923076923077</v>
      </c>
      <c r="AZ202" s="127">
        <f t="shared" si="1376"/>
        <v>8.3076923076923084</v>
      </c>
      <c r="BA202" s="127">
        <f t="shared" si="1377"/>
        <v>23.07692307692308</v>
      </c>
      <c r="BB202" s="165">
        <f t="shared" si="1260"/>
        <v>0</v>
      </c>
      <c r="BC202" s="198">
        <f t="shared" si="1378"/>
        <v>23.07692307692308</v>
      </c>
      <c r="BD202" s="125">
        <f t="shared" ref="BD202:BE204" si="1544">IF(BA202&lt;=0,2,0)+IF(BA202&gt;0,BA202+1,0)*2+IF(BA202&gt;12,BA202-12,0)*2+IF(BA202&gt;13,BA202-13,0)*2+IF(BA202&gt;14,BA202-14,0)*2+IF(BA202&gt;15,BA202-15,0)*2+IF(BA202&gt;16,BA202-16,0)*2+IF(BA202&gt;17,BA202-17,0)*2+IF(BA202&gt;18,BA202-18,0)*2+IF(BA202&gt;19,BA202-19,0)*2+IF(BA202&gt;20,BA202-20,0)*2</f>
        <v>175.5384615384616</v>
      </c>
      <c r="BE202" s="160">
        <f t="shared" si="1544"/>
        <v>2</v>
      </c>
      <c r="BF202" s="243">
        <f t="shared" si="1379"/>
        <v>173.5384615384616</v>
      </c>
      <c r="BG202" s="218">
        <f t="shared" si="1380"/>
        <v>0</v>
      </c>
      <c r="BI202" s="303" t="s">
        <v>399</v>
      </c>
      <c r="BJ202" s="218" t="s">
        <v>170</v>
      </c>
      <c r="BK202" s="243" t="s">
        <v>132</v>
      </c>
      <c r="BL202" s="237"/>
      <c r="BM202" s="234">
        <f t="shared" si="1518"/>
        <v>11</v>
      </c>
      <c r="BN202" s="234">
        <f>Konvention_1slave-INslave</f>
        <v>12</v>
      </c>
      <c r="BO202" s="234"/>
      <c r="BP202" s="234">
        <f>Konvention_1slave-FFslave</f>
        <v>12</v>
      </c>
      <c r="BQ202" s="234"/>
      <c r="BR202" s="234"/>
      <c r="BS202" s="224"/>
      <c r="BT202" s="223">
        <f>(BL202+BM202+BN202+BO202+BP202+BQ202+BR202+BS202)/3</f>
        <v>11.666666666666666</v>
      </c>
      <c r="BU202" s="223">
        <f t="shared" si="1382"/>
        <v>23.333333333333332</v>
      </c>
      <c r="BV202" s="224">
        <f t="shared" si="1383"/>
        <v>35</v>
      </c>
      <c r="BW202" s="237">
        <f t="shared" si="1510"/>
        <v>2432</v>
      </c>
      <c r="BX202" s="234">
        <f>BM202*BN202*FFslave+BM202*INslave*BP202+KLslave_KL*BN202*BP202</f>
        <v>3408</v>
      </c>
      <c r="BY202" s="224">
        <f t="shared" si="1384"/>
        <v>1584</v>
      </c>
      <c r="BZ202" s="224">
        <f>SUM(BW202:BY202)</f>
        <v>7424</v>
      </c>
      <c r="CA202" s="222">
        <f t="shared" si="1385"/>
        <v>3.8218390804597702</v>
      </c>
      <c r="CB202" s="223">
        <f t="shared" si="1386"/>
        <v>10.711206896551724</v>
      </c>
      <c r="CC202" s="243">
        <f t="shared" si="1387"/>
        <v>7.4676724137931032</v>
      </c>
      <c r="CD202" s="243">
        <f t="shared" si="1388"/>
        <v>22.000718390804597</v>
      </c>
      <c r="CE202" s="252">
        <f t="shared" si="1271"/>
        <v>0</v>
      </c>
      <c r="CF202" s="309">
        <f t="shared" si="1389"/>
        <v>22.000718390804597</v>
      </c>
      <c r="CG202" s="218">
        <f t="shared" ref="CG202:CH204" si="1545">IF(CD202&lt;=0,2,0)+IF(CD202&gt;0,CD202+1,0)*2+IF(CD202&gt;12,CD202-12,0)*2+IF(CD202&gt;13,CD202-13,0)*2+IF(CD202&gt;14,CD202-14,0)*2+IF(CD202&gt;15,CD202-15,0)*2+IF(CD202&gt;16,CD202-16,0)*2+IF(CD202&gt;17,CD202-17,0)*2+IF(CD202&gt;18,CD202-18,0)*2+IF(CD202&gt;19,CD202-19,0)*2+IF(CD202&gt;20,CD202-20,0)*2</f>
        <v>154.01436781609189</v>
      </c>
      <c r="CH202" s="242">
        <f t="shared" si="1545"/>
        <v>2</v>
      </c>
      <c r="CI202" s="243">
        <f t="shared" si="1390"/>
        <v>152.01436781609189</v>
      </c>
      <c r="CJ202" s="218">
        <f t="shared" si="1391"/>
        <v>0</v>
      </c>
      <c r="CL202" s="303" t="s">
        <v>399</v>
      </c>
      <c r="CM202" s="218" t="s">
        <v>170</v>
      </c>
      <c r="CN202" s="243" t="s">
        <v>132</v>
      </c>
      <c r="CO202" s="237"/>
      <c r="CP202" s="234">
        <f t="shared" si="1523"/>
        <v>12</v>
      </c>
      <c r="CQ202" s="234">
        <f>Konvention_1slave-INslave_IN</f>
        <v>11</v>
      </c>
      <c r="CR202" s="234"/>
      <c r="CS202" s="234">
        <f>Konvention_1slave-FFslave</f>
        <v>12</v>
      </c>
      <c r="CT202" s="234"/>
      <c r="CU202" s="234"/>
      <c r="CV202" s="224"/>
      <c r="CW202" s="223">
        <f>(CO202+CP202+CQ202+CR202+CS202+CT202+CU202+CV202)/3</f>
        <v>11.666666666666666</v>
      </c>
      <c r="CX202" s="223">
        <f t="shared" si="1393"/>
        <v>23.333333333333332</v>
      </c>
      <c r="CY202" s="224">
        <f t="shared" si="1394"/>
        <v>35</v>
      </c>
      <c r="CZ202" s="237">
        <f t="shared" si="1511"/>
        <v>2432</v>
      </c>
      <c r="DA202" s="234">
        <f>CP202*CQ202*FFslave+CP202*INslave_IN*CS202+KLslave*CQ202*CS202</f>
        <v>3408</v>
      </c>
      <c r="DB202" s="224">
        <f t="shared" si="1395"/>
        <v>1584</v>
      </c>
      <c r="DC202" s="224">
        <f>SUM(CZ202:DB202)</f>
        <v>7424</v>
      </c>
      <c r="DD202" s="222">
        <f t="shared" si="1396"/>
        <v>3.8218390804597702</v>
      </c>
      <c r="DE202" s="223">
        <f t="shared" si="1397"/>
        <v>10.711206896551724</v>
      </c>
      <c r="DF202" s="243">
        <f t="shared" si="1398"/>
        <v>7.4676724137931032</v>
      </c>
      <c r="DG202" s="243">
        <f t="shared" si="1399"/>
        <v>22.000718390804597</v>
      </c>
      <c r="DH202" s="252">
        <f t="shared" si="1282"/>
        <v>0</v>
      </c>
      <c r="DI202" s="309">
        <f t="shared" si="1400"/>
        <v>22.000718390804597</v>
      </c>
      <c r="DJ202" s="218">
        <f t="shared" ref="DJ202:DK204" si="1546">IF(DG202&lt;=0,2,0)+IF(DG202&gt;0,DG202+1,0)*2+IF(DG202&gt;12,DG202-12,0)*2+IF(DG202&gt;13,DG202-13,0)*2+IF(DG202&gt;14,DG202-14,0)*2+IF(DG202&gt;15,DG202-15,0)*2+IF(DG202&gt;16,DG202-16,0)*2+IF(DG202&gt;17,DG202-17,0)*2+IF(DG202&gt;18,DG202-18,0)*2+IF(DG202&gt;19,DG202-19,0)*2+IF(DG202&gt;20,DG202-20,0)*2</f>
        <v>154.01436781609189</v>
      </c>
      <c r="DK202" s="242">
        <f t="shared" si="1546"/>
        <v>2</v>
      </c>
      <c r="DL202" s="243">
        <f t="shared" si="1401"/>
        <v>152.01436781609189</v>
      </c>
      <c r="DM202" s="218">
        <f t="shared" si="1402"/>
        <v>0</v>
      </c>
      <c r="DO202" s="303" t="s">
        <v>399</v>
      </c>
      <c r="DP202" s="218" t="s">
        <v>170</v>
      </c>
      <c r="DQ202" s="243" t="s">
        <v>132</v>
      </c>
      <c r="DR202" s="237"/>
      <c r="DS202" s="234">
        <f t="shared" si="1525"/>
        <v>12</v>
      </c>
      <c r="DT202" s="234">
        <f>Konvention_1slave-INslave</f>
        <v>12</v>
      </c>
      <c r="DU202" s="234"/>
      <c r="DV202" s="234">
        <f>Konvention_1slave-FFslave</f>
        <v>12</v>
      </c>
      <c r="DW202" s="234"/>
      <c r="DX202" s="234"/>
      <c r="DY202" s="224"/>
      <c r="DZ202" s="223">
        <f>(DR202+DS202+DT202+DU202+DV202+DW202+DX202+DY202)/3</f>
        <v>12</v>
      </c>
      <c r="EA202" s="223">
        <f t="shared" si="1404"/>
        <v>24</v>
      </c>
      <c r="EB202" s="224">
        <f t="shared" si="1405"/>
        <v>36</v>
      </c>
      <c r="EC202" s="237">
        <f t="shared" si="1512"/>
        <v>2304</v>
      </c>
      <c r="ED202" s="234">
        <f>DS202*DT202*FFslave+DS202*INslave*DV202+KLslave*DT202*DV202</f>
        <v>3456</v>
      </c>
      <c r="EE202" s="224">
        <f t="shared" si="1406"/>
        <v>1728</v>
      </c>
      <c r="EF202" s="224">
        <f>SUM(EC202:EE202)</f>
        <v>7488</v>
      </c>
      <c r="EG202" s="222">
        <f t="shared" si="1407"/>
        <v>3.6923076923076925</v>
      </c>
      <c r="EH202" s="223">
        <f t="shared" si="1408"/>
        <v>11.076923076923077</v>
      </c>
      <c r="EI202" s="243">
        <f t="shared" si="1409"/>
        <v>8.3076923076923084</v>
      </c>
      <c r="EJ202" s="243">
        <f t="shared" si="1410"/>
        <v>23.07692307692308</v>
      </c>
      <c r="EK202" s="252">
        <f t="shared" si="1293"/>
        <v>0</v>
      </c>
      <c r="EL202" s="309">
        <f t="shared" si="1411"/>
        <v>23.07692307692308</v>
      </c>
      <c r="EM202" s="218">
        <f t="shared" ref="EM202:EN204" si="1547">IF(EJ202&lt;=0,2,0)+IF(EJ202&gt;0,EJ202+1,0)*2+IF(EJ202&gt;12,EJ202-12,0)*2+IF(EJ202&gt;13,EJ202-13,0)*2+IF(EJ202&gt;14,EJ202-14,0)*2+IF(EJ202&gt;15,EJ202-15,0)*2+IF(EJ202&gt;16,EJ202-16,0)*2+IF(EJ202&gt;17,EJ202-17,0)*2+IF(EJ202&gt;18,EJ202-18,0)*2+IF(EJ202&gt;19,EJ202-19,0)*2+IF(EJ202&gt;20,EJ202-20,0)*2</f>
        <v>175.5384615384616</v>
      </c>
      <c r="EN202" s="242">
        <f t="shared" si="1547"/>
        <v>2</v>
      </c>
      <c r="EO202" s="243">
        <f t="shared" si="1412"/>
        <v>173.5384615384616</v>
      </c>
      <c r="EP202" s="218">
        <f t="shared" si="1413"/>
        <v>0</v>
      </c>
      <c r="ER202" s="303" t="s">
        <v>399</v>
      </c>
      <c r="ES202" s="218" t="s">
        <v>170</v>
      </c>
      <c r="ET202" s="243" t="s">
        <v>132</v>
      </c>
      <c r="EU202" s="237"/>
      <c r="EV202" s="234">
        <f t="shared" si="1527"/>
        <v>12</v>
      </c>
      <c r="EW202" s="234">
        <f>Konvention_1slave-INslave</f>
        <v>12</v>
      </c>
      <c r="EX202" s="234"/>
      <c r="EY202" s="234">
        <f>Konvention_1slave-FFslave_FF</f>
        <v>11</v>
      </c>
      <c r="EZ202" s="234"/>
      <c r="FA202" s="234"/>
      <c r="FB202" s="224"/>
      <c r="FC202" s="223">
        <f>(EU202+EV202+EW202+EX202+EY202+EZ202+FA202+FB202)/3</f>
        <v>11.666666666666666</v>
      </c>
      <c r="FD202" s="223">
        <f t="shared" si="1415"/>
        <v>23.333333333333332</v>
      </c>
      <c r="FE202" s="224">
        <f t="shared" si="1416"/>
        <v>35</v>
      </c>
      <c r="FF202" s="237">
        <f t="shared" si="1513"/>
        <v>2432</v>
      </c>
      <c r="FG202" s="234">
        <f>EV202*EW202*FFslave_FF+EV202*INslave*EY202+KLslave*EW202*EY202</f>
        <v>3408</v>
      </c>
      <c r="FH202" s="224">
        <f t="shared" si="1417"/>
        <v>1584</v>
      </c>
      <c r="FI202" s="224">
        <f>SUM(FF202:FH202)</f>
        <v>7424</v>
      </c>
      <c r="FJ202" s="222">
        <f t="shared" si="1418"/>
        <v>3.8218390804597702</v>
      </c>
      <c r="FK202" s="223">
        <f t="shared" si="1419"/>
        <v>10.711206896551724</v>
      </c>
      <c r="FL202" s="243">
        <f t="shared" si="1420"/>
        <v>7.4676724137931032</v>
      </c>
      <c r="FM202" s="243">
        <f t="shared" si="1421"/>
        <v>22.000718390804597</v>
      </c>
      <c r="FN202" s="252">
        <f t="shared" si="1304"/>
        <v>0</v>
      </c>
      <c r="FO202" s="309">
        <f t="shared" si="1422"/>
        <v>22.000718390804597</v>
      </c>
      <c r="FP202" s="218">
        <f t="shared" ref="FP202:FQ204" si="1548">IF(FM202&lt;=0,2,0)+IF(FM202&gt;0,FM202+1,0)*2+IF(FM202&gt;12,FM202-12,0)*2+IF(FM202&gt;13,FM202-13,0)*2+IF(FM202&gt;14,FM202-14,0)*2+IF(FM202&gt;15,FM202-15,0)*2+IF(FM202&gt;16,FM202-16,0)*2+IF(FM202&gt;17,FM202-17,0)*2+IF(FM202&gt;18,FM202-18,0)*2+IF(FM202&gt;19,FM202-19,0)*2+IF(FM202&gt;20,FM202-20,0)*2</f>
        <v>154.01436781609189</v>
      </c>
      <c r="FQ202" s="242">
        <f t="shared" si="1548"/>
        <v>2</v>
      </c>
      <c r="FR202" s="243">
        <f t="shared" si="1423"/>
        <v>152.01436781609189</v>
      </c>
      <c r="FS202" s="218">
        <f t="shared" si="1424"/>
        <v>0</v>
      </c>
      <c r="FU202" s="303" t="s">
        <v>399</v>
      </c>
      <c r="FV202" s="218" t="s">
        <v>170</v>
      </c>
      <c r="FW202" s="243" t="s">
        <v>132</v>
      </c>
      <c r="FX202" s="237"/>
      <c r="FY202" s="234">
        <f t="shared" si="1529"/>
        <v>12</v>
      </c>
      <c r="FZ202" s="234">
        <f>Konvention_1slave-INslave</f>
        <v>12</v>
      </c>
      <c r="GA202" s="234"/>
      <c r="GB202" s="234">
        <f>Konvention_1slave-FFslave</f>
        <v>12</v>
      </c>
      <c r="GC202" s="234"/>
      <c r="GD202" s="234"/>
      <c r="GE202" s="224"/>
      <c r="GF202" s="223">
        <f>(FX202+FY202+FZ202+GA202+GB202+GC202+GD202+GE202)/3</f>
        <v>12</v>
      </c>
      <c r="GG202" s="223">
        <f t="shared" si="1426"/>
        <v>24</v>
      </c>
      <c r="GH202" s="224">
        <f t="shared" si="1427"/>
        <v>36</v>
      </c>
      <c r="GI202" s="237">
        <f t="shared" si="1514"/>
        <v>2304</v>
      </c>
      <c r="GJ202" s="234">
        <f>FY202*FZ202*FFslave+FY202*INslave*GB202+KLslave*FZ202*GB202</f>
        <v>3456</v>
      </c>
      <c r="GK202" s="224">
        <f t="shared" si="1428"/>
        <v>1728</v>
      </c>
      <c r="GL202" s="224">
        <f>SUM(GI202:GK202)</f>
        <v>7488</v>
      </c>
      <c r="GM202" s="222">
        <f t="shared" si="1429"/>
        <v>3.6923076923076925</v>
      </c>
      <c r="GN202" s="223">
        <f t="shared" si="1430"/>
        <v>11.076923076923077</v>
      </c>
      <c r="GO202" s="243">
        <f t="shared" si="1431"/>
        <v>8.3076923076923084</v>
      </c>
      <c r="GP202" s="243">
        <f t="shared" si="1432"/>
        <v>23.07692307692308</v>
      </c>
      <c r="GQ202" s="252">
        <f t="shared" si="1315"/>
        <v>0</v>
      </c>
      <c r="GR202" s="309">
        <f t="shared" si="1433"/>
        <v>23.07692307692308</v>
      </c>
      <c r="GS202" s="218">
        <f t="shared" ref="GS202:GT204" si="1549">IF(GP202&lt;=0,2,0)+IF(GP202&gt;0,GP202+1,0)*2+IF(GP202&gt;12,GP202-12,0)*2+IF(GP202&gt;13,GP202-13,0)*2+IF(GP202&gt;14,GP202-14,0)*2+IF(GP202&gt;15,GP202-15,0)*2+IF(GP202&gt;16,GP202-16,0)*2+IF(GP202&gt;17,GP202-17,0)*2+IF(GP202&gt;18,GP202-18,0)*2+IF(GP202&gt;19,GP202-19,0)*2+IF(GP202&gt;20,GP202-20,0)*2</f>
        <v>175.5384615384616</v>
      </c>
      <c r="GT202" s="242">
        <f t="shared" si="1549"/>
        <v>2</v>
      </c>
      <c r="GU202" s="243">
        <f t="shared" si="1434"/>
        <v>173.5384615384616</v>
      </c>
      <c r="GV202" s="218">
        <f t="shared" si="1435"/>
        <v>0</v>
      </c>
      <c r="GX202" s="303" t="s">
        <v>399</v>
      </c>
      <c r="GY202" s="218" t="s">
        <v>170</v>
      </c>
      <c r="GZ202" s="243" t="s">
        <v>132</v>
      </c>
      <c r="HA202" s="237"/>
      <c r="HB202" s="234">
        <f t="shared" si="1531"/>
        <v>12</v>
      </c>
      <c r="HC202" s="234">
        <f>Konvention_1slave-INslave</f>
        <v>12</v>
      </c>
      <c r="HD202" s="234"/>
      <c r="HE202" s="234">
        <f>Konvention_1slave-FFslave</f>
        <v>12</v>
      </c>
      <c r="HF202" s="234"/>
      <c r="HG202" s="234"/>
      <c r="HH202" s="224"/>
      <c r="HI202" s="223">
        <f>(HA202+HB202+HC202+HD202+HE202+HF202+HG202+HH202)/3</f>
        <v>12</v>
      </c>
      <c r="HJ202" s="223">
        <f t="shared" si="1437"/>
        <v>24</v>
      </c>
      <c r="HK202" s="224">
        <f t="shared" si="1438"/>
        <v>36</v>
      </c>
      <c r="HL202" s="237">
        <f t="shared" si="1515"/>
        <v>2304</v>
      </c>
      <c r="HM202" s="234">
        <f>HB202*HC202*FFslave+HB202*INslave*HE202+KLslave*HC202*HE202</f>
        <v>3456</v>
      </c>
      <c r="HN202" s="224">
        <f t="shared" si="1439"/>
        <v>1728</v>
      </c>
      <c r="HO202" s="224">
        <f>SUM(HL202:HN202)</f>
        <v>7488</v>
      </c>
      <c r="HP202" s="222">
        <f t="shared" si="1440"/>
        <v>3.6923076923076925</v>
      </c>
      <c r="HQ202" s="223">
        <f t="shared" si="1441"/>
        <v>11.076923076923077</v>
      </c>
      <c r="HR202" s="243">
        <f t="shared" si="1442"/>
        <v>8.3076923076923084</v>
      </c>
      <c r="HS202" s="243">
        <f t="shared" si="1443"/>
        <v>23.07692307692308</v>
      </c>
      <c r="HT202" s="252">
        <f t="shared" si="1326"/>
        <v>0</v>
      </c>
      <c r="HU202" s="309">
        <f t="shared" si="1444"/>
        <v>23.07692307692308</v>
      </c>
      <c r="HV202" s="218">
        <f t="shared" ref="HV202:HW204" si="1550">IF(HS202&lt;=0,2,0)+IF(HS202&gt;0,HS202+1,0)*2+IF(HS202&gt;12,HS202-12,0)*2+IF(HS202&gt;13,HS202-13,0)*2+IF(HS202&gt;14,HS202-14,0)*2+IF(HS202&gt;15,HS202-15,0)*2+IF(HS202&gt;16,HS202-16,0)*2+IF(HS202&gt;17,HS202-17,0)*2+IF(HS202&gt;18,HS202-18,0)*2+IF(HS202&gt;19,HS202-19,0)*2+IF(HS202&gt;20,HS202-20,0)*2</f>
        <v>175.5384615384616</v>
      </c>
      <c r="HW202" s="242">
        <f t="shared" si="1550"/>
        <v>2</v>
      </c>
      <c r="HX202" s="243">
        <f t="shared" si="1445"/>
        <v>173.5384615384616</v>
      </c>
      <c r="HY202" s="218">
        <f t="shared" si="1446"/>
        <v>0</v>
      </c>
      <c r="IA202" s="303" t="s">
        <v>399</v>
      </c>
      <c r="IB202" s="218" t="s">
        <v>170</v>
      </c>
      <c r="IC202" s="243" t="s">
        <v>132</v>
      </c>
      <c r="ID202" s="237"/>
      <c r="IE202" s="234">
        <f t="shared" si="1533"/>
        <v>12</v>
      </c>
      <c r="IF202" s="234">
        <f>Konvention_1slave-INslave</f>
        <v>12</v>
      </c>
      <c r="IG202" s="234"/>
      <c r="IH202" s="234">
        <f>Konvention_1slave-FFslave</f>
        <v>12</v>
      </c>
      <c r="II202" s="234"/>
      <c r="IJ202" s="234"/>
      <c r="IK202" s="224"/>
      <c r="IL202" s="223">
        <f>(ID202+IE202+IF202+IG202+IH202+II202+IJ202+IK202)/3</f>
        <v>12</v>
      </c>
      <c r="IM202" s="223">
        <f t="shared" si="1448"/>
        <v>24</v>
      </c>
      <c r="IN202" s="224">
        <f t="shared" si="1449"/>
        <v>36</v>
      </c>
      <c r="IO202" s="237">
        <f t="shared" si="1516"/>
        <v>2304</v>
      </c>
      <c r="IP202" s="234">
        <f>IE202*IF202*FFslave+IE202*INslave*IH202+KLslave*IF202*IH202</f>
        <v>3456</v>
      </c>
      <c r="IQ202" s="224">
        <f t="shared" si="1450"/>
        <v>1728</v>
      </c>
      <c r="IR202" s="224">
        <f>SUM(IO202:IQ202)</f>
        <v>7488</v>
      </c>
      <c r="IS202" s="222">
        <f t="shared" si="1451"/>
        <v>3.6923076923076925</v>
      </c>
      <c r="IT202" s="223">
        <f t="shared" si="1452"/>
        <v>11.076923076923077</v>
      </c>
      <c r="IU202" s="243">
        <f t="shared" si="1453"/>
        <v>8.3076923076923084</v>
      </c>
      <c r="IV202" s="243">
        <f t="shared" si="1454"/>
        <v>23.07692307692308</v>
      </c>
      <c r="IW202" s="252">
        <f t="shared" si="1337"/>
        <v>0</v>
      </c>
      <c r="IX202" s="309">
        <f t="shared" si="1455"/>
        <v>23.07692307692308</v>
      </c>
      <c r="IY202" s="218">
        <f t="shared" ref="IY202:IZ204" si="1551">IF(IV202&lt;=0,2,0)+IF(IV202&gt;0,IV202+1,0)*2+IF(IV202&gt;12,IV202-12,0)*2+IF(IV202&gt;13,IV202-13,0)*2+IF(IV202&gt;14,IV202-14,0)*2+IF(IV202&gt;15,IV202-15,0)*2+IF(IV202&gt;16,IV202-16,0)*2+IF(IV202&gt;17,IV202-17,0)*2+IF(IV202&gt;18,IV202-18,0)*2+IF(IV202&gt;19,IV202-19,0)*2+IF(IV202&gt;20,IV202-20,0)*2</f>
        <v>175.5384615384616</v>
      </c>
      <c r="IZ202" s="242">
        <f t="shared" si="1551"/>
        <v>2</v>
      </c>
      <c r="JA202" s="243">
        <f t="shared" si="1456"/>
        <v>173.5384615384616</v>
      </c>
      <c r="JB202" s="218">
        <f t="shared" si="1457"/>
        <v>0</v>
      </c>
      <c r="JE202" s="148"/>
    </row>
    <row r="203" spans="2:265" ht="15" hidden="1" customHeight="1" outlineLevel="2">
      <c r="B203" s="148">
        <v>51</v>
      </c>
      <c r="C203" s="303" t="e">
        <f>VLOOKUP(AF203,Attribute!C:T,1,FALSE)</f>
        <v>#N/A</v>
      </c>
      <c r="D203" s="86" t="s">
        <v>172</v>
      </c>
      <c r="E203" s="167" t="s">
        <v>132</v>
      </c>
      <c r="F203" s="120">
        <f>Konvention_1master-MUmaster</f>
        <v>12</v>
      </c>
      <c r="G203" s="117"/>
      <c r="H203" s="117"/>
      <c r="I203" s="117">
        <f>Konvention_1master-CHmaster</f>
        <v>12</v>
      </c>
      <c r="J203" s="117"/>
      <c r="K203" s="117">
        <f>Konvention_1master-GEmaster</f>
        <v>12</v>
      </c>
      <c r="L203" s="117"/>
      <c r="M203" s="121"/>
      <c r="N203" s="223">
        <f>(F203+G203+H203+I203+J203+K203+L203+M203)/3</f>
        <v>12</v>
      </c>
      <c r="O203" s="223">
        <f t="shared" si="1360"/>
        <v>24</v>
      </c>
      <c r="P203" s="224">
        <f t="shared" si="1361"/>
        <v>36</v>
      </c>
      <c r="Q203" s="237">
        <f t="shared" si="1508"/>
        <v>2304</v>
      </c>
      <c r="R203" s="117">
        <f>F203*I203*GEmaster+F203*CHmaster*K203+MUmaster*I203*K203</f>
        <v>3456</v>
      </c>
      <c r="S203" s="224">
        <f t="shared" si="1362"/>
        <v>1728</v>
      </c>
      <c r="T203" s="224">
        <f t="shared" si="1507"/>
        <v>7488</v>
      </c>
      <c r="U203" s="222">
        <f t="shared" si="1363"/>
        <v>3.6923076923076925</v>
      </c>
      <c r="V203" s="223">
        <f t="shared" si="1364"/>
        <v>11.076923076923077</v>
      </c>
      <c r="W203" s="243">
        <f t="shared" si="1365"/>
        <v>8.3076923076923084</v>
      </c>
      <c r="X203" s="243">
        <f t="shared" si="1366"/>
        <v>23.07692307692308</v>
      </c>
      <c r="Y203" s="252">
        <v>0</v>
      </c>
      <c r="Z203" s="198">
        <f t="shared" si="1367"/>
        <v>23.07692307692308</v>
      </c>
      <c r="AA203" s="125">
        <f t="shared" si="1543"/>
        <v>175.5384615384616</v>
      </c>
      <c r="AB203" s="160">
        <f t="shared" si="1543"/>
        <v>2</v>
      </c>
      <c r="AC203" s="127">
        <f t="shared" si="1368"/>
        <v>173.5384615384616</v>
      </c>
      <c r="AD203" s="125">
        <f t="shared" si="1369"/>
        <v>0</v>
      </c>
      <c r="AF203" s="163" t="s">
        <v>366</v>
      </c>
      <c r="AG203" s="86" t="s">
        <v>172</v>
      </c>
      <c r="AH203" s="167" t="s">
        <v>132</v>
      </c>
      <c r="AI203" s="120">
        <f>Konvention_1slave-MUslave_MU</f>
        <v>11</v>
      </c>
      <c r="AJ203" s="117"/>
      <c r="AK203" s="117"/>
      <c r="AL203" s="117">
        <f>Konvention_1slave-CHslave</f>
        <v>12</v>
      </c>
      <c r="AM203" s="117"/>
      <c r="AN203" s="117">
        <f>Konvention_1slave-GEslave</f>
        <v>12</v>
      </c>
      <c r="AO203" s="117"/>
      <c r="AP203" s="121"/>
      <c r="AQ203" s="47">
        <f>(AI203+AJ203+AK203+AL203+AM203+AN203+AO203+AP203)/3</f>
        <v>11.666666666666666</v>
      </c>
      <c r="AR203" s="3">
        <f t="shared" si="1371"/>
        <v>23.333333333333332</v>
      </c>
      <c r="AS203" s="174">
        <f t="shared" si="1372"/>
        <v>35</v>
      </c>
      <c r="AT203" s="114">
        <f t="shared" si="1509"/>
        <v>2432</v>
      </c>
      <c r="AU203" s="117">
        <f>AI203*AL203*GEslave+AI203*CHslave*AN203+MUslave_MU*AL203*AN203</f>
        <v>3408</v>
      </c>
      <c r="AV203" s="119">
        <f t="shared" si="1373"/>
        <v>1584</v>
      </c>
      <c r="AW203" s="119">
        <f>SUM(AT203:AV203)</f>
        <v>7424</v>
      </c>
      <c r="AX203" s="89">
        <f t="shared" si="1374"/>
        <v>3.8218390804597702</v>
      </c>
      <c r="AY203" s="47">
        <f t="shared" si="1375"/>
        <v>10.711206896551724</v>
      </c>
      <c r="AZ203" s="127">
        <f t="shared" si="1376"/>
        <v>7.4676724137931032</v>
      </c>
      <c r="BA203" s="127">
        <f t="shared" si="1377"/>
        <v>22.000718390804597</v>
      </c>
      <c r="BB203" s="165">
        <f t="shared" si="1260"/>
        <v>0</v>
      </c>
      <c r="BC203" s="198">
        <f t="shared" si="1378"/>
        <v>22.000718390804597</v>
      </c>
      <c r="BD203" s="125">
        <f t="shared" si="1544"/>
        <v>154.01436781609189</v>
      </c>
      <c r="BE203" s="160">
        <f t="shared" si="1544"/>
        <v>2</v>
      </c>
      <c r="BF203" s="243">
        <f t="shared" si="1379"/>
        <v>152.01436781609189</v>
      </c>
      <c r="BG203" s="218">
        <f t="shared" si="1380"/>
        <v>0</v>
      </c>
      <c r="BI203" s="303" t="s">
        <v>366</v>
      </c>
      <c r="BJ203" s="304" t="s">
        <v>172</v>
      </c>
      <c r="BK203" s="305" t="s">
        <v>132</v>
      </c>
      <c r="BL203" s="317">
        <f>Konvention_1slave-MUslave</f>
        <v>12</v>
      </c>
      <c r="BM203" s="254"/>
      <c r="BN203" s="254"/>
      <c r="BO203" s="254">
        <f>Konvention_1slave-CHslave</f>
        <v>12</v>
      </c>
      <c r="BP203" s="254"/>
      <c r="BQ203" s="254">
        <f>Konvention_1slave-GEslave</f>
        <v>12</v>
      </c>
      <c r="BR203" s="254"/>
      <c r="BS203" s="318"/>
      <c r="BT203" s="223">
        <f>(BL203+BM203+BN203+BO203+BP203+BQ203+BR203+BS203)/3</f>
        <v>12</v>
      </c>
      <c r="BU203" s="223">
        <f t="shared" si="1382"/>
        <v>24</v>
      </c>
      <c r="BV203" s="224">
        <f t="shared" si="1383"/>
        <v>36</v>
      </c>
      <c r="BW203" s="237">
        <f t="shared" si="1510"/>
        <v>2304</v>
      </c>
      <c r="BX203" s="254">
        <f>BL203*BO203*GEslave+BL203*CHslave*BQ203+MUslave*BO203*BQ203</f>
        <v>3456</v>
      </c>
      <c r="BY203" s="224">
        <f t="shared" si="1384"/>
        <v>1728</v>
      </c>
      <c r="BZ203" s="224">
        <f>SUM(BW203:BY203)</f>
        <v>7488</v>
      </c>
      <c r="CA203" s="222">
        <f t="shared" si="1385"/>
        <v>3.6923076923076925</v>
      </c>
      <c r="CB203" s="223">
        <f t="shared" si="1386"/>
        <v>11.076923076923077</v>
      </c>
      <c r="CC203" s="243">
        <f t="shared" si="1387"/>
        <v>8.3076923076923084</v>
      </c>
      <c r="CD203" s="243">
        <f t="shared" si="1388"/>
        <v>23.07692307692308</v>
      </c>
      <c r="CE203" s="252">
        <f t="shared" si="1271"/>
        <v>0</v>
      </c>
      <c r="CF203" s="309">
        <f t="shared" si="1389"/>
        <v>23.07692307692308</v>
      </c>
      <c r="CG203" s="218">
        <f t="shared" si="1545"/>
        <v>175.5384615384616</v>
      </c>
      <c r="CH203" s="242">
        <f t="shared" si="1545"/>
        <v>2</v>
      </c>
      <c r="CI203" s="243">
        <f t="shared" si="1390"/>
        <v>173.5384615384616</v>
      </c>
      <c r="CJ203" s="218">
        <f t="shared" si="1391"/>
        <v>0</v>
      </c>
      <c r="CL203" s="303" t="s">
        <v>366</v>
      </c>
      <c r="CM203" s="304" t="s">
        <v>172</v>
      </c>
      <c r="CN203" s="305" t="s">
        <v>132</v>
      </c>
      <c r="CO203" s="317">
        <f>Konvention_1slave-MUslave</f>
        <v>12</v>
      </c>
      <c r="CP203" s="254"/>
      <c r="CQ203" s="254"/>
      <c r="CR203" s="254">
        <f>Konvention_1slave-CHslave</f>
        <v>12</v>
      </c>
      <c r="CS203" s="254"/>
      <c r="CT203" s="254">
        <f>Konvention_1slave-GEslave</f>
        <v>12</v>
      </c>
      <c r="CU203" s="254"/>
      <c r="CV203" s="318"/>
      <c r="CW203" s="223">
        <f>(CO203+CP203+CQ203+CR203+CS203+CT203+CU203+CV203)/3</f>
        <v>12</v>
      </c>
      <c r="CX203" s="223">
        <f t="shared" si="1393"/>
        <v>24</v>
      </c>
      <c r="CY203" s="224">
        <f t="shared" si="1394"/>
        <v>36</v>
      </c>
      <c r="CZ203" s="237">
        <f t="shared" si="1511"/>
        <v>2304</v>
      </c>
      <c r="DA203" s="254">
        <f>CO203*CR203*GEslave+CO203*CHslave*CT203+MUslave*CR203*CT203</f>
        <v>3456</v>
      </c>
      <c r="DB203" s="224">
        <f t="shared" si="1395"/>
        <v>1728</v>
      </c>
      <c r="DC203" s="224">
        <f>SUM(CZ203:DB203)</f>
        <v>7488</v>
      </c>
      <c r="DD203" s="222">
        <f t="shared" si="1396"/>
        <v>3.6923076923076925</v>
      </c>
      <c r="DE203" s="223">
        <f t="shared" si="1397"/>
        <v>11.076923076923077</v>
      </c>
      <c r="DF203" s="243">
        <f t="shared" si="1398"/>
        <v>8.3076923076923084</v>
      </c>
      <c r="DG203" s="243">
        <f t="shared" si="1399"/>
        <v>23.07692307692308</v>
      </c>
      <c r="DH203" s="252">
        <f t="shared" si="1282"/>
        <v>0</v>
      </c>
      <c r="DI203" s="309">
        <f t="shared" si="1400"/>
        <v>23.07692307692308</v>
      </c>
      <c r="DJ203" s="218">
        <f t="shared" si="1546"/>
        <v>175.5384615384616</v>
      </c>
      <c r="DK203" s="242">
        <f t="shared" si="1546"/>
        <v>2</v>
      </c>
      <c r="DL203" s="243">
        <f t="shared" si="1401"/>
        <v>173.5384615384616</v>
      </c>
      <c r="DM203" s="218">
        <f t="shared" si="1402"/>
        <v>0</v>
      </c>
      <c r="DO203" s="303" t="s">
        <v>366</v>
      </c>
      <c r="DP203" s="304" t="s">
        <v>172</v>
      </c>
      <c r="DQ203" s="305" t="s">
        <v>132</v>
      </c>
      <c r="DR203" s="317">
        <f>Konvention_1slave-MUslave</f>
        <v>12</v>
      </c>
      <c r="DS203" s="254"/>
      <c r="DT203" s="254"/>
      <c r="DU203" s="254">
        <f>Konvention_1slave-CHslave_CH</f>
        <v>11</v>
      </c>
      <c r="DV203" s="254"/>
      <c r="DW203" s="254">
        <f>Konvention_1slave-GEslave</f>
        <v>12</v>
      </c>
      <c r="DX203" s="254"/>
      <c r="DY203" s="318"/>
      <c r="DZ203" s="223">
        <f>(DR203+DS203+DT203+DU203+DV203+DW203+DX203+DY203)/3</f>
        <v>11.666666666666666</v>
      </c>
      <c r="EA203" s="223">
        <f t="shared" si="1404"/>
        <v>23.333333333333332</v>
      </c>
      <c r="EB203" s="224">
        <f t="shared" si="1405"/>
        <v>35</v>
      </c>
      <c r="EC203" s="237">
        <f t="shared" si="1512"/>
        <v>2432</v>
      </c>
      <c r="ED203" s="254">
        <f>DR203*DU203*GEslave+DR203*CHslave_CH*DW203+MUslave*DU203*DW203</f>
        <v>3408</v>
      </c>
      <c r="EE203" s="224">
        <f t="shared" si="1406"/>
        <v>1584</v>
      </c>
      <c r="EF203" s="224">
        <f>SUM(EC203:EE203)</f>
        <v>7424</v>
      </c>
      <c r="EG203" s="222">
        <f t="shared" si="1407"/>
        <v>3.8218390804597702</v>
      </c>
      <c r="EH203" s="223">
        <f t="shared" si="1408"/>
        <v>10.711206896551724</v>
      </c>
      <c r="EI203" s="243">
        <f t="shared" si="1409"/>
        <v>7.4676724137931032</v>
      </c>
      <c r="EJ203" s="243">
        <f t="shared" si="1410"/>
        <v>22.000718390804597</v>
      </c>
      <c r="EK203" s="252">
        <f t="shared" si="1293"/>
        <v>0</v>
      </c>
      <c r="EL203" s="309">
        <f t="shared" si="1411"/>
        <v>22.000718390804597</v>
      </c>
      <c r="EM203" s="218">
        <f t="shared" si="1547"/>
        <v>154.01436781609189</v>
      </c>
      <c r="EN203" s="242">
        <f t="shared" si="1547"/>
        <v>2</v>
      </c>
      <c r="EO203" s="243">
        <f t="shared" si="1412"/>
        <v>152.01436781609189</v>
      </c>
      <c r="EP203" s="218">
        <f t="shared" si="1413"/>
        <v>0</v>
      </c>
      <c r="ER203" s="303" t="s">
        <v>366</v>
      </c>
      <c r="ES203" s="304" t="s">
        <v>172</v>
      </c>
      <c r="ET203" s="305" t="s">
        <v>132</v>
      </c>
      <c r="EU203" s="317">
        <f>Konvention_1slave-MUslave</f>
        <v>12</v>
      </c>
      <c r="EV203" s="254"/>
      <c r="EW203" s="254"/>
      <c r="EX203" s="254">
        <f>Konvention_1slave-CHslave</f>
        <v>12</v>
      </c>
      <c r="EY203" s="254"/>
      <c r="EZ203" s="254">
        <f>Konvention_1slave-GEslave</f>
        <v>12</v>
      </c>
      <c r="FA203" s="254"/>
      <c r="FB203" s="318"/>
      <c r="FC203" s="223">
        <f>(EU203+EV203+EW203+EX203+EY203+EZ203+FA203+FB203)/3</f>
        <v>12</v>
      </c>
      <c r="FD203" s="223">
        <f t="shared" si="1415"/>
        <v>24</v>
      </c>
      <c r="FE203" s="224">
        <f t="shared" si="1416"/>
        <v>36</v>
      </c>
      <c r="FF203" s="237">
        <f t="shared" si="1513"/>
        <v>2304</v>
      </c>
      <c r="FG203" s="254">
        <f>EU203*EX203*GEslave+EU203*CHslave*EZ203+MUslave*EX203*EZ203</f>
        <v>3456</v>
      </c>
      <c r="FH203" s="224">
        <f t="shared" si="1417"/>
        <v>1728</v>
      </c>
      <c r="FI203" s="224">
        <f>SUM(FF203:FH203)</f>
        <v>7488</v>
      </c>
      <c r="FJ203" s="222">
        <f t="shared" si="1418"/>
        <v>3.6923076923076925</v>
      </c>
      <c r="FK203" s="223">
        <f t="shared" si="1419"/>
        <v>11.076923076923077</v>
      </c>
      <c r="FL203" s="243">
        <f t="shared" si="1420"/>
        <v>8.3076923076923084</v>
      </c>
      <c r="FM203" s="243">
        <f t="shared" si="1421"/>
        <v>23.07692307692308</v>
      </c>
      <c r="FN203" s="252">
        <f t="shared" si="1304"/>
        <v>0</v>
      </c>
      <c r="FO203" s="309">
        <f t="shared" si="1422"/>
        <v>23.07692307692308</v>
      </c>
      <c r="FP203" s="218">
        <f t="shared" si="1548"/>
        <v>175.5384615384616</v>
      </c>
      <c r="FQ203" s="242">
        <f t="shared" si="1548"/>
        <v>2</v>
      </c>
      <c r="FR203" s="243">
        <f t="shared" si="1423"/>
        <v>173.5384615384616</v>
      </c>
      <c r="FS203" s="218">
        <f t="shared" si="1424"/>
        <v>0</v>
      </c>
      <c r="FU203" s="303" t="s">
        <v>366</v>
      </c>
      <c r="FV203" s="304" t="s">
        <v>172</v>
      </c>
      <c r="FW203" s="305" t="s">
        <v>132</v>
      </c>
      <c r="FX203" s="317">
        <f>Konvention_1slave-MUslave</f>
        <v>12</v>
      </c>
      <c r="FY203" s="254"/>
      <c r="FZ203" s="254"/>
      <c r="GA203" s="254">
        <f>Konvention_1slave-CHslave</f>
        <v>12</v>
      </c>
      <c r="GB203" s="254"/>
      <c r="GC203" s="254">
        <f>Konvention_1slave-GEslave_GE</f>
        <v>11</v>
      </c>
      <c r="GD203" s="254"/>
      <c r="GE203" s="318"/>
      <c r="GF203" s="223">
        <f>(FX203+FY203+FZ203+GA203+GB203+GC203+GD203+GE203)/3</f>
        <v>11.666666666666666</v>
      </c>
      <c r="GG203" s="223">
        <f t="shared" si="1426"/>
        <v>23.333333333333332</v>
      </c>
      <c r="GH203" s="224">
        <f t="shared" si="1427"/>
        <v>35</v>
      </c>
      <c r="GI203" s="237">
        <f t="shared" si="1514"/>
        <v>2432</v>
      </c>
      <c r="GJ203" s="254">
        <f>FX203*GA203*GEslave_GE+FX203*CHslave*GC203+MUslave*GA203*GC203</f>
        <v>3408</v>
      </c>
      <c r="GK203" s="224">
        <f t="shared" si="1428"/>
        <v>1584</v>
      </c>
      <c r="GL203" s="224">
        <f>SUM(GI203:GK203)</f>
        <v>7424</v>
      </c>
      <c r="GM203" s="222">
        <f t="shared" si="1429"/>
        <v>3.8218390804597702</v>
      </c>
      <c r="GN203" s="223">
        <f t="shared" si="1430"/>
        <v>10.711206896551724</v>
      </c>
      <c r="GO203" s="243">
        <f t="shared" si="1431"/>
        <v>7.4676724137931032</v>
      </c>
      <c r="GP203" s="243">
        <f t="shared" si="1432"/>
        <v>22.000718390804597</v>
      </c>
      <c r="GQ203" s="252">
        <f t="shared" si="1315"/>
        <v>0</v>
      </c>
      <c r="GR203" s="309">
        <f t="shared" si="1433"/>
        <v>22.000718390804597</v>
      </c>
      <c r="GS203" s="218">
        <f t="shared" si="1549"/>
        <v>154.01436781609189</v>
      </c>
      <c r="GT203" s="242">
        <f t="shared" si="1549"/>
        <v>2</v>
      </c>
      <c r="GU203" s="243">
        <f t="shared" si="1434"/>
        <v>152.01436781609189</v>
      </c>
      <c r="GV203" s="218">
        <f t="shared" si="1435"/>
        <v>0</v>
      </c>
      <c r="GX203" s="303" t="s">
        <v>366</v>
      </c>
      <c r="GY203" s="304" t="s">
        <v>172</v>
      </c>
      <c r="GZ203" s="305" t="s">
        <v>132</v>
      </c>
      <c r="HA203" s="317">
        <f>Konvention_1slave-MUslave</f>
        <v>12</v>
      </c>
      <c r="HB203" s="254"/>
      <c r="HC203" s="254"/>
      <c r="HD203" s="254">
        <f>Konvention_1slave-CHslave</f>
        <v>12</v>
      </c>
      <c r="HE203" s="254"/>
      <c r="HF203" s="254">
        <f>Konvention_1slave-GEslave</f>
        <v>12</v>
      </c>
      <c r="HG203" s="254"/>
      <c r="HH203" s="318"/>
      <c r="HI203" s="223">
        <f>(HA203+HB203+HC203+HD203+HE203+HF203+HG203+HH203)/3</f>
        <v>12</v>
      </c>
      <c r="HJ203" s="223">
        <f t="shared" si="1437"/>
        <v>24</v>
      </c>
      <c r="HK203" s="224">
        <f t="shared" si="1438"/>
        <v>36</v>
      </c>
      <c r="HL203" s="237">
        <f t="shared" si="1515"/>
        <v>2304</v>
      </c>
      <c r="HM203" s="254">
        <f>HA203*HD203*GEslave+HA203*CHslave*HF203+MUslave*HD203*HF203</f>
        <v>3456</v>
      </c>
      <c r="HN203" s="224">
        <f t="shared" si="1439"/>
        <v>1728</v>
      </c>
      <c r="HO203" s="224">
        <f>SUM(HL203:HN203)</f>
        <v>7488</v>
      </c>
      <c r="HP203" s="222">
        <f t="shared" si="1440"/>
        <v>3.6923076923076925</v>
      </c>
      <c r="HQ203" s="223">
        <f t="shared" si="1441"/>
        <v>11.076923076923077</v>
      </c>
      <c r="HR203" s="243">
        <f t="shared" si="1442"/>
        <v>8.3076923076923084</v>
      </c>
      <c r="HS203" s="243">
        <f t="shared" si="1443"/>
        <v>23.07692307692308</v>
      </c>
      <c r="HT203" s="252">
        <f t="shared" si="1326"/>
        <v>0</v>
      </c>
      <c r="HU203" s="309">
        <f t="shared" si="1444"/>
        <v>23.07692307692308</v>
      </c>
      <c r="HV203" s="218">
        <f t="shared" si="1550"/>
        <v>175.5384615384616</v>
      </c>
      <c r="HW203" s="242">
        <f t="shared" si="1550"/>
        <v>2</v>
      </c>
      <c r="HX203" s="243">
        <f t="shared" si="1445"/>
        <v>173.5384615384616</v>
      </c>
      <c r="HY203" s="218">
        <f t="shared" si="1446"/>
        <v>0</v>
      </c>
      <c r="IA203" s="303" t="s">
        <v>366</v>
      </c>
      <c r="IB203" s="304" t="s">
        <v>172</v>
      </c>
      <c r="IC203" s="305" t="s">
        <v>132</v>
      </c>
      <c r="ID203" s="317">
        <f>Konvention_1slave-MUslave</f>
        <v>12</v>
      </c>
      <c r="IE203" s="254"/>
      <c r="IF203" s="254"/>
      <c r="IG203" s="254">
        <f>Konvention_1slave-CHslave</f>
        <v>12</v>
      </c>
      <c r="IH203" s="254"/>
      <c r="II203" s="254">
        <f>Konvention_1slave-GEslave</f>
        <v>12</v>
      </c>
      <c r="IJ203" s="254"/>
      <c r="IK203" s="318"/>
      <c r="IL203" s="223">
        <f>(ID203+IE203+IF203+IG203+IH203+II203+IJ203+IK203)/3</f>
        <v>12</v>
      </c>
      <c r="IM203" s="223">
        <f t="shared" si="1448"/>
        <v>24</v>
      </c>
      <c r="IN203" s="224">
        <f t="shared" si="1449"/>
        <v>36</v>
      </c>
      <c r="IO203" s="237">
        <f t="shared" si="1516"/>
        <v>2304</v>
      </c>
      <c r="IP203" s="254">
        <f>ID203*IG203*GEslave+ID203*CHslave*II203+MUslave*IG203*II203</f>
        <v>3456</v>
      </c>
      <c r="IQ203" s="224">
        <f t="shared" si="1450"/>
        <v>1728</v>
      </c>
      <c r="IR203" s="224">
        <f>SUM(IO203:IQ203)</f>
        <v>7488</v>
      </c>
      <c r="IS203" s="222">
        <f t="shared" si="1451"/>
        <v>3.6923076923076925</v>
      </c>
      <c r="IT203" s="223">
        <f t="shared" si="1452"/>
        <v>11.076923076923077</v>
      </c>
      <c r="IU203" s="243">
        <f t="shared" si="1453"/>
        <v>8.3076923076923084</v>
      </c>
      <c r="IV203" s="243">
        <f t="shared" si="1454"/>
        <v>23.07692307692308</v>
      </c>
      <c r="IW203" s="252">
        <f t="shared" si="1337"/>
        <v>0</v>
      </c>
      <c r="IX203" s="309">
        <f t="shared" si="1455"/>
        <v>23.07692307692308</v>
      </c>
      <c r="IY203" s="218">
        <f t="shared" si="1551"/>
        <v>175.5384615384616</v>
      </c>
      <c r="IZ203" s="242">
        <f t="shared" si="1551"/>
        <v>2</v>
      </c>
      <c r="JA203" s="243">
        <f t="shared" si="1456"/>
        <v>173.5384615384616</v>
      </c>
      <c r="JB203" s="218">
        <f t="shared" si="1457"/>
        <v>0</v>
      </c>
      <c r="JE203" s="148"/>
    </row>
    <row r="204" spans="2:265" ht="15" hidden="1" customHeight="1" outlineLevel="2">
      <c r="B204" s="148">
        <v>52</v>
      </c>
      <c r="C204" s="303" t="e">
        <f>VLOOKUP(AF204,Attribute!C:T,1,FALSE)</f>
        <v>#N/A</v>
      </c>
      <c r="D204" s="86" t="s">
        <v>86</v>
      </c>
      <c r="E204" s="127" t="s">
        <v>132</v>
      </c>
      <c r="F204" s="114">
        <f>Konvention_1master-MUmaster</f>
        <v>12</v>
      </c>
      <c r="G204" s="113"/>
      <c r="H204" s="113">
        <f>Konvention_1master-INmaster</f>
        <v>12</v>
      </c>
      <c r="I204" s="113">
        <f>Konvention_1master-CHmaster</f>
        <v>12</v>
      </c>
      <c r="J204" s="113"/>
      <c r="K204" s="113"/>
      <c r="L204" s="113"/>
      <c r="M204" s="119"/>
      <c r="N204" s="223">
        <f t="shared" si="1359"/>
        <v>12</v>
      </c>
      <c r="O204" s="223">
        <f t="shared" si="1360"/>
        <v>24</v>
      </c>
      <c r="P204" s="224">
        <f t="shared" si="1361"/>
        <v>36</v>
      </c>
      <c r="Q204" s="237">
        <f t="shared" si="1508"/>
        <v>2304</v>
      </c>
      <c r="R204" s="113">
        <f>F204*H204*CHmaster+F204*INmaster*I204+MUmaster*H204*I204</f>
        <v>3456</v>
      </c>
      <c r="S204" s="224">
        <f t="shared" si="1362"/>
        <v>1728</v>
      </c>
      <c r="T204" s="224">
        <f t="shared" si="1507"/>
        <v>7488</v>
      </c>
      <c r="U204" s="222">
        <f t="shared" si="1363"/>
        <v>3.6923076923076925</v>
      </c>
      <c r="V204" s="223">
        <f t="shared" si="1364"/>
        <v>11.076923076923077</v>
      </c>
      <c r="W204" s="243">
        <f t="shared" si="1365"/>
        <v>8.3076923076923084</v>
      </c>
      <c r="X204" s="243">
        <f t="shared" si="1366"/>
        <v>23.07692307692308</v>
      </c>
      <c r="Y204" s="252">
        <v>0</v>
      </c>
      <c r="Z204" s="198">
        <f t="shared" si="1367"/>
        <v>23.07692307692308</v>
      </c>
      <c r="AA204" s="125">
        <f t="shared" si="1543"/>
        <v>175.5384615384616</v>
      </c>
      <c r="AB204" s="160">
        <f t="shared" si="1543"/>
        <v>2</v>
      </c>
      <c r="AC204" s="127">
        <f t="shared" si="1368"/>
        <v>173.5384615384616</v>
      </c>
      <c r="AD204" s="125">
        <f t="shared" si="1369"/>
        <v>0</v>
      </c>
      <c r="AF204" s="163" t="s">
        <v>215</v>
      </c>
      <c r="AG204" s="125" t="s">
        <v>86</v>
      </c>
      <c r="AH204" s="127" t="s">
        <v>132</v>
      </c>
      <c r="AI204" s="114">
        <f>Konvention_1slave-MUslave_MU</f>
        <v>11</v>
      </c>
      <c r="AJ204" s="113"/>
      <c r="AK204" s="113">
        <f>Konvention_1slave-INslave</f>
        <v>12</v>
      </c>
      <c r="AL204" s="113">
        <f>Konvention_1slave-CHslave</f>
        <v>12</v>
      </c>
      <c r="AM204" s="113"/>
      <c r="AN204" s="113"/>
      <c r="AO204" s="113"/>
      <c r="AP204" s="119"/>
      <c r="AQ204" s="47">
        <f t="shared" si="1370"/>
        <v>11.666666666666666</v>
      </c>
      <c r="AR204" s="47">
        <f t="shared" si="1371"/>
        <v>23.333333333333332</v>
      </c>
      <c r="AS204" s="119">
        <f t="shared" si="1372"/>
        <v>35</v>
      </c>
      <c r="AT204" s="114">
        <f t="shared" si="1509"/>
        <v>2432</v>
      </c>
      <c r="AU204" s="113">
        <f>AI204*AK204*CHslave+AI204*INslave*AL204+MUslave_MU*AK204*AL204</f>
        <v>3408</v>
      </c>
      <c r="AV204" s="119">
        <f t="shared" si="1373"/>
        <v>1584</v>
      </c>
      <c r="AW204" s="119">
        <f t="shared" si="1535"/>
        <v>7424</v>
      </c>
      <c r="AX204" s="89">
        <f t="shared" si="1374"/>
        <v>3.8218390804597702</v>
      </c>
      <c r="AY204" s="47">
        <f t="shared" si="1375"/>
        <v>10.711206896551724</v>
      </c>
      <c r="AZ204" s="127">
        <f t="shared" si="1376"/>
        <v>7.4676724137931032</v>
      </c>
      <c r="BA204" s="127">
        <f t="shared" si="1377"/>
        <v>22.000718390804597</v>
      </c>
      <c r="BB204" s="165">
        <f t="shared" si="1260"/>
        <v>0</v>
      </c>
      <c r="BC204" s="198">
        <f t="shared" si="1378"/>
        <v>22.000718390804597</v>
      </c>
      <c r="BD204" s="125">
        <f t="shared" si="1544"/>
        <v>154.01436781609189</v>
      </c>
      <c r="BE204" s="160">
        <f t="shared" si="1544"/>
        <v>2</v>
      </c>
      <c r="BF204" s="243">
        <f t="shared" si="1379"/>
        <v>152.01436781609189</v>
      </c>
      <c r="BG204" s="218">
        <f t="shared" si="1380"/>
        <v>0</v>
      </c>
      <c r="BI204" s="303" t="s">
        <v>215</v>
      </c>
      <c r="BJ204" s="218" t="s">
        <v>86</v>
      </c>
      <c r="BK204" s="243" t="s">
        <v>132</v>
      </c>
      <c r="BL204" s="237">
        <f>Konvention_1slave-MUslave</f>
        <v>12</v>
      </c>
      <c r="BM204" s="234"/>
      <c r="BN204" s="234">
        <f>Konvention_1slave-INslave</f>
        <v>12</v>
      </c>
      <c r="BO204" s="234">
        <f>Konvention_1slave-CHslave</f>
        <v>12</v>
      </c>
      <c r="BP204" s="234"/>
      <c r="BQ204" s="234"/>
      <c r="BR204" s="234"/>
      <c r="BS204" s="224"/>
      <c r="BT204" s="223">
        <f t="shared" si="1381"/>
        <v>12</v>
      </c>
      <c r="BU204" s="223">
        <f t="shared" si="1382"/>
        <v>24</v>
      </c>
      <c r="BV204" s="224">
        <f t="shared" si="1383"/>
        <v>36</v>
      </c>
      <c r="BW204" s="237">
        <f t="shared" si="1510"/>
        <v>2304</v>
      </c>
      <c r="BX204" s="234">
        <f>BL204*BN204*CHslave+BL204*INslave*BO204+MUslave*BN204*BO204</f>
        <v>3456</v>
      </c>
      <c r="BY204" s="224">
        <f t="shared" si="1384"/>
        <v>1728</v>
      </c>
      <c r="BZ204" s="224">
        <f t="shared" si="1536"/>
        <v>7488</v>
      </c>
      <c r="CA204" s="222">
        <f t="shared" si="1385"/>
        <v>3.6923076923076925</v>
      </c>
      <c r="CB204" s="223">
        <f t="shared" si="1386"/>
        <v>11.076923076923077</v>
      </c>
      <c r="CC204" s="243">
        <f t="shared" si="1387"/>
        <v>8.3076923076923084</v>
      </c>
      <c r="CD204" s="243">
        <f t="shared" si="1388"/>
        <v>23.07692307692308</v>
      </c>
      <c r="CE204" s="252">
        <f t="shared" si="1271"/>
        <v>0</v>
      </c>
      <c r="CF204" s="309">
        <f t="shared" si="1389"/>
        <v>23.07692307692308</v>
      </c>
      <c r="CG204" s="218">
        <f t="shared" si="1545"/>
        <v>175.5384615384616</v>
      </c>
      <c r="CH204" s="242">
        <f t="shared" si="1545"/>
        <v>2</v>
      </c>
      <c r="CI204" s="243">
        <f t="shared" si="1390"/>
        <v>173.5384615384616</v>
      </c>
      <c r="CJ204" s="218">
        <f t="shared" si="1391"/>
        <v>0</v>
      </c>
      <c r="CL204" s="303" t="s">
        <v>215</v>
      </c>
      <c r="CM204" s="218" t="s">
        <v>86</v>
      </c>
      <c r="CN204" s="243" t="s">
        <v>132</v>
      </c>
      <c r="CO204" s="237">
        <f>Konvention_1slave-MUslave</f>
        <v>12</v>
      </c>
      <c r="CP204" s="234"/>
      <c r="CQ204" s="234">
        <f>Konvention_1slave-INslave_IN</f>
        <v>11</v>
      </c>
      <c r="CR204" s="234">
        <f>Konvention_1slave-CHslave</f>
        <v>12</v>
      </c>
      <c r="CS204" s="234"/>
      <c r="CT204" s="234"/>
      <c r="CU204" s="234"/>
      <c r="CV204" s="224"/>
      <c r="CW204" s="223">
        <f t="shared" si="1392"/>
        <v>11.666666666666666</v>
      </c>
      <c r="CX204" s="223">
        <f t="shared" si="1393"/>
        <v>23.333333333333332</v>
      </c>
      <c r="CY204" s="224">
        <f t="shared" si="1394"/>
        <v>35</v>
      </c>
      <c r="CZ204" s="237">
        <f t="shared" si="1511"/>
        <v>2432</v>
      </c>
      <c r="DA204" s="234">
        <f>CO204*CQ204*CHslave+CO204*INslave_IN*CR204+MUslave*CQ204*CR204</f>
        <v>3408</v>
      </c>
      <c r="DB204" s="224">
        <f t="shared" si="1395"/>
        <v>1584</v>
      </c>
      <c r="DC204" s="224">
        <f t="shared" si="1537"/>
        <v>7424</v>
      </c>
      <c r="DD204" s="222">
        <f t="shared" si="1396"/>
        <v>3.8218390804597702</v>
      </c>
      <c r="DE204" s="223">
        <f t="shared" si="1397"/>
        <v>10.711206896551724</v>
      </c>
      <c r="DF204" s="243">
        <f t="shared" si="1398"/>
        <v>7.4676724137931032</v>
      </c>
      <c r="DG204" s="243">
        <f t="shared" si="1399"/>
        <v>22.000718390804597</v>
      </c>
      <c r="DH204" s="252">
        <f t="shared" si="1282"/>
        <v>0</v>
      </c>
      <c r="DI204" s="309">
        <f t="shared" si="1400"/>
        <v>22.000718390804597</v>
      </c>
      <c r="DJ204" s="218">
        <f t="shared" si="1546"/>
        <v>154.01436781609189</v>
      </c>
      <c r="DK204" s="242">
        <f t="shared" si="1546"/>
        <v>2</v>
      </c>
      <c r="DL204" s="243">
        <f t="shared" si="1401"/>
        <v>152.01436781609189</v>
      </c>
      <c r="DM204" s="218">
        <f t="shared" si="1402"/>
        <v>0</v>
      </c>
      <c r="DO204" s="303" t="s">
        <v>215</v>
      </c>
      <c r="DP204" s="218" t="s">
        <v>86</v>
      </c>
      <c r="DQ204" s="243" t="s">
        <v>132</v>
      </c>
      <c r="DR204" s="237">
        <f>Konvention_1slave-MUslave</f>
        <v>12</v>
      </c>
      <c r="DS204" s="234"/>
      <c r="DT204" s="234">
        <f>Konvention_1slave-INslave</f>
        <v>12</v>
      </c>
      <c r="DU204" s="234">
        <f>Konvention_1slave-CHslave_CH</f>
        <v>11</v>
      </c>
      <c r="DV204" s="234"/>
      <c r="DW204" s="234"/>
      <c r="DX204" s="234"/>
      <c r="DY204" s="224"/>
      <c r="DZ204" s="223">
        <f t="shared" si="1403"/>
        <v>11.666666666666666</v>
      </c>
      <c r="EA204" s="223">
        <f t="shared" si="1404"/>
        <v>23.333333333333332</v>
      </c>
      <c r="EB204" s="224">
        <f t="shared" si="1405"/>
        <v>35</v>
      </c>
      <c r="EC204" s="237">
        <f t="shared" si="1512"/>
        <v>2432</v>
      </c>
      <c r="ED204" s="234">
        <f>DR204*DT204*CHslave_CH+DR204*INslave*DU204+MUslave*DT204*DU204</f>
        <v>3408</v>
      </c>
      <c r="EE204" s="224">
        <f t="shared" si="1406"/>
        <v>1584</v>
      </c>
      <c r="EF204" s="224">
        <f t="shared" si="1538"/>
        <v>7424</v>
      </c>
      <c r="EG204" s="222">
        <f t="shared" si="1407"/>
        <v>3.8218390804597702</v>
      </c>
      <c r="EH204" s="223">
        <f t="shared" si="1408"/>
        <v>10.711206896551724</v>
      </c>
      <c r="EI204" s="243">
        <f t="shared" si="1409"/>
        <v>7.4676724137931032</v>
      </c>
      <c r="EJ204" s="243">
        <f t="shared" si="1410"/>
        <v>22.000718390804597</v>
      </c>
      <c r="EK204" s="252">
        <f t="shared" si="1293"/>
        <v>0</v>
      </c>
      <c r="EL204" s="309">
        <f t="shared" si="1411"/>
        <v>22.000718390804597</v>
      </c>
      <c r="EM204" s="218">
        <f t="shared" si="1547"/>
        <v>154.01436781609189</v>
      </c>
      <c r="EN204" s="242">
        <f t="shared" si="1547"/>
        <v>2</v>
      </c>
      <c r="EO204" s="243">
        <f t="shared" si="1412"/>
        <v>152.01436781609189</v>
      </c>
      <c r="EP204" s="218">
        <f t="shared" si="1413"/>
        <v>0</v>
      </c>
      <c r="ER204" s="303" t="s">
        <v>215</v>
      </c>
      <c r="ES204" s="218" t="s">
        <v>86</v>
      </c>
      <c r="ET204" s="243" t="s">
        <v>132</v>
      </c>
      <c r="EU204" s="237">
        <f>Konvention_1slave-MUslave</f>
        <v>12</v>
      </c>
      <c r="EV204" s="234"/>
      <c r="EW204" s="234">
        <f>Konvention_1slave-INslave</f>
        <v>12</v>
      </c>
      <c r="EX204" s="234">
        <f>Konvention_1slave-CHslave</f>
        <v>12</v>
      </c>
      <c r="EY204" s="234"/>
      <c r="EZ204" s="234"/>
      <c r="FA204" s="234"/>
      <c r="FB204" s="224"/>
      <c r="FC204" s="223">
        <f t="shared" si="1414"/>
        <v>12</v>
      </c>
      <c r="FD204" s="223">
        <f t="shared" si="1415"/>
        <v>24</v>
      </c>
      <c r="FE204" s="224">
        <f t="shared" si="1416"/>
        <v>36</v>
      </c>
      <c r="FF204" s="237">
        <f t="shared" si="1513"/>
        <v>2304</v>
      </c>
      <c r="FG204" s="234">
        <f>EU204*EW204*CHslave+EU204*INslave*EX204+MUslave*EW204*EX204</f>
        <v>3456</v>
      </c>
      <c r="FH204" s="224">
        <f t="shared" si="1417"/>
        <v>1728</v>
      </c>
      <c r="FI204" s="224">
        <f t="shared" si="1539"/>
        <v>7488</v>
      </c>
      <c r="FJ204" s="222">
        <f t="shared" si="1418"/>
        <v>3.6923076923076925</v>
      </c>
      <c r="FK204" s="223">
        <f t="shared" si="1419"/>
        <v>11.076923076923077</v>
      </c>
      <c r="FL204" s="243">
        <f t="shared" si="1420"/>
        <v>8.3076923076923084</v>
      </c>
      <c r="FM204" s="243">
        <f t="shared" si="1421"/>
        <v>23.07692307692308</v>
      </c>
      <c r="FN204" s="252">
        <f t="shared" si="1304"/>
        <v>0</v>
      </c>
      <c r="FO204" s="309">
        <f t="shared" si="1422"/>
        <v>23.07692307692308</v>
      </c>
      <c r="FP204" s="218">
        <f t="shared" si="1548"/>
        <v>175.5384615384616</v>
      </c>
      <c r="FQ204" s="242">
        <f t="shared" si="1548"/>
        <v>2</v>
      </c>
      <c r="FR204" s="243">
        <f t="shared" si="1423"/>
        <v>173.5384615384616</v>
      </c>
      <c r="FS204" s="218">
        <f t="shared" si="1424"/>
        <v>0</v>
      </c>
      <c r="FU204" s="303" t="s">
        <v>215</v>
      </c>
      <c r="FV204" s="218" t="s">
        <v>86</v>
      </c>
      <c r="FW204" s="243" t="s">
        <v>132</v>
      </c>
      <c r="FX204" s="237">
        <f>Konvention_1slave-MUslave</f>
        <v>12</v>
      </c>
      <c r="FY204" s="234"/>
      <c r="FZ204" s="234">
        <f>Konvention_1slave-INslave</f>
        <v>12</v>
      </c>
      <c r="GA204" s="234">
        <f>Konvention_1slave-CHslave</f>
        <v>12</v>
      </c>
      <c r="GB204" s="234"/>
      <c r="GC204" s="234"/>
      <c r="GD204" s="234"/>
      <c r="GE204" s="224"/>
      <c r="GF204" s="223">
        <f t="shared" si="1425"/>
        <v>12</v>
      </c>
      <c r="GG204" s="223">
        <f t="shared" si="1426"/>
        <v>24</v>
      </c>
      <c r="GH204" s="224">
        <f t="shared" si="1427"/>
        <v>36</v>
      </c>
      <c r="GI204" s="237">
        <f t="shared" si="1514"/>
        <v>2304</v>
      </c>
      <c r="GJ204" s="234">
        <f>FX204*FZ204*CHslave+FX204*INslave*GA204+MUslave*FZ204*GA204</f>
        <v>3456</v>
      </c>
      <c r="GK204" s="224">
        <f t="shared" si="1428"/>
        <v>1728</v>
      </c>
      <c r="GL204" s="224">
        <f t="shared" si="1540"/>
        <v>7488</v>
      </c>
      <c r="GM204" s="222">
        <f t="shared" si="1429"/>
        <v>3.6923076923076925</v>
      </c>
      <c r="GN204" s="223">
        <f t="shared" si="1430"/>
        <v>11.076923076923077</v>
      </c>
      <c r="GO204" s="243">
        <f t="shared" si="1431"/>
        <v>8.3076923076923084</v>
      </c>
      <c r="GP204" s="243">
        <f t="shared" si="1432"/>
        <v>23.07692307692308</v>
      </c>
      <c r="GQ204" s="252">
        <f t="shared" si="1315"/>
        <v>0</v>
      </c>
      <c r="GR204" s="309">
        <f t="shared" si="1433"/>
        <v>23.07692307692308</v>
      </c>
      <c r="GS204" s="218">
        <f t="shared" si="1549"/>
        <v>175.5384615384616</v>
      </c>
      <c r="GT204" s="242">
        <f t="shared" si="1549"/>
        <v>2</v>
      </c>
      <c r="GU204" s="243">
        <f t="shared" si="1434"/>
        <v>173.5384615384616</v>
      </c>
      <c r="GV204" s="218">
        <f t="shared" si="1435"/>
        <v>0</v>
      </c>
      <c r="GX204" s="303" t="s">
        <v>215</v>
      </c>
      <c r="GY204" s="218" t="s">
        <v>86</v>
      </c>
      <c r="GZ204" s="243" t="s">
        <v>132</v>
      </c>
      <c r="HA204" s="237">
        <f>Konvention_1slave-MUslave</f>
        <v>12</v>
      </c>
      <c r="HB204" s="234"/>
      <c r="HC204" s="234">
        <f>Konvention_1slave-INslave</f>
        <v>12</v>
      </c>
      <c r="HD204" s="234">
        <f>Konvention_1slave-CHslave</f>
        <v>12</v>
      </c>
      <c r="HE204" s="234"/>
      <c r="HF204" s="234"/>
      <c r="HG204" s="234"/>
      <c r="HH204" s="224"/>
      <c r="HI204" s="223">
        <f t="shared" si="1436"/>
        <v>12</v>
      </c>
      <c r="HJ204" s="223">
        <f t="shared" si="1437"/>
        <v>24</v>
      </c>
      <c r="HK204" s="224">
        <f t="shared" si="1438"/>
        <v>36</v>
      </c>
      <c r="HL204" s="237">
        <f t="shared" si="1515"/>
        <v>2304</v>
      </c>
      <c r="HM204" s="234">
        <f>HA204*HC204*CHslave+HA204*INslave*HD204+MUslave*HC204*HD204</f>
        <v>3456</v>
      </c>
      <c r="HN204" s="224">
        <f t="shared" si="1439"/>
        <v>1728</v>
      </c>
      <c r="HO204" s="224">
        <f t="shared" si="1541"/>
        <v>7488</v>
      </c>
      <c r="HP204" s="222">
        <f t="shared" si="1440"/>
        <v>3.6923076923076925</v>
      </c>
      <c r="HQ204" s="223">
        <f t="shared" si="1441"/>
        <v>11.076923076923077</v>
      </c>
      <c r="HR204" s="243">
        <f t="shared" si="1442"/>
        <v>8.3076923076923084</v>
      </c>
      <c r="HS204" s="243">
        <f t="shared" si="1443"/>
        <v>23.07692307692308</v>
      </c>
      <c r="HT204" s="252">
        <f t="shared" si="1326"/>
        <v>0</v>
      </c>
      <c r="HU204" s="309">
        <f t="shared" si="1444"/>
        <v>23.07692307692308</v>
      </c>
      <c r="HV204" s="218">
        <f t="shared" si="1550"/>
        <v>175.5384615384616</v>
      </c>
      <c r="HW204" s="242">
        <f t="shared" si="1550"/>
        <v>2</v>
      </c>
      <c r="HX204" s="243">
        <f t="shared" si="1445"/>
        <v>173.5384615384616</v>
      </c>
      <c r="HY204" s="218">
        <f t="shared" si="1446"/>
        <v>0</v>
      </c>
      <c r="IA204" s="303" t="s">
        <v>215</v>
      </c>
      <c r="IB204" s="218" t="s">
        <v>86</v>
      </c>
      <c r="IC204" s="243" t="s">
        <v>132</v>
      </c>
      <c r="ID204" s="237">
        <f>Konvention_1slave-MUslave</f>
        <v>12</v>
      </c>
      <c r="IE204" s="234"/>
      <c r="IF204" s="234">
        <f>Konvention_1slave-INslave</f>
        <v>12</v>
      </c>
      <c r="IG204" s="234">
        <f>Konvention_1slave-CHslave</f>
        <v>12</v>
      </c>
      <c r="IH204" s="234"/>
      <c r="II204" s="234"/>
      <c r="IJ204" s="234"/>
      <c r="IK204" s="224"/>
      <c r="IL204" s="223">
        <f t="shared" si="1447"/>
        <v>12</v>
      </c>
      <c r="IM204" s="223">
        <f t="shared" si="1448"/>
        <v>24</v>
      </c>
      <c r="IN204" s="224">
        <f t="shared" si="1449"/>
        <v>36</v>
      </c>
      <c r="IO204" s="237">
        <f t="shared" si="1516"/>
        <v>2304</v>
      </c>
      <c r="IP204" s="234">
        <f>ID204*IF204*CHslave+ID204*INslave*IG204+MUslave*IF204*IG204</f>
        <v>3456</v>
      </c>
      <c r="IQ204" s="224">
        <f t="shared" si="1450"/>
        <v>1728</v>
      </c>
      <c r="IR204" s="224">
        <f t="shared" si="1542"/>
        <v>7488</v>
      </c>
      <c r="IS204" s="222">
        <f t="shared" si="1451"/>
        <v>3.6923076923076925</v>
      </c>
      <c r="IT204" s="223">
        <f t="shared" si="1452"/>
        <v>11.076923076923077</v>
      </c>
      <c r="IU204" s="243">
        <f t="shared" si="1453"/>
        <v>8.3076923076923084</v>
      </c>
      <c r="IV204" s="243">
        <f t="shared" si="1454"/>
        <v>23.07692307692308</v>
      </c>
      <c r="IW204" s="252">
        <f t="shared" si="1337"/>
        <v>0</v>
      </c>
      <c r="IX204" s="309">
        <f t="shared" si="1455"/>
        <v>23.07692307692308</v>
      </c>
      <c r="IY204" s="218">
        <f t="shared" si="1551"/>
        <v>175.5384615384616</v>
      </c>
      <c r="IZ204" s="242">
        <f t="shared" si="1551"/>
        <v>2</v>
      </c>
      <c r="JA204" s="243">
        <f t="shared" si="1456"/>
        <v>173.5384615384616</v>
      </c>
      <c r="JB204" s="218">
        <f t="shared" si="1457"/>
        <v>0</v>
      </c>
      <c r="JE204" s="148"/>
    </row>
    <row r="205" spans="2:265" ht="15" hidden="1" customHeight="1" outlineLevel="2">
      <c r="B205" s="148">
        <v>53</v>
      </c>
      <c r="C205" s="303" t="e">
        <f>VLOOKUP(AF205,Attribute!C:T,1,FALSE)</f>
        <v>#N/A</v>
      </c>
      <c r="D205" s="86" t="s">
        <v>226</v>
      </c>
      <c r="E205" s="127" t="s">
        <v>135</v>
      </c>
      <c r="F205" s="114"/>
      <c r="G205" s="113">
        <f>Konvention_1master-KLmaster</f>
        <v>12</v>
      </c>
      <c r="H205" s="113">
        <f>Konvention_1master-INmaster</f>
        <v>12</v>
      </c>
      <c r="I205" s="113"/>
      <c r="J205" s="113"/>
      <c r="K205" s="113"/>
      <c r="L205" s="113">
        <f>Konvention_1master-KOmaster</f>
        <v>12</v>
      </c>
      <c r="M205" s="119"/>
      <c r="N205" s="223">
        <f t="shared" si="1359"/>
        <v>12</v>
      </c>
      <c r="O205" s="223">
        <f t="shared" si="1360"/>
        <v>24</v>
      </c>
      <c r="P205" s="224">
        <f t="shared" si="1361"/>
        <v>36</v>
      </c>
      <c r="Q205" s="237">
        <f t="shared" si="1508"/>
        <v>2304</v>
      </c>
      <c r="R205" s="117">
        <f>G205*H205*KOmaster+G205*INmaster*L205+KLmaster*H205*L205</f>
        <v>3456</v>
      </c>
      <c r="S205" s="224">
        <f t="shared" si="1362"/>
        <v>1728</v>
      </c>
      <c r="T205" s="224">
        <f t="shared" si="1507"/>
        <v>7488</v>
      </c>
      <c r="U205" s="222">
        <f t="shared" si="1363"/>
        <v>3.6923076923076925</v>
      </c>
      <c r="V205" s="223">
        <f t="shared" si="1364"/>
        <v>11.076923076923077</v>
      </c>
      <c r="W205" s="243">
        <f t="shared" si="1365"/>
        <v>8.3076923076923084</v>
      </c>
      <c r="X205" s="243">
        <f t="shared" si="1366"/>
        <v>23.07692307692308</v>
      </c>
      <c r="Y205" s="252">
        <v>0</v>
      </c>
      <c r="Z205" s="198">
        <f t="shared" si="1367"/>
        <v>23.07692307692308</v>
      </c>
      <c r="AA205" s="125">
        <f>IF(X205&lt;=0,3,0)+IF(X205&gt;0,X205+1,0)*3+IF(X205&gt;12,X205-12,0)*3+IF(X205&gt;13,X205-13,0)*3+IF(X205&gt;14,X205-14,0)*3+IF(X205&gt;15,X205-15,0)*3+IF(X205&gt;16,X205-16,0)*3+IF(X205&gt;17,X205-17,0)*3+IF(X205&gt;18,X205-18,0)*3+IF(X205&gt;19,X205-19,0)*3+IF(X205&gt;20,X205-20,0)*3</f>
        <v>263.30769230769232</v>
      </c>
      <c r="AB205" s="160">
        <f>IF(Y205&lt;=0,3,0)+IF(Y205&gt;0,Y205+1,0)*3+IF(Y205&gt;12,Y205-12,0)*3+IF(Y205&gt;13,Y205-13,0)*3+IF(Y205&gt;14,Y205-14,0)*3+IF(Y205&gt;15,Y205-15,0)*3+IF(Y205&gt;16,Y205-16,0)*3+IF(Y205&gt;17,Y205-17,0)*3+IF(Y205&gt;18,Y205-18,0)*3+IF(Y205&gt;19,Y205-19,0)*3+IF(Y205&gt;20,Y205-20,0)*3</f>
        <v>3</v>
      </c>
      <c r="AC205" s="127">
        <f t="shared" si="1368"/>
        <v>260.30769230769232</v>
      </c>
      <c r="AD205" s="125">
        <f t="shared" si="1369"/>
        <v>0</v>
      </c>
      <c r="AF205" s="163" t="s">
        <v>216</v>
      </c>
      <c r="AG205" s="86" t="s">
        <v>226</v>
      </c>
      <c r="AH205" s="127" t="s">
        <v>135</v>
      </c>
      <c r="AI205" s="114"/>
      <c r="AJ205" s="113">
        <f>Konvention_1slave-KLslave</f>
        <v>12</v>
      </c>
      <c r="AK205" s="113">
        <f>Konvention_1slave-INslave</f>
        <v>12</v>
      </c>
      <c r="AL205" s="113"/>
      <c r="AM205" s="113"/>
      <c r="AN205" s="113"/>
      <c r="AO205" s="113">
        <f>Konvention_1slave-KOslave</f>
        <v>12</v>
      </c>
      <c r="AP205" s="119"/>
      <c r="AQ205" s="47">
        <f t="shared" si="1370"/>
        <v>12</v>
      </c>
      <c r="AR205" s="3">
        <f t="shared" si="1371"/>
        <v>24</v>
      </c>
      <c r="AS205" s="174">
        <f t="shared" si="1372"/>
        <v>36</v>
      </c>
      <c r="AT205" s="114">
        <f t="shared" si="1509"/>
        <v>2304</v>
      </c>
      <c r="AU205" s="117">
        <f>AJ205*AK205*KOslave+AJ205*INslave*AO205+KLslave*AK205*AO205</f>
        <v>3456</v>
      </c>
      <c r="AV205" s="119">
        <f t="shared" si="1373"/>
        <v>1728</v>
      </c>
      <c r="AW205" s="119">
        <f t="shared" si="1535"/>
        <v>7488</v>
      </c>
      <c r="AX205" s="89">
        <f t="shared" si="1374"/>
        <v>3.6923076923076925</v>
      </c>
      <c r="AY205" s="47">
        <f t="shared" si="1375"/>
        <v>11.076923076923077</v>
      </c>
      <c r="AZ205" s="127">
        <f t="shared" si="1376"/>
        <v>8.3076923076923084</v>
      </c>
      <c r="BA205" s="127">
        <f t="shared" si="1377"/>
        <v>23.07692307692308</v>
      </c>
      <c r="BB205" s="165">
        <f t="shared" si="1260"/>
        <v>0</v>
      </c>
      <c r="BC205" s="198">
        <f t="shared" si="1378"/>
        <v>23.07692307692308</v>
      </c>
      <c r="BD205" s="125">
        <f>IF(BA205&lt;=0,3,0)+IF(BA205&gt;0,BA205+1,0)*3+IF(BA205&gt;12,BA205-12,0)*3+IF(BA205&gt;13,BA205-13,0)*3+IF(BA205&gt;14,BA205-14,0)*3+IF(BA205&gt;15,BA205-15,0)*3+IF(BA205&gt;16,BA205-16,0)*3+IF(BA205&gt;17,BA205-17,0)*3+IF(BA205&gt;18,BA205-18,0)*3+IF(BA205&gt;19,BA205-19,0)*3+IF(BA205&gt;20,BA205-20,0)*3</f>
        <v>263.30769230769232</v>
      </c>
      <c r="BE205" s="160">
        <f>IF(BB205&lt;=0,3,0)+IF(BB205&gt;0,BB205+1,0)*3+IF(BB205&gt;12,BB205-12,0)*3+IF(BB205&gt;13,BB205-13,0)*3+IF(BB205&gt;14,BB205-14,0)*3+IF(BB205&gt;15,BB205-15,0)*3+IF(BB205&gt;16,BB205-16,0)*3+IF(BB205&gt;17,BB205-17,0)*3+IF(BB205&gt;18,BB205-18,0)*3+IF(BB205&gt;19,BB205-19,0)*3+IF(BB205&gt;20,BB205-20,0)*3</f>
        <v>3</v>
      </c>
      <c r="BF205" s="243">
        <f t="shared" si="1379"/>
        <v>260.30769230769232</v>
      </c>
      <c r="BG205" s="218">
        <f t="shared" si="1380"/>
        <v>0</v>
      </c>
      <c r="BI205" s="303" t="s">
        <v>216</v>
      </c>
      <c r="BJ205" s="304" t="s">
        <v>226</v>
      </c>
      <c r="BK205" s="243" t="s">
        <v>135</v>
      </c>
      <c r="BL205" s="237"/>
      <c r="BM205" s="234">
        <f>Konvention_1slave-KLslave_KL</f>
        <v>11</v>
      </c>
      <c r="BN205" s="234">
        <f>Konvention_1slave-INslave</f>
        <v>12</v>
      </c>
      <c r="BO205" s="234"/>
      <c r="BP205" s="234"/>
      <c r="BQ205" s="234"/>
      <c r="BR205" s="234">
        <f>Konvention_1slave-KOslave</f>
        <v>12</v>
      </c>
      <c r="BS205" s="224"/>
      <c r="BT205" s="223">
        <f t="shared" si="1381"/>
        <v>11.666666666666666</v>
      </c>
      <c r="BU205" s="223">
        <f t="shared" si="1382"/>
        <v>23.333333333333332</v>
      </c>
      <c r="BV205" s="224">
        <f t="shared" si="1383"/>
        <v>35</v>
      </c>
      <c r="BW205" s="237">
        <f t="shared" si="1510"/>
        <v>2432</v>
      </c>
      <c r="BX205" s="254">
        <f>BM205*BN205*KOslave+BM205*INslave*BR205+KLslave_KL*BN205*BR205</f>
        <v>3408</v>
      </c>
      <c r="BY205" s="224">
        <f t="shared" si="1384"/>
        <v>1584</v>
      </c>
      <c r="BZ205" s="224">
        <f t="shared" si="1536"/>
        <v>7424</v>
      </c>
      <c r="CA205" s="222">
        <f t="shared" si="1385"/>
        <v>3.8218390804597702</v>
      </c>
      <c r="CB205" s="223">
        <f t="shared" si="1386"/>
        <v>10.711206896551724</v>
      </c>
      <c r="CC205" s="243">
        <f t="shared" si="1387"/>
        <v>7.4676724137931032</v>
      </c>
      <c r="CD205" s="243">
        <f t="shared" si="1388"/>
        <v>22.000718390804597</v>
      </c>
      <c r="CE205" s="252">
        <f t="shared" si="1271"/>
        <v>0</v>
      </c>
      <c r="CF205" s="309">
        <f t="shared" si="1389"/>
        <v>22.000718390804597</v>
      </c>
      <c r="CG205" s="218">
        <f>IF(CD205&lt;=0,3,0)+IF(CD205&gt;0,CD205+1,0)*3+IF(CD205&gt;12,CD205-12,0)*3+IF(CD205&gt;13,CD205-13,0)*3+IF(CD205&gt;14,CD205-14,0)*3+IF(CD205&gt;15,CD205-15,0)*3+IF(CD205&gt;16,CD205-16,0)*3+IF(CD205&gt;17,CD205-17,0)*3+IF(CD205&gt;18,CD205-18,0)*3+IF(CD205&gt;19,CD205-19,0)*3+IF(CD205&gt;20,CD205-20,0)*3</f>
        <v>231.02155172413785</v>
      </c>
      <c r="CH205" s="242">
        <f>IF(CE205&lt;=0,3,0)+IF(CE205&gt;0,CE205+1,0)*3+IF(CE205&gt;12,CE205-12,0)*3+IF(CE205&gt;13,CE205-13,0)*3+IF(CE205&gt;14,CE205-14,0)*3+IF(CE205&gt;15,CE205-15,0)*3+IF(CE205&gt;16,CE205-16,0)*3+IF(CE205&gt;17,CE205-17,0)*3+IF(CE205&gt;18,CE205-18,0)*3+IF(CE205&gt;19,CE205-19,0)*3+IF(CE205&gt;20,CE205-20,0)*3</f>
        <v>3</v>
      </c>
      <c r="CI205" s="243">
        <f t="shared" si="1390"/>
        <v>228.02155172413785</v>
      </c>
      <c r="CJ205" s="218">
        <f t="shared" si="1391"/>
        <v>0</v>
      </c>
      <c r="CL205" s="303" t="s">
        <v>216</v>
      </c>
      <c r="CM205" s="304" t="s">
        <v>226</v>
      </c>
      <c r="CN205" s="243" t="s">
        <v>135</v>
      </c>
      <c r="CO205" s="237"/>
      <c r="CP205" s="234">
        <f>Konvention_1slave-KLslave</f>
        <v>12</v>
      </c>
      <c r="CQ205" s="234">
        <f>Konvention_1slave-INslave_IN</f>
        <v>11</v>
      </c>
      <c r="CR205" s="234"/>
      <c r="CS205" s="234"/>
      <c r="CT205" s="234"/>
      <c r="CU205" s="234">
        <f>Konvention_1slave-KOslave</f>
        <v>12</v>
      </c>
      <c r="CV205" s="224"/>
      <c r="CW205" s="223">
        <f t="shared" si="1392"/>
        <v>11.666666666666666</v>
      </c>
      <c r="CX205" s="223">
        <f t="shared" si="1393"/>
        <v>23.333333333333332</v>
      </c>
      <c r="CY205" s="224">
        <f t="shared" si="1394"/>
        <v>35</v>
      </c>
      <c r="CZ205" s="237">
        <f t="shared" si="1511"/>
        <v>2432</v>
      </c>
      <c r="DA205" s="254">
        <f>CP205*CQ205*KOslave+CP205*INslave_IN*CU205+KLslave*CQ205*CU205</f>
        <v>3408</v>
      </c>
      <c r="DB205" s="224">
        <f t="shared" si="1395"/>
        <v>1584</v>
      </c>
      <c r="DC205" s="224">
        <f t="shared" si="1537"/>
        <v>7424</v>
      </c>
      <c r="DD205" s="222">
        <f t="shared" si="1396"/>
        <v>3.8218390804597702</v>
      </c>
      <c r="DE205" s="223">
        <f t="shared" si="1397"/>
        <v>10.711206896551724</v>
      </c>
      <c r="DF205" s="243">
        <f t="shared" si="1398"/>
        <v>7.4676724137931032</v>
      </c>
      <c r="DG205" s="243">
        <f t="shared" si="1399"/>
        <v>22.000718390804597</v>
      </c>
      <c r="DH205" s="252">
        <f t="shared" si="1282"/>
        <v>0</v>
      </c>
      <c r="DI205" s="309">
        <f t="shared" si="1400"/>
        <v>22.000718390804597</v>
      </c>
      <c r="DJ205" s="218">
        <f>IF(DG205&lt;=0,3,0)+IF(DG205&gt;0,DG205+1,0)*3+IF(DG205&gt;12,DG205-12,0)*3+IF(DG205&gt;13,DG205-13,0)*3+IF(DG205&gt;14,DG205-14,0)*3+IF(DG205&gt;15,DG205-15,0)*3+IF(DG205&gt;16,DG205-16,0)*3+IF(DG205&gt;17,DG205-17,0)*3+IF(DG205&gt;18,DG205-18,0)*3+IF(DG205&gt;19,DG205-19,0)*3+IF(DG205&gt;20,DG205-20,0)*3</f>
        <v>231.02155172413785</v>
      </c>
      <c r="DK205" s="242">
        <f>IF(DH205&lt;=0,3,0)+IF(DH205&gt;0,DH205+1,0)*3+IF(DH205&gt;12,DH205-12,0)*3+IF(DH205&gt;13,DH205-13,0)*3+IF(DH205&gt;14,DH205-14,0)*3+IF(DH205&gt;15,DH205-15,0)*3+IF(DH205&gt;16,DH205-16,0)*3+IF(DH205&gt;17,DH205-17,0)*3+IF(DH205&gt;18,DH205-18,0)*3+IF(DH205&gt;19,DH205-19,0)*3+IF(DH205&gt;20,DH205-20,0)*3</f>
        <v>3</v>
      </c>
      <c r="DL205" s="243">
        <f t="shared" si="1401"/>
        <v>228.02155172413785</v>
      </c>
      <c r="DM205" s="218">
        <f t="shared" si="1402"/>
        <v>0</v>
      </c>
      <c r="DO205" s="303" t="s">
        <v>216</v>
      </c>
      <c r="DP205" s="304" t="s">
        <v>226</v>
      </c>
      <c r="DQ205" s="243" t="s">
        <v>135</v>
      </c>
      <c r="DR205" s="237"/>
      <c r="DS205" s="234">
        <f>Konvention_1slave-KLslave</f>
        <v>12</v>
      </c>
      <c r="DT205" s="234">
        <f>Konvention_1slave-INslave</f>
        <v>12</v>
      </c>
      <c r="DU205" s="234"/>
      <c r="DV205" s="234"/>
      <c r="DW205" s="234"/>
      <c r="DX205" s="234">
        <f>Konvention_1slave-KOslave</f>
        <v>12</v>
      </c>
      <c r="DY205" s="224"/>
      <c r="DZ205" s="223">
        <f t="shared" si="1403"/>
        <v>12</v>
      </c>
      <c r="EA205" s="223">
        <f t="shared" si="1404"/>
        <v>24</v>
      </c>
      <c r="EB205" s="224">
        <f t="shared" si="1405"/>
        <v>36</v>
      </c>
      <c r="EC205" s="237">
        <f t="shared" si="1512"/>
        <v>2304</v>
      </c>
      <c r="ED205" s="254">
        <f>DS205*DT205*KOslave+DS205*INslave*DX205+KLslave*DT205*DX205</f>
        <v>3456</v>
      </c>
      <c r="EE205" s="224">
        <f t="shared" si="1406"/>
        <v>1728</v>
      </c>
      <c r="EF205" s="224">
        <f t="shared" si="1538"/>
        <v>7488</v>
      </c>
      <c r="EG205" s="222">
        <f t="shared" si="1407"/>
        <v>3.6923076923076925</v>
      </c>
      <c r="EH205" s="223">
        <f t="shared" si="1408"/>
        <v>11.076923076923077</v>
      </c>
      <c r="EI205" s="243">
        <f t="shared" si="1409"/>
        <v>8.3076923076923084</v>
      </c>
      <c r="EJ205" s="243">
        <f t="shared" si="1410"/>
        <v>23.07692307692308</v>
      </c>
      <c r="EK205" s="252">
        <f t="shared" si="1293"/>
        <v>0</v>
      </c>
      <c r="EL205" s="309">
        <f t="shared" si="1411"/>
        <v>23.07692307692308</v>
      </c>
      <c r="EM205" s="218">
        <f>IF(EJ205&lt;=0,3,0)+IF(EJ205&gt;0,EJ205+1,0)*3+IF(EJ205&gt;12,EJ205-12,0)*3+IF(EJ205&gt;13,EJ205-13,0)*3+IF(EJ205&gt;14,EJ205-14,0)*3+IF(EJ205&gt;15,EJ205-15,0)*3+IF(EJ205&gt;16,EJ205-16,0)*3+IF(EJ205&gt;17,EJ205-17,0)*3+IF(EJ205&gt;18,EJ205-18,0)*3+IF(EJ205&gt;19,EJ205-19,0)*3+IF(EJ205&gt;20,EJ205-20,0)*3</f>
        <v>263.30769230769232</v>
      </c>
      <c r="EN205" s="242">
        <f>IF(EK205&lt;=0,3,0)+IF(EK205&gt;0,EK205+1,0)*3+IF(EK205&gt;12,EK205-12,0)*3+IF(EK205&gt;13,EK205-13,0)*3+IF(EK205&gt;14,EK205-14,0)*3+IF(EK205&gt;15,EK205-15,0)*3+IF(EK205&gt;16,EK205-16,0)*3+IF(EK205&gt;17,EK205-17,0)*3+IF(EK205&gt;18,EK205-18,0)*3+IF(EK205&gt;19,EK205-19,0)*3+IF(EK205&gt;20,EK205-20,0)*3</f>
        <v>3</v>
      </c>
      <c r="EO205" s="243">
        <f t="shared" si="1412"/>
        <v>260.30769230769232</v>
      </c>
      <c r="EP205" s="218">
        <f t="shared" si="1413"/>
        <v>0</v>
      </c>
      <c r="ER205" s="303" t="s">
        <v>216</v>
      </c>
      <c r="ES205" s="304" t="s">
        <v>226</v>
      </c>
      <c r="ET205" s="243" t="s">
        <v>135</v>
      </c>
      <c r="EU205" s="237"/>
      <c r="EV205" s="234">
        <f>Konvention_1slave-KLslave</f>
        <v>12</v>
      </c>
      <c r="EW205" s="234">
        <f>Konvention_1slave-INslave</f>
        <v>12</v>
      </c>
      <c r="EX205" s="234"/>
      <c r="EY205" s="234"/>
      <c r="EZ205" s="234"/>
      <c r="FA205" s="234">
        <f>Konvention_1slave-KOslave</f>
        <v>12</v>
      </c>
      <c r="FB205" s="224"/>
      <c r="FC205" s="223">
        <f t="shared" si="1414"/>
        <v>12</v>
      </c>
      <c r="FD205" s="223">
        <f t="shared" si="1415"/>
        <v>24</v>
      </c>
      <c r="FE205" s="224">
        <f t="shared" si="1416"/>
        <v>36</v>
      </c>
      <c r="FF205" s="237">
        <f t="shared" si="1513"/>
        <v>2304</v>
      </c>
      <c r="FG205" s="254">
        <f>EV205*EW205*KOslave+EV205*INslave*FA205+KLslave*EW205*FA205</f>
        <v>3456</v>
      </c>
      <c r="FH205" s="224">
        <f t="shared" si="1417"/>
        <v>1728</v>
      </c>
      <c r="FI205" s="224">
        <f t="shared" si="1539"/>
        <v>7488</v>
      </c>
      <c r="FJ205" s="222">
        <f t="shared" si="1418"/>
        <v>3.6923076923076925</v>
      </c>
      <c r="FK205" s="223">
        <f t="shared" si="1419"/>
        <v>11.076923076923077</v>
      </c>
      <c r="FL205" s="243">
        <f t="shared" si="1420"/>
        <v>8.3076923076923084</v>
      </c>
      <c r="FM205" s="243">
        <f t="shared" si="1421"/>
        <v>23.07692307692308</v>
      </c>
      <c r="FN205" s="252">
        <f t="shared" si="1304"/>
        <v>0</v>
      </c>
      <c r="FO205" s="309">
        <f t="shared" si="1422"/>
        <v>23.07692307692308</v>
      </c>
      <c r="FP205" s="218">
        <f>IF(FM205&lt;=0,3,0)+IF(FM205&gt;0,FM205+1,0)*3+IF(FM205&gt;12,FM205-12,0)*3+IF(FM205&gt;13,FM205-13,0)*3+IF(FM205&gt;14,FM205-14,0)*3+IF(FM205&gt;15,FM205-15,0)*3+IF(FM205&gt;16,FM205-16,0)*3+IF(FM205&gt;17,FM205-17,0)*3+IF(FM205&gt;18,FM205-18,0)*3+IF(FM205&gt;19,FM205-19,0)*3+IF(FM205&gt;20,FM205-20,0)*3</f>
        <v>263.30769230769232</v>
      </c>
      <c r="FQ205" s="242">
        <f>IF(FN205&lt;=0,3,0)+IF(FN205&gt;0,FN205+1,0)*3+IF(FN205&gt;12,FN205-12,0)*3+IF(FN205&gt;13,FN205-13,0)*3+IF(FN205&gt;14,FN205-14,0)*3+IF(FN205&gt;15,FN205-15,0)*3+IF(FN205&gt;16,FN205-16,0)*3+IF(FN205&gt;17,FN205-17,0)*3+IF(FN205&gt;18,FN205-18,0)*3+IF(FN205&gt;19,FN205-19,0)*3+IF(FN205&gt;20,FN205-20,0)*3</f>
        <v>3</v>
      </c>
      <c r="FR205" s="243">
        <f t="shared" si="1423"/>
        <v>260.30769230769232</v>
      </c>
      <c r="FS205" s="218">
        <f t="shared" si="1424"/>
        <v>0</v>
      </c>
      <c r="FU205" s="303" t="s">
        <v>216</v>
      </c>
      <c r="FV205" s="304" t="s">
        <v>226</v>
      </c>
      <c r="FW205" s="243" t="s">
        <v>135</v>
      </c>
      <c r="FX205" s="237"/>
      <c r="FY205" s="234">
        <f>Konvention_1slave-KLslave</f>
        <v>12</v>
      </c>
      <c r="FZ205" s="234">
        <f>Konvention_1slave-INslave</f>
        <v>12</v>
      </c>
      <c r="GA205" s="234"/>
      <c r="GB205" s="234"/>
      <c r="GC205" s="234"/>
      <c r="GD205" s="234">
        <f>Konvention_1slave-KOslave</f>
        <v>12</v>
      </c>
      <c r="GE205" s="224"/>
      <c r="GF205" s="223">
        <f t="shared" si="1425"/>
        <v>12</v>
      </c>
      <c r="GG205" s="223">
        <f t="shared" si="1426"/>
        <v>24</v>
      </c>
      <c r="GH205" s="224">
        <f t="shared" si="1427"/>
        <v>36</v>
      </c>
      <c r="GI205" s="237">
        <f t="shared" si="1514"/>
        <v>2304</v>
      </c>
      <c r="GJ205" s="254">
        <f>FY205*FZ205*KOslave+FY205*INslave*GD205+KLslave*FZ205*GD205</f>
        <v>3456</v>
      </c>
      <c r="GK205" s="224">
        <f t="shared" si="1428"/>
        <v>1728</v>
      </c>
      <c r="GL205" s="224">
        <f t="shared" si="1540"/>
        <v>7488</v>
      </c>
      <c r="GM205" s="222">
        <f t="shared" si="1429"/>
        <v>3.6923076923076925</v>
      </c>
      <c r="GN205" s="223">
        <f t="shared" si="1430"/>
        <v>11.076923076923077</v>
      </c>
      <c r="GO205" s="243">
        <f t="shared" si="1431"/>
        <v>8.3076923076923084</v>
      </c>
      <c r="GP205" s="243">
        <f t="shared" si="1432"/>
        <v>23.07692307692308</v>
      </c>
      <c r="GQ205" s="252">
        <f t="shared" si="1315"/>
        <v>0</v>
      </c>
      <c r="GR205" s="309">
        <f t="shared" si="1433"/>
        <v>23.07692307692308</v>
      </c>
      <c r="GS205" s="218">
        <f>IF(GP205&lt;=0,3,0)+IF(GP205&gt;0,GP205+1,0)*3+IF(GP205&gt;12,GP205-12,0)*3+IF(GP205&gt;13,GP205-13,0)*3+IF(GP205&gt;14,GP205-14,0)*3+IF(GP205&gt;15,GP205-15,0)*3+IF(GP205&gt;16,GP205-16,0)*3+IF(GP205&gt;17,GP205-17,0)*3+IF(GP205&gt;18,GP205-18,0)*3+IF(GP205&gt;19,GP205-19,0)*3+IF(GP205&gt;20,GP205-20,0)*3</f>
        <v>263.30769230769232</v>
      </c>
      <c r="GT205" s="242">
        <f>IF(GQ205&lt;=0,3,0)+IF(GQ205&gt;0,GQ205+1,0)*3+IF(GQ205&gt;12,GQ205-12,0)*3+IF(GQ205&gt;13,GQ205-13,0)*3+IF(GQ205&gt;14,GQ205-14,0)*3+IF(GQ205&gt;15,GQ205-15,0)*3+IF(GQ205&gt;16,GQ205-16,0)*3+IF(GQ205&gt;17,GQ205-17,0)*3+IF(GQ205&gt;18,GQ205-18,0)*3+IF(GQ205&gt;19,GQ205-19,0)*3+IF(GQ205&gt;20,GQ205-20,0)*3</f>
        <v>3</v>
      </c>
      <c r="GU205" s="243">
        <f t="shared" si="1434"/>
        <v>260.30769230769232</v>
      </c>
      <c r="GV205" s="218">
        <f t="shared" si="1435"/>
        <v>0</v>
      </c>
      <c r="GX205" s="303" t="s">
        <v>216</v>
      </c>
      <c r="GY205" s="304" t="s">
        <v>226</v>
      </c>
      <c r="GZ205" s="243" t="s">
        <v>135</v>
      </c>
      <c r="HA205" s="237"/>
      <c r="HB205" s="234">
        <f>Konvention_1slave-KLslave</f>
        <v>12</v>
      </c>
      <c r="HC205" s="234">
        <f>Konvention_1slave-INslave</f>
        <v>12</v>
      </c>
      <c r="HD205" s="234"/>
      <c r="HE205" s="234"/>
      <c r="HF205" s="234"/>
      <c r="HG205" s="234">
        <f>Konvention_1slave-KOslave_KO</f>
        <v>11</v>
      </c>
      <c r="HH205" s="224"/>
      <c r="HI205" s="223">
        <f t="shared" si="1436"/>
        <v>11.666666666666666</v>
      </c>
      <c r="HJ205" s="223">
        <f t="shared" si="1437"/>
        <v>23.333333333333332</v>
      </c>
      <c r="HK205" s="224">
        <f t="shared" si="1438"/>
        <v>35</v>
      </c>
      <c r="HL205" s="237">
        <f t="shared" si="1515"/>
        <v>2432</v>
      </c>
      <c r="HM205" s="254">
        <f>HB205*HC205*KOslave_KO+HB205*INslave*HG205+KLslave*HC205*HG205</f>
        <v>3408</v>
      </c>
      <c r="HN205" s="224">
        <f t="shared" si="1439"/>
        <v>1584</v>
      </c>
      <c r="HO205" s="224">
        <f t="shared" si="1541"/>
        <v>7424</v>
      </c>
      <c r="HP205" s="222">
        <f t="shared" si="1440"/>
        <v>3.8218390804597702</v>
      </c>
      <c r="HQ205" s="223">
        <f t="shared" si="1441"/>
        <v>10.711206896551724</v>
      </c>
      <c r="HR205" s="243">
        <f t="shared" si="1442"/>
        <v>7.4676724137931032</v>
      </c>
      <c r="HS205" s="243">
        <f t="shared" si="1443"/>
        <v>22.000718390804597</v>
      </c>
      <c r="HT205" s="252">
        <f t="shared" si="1326"/>
        <v>0</v>
      </c>
      <c r="HU205" s="309">
        <f t="shared" si="1444"/>
        <v>22.000718390804597</v>
      </c>
      <c r="HV205" s="218">
        <f>IF(HS205&lt;=0,3,0)+IF(HS205&gt;0,HS205+1,0)*3+IF(HS205&gt;12,HS205-12,0)*3+IF(HS205&gt;13,HS205-13,0)*3+IF(HS205&gt;14,HS205-14,0)*3+IF(HS205&gt;15,HS205-15,0)*3+IF(HS205&gt;16,HS205-16,0)*3+IF(HS205&gt;17,HS205-17,0)*3+IF(HS205&gt;18,HS205-18,0)*3+IF(HS205&gt;19,HS205-19,0)*3+IF(HS205&gt;20,HS205-20,0)*3</f>
        <v>231.02155172413785</v>
      </c>
      <c r="HW205" s="242">
        <f>IF(HT205&lt;=0,3,0)+IF(HT205&gt;0,HT205+1,0)*3+IF(HT205&gt;12,HT205-12,0)*3+IF(HT205&gt;13,HT205-13,0)*3+IF(HT205&gt;14,HT205-14,0)*3+IF(HT205&gt;15,HT205-15,0)*3+IF(HT205&gt;16,HT205-16,0)*3+IF(HT205&gt;17,HT205-17,0)*3+IF(HT205&gt;18,HT205-18,0)*3+IF(HT205&gt;19,HT205-19,0)*3+IF(HT205&gt;20,HT205-20,0)*3</f>
        <v>3</v>
      </c>
      <c r="HX205" s="243">
        <f t="shared" si="1445"/>
        <v>228.02155172413785</v>
      </c>
      <c r="HY205" s="218">
        <f t="shared" si="1446"/>
        <v>0</v>
      </c>
      <c r="IA205" s="303" t="s">
        <v>216</v>
      </c>
      <c r="IB205" s="304" t="s">
        <v>226</v>
      </c>
      <c r="IC205" s="243" t="s">
        <v>135</v>
      </c>
      <c r="ID205" s="237"/>
      <c r="IE205" s="234">
        <f>Konvention_1slave-KLslave</f>
        <v>12</v>
      </c>
      <c r="IF205" s="234">
        <f>Konvention_1slave-INslave</f>
        <v>12</v>
      </c>
      <c r="IG205" s="234"/>
      <c r="IH205" s="234"/>
      <c r="II205" s="234"/>
      <c r="IJ205" s="234">
        <f>Konvention_1slave-KOslave</f>
        <v>12</v>
      </c>
      <c r="IK205" s="224"/>
      <c r="IL205" s="223">
        <f t="shared" si="1447"/>
        <v>12</v>
      </c>
      <c r="IM205" s="223">
        <f t="shared" si="1448"/>
        <v>24</v>
      </c>
      <c r="IN205" s="224">
        <f t="shared" si="1449"/>
        <v>36</v>
      </c>
      <c r="IO205" s="237">
        <f t="shared" si="1516"/>
        <v>2304</v>
      </c>
      <c r="IP205" s="254">
        <f>IE205*IF205*KOslave+IE205*INslave*IJ205+KLslave*IF205*IJ205</f>
        <v>3456</v>
      </c>
      <c r="IQ205" s="224">
        <f t="shared" si="1450"/>
        <v>1728</v>
      </c>
      <c r="IR205" s="224">
        <f t="shared" si="1542"/>
        <v>7488</v>
      </c>
      <c r="IS205" s="222">
        <f t="shared" si="1451"/>
        <v>3.6923076923076925</v>
      </c>
      <c r="IT205" s="223">
        <f t="shared" si="1452"/>
        <v>11.076923076923077</v>
      </c>
      <c r="IU205" s="243">
        <f t="shared" si="1453"/>
        <v>8.3076923076923084</v>
      </c>
      <c r="IV205" s="243">
        <f t="shared" si="1454"/>
        <v>23.07692307692308</v>
      </c>
      <c r="IW205" s="252">
        <f t="shared" si="1337"/>
        <v>0</v>
      </c>
      <c r="IX205" s="309">
        <f t="shared" si="1455"/>
        <v>23.07692307692308</v>
      </c>
      <c r="IY205" s="218">
        <f>IF(IV205&lt;=0,3,0)+IF(IV205&gt;0,IV205+1,0)*3+IF(IV205&gt;12,IV205-12,0)*3+IF(IV205&gt;13,IV205-13,0)*3+IF(IV205&gt;14,IV205-14,0)*3+IF(IV205&gt;15,IV205-15,0)*3+IF(IV205&gt;16,IV205-16,0)*3+IF(IV205&gt;17,IV205-17,0)*3+IF(IV205&gt;18,IV205-18,0)*3+IF(IV205&gt;19,IV205-19,0)*3+IF(IV205&gt;20,IV205-20,0)*3</f>
        <v>263.30769230769232</v>
      </c>
      <c r="IZ205" s="242">
        <f>IF(IW205&lt;=0,3,0)+IF(IW205&gt;0,IW205+1,0)*3+IF(IW205&gt;12,IW205-12,0)*3+IF(IW205&gt;13,IW205-13,0)*3+IF(IW205&gt;14,IW205-14,0)*3+IF(IW205&gt;15,IW205-15,0)*3+IF(IW205&gt;16,IW205-16,0)*3+IF(IW205&gt;17,IW205-17,0)*3+IF(IW205&gt;18,IW205-18,0)*3+IF(IW205&gt;19,IW205-19,0)*3+IF(IW205&gt;20,IW205-20,0)*3</f>
        <v>3</v>
      </c>
      <c r="JA205" s="243">
        <f t="shared" si="1456"/>
        <v>260.30769230769232</v>
      </c>
      <c r="JB205" s="218">
        <f t="shared" si="1457"/>
        <v>0</v>
      </c>
      <c r="JE205" s="148"/>
    </row>
    <row r="206" spans="2:265" ht="15" hidden="1" customHeight="1" outlineLevel="2">
      <c r="B206" s="148">
        <v>54</v>
      </c>
      <c r="C206" s="303" t="e">
        <f>VLOOKUP(AF206,Attribute!C:T,1,FALSE)</f>
        <v>#N/A</v>
      </c>
      <c r="D206" s="86" t="s">
        <v>86</v>
      </c>
      <c r="E206" s="127" t="s">
        <v>132</v>
      </c>
      <c r="F206" s="114">
        <f>Konvention_1master-MUmaster</f>
        <v>12</v>
      </c>
      <c r="G206" s="113"/>
      <c r="H206" s="113">
        <f>Konvention_1master-INmaster</f>
        <v>12</v>
      </c>
      <c r="I206" s="113">
        <f>Konvention_1master-CHmaster</f>
        <v>12</v>
      </c>
      <c r="J206" s="113"/>
      <c r="K206" s="113"/>
      <c r="L206" s="113"/>
      <c r="M206" s="119"/>
      <c r="N206" s="223">
        <f t="shared" si="1359"/>
        <v>12</v>
      </c>
      <c r="O206" s="223">
        <f t="shared" si="1360"/>
        <v>24</v>
      </c>
      <c r="P206" s="224">
        <f t="shared" si="1361"/>
        <v>36</v>
      </c>
      <c r="Q206" s="237">
        <f t="shared" si="1508"/>
        <v>2304</v>
      </c>
      <c r="R206" s="113">
        <f>F206*H206*CHmaster+F206*INmaster*I206+MUmaster*H206*I206</f>
        <v>3456</v>
      </c>
      <c r="S206" s="224">
        <f t="shared" si="1362"/>
        <v>1728</v>
      </c>
      <c r="T206" s="224">
        <f t="shared" si="1507"/>
        <v>7488</v>
      </c>
      <c r="U206" s="222">
        <f t="shared" ref="U206:U211" si="1552">N206*Q206/T206</f>
        <v>3.6923076923076925</v>
      </c>
      <c r="V206" s="223">
        <f t="shared" ref="V206:V211" si="1553">O206*R206/T206</f>
        <v>11.076923076923077</v>
      </c>
      <c r="W206" s="243">
        <f t="shared" ref="W206:W211" si="1554">P206*S206/T206</f>
        <v>8.3076923076923084</v>
      </c>
      <c r="X206" s="243">
        <f t="shared" ref="X206:X211" si="1555">SUM(U206:W206)</f>
        <v>23.07692307692308</v>
      </c>
      <c r="Y206" s="252">
        <v>0</v>
      </c>
      <c r="Z206" s="198">
        <f t="shared" ref="Z206:Z211" si="1556">X206-Y206</f>
        <v>23.07692307692308</v>
      </c>
      <c r="AA206" s="125">
        <f>IF(X206&lt;=0,2,0)+IF(X206&gt;0,X206+1,0)*2+IF(X206&gt;12,X206-12,0)*2+IF(X206&gt;13,X206-13,0)*2+IF(X206&gt;14,X206-14,0)*2+IF(X206&gt;15,X206-15,0)*2+IF(X206&gt;16,X206-16,0)*2+IF(X206&gt;17,X206-17,0)*2+IF(X206&gt;18,X206-18,0)*2+IF(X206&gt;19,X206-19,0)*2+IF(X206&gt;20,X206-20,0)*2</f>
        <v>175.5384615384616</v>
      </c>
      <c r="AB206" s="160">
        <f>IF(Y206&lt;=0,2,0)+IF(Y206&gt;0,Y206+1,0)*2+IF(Y206&gt;12,Y206-12,0)*2+IF(Y206&gt;13,Y206-13,0)*2+IF(Y206&gt;14,Y206-14,0)*2+IF(Y206&gt;15,Y206-15,0)*2+IF(Y206&gt;16,Y206-16,0)*2+IF(Y206&gt;17,Y206-17,0)*2+IF(Y206&gt;18,Y206-18,0)*2+IF(Y206&gt;19,Y206-19,0)*2+IF(Y206&gt;20,Y206-20,0)*2</f>
        <v>2</v>
      </c>
      <c r="AC206" s="127">
        <f t="shared" si="1368"/>
        <v>173.5384615384616</v>
      </c>
      <c r="AD206" s="125">
        <f t="shared" si="1369"/>
        <v>0</v>
      </c>
      <c r="AF206" s="163" t="s">
        <v>401</v>
      </c>
      <c r="AG206" s="125" t="s">
        <v>86</v>
      </c>
      <c r="AH206" s="127" t="s">
        <v>132</v>
      </c>
      <c r="AI206" s="114">
        <f>Konvention_1slave-MUslave_MU</f>
        <v>11</v>
      </c>
      <c r="AJ206" s="113"/>
      <c r="AK206" s="113">
        <f>Konvention_1slave-INslave</f>
        <v>12</v>
      </c>
      <c r="AL206" s="113">
        <f>Konvention_1slave-CHslave</f>
        <v>12</v>
      </c>
      <c r="AM206" s="113"/>
      <c r="AN206" s="113"/>
      <c r="AO206" s="113"/>
      <c r="AP206" s="119"/>
      <c r="AQ206" s="47">
        <f t="shared" si="1370"/>
        <v>11.666666666666666</v>
      </c>
      <c r="AR206" s="47">
        <f t="shared" si="1371"/>
        <v>23.333333333333332</v>
      </c>
      <c r="AS206" s="119">
        <f t="shared" si="1372"/>
        <v>35</v>
      </c>
      <c r="AT206" s="114">
        <f t="shared" si="1509"/>
        <v>2432</v>
      </c>
      <c r="AU206" s="113">
        <f>AI206*AK206*CHslave+AI206*INslave*AL206+MUslave_MU*AK206*AL206</f>
        <v>3408</v>
      </c>
      <c r="AV206" s="119">
        <f t="shared" si="1373"/>
        <v>1584</v>
      </c>
      <c r="AW206" s="119">
        <f t="shared" ref="AW206:AW211" si="1557">SUM(AT206:AV206)</f>
        <v>7424</v>
      </c>
      <c r="AX206" s="89">
        <f t="shared" ref="AX206:AX211" si="1558">AQ206*AT206/AW206</f>
        <v>3.8218390804597702</v>
      </c>
      <c r="AY206" s="47">
        <f t="shared" ref="AY206:AY211" si="1559">AR206*AU206/AW206</f>
        <v>10.711206896551724</v>
      </c>
      <c r="AZ206" s="127">
        <f t="shared" ref="AZ206:AZ211" si="1560">AS206*AV206/AW206</f>
        <v>7.4676724137931032</v>
      </c>
      <c r="BA206" s="127">
        <f t="shared" ref="BA206:BA211" si="1561">SUM(AX206:AZ206)</f>
        <v>22.000718390804597</v>
      </c>
      <c r="BB206" s="165">
        <f t="shared" si="1260"/>
        <v>0</v>
      </c>
      <c r="BC206" s="198">
        <f t="shared" si="1378"/>
        <v>22.000718390804597</v>
      </c>
      <c r="BD206" s="125">
        <f>IF(BA206&lt;=0,2,0)+IF(BA206&gt;0,BA206+1,0)*2+IF(BA206&gt;12,BA206-12,0)*2+IF(BA206&gt;13,BA206-13,0)*2+IF(BA206&gt;14,BA206-14,0)*2+IF(BA206&gt;15,BA206-15,0)*2+IF(BA206&gt;16,BA206-16,0)*2+IF(BA206&gt;17,BA206-17,0)*2+IF(BA206&gt;18,BA206-18,0)*2+IF(BA206&gt;19,BA206-19,0)*2+IF(BA206&gt;20,BA206-20,0)*2</f>
        <v>154.01436781609189</v>
      </c>
      <c r="BE206" s="160">
        <f>IF(BB206&lt;=0,2,0)+IF(BB206&gt;0,BB206+1,0)*2+IF(BB206&gt;12,BB206-12,0)*2+IF(BB206&gt;13,BB206-13,0)*2+IF(BB206&gt;14,BB206-14,0)*2+IF(BB206&gt;15,BB206-15,0)*2+IF(BB206&gt;16,BB206-16,0)*2+IF(BB206&gt;17,BB206-17,0)*2+IF(BB206&gt;18,BB206-18,0)*2+IF(BB206&gt;19,BB206-19,0)*2+IF(BB206&gt;20,BB206-20,0)*2</f>
        <v>2</v>
      </c>
      <c r="BF206" s="243">
        <f t="shared" si="1379"/>
        <v>152.01436781609189</v>
      </c>
      <c r="BG206" s="218">
        <f t="shared" si="1380"/>
        <v>0</v>
      </c>
      <c r="BI206" s="303" t="s">
        <v>401</v>
      </c>
      <c r="BJ206" s="218" t="s">
        <v>86</v>
      </c>
      <c r="BK206" s="243" t="s">
        <v>132</v>
      </c>
      <c r="BL206" s="237">
        <f>Konvention_1slave-MUslave</f>
        <v>12</v>
      </c>
      <c r="BM206" s="234"/>
      <c r="BN206" s="234">
        <f>Konvention_1slave-INslave</f>
        <v>12</v>
      </c>
      <c r="BO206" s="234">
        <f>Konvention_1slave-CHslave</f>
        <v>12</v>
      </c>
      <c r="BP206" s="234"/>
      <c r="BQ206" s="234"/>
      <c r="BR206" s="234"/>
      <c r="BS206" s="224"/>
      <c r="BT206" s="223">
        <f t="shared" si="1381"/>
        <v>12</v>
      </c>
      <c r="BU206" s="223">
        <f t="shared" si="1382"/>
        <v>24</v>
      </c>
      <c r="BV206" s="224">
        <f t="shared" si="1383"/>
        <v>36</v>
      </c>
      <c r="BW206" s="237">
        <f t="shared" si="1510"/>
        <v>2304</v>
      </c>
      <c r="BX206" s="234">
        <f>BL206*BN206*CHslave+BL206*INslave*BO206+MUslave*BN206*BO206</f>
        <v>3456</v>
      </c>
      <c r="BY206" s="224">
        <f t="shared" si="1384"/>
        <v>1728</v>
      </c>
      <c r="BZ206" s="224">
        <f t="shared" ref="BZ206:BZ211" si="1562">SUM(BW206:BY206)</f>
        <v>7488</v>
      </c>
      <c r="CA206" s="222">
        <f t="shared" ref="CA206:CA211" si="1563">BT206*BW206/BZ206</f>
        <v>3.6923076923076925</v>
      </c>
      <c r="CB206" s="223">
        <f t="shared" ref="CB206:CB211" si="1564">BU206*BX206/BZ206</f>
        <v>11.076923076923077</v>
      </c>
      <c r="CC206" s="243">
        <f t="shared" ref="CC206:CC211" si="1565">BV206*BY206/BZ206</f>
        <v>8.3076923076923084</v>
      </c>
      <c r="CD206" s="243">
        <f t="shared" ref="CD206:CD211" si="1566">SUM(CA206:CC206)</f>
        <v>23.07692307692308</v>
      </c>
      <c r="CE206" s="252">
        <f t="shared" si="1271"/>
        <v>0</v>
      </c>
      <c r="CF206" s="309">
        <f t="shared" si="1389"/>
        <v>23.07692307692308</v>
      </c>
      <c r="CG206" s="218">
        <f>IF(CD206&lt;=0,2,0)+IF(CD206&gt;0,CD206+1,0)*2+IF(CD206&gt;12,CD206-12,0)*2+IF(CD206&gt;13,CD206-13,0)*2+IF(CD206&gt;14,CD206-14,0)*2+IF(CD206&gt;15,CD206-15,0)*2+IF(CD206&gt;16,CD206-16,0)*2+IF(CD206&gt;17,CD206-17,0)*2+IF(CD206&gt;18,CD206-18,0)*2+IF(CD206&gt;19,CD206-19,0)*2+IF(CD206&gt;20,CD206-20,0)*2</f>
        <v>175.5384615384616</v>
      </c>
      <c r="CH206" s="242">
        <f>IF(CE206&lt;=0,2,0)+IF(CE206&gt;0,CE206+1,0)*2+IF(CE206&gt;12,CE206-12,0)*2+IF(CE206&gt;13,CE206-13,0)*2+IF(CE206&gt;14,CE206-14,0)*2+IF(CE206&gt;15,CE206-15,0)*2+IF(CE206&gt;16,CE206-16,0)*2+IF(CE206&gt;17,CE206-17,0)*2+IF(CE206&gt;18,CE206-18,0)*2+IF(CE206&gt;19,CE206-19,0)*2+IF(CE206&gt;20,CE206-20,0)*2</f>
        <v>2</v>
      </c>
      <c r="CI206" s="243">
        <f t="shared" si="1390"/>
        <v>173.5384615384616</v>
      </c>
      <c r="CJ206" s="218">
        <f t="shared" si="1391"/>
        <v>0</v>
      </c>
      <c r="CL206" s="303" t="s">
        <v>401</v>
      </c>
      <c r="CM206" s="218" t="s">
        <v>86</v>
      </c>
      <c r="CN206" s="243" t="s">
        <v>132</v>
      </c>
      <c r="CO206" s="237">
        <f>Konvention_1slave-MUslave</f>
        <v>12</v>
      </c>
      <c r="CP206" s="234"/>
      <c r="CQ206" s="234">
        <f>Konvention_1slave-INslave_IN</f>
        <v>11</v>
      </c>
      <c r="CR206" s="234">
        <f>Konvention_1slave-CHslave</f>
        <v>12</v>
      </c>
      <c r="CS206" s="234"/>
      <c r="CT206" s="234"/>
      <c r="CU206" s="234"/>
      <c r="CV206" s="224"/>
      <c r="CW206" s="223">
        <f t="shared" si="1392"/>
        <v>11.666666666666666</v>
      </c>
      <c r="CX206" s="223">
        <f t="shared" si="1393"/>
        <v>23.333333333333332</v>
      </c>
      <c r="CY206" s="224">
        <f t="shared" si="1394"/>
        <v>35</v>
      </c>
      <c r="CZ206" s="237">
        <f t="shared" si="1511"/>
        <v>2432</v>
      </c>
      <c r="DA206" s="234">
        <f>CO206*CQ206*CHslave+CO206*INslave_IN*CR206+MUslave*CQ206*CR206</f>
        <v>3408</v>
      </c>
      <c r="DB206" s="224">
        <f t="shared" si="1395"/>
        <v>1584</v>
      </c>
      <c r="DC206" s="224">
        <f t="shared" ref="DC206:DC211" si="1567">SUM(CZ206:DB206)</f>
        <v>7424</v>
      </c>
      <c r="DD206" s="222">
        <f t="shared" ref="DD206:DD211" si="1568">CW206*CZ206/DC206</f>
        <v>3.8218390804597702</v>
      </c>
      <c r="DE206" s="223">
        <f t="shared" ref="DE206:DE211" si="1569">CX206*DA206/DC206</f>
        <v>10.711206896551724</v>
      </c>
      <c r="DF206" s="243">
        <f t="shared" ref="DF206:DF211" si="1570">CY206*DB206/DC206</f>
        <v>7.4676724137931032</v>
      </c>
      <c r="DG206" s="243">
        <f t="shared" ref="DG206:DG211" si="1571">SUM(DD206:DF206)</f>
        <v>22.000718390804597</v>
      </c>
      <c r="DH206" s="252">
        <f t="shared" si="1282"/>
        <v>0</v>
      </c>
      <c r="DI206" s="309">
        <f t="shared" si="1400"/>
        <v>22.000718390804597</v>
      </c>
      <c r="DJ206" s="218">
        <f>IF(DG206&lt;=0,2,0)+IF(DG206&gt;0,DG206+1,0)*2+IF(DG206&gt;12,DG206-12,0)*2+IF(DG206&gt;13,DG206-13,0)*2+IF(DG206&gt;14,DG206-14,0)*2+IF(DG206&gt;15,DG206-15,0)*2+IF(DG206&gt;16,DG206-16,0)*2+IF(DG206&gt;17,DG206-17,0)*2+IF(DG206&gt;18,DG206-18,0)*2+IF(DG206&gt;19,DG206-19,0)*2+IF(DG206&gt;20,DG206-20,0)*2</f>
        <v>154.01436781609189</v>
      </c>
      <c r="DK206" s="242">
        <f>IF(DH206&lt;=0,2,0)+IF(DH206&gt;0,DH206+1,0)*2+IF(DH206&gt;12,DH206-12,0)*2+IF(DH206&gt;13,DH206-13,0)*2+IF(DH206&gt;14,DH206-14,0)*2+IF(DH206&gt;15,DH206-15,0)*2+IF(DH206&gt;16,DH206-16,0)*2+IF(DH206&gt;17,DH206-17,0)*2+IF(DH206&gt;18,DH206-18,0)*2+IF(DH206&gt;19,DH206-19,0)*2+IF(DH206&gt;20,DH206-20,0)*2</f>
        <v>2</v>
      </c>
      <c r="DL206" s="243">
        <f t="shared" si="1401"/>
        <v>152.01436781609189</v>
      </c>
      <c r="DM206" s="218">
        <f t="shared" si="1402"/>
        <v>0</v>
      </c>
      <c r="DO206" s="303" t="s">
        <v>401</v>
      </c>
      <c r="DP206" s="218" t="s">
        <v>86</v>
      </c>
      <c r="DQ206" s="243" t="s">
        <v>132</v>
      </c>
      <c r="DR206" s="237">
        <f>Konvention_1slave-MUslave</f>
        <v>12</v>
      </c>
      <c r="DS206" s="234"/>
      <c r="DT206" s="234">
        <f>Konvention_1slave-INslave</f>
        <v>12</v>
      </c>
      <c r="DU206" s="234">
        <f>Konvention_1slave-CHslave_CH</f>
        <v>11</v>
      </c>
      <c r="DV206" s="234"/>
      <c r="DW206" s="234"/>
      <c r="DX206" s="234"/>
      <c r="DY206" s="224"/>
      <c r="DZ206" s="223">
        <f t="shared" si="1403"/>
        <v>11.666666666666666</v>
      </c>
      <c r="EA206" s="223">
        <f t="shared" si="1404"/>
        <v>23.333333333333332</v>
      </c>
      <c r="EB206" s="224">
        <f t="shared" si="1405"/>
        <v>35</v>
      </c>
      <c r="EC206" s="237">
        <f t="shared" si="1512"/>
        <v>2432</v>
      </c>
      <c r="ED206" s="234">
        <f>DR206*DT206*CHslave_CH+DR206*INslave*DU206+MUslave*DT206*DU206</f>
        <v>3408</v>
      </c>
      <c r="EE206" s="224">
        <f t="shared" si="1406"/>
        <v>1584</v>
      </c>
      <c r="EF206" s="224">
        <f t="shared" ref="EF206:EF211" si="1572">SUM(EC206:EE206)</f>
        <v>7424</v>
      </c>
      <c r="EG206" s="222">
        <f t="shared" ref="EG206:EG211" si="1573">DZ206*EC206/EF206</f>
        <v>3.8218390804597702</v>
      </c>
      <c r="EH206" s="223">
        <f t="shared" ref="EH206:EH211" si="1574">EA206*ED206/EF206</f>
        <v>10.711206896551724</v>
      </c>
      <c r="EI206" s="243">
        <f t="shared" ref="EI206:EI211" si="1575">EB206*EE206/EF206</f>
        <v>7.4676724137931032</v>
      </c>
      <c r="EJ206" s="243">
        <f t="shared" ref="EJ206:EJ211" si="1576">SUM(EG206:EI206)</f>
        <v>22.000718390804597</v>
      </c>
      <c r="EK206" s="252">
        <f t="shared" si="1293"/>
        <v>0</v>
      </c>
      <c r="EL206" s="309">
        <f t="shared" si="1411"/>
        <v>22.000718390804597</v>
      </c>
      <c r="EM206" s="218">
        <f>IF(EJ206&lt;=0,2,0)+IF(EJ206&gt;0,EJ206+1,0)*2+IF(EJ206&gt;12,EJ206-12,0)*2+IF(EJ206&gt;13,EJ206-13,0)*2+IF(EJ206&gt;14,EJ206-14,0)*2+IF(EJ206&gt;15,EJ206-15,0)*2+IF(EJ206&gt;16,EJ206-16,0)*2+IF(EJ206&gt;17,EJ206-17,0)*2+IF(EJ206&gt;18,EJ206-18,0)*2+IF(EJ206&gt;19,EJ206-19,0)*2+IF(EJ206&gt;20,EJ206-20,0)*2</f>
        <v>154.01436781609189</v>
      </c>
      <c r="EN206" s="242">
        <f>IF(EK206&lt;=0,2,0)+IF(EK206&gt;0,EK206+1,0)*2+IF(EK206&gt;12,EK206-12,0)*2+IF(EK206&gt;13,EK206-13,0)*2+IF(EK206&gt;14,EK206-14,0)*2+IF(EK206&gt;15,EK206-15,0)*2+IF(EK206&gt;16,EK206-16,0)*2+IF(EK206&gt;17,EK206-17,0)*2+IF(EK206&gt;18,EK206-18,0)*2+IF(EK206&gt;19,EK206-19,0)*2+IF(EK206&gt;20,EK206-20,0)*2</f>
        <v>2</v>
      </c>
      <c r="EO206" s="243">
        <f t="shared" si="1412"/>
        <v>152.01436781609189</v>
      </c>
      <c r="EP206" s="218">
        <f t="shared" si="1413"/>
        <v>0</v>
      </c>
      <c r="ER206" s="303" t="s">
        <v>401</v>
      </c>
      <c r="ES206" s="218" t="s">
        <v>86</v>
      </c>
      <c r="ET206" s="243" t="s">
        <v>132</v>
      </c>
      <c r="EU206" s="237">
        <f>Konvention_1slave-MUslave</f>
        <v>12</v>
      </c>
      <c r="EV206" s="234"/>
      <c r="EW206" s="234">
        <f>Konvention_1slave-INslave</f>
        <v>12</v>
      </c>
      <c r="EX206" s="234">
        <f>Konvention_1slave-CHslave</f>
        <v>12</v>
      </c>
      <c r="EY206" s="234"/>
      <c r="EZ206" s="234"/>
      <c r="FA206" s="234"/>
      <c r="FB206" s="224"/>
      <c r="FC206" s="223">
        <f t="shared" si="1414"/>
        <v>12</v>
      </c>
      <c r="FD206" s="223">
        <f t="shared" si="1415"/>
        <v>24</v>
      </c>
      <c r="FE206" s="224">
        <f t="shared" si="1416"/>
        <v>36</v>
      </c>
      <c r="FF206" s="237">
        <f t="shared" si="1513"/>
        <v>2304</v>
      </c>
      <c r="FG206" s="234">
        <f>EU206*EW206*CHslave+EU206*INslave*EX206+MUslave*EW206*EX206</f>
        <v>3456</v>
      </c>
      <c r="FH206" s="224">
        <f t="shared" si="1417"/>
        <v>1728</v>
      </c>
      <c r="FI206" s="224">
        <f t="shared" ref="FI206:FI211" si="1577">SUM(FF206:FH206)</f>
        <v>7488</v>
      </c>
      <c r="FJ206" s="222">
        <f t="shared" ref="FJ206:FJ211" si="1578">FC206*FF206/FI206</f>
        <v>3.6923076923076925</v>
      </c>
      <c r="FK206" s="223">
        <f t="shared" ref="FK206:FK211" si="1579">FD206*FG206/FI206</f>
        <v>11.076923076923077</v>
      </c>
      <c r="FL206" s="243">
        <f t="shared" ref="FL206:FL211" si="1580">FE206*FH206/FI206</f>
        <v>8.3076923076923084</v>
      </c>
      <c r="FM206" s="243">
        <f t="shared" ref="FM206:FM211" si="1581">SUM(FJ206:FL206)</f>
        <v>23.07692307692308</v>
      </c>
      <c r="FN206" s="252">
        <f t="shared" si="1304"/>
        <v>0</v>
      </c>
      <c r="FO206" s="309">
        <f t="shared" si="1422"/>
        <v>23.07692307692308</v>
      </c>
      <c r="FP206" s="218">
        <f>IF(FM206&lt;=0,2,0)+IF(FM206&gt;0,FM206+1,0)*2+IF(FM206&gt;12,FM206-12,0)*2+IF(FM206&gt;13,FM206-13,0)*2+IF(FM206&gt;14,FM206-14,0)*2+IF(FM206&gt;15,FM206-15,0)*2+IF(FM206&gt;16,FM206-16,0)*2+IF(FM206&gt;17,FM206-17,0)*2+IF(FM206&gt;18,FM206-18,0)*2+IF(FM206&gt;19,FM206-19,0)*2+IF(FM206&gt;20,FM206-20,0)*2</f>
        <v>175.5384615384616</v>
      </c>
      <c r="FQ206" s="242">
        <f>IF(FN206&lt;=0,2,0)+IF(FN206&gt;0,FN206+1,0)*2+IF(FN206&gt;12,FN206-12,0)*2+IF(FN206&gt;13,FN206-13,0)*2+IF(FN206&gt;14,FN206-14,0)*2+IF(FN206&gt;15,FN206-15,0)*2+IF(FN206&gt;16,FN206-16,0)*2+IF(FN206&gt;17,FN206-17,0)*2+IF(FN206&gt;18,FN206-18,0)*2+IF(FN206&gt;19,FN206-19,0)*2+IF(FN206&gt;20,FN206-20,0)*2</f>
        <v>2</v>
      </c>
      <c r="FR206" s="243">
        <f t="shared" si="1423"/>
        <v>173.5384615384616</v>
      </c>
      <c r="FS206" s="218">
        <f t="shared" si="1424"/>
        <v>0</v>
      </c>
      <c r="FU206" s="303" t="s">
        <v>401</v>
      </c>
      <c r="FV206" s="218" t="s">
        <v>86</v>
      </c>
      <c r="FW206" s="243" t="s">
        <v>132</v>
      </c>
      <c r="FX206" s="237">
        <f>Konvention_1slave-MUslave</f>
        <v>12</v>
      </c>
      <c r="FY206" s="234"/>
      <c r="FZ206" s="234">
        <f>Konvention_1slave-INslave</f>
        <v>12</v>
      </c>
      <c r="GA206" s="234">
        <f>Konvention_1slave-CHslave</f>
        <v>12</v>
      </c>
      <c r="GB206" s="234"/>
      <c r="GC206" s="234"/>
      <c r="GD206" s="234"/>
      <c r="GE206" s="224"/>
      <c r="GF206" s="223">
        <f t="shared" si="1425"/>
        <v>12</v>
      </c>
      <c r="GG206" s="223">
        <f t="shared" si="1426"/>
        <v>24</v>
      </c>
      <c r="GH206" s="224">
        <f t="shared" si="1427"/>
        <v>36</v>
      </c>
      <c r="GI206" s="237">
        <f t="shared" si="1514"/>
        <v>2304</v>
      </c>
      <c r="GJ206" s="234">
        <f>FX206*FZ206*CHslave+FX206*INslave*GA206+MUslave*FZ206*GA206</f>
        <v>3456</v>
      </c>
      <c r="GK206" s="224">
        <f t="shared" si="1428"/>
        <v>1728</v>
      </c>
      <c r="GL206" s="224">
        <f t="shared" ref="GL206:GL211" si="1582">SUM(GI206:GK206)</f>
        <v>7488</v>
      </c>
      <c r="GM206" s="222">
        <f t="shared" ref="GM206:GM211" si="1583">GF206*GI206/GL206</f>
        <v>3.6923076923076925</v>
      </c>
      <c r="GN206" s="223">
        <f t="shared" ref="GN206:GN211" si="1584">GG206*GJ206/GL206</f>
        <v>11.076923076923077</v>
      </c>
      <c r="GO206" s="243">
        <f t="shared" ref="GO206:GO211" si="1585">GH206*GK206/GL206</f>
        <v>8.3076923076923084</v>
      </c>
      <c r="GP206" s="243">
        <f t="shared" ref="GP206:GP211" si="1586">SUM(GM206:GO206)</f>
        <v>23.07692307692308</v>
      </c>
      <c r="GQ206" s="252">
        <f t="shared" si="1315"/>
        <v>0</v>
      </c>
      <c r="GR206" s="309">
        <f t="shared" si="1433"/>
        <v>23.07692307692308</v>
      </c>
      <c r="GS206" s="218">
        <f>IF(GP206&lt;=0,2,0)+IF(GP206&gt;0,GP206+1,0)*2+IF(GP206&gt;12,GP206-12,0)*2+IF(GP206&gt;13,GP206-13,0)*2+IF(GP206&gt;14,GP206-14,0)*2+IF(GP206&gt;15,GP206-15,0)*2+IF(GP206&gt;16,GP206-16,0)*2+IF(GP206&gt;17,GP206-17,0)*2+IF(GP206&gt;18,GP206-18,0)*2+IF(GP206&gt;19,GP206-19,0)*2+IF(GP206&gt;20,GP206-20,0)*2</f>
        <v>175.5384615384616</v>
      </c>
      <c r="GT206" s="242">
        <f>IF(GQ206&lt;=0,2,0)+IF(GQ206&gt;0,GQ206+1,0)*2+IF(GQ206&gt;12,GQ206-12,0)*2+IF(GQ206&gt;13,GQ206-13,0)*2+IF(GQ206&gt;14,GQ206-14,0)*2+IF(GQ206&gt;15,GQ206-15,0)*2+IF(GQ206&gt;16,GQ206-16,0)*2+IF(GQ206&gt;17,GQ206-17,0)*2+IF(GQ206&gt;18,GQ206-18,0)*2+IF(GQ206&gt;19,GQ206-19,0)*2+IF(GQ206&gt;20,GQ206-20,0)*2</f>
        <v>2</v>
      </c>
      <c r="GU206" s="243">
        <f t="shared" si="1434"/>
        <v>173.5384615384616</v>
      </c>
      <c r="GV206" s="218">
        <f t="shared" si="1435"/>
        <v>0</v>
      </c>
      <c r="GX206" s="303" t="s">
        <v>401</v>
      </c>
      <c r="GY206" s="218" t="s">
        <v>86</v>
      </c>
      <c r="GZ206" s="243" t="s">
        <v>132</v>
      </c>
      <c r="HA206" s="237">
        <f>Konvention_1slave-MUslave</f>
        <v>12</v>
      </c>
      <c r="HB206" s="234"/>
      <c r="HC206" s="234">
        <f>Konvention_1slave-INslave</f>
        <v>12</v>
      </c>
      <c r="HD206" s="234">
        <f>Konvention_1slave-CHslave</f>
        <v>12</v>
      </c>
      <c r="HE206" s="234"/>
      <c r="HF206" s="234"/>
      <c r="HG206" s="234"/>
      <c r="HH206" s="224"/>
      <c r="HI206" s="223">
        <f t="shared" si="1436"/>
        <v>12</v>
      </c>
      <c r="HJ206" s="223">
        <f t="shared" si="1437"/>
        <v>24</v>
      </c>
      <c r="HK206" s="224">
        <f t="shared" si="1438"/>
        <v>36</v>
      </c>
      <c r="HL206" s="237">
        <f t="shared" si="1515"/>
        <v>2304</v>
      </c>
      <c r="HM206" s="234">
        <f>HA206*HC206*CHslave+HA206*INslave*HD206+MUslave*HC206*HD206</f>
        <v>3456</v>
      </c>
      <c r="HN206" s="224">
        <f t="shared" si="1439"/>
        <v>1728</v>
      </c>
      <c r="HO206" s="224">
        <f t="shared" ref="HO206:HO211" si="1587">SUM(HL206:HN206)</f>
        <v>7488</v>
      </c>
      <c r="HP206" s="222">
        <f t="shared" ref="HP206:HP211" si="1588">HI206*HL206/HO206</f>
        <v>3.6923076923076925</v>
      </c>
      <c r="HQ206" s="223">
        <f t="shared" ref="HQ206:HQ211" si="1589">HJ206*HM206/HO206</f>
        <v>11.076923076923077</v>
      </c>
      <c r="HR206" s="243">
        <f t="shared" ref="HR206:HR211" si="1590">HK206*HN206/HO206</f>
        <v>8.3076923076923084</v>
      </c>
      <c r="HS206" s="243">
        <f t="shared" ref="HS206:HS211" si="1591">SUM(HP206:HR206)</f>
        <v>23.07692307692308</v>
      </c>
      <c r="HT206" s="252">
        <f t="shared" si="1326"/>
        <v>0</v>
      </c>
      <c r="HU206" s="309">
        <f t="shared" si="1444"/>
        <v>23.07692307692308</v>
      </c>
      <c r="HV206" s="218">
        <f>IF(HS206&lt;=0,2,0)+IF(HS206&gt;0,HS206+1,0)*2+IF(HS206&gt;12,HS206-12,0)*2+IF(HS206&gt;13,HS206-13,0)*2+IF(HS206&gt;14,HS206-14,0)*2+IF(HS206&gt;15,HS206-15,0)*2+IF(HS206&gt;16,HS206-16,0)*2+IF(HS206&gt;17,HS206-17,0)*2+IF(HS206&gt;18,HS206-18,0)*2+IF(HS206&gt;19,HS206-19,0)*2+IF(HS206&gt;20,HS206-20,0)*2</f>
        <v>175.5384615384616</v>
      </c>
      <c r="HW206" s="242">
        <f>IF(HT206&lt;=0,2,0)+IF(HT206&gt;0,HT206+1,0)*2+IF(HT206&gt;12,HT206-12,0)*2+IF(HT206&gt;13,HT206-13,0)*2+IF(HT206&gt;14,HT206-14,0)*2+IF(HT206&gt;15,HT206-15,0)*2+IF(HT206&gt;16,HT206-16,0)*2+IF(HT206&gt;17,HT206-17,0)*2+IF(HT206&gt;18,HT206-18,0)*2+IF(HT206&gt;19,HT206-19,0)*2+IF(HT206&gt;20,HT206-20,0)*2</f>
        <v>2</v>
      </c>
      <c r="HX206" s="243">
        <f t="shared" si="1445"/>
        <v>173.5384615384616</v>
      </c>
      <c r="HY206" s="218">
        <f t="shared" si="1446"/>
        <v>0</v>
      </c>
      <c r="IA206" s="303" t="s">
        <v>401</v>
      </c>
      <c r="IB206" s="218" t="s">
        <v>86</v>
      </c>
      <c r="IC206" s="243" t="s">
        <v>132</v>
      </c>
      <c r="ID206" s="237">
        <f>Konvention_1slave-MUslave</f>
        <v>12</v>
      </c>
      <c r="IE206" s="234"/>
      <c r="IF206" s="234">
        <f>Konvention_1slave-INslave</f>
        <v>12</v>
      </c>
      <c r="IG206" s="234">
        <f>Konvention_1slave-CHslave</f>
        <v>12</v>
      </c>
      <c r="IH206" s="234"/>
      <c r="II206" s="234"/>
      <c r="IJ206" s="234"/>
      <c r="IK206" s="224"/>
      <c r="IL206" s="223">
        <f t="shared" si="1447"/>
        <v>12</v>
      </c>
      <c r="IM206" s="223">
        <f t="shared" si="1448"/>
        <v>24</v>
      </c>
      <c r="IN206" s="224">
        <f t="shared" si="1449"/>
        <v>36</v>
      </c>
      <c r="IO206" s="237">
        <f t="shared" si="1516"/>
        <v>2304</v>
      </c>
      <c r="IP206" s="234">
        <f>ID206*IF206*CHslave+ID206*INslave*IG206+MUslave*IF206*IG206</f>
        <v>3456</v>
      </c>
      <c r="IQ206" s="224">
        <f t="shared" si="1450"/>
        <v>1728</v>
      </c>
      <c r="IR206" s="224">
        <f t="shared" ref="IR206:IR211" si="1592">SUM(IO206:IQ206)</f>
        <v>7488</v>
      </c>
      <c r="IS206" s="222">
        <f t="shared" ref="IS206:IS211" si="1593">IL206*IO206/IR206</f>
        <v>3.6923076923076925</v>
      </c>
      <c r="IT206" s="223">
        <f t="shared" ref="IT206:IT211" si="1594">IM206*IP206/IR206</f>
        <v>11.076923076923077</v>
      </c>
      <c r="IU206" s="243">
        <f t="shared" ref="IU206:IU211" si="1595">IN206*IQ206/IR206</f>
        <v>8.3076923076923084</v>
      </c>
      <c r="IV206" s="243">
        <f t="shared" ref="IV206:IV211" si="1596">SUM(IS206:IU206)</f>
        <v>23.07692307692308</v>
      </c>
      <c r="IW206" s="252">
        <f t="shared" si="1337"/>
        <v>0</v>
      </c>
      <c r="IX206" s="309">
        <f t="shared" si="1455"/>
        <v>23.07692307692308</v>
      </c>
      <c r="IY206" s="218">
        <f>IF(IV206&lt;=0,2,0)+IF(IV206&gt;0,IV206+1,0)*2+IF(IV206&gt;12,IV206-12,0)*2+IF(IV206&gt;13,IV206-13,0)*2+IF(IV206&gt;14,IV206-14,0)*2+IF(IV206&gt;15,IV206-15,0)*2+IF(IV206&gt;16,IV206-16,0)*2+IF(IV206&gt;17,IV206-17,0)*2+IF(IV206&gt;18,IV206-18,0)*2+IF(IV206&gt;19,IV206-19,0)*2+IF(IV206&gt;20,IV206-20,0)*2</f>
        <v>175.5384615384616</v>
      </c>
      <c r="IZ206" s="242">
        <f>IF(IW206&lt;=0,2,0)+IF(IW206&gt;0,IW206+1,0)*2+IF(IW206&gt;12,IW206-12,0)*2+IF(IW206&gt;13,IW206-13,0)*2+IF(IW206&gt;14,IW206-14,0)*2+IF(IW206&gt;15,IW206-15,0)*2+IF(IW206&gt;16,IW206-16,0)*2+IF(IW206&gt;17,IW206-17,0)*2+IF(IW206&gt;18,IW206-18,0)*2+IF(IW206&gt;19,IW206-19,0)*2+IF(IW206&gt;20,IW206-20,0)*2</f>
        <v>2</v>
      </c>
      <c r="JA206" s="243">
        <f t="shared" si="1456"/>
        <v>173.5384615384616</v>
      </c>
      <c r="JB206" s="218">
        <f t="shared" si="1457"/>
        <v>0</v>
      </c>
      <c r="JE206" s="148"/>
    </row>
    <row r="207" spans="2:265" ht="15" hidden="1" customHeight="1" outlineLevel="2">
      <c r="B207" s="148">
        <v>55</v>
      </c>
      <c r="C207" s="303" t="e">
        <f>VLOOKUP(AF207,Attribute!C:T,1,FALSE)</f>
        <v>#N/A</v>
      </c>
      <c r="D207" s="125" t="s">
        <v>227</v>
      </c>
      <c r="E207" s="127" t="s">
        <v>135</v>
      </c>
      <c r="F207" s="114">
        <f>Konvention_1master-MUmaster</f>
        <v>12</v>
      </c>
      <c r="G207" s="113"/>
      <c r="H207" s="113"/>
      <c r="I207" s="113">
        <f>Konvention_1master-CHmaster</f>
        <v>12</v>
      </c>
      <c r="J207" s="113"/>
      <c r="K207" s="113"/>
      <c r="L207" s="113">
        <f>Konvention_1master-KOmaster</f>
        <v>12</v>
      </c>
      <c r="M207" s="119"/>
      <c r="N207" s="223">
        <f>(F207+G207+H207+I207+J207+K207+L207+M207)/3</f>
        <v>12</v>
      </c>
      <c r="O207" s="223">
        <f>2*N207</f>
        <v>24</v>
      </c>
      <c r="P207" s="224">
        <f>3*N207</f>
        <v>36</v>
      </c>
      <c r="Q207" s="237">
        <f t="shared" si="1508"/>
        <v>2304</v>
      </c>
      <c r="R207" s="113">
        <f>F207*I207*KOmaster+F207*CHmaster*L207+MUmaster*I207*L207</f>
        <v>3456</v>
      </c>
      <c r="S207" s="224">
        <f>IFERROR(F207^SIGN(F207),1)*IFERROR(G207^SIGN(G207),1)*IFERROR(H207^SIGN(H207),1)*IFERROR(I207^SIGN(I207),1)*IFERROR(J207^SIGN(J207),1)*IFERROR(K207^SIGN(K207),1)*IFERROR(L207^SIGN(L207),1)*IFERROR(M207^SIGN(M207),1)</f>
        <v>1728</v>
      </c>
      <c r="T207" s="224">
        <f t="shared" si="1507"/>
        <v>7488</v>
      </c>
      <c r="U207" s="222">
        <f t="shared" si="1552"/>
        <v>3.6923076923076925</v>
      </c>
      <c r="V207" s="223">
        <f t="shared" si="1553"/>
        <v>11.076923076923077</v>
      </c>
      <c r="W207" s="243">
        <f t="shared" si="1554"/>
        <v>8.3076923076923084</v>
      </c>
      <c r="X207" s="243">
        <f t="shared" si="1555"/>
        <v>23.07692307692308</v>
      </c>
      <c r="Y207" s="252">
        <v>0</v>
      </c>
      <c r="Z207" s="198">
        <f t="shared" si="1556"/>
        <v>23.07692307692308</v>
      </c>
      <c r="AA207" s="125">
        <f>IF(X207&lt;=0,3,0)+IF(X207&gt;0,X207+1,0)*3+IF(X207&gt;12,X207-12,0)*3+IF(X207&gt;13,X207-13,0)*3+IF(X207&gt;14,X207-14,0)*3+IF(X207&gt;15,X207-15,0)*3+IF(X207&gt;16,X207-16,0)*3+IF(X207&gt;17,X207-17,0)*3+IF(X207&gt;18,X207-18,0)*3+IF(X207&gt;19,X207-19,0)*3+IF(X207&gt;20,X207-20,0)*3</f>
        <v>263.30769230769232</v>
      </c>
      <c r="AB207" s="160">
        <f>IF(Y207&lt;=0,3,0)+IF(Y207&gt;0,Y207+1,0)*3+IF(Y207&gt;12,Y207-12,0)*3+IF(Y207&gt;13,Y207-13,0)*3+IF(Y207&gt;14,Y207-14,0)*3+IF(Y207&gt;15,Y207-15,0)*3+IF(Y207&gt;16,Y207-16,0)*3+IF(Y207&gt;17,Y207-17,0)*3+IF(Y207&gt;18,Y207-18,0)*3+IF(Y207&gt;19,Y207-19,0)*3+IF(Y207&gt;20,Y207-20,0)*3</f>
        <v>3</v>
      </c>
      <c r="AC207" s="127">
        <f>IF((AA207-AB207)&gt;0,AA207-AB207,0)</f>
        <v>260.30769230769232</v>
      </c>
      <c r="AD207" s="125">
        <f>IF((AB207-AA207)&gt;0,AB207-AA207,0)</f>
        <v>0</v>
      </c>
      <c r="AF207" s="163" t="s">
        <v>402</v>
      </c>
      <c r="AG207" s="125" t="s">
        <v>227</v>
      </c>
      <c r="AH207" s="127" t="s">
        <v>135</v>
      </c>
      <c r="AI207" s="114">
        <f>Konvention_1slave-MUslave_MU</f>
        <v>11</v>
      </c>
      <c r="AJ207" s="113"/>
      <c r="AK207" s="113"/>
      <c r="AL207" s="113">
        <f>Konvention_1slave-CHslave</f>
        <v>12</v>
      </c>
      <c r="AM207" s="113"/>
      <c r="AN207" s="113"/>
      <c r="AO207" s="113">
        <f>Konvention_1slave-KOslave</f>
        <v>12</v>
      </c>
      <c r="AP207" s="119"/>
      <c r="AQ207" s="47">
        <f>(AI207+AJ207+AK207+AL207+AM207+AN207+AO207+AP207)/3</f>
        <v>11.666666666666666</v>
      </c>
      <c r="AR207" s="47">
        <f>2*AQ207</f>
        <v>23.333333333333332</v>
      </c>
      <c r="AS207" s="119">
        <f>3*AQ207</f>
        <v>35</v>
      </c>
      <c r="AT207" s="114">
        <f t="shared" si="1509"/>
        <v>2432</v>
      </c>
      <c r="AU207" s="113">
        <f>AI207*AL207*KOslave+AI207*CHslave*AO207+MUslave_MU*AL207*AO207</f>
        <v>3408</v>
      </c>
      <c r="AV207" s="119">
        <f>IFERROR(AI207^SIGN(AI207),1)*IFERROR(AJ207^SIGN(AJ207),1)*IFERROR(AK207^SIGN(AK207),1)*IFERROR(AL207^SIGN(AL207),1)*IFERROR(AM207^SIGN(AM207),1)*IFERROR(AN207^SIGN(AN207),1)*IFERROR(AO207^SIGN(AO207),1)*IFERROR(AP207^SIGN(AP207),1)</f>
        <v>1584</v>
      </c>
      <c r="AW207" s="119">
        <f t="shared" si="1557"/>
        <v>7424</v>
      </c>
      <c r="AX207" s="89">
        <f t="shared" si="1558"/>
        <v>3.8218390804597702</v>
      </c>
      <c r="AY207" s="47">
        <f t="shared" si="1559"/>
        <v>10.711206896551724</v>
      </c>
      <c r="AZ207" s="127">
        <f t="shared" si="1560"/>
        <v>7.4676724137931032</v>
      </c>
      <c r="BA207" s="127">
        <f t="shared" si="1561"/>
        <v>22.000718390804597</v>
      </c>
      <c r="BB207" s="165">
        <f t="shared" si="1260"/>
        <v>0</v>
      </c>
      <c r="BC207" s="198">
        <f>BA207-BB207</f>
        <v>22.000718390804597</v>
      </c>
      <c r="BD207" s="125">
        <f>IF(BA207&lt;=0,3,0)+IF(BA207&gt;0,BA207+1,0)*3+IF(BA207&gt;12,BA207-12,0)*3+IF(BA207&gt;13,BA207-13,0)*3+IF(BA207&gt;14,BA207-14,0)*3+IF(BA207&gt;15,BA207-15,0)*3+IF(BA207&gt;16,BA207-16,0)*3+IF(BA207&gt;17,BA207-17,0)*3+IF(BA207&gt;18,BA207-18,0)*3+IF(BA207&gt;19,BA207-19,0)*3+IF(BA207&gt;20,BA207-20,0)*3</f>
        <v>231.02155172413785</v>
      </c>
      <c r="BE207" s="160">
        <f>IF(BB207&lt;=0,3,0)+IF(BB207&gt;0,BB207+1,0)*3+IF(BB207&gt;12,BB207-12,0)*3+IF(BB207&gt;13,BB207-13,0)*3+IF(BB207&gt;14,BB207-14,0)*3+IF(BB207&gt;15,BB207-15,0)*3+IF(BB207&gt;16,BB207-16,0)*3+IF(BB207&gt;17,BB207-17,0)*3+IF(BB207&gt;18,BB207-18,0)*3+IF(BB207&gt;19,BB207-19,0)*3+IF(BB207&gt;20,BB207-20,0)*3</f>
        <v>3</v>
      </c>
      <c r="BF207" s="243">
        <f>IF((BD207-BE207)&gt;0,BD207-BE207,0)</f>
        <v>228.02155172413785</v>
      </c>
      <c r="BG207" s="218">
        <f>IF((BE207-BD207)&gt;0,BE207-BD207,0)</f>
        <v>0</v>
      </c>
      <c r="BI207" s="303" t="s">
        <v>402</v>
      </c>
      <c r="BJ207" s="218" t="s">
        <v>227</v>
      </c>
      <c r="BK207" s="243" t="s">
        <v>135</v>
      </c>
      <c r="BL207" s="237">
        <f>Konvention_1slave-MUslave</f>
        <v>12</v>
      </c>
      <c r="BM207" s="234"/>
      <c r="BN207" s="234"/>
      <c r="BO207" s="234">
        <f>Konvention_1slave-CHslave</f>
        <v>12</v>
      </c>
      <c r="BP207" s="234"/>
      <c r="BQ207" s="234"/>
      <c r="BR207" s="234">
        <f>Konvention_1slave-KOslave</f>
        <v>12</v>
      </c>
      <c r="BS207" s="224"/>
      <c r="BT207" s="223">
        <f>(BL207+BM207+BN207+BO207+BP207+BQ207+BR207+BS207)/3</f>
        <v>12</v>
      </c>
      <c r="BU207" s="223">
        <f>2*BT207</f>
        <v>24</v>
      </c>
      <c r="BV207" s="224">
        <f>3*BT207</f>
        <v>36</v>
      </c>
      <c r="BW207" s="237">
        <f t="shared" si="1510"/>
        <v>2304</v>
      </c>
      <c r="BX207" s="234">
        <f>BL207*BO207*KOslave+BL207*CHslave*BR207+MUslave*BO207*BR207</f>
        <v>3456</v>
      </c>
      <c r="BY207" s="224">
        <f>IFERROR(BL207^SIGN(BL207),1)*IFERROR(BM207^SIGN(BM207),1)*IFERROR(BN207^SIGN(BN207),1)*IFERROR(BO207^SIGN(BO207),1)*IFERROR(BP207^SIGN(BP207),1)*IFERROR(BQ207^SIGN(BQ207),1)*IFERROR(BR207^SIGN(BR207),1)*IFERROR(BS207^SIGN(BS207),1)</f>
        <v>1728</v>
      </c>
      <c r="BZ207" s="224">
        <f t="shared" si="1562"/>
        <v>7488</v>
      </c>
      <c r="CA207" s="222">
        <f t="shared" si="1563"/>
        <v>3.6923076923076925</v>
      </c>
      <c r="CB207" s="223">
        <f t="shared" si="1564"/>
        <v>11.076923076923077</v>
      </c>
      <c r="CC207" s="243">
        <f t="shared" si="1565"/>
        <v>8.3076923076923084</v>
      </c>
      <c r="CD207" s="243">
        <f t="shared" si="1566"/>
        <v>23.07692307692308</v>
      </c>
      <c r="CE207" s="252">
        <f t="shared" si="1271"/>
        <v>0</v>
      </c>
      <c r="CF207" s="309">
        <f>CD207-CE207</f>
        <v>23.07692307692308</v>
      </c>
      <c r="CG207" s="218">
        <f>IF(CD207&lt;=0,3,0)+IF(CD207&gt;0,CD207+1,0)*3+IF(CD207&gt;12,CD207-12,0)*3+IF(CD207&gt;13,CD207-13,0)*3+IF(CD207&gt;14,CD207-14,0)*3+IF(CD207&gt;15,CD207-15,0)*3+IF(CD207&gt;16,CD207-16,0)*3+IF(CD207&gt;17,CD207-17,0)*3+IF(CD207&gt;18,CD207-18,0)*3+IF(CD207&gt;19,CD207-19,0)*3+IF(CD207&gt;20,CD207-20,0)*3</f>
        <v>263.30769230769232</v>
      </c>
      <c r="CH207" s="242">
        <f>IF(CE207&lt;=0,3,0)+IF(CE207&gt;0,CE207+1,0)*3+IF(CE207&gt;12,CE207-12,0)*3+IF(CE207&gt;13,CE207-13,0)*3+IF(CE207&gt;14,CE207-14,0)*3+IF(CE207&gt;15,CE207-15,0)*3+IF(CE207&gt;16,CE207-16,0)*3+IF(CE207&gt;17,CE207-17,0)*3+IF(CE207&gt;18,CE207-18,0)*3+IF(CE207&gt;19,CE207-19,0)*3+IF(CE207&gt;20,CE207-20,0)*3</f>
        <v>3</v>
      </c>
      <c r="CI207" s="243">
        <f>IF((CG207-CH207)&gt;0,CG207-CH207,0)</f>
        <v>260.30769230769232</v>
      </c>
      <c r="CJ207" s="218">
        <f>IF((CH207-CG207)&gt;0,CH207-CG207,0)</f>
        <v>0</v>
      </c>
      <c r="CL207" s="303" t="s">
        <v>402</v>
      </c>
      <c r="CM207" s="218" t="s">
        <v>227</v>
      </c>
      <c r="CN207" s="243" t="s">
        <v>135</v>
      </c>
      <c r="CO207" s="237">
        <f>Konvention_1slave-MUslave</f>
        <v>12</v>
      </c>
      <c r="CP207" s="234"/>
      <c r="CQ207" s="234"/>
      <c r="CR207" s="234">
        <f>Konvention_1slave-CHslave</f>
        <v>12</v>
      </c>
      <c r="CS207" s="234"/>
      <c r="CT207" s="234"/>
      <c r="CU207" s="234">
        <f>Konvention_1slave-KOslave</f>
        <v>12</v>
      </c>
      <c r="CV207" s="224"/>
      <c r="CW207" s="223">
        <f>(CO207+CP207+CQ207+CR207+CS207+CT207+CU207+CV207)/3</f>
        <v>12</v>
      </c>
      <c r="CX207" s="223">
        <f>2*CW207</f>
        <v>24</v>
      </c>
      <c r="CY207" s="224">
        <f>3*CW207</f>
        <v>36</v>
      </c>
      <c r="CZ207" s="237">
        <f t="shared" si="1511"/>
        <v>2304</v>
      </c>
      <c r="DA207" s="234">
        <f>CO207*CR207*KOslave+CO207*CHslave*CU207+MUslave*CR207*CU207</f>
        <v>3456</v>
      </c>
      <c r="DB207" s="224">
        <f>IFERROR(CO207^SIGN(CO207),1)*IFERROR(CP207^SIGN(CP207),1)*IFERROR(CQ207^SIGN(CQ207),1)*IFERROR(CR207^SIGN(CR207),1)*IFERROR(CS207^SIGN(CS207),1)*IFERROR(CT207^SIGN(CT207),1)*IFERROR(CU207^SIGN(CU207),1)*IFERROR(CV207^SIGN(CV207),1)</f>
        <v>1728</v>
      </c>
      <c r="DC207" s="224">
        <f t="shared" si="1567"/>
        <v>7488</v>
      </c>
      <c r="DD207" s="222">
        <f t="shared" si="1568"/>
        <v>3.6923076923076925</v>
      </c>
      <c r="DE207" s="223">
        <f t="shared" si="1569"/>
        <v>11.076923076923077</v>
      </c>
      <c r="DF207" s="243">
        <f t="shared" si="1570"/>
        <v>8.3076923076923084</v>
      </c>
      <c r="DG207" s="243">
        <f t="shared" si="1571"/>
        <v>23.07692307692308</v>
      </c>
      <c r="DH207" s="252">
        <f t="shared" si="1282"/>
        <v>0</v>
      </c>
      <c r="DI207" s="309">
        <f>DG207-DH207</f>
        <v>23.07692307692308</v>
      </c>
      <c r="DJ207" s="218">
        <f>IF(DG207&lt;=0,3,0)+IF(DG207&gt;0,DG207+1,0)*3+IF(DG207&gt;12,DG207-12,0)*3+IF(DG207&gt;13,DG207-13,0)*3+IF(DG207&gt;14,DG207-14,0)*3+IF(DG207&gt;15,DG207-15,0)*3+IF(DG207&gt;16,DG207-16,0)*3+IF(DG207&gt;17,DG207-17,0)*3+IF(DG207&gt;18,DG207-18,0)*3+IF(DG207&gt;19,DG207-19,0)*3+IF(DG207&gt;20,DG207-20,0)*3</f>
        <v>263.30769230769232</v>
      </c>
      <c r="DK207" s="242">
        <f>IF(DH207&lt;=0,3,0)+IF(DH207&gt;0,DH207+1,0)*3+IF(DH207&gt;12,DH207-12,0)*3+IF(DH207&gt;13,DH207-13,0)*3+IF(DH207&gt;14,DH207-14,0)*3+IF(DH207&gt;15,DH207-15,0)*3+IF(DH207&gt;16,DH207-16,0)*3+IF(DH207&gt;17,DH207-17,0)*3+IF(DH207&gt;18,DH207-18,0)*3+IF(DH207&gt;19,DH207-19,0)*3+IF(DH207&gt;20,DH207-20,0)*3</f>
        <v>3</v>
      </c>
      <c r="DL207" s="243">
        <f>IF((DJ207-DK207)&gt;0,DJ207-DK207,0)</f>
        <v>260.30769230769232</v>
      </c>
      <c r="DM207" s="218">
        <f>IF((DK207-DJ207)&gt;0,DK207-DJ207,0)</f>
        <v>0</v>
      </c>
      <c r="DO207" s="303" t="s">
        <v>402</v>
      </c>
      <c r="DP207" s="218" t="s">
        <v>227</v>
      </c>
      <c r="DQ207" s="243" t="s">
        <v>135</v>
      </c>
      <c r="DR207" s="237">
        <f>Konvention_1slave-MUslave</f>
        <v>12</v>
      </c>
      <c r="DS207" s="234"/>
      <c r="DT207" s="234"/>
      <c r="DU207" s="234">
        <f>Konvention_1slave-CHslave_CH</f>
        <v>11</v>
      </c>
      <c r="DV207" s="234"/>
      <c r="DW207" s="234"/>
      <c r="DX207" s="234">
        <f>Konvention_1slave-KOslave</f>
        <v>12</v>
      </c>
      <c r="DY207" s="224"/>
      <c r="DZ207" s="223">
        <f>(DR207+DS207+DT207+DU207+DV207+DW207+DX207+DY207)/3</f>
        <v>11.666666666666666</v>
      </c>
      <c r="EA207" s="223">
        <f>2*DZ207</f>
        <v>23.333333333333332</v>
      </c>
      <c r="EB207" s="224">
        <f>3*DZ207</f>
        <v>35</v>
      </c>
      <c r="EC207" s="237">
        <f t="shared" si="1512"/>
        <v>2432</v>
      </c>
      <c r="ED207" s="234">
        <f>DR207*DU207*KOslave+DR207*CHslave_CH*DX207+MUslave*DU207*DX207</f>
        <v>3408</v>
      </c>
      <c r="EE207" s="224">
        <f>IFERROR(DR207^SIGN(DR207),1)*IFERROR(DS207^SIGN(DS207),1)*IFERROR(DT207^SIGN(DT207),1)*IFERROR(DU207^SIGN(DU207),1)*IFERROR(DV207^SIGN(DV207),1)*IFERROR(DW207^SIGN(DW207),1)*IFERROR(DX207^SIGN(DX207),1)*IFERROR(DY207^SIGN(DY207),1)</f>
        <v>1584</v>
      </c>
      <c r="EF207" s="224">
        <f t="shared" si="1572"/>
        <v>7424</v>
      </c>
      <c r="EG207" s="222">
        <f t="shared" si="1573"/>
        <v>3.8218390804597702</v>
      </c>
      <c r="EH207" s="223">
        <f t="shared" si="1574"/>
        <v>10.711206896551724</v>
      </c>
      <c r="EI207" s="243">
        <f t="shared" si="1575"/>
        <v>7.4676724137931032</v>
      </c>
      <c r="EJ207" s="243">
        <f t="shared" si="1576"/>
        <v>22.000718390804597</v>
      </c>
      <c r="EK207" s="252">
        <f t="shared" si="1293"/>
        <v>0</v>
      </c>
      <c r="EL207" s="309">
        <f>EJ207-EK207</f>
        <v>22.000718390804597</v>
      </c>
      <c r="EM207" s="218">
        <f>IF(EJ207&lt;=0,3,0)+IF(EJ207&gt;0,EJ207+1,0)*3+IF(EJ207&gt;12,EJ207-12,0)*3+IF(EJ207&gt;13,EJ207-13,0)*3+IF(EJ207&gt;14,EJ207-14,0)*3+IF(EJ207&gt;15,EJ207-15,0)*3+IF(EJ207&gt;16,EJ207-16,0)*3+IF(EJ207&gt;17,EJ207-17,0)*3+IF(EJ207&gt;18,EJ207-18,0)*3+IF(EJ207&gt;19,EJ207-19,0)*3+IF(EJ207&gt;20,EJ207-20,0)*3</f>
        <v>231.02155172413785</v>
      </c>
      <c r="EN207" s="242">
        <f>IF(EK207&lt;=0,3,0)+IF(EK207&gt;0,EK207+1,0)*3+IF(EK207&gt;12,EK207-12,0)*3+IF(EK207&gt;13,EK207-13,0)*3+IF(EK207&gt;14,EK207-14,0)*3+IF(EK207&gt;15,EK207-15,0)*3+IF(EK207&gt;16,EK207-16,0)*3+IF(EK207&gt;17,EK207-17,0)*3+IF(EK207&gt;18,EK207-18,0)*3+IF(EK207&gt;19,EK207-19,0)*3+IF(EK207&gt;20,EK207-20,0)*3</f>
        <v>3</v>
      </c>
      <c r="EO207" s="243">
        <f>IF((EM207-EN207)&gt;0,EM207-EN207,0)</f>
        <v>228.02155172413785</v>
      </c>
      <c r="EP207" s="218">
        <f>IF((EN207-EM207)&gt;0,EN207-EM207,0)</f>
        <v>0</v>
      </c>
      <c r="ER207" s="303" t="s">
        <v>402</v>
      </c>
      <c r="ES207" s="218" t="s">
        <v>227</v>
      </c>
      <c r="ET207" s="243" t="s">
        <v>135</v>
      </c>
      <c r="EU207" s="237">
        <f>Konvention_1slave-MUslave</f>
        <v>12</v>
      </c>
      <c r="EV207" s="234"/>
      <c r="EW207" s="234"/>
      <c r="EX207" s="234">
        <f>Konvention_1slave-CHslave</f>
        <v>12</v>
      </c>
      <c r="EY207" s="234"/>
      <c r="EZ207" s="234"/>
      <c r="FA207" s="234">
        <f>Konvention_1slave-KOslave</f>
        <v>12</v>
      </c>
      <c r="FB207" s="224"/>
      <c r="FC207" s="223">
        <f>(EU207+EV207+EW207+EX207+EY207+EZ207+FA207+FB207)/3</f>
        <v>12</v>
      </c>
      <c r="FD207" s="223">
        <f>2*FC207</f>
        <v>24</v>
      </c>
      <c r="FE207" s="224">
        <f>3*FC207</f>
        <v>36</v>
      </c>
      <c r="FF207" s="237">
        <f t="shared" si="1513"/>
        <v>2304</v>
      </c>
      <c r="FG207" s="234">
        <f>EU207*EX207*KOslave+EU207*CHslave*FA207+MUslave*EX207*FA207</f>
        <v>3456</v>
      </c>
      <c r="FH207" s="224">
        <f>IFERROR(EU207^SIGN(EU207),1)*IFERROR(EV207^SIGN(EV207),1)*IFERROR(EW207^SIGN(EW207),1)*IFERROR(EX207^SIGN(EX207),1)*IFERROR(EY207^SIGN(EY207),1)*IFERROR(EZ207^SIGN(EZ207),1)*IFERROR(FA207^SIGN(FA207),1)*IFERROR(FB207^SIGN(FB207),1)</f>
        <v>1728</v>
      </c>
      <c r="FI207" s="224">
        <f t="shared" si="1577"/>
        <v>7488</v>
      </c>
      <c r="FJ207" s="222">
        <f t="shared" si="1578"/>
        <v>3.6923076923076925</v>
      </c>
      <c r="FK207" s="223">
        <f t="shared" si="1579"/>
        <v>11.076923076923077</v>
      </c>
      <c r="FL207" s="243">
        <f t="shared" si="1580"/>
        <v>8.3076923076923084</v>
      </c>
      <c r="FM207" s="243">
        <f t="shared" si="1581"/>
        <v>23.07692307692308</v>
      </c>
      <c r="FN207" s="252">
        <f t="shared" si="1304"/>
        <v>0</v>
      </c>
      <c r="FO207" s="309">
        <f>FM207-FN207</f>
        <v>23.07692307692308</v>
      </c>
      <c r="FP207" s="218">
        <f>IF(FM207&lt;=0,3,0)+IF(FM207&gt;0,FM207+1,0)*3+IF(FM207&gt;12,FM207-12,0)*3+IF(FM207&gt;13,FM207-13,0)*3+IF(FM207&gt;14,FM207-14,0)*3+IF(FM207&gt;15,FM207-15,0)*3+IF(FM207&gt;16,FM207-16,0)*3+IF(FM207&gt;17,FM207-17,0)*3+IF(FM207&gt;18,FM207-18,0)*3+IF(FM207&gt;19,FM207-19,0)*3+IF(FM207&gt;20,FM207-20,0)*3</f>
        <v>263.30769230769232</v>
      </c>
      <c r="FQ207" s="242">
        <f>IF(FN207&lt;=0,3,0)+IF(FN207&gt;0,FN207+1,0)*3+IF(FN207&gt;12,FN207-12,0)*3+IF(FN207&gt;13,FN207-13,0)*3+IF(FN207&gt;14,FN207-14,0)*3+IF(FN207&gt;15,FN207-15,0)*3+IF(FN207&gt;16,FN207-16,0)*3+IF(FN207&gt;17,FN207-17,0)*3+IF(FN207&gt;18,FN207-18,0)*3+IF(FN207&gt;19,FN207-19,0)*3+IF(FN207&gt;20,FN207-20,0)*3</f>
        <v>3</v>
      </c>
      <c r="FR207" s="243">
        <f>IF((FP207-FQ207)&gt;0,FP207-FQ207,0)</f>
        <v>260.30769230769232</v>
      </c>
      <c r="FS207" s="218">
        <f>IF((FQ207-FP207)&gt;0,FQ207-FP207,0)</f>
        <v>0</v>
      </c>
      <c r="FU207" s="303" t="s">
        <v>402</v>
      </c>
      <c r="FV207" s="218" t="s">
        <v>227</v>
      </c>
      <c r="FW207" s="243" t="s">
        <v>135</v>
      </c>
      <c r="FX207" s="237">
        <f>Konvention_1slave-MUslave</f>
        <v>12</v>
      </c>
      <c r="FY207" s="234"/>
      <c r="FZ207" s="234"/>
      <c r="GA207" s="234">
        <f>Konvention_1slave-CHslave</f>
        <v>12</v>
      </c>
      <c r="GB207" s="234"/>
      <c r="GC207" s="234"/>
      <c r="GD207" s="234">
        <f>Konvention_1slave-KOslave</f>
        <v>12</v>
      </c>
      <c r="GE207" s="224"/>
      <c r="GF207" s="223">
        <f>(FX207+FY207+FZ207+GA207+GB207+GC207+GD207+GE207)/3</f>
        <v>12</v>
      </c>
      <c r="GG207" s="223">
        <f>2*GF207</f>
        <v>24</v>
      </c>
      <c r="GH207" s="224">
        <f>3*GF207</f>
        <v>36</v>
      </c>
      <c r="GI207" s="237">
        <f t="shared" si="1514"/>
        <v>2304</v>
      </c>
      <c r="GJ207" s="234">
        <f>FX207*GA207*KOslave+FX207*CHslave*GD207+MUslave*GA207*GD207</f>
        <v>3456</v>
      </c>
      <c r="GK207" s="224">
        <f>IFERROR(FX207^SIGN(FX207),1)*IFERROR(FY207^SIGN(FY207),1)*IFERROR(FZ207^SIGN(FZ207),1)*IFERROR(GA207^SIGN(GA207),1)*IFERROR(GB207^SIGN(GB207),1)*IFERROR(GC207^SIGN(GC207),1)*IFERROR(GD207^SIGN(GD207),1)*IFERROR(GE207^SIGN(GE207),1)</f>
        <v>1728</v>
      </c>
      <c r="GL207" s="224">
        <f t="shared" si="1582"/>
        <v>7488</v>
      </c>
      <c r="GM207" s="222">
        <f t="shared" si="1583"/>
        <v>3.6923076923076925</v>
      </c>
      <c r="GN207" s="223">
        <f t="shared" si="1584"/>
        <v>11.076923076923077</v>
      </c>
      <c r="GO207" s="243">
        <f t="shared" si="1585"/>
        <v>8.3076923076923084</v>
      </c>
      <c r="GP207" s="243">
        <f t="shared" si="1586"/>
        <v>23.07692307692308</v>
      </c>
      <c r="GQ207" s="252">
        <f t="shared" si="1315"/>
        <v>0</v>
      </c>
      <c r="GR207" s="309">
        <f>GP207-GQ207</f>
        <v>23.07692307692308</v>
      </c>
      <c r="GS207" s="218">
        <f>IF(GP207&lt;=0,3,0)+IF(GP207&gt;0,GP207+1,0)*3+IF(GP207&gt;12,GP207-12,0)*3+IF(GP207&gt;13,GP207-13,0)*3+IF(GP207&gt;14,GP207-14,0)*3+IF(GP207&gt;15,GP207-15,0)*3+IF(GP207&gt;16,GP207-16,0)*3+IF(GP207&gt;17,GP207-17,0)*3+IF(GP207&gt;18,GP207-18,0)*3+IF(GP207&gt;19,GP207-19,0)*3+IF(GP207&gt;20,GP207-20,0)*3</f>
        <v>263.30769230769232</v>
      </c>
      <c r="GT207" s="242">
        <f>IF(GQ207&lt;=0,3,0)+IF(GQ207&gt;0,GQ207+1,0)*3+IF(GQ207&gt;12,GQ207-12,0)*3+IF(GQ207&gt;13,GQ207-13,0)*3+IF(GQ207&gt;14,GQ207-14,0)*3+IF(GQ207&gt;15,GQ207-15,0)*3+IF(GQ207&gt;16,GQ207-16,0)*3+IF(GQ207&gt;17,GQ207-17,0)*3+IF(GQ207&gt;18,GQ207-18,0)*3+IF(GQ207&gt;19,GQ207-19,0)*3+IF(GQ207&gt;20,GQ207-20,0)*3</f>
        <v>3</v>
      </c>
      <c r="GU207" s="243">
        <f>IF((GS207-GT207)&gt;0,GS207-GT207,0)</f>
        <v>260.30769230769232</v>
      </c>
      <c r="GV207" s="218">
        <f>IF((GT207-GS207)&gt;0,GT207-GS207,0)</f>
        <v>0</v>
      </c>
      <c r="GX207" s="303" t="s">
        <v>402</v>
      </c>
      <c r="GY207" s="218" t="s">
        <v>227</v>
      </c>
      <c r="GZ207" s="243" t="s">
        <v>135</v>
      </c>
      <c r="HA207" s="237">
        <f>Konvention_1slave-MUslave</f>
        <v>12</v>
      </c>
      <c r="HB207" s="234"/>
      <c r="HC207" s="234"/>
      <c r="HD207" s="234">
        <f>Konvention_1slave-CHslave</f>
        <v>12</v>
      </c>
      <c r="HE207" s="234"/>
      <c r="HF207" s="234"/>
      <c r="HG207" s="234">
        <f>Konvention_1slave-KOslave_KO</f>
        <v>11</v>
      </c>
      <c r="HH207" s="224"/>
      <c r="HI207" s="223">
        <f>(HA207+HB207+HC207+HD207+HE207+HF207+HG207+HH207)/3</f>
        <v>11.666666666666666</v>
      </c>
      <c r="HJ207" s="223">
        <f>2*HI207</f>
        <v>23.333333333333332</v>
      </c>
      <c r="HK207" s="224">
        <f>3*HI207</f>
        <v>35</v>
      </c>
      <c r="HL207" s="237">
        <f t="shared" si="1515"/>
        <v>2432</v>
      </c>
      <c r="HM207" s="234">
        <f>HA207*HD207*KOslave_KO+HA207*CHslave*HG207+MUslave*HD207*HG207</f>
        <v>3408</v>
      </c>
      <c r="HN207" s="224">
        <f>IFERROR(HA207^SIGN(HA207),1)*IFERROR(HB207^SIGN(HB207),1)*IFERROR(HC207^SIGN(HC207),1)*IFERROR(HD207^SIGN(HD207),1)*IFERROR(HE207^SIGN(HE207),1)*IFERROR(HF207^SIGN(HF207),1)*IFERROR(HG207^SIGN(HG207),1)*IFERROR(HH207^SIGN(HH207),1)</f>
        <v>1584</v>
      </c>
      <c r="HO207" s="224">
        <f t="shared" si="1587"/>
        <v>7424</v>
      </c>
      <c r="HP207" s="222">
        <f t="shared" si="1588"/>
        <v>3.8218390804597702</v>
      </c>
      <c r="HQ207" s="223">
        <f t="shared" si="1589"/>
        <v>10.711206896551724</v>
      </c>
      <c r="HR207" s="243">
        <f t="shared" si="1590"/>
        <v>7.4676724137931032</v>
      </c>
      <c r="HS207" s="243">
        <f t="shared" si="1591"/>
        <v>22.000718390804597</v>
      </c>
      <c r="HT207" s="252">
        <f t="shared" si="1326"/>
        <v>0</v>
      </c>
      <c r="HU207" s="309">
        <f>HS207-HT207</f>
        <v>22.000718390804597</v>
      </c>
      <c r="HV207" s="218">
        <f>IF(HS207&lt;=0,3,0)+IF(HS207&gt;0,HS207+1,0)*3+IF(HS207&gt;12,HS207-12,0)*3+IF(HS207&gt;13,HS207-13,0)*3+IF(HS207&gt;14,HS207-14,0)*3+IF(HS207&gt;15,HS207-15,0)*3+IF(HS207&gt;16,HS207-16,0)*3+IF(HS207&gt;17,HS207-17,0)*3+IF(HS207&gt;18,HS207-18,0)*3+IF(HS207&gt;19,HS207-19,0)*3+IF(HS207&gt;20,HS207-20,0)*3</f>
        <v>231.02155172413785</v>
      </c>
      <c r="HW207" s="242">
        <f>IF(HT207&lt;=0,3,0)+IF(HT207&gt;0,HT207+1,0)*3+IF(HT207&gt;12,HT207-12,0)*3+IF(HT207&gt;13,HT207-13,0)*3+IF(HT207&gt;14,HT207-14,0)*3+IF(HT207&gt;15,HT207-15,0)*3+IF(HT207&gt;16,HT207-16,0)*3+IF(HT207&gt;17,HT207-17,0)*3+IF(HT207&gt;18,HT207-18,0)*3+IF(HT207&gt;19,HT207-19,0)*3+IF(HT207&gt;20,HT207-20,0)*3</f>
        <v>3</v>
      </c>
      <c r="HX207" s="243">
        <f>IF((HV207-HW207)&gt;0,HV207-HW207,0)</f>
        <v>228.02155172413785</v>
      </c>
      <c r="HY207" s="218">
        <f>IF((HW207-HV207)&gt;0,HW207-HV207,0)</f>
        <v>0</v>
      </c>
      <c r="IA207" s="303" t="s">
        <v>402</v>
      </c>
      <c r="IB207" s="218" t="s">
        <v>227</v>
      </c>
      <c r="IC207" s="243" t="s">
        <v>135</v>
      </c>
      <c r="ID207" s="237">
        <f>Konvention_1slave-MUslave</f>
        <v>12</v>
      </c>
      <c r="IE207" s="234"/>
      <c r="IF207" s="234"/>
      <c r="IG207" s="234">
        <f>Konvention_1slave-CHslave</f>
        <v>12</v>
      </c>
      <c r="IH207" s="234"/>
      <c r="II207" s="234"/>
      <c r="IJ207" s="234">
        <f>Konvention_1slave-KOslave</f>
        <v>12</v>
      </c>
      <c r="IK207" s="224"/>
      <c r="IL207" s="223">
        <f>(ID207+IE207+IF207+IG207+IH207+II207+IJ207+IK207)/3</f>
        <v>12</v>
      </c>
      <c r="IM207" s="223">
        <f>2*IL207</f>
        <v>24</v>
      </c>
      <c r="IN207" s="224">
        <f>3*IL207</f>
        <v>36</v>
      </c>
      <c r="IO207" s="237">
        <f t="shared" si="1516"/>
        <v>2304</v>
      </c>
      <c r="IP207" s="234">
        <f>ID207*IG207*KOslave+ID207*CHslave*IJ207+MUslave*IG207*IJ207</f>
        <v>3456</v>
      </c>
      <c r="IQ207" s="224">
        <f>IFERROR(ID207^SIGN(ID207),1)*IFERROR(IE207^SIGN(IE207),1)*IFERROR(IF207^SIGN(IF207),1)*IFERROR(IG207^SIGN(IG207),1)*IFERROR(IH207^SIGN(IH207),1)*IFERROR(II207^SIGN(II207),1)*IFERROR(IJ207^SIGN(IJ207),1)*IFERROR(IK207^SIGN(IK207),1)</f>
        <v>1728</v>
      </c>
      <c r="IR207" s="224">
        <f t="shared" si="1592"/>
        <v>7488</v>
      </c>
      <c r="IS207" s="222">
        <f t="shared" si="1593"/>
        <v>3.6923076923076925</v>
      </c>
      <c r="IT207" s="223">
        <f t="shared" si="1594"/>
        <v>11.076923076923077</v>
      </c>
      <c r="IU207" s="243">
        <f t="shared" si="1595"/>
        <v>8.3076923076923084</v>
      </c>
      <c r="IV207" s="243">
        <f t="shared" si="1596"/>
        <v>23.07692307692308</v>
      </c>
      <c r="IW207" s="252">
        <f t="shared" si="1337"/>
        <v>0</v>
      </c>
      <c r="IX207" s="309">
        <f>IV207-IW207</f>
        <v>23.07692307692308</v>
      </c>
      <c r="IY207" s="218">
        <f>IF(IV207&lt;=0,3,0)+IF(IV207&gt;0,IV207+1,0)*3+IF(IV207&gt;12,IV207-12,0)*3+IF(IV207&gt;13,IV207-13,0)*3+IF(IV207&gt;14,IV207-14,0)*3+IF(IV207&gt;15,IV207-15,0)*3+IF(IV207&gt;16,IV207-16,0)*3+IF(IV207&gt;17,IV207-17,0)*3+IF(IV207&gt;18,IV207-18,0)*3+IF(IV207&gt;19,IV207-19,0)*3+IF(IV207&gt;20,IV207-20,0)*3</f>
        <v>263.30769230769232</v>
      </c>
      <c r="IZ207" s="242">
        <f>IF(IW207&lt;=0,3,0)+IF(IW207&gt;0,IW207+1,0)*3+IF(IW207&gt;12,IW207-12,0)*3+IF(IW207&gt;13,IW207-13,0)*3+IF(IW207&gt;14,IW207-14,0)*3+IF(IW207&gt;15,IW207-15,0)*3+IF(IW207&gt;16,IW207-16,0)*3+IF(IW207&gt;17,IW207-17,0)*3+IF(IW207&gt;18,IW207-18,0)*3+IF(IW207&gt;19,IW207-19,0)*3+IF(IW207&gt;20,IW207-20,0)*3</f>
        <v>3</v>
      </c>
      <c r="JA207" s="243">
        <f>IF((IY207-IZ207)&gt;0,IY207-IZ207,0)</f>
        <v>260.30769230769232</v>
      </c>
      <c r="JB207" s="218">
        <f>IF((IZ207-IY207)&gt;0,IZ207-IY207,0)</f>
        <v>0</v>
      </c>
      <c r="JE207" s="148"/>
    </row>
    <row r="208" spans="2:265" hidden="1" outlineLevel="2">
      <c r="B208" s="148">
        <v>56</v>
      </c>
      <c r="C208" s="303" t="e">
        <f>VLOOKUP(AF208,Attribute!C:T,1,FALSE)</f>
        <v>#N/A</v>
      </c>
      <c r="D208" s="125" t="s">
        <v>84</v>
      </c>
      <c r="E208" s="127" t="s">
        <v>132</v>
      </c>
      <c r="F208" s="114">
        <f>Konvention_1master-MUmaster</f>
        <v>12</v>
      </c>
      <c r="G208" s="113">
        <f>Konvention_1master-KLmaster</f>
        <v>12</v>
      </c>
      <c r="H208" s="113"/>
      <c r="I208" s="113">
        <f>Konvention_1master-CHmaster</f>
        <v>12</v>
      </c>
      <c r="J208" s="113"/>
      <c r="K208" s="113"/>
      <c r="L208" s="113"/>
      <c r="M208" s="119"/>
      <c r="N208" s="223">
        <f>(F208+G208+H208+I208+J208+K208+L208+M208)/3</f>
        <v>12</v>
      </c>
      <c r="O208" s="223">
        <f>2*N208</f>
        <v>24</v>
      </c>
      <c r="P208" s="224">
        <f>3*N208</f>
        <v>36</v>
      </c>
      <c r="Q208" s="237">
        <f t="shared" si="1508"/>
        <v>2304</v>
      </c>
      <c r="R208" s="113">
        <f>F208*G208*CHmaster+F208*KLmaster*I208+MUmaster*G208*I208</f>
        <v>3456</v>
      </c>
      <c r="S208" s="224">
        <f>IFERROR(F208^SIGN(F208),1)*IFERROR(G208^SIGN(G208),1)*IFERROR(H208^SIGN(H208),1)*IFERROR(I208^SIGN(I208),1)*IFERROR(J208^SIGN(J208),1)*IFERROR(K208^SIGN(K208),1)*IFERROR(L208^SIGN(L208),1)*IFERROR(M208^SIGN(M208),1)</f>
        <v>1728</v>
      </c>
      <c r="T208" s="224">
        <f t="shared" si="1507"/>
        <v>7488</v>
      </c>
      <c r="U208" s="222">
        <f t="shared" si="1552"/>
        <v>3.6923076923076925</v>
      </c>
      <c r="V208" s="223">
        <f t="shared" si="1553"/>
        <v>11.076923076923077</v>
      </c>
      <c r="W208" s="243">
        <f t="shared" si="1554"/>
        <v>8.3076923076923084</v>
      </c>
      <c r="X208" s="243">
        <f t="shared" si="1555"/>
        <v>23.07692307692308</v>
      </c>
      <c r="Y208" s="252">
        <v>0</v>
      </c>
      <c r="Z208" s="198">
        <f t="shared" si="1556"/>
        <v>23.07692307692308</v>
      </c>
      <c r="AA208" s="125">
        <f>IF(X208&lt;=0,2,0)+IF(X208&gt;0,X208+1,0)*2+IF(X208&gt;12,X208-12,0)*2+IF(X208&gt;13,X208-13,0)*2+IF(X208&gt;14,X208-14,0)*2+IF(X208&gt;15,X208-15,0)*2+IF(X208&gt;16,X208-16,0)*2+IF(X208&gt;17,X208-17,0)*2+IF(X208&gt;18,X208-18,0)*2+IF(X208&gt;19,X208-19,0)*2+IF(X208&gt;20,X208-20,0)*2</f>
        <v>175.5384615384616</v>
      </c>
      <c r="AB208" s="160">
        <f>IF(Y208&lt;=0,2,0)+IF(Y208&gt;0,Y208+1,0)*2+IF(Y208&gt;12,Y208-12,0)*2+IF(Y208&gt;13,Y208-13,0)*2+IF(Y208&gt;14,Y208-14,0)*2+IF(Y208&gt;15,Y208-15,0)*2+IF(Y208&gt;16,Y208-16,0)*2+IF(Y208&gt;17,Y208-17,0)*2+IF(Y208&gt;18,Y208-18,0)*2+IF(Y208&gt;19,Y208-19,0)*2+IF(Y208&gt;20,Y208-20,0)*2</f>
        <v>2</v>
      </c>
      <c r="AC208" s="127">
        <f>IF((AA208-AB208)&gt;0,AA208-AB208,0)</f>
        <v>173.5384615384616</v>
      </c>
      <c r="AD208" s="125">
        <f>IF((AB208-AA208)&gt;0,AB208-AA208,0)</f>
        <v>0</v>
      </c>
      <c r="AF208" s="163" t="s">
        <v>403</v>
      </c>
      <c r="AG208" s="125" t="s">
        <v>84</v>
      </c>
      <c r="AH208" s="127" t="s">
        <v>132</v>
      </c>
      <c r="AI208" s="114">
        <f>Konvention_1slave-MUslave_MU</f>
        <v>11</v>
      </c>
      <c r="AJ208" s="113">
        <f>Konvention_1slave-KLslave</f>
        <v>12</v>
      </c>
      <c r="AK208" s="113"/>
      <c r="AL208" s="113">
        <f>Konvention_1slave-CHslave</f>
        <v>12</v>
      </c>
      <c r="AM208" s="113"/>
      <c r="AN208" s="113"/>
      <c r="AO208" s="113"/>
      <c r="AP208" s="119"/>
      <c r="AQ208" s="47">
        <f>(AI208+AJ208+AK208+AL208+AM208+AN208+AO208+AP208)/3</f>
        <v>11.666666666666666</v>
      </c>
      <c r="AR208" s="47">
        <f>2*AQ208</f>
        <v>23.333333333333332</v>
      </c>
      <c r="AS208" s="119">
        <f>3*AQ208</f>
        <v>35</v>
      </c>
      <c r="AT208" s="114">
        <f t="shared" si="1509"/>
        <v>2432</v>
      </c>
      <c r="AU208" s="113">
        <f>AI208*AJ208*CHslave+AI208*KLslave*AL208+MUslave_MU*AJ208*AL208</f>
        <v>3408</v>
      </c>
      <c r="AV208" s="119">
        <f>IFERROR(AI208^SIGN(AI208),1)*IFERROR(AJ208^SIGN(AJ208),1)*IFERROR(AK208^SIGN(AK208),1)*IFERROR(AL208^SIGN(AL208),1)*IFERROR(AM208^SIGN(AM208),1)*IFERROR(AN208^SIGN(AN208),1)*IFERROR(AO208^SIGN(AO208),1)*IFERROR(AP208^SIGN(AP208),1)</f>
        <v>1584</v>
      </c>
      <c r="AW208" s="119">
        <f t="shared" si="1557"/>
        <v>7424</v>
      </c>
      <c r="AX208" s="89">
        <f t="shared" si="1558"/>
        <v>3.8218390804597702</v>
      </c>
      <c r="AY208" s="47">
        <f t="shared" si="1559"/>
        <v>10.711206896551724</v>
      </c>
      <c r="AZ208" s="127">
        <f t="shared" si="1560"/>
        <v>7.4676724137931032</v>
      </c>
      <c r="BA208" s="127">
        <f t="shared" si="1561"/>
        <v>22.000718390804597</v>
      </c>
      <c r="BB208" s="165">
        <f t="shared" si="1260"/>
        <v>0</v>
      </c>
      <c r="BC208" s="198">
        <f>BA208-BB208</f>
        <v>22.000718390804597</v>
      </c>
      <c r="BD208" s="125">
        <f>IF(BA208&lt;=0,2,0)+IF(BA208&gt;0,BA208+1,0)*2+IF(BA208&gt;12,BA208-12,0)*2+IF(BA208&gt;13,BA208-13,0)*2+IF(BA208&gt;14,BA208-14,0)*2+IF(BA208&gt;15,BA208-15,0)*2+IF(BA208&gt;16,BA208-16,0)*2+IF(BA208&gt;17,BA208-17,0)*2+IF(BA208&gt;18,BA208-18,0)*2+IF(BA208&gt;19,BA208-19,0)*2+IF(BA208&gt;20,BA208-20,0)*2</f>
        <v>154.01436781609189</v>
      </c>
      <c r="BE208" s="160">
        <f>IF(BB208&lt;=0,2,0)+IF(BB208&gt;0,BB208+1,0)*2+IF(BB208&gt;12,BB208-12,0)*2+IF(BB208&gt;13,BB208-13,0)*2+IF(BB208&gt;14,BB208-14,0)*2+IF(BB208&gt;15,BB208-15,0)*2+IF(BB208&gt;16,BB208-16,0)*2+IF(BB208&gt;17,BB208-17,0)*2+IF(BB208&gt;18,BB208-18,0)*2+IF(BB208&gt;19,BB208-19,0)*2+IF(BB208&gt;20,BB208-20,0)*2</f>
        <v>2</v>
      </c>
      <c r="BF208" s="243">
        <f>IF((BD208-BE208)&gt;0,BD208-BE208,0)</f>
        <v>152.01436781609189</v>
      </c>
      <c r="BG208" s="218">
        <f>IF((BE208-BD208)&gt;0,BE208-BD208,0)</f>
        <v>0</v>
      </c>
      <c r="BI208" s="303" t="s">
        <v>403</v>
      </c>
      <c r="BJ208" s="218" t="s">
        <v>84</v>
      </c>
      <c r="BK208" s="243" t="s">
        <v>132</v>
      </c>
      <c r="BL208" s="237">
        <f>Konvention_1slave-MUslave</f>
        <v>12</v>
      </c>
      <c r="BM208" s="234">
        <f>Konvention_1slave-KLslave_KL</f>
        <v>11</v>
      </c>
      <c r="BN208" s="234"/>
      <c r="BO208" s="234">
        <f>Konvention_1slave-CHslave</f>
        <v>12</v>
      </c>
      <c r="BP208" s="234"/>
      <c r="BQ208" s="234"/>
      <c r="BR208" s="234"/>
      <c r="BS208" s="224"/>
      <c r="BT208" s="223">
        <f>(BL208+BM208+BN208+BO208+BP208+BQ208+BR208+BS208)/3</f>
        <v>11.666666666666666</v>
      </c>
      <c r="BU208" s="223">
        <f>2*BT208</f>
        <v>23.333333333333332</v>
      </c>
      <c r="BV208" s="224">
        <f>3*BT208</f>
        <v>35</v>
      </c>
      <c r="BW208" s="237">
        <f t="shared" si="1510"/>
        <v>2432</v>
      </c>
      <c r="BX208" s="234">
        <f>BL208*BM208*CHslave+BL208*KLslave_KL*BO208+MUslave*BM208*BO208</f>
        <v>3408</v>
      </c>
      <c r="BY208" s="224">
        <f>IFERROR(BL208^SIGN(BL208),1)*IFERROR(BM208^SIGN(BM208),1)*IFERROR(BN208^SIGN(BN208),1)*IFERROR(BO208^SIGN(BO208),1)*IFERROR(BP208^SIGN(BP208),1)*IFERROR(BQ208^SIGN(BQ208),1)*IFERROR(BR208^SIGN(BR208),1)*IFERROR(BS208^SIGN(BS208),1)</f>
        <v>1584</v>
      </c>
      <c r="BZ208" s="224">
        <f t="shared" si="1562"/>
        <v>7424</v>
      </c>
      <c r="CA208" s="222">
        <f t="shared" si="1563"/>
        <v>3.8218390804597702</v>
      </c>
      <c r="CB208" s="223">
        <f t="shared" si="1564"/>
        <v>10.711206896551724</v>
      </c>
      <c r="CC208" s="243">
        <f t="shared" si="1565"/>
        <v>7.4676724137931032</v>
      </c>
      <c r="CD208" s="243">
        <f t="shared" si="1566"/>
        <v>22.000718390804597</v>
      </c>
      <c r="CE208" s="252">
        <f t="shared" si="1271"/>
        <v>0</v>
      </c>
      <c r="CF208" s="309">
        <f>CD208-CE208</f>
        <v>22.000718390804597</v>
      </c>
      <c r="CG208" s="218">
        <f>IF(CD208&lt;=0,2,0)+IF(CD208&gt;0,CD208+1,0)*2+IF(CD208&gt;12,CD208-12,0)*2+IF(CD208&gt;13,CD208-13,0)*2+IF(CD208&gt;14,CD208-14,0)*2+IF(CD208&gt;15,CD208-15,0)*2+IF(CD208&gt;16,CD208-16,0)*2+IF(CD208&gt;17,CD208-17,0)*2+IF(CD208&gt;18,CD208-18,0)*2+IF(CD208&gt;19,CD208-19,0)*2+IF(CD208&gt;20,CD208-20,0)*2</f>
        <v>154.01436781609189</v>
      </c>
      <c r="CH208" s="242">
        <f>IF(CE208&lt;=0,2,0)+IF(CE208&gt;0,CE208+1,0)*2+IF(CE208&gt;12,CE208-12,0)*2+IF(CE208&gt;13,CE208-13,0)*2+IF(CE208&gt;14,CE208-14,0)*2+IF(CE208&gt;15,CE208-15,0)*2+IF(CE208&gt;16,CE208-16,0)*2+IF(CE208&gt;17,CE208-17,0)*2+IF(CE208&gt;18,CE208-18,0)*2+IF(CE208&gt;19,CE208-19,0)*2+IF(CE208&gt;20,CE208-20,0)*2</f>
        <v>2</v>
      </c>
      <c r="CI208" s="243">
        <f>IF((CG208-CH208)&gt;0,CG208-CH208,0)</f>
        <v>152.01436781609189</v>
      </c>
      <c r="CJ208" s="218">
        <f>IF((CH208-CG208)&gt;0,CH208-CG208,0)</f>
        <v>0</v>
      </c>
      <c r="CL208" s="303" t="s">
        <v>403</v>
      </c>
      <c r="CM208" s="218" t="s">
        <v>84</v>
      </c>
      <c r="CN208" s="243" t="s">
        <v>132</v>
      </c>
      <c r="CO208" s="237">
        <f>Konvention_1slave-MUslave</f>
        <v>12</v>
      </c>
      <c r="CP208" s="234">
        <f>Konvention_1slave-KLslave</f>
        <v>12</v>
      </c>
      <c r="CQ208" s="234"/>
      <c r="CR208" s="234">
        <f>Konvention_1slave-CHslave</f>
        <v>12</v>
      </c>
      <c r="CS208" s="234"/>
      <c r="CT208" s="234"/>
      <c r="CU208" s="234"/>
      <c r="CV208" s="224"/>
      <c r="CW208" s="223">
        <f>(CO208+CP208+CQ208+CR208+CS208+CT208+CU208+CV208)/3</f>
        <v>12</v>
      </c>
      <c r="CX208" s="223">
        <f>2*CW208</f>
        <v>24</v>
      </c>
      <c r="CY208" s="224">
        <f>3*CW208</f>
        <v>36</v>
      </c>
      <c r="CZ208" s="237">
        <f t="shared" si="1511"/>
        <v>2304</v>
      </c>
      <c r="DA208" s="234">
        <f>CO208*CP208*CHslave+CO208*KLslave*CR208+MUslave*CP208*CR208</f>
        <v>3456</v>
      </c>
      <c r="DB208" s="224">
        <f>IFERROR(CO208^SIGN(CO208),1)*IFERROR(CP208^SIGN(CP208),1)*IFERROR(CQ208^SIGN(CQ208),1)*IFERROR(CR208^SIGN(CR208),1)*IFERROR(CS208^SIGN(CS208),1)*IFERROR(CT208^SIGN(CT208),1)*IFERROR(CU208^SIGN(CU208),1)*IFERROR(CV208^SIGN(CV208),1)</f>
        <v>1728</v>
      </c>
      <c r="DC208" s="224">
        <f t="shared" si="1567"/>
        <v>7488</v>
      </c>
      <c r="DD208" s="222">
        <f t="shared" si="1568"/>
        <v>3.6923076923076925</v>
      </c>
      <c r="DE208" s="223">
        <f t="shared" si="1569"/>
        <v>11.076923076923077</v>
      </c>
      <c r="DF208" s="243">
        <f t="shared" si="1570"/>
        <v>8.3076923076923084</v>
      </c>
      <c r="DG208" s="243">
        <f t="shared" si="1571"/>
        <v>23.07692307692308</v>
      </c>
      <c r="DH208" s="252">
        <f t="shared" si="1282"/>
        <v>0</v>
      </c>
      <c r="DI208" s="309">
        <f>DG208-DH208</f>
        <v>23.07692307692308</v>
      </c>
      <c r="DJ208" s="218">
        <f>IF(DG208&lt;=0,2,0)+IF(DG208&gt;0,DG208+1,0)*2+IF(DG208&gt;12,DG208-12,0)*2+IF(DG208&gt;13,DG208-13,0)*2+IF(DG208&gt;14,DG208-14,0)*2+IF(DG208&gt;15,DG208-15,0)*2+IF(DG208&gt;16,DG208-16,0)*2+IF(DG208&gt;17,DG208-17,0)*2+IF(DG208&gt;18,DG208-18,0)*2+IF(DG208&gt;19,DG208-19,0)*2+IF(DG208&gt;20,DG208-20,0)*2</f>
        <v>175.5384615384616</v>
      </c>
      <c r="DK208" s="242">
        <f>IF(DH208&lt;=0,2,0)+IF(DH208&gt;0,DH208+1,0)*2+IF(DH208&gt;12,DH208-12,0)*2+IF(DH208&gt;13,DH208-13,0)*2+IF(DH208&gt;14,DH208-14,0)*2+IF(DH208&gt;15,DH208-15,0)*2+IF(DH208&gt;16,DH208-16,0)*2+IF(DH208&gt;17,DH208-17,0)*2+IF(DH208&gt;18,DH208-18,0)*2+IF(DH208&gt;19,DH208-19,0)*2+IF(DH208&gt;20,DH208-20,0)*2</f>
        <v>2</v>
      </c>
      <c r="DL208" s="243">
        <f>IF((DJ208-DK208)&gt;0,DJ208-DK208,0)</f>
        <v>173.5384615384616</v>
      </c>
      <c r="DM208" s="218">
        <f>IF((DK208-DJ208)&gt;0,DK208-DJ208,0)</f>
        <v>0</v>
      </c>
      <c r="DO208" s="303" t="s">
        <v>403</v>
      </c>
      <c r="DP208" s="218" t="s">
        <v>84</v>
      </c>
      <c r="DQ208" s="243" t="s">
        <v>132</v>
      </c>
      <c r="DR208" s="237">
        <f>Konvention_1slave-MUslave</f>
        <v>12</v>
      </c>
      <c r="DS208" s="234">
        <f>Konvention_1slave-KLslave</f>
        <v>12</v>
      </c>
      <c r="DT208" s="234"/>
      <c r="DU208" s="234">
        <f>Konvention_1slave-CHslave_CH</f>
        <v>11</v>
      </c>
      <c r="DV208" s="234"/>
      <c r="DW208" s="234"/>
      <c r="DX208" s="234"/>
      <c r="DY208" s="224"/>
      <c r="DZ208" s="223">
        <f>(DR208+DS208+DT208+DU208+DV208+DW208+DX208+DY208)/3</f>
        <v>11.666666666666666</v>
      </c>
      <c r="EA208" s="223">
        <f>2*DZ208</f>
        <v>23.333333333333332</v>
      </c>
      <c r="EB208" s="224">
        <f>3*DZ208</f>
        <v>35</v>
      </c>
      <c r="EC208" s="237">
        <f t="shared" si="1512"/>
        <v>2432</v>
      </c>
      <c r="ED208" s="234">
        <f>DR208*DS208*CHslave_CH+DR208*KLslave*DU208+MUslave*DS208*DU208</f>
        <v>3408</v>
      </c>
      <c r="EE208" s="224">
        <f>IFERROR(DR208^SIGN(DR208),1)*IFERROR(DS208^SIGN(DS208),1)*IFERROR(DT208^SIGN(DT208),1)*IFERROR(DU208^SIGN(DU208),1)*IFERROR(DV208^SIGN(DV208),1)*IFERROR(DW208^SIGN(DW208),1)*IFERROR(DX208^SIGN(DX208),1)*IFERROR(DY208^SIGN(DY208),1)</f>
        <v>1584</v>
      </c>
      <c r="EF208" s="224">
        <f t="shared" si="1572"/>
        <v>7424</v>
      </c>
      <c r="EG208" s="222">
        <f t="shared" si="1573"/>
        <v>3.8218390804597702</v>
      </c>
      <c r="EH208" s="223">
        <f t="shared" si="1574"/>
        <v>10.711206896551724</v>
      </c>
      <c r="EI208" s="243">
        <f t="shared" si="1575"/>
        <v>7.4676724137931032</v>
      </c>
      <c r="EJ208" s="243">
        <f t="shared" si="1576"/>
        <v>22.000718390804597</v>
      </c>
      <c r="EK208" s="252">
        <f t="shared" si="1293"/>
        <v>0</v>
      </c>
      <c r="EL208" s="309">
        <f>EJ208-EK208</f>
        <v>22.000718390804597</v>
      </c>
      <c r="EM208" s="218">
        <f>IF(EJ208&lt;=0,2,0)+IF(EJ208&gt;0,EJ208+1,0)*2+IF(EJ208&gt;12,EJ208-12,0)*2+IF(EJ208&gt;13,EJ208-13,0)*2+IF(EJ208&gt;14,EJ208-14,0)*2+IF(EJ208&gt;15,EJ208-15,0)*2+IF(EJ208&gt;16,EJ208-16,0)*2+IF(EJ208&gt;17,EJ208-17,0)*2+IF(EJ208&gt;18,EJ208-18,0)*2+IF(EJ208&gt;19,EJ208-19,0)*2+IF(EJ208&gt;20,EJ208-20,0)*2</f>
        <v>154.01436781609189</v>
      </c>
      <c r="EN208" s="242">
        <f>IF(EK208&lt;=0,2,0)+IF(EK208&gt;0,EK208+1,0)*2+IF(EK208&gt;12,EK208-12,0)*2+IF(EK208&gt;13,EK208-13,0)*2+IF(EK208&gt;14,EK208-14,0)*2+IF(EK208&gt;15,EK208-15,0)*2+IF(EK208&gt;16,EK208-16,0)*2+IF(EK208&gt;17,EK208-17,0)*2+IF(EK208&gt;18,EK208-18,0)*2+IF(EK208&gt;19,EK208-19,0)*2+IF(EK208&gt;20,EK208-20,0)*2</f>
        <v>2</v>
      </c>
      <c r="EO208" s="243">
        <f>IF((EM208-EN208)&gt;0,EM208-EN208,0)</f>
        <v>152.01436781609189</v>
      </c>
      <c r="EP208" s="218">
        <f>IF((EN208-EM208)&gt;0,EN208-EM208,0)</f>
        <v>0</v>
      </c>
      <c r="ER208" s="303" t="s">
        <v>403</v>
      </c>
      <c r="ES208" s="218" t="s">
        <v>84</v>
      </c>
      <c r="ET208" s="243" t="s">
        <v>132</v>
      </c>
      <c r="EU208" s="237">
        <f>Konvention_1slave-MUslave</f>
        <v>12</v>
      </c>
      <c r="EV208" s="234">
        <f>Konvention_1slave-KLslave</f>
        <v>12</v>
      </c>
      <c r="EW208" s="234"/>
      <c r="EX208" s="234">
        <f>Konvention_1slave-CHslave</f>
        <v>12</v>
      </c>
      <c r="EY208" s="234"/>
      <c r="EZ208" s="234"/>
      <c r="FA208" s="234"/>
      <c r="FB208" s="224"/>
      <c r="FC208" s="223">
        <f>(EU208+EV208+EW208+EX208+EY208+EZ208+FA208+FB208)/3</f>
        <v>12</v>
      </c>
      <c r="FD208" s="223">
        <f>2*FC208</f>
        <v>24</v>
      </c>
      <c r="FE208" s="224">
        <f>3*FC208</f>
        <v>36</v>
      </c>
      <c r="FF208" s="237">
        <f t="shared" si="1513"/>
        <v>2304</v>
      </c>
      <c r="FG208" s="234">
        <f>EU208*EV208*CHslave+EU208*KLslave*EX208+MUslave*EV208*EX208</f>
        <v>3456</v>
      </c>
      <c r="FH208" s="224">
        <f>IFERROR(EU208^SIGN(EU208),1)*IFERROR(EV208^SIGN(EV208),1)*IFERROR(EW208^SIGN(EW208),1)*IFERROR(EX208^SIGN(EX208),1)*IFERROR(EY208^SIGN(EY208),1)*IFERROR(EZ208^SIGN(EZ208),1)*IFERROR(FA208^SIGN(FA208),1)*IFERROR(FB208^SIGN(FB208),1)</f>
        <v>1728</v>
      </c>
      <c r="FI208" s="224">
        <f t="shared" si="1577"/>
        <v>7488</v>
      </c>
      <c r="FJ208" s="222">
        <f t="shared" si="1578"/>
        <v>3.6923076923076925</v>
      </c>
      <c r="FK208" s="223">
        <f t="shared" si="1579"/>
        <v>11.076923076923077</v>
      </c>
      <c r="FL208" s="243">
        <f t="shared" si="1580"/>
        <v>8.3076923076923084</v>
      </c>
      <c r="FM208" s="243">
        <f t="shared" si="1581"/>
        <v>23.07692307692308</v>
      </c>
      <c r="FN208" s="252">
        <f t="shared" si="1304"/>
        <v>0</v>
      </c>
      <c r="FO208" s="309">
        <f>FM208-FN208</f>
        <v>23.07692307692308</v>
      </c>
      <c r="FP208" s="218">
        <f>IF(FM208&lt;=0,2,0)+IF(FM208&gt;0,FM208+1,0)*2+IF(FM208&gt;12,FM208-12,0)*2+IF(FM208&gt;13,FM208-13,0)*2+IF(FM208&gt;14,FM208-14,0)*2+IF(FM208&gt;15,FM208-15,0)*2+IF(FM208&gt;16,FM208-16,0)*2+IF(FM208&gt;17,FM208-17,0)*2+IF(FM208&gt;18,FM208-18,0)*2+IF(FM208&gt;19,FM208-19,0)*2+IF(FM208&gt;20,FM208-20,0)*2</f>
        <v>175.5384615384616</v>
      </c>
      <c r="FQ208" s="242">
        <f>IF(FN208&lt;=0,2,0)+IF(FN208&gt;0,FN208+1,0)*2+IF(FN208&gt;12,FN208-12,0)*2+IF(FN208&gt;13,FN208-13,0)*2+IF(FN208&gt;14,FN208-14,0)*2+IF(FN208&gt;15,FN208-15,0)*2+IF(FN208&gt;16,FN208-16,0)*2+IF(FN208&gt;17,FN208-17,0)*2+IF(FN208&gt;18,FN208-18,0)*2+IF(FN208&gt;19,FN208-19,0)*2+IF(FN208&gt;20,FN208-20,0)*2</f>
        <v>2</v>
      </c>
      <c r="FR208" s="243">
        <f>IF((FP208-FQ208)&gt;0,FP208-FQ208,0)</f>
        <v>173.5384615384616</v>
      </c>
      <c r="FS208" s="218">
        <f>IF((FQ208-FP208)&gt;0,FQ208-FP208,0)</f>
        <v>0</v>
      </c>
      <c r="FU208" s="303" t="s">
        <v>403</v>
      </c>
      <c r="FV208" s="218" t="s">
        <v>84</v>
      </c>
      <c r="FW208" s="243" t="s">
        <v>132</v>
      </c>
      <c r="FX208" s="237">
        <f>Konvention_1slave-MUslave</f>
        <v>12</v>
      </c>
      <c r="FY208" s="234">
        <f>Konvention_1slave-KLslave</f>
        <v>12</v>
      </c>
      <c r="FZ208" s="234"/>
      <c r="GA208" s="234">
        <f>Konvention_1slave-CHslave</f>
        <v>12</v>
      </c>
      <c r="GB208" s="234"/>
      <c r="GC208" s="234"/>
      <c r="GD208" s="234"/>
      <c r="GE208" s="224"/>
      <c r="GF208" s="223">
        <f>(FX208+FY208+FZ208+GA208+GB208+GC208+GD208+GE208)/3</f>
        <v>12</v>
      </c>
      <c r="GG208" s="223">
        <f>2*GF208</f>
        <v>24</v>
      </c>
      <c r="GH208" s="224">
        <f>3*GF208</f>
        <v>36</v>
      </c>
      <c r="GI208" s="237">
        <f t="shared" si="1514"/>
        <v>2304</v>
      </c>
      <c r="GJ208" s="234">
        <f>FX208*FY208*CHslave+FX208*KLslave*GA208+MUslave*FY208*GA208</f>
        <v>3456</v>
      </c>
      <c r="GK208" s="224">
        <f>IFERROR(FX208^SIGN(FX208),1)*IFERROR(FY208^SIGN(FY208),1)*IFERROR(FZ208^SIGN(FZ208),1)*IFERROR(GA208^SIGN(GA208),1)*IFERROR(GB208^SIGN(GB208),1)*IFERROR(GC208^SIGN(GC208),1)*IFERROR(GD208^SIGN(GD208),1)*IFERROR(GE208^SIGN(GE208),1)</f>
        <v>1728</v>
      </c>
      <c r="GL208" s="224">
        <f t="shared" si="1582"/>
        <v>7488</v>
      </c>
      <c r="GM208" s="222">
        <f t="shared" si="1583"/>
        <v>3.6923076923076925</v>
      </c>
      <c r="GN208" s="223">
        <f t="shared" si="1584"/>
        <v>11.076923076923077</v>
      </c>
      <c r="GO208" s="243">
        <f t="shared" si="1585"/>
        <v>8.3076923076923084</v>
      </c>
      <c r="GP208" s="243">
        <f t="shared" si="1586"/>
        <v>23.07692307692308</v>
      </c>
      <c r="GQ208" s="252">
        <f t="shared" si="1315"/>
        <v>0</v>
      </c>
      <c r="GR208" s="309">
        <f>GP208-GQ208</f>
        <v>23.07692307692308</v>
      </c>
      <c r="GS208" s="218">
        <f>IF(GP208&lt;=0,2,0)+IF(GP208&gt;0,GP208+1,0)*2+IF(GP208&gt;12,GP208-12,0)*2+IF(GP208&gt;13,GP208-13,0)*2+IF(GP208&gt;14,GP208-14,0)*2+IF(GP208&gt;15,GP208-15,0)*2+IF(GP208&gt;16,GP208-16,0)*2+IF(GP208&gt;17,GP208-17,0)*2+IF(GP208&gt;18,GP208-18,0)*2+IF(GP208&gt;19,GP208-19,0)*2+IF(GP208&gt;20,GP208-20,0)*2</f>
        <v>175.5384615384616</v>
      </c>
      <c r="GT208" s="242">
        <f>IF(GQ208&lt;=0,2,0)+IF(GQ208&gt;0,GQ208+1,0)*2+IF(GQ208&gt;12,GQ208-12,0)*2+IF(GQ208&gt;13,GQ208-13,0)*2+IF(GQ208&gt;14,GQ208-14,0)*2+IF(GQ208&gt;15,GQ208-15,0)*2+IF(GQ208&gt;16,GQ208-16,0)*2+IF(GQ208&gt;17,GQ208-17,0)*2+IF(GQ208&gt;18,GQ208-18,0)*2+IF(GQ208&gt;19,GQ208-19,0)*2+IF(GQ208&gt;20,GQ208-20,0)*2</f>
        <v>2</v>
      </c>
      <c r="GU208" s="243">
        <f>IF((GS208-GT208)&gt;0,GS208-GT208,0)</f>
        <v>173.5384615384616</v>
      </c>
      <c r="GV208" s="218">
        <f>IF((GT208-GS208)&gt;0,GT208-GS208,0)</f>
        <v>0</v>
      </c>
      <c r="GX208" s="303" t="s">
        <v>403</v>
      </c>
      <c r="GY208" s="218" t="s">
        <v>84</v>
      </c>
      <c r="GZ208" s="243" t="s">
        <v>132</v>
      </c>
      <c r="HA208" s="237">
        <f>Konvention_1slave-MUslave</f>
        <v>12</v>
      </c>
      <c r="HB208" s="234">
        <f>Konvention_1slave-KLslave</f>
        <v>12</v>
      </c>
      <c r="HC208" s="234"/>
      <c r="HD208" s="234">
        <f>Konvention_1slave-CHslave</f>
        <v>12</v>
      </c>
      <c r="HE208" s="234"/>
      <c r="HF208" s="234"/>
      <c r="HG208" s="234"/>
      <c r="HH208" s="224"/>
      <c r="HI208" s="223">
        <f>(HA208+HB208+HC208+HD208+HE208+HF208+HG208+HH208)/3</f>
        <v>12</v>
      </c>
      <c r="HJ208" s="223">
        <f>2*HI208</f>
        <v>24</v>
      </c>
      <c r="HK208" s="224">
        <f>3*HI208</f>
        <v>36</v>
      </c>
      <c r="HL208" s="237">
        <f t="shared" si="1515"/>
        <v>2304</v>
      </c>
      <c r="HM208" s="234">
        <f>HA208*HB208*CHslave+HA208*KLslave*HD208+MUslave*HB208*HD208</f>
        <v>3456</v>
      </c>
      <c r="HN208" s="224">
        <f>IFERROR(HA208^SIGN(HA208),1)*IFERROR(HB208^SIGN(HB208),1)*IFERROR(HC208^SIGN(HC208),1)*IFERROR(HD208^SIGN(HD208),1)*IFERROR(HE208^SIGN(HE208),1)*IFERROR(HF208^SIGN(HF208),1)*IFERROR(HG208^SIGN(HG208),1)*IFERROR(HH208^SIGN(HH208),1)</f>
        <v>1728</v>
      </c>
      <c r="HO208" s="224">
        <f t="shared" si="1587"/>
        <v>7488</v>
      </c>
      <c r="HP208" s="222">
        <f t="shared" si="1588"/>
        <v>3.6923076923076925</v>
      </c>
      <c r="HQ208" s="223">
        <f t="shared" si="1589"/>
        <v>11.076923076923077</v>
      </c>
      <c r="HR208" s="243">
        <f t="shared" si="1590"/>
        <v>8.3076923076923084</v>
      </c>
      <c r="HS208" s="243">
        <f t="shared" si="1591"/>
        <v>23.07692307692308</v>
      </c>
      <c r="HT208" s="252">
        <f t="shared" si="1326"/>
        <v>0</v>
      </c>
      <c r="HU208" s="309">
        <f>HS208-HT208</f>
        <v>23.07692307692308</v>
      </c>
      <c r="HV208" s="218">
        <f>IF(HS208&lt;=0,2,0)+IF(HS208&gt;0,HS208+1,0)*2+IF(HS208&gt;12,HS208-12,0)*2+IF(HS208&gt;13,HS208-13,0)*2+IF(HS208&gt;14,HS208-14,0)*2+IF(HS208&gt;15,HS208-15,0)*2+IF(HS208&gt;16,HS208-16,0)*2+IF(HS208&gt;17,HS208-17,0)*2+IF(HS208&gt;18,HS208-18,0)*2+IF(HS208&gt;19,HS208-19,0)*2+IF(HS208&gt;20,HS208-20,0)*2</f>
        <v>175.5384615384616</v>
      </c>
      <c r="HW208" s="242">
        <f>IF(HT208&lt;=0,2,0)+IF(HT208&gt;0,HT208+1,0)*2+IF(HT208&gt;12,HT208-12,0)*2+IF(HT208&gt;13,HT208-13,0)*2+IF(HT208&gt;14,HT208-14,0)*2+IF(HT208&gt;15,HT208-15,0)*2+IF(HT208&gt;16,HT208-16,0)*2+IF(HT208&gt;17,HT208-17,0)*2+IF(HT208&gt;18,HT208-18,0)*2+IF(HT208&gt;19,HT208-19,0)*2+IF(HT208&gt;20,HT208-20,0)*2</f>
        <v>2</v>
      </c>
      <c r="HX208" s="243">
        <f>IF((HV208-HW208)&gt;0,HV208-HW208,0)</f>
        <v>173.5384615384616</v>
      </c>
      <c r="HY208" s="218">
        <f>IF((HW208-HV208)&gt;0,HW208-HV208,0)</f>
        <v>0</v>
      </c>
      <c r="IA208" s="303" t="s">
        <v>403</v>
      </c>
      <c r="IB208" s="218" t="s">
        <v>84</v>
      </c>
      <c r="IC208" s="243" t="s">
        <v>132</v>
      </c>
      <c r="ID208" s="237">
        <f>Konvention_1slave-MUslave</f>
        <v>12</v>
      </c>
      <c r="IE208" s="234">
        <f>Konvention_1slave-KLslave</f>
        <v>12</v>
      </c>
      <c r="IF208" s="234"/>
      <c r="IG208" s="234">
        <f>Konvention_1slave-CHslave</f>
        <v>12</v>
      </c>
      <c r="IH208" s="234"/>
      <c r="II208" s="234"/>
      <c r="IJ208" s="234"/>
      <c r="IK208" s="224"/>
      <c r="IL208" s="223">
        <f>(ID208+IE208+IF208+IG208+IH208+II208+IJ208+IK208)/3</f>
        <v>12</v>
      </c>
      <c r="IM208" s="223">
        <f>2*IL208</f>
        <v>24</v>
      </c>
      <c r="IN208" s="224">
        <f>3*IL208</f>
        <v>36</v>
      </c>
      <c r="IO208" s="237">
        <f t="shared" si="1516"/>
        <v>2304</v>
      </c>
      <c r="IP208" s="234">
        <f>ID208*IE208*CHslave+ID208*KLslave*IG208+MUslave*IE208*IG208</f>
        <v>3456</v>
      </c>
      <c r="IQ208" s="224">
        <f>IFERROR(ID208^SIGN(ID208),1)*IFERROR(IE208^SIGN(IE208),1)*IFERROR(IF208^SIGN(IF208),1)*IFERROR(IG208^SIGN(IG208),1)*IFERROR(IH208^SIGN(IH208),1)*IFERROR(II208^SIGN(II208),1)*IFERROR(IJ208^SIGN(IJ208),1)*IFERROR(IK208^SIGN(IK208),1)</f>
        <v>1728</v>
      </c>
      <c r="IR208" s="224">
        <f t="shared" si="1592"/>
        <v>7488</v>
      </c>
      <c r="IS208" s="222">
        <f t="shared" si="1593"/>
        <v>3.6923076923076925</v>
      </c>
      <c r="IT208" s="223">
        <f t="shared" si="1594"/>
        <v>11.076923076923077</v>
      </c>
      <c r="IU208" s="243">
        <f t="shared" si="1595"/>
        <v>8.3076923076923084</v>
      </c>
      <c r="IV208" s="243">
        <f t="shared" si="1596"/>
        <v>23.07692307692308</v>
      </c>
      <c r="IW208" s="252">
        <f t="shared" si="1337"/>
        <v>0</v>
      </c>
      <c r="IX208" s="309">
        <f>IV208-IW208</f>
        <v>23.07692307692308</v>
      </c>
      <c r="IY208" s="218">
        <f>IF(IV208&lt;=0,2,0)+IF(IV208&gt;0,IV208+1,0)*2+IF(IV208&gt;12,IV208-12,0)*2+IF(IV208&gt;13,IV208-13,0)*2+IF(IV208&gt;14,IV208-14,0)*2+IF(IV208&gt;15,IV208-15,0)*2+IF(IV208&gt;16,IV208-16,0)*2+IF(IV208&gt;17,IV208-17,0)*2+IF(IV208&gt;18,IV208-18,0)*2+IF(IV208&gt;19,IV208-19,0)*2+IF(IV208&gt;20,IV208-20,0)*2</f>
        <v>175.5384615384616</v>
      </c>
      <c r="IZ208" s="242">
        <f>IF(IW208&lt;=0,2,0)+IF(IW208&gt;0,IW208+1,0)*2+IF(IW208&gt;12,IW208-12,0)*2+IF(IW208&gt;13,IW208-13,0)*2+IF(IW208&gt;14,IW208-14,0)*2+IF(IW208&gt;15,IW208-15,0)*2+IF(IW208&gt;16,IW208-16,0)*2+IF(IW208&gt;17,IW208-17,0)*2+IF(IW208&gt;18,IW208-18,0)*2+IF(IW208&gt;19,IW208-19,0)*2+IF(IW208&gt;20,IW208-20,0)*2</f>
        <v>2</v>
      </c>
      <c r="JA208" s="243">
        <f>IF((IY208-IZ208)&gt;0,IY208-IZ208,0)</f>
        <v>173.5384615384616</v>
      </c>
      <c r="JB208" s="218">
        <f>IF((IZ208-IY208)&gt;0,IZ208-IY208,0)</f>
        <v>0</v>
      </c>
      <c r="JE208" s="148"/>
    </row>
    <row r="209" spans="2:265" ht="15" hidden="1" customHeight="1" outlineLevel="2">
      <c r="B209" s="148">
        <v>57</v>
      </c>
      <c r="C209" s="303" t="e">
        <f>VLOOKUP(AF209,Attribute!C:T,1,FALSE)</f>
        <v>#N/A</v>
      </c>
      <c r="D209" s="125" t="s">
        <v>170</v>
      </c>
      <c r="E209" s="127" t="s">
        <v>132</v>
      </c>
      <c r="F209" s="114"/>
      <c r="G209" s="113">
        <f>Konvention_1master-KLmaster</f>
        <v>12</v>
      </c>
      <c r="H209" s="113">
        <f>Konvention_1master-INmaster</f>
        <v>12</v>
      </c>
      <c r="I209" s="113"/>
      <c r="J209" s="113">
        <f>Konvention_1master-FFmaster</f>
        <v>12</v>
      </c>
      <c r="K209" s="113"/>
      <c r="L209" s="113"/>
      <c r="M209" s="119"/>
      <c r="N209" s="223">
        <f>(F209+G209+H209+I209+J209+K209+L209+M209)/3</f>
        <v>12</v>
      </c>
      <c r="O209" s="223">
        <f>2*N209</f>
        <v>24</v>
      </c>
      <c r="P209" s="224">
        <f>3*N209</f>
        <v>36</v>
      </c>
      <c r="Q209" s="237">
        <f t="shared" si="1508"/>
        <v>2304</v>
      </c>
      <c r="R209" s="113">
        <f>G209*H209*FFmaster+G209*INmaster*J209+KLmaster*H209*J209</f>
        <v>3456</v>
      </c>
      <c r="S209" s="224">
        <f>IFERROR(F209^SIGN(F209),1)*IFERROR(G209^SIGN(G209),1)*IFERROR(H209^SIGN(H209),1)*IFERROR(I209^SIGN(I209),1)*IFERROR(J209^SIGN(J209),1)*IFERROR(K209^SIGN(K209),1)*IFERROR(L209^SIGN(L209),1)*IFERROR(M209^SIGN(M209),1)</f>
        <v>1728</v>
      </c>
      <c r="T209" s="224">
        <f t="shared" si="1507"/>
        <v>7488</v>
      </c>
      <c r="U209" s="222">
        <f t="shared" si="1552"/>
        <v>3.6923076923076925</v>
      </c>
      <c r="V209" s="223">
        <f t="shared" si="1553"/>
        <v>11.076923076923077</v>
      </c>
      <c r="W209" s="243">
        <f t="shared" si="1554"/>
        <v>8.3076923076923084</v>
      </c>
      <c r="X209" s="243">
        <f t="shared" si="1555"/>
        <v>23.07692307692308</v>
      </c>
      <c r="Y209" s="252">
        <v>0</v>
      </c>
      <c r="Z209" s="198">
        <f t="shared" si="1556"/>
        <v>23.07692307692308</v>
      </c>
      <c r="AA209" s="125">
        <f>IF(X209&lt;=0,2,0)+IF(X209&gt;0,X209+1,0)*2+IF(X209&gt;12,X209-12,0)*2+IF(X209&gt;13,X209-13,0)*2+IF(X209&gt;14,X209-14,0)*2+IF(X209&gt;15,X209-15,0)*2+IF(X209&gt;16,X209-16,0)*2+IF(X209&gt;17,X209-17,0)*2+IF(X209&gt;18,X209-18,0)*2+IF(X209&gt;19,X209-19,0)*2+IF(X209&gt;20,X209-20,0)*2</f>
        <v>175.5384615384616</v>
      </c>
      <c r="AB209" s="160">
        <f>IF(Y209&lt;=0,2,0)+IF(Y209&gt;0,Y209+1,0)*2+IF(Y209&gt;12,Y209-12,0)*2+IF(Y209&gt;13,Y209-13,0)*2+IF(Y209&gt;14,Y209-14,0)*2+IF(Y209&gt;15,Y209-15,0)*2+IF(Y209&gt;16,Y209-16,0)*2+IF(Y209&gt;17,Y209-17,0)*2+IF(Y209&gt;18,Y209-18,0)*2+IF(Y209&gt;19,Y209-19,0)*2+IF(Y209&gt;20,Y209-20,0)*2</f>
        <v>2</v>
      </c>
      <c r="AC209" s="127">
        <f>IF((AA209-AB209)&gt;0,AA209-AB209,0)</f>
        <v>173.5384615384616</v>
      </c>
      <c r="AD209" s="125">
        <f>IF((AB209-AA209)&gt;0,AB209-AA209,0)</f>
        <v>0</v>
      </c>
      <c r="AF209" s="163" t="s">
        <v>404</v>
      </c>
      <c r="AG209" s="125" t="s">
        <v>170</v>
      </c>
      <c r="AH209" s="127" t="s">
        <v>132</v>
      </c>
      <c r="AI209" s="114"/>
      <c r="AJ209" s="113">
        <f>Konvention_1slave-KLslave</f>
        <v>12</v>
      </c>
      <c r="AK209" s="113">
        <f>Konvention_1slave-INslave</f>
        <v>12</v>
      </c>
      <c r="AL209" s="113"/>
      <c r="AM209" s="113">
        <f>Konvention_1slave-FFslave</f>
        <v>12</v>
      </c>
      <c r="AN209" s="113"/>
      <c r="AO209" s="113"/>
      <c r="AP209" s="119"/>
      <c r="AQ209" s="47">
        <f>(AI209+AJ209+AK209+AL209+AM209+AN209+AO209+AP209)/3</f>
        <v>12</v>
      </c>
      <c r="AR209" s="47">
        <f>2*AQ209</f>
        <v>24</v>
      </c>
      <c r="AS209" s="119">
        <f>3*AQ209</f>
        <v>36</v>
      </c>
      <c r="AT209" s="114">
        <f t="shared" si="1509"/>
        <v>2304</v>
      </c>
      <c r="AU209" s="113">
        <f>AJ209*AK209*FFslave+AJ209*INslave*AM209+KLslave*AK209*AM209</f>
        <v>3456</v>
      </c>
      <c r="AV209" s="119">
        <f>IFERROR(AI209^SIGN(AI209),1)*IFERROR(AJ209^SIGN(AJ209),1)*IFERROR(AK209^SIGN(AK209),1)*IFERROR(AL209^SIGN(AL209),1)*IFERROR(AM209^SIGN(AM209),1)*IFERROR(AN209^SIGN(AN209),1)*IFERROR(AO209^SIGN(AO209),1)*IFERROR(AP209^SIGN(AP209),1)</f>
        <v>1728</v>
      </c>
      <c r="AW209" s="119">
        <f t="shared" si="1557"/>
        <v>7488</v>
      </c>
      <c r="AX209" s="89">
        <f t="shared" si="1558"/>
        <v>3.6923076923076925</v>
      </c>
      <c r="AY209" s="47">
        <f t="shared" si="1559"/>
        <v>11.076923076923077</v>
      </c>
      <c r="AZ209" s="127">
        <f t="shared" si="1560"/>
        <v>8.3076923076923084</v>
      </c>
      <c r="BA209" s="127">
        <f t="shared" si="1561"/>
        <v>23.07692307692308</v>
      </c>
      <c r="BB209" s="165">
        <f t="shared" si="1260"/>
        <v>0</v>
      </c>
      <c r="BC209" s="198">
        <f>BA209-BB209</f>
        <v>23.07692307692308</v>
      </c>
      <c r="BD209" s="125">
        <f>IF(BA209&lt;=0,2,0)+IF(BA209&gt;0,BA209+1,0)*2+IF(BA209&gt;12,BA209-12,0)*2+IF(BA209&gt;13,BA209-13,0)*2+IF(BA209&gt;14,BA209-14,0)*2+IF(BA209&gt;15,BA209-15,0)*2+IF(BA209&gt;16,BA209-16,0)*2+IF(BA209&gt;17,BA209-17,0)*2+IF(BA209&gt;18,BA209-18,0)*2+IF(BA209&gt;19,BA209-19,0)*2+IF(BA209&gt;20,BA209-20,0)*2</f>
        <v>175.5384615384616</v>
      </c>
      <c r="BE209" s="160">
        <f>IF(BB209&lt;=0,2,0)+IF(BB209&gt;0,BB209+1,0)*2+IF(BB209&gt;12,BB209-12,0)*2+IF(BB209&gt;13,BB209-13,0)*2+IF(BB209&gt;14,BB209-14,0)*2+IF(BB209&gt;15,BB209-15,0)*2+IF(BB209&gt;16,BB209-16,0)*2+IF(BB209&gt;17,BB209-17,0)*2+IF(BB209&gt;18,BB209-18,0)*2+IF(BB209&gt;19,BB209-19,0)*2+IF(BB209&gt;20,BB209-20,0)*2</f>
        <v>2</v>
      </c>
      <c r="BF209" s="243">
        <f>IF((BD209-BE209)&gt;0,BD209-BE209,0)</f>
        <v>173.5384615384616</v>
      </c>
      <c r="BG209" s="218">
        <f>IF((BE209-BD209)&gt;0,BE209-BD209,0)</f>
        <v>0</v>
      </c>
      <c r="BI209" s="303" t="s">
        <v>404</v>
      </c>
      <c r="BJ209" s="218" t="s">
        <v>170</v>
      </c>
      <c r="BK209" s="243" t="s">
        <v>132</v>
      </c>
      <c r="BL209" s="237"/>
      <c r="BM209" s="234">
        <f>Konvention_1slave-KLslave_KL</f>
        <v>11</v>
      </c>
      <c r="BN209" s="234">
        <f>Konvention_1slave-INslave</f>
        <v>12</v>
      </c>
      <c r="BO209" s="234"/>
      <c r="BP209" s="234">
        <f>Konvention_1slave-FFslave</f>
        <v>12</v>
      </c>
      <c r="BQ209" s="234"/>
      <c r="BR209" s="234"/>
      <c r="BS209" s="224"/>
      <c r="BT209" s="223">
        <f>(BL209+BM209+BN209+BO209+BP209+BQ209+BR209+BS209)/3</f>
        <v>11.666666666666666</v>
      </c>
      <c r="BU209" s="223">
        <f>2*BT209</f>
        <v>23.333333333333332</v>
      </c>
      <c r="BV209" s="224">
        <f>3*BT209</f>
        <v>35</v>
      </c>
      <c r="BW209" s="237">
        <f t="shared" si="1510"/>
        <v>2432</v>
      </c>
      <c r="BX209" s="234">
        <f>BM209*BN209*FFslave+BM209*INslave*BP209+KLslave_KL*BN209*BP209</f>
        <v>3408</v>
      </c>
      <c r="BY209" s="224">
        <f>IFERROR(BL209^SIGN(BL209),1)*IFERROR(BM209^SIGN(BM209),1)*IFERROR(BN209^SIGN(BN209),1)*IFERROR(BO209^SIGN(BO209),1)*IFERROR(BP209^SIGN(BP209),1)*IFERROR(BQ209^SIGN(BQ209),1)*IFERROR(BR209^SIGN(BR209),1)*IFERROR(BS209^SIGN(BS209),1)</f>
        <v>1584</v>
      </c>
      <c r="BZ209" s="224">
        <f t="shared" si="1562"/>
        <v>7424</v>
      </c>
      <c r="CA209" s="222">
        <f t="shared" si="1563"/>
        <v>3.8218390804597702</v>
      </c>
      <c r="CB209" s="223">
        <f t="shared" si="1564"/>
        <v>10.711206896551724</v>
      </c>
      <c r="CC209" s="243">
        <f t="shared" si="1565"/>
        <v>7.4676724137931032</v>
      </c>
      <c r="CD209" s="243">
        <f t="shared" si="1566"/>
        <v>22.000718390804597</v>
      </c>
      <c r="CE209" s="252">
        <f t="shared" si="1271"/>
        <v>0</v>
      </c>
      <c r="CF209" s="309">
        <f>CD209-CE209</f>
        <v>22.000718390804597</v>
      </c>
      <c r="CG209" s="218">
        <f>IF(CD209&lt;=0,2,0)+IF(CD209&gt;0,CD209+1,0)*2+IF(CD209&gt;12,CD209-12,0)*2+IF(CD209&gt;13,CD209-13,0)*2+IF(CD209&gt;14,CD209-14,0)*2+IF(CD209&gt;15,CD209-15,0)*2+IF(CD209&gt;16,CD209-16,0)*2+IF(CD209&gt;17,CD209-17,0)*2+IF(CD209&gt;18,CD209-18,0)*2+IF(CD209&gt;19,CD209-19,0)*2+IF(CD209&gt;20,CD209-20,0)*2</f>
        <v>154.01436781609189</v>
      </c>
      <c r="CH209" s="242">
        <f>IF(CE209&lt;=0,2,0)+IF(CE209&gt;0,CE209+1,0)*2+IF(CE209&gt;12,CE209-12,0)*2+IF(CE209&gt;13,CE209-13,0)*2+IF(CE209&gt;14,CE209-14,0)*2+IF(CE209&gt;15,CE209-15,0)*2+IF(CE209&gt;16,CE209-16,0)*2+IF(CE209&gt;17,CE209-17,0)*2+IF(CE209&gt;18,CE209-18,0)*2+IF(CE209&gt;19,CE209-19,0)*2+IF(CE209&gt;20,CE209-20,0)*2</f>
        <v>2</v>
      </c>
      <c r="CI209" s="243">
        <f>IF((CG209-CH209)&gt;0,CG209-CH209,0)</f>
        <v>152.01436781609189</v>
      </c>
      <c r="CJ209" s="218">
        <f>IF((CH209-CG209)&gt;0,CH209-CG209,0)</f>
        <v>0</v>
      </c>
      <c r="CL209" s="303" t="s">
        <v>404</v>
      </c>
      <c r="CM209" s="218" t="s">
        <v>170</v>
      </c>
      <c r="CN209" s="243" t="s">
        <v>132</v>
      </c>
      <c r="CO209" s="237"/>
      <c r="CP209" s="234">
        <f>Konvention_1slave-KLslave</f>
        <v>12</v>
      </c>
      <c r="CQ209" s="234">
        <f>Konvention_1slave-INslave_IN</f>
        <v>11</v>
      </c>
      <c r="CR209" s="234"/>
      <c r="CS209" s="234">
        <f>Konvention_1slave-FFslave</f>
        <v>12</v>
      </c>
      <c r="CT209" s="234"/>
      <c r="CU209" s="234"/>
      <c r="CV209" s="224"/>
      <c r="CW209" s="223">
        <f>(CO209+CP209+CQ209+CR209+CS209+CT209+CU209+CV209)/3</f>
        <v>11.666666666666666</v>
      </c>
      <c r="CX209" s="223">
        <f>2*CW209</f>
        <v>23.333333333333332</v>
      </c>
      <c r="CY209" s="224">
        <f>3*CW209</f>
        <v>35</v>
      </c>
      <c r="CZ209" s="237">
        <f t="shared" si="1511"/>
        <v>2432</v>
      </c>
      <c r="DA209" s="234">
        <f>CP209*CQ209*FFslave+CP209*INslave_IN*CS209+KLslave*CQ209*CS209</f>
        <v>3408</v>
      </c>
      <c r="DB209" s="224">
        <f>IFERROR(CO209^SIGN(CO209),1)*IFERROR(CP209^SIGN(CP209),1)*IFERROR(CQ209^SIGN(CQ209),1)*IFERROR(CR209^SIGN(CR209),1)*IFERROR(CS209^SIGN(CS209),1)*IFERROR(CT209^SIGN(CT209),1)*IFERROR(CU209^SIGN(CU209),1)*IFERROR(CV209^SIGN(CV209),1)</f>
        <v>1584</v>
      </c>
      <c r="DC209" s="224">
        <f t="shared" si="1567"/>
        <v>7424</v>
      </c>
      <c r="DD209" s="222">
        <f t="shared" si="1568"/>
        <v>3.8218390804597702</v>
      </c>
      <c r="DE209" s="223">
        <f t="shared" si="1569"/>
        <v>10.711206896551724</v>
      </c>
      <c r="DF209" s="243">
        <f t="shared" si="1570"/>
        <v>7.4676724137931032</v>
      </c>
      <c r="DG209" s="243">
        <f t="shared" si="1571"/>
        <v>22.000718390804597</v>
      </c>
      <c r="DH209" s="252">
        <f t="shared" si="1282"/>
        <v>0</v>
      </c>
      <c r="DI209" s="309">
        <f>DG209-DH209</f>
        <v>22.000718390804597</v>
      </c>
      <c r="DJ209" s="218">
        <f>IF(DG209&lt;=0,2,0)+IF(DG209&gt;0,DG209+1,0)*2+IF(DG209&gt;12,DG209-12,0)*2+IF(DG209&gt;13,DG209-13,0)*2+IF(DG209&gt;14,DG209-14,0)*2+IF(DG209&gt;15,DG209-15,0)*2+IF(DG209&gt;16,DG209-16,0)*2+IF(DG209&gt;17,DG209-17,0)*2+IF(DG209&gt;18,DG209-18,0)*2+IF(DG209&gt;19,DG209-19,0)*2+IF(DG209&gt;20,DG209-20,0)*2</f>
        <v>154.01436781609189</v>
      </c>
      <c r="DK209" s="242">
        <f>IF(DH209&lt;=0,2,0)+IF(DH209&gt;0,DH209+1,0)*2+IF(DH209&gt;12,DH209-12,0)*2+IF(DH209&gt;13,DH209-13,0)*2+IF(DH209&gt;14,DH209-14,0)*2+IF(DH209&gt;15,DH209-15,0)*2+IF(DH209&gt;16,DH209-16,0)*2+IF(DH209&gt;17,DH209-17,0)*2+IF(DH209&gt;18,DH209-18,0)*2+IF(DH209&gt;19,DH209-19,0)*2+IF(DH209&gt;20,DH209-20,0)*2</f>
        <v>2</v>
      </c>
      <c r="DL209" s="243">
        <f>IF((DJ209-DK209)&gt;0,DJ209-DK209,0)</f>
        <v>152.01436781609189</v>
      </c>
      <c r="DM209" s="218">
        <f>IF((DK209-DJ209)&gt;0,DK209-DJ209,0)</f>
        <v>0</v>
      </c>
      <c r="DO209" s="303" t="s">
        <v>404</v>
      </c>
      <c r="DP209" s="218" t="s">
        <v>170</v>
      </c>
      <c r="DQ209" s="243" t="s">
        <v>132</v>
      </c>
      <c r="DR209" s="237"/>
      <c r="DS209" s="234">
        <f>Konvention_1slave-KLslave</f>
        <v>12</v>
      </c>
      <c r="DT209" s="234">
        <f>Konvention_1slave-INslave</f>
        <v>12</v>
      </c>
      <c r="DU209" s="234"/>
      <c r="DV209" s="234">
        <f>Konvention_1slave-FFslave</f>
        <v>12</v>
      </c>
      <c r="DW209" s="234"/>
      <c r="DX209" s="234"/>
      <c r="DY209" s="224"/>
      <c r="DZ209" s="223">
        <f>(DR209+DS209+DT209+DU209+DV209+DW209+DX209+DY209)/3</f>
        <v>12</v>
      </c>
      <c r="EA209" s="223">
        <f>2*DZ209</f>
        <v>24</v>
      </c>
      <c r="EB209" s="224">
        <f>3*DZ209</f>
        <v>36</v>
      </c>
      <c r="EC209" s="237">
        <f t="shared" si="1512"/>
        <v>2304</v>
      </c>
      <c r="ED209" s="234">
        <f>DS209*DT209*FFslave+DS209*INslave*DV209+KLslave*DT209*DV209</f>
        <v>3456</v>
      </c>
      <c r="EE209" s="224">
        <f>IFERROR(DR209^SIGN(DR209),1)*IFERROR(DS209^SIGN(DS209),1)*IFERROR(DT209^SIGN(DT209),1)*IFERROR(DU209^SIGN(DU209),1)*IFERROR(DV209^SIGN(DV209),1)*IFERROR(DW209^SIGN(DW209),1)*IFERROR(DX209^SIGN(DX209),1)*IFERROR(DY209^SIGN(DY209),1)</f>
        <v>1728</v>
      </c>
      <c r="EF209" s="224">
        <f t="shared" si="1572"/>
        <v>7488</v>
      </c>
      <c r="EG209" s="222">
        <f t="shared" si="1573"/>
        <v>3.6923076923076925</v>
      </c>
      <c r="EH209" s="223">
        <f t="shared" si="1574"/>
        <v>11.076923076923077</v>
      </c>
      <c r="EI209" s="243">
        <f t="shared" si="1575"/>
        <v>8.3076923076923084</v>
      </c>
      <c r="EJ209" s="243">
        <f t="shared" si="1576"/>
        <v>23.07692307692308</v>
      </c>
      <c r="EK209" s="252">
        <f t="shared" si="1293"/>
        <v>0</v>
      </c>
      <c r="EL209" s="309">
        <f>EJ209-EK209</f>
        <v>23.07692307692308</v>
      </c>
      <c r="EM209" s="218">
        <f>IF(EJ209&lt;=0,2,0)+IF(EJ209&gt;0,EJ209+1,0)*2+IF(EJ209&gt;12,EJ209-12,0)*2+IF(EJ209&gt;13,EJ209-13,0)*2+IF(EJ209&gt;14,EJ209-14,0)*2+IF(EJ209&gt;15,EJ209-15,0)*2+IF(EJ209&gt;16,EJ209-16,0)*2+IF(EJ209&gt;17,EJ209-17,0)*2+IF(EJ209&gt;18,EJ209-18,0)*2+IF(EJ209&gt;19,EJ209-19,0)*2+IF(EJ209&gt;20,EJ209-20,0)*2</f>
        <v>175.5384615384616</v>
      </c>
      <c r="EN209" s="242">
        <f>IF(EK209&lt;=0,2,0)+IF(EK209&gt;0,EK209+1,0)*2+IF(EK209&gt;12,EK209-12,0)*2+IF(EK209&gt;13,EK209-13,0)*2+IF(EK209&gt;14,EK209-14,0)*2+IF(EK209&gt;15,EK209-15,0)*2+IF(EK209&gt;16,EK209-16,0)*2+IF(EK209&gt;17,EK209-17,0)*2+IF(EK209&gt;18,EK209-18,0)*2+IF(EK209&gt;19,EK209-19,0)*2+IF(EK209&gt;20,EK209-20,0)*2</f>
        <v>2</v>
      </c>
      <c r="EO209" s="243">
        <f>IF((EM209-EN209)&gt;0,EM209-EN209,0)</f>
        <v>173.5384615384616</v>
      </c>
      <c r="EP209" s="218">
        <f>IF((EN209-EM209)&gt;0,EN209-EM209,0)</f>
        <v>0</v>
      </c>
      <c r="ER209" s="303" t="s">
        <v>404</v>
      </c>
      <c r="ES209" s="218" t="s">
        <v>170</v>
      </c>
      <c r="ET209" s="243" t="s">
        <v>132</v>
      </c>
      <c r="EU209" s="237"/>
      <c r="EV209" s="234">
        <f>Konvention_1slave-KLslave</f>
        <v>12</v>
      </c>
      <c r="EW209" s="234">
        <f>Konvention_1slave-INslave</f>
        <v>12</v>
      </c>
      <c r="EX209" s="234"/>
      <c r="EY209" s="234">
        <f>Konvention_1slave-FFslave_FF</f>
        <v>11</v>
      </c>
      <c r="EZ209" s="234"/>
      <c r="FA209" s="234"/>
      <c r="FB209" s="224"/>
      <c r="FC209" s="223">
        <f>(EU209+EV209+EW209+EX209+EY209+EZ209+FA209+FB209)/3</f>
        <v>11.666666666666666</v>
      </c>
      <c r="FD209" s="223">
        <f>2*FC209</f>
        <v>23.333333333333332</v>
      </c>
      <c r="FE209" s="224">
        <f>3*FC209</f>
        <v>35</v>
      </c>
      <c r="FF209" s="237">
        <f t="shared" si="1513"/>
        <v>2432</v>
      </c>
      <c r="FG209" s="234">
        <f>EV209*EW209*FFslave_FF+EV209*INslave*EY209+KLslave*EW209*EY209</f>
        <v>3408</v>
      </c>
      <c r="FH209" s="224">
        <f>IFERROR(EU209^SIGN(EU209),1)*IFERROR(EV209^SIGN(EV209),1)*IFERROR(EW209^SIGN(EW209),1)*IFERROR(EX209^SIGN(EX209),1)*IFERROR(EY209^SIGN(EY209),1)*IFERROR(EZ209^SIGN(EZ209),1)*IFERROR(FA209^SIGN(FA209),1)*IFERROR(FB209^SIGN(FB209),1)</f>
        <v>1584</v>
      </c>
      <c r="FI209" s="224">
        <f t="shared" si="1577"/>
        <v>7424</v>
      </c>
      <c r="FJ209" s="222">
        <f t="shared" si="1578"/>
        <v>3.8218390804597702</v>
      </c>
      <c r="FK209" s="223">
        <f t="shared" si="1579"/>
        <v>10.711206896551724</v>
      </c>
      <c r="FL209" s="243">
        <f t="shared" si="1580"/>
        <v>7.4676724137931032</v>
      </c>
      <c r="FM209" s="243">
        <f t="shared" si="1581"/>
        <v>22.000718390804597</v>
      </c>
      <c r="FN209" s="252">
        <f t="shared" si="1304"/>
        <v>0</v>
      </c>
      <c r="FO209" s="309">
        <f>FM209-FN209</f>
        <v>22.000718390804597</v>
      </c>
      <c r="FP209" s="218">
        <f>IF(FM209&lt;=0,2,0)+IF(FM209&gt;0,FM209+1,0)*2+IF(FM209&gt;12,FM209-12,0)*2+IF(FM209&gt;13,FM209-13,0)*2+IF(FM209&gt;14,FM209-14,0)*2+IF(FM209&gt;15,FM209-15,0)*2+IF(FM209&gt;16,FM209-16,0)*2+IF(FM209&gt;17,FM209-17,0)*2+IF(FM209&gt;18,FM209-18,0)*2+IF(FM209&gt;19,FM209-19,0)*2+IF(FM209&gt;20,FM209-20,0)*2</f>
        <v>154.01436781609189</v>
      </c>
      <c r="FQ209" s="242">
        <f>IF(FN209&lt;=0,2,0)+IF(FN209&gt;0,FN209+1,0)*2+IF(FN209&gt;12,FN209-12,0)*2+IF(FN209&gt;13,FN209-13,0)*2+IF(FN209&gt;14,FN209-14,0)*2+IF(FN209&gt;15,FN209-15,0)*2+IF(FN209&gt;16,FN209-16,0)*2+IF(FN209&gt;17,FN209-17,0)*2+IF(FN209&gt;18,FN209-18,0)*2+IF(FN209&gt;19,FN209-19,0)*2+IF(FN209&gt;20,FN209-20,0)*2</f>
        <v>2</v>
      </c>
      <c r="FR209" s="243">
        <f>IF((FP209-FQ209)&gt;0,FP209-FQ209,0)</f>
        <v>152.01436781609189</v>
      </c>
      <c r="FS209" s="218">
        <f>IF((FQ209-FP209)&gt;0,FQ209-FP209,0)</f>
        <v>0</v>
      </c>
      <c r="FU209" s="303" t="s">
        <v>404</v>
      </c>
      <c r="FV209" s="218" t="s">
        <v>170</v>
      </c>
      <c r="FW209" s="243" t="s">
        <v>132</v>
      </c>
      <c r="FX209" s="237"/>
      <c r="FY209" s="234">
        <f>Konvention_1slave-KLslave</f>
        <v>12</v>
      </c>
      <c r="FZ209" s="234">
        <f>Konvention_1slave-INslave</f>
        <v>12</v>
      </c>
      <c r="GA209" s="234"/>
      <c r="GB209" s="234">
        <f>Konvention_1slave-FFslave</f>
        <v>12</v>
      </c>
      <c r="GC209" s="234"/>
      <c r="GD209" s="234"/>
      <c r="GE209" s="224"/>
      <c r="GF209" s="223">
        <f>(FX209+FY209+FZ209+GA209+GB209+GC209+GD209+GE209)/3</f>
        <v>12</v>
      </c>
      <c r="GG209" s="223">
        <f>2*GF209</f>
        <v>24</v>
      </c>
      <c r="GH209" s="224">
        <f>3*GF209</f>
        <v>36</v>
      </c>
      <c r="GI209" s="237">
        <f t="shared" si="1514"/>
        <v>2304</v>
      </c>
      <c r="GJ209" s="234">
        <f>FY209*FZ209*FFslave+FY209*INslave*GB209+KLslave*FZ209*GB209</f>
        <v>3456</v>
      </c>
      <c r="GK209" s="224">
        <f>IFERROR(FX209^SIGN(FX209),1)*IFERROR(FY209^SIGN(FY209),1)*IFERROR(FZ209^SIGN(FZ209),1)*IFERROR(GA209^SIGN(GA209),1)*IFERROR(GB209^SIGN(GB209),1)*IFERROR(GC209^SIGN(GC209),1)*IFERROR(GD209^SIGN(GD209),1)*IFERROR(GE209^SIGN(GE209),1)</f>
        <v>1728</v>
      </c>
      <c r="GL209" s="224">
        <f t="shared" si="1582"/>
        <v>7488</v>
      </c>
      <c r="GM209" s="222">
        <f t="shared" si="1583"/>
        <v>3.6923076923076925</v>
      </c>
      <c r="GN209" s="223">
        <f t="shared" si="1584"/>
        <v>11.076923076923077</v>
      </c>
      <c r="GO209" s="243">
        <f t="shared" si="1585"/>
        <v>8.3076923076923084</v>
      </c>
      <c r="GP209" s="243">
        <f t="shared" si="1586"/>
        <v>23.07692307692308</v>
      </c>
      <c r="GQ209" s="252">
        <f t="shared" si="1315"/>
        <v>0</v>
      </c>
      <c r="GR209" s="309">
        <f>GP209-GQ209</f>
        <v>23.07692307692308</v>
      </c>
      <c r="GS209" s="218">
        <f>IF(GP209&lt;=0,2,0)+IF(GP209&gt;0,GP209+1,0)*2+IF(GP209&gt;12,GP209-12,0)*2+IF(GP209&gt;13,GP209-13,0)*2+IF(GP209&gt;14,GP209-14,0)*2+IF(GP209&gt;15,GP209-15,0)*2+IF(GP209&gt;16,GP209-16,0)*2+IF(GP209&gt;17,GP209-17,0)*2+IF(GP209&gt;18,GP209-18,0)*2+IF(GP209&gt;19,GP209-19,0)*2+IF(GP209&gt;20,GP209-20,0)*2</f>
        <v>175.5384615384616</v>
      </c>
      <c r="GT209" s="242">
        <f>IF(GQ209&lt;=0,2,0)+IF(GQ209&gt;0,GQ209+1,0)*2+IF(GQ209&gt;12,GQ209-12,0)*2+IF(GQ209&gt;13,GQ209-13,0)*2+IF(GQ209&gt;14,GQ209-14,0)*2+IF(GQ209&gt;15,GQ209-15,0)*2+IF(GQ209&gt;16,GQ209-16,0)*2+IF(GQ209&gt;17,GQ209-17,0)*2+IF(GQ209&gt;18,GQ209-18,0)*2+IF(GQ209&gt;19,GQ209-19,0)*2+IF(GQ209&gt;20,GQ209-20,0)*2</f>
        <v>2</v>
      </c>
      <c r="GU209" s="243">
        <f>IF((GS209-GT209)&gt;0,GS209-GT209,0)</f>
        <v>173.5384615384616</v>
      </c>
      <c r="GV209" s="218">
        <f>IF((GT209-GS209)&gt;0,GT209-GS209,0)</f>
        <v>0</v>
      </c>
      <c r="GX209" s="303" t="s">
        <v>404</v>
      </c>
      <c r="GY209" s="218" t="s">
        <v>170</v>
      </c>
      <c r="GZ209" s="243" t="s">
        <v>132</v>
      </c>
      <c r="HA209" s="237"/>
      <c r="HB209" s="234">
        <f>Konvention_1slave-KLslave</f>
        <v>12</v>
      </c>
      <c r="HC209" s="234">
        <f>Konvention_1slave-INslave</f>
        <v>12</v>
      </c>
      <c r="HD209" s="234"/>
      <c r="HE209" s="234">
        <f>Konvention_1slave-FFslave</f>
        <v>12</v>
      </c>
      <c r="HF209" s="234"/>
      <c r="HG209" s="234"/>
      <c r="HH209" s="224"/>
      <c r="HI209" s="223">
        <f>(HA209+HB209+HC209+HD209+HE209+HF209+HG209+HH209)/3</f>
        <v>12</v>
      </c>
      <c r="HJ209" s="223">
        <f>2*HI209</f>
        <v>24</v>
      </c>
      <c r="HK209" s="224">
        <f>3*HI209</f>
        <v>36</v>
      </c>
      <c r="HL209" s="237">
        <f t="shared" si="1515"/>
        <v>2304</v>
      </c>
      <c r="HM209" s="234">
        <f>HB209*HC209*FFslave+HB209*INslave*HE209+KLslave*HC209*HE209</f>
        <v>3456</v>
      </c>
      <c r="HN209" s="224">
        <f>IFERROR(HA209^SIGN(HA209),1)*IFERROR(HB209^SIGN(HB209),1)*IFERROR(HC209^SIGN(HC209),1)*IFERROR(HD209^SIGN(HD209),1)*IFERROR(HE209^SIGN(HE209),1)*IFERROR(HF209^SIGN(HF209),1)*IFERROR(HG209^SIGN(HG209),1)*IFERROR(HH209^SIGN(HH209),1)</f>
        <v>1728</v>
      </c>
      <c r="HO209" s="224">
        <f t="shared" si="1587"/>
        <v>7488</v>
      </c>
      <c r="HP209" s="222">
        <f t="shared" si="1588"/>
        <v>3.6923076923076925</v>
      </c>
      <c r="HQ209" s="223">
        <f t="shared" si="1589"/>
        <v>11.076923076923077</v>
      </c>
      <c r="HR209" s="243">
        <f t="shared" si="1590"/>
        <v>8.3076923076923084</v>
      </c>
      <c r="HS209" s="243">
        <f t="shared" si="1591"/>
        <v>23.07692307692308</v>
      </c>
      <c r="HT209" s="252">
        <f t="shared" si="1326"/>
        <v>0</v>
      </c>
      <c r="HU209" s="309">
        <f>HS209-HT209</f>
        <v>23.07692307692308</v>
      </c>
      <c r="HV209" s="218">
        <f>IF(HS209&lt;=0,2,0)+IF(HS209&gt;0,HS209+1,0)*2+IF(HS209&gt;12,HS209-12,0)*2+IF(HS209&gt;13,HS209-13,0)*2+IF(HS209&gt;14,HS209-14,0)*2+IF(HS209&gt;15,HS209-15,0)*2+IF(HS209&gt;16,HS209-16,0)*2+IF(HS209&gt;17,HS209-17,0)*2+IF(HS209&gt;18,HS209-18,0)*2+IF(HS209&gt;19,HS209-19,0)*2+IF(HS209&gt;20,HS209-20,0)*2</f>
        <v>175.5384615384616</v>
      </c>
      <c r="HW209" s="242">
        <f>IF(HT209&lt;=0,2,0)+IF(HT209&gt;0,HT209+1,0)*2+IF(HT209&gt;12,HT209-12,0)*2+IF(HT209&gt;13,HT209-13,0)*2+IF(HT209&gt;14,HT209-14,0)*2+IF(HT209&gt;15,HT209-15,0)*2+IF(HT209&gt;16,HT209-16,0)*2+IF(HT209&gt;17,HT209-17,0)*2+IF(HT209&gt;18,HT209-18,0)*2+IF(HT209&gt;19,HT209-19,0)*2+IF(HT209&gt;20,HT209-20,0)*2</f>
        <v>2</v>
      </c>
      <c r="HX209" s="243">
        <f>IF((HV209-HW209)&gt;0,HV209-HW209,0)</f>
        <v>173.5384615384616</v>
      </c>
      <c r="HY209" s="218">
        <f>IF((HW209-HV209)&gt;0,HW209-HV209,0)</f>
        <v>0</v>
      </c>
      <c r="IA209" s="303" t="s">
        <v>404</v>
      </c>
      <c r="IB209" s="218" t="s">
        <v>170</v>
      </c>
      <c r="IC209" s="243" t="s">
        <v>132</v>
      </c>
      <c r="ID209" s="237"/>
      <c r="IE209" s="234">
        <f>Konvention_1slave-KLslave</f>
        <v>12</v>
      </c>
      <c r="IF209" s="234">
        <f>Konvention_1slave-INslave</f>
        <v>12</v>
      </c>
      <c r="IG209" s="234"/>
      <c r="IH209" s="234">
        <f>Konvention_1slave-FFslave</f>
        <v>12</v>
      </c>
      <c r="II209" s="234"/>
      <c r="IJ209" s="234"/>
      <c r="IK209" s="224"/>
      <c r="IL209" s="223">
        <f>(ID209+IE209+IF209+IG209+IH209+II209+IJ209+IK209)/3</f>
        <v>12</v>
      </c>
      <c r="IM209" s="223">
        <f>2*IL209</f>
        <v>24</v>
      </c>
      <c r="IN209" s="224">
        <f>3*IL209</f>
        <v>36</v>
      </c>
      <c r="IO209" s="237">
        <f t="shared" si="1516"/>
        <v>2304</v>
      </c>
      <c r="IP209" s="234">
        <f>IE209*IF209*FFslave+IE209*INslave*IH209+KLslave*IF209*IH209</f>
        <v>3456</v>
      </c>
      <c r="IQ209" s="224">
        <f>IFERROR(ID209^SIGN(ID209),1)*IFERROR(IE209^SIGN(IE209),1)*IFERROR(IF209^SIGN(IF209),1)*IFERROR(IG209^SIGN(IG209),1)*IFERROR(IH209^SIGN(IH209),1)*IFERROR(II209^SIGN(II209),1)*IFERROR(IJ209^SIGN(IJ209),1)*IFERROR(IK209^SIGN(IK209),1)</f>
        <v>1728</v>
      </c>
      <c r="IR209" s="224">
        <f t="shared" si="1592"/>
        <v>7488</v>
      </c>
      <c r="IS209" s="222">
        <f t="shared" si="1593"/>
        <v>3.6923076923076925</v>
      </c>
      <c r="IT209" s="223">
        <f t="shared" si="1594"/>
        <v>11.076923076923077</v>
      </c>
      <c r="IU209" s="243">
        <f t="shared" si="1595"/>
        <v>8.3076923076923084</v>
      </c>
      <c r="IV209" s="243">
        <f t="shared" si="1596"/>
        <v>23.07692307692308</v>
      </c>
      <c r="IW209" s="252">
        <f t="shared" si="1337"/>
        <v>0</v>
      </c>
      <c r="IX209" s="309">
        <f>IV209-IW209</f>
        <v>23.07692307692308</v>
      </c>
      <c r="IY209" s="218">
        <f>IF(IV209&lt;=0,2,0)+IF(IV209&gt;0,IV209+1,0)*2+IF(IV209&gt;12,IV209-12,0)*2+IF(IV209&gt;13,IV209-13,0)*2+IF(IV209&gt;14,IV209-14,0)*2+IF(IV209&gt;15,IV209-15,0)*2+IF(IV209&gt;16,IV209-16,0)*2+IF(IV209&gt;17,IV209-17,0)*2+IF(IV209&gt;18,IV209-18,0)*2+IF(IV209&gt;19,IV209-19,0)*2+IF(IV209&gt;20,IV209-20,0)*2</f>
        <v>175.5384615384616</v>
      </c>
      <c r="IZ209" s="242">
        <f>IF(IW209&lt;=0,2,0)+IF(IW209&gt;0,IW209+1,0)*2+IF(IW209&gt;12,IW209-12,0)*2+IF(IW209&gt;13,IW209-13,0)*2+IF(IW209&gt;14,IW209-14,0)*2+IF(IW209&gt;15,IW209-15,0)*2+IF(IW209&gt;16,IW209-16,0)*2+IF(IW209&gt;17,IW209-17,0)*2+IF(IW209&gt;18,IW209-18,0)*2+IF(IW209&gt;19,IW209-19,0)*2+IF(IW209&gt;20,IW209-20,0)*2</f>
        <v>2</v>
      </c>
      <c r="JA209" s="243">
        <f>IF((IY209-IZ209)&gt;0,IY209-IZ209,0)</f>
        <v>173.5384615384616</v>
      </c>
      <c r="JB209" s="218">
        <f>IF((IZ209-IY209)&gt;0,IZ209-IY209,0)</f>
        <v>0</v>
      </c>
      <c r="JE209" s="148"/>
    </row>
    <row r="210" spans="2:265" ht="15" hidden="1" customHeight="1" outlineLevel="2">
      <c r="B210" s="148">
        <v>58</v>
      </c>
      <c r="C210" s="303" t="e">
        <f>VLOOKUP(AF210,Attribute!C:T,1,FALSE)</f>
        <v>#N/A</v>
      </c>
      <c r="D210" s="125" t="s">
        <v>227</v>
      </c>
      <c r="E210" s="127" t="s">
        <v>135</v>
      </c>
      <c r="F210" s="114">
        <f>Konvention_1master-MUmaster</f>
        <v>12</v>
      </c>
      <c r="G210" s="113"/>
      <c r="H210" s="113"/>
      <c r="I210" s="113">
        <f>Konvention_1master-CHmaster</f>
        <v>12</v>
      </c>
      <c r="J210" s="113"/>
      <c r="K210" s="113"/>
      <c r="L210" s="113">
        <f>Konvention_1master-KOmaster</f>
        <v>12</v>
      </c>
      <c r="M210" s="119"/>
      <c r="N210" s="223">
        <f>(F210+G210+H210+I210+J210+K210+L210+M210)/3</f>
        <v>12</v>
      </c>
      <c r="O210" s="223">
        <f>2*N210</f>
        <v>24</v>
      </c>
      <c r="P210" s="224">
        <f>3*N210</f>
        <v>36</v>
      </c>
      <c r="Q210" s="237">
        <f t="shared" si="1508"/>
        <v>2304</v>
      </c>
      <c r="R210" s="113">
        <f>F210*I210*KOmaster+F210*CHmaster*L210+MUmaster*I210*L210</f>
        <v>3456</v>
      </c>
      <c r="S210" s="224">
        <f>IFERROR(F210^SIGN(F210),1)*IFERROR(G210^SIGN(G210),1)*IFERROR(H210^SIGN(H210),1)*IFERROR(I210^SIGN(I210),1)*IFERROR(J210^SIGN(J210),1)*IFERROR(K210^SIGN(K210),1)*IFERROR(L210^SIGN(L210),1)*IFERROR(M210^SIGN(M210),1)</f>
        <v>1728</v>
      </c>
      <c r="T210" s="224">
        <f t="shared" si="1507"/>
        <v>7488</v>
      </c>
      <c r="U210" s="222">
        <f t="shared" si="1552"/>
        <v>3.6923076923076925</v>
      </c>
      <c r="V210" s="223">
        <f t="shared" si="1553"/>
        <v>11.076923076923077</v>
      </c>
      <c r="W210" s="243">
        <f t="shared" si="1554"/>
        <v>8.3076923076923084</v>
      </c>
      <c r="X210" s="243">
        <f t="shared" si="1555"/>
        <v>23.07692307692308</v>
      </c>
      <c r="Y210" s="252">
        <v>0</v>
      </c>
      <c r="Z210" s="198">
        <f t="shared" si="1556"/>
        <v>23.07692307692308</v>
      </c>
      <c r="AA210" s="125">
        <f>IF(X210&lt;=0,3,0)+IF(X210&gt;0,X210+1,0)*3+IF(X210&gt;12,X210-12,0)*3+IF(X210&gt;13,X210-13,0)*3+IF(X210&gt;14,X210-14,0)*3+IF(X210&gt;15,X210-15,0)*3+IF(X210&gt;16,X210-16,0)*3+IF(X210&gt;17,X210-17,0)*3+IF(X210&gt;18,X210-18,0)*3+IF(X210&gt;19,X210-19,0)*3+IF(X210&gt;20,X210-20,0)*3</f>
        <v>263.30769230769232</v>
      </c>
      <c r="AB210" s="160">
        <f>IF(Y210&lt;=0,3,0)+IF(Y210&gt;0,Y210+1,0)*3+IF(Y210&gt;12,Y210-12,0)*3+IF(Y210&gt;13,Y210-13,0)*3+IF(Y210&gt;14,Y210-14,0)*3+IF(Y210&gt;15,Y210-15,0)*3+IF(Y210&gt;16,Y210-16,0)*3+IF(Y210&gt;17,Y210-17,0)*3+IF(Y210&gt;18,Y210-18,0)*3+IF(Y210&gt;19,Y210-19,0)*3+IF(Y210&gt;20,Y210-20,0)*3</f>
        <v>3</v>
      </c>
      <c r="AC210" s="127">
        <f>IF((AA210-AB210)&gt;0,AA210-AB210,0)</f>
        <v>260.30769230769232</v>
      </c>
      <c r="AD210" s="125">
        <f>IF((AB210-AA210)&gt;0,AB210-AA210,0)</f>
        <v>0</v>
      </c>
      <c r="AF210" s="163" t="s">
        <v>223</v>
      </c>
      <c r="AG210" s="125" t="s">
        <v>227</v>
      </c>
      <c r="AH210" s="127" t="s">
        <v>135</v>
      </c>
      <c r="AI210" s="114">
        <f>Konvention_1slave-MUslave_MU</f>
        <v>11</v>
      </c>
      <c r="AJ210" s="113"/>
      <c r="AK210" s="113"/>
      <c r="AL210" s="113">
        <f>Konvention_1slave-CHslave</f>
        <v>12</v>
      </c>
      <c r="AM210" s="113"/>
      <c r="AN210" s="113"/>
      <c r="AO210" s="113">
        <f>Konvention_1slave-KOslave</f>
        <v>12</v>
      </c>
      <c r="AP210" s="119"/>
      <c r="AQ210" s="47">
        <f>(AI210+AJ210+AK210+AL210+AM210+AN210+AO210+AP210)/3</f>
        <v>11.666666666666666</v>
      </c>
      <c r="AR210" s="47">
        <f>2*AQ210</f>
        <v>23.333333333333332</v>
      </c>
      <c r="AS210" s="119">
        <f>3*AQ210</f>
        <v>35</v>
      </c>
      <c r="AT210" s="114">
        <f t="shared" si="1509"/>
        <v>2432</v>
      </c>
      <c r="AU210" s="113">
        <f>AI210*AL210*KOslave+AI210*CHslave*AO210+MUslave_MU*AL210*AO210</f>
        <v>3408</v>
      </c>
      <c r="AV210" s="119">
        <f>IFERROR(AI210^SIGN(AI210),1)*IFERROR(AJ210^SIGN(AJ210),1)*IFERROR(AK210^SIGN(AK210),1)*IFERROR(AL210^SIGN(AL210),1)*IFERROR(AM210^SIGN(AM210),1)*IFERROR(AN210^SIGN(AN210),1)*IFERROR(AO210^SIGN(AO210),1)*IFERROR(AP210^SIGN(AP210),1)</f>
        <v>1584</v>
      </c>
      <c r="AW210" s="119">
        <f t="shared" si="1557"/>
        <v>7424</v>
      </c>
      <c r="AX210" s="89">
        <f t="shared" si="1558"/>
        <v>3.8218390804597702</v>
      </c>
      <c r="AY210" s="47">
        <f t="shared" si="1559"/>
        <v>10.711206896551724</v>
      </c>
      <c r="AZ210" s="127">
        <f t="shared" si="1560"/>
        <v>7.4676724137931032</v>
      </c>
      <c r="BA210" s="127">
        <f t="shared" si="1561"/>
        <v>22.000718390804597</v>
      </c>
      <c r="BB210" s="165">
        <f t="shared" si="1260"/>
        <v>0</v>
      </c>
      <c r="BC210" s="198">
        <f>BA210-BB210</f>
        <v>22.000718390804597</v>
      </c>
      <c r="BD210" s="125">
        <f>IF(BA210&lt;=0,3,0)+IF(BA210&gt;0,BA210+1,0)*3+IF(BA210&gt;12,BA210-12,0)*3+IF(BA210&gt;13,BA210-13,0)*3+IF(BA210&gt;14,BA210-14,0)*3+IF(BA210&gt;15,BA210-15,0)*3+IF(BA210&gt;16,BA210-16,0)*3+IF(BA210&gt;17,BA210-17,0)*3+IF(BA210&gt;18,BA210-18,0)*3+IF(BA210&gt;19,BA210-19,0)*3+IF(BA210&gt;20,BA210-20,0)*3</f>
        <v>231.02155172413785</v>
      </c>
      <c r="BE210" s="160">
        <f>IF(BB210&lt;=0,3,0)+IF(BB210&gt;0,BB210+1,0)*3+IF(BB210&gt;12,BB210-12,0)*3+IF(BB210&gt;13,BB210-13,0)*3+IF(BB210&gt;14,BB210-14,0)*3+IF(BB210&gt;15,BB210-15,0)*3+IF(BB210&gt;16,BB210-16,0)*3+IF(BB210&gt;17,BB210-17,0)*3+IF(BB210&gt;18,BB210-18,0)*3+IF(BB210&gt;19,BB210-19,0)*3+IF(BB210&gt;20,BB210-20,0)*3</f>
        <v>3</v>
      </c>
      <c r="BF210" s="243">
        <f>IF((BD210-BE210)&gt;0,BD210-BE210,0)</f>
        <v>228.02155172413785</v>
      </c>
      <c r="BG210" s="218">
        <f>IF((BE210-BD210)&gt;0,BE210-BD210,0)</f>
        <v>0</v>
      </c>
      <c r="BI210" s="303" t="s">
        <v>223</v>
      </c>
      <c r="BJ210" s="218" t="s">
        <v>227</v>
      </c>
      <c r="BK210" s="243" t="s">
        <v>135</v>
      </c>
      <c r="BL210" s="237">
        <f>Konvention_1slave-MUslave</f>
        <v>12</v>
      </c>
      <c r="BM210" s="234"/>
      <c r="BN210" s="234"/>
      <c r="BO210" s="234">
        <f>Konvention_1slave-CHslave</f>
        <v>12</v>
      </c>
      <c r="BP210" s="234"/>
      <c r="BQ210" s="234"/>
      <c r="BR210" s="234">
        <f>Konvention_1slave-KOslave</f>
        <v>12</v>
      </c>
      <c r="BS210" s="224"/>
      <c r="BT210" s="223">
        <f>(BL210+BM210+BN210+BO210+BP210+BQ210+BR210+BS210)/3</f>
        <v>12</v>
      </c>
      <c r="BU210" s="223">
        <f>2*BT210</f>
        <v>24</v>
      </c>
      <c r="BV210" s="224">
        <f>3*BT210</f>
        <v>36</v>
      </c>
      <c r="BW210" s="237">
        <f t="shared" si="1510"/>
        <v>2304</v>
      </c>
      <c r="BX210" s="234">
        <f>BL210*BO210*KOslave+BL210*CHslave*BR210+MUslave*BO210*BR210</f>
        <v>3456</v>
      </c>
      <c r="BY210" s="224">
        <f>IFERROR(BL210^SIGN(BL210),1)*IFERROR(BM210^SIGN(BM210),1)*IFERROR(BN210^SIGN(BN210),1)*IFERROR(BO210^SIGN(BO210),1)*IFERROR(BP210^SIGN(BP210),1)*IFERROR(BQ210^SIGN(BQ210),1)*IFERROR(BR210^SIGN(BR210),1)*IFERROR(BS210^SIGN(BS210),1)</f>
        <v>1728</v>
      </c>
      <c r="BZ210" s="224">
        <f t="shared" si="1562"/>
        <v>7488</v>
      </c>
      <c r="CA210" s="222">
        <f t="shared" si="1563"/>
        <v>3.6923076923076925</v>
      </c>
      <c r="CB210" s="223">
        <f t="shared" si="1564"/>
        <v>11.076923076923077</v>
      </c>
      <c r="CC210" s="243">
        <f t="shared" si="1565"/>
        <v>8.3076923076923084</v>
      </c>
      <c r="CD210" s="243">
        <f t="shared" si="1566"/>
        <v>23.07692307692308</v>
      </c>
      <c r="CE210" s="252">
        <f t="shared" si="1271"/>
        <v>0</v>
      </c>
      <c r="CF210" s="309">
        <f>CD210-CE210</f>
        <v>23.07692307692308</v>
      </c>
      <c r="CG210" s="218">
        <f>IF(CD210&lt;=0,3,0)+IF(CD210&gt;0,CD210+1,0)*3+IF(CD210&gt;12,CD210-12,0)*3+IF(CD210&gt;13,CD210-13,0)*3+IF(CD210&gt;14,CD210-14,0)*3+IF(CD210&gt;15,CD210-15,0)*3+IF(CD210&gt;16,CD210-16,0)*3+IF(CD210&gt;17,CD210-17,0)*3+IF(CD210&gt;18,CD210-18,0)*3+IF(CD210&gt;19,CD210-19,0)*3+IF(CD210&gt;20,CD210-20,0)*3</f>
        <v>263.30769230769232</v>
      </c>
      <c r="CH210" s="242">
        <f>IF(CE210&lt;=0,3,0)+IF(CE210&gt;0,CE210+1,0)*3+IF(CE210&gt;12,CE210-12,0)*3+IF(CE210&gt;13,CE210-13,0)*3+IF(CE210&gt;14,CE210-14,0)*3+IF(CE210&gt;15,CE210-15,0)*3+IF(CE210&gt;16,CE210-16,0)*3+IF(CE210&gt;17,CE210-17,0)*3+IF(CE210&gt;18,CE210-18,0)*3+IF(CE210&gt;19,CE210-19,0)*3+IF(CE210&gt;20,CE210-20,0)*3</f>
        <v>3</v>
      </c>
      <c r="CI210" s="243">
        <f>IF((CG210-CH210)&gt;0,CG210-CH210,0)</f>
        <v>260.30769230769232</v>
      </c>
      <c r="CJ210" s="218">
        <f>IF((CH210-CG210)&gt;0,CH210-CG210,0)</f>
        <v>0</v>
      </c>
      <c r="CL210" s="303" t="s">
        <v>223</v>
      </c>
      <c r="CM210" s="218" t="s">
        <v>227</v>
      </c>
      <c r="CN210" s="243" t="s">
        <v>135</v>
      </c>
      <c r="CO210" s="237">
        <f>Konvention_1slave-MUslave</f>
        <v>12</v>
      </c>
      <c r="CP210" s="234"/>
      <c r="CQ210" s="234"/>
      <c r="CR210" s="234">
        <f>Konvention_1slave-CHslave</f>
        <v>12</v>
      </c>
      <c r="CS210" s="234"/>
      <c r="CT210" s="234"/>
      <c r="CU210" s="234">
        <f>Konvention_1slave-KOslave</f>
        <v>12</v>
      </c>
      <c r="CV210" s="224"/>
      <c r="CW210" s="223">
        <f>(CO210+CP210+CQ210+CR210+CS210+CT210+CU210+CV210)/3</f>
        <v>12</v>
      </c>
      <c r="CX210" s="223">
        <f>2*CW210</f>
        <v>24</v>
      </c>
      <c r="CY210" s="224">
        <f>3*CW210</f>
        <v>36</v>
      </c>
      <c r="CZ210" s="237">
        <f t="shared" si="1511"/>
        <v>2304</v>
      </c>
      <c r="DA210" s="234">
        <f>CO210*CR210*KOslave+CO210*CHslave*CU210+MUslave*CR210*CU210</f>
        <v>3456</v>
      </c>
      <c r="DB210" s="224">
        <f>IFERROR(CO210^SIGN(CO210),1)*IFERROR(CP210^SIGN(CP210),1)*IFERROR(CQ210^SIGN(CQ210),1)*IFERROR(CR210^SIGN(CR210),1)*IFERROR(CS210^SIGN(CS210),1)*IFERROR(CT210^SIGN(CT210),1)*IFERROR(CU210^SIGN(CU210),1)*IFERROR(CV210^SIGN(CV210),1)</f>
        <v>1728</v>
      </c>
      <c r="DC210" s="224">
        <f t="shared" si="1567"/>
        <v>7488</v>
      </c>
      <c r="DD210" s="222">
        <f t="shared" si="1568"/>
        <v>3.6923076923076925</v>
      </c>
      <c r="DE210" s="223">
        <f t="shared" si="1569"/>
        <v>11.076923076923077</v>
      </c>
      <c r="DF210" s="243">
        <f t="shared" si="1570"/>
        <v>8.3076923076923084</v>
      </c>
      <c r="DG210" s="243">
        <f t="shared" si="1571"/>
        <v>23.07692307692308</v>
      </c>
      <c r="DH210" s="252">
        <f t="shared" si="1282"/>
        <v>0</v>
      </c>
      <c r="DI210" s="309">
        <f>DG210-DH210</f>
        <v>23.07692307692308</v>
      </c>
      <c r="DJ210" s="218">
        <f>IF(DG210&lt;=0,3,0)+IF(DG210&gt;0,DG210+1,0)*3+IF(DG210&gt;12,DG210-12,0)*3+IF(DG210&gt;13,DG210-13,0)*3+IF(DG210&gt;14,DG210-14,0)*3+IF(DG210&gt;15,DG210-15,0)*3+IF(DG210&gt;16,DG210-16,0)*3+IF(DG210&gt;17,DG210-17,0)*3+IF(DG210&gt;18,DG210-18,0)*3+IF(DG210&gt;19,DG210-19,0)*3+IF(DG210&gt;20,DG210-20,0)*3</f>
        <v>263.30769230769232</v>
      </c>
      <c r="DK210" s="242">
        <f>IF(DH210&lt;=0,3,0)+IF(DH210&gt;0,DH210+1,0)*3+IF(DH210&gt;12,DH210-12,0)*3+IF(DH210&gt;13,DH210-13,0)*3+IF(DH210&gt;14,DH210-14,0)*3+IF(DH210&gt;15,DH210-15,0)*3+IF(DH210&gt;16,DH210-16,0)*3+IF(DH210&gt;17,DH210-17,0)*3+IF(DH210&gt;18,DH210-18,0)*3+IF(DH210&gt;19,DH210-19,0)*3+IF(DH210&gt;20,DH210-20,0)*3</f>
        <v>3</v>
      </c>
      <c r="DL210" s="243">
        <f>IF((DJ210-DK210)&gt;0,DJ210-DK210,0)</f>
        <v>260.30769230769232</v>
      </c>
      <c r="DM210" s="218">
        <f>IF((DK210-DJ210)&gt;0,DK210-DJ210,0)</f>
        <v>0</v>
      </c>
      <c r="DO210" s="303" t="s">
        <v>223</v>
      </c>
      <c r="DP210" s="218" t="s">
        <v>227</v>
      </c>
      <c r="DQ210" s="243" t="s">
        <v>135</v>
      </c>
      <c r="DR210" s="237">
        <f>Konvention_1slave-MUslave</f>
        <v>12</v>
      </c>
      <c r="DS210" s="234"/>
      <c r="DT210" s="234"/>
      <c r="DU210" s="234">
        <f>Konvention_1slave-CHslave_CH</f>
        <v>11</v>
      </c>
      <c r="DV210" s="234"/>
      <c r="DW210" s="234"/>
      <c r="DX210" s="234">
        <f>Konvention_1slave-KOslave</f>
        <v>12</v>
      </c>
      <c r="DY210" s="224"/>
      <c r="DZ210" s="223">
        <f>(DR210+DS210+DT210+DU210+DV210+DW210+DX210+DY210)/3</f>
        <v>11.666666666666666</v>
      </c>
      <c r="EA210" s="223">
        <f>2*DZ210</f>
        <v>23.333333333333332</v>
      </c>
      <c r="EB210" s="224">
        <f>3*DZ210</f>
        <v>35</v>
      </c>
      <c r="EC210" s="237">
        <f t="shared" si="1512"/>
        <v>2432</v>
      </c>
      <c r="ED210" s="234">
        <f>DR210*DU210*KOslave+DR210*CHslave_CH*DX210+MUslave*DU210*DX210</f>
        <v>3408</v>
      </c>
      <c r="EE210" s="224">
        <f>IFERROR(DR210^SIGN(DR210),1)*IFERROR(DS210^SIGN(DS210),1)*IFERROR(DT210^SIGN(DT210),1)*IFERROR(DU210^SIGN(DU210),1)*IFERROR(DV210^SIGN(DV210),1)*IFERROR(DW210^SIGN(DW210),1)*IFERROR(DX210^SIGN(DX210),1)*IFERROR(DY210^SIGN(DY210),1)</f>
        <v>1584</v>
      </c>
      <c r="EF210" s="224">
        <f t="shared" si="1572"/>
        <v>7424</v>
      </c>
      <c r="EG210" s="222">
        <f t="shared" si="1573"/>
        <v>3.8218390804597702</v>
      </c>
      <c r="EH210" s="223">
        <f t="shared" si="1574"/>
        <v>10.711206896551724</v>
      </c>
      <c r="EI210" s="243">
        <f t="shared" si="1575"/>
        <v>7.4676724137931032</v>
      </c>
      <c r="EJ210" s="243">
        <f t="shared" si="1576"/>
        <v>22.000718390804597</v>
      </c>
      <c r="EK210" s="252">
        <f t="shared" si="1293"/>
        <v>0</v>
      </c>
      <c r="EL210" s="309">
        <f>EJ210-EK210</f>
        <v>22.000718390804597</v>
      </c>
      <c r="EM210" s="218">
        <f>IF(EJ210&lt;=0,3,0)+IF(EJ210&gt;0,EJ210+1,0)*3+IF(EJ210&gt;12,EJ210-12,0)*3+IF(EJ210&gt;13,EJ210-13,0)*3+IF(EJ210&gt;14,EJ210-14,0)*3+IF(EJ210&gt;15,EJ210-15,0)*3+IF(EJ210&gt;16,EJ210-16,0)*3+IF(EJ210&gt;17,EJ210-17,0)*3+IF(EJ210&gt;18,EJ210-18,0)*3+IF(EJ210&gt;19,EJ210-19,0)*3+IF(EJ210&gt;20,EJ210-20,0)*3</f>
        <v>231.02155172413785</v>
      </c>
      <c r="EN210" s="242">
        <f>IF(EK210&lt;=0,3,0)+IF(EK210&gt;0,EK210+1,0)*3+IF(EK210&gt;12,EK210-12,0)*3+IF(EK210&gt;13,EK210-13,0)*3+IF(EK210&gt;14,EK210-14,0)*3+IF(EK210&gt;15,EK210-15,0)*3+IF(EK210&gt;16,EK210-16,0)*3+IF(EK210&gt;17,EK210-17,0)*3+IF(EK210&gt;18,EK210-18,0)*3+IF(EK210&gt;19,EK210-19,0)*3+IF(EK210&gt;20,EK210-20,0)*3</f>
        <v>3</v>
      </c>
      <c r="EO210" s="243">
        <f>IF((EM210-EN210)&gt;0,EM210-EN210,0)</f>
        <v>228.02155172413785</v>
      </c>
      <c r="EP210" s="218">
        <f>IF((EN210-EM210)&gt;0,EN210-EM210,0)</f>
        <v>0</v>
      </c>
      <c r="ER210" s="303" t="s">
        <v>223</v>
      </c>
      <c r="ES210" s="218" t="s">
        <v>227</v>
      </c>
      <c r="ET210" s="243" t="s">
        <v>135</v>
      </c>
      <c r="EU210" s="237">
        <f>Konvention_1slave-MUslave</f>
        <v>12</v>
      </c>
      <c r="EV210" s="234"/>
      <c r="EW210" s="234"/>
      <c r="EX210" s="234">
        <f>Konvention_1slave-CHslave</f>
        <v>12</v>
      </c>
      <c r="EY210" s="234"/>
      <c r="EZ210" s="234"/>
      <c r="FA210" s="234">
        <f>Konvention_1slave-KOslave</f>
        <v>12</v>
      </c>
      <c r="FB210" s="224"/>
      <c r="FC210" s="223">
        <f>(EU210+EV210+EW210+EX210+EY210+EZ210+FA210+FB210)/3</f>
        <v>12</v>
      </c>
      <c r="FD210" s="223">
        <f>2*FC210</f>
        <v>24</v>
      </c>
      <c r="FE210" s="224">
        <f>3*FC210</f>
        <v>36</v>
      </c>
      <c r="FF210" s="237">
        <f t="shared" si="1513"/>
        <v>2304</v>
      </c>
      <c r="FG210" s="234">
        <f>EU210*EX210*KOslave+EU210*CHslave*FA210+MUslave*EX210*FA210</f>
        <v>3456</v>
      </c>
      <c r="FH210" s="224">
        <f>IFERROR(EU210^SIGN(EU210),1)*IFERROR(EV210^SIGN(EV210),1)*IFERROR(EW210^SIGN(EW210),1)*IFERROR(EX210^SIGN(EX210),1)*IFERROR(EY210^SIGN(EY210),1)*IFERROR(EZ210^SIGN(EZ210),1)*IFERROR(FA210^SIGN(FA210),1)*IFERROR(FB210^SIGN(FB210),1)</f>
        <v>1728</v>
      </c>
      <c r="FI210" s="224">
        <f t="shared" si="1577"/>
        <v>7488</v>
      </c>
      <c r="FJ210" s="222">
        <f t="shared" si="1578"/>
        <v>3.6923076923076925</v>
      </c>
      <c r="FK210" s="223">
        <f t="shared" si="1579"/>
        <v>11.076923076923077</v>
      </c>
      <c r="FL210" s="243">
        <f t="shared" si="1580"/>
        <v>8.3076923076923084</v>
      </c>
      <c r="FM210" s="243">
        <f t="shared" si="1581"/>
        <v>23.07692307692308</v>
      </c>
      <c r="FN210" s="252">
        <f t="shared" si="1304"/>
        <v>0</v>
      </c>
      <c r="FO210" s="309">
        <f>FM210-FN210</f>
        <v>23.07692307692308</v>
      </c>
      <c r="FP210" s="218">
        <f>IF(FM210&lt;=0,3,0)+IF(FM210&gt;0,FM210+1,0)*3+IF(FM210&gt;12,FM210-12,0)*3+IF(FM210&gt;13,FM210-13,0)*3+IF(FM210&gt;14,FM210-14,0)*3+IF(FM210&gt;15,FM210-15,0)*3+IF(FM210&gt;16,FM210-16,0)*3+IF(FM210&gt;17,FM210-17,0)*3+IF(FM210&gt;18,FM210-18,0)*3+IF(FM210&gt;19,FM210-19,0)*3+IF(FM210&gt;20,FM210-20,0)*3</f>
        <v>263.30769230769232</v>
      </c>
      <c r="FQ210" s="242">
        <f>IF(FN210&lt;=0,3,0)+IF(FN210&gt;0,FN210+1,0)*3+IF(FN210&gt;12,FN210-12,0)*3+IF(FN210&gt;13,FN210-13,0)*3+IF(FN210&gt;14,FN210-14,0)*3+IF(FN210&gt;15,FN210-15,0)*3+IF(FN210&gt;16,FN210-16,0)*3+IF(FN210&gt;17,FN210-17,0)*3+IF(FN210&gt;18,FN210-18,0)*3+IF(FN210&gt;19,FN210-19,0)*3+IF(FN210&gt;20,FN210-20,0)*3</f>
        <v>3</v>
      </c>
      <c r="FR210" s="243">
        <f>IF((FP210-FQ210)&gt;0,FP210-FQ210,0)</f>
        <v>260.30769230769232</v>
      </c>
      <c r="FS210" s="218">
        <f>IF((FQ210-FP210)&gt;0,FQ210-FP210,0)</f>
        <v>0</v>
      </c>
      <c r="FU210" s="303" t="s">
        <v>223</v>
      </c>
      <c r="FV210" s="218" t="s">
        <v>227</v>
      </c>
      <c r="FW210" s="243" t="s">
        <v>135</v>
      </c>
      <c r="FX210" s="237">
        <f>Konvention_1slave-MUslave</f>
        <v>12</v>
      </c>
      <c r="FY210" s="234"/>
      <c r="FZ210" s="234"/>
      <c r="GA210" s="234">
        <f>Konvention_1slave-CHslave</f>
        <v>12</v>
      </c>
      <c r="GB210" s="234"/>
      <c r="GC210" s="234"/>
      <c r="GD210" s="234">
        <f>Konvention_1slave-KOslave</f>
        <v>12</v>
      </c>
      <c r="GE210" s="224"/>
      <c r="GF210" s="223">
        <f>(FX210+FY210+FZ210+GA210+GB210+GC210+GD210+GE210)/3</f>
        <v>12</v>
      </c>
      <c r="GG210" s="223">
        <f>2*GF210</f>
        <v>24</v>
      </c>
      <c r="GH210" s="224">
        <f>3*GF210</f>
        <v>36</v>
      </c>
      <c r="GI210" s="237">
        <f t="shared" si="1514"/>
        <v>2304</v>
      </c>
      <c r="GJ210" s="234">
        <f>FX210*GA210*KOslave+FX210*CHslave*GD210+MUslave*GA210*GD210</f>
        <v>3456</v>
      </c>
      <c r="GK210" s="224">
        <f>IFERROR(FX210^SIGN(FX210),1)*IFERROR(FY210^SIGN(FY210),1)*IFERROR(FZ210^SIGN(FZ210),1)*IFERROR(GA210^SIGN(GA210),1)*IFERROR(GB210^SIGN(GB210),1)*IFERROR(GC210^SIGN(GC210),1)*IFERROR(GD210^SIGN(GD210),1)*IFERROR(GE210^SIGN(GE210),1)</f>
        <v>1728</v>
      </c>
      <c r="GL210" s="224">
        <f t="shared" si="1582"/>
        <v>7488</v>
      </c>
      <c r="GM210" s="222">
        <f t="shared" si="1583"/>
        <v>3.6923076923076925</v>
      </c>
      <c r="GN210" s="223">
        <f t="shared" si="1584"/>
        <v>11.076923076923077</v>
      </c>
      <c r="GO210" s="243">
        <f t="shared" si="1585"/>
        <v>8.3076923076923084</v>
      </c>
      <c r="GP210" s="243">
        <f t="shared" si="1586"/>
        <v>23.07692307692308</v>
      </c>
      <c r="GQ210" s="252">
        <f t="shared" si="1315"/>
        <v>0</v>
      </c>
      <c r="GR210" s="309">
        <f>GP210-GQ210</f>
        <v>23.07692307692308</v>
      </c>
      <c r="GS210" s="218">
        <f>IF(GP210&lt;=0,3,0)+IF(GP210&gt;0,GP210+1,0)*3+IF(GP210&gt;12,GP210-12,0)*3+IF(GP210&gt;13,GP210-13,0)*3+IF(GP210&gt;14,GP210-14,0)*3+IF(GP210&gt;15,GP210-15,0)*3+IF(GP210&gt;16,GP210-16,0)*3+IF(GP210&gt;17,GP210-17,0)*3+IF(GP210&gt;18,GP210-18,0)*3+IF(GP210&gt;19,GP210-19,0)*3+IF(GP210&gt;20,GP210-20,0)*3</f>
        <v>263.30769230769232</v>
      </c>
      <c r="GT210" s="242">
        <f>IF(GQ210&lt;=0,3,0)+IF(GQ210&gt;0,GQ210+1,0)*3+IF(GQ210&gt;12,GQ210-12,0)*3+IF(GQ210&gt;13,GQ210-13,0)*3+IF(GQ210&gt;14,GQ210-14,0)*3+IF(GQ210&gt;15,GQ210-15,0)*3+IF(GQ210&gt;16,GQ210-16,0)*3+IF(GQ210&gt;17,GQ210-17,0)*3+IF(GQ210&gt;18,GQ210-18,0)*3+IF(GQ210&gt;19,GQ210-19,0)*3+IF(GQ210&gt;20,GQ210-20,0)*3</f>
        <v>3</v>
      </c>
      <c r="GU210" s="243">
        <f>IF((GS210-GT210)&gt;0,GS210-GT210,0)</f>
        <v>260.30769230769232</v>
      </c>
      <c r="GV210" s="218">
        <f>IF((GT210-GS210)&gt;0,GT210-GS210,0)</f>
        <v>0</v>
      </c>
      <c r="GX210" s="303" t="s">
        <v>223</v>
      </c>
      <c r="GY210" s="218" t="s">
        <v>227</v>
      </c>
      <c r="GZ210" s="243" t="s">
        <v>135</v>
      </c>
      <c r="HA210" s="237">
        <f>Konvention_1slave-MUslave</f>
        <v>12</v>
      </c>
      <c r="HB210" s="234"/>
      <c r="HC210" s="234"/>
      <c r="HD210" s="234">
        <f>Konvention_1slave-CHslave</f>
        <v>12</v>
      </c>
      <c r="HE210" s="234"/>
      <c r="HF210" s="234"/>
      <c r="HG210" s="234">
        <f>Konvention_1slave-KOslave_KO</f>
        <v>11</v>
      </c>
      <c r="HH210" s="224"/>
      <c r="HI210" s="223">
        <f>(HA210+HB210+HC210+HD210+HE210+HF210+HG210+HH210)/3</f>
        <v>11.666666666666666</v>
      </c>
      <c r="HJ210" s="223">
        <f>2*HI210</f>
        <v>23.333333333333332</v>
      </c>
      <c r="HK210" s="224">
        <f>3*HI210</f>
        <v>35</v>
      </c>
      <c r="HL210" s="237">
        <f t="shared" si="1515"/>
        <v>2432</v>
      </c>
      <c r="HM210" s="234">
        <f>HA210*HD210*KOslave_KO+HA210*CHslave*HG210+MUslave*HD210*HG210</f>
        <v>3408</v>
      </c>
      <c r="HN210" s="224">
        <f>IFERROR(HA210^SIGN(HA210),1)*IFERROR(HB210^SIGN(HB210),1)*IFERROR(HC210^SIGN(HC210),1)*IFERROR(HD210^SIGN(HD210),1)*IFERROR(HE210^SIGN(HE210),1)*IFERROR(HF210^SIGN(HF210),1)*IFERROR(HG210^SIGN(HG210),1)*IFERROR(HH210^SIGN(HH210),1)</f>
        <v>1584</v>
      </c>
      <c r="HO210" s="224">
        <f t="shared" si="1587"/>
        <v>7424</v>
      </c>
      <c r="HP210" s="222">
        <f t="shared" si="1588"/>
        <v>3.8218390804597702</v>
      </c>
      <c r="HQ210" s="223">
        <f t="shared" si="1589"/>
        <v>10.711206896551724</v>
      </c>
      <c r="HR210" s="243">
        <f t="shared" si="1590"/>
        <v>7.4676724137931032</v>
      </c>
      <c r="HS210" s="243">
        <f t="shared" si="1591"/>
        <v>22.000718390804597</v>
      </c>
      <c r="HT210" s="252">
        <f t="shared" si="1326"/>
        <v>0</v>
      </c>
      <c r="HU210" s="309">
        <f>HS210-HT210</f>
        <v>22.000718390804597</v>
      </c>
      <c r="HV210" s="218">
        <f>IF(HS210&lt;=0,3,0)+IF(HS210&gt;0,HS210+1,0)*3+IF(HS210&gt;12,HS210-12,0)*3+IF(HS210&gt;13,HS210-13,0)*3+IF(HS210&gt;14,HS210-14,0)*3+IF(HS210&gt;15,HS210-15,0)*3+IF(HS210&gt;16,HS210-16,0)*3+IF(HS210&gt;17,HS210-17,0)*3+IF(HS210&gt;18,HS210-18,0)*3+IF(HS210&gt;19,HS210-19,0)*3+IF(HS210&gt;20,HS210-20,0)*3</f>
        <v>231.02155172413785</v>
      </c>
      <c r="HW210" s="242">
        <f>IF(HT210&lt;=0,3,0)+IF(HT210&gt;0,HT210+1,0)*3+IF(HT210&gt;12,HT210-12,0)*3+IF(HT210&gt;13,HT210-13,0)*3+IF(HT210&gt;14,HT210-14,0)*3+IF(HT210&gt;15,HT210-15,0)*3+IF(HT210&gt;16,HT210-16,0)*3+IF(HT210&gt;17,HT210-17,0)*3+IF(HT210&gt;18,HT210-18,0)*3+IF(HT210&gt;19,HT210-19,0)*3+IF(HT210&gt;20,HT210-20,0)*3</f>
        <v>3</v>
      </c>
      <c r="HX210" s="243">
        <f>IF((HV210-HW210)&gt;0,HV210-HW210,0)</f>
        <v>228.02155172413785</v>
      </c>
      <c r="HY210" s="218">
        <f>IF((HW210-HV210)&gt;0,HW210-HV210,0)</f>
        <v>0</v>
      </c>
      <c r="IA210" s="303" t="s">
        <v>223</v>
      </c>
      <c r="IB210" s="218" t="s">
        <v>227</v>
      </c>
      <c r="IC210" s="243" t="s">
        <v>135</v>
      </c>
      <c r="ID210" s="237">
        <f>Konvention_1slave-MUslave</f>
        <v>12</v>
      </c>
      <c r="IE210" s="234"/>
      <c r="IF210" s="234"/>
      <c r="IG210" s="234">
        <f>Konvention_1slave-CHslave</f>
        <v>12</v>
      </c>
      <c r="IH210" s="234"/>
      <c r="II210" s="234"/>
      <c r="IJ210" s="234">
        <f>Konvention_1slave-KOslave</f>
        <v>12</v>
      </c>
      <c r="IK210" s="224"/>
      <c r="IL210" s="223">
        <f>(ID210+IE210+IF210+IG210+IH210+II210+IJ210+IK210)/3</f>
        <v>12</v>
      </c>
      <c r="IM210" s="223">
        <f>2*IL210</f>
        <v>24</v>
      </c>
      <c r="IN210" s="224">
        <f>3*IL210</f>
        <v>36</v>
      </c>
      <c r="IO210" s="237">
        <f t="shared" si="1516"/>
        <v>2304</v>
      </c>
      <c r="IP210" s="234">
        <f>ID210*IG210*KOslave+ID210*CHslave*IJ210+MUslave*IG210*IJ210</f>
        <v>3456</v>
      </c>
      <c r="IQ210" s="224">
        <f>IFERROR(ID210^SIGN(ID210),1)*IFERROR(IE210^SIGN(IE210),1)*IFERROR(IF210^SIGN(IF210),1)*IFERROR(IG210^SIGN(IG210),1)*IFERROR(IH210^SIGN(IH210),1)*IFERROR(II210^SIGN(II210),1)*IFERROR(IJ210^SIGN(IJ210),1)*IFERROR(IK210^SIGN(IK210),1)</f>
        <v>1728</v>
      </c>
      <c r="IR210" s="224">
        <f t="shared" si="1592"/>
        <v>7488</v>
      </c>
      <c r="IS210" s="222">
        <f t="shared" si="1593"/>
        <v>3.6923076923076925</v>
      </c>
      <c r="IT210" s="223">
        <f t="shared" si="1594"/>
        <v>11.076923076923077</v>
      </c>
      <c r="IU210" s="243">
        <f t="shared" si="1595"/>
        <v>8.3076923076923084</v>
      </c>
      <c r="IV210" s="243">
        <f t="shared" si="1596"/>
        <v>23.07692307692308</v>
      </c>
      <c r="IW210" s="252">
        <f t="shared" si="1337"/>
        <v>0</v>
      </c>
      <c r="IX210" s="309">
        <f>IV210-IW210</f>
        <v>23.07692307692308</v>
      </c>
      <c r="IY210" s="218">
        <f>IF(IV210&lt;=0,3,0)+IF(IV210&gt;0,IV210+1,0)*3+IF(IV210&gt;12,IV210-12,0)*3+IF(IV210&gt;13,IV210-13,0)*3+IF(IV210&gt;14,IV210-14,0)*3+IF(IV210&gt;15,IV210-15,0)*3+IF(IV210&gt;16,IV210-16,0)*3+IF(IV210&gt;17,IV210-17,0)*3+IF(IV210&gt;18,IV210-18,0)*3+IF(IV210&gt;19,IV210-19,0)*3+IF(IV210&gt;20,IV210-20,0)*3</f>
        <v>263.30769230769232</v>
      </c>
      <c r="IZ210" s="242">
        <f>IF(IW210&lt;=0,3,0)+IF(IW210&gt;0,IW210+1,0)*3+IF(IW210&gt;12,IW210-12,0)*3+IF(IW210&gt;13,IW210-13,0)*3+IF(IW210&gt;14,IW210-14,0)*3+IF(IW210&gt;15,IW210-15,0)*3+IF(IW210&gt;16,IW210-16,0)*3+IF(IW210&gt;17,IW210-17,0)*3+IF(IW210&gt;18,IW210-18,0)*3+IF(IW210&gt;19,IW210-19,0)*3+IF(IW210&gt;20,IW210-20,0)*3</f>
        <v>3</v>
      </c>
      <c r="JA210" s="243">
        <f>IF((IY210-IZ210)&gt;0,IY210-IZ210,0)</f>
        <v>260.30769230769232</v>
      </c>
      <c r="JB210" s="218">
        <f>IF((IZ210-IY210)&gt;0,IZ210-IY210,0)</f>
        <v>0</v>
      </c>
      <c r="JE210" s="148"/>
    </row>
    <row r="211" spans="2:265" ht="15" hidden="1" customHeight="1" outlineLevel="2">
      <c r="B211" s="148">
        <v>59</v>
      </c>
      <c r="C211" s="306" t="e">
        <f>VLOOKUP(AF211,Attribute!C:T,1,FALSE)</f>
        <v>#N/A</v>
      </c>
      <c r="D211" s="159" t="s">
        <v>440</v>
      </c>
      <c r="E211" s="128" t="s">
        <v>132</v>
      </c>
      <c r="F211" s="115"/>
      <c r="G211" s="122">
        <f>Konvention_1master-KLmaster</f>
        <v>12</v>
      </c>
      <c r="H211" s="122"/>
      <c r="I211" s="122">
        <f>Konvention_1master-CHmaster</f>
        <v>12</v>
      </c>
      <c r="J211" s="122">
        <f>Konvention_1master-FFmaster</f>
        <v>12</v>
      </c>
      <c r="K211" s="122"/>
      <c r="L211" s="122"/>
      <c r="M211" s="123"/>
      <c r="N211" s="226">
        <f>(F211+G211+H211+I211+J211+K211+L211+M211)/3</f>
        <v>12</v>
      </c>
      <c r="O211" s="226">
        <f>2*N211</f>
        <v>24</v>
      </c>
      <c r="P211" s="227">
        <f>3*N211</f>
        <v>36</v>
      </c>
      <c r="Q211" s="238">
        <f t="shared" si="1508"/>
        <v>2304</v>
      </c>
      <c r="R211" s="122">
        <f>G211*I211*FFmaster+G211*CHmaster*J211+KLmaster*I211*J211</f>
        <v>3456</v>
      </c>
      <c r="S211" s="227">
        <f>IFERROR(F211^SIGN(F211),1)*IFERROR(G211^SIGN(G211),1)*IFERROR(H211^SIGN(H211),1)*IFERROR(I211^SIGN(I211),1)*IFERROR(J211^SIGN(J211),1)*IFERROR(K211^SIGN(K211),1)*IFERROR(L211^SIGN(L211),1)*IFERROR(M211^SIGN(M211),1)</f>
        <v>1728</v>
      </c>
      <c r="T211" s="227">
        <f t="shared" si="1507"/>
        <v>7488</v>
      </c>
      <c r="U211" s="225">
        <f t="shared" si="1552"/>
        <v>3.6923076923076925</v>
      </c>
      <c r="V211" s="226">
        <f t="shared" si="1553"/>
        <v>11.076923076923077</v>
      </c>
      <c r="W211" s="245">
        <f t="shared" si="1554"/>
        <v>8.3076923076923084</v>
      </c>
      <c r="X211" s="245">
        <f t="shared" si="1555"/>
        <v>23.07692307692308</v>
      </c>
      <c r="Y211" s="252">
        <v>0</v>
      </c>
      <c r="Z211" s="198">
        <f t="shared" si="1556"/>
        <v>23.07692307692308</v>
      </c>
      <c r="AA211" s="159">
        <f>IF(X211&lt;=0,2,0)+IF(X211&gt;0,X211+1,0)*2+IF(X211&gt;12,X211-12,0)*2+IF(X211&gt;13,X211-13,0)*2+IF(X211&gt;14,X211-14,0)*2+IF(X211&gt;15,X211-15,0)*2+IF(X211&gt;16,X211-16,0)*2+IF(X211&gt;17,X211-17,0)*2+IF(X211&gt;18,X211-18,0)*2+IF(X211&gt;19,X211-19,0)*2+IF(X211&gt;20,X211-20,0)*2</f>
        <v>175.5384615384616</v>
      </c>
      <c r="AB211" s="161">
        <f>IF(Y211&lt;=0,2,0)+IF(Y211&gt;0,Y211+1,0)*2+IF(Y211&gt;12,Y211-12,0)*2+IF(Y211&gt;13,Y211-13,0)*2+IF(Y211&gt;14,Y211-14,0)*2+IF(Y211&gt;15,Y211-15,0)*2+IF(Y211&gt;16,Y211-16,0)*2+IF(Y211&gt;17,Y211-17,0)*2+IF(Y211&gt;18,Y211-18,0)*2+IF(Y211&gt;19,Y211-19,0)*2+IF(Y211&gt;20,Y211-20,0)*2</f>
        <v>2</v>
      </c>
      <c r="AC211" s="128">
        <f>IF((AA211-AB211)&gt;0,AA211-AB211,0)</f>
        <v>173.5384615384616</v>
      </c>
      <c r="AD211" s="159">
        <f>IF((AB211-AA211)&gt;0,AB211-AA211,0)</f>
        <v>0</v>
      </c>
      <c r="AF211" s="164" t="s">
        <v>400</v>
      </c>
      <c r="AG211" s="159" t="s">
        <v>440</v>
      </c>
      <c r="AH211" s="128" t="s">
        <v>132</v>
      </c>
      <c r="AI211" s="115"/>
      <c r="AJ211" s="122">
        <f>Konvention_1slave-KLslave</f>
        <v>12</v>
      </c>
      <c r="AK211" s="122"/>
      <c r="AL211" s="122">
        <f>Konvention_1slave-CHslave</f>
        <v>12</v>
      </c>
      <c r="AM211" s="122">
        <f>Konvention_1slave-FFslave</f>
        <v>12</v>
      </c>
      <c r="AN211" s="122"/>
      <c r="AO211" s="122"/>
      <c r="AP211" s="123"/>
      <c r="AQ211" s="88">
        <f>(AI211+AJ211+AK211+AL211+AM211+AN211+AO211+AP211)/3</f>
        <v>12</v>
      </c>
      <c r="AR211" s="88">
        <f>2*AQ211</f>
        <v>24</v>
      </c>
      <c r="AS211" s="123">
        <f>3*AQ211</f>
        <v>36</v>
      </c>
      <c r="AT211" s="115">
        <f t="shared" si="1509"/>
        <v>2304</v>
      </c>
      <c r="AU211" s="122">
        <f>AJ211*AL211*FFslave+AJ211*CHslave*AM211+KLslave*AL211*AM211</f>
        <v>3456</v>
      </c>
      <c r="AV211" s="123">
        <f>IFERROR(AI211^SIGN(AI211),1)*IFERROR(AJ211^SIGN(AJ211),1)*IFERROR(AK211^SIGN(AK211),1)*IFERROR(AL211^SIGN(AL211),1)*IFERROR(AM211^SIGN(AM211),1)*IFERROR(AN211^SIGN(AN211),1)*IFERROR(AO211^SIGN(AO211),1)*IFERROR(AP211^SIGN(AP211),1)</f>
        <v>1728</v>
      </c>
      <c r="AW211" s="123">
        <f t="shared" si="1557"/>
        <v>7488</v>
      </c>
      <c r="AX211" s="90">
        <f t="shared" si="1558"/>
        <v>3.6923076923076925</v>
      </c>
      <c r="AY211" s="88">
        <f t="shared" si="1559"/>
        <v>11.076923076923077</v>
      </c>
      <c r="AZ211" s="128">
        <f t="shared" si="1560"/>
        <v>8.3076923076923084</v>
      </c>
      <c r="BA211" s="128">
        <f t="shared" si="1561"/>
        <v>23.07692307692308</v>
      </c>
      <c r="BB211" s="165">
        <f t="shared" si="1260"/>
        <v>0</v>
      </c>
      <c r="BC211" s="198">
        <f>BA211-BB211</f>
        <v>23.07692307692308</v>
      </c>
      <c r="BD211" s="159">
        <f>IF(BA211&lt;=0,2,0)+IF(BA211&gt;0,BA211+1,0)*2+IF(BA211&gt;12,BA211-12,0)*2+IF(BA211&gt;13,BA211-13,0)*2+IF(BA211&gt;14,BA211-14,0)*2+IF(BA211&gt;15,BA211-15,0)*2+IF(BA211&gt;16,BA211-16,0)*2+IF(BA211&gt;17,BA211-17,0)*2+IF(BA211&gt;18,BA211-18,0)*2+IF(BA211&gt;19,BA211-19,0)*2+IF(BA211&gt;20,BA211-20,0)*2</f>
        <v>175.5384615384616</v>
      </c>
      <c r="BE211" s="161">
        <f>IF(BB211&lt;=0,2,0)+IF(BB211&gt;0,BB211+1,0)*2+IF(BB211&gt;12,BB211-12,0)*2+IF(BB211&gt;13,BB211-13,0)*2+IF(BB211&gt;14,BB211-14,0)*2+IF(BB211&gt;15,BB211-15,0)*2+IF(BB211&gt;16,BB211-16,0)*2+IF(BB211&gt;17,BB211-17,0)*2+IF(BB211&gt;18,BB211-18,0)*2+IF(BB211&gt;19,BB211-19,0)*2+IF(BB211&gt;20,BB211-20,0)*2</f>
        <v>2</v>
      </c>
      <c r="BF211" s="245">
        <f>IF((BD211-BE211)&gt;0,BD211-BE211,0)</f>
        <v>173.5384615384616</v>
      </c>
      <c r="BG211" s="246">
        <f>IF((BE211-BD211)&gt;0,BE211-BD211,0)</f>
        <v>0</v>
      </c>
      <c r="BI211" s="306" t="s">
        <v>400</v>
      </c>
      <c r="BJ211" s="246" t="s">
        <v>440</v>
      </c>
      <c r="BK211" s="245" t="s">
        <v>132</v>
      </c>
      <c r="BL211" s="238"/>
      <c r="BM211" s="235">
        <f>Konvention_1slave-KLslave_KL</f>
        <v>11</v>
      </c>
      <c r="BN211" s="235"/>
      <c r="BO211" s="235">
        <f>Konvention_1slave-CHslave</f>
        <v>12</v>
      </c>
      <c r="BP211" s="235">
        <f>Konvention_1slave-FFslave</f>
        <v>12</v>
      </c>
      <c r="BQ211" s="235"/>
      <c r="BR211" s="235"/>
      <c r="BS211" s="227"/>
      <c r="BT211" s="226">
        <f>(BL211+BM211+BN211+BO211+BP211+BQ211+BR211+BS211)/3</f>
        <v>11.666666666666666</v>
      </c>
      <c r="BU211" s="226">
        <f>2*BT211</f>
        <v>23.333333333333332</v>
      </c>
      <c r="BV211" s="227">
        <f>3*BT211</f>
        <v>35</v>
      </c>
      <c r="BW211" s="238">
        <f t="shared" si="1510"/>
        <v>2432</v>
      </c>
      <c r="BX211" s="235">
        <f>BM211*BO211*FFslave+BM211*CHslave*BP211+KLslave_KL*BO211*BP211</f>
        <v>3408</v>
      </c>
      <c r="BY211" s="227">
        <f>IFERROR(BL211^SIGN(BL211),1)*IFERROR(BM211^SIGN(BM211),1)*IFERROR(BN211^SIGN(BN211),1)*IFERROR(BO211^SIGN(BO211),1)*IFERROR(BP211^SIGN(BP211),1)*IFERROR(BQ211^SIGN(BQ211),1)*IFERROR(BR211^SIGN(BR211),1)*IFERROR(BS211^SIGN(BS211),1)</f>
        <v>1584</v>
      </c>
      <c r="BZ211" s="227">
        <f t="shared" si="1562"/>
        <v>7424</v>
      </c>
      <c r="CA211" s="225">
        <f t="shared" si="1563"/>
        <v>3.8218390804597702</v>
      </c>
      <c r="CB211" s="226">
        <f t="shared" si="1564"/>
        <v>10.711206896551724</v>
      </c>
      <c r="CC211" s="245">
        <f t="shared" si="1565"/>
        <v>7.4676724137931032</v>
      </c>
      <c r="CD211" s="245">
        <f t="shared" si="1566"/>
        <v>22.000718390804597</v>
      </c>
      <c r="CE211" s="252">
        <f t="shared" si="1271"/>
        <v>0</v>
      </c>
      <c r="CF211" s="309">
        <f>CD211-CE211</f>
        <v>22.000718390804597</v>
      </c>
      <c r="CG211" s="246">
        <f>IF(CD211&lt;=0,2,0)+IF(CD211&gt;0,CD211+1,0)*2+IF(CD211&gt;12,CD211-12,0)*2+IF(CD211&gt;13,CD211-13,0)*2+IF(CD211&gt;14,CD211-14,0)*2+IF(CD211&gt;15,CD211-15,0)*2+IF(CD211&gt;16,CD211-16,0)*2+IF(CD211&gt;17,CD211-17,0)*2+IF(CD211&gt;18,CD211-18,0)*2+IF(CD211&gt;19,CD211-19,0)*2+IF(CD211&gt;20,CD211-20,0)*2</f>
        <v>154.01436781609189</v>
      </c>
      <c r="CH211" s="244">
        <f>IF(CE211&lt;=0,2,0)+IF(CE211&gt;0,CE211+1,0)*2+IF(CE211&gt;12,CE211-12,0)*2+IF(CE211&gt;13,CE211-13,0)*2+IF(CE211&gt;14,CE211-14,0)*2+IF(CE211&gt;15,CE211-15,0)*2+IF(CE211&gt;16,CE211-16,0)*2+IF(CE211&gt;17,CE211-17,0)*2+IF(CE211&gt;18,CE211-18,0)*2+IF(CE211&gt;19,CE211-19,0)*2+IF(CE211&gt;20,CE211-20,0)*2</f>
        <v>2</v>
      </c>
      <c r="CI211" s="245">
        <f>IF((CG211-CH211)&gt;0,CG211-CH211,0)</f>
        <v>152.01436781609189</v>
      </c>
      <c r="CJ211" s="246">
        <f>IF((CH211-CG211)&gt;0,CH211-CG211,0)</f>
        <v>0</v>
      </c>
      <c r="CL211" s="306" t="s">
        <v>400</v>
      </c>
      <c r="CM211" s="246" t="s">
        <v>440</v>
      </c>
      <c r="CN211" s="245" t="s">
        <v>132</v>
      </c>
      <c r="CO211" s="238"/>
      <c r="CP211" s="235">
        <f>Konvention_1slave-KLslave</f>
        <v>12</v>
      </c>
      <c r="CQ211" s="235"/>
      <c r="CR211" s="235">
        <f>Konvention_1slave-CHslave</f>
        <v>12</v>
      </c>
      <c r="CS211" s="235">
        <f>Konvention_1slave-FFslave</f>
        <v>12</v>
      </c>
      <c r="CT211" s="235"/>
      <c r="CU211" s="235"/>
      <c r="CV211" s="227"/>
      <c r="CW211" s="226">
        <f>(CO211+CP211+CQ211+CR211+CS211+CT211+CU211+CV211)/3</f>
        <v>12</v>
      </c>
      <c r="CX211" s="226">
        <f>2*CW211</f>
        <v>24</v>
      </c>
      <c r="CY211" s="227">
        <f>3*CW211</f>
        <v>36</v>
      </c>
      <c r="CZ211" s="238">
        <f t="shared" si="1511"/>
        <v>2304</v>
      </c>
      <c r="DA211" s="235">
        <f>CP211*CR211*FFslave+CP211*CHslave*CS211+KLslave*CR211*CS211</f>
        <v>3456</v>
      </c>
      <c r="DB211" s="227">
        <f>IFERROR(CO211^SIGN(CO211),1)*IFERROR(CP211^SIGN(CP211),1)*IFERROR(CQ211^SIGN(CQ211),1)*IFERROR(CR211^SIGN(CR211),1)*IFERROR(CS211^SIGN(CS211),1)*IFERROR(CT211^SIGN(CT211),1)*IFERROR(CU211^SIGN(CU211),1)*IFERROR(CV211^SIGN(CV211),1)</f>
        <v>1728</v>
      </c>
      <c r="DC211" s="227">
        <f t="shared" si="1567"/>
        <v>7488</v>
      </c>
      <c r="DD211" s="225">
        <f t="shared" si="1568"/>
        <v>3.6923076923076925</v>
      </c>
      <c r="DE211" s="226">
        <f t="shared" si="1569"/>
        <v>11.076923076923077</v>
      </c>
      <c r="DF211" s="245">
        <f t="shared" si="1570"/>
        <v>8.3076923076923084</v>
      </c>
      <c r="DG211" s="245">
        <f t="shared" si="1571"/>
        <v>23.07692307692308</v>
      </c>
      <c r="DH211" s="252">
        <f t="shared" si="1282"/>
        <v>0</v>
      </c>
      <c r="DI211" s="309">
        <f>DG211-DH211</f>
        <v>23.07692307692308</v>
      </c>
      <c r="DJ211" s="246">
        <f>IF(DG211&lt;=0,2,0)+IF(DG211&gt;0,DG211+1,0)*2+IF(DG211&gt;12,DG211-12,0)*2+IF(DG211&gt;13,DG211-13,0)*2+IF(DG211&gt;14,DG211-14,0)*2+IF(DG211&gt;15,DG211-15,0)*2+IF(DG211&gt;16,DG211-16,0)*2+IF(DG211&gt;17,DG211-17,0)*2+IF(DG211&gt;18,DG211-18,0)*2+IF(DG211&gt;19,DG211-19,0)*2+IF(DG211&gt;20,DG211-20,0)*2</f>
        <v>175.5384615384616</v>
      </c>
      <c r="DK211" s="244">
        <f>IF(DH211&lt;=0,2,0)+IF(DH211&gt;0,DH211+1,0)*2+IF(DH211&gt;12,DH211-12,0)*2+IF(DH211&gt;13,DH211-13,0)*2+IF(DH211&gt;14,DH211-14,0)*2+IF(DH211&gt;15,DH211-15,0)*2+IF(DH211&gt;16,DH211-16,0)*2+IF(DH211&gt;17,DH211-17,0)*2+IF(DH211&gt;18,DH211-18,0)*2+IF(DH211&gt;19,DH211-19,0)*2+IF(DH211&gt;20,DH211-20,0)*2</f>
        <v>2</v>
      </c>
      <c r="DL211" s="245">
        <f>IF((DJ211-DK211)&gt;0,DJ211-DK211,0)</f>
        <v>173.5384615384616</v>
      </c>
      <c r="DM211" s="246">
        <f>IF((DK211-DJ211)&gt;0,DK211-DJ211,0)</f>
        <v>0</v>
      </c>
      <c r="DO211" s="306" t="s">
        <v>400</v>
      </c>
      <c r="DP211" s="246" t="s">
        <v>440</v>
      </c>
      <c r="DQ211" s="245" t="s">
        <v>132</v>
      </c>
      <c r="DR211" s="238"/>
      <c r="DS211" s="235">
        <f>Konvention_1slave-KLslave</f>
        <v>12</v>
      </c>
      <c r="DT211" s="235"/>
      <c r="DU211" s="235">
        <f>Konvention_1slave-CHslave_CH</f>
        <v>11</v>
      </c>
      <c r="DV211" s="235">
        <f>Konvention_1slave-FFslave</f>
        <v>12</v>
      </c>
      <c r="DW211" s="235"/>
      <c r="DX211" s="235"/>
      <c r="DY211" s="227"/>
      <c r="DZ211" s="226">
        <f>(DR211+DS211+DT211+DU211+DV211+DW211+DX211+DY211)/3</f>
        <v>11.666666666666666</v>
      </c>
      <c r="EA211" s="226">
        <f>2*DZ211</f>
        <v>23.333333333333332</v>
      </c>
      <c r="EB211" s="227">
        <f>3*DZ211</f>
        <v>35</v>
      </c>
      <c r="EC211" s="238">
        <f t="shared" si="1512"/>
        <v>2432</v>
      </c>
      <c r="ED211" s="235">
        <f>DS211*DU211*FFslave+DS211*CHslave_CH*DV211+KLslave*DU211*DV211</f>
        <v>3408</v>
      </c>
      <c r="EE211" s="227">
        <f>IFERROR(DR211^SIGN(DR211),1)*IFERROR(DS211^SIGN(DS211),1)*IFERROR(DT211^SIGN(DT211),1)*IFERROR(DU211^SIGN(DU211),1)*IFERROR(DV211^SIGN(DV211),1)*IFERROR(DW211^SIGN(DW211),1)*IFERROR(DX211^SIGN(DX211),1)*IFERROR(DY211^SIGN(DY211),1)</f>
        <v>1584</v>
      </c>
      <c r="EF211" s="227">
        <f t="shared" si="1572"/>
        <v>7424</v>
      </c>
      <c r="EG211" s="225">
        <f t="shared" si="1573"/>
        <v>3.8218390804597702</v>
      </c>
      <c r="EH211" s="226">
        <f t="shared" si="1574"/>
        <v>10.711206896551724</v>
      </c>
      <c r="EI211" s="245">
        <f t="shared" si="1575"/>
        <v>7.4676724137931032</v>
      </c>
      <c r="EJ211" s="245">
        <f t="shared" si="1576"/>
        <v>22.000718390804597</v>
      </c>
      <c r="EK211" s="252">
        <f t="shared" si="1293"/>
        <v>0</v>
      </c>
      <c r="EL211" s="309">
        <f>EJ211-EK211</f>
        <v>22.000718390804597</v>
      </c>
      <c r="EM211" s="246">
        <f>IF(EJ211&lt;=0,2,0)+IF(EJ211&gt;0,EJ211+1,0)*2+IF(EJ211&gt;12,EJ211-12,0)*2+IF(EJ211&gt;13,EJ211-13,0)*2+IF(EJ211&gt;14,EJ211-14,0)*2+IF(EJ211&gt;15,EJ211-15,0)*2+IF(EJ211&gt;16,EJ211-16,0)*2+IF(EJ211&gt;17,EJ211-17,0)*2+IF(EJ211&gt;18,EJ211-18,0)*2+IF(EJ211&gt;19,EJ211-19,0)*2+IF(EJ211&gt;20,EJ211-20,0)*2</f>
        <v>154.01436781609189</v>
      </c>
      <c r="EN211" s="244">
        <f>IF(EK211&lt;=0,2,0)+IF(EK211&gt;0,EK211+1,0)*2+IF(EK211&gt;12,EK211-12,0)*2+IF(EK211&gt;13,EK211-13,0)*2+IF(EK211&gt;14,EK211-14,0)*2+IF(EK211&gt;15,EK211-15,0)*2+IF(EK211&gt;16,EK211-16,0)*2+IF(EK211&gt;17,EK211-17,0)*2+IF(EK211&gt;18,EK211-18,0)*2+IF(EK211&gt;19,EK211-19,0)*2+IF(EK211&gt;20,EK211-20,0)*2</f>
        <v>2</v>
      </c>
      <c r="EO211" s="245">
        <f>IF((EM211-EN211)&gt;0,EM211-EN211,0)</f>
        <v>152.01436781609189</v>
      </c>
      <c r="EP211" s="246">
        <f>IF((EN211-EM211)&gt;0,EN211-EM211,0)</f>
        <v>0</v>
      </c>
      <c r="ER211" s="306" t="s">
        <v>400</v>
      </c>
      <c r="ES211" s="246" t="s">
        <v>440</v>
      </c>
      <c r="ET211" s="245" t="s">
        <v>132</v>
      </c>
      <c r="EU211" s="238"/>
      <c r="EV211" s="235">
        <f>Konvention_1slave-KLslave</f>
        <v>12</v>
      </c>
      <c r="EW211" s="235"/>
      <c r="EX211" s="235">
        <f>Konvention_1slave-CHslave</f>
        <v>12</v>
      </c>
      <c r="EY211" s="235">
        <f>Konvention_1slave-FFslave_FF</f>
        <v>11</v>
      </c>
      <c r="EZ211" s="235"/>
      <c r="FA211" s="235"/>
      <c r="FB211" s="227"/>
      <c r="FC211" s="226">
        <f>(EU211+EV211+EW211+EX211+EY211+EZ211+FA211+FB211)/3</f>
        <v>11.666666666666666</v>
      </c>
      <c r="FD211" s="226">
        <f>2*FC211</f>
        <v>23.333333333333332</v>
      </c>
      <c r="FE211" s="227">
        <f>3*FC211</f>
        <v>35</v>
      </c>
      <c r="FF211" s="238">
        <f t="shared" si="1513"/>
        <v>2432</v>
      </c>
      <c r="FG211" s="235">
        <f>EV211*EX211*FFslave_FF+EV211*CHslave*EY211+KLslave*EX211*EY211</f>
        <v>3408</v>
      </c>
      <c r="FH211" s="227">
        <f>IFERROR(EU211^SIGN(EU211),1)*IFERROR(EV211^SIGN(EV211),1)*IFERROR(EW211^SIGN(EW211),1)*IFERROR(EX211^SIGN(EX211),1)*IFERROR(EY211^SIGN(EY211),1)*IFERROR(EZ211^SIGN(EZ211),1)*IFERROR(FA211^SIGN(FA211),1)*IFERROR(FB211^SIGN(FB211),1)</f>
        <v>1584</v>
      </c>
      <c r="FI211" s="227">
        <f t="shared" si="1577"/>
        <v>7424</v>
      </c>
      <c r="FJ211" s="225">
        <f t="shared" si="1578"/>
        <v>3.8218390804597702</v>
      </c>
      <c r="FK211" s="226">
        <f t="shared" si="1579"/>
        <v>10.711206896551724</v>
      </c>
      <c r="FL211" s="245">
        <f t="shared" si="1580"/>
        <v>7.4676724137931032</v>
      </c>
      <c r="FM211" s="245">
        <f t="shared" si="1581"/>
        <v>22.000718390804597</v>
      </c>
      <c r="FN211" s="252">
        <f t="shared" si="1304"/>
        <v>0</v>
      </c>
      <c r="FO211" s="309">
        <f>FM211-FN211</f>
        <v>22.000718390804597</v>
      </c>
      <c r="FP211" s="246">
        <f>IF(FM211&lt;=0,2,0)+IF(FM211&gt;0,FM211+1,0)*2+IF(FM211&gt;12,FM211-12,0)*2+IF(FM211&gt;13,FM211-13,0)*2+IF(FM211&gt;14,FM211-14,0)*2+IF(FM211&gt;15,FM211-15,0)*2+IF(FM211&gt;16,FM211-16,0)*2+IF(FM211&gt;17,FM211-17,0)*2+IF(FM211&gt;18,FM211-18,0)*2+IF(FM211&gt;19,FM211-19,0)*2+IF(FM211&gt;20,FM211-20,0)*2</f>
        <v>154.01436781609189</v>
      </c>
      <c r="FQ211" s="244">
        <f>IF(FN211&lt;=0,2,0)+IF(FN211&gt;0,FN211+1,0)*2+IF(FN211&gt;12,FN211-12,0)*2+IF(FN211&gt;13,FN211-13,0)*2+IF(FN211&gt;14,FN211-14,0)*2+IF(FN211&gt;15,FN211-15,0)*2+IF(FN211&gt;16,FN211-16,0)*2+IF(FN211&gt;17,FN211-17,0)*2+IF(FN211&gt;18,FN211-18,0)*2+IF(FN211&gt;19,FN211-19,0)*2+IF(FN211&gt;20,FN211-20,0)*2</f>
        <v>2</v>
      </c>
      <c r="FR211" s="245">
        <f>IF((FP211-FQ211)&gt;0,FP211-FQ211,0)</f>
        <v>152.01436781609189</v>
      </c>
      <c r="FS211" s="246">
        <f>IF((FQ211-FP211)&gt;0,FQ211-FP211,0)</f>
        <v>0</v>
      </c>
      <c r="FU211" s="306" t="s">
        <v>400</v>
      </c>
      <c r="FV211" s="246" t="s">
        <v>440</v>
      </c>
      <c r="FW211" s="245" t="s">
        <v>132</v>
      </c>
      <c r="FX211" s="238"/>
      <c r="FY211" s="235">
        <f>Konvention_1slave-KLslave</f>
        <v>12</v>
      </c>
      <c r="FZ211" s="235"/>
      <c r="GA211" s="235">
        <f>Konvention_1slave-CHslave</f>
        <v>12</v>
      </c>
      <c r="GB211" s="235">
        <f>Konvention_1slave-FFslave</f>
        <v>12</v>
      </c>
      <c r="GC211" s="235"/>
      <c r="GD211" s="235"/>
      <c r="GE211" s="227"/>
      <c r="GF211" s="226">
        <f>(FX211+FY211+FZ211+GA211+GB211+GC211+GD211+GE211)/3</f>
        <v>12</v>
      </c>
      <c r="GG211" s="226">
        <f>2*GF211</f>
        <v>24</v>
      </c>
      <c r="GH211" s="227">
        <f>3*GF211</f>
        <v>36</v>
      </c>
      <c r="GI211" s="238">
        <f t="shared" si="1514"/>
        <v>2304</v>
      </c>
      <c r="GJ211" s="235">
        <f>FY211*GA211*FFslave+FY211*CHslave*GB211+KLslave*GA211*GB211</f>
        <v>3456</v>
      </c>
      <c r="GK211" s="227">
        <f>IFERROR(FX211^SIGN(FX211),1)*IFERROR(FY211^SIGN(FY211),1)*IFERROR(FZ211^SIGN(FZ211),1)*IFERROR(GA211^SIGN(GA211),1)*IFERROR(GB211^SIGN(GB211),1)*IFERROR(GC211^SIGN(GC211),1)*IFERROR(GD211^SIGN(GD211),1)*IFERROR(GE211^SIGN(GE211),1)</f>
        <v>1728</v>
      </c>
      <c r="GL211" s="227">
        <f t="shared" si="1582"/>
        <v>7488</v>
      </c>
      <c r="GM211" s="225">
        <f t="shared" si="1583"/>
        <v>3.6923076923076925</v>
      </c>
      <c r="GN211" s="226">
        <f t="shared" si="1584"/>
        <v>11.076923076923077</v>
      </c>
      <c r="GO211" s="245">
        <f t="shared" si="1585"/>
        <v>8.3076923076923084</v>
      </c>
      <c r="GP211" s="245">
        <f t="shared" si="1586"/>
        <v>23.07692307692308</v>
      </c>
      <c r="GQ211" s="252">
        <f t="shared" si="1315"/>
        <v>0</v>
      </c>
      <c r="GR211" s="309">
        <f>GP211-GQ211</f>
        <v>23.07692307692308</v>
      </c>
      <c r="GS211" s="246">
        <f>IF(GP211&lt;=0,2,0)+IF(GP211&gt;0,GP211+1,0)*2+IF(GP211&gt;12,GP211-12,0)*2+IF(GP211&gt;13,GP211-13,0)*2+IF(GP211&gt;14,GP211-14,0)*2+IF(GP211&gt;15,GP211-15,0)*2+IF(GP211&gt;16,GP211-16,0)*2+IF(GP211&gt;17,GP211-17,0)*2+IF(GP211&gt;18,GP211-18,0)*2+IF(GP211&gt;19,GP211-19,0)*2+IF(GP211&gt;20,GP211-20,0)*2</f>
        <v>175.5384615384616</v>
      </c>
      <c r="GT211" s="244">
        <f>IF(GQ211&lt;=0,2,0)+IF(GQ211&gt;0,GQ211+1,0)*2+IF(GQ211&gt;12,GQ211-12,0)*2+IF(GQ211&gt;13,GQ211-13,0)*2+IF(GQ211&gt;14,GQ211-14,0)*2+IF(GQ211&gt;15,GQ211-15,0)*2+IF(GQ211&gt;16,GQ211-16,0)*2+IF(GQ211&gt;17,GQ211-17,0)*2+IF(GQ211&gt;18,GQ211-18,0)*2+IF(GQ211&gt;19,GQ211-19,0)*2+IF(GQ211&gt;20,GQ211-20,0)*2</f>
        <v>2</v>
      </c>
      <c r="GU211" s="245">
        <f>IF((GS211-GT211)&gt;0,GS211-GT211,0)</f>
        <v>173.5384615384616</v>
      </c>
      <c r="GV211" s="246">
        <f>IF((GT211-GS211)&gt;0,GT211-GS211,0)</f>
        <v>0</v>
      </c>
      <c r="GX211" s="306" t="s">
        <v>400</v>
      </c>
      <c r="GY211" s="246" t="s">
        <v>440</v>
      </c>
      <c r="GZ211" s="245" t="s">
        <v>132</v>
      </c>
      <c r="HA211" s="238"/>
      <c r="HB211" s="235">
        <f>Konvention_1slave-KLslave</f>
        <v>12</v>
      </c>
      <c r="HC211" s="235"/>
      <c r="HD211" s="235">
        <f>Konvention_1slave-CHslave</f>
        <v>12</v>
      </c>
      <c r="HE211" s="235">
        <f>Konvention_1slave-FFslave</f>
        <v>12</v>
      </c>
      <c r="HF211" s="235"/>
      <c r="HG211" s="235"/>
      <c r="HH211" s="227"/>
      <c r="HI211" s="226">
        <f>(HA211+HB211+HC211+HD211+HE211+HF211+HG211+HH211)/3</f>
        <v>12</v>
      </c>
      <c r="HJ211" s="226">
        <f>2*HI211</f>
        <v>24</v>
      </c>
      <c r="HK211" s="227">
        <f>3*HI211</f>
        <v>36</v>
      </c>
      <c r="HL211" s="238">
        <f t="shared" si="1515"/>
        <v>2304</v>
      </c>
      <c r="HM211" s="235">
        <f>HB211*HD211*FFslave+HB211*CHslave*HE211+KLslave*HD211*HE211</f>
        <v>3456</v>
      </c>
      <c r="HN211" s="227">
        <f>IFERROR(HA211^SIGN(HA211),1)*IFERROR(HB211^SIGN(HB211),1)*IFERROR(HC211^SIGN(HC211),1)*IFERROR(HD211^SIGN(HD211),1)*IFERROR(HE211^SIGN(HE211),1)*IFERROR(HF211^SIGN(HF211),1)*IFERROR(HG211^SIGN(HG211),1)*IFERROR(HH211^SIGN(HH211),1)</f>
        <v>1728</v>
      </c>
      <c r="HO211" s="227">
        <f t="shared" si="1587"/>
        <v>7488</v>
      </c>
      <c r="HP211" s="225">
        <f t="shared" si="1588"/>
        <v>3.6923076923076925</v>
      </c>
      <c r="HQ211" s="226">
        <f t="shared" si="1589"/>
        <v>11.076923076923077</v>
      </c>
      <c r="HR211" s="245">
        <f t="shared" si="1590"/>
        <v>8.3076923076923084</v>
      </c>
      <c r="HS211" s="245">
        <f t="shared" si="1591"/>
        <v>23.07692307692308</v>
      </c>
      <c r="HT211" s="252">
        <f t="shared" si="1326"/>
        <v>0</v>
      </c>
      <c r="HU211" s="309">
        <f>HS211-HT211</f>
        <v>23.07692307692308</v>
      </c>
      <c r="HV211" s="246">
        <f>IF(HS211&lt;=0,2,0)+IF(HS211&gt;0,HS211+1,0)*2+IF(HS211&gt;12,HS211-12,0)*2+IF(HS211&gt;13,HS211-13,0)*2+IF(HS211&gt;14,HS211-14,0)*2+IF(HS211&gt;15,HS211-15,0)*2+IF(HS211&gt;16,HS211-16,0)*2+IF(HS211&gt;17,HS211-17,0)*2+IF(HS211&gt;18,HS211-18,0)*2+IF(HS211&gt;19,HS211-19,0)*2+IF(HS211&gt;20,HS211-20,0)*2</f>
        <v>175.5384615384616</v>
      </c>
      <c r="HW211" s="244">
        <f>IF(HT211&lt;=0,2,0)+IF(HT211&gt;0,HT211+1,0)*2+IF(HT211&gt;12,HT211-12,0)*2+IF(HT211&gt;13,HT211-13,0)*2+IF(HT211&gt;14,HT211-14,0)*2+IF(HT211&gt;15,HT211-15,0)*2+IF(HT211&gt;16,HT211-16,0)*2+IF(HT211&gt;17,HT211-17,0)*2+IF(HT211&gt;18,HT211-18,0)*2+IF(HT211&gt;19,HT211-19,0)*2+IF(HT211&gt;20,HT211-20,0)*2</f>
        <v>2</v>
      </c>
      <c r="HX211" s="245">
        <f>IF((HV211-HW211)&gt;0,HV211-HW211,0)</f>
        <v>173.5384615384616</v>
      </c>
      <c r="HY211" s="246">
        <f>IF((HW211-HV211)&gt;0,HW211-HV211,0)</f>
        <v>0</v>
      </c>
      <c r="IA211" s="306" t="s">
        <v>400</v>
      </c>
      <c r="IB211" s="246" t="s">
        <v>440</v>
      </c>
      <c r="IC211" s="245" t="s">
        <v>132</v>
      </c>
      <c r="ID211" s="238"/>
      <c r="IE211" s="235">
        <f>Konvention_1slave-KLslave</f>
        <v>12</v>
      </c>
      <c r="IF211" s="235"/>
      <c r="IG211" s="235">
        <f>Konvention_1slave-CHslave</f>
        <v>12</v>
      </c>
      <c r="IH211" s="235">
        <f>Konvention_1slave-FFslave</f>
        <v>12</v>
      </c>
      <c r="II211" s="235"/>
      <c r="IJ211" s="235"/>
      <c r="IK211" s="227"/>
      <c r="IL211" s="226">
        <f>(ID211+IE211+IF211+IG211+IH211+II211+IJ211+IK211)/3</f>
        <v>12</v>
      </c>
      <c r="IM211" s="226">
        <f>2*IL211</f>
        <v>24</v>
      </c>
      <c r="IN211" s="227">
        <f>3*IL211</f>
        <v>36</v>
      </c>
      <c r="IO211" s="238">
        <f t="shared" si="1516"/>
        <v>2304</v>
      </c>
      <c r="IP211" s="235">
        <f>IE211*IG211*FFslave+IE211*CHslave*IH211+KLslave*IG211*IH211</f>
        <v>3456</v>
      </c>
      <c r="IQ211" s="227">
        <f>IFERROR(ID211^SIGN(ID211),1)*IFERROR(IE211^SIGN(IE211),1)*IFERROR(IF211^SIGN(IF211),1)*IFERROR(IG211^SIGN(IG211),1)*IFERROR(IH211^SIGN(IH211),1)*IFERROR(II211^SIGN(II211),1)*IFERROR(IJ211^SIGN(IJ211),1)*IFERROR(IK211^SIGN(IK211),1)</f>
        <v>1728</v>
      </c>
      <c r="IR211" s="227">
        <f t="shared" si="1592"/>
        <v>7488</v>
      </c>
      <c r="IS211" s="225">
        <f t="shared" si="1593"/>
        <v>3.6923076923076925</v>
      </c>
      <c r="IT211" s="226">
        <f t="shared" si="1594"/>
        <v>11.076923076923077</v>
      </c>
      <c r="IU211" s="245">
        <f t="shared" si="1595"/>
        <v>8.3076923076923084</v>
      </c>
      <c r="IV211" s="245">
        <f t="shared" si="1596"/>
        <v>23.07692307692308</v>
      </c>
      <c r="IW211" s="252">
        <f t="shared" si="1337"/>
        <v>0</v>
      </c>
      <c r="IX211" s="309">
        <f>IV211-IW211</f>
        <v>23.07692307692308</v>
      </c>
      <c r="IY211" s="246">
        <f>IF(IV211&lt;=0,2,0)+IF(IV211&gt;0,IV211+1,0)*2+IF(IV211&gt;12,IV211-12,0)*2+IF(IV211&gt;13,IV211-13,0)*2+IF(IV211&gt;14,IV211-14,0)*2+IF(IV211&gt;15,IV211-15,0)*2+IF(IV211&gt;16,IV211-16,0)*2+IF(IV211&gt;17,IV211-17,0)*2+IF(IV211&gt;18,IV211-18,0)*2+IF(IV211&gt;19,IV211-19,0)*2+IF(IV211&gt;20,IV211-20,0)*2</f>
        <v>175.5384615384616</v>
      </c>
      <c r="IZ211" s="244">
        <f>IF(IW211&lt;=0,2,0)+IF(IW211&gt;0,IW211+1,0)*2+IF(IW211&gt;12,IW211-12,0)*2+IF(IW211&gt;13,IW211-13,0)*2+IF(IW211&gt;14,IW211-14,0)*2+IF(IW211&gt;15,IW211-15,0)*2+IF(IW211&gt;16,IW211-16,0)*2+IF(IW211&gt;17,IW211-17,0)*2+IF(IW211&gt;18,IW211-18,0)*2+IF(IW211&gt;19,IW211-19,0)*2+IF(IW211&gt;20,IW211-20,0)*2</f>
        <v>2</v>
      </c>
      <c r="JA211" s="245">
        <f>IF((IY211-IZ211)&gt;0,IY211-IZ211,0)</f>
        <v>173.5384615384616</v>
      </c>
      <c r="JB211" s="246">
        <f>IF((IZ211-IY211)&gt;0,IZ211-IY211,0)</f>
        <v>0</v>
      </c>
      <c r="JE211" s="148"/>
    </row>
    <row r="212" spans="2:265" hidden="1" outlineLevel="1" collapsed="1">
      <c r="B212" s="134" t="s">
        <v>328</v>
      </c>
      <c r="C212" s="307" t="s">
        <v>281</v>
      </c>
      <c r="D212" s="84" t="s">
        <v>279</v>
      </c>
      <c r="E212" s="84" t="s">
        <v>280</v>
      </c>
      <c r="Y212" s="251"/>
      <c r="Z212" s="197"/>
      <c r="AF212" s="83" t="s">
        <v>281</v>
      </c>
      <c r="AG212" s="84" t="s">
        <v>279</v>
      </c>
      <c r="AH212" s="84" t="s">
        <v>280</v>
      </c>
      <c r="BB212" s="197"/>
      <c r="BC212" s="197"/>
      <c r="BI212" s="307" t="s">
        <v>281</v>
      </c>
      <c r="BJ212" s="308" t="s">
        <v>279</v>
      </c>
      <c r="BK212" s="308" t="s">
        <v>280</v>
      </c>
      <c r="CE212" s="251"/>
      <c r="CF212" s="251"/>
      <c r="CL212" s="307" t="s">
        <v>281</v>
      </c>
      <c r="CM212" s="308" t="s">
        <v>279</v>
      </c>
      <c r="CN212" s="308" t="s">
        <v>280</v>
      </c>
      <c r="DH212" s="251"/>
      <c r="DI212" s="251"/>
      <c r="DO212" s="307" t="s">
        <v>281</v>
      </c>
      <c r="DP212" s="308" t="s">
        <v>279</v>
      </c>
      <c r="DQ212" s="308" t="s">
        <v>280</v>
      </c>
      <c r="EK212" s="251"/>
      <c r="EL212" s="251"/>
      <c r="ER212" s="307" t="s">
        <v>281</v>
      </c>
      <c r="ES212" s="308" t="s">
        <v>279</v>
      </c>
      <c r="ET212" s="308" t="s">
        <v>280</v>
      </c>
      <c r="FN212" s="251"/>
      <c r="FO212" s="251"/>
      <c r="FU212" s="307" t="s">
        <v>281</v>
      </c>
      <c r="FV212" s="308" t="s">
        <v>279</v>
      </c>
      <c r="FW212" s="308" t="s">
        <v>280</v>
      </c>
      <c r="GQ212" s="251"/>
      <c r="GR212" s="251"/>
      <c r="GX212" s="307" t="s">
        <v>281</v>
      </c>
      <c r="GY212" s="308" t="s">
        <v>279</v>
      </c>
      <c r="GZ212" s="308" t="s">
        <v>280</v>
      </c>
      <c r="HT212" s="251"/>
      <c r="HU212" s="251"/>
      <c r="IA212" s="307" t="s">
        <v>281</v>
      </c>
      <c r="IB212" s="308" t="s">
        <v>279</v>
      </c>
      <c r="IC212" s="308" t="s">
        <v>280</v>
      </c>
      <c r="IW212" s="251"/>
      <c r="IX212" s="251"/>
      <c r="JE212" s="148"/>
    </row>
    <row r="213" spans="2:265" ht="15" hidden="1" customHeight="1" outlineLevel="2">
      <c r="B213" s="148">
        <v>1</v>
      </c>
      <c r="C213" s="302" t="e">
        <f>VLOOKUP(AF213,Attribute!C:T,1,FALSE)</f>
        <v>#N/A</v>
      </c>
      <c r="D213" s="85" t="s">
        <v>172</v>
      </c>
      <c r="E213" s="126" t="s">
        <v>133</v>
      </c>
      <c r="F213" s="191">
        <f>Konvention_1master-MUmaster</f>
        <v>12</v>
      </c>
      <c r="G213" s="118"/>
      <c r="H213" s="118"/>
      <c r="I213" s="118">
        <f>Konvention_1master-CHmaster</f>
        <v>12</v>
      </c>
      <c r="J213" s="118"/>
      <c r="K213" s="118">
        <f>Konvention_1master-GEmaster</f>
        <v>12</v>
      </c>
      <c r="L213" s="118"/>
      <c r="M213" s="92"/>
      <c r="N213" s="220">
        <f>(F213+G213+H213+I213+J213+K213+L213+M213)/3</f>
        <v>12</v>
      </c>
      <c r="O213" s="220">
        <f>2*N213</f>
        <v>24</v>
      </c>
      <c r="P213" s="221">
        <f>3*N213</f>
        <v>36</v>
      </c>
      <c r="Q213" s="236">
        <f>F213*POWER(KLmaster,SIGN(G213))*POWER(INmaster,SIGN(H213))*POWER(CHmaster,SIGN(I213))*POWER(FFmaster,SIGN(J213))*POWER(GEmaster,SIGN(K213))*POWER(KOmaster,SIGN(L213))*POWER(KKmaster,SIGN(M213))+G213*POWER(MUmaster,SIGN(F213))*POWER(INmaster,SIGN(H213))*POWER(CHmaster,SIGN(I213))*POWER(FFmaster,SIGN(J213))*POWER(GEmaster,SIGN(K213))*POWER(KOmaster,SIGN(L213))*POWER(KKmaster,SIGN(M213))+H213*POWER(MUmaster,SIGN(F213))*POWER(KLmaster,SIGN(G213))*POWER(CHmaster,SIGN(I213))*POWER(FFmaster,SIGN(J213))*POWER(GEmaster,SIGN(K213))*POWER(KOmaster,SIGN(L213))*POWER(KKmaster,SIGN(M213))+I213*POWER(MUmaster,SIGN(F213))*POWER(KLmaster,SIGN(G213))*POWER(INmaster,SIGN(H213))*POWER(FFmaster,SIGN(J213))*POWER(GEmaster,SIGN(K213))*POWER(KOmaster,SIGN(L213))*POWER(KKmaster,SIGN(M213))+J213*POWER(MUmaster,SIGN(F213))*POWER(KLmaster,SIGN(G213))*POWER(INmaster,SIGN(H213))*POWER(CHmaster,SIGN(I213))*POWER(GEmaster,SIGN(K213))*POWER(KOmaster,SIGN(L213))*POWER(KKmaster,SIGN(M213))+K213*POWER(MUmaster,SIGN(F213))*POWER(KLmaster,SIGN(G213))*POWER(INmaster,SIGN(H213))*POWER(CHmaster,SIGN(I213))*POWER(FFmaster,SIGN(J213))*POWER(KOmaster,SIGN(L213))*POWER(KKmaster,SIGN(M213))+L213*POWER(MUmaster,SIGN(F213))*POWER(KLmaster,SIGN(G213))*POWER(INmaster,SIGN(H213))*POWER(CHmaster,SIGN(I213))*POWER(FFmaster,SIGN(J213))*POWER(GEmaster,SIGN(K213))*POWER(KKmaster,SIGN(M213))+M213*POWER(MUmaster,SIGN(F213))*POWER(KLmaster,SIGN(G213))*POWER(INmaster,SIGN(H213))*POWER(CHmaster,SIGN(I213))*POWER(FFmaster,SIGN(J213))*POWER(GEmaster,SIGN(K213))*POWER(KOmaster,SIGN(L213))</f>
        <v>2304</v>
      </c>
      <c r="R213" s="170">
        <f>F213*I213*GEmaster+F213*CHmaster*K213+MUmaster*I213*K213</f>
        <v>3456</v>
      </c>
      <c r="S213" s="221">
        <f>IFERROR(F213^SIGN(F213),1)*IFERROR(G213^SIGN(G213),1)*IFERROR(H213^SIGN(H213),1)*IFERROR(I213^SIGN(I213),1)*IFERROR(J213^SIGN(J213),1)*IFERROR(K213^SIGN(K213),1)*IFERROR(L213^SIGN(L213),1)*IFERROR(M213^SIGN(M213),1)</f>
        <v>1728</v>
      </c>
      <c r="T213" s="221">
        <f>SUM(Q213:S213)</f>
        <v>7488</v>
      </c>
      <c r="U213" s="219">
        <f>N213*Q213/T213</f>
        <v>3.6923076923076925</v>
      </c>
      <c r="V213" s="220">
        <f>O213*R213/T213</f>
        <v>11.076923076923077</v>
      </c>
      <c r="W213" s="241">
        <f>P213*S213/T213</f>
        <v>8.3076923076923084</v>
      </c>
      <c r="X213" s="241">
        <f>SUM(U213:W213)</f>
        <v>23.07692307692308</v>
      </c>
      <c r="Y213" s="252">
        <v>0</v>
      </c>
      <c r="Z213" s="198">
        <f>X213-Y213</f>
        <v>23.07692307692308</v>
      </c>
      <c r="AA213" s="158">
        <f>IF(X213&lt;=0,1,0)+IF(X213&gt;0,X213+1,0)*1+IF(X213&gt;12,X213-12,0)*1+IF(X213&gt;13,X213-13,0)*1+IF(X213&gt;14,X213-14,0)*1+IF(X213&gt;15,X213-15,0)*1+IF(X213&gt;16,X213-16,0)*1+IF(X213&gt;17,X213-17,0)*1+IF(X213&gt;18,X213-18,0)*1+IF(X213&gt;19,X213-19,0)*1+IF(X213&gt;20,X213-20,0)*1</f>
        <v>87.769230769230802</v>
      </c>
      <c r="AB213" s="91">
        <f>IF(Y213&lt;=0,1,0)+IF(Y213&gt;0,Y213+1,0)*1+IF(Y213&gt;12,Y213-12,0)*1+IF(Y213&gt;13,Y213-13,0)*1+IF(Y213&gt;14,Y213-14,0)*1+IF(Y213&gt;15,Y213-15,0)*1+IF(Y213&gt;16,Y213-16,0)*1+IF(Y213&gt;17,Y213-17,0)*1+IF(Y213&gt;18,Y213-18,0)*1+IF(Y213&gt;19,Y213-19,0)*1+IF(Y213&gt;20,Y213-20,0)*1</f>
        <v>1</v>
      </c>
      <c r="AC213" s="126">
        <f>IF((AA213-AB213)&gt;0,AA213-AB213,0)</f>
        <v>86.769230769230802</v>
      </c>
      <c r="AD213" s="158">
        <f>IF((AB213-AA213)&gt;0,AB213-AA213,0)</f>
        <v>0</v>
      </c>
      <c r="AF213" s="162" t="s">
        <v>352</v>
      </c>
      <c r="AG213" s="85" t="s">
        <v>172</v>
      </c>
      <c r="AH213" s="126" t="s">
        <v>133</v>
      </c>
      <c r="AI213" s="191">
        <f>Konvention_1slave-MUslave_MU</f>
        <v>11</v>
      </c>
      <c r="AJ213" s="118"/>
      <c r="AK213" s="118"/>
      <c r="AL213" s="118">
        <f>Konvention_1slave-CHslave</f>
        <v>12</v>
      </c>
      <c r="AM213" s="118"/>
      <c r="AN213" s="118">
        <f>Konvention_1slave-GEslave</f>
        <v>12</v>
      </c>
      <c r="AO213" s="118"/>
      <c r="AP213" s="92"/>
      <c r="AQ213" s="116">
        <f>(AI213+AJ213+AK213+AL213+AM213+AN213+AO213+AP213)/3</f>
        <v>11.666666666666666</v>
      </c>
      <c r="AR213" s="194">
        <f>2*AQ213</f>
        <v>23.333333333333332</v>
      </c>
      <c r="AS213" s="192">
        <f>3*AQ213</f>
        <v>35</v>
      </c>
      <c r="AT213" s="191">
        <f t="shared" ref="AT213:AT248" si="1597">AI213*POWER(KLslave,SIGN(AJ213))*POWER(INslave,SIGN(AK213))*POWER(CHslave,SIGN(AL213))*POWER(FFslave,SIGN(AM213))*POWER(GEslave,SIGN(AN213))*POWER(KOslave,SIGN(AO213))*POWER(KKslave,SIGN(AP213))+AJ213*POWER(MUslave_MU,SIGN(AI213))*POWER(INslave,SIGN(AK213))*POWER(CHslave,SIGN(AL213))*POWER(FFslave,SIGN(AM213))*POWER(GEslave,SIGN(AN213))*POWER(KOslave,SIGN(AO213))*POWER(KKslave,SIGN(AP213))+AK213*POWER(MUslave_MU,SIGN(AI213))*POWER(KLslave,SIGN(AJ213))*POWER(CHslave,SIGN(AL213))*POWER(FFslave,SIGN(AM213))*POWER(GEslave,SIGN(AN213))*POWER(KOslave,SIGN(AO213))*POWER(KKslave,SIGN(AP213))+AL213*POWER(MUslave_MU,SIGN(AI213))*POWER(KLslave,SIGN(AJ213))*POWER(INslave,SIGN(AK213))*POWER(FFslave,SIGN(AM213))*POWER(GEslave,SIGN(AN213))*POWER(KOslave,SIGN(AO213))*POWER(KKslave,SIGN(AP213))+AM213*POWER(MUslave_MU,SIGN(AI213))*POWER(KLslave,SIGN(AJ213))*POWER(INslave,SIGN(AK213))*POWER(CHslave,SIGN(AL213))*POWER(GEslave,SIGN(AN213))*POWER(KOslave,SIGN(AO213))*POWER(KKslave,SIGN(AP213))+AN213*POWER(MUslave_MU,SIGN(AI213))*POWER(KLslave,SIGN(AJ213))*POWER(INslave,SIGN(AK213))*POWER(CHslave,SIGN(AL213))*POWER(FFslave,SIGN(AM213))*POWER(KOslave,SIGN(AO213))*POWER(KKslave,SIGN(AP213))+AO213*POWER(MUslave_MU,SIGN(AI213))*POWER(KLslave,SIGN(AJ213))*POWER(INslave,SIGN(AK213))*POWER(CHslave,SIGN(AL213))*POWER(FFslave,SIGN(AM213))*POWER(GEslave,SIGN(AN213))*POWER(KKslave,SIGN(AP213))+AP213*POWER(MUslave_MU,SIGN(AI213))*POWER(KLslave,SIGN(AJ213))*POWER(INslave,SIGN(AK213))*POWER(CHslave,SIGN(AL213))*POWER(FFslave,SIGN(AM213))*POWER(GEslave,SIGN(AN213))*POWER(KOslave,SIGN(AO213))</f>
        <v>2432</v>
      </c>
      <c r="AU213" s="170">
        <f>AI213*AL213*GEslave+AI213*CHslave*AN213+MUslave_MU*AL213*AN213</f>
        <v>3408</v>
      </c>
      <c r="AV213" s="92">
        <f>IFERROR(AI213^SIGN(AI213),1)*IFERROR(AJ213^SIGN(AJ213),1)*IFERROR(AK213^SIGN(AK213),1)*IFERROR(AL213^SIGN(AL213),1)*IFERROR(AM213^SIGN(AM213),1)*IFERROR(AN213^SIGN(AN213),1)*IFERROR(AO213^SIGN(AO213),1)*IFERROR(AP213^SIGN(AP213),1)</f>
        <v>1584</v>
      </c>
      <c r="AW213" s="92">
        <f>SUM(AT213:AV213)</f>
        <v>7424</v>
      </c>
      <c r="AX213" s="193">
        <f>AQ213*AT213/AW213</f>
        <v>3.8218390804597702</v>
      </c>
      <c r="AY213" s="116">
        <f>AR213*AU213/AW213</f>
        <v>10.711206896551724</v>
      </c>
      <c r="AZ213" s="126">
        <f>AS213*AV213/AW213</f>
        <v>7.4676724137931032</v>
      </c>
      <c r="BA213" s="126">
        <f>SUM(AX213:AZ213)</f>
        <v>22.000718390804597</v>
      </c>
      <c r="BB213" s="165">
        <f t="shared" ref="BB213:BB257" si="1598">Y213</f>
        <v>0</v>
      </c>
      <c r="BC213" s="198">
        <f>BA213-BB213</f>
        <v>22.000718390804597</v>
      </c>
      <c r="BD213" s="158">
        <f>IF(BA213&lt;=0,1,0)+IF(BA213&gt;0,BA213+1,0)*1+IF(BA213&gt;12,BA213-12,0)*1+IF(BA213&gt;13,BA213-13,0)*1+IF(BA213&gt;14,BA213-14,0)*1+IF(BA213&gt;15,BA213-15,0)*1+IF(BA213&gt;16,BA213-16,0)*1+IF(BA213&gt;17,BA213-17,0)*1+IF(BA213&gt;18,BA213-18,0)*1+IF(BA213&gt;19,BA213-19,0)*1+IF(BA213&gt;20,BA213-20,0)*1</f>
        <v>77.007183908045945</v>
      </c>
      <c r="BE213" s="91">
        <f>IF(BB213&lt;=0,1,0)+IF(BB213&gt;0,BB213+1,0)*1+IF(BB213&gt;12,BB213-12,0)*1+IF(BB213&gt;13,BB213-13,0)*1+IF(BB213&gt;14,BB213-14,0)*1+IF(BB213&gt;15,BB213-15,0)*1+IF(BB213&gt;16,BB213-16,0)*1+IF(BB213&gt;17,BB213-17,0)*1+IF(BB213&gt;18,BB213-18,0)*1+IF(BB213&gt;19,BB213-19,0)*1+IF(BB213&gt;20,BB213-20,0)*1</f>
        <v>1</v>
      </c>
      <c r="BF213" s="241">
        <f>IF((BD213-BE213)&gt;0,BD213-BE213,0)</f>
        <v>76.007183908045945</v>
      </c>
      <c r="BG213" s="42">
        <f>IF((BE213-BD213)&gt;0,BE213-BD213,0)</f>
        <v>0</v>
      </c>
      <c r="BI213" s="302" t="s">
        <v>352</v>
      </c>
      <c r="BJ213" s="43" t="s">
        <v>172</v>
      </c>
      <c r="BK213" s="241" t="s">
        <v>133</v>
      </c>
      <c r="BL213" s="236">
        <f>Konvention_1slave-MUslave</f>
        <v>12</v>
      </c>
      <c r="BM213" s="233"/>
      <c r="BN213" s="233"/>
      <c r="BO213" s="233">
        <f>Konvention_1slave-CHslave</f>
        <v>12</v>
      </c>
      <c r="BP213" s="233"/>
      <c r="BQ213" s="233">
        <f>Konvention_1slave-GEslave</f>
        <v>12</v>
      </c>
      <c r="BR213" s="233"/>
      <c r="BS213" s="221"/>
      <c r="BT213" s="220">
        <f>(BL213+BM213+BN213+BO213+BP213+BQ213+BR213+BS213)/3</f>
        <v>12</v>
      </c>
      <c r="BU213" s="220">
        <f>2*BT213</f>
        <v>24</v>
      </c>
      <c r="BV213" s="221">
        <f>3*BT213</f>
        <v>36</v>
      </c>
      <c r="BW213" s="236">
        <f t="shared" ref="BW213:BW248" si="1599">BL213*POWER(KLslave_KL,SIGN(BM213))*POWER(INslave,SIGN(BN213))*POWER(CHslave,SIGN(BO213))*POWER(FFslave,SIGN(BP213))*POWER(GEslave,SIGN(BQ213))*POWER(KOslave,SIGN(BR213))*POWER(KKslave,SIGN(BS213))+BM213*POWER(MUslave,SIGN(BL213))*POWER(INslave,SIGN(BN213))*POWER(CHslave,SIGN(BO213))*POWER(FFslave,SIGN(BP213))*POWER(GEslave,SIGN(BQ213))*POWER(KOslave,SIGN(BR213))*POWER(KKslave,SIGN(BS213))+BN213*POWER(MUslave,SIGN(BL213))*POWER(KLslave_KL,SIGN(BM213))*POWER(CHslave,SIGN(BO213))*POWER(FFslave,SIGN(BP213))*POWER(GEslave,SIGN(BQ213))*POWER(KOslave,SIGN(BR213))*POWER(KKslave,SIGN(BS213))+BO213*POWER(MUslave,SIGN(BL213))*POWER(KLslave_KL,SIGN(BM213))*POWER(INslave,SIGN(BN213))*POWER(FFslave,SIGN(BP213))*POWER(GEslave,SIGN(BQ213))*POWER(KOslave,SIGN(BR213))*POWER(KKslave,SIGN(BS213))+BP213*POWER(MUslave,SIGN(BL213))*POWER(KLslave_KL,SIGN(BM213))*POWER(INslave,SIGN(BN213))*POWER(CHslave,SIGN(BO213))*POWER(GEslave,SIGN(BQ213))*POWER(KOslave,SIGN(BR213))*POWER(KKslave,SIGN(BS213))+BQ213*POWER(MUslave,SIGN(BL213))*POWER(KLslave_KL,SIGN(BM213))*POWER(INslave,SIGN(BN213))*POWER(CHslave,SIGN(BO213))*POWER(FFslave,SIGN(BP213))*POWER(KOslave,SIGN(BR213))*POWER(KKslave,SIGN(BS213))+BR213*POWER(MUslave,SIGN(BL213))*POWER(KLslave_KL,SIGN(BM213))*POWER(INslave,SIGN(BN213))*POWER(CHslave,SIGN(BO213))*POWER(FFslave,SIGN(BP213))*POWER(GEslave,SIGN(BQ213))*POWER(KKslave,SIGN(BS213))+BS213*POWER(MUslave,SIGN(BL213))*POWER(KLslave_KL,SIGN(BM213))*POWER(INslave,SIGN(BN213))*POWER(CHslave,SIGN(BO213))*POWER(FFslave,SIGN(BP213))*POWER(GEslave,SIGN(BQ213))*POWER(KOslave,SIGN(BR213))</f>
        <v>2304</v>
      </c>
      <c r="BX213" s="316">
        <f>BL213*BO213*GEslave+BL213*CHslave*BQ213+MUslave*BO213*BQ213</f>
        <v>3456</v>
      </c>
      <c r="BY213" s="221">
        <f>IFERROR(BL213^SIGN(BL213),1)*IFERROR(BM213^SIGN(BM213),1)*IFERROR(BN213^SIGN(BN213),1)*IFERROR(BO213^SIGN(BO213),1)*IFERROR(BP213^SIGN(BP213),1)*IFERROR(BQ213^SIGN(BQ213),1)*IFERROR(BR213^SIGN(BR213),1)*IFERROR(BS213^SIGN(BS213),1)</f>
        <v>1728</v>
      </c>
      <c r="BZ213" s="221">
        <f>SUM(BW213:BY213)</f>
        <v>7488</v>
      </c>
      <c r="CA213" s="219">
        <f>BT213*BW213/BZ213</f>
        <v>3.6923076923076925</v>
      </c>
      <c r="CB213" s="220">
        <f>BU213*BX213/BZ213</f>
        <v>11.076923076923077</v>
      </c>
      <c r="CC213" s="241">
        <f>BV213*BY213/BZ213</f>
        <v>8.3076923076923084</v>
      </c>
      <c r="CD213" s="241">
        <f>SUM(CA213:CC213)</f>
        <v>23.07692307692308</v>
      </c>
      <c r="CE213" s="252">
        <f t="shared" ref="CE213:CE257" si="1600">BB213</f>
        <v>0</v>
      </c>
      <c r="CF213" s="309">
        <f>CD213-CE213</f>
        <v>23.07692307692308</v>
      </c>
      <c r="CG213" s="42">
        <f>IF(CD213&lt;=0,1,0)+IF(CD213&gt;0,CD213+1,0)*1+IF(CD213&gt;12,CD213-12,0)*1+IF(CD213&gt;13,CD213-13,0)*1+IF(CD213&gt;14,CD213-14,0)*1+IF(CD213&gt;15,CD213-15,0)*1+IF(CD213&gt;16,CD213-16,0)*1+IF(CD213&gt;17,CD213-17,0)*1+IF(CD213&gt;18,CD213-18,0)*1+IF(CD213&gt;19,CD213-19,0)*1+IF(CD213&gt;20,CD213-20,0)*1</f>
        <v>87.769230769230802</v>
      </c>
      <c r="CH213" s="78">
        <f>IF(CE213&lt;=0,1,0)+IF(CE213&gt;0,CE213+1,0)*1+IF(CE213&gt;12,CE213-12,0)*1+IF(CE213&gt;13,CE213-13,0)*1+IF(CE213&gt;14,CE213-14,0)*1+IF(CE213&gt;15,CE213-15,0)*1+IF(CE213&gt;16,CE213-16,0)*1+IF(CE213&gt;17,CE213-17,0)*1+IF(CE213&gt;18,CE213-18,0)*1+IF(CE213&gt;19,CE213-19,0)*1+IF(CE213&gt;20,CE213-20,0)*1</f>
        <v>1</v>
      </c>
      <c r="CI213" s="241">
        <f>IF((CG213-CH213)&gt;0,CG213-CH213,0)</f>
        <v>86.769230769230802</v>
      </c>
      <c r="CJ213" s="42">
        <f>IF((CH213-CG213)&gt;0,CH213-CG213,0)</f>
        <v>0</v>
      </c>
      <c r="CL213" s="302" t="s">
        <v>352</v>
      </c>
      <c r="CM213" s="43" t="s">
        <v>172</v>
      </c>
      <c r="CN213" s="241" t="s">
        <v>133</v>
      </c>
      <c r="CO213" s="236">
        <f>Konvention_1slave-MUslave</f>
        <v>12</v>
      </c>
      <c r="CP213" s="233"/>
      <c r="CQ213" s="233"/>
      <c r="CR213" s="233">
        <f>Konvention_1slave-CHslave</f>
        <v>12</v>
      </c>
      <c r="CS213" s="233"/>
      <c r="CT213" s="233">
        <f>Konvention_1slave-GEslave</f>
        <v>12</v>
      </c>
      <c r="CU213" s="233"/>
      <c r="CV213" s="221"/>
      <c r="CW213" s="220">
        <f>(CO213+CP213+CQ213+CR213+CS213+CT213+CU213+CV213)/3</f>
        <v>12</v>
      </c>
      <c r="CX213" s="220">
        <f>2*CW213</f>
        <v>24</v>
      </c>
      <c r="CY213" s="221">
        <f>3*CW213</f>
        <v>36</v>
      </c>
      <c r="CZ213" s="236">
        <f t="shared" ref="CZ213:CZ248" si="1601">CO213*POWER(KLslave,SIGN(CP213))*POWER(INslave_IN,SIGN(CQ213))*POWER(CHslave,SIGN(CR213))*POWER(FFslave,SIGN(CS213))*POWER(GEslave,SIGN(CT213))*POWER(KOslave,SIGN(CU213))*POWER(KKslave,SIGN(CV213))+CP213*POWER(MUslave,SIGN(CO213))*POWER(INslave_IN,SIGN(CQ213))*POWER(CHslave,SIGN(CR213))*POWER(FFslave,SIGN(CS213))*POWER(GEslave,SIGN(CT213))*POWER(KOslave,SIGN(CU213))*POWER(KKslave,SIGN(CV213))+CQ213*POWER(MUslave,SIGN(CO213))*POWER(KLslave,SIGN(CP213))*POWER(CHslave,SIGN(CR213))*POWER(FFslave,SIGN(CS213))*POWER(GEslave,SIGN(CT213))*POWER(KOslave,SIGN(CU213))*POWER(KKslave,SIGN(CV213))+CR213*POWER(MUslave,SIGN(CO213))*POWER(KLslave,SIGN(CP213))*POWER(INslave_IN,SIGN(CQ213))*POWER(FFslave,SIGN(CS213))*POWER(GEslave,SIGN(CT213))*POWER(KOslave,SIGN(CU213))*POWER(KKslave,SIGN(CV213))+CS213*POWER(MUslave,SIGN(CO213))*POWER(KLslave,SIGN(CP213))*POWER(INslave_IN,SIGN(CQ213))*POWER(CHslave,SIGN(CR213))*POWER(GEslave,SIGN(CT213))*POWER(KOslave,SIGN(CU213))*POWER(KKslave,SIGN(CV213))+CT213*POWER(MUslave,SIGN(CO213))*POWER(KLslave,SIGN(CP213))*POWER(INslave_IN,SIGN(CQ213))*POWER(CHslave,SIGN(CR213))*POWER(FFslave,SIGN(CS213))*POWER(KOslave,SIGN(CU213))*POWER(KKslave,SIGN(CV213))+CU213*POWER(MUslave,SIGN(CO213))*POWER(KLslave,SIGN(CP213))*POWER(INslave_IN,SIGN(CQ213))*POWER(CHslave,SIGN(CR213))*POWER(FFslave,SIGN(CS213))*POWER(GEslave,SIGN(CT213))*POWER(KKslave,SIGN(CV213))+CV213*POWER(MUslave,SIGN(CO213))*POWER(KLslave,SIGN(CP213))*POWER(INslave_IN,SIGN(CQ213))*POWER(CHslave,SIGN(CR213))*POWER(FFslave,SIGN(CS213))*POWER(GEslave,SIGN(CT213))*POWER(KOslave,SIGN(CU213))</f>
        <v>2304</v>
      </c>
      <c r="DA213" s="316">
        <f>CO213*CR213*GEslave+CO213*CHslave*CT213+MUslave*CR213*CT213</f>
        <v>3456</v>
      </c>
      <c r="DB213" s="221">
        <f>IFERROR(CO213^SIGN(CO213),1)*IFERROR(CP213^SIGN(CP213),1)*IFERROR(CQ213^SIGN(CQ213),1)*IFERROR(CR213^SIGN(CR213),1)*IFERROR(CS213^SIGN(CS213),1)*IFERROR(CT213^SIGN(CT213),1)*IFERROR(CU213^SIGN(CU213),1)*IFERROR(CV213^SIGN(CV213),1)</f>
        <v>1728</v>
      </c>
      <c r="DC213" s="221">
        <f>SUM(CZ213:DB213)</f>
        <v>7488</v>
      </c>
      <c r="DD213" s="219">
        <f>CW213*CZ213/DC213</f>
        <v>3.6923076923076925</v>
      </c>
      <c r="DE213" s="220">
        <f>CX213*DA213/DC213</f>
        <v>11.076923076923077</v>
      </c>
      <c r="DF213" s="241">
        <f>CY213*DB213/DC213</f>
        <v>8.3076923076923084</v>
      </c>
      <c r="DG213" s="241">
        <f>SUM(DD213:DF213)</f>
        <v>23.07692307692308</v>
      </c>
      <c r="DH213" s="252">
        <f t="shared" ref="DH213:DH257" si="1602">CE213</f>
        <v>0</v>
      </c>
      <c r="DI213" s="309">
        <f>DG213-DH213</f>
        <v>23.07692307692308</v>
      </c>
      <c r="DJ213" s="42">
        <f>IF(DG213&lt;=0,1,0)+IF(DG213&gt;0,DG213+1,0)*1+IF(DG213&gt;12,DG213-12,0)*1+IF(DG213&gt;13,DG213-13,0)*1+IF(DG213&gt;14,DG213-14,0)*1+IF(DG213&gt;15,DG213-15,0)*1+IF(DG213&gt;16,DG213-16,0)*1+IF(DG213&gt;17,DG213-17,0)*1+IF(DG213&gt;18,DG213-18,0)*1+IF(DG213&gt;19,DG213-19,0)*1+IF(DG213&gt;20,DG213-20,0)*1</f>
        <v>87.769230769230802</v>
      </c>
      <c r="DK213" s="78">
        <f>IF(DH213&lt;=0,1,0)+IF(DH213&gt;0,DH213+1,0)*1+IF(DH213&gt;12,DH213-12,0)*1+IF(DH213&gt;13,DH213-13,0)*1+IF(DH213&gt;14,DH213-14,0)*1+IF(DH213&gt;15,DH213-15,0)*1+IF(DH213&gt;16,DH213-16,0)*1+IF(DH213&gt;17,DH213-17,0)*1+IF(DH213&gt;18,DH213-18,0)*1+IF(DH213&gt;19,DH213-19,0)*1+IF(DH213&gt;20,DH213-20,0)*1</f>
        <v>1</v>
      </c>
      <c r="DL213" s="241">
        <f>IF((DJ213-DK213)&gt;0,DJ213-DK213,0)</f>
        <v>86.769230769230802</v>
      </c>
      <c r="DM213" s="42">
        <f>IF((DK213-DJ213)&gt;0,DK213-DJ213,0)</f>
        <v>0</v>
      </c>
      <c r="DO213" s="302" t="s">
        <v>352</v>
      </c>
      <c r="DP213" s="43" t="s">
        <v>172</v>
      </c>
      <c r="DQ213" s="241" t="s">
        <v>133</v>
      </c>
      <c r="DR213" s="236">
        <f>Konvention_1slave-MUslave</f>
        <v>12</v>
      </c>
      <c r="DS213" s="233"/>
      <c r="DT213" s="233"/>
      <c r="DU213" s="233">
        <f>Konvention_1slave-CHslave_CH</f>
        <v>11</v>
      </c>
      <c r="DV213" s="233"/>
      <c r="DW213" s="233">
        <f>Konvention_1slave-GEslave</f>
        <v>12</v>
      </c>
      <c r="DX213" s="233"/>
      <c r="DY213" s="221"/>
      <c r="DZ213" s="220">
        <f>(DR213+DS213+DT213+DU213+DV213+DW213+DX213+DY213)/3</f>
        <v>11.666666666666666</v>
      </c>
      <c r="EA213" s="220">
        <f>2*DZ213</f>
        <v>23.333333333333332</v>
      </c>
      <c r="EB213" s="221">
        <f>3*DZ213</f>
        <v>35</v>
      </c>
      <c r="EC213" s="236">
        <f t="shared" ref="EC213:EC248" si="1603">DR213*POWER(KLslave,SIGN(DS213))*POWER(INslave,SIGN(DT213))*POWER(CHslave_CH,SIGN(DU213))*POWER(FFslave,SIGN(DV213))*POWER(GEslave,SIGN(DW213))*POWER(KOslave,SIGN(DX213))*POWER(KKslave,SIGN(DY213))+DS213*POWER(MUslave,SIGN(DR213))*POWER(INslave,SIGN(DT213))*POWER(CHslave_CH,SIGN(DU213))*POWER(FFslave,SIGN(DV213))*POWER(GEslave,SIGN(DW213))*POWER(KOslave,SIGN(DX213))*POWER(KKslave,SIGN(DY213))+DT213*POWER(MUslave,SIGN(DR213))*POWER(KLslave,SIGN(DS213))*POWER(CHslave_CH,SIGN(DU213))*POWER(FFslave,SIGN(DV213))*POWER(GEslave,SIGN(DW213))*POWER(KOslave,SIGN(DX213))*POWER(KKslave,SIGN(DY213))+DU213*POWER(MUslave,SIGN(DR213))*POWER(KLslave,SIGN(DS213))*POWER(INslave,SIGN(DT213))*POWER(FFslave,SIGN(DV213))*POWER(GEslave,SIGN(DW213))*POWER(KOslave,SIGN(DX213))*POWER(KKslave,SIGN(DY213))+DV213*POWER(MUslave,SIGN(DR213))*POWER(KLslave,SIGN(DS213))*POWER(INslave,SIGN(DT213))*POWER(CHslave_CH,SIGN(DU213))*POWER(GEslave,SIGN(DW213))*POWER(KOslave,SIGN(DX213))*POWER(KKslave,SIGN(DY213))+DW213*POWER(MUslave,SIGN(DR213))*POWER(KLslave,SIGN(DS213))*POWER(INslave,SIGN(DT213))*POWER(CHslave_CH,SIGN(DU213))*POWER(FFslave,SIGN(DV213))*POWER(KOslave,SIGN(DX213))*POWER(KKslave,SIGN(DY213))+DX213*POWER(MUslave,SIGN(DR213))*POWER(KLslave,SIGN(DS213))*POWER(INslave,SIGN(DT213))*POWER(CHslave_CH,SIGN(DU213))*POWER(FFslave,SIGN(DV213))*POWER(GEslave,SIGN(DW213))*POWER(KKslave,SIGN(DY213))+DY213*POWER(MUslave,SIGN(DR213))*POWER(KLslave,SIGN(DS213))*POWER(INslave,SIGN(DT213))*POWER(CHslave_CH,SIGN(DU213))*POWER(FFslave,SIGN(DV213))*POWER(GEslave,SIGN(DW213))*POWER(KOslave,SIGN(DX213))</f>
        <v>2432</v>
      </c>
      <c r="ED213" s="316">
        <f>DR213*DU213*GEslave+DR213*CHslave_CH*DW213+MUslave*DU213*DW213</f>
        <v>3408</v>
      </c>
      <c r="EE213" s="221">
        <f>IFERROR(DR213^SIGN(DR213),1)*IFERROR(DS213^SIGN(DS213),1)*IFERROR(DT213^SIGN(DT213),1)*IFERROR(DU213^SIGN(DU213),1)*IFERROR(DV213^SIGN(DV213),1)*IFERROR(DW213^SIGN(DW213),1)*IFERROR(DX213^SIGN(DX213),1)*IFERROR(DY213^SIGN(DY213),1)</f>
        <v>1584</v>
      </c>
      <c r="EF213" s="221">
        <f>SUM(EC213:EE213)</f>
        <v>7424</v>
      </c>
      <c r="EG213" s="219">
        <f>DZ213*EC213/EF213</f>
        <v>3.8218390804597702</v>
      </c>
      <c r="EH213" s="220">
        <f>EA213*ED213/EF213</f>
        <v>10.711206896551724</v>
      </c>
      <c r="EI213" s="241">
        <f>EB213*EE213/EF213</f>
        <v>7.4676724137931032</v>
      </c>
      <c r="EJ213" s="241">
        <f>SUM(EG213:EI213)</f>
        <v>22.000718390804597</v>
      </c>
      <c r="EK213" s="252">
        <f t="shared" ref="EK213:EK257" si="1604">DH213</f>
        <v>0</v>
      </c>
      <c r="EL213" s="309">
        <f>EJ213-EK213</f>
        <v>22.000718390804597</v>
      </c>
      <c r="EM213" s="42">
        <f>IF(EJ213&lt;=0,1,0)+IF(EJ213&gt;0,EJ213+1,0)*1+IF(EJ213&gt;12,EJ213-12,0)*1+IF(EJ213&gt;13,EJ213-13,0)*1+IF(EJ213&gt;14,EJ213-14,0)*1+IF(EJ213&gt;15,EJ213-15,0)*1+IF(EJ213&gt;16,EJ213-16,0)*1+IF(EJ213&gt;17,EJ213-17,0)*1+IF(EJ213&gt;18,EJ213-18,0)*1+IF(EJ213&gt;19,EJ213-19,0)*1+IF(EJ213&gt;20,EJ213-20,0)*1</f>
        <v>77.007183908045945</v>
      </c>
      <c r="EN213" s="78">
        <f>IF(EK213&lt;=0,1,0)+IF(EK213&gt;0,EK213+1,0)*1+IF(EK213&gt;12,EK213-12,0)*1+IF(EK213&gt;13,EK213-13,0)*1+IF(EK213&gt;14,EK213-14,0)*1+IF(EK213&gt;15,EK213-15,0)*1+IF(EK213&gt;16,EK213-16,0)*1+IF(EK213&gt;17,EK213-17,0)*1+IF(EK213&gt;18,EK213-18,0)*1+IF(EK213&gt;19,EK213-19,0)*1+IF(EK213&gt;20,EK213-20,0)*1</f>
        <v>1</v>
      </c>
      <c r="EO213" s="241">
        <f>IF((EM213-EN213)&gt;0,EM213-EN213,0)</f>
        <v>76.007183908045945</v>
      </c>
      <c r="EP213" s="42">
        <f>IF((EN213-EM213)&gt;0,EN213-EM213,0)</f>
        <v>0</v>
      </c>
      <c r="ER213" s="302" t="s">
        <v>352</v>
      </c>
      <c r="ES213" s="43" t="s">
        <v>172</v>
      </c>
      <c r="ET213" s="241" t="s">
        <v>133</v>
      </c>
      <c r="EU213" s="236">
        <f>Konvention_1slave-MUslave</f>
        <v>12</v>
      </c>
      <c r="EV213" s="233"/>
      <c r="EW213" s="233"/>
      <c r="EX213" s="233">
        <f>Konvention_1slave-CHslave</f>
        <v>12</v>
      </c>
      <c r="EY213" s="233"/>
      <c r="EZ213" s="233">
        <f>Konvention_1slave-GEslave</f>
        <v>12</v>
      </c>
      <c r="FA213" s="233"/>
      <c r="FB213" s="221"/>
      <c r="FC213" s="220">
        <f>(EU213+EV213+EW213+EX213+EY213+EZ213+FA213+FB213)/3</f>
        <v>12</v>
      </c>
      <c r="FD213" s="220">
        <f>2*FC213</f>
        <v>24</v>
      </c>
      <c r="FE213" s="221">
        <f>3*FC213</f>
        <v>36</v>
      </c>
      <c r="FF213" s="236">
        <f t="shared" ref="FF213:FF248" si="1605">EU213*POWER(KLslave,SIGN(EV213))*POWER(INslave,SIGN(EW213))*POWER(CHslave,SIGN(EX213))*POWER(FFslave_FF,SIGN(EY213))*POWER(GEslave,SIGN(EZ213))*POWER(KOslave,SIGN(FA213))*POWER(KKslave,SIGN(FB213))+EV213*POWER(MUslave,SIGN(EU213))*POWER(INslave,SIGN(EW213))*POWER(CHslave,SIGN(EX213))*POWER(FFslave_FF,SIGN(EY213))*POWER(GEslave,SIGN(EZ213))*POWER(KOslave,SIGN(FA213))*POWER(KKslave,SIGN(FB213))+EW213*POWER(MUslave,SIGN(EU213))*POWER(KLslave,SIGN(EV213))*POWER(CHslave,SIGN(EX213))*POWER(FFslave_FF,SIGN(EY213))*POWER(GEslave,SIGN(EZ213))*POWER(KOslave,SIGN(FA213))*POWER(KKslave,SIGN(FB213))+EX213*POWER(MUslave,SIGN(EU213))*POWER(KLslave,SIGN(EV213))*POWER(INslave,SIGN(EW213))*POWER(FFslave_FF,SIGN(EY213))*POWER(GEslave,SIGN(EZ213))*POWER(KOslave,SIGN(FA213))*POWER(KKslave,SIGN(FB213))+EY213*POWER(MUslave,SIGN(EU213))*POWER(KLslave,SIGN(EV213))*POWER(INslave,SIGN(EW213))*POWER(CHslave,SIGN(EX213))*POWER(GEslave,SIGN(EZ213))*POWER(KOslave,SIGN(FA213))*POWER(KKslave,SIGN(FB213))+EZ213*POWER(MUslave,SIGN(EU213))*POWER(KLslave,SIGN(EV213))*POWER(INslave,SIGN(EW213))*POWER(CHslave,SIGN(EX213))*POWER(FFslave_FF,SIGN(EY213))*POWER(KOslave,SIGN(FA213))*POWER(KKslave,SIGN(FB213))+FA213*POWER(MUslave,SIGN(EU213))*POWER(KLslave,SIGN(EV213))*POWER(INslave,SIGN(EW213))*POWER(CHslave,SIGN(EX213))*POWER(FFslave_FF,SIGN(EY213))*POWER(GEslave,SIGN(EZ213))*POWER(KKslave,SIGN(FB213))+FB213*POWER(MUslave,SIGN(EU213))*POWER(KLslave,SIGN(EV213))*POWER(INslave,SIGN(EW213))*POWER(CHslave,SIGN(EX213))*POWER(FFslave_FF,SIGN(EY213))*POWER(GEslave,SIGN(EZ213))*POWER(KOslave,SIGN(FA213))</f>
        <v>2304</v>
      </c>
      <c r="FG213" s="316">
        <f>EU213*EX213*GEslave+EU213*CHslave*EZ213+MUslave*EX213*EZ213</f>
        <v>3456</v>
      </c>
      <c r="FH213" s="221">
        <f>IFERROR(EU213^SIGN(EU213),1)*IFERROR(EV213^SIGN(EV213),1)*IFERROR(EW213^SIGN(EW213),1)*IFERROR(EX213^SIGN(EX213),1)*IFERROR(EY213^SIGN(EY213),1)*IFERROR(EZ213^SIGN(EZ213),1)*IFERROR(FA213^SIGN(FA213),1)*IFERROR(FB213^SIGN(FB213),1)</f>
        <v>1728</v>
      </c>
      <c r="FI213" s="221">
        <f>SUM(FF213:FH213)</f>
        <v>7488</v>
      </c>
      <c r="FJ213" s="219">
        <f>FC213*FF213/FI213</f>
        <v>3.6923076923076925</v>
      </c>
      <c r="FK213" s="220">
        <f>FD213*FG213/FI213</f>
        <v>11.076923076923077</v>
      </c>
      <c r="FL213" s="241">
        <f>FE213*FH213/FI213</f>
        <v>8.3076923076923084</v>
      </c>
      <c r="FM213" s="241">
        <f>SUM(FJ213:FL213)</f>
        <v>23.07692307692308</v>
      </c>
      <c r="FN213" s="252">
        <f t="shared" ref="FN213:FN257" si="1606">EK213</f>
        <v>0</v>
      </c>
      <c r="FO213" s="309">
        <f>FM213-FN213</f>
        <v>23.07692307692308</v>
      </c>
      <c r="FP213" s="42">
        <f>IF(FM213&lt;=0,1,0)+IF(FM213&gt;0,FM213+1,0)*1+IF(FM213&gt;12,FM213-12,0)*1+IF(FM213&gt;13,FM213-13,0)*1+IF(FM213&gt;14,FM213-14,0)*1+IF(FM213&gt;15,FM213-15,0)*1+IF(FM213&gt;16,FM213-16,0)*1+IF(FM213&gt;17,FM213-17,0)*1+IF(FM213&gt;18,FM213-18,0)*1+IF(FM213&gt;19,FM213-19,0)*1+IF(FM213&gt;20,FM213-20,0)*1</f>
        <v>87.769230769230802</v>
      </c>
      <c r="FQ213" s="78">
        <f>IF(FN213&lt;=0,1,0)+IF(FN213&gt;0,FN213+1,0)*1+IF(FN213&gt;12,FN213-12,0)*1+IF(FN213&gt;13,FN213-13,0)*1+IF(FN213&gt;14,FN213-14,0)*1+IF(FN213&gt;15,FN213-15,0)*1+IF(FN213&gt;16,FN213-16,0)*1+IF(FN213&gt;17,FN213-17,0)*1+IF(FN213&gt;18,FN213-18,0)*1+IF(FN213&gt;19,FN213-19,0)*1+IF(FN213&gt;20,FN213-20,0)*1</f>
        <v>1</v>
      </c>
      <c r="FR213" s="241">
        <f>IF((FP213-FQ213)&gt;0,FP213-FQ213,0)</f>
        <v>86.769230769230802</v>
      </c>
      <c r="FS213" s="42">
        <f>IF((FQ213-FP213)&gt;0,FQ213-FP213,0)</f>
        <v>0</v>
      </c>
      <c r="FU213" s="302" t="s">
        <v>352</v>
      </c>
      <c r="FV213" s="43" t="s">
        <v>172</v>
      </c>
      <c r="FW213" s="241" t="s">
        <v>133</v>
      </c>
      <c r="FX213" s="236">
        <f>Konvention_1slave-MUslave</f>
        <v>12</v>
      </c>
      <c r="FY213" s="233"/>
      <c r="FZ213" s="233"/>
      <c r="GA213" s="233">
        <f>Konvention_1slave-CHslave</f>
        <v>12</v>
      </c>
      <c r="GB213" s="233"/>
      <c r="GC213" s="233">
        <f>Konvention_1slave-GEslave_GE</f>
        <v>11</v>
      </c>
      <c r="GD213" s="233"/>
      <c r="GE213" s="221"/>
      <c r="GF213" s="220">
        <f>(FX213+FY213+FZ213+GA213+GB213+GC213+GD213+GE213)/3</f>
        <v>11.666666666666666</v>
      </c>
      <c r="GG213" s="220">
        <f>2*GF213</f>
        <v>23.333333333333332</v>
      </c>
      <c r="GH213" s="221">
        <f>3*GF213</f>
        <v>35</v>
      </c>
      <c r="GI213" s="236">
        <f t="shared" ref="GI213:GI248" si="1607">FX213*POWER(KLslave,SIGN(FY213))*POWER(INslave,SIGN(FZ213))*POWER(CHslave,SIGN(GA213))*POWER(FFslave,SIGN(GB213))*POWER(GEslave_GE,SIGN(GC213))*POWER(KOslave,SIGN(GD213))*POWER(KKslave,SIGN(GE213))+FY213*POWER(MUslave,SIGN(FX213))*POWER(INslave,SIGN(FZ213))*POWER(CHslave,SIGN(GA213))*POWER(FFslave,SIGN(GB213))*POWER(GEslave_GE,SIGN(GC213))*POWER(KOslave,SIGN(GD213))*POWER(KKslave,SIGN(GE213))+FZ213*POWER(MUslave,SIGN(FX213))*POWER(KLslave,SIGN(FY213))*POWER(CHslave,SIGN(GA213))*POWER(FFslave,SIGN(GB213))*POWER(GEslave_GE,SIGN(GC213))*POWER(KOslave,SIGN(GD213))*POWER(KKslave,SIGN(GE213))+GA213*POWER(MUslave,SIGN(FX213))*POWER(KLslave,SIGN(FY213))*POWER(INslave,SIGN(FZ213))*POWER(FFslave,SIGN(GB213))*POWER(GEslave_GE,SIGN(GC213))*POWER(KOslave,SIGN(GD213))*POWER(KKslave,SIGN(GE213))+GB213*POWER(MUslave,SIGN(FX213))*POWER(KLslave,SIGN(FY213))*POWER(INslave,SIGN(FZ213))*POWER(CHslave,SIGN(GA213))*POWER(GEslave_GE,SIGN(GC213))*POWER(KOslave,SIGN(GD213))*POWER(KKslave,SIGN(GE213))+GC213*POWER(MUslave,SIGN(FX213))*POWER(KLslave,SIGN(FY213))*POWER(INslave,SIGN(FZ213))*POWER(CHslave,SIGN(GA213))*POWER(FFslave,SIGN(GB213))*POWER(KOslave,SIGN(GD213))*POWER(KKslave,SIGN(GE213))+GD213*POWER(MUslave,SIGN(FX213))*POWER(KLslave,SIGN(FY213))*POWER(INslave,SIGN(FZ213))*POWER(CHslave,SIGN(GA213))*POWER(FFslave,SIGN(GB213))*POWER(GEslave_GE,SIGN(GC213))*POWER(KKslave,SIGN(GE213))+GE213*POWER(MUslave,SIGN(FX213))*POWER(KLslave,SIGN(FY213))*POWER(INslave,SIGN(FZ213))*POWER(CHslave,SIGN(GA213))*POWER(FFslave,SIGN(GB213))*POWER(GEslave_GE,SIGN(GC213))*POWER(KOslave,SIGN(GD213))</f>
        <v>2432</v>
      </c>
      <c r="GJ213" s="316">
        <f>FX213*GA213*GEslave_GE+FX213*CHslave*GC213+MUslave*GA213*GC213</f>
        <v>3408</v>
      </c>
      <c r="GK213" s="221">
        <f>IFERROR(FX213^SIGN(FX213),1)*IFERROR(FY213^SIGN(FY213),1)*IFERROR(FZ213^SIGN(FZ213),1)*IFERROR(GA213^SIGN(GA213),1)*IFERROR(GB213^SIGN(GB213),1)*IFERROR(GC213^SIGN(GC213),1)*IFERROR(GD213^SIGN(GD213),1)*IFERROR(GE213^SIGN(GE213),1)</f>
        <v>1584</v>
      </c>
      <c r="GL213" s="221">
        <f>SUM(GI213:GK213)</f>
        <v>7424</v>
      </c>
      <c r="GM213" s="219">
        <f>GF213*GI213/GL213</f>
        <v>3.8218390804597702</v>
      </c>
      <c r="GN213" s="220">
        <f>GG213*GJ213/GL213</f>
        <v>10.711206896551724</v>
      </c>
      <c r="GO213" s="241">
        <f>GH213*GK213/GL213</f>
        <v>7.4676724137931032</v>
      </c>
      <c r="GP213" s="241">
        <f>SUM(GM213:GO213)</f>
        <v>22.000718390804597</v>
      </c>
      <c r="GQ213" s="252">
        <f t="shared" ref="GQ213:GQ257" si="1608">FN213</f>
        <v>0</v>
      </c>
      <c r="GR213" s="309">
        <f>GP213-GQ213</f>
        <v>22.000718390804597</v>
      </c>
      <c r="GS213" s="42">
        <f>IF(GP213&lt;=0,1,0)+IF(GP213&gt;0,GP213+1,0)*1+IF(GP213&gt;12,GP213-12,0)*1+IF(GP213&gt;13,GP213-13,0)*1+IF(GP213&gt;14,GP213-14,0)*1+IF(GP213&gt;15,GP213-15,0)*1+IF(GP213&gt;16,GP213-16,0)*1+IF(GP213&gt;17,GP213-17,0)*1+IF(GP213&gt;18,GP213-18,0)*1+IF(GP213&gt;19,GP213-19,0)*1+IF(GP213&gt;20,GP213-20,0)*1</f>
        <v>77.007183908045945</v>
      </c>
      <c r="GT213" s="78">
        <f>IF(GQ213&lt;=0,1,0)+IF(GQ213&gt;0,GQ213+1,0)*1+IF(GQ213&gt;12,GQ213-12,0)*1+IF(GQ213&gt;13,GQ213-13,0)*1+IF(GQ213&gt;14,GQ213-14,0)*1+IF(GQ213&gt;15,GQ213-15,0)*1+IF(GQ213&gt;16,GQ213-16,0)*1+IF(GQ213&gt;17,GQ213-17,0)*1+IF(GQ213&gt;18,GQ213-18,0)*1+IF(GQ213&gt;19,GQ213-19,0)*1+IF(GQ213&gt;20,GQ213-20,0)*1</f>
        <v>1</v>
      </c>
      <c r="GU213" s="241">
        <f>IF((GS213-GT213)&gt;0,GS213-GT213,0)</f>
        <v>76.007183908045945</v>
      </c>
      <c r="GV213" s="42">
        <f>IF((GT213-GS213)&gt;0,GT213-GS213,0)</f>
        <v>0</v>
      </c>
      <c r="GX213" s="302" t="s">
        <v>352</v>
      </c>
      <c r="GY213" s="43" t="s">
        <v>172</v>
      </c>
      <c r="GZ213" s="241" t="s">
        <v>133</v>
      </c>
      <c r="HA213" s="236">
        <f>Konvention_1slave-MUslave</f>
        <v>12</v>
      </c>
      <c r="HB213" s="233"/>
      <c r="HC213" s="233"/>
      <c r="HD213" s="233">
        <f>Konvention_1slave-CHslave</f>
        <v>12</v>
      </c>
      <c r="HE213" s="233"/>
      <c r="HF213" s="233">
        <f>Konvention_1slave-GEslave</f>
        <v>12</v>
      </c>
      <c r="HG213" s="233"/>
      <c r="HH213" s="221"/>
      <c r="HI213" s="220">
        <f>(HA213+HB213+HC213+HD213+HE213+HF213+HG213+HH213)/3</f>
        <v>12</v>
      </c>
      <c r="HJ213" s="220">
        <f>2*HI213</f>
        <v>24</v>
      </c>
      <c r="HK213" s="221">
        <f>3*HI213</f>
        <v>36</v>
      </c>
      <c r="HL213" s="236">
        <f t="shared" ref="HL213:HL248" si="1609">HA213*POWER(KLslave,SIGN(HB213))*POWER(INslave,SIGN(HC213))*POWER(CHslave,SIGN(HD213))*POWER(FFslave,SIGN(HE213))*POWER(GEslave,SIGN(HF213))*POWER(KOslave_KO,SIGN(HG213))*POWER(KKslave,SIGN(HH213))+HB213*POWER(MUslave,SIGN(HA213))*POWER(INslave,SIGN(HC213))*POWER(CHslave,SIGN(HD213))*POWER(FFslave,SIGN(HE213))*POWER(GEslave,SIGN(HF213))*POWER(KOslave_KO,SIGN(HG213))*POWER(KKslave,SIGN(HH213))+HC213*POWER(MUslave,SIGN(HA213))*POWER(KLslave,SIGN(HB213))*POWER(CHslave,SIGN(HD213))*POWER(FFslave,SIGN(HE213))*POWER(GEslave,SIGN(HF213))*POWER(KOslave_KO,SIGN(HG213))*POWER(KKslave,SIGN(HH213))+HD213*POWER(MUslave,SIGN(HA213))*POWER(KLslave,SIGN(HB213))*POWER(INslave,SIGN(HC213))*POWER(FFslave,SIGN(HE213))*POWER(GEslave,SIGN(HF213))*POWER(KOslave_KO,SIGN(HG213))*POWER(KKslave,SIGN(HH213))+HE213*POWER(MUslave,SIGN(HA213))*POWER(KLslave,SIGN(HB213))*POWER(INslave,SIGN(HC213))*POWER(CHslave,SIGN(HD213))*POWER(GEslave,SIGN(HF213))*POWER(KOslave_KO,SIGN(HG213))*POWER(KKslave,SIGN(HH213))+HF213*POWER(MUslave,SIGN(HA213))*POWER(KLslave,SIGN(HB213))*POWER(INslave,SIGN(HC213))*POWER(CHslave,SIGN(HD213))*POWER(FFslave,SIGN(HE213))*POWER(KOslave_KO,SIGN(HG213))*POWER(KKslave,SIGN(HH213))+HG213*POWER(MUslave,SIGN(HA213))*POWER(KLslave,SIGN(HB213))*POWER(INslave,SIGN(HC213))*POWER(CHslave,SIGN(HD213))*POWER(FFslave,SIGN(HE213))*POWER(GEslave,SIGN(HF213))*POWER(KKslave,SIGN(HH213))+HH213*POWER(MUslave,SIGN(HA213))*POWER(KLslave,SIGN(HB213))*POWER(INslave,SIGN(HC213))*POWER(CHslave,SIGN(HD213))*POWER(FFslave,SIGN(HE213))*POWER(GEslave,SIGN(HF213))*POWER(KOslave_KO,SIGN(HG213))</f>
        <v>2304</v>
      </c>
      <c r="HM213" s="316">
        <f>HA213*HD213*GEslave+HA213*CHslave*HF213+MUslave*HD213*HF213</f>
        <v>3456</v>
      </c>
      <c r="HN213" s="221">
        <f>IFERROR(HA213^SIGN(HA213),1)*IFERROR(HB213^SIGN(HB213),1)*IFERROR(HC213^SIGN(HC213),1)*IFERROR(HD213^SIGN(HD213),1)*IFERROR(HE213^SIGN(HE213),1)*IFERROR(HF213^SIGN(HF213),1)*IFERROR(HG213^SIGN(HG213),1)*IFERROR(HH213^SIGN(HH213),1)</f>
        <v>1728</v>
      </c>
      <c r="HO213" s="221">
        <f>SUM(HL213:HN213)</f>
        <v>7488</v>
      </c>
      <c r="HP213" s="219">
        <f>HI213*HL213/HO213</f>
        <v>3.6923076923076925</v>
      </c>
      <c r="HQ213" s="220">
        <f>HJ213*HM213/HO213</f>
        <v>11.076923076923077</v>
      </c>
      <c r="HR213" s="241">
        <f>HK213*HN213/HO213</f>
        <v>8.3076923076923084</v>
      </c>
      <c r="HS213" s="241">
        <f>SUM(HP213:HR213)</f>
        <v>23.07692307692308</v>
      </c>
      <c r="HT213" s="252">
        <f t="shared" ref="HT213:HT257" si="1610">GQ213</f>
        <v>0</v>
      </c>
      <c r="HU213" s="309">
        <f>HS213-HT213</f>
        <v>23.07692307692308</v>
      </c>
      <c r="HV213" s="42">
        <f>IF(HS213&lt;=0,1,0)+IF(HS213&gt;0,HS213+1,0)*1+IF(HS213&gt;12,HS213-12,0)*1+IF(HS213&gt;13,HS213-13,0)*1+IF(HS213&gt;14,HS213-14,0)*1+IF(HS213&gt;15,HS213-15,0)*1+IF(HS213&gt;16,HS213-16,0)*1+IF(HS213&gt;17,HS213-17,0)*1+IF(HS213&gt;18,HS213-18,0)*1+IF(HS213&gt;19,HS213-19,0)*1+IF(HS213&gt;20,HS213-20,0)*1</f>
        <v>87.769230769230802</v>
      </c>
      <c r="HW213" s="78">
        <f>IF(HT213&lt;=0,1,0)+IF(HT213&gt;0,HT213+1,0)*1+IF(HT213&gt;12,HT213-12,0)*1+IF(HT213&gt;13,HT213-13,0)*1+IF(HT213&gt;14,HT213-14,0)*1+IF(HT213&gt;15,HT213-15,0)*1+IF(HT213&gt;16,HT213-16,0)*1+IF(HT213&gt;17,HT213-17,0)*1+IF(HT213&gt;18,HT213-18,0)*1+IF(HT213&gt;19,HT213-19,0)*1+IF(HT213&gt;20,HT213-20,0)*1</f>
        <v>1</v>
      </c>
      <c r="HX213" s="241">
        <f>IF((HV213-HW213)&gt;0,HV213-HW213,0)</f>
        <v>86.769230769230802</v>
      </c>
      <c r="HY213" s="42">
        <f>IF((HW213-HV213)&gt;0,HW213-HV213,0)</f>
        <v>0</v>
      </c>
      <c r="IA213" s="302" t="s">
        <v>352</v>
      </c>
      <c r="IB213" s="43" t="s">
        <v>172</v>
      </c>
      <c r="IC213" s="241" t="s">
        <v>133</v>
      </c>
      <c r="ID213" s="236">
        <f>Konvention_1slave-MUslave</f>
        <v>12</v>
      </c>
      <c r="IE213" s="233"/>
      <c r="IF213" s="233"/>
      <c r="IG213" s="233">
        <f>Konvention_1slave-CHslave</f>
        <v>12</v>
      </c>
      <c r="IH213" s="233"/>
      <c r="II213" s="233">
        <f>Konvention_1slave-GEslave</f>
        <v>12</v>
      </c>
      <c r="IJ213" s="233"/>
      <c r="IK213" s="221"/>
      <c r="IL213" s="220">
        <f>(ID213+IE213+IF213+IG213+IH213+II213+IJ213+IK213)/3</f>
        <v>12</v>
      </c>
      <c r="IM213" s="220">
        <f>2*IL213</f>
        <v>24</v>
      </c>
      <c r="IN213" s="221">
        <f>3*IL213</f>
        <v>36</v>
      </c>
      <c r="IO213" s="236">
        <f t="shared" ref="IO213:IO248" si="1611">ID213*POWER(KLslave,SIGN(IE213))*POWER(INslave,SIGN(IF213))*POWER(CHslave,SIGN(IG213))*POWER(FFslave,SIGN(IH213))*POWER(GEslave,SIGN(II213))*POWER(KOslave,SIGN(IJ213))*POWER(KKslave_KK,SIGN(IK213))+IE213*POWER(MUslave,SIGN(ID213))*POWER(INslave,SIGN(IF213))*POWER(CHslave,SIGN(IG213))*POWER(FFslave,SIGN(IH213))*POWER(GEslave,SIGN(II213))*POWER(KOslave,SIGN(IJ213))*POWER(KKslave_KK,SIGN(IK213))+IF213*POWER(MUslave,SIGN(ID213))*POWER(KLslave,SIGN(IE213))*POWER(CHslave,SIGN(IG213))*POWER(FFslave,SIGN(IH213))*POWER(GEslave,SIGN(II213))*POWER(KOslave,SIGN(IJ213))*POWER(KKslave_KK,SIGN(IK213))+IG213*POWER(MUslave,SIGN(ID213))*POWER(KLslave,SIGN(IE213))*POWER(INslave,SIGN(IF213))*POWER(FFslave,SIGN(IH213))*POWER(GEslave,SIGN(II213))*POWER(KOslave,SIGN(IJ213))*POWER(KKslave_KK,SIGN(IK213))+IH213*POWER(MUslave,SIGN(ID213))*POWER(KLslave,SIGN(IE213))*POWER(INslave,SIGN(IF213))*POWER(CHslave,SIGN(IG213))*POWER(GEslave,SIGN(II213))*POWER(KOslave,SIGN(IJ213))*POWER(KKslave_KK,SIGN(IK213))+II213*POWER(MUslave,SIGN(ID213))*POWER(KLslave,SIGN(IE213))*POWER(INslave,SIGN(IF213))*POWER(CHslave,SIGN(IG213))*POWER(FFslave,SIGN(IH213))*POWER(KOslave,SIGN(IJ213))*POWER(KKslave_KK,SIGN(IK213))+IJ213*POWER(MUslave,SIGN(ID213))*POWER(KLslave,SIGN(IE213))*POWER(INslave,SIGN(IF213))*POWER(CHslave,SIGN(IG213))*POWER(FFslave,SIGN(IH213))*POWER(GEslave,SIGN(II213))*POWER(KKslave_KK,SIGN(IK213))+IK213*POWER(MUslave,SIGN(ID213))*POWER(KLslave,SIGN(IE213))*POWER(INslave,SIGN(IF213))*POWER(CHslave,SIGN(IG213))*POWER(FFslave,SIGN(IH213))*POWER(GEslave,SIGN(II213))*POWER(KOslave,SIGN(IJ213))</f>
        <v>2304</v>
      </c>
      <c r="IP213" s="316">
        <f>ID213*IG213*GEslave+ID213*CHslave*II213+MUslave*IG213*II213</f>
        <v>3456</v>
      </c>
      <c r="IQ213" s="221">
        <f>IFERROR(ID213^SIGN(ID213),1)*IFERROR(IE213^SIGN(IE213),1)*IFERROR(IF213^SIGN(IF213),1)*IFERROR(IG213^SIGN(IG213),1)*IFERROR(IH213^SIGN(IH213),1)*IFERROR(II213^SIGN(II213),1)*IFERROR(IJ213^SIGN(IJ213),1)*IFERROR(IK213^SIGN(IK213),1)</f>
        <v>1728</v>
      </c>
      <c r="IR213" s="221">
        <f>SUM(IO213:IQ213)</f>
        <v>7488</v>
      </c>
      <c r="IS213" s="219">
        <f>IL213*IO213/IR213</f>
        <v>3.6923076923076925</v>
      </c>
      <c r="IT213" s="220">
        <f>IM213*IP213/IR213</f>
        <v>11.076923076923077</v>
      </c>
      <c r="IU213" s="241">
        <f>IN213*IQ213/IR213</f>
        <v>8.3076923076923084</v>
      </c>
      <c r="IV213" s="241">
        <f>SUM(IS213:IU213)</f>
        <v>23.07692307692308</v>
      </c>
      <c r="IW213" s="252">
        <f t="shared" ref="IW213:IW257" si="1612">HT213</f>
        <v>0</v>
      </c>
      <c r="IX213" s="309">
        <f>IV213-IW213</f>
        <v>23.07692307692308</v>
      </c>
      <c r="IY213" s="42">
        <f>IF(IV213&lt;=0,1,0)+IF(IV213&gt;0,IV213+1,0)*1+IF(IV213&gt;12,IV213-12,0)*1+IF(IV213&gt;13,IV213-13,0)*1+IF(IV213&gt;14,IV213-14,0)*1+IF(IV213&gt;15,IV213-15,0)*1+IF(IV213&gt;16,IV213-16,0)*1+IF(IV213&gt;17,IV213-17,0)*1+IF(IV213&gt;18,IV213-18,0)*1+IF(IV213&gt;19,IV213-19,0)*1+IF(IV213&gt;20,IV213-20,0)*1</f>
        <v>87.769230769230802</v>
      </c>
      <c r="IZ213" s="78">
        <f>IF(IW213&lt;=0,1,0)+IF(IW213&gt;0,IW213+1,0)*1+IF(IW213&gt;12,IW213-12,0)*1+IF(IW213&gt;13,IW213-13,0)*1+IF(IW213&gt;14,IW213-14,0)*1+IF(IW213&gt;15,IW213-15,0)*1+IF(IW213&gt;16,IW213-16,0)*1+IF(IW213&gt;17,IW213-17,0)*1+IF(IW213&gt;18,IW213-18,0)*1+IF(IW213&gt;19,IW213-19,0)*1+IF(IW213&gt;20,IW213-20,0)*1</f>
        <v>1</v>
      </c>
      <c r="JA213" s="241">
        <f>IF((IY213-IZ213)&gt;0,IY213-IZ213,0)</f>
        <v>86.769230769230802</v>
      </c>
      <c r="JB213" s="42">
        <f>IF((IZ213-IY213)&gt;0,IZ213-IY213,0)</f>
        <v>0</v>
      </c>
      <c r="JE213" s="148"/>
    </row>
    <row r="214" spans="2:265" hidden="1" outlineLevel="2">
      <c r="B214" s="148">
        <v>2</v>
      </c>
      <c r="C214" s="303" t="e">
        <f>VLOOKUP(AF214,Attribute!C:T,1,FALSE)</f>
        <v>#N/A</v>
      </c>
      <c r="D214" s="86" t="s">
        <v>86</v>
      </c>
      <c r="E214" s="127" t="s">
        <v>132</v>
      </c>
      <c r="F214" s="114">
        <f>Konvention_1master-MUmaster</f>
        <v>12</v>
      </c>
      <c r="G214" s="113"/>
      <c r="H214" s="113">
        <f>Konvention_1master-INmaster</f>
        <v>12</v>
      </c>
      <c r="I214" s="113">
        <f>Konvention_1master-CHmaster</f>
        <v>12</v>
      </c>
      <c r="J214" s="113"/>
      <c r="K214" s="113"/>
      <c r="L214" s="113"/>
      <c r="M214" s="119"/>
      <c r="N214" s="223">
        <f>(F214+G214+H214+I214+J214+K214+L214+M214)/3</f>
        <v>12</v>
      </c>
      <c r="O214" s="223">
        <f>2*N214</f>
        <v>24</v>
      </c>
      <c r="P214" s="224">
        <f>3*N214</f>
        <v>36</v>
      </c>
      <c r="Q214" s="237">
        <f>F214*POWER(KLmaster,SIGN(G214))*POWER(INmaster,SIGN(H214))*POWER(CHmaster,SIGN(I214))*POWER(FFmaster,SIGN(J214))*POWER(GEmaster,SIGN(K214))*POWER(KOmaster,SIGN(L214))*POWER(KKmaster,SIGN(M214))+G214*POWER(MUmaster,SIGN(F214))*POWER(INmaster,SIGN(H214))*POWER(CHmaster,SIGN(I214))*POWER(FFmaster,SIGN(J214))*POWER(GEmaster,SIGN(K214))*POWER(KOmaster,SIGN(L214))*POWER(KKmaster,SIGN(M214))+H214*POWER(MUmaster,SIGN(F214))*POWER(KLmaster,SIGN(G214))*POWER(CHmaster,SIGN(I214))*POWER(FFmaster,SIGN(J214))*POWER(GEmaster,SIGN(K214))*POWER(KOmaster,SIGN(L214))*POWER(KKmaster,SIGN(M214))+I214*POWER(MUmaster,SIGN(F214))*POWER(KLmaster,SIGN(G214))*POWER(INmaster,SIGN(H214))*POWER(FFmaster,SIGN(J214))*POWER(GEmaster,SIGN(K214))*POWER(KOmaster,SIGN(L214))*POWER(KKmaster,SIGN(M214))+J214*POWER(MUmaster,SIGN(F214))*POWER(KLmaster,SIGN(G214))*POWER(INmaster,SIGN(H214))*POWER(CHmaster,SIGN(I214))*POWER(GEmaster,SIGN(K214))*POWER(KOmaster,SIGN(L214))*POWER(KKmaster,SIGN(M214))+K214*POWER(MUmaster,SIGN(F214))*POWER(KLmaster,SIGN(G214))*POWER(INmaster,SIGN(H214))*POWER(CHmaster,SIGN(I214))*POWER(FFmaster,SIGN(J214))*POWER(KOmaster,SIGN(L214))*POWER(KKmaster,SIGN(M214))+L214*POWER(MUmaster,SIGN(F214))*POWER(KLmaster,SIGN(G214))*POWER(INmaster,SIGN(H214))*POWER(CHmaster,SIGN(I214))*POWER(FFmaster,SIGN(J214))*POWER(GEmaster,SIGN(K214))*POWER(KKmaster,SIGN(M214))+M214*POWER(MUmaster,SIGN(F214))*POWER(KLmaster,SIGN(G214))*POWER(INmaster,SIGN(H214))*POWER(CHmaster,SIGN(I214))*POWER(FFmaster,SIGN(J214))*POWER(GEmaster,SIGN(K214))*POWER(KOmaster,SIGN(L214))</f>
        <v>2304</v>
      </c>
      <c r="R214" s="113">
        <f>F214*H214*CHmaster+F214*INmaster*I214+MUmaster*H214*I214</f>
        <v>3456</v>
      </c>
      <c r="S214" s="224">
        <f>IFERROR(F214^SIGN(F214),1)*IFERROR(G214^SIGN(G214),1)*IFERROR(H214^SIGN(H214),1)*IFERROR(I214^SIGN(I214),1)*IFERROR(J214^SIGN(J214),1)*IFERROR(K214^SIGN(K214),1)*IFERROR(L214^SIGN(L214),1)*IFERROR(M214^SIGN(M214),1)</f>
        <v>1728</v>
      </c>
      <c r="T214" s="224">
        <f>SUM(Q214:S214)</f>
        <v>7488</v>
      </c>
      <c r="U214" s="222">
        <f>N214*Q214/T214</f>
        <v>3.6923076923076925</v>
      </c>
      <c r="V214" s="223">
        <f>O214*R214/T214</f>
        <v>11.076923076923077</v>
      </c>
      <c r="W214" s="243">
        <f>P214*S214/T214</f>
        <v>8.3076923076923084</v>
      </c>
      <c r="X214" s="243">
        <f>SUM(U214:W214)</f>
        <v>23.07692307692308</v>
      </c>
      <c r="Y214" s="252">
        <v>0</v>
      </c>
      <c r="Z214" s="198">
        <f>X214-Y214</f>
        <v>23.07692307692308</v>
      </c>
      <c r="AA214" s="125">
        <f>IF(X214&lt;=0,2,0)+IF(X214&gt;0,X214+1,0)*2+IF(X214&gt;12,X214-12,0)*2+IF(X214&gt;13,X214-13,0)*2+IF(X214&gt;14,X214-14,0)*2+IF(X214&gt;15,X214-15,0)*2+IF(X214&gt;16,X214-16,0)*2+IF(X214&gt;17,X214-17,0)*2+IF(X214&gt;18,X214-18,0)*2+IF(X214&gt;19,X214-19,0)*2+IF(X214&gt;20,X214-20,0)*2</f>
        <v>175.5384615384616</v>
      </c>
      <c r="AB214" s="160">
        <f>IF(Y214&lt;=0,2,0)+IF(Y214&gt;0,Y214+1,0)*2+IF(Y214&gt;12,Y214-12,0)*2+IF(Y214&gt;13,Y214-13,0)*2+IF(Y214&gt;14,Y214-14,0)*2+IF(Y214&gt;15,Y214-15,0)*2+IF(Y214&gt;16,Y214-16,0)*2+IF(Y214&gt;17,Y214-17,0)*2+IF(Y214&gt;18,Y214-18,0)*2+IF(Y214&gt;19,Y214-19,0)*2+IF(Y214&gt;20,Y214-20,0)*2</f>
        <v>2</v>
      </c>
      <c r="AC214" s="127">
        <f>IF((AA214-AB214)&gt;0,AA214-AB214,0)</f>
        <v>173.5384615384616</v>
      </c>
      <c r="AD214" s="125">
        <f>IF((AB214-AA214)&gt;0,AB214-AA214,0)</f>
        <v>0</v>
      </c>
      <c r="AF214" s="163" t="s">
        <v>296</v>
      </c>
      <c r="AG214" s="125" t="s">
        <v>86</v>
      </c>
      <c r="AH214" s="127" t="s">
        <v>132</v>
      </c>
      <c r="AI214" s="114">
        <f>Konvention_1slave-MUslave_MU</f>
        <v>11</v>
      </c>
      <c r="AJ214" s="113"/>
      <c r="AK214" s="113">
        <f t="shared" ref="AK214:AK232" si="1613">Konvention_1slave-INslave</f>
        <v>12</v>
      </c>
      <c r="AL214" s="113">
        <f>Konvention_1slave-CHslave</f>
        <v>12</v>
      </c>
      <c r="AM214" s="113"/>
      <c r="AN214" s="113"/>
      <c r="AO214" s="113"/>
      <c r="AP214" s="119"/>
      <c r="AQ214" s="47">
        <f>(AI214+AJ214+AK214+AL214+AM214+AN214+AO214+AP214)/3</f>
        <v>11.666666666666666</v>
      </c>
      <c r="AR214" s="47">
        <f>2*AQ214</f>
        <v>23.333333333333332</v>
      </c>
      <c r="AS214" s="119">
        <f>3*AQ214</f>
        <v>35</v>
      </c>
      <c r="AT214" s="114">
        <f t="shared" si="1597"/>
        <v>2432</v>
      </c>
      <c r="AU214" s="113">
        <f>AI214*AK214*CHslave+AI214*INslave*AL214+MUslave_MU*AK214*AL214</f>
        <v>3408</v>
      </c>
      <c r="AV214" s="119">
        <f>IFERROR(AI214^SIGN(AI214),1)*IFERROR(AJ214^SIGN(AJ214),1)*IFERROR(AK214^SIGN(AK214),1)*IFERROR(AL214^SIGN(AL214),1)*IFERROR(AM214^SIGN(AM214),1)*IFERROR(AN214^SIGN(AN214),1)*IFERROR(AO214^SIGN(AO214),1)*IFERROR(AP214^SIGN(AP214),1)</f>
        <v>1584</v>
      </c>
      <c r="AW214" s="119">
        <f>SUM(AT214:AV214)</f>
        <v>7424</v>
      </c>
      <c r="AX214" s="89">
        <f>AQ214*AT214/AW214</f>
        <v>3.8218390804597702</v>
      </c>
      <c r="AY214" s="47">
        <f>AR214*AU214/AW214</f>
        <v>10.711206896551724</v>
      </c>
      <c r="AZ214" s="127">
        <f>AS214*AV214/AW214</f>
        <v>7.4676724137931032</v>
      </c>
      <c r="BA214" s="127">
        <f>SUM(AX214:AZ214)</f>
        <v>22.000718390804597</v>
      </c>
      <c r="BB214" s="165">
        <f t="shared" si="1598"/>
        <v>0</v>
      </c>
      <c r="BC214" s="198">
        <f>BA214-BB214</f>
        <v>22.000718390804597</v>
      </c>
      <c r="BD214" s="125">
        <f>IF(BA214&lt;=0,2,0)+IF(BA214&gt;0,BA214+1,0)*2+IF(BA214&gt;12,BA214-12,0)*2+IF(BA214&gt;13,BA214-13,0)*2+IF(BA214&gt;14,BA214-14,0)*2+IF(BA214&gt;15,BA214-15,0)*2+IF(BA214&gt;16,BA214-16,0)*2+IF(BA214&gt;17,BA214-17,0)*2+IF(BA214&gt;18,BA214-18,0)*2+IF(BA214&gt;19,BA214-19,0)*2+IF(BA214&gt;20,BA214-20,0)*2</f>
        <v>154.01436781609189</v>
      </c>
      <c r="BE214" s="160">
        <f>IF(BB214&lt;=0,2,0)+IF(BB214&gt;0,BB214+1,0)*2+IF(BB214&gt;12,BB214-12,0)*2+IF(BB214&gt;13,BB214-13,0)*2+IF(BB214&gt;14,BB214-14,0)*2+IF(BB214&gt;15,BB214-15,0)*2+IF(BB214&gt;16,BB214-16,0)*2+IF(BB214&gt;17,BB214-17,0)*2+IF(BB214&gt;18,BB214-18,0)*2+IF(BB214&gt;19,BB214-19,0)*2+IF(BB214&gt;20,BB214-20,0)*2</f>
        <v>2</v>
      </c>
      <c r="BF214" s="243">
        <f>IF((BD214-BE214)&gt;0,BD214-BE214,0)</f>
        <v>152.01436781609189</v>
      </c>
      <c r="BG214" s="218">
        <f>IF((BE214-BD214)&gt;0,BE214-BD214,0)</f>
        <v>0</v>
      </c>
      <c r="BI214" s="303" t="s">
        <v>296</v>
      </c>
      <c r="BJ214" s="218" t="s">
        <v>86</v>
      </c>
      <c r="BK214" s="243" t="s">
        <v>132</v>
      </c>
      <c r="BL214" s="237">
        <f>Konvention_1slave-MUslave</f>
        <v>12</v>
      </c>
      <c r="BM214" s="234"/>
      <c r="BN214" s="234">
        <f t="shared" ref="BN214:BN232" si="1614">Konvention_1slave-INslave</f>
        <v>12</v>
      </c>
      <c r="BO214" s="234">
        <f>Konvention_1slave-CHslave</f>
        <v>12</v>
      </c>
      <c r="BP214" s="234"/>
      <c r="BQ214" s="234"/>
      <c r="BR214" s="234"/>
      <c r="BS214" s="224"/>
      <c r="BT214" s="223">
        <f>(BL214+BM214+BN214+BO214+BP214+BQ214+BR214+BS214)/3</f>
        <v>12</v>
      </c>
      <c r="BU214" s="223">
        <f>2*BT214</f>
        <v>24</v>
      </c>
      <c r="BV214" s="224">
        <f>3*BT214</f>
        <v>36</v>
      </c>
      <c r="BW214" s="237">
        <f t="shared" si="1599"/>
        <v>2304</v>
      </c>
      <c r="BX214" s="234">
        <f>BL214*BN214*CHslave+BL214*INslave*BO214+MUslave*BN214*BO214</f>
        <v>3456</v>
      </c>
      <c r="BY214" s="224">
        <f>IFERROR(BL214^SIGN(BL214),1)*IFERROR(BM214^SIGN(BM214),1)*IFERROR(BN214^SIGN(BN214),1)*IFERROR(BO214^SIGN(BO214),1)*IFERROR(BP214^SIGN(BP214),1)*IFERROR(BQ214^SIGN(BQ214),1)*IFERROR(BR214^SIGN(BR214),1)*IFERROR(BS214^SIGN(BS214),1)</f>
        <v>1728</v>
      </c>
      <c r="BZ214" s="224">
        <f>SUM(BW214:BY214)</f>
        <v>7488</v>
      </c>
      <c r="CA214" s="222">
        <f>BT214*BW214/BZ214</f>
        <v>3.6923076923076925</v>
      </c>
      <c r="CB214" s="223">
        <f>BU214*BX214/BZ214</f>
        <v>11.076923076923077</v>
      </c>
      <c r="CC214" s="243">
        <f>BV214*BY214/BZ214</f>
        <v>8.3076923076923084</v>
      </c>
      <c r="CD214" s="243">
        <f>SUM(CA214:CC214)</f>
        <v>23.07692307692308</v>
      </c>
      <c r="CE214" s="252">
        <f t="shared" si="1600"/>
        <v>0</v>
      </c>
      <c r="CF214" s="309">
        <f>CD214-CE214</f>
        <v>23.07692307692308</v>
      </c>
      <c r="CG214" s="218">
        <f>IF(CD214&lt;=0,2,0)+IF(CD214&gt;0,CD214+1,0)*2+IF(CD214&gt;12,CD214-12,0)*2+IF(CD214&gt;13,CD214-13,0)*2+IF(CD214&gt;14,CD214-14,0)*2+IF(CD214&gt;15,CD214-15,0)*2+IF(CD214&gt;16,CD214-16,0)*2+IF(CD214&gt;17,CD214-17,0)*2+IF(CD214&gt;18,CD214-18,0)*2+IF(CD214&gt;19,CD214-19,0)*2+IF(CD214&gt;20,CD214-20,0)*2</f>
        <v>175.5384615384616</v>
      </c>
      <c r="CH214" s="242">
        <f>IF(CE214&lt;=0,2,0)+IF(CE214&gt;0,CE214+1,0)*2+IF(CE214&gt;12,CE214-12,0)*2+IF(CE214&gt;13,CE214-13,0)*2+IF(CE214&gt;14,CE214-14,0)*2+IF(CE214&gt;15,CE214-15,0)*2+IF(CE214&gt;16,CE214-16,0)*2+IF(CE214&gt;17,CE214-17,0)*2+IF(CE214&gt;18,CE214-18,0)*2+IF(CE214&gt;19,CE214-19,0)*2+IF(CE214&gt;20,CE214-20,0)*2</f>
        <v>2</v>
      </c>
      <c r="CI214" s="243">
        <f>IF((CG214-CH214)&gt;0,CG214-CH214,0)</f>
        <v>173.5384615384616</v>
      </c>
      <c r="CJ214" s="218">
        <f>IF((CH214-CG214)&gt;0,CH214-CG214,0)</f>
        <v>0</v>
      </c>
      <c r="CL214" s="303" t="s">
        <v>296</v>
      </c>
      <c r="CM214" s="218" t="s">
        <v>86</v>
      </c>
      <c r="CN214" s="243" t="s">
        <v>132</v>
      </c>
      <c r="CO214" s="237">
        <f>Konvention_1slave-MUslave</f>
        <v>12</v>
      </c>
      <c r="CP214" s="234"/>
      <c r="CQ214" s="234">
        <f>Konvention_1slave-INslave_IN</f>
        <v>11</v>
      </c>
      <c r="CR214" s="234">
        <f>Konvention_1slave-CHslave</f>
        <v>12</v>
      </c>
      <c r="CS214" s="234"/>
      <c r="CT214" s="234"/>
      <c r="CU214" s="234"/>
      <c r="CV214" s="224"/>
      <c r="CW214" s="223">
        <f>(CO214+CP214+CQ214+CR214+CS214+CT214+CU214+CV214)/3</f>
        <v>11.666666666666666</v>
      </c>
      <c r="CX214" s="223">
        <f>2*CW214</f>
        <v>23.333333333333332</v>
      </c>
      <c r="CY214" s="224">
        <f>3*CW214</f>
        <v>35</v>
      </c>
      <c r="CZ214" s="237">
        <f t="shared" si="1601"/>
        <v>2432</v>
      </c>
      <c r="DA214" s="234">
        <f>CO214*CQ214*CHslave+CO214*INslave_IN*CR214+MUslave*CQ214*CR214</f>
        <v>3408</v>
      </c>
      <c r="DB214" s="224">
        <f>IFERROR(CO214^SIGN(CO214),1)*IFERROR(CP214^SIGN(CP214),1)*IFERROR(CQ214^SIGN(CQ214),1)*IFERROR(CR214^SIGN(CR214),1)*IFERROR(CS214^SIGN(CS214),1)*IFERROR(CT214^SIGN(CT214),1)*IFERROR(CU214^SIGN(CU214),1)*IFERROR(CV214^SIGN(CV214),1)</f>
        <v>1584</v>
      </c>
      <c r="DC214" s="224">
        <f>SUM(CZ214:DB214)</f>
        <v>7424</v>
      </c>
      <c r="DD214" s="222">
        <f>CW214*CZ214/DC214</f>
        <v>3.8218390804597702</v>
      </c>
      <c r="DE214" s="223">
        <f>CX214*DA214/DC214</f>
        <v>10.711206896551724</v>
      </c>
      <c r="DF214" s="243">
        <f>CY214*DB214/DC214</f>
        <v>7.4676724137931032</v>
      </c>
      <c r="DG214" s="243">
        <f>SUM(DD214:DF214)</f>
        <v>22.000718390804597</v>
      </c>
      <c r="DH214" s="252">
        <f t="shared" si="1602"/>
        <v>0</v>
      </c>
      <c r="DI214" s="309">
        <f>DG214-DH214</f>
        <v>22.000718390804597</v>
      </c>
      <c r="DJ214" s="218">
        <f>IF(DG214&lt;=0,2,0)+IF(DG214&gt;0,DG214+1,0)*2+IF(DG214&gt;12,DG214-12,0)*2+IF(DG214&gt;13,DG214-13,0)*2+IF(DG214&gt;14,DG214-14,0)*2+IF(DG214&gt;15,DG214-15,0)*2+IF(DG214&gt;16,DG214-16,0)*2+IF(DG214&gt;17,DG214-17,0)*2+IF(DG214&gt;18,DG214-18,0)*2+IF(DG214&gt;19,DG214-19,0)*2+IF(DG214&gt;20,DG214-20,0)*2</f>
        <v>154.01436781609189</v>
      </c>
      <c r="DK214" s="242">
        <f>IF(DH214&lt;=0,2,0)+IF(DH214&gt;0,DH214+1,0)*2+IF(DH214&gt;12,DH214-12,0)*2+IF(DH214&gt;13,DH214-13,0)*2+IF(DH214&gt;14,DH214-14,0)*2+IF(DH214&gt;15,DH214-15,0)*2+IF(DH214&gt;16,DH214-16,0)*2+IF(DH214&gt;17,DH214-17,0)*2+IF(DH214&gt;18,DH214-18,0)*2+IF(DH214&gt;19,DH214-19,0)*2+IF(DH214&gt;20,DH214-20,0)*2</f>
        <v>2</v>
      </c>
      <c r="DL214" s="243">
        <f>IF((DJ214-DK214)&gt;0,DJ214-DK214,0)</f>
        <v>152.01436781609189</v>
      </c>
      <c r="DM214" s="218">
        <f>IF((DK214-DJ214)&gt;0,DK214-DJ214,0)</f>
        <v>0</v>
      </c>
      <c r="DO214" s="303" t="s">
        <v>296</v>
      </c>
      <c r="DP214" s="218" t="s">
        <v>86</v>
      </c>
      <c r="DQ214" s="243" t="s">
        <v>132</v>
      </c>
      <c r="DR214" s="237">
        <f>Konvention_1slave-MUslave</f>
        <v>12</v>
      </c>
      <c r="DS214" s="234"/>
      <c r="DT214" s="234">
        <f t="shared" ref="DT214:DT232" si="1615">Konvention_1slave-INslave</f>
        <v>12</v>
      </c>
      <c r="DU214" s="234">
        <f>Konvention_1slave-CHslave_CH</f>
        <v>11</v>
      </c>
      <c r="DV214" s="234"/>
      <c r="DW214" s="234"/>
      <c r="DX214" s="234"/>
      <c r="DY214" s="224"/>
      <c r="DZ214" s="223">
        <f>(DR214+DS214+DT214+DU214+DV214+DW214+DX214+DY214)/3</f>
        <v>11.666666666666666</v>
      </c>
      <c r="EA214" s="223">
        <f>2*DZ214</f>
        <v>23.333333333333332</v>
      </c>
      <c r="EB214" s="224">
        <f>3*DZ214</f>
        <v>35</v>
      </c>
      <c r="EC214" s="237">
        <f t="shared" si="1603"/>
        <v>2432</v>
      </c>
      <c r="ED214" s="234">
        <f>DR214*DT214*CHslave_CH+DR214*INslave*DU214+MUslave*DT214*DU214</f>
        <v>3408</v>
      </c>
      <c r="EE214" s="224">
        <f>IFERROR(DR214^SIGN(DR214),1)*IFERROR(DS214^SIGN(DS214),1)*IFERROR(DT214^SIGN(DT214),1)*IFERROR(DU214^SIGN(DU214),1)*IFERROR(DV214^SIGN(DV214),1)*IFERROR(DW214^SIGN(DW214),1)*IFERROR(DX214^SIGN(DX214),1)*IFERROR(DY214^SIGN(DY214),1)</f>
        <v>1584</v>
      </c>
      <c r="EF214" s="224">
        <f>SUM(EC214:EE214)</f>
        <v>7424</v>
      </c>
      <c r="EG214" s="222">
        <f>DZ214*EC214/EF214</f>
        <v>3.8218390804597702</v>
      </c>
      <c r="EH214" s="223">
        <f>EA214*ED214/EF214</f>
        <v>10.711206896551724</v>
      </c>
      <c r="EI214" s="243">
        <f>EB214*EE214/EF214</f>
        <v>7.4676724137931032</v>
      </c>
      <c r="EJ214" s="243">
        <f>SUM(EG214:EI214)</f>
        <v>22.000718390804597</v>
      </c>
      <c r="EK214" s="252">
        <f t="shared" si="1604"/>
        <v>0</v>
      </c>
      <c r="EL214" s="309">
        <f>EJ214-EK214</f>
        <v>22.000718390804597</v>
      </c>
      <c r="EM214" s="218">
        <f>IF(EJ214&lt;=0,2,0)+IF(EJ214&gt;0,EJ214+1,0)*2+IF(EJ214&gt;12,EJ214-12,0)*2+IF(EJ214&gt;13,EJ214-13,0)*2+IF(EJ214&gt;14,EJ214-14,0)*2+IF(EJ214&gt;15,EJ214-15,0)*2+IF(EJ214&gt;16,EJ214-16,0)*2+IF(EJ214&gt;17,EJ214-17,0)*2+IF(EJ214&gt;18,EJ214-18,0)*2+IF(EJ214&gt;19,EJ214-19,0)*2+IF(EJ214&gt;20,EJ214-20,0)*2</f>
        <v>154.01436781609189</v>
      </c>
      <c r="EN214" s="242">
        <f>IF(EK214&lt;=0,2,0)+IF(EK214&gt;0,EK214+1,0)*2+IF(EK214&gt;12,EK214-12,0)*2+IF(EK214&gt;13,EK214-13,0)*2+IF(EK214&gt;14,EK214-14,0)*2+IF(EK214&gt;15,EK214-15,0)*2+IF(EK214&gt;16,EK214-16,0)*2+IF(EK214&gt;17,EK214-17,0)*2+IF(EK214&gt;18,EK214-18,0)*2+IF(EK214&gt;19,EK214-19,0)*2+IF(EK214&gt;20,EK214-20,0)*2</f>
        <v>2</v>
      </c>
      <c r="EO214" s="243">
        <f>IF((EM214-EN214)&gt;0,EM214-EN214,0)</f>
        <v>152.01436781609189</v>
      </c>
      <c r="EP214" s="218">
        <f>IF((EN214-EM214)&gt;0,EN214-EM214,0)</f>
        <v>0</v>
      </c>
      <c r="ER214" s="303" t="s">
        <v>296</v>
      </c>
      <c r="ES214" s="218" t="s">
        <v>86</v>
      </c>
      <c r="ET214" s="243" t="s">
        <v>132</v>
      </c>
      <c r="EU214" s="237">
        <f>Konvention_1slave-MUslave</f>
        <v>12</v>
      </c>
      <c r="EV214" s="234"/>
      <c r="EW214" s="234">
        <f t="shared" ref="EW214:EW232" si="1616">Konvention_1slave-INslave</f>
        <v>12</v>
      </c>
      <c r="EX214" s="234">
        <f>Konvention_1slave-CHslave</f>
        <v>12</v>
      </c>
      <c r="EY214" s="234"/>
      <c r="EZ214" s="234"/>
      <c r="FA214" s="234"/>
      <c r="FB214" s="224"/>
      <c r="FC214" s="223">
        <f>(EU214+EV214+EW214+EX214+EY214+EZ214+FA214+FB214)/3</f>
        <v>12</v>
      </c>
      <c r="FD214" s="223">
        <f>2*FC214</f>
        <v>24</v>
      </c>
      <c r="FE214" s="224">
        <f>3*FC214</f>
        <v>36</v>
      </c>
      <c r="FF214" s="237">
        <f t="shared" si="1605"/>
        <v>2304</v>
      </c>
      <c r="FG214" s="234">
        <f>EU214*EW214*CHslave+EU214*INslave*EX214+MUslave*EW214*EX214</f>
        <v>3456</v>
      </c>
      <c r="FH214" s="224">
        <f>IFERROR(EU214^SIGN(EU214),1)*IFERROR(EV214^SIGN(EV214),1)*IFERROR(EW214^SIGN(EW214),1)*IFERROR(EX214^SIGN(EX214),1)*IFERROR(EY214^SIGN(EY214),1)*IFERROR(EZ214^SIGN(EZ214),1)*IFERROR(FA214^SIGN(FA214),1)*IFERROR(FB214^SIGN(FB214),1)</f>
        <v>1728</v>
      </c>
      <c r="FI214" s="224">
        <f>SUM(FF214:FH214)</f>
        <v>7488</v>
      </c>
      <c r="FJ214" s="222">
        <f>FC214*FF214/FI214</f>
        <v>3.6923076923076925</v>
      </c>
      <c r="FK214" s="223">
        <f>FD214*FG214/FI214</f>
        <v>11.076923076923077</v>
      </c>
      <c r="FL214" s="243">
        <f>FE214*FH214/FI214</f>
        <v>8.3076923076923084</v>
      </c>
      <c r="FM214" s="243">
        <f>SUM(FJ214:FL214)</f>
        <v>23.07692307692308</v>
      </c>
      <c r="FN214" s="252">
        <f t="shared" si="1606"/>
        <v>0</v>
      </c>
      <c r="FO214" s="309">
        <f>FM214-FN214</f>
        <v>23.07692307692308</v>
      </c>
      <c r="FP214" s="218">
        <f>IF(FM214&lt;=0,2,0)+IF(FM214&gt;0,FM214+1,0)*2+IF(FM214&gt;12,FM214-12,0)*2+IF(FM214&gt;13,FM214-13,0)*2+IF(FM214&gt;14,FM214-14,0)*2+IF(FM214&gt;15,FM214-15,0)*2+IF(FM214&gt;16,FM214-16,0)*2+IF(FM214&gt;17,FM214-17,0)*2+IF(FM214&gt;18,FM214-18,0)*2+IF(FM214&gt;19,FM214-19,0)*2+IF(FM214&gt;20,FM214-20,0)*2</f>
        <v>175.5384615384616</v>
      </c>
      <c r="FQ214" s="242">
        <f>IF(FN214&lt;=0,2,0)+IF(FN214&gt;0,FN214+1,0)*2+IF(FN214&gt;12,FN214-12,0)*2+IF(FN214&gt;13,FN214-13,0)*2+IF(FN214&gt;14,FN214-14,0)*2+IF(FN214&gt;15,FN214-15,0)*2+IF(FN214&gt;16,FN214-16,0)*2+IF(FN214&gt;17,FN214-17,0)*2+IF(FN214&gt;18,FN214-18,0)*2+IF(FN214&gt;19,FN214-19,0)*2+IF(FN214&gt;20,FN214-20,0)*2</f>
        <v>2</v>
      </c>
      <c r="FR214" s="243">
        <f>IF((FP214-FQ214)&gt;0,FP214-FQ214,0)</f>
        <v>173.5384615384616</v>
      </c>
      <c r="FS214" s="218">
        <f>IF((FQ214-FP214)&gt;0,FQ214-FP214,0)</f>
        <v>0</v>
      </c>
      <c r="FU214" s="303" t="s">
        <v>296</v>
      </c>
      <c r="FV214" s="218" t="s">
        <v>86</v>
      </c>
      <c r="FW214" s="243" t="s">
        <v>132</v>
      </c>
      <c r="FX214" s="237">
        <f>Konvention_1slave-MUslave</f>
        <v>12</v>
      </c>
      <c r="FY214" s="234"/>
      <c r="FZ214" s="234">
        <f t="shared" ref="FZ214:FZ232" si="1617">Konvention_1slave-INslave</f>
        <v>12</v>
      </c>
      <c r="GA214" s="234">
        <f>Konvention_1slave-CHslave</f>
        <v>12</v>
      </c>
      <c r="GB214" s="234"/>
      <c r="GC214" s="234"/>
      <c r="GD214" s="234"/>
      <c r="GE214" s="224"/>
      <c r="GF214" s="223">
        <f>(FX214+FY214+FZ214+GA214+GB214+GC214+GD214+GE214)/3</f>
        <v>12</v>
      </c>
      <c r="GG214" s="223">
        <f>2*GF214</f>
        <v>24</v>
      </c>
      <c r="GH214" s="224">
        <f>3*GF214</f>
        <v>36</v>
      </c>
      <c r="GI214" s="237">
        <f t="shared" si="1607"/>
        <v>2304</v>
      </c>
      <c r="GJ214" s="234">
        <f>FX214*FZ214*CHslave+FX214*INslave*GA214+MUslave*FZ214*GA214</f>
        <v>3456</v>
      </c>
      <c r="GK214" s="224">
        <f>IFERROR(FX214^SIGN(FX214),1)*IFERROR(FY214^SIGN(FY214),1)*IFERROR(FZ214^SIGN(FZ214),1)*IFERROR(GA214^SIGN(GA214),1)*IFERROR(GB214^SIGN(GB214),1)*IFERROR(GC214^SIGN(GC214),1)*IFERROR(GD214^SIGN(GD214),1)*IFERROR(GE214^SIGN(GE214),1)</f>
        <v>1728</v>
      </c>
      <c r="GL214" s="224">
        <f>SUM(GI214:GK214)</f>
        <v>7488</v>
      </c>
      <c r="GM214" s="222">
        <f>GF214*GI214/GL214</f>
        <v>3.6923076923076925</v>
      </c>
      <c r="GN214" s="223">
        <f>GG214*GJ214/GL214</f>
        <v>11.076923076923077</v>
      </c>
      <c r="GO214" s="243">
        <f>GH214*GK214/GL214</f>
        <v>8.3076923076923084</v>
      </c>
      <c r="GP214" s="243">
        <f>SUM(GM214:GO214)</f>
        <v>23.07692307692308</v>
      </c>
      <c r="GQ214" s="252">
        <f t="shared" si="1608"/>
        <v>0</v>
      </c>
      <c r="GR214" s="309">
        <f>GP214-GQ214</f>
        <v>23.07692307692308</v>
      </c>
      <c r="GS214" s="218">
        <f>IF(GP214&lt;=0,2,0)+IF(GP214&gt;0,GP214+1,0)*2+IF(GP214&gt;12,GP214-12,0)*2+IF(GP214&gt;13,GP214-13,0)*2+IF(GP214&gt;14,GP214-14,0)*2+IF(GP214&gt;15,GP214-15,0)*2+IF(GP214&gt;16,GP214-16,0)*2+IF(GP214&gt;17,GP214-17,0)*2+IF(GP214&gt;18,GP214-18,0)*2+IF(GP214&gt;19,GP214-19,0)*2+IF(GP214&gt;20,GP214-20,0)*2</f>
        <v>175.5384615384616</v>
      </c>
      <c r="GT214" s="242">
        <f>IF(GQ214&lt;=0,2,0)+IF(GQ214&gt;0,GQ214+1,0)*2+IF(GQ214&gt;12,GQ214-12,0)*2+IF(GQ214&gt;13,GQ214-13,0)*2+IF(GQ214&gt;14,GQ214-14,0)*2+IF(GQ214&gt;15,GQ214-15,0)*2+IF(GQ214&gt;16,GQ214-16,0)*2+IF(GQ214&gt;17,GQ214-17,0)*2+IF(GQ214&gt;18,GQ214-18,0)*2+IF(GQ214&gt;19,GQ214-19,0)*2+IF(GQ214&gt;20,GQ214-20,0)*2</f>
        <v>2</v>
      </c>
      <c r="GU214" s="243">
        <f>IF((GS214-GT214)&gt;0,GS214-GT214,0)</f>
        <v>173.5384615384616</v>
      </c>
      <c r="GV214" s="218">
        <f>IF((GT214-GS214)&gt;0,GT214-GS214,0)</f>
        <v>0</v>
      </c>
      <c r="GX214" s="303" t="s">
        <v>296</v>
      </c>
      <c r="GY214" s="218" t="s">
        <v>86</v>
      </c>
      <c r="GZ214" s="243" t="s">
        <v>132</v>
      </c>
      <c r="HA214" s="237">
        <f>Konvention_1slave-MUslave</f>
        <v>12</v>
      </c>
      <c r="HB214" s="234"/>
      <c r="HC214" s="234">
        <f t="shared" ref="HC214:HC232" si="1618">Konvention_1slave-INslave</f>
        <v>12</v>
      </c>
      <c r="HD214" s="234">
        <f>Konvention_1slave-CHslave</f>
        <v>12</v>
      </c>
      <c r="HE214" s="234"/>
      <c r="HF214" s="234"/>
      <c r="HG214" s="234"/>
      <c r="HH214" s="224"/>
      <c r="HI214" s="223">
        <f>(HA214+HB214+HC214+HD214+HE214+HF214+HG214+HH214)/3</f>
        <v>12</v>
      </c>
      <c r="HJ214" s="223">
        <f>2*HI214</f>
        <v>24</v>
      </c>
      <c r="HK214" s="224">
        <f>3*HI214</f>
        <v>36</v>
      </c>
      <c r="HL214" s="237">
        <f t="shared" si="1609"/>
        <v>2304</v>
      </c>
      <c r="HM214" s="234">
        <f>HA214*HC214*CHslave+HA214*INslave*HD214+MUslave*HC214*HD214</f>
        <v>3456</v>
      </c>
      <c r="HN214" s="224">
        <f>IFERROR(HA214^SIGN(HA214),1)*IFERROR(HB214^SIGN(HB214),1)*IFERROR(HC214^SIGN(HC214),1)*IFERROR(HD214^SIGN(HD214),1)*IFERROR(HE214^SIGN(HE214),1)*IFERROR(HF214^SIGN(HF214),1)*IFERROR(HG214^SIGN(HG214),1)*IFERROR(HH214^SIGN(HH214),1)</f>
        <v>1728</v>
      </c>
      <c r="HO214" s="224">
        <f>SUM(HL214:HN214)</f>
        <v>7488</v>
      </c>
      <c r="HP214" s="222">
        <f>HI214*HL214/HO214</f>
        <v>3.6923076923076925</v>
      </c>
      <c r="HQ214" s="223">
        <f>HJ214*HM214/HO214</f>
        <v>11.076923076923077</v>
      </c>
      <c r="HR214" s="243">
        <f>HK214*HN214/HO214</f>
        <v>8.3076923076923084</v>
      </c>
      <c r="HS214" s="243">
        <f>SUM(HP214:HR214)</f>
        <v>23.07692307692308</v>
      </c>
      <c r="HT214" s="252">
        <f t="shared" si="1610"/>
        <v>0</v>
      </c>
      <c r="HU214" s="309">
        <f>HS214-HT214</f>
        <v>23.07692307692308</v>
      </c>
      <c r="HV214" s="218">
        <f>IF(HS214&lt;=0,2,0)+IF(HS214&gt;0,HS214+1,0)*2+IF(HS214&gt;12,HS214-12,0)*2+IF(HS214&gt;13,HS214-13,0)*2+IF(HS214&gt;14,HS214-14,0)*2+IF(HS214&gt;15,HS214-15,0)*2+IF(HS214&gt;16,HS214-16,0)*2+IF(HS214&gt;17,HS214-17,0)*2+IF(HS214&gt;18,HS214-18,0)*2+IF(HS214&gt;19,HS214-19,0)*2+IF(HS214&gt;20,HS214-20,0)*2</f>
        <v>175.5384615384616</v>
      </c>
      <c r="HW214" s="242">
        <f>IF(HT214&lt;=0,2,0)+IF(HT214&gt;0,HT214+1,0)*2+IF(HT214&gt;12,HT214-12,0)*2+IF(HT214&gt;13,HT214-13,0)*2+IF(HT214&gt;14,HT214-14,0)*2+IF(HT214&gt;15,HT214-15,0)*2+IF(HT214&gt;16,HT214-16,0)*2+IF(HT214&gt;17,HT214-17,0)*2+IF(HT214&gt;18,HT214-18,0)*2+IF(HT214&gt;19,HT214-19,0)*2+IF(HT214&gt;20,HT214-20,0)*2</f>
        <v>2</v>
      </c>
      <c r="HX214" s="243">
        <f>IF((HV214-HW214)&gt;0,HV214-HW214,0)</f>
        <v>173.5384615384616</v>
      </c>
      <c r="HY214" s="218">
        <f>IF((HW214-HV214)&gt;0,HW214-HV214,0)</f>
        <v>0</v>
      </c>
      <c r="IA214" s="303" t="s">
        <v>296</v>
      </c>
      <c r="IB214" s="218" t="s">
        <v>86</v>
      </c>
      <c r="IC214" s="243" t="s">
        <v>132</v>
      </c>
      <c r="ID214" s="237">
        <f>Konvention_1slave-MUslave</f>
        <v>12</v>
      </c>
      <c r="IE214" s="234"/>
      <c r="IF214" s="234">
        <f t="shared" ref="IF214:IF232" si="1619">Konvention_1slave-INslave</f>
        <v>12</v>
      </c>
      <c r="IG214" s="234">
        <f>Konvention_1slave-CHslave</f>
        <v>12</v>
      </c>
      <c r="IH214" s="234"/>
      <c r="II214" s="234"/>
      <c r="IJ214" s="234"/>
      <c r="IK214" s="224"/>
      <c r="IL214" s="223">
        <f>(ID214+IE214+IF214+IG214+IH214+II214+IJ214+IK214)/3</f>
        <v>12</v>
      </c>
      <c r="IM214" s="223">
        <f>2*IL214</f>
        <v>24</v>
      </c>
      <c r="IN214" s="224">
        <f>3*IL214</f>
        <v>36</v>
      </c>
      <c r="IO214" s="237">
        <f t="shared" si="1611"/>
        <v>2304</v>
      </c>
      <c r="IP214" s="234">
        <f>ID214*IF214*CHslave+ID214*INslave*IG214+MUslave*IF214*IG214</f>
        <v>3456</v>
      </c>
      <c r="IQ214" s="224">
        <f>IFERROR(ID214^SIGN(ID214),1)*IFERROR(IE214^SIGN(IE214),1)*IFERROR(IF214^SIGN(IF214),1)*IFERROR(IG214^SIGN(IG214),1)*IFERROR(IH214^SIGN(IH214),1)*IFERROR(II214^SIGN(II214),1)*IFERROR(IJ214^SIGN(IJ214),1)*IFERROR(IK214^SIGN(IK214),1)</f>
        <v>1728</v>
      </c>
      <c r="IR214" s="224">
        <f>SUM(IO214:IQ214)</f>
        <v>7488</v>
      </c>
      <c r="IS214" s="222">
        <f>IL214*IO214/IR214</f>
        <v>3.6923076923076925</v>
      </c>
      <c r="IT214" s="223">
        <f>IM214*IP214/IR214</f>
        <v>11.076923076923077</v>
      </c>
      <c r="IU214" s="243">
        <f>IN214*IQ214/IR214</f>
        <v>8.3076923076923084</v>
      </c>
      <c r="IV214" s="243">
        <f>SUM(IS214:IU214)</f>
        <v>23.07692307692308</v>
      </c>
      <c r="IW214" s="252">
        <f t="shared" si="1612"/>
        <v>0</v>
      </c>
      <c r="IX214" s="309">
        <f>IV214-IW214</f>
        <v>23.07692307692308</v>
      </c>
      <c r="IY214" s="218">
        <f>IF(IV214&lt;=0,2,0)+IF(IV214&gt;0,IV214+1,0)*2+IF(IV214&gt;12,IV214-12,0)*2+IF(IV214&gt;13,IV214-13,0)*2+IF(IV214&gt;14,IV214-14,0)*2+IF(IV214&gt;15,IV214-15,0)*2+IF(IV214&gt;16,IV214-16,0)*2+IF(IV214&gt;17,IV214-17,0)*2+IF(IV214&gt;18,IV214-18,0)*2+IF(IV214&gt;19,IV214-19,0)*2+IF(IV214&gt;20,IV214-20,0)*2</f>
        <v>175.5384615384616</v>
      </c>
      <c r="IZ214" s="242">
        <f>IF(IW214&lt;=0,2,0)+IF(IW214&gt;0,IW214+1,0)*2+IF(IW214&gt;12,IW214-12,0)*2+IF(IW214&gt;13,IW214-13,0)*2+IF(IW214&gt;14,IW214-14,0)*2+IF(IW214&gt;15,IW214-15,0)*2+IF(IW214&gt;16,IW214-16,0)*2+IF(IW214&gt;17,IW214-17,0)*2+IF(IW214&gt;18,IW214-18,0)*2+IF(IW214&gt;19,IW214-19,0)*2+IF(IW214&gt;20,IW214-20,0)*2</f>
        <v>2</v>
      </c>
      <c r="JA214" s="243">
        <f>IF((IY214-IZ214)&gt;0,IY214-IZ214,0)</f>
        <v>173.5384615384616</v>
      </c>
      <c r="JB214" s="218">
        <f>IF((IZ214-IY214)&gt;0,IZ214-IY214,0)</f>
        <v>0</v>
      </c>
      <c r="JE214" s="148"/>
    </row>
    <row r="215" spans="2:265" ht="15" hidden="1" customHeight="1" outlineLevel="2">
      <c r="B215" s="148">
        <v>3</v>
      </c>
      <c r="C215" s="303" t="e">
        <f>VLOOKUP(AF215,Attribute!C:T,1,FALSE)</f>
        <v>#N/A</v>
      </c>
      <c r="D215" s="86" t="s">
        <v>86</v>
      </c>
      <c r="E215" s="127" t="s">
        <v>133</v>
      </c>
      <c r="F215" s="114">
        <f>Konvention_1master-MUmaster</f>
        <v>12</v>
      </c>
      <c r="G215" s="113"/>
      <c r="H215" s="113">
        <f>Konvention_1master-INmaster</f>
        <v>12</v>
      </c>
      <c r="I215" s="113">
        <f>Konvention_1master-CHmaster</f>
        <v>12</v>
      </c>
      <c r="J215" s="113"/>
      <c r="K215" s="113"/>
      <c r="L215" s="113"/>
      <c r="M215" s="119"/>
      <c r="N215" s="223">
        <f>(F215+G215+H215+I215+J215+K215+L215+M215)/3</f>
        <v>12</v>
      </c>
      <c r="O215" s="223">
        <f>2*N215</f>
        <v>24</v>
      </c>
      <c r="P215" s="224">
        <f>3*N215</f>
        <v>36</v>
      </c>
      <c r="Q215" s="237">
        <f>F215*POWER(KLmaster,SIGN(G215))*POWER(INmaster,SIGN(H215))*POWER(CHmaster,SIGN(I215))*POWER(FFmaster,SIGN(J215))*POWER(GEmaster,SIGN(K215))*POWER(KOmaster,SIGN(L215))*POWER(KKmaster,SIGN(M215))+G215*POWER(MUmaster,SIGN(F215))*POWER(INmaster,SIGN(H215))*POWER(CHmaster,SIGN(I215))*POWER(FFmaster,SIGN(J215))*POWER(GEmaster,SIGN(K215))*POWER(KOmaster,SIGN(L215))*POWER(KKmaster,SIGN(M215))+H215*POWER(MUmaster,SIGN(F215))*POWER(KLmaster,SIGN(G215))*POWER(CHmaster,SIGN(I215))*POWER(FFmaster,SIGN(J215))*POWER(GEmaster,SIGN(K215))*POWER(KOmaster,SIGN(L215))*POWER(KKmaster,SIGN(M215))+I215*POWER(MUmaster,SIGN(F215))*POWER(KLmaster,SIGN(G215))*POWER(INmaster,SIGN(H215))*POWER(FFmaster,SIGN(J215))*POWER(GEmaster,SIGN(K215))*POWER(KOmaster,SIGN(L215))*POWER(KKmaster,SIGN(M215))+J215*POWER(MUmaster,SIGN(F215))*POWER(KLmaster,SIGN(G215))*POWER(INmaster,SIGN(H215))*POWER(CHmaster,SIGN(I215))*POWER(GEmaster,SIGN(K215))*POWER(KOmaster,SIGN(L215))*POWER(KKmaster,SIGN(M215))+K215*POWER(MUmaster,SIGN(F215))*POWER(KLmaster,SIGN(G215))*POWER(INmaster,SIGN(H215))*POWER(CHmaster,SIGN(I215))*POWER(FFmaster,SIGN(J215))*POWER(KOmaster,SIGN(L215))*POWER(KKmaster,SIGN(M215))+L215*POWER(MUmaster,SIGN(F215))*POWER(KLmaster,SIGN(G215))*POWER(INmaster,SIGN(H215))*POWER(CHmaster,SIGN(I215))*POWER(FFmaster,SIGN(J215))*POWER(GEmaster,SIGN(K215))*POWER(KKmaster,SIGN(M215))+M215*POWER(MUmaster,SIGN(F215))*POWER(KLmaster,SIGN(G215))*POWER(INmaster,SIGN(H215))*POWER(CHmaster,SIGN(I215))*POWER(FFmaster,SIGN(J215))*POWER(GEmaster,SIGN(K215))*POWER(KOmaster,SIGN(L215))</f>
        <v>2304</v>
      </c>
      <c r="R215" s="113">
        <f>F215*H215*CHmaster+F215*INmaster*I215+MUmaster*H215*I215</f>
        <v>3456</v>
      </c>
      <c r="S215" s="224">
        <f>IFERROR(F215^SIGN(F215),1)*IFERROR(G215^SIGN(G215),1)*IFERROR(H215^SIGN(H215),1)*IFERROR(I215^SIGN(I215),1)*IFERROR(J215^SIGN(J215),1)*IFERROR(K215^SIGN(K215),1)*IFERROR(L215^SIGN(L215),1)*IFERROR(M215^SIGN(M215),1)</f>
        <v>1728</v>
      </c>
      <c r="T215" s="224">
        <f>SUM(Q215:S215)</f>
        <v>7488</v>
      </c>
      <c r="U215" s="222">
        <f>N215*Q215/T215</f>
        <v>3.6923076923076925</v>
      </c>
      <c r="V215" s="223">
        <f>O215*R215/T215</f>
        <v>11.076923076923077</v>
      </c>
      <c r="W215" s="243">
        <f>P215*S215/T215</f>
        <v>8.3076923076923084</v>
      </c>
      <c r="X215" s="243">
        <f>SUM(U215:W215)</f>
        <v>23.07692307692308</v>
      </c>
      <c r="Y215" s="252">
        <v>0</v>
      </c>
      <c r="Z215" s="198">
        <f>X215-Y215</f>
        <v>23.07692307692308</v>
      </c>
      <c r="AA215" s="125">
        <f>IF(X215&lt;=0,1,0)+IF(X215&gt;0,X215+1,0)*1+IF(X215&gt;12,X215-12,0)*1+IF(X215&gt;13,X215-13,0)*1+IF(X215&gt;14,X215-14,0)*1+IF(X215&gt;15,X215-15,0)*1+IF(X215&gt;16,X215-16,0)*1+IF(X215&gt;17,X215-17,0)*1+IF(X215&gt;18,X215-18,0)*1+IF(X215&gt;19,X215-19,0)*1+IF(X215&gt;20,X215-20,0)*1</f>
        <v>87.769230769230802</v>
      </c>
      <c r="AB215" s="160">
        <f>IF(Y215&lt;=0,1,0)+IF(Y215&gt;0,Y215+1,0)*1+IF(Y215&gt;12,Y215-12,0)*1+IF(Y215&gt;13,Y215-13,0)*1+IF(Y215&gt;14,Y215-14,0)*1+IF(Y215&gt;15,Y215-15,0)*1+IF(Y215&gt;16,Y215-16,0)*1+IF(Y215&gt;17,Y215-17,0)*1+IF(Y215&gt;18,Y215-18,0)*1+IF(Y215&gt;19,Y215-19,0)*1+IF(Y215&gt;20,Y215-20,0)*1</f>
        <v>1</v>
      </c>
      <c r="AC215" s="127">
        <f>IF((AA215-AB215)&gt;0,AA215-AB215,0)</f>
        <v>86.769230769230802</v>
      </c>
      <c r="AD215" s="125">
        <f>IF((AB215-AA215)&gt;0,AB215-AA215,0)</f>
        <v>0</v>
      </c>
      <c r="AF215" s="163" t="s">
        <v>368</v>
      </c>
      <c r="AG215" s="125" t="s">
        <v>86</v>
      </c>
      <c r="AH215" s="127" t="s">
        <v>133</v>
      </c>
      <c r="AI215" s="114">
        <f>Konvention_1slave-MUslave_MU</f>
        <v>11</v>
      </c>
      <c r="AJ215" s="113"/>
      <c r="AK215" s="113">
        <f>Konvention_1slave-INslave</f>
        <v>12</v>
      </c>
      <c r="AL215" s="113">
        <f>Konvention_1slave-CHslave</f>
        <v>12</v>
      </c>
      <c r="AM215" s="113"/>
      <c r="AN215" s="113"/>
      <c r="AO215" s="113"/>
      <c r="AP215" s="119"/>
      <c r="AQ215" s="47">
        <f>(AI215+AJ215+AK215+AL215+AM215+AN215+AO215+AP215)/3</f>
        <v>11.666666666666666</v>
      </c>
      <c r="AR215" s="47">
        <f>2*AQ215</f>
        <v>23.333333333333332</v>
      </c>
      <c r="AS215" s="119">
        <f>3*AQ215</f>
        <v>35</v>
      </c>
      <c r="AT215" s="114">
        <f t="shared" si="1597"/>
        <v>2432</v>
      </c>
      <c r="AU215" s="113">
        <f>AI215*AK215*CHslave+AI215*INslave*AL215+MUslave_MU*AK215*AL215</f>
        <v>3408</v>
      </c>
      <c r="AV215" s="119">
        <f>IFERROR(AI215^SIGN(AI215),1)*IFERROR(AJ215^SIGN(AJ215),1)*IFERROR(AK215^SIGN(AK215),1)*IFERROR(AL215^SIGN(AL215),1)*IFERROR(AM215^SIGN(AM215),1)*IFERROR(AN215^SIGN(AN215),1)*IFERROR(AO215^SIGN(AO215),1)*IFERROR(AP215^SIGN(AP215),1)</f>
        <v>1584</v>
      </c>
      <c r="AW215" s="119">
        <f>SUM(AT215:AV215)</f>
        <v>7424</v>
      </c>
      <c r="AX215" s="89">
        <f>AQ215*AT215/AW215</f>
        <v>3.8218390804597702</v>
      </c>
      <c r="AY215" s="47">
        <f>AR215*AU215/AW215</f>
        <v>10.711206896551724</v>
      </c>
      <c r="AZ215" s="127">
        <f>AS215*AV215/AW215</f>
        <v>7.4676724137931032</v>
      </c>
      <c r="BA215" s="127">
        <f>SUM(AX215:AZ215)</f>
        <v>22.000718390804597</v>
      </c>
      <c r="BB215" s="165">
        <f t="shared" si="1598"/>
        <v>0</v>
      </c>
      <c r="BC215" s="198">
        <f>BA215-BB215</f>
        <v>22.000718390804597</v>
      </c>
      <c r="BD215" s="125">
        <f>IF(BA215&lt;=0,1,0)+IF(BA215&gt;0,BA215+1,0)*1+IF(BA215&gt;12,BA215-12,0)*1+IF(BA215&gt;13,BA215-13,0)*1+IF(BA215&gt;14,BA215-14,0)*1+IF(BA215&gt;15,BA215-15,0)*1+IF(BA215&gt;16,BA215-16,0)*1+IF(BA215&gt;17,BA215-17,0)*1+IF(BA215&gt;18,BA215-18,0)*1+IF(BA215&gt;19,BA215-19,0)*1+IF(BA215&gt;20,BA215-20,0)*1</f>
        <v>77.007183908045945</v>
      </c>
      <c r="BE215" s="160">
        <f>IF(BB215&lt;=0,1,0)+IF(BB215&gt;0,BB215+1,0)*1+IF(BB215&gt;12,BB215-12,0)*1+IF(BB215&gt;13,BB215-13,0)*1+IF(BB215&gt;14,BB215-14,0)*1+IF(BB215&gt;15,BB215-15,0)*1+IF(BB215&gt;16,BB215-16,0)*1+IF(BB215&gt;17,BB215-17,0)*1+IF(BB215&gt;18,BB215-18,0)*1+IF(BB215&gt;19,BB215-19,0)*1+IF(BB215&gt;20,BB215-20,0)*1</f>
        <v>1</v>
      </c>
      <c r="BF215" s="243">
        <f>IF((BD215-BE215)&gt;0,BD215-BE215,0)</f>
        <v>76.007183908045945</v>
      </c>
      <c r="BG215" s="218">
        <f>IF((BE215-BD215)&gt;0,BE215-BD215,0)</f>
        <v>0</v>
      </c>
      <c r="BI215" s="303" t="s">
        <v>368</v>
      </c>
      <c r="BJ215" s="218" t="s">
        <v>86</v>
      </c>
      <c r="BK215" s="243" t="s">
        <v>133</v>
      </c>
      <c r="BL215" s="237">
        <f>Konvention_1slave-MUslave</f>
        <v>12</v>
      </c>
      <c r="BM215" s="234"/>
      <c r="BN215" s="234">
        <f>Konvention_1slave-INslave</f>
        <v>12</v>
      </c>
      <c r="BO215" s="234">
        <f>Konvention_1slave-CHslave</f>
        <v>12</v>
      </c>
      <c r="BP215" s="234"/>
      <c r="BQ215" s="234"/>
      <c r="BR215" s="234"/>
      <c r="BS215" s="224"/>
      <c r="BT215" s="223">
        <f>(BL215+BM215+BN215+BO215+BP215+BQ215+BR215+BS215)/3</f>
        <v>12</v>
      </c>
      <c r="BU215" s="223">
        <f>2*BT215</f>
        <v>24</v>
      </c>
      <c r="BV215" s="224">
        <f>3*BT215</f>
        <v>36</v>
      </c>
      <c r="BW215" s="237">
        <f t="shared" si="1599"/>
        <v>2304</v>
      </c>
      <c r="BX215" s="234">
        <f>BL215*BN215*CHslave+BL215*INslave*BO215+MUslave*BN215*BO215</f>
        <v>3456</v>
      </c>
      <c r="BY215" s="224">
        <f>IFERROR(BL215^SIGN(BL215),1)*IFERROR(BM215^SIGN(BM215),1)*IFERROR(BN215^SIGN(BN215),1)*IFERROR(BO215^SIGN(BO215),1)*IFERROR(BP215^SIGN(BP215),1)*IFERROR(BQ215^SIGN(BQ215),1)*IFERROR(BR215^SIGN(BR215),1)*IFERROR(BS215^SIGN(BS215),1)</f>
        <v>1728</v>
      </c>
      <c r="BZ215" s="224">
        <f>SUM(BW215:BY215)</f>
        <v>7488</v>
      </c>
      <c r="CA215" s="222">
        <f>BT215*BW215/BZ215</f>
        <v>3.6923076923076925</v>
      </c>
      <c r="CB215" s="223">
        <f>BU215*BX215/BZ215</f>
        <v>11.076923076923077</v>
      </c>
      <c r="CC215" s="243">
        <f>BV215*BY215/BZ215</f>
        <v>8.3076923076923084</v>
      </c>
      <c r="CD215" s="243">
        <f>SUM(CA215:CC215)</f>
        <v>23.07692307692308</v>
      </c>
      <c r="CE215" s="252">
        <f t="shared" si="1600"/>
        <v>0</v>
      </c>
      <c r="CF215" s="309">
        <f>CD215-CE215</f>
        <v>23.07692307692308</v>
      </c>
      <c r="CG215" s="218">
        <f>IF(CD215&lt;=0,1,0)+IF(CD215&gt;0,CD215+1,0)*1+IF(CD215&gt;12,CD215-12,0)*1+IF(CD215&gt;13,CD215-13,0)*1+IF(CD215&gt;14,CD215-14,0)*1+IF(CD215&gt;15,CD215-15,0)*1+IF(CD215&gt;16,CD215-16,0)*1+IF(CD215&gt;17,CD215-17,0)*1+IF(CD215&gt;18,CD215-18,0)*1+IF(CD215&gt;19,CD215-19,0)*1+IF(CD215&gt;20,CD215-20,0)*1</f>
        <v>87.769230769230802</v>
      </c>
      <c r="CH215" s="242">
        <f>IF(CE215&lt;=0,1,0)+IF(CE215&gt;0,CE215+1,0)*1+IF(CE215&gt;12,CE215-12,0)*1+IF(CE215&gt;13,CE215-13,0)*1+IF(CE215&gt;14,CE215-14,0)*1+IF(CE215&gt;15,CE215-15,0)*1+IF(CE215&gt;16,CE215-16,0)*1+IF(CE215&gt;17,CE215-17,0)*1+IF(CE215&gt;18,CE215-18,0)*1+IF(CE215&gt;19,CE215-19,0)*1+IF(CE215&gt;20,CE215-20,0)*1</f>
        <v>1</v>
      </c>
      <c r="CI215" s="243">
        <f>IF((CG215-CH215)&gt;0,CG215-CH215,0)</f>
        <v>86.769230769230802</v>
      </c>
      <c r="CJ215" s="218">
        <f>IF((CH215-CG215)&gt;0,CH215-CG215,0)</f>
        <v>0</v>
      </c>
      <c r="CL215" s="303" t="s">
        <v>368</v>
      </c>
      <c r="CM215" s="218" t="s">
        <v>86</v>
      </c>
      <c r="CN215" s="243" t="s">
        <v>133</v>
      </c>
      <c r="CO215" s="237">
        <f>Konvention_1slave-MUslave</f>
        <v>12</v>
      </c>
      <c r="CP215" s="234"/>
      <c r="CQ215" s="234">
        <f>Konvention_1slave-INslave_IN</f>
        <v>11</v>
      </c>
      <c r="CR215" s="234">
        <f>Konvention_1slave-CHslave</f>
        <v>12</v>
      </c>
      <c r="CS215" s="234"/>
      <c r="CT215" s="234"/>
      <c r="CU215" s="234"/>
      <c r="CV215" s="224"/>
      <c r="CW215" s="223">
        <f>(CO215+CP215+CQ215+CR215+CS215+CT215+CU215+CV215)/3</f>
        <v>11.666666666666666</v>
      </c>
      <c r="CX215" s="223">
        <f>2*CW215</f>
        <v>23.333333333333332</v>
      </c>
      <c r="CY215" s="224">
        <f>3*CW215</f>
        <v>35</v>
      </c>
      <c r="CZ215" s="237">
        <f t="shared" si="1601"/>
        <v>2432</v>
      </c>
      <c r="DA215" s="234">
        <f>CO215*CQ215*CHslave+CO215*INslave_IN*CR215+MUslave*CQ215*CR215</f>
        <v>3408</v>
      </c>
      <c r="DB215" s="224">
        <f>IFERROR(CO215^SIGN(CO215),1)*IFERROR(CP215^SIGN(CP215),1)*IFERROR(CQ215^SIGN(CQ215),1)*IFERROR(CR215^SIGN(CR215),1)*IFERROR(CS215^SIGN(CS215),1)*IFERROR(CT215^SIGN(CT215),1)*IFERROR(CU215^SIGN(CU215),1)*IFERROR(CV215^SIGN(CV215),1)</f>
        <v>1584</v>
      </c>
      <c r="DC215" s="224">
        <f>SUM(CZ215:DB215)</f>
        <v>7424</v>
      </c>
      <c r="DD215" s="222">
        <f>CW215*CZ215/DC215</f>
        <v>3.8218390804597702</v>
      </c>
      <c r="DE215" s="223">
        <f>CX215*DA215/DC215</f>
        <v>10.711206896551724</v>
      </c>
      <c r="DF215" s="243">
        <f>CY215*DB215/DC215</f>
        <v>7.4676724137931032</v>
      </c>
      <c r="DG215" s="243">
        <f>SUM(DD215:DF215)</f>
        <v>22.000718390804597</v>
      </c>
      <c r="DH215" s="252">
        <f t="shared" si="1602"/>
        <v>0</v>
      </c>
      <c r="DI215" s="309">
        <f>DG215-DH215</f>
        <v>22.000718390804597</v>
      </c>
      <c r="DJ215" s="218">
        <f>IF(DG215&lt;=0,1,0)+IF(DG215&gt;0,DG215+1,0)*1+IF(DG215&gt;12,DG215-12,0)*1+IF(DG215&gt;13,DG215-13,0)*1+IF(DG215&gt;14,DG215-14,0)*1+IF(DG215&gt;15,DG215-15,0)*1+IF(DG215&gt;16,DG215-16,0)*1+IF(DG215&gt;17,DG215-17,0)*1+IF(DG215&gt;18,DG215-18,0)*1+IF(DG215&gt;19,DG215-19,0)*1+IF(DG215&gt;20,DG215-20,0)*1</f>
        <v>77.007183908045945</v>
      </c>
      <c r="DK215" s="242">
        <f>IF(DH215&lt;=0,1,0)+IF(DH215&gt;0,DH215+1,0)*1+IF(DH215&gt;12,DH215-12,0)*1+IF(DH215&gt;13,DH215-13,0)*1+IF(DH215&gt;14,DH215-14,0)*1+IF(DH215&gt;15,DH215-15,0)*1+IF(DH215&gt;16,DH215-16,0)*1+IF(DH215&gt;17,DH215-17,0)*1+IF(DH215&gt;18,DH215-18,0)*1+IF(DH215&gt;19,DH215-19,0)*1+IF(DH215&gt;20,DH215-20,0)*1</f>
        <v>1</v>
      </c>
      <c r="DL215" s="243">
        <f>IF((DJ215-DK215)&gt;0,DJ215-DK215,0)</f>
        <v>76.007183908045945</v>
      </c>
      <c r="DM215" s="218">
        <f>IF((DK215-DJ215)&gt;0,DK215-DJ215,0)</f>
        <v>0</v>
      </c>
      <c r="DO215" s="303" t="s">
        <v>368</v>
      </c>
      <c r="DP215" s="218" t="s">
        <v>86</v>
      </c>
      <c r="DQ215" s="243" t="s">
        <v>133</v>
      </c>
      <c r="DR215" s="237">
        <f>Konvention_1slave-MUslave</f>
        <v>12</v>
      </c>
      <c r="DS215" s="234"/>
      <c r="DT215" s="234">
        <f>Konvention_1slave-INslave</f>
        <v>12</v>
      </c>
      <c r="DU215" s="234">
        <f>Konvention_1slave-CHslave_CH</f>
        <v>11</v>
      </c>
      <c r="DV215" s="234"/>
      <c r="DW215" s="234"/>
      <c r="DX215" s="234"/>
      <c r="DY215" s="224"/>
      <c r="DZ215" s="223">
        <f>(DR215+DS215+DT215+DU215+DV215+DW215+DX215+DY215)/3</f>
        <v>11.666666666666666</v>
      </c>
      <c r="EA215" s="223">
        <f>2*DZ215</f>
        <v>23.333333333333332</v>
      </c>
      <c r="EB215" s="224">
        <f>3*DZ215</f>
        <v>35</v>
      </c>
      <c r="EC215" s="237">
        <f t="shared" si="1603"/>
        <v>2432</v>
      </c>
      <c r="ED215" s="234">
        <f>DR215*DT215*CHslave_CH+DR215*INslave*DU215+MUslave*DT215*DU215</f>
        <v>3408</v>
      </c>
      <c r="EE215" s="224">
        <f>IFERROR(DR215^SIGN(DR215),1)*IFERROR(DS215^SIGN(DS215),1)*IFERROR(DT215^SIGN(DT215),1)*IFERROR(DU215^SIGN(DU215),1)*IFERROR(DV215^SIGN(DV215),1)*IFERROR(DW215^SIGN(DW215),1)*IFERROR(DX215^SIGN(DX215),1)*IFERROR(DY215^SIGN(DY215),1)</f>
        <v>1584</v>
      </c>
      <c r="EF215" s="224">
        <f>SUM(EC215:EE215)</f>
        <v>7424</v>
      </c>
      <c r="EG215" s="222">
        <f>DZ215*EC215/EF215</f>
        <v>3.8218390804597702</v>
      </c>
      <c r="EH215" s="223">
        <f>EA215*ED215/EF215</f>
        <v>10.711206896551724</v>
      </c>
      <c r="EI215" s="243">
        <f>EB215*EE215/EF215</f>
        <v>7.4676724137931032</v>
      </c>
      <c r="EJ215" s="243">
        <f>SUM(EG215:EI215)</f>
        <v>22.000718390804597</v>
      </c>
      <c r="EK215" s="252">
        <f t="shared" si="1604"/>
        <v>0</v>
      </c>
      <c r="EL215" s="309">
        <f>EJ215-EK215</f>
        <v>22.000718390804597</v>
      </c>
      <c r="EM215" s="218">
        <f>IF(EJ215&lt;=0,1,0)+IF(EJ215&gt;0,EJ215+1,0)*1+IF(EJ215&gt;12,EJ215-12,0)*1+IF(EJ215&gt;13,EJ215-13,0)*1+IF(EJ215&gt;14,EJ215-14,0)*1+IF(EJ215&gt;15,EJ215-15,0)*1+IF(EJ215&gt;16,EJ215-16,0)*1+IF(EJ215&gt;17,EJ215-17,0)*1+IF(EJ215&gt;18,EJ215-18,0)*1+IF(EJ215&gt;19,EJ215-19,0)*1+IF(EJ215&gt;20,EJ215-20,0)*1</f>
        <v>77.007183908045945</v>
      </c>
      <c r="EN215" s="242">
        <f>IF(EK215&lt;=0,1,0)+IF(EK215&gt;0,EK215+1,0)*1+IF(EK215&gt;12,EK215-12,0)*1+IF(EK215&gt;13,EK215-13,0)*1+IF(EK215&gt;14,EK215-14,0)*1+IF(EK215&gt;15,EK215-15,0)*1+IF(EK215&gt;16,EK215-16,0)*1+IF(EK215&gt;17,EK215-17,0)*1+IF(EK215&gt;18,EK215-18,0)*1+IF(EK215&gt;19,EK215-19,0)*1+IF(EK215&gt;20,EK215-20,0)*1</f>
        <v>1</v>
      </c>
      <c r="EO215" s="243">
        <f>IF((EM215-EN215)&gt;0,EM215-EN215,0)</f>
        <v>76.007183908045945</v>
      </c>
      <c r="EP215" s="218">
        <f>IF((EN215-EM215)&gt;0,EN215-EM215,0)</f>
        <v>0</v>
      </c>
      <c r="ER215" s="303" t="s">
        <v>368</v>
      </c>
      <c r="ES215" s="218" t="s">
        <v>86</v>
      </c>
      <c r="ET215" s="243" t="s">
        <v>133</v>
      </c>
      <c r="EU215" s="237">
        <f>Konvention_1slave-MUslave</f>
        <v>12</v>
      </c>
      <c r="EV215" s="234"/>
      <c r="EW215" s="234">
        <f>Konvention_1slave-INslave</f>
        <v>12</v>
      </c>
      <c r="EX215" s="234">
        <f>Konvention_1slave-CHslave</f>
        <v>12</v>
      </c>
      <c r="EY215" s="234"/>
      <c r="EZ215" s="234"/>
      <c r="FA215" s="234"/>
      <c r="FB215" s="224"/>
      <c r="FC215" s="223">
        <f>(EU215+EV215+EW215+EX215+EY215+EZ215+FA215+FB215)/3</f>
        <v>12</v>
      </c>
      <c r="FD215" s="223">
        <f>2*FC215</f>
        <v>24</v>
      </c>
      <c r="FE215" s="224">
        <f>3*FC215</f>
        <v>36</v>
      </c>
      <c r="FF215" s="237">
        <f t="shared" si="1605"/>
        <v>2304</v>
      </c>
      <c r="FG215" s="234">
        <f>EU215*EW215*CHslave+EU215*INslave*EX215+MUslave*EW215*EX215</f>
        <v>3456</v>
      </c>
      <c r="FH215" s="224">
        <f>IFERROR(EU215^SIGN(EU215),1)*IFERROR(EV215^SIGN(EV215),1)*IFERROR(EW215^SIGN(EW215),1)*IFERROR(EX215^SIGN(EX215),1)*IFERROR(EY215^SIGN(EY215),1)*IFERROR(EZ215^SIGN(EZ215),1)*IFERROR(FA215^SIGN(FA215),1)*IFERROR(FB215^SIGN(FB215),1)</f>
        <v>1728</v>
      </c>
      <c r="FI215" s="224">
        <f>SUM(FF215:FH215)</f>
        <v>7488</v>
      </c>
      <c r="FJ215" s="222">
        <f>FC215*FF215/FI215</f>
        <v>3.6923076923076925</v>
      </c>
      <c r="FK215" s="223">
        <f>FD215*FG215/FI215</f>
        <v>11.076923076923077</v>
      </c>
      <c r="FL215" s="243">
        <f>FE215*FH215/FI215</f>
        <v>8.3076923076923084</v>
      </c>
      <c r="FM215" s="243">
        <f>SUM(FJ215:FL215)</f>
        <v>23.07692307692308</v>
      </c>
      <c r="FN215" s="252">
        <f t="shared" si="1606"/>
        <v>0</v>
      </c>
      <c r="FO215" s="309">
        <f>FM215-FN215</f>
        <v>23.07692307692308</v>
      </c>
      <c r="FP215" s="218">
        <f>IF(FM215&lt;=0,1,0)+IF(FM215&gt;0,FM215+1,0)*1+IF(FM215&gt;12,FM215-12,0)*1+IF(FM215&gt;13,FM215-13,0)*1+IF(FM215&gt;14,FM215-14,0)*1+IF(FM215&gt;15,FM215-15,0)*1+IF(FM215&gt;16,FM215-16,0)*1+IF(FM215&gt;17,FM215-17,0)*1+IF(FM215&gt;18,FM215-18,0)*1+IF(FM215&gt;19,FM215-19,0)*1+IF(FM215&gt;20,FM215-20,0)*1</f>
        <v>87.769230769230802</v>
      </c>
      <c r="FQ215" s="242">
        <f>IF(FN215&lt;=0,1,0)+IF(FN215&gt;0,FN215+1,0)*1+IF(FN215&gt;12,FN215-12,0)*1+IF(FN215&gt;13,FN215-13,0)*1+IF(FN215&gt;14,FN215-14,0)*1+IF(FN215&gt;15,FN215-15,0)*1+IF(FN215&gt;16,FN215-16,0)*1+IF(FN215&gt;17,FN215-17,0)*1+IF(FN215&gt;18,FN215-18,0)*1+IF(FN215&gt;19,FN215-19,0)*1+IF(FN215&gt;20,FN215-20,0)*1</f>
        <v>1</v>
      </c>
      <c r="FR215" s="243">
        <f>IF((FP215-FQ215)&gt;0,FP215-FQ215,0)</f>
        <v>86.769230769230802</v>
      </c>
      <c r="FS215" s="218">
        <f>IF((FQ215-FP215)&gt;0,FQ215-FP215,0)</f>
        <v>0</v>
      </c>
      <c r="FU215" s="303" t="s">
        <v>368</v>
      </c>
      <c r="FV215" s="218" t="s">
        <v>86</v>
      </c>
      <c r="FW215" s="243" t="s">
        <v>133</v>
      </c>
      <c r="FX215" s="237">
        <f>Konvention_1slave-MUslave</f>
        <v>12</v>
      </c>
      <c r="FY215" s="234"/>
      <c r="FZ215" s="234">
        <f>Konvention_1slave-INslave</f>
        <v>12</v>
      </c>
      <c r="GA215" s="234">
        <f>Konvention_1slave-CHslave</f>
        <v>12</v>
      </c>
      <c r="GB215" s="234"/>
      <c r="GC215" s="234"/>
      <c r="GD215" s="234"/>
      <c r="GE215" s="224"/>
      <c r="GF215" s="223">
        <f>(FX215+FY215+FZ215+GA215+GB215+GC215+GD215+GE215)/3</f>
        <v>12</v>
      </c>
      <c r="GG215" s="223">
        <f>2*GF215</f>
        <v>24</v>
      </c>
      <c r="GH215" s="224">
        <f>3*GF215</f>
        <v>36</v>
      </c>
      <c r="GI215" s="237">
        <f t="shared" si="1607"/>
        <v>2304</v>
      </c>
      <c r="GJ215" s="234">
        <f>FX215*FZ215*CHslave+FX215*INslave*GA215+MUslave*FZ215*GA215</f>
        <v>3456</v>
      </c>
      <c r="GK215" s="224">
        <f>IFERROR(FX215^SIGN(FX215),1)*IFERROR(FY215^SIGN(FY215),1)*IFERROR(FZ215^SIGN(FZ215),1)*IFERROR(GA215^SIGN(GA215),1)*IFERROR(GB215^SIGN(GB215),1)*IFERROR(GC215^SIGN(GC215),1)*IFERROR(GD215^SIGN(GD215),1)*IFERROR(GE215^SIGN(GE215),1)</f>
        <v>1728</v>
      </c>
      <c r="GL215" s="224">
        <f>SUM(GI215:GK215)</f>
        <v>7488</v>
      </c>
      <c r="GM215" s="222">
        <f>GF215*GI215/GL215</f>
        <v>3.6923076923076925</v>
      </c>
      <c r="GN215" s="223">
        <f>GG215*GJ215/GL215</f>
        <v>11.076923076923077</v>
      </c>
      <c r="GO215" s="243">
        <f>GH215*GK215/GL215</f>
        <v>8.3076923076923084</v>
      </c>
      <c r="GP215" s="243">
        <f>SUM(GM215:GO215)</f>
        <v>23.07692307692308</v>
      </c>
      <c r="GQ215" s="252">
        <f t="shared" si="1608"/>
        <v>0</v>
      </c>
      <c r="GR215" s="309">
        <f>GP215-GQ215</f>
        <v>23.07692307692308</v>
      </c>
      <c r="GS215" s="218">
        <f>IF(GP215&lt;=0,1,0)+IF(GP215&gt;0,GP215+1,0)*1+IF(GP215&gt;12,GP215-12,0)*1+IF(GP215&gt;13,GP215-13,0)*1+IF(GP215&gt;14,GP215-14,0)*1+IF(GP215&gt;15,GP215-15,0)*1+IF(GP215&gt;16,GP215-16,0)*1+IF(GP215&gt;17,GP215-17,0)*1+IF(GP215&gt;18,GP215-18,0)*1+IF(GP215&gt;19,GP215-19,0)*1+IF(GP215&gt;20,GP215-20,0)*1</f>
        <v>87.769230769230802</v>
      </c>
      <c r="GT215" s="242">
        <f>IF(GQ215&lt;=0,1,0)+IF(GQ215&gt;0,GQ215+1,0)*1+IF(GQ215&gt;12,GQ215-12,0)*1+IF(GQ215&gt;13,GQ215-13,0)*1+IF(GQ215&gt;14,GQ215-14,0)*1+IF(GQ215&gt;15,GQ215-15,0)*1+IF(GQ215&gt;16,GQ215-16,0)*1+IF(GQ215&gt;17,GQ215-17,0)*1+IF(GQ215&gt;18,GQ215-18,0)*1+IF(GQ215&gt;19,GQ215-19,0)*1+IF(GQ215&gt;20,GQ215-20,0)*1</f>
        <v>1</v>
      </c>
      <c r="GU215" s="243">
        <f>IF((GS215-GT215)&gt;0,GS215-GT215,0)</f>
        <v>86.769230769230802</v>
      </c>
      <c r="GV215" s="218">
        <f>IF((GT215-GS215)&gt;0,GT215-GS215,0)</f>
        <v>0</v>
      </c>
      <c r="GX215" s="303" t="s">
        <v>368</v>
      </c>
      <c r="GY215" s="218" t="s">
        <v>86</v>
      </c>
      <c r="GZ215" s="243" t="s">
        <v>133</v>
      </c>
      <c r="HA215" s="237">
        <f>Konvention_1slave-MUslave</f>
        <v>12</v>
      </c>
      <c r="HB215" s="234"/>
      <c r="HC215" s="234">
        <f>Konvention_1slave-INslave</f>
        <v>12</v>
      </c>
      <c r="HD215" s="234">
        <f>Konvention_1slave-CHslave</f>
        <v>12</v>
      </c>
      <c r="HE215" s="234"/>
      <c r="HF215" s="234"/>
      <c r="HG215" s="234"/>
      <c r="HH215" s="224"/>
      <c r="HI215" s="223">
        <f>(HA215+HB215+HC215+HD215+HE215+HF215+HG215+HH215)/3</f>
        <v>12</v>
      </c>
      <c r="HJ215" s="223">
        <f>2*HI215</f>
        <v>24</v>
      </c>
      <c r="HK215" s="224">
        <f>3*HI215</f>
        <v>36</v>
      </c>
      <c r="HL215" s="237">
        <f t="shared" si="1609"/>
        <v>2304</v>
      </c>
      <c r="HM215" s="234">
        <f>HA215*HC215*CHslave+HA215*INslave*HD215+MUslave*HC215*HD215</f>
        <v>3456</v>
      </c>
      <c r="HN215" s="224">
        <f>IFERROR(HA215^SIGN(HA215),1)*IFERROR(HB215^SIGN(HB215),1)*IFERROR(HC215^SIGN(HC215),1)*IFERROR(HD215^SIGN(HD215),1)*IFERROR(HE215^SIGN(HE215),1)*IFERROR(HF215^SIGN(HF215),1)*IFERROR(HG215^SIGN(HG215),1)*IFERROR(HH215^SIGN(HH215),1)</f>
        <v>1728</v>
      </c>
      <c r="HO215" s="224">
        <f>SUM(HL215:HN215)</f>
        <v>7488</v>
      </c>
      <c r="HP215" s="222">
        <f>HI215*HL215/HO215</f>
        <v>3.6923076923076925</v>
      </c>
      <c r="HQ215" s="223">
        <f>HJ215*HM215/HO215</f>
        <v>11.076923076923077</v>
      </c>
      <c r="HR215" s="243">
        <f>HK215*HN215/HO215</f>
        <v>8.3076923076923084</v>
      </c>
      <c r="HS215" s="243">
        <f>SUM(HP215:HR215)</f>
        <v>23.07692307692308</v>
      </c>
      <c r="HT215" s="252">
        <f t="shared" si="1610"/>
        <v>0</v>
      </c>
      <c r="HU215" s="309">
        <f>HS215-HT215</f>
        <v>23.07692307692308</v>
      </c>
      <c r="HV215" s="218">
        <f>IF(HS215&lt;=0,1,0)+IF(HS215&gt;0,HS215+1,0)*1+IF(HS215&gt;12,HS215-12,0)*1+IF(HS215&gt;13,HS215-13,0)*1+IF(HS215&gt;14,HS215-14,0)*1+IF(HS215&gt;15,HS215-15,0)*1+IF(HS215&gt;16,HS215-16,0)*1+IF(HS215&gt;17,HS215-17,0)*1+IF(HS215&gt;18,HS215-18,0)*1+IF(HS215&gt;19,HS215-19,0)*1+IF(HS215&gt;20,HS215-20,0)*1</f>
        <v>87.769230769230802</v>
      </c>
      <c r="HW215" s="242">
        <f>IF(HT215&lt;=0,1,0)+IF(HT215&gt;0,HT215+1,0)*1+IF(HT215&gt;12,HT215-12,0)*1+IF(HT215&gt;13,HT215-13,0)*1+IF(HT215&gt;14,HT215-14,0)*1+IF(HT215&gt;15,HT215-15,0)*1+IF(HT215&gt;16,HT215-16,0)*1+IF(HT215&gt;17,HT215-17,0)*1+IF(HT215&gt;18,HT215-18,0)*1+IF(HT215&gt;19,HT215-19,0)*1+IF(HT215&gt;20,HT215-20,0)*1</f>
        <v>1</v>
      </c>
      <c r="HX215" s="243">
        <f>IF((HV215-HW215)&gt;0,HV215-HW215,0)</f>
        <v>86.769230769230802</v>
      </c>
      <c r="HY215" s="218">
        <f>IF((HW215-HV215)&gt;0,HW215-HV215,0)</f>
        <v>0</v>
      </c>
      <c r="IA215" s="303" t="s">
        <v>368</v>
      </c>
      <c r="IB215" s="218" t="s">
        <v>86</v>
      </c>
      <c r="IC215" s="243" t="s">
        <v>133</v>
      </c>
      <c r="ID215" s="237">
        <f>Konvention_1slave-MUslave</f>
        <v>12</v>
      </c>
      <c r="IE215" s="234"/>
      <c r="IF215" s="234">
        <f>Konvention_1slave-INslave</f>
        <v>12</v>
      </c>
      <c r="IG215" s="234">
        <f>Konvention_1slave-CHslave</f>
        <v>12</v>
      </c>
      <c r="IH215" s="234"/>
      <c r="II215" s="234"/>
      <c r="IJ215" s="234"/>
      <c r="IK215" s="224"/>
      <c r="IL215" s="223">
        <f>(ID215+IE215+IF215+IG215+IH215+II215+IJ215+IK215)/3</f>
        <v>12</v>
      </c>
      <c r="IM215" s="223">
        <f>2*IL215</f>
        <v>24</v>
      </c>
      <c r="IN215" s="224">
        <f>3*IL215</f>
        <v>36</v>
      </c>
      <c r="IO215" s="237">
        <f t="shared" si="1611"/>
        <v>2304</v>
      </c>
      <c r="IP215" s="234">
        <f>ID215*IF215*CHslave+ID215*INslave*IG215+MUslave*IF215*IG215</f>
        <v>3456</v>
      </c>
      <c r="IQ215" s="224">
        <f>IFERROR(ID215^SIGN(ID215),1)*IFERROR(IE215^SIGN(IE215),1)*IFERROR(IF215^SIGN(IF215),1)*IFERROR(IG215^SIGN(IG215),1)*IFERROR(IH215^SIGN(IH215),1)*IFERROR(II215^SIGN(II215),1)*IFERROR(IJ215^SIGN(IJ215),1)*IFERROR(IK215^SIGN(IK215),1)</f>
        <v>1728</v>
      </c>
      <c r="IR215" s="224">
        <f>SUM(IO215:IQ215)</f>
        <v>7488</v>
      </c>
      <c r="IS215" s="222">
        <f>IL215*IO215/IR215</f>
        <v>3.6923076923076925</v>
      </c>
      <c r="IT215" s="223">
        <f>IM215*IP215/IR215</f>
        <v>11.076923076923077</v>
      </c>
      <c r="IU215" s="243">
        <f>IN215*IQ215/IR215</f>
        <v>8.3076923076923084</v>
      </c>
      <c r="IV215" s="243">
        <f>SUM(IS215:IU215)</f>
        <v>23.07692307692308</v>
      </c>
      <c r="IW215" s="252">
        <f t="shared" si="1612"/>
        <v>0</v>
      </c>
      <c r="IX215" s="309">
        <f>IV215-IW215</f>
        <v>23.07692307692308</v>
      </c>
      <c r="IY215" s="218">
        <f>IF(IV215&lt;=0,1,0)+IF(IV215&gt;0,IV215+1,0)*1+IF(IV215&gt;12,IV215-12,0)*1+IF(IV215&gt;13,IV215-13,0)*1+IF(IV215&gt;14,IV215-14,0)*1+IF(IV215&gt;15,IV215-15,0)*1+IF(IV215&gt;16,IV215-16,0)*1+IF(IV215&gt;17,IV215-17,0)*1+IF(IV215&gt;18,IV215-18,0)*1+IF(IV215&gt;19,IV215-19,0)*1+IF(IV215&gt;20,IV215-20,0)*1</f>
        <v>87.769230769230802</v>
      </c>
      <c r="IZ215" s="242">
        <f>IF(IW215&lt;=0,1,0)+IF(IW215&gt;0,IW215+1,0)*1+IF(IW215&gt;12,IW215-12,0)*1+IF(IW215&gt;13,IW215-13,0)*1+IF(IW215&gt;14,IW215-14,0)*1+IF(IW215&gt;15,IW215-15,0)*1+IF(IW215&gt;16,IW215-16,0)*1+IF(IW215&gt;17,IW215-17,0)*1+IF(IW215&gt;18,IW215-18,0)*1+IF(IW215&gt;19,IW215-19,0)*1+IF(IW215&gt;20,IW215-20,0)*1</f>
        <v>1</v>
      </c>
      <c r="JA215" s="243">
        <f>IF((IY215-IZ215)&gt;0,IY215-IZ215,0)</f>
        <v>86.769230769230802</v>
      </c>
      <c r="JB215" s="218">
        <f>IF((IZ215-IY215)&gt;0,IZ215-IY215,0)</f>
        <v>0</v>
      </c>
      <c r="JE215" s="148"/>
    </row>
    <row r="216" spans="2:265" ht="15" hidden="1" customHeight="1" outlineLevel="2">
      <c r="B216" s="148">
        <v>4</v>
      </c>
      <c r="C216" s="303" t="e">
        <f>VLOOKUP(AF216,Attribute!C:T,1,FALSE)</f>
        <v>#N/A</v>
      </c>
      <c r="D216" s="86" t="s">
        <v>438</v>
      </c>
      <c r="E216" s="167" t="s">
        <v>132</v>
      </c>
      <c r="F216" s="120"/>
      <c r="G216" s="117">
        <f>Konvention_1master-KLmaster</f>
        <v>12</v>
      </c>
      <c r="H216" s="117"/>
      <c r="I216" s="117">
        <f>Konvention_1master-CHmaster</f>
        <v>12</v>
      </c>
      <c r="J216" s="117"/>
      <c r="K216" s="117"/>
      <c r="L216" s="117"/>
      <c r="M216" s="121">
        <f>Konvention_1master-KKmaster</f>
        <v>12</v>
      </c>
      <c r="N216" s="223">
        <f>(F216+G216+H216+I216+J216+K216+L216+M216)/3</f>
        <v>12</v>
      </c>
      <c r="O216" s="223">
        <f>2*N216</f>
        <v>24</v>
      </c>
      <c r="P216" s="224">
        <f>3*N216</f>
        <v>36</v>
      </c>
      <c r="Q216" s="237">
        <f>F216*POWER(KLmaster,SIGN(G216))*POWER(INmaster,SIGN(H216))*POWER(CHmaster,SIGN(I216))*POWER(FFmaster,SIGN(J216))*POWER(GEmaster,SIGN(K216))*POWER(KOmaster,SIGN(L216))*POWER(KKmaster,SIGN(M216))+G216*POWER(MUmaster,SIGN(F216))*POWER(INmaster,SIGN(H216))*POWER(CHmaster,SIGN(I216))*POWER(FFmaster,SIGN(J216))*POWER(GEmaster,SIGN(K216))*POWER(KOmaster,SIGN(L216))*POWER(KKmaster,SIGN(M216))+H216*POWER(MUmaster,SIGN(F216))*POWER(KLmaster,SIGN(G216))*POWER(CHmaster,SIGN(I216))*POWER(FFmaster,SIGN(J216))*POWER(GEmaster,SIGN(K216))*POWER(KOmaster,SIGN(L216))*POWER(KKmaster,SIGN(M216))+I216*POWER(MUmaster,SIGN(F216))*POWER(KLmaster,SIGN(G216))*POWER(INmaster,SIGN(H216))*POWER(FFmaster,SIGN(J216))*POWER(GEmaster,SIGN(K216))*POWER(KOmaster,SIGN(L216))*POWER(KKmaster,SIGN(M216))+J216*POWER(MUmaster,SIGN(F216))*POWER(KLmaster,SIGN(G216))*POWER(INmaster,SIGN(H216))*POWER(CHmaster,SIGN(I216))*POWER(GEmaster,SIGN(K216))*POWER(KOmaster,SIGN(L216))*POWER(KKmaster,SIGN(M216))+K216*POWER(MUmaster,SIGN(F216))*POWER(KLmaster,SIGN(G216))*POWER(INmaster,SIGN(H216))*POWER(CHmaster,SIGN(I216))*POWER(FFmaster,SIGN(J216))*POWER(KOmaster,SIGN(L216))*POWER(KKmaster,SIGN(M216))+L216*POWER(MUmaster,SIGN(F216))*POWER(KLmaster,SIGN(G216))*POWER(INmaster,SIGN(H216))*POWER(CHmaster,SIGN(I216))*POWER(FFmaster,SIGN(J216))*POWER(GEmaster,SIGN(K216))*POWER(KKmaster,SIGN(M216))+M216*POWER(MUmaster,SIGN(F216))*POWER(KLmaster,SIGN(G216))*POWER(INmaster,SIGN(H216))*POWER(CHmaster,SIGN(I216))*POWER(FFmaster,SIGN(J216))*POWER(GEmaster,SIGN(K216))*POWER(KOmaster,SIGN(L216))</f>
        <v>2304</v>
      </c>
      <c r="R216" s="117">
        <f>G216*I216*KKmaster+G216*CHmaster*M216+KLmaster*I216*M216</f>
        <v>3456</v>
      </c>
      <c r="S216" s="224">
        <f>IFERROR(F216^SIGN(F216),1)*IFERROR(G216^SIGN(G216),1)*IFERROR(H216^SIGN(H216),1)*IFERROR(I216^SIGN(I216),1)*IFERROR(J216^SIGN(J216),1)*IFERROR(K216^SIGN(K216),1)*IFERROR(L216^SIGN(L216),1)*IFERROR(M216^SIGN(M216),1)</f>
        <v>1728</v>
      </c>
      <c r="T216" s="224">
        <f>SUM(Q216:S216)</f>
        <v>7488</v>
      </c>
      <c r="U216" s="222">
        <f>N216*Q216/T216</f>
        <v>3.6923076923076925</v>
      </c>
      <c r="V216" s="223">
        <f>O216*R216/T216</f>
        <v>11.076923076923077</v>
      </c>
      <c r="W216" s="243">
        <f>P216*S216/T216</f>
        <v>8.3076923076923084</v>
      </c>
      <c r="X216" s="243">
        <f>SUM(U216:W216)</f>
        <v>23.07692307692308</v>
      </c>
      <c r="Y216" s="252">
        <v>0</v>
      </c>
      <c r="Z216" s="198">
        <f>X216-Y216</f>
        <v>23.07692307692308</v>
      </c>
      <c r="AA216" s="125">
        <f t="shared" ref="AA216:AB218" si="1620">IF(X216&lt;=0,2,0)+IF(X216&gt;0,X216+1,0)*2+IF(X216&gt;12,X216-12,0)*2+IF(X216&gt;13,X216-13,0)*2+IF(X216&gt;14,X216-14,0)*2+IF(X216&gt;15,X216-15,0)*2+IF(X216&gt;16,X216-16,0)*2+IF(X216&gt;17,X216-17,0)*2+IF(X216&gt;18,X216-18,0)*2+IF(X216&gt;19,X216-19,0)*2+IF(X216&gt;20,X216-20,0)*2</f>
        <v>175.5384615384616</v>
      </c>
      <c r="AB216" s="160">
        <f t="shared" si="1620"/>
        <v>2</v>
      </c>
      <c r="AC216" s="127">
        <f>IF((AA216-AB216)&gt;0,AA216-AB216,0)</f>
        <v>173.5384615384616</v>
      </c>
      <c r="AD216" s="125">
        <f>IF((AB216-AA216)&gt;0,AB216-AA216,0)</f>
        <v>0</v>
      </c>
      <c r="AF216" s="163" t="s">
        <v>356</v>
      </c>
      <c r="AG216" s="86" t="s">
        <v>438</v>
      </c>
      <c r="AH216" s="167" t="s">
        <v>132</v>
      </c>
      <c r="AI216" s="120"/>
      <c r="AJ216" s="117">
        <f>Konvention_1slave-KLslave</f>
        <v>12</v>
      </c>
      <c r="AK216" s="117"/>
      <c r="AL216" s="117">
        <f>Konvention_1slave-CHslave</f>
        <v>12</v>
      </c>
      <c r="AM216" s="117"/>
      <c r="AN216" s="117"/>
      <c r="AO216" s="117"/>
      <c r="AP216" s="121">
        <f>Konvention_1slave-KKslave</f>
        <v>12</v>
      </c>
      <c r="AQ216" s="47">
        <f>(AI216+AJ216+AK216+AL216+AM216+AN216+AO216+AP216)/3</f>
        <v>12</v>
      </c>
      <c r="AR216" s="3">
        <f>2*AQ216</f>
        <v>24</v>
      </c>
      <c r="AS216" s="174">
        <f>3*AQ216</f>
        <v>36</v>
      </c>
      <c r="AT216" s="114">
        <f t="shared" si="1597"/>
        <v>2304</v>
      </c>
      <c r="AU216" s="117">
        <f>AJ216*AL216*KKslave+AJ216*CHslave*AP216+KLslave*AL216*AP216</f>
        <v>3456</v>
      </c>
      <c r="AV216" s="119">
        <f>IFERROR(AI216^SIGN(AI216),1)*IFERROR(AJ216^SIGN(AJ216),1)*IFERROR(AK216^SIGN(AK216),1)*IFERROR(AL216^SIGN(AL216),1)*IFERROR(AM216^SIGN(AM216),1)*IFERROR(AN216^SIGN(AN216),1)*IFERROR(AO216^SIGN(AO216),1)*IFERROR(AP216^SIGN(AP216),1)</f>
        <v>1728</v>
      </c>
      <c r="AW216" s="119">
        <f>SUM(AT216:AV216)</f>
        <v>7488</v>
      </c>
      <c r="AX216" s="89">
        <f>AQ216*AT216/AW216</f>
        <v>3.6923076923076925</v>
      </c>
      <c r="AY216" s="47">
        <f>AR216*AU216/AW216</f>
        <v>11.076923076923077</v>
      </c>
      <c r="AZ216" s="127">
        <f>AS216*AV216/AW216</f>
        <v>8.3076923076923084</v>
      </c>
      <c r="BA216" s="127">
        <f>SUM(AX216:AZ216)</f>
        <v>23.07692307692308</v>
      </c>
      <c r="BB216" s="165">
        <f t="shared" si="1598"/>
        <v>0</v>
      </c>
      <c r="BC216" s="198">
        <f>BA216-BB216</f>
        <v>23.07692307692308</v>
      </c>
      <c r="BD216" s="125">
        <f t="shared" ref="BD216:BE218" si="1621">IF(BA216&lt;=0,2,0)+IF(BA216&gt;0,BA216+1,0)*2+IF(BA216&gt;12,BA216-12,0)*2+IF(BA216&gt;13,BA216-13,0)*2+IF(BA216&gt;14,BA216-14,0)*2+IF(BA216&gt;15,BA216-15,0)*2+IF(BA216&gt;16,BA216-16,0)*2+IF(BA216&gt;17,BA216-17,0)*2+IF(BA216&gt;18,BA216-18,0)*2+IF(BA216&gt;19,BA216-19,0)*2+IF(BA216&gt;20,BA216-20,0)*2</f>
        <v>175.5384615384616</v>
      </c>
      <c r="BE216" s="160">
        <f t="shared" si="1621"/>
        <v>2</v>
      </c>
      <c r="BF216" s="243">
        <f>IF((BD216-BE216)&gt;0,BD216-BE216,0)</f>
        <v>173.5384615384616</v>
      </c>
      <c r="BG216" s="218">
        <f>IF((BE216-BD216)&gt;0,BE216-BD216,0)</f>
        <v>0</v>
      </c>
      <c r="BI216" s="303" t="s">
        <v>356</v>
      </c>
      <c r="BJ216" s="304" t="s">
        <v>438</v>
      </c>
      <c r="BK216" s="305" t="s">
        <v>132</v>
      </c>
      <c r="BL216" s="317"/>
      <c r="BM216" s="254">
        <f>Konvention_1slave-KLslave_KL</f>
        <v>11</v>
      </c>
      <c r="BN216" s="254"/>
      <c r="BO216" s="254">
        <f>Konvention_1slave-CHslave</f>
        <v>12</v>
      </c>
      <c r="BP216" s="254"/>
      <c r="BQ216" s="254"/>
      <c r="BR216" s="254"/>
      <c r="BS216" s="318">
        <f>Konvention_1slave-KKslave</f>
        <v>12</v>
      </c>
      <c r="BT216" s="223">
        <f>(BL216+BM216+BN216+BO216+BP216+BQ216+BR216+BS216)/3</f>
        <v>11.666666666666666</v>
      </c>
      <c r="BU216" s="223">
        <f>2*BT216</f>
        <v>23.333333333333332</v>
      </c>
      <c r="BV216" s="224">
        <f>3*BT216</f>
        <v>35</v>
      </c>
      <c r="BW216" s="237">
        <f t="shared" si="1599"/>
        <v>2432</v>
      </c>
      <c r="BX216" s="254">
        <f>BM216*BO216*KKslave+BM216*CHslave*BS216+KLslave_KL*BO216*BS216</f>
        <v>3408</v>
      </c>
      <c r="BY216" s="224">
        <f>IFERROR(BL216^SIGN(BL216),1)*IFERROR(BM216^SIGN(BM216),1)*IFERROR(BN216^SIGN(BN216),1)*IFERROR(BO216^SIGN(BO216),1)*IFERROR(BP216^SIGN(BP216),1)*IFERROR(BQ216^SIGN(BQ216),1)*IFERROR(BR216^SIGN(BR216),1)*IFERROR(BS216^SIGN(BS216),1)</f>
        <v>1584</v>
      </c>
      <c r="BZ216" s="224">
        <f>SUM(BW216:BY216)</f>
        <v>7424</v>
      </c>
      <c r="CA216" s="222">
        <f>BT216*BW216/BZ216</f>
        <v>3.8218390804597702</v>
      </c>
      <c r="CB216" s="223">
        <f>BU216*BX216/BZ216</f>
        <v>10.711206896551724</v>
      </c>
      <c r="CC216" s="243">
        <f>BV216*BY216/BZ216</f>
        <v>7.4676724137931032</v>
      </c>
      <c r="CD216" s="243">
        <f>SUM(CA216:CC216)</f>
        <v>22.000718390804597</v>
      </c>
      <c r="CE216" s="252">
        <f t="shared" si="1600"/>
        <v>0</v>
      </c>
      <c r="CF216" s="309">
        <f>CD216-CE216</f>
        <v>22.000718390804597</v>
      </c>
      <c r="CG216" s="218">
        <f t="shared" ref="CG216:CH218" si="1622">IF(CD216&lt;=0,2,0)+IF(CD216&gt;0,CD216+1,0)*2+IF(CD216&gt;12,CD216-12,0)*2+IF(CD216&gt;13,CD216-13,0)*2+IF(CD216&gt;14,CD216-14,0)*2+IF(CD216&gt;15,CD216-15,0)*2+IF(CD216&gt;16,CD216-16,0)*2+IF(CD216&gt;17,CD216-17,0)*2+IF(CD216&gt;18,CD216-18,0)*2+IF(CD216&gt;19,CD216-19,0)*2+IF(CD216&gt;20,CD216-20,0)*2</f>
        <v>154.01436781609189</v>
      </c>
      <c r="CH216" s="242">
        <f t="shared" si="1622"/>
        <v>2</v>
      </c>
      <c r="CI216" s="243">
        <f>IF((CG216-CH216)&gt;0,CG216-CH216,0)</f>
        <v>152.01436781609189</v>
      </c>
      <c r="CJ216" s="218">
        <f>IF((CH216-CG216)&gt;0,CH216-CG216,0)</f>
        <v>0</v>
      </c>
      <c r="CL216" s="303" t="s">
        <v>356</v>
      </c>
      <c r="CM216" s="304" t="s">
        <v>438</v>
      </c>
      <c r="CN216" s="305" t="s">
        <v>132</v>
      </c>
      <c r="CO216" s="317"/>
      <c r="CP216" s="254">
        <f>Konvention_1slave-KLslave</f>
        <v>12</v>
      </c>
      <c r="CQ216" s="254"/>
      <c r="CR216" s="254">
        <f>Konvention_1slave-CHslave</f>
        <v>12</v>
      </c>
      <c r="CS216" s="254"/>
      <c r="CT216" s="254"/>
      <c r="CU216" s="254"/>
      <c r="CV216" s="318">
        <f>Konvention_1slave-KKslave</f>
        <v>12</v>
      </c>
      <c r="CW216" s="223">
        <f>(CO216+CP216+CQ216+CR216+CS216+CT216+CU216+CV216)/3</f>
        <v>12</v>
      </c>
      <c r="CX216" s="223">
        <f>2*CW216</f>
        <v>24</v>
      </c>
      <c r="CY216" s="224">
        <f>3*CW216</f>
        <v>36</v>
      </c>
      <c r="CZ216" s="237">
        <f t="shared" si="1601"/>
        <v>2304</v>
      </c>
      <c r="DA216" s="254">
        <f>CP216*CR216*KKslave+CP216*CHslave*CV216+KLslave*CR216*CV216</f>
        <v>3456</v>
      </c>
      <c r="DB216" s="224">
        <f>IFERROR(CO216^SIGN(CO216),1)*IFERROR(CP216^SIGN(CP216),1)*IFERROR(CQ216^SIGN(CQ216),1)*IFERROR(CR216^SIGN(CR216),1)*IFERROR(CS216^SIGN(CS216),1)*IFERROR(CT216^SIGN(CT216),1)*IFERROR(CU216^SIGN(CU216),1)*IFERROR(CV216^SIGN(CV216),1)</f>
        <v>1728</v>
      </c>
      <c r="DC216" s="224">
        <f>SUM(CZ216:DB216)</f>
        <v>7488</v>
      </c>
      <c r="DD216" s="222">
        <f>CW216*CZ216/DC216</f>
        <v>3.6923076923076925</v>
      </c>
      <c r="DE216" s="223">
        <f>CX216*DA216/DC216</f>
        <v>11.076923076923077</v>
      </c>
      <c r="DF216" s="243">
        <f>CY216*DB216/DC216</f>
        <v>8.3076923076923084</v>
      </c>
      <c r="DG216" s="243">
        <f>SUM(DD216:DF216)</f>
        <v>23.07692307692308</v>
      </c>
      <c r="DH216" s="252">
        <f t="shared" si="1602"/>
        <v>0</v>
      </c>
      <c r="DI216" s="309">
        <f>DG216-DH216</f>
        <v>23.07692307692308</v>
      </c>
      <c r="DJ216" s="218">
        <f t="shared" ref="DJ216:DK218" si="1623">IF(DG216&lt;=0,2,0)+IF(DG216&gt;0,DG216+1,0)*2+IF(DG216&gt;12,DG216-12,0)*2+IF(DG216&gt;13,DG216-13,0)*2+IF(DG216&gt;14,DG216-14,0)*2+IF(DG216&gt;15,DG216-15,0)*2+IF(DG216&gt;16,DG216-16,0)*2+IF(DG216&gt;17,DG216-17,0)*2+IF(DG216&gt;18,DG216-18,0)*2+IF(DG216&gt;19,DG216-19,0)*2+IF(DG216&gt;20,DG216-20,0)*2</f>
        <v>175.5384615384616</v>
      </c>
      <c r="DK216" s="242">
        <f t="shared" si="1623"/>
        <v>2</v>
      </c>
      <c r="DL216" s="243">
        <f>IF((DJ216-DK216)&gt;0,DJ216-DK216,0)</f>
        <v>173.5384615384616</v>
      </c>
      <c r="DM216" s="218">
        <f>IF((DK216-DJ216)&gt;0,DK216-DJ216,0)</f>
        <v>0</v>
      </c>
      <c r="DO216" s="303" t="s">
        <v>356</v>
      </c>
      <c r="DP216" s="304" t="s">
        <v>438</v>
      </c>
      <c r="DQ216" s="305" t="s">
        <v>132</v>
      </c>
      <c r="DR216" s="317"/>
      <c r="DS216" s="254">
        <f>Konvention_1slave-KLslave</f>
        <v>12</v>
      </c>
      <c r="DT216" s="254"/>
      <c r="DU216" s="254">
        <f>Konvention_1slave-CHslave_CH</f>
        <v>11</v>
      </c>
      <c r="DV216" s="254"/>
      <c r="DW216" s="254"/>
      <c r="DX216" s="254"/>
      <c r="DY216" s="318">
        <f>Konvention_1slave-KKslave</f>
        <v>12</v>
      </c>
      <c r="DZ216" s="223">
        <f>(DR216+DS216+DT216+DU216+DV216+DW216+DX216+DY216)/3</f>
        <v>11.666666666666666</v>
      </c>
      <c r="EA216" s="223">
        <f>2*DZ216</f>
        <v>23.333333333333332</v>
      </c>
      <c r="EB216" s="224">
        <f>3*DZ216</f>
        <v>35</v>
      </c>
      <c r="EC216" s="237">
        <f t="shared" si="1603"/>
        <v>2432</v>
      </c>
      <c r="ED216" s="254">
        <f>DS216*DU216*KKslave+DS216*CHslave_CH*DY216+KLslave*DU216*DY216</f>
        <v>3408</v>
      </c>
      <c r="EE216" s="224">
        <f>IFERROR(DR216^SIGN(DR216),1)*IFERROR(DS216^SIGN(DS216),1)*IFERROR(DT216^SIGN(DT216),1)*IFERROR(DU216^SIGN(DU216),1)*IFERROR(DV216^SIGN(DV216),1)*IFERROR(DW216^SIGN(DW216),1)*IFERROR(DX216^SIGN(DX216),1)*IFERROR(DY216^SIGN(DY216),1)</f>
        <v>1584</v>
      </c>
      <c r="EF216" s="224">
        <f>SUM(EC216:EE216)</f>
        <v>7424</v>
      </c>
      <c r="EG216" s="222">
        <f>DZ216*EC216/EF216</f>
        <v>3.8218390804597702</v>
      </c>
      <c r="EH216" s="223">
        <f>EA216*ED216/EF216</f>
        <v>10.711206896551724</v>
      </c>
      <c r="EI216" s="243">
        <f>EB216*EE216/EF216</f>
        <v>7.4676724137931032</v>
      </c>
      <c r="EJ216" s="243">
        <f>SUM(EG216:EI216)</f>
        <v>22.000718390804597</v>
      </c>
      <c r="EK216" s="252">
        <f t="shared" si="1604"/>
        <v>0</v>
      </c>
      <c r="EL216" s="309">
        <f>EJ216-EK216</f>
        <v>22.000718390804597</v>
      </c>
      <c r="EM216" s="218">
        <f t="shared" ref="EM216:EN218" si="1624">IF(EJ216&lt;=0,2,0)+IF(EJ216&gt;0,EJ216+1,0)*2+IF(EJ216&gt;12,EJ216-12,0)*2+IF(EJ216&gt;13,EJ216-13,0)*2+IF(EJ216&gt;14,EJ216-14,0)*2+IF(EJ216&gt;15,EJ216-15,0)*2+IF(EJ216&gt;16,EJ216-16,0)*2+IF(EJ216&gt;17,EJ216-17,0)*2+IF(EJ216&gt;18,EJ216-18,0)*2+IF(EJ216&gt;19,EJ216-19,0)*2+IF(EJ216&gt;20,EJ216-20,0)*2</f>
        <v>154.01436781609189</v>
      </c>
      <c r="EN216" s="242">
        <f t="shared" si="1624"/>
        <v>2</v>
      </c>
      <c r="EO216" s="243">
        <f>IF((EM216-EN216)&gt;0,EM216-EN216,0)</f>
        <v>152.01436781609189</v>
      </c>
      <c r="EP216" s="218">
        <f>IF((EN216-EM216)&gt;0,EN216-EM216,0)</f>
        <v>0</v>
      </c>
      <c r="ER216" s="303" t="s">
        <v>356</v>
      </c>
      <c r="ES216" s="304" t="s">
        <v>438</v>
      </c>
      <c r="ET216" s="305" t="s">
        <v>132</v>
      </c>
      <c r="EU216" s="317"/>
      <c r="EV216" s="254">
        <f>Konvention_1slave-KLslave</f>
        <v>12</v>
      </c>
      <c r="EW216" s="254"/>
      <c r="EX216" s="254">
        <f>Konvention_1slave-CHslave</f>
        <v>12</v>
      </c>
      <c r="EY216" s="254"/>
      <c r="EZ216" s="254"/>
      <c r="FA216" s="254"/>
      <c r="FB216" s="318">
        <f>Konvention_1slave-KKslave</f>
        <v>12</v>
      </c>
      <c r="FC216" s="223">
        <f>(EU216+EV216+EW216+EX216+EY216+EZ216+FA216+FB216)/3</f>
        <v>12</v>
      </c>
      <c r="FD216" s="223">
        <f>2*FC216</f>
        <v>24</v>
      </c>
      <c r="FE216" s="224">
        <f>3*FC216</f>
        <v>36</v>
      </c>
      <c r="FF216" s="237">
        <f t="shared" si="1605"/>
        <v>2304</v>
      </c>
      <c r="FG216" s="254">
        <f>EV216*EX216*KKslave+EV216*CHslave*FB216+KLslave*EX216*FB216</f>
        <v>3456</v>
      </c>
      <c r="FH216" s="224">
        <f>IFERROR(EU216^SIGN(EU216),1)*IFERROR(EV216^SIGN(EV216),1)*IFERROR(EW216^SIGN(EW216),1)*IFERROR(EX216^SIGN(EX216),1)*IFERROR(EY216^SIGN(EY216),1)*IFERROR(EZ216^SIGN(EZ216),1)*IFERROR(FA216^SIGN(FA216),1)*IFERROR(FB216^SIGN(FB216),1)</f>
        <v>1728</v>
      </c>
      <c r="FI216" s="224">
        <f>SUM(FF216:FH216)</f>
        <v>7488</v>
      </c>
      <c r="FJ216" s="222">
        <f>FC216*FF216/FI216</f>
        <v>3.6923076923076925</v>
      </c>
      <c r="FK216" s="223">
        <f>FD216*FG216/FI216</f>
        <v>11.076923076923077</v>
      </c>
      <c r="FL216" s="243">
        <f>FE216*FH216/FI216</f>
        <v>8.3076923076923084</v>
      </c>
      <c r="FM216" s="243">
        <f>SUM(FJ216:FL216)</f>
        <v>23.07692307692308</v>
      </c>
      <c r="FN216" s="252">
        <f t="shared" si="1606"/>
        <v>0</v>
      </c>
      <c r="FO216" s="309">
        <f>FM216-FN216</f>
        <v>23.07692307692308</v>
      </c>
      <c r="FP216" s="218">
        <f t="shared" ref="FP216:FQ218" si="1625">IF(FM216&lt;=0,2,0)+IF(FM216&gt;0,FM216+1,0)*2+IF(FM216&gt;12,FM216-12,0)*2+IF(FM216&gt;13,FM216-13,0)*2+IF(FM216&gt;14,FM216-14,0)*2+IF(FM216&gt;15,FM216-15,0)*2+IF(FM216&gt;16,FM216-16,0)*2+IF(FM216&gt;17,FM216-17,0)*2+IF(FM216&gt;18,FM216-18,0)*2+IF(FM216&gt;19,FM216-19,0)*2+IF(FM216&gt;20,FM216-20,0)*2</f>
        <v>175.5384615384616</v>
      </c>
      <c r="FQ216" s="242">
        <f t="shared" si="1625"/>
        <v>2</v>
      </c>
      <c r="FR216" s="243">
        <f>IF((FP216-FQ216)&gt;0,FP216-FQ216,0)</f>
        <v>173.5384615384616</v>
      </c>
      <c r="FS216" s="218">
        <f>IF((FQ216-FP216)&gt;0,FQ216-FP216,0)</f>
        <v>0</v>
      </c>
      <c r="FU216" s="303" t="s">
        <v>356</v>
      </c>
      <c r="FV216" s="304" t="s">
        <v>438</v>
      </c>
      <c r="FW216" s="305" t="s">
        <v>132</v>
      </c>
      <c r="FX216" s="317"/>
      <c r="FY216" s="254">
        <f>Konvention_1slave-KLslave</f>
        <v>12</v>
      </c>
      <c r="FZ216" s="254"/>
      <c r="GA216" s="254">
        <f>Konvention_1slave-CHslave</f>
        <v>12</v>
      </c>
      <c r="GB216" s="254"/>
      <c r="GC216" s="254"/>
      <c r="GD216" s="254"/>
      <c r="GE216" s="318">
        <f>Konvention_1slave-KKslave</f>
        <v>12</v>
      </c>
      <c r="GF216" s="223">
        <f>(FX216+FY216+FZ216+GA216+GB216+GC216+GD216+GE216)/3</f>
        <v>12</v>
      </c>
      <c r="GG216" s="223">
        <f>2*GF216</f>
        <v>24</v>
      </c>
      <c r="GH216" s="224">
        <f>3*GF216</f>
        <v>36</v>
      </c>
      <c r="GI216" s="237">
        <f t="shared" si="1607"/>
        <v>2304</v>
      </c>
      <c r="GJ216" s="254">
        <f>FY216*GA216*KKslave+FY216*CHslave*GE216+KLslave*GA216*GE216</f>
        <v>3456</v>
      </c>
      <c r="GK216" s="224">
        <f>IFERROR(FX216^SIGN(FX216),1)*IFERROR(FY216^SIGN(FY216),1)*IFERROR(FZ216^SIGN(FZ216),1)*IFERROR(GA216^SIGN(GA216),1)*IFERROR(GB216^SIGN(GB216),1)*IFERROR(GC216^SIGN(GC216),1)*IFERROR(GD216^SIGN(GD216),1)*IFERROR(GE216^SIGN(GE216),1)</f>
        <v>1728</v>
      </c>
      <c r="GL216" s="224">
        <f>SUM(GI216:GK216)</f>
        <v>7488</v>
      </c>
      <c r="GM216" s="222">
        <f>GF216*GI216/GL216</f>
        <v>3.6923076923076925</v>
      </c>
      <c r="GN216" s="223">
        <f>GG216*GJ216/GL216</f>
        <v>11.076923076923077</v>
      </c>
      <c r="GO216" s="243">
        <f>GH216*GK216/GL216</f>
        <v>8.3076923076923084</v>
      </c>
      <c r="GP216" s="243">
        <f>SUM(GM216:GO216)</f>
        <v>23.07692307692308</v>
      </c>
      <c r="GQ216" s="252">
        <f t="shared" si="1608"/>
        <v>0</v>
      </c>
      <c r="GR216" s="309">
        <f>GP216-GQ216</f>
        <v>23.07692307692308</v>
      </c>
      <c r="GS216" s="218">
        <f t="shared" ref="GS216:GT218" si="1626">IF(GP216&lt;=0,2,0)+IF(GP216&gt;0,GP216+1,0)*2+IF(GP216&gt;12,GP216-12,0)*2+IF(GP216&gt;13,GP216-13,0)*2+IF(GP216&gt;14,GP216-14,0)*2+IF(GP216&gt;15,GP216-15,0)*2+IF(GP216&gt;16,GP216-16,0)*2+IF(GP216&gt;17,GP216-17,0)*2+IF(GP216&gt;18,GP216-18,0)*2+IF(GP216&gt;19,GP216-19,0)*2+IF(GP216&gt;20,GP216-20,0)*2</f>
        <v>175.5384615384616</v>
      </c>
      <c r="GT216" s="242">
        <f t="shared" si="1626"/>
        <v>2</v>
      </c>
      <c r="GU216" s="243">
        <f>IF((GS216-GT216)&gt;0,GS216-GT216,0)</f>
        <v>173.5384615384616</v>
      </c>
      <c r="GV216" s="218">
        <f>IF((GT216-GS216)&gt;0,GT216-GS216,0)</f>
        <v>0</v>
      </c>
      <c r="GX216" s="303" t="s">
        <v>356</v>
      </c>
      <c r="GY216" s="304" t="s">
        <v>438</v>
      </c>
      <c r="GZ216" s="305" t="s">
        <v>132</v>
      </c>
      <c r="HA216" s="317"/>
      <c r="HB216" s="254">
        <f>Konvention_1slave-KLslave</f>
        <v>12</v>
      </c>
      <c r="HC216" s="254"/>
      <c r="HD216" s="254">
        <f>Konvention_1slave-CHslave</f>
        <v>12</v>
      </c>
      <c r="HE216" s="254"/>
      <c r="HF216" s="254"/>
      <c r="HG216" s="254"/>
      <c r="HH216" s="318">
        <f>Konvention_1slave-KKslave</f>
        <v>12</v>
      </c>
      <c r="HI216" s="223">
        <f>(HA216+HB216+HC216+HD216+HE216+HF216+HG216+HH216)/3</f>
        <v>12</v>
      </c>
      <c r="HJ216" s="223">
        <f>2*HI216</f>
        <v>24</v>
      </c>
      <c r="HK216" s="224">
        <f>3*HI216</f>
        <v>36</v>
      </c>
      <c r="HL216" s="237">
        <f t="shared" si="1609"/>
        <v>2304</v>
      </c>
      <c r="HM216" s="254">
        <f>HB216*HD216*KKslave+HB216*CHslave*HH216+KLslave*HD216*HH216</f>
        <v>3456</v>
      </c>
      <c r="HN216" s="224">
        <f>IFERROR(HA216^SIGN(HA216),1)*IFERROR(HB216^SIGN(HB216),1)*IFERROR(HC216^SIGN(HC216),1)*IFERROR(HD216^SIGN(HD216),1)*IFERROR(HE216^SIGN(HE216),1)*IFERROR(HF216^SIGN(HF216),1)*IFERROR(HG216^SIGN(HG216),1)*IFERROR(HH216^SIGN(HH216),1)</f>
        <v>1728</v>
      </c>
      <c r="HO216" s="224">
        <f>SUM(HL216:HN216)</f>
        <v>7488</v>
      </c>
      <c r="HP216" s="222">
        <f>HI216*HL216/HO216</f>
        <v>3.6923076923076925</v>
      </c>
      <c r="HQ216" s="223">
        <f>HJ216*HM216/HO216</f>
        <v>11.076923076923077</v>
      </c>
      <c r="HR216" s="243">
        <f>HK216*HN216/HO216</f>
        <v>8.3076923076923084</v>
      </c>
      <c r="HS216" s="243">
        <f>SUM(HP216:HR216)</f>
        <v>23.07692307692308</v>
      </c>
      <c r="HT216" s="252">
        <f t="shared" si="1610"/>
        <v>0</v>
      </c>
      <c r="HU216" s="309">
        <f>HS216-HT216</f>
        <v>23.07692307692308</v>
      </c>
      <c r="HV216" s="218">
        <f t="shared" ref="HV216:HW218" si="1627">IF(HS216&lt;=0,2,0)+IF(HS216&gt;0,HS216+1,0)*2+IF(HS216&gt;12,HS216-12,0)*2+IF(HS216&gt;13,HS216-13,0)*2+IF(HS216&gt;14,HS216-14,0)*2+IF(HS216&gt;15,HS216-15,0)*2+IF(HS216&gt;16,HS216-16,0)*2+IF(HS216&gt;17,HS216-17,0)*2+IF(HS216&gt;18,HS216-18,0)*2+IF(HS216&gt;19,HS216-19,0)*2+IF(HS216&gt;20,HS216-20,0)*2</f>
        <v>175.5384615384616</v>
      </c>
      <c r="HW216" s="242">
        <f t="shared" si="1627"/>
        <v>2</v>
      </c>
      <c r="HX216" s="243">
        <f>IF((HV216-HW216)&gt;0,HV216-HW216,0)</f>
        <v>173.5384615384616</v>
      </c>
      <c r="HY216" s="218">
        <f>IF((HW216-HV216)&gt;0,HW216-HV216,0)</f>
        <v>0</v>
      </c>
      <c r="IA216" s="303" t="s">
        <v>356</v>
      </c>
      <c r="IB216" s="304" t="s">
        <v>438</v>
      </c>
      <c r="IC216" s="305" t="s">
        <v>132</v>
      </c>
      <c r="ID216" s="317"/>
      <c r="IE216" s="254">
        <f>Konvention_1slave-KLslave</f>
        <v>12</v>
      </c>
      <c r="IF216" s="254"/>
      <c r="IG216" s="254">
        <f>Konvention_1slave-CHslave</f>
        <v>12</v>
      </c>
      <c r="IH216" s="254"/>
      <c r="II216" s="254"/>
      <c r="IJ216" s="254"/>
      <c r="IK216" s="318">
        <f>Konvention_1slave-KKslave_KK</f>
        <v>11</v>
      </c>
      <c r="IL216" s="223">
        <f>(ID216+IE216+IF216+IG216+IH216+II216+IJ216+IK216)/3</f>
        <v>11.666666666666666</v>
      </c>
      <c r="IM216" s="223">
        <f>2*IL216</f>
        <v>23.333333333333332</v>
      </c>
      <c r="IN216" s="224">
        <f>3*IL216</f>
        <v>35</v>
      </c>
      <c r="IO216" s="237">
        <f t="shared" si="1611"/>
        <v>2432</v>
      </c>
      <c r="IP216" s="254">
        <f>IE216*IG216*KKslave_KK+IE216*CHslave*IK216+KLslave*IG216*IK216</f>
        <v>3408</v>
      </c>
      <c r="IQ216" s="224">
        <f>IFERROR(ID216^SIGN(ID216),1)*IFERROR(IE216^SIGN(IE216),1)*IFERROR(IF216^SIGN(IF216),1)*IFERROR(IG216^SIGN(IG216),1)*IFERROR(IH216^SIGN(IH216),1)*IFERROR(II216^SIGN(II216),1)*IFERROR(IJ216^SIGN(IJ216),1)*IFERROR(IK216^SIGN(IK216),1)</f>
        <v>1584</v>
      </c>
      <c r="IR216" s="224">
        <f>SUM(IO216:IQ216)</f>
        <v>7424</v>
      </c>
      <c r="IS216" s="222">
        <f>IL216*IO216/IR216</f>
        <v>3.8218390804597702</v>
      </c>
      <c r="IT216" s="223">
        <f>IM216*IP216/IR216</f>
        <v>10.711206896551724</v>
      </c>
      <c r="IU216" s="243">
        <f>IN216*IQ216/IR216</f>
        <v>7.4676724137931032</v>
      </c>
      <c r="IV216" s="243">
        <f>SUM(IS216:IU216)</f>
        <v>22.000718390804597</v>
      </c>
      <c r="IW216" s="252">
        <f t="shared" si="1612"/>
        <v>0</v>
      </c>
      <c r="IX216" s="309">
        <f>IV216-IW216</f>
        <v>22.000718390804597</v>
      </c>
      <c r="IY216" s="218">
        <f t="shared" ref="IY216:IZ218" si="1628">IF(IV216&lt;=0,2,0)+IF(IV216&gt;0,IV216+1,0)*2+IF(IV216&gt;12,IV216-12,0)*2+IF(IV216&gt;13,IV216-13,0)*2+IF(IV216&gt;14,IV216-14,0)*2+IF(IV216&gt;15,IV216-15,0)*2+IF(IV216&gt;16,IV216-16,0)*2+IF(IV216&gt;17,IV216-17,0)*2+IF(IV216&gt;18,IV216-18,0)*2+IF(IV216&gt;19,IV216-19,0)*2+IF(IV216&gt;20,IV216-20,0)*2</f>
        <v>154.01436781609189</v>
      </c>
      <c r="IZ216" s="242">
        <f t="shared" si="1628"/>
        <v>2</v>
      </c>
      <c r="JA216" s="243">
        <f>IF((IY216-IZ216)&gt;0,IY216-IZ216,0)</f>
        <v>152.01436781609189</v>
      </c>
      <c r="JB216" s="218">
        <f>IF((IZ216-IY216)&gt;0,IZ216-IY216,0)</f>
        <v>0</v>
      </c>
      <c r="JE216" s="148"/>
    </row>
    <row r="217" spans="2:265" hidden="1" outlineLevel="2">
      <c r="B217" s="148">
        <v>5</v>
      </c>
      <c r="C217" s="303" t="e">
        <f>VLOOKUP(AF217,Attribute!C:T,1,FALSE)</f>
        <v>#N/A</v>
      </c>
      <c r="D217" s="86" t="s">
        <v>170</v>
      </c>
      <c r="E217" s="167" t="s">
        <v>132</v>
      </c>
      <c r="F217" s="120"/>
      <c r="G217" s="117">
        <f>Konvention_1master-KLmaster</f>
        <v>12</v>
      </c>
      <c r="H217" s="117">
        <f>Konvention_1master-INmaster</f>
        <v>12</v>
      </c>
      <c r="I217" s="117"/>
      <c r="J217" s="117">
        <f>Konvention_1master-FFmaster</f>
        <v>12</v>
      </c>
      <c r="K217" s="117"/>
      <c r="L217" s="117"/>
      <c r="M217" s="121"/>
      <c r="N217" s="223">
        <f t="shared" ref="N217:N248" si="1629">(F217+G217+H217+I217+J217+K217+L217+M217)/3</f>
        <v>12</v>
      </c>
      <c r="O217" s="223">
        <f t="shared" ref="O217:O257" si="1630">2*N217</f>
        <v>24</v>
      </c>
      <c r="P217" s="224">
        <f t="shared" ref="P217:P257" si="1631">3*N217</f>
        <v>36</v>
      </c>
      <c r="Q217" s="237">
        <f t="shared" ref="Q217:Q248" si="1632">F217*POWER(KLmaster,SIGN(G217))*POWER(INmaster,SIGN(H217))*POWER(CHmaster,SIGN(I217))*POWER(FFmaster,SIGN(J217))*POWER(GEmaster,SIGN(K217))*POWER(KOmaster,SIGN(L217))*POWER(KKmaster,SIGN(M217))+G217*POWER(MUmaster,SIGN(F217))*POWER(INmaster,SIGN(H217))*POWER(CHmaster,SIGN(I217))*POWER(FFmaster,SIGN(J217))*POWER(GEmaster,SIGN(K217))*POWER(KOmaster,SIGN(L217))*POWER(KKmaster,SIGN(M217))+H217*POWER(MUmaster,SIGN(F217))*POWER(KLmaster,SIGN(G217))*POWER(CHmaster,SIGN(I217))*POWER(FFmaster,SIGN(J217))*POWER(GEmaster,SIGN(K217))*POWER(KOmaster,SIGN(L217))*POWER(KKmaster,SIGN(M217))+I217*POWER(MUmaster,SIGN(F217))*POWER(KLmaster,SIGN(G217))*POWER(INmaster,SIGN(H217))*POWER(FFmaster,SIGN(J217))*POWER(GEmaster,SIGN(K217))*POWER(KOmaster,SIGN(L217))*POWER(KKmaster,SIGN(M217))+J217*POWER(MUmaster,SIGN(F217))*POWER(KLmaster,SIGN(G217))*POWER(INmaster,SIGN(H217))*POWER(CHmaster,SIGN(I217))*POWER(GEmaster,SIGN(K217))*POWER(KOmaster,SIGN(L217))*POWER(KKmaster,SIGN(M217))+K217*POWER(MUmaster,SIGN(F217))*POWER(KLmaster,SIGN(G217))*POWER(INmaster,SIGN(H217))*POWER(CHmaster,SIGN(I217))*POWER(FFmaster,SIGN(J217))*POWER(KOmaster,SIGN(L217))*POWER(KKmaster,SIGN(M217))+L217*POWER(MUmaster,SIGN(F217))*POWER(KLmaster,SIGN(G217))*POWER(INmaster,SIGN(H217))*POWER(CHmaster,SIGN(I217))*POWER(FFmaster,SIGN(J217))*POWER(GEmaster,SIGN(K217))*POWER(KKmaster,SIGN(M217))+M217*POWER(MUmaster,SIGN(F217))*POWER(KLmaster,SIGN(G217))*POWER(INmaster,SIGN(H217))*POWER(CHmaster,SIGN(I217))*POWER(FFmaster,SIGN(J217))*POWER(GEmaster,SIGN(K217))*POWER(KOmaster,SIGN(L217))</f>
        <v>2304</v>
      </c>
      <c r="R217" s="117">
        <f>G217*H217*FFmaster+G217*INmaster*J217+KLmaster*H217*J217</f>
        <v>3456</v>
      </c>
      <c r="S217" s="224">
        <f t="shared" ref="S217:S248" si="1633">IFERROR(F217^SIGN(F217),1)*IFERROR(G217^SIGN(G217),1)*IFERROR(H217^SIGN(H217),1)*IFERROR(I217^SIGN(I217),1)*IFERROR(J217^SIGN(J217),1)*IFERROR(K217^SIGN(K217),1)*IFERROR(L217^SIGN(L217),1)*IFERROR(M217^SIGN(M217),1)</f>
        <v>1728</v>
      </c>
      <c r="T217" s="224">
        <f t="shared" ref="T217:T224" si="1634">SUM(Q217:S217)</f>
        <v>7488</v>
      </c>
      <c r="U217" s="222">
        <f t="shared" ref="U217:U257" si="1635">N217*Q217/T217</f>
        <v>3.6923076923076925</v>
      </c>
      <c r="V217" s="223">
        <f t="shared" ref="V217:V257" si="1636">O217*R217/T217</f>
        <v>11.076923076923077</v>
      </c>
      <c r="W217" s="243">
        <f t="shared" ref="W217:W257" si="1637">P217*S217/T217</f>
        <v>8.3076923076923084</v>
      </c>
      <c r="X217" s="243">
        <f t="shared" ref="X217:X257" si="1638">SUM(U217:W217)</f>
        <v>23.07692307692308</v>
      </c>
      <c r="Y217" s="252">
        <v>0</v>
      </c>
      <c r="Z217" s="198">
        <f t="shared" ref="Z217:Z257" si="1639">X217-Y217</f>
        <v>23.07692307692308</v>
      </c>
      <c r="AA217" s="125">
        <f t="shared" si="1620"/>
        <v>175.5384615384616</v>
      </c>
      <c r="AB217" s="160">
        <f t="shared" si="1620"/>
        <v>2</v>
      </c>
      <c r="AC217" s="127">
        <f t="shared" ref="AC217:AC257" si="1640">IF((AA217-AB217)&gt;0,AA217-AB217,0)</f>
        <v>173.5384615384616</v>
      </c>
      <c r="AD217" s="125">
        <f t="shared" ref="AD217:AD257" si="1641">IF((AB217-AA217)&gt;0,AB217-AA217,0)</f>
        <v>0</v>
      </c>
      <c r="AF217" s="163" t="s">
        <v>160</v>
      </c>
      <c r="AG217" s="86" t="s">
        <v>170</v>
      </c>
      <c r="AH217" s="167" t="s">
        <v>132</v>
      </c>
      <c r="AI217" s="120"/>
      <c r="AJ217" s="117">
        <f>Konvention_1slave-KLslave</f>
        <v>12</v>
      </c>
      <c r="AK217" s="117">
        <f t="shared" si="1613"/>
        <v>12</v>
      </c>
      <c r="AL217" s="117"/>
      <c r="AM217" s="117">
        <f>Konvention_1slave-FFslave</f>
        <v>12</v>
      </c>
      <c r="AN217" s="117"/>
      <c r="AO217" s="117"/>
      <c r="AP217" s="121"/>
      <c r="AQ217" s="47">
        <f t="shared" ref="AQ217:AQ248" si="1642">(AI217+AJ217+AK217+AL217+AM217+AN217+AO217+AP217)/3</f>
        <v>12</v>
      </c>
      <c r="AR217" s="3">
        <f t="shared" ref="AR217:AR257" si="1643">2*AQ217</f>
        <v>24</v>
      </c>
      <c r="AS217" s="174">
        <f t="shared" ref="AS217:AS257" si="1644">3*AQ217</f>
        <v>36</v>
      </c>
      <c r="AT217" s="114">
        <f t="shared" si="1597"/>
        <v>2304</v>
      </c>
      <c r="AU217" s="117">
        <f>AJ217*AK217*FFslave+AJ217*INslave*AM217+KLslave*AK217*AM217</f>
        <v>3456</v>
      </c>
      <c r="AV217" s="119">
        <f t="shared" ref="AV217:AV248" si="1645">IFERROR(AI217^SIGN(AI217),1)*IFERROR(AJ217^SIGN(AJ217),1)*IFERROR(AK217^SIGN(AK217),1)*IFERROR(AL217^SIGN(AL217),1)*IFERROR(AM217^SIGN(AM217),1)*IFERROR(AN217^SIGN(AN217),1)*IFERROR(AO217^SIGN(AO217),1)*IFERROR(AP217^SIGN(AP217),1)</f>
        <v>1728</v>
      </c>
      <c r="AW217" s="119">
        <f t="shared" ref="AW217:AW248" si="1646">SUM(AT217:AV217)</f>
        <v>7488</v>
      </c>
      <c r="AX217" s="89">
        <f t="shared" ref="AX217:AX257" si="1647">AQ217*AT217/AW217</f>
        <v>3.6923076923076925</v>
      </c>
      <c r="AY217" s="47">
        <f t="shared" ref="AY217:AY257" si="1648">AR217*AU217/AW217</f>
        <v>11.076923076923077</v>
      </c>
      <c r="AZ217" s="127">
        <f t="shared" ref="AZ217:AZ257" si="1649">AS217*AV217/AW217</f>
        <v>8.3076923076923084</v>
      </c>
      <c r="BA217" s="127">
        <f t="shared" ref="BA217:BA257" si="1650">SUM(AX217:AZ217)</f>
        <v>23.07692307692308</v>
      </c>
      <c r="BB217" s="165">
        <f t="shared" si="1598"/>
        <v>0</v>
      </c>
      <c r="BC217" s="198">
        <f t="shared" ref="BC217:BC257" si="1651">BA217-BB217</f>
        <v>23.07692307692308</v>
      </c>
      <c r="BD217" s="125">
        <f t="shared" si="1621"/>
        <v>175.5384615384616</v>
      </c>
      <c r="BE217" s="160">
        <f t="shared" si="1621"/>
        <v>2</v>
      </c>
      <c r="BF217" s="243">
        <f t="shared" ref="BF217:BF257" si="1652">IF((BD217-BE217)&gt;0,BD217-BE217,0)</f>
        <v>173.5384615384616</v>
      </c>
      <c r="BG217" s="218">
        <f t="shared" ref="BG217:BG257" si="1653">IF((BE217-BD217)&gt;0,BE217-BD217,0)</f>
        <v>0</v>
      </c>
      <c r="BI217" s="303" t="s">
        <v>160</v>
      </c>
      <c r="BJ217" s="304" t="s">
        <v>170</v>
      </c>
      <c r="BK217" s="305" t="s">
        <v>132</v>
      </c>
      <c r="BL217" s="317"/>
      <c r="BM217" s="254">
        <f>Konvention_1slave-KLslave_KL</f>
        <v>11</v>
      </c>
      <c r="BN217" s="254">
        <f t="shared" si="1614"/>
        <v>12</v>
      </c>
      <c r="BO217" s="254"/>
      <c r="BP217" s="254">
        <f>Konvention_1slave-FFslave</f>
        <v>12</v>
      </c>
      <c r="BQ217" s="254"/>
      <c r="BR217" s="254"/>
      <c r="BS217" s="318"/>
      <c r="BT217" s="223">
        <f t="shared" ref="BT217:BT248" si="1654">(BL217+BM217+BN217+BO217+BP217+BQ217+BR217+BS217)/3</f>
        <v>11.666666666666666</v>
      </c>
      <c r="BU217" s="223">
        <f t="shared" ref="BU217:BU257" si="1655">2*BT217</f>
        <v>23.333333333333332</v>
      </c>
      <c r="BV217" s="224">
        <f t="shared" ref="BV217:BV257" si="1656">3*BT217</f>
        <v>35</v>
      </c>
      <c r="BW217" s="237">
        <f t="shared" si="1599"/>
        <v>2432</v>
      </c>
      <c r="BX217" s="254">
        <f>BM217*BN217*FFslave+BM217*INslave*BP217+KLslave_KL*BN217*BP217</f>
        <v>3408</v>
      </c>
      <c r="BY217" s="224">
        <f t="shared" ref="BY217:BY248" si="1657">IFERROR(BL217^SIGN(BL217),1)*IFERROR(BM217^SIGN(BM217),1)*IFERROR(BN217^SIGN(BN217),1)*IFERROR(BO217^SIGN(BO217),1)*IFERROR(BP217^SIGN(BP217),1)*IFERROR(BQ217^SIGN(BQ217),1)*IFERROR(BR217^SIGN(BR217),1)*IFERROR(BS217^SIGN(BS217),1)</f>
        <v>1584</v>
      </c>
      <c r="BZ217" s="224">
        <f t="shared" ref="BZ217:BZ248" si="1658">SUM(BW217:BY217)</f>
        <v>7424</v>
      </c>
      <c r="CA217" s="222">
        <f t="shared" ref="CA217:CA257" si="1659">BT217*BW217/BZ217</f>
        <v>3.8218390804597702</v>
      </c>
      <c r="CB217" s="223">
        <f t="shared" ref="CB217:CB257" si="1660">BU217*BX217/BZ217</f>
        <v>10.711206896551724</v>
      </c>
      <c r="CC217" s="243">
        <f t="shared" ref="CC217:CC257" si="1661">BV217*BY217/BZ217</f>
        <v>7.4676724137931032</v>
      </c>
      <c r="CD217" s="243">
        <f t="shared" ref="CD217:CD257" si="1662">SUM(CA217:CC217)</f>
        <v>22.000718390804597</v>
      </c>
      <c r="CE217" s="252">
        <f t="shared" si="1600"/>
        <v>0</v>
      </c>
      <c r="CF217" s="309">
        <f t="shared" ref="CF217:CF257" si="1663">CD217-CE217</f>
        <v>22.000718390804597</v>
      </c>
      <c r="CG217" s="218">
        <f t="shared" si="1622"/>
        <v>154.01436781609189</v>
      </c>
      <c r="CH217" s="242">
        <f t="shared" si="1622"/>
        <v>2</v>
      </c>
      <c r="CI217" s="243">
        <f t="shared" ref="CI217:CI257" si="1664">IF((CG217-CH217)&gt;0,CG217-CH217,0)</f>
        <v>152.01436781609189</v>
      </c>
      <c r="CJ217" s="218">
        <f t="shared" ref="CJ217:CJ257" si="1665">IF((CH217-CG217)&gt;0,CH217-CG217,0)</f>
        <v>0</v>
      </c>
      <c r="CL217" s="303" t="s">
        <v>160</v>
      </c>
      <c r="CM217" s="304" t="s">
        <v>170</v>
      </c>
      <c r="CN217" s="305" t="s">
        <v>132</v>
      </c>
      <c r="CO217" s="317"/>
      <c r="CP217" s="254">
        <f>Konvention_1slave-KLslave</f>
        <v>12</v>
      </c>
      <c r="CQ217" s="254">
        <f>Konvention_1slave-INslave_IN</f>
        <v>11</v>
      </c>
      <c r="CR217" s="254"/>
      <c r="CS217" s="254">
        <f>Konvention_1slave-FFslave</f>
        <v>12</v>
      </c>
      <c r="CT217" s="254"/>
      <c r="CU217" s="254"/>
      <c r="CV217" s="318"/>
      <c r="CW217" s="223">
        <f t="shared" ref="CW217:CW248" si="1666">(CO217+CP217+CQ217+CR217+CS217+CT217+CU217+CV217)/3</f>
        <v>11.666666666666666</v>
      </c>
      <c r="CX217" s="223">
        <f t="shared" ref="CX217:CX257" si="1667">2*CW217</f>
        <v>23.333333333333332</v>
      </c>
      <c r="CY217" s="224">
        <f t="shared" ref="CY217:CY257" si="1668">3*CW217</f>
        <v>35</v>
      </c>
      <c r="CZ217" s="237">
        <f t="shared" si="1601"/>
        <v>2432</v>
      </c>
      <c r="DA217" s="254">
        <f>CP217*CQ217*FFslave+CP217*INslave_IN*CS217+KLslave*CQ217*CS217</f>
        <v>3408</v>
      </c>
      <c r="DB217" s="224">
        <f t="shared" ref="DB217:DB248" si="1669">IFERROR(CO217^SIGN(CO217),1)*IFERROR(CP217^SIGN(CP217),1)*IFERROR(CQ217^SIGN(CQ217),1)*IFERROR(CR217^SIGN(CR217),1)*IFERROR(CS217^SIGN(CS217),1)*IFERROR(CT217^SIGN(CT217),1)*IFERROR(CU217^SIGN(CU217),1)*IFERROR(CV217^SIGN(CV217),1)</f>
        <v>1584</v>
      </c>
      <c r="DC217" s="224">
        <f t="shared" ref="DC217:DC248" si="1670">SUM(CZ217:DB217)</f>
        <v>7424</v>
      </c>
      <c r="DD217" s="222">
        <f t="shared" ref="DD217:DD257" si="1671">CW217*CZ217/DC217</f>
        <v>3.8218390804597702</v>
      </c>
      <c r="DE217" s="223">
        <f t="shared" ref="DE217:DE257" si="1672">CX217*DA217/DC217</f>
        <v>10.711206896551724</v>
      </c>
      <c r="DF217" s="243">
        <f t="shared" ref="DF217:DF257" si="1673">CY217*DB217/DC217</f>
        <v>7.4676724137931032</v>
      </c>
      <c r="DG217" s="243">
        <f t="shared" ref="DG217:DG257" si="1674">SUM(DD217:DF217)</f>
        <v>22.000718390804597</v>
      </c>
      <c r="DH217" s="252">
        <f t="shared" si="1602"/>
        <v>0</v>
      </c>
      <c r="DI217" s="309">
        <f t="shared" ref="DI217:DI257" si="1675">DG217-DH217</f>
        <v>22.000718390804597</v>
      </c>
      <c r="DJ217" s="218">
        <f t="shared" si="1623"/>
        <v>154.01436781609189</v>
      </c>
      <c r="DK217" s="242">
        <f t="shared" si="1623"/>
        <v>2</v>
      </c>
      <c r="DL217" s="243">
        <f t="shared" ref="DL217:DL257" si="1676">IF((DJ217-DK217)&gt;0,DJ217-DK217,0)</f>
        <v>152.01436781609189</v>
      </c>
      <c r="DM217" s="218">
        <f t="shared" ref="DM217:DM257" si="1677">IF((DK217-DJ217)&gt;0,DK217-DJ217,0)</f>
        <v>0</v>
      </c>
      <c r="DO217" s="303" t="s">
        <v>160</v>
      </c>
      <c r="DP217" s="304" t="s">
        <v>170</v>
      </c>
      <c r="DQ217" s="305" t="s">
        <v>132</v>
      </c>
      <c r="DR217" s="317"/>
      <c r="DS217" s="254">
        <f>Konvention_1slave-KLslave</f>
        <v>12</v>
      </c>
      <c r="DT217" s="254">
        <f t="shared" si="1615"/>
        <v>12</v>
      </c>
      <c r="DU217" s="254"/>
      <c r="DV217" s="254">
        <f>Konvention_1slave-FFslave</f>
        <v>12</v>
      </c>
      <c r="DW217" s="254"/>
      <c r="DX217" s="254"/>
      <c r="DY217" s="318"/>
      <c r="DZ217" s="223">
        <f t="shared" ref="DZ217:DZ248" si="1678">(DR217+DS217+DT217+DU217+DV217+DW217+DX217+DY217)/3</f>
        <v>12</v>
      </c>
      <c r="EA217" s="223">
        <f t="shared" ref="EA217:EA257" si="1679">2*DZ217</f>
        <v>24</v>
      </c>
      <c r="EB217" s="224">
        <f t="shared" ref="EB217:EB257" si="1680">3*DZ217</f>
        <v>36</v>
      </c>
      <c r="EC217" s="237">
        <f t="shared" si="1603"/>
        <v>2304</v>
      </c>
      <c r="ED217" s="254">
        <f>DS217*DT217*FFslave+DS217*INslave*DV217+KLslave*DT217*DV217</f>
        <v>3456</v>
      </c>
      <c r="EE217" s="224">
        <f t="shared" ref="EE217:EE248" si="1681">IFERROR(DR217^SIGN(DR217),1)*IFERROR(DS217^SIGN(DS217),1)*IFERROR(DT217^SIGN(DT217),1)*IFERROR(DU217^SIGN(DU217),1)*IFERROR(DV217^SIGN(DV217),1)*IFERROR(DW217^SIGN(DW217),1)*IFERROR(DX217^SIGN(DX217),1)*IFERROR(DY217^SIGN(DY217),1)</f>
        <v>1728</v>
      </c>
      <c r="EF217" s="224">
        <f t="shared" ref="EF217:EF248" si="1682">SUM(EC217:EE217)</f>
        <v>7488</v>
      </c>
      <c r="EG217" s="222">
        <f t="shared" ref="EG217:EG257" si="1683">DZ217*EC217/EF217</f>
        <v>3.6923076923076925</v>
      </c>
      <c r="EH217" s="223">
        <f t="shared" ref="EH217:EH257" si="1684">EA217*ED217/EF217</f>
        <v>11.076923076923077</v>
      </c>
      <c r="EI217" s="243">
        <f t="shared" ref="EI217:EI257" si="1685">EB217*EE217/EF217</f>
        <v>8.3076923076923084</v>
      </c>
      <c r="EJ217" s="243">
        <f t="shared" ref="EJ217:EJ257" si="1686">SUM(EG217:EI217)</f>
        <v>23.07692307692308</v>
      </c>
      <c r="EK217" s="252">
        <f t="shared" si="1604"/>
        <v>0</v>
      </c>
      <c r="EL217" s="309">
        <f t="shared" ref="EL217:EL257" si="1687">EJ217-EK217</f>
        <v>23.07692307692308</v>
      </c>
      <c r="EM217" s="218">
        <f t="shared" si="1624"/>
        <v>175.5384615384616</v>
      </c>
      <c r="EN217" s="242">
        <f t="shared" si="1624"/>
        <v>2</v>
      </c>
      <c r="EO217" s="243">
        <f t="shared" ref="EO217:EO257" si="1688">IF((EM217-EN217)&gt;0,EM217-EN217,0)</f>
        <v>173.5384615384616</v>
      </c>
      <c r="EP217" s="218">
        <f t="shared" ref="EP217:EP257" si="1689">IF((EN217-EM217)&gt;0,EN217-EM217,0)</f>
        <v>0</v>
      </c>
      <c r="ER217" s="303" t="s">
        <v>160</v>
      </c>
      <c r="ES217" s="304" t="s">
        <v>170</v>
      </c>
      <c r="ET217" s="305" t="s">
        <v>132</v>
      </c>
      <c r="EU217" s="317"/>
      <c r="EV217" s="254">
        <f>Konvention_1slave-KLslave</f>
        <v>12</v>
      </c>
      <c r="EW217" s="254">
        <f t="shared" si="1616"/>
        <v>12</v>
      </c>
      <c r="EX217" s="254"/>
      <c r="EY217" s="254">
        <f>Konvention_1slave-FFslave_FF</f>
        <v>11</v>
      </c>
      <c r="EZ217" s="254"/>
      <c r="FA217" s="254"/>
      <c r="FB217" s="318"/>
      <c r="FC217" s="223">
        <f t="shared" ref="FC217:FC248" si="1690">(EU217+EV217+EW217+EX217+EY217+EZ217+FA217+FB217)/3</f>
        <v>11.666666666666666</v>
      </c>
      <c r="FD217" s="223">
        <f t="shared" ref="FD217:FD257" si="1691">2*FC217</f>
        <v>23.333333333333332</v>
      </c>
      <c r="FE217" s="224">
        <f t="shared" ref="FE217:FE257" si="1692">3*FC217</f>
        <v>35</v>
      </c>
      <c r="FF217" s="237">
        <f t="shared" si="1605"/>
        <v>2432</v>
      </c>
      <c r="FG217" s="254">
        <f>EV217*EW217*FFslave_FF+EV217*INslave*EY217+KLslave*EW217*EY217</f>
        <v>3408</v>
      </c>
      <c r="FH217" s="224">
        <f t="shared" ref="FH217:FH248" si="1693">IFERROR(EU217^SIGN(EU217),1)*IFERROR(EV217^SIGN(EV217),1)*IFERROR(EW217^SIGN(EW217),1)*IFERROR(EX217^SIGN(EX217),1)*IFERROR(EY217^SIGN(EY217),1)*IFERROR(EZ217^SIGN(EZ217),1)*IFERROR(FA217^SIGN(FA217),1)*IFERROR(FB217^SIGN(FB217),1)</f>
        <v>1584</v>
      </c>
      <c r="FI217" s="224">
        <f t="shared" ref="FI217:FI248" si="1694">SUM(FF217:FH217)</f>
        <v>7424</v>
      </c>
      <c r="FJ217" s="222">
        <f t="shared" ref="FJ217:FJ257" si="1695">FC217*FF217/FI217</f>
        <v>3.8218390804597702</v>
      </c>
      <c r="FK217" s="223">
        <f t="shared" ref="FK217:FK257" si="1696">FD217*FG217/FI217</f>
        <v>10.711206896551724</v>
      </c>
      <c r="FL217" s="243">
        <f t="shared" ref="FL217:FL257" si="1697">FE217*FH217/FI217</f>
        <v>7.4676724137931032</v>
      </c>
      <c r="FM217" s="243">
        <f t="shared" ref="FM217:FM257" si="1698">SUM(FJ217:FL217)</f>
        <v>22.000718390804597</v>
      </c>
      <c r="FN217" s="252">
        <f t="shared" si="1606"/>
        <v>0</v>
      </c>
      <c r="FO217" s="309">
        <f t="shared" ref="FO217:FO257" si="1699">FM217-FN217</f>
        <v>22.000718390804597</v>
      </c>
      <c r="FP217" s="218">
        <f t="shared" si="1625"/>
        <v>154.01436781609189</v>
      </c>
      <c r="FQ217" s="242">
        <f t="shared" si="1625"/>
        <v>2</v>
      </c>
      <c r="FR217" s="243">
        <f t="shared" ref="FR217:FR257" si="1700">IF((FP217-FQ217)&gt;0,FP217-FQ217,0)</f>
        <v>152.01436781609189</v>
      </c>
      <c r="FS217" s="218">
        <f t="shared" ref="FS217:FS257" si="1701">IF((FQ217-FP217)&gt;0,FQ217-FP217,0)</f>
        <v>0</v>
      </c>
      <c r="FU217" s="303" t="s">
        <v>160</v>
      </c>
      <c r="FV217" s="304" t="s">
        <v>170</v>
      </c>
      <c r="FW217" s="305" t="s">
        <v>132</v>
      </c>
      <c r="FX217" s="317"/>
      <c r="FY217" s="254">
        <f>Konvention_1slave-KLslave</f>
        <v>12</v>
      </c>
      <c r="FZ217" s="254">
        <f t="shared" si="1617"/>
        <v>12</v>
      </c>
      <c r="GA217" s="254"/>
      <c r="GB217" s="254">
        <f>Konvention_1slave-FFslave</f>
        <v>12</v>
      </c>
      <c r="GC217" s="254"/>
      <c r="GD217" s="254"/>
      <c r="GE217" s="318"/>
      <c r="GF217" s="223">
        <f t="shared" ref="GF217:GF248" si="1702">(FX217+FY217+FZ217+GA217+GB217+GC217+GD217+GE217)/3</f>
        <v>12</v>
      </c>
      <c r="GG217" s="223">
        <f t="shared" ref="GG217:GG257" si="1703">2*GF217</f>
        <v>24</v>
      </c>
      <c r="GH217" s="224">
        <f t="shared" ref="GH217:GH257" si="1704">3*GF217</f>
        <v>36</v>
      </c>
      <c r="GI217" s="237">
        <f t="shared" si="1607"/>
        <v>2304</v>
      </c>
      <c r="GJ217" s="254">
        <f>FY217*FZ217*FFslave+FY217*INslave*GB217+KLslave*FZ217*GB217</f>
        <v>3456</v>
      </c>
      <c r="GK217" s="224">
        <f t="shared" ref="GK217:GK248" si="1705">IFERROR(FX217^SIGN(FX217),1)*IFERROR(FY217^SIGN(FY217),1)*IFERROR(FZ217^SIGN(FZ217),1)*IFERROR(GA217^SIGN(GA217),1)*IFERROR(GB217^SIGN(GB217),1)*IFERROR(GC217^SIGN(GC217),1)*IFERROR(GD217^SIGN(GD217),1)*IFERROR(GE217^SIGN(GE217),1)</f>
        <v>1728</v>
      </c>
      <c r="GL217" s="224">
        <f t="shared" ref="GL217:GL248" si="1706">SUM(GI217:GK217)</f>
        <v>7488</v>
      </c>
      <c r="GM217" s="222">
        <f t="shared" ref="GM217:GM257" si="1707">GF217*GI217/GL217</f>
        <v>3.6923076923076925</v>
      </c>
      <c r="GN217" s="223">
        <f t="shared" ref="GN217:GN257" si="1708">GG217*GJ217/GL217</f>
        <v>11.076923076923077</v>
      </c>
      <c r="GO217" s="243">
        <f t="shared" ref="GO217:GO257" si="1709">GH217*GK217/GL217</f>
        <v>8.3076923076923084</v>
      </c>
      <c r="GP217" s="243">
        <f t="shared" ref="GP217:GP257" si="1710">SUM(GM217:GO217)</f>
        <v>23.07692307692308</v>
      </c>
      <c r="GQ217" s="252">
        <f t="shared" si="1608"/>
        <v>0</v>
      </c>
      <c r="GR217" s="309">
        <f t="shared" ref="GR217:GR257" si="1711">GP217-GQ217</f>
        <v>23.07692307692308</v>
      </c>
      <c r="GS217" s="218">
        <f t="shared" si="1626"/>
        <v>175.5384615384616</v>
      </c>
      <c r="GT217" s="242">
        <f t="shared" si="1626"/>
        <v>2</v>
      </c>
      <c r="GU217" s="243">
        <f t="shared" ref="GU217:GU257" si="1712">IF((GS217-GT217)&gt;0,GS217-GT217,0)</f>
        <v>173.5384615384616</v>
      </c>
      <c r="GV217" s="218">
        <f t="shared" ref="GV217:GV257" si="1713">IF((GT217-GS217)&gt;0,GT217-GS217,0)</f>
        <v>0</v>
      </c>
      <c r="GX217" s="303" t="s">
        <v>160</v>
      </c>
      <c r="GY217" s="304" t="s">
        <v>170</v>
      </c>
      <c r="GZ217" s="305" t="s">
        <v>132</v>
      </c>
      <c r="HA217" s="317"/>
      <c r="HB217" s="254">
        <f>Konvention_1slave-KLslave</f>
        <v>12</v>
      </c>
      <c r="HC217" s="254">
        <f t="shared" si="1618"/>
        <v>12</v>
      </c>
      <c r="HD217" s="254"/>
      <c r="HE217" s="254">
        <f>Konvention_1slave-FFslave</f>
        <v>12</v>
      </c>
      <c r="HF217" s="254"/>
      <c r="HG217" s="254"/>
      <c r="HH217" s="318"/>
      <c r="HI217" s="223">
        <f t="shared" ref="HI217:HI248" si="1714">(HA217+HB217+HC217+HD217+HE217+HF217+HG217+HH217)/3</f>
        <v>12</v>
      </c>
      <c r="HJ217" s="223">
        <f t="shared" ref="HJ217:HJ257" si="1715">2*HI217</f>
        <v>24</v>
      </c>
      <c r="HK217" s="224">
        <f t="shared" ref="HK217:HK257" si="1716">3*HI217</f>
        <v>36</v>
      </c>
      <c r="HL217" s="237">
        <f t="shared" si="1609"/>
        <v>2304</v>
      </c>
      <c r="HM217" s="254">
        <f>HB217*HC217*FFslave+HB217*INslave*HE217+KLslave*HC217*HE217</f>
        <v>3456</v>
      </c>
      <c r="HN217" s="224">
        <f t="shared" ref="HN217:HN248" si="1717">IFERROR(HA217^SIGN(HA217),1)*IFERROR(HB217^SIGN(HB217),1)*IFERROR(HC217^SIGN(HC217),1)*IFERROR(HD217^SIGN(HD217),1)*IFERROR(HE217^SIGN(HE217),1)*IFERROR(HF217^SIGN(HF217),1)*IFERROR(HG217^SIGN(HG217),1)*IFERROR(HH217^SIGN(HH217),1)</f>
        <v>1728</v>
      </c>
      <c r="HO217" s="224">
        <f t="shared" ref="HO217:HO248" si="1718">SUM(HL217:HN217)</f>
        <v>7488</v>
      </c>
      <c r="HP217" s="222">
        <f t="shared" ref="HP217:HP257" si="1719">HI217*HL217/HO217</f>
        <v>3.6923076923076925</v>
      </c>
      <c r="HQ217" s="223">
        <f t="shared" ref="HQ217:HQ257" si="1720">HJ217*HM217/HO217</f>
        <v>11.076923076923077</v>
      </c>
      <c r="HR217" s="243">
        <f t="shared" ref="HR217:HR257" si="1721">HK217*HN217/HO217</f>
        <v>8.3076923076923084</v>
      </c>
      <c r="HS217" s="243">
        <f t="shared" ref="HS217:HS257" si="1722">SUM(HP217:HR217)</f>
        <v>23.07692307692308</v>
      </c>
      <c r="HT217" s="252">
        <f t="shared" si="1610"/>
        <v>0</v>
      </c>
      <c r="HU217" s="309">
        <f t="shared" ref="HU217:HU257" si="1723">HS217-HT217</f>
        <v>23.07692307692308</v>
      </c>
      <c r="HV217" s="218">
        <f t="shared" si="1627"/>
        <v>175.5384615384616</v>
      </c>
      <c r="HW217" s="242">
        <f t="shared" si="1627"/>
        <v>2</v>
      </c>
      <c r="HX217" s="243">
        <f t="shared" ref="HX217:HX257" si="1724">IF((HV217-HW217)&gt;0,HV217-HW217,0)</f>
        <v>173.5384615384616</v>
      </c>
      <c r="HY217" s="218">
        <f t="shared" ref="HY217:HY257" si="1725">IF((HW217-HV217)&gt;0,HW217-HV217,0)</f>
        <v>0</v>
      </c>
      <c r="IA217" s="303" t="s">
        <v>160</v>
      </c>
      <c r="IB217" s="304" t="s">
        <v>170</v>
      </c>
      <c r="IC217" s="305" t="s">
        <v>132</v>
      </c>
      <c r="ID217" s="317"/>
      <c r="IE217" s="254">
        <f>Konvention_1slave-KLslave</f>
        <v>12</v>
      </c>
      <c r="IF217" s="254">
        <f t="shared" si="1619"/>
        <v>12</v>
      </c>
      <c r="IG217" s="254"/>
      <c r="IH217" s="254">
        <f>Konvention_1slave-FFslave</f>
        <v>12</v>
      </c>
      <c r="II217" s="254"/>
      <c r="IJ217" s="254"/>
      <c r="IK217" s="318"/>
      <c r="IL217" s="223">
        <f t="shared" ref="IL217:IL248" si="1726">(ID217+IE217+IF217+IG217+IH217+II217+IJ217+IK217)/3</f>
        <v>12</v>
      </c>
      <c r="IM217" s="223">
        <f t="shared" ref="IM217:IM257" si="1727">2*IL217</f>
        <v>24</v>
      </c>
      <c r="IN217" s="224">
        <f t="shared" ref="IN217:IN257" si="1728">3*IL217</f>
        <v>36</v>
      </c>
      <c r="IO217" s="237">
        <f t="shared" si="1611"/>
        <v>2304</v>
      </c>
      <c r="IP217" s="254">
        <f>IE217*IF217*FFslave+IE217*INslave*IH217+KLslave*IF217*IH217</f>
        <v>3456</v>
      </c>
      <c r="IQ217" s="224">
        <f t="shared" ref="IQ217:IQ248" si="1729">IFERROR(ID217^SIGN(ID217),1)*IFERROR(IE217^SIGN(IE217),1)*IFERROR(IF217^SIGN(IF217),1)*IFERROR(IG217^SIGN(IG217),1)*IFERROR(IH217^SIGN(IH217),1)*IFERROR(II217^SIGN(II217),1)*IFERROR(IJ217^SIGN(IJ217),1)*IFERROR(IK217^SIGN(IK217),1)</f>
        <v>1728</v>
      </c>
      <c r="IR217" s="224">
        <f t="shared" ref="IR217:IR248" si="1730">SUM(IO217:IQ217)</f>
        <v>7488</v>
      </c>
      <c r="IS217" s="222">
        <f t="shared" ref="IS217:IS257" si="1731">IL217*IO217/IR217</f>
        <v>3.6923076923076925</v>
      </c>
      <c r="IT217" s="223">
        <f t="shared" ref="IT217:IT257" si="1732">IM217*IP217/IR217</f>
        <v>11.076923076923077</v>
      </c>
      <c r="IU217" s="243">
        <f t="shared" ref="IU217:IU257" si="1733">IN217*IQ217/IR217</f>
        <v>8.3076923076923084</v>
      </c>
      <c r="IV217" s="243">
        <f t="shared" ref="IV217:IV257" si="1734">SUM(IS217:IU217)</f>
        <v>23.07692307692308</v>
      </c>
      <c r="IW217" s="252">
        <f t="shared" si="1612"/>
        <v>0</v>
      </c>
      <c r="IX217" s="309">
        <f t="shared" ref="IX217:IX257" si="1735">IV217-IW217</f>
        <v>23.07692307692308</v>
      </c>
      <c r="IY217" s="218">
        <f t="shared" si="1628"/>
        <v>175.5384615384616</v>
      </c>
      <c r="IZ217" s="242">
        <f t="shared" si="1628"/>
        <v>2</v>
      </c>
      <c r="JA217" s="243">
        <f t="shared" ref="JA217:JA257" si="1736">IF((IY217-IZ217)&gt;0,IY217-IZ217,0)</f>
        <v>173.5384615384616</v>
      </c>
      <c r="JB217" s="218">
        <f t="shared" ref="JB217:JB257" si="1737">IF((IZ217-IY217)&gt;0,IZ217-IY217,0)</f>
        <v>0</v>
      </c>
      <c r="JE217" s="148"/>
    </row>
    <row r="218" spans="2:265" hidden="1" outlineLevel="2">
      <c r="B218" s="148">
        <v>6</v>
      </c>
      <c r="C218" s="303" t="e">
        <f>VLOOKUP(AF218,Attribute!C:T,1,FALSE)</f>
        <v>#N/A</v>
      </c>
      <c r="D218" s="86" t="s">
        <v>87</v>
      </c>
      <c r="E218" s="127" t="s">
        <v>132</v>
      </c>
      <c r="F218" s="114"/>
      <c r="G218" s="113">
        <f>Konvention_1master-KLmaster</f>
        <v>12</v>
      </c>
      <c r="H218" s="113">
        <f>Konvention_1master-INmaster</f>
        <v>12</v>
      </c>
      <c r="I218" s="113">
        <f>Konvention_1master-CHmaster</f>
        <v>12</v>
      </c>
      <c r="J218" s="113"/>
      <c r="K218" s="113"/>
      <c r="L218" s="113"/>
      <c r="M218" s="119"/>
      <c r="N218" s="223">
        <f t="shared" si="1629"/>
        <v>12</v>
      </c>
      <c r="O218" s="223">
        <f t="shared" si="1630"/>
        <v>24</v>
      </c>
      <c r="P218" s="224">
        <f t="shared" si="1631"/>
        <v>36</v>
      </c>
      <c r="Q218" s="237">
        <f t="shared" si="1632"/>
        <v>2304</v>
      </c>
      <c r="R218" s="113">
        <f>G218*H218*CHmaster+G218*INmaster*I218+KLmaster*H218*I218</f>
        <v>3456</v>
      </c>
      <c r="S218" s="224">
        <f t="shared" si="1633"/>
        <v>1728</v>
      </c>
      <c r="T218" s="224">
        <f t="shared" si="1634"/>
        <v>7488</v>
      </c>
      <c r="U218" s="222">
        <f t="shared" si="1635"/>
        <v>3.6923076923076925</v>
      </c>
      <c r="V218" s="223">
        <f t="shared" si="1636"/>
        <v>11.076923076923077</v>
      </c>
      <c r="W218" s="243">
        <f t="shared" si="1637"/>
        <v>8.3076923076923084</v>
      </c>
      <c r="X218" s="243">
        <f t="shared" si="1638"/>
        <v>23.07692307692308</v>
      </c>
      <c r="Y218" s="252">
        <v>0</v>
      </c>
      <c r="Z218" s="198">
        <f t="shared" si="1639"/>
        <v>23.07692307692308</v>
      </c>
      <c r="AA218" s="125">
        <f t="shared" si="1620"/>
        <v>175.5384615384616</v>
      </c>
      <c r="AB218" s="160">
        <f t="shared" si="1620"/>
        <v>2</v>
      </c>
      <c r="AC218" s="127">
        <f t="shared" si="1640"/>
        <v>173.5384615384616</v>
      </c>
      <c r="AD218" s="125">
        <f t="shared" si="1641"/>
        <v>0</v>
      </c>
      <c r="AF218" s="163" t="s">
        <v>161</v>
      </c>
      <c r="AG218" s="125" t="s">
        <v>87</v>
      </c>
      <c r="AH218" s="127" t="s">
        <v>132</v>
      </c>
      <c r="AI218" s="114"/>
      <c r="AJ218" s="113">
        <f>Konvention_1slave-KLslave</f>
        <v>12</v>
      </c>
      <c r="AK218" s="113">
        <f t="shared" si="1613"/>
        <v>12</v>
      </c>
      <c r="AL218" s="113">
        <f>Konvention_1slave-CHslave</f>
        <v>12</v>
      </c>
      <c r="AM218" s="113"/>
      <c r="AN218" s="113"/>
      <c r="AO218" s="113"/>
      <c r="AP218" s="119"/>
      <c r="AQ218" s="47">
        <f t="shared" si="1642"/>
        <v>12</v>
      </c>
      <c r="AR218" s="47">
        <f t="shared" si="1643"/>
        <v>24</v>
      </c>
      <c r="AS218" s="119">
        <f t="shared" si="1644"/>
        <v>36</v>
      </c>
      <c r="AT218" s="114">
        <f t="shared" si="1597"/>
        <v>2304</v>
      </c>
      <c r="AU218" s="113">
        <f>AJ218*AK218*CHslave+AJ218*INslave*AL218+KLslave*AK218*AL218</f>
        <v>3456</v>
      </c>
      <c r="AV218" s="119">
        <f t="shared" si="1645"/>
        <v>1728</v>
      </c>
      <c r="AW218" s="119">
        <f t="shared" si="1646"/>
        <v>7488</v>
      </c>
      <c r="AX218" s="89">
        <f t="shared" si="1647"/>
        <v>3.6923076923076925</v>
      </c>
      <c r="AY218" s="47">
        <f t="shared" si="1648"/>
        <v>11.076923076923077</v>
      </c>
      <c r="AZ218" s="127">
        <f t="shared" si="1649"/>
        <v>8.3076923076923084</v>
      </c>
      <c r="BA218" s="127">
        <f t="shared" si="1650"/>
        <v>23.07692307692308</v>
      </c>
      <c r="BB218" s="165">
        <f t="shared" si="1598"/>
        <v>0</v>
      </c>
      <c r="BC218" s="198">
        <f t="shared" si="1651"/>
        <v>23.07692307692308</v>
      </c>
      <c r="BD218" s="125">
        <f t="shared" si="1621"/>
        <v>175.5384615384616</v>
      </c>
      <c r="BE218" s="160">
        <f t="shared" si="1621"/>
        <v>2</v>
      </c>
      <c r="BF218" s="243">
        <f t="shared" si="1652"/>
        <v>173.5384615384616</v>
      </c>
      <c r="BG218" s="218">
        <f t="shared" si="1653"/>
        <v>0</v>
      </c>
      <c r="BI218" s="303" t="s">
        <v>161</v>
      </c>
      <c r="BJ218" s="218" t="s">
        <v>87</v>
      </c>
      <c r="BK218" s="243" t="s">
        <v>132</v>
      </c>
      <c r="BL218" s="237"/>
      <c r="BM218" s="234">
        <f>Konvention_1slave-KLslave_KL</f>
        <v>11</v>
      </c>
      <c r="BN218" s="234">
        <f t="shared" si="1614"/>
        <v>12</v>
      </c>
      <c r="BO218" s="234">
        <f>Konvention_1slave-CHslave</f>
        <v>12</v>
      </c>
      <c r="BP218" s="234"/>
      <c r="BQ218" s="234"/>
      <c r="BR218" s="234"/>
      <c r="BS218" s="224"/>
      <c r="BT218" s="223">
        <f t="shared" si="1654"/>
        <v>11.666666666666666</v>
      </c>
      <c r="BU218" s="223">
        <f t="shared" si="1655"/>
        <v>23.333333333333332</v>
      </c>
      <c r="BV218" s="224">
        <f t="shared" si="1656"/>
        <v>35</v>
      </c>
      <c r="BW218" s="237">
        <f t="shared" si="1599"/>
        <v>2432</v>
      </c>
      <c r="BX218" s="234">
        <f>BM218*BN218*CHslave+BM218*INslave*BO218+KLslave_KL*BN218*BO218</f>
        <v>3408</v>
      </c>
      <c r="BY218" s="224">
        <f t="shared" si="1657"/>
        <v>1584</v>
      </c>
      <c r="BZ218" s="224">
        <f t="shared" si="1658"/>
        <v>7424</v>
      </c>
      <c r="CA218" s="222">
        <f t="shared" si="1659"/>
        <v>3.8218390804597702</v>
      </c>
      <c r="CB218" s="223">
        <f t="shared" si="1660"/>
        <v>10.711206896551724</v>
      </c>
      <c r="CC218" s="243">
        <f t="shared" si="1661"/>
        <v>7.4676724137931032</v>
      </c>
      <c r="CD218" s="243">
        <f t="shared" si="1662"/>
        <v>22.000718390804597</v>
      </c>
      <c r="CE218" s="252">
        <f t="shared" si="1600"/>
        <v>0</v>
      </c>
      <c r="CF218" s="309">
        <f t="shared" si="1663"/>
        <v>22.000718390804597</v>
      </c>
      <c r="CG218" s="218">
        <f t="shared" si="1622"/>
        <v>154.01436781609189</v>
      </c>
      <c r="CH218" s="242">
        <f t="shared" si="1622"/>
        <v>2</v>
      </c>
      <c r="CI218" s="243">
        <f t="shared" si="1664"/>
        <v>152.01436781609189</v>
      </c>
      <c r="CJ218" s="218">
        <f t="shared" si="1665"/>
        <v>0</v>
      </c>
      <c r="CL218" s="303" t="s">
        <v>161</v>
      </c>
      <c r="CM218" s="218" t="s">
        <v>87</v>
      </c>
      <c r="CN218" s="243" t="s">
        <v>132</v>
      </c>
      <c r="CO218" s="237"/>
      <c r="CP218" s="234">
        <f>Konvention_1slave-KLslave</f>
        <v>12</v>
      </c>
      <c r="CQ218" s="234">
        <f>Konvention_1slave-INslave_IN</f>
        <v>11</v>
      </c>
      <c r="CR218" s="234">
        <f>Konvention_1slave-CHslave</f>
        <v>12</v>
      </c>
      <c r="CS218" s="234"/>
      <c r="CT218" s="234"/>
      <c r="CU218" s="234"/>
      <c r="CV218" s="224"/>
      <c r="CW218" s="223">
        <f t="shared" si="1666"/>
        <v>11.666666666666666</v>
      </c>
      <c r="CX218" s="223">
        <f t="shared" si="1667"/>
        <v>23.333333333333332</v>
      </c>
      <c r="CY218" s="224">
        <f t="shared" si="1668"/>
        <v>35</v>
      </c>
      <c r="CZ218" s="237">
        <f t="shared" si="1601"/>
        <v>2432</v>
      </c>
      <c r="DA218" s="234">
        <f>CP218*CQ218*CHslave+CP218*INslave_IN*CR218+KLslave*CQ218*CR218</f>
        <v>3408</v>
      </c>
      <c r="DB218" s="224">
        <f t="shared" si="1669"/>
        <v>1584</v>
      </c>
      <c r="DC218" s="224">
        <f t="shared" si="1670"/>
        <v>7424</v>
      </c>
      <c r="DD218" s="222">
        <f t="shared" si="1671"/>
        <v>3.8218390804597702</v>
      </c>
      <c r="DE218" s="223">
        <f t="shared" si="1672"/>
        <v>10.711206896551724</v>
      </c>
      <c r="DF218" s="243">
        <f t="shared" si="1673"/>
        <v>7.4676724137931032</v>
      </c>
      <c r="DG218" s="243">
        <f t="shared" si="1674"/>
        <v>22.000718390804597</v>
      </c>
      <c r="DH218" s="252">
        <f t="shared" si="1602"/>
        <v>0</v>
      </c>
      <c r="DI218" s="309">
        <f t="shared" si="1675"/>
        <v>22.000718390804597</v>
      </c>
      <c r="DJ218" s="218">
        <f t="shared" si="1623"/>
        <v>154.01436781609189</v>
      </c>
      <c r="DK218" s="242">
        <f t="shared" si="1623"/>
        <v>2</v>
      </c>
      <c r="DL218" s="243">
        <f t="shared" si="1676"/>
        <v>152.01436781609189</v>
      </c>
      <c r="DM218" s="218">
        <f t="shared" si="1677"/>
        <v>0</v>
      </c>
      <c r="DO218" s="303" t="s">
        <v>161</v>
      </c>
      <c r="DP218" s="218" t="s">
        <v>87</v>
      </c>
      <c r="DQ218" s="243" t="s">
        <v>132</v>
      </c>
      <c r="DR218" s="237"/>
      <c r="DS218" s="234">
        <f>Konvention_1slave-KLslave</f>
        <v>12</v>
      </c>
      <c r="DT218" s="234">
        <f t="shared" si="1615"/>
        <v>12</v>
      </c>
      <c r="DU218" s="234">
        <f>Konvention_1slave-CHslave_CH</f>
        <v>11</v>
      </c>
      <c r="DV218" s="234"/>
      <c r="DW218" s="234"/>
      <c r="DX218" s="234"/>
      <c r="DY218" s="224"/>
      <c r="DZ218" s="223">
        <f t="shared" si="1678"/>
        <v>11.666666666666666</v>
      </c>
      <c r="EA218" s="223">
        <f t="shared" si="1679"/>
        <v>23.333333333333332</v>
      </c>
      <c r="EB218" s="224">
        <f t="shared" si="1680"/>
        <v>35</v>
      </c>
      <c r="EC218" s="237">
        <f t="shared" si="1603"/>
        <v>2432</v>
      </c>
      <c r="ED218" s="234">
        <f>DS218*DT218*CHslave_CH+DS218*INslave*DU218+KLslave*DT218*DU218</f>
        <v>3408</v>
      </c>
      <c r="EE218" s="224">
        <f t="shared" si="1681"/>
        <v>1584</v>
      </c>
      <c r="EF218" s="224">
        <f t="shared" si="1682"/>
        <v>7424</v>
      </c>
      <c r="EG218" s="222">
        <f t="shared" si="1683"/>
        <v>3.8218390804597702</v>
      </c>
      <c r="EH218" s="223">
        <f t="shared" si="1684"/>
        <v>10.711206896551724</v>
      </c>
      <c r="EI218" s="243">
        <f t="shared" si="1685"/>
        <v>7.4676724137931032</v>
      </c>
      <c r="EJ218" s="243">
        <f t="shared" si="1686"/>
        <v>22.000718390804597</v>
      </c>
      <c r="EK218" s="252">
        <f t="shared" si="1604"/>
        <v>0</v>
      </c>
      <c r="EL218" s="309">
        <f t="shared" si="1687"/>
        <v>22.000718390804597</v>
      </c>
      <c r="EM218" s="218">
        <f t="shared" si="1624"/>
        <v>154.01436781609189</v>
      </c>
      <c r="EN218" s="242">
        <f t="shared" si="1624"/>
        <v>2</v>
      </c>
      <c r="EO218" s="243">
        <f t="shared" si="1688"/>
        <v>152.01436781609189</v>
      </c>
      <c r="EP218" s="218">
        <f t="shared" si="1689"/>
        <v>0</v>
      </c>
      <c r="ER218" s="303" t="s">
        <v>161</v>
      </c>
      <c r="ES218" s="218" t="s">
        <v>87</v>
      </c>
      <c r="ET218" s="243" t="s">
        <v>132</v>
      </c>
      <c r="EU218" s="237"/>
      <c r="EV218" s="234">
        <f>Konvention_1slave-KLslave</f>
        <v>12</v>
      </c>
      <c r="EW218" s="234">
        <f t="shared" si="1616"/>
        <v>12</v>
      </c>
      <c r="EX218" s="234">
        <f>Konvention_1slave-CHslave</f>
        <v>12</v>
      </c>
      <c r="EY218" s="234"/>
      <c r="EZ218" s="234"/>
      <c r="FA218" s="234"/>
      <c r="FB218" s="224"/>
      <c r="FC218" s="223">
        <f t="shared" si="1690"/>
        <v>12</v>
      </c>
      <c r="FD218" s="223">
        <f t="shared" si="1691"/>
        <v>24</v>
      </c>
      <c r="FE218" s="224">
        <f t="shared" si="1692"/>
        <v>36</v>
      </c>
      <c r="FF218" s="237">
        <f t="shared" si="1605"/>
        <v>2304</v>
      </c>
      <c r="FG218" s="234">
        <f>EV218*EW218*CHslave+EV218*INslave*EX218+KLslave*EW218*EX218</f>
        <v>3456</v>
      </c>
      <c r="FH218" s="224">
        <f t="shared" si="1693"/>
        <v>1728</v>
      </c>
      <c r="FI218" s="224">
        <f t="shared" si="1694"/>
        <v>7488</v>
      </c>
      <c r="FJ218" s="222">
        <f t="shared" si="1695"/>
        <v>3.6923076923076925</v>
      </c>
      <c r="FK218" s="223">
        <f t="shared" si="1696"/>
        <v>11.076923076923077</v>
      </c>
      <c r="FL218" s="243">
        <f t="shared" si="1697"/>
        <v>8.3076923076923084</v>
      </c>
      <c r="FM218" s="243">
        <f t="shared" si="1698"/>
        <v>23.07692307692308</v>
      </c>
      <c r="FN218" s="252">
        <f t="shared" si="1606"/>
        <v>0</v>
      </c>
      <c r="FO218" s="309">
        <f t="shared" si="1699"/>
        <v>23.07692307692308</v>
      </c>
      <c r="FP218" s="218">
        <f t="shared" si="1625"/>
        <v>175.5384615384616</v>
      </c>
      <c r="FQ218" s="242">
        <f t="shared" si="1625"/>
        <v>2</v>
      </c>
      <c r="FR218" s="243">
        <f t="shared" si="1700"/>
        <v>173.5384615384616</v>
      </c>
      <c r="FS218" s="218">
        <f t="shared" si="1701"/>
        <v>0</v>
      </c>
      <c r="FU218" s="303" t="s">
        <v>161</v>
      </c>
      <c r="FV218" s="218" t="s">
        <v>87</v>
      </c>
      <c r="FW218" s="243" t="s">
        <v>132</v>
      </c>
      <c r="FX218" s="237"/>
      <c r="FY218" s="234">
        <f>Konvention_1slave-KLslave</f>
        <v>12</v>
      </c>
      <c r="FZ218" s="234">
        <f t="shared" si="1617"/>
        <v>12</v>
      </c>
      <c r="GA218" s="234">
        <f>Konvention_1slave-CHslave</f>
        <v>12</v>
      </c>
      <c r="GB218" s="234"/>
      <c r="GC218" s="234"/>
      <c r="GD218" s="234"/>
      <c r="GE218" s="224"/>
      <c r="GF218" s="223">
        <f t="shared" si="1702"/>
        <v>12</v>
      </c>
      <c r="GG218" s="223">
        <f t="shared" si="1703"/>
        <v>24</v>
      </c>
      <c r="GH218" s="224">
        <f t="shared" si="1704"/>
        <v>36</v>
      </c>
      <c r="GI218" s="237">
        <f t="shared" si="1607"/>
        <v>2304</v>
      </c>
      <c r="GJ218" s="234">
        <f>FY218*FZ218*CHslave+FY218*INslave*GA218+KLslave*FZ218*GA218</f>
        <v>3456</v>
      </c>
      <c r="GK218" s="224">
        <f t="shared" si="1705"/>
        <v>1728</v>
      </c>
      <c r="GL218" s="224">
        <f t="shared" si="1706"/>
        <v>7488</v>
      </c>
      <c r="GM218" s="222">
        <f t="shared" si="1707"/>
        <v>3.6923076923076925</v>
      </c>
      <c r="GN218" s="223">
        <f t="shared" si="1708"/>
        <v>11.076923076923077</v>
      </c>
      <c r="GO218" s="243">
        <f t="shared" si="1709"/>
        <v>8.3076923076923084</v>
      </c>
      <c r="GP218" s="243">
        <f t="shared" si="1710"/>
        <v>23.07692307692308</v>
      </c>
      <c r="GQ218" s="252">
        <f t="shared" si="1608"/>
        <v>0</v>
      </c>
      <c r="GR218" s="309">
        <f t="shared" si="1711"/>
        <v>23.07692307692308</v>
      </c>
      <c r="GS218" s="218">
        <f t="shared" si="1626"/>
        <v>175.5384615384616</v>
      </c>
      <c r="GT218" s="242">
        <f t="shared" si="1626"/>
        <v>2</v>
      </c>
      <c r="GU218" s="243">
        <f t="shared" si="1712"/>
        <v>173.5384615384616</v>
      </c>
      <c r="GV218" s="218">
        <f t="shared" si="1713"/>
        <v>0</v>
      </c>
      <c r="GX218" s="303" t="s">
        <v>161</v>
      </c>
      <c r="GY218" s="218" t="s">
        <v>87</v>
      </c>
      <c r="GZ218" s="243" t="s">
        <v>132</v>
      </c>
      <c r="HA218" s="237"/>
      <c r="HB218" s="234">
        <f>Konvention_1slave-KLslave</f>
        <v>12</v>
      </c>
      <c r="HC218" s="234">
        <f t="shared" si="1618"/>
        <v>12</v>
      </c>
      <c r="HD218" s="234">
        <f>Konvention_1slave-CHslave</f>
        <v>12</v>
      </c>
      <c r="HE218" s="234"/>
      <c r="HF218" s="234"/>
      <c r="HG218" s="234"/>
      <c r="HH218" s="224"/>
      <c r="HI218" s="223">
        <f t="shared" si="1714"/>
        <v>12</v>
      </c>
      <c r="HJ218" s="223">
        <f t="shared" si="1715"/>
        <v>24</v>
      </c>
      <c r="HK218" s="224">
        <f t="shared" si="1716"/>
        <v>36</v>
      </c>
      <c r="HL218" s="237">
        <f t="shared" si="1609"/>
        <v>2304</v>
      </c>
      <c r="HM218" s="234">
        <f>HB218*HC218*CHslave+HB218*INslave*HD218+KLslave*HC218*HD218</f>
        <v>3456</v>
      </c>
      <c r="HN218" s="224">
        <f t="shared" si="1717"/>
        <v>1728</v>
      </c>
      <c r="HO218" s="224">
        <f t="shared" si="1718"/>
        <v>7488</v>
      </c>
      <c r="HP218" s="222">
        <f t="shared" si="1719"/>
        <v>3.6923076923076925</v>
      </c>
      <c r="HQ218" s="223">
        <f t="shared" si="1720"/>
        <v>11.076923076923077</v>
      </c>
      <c r="HR218" s="243">
        <f t="shared" si="1721"/>
        <v>8.3076923076923084</v>
      </c>
      <c r="HS218" s="243">
        <f t="shared" si="1722"/>
        <v>23.07692307692308</v>
      </c>
      <c r="HT218" s="252">
        <f t="shared" si="1610"/>
        <v>0</v>
      </c>
      <c r="HU218" s="309">
        <f t="shared" si="1723"/>
        <v>23.07692307692308</v>
      </c>
      <c r="HV218" s="218">
        <f t="shared" si="1627"/>
        <v>175.5384615384616</v>
      </c>
      <c r="HW218" s="242">
        <f t="shared" si="1627"/>
        <v>2</v>
      </c>
      <c r="HX218" s="243">
        <f t="shared" si="1724"/>
        <v>173.5384615384616</v>
      </c>
      <c r="HY218" s="218">
        <f t="shared" si="1725"/>
        <v>0</v>
      </c>
      <c r="IA218" s="303" t="s">
        <v>161</v>
      </c>
      <c r="IB218" s="218" t="s">
        <v>87</v>
      </c>
      <c r="IC218" s="243" t="s">
        <v>132</v>
      </c>
      <c r="ID218" s="237"/>
      <c r="IE218" s="234">
        <f>Konvention_1slave-KLslave</f>
        <v>12</v>
      </c>
      <c r="IF218" s="234">
        <f t="shared" si="1619"/>
        <v>12</v>
      </c>
      <c r="IG218" s="234">
        <f>Konvention_1slave-CHslave</f>
        <v>12</v>
      </c>
      <c r="IH218" s="234"/>
      <c r="II218" s="234"/>
      <c r="IJ218" s="234"/>
      <c r="IK218" s="224"/>
      <c r="IL218" s="223">
        <f t="shared" si="1726"/>
        <v>12</v>
      </c>
      <c r="IM218" s="223">
        <f t="shared" si="1727"/>
        <v>24</v>
      </c>
      <c r="IN218" s="224">
        <f t="shared" si="1728"/>
        <v>36</v>
      </c>
      <c r="IO218" s="237">
        <f t="shared" si="1611"/>
        <v>2304</v>
      </c>
      <c r="IP218" s="234">
        <f>IE218*IF218*CHslave+IE218*INslave*IG218+KLslave*IF218*IG218</f>
        <v>3456</v>
      </c>
      <c r="IQ218" s="224">
        <f t="shared" si="1729"/>
        <v>1728</v>
      </c>
      <c r="IR218" s="224">
        <f t="shared" si="1730"/>
        <v>7488</v>
      </c>
      <c r="IS218" s="222">
        <f t="shared" si="1731"/>
        <v>3.6923076923076925</v>
      </c>
      <c r="IT218" s="223">
        <f t="shared" si="1732"/>
        <v>11.076923076923077</v>
      </c>
      <c r="IU218" s="243">
        <f t="shared" si="1733"/>
        <v>8.3076923076923084</v>
      </c>
      <c r="IV218" s="243">
        <f t="shared" si="1734"/>
        <v>23.07692307692308</v>
      </c>
      <c r="IW218" s="252">
        <f t="shared" si="1612"/>
        <v>0</v>
      </c>
      <c r="IX218" s="309">
        <f t="shared" si="1735"/>
        <v>23.07692307692308</v>
      </c>
      <c r="IY218" s="218">
        <f t="shared" si="1628"/>
        <v>175.5384615384616</v>
      </c>
      <c r="IZ218" s="242">
        <f t="shared" si="1628"/>
        <v>2</v>
      </c>
      <c r="JA218" s="243">
        <f t="shared" si="1736"/>
        <v>173.5384615384616</v>
      </c>
      <c r="JB218" s="218">
        <f t="shared" si="1737"/>
        <v>0</v>
      </c>
      <c r="JE218" s="148"/>
    </row>
    <row r="219" spans="2:265" hidden="1" outlineLevel="2">
      <c r="B219" s="148">
        <v>7</v>
      </c>
      <c r="C219" s="303" t="e">
        <f>VLOOKUP(AF219,Attribute!C:T,1,FALSE)</f>
        <v>#N/A</v>
      </c>
      <c r="D219" s="86" t="s">
        <v>87</v>
      </c>
      <c r="E219" s="127" t="s">
        <v>135</v>
      </c>
      <c r="F219" s="114"/>
      <c r="G219" s="113">
        <f>Konvention_1master-KLmaster</f>
        <v>12</v>
      </c>
      <c r="H219" s="113">
        <f>Konvention_1master-INmaster</f>
        <v>12</v>
      </c>
      <c r="I219" s="113">
        <f>Konvention_1master-CHmaster</f>
        <v>12</v>
      </c>
      <c r="J219" s="113"/>
      <c r="K219" s="113"/>
      <c r="L219" s="113"/>
      <c r="M219" s="119"/>
      <c r="N219" s="223">
        <f t="shared" si="1629"/>
        <v>12</v>
      </c>
      <c r="O219" s="223">
        <f t="shared" si="1630"/>
        <v>24</v>
      </c>
      <c r="P219" s="224">
        <f t="shared" si="1631"/>
        <v>36</v>
      </c>
      <c r="Q219" s="237">
        <f t="shared" si="1632"/>
        <v>2304</v>
      </c>
      <c r="R219" s="113">
        <f>G219*H219*CHmaster+G219*INmaster*I219+KLmaster*H219*I219</f>
        <v>3456</v>
      </c>
      <c r="S219" s="224">
        <f t="shared" si="1633"/>
        <v>1728</v>
      </c>
      <c r="T219" s="224">
        <f>SUM(Q219:S219)</f>
        <v>7488</v>
      </c>
      <c r="U219" s="222">
        <f t="shared" si="1635"/>
        <v>3.6923076923076925</v>
      </c>
      <c r="V219" s="223">
        <f t="shared" si="1636"/>
        <v>11.076923076923077</v>
      </c>
      <c r="W219" s="243">
        <f t="shared" si="1637"/>
        <v>8.3076923076923084</v>
      </c>
      <c r="X219" s="243">
        <f t="shared" si="1638"/>
        <v>23.07692307692308</v>
      </c>
      <c r="Y219" s="252">
        <v>0</v>
      </c>
      <c r="Z219" s="198">
        <f t="shared" si="1639"/>
        <v>23.07692307692308</v>
      </c>
      <c r="AA219" s="125">
        <f>IF(X219&lt;=0,3,0)+IF(X219&gt;0,X219+1,0)*3+IF(X219&gt;12,X219-12,0)*3+IF(X219&gt;13,X219-13,0)*3+IF(X219&gt;14,X219-14,0)*3+IF(X219&gt;15,X219-15,0)*3+IF(X219&gt;16,X219-16,0)*3+IF(X219&gt;17,X219-17,0)*3+IF(X219&gt;18,X219-18,0)*3+IF(X219&gt;19,X219-19,0)*3+IF(X219&gt;20,X219-20,0)*3</f>
        <v>263.30769230769232</v>
      </c>
      <c r="AB219" s="160">
        <f>IF(Y219&lt;=0,3,0)+IF(Y219&gt;0,Y219+1,0)*3+IF(Y219&gt;12,Y219-12,0)*3+IF(Y219&gt;13,Y219-13,0)*3+IF(Y219&gt;14,Y219-14,0)*3+IF(Y219&gt;15,Y219-15,0)*3+IF(Y219&gt;16,Y219-16,0)*3+IF(Y219&gt;17,Y219-17,0)*3+IF(Y219&gt;18,Y219-18,0)*3+IF(Y219&gt;19,Y219-19,0)*3+IF(Y219&gt;20,Y219-20,0)*3</f>
        <v>3</v>
      </c>
      <c r="AC219" s="127">
        <f t="shared" si="1640"/>
        <v>260.30769230769232</v>
      </c>
      <c r="AD219" s="125">
        <f t="shared" si="1641"/>
        <v>0</v>
      </c>
      <c r="AF219" s="163" t="s">
        <v>405</v>
      </c>
      <c r="AG219" s="125" t="s">
        <v>87</v>
      </c>
      <c r="AH219" s="127" t="s">
        <v>135</v>
      </c>
      <c r="AI219" s="114"/>
      <c r="AJ219" s="113">
        <f>Konvention_1slave-KLslave</f>
        <v>12</v>
      </c>
      <c r="AK219" s="113">
        <f t="shared" si="1613"/>
        <v>12</v>
      </c>
      <c r="AL219" s="113">
        <f>Konvention_1slave-CHslave</f>
        <v>12</v>
      </c>
      <c r="AM219" s="113"/>
      <c r="AN219" s="113"/>
      <c r="AO219" s="113"/>
      <c r="AP219" s="119"/>
      <c r="AQ219" s="47">
        <f t="shared" si="1642"/>
        <v>12</v>
      </c>
      <c r="AR219" s="47">
        <f t="shared" si="1643"/>
        <v>24</v>
      </c>
      <c r="AS219" s="119">
        <f t="shared" si="1644"/>
        <v>36</v>
      </c>
      <c r="AT219" s="114">
        <f t="shared" si="1597"/>
        <v>2304</v>
      </c>
      <c r="AU219" s="113">
        <f>AJ219*AK219*CHslave+AJ219*INslave*AL219+KLslave*AK219*AL219</f>
        <v>3456</v>
      </c>
      <c r="AV219" s="119">
        <f t="shared" si="1645"/>
        <v>1728</v>
      </c>
      <c r="AW219" s="119">
        <f>SUM(AT219:AV219)</f>
        <v>7488</v>
      </c>
      <c r="AX219" s="89">
        <f t="shared" si="1647"/>
        <v>3.6923076923076925</v>
      </c>
      <c r="AY219" s="47">
        <f t="shared" si="1648"/>
        <v>11.076923076923077</v>
      </c>
      <c r="AZ219" s="127">
        <f t="shared" si="1649"/>
        <v>8.3076923076923084</v>
      </c>
      <c r="BA219" s="127">
        <f t="shared" si="1650"/>
        <v>23.07692307692308</v>
      </c>
      <c r="BB219" s="165">
        <f t="shared" si="1598"/>
        <v>0</v>
      </c>
      <c r="BC219" s="198">
        <f t="shared" si="1651"/>
        <v>23.07692307692308</v>
      </c>
      <c r="BD219" s="125">
        <f>IF(BA219&lt;=0,3,0)+IF(BA219&gt;0,BA219+1,0)*3+IF(BA219&gt;12,BA219-12,0)*3+IF(BA219&gt;13,BA219-13,0)*3+IF(BA219&gt;14,BA219-14,0)*3+IF(BA219&gt;15,BA219-15,0)*3+IF(BA219&gt;16,BA219-16,0)*3+IF(BA219&gt;17,BA219-17,0)*3+IF(BA219&gt;18,BA219-18,0)*3+IF(BA219&gt;19,BA219-19,0)*3+IF(BA219&gt;20,BA219-20,0)*3</f>
        <v>263.30769230769232</v>
      </c>
      <c r="BE219" s="160">
        <f>IF(BB219&lt;=0,3,0)+IF(BB219&gt;0,BB219+1,0)*3+IF(BB219&gt;12,BB219-12,0)*3+IF(BB219&gt;13,BB219-13,0)*3+IF(BB219&gt;14,BB219-14,0)*3+IF(BB219&gt;15,BB219-15,0)*3+IF(BB219&gt;16,BB219-16,0)*3+IF(BB219&gt;17,BB219-17,0)*3+IF(BB219&gt;18,BB219-18,0)*3+IF(BB219&gt;19,BB219-19,0)*3+IF(BB219&gt;20,BB219-20,0)*3</f>
        <v>3</v>
      </c>
      <c r="BF219" s="243">
        <f t="shared" si="1652"/>
        <v>260.30769230769232</v>
      </c>
      <c r="BG219" s="218">
        <f t="shared" si="1653"/>
        <v>0</v>
      </c>
      <c r="BI219" s="303" t="s">
        <v>405</v>
      </c>
      <c r="BJ219" s="218" t="s">
        <v>87</v>
      </c>
      <c r="BK219" s="243" t="s">
        <v>135</v>
      </c>
      <c r="BL219" s="237"/>
      <c r="BM219" s="234">
        <f>Konvention_1slave-KLslave_KL</f>
        <v>11</v>
      </c>
      <c r="BN219" s="234">
        <f t="shared" si="1614"/>
        <v>12</v>
      </c>
      <c r="BO219" s="234">
        <f>Konvention_1slave-CHslave</f>
        <v>12</v>
      </c>
      <c r="BP219" s="234"/>
      <c r="BQ219" s="234"/>
      <c r="BR219" s="234"/>
      <c r="BS219" s="224"/>
      <c r="BT219" s="223">
        <f t="shared" si="1654"/>
        <v>11.666666666666666</v>
      </c>
      <c r="BU219" s="223">
        <f t="shared" si="1655"/>
        <v>23.333333333333332</v>
      </c>
      <c r="BV219" s="224">
        <f t="shared" si="1656"/>
        <v>35</v>
      </c>
      <c r="BW219" s="237">
        <f t="shared" si="1599"/>
        <v>2432</v>
      </c>
      <c r="BX219" s="234">
        <f>BM219*BN219*CHslave+BM219*INslave*BO219+KLslave_KL*BN219*BO219</f>
        <v>3408</v>
      </c>
      <c r="BY219" s="224">
        <f t="shared" si="1657"/>
        <v>1584</v>
      </c>
      <c r="BZ219" s="224">
        <f>SUM(BW219:BY219)</f>
        <v>7424</v>
      </c>
      <c r="CA219" s="222">
        <f t="shared" si="1659"/>
        <v>3.8218390804597702</v>
      </c>
      <c r="CB219" s="223">
        <f t="shared" si="1660"/>
        <v>10.711206896551724</v>
      </c>
      <c r="CC219" s="243">
        <f t="shared" si="1661"/>
        <v>7.4676724137931032</v>
      </c>
      <c r="CD219" s="243">
        <f t="shared" si="1662"/>
        <v>22.000718390804597</v>
      </c>
      <c r="CE219" s="252">
        <f t="shared" si="1600"/>
        <v>0</v>
      </c>
      <c r="CF219" s="309">
        <f t="shared" si="1663"/>
        <v>22.000718390804597</v>
      </c>
      <c r="CG219" s="218">
        <f>IF(CD219&lt;=0,3,0)+IF(CD219&gt;0,CD219+1,0)*3+IF(CD219&gt;12,CD219-12,0)*3+IF(CD219&gt;13,CD219-13,0)*3+IF(CD219&gt;14,CD219-14,0)*3+IF(CD219&gt;15,CD219-15,0)*3+IF(CD219&gt;16,CD219-16,0)*3+IF(CD219&gt;17,CD219-17,0)*3+IF(CD219&gt;18,CD219-18,0)*3+IF(CD219&gt;19,CD219-19,0)*3+IF(CD219&gt;20,CD219-20,0)*3</f>
        <v>231.02155172413785</v>
      </c>
      <c r="CH219" s="242">
        <f>IF(CE219&lt;=0,3,0)+IF(CE219&gt;0,CE219+1,0)*3+IF(CE219&gt;12,CE219-12,0)*3+IF(CE219&gt;13,CE219-13,0)*3+IF(CE219&gt;14,CE219-14,0)*3+IF(CE219&gt;15,CE219-15,0)*3+IF(CE219&gt;16,CE219-16,0)*3+IF(CE219&gt;17,CE219-17,0)*3+IF(CE219&gt;18,CE219-18,0)*3+IF(CE219&gt;19,CE219-19,0)*3+IF(CE219&gt;20,CE219-20,0)*3</f>
        <v>3</v>
      </c>
      <c r="CI219" s="243">
        <f t="shared" si="1664"/>
        <v>228.02155172413785</v>
      </c>
      <c r="CJ219" s="218">
        <f t="shared" si="1665"/>
        <v>0</v>
      </c>
      <c r="CL219" s="303" t="s">
        <v>405</v>
      </c>
      <c r="CM219" s="218" t="s">
        <v>87</v>
      </c>
      <c r="CN219" s="243" t="s">
        <v>135</v>
      </c>
      <c r="CO219" s="237"/>
      <c r="CP219" s="234">
        <f>Konvention_1slave-KLslave</f>
        <v>12</v>
      </c>
      <c r="CQ219" s="234">
        <f>Konvention_1slave-INslave_IN</f>
        <v>11</v>
      </c>
      <c r="CR219" s="234">
        <f>Konvention_1slave-CHslave</f>
        <v>12</v>
      </c>
      <c r="CS219" s="234"/>
      <c r="CT219" s="234"/>
      <c r="CU219" s="234"/>
      <c r="CV219" s="224"/>
      <c r="CW219" s="223">
        <f t="shared" si="1666"/>
        <v>11.666666666666666</v>
      </c>
      <c r="CX219" s="223">
        <f t="shared" si="1667"/>
        <v>23.333333333333332</v>
      </c>
      <c r="CY219" s="224">
        <f t="shared" si="1668"/>
        <v>35</v>
      </c>
      <c r="CZ219" s="237">
        <f t="shared" si="1601"/>
        <v>2432</v>
      </c>
      <c r="DA219" s="234">
        <f>CP219*CQ219*CHslave+CP219*INslave_IN*CR219+KLslave*CQ219*CR219</f>
        <v>3408</v>
      </c>
      <c r="DB219" s="224">
        <f t="shared" si="1669"/>
        <v>1584</v>
      </c>
      <c r="DC219" s="224">
        <f>SUM(CZ219:DB219)</f>
        <v>7424</v>
      </c>
      <c r="DD219" s="222">
        <f t="shared" si="1671"/>
        <v>3.8218390804597702</v>
      </c>
      <c r="DE219" s="223">
        <f t="shared" si="1672"/>
        <v>10.711206896551724</v>
      </c>
      <c r="DF219" s="243">
        <f t="shared" si="1673"/>
        <v>7.4676724137931032</v>
      </c>
      <c r="DG219" s="243">
        <f t="shared" si="1674"/>
        <v>22.000718390804597</v>
      </c>
      <c r="DH219" s="252">
        <f t="shared" si="1602"/>
        <v>0</v>
      </c>
      <c r="DI219" s="309">
        <f t="shared" si="1675"/>
        <v>22.000718390804597</v>
      </c>
      <c r="DJ219" s="218">
        <f>IF(DG219&lt;=0,3,0)+IF(DG219&gt;0,DG219+1,0)*3+IF(DG219&gt;12,DG219-12,0)*3+IF(DG219&gt;13,DG219-13,0)*3+IF(DG219&gt;14,DG219-14,0)*3+IF(DG219&gt;15,DG219-15,0)*3+IF(DG219&gt;16,DG219-16,0)*3+IF(DG219&gt;17,DG219-17,0)*3+IF(DG219&gt;18,DG219-18,0)*3+IF(DG219&gt;19,DG219-19,0)*3+IF(DG219&gt;20,DG219-20,0)*3</f>
        <v>231.02155172413785</v>
      </c>
      <c r="DK219" s="242">
        <f>IF(DH219&lt;=0,3,0)+IF(DH219&gt;0,DH219+1,0)*3+IF(DH219&gt;12,DH219-12,0)*3+IF(DH219&gt;13,DH219-13,0)*3+IF(DH219&gt;14,DH219-14,0)*3+IF(DH219&gt;15,DH219-15,0)*3+IF(DH219&gt;16,DH219-16,0)*3+IF(DH219&gt;17,DH219-17,0)*3+IF(DH219&gt;18,DH219-18,0)*3+IF(DH219&gt;19,DH219-19,0)*3+IF(DH219&gt;20,DH219-20,0)*3</f>
        <v>3</v>
      </c>
      <c r="DL219" s="243">
        <f t="shared" si="1676"/>
        <v>228.02155172413785</v>
      </c>
      <c r="DM219" s="218">
        <f t="shared" si="1677"/>
        <v>0</v>
      </c>
      <c r="DO219" s="303" t="s">
        <v>405</v>
      </c>
      <c r="DP219" s="218" t="s">
        <v>87</v>
      </c>
      <c r="DQ219" s="243" t="s">
        <v>135</v>
      </c>
      <c r="DR219" s="237"/>
      <c r="DS219" s="234">
        <f>Konvention_1slave-KLslave</f>
        <v>12</v>
      </c>
      <c r="DT219" s="234">
        <f t="shared" si="1615"/>
        <v>12</v>
      </c>
      <c r="DU219" s="234">
        <f>Konvention_1slave-CHslave_CH</f>
        <v>11</v>
      </c>
      <c r="DV219" s="234"/>
      <c r="DW219" s="234"/>
      <c r="DX219" s="234"/>
      <c r="DY219" s="224"/>
      <c r="DZ219" s="223">
        <f t="shared" si="1678"/>
        <v>11.666666666666666</v>
      </c>
      <c r="EA219" s="223">
        <f t="shared" si="1679"/>
        <v>23.333333333333332</v>
      </c>
      <c r="EB219" s="224">
        <f t="shared" si="1680"/>
        <v>35</v>
      </c>
      <c r="EC219" s="237">
        <f t="shared" si="1603"/>
        <v>2432</v>
      </c>
      <c r="ED219" s="234">
        <f>DS219*DT219*CHslave_CH+DS219*INslave*DU219+KLslave*DT219*DU219</f>
        <v>3408</v>
      </c>
      <c r="EE219" s="224">
        <f t="shared" si="1681"/>
        <v>1584</v>
      </c>
      <c r="EF219" s="224">
        <f>SUM(EC219:EE219)</f>
        <v>7424</v>
      </c>
      <c r="EG219" s="222">
        <f t="shared" si="1683"/>
        <v>3.8218390804597702</v>
      </c>
      <c r="EH219" s="223">
        <f t="shared" si="1684"/>
        <v>10.711206896551724</v>
      </c>
      <c r="EI219" s="243">
        <f t="shared" si="1685"/>
        <v>7.4676724137931032</v>
      </c>
      <c r="EJ219" s="243">
        <f t="shared" si="1686"/>
        <v>22.000718390804597</v>
      </c>
      <c r="EK219" s="252">
        <f t="shared" si="1604"/>
        <v>0</v>
      </c>
      <c r="EL219" s="309">
        <f t="shared" si="1687"/>
        <v>22.000718390804597</v>
      </c>
      <c r="EM219" s="218">
        <f>IF(EJ219&lt;=0,3,0)+IF(EJ219&gt;0,EJ219+1,0)*3+IF(EJ219&gt;12,EJ219-12,0)*3+IF(EJ219&gt;13,EJ219-13,0)*3+IF(EJ219&gt;14,EJ219-14,0)*3+IF(EJ219&gt;15,EJ219-15,0)*3+IF(EJ219&gt;16,EJ219-16,0)*3+IF(EJ219&gt;17,EJ219-17,0)*3+IF(EJ219&gt;18,EJ219-18,0)*3+IF(EJ219&gt;19,EJ219-19,0)*3+IF(EJ219&gt;20,EJ219-20,0)*3</f>
        <v>231.02155172413785</v>
      </c>
      <c r="EN219" s="242">
        <f>IF(EK219&lt;=0,3,0)+IF(EK219&gt;0,EK219+1,0)*3+IF(EK219&gt;12,EK219-12,0)*3+IF(EK219&gt;13,EK219-13,0)*3+IF(EK219&gt;14,EK219-14,0)*3+IF(EK219&gt;15,EK219-15,0)*3+IF(EK219&gt;16,EK219-16,0)*3+IF(EK219&gt;17,EK219-17,0)*3+IF(EK219&gt;18,EK219-18,0)*3+IF(EK219&gt;19,EK219-19,0)*3+IF(EK219&gt;20,EK219-20,0)*3</f>
        <v>3</v>
      </c>
      <c r="EO219" s="243">
        <f t="shared" si="1688"/>
        <v>228.02155172413785</v>
      </c>
      <c r="EP219" s="218">
        <f t="shared" si="1689"/>
        <v>0</v>
      </c>
      <c r="ER219" s="303" t="s">
        <v>405</v>
      </c>
      <c r="ES219" s="218" t="s">
        <v>87</v>
      </c>
      <c r="ET219" s="243" t="s">
        <v>135</v>
      </c>
      <c r="EU219" s="237"/>
      <c r="EV219" s="234">
        <f>Konvention_1slave-KLslave</f>
        <v>12</v>
      </c>
      <c r="EW219" s="234">
        <f t="shared" si="1616"/>
        <v>12</v>
      </c>
      <c r="EX219" s="234">
        <f>Konvention_1slave-CHslave</f>
        <v>12</v>
      </c>
      <c r="EY219" s="234"/>
      <c r="EZ219" s="234"/>
      <c r="FA219" s="234"/>
      <c r="FB219" s="224"/>
      <c r="FC219" s="223">
        <f t="shared" si="1690"/>
        <v>12</v>
      </c>
      <c r="FD219" s="223">
        <f t="shared" si="1691"/>
        <v>24</v>
      </c>
      <c r="FE219" s="224">
        <f t="shared" si="1692"/>
        <v>36</v>
      </c>
      <c r="FF219" s="237">
        <f t="shared" si="1605"/>
        <v>2304</v>
      </c>
      <c r="FG219" s="234">
        <f>EV219*EW219*CHslave+EV219*INslave*EX219+KLslave*EW219*EX219</f>
        <v>3456</v>
      </c>
      <c r="FH219" s="224">
        <f t="shared" si="1693"/>
        <v>1728</v>
      </c>
      <c r="FI219" s="224">
        <f>SUM(FF219:FH219)</f>
        <v>7488</v>
      </c>
      <c r="FJ219" s="222">
        <f t="shared" si="1695"/>
        <v>3.6923076923076925</v>
      </c>
      <c r="FK219" s="223">
        <f t="shared" si="1696"/>
        <v>11.076923076923077</v>
      </c>
      <c r="FL219" s="243">
        <f t="shared" si="1697"/>
        <v>8.3076923076923084</v>
      </c>
      <c r="FM219" s="243">
        <f t="shared" si="1698"/>
        <v>23.07692307692308</v>
      </c>
      <c r="FN219" s="252">
        <f t="shared" si="1606"/>
        <v>0</v>
      </c>
      <c r="FO219" s="309">
        <f t="shared" si="1699"/>
        <v>23.07692307692308</v>
      </c>
      <c r="FP219" s="218">
        <f>IF(FM219&lt;=0,3,0)+IF(FM219&gt;0,FM219+1,0)*3+IF(FM219&gt;12,FM219-12,0)*3+IF(FM219&gt;13,FM219-13,0)*3+IF(FM219&gt;14,FM219-14,0)*3+IF(FM219&gt;15,FM219-15,0)*3+IF(FM219&gt;16,FM219-16,0)*3+IF(FM219&gt;17,FM219-17,0)*3+IF(FM219&gt;18,FM219-18,0)*3+IF(FM219&gt;19,FM219-19,0)*3+IF(FM219&gt;20,FM219-20,0)*3</f>
        <v>263.30769230769232</v>
      </c>
      <c r="FQ219" s="242">
        <f>IF(FN219&lt;=0,3,0)+IF(FN219&gt;0,FN219+1,0)*3+IF(FN219&gt;12,FN219-12,0)*3+IF(FN219&gt;13,FN219-13,0)*3+IF(FN219&gt;14,FN219-14,0)*3+IF(FN219&gt;15,FN219-15,0)*3+IF(FN219&gt;16,FN219-16,0)*3+IF(FN219&gt;17,FN219-17,0)*3+IF(FN219&gt;18,FN219-18,0)*3+IF(FN219&gt;19,FN219-19,0)*3+IF(FN219&gt;20,FN219-20,0)*3</f>
        <v>3</v>
      </c>
      <c r="FR219" s="243">
        <f t="shared" si="1700"/>
        <v>260.30769230769232</v>
      </c>
      <c r="FS219" s="218">
        <f t="shared" si="1701"/>
        <v>0</v>
      </c>
      <c r="FU219" s="303" t="s">
        <v>405</v>
      </c>
      <c r="FV219" s="218" t="s">
        <v>87</v>
      </c>
      <c r="FW219" s="243" t="s">
        <v>135</v>
      </c>
      <c r="FX219" s="237"/>
      <c r="FY219" s="234">
        <f>Konvention_1slave-KLslave</f>
        <v>12</v>
      </c>
      <c r="FZ219" s="234">
        <f t="shared" si="1617"/>
        <v>12</v>
      </c>
      <c r="GA219" s="234">
        <f>Konvention_1slave-CHslave</f>
        <v>12</v>
      </c>
      <c r="GB219" s="234"/>
      <c r="GC219" s="234"/>
      <c r="GD219" s="234"/>
      <c r="GE219" s="224"/>
      <c r="GF219" s="223">
        <f t="shared" si="1702"/>
        <v>12</v>
      </c>
      <c r="GG219" s="223">
        <f t="shared" si="1703"/>
        <v>24</v>
      </c>
      <c r="GH219" s="224">
        <f t="shared" si="1704"/>
        <v>36</v>
      </c>
      <c r="GI219" s="237">
        <f t="shared" si="1607"/>
        <v>2304</v>
      </c>
      <c r="GJ219" s="234">
        <f>FY219*FZ219*CHslave+FY219*INslave*GA219+KLslave*FZ219*GA219</f>
        <v>3456</v>
      </c>
      <c r="GK219" s="224">
        <f t="shared" si="1705"/>
        <v>1728</v>
      </c>
      <c r="GL219" s="224">
        <f>SUM(GI219:GK219)</f>
        <v>7488</v>
      </c>
      <c r="GM219" s="222">
        <f t="shared" si="1707"/>
        <v>3.6923076923076925</v>
      </c>
      <c r="GN219" s="223">
        <f t="shared" si="1708"/>
        <v>11.076923076923077</v>
      </c>
      <c r="GO219" s="243">
        <f t="shared" si="1709"/>
        <v>8.3076923076923084</v>
      </c>
      <c r="GP219" s="243">
        <f t="shared" si="1710"/>
        <v>23.07692307692308</v>
      </c>
      <c r="GQ219" s="252">
        <f t="shared" si="1608"/>
        <v>0</v>
      </c>
      <c r="GR219" s="309">
        <f t="shared" si="1711"/>
        <v>23.07692307692308</v>
      </c>
      <c r="GS219" s="218">
        <f>IF(GP219&lt;=0,3,0)+IF(GP219&gt;0,GP219+1,0)*3+IF(GP219&gt;12,GP219-12,0)*3+IF(GP219&gt;13,GP219-13,0)*3+IF(GP219&gt;14,GP219-14,0)*3+IF(GP219&gt;15,GP219-15,0)*3+IF(GP219&gt;16,GP219-16,0)*3+IF(GP219&gt;17,GP219-17,0)*3+IF(GP219&gt;18,GP219-18,0)*3+IF(GP219&gt;19,GP219-19,0)*3+IF(GP219&gt;20,GP219-20,0)*3</f>
        <v>263.30769230769232</v>
      </c>
      <c r="GT219" s="242">
        <f>IF(GQ219&lt;=0,3,0)+IF(GQ219&gt;0,GQ219+1,0)*3+IF(GQ219&gt;12,GQ219-12,0)*3+IF(GQ219&gt;13,GQ219-13,0)*3+IF(GQ219&gt;14,GQ219-14,0)*3+IF(GQ219&gt;15,GQ219-15,0)*3+IF(GQ219&gt;16,GQ219-16,0)*3+IF(GQ219&gt;17,GQ219-17,0)*3+IF(GQ219&gt;18,GQ219-18,0)*3+IF(GQ219&gt;19,GQ219-19,0)*3+IF(GQ219&gt;20,GQ219-20,0)*3</f>
        <v>3</v>
      </c>
      <c r="GU219" s="243">
        <f t="shared" si="1712"/>
        <v>260.30769230769232</v>
      </c>
      <c r="GV219" s="218">
        <f t="shared" si="1713"/>
        <v>0</v>
      </c>
      <c r="GX219" s="303" t="s">
        <v>405</v>
      </c>
      <c r="GY219" s="218" t="s">
        <v>87</v>
      </c>
      <c r="GZ219" s="243" t="s">
        <v>135</v>
      </c>
      <c r="HA219" s="237"/>
      <c r="HB219" s="234">
        <f>Konvention_1slave-KLslave</f>
        <v>12</v>
      </c>
      <c r="HC219" s="234">
        <f t="shared" si="1618"/>
        <v>12</v>
      </c>
      <c r="HD219" s="234">
        <f>Konvention_1slave-CHslave</f>
        <v>12</v>
      </c>
      <c r="HE219" s="234"/>
      <c r="HF219" s="234"/>
      <c r="HG219" s="234"/>
      <c r="HH219" s="224"/>
      <c r="HI219" s="223">
        <f t="shared" si="1714"/>
        <v>12</v>
      </c>
      <c r="HJ219" s="223">
        <f t="shared" si="1715"/>
        <v>24</v>
      </c>
      <c r="HK219" s="224">
        <f t="shared" si="1716"/>
        <v>36</v>
      </c>
      <c r="HL219" s="237">
        <f t="shared" si="1609"/>
        <v>2304</v>
      </c>
      <c r="HM219" s="234">
        <f>HB219*HC219*CHslave+HB219*INslave*HD219+KLslave*HC219*HD219</f>
        <v>3456</v>
      </c>
      <c r="HN219" s="224">
        <f t="shared" si="1717"/>
        <v>1728</v>
      </c>
      <c r="HO219" s="224">
        <f>SUM(HL219:HN219)</f>
        <v>7488</v>
      </c>
      <c r="HP219" s="222">
        <f t="shared" si="1719"/>
        <v>3.6923076923076925</v>
      </c>
      <c r="HQ219" s="223">
        <f t="shared" si="1720"/>
        <v>11.076923076923077</v>
      </c>
      <c r="HR219" s="243">
        <f t="shared" si="1721"/>
        <v>8.3076923076923084</v>
      </c>
      <c r="HS219" s="243">
        <f t="shared" si="1722"/>
        <v>23.07692307692308</v>
      </c>
      <c r="HT219" s="252">
        <f t="shared" si="1610"/>
        <v>0</v>
      </c>
      <c r="HU219" s="309">
        <f t="shared" si="1723"/>
        <v>23.07692307692308</v>
      </c>
      <c r="HV219" s="218">
        <f>IF(HS219&lt;=0,3,0)+IF(HS219&gt;0,HS219+1,0)*3+IF(HS219&gt;12,HS219-12,0)*3+IF(HS219&gt;13,HS219-13,0)*3+IF(HS219&gt;14,HS219-14,0)*3+IF(HS219&gt;15,HS219-15,0)*3+IF(HS219&gt;16,HS219-16,0)*3+IF(HS219&gt;17,HS219-17,0)*3+IF(HS219&gt;18,HS219-18,0)*3+IF(HS219&gt;19,HS219-19,0)*3+IF(HS219&gt;20,HS219-20,0)*3</f>
        <v>263.30769230769232</v>
      </c>
      <c r="HW219" s="242">
        <f>IF(HT219&lt;=0,3,0)+IF(HT219&gt;0,HT219+1,0)*3+IF(HT219&gt;12,HT219-12,0)*3+IF(HT219&gt;13,HT219-13,0)*3+IF(HT219&gt;14,HT219-14,0)*3+IF(HT219&gt;15,HT219-15,0)*3+IF(HT219&gt;16,HT219-16,0)*3+IF(HT219&gt;17,HT219-17,0)*3+IF(HT219&gt;18,HT219-18,0)*3+IF(HT219&gt;19,HT219-19,0)*3+IF(HT219&gt;20,HT219-20,0)*3</f>
        <v>3</v>
      </c>
      <c r="HX219" s="243">
        <f t="shared" si="1724"/>
        <v>260.30769230769232</v>
      </c>
      <c r="HY219" s="218">
        <f t="shared" si="1725"/>
        <v>0</v>
      </c>
      <c r="IA219" s="303" t="s">
        <v>405</v>
      </c>
      <c r="IB219" s="218" t="s">
        <v>87</v>
      </c>
      <c r="IC219" s="243" t="s">
        <v>135</v>
      </c>
      <c r="ID219" s="237"/>
      <c r="IE219" s="234">
        <f>Konvention_1slave-KLslave</f>
        <v>12</v>
      </c>
      <c r="IF219" s="234">
        <f t="shared" si="1619"/>
        <v>12</v>
      </c>
      <c r="IG219" s="234">
        <f>Konvention_1slave-CHslave</f>
        <v>12</v>
      </c>
      <c r="IH219" s="234"/>
      <c r="II219" s="234"/>
      <c r="IJ219" s="234"/>
      <c r="IK219" s="224"/>
      <c r="IL219" s="223">
        <f t="shared" si="1726"/>
        <v>12</v>
      </c>
      <c r="IM219" s="223">
        <f t="shared" si="1727"/>
        <v>24</v>
      </c>
      <c r="IN219" s="224">
        <f t="shared" si="1728"/>
        <v>36</v>
      </c>
      <c r="IO219" s="237">
        <f t="shared" si="1611"/>
        <v>2304</v>
      </c>
      <c r="IP219" s="234">
        <f>IE219*IF219*CHslave+IE219*INslave*IG219+KLslave*IF219*IG219</f>
        <v>3456</v>
      </c>
      <c r="IQ219" s="224">
        <f t="shared" si="1729"/>
        <v>1728</v>
      </c>
      <c r="IR219" s="224">
        <f>SUM(IO219:IQ219)</f>
        <v>7488</v>
      </c>
      <c r="IS219" s="222">
        <f t="shared" si="1731"/>
        <v>3.6923076923076925</v>
      </c>
      <c r="IT219" s="223">
        <f t="shared" si="1732"/>
        <v>11.076923076923077</v>
      </c>
      <c r="IU219" s="243">
        <f t="shared" si="1733"/>
        <v>8.3076923076923084</v>
      </c>
      <c r="IV219" s="243">
        <f t="shared" si="1734"/>
        <v>23.07692307692308</v>
      </c>
      <c r="IW219" s="252">
        <f t="shared" si="1612"/>
        <v>0</v>
      </c>
      <c r="IX219" s="309">
        <f t="shared" si="1735"/>
        <v>23.07692307692308</v>
      </c>
      <c r="IY219" s="218">
        <f>IF(IV219&lt;=0,3,0)+IF(IV219&gt;0,IV219+1,0)*3+IF(IV219&gt;12,IV219-12,0)*3+IF(IV219&gt;13,IV219-13,0)*3+IF(IV219&gt;14,IV219-14,0)*3+IF(IV219&gt;15,IV219-15,0)*3+IF(IV219&gt;16,IV219-16,0)*3+IF(IV219&gt;17,IV219-17,0)*3+IF(IV219&gt;18,IV219-18,0)*3+IF(IV219&gt;19,IV219-19,0)*3+IF(IV219&gt;20,IV219-20,0)*3</f>
        <v>263.30769230769232</v>
      </c>
      <c r="IZ219" s="242">
        <f>IF(IW219&lt;=0,3,0)+IF(IW219&gt;0,IW219+1,0)*3+IF(IW219&gt;12,IW219-12,0)*3+IF(IW219&gt;13,IW219-13,0)*3+IF(IW219&gt;14,IW219-14,0)*3+IF(IW219&gt;15,IW219-15,0)*3+IF(IW219&gt;16,IW219-16,0)*3+IF(IW219&gt;17,IW219-17,0)*3+IF(IW219&gt;18,IW219-18,0)*3+IF(IW219&gt;19,IW219-19,0)*3+IF(IW219&gt;20,IW219-20,0)*3</f>
        <v>3</v>
      </c>
      <c r="JA219" s="243">
        <f t="shared" si="1736"/>
        <v>260.30769230769232</v>
      </c>
      <c r="JB219" s="218">
        <f t="shared" si="1737"/>
        <v>0</v>
      </c>
      <c r="JE219" s="148"/>
    </row>
    <row r="220" spans="2:265" hidden="1" outlineLevel="2">
      <c r="B220" s="148">
        <v>8</v>
      </c>
      <c r="C220" s="303" t="e">
        <f>VLOOKUP(AF220,Attribute!C:T,1,FALSE)</f>
        <v>#N/A</v>
      </c>
      <c r="D220" s="125" t="s">
        <v>170</v>
      </c>
      <c r="E220" s="127" t="s">
        <v>132</v>
      </c>
      <c r="F220" s="114"/>
      <c r="G220" s="113">
        <f>Konvention_1master-KLmaster</f>
        <v>12</v>
      </c>
      <c r="H220" s="113">
        <f>Konvention_1master-INmaster</f>
        <v>12</v>
      </c>
      <c r="I220" s="113"/>
      <c r="J220" s="113">
        <f>Konvention_1master-FFmaster</f>
        <v>12</v>
      </c>
      <c r="K220" s="113"/>
      <c r="L220" s="113"/>
      <c r="M220" s="119"/>
      <c r="N220" s="223">
        <f t="shared" si="1629"/>
        <v>12</v>
      </c>
      <c r="O220" s="223">
        <f t="shared" si="1630"/>
        <v>24</v>
      </c>
      <c r="P220" s="224">
        <f t="shared" si="1631"/>
        <v>36</v>
      </c>
      <c r="Q220" s="237">
        <f t="shared" si="1632"/>
        <v>2304</v>
      </c>
      <c r="R220" s="113">
        <f>G220*H220*FFmaster+G220*INmaster*J220+KLmaster*H220*J220</f>
        <v>3456</v>
      </c>
      <c r="S220" s="224">
        <f t="shared" si="1633"/>
        <v>1728</v>
      </c>
      <c r="T220" s="224">
        <f t="shared" si="1634"/>
        <v>7488</v>
      </c>
      <c r="U220" s="222">
        <f t="shared" si="1635"/>
        <v>3.6923076923076925</v>
      </c>
      <c r="V220" s="223">
        <f t="shared" si="1636"/>
        <v>11.076923076923077</v>
      </c>
      <c r="W220" s="243">
        <f t="shared" si="1637"/>
        <v>8.3076923076923084</v>
      </c>
      <c r="X220" s="243">
        <f t="shared" si="1638"/>
        <v>23.07692307692308</v>
      </c>
      <c r="Y220" s="252">
        <v>0</v>
      </c>
      <c r="Z220" s="198">
        <f t="shared" si="1639"/>
        <v>23.07692307692308</v>
      </c>
      <c r="AA220" s="125">
        <f t="shared" ref="AA220:AB222" si="1738">IF(X220&lt;=0,2,0)+IF(X220&gt;0,X220+1,0)*2+IF(X220&gt;12,X220-12,0)*2+IF(X220&gt;13,X220-13,0)*2+IF(X220&gt;14,X220-14,0)*2+IF(X220&gt;15,X220-15,0)*2+IF(X220&gt;16,X220-16,0)*2+IF(X220&gt;17,X220-17,0)*2+IF(X220&gt;18,X220-18,0)*2+IF(X220&gt;19,X220-19,0)*2+IF(X220&gt;20,X220-20,0)*2</f>
        <v>175.5384615384616</v>
      </c>
      <c r="AB220" s="160">
        <f t="shared" si="1738"/>
        <v>2</v>
      </c>
      <c r="AC220" s="127">
        <f t="shared" si="1640"/>
        <v>173.5384615384616</v>
      </c>
      <c r="AD220" s="125">
        <f t="shared" si="1641"/>
        <v>0</v>
      </c>
      <c r="AF220" s="163" t="s">
        <v>299</v>
      </c>
      <c r="AG220" s="125" t="s">
        <v>170</v>
      </c>
      <c r="AH220" s="127" t="s">
        <v>132</v>
      </c>
      <c r="AI220" s="114"/>
      <c r="AJ220" s="113">
        <f>Konvention_1slave-KLslave</f>
        <v>12</v>
      </c>
      <c r="AK220" s="113">
        <f t="shared" si="1613"/>
        <v>12</v>
      </c>
      <c r="AL220" s="113"/>
      <c r="AM220" s="113">
        <f>Konvention_1slave-FFslave</f>
        <v>12</v>
      </c>
      <c r="AN220" s="113"/>
      <c r="AO220" s="113"/>
      <c r="AP220" s="119"/>
      <c r="AQ220" s="47">
        <f t="shared" si="1642"/>
        <v>12</v>
      </c>
      <c r="AR220" s="47">
        <f t="shared" si="1643"/>
        <v>24</v>
      </c>
      <c r="AS220" s="119">
        <f t="shared" si="1644"/>
        <v>36</v>
      </c>
      <c r="AT220" s="114">
        <f t="shared" si="1597"/>
        <v>2304</v>
      </c>
      <c r="AU220" s="113">
        <f>AJ220*AK220*FFslave+AJ220*INslave*AM220+KLslave*AK220*AM220</f>
        <v>3456</v>
      </c>
      <c r="AV220" s="119">
        <f t="shared" si="1645"/>
        <v>1728</v>
      </c>
      <c r="AW220" s="119">
        <f t="shared" si="1646"/>
        <v>7488</v>
      </c>
      <c r="AX220" s="89">
        <f t="shared" si="1647"/>
        <v>3.6923076923076925</v>
      </c>
      <c r="AY220" s="47">
        <f t="shared" si="1648"/>
        <v>11.076923076923077</v>
      </c>
      <c r="AZ220" s="127">
        <f t="shared" si="1649"/>
        <v>8.3076923076923084</v>
      </c>
      <c r="BA220" s="127">
        <f t="shared" si="1650"/>
        <v>23.07692307692308</v>
      </c>
      <c r="BB220" s="165">
        <f t="shared" si="1598"/>
        <v>0</v>
      </c>
      <c r="BC220" s="198">
        <f t="shared" si="1651"/>
        <v>23.07692307692308</v>
      </c>
      <c r="BD220" s="125">
        <f t="shared" ref="BD220:BE222" si="1739">IF(BA220&lt;=0,2,0)+IF(BA220&gt;0,BA220+1,0)*2+IF(BA220&gt;12,BA220-12,0)*2+IF(BA220&gt;13,BA220-13,0)*2+IF(BA220&gt;14,BA220-14,0)*2+IF(BA220&gt;15,BA220-15,0)*2+IF(BA220&gt;16,BA220-16,0)*2+IF(BA220&gt;17,BA220-17,0)*2+IF(BA220&gt;18,BA220-18,0)*2+IF(BA220&gt;19,BA220-19,0)*2+IF(BA220&gt;20,BA220-20,0)*2</f>
        <v>175.5384615384616</v>
      </c>
      <c r="BE220" s="160">
        <f t="shared" si="1739"/>
        <v>2</v>
      </c>
      <c r="BF220" s="243">
        <f t="shared" si="1652"/>
        <v>173.5384615384616</v>
      </c>
      <c r="BG220" s="218">
        <f t="shared" si="1653"/>
        <v>0</v>
      </c>
      <c r="BI220" s="303" t="s">
        <v>299</v>
      </c>
      <c r="BJ220" s="218" t="s">
        <v>170</v>
      </c>
      <c r="BK220" s="243" t="s">
        <v>132</v>
      </c>
      <c r="BL220" s="237"/>
      <c r="BM220" s="234">
        <f>Konvention_1slave-KLslave_KL</f>
        <v>11</v>
      </c>
      <c r="BN220" s="234">
        <f t="shared" si="1614"/>
        <v>12</v>
      </c>
      <c r="BO220" s="234"/>
      <c r="BP220" s="234">
        <f>Konvention_1slave-FFslave</f>
        <v>12</v>
      </c>
      <c r="BQ220" s="234"/>
      <c r="BR220" s="234"/>
      <c r="BS220" s="224"/>
      <c r="BT220" s="223">
        <f t="shared" si="1654"/>
        <v>11.666666666666666</v>
      </c>
      <c r="BU220" s="223">
        <f t="shared" si="1655"/>
        <v>23.333333333333332</v>
      </c>
      <c r="BV220" s="224">
        <f t="shared" si="1656"/>
        <v>35</v>
      </c>
      <c r="BW220" s="237">
        <f t="shared" si="1599"/>
        <v>2432</v>
      </c>
      <c r="BX220" s="234">
        <f>BM220*BN220*FFslave+BM220*INslave*BP220+KLslave_KL*BN220*BP220</f>
        <v>3408</v>
      </c>
      <c r="BY220" s="224">
        <f t="shared" si="1657"/>
        <v>1584</v>
      </c>
      <c r="BZ220" s="224">
        <f t="shared" si="1658"/>
        <v>7424</v>
      </c>
      <c r="CA220" s="222">
        <f t="shared" si="1659"/>
        <v>3.8218390804597702</v>
      </c>
      <c r="CB220" s="223">
        <f t="shared" si="1660"/>
        <v>10.711206896551724</v>
      </c>
      <c r="CC220" s="243">
        <f t="shared" si="1661"/>
        <v>7.4676724137931032</v>
      </c>
      <c r="CD220" s="243">
        <f t="shared" si="1662"/>
        <v>22.000718390804597</v>
      </c>
      <c r="CE220" s="252">
        <f t="shared" si="1600"/>
        <v>0</v>
      </c>
      <c r="CF220" s="309">
        <f t="shared" si="1663"/>
        <v>22.000718390804597</v>
      </c>
      <c r="CG220" s="218">
        <f t="shared" ref="CG220:CH222" si="1740">IF(CD220&lt;=0,2,0)+IF(CD220&gt;0,CD220+1,0)*2+IF(CD220&gt;12,CD220-12,0)*2+IF(CD220&gt;13,CD220-13,0)*2+IF(CD220&gt;14,CD220-14,0)*2+IF(CD220&gt;15,CD220-15,0)*2+IF(CD220&gt;16,CD220-16,0)*2+IF(CD220&gt;17,CD220-17,0)*2+IF(CD220&gt;18,CD220-18,0)*2+IF(CD220&gt;19,CD220-19,0)*2+IF(CD220&gt;20,CD220-20,0)*2</f>
        <v>154.01436781609189</v>
      </c>
      <c r="CH220" s="242">
        <f t="shared" si="1740"/>
        <v>2</v>
      </c>
      <c r="CI220" s="243">
        <f t="shared" si="1664"/>
        <v>152.01436781609189</v>
      </c>
      <c r="CJ220" s="218">
        <f t="shared" si="1665"/>
        <v>0</v>
      </c>
      <c r="CL220" s="303" t="s">
        <v>299</v>
      </c>
      <c r="CM220" s="218" t="s">
        <v>170</v>
      </c>
      <c r="CN220" s="243" t="s">
        <v>132</v>
      </c>
      <c r="CO220" s="237"/>
      <c r="CP220" s="234">
        <f>Konvention_1slave-KLslave</f>
        <v>12</v>
      </c>
      <c r="CQ220" s="234">
        <f>Konvention_1slave-INslave_IN</f>
        <v>11</v>
      </c>
      <c r="CR220" s="234"/>
      <c r="CS220" s="234">
        <f>Konvention_1slave-FFslave</f>
        <v>12</v>
      </c>
      <c r="CT220" s="234"/>
      <c r="CU220" s="234"/>
      <c r="CV220" s="224"/>
      <c r="CW220" s="223">
        <f t="shared" si="1666"/>
        <v>11.666666666666666</v>
      </c>
      <c r="CX220" s="223">
        <f t="shared" si="1667"/>
        <v>23.333333333333332</v>
      </c>
      <c r="CY220" s="224">
        <f t="shared" si="1668"/>
        <v>35</v>
      </c>
      <c r="CZ220" s="237">
        <f t="shared" si="1601"/>
        <v>2432</v>
      </c>
      <c r="DA220" s="234">
        <f>CP220*CQ220*FFslave+CP220*INslave_IN*CS220+KLslave*CQ220*CS220</f>
        <v>3408</v>
      </c>
      <c r="DB220" s="224">
        <f t="shared" si="1669"/>
        <v>1584</v>
      </c>
      <c r="DC220" s="224">
        <f t="shared" si="1670"/>
        <v>7424</v>
      </c>
      <c r="DD220" s="222">
        <f t="shared" si="1671"/>
        <v>3.8218390804597702</v>
      </c>
      <c r="DE220" s="223">
        <f t="shared" si="1672"/>
        <v>10.711206896551724</v>
      </c>
      <c r="DF220" s="243">
        <f t="shared" si="1673"/>
        <v>7.4676724137931032</v>
      </c>
      <c r="DG220" s="243">
        <f t="shared" si="1674"/>
        <v>22.000718390804597</v>
      </c>
      <c r="DH220" s="252">
        <f t="shared" si="1602"/>
        <v>0</v>
      </c>
      <c r="DI220" s="309">
        <f t="shared" si="1675"/>
        <v>22.000718390804597</v>
      </c>
      <c r="DJ220" s="218">
        <f t="shared" ref="DJ220:DK222" si="1741">IF(DG220&lt;=0,2,0)+IF(DG220&gt;0,DG220+1,0)*2+IF(DG220&gt;12,DG220-12,0)*2+IF(DG220&gt;13,DG220-13,0)*2+IF(DG220&gt;14,DG220-14,0)*2+IF(DG220&gt;15,DG220-15,0)*2+IF(DG220&gt;16,DG220-16,0)*2+IF(DG220&gt;17,DG220-17,0)*2+IF(DG220&gt;18,DG220-18,0)*2+IF(DG220&gt;19,DG220-19,0)*2+IF(DG220&gt;20,DG220-20,0)*2</f>
        <v>154.01436781609189</v>
      </c>
      <c r="DK220" s="242">
        <f t="shared" si="1741"/>
        <v>2</v>
      </c>
      <c r="DL220" s="243">
        <f t="shared" si="1676"/>
        <v>152.01436781609189</v>
      </c>
      <c r="DM220" s="218">
        <f t="shared" si="1677"/>
        <v>0</v>
      </c>
      <c r="DO220" s="303" t="s">
        <v>299</v>
      </c>
      <c r="DP220" s="218" t="s">
        <v>170</v>
      </c>
      <c r="DQ220" s="243" t="s">
        <v>132</v>
      </c>
      <c r="DR220" s="237"/>
      <c r="DS220" s="234">
        <f>Konvention_1slave-KLslave</f>
        <v>12</v>
      </c>
      <c r="DT220" s="234">
        <f t="shared" si="1615"/>
        <v>12</v>
      </c>
      <c r="DU220" s="234"/>
      <c r="DV220" s="234">
        <f>Konvention_1slave-FFslave</f>
        <v>12</v>
      </c>
      <c r="DW220" s="234"/>
      <c r="DX220" s="234"/>
      <c r="DY220" s="224"/>
      <c r="DZ220" s="223">
        <f t="shared" si="1678"/>
        <v>12</v>
      </c>
      <c r="EA220" s="223">
        <f t="shared" si="1679"/>
        <v>24</v>
      </c>
      <c r="EB220" s="224">
        <f t="shared" si="1680"/>
        <v>36</v>
      </c>
      <c r="EC220" s="237">
        <f t="shared" si="1603"/>
        <v>2304</v>
      </c>
      <c r="ED220" s="234">
        <f>DS220*DT220*FFslave+DS220*INslave*DV220+KLslave*DT220*DV220</f>
        <v>3456</v>
      </c>
      <c r="EE220" s="224">
        <f t="shared" si="1681"/>
        <v>1728</v>
      </c>
      <c r="EF220" s="224">
        <f t="shared" si="1682"/>
        <v>7488</v>
      </c>
      <c r="EG220" s="222">
        <f t="shared" si="1683"/>
        <v>3.6923076923076925</v>
      </c>
      <c r="EH220" s="223">
        <f t="shared" si="1684"/>
        <v>11.076923076923077</v>
      </c>
      <c r="EI220" s="243">
        <f t="shared" si="1685"/>
        <v>8.3076923076923084</v>
      </c>
      <c r="EJ220" s="243">
        <f t="shared" si="1686"/>
        <v>23.07692307692308</v>
      </c>
      <c r="EK220" s="252">
        <f t="shared" si="1604"/>
        <v>0</v>
      </c>
      <c r="EL220" s="309">
        <f t="shared" si="1687"/>
        <v>23.07692307692308</v>
      </c>
      <c r="EM220" s="218">
        <f t="shared" ref="EM220:EN222" si="1742">IF(EJ220&lt;=0,2,0)+IF(EJ220&gt;0,EJ220+1,0)*2+IF(EJ220&gt;12,EJ220-12,0)*2+IF(EJ220&gt;13,EJ220-13,0)*2+IF(EJ220&gt;14,EJ220-14,0)*2+IF(EJ220&gt;15,EJ220-15,0)*2+IF(EJ220&gt;16,EJ220-16,0)*2+IF(EJ220&gt;17,EJ220-17,0)*2+IF(EJ220&gt;18,EJ220-18,0)*2+IF(EJ220&gt;19,EJ220-19,0)*2+IF(EJ220&gt;20,EJ220-20,0)*2</f>
        <v>175.5384615384616</v>
      </c>
      <c r="EN220" s="242">
        <f t="shared" si="1742"/>
        <v>2</v>
      </c>
      <c r="EO220" s="243">
        <f t="shared" si="1688"/>
        <v>173.5384615384616</v>
      </c>
      <c r="EP220" s="218">
        <f t="shared" si="1689"/>
        <v>0</v>
      </c>
      <c r="ER220" s="303" t="s">
        <v>299</v>
      </c>
      <c r="ES220" s="218" t="s">
        <v>170</v>
      </c>
      <c r="ET220" s="243" t="s">
        <v>132</v>
      </c>
      <c r="EU220" s="237"/>
      <c r="EV220" s="234">
        <f>Konvention_1slave-KLslave</f>
        <v>12</v>
      </c>
      <c r="EW220" s="234">
        <f t="shared" si="1616"/>
        <v>12</v>
      </c>
      <c r="EX220" s="234"/>
      <c r="EY220" s="234">
        <f>Konvention_1slave-FFslave_FF</f>
        <v>11</v>
      </c>
      <c r="EZ220" s="234"/>
      <c r="FA220" s="234"/>
      <c r="FB220" s="224"/>
      <c r="FC220" s="223">
        <f t="shared" si="1690"/>
        <v>11.666666666666666</v>
      </c>
      <c r="FD220" s="223">
        <f t="shared" si="1691"/>
        <v>23.333333333333332</v>
      </c>
      <c r="FE220" s="224">
        <f t="shared" si="1692"/>
        <v>35</v>
      </c>
      <c r="FF220" s="237">
        <f t="shared" si="1605"/>
        <v>2432</v>
      </c>
      <c r="FG220" s="234">
        <f>EV220*EW220*FFslave_FF+EV220*INslave*EY220+KLslave*EW220*EY220</f>
        <v>3408</v>
      </c>
      <c r="FH220" s="224">
        <f t="shared" si="1693"/>
        <v>1584</v>
      </c>
      <c r="FI220" s="224">
        <f t="shared" si="1694"/>
        <v>7424</v>
      </c>
      <c r="FJ220" s="222">
        <f t="shared" si="1695"/>
        <v>3.8218390804597702</v>
      </c>
      <c r="FK220" s="223">
        <f t="shared" si="1696"/>
        <v>10.711206896551724</v>
      </c>
      <c r="FL220" s="243">
        <f t="shared" si="1697"/>
        <v>7.4676724137931032</v>
      </c>
      <c r="FM220" s="243">
        <f t="shared" si="1698"/>
        <v>22.000718390804597</v>
      </c>
      <c r="FN220" s="252">
        <f t="shared" si="1606"/>
        <v>0</v>
      </c>
      <c r="FO220" s="309">
        <f t="shared" si="1699"/>
        <v>22.000718390804597</v>
      </c>
      <c r="FP220" s="218">
        <f t="shared" ref="FP220:FQ222" si="1743">IF(FM220&lt;=0,2,0)+IF(FM220&gt;0,FM220+1,0)*2+IF(FM220&gt;12,FM220-12,0)*2+IF(FM220&gt;13,FM220-13,0)*2+IF(FM220&gt;14,FM220-14,0)*2+IF(FM220&gt;15,FM220-15,0)*2+IF(FM220&gt;16,FM220-16,0)*2+IF(FM220&gt;17,FM220-17,0)*2+IF(FM220&gt;18,FM220-18,0)*2+IF(FM220&gt;19,FM220-19,0)*2+IF(FM220&gt;20,FM220-20,0)*2</f>
        <v>154.01436781609189</v>
      </c>
      <c r="FQ220" s="242">
        <f t="shared" si="1743"/>
        <v>2</v>
      </c>
      <c r="FR220" s="243">
        <f t="shared" si="1700"/>
        <v>152.01436781609189</v>
      </c>
      <c r="FS220" s="218">
        <f t="shared" si="1701"/>
        <v>0</v>
      </c>
      <c r="FU220" s="303" t="s">
        <v>299</v>
      </c>
      <c r="FV220" s="218" t="s">
        <v>170</v>
      </c>
      <c r="FW220" s="243" t="s">
        <v>132</v>
      </c>
      <c r="FX220" s="237"/>
      <c r="FY220" s="234">
        <f>Konvention_1slave-KLslave</f>
        <v>12</v>
      </c>
      <c r="FZ220" s="234">
        <f t="shared" si="1617"/>
        <v>12</v>
      </c>
      <c r="GA220" s="234"/>
      <c r="GB220" s="234">
        <f>Konvention_1slave-FFslave</f>
        <v>12</v>
      </c>
      <c r="GC220" s="234"/>
      <c r="GD220" s="234"/>
      <c r="GE220" s="224"/>
      <c r="GF220" s="223">
        <f t="shared" si="1702"/>
        <v>12</v>
      </c>
      <c r="GG220" s="223">
        <f t="shared" si="1703"/>
        <v>24</v>
      </c>
      <c r="GH220" s="224">
        <f t="shared" si="1704"/>
        <v>36</v>
      </c>
      <c r="GI220" s="237">
        <f t="shared" si="1607"/>
        <v>2304</v>
      </c>
      <c r="GJ220" s="234">
        <f>FY220*FZ220*FFslave+FY220*INslave*GB220+KLslave*FZ220*GB220</f>
        <v>3456</v>
      </c>
      <c r="GK220" s="224">
        <f t="shared" si="1705"/>
        <v>1728</v>
      </c>
      <c r="GL220" s="224">
        <f t="shared" si="1706"/>
        <v>7488</v>
      </c>
      <c r="GM220" s="222">
        <f t="shared" si="1707"/>
        <v>3.6923076923076925</v>
      </c>
      <c r="GN220" s="223">
        <f t="shared" si="1708"/>
        <v>11.076923076923077</v>
      </c>
      <c r="GO220" s="243">
        <f t="shared" si="1709"/>
        <v>8.3076923076923084</v>
      </c>
      <c r="GP220" s="243">
        <f t="shared" si="1710"/>
        <v>23.07692307692308</v>
      </c>
      <c r="GQ220" s="252">
        <f t="shared" si="1608"/>
        <v>0</v>
      </c>
      <c r="GR220" s="309">
        <f t="shared" si="1711"/>
        <v>23.07692307692308</v>
      </c>
      <c r="GS220" s="218">
        <f t="shared" ref="GS220:GT222" si="1744">IF(GP220&lt;=0,2,0)+IF(GP220&gt;0,GP220+1,0)*2+IF(GP220&gt;12,GP220-12,0)*2+IF(GP220&gt;13,GP220-13,0)*2+IF(GP220&gt;14,GP220-14,0)*2+IF(GP220&gt;15,GP220-15,0)*2+IF(GP220&gt;16,GP220-16,0)*2+IF(GP220&gt;17,GP220-17,0)*2+IF(GP220&gt;18,GP220-18,0)*2+IF(GP220&gt;19,GP220-19,0)*2+IF(GP220&gt;20,GP220-20,0)*2</f>
        <v>175.5384615384616</v>
      </c>
      <c r="GT220" s="242">
        <f t="shared" si="1744"/>
        <v>2</v>
      </c>
      <c r="GU220" s="243">
        <f t="shared" si="1712"/>
        <v>173.5384615384616</v>
      </c>
      <c r="GV220" s="218">
        <f t="shared" si="1713"/>
        <v>0</v>
      </c>
      <c r="GX220" s="303" t="s">
        <v>299</v>
      </c>
      <c r="GY220" s="218" t="s">
        <v>170</v>
      </c>
      <c r="GZ220" s="243" t="s">
        <v>132</v>
      </c>
      <c r="HA220" s="237"/>
      <c r="HB220" s="234">
        <f>Konvention_1slave-KLslave</f>
        <v>12</v>
      </c>
      <c r="HC220" s="234">
        <f t="shared" si="1618"/>
        <v>12</v>
      </c>
      <c r="HD220" s="234"/>
      <c r="HE220" s="234">
        <f>Konvention_1slave-FFslave</f>
        <v>12</v>
      </c>
      <c r="HF220" s="234"/>
      <c r="HG220" s="234"/>
      <c r="HH220" s="224"/>
      <c r="HI220" s="223">
        <f t="shared" si="1714"/>
        <v>12</v>
      </c>
      <c r="HJ220" s="223">
        <f t="shared" si="1715"/>
        <v>24</v>
      </c>
      <c r="HK220" s="224">
        <f t="shared" si="1716"/>
        <v>36</v>
      </c>
      <c r="HL220" s="237">
        <f t="shared" si="1609"/>
        <v>2304</v>
      </c>
      <c r="HM220" s="234">
        <f>HB220*HC220*FFslave+HB220*INslave*HE220+KLslave*HC220*HE220</f>
        <v>3456</v>
      </c>
      <c r="HN220" s="224">
        <f t="shared" si="1717"/>
        <v>1728</v>
      </c>
      <c r="HO220" s="224">
        <f t="shared" si="1718"/>
        <v>7488</v>
      </c>
      <c r="HP220" s="222">
        <f t="shared" si="1719"/>
        <v>3.6923076923076925</v>
      </c>
      <c r="HQ220" s="223">
        <f t="shared" si="1720"/>
        <v>11.076923076923077</v>
      </c>
      <c r="HR220" s="243">
        <f t="shared" si="1721"/>
        <v>8.3076923076923084</v>
      </c>
      <c r="HS220" s="243">
        <f t="shared" si="1722"/>
        <v>23.07692307692308</v>
      </c>
      <c r="HT220" s="252">
        <f t="shared" si="1610"/>
        <v>0</v>
      </c>
      <c r="HU220" s="309">
        <f t="shared" si="1723"/>
        <v>23.07692307692308</v>
      </c>
      <c r="HV220" s="218">
        <f t="shared" ref="HV220:HW222" si="1745">IF(HS220&lt;=0,2,0)+IF(HS220&gt;0,HS220+1,0)*2+IF(HS220&gt;12,HS220-12,0)*2+IF(HS220&gt;13,HS220-13,0)*2+IF(HS220&gt;14,HS220-14,0)*2+IF(HS220&gt;15,HS220-15,0)*2+IF(HS220&gt;16,HS220-16,0)*2+IF(HS220&gt;17,HS220-17,0)*2+IF(HS220&gt;18,HS220-18,0)*2+IF(HS220&gt;19,HS220-19,0)*2+IF(HS220&gt;20,HS220-20,0)*2</f>
        <v>175.5384615384616</v>
      </c>
      <c r="HW220" s="242">
        <f t="shared" si="1745"/>
        <v>2</v>
      </c>
      <c r="HX220" s="243">
        <f t="shared" si="1724"/>
        <v>173.5384615384616</v>
      </c>
      <c r="HY220" s="218">
        <f t="shared" si="1725"/>
        <v>0</v>
      </c>
      <c r="IA220" s="303" t="s">
        <v>299</v>
      </c>
      <c r="IB220" s="218" t="s">
        <v>170</v>
      </c>
      <c r="IC220" s="243" t="s">
        <v>132</v>
      </c>
      <c r="ID220" s="237"/>
      <c r="IE220" s="234">
        <f>Konvention_1slave-KLslave</f>
        <v>12</v>
      </c>
      <c r="IF220" s="234">
        <f t="shared" si="1619"/>
        <v>12</v>
      </c>
      <c r="IG220" s="234"/>
      <c r="IH220" s="234">
        <f>Konvention_1slave-FFslave</f>
        <v>12</v>
      </c>
      <c r="II220" s="234"/>
      <c r="IJ220" s="234"/>
      <c r="IK220" s="224"/>
      <c r="IL220" s="223">
        <f t="shared" si="1726"/>
        <v>12</v>
      </c>
      <c r="IM220" s="223">
        <f t="shared" si="1727"/>
        <v>24</v>
      </c>
      <c r="IN220" s="224">
        <f t="shared" si="1728"/>
        <v>36</v>
      </c>
      <c r="IO220" s="237">
        <f t="shared" si="1611"/>
        <v>2304</v>
      </c>
      <c r="IP220" s="234">
        <f>IE220*IF220*FFslave+IE220*INslave*IH220+KLslave*IF220*IH220</f>
        <v>3456</v>
      </c>
      <c r="IQ220" s="224">
        <f t="shared" si="1729"/>
        <v>1728</v>
      </c>
      <c r="IR220" s="224">
        <f t="shared" si="1730"/>
        <v>7488</v>
      </c>
      <c r="IS220" s="222">
        <f t="shared" si="1731"/>
        <v>3.6923076923076925</v>
      </c>
      <c r="IT220" s="223">
        <f t="shared" si="1732"/>
        <v>11.076923076923077</v>
      </c>
      <c r="IU220" s="243">
        <f t="shared" si="1733"/>
        <v>8.3076923076923084</v>
      </c>
      <c r="IV220" s="243">
        <f t="shared" si="1734"/>
        <v>23.07692307692308</v>
      </c>
      <c r="IW220" s="252">
        <f t="shared" si="1612"/>
        <v>0</v>
      </c>
      <c r="IX220" s="309">
        <f t="shared" si="1735"/>
        <v>23.07692307692308</v>
      </c>
      <c r="IY220" s="218">
        <f t="shared" ref="IY220:IZ222" si="1746">IF(IV220&lt;=0,2,0)+IF(IV220&gt;0,IV220+1,0)*2+IF(IV220&gt;12,IV220-12,0)*2+IF(IV220&gt;13,IV220-13,0)*2+IF(IV220&gt;14,IV220-14,0)*2+IF(IV220&gt;15,IV220-15,0)*2+IF(IV220&gt;16,IV220-16,0)*2+IF(IV220&gt;17,IV220-17,0)*2+IF(IV220&gt;18,IV220-18,0)*2+IF(IV220&gt;19,IV220-19,0)*2+IF(IV220&gt;20,IV220-20,0)*2</f>
        <v>175.5384615384616</v>
      </c>
      <c r="IZ220" s="242">
        <f t="shared" si="1746"/>
        <v>2</v>
      </c>
      <c r="JA220" s="243">
        <f t="shared" si="1736"/>
        <v>173.5384615384616</v>
      </c>
      <c r="JB220" s="218">
        <f t="shared" si="1737"/>
        <v>0</v>
      </c>
      <c r="JE220" s="148"/>
    </row>
    <row r="221" spans="2:265" ht="15" hidden="1" customHeight="1" outlineLevel="2">
      <c r="B221" s="148">
        <v>9</v>
      </c>
      <c r="C221" s="303" t="e">
        <f>VLOOKUP(AF221,Attribute!C:T,1,FALSE)</f>
        <v>#N/A</v>
      </c>
      <c r="D221" s="125" t="s">
        <v>227</v>
      </c>
      <c r="E221" s="127" t="s">
        <v>132</v>
      </c>
      <c r="F221" s="114">
        <f>Konvention_1master-MUmaster</f>
        <v>12</v>
      </c>
      <c r="G221" s="113"/>
      <c r="H221" s="113"/>
      <c r="I221" s="113">
        <f>Konvention_1master-CHmaster</f>
        <v>12</v>
      </c>
      <c r="J221" s="113"/>
      <c r="K221" s="113"/>
      <c r="L221" s="113">
        <f>Konvention_1master-KOmaster</f>
        <v>12</v>
      </c>
      <c r="M221" s="119"/>
      <c r="N221" s="223">
        <f t="shared" si="1629"/>
        <v>12</v>
      </c>
      <c r="O221" s="223">
        <f t="shared" si="1630"/>
        <v>24</v>
      </c>
      <c r="P221" s="224">
        <f t="shared" si="1631"/>
        <v>36</v>
      </c>
      <c r="Q221" s="237">
        <f t="shared" si="1632"/>
        <v>2304</v>
      </c>
      <c r="R221" s="113">
        <f>F221*I221*KOmaster+F221*CHmaster*L221+MUmaster*I221*L221</f>
        <v>3456</v>
      </c>
      <c r="S221" s="224">
        <f t="shared" si="1633"/>
        <v>1728</v>
      </c>
      <c r="T221" s="224">
        <f>SUM(Q221:S221)</f>
        <v>7488</v>
      </c>
      <c r="U221" s="222">
        <f t="shared" si="1635"/>
        <v>3.6923076923076925</v>
      </c>
      <c r="V221" s="223">
        <f t="shared" si="1636"/>
        <v>11.076923076923077</v>
      </c>
      <c r="W221" s="243">
        <f t="shared" si="1637"/>
        <v>8.3076923076923084</v>
      </c>
      <c r="X221" s="243">
        <f t="shared" si="1638"/>
        <v>23.07692307692308</v>
      </c>
      <c r="Y221" s="252">
        <v>0</v>
      </c>
      <c r="Z221" s="198">
        <f t="shared" si="1639"/>
        <v>23.07692307692308</v>
      </c>
      <c r="AA221" s="125">
        <f t="shared" si="1738"/>
        <v>175.5384615384616</v>
      </c>
      <c r="AB221" s="160">
        <f t="shared" si="1738"/>
        <v>2</v>
      </c>
      <c r="AC221" s="127">
        <f t="shared" si="1640"/>
        <v>173.5384615384616</v>
      </c>
      <c r="AD221" s="125">
        <f t="shared" si="1641"/>
        <v>0</v>
      </c>
      <c r="AF221" s="163" t="s">
        <v>382</v>
      </c>
      <c r="AG221" s="125" t="s">
        <v>227</v>
      </c>
      <c r="AH221" s="127" t="s">
        <v>132</v>
      </c>
      <c r="AI221" s="114">
        <f>Konvention_1slave-MUslave_MU</f>
        <v>11</v>
      </c>
      <c r="AJ221" s="113"/>
      <c r="AK221" s="113"/>
      <c r="AL221" s="113">
        <f>Konvention_1slave-CHslave</f>
        <v>12</v>
      </c>
      <c r="AM221" s="113"/>
      <c r="AN221" s="113"/>
      <c r="AO221" s="113">
        <f>Konvention_1slave-KOslave</f>
        <v>12</v>
      </c>
      <c r="AP221" s="119"/>
      <c r="AQ221" s="47">
        <f t="shared" si="1642"/>
        <v>11.666666666666666</v>
      </c>
      <c r="AR221" s="47">
        <f t="shared" si="1643"/>
        <v>23.333333333333332</v>
      </c>
      <c r="AS221" s="119">
        <f t="shared" si="1644"/>
        <v>35</v>
      </c>
      <c r="AT221" s="114">
        <f t="shared" si="1597"/>
        <v>2432</v>
      </c>
      <c r="AU221" s="113">
        <f>AI221*AL221*KOslave+AI221*CHslave*AO221+MUslave_MU*AL221*AO221</f>
        <v>3408</v>
      </c>
      <c r="AV221" s="119">
        <f t="shared" si="1645"/>
        <v>1584</v>
      </c>
      <c r="AW221" s="119">
        <f t="shared" si="1646"/>
        <v>7424</v>
      </c>
      <c r="AX221" s="89">
        <f t="shared" si="1647"/>
        <v>3.8218390804597702</v>
      </c>
      <c r="AY221" s="47">
        <f t="shared" si="1648"/>
        <v>10.711206896551724</v>
      </c>
      <c r="AZ221" s="127">
        <f t="shared" si="1649"/>
        <v>7.4676724137931032</v>
      </c>
      <c r="BA221" s="127">
        <f t="shared" si="1650"/>
        <v>22.000718390804597</v>
      </c>
      <c r="BB221" s="165">
        <f t="shared" si="1598"/>
        <v>0</v>
      </c>
      <c r="BC221" s="198">
        <f t="shared" si="1651"/>
        <v>22.000718390804597</v>
      </c>
      <c r="BD221" s="125">
        <f t="shared" si="1739"/>
        <v>154.01436781609189</v>
      </c>
      <c r="BE221" s="160">
        <f t="shared" si="1739"/>
        <v>2</v>
      </c>
      <c r="BF221" s="243">
        <f t="shared" si="1652"/>
        <v>152.01436781609189</v>
      </c>
      <c r="BG221" s="218">
        <f t="shared" si="1653"/>
        <v>0</v>
      </c>
      <c r="BI221" s="303" t="s">
        <v>382</v>
      </c>
      <c r="BJ221" s="218" t="s">
        <v>227</v>
      </c>
      <c r="BK221" s="243" t="s">
        <v>132</v>
      </c>
      <c r="BL221" s="237">
        <f>Konvention_1slave-MUslave</f>
        <v>12</v>
      </c>
      <c r="BM221" s="234"/>
      <c r="BN221" s="234"/>
      <c r="BO221" s="234">
        <f>Konvention_1slave-CHslave</f>
        <v>12</v>
      </c>
      <c r="BP221" s="234"/>
      <c r="BQ221" s="234"/>
      <c r="BR221" s="234">
        <f>Konvention_1slave-KOslave</f>
        <v>12</v>
      </c>
      <c r="BS221" s="224"/>
      <c r="BT221" s="223">
        <f t="shared" si="1654"/>
        <v>12</v>
      </c>
      <c r="BU221" s="223">
        <f t="shared" si="1655"/>
        <v>24</v>
      </c>
      <c r="BV221" s="224">
        <f t="shared" si="1656"/>
        <v>36</v>
      </c>
      <c r="BW221" s="237">
        <f t="shared" si="1599"/>
        <v>2304</v>
      </c>
      <c r="BX221" s="234">
        <f>BL221*BO221*KOslave+BL221*CHslave*BR221+MUslave*BO221*BR221</f>
        <v>3456</v>
      </c>
      <c r="BY221" s="224">
        <f t="shared" si="1657"/>
        <v>1728</v>
      </c>
      <c r="BZ221" s="224">
        <f t="shared" si="1658"/>
        <v>7488</v>
      </c>
      <c r="CA221" s="222">
        <f t="shared" si="1659"/>
        <v>3.6923076923076925</v>
      </c>
      <c r="CB221" s="223">
        <f t="shared" si="1660"/>
        <v>11.076923076923077</v>
      </c>
      <c r="CC221" s="243">
        <f t="shared" si="1661"/>
        <v>8.3076923076923084</v>
      </c>
      <c r="CD221" s="243">
        <f t="shared" si="1662"/>
        <v>23.07692307692308</v>
      </c>
      <c r="CE221" s="252">
        <f t="shared" si="1600"/>
        <v>0</v>
      </c>
      <c r="CF221" s="309">
        <f t="shared" si="1663"/>
        <v>23.07692307692308</v>
      </c>
      <c r="CG221" s="218">
        <f t="shared" si="1740"/>
        <v>175.5384615384616</v>
      </c>
      <c r="CH221" s="242">
        <f t="shared" si="1740"/>
        <v>2</v>
      </c>
      <c r="CI221" s="243">
        <f t="shared" si="1664"/>
        <v>173.5384615384616</v>
      </c>
      <c r="CJ221" s="218">
        <f t="shared" si="1665"/>
        <v>0</v>
      </c>
      <c r="CL221" s="303" t="s">
        <v>382</v>
      </c>
      <c r="CM221" s="218" t="s">
        <v>227</v>
      </c>
      <c r="CN221" s="243" t="s">
        <v>132</v>
      </c>
      <c r="CO221" s="237">
        <f>Konvention_1slave-MUslave</f>
        <v>12</v>
      </c>
      <c r="CP221" s="234"/>
      <c r="CQ221" s="234"/>
      <c r="CR221" s="234">
        <f>Konvention_1slave-CHslave</f>
        <v>12</v>
      </c>
      <c r="CS221" s="234"/>
      <c r="CT221" s="234"/>
      <c r="CU221" s="234">
        <f>Konvention_1slave-KOslave</f>
        <v>12</v>
      </c>
      <c r="CV221" s="224"/>
      <c r="CW221" s="223">
        <f t="shared" si="1666"/>
        <v>12</v>
      </c>
      <c r="CX221" s="223">
        <f t="shared" si="1667"/>
        <v>24</v>
      </c>
      <c r="CY221" s="224">
        <f t="shared" si="1668"/>
        <v>36</v>
      </c>
      <c r="CZ221" s="237">
        <f t="shared" si="1601"/>
        <v>2304</v>
      </c>
      <c r="DA221" s="234">
        <f>CO221*CR221*KOslave+CO221*CHslave*CU221+MUslave*CR221*CU221</f>
        <v>3456</v>
      </c>
      <c r="DB221" s="224">
        <f t="shared" si="1669"/>
        <v>1728</v>
      </c>
      <c r="DC221" s="224">
        <f t="shared" si="1670"/>
        <v>7488</v>
      </c>
      <c r="DD221" s="222">
        <f t="shared" si="1671"/>
        <v>3.6923076923076925</v>
      </c>
      <c r="DE221" s="223">
        <f t="shared" si="1672"/>
        <v>11.076923076923077</v>
      </c>
      <c r="DF221" s="243">
        <f t="shared" si="1673"/>
        <v>8.3076923076923084</v>
      </c>
      <c r="DG221" s="243">
        <f t="shared" si="1674"/>
        <v>23.07692307692308</v>
      </c>
      <c r="DH221" s="252">
        <f t="shared" si="1602"/>
        <v>0</v>
      </c>
      <c r="DI221" s="309">
        <f t="shared" si="1675"/>
        <v>23.07692307692308</v>
      </c>
      <c r="DJ221" s="218">
        <f t="shared" si="1741"/>
        <v>175.5384615384616</v>
      </c>
      <c r="DK221" s="242">
        <f t="shared" si="1741"/>
        <v>2</v>
      </c>
      <c r="DL221" s="243">
        <f t="shared" si="1676"/>
        <v>173.5384615384616</v>
      </c>
      <c r="DM221" s="218">
        <f t="shared" si="1677"/>
        <v>0</v>
      </c>
      <c r="DO221" s="303" t="s">
        <v>382</v>
      </c>
      <c r="DP221" s="218" t="s">
        <v>227</v>
      </c>
      <c r="DQ221" s="243" t="s">
        <v>132</v>
      </c>
      <c r="DR221" s="237">
        <f>Konvention_1slave-MUslave</f>
        <v>12</v>
      </c>
      <c r="DS221" s="234"/>
      <c r="DT221" s="234"/>
      <c r="DU221" s="234">
        <f>Konvention_1slave-CHslave_CH</f>
        <v>11</v>
      </c>
      <c r="DV221" s="234"/>
      <c r="DW221" s="234"/>
      <c r="DX221" s="234">
        <f>Konvention_1slave-KOslave</f>
        <v>12</v>
      </c>
      <c r="DY221" s="224"/>
      <c r="DZ221" s="223">
        <f t="shared" si="1678"/>
        <v>11.666666666666666</v>
      </c>
      <c r="EA221" s="223">
        <f t="shared" si="1679"/>
        <v>23.333333333333332</v>
      </c>
      <c r="EB221" s="224">
        <f t="shared" si="1680"/>
        <v>35</v>
      </c>
      <c r="EC221" s="237">
        <f t="shared" si="1603"/>
        <v>2432</v>
      </c>
      <c r="ED221" s="234">
        <f>DR221*DU221*KOslave+DR221*CHslave_CH*DX221+MUslave*DU221*DX221</f>
        <v>3408</v>
      </c>
      <c r="EE221" s="224">
        <f t="shared" si="1681"/>
        <v>1584</v>
      </c>
      <c r="EF221" s="224">
        <f t="shared" si="1682"/>
        <v>7424</v>
      </c>
      <c r="EG221" s="222">
        <f t="shared" si="1683"/>
        <v>3.8218390804597702</v>
      </c>
      <c r="EH221" s="223">
        <f t="shared" si="1684"/>
        <v>10.711206896551724</v>
      </c>
      <c r="EI221" s="243">
        <f t="shared" si="1685"/>
        <v>7.4676724137931032</v>
      </c>
      <c r="EJ221" s="243">
        <f t="shared" si="1686"/>
        <v>22.000718390804597</v>
      </c>
      <c r="EK221" s="252">
        <f t="shared" si="1604"/>
        <v>0</v>
      </c>
      <c r="EL221" s="309">
        <f t="shared" si="1687"/>
        <v>22.000718390804597</v>
      </c>
      <c r="EM221" s="218">
        <f t="shared" si="1742"/>
        <v>154.01436781609189</v>
      </c>
      <c r="EN221" s="242">
        <f t="shared" si="1742"/>
        <v>2</v>
      </c>
      <c r="EO221" s="243">
        <f t="shared" si="1688"/>
        <v>152.01436781609189</v>
      </c>
      <c r="EP221" s="218">
        <f t="shared" si="1689"/>
        <v>0</v>
      </c>
      <c r="ER221" s="303" t="s">
        <v>382</v>
      </c>
      <c r="ES221" s="218" t="s">
        <v>227</v>
      </c>
      <c r="ET221" s="243" t="s">
        <v>132</v>
      </c>
      <c r="EU221" s="237">
        <f>Konvention_1slave-MUslave</f>
        <v>12</v>
      </c>
      <c r="EV221" s="234"/>
      <c r="EW221" s="234"/>
      <c r="EX221" s="234">
        <f>Konvention_1slave-CHslave</f>
        <v>12</v>
      </c>
      <c r="EY221" s="234"/>
      <c r="EZ221" s="234"/>
      <c r="FA221" s="234">
        <f>Konvention_1slave-KOslave</f>
        <v>12</v>
      </c>
      <c r="FB221" s="224"/>
      <c r="FC221" s="223">
        <f t="shared" si="1690"/>
        <v>12</v>
      </c>
      <c r="FD221" s="223">
        <f t="shared" si="1691"/>
        <v>24</v>
      </c>
      <c r="FE221" s="224">
        <f t="shared" si="1692"/>
        <v>36</v>
      </c>
      <c r="FF221" s="237">
        <f t="shared" si="1605"/>
        <v>2304</v>
      </c>
      <c r="FG221" s="234">
        <f>EU221*EX221*KOslave+EU221*CHslave*FA221+MUslave*EX221*FA221</f>
        <v>3456</v>
      </c>
      <c r="FH221" s="224">
        <f t="shared" si="1693"/>
        <v>1728</v>
      </c>
      <c r="FI221" s="224">
        <f t="shared" si="1694"/>
        <v>7488</v>
      </c>
      <c r="FJ221" s="222">
        <f t="shared" si="1695"/>
        <v>3.6923076923076925</v>
      </c>
      <c r="FK221" s="223">
        <f t="shared" si="1696"/>
        <v>11.076923076923077</v>
      </c>
      <c r="FL221" s="243">
        <f t="shared" si="1697"/>
        <v>8.3076923076923084</v>
      </c>
      <c r="FM221" s="243">
        <f t="shared" si="1698"/>
        <v>23.07692307692308</v>
      </c>
      <c r="FN221" s="252">
        <f t="shared" si="1606"/>
        <v>0</v>
      </c>
      <c r="FO221" s="309">
        <f t="shared" si="1699"/>
        <v>23.07692307692308</v>
      </c>
      <c r="FP221" s="218">
        <f t="shared" si="1743"/>
        <v>175.5384615384616</v>
      </c>
      <c r="FQ221" s="242">
        <f t="shared" si="1743"/>
        <v>2</v>
      </c>
      <c r="FR221" s="243">
        <f t="shared" si="1700"/>
        <v>173.5384615384616</v>
      </c>
      <c r="FS221" s="218">
        <f t="shared" si="1701"/>
        <v>0</v>
      </c>
      <c r="FU221" s="303" t="s">
        <v>382</v>
      </c>
      <c r="FV221" s="218" t="s">
        <v>227</v>
      </c>
      <c r="FW221" s="243" t="s">
        <v>132</v>
      </c>
      <c r="FX221" s="237">
        <f>Konvention_1slave-MUslave</f>
        <v>12</v>
      </c>
      <c r="FY221" s="234"/>
      <c r="FZ221" s="234"/>
      <c r="GA221" s="234">
        <f>Konvention_1slave-CHslave</f>
        <v>12</v>
      </c>
      <c r="GB221" s="234"/>
      <c r="GC221" s="234"/>
      <c r="GD221" s="234">
        <f>Konvention_1slave-KOslave</f>
        <v>12</v>
      </c>
      <c r="GE221" s="224"/>
      <c r="GF221" s="223">
        <f t="shared" si="1702"/>
        <v>12</v>
      </c>
      <c r="GG221" s="223">
        <f t="shared" si="1703"/>
        <v>24</v>
      </c>
      <c r="GH221" s="224">
        <f t="shared" si="1704"/>
        <v>36</v>
      </c>
      <c r="GI221" s="237">
        <f t="shared" si="1607"/>
        <v>2304</v>
      </c>
      <c r="GJ221" s="234">
        <f>FX221*GA221*KOslave+FX221*CHslave*GD221+MUslave*GA221*GD221</f>
        <v>3456</v>
      </c>
      <c r="GK221" s="224">
        <f t="shared" si="1705"/>
        <v>1728</v>
      </c>
      <c r="GL221" s="224">
        <f t="shared" si="1706"/>
        <v>7488</v>
      </c>
      <c r="GM221" s="222">
        <f t="shared" si="1707"/>
        <v>3.6923076923076925</v>
      </c>
      <c r="GN221" s="223">
        <f t="shared" si="1708"/>
        <v>11.076923076923077</v>
      </c>
      <c r="GO221" s="243">
        <f t="shared" si="1709"/>
        <v>8.3076923076923084</v>
      </c>
      <c r="GP221" s="243">
        <f t="shared" si="1710"/>
        <v>23.07692307692308</v>
      </c>
      <c r="GQ221" s="252">
        <f t="shared" si="1608"/>
        <v>0</v>
      </c>
      <c r="GR221" s="309">
        <f t="shared" si="1711"/>
        <v>23.07692307692308</v>
      </c>
      <c r="GS221" s="218">
        <f t="shared" si="1744"/>
        <v>175.5384615384616</v>
      </c>
      <c r="GT221" s="242">
        <f t="shared" si="1744"/>
        <v>2</v>
      </c>
      <c r="GU221" s="243">
        <f t="shared" si="1712"/>
        <v>173.5384615384616</v>
      </c>
      <c r="GV221" s="218">
        <f t="shared" si="1713"/>
        <v>0</v>
      </c>
      <c r="GX221" s="303" t="s">
        <v>382</v>
      </c>
      <c r="GY221" s="218" t="s">
        <v>227</v>
      </c>
      <c r="GZ221" s="243" t="s">
        <v>132</v>
      </c>
      <c r="HA221" s="237">
        <f>Konvention_1slave-MUslave</f>
        <v>12</v>
      </c>
      <c r="HB221" s="234"/>
      <c r="HC221" s="234"/>
      <c r="HD221" s="234">
        <f>Konvention_1slave-CHslave</f>
        <v>12</v>
      </c>
      <c r="HE221" s="234"/>
      <c r="HF221" s="234"/>
      <c r="HG221" s="234">
        <f>Konvention_1slave-KOslave_KO</f>
        <v>11</v>
      </c>
      <c r="HH221" s="224"/>
      <c r="HI221" s="223">
        <f t="shared" si="1714"/>
        <v>11.666666666666666</v>
      </c>
      <c r="HJ221" s="223">
        <f t="shared" si="1715"/>
        <v>23.333333333333332</v>
      </c>
      <c r="HK221" s="224">
        <f t="shared" si="1716"/>
        <v>35</v>
      </c>
      <c r="HL221" s="237">
        <f t="shared" si="1609"/>
        <v>2432</v>
      </c>
      <c r="HM221" s="234">
        <f>HA221*HD221*KOslave_KO+HA221*CHslave*HG221+MUslave*HD221*HG221</f>
        <v>3408</v>
      </c>
      <c r="HN221" s="224">
        <f t="shared" si="1717"/>
        <v>1584</v>
      </c>
      <c r="HO221" s="224">
        <f t="shared" si="1718"/>
        <v>7424</v>
      </c>
      <c r="HP221" s="222">
        <f t="shared" si="1719"/>
        <v>3.8218390804597702</v>
      </c>
      <c r="HQ221" s="223">
        <f t="shared" si="1720"/>
        <v>10.711206896551724</v>
      </c>
      <c r="HR221" s="243">
        <f t="shared" si="1721"/>
        <v>7.4676724137931032</v>
      </c>
      <c r="HS221" s="243">
        <f t="shared" si="1722"/>
        <v>22.000718390804597</v>
      </c>
      <c r="HT221" s="252">
        <f t="shared" si="1610"/>
        <v>0</v>
      </c>
      <c r="HU221" s="309">
        <f t="shared" si="1723"/>
        <v>22.000718390804597</v>
      </c>
      <c r="HV221" s="218">
        <f t="shared" si="1745"/>
        <v>154.01436781609189</v>
      </c>
      <c r="HW221" s="242">
        <f t="shared" si="1745"/>
        <v>2</v>
      </c>
      <c r="HX221" s="243">
        <f t="shared" si="1724"/>
        <v>152.01436781609189</v>
      </c>
      <c r="HY221" s="218">
        <f t="shared" si="1725"/>
        <v>0</v>
      </c>
      <c r="IA221" s="303" t="s">
        <v>382</v>
      </c>
      <c r="IB221" s="218" t="s">
        <v>227</v>
      </c>
      <c r="IC221" s="243" t="s">
        <v>132</v>
      </c>
      <c r="ID221" s="237">
        <f>Konvention_1slave-MUslave</f>
        <v>12</v>
      </c>
      <c r="IE221" s="234"/>
      <c r="IF221" s="234"/>
      <c r="IG221" s="234">
        <f>Konvention_1slave-CHslave</f>
        <v>12</v>
      </c>
      <c r="IH221" s="234"/>
      <c r="II221" s="234"/>
      <c r="IJ221" s="234">
        <f>Konvention_1slave-KOslave</f>
        <v>12</v>
      </c>
      <c r="IK221" s="224"/>
      <c r="IL221" s="223">
        <f t="shared" si="1726"/>
        <v>12</v>
      </c>
      <c r="IM221" s="223">
        <f t="shared" si="1727"/>
        <v>24</v>
      </c>
      <c r="IN221" s="224">
        <f t="shared" si="1728"/>
        <v>36</v>
      </c>
      <c r="IO221" s="237">
        <f t="shared" si="1611"/>
        <v>2304</v>
      </c>
      <c r="IP221" s="234">
        <f>ID221*IG221*KOslave+ID221*CHslave*IJ221+MUslave*IG221*IJ221</f>
        <v>3456</v>
      </c>
      <c r="IQ221" s="224">
        <f t="shared" si="1729"/>
        <v>1728</v>
      </c>
      <c r="IR221" s="224">
        <f t="shared" si="1730"/>
        <v>7488</v>
      </c>
      <c r="IS221" s="222">
        <f t="shared" si="1731"/>
        <v>3.6923076923076925</v>
      </c>
      <c r="IT221" s="223">
        <f t="shared" si="1732"/>
        <v>11.076923076923077</v>
      </c>
      <c r="IU221" s="243">
        <f t="shared" si="1733"/>
        <v>8.3076923076923084</v>
      </c>
      <c r="IV221" s="243">
        <f t="shared" si="1734"/>
        <v>23.07692307692308</v>
      </c>
      <c r="IW221" s="252">
        <f t="shared" si="1612"/>
        <v>0</v>
      </c>
      <c r="IX221" s="309">
        <f t="shared" si="1735"/>
        <v>23.07692307692308</v>
      </c>
      <c r="IY221" s="218">
        <f t="shared" si="1746"/>
        <v>175.5384615384616</v>
      </c>
      <c r="IZ221" s="242">
        <f t="shared" si="1746"/>
        <v>2</v>
      </c>
      <c r="JA221" s="243">
        <f t="shared" si="1736"/>
        <v>173.5384615384616</v>
      </c>
      <c r="JB221" s="218">
        <f t="shared" si="1737"/>
        <v>0</v>
      </c>
      <c r="JE221" s="148"/>
    </row>
    <row r="222" spans="2:265" hidden="1" outlineLevel="2">
      <c r="B222" s="148">
        <v>10</v>
      </c>
      <c r="C222" s="303" t="e">
        <f>VLOOKUP(AF222,Attribute!C:T,1,FALSE)</f>
        <v>#N/A</v>
      </c>
      <c r="D222" s="86" t="s">
        <v>87</v>
      </c>
      <c r="E222" s="167" t="s">
        <v>132</v>
      </c>
      <c r="F222" s="120"/>
      <c r="G222" s="117">
        <f>Konvention_1master-KLmaster</f>
        <v>12</v>
      </c>
      <c r="H222" s="117">
        <f>Konvention_1master-INmaster</f>
        <v>12</v>
      </c>
      <c r="I222" s="117">
        <f>Konvention_1master-CHmaster</f>
        <v>12</v>
      </c>
      <c r="J222" s="117"/>
      <c r="K222" s="117"/>
      <c r="L222" s="117"/>
      <c r="M222" s="121"/>
      <c r="N222" s="223">
        <f>(F222+G222+H222+I222+J222+K222+L222+M222)/3</f>
        <v>12</v>
      </c>
      <c r="O222" s="223">
        <f>2*N222</f>
        <v>24</v>
      </c>
      <c r="P222" s="224">
        <f>3*N222</f>
        <v>36</v>
      </c>
      <c r="Q222" s="237">
        <f>F222*POWER(KLmaster,SIGN(G222))*POWER(INmaster,SIGN(H222))*POWER(CHmaster,SIGN(I222))*POWER(FFmaster,SIGN(J222))*POWER(GEmaster,SIGN(K222))*POWER(KOmaster,SIGN(L222))*POWER(KKmaster,SIGN(M222))+G222*POWER(MUmaster,SIGN(F222))*POWER(INmaster,SIGN(H222))*POWER(CHmaster,SIGN(I222))*POWER(FFmaster,SIGN(J222))*POWER(GEmaster,SIGN(K222))*POWER(KOmaster,SIGN(L222))*POWER(KKmaster,SIGN(M222))+H222*POWER(MUmaster,SIGN(F222))*POWER(KLmaster,SIGN(G222))*POWER(CHmaster,SIGN(I222))*POWER(FFmaster,SIGN(J222))*POWER(GEmaster,SIGN(K222))*POWER(KOmaster,SIGN(L222))*POWER(KKmaster,SIGN(M222))+I222*POWER(MUmaster,SIGN(F222))*POWER(KLmaster,SIGN(G222))*POWER(INmaster,SIGN(H222))*POWER(FFmaster,SIGN(J222))*POWER(GEmaster,SIGN(K222))*POWER(KOmaster,SIGN(L222))*POWER(KKmaster,SIGN(M222))+J222*POWER(MUmaster,SIGN(F222))*POWER(KLmaster,SIGN(G222))*POWER(INmaster,SIGN(H222))*POWER(CHmaster,SIGN(I222))*POWER(GEmaster,SIGN(K222))*POWER(KOmaster,SIGN(L222))*POWER(KKmaster,SIGN(M222))+K222*POWER(MUmaster,SIGN(F222))*POWER(KLmaster,SIGN(G222))*POWER(INmaster,SIGN(H222))*POWER(CHmaster,SIGN(I222))*POWER(FFmaster,SIGN(J222))*POWER(KOmaster,SIGN(L222))*POWER(KKmaster,SIGN(M222))+L222*POWER(MUmaster,SIGN(F222))*POWER(KLmaster,SIGN(G222))*POWER(INmaster,SIGN(H222))*POWER(CHmaster,SIGN(I222))*POWER(FFmaster,SIGN(J222))*POWER(GEmaster,SIGN(K222))*POWER(KKmaster,SIGN(M222))+M222*POWER(MUmaster,SIGN(F222))*POWER(KLmaster,SIGN(G222))*POWER(INmaster,SIGN(H222))*POWER(CHmaster,SIGN(I222))*POWER(FFmaster,SIGN(J222))*POWER(GEmaster,SIGN(K222))*POWER(KOmaster,SIGN(L222))</f>
        <v>2304</v>
      </c>
      <c r="R222" s="117">
        <f>G222*H222*CHmaster+G222*INmaster*I222+KLmaster*H222*I222</f>
        <v>3456</v>
      </c>
      <c r="S222" s="224">
        <f>IFERROR(F222^SIGN(F222),1)*IFERROR(G222^SIGN(G222),1)*IFERROR(H222^SIGN(H222),1)*IFERROR(I222^SIGN(I222),1)*IFERROR(J222^SIGN(J222),1)*IFERROR(K222^SIGN(K222),1)*IFERROR(L222^SIGN(L222),1)*IFERROR(M222^SIGN(M222),1)</f>
        <v>1728</v>
      </c>
      <c r="T222" s="224">
        <f>SUM(Q222:S222)</f>
        <v>7488</v>
      </c>
      <c r="U222" s="222">
        <f>N222*Q222/T222</f>
        <v>3.6923076923076925</v>
      </c>
      <c r="V222" s="223">
        <f>O222*R222/T222</f>
        <v>11.076923076923077</v>
      </c>
      <c r="W222" s="243">
        <f>P222*S222/T222</f>
        <v>8.3076923076923084</v>
      </c>
      <c r="X222" s="243">
        <f>SUM(U222:W222)</f>
        <v>23.07692307692308</v>
      </c>
      <c r="Y222" s="252">
        <v>0</v>
      </c>
      <c r="Z222" s="198">
        <f>X222-Y222</f>
        <v>23.07692307692308</v>
      </c>
      <c r="AA222" s="125">
        <f t="shared" si="1738"/>
        <v>175.5384615384616</v>
      </c>
      <c r="AB222" s="160">
        <f t="shared" si="1738"/>
        <v>2</v>
      </c>
      <c r="AC222" s="127">
        <f>IF((AA222-AB222)&gt;0,AA222-AB222,0)</f>
        <v>173.5384615384616</v>
      </c>
      <c r="AD222" s="125">
        <f>IF((AB222-AA222)&gt;0,AB222-AA222,0)</f>
        <v>0</v>
      </c>
      <c r="AF222" s="163" t="s">
        <v>357</v>
      </c>
      <c r="AG222" s="86" t="s">
        <v>87</v>
      </c>
      <c r="AH222" s="167" t="s">
        <v>132</v>
      </c>
      <c r="AI222" s="120"/>
      <c r="AJ222" s="117">
        <f>Konvention_1slave-KLslave</f>
        <v>12</v>
      </c>
      <c r="AK222" s="117">
        <f>Konvention_1slave-INslave</f>
        <v>12</v>
      </c>
      <c r="AL222" s="117">
        <f>Konvention_1slave-CHslave</f>
        <v>12</v>
      </c>
      <c r="AM222" s="117"/>
      <c r="AN222" s="117"/>
      <c r="AO222" s="117"/>
      <c r="AP222" s="121"/>
      <c r="AQ222" s="47">
        <f>(AI222+AJ222+AK222+AL222+AM222+AN222+AO222+AP222)/3</f>
        <v>12</v>
      </c>
      <c r="AR222" s="3">
        <f>2*AQ222</f>
        <v>24</v>
      </c>
      <c r="AS222" s="174">
        <f>3*AQ222</f>
        <v>36</v>
      </c>
      <c r="AT222" s="114">
        <f t="shared" si="1597"/>
        <v>2304</v>
      </c>
      <c r="AU222" s="117">
        <f>AJ222*AK222*CHslave+AJ222*INslave*AL222+KLslave*AK222*AL222</f>
        <v>3456</v>
      </c>
      <c r="AV222" s="119">
        <f>IFERROR(AI222^SIGN(AI222),1)*IFERROR(AJ222^SIGN(AJ222),1)*IFERROR(AK222^SIGN(AK222),1)*IFERROR(AL222^SIGN(AL222),1)*IFERROR(AM222^SIGN(AM222),1)*IFERROR(AN222^SIGN(AN222),1)*IFERROR(AO222^SIGN(AO222),1)*IFERROR(AP222^SIGN(AP222),1)</f>
        <v>1728</v>
      </c>
      <c r="AW222" s="119">
        <f>SUM(AT222:AV222)</f>
        <v>7488</v>
      </c>
      <c r="AX222" s="89">
        <f>AQ222*AT222/AW222</f>
        <v>3.6923076923076925</v>
      </c>
      <c r="AY222" s="47">
        <f>AR222*AU222/AW222</f>
        <v>11.076923076923077</v>
      </c>
      <c r="AZ222" s="127">
        <f>AS222*AV222/AW222</f>
        <v>8.3076923076923084</v>
      </c>
      <c r="BA222" s="127">
        <f>SUM(AX222:AZ222)</f>
        <v>23.07692307692308</v>
      </c>
      <c r="BB222" s="165">
        <f t="shared" si="1598"/>
        <v>0</v>
      </c>
      <c r="BC222" s="198">
        <f>BA222-BB222</f>
        <v>23.07692307692308</v>
      </c>
      <c r="BD222" s="125">
        <f t="shared" si="1739"/>
        <v>175.5384615384616</v>
      </c>
      <c r="BE222" s="160">
        <f t="shared" si="1739"/>
        <v>2</v>
      </c>
      <c r="BF222" s="243">
        <f>IF((BD222-BE222)&gt;0,BD222-BE222,0)</f>
        <v>173.5384615384616</v>
      </c>
      <c r="BG222" s="218">
        <f>IF((BE222-BD222)&gt;0,BE222-BD222,0)</f>
        <v>0</v>
      </c>
      <c r="BI222" s="303" t="s">
        <v>357</v>
      </c>
      <c r="BJ222" s="304" t="s">
        <v>87</v>
      </c>
      <c r="BK222" s="305" t="s">
        <v>132</v>
      </c>
      <c r="BL222" s="317"/>
      <c r="BM222" s="254">
        <f>Konvention_1slave-KLslave_KL</f>
        <v>11</v>
      </c>
      <c r="BN222" s="254">
        <f>Konvention_1slave-INslave</f>
        <v>12</v>
      </c>
      <c r="BO222" s="254">
        <f>Konvention_1slave-CHslave</f>
        <v>12</v>
      </c>
      <c r="BP222" s="254"/>
      <c r="BQ222" s="254"/>
      <c r="BR222" s="254"/>
      <c r="BS222" s="318"/>
      <c r="BT222" s="223">
        <f>(BL222+BM222+BN222+BO222+BP222+BQ222+BR222+BS222)/3</f>
        <v>11.666666666666666</v>
      </c>
      <c r="BU222" s="223">
        <f>2*BT222</f>
        <v>23.333333333333332</v>
      </c>
      <c r="BV222" s="224">
        <f>3*BT222</f>
        <v>35</v>
      </c>
      <c r="BW222" s="237">
        <f t="shared" si="1599"/>
        <v>2432</v>
      </c>
      <c r="BX222" s="254">
        <f>BM222*BN222*CHslave+BM222*INslave*BO222+KLslave_KL*BN222*BO222</f>
        <v>3408</v>
      </c>
      <c r="BY222" s="224">
        <f>IFERROR(BL222^SIGN(BL222),1)*IFERROR(BM222^SIGN(BM222),1)*IFERROR(BN222^SIGN(BN222),1)*IFERROR(BO222^SIGN(BO222),1)*IFERROR(BP222^SIGN(BP222),1)*IFERROR(BQ222^SIGN(BQ222),1)*IFERROR(BR222^SIGN(BR222),1)*IFERROR(BS222^SIGN(BS222),1)</f>
        <v>1584</v>
      </c>
      <c r="BZ222" s="224">
        <f>SUM(BW222:BY222)</f>
        <v>7424</v>
      </c>
      <c r="CA222" s="222">
        <f>BT222*BW222/BZ222</f>
        <v>3.8218390804597702</v>
      </c>
      <c r="CB222" s="223">
        <f>BU222*BX222/BZ222</f>
        <v>10.711206896551724</v>
      </c>
      <c r="CC222" s="243">
        <f>BV222*BY222/BZ222</f>
        <v>7.4676724137931032</v>
      </c>
      <c r="CD222" s="243">
        <f>SUM(CA222:CC222)</f>
        <v>22.000718390804597</v>
      </c>
      <c r="CE222" s="252">
        <f t="shared" si="1600"/>
        <v>0</v>
      </c>
      <c r="CF222" s="309">
        <f>CD222-CE222</f>
        <v>22.000718390804597</v>
      </c>
      <c r="CG222" s="218">
        <f t="shared" si="1740"/>
        <v>154.01436781609189</v>
      </c>
      <c r="CH222" s="242">
        <f t="shared" si="1740"/>
        <v>2</v>
      </c>
      <c r="CI222" s="243">
        <f>IF((CG222-CH222)&gt;0,CG222-CH222,0)</f>
        <v>152.01436781609189</v>
      </c>
      <c r="CJ222" s="218">
        <f>IF((CH222-CG222)&gt;0,CH222-CG222,0)</f>
        <v>0</v>
      </c>
      <c r="CL222" s="303" t="s">
        <v>357</v>
      </c>
      <c r="CM222" s="304" t="s">
        <v>87</v>
      </c>
      <c r="CN222" s="305" t="s">
        <v>132</v>
      </c>
      <c r="CO222" s="317"/>
      <c r="CP222" s="254">
        <f>Konvention_1slave-KLslave</f>
        <v>12</v>
      </c>
      <c r="CQ222" s="254">
        <f>Konvention_1slave-INslave_IN</f>
        <v>11</v>
      </c>
      <c r="CR222" s="254">
        <f>Konvention_1slave-CHslave</f>
        <v>12</v>
      </c>
      <c r="CS222" s="254"/>
      <c r="CT222" s="254"/>
      <c r="CU222" s="254"/>
      <c r="CV222" s="318"/>
      <c r="CW222" s="223">
        <f>(CO222+CP222+CQ222+CR222+CS222+CT222+CU222+CV222)/3</f>
        <v>11.666666666666666</v>
      </c>
      <c r="CX222" s="223">
        <f>2*CW222</f>
        <v>23.333333333333332</v>
      </c>
      <c r="CY222" s="224">
        <f>3*CW222</f>
        <v>35</v>
      </c>
      <c r="CZ222" s="237">
        <f t="shared" si="1601"/>
        <v>2432</v>
      </c>
      <c r="DA222" s="254">
        <f>CP222*CQ222*CHslave+CP222*INslave_IN*CR222+KLslave*CQ222*CR222</f>
        <v>3408</v>
      </c>
      <c r="DB222" s="224">
        <f>IFERROR(CO222^SIGN(CO222),1)*IFERROR(CP222^SIGN(CP222),1)*IFERROR(CQ222^SIGN(CQ222),1)*IFERROR(CR222^SIGN(CR222),1)*IFERROR(CS222^SIGN(CS222),1)*IFERROR(CT222^SIGN(CT222),1)*IFERROR(CU222^SIGN(CU222),1)*IFERROR(CV222^SIGN(CV222),1)</f>
        <v>1584</v>
      </c>
      <c r="DC222" s="224">
        <f>SUM(CZ222:DB222)</f>
        <v>7424</v>
      </c>
      <c r="DD222" s="222">
        <f>CW222*CZ222/DC222</f>
        <v>3.8218390804597702</v>
      </c>
      <c r="DE222" s="223">
        <f>CX222*DA222/DC222</f>
        <v>10.711206896551724</v>
      </c>
      <c r="DF222" s="243">
        <f>CY222*DB222/DC222</f>
        <v>7.4676724137931032</v>
      </c>
      <c r="DG222" s="243">
        <f>SUM(DD222:DF222)</f>
        <v>22.000718390804597</v>
      </c>
      <c r="DH222" s="252">
        <f t="shared" si="1602"/>
        <v>0</v>
      </c>
      <c r="DI222" s="309">
        <f>DG222-DH222</f>
        <v>22.000718390804597</v>
      </c>
      <c r="DJ222" s="218">
        <f t="shared" si="1741"/>
        <v>154.01436781609189</v>
      </c>
      <c r="DK222" s="242">
        <f t="shared" si="1741"/>
        <v>2</v>
      </c>
      <c r="DL222" s="243">
        <f>IF((DJ222-DK222)&gt;0,DJ222-DK222,0)</f>
        <v>152.01436781609189</v>
      </c>
      <c r="DM222" s="218">
        <f>IF((DK222-DJ222)&gt;0,DK222-DJ222,0)</f>
        <v>0</v>
      </c>
      <c r="DO222" s="303" t="s">
        <v>357</v>
      </c>
      <c r="DP222" s="304" t="s">
        <v>87</v>
      </c>
      <c r="DQ222" s="305" t="s">
        <v>132</v>
      </c>
      <c r="DR222" s="317"/>
      <c r="DS222" s="254">
        <f>Konvention_1slave-KLslave</f>
        <v>12</v>
      </c>
      <c r="DT222" s="254">
        <f>Konvention_1slave-INslave</f>
        <v>12</v>
      </c>
      <c r="DU222" s="254">
        <f>Konvention_1slave-CHslave_CH</f>
        <v>11</v>
      </c>
      <c r="DV222" s="254"/>
      <c r="DW222" s="254"/>
      <c r="DX222" s="254"/>
      <c r="DY222" s="318"/>
      <c r="DZ222" s="223">
        <f>(DR222+DS222+DT222+DU222+DV222+DW222+DX222+DY222)/3</f>
        <v>11.666666666666666</v>
      </c>
      <c r="EA222" s="223">
        <f>2*DZ222</f>
        <v>23.333333333333332</v>
      </c>
      <c r="EB222" s="224">
        <f>3*DZ222</f>
        <v>35</v>
      </c>
      <c r="EC222" s="237">
        <f t="shared" si="1603"/>
        <v>2432</v>
      </c>
      <c r="ED222" s="254">
        <f>DS222*DT222*CHslave_CH+DS222*INslave*DU222+KLslave*DT222*DU222</f>
        <v>3408</v>
      </c>
      <c r="EE222" s="224">
        <f>IFERROR(DR222^SIGN(DR222),1)*IFERROR(DS222^SIGN(DS222),1)*IFERROR(DT222^SIGN(DT222),1)*IFERROR(DU222^SIGN(DU222),1)*IFERROR(DV222^SIGN(DV222),1)*IFERROR(DW222^SIGN(DW222),1)*IFERROR(DX222^SIGN(DX222),1)*IFERROR(DY222^SIGN(DY222),1)</f>
        <v>1584</v>
      </c>
      <c r="EF222" s="224">
        <f>SUM(EC222:EE222)</f>
        <v>7424</v>
      </c>
      <c r="EG222" s="222">
        <f>DZ222*EC222/EF222</f>
        <v>3.8218390804597702</v>
      </c>
      <c r="EH222" s="223">
        <f>EA222*ED222/EF222</f>
        <v>10.711206896551724</v>
      </c>
      <c r="EI222" s="243">
        <f>EB222*EE222/EF222</f>
        <v>7.4676724137931032</v>
      </c>
      <c r="EJ222" s="243">
        <f>SUM(EG222:EI222)</f>
        <v>22.000718390804597</v>
      </c>
      <c r="EK222" s="252">
        <f t="shared" si="1604"/>
        <v>0</v>
      </c>
      <c r="EL222" s="309">
        <f>EJ222-EK222</f>
        <v>22.000718390804597</v>
      </c>
      <c r="EM222" s="218">
        <f t="shared" si="1742"/>
        <v>154.01436781609189</v>
      </c>
      <c r="EN222" s="242">
        <f t="shared" si="1742"/>
        <v>2</v>
      </c>
      <c r="EO222" s="243">
        <f>IF((EM222-EN222)&gt;0,EM222-EN222,0)</f>
        <v>152.01436781609189</v>
      </c>
      <c r="EP222" s="218">
        <f>IF((EN222-EM222)&gt;0,EN222-EM222,0)</f>
        <v>0</v>
      </c>
      <c r="ER222" s="303" t="s">
        <v>357</v>
      </c>
      <c r="ES222" s="304" t="s">
        <v>87</v>
      </c>
      <c r="ET222" s="305" t="s">
        <v>132</v>
      </c>
      <c r="EU222" s="317"/>
      <c r="EV222" s="254">
        <f>Konvention_1slave-KLslave</f>
        <v>12</v>
      </c>
      <c r="EW222" s="254">
        <f>Konvention_1slave-INslave</f>
        <v>12</v>
      </c>
      <c r="EX222" s="254">
        <f>Konvention_1slave-CHslave</f>
        <v>12</v>
      </c>
      <c r="EY222" s="254"/>
      <c r="EZ222" s="254"/>
      <c r="FA222" s="254"/>
      <c r="FB222" s="318"/>
      <c r="FC222" s="223">
        <f>(EU222+EV222+EW222+EX222+EY222+EZ222+FA222+FB222)/3</f>
        <v>12</v>
      </c>
      <c r="FD222" s="223">
        <f>2*FC222</f>
        <v>24</v>
      </c>
      <c r="FE222" s="224">
        <f>3*FC222</f>
        <v>36</v>
      </c>
      <c r="FF222" s="237">
        <f t="shared" si="1605"/>
        <v>2304</v>
      </c>
      <c r="FG222" s="254">
        <f>EV222*EW222*CHslave+EV222*INslave*EX222+KLslave*EW222*EX222</f>
        <v>3456</v>
      </c>
      <c r="FH222" s="224">
        <f>IFERROR(EU222^SIGN(EU222),1)*IFERROR(EV222^SIGN(EV222),1)*IFERROR(EW222^SIGN(EW222),1)*IFERROR(EX222^SIGN(EX222),1)*IFERROR(EY222^SIGN(EY222),1)*IFERROR(EZ222^SIGN(EZ222),1)*IFERROR(FA222^SIGN(FA222),1)*IFERROR(FB222^SIGN(FB222),1)</f>
        <v>1728</v>
      </c>
      <c r="FI222" s="224">
        <f>SUM(FF222:FH222)</f>
        <v>7488</v>
      </c>
      <c r="FJ222" s="222">
        <f>FC222*FF222/FI222</f>
        <v>3.6923076923076925</v>
      </c>
      <c r="FK222" s="223">
        <f>FD222*FG222/FI222</f>
        <v>11.076923076923077</v>
      </c>
      <c r="FL222" s="243">
        <f>FE222*FH222/FI222</f>
        <v>8.3076923076923084</v>
      </c>
      <c r="FM222" s="243">
        <f>SUM(FJ222:FL222)</f>
        <v>23.07692307692308</v>
      </c>
      <c r="FN222" s="252">
        <f t="shared" si="1606"/>
        <v>0</v>
      </c>
      <c r="FO222" s="309">
        <f>FM222-FN222</f>
        <v>23.07692307692308</v>
      </c>
      <c r="FP222" s="218">
        <f t="shared" si="1743"/>
        <v>175.5384615384616</v>
      </c>
      <c r="FQ222" s="242">
        <f t="shared" si="1743"/>
        <v>2</v>
      </c>
      <c r="FR222" s="243">
        <f>IF((FP222-FQ222)&gt;0,FP222-FQ222,0)</f>
        <v>173.5384615384616</v>
      </c>
      <c r="FS222" s="218">
        <f>IF((FQ222-FP222)&gt;0,FQ222-FP222,0)</f>
        <v>0</v>
      </c>
      <c r="FU222" s="303" t="s">
        <v>357</v>
      </c>
      <c r="FV222" s="304" t="s">
        <v>87</v>
      </c>
      <c r="FW222" s="305" t="s">
        <v>132</v>
      </c>
      <c r="FX222" s="317"/>
      <c r="FY222" s="254">
        <f>Konvention_1slave-KLslave</f>
        <v>12</v>
      </c>
      <c r="FZ222" s="254">
        <f>Konvention_1slave-INslave</f>
        <v>12</v>
      </c>
      <c r="GA222" s="254">
        <f>Konvention_1slave-CHslave</f>
        <v>12</v>
      </c>
      <c r="GB222" s="254"/>
      <c r="GC222" s="254"/>
      <c r="GD222" s="254"/>
      <c r="GE222" s="318"/>
      <c r="GF222" s="223">
        <f>(FX222+FY222+FZ222+GA222+GB222+GC222+GD222+GE222)/3</f>
        <v>12</v>
      </c>
      <c r="GG222" s="223">
        <f>2*GF222</f>
        <v>24</v>
      </c>
      <c r="GH222" s="224">
        <f>3*GF222</f>
        <v>36</v>
      </c>
      <c r="GI222" s="237">
        <f t="shared" si="1607"/>
        <v>2304</v>
      </c>
      <c r="GJ222" s="254">
        <f>FY222*FZ222*CHslave+FY222*INslave*GA222+KLslave*FZ222*GA222</f>
        <v>3456</v>
      </c>
      <c r="GK222" s="224">
        <f>IFERROR(FX222^SIGN(FX222),1)*IFERROR(FY222^SIGN(FY222),1)*IFERROR(FZ222^SIGN(FZ222),1)*IFERROR(GA222^SIGN(GA222),1)*IFERROR(GB222^SIGN(GB222),1)*IFERROR(GC222^SIGN(GC222),1)*IFERROR(GD222^SIGN(GD222),1)*IFERROR(GE222^SIGN(GE222),1)</f>
        <v>1728</v>
      </c>
      <c r="GL222" s="224">
        <f>SUM(GI222:GK222)</f>
        <v>7488</v>
      </c>
      <c r="GM222" s="222">
        <f>GF222*GI222/GL222</f>
        <v>3.6923076923076925</v>
      </c>
      <c r="GN222" s="223">
        <f>GG222*GJ222/GL222</f>
        <v>11.076923076923077</v>
      </c>
      <c r="GO222" s="243">
        <f>GH222*GK222/GL222</f>
        <v>8.3076923076923084</v>
      </c>
      <c r="GP222" s="243">
        <f>SUM(GM222:GO222)</f>
        <v>23.07692307692308</v>
      </c>
      <c r="GQ222" s="252">
        <f t="shared" si="1608"/>
        <v>0</v>
      </c>
      <c r="GR222" s="309">
        <f>GP222-GQ222</f>
        <v>23.07692307692308</v>
      </c>
      <c r="GS222" s="218">
        <f t="shared" si="1744"/>
        <v>175.5384615384616</v>
      </c>
      <c r="GT222" s="242">
        <f t="shared" si="1744"/>
        <v>2</v>
      </c>
      <c r="GU222" s="243">
        <f>IF((GS222-GT222)&gt;0,GS222-GT222,0)</f>
        <v>173.5384615384616</v>
      </c>
      <c r="GV222" s="218">
        <f>IF((GT222-GS222)&gt;0,GT222-GS222,0)</f>
        <v>0</v>
      </c>
      <c r="GX222" s="303" t="s">
        <v>357</v>
      </c>
      <c r="GY222" s="304" t="s">
        <v>87</v>
      </c>
      <c r="GZ222" s="305" t="s">
        <v>132</v>
      </c>
      <c r="HA222" s="317"/>
      <c r="HB222" s="254">
        <f>Konvention_1slave-KLslave</f>
        <v>12</v>
      </c>
      <c r="HC222" s="254">
        <f>Konvention_1slave-INslave</f>
        <v>12</v>
      </c>
      <c r="HD222" s="254">
        <f>Konvention_1slave-CHslave</f>
        <v>12</v>
      </c>
      <c r="HE222" s="254"/>
      <c r="HF222" s="254"/>
      <c r="HG222" s="254"/>
      <c r="HH222" s="318"/>
      <c r="HI222" s="223">
        <f>(HA222+HB222+HC222+HD222+HE222+HF222+HG222+HH222)/3</f>
        <v>12</v>
      </c>
      <c r="HJ222" s="223">
        <f>2*HI222</f>
        <v>24</v>
      </c>
      <c r="HK222" s="224">
        <f>3*HI222</f>
        <v>36</v>
      </c>
      <c r="HL222" s="237">
        <f t="shared" si="1609"/>
        <v>2304</v>
      </c>
      <c r="HM222" s="254">
        <f>HB222*HC222*CHslave+HB222*INslave*HD222+KLslave*HC222*HD222</f>
        <v>3456</v>
      </c>
      <c r="HN222" s="224">
        <f>IFERROR(HA222^SIGN(HA222),1)*IFERROR(HB222^SIGN(HB222),1)*IFERROR(HC222^SIGN(HC222),1)*IFERROR(HD222^SIGN(HD222),1)*IFERROR(HE222^SIGN(HE222),1)*IFERROR(HF222^SIGN(HF222),1)*IFERROR(HG222^SIGN(HG222),1)*IFERROR(HH222^SIGN(HH222),1)</f>
        <v>1728</v>
      </c>
      <c r="HO222" s="224">
        <f>SUM(HL222:HN222)</f>
        <v>7488</v>
      </c>
      <c r="HP222" s="222">
        <f>HI222*HL222/HO222</f>
        <v>3.6923076923076925</v>
      </c>
      <c r="HQ222" s="223">
        <f>HJ222*HM222/HO222</f>
        <v>11.076923076923077</v>
      </c>
      <c r="HR222" s="243">
        <f>HK222*HN222/HO222</f>
        <v>8.3076923076923084</v>
      </c>
      <c r="HS222" s="243">
        <f>SUM(HP222:HR222)</f>
        <v>23.07692307692308</v>
      </c>
      <c r="HT222" s="252">
        <f t="shared" si="1610"/>
        <v>0</v>
      </c>
      <c r="HU222" s="309">
        <f>HS222-HT222</f>
        <v>23.07692307692308</v>
      </c>
      <c r="HV222" s="218">
        <f t="shared" si="1745"/>
        <v>175.5384615384616</v>
      </c>
      <c r="HW222" s="242">
        <f t="shared" si="1745"/>
        <v>2</v>
      </c>
      <c r="HX222" s="243">
        <f>IF((HV222-HW222)&gt;0,HV222-HW222,0)</f>
        <v>173.5384615384616</v>
      </c>
      <c r="HY222" s="218">
        <f>IF((HW222-HV222)&gt;0,HW222-HV222,0)</f>
        <v>0</v>
      </c>
      <c r="IA222" s="303" t="s">
        <v>357</v>
      </c>
      <c r="IB222" s="304" t="s">
        <v>87</v>
      </c>
      <c r="IC222" s="305" t="s">
        <v>132</v>
      </c>
      <c r="ID222" s="317"/>
      <c r="IE222" s="254">
        <f>Konvention_1slave-KLslave</f>
        <v>12</v>
      </c>
      <c r="IF222" s="254">
        <f>Konvention_1slave-INslave</f>
        <v>12</v>
      </c>
      <c r="IG222" s="254">
        <f>Konvention_1slave-CHslave</f>
        <v>12</v>
      </c>
      <c r="IH222" s="254"/>
      <c r="II222" s="254"/>
      <c r="IJ222" s="254"/>
      <c r="IK222" s="318"/>
      <c r="IL222" s="223">
        <f>(ID222+IE222+IF222+IG222+IH222+II222+IJ222+IK222)/3</f>
        <v>12</v>
      </c>
      <c r="IM222" s="223">
        <f>2*IL222</f>
        <v>24</v>
      </c>
      <c r="IN222" s="224">
        <f>3*IL222</f>
        <v>36</v>
      </c>
      <c r="IO222" s="237">
        <f t="shared" si="1611"/>
        <v>2304</v>
      </c>
      <c r="IP222" s="254">
        <f>IE222*IF222*CHslave+IE222*INslave*IG222+KLslave*IF222*IG222</f>
        <v>3456</v>
      </c>
      <c r="IQ222" s="224">
        <f>IFERROR(ID222^SIGN(ID222),1)*IFERROR(IE222^SIGN(IE222),1)*IFERROR(IF222^SIGN(IF222),1)*IFERROR(IG222^SIGN(IG222),1)*IFERROR(IH222^SIGN(IH222),1)*IFERROR(II222^SIGN(II222),1)*IFERROR(IJ222^SIGN(IJ222),1)*IFERROR(IK222^SIGN(IK222),1)</f>
        <v>1728</v>
      </c>
      <c r="IR222" s="224">
        <f>SUM(IO222:IQ222)</f>
        <v>7488</v>
      </c>
      <c r="IS222" s="222">
        <f>IL222*IO222/IR222</f>
        <v>3.6923076923076925</v>
      </c>
      <c r="IT222" s="223">
        <f>IM222*IP222/IR222</f>
        <v>11.076923076923077</v>
      </c>
      <c r="IU222" s="243">
        <f>IN222*IQ222/IR222</f>
        <v>8.3076923076923084</v>
      </c>
      <c r="IV222" s="243">
        <f>SUM(IS222:IU222)</f>
        <v>23.07692307692308</v>
      </c>
      <c r="IW222" s="252">
        <f t="shared" si="1612"/>
        <v>0</v>
      </c>
      <c r="IX222" s="309">
        <f>IV222-IW222</f>
        <v>23.07692307692308</v>
      </c>
      <c r="IY222" s="218">
        <f t="shared" si="1746"/>
        <v>175.5384615384616</v>
      </c>
      <c r="IZ222" s="242">
        <f t="shared" si="1746"/>
        <v>2</v>
      </c>
      <c r="JA222" s="243">
        <f>IF((IY222-IZ222)&gt;0,IY222-IZ222,0)</f>
        <v>173.5384615384616</v>
      </c>
      <c r="JB222" s="218">
        <f>IF((IZ222-IY222)&gt;0,IZ222-IY222,0)</f>
        <v>0</v>
      </c>
      <c r="JE222" s="148"/>
    </row>
    <row r="223" spans="2:265" hidden="1" outlineLevel="2">
      <c r="B223" s="148">
        <v>11</v>
      </c>
      <c r="C223" s="303" t="e">
        <f>VLOOKUP(AF223,Attribute!C:T,1,FALSE)</f>
        <v>#N/A</v>
      </c>
      <c r="D223" s="86" t="s">
        <v>81</v>
      </c>
      <c r="E223" s="167" t="s">
        <v>135</v>
      </c>
      <c r="F223" s="120"/>
      <c r="G223" s="117">
        <f>Konvention_1master-KLmaster</f>
        <v>12</v>
      </c>
      <c r="H223" s="117"/>
      <c r="I223" s="117">
        <f>Konvention_1master-CHmaster</f>
        <v>12</v>
      </c>
      <c r="J223" s="117"/>
      <c r="K223" s="117">
        <f>Konvention_1master-GEmaster</f>
        <v>12</v>
      </c>
      <c r="L223" s="117"/>
      <c r="M223" s="121"/>
      <c r="N223" s="223">
        <f>(F223+G223+H223+I223+J223+K223+L223+M223)/3</f>
        <v>12</v>
      </c>
      <c r="O223" s="223">
        <f>2*N223</f>
        <v>24</v>
      </c>
      <c r="P223" s="224">
        <f>3*N223</f>
        <v>36</v>
      </c>
      <c r="Q223" s="237">
        <f>F223*POWER(KLmaster,SIGN(G223))*POWER(INmaster,SIGN(H223))*POWER(CHmaster,SIGN(I223))*POWER(FFmaster,SIGN(J223))*POWER(GEmaster,SIGN(K223))*POWER(KOmaster,SIGN(L223))*POWER(KKmaster,SIGN(M223))+G223*POWER(MUmaster,SIGN(F223))*POWER(INmaster,SIGN(H223))*POWER(CHmaster,SIGN(I223))*POWER(FFmaster,SIGN(J223))*POWER(GEmaster,SIGN(K223))*POWER(KOmaster,SIGN(L223))*POWER(KKmaster,SIGN(M223))+H223*POWER(MUmaster,SIGN(F223))*POWER(KLmaster,SIGN(G223))*POWER(CHmaster,SIGN(I223))*POWER(FFmaster,SIGN(J223))*POWER(GEmaster,SIGN(K223))*POWER(KOmaster,SIGN(L223))*POWER(KKmaster,SIGN(M223))+I223*POWER(MUmaster,SIGN(F223))*POWER(KLmaster,SIGN(G223))*POWER(INmaster,SIGN(H223))*POWER(FFmaster,SIGN(J223))*POWER(GEmaster,SIGN(K223))*POWER(KOmaster,SIGN(L223))*POWER(KKmaster,SIGN(M223))+J223*POWER(MUmaster,SIGN(F223))*POWER(KLmaster,SIGN(G223))*POWER(INmaster,SIGN(H223))*POWER(CHmaster,SIGN(I223))*POWER(GEmaster,SIGN(K223))*POWER(KOmaster,SIGN(L223))*POWER(KKmaster,SIGN(M223))+K223*POWER(MUmaster,SIGN(F223))*POWER(KLmaster,SIGN(G223))*POWER(INmaster,SIGN(H223))*POWER(CHmaster,SIGN(I223))*POWER(FFmaster,SIGN(J223))*POWER(KOmaster,SIGN(L223))*POWER(KKmaster,SIGN(M223))+L223*POWER(MUmaster,SIGN(F223))*POWER(KLmaster,SIGN(G223))*POWER(INmaster,SIGN(H223))*POWER(CHmaster,SIGN(I223))*POWER(FFmaster,SIGN(J223))*POWER(GEmaster,SIGN(K223))*POWER(KKmaster,SIGN(M223))+M223*POWER(MUmaster,SIGN(F223))*POWER(KLmaster,SIGN(G223))*POWER(INmaster,SIGN(H223))*POWER(CHmaster,SIGN(I223))*POWER(FFmaster,SIGN(J223))*POWER(GEmaster,SIGN(K223))*POWER(KOmaster,SIGN(L223))</f>
        <v>2304</v>
      </c>
      <c r="R223" s="117">
        <f>G223*I223*GEmaster+G223*CHmaster*K223+KLmaster*I223*K223</f>
        <v>3456</v>
      </c>
      <c r="S223" s="224">
        <f>IFERROR(F223^SIGN(F223),1)*IFERROR(G223^SIGN(G223),1)*IFERROR(H223^SIGN(H223),1)*IFERROR(I223^SIGN(I223),1)*IFERROR(J223^SIGN(J223),1)*IFERROR(K223^SIGN(K223),1)*IFERROR(L223^SIGN(L223),1)*IFERROR(M223^SIGN(M223),1)</f>
        <v>1728</v>
      </c>
      <c r="T223" s="224">
        <f>SUM(Q223:S223)</f>
        <v>7488</v>
      </c>
      <c r="U223" s="222">
        <f>N223*Q223/T223</f>
        <v>3.6923076923076925</v>
      </c>
      <c r="V223" s="223">
        <f>O223*R223/T223</f>
        <v>11.076923076923077</v>
      </c>
      <c r="W223" s="243">
        <f>P223*S223/T223</f>
        <v>8.3076923076923084</v>
      </c>
      <c r="X223" s="243">
        <f>SUM(U223:W223)</f>
        <v>23.07692307692308</v>
      </c>
      <c r="Y223" s="252">
        <v>0</v>
      </c>
      <c r="Z223" s="198">
        <f>X223-Y223</f>
        <v>23.07692307692308</v>
      </c>
      <c r="AA223" s="125">
        <f>IF(X223&lt;=0,3,0)+IF(X223&gt;0,X223+1,0)*3+IF(X223&gt;12,X223-12,0)*3+IF(X223&gt;13,X223-13,0)*3+IF(X223&gt;14,X223-14,0)*3+IF(X223&gt;15,X223-15,0)*3+IF(X223&gt;16,X223-16,0)*3+IF(X223&gt;17,X223-17,0)*3+IF(X223&gt;18,X223-18,0)*3+IF(X223&gt;19,X223-19,0)*3+IF(X223&gt;20,X223-20,0)*3</f>
        <v>263.30769230769232</v>
      </c>
      <c r="AB223" s="160">
        <f>IF(Y223&lt;=0,3,0)+IF(Y223&gt;0,Y223+1,0)*3+IF(Y223&gt;12,Y223-12,0)*3+IF(Y223&gt;13,Y223-13,0)*3+IF(Y223&gt;14,Y223-14,0)*3+IF(Y223&gt;15,Y223-15,0)*3+IF(Y223&gt;16,Y223-16,0)*3+IF(Y223&gt;17,Y223-17,0)*3+IF(Y223&gt;18,Y223-18,0)*3+IF(Y223&gt;19,Y223-19,0)*3+IF(Y223&gt;20,Y223-20,0)*3</f>
        <v>3</v>
      </c>
      <c r="AC223" s="127">
        <f>IF((AA223-AB223)&gt;0,AA223-AB223,0)</f>
        <v>260.30769230769232</v>
      </c>
      <c r="AD223" s="125">
        <f>IF((AB223-AA223)&gt;0,AB223-AA223,0)</f>
        <v>0</v>
      </c>
      <c r="AF223" s="163" t="s">
        <v>386</v>
      </c>
      <c r="AG223" s="86" t="s">
        <v>81</v>
      </c>
      <c r="AH223" s="167" t="s">
        <v>135</v>
      </c>
      <c r="AI223" s="120"/>
      <c r="AJ223" s="117">
        <f>Konvention_1slave-KLslave</f>
        <v>12</v>
      </c>
      <c r="AK223" s="117"/>
      <c r="AL223" s="117">
        <f>Konvention_1slave-CHslave</f>
        <v>12</v>
      </c>
      <c r="AM223" s="117"/>
      <c r="AN223" s="117">
        <f>Konvention_1slave-GEslave</f>
        <v>12</v>
      </c>
      <c r="AO223" s="117"/>
      <c r="AP223" s="121"/>
      <c r="AQ223" s="47">
        <f>(AI223+AJ223+AK223+AL223+AM223+AN223+AO223+AP223)/3</f>
        <v>12</v>
      </c>
      <c r="AR223" s="3">
        <f>2*AQ223</f>
        <v>24</v>
      </c>
      <c r="AS223" s="174">
        <f>3*AQ223</f>
        <v>36</v>
      </c>
      <c r="AT223" s="114">
        <f t="shared" si="1597"/>
        <v>2304</v>
      </c>
      <c r="AU223" s="117">
        <f>AJ223*AL223*GEslave+AJ223*CHslave*AN223+KLslave*AL223*AN223</f>
        <v>3456</v>
      </c>
      <c r="AV223" s="119">
        <f>IFERROR(AI223^SIGN(AI223),1)*IFERROR(AJ223^SIGN(AJ223),1)*IFERROR(AK223^SIGN(AK223),1)*IFERROR(AL223^SIGN(AL223),1)*IFERROR(AM223^SIGN(AM223),1)*IFERROR(AN223^SIGN(AN223),1)*IFERROR(AO223^SIGN(AO223),1)*IFERROR(AP223^SIGN(AP223),1)</f>
        <v>1728</v>
      </c>
      <c r="AW223" s="119">
        <f>SUM(AT223:AV223)</f>
        <v>7488</v>
      </c>
      <c r="AX223" s="89">
        <f>AQ223*AT223/AW223</f>
        <v>3.6923076923076925</v>
      </c>
      <c r="AY223" s="47">
        <f>AR223*AU223/AW223</f>
        <v>11.076923076923077</v>
      </c>
      <c r="AZ223" s="127">
        <f>AS223*AV223/AW223</f>
        <v>8.3076923076923084</v>
      </c>
      <c r="BA223" s="127">
        <f>SUM(AX223:AZ223)</f>
        <v>23.07692307692308</v>
      </c>
      <c r="BB223" s="165">
        <f t="shared" si="1598"/>
        <v>0</v>
      </c>
      <c r="BC223" s="198">
        <f>BA223-BB223</f>
        <v>23.07692307692308</v>
      </c>
      <c r="BD223" s="125">
        <f>IF(BA223&lt;=0,3,0)+IF(BA223&gt;0,BA223+1,0)*3+IF(BA223&gt;12,BA223-12,0)*3+IF(BA223&gt;13,BA223-13,0)*3+IF(BA223&gt;14,BA223-14,0)*3+IF(BA223&gt;15,BA223-15,0)*3+IF(BA223&gt;16,BA223-16,0)*3+IF(BA223&gt;17,BA223-17,0)*3+IF(BA223&gt;18,BA223-18,0)*3+IF(BA223&gt;19,BA223-19,0)*3+IF(BA223&gt;20,BA223-20,0)*3</f>
        <v>263.30769230769232</v>
      </c>
      <c r="BE223" s="160">
        <f>IF(BB223&lt;=0,3,0)+IF(BB223&gt;0,BB223+1,0)*3+IF(BB223&gt;12,BB223-12,0)*3+IF(BB223&gt;13,BB223-13,0)*3+IF(BB223&gt;14,BB223-14,0)*3+IF(BB223&gt;15,BB223-15,0)*3+IF(BB223&gt;16,BB223-16,0)*3+IF(BB223&gt;17,BB223-17,0)*3+IF(BB223&gt;18,BB223-18,0)*3+IF(BB223&gt;19,BB223-19,0)*3+IF(BB223&gt;20,BB223-20,0)*3</f>
        <v>3</v>
      </c>
      <c r="BF223" s="243">
        <f>IF((BD223-BE223)&gt;0,BD223-BE223,0)</f>
        <v>260.30769230769232</v>
      </c>
      <c r="BG223" s="218">
        <f>IF((BE223-BD223)&gt;0,BE223-BD223,0)</f>
        <v>0</v>
      </c>
      <c r="BI223" s="303" t="s">
        <v>386</v>
      </c>
      <c r="BJ223" s="304" t="s">
        <v>81</v>
      </c>
      <c r="BK223" s="305" t="s">
        <v>135</v>
      </c>
      <c r="BL223" s="317"/>
      <c r="BM223" s="254">
        <f>Konvention_1slave-KLslave_KL</f>
        <v>11</v>
      </c>
      <c r="BN223" s="254"/>
      <c r="BO223" s="254">
        <f>Konvention_1slave-CHslave</f>
        <v>12</v>
      </c>
      <c r="BP223" s="254"/>
      <c r="BQ223" s="254">
        <f>Konvention_1slave-GEslave</f>
        <v>12</v>
      </c>
      <c r="BR223" s="254"/>
      <c r="BS223" s="318"/>
      <c r="BT223" s="223">
        <f>(BL223+BM223+BN223+BO223+BP223+BQ223+BR223+BS223)/3</f>
        <v>11.666666666666666</v>
      </c>
      <c r="BU223" s="223">
        <f>2*BT223</f>
        <v>23.333333333333332</v>
      </c>
      <c r="BV223" s="224">
        <f>3*BT223</f>
        <v>35</v>
      </c>
      <c r="BW223" s="237">
        <f t="shared" si="1599"/>
        <v>2432</v>
      </c>
      <c r="BX223" s="254">
        <f>BM223*BO223*GEslave+BM223*CHslave*BQ223+KLslave_KL*BO223*BQ223</f>
        <v>3408</v>
      </c>
      <c r="BY223" s="224">
        <f>IFERROR(BL223^SIGN(BL223),1)*IFERROR(BM223^SIGN(BM223),1)*IFERROR(BN223^SIGN(BN223),1)*IFERROR(BO223^SIGN(BO223),1)*IFERROR(BP223^SIGN(BP223),1)*IFERROR(BQ223^SIGN(BQ223),1)*IFERROR(BR223^SIGN(BR223),1)*IFERROR(BS223^SIGN(BS223),1)</f>
        <v>1584</v>
      </c>
      <c r="BZ223" s="224">
        <f>SUM(BW223:BY223)</f>
        <v>7424</v>
      </c>
      <c r="CA223" s="222">
        <f>BT223*BW223/BZ223</f>
        <v>3.8218390804597702</v>
      </c>
      <c r="CB223" s="223">
        <f>BU223*BX223/BZ223</f>
        <v>10.711206896551724</v>
      </c>
      <c r="CC223" s="243">
        <f>BV223*BY223/BZ223</f>
        <v>7.4676724137931032</v>
      </c>
      <c r="CD223" s="243">
        <f>SUM(CA223:CC223)</f>
        <v>22.000718390804597</v>
      </c>
      <c r="CE223" s="252">
        <f t="shared" si="1600"/>
        <v>0</v>
      </c>
      <c r="CF223" s="309">
        <f>CD223-CE223</f>
        <v>22.000718390804597</v>
      </c>
      <c r="CG223" s="218">
        <f>IF(CD223&lt;=0,3,0)+IF(CD223&gt;0,CD223+1,0)*3+IF(CD223&gt;12,CD223-12,0)*3+IF(CD223&gt;13,CD223-13,0)*3+IF(CD223&gt;14,CD223-14,0)*3+IF(CD223&gt;15,CD223-15,0)*3+IF(CD223&gt;16,CD223-16,0)*3+IF(CD223&gt;17,CD223-17,0)*3+IF(CD223&gt;18,CD223-18,0)*3+IF(CD223&gt;19,CD223-19,0)*3+IF(CD223&gt;20,CD223-20,0)*3</f>
        <v>231.02155172413785</v>
      </c>
      <c r="CH223" s="242">
        <f>IF(CE223&lt;=0,3,0)+IF(CE223&gt;0,CE223+1,0)*3+IF(CE223&gt;12,CE223-12,0)*3+IF(CE223&gt;13,CE223-13,0)*3+IF(CE223&gt;14,CE223-14,0)*3+IF(CE223&gt;15,CE223-15,0)*3+IF(CE223&gt;16,CE223-16,0)*3+IF(CE223&gt;17,CE223-17,0)*3+IF(CE223&gt;18,CE223-18,0)*3+IF(CE223&gt;19,CE223-19,0)*3+IF(CE223&gt;20,CE223-20,0)*3</f>
        <v>3</v>
      </c>
      <c r="CI223" s="243">
        <f>IF((CG223-CH223)&gt;0,CG223-CH223,0)</f>
        <v>228.02155172413785</v>
      </c>
      <c r="CJ223" s="218">
        <f>IF((CH223-CG223)&gt;0,CH223-CG223,0)</f>
        <v>0</v>
      </c>
      <c r="CL223" s="303" t="s">
        <v>386</v>
      </c>
      <c r="CM223" s="304" t="s">
        <v>81</v>
      </c>
      <c r="CN223" s="305" t="s">
        <v>135</v>
      </c>
      <c r="CO223" s="317"/>
      <c r="CP223" s="254">
        <f>Konvention_1slave-KLslave</f>
        <v>12</v>
      </c>
      <c r="CQ223" s="254"/>
      <c r="CR223" s="254">
        <f>Konvention_1slave-CHslave</f>
        <v>12</v>
      </c>
      <c r="CS223" s="254"/>
      <c r="CT223" s="254">
        <f>Konvention_1slave-GEslave</f>
        <v>12</v>
      </c>
      <c r="CU223" s="254"/>
      <c r="CV223" s="318"/>
      <c r="CW223" s="223">
        <f>(CO223+CP223+CQ223+CR223+CS223+CT223+CU223+CV223)/3</f>
        <v>12</v>
      </c>
      <c r="CX223" s="223">
        <f>2*CW223</f>
        <v>24</v>
      </c>
      <c r="CY223" s="224">
        <f>3*CW223</f>
        <v>36</v>
      </c>
      <c r="CZ223" s="237">
        <f t="shared" si="1601"/>
        <v>2304</v>
      </c>
      <c r="DA223" s="254">
        <f>CP223*CR223*GEslave+CP223*CHslave*CT223+KLslave*CR223*CT223</f>
        <v>3456</v>
      </c>
      <c r="DB223" s="224">
        <f>IFERROR(CO223^SIGN(CO223),1)*IFERROR(CP223^SIGN(CP223),1)*IFERROR(CQ223^SIGN(CQ223),1)*IFERROR(CR223^SIGN(CR223),1)*IFERROR(CS223^SIGN(CS223),1)*IFERROR(CT223^SIGN(CT223),1)*IFERROR(CU223^SIGN(CU223),1)*IFERROR(CV223^SIGN(CV223),1)</f>
        <v>1728</v>
      </c>
      <c r="DC223" s="224">
        <f>SUM(CZ223:DB223)</f>
        <v>7488</v>
      </c>
      <c r="DD223" s="222">
        <f>CW223*CZ223/DC223</f>
        <v>3.6923076923076925</v>
      </c>
      <c r="DE223" s="223">
        <f>CX223*DA223/DC223</f>
        <v>11.076923076923077</v>
      </c>
      <c r="DF223" s="243">
        <f>CY223*DB223/DC223</f>
        <v>8.3076923076923084</v>
      </c>
      <c r="DG223" s="243">
        <f>SUM(DD223:DF223)</f>
        <v>23.07692307692308</v>
      </c>
      <c r="DH223" s="252">
        <f t="shared" si="1602"/>
        <v>0</v>
      </c>
      <c r="DI223" s="309">
        <f>DG223-DH223</f>
        <v>23.07692307692308</v>
      </c>
      <c r="DJ223" s="218">
        <f>IF(DG223&lt;=0,3,0)+IF(DG223&gt;0,DG223+1,0)*3+IF(DG223&gt;12,DG223-12,0)*3+IF(DG223&gt;13,DG223-13,0)*3+IF(DG223&gt;14,DG223-14,0)*3+IF(DG223&gt;15,DG223-15,0)*3+IF(DG223&gt;16,DG223-16,0)*3+IF(DG223&gt;17,DG223-17,0)*3+IF(DG223&gt;18,DG223-18,0)*3+IF(DG223&gt;19,DG223-19,0)*3+IF(DG223&gt;20,DG223-20,0)*3</f>
        <v>263.30769230769232</v>
      </c>
      <c r="DK223" s="242">
        <f>IF(DH223&lt;=0,3,0)+IF(DH223&gt;0,DH223+1,0)*3+IF(DH223&gt;12,DH223-12,0)*3+IF(DH223&gt;13,DH223-13,0)*3+IF(DH223&gt;14,DH223-14,0)*3+IF(DH223&gt;15,DH223-15,0)*3+IF(DH223&gt;16,DH223-16,0)*3+IF(DH223&gt;17,DH223-17,0)*3+IF(DH223&gt;18,DH223-18,0)*3+IF(DH223&gt;19,DH223-19,0)*3+IF(DH223&gt;20,DH223-20,0)*3</f>
        <v>3</v>
      </c>
      <c r="DL223" s="243">
        <f>IF((DJ223-DK223)&gt;0,DJ223-DK223,0)</f>
        <v>260.30769230769232</v>
      </c>
      <c r="DM223" s="218">
        <f>IF((DK223-DJ223)&gt;0,DK223-DJ223,0)</f>
        <v>0</v>
      </c>
      <c r="DO223" s="303" t="s">
        <v>386</v>
      </c>
      <c r="DP223" s="304" t="s">
        <v>81</v>
      </c>
      <c r="DQ223" s="305" t="s">
        <v>135</v>
      </c>
      <c r="DR223" s="317"/>
      <c r="DS223" s="254">
        <f>Konvention_1slave-KLslave</f>
        <v>12</v>
      </c>
      <c r="DT223" s="254"/>
      <c r="DU223" s="254">
        <f>Konvention_1slave-CHslave_CH</f>
        <v>11</v>
      </c>
      <c r="DV223" s="254"/>
      <c r="DW223" s="254">
        <f>Konvention_1slave-GEslave</f>
        <v>12</v>
      </c>
      <c r="DX223" s="254"/>
      <c r="DY223" s="318"/>
      <c r="DZ223" s="223">
        <f>(DR223+DS223+DT223+DU223+DV223+DW223+DX223+DY223)/3</f>
        <v>11.666666666666666</v>
      </c>
      <c r="EA223" s="223">
        <f>2*DZ223</f>
        <v>23.333333333333332</v>
      </c>
      <c r="EB223" s="224">
        <f>3*DZ223</f>
        <v>35</v>
      </c>
      <c r="EC223" s="237">
        <f t="shared" si="1603"/>
        <v>2432</v>
      </c>
      <c r="ED223" s="254">
        <f>DS223*DU223*GEslave+DS223*CHslave_CH*DW223+KLslave*DU223*DW223</f>
        <v>3408</v>
      </c>
      <c r="EE223" s="224">
        <f>IFERROR(DR223^SIGN(DR223),1)*IFERROR(DS223^SIGN(DS223),1)*IFERROR(DT223^SIGN(DT223),1)*IFERROR(DU223^SIGN(DU223),1)*IFERROR(DV223^SIGN(DV223),1)*IFERROR(DW223^SIGN(DW223),1)*IFERROR(DX223^SIGN(DX223),1)*IFERROR(DY223^SIGN(DY223),1)</f>
        <v>1584</v>
      </c>
      <c r="EF223" s="224">
        <f>SUM(EC223:EE223)</f>
        <v>7424</v>
      </c>
      <c r="EG223" s="222">
        <f>DZ223*EC223/EF223</f>
        <v>3.8218390804597702</v>
      </c>
      <c r="EH223" s="223">
        <f>EA223*ED223/EF223</f>
        <v>10.711206896551724</v>
      </c>
      <c r="EI223" s="243">
        <f>EB223*EE223/EF223</f>
        <v>7.4676724137931032</v>
      </c>
      <c r="EJ223" s="243">
        <f>SUM(EG223:EI223)</f>
        <v>22.000718390804597</v>
      </c>
      <c r="EK223" s="252">
        <f t="shared" si="1604"/>
        <v>0</v>
      </c>
      <c r="EL223" s="309">
        <f>EJ223-EK223</f>
        <v>22.000718390804597</v>
      </c>
      <c r="EM223" s="218">
        <f>IF(EJ223&lt;=0,3,0)+IF(EJ223&gt;0,EJ223+1,0)*3+IF(EJ223&gt;12,EJ223-12,0)*3+IF(EJ223&gt;13,EJ223-13,0)*3+IF(EJ223&gt;14,EJ223-14,0)*3+IF(EJ223&gt;15,EJ223-15,0)*3+IF(EJ223&gt;16,EJ223-16,0)*3+IF(EJ223&gt;17,EJ223-17,0)*3+IF(EJ223&gt;18,EJ223-18,0)*3+IF(EJ223&gt;19,EJ223-19,0)*3+IF(EJ223&gt;20,EJ223-20,0)*3</f>
        <v>231.02155172413785</v>
      </c>
      <c r="EN223" s="242">
        <f>IF(EK223&lt;=0,3,0)+IF(EK223&gt;0,EK223+1,0)*3+IF(EK223&gt;12,EK223-12,0)*3+IF(EK223&gt;13,EK223-13,0)*3+IF(EK223&gt;14,EK223-14,0)*3+IF(EK223&gt;15,EK223-15,0)*3+IF(EK223&gt;16,EK223-16,0)*3+IF(EK223&gt;17,EK223-17,0)*3+IF(EK223&gt;18,EK223-18,0)*3+IF(EK223&gt;19,EK223-19,0)*3+IF(EK223&gt;20,EK223-20,0)*3</f>
        <v>3</v>
      </c>
      <c r="EO223" s="243">
        <f>IF((EM223-EN223)&gt;0,EM223-EN223,0)</f>
        <v>228.02155172413785</v>
      </c>
      <c r="EP223" s="218">
        <f>IF((EN223-EM223)&gt;0,EN223-EM223,0)</f>
        <v>0</v>
      </c>
      <c r="ER223" s="303" t="s">
        <v>386</v>
      </c>
      <c r="ES223" s="304" t="s">
        <v>81</v>
      </c>
      <c r="ET223" s="305" t="s">
        <v>135</v>
      </c>
      <c r="EU223" s="317"/>
      <c r="EV223" s="254">
        <f>Konvention_1slave-KLslave</f>
        <v>12</v>
      </c>
      <c r="EW223" s="254"/>
      <c r="EX223" s="254">
        <f>Konvention_1slave-CHslave</f>
        <v>12</v>
      </c>
      <c r="EY223" s="254"/>
      <c r="EZ223" s="254">
        <f>Konvention_1slave-GEslave</f>
        <v>12</v>
      </c>
      <c r="FA223" s="254"/>
      <c r="FB223" s="318"/>
      <c r="FC223" s="223">
        <f>(EU223+EV223+EW223+EX223+EY223+EZ223+FA223+FB223)/3</f>
        <v>12</v>
      </c>
      <c r="FD223" s="223">
        <f>2*FC223</f>
        <v>24</v>
      </c>
      <c r="FE223" s="224">
        <f>3*FC223</f>
        <v>36</v>
      </c>
      <c r="FF223" s="237">
        <f t="shared" si="1605"/>
        <v>2304</v>
      </c>
      <c r="FG223" s="254">
        <f>EV223*EX223*GEslave+EV223*CHslave*EZ223+KLslave*EX223*EZ223</f>
        <v>3456</v>
      </c>
      <c r="FH223" s="224">
        <f>IFERROR(EU223^SIGN(EU223),1)*IFERROR(EV223^SIGN(EV223),1)*IFERROR(EW223^SIGN(EW223),1)*IFERROR(EX223^SIGN(EX223),1)*IFERROR(EY223^SIGN(EY223),1)*IFERROR(EZ223^SIGN(EZ223),1)*IFERROR(FA223^SIGN(FA223),1)*IFERROR(FB223^SIGN(FB223),1)</f>
        <v>1728</v>
      </c>
      <c r="FI223" s="224">
        <f>SUM(FF223:FH223)</f>
        <v>7488</v>
      </c>
      <c r="FJ223" s="222">
        <f>FC223*FF223/FI223</f>
        <v>3.6923076923076925</v>
      </c>
      <c r="FK223" s="223">
        <f>FD223*FG223/FI223</f>
        <v>11.076923076923077</v>
      </c>
      <c r="FL223" s="243">
        <f>FE223*FH223/FI223</f>
        <v>8.3076923076923084</v>
      </c>
      <c r="FM223" s="243">
        <f>SUM(FJ223:FL223)</f>
        <v>23.07692307692308</v>
      </c>
      <c r="FN223" s="252">
        <f t="shared" si="1606"/>
        <v>0</v>
      </c>
      <c r="FO223" s="309">
        <f>FM223-FN223</f>
        <v>23.07692307692308</v>
      </c>
      <c r="FP223" s="218">
        <f>IF(FM223&lt;=0,3,0)+IF(FM223&gt;0,FM223+1,0)*3+IF(FM223&gt;12,FM223-12,0)*3+IF(FM223&gt;13,FM223-13,0)*3+IF(FM223&gt;14,FM223-14,0)*3+IF(FM223&gt;15,FM223-15,0)*3+IF(FM223&gt;16,FM223-16,0)*3+IF(FM223&gt;17,FM223-17,0)*3+IF(FM223&gt;18,FM223-18,0)*3+IF(FM223&gt;19,FM223-19,0)*3+IF(FM223&gt;20,FM223-20,0)*3</f>
        <v>263.30769230769232</v>
      </c>
      <c r="FQ223" s="242">
        <f>IF(FN223&lt;=0,3,0)+IF(FN223&gt;0,FN223+1,0)*3+IF(FN223&gt;12,FN223-12,0)*3+IF(FN223&gt;13,FN223-13,0)*3+IF(FN223&gt;14,FN223-14,0)*3+IF(FN223&gt;15,FN223-15,0)*3+IF(FN223&gt;16,FN223-16,0)*3+IF(FN223&gt;17,FN223-17,0)*3+IF(FN223&gt;18,FN223-18,0)*3+IF(FN223&gt;19,FN223-19,0)*3+IF(FN223&gt;20,FN223-20,0)*3</f>
        <v>3</v>
      </c>
      <c r="FR223" s="243">
        <f>IF((FP223-FQ223)&gt;0,FP223-FQ223,0)</f>
        <v>260.30769230769232</v>
      </c>
      <c r="FS223" s="218">
        <f>IF((FQ223-FP223)&gt;0,FQ223-FP223,0)</f>
        <v>0</v>
      </c>
      <c r="FU223" s="303" t="s">
        <v>386</v>
      </c>
      <c r="FV223" s="304" t="s">
        <v>81</v>
      </c>
      <c r="FW223" s="305" t="s">
        <v>135</v>
      </c>
      <c r="FX223" s="317"/>
      <c r="FY223" s="254">
        <f>Konvention_1slave-KLslave</f>
        <v>12</v>
      </c>
      <c r="FZ223" s="254"/>
      <c r="GA223" s="254">
        <f>Konvention_1slave-CHslave</f>
        <v>12</v>
      </c>
      <c r="GB223" s="254"/>
      <c r="GC223" s="254">
        <f>Konvention_1slave-GEslave_GE</f>
        <v>11</v>
      </c>
      <c r="GD223" s="254"/>
      <c r="GE223" s="318"/>
      <c r="GF223" s="223">
        <f>(FX223+FY223+FZ223+GA223+GB223+GC223+GD223+GE223)/3</f>
        <v>11.666666666666666</v>
      </c>
      <c r="GG223" s="223">
        <f>2*GF223</f>
        <v>23.333333333333332</v>
      </c>
      <c r="GH223" s="224">
        <f>3*GF223</f>
        <v>35</v>
      </c>
      <c r="GI223" s="237">
        <f t="shared" si="1607"/>
        <v>2432</v>
      </c>
      <c r="GJ223" s="254">
        <f>FY223*GA223*GEslave_GE+FY223*CHslave*GC223+KLslave*GA223*GC223</f>
        <v>3408</v>
      </c>
      <c r="GK223" s="224">
        <f>IFERROR(FX223^SIGN(FX223),1)*IFERROR(FY223^SIGN(FY223),1)*IFERROR(FZ223^SIGN(FZ223),1)*IFERROR(GA223^SIGN(GA223),1)*IFERROR(GB223^SIGN(GB223),1)*IFERROR(GC223^SIGN(GC223),1)*IFERROR(GD223^SIGN(GD223),1)*IFERROR(GE223^SIGN(GE223),1)</f>
        <v>1584</v>
      </c>
      <c r="GL223" s="224">
        <f>SUM(GI223:GK223)</f>
        <v>7424</v>
      </c>
      <c r="GM223" s="222">
        <f>GF223*GI223/GL223</f>
        <v>3.8218390804597702</v>
      </c>
      <c r="GN223" s="223">
        <f>GG223*GJ223/GL223</f>
        <v>10.711206896551724</v>
      </c>
      <c r="GO223" s="243">
        <f>GH223*GK223/GL223</f>
        <v>7.4676724137931032</v>
      </c>
      <c r="GP223" s="243">
        <f>SUM(GM223:GO223)</f>
        <v>22.000718390804597</v>
      </c>
      <c r="GQ223" s="252">
        <f t="shared" si="1608"/>
        <v>0</v>
      </c>
      <c r="GR223" s="309">
        <f>GP223-GQ223</f>
        <v>22.000718390804597</v>
      </c>
      <c r="GS223" s="218">
        <f>IF(GP223&lt;=0,3,0)+IF(GP223&gt;0,GP223+1,0)*3+IF(GP223&gt;12,GP223-12,0)*3+IF(GP223&gt;13,GP223-13,0)*3+IF(GP223&gt;14,GP223-14,0)*3+IF(GP223&gt;15,GP223-15,0)*3+IF(GP223&gt;16,GP223-16,0)*3+IF(GP223&gt;17,GP223-17,0)*3+IF(GP223&gt;18,GP223-18,0)*3+IF(GP223&gt;19,GP223-19,0)*3+IF(GP223&gt;20,GP223-20,0)*3</f>
        <v>231.02155172413785</v>
      </c>
      <c r="GT223" s="242">
        <f>IF(GQ223&lt;=0,3,0)+IF(GQ223&gt;0,GQ223+1,0)*3+IF(GQ223&gt;12,GQ223-12,0)*3+IF(GQ223&gt;13,GQ223-13,0)*3+IF(GQ223&gt;14,GQ223-14,0)*3+IF(GQ223&gt;15,GQ223-15,0)*3+IF(GQ223&gt;16,GQ223-16,0)*3+IF(GQ223&gt;17,GQ223-17,0)*3+IF(GQ223&gt;18,GQ223-18,0)*3+IF(GQ223&gt;19,GQ223-19,0)*3+IF(GQ223&gt;20,GQ223-20,0)*3</f>
        <v>3</v>
      </c>
      <c r="GU223" s="243">
        <f>IF((GS223-GT223)&gt;0,GS223-GT223,0)</f>
        <v>228.02155172413785</v>
      </c>
      <c r="GV223" s="218">
        <f>IF((GT223-GS223)&gt;0,GT223-GS223,0)</f>
        <v>0</v>
      </c>
      <c r="GX223" s="303" t="s">
        <v>386</v>
      </c>
      <c r="GY223" s="304" t="s">
        <v>81</v>
      </c>
      <c r="GZ223" s="305" t="s">
        <v>135</v>
      </c>
      <c r="HA223" s="317"/>
      <c r="HB223" s="254">
        <f>Konvention_1slave-KLslave</f>
        <v>12</v>
      </c>
      <c r="HC223" s="254"/>
      <c r="HD223" s="254">
        <f>Konvention_1slave-CHslave</f>
        <v>12</v>
      </c>
      <c r="HE223" s="254"/>
      <c r="HF223" s="254">
        <f>Konvention_1slave-GEslave</f>
        <v>12</v>
      </c>
      <c r="HG223" s="254"/>
      <c r="HH223" s="318"/>
      <c r="HI223" s="223">
        <f>(HA223+HB223+HC223+HD223+HE223+HF223+HG223+HH223)/3</f>
        <v>12</v>
      </c>
      <c r="HJ223" s="223">
        <f>2*HI223</f>
        <v>24</v>
      </c>
      <c r="HK223" s="224">
        <f>3*HI223</f>
        <v>36</v>
      </c>
      <c r="HL223" s="237">
        <f t="shared" si="1609"/>
        <v>2304</v>
      </c>
      <c r="HM223" s="254">
        <f>HB223*HD223*GEslave+HB223*CHslave*HF223+KLslave*HD223*HF223</f>
        <v>3456</v>
      </c>
      <c r="HN223" s="224">
        <f>IFERROR(HA223^SIGN(HA223),1)*IFERROR(HB223^SIGN(HB223),1)*IFERROR(HC223^SIGN(HC223),1)*IFERROR(HD223^SIGN(HD223),1)*IFERROR(HE223^SIGN(HE223),1)*IFERROR(HF223^SIGN(HF223),1)*IFERROR(HG223^SIGN(HG223),1)*IFERROR(HH223^SIGN(HH223),1)</f>
        <v>1728</v>
      </c>
      <c r="HO223" s="224">
        <f>SUM(HL223:HN223)</f>
        <v>7488</v>
      </c>
      <c r="HP223" s="222">
        <f>HI223*HL223/HO223</f>
        <v>3.6923076923076925</v>
      </c>
      <c r="HQ223" s="223">
        <f>HJ223*HM223/HO223</f>
        <v>11.076923076923077</v>
      </c>
      <c r="HR223" s="243">
        <f>HK223*HN223/HO223</f>
        <v>8.3076923076923084</v>
      </c>
      <c r="HS223" s="243">
        <f>SUM(HP223:HR223)</f>
        <v>23.07692307692308</v>
      </c>
      <c r="HT223" s="252">
        <f t="shared" si="1610"/>
        <v>0</v>
      </c>
      <c r="HU223" s="309">
        <f>HS223-HT223</f>
        <v>23.07692307692308</v>
      </c>
      <c r="HV223" s="218">
        <f>IF(HS223&lt;=0,3,0)+IF(HS223&gt;0,HS223+1,0)*3+IF(HS223&gt;12,HS223-12,0)*3+IF(HS223&gt;13,HS223-13,0)*3+IF(HS223&gt;14,HS223-14,0)*3+IF(HS223&gt;15,HS223-15,0)*3+IF(HS223&gt;16,HS223-16,0)*3+IF(HS223&gt;17,HS223-17,0)*3+IF(HS223&gt;18,HS223-18,0)*3+IF(HS223&gt;19,HS223-19,0)*3+IF(HS223&gt;20,HS223-20,0)*3</f>
        <v>263.30769230769232</v>
      </c>
      <c r="HW223" s="242">
        <f>IF(HT223&lt;=0,3,0)+IF(HT223&gt;0,HT223+1,0)*3+IF(HT223&gt;12,HT223-12,0)*3+IF(HT223&gt;13,HT223-13,0)*3+IF(HT223&gt;14,HT223-14,0)*3+IF(HT223&gt;15,HT223-15,0)*3+IF(HT223&gt;16,HT223-16,0)*3+IF(HT223&gt;17,HT223-17,0)*3+IF(HT223&gt;18,HT223-18,0)*3+IF(HT223&gt;19,HT223-19,0)*3+IF(HT223&gt;20,HT223-20,0)*3</f>
        <v>3</v>
      </c>
      <c r="HX223" s="243">
        <f>IF((HV223-HW223)&gt;0,HV223-HW223,0)</f>
        <v>260.30769230769232</v>
      </c>
      <c r="HY223" s="218">
        <f>IF((HW223-HV223)&gt;0,HW223-HV223,0)</f>
        <v>0</v>
      </c>
      <c r="IA223" s="303" t="s">
        <v>386</v>
      </c>
      <c r="IB223" s="304" t="s">
        <v>81</v>
      </c>
      <c r="IC223" s="305" t="s">
        <v>135</v>
      </c>
      <c r="ID223" s="317"/>
      <c r="IE223" s="254">
        <f>Konvention_1slave-KLslave</f>
        <v>12</v>
      </c>
      <c r="IF223" s="254"/>
      <c r="IG223" s="254">
        <f>Konvention_1slave-CHslave</f>
        <v>12</v>
      </c>
      <c r="IH223" s="254"/>
      <c r="II223" s="254">
        <f>Konvention_1slave-GEslave</f>
        <v>12</v>
      </c>
      <c r="IJ223" s="254"/>
      <c r="IK223" s="318"/>
      <c r="IL223" s="223">
        <f>(ID223+IE223+IF223+IG223+IH223+II223+IJ223+IK223)/3</f>
        <v>12</v>
      </c>
      <c r="IM223" s="223">
        <f>2*IL223</f>
        <v>24</v>
      </c>
      <c r="IN223" s="224">
        <f>3*IL223</f>
        <v>36</v>
      </c>
      <c r="IO223" s="237">
        <f t="shared" si="1611"/>
        <v>2304</v>
      </c>
      <c r="IP223" s="254">
        <f>IE223*IG223*GEslave+IE223*CHslave*II223+KLslave*IG223*II223</f>
        <v>3456</v>
      </c>
      <c r="IQ223" s="224">
        <f>IFERROR(ID223^SIGN(ID223),1)*IFERROR(IE223^SIGN(IE223),1)*IFERROR(IF223^SIGN(IF223),1)*IFERROR(IG223^SIGN(IG223),1)*IFERROR(IH223^SIGN(IH223),1)*IFERROR(II223^SIGN(II223),1)*IFERROR(IJ223^SIGN(IJ223),1)*IFERROR(IK223^SIGN(IK223),1)</f>
        <v>1728</v>
      </c>
      <c r="IR223" s="224">
        <f>SUM(IO223:IQ223)</f>
        <v>7488</v>
      </c>
      <c r="IS223" s="222">
        <f>IL223*IO223/IR223</f>
        <v>3.6923076923076925</v>
      </c>
      <c r="IT223" s="223">
        <f>IM223*IP223/IR223</f>
        <v>11.076923076923077</v>
      </c>
      <c r="IU223" s="243">
        <f>IN223*IQ223/IR223</f>
        <v>8.3076923076923084</v>
      </c>
      <c r="IV223" s="243">
        <f>SUM(IS223:IU223)</f>
        <v>23.07692307692308</v>
      </c>
      <c r="IW223" s="252">
        <f t="shared" si="1612"/>
        <v>0</v>
      </c>
      <c r="IX223" s="309">
        <f>IV223-IW223</f>
        <v>23.07692307692308</v>
      </c>
      <c r="IY223" s="218">
        <f>IF(IV223&lt;=0,3,0)+IF(IV223&gt;0,IV223+1,0)*3+IF(IV223&gt;12,IV223-12,0)*3+IF(IV223&gt;13,IV223-13,0)*3+IF(IV223&gt;14,IV223-14,0)*3+IF(IV223&gt;15,IV223-15,0)*3+IF(IV223&gt;16,IV223-16,0)*3+IF(IV223&gt;17,IV223-17,0)*3+IF(IV223&gt;18,IV223-18,0)*3+IF(IV223&gt;19,IV223-19,0)*3+IF(IV223&gt;20,IV223-20,0)*3</f>
        <v>263.30769230769232</v>
      </c>
      <c r="IZ223" s="242">
        <f>IF(IW223&lt;=0,3,0)+IF(IW223&gt;0,IW223+1,0)*3+IF(IW223&gt;12,IW223-12,0)*3+IF(IW223&gt;13,IW223-13,0)*3+IF(IW223&gt;14,IW223-14,0)*3+IF(IW223&gt;15,IW223-15,0)*3+IF(IW223&gt;16,IW223-16,0)*3+IF(IW223&gt;17,IW223-17,0)*3+IF(IW223&gt;18,IW223-18,0)*3+IF(IW223&gt;19,IW223-19,0)*3+IF(IW223&gt;20,IW223-20,0)*3</f>
        <v>3</v>
      </c>
      <c r="JA223" s="243">
        <f>IF((IY223-IZ223)&gt;0,IY223-IZ223,0)</f>
        <v>260.30769230769232</v>
      </c>
      <c r="JB223" s="218">
        <f>IF((IZ223-IY223)&gt;0,IZ223-IY223,0)</f>
        <v>0</v>
      </c>
      <c r="JE223" s="148"/>
    </row>
    <row r="224" spans="2:265" hidden="1" outlineLevel="2">
      <c r="B224" s="148">
        <v>12</v>
      </c>
      <c r="C224" s="303" t="e">
        <f>VLOOKUP(AF224,Attribute!C:T,1,FALSE)</f>
        <v>#N/A</v>
      </c>
      <c r="D224" s="86" t="s">
        <v>170</v>
      </c>
      <c r="E224" s="167" t="s">
        <v>135</v>
      </c>
      <c r="F224" s="120"/>
      <c r="G224" s="117">
        <f>Konvention_1master-KLmaster</f>
        <v>12</v>
      </c>
      <c r="H224" s="117">
        <f>Konvention_1master-INmaster</f>
        <v>12</v>
      </c>
      <c r="I224" s="117"/>
      <c r="J224" s="117">
        <f>Konvention_1master-FFmaster</f>
        <v>12</v>
      </c>
      <c r="K224" s="117"/>
      <c r="L224" s="117"/>
      <c r="M224" s="121"/>
      <c r="N224" s="223">
        <f t="shared" si="1629"/>
        <v>12</v>
      </c>
      <c r="O224" s="223">
        <f t="shared" si="1630"/>
        <v>24</v>
      </c>
      <c r="P224" s="224">
        <f t="shared" si="1631"/>
        <v>36</v>
      </c>
      <c r="Q224" s="237">
        <f t="shared" si="1632"/>
        <v>2304</v>
      </c>
      <c r="R224" s="117">
        <f>G224*H224*FFmaster+G224*INmaster*J224+KLmaster*H224*J224</f>
        <v>3456</v>
      </c>
      <c r="S224" s="224">
        <f t="shared" si="1633"/>
        <v>1728</v>
      </c>
      <c r="T224" s="224">
        <f t="shared" si="1634"/>
        <v>7488</v>
      </c>
      <c r="U224" s="222">
        <f t="shared" si="1635"/>
        <v>3.6923076923076925</v>
      </c>
      <c r="V224" s="223">
        <f t="shared" si="1636"/>
        <v>11.076923076923077</v>
      </c>
      <c r="W224" s="243">
        <f t="shared" si="1637"/>
        <v>8.3076923076923084</v>
      </c>
      <c r="X224" s="243">
        <f t="shared" si="1638"/>
        <v>23.07692307692308</v>
      </c>
      <c r="Y224" s="252">
        <v>0</v>
      </c>
      <c r="Z224" s="198">
        <f t="shared" si="1639"/>
        <v>23.07692307692308</v>
      </c>
      <c r="AA224" s="125">
        <f>IF(X224&lt;=0,3,0)+IF(X224&gt;0,X224+1,0)*3+IF(X224&gt;12,X224-12,0)*3+IF(X224&gt;13,X224-13,0)*3+IF(X224&gt;14,X224-14,0)*3+IF(X224&gt;15,X224-15,0)*3+IF(X224&gt;16,X224-16,0)*3+IF(X224&gt;17,X224-17,0)*3+IF(X224&gt;18,X224-18,0)*3+IF(X224&gt;19,X224-19,0)*3+IF(X224&gt;20,X224-20,0)*3</f>
        <v>263.30769230769232</v>
      </c>
      <c r="AB224" s="160">
        <f>IF(Y224&lt;=0,3,0)+IF(Y224&gt;0,Y224+1,0)*3+IF(Y224&gt;12,Y224-12,0)*3+IF(Y224&gt;13,Y224-13,0)*3+IF(Y224&gt;14,Y224-14,0)*3+IF(Y224&gt;15,Y224-15,0)*3+IF(Y224&gt;16,Y224-16,0)*3+IF(Y224&gt;17,Y224-17,0)*3+IF(Y224&gt;18,Y224-18,0)*3+IF(Y224&gt;19,Y224-19,0)*3+IF(Y224&gt;20,Y224-20,0)*3</f>
        <v>3</v>
      </c>
      <c r="AC224" s="127">
        <f t="shared" si="1640"/>
        <v>260.30769230769232</v>
      </c>
      <c r="AD224" s="125">
        <f t="shared" si="1641"/>
        <v>0</v>
      </c>
      <c r="AF224" s="163" t="s">
        <v>302</v>
      </c>
      <c r="AG224" s="86" t="s">
        <v>170</v>
      </c>
      <c r="AH224" s="167" t="s">
        <v>135</v>
      </c>
      <c r="AI224" s="120"/>
      <c r="AJ224" s="117">
        <f>Konvention_1slave-KLslave</f>
        <v>12</v>
      </c>
      <c r="AK224" s="117">
        <f t="shared" si="1613"/>
        <v>12</v>
      </c>
      <c r="AL224" s="117"/>
      <c r="AM224" s="117">
        <f>Konvention_1slave-FFslave</f>
        <v>12</v>
      </c>
      <c r="AN224" s="117"/>
      <c r="AO224" s="117"/>
      <c r="AP224" s="121"/>
      <c r="AQ224" s="47">
        <f t="shared" si="1642"/>
        <v>12</v>
      </c>
      <c r="AR224" s="3">
        <f t="shared" si="1643"/>
        <v>24</v>
      </c>
      <c r="AS224" s="174">
        <f t="shared" si="1644"/>
        <v>36</v>
      </c>
      <c r="AT224" s="114">
        <f t="shared" si="1597"/>
        <v>2304</v>
      </c>
      <c r="AU224" s="117">
        <f>AJ224*AK224*FFslave+AJ224*INslave*AM224+KLslave*AK224*AM224</f>
        <v>3456</v>
      </c>
      <c r="AV224" s="119">
        <f t="shared" si="1645"/>
        <v>1728</v>
      </c>
      <c r="AW224" s="119">
        <f t="shared" si="1646"/>
        <v>7488</v>
      </c>
      <c r="AX224" s="89">
        <f t="shared" si="1647"/>
        <v>3.6923076923076925</v>
      </c>
      <c r="AY224" s="47">
        <f t="shared" si="1648"/>
        <v>11.076923076923077</v>
      </c>
      <c r="AZ224" s="127">
        <f t="shared" si="1649"/>
        <v>8.3076923076923084</v>
      </c>
      <c r="BA224" s="127">
        <f t="shared" si="1650"/>
        <v>23.07692307692308</v>
      </c>
      <c r="BB224" s="165">
        <f t="shared" si="1598"/>
        <v>0</v>
      </c>
      <c r="BC224" s="198">
        <f t="shared" si="1651"/>
        <v>23.07692307692308</v>
      </c>
      <c r="BD224" s="125">
        <f>IF(BA224&lt;=0,3,0)+IF(BA224&gt;0,BA224+1,0)*3+IF(BA224&gt;12,BA224-12,0)*3+IF(BA224&gt;13,BA224-13,0)*3+IF(BA224&gt;14,BA224-14,0)*3+IF(BA224&gt;15,BA224-15,0)*3+IF(BA224&gt;16,BA224-16,0)*3+IF(BA224&gt;17,BA224-17,0)*3+IF(BA224&gt;18,BA224-18,0)*3+IF(BA224&gt;19,BA224-19,0)*3+IF(BA224&gt;20,BA224-20,0)*3</f>
        <v>263.30769230769232</v>
      </c>
      <c r="BE224" s="160">
        <f>IF(BB224&lt;=0,3,0)+IF(BB224&gt;0,BB224+1,0)*3+IF(BB224&gt;12,BB224-12,0)*3+IF(BB224&gt;13,BB224-13,0)*3+IF(BB224&gt;14,BB224-14,0)*3+IF(BB224&gt;15,BB224-15,0)*3+IF(BB224&gt;16,BB224-16,0)*3+IF(BB224&gt;17,BB224-17,0)*3+IF(BB224&gt;18,BB224-18,0)*3+IF(BB224&gt;19,BB224-19,0)*3+IF(BB224&gt;20,BB224-20,0)*3</f>
        <v>3</v>
      </c>
      <c r="BF224" s="243">
        <f t="shared" si="1652"/>
        <v>260.30769230769232</v>
      </c>
      <c r="BG224" s="218">
        <f t="shared" si="1653"/>
        <v>0</v>
      </c>
      <c r="BI224" s="303" t="s">
        <v>302</v>
      </c>
      <c r="BJ224" s="304" t="s">
        <v>170</v>
      </c>
      <c r="BK224" s="305" t="s">
        <v>135</v>
      </c>
      <c r="BL224" s="317"/>
      <c r="BM224" s="254">
        <f>Konvention_1slave-KLslave_KL</f>
        <v>11</v>
      </c>
      <c r="BN224" s="254">
        <f t="shared" si="1614"/>
        <v>12</v>
      </c>
      <c r="BO224" s="254"/>
      <c r="BP224" s="254">
        <f>Konvention_1slave-FFslave</f>
        <v>12</v>
      </c>
      <c r="BQ224" s="254"/>
      <c r="BR224" s="254"/>
      <c r="BS224" s="318"/>
      <c r="BT224" s="223">
        <f t="shared" si="1654"/>
        <v>11.666666666666666</v>
      </c>
      <c r="BU224" s="223">
        <f t="shared" si="1655"/>
        <v>23.333333333333332</v>
      </c>
      <c r="BV224" s="224">
        <f t="shared" si="1656"/>
        <v>35</v>
      </c>
      <c r="BW224" s="237">
        <f t="shared" si="1599"/>
        <v>2432</v>
      </c>
      <c r="BX224" s="254">
        <f>BM224*BN224*FFslave+BM224*INslave*BP224+KLslave_KL*BN224*BP224</f>
        <v>3408</v>
      </c>
      <c r="BY224" s="224">
        <f t="shared" si="1657"/>
        <v>1584</v>
      </c>
      <c r="BZ224" s="224">
        <f t="shared" si="1658"/>
        <v>7424</v>
      </c>
      <c r="CA224" s="222">
        <f t="shared" si="1659"/>
        <v>3.8218390804597702</v>
      </c>
      <c r="CB224" s="223">
        <f t="shared" si="1660"/>
        <v>10.711206896551724</v>
      </c>
      <c r="CC224" s="243">
        <f t="shared" si="1661"/>
        <v>7.4676724137931032</v>
      </c>
      <c r="CD224" s="243">
        <f t="shared" si="1662"/>
        <v>22.000718390804597</v>
      </c>
      <c r="CE224" s="252">
        <f t="shared" si="1600"/>
        <v>0</v>
      </c>
      <c r="CF224" s="309">
        <f t="shared" si="1663"/>
        <v>22.000718390804597</v>
      </c>
      <c r="CG224" s="218">
        <f>IF(CD224&lt;=0,3,0)+IF(CD224&gt;0,CD224+1,0)*3+IF(CD224&gt;12,CD224-12,0)*3+IF(CD224&gt;13,CD224-13,0)*3+IF(CD224&gt;14,CD224-14,0)*3+IF(CD224&gt;15,CD224-15,0)*3+IF(CD224&gt;16,CD224-16,0)*3+IF(CD224&gt;17,CD224-17,0)*3+IF(CD224&gt;18,CD224-18,0)*3+IF(CD224&gt;19,CD224-19,0)*3+IF(CD224&gt;20,CD224-20,0)*3</f>
        <v>231.02155172413785</v>
      </c>
      <c r="CH224" s="242">
        <f>IF(CE224&lt;=0,3,0)+IF(CE224&gt;0,CE224+1,0)*3+IF(CE224&gt;12,CE224-12,0)*3+IF(CE224&gt;13,CE224-13,0)*3+IF(CE224&gt;14,CE224-14,0)*3+IF(CE224&gt;15,CE224-15,0)*3+IF(CE224&gt;16,CE224-16,0)*3+IF(CE224&gt;17,CE224-17,0)*3+IF(CE224&gt;18,CE224-18,0)*3+IF(CE224&gt;19,CE224-19,0)*3+IF(CE224&gt;20,CE224-20,0)*3</f>
        <v>3</v>
      </c>
      <c r="CI224" s="243">
        <f t="shared" si="1664"/>
        <v>228.02155172413785</v>
      </c>
      <c r="CJ224" s="218">
        <f t="shared" si="1665"/>
        <v>0</v>
      </c>
      <c r="CL224" s="303" t="s">
        <v>302</v>
      </c>
      <c r="CM224" s="304" t="s">
        <v>170</v>
      </c>
      <c r="CN224" s="305" t="s">
        <v>135</v>
      </c>
      <c r="CO224" s="317"/>
      <c r="CP224" s="254">
        <f>Konvention_1slave-KLslave</f>
        <v>12</v>
      </c>
      <c r="CQ224" s="254">
        <f>Konvention_1slave-INslave_IN</f>
        <v>11</v>
      </c>
      <c r="CR224" s="254"/>
      <c r="CS224" s="254">
        <f>Konvention_1slave-FFslave</f>
        <v>12</v>
      </c>
      <c r="CT224" s="254"/>
      <c r="CU224" s="254"/>
      <c r="CV224" s="318"/>
      <c r="CW224" s="223">
        <f t="shared" si="1666"/>
        <v>11.666666666666666</v>
      </c>
      <c r="CX224" s="223">
        <f t="shared" si="1667"/>
        <v>23.333333333333332</v>
      </c>
      <c r="CY224" s="224">
        <f t="shared" si="1668"/>
        <v>35</v>
      </c>
      <c r="CZ224" s="237">
        <f t="shared" si="1601"/>
        <v>2432</v>
      </c>
      <c r="DA224" s="254">
        <f>CP224*CQ224*FFslave+CP224*INslave_IN*CS224+KLslave*CQ224*CS224</f>
        <v>3408</v>
      </c>
      <c r="DB224" s="224">
        <f t="shared" si="1669"/>
        <v>1584</v>
      </c>
      <c r="DC224" s="224">
        <f t="shared" si="1670"/>
        <v>7424</v>
      </c>
      <c r="DD224" s="222">
        <f t="shared" si="1671"/>
        <v>3.8218390804597702</v>
      </c>
      <c r="DE224" s="223">
        <f t="shared" si="1672"/>
        <v>10.711206896551724</v>
      </c>
      <c r="DF224" s="243">
        <f t="shared" si="1673"/>
        <v>7.4676724137931032</v>
      </c>
      <c r="DG224" s="243">
        <f t="shared" si="1674"/>
        <v>22.000718390804597</v>
      </c>
      <c r="DH224" s="252">
        <f t="shared" si="1602"/>
        <v>0</v>
      </c>
      <c r="DI224" s="309">
        <f t="shared" si="1675"/>
        <v>22.000718390804597</v>
      </c>
      <c r="DJ224" s="218">
        <f>IF(DG224&lt;=0,3,0)+IF(DG224&gt;0,DG224+1,0)*3+IF(DG224&gt;12,DG224-12,0)*3+IF(DG224&gt;13,DG224-13,0)*3+IF(DG224&gt;14,DG224-14,0)*3+IF(DG224&gt;15,DG224-15,0)*3+IF(DG224&gt;16,DG224-16,0)*3+IF(DG224&gt;17,DG224-17,0)*3+IF(DG224&gt;18,DG224-18,0)*3+IF(DG224&gt;19,DG224-19,0)*3+IF(DG224&gt;20,DG224-20,0)*3</f>
        <v>231.02155172413785</v>
      </c>
      <c r="DK224" s="242">
        <f>IF(DH224&lt;=0,3,0)+IF(DH224&gt;0,DH224+1,0)*3+IF(DH224&gt;12,DH224-12,0)*3+IF(DH224&gt;13,DH224-13,0)*3+IF(DH224&gt;14,DH224-14,0)*3+IF(DH224&gt;15,DH224-15,0)*3+IF(DH224&gt;16,DH224-16,0)*3+IF(DH224&gt;17,DH224-17,0)*3+IF(DH224&gt;18,DH224-18,0)*3+IF(DH224&gt;19,DH224-19,0)*3+IF(DH224&gt;20,DH224-20,0)*3</f>
        <v>3</v>
      </c>
      <c r="DL224" s="243">
        <f t="shared" si="1676"/>
        <v>228.02155172413785</v>
      </c>
      <c r="DM224" s="218">
        <f t="shared" si="1677"/>
        <v>0</v>
      </c>
      <c r="DO224" s="303" t="s">
        <v>302</v>
      </c>
      <c r="DP224" s="304" t="s">
        <v>170</v>
      </c>
      <c r="DQ224" s="305" t="s">
        <v>135</v>
      </c>
      <c r="DR224" s="317"/>
      <c r="DS224" s="254">
        <f>Konvention_1slave-KLslave</f>
        <v>12</v>
      </c>
      <c r="DT224" s="254">
        <f t="shared" si="1615"/>
        <v>12</v>
      </c>
      <c r="DU224" s="254"/>
      <c r="DV224" s="254">
        <f>Konvention_1slave-FFslave</f>
        <v>12</v>
      </c>
      <c r="DW224" s="254"/>
      <c r="DX224" s="254"/>
      <c r="DY224" s="318"/>
      <c r="DZ224" s="223">
        <f t="shared" si="1678"/>
        <v>12</v>
      </c>
      <c r="EA224" s="223">
        <f t="shared" si="1679"/>
        <v>24</v>
      </c>
      <c r="EB224" s="224">
        <f t="shared" si="1680"/>
        <v>36</v>
      </c>
      <c r="EC224" s="237">
        <f t="shared" si="1603"/>
        <v>2304</v>
      </c>
      <c r="ED224" s="254">
        <f>DS224*DT224*FFslave+DS224*INslave*DV224+KLslave*DT224*DV224</f>
        <v>3456</v>
      </c>
      <c r="EE224" s="224">
        <f t="shared" si="1681"/>
        <v>1728</v>
      </c>
      <c r="EF224" s="224">
        <f t="shared" si="1682"/>
        <v>7488</v>
      </c>
      <c r="EG224" s="222">
        <f t="shared" si="1683"/>
        <v>3.6923076923076925</v>
      </c>
      <c r="EH224" s="223">
        <f t="shared" si="1684"/>
        <v>11.076923076923077</v>
      </c>
      <c r="EI224" s="243">
        <f t="shared" si="1685"/>
        <v>8.3076923076923084</v>
      </c>
      <c r="EJ224" s="243">
        <f t="shared" si="1686"/>
        <v>23.07692307692308</v>
      </c>
      <c r="EK224" s="252">
        <f t="shared" si="1604"/>
        <v>0</v>
      </c>
      <c r="EL224" s="309">
        <f t="shared" si="1687"/>
        <v>23.07692307692308</v>
      </c>
      <c r="EM224" s="218">
        <f>IF(EJ224&lt;=0,3,0)+IF(EJ224&gt;0,EJ224+1,0)*3+IF(EJ224&gt;12,EJ224-12,0)*3+IF(EJ224&gt;13,EJ224-13,0)*3+IF(EJ224&gt;14,EJ224-14,0)*3+IF(EJ224&gt;15,EJ224-15,0)*3+IF(EJ224&gt;16,EJ224-16,0)*3+IF(EJ224&gt;17,EJ224-17,0)*3+IF(EJ224&gt;18,EJ224-18,0)*3+IF(EJ224&gt;19,EJ224-19,0)*3+IF(EJ224&gt;20,EJ224-20,0)*3</f>
        <v>263.30769230769232</v>
      </c>
      <c r="EN224" s="242">
        <f>IF(EK224&lt;=0,3,0)+IF(EK224&gt;0,EK224+1,0)*3+IF(EK224&gt;12,EK224-12,0)*3+IF(EK224&gt;13,EK224-13,0)*3+IF(EK224&gt;14,EK224-14,0)*3+IF(EK224&gt;15,EK224-15,0)*3+IF(EK224&gt;16,EK224-16,0)*3+IF(EK224&gt;17,EK224-17,0)*3+IF(EK224&gt;18,EK224-18,0)*3+IF(EK224&gt;19,EK224-19,0)*3+IF(EK224&gt;20,EK224-20,0)*3</f>
        <v>3</v>
      </c>
      <c r="EO224" s="243">
        <f t="shared" si="1688"/>
        <v>260.30769230769232</v>
      </c>
      <c r="EP224" s="218">
        <f t="shared" si="1689"/>
        <v>0</v>
      </c>
      <c r="ER224" s="303" t="s">
        <v>302</v>
      </c>
      <c r="ES224" s="304" t="s">
        <v>170</v>
      </c>
      <c r="ET224" s="305" t="s">
        <v>135</v>
      </c>
      <c r="EU224" s="317"/>
      <c r="EV224" s="254">
        <f>Konvention_1slave-KLslave</f>
        <v>12</v>
      </c>
      <c r="EW224" s="254">
        <f t="shared" si="1616"/>
        <v>12</v>
      </c>
      <c r="EX224" s="254"/>
      <c r="EY224" s="254">
        <f>Konvention_1slave-FFslave_FF</f>
        <v>11</v>
      </c>
      <c r="EZ224" s="254"/>
      <c r="FA224" s="254"/>
      <c r="FB224" s="318"/>
      <c r="FC224" s="223">
        <f t="shared" si="1690"/>
        <v>11.666666666666666</v>
      </c>
      <c r="FD224" s="223">
        <f t="shared" si="1691"/>
        <v>23.333333333333332</v>
      </c>
      <c r="FE224" s="224">
        <f t="shared" si="1692"/>
        <v>35</v>
      </c>
      <c r="FF224" s="237">
        <f t="shared" si="1605"/>
        <v>2432</v>
      </c>
      <c r="FG224" s="254">
        <f>EV224*EW224*FFslave_FF+EV224*INslave*EY224+KLslave*EW224*EY224</f>
        <v>3408</v>
      </c>
      <c r="FH224" s="224">
        <f t="shared" si="1693"/>
        <v>1584</v>
      </c>
      <c r="FI224" s="224">
        <f t="shared" si="1694"/>
        <v>7424</v>
      </c>
      <c r="FJ224" s="222">
        <f t="shared" si="1695"/>
        <v>3.8218390804597702</v>
      </c>
      <c r="FK224" s="223">
        <f t="shared" si="1696"/>
        <v>10.711206896551724</v>
      </c>
      <c r="FL224" s="243">
        <f t="shared" si="1697"/>
        <v>7.4676724137931032</v>
      </c>
      <c r="FM224" s="243">
        <f t="shared" si="1698"/>
        <v>22.000718390804597</v>
      </c>
      <c r="FN224" s="252">
        <f t="shared" si="1606"/>
        <v>0</v>
      </c>
      <c r="FO224" s="309">
        <f t="shared" si="1699"/>
        <v>22.000718390804597</v>
      </c>
      <c r="FP224" s="218">
        <f>IF(FM224&lt;=0,3,0)+IF(FM224&gt;0,FM224+1,0)*3+IF(FM224&gt;12,FM224-12,0)*3+IF(FM224&gt;13,FM224-13,0)*3+IF(FM224&gt;14,FM224-14,0)*3+IF(FM224&gt;15,FM224-15,0)*3+IF(FM224&gt;16,FM224-16,0)*3+IF(FM224&gt;17,FM224-17,0)*3+IF(FM224&gt;18,FM224-18,0)*3+IF(FM224&gt;19,FM224-19,0)*3+IF(FM224&gt;20,FM224-20,0)*3</f>
        <v>231.02155172413785</v>
      </c>
      <c r="FQ224" s="242">
        <f>IF(FN224&lt;=0,3,0)+IF(FN224&gt;0,FN224+1,0)*3+IF(FN224&gt;12,FN224-12,0)*3+IF(FN224&gt;13,FN224-13,0)*3+IF(FN224&gt;14,FN224-14,0)*3+IF(FN224&gt;15,FN224-15,0)*3+IF(FN224&gt;16,FN224-16,0)*3+IF(FN224&gt;17,FN224-17,0)*3+IF(FN224&gt;18,FN224-18,0)*3+IF(FN224&gt;19,FN224-19,0)*3+IF(FN224&gt;20,FN224-20,0)*3</f>
        <v>3</v>
      </c>
      <c r="FR224" s="243">
        <f t="shared" si="1700"/>
        <v>228.02155172413785</v>
      </c>
      <c r="FS224" s="218">
        <f t="shared" si="1701"/>
        <v>0</v>
      </c>
      <c r="FU224" s="303" t="s">
        <v>302</v>
      </c>
      <c r="FV224" s="304" t="s">
        <v>170</v>
      </c>
      <c r="FW224" s="305" t="s">
        <v>135</v>
      </c>
      <c r="FX224" s="317"/>
      <c r="FY224" s="254">
        <f>Konvention_1slave-KLslave</f>
        <v>12</v>
      </c>
      <c r="FZ224" s="254">
        <f t="shared" si="1617"/>
        <v>12</v>
      </c>
      <c r="GA224" s="254"/>
      <c r="GB224" s="254">
        <f>Konvention_1slave-FFslave</f>
        <v>12</v>
      </c>
      <c r="GC224" s="254"/>
      <c r="GD224" s="254"/>
      <c r="GE224" s="318"/>
      <c r="GF224" s="223">
        <f t="shared" si="1702"/>
        <v>12</v>
      </c>
      <c r="GG224" s="223">
        <f t="shared" si="1703"/>
        <v>24</v>
      </c>
      <c r="GH224" s="224">
        <f t="shared" si="1704"/>
        <v>36</v>
      </c>
      <c r="GI224" s="237">
        <f t="shared" si="1607"/>
        <v>2304</v>
      </c>
      <c r="GJ224" s="254">
        <f>FY224*FZ224*FFslave+FY224*INslave*GB224+KLslave*FZ224*GB224</f>
        <v>3456</v>
      </c>
      <c r="GK224" s="224">
        <f t="shared" si="1705"/>
        <v>1728</v>
      </c>
      <c r="GL224" s="224">
        <f t="shared" si="1706"/>
        <v>7488</v>
      </c>
      <c r="GM224" s="222">
        <f t="shared" si="1707"/>
        <v>3.6923076923076925</v>
      </c>
      <c r="GN224" s="223">
        <f t="shared" si="1708"/>
        <v>11.076923076923077</v>
      </c>
      <c r="GO224" s="243">
        <f t="shared" si="1709"/>
        <v>8.3076923076923084</v>
      </c>
      <c r="GP224" s="243">
        <f t="shared" si="1710"/>
        <v>23.07692307692308</v>
      </c>
      <c r="GQ224" s="252">
        <f t="shared" si="1608"/>
        <v>0</v>
      </c>
      <c r="GR224" s="309">
        <f t="shared" si="1711"/>
        <v>23.07692307692308</v>
      </c>
      <c r="GS224" s="218">
        <f>IF(GP224&lt;=0,3,0)+IF(GP224&gt;0,GP224+1,0)*3+IF(GP224&gt;12,GP224-12,0)*3+IF(GP224&gt;13,GP224-13,0)*3+IF(GP224&gt;14,GP224-14,0)*3+IF(GP224&gt;15,GP224-15,0)*3+IF(GP224&gt;16,GP224-16,0)*3+IF(GP224&gt;17,GP224-17,0)*3+IF(GP224&gt;18,GP224-18,0)*3+IF(GP224&gt;19,GP224-19,0)*3+IF(GP224&gt;20,GP224-20,0)*3</f>
        <v>263.30769230769232</v>
      </c>
      <c r="GT224" s="242">
        <f>IF(GQ224&lt;=0,3,0)+IF(GQ224&gt;0,GQ224+1,0)*3+IF(GQ224&gt;12,GQ224-12,0)*3+IF(GQ224&gt;13,GQ224-13,0)*3+IF(GQ224&gt;14,GQ224-14,0)*3+IF(GQ224&gt;15,GQ224-15,0)*3+IF(GQ224&gt;16,GQ224-16,0)*3+IF(GQ224&gt;17,GQ224-17,0)*3+IF(GQ224&gt;18,GQ224-18,0)*3+IF(GQ224&gt;19,GQ224-19,0)*3+IF(GQ224&gt;20,GQ224-20,0)*3</f>
        <v>3</v>
      </c>
      <c r="GU224" s="243">
        <f t="shared" si="1712"/>
        <v>260.30769230769232</v>
      </c>
      <c r="GV224" s="218">
        <f t="shared" si="1713"/>
        <v>0</v>
      </c>
      <c r="GX224" s="303" t="s">
        <v>302</v>
      </c>
      <c r="GY224" s="304" t="s">
        <v>170</v>
      </c>
      <c r="GZ224" s="305" t="s">
        <v>135</v>
      </c>
      <c r="HA224" s="317"/>
      <c r="HB224" s="254">
        <f>Konvention_1slave-KLslave</f>
        <v>12</v>
      </c>
      <c r="HC224" s="254">
        <f t="shared" si="1618"/>
        <v>12</v>
      </c>
      <c r="HD224" s="254"/>
      <c r="HE224" s="254">
        <f>Konvention_1slave-FFslave</f>
        <v>12</v>
      </c>
      <c r="HF224" s="254"/>
      <c r="HG224" s="254"/>
      <c r="HH224" s="318"/>
      <c r="HI224" s="223">
        <f t="shared" si="1714"/>
        <v>12</v>
      </c>
      <c r="HJ224" s="223">
        <f t="shared" si="1715"/>
        <v>24</v>
      </c>
      <c r="HK224" s="224">
        <f t="shared" si="1716"/>
        <v>36</v>
      </c>
      <c r="HL224" s="237">
        <f t="shared" si="1609"/>
        <v>2304</v>
      </c>
      <c r="HM224" s="254">
        <f>HB224*HC224*FFslave+HB224*INslave*HE224+KLslave*HC224*HE224</f>
        <v>3456</v>
      </c>
      <c r="HN224" s="224">
        <f t="shared" si="1717"/>
        <v>1728</v>
      </c>
      <c r="HO224" s="224">
        <f t="shared" si="1718"/>
        <v>7488</v>
      </c>
      <c r="HP224" s="222">
        <f t="shared" si="1719"/>
        <v>3.6923076923076925</v>
      </c>
      <c r="HQ224" s="223">
        <f t="shared" si="1720"/>
        <v>11.076923076923077</v>
      </c>
      <c r="HR224" s="243">
        <f t="shared" si="1721"/>
        <v>8.3076923076923084</v>
      </c>
      <c r="HS224" s="243">
        <f t="shared" si="1722"/>
        <v>23.07692307692308</v>
      </c>
      <c r="HT224" s="252">
        <f t="shared" si="1610"/>
        <v>0</v>
      </c>
      <c r="HU224" s="309">
        <f t="shared" si="1723"/>
        <v>23.07692307692308</v>
      </c>
      <c r="HV224" s="218">
        <f>IF(HS224&lt;=0,3,0)+IF(HS224&gt;0,HS224+1,0)*3+IF(HS224&gt;12,HS224-12,0)*3+IF(HS224&gt;13,HS224-13,0)*3+IF(HS224&gt;14,HS224-14,0)*3+IF(HS224&gt;15,HS224-15,0)*3+IF(HS224&gt;16,HS224-16,0)*3+IF(HS224&gt;17,HS224-17,0)*3+IF(HS224&gt;18,HS224-18,0)*3+IF(HS224&gt;19,HS224-19,0)*3+IF(HS224&gt;20,HS224-20,0)*3</f>
        <v>263.30769230769232</v>
      </c>
      <c r="HW224" s="242">
        <f>IF(HT224&lt;=0,3,0)+IF(HT224&gt;0,HT224+1,0)*3+IF(HT224&gt;12,HT224-12,0)*3+IF(HT224&gt;13,HT224-13,0)*3+IF(HT224&gt;14,HT224-14,0)*3+IF(HT224&gt;15,HT224-15,0)*3+IF(HT224&gt;16,HT224-16,0)*3+IF(HT224&gt;17,HT224-17,0)*3+IF(HT224&gt;18,HT224-18,0)*3+IF(HT224&gt;19,HT224-19,0)*3+IF(HT224&gt;20,HT224-20,0)*3</f>
        <v>3</v>
      </c>
      <c r="HX224" s="243">
        <f t="shared" si="1724"/>
        <v>260.30769230769232</v>
      </c>
      <c r="HY224" s="218">
        <f t="shared" si="1725"/>
        <v>0</v>
      </c>
      <c r="IA224" s="303" t="s">
        <v>302</v>
      </c>
      <c r="IB224" s="304" t="s">
        <v>170</v>
      </c>
      <c r="IC224" s="305" t="s">
        <v>135</v>
      </c>
      <c r="ID224" s="317"/>
      <c r="IE224" s="254">
        <f>Konvention_1slave-KLslave</f>
        <v>12</v>
      </c>
      <c r="IF224" s="254">
        <f t="shared" si="1619"/>
        <v>12</v>
      </c>
      <c r="IG224" s="254"/>
      <c r="IH224" s="254">
        <f>Konvention_1slave-FFslave</f>
        <v>12</v>
      </c>
      <c r="II224" s="254"/>
      <c r="IJ224" s="254"/>
      <c r="IK224" s="318"/>
      <c r="IL224" s="223">
        <f t="shared" si="1726"/>
        <v>12</v>
      </c>
      <c r="IM224" s="223">
        <f t="shared" si="1727"/>
        <v>24</v>
      </c>
      <c r="IN224" s="224">
        <f t="shared" si="1728"/>
        <v>36</v>
      </c>
      <c r="IO224" s="237">
        <f t="shared" si="1611"/>
        <v>2304</v>
      </c>
      <c r="IP224" s="254">
        <f>IE224*IF224*FFslave+IE224*INslave*IH224+KLslave*IF224*IH224</f>
        <v>3456</v>
      </c>
      <c r="IQ224" s="224">
        <f t="shared" si="1729"/>
        <v>1728</v>
      </c>
      <c r="IR224" s="224">
        <f t="shared" si="1730"/>
        <v>7488</v>
      </c>
      <c r="IS224" s="222">
        <f t="shared" si="1731"/>
        <v>3.6923076923076925</v>
      </c>
      <c r="IT224" s="223">
        <f t="shared" si="1732"/>
        <v>11.076923076923077</v>
      </c>
      <c r="IU224" s="243">
        <f t="shared" si="1733"/>
        <v>8.3076923076923084</v>
      </c>
      <c r="IV224" s="243">
        <f t="shared" si="1734"/>
        <v>23.07692307692308</v>
      </c>
      <c r="IW224" s="252">
        <f t="shared" si="1612"/>
        <v>0</v>
      </c>
      <c r="IX224" s="309">
        <f t="shared" si="1735"/>
        <v>23.07692307692308</v>
      </c>
      <c r="IY224" s="218">
        <f>IF(IV224&lt;=0,3,0)+IF(IV224&gt;0,IV224+1,0)*3+IF(IV224&gt;12,IV224-12,0)*3+IF(IV224&gt;13,IV224-13,0)*3+IF(IV224&gt;14,IV224-14,0)*3+IF(IV224&gt;15,IV224-15,0)*3+IF(IV224&gt;16,IV224-16,0)*3+IF(IV224&gt;17,IV224-17,0)*3+IF(IV224&gt;18,IV224-18,0)*3+IF(IV224&gt;19,IV224-19,0)*3+IF(IV224&gt;20,IV224-20,0)*3</f>
        <v>263.30769230769232</v>
      </c>
      <c r="IZ224" s="242">
        <f>IF(IW224&lt;=0,3,0)+IF(IW224&gt;0,IW224+1,0)*3+IF(IW224&gt;12,IW224-12,0)*3+IF(IW224&gt;13,IW224-13,0)*3+IF(IW224&gt;14,IW224-14,0)*3+IF(IW224&gt;15,IW224-15,0)*3+IF(IW224&gt;16,IW224-16,0)*3+IF(IW224&gt;17,IW224-17,0)*3+IF(IW224&gt;18,IW224-18,0)*3+IF(IW224&gt;19,IW224-19,0)*3+IF(IW224&gt;20,IW224-20,0)*3</f>
        <v>3</v>
      </c>
      <c r="JA224" s="243">
        <f t="shared" si="1736"/>
        <v>260.30769230769232</v>
      </c>
      <c r="JB224" s="218">
        <f t="shared" si="1737"/>
        <v>0</v>
      </c>
      <c r="JE224" s="148"/>
    </row>
    <row r="225" spans="2:265" hidden="1" outlineLevel="2">
      <c r="B225" s="148">
        <v>13</v>
      </c>
      <c r="C225" s="303" t="e">
        <f>VLOOKUP(AF225,Attribute!C:T,1,FALSE)</f>
        <v>#N/A</v>
      </c>
      <c r="D225" s="86" t="s">
        <v>439</v>
      </c>
      <c r="E225" s="167" t="s">
        <v>133</v>
      </c>
      <c r="F225" s="120"/>
      <c r="G225" s="117">
        <f>Konvention_1master-KLmaster</f>
        <v>12</v>
      </c>
      <c r="H225" s="117">
        <f>Konvention_1master-INmaster</f>
        <v>12</v>
      </c>
      <c r="I225" s="117"/>
      <c r="J225" s="117"/>
      <c r="K225" s="117">
        <f>Konvention_1master-GEmaster</f>
        <v>12</v>
      </c>
      <c r="L225" s="117"/>
      <c r="M225" s="121"/>
      <c r="N225" s="223">
        <f>(F225+G225+H225+I225+J225+K225+L225+M225)/3</f>
        <v>12</v>
      </c>
      <c r="O225" s="223">
        <f>2*N225</f>
        <v>24</v>
      </c>
      <c r="P225" s="224">
        <f>3*N225</f>
        <v>36</v>
      </c>
      <c r="Q225" s="237">
        <f>F225*POWER(KLmaster,SIGN(G225))*POWER(INmaster,SIGN(H225))*POWER(CHmaster,SIGN(I225))*POWER(FFmaster,SIGN(J225))*POWER(GEmaster,SIGN(K225))*POWER(KOmaster,SIGN(L225))*POWER(KKmaster,SIGN(M225))+G225*POWER(MUmaster,SIGN(F225))*POWER(INmaster,SIGN(H225))*POWER(CHmaster,SIGN(I225))*POWER(FFmaster,SIGN(J225))*POWER(GEmaster,SIGN(K225))*POWER(KOmaster,SIGN(L225))*POWER(KKmaster,SIGN(M225))+H225*POWER(MUmaster,SIGN(F225))*POWER(KLmaster,SIGN(G225))*POWER(CHmaster,SIGN(I225))*POWER(FFmaster,SIGN(J225))*POWER(GEmaster,SIGN(K225))*POWER(KOmaster,SIGN(L225))*POWER(KKmaster,SIGN(M225))+I225*POWER(MUmaster,SIGN(F225))*POWER(KLmaster,SIGN(G225))*POWER(INmaster,SIGN(H225))*POWER(FFmaster,SIGN(J225))*POWER(GEmaster,SIGN(K225))*POWER(KOmaster,SIGN(L225))*POWER(KKmaster,SIGN(M225))+J225*POWER(MUmaster,SIGN(F225))*POWER(KLmaster,SIGN(G225))*POWER(INmaster,SIGN(H225))*POWER(CHmaster,SIGN(I225))*POWER(GEmaster,SIGN(K225))*POWER(KOmaster,SIGN(L225))*POWER(KKmaster,SIGN(M225))+K225*POWER(MUmaster,SIGN(F225))*POWER(KLmaster,SIGN(G225))*POWER(INmaster,SIGN(H225))*POWER(CHmaster,SIGN(I225))*POWER(FFmaster,SIGN(J225))*POWER(KOmaster,SIGN(L225))*POWER(KKmaster,SIGN(M225))+L225*POWER(MUmaster,SIGN(F225))*POWER(KLmaster,SIGN(G225))*POWER(INmaster,SIGN(H225))*POWER(CHmaster,SIGN(I225))*POWER(FFmaster,SIGN(J225))*POWER(GEmaster,SIGN(K225))*POWER(KKmaster,SIGN(M225))+M225*POWER(MUmaster,SIGN(F225))*POWER(KLmaster,SIGN(G225))*POWER(INmaster,SIGN(H225))*POWER(CHmaster,SIGN(I225))*POWER(FFmaster,SIGN(J225))*POWER(GEmaster,SIGN(K225))*POWER(KOmaster,SIGN(L225))</f>
        <v>2304</v>
      </c>
      <c r="R225" s="117">
        <f>G225*H225*GEmaster+G225*INmaster*K225+KLmaster*H225*K225</f>
        <v>3456</v>
      </c>
      <c r="S225" s="224">
        <f>IFERROR(F225^SIGN(F225),1)*IFERROR(G225^SIGN(G225),1)*IFERROR(H225^SIGN(H225),1)*IFERROR(I225^SIGN(I225),1)*IFERROR(J225^SIGN(J225),1)*IFERROR(K225^SIGN(K225),1)*IFERROR(L225^SIGN(L225),1)*IFERROR(M225^SIGN(M225),1)</f>
        <v>1728</v>
      </c>
      <c r="T225" s="224">
        <f>SUM(Q225:S225)</f>
        <v>7488</v>
      </c>
      <c r="U225" s="222">
        <f>N225*Q225/T225</f>
        <v>3.6923076923076925</v>
      </c>
      <c r="V225" s="223">
        <f>O225*R225/T225</f>
        <v>11.076923076923077</v>
      </c>
      <c r="W225" s="243">
        <f>P225*S225/T225</f>
        <v>8.3076923076923084</v>
      </c>
      <c r="X225" s="243">
        <f>SUM(U225:W225)</f>
        <v>23.07692307692308</v>
      </c>
      <c r="Y225" s="252">
        <v>0</v>
      </c>
      <c r="Z225" s="198">
        <f t="shared" si="1639"/>
        <v>23.07692307692308</v>
      </c>
      <c r="AA225" s="125">
        <f>IF(X225&lt;=0,1,0)+IF(X225&gt;0,X225+1,0)*1+IF(X225&gt;12,X225-12,0)*1+IF(X225&gt;13,X225-13,0)*1+IF(X225&gt;14,X225-14,0)*1+IF(X225&gt;15,X225-15,0)*1+IF(X225&gt;16,X225-16,0)*1+IF(X225&gt;17,X225-17,0)*1+IF(X225&gt;18,X225-18,0)*1+IF(X225&gt;19,X225-19,0)*1+IF(X225&gt;20,X225-20,0)*1</f>
        <v>87.769230769230802</v>
      </c>
      <c r="AB225" s="160">
        <f>IF(Y225&lt;=0,1,0)+IF(Y225&gt;0,Y225+1,0)*1+IF(Y225&gt;12,Y225-12,0)*1+IF(Y225&gt;13,Y225-13,0)*1+IF(Y225&gt;14,Y225-14,0)*1+IF(Y225&gt;15,Y225-15,0)*1+IF(Y225&gt;16,Y225-16,0)*1+IF(Y225&gt;17,Y225-17,0)*1+IF(Y225&gt;18,Y225-18,0)*1+IF(Y225&gt;19,Y225-19,0)*1+IF(Y225&gt;20,Y225-20,0)*1</f>
        <v>1</v>
      </c>
      <c r="AC225" s="127">
        <f>IF((AA225-AB225)&gt;0,AA225-AB225,0)</f>
        <v>86.769230769230802</v>
      </c>
      <c r="AD225" s="125">
        <f>IF((AB225-AA225)&gt;0,AB225-AA225,0)</f>
        <v>0</v>
      </c>
      <c r="AF225" s="163" t="s">
        <v>406</v>
      </c>
      <c r="AG225" s="86" t="s">
        <v>439</v>
      </c>
      <c r="AH225" s="167" t="s">
        <v>133</v>
      </c>
      <c r="AI225" s="120"/>
      <c r="AJ225" s="117">
        <f>Konvention_1slave-KLslave</f>
        <v>12</v>
      </c>
      <c r="AK225" s="117">
        <f>Konvention_1slave-INslave</f>
        <v>12</v>
      </c>
      <c r="AL225" s="117"/>
      <c r="AM225" s="117"/>
      <c r="AN225" s="117">
        <f>Konvention_1slave-GEslave</f>
        <v>12</v>
      </c>
      <c r="AO225" s="117"/>
      <c r="AP225" s="121"/>
      <c r="AQ225" s="47">
        <f t="shared" si="1642"/>
        <v>12</v>
      </c>
      <c r="AR225" s="3">
        <f t="shared" si="1643"/>
        <v>24</v>
      </c>
      <c r="AS225" s="174">
        <f t="shared" si="1644"/>
        <v>36</v>
      </c>
      <c r="AT225" s="114">
        <f t="shared" si="1597"/>
        <v>2304</v>
      </c>
      <c r="AU225" s="117">
        <f>AJ225*AK225*GEslave+AJ225*INslave*AN225+KLslave*AK225*AN225</f>
        <v>3456</v>
      </c>
      <c r="AV225" s="119">
        <f t="shared" si="1645"/>
        <v>1728</v>
      </c>
      <c r="AW225" s="119">
        <f>SUM(AT225:AV225)</f>
        <v>7488</v>
      </c>
      <c r="AX225" s="89">
        <f t="shared" si="1647"/>
        <v>3.6923076923076925</v>
      </c>
      <c r="AY225" s="47">
        <f t="shared" si="1648"/>
        <v>11.076923076923077</v>
      </c>
      <c r="AZ225" s="127">
        <f t="shared" si="1649"/>
        <v>8.3076923076923084</v>
      </c>
      <c r="BA225" s="127">
        <f t="shared" si="1650"/>
        <v>23.07692307692308</v>
      </c>
      <c r="BB225" s="165">
        <f t="shared" si="1598"/>
        <v>0</v>
      </c>
      <c r="BC225" s="198">
        <f t="shared" si="1651"/>
        <v>23.07692307692308</v>
      </c>
      <c r="BD225" s="125">
        <f>IF(BA225&lt;=0,1,0)+IF(BA225&gt;0,BA225+1,0)*1+IF(BA225&gt;12,BA225-12,0)*1+IF(BA225&gt;13,BA225-13,0)*1+IF(BA225&gt;14,BA225-14,0)*1+IF(BA225&gt;15,BA225-15,0)*1+IF(BA225&gt;16,BA225-16,0)*1+IF(BA225&gt;17,BA225-17,0)*1+IF(BA225&gt;18,BA225-18,0)*1+IF(BA225&gt;19,BA225-19,0)*1+IF(BA225&gt;20,BA225-20,0)*1</f>
        <v>87.769230769230802</v>
      </c>
      <c r="BE225" s="160">
        <f>IF(BB225&lt;=0,1,0)+IF(BB225&gt;0,BB225+1,0)*1+IF(BB225&gt;12,BB225-12,0)*1+IF(BB225&gt;13,BB225-13,0)*1+IF(BB225&gt;14,BB225-14,0)*1+IF(BB225&gt;15,BB225-15,0)*1+IF(BB225&gt;16,BB225-16,0)*1+IF(BB225&gt;17,BB225-17,0)*1+IF(BB225&gt;18,BB225-18,0)*1+IF(BB225&gt;19,BB225-19,0)*1+IF(BB225&gt;20,BB225-20,0)*1</f>
        <v>1</v>
      </c>
      <c r="BF225" s="243">
        <f t="shared" si="1652"/>
        <v>86.769230769230802</v>
      </c>
      <c r="BG225" s="218">
        <f t="shared" si="1653"/>
        <v>0</v>
      </c>
      <c r="BI225" s="303" t="s">
        <v>406</v>
      </c>
      <c r="BJ225" s="304" t="s">
        <v>439</v>
      </c>
      <c r="BK225" s="305" t="s">
        <v>133</v>
      </c>
      <c r="BL225" s="317"/>
      <c r="BM225" s="254">
        <f>Konvention_1slave-KLslave_KL</f>
        <v>11</v>
      </c>
      <c r="BN225" s="254">
        <f>Konvention_1slave-INslave</f>
        <v>12</v>
      </c>
      <c r="BO225" s="254"/>
      <c r="BP225" s="254"/>
      <c r="BQ225" s="254">
        <f>Konvention_1slave-GEslave</f>
        <v>12</v>
      </c>
      <c r="BR225" s="254"/>
      <c r="BS225" s="318"/>
      <c r="BT225" s="223">
        <f t="shared" si="1654"/>
        <v>11.666666666666666</v>
      </c>
      <c r="BU225" s="223">
        <f t="shared" si="1655"/>
        <v>23.333333333333332</v>
      </c>
      <c r="BV225" s="224">
        <f t="shared" si="1656"/>
        <v>35</v>
      </c>
      <c r="BW225" s="237">
        <f t="shared" si="1599"/>
        <v>2432</v>
      </c>
      <c r="BX225" s="254">
        <f>BM225*BN225*GEslave+BM225*INslave*BQ225+KLslave_KL*BN225*BQ225</f>
        <v>3408</v>
      </c>
      <c r="BY225" s="224">
        <f t="shared" si="1657"/>
        <v>1584</v>
      </c>
      <c r="BZ225" s="224">
        <f>SUM(BW225:BY225)</f>
        <v>7424</v>
      </c>
      <c r="CA225" s="222">
        <f t="shared" si="1659"/>
        <v>3.8218390804597702</v>
      </c>
      <c r="CB225" s="223">
        <f t="shared" si="1660"/>
        <v>10.711206896551724</v>
      </c>
      <c r="CC225" s="243">
        <f t="shared" si="1661"/>
        <v>7.4676724137931032</v>
      </c>
      <c r="CD225" s="243">
        <f t="shared" si="1662"/>
        <v>22.000718390804597</v>
      </c>
      <c r="CE225" s="252">
        <f t="shared" si="1600"/>
        <v>0</v>
      </c>
      <c r="CF225" s="309">
        <f t="shared" si="1663"/>
        <v>22.000718390804597</v>
      </c>
      <c r="CG225" s="218">
        <f>IF(CD225&lt;=0,1,0)+IF(CD225&gt;0,CD225+1,0)*1+IF(CD225&gt;12,CD225-12,0)*1+IF(CD225&gt;13,CD225-13,0)*1+IF(CD225&gt;14,CD225-14,0)*1+IF(CD225&gt;15,CD225-15,0)*1+IF(CD225&gt;16,CD225-16,0)*1+IF(CD225&gt;17,CD225-17,0)*1+IF(CD225&gt;18,CD225-18,0)*1+IF(CD225&gt;19,CD225-19,0)*1+IF(CD225&gt;20,CD225-20,0)*1</f>
        <v>77.007183908045945</v>
      </c>
      <c r="CH225" s="242">
        <f>IF(CE225&lt;=0,1,0)+IF(CE225&gt;0,CE225+1,0)*1+IF(CE225&gt;12,CE225-12,0)*1+IF(CE225&gt;13,CE225-13,0)*1+IF(CE225&gt;14,CE225-14,0)*1+IF(CE225&gt;15,CE225-15,0)*1+IF(CE225&gt;16,CE225-16,0)*1+IF(CE225&gt;17,CE225-17,0)*1+IF(CE225&gt;18,CE225-18,0)*1+IF(CE225&gt;19,CE225-19,0)*1+IF(CE225&gt;20,CE225-20,0)*1</f>
        <v>1</v>
      </c>
      <c r="CI225" s="243">
        <f t="shared" si="1664"/>
        <v>76.007183908045945</v>
      </c>
      <c r="CJ225" s="218">
        <f t="shared" si="1665"/>
        <v>0</v>
      </c>
      <c r="CL225" s="303" t="s">
        <v>406</v>
      </c>
      <c r="CM225" s="304" t="s">
        <v>439</v>
      </c>
      <c r="CN225" s="305" t="s">
        <v>133</v>
      </c>
      <c r="CO225" s="317"/>
      <c r="CP225" s="254">
        <f>Konvention_1slave-KLslave</f>
        <v>12</v>
      </c>
      <c r="CQ225" s="254">
        <f>Konvention_1slave-INslave_IN</f>
        <v>11</v>
      </c>
      <c r="CR225" s="254"/>
      <c r="CS225" s="254"/>
      <c r="CT225" s="254">
        <f>Konvention_1slave-GEslave</f>
        <v>12</v>
      </c>
      <c r="CU225" s="254"/>
      <c r="CV225" s="318"/>
      <c r="CW225" s="223">
        <f t="shared" si="1666"/>
        <v>11.666666666666666</v>
      </c>
      <c r="CX225" s="223">
        <f t="shared" si="1667"/>
        <v>23.333333333333332</v>
      </c>
      <c r="CY225" s="224">
        <f t="shared" si="1668"/>
        <v>35</v>
      </c>
      <c r="CZ225" s="237">
        <f t="shared" si="1601"/>
        <v>2432</v>
      </c>
      <c r="DA225" s="254">
        <f>CP225*CQ225*GEslave+CP225*INslave_IN*CT225+KLslave*CQ225*CT225</f>
        <v>3408</v>
      </c>
      <c r="DB225" s="224">
        <f t="shared" si="1669"/>
        <v>1584</v>
      </c>
      <c r="DC225" s="224">
        <f>SUM(CZ225:DB225)</f>
        <v>7424</v>
      </c>
      <c r="DD225" s="222">
        <f t="shared" si="1671"/>
        <v>3.8218390804597702</v>
      </c>
      <c r="DE225" s="223">
        <f t="shared" si="1672"/>
        <v>10.711206896551724</v>
      </c>
      <c r="DF225" s="243">
        <f t="shared" si="1673"/>
        <v>7.4676724137931032</v>
      </c>
      <c r="DG225" s="243">
        <f t="shared" si="1674"/>
        <v>22.000718390804597</v>
      </c>
      <c r="DH225" s="252">
        <f t="shared" si="1602"/>
        <v>0</v>
      </c>
      <c r="DI225" s="309">
        <f t="shared" si="1675"/>
        <v>22.000718390804597</v>
      </c>
      <c r="DJ225" s="218">
        <f>IF(DG225&lt;=0,1,0)+IF(DG225&gt;0,DG225+1,0)*1+IF(DG225&gt;12,DG225-12,0)*1+IF(DG225&gt;13,DG225-13,0)*1+IF(DG225&gt;14,DG225-14,0)*1+IF(DG225&gt;15,DG225-15,0)*1+IF(DG225&gt;16,DG225-16,0)*1+IF(DG225&gt;17,DG225-17,0)*1+IF(DG225&gt;18,DG225-18,0)*1+IF(DG225&gt;19,DG225-19,0)*1+IF(DG225&gt;20,DG225-20,0)*1</f>
        <v>77.007183908045945</v>
      </c>
      <c r="DK225" s="242">
        <f>IF(DH225&lt;=0,1,0)+IF(DH225&gt;0,DH225+1,0)*1+IF(DH225&gt;12,DH225-12,0)*1+IF(DH225&gt;13,DH225-13,0)*1+IF(DH225&gt;14,DH225-14,0)*1+IF(DH225&gt;15,DH225-15,0)*1+IF(DH225&gt;16,DH225-16,0)*1+IF(DH225&gt;17,DH225-17,0)*1+IF(DH225&gt;18,DH225-18,0)*1+IF(DH225&gt;19,DH225-19,0)*1+IF(DH225&gt;20,DH225-20,0)*1</f>
        <v>1</v>
      </c>
      <c r="DL225" s="243">
        <f t="shared" si="1676"/>
        <v>76.007183908045945</v>
      </c>
      <c r="DM225" s="218">
        <f t="shared" si="1677"/>
        <v>0</v>
      </c>
      <c r="DO225" s="303" t="s">
        <v>406</v>
      </c>
      <c r="DP225" s="304" t="s">
        <v>439</v>
      </c>
      <c r="DQ225" s="305" t="s">
        <v>133</v>
      </c>
      <c r="DR225" s="317"/>
      <c r="DS225" s="254">
        <f>Konvention_1slave-KLslave</f>
        <v>12</v>
      </c>
      <c r="DT225" s="254">
        <f>Konvention_1slave-INslave</f>
        <v>12</v>
      </c>
      <c r="DU225" s="254"/>
      <c r="DV225" s="254"/>
      <c r="DW225" s="254">
        <f>Konvention_1slave-GEslave</f>
        <v>12</v>
      </c>
      <c r="DX225" s="254"/>
      <c r="DY225" s="318"/>
      <c r="DZ225" s="223">
        <f t="shared" si="1678"/>
        <v>12</v>
      </c>
      <c r="EA225" s="223">
        <f t="shared" si="1679"/>
        <v>24</v>
      </c>
      <c r="EB225" s="224">
        <f t="shared" si="1680"/>
        <v>36</v>
      </c>
      <c r="EC225" s="237">
        <f t="shared" si="1603"/>
        <v>2304</v>
      </c>
      <c r="ED225" s="254">
        <f>DS225*DT225*GEslave+DS225*INslave*DW225+KLslave*DT225*DW225</f>
        <v>3456</v>
      </c>
      <c r="EE225" s="224">
        <f t="shared" si="1681"/>
        <v>1728</v>
      </c>
      <c r="EF225" s="224">
        <f>SUM(EC225:EE225)</f>
        <v>7488</v>
      </c>
      <c r="EG225" s="222">
        <f t="shared" si="1683"/>
        <v>3.6923076923076925</v>
      </c>
      <c r="EH225" s="223">
        <f t="shared" si="1684"/>
        <v>11.076923076923077</v>
      </c>
      <c r="EI225" s="243">
        <f t="shared" si="1685"/>
        <v>8.3076923076923084</v>
      </c>
      <c r="EJ225" s="243">
        <f t="shared" si="1686"/>
        <v>23.07692307692308</v>
      </c>
      <c r="EK225" s="252">
        <f t="shared" si="1604"/>
        <v>0</v>
      </c>
      <c r="EL225" s="309">
        <f t="shared" si="1687"/>
        <v>23.07692307692308</v>
      </c>
      <c r="EM225" s="218">
        <f>IF(EJ225&lt;=0,1,0)+IF(EJ225&gt;0,EJ225+1,0)*1+IF(EJ225&gt;12,EJ225-12,0)*1+IF(EJ225&gt;13,EJ225-13,0)*1+IF(EJ225&gt;14,EJ225-14,0)*1+IF(EJ225&gt;15,EJ225-15,0)*1+IF(EJ225&gt;16,EJ225-16,0)*1+IF(EJ225&gt;17,EJ225-17,0)*1+IF(EJ225&gt;18,EJ225-18,0)*1+IF(EJ225&gt;19,EJ225-19,0)*1+IF(EJ225&gt;20,EJ225-20,0)*1</f>
        <v>87.769230769230802</v>
      </c>
      <c r="EN225" s="242">
        <f>IF(EK225&lt;=0,1,0)+IF(EK225&gt;0,EK225+1,0)*1+IF(EK225&gt;12,EK225-12,0)*1+IF(EK225&gt;13,EK225-13,0)*1+IF(EK225&gt;14,EK225-14,0)*1+IF(EK225&gt;15,EK225-15,0)*1+IF(EK225&gt;16,EK225-16,0)*1+IF(EK225&gt;17,EK225-17,0)*1+IF(EK225&gt;18,EK225-18,0)*1+IF(EK225&gt;19,EK225-19,0)*1+IF(EK225&gt;20,EK225-20,0)*1</f>
        <v>1</v>
      </c>
      <c r="EO225" s="243">
        <f t="shared" si="1688"/>
        <v>86.769230769230802</v>
      </c>
      <c r="EP225" s="218">
        <f t="shared" si="1689"/>
        <v>0</v>
      </c>
      <c r="ER225" s="303" t="s">
        <v>406</v>
      </c>
      <c r="ES225" s="304" t="s">
        <v>439</v>
      </c>
      <c r="ET225" s="305" t="s">
        <v>133</v>
      </c>
      <c r="EU225" s="317"/>
      <c r="EV225" s="254">
        <f>Konvention_1slave-KLslave</f>
        <v>12</v>
      </c>
      <c r="EW225" s="254">
        <f>Konvention_1slave-INslave</f>
        <v>12</v>
      </c>
      <c r="EX225" s="254"/>
      <c r="EY225" s="254"/>
      <c r="EZ225" s="254">
        <f>Konvention_1slave-GEslave</f>
        <v>12</v>
      </c>
      <c r="FA225" s="254"/>
      <c r="FB225" s="318"/>
      <c r="FC225" s="223">
        <f t="shared" si="1690"/>
        <v>12</v>
      </c>
      <c r="FD225" s="223">
        <f t="shared" si="1691"/>
        <v>24</v>
      </c>
      <c r="FE225" s="224">
        <f t="shared" si="1692"/>
        <v>36</v>
      </c>
      <c r="FF225" s="237">
        <f t="shared" si="1605"/>
        <v>2304</v>
      </c>
      <c r="FG225" s="254">
        <f>EV225*EW225*GEslave+EV225*INslave*EZ225+KLslave*EW225*EZ225</f>
        <v>3456</v>
      </c>
      <c r="FH225" s="224">
        <f t="shared" si="1693"/>
        <v>1728</v>
      </c>
      <c r="FI225" s="224">
        <f>SUM(FF225:FH225)</f>
        <v>7488</v>
      </c>
      <c r="FJ225" s="222">
        <f t="shared" si="1695"/>
        <v>3.6923076923076925</v>
      </c>
      <c r="FK225" s="223">
        <f t="shared" si="1696"/>
        <v>11.076923076923077</v>
      </c>
      <c r="FL225" s="243">
        <f t="shared" si="1697"/>
        <v>8.3076923076923084</v>
      </c>
      <c r="FM225" s="243">
        <f t="shared" si="1698"/>
        <v>23.07692307692308</v>
      </c>
      <c r="FN225" s="252">
        <f t="shared" si="1606"/>
        <v>0</v>
      </c>
      <c r="FO225" s="309">
        <f t="shared" si="1699"/>
        <v>23.07692307692308</v>
      </c>
      <c r="FP225" s="218">
        <f>IF(FM225&lt;=0,1,0)+IF(FM225&gt;0,FM225+1,0)*1+IF(FM225&gt;12,FM225-12,0)*1+IF(FM225&gt;13,FM225-13,0)*1+IF(FM225&gt;14,FM225-14,0)*1+IF(FM225&gt;15,FM225-15,0)*1+IF(FM225&gt;16,FM225-16,0)*1+IF(FM225&gt;17,FM225-17,0)*1+IF(FM225&gt;18,FM225-18,0)*1+IF(FM225&gt;19,FM225-19,0)*1+IF(FM225&gt;20,FM225-20,0)*1</f>
        <v>87.769230769230802</v>
      </c>
      <c r="FQ225" s="242">
        <f>IF(FN225&lt;=0,1,0)+IF(FN225&gt;0,FN225+1,0)*1+IF(FN225&gt;12,FN225-12,0)*1+IF(FN225&gt;13,FN225-13,0)*1+IF(FN225&gt;14,FN225-14,0)*1+IF(FN225&gt;15,FN225-15,0)*1+IF(FN225&gt;16,FN225-16,0)*1+IF(FN225&gt;17,FN225-17,0)*1+IF(FN225&gt;18,FN225-18,0)*1+IF(FN225&gt;19,FN225-19,0)*1+IF(FN225&gt;20,FN225-20,0)*1</f>
        <v>1</v>
      </c>
      <c r="FR225" s="243">
        <f t="shared" si="1700"/>
        <v>86.769230769230802</v>
      </c>
      <c r="FS225" s="218">
        <f t="shared" si="1701"/>
        <v>0</v>
      </c>
      <c r="FU225" s="303" t="s">
        <v>406</v>
      </c>
      <c r="FV225" s="304" t="s">
        <v>439</v>
      </c>
      <c r="FW225" s="305" t="s">
        <v>133</v>
      </c>
      <c r="FX225" s="317"/>
      <c r="FY225" s="254">
        <f>Konvention_1slave-KLslave</f>
        <v>12</v>
      </c>
      <c r="FZ225" s="254">
        <f>Konvention_1slave-INslave</f>
        <v>12</v>
      </c>
      <c r="GA225" s="254"/>
      <c r="GB225" s="254"/>
      <c r="GC225" s="254">
        <f>Konvention_1slave-GEslave_GE</f>
        <v>11</v>
      </c>
      <c r="GD225" s="254"/>
      <c r="GE225" s="318"/>
      <c r="GF225" s="223">
        <f t="shared" si="1702"/>
        <v>11.666666666666666</v>
      </c>
      <c r="GG225" s="223">
        <f t="shared" si="1703"/>
        <v>23.333333333333332</v>
      </c>
      <c r="GH225" s="224">
        <f t="shared" si="1704"/>
        <v>35</v>
      </c>
      <c r="GI225" s="237">
        <f t="shared" si="1607"/>
        <v>2432</v>
      </c>
      <c r="GJ225" s="254">
        <f>FY225*FZ225*GEslave_GE+FY225*INslave*GC225+KLslave*FZ225*GC225</f>
        <v>3408</v>
      </c>
      <c r="GK225" s="224">
        <f t="shared" si="1705"/>
        <v>1584</v>
      </c>
      <c r="GL225" s="224">
        <f>SUM(GI225:GK225)</f>
        <v>7424</v>
      </c>
      <c r="GM225" s="222">
        <f t="shared" si="1707"/>
        <v>3.8218390804597702</v>
      </c>
      <c r="GN225" s="223">
        <f t="shared" si="1708"/>
        <v>10.711206896551724</v>
      </c>
      <c r="GO225" s="243">
        <f t="shared" si="1709"/>
        <v>7.4676724137931032</v>
      </c>
      <c r="GP225" s="243">
        <f t="shared" si="1710"/>
        <v>22.000718390804597</v>
      </c>
      <c r="GQ225" s="252">
        <f t="shared" si="1608"/>
        <v>0</v>
      </c>
      <c r="GR225" s="309">
        <f t="shared" si="1711"/>
        <v>22.000718390804597</v>
      </c>
      <c r="GS225" s="218">
        <f>IF(GP225&lt;=0,1,0)+IF(GP225&gt;0,GP225+1,0)*1+IF(GP225&gt;12,GP225-12,0)*1+IF(GP225&gt;13,GP225-13,0)*1+IF(GP225&gt;14,GP225-14,0)*1+IF(GP225&gt;15,GP225-15,0)*1+IF(GP225&gt;16,GP225-16,0)*1+IF(GP225&gt;17,GP225-17,0)*1+IF(GP225&gt;18,GP225-18,0)*1+IF(GP225&gt;19,GP225-19,0)*1+IF(GP225&gt;20,GP225-20,0)*1</f>
        <v>77.007183908045945</v>
      </c>
      <c r="GT225" s="242">
        <f>IF(GQ225&lt;=0,1,0)+IF(GQ225&gt;0,GQ225+1,0)*1+IF(GQ225&gt;12,GQ225-12,0)*1+IF(GQ225&gt;13,GQ225-13,0)*1+IF(GQ225&gt;14,GQ225-14,0)*1+IF(GQ225&gt;15,GQ225-15,0)*1+IF(GQ225&gt;16,GQ225-16,0)*1+IF(GQ225&gt;17,GQ225-17,0)*1+IF(GQ225&gt;18,GQ225-18,0)*1+IF(GQ225&gt;19,GQ225-19,0)*1+IF(GQ225&gt;20,GQ225-20,0)*1</f>
        <v>1</v>
      </c>
      <c r="GU225" s="243">
        <f t="shared" si="1712"/>
        <v>76.007183908045945</v>
      </c>
      <c r="GV225" s="218">
        <f t="shared" si="1713"/>
        <v>0</v>
      </c>
      <c r="GX225" s="303" t="s">
        <v>406</v>
      </c>
      <c r="GY225" s="304" t="s">
        <v>439</v>
      </c>
      <c r="GZ225" s="305" t="s">
        <v>133</v>
      </c>
      <c r="HA225" s="317"/>
      <c r="HB225" s="254">
        <f>Konvention_1slave-KLslave</f>
        <v>12</v>
      </c>
      <c r="HC225" s="254">
        <f>Konvention_1slave-INslave</f>
        <v>12</v>
      </c>
      <c r="HD225" s="254"/>
      <c r="HE225" s="254"/>
      <c r="HF225" s="254">
        <f>Konvention_1slave-GEslave</f>
        <v>12</v>
      </c>
      <c r="HG225" s="254"/>
      <c r="HH225" s="318"/>
      <c r="HI225" s="223">
        <f t="shared" si="1714"/>
        <v>12</v>
      </c>
      <c r="HJ225" s="223">
        <f t="shared" si="1715"/>
        <v>24</v>
      </c>
      <c r="HK225" s="224">
        <f t="shared" si="1716"/>
        <v>36</v>
      </c>
      <c r="HL225" s="237">
        <f t="shared" si="1609"/>
        <v>2304</v>
      </c>
      <c r="HM225" s="254">
        <f>HB225*HC225*GEslave+HB225*INslave*HF225+KLslave*HC225*HF225</f>
        <v>3456</v>
      </c>
      <c r="HN225" s="224">
        <f t="shared" si="1717"/>
        <v>1728</v>
      </c>
      <c r="HO225" s="224">
        <f>SUM(HL225:HN225)</f>
        <v>7488</v>
      </c>
      <c r="HP225" s="222">
        <f t="shared" si="1719"/>
        <v>3.6923076923076925</v>
      </c>
      <c r="HQ225" s="223">
        <f t="shared" si="1720"/>
        <v>11.076923076923077</v>
      </c>
      <c r="HR225" s="243">
        <f t="shared" si="1721"/>
        <v>8.3076923076923084</v>
      </c>
      <c r="HS225" s="243">
        <f t="shared" si="1722"/>
        <v>23.07692307692308</v>
      </c>
      <c r="HT225" s="252">
        <f t="shared" si="1610"/>
        <v>0</v>
      </c>
      <c r="HU225" s="309">
        <f t="shared" si="1723"/>
        <v>23.07692307692308</v>
      </c>
      <c r="HV225" s="218">
        <f>IF(HS225&lt;=0,1,0)+IF(HS225&gt;0,HS225+1,0)*1+IF(HS225&gt;12,HS225-12,0)*1+IF(HS225&gt;13,HS225-13,0)*1+IF(HS225&gt;14,HS225-14,0)*1+IF(HS225&gt;15,HS225-15,0)*1+IF(HS225&gt;16,HS225-16,0)*1+IF(HS225&gt;17,HS225-17,0)*1+IF(HS225&gt;18,HS225-18,0)*1+IF(HS225&gt;19,HS225-19,0)*1+IF(HS225&gt;20,HS225-20,0)*1</f>
        <v>87.769230769230802</v>
      </c>
      <c r="HW225" s="242">
        <f>IF(HT225&lt;=0,1,0)+IF(HT225&gt;0,HT225+1,0)*1+IF(HT225&gt;12,HT225-12,0)*1+IF(HT225&gt;13,HT225-13,0)*1+IF(HT225&gt;14,HT225-14,0)*1+IF(HT225&gt;15,HT225-15,0)*1+IF(HT225&gt;16,HT225-16,0)*1+IF(HT225&gt;17,HT225-17,0)*1+IF(HT225&gt;18,HT225-18,0)*1+IF(HT225&gt;19,HT225-19,0)*1+IF(HT225&gt;20,HT225-20,0)*1</f>
        <v>1</v>
      </c>
      <c r="HX225" s="243">
        <f t="shared" si="1724"/>
        <v>86.769230769230802</v>
      </c>
      <c r="HY225" s="218">
        <f t="shared" si="1725"/>
        <v>0</v>
      </c>
      <c r="IA225" s="303" t="s">
        <v>406</v>
      </c>
      <c r="IB225" s="304" t="s">
        <v>439</v>
      </c>
      <c r="IC225" s="305" t="s">
        <v>133</v>
      </c>
      <c r="ID225" s="317"/>
      <c r="IE225" s="254">
        <f>Konvention_1slave-KLslave</f>
        <v>12</v>
      </c>
      <c r="IF225" s="254">
        <f>Konvention_1slave-INslave</f>
        <v>12</v>
      </c>
      <c r="IG225" s="254"/>
      <c r="IH225" s="254"/>
      <c r="II225" s="254">
        <f>Konvention_1slave-GEslave</f>
        <v>12</v>
      </c>
      <c r="IJ225" s="254"/>
      <c r="IK225" s="318"/>
      <c r="IL225" s="223">
        <f t="shared" si="1726"/>
        <v>12</v>
      </c>
      <c r="IM225" s="223">
        <f t="shared" si="1727"/>
        <v>24</v>
      </c>
      <c r="IN225" s="224">
        <f t="shared" si="1728"/>
        <v>36</v>
      </c>
      <c r="IO225" s="237">
        <f t="shared" si="1611"/>
        <v>2304</v>
      </c>
      <c r="IP225" s="254">
        <f>IE225*IF225*GEslave+IE225*INslave*II225+KLslave*IF225*II225</f>
        <v>3456</v>
      </c>
      <c r="IQ225" s="224">
        <f t="shared" si="1729"/>
        <v>1728</v>
      </c>
      <c r="IR225" s="224">
        <f>SUM(IO225:IQ225)</f>
        <v>7488</v>
      </c>
      <c r="IS225" s="222">
        <f t="shared" si="1731"/>
        <v>3.6923076923076925</v>
      </c>
      <c r="IT225" s="223">
        <f t="shared" si="1732"/>
        <v>11.076923076923077</v>
      </c>
      <c r="IU225" s="243">
        <f t="shared" si="1733"/>
        <v>8.3076923076923084</v>
      </c>
      <c r="IV225" s="243">
        <f t="shared" si="1734"/>
        <v>23.07692307692308</v>
      </c>
      <c r="IW225" s="252">
        <f t="shared" si="1612"/>
        <v>0</v>
      </c>
      <c r="IX225" s="309">
        <f t="shared" si="1735"/>
        <v>23.07692307692308</v>
      </c>
      <c r="IY225" s="218">
        <f>IF(IV225&lt;=0,1,0)+IF(IV225&gt;0,IV225+1,0)*1+IF(IV225&gt;12,IV225-12,0)*1+IF(IV225&gt;13,IV225-13,0)*1+IF(IV225&gt;14,IV225-14,0)*1+IF(IV225&gt;15,IV225-15,0)*1+IF(IV225&gt;16,IV225-16,0)*1+IF(IV225&gt;17,IV225-17,0)*1+IF(IV225&gt;18,IV225-18,0)*1+IF(IV225&gt;19,IV225-19,0)*1+IF(IV225&gt;20,IV225-20,0)*1</f>
        <v>87.769230769230802</v>
      </c>
      <c r="IZ225" s="242">
        <f>IF(IW225&lt;=0,1,0)+IF(IW225&gt;0,IW225+1,0)*1+IF(IW225&gt;12,IW225-12,0)*1+IF(IW225&gt;13,IW225-13,0)*1+IF(IW225&gt;14,IW225-14,0)*1+IF(IW225&gt;15,IW225-15,0)*1+IF(IW225&gt;16,IW225-16,0)*1+IF(IW225&gt;17,IW225-17,0)*1+IF(IW225&gt;18,IW225-18,0)*1+IF(IW225&gt;19,IW225-19,0)*1+IF(IW225&gt;20,IW225-20,0)*1</f>
        <v>1</v>
      </c>
      <c r="JA225" s="243">
        <f t="shared" si="1736"/>
        <v>86.769230769230802</v>
      </c>
      <c r="JB225" s="218">
        <f t="shared" si="1737"/>
        <v>0</v>
      </c>
      <c r="JE225" s="148"/>
    </row>
    <row r="226" spans="2:265" hidden="1" outlineLevel="2">
      <c r="B226" s="148">
        <v>14</v>
      </c>
      <c r="C226" s="303" t="e">
        <f>VLOOKUP(AF226,Attribute!C:T,1,FALSE)</f>
        <v>#N/A</v>
      </c>
      <c r="D226" s="86" t="s">
        <v>86</v>
      </c>
      <c r="E226" s="167" t="s">
        <v>132</v>
      </c>
      <c r="F226" s="120">
        <f>Konvention_1master-MUmaster</f>
        <v>12</v>
      </c>
      <c r="G226" s="117"/>
      <c r="H226" s="117">
        <f>Konvention_1master-INmaster</f>
        <v>12</v>
      </c>
      <c r="I226" s="117">
        <f t="shared" ref="I226:I231" si="1747">Konvention_1master-CHmaster</f>
        <v>12</v>
      </c>
      <c r="J226" s="117"/>
      <c r="K226" s="117"/>
      <c r="L226" s="117"/>
      <c r="M226" s="121"/>
      <c r="N226" s="223">
        <f t="shared" si="1629"/>
        <v>12</v>
      </c>
      <c r="O226" s="223">
        <f t="shared" si="1630"/>
        <v>24</v>
      </c>
      <c r="P226" s="224">
        <f t="shared" si="1631"/>
        <v>36</v>
      </c>
      <c r="Q226" s="237">
        <f t="shared" si="1632"/>
        <v>2304</v>
      </c>
      <c r="R226" s="117">
        <f>F226*H226*CHmaster+F226*INmaster*I226+MUmaster*H226*I226</f>
        <v>3456</v>
      </c>
      <c r="S226" s="224">
        <f t="shared" si="1633"/>
        <v>1728</v>
      </c>
      <c r="T226" s="224">
        <f t="shared" ref="T226:T232" si="1748">SUM(Q226:S226)</f>
        <v>7488</v>
      </c>
      <c r="U226" s="222">
        <f t="shared" si="1635"/>
        <v>3.6923076923076925</v>
      </c>
      <c r="V226" s="223">
        <f t="shared" si="1636"/>
        <v>11.076923076923077</v>
      </c>
      <c r="W226" s="243">
        <f t="shared" si="1637"/>
        <v>8.3076923076923084</v>
      </c>
      <c r="X226" s="243">
        <f t="shared" si="1638"/>
        <v>23.07692307692308</v>
      </c>
      <c r="Y226" s="252">
        <v>0</v>
      </c>
      <c r="Z226" s="198">
        <f t="shared" si="1639"/>
        <v>23.07692307692308</v>
      </c>
      <c r="AA226" s="125">
        <f t="shared" ref="AA226:AB232" si="1749">IF(X226&lt;=0,2,0)+IF(X226&gt;0,X226+1,0)*2+IF(X226&gt;12,X226-12,0)*2+IF(X226&gt;13,X226-13,0)*2+IF(X226&gt;14,X226-14,0)*2+IF(X226&gt;15,X226-15,0)*2+IF(X226&gt;16,X226-16,0)*2+IF(X226&gt;17,X226-17,0)*2+IF(X226&gt;18,X226-18,0)*2+IF(X226&gt;19,X226-19,0)*2+IF(X226&gt;20,X226-20,0)*2</f>
        <v>175.5384615384616</v>
      </c>
      <c r="AB226" s="160">
        <f t="shared" si="1749"/>
        <v>2</v>
      </c>
      <c r="AC226" s="127">
        <f t="shared" si="1640"/>
        <v>173.5384615384616</v>
      </c>
      <c r="AD226" s="125">
        <f t="shared" si="1641"/>
        <v>0</v>
      </c>
      <c r="AF226" s="163" t="s">
        <v>196</v>
      </c>
      <c r="AG226" s="86" t="s">
        <v>86</v>
      </c>
      <c r="AH226" s="167" t="s">
        <v>132</v>
      </c>
      <c r="AI226" s="120">
        <f>Konvention_1slave-MUslave_MU</f>
        <v>11</v>
      </c>
      <c r="AJ226" s="117"/>
      <c r="AK226" s="117">
        <f t="shared" si="1613"/>
        <v>12</v>
      </c>
      <c r="AL226" s="117">
        <f t="shared" ref="AL226:AL231" si="1750">Konvention_1slave-CHslave</f>
        <v>12</v>
      </c>
      <c r="AM226" s="117"/>
      <c r="AN226" s="117"/>
      <c r="AO226" s="117"/>
      <c r="AP226" s="121"/>
      <c r="AQ226" s="47">
        <f t="shared" si="1642"/>
        <v>11.666666666666666</v>
      </c>
      <c r="AR226" s="3">
        <f t="shared" si="1643"/>
        <v>23.333333333333332</v>
      </c>
      <c r="AS226" s="174">
        <f t="shared" si="1644"/>
        <v>35</v>
      </c>
      <c r="AT226" s="114">
        <f t="shared" si="1597"/>
        <v>2432</v>
      </c>
      <c r="AU226" s="117">
        <f>AI226*AK226*CHslave+AI226*INslave*AL226+MUslave_MU*AK226*AL226</f>
        <v>3408</v>
      </c>
      <c r="AV226" s="119">
        <f t="shared" si="1645"/>
        <v>1584</v>
      </c>
      <c r="AW226" s="119">
        <f t="shared" si="1646"/>
        <v>7424</v>
      </c>
      <c r="AX226" s="89">
        <f t="shared" si="1647"/>
        <v>3.8218390804597702</v>
      </c>
      <c r="AY226" s="47">
        <f t="shared" si="1648"/>
        <v>10.711206896551724</v>
      </c>
      <c r="AZ226" s="127">
        <f t="shared" si="1649"/>
        <v>7.4676724137931032</v>
      </c>
      <c r="BA226" s="127">
        <f t="shared" si="1650"/>
        <v>22.000718390804597</v>
      </c>
      <c r="BB226" s="165">
        <f t="shared" si="1598"/>
        <v>0</v>
      </c>
      <c r="BC226" s="198">
        <f t="shared" si="1651"/>
        <v>22.000718390804597</v>
      </c>
      <c r="BD226" s="125">
        <f t="shared" ref="BD226:BE230" si="1751">IF(BA226&lt;=0,2,0)+IF(BA226&gt;0,BA226+1,0)*2+IF(BA226&gt;12,BA226-12,0)*2+IF(BA226&gt;13,BA226-13,0)*2+IF(BA226&gt;14,BA226-14,0)*2+IF(BA226&gt;15,BA226-15,0)*2+IF(BA226&gt;16,BA226-16,0)*2+IF(BA226&gt;17,BA226-17,0)*2+IF(BA226&gt;18,BA226-18,0)*2+IF(BA226&gt;19,BA226-19,0)*2+IF(BA226&gt;20,BA226-20,0)*2</f>
        <v>154.01436781609189</v>
      </c>
      <c r="BE226" s="160">
        <f t="shared" si="1751"/>
        <v>2</v>
      </c>
      <c r="BF226" s="243">
        <f t="shared" si="1652"/>
        <v>152.01436781609189</v>
      </c>
      <c r="BG226" s="218">
        <f t="shared" si="1653"/>
        <v>0</v>
      </c>
      <c r="BI226" s="303" t="s">
        <v>196</v>
      </c>
      <c r="BJ226" s="304" t="s">
        <v>86</v>
      </c>
      <c r="BK226" s="305" t="s">
        <v>132</v>
      </c>
      <c r="BL226" s="317">
        <f>Konvention_1slave-MUslave</f>
        <v>12</v>
      </c>
      <c r="BM226" s="254"/>
      <c r="BN226" s="254">
        <f t="shared" si="1614"/>
        <v>12</v>
      </c>
      <c r="BO226" s="254">
        <f t="shared" ref="BO226:BO231" si="1752">Konvention_1slave-CHslave</f>
        <v>12</v>
      </c>
      <c r="BP226" s="254"/>
      <c r="BQ226" s="254"/>
      <c r="BR226" s="254"/>
      <c r="BS226" s="318"/>
      <c r="BT226" s="223">
        <f t="shared" si="1654"/>
        <v>12</v>
      </c>
      <c r="BU226" s="223">
        <f t="shared" si="1655"/>
        <v>24</v>
      </c>
      <c r="BV226" s="224">
        <f t="shared" si="1656"/>
        <v>36</v>
      </c>
      <c r="BW226" s="237">
        <f t="shared" si="1599"/>
        <v>2304</v>
      </c>
      <c r="BX226" s="254">
        <f>BL226*BN226*CHslave+BL226*INslave*BO226+MUslave*BN226*BO226</f>
        <v>3456</v>
      </c>
      <c r="BY226" s="224">
        <f t="shared" si="1657"/>
        <v>1728</v>
      </c>
      <c r="BZ226" s="224">
        <f t="shared" si="1658"/>
        <v>7488</v>
      </c>
      <c r="CA226" s="222">
        <f t="shared" si="1659"/>
        <v>3.6923076923076925</v>
      </c>
      <c r="CB226" s="223">
        <f t="shared" si="1660"/>
        <v>11.076923076923077</v>
      </c>
      <c r="CC226" s="243">
        <f t="shared" si="1661"/>
        <v>8.3076923076923084</v>
      </c>
      <c r="CD226" s="243">
        <f t="shared" si="1662"/>
        <v>23.07692307692308</v>
      </c>
      <c r="CE226" s="252">
        <f t="shared" si="1600"/>
        <v>0</v>
      </c>
      <c r="CF226" s="309">
        <f t="shared" si="1663"/>
        <v>23.07692307692308</v>
      </c>
      <c r="CG226" s="218">
        <f t="shared" ref="CG226:CH230" si="1753">IF(CD226&lt;=0,2,0)+IF(CD226&gt;0,CD226+1,0)*2+IF(CD226&gt;12,CD226-12,0)*2+IF(CD226&gt;13,CD226-13,0)*2+IF(CD226&gt;14,CD226-14,0)*2+IF(CD226&gt;15,CD226-15,0)*2+IF(CD226&gt;16,CD226-16,0)*2+IF(CD226&gt;17,CD226-17,0)*2+IF(CD226&gt;18,CD226-18,0)*2+IF(CD226&gt;19,CD226-19,0)*2+IF(CD226&gt;20,CD226-20,0)*2</f>
        <v>175.5384615384616</v>
      </c>
      <c r="CH226" s="242">
        <f t="shared" si="1753"/>
        <v>2</v>
      </c>
      <c r="CI226" s="243">
        <f t="shared" si="1664"/>
        <v>173.5384615384616</v>
      </c>
      <c r="CJ226" s="218">
        <f t="shared" si="1665"/>
        <v>0</v>
      </c>
      <c r="CL226" s="303" t="s">
        <v>196</v>
      </c>
      <c r="CM226" s="304" t="s">
        <v>86</v>
      </c>
      <c r="CN226" s="305" t="s">
        <v>132</v>
      </c>
      <c r="CO226" s="317">
        <f>Konvention_1slave-MUslave</f>
        <v>12</v>
      </c>
      <c r="CP226" s="254"/>
      <c r="CQ226" s="254">
        <f>Konvention_1slave-INslave_IN</f>
        <v>11</v>
      </c>
      <c r="CR226" s="254">
        <f t="shared" ref="CR226:CR231" si="1754">Konvention_1slave-CHslave</f>
        <v>12</v>
      </c>
      <c r="CS226" s="254"/>
      <c r="CT226" s="254"/>
      <c r="CU226" s="254"/>
      <c r="CV226" s="318"/>
      <c r="CW226" s="223">
        <f t="shared" si="1666"/>
        <v>11.666666666666666</v>
      </c>
      <c r="CX226" s="223">
        <f t="shared" si="1667"/>
        <v>23.333333333333332</v>
      </c>
      <c r="CY226" s="224">
        <f t="shared" si="1668"/>
        <v>35</v>
      </c>
      <c r="CZ226" s="237">
        <f t="shared" si="1601"/>
        <v>2432</v>
      </c>
      <c r="DA226" s="254">
        <f>CO226*CQ226*CHslave+CO226*INslave_IN*CR226+MUslave*CQ226*CR226</f>
        <v>3408</v>
      </c>
      <c r="DB226" s="224">
        <f t="shared" si="1669"/>
        <v>1584</v>
      </c>
      <c r="DC226" s="224">
        <f t="shared" si="1670"/>
        <v>7424</v>
      </c>
      <c r="DD226" s="222">
        <f t="shared" si="1671"/>
        <v>3.8218390804597702</v>
      </c>
      <c r="DE226" s="223">
        <f t="shared" si="1672"/>
        <v>10.711206896551724</v>
      </c>
      <c r="DF226" s="243">
        <f t="shared" si="1673"/>
        <v>7.4676724137931032</v>
      </c>
      <c r="DG226" s="243">
        <f t="shared" si="1674"/>
        <v>22.000718390804597</v>
      </c>
      <c r="DH226" s="252">
        <f t="shared" si="1602"/>
        <v>0</v>
      </c>
      <c r="DI226" s="309">
        <f t="shared" si="1675"/>
        <v>22.000718390804597</v>
      </c>
      <c r="DJ226" s="218">
        <f t="shared" ref="DJ226:DK230" si="1755">IF(DG226&lt;=0,2,0)+IF(DG226&gt;0,DG226+1,0)*2+IF(DG226&gt;12,DG226-12,0)*2+IF(DG226&gt;13,DG226-13,0)*2+IF(DG226&gt;14,DG226-14,0)*2+IF(DG226&gt;15,DG226-15,0)*2+IF(DG226&gt;16,DG226-16,0)*2+IF(DG226&gt;17,DG226-17,0)*2+IF(DG226&gt;18,DG226-18,0)*2+IF(DG226&gt;19,DG226-19,0)*2+IF(DG226&gt;20,DG226-20,0)*2</f>
        <v>154.01436781609189</v>
      </c>
      <c r="DK226" s="242">
        <f t="shared" si="1755"/>
        <v>2</v>
      </c>
      <c r="DL226" s="243">
        <f t="shared" si="1676"/>
        <v>152.01436781609189</v>
      </c>
      <c r="DM226" s="218">
        <f t="shared" si="1677"/>
        <v>0</v>
      </c>
      <c r="DO226" s="303" t="s">
        <v>196</v>
      </c>
      <c r="DP226" s="304" t="s">
        <v>86</v>
      </c>
      <c r="DQ226" s="305" t="s">
        <v>132</v>
      </c>
      <c r="DR226" s="317">
        <f>Konvention_1slave-MUslave</f>
        <v>12</v>
      </c>
      <c r="DS226" s="254"/>
      <c r="DT226" s="254">
        <f t="shared" si="1615"/>
        <v>12</v>
      </c>
      <c r="DU226" s="254">
        <f t="shared" ref="DU226:DU231" si="1756">Konvention_1slave-CHslave_CH</f>
        <v>11</v>
      </c>
      <c r="DV226" s="254"/>
      <c r="DW226" s="254"/>
      <c r="DX226" s="254"/>
      <c r="DY226" s="318"/>
      <c r="DZ226" s="223">
        <f t="shared" si="1678"/>
        <v>11.666666666666666</v>
      </c>
      <c r="EA226" s="223">
        <f t="shared" si="1679"/>
        <v>23.333333333333332</v>
      </c>
      <c r="EB226" s="224">
        <f t="shared" si="1680"/>
        <v>35</v>
      </c>
      <c r="EC226" s="237">
        <f t="shared" si="1603"/>
        <v>2432</v>
      </c>
      <c r="ED226" s="254">
        <f>DR226*DT226*CHslave_CH+DR226*INslave*DU226+MUslave*DT226*DU226</f>
        <v>3408</v>
      </c>
      <c r="EE226" s="224">
        <f t="shared" si="1681"/>
        <v>1584</v>
      </c>
      <c r="EF226" s="224">
        <f t="shared" si="1682"/>
        <v>7424</v>
      </c>
      <c r="EG226" s="222">
        <f t="shared" si="1683"/>
        <v>3.8218390804597702</v>
      </c>
      <c r="EH226" s="223">
        <f t="shared" si="1684"/>
        <v>10.711206896551724</v>
      </c>
      <c r="EI226" s="243">
        <f t="shared" si="1685"/>
        <v>7.4676724137931032</v>
      </c>
      <c r="EJ226" s="243">
        <f t="shared" si="1686"/>
        <v>22.000718390804597</v>
      </c>
      <c r="EK226" s="252">
        <f t="shared" si="1604"/>
        <v>0</v>
      </c>
      <c r="EL226" s="309">
        <f t="shared" si="1687"/>
        <v>22.000718390804597</v>
      </c>
      <c r="EM226" s="218">
        <f t="shared" ref="EM226:EN230" si="1757">IF(EJ226&lt;=0,2,0)+IF(EJ226&gt;0,EJ226+1,0)*2+IF(EJ226&gt;12,EJ226-12,0)*2+IF(EJ226&gt;13,EJ226-13,0)*2+IF(EJ226&gt;14,EJ226-14,0)*2+IF(EJ226&gt;15,EJ226-15,0)*2+IF(EJ226&gt;16,EJ226-16,0)*2+IF(EJ226&gt;17,EJ226-17,0)*2+IF(EJ226&gt;18,EJ226-18,0)*2+IF(EJ226&gt;19,EJ226-19,0)*2+IF(EJ226&gt;20,EJ226-20,0)*2</f>
        <v>154.01436781609189</v>
      </c>
      <c r="EN226" s="242">
        <f t="shared" si="1757"/>
        <v>2</v>
      </c>
      <c r="EO226" s="243">
        <f t="shared" si="1688"/>
        <v>152.01436781609189</v>
      </c>
      <c r="EP226" s="218">
        <f t="shared" si="1689"/>
        <v>0</v>
      </c>
      <c r="ER226" s="303" t="s">
        <v>196</v>
      </c>
      <c r="ES226" s="304" t="s">
        <v>86</v>
      </c>
      <c r="ET226" s="305" t="s">
        <v>132</v>
      </c>
      <c r="EU226" s="317">
        <f>Konvention_1slave-MUslave</f>
        <v>12</v>
      </c>
      <c r="EV226" s="254"/>
      <c r="EW226" s="254">
        <f t="shared" si="1616"/>
        <v>12</v>
      </c>
      <c r="EX226" s="254">
        <f t="shared" ref="EX226:EX231" si="1758">Konvention_1slave-CHslave</f>
        <v>12</v>
      </c>
      <c r="EY226" s="254"/>
      <c r="EZ226" s="254"/>
      <c r="FA226" s="254"/>
      <c r="FB226" s="318"/>
      <c r="FC226" s="223">
        <f t="shared" si="1690"/>
        <v>12</v>
      </c>
      <c r="FD226" s="223">
        <f t="shared" si="1691"/>
        <v>24</v>
      </c>
      <c r="FE226" s="224">
        <f t="shared" si="1692"/>
        <v>36</v>
      </c>
      <c r="FF226" s="237">
        <f t="shared" si="1605"/>
        <v>2304</v>
      </c>
      <c r="FG226" s="254">
        <f>EU226*EW226*CHslave+EU226*INslave*EX226+MUslave*EW226*EX226</f>
        <v>3456</v>
      </c>
      <c r="FH226" s="224">
        <f t="shared" si="1693"/>
        <v>1728</v>
      </c>
      <c r="FI226" s="224">
        <f t="shared" si="1694"/>
        <v>7488</v>
      </c>
      <c r="FJ226" s="222">
        <f t="shared" si="1695"/>
        <v>3.6923076923076925</v>
      </c>
      <c r="FK226" s="223">
        <f t="shared" si="1696"/>
        <v>11.076923076923077</v>
      </c>
      <c r="FL226" s="243">
        <f t="shared" si="1697"/>
        <v>8.3076923076923084</v>
      </c>
      <c r="FM226" s="243">
        <f t="shared" si="1698"/>
        <v>23.07692307692308</v>
      </c>
      <c r="FN226" s="252">
        <f t="shared" si="1606"/>
        <v>0</v>
      </c>
      <c r="FO226" s="309">
        <f t="shared" si="1699"/>
        <v>23.07692307692308</v>
      </c>
      <c r="FP226" s="218">
        <f t="shared" ref="FP226:FQ230" si="1759">IF(FM226&lt;=0,2,0)+IF(FM226&gt;0,FM226+1,0)*2+IF(FM226&gt;12,FM226-12,0)*2+IF(FM226&gt;13,FM226-13,0)*2+IF(FM226&gt;14,FM226-14,0)*2+IF(FM226&gt;15,FM226-15,0)*2+IF(FM226&gt;16,FM226-16,0)*2+IF(FM226&gt;17,FM226-17,0)*2+IF(FM226&gt;18,FM226-18,0)*2+IF(FM226&gt;19,FM226-19,0)*2+IF(FM226&gt;20,FM226-20,0)*2</f>
        <v>175.5384615384616</v>
      </c>
      <c r="FQ226" s="242">
        <f t="shared" si="1759"/>
        <v>2</v>
      </c>
      <c r="FR226" s="243">
        <f t="shared" si="1700"/>
        <v>173.5384615384616</v>
      </c>
      <c r="FS226" s="218">
        <f t="shared" si="1701"/>
        <v>0</v>
      </c>
      <c r="FU226" s="303" t="s">
        <v>196</v>
      </c>
      <c r="FV226" s="304" t="s">
        <v>86</v>
      </c>
      <c r="FW226" s="305" t="s">
        <v>132</v>
      </c>
      <c r="FX226" s="317">
        <f>Konvention_1slave-MUslave</f>
        <v>12</v>
      </c>
      <c r="FY226" s="254"/>
      <c r="FZ226" s="254">
        <f t="shared" si="1617"/>
        <v>12</v>
      </c>
      <c r="GA226" s="254">
        <f t="shared" ref="GA226:GA231" si="1760">Konvention_1slave-CHslave</f>
        <v>12</v>
      </c>
      <c r="GB226" s="254"/>
      <c r="GC226" s="254"/>
      <c r="GD226" s="254"/>
      <c r="GE226" s="318"/>
      <c r="GF226" s="223">
        <f t="shared" si="1702"/>
        <v>12</v>
      </c>
      <c r="GG226" s="223">
        <f t="shared" si="1703"/>
        <v>24</v>
      </c>
      <c r="GH226" s="224">
        <f t="shared" si="1704"/>
        <v>36</v>
      </c>
      <c r="GI226" s="237">
        <f t="shared" si="1607"/>
        <v>2304</v>
      </c>
      <c r="GJ226" s="254">
        <f>FX226*FZ226*CHslave+FX226*INslave*GA226+MUslave*FZ226*GA226</f>
        <v>3456</v>
      </c>
      <c r="GK226" s="224">
        <f t="shared" si="1705"/>
        <v>1728</v>
      </c>
      <c r="GL226" s="224">
        <f t="shared" si="1706"/>
        <v>7488</v>
      </c>
      <c r="GM226" s="222">
        <f t="shared" si="1707"/>
        <v>3.6923076923076925</v>
      </c>
      <c r="GN226" s="223">
        <f t="shared" si="1708"/>
        <v>11.076923076923077</v>
      </c>
      <c r="GO226" s="243">
        <f t="shared" si="1709"/>
        <v>8.3076923076923084</v>
      </c>
      <c r="GP226" s="243">
        <f t="shared" si="1710"/>
        <v>23.07692307692308</v>
      </c>
      <c r="GQ226" s="252">
        <f t="shared" si="1608"/>
        <v>0</v>
      </c>
      <c r="GR226" s="309">
        <f t="shared" si="1711"/>
        <v>23.07692307692308</v>
      </c>
      <c r="GS226" s="218">
        <f t="shared" ref="GS226:GT230" si="1761">IF(GP226&lt;=0,2,0)+IF(GP226&gt;0,GP226+1,0)*2+IF(GP226&gt;12,GP226-12,0)*2+IF(GP226&gt;13,GP226-13,0)*2+IF(GP226&gt;14,GP226-14,0)*2+IF(GP226&gt;15,GP226-15,0)*2+IF(GP226&gt;16,GP226-16,0)*2+IF(GP226&gt;17,GP226-17,0)*2+IF(GP226&gt;18,GP226-18,0)*2+IF(GP226&gt;19,GP226-19,0)*2+IF(GP226&gt;20,GP226-20,0)*2</f>
        <v>175.5384615384616</v>
      </c>
      <c r="GT226" s="242">
        <f t="shared" si="1761"/>
        <v>2</v>
      </c>
      <c r="GU226" s="243">
        <f t="shared" si="1712"/>
        <v>173.5384615384616</v>
      </c>
      <c r="GV226" s="218">
        <f t="shared" si="1713"/>
        <v>0</v>
      </c>
      <c r="GX226" s="303" t="s">
        <v>196</v>
      </c>
      <c r="GY226" s="304" t="s">
        <v>86</v>
      </c>
      <c r="GZ226" s="305" t="s">
        <v>132</v>
      </c>
      <c r="HA226" s="317">
        <f>Konvention_1slave-MUslave</f>
        <v>12</v>
      </c>
      <c r="HB226" s="254"/>
      <c r="HC226" s="254">
        <f t="shared" si="1618"/>
        <v>12</v>
      </c>
      <c r="HD226" s="254">
        <f t="shared" ref="HD226:HD231" si="1762">Konvention_1slave-CHslave</f>
        <v>12</v>
      </c>
      <c r="HE226" s="254"/>
      <c r="HF226" s="254"/>
      <c r="HG226" s="254"/>
      <c r="HH226" s="318"/>
      <c r="HI226" s="223">
        <f t="shared" si="1714"/>
        <v>12</v>
      </c>
      <c r="HJ226" s="223">
        <f t="shared" si="1715"/>
        <v>24</v>
      </c>
      <c r="HK226" s="224">
        <f t="shared" si="1716"/>
        <v>36</v>
      </c>
      <c r="HL226" s="237">
        <f t="shared" si="1609"/>
        <v>2304</v>
      </c>
      <c r="HM226" s="254">
        <f>HA226*HC226*CHslave+HA226*INslave*HD226+MUslave*HC226*HD226</f>
        <v>3456</v>
      </c>
      <c r="HN226" s="224">
        <f t="shared" si="1717"/>
        <v>1728</v>
      </c>
      <c r="HO226" s="224">
        <f t="shared" si="1718"/>
        <v>7488</v>
      </c>
      <c r="HP226" s="222">
        <f t="shared" si="1719"/>
        <v>3.6923076923076925</v>
      </c>
      <c r="HQ226" s="223">
        <f t="shared" si="1720"/>
        <v>11.076923076923077</v>
      </c>
      <c r="HR226" s="243">
        <f t="shared" si="1721"/>
        <v>8.3076923076923084</v>
      </c>
      <c r="HS226" s="243">
        <f t="shared" si="1722"/>
        <v>23.07692307692308</v>
      </c>
      <c r="HT226" s="252">
        <f t="shared" si="1610"/>
        <v>0</v>
      </c>
      <c r="HU226" s="309">
        <f t="shared" si="1723"/>
        <v>23.07692307692308</v>
      </c>
      <c r="HV226" s="218">
        <f t="shared" ref="HV226:HW230" si="1763">IF(HS226&lt;=0,2,0)+IF(HS226&gt;0,HS226+1,0)*2+IF(HS226&gt;12,HS226-12,0)*2+IF(HS226&gt;13,HS226-13,0)*2+IF(HS226&gt;14,HS226-14,0)*2+IF(HS226&gt;15,HS226-15,0)*2+IF(HS226&gt;16,HS226-16,0)*2+IF(HS226&gt;17,HS226-17,0)*2+IF(HS226&gt;18,HS226-18,0)*2+IF(HS226&gt;19,HS226-19,0)*2+IF(HS226&gt;20,HS226-20,0)*2</f>
        <v>175.5384615384616</v>
      </c>
      <c r="HW226" s="242">
        <f t="shared" si="1763"/>
        <v>2</v>
      </c>
      <c r="HX226" s="243">
        <f t="shared" si="1724"/>
        <v>173.5384615384616</v>
      </c>
      <c r="HY226" s="218">
        <f t="shared" si="1725"/>
        <v>0</v>
      </c>
      <c r="IA226" s="303" t="s">
        <v>196</v>
      </c>
      <c r="IB226" s="304" t="s">
        <v>86</v>
      </c>
      <c r="IC226" s="305" t="s">
        <v>132</v>
      </c>
      <c r="ID226" s="317">
        <f>Konvention_1slave-MUslave</f>
        <v>12</v>
      </c>
      <c r="IE226" s="254"/>
      <c r="IF226" s="254">
        <f t="shared" si="1619"/>
        <v>12</v>
      </c>
      <c r="IG226" s="254">
        <f t="shared" ref="IG226:IG231" si="1764">Konvention_1slave-CHslave</f>
        <v>12</v>
      </c>
      <c r="IH226" s="254"/>
      <c r="II226" s="254"/>
      <c r="IJ226" s="254"/>
      <c r="IK226" s="318"/>
      <c r="IL226" s="223">
        <f t="shared" si="1726"/>
        <v>12</v>
      </c>
      <c r="IM226" s="223">
        <f t="shared" si="1727"/>
        <v>24</v>
      </c>
      <c r="IN226" s="224">
        <f t="shared" si="1728"/>
        <v>36</v>
      </c>
      <c r="IO226" s="237">
        <f t="shared" si="1611"/>
        <v>2304</v>
      </c>
      <c r="IP226" s="254">
        <f>ID226*IF226*CHslave+ID226*INslave*IG226+MUslave*IF226*IG226</f>
        <v>3456</v>
      </c>
      <c r="IQ226" s="224">
        <f t="shared" si="1729"/>
        <v>1728</v>
      </c>
      <c r="IR226" s="224">
        <f t="shared" si="1730"/>
        <v>7488</v>
      </c>
      <c r="IS226" s="222">
        <f t="shared" si="1731"/>
        <v>3.6923076923076925</v>
      </c>
      <c r="IT226" s="223">
        <f t="shared" si="1732"/>
        <v>11.076923076923077</v>
      </c>
      <c r="IU226" s="243">
        <f t="shared" si="1733"/>
        <v>8.3076923076923084</v>
      </c>
      <c r="IV226" s="243">
        <f t="shared" si="1734"/>
        <v>23.07692307692308</v>
      </c>
      <c r="IW226" s="252">
        <f t="shared" si="1612"/>
        <v>0</v>
      </c>
      <c r="IX226" s="309">
        <f t="shared" si="1735"/>
        <v>23.07692307692308</v>
      </c>
      <c r="IY226" s="218">
        <f t="shared" ref="IY226:IZ230" si="1765">IF(IV226&lt;=0,2,0)+IF(IV226&gt;0,IV226+1,0)*2+IF(IV226&gt;12,IV226-12,0)*2+IF(IV226&gt;13,IV226-13,0)*2+IF(IV226&gt;14,IV226-14,0)*2+IF(IV226&gt;15,IV226-15,0)*2+IF(IV226&gt;16,IV226-16,0)*2+IF(IV226&gt;17,IV226-17,0)*2+IF(IV226&gt;18,IV226-18,0)*2+IF(IV226&gt;19,IV226-19,0)*2+IF(IV226&gt;20,IV226-20,0)*2</f>
        <v>175.5384615384616</v>
      </c>
      <c r="IZ226" s="242">
        <f t="shared" si="1765"/>
        <v>2</v>
      </c>
      <c r="JA226" s="243">
        <f t="shared" si="1736"/>
        <v>173.5384615384616</v>
      </c>
      <c r="JB226" s="218">
        <f t="shared" si="1737"/>
        <v>0</v>
      </c>
      <c r="JE226" s="148"/>
    </row>
    <row r="227" spans="2:265" hidden="1" outlineLevel="2">
      <c r="B227" s="148">
        <v>15</v>
      </c>
      <c r="C227" s="303" t="e">
        <f>VLOOKUP(AF227,Attribute!C:T,1,FALSE)</f>
        <v>#N/A</v>
      </c>
      <c r="D227" s="86" t="s">
        <v>87</v>
      </c>
      <c r="E227" s="167" t="s">
        <v>132</v>
      </c>
      <c r="F227" s="120"/>
      <c r="G227" s="117">
        <f>Konvention_1master-KLmaster</f>
        <v>12</v>
      </c>
      <c r="H227" s="117">
        <f>Konvention_1master-INmaster</f>
        <v>12</v>
      </c>
      <c r="I227" s="117">
        <f t="shared" si="1747"/>
        <v>12</v>
      </c>
      <c r="J227" s="117"/>
      <c r="K227" s="117"/>
      <c r="L227" s="117"/>
      <c r="M227" s="121"/>
      <c r="N227" s="223">
        <f t="shared" si="1629"/>
        <v>12</v>
      </c>
      <c r="O227" s="223">
        <f t="shared" si="1630"/>
        <v>24</v>
      </c>
      <c r="P227" s="224">
        <f t="shared" si="1631"/>
        <v>36</v>
      </c>
      <c r="Q227" s="237">
        <f t="shared" si="1632"/>
        <v>2304</v>
      </c>
      <c r="R227" s="117">
        <f>G227*H227*CHmaster+G227*INmaster*I227+KLmaster*H227*I227</f>
        <v>3456</v>
      </c>
      <c r="S227" s="224">
        <f t="shared" si="1633"/>
        <v>1728</v>
      </c>
      <c r="T227" s="224">
        <f t="shared" si="1748"/>
        <v>7488</v>
      </c>
      <c r="U227" s="222">
        <f t="shared" si="1635"/>
        <v>3.6923076923076925</v>
      </c>
      <c r="V227" s="223">
        <f t="shared" si="1636"/>
        <v>11.076923076923077</v>
      </c>
      <c r="W227" s="243">
        <f t="shared" si="1637"/>
        <v>8.3076923076923084</v>
      </c>
      <c r="X227" s="243">
        <f t="shared" si="1638"/>
        <v>23.07692307692308</v>
      </c>
      <c r="Y227" s="252">
        <v>0</v>
      </c>
      <c r="Z227" s="198">
        <f t="shared" si="1639"/>
        <v>23.07692307692308</v>
      </c>
      <c r="AA227" s="125">
        <f t="shared" si="1749"/>
        <v>175.5384615384616</v>
      </c>
      <c r="AB227" s="160">
        <f t="shared" si="1749"/>
        <v>2</v>
      </c>
      <c r="AC227" s="127">
        <f t="shared" si="1640"/>
        <v>173.5384615384616</v>
      </c>
      <c r="AD227" s="125">
        <f t="shared" si="1641"/>
        <v>0</v>
      </c>
      <c r="AF227" s="163" t="s">
        <v>197</v>
      </c>
      <c r="AG227" s="86" t="s">
        <v>87</v>
      </c>
      <c r="AH227" s="167" t="s">
        <v>132</v>
      </c>
      <c r="AI227" s="120"/>
      <c r="AJ227" s="117">
        <f>Konvention_1slave-KLslave</f>
        <v>12</v>
      </c>
      <c r="AK227" s="117">
        <f t="shared" si="1613"/>
        <v>12</v>
      </c>
      <c r="AL227" s="117">
        <f t="shared" si="1750"/>
        <v>12</v>
      </c>
      <c r="AM227" s="117"/>
      <c r="AN227" s="117"/>
      <c r="AO227" s="117"/>
      <c r="AP227" s="121"/>
      <c r="AQ227" s="47">
        <f t="shared" si="1642"/>
        <v>12</v>
      </c>
      <c r="AR227" s="3">
        <f t="shared" si="1643"/>
        <v>24</v>
      </c>
      <c r="AS227" s="174">
        <f t="shared" si="1644"/>
        <v>36</v>
      </c>
      <c r="AT227" s="114">
        <f t="shared" si="1597"/>
        <v>2304</v>
      </c>
      <c r="AU227" s="117">
        <f>AJ227*AK227*CHslave+AJ227*INslave*AL227+KLslave*AK227*AL227</f>
        <v>3456</v>
      </c>
      <c r="AV227" s="119">
        <f t="shared" si="1645"/>
        <v>1728</v>
      </c>
      <c r="AW227" s="119">
        <f t="shared" si="1646"/>
        <v>7488</v>
      </c>
      <c r="AX227" s="89">
        <f t="shared" si="1647"/>
        <v>3.6923076923076925</v>
      </c>
      <c r="AY227" s="47">
        <f t="shared" si="1648"/>
        <v>11.076923076923077</v>
      </c>
      <c r="AZ227" s="127">
        <f t="shared" si="1649"/>
        <v>8.3076923076923084</v>
      </c>
      <c r="BA227" s="127">
        <f t="shared" si="1650"/>
        <v>23.07692307692308</v>
      </c>
      <c r="BB227" s="165">
        <f t="shared" si="1598"/>
        <v>0</v>
      </c>
      <c r="BC227" s="198">
        <f t="shared" si="1651"/>
        <v>23.07692307692308</v>
      </c>
      <c r="BD227" s="125">
        <f t="shared" si="1751"/>
        <v>175.5384615384616</v>
      </c>
      <c r="BE227" s="160">
        <f t="shared" si="1751"/>
        <v>2</v>
      </c>
      <c r="BF227" s="243">
        <f t="shared" si="1652"/>
        <v>173.5384615384616</v>
      </c>
      <c r="BG227" s="218">
        <f t="shared" si="1653"/>
        <v>0</v>
      </c>
      <c r="BI227" s="303" t="s">
        <v>197</v>
      </c>
      <c r="BJ227" s="304" t="s">
        <v>87</v>
      </c>
      <c r="BK227" s="305" t="s">
        <v>132</v>
      </c>
      <c r="BL227" s="317"/>
      <c r="BM227" s="254">
        <f>Konvention_1slave-KLslave_KL</f>
        <v>11</v>
      </c>
      <c r="BN227" s="254">
        <f t="shared" si="1614"/>
        <v>12</v>
      </c>
      <c r="BO227" s="254">
        <f t="shared" si="1752"/>
        <v>12</v>
      </c>
      <c r="BP227" s="254"/>
      <c r="BQ227" s="254"/>
      <c r="BR227" s="254"/>
      <c r="BS227" s="318"/>
      <c r="BT227" s="223">
        <f t="shared" si="1654"/>
        <v>11.666666666666666</v>
      </c>
      <c r="BU227" s="223">
        <f t="shared" si="1655"/>
        <v>23.333333333333332</v>
      </c>
      <c r="BV227" s="224">
        <f t="shared" si="1656"/>
        <v>35</v>
      </c>
      <c r="BW227" s="237">
        <f t="shared" si="1599"/>
        <v>2432</v>
      </c>
      <c r="BX227" s="254">
        <f>BM227*BN227*CHslave+BM227*INslave*BO227+KLslave_KL*BN227*BO227</f>
        <v>3408</v>
      </c>
      <c r="BY227" s="224">
        <f t="shared" si="1657"/>
        <v>1584</v>
      </c>
      <c r="BZ227" s="224">
        <f t="shared" si="1658"/>
        <v>7424</v>
      </c>
      <c r="CA227" s="222">
        <f t="shared" si="1659"/>
        <v>3.8218390804597702</v>
      </c>
      <c r="CB227" s="223">
        <f t="shared" si="1660"/>
        <v>10.711206896551724</v>
      </c>
      <c r="CC227" s="243">
        <f t="shared" si="1661"/>
        <v>7.4676724137931032</v>
      </c>
      <c r="CD227" s="243">
        <f t="shared" si="1662"/>
        <v>22.000718390804597</v>
      </c>
      <c r="CE227" s="252">
        <f t="shared" si="1600"/>
        <v>0</v>
      </c>
      <c r="CF227" s="309">
        <f t="shared" si="1663"/>
        <v>22.000718390804597</v>
      </c>
      <c r="CG227" s="218">
        <f t="shared" si="1753"/>
        <v>154.01436781609189</v>
      </c>
      <c r="CH227" s="242">
        <f t="shared" si="1753"/>
        <v>2</v>
      </c>
      <c r="CI227" s="243">
        <f t="shared" si="1664"/>
        <v>152.01436781609189</v>
      </c>
      <c r="CJ227" s="218">
        <f t="shared" si="1665"/>
        <v>0</v>
      </c>
      <c r="CL227" s="303" t="s">
        <v>197</v>
      </c>
      <c r="CM227" s="304" t="s">
        <v>87</v>
      </c>
      <c r="CN227" s="305" t="s">
        <v>132</v>
      </c>
      <c r="CO227" s="317"/>
      <c r="CP227" s="254">
        <f>Konvention_1slave-KLslave</f>
        <v>12</v>
      </c>
      <c r="CQ227" s="254">
        <f>Konvention_1slave-INslave_IN</f>
        <v>11</v>
      </c>
      <c r="CR227" s="254">
        <f t="shared" si="1754"/>
        <v>12</v>
      </c>
      <c r="CS227" s="254"/>
      <c r="CT227" s="254"/>
      <c r="CU227" s="254"/>
      <c r="CV227" s="318"/>
      <c r="CW227" s="223">
        <f t="shared" si="1666"/>
        <v>11.666666666666666</v>
      </c>
      <c r="CX227" s="223">
        <f t="shared" si="1667"/>
        <v>23.333333333333332</v>
      </c>
      <c r="CY227" s="224">
        <f t="shared" si="1668"/>
        <v>35</v>
      </c>
      <c r="CZ227" s="237">
        <f t="shared" si="1601"/>
        <v>2432</v>
      </c>
      <c r="DA227" s="254">
        <f>CP227*CQ227*CHslave+CP227*INslave_IN*CR227+KLslave*CQ227*CR227</f>
        <v>3408</v>
      </c>
      <c r="DB227" s="224">
        <f t="shared" si="1669"/>
        <v>1584</v>
      </c>
      <c r="DC227" s="224">
        <f t="shared" si="1670"/>
        <v>7424</v>
      </c>
      <c r="DD227" s="222">
        <f t="shared" si="1671"/>
        <v>3.8218390804597702</v>
      </c>
      <c r="DE227" s="223">
        <f t="shared" si="1672"/>
        <v>10.711206896551724</v>
      </c>
      <c r="DF227" s="243">
        <f t="shared" si="1673"/>
        <v>7.4676724137931032</v>
      </c>
      <c r="DG227" s="243">
        <f t="shared" si="1674"/>
        <v>22.000718390804597</v>
      </c>
      <c r="DH227" s="252">
        <f t="shared" si="1602"/>
        <v>0</v>
      </c>
      <c r="DI227" s="309">
        <f t="shared" si="1675"/>
        <v>22.000718390804597</v>
      </c>
      <c r="DJ227" s="218">
        <f t="shared" si="1755"/>
        <v>154.01436781609189</v>
      </c>
      <c r="DK227" s="242">
        <f t="shared" si="1755"/>
        <v>2</v>
      </c>
      <c r="DL227" s="243">
        <f t="shared" si="1676"/>
        <v>152.01436781609189</v>
      </c>
      <c r="DM227" s="218">
        <f t="shared" si="1677"/>
        <v>0</v>
      </c>
      <c r="DO227" s="303" t="s">
        <v>197</v>
      </c>
      <c r="DP227" s="304" t="s">
        <v>87</v>
      </c>
      <c r="DQ227" s="305" t="s">
        <v>132</v>
      </c>
      <c r="DR227" s="317"/>
      <c r="DS227" s="254">
        <f>Konvention_1slave-KLslave</f>
        <v>12</v>
      </c>
      <c r="DT227" s="254">
        <f t="shared" si="1615"/>
        <v>12</v>
      </c>
      <c r="DU227" s="254">
        <f t="shared" si="1756"/>
        <v>11</v>
      </c>
      <c r="DV227" s="254"/>
      <c r="DW227" s="254"/>
      <c r="DX227" s="254"/>
      <c r="DY227" s="318"/>
      <c r="DZ227" s="223">
        <f t="shared" si="1678"/>
        <v>11.666666666666666</v>
      </c>
      <c r="EA227" s="223">
        <f t="shared" si="1679"/>
        <v>23.333333333333332</v>
      </c>
      <c r="EB227" s="224">
        <f t="shared" si="1680"/>
        <v>35</v>
      </c>
      <c r="EC227" s="237">
        <f t="shared" si="1603"/>
        <v>2432</v>
      </c>
      <c r="ED227" s="254">
        <f>DS227*DT227*CHslave_CH+DS227*INslave*DU227+KLslave*DT227*DU227</f>
        <v>3408</v>
      </c>
      <c r="EE227" s="224">
        <f t="shared" si="1681"/>
        <v>1584</v>
      </c>
      <c r="EF227" s="224">
        <f t="shared" si="1682"/>
        <v>7424</v>
      </c>
      <c r="EG227" s="222">
        <f t="shared" si="1683"/>
        <v>3.8218390804597702</v>
      </c>
      <c r="EH227" s="223">
        <f t="shared" si="1684"/>
        <v>10.711206896551724</v>
      </c>
      <c r="EI227" s="243">
        <f t="shared" si="1685"/>
        <v>7.4676724137931032</v>
      </c>
      <c r="EJ227" s="243">
        <f t="shared" si="1686"/>
        <v>22.000718390804597</v>
      </c>
      <c r="EK227" s="252">
        <f t="shared" si="1604"/>
        <v>0</v>
      </c>
      <c r="EL227" s="309">
        <f t="shared" si="1687"/>
        <v>22.000718390804597</v>
      </c>
      <c r="EM227" s="218">
        <f t="shared" si="1757"/>
        <v>154.01436781609189</v>
      </c>
      <c r="EN227" s="242">
        <f t="shared" si="1757"/>
        <v>2</v>
      </c>
      <c r="EO227" s="243">
        <f t="shared" si="1688"/>
        <v>152.01436781609189</v>
      </c>
      <c r="EP227" s="218">
        <f t="shared" si="1689"/>
        <v>0</v>
      </c>
      <c r="ER227" s="303" t="s">
        <v>197</v>
      </c>
      <c r="ES227" s="304" t="s">
        <v>87</v>
      </c>
      <c r="ET227" s="305" t="s">
        <v>132</v>
      </c>
      <c r="EU227" s="317"/>
      <c r="EV227" s="254">
        <f>Konvention_1slave-KLslave</f>
        <v>12</v>
      </c>
      <c r="EW227" s="254">
        <f t="shared" si="1616"/>
        <v>12</v>
      </c>
      <c r="EX227" s="254">
        <f t="shared" si="1758"/>
        <v>12</v>
      </c>
      <c r="EY227" s="254"/>
      <c r="EZ227" s="254"/>
      <c r="FA227" s="254"/>
      <c r="FB227" s="318"/>
      <c r="FC227" s="223">
        <f t="shared" si="1690"/>
        <v>12</v>
      </c>
      <c r="FD227" s="223">
        <f t="shared" si="1691"/>
        <v>24</v>
      </c>
      <c r="FE227" s="224">
        <f t="shared" si="1692"/>
        <v>36</v>
      </c>
      <c r="FF227" s="237">
        <f t="shared" si="1605"/>
        <v>2304</v>
      </c>
      <c r="FG227" s="254">
        <f>EV227*EW227*CHslave+EV227*INslave*EX227+KLslave*EW227*EX227</f>
        <v>3456</v>
      </c>
      <c r="FH227" s="224">
        <f t="shared" si="1693"/>
        <v>1728</v>
      </c>
      <c r="FI227" s="224">
        <f t="shared" si="1694"/>
        <v>7488</v>
      </c>
      <c r="FJ227" s="222">
        <f t="shared" si="1695"/>
        <v>3.6923076923076925</v>
      </c>
      <c r="FK227" s="223">
        <f t="shared" si="1696"/>
        <v>11.076923076923077</v>
      </c>
      <c r="FL227" s="243">
        <f t="shared" si="1697"/>
        <v>8.3076923076923084</v>
      </c>
      <c r="FM227" s="243">
        <f t="shared" si="1698"/>
        <v>23.07692307692308</v>
      </c>
      <c r="FN227" s="252">
        <f t="shared" si="1606"/>
        <v>0</v>
      </c>
      <c r="FO227" s="309">
        <f t="shared" si="1699"/>
        <v>23.07692307692308</v>
      </c>
      <c r="FP227" s="218">
        <f t="shared" si="1759"/>
        <v>175.5384615384616</v>
      </c>
      <c r="FQ227" s="242">
        <f t="shared" si="1759"/>
        <v>2</v>
      </c>
      <c r="FR227" s="243">
        <f t="shared" si="1700"/>
        <v>173.5384615384616</v>
      </c>
      <c r="FS227" s="218">
        <f t="shared" si="1701"/>
        <v>0</v>
      </c>
      <c r="FU227" s="303" t="s">
        <v>197</v>
      </c>
      <c r="FV227" s="304" t="s">
        <v>87</v>
      </c>
      <c r="FW227" s="305" t="s">
        <v>132</v>
      </c>
      <c r="FX227" s="317"/>
      <c r="FY227" s="254">
        <f>Konvention_1slave-KLslave</f>
        <v>12</v>
      </c>
      <c r="FZ227" s="254">
        <f t="shared" si="1617"/>
        <v>12</v>
      </c>
      <c r="GA227" s="254">
        <f t="shared" si="1760"/>
        <v>12</v>
      </c>
      <c r="GB227" s="254"/>
      <c r="GC227" s="254"/>
      <c r="GD227" s="254"/>
      <c r="GE227" s="318"/>
      <c r="GF227" s="223">
        <f t="shared" si="1702"/>
        <v>12</v>
      </c>
      <c r="GG227" s="223">
        <f t="shared" si="1703"/>
        <v>24</v>
      </c>
      <c r="GH227" s="224">
        <f t="shared" si="1704"/>
        <v>36</v>
      </c>
      <c r="GI227" s="237">
        <f t="shared" si="1607"/>
        <v>2304</v>
      </c>
      <c r="GJ227" s="254">
        <f>FY227*FZ227*CHslave+FY227*INslave*GA227+KLslave*FZ227*GA227</f>
        <v>3456</v>
      </c>
      <c r="GK227" s="224">
        <f t="shared" si="1705"/>
        <v>1728</v>
      </c>
      <c r="GL227" s="224">
        <f t="shared" si="1706"/>
        <v>7488</v>
      </c>
      <c r="GM227" s="222">
        <f t="shared" si="1707"/>
        <v>3.6923076923076925</v>
      </c>
      <c r="GN227" s="223">
        <f t="shared" si="1708"/>
        <v>11.076923076923077</v>
      </c>
      <c r="GO227" s="243">
        <f t="shared" si="1709"/>
        <v>8.3076923076923084</v>
      </c>
      <c r="GP227" s="243">
        <f t="shared" si="1710"/>
        <v>23.07692307692308</v>
      </c>
      <c r="GQ227" s="252">
        <f t="shared" si="1608"/>
        <v>0</v>
      </c>
      <c r="GR227" s="309">
        <f t="shared" si="1711"/>
        <v>23.07692307692308</v>
      </c>
      <c r="GS227" s="218">
        <f t="shared" si="1761"/>
        <v>175.5384615384616</v>
      </c>
      <c r="GT227" s="242">
        <f t="shared" si="1761"/>
        <v>2</v>
      </c>
      <c r="GU227" s="243">
        <f t="shared" si="1712"/>
        <v>173.5384615384616</v>
      </c>
      <c r="GV227" s="218">
        <f t="shared" si="1713"/>
        <v>0</v>
      </c>
      <c r="GX227" s="303" t="s">
        <v>197</v>
      </c>
      <c r="GY227" s="304" t="s">
        <v>87</v>
      </c>
      <c r="GZ227" s="305" t="s">
        <v>132</v>
      </c>
      <c r="HA227" s="317"/>
      <c r="HB227" s="254">
        <f>Konvention_1slave-KLslave</f>
        <v>12</v>
      </c>
      <c r="HC227" s="254">
        <f t="shared" si="1618"/>
        <v>12</v>
      </c>
      <c r="HD227" s="254">
        <f t="shared" si="1762"/>
        <v>12</v>
      </c>
      <c r="HE227" s="254"/>
      <c r="HF227" s="254"/>
      <c r="HG227" s="254"/>
      <c r="HH227" s="318"/>
      <c r="HI227" s="223">
        <f t="shared" si="1714"/>
        <v>12</v>
      </c>
      <c r="HJ227" s="223">
        <f t="shared" si="1715"/>
        <v>24</v>
      </c>
      <c r="HK227" s="224">
        <f t="shared" si="1716"/>
        <v>36</v>
      </c>
      <c r="HL227" s="237">
        <f t="shared" si="1609"/>
        <v>2304</v>
      </c>
      <c r="HM227" s="254">
        <f>HB227*HC227*CHslave+HB227*INslave*HD227+KLslave*HC227*HD227</f>
        <v>3456</v>
      </c>
      <c r="HN227" s="224">
        <f t="shared" si="1717"/>
        <v>1728</v>
      </c>
      <c r="HO227" s="224">
        <f t="shared" si="1718"/>
        <v>7488</v>
      </c>
      <c r="HP227" s="222">
        <f t="shared" si="1719"/>
        <v>3.6923076923076925</v>
      </c>
      <c r="HQ227" s="223">
        <f t="shared" si="1720"/>
        <v>11.076923076923077</v>
      </c>
      <c r="HR227" s="243">
        <f t="shared" si="1721"/>
        <v>8.3076923076923084</v>
      </c>
      <c r="HS227" s="243">
        <f t="shared" si="1722"/>
        <v>23.07692307692308</v>
      </c>
      <c r="HT227" s="252">
        <f t="shared" si="1610"/>
        <v>0</v>
      </c>
      <c r="HU227" s="309">
        <f t="shared" si="1723"/>
        <v>23.07692307692308</v>
      </c>
      <c r="HV227" s="218">
        <f t="shared" si="1763"/>
        <v>175.5384615384616</v>
      </c>
      <c r="HW227" s="242">
        <f t="shared" si="1763"/>
        <v>2</v>
      </c>
      <c r="HX227" s="243">
        <f t="shared" si="1724"/>
        <v>173.5384615384616</v>
      </c>
      <c r="HY227" s="218">
        <f t="shared" si="1725"/>
        <v>0</v>
      </c>
      <c r="IA227" s="303" t="s">
        <v>197</v>
      </c>
      <c r="IB227" s="304" t="s">
        <v>87</v>
      </c>
      <c r="IC227" s="305" t="s">
        <v>132</v>
      </c>
      <c r="ID227" s="317"/>
      <c r="IE227" s="254">
        <f>Konvention_1slave-KLslave</f>
        <v>12</v>
      </c>
      <c r="IF227" s="254">
        <f t="shared" si="1619"/>
        <v>12</v>
      </c>
      <c r="IG227" s="254">
        <f t="shared" si="1764"/>
        <v>12</v>
      </c>
      <c r="IH227" s="254"/>
      <c r="II227" s="254"/>
      <c r="IJ227" s="254"/>
      <c r="IK227" s="318"/>
      <c r="IL227" s="223">
        <f t="shared" si="1726"/>
        <v>12</v>
      </c>
      <c r="IM227" s="223">
        <f t="shared" si="1727"/>
        <v>24</v>
      </c>
      <c r="IN227" s="224">
        <f t="shared" si="1728"/>
        <v>36</v>
      </c>
      <c r="IO227" s="237">
        <f t="shared" si="1611"/>
        <v>2304</v>
      </c>
      <c r="IP227" s="254">
        <f>IE227*IF227*CHslave+IE227*INslave*IG227+KLslave*IF227*IG227</f>
        <v>3456</v>
      </c>
      <c r="IQ227" s="224">
        <f t="shared" si="1729"/>
        <v>1728</v>
      </c>
      <c r="IR227" s="224">
        <f t="shared" si="1730"/>
        <v>7488</v>
      </c>
      <c r="IS227" s="222">
        <f t="shared" si="1731"/>
        <v>3.6923076923076925</v>
      </c>
      <c r="IT227" s="223">
        <f t="shared" si="1732"/>
        <v>11.076923076923077</v>
      </c>
      <c r="IU227" s="243">
        <f t="shared" si="1733"/>
        <v>8.3076923076923084</v>
      </c>
      <c r="IV227" s="243">
        <f t="shared" si="1734"/>
        <v>23.07692307692308</v>
      </c>
      <c r="IW227" s="252">
        <f t="shared" si="1612"/>
        <v>0</v>
      </c>
      <c r="IX227" s="309">
        <f t="shared" si="1735"/>
        <v>23.07692307692308</v>
      </c>
      <c r="IY227" s="218">
        <f t="shared" si="1765"/>
        <v>175.5384615384616</v>
      </c>
      <c r="IZ227" s="242">
        <f t="shared" si="1765"/>
        <v>2</v>
      </c>
      <c r="JA227" s="243">
        <f t="shared" si="1736"/>
        <v>173.5384615384616</v>
      </c>
      <c r="JB227" s="218">
        <f t="shared" si="1737"/>
        <v>0</v>
      </c>
      <c r="JE227" s="148"/>
    </row>
    <row r="228" spans="2:265" hidden="1" outlineLevel="2">
      <c r="B228" s="148">
        <v>16</v>
      </c>
      <c r="C228" s="303" t="e">
        <f>VLOOKUP(AF228,Attribute!C:T,1,FALSE)</f>
        <v>#N/A</v>
      </c>
      <c r="D228" s="86" t="s">
        <v>86</v>
      </c>
      <c r="E228" s="167" t="s">
        <v>132</v>
      </c>
      <c r="F228" s="120">
        <f>Konvention_1master-MUmaster</f>
        <v>12</v>
      </c>
      <c r="G228" s="117"/>
      <c r="H228" s="117">
        <f>Konvention_1master-INmaster</f>
        <v>12</v>
      </c>
      <c r="I228" s="117">
        <f t="shared" si="1747"/>
        <v>12</v>
      </c>
      <c r="J228" s="117"/>
      <c r="K228" s="117"/>
      <c r="L228" s="117"/>
      <c r="M228" s="121"/>
      <c r="N228" s="223">
        <f t="shared" si="1629"/>
        <v>12</v>
      </c>
      <c r="O228" s="223">
        <f t="shared" si="1630"/>
        <v>24</v>
      </c>
      <c r="P228" s="224">
        <f t="shared" si="1631"/>
        <v>36</v>
      </c>
      <c r="Q228" s="237">
        <f t="shared" si="1632"/>
        <v>2304</v>
      </c>
      <c r="R228" s="117">
        <f>F228*H228*CHmaster+F228*INmaster*I228+MUmaster*H228*I228</f>
        <v>3456</v>
      </c>
      <c r="S228" s="224">
        <f t="shared" si="1633"/>
        <v>1728</v>
      </c>
      <c r="T228" s="224">
        <f t="shared" si="1748"/>
        <v>7488</v>
      </c>
      <c r="U228" s="222">
        <f t="shared" si="1635"/>
        <v>3.6923076923076925</v>
      </c>
      <c r="V228" s="223">
        <f t="shared" si="1636"/>
        <v>11.076923076923077</v>
      </c>
      <c r="W228" s="243">
        <f t="shared" si="1637"/>
        <v>8.3076923076923084</v>
      </c>
      <c r="X228" s="243">
        <f t="shared" si="1638"/>
        <v>23.07692307692308</v>
      </c>
      <c r="Y228" s="252">
        <v>0</v>
      </c>
      <c r="Z228" s="198">
        <f t="shared" si="1639"/>
        <v>23.07692307692308</v>
      </c>
      <c r="AA228" s="125">
        <f t="shared" si="1749"/>
        <v>175.5384615384616</v>
      </c>
      <c r="AB228" s="160">
        <f t="shared" si="1749"/>
        <v>2</v>
      </c>
      <c r="AC228" s="127">
        <f t="shared" si="1640"/>
        <v>173.5384615384616</v>
      </c>
      <c r="AD228" s="125">
        <f t="shared" si="1641"/>
        <v>0</v>
      </c>
      <c r="AF228" s="163" t="s">
        <v>162</v>
      </c>
      <c r="AG228" s="86" t="s">
        <v>86</v>
      </c>
      <c r="AH228" s="167" t="s">
        <v>132</v>
      </c>
      <c r="AI228" s="120">
        <f>Konvention_1slave-MUslave_MU</f>
        <v>11</v>
      </c>
      <c r="AJ228" s="117"/>
      <c r="AK228" s="117">
        <f t="shared" si="1613"/>
        <v>12</v>
      </c>
      <c r="AL228" s="117">
        <f t="shared" si="1750"/>
        <v>12</v>
      </c>
      <c r="AM228" s="117"/>
      <c r="AN228" s="117"/>
      <c r="AO228" s="117"/>
      <c r="AP228" s="121"/>
      <c r="AQ228" s="47">
        <f t="shared" si="1642"/>
        <v>11.666666666666666</v>
      </c>
      <c r="AR228" s="3">
        <f t="shared" si="1643"/>
        <v>23.333333333333332</v>
      </c>
      <c r="AS228" s="174">
        <f t="shared" si="1644"/>
        <v>35</v>
      </c>
      <c r="AT228" s="114">
        <f t="shared" si="1597"/>
        <v>2432</v>
      </c>
      <c r="AU228" s="117">
        <f>AI228*AK228*CHslave+AI228*INslave*AL228+MUslave_MU*AK228*AL228</f>
        <v>3408</v>
      </c>
      <c r="AV228" s="119">
        <f t="shared" si="1645"/>
        <v>1584</v>
      </c>
      <c r="AW228" s="119">
        <f t="shared" si="1646"/>
        <v>7424</v>
      </c>
      <c r="AX228" s="89">
        <f t="shared" si="1647"/>
        <v>3.8218390804597702</v>
      </c>
      <c r="AY228" s="47">
        <f t="shared" si="1648"/>
        <v>10.711206896551724</v>
      </c>
      <c r="AZ228" s="127">
        <f t="shared" si="1649"/>
        <v>7.4676724137931032</v>
      </c>
      <c r="BA228" s="127">
        <f t="shared" si="1650"/>
        <v>22.000718390804597</v>
      </c>
      <c r="BB228" s="165">
        <f t="shared" si="1598"/>
        <v>0</v>
      </c>
      <c r="BC228" s="198">
        <f t="shared" si="1651"/>
        <v>22.000718390804597</v>
      </c>
      <c r="BD228" s="125">
        <f t="shared" si="1751"/>
        <v>154.01436781609189</v>
      </c>
      <c r="BE228" s="160">
        <f t="shared" si="1751"/>
        <v>2</v>
      </c>
      <c r="BF228" s="243">
        <f t="shared" si="1652"/>
        <v>152.01436781609189</v>
      </c>
      <c r="BG228" s="218">
        <f t="shared" si="1653"/>
        <v>0</v>
      </c>
      <c r="BI228" s="303" t="s">
        <v>162</v>
      </c>
      <c r="BJ228" s="304" t="s">
        <v>86</v>
      </c>
      <c r="BK228" s="305" t="s">
        <v>132</v>
      </c>
      <c r="BL228" s="317">
        <f>Konvention_1slave-MUslave</f>
        <v>12</v>
      </c>
      <c r="BM228" s="254"/>
      <c r="BN228" s="254">
        <f t="shared" si="1614"/>
        <v>12</v>
      </c>
      <c r="BO228" s="254">
        <f t="shared" si="1752"/>
        <v>12</v>
      </c>
      <c r="BP228" s="254"/>
      <c r="BQ228" s="254"/>
      <c r="BR228" s="254"/>
      <c r="BS228" s="318"/>
      <c r="BT228" s="223">
        <f t="shared" si="1654"/>
        <v>12</v>
      </c>
      <c r="BU228" s="223">
        <f t="shared" si="1655"/>
        <v>24</v>
      </c>
      <c r="BV228" s="224">
        <f t="shared" si="1656"/>
        <v>36</v>
      </c>
      <c r="BW228" s="237">
        <f t="shared" si="1599"/>
        <v>2304</v>
      </c>
      <c r="BX228" s="254">
        <f>BL228*BN228*CHslave+BL228*INslave*BO228+MUslave*BN228*BO228</f>
        <v>3456</v>
      </c>
      <c r="BY228" s="224">
        <f t="shared" si="1657"/>
        <v>1728</v>
      </c>
      <c r="BZ228" s="224">
        <f t="shared" si="1658"/>
        <v>7488</v>
      </c>
      <c r="CA228" s="222">
        <f t="shared" si="1659"/>
        <v>3.6923076923076925</v>
      </c>
      <c r="CB228" s="223">
        <f t="shared" si="1660"/>
        <v>11.076923076923077</v>
      </c>
      <c r="CC228" s="243">
        <f t="shared" si="1661"/>
        <v>8.3076923076923084</v>
      </c>
      <c r="CD228" s="243">
        <f t="shared" si="1662"/>
        <v>23.07692307692308</v>
      </c>
      <c r="CE228" s="252">
        <f t="shared" si="1600"/>
        <v>0</v>
      </c>
      <c r="CF228" s="309">
        <f t="shared" si="1663"/>
        <v>23.07692307692308</v>
      </c>
      <c r="CG228" s="218">
        <f t="shared" si="1753"/>
        <v>175.5384615384616</v>
      </c>
      <c r="CH228" s="242">
        <f t="shared" si="1753"/>
        <v>2</v>
      </c>
      <c r="CI228" s="243">
        <f t="shared" si="1664"/>
        <v>173.5384615384616</v>
      </c>
      <c r="CJ228" s="218">
        <f t="shared" si="1665"/>
        <v>0</v>
      </c>
      <c r="CL228" s="303" t="s">
        <v>162</v>
      </c>
      <c r="CM228" s="304" t="s">
        <v>86</v>
      </c>
      <c r="CN228" s="305" t="s">
        <v>132</v>
      </c>
      <c r="CO228" s="317">
        <f>Konvention_1slave-MUslave</f>
        <v>12</v>
      </c>
      <c r="CP228" s="254"/>
      <c r="CQ228" s="254">
        <f>Konvention_1slave-INslave_IN</f>
        <v>11</v>
      </c>
      <c r="CR228" s="254">
        <f t="shared" si="1754"/>
        <v>12</v>
      </c>
      <c r="CS228" s="254"/>
      <c r="CT228" s="254"/>
      <c r="CU228" s="254"/>
      <c r="CV228" s="318"/>
      <c r="CW228" s="223">
        <f t="shared" si="1666"/>
        <v>11.666666666666666</v>
      </c>
      <c r="CX228" s="223">
        <f t="shared" si="1667"/>
        <v>23.333333333333332</v>
      </c>
      <c r="CY228" s="224">
        <f t="shared" si="1668"/>
        <v>35</v>
      </c>
      <c r="CZ228" s="237">
        <f t="shared" si="1601"/>
        <v>2432</v>
      </c>
      <c r="DA228" s="254">
        <f>CO228*CQ228*CHslave+CO228*INslave_IN*CR228+MUslave*CQ228*CR228</f>
        <v>3408</v>
      </c>
      <c r="DB228" s="224">
        <f t="shared" si="1669"/>
        <v>1584</v>
      </c>
      <c r="DC228" s="224">
        <f t="shared" si="1670"/>
        <v>7424</v>
      </c>
      <c r="DD228" s="222">
        <f t="shared" si="1671"/>
        <v>3.8218390804597702</v>
      </c>
      <c r="DE228" s="223">
        <f t="shared" si="1672"/>
        <v>10.711206896551724</v>
      </c>
      <c r="DF228" s="243">
        <f t="shared" si="1673"/>
        <v>7.4676724137931032</v>
      </c>
      <c r="DG228" s="243">
        <f t="shared" si="1674"/>
        <v>22.000718390804597</v>
      </c>
      <c r="DH228" s="252">
        <f t="shared" si="1602"/>
        <v>0</v>
      </c>
      <c r="DI228" s="309">
        <f t="shared" si="1675"/>
        <v>22.000718390804597</v>
      </c>
      <c r="DJ228" s="218">
        <f t="shared" si="1755"/>
        <v>154.01436781609189</v>
      </c>
      <c r="DK228" s="242">
        <f t="shared" si="1755"/>
        <v>2</v>
      </c>
      <c r="DL228" s="243">
        <f t="shared" si="1676"/>
        <v>152.01436781609189</v>
      </c>
      <c r="DM228" s="218">
        <f t="shared" si="1677"/>
        <v>0</v>
      </c>
      <c r="DO228" s="303" t="s">
        <v>162</v>
      </c>
      <c r="DP228" s="304" t="s">
        <v>86</v>
      </c>
      <c r="DQ228" s="305" t="s">
        <v>132</v>
      </c>
      <c r="DR228" s="317">
        <f>Konvention_1slave-MUslave</f>
        <v>12</v>
      </c>
      <c r="DS228" s="254"/>
      <c r="DT228" s="254">
        <f t="shared" si="1615"/>
        <v>12</v>
      </c>
      <c r="DU228" s="254">
        <f t="shared" si="1756"/>
        <v>11</v>
      </c>
      <c r="DV228" s="254"/>
      <c r="DW228" s="254"/>
      <c r="DX228" s="254"/>
      <c r="DY228" s="318"/>
      <c r="DZ228" s="223">
        <f t="shared" si="1678"/>
        <v>11.666666666666666</v>
      </c>
      <c r="EA228" s="223">
        <f t="shared" si="1679"/>
        <v>23.333333333333332</v>
      </c>
      <c r="EB228" s="224">
        <f t="shared" si="1680"/>
        <v>35</v>
      </c>
      <c r="EC228" s="237">
        <f t="shared" si="1603"/>
        <v>2432</v>
      </c>
      <c r="ED228" s="254">
        <f>DR228*DT228*CHslave_CH+DR228*INslave*DU228+MUslave*DT228*DU228</f>
        <v>3408</v>
      </c>
      <c r="EE228" s="224">
        <f t="shared" si="1681"/>
        <v>1584</v>
      </c>
      <c r="EF228" s="224">
        <f t="shared" si="1682"/>
        <v>7424</v>
      </c>
      <c r="EG228" s="222">
        <f t="shared" si="1683"/>
        <v>3.8218390804597702</v>
      </c>
      <c r="EH228" s="223">
        <f t="shared" si="1684"/>
        <v>10.711206896551724</v>
      </c>
      <c r="EI228" s="243">
        <f t="shared" si="1685"/>
        <v>7.4676724137931032</v>
      </c>
      <c r="EJ228" s="243">
        <f t="shared" si="1686"/>
        <v>22.000718390804597</v>
      </c>
      <c r="EK228" s="252">
        <f t="shared" si="1604"/>
        <v>0</v>
      </c>
      <c r="EL228" s="309">
        <f t="shared" si="1687"/>
        <v>22.000718390804597</v>
      </c>
      <c r="EM228" s="218">
        <f t="shared" si="1757"/>
        <v>154.01436781609189</v>
      </c>
      <c r="EN228" s="242">
        <f t="shared" si="1757"/>
        <v>2</v>
      </c>
      <c r="EO228" s="243">
        <f t="shared" si="1688"/>
        <v>152.01436781609189</v>
      </c>
      <c r="EP228" s="218">
        <f t="shared" si="1689"/>
        <v>0</v>
      </c>
      <c r="ER228" s="303" t="s">
        <v>162</v>
      </c>
      <c r="ES228" s="304" t="s">
        <v>86</v>
      </c>
      <c r="ET228" s="305" t="s">
        <v>132</v>
      </c>
      <c r="EU228" s="317">
        <f>Konvention_1slave-MUslave</f>
        <v>12</v>
      </c>
      <c r="EV228" s="254"/>
      <c r="EW228" s="254">
        <f t="shared" si="1616"/>
        <v>12</v>
      </c>
      <c r="EX228" s="254">
        <f t="shared" si="1758"/>
        <v>12</v>
      </c>
      <c r="EY228" s="254"/>
      <c r="EZ228" s="254"/>
      <c r="FA228" s="254"/>
      <c r="FB228" s="318"/>
      <c r="FC228" s="223">
        <f t="shared" si="1690"/>
        <v>12</v>
      </c>
      <c r="FD228" s="223">
        <f t="shared" si="1691"/>
        <v>24</v>
      </c>
      <c r="FE228" s="224">
        <f t="shared" si="1692"/>
        <v>36</v>
      </c>
      <c r="FF228" s="237">
        <f t="shared" si="1605"/>
        <v>2304</v>
      </c>
      <c r="FG228" s="254">
        <f>EU228*EW228*CHslave+EU228*INslave*EX228+MUslave*EW228*EX228</f>
        <v>3456</v>
      </c>
      <c r="FH228" s="224">
        <f t="shared" si="1693"/>
        <v>1728</v>
      </c>
      <c r="FI228" s="224">
        <f t="shared" si="1694"/>
        <v>7488</v>
      </c>
      <c r="FJ228" s="222">
        <f t="shared" si="1695"/>
        <v>3.6923076923076925</v>
      </c>
      <c r="FK228" s="223">
        <f t="shared" si="1696"/>
        <v>11.076923076923077</v>
      </c>
      <c r="FL228" s="243">
        <f t="shared" si="1697"/>
        <v>8.3076923076923084</v>
      </c>
      <c r="FM228" s="243">
        <f t="shared" si="1698"/>
        <v>23.07692307692308</v>
      </c>
      <c r="FN228" s="252">
        <f t="shared" si="1606"/>
        <v>0</v>
      </c>
      <c r="FO228" s="309">
        <f t="shared" si="1699"/>
        <v>23.07692307692308</v>
      </c>
      <c r="FP228" s="218">
        <f t="shared" si="1759"/>
        <v>175.5384615384616</v>
      </c>
      <c r="FQ228" s="242">
        <f t="shared" si="1759"/>
        <v>2</v>
      </c>
      <c r="FR228" s="243">
        <f t="shared" si="1700"/>
        <v>173.5384615384616</v>
      </c>
      <c r="FS228" s="218">
        <f t="shared" si="1701"/>
        <v>0</v>
      </c>
      <c r="FU228" s="303" t="s">
        <v>162</v>
      </c>
      <c r="FV228" s="304" t="s">
        <v>86</v>
      </c>
      <c r="FW228" s="305" t="s">
        <v>132</v>
      </c>
      <c r="FX228" s="317">
        <f>Konvention_1slave-MUslave</f>
        <v>12</v>
      </c>
      <c r="FY228" s="254"/>
      <c r="FZ228" s="254">
        <f t="shared" si="1617"/>
        <v>12</v>
      </c>
      <c r="GA228" s="254">
        <f t="shared" si="1760"/>
        <v>12</v>
      </c>
      <c r="GB228" s="254"/>
      <c r="GC228" s="254"/>
      <c r="GD228" s="254"/>
      <c r="GE228" s="318"/>
      <c r="GF228" s="223">
        <f t="shared" si="1702"/>
        <v>12</v>
      </c>
      <c r="GG228" s="223">
        <f t="shared" si="1703"/>
        <v>24</v>
      </c>
      <c r="GH228" s="224">
        <f t="shared" si="1704"/>
        <v>36</v>
      </c>
      <c r="GI228" s="237">
        <f t="shared" si="1607"/>
        <v>2304</v>
      </c>
      <c r="GJ228" s="254">
        <f>FX228*FZ228*CHslave+FX228*INslave*GA228+MUslave*FZ228*GA228</f>
        <v>3456</v>
      </c>
      <c r="GK228" s="224">
        <f t="shared" si="1705"/>
        <v>1728</v>
      </c>
      <c r="GL228" s="224">
        <f t="shared" si="1706"/>
        <v>7488</v>
      </c>
      <c r="GM228" s="222">
        <f t="shared" si="1707"/>
        <v>3.6923076923076925</v>
      </c>
      <c r="GN228" s="223">
        <f t="shared" si="1708"/>
        <v>11.076923076923077</v>
      </c>
      <c r="GO228" s="243">
        <f t="shared" si="1709"/>
        <v>8.3076923076923084</v>
      </c>
      <c r="GP228" s="243">
        <f t="shared" si="1710"/>
        <v>23.07692307692308</v>
      </c>
      <c r="GQ228" s="252">
        <f t="shared" si="1608"/>
        <v>0</v>
      </c>
      <c r="GR228" s="309">
        <f t="shared" si="1711"/>
        <v>23.07692307692308</v>
      </c>
      <c r="GS228" s="218">
        <f t="shared" si="1761"/>
        <v>175.5384615384616</v>
      </c>
      <c r="GT228" s="242">
        <f t="shared" si="1761"/>
        <v>2</v>
      </c>
      <c r="GU228" s="243">
        <f t="shared" si="1712"/>
        <v>173.5384615384616</v>
      </c>
      <c r="GV228" s="218">
        <f t="shared" si="1713"/>
        <v>0</v>
      </c>
      <c r="GX228" s="303" t="s">
        <v>162</v>
      </c>
      <c r="GY228" s="304" t="s">
        <v>86</v>
      </c>
      <c r="GZ228" s="305" t="s">
        <v>132</v>
      </c>
      <c r="HA228" s="317">
        <f>Konvention_1slave-MUslave</f>
        <v>12</v>
      </c>
      <c r="HB228" s="254"/>
      <c r="HC228" s="254">
        <f t="shared" si="1618"/>
        <v>12</v>
      </c>
      <c r="HD228" s="254">
        <f t="shared" si="1762"/>
        <v>12</v>
      </c>
      <c r="HE228" s="254"/>
      <c r="HF228" s="254"/>
      <c r="HG228" s="254"/>
      <c r="HH228" s="318"/>
      <c r="HI228" s="223">
        <f t="shared" si="1714"/>
        <v>12</v>
      </c>
      <c r="HJ228" s="223">
        <f t="shared" si="1715"/>
        <v>24</v>
      </c>
      <c r="HK228" s="224">
        <f t="shared" si="1716"/>
        <v>36</v>
      </c>
      <c r="HL228" s="237">
        <f t="shared" si="1609"/>
        <v>2304</v>
      </c>
      <c r="HM228" s="254">
        <f>HA228*HC228*CHslave+HA228*INslave*HD228+MUslave*HC228*HD228</f>
        <v>3456</v>
      </c>
      <c r="HN228" s="224">
        <f t="shared" si="1717"/>
        <v>1728</v>
      </c>
      <c r="HO228" s="224">
        <f t="shared" si="1718"/>
        <v>7488</v>
      </c>
      <c r="HP228" s="222">
        <f t="shared" si="1719"/>
        <v>3.6923076923076925</v>
      </c>
      <c r="HQ228" s="223">
        <f t="shared" si="1720"/>
        <v>11.076923076923077</v>
      </c>
      <c r="HR228" s="243">
        <f t="shared" si="1721"/>
        <v>8.3076923076923084</v>
      </c>
      <c r="HS228" s="243">
        <f t="shared" si="1722"/>
        <v>23.07692307692308</v>
      </c>
      <c r="HT228" s="252">
        <f t="shared" si="1610"/>
        <v>0</v>
      </c>
      <c r="HU228" s="309">
        <f t="shared" si="1723"/>
        <v>23.07692307692308</v>
      </c>
      <c r="HV228" s="218">
        <f t="shared" si="1763"/>
        <v>175.5384615384616</v>
      </c>
      <c r="HW228" s="242">
        <f t="shared" si="1763"/>
        <v>2</v>
      </c>
      <c r="HX228" s="243">
        <f t="shared" si="1724"/>
        <v>173.5384615384616</v>
      </c>
      <c r="HY228" s="218">
        <f t="shared" si="1725"/>
        <v>0</v>
      </c>
      <c r="IA228" s="303" t="s">
        <v>162</v>
      </c>
      <c r="IB228" s="304" t="s">
        <v>86</v>
      </c>
      <c r="IC228" s="305" t="s">
        <v>132</v>
      </c>
      <c r="ID228" s="317">
        <f>Konvention_1slave-MUslave</f>
        <v>12</v>
      </c>
      <c r="IE228" s="254"/>
      <c r="IF228" s="254">
        <f t="shared" si="1619"/>
        <v>12</v>
      </c>
      <c r="IG228" s="254">
        <f t="shared" si="1764"/>
        <v>12</v>
      </c>
      <c r="IH228" s="254"/>
      <c r="II228" s="254"/>
      <c r="IJ228" s="254"/>
      <c r="IK228" s="318"/>
      <c r="IL228" s="223">
        <f t="shared" si="1726"/>
        <v>12</v>
      </c>
      <c r="IM228" s="223">
        <f t="shared" si="1727"/>
        <v>24</v>
      </c>
      <c r="IN228" s="224">
        <f t="shared" si="1728"/>
        <v>36</v>
      </c>
      <c r="IO228" s="237">
        <f t="shared" si="1611"/>
        <v>2304</v>
      </c>
      <c r="IP228" s="254">
        <f>ID228*IF228*CHslave+ID228*INslave*IG228+MUslave*IF228*IG228</f>
        <v>3456</v>
      </c>
      <c r="IQ228" s="224">
        <f t="shared" si="1729"/>
        <v>1728</v>
      </c>
      <c r="IR228" s="224">
        <f t="shared" si="1730"/>
        <v>7488</v>
      </c>
      <c r="IS228" s="222">
        <f t="shared" si="1731"/>
        <v>3.6923076923076925</v>
      </c>
      <c r="IT228" s="223">
        <f t="shared" si="1732"/>
        <v>11.076923076923077</v>
      </c>
      <c r="IU228" s="243">
        <f t="shared" si="1733"/>
        <v>8.3076923076923084</v>
      </c>
      <c r="IV228" s="243">
        <f t="shared" si="1734"/>
        <v>23.07692307692308</v>
      </c>
      <c r="IW228" s="252">
        <f t="shared" si="1612"/>
        <v>0</v>
      </c>
      <c r="IX228" s="309">
        <f t="shared" si="1735"/>
        <v>23.07692307692308</v>
      </c>
      <c r="IY228" s="218">
        <f t="shared" si="1765"/>
        <v>175.5384615384616</v>
      </c>
      <c r="IZ228" s="242">
        <f t="shared" si="1765"/>
        <v>2</v>
      </c>
      <c r="JA228" s="243">
        <f t="shared" si="1736"/>
        <v>173.5384615384616</v>
      </c>
      <c r="JB228" s="218">
        <f t="shared" si="1737"/>
        <v>0</v>
      </c>
      <c r="JE228" s="148"/>
    </row>
    <row r="229" spans="2:265" ht="15" hidden="1" customHeight="1" outlineLevel="2">
      <c r="B229" s="148">
        <v>17</v>
      </c>
      <c r="C229" s="303" t="e">
        <f>VLOOKUP(AF229,Attribute!C:T,1,FALSE)</f>
        <v>#N/A</v>
      </c>
      <c r="D229" s="86" t="s">
        <v>440</v>
      </c>
      <c r="E229" s="167" t="s">
        <v>132</v>
      </c>
      <c r="F229" s="120"/>
      <c r="G229" s="117">
        <f>Konvention_1master-KLmaster</f>
        <v>12</v>
      </c>
      <c r="H229" s="117"/>
      <c r="I229" s="117">
        <f t="shared" si="1747"/>
        <v>12</v>
      </c>
      <c r="J229" s="117">
        <f>Konvention_1master-FFmaster</f>
        <v>12</v>
      </c>
      <c r="K229" s="117"/>
      <c r="L229" s="117"/>
      <c r="M229" s="121"/>
      <c r="N229" s="223">
        <f t="shared" si="1629"/>
        <v>12</v>
      </c>
      <c r="O229" s="223">
        <f t="shared" si="1630"/>
        <v>24</v>
      </c>
      <c r="P229" s="224">
        <f t="shared" si="1631"/>
        <v>36</v>
      </c>
      <c r="Q229" s="237">
        <f t="shared" si="1632"/>
        <v>2304</v>
      </c>
      <c r="R229" s="117">
        <f>G229*I229*FFmaster+G229*CHmaster*J229+KLmaster*I229*J229</f>
        <v>3456</v>
      </c>
      <c r="S229" s="224">
        <f t="shared" si="1633"/>
        <v>1728</v>
      </c>
      <c r="T229" s="224">
        <f>SUM(Q229:S229)</f>
        <v>7488</v>
      </c>
      <c r="U229" s="222">
        <f t="shared" si="1635"/>
        <v>3.6923076923076925</v>
      </c>
      <c r="V229" s="223">
        <f t="shared" si="1636"/>
        <v>11.076923076923077</v>
      </c>
      <c r="W229" s="243">
        <f t="shared" si="1637"/>
        <v>8.3076923076923084</v>
      </c>
      <c r="X229" s="243">
        <f t="shared" si="1638"/>
        <v>23.07692307692308</v>
      </c>
      <c r="Y229" s="252">
        <v>0</v>
      </c>
      <c r="Z229" s="198">
        <f t="shared" si="1639"/>
        <v>23.07692307692308</v>
      </c>
      <c r="AA229" s="125">
        <f>IF(X229&lt;=0,2,0)+IF(X229&gt;0,X229+1,0)*2+IF(X229&gt;12,X229-12,0)*2+IF(X229&gt;13,X229-13,0)*2+IF(X229&gt;14,X229-14,0)*2+IF(X229&gt;15,X229-15,0)*2+IF(X229&gt;16,X229-16,0)*2+IF(X229&gt;17,X229-17,0)*2+IF(X229&gt;18,X229-18,0)*2+IF(X229&gt;19,X229-19,0)*2+IF(X229&gt;20,X229-20,0)*2</f>
        <v>175.5384615384616</v>
      </c>
      <c r="AB229" s="160">
        <f>IF(Y229&lt;=0,2,0)+IF(Y229&gt;0,Y229+1,0)*2+IF(Y229&gt;12,Y229-12,0)*2+IF(Y229&gt;13,Y229-13,0)*2+IF(Y229&gt;14,Y229-14,0)*2+IF(Y229&gt;15,Y229-15,0)*2+IF(Y229&gt;16,Y229-16,0)*2+IF(Y229&gt;17,Y229-17,0)*2+IF(Y229&gt;18,Y229-18,0)*2+IF(Y229&gt;19,Y229-19,0)*2+IF(Y229&gt;20,Y229-20,0)*2</f>
        <v>2</v>
      </c>
      <c r="AC229" s="127">
        <f t="shared" si="1640"/>
        <v>173.5384615384616</v>
      </c>
      <c r="AD229" s="125">
        <f t="shared" si="1641"/>
        <v>0</v>
      </c>
      <c r="AF229" s="163" t="s">
        <v>387</v>
      </c>
      <c r="AG229" s="86" t="s">
        <v>440</v>
      </c>
      <c r="AH229" s="167" t="s">
        <v>132</v>
      </c>
      <c r="AI229" s="120"/>
      <c r="AJ229" s="117">
        <f>Konvention_1slave-KLslave</f>
        <v>12</v>
      </c>
      <c r="AK229" s="117"/>
      <c r="AL229" s="117">
        <f t="shared" si="1750"/>
        <v>12</v>
      </c>
      <c r="AM229" s="117">
        <f>Konvention_1slave-FFslave</f>
        <v>12</v>
      </c>
      <c r="AN229" s="117"/>
      <c r="AO229" s="117"/>
      <c r="AP229" s="121"/>
      <c r="AQ229" s="47">
        <f t="shared" si="1642"/>
        <v>12</v>
      </c>
      <c r="AR229" s="3">
        <f t="shared" si="1643"/>
        <v>24</v>
      </c>
      <c r="AS229" s="174">
        <f t="shared" si="1644"/>
        <v>36</v>
      </c>
      <c r="AT229" s="114">
        <f t="shared" si="1597"/>
        <v>2304</v>
      </c>
      <c r="AU229" s="117">
        <f>AJ229*AL229*FFslave+AJ229*CHslave*AM229+KLslave*AL229*AM229</f>
        <v>3456</v>
      </c>
      <c r="AV229" s="119">
        <f t="shared" si="1645"/>
        <v>1728</v>
      </c>
      <c r="AW229" s="119">
        <f t="shared" si="1646"/>
        <v>7488</v>
      </c>
      <c r="AX229" s="89">
        <f t="shared" si="1647"/>
        <v>3.6923076923076925</v>
      </c>
      <c r="AY229" s="47">
        <f t="shared" si="1648"/>
        <v>11.076923076923077</v>
      </c>
      <c r="AZ229" s="127">
        <f t="shared" si="1649"/>
        <v>8.3076923076923084</v>
      </c>
      <c r="BA229" s="127">
        <f t="shared" si="1650"/>
        <v>23.07692307692308</v>
      </c>
      <c r="BB229" s="165">
        <f t="shared" si="1598"/>
        <v>0</v>
      </c>
      <c r="BC229" s="198">
        <f t="shared" si="1651"/>
        <v>23.07692307692308</v>
      </c>
      <c r="BD229" s="125">
        <f t="shared" si="1751"/>
        <v>175.5384615384616</v>
      </c>
      <c r="BE229" s="160">
        <f t="shared" si="1751"/>
        <v>2</v>
      </c>
      <c r="BF229" s="243">
        <f t="shared" si="1652"/>
        <v>173.5384615384616</v>
      </c>
      <c r="BG229" s="218">
        <f t="shared" si="1653"/>
        <v>0</v>
      </c>
      <c r="BI229" s="303" t="s">
        <v>387</v>
      </c>
      <c r="BJ229" s="304" t="s">
        <v>440</v>
      </c>
      <c r="BK229" s="305" t="s">
        <v>132</v>
      </c>
      <c r="BL229" s="317"/>
      <c r="BM229" s="254">
        <f>Konvention_1slave-KLslave_KL</f>
        <v>11</v>
      </c>
      <c r="BN229" s="254"/>
      <c r="BO229" s="254">
        <f t="shared" si="1752"/>
        <v>12</v>
      </c>
      <c r="BP229" s="254">
        <f>Konvention_1slave-FFslave</f>
        <v>12</v>
      </c>
      <c r="BQ229" s="254"/>
      <c r="BR229" s="254"/>
      <c r="BS229" s="318"/>
      <c r="BT229" s="223">
        <f t="shared" si="1654"/>
        <v>11.666666666666666</v>
      </c>
      <c r="BU229" s="223">
        <f t="shared" si="1655"/>
        <v>23.333333333333332</v>
      </c>
      <c r="BV229" s="224">
        <f t="shared" si="1656"/>
        <v>35</v>
      </c>
      <c r="BW229" s="237">
        <f t="shared" si="1599"/>
        <v>2432</v>
      </c>
      <c r="BX229" s="254">
        <f>BM229*BO229*FFslave+BM229*CHslave*BP229+KLslave_KL*BO229*BP229</f>
        <v>3408</v>
      </c>
      <c r="BY229" s="224">
        <f t="shared" si="1657"/>
        <v>1584</v>
      </c>
      <c r="BZ229" s="224">
        <f t="shared" si="1658"/>
        <v>7424</v>
      </c>
      <c r="CA229" s="222">
        <f t="shared" si="1659"/>
        <v>3.8218390804597702</v>
      </c>
      <c r="CB229" s="223">
        <f t="shared" si="1660"/>
        <v>10.711206896551724</v>
      </c>
      <c r="CC229" s="243">
        <f t="shared" si="1661"/>
        <v>7.4676724137931032</v>
      </c>
      <c r="CD229" s="243">
        <f t="shared" si="1662"/>
        <v>22.000718390804597</v>
      </c>
      <c r="CE229" s="252">
        <f t="shared" si="1600"/>
        <v>0</v>
      </c>
      <c r="CF229" s="309">
        <f t="shared" si="1663"/>
        <v>22.000718390804597</v>
      </c>
      <c r="CG229" s="218">
        <f t="shared" si="1753"/>
        <v>154.01436781609189</v>
      </c>
      <c r="CH229" s="242">
        <f t="shared" si="1753"/>
        <v>2</v>
      </c>
      <c r="CI229" s="243">
        <f t="shared" si="1664"/>
        <v>152.01436781609189</v>
      </c>
      <c r="CJ229" s="218">
        <f t="shared" si="1665"/>
        <v>0</v>
      </c>
      <c r="CL229" s="303" t="s">
        <v>387</v>
      </c>
      <c r="CM229" s="304" t="s">
        <v>440</v>
      </c>
      <c r="CN229" s="305" t="s">
        <v>132</v>
      </c>
      <c r="CO229" s="317"/>
      <c r="CP229" s="254">
        <f>Konvention_1slave-KLslave</f>
        <v>12</v>
      </c>
      <c r="CQ229" s="254"/>
      <c r="CR229" s="254">
        <f t="shared" si="1754"/>
        <v>12</v>
      </c>
      <c r="CS229" s="254">
        <f>Konvention_1slave-FFslave</f>
        <v>12</v>
      </c>
      <c r="CT229" s="254"/>
      <c r="CU229" s="254"/>
      <c r="CV229" s="318"/>
      <c r="CW229" s="223">
        <f t="shared" si="1666"/>
        <v>12</v>
      </c>
      <c r="CX229" s="223">
        <f t="shared" si="1667"/>
        <v>24</v>
      </c>
      <c r="CY229" s="224">
        <f t="shared" si="1668"/>
        <v>36</v>
      </c>
      <c r="CZ229" s="237">
        <f t="shared" si="1601"/>
        <v>2304</v>
      </c>
      <c r="DA229" s="254">
        <f>CP229*CR229*FFslave+CP229*CHslave*CS229+KLslave*CR229*CS229</f>
        <v>3456</v>
      </c>
      <c r="DB229" s="224">
        <f t="shared" si="1669"/>
        <v>1728</v>
      </c>
      <c r="DC229" s="224">
        <f t="shared" si="1670"/>
        <v>7488</v>
      </c>
      <c r="DD229" s="222">
        <f t="shared" si="1671"/>
        <v>3.6923076923076925</v>
      </c>
      <c r="DE229" s="223">
        <f t="shared" si="1672"/>
        <v>11.076923076923077</v>
      </c>
      <c r="DF229" s="243">
        <f t="shared" si="1673"/>
        <v>8.3076923076923084</v>
      </c>
      <c r="DG229" s="243">
        <f t="shared" si="1674"/>
        <v>23.07692307692308</v>
      </c>
      <c r="DH229" s="252">
        <f t="shared" si="1602"/>
        <v>0</v>
      </c>
      <c r="DI229" s="309">
        <f t="shared" si="1675"/>
        <v>23.07692307692308</v>
      </c>
      <c r="DJ229" s="218">
        <f t="shared" si="1755"/>
        <v>175.5384615384616</v>
      </c>
      <c r="DK229" s="242">
        <f t="shared" si="1755"/>
        <v>2</v>
      </c>
      <c r="DL229" s="243">
        <f t="shared" si="1676"/>
        <v>173.5384615384616</v>
      </c>
      <c r="DM229" s="218">
        <f t="shared" si="1677"/>
        <v>0</v>
      </c>
      <c r="DO229" s="303" t="s">
        <v>387</v>
      </c>
      <c r="DP229" s="304" t="s">
        <v>440</v>
      </c>
      <c r="DQ229" s="305" t="s">
        <v>132</v>
      </c>
      <c r="DR229" s="317"/>
      <c r="DS229" s="254">
        <f>Konvention_1slave-KLslave</f>
        <v>12</v>
      </c>
      <c r="DT229" s="254"/>
      <c r="DU229" s="254">
        <f t="shared" si="1756"/>
        <v>11</v>
      </c>
      <c r="DV229" s="254">
        <f>Konvention_1slave-FFslave</f>
        <v>12</v>
      </c>
      <c r="DW229" s="254"/>
      <c r="DX229" s="254"/>
      <c r="DY229" s="318"/>
      <c r="DZ229" s="223">
        <f t="shared" si="1678"/>
        <v>11.666666666666666</v>
      </c>
      <c r="EA229" s="223">
        <f t="shared" si="1679"/>
        <v>23.333333333333332</v>
      </c>
      <c r="EB229" s="224">
        <f t="shared" si="1680"/>
        <v>35</v>
      </c>
      <c r="EC229" s="237">
        <f t="shared" si="1603"/>
        <v>2432</v>
      </c>
      <c r="ED229" s="254">
        <f>DS229*DU229*FFslave+DS229*CHslave_CH*DV229+KLslave*DU229*DV229</f>
        <v>3408</v>
      </c>
      <c r="EE229" s="224">
        <f t="shared" si="1681"/>
        <v>1584</v>
      </c>
      <c r="EF229" s="224">
        <f t="shared" si="1682"/>
        <v>7424</v>
      </c>
      <c r="EG229" s="222">
        <f t="shared" si="1683"/>
        <v>3.8218390804597702</v>
      </c>
      <c r="EH229" s="223">
        <f t="shared" si="1684"/>
        <v>10.711206896551724</v>
      </c>
      <c r="EI229" s="243">
        <f t="shared" si="1685"/>
        <v>7.4676724137931032</v>
      </c>
      <c r="EJ229" s="243">
        <f t="shared" si="1686"/>
        <v>22.000718390804597</v>
      </c>
      <c r="EK229" s="252">
        <f t="shared" si="1604"/>
        <v>0</v>
      </c>
      <c r="EL229" s="309">
        <f t="shared" si="1687"/>
        <v>22.000718390804597</v>
      </c>
      <c r="EM229" s="218">
        <f t="shared" si="1757"/>
        <v>154.01436781609189</v>
      </c>
      <c r="EN229" s="242">
        <f t="shared" si="1757"/>
        <v>2</v>
      </c>
      <c r="EO229" s="243">
        <f t="shared" si="1688"/>
        <v>152.01436781609189</v>
      </c>
      <c r="EP229" s="218">
        <f t="shared" si="1689"/>
        <v>0</v>
      </c>
      <c r="ER229" s="303" t="s">
        <v>387</v>
      </c>
      <c r="ES229" s="304" t="s">
        <v>440</v>
      </c>
      <c r="ET229" s="305" t="s">
        <v>132</v>
      </c>
      <c r="EU229" s="317"/>
      <c r="EV229" s="254">
        <f>Konvention_1slave-KLslave</f>
        <v>12</v>
      </c>
      <c r="EW229" s="254"/>
      <c r="EX229" s="254">
        <f t="shared" si="1758"/>
        <v>12</v>
      </c>
      <c r="EY229" s="254">
        <f>Konvention_1slave-FFslave_FF</f>
        <v>11</v>
      </c>
      <c r="EZ229" s="254"/>
      <c r="FA229" s="254"/>
      <c r="FB229" s="318"/>
      <c r="FC229" s="223">
        <f t="shared" si="1690"/>
        <v>11.666666666666666</v>
      </c>
      <c r="FD229" s="223">
        <f t="shared" si="1691"/>
        <v>23.333333333333332</v>
      </c>
      <c r="FE229" s="224">
        <f t="shared" si="1692"/>
        <v>35</v>
      </c>
      <c r="FF229" s="237">
        <f t="shared" si="1605"/>
        <v>2432</v>
      </c>
      <c r="FG229" s="254">
        <f>EV229*EX229*FFslave_FF+EV229*CHslave*EY229+KLslave*EX229*EY229</f>
        <v>3408</v>
      </c>
      <c r="FH229" s="224">
        <f t="shared" si="1693"/>
        <v>1584</v>
      </c>
      <c r="FI229" s="224">
        <f t="shared" si="1694"/>
        <v>7424</v>
      </c>
      <c r="FJ229" s="222">
        <f t="shared" si="1695"/>
        <v>3.8218390804597702</v>
      </c>
      <c r="FK229" s="223">
        <f t="shared" si="1696"/>
        <v>10.711206896551724</v>
      </c>
      <c r="FL229" s="243">
        <f t="shared" si="1697"/>
        <v>7.4676724137931032</v>
      </c>
      <c r="FM229" s="243">
        <f t="shared" si="1698"/>
        <v>22.000718390804597</v>
      </c>
      <c r="FN229" s="252">
        <f t="shared" si="1606"/>
        <v>0</v>
      </c>
      <c r="FO229" s="309">
        <f t="shared" si="1699"/>
        <v>22.000718390804597</v>
      </c>
      <c r="FP229" s="218">
        <f t="shared" si="1759"/>
        <v>154.01436781609189</v>
      </c>
      <c r="FQ229" s="242">
        <f t="shared" si="1759"/>
        <v>2</v>
      </c>
      <c r="FR229" s="243">
        <f t="shared" si="1700"/>
        <v>152.01436781609189</v>
      </c>
      <c r="FS229" s="218">
        <f t="shared" si="1701"/>
        <v>0</v>
      </c>
      <c r="FU229" s="303" t="s">
        <v>387</v>
      </c>
      <c r="FV229" s="304" t="s">
        <v>440</v>
      </c>
      <c r="FW229" s="305" t="s">
        <v>132</v>
      </c>
      <c r="FX229" s="317"/>
      <c r="FY229" s="254">
        <f>Konvention_1slave-KLslave</f>
        <v>12</v>
      </c>
      <c r="FZ229" s="254"/>
      <c r="GA229" s="254">
        <f t="shared" si="1760"/>
        <v>12</v>
      </c>
      <c r="GB229" s="254">
        <f>Konvention_1slave-FFslave</f>
        <v>12</v>
      </c>
      <c r="GC229" s="254"/>
      <c r="GD229" s="254"/>
      <c r="GE229" s="318"/>
      <c r="GF229" s="223">
        <f t="shared" si="1702"/>
        <v>12</v>
      </c>
      <c r="GG229" s="223">
        <f t="shared" si="1703"/>
        <v>24</v>
      </c>
      <c r="GH229" s="224">
        <f t="shared" si="1704"/>
        <v>36</v>
      </c>
      <c r="GI229" s="237">
        <f t="shared" si="1607"/>
        <v>2304</v>
      </c>
      <c r="GJ229" s="254">
        <f>FY229*GA229*FFslave+FY229*CHslave*GB229+KLslave*GA229*GB229</f>
        <v>3456</v>
      </c>
      <c r="GK229" s="224">
        <f t="shared" si="1705"/>
        <v>1728</v>
      </c>
      <c r="GL229" s="224">
        <f t="shared" si="1706"/>
        <v>7488</v>
      </c>
      <c r="GM229" s="222">
        <f t="shared" si="1707"/>
        <v>3.6923076923076925</v>
      </c>
      <c r="GN229" s="223">
        <f t="shared" si="1708"/>
        <v>11.076923076923077</v>
      </c>
      <c r="GO229" s="243">
        <f t="shared" si="1709"/>
        <v>8.3076923076923084</v>
      </c>
      <c r="GP229" s="243">
        <f t="shared" si="1710"/>
        <v>23.07692307692308</v>
      </c>
      <c r="GQ229" s="252">
        <f t="shared" si="1608"/>
        <v>0</v>
      </c>
      <c r="GR229" s="309">
        <f t="shared" si="1711"/>
        <v>23.07692307692308</v>
      </c>
      <c r="GS229" s="218">
        <f t="shared" si="1761"/>
        <v>175.5384615384616</v>
      </c>
      <c r="GT229" s="242">
        <f t="shared" si="1761"/>
        <v>2</v>
      </c>
      <c r="GU229" s="243">
        <f t="shared" si="1712"/>
        <v>173.5384615384616</v>
      </c>
      <c r="GV229" s="218">
        <f t="shared" si="1713"/>
        <v>0</v>
      </c>
      <c r="GX229" s="303" t="s">
        <v>387</v>
      </c>
      <c r="GY229" s="304" t="s">
        <v>440</v>
      </c>
      <c r="GZ229" s="305" t="s">
        <v>132</v>
      </c>
      <c r="HA229" s="317"/>
      <c r="HB229" s="254">
        <f>Konvention_1slave-KLslave</f>
        <v>12</v>
      </c>
      <c r="HC229" s="254"/>
      <c r="HD229" s="254">
        <f t="shared" si="1762"/>
        <v>12</v>
      </c>
      <c r="HE229" s="254">
        <f>Konvention_1slave-FFslave</f>
        <v>12</v>
      </c>
      <c r="HF229" s="254"/>
      <c r="HG229" s="254"/>
      <c r="HH229" s="318"/>
      <c r="HI229" s="223">
        <f t="shared" si="1714"/>
        <v>12</v>
      </c>
      <c r="HJ229" s="223">
        <f t="shared" si="1715"/>
        <v>24</v>
      </c>
      <c r="HK229" s="224">
        <f t="shared" si="1716"/>
        <v>36</v>
      </c>
      <c r="HL229" s="237">
        <f t="shared" si="1609"/>
        <v>2304</v>
      </c>
      <c r="HM229" s="254">
        <f>HB229*HD229*FFslave+HB229*CHslave*HE229+KLslave*HD229*HE229</f>
        <v>3456</v>
      </c>
      <c r="HN229" s="224">
        <f t="shared" si="1717"/>
        <v>1728</v>
      </c>
      <c r="HO229" s="224">
        <f t="shared" si="1718"/>
        <v>7488</v>
      </c>
      <c r="HP229" s="222">
        <f t="shared" si="1719"/>
        <v>3.6923076923076925</v>
      </c>
      <c r="HQ229" s="223">
        <f t="shared" si="1720"/>
        <v>11.076923076923077</v>
      </c>
      <c r="HR229" s="243">
        <f t="shared" si="1721"/>
        <v>8.3076923076923084</v>
      </c>
      <c r="HS229" s="243">
        <f t="shared" si="1722"/>
        <v>23.07692307692308</v>
      </c>
      <c r="HT229" s="252">
        <f t="shared" si="1610"/>
        <v>0</v>
      </c>
      <c r="HU229" s="309">
        <f t="shared" si="1723"/>
        <v>23.07692307692308</v>
      </c>
      <c r="HV229" s="218">
        <f t="shared" si="1763"/>
        <v>175.5384615384616</v>
      </c>
      <c r="HW229" s="242">
        <f t="shared" si="1763"/>
        <v>2</v>
      </c>
      <c r="HX229" s="243">
        <f t="shared" si="1724"/>
        <v>173.5384615384616</v>
      </c>
      <c r="HY229" s="218">
        <f t="shared" si="1725"/>
        <v>0</v>
      </c>
      <c r="IA229" s="303" t="s">
        <v>387</v>
      </c>
      <c r="IB229" s="304" t="s">
        <v>440</v>
      </c>
      <c r="IC229" s="305" t="s">
        <v>132</v>
      </c>
      <c r="ID229" s="317"/>
      <c r="IE229" s="254">
        <f>Konvention_1slave-KLslave</f>
        <v>12</v>
      </c>
      <c r="IF229" s="254"/>
      <c r="IG229" s="254">
        <f t="shared" si="1764"/>
        <v>12</v>
      </c>
      <c r="IH229" s="254">
        <f>Konvention_1slave-FFslave</f>
        <v>12</v>
      </c>
      <c r="II229" s="254"/>
      <c r="IJ229" s="254"/>
      <c r="IK229" s="318"/>
      <c r="IL229" s="223">
        <f t="shared" si="1726"/>
        <v>12</v>
      </c>
      <c r="IM229" s="223">
        <f t="shared" si="1727"/>
        <v>24</v>
      </c>
      <c r="IN229" s="224">
        <f t="shared" si="1728"/>
        <v>36</v>
      </c>
      <c r="IO229" s="237">
        <f t="shared" si="1611"/>
        <v>2304</v>
      </c>
      <c r="IP229" s="254">
        <f>IE229*IG229*FFslave+IE229*CHslave*IH229+KLslave*IG229*IH229</f>
        <v>3456</v>
      </c>
      <c r="IQ229" s="224">
        <f t="shared" si="1729"/>
        <v>1728</v>
      </c>
      <c r="IR229" s="224">
        <f t="shared" si="1730"/>
        <v>7488</v>
      </c>
      <c r="IS229" s="222">
        <f t="shared" si="1731"/>
        <v>3.6923076923076925</v>
      </c>
      <c r="IT229" s="223">
        <f t="shared" si="1732"/>
        <v>11.076923076923077</v>
      </c>
      <c r="IU229" s="243">
        <f t="shared" si="1733"/>
        <v>8.3076923076923084</v>
      </c>
      <c r="IV229" s="243">
        <f t="shared" si="1734"/>
        <v>23.07692307692308</v>
      </c>
      <c r="IW229" s="252">
        <f t="shared" si="1612"/>
        <v>0</v>
      </c>
      <c r="IX229" s="309">
        <f t="shared" si="1735"/>
        <v>23.07692307692308</v>
      </c>
      <c r="IY229" s="218">
        <f t="shared" si="1765"/>
        <v>175.5384615384616</v>
      </c>
      <c r="IZ229" s="242">
        <f t="shared" si="1765"/>
        <v>2</v>
      </c>
      <c r="JA229" s="243">
        <f t="shared" si="1736"/>
        <v>173.5384615384616</v>
      </c>
      <c r="JB229" s="218">
        <f t="shared" si="1737"/>
        <v>0</v>
      </c>
      <c r="JE229" s="148"/>
    </row>
    <row r="230" spans="2:265" hidden="1" outlineLevel="2">
      <c r="B230" s="148">
        <v>18</v>
      </c>
      <c r="C230" s="303" t="e">
        <f>VLOOKUP(AF230,Attribute!C:T,1,FALSE)</f>
        <v>#N/A</v>
      </c>
      <c r="D230" s="86" t="s">
        <v>87</v>
      </c>
      <c r="E230" s="167" t="s">
        <v>132</v>
      </c>
      <c r="F230" s="120"/>
      <c r="G230" s="117">
        <f>Konvention_1master-KLmaster</f>
        <v>12</v>
      </c>
      <c r="H230" s="117">
        <f>Konvention_1master-INmaster</f>
        <v>12</v>
      </c>
      <c r="I230" s="117">
        <f t="shared" si="1747"/>
        <v>12</v>
      </c>
      <c r="J230" s="117"/>
      <c r="K230" s="117"/>
      <c r="L230" s="117"/>
      <c r="M230" s="121"/>
      <c r="N230" s="223">
        <f>(F230+G230+H230+I230+J230+K230+L230+M230)/3</f>
        <v>12</v>
      </c>
      <c r="O230" s="223">
        <f>2*N230</f>
        <v>24</v>
      </c>
      <c r="P230" s="224">
        <f>3*N230</f>
        <v>36</v>
      </c>
      <c r="Q230" s="237">
        <f>F230*POWER(KLmaster,SIGN(G230))*POWER(INmaster,SIGN(H230))*POWER(CHmaster,SIGN(I230))*POWER(FFmaster,SIGN(J230))*POWER(GEmaster,SIGN(K230))*POWER(KOmaster,SIGN(L230))*POWER(KKmaster,SIGN(M230))+G230*POWER(MUmaster,SIGN(F230))*POWER(INmaster,SIGN(H230))*POWER(CHmaster,SIGN(I230))*POWER(FFmaster,SIGN(J230))*POWER(GEmaster,SIGN(K230))*POWER(KOmaster,SIGN(L230))*POWER(KKmaster,SIGN(M230))+H230*POWER(MUmaster,SIGN(F230))*POWER(KLmaster,SIGN(G230))*POWER(CHmaster,SIGN(I230))*POWER(FFmaster,SIGN(J230))*POWER(GEmaster,SIGN(K230))*POWER(KOmaster,SIGN(L230))*POWER(KKmaster,SIGN(M230))+I230*POWER(MUmaster,SIGN(F230))*POWER(KLmaster,SIGN(G230))*POWER(INmaster,SIGN(H230))*POWER(FFmaster,SIGN(J230))*POWER(GEmaster,SIGN(K230))*POWER(KOmaster,SIGN(L230))*POWER(KKmaster,SIGN(M230))+J230*POWER(MUmaster,SIGN(F230))*POWER(KLmaster,SIGN(G230))*POWER(INmaster,SIGN(H230))*POWER(CHmaster,SIGN(I230))*POWER(GEmaster,SIGN(K230))*POWER(KOmaster,SIGN(L230))*POWER(KKmaster,SIGN(M230))+K230*POWER(MUmaster,SIGN(F230))*POWER(KLmaster,SIGN(G230))*POWER(INmaster,SIGN(H230))*POWER(CHmaster,SIGN(I230))*POWER(FFmaster,SIGN(J230))*POWER(KOmaster,SIGN(L230))*POWER(KKmaster,SIGN(M230))+L230*POWER(MUmaster,SIGN(F230))*POWER(KLmaster,SIGN(G230))*POWER(INmaster,SIGN(H230))*POWER(CHmaster,SIGN(I230))*POWER(FFmaster,SIGN(J230))*POWER(GEmaster,SIGN(K230))*POWER(KKmaster,SIGN(M230))+M230*POWER(MUmaster,SIGN(F230))*POWER(KLmaster,SIGN(G230))*POWER(INmaster,SIGN(H230))*POWER(CHmaster,SIGN(I230))*POWER(FFmaster,SIGN(J230))*POWER(GEmaster,SIGN(K230))*POWER(KOmaster,SIGN(L230))</f>
        <v>2304</v>
      </c>
      <c r="R230" s="117">
        <f>G230*H230*CHmaster+G230*INmaster*I230+KLmaster*H230*I230</f>
        <v>3456</v>
      </c>
      <c r="S230" s="224">
        <f>IFERROR(F230^SIGN(F230),1)*IFERROR(G230^SIGN(G230),1)*IFERROR(H230^SIGN(H230),1)*IFERROR(I230^SIGN(I230),1)*IFERROR(J230^SIGN(J230),1)*IFERROR(K230^SIGN(K230),1)*IFERROR(L230^SIGN(L230),1)*IFERROR(M230^SIGN(M230),1)</f>
        <v>1728</v>
      </c>
      <c r="T230" s="224">
        <f>SUM(Q230:S230)</f>
        <v>7488</v>
      </c>
      <c r="U230" s="222">
        <f>N230*Q230/T230</f>
        <v>3.6923076923076925</v>
      </c>
      <c r="V230" s="223">
        <f>O230*R230/T230</f>
        <v>11.076923076923077</v>
      </c>
      <c r="W230" s="243">
        <f>P230*S230/T230</f>
        <v>8.3076923076923084</v>
      </c>
      <c r="X230" s="243">
        <f>SUM(U230:W230)</f>
        <v>23.07692307692308</v>
      </c>
      <c r="Y230" s="252">
        <v>0</v>
      </c>
      <c r="Z230" s="198">
        <f>X230-Y230</f>
        <v>23.07692307692308</v>
      </c>
      <c r="AA230" s="125">
        <f>IF(X230&lt;=0,2,0)+IF(X230&gt;0,X230+1,0)*2+IF(X230&gt;12,X230-12,0)*2+IF(X230&gt;13,X230-13,0)*2+IF(X230&gt;14,X230-14,0)*2+IF(X230&gt;15,X230-15,0)*2+IF(X230&gt;16,X230-16,0)*2+IF(X230&gt;17,X230-17,0)*2+IF(X230&gt;18,X230-18,0)*2+IF(X230&gt;19,X230-19,0)*2+IF(X230&gt;20,X230-20,0)*2</f>
        <v>175.5384615384616</v>
      </c>
      <c r="AB230" s="160">
        <f>IF(Y230&lt;=0,2,0)+IF(Y230&gt;0,Y230+1,0)*2+IF(Y230&gt;12,Y230-12,0)*2+IF(Y230&gt;13,Y230-13,0)*2+IF(Y230&gt;14,Y230-14,0)*2+IF(Y230&gt;15,Y230-15,0)*2+IF(Y230&gt;16,Y230-16,0)*2+IF(Y230&gt;17,Y230-17,0)*2+IF(Y230&gt;18,Y230-18,0)*2+IF(Y230&gt;19,Y230-19,0)*2+IF(Y230&gt;20,Y230-20,0)*2</f>
        <v>2</v>
      </c>
      <c r="AC230" s="127">
        <f>IF((AA230-AB230)&gt;0,AA230-AB230,0)</f>
        <v>173.5384615384616</v>
      </c>
      <c r="AD230" s="125">
        <f>IF((AB230-AA230)&gt;0,AB230-AA230,0)</f>
        <v>0</v>
      </c>
      <c r="AF230" s="163" t="s">
        <v>360</v>
      </c>
      <c r="AG230" s="86" t="s">
        <v>87</v>
      </c>
      <c r="AH230" s="167" t="s">
        <v>132</v>
      </c>
      <c r="AI230" s="120"/>
      <c r="AJ230" s="117">
        <f>Konvention_1slave-KLslave</f>
        <v>12</v>
      </c>
      <c r="AK230" s="117">
        <f>Konvention_1slave-INslave</f>
        <v>12</v>
      </c>
      <c r="AL230" s="117">
        <f t="shared" si="1750"/>
        <v>12</v>
      </c>
      <c r="AM230" s="117"/>
      <c r="AN230" s="117"/>
      <c r="AO230" s="117"/>
      <c r="AP230" s="121"/>
      <c r="AQ230" s="47">
        <f>(AI230+AJ230+AK230+AL230+AM230+AN230+AO230+AP230)/3</f>
        <v>12</v>
      </c>
      <c r="AR230" s="3">
        <f>2*AQ230</f>
        <v>24</v>
      </c>
      <c r="AS230" s="174">
        <f>3*AQ230</f>
        <v>36</v>
      </c>
      <c r="AT230" s="114">
        <f t="shared" si="1597"/>
        <v>2304</v>
      </c>
      <c r="AU230" s="117">
        <f>AJ230*AK230*CHslave+AJ230*INslave*AL230+KLslave*AK230*AL230</f>
        <v>3456</v>
      </c>
      <c r="AV230" s="119">
        <f>IFERROR(AI230^SIGN(AI230),1)*IFERROR(AJ230^SIGN(AJ230),1)*IFERROR(AK230^SIGN(AK230),1)*IFERROR(AL230^SIGN(AL230),1)*IFERROR(AM230^SIGN(AM230),1)*IFERROR(AN230^SIGN(AN230),1)*IFERROR(AO230^SIGN(AO230),1)*IFERROR(AP230^SIGN(AP230),1)</f>
        <v>1728</v>
      </c>
      <c r="AW230" s="119">
        <f>SUM(AT230:AV230)</f>
        <v>7488</v>
      </c>
      <c r="AX230" s="89">
        <f>AQ230*AT230/AW230</f>
        <v>3.6923076923076925</v>
      </c>
      <c r="AY230" s="47">
        <f>AR230*AU230/AW230</f>
        <v>11.076923076923077</v>
      </c>
      <c r="AZ230" s="127">
        <f>AS230*AV230/AW230</f>
        <v>8.3076923076923084</v>
      </c>
      <c r="BA230" s="127">
        <f>SUM(AX230:AZ230)</f>
        <v>23.07692307692308</v>
      </c>
      <c r="BB230" s="165">
        <f t="shared" si="1598"/>
        <v>0</v>
      </c>
      <c r="BC230" s="198">
        <f>BA230-BB230</f>
        <v>23.07692307692308</v>
      </c>
      <c r="BD230" s="125">
        <f t="shared" si="1751"/>
        <v>175.5384615384616</v>
      </c>
      <c r="BE230" s="160">
        <f t="shared" si="1751"/>
        <v>2</v>
      </c>
      <c r="BF230" s="243">
        <f>IF((BD230-BE230)&gt;0,BD230-BE230,0)</f>
        <v>173.5384615384616</v>
      </c>
      <c r="BG230" s="218">
        <f>IF((BE230-BD230)&gt;0,BE230-BD230,0)</f>
        <v>0</v>
      </c>
      <c r="BI230" s="303" t="s">
        <v>360</v>
      </c>
      <c r="BJ230" s="304" t="s">
        <v>87</v>
      </c>
      <c r="BK230" s="305" t="s">
        <v>132</v>
      </c>
      <c r="BL230" s="317"/>
      <c r="BM230" s="254">
        <f>Konvention_1slave-KLslave_KL</f>
        <v>11</v>
      </c>
      <c r="BN230" s="254">
        <f>Konvention_1slave-INslave</f>
        <v>12</v>
      </c>
      <c r="BO230" s="254">
        <f t="shared" si="1752"/>
        <v>12</v>
      </c>
      <c r="BP230" s="254"/>
      <c r="BQ230" s="254"/>
      <c r="BR230" s="254"/>
      <c r="BS230" s="318"/>
      <c r="BT230" s="223">
        <f>(BL230+BM230+BN230+BO230+BP230+BQ230+BR230+BS230)/3</f>
        <v>11.666666666666666</v>
      </c>
      <c r="BU230" s="223">
        <f>2*BT230</f>
        <v>23.333333333333332</v>
      </c>
      <c r="BV230" s="224">
        <f>3*BT230</f>
        <v>35</v>
      </c>
      <c r="BW230" s="237">
        <f t="shared" si="1599"/>
        <v>2432</v>
      </c>
      <c r="BX230" s="254">
        <f>BM230*BN230*CHslave+BM230*INslave*BO230+KLslave_KL*BN230*BO230</f>
        <v>3408</v>
      </c>
      <c r="BY230" s="224">
        <f>IFERROR(BL230^SIGN(BL230),1)*IFERROR(BM230^SIGN(BM230),1)*IFERROR(BN230^SIGN(BN230),1)*IFERROR(BO230^SIGN(BO230),1)*IFERROR(BP230^SIGN(BP230),1)*IFERROR(BQ230^SIGN(BQ230),1)*IFERROR(BR230^SIGN(BR230),1)*IFERROR(BS230^SIGN(BS230),1)</f>
        <v>1584</v>
      </c>
      <c r="BZ230" s="224">
        <f>SUM(BW230:BY230)</f>
        <v>7424</v>
      </c>
      <c r="CA230" s="222">
        <f>BT230*BW230/BZ230</f>
        <v>3.8218390804597702</v>
      </c>
      <c r="CB230" s="223">
        <f>BU230*BX230/BZ230</f>
        <v>10.711206896551724</v>
      </c>
      <c r="CC230" s="243">
        <f>BV230*BY230/BZ230</f>
        <v>7.4676724137931032</v>
      </c>
      <c r="CD230" s="243">
        <f>SUM(CA230:CC230)</f>
        <v>22.000718390804597</v>
      </c>
      <c r="CE230" s="252">
        <f t="shared" si="1600"/>
        <v>0</v>
      </c>
      <c r="CF230" s="309">
        <f>CD230-CE230</f>
        <v>22.000718390804597</v>
      </c>
      <c r="CG230" s="218">
        <f t="shared" si="1753"/>
        <v>154.01436781609189</v>
      </c>
      <c r="CH230" s="242">
        <f t="shared" si="1753"/>
        <v>2</v>
      </c>
      <c r="CI230" s="243">
        <f>IF((CG230-CH230)&gt;0,CG230-CH230,0)</f>
        <v>152.01436781609189</v>
      </c>
      <c r="CJ230" s="218">
        <f>IF((CH230-CG230)&gt;0,CH230-CG230,0)</f>
        <v>0</v>
      </c>
      <c r="CL230" s="303" t="s">
        <v>360</v>
      </c>
      <c r="CM230" s="304" t="s">
        <v>87</v>
      </c>
      <c r="CN230" s="305" t="s">
        <v>132</v>
      </c>
      <c r="CO230" s="317"/>
      <c r="CP230" s="254">
        <f>Konvention_1slave-KLslave</f>
        <v>12</v>
      </c>
      <c r="CQ230" s="254">
        <f>Konvention_1slave-INslave_IN</f>
        <v>11</v>
      </c>
      <c r="CR230" s="254">
        <f t="shared" si="1754"/>
        <v>12</v>
      </c>
      <c r="CS230" s="254"/>
      <c r="CT230" s="254"/>
      <c r="CU230" s="254"/>
      <c r="CV230" s="318"/>
      <c r="CW230" s="223">
        <f>(CO230+CP230+CQ230+CR230+CS230+CT230+CU230+CV230)/3</f>
        <v>11.666666666666666</v>
      </c>
      <c r="CX230" s="223">
        <f>2*CW230</f>
        <v>23.333333333333332</v>
      </c>
      <c r="CY230" s="224">
        <f>3*CW230</f>
        <v>35</v>
      </c>
      <c r="CZ230" s="237">
        <f t="shared" si="1601"/>
        <v>2432</v>
      </c>
      <c r="DA230" s="254">
        <f>CP230*CQ230*CHslave+CP230*INslave_IN*CR230+KLslave*CQ230*CR230</f>
        <v>3408</v>
      </c>
      <c r="DB230" s="224">
        <f>IFERROR(CO230^SIGN(CO230),1)*IFERROR(CP230^SIGN(CP230),1)*IFERROR(CQ230^SIGN(CQ230),1)*IFERROR(CR230^SIGN(CR230),1)*IFERROR(CS230^SIGN(CS230),1)*IFERROR(CT230^SIGN(CT230),1)*IFERROR(CU230^SIGN(CU230),1)*IFERROR(CV230^SIGN(CV230),1)</f>
        <v>1584</v>
      </c>
      <c r="DC230" s="224">
        <f>SUM(CZ230:DB230)</f>
        <v>7424</v>
      </c>
      <c r="DD230" s="222">
        <f>CW230*CZ230/DC230</f>
        <v>3.8218390804597702</v>
      </c>
      <c r="DE230" s="223">
        <f>CX230*DA230/DC230</f>
        <v>10.711206896551724</v>
      </c>
      <c r="DF230" s="243">
        <f>CY230*DB230/DC230</f>
        <v>7.4676724137931032</v>
      </c>
      <c r="DG230" s="243">
        <f>SUM(DD230:DF230)</f>
        <v>22.000718390804597</v>
      </c>
      <c r="DH230" s="252">
        <f t="shared" si="1602"/>
        <v>0</v>
      </c>
      <c r="DI230" s="309">
        <f>DG230-DH230</f>
        <v>22.000718390804597</v>
      </c>
      <c r="DJ230" s="218">
        <f t="shared" si="1755"/>
        <v>154.01436781609189</v>
      </c>
      <c r="DK230" s="242">
        <f t="shared" si="1755"/>
        <v>2</v>
      </c>
      <c r="DL230" s="243">
        <f>IF((DJ230-DK230)&gt;0,DJ230-DK230,0)</f>
        <v>152.01436781609189</v>
      </c>
      <c r="DM230" s="218">
        <f>IF((DK230-DJ230)&gt;0,DK230-DJ230,0)</f>
        <v>0</v>
      </c>
      <c r="DO230" s="303" t="s">
        <v>360</v>
      </c>
      <c r="DP230" s="304" t="s">
        <v>87</v>
      </c>
      <c r="DQ230" s="305" t="s">
        <v>132</v>
      </c>
      <c r="DR230" s="317"/>
      <c r="DS230" s="254">
        <f>Konvention_1slave-KLslave</f>
        <v>12</v>
      </c>
      <c r="DT230" s="254">
        <f>Konvention_1slave-INslave</f>
        <v>12</v>
      </c>
      <c r="DU230" s="254">
        <f t="shared" si="1756"/>
        <v>11</v>
      </c>
      <c r="DV230" s="254"/>
      <c r="DW230" s="254"/>
      <c r="DX230" s="254"/>
      <c r="DY230" s="318"/>
      <c r="DZ230" s="223">
        <f>(DR230+DS230+DT230+DU230+DV230+DW230+DX230+DY230)/3</f>
        <v>11.666666666666666</v>
      </c>
      <c r="EA230" s="223">
        <f>2*DZ230</f>
        <v>23.333333333333332</v>
      </c>
      <c r="EB230" s="224">
        <f>3*DZ230</f>
        <v>35</v>
      </c>
      <c r="EC230" s="237">
        <f t="shared" si="1603"/>
        <v>2432</v>
      </c>
      <c r="ED230" s="254">
        <f>DS230*DT230*CHslave_CH+DS230*INslave*DU230+KLslave*DT230*DU230</f>
        <v>3408</v>
      </c>
      <c r="EE230" s="224">
        <f>IFERROR(DR230^SIGN(DR230),1)*IFERROR(DS230^SIGN(DS230),1)*IFERROR(DT230^SIGN(DT230),1)*IFERROR(DU230^SIGN(DU230),1)*IFERROR(DV230^SIGN(DV230),1)*IFERROR(DW230^SIGN(DW230),1)*IFERROR(DX230^SIGN(DX230),1)*IFERROR(DY230^SIGN(DY230),1)</f>
        <v>1584</v>
      </c>
      <c r="EF230" s="224">
        <f>SUM(EC230:EE230)</f>
        <v>7424</v>
      </c>
      <c r="EG230" s="222">
        <f>DZ230*EC230/EF230</f>
        <v>3.8218390804597702</v>
      </c>
      <c r="EH230" s="223">
        <f>EA230*ED230/EF230</f>
        <v>10.711206896551724</v>
      </c>
      <c r="EI230" s="243">
        <f>EB230*EE230/EF230</f>
        <v>7.4676724137931032</v>
      </c>
      <c r="EJ230" s="243">
        <f>SUM(EG230:EI230)</f>
        <v>22.000718390804597</v>
      </c>
      <c r="EK230" s="252">
        <f t="shared" si="1604"/>
        <v>0</v>
      </c>
      <c r="EL230" s="309">
        <f>EJ230-EK230</f>
        <v>22.000718390804597</v>
      </c>
      <c r="EM230" s="218">
        <f t="shared" si="1757"/>
        <v>154.01436781609189</v>
      </c>
      <c r="EN230" s="242">
        <f t="shared" si="1757"/>
        <v>2</v>
      </c>
      <c r="EO230" s="243">
        <f>IF((EM230-EN230)&gt;0,EM230-EN230,0)</f>
        <v>152.01436781609189</v>
      </c>
      <c r="EP230" s="218">
        <f>IF((EN230-EM230)&gt;0,EN230-EM230,0)</f>
        <v>0</v>
      </c>
      <c r="ER230" s="303" t="s">
        <v>360</v>
      </c>
      <c r="ES230" s="304" t="s">
        <v>87</v>
      </c>
      <c r="ET230" s="305" t="s">
        <v>132</v>
      </c>
      <c r="EU230" s="317"/>
      <c r="EV230" s="254">
        <f>Konvention_1slave-KLslave</f>
        <v>12</v>
      </c>
      <c r="EW230" s="254">
        <f>Konvention_1slave-INslave</f>
        <v>12</v>
      </c>
      <c r="EX230" s="254">
        <f t="shared" si="1758"/>
        <v>12</v>
      </c>
      <c r="EY230" s="254"/>
      <c r="EZ230" s="254"/>
      <c r="FA230" s="254"/>
      <c r="FB230" s="318"/>
      <c r="FC230" s="223">
        <f>(EU230+EV230+EW230+EX230+EY230+EZ230+FA230+FB230)/3</f>
        <v>12</v>
      </c>
      <c r="FD230" s="223">
        <f>2*FC230</f>
        <v>24</v>
      </c>
      <c r="FE230" s="224">
        <f>3*FC230</f>
        <v>36</v>
      </c>
      <c r="FF230" s="237">
        <f t="shared" si="1605"/>
        <v>2304</v>
      </c>
      <c r="FG230" s="254">
        <f>EV230*EW230*CHslave+EV230*INslave*EX230+KLslave*EW230*EX230</f>
        <v>3456</v>
      </c>
      <c r="FH230" s="224">
        <f>IFERROR(EU230^SIGN(EU230),1)*IFERROR(EV230^SIGN(EV230),1)*IFERROR(EW230^SIGN(EW230),1)*IFERROR(EX230^SIGN(EX230),1)*IFERROR(EY230^SIGN(EY230),1)*IFERROR(EZ230^SIGN(EZ230),1)*IFERROR(FA230^SIGN(FA230),1)*IFERROR(FB230^SIGN(FB230),1)</f>
        <v>1728</v>
      </c>
      <c r="FI230" s="224">
        <f>SUM(FF230:FH230)</f>
        <v>7488</v>
      </c>
      <c r="FJ230" s="222">
        <f>FC230*FF230/FI230</f>
        <v>3.6923076923076925</v>
      </c>
      <c r="FK230" s="223">
        <f>FD230*FG230/FI230</f>
        <v>11.076923076923077</v>
      </c>
      <c r="FL230" s="243">
        <f>FE230*FH230/FI230</f>
        <v>8.3076923076923084</v>
      </c>
      <c r="FM230" s="243">
        <f>SUM(FJ230:FL230)</f>
        <v>23.07692307692308</v>
      </c>
      <c r="FN230" s="252">
        <f t="shared" si="1606"/>
        <v>0</v>
      </c>
      <c r="FO230" s="309">
        <f>FM230-FN230</f>
        <v>23.07692307692308</v>
      </c>
      <c r="FP230" s="218">
        <f t="shared" si="1759"/>
        <v>175.5384615384616</v>
      </c>
      <c r="FQ230" s="242">
        <f t="shared" si="1759"/>
        <v>2</v>
      </c>
      <c r="FR230" s="243">
        <f>IF((FP230-FQ230)&gt;0,FP230-FQ230,0)</f>
        <v>173.5384615384616</v>
      </c>
      <c r="FS230" s="218">
        <f>IF((FQ230-FP230)&gt;0,FQ230-FP230,0)</f>
        <v>0</v>
      </c>
      <c r="FU230" s="303" t="s">
        <v>360</v>
      </c>
      <c r="FV230" s="304" t="s">
        <v>87</v>
      </c>
      <c r="FW230" s="305" t="s">
        <v>132</v>
      </c>
      <c r="FX230" s="317"/>
      <c r="FY230" s="254">
        <f>Konvention_1slave-KLslave</f>
        <v>12</v>
      </c>
      <c r="FZ230" s="254">
        <f>Konvention_1slave-INslave</f>
        <v>12</v>
      </c>
      <c r="GA230" s="254">
        <f t="shared" si="1760"/>
        <v>12</v>
      </c>
      <c r="GB230" s="254"/>
      <c r="GC230" s="254"/>
      <c r="GD230" s="254"/>
      <c r="GE230" s="318"/>
      <c r="GF230" s="223">
        <f>(FX230+FY230+FZ230+GA230+GB230+GC230+GD230+GE230)/3</f>
        <v>12</v>
      </c>
      <c r="GG230" s="223">
        <f>2*GF230</f>
        <v>24</v>
      </c>
      <c r="GH230" s="224">
        <f>3*GF230</f>
        <v>36</v>
      </c>
      <c r="GI230" s="237">
        <f t="shared" si="1607"/>
        <v>2304</v>
      </c>
      <c r="GJ230" s="254">
        <f>FY230*FZ230*CHslave+FY230*INslave*GA230+KLslave*FZ230*GA230</f>
        <v>3456</v>
      </c>
      <c r="GK230" s="224">
        <f>IFERROR(FX230^SIGN(FX230),1)*IFERROR(FY230^SIGN(FY230),1)*IFERROR(FZ230^SIGN(FZ230),1)*IFERROR(GA230^SIGN(GA230),1)*IFERROR(GB230^SIGN(GB230),1)*IFERROR(GC230^SIGN(GC230),1)*IFERROR(GD230^SIGN(GD230),1)*IFERROR(GE230^SIGN(GE230),1)</f>
        <v>1728</v>
      </c>
      <c r="GL230" s="224">
        <f>SUM(GI230:GK230)</f>
        <v>7488</v>
      </c>
      <c r="GM230" s="222">
        <f>GF230*GI230/GL230</f>
        <v>3.6923076923076925</v>
      </c>
      <c r="GN230" s="223">
        <f>GG230*GJ230/GL230</f>
        <v>11.076923076923077</v>
      </c>
      <c r="GO230" s="243">
        <f>GH230*GK230/GL230</f>
        <v>8.3076923076923084</v>
      </c>
      <c r="GP230" s="243">
        <f>SUM(GM230:GO230)</f>
        <v>23.07692307692308</v>
      </c>
      <c r="GQ230" s="252">
        <f t="shared" si="1608"/>
        <v>0</v>
      </c>
      <c r="GR230" s="309">
        <f>GP230-GQ230</f>
        <v>23.07692307692308</v>
      </c>
      <c r="GS230" s="218">
        <f t="shared" si="1761"/>
        <v>175.5384615384616</v>
      </c>
      <c r="GT230" s="242">
        <f t="shared" si="1761"/>
        <v>2</v>
      </c>
      <c r="GU230" s="243">
        <f>IF((GS230-GT230)&gt;0,GS230-GT230,0)</f>
        <v>173.5384615384616</v>
      </c>
      <c r="GV230" s="218">
        <f>IF((GT230-GS230)&gt;0,GT230-GS230,0)</f>
        <v>0</v>
      </c>
      <c r="GX230" s="303" t="s">
        <v>360</v>
      </c>
      <c r="GY230" s="304" t="s">
        <v>87</v>
      </c>
      <c r="GZ230" s="305" t="s">
        <v>132</v>
      </c>
      <c r="HA230" s="317"/>
      <c r="HB230" s="254">
        <f>Konvention_1slave-KLslave</f>
        <v>12</v>
      </c>
      <c r="HC230" s="254">
        <f>Konvention_1slave-INslave</f>
        <v>12</v>
      </c>
      <c r="HD230" s="254">
        <f t="shared" si="1762"/>
        <v>12</v>
      </c>
      <c r="HE230" s="254"/>
      <c r="HF230" s="254"/>
      <c r="HG230" s="254"/>
      <c r="HH230" s="318"/>
      <c r="HI230" s="223">
        <f>(HA230+HB230+HC230+HD230+HE230+HF230+HG230+HH230)/3</f>
        <v>12</v>
      </c>
      <c r="HJ230" s="223">
        <f>2*HI230</f>
        <v>24</v>
      </c>
      <c r="HK230" s="224">
        <f>3*HI230</f>
        <v>36</v>
      </c>
      <c r="HL230" s="237">
        <f t="shared" si="1609"/>
        <v>2304</v>
      </c>
      <c r="HM230" s="254">
        <f>HB230*HC230*CHslave+HB230*INslave*HD230+KLslave*HC230*HD230</f>
        <v>3456</v>
      </c>
      <c r="HN230" s="224">
        <f>IFERROR(HA230^SIGN(HA230),1)*IFERROR(HB230^SIGN(HB230),1)*IFERROR(HC230^SIGN(HC230),1)*IFERROR(HD230^SIGN(HD230),1)*IFERROR(HE230^SIGN(HE230),1)*IFERROR(HF230^SIGN(HF230),1)*IFERROR(HG230^SIGN(HG230),1)*IFERROR(HH230^SIGN(HH230),1)</f>
        <v>1728</v>
      </c>
      <c r="HO230" s="224">
        <f>SUM(HL230:HN230)</f>
        <v>7488</v>
      </c>
      <c r="HP230" s="222">
        <f>HI230*HL230/HO230</f>
        <v>3.6923076923076925</v>
      </c>
      <c r="HQ230" s="223">
        <f>HJ230*HM230/HO230</f>
        <v>11.076923076923077</v>
      </c>
      <c r="HR230" s="243">
        <f>HK230*HN230/HO230</f>
        <v>8.3076923076923084</v>
      </c>
      <c r="HS230" s="243">
        <f>SUM(HP230:HR230)</f>
        <v>23.07692307692308</v>
      </c>
      <c r="HT230" s="252">
        <f t="shared" si="1610"/>
        <v>0</v>
      </c>
      <c r="HU230" s="309">
        <f>HS230-HT230</f>
        <v>23.07692307692308</v>
      </c>
      <c r="HV230" s="218">
        <f t="shared" si="1763"/>
        <v>175.5384615384616</v>
      </c>
      <c r="HW230" s="242">
        <f t="shared" si="1763"/>
        <v>2</v>
      </c>
      <c r="HX230" s="243">
        <f>IF((HV230-HW230)&gt;0,HV230-HW230,0)</f>
        <v>173.5384615384616</v>
      </c>
      <c r="HY230" s="218">
        <f>IF((HW230-HV230)&gt;0,HW230-HV230,0)</f>
        <v>0</v>
      </c>
      <c r="IA230" s="303" t="s">
        <v>360</v>
      </c>
      <c r="IB230" s="304" t="s">
        <v>87</v>
      </c>
      <c r="IC230" s="305" t="s">
        <v>132</v>
      </c>
      <c r="ID230" s="317"/>
      <c r="IE230" s="254">
        <f>Konvention_1slave-KLslave</f>
        <v>12</v>
      </c>
      <c r="IF230" s="254">
        <f>Konvention_1slave-INslave</f>
        <v>12</v>
      </c>
      <c r="IG230" s="254">
        <f t="shared" si="1764"/>
        <v>12</v>
      </c>
      <c r="IH230" s="254"/>
      <c r="II230" s="254"/>
      <c r="IJ230" s="254"/>
      <c r="IK230" s="318"/>
      <c r="IL230" s="223">
        <f>(ID230+IE230+IF230+IG230+IH230+II230+IJ230+IK230)/3</f>
        <v>12</v>
      </c>
      <c r="IM230" s="223">
        <f>2*IL230</f>
        <v>24</v>
      </c>
      <c r="IN230" s="224">
        <f>3*IL230</f>
        <v>36</v>
      </c>
      <c r="IO230" s="237">
        <f t="shared" si="1611"/>
        <v>2304</v>
      </c>
      <c r="IP230" s="254">
        <f>IE230*IF230*CHslave+IE230*INslave*IG230+KLslave*IF230*IG230</f>
        <v>3456</v>
      </c>
      <c r="IQ230" s="224">
        <f>IFERROR(ID230^SIGN(ID230),1)*IFERROR(IE230^SIGN(IE230),1)*IFERROR(IF230^SIGN(IF230),1)*IFERROR(IG230^SIGN(IG230),1)*IFERROR(IH230^SIGN(IH230),1)*IFERROR(II230^SIGN(II230),1)*IFERROR(IJ230^SIGN(IJ230),1)*IFERROR(IK230^SIGN(IK230),1)</f>
        <v>1728</v>
      </c>
      <c r="IR230" s="224">
        <f>SUM(IO230:IQ230)</f>
        <v>7488</v>
      </c>
      <c r="IS230" s="222">
        <f>IL230*IO230/IR230</f>
        <v>3.6923076923076925</v>
      </c>
      <c r="IT230" s="223">
        <f>IM230*IP230/IR230</f>
        <v>11.076923076923077</v>
      </c>
      <c r="IU230" s="243">
        <f>IN230*IQ230/IR230</f>
        <v>8.3076923076923084</v>
      </c>
      <c r="IV230" s="243">
        <f>SUM(IS230:IU230)</f>
        <v>23.07692307692308</v>
      </c>
      <c r="IW230" s="252">
        <f t="shared" si="1612"/>
        <v>0</v>
      </c>
      <c r="IX230" s="309">
        <f>IV230-IW230</f>
        <v>23.07692307692308</v>
      </c>
      <c r="IY230" s="218">
        <f t="shared" si="1765"/>
        <v>175.5384615384616</v>
      </c>
      <c r="IZ230" s="242">
        <f t="shared" si="1765"/>
        <v>2</v>
      </c>
      <c r="JA230" s="243">
        <f>IF((IY230-IZ230)&gt;0,IY230-IZ230,0)</f>
        <v>173.5384615384616</v>
      </c>
      <c r="JB230" s="218">
        <f>IF((IZ230-IY230)&gt;0,IZ230-IY230,0)</f>
        <v>0</v>
      </c>
      <c r="JE230" s="148"/>
    </row>
    <row r="231" spans="2:265" ht="15" hidden="1" customHeight="1" outlineLevel="2">
      <c r="B231" s="148">
        <v>19</v>
      </c>
      <c r="C231" s="303" t="e">
        <f>VLOOKUP(AF231,Attribute!C:T,1,FALSE)</f>
        <v>#N/A</v>
      </c>
      <c r="D231" s="86" t="s">
        <v>441</v>
      </c>
      <c r="E231" s="167" t="s">
        <v>135</v>
      </c>
      <c r="F231" s="120">
        <f>Konvention_1master-MUmaster</f>
        <v>12</v>
      </c>
      <c r="G231" s="117"/>
      <c r="H231" s="117"/>
      <c r="I231" s="117">
        <f t="shared" si="1747"/>
        <v>12</v>
      </c>
      <c r="J231" s="117"/>
      <c r="K231" s="117"/>
      <c r="L231" s="117"/>
      <c r="M231" s="121">
        <f>Konvention_1master-KKmaster</f>
        <v>12</v>
      </c>
      <c r="N231" s="223">
        <f>(F231+G231+H231+I231+J231+K231+L231+M231)/3</f>
        <v>12</v>
      </c>
      <c r="O231" s="223">
        <f>2*N231</f>
        <v>24</v>
      </c>
      <c r="P231" s="224">
        <f>3*N231</f>
        <v>36</v>
      </c>
      <c r="Q231" s="237">
        <f>F231*POWER(KLmaster,SIGN(G231))*POWER(INmaster,SIGN(H231))*POWER(CHmaster,SIGN(I231))*POWER(FFmaster,SIGN(J231))*POWER(GEmaster,SIGN(K231))*POWER(KOmaster,SIGN(L231))*POWER(KKmaster,SIGN(M231))+G231*POWER(MUmaster,SIGN(F231))*POWER(INmaster,SIGN(H231))*POWER(CHmaster,SIGN(I231))*POWER(FFmaster,SIGN(J231))*POWER(GEmaster,SIGN(K231))*POWER(KOmaster,SIGN(L231))*POWER(KKmaster,SIGN(M231))+H231*POWER(MUmaster,SIGN(F231))*POWER(KLmaster,SIGN(G231))*POWER(CHmaster,SIGN(I231))*POWER(FFmaster,SIGN(J231))*POWER(GEmaster,SIGN(K231))*POWER(KOmaster,SIGN(L231))*POWER(KKmaster,SIGN(M231))+I231*POWER(MUmaster,SIGN(F231))*POWER(KLmaster,SIGN(G231))*POWER(INmaster,SIGN(H231))*POWER(FFmaster,SIGN(J231))*POWER(GEmaster,SIGN(K231))*POWER(KOmaster,SIGN(L231))*POWER(KKmaster,SIGN(M231))+J231*POWER(MUmaster,SIGN(F231))*POWER(KLmaster,SIGN(G231))*POWER(INmaster,SIGN(H231))*POWER(CHmaster,SIGN(I231))*POWER(GEmaster,SIGN(K231))*POWER(KOmaster,SIGN(L231))*POWER(KKmaster,SIGN(M231))+K231*POWER(MUmaster,SIGN(F231))*POWER(KLmaster,SIGN(G231))*POWER(INmaster,SIGN(H231))*POWER(CHmaster,SIGN(I231))*POWER(FFmaster,SIGN(J231))*POWER(KOmaster,SIGN(L231))*POWER(KKmaster,SIGN(M231))+L231*POWER(MUmaster,SIGN(F231))*POWER(KLmaster,SIGN(G231))*POWER(INmaster,SIGN(H231))*POWER(CHmaster,SIGN(I231))*POWER(FFmaster,SIGN(J231))*POWER(GEmaster,SIGN(K231))*POWER(KKmaster,SIGN(M231))+M231*POWER(MUmaster,SIGN(F231))*POWER(KLmaster,SIGN(G231))*POWER(INmaster,SIGN(H231))*POWER(CHmaster,SIGN(I231))*POWER(FFmaster,SIGN(J231))*POWER(GEmaster,SIGN(K231))*POWER(KOmaster,SIGN(L231))</f>
        <v>2304</v>
      </c>
      <c r="R231" s="117">
        <f>F231*I231*KKmaster+F231*CHmaster*M231+MUmaster*I231*M231</f>
        <v>3456</v>
      </c>
      <c r="S231" s="224">
        <f>IFERROR(F231^SIGN(F231),1)*IFERROR(G231^SIGN(G231),1)*IFERROR(H231^SIGN(H231),1)*IFERROR(I231^SIGN(I231),1)*IFERROR(J231^SIGN(J231),1)*IFERROR(K231^SIGN(K231),1)*IFERROR(L231^SIGN(L231),1)*IFERROR(M231^SIGN(M231),1)</f>
        <v>1728</v>
      </c>
      <c r="T231" s="224">
        <f>SUM(Q231:S231)</f>
        <v>7488</v>
      </c>
      <c r="U231" s="222">
        <f>N231*Q231/T231</f>
        <v>3.6923076923076925</v>
      </c>
      <c r="V231" s="223">
        <f>O231*R231/T231</f>
        <v>11.076923076923077</v>
      </c>
      <c r="W231" s="243">
        <f>P231*S231/T231</f>
        <v>8.3076923076923084</v>
      </c>
      <c r="X231" s="243">
        <f>SUM(U231:W231)</f>
        <v>23.07692307692308</v>
      </c>
      <c r="Y231" s="252">
        <v>0</v>
      </c>
      <c r="Z231" s="198">
        <f>X231-Y231</f>
        <v>23.07692307692308</v>
      </c>
      <c r="AA231" s="125">
        <f>IF(X231&lt;=0,3,0)+IF(X231&gt;0,X231+1,0)*3+IF(X231&gt;12,X231-12,0)*3+IF(X231&gt;13,X231-13,0)*3+IF(X231&gt;14,X231-14,0)*3+IF(X231&gt;15,X231-15,0)*3+IF(X231&gt;16,X231-16,0)*3+IF(X231&gt;17,X231-17,0)*3+IF(X231&gt;18,X231-18,0)*3+IF(X231&gt;19,X231-19,0)*3+IF(X231&gt;20,X231-20,0)*3</f>
        <v>263.30769230769232</v>
      </c>
      <c r="AB231" s="160">
        <f>IF(Y231&lt;=0,3,0)+IF(Y231&gt;0,Y231+1,0)*3+IF(Y231&gt;12,Y231-12,0)*3+IF(Y231&gt;13,Y231-13,0)*3+IF(Y231&gt;14,Y231-14,0)*3+IF(Y231&gt;15,Y231-15,0)*3+IF(Y231&gt;16,Y231-16,0)*3+IF(Y231&gt;17,Y231-17,0)*3+IF(Y231&gt;18,Y231-18,0)*3+IF(Y231&gt;19,Y231-19,0)*3+IF(Y231&gt;20,Y231-20,0)*3</f>
        <v>3</v>
      </c>
      <c r="AC231" s="127">
        <f>IF((AA231-AB231)&gt;0,AA231-AB231,0)</f>
        <v>260.30769230769232</v>
      </c>
      <c r="AD231" s="125">
        <f>IF((AB231-AA231)&gt;0,AB231-AA231,0)</f>
        <v>0</v>
      </c>
      <c r="AF231" s="163" t="s">
        <v>388</v>
      </c>
      <c r="AG231" s="86" t="s">
        <v>441</v>
      </c>
      <c r="AH231" s="167" t="s">
        <v>135</v>
      </c>
      <c r="AI231" s="120">
        <f>Konvention_1slave-MUslave_MU</f>
        <v>11</v>
      </c>
      <c r="AJ231" s="117"/>
      <c r="AK231" s="117"/>
      <c r="AL231" s="117">
        <f t="shared" si="1750"/>
        <v>12</v>
      </c>
      <c r="AM231" s="117"/>
      <c r="AN231" s="117"/>
      <c r="AO231" s="117"/>
      <c r="AP231" s="121">
        <f>Konvention_1slave-KKslave</f>
        <v>12</v>
      </c>
      <c r="AQ231" s="47">
        <f>(AI231+AJ231+AK231+AL231+AM231+AN231+AO231+AP231)/3</f>
        <v>11.666666666666666</v>
      </c>
      <c r="AR231" s="3">
        <f>2*AQ231</f>
        <v>23.333333333333332</v>
      </c>
      <c r="AS231" s="174">
        <f>3*AQ231</f>
        <v>35</v>
      </c>
      <c r="AT231" s="114">
        <f t="shared" si="1597"/>
        <v>2432</v>
      </c>
      <c r="AU231" s="117">
        <f>AI231*AL231*KKslave+AI231*CHslave*AP231+MUslave_MU*AL231*AP231</f>
        <v>3408</v>
      </c>
      <c r="AV231" s="119">
        <f>IFERROR(AI231^SIGN(AI231),1)*IFERROR(AJ231^SIGN(AJ231),1)*IFERROR(AK231^SIGN(AK231),1)*IFERROR(AL231^SIGN(AL231),1)*IFERROR(AM231^SIGN(AM231),1)*IFERROR(AN231^SIGN(AN231),1)*IFERROR(AO231^SIGN(AO231),1)*IFERROR(AP231^SIGN(AP231),1)</f>
        <v>1584</v>
      </c>
      <c r="AW231" s="119">
        <f>SUM(AT231:AV231)</f>
        <v>7424</v>
      </c>
      <c r="AX231" s="89">
        <f>AQ231*AT231/AW231</f>
        <v>3.8218390804597702</v>
      </c>
      <c r="AY231" s="47">
        <f>AR231*AU231/AW231</f>
        <v>10.711206896551724</v>
      </c>
      <c r="AZ231" s="127">
        <f>AS231*AV231/AW231</f>
        <v>7.4676724137931032</v>
      </c>
      <c r="BA231" s="127">
        <f>SUM(AX231:AZ231)</f>
        <v>22.000718390804597</v>
      </c>
      <c r="BB231" s="165">
        <f t="shared" si="1598"/>
        <v>0</v>
      </c>
      <c r="BC231" s="198">
        <f>BA231-BB231</f>
        <v>22.000718390804597</v>
      </c>
      <c r="BD231" s="125">
        <f>IF(BA231&lt;=0,3,0)+IF(BA231&gt;0,BA231+1,0)*3+IF(BA231&gt;12,BA231-12,0)*3+IF(BA231&gt;13,BA231-13,0)*3+IF(BA231&gt;14,BA231-14,0)*3+IF(BA231&gt;15,BA231-15,0)*3+IF(BA231&gt;16,BA231-16,0)*3+IF(BA231&gt;17,BA231-17,0)*3+IF(BA231&gt;18,BA231-18,0)*3+IF(BA231&gt;19,BA231-19,0)*3+IF(BA231&gt;20,BA231-20,0)*3</f>
        <v>231.02155172413785</v>
      </c>
      <c r="BE231" s="160">
        <f>IF(BB231&lt;=0,3,0)+IF(BB231&gt;0,BB231+1,0)*3+IF(BB231&gt;12,BB231-12,0)*3+IF(BB231&gt;13,BB231-13,0)*3+IF(BB231&gt;14,BB231-14,0)*3+IF(BB231&gt;15,BB231-15,0)*3+IF(BB231&gt;16,BB231-16,0)*3+IF(BB231&gt;17,BB231-17,0)*3+IF(BB231&gt;18,BB231-18,0)*3+IF(BB231&gt;19,BB231-19,0)*3+IF(BB231&gt;20,BB231-20,0)*3</f>
        <v>3</v>
      </c>
      <c r="BF231" s="243">
        <f>IF((BD231-BE231)&gt;0,BD231-BE231,0)</f>
        <v>228.02155172413785</v>
      </c>
      <c r="BG231" s="218">
        <f>IF((BE231-BD231)&gt;0,BE231-BD231,0)</f>
        <v>0</v>
      </c>
      <c r="BI231" s="303" t="s">
        <v>388</v>
      </c>
      <c r="BJ231" s="304" t="s">
        <v>441</v>
      </c>
      <c r="BK231" s="305" t="s">
        <v>135</v>
      </c>
      <c r="BL231" s="317">
        <f>Konvention_1slave-MUslave</f>
        <v>12</v>
      </c>
      <c r="BM231" s="254"/>
      <c r="BN231" s="254"/>
      <c r="BO231" s="254">
        <f t="shared" si="1752"/>
        <v>12</v>
      </c>
      <c r="BP231" s="254"/>
      <c r="BQ231" s="254"/>
      <c r="BR231" s="254"/>
      <c r="BS231" s="318">
        <f>Konvention_1slave-KKslave</f>
        <v>12</v>
      </c>
      <c r="BT231" s="223">
        <f>(BL231+BM231+BN231+BO231+BP231+BQ231+BR231+BS231)/3</f>
        <v>12</v>
      </c>
      <c r="BU231" s="223">
        <f>2*BT231</f>
        <v>24</v>
      </c>
      <c r="BV231" s="224">
        <f>3*BT231</f>
        <v>36</v>
      </c>
      <c r="BW231" s="237">
        <f t="shared" si="1599"/>
        <v>2304</v>
      </c>
      <c r="BX231" s="254">
        <f>BL231*BO231*KKslave+BL231*CHslave*BS231+MUslave*BO231*BS231</f>
        <v>3456</v>
      </c>
      <c r="BY231" s="224">
        <f>IFERROR(BL231^SIGN(BL231),1)*IFERROR(BM231^SIGN(BM231),1)*IFERROR(BN231^SIGN(BN231),1)*IFERROR(BO231^SIGN(BO231),1)*IFERROR(BP231^SIGN(BP231),1)*IFERROR(BQ231^SIGN(BQ231),1)*IFERROR(BR231^SIGN(BR231),1)*IFERROR(BS231^SIGN(BS231),1)</f>
        <v>1728</v>
      </c>
      <c r="BZ231" s="224">
        <f>SUM(BW231:BY231)</f>
        <v>7488</v>
      </c>
      <c r="CA231" s="222">
        <f>BT231*BW231/BZ231</f>
        <v>3.6923076923076925</v>
      </c>
      <c r="CB231" s="223">
        <f>BU231*BX231/BZ231</f>
        <v>11.076923076923077</v>
      </c>
      <c r="CC231" s="243">
        <f>BV231*BY231/BZ231</f>
        <v>8.3076923076923084</v>
      </c>
      <c r="CD231" s="243">
        <f>SUM(CA231:CC231)</f>
        <v>23.07692307692308</v>
      </c>
      <c r="CE231" s="252">
        <f t="shared" si="1600"/>
        <v>0</v>
      </c>
      <c r="CF231" s="309">
        <f>CD231-CE231</f>
        <v>23.07692307692308</v>
      </c>
      <c r="CG231" s="218">
        <f>IF(CD231&lt;=0,3,0)+IF(CD231&gt;0,CD231+1,0)*3+IF(CD231&gt;12,CD231-12,0)*3+IF(CD231&gt;13,CD231-13,0)*3+IF(CD231&gt;14,CD231-14,0)*3+IF(CD231&gt;15,CD231-15,0)*3+IF(CD231&gt;16,CD231-16,0)*3+IF(CD231&gt;17,CD231-17,0)*3+IF(CD231&gt;18,CD231-18,0)*3+IF(CD231&gt;19,CD231-19,0)*3+IF(CD231&gt;20,CD231-20,0)*3</f>
        <v>263.30769230769232</v>
      </c>
      <c r="CH231" s="242">
        <f>IF(CE231&lt;=0,3,0)+IF(CE231&gt;0,CE231+1,0)*3+IF(CE231&gt;12,CE231-12,0)*3+IF(CE231&gt;13,CE231-13,0)*3+IF(CE231&gt;14,CE231-14,0)*3+IF(CE231&gt;15,CE231-15,0)*3+IF(CE231&gt;16,CE231-16,0)*3+IF(CE231&gt;17,CE231-17,0)*3+IF(CE231&gt;18,CE231-18,0)*3+IF(CE231&gt;19,CE231-19,0)*3+IF(CE231&gt;20,CE231-20,0)*3</f>
        <v>3</v>
      </c>
      <c r="CI231" s="243">
        <f>IF((CG231-CH231)&gt;0,CG231-CH231,0)</f>
        <v>260.30769230769232</v>
      </c>
      <c r="CJ231" s="218">
        <f>IF((CH231-CG231)&gt;0,CH231-CG231,0)</f>
        <v>0</v>
      </c>
      <c r="CL231" s="303" t="s">
        <v>388</v>
      </c>
      <c r="CM231" s="304" t="s">
        <v>441</v>
      </c>
      <c r="CN231" s="305" t="s">
        <v>135</v>
      </c>
      <c r="CO231" s="317">
        <f>Konvention_1slave-MUslave</f>
        <v>12</v>
      </c>
      <c r="CP231" s="254"/>
      <c r="CQ231" s="254"/>
      <c r="CR231" s="254">
        <f t="shared" si="1754"/>
        <v>12</v>
      </c>
      <c r="CS231" s="254"/>
      <c r="CT231" s="254"/>
      <c r="CU231" s="254"/>
      <c r="CV231" s="318">
        <f>Konvention_1slave-KKslave</f>
        <v>12</v>
      </c>
      <c r="CW231" s="223">
        <f>(CO231+CP231+CQ231+CR231+CS231+CT231+CU231+CV231)/3</f>
        <v>12</v>
      </c>
      <c r="CX231" s="223">
        <f>2*CW231</f>
        <v>24</v>
      </c>
      <c r="CY231" s="224">
        <f>3*CW231</f>
        <v>36</v>
      </c>
      <c r="CZ231" s="237">
        <f t="shared" si="1601"/>
        <v>2304</v>
      </c>
      <c r="DA231" s="254">
        <f>CO231*CR231*KKslave+CO231*CHslave*CV231+MUslave*CR231*CV231</f>
        <v>3456</v>
      </c>
      <c r="DB231" s="224">
        <f>IFERROR(CO231^SIGN(CO231),1)*IFERROR(CP231^SIGN(CP231),1)*IFERROR(CQ231^SIGN(CQ231),1)*IFERROR(CR231^SIGN(CR231),1)*IFERROR(CS231^SIGN(CS231),1)*IFERROR(CT231^SIGN(CT231),1)*IFERROR(CU231^SIGN(CU231),1)*IFERROR(CV231^SIGN(CV231),1)</f>
        <v>1728</v>
      </c>
      <c r="DC231" s="224">
        <f>SUM(CZ231:DB231)</f>
        <v>7488</v>
      </c>
      <c r="DD231" s="222">
        <f>CW231*CZ231/DC231</f>
        <v>3.6923076923076925</v>
      </c>
      <c r="DE231" s="223">
        <f>CX231*DA231/DC231</f>
        <v>11.076923076923077</v>
      </c>
      <c r="DF231" s="243">
        <f>CY231*DB231/DC231</f>
        <v>8.3076923076923084</v>
      </c>
      <c r="DG231" s="243">
        <f>SUM(DD231:DF231)</f>
        <v>23.07692307692308</v>
      </c>
      <c r="DH231" s="252">
        <f t="shared" si="1602"/>
        <v>0</v>
      </c>
      <c r="DI231" s="309">
        <f>DG231-DH231</f>
        <v>23.07692307692308</v>
      </c>
      <c r="DJ231" s="218">
        <f>IF(DG231&lt;=0,3,0)+IF(DG231&gt;0,DG231+1,0)*3+IF(DG231&gt;12,DG231-12,0)*3+IF(DG231&gt;13,DG231-13,0)*3+IF(DG231&gt;14,DG231-14,0)*3+IF(DG231&gt;15,DG231-15,0)*3+IF(DG231&gt;16,DG231-16,0)*3+IF(DG231&gt;17,DG231-17,0)*3+IF(DG231&gt;18,DG231-18,0)*3+IF(DG231&gt;19,DG231-19,0)*3+IF(DG231&gt;20,DG231-20,0)*3</f>
        <v>263.30769230769232</v>
      </c>
      <c r="DK231" s="242">
        <f>IF(DH231&lt;=0,3,0)+IF(DH231&gt;0,DH231+1,0)*3+IF(DH231&gt;12,DH231-12,0)*3+IF(DH231&gt;13,DH231-13,0)*3+IF(DH231&gt;14,DH231-14,0)*3+IF(DH231&gt;15,DH231-15,0)*3+IF(DH231&gt;16,DH231-16,0)*3+IF(DH231&gt;17,DH231-17,0)*3+IF(DH231&gt;18,DH231-18,0)*3+IF(DH231&gt;19,DH231-19,0)*3+IF(DH231&gt;20,DH231-20,0)*3</f>
        <v>3</v>
      </c>
      <c r="DL231" s="243">
        <f>IF((DJ231-DK231)&gt;0,DJ231-DK231,0)</f>
        <v>260.30769230769232</v>
      </c>
      <c r="DM231" s="218">
        <f>IF((DK231-DJ231)&gt;0,DK231-DJ231,0)</f>
        <v>0</v>
      </c>
      <c r="DO231" s="303" t="s">
        <v>388</v>
      </c>
      <c r="DP231" s="304" t="s">
        <v>441</v>
      </c>
      <c r="DQ231" s="305" t="s">
        <v>135</v>
      </c>
      <c r="DR231" s="317">
        <f>Konvention_1slave-MUslave</f>
        <v>12</v>
      </c>
      <c r="DS231" s="254"/>
      <c r="DT231" s="254"/>
      <c r="DU231" s="254">
        <f t="shared" si="1756"/>
        <v>11</v>
      </c>
      <c r="DV231" s="254"/>
      <c r="DW231" s="254"/>
      <c r="DX231" s="254"/>
      <c r="DY231" s="318">
        <f>Konvention_1slave-KKslave</f>
        <v>12</v>
      </c>
      <c r="DZ231" s="223">
        <f>(DR231+DS231+DT231+DU231+DV231+DW231+DX231+DY231)/3</f>
        <v>11.666666666666666</v>
      </c>
      <c r="EA231" s="223">
        <f>2*DZ231</f>
        <v>23.333333333333332</v>
      </c>
      <c r="EB231" s="224">
        <f>3*DZ231</f>
        <v>35</v>
      </c>
      <c r="EC231" s="237">
        <f t="shared" si="1603"/>
        <v>2432</v>
      </c>
      <c r="ED231" s="254">
        <f>DR231*DU231*KKslave+DR231*CHslave_CH*DY231+MUslave*DU231*DY231</f>
        <v>3408</v>
      </c>
      <c r="EE231" s="224">
        <f>IFERROR(DR231^SIGN(DR231),1)*IFERROR(DS231^SIGN(DS231),1)*IFERROR(DT231^SIGN(DT231),1)*IFERROR(DU231^SIGN(DU231),1)*IFERROR(DV231^SIGN(DV231),1)*IFERROR(DW231^SIGN(DW231),1)*IFERROR(DX231^SIGN(DX231),1)*IFERROR(DY231^SIGN(DY231),1)</f>
        <v>1584</v>
      </c>
      <c r="EF231" s="224">
        <f>SUM(EC231:EE231)</f>
        <v>7424</v>
      </c>
      <c r="EG231" s="222">
        <f>DZ231*EC231/EF231</f>
        <v>3.8218390804597702</v>
      </c>
      <c r="EH231" s="223">
        <f>EA231*ED231/EF231</f>
        <v>10.711206896551724</v>
      </c>
      <c r="EI231" s="243">
        <f>EB231*EE231/EF231</f>
        <v>7.4676724137931032</v>
      </c>
      <c r="EJ231" s="243">
        <f>SUM(EG231:EI231)</f>
        <v>22.000718390804597</v>
      </c>
      <c r="EK231" s="252">
        <f t="shared" si="1604"/>
        <v>0</v>
      </c>
      <c r="EL231" s="309">
        <f>EJ231-EK231</f>
        <v>22.000718390804597</v>
      </c>
      <c r="EM231" s="218">
        <f>IF(EJ231&lt;=0,3,0)+IF(EJ231&gt;0,EJ231+1,0)*3+IF(EJ231&gt;12,EJ231-12,0)*3+IF(EJ231&gt;13,EJ231-13,0)*3+IF(EJ231&gt;14,EJ231-14,0)*3+IF(EJ231&gt;15,EJ231-15,0)*3+IF(EJ231&gt;16,EJ231-16,0)*3+IF(EJ231&gt;17,EJ231-17,0)*3+IF(EJ231&gt;18,EJ231-18,0)*3+IF(EJ231&gt;19,EJ231-19,0)*3+IF(EJ231&gt;20,EJ231-20,0)*3</f>
        <v>231.02155172413785</v>
      </c>
      <c r="EN231" s="242">
        <f>IF(EK231&lt;=0,3,0)+IF(EK231&gt;0,EK231+1,0)*3+IF(EK231&gt;12,EK231-12,0)*3+IF(EK231&gt;13,EK231-13,0)*3+IF(EK231&gt;14,EK231-14,0)*3+IF(EK231&gt;15,EK231-15,0)*3+IF(EK231&gt;16,EK231-16,0)*3+IF(EK231&gt;17,EK231-17,0)*3+IF(EK231&gt;18,EK231-18,0)*3+IF(EK231&gt;19,EK231-19,0)*3+IF(EK231&gt;20,EK231-20,0)*3</f>
        <v>3</v>
      </c>
      <c r="EO231" s="243">
        <f>IF((EM231-EN231)&gt;0,EM231-EN231,0)</f>
        <v>228.02155172413785</v>
      </c>
      <c r="EP231" s="218">
        <f>IF((EN231-EM231)&gt;0,EN231-EM231,0)</f>
        <v>0</v>
      </c>
      <c r="ER231" s="303" t="s">
        <v>388</v>
      </c>
      <c r="ES231" s="304" t="s">
        <v>441</v>
      </c>
      <c r="ET231" s="305" t="s">
        <v>135</v>
      </c>
      <c r="EU231" s="317">
        <f>Konvention_1slave-MUslave</f>
        <v>12</v>
      </c>
      <c r="EV231" s="254"/>
      <c r="EW231" s="254"/>
      <c r="EX231" s="254">
        <f t="shared" si="1758"/>
        <v>12</v>
      </c>
      <c r="EY231" s="254"/>
      <c r="EZ231" s="254"/>
      <c r="FA231" s="254"/>
      <c r="FB231" s="318">
        <f>Konvention_1slave-KKslave</f>
        <v>12</v>
      </c>
      <c r="FC231" s="223">
        <f>(EU231+EV231+EW231+EX231+EY231+EZ231+FA231+FB231)/3</f>
        <v>12</v>
      </c>
      <c r="FD231" s="223">
        <f>2*FC231</f>
        <v>24</v>
      </c>
      <c r="FE231" s="224">
        <f>3*FC231</f>
        <v>36</v>
      </c>
      <c r="FF231" s="237">
        <f t="shared" si="1605"/>
        <v>2304</v>
      </c>
      <c r="FG231" s="254">
        <f>EU231*EX231*KKslave+EU231*CHslave*FB231+MUslave*EX231*FB231</f>
        <v>3456</v>
      </c>
      <c r="FH231" s="224">
        <f>IFERROR(EU231^SIGN(EU231),1)*IFERROR(EV231^SIGN(EV231),1)*IFERROR(EW231^SIGN(EW231),1)*IFERROR(EX231^SIGN(EX231),1)*IFERROR(EY231^SIGN(EY231),1)*IFERROR(EZ231^SIGN(EZ231),1)*IFERROR(FA231^SIGN(FA231),1)*IFERROR(FB231^SIGN(FB231),1)</f>
        <v>1728</v>
      </c>
      <c r="FI231" s="224">
        <f>SUM(FF231:FH231)</f>
        <v>7488</v>
      </c>
      <c r="FJ231" s="222">
        <f>FC231*FF231/FI231</f>
        <v>3.6923076923076925</v>
      </c>
      <c r="FK231" s="223">
        <f>FD231*FG231/FI231</f>
        <v>11.076923076923077</v>
      </c>
      <c r="FL231" s="243">
        <f>FE231*FH231/FI231</f>
        <v>8.3076923076923084</v>
      </c>
      <c r="FM231" s="243">
        <f>SUM(FJ231:FL231)</f>
        <v>23.07692307692308</v>
      </c>
      <c r="FN231" s="252">
        <f t="shared" si="1606"/>
        <v>0</v>
      </c>
      <c r="FO231" s="309">
        <f>FM231-FN231</f>
        <v>23.07692307692308</v>
      </c>
      <c r="FP231" s="218">
        <f>IF(FM231&lt;=0,3,0)+IF(FM231&gt;0,FM231+1,0)*3+IF(FM231&gt;12,FM231-12,0)*3+IF(FM231&gt;13,FM231-13,0)*3+IF(FM231&gt;14,FM231-14,0)*3+IF(FM231&gt;15,FM231-15,0)*3+IF(FM231&gt;16,FM231-16,0)*3+IF(FM231&gt;17,FM231-17,0)*3+IF(FM231&gt;18,FM231-18,0)*3+IF(FM231&gt;19,FM231-19,0)*3+IF(FM231&gt;20,FM231-20,0)*3</f>
        <v>263.30769230769232</v>
      </c>
      <c r="FQ231" s="242">
        <f>IF(FN231&lt;=0,3,0)+IF(FN231&gt;0,FN231+1,0)*3+IF(FN231&gt;12,FN231-12,0)*3+IF(FN231&gt;13,FN231-13,0)*3+IF(FN231&gt;14,FN231-14,0)*3+IF(FN231&gt;15,FN231-15,0)*3+IF(FN231&gt;16,FN231-16,0)*3+IF(FN231&gt;17,FN231-17,0)*3+IF(FN231&gt;18,FN231-18,0)*3+IF(FN231&gt;19,FN231-19,0)*3+IF(FN231&gt;20,FN231-20,0)*3</f>
        <v>3</v>
      </c>
      <c r="FR231" s="243">
        <f>IF((FP231-FQ231)&gt;0,FP231-FQ231,0)</f>
        <v>260.30769230769232</v>
      </c>
      <c r="FS231" s="218">
        <f>IF((FQ231-FP231)&gt;0,FQ231-FP231,0)</f>
        <v>0</v>
      </c>
      <c r="FU231" s="303" t="s">
        <v>388</v>
      </c>
      <c r="FV231" s="304" t="s">
        <v>441</v>
      </c>
      <c r="FW231" s="305" t="s">
        <v>135</v>
      </c>
      <c r="FX231" s="317">
        <f>Konvention_1slave-MUslave</f>
        <v>12</v>
      </c>
      <c r="FY231" s="254"/>
      <c r="FZ231" s="254"/>
      <c r="GA231" s="254">
        <f t="shared" si="1760"/>
        <v>12</v>
      </c>
      <c r="GB231" s="254"/>
      <c r="GC231" s="254"/>
      <c r="GD231" s="254"/>
      <c r="GE231" s="318">
        <f>Konvention_1slave-KKslave</f>
        <v>12</v>
      </c>
      <c r="GF231" s="223">
        <f>(FX231+FY231+FZ231+GA231+GB231+GC231+GD231+GE231)/3</f>
        <v>12</v>
      </c>
      <c r="GG231" s="223">
        <f>2*GF231</f>
        <v>24</v>
      </c>
      <c r="GH231" s="224">
        <f>3*GF231</f>
        <v>36</v>
      </c>
      <c r="GI231" s="237">
        <f t="shared" si="1607"/>
        <v>2304</v>
      </c>
      <c r="GJ231" s="254">
        <f>FX231*GA231*KKslave+FX231*CHslave*GE231+MUslave*GA231*GE231</f>
        <v>3456</v>
      </c>
      <c r="GK231" s="224">
        <f>IFERROR(FX231^SIGN(FX231),1)*IFERROR(FY231^SIGN(FY231),1)*IFERROR(FZ231^SIGN(FZ231),1)*IFERROR(GA231^SIGN(GA231),1)*IFERROR(GB231^SIGN(GB231),1)*IFERROR(GC231^SIGN(GC231),1)*IFERROR(GD231^SIGN(GD231),1)*IFERROR(GE231^SIGN(GE231),1)</f>
        <v>1728</v>
      </c>
      <c r="GL231" s="224">
        <f>SUM(GI231:GK231)</f>
        <v>7488</v>
      </c>
      <c r="GM231" s="222">
        <f>GF231*GI231/GL231</f>
        <v>3.6923076923076925</v>
      </c>
      <c r="GN231" s="223">
        <f>GG231*GJ231/GL231</f>
        <v>11.076923076923077</v>
      </c>
      <c r="GO231" s="243">
        <f>GH231*GK231/GL231</f>
        <v>8.3076923076923084</v>
      </c>
      <c r="GP231" s="243">
        <f>SUM(GM231:GO231)</f>
        <v>23.07692307692308</v>
      </c>
      <c r="GQ231" s="252">
        <f t="shared" si="1608"/>
        <v>0</v>
      </c>
      <c r="GR231" s="309">
        <f>GP231-GQ231</f>
        <v>23.07692307692308</v>
      </c>
      <c r="GS231" s="218">
        <f>IF(GP231&lt;=0,3,0)+IF(GP231&gt;0,GP231+1,0)*3+IF(GP231&gt;12,GP231-12,0)*3+IF(GP231&gt;13,GP231-13,0)*3+IF(GP231&gt;14,GP231-14,0)*3+IF(GP231&gt;15,GP231-15,0)*3+IF(GP231&gt;16,GP231-16,0)*3+IF(GP231&gt;17,GP231-17,0)*3+IF(GP231&gt;18,GP231-18,0)*3+IF(GP231&gt;19,GP231-19,0)*3+IF(GP231&gt;20,GP231-20,0)*3</f>
        <v>263.30769230769232</v>
      </c>
      <c r="GT231" s="242">
        <f>IF(GQ231&lt;=0,3,0)+IF(GQ231&gt;0,GQ231+1,0)*3+IF(GQ231&gt;12,GQ231-12,0)*3+IF(GQ231&gt;13,GQ231-13,0)*3+IF(GQ231&gt;14,GQ231-14,0)*3+IF(GQ231&gt;15,GQ231-15,0)*3+IF(GQ231&gt;16,GQ231-16,0)*3+IF(GQ231&gt;17,GQ231-17,0)*3+IF(GQ231&gt;18,GQ231-18,0)*3+IF(GQ231&gt;19,GQ231-19,0)*3+IF(GQ231&gt;20,GQ231-20,0)*3</f>
        <v>3</v>
      </c>
      <c r="GU231" s="243">
        <f>IF((GS231-GT231)&gt;0,GS231-GT231,0)</f>
        <v>260.30769230769232</v>
      </c>
      <c r="GV231" s="218">
        <f>IF((GT231-GS231)&gt;0,GT231-GS231,0)</f>
        <v>0</v>
      </c>
      <c r="GX231" s="303" t="s">
        <v>388</v>
      </c>
      <c r="GY231" s="304" t="s">
        <v>441</v>
      </c>
      <c r="GZ231" s="305" t="s">
        <v>135</v>
      </c>
      <c r="HA231" s="317">
        <f>Konvention_1slave-MUslave</f>
        <v>12</v>
      </c>
      <c r="HB231" s="254"/>
      <c r="HC231" s="254"/>
      <c r="HD231" s="254">
        <f t="shared" si="1762"/>
        <v>12</v>
      </c>
      <c r="HE231" s="254"/>
      <c r="HF231" s="254"/>
      <c r="HG231" s="254"/>
      <c r="HH231" s="318">
        <f>Konvention_1slave-KKslave</f>
        <v>12</v>
      </c>
      <c r="HI231" s="223">
        <f>(HA231+HB231+HC231+HD231+HE231+HF231+HG231+HH231)/3</f>
        <v>12</v>
      </c>
      <c r="HJ231" s="223">
        <f>2*HI231</f>
        <v>24</v>
      </c>
      <c r="HK231" s="224">
        <f>3*HI231</f>
        <v>36</v>
      </c>
      <c r="HL231" s="237">
        <f t="shared" si="1609"/>
        <v>2304</v>
      </c>
      <c r="HM231" s="254">
        <f>HA231*HD231*KKslave+HA231*CHslave*HH231+MUslave*HD231*HH231</f>
        <v>3456</v>
      </c>
      <c r="HN231" s="224">
        <f>IFERROR(HA231^SIGN(HA231),1)*IFERROR(HB231^SIGN(HB231),1)*IFERROR(HC231^SIGN(HC231),1)*IFERROR(HD231^SIGN(HD231),1)*IFERROR(HE231^SIGN(HE231),1)*IFERROR(HF231^SIGN(HF231),1)*IFERROR(HG231^SIGN(HG231),1)*IFERROR(HH231^SIGN(HH231),1)</f>
        <v>1728</v>
      </c>
      <c r="HO231" s="224">
        <f>SUM(HL231:HN231)</f>
        <v>7488</v>
      </c>
      <c r="HP231" s="222">
        <f>HI231*HL231/HO231</f>
        <v>3.6923076923076925</v>
      </c>
      <c r="HQ231" s="223">
        <f>HJ231*HM231/HO231</f>
        <v>11.076923076923077</v>
      </c>
      <c r="HR231" s="243">
        <f>HK231*HN231/HO231</f>
        <v>8.3076923076923084</v>
      </c>
      <c r="HS231" s="243">
        <f>SUM(HP231:HR231)</f>
        <v>23.07692307692308</v>
      </c>
      <c r="HT231" s="252">
        <f t="shared" si="1610"/>
        <v>0</v>
      </c>
      <c r="HU231" s="309">
        <f>HS231-HT231</f>
        <v>23.07692307692308</v>
      </c>
      <c r="HV231" s="218">
        <f>IF(HS231&lt;=0,3,0)+IF(HS231&gt;0,HS231+1,0)*3+IF(HS231&gt;12,HS231-12,0)*3+IF(HS231&gt;13,HS231-13,0)*3+IF(HS231&gt;14,HS231-14,0)*3+IF(HS231&gt;15,HS231-15,0)*3+IF(HS231&gt;16,HS231-16,0)*3+IF(HS231&gt;17,HS231-17,0)*3+IF(HS231&gt;18,HS231-18,0)*3+IF(HS231&gt;19,HS231-19,0)*3+IF(HS231&gt;20,HS231-20,0)*3</f>
        <v>263.30769230769232</v>
      </c>
      <c r="HW231" s="242">
        <f>IF(HT231&lt;=0,3,0)+IF(HT231&gt;0,HT231+1,0)*3+IF(HT231&gt;12,HT231-12,0)*3+IF(HT231&gt;13,HT231-13,0)*3+IF(HT231&gt;14,HT231-14,0)*3+IF(HT231&gt;15,HT231-15,0)*3+IF(HT231&gt;16,HT231-16,0)*3+IF(HT231&gt;17,HT231-17,0)*3+IF(HT231&gt;18,HT231-18,0)*3+IF(HT231&gt;19,HT231-19,0)*3+IF(HT231&gt;20,HT231-20,0)*3</f>
        <v>3</v>
      </c>
      <c r="HX231" s="243">
        <f>IF((HV231-HW231)&gt;0,HV231-HW231,0)</f>
        <v>260.30769230769232</v>
      </c>
      <c r="HY231" s="218">
        <f>IF((HW231-HV231)&gt;0,HW231-HV231,0)</f>
        <v>0</v>
      </c>
      <c r="IA231" s="303" t="s">
        <v>388</v>
      </c>
      <c r="IB231" s="304" t="s">
        <v>441</v>
      </c>
      <c r="IC231" s="305" t="s">
        <v>135</v>
      </c>
      <c r="ID231" s="317">
        <f>Konvention_1slave-MUslave</f>
        <v>12</v>
      </c>
      <c r="IE231" s="254"/>
      <c r="IF231" s="254"/>
      <c r="IG231" s="254">
        <f t="shared" si="1764"/>
        <v>12</v>
      </c>
      <c r="IH231" s="254"/>
      <c r="II231" s="254"/>
      <c r="IJ231" s="254"/>
      <c r="IK231" s="318">
        <f>Konvention_1slave-KKslave_KK</f>
        <v>11</v>
      </c>
      <c r="IL231" s="223">
        <f>(ID231+IE231+IF231+IG231+IH231+II231+IJ231+IK231)/3</f>
        <v>11.666666666666666</v>
      </c>
      <c r="IM231" s="223">
        <f>2*IL231</f>
        <v>23.333333333333332</v>
      </c>
      <c r="IN231" s="224">
        <f>3*IL231</f>
        <v>35</v>
      </c>
      <c r="IO231" s="237">
        <f t="shared" si="1611"/>
        <v>2432</v>
      </c>
      <c r="IP231" s="254">
        <f>ID231*IG231*KKslave_KK+ID231*CHslave*IK231+MUslave*IG231*IK231</f>
        <v>3408</v>
      </c>
      <c r="IQ231" s="224">
        <f>IFERROR(ID231^SIGN(ID231),1)*IFERROR(IE231^SIGN(IE231),1)*IFERROR(IF231^SIGN(IF231),1)*IFERROR(IG231^SIGN(IG231),1)*IFERROR(IH231^SIGN(IH231),1)*IFERROR(II231^SIGN(II231),1)*IFERROR(IJ231^SIGN(IJ231),1)*IFERROR(IK231^SIGN(IK231),1)</f>
        <v>1584</v>
      </c>
      <c r="IR231" s="224">
        <f>SUM(IO231:IQ231)</f>
        <v>7424</v>
      </c>
      <c r="IS231" s="222">
        <f>IL231*IO231/IR231</f>
        <v>3.8218390804597702</v>
      </c>
      <c r="IT231" s="223">
        <f>IM231*IP231/IR231</f>
        <v>10.711206896551724</v>
      </c>
      <c r="IU231" s="243">
        <f>IN231*IQ231/IR231</f>
        <v>7.4676724137931032</v>
      </c>
      <c r="IV231" s="243">
        <f>SUM(IS231:IU231)</f>
        <v>22.000718390804597</v>
      </c>
      <c r="IW231" s="252">
        <f t="shared" si="1612"/>
        <v>0</v>
      </c>
      <c r="IX231" s="309">
        <f>IV231-IW231</f>
        <v>22.000718390804597</v>
      </c>
      <c r="IY231" s="218">
        <f>IF(IV231&lt;=0,3,0)+IF(IV231&gt;0,IV231+1,0)*3+IF(IV231&gt;12,IV231-12,0)*3+IF(IV231&gt;13,IV231-13,0)*3+IF(IV231&gt;14,IV231-14,0)*3+IF(IV231&gt;15,IV231-15,0)*3+IF(IV231&gt;16,IV231-16,0)*3+IF(IV231&gt;17,IV231-17,0)*3+IF(IV231&gt;18,IV231-18,0)*3+IF(IV231&gt;19,IV231-19,0)*3+IF(IV231&gt;20,IV231-20,0)*3</f>
        <v>231.02155172413785</v>
      </c>
      <c r="IZ231" s="242">
        <f>IF(IW231&lt;=0,3,0)+IF(IW231&gt;0,IW231+1,0)*3+IF(IW231&gt;12,IW231-12,0)*3+IF(IW231&gt;13,IW231-13,0)*3+IF(IW231&gt;14,IW231-14,0)*3+IF(IW231&gt;15,IW231-15,0)*3+IF(IW231&gt;16,IW231-16,0)*3+IF(IW231&gt;17,IW231-17,0)*3+IF(IW231&gt;18,IW231-18,0)*3+IF(IW231&gt;19,IW231-19,0)*3+IF(IW231&gt;20,IW231-20,0)*3</f>
        <v>3</v>
      </c>
      <c r="JA231" s="243">
        <f>IF((IY231-IZ231)&gt;0,IY231-IZ231,0)</f>
        <v>228.02155172413785</v>
      </c>
      <c r="JB231" s="218">
        <f>IF((IZ231-IY231)&gt;0,IZ231-IY231,0)</f>
        <v>0</v>
      </c>
      <c r="JE231" s="148"/>
    </row>
    <row r="232" spans="2:265" hidden="1" outlineLevel="2">
      <c r="B232" s="148">
        <v>20</v>
      </c>
      <c r="C232" s="303" t="e">
        <f>VLOOKUP(AF232,Attribute!C:T,1,FALSE)</f>
        <v>#N/A</v>
      </c>
      <c r="D232" s="86" t="s">
        <v>226</v>
      </c>
      <c r="E232" s="167" t="s">
        <v>132</v>
      </c>
      <c r="F232" s="120"/>
      <c r="G232" s="117">
        <f>Konvention_1master-KLmaster</f>
        <v>12</v>
      </c>
      <c r="H232" s="117">
        <f>Konvention_1master-INmaster</f>
        <v>12</v>
      </c>
      <c r="I232" s="117"/>
      <c r="J232" s="117"/>
      <c r="K232" s="117"/>
      <c r="L232" s="117">
        <f>Konvention_1master-KOmaster</f>
        <v>12</v>
      </c>
      <c r="M232" s="121"/>
      <c r="N232" s="223">
        <f t="shared" si="1629"/>
        <v>12</v>
      </c>
      <c r="O232" s="223">
        <f t="shared" si="1630"/>
        <v>24</v>
      </c>
      <c r="P232" s="224">
        <f t="shared" si="1631"/>
        <v>36</v>
      </c>
      <c r="Q232" s="237">
        <f t="shared" si="1632"/>
        <v>2304</v>
      </c>
      <c r="R232" s="117">
        <f>G232*H232*KOmaster+G232*INmaster*L232+KLmaster*H232*L232</f>
        <v>3456</v>
      </c>
      <c r="S232" s="224">
        <f t="shared" si="1633"/>
        <v>1728</v>
      </c>
      <c r="T232" s="224">
        <f t="shared" si="1748"/>
        <v>7488</v>
      </c>
      <c r="U232" s="222">
        <f t="shared" si="1635"/>
        <v>3.6923076923076925</v>
      </c>
      <c r="V232" s="223">
        <f t="shared" si="1636"/>
        <v>11.076923076923077</v>
      </c>
      <c r="W232" s="243">
        <f t="shared" si="1637"/>
        <v>8.3076923076923084</v>
      </c>
      <c r="X232" s="243">
        <f t="shared" si="1638"/>
        <v>23.07692307692308</v>
      </c>
      <c r="Y232" s="252">
        <v>0</v>
      </c>
      <c r="Z232" s="198">
        <f t="shared" si="1639"/>
        <v>23.07692307692308</v>
      </c>
      <c r="AA232" s="125">
        <f t="shared" si="1749"/>
        <v>175.5384615384616</v>
      </c>
      <c r="AB232" s="160">
        <f t="shared" si="1749"/>
        <v>2</v>
      </c>
      <c r="AC232" s="127">
        <f t="shared" si="1640"/>
        <v>173.5384615384616</v>
      </c>
      <c r="AD232" s="125">
        <f t="shared" si="1641"/>
        <v>0</v>
      </c>
      <c r="AF232" s="163" t="s">
        <v>198</v>
      </c>
      <c r="AG232" s="86" t="s">
        <v>226</v>
      </c>
      <c r="AH232" s="167" t="s">
        <v>132</v>
      </c>
      <c r="AI232" s="120"/>
      <c r="AJ232" s="117">
        <f>Konvention_1slave-KLslave</f>
        <v>12</v>
      </c>
      <c r="AK232" s="117">
        <f t="shared" si="1613"/>
        <v>12</v>
      </c>
      <c r="AL232" s="117"/>
      <c r="AM232" s="117"/>
      <c r="AN232" s="117"/>
      <c r="AO232" s="117">
        <f>Konvention_1slave-KOslave</f>
        <v>12</v>
      </c>
      <c r="AP232" s="121"/>
      <c r="AQ232" s="47">
        <f t="shared" si="1642"/>
        <v>12</v>
      </c>
      <c r="AR232" s="3">
        <f t="shared" si="1643"/>
        <v>24</v>
      </c>
      <c r="AS232" s="174">
        <f t="shared" si="1644"/>
        <v>36</v>
      </c>
      <c r="AT232" s="114">
        <f t="shared" si="1597"/>
        <v>2304</v>
      </c>
      <c r="AU232" s="117">
        <f>AJ232*AK232*KOslave+AJ232*INslave*AO232+KLslave*AK232*AO232</f>
        <v>3456</v>
      </c>
      <c r="AV232" s="119">
        <f t="shared" si="1645"/>
        <v>1728</v>
      </c>
      <c r="AW232" s="119">
        <f t="shared" si="1646"/>
        <v>7488</v>
      </c>
      <c r="AX232" s="89">
        <f t="shared" si="1647"/>
        <v>3.6923076923076925</v>
      </c>
      <c r="AY232" s="47">
        <f t="shared" si="1648"/>
        <v>11.076923076923077</v>
      </c>
      <c r="AZ232" s="127">
        <f t="shared" si="1649"/>
        <v>8.3076923076923084</v>
      </c>
      <c r="BA232" s="127">
        <f t="shared" si="1650"/>
        <v>23.07692307692308</v>
      </c>
      <c r="BB232" s="165">
        <f t="shared" si="1598"/>
        <v>0</v>
      </c>
      <c r="BC232" s="198">
        <f t="shared" si="1651"/>
        <v>23.07692307692308</v>
      </c>
      <c r="BD232" s="125">
        <f>IF(BA232&lt;=0,2,0)+IF(BA232&gt;0,BA232+1,0)*2+IF(BA232&gt;12,BA232-12,0)*2+IF(BA232&gt;13,BA232-13,0)*2+IF(BA232&gt;14,BA232-14,0)*2+IF(BA232&gt;15,BA232-15,0)*2+IF(BA232&gt;16,BA232-16,0)*2+IF(BA232&gt;17,BA232-17,0)*2+IF(BA232&gt;18,BA232-18,0)*2+IF(BA232&gt;19,BA232-19,0)*2+IF(BA232&gt;20,BA232-20,0)*2</f>
        <v>175.5384615384616</v>
      </c>
      <c r="BE232" s="160">
        <f>IF(BB232&lt;=0,2,0)+IF(BB232&gt;0,BB232+1,0)*2+IF(BB232&gt;12,BB232-12,0)*2+IF(BB232&gt;13,BB232-13,0)*2+IF(BB232&gt;14,BB232-14,0)*2+IF(BB232&gt;15,BB232-15,0)*2+IF(BB232&gt;16,BB232-16,0)*2+IF(BB232&gt;17,BB232-17,0)*2+IF(BB232&gt;18,BB232-18,0)*2+IF(BB232&gt;19,BB232-19,0)*2+IF(BB232&gt;20,BB232-20,0)*2</f>
        <v>2</v>
      </c>
      <c r="BF232" s="243">
        <f t="shared" si="1652"/>
        <v>173.5384615384616</v>
      </c>
      <c r="BG232" s="218">
        <f t="shared" si="1653"/>
        <v>0</v>
      </c>
      <c r="BI232" s="303" t="s">
        <v>198</v>
      </c>
      <c r="BJ232" s="304" t="s">
        <v>226</v>
      </c>
      <c r="BK232" s="305" t="s">
        <v>132</v>
      </c>
      <c r="BL232" s="317"/>
      <c r="BM232" s="254">
        <f>Konvention_1slave-KLslave_KL</f>
        <v>11</v>
      </c>
      <c r="BN232" s="254">
        <f t="shared" si="1614"/>
        <v>12</v>
      </c>
      <c r="BO232" s="254"/>
      <c r="BP232" s="254"/>
      <c r="BQ232" s="254"/>
      <c r="BR232" s="254">
        <f>Konvention_1slave-KOslave</f>
        <v>12</v>
      </c>
      <c r="BS232" s="318"/>
      <c r="BT232" s="223">
        <f t="shared" si="1654"/>
        <v>11.666666666666666</v>
      </c>
      <c r="BU232" s="223">
        <f t="shared" si="1655"/>
        <v>23.333333333333332</v>
      </c>
      <c r="BV232" s="224">
        <f t="shared" si="1656"/>
        <v>35</v>
      </c>
      <c r="BW232" s="237">
        <f t="shared" si="1599"/>
        <v>2432</v>
      </c>
      <c r="BX232" s="254">
        <f>BM232*BN232*KOslave+BM232*INslave*BR232+KLslave_KL*BN232*BR232</f>
        <v>3408</v>
      </c>
      <c r="BY232" s="224">
        <f t="shared" si="1657"/>
        <v>1584</v>
      </c>
      <c r="BZ232" s="224">
        <f t="shared" si="1658"/>
        <v>7424</v>
      </c>
      <c r="CA232" s="222">
        <f t="shared" si="1659"/>
        <v>3.8218390804597702</v>
      </c>
      <c r="CB232" s="223">
        <f t="shared" si="1660"/>
        <v>10.711206896551724</v>
      </c>
      <c r="CC232" s="243">
        <f t="shared" si="1661"/>
        <v>7.4676724137931032</v>
      </c>
      <c r="CD232" s="243">
        <f t="shared" si="1662"/>
        <v>22.000718390804597</v>
      </c>
      <c r="CE232" s="252">
        <f t="shared" si="1600"/>
        <v>0</v>
      </c>
      <c r="CF232" s="309">
        <f t="shared" si="1663"/>
        <v>22.000718390804597</v>
      </c>
      <c r="CG232" s="218">
        <f>IF(CD232&lt;=0,2,0)+IF(CD232&gt;0,CD232+1,0)*2+IF(CD232&gt;12,CD232-12,0)*2+IF(CD232&gt;13,CD232-13,0)*2+IF(CD232&gt;14,CD232-14,0)*2+IF(CD232&gt;15,CD232-15,0)*2+IF(CD232&gt;16,CD232-16,0)*2+IF(CD232&gt;17,CD232-17,0)*2+IF(CD232&gt;18,CD232-18,0)*2+IF(CD232&gt;19,CD232-19,0)*2+IF(CD232&gt;20,CD232-20,0)*2</f>
        <v>154.01436781609189</v>
      </c>
      <c r="CH232" s="242">
        <f>IF(CE232&lt;=0,2,0)+IF(CE232&gt;0,CE232+1,0)*2+IF(CE232&gt;12,CE232-12,0)*2+IF(CE232&gt;13,CE232-13,0)*2+IF(CE232&gt;14,CE232-14,0)*2+IF(CE232&gt;15,CE232-15,0)*2+IF(CE232&gt;16,CE232-16,0)*2+IF(CE232&gt;17,CE232-17,0)*2+IF(CE232&gt;18,CE232-18,0)*2+IF(CE232&gt;19,CE232-19,0)*2+IF(CE232&gt;20,CE232-20,0)*2</f>
        <v>2</v>
      </c>
      <c r="CI232" s="243">
        <f t="shared" si="1664"/>
        <v>152.01436781609189</v>
      </c>
      <c r="CJ232" s="218">
        <f t="shared" si="1665"/>
        <v>0</v>
      </c>
      <c r="CL232" s="303" t="s">
        <v>198</v>
      </c>
      <c r="CM232" s="304" t="s">
        <v>226</v>
      </c>
      <c r="CN232" s="305" t="s">
        <v>132</v>
      </c>
      <c r="CO232" s="317"/>
      <c r="CP232" s="254">
        <f>Konvention_1slave-KLslave</f>
        <v>12</v>
      </c>
      <c r="CQ232" s="254">
        <f>Konvention_1slave-INslave_IN</f>
        <v>11</v>
      </c>
      <c r="CR232" s="254"/>
      <c r="CS232" s="254"/>
      <c r="CT232" s="254"/>
      <c r="CU232" s="254">
        <f>Konvention_1slave-KOslave</f>
        <v>12</v>
      </c>
      <c r="CV232" s="318"/>
      <c r="CW232" s="223">
        <f t="shared" si="1666"/>
        <v>11.666666666666666</v>
      </c>
      <c r="CX232" s="223">
        <f t="shared" si="1667"/>
        <v>23.333333333333332</v>
      </c>
      <c r="CY232" s="224">
        <f t="shared" si="1668"/>
        <v>35</v>
      </c>
      <c r="CZ232" s="237">
        <f t="shared" si="1601"/>
        <v>2432</v>
      </c>
      <c r="DA232" s="254">
        <f>CP232*CQ232*KOslave+CP232*INslave_IN*CU232+KLslave*CQ232*CU232</f>
        <v>3408</v>
      </c>
      <c r="DB232" s="224">
        <f t="shared" si="1669"/>
        <v>1584</v>
      </c>
      <c r="DC232" s="224">
        <f t="shared" si="1670"/>
        <v>7424</v>
      </c>
      <c r="DD232" s="222">
        <f t="shared" si="1671"/>
        <v>3.8218390804597702</v>
      </c>
      <c r="DE232" s="223">
        <f t="shared" si="1672"/>
        <v>10.711206896551724</v>
      </c>
      <c r="DF232" s="243">
        <f t="shared" si="1673"/>
        <v>7.4676724137931032</v>
      </c>
      <c r="DG232" s="243">
        <f t="shared" si="1674"/>
        <v>22.000718390804597</v>
      </c>
      <c r="DH232" s="252">
        <f t="shared" si="1602"/>
        <v>0</v>
      </c>
      <c r="DI232" s="309">
        <f t="shared" si="1675"/>
        <v>22.000718390804597</v>
      </c>
      <c r="DJ232" s="218">
        <f>IF(DG232&lt;=0,2,0)+IF(DG232&gt;0,DG232+1,0)*2+IF(DG232&gt;12,DG232-12,0)*2+IF(DG232&gt;13,DG232-13,0)*2+IF(DG232&gt;14,DG232-14,0)*2+IF(DG232&gt;15,DG232-15,0)*2+IF(DG232&gt;16,DG232-16,0)*2+IF(DG232&gt;17,DG232-17,0)*2+IF(DG232&gt;18,DG232-18,0)*2+IF(DG232&gt;19,DG232-19,0)*2+IF(DG232&gt;20,DG232-20,0)*2</f>
        <v>154.01436781609189</v>
      </c>
      <c r="DK232" s="242">
        <f>IF(DH232&lt;=0,2,0)+IF(DH232&gt;0,DH232+1,0)*2+IF(DH232&gt;12,DH232-12,0)*2+IF(DH232&gt;13,DH232-13,0)*2+IF(DH232&gt;14,DH232-14,0)*2+IF(DH232&gt;15,DH232-15,0)*2+IF(DH232&gt;16,DH232-16,0)*2+IF(DH232&gt;17,DH232-17,0)*2+IF(DH232&gt;18,DH232-18,0)*2+IF(DH232&gt;19,DH232-19,0)*2+IF(DH232&gt;20,DH232-20,0)*2</f>
        <v>2</v>
      </c>
      <c r="DL232" s="243">
        <f t="shared" si="1676"/>
        <v>152.01436781609189</v>
      </c>
      <c r="DM232" s="218">
        <f t="shared" si="1677"/>
        <v>0</v>
      </c>
      <c r="DO232" s="303" t="s">
        <v>198</v>
      </c>
      <c r="DP232" s="304" t="s">
        <v>226</v>
      </c>
      <c r="DQ232" s="305" t="s">
        <v>132</v>
      </c>
      <c r="DR232" s="317"/>
      <c r="DS232" s="254">
        <f>Konvention_1slave-KLslave</f>
        <v>12</v>
      </c>
      <c r="DT232" s="254">
        <f t="shared" si="1615"/>
        <v>12</v>
      </c>
      <c r="DU232" s="254"/>
      <c r="DV232" s="254"/>
      <c r="DW232" s="254"/>
      <c r="DX232" s="254">
        <f>Konvention_1slave-KOslave</f>
        <v>12</v>
      </c>
      <c r="DY232" s="318"/>
      <c r="DZ232" s="223">
        <f t="shared" si="1678"/>
        <v>12</v>
      </c>
      <c r="EA232" s="223">
        <f t="shared" si="1679"/>
        <v>24</v>
      </c>
      <c r="EB232" s="224">
        <f t="shared" si="1680"/>
        <v>36</v>
      </c>
      <c r="EC232" s="237">
        <f t="shared" si="1603"/>
        <v>2304</v>
      </c>
      <c r="ED232" s="254">
        <f>DS232*DT232*KOslave+DS232*INslave*DX232+KLslave*DT232*DX232</f>
        <v>3456</v>
      </c>
      <c r="EE232" s="224">
        <f t="shared" si="1681"/>
        <v>1728</v>
      </c>
      <c r="EF232" s="224">
        <f t="shared" si="1682"/>
        <v>7488</v>
      </c>
      <c r="EG232" s="222">
        <f t="shared" si="1683"/>
        <v>3.6923076923076925</v>
      </c>
      <c r="EH232" s="223">
        <f t="shared" si="1684"/>
        <v>11.076923076923077</v>
      </c>
      <c r="EI232" s="243">
        <f t="shared" si="1685"/>
        <v>8.3076923076923084</v>
      </c>
      <c r="EJ232" s="243">
        <f t="shared" si="1686"/>
        <v>23.07692307692308</v>
      </c>
      <c r="EK232" s="252">
        <f t="shared" si="1604"/>
        <v>0</v>
      </c>
      <c r="EL232" s="309">
        <f t="shared" si="1687"/>
        <v>23.07692307692308</v>
      </c>
      <c r="EM232" s="218">
        <f>IF(EJ232&lt;=0,2,0)+IF(EJ232&gt;0,EJ232+1,0)*2+IF(EJ232&gt;12,EJ232-12,0)*2+IF(EJ232&gt;13,EJ232-13,0)*2+IF(EJ232&gt;14,EJ232-14,0)*2+IF(EJ232&gt;15,EJ232-15,0)*2+IF(EJ232&gt;16,EJ232-16,0)*2+IF(EJ232&gt;17,EJ232-17,0)*2+IF(EJ232&gt;18,EJ232-18,0)*2+IF(EJ232&gt;19,EJ232-19,0)*2+IF(EJ232&gt;20,EJ232-20,0)*2</f>
        <v>175.5384615384616</v>
      </c>
      <c r="EN232" s="242">
        <f>IF(EK232&lt;=0,2,0)+IF(EK232&gt;0,EK232+1,0)*2+IF(EK232&gt;12,EK232-12,0)*2+IF(EK232&gt;13,EK232-13,0)*2+IF(EK232&gt;14,EK232-14,0)*2+IF(EK232&gt;15,EK232-15,0)*2+IF(EK232&gt;16,EK232-16,0)*2+IF(EK232&gt;17,EK232-17,0)*2+IF(EK232&gt;18,EK232-18,0)*2+IF(EK232&gt;19,EK232-19,0)*2+IF(EK232&gt;20,EK232-20,0)*2</f>
        <v>2</v>
      </c>
      <c r="EO232" s="243">
        <f t="shared" si="1688"/>
        <v>173.5384615384616</v>
      </c>
      <c r="EP232" s="218">
        <f t="shared" si="1689"/>
        <v>0</v>
      </c>
      <c r="ER232" s="303" t="s">
        <v>198</v>
      </c>
      <c r="ES232" s="304" t="s">
        <v>226</v>
      </c>
      <c r="ET232" s="305" t="s">
        <v>132</v>
      </c>
      <c r="EU232" s="317"/>
      <c r="EV232" s="254">
        <f>Konvention_1slave-KLslave</f>
        <v>12</v>
      </c>
      <c r="EW232" s="254">
        <f t="shared" si="1616"/>
        <v>12</v>
      </c>
      <c r="EX232" s="254"/>
      <c r="EY232" s="254"/>
      <c r="EZ232" s="254"/>
      <c r="FA232" s="254">
        <f>Konvention_1slave-KOslave</f>
        <v>12</v>
      </c>
      <c r="FB232" s="318"/>
      <c r="FC232" s="223">
        <f t="shared" si="1690"/>
        <v>12</v>
      </c>
      <c r="FD232" s="223">
        <f t="shared" si="1691"/>
        <v>24</v>
      </c>
      <c r="FE232" s="224">
        <f t="shared" si="1692"/>
        <v>36</v>
      </c>
      <c r="FF232" s="237">
        <f t="shared" si="1605"/>
        <v>2304</v>
      </c>
      <c r="FG232" s="254">
        <f>EV232*EW232*KOslave+EV232*INslave*FA232+KLslave*EW232*FA232</f>
        <v>3456</v>
      </c>
      <c r="FH232" s="224">
        <f t="shared" si="1693"/>
        <v>1728</v>
      </c>
      <c r="FI232" s="224">
        <f t="shared" si="1694"/>
        <v>7488</v>
      </c>
      <c r="FJ232" s="222">
        <f t="shared" si="1695"/>
        <v>3.6923076923076925</v>
      </c>
      <c r="FK232" s="223">
        <f t="shared" si="1696"/>
        <v>11.076923076923077</v>
      </c>
      <c r="FL232" s="243">
        <f t="shared" si="1697"/>
        <v>8.3076923076923084</v>
      </c>
      <c r="FM232" s="243">
        <f t="shared" si="1698"/>
        <v>23.07692307692308</v>
      </c>
      <c r="FN232" s="252">
        <f t="shared" si="1606"/>
        <v>0</v>
      </c>
      <c r="FO232" s="309">
        <f t="shared" si="1699"/>
        <v>23.07692307692308</v>
      </c>
      <c r="FP232" s="218">
        <f>IF(FM232&lt;=0,2,0)+IF(FM232&gt;0,FM232+1,0)*2+IF(FM232&gt;12,FM232-12,0)*2+IF(FM232&gt;13,FM232-13,0)*2+IF(FM232&gt;14,FM232-14,0)*2+IF(FM232&gt;15,FM232-15,0)*2+IF(FM232&gt;16,FM232-16,0)*2+IF(FM232&gt;17,FM232-17,0)*2+IF(FM232&gt;18,FM232-18,0)*2+IF(FM232&gt;19,FM232-19,0)*2+IF(FM232&gt;20,FM232-20,0)*2</f>
        <v>175.5384615384616</v>
      </c>
      <c r="FQ232" s="242">
        <f>IF(FN232&lt;=0,2,0)+IF(FN232&gt;0,FN232+1,0)*2+IF(FN232&gt;12,FN232-12,0)*2+IF(FN232&gt;13,FN232-13,0)*2+IF(FN232&gt;14,FN232-14,0)*2+IF(FN232&gt;15,FN232-15,0)*2+IF(FN232&gt;16,FN232-16,0)*2+IF(FN232&gt;17,FN232-17,0)*2+IF(FN232&gt;18,FN232-18,0)*2+IF(FN232&gt;19,FN232-19,0)*2+IF(FN232&gt;20,FN232-20,0)*2</f>
        <v>2</v>
      </c>
      <c r="FR232" s="243">
        <f t="shared" si="1700"/>
        <v>173.5384615384616</v>
      </c>
      <c r="FS232" s="218">
        <f t="shared" si="1701"/>
        <v>0</v>
      </c>
      <c r="FU232" s="303" t="s">
        <v>198</v>
      </c>
      <c r="FV232" s="304" t="s">
        <v>226</v>
      </c>
      <c r="FW232" s="305" t="s">
        <v>132</v>
      </c>
      <c r="FX232" s="317"/>
      <c r="FY232" s="254">
        <f>Konvention_1slave-KLslave</f>
        <v>12</v>
      </c>
      <c r="FZ232" s="254">
        <f t="shared" si="1617"/>
        <v>12</v>
      </c>
      <c r="GA232" s="254"/>
      <c r="GB232" s="254"/>
      <c r="GC232" s="254"/>
      <c r="GD232" s="254">
        <f>Konvention_1slave-KOslave</f>
        <v>12</v>
      </c>
      <c r="GE232" s="318"/>
      <c r="GF232" s="223">
        <f t="shared" si="1702"/>
        <v>12</v>
      </c>
      <c r="GG232" s="223">
        <f t="shared" si="1703"/>
        <v>24</v>
      </c>
      <c r="GH232" s="224">
        <f t="shared" si="1704"/>
        <v>36</v>
      </c>
      <c r="GI232" s="237">
        <f t="shared" si="1607"/>
        <v>2304</v>
      </c>
      <c r="GJ232" s="254">
        <f>FY232*FZ232*KOslave+FY232*INslave*GD232+KLslave*FZ232*GD232</f>
        <v>3456</v>
      </c>
      <c r="GK232" s="224">
        <f t="shared" si="1705"/>
        <v>1728</v>
      </c>
      <c r="GL232" s="224">
        <f t="shared" si="1706"/>
        <v>7488</v>
      </c>
      <c r="GM232" s="222">
        <f t="shared" si="1707"/>
        <v>3.6923076923076925</v>
      </c>
      <c r="GN232" s="223">
        <f t="shared" si="1708"/>
        <v>11.076923076923077</v>
      </c>
      <c r="GO232" s="243">
        <f t="shared" si="1709"/>
        <v>8.3076923076923084</v>
      </c>
      <c r="GP232" s="243">
        <f t="shared" si="1710"/>
        <v>23.07692307692308</v>
      </c>
      <c r="GQ232" s="252">
        <f t="shared" si="1608"/>
        <v>0</v>
      </c>
      <c r="GR232" s="309">
        <f t="shared" si="1711"/>
        <v>23.07692307692308</v>
      </c>
      <c r="GS232" s="218">
        <f>IF(GP232&lt;=0,2,0)+IF(GP232&gt;0,GP232+1,0)*2+IF(GP232&gt;12,GP232-12,0)*2+IF(GP232&gt;13,GP232-13,0)*2+IF(GP232&gt;14,GP232-14,0)*2+IF(GP232&gt;15,GP232-15,0)*2+IF(GP232&gt;16,GP232-16,0)*2+IF(GP232&gt;17,GP232-17,0)*2+IF(GP232&gt;18,GP232-18,0)*2+IF(GP232&gt;19,GP232-19,0)*2+IF(GP232&gt;20,GP232-20,0)*2</f>
        <v>175.5384615384616</v>
      </c>
      <c r="GT232" s="242">
        <f>IF(GQ232&lt;=0,2,0)+IF(GQ232&gt;0,GQ232+1,0)*2+IF(GQ232&gt;12,GQ232-12,0)*2+IF(GQ232&gt;13,GQ232-13,0)*2+IF(GQ232&gt;14,GQ232-14,0)*2+IF(GQ232&gt;15,GQ232-15,0)*2+IF(GQ232&gt;16,GQ232-16,0)*2+IF(GQ232&gt;17,GQ232-17,0)*2+IF(GQ232&gt;18,GQ232-18,0)*2+IF(GQ232&gt;19,GQ232-19,0)*2+IF(GQ232&gt;20,GQ232-20,0)*2</f>
        <v>2</v>
      </c>
      <c r="GU232" s="243">
        <f t="shared" si="1712"/>
        <v>173.5384615384616</v>
      </c>
      <c r="GV232" s="218">
        <f t="shared" si="1713"/>
        <v>0</v>
      </c>
      <c r="GX232" s="303" t="s">
        <v>198</v>
      </c>
      <c r="GY232" s="304" t="s">
        <v>226</v>
      </c>
      <c r="GZ232" s="305" t="s">
        <v>132</v>
      </c>
      <c r="HA232" s="317"/>
      <c r="HB232" s="254">
        <f>Konvention_1slave-KLslave</f>
        <v>12</v>
      </c>
      <c r="HC232" s="254">
        <f t="shared" si="1618"/>
        <v>12</v>
      </c>
      <c r="HD232" s="254"/>
      <c r="HE232" s="254"/>
      <c r="HF232" s="254"/>
      <c r="HG232" s="254">
        <f>Konvention_1slave-KOslave_KO</f>
        <v>11</v>
      </c>
      <c r="HH232" s="318"/>
      <c r="HI232" s="223">
        <f t="shared" si="1714"/>
        <v>11.666666666666666</v>
      </c>
      <c r="HJ232" s="223">
        <f t="shared" si="1715"/>
        <v>23.333333333333332</v>
      </c>
      <c r="HK232" s="224">
        <f t="shared" si="1716"/>
        <v>35</v>
      </c>
      <c r="HL232" s="237">
        <f t="shared" si="1609"/>
        <v>2432</v>
      </c>
      <c r="HM232" s="254">
        <f>HB232*HC232*KOslave_KO+HB232*INslave*HG232+KLslave*HC232*HG232</f>
        <v>3408</v>
      </c>
      <c r="HN232" s="224">
        <f t="shared" si="1717"/>
        <v>1584</v>
      </c>
      <c r="HO232" s="224">
        <f t="shared" si="1718"/>
        <v>7424</v>
      </c>
      <c r="HP232" s="222">
        <f t="shared" si="1719"/>
        <v>3.8218390804597702</v>
      </c>
      <c r="HQ232" s="223">
        <f t="shared" si="1720"/>
        <v>10.711206896551724</v>
      </c>
      <c r="HR232" s="243">
        <f t="shared" si="1721"/>
        <v>7.4676724137931032</v>
      </c>
      <c r="HS232" s="243">
        <f t="shared" si="1722"/>
        <v>22.000718390804597</v>
      </c>
      <c r="HT232" s="252">
        <f t="shared" si="1610"/>
        <v>0</v>
      </c>
      <c r="HU232" s="309">
        <f t="shared" si="1723"/>
        <v>22.000718390804597</v>
      </c>
      <c r="HV232" s="218">
        <f>IF(HS232&lt;=0,2,0)+IF(HS232&gt;0,HS232+1,0)*2+IF(HS232&gt;12,HS232-12,0)*2+IF(HS232&gt;13,HS232-13,0)*2+IF(HS232&gt;14,HS232-14,0)*2+IF(HS232&gt;15,HS232-15,0)*2+IF(HS232&gt;16,HS232-16,0)*2+IF(HS232&gt;17,HS232-17,0)*2+IF(HS232&gt;18,HS232-18,0)*2+IF(HS232&gt;19,HS232-19,0)*2+IF(HS232&gt;20,HS232-20,0)*2</f>
        <v>154.01436781609189</v>
      </c>
      <c r="HW232" s="242">
        <f>IF(HT232&lt;=0,2,0)+IF(HT232&gt;0,HT232+1,0)*2+IF(HT232&gt;12,HT232-12,0)*2+IF(HT232&gt;13,HT232-13,0)*2+IF(HT232&gt;14,HT232-14,0)*2+IF(HT232&gt;15,HT232-15,0)*2+IF(HT232&gt;16,HT232-16,0)*2+IF(HT232&gt;17,HT232-17,0)*2+IF(HT232&gt;18,HT232-18,0)*2+IF(HT232&gt;19,HT232-19,0)*2+IF(HT232&gt;20,HT232-20,0)*2</f>
        <v>2</v>
      </c>
      <c r="HX232" s="243">
        <f t="shared" si="1724"/>
        <v>152.01436781609189</v>
      </c>
      <c r="HY232" s="218">
        <f t="shared" si="1725"/>
        <v>0</v>
      </c>
      <c r="IA232" s="303" t="s">
        <v>198</v>
      </c>
      <c r="IB232" s="304" t="s">
        <v>226</v>
      </c>
      <c r="IC232" s="305" t="s">
        <v>132</v>
      </c>
      <c r="ID232" s="317"/>
      <c r="IE232" s="254">
        <f>Konvention_1slave-KLslave</f>
        <v>12</v>
      </c>
      <c r="IF232" s="254">
        <f t="shared" si="1619"/>
        <v>12</v>
      </c>
      <c r="IG232" s="254"/>
      <c r="IH232" s="254"/>
      <c r="II232" s="254"/>
      <c r="IJ232" s="254">
        <f>Konvention_1slave-KOslave</f>
        <v>12</v>
      </c>
      <c r="IK232" s="318"/>
      <c r="IL232" s="223">
        <f t="shared" si="1726"/>
        <v>12</v>
      </c>
      <c r="IM232" s="223">
        <f t="shared" si="1727"/>
        <v>24</v>
      </c>
      <c r="IN232" s="224">
        <f t="shared" si="1728"/>
        <v>36</v>
      </c>
      <c r="IO232" s="237">
        <f t="shared" si="1611"/>
        <v>2304</v>
      </c>
      <c r="IP232" s="254">
        <f>IE232*IF232*KOslave+IE232*INslave*IJ232+KLslave*IF232*IJ232</f>
        <v>3456</v>
      </c>
      <c r="IQ232" s="224">
        <f t="shared" si="1729"/>
        <v>1728</v>
      </c>
      <c r="IR232" s="224">
        <f t="shared" si="1730"/>
        <v>7488</v>
      </c>
      <c r="IS232" s="222">
        <f t="shared" si="1731"/>
        <v>3.6923076923076925</v>
      </c>
      <c r="IT232" s="223">
        <f t="shared" si="1732"/>
        <v>11.076923076923077</v>
      </c>
      <c r="IU232" s="243">
        <f t="shared" si="1733"/>
        <v>8.3076923076923084</v>
      </c>
      <c r="IV232" s="243">
        <f t="shared" si="1734"/>
        <v>23.07692307692308</v>
      </c>
      <c r="IW232" s="252">
        <f t="shared" si="1612"/>
        <v>0</v>
      </c>
      <c r="IX232" s="309">
        <f t="shared" si="1735"/>
        <v>23.07692307692308</v>
      </c>
      <c r="IY232" s="218">
        <f>IF(IV232&lt;=0,2,0)+IF(IV232&gt;0,IV232+1,0)*2+IF(IV232&gt;12,IV232-12,0)*2+IF(IV232&gt;13,IV232-13,0)*2+IF(IV232&gt;14,IV232-14,0)*2+IF(IV232&gt;15,IV232-15,0)*2+IF(IV232&gt;16,IV232-16,0)*2+IF(IV232&gt;17,IV232-17,0)*2+IF(IV232&gt;18,IV232-18,0)*2+IF(IV232&gt;19,IV232-19,0)*2+IF(IV232&gt;20,IV232-20,0)*2</f>
        <v>175.5384615384616</v>
      </c>
      <c r="IZ232" s="242">
        <f>IF(IW232&lt;=0,2,0)+IF(IW232&gt;0,IW232+1,0)*2+IF(IW232&gt;12,IW232-12,0)*2+IF(IW232&gt;13,IW232-13,0)*2+IF(IW232&gt;14,IW232-14,0)*2+IF(IW232&gt;15,IW232-15,0)*2+IF(IW232&gt;16,IW232-16,0)*2+IF(IW232&gt;17,IW232-17,0)*2+IF(IW232&gt;18,IW232-18,0)*2+IF(IW232&gt;19,IW232-19,0)*2+IF(IW232&gt;20,IW232-20,0)*2</f>
        <v>2</v>
      </c>
      <c r="JA232" s="243">
        <f t="shared" si="1736"/>
        <v>173.5384615384616</v>
      </c>
      <c r="JB232" s="218">
        <f t="shared" si="1737"/>
        <v>0</v>
      </c>
      <c r="JE232" s="148"/>
    </row>
    <row r="233" spans="2:265" hidden="1" outlineLevel="2">
      <c r="B233" s="148">
        <v>21</v>
      </c>
      <c r="C233" s="303" t="e">
        <f>VLOOKUP(AF233,Attribute!C:T,1,FALSE)</f>
        <v>#N/A</v>
      </c>
      <c r="D233" s="86" t="s">
        <v>89</v>
      </c>
      <c r="E233" s="167" t="s">
        <v>132</v>
      </c>
      <c r="F233" s="120"/>
      <c r="G233" s="117">
        <f>Konvention_1master-KLmaster</f>
        <v>12</v>
      </c>
      <c r="H233" s="117"/>
      <c r="I233" s="117"/>
      <c r="J233" s="117">
        <f>Konvention_1master-FFmaster</f>
        <v>12</v>
      </c>
      <c r="K233" s="117"/>
      <c r="L233" s="117"/>
      <c r="M233" s="121">
        <f>Konvention_1master-KKmaster</f>
        <v>12</v>
      </c>
      <c r="N233" s="223">
        <f t="shared" si="1629"/>
        <v>12</v>
      </c>
      <c r="O233" s="223">
        <f t="shared" si="1630"/>
        <v>24</v>
      </c>
      <c r="P233" s="224">
        <f t="shared" si="1631"/>
        <v>36</v>
      </c>
      <c r="Q233" s="237">
        <f t="shared" si="1632"/>
        <v>2304</v>
      </c>
      <c r="R233" s="117">
        <f>G233*J233*KKmaster+G233*FFmaster*M233+KLmaster*J233*M233</f>
        <v>3456</v>
      </c>
      <c r="S233" s="224">
        <f t="shared" si="1633"/>
        <v>1728</v>
      </c>
      <c r="T233" s="224">
        <f>SUM(Q233:S233)</f>
        <v>7488</v>
      </c>
      <c r="U233" s="222">
        <f t="shared" si="1635"/>
        <v>3.6923076923076925</v>
      </c>
      <c r="V233" s="223">
        <f t="shared" si="1636"/>
        <v>11.076923076923077</v>
      </c>
      <c r="W233" s="243">
        <f t="shared" si="1637"/>
        <v>8.3076923076923084</v>
      </c>
      <c r="X233" s="243">
        <f t="shared" si="1638"/>
        <v>23.07692307692308</v>
      </c>
      <c r="Y233" s="252">
        <v>0</v>
      </c>
      <c r="Z233" s="198">
        <f t="shared" si="1639"/>
        <v>23.07692307692308</v>
      </c>
      <c r="AA233" s="125">
        <f>IF(X233&lt;=0,2,0)+IF(X233&gt;0,X233+1,0)*2+IF(X233&gt;12,X233-12,0)*2+IF(X233&gt;13,X233-13,0)*2+IF(X233&gt;14,X233-14,0)*2+IF(X233&gt;15,X233-15,0)*2+IF(X233&gt;16,X233-16,0)*2+IF(X233&gt;17,X233-17,0)*2+IF(X233&gt;18,X233-18,0)*2+IF(X233&gt;19,X233-19,0)*2+IF(X233&gt;20,X233-20,0)*2</f>
        <v>175.5384615384616</v>
      </c>
      <c r="AB233" s="160">
        <f>IF(Y233&lt;=0,2,0)+IF(Y233&gt;0,Y233+1,0)*2+IF(Y233&gt;12,Y233-12,0)*2+IF(Y233&gt;13,Y233-13,0)*2+IF(Y233&gt;14,Y233-14,0)*2+IF(Y233&gt;15,Y233-15,0)*2+IF(Y233&gt;16,Y233-16,0)*2+IF(Y233&gt;17,Y233-17,0)*2+IF(Y233&gt;18,Y233-18,0)*2+IF(Y233&gt;19,Y233-19,0)*2+IF(Y233&gt;20,Y233-20,0)*2</f>
        <v>2</v>
      </c>
      <c r="AC233" s="127">
        <f t="shared" si="1640"/>
        <v>173.5384615384616</v>
      </c>
      <c r="AD233" s="125">
        <f t="shared" si="1641"/>
        <v>0</v>
      </c>
      <c r="AF233" s="163" t="s">
        <v>304</v>
      </c>
      <c r="AG233" s="86" t="s">
        <v>89</v>
      </c>
      <c r="AH233" s="167" t="s">
        <v>132</v>
      </c>
      <c r="AI233" s="120"/>
      <c r="AJ233" s="117">
        <f>Konvention_1slave-KLslave</f>
        <v>12</v>
      </c>
      <c r="AK233" s="117"/>
      <c r="AL233" s="117"/>
      <c r="AM233" s="117">
        <f>Konvention_1slave-FFslave</f>
        <v>12</v>
      </c>
      <c r="AN233" s="117"/>
      <c r="AO233" s="117"/>
      <c r="AP233" s="121">
        <f>Konvention_1slave-KKslave</f>
        <v>12</v>
      </c>
      <c r="AQ233" s="47">
        <f t="shared" si="1642"/>
        <v>12</v>
      </c>
      <c r="AR233" s="3">
        <f t="shared" si="1643"/>
        <v>24</v>
      </c>
      <c r="AS233" s="174">
        <f t="shared" si="1644"/>
        <v>36</v>
      </c>
      <c r="AT233" s="114">
        <f t="shared" si="1597"/>
        <v>2304</v>
      </c>
      <c r="AU233" s="117">
        <f>AJ233*AM233*KKslave+AJ233*FFslave*AP233+KLslave*AM233*AP233</f>
        <v>3456</v>
      </c>
      <c r="AV233" s="119">
        <f t="shared" si="1645"/>
        <v>1728</v>
      </c>
      <c r="AW233" s="119">
        <f t="shared" si="1646"/>
        <v>7488</v>
      </c>
      <c r="AX233" s="89">
        <f t="shared" si="1647"/>
        <v>3.6923076923076925</v>
      </c>
      <c r="AY233" s="47">
        <f t="shared" si="1648"/>
        <v>11.076923076923077</v>
      </c>
      <c r="AZ233" s="127">
        <f t="shared" si="1649"/>
        <v>8.3076923076923084</v>
      </c>
      <c r="BA233" s="127">
        <f t="shared" si="1650"/>
        <v>23.07692307692308</v>
      </c>
      <c r="BB233" s="165">
        <f t="shared" si="1598"/>
        <v>0</v>
      </c>
      <c r="BC233" s="198">
        <f t="shared" si="1651"/>
        <v>23.07692307692308</v>
      </c>
      <c r="BD233" s="125">
        <f>IF(BA233&lt;=0,2,0)+IF(BA233&gt;0,BA233+1,0)*2+IF(BA233&gt;12,BA233-12,0)*2+IF(BA233&gt;13,BA233-13,0)*2+IF(BA233&gt;14,BA233-14,0)*2+IF(BA233&gt;15,BA233-15,0)*2+IF(BA233&gt;16,BA233-16,0)*2+IF(BA233&gt;17,BA233-17,0)*2+IF(BA233&gt;18,BA233-18,0)*2+IF(BA233&gt;19,BA233-19,0)*2+IF(BA233&gt;20,BA233-20,0)*2</f>
        <v>175.5384615384616</v>
      </c>
      <c r="BE233" s="160">
        <f>IF(BB233&lt;=0,2,0)+IF(BB233&gt;0,BB233+1,0)*2+IF(BB233&gt;12,BB233-12,0)*2+IF(BB233&gt;13,BB233-13,0)*2+IF(BB233&gt;14,BB233-14,0)*2+IF(BB233&gt;15,BB233-15,0)*2+IF(BB233&gt;16,BB233-16,0)*2+IF(BB233&gt;17,BB233-17,0)*2+IF(BB233&gt;18,BB233-18,0)*2+IF(BB233&gt;19,BB233-19,0)*2+IF(BB233&gt;20,BB233-20,0)*2</f>
        <v>2</v>
      </c>
      <c r="BF233" s="243">
        <f t="shared" si="1652"/>
        <v>173.5384615384616</v>
      </c>
      <c r="BG233" s="218">
        <f t="shared" si="1653"/>
        <v>0</v>
      </c>
      <c r="BI233" s="303" t="s">
        <v>304</v>
      </c>
      <c r="BJ233" s="304" t="s">
        <v>89</v>
      </c>
      <c r="BK233" s="305" t="s">
        <v>132</v>
      </c>
      <c r="BL233" s="317"/>
      <c r="BM233" s="254">
        <f>Konvention_1slave-KLslave_KL</f>
        <v>11</v>
      </c>
      <c r="BN233" s="254"/>
      <c r="BO233" s="254"/>
      <c r="BP233" s="254">
        <f>Konvention_1slave-FFslave</f>
        <v>12</v>
      </c>
      <c r="BQ233" s="254"/>
      <c r="BR233" s="254"/>
      <c r="BS233" s="318">
        <f>Konvention_1slave-KKslave</f>
        <v>12</v>
      </c>
      <c r="BT233" s="223">
        <f t="shared" si="1654"/>
        <v>11.666666666666666</v>
      </c>
      <c r="BU233" s="223">
        <f t="shared" si="1655"/>
        <v>23.333333333333332</v>
      </c>
      <c r="BV233" s="224">
        <f t="shared" si="1656"/>
        <v>35</v>
      </c>
      <c r="BW233" s="237">
        <f t="shared" si="1599"/>
        <v>2432</v>
      </c>
      <c r="BX233" s="254">
        <f>BM233*BP233*KKslave+BM233*FFslave*BS233+KLslave_KL*BP233*BS233</f>
        <v>3408</v>
      </c>
      <c r="BY233" s="224">
        <f t="shared" si="1657"/>
        <v>1584</v>
      </c>
      <c r="BZ233" s="224">
        <f t="shared" si="1658"/>
        <v>7424</v>
      </c>
      <c r="CA233" s="222">
        <f t="shared" si="1659"/>
        <v>3.8218390804597702</v>
      </c>
      <c r="CB233" s="223">
        <f t="shared" si="1660"/>
        <v>10.711206896551724</v>
      </c>
      <c r="CC233" s="243">
        <f t="shared" si="1661"/>
        <v>7.4676724137931032</v>
      </c>
      <c r="CD233" s="243">
        <f t="shared" si="1662"/>
        <v>22.000718390804597</v>
      </c>
      <c r="CE233" s="252">
        <f t="shared" si="1600"/>
        <v>0</v>
      </c>
      <c r="CF233" s="309">
        <f t="shared" si="1663"/>
        <v>22.000718390804597</v>
      </c>
      <c r="CG233" s="218">
        <f>IF(CD233&lt;=0,2,0)+IF(CD233&gt;0,CD233+1,0)*2+IF(CD233&gt;12,CD233-12,0)*2+IF(CD233&gt;13,CD233-13,0)*2+IF(CD233&gt;14,CD233-14,0)*2+IF(CD233&gt;15,CD233-15,0)*2+IF(CD233&gt;16,CD233-16,0)*2+IF(CD233&gt;17,CD233-17,0)*2+IF(CD233&gt;18,CD233-18,0)*2+IF(CD233&gt;19,CD233-19,0)*2+IF(CD233&gt;20,CD233-20,0)*2</f>
        <v>154.01436781609189</v>
      </c>
      <c r="CH233" s="242">
        <f>IF(CE233&lt;=0,2,0)+IF(CE233&gt;0,CE233+1,0)*2+IF(CE233&gt;12,CE233-12,0)*2+IF(CE233&gt;13,CE233-13,0)*2+IF(CE233&gt;14,CE233-14,0)*2+IF(CE233&gt;15,CE233-15,0)*2+IF(CE233&gt;16,CE233-16,0)*2+IF(CE233&gt;17,CE233-17,0)*2+IF(CE233&gt;18,CE233-18,0)*2+IF(CE233&gt;19,CE233-19,0)*2+IF(CE233&gt;20,CE233-20,0)*2</f>
        <v>2</v>
      </c>
      <c r="CI233" s="243">
        <f t="shared" si="1664"/>
        <v>152.01436781609189</v>
      </c>
      <c r="CJ233" s="218">
        <f t="shared" si="1665"/>
        <v>0</v>
      </c>
      <c r="CL233" s="303" t="s">
        <v>304</v>
      </c>
      <c r="CM233" s="304" t="s">
        <v>89</v>
      </c>
      <c r="CN233" s="305" t="s">
        <v>132</v>
      </c>
      <c r="CO233" s="317"/>
      <c r="CP233" s="254">
        <f>Konvention_1slave-KLslave</f>
        <v>12</v>
      </c>
      <c r="CQ233" s="254"/>
      <c r="CR233" s="254"/>
      <c r="CS233" s="254">
        <f>Konvention_1slave-FFslave</f>
        <v>12</v>
      </c>
      <c r="CT233" s="254"/>
      <c r="CU233" s="254"/>
      <c r="CV233" s="318">
        <f>Konvention_1slave-KKslave</f>
        <v>12</v>
      </c>
      <c r="CW233" s="223">
        <f t="shared" si="1666"/>
        <v>12</v>
      </c>
      <c r="CX233" s="223">
        <f t="shared" si="1667"/>
        <v>24</v>
      </c>
      <c r="CY233" s="224">
        <f t="shared" si="1668"/>
        <v>36</v>
      </c>
      <c r="CZ233" s="237">
        <f t="shared" si="1601"/>
        <v>2304</v>
      </c>
      <c r="DA233" s="254">
        <f>CP233*CS233*KKslave+CP233*FFslave*CV233+KLslave*CS233*CV233</f>
        <v>3456</v>
      </c>
      <c r="DB233" s="224">
        <f t="shared" si="1669"/>
        <v>1728</v>
      </c>
      <c r="DC233" s="224">
        <f t="shared" si="1670"/>
        <v>7488</v>
      </c>
      <c r="DD233" s="222">
        <f t="shared" si="1671"/>
        <v>3.6923076923076925</v>
      </c>
      <c r="DE233" s="223">
        <f t="shared" si="1672"/>
        <v>11.076923076923077</v>
      </c>
      <c r="DF233" s="243">
        <f t="shared" si="1673"/>
        <v>8.3076923076923084</v>
      </c>
      <c r="DG233" s="243">
        <f t="shared" si="1674"/>
        <v>23.07692307692308</v>
      </c>
      <c r="DH233" s="252">
        <f t="shared" si="1602"/>
        <v>0</v>
      </c>
      <c r="DI233" s="309">
        <f t="shared" si="1675"/>
        <v>23.07692307692308</v>
      </c>
      <c r="DJ233" s="218">
        <f>IF(DG233&lt;=0,2,0)+IF(DG233&gt;0,DG233+1,0)*2+IF(DG233&gt;12,DG233-12,0)*2+IF(DG233&gt;13,DG233-13,0)*2+IF(DG233&gt;14,DG233-14,0)*2+IF(DG233&gt;15,DG233-15,0)*2+IF(DG233&gt;16,DG233-16,0)*2+IF(DG233&gt;17,DG233-17,0)*2+IF(DG233&gt;18,DG233-18,0)*2+IF(DG233&gt;19,DG233-19,0)*2+IF(DG233&gt;20,DG233-20,0)*2</f>
        <v>175.5384615384616</v>
      </c>
      <c r="DK233" s="242">
        <f>IF(DH233&lt;=0,2,0)+IF(DH233&gt;0,DH233+1,0)*2+IF(DH233&gt;12,DH233-12,0)*2+IF(DH233&gt;13,DH233-13,0)*2+IF(DH233&gt;14,DH233-14,0)*2+IF(DH233&gt;15,DH233-15,0)*2+IF(DH233&gt;16,DH233-16,0)*2+IF(DH233&gt;17,DH233-17,0)*2+IF(DH233&gt;18,DH233-18,0)*2+IF(DH233&gt;19,DH233-19,0)*2+IF(DH233&gt;20,DH233-20,0)*2</f>
        <v>2</v>
      </c>
      <c r="DL233" s="243">
        <f t="shared" si="1676"/>
        <v>173.5384615384616</v>
      </c>
      <c r="DM233" s="218">
        <f t="shared" si="1677"/>
        <v>0</v>
      </c>
      <c r="DO233" s="303" t="s">
        <v>304</v>
      </c>
      <c r="DP233" s="304" t="s">
        <v>89</v>
      </c>
      <c r="DQ233" s="305" t="s">
        <v>132</v>
      </c>
      <c r="DR233" s="317"/>
      <c r="DS233" s="254">
        <f>Konvention_1slave-KLslave</f>
        <v>12</v>
      </c>
      <c r="DT233" s="254"/>
      <c r="DU233" s="254"/>
      <c r="DV233" s="254">
        <f>Konvention_1slave-FFslave</f>
        <v>12</v>
      </c>
      <c r="DW233" s="254"/>
      <c r="DX233" s="254"/>
      <c r="DY233" s="318">
        <f>Konvention_1slave-KKslave</f>
        <v>12</v>
      </c>
      <c r="DZ233" s="223">
        <f t="shared" si="1678"/>
        <v>12</v>
      </c>
      <c r="EA233" s="223">
        <f t="shared" si="1679"/>
        <v>24</v>
      </c>
      <c r="EB233" s="224">
        <f t="shared" si="1680"/>
        <v>36</v>
      </c>
      <c r="EC233" s="237">
        <f t="shared" si="1603"/>
        <v>2304</v>
      </c>
      <c r="ED233" s="254">
        <f>DS233*DV233*KKslave+DS233*FFslave*DY233+KLslave*DV233*DY233</f>
        <v>3456</v>
      </c>
      <c r="EE233" s="224">
        <f t="shared" si="1681"/>
        <v>1728</v>
      </c>
      <c r="EF233" s="224">
        <f t="shared" si="1682"/>
        <v>7488</v>
      </c>
      <c r="EG233" s="222">
        <f t="shared" si="1683"/>
        <v>3.6923076923076925</v>
      </c>
      <c r="EH233" s="223">
        <f t="shared" si="1684"/>
        <v>11.076923076923077</v>
      </c>
      <c r="EI233" s="243">
        <f t="shared" si="1685"/>
        <v>8.3076923076923084</v>
      </c>
      <c r="EJ233" s="243">
        <f t="shared" si="1686"/>
        <v>23.07692307692308</v>
      </c>
      <c r="EK233" s="252">
        <f t="shared" si="1604"/>
        <v>0</v>
      </c>
      <c r="EL233" s="309">
        <f t="shared" si="1687"/>
        <v>23.07692307692308</v>
      </c>
      <c r="EM233" s="218">
        <f>IF(EJ233&lt;=0,2,0)+IF(EJ233&gt;0,EJ233+1,0)*2+IF(EJ233&gt;12,EJ233-12,0)*2+IF(EJ233&gt;13,EJ233-13,0)*2+IF(EJ233&gt;14,EJ233-14,0)*2+IF(EJ233&gt;15,EJ233-15,0)*2+IF(EJ233&gt;16,EJ233-16,0)*2+IF(EJ233&gt;17,EJ233-17,0)*2+IF(EJ233&gt;18,EJ233-18,0)*2+IF(EJ233&gt;19,EJ233-19,0)*2+IF(EJ233&gt;20,EJ233-20,0)*2</f>
        <v>175.5384615384616</v>
      </c>
      <c r="EN233" s="242">
        <f>IF(EK233&lt;=0,2,0)+IF(EK233&gt;0,EK233+1,0)*2+IF(EK233&gt;12,EK233-12,0)*2+IF(EK233&gt;13,EK233-13,0)*2+IF(EK233&gt;14,EK233-14,0)*2+IF(EK233&gt;15,EK233-15,0)*2+IF(EK233&gt;16,EK233-16,0)*2+IF(EK233&gt;17,EK233-17,0)*2+IF(EK233&gt;18,EK233-18,0)*2+IF(EK233&gt;19,EK233-19,0)*2+IF(EK233&gt;20,EK233-20,0)*2</f>
        <v>2</v>
      </c>
      <c r="EO233" s="243">
        <f t="shared" si="1688"/>
        <v>173.5384615384616</v>
      </c>
      <c r="EP233" s="218">
        <f t="shared" si="1689"/>
        <v>0</v>
      </c>
      <c r="ER233" s="303" t="s">
        <v>304</v>
      </c>
      <c r="ES233" s="304" t="s">
        <v>89</v>
      </c>
      <c r="ET233" s="305" t="s">
        <v>132</v>
      </c>
      <c r="EU233" s="317"/>
      <c r="EV233" s="254">
        <f>Konvention_1slave-KLslave</f>
        <v>12</v>
      </c>
      <c r="EW233" s="254"/>
      <c r="EX233" s="254"/>
      <c r="EY233" s="254">
        <f>Konvention_1slave-FFslave_FF</f>
        <v>11</v>
      </c>
      <c r="EZ233" s="254"/>
      <c r="FA233" s="254"/>
      <c r="FB233" s="318">
        <f>Konvention_1slave-KKslave</f>
        <v>12</v>
      </c>
      <c r="FC233" s="223">
        <f t="shared" si="1690"/>
        <v>11.666666666666666</v>
      </c>
      <c r="FD233" s="223">
        <f t="shared" si="1691"/>
        <v>23.333333333333332</v>
      </c>
      <c r="FE233" s="224">
        <f t="shared" si="1692"/>
        <v>35</v>
      </c>
      <c r="FF233" s="237">
        <f t="shared" si="1605"/>
        <v>2432</v>
      </c>
      <c r="FG233" s="254">
        <f>EV233*EY233*KKslave+EV233*FFslave_FF*FB233+KLslave*EY233*FB233</f>
        <v>3408</v>
      </c>
      <c r="FH233" s="224">
        <f t="shared" si="1693"/>
        <v>1584</v>
      </c>
      <c r="FI233" s="224">
        <f t="shared" si="1694"/>
        <v>7424</v>
      </c>
      <c r="FJ233" s="222">
        <f t="shared" si="1695"/>
        <v>3.8218390804597702</v>
      </c>
      <c r="FK233" s="223">
        <f t="shared" si="1696"/>
        <v>10.711206896551724</v>
      </c>
      <c r="FL233" s="243">
        <f t="shared" si="1697"/>
        <v>7.4676724137931032</v>
      </c>
      <c r="FM233" s="243">
        <f t="shared" si="1698"/>
        <v>22.000718390804597</v>
      </c>
      <c r="FN233" s="252">
        <f t="shared" si="1606"/>
        <v>0</v>
      </c>
      <c r="FO233" s="309">
        <f t="shared" si="1699"/>
        <v>22.000718390804597</v>
      </c>
      <c r="FP233" s="218">
        <f>IF(FM233&lt;=0,2,0)+IF(FM233&gt;0,FM233+1,0)*2+IF(FM233&gt;12,FM233-12,0)*2+IF(FM233&gt;13,FM233-13,0)*2+IF(FM233&gt;14,FM233-14,0)*2+IF(FM233&gt;15,FM233-15,0)*2+IF(FM233&gt;16,FM233-16,0)*2+IF(FM233&gt;17,FM233-17,0)*2+IF(FM233&gt;18,FM233-18,0)*2+IF(FM233&gt;19,FM233-19,0)*2+IF(FM233&gt;20,FM233-20,0)*2</f>
        <v>154.01436781609189</v>
      </c>
      <c r="FQ233" s="242">
        <f>IF(FN233&lt;=0,2,0)+IF(FN233&gt;0,FN233+1,0)*2+IF(FN233&gt;12,FN233-12,0)*2+IF(FN233&gt;13,FN233-13,0)*2+IF(FN233&gt;14,FN233-14,0)*2+IF(FN233&gt;15,FN233-15,0)*2+IF(FN233&gt;16,FN233-16,0)*2+IF(FN233&gt;17,FN233-17,0)*2+IF(FN233&gt;18,FN233-18,0)*2+IF(FN233&gt;19,FN233-19,0)*2+IF(FN233&gt;20,FN233-20,0)*2</f>
        <v>2</v>
      </c>
      <c r="FR233" s="243">
        <f t="shared" si="1700"/>
        <v>152.01436781609189</v>
      </c>
      <c r="FS233" s="218">
        <f t="shared" si="1701"/>
        <v>0</v>
      </c>
      <c r="FU233" s="303" t="s">
        <v>304</v>
      </c>
      <c r="FV233" s="304" t="s">
        <v>89</v>
      </c>
      <c r="FW233" s="305" t="s">
        <v>132</v>
      </c>
      <c r="FX233" s="317"/>
      <c r="FY233" s="254">
        <f>Konvention_1slave-KLslave</f>
        <v>12</v>
      </c>
      <c r="FZ233" s="254"/>
      <c r="GA233" s="254"/>
      <c r="GB233" s="254">
        <f>Konvention_1slave-FFslave</f>
        <v>12</v>
      </c>
      <c r="GC233" s="254"/>
      <c r="GD233" s="254"/>
      <c r="GE233" s="318">
        <f>Konvention_1slave-KKslave</f>
        <v>12</v>
      </c>
      <c r="GF233" s="223">
        <f t="shared" si="1702"/>
        <v>12</v>
      </c>
      <c r="GG233" s="223">
        <f t="shared" si="1703"/>
        <v>24</v>
      </c>
      <c r="GH233" s="224">
        <f t="shared" si="1704"/>
        <v>36</v>
      </c>
      <c r="GI233" s="237">
        <f t="shared" si="1607"/>
        <v>2304</v>
      </c>
      <c r="GJ233" s="254">
        <f>FY233*GB233*KKslave+FY233*FFslave*GE233+KLslave*GB233*GE233</f>
        <v>3456</v>
      </c>
      <c r="GK233" s="224">
        <f t="shared" si="1705"/>
        <v>1728</v>
      </c>
      <c r="GL233" s="224">
        <f t="shared" si="1706"/>
        <v>7488</v>
      </c>
      <c r="GM233" s="222">
        <f t="shared" si="1707"/>
        <v>3.6923076923076925</v>
      </c>
      <c r="GN233" s="223">
        <f t="shared" si="1708"/>
        <v>11.076923076923077</v>
      </c>
      <c r="GO233" s="243">
        <f t="shared" si="1709"/>
        <v>8.3076923076923084</v>
      </c>
      <c r="GP233" s="243">
        <f t="shared" si="1710"/>
        <v>23.07692307692308</v>
      </c>
      <c r="GQ233" s="252">
        <f t="shared" si="1608"/>
        <v>0</v>
      </c>
      <c r="GR233" s="309">
        <f t="shared" si="1711"/>
        <v>23.07692307692308</v>
      </c>
      <c r="GS233" s="218">
        <f>IF(GP233&lt;=0,2,0)+IF(GP233&gt;0,GP233+1,0)*2+IF(GP233&gt;12,GP233-12,0)*2+IF(GP233&gt;13,GP233-13,0)*2+IF(GP233&gt;14,GP233-14,0)*2+IF(GP233&gt;15,GP233-15,0)*2+IF(GP233&gt;16,GP233-16,0)*2+IF(GP233&gt;17,GP233-17,0)*2+IF(GP233&gt;18,GP233-18,0)*2+IF(GP233&gt;19,GP233-19,0)*2+IF(GP233&gt;20,GP233-20,0)*2</f>
        <v>175.5384615384616</v>
      </c>
      <c r="GT233" s="242">
        <f>IF(GQ233&lt;=0,2,0)+IF(GQ233&gt;0,GQ233+1,0)*2+IF(GQ233&gt;12,GQ233-12,0)*2+IF(GQ233&gt;13,GQ233-13,0)*2+IF(GQ233&gt;14,GQ233-14,0)*2+IF(GQ233&gt;15,GQ233-15,0)*2+IF(GQ233&gt;16,GQ233-16,0)*2+IF(GQ233&gt;17,GQ233-17,0)*2+IF(GQ233&gt;18,GQ233-18,0)*2+IF(GQ233&gt;19,GQ233-19,0)*2+IF(GQ233&gt;20,GQ233-20,0)*2</f>
        <v>2</v>
      </c>
      <c r="GU233" s="243">
        <f t="shared" si="1712"/>
        <v>173.5384615384616</v>
      </c>
      <c r="GV233" s="218">
        <f t="shared" si="1713"/>
        <v>0</v>
      </c>
      <c r="GX233" s="303" t="s">
        <v>304</v>
      </c>
      <c r="GY233" s="304" t="s">
        <v>89</v>
      </c>
      <c r="GZ233" s="305" t="s">
        <v>132</v>
      </c>
      <c r="HA233" s="317"/>
      <c r="HB233" s="254">
        <f>Konvention_1slave-KLslave</f>
        <v>12</v>
      </c>
      <c r="HC233" s="254"/>
      <c r="HD233" s="254"/>
      <c r="HE233" s="254">
        <f>Konvention_1slave-FFslave</f>
        <v>12</v>
      </c>
      <c r="HF233" s="254"/>
      <c r="HG233" s="254"/>
      <c r="HH233" s="318">
        <f>Konvention_1slave-KKslave</f>
        <v>12</v>
      </c>
      <c r="HI233" s="223">
        <f t="shared" si="1714"/>
        <v>12</v>
      </c>
      <c r="HJ233" s="223">
        <f t="shared" si="1715"/>
        <v>24</v>
      </c>
      <c r="HK233" s="224">
        <f t="shared" si="1716"/>
        <v>36</v>
      </c>
      <c r="HL233" s="237">
        <f t="shared" si="1609"/>
        <v>2304</v>
      </c>
      <c r="HM233" s="254">
        <f>HB233*HE233*KKslave+HB233*FFslave*HH233+KLslave*HE233*HH233</f>
        <v>3456</v>
      </c>
      <c r="HN233" s="224">
        <f t="shared" si="1717"/>
        <v>1728</v>
      </c>
      <c r="HO233" s="224">
        <f t="shared" si="1718"/>
        <v>7488</v>
      </c>
      <c r="HP233" s="222">
        <f t="shared" si="1719"/>
        <v>3.6923076923076925</v>
      </c>
      <c r="HQ233" s="223">
        <f t="shared" si="1720"/>
        <v>11.076923076923077</v>
      </c>
      <c r="HR233" s="243">
        <f t="shared" si="1721"/>
        <v>8.3076923076923084</v>
      </c>
      <c r="HS233" s="243">
        <f t="shared" si="1722"/>
        <v>23.07692307692308</v>
      </c>
      <c r="HT233" s="252">
        <f t="shared" si="1610"/>
        <v>0</v>
      </c>
      <c r="HU233" s="309">
        <f t="shared" si="1723"/>
        <v>23.07692307692308</v>
      </c>
      <c r="HV233" s="218">
        <f>IF(HS233&lt;=0,2,0)+IF(HS233&gt;0,HS233+1,0)*2+IF(HS233&gt;12,HS233-12,0)*2+IF(HS233&gt;13,HS233-13,0)*2+IF(HS233&gt;14,HS233-14,0)*2+IF(HS233&gt;15,HS233-15,0)*2+IF(HS233&gt;16,HS233-16,0)*2+IF(HS233&gt;17,HS233-17,0)*2+IF(HS233&gt;18,HS233-18,0)*2+IF(HS233&gt;19,HS233-19,0)*2+IF(HS233&gt;20,HS233-20,0)*2</f>
        <v>175.5384615384616</v>
      </c>
      <c r="HW233" s="242">
        <f>IF(HT233&lt;=0,2,0)+IF(HT233&gt;0,HT233+1,0)*2+IF(HT233&gt;12,HT233-12,0)*2+IF(HT233&gt;13,HT233-13,0)*2+IF(HT233&gt;14,HT233-14,0)*2+IF(HT233&gt;15,HT233-15,0)*2+IF(HT233&gt;16,HT233-16,0)*2+IF(HT233&gt;17,HT233-17,0)*2+IF(HT233&gt;18,HT233-18,0)*2+IF(HT233&gt;19,HT233-19,0)*2+IF(HT233&gt;20,HT233-20,0)*2</f>
        <v>2</v>
      </c>
      <c r="HX233" s="243">
        <f t="shared" si="1724"/>
        <v>173.5384615384616</v>
      </c>
      <c r="HY233" s="218">
        <f t="shared" si="1725"/>
        <v>0</v>
      </c>
      <c r="IA233" s="303" t="s">
        <v>304</v>
      </c>
      <c r="IB233" s="304" t="s">
        <v>89</v>
      </c>
      <c r="IC233" s="305" t="s">
        <v>132</v>
      </c>
      <c r="ID233" s="317"/>
      <c r="IE233" s="254">
        <f>Konvention_1slave-KLslave</f>
        <v>12</v>
      </c>
      <c r="IF233" s="254"/>
      <c r="IG233" s="254"/>
      <c r="IH233" s="254">
        <f>Konvention_1slave-FFslave</f>
        <v>12</v>
      </c>
      <c r="II233" s="254"/>
      <c r="IJ233" s="254"/>
      <c r="IK233" s="318">
        <f>Konvention_1slave-KKslave_KK</f>
        <v>11</v>
      </c>
      <c r="IL233" s="223">
        <f t="shared" si="1726"/>
        <v>11.666666666666666</v>
      </c>
      <c r="IM233" s="223">
        <f t="shared" si="1727"/>
        <v>23.333333333333332</v>
      </c>
      <c r="IN233" s="224">
        <f t="shared" si="1728"/>
        <v>35</v>
      </c>
      <c r="IO233" s="237">
        <f t="shared" si="1611"/>
        <v>2432</v>
      </c>
      <c r="IP233" s="254">
        <f>IE233*IH233*KKslave_KK+IE233*FFslave*IK233+KLslave*IH233*IK233</f>
        <v>3408</v>
      </c>
      <c r="IQ233" s="224">
        <f t="shared" si="1729"/>
        <v>1584</v>
      </c>
      <c r="IR233" s="224">
        <f t="shared" si="1730"/>
        <v>7424</v>
      </c>
      <c r="IS233" s="222">
        <f t="shared" si="1731"/>
        <v>3.8218390804597702</v>
      </c>
      <c r="IT233" s="223">
        <f t="shared" si="1732"/>
        <v>10.711206896551724</v>
      </c>
      <c r="IU233" s="243">
        <f t="shared" si="1733"/>
        <v>7.4676724137931032</v>
      </c>
      <c r="IV233" s="243">
        <f t="shared" si="1734"/>
        <v>22.000718390804597</v>
      </c>
      <c r="IW233" s="252">
        <f t="shared" si="1612"/>
        <v>0</v>
      </c>
      <c r="IX233" s="309">
        <f t="shared" si="1735"/>
        <v>22.000718390804597</v>
      </c>
      <c r="IY233" s="218">
        <f>IF(IV233&lt;=0,2,0)+IF(IV233&gt;0,IV233+1,0)*2+IF(IV233&gt;12,IV233-12,0)*2+IF(IV233&gt;13,IV233-13,0)*2+IF(IV233&gt;14,IV233-14,0)*2+IF(IV233&gt;15,IV233-15,0)*2+IF(IV233&gt;16,IV233-16,0)*2+IF(IV233&gt;17,IV233-17,0)*2+IF(IV233&gt;18,IV233-18,0)*2+IF(IV233&gt;19,IV233-19,0)*2+IF(IV233&gt;20,IV233-20,0)*2</f>
        <v>154.01436781609189</v>
      </c>
      <c r="IZ233" s="242">
        <f>IF(IW233&lt;=0,2,0)+IF(IW233&gt;0,IW233+1,0)*2+IF(IW233&gt;12,IW233-12,0)*2+IF(IW233&gt;13,IW233-13,0)*2+IF(IW233&gt;14,IW233-14,0)*2+IF(IW233&gt;15,IW233-15,0)*2+IF(IW233&gt;16,IW233-16,0)*2+IF(IW233&gt;17,IW233-17,0)*2+IF(IW233&gt;18,IW233-18,0)*2+IF(IW233&gt;19,IW233-19,0)*2+IF(IW233&gt;20,IW233-20,0)*2</f>
        <v>2</v>
      </c>
      <c r="JA233" s="243">
        <f t="shared" si="1736"/>
        <v>152.01436781609189</v>
      </c>
      <c r="JB233" s="218">
        <f t="shared" si="1737"/>
        <v>0</v>
      </c>
      <c r="JE233" s="148"/>
    </row>
    <row r="234" spans="2:265" hidden="1" outlineLevel="2">
      <c r="B234" s="148">
        <v>22</v>
      </c>
      <c r="C234" s="303" t="e">
        <f>VLOOKUP(AF234,Attribute!C:T,1,FALSE)</f>
        <v>#N/A</v>
      </c>
      <c r="D234" s="86" t="s">
        <v>86</v>
      </c>
      <c r="E234" s="167" t="s">
        <v>135</v>
      </c>
      <c r="F234" s="120">
        <f>Konvention_1master-MUmaster</f>
        <v>12</v>
      </c>
      <c r="G234" s="117"/>
      <c r="H234" s="117">
        <f>Konvention_1master-INmaster</f>
        <v>12</v>
      </c>
      <c r="I234" s="117">
        <f>Konvention_1master-CHmaster</f>
        <v>12</v>
      </c>
      <c r="J234" s="117"/>
      <c r="K234" s="117"/>
      <c r="L234" s="117"/>
      <c r="M234" s="121"/>
      <c r="N234" s="223">
        <f t="shared" si="1629"/>
        <v>12</v>
      </c>
      <c r="O234" s="223">
        <f t="shared" si="1630"/>
        <v>24</v>
      </c>
      <c r="P234" s="224">
        <f t="shared" si="1631"/>
        <v>36</v>
      </c>
      <c r="Q234" s="237">
        <f t="shared" si="1632"/>
        <v>2304</v>
      </c>
      <c r="R234" s="117">
        <f>F234*H234*CHmaster+F234*INmaster*I234+MUmaster*H234*I234</f>
        <v>3456</v>
      </c>
      <c r="S234" s="224">
        <f t="shared" si="1633"/>
        <v>1728</v>
      </c>
      <c r="T234" s="224">
        <f>SUM(Q234:S234)</f>
        <v>7488</v>
      </c>
      <c r="U234" s="222">
        <f t="shared" si="1635"/>
        <v>3.6923076923076925</v>
      </c>
      <c r="V234" s="223">
        <f t="shared" si="1636"/>
        <v>11.076923076923077</v>
      </c>
      <c r="W234" s="243">
        <f t="shared" si="1637"/>
        <v>8.3076923076923084</v>
      </c>
      <c r="X234" s="243">
        <f t="shared" si="1638"/>
        <v>23.07692307692308</v>
      </c>
      <c r="Y234" s="252">
        <v>0</v>
      </c>
      <c r="Z234" s="198">
        <f t="shared" si="1639"/>
        <v>23.07692307692308</v>
      </c>
      <c r="AA234" s="125">
        <f>IF(X234&lt;=0,3,0)+IF(X234&gt;0,X234+1,0)*3+IF(X234&gt;12,X234-12,0)*3+IF(X234&gt;13,X234-13,0)*3+IF(X234&gt;14,X234-14,0)*3+IF(X234&gt;15,X234-15,0)*3+IF(X234&gt;16,X234-16,0)*3+IF(X234&gt;17,X234-17,0)*3+IF(X234&gt;18,X234-18,0)*3+IF(X234&gt;19,X234-19,0)*3+IF(X234&gt;20,X234-20,0)*3</f>
        <v>263.30769230769232</v>
      </c>
      <c r="AB234" s="160">
        <f>IF(Y234&lt;=0,3,0)+IF(Y234&gt;0,Y234+1,0)*3+IF(Y234&gt;12,Y234-12,0)*3+IF(Y234&gt;13,Y234-13,0)*3+IF(Y234&gt;14,Y234-14,0)*3+IF(Y234&gt;15,Y234-15,0)*3+IF(Y234&gt;16,Y234-16,0)*3+IF(Y234&gt;17,Y234-17,0)*3+IF(Y234&gt;18,Y234-18,0)*3+IF(Y234&gt;19,Y234-19,0)*3+IF(Y234&gt;20,Y234-20,0)*3</f>
        <v>3</v>
      </c>
      <c r="AC234" s="127">
        <f t="shared" si="1640"/>
        <v>260.30769230769232</v>
      </c>
      <c r="AD234" s="125">
        <f t="shared" si="1641"/>
        <v>0</v>
      </c>
      <c r="AF234" s="163" t="s">
        <v>305</v>
      </c>
      <c r="AG234" s="86" t="s">
        <v>86</v>
      </c>
      <c r="AH234" s="167" t="s">
        <v>135</v>
      </c>
      <c r="AI234" s="120">
        <f>Konvention_1slave-MUslave_MU</f>
        <v>11</v>
      </c>
      <c r="AJ234" s="117"/>
      <c r="AK234" s="117">
        <f>Konvention_1slave-INslave</f>
        <v>12</v>
      </c>
      <c r="AL234" s="117">
        <f>Konvention_1slave-CHslave</f>
        <v>12</v>
      </c>
      <c r="AM234" s="117"/>
      <c r="AN234" s="117"/>
      <c r="AO234" s="117"/>
      <c r="AP234" s="121"/>
      <c r="AQ234" s="47">
        <f t="shared" si="1642"/>
        <v>11.666666666666666</v>
      </c>
      <c r="AR234" s="3">
        <f t="shared" si="1643"/>
        <v>23.333333333333332</v>
      </c>
      <c r="AS234" s="174">
        <f t="shared" si="1644"/>
        <v>35</v>
      </c>
      <c r="AT234" s="114">
        <f t="shared" si="1597"/>
        <v>2432</v>
      </c>
      <c r="AU234" s="117">
        <f>AI234*AK234*CHslave+AI234*INslave*AL234+MUslave_MU*AK234*AL234</f>
        <v>3408</v>
      </c>
      <c r="AV234" s="119">
        <f t="shared" si="1645"/>
        <v>1584</v>
      </c>
      <c r="AW234" s="119">
        <f t="shared" si="1646"/>
        <v>7424</v>
      </c>
      <c r="AX234" s="89">
        <f t="shared" si="1647"/>
        <v>3.8218390804597702</v>
      </c>
      <c r="AY234" s="47">
        <f t="shared" si="1648"/>
        <v>10.711206896551724</v>
      </c>
      <c r="AZ234" s="127">
        <f t="shared" si="1649"/>
        <v>7.4676724137931032</v>
      </c>
      <c r="BA234" s="127">
        <f t="shared" si="1650"/>
        <v>22.000718390804597</v>
      </c>
      <c r="BB234" s="165">
        <f t="shared" si="1598"/>
        <v>0</v>
      </c>
      <c r="BC234" s="198">
        <f t="shared" si="1651"/>
        <v>22.000718390804597</v>
      </c>
      <c r="BD234" s="125">
        <f>IF(BA234&lt;=0,3,0)+IF(BA234&gt;0,BA234+1,0)*3+IF(BA234&gt;12,BA234-12,0)*3+IF(BA234&gt;13,BA234-13,0)*3+IF(BA234&gt;14,BA234-14,0)*3+IF(BA234&gt;15,BA234-15,0)*3+IF(BA234&gt;16,BA234-16,0)*3+IF(BA234&gt;17,BA234-17,0)*3+IF(BA234&gt;18,BA234-18,0)*3+IF(BA234&gt;19,BA234-19,0)*3+IF(BA234&gt;20,BA234-20,0)*3</f>
        <v>231.02155172413785</v>
      </c>
      <c r="BE234" s="160">
        <f>IF(BB234&lt;=0,3,0)+IF(BB234&gt;0,BB234+1,0)*3+IF(BB234&gt;12,BB234-12,0)*3+IF(BB234&gt;13,BB234-13,0)*3+IF(BB234&gt;14,BB234-14,0)*3+IF(BB234&gt;15,BB234-15,0)*3+IF(BB234&gt;16,BB234-16,0)*3+IF(BB234&gt;17,BB234-17,0)*3+IF(BB234&gt;18,BB234-18,0)*3+IF(BB234&gt;19,BB234-19,0)*3+IF(BB234&gt;20,BB234-20,0)*3</f>
        <v>3</v>
      </c>
      <c r="BF234" s="243">
        <f t="shared" si="1652"/>
        <v>228.02155172413785</v>
      </c>
      <c r="BG234" s="218">
        <f t="shared" si="1653"/>
        <v>0</v>
      </c>
      <c r="BI234" s="303" t="s">
        <v>305</v>
      </c>
      <c r="BJ234" s="304" t="s">
        <v>86</v>
      </c>
      <c r="BK234" s="305" t="s">
        <v>135</v>
      </c>
      <c r="BL234" s="317">
        <f>Konvention_1slave-MUslave</f>
        <v>12</v>
      </c>
      <c r="BM234" s="254"/>
      <c r="BN234" s="254">
        <f>Konvention_1slave-INslave</f>
        <v>12</v>
      </c>
      <c r="BO234" s="254">
        <f>Konvention_1slave-CHslave</f>
        <v>12</v>
      </c>
      <c r="BP234" s="254"/>
      <c r="BQ234" s="254"/>
      <c r="BR234" s="254"/>
      <c r="BS234" s="318"/>
      <c r="BT234" s="223">
        <f t="shared" si="1654"/>
        <v>12</v>
      </c>
      <c r="BU234" s="223">
        <f t="shared" si="1655"/>
        <v>24</v>
      </c>
      <c r="BV234" s="224">
        <f t="shared" si="1656"/>
        <v>36</v>
      </c>
      <c r="BW234" s="237">
        <f t="shared" si="1599"/>
        <v>2304</v>
      </c>
      <c r="BX234" s="254">
        <f>BL234*BN234*CHslave+BL234*INslave*BO234+MUslave*BN234*BO234</f>
        <v>3456</v>
      </c>
      <c r="BY234" s="224">
        <f t="shared" si="1657"/>
        <v>1728</v>
      </c>
      <c r="BZ234" s="224">
        <f t="shared" si="1658"/>
        <v>7488</v>
      </c>
      <c r="CA234" s="222">
        <f t="shared" si="1659"/>
        <v>3.6923076923076925</v>
      </c>
      <c r="CB234" s="223">
        <f t="shared" si="1660"/>
        <v>11.076923076923077</v>
      </c>
      <c r="CC234" s="243">
        <f t="shared" si="1661"/>
        <v>8.3076923076923084</v>
      </c>
      <c r="CD234" s="243">
        <f t="shared" si="1662"/>
        <v>23.07692307692308</v>
      </c>
      <c r="CE234" s="252">
        <f t="shared" si="1600"/>
        <v>0</v>
      </c>
      <c r="CF234" s="309">
        <f t="shared" si="1663"/>
        <v>23.07692307692308</v>
      </c>
      <c r="CG234" s="218">
        <f>IF(CD234&lt;=0,3,0)+IF(CD234&gt;0,CD234+1,0)*3+IF(CD234&gt;12,CD234-12,0)*3+IF(CD234&gt;13,CD234-13,0)*3+IF(CD234&gt;14,CD234-14,0)*3+IF(CD234&gt;15,CD234-15,0)*3+IF(CD234&gt;16,CD234-16,0)*3+IF(CD234&gt;17,CD234-17,0)*3+IF(CD234&gt;18,CD234-18,0)*3+IF(CD234&gt;19,CD234-19,0)*3+IF(CD234&gt;20,CD234-20,0)*3</f>
        <v>263.30769230769232</v>
      </c>
      <c r="CH234" s="242">
        <f>IF(CE234&lt;=0,3,0)+IF(CE234&gt;0,CE234+1,0)*3+IF(CE234&gt;12,CE234-12,0)*3+IF(CE234&gt;13,CE234-13,0)*3+IF(CE234&gt;14,CE234-14,0)*3+IF(CE234&gt;15,CE234-15,0)*3+IF(CE234&gt;16,CE234-16,0)*3+IF(CE234&gt;17,CE234-17,0)*3+IF(CE234&gt;18,CE234-18,0)*3+IF(CE234&gt;19,CE234-19,0)*3+IF(CE234&gt;20,CE234-20,0)*3</f>
        <v>3</v>
      </c>
      <c r="CI234" s="243">
        <f t="shared" si="1664"/>
        <v>260.30769230769232</v>
      </c>
      <c r="CJ234" s="218">
        <f t="shared" si="1665"/>
        <v>0</v>
      </c>
      <c r="CL234" s="303" t="s">
        <v>305</v>
      </c>
      <c r="CM234" s="304" t="s">
        <v>86</v>
      </c>
      <c r="CN234" s="305" t="s">
        <v>135</v>
      </c>
      <c r="CO234" s="317">
        <f>Konvention_1slave-MUslave</f>
        <v>12</v>
      </c>
      <c r="CP234" s="254"/>
      <c r="CQ234" s="254">
        <f>Konvention_1slave-INslave_IN</f>
        <v>11</v>
      </c>
      <c r="CR234" s="254">
        <f>Konvention_1slave-CHslave</f>
        <v>12</v>
      </c>
      <c r="CS234" s="254"/>
      <c r="CT234" s="254"/>
      <c r="CU234" s="254"/>
      <c r="CV234" s="318"/>
      <c r="CW234" s="223">
        <f t="shared" si="1666"/>
        <v>11.666666666666666</v>
      </c>
      <c r="CX234" s="223">
        <f t="shared" si="1667"/>
        <v>23.333333333333332</v>
      </c>
      <c r="CY234" s="224">
        <f t="shared" si="1668"/>
        <v>35</v>
      </c>
      <c r="CZ234" s="237">
        <f t="shared" si="1601"/>
        <v>2432</v>
      </c>
      <c r="DA234" s="254">
        <f>CO234*CQ234*CHslave+CO234*INslave_IN*CR234+MUslave*CQ234*CR234</f>
        <v>3408</v>
      </c>
      <c r="DB234" s="224">
        <f t="shared" si="1669"/>
        <v>1584</v>
      </c>
      <c r="DC234" s="224">
        <f t="shared" si="1670"/>
        <v>7424</v>
      </c>
      <c r="DD234" s="222">
        <f t="shared" si="1671"/>
        <v>3.8218390804597702</v>
      </c>
      <c r="DE234" s="223">
        <f t="shared" si="1672"/>
        <v>10.711206896551724</v>
      </c>
      <c r="DF234" s="243">
        <f t="shared" si="1673"/>
        <v>7.4676724137931032</v>
      </c>
      <c r="DG234" s="243">
        <f t="shared" si="1674"/>
        <v>22.000718390804597</v>
      </c>
      <c r="DH234" s="252">
        <f t="shared" si="1602"/>
        <v>0</v>
      </c>
      <c r="DI234" s="309">
        <f t="shared" si="1675"/>
        <v>22.000718390804597</v>
      </c>
      <c r="DJ234" s="218">
        <f>IF(DG234&lt;=0,3,0)+IF(DG234&gt;0,DG234+1,0)*3+IF(DG234&gt;12,DG234-12,0)*3+IF(DG234&gt;13,DG234-13,0)*3+IF(DG234&gt;14,DG234-14,0)*3+IF(DG234&gt;15,DG234-15,0)*3+IF(DG234&gt;16,DG234-16,0)*3+IF(DG234&gt;17,DG234-17,0)*3+IF(DG234&gt;18,DG234-18,0)*3+IF(DG234&gt;19,DG234-19,0)*3+IF(DG234&gt;20,DG234-20,0)*3</f>
        <v>231.02155172413785</v>
      </c>
      <c r="DK234" s="242">
        <f>IF(DH234&lt;=0,3,0)+IF(DH234&gt;0,DH234+1,0)*3+IF(DH234&gt;12,DH234-12,0)*3+IF(DH234&gt;13,DH234-13,0)*3+IF(DH234&gt;14,DH234-14,0)*3+IF(DH234&gt;15,DH234-15,0)*3+IF(DH234&gt;16,DH234-16,0)*3+IF(DH234&gt;17,DH234-17,0)*3+IF(DH234&gt;18,DH234-18,0)*3+IF(DH234&gt;19,DH234-19,0)*3+IF(DH234&gt;20,DH234-20,0)*3</f>
        <v>3</v>
      </c>
      <c r="DL234" s="243">
        <f t="shared" si="1676"/>
        <v>228.02155172413785</v>
      </c>
      <c r="DM234" s="218">
        <f t="shared" si="1677"/>
        <v>0</v>
      </c>
      <c r="DO234" s="303" t="s">
        <v>305</v>
      </c>
      <c r="DP234" s="304" t="s">
        <v>86</v>
      </c>
      <c r="DQ234" s="305" t="s">
        <v>135</v>
      </c>
      <c r="DR234" s="317">
        <f>Konvention_1slave-MUslave</f>
        <v>12</v>
      </c>
      <c r="DS234" s="254"/>
      <c r="DT234" s="254">
        <f>Konvention_1slave-INslave</f>
        <v>12</v>
      </c>
      <c r="DU234" s="254">
        <f>Konvention_1slave-CHslave_CH</f>
        <v>11</v>
      </c>
      <c r="DV234" s="254"/>
      <c r="DW234" s="254"/>
      <c r="DX234" s="254"/>
      <c r="DY234" s="318"/>
      <c r="DZ234" s="223">
        <f t="shared" si="1678"/>
        <v>11.666666666666666</v>
      </c>
      <c r="EA234" s="223">
        <f t="shared" si="1679"/>
        <v>23.333333333333332</v>
      </c>
      <c r="EB234" s="224">
        <f t="shared" si="1680"/>
        <v>35</v>
      </c>
      <c r="EC234" s="237">
        <f t="shared" si="1603"/>
        <v>2432</v>
      </c>
      <c r="ED234" s="254">
        <f>DR234*DT234*CHslave_CH+DR234*INslave*DU234+MUslave*DT234*DU234</f>
        <v>3408</v>
      </c>
      <c r="EE234" s="224">
        <f t="shared" si="1681"/>
        <v>1584</v>
      </c>
      <c r="EF234" s="224">
        <f t="shared" si="1682"/>
        <v>7424</v>
      </c>
      <c r="EG234" s="222">
        <f t="shared" si="1683"/>
        <v>3.8218390804597702</v>
      </c>
      <c r="EH234" s="223">
        <f t="shared" si="1684"/>
        <v>10.711206896551724</v>
      </c>
      <c r="EI234" s="243">
        <f t="shared" si="1685"/>
        <v>7.4676724137931032</v>
      </c>
      <c r="EJ234" s="243">
        <f t="shared" si="1686"/>
        <v>22.000718390804597</v>
      </c>
      <c r="EK234" s="252">
        <f t="shared" si="1604"/>
        <v>0</v>
      </c>
      <c r="EL234" s="309">
        <f t="shared" si="1687"/>
        <v>22.000718390804597</v>
      </c>
      <c r="EM234" s="218">
        <f>IF(EJ234&lt;=0,3,0)+IF(EJ234&gt;0,EJ234+1,0)*3+IF(EJ234&gt;12,EJ234-12,0)*3+IF(EJ234&gt;13,EJ234-13,0)*3+IF(EJ234&gt;14,EJ234-14,0)*3+IF(EJ234&gt;15,EJ234-15,0)*3+IF(EJ234&gt;16,EJ234-16,0)*3+IF(EJ234&gt;17,EJ234-17,0)*3+IF(EJ234&gt;18,EJ234-18,0)*3+IF(EJ234&gt;19,EJ234-19,0)*3+IF(EJ234&gt;20,EJ234-20,0)*3</f>
        <v>231.02155172413785</v>
      </c>
      <c r="EN234" s="242">
        <f>IF(EK234&lt;=0,3,0)+IF(EK234&gt;0,EK234+1,0)*3+IF(EK234&gt;12,EK234-12,0)*3+IF(EK234&gt;13,EK234-13,0)*3+IF(EK234&gt;14,EK234-14,0)*3+IF(EK234&gt;15,EK234-15,0)*3+IF(EK234&gt;16,EK234-16,0)*3+IF(EK234&gt;17,EK234-17,0)*3+IF(EK234&gt;18,EK234-18,0)*3+IF(EK234&gt;19,EK234-19,0)*3+IF(EK234&gt;20,EK234-20,0)*3</f>
        <v>3</v>
      </c>
      <c r="EO234" s="243">
        <f t="shared" si="1688"/>
        <v>228.02155172413785</v>
      </c>
      <c r="EP234" s="218">
        <f t="shared" si="1689"/>
        <v>0</v>
      </c>
      <c r="ER234" s="303" t="s">
        <v>305</v>
      </c>
      <c r="ES234" s="304" t="s">
        <v>86</v>
      </c>
      <c r="ET234" s="305" t="s">
        <v>135</v>
      </c>
      <c r="EU234" s="317">
        <f>Konvention_1slave-MUslave</f>
        <v>12</v>
      </c>
      <c r="EV234" s="254"/>
      <c r="EW234" s="254">
        <f>Konvention_1slave-INslave</f>
        <v>12</v>
      </c>
      <c r="EX234" s="254">
        <f>Konvention_1slave-CHslave</f>
        <v>12</v>
      </c>
      <c r="EY234" s="254"/>
      <c r="EZ234" s="254"/>
      <c r="FA234" s="254"/>
      <c r="FB234" s="318"/>
      <c r="FC234" s="223">
        <f t="shared" si="1690"/>
        <v>12</v>
      </c>
      <c r="FD234" s="223">
        <f t="shared" si="1691"/>
        <v>24</v>
      </c>
      <c r="FE234" s="224">
        <f t="shared" si="1692"/>
        <v>36</v>
      </c>
      <c r="FF234" s="237">
        <f t="shared" si="1605"/>
        <v>2304</v>
      </c>
      <c r="FG234" s="254">
        <f>EU234*EW234*CHslave+EU234*INslave*EX234+MUslave*EW234*EX234</f>
        <v>3456</v>
      </c>
      <c r="FH234" s="224">
        <f t="shared" si="1693"/>
        <v>1728</v>
      </c>
      <c r="FI234" s="224">
        <f t="shared" si="1694"/>
        <v>7488</v>
      </c>
      <c r="FJ234" s="222">
        <f t="shared" si="1695"/>
        <v>3.6923076923076925</v>
      </c>
      <c r="FK234" s="223">
        <f t="shared" si="1696"/>
        <v>11.076923076923077</v>
      </c>
      <c r="FL234" s="243">
        <f t="shared" si="1697"/>
        <v>8.3076923076923084</v>
      </c>
      <c r="FM234" s="243">
        <f t="shared" si="1698"/>
        <v>23.07692307692308</v>
      </c>
      <c r="FN234" s="252">
        <f t="shared" si="1606"/>
        <v>0</v>
      </c>
      <c r="FO234" s="309">
        <f t="shared" si="1699"/>
        <v>23.07692307692308</v>
      </c>
      <c r="FP234" s="218">
        <f>IF(FM234&lt;=0,3,0)+IF(FM234&gt;0,FM234+1,0)*3+IF(FM234&gt;12,FM234-12,0)*3+IF(FM234&gt;13,FM234-13,0)*3+IF(FM234&gt;14,FM234-14,0)*3+IF(FM234&gt;15,FM234-15,0)*3+IF(FM234&gt;16,FM234-16,0)*3+IF(FM234&gt;17,FM234-17,0)*3+IF(FM234&gt;18,FM234-18,0)*3+IF(FM234&gt;19,FM234-19,0)*3+IF(FM234&gt;20,FM234-20,0)*3</f>
        <v>263.30769230769232</v>
      </c>
      <c r="FQ234" s="242">
        <f>IF(FN234&lt;=0,3,0)+IF(FN234&gt;0,FN234+1,0)*3+IF(FN234&gt;12,FN234-12,0)*3+IF(FN234&gt;13,FN234-13,0)*3+IF(FN234&gt;14,FN234-14,0)*3+IF(FN234&gt;15,FN234-15,0)*3+IF(FN234&gt;16,FN234-16,0)*3+IF(FN234&gt;17,FN234-17,0)*3+IF(FN234&gt;18,FN234-18,0)*3+IF(FN234&gt;19,FN234-19,0)*3+IF(FN234&gt;20,FN234-20,0)*3</f>
        <v>3</v>
      </c>
      <c r="FR234" s="243">
        <f t="shared" si="1700"/>
        <v>260.30769230769232</v>
      </c>
      <c r="FS234" s="218">
        <f t="shared" si="1701"/>
        <v>0</v>
      </c>
      <c r="FU234" s="303" t="s">
        <v>305</v>
      </c>
      <c r="FV234" s="304" t="s">
        <v>86</v>
      </c>
      <c r="FW234" s="305" t="s">
        <v>135</v>
      </c>
      <c r="FX234" s="317">
        <f>Konvention_1slave-MUslave</f>
        <v>12</v>
      </c>
      <c r="FY234" s="254"/>
      <c r="FZ234" s="254">
        <f>Konvention_1slave-INslave</f>
        <v>12</v>
      </c>
      <c r="GA234" s="254">
        <f>Konvention_1slave-CHslave</f>
        <v>12</v>
      </c>
      <c r="GB234" s="254"/>
      <c r="GC234" s="254"/>
      <c r="GD234" s="254"/>
      <c r="GE234" s="318"/>
      <c r="GF234" s="223">
        <f t="shared" si="1702"/>
        <v>12</v>
      </c>
      <c r="GG234" s="223">
        <f t="shared" si="1703"/>
        <v>24</v>
      </c>
      <c r="GH234" s="224">
        <f t="shared" si="1704"/>
        <v>36</v>
      </c>
      <c r="GI234" s="237">
        <f t="shared" si="1607"/>
        <v>2304</v>
      </c>
      <c r="GJ234" s="254">
        <f>FX234*FZ234*CHslave+FX234*INslave*GA234+MUslave*FZ234*GA234</f>
        <v>3456</v>
      </c>
      <c r="GK234" s="224">
        <f t="shared" si="1705"/>
        <v>1728</v>
      </c>
      <c r="GL234" s="224">
        <f t="shared" si="1706"/>
        <v>7488</v>
      </c>
      <c r="GM234" s="222">
        <f t="shared" si="1707"/>
        <v>3.6923076923076925</v>
      </c>
      <c r="GN234" s="223">
        <f t="shared" si="1708"/>
        <v>11.076923076923077</v>
      </c>
      <c r="GO234" s="243">
        <f t="shared" si="1709"/>
        <v>8.3076923076923084</v>
      </c>
      <c r="GP234" s="243">
        <f t="shared" si="1710"/>
        <v>23.07692307692308</v>
      </c>
      <c r="GQ234" s="252">
        <f t="shared" si="1608"/>
        <v>0</v>
      </c>
      <c r="GR234" s="309">
        <f t="shared" si="1711"/>
        <v>23.07692307692308</v>
      </c>
      <c r="GS234" s="218">
        <f>IF(GP234&lt;=0,3,0)+IF(GP234&gt;0,GP234+1,0)*3+IF(GP234&gt;12,GP234-12,0)*3+IF(GP234&gt;13,GP234-13,0)*3+IF(GP234&gt;14,GP234-14,0)*3+IF(GP234&gt;15,GP234-15,0)*3+IF(GP234&gt;16,GP234-16,0)*3+IF(GP234&gt;17,GP234-17,0)*3+IF(GP234&gt;18,GP234-18,0)*3+IF(GP234&gt;19,GP234-19,0)*3+IF(GP234&gt;20,GP234-20,0)*3</f>
        <v>263.30769230769232</v>
      </c>
      <c r="GT234" s="242">
        <f>IF(GQ234&lt;=0,3,0)+IF(GQ234&gt;0,GQ234+1,0)*3+IF(GQ234&gt;12,GQ234-12,0)*3+IF(GQ234&gt;13,GQ234-13,0)*3+IF(GQ234&gt;14,GQ234-14,0)*3+IF(GQ234&gt;15,GQ234-15,0)*3+IF(GQ234&gt;16,GQ234-16,0)*3+IF(GQ234&gt;17,GQ234-17,0)*3+IF(GQ234&gt;18,GQ234-18,0)*3+IF(GQ234&gt;19,GQ234-19,0)*3+IF(GQ234&gt;20,GQ234-20,0)*3</f>
        <v>3</v>
      </c>
      <c r="GU234" s="243">
        <f t="shared" si="1712"/>
        <v>260.30769230769232</v>
      </c>
      <c r="GV234" s="218">
        <f t="shared" si="1713"/>
        <v>0</v>
      </c>
      <c r="GX234" s="303" t="s">
        <v>305</v>
      </c>
      <c r="GY234" s="304" t="s">
        <v>86</v>
      </c>
      <c r="GZ234" s="305" t="s">
        <v>135</v>
      </c>
      <c r="HA234" s="317">
        <f>Konvention_1slave-MUslave</f>
        <v>12</v>
      </c>
      <c r="HB234" s="254"/>
      <c r="HC234" s="254">
        <f>Konvention_1slave-INslave</f>
        <v>12</v>
      </c>
      <c r="HD234" s="254">
        <f>Konvention_1slave-CHslave</f>
        <v>12</v>
      </c>
      <c r="HE234" s="254"/>
      <c r="HF234" s="254"/>
      <c r="HG234" s="254"/>
      <c r="HH234" s="318"/>
      <c r="HI234" s="223">
        <f t="shared" si="1714"/>
        <v>12</v>
      </c>
      <c r="HJ234" s="223">
        <f t="shared" si="1715"/>
        <v>24</v>
      </c>
      <c r="HK234" s="224">
        <f t="shared" si="1716"/>
        <v>36</v>
      </c>
      <c r="HL234" s="237">
        <f t="shared" si="1609"/>
        <v>2304</v>
      </c>
      <c r="HM234" s="254">
        <f>HA234*HC234*CHslave+HA234*INslave*HD234+MUslave*HC234*HD234</f>
        <v>3456</v>
      </c>
      <c r="HN234" s="224">
        <f t="shared" si="1717"/>
        <v>1728</v>
      </c>
      <c r="HO234" s="224">
        <f t="shared" si="1718"/>
        <v>7488</v>
      </c>
      <c r="HP234" s="222">
        <f t="shared" si="1719"/>
        <v>3.6923076923076925</v>
      </c>
      <c r="HQ234" s="223">
        <f t="shared" si="1720"/>
        <v>11.076923076923077</v>
      </c>
      <c r="HR234" s="243">
        <f t="shared" si="1721"/>
        <v>8.3076923076923084</v>
      </c>
      <c r="HS234" s="243">
        <f t="shared" si="1722"/>
        <v>23.07692307692308</v>
      </c>
      <c r="HT234" s="252">
        <f t="shared" si="1610"/>
        <v>0</v>
      </c>
      <c r="HU234" s="309">
        <f t="shared" si="1723"/>
        <v>23.07692307692308</v>
      </c>
      <c r="HV234" s="218">
        <f>IF(HS234&lt;=0,3,0)+IF(HS234&gt;0,HS234+1,0)*3+IF(HS234&gt;12,HS234-12,0)*3+IF(HS234&gt;13,HS234-13,0)*3+IF(HS234&gt;14,HS234-14,0)*3+IF(HS234&gt;15,HS234-15,0)*3+IF(HS234&gt;16,HS234-16,0)*3+IF(HS234&gt;17,HS234-17,0)*3+IF(HS234&gt;18,HS234-18,0)*3+IF(HS234&gt;19,HS234-19,0)*3+IF(HS234&gt;20,HS234-20,0)*3</f>
        <v>263.30769230769232</v>
      </c>
      <c r="HW234" s="242">
        <f>IF(HT234&lt;=0,3,0)+IF(HT234&gt;0,HT234+1,0)*3+IF(HT234&gt;12,HT234-12,0)*3+IF(HT234&gt;13,HT234-13,0)*3+IF(HT234&gt;14,HT234-14,0)*3+IF(HT234&gt;15,HT234-15,0)*3+IF(HT234&gt;16,HT234-16,0)*3+IF(HT234&gt;17,HT234-17,0)*3+IF(HT234&gt;18,HT234-18,0)*3+IF(HT234&gt;19,HT234-19,0)*3+IF(HT234&gt;20,HT234-20,0)*3</f>
        <v>3</v>
      </c>
      <c r="HX234" s="243">
        <f t="shared" si="1724"/>
        <v>260.30769230769232</v>
      </c>
      <c r="HY234" s="218">
        <f t="shared" si="1725"/>
        <v>0</v>
      </c>
      <c r="IA234" s="303" t="s">
        <v>305</v>
      </c>
      <c r="IB234" s="304" t="s">
        <v>86</v>
      </c>
      <c r="IC234" s="305" t="s">
        <v>135</v>
      </c>
      <c r="ID234" s="317">
        <f>Konvention_1slave-MUslave</f>
        <v>12</v>
      </c>
      <c r="IE234" s="254"/>
      <c r="IF234" s="254">
        <f>Konvention_1slave-INslave</f>
        <v>12</v>
      </c>
      <c r="IG234" s="254">
        <f>Konvention_1slave-CHslave</f>
        <v>12</v>
      </c>
      <c r="IH234" s="254"/>
      <c r="II234" s="254"/>
      <c r="IJ234" s="254"/>
      <c r="IK234" s="318"/>
      <c r="IL234" s="223">
        <f t="shared" si="1726"/>
        <v>12</v>
      </c>
      <c r="IM234" s="223">
        <f t="shared" si="1727"/>
        <v>24</v>
      </c>
      <c r="IN234" s="224">
        <f t="shared" si="1728"/>
        <v>36</v>
      </c>
      <c r="IO234" s="237">
        <f t="shared" si="1611"/>
        <v>2304</v>
      </c>
      <c r="IP234" s="254">
        <f>ID234*IF234*CHslave+ID234*INslave*IG234+MUslave*IF234*IG234</f>
        <v>3456</v>
      </c>
      <c r="IQ234" s="224">
        <f t="shared" si="1729"/>
        <v>1728</v>
      </c>
      <c r="IR234" s="224">
        <f t="shared" si="1730"/>
        <v>7488</v>
      </c>
      <c r="IS234" s="222">
        <f t="shared" si="1731"/>
        <v>3.6923076923076925</v>
      </c>
      <c r="IT234" s="223">
        <f t="shared" si="1732"/>
        <v>11.076923076923077</v>
      </c>
      <c r="IU234" s="243">
        <f t="shared" si="1733"/>
        <v>8.3076923076923084</v>
      </c>
      <c r="IV234" s="243">
        <f t="shared" si="1734"/>
        <v>23.07692307692308</v>
      </c>
      <c r="IW234" s="252">
        <f t="shared" si="1612"/>
        <v>0</v>
      </c>
      <c r="IX234" s="309">
        <f t="shared" si="1735"/>
        <v>23.07692307692308</v>
      </c>
      <c r="IY234" s="218">
        <f>IF(IV234&lt;=0,3,0)+IF(IV234&gt;0,IV234+1,0)*3+IF(IV234&gt;12,IV234-12,0)*3+IF(IV234&gt;13,IV234-13,0)*3+IF(IV234&gt;14,IV234-14,0)*3+IF(IV234&gt;15,IV234-15,0)*3+IF(IV234&gt;16,IV234-16,0)*3+IF(IV234&gt;17,IV234-17,0)*3+IF(IV234&gt;18,IV234-18,0)*3+IF(IV234&gt;19,IV234-19,0)*3+IF(IV234&gt;20,IV234-20,0)*3</f>
        <v>263.30769230769232</v>
      </c>
      <c r="IZ234" s="242">
        <f>IF(IW234&lt;=0,3,0)+IF(IW234&gt;0,IW234+1,0)*3+IF(IW234&gt;12,IW234-12,0)*3+IF(IW234&gt;13,IW234-13,0)*3+IF(IW234&gt;14,IW234-14,0)*3+IF(IW234&gt;15,IW234-15,0)*3+IF(IW234&gt;16,IW234-16,0)*3+IF(IW234&gt;17,IW234-17,0)*3+IF(IW234&gt;18,IW234-18,0)*3+IF(IW234&gt;19,IW234-19,0)*3+IF(IW234&gt;20,IW234-20,0)*3</f>
        <v>3</v>
      </c>
      <c r="JA234" s="243">
        <f t="shared" si="1736"/>
        <v>260.30769230769232</v>
      </c>
      <c r="JB234" s="218">
        <f t="shared" si="1737"/>
        <v>0</v>
      </c>
      <c r="JE234" s="148"/>
    </row>
    <row r="235" spans="2:265" hidden="1" outlineLevel="2">
      <c r="B235" s="148">
        <v>23</v>
      </c>
      <c r="C235" s="303" t="e">
        <f>VLOOKUP(AF235,Attribute!C:T,1,FALSE)</f>
        <v>#N/A</v>
      </c>
      <c r="D235" s="86" t="s">
        <v>226</v>
      </c>
      <c r="E235" s="167" t="s">
        <v>133</v>
      </c>
      <c r="F235" s="120"/>
      <c r="G235" s="117">
        <f>Konvention_1master-KLmaster</f>
        <v>12</v>
      </c>
      <c r="H235" s="117">
        <f>Konvention_1master-INmaster</f>
        <v>12</v>
      </c>
      <c r="I235" s="117"/>
      <c r="J235" s="117"/>
      <c r="K235" s="117"/>
      <c r="L235" s="117">
        <f t="shared" ref="L235:L240" si="1766">Konvention_1master-KOmaster</f>
        <v>12</v>
      </c>
      <c r="M235" s="121"/>
      <c r="N235" s="223">
        <f t="shared" si="1629"/>
        <v>12</v>
      </c>
      <c r="O235" s="223">
        <f t="shared" si="1630"/>
        <v>24</v>
      </c>
      <c r="P235" s="224">
        <f t="shared" si="1631"/>
        <v>36</v>
      </c>
      <c r="Q235" s="237">
        <f t="shared" si="1632"/>
        <v>2304</v>
      </c>
      <c r="R235" s="117">
        <f>G235*H235*KOmaster+G235*INmaster*L235+KLmaster*H235*L235</f>
        <v>3456</v>
      </c>
      <c r="S235" s="224">
        <f t="shared" si="1633"/>
        <v>1728</v>
      </c>
      <c r="T235" s="224">
        <f t="shared" ref="T235:T248" si="1767">SUM(Q235:S235)</f>
        <v>7488</v>
      </c>
      <c r="U235" s="222">
        <f t="shared" si="1635"/>
        <v>3.6923076923076925</v>
      </c>
      <c r="V235" s="223">
        <f t="shared" si="1636"/>
        <v>11.076923076923077</v>
      </c>
      <c r="W235" s="243">
        <f t="shared" si="1637"/>
        <v>8.3076923076923084</v>
      </c>
      <c r="X235" s="243">
        <f t="shared" si="1638"/>
        <v>23.07692307692308</v>
      </c>
      <c r="Y235" s="252">
        <v>0</v>
      </c>
      <c r="Z235" s="198">
        <f t="shared" si="1639"/>
        <v>23.07692307692308</v>
      </c>
      <c r="AA235" s="125">
        <f>IF(X235&lt;=0,1,0)+IF(X235&gt;0,X235+1,0)*1+IF(X235&gt;12,X235-12,0)*1+IF(X235&gt;13,X235-13,0)*1+IF(X235&gt;14,X235-14,0)*1+IF(X235&gt;15,X235-15,0)*1+IF(X235&gt;16,X235-16,0)*1+IF(X235&gt;17,X235-17,0)*1+IF(X235&gt;18,X235-18,0)*1+IF(X235&gt;19,X235-19,0)*1+IF(X235&gt;20,X235-20,0)*1</f>
        <v>87.769230769230802</v>
      </c>
      <c r="AB235" s="160">
        <f>IF(Y235&lt;=0,1,0)+IF(Y235&gt;0,Y235+1,0)*1+IF(Y235&gt;12,Y235-12,0)*1+IF(Y235&gt;13,Y235-13,0)*1+IF(Y235&gt;14,Y235-14,0)*1+IF(Y235&gt;15,Y235-15,0)*1+IF(Y235&gt;16,Y235-16,0)*1+IF(Y235&gt;17,Y235-17,0)*1+IF(Y235&gt;18,Y235-18,0)*1+IF(Y235&gt;19,Y235-19,0)*1+IF(Y235&gt;20,Y235-20,0)*1</f>
        <v>1</v>
      </c>
      <c r="AC235" s="127">
        <f t="shared" si="1640"/>
        <v>86.769230769230802</v>
      </c>
      <c r="AD235" s="125">
        <f t="shared" si="1641"/>
        <v>0</v>
      </c>
      <c r="AF235" s="163" t="s">
        <v>199</v>
      </c>
      <c r="AG235" s="86" t="s">
        <v>226</v>
      </c>
      <c r="AH235" s="167" t="s">
        <v>133</v>
      </c>
      <c r="AI235" s="120"/>
      <c r="AJ235" s="117">
        <f>Konvention_1slave-KLslave</f>
        <v>12</v>
      </c>
      <c r="AK235" s="117">
        <f>Konvention_1slave-INslave</f>
        <v>12</v>
      </c>
      <c r="AL235" s="117"/>
      <c r="AM235" s="117"/>
      <c r="AN235" s="117"/>
      <c r="AO235" s="117">
        <f t="shared" ref="AO235:AO240" si="1768">Konvention_1slave-KOslave</f>
        <v>12</v>
      </c>
      <c r="AP235" s="121"/>
      <c r="AQ235" s="47">
        <f t="shared" si="1642"/>
        <v>12</v>
      </c>
      <c r="AR235" s="3">
        <f t="shared" si="1643"/>
        <v>24</v>
      </c>
      <c r="AS235" s="174">
        <f t="shared" si="1644"/>
        <v>36</v>
      </c>
      <c r="AT235" s="114">
        <f t="shared" si="1597"/>
        <v>2304</v>
      </c>
      <c r="AU235" s="117">
        <f>AJ235*AK235*KOslave+AJ235*INslave*AO235+KLslave*AK235*AO235</f>
        <v>3456</v>
      </c>
      <c r="AV235" s="119">
        <f t="shared" si="1645"/>
        <v>1728</v>
      </c>
      <c r="AW235" s="119">
        <f t="shared" si="1646"/>
        <v>7488</v>
      </c>
      <c r="AX235" s="89">
        <f t="shared" si="1647"/>
        <v>3.6923076923076925</v>
      </c>
      <c r="AY235" s="47">
        <f t="shared" si="1648"/>
        <v>11.076923076923077</v>
      </c>
      <c r="AZ235" s="127">
        <f t="shared" si="1649"/>
        <v>8.3076923076923084</v>
      </c>
      <c r="BA235" s="127">
        <f t="shared" si="1650"/>
        <v>23.07692307692308</v>
      </c>
      <c r="BB235" s="165">
        <f t="shared" si="1598"/>
        <v>0</v>
      </c>
      <c r="BC235" s="198">
        <f t="shared" si="1651"/>
        <v>23.07692307692308</v>
      </c>
      <c r="BD235" s="125">
        <f>IF(BA235&lt;=0,1,0)+IF(BA235&gt;0,BA235+1,0)*1+IF(BA235&gt;12,BA235-12,0)*1+IF(BA235&gt;13,BA235-13,0)*1+IF(BA235&gt;14,BA235-14,0)*1+IF(BA235&gt;15,BA235-15,0)*1+IF(BA235&gt;16,BA235-16,0)*1+IF(BA235&gt;17,BA235-17,0)*1+IF(BA235&gt;18,BA235-18,0)*1+IF(BA235&gt;19,BA235-19,0)*1+IF(BA235&gt;20,BA235-20,0)*1</f>
        <v>87.769230769230802</v>
      </c>
      <c r="BE235" s="160">
        <f>IF(BB235&lt;=0,1,0)+IF(BB235&gt;0,BB235+1,0)*1+IF(BB235&gt;12,BB235-12,0)*1+IF(BB235&gt;13,BB235-13,0)*1+IF(BB235&gt;14,BB235-14,0)*1+IF(BB235&gt;15,BB235-15,0)*1+IF(BB235&gt;16,BB235-16,0)*1+IF(BB235&gt;17,BB235-17,0)*1+IF(BB235&gt;18,BB235-18,0)*1+IF(BB235&gt;19,BB235-19,0)*1+IF(BB235&gt;20,BB235-20,0)*1</f>
        <v>1</v>
      </c>
      <c r="BF235" s="243">
        <f t="shared" si="1652"/>
        <v>86.769230769230802</v>
      </c>
      <c r="BG235" s="218">
        <f t="shared" si="1653"/>
        <v>0</v>
      </c>
      <c r="BI235" s="303" t="s">
        <v>199</v>
      </c>
      <c r="BJ235" s="304" t="s">
        <v>226</v>
      </c>
      <c r="BK235" s="305" t="s">
        <v>133</v>
      </c>
      <c r="BL235" s="317"/>
      <c r="BM235" s="254">
        <f>Konvention_1slave-KLslave_KL</f>
        <v>11</v>
      </c>
      <c r="BN235" s="254">
        <f>Konvention_1slave-INslave</f>
        <v>12</v>
      </c>
      <c r="BO235" s="254"/>
      <c r="BP235" s="254"/>
      <c r="BQ235" s="254"/>
      <c r="BR235" s="254">
        <f t="shared" ref="BR235:BR240" si="1769">Konvention_1slave-KOslave</f>
        <v>12</v>
      </c>
      <c r="BS235" s="318"/>
      <c r="BT235" s="223">
        <f t="shared" si="1654"/>
        <v>11.666666666666666</v>
      </c>
      <c r="BU235" s="223">
        <f t="shared" si="1655"/>
        <v>23.333333333333332</v>
      </c>
      <c r="BV235" s="224">
        <f t="shared" si="1656"/>
        <v>35</v>
      </c>
      <c r="BW235" s="237">
        <f t="shared" si="1599"/>
        <v>2432</v>
      </c>
      <c r="BX235" s="254">
        <f>BM235*BN235*KOslave+BM235*INslave*BR235+KLslave_KL*BN235*BR235</f>
        <v>3408</v>
      </c>
      <c r="BY235" s="224">
        <f t="shared" si="1657"/>
        <v>1584</v>
      </c>
      <c r="BZ235" s="224">
        <f t="shared" si="1658"/>
        <v>7424</v>
      </c>
      <c r="CA235" s="222">
        <f t="shared" si="1659"/>
        <v>3.8218390804597702</v>
      </c>
      <c r="CB235" s="223">
        <f t="shared" si="1660"/>
        <v>10.711206896551724</v>
      </c>
      <c r="CC235" s="243">
        <f t="shared" si="1661"/>
        <v>7.4676724137931032</v>
      </c>
      <c r="CD235" s="243">
        <f t="shared" si="1662"/>
        <v>22.000718390804597</v>
      </c>
      <c r="CE235" s="252">
        <f t="shared" si="1600"/>
        <v>0</v>
      </c>
      <c r="CF235" s="309">
        <f t="shared" si="1663"/>
        <v>22.000718390804597</v>
      </c>
      <c r="CG235" s="218">
        <f>IF(CD235&lt;=0,1,0)+IF(CD235&gt;0,CD235+1,0)*1+IF(CD235&gt;12,CD235-12,0)*1+IF(CD235&gt;13,CD235-13,0)*1+IF(CD235&gt;14,CD235-14,0)*1+IF(CD235&gt;15,CD235-15,0)*1+IF(CD235&gt;16,CD235-16,0)*1+IF(CD235&gt;17,CD235-17,0)*1+IF(CD235&gt;18,CD235-18,0)*1+IF(CD235&gt;19,CD235-19,0)*1+IF(CD235&gt;20,CD235-20,0)*1</f>
        <v>77.007183908045945</v>
      </c>
      <c r="CH235" s="242">
        <f>IF(CE235&lt;=0,1,0)+IF(CE235&gt;0,CE235+1,0)*1+IF(CE235&gt;12,CE235-12,0)*1+IF(CE235&gt;13,CE235-13,0)*1+IF(CE235&gt;14,CE235-14,0)*1+IF(CE235&gt;15,CE235-15,0)*1+IF(CE235&gt;16,CE235-16,0)*1+IF(CE235&gt;17,CE235-17,0)*1+IF(CE235&gt;18,CE235-18,0)*1+IF(CE235&gt;19,CE235-19,0)*1+IF(CE235&gt;20,CE235-20,0)*1</f>
        <v>1</v>
      </c>
      <c r="CI235" s="243">
        <f t="shared" si="1664"/>
        <v>76.007183908045945</v>
      </c>
      <c r="CJ235" s="218">
        <f t="shared" si="1665"/>
        <v>0</v>
      </c>
      <c r="CL235" s="303" t="s">
        <v>199</v>
      </c>
      <c r="CM235" s="304" t="s">
        <v>226</v>
      </c>
      <c r="CN235" s="305" t="s">
        <v>133</v>
      </c>
      <c r="CO235" s="317"/>
      <c r="CP235" s="254">
        <f>Konvention_1slave-KLslave</f>
        <v>12</v>
      </c>
      <c r="CQ235" s="254">
        <f>Konvention_1slave-INslave_IN</f>
        <v>11</v>
      </c>
      <c r="CR235" s="254"/>
      <c r="CS235" s="254"/>
      <c r="CT235" s="254"/>
      <c r="CU235" s="254">
        <f t="shared" ref="CU235:CU240" si="1770">Konvention_1slave-KOslave</f>
        <v>12</v>
      </c>
      <c r="CV235" s="318"/>
      <c r="CW235" s="223">
        <f t="shared" si="1666"/>
        <v>11.666666666666666</v>
      </c>
      <c r="CX235" s="223">
        <f t="shared" si="1667"/>
        <v>23.333333333333332</v>
      </c>
      <c r="CY235" s="224">
        <f t="shared" si="1668"/>
        <v>35</v>
      </c>
      <c r="CZ235" s="237">
        <f t="shared" si="1601"/>
        <v>2432</v>
      </c>
      <c r="DA235" s="254">
        <f>CP235*CQ235*KOslave+CP235*INslave_IN*CU235+KLslave*CQ235*CU235</f>
        <v>3408</v>
      </c>
      <c r="DB235" s="224">
        <f t="shared" si="1669"/>
        <v>1584</v>
      </c>
      <c r="DC235" s="224">
        <f t="shared" si="1670"/>
        <v>7424</v>
      </c>
      <c r="DD235" s="222">
        <f t="shared" si="1671"/>
        <v>3.8218390804597702</v>
      </c>
      <c r="DE235" s="223">
        <f t="shared" si="1672"/>
        <v>10.711206896551724</v>
      </c>
      <c r="DF235" s="243">
        <f t="shared" si="1673"/>
        <v>7.4676724137931032</v>
      </c>
      <c r="DG235" s="243">
        <f t="shared" si="1674"/>
        <v>22.000718390804597</v>
      </c>
      <c r="DH235" s="252">
        <f t="shared" si="1602"/>
        <v>0</v>
      </c>
      <c r="DI235" s="309">
        <f t="shared" si="1675"/>
        <v>22.000718390804597</v>
      </c>
      <c r="DJ235" s="218">
        <f>IF(DG235&lt;=0,1,0)+IF(DG235&gt;0,DG235+1,0)*1+IF(DG235&gt;12,DG235-12,0)*1+IF(DG235&gt;13,DG235-13,0)*1+IF(DG235&gt;14,DG235-14,0)*1+IF(DG235&gt;15,DG235-15,0)*1+IF(DG235&gt;16,DG235-16,0)*1+IF(DG235&gt;17,DG235-17,0)*1+IF(DG235&gt;18,DG235-18,0)*1+IF(DG235&gt;19,DG235-19,0)*1+IF(DG235&gt;20,DG235-20,0)*1</f>
        <v>77.007183908045945</v>
      </c>
      <c r="DK235" s="242">
        <f>IF(DH235&lt;=0,1,0)+IF(DH235&gt;0,DH235+1,0)*1+IF(DH235&gt;12,DH235-12,0)*1+IF(DH235&gt;13,DH235-13,0)*1+IF(DH235&gt;14,DH235-14,0)*1+IF(DH235&gt;15,DH235-15,0)*1+IF(DH235&gt;16,DH235-16,0)*1+IF(DH235&gt;17,DH235-17,0)*1+IF(DH235&gt;18,DH235-18,0)*1+IF(DH235&gt;19,DH235-19,0)*1+IF(DH235&gt;20,DH235-20,0)*1</f>
        <v>1</v>
      </c>
      <c r="DL235" s="243">
        <f t="shared" si="1676"/>
        <v>76.007183908045945</v>
      </c>
      <c r="DM235" s="218">
        <f t="shared" si="1677"/>
        <v>0</v>
      </c>
      <c r="DO235" s="303" t="s">
        <v>199</v>
      </c>
      <c r="DP235" s="304" t="s">
        <v>226</v>
      </c>
      <c r="DQ235" s="305" t="s">
        <v>133</v>
      </c>
      <c r="DR235" s="317"/>
      <c r="DS235" s="254">
        <f>Konvention_1slave-KLslave</f>
        <v>12</v>
      </c>
      <c r="DT235" s="254">
        <f>Konvention_1slave-INslave</f>
        <v>12</v>
      </c>
      <c r="DU235" s="254"/>
      <c r="DV235" s="254"/>
      <c r="DW235" s="254"/>
      <c r="DX235" s="254">
        <f t="shared" ref="DX235:DX240" si="1771">Konvention_1slave-KOslave</f>
        <v>12</v>
      </c>
      <c r="DY235" s="318"/>
      <c r="DZ235" s="223">
        <f t="shared" si="1678"/>
        <v>12</v>
      </c>
      <c r="EA235" s="223">
        <f t="shared" si="1679"/>
        <v>24</v>
      </c>
      <c r="EB235" s="224">
        <f t="shared" si="1680"/>
        <v>36</v>
      </c>
      <c r="EC235" s="237">
        <f t="shared" si="1603"/>
        <v>2304</v>
      </c>
      <c r="ED235" s="254">
        <f>DS235*DT235*KOslave+DS235*INslave*DX235+KLslave*DT235*DX235</f>
        <v>3456</v>
      </c>
      <c r="EE235" s="224">
        <f t="shared" si="1681"/>
        <v>1728</v>
      </c>
      <c r="EF235" s="224">
        <f t="shared" si="1682"/>
        <v>7488</v>
      </c>
      <c r="EG235" s="222">
        <f t="shared" si="1683"/>
        <v>3.6923076923076925</v>
      </c>
      <c r="EH235" s="223">
        <f t="shared" si="1684"/>
        <v>11.076923076923077</v>
      </c>
      <c r="EI235" s="243">
        <f t="shared" si="1685"/>
        <v>8.3076923076923084</v>
      </c>
      <c r="EJ235" s="243">
        <f t="shared" si="1686"/>
        <v>23.07692307692308</v>
      </c>
      <c r="EK235" s="252">
        <f t="shared" si="1604"/>
        <v>0</v>
      </c>
      <c r="EL235" s="309">
        <f t="shared" si="1687"/>
        <v>23.07692307692308</v>
      </c>
      <c r="EM235" s="218">
        <f>IF(EJ235&lt;=0,1,0)+IF(EJ235&gt;0,EJ235+1,0)*1+IF(EJ235&gt;12,EJ235-12,0)*1+IF(EJ235&gt;13,EJ235-13,0)*1+IF(EJ235&gt;14,EJ235-14,0)*1+IF(EJ235&gt;15,EJ235-15,0)*1+IF(EJ235&gt;16,EJ235-16,0)*1+IF(EJ235&gt;17,EJ235-17,0)*1+IF(EJ235&gt;18,EJ235-18,0)*1+IF(EJ235&gt;19,EJ235-19,0)*1+IF(EJ235&gt;20,EJ235-20,0)*1</f>
        <v>87.769230769230802</v>
      </c>
      <c r="EN235" s="242">
        <f>IF(EK235&lt;=0,1,0)+IF(EK235&gt;0,EK235+1,0)*1+IF(EK235&gt;12,EK235-12,0)*1+IF(EK235&gt;13,EK235-13,0)*1+IF(EK235&gt;14,EK235-14,0)*1+IF(EK235&gt;15,EK235-15,0)*1+IF(EK235&gt;16,EK235-16,0)*1+IF(EK235&gt;17,EK235-17,0)*1+IF(EK235&gt;18,EK235-18,0)*1+IF(EK235&gt;19,EK235-19,0)*1+IF(EK235&gt;20,EK235-20,0)*1</f>
        <v>1</v>
      </c>
      <c r="EO235" s="243">
        <f t="shared" si="1688"/>
        <v>86.769230769230802</v>
      </c>
      <c r="EP235" s="218">
        <f t="shared" si="1689"/>
        <v>0</v>
      </c>
      <c r="ER235" s="303" t="s">
        <v>199</v>
      </c>
      <c r="ES235" s="304" t="s">
        <v>226</v>
      </c>
      <c r="ET235" s="305" t="s">
        <v>133</v>
      </c>
      <c r="EU235" s="317"/>
      <c r="EV235" s="254">
        <f>Konvention_1slave-KLslave</f>
        <v>12</v>
      </c>
      <c r="EW235" s="254">
        <f>Konvention_1slave-INslave</f>
        <v>12</v>
      </c>
      <c r="EX235" s="254"/>
      <c r="EY235" s="254"/>
      <c r="EZ235" s="254"/>
      <c r="FA235" s="254">
        <f t="shared" ref="FA235:FA240" si="1772">Konvention_1slave-KOslave</f>
        <v>12</v>
      </c>
      <c r="FB235" s="318"/>
      <c r="FC235" s="223">
        <f t="shared" si="1690"/>
        <v>12</v>
      </c>
      <c r="FD235" s="223">
        <f t="shared" si="1691"/>
        <v>24</v>
      </c>
      <c r="FE235" s="224">
        <f t="shared" si="1692"/>
        <v>36</v>
      </c>
      <c r="FF235" s="237">
        <f t="shared" si="1605"/>
        <v>2304</v>
      </c>
      <c r="FG235" s="254">
        <f>EV235*EW235*KOslave+EV235*INslave*FA235+KLslave*EW235*FA235</f>
        <v>3456</v>
      </c>
      <c r="FH235" s="224">
        <f t="shared" si="1693"/>
        <v>1728</v>
      </c>
      <c r="FI235" s="224">
        <f t="shared" si="1694"/>
        <v>7488</v>
      </c>
      <c r="FJ235" s="222">
        <f t="shared" si="1695"/>
        <v>3.6923076923076925</v>
      </c>
      <c r="FK235" s="223">
        <f t="shared" si="1696"/>
        <v>11.076923076923077</v>
      </c>
      <c r="FL235" s="243">
        <f t="shared" si="1697"/>
        <v>8.3076923076923084</v>
      </c>
      <c r="FM235" s="243">
        <f t="shared" si="1698"/>
        <v>23.07692307692308</v>
      </c>
      <c r="FN235" s="252">
        <f t="shared" si="1606"/>
        <v>0</v>
      </c>
      <c r="FO235" s="309">
        <f t="shared" si="1699"/>
        <v>23.07692307692308</v>
      </c>
      <c r="FP235" s="218">
        <f>IF(FM235&lt;=0,1,0)+IF(FM235&gt;0,FM235+1,0)*1+IF(FM235&gt;12,FM235-12,0)*1+IF(FM235&gt;13,FM235-13,0)*1+IF(FM235&gt;14,FM235-14,0)*1+IF(FM235&gt;15,FM235-15,0)*1+IF(FM235&gt;16,FM235-16,0)*1+IF(FM235&gt;17,FM235-17,0)*1+IF(FM235&gt;18,FM235-18,0)*1+IF(FM235&gt;19,FM235-19,0)*1+IF(FM235&gt;20,FM235-20,0)*1</f>
        <v>87.769230769230802</v>
      </c>
      <c r="FQ235" s="242">
        <f>IF(FN235&lt;=0,1,0)+IF(FN235&gt;0,FN235+1,0)*1+IF(FN235&gt;12,FN235-12,0)*1+IF(FN235&gt;13,FN235-13,0)*1+IF(FN235&gt;14,FN235-14,0)*1+IF(FN235&gt;15,FN235-15,0)*1+IF(FN235&gt;16,FN235-16,0)*1+IF(FN235&gt;17,FN235-17,0)*1+IF(FN235&gt;18,FN235-18,0)*1+IF(FN235&gt;19,FN235-19,0)*1+IF(FN235&gt;20,FN235-20,0)*1</f>
        <v>1</v>
      </c>
      <c r="FR235" s="243">
        <f t="shared" si="1700"/>
        <v>86.769230769230802</v>
      </c>
      <c r="FS235" s="218">
        <f t="shared" si="1701"/>
        <v>0</v>
      </c>
      <c r="FU235" s="303" t="s">
        <v>199</v>
      </c>
      <c r="FV235" s="304" t="s">
        <v>226</v>
      </c>
      <c r="FW235" s="305" t="s">
        <v>133</v>
      </c>
      <c r="FX235" s="317"/>
      <c r="FY235" s="254">
        <f>Konvention_1slave-KLslave</f>
        <v>12</v>
      </c>
      <c r="FZ235" s="254">
        <f>Konvention_1slave-INslave</f>
        <v>12</v>
      </c>
      <c r="GA235" s="254"/>
      <c r="GB235" s="254"/>
      <c r="GC235" s="254"/>
      <c r="GD235" s="254">
        <f t="shared" ref="GD235:GD240" si="1773">Konvention_1slave-KOslave</f>
        <v>12</v>
      </c>
      <c r="GE235" s="318"/>
      <c r="GF235" s="223">
        <f t="shared" si="1702"/>
        <v>12</v>
      </c>
      <c r="GG235" s="223">
        <f t="shared" si="1703"/>
        <v>24</v>
      </c>
      <c r="GH235" s="224">
        <f t="shared" si="1704"/>
        <v>36</v>
      </c>
      <c r="GI235" s="237">
        <f t="shared" si="1607"/>
        <v>2304</v>
      </c>
      <c r="GJ235" s="254">
        <f>FY235*FZ235*KOslave+FY235*INslave*GD235+KLslave*FZ235*GD235</f>
        <v>3456</v>
      </c>
      <c r="GK235" s="224">
        <f t="shared" si="1705"/>
        <v>1728</v>
      </c>
      <c r="GL235" s="224">
        <f t="shared" si="1706"/>
        <v>7488</v>
      </c>
      <c r="GM235" s="222">
        <f t="shared" si="1707"/>
        <v>3.6923076923076925</v>
      </c>
      <c r="GN235" s="223">
        <f t="shared" si="1708"/>
        <v>11.076923076923077</v>
      </c>
      <c r="GO235" s="243">
        <f t="shared" si="1709"/>
        <v>8.3076923076923084</v>
      </c>
      <c r="GP235" s="243">
        <f t="shared" si="1710"/>
        <v>23.07692307692308</v>
      </c>
      <c r="GQ235" s="252">
        <f t="shared" si="1608"/>
        <v>0</v>
      </c>
      <c r="GR235" s="309">
        <f t="shared" si="1711"/>
        <v>23.07692307692308</v>
      </c>
      <c r="GS235" s="218">
        <f>IF(GP235&lt;=0,1,0)+IF(GP235&gt;0,GP235+1,0)*1+IF(GP235&gt;12,GP235-12,0)*1+IF(GP235&gt;13,GP235-13,0)*1+IF(GP235&gt;14,GP235-14,0)*1+IF(GP235&gt;15,GP235-15,0)*1+IF(GP235&gt;16,GP235-16,0)*1+IF(GP235&gt;17,GP235-17,0)*1+IF(GP235&gt;18,GP235-18,0)*1+IF(GP235&gt;19,GP235-19,0)*1+IF(GP235&gt;20,GP235-20,0)*1</f>
        <v>87.769230769230802</v>
      </c>
      <c r="GT235" s="242">
        <f>IF(GQ235&lt;=0,1,0)+IF(GQ235&gt;0,GQ235+1,0)*1+IF(GQ235&gt;12,GQ235-12,0)*1+IF(GQ235&gt;13,GQ235-13,0)*1+IF(GQ235&gt;14,GQ235-14,0)*1+IF(GQ235&gt;15,GQ235-15,0)*1+IF(GQ235&gt;16,GQ235-16,0)*1+IF(GQ235&gt;17,GQ235-17,0)*1+IF(GQ235&gt;18,GQ235-18,0)*1+IF(GQ235&gt;19,GQ235-19,0)*1+IF(GQ235&gt;20,GQ235-20,0)*1</f>
        <v>1</v>
      </c>
      <c r="GU235" s="243">
        <f t="shared" si="1712"/>
        <v>86.769230769230802</v>
      </c>
      <c r="GV235" s="218">
        <f t="shared" si="1713"/>
        <v>0</v>
      </c>
      <c r="GX235" s="303" t="s">
        <v>199</v>
      </c>
      <c r="GY235" s="304" t="s">
        <v>226</v>
      </c>
      <c r="GZ235" s="305" t="s">
        <v>133</v>
      </c>
      <c r="HA235" s="317"/>
      <c r="HB235" s="254">
        <f>Konvention_1slave-KLslave</f>
        <v>12</v>
      </c>
      <c r="HC235" s="254">
        <f>Konvention_1slave-INslave</f>
        <v>12</v>
      </c>
      <c r="HD235" s="254"/>
      <c r="HE235" s="254"/>
      <c r="HF235" s="254"/>
      <c r="HG235" s="254">
        <f t="shared" ref="HG235:HG240" si="1774">Konvention_1slave-KOslave_KO</f>
        <v>11</v>
      </c>
      <c r="HH235" s="318"/>
      <c r="HI235" s="223">
        <f t="shared" si="1714"/>
        <v>11.666666666666666</v>
      </c>
      <c r="HJ235" s="223">
        <f t="shared" si="1715"/>
        <v>23.333333333333332</v>
      </c>
      <c r="HK235" s="224">
        <f t="shared" si="1716"/>
        <v>35</v>
      </c>
      <c r="HL235" s="237">
        <f t="shared" si="1609"/>
        <v>2432</v>
      </c>
      <c r="HM235" s="254">
        <f>HB235*HC235*KOslave_KO+HB235*INslave*HG235+KLslave*HC235*HG235</f>
        <v>3408</v>
      </c>
      <c r="HN235" s="224">
        <f t="shared" si="1717"/>
        <v>1584</v>
      </c>
      <c r="HO235" s="224">
        <f t="shared" si="1718"/>
        <v>7424</v>
      </c>
      <c r="HP235" s="222">
        <f t="shared" si="1719"/>
        <v>3.8218390804597702</v>
      </c>
      <c r="HQ235" s="223">
        <f t="shared" si="1720"/>
        <v>10.711206896551724</v>
      </c>
      <c r="HR235" s="243">
        <f t="shared" si="1721"/>
        <v>7.4676724137931032</v>
      </c>
      <c r="HS235" s="243">
        <f t="shared" si="1722"/>
        <v>22.000718390804597</v>
      </c>
      <c r="HT235" s="252">
        <f t="shared" si="1610"/>
        <v>0</v>
      </c>
      <c r="HU235" s="309">
        <f t="shared" si="1723"/>
        <v>22.000718390804597</v>
      </c>
      <c r="HV235" s="218">
        <f>IF(HS235&lt;=0,1,0)+IF(HS235&gt;0,HS235+1,0)*1+IF(HS235&gt;12,HS235-12,0)*1+IF(HS235&gt;13,HS235-13,0)*1+IF(HS235&gt;14,HS235-14,0)*1+IF(HS235&gt;15,HS235-15,0)*1+IF(HS235&gt;16,HS235-16,0)*1+IF(HS235&gt;17,HS235-17,0)*1+IF(HS235&gt;18,HS235-18,0)*1+IF(HS235&gt;19,HS235-19,0)*1+IF(HS235&gt;20,HS235-20,0)*1</f>
        <v>77.007183908045945</v>
      </c>
      <c r="HW235" s="242">
        <f>IF(HT235&lt;=0,1,0)+IF(HT235&gt;0,HT235+1,0)*1+IF(HT235&gt;12,HT235-12,0)*1+IF(HT235&gt;13,HT235-13,0)*1+IF(HT235&gt;14,HT235-14,0)*1+IF(HT235&gt;15,HT235-15,0)*1+IF(HT235&gt;16,HT235-16,0)*1+IF(HT235&gt;17,HT235-17,0)*1+IF(HT235&gt;18,HT235-18,0)*1+IF(HT235&gt;19,HT235-19,0)*1+IF(HT235&gt;20,HT235-20,0)*1</f>
        <v>1</v>
      </c>
      <c r="HX235" s="243">
        <f t="shared" si="1724"/>
        <v>76.007183908045945</v>
      </c>
      <c r="HY235" s="218">
        <f t="shared" si="1725"/>
        <v>0</v>
      </c>
      <c r="IA235" s="303" t="s">
        <v>199</v>
      </c>
      <c r="IB235" s="304" t="s">
        <v>226</v>
      </c>
      <c r="IC235" s="305" t="s">
        <v>133</v>
      </c>
      <c r="ID235" s="317"/>
      <c r="IE235" s="254">
        <f>Konvention_1slave-KLslave</f>
        <v>12</v>
      </c>
      <c r="IF235" s="254">
        <f>Konvention_1slave-INslave</f>
        <v>12</v>
      </c>
      <c r="IG235" s="254"/>
      <c r="IH235" s="254"/>
      <c r="II235" s="254"/>
      <c r="IJ235" s="254">
        <f t="shared" ref="IJ235:IJ240" si="1775">Konvention_1slave-KOslave</f>
        <v>12</v>
      </c>
      <c r="IK235" s="318"/>
      <c r="IL235" s="223">
        <f t="shared" si="1726"/>
        <v>12</v>
      </c>
      <c r="IM235" s="223">
        <f t="shared" si="1727"/>
        <v>24</v>
      </c>
      <c r="IN235" s="224">
        <f t="shared" si="1728"/>
        <v>36</v>
      </c>
      <c r="IO235" s="237">
        <f t="shared" si="1611"/>
        <v>2304</v>
      </c>
      <c r="IP235" s="254">
        <f>IE235*IF235*KOslave+IE235*INslave*IJ235+KLslave*IF235*IJ235</f>
        <v>3456</v>
      </c>
      <c r="IQ235" s="224">
        <f t="shared" si="1729"/>
        <v>1728</v>
      </c>
      <c r="IR235" s="224">
        <f t="shared" si="1730"/>
        <v>7488</v>
      </c>
      <c r="IS235" s="222">
        <f t="shared" si="1731"/>
        <v>3.6923076923076925</v>
      </c>
      <c r="IT235" s="223">
        <f t="shared" si="1732"/>
        <v>11.076923076923077</v>
      </c>
      <c r="IU235" s="243">
        <f t="shared" si="1733"/>
        <v>8.3076923076923084</v>
      </c>
      <c r="IV235" s="243">
        <f t="shared" si="1734"/>
        <v>23.07692307692308</v>
      </c>
      <c r="IW235" s="252">
        <f t="shared" si="1612"/>
        <v>0</v>
      </c>
      <c r="IX235" s="309">
        <f t="shared" si="1735"/>
        <v>23.07692307692308</v>
      </c>
      <c r="IY235" s="218">
        <f>IF(IV235&lt;=0,1,0)+IF(IV235&gt;0,IV235+1,0)*1+IF(IV235&gt;12,IV235-12,0)*1+IF(IV235&gt;13,IV235-13,0)*1+IF(IV235&gt;14,IV235-14,0)*1+IF(IV235&gt;15,IV235-15,0)*1+IF(IV235&gt;16,IV235-16,0)*1+IF(IV235&gt;17,IV235-17,0)*1+IF(IV235&gt;18,IV235-18,0)*1+IF(IV235&gt;19,IV235-19,0)*1+IF(IV235&gt;20,IV235-20,0)*1</f>
        <v>87.769230769230802</v>
      </c>
      <c r="IZ235" s="242">
        <f>IF(IW235&lt;=0,1,0)+IF(IW235&gt;0,IW235+1,0)*1+IF(IW235&gt;12,IW235-12,0)*1+IF(IW235&gt;13,IW235-13,0)*1+IF(IW235&gt;14,IW235-14,0)*1+IF(IW235&gt;15,IW235-15,0)*1+IF(IW235&gt;16,IW235-16,0)*1+IF(IW235&gt;17,IW235-17,0)*1+IF(IW235&gt;18,IW235-18,0)*1+IF(IW235&gt;19,IW235-19,0)*1+IF(IW235&gt;20,IW235-20,0)*1</f>
        <v>1</v>
      </c>
      <c r="JA235" s="243">
        <f t="shared" si="1736"/>
        <v>86.769230769230802</v>
      </c>
      <c r="JB235" s="218">
        <f t="shared" si="1737"/>
        <v>0</v>
      </c>
      <c r="JE235" s="148"/>
    </row>
    <row r="236" spans="2:265" hidden="1" outlineLevel="2">
      <c r="B236" s="148">
        <v>24</v>
      </c>
      <c r="C236" s="303" t="e">
        <f>VLOOKUP(AF236,Attribute!C:T,1,FALSE)</f>
        <v>#N/A</v>
      </c>
      <c r="D236" s="86" t="s">
        <v>171</v>
      </c>
      <c r="E236" s="167" t="s">
        <v>132</v>
      </c>
      <c r="F236" s="120"/>
      <c r="G236" s="117"/>
      <c r="H236" s="117">
        <f>Konvention_1master-INmaster</f>
        <v>12</v>
      </c>
      <c r="I236" s="117"/>
      <c r="J236" s="117">
        <f>Konvention_1master-FFmaster</f>
        <v>12</v>
      </c>
      <c r="K236" s="117"/>
      <c r="L236" s="117">
        <f t="shared" si="1766"/>
        <v>12</v>
      </c>
      <c r="M236" s="121"/>
      <c r="N236" s="223">
        <f t="shared" si="1629"/>
        <v>12</v>
      </c>
      <c r="O236" s="223">
        <f t="shared" si="1630"/>
        <v>24</v>
      </c>
      <c r="P236" s="224">
        <f t="shared" si="1631"/>
        <v>36</v>
      </c>
      <c r="Q236" s="237">
        <f t="shared" si="1632"/>
        <v>2304</v>
      </c>
      <c r="R236" s="117">
        <f>H236*J236*KOmaster+H236*FFmaster*L236+INmaster*J236*L236</f>
        <v>3456</v>
      </c>
      <c r="S236" s="224">
        <f t="shared" si="1633"/>
        <v>1728</v>
      </c>
      <c r="T236" s="224">
        <f t="shared" si="1767"/>
        <v>7488</v>
      </c>
      <c r="U236" s="222">
        <f t="shared" si="1635"/>
        <v>3.6923076923076925</v>
      </c>
      <c r="V236" s="223">
        <f t="shared" si="1636"/>
        <v>11.076923076923077</v>
      </c>
      <c r="W236" s="243">
        <f t="shared" si="1637"/>
        <v>8.3076923076923084</v>
      </c>
      <c r="X236" s="243">
        <f t="shared" si="1638"/>
        <v>23.07692307692308</v>
      </c>
      <c r="Y236" s="252">
        <v>0</v>
      </c>
      <c r="Z236" s="198">
        <f t="shared" si="1639"/>
        <v>23.07692307692308</v>
      </c>
      <c r="AA236" s="125">
        <f>IF(X236&lt;=0,2,0)+IF(X236&gt;0,X236+1,0)*2+IF(X236&gt;12,X236-12,0)*2+IF(X236&gt;13,X236-13,0)*2+IF(X236&gt;14,X236-14,0)*2+IF(X236&gt;15,X236-15,0)*2+IF(X236&gt;16,X236-16,0)*2+IF(X236&gt;17,X236-17,0)*2+IF(X236&gt;18,X236-18,0)*2+IF(X236&gt;19,X236-19,0)*2+IF(X236&gt;20,X236-20,0)*2</f>
        <v>175.5384615384616</v>
      </c>
      <c r="AB236" s="160">
        <f>IF(Y236&lt;=0,2,0)+IF(Y236&gt;0,Y236+1,0)*2+IF(Y236&gt;12,Y236-12,0)*2+IF(Y236&gt;13,Y236-13,0)*2+IF(Y236&gt;14,Y236-14,0)*2+IF(Y236&gt;15,Y236-15,0)*2+IF(Y236&gt;16,Y236-16,0)*2+IF(Y236&gt;17,Y236-17,0)*2+IF(Y236&gt;18,Y236-18,0)*2+IF(Y236&gt;19,Y236-19,0)*2+IF(Y236&gt;20,Y236-20,0)*2</f>
        <v>2</v>
      </c>
      <c r="AC236" s="127">
        <f t="shared" si="1640"/>
        <v>173.5384615384616</v>
      </c>
      <c r="AD236" s="125">
        <f t="shared" si="1641"/>
        <v>0</v>
      </c>
      <c r="AF236" s="163" t="s">
        <v>163</v>
      </c>
      <c r="AG236" s="86" t="s">
        <v>171</v>
      </c>
      <c r="AH236" s="167" t="s">
        <v>132</v>
      </c>
      <c r="AI236" s="120"/>
      <c r="AJ236" s="117"/>
      <c r="AK236" s="117">
        <f>Konvention_1slave-INslave</f>
        <v>12</v>
      </c>
      <c r="AL236" s="117"/>
      <c r="AM236" s="117">
        <f>Konvention_1slave-FFslave</f>
        <v>12</v>
      </c>
      <c r="AN236" s="117"/>
      <c r="AO236" s="117">
        <f t="shared" si="1768"/>
        <v>12</v>
      </c>
      <c r="AP236" s="121"/>
      <c r="AQ236" s="47">
        <f t="shared" si="1642"/>
        <v>12</v>
      </c>
      <c r="AR236" s="3">
        <f t="shared" si="1643"/>
        <v>24</v>
      </c>
      <c r="AS236" s="174">
        <f t="shared" si="1644"/>
        <v>36</v>
      </c>
      <c r="AT236" s="114">
        <f t="shared" si="1597"/>
        <v>2304</v>
      </c>
      <c r="AU236" s="117">
        <f>AK236*AM236*KOslave+AK236*FFslave*AO236+INslave*AM236*AO236</f>
        <v>3456</v>
      </c>
      <c r="AV236" s="119">
        <f t="shared" si="1645"/>
        <v>1728</v>
      </c>
      <c r="AW236" s="119">
        <f t="shared" si="1646"/>
        <v>7488</v>
      </c>
      <c r="AX236" s="89">
        <f t="shared" si="1647"/>
        <v>3.6923076923076925</v>
      </c>
      <c r="AY236" s="47">
        <f t="shared" si="1648"/>
        <v>11.076923076923077</v>
      </c>
      <c r="AZ236" s="127">
        <f t="shared" si="1649"/>
        <v>8.3076923076923084</v>
      </c>
      <c r="BA236" s="127">
        <f t="shared" si="1650"/>
        <v>23.07692307692308</v>
      </c>
      <c r="BB236" s="165">
        <f t="shared" si="1598"/>
        <v>0</v>
      </c>
      <c r="BC236" s="198">
        <f t="shared" si="1651"/>
        <v>23.07692307692308</v>
      </c>
      <c r="BD236" s="125">
        <f>IF(BA236&lt;=0,2,0)+IF(BA236&gt;0,BA236+1,0)*2+IF(BA236&gt;12,BA236-12,0)*2+IF(BA236&gt;13,BA236-13,0)*2+IF(BA236&gt;14,BA236-14,0)*2+IF(BA236&gt;15,BA236-15,0)*2+IF(BA236&gt;16,BA236-16,0)*2+IF(BA236&gt;17,BA236-17,0)*2+IF(BA236&gt;18,BA236-18,0)*2+IF(BA236&gt;19,BA236-19,0)*2+IF(BA236&gt;20,BA236-20,0)*2</f>
        <v>175.5384615384616</v>
      </c>
      <c r="BE236" s="160">
        <f>IF(BB236&lt;=0,2,0)+IF(BB236&gt;0,BB236+1,0)*2+IF(BB236&gt;12,BB236-12,0)*2+IF(BB236&gt;13,BB236-13,0)*2+IF(BB236&gt;14,BB236-14,0)*2+IF(BB236&gt;15,BB236-15,0)*2+IF(BB236&gt;16,BB236-16,0)*2+IF(BB236&gt;17,BB236-17,0)*2+IF(BB236&gt;18,BB236-18,0)*2+IF(BB236&gt;19,BB236-19,0)*2+IF(BB236&gt;20,BB236-20,0)*2</f>
        <v>2</v>
      </c>
      <c r="BF236" s="243">
        <f t="shared" si="1652"/>
        <v>173.5384615384616</v>
      </c>
      <c r="BG236" s="218">
        <f t="shared" si="1653"/>
        <v>0</v>
      </c>
      <c r="BI236" s="303" t="s">
        <v>163</v>
      </c>
      <c r="BJ236" s="304" t="s">
        <v>171</v>
      </c>
      <c r="BK236" s="305" t="s">
        <v>132</v>
      </c>
      <c r="BL236" s="317"/>
      <c r="BM236" s="254"/>
      <c r="BN236" s="254">
        <f>Konvention_1slave-INslave</f>
        <v>12</v>
      </c>
      <c r="BO236" s="254"/>
      <c r="BP236" s="254">
        <f>Konvention_1slave-FFslave</f>
        <v>12</v>
      </c>
      <c r="BQ236" s="254"/>
      <c r="BR236" s="254">
        <f t="shared" si="1769"/>
        <v>12</v>
      </c>
      <c r="BS236" s="318"/>
      <c r="BT236" s="223">
        <f t="shared" si="1654"/>
        <v>12</v>
      </c>
      <c r="BU236" s="223">
        <f t="shared" si="1655"/>
        <v>24</v>
      </c>
      <c r="BV236" s="224">
        <f t="shared" si="1656"/>
        <v>36</v>
      </c>
      <c r="BW236" s="237">
        <f t="shared" si="1599"/>
        <v>2304</v>
      </c>
      <c r="BX236" s="254">
        <f>BN236*BP236*KOslave+BN236*FFslave*BR236+INslave*BP236*BR236</f>
        <v>3456</v>
      </c>
      <c r="BY236" s="224">
        <f t="shared" si="1657"/>
        <v>1728</v>
      </c>
      <c r="BZ236" s="224">
        <f t="shared" si="1658"/>
        <v>7488</v>
      </c>
      <c r="CA236" s="222">
        <f t="shared" si="1659"/>
        <v>3.6923076923076925</v>
      </c>
      <c r="CB236" s="223">
        <f t="shared" si="1660"/>
        <v>11.076923076923077</v>
      </c>
      <c r="CC236" s="243">
        <f t="shared" si="1661"/>
        <v>8.3076923076923084</v>
      </c>
      <c r="CD236" s="243">
        <f t="shared" si="1662"/>
        <v>23.07692307692308</v>
      </c>
      <c r="CE236" s="252">
        <f t="shared" si="1600"/>
        <v>0</v>
      </c>
      <c r="CF236" s="309">
        <f t="shared" si="1663"/>
        <v>23.07692307692308</v>
      </c>
      <c r="CG236" s="218">
        <f>IF(CD236&lt;=0,2,0)+IF(CD236&gt;0,CD236+1,0)*2+IF(CD236&gt;12,CD236-12,0)*2+IF(CD236&gt;13,CD236-13,0)*2+IF(CD236&gt;14,CD236-14,0)*2+IF(CD236&gt;15,CD236-15,0)*2+IF(CD236&gt;16,CD236-16,0)*2+IF(CD236&gt;17,CD236-17,0)*2+IF(CD236&gt;18,CD236-18,0)*2+IF(CD236&gt;19,CD236-19,0)*2+IF(CD236&gt;20,CD236-20,0)*2</f>
        <v>175.5384615384616</v>
      </c>
      <c r="CH236" s="242">
        <f>IF(CE236&lt;=0,2,0)+IF(CE236&gt;0,CE236+1,0)*2+IF(CE236&gt;12,CE236-12,0)*2+IF(CE236&gt;13,CE236-13,0)*2+IF(CE236&gt;14,CE236-14,0)*2+IF(CE236&gt;15,CE236-15,0)*2+IF(CE236&gt;16,CE236-16,0)*2+IF(CE236&gt;17,CE236-17,0)*2+IF(CE236&gt;18,CE236-18,0)*2+IF(CE236&gt;19,CE236-19,0)*2+IF(CE236&gt;20,CE236-20,0)*2</f>
        <v>2</v>
      </c>
      <c r="CI236" s="243">
        <f t="shared" si="1664"/>
        <v>173.5384615384616</v>
      </c>
      <c r="CJ236" s="218">
        <f t="shared" si="1665"/>
        <v>0</v>
      </c>
      <c r="CL236" s="303" t="s">
        <v>163</v>
      </c>
      <c r="CM236" s="304" t="s">
        <v>171</v>
      </c>
      <c r="CN236" s="305" t="s">
        <v>132</v>
      </c>
      <c r="CO236" s="317"/>
      <c r="CP236" s="254"/>
      <c r="CQ236" s="254">
        <f>Konvention_1slave-INslave_IN</f>
        <v>11</v>
      </c>
      <c r="CR236" s="254"/>
      <c r="CS236" s="254">
        <f>Konvention_1slave-FFslave</f>
        <v>12</v>
      </c>
      <c r="CT236" s="254"/>
      <c r="CU236" s="254">
        <f t="shared" si="1770"/>
        <v>12</v>
      </c>
      <c r="CV236" s="318"/>
      <c r="CW236" s="223">
        <f t="shared" si="1666"/>
        <v>11.666666666666666</v>
      </c>
      <c r="CX236" s="223">
        <f t="shared" si="1667"/>
        <v>23.333333333333332</v>
      </c>
      <c r="CY236" s="224">
        <f t="shared" si="1668"/>
        <v>35</v>
      </c>
      <c r="CZ236" s="237">
        <f t="shared" si="1601"/>
        <v>2432</v>
      </c>
      <c r="DA236" s="254">
        <f>CQ236*CS236*KOslave+CQ236*FFslave*CU236+INslave_IN*CS236*CU236</f>
        <v>3408</v>
      </c>
      <c r="DB236" s="224">
        <f t="shared" si="1669"/>
        <v>1584</v>
      </c>
      <c r="DC236" s="224">
        <f t="shared" si="1670"/>
        <v>7424</v>
      </c>
      <c r="DD236" s="222">
        <f t="shared" si="1671"/>
        <v>3.8218390804597702</v>
      </c>
      <c r="DE236" s="223">
        <f t="shared" si="1672"/>
        <v>10.711206896551724</v>
      </c>
      <c r="DF236" s="243">
        <f t="shared" si="1673"/>
        <v>7.4676724137931032</v>
      </c>
      <c r="DG236" s="243">
        <f t="shared" si="1674"/>
        <v>22.000718390804597</v>
      </c>
      <c r="DH236" s="252">
        <f t="shared" si="1602"/>
        <v>0</v>
      </c>
      <c r="DI236" s="309">
        <f t="shared" si="1675"/>
        <v>22.000718390804597</v>
      </c>
      <c r="DJ236" s="218">
        <f>IF(DG236&lt;=0,2,0)+IF(DG236&gt;0,DG236+1,0)*2+IF(DG236&gt;12,DG236-12,0)*2+IF(DG236&gt;13,DG236-13,0)*2+IF(DG236&gt;14,DG236-14,0)*2+IF(DG236&gt;15,DG236-15,0)*2+IF(DG236&gt;16,DG236-16,0)*2+IF(DG236&gt;17,DG236-17,0)*2+IF(DG236&gt;18,DG236-18,0)*2+IF(DG236&gt;19,DG236-19,0)*2+IF(DG236&gt;20,DG236-20,0)*2</f>
        <v>154.01436781609189</v>
      </c>
      <c r="DK236" s="242">
        <f>IF(DH236&lt;=0,2,0)+IF(DH236&gt;0,DH236+1,0)*2+IF(DH236&gt;12,DH236-12,0)*2+IF(DH236&gt;13,DH236-13,0)*2+IF(DH236&gt;14,DH236-14,0)*2+IF(DH236&gt;15,DH236-15,0)*2+IF(DH236&gt;16,DH236-16,0)*2+IF(DH236&gt;17,DH236-17,0)*2+IF(DH236&gt;18,DH236-18,0)*2+IF(DH236&gt;19,DH236-19,0)*2+IF(DH236&gt;20,DH236-20,0)*2</f>
        <v>2</v>
      </c>
      <c r="DL236" s="243">
        <f t="shared" si="1676"/>
        <v>152.01436781609189</v>
      </c>
      <c r="DM236" s="218">
        <f t="shared" si="1677"/>
        <v>0</v>
      </c>
      <c r="DO236" s="303" t="s">
        <v>163</v>
      </c>
      <c r="DP236" s="304" t="s">
        <v>171</v>
      </c>
      <c r="DQ236" s="305" t="s">
        <v>132</v>
      </c>
      <c r="DR236" s="317"/>
      <c r="DS236" s="254"/>
      <c r="DT236" s="254">
        <f>Konvention_1slave-INslave</f>
        <v>12</v>
      </c>
      <c r="DU236" s="254"/>
      <c r="DV236" s="254">
        <f>Konvention_1slave-FFslave</f>
        <v>12</v>
      </c>
      <c r="DW236" s="254"/>
      <c r="DX236" s="254">
        <f t="shared" si="1771"/>
        <v>12</v>
      </c>
      <c r="DY236" s="318"/>
      <c r="DZ236" s="223">
        <f t="shared" si="1678"/>
        <v>12</v>
      </c>
      <c r="EA236" s="223">
        <f t="shared" si="1679"/>
        <v>24</v>
      </c>
      <c r="EB236" s="224">
        <f t="shared" si="1680"/>
        <v>36</v>
      </c>
      <c r="EC236" s="237">
        <f t="shared" si="1603"/>
        <v>2304</v>
      </c>
      <c r="ED236" s="254">
        <f>DT236*DV236*KOslave+DT236*FFslave*DX236+INslave*DV236*DX236</f>
        <v>3456</v>
      </c>
      <c r="EE236" s="224">
        <f t="shared" si="1681"/>
        <v>1728</v>
      </c>
      <c r="EF236" s="224">
        <f t="shared" si="1682"/>
        <v>7488</v>
      </c>
      <c r="EG236" s="222">
        <f t="shared" si="1683"/>
        <v>3.6923076923076925</v>
      </c>
      <c r="EH236" s="223">
        <f t="shared" si="1684"/>
        <v>11.076923076923077</v>
      </c>
      <c r="EI236" s="243">
        <f t="shared" si="1685"/>
        <v>8.3076923076923084</v>
      </c>
      <c r="EJ236" s="243">
        <f t="shared" si="1686"/>
        <v>23.07692307692308</v>
      </c>
      <c r="EK236" s="252">
        <f t="shared" si="1604"/>
        <v>0</v>
      </c>
      <c r="EL236" s="309">
        <f t="shared" si="1687"/>
        <v>23.07692307692308</v>
      </c>
      <c r="EM236" s="218">
        <f>IF(EJ236&lt;=0,2,0)+IF(EJ236&gt;0,EJ236+1,0)*2+IF(EJ236&gt;12,EJ236-12,0)*2+IF(EJ236&gt;13,EJ236-13,0)*2+IF(EJ236&gt;14,EJ236-14,0)*2+IF(EJ236&gt;15,EJ236-15,0)*2+IF(EJ236&gt;16,EJ236-16,0)*2+IF(EJ236&gt;17,EJ236-17,0)*2+IF(EJ236&gt;18,EJ236-18,0)*2+IF(EJ236&gt;19,EJ236-19,0)*2+IF(EJ236&gt;20,EJ236-20,0)*2</f>
        <v>175.5384615384616</v>
      </c>
      <c r="EN236" s="242">
        <f>IF(EK236&lt;=0,2,0)+IF(EK236&gt;0,EK236+1,0)*2+IF(EK236&gt;12,EK236-12,0)*2+IF(EK236&gt;13,EK236-13,0)*2+IF(EK236&gt;14,EK236-14,0)*2+IF(EK236&gt;15,EK236-15,0)*2+IF(EK236&gt;16,EK236-16,0)*2+IF(EK236&gt;17,EK236-17,0)*2+IF(EK236&gt;18,EK236-18,0)*2+IF(EK236&gt;19,EK236-19,0)*2+IF(EK236&gt;20,EK236-20,0)*2</f>
        <v>2</v>
      </c>
      <c r="EO236" s="243">
        <f t="shared" si="1688"/>
        <v>173.5384615384616</v>
      </c>
      <c r="EP236" s="218">
        <f t="shared" si="1689"/>
        <v>0</v>
      </c>
      <c r="ER236" s="303" t="s">
        <v>163</v>
      </c>
      <c r="ES236" s="304" t="s">
        <v>171</v>
      </c>
      <c r="ET236" s="305" t="s">
        <v>132</v>
      </c>
      <c r="EU236" s="317"/>
      <c r="EV236" s="254"/>
      <c r="EW236" s="254">
        <f>Konvention_1slave-INslave</f>
        <v>12</v>
      </c>
      <c r="EX236" s="254"/>
      <c r="EY236" s="254">
        <f>Konvention_1slave-FFslave_FF</f>
        <v>11</v>
      </c>
      <c r="EZ236" s="254"/>
      <c r="FA236" s="254">
        <f t="shared" si="1772"/>
        <v>12</v>
      </c>
      <c r="FB236" s="318"/>
      <c r="FC236" s="223">
        <f t="shared" si="1690"/>
        <v>11.666666666666666</v>
      </c>
      <c r="FD236" s="223">
        <f t="shared" si="1691"/>
        <v>23.333333333333332</v>
      </c>
      <c r="FE236" s="224">
        <f t="shared" si="1692"/>
        <v>35</v>
      </c>
      <c r="FF236" s="237">
        <f t="shared" si="1605"/>
        <v>2432</v>
      </c>
      <c r="FG236" s="254">
        <f>EW236*EY236*KOslave+EW236*FFslave_FF*FA236+INslave*EY236*FA236</f>
        <v>3408</v>
      </c>
      <c r="FH236" s="224">
        <f t="shared" si="1693"/>
        <v>1584</v>
      </c>
      <c r="FI236" s="224">
        <f t="shared" si="1694"/>
        <v>7424</v>
      </c>
      <c r="FJ236" s="222">
        <f t="shared" si="1695"/>
        <v>3.8218390804597702</v>
      </c>
      <c r="FK236" s="223">
        <f t="shared" si="1696"/>
        <v>10.711206896551724</v>
      </c>
      <c r="FL236" s="243">
        <f t="shared" si="1697"/>
        <v>7.4676724137931032</v>
      </c>
      <c r="FM236" s="243">
        <f t="shared" si="1698"/>
        <v>22.000718390804597</v>
      </c>
      <c r="FN236" s="252">
        <f t="shared" si="1606"/>
        <v>0</v>
      </c>
      <c r="FO236" s="309">
        <f t="shared" si="1699"/>
        <v>22.000718390804597</v>
      </c>
      <c r="FP236" s="218">
        <f>IF(FM236&lt;=0,2,0)+IF(FM236&gt;0,FM236+1,0)*2+IF(FM236&gt;12,FM236-12,0)*2+IF(FM236&gt;13,FM236-13,0)*2+IF(FM236&gt;14,FM236-14,0)*2+IF(FM236&gt;15,FM236-15,0)*2+IF(FM236&gt;16,FM236-16,0)*2+IF(FM236&gt;17,FM236-17,0)*2+IF(FM236&gt;18,FM236-18,0)*2+IF(FM236&gt;19,FM236-19,0)*2+IF(FM236&gt;20,FM236-20,0)*2</f>
        <v>154.01436781609189</v>
      </c>
      <c r="FQ236" s="242">
        <f>IF(FN236&lt;=0,2,0)+IF(FN236&gt;0,FN236+1,0)*2+IF(FN236&gt;12,FN236-12,0)*2+IF(FN236&gt;13,FN236-13,0)*2+IF(FN236&gt;14,FN236-14,0)*2+IF(FN236&gt;15,FN236-15,0)*2+IF(FN236&gt;16,FN236-16,0)*2+IF(FN236&gt;17,FN236-17,0)*2+IF(FN236&gt;18,FN236-18,0)*2+IF(FN236&gt;19,FN236-19,0)*2+IF(FN236&gt;20,FN236-20,0)*2</f>
        <v>2</v>
      </c>
      <c r="FR236" s="243">
        <f t="shared" si="1700"/>
        <v>152.01436781609189</v>
      </c>
      <c r="FS236" s="218">
        <f t="shared" si="1701"/>
        <v>0</v>
      </c>
      <c r="FU236" s="303" t="s">
        <v>163</v>
      </c>
      <c r="FV236" s="304" t="s">
        <v>171</v>
      </c>
      <c r="FW236" s="305" t="s">
        <v>132</v>
      </c>
      <c r="FX236" s="317"/>
      <c r="FY236" s="254"/>
      <c r="FZ236" s="254">
        <f>Konvention_1slave-INslave</f>
        <v>12</v>
      </c>
      <c r="GA236" s="254"/>
      <c r="GB236" s="254">
        <f>Konvention_1slave-FFslave</f>
        <v>12</v>
      </c>
      <c r="GC236" s="254"/>
      <c r="GD236" s="254">
        <f t="shared" si="1773"/>
        <v>12</v>
      </c>
      <c r="GE236" s="318"/>
      <c r="GF236" s="223">
        <f t="shared" si="1702"/>
        <v>12</v>
      </c>
      <c r="GG236" s="223">
        <f t="shared" si="1703"/>
        <v>24</v>
      </c>
      <c r="GH236" s="224">
        <f t="shared" si="1704"/>
        <v>36</v>
      </c>
      <c r="GI236" s="237">
        <f t="shared" si="1607"/>
        <v>2304</v>
      </c>
      <c r="GJ236" s="254">
        <f>FZ236*GB236*KOslave+FZ236*FFslave*GD236+INslave*GB236*GD236</f>
        <v>3456</v>
      </c>
      <c r="GK236" s="224">
        <f t="shared" si="1705"/>
        <v>1728</v>
      </c>
      <c r="GL236" s="224">
        <f t="shared" si="1706"/>
        <v>7488</v>
      </c>
      <c r="GM236" s="222">
        <f t="shared" si="1707"/>
        <v>3.6923076923076925</v>
      </c>
      <c r="GN236" s="223">
        <f t="shared" si="1708"/>
        <v>11.076923076923077</v>
      </c>
      <c r="GO236" s="243">
        <f t="shared" si="1709"/>
        <v>8.3076923076923084</v>
      </c>
      <c r="GP236" s="243">
        <f t="shared" si="1710"/>
        <v>23.07692307692308</v>
      </c>
      <c r="GQ236" s="252">
        <f t="shared" si="1608"/>
        <v>0</v>
      </c>
      <c r="GR236" s="309">
        <f t="shared" si="1711"/>
        <v>23.07692307692308</v>
      </c>
      <c r="GS236" s="218">
        <f>IF(GP236&lt;=0,2,0)+IF(GP236&gt;0,GP236+1,0)*2+IF(GP236&gt;12,GP236-12,0)*2+IF(GP236&gt;13,GP236-13,0)*2+IF(GP236&gt;14,GP236-14,0)*2+IF(GP236&gt;15,GP236-15,0)*2+IF(GP236&gt;16,GP236-16,0)*2+IF(GP236&gt;17,GP236-17,0)*2+IF(GP236&gt;18,GP236-18,0)*2+IF(GP236&gt;19,GP236-19,0)*2+IF(GP236&gt;20,GP236-20,0)*2</f>
        <v>175.5384615384616</v>
      </c>
      <c r="GT236" s="242">
        <f>IF(GQ236&lt;=0,2,0)+IF(GQ236&gt;0,GQ236+1,0)*2+IF(GQ236&gt;12,GQ236-12,0)*2+IF(GQ236&gt;13,GQ236-13,0)*2+IF(GQ236&gt;14,GQ236-14,0)*2+IF(GQ236&gt;15,GQ236-15,0)*2+IF(GQ236&gt;16,GQ236-16,0)*2+IF(GQ236&gt;17,GQ236-17,0)*2+IF(GQ236&gt;18,GQ236-18,0)*2+IF(GQ236&gt;19,GQ236-19,0)*2+IF(GQ236&gt;20,GQ236-20,0)*2</f>
        <v>2</v>
      </c>
      <c r="GU236" s="243">
        <f t="shared" si="1712"/>
        <v>173.5384615384616</v>
      </c>
      <c r="GV236" s="218">
        <f t="shared" si="1713"/>
        <v>0</v>
      </c>
      <c r="GX236" s="303" t="s">
        <v>163</v>
      </c>
      <c r="GY236" s="304" t="s">
        <v>171</v>
      </c>
      <c r="GZ236" s="305" t="s">
        <v>132</v>
      </c>
      <c r="HA236" s="317"/>
      <c r="HB236" s="254"/>
      <c r="HC236" s="254">
        <f>Konvention_1slave-INslave</f>
        <v>12</v>
      </c>
      <c r="HD236" s="254"/>
      <c r="HE236" s="254">
        <f>Konvention_1slave-FFslave</f>
        <v>12</v>
      </c>
      <c r="HF236" s="254"/>
      <c r="HG236" s="254">
        <f t="shared" si="1774"/>
        <v>11</v>
      </c>
      <c r="HH236" s="318"/>
      <c r="HI236" s="223">
        <f t="shared" si="1714"/>
        <v>11.666666666666666</v>
      </c>
      <c r="HJ236" s="223">
        <f t="shared" si="1715"/>
        <v>23.333333333333332</v>
      </c>
      <c r="HK236" s="224">
        <f t="shared" si="1716"/>
        <v>35</v>
      </c>
      <c r="HL236" s="237">
        <f t="shared" si="1609"/>
        <v>2432</v>
      </c>
      <c r="HM236" s="254">
        <f>HC236*HE236*KOslave_KO+HC236*FFslave*HG236+INslave*HE236*HG236</f>
        <v>3408</v>
      </c>
      <c r="HN236" s="224">
        <f t="shared" si="1717"/>
        <v>1584</v>
      </c>
      <c r="HO236" s="224">
        <f t="shared" si="1718"/>
        <v>7424</v>
      </c>
      <c r="HP236" s="222">
        <f t="shared" si="1719"/>
        <v>3.8218390804597702</v>
      </c>
      <c r="HQ236" s="223">
        <f t="shared" si="1720"/>
        <v>10.711206896551724</v>
      </c>
      <c r="HR236" s="243">
        <f t="shared" si="1721"/>
        <v>7.4676724137931032</v>
      </c>
      <c r="HS236" s="243">
        <f t="shared" si="1722"/>
        <v>22.000718390804597</v>
      </c>
      <c r="HT236" s="252">
        <f t="shared" si="1610"/>
        <v>0</v>
      </c>
      <c r="HU236" s="309">
        <f t="shared" si="1723"/>
        <v>22.000718390804597</v>
      </c>
      <c r="HV236" s="218">
        <f>IF(HS236&lt;=0,2,0)+IF(HS236&gt;0,HS236+1,0)*2+IF(HS236&gt;12,HS236-12,0)*2+IF(HS236&gt;13,HS236-13,0)*2+IF(HS236&gt;14,HS236-14,0)*2+IF(HS236&gt;15,HS236-15,0)*2+IF(HS236&gt;16,HS236-16,0)*2+IF(HS236&gt;17,HS236-17,0)*2+IF(HS236&gt;18,HS236-18,0)*2+IF(HS236&gt;19,HS236-19,0)*2+IF(HS236&gt;20,HS236-20,0)*2</f>
        <v>154.01436781609189</v>
      </c>
      <c r="HW236" s="242">
        <f>IF(HT236&lt;=0,2,0)+IF(HT236&gt;0,HT236+1,0)*2+IF(HT236&gt;12,HT236-12,0)*2+IF(HT236&gt;13,HT236-13,0)*2+IF(HT236&gt;14,HT236-14,0)*2+IF(HT236&gt;15,HT236-15,0)*2+IF(HT236&gt;16,HT236-16,0)*2+IF(HT236&gt;17,HT236-17,0)*2+IF(HT236&gt;18,HT236-18,0)*2+IF(HT236&gt;19,HT236-19,0)*2+IF(HT236&gt;20,HT236-20,0)*2</f>
        <v>2</v>
      </c>
      <c r="HX236" s="243">
        <f t="shared" si="1724"/>
        <v>152.01436781609189</v>
      </c>
      <c r="HY236" s="218">
        <f t="shared" si="1725"/>
        <v>0</v>
      </c>
      <c r="IA236" s="303" t="s">
        <v>163</v>
      </c>
      <c r="IB236" s="304" t="s">
        <v>171</v>
      </c>
      <c r="IC236" s="305" t="s">
        <v>132</v>
      </c>
      <c r="ID236" s="317"/>
      <c r="IE236" s="254"/>
      <c r="IF236" s="254">
        <f>Konvention_1slave-INslave</f>
        <v>12</v>
      </c>
      <c r="IG236" s="254"/>
      <c r="IH236" s="254">
        <f>Konvention_1slave-FFslave</f>
        <v>12</v>
      </c>
      <c r="II236" s="254"/>
      <c r="IJ236" s="254">
        <f t="shared" si="1775"/>
        <v>12</v>
      </c>
      <c r="IK236" s="318"/>
      <c r="IL236" s="223">
        <f t="shared" si="1726"/>
        <v>12</v>
      </c>
      <c r="IM236" s="223">
        <f t="shared" si="1727"/>
        <v>24</v>
      </c>
      <c r="IN236" s="224">
        <f t="shared" si="1728"/>
        <v>36</v>
      </c>
      <c r="IO236" s="237">
        <f t="shared" si="1611"/>
        <v>2304</v>
      </c>
      <c r="IP236" s="254">
        <f>IF236*IH236*KOslave+IF236*FFslave*IJ236+INslave*IH236*IJ236</f>
        <v>3456</v>
      </c>
      <c r="IQ236" s="224">
        <f t="shared" si="1729"/>
        <v>1728</v>
      </c>
      <c r="IR236" s="224">
        <f t="shared" si="1730"/>
        <v>7488</v>
      </c>
      <c r="IS236" s="222">
        <f t="shared" si="1731"/>
        <v>3.6923076923076925</v>
      </c>
      <c r="IT236" s="223">
        <f t="shared" si="1732"/>
        <v>11.076923076923077</v>
      </c>
      <c r="IU236" s="243">
        <f t="shared" si="1733"/>
        <v>8.3076923076923084</v>
      </c>
      <c r="IV236" s="243">
        <f t="shared" si="1734"/>
        <v>23.07692307692308</v>
      </c>
      <c r="IW236" s="252">
        <f t="shared" si="1612"/>
        <v>0</v>
      </c>
      <c r="IX236" s="309">
        <f t="shared" si="1735"/>
        <v>23.07692307692308</v>
      </c>
      <c r="IY236" s="218">
        <f>IF(IV236&lt;=0,2,0)+IF(IV236&gt;0,IV236+1,0)*2+IF(IV236&gt;12,IV236-12,0)*2+IF(IV236&gt;13,IV236-13,0)*2+IF(IV236&gt;14,IV236-14,0)*2+IF(IV236&gt;15,IV236-15,0)*2+IF(IV236&gt;16,IV236-16,0)*2+IF(IV236&gt;17,IV236-17,0)*2+IF(IV236&gt;18,IV236-18,0)*2+IF(IV236&gt;19,IV236-19,0)*2+IF(IV236&gt;20,IV236-20,0)*2</f>
        <v>175.5384615384616</v>
      </c>
      <c r="IZ236" s="242">
        <f>IF(IW236&lt;=0,2,0)+IF(IW236&gt;0,IW236+1,0)*2+IF(IW236&gt;12,IW236-12,0)*2+IF(IW236&gt;13,IW236-13,0)*2+IF(IW236&gt;14,IW236-14,0)*2+IF(IW236&gt;15,IW236-15,0)*2+IF(IW236&gt;16,IW236-16,0)*2+IF(IW236&gt;17,IW236-17,0)*2+IF(IW236&gt;18,IW236-18,0)*2+IF(IW236&gt;19,IW236-19,0)*2+IF(IW236&gt;20,IW236-20,0)*2</f>
        <v>2</v>
      </c>
      <c r="JA236" s="243">
        <f t="shared" si="1736"/>
        <v>173.5384615384616</v>
      </c>
      <c r="JB236" s="218">
        <f t="shared" si="1737"/>
        <v>0</v>
      </c>
      <c r="JE236" s="148"/>
    </row>
    <row r="237" spans="2:265" hidden="1" outlineLevel="2">
      <c r="B237" s="148">
        <v>25</v>
      </c>
      <c r="C237" s="303" t="e">
        <f>VLOOKUP(AF237,Attribute!C:T,1,FALSE)</f>
        <v>#N/A</v>
      </c>
      <c r="D237" s="86" t="s">
        <v>227</v>
      </c>
      <c r="E237" s="167" t="s">
        <v>133</v>
      </c>
      <c r="F237" s="120">
        <f>Konvention_1master-MUmaster</f>
        <v>12</v>
      </c>
      <c r="G237" s="117"/>
      <c r="H237" s="117"/>
      <c r="I237" s="117">
        <f>Konvention_1master-CHmaster</f>
        <v>12</v>
      </c>
      <c r="J237" s="117"/>
      <c r="K237" s="117"/>
      <c r="L237" s="117">
        <f t="shared" si="1766"/>
        <v>12</v>
      </c>
      <c r="M237" s="121"/>
      <c r="N237" s="223">
        <f t="shared" si="1629"/>
        <v>12</v>
      </c>
      <c r="O237" s="223">
        <f t="shared" si="1630"/>
        <v>24</v>
      </c>
      <c r="P237" s="224">
        <f t="shared" si="1631"/>
        <v>36</v>
      </c>
      <c r="Q237" s="237">
        <f t="shared" si="1632"/>
        <v>2304</v>
      </c>
      <c r="R237" s="117">
        <f>F237*I237*KOmaster+F237*CHmaster*L237+MUmaster*I237*L237</f>
        <v>3456</v>
      </c>
      <c r="S237" s="224">
        <f t="shared" si="1633"/>
        <v>1728</v>
      </c>
      <c r="T237" s="224">
        <f t="shared" si="1767"/>
        <v>7488</v>
      </c>
      <c r="U237" s="222">
        <f t="shared" si="1635"/>
        <v>3.6923076923076925</v>
      </c>
      <c r="V237" s="223">
        <f t="shared" si="1636"/>
        <v>11.076923076923077</v>
      </c>
      <c r="W237" s="243">
        <f t="shared" si="1637"/>
        <v>8.3076923076923084</v>
      </c>
      <c r="X237" s="243">
        <f t="shared" si="1638"/>
        <v>23.07692307692308</v>
      </c>
      <c r="Y237" s="252">
        <v>0</v>
      </c>
      <c r="Z237" s="198">
        <f t="shared" si="1639"/>
        <v>23.07692307692308</v>
      </c>
      <c r="AA237" s="125">
        <f t="shared" ref="AA237:AB239" si="1776">IF(X237&lt;=0,1,0)+IF(X237&gt;0,X237+1,0)*1+IF(X237&gt;12,X237-12,0)*1+IF(X237&gt;13,X237-13,0)*1+IF(X237&gt;14,X237-14,0)*1+IF(X237&gt;15,X237-15,0)*1+IF(X237&gt;16,X237-16,0)*1+IF(X237&gt;17,X237-17,0)*1+IF(X237&gt;18,X237-18,0)*1+IF(X237&gt;19,X237-19,0)*1+IF(X237&gt;20,X237-20,0)*1</f>
        <v>87.769230769230802</v>
      </c>
      <c r="AB237" s="160">
        <f t="shared" si="1776"/>
        <v>1</v>
      </c>
      <c r="AC237" s="127">
        <f t="shared" si="1640"/>
        <v>86.769230769230802</v>
      </c>
      <c r="AD237" s="125">
        <f t="shared" si="1641"/>
        <v>0</v>
      </c>
      <c r="AF237" s="163" t="s">
        <v>202</v>
      </c>
      <c r="AG237" s="86" t="s">
        <v>227</v>
      </c>
      <c r="AH237" s="167" t="s">
        <v>133</v>
      </c>
      <c r="AI237" s="120">
        <f>Konvention_1slave-MUslave_MU</f>
        <v>11</v>
      </c>
      <c r="AJ237" s="117"/>
      <c r="AK237" s="117"/>
      <c r="AL237" s="117">
        <f>Konvention_1slave-CHslave</f>
        <v>12</v>
      </c>
      <c r="AM237" s="117"/>
      <c r="AN237" s="117"/>
      <c r="AO237" s="117">
        <f t="shared" si="1768"/>
        <v>12</v>
      </c>
      <c r="AP237" s="121"/>
      <c r="AQ237" s="47">
        <f t="shared" si="1642"/>
        <v>11.666666666666666</v>
      </c>
      <c r="AR237" s="3">
        <f t="shared" si="1643"/>
        <v>23.333333333333332</v>
      </c>
      <c r="AS237" s="174">
        <f t="shared" si="1644"/>
        <v>35</v>
      </c>
      <c r="AT237" s="114">
        <f t="shared" si="1597"/>
        <v>2432</v>
      </c>
      <c r="AU237" s="117">
        <f>AI237*AL237*KOslave+AI237*CHslave*AO237+MUslave_MU*AL237*AO237</f>
        <v>3408</v>
      </c>
      <c r="AV237" s="119">
        <f t="shared" si="1645"/>
        <v>1584</v>
      </c>
      <c r="AW237" s="119">
        <f t="shared" si="1646"/>
        <v>7424</v>
      </c>
      <c r="AX237" s="89">
        <f t="shared" si="1647"/>
        <v>3.8218390804597702</v>
      </c>
      <c r="AY237" s="47">
        <f t="shared" si="1648"/>
        <v>10.711206896551724</v>
      </c>
      <c r="AZ237" s="127">
        <f t="shared" si="1649"/>
        <v>7.4676724137931032</v>
      </c>
      <c r="BA237" s="127">
        <f t="shared" si="1650"/>
        <v>22.000718390804597</v>
      </c>
      <c r="BB237" s="165">
        <f t="shared" si="1598"/>
        <v>0</v>
      </c>
      <c r="BC237" s="198">
        <f t="shared" si="1651"/>
        <v>22.000718390804597</v>
      </c>
      <c r="BD237" s="125">
        <f t="shared" ref="BD237:BE239" si="1777">IF(BA237&lt;=0,1,0)+IF(BA237&gt;0,BA237+1,0)*1+IF(BA237&gt;12,BA237-12,0)*1+IF(BA237&gt;13,BA237-13,0)*1+IF(BA237&gt;14,BA237-14,0)*1+IF(BA237&gt;15,BA237-15,0)*1+IF(BA237&gt;16,BA237-16,0)*1+IF(BA237&gt;17,BA237-17,0)*1+IF(BA237&gt;18,BA237-18,0)*1+IF(BA237&gt;19,BA237-19,0)*1+IF(BA237&gt;20,BA237-20,0)*1</f>
        <v>77.007183908045945</v>
      </c>
      <c r="BE237" s="160">
        <f t="shared" si="1777"/>
        <v>1</v>
      </c>
      <c r="BF237" s="243">
        <f t="shared" si="1652"/>
        <v>76.007183908045945</v>
      </c>
      <c r="BG237" s="218">
        <f t="shared" si="1653"/>
        <v>0</v>
      </c>
      <c r="BI237" s="303" t="s">
        <v>202</v>
      </c>
      <c r="BJ237" s="304" t="s">
        <v>227</v>
      </c>
      <c r="BK237" s="305" t="s">
        <v>133</v>
      </c>
      <c r="BL237" s="317">
        <f>Konvention_1slave-MUslave</f>
        <v>12</v>
      </c>
      <c r="BM237" s="254"/>
      <c r="BN237" s="254"/>
      <c r="BO237" s="254">
        <f>Konvention_1slave-CHslave</f>
        <v>12</v>
      </c>
      <c r="BP237" s="254"/>
      <c r="BQ237" s="254"/>
      <c r="BR237" s="254">
        <f t="shared" si="1769"/>
        <v>12</v>
      </c>
      <c r="BS237" s="318"/>
      <c r="BT237" s="223">
        <f t="shared" si="1654"/>
        <v>12</v>
      </c>
      <c r="BU237" s="223">
        <f t="shared" si="1655"/>
        <v>24</v>
      </c>
      <c r="BV237" s="224">
        <f t="shared" si="1656"/>
        <v>36</v>
      </c>
      <c r="BW237" s="237">
        <f t="shared" si="1599"/>
        <v>2304</v>
      </c>
      <c r="BX237" s="254">
        <f>BL237*BO237*KOslave+BL237*CHslave*BR237+MUslave*BO237*BR237</f>
        <v>3456</v>
      </c>
      <c r="BY237" s="224">
        <f t="shared" si="1657"/>
        <v>1728</v>
      </c>
      <c r="BZ237" s="224">
        <f t="shared" si="1658"/>
        <v>7488</v>
      </c>
      <c r="CA237" s="222">
        <f t="shared" si="1659"/>
        <v>3.6923076923076925</v>
      </c>
      <c r="CB237" s="223">
        <f t="shared" si="1660"/>
        <v>11.076923076923077</v>
      </c>
      <c r="CC237" s="243">
        <f t="shared" si="1661"/>
        <v>8.3076923076923084</v>
      </c>
      <c r="CD237" s="243">
        <f t="shared" si="1662"/>
        <v>23.07692307692308</v>
      </c>
      <c r="CE237" s="252">
        <f t="shared" si="1600"/>
        <v>0</v>
      </c>
      <c r="CF237" s="309">
        <f t="shared" si="1663"/>
        <v>23.07692307692308</v>
      </c>
      <c r="CG237" s="218">
        <f t="shared" ref="CG237:CH239" si="1778">IF(CD237&lt;=0,1,0)+IF(CD237&gt;0,CD237+1,0)*1+IF(CD237&gt;12,CD237-12,0)*1+IF(CD237&gt;13,CD237-13,0)*1+IF(CD237&gt;14,CD237-14,0)*1+IF(CD237&gt;15,CD237-15,0)*1+IF(CD237&gt;16,CD237-16,0)*1+IF(CD237&gt;17,CD237-17,0)*1+IF(CD237&gt;18,CD237-18,0)*1+IF(CD237&gt;19,CD237-19,0)*1+IF(CD237&gt;20,CD237-20,0)*1</f>
        <v>87.769230769230802</v>
      </c>
      <c r="CH237" s="242">
        <f t="shared" si="1778"/>
        <v>1</v>
      </c>
      <c r="CI237" s="243">
        <f t="shared" si="1664"/>
        <v>86.769230769230802</v>
      </c>
      <c r="CJ237" s="218">
        <f t="shared" si="1665"/>
        <v>0</v>
      </c>
      <c r="CL237" s="303" t="s">
        <v>202</v>
      </c>
      <c r="CM237" s="304" t="s">
        <v>227</v>
      </c>
      <c r="CN237" s="305" t="s">
        <v>133</v>
      </c>
      <c r="CO237" s="317">
        <f>Konvention_1slave-MUslave</f>
        <v>12</v>
      </c>
      <c r="CP237" s="254"/>
      <c r="CQ237" s="254"/>
      <c r="CR237" s="254">
        <f>Konvention_1slave-CHslave</f>
        <v>12</v>
      </c>
      <c r="CS237" s="254"/>
      <c r="CT237" s="254"/>
      <c r="CU237" s="254">
        <f t="shared" si="1770"/>
        <v>12</v>
      </c>
      <c r="CV237" s="318"/>
      <c r="CW237" s="223">
        <f t="shared" si="1666"/>
        <v>12</v>
      </c>
      <c r="CX237" s="223">
        <f t="shared" si="1667"/>
        <v>24</v>
      </c>
      <c r="CY237" s="224">
        <f t="shared" si="1668"/>
        <v>36</v>
      </c>
      <c r="CZ237" s="237">
        <f t="shared" si="1601"/>
        <v>2304</v>
      </c>
      <c r="DA237" s="254">
        <f>CO237*CR237*KOslave+CO237*CHslave*CU237+MUslave*CR237*CU237</f>
        <v>3456</v>
      </c>
      <c r="DB237" s="224">
        <f t="shared" si="1669"/>
        <v>1728</v>
      </c>
      <c r="DC237" s="224">
        <f t="shared" si="1670"/>
        <v>7488</v>
      </c>
      <c r="DD237" s="222">
        <f t="shared" si="1671"/>
        <v>3.6923076923076925</v>
      </c>
      <c r="DE237" s="223">
        <f t="shared" si="1672"/>
        <v>11.076923076923077</v>
      </c>
      <c r="DF237" s="243">
        <f t="shared" si="1673"/>
        <v>8.3076923076923084</v>
      </c>
      <c r="DG237" s="243">
        <f t="shared" si="1674"/>
        <v>23.07692307692308</v>
      </c>
      <c r="DH237" s="252">
        <f t="shared" si="1602"/>
        <v>0</v>
      </c>
      <c r="DI237" s="309">
        <f t="shared" si="1675"/>
        <v>23.07692307692308</v>
      </c>
      <c r="DJ237" s="218">
        <f t="shared" ref="DJ237:DK239" si="1779">IF(DG237&lt;=0,1,0)+IF(DG237&gt;0,DG237+1,0)*1+IF(DG237&gt;12,DG237-12,0)*1+IF(DG237&gt;13,DG237-13,0)*1+IF(DG237&gt;14,DG237-14,0)*1+IF(DG237&gt;15,DG237-15,0)*1+IF(DG237&gt;16,DG237-16,0)*1+IF(DG237&gt;17,DG237-17,0)*1+IF(DG237&gt;18,DG237-18,0)*1+IF(DG237&gt;19,DG237-19,0)*1+IF(DG237&gt;20,DG237-20,0)*1</f>
        <v>87.769230769230802</v>
      </c>
      <c r="DK237" s="242">
        <f t="shared" si="1779"/>
        <v>1</v>
      </c>
      <c r="DL237" s="243">
        <f t="shared" si="1676"/>
        <v>86.769230769230802</v>
      </c>
      <c r="DM237" s="218">
        <f t="shared" si="1677"/>
        <v>0</v>
      </c>
      <c r="DO237" s="303" t="s">
        <v>202</v>
      </c>
      <c r="DP237" s="304" t="s">
        <v>227</v>
      </c>
      <c r="DQ237" s="305" t="s">
        <v>133</v>
      </c>
      <c r="DR237" s="317">
        <f>Konvention_1slave-MUslave</f>
        <v>12</v>
      </c>
      <c r="DS237" s="254"/>
      <c r="DT237" s="254"/>
      <c r="DU237" s="254">
        <f>Konvention_1slave-CHslave_CH</f>
        <v>11</v>
      </c>
      <c r="DV237" s="254"/>
      <c r="DW237" s="254"/>
      <c r="DX237" s="254">
        <f t="shared" si="1771"/>
        <v>12</v>
      </c>
      <c r="DY237" s="318"/>
      <c r="DZ237" s="223">
        <f t="shared" si="1678"/>
        <v>11.666666666666666</v>
      </c>
      <c r="EA237" s="223">
        <f t="shared" si="1679"/>
        <v>23.333333333333332</v>
      </c>
      <c r="EB237" s="224">
        <f t="shared" si="1680"/>
        <v>35</v>
      </c>
      <c r="EC237" s="237">
        <f t="shared" si="1603"/>
        <v>2432</v>
      </c>
      <c r="ED237" s="254">
        <f>DR237*DU237*KOslave+DR237*CHslave_CH*DX237+MUslave*DU237*DX237</f>
        <v>3408</v>
      </c>
      <c r="EE237" s="224">
        <f t="shared" si="1681"/>
        <v>1584</v>
      </c>
      <c r="EF237" s="224">
        <f t="shared" si="1682"/>
        <v>7424</v>
      </c>
      <c r="EG237" s="222">
        <f t="shared" si="1683"/>
        <v>3.8218390804597702</v>
      </c>
      <c r="EH237" s="223">
        <f t="shared" si="1684"/>
        <v>10.711206896551724</v>
      </c>
      <c r="EI237" s="243">
        <f t="shared" si="1685"/>
        <v>7.4676724137931032</v>
      </c>
      <c r="EJ237" s="243">
        <f t="shared" si="1686"/>
        <v>22.000718390804597</v>
      </c>
      <c r="EK237" s="252">
        <f t="shared" si="1604"/>
        <v>0</v>
      </c>
      <c r="EL237" s="309">
        <f t="shared" si="1687"/>
        <v>22.000718390804597</v>
      </c>
      <c r="EM237" s="218">
        <f t="shared" ref="EM237:EN239" si="1780">IF(EJ237&lt;=0,1,0)+IF(EJ237&gt;0,EJ237+1,0)*1+IF(EJ237&gt;12,EJ237-12,0)*1+IF(EJ237&gt;13,EJ237-13,0)*1+IF(EJ237&gt;14,EJ237-14,0)*1+IF(EJ237&gt;15,EJ237-15,0)*1+IF(EJ237&gt;16,EJ237-16,0)*1+IF(EJ237&gt;17,EJ237-17,0)*1+IF(EJ237&gt;18,EJ237-18,0)*1+IF(EJ237&gt;19,EJ237-19,0)*1+IF(EJ237&gt;20,EJ237-20,0)*1</f>
        <v>77.007183908045945</v>
      </c>
      <c r="EN237" s="242">
        <f t="shared" si="1780"/>
        <v>1</v>
      </c>
      <c r="EO237" s="243">
        <f t="shared" si="1688"/>
        <v>76.007183908045945</v>
      </c>
      <c r="EP237" s="218">
        <f t="shared" si="1689"/>
        <v>0</v>
      </c>
      <c r="ER237" s="303" t="s">
        <v>202</v>
      </c>
      <c r="ES237" s="304" t="s">
        <v>227</v>
      </c>
      <c r="ET237" s="305" t="s">
        <v>133</v>
      </c>
      <c r="EU237" s="317">
        <f>Konvention_1slave-MUslave</f>
        <v>12</v>
      </c>
      <c r="EV237" s="254"/>
      <c r="EW237" s="254"/>
      <c r="EX237" s="254">
        <f>Konvention_1slave-CHslave</f>
        <v>12</v>
      </c>
      <c r="EY237" s="254"/>
      <c r="EZ237" s="254"/>
      <c r="FA237" s="254">
        <f t="shared" si="1772"/>
        <v>12</v>
      </c>
      <c r="FB237" s="318"/>
      <c r="FC237" s="223">
        <f t="shared" si="1690"/>
        <v>12</v>
      </c>
      <c r="FD237" s="223">
        <f t="shared" si="1691"/>
        <v>24</v>
      </c>
      <c r="FE237" s="224">
        <f t="shared" si="1692"/>
        <v>36</v>
      </c>
      <c r="FF237" s="237">
        <f t="shared" si="1605"/>
        <v>2304</v>
      </c>
      <c r="FG237" s="254">
        <f>EU237*EX237*KOslave+EU237*CHslave*FA237+MUslave*EX237*FA237</f>
        <v>3456</v>
      </c>
      <c r="FH237" s="224">
        <f t="shared" si="1693"/>
        <v>1728</v>
      </c>
      <c r="FI237" s="224">
        <f t="shared" si="1694"/>
        <v>7488</v>
      </c>
      <c r="FJ237" s="222">
        <f t="shared" si="1695"/>
        <v>3.6923076923076925</v>
      </c>
      <c r="FK237" s="223">
        <f t="shared" si="1696"/>
        <v>11.076923076923077</v>
      </c>
      <c r="FL237" s="243">
        <f t="shared" si="1697"/>
        <v>8.3076923076923084</v>
      </c>
      <c r="FM237" s="243">
        <f t="shared" si="1698"/>
        <v>23.07692307692308</v>
      </c>
      <c r="FN237" s="252">
        <f t="shared" si="1606"/>
        <v>0</v>
      </c>
      <c r="FO237" s="309">
        <f t="shared" si="1699"/>
        <v>23.07692307692308</v>
      </c>
      <c r="FP237" s="218">
        <f t="shared" ref="FP237:FQ239" si="1781">IF(FM237&lt;=0,1,0)+IF(FM237&gt;0,FM237+1,0)*1+IF(FM237&gt;12,FM237-12,0)*1+IF(FM237&gt;13,FM237-13,0)*1+IF(FM237&gt;14,FM237-14,0)*1+IF(FM237&gt;15,FM237-15,0)*1+IF(FM237&gt;16,FM237-16,0)*1+IF(FM237&gt;17,FM237-17,0)*1+IF(FM237&gt;18,FM237-18,0)*1+IF(FM237&gt;19,FM237-19,0)*1+IF(FM237&gt;20,FM237-20,0)*1</f>
        <v>87.769230769230802</v>
      </c>
      <c r="FQ237" s="242">
        <f t="shared" si="1781"/>
        <v>1</v>
      </c>
      <c r="FR237" s="243">
        <f t="shared" si="1700"/>
        <v>86.769230769230802</v>
      </c>
      <c r="FS237" s="218">
        <f t="shared" si="1701"/>
        <v>0</v>
      </c>
      <c r="FU237" s="303" t="s">
        <v>202</v>
      </c>
      <c r="FV237" s="304" t="s">
        <v>227</v>
      </c>
      <c r="FW237" s="305" t="s">
        <v>133</v>
      </c>
      <c r="FX237" s="317">
        <f>Konvention_1slave-MUslave</f>
        <v>12</v>
      </c>
      <c r="FY237" s="254"/>
      <c r="FZ237" s="254"/>
      <c r="GA237" s="254">
        <f>Konvention_1slave-CHslave</f>
        <v>12</v>
      </c>
      <c r="GB237" s="254"/>
      <c r="GC237" s="254"/>
      <c r="GD237" s="254">
        <f t="shared" si="1773"/>
        <v>12</v>
      </c>
      <c r="GE237" s="318"/>
      <c r="GF237" s="223">
        <f t="shared" si="1702"/>
        <v>12</v>
      </c>
      <c r="GG237" s="223">
        <f t="shared" si="1703"/>
        <v>24</v>
      </c>
      <c r="GH237" s="224">
        <f t="shared" si="1704"/>
        <v>36</v>
      </c>
      <c r="GI237" s="237">
        <f t="shared" si="1607"/>
        <v>2304</v>
      </c>
      <c r="GJ237" s="254">
        <f>FX237*GA237*KOslave+FX237*CHslave*GD237+MUslave*GA237*GD237</f>
        <v>3456</v>
      </c>
      <c r="GK237" s="224">
        <f t="shared" si="1705"/>
        <v>1728</v>
      </c>
      <c r="GL237" s="224">
        <f t="shared" si="1706"/>
        <v>7488</v>
      </c>
      <c r="GM237" s="222">
        <f t="shared" si="1707"/>
        <v>3.6923076923076925</v>
      </c>
      <c r="GN237" s="223">
        <f t="shared" si="1708"/>
        <v>11.076923076923077</v>
      </c>
      <c r="GO237" s="243">
        <f t="shared" si="1709"/>
        <v>8.3076923076923084</v>
      </c>
      <c r="GP237" s="243">
        <f t="shared" si="1710"/>
        <v>23.07692307692308</v>
      </c>
      <c r="GQ237" s="252">
        <f t="shared" si="1608"/>
        <v>0</v>
      </c>
      <c r="GR237" s="309">
        <f t="shared" si="1711"/>
        <v>23.07692307692308</v>
      </c>
      <c r="GS237" s="218">
        <f t="shared" ref="GS237:GT239" si="1782">IF(GP237&lt;=0,1,0)+IF(GP237&gt;0,GP237+1,0)*1+IF(GP237&gt;12,GP237-12,0)*1+IF(GP237&gt;13,GP237-13,0)*1+IF(GP237&gt;14,GP237-14,0)*1+IF(GP237&gt;15,GP237-15,0)*1+IF(GP237&gt;16,GP237-16,0)*1+IF(GP237&gt;17,GP237-17,0)*1+IF(GP237&gt;18,GP237-18,0)*1+IF(GP237&gt;19,GP237-19,0)*1+IF(GP237&gt;20,GP237-20,0)*1</f>
        <v>87.769230769230802</v>
      </c>
      <c r="GT237" s="242">
        <f t="shared" si="1782"/>
        <v>1</v>
      </c>
      <c r="GU237" s="243">
        <f t="shared" si="1712"/>
        <v>86.769230769230802</v>
      </c>
      <c r="GV237" s="218">
        <f t="shared" si="1713"/>
        <v>0</v>
      </c>
      <c r="GX237" s="303" t="s">
        <v>202</v>
      </c>
      <c r="GY237" s="304" t="s">
        <v>227</v>
      </c>
      <c r="GZ237" s="305" t="s">
        <v>133</v>
      </c>
      <c r="HA237" s="317">
        <f>Konvention_1slave-MUslave</f>
        <v>12</v>
      </c>
      <c r="HB237" s="254"/>
      <c r="HC237" s="254"/>
      <c r="HD237" s="254">
        <f>Konvention_1slave-CHslave</f>
        <v>12</v>
      </c>
      <c r="HE237" s="254"/>
      <c r="HF237" s="254"/>
      <c r="HG237" s="254">
        <f t="shared" si="1774"/>
        <v>11</v>
      </c>
      <c r="HH237" s="318"/>
      <c r="HI237" s="223">
        <f t="shared" si="1714"/>
        <v>11.666666666666666</v>
      </c>
      <c r="HJ237" s="223">
        <f t="shared" si="1715"/>
        <v>23.333333333333332</v>
      </c>
      <c r="HK237" s="224">
        <f t="shared" si="1716"/>
        <v>35</v>
      </c>
      <c r="HL237" s="237">
        <f t="shared" si="1609"/>
        <v>2432</v>
      </c>
      <c r="HM237" s="254">
        <f>HA237*HD237*KOslave_KO+HA237*CHslave*HG237+MUslave*HD237*HG237</f>
        <v>3408</v>
      </c>
      <c r="HN237" s="224">
        <f t="shared" si="1717"/>
        <v>1584</v>
      </c>
      <c r="HO237" s="224">
        <f t="shared" si="1718"/>
        <v>7424</v>
      </c>
      <c r="HP237" s="222">
        <f t="shared" si="1719"/>
        <v>3.8218390804597702</v>
      </c>
      <c r="HQ237" s="223">
        <f t="shared" si="1720"/>
        <v>10.711206896551724</v>
      </c>
      <c r="HR237" s="243">
        <f t="shared" si="1721"/>
        <v>7.4676724137931032</v>
      </c>
      <c r="HS237" s="243">
        <f t="shared" si="1722"/>
        <v>22.000718390804597</v>
      </c>
      <c r="HT237" s="252">
        <f t="shared" si="1610"/>
        <v>0</v>
      </c>
      <c r="HU237" s="309">
        <f t="shared" si="1723"/>
        <v>22.000718390804597</v>
      </c>
      <c r="HV237" s="218">
        <f t="shared" ref="HV237:HW239" si="1783">IF(HS237&lt;=0,1,0)+IF(HS237&gt;0,HS237+1,0)*1+IF(HS237&gt;12,HS237-12,0)*1+IF(HS237&gt;13,HS237-13,0)*1+IF(HS237&gt;14,HS237-14,0)*1+IF(HS237&gt;15,HS237-15,0)*1+IF(HS237&gt;16,HS237-16,0)*1+IF(HS237&gt;17,HS237-17,0)*1+IF(HS237&gt;18,HS237-18,0)*1+IF(HS237&gt;19,HS237-19,0)*1+IF(HS237&gt;20,HS237-20,0)*1</f>
        <v>77.007183908045945</v>
      </c>
      <c r="HW237" s="242">
        <f t="shared" si="1783"/>
        <v>1</v>
      </c>
      <c r="HX237" s="243">
        <f t="shared" si="1724"/>
        <v>76.007183908045945</v>
      </c>
      <c r="HY237" s="218">
        <f t="shared" si="1725"/>
        <v>0</v>
      </c>
      <c r="IA237" s="303" t="s">
        <v>202</v>
      </c>
      <c r="IB237" s="304" t="s">
        <v>227</v>
      </c>
      <c r="IC237" s="305" t="s">
        <v>133</v>
      </c>
      <c r="ID237" s="317">
        <f>Konvention_1slave-MUslave</f>
        <v>12</v>
      </c>
      <c r="IE237" s="254"/>
      <c r="IF237" s="254"/>
      <c r="IG237" s="254">
        <f>Konvention_1slave-CHslave</f>
        <v>12</v>
      </c>
      <c r="IH237" s="254"/>
      <c r="II237" s="254"/>
      <c r="IJ237" s="254">
        <f t="shared" si="1775"/>
        <v>12</v>
      </c>
      <c r="IK237" s="318"/>
      <c r="IL237" s="223">
        <f t="shared" si="1726"/>
        <v>12</v>
      </c>
      <c r="IM237" s="223">
        <f t="shared" si="1727"/>
        <v>24</v>
      </c>
      <c r="IN237" s="224">
        <f t="shared" si="1728"/>
        <v>36</v>
      </c>
      <c r="IO237" s="237">
        <f t="shared" si="1611"/>
        <v>2304</v>
      </c>
      <c r="IP237" s="254">
        <f>ID237*IG237*KOslave+ID237*CHslave*IJ237+MUslave*IG237*IJ237</f>
        <v>3456</v>
      </c>
      <c r="IQ237" s="224">
        <f t="shared" si="1729"/>
        <v>1728</v>
      </c>
      <c r="IR237" s="224">
        <f t="shared" si="1730"/>
        <v>7488</v>
      </c>
      <c r="IS237" s="222">
        <f t="shared" si="1731"/>
        <v>3.6923076923076925</v>
      </c>
      <c r="IT237" s="223">
        <f t="shared" si="1732"/>
        <v>11.076923076923077</v>
      </c>
      <c r="IU237" s="243">
        <f t="shared" si="1733"/>
        <v>8.3076923076923084</v>
      </c>
      <c r="IV237" s="243">
        <f t="shared" si="1734"/>
        <v>23.07692307692308</v>
      </c>
      <c r="IW237" s="252">
        <f t="shared" si="1612"/>
        <v>0</v>
      </c>
      <c r="IX237" s="309">
        <f t="shared" si="1735"/>
        <v>23.07692307692308</v>
      </c>
      <c r="IY237" s="218">
        <f t="shared" ref="IY237:IZ239" si="1784">IF(IV237&lt;=0,1,0)+IF(IV237&gt;0,IV237+1,0)*1+IF(IV237&gt;12,IV237-12,0)*1+IF(IV237&gt;13,IV237-13,0)*1+IF(IV237&gt;14,IV237-14,0)*1+IF(IV237&gt;15,IV237-15,0)*1+IF(IV237&gt;16,IV237-16,0)*1+IF(IV237&gt;17,IV237-17,0)*1+IF(IV237&gt;18,IV237-18,0)*1+IF(IV237&gt;19,IV237-19,0)*1+IF(IV237&gt;20,IV237-20,0)*1</f>
        <v>87.769230769230802</v>
      </c>
      <c r="IZ237" s="242">
        <f t="shared" si="1784"/>
        <v>1</v>
      </c>
      <c r="JA237" s="243">
        <f t="shared" si="1736"/>
        <v>86.769230769230802</v>
      </c>
      <c r="JB237" s="218">
        <f t="shared" si="1737"/>
        <v>0</v>
      </c>
      <c r="JE237" s="148"/>
    </row>
    <row r="238" spans="2:265" hidden="1" outlineLevel="2">
      <c r="B238" s="148">
        <v>26</v>
      </c>
      <c r="C238" s="303" t="e">
        <f>VLOOKUP(AF238,Attribute!C:T,1,FALSE)</f>
        <v>#N/A</v>
      </c>
      <c r="D238" s="86" t="s">
        <v>226</v>
      </c>
      <c r="E238" s="167" t="s">
        <v>133</v>
      </c>
      <c r="F238" s="120"/>
      <c r="G238" s="117">
        <f>Konvention_1master-KLmaster</f>
        <v>12</v>
      </c>
      <c r="H238" s="117">
        <f>Konvention_1master-INmaster</f>
        <v>12</v>
      </c>
      <c r="I238" s="117"/>
      <c r="J238" s="117"/>
      <c r="K238" s="117"/>
      <c r="L238" s="117">
        <f t="shared" si="1766"/>
        <v>12</v>
      </c>
      <c r="M238" s="121"/>
      <c r="N238" s="223">
        <f t="shared" si="1629"/>
        <v>12</v>
      </c>
      <c r="O238" s="223">
        <f t="shared" si="1630"/>
        <v>24</v>
      </c>
      <c r="P238" s="224">
        <f t="shared" si="1631"/>
        <v>36</v>
      </c>
      <c r="Q238" s="237">
        <f t="shared" si="1632"/>
        <v>2304</v>
      </c>
      <c r="R238" s="117">
        <f>G238*H238*KOmaster+G238*INmaster*L238+KLmaster*H238*L238</f>
        <v>3456</v>
      </c>
      <c r="S238" s="224">
        <f t="shared" si="1633"/>
        <v>1728</v>
      </c>
      <c r="T238" s="224">
        <f t="shared" si="1767"/>
        <v>7488</v>
      </c>
      <c r="U238" s="222">
        <f t="shared" si="1635"/>
        <v>3.6923076923076925</v>
      </c>
      <c r="V238" s="223">
        <f t="shared" si="1636"/>
        <v>11.076923076923077</v>
      </c>
      <c r="W238" s="243">
        <f t="shared" si="1637"/>
        <v>8.3076923076923084</v>
      </c>
      <c r="X238" s="243">
        <f t="shared" si="1638"/>
        <v>23.07692307692308</v>
      </c>
      <c r="Y238" s="252">
        <v>0</v>
      </c>
      <c r="Z238" s="198">
        <f t="shared" si="1639"/>
        <v>23.07692307692308</v>
      </c>
      <c r="AA238" s="125">
        <f t="shared" si="1776"/>
        <v>87.769230769230802</v>
      </c>
      <c r="AB238" s="160">
        <f t="shared" si="1776"/>
        <v>1</v>
      </c>
      <c r="AC238" s="127">
        <f t="shared" si="1640"/>
        <v>86.769230769230802</v>
      </c>
      <c r="AD238" s="125">
        <f t="shared" si="1641"/>
        <v>0</v>
      </c>
      <c r="AF238" s="163" t="s">
        <v>203</v>
      </c>
      <c r="AG238" s="86" t="s">
        <v>226</v>
      </c>
      <c r="AH238" s="167" t="s">
        <v>133</v>
      </c>
      <c r="AI238" s="120"/>
      <c r="AJ238" s="117">
        <f>Konvention_1slave-KLslave</f>
        <v>12</v>
      </c>
      <c r="AK238" s="117">
        <f>Konvention_1slave-INslave</f>
        <v>12</v>
      </c>
      <c r="AL238" s="117"/>
      <c r="AM238" s="117"/>
      <c r="AN238" s="117"/>
      <c r="AO238" s="117">
        <f t="shared" si="1768"/>
        <v>12</v>
      </c>
      <c r="AP238" s="121"/>
      <c r="AQ238" s="47">
        <f t="shared" si="1642"/>
        <v>12</v>
      </c>
      <c r="AR238" s="3">
        <f t="shared" si="1643"/>
        <v>24</v>
      </c>
      <c r="AS238" s="174">
        <f t="shared" si="1644"/>
        <v>36</v>
      </c>
      <c r="AT238" s="114">
        <f t="shared" si="1597"/>
        <v>2304</v>
      </c>
      <c r="AU238" s="117">
        <f>AJ238*AK238*KOslave+AJ238*INslave*AO238+KLslave*AK238*AO238</f>
        <v>3456</v>
      </c>
      <c r="AV238" s="119">
        <f t="shared" si="1645"/>
        <v>1728</v>
      </c>
      <c r="AW238" s="119">
        <f t="shared" si="1646"/>
        <v>7488</v>
      </c>
      <c r="AX238" s="89">
        <f t="shared" si="1647"/>
        <v>3.6923076923076925</v>
      </c>
      <c r="AY238" s="47">
        <f t="shared" si="1648"/>
        <v>11.076923076923077</v>
      </c>
      <c r="AZ238" s="127">
        <f t="shared" si="1649"/>
        <v>8.3076923076923084</v>
      </c>
      <c r="BA238" s="127">
        <f t="shared" si="1650"/>
        <v>23.07692307692308</v>
      </c>
      <c r="BB238" s="165">
        <f t="shared" si="1598"/>
        <v>0</v>
      </c>
      <c r="BC238" s="198">
        <f t="shared" si="1651"/>
        <v>23.07692307692308</v>
      </c>
      <c r="BD238" s="125">
        <f t="shared" si="1777"/>
        <v>87.769230769230802</v>
      </c>
      <c r="BE238" s="160">
        <f t="shared" si="1777"/>
        <v>1</v>
      </c>
      <c r="BF238" s="243">
        <f t="shared" si="1652"/>
        <v>86.769230769230802</v>
      </c>
      <c r="BG238" s="218">
        <f t="shared" si="1653"/>
        <v>0</v>
      </c>
      <c r="BI238" s="303" t="s">
        <v>203</v>
      </c>
      <c r="BJ238" s="304" t="s">
        <v>226</v>
      </c>
      <c r="BK238" s="305" t="s">
        <v>133</v>
      </c>
      <c r="BL238" s="317"/>
      <c r="BM238" s="254">
        <f>Konvention_1slave-KLslave_KL</f>
        <v>11</v>
      </c>
      <c r="BN238" s="254">
        <f>Konvention_1slave-INslave</f>
        <v>12</v>
      </c>
      <c r="BO238" s="254"/>
      <c r="BP238" s="254"/>
      <c r="BQ238" s="254"/>
      <c r="BR238" s="254">
        <f t="shared" si="1769"/>
        <v>12</v>
      </c>
      <c r="BS238" s="318"/>
      <c r="BT238" s="223">
        <f t="shared" si="1654"/>
        <v>11.666666666666666</v>
      </c>
      <c r="BU238" s="223">
        <f t="shared" si="1655"/>
        <v>23.333333333333332</v>
      </c>
      <c r="BV238" s="224">
        <f t="shared" si="1656"/>
        <v>35</v>
      </c>
      <c r="BW238" s="237">
        <f t="shared" si="1599"/>
        <v>2432</v>
      </c>
      <c r="BX238" s="254">
        <f>BM238*BN238*KOslave+BM238*INslave*BR238+KLslave_KL*BN238*BR238</f>
        <v>3408</v>
      </c>
      <c r="BY238" s="224">
        <f t="shared" si="1657"/>
        <v>1584</v>
      </c>
      <c r="BZ238" s="224">
        <f t="shared" si="1658"/>
        <v>7424</v>
      </c>
      <c r="CA238" s="222">
        <f t="shared" si="1659"/>
        <v>3.8218390804597702</v>
      </c>
      <c r="CB238" s="223">
        <f t="shared" si="1660"/>
        <v>10.711206896551724</v>
      </c>
      <c r="CC238" s="243">
        <f t="shared" si="1661"/>
        <v>7.4676724137931032</v>
      </c>
      <c r="CD238" s="243">
        <f t="shared" si="1662"/>
        <v>22.000718390804597</v>
      </c>
      <c r="CE238" s="252">
        <f t="shared" si="1600"/>
        <v>0</v>
      </c>
      <c r="CF238" s="309">
        <f t="shared" si="1663"/>
        <v>22.000718390804597</v>
      </c>
      <c r="CG238" s="218">
        <f t="shared" si="1778"/>
        <v>77.007183908045945</v>
      </c>
      <c r="CH238" s="242">
        <f t="shared" si="1778"/>
        <v>1</v>
      </c>
      <c r="CI238" s="243">
        <f t="shared" si="1664"/>
        <v>76.007183908045945</v>
      </c>
      <c r="CJ238" s="218">
        <f t="shared" si="1665"/>
        <v>0</v>
      </c>
      <c r="CL238" s="303" t="s">
        <v>203</v>
      </c>
      <c r="CM238" s="304" t="s">
        <v>226</v>
      </c>
      <c r="CN238" s="305" t="s">
        <v>133</v>
      </c>
      <c r="CO238" s="317"/>
      <c r="CP238" s="254">
        <f>Konvention_1slave-KLslave</f>
        <v>12</v>
      </c>
      <c r="CQ238" s="254">
        <f>Konvention_1slave-INslave_IN</f>
        <v>11</v>
      </c>
      <c r="CR238" s="254"/>
      <c r="CS238" s="254"/>
      <c r="CT238" s="254"/>
      <c r="CU238" s="254">
        <f t="shared" si="1770"/>
        <v>12</v>
      </c>
      <c r="CV238" s="318"/>
      <c r="CW238" s="223">
        <f t="shared" si="1666"/>
        <v>11.666666666666666</v>
      </c>
      <c r="CX238" s="223">
        <f t="shared" si="1667"/>
        <v>23.333333333333332</v>
      </c>
      <c r="CY238" s="224">
        <f t="shared" si="1668"/>
        <v>35</v>
      </c>
      <c r="CZ238" s="237">
        <f t="shared" si="1601"/>
        <v>2432</v>
      </c>
      <c r="DA238" s="254">
        <f>CP238*CQ238*KOslave+CP238*INslave_IN*CU238+KLslave*CQ238*CU238</f>
        <v>3408</v>
      </c>
      <c r="DB238" s="224">
        <f t="shared" si="1669"/>
        <v>1584</v>
      </c>
      <c r="DC238" s="224">
        <f t="shared" si="1670"/>
        <v>7424</v>
      </c>
      <c r="DD238" s="222">
        <f t="shared" si="1671"/>
        <v>3.8218390804597702</v>
      </c>
      <c r="DE238" s="223">
        <f t="shared" si="1672"/>
        <v>10.711206896551724</v>
      </c>
      <c r="DF238" s="243">
        <f t="shared" si="1673"/>
        <v>7.4676724137931032</v>
      </c>
      <c r="DG238" s="243">
        <f t="shared" si="1674"/>
        <v>22.000718390804597</v>
      </c>
      <c r="DH238" s="252">
        <f t="shared" si="1602"/>
        <v>0</v>
      </c>
      <c r="DI238" s="309">
        <f t="shared" si="1675"/>
        <v>22.000718390804597</v>
      </c>
      <c r="DJ238" s="218">
        <f t="shared" si="1779"/>
        <v>77.007183908045945</v>
      </c>
      <c r="DK238" s="242">
        <f t="shared" si="1779"/>
        <v>1</v>
      </c>
      <c r="DL238" s="243">
        <f t="shared" si="1676"/>
        <v>76.007183908045945</v>
      </c>
      <c r="DM238" s="218">
        <f t="shared" si="1677"/>
        <v>0</v>
      </c>
      <c r="DO238" s="303" t="s">
        <v>203</v>
      </c>
      <c r="DP238" s="304" t="s">
        <v>226</v>
      </c>
      <c r="DQ238" s="305" t="s">
        <v>133</v>
      </c>
      <c r="DR238" s="317"/>
      <c r="DS238" s="254">
        <f>Konvention_1slave-KLslave</f>
        <v>12</v>
      </c>
      <c r="DT238" s="254">
        <f>Konvention_1slave-INslave</f>
        <v>12</v>
      </c>
      <c r="DU238" s="254"/>
      <c r="DV238" s="254"/>
      <c r="DW238" s="254"/>
      <c r="DX238" s="254">
        <f t="shared" si="1771"/>
        <v>12</v>
      </c>
      <c r="DY238" s="318"/>
      <c r="DZ238" s="223">
        <f t="shared" si="1678"/>
        <v>12</v>
      </c>
      <c r="EA238" s="223">
        <f t="shared" si="1679"/>
        <v>24</v>
      </c>
      <c r="EB238" s="224">
        <f t="shared" si="1680"/>
        <v>36</v>
      </c>
      <c r="EC238" s="237">
        <f t="shared" si="1603"/>
        <v>2304</v>
      </c>
      <c r="ED238" s="254">
        <f>DS238*DT238*KOslave+DS238*INslave*DX238+KLslave*DT238*DX238</f>
        <v>3456</v>
      </c>
      <c r="EE238" s="224">
        <f t="shared" si="1681"/>
        <v>1728</v>
      </c>
      <c r="EF238" s="224">
        <f t="shared" si="1682"/>
        <v>7488</v>
      </c>
      <c r="EG238" s="222">
        <f t="shared" si="1683"/>
        <v>3.6923076923076925</v>
      </c>
      <c r="EH238" s="223">
        <f t="shared" si="1684"/>
        <v>11.076923076923077</v>
      </c>
      <c r="EI238" s="243">
        <f t="shared" si="1685"/>
        <v>8.3076923076923084</v>
      </c>
      <c r="EJ238" s="243">
        <f t="shared" si="1686"/>
        <v>23.07692307692308</v>
      </c>
      <c r="EK238" s="252">
        <f t="shared" si="1604"/>
        <v>0</v>
      </c>
      <c r="EL238" s="309">
        <f t="shared" si="1687"/>
        <v>23.07692307692308</v>
      </c>
      <c r="EM238" s="218">
        <f t="shared" si="1780"/>
        <v>87.769230769230802</v>
      </c>
      <c r="EN238" s="242">
        <f t="shared" si="1780"/>
        <v>1</v>
      </c>
      <c r="EO238" s="243">
        <f t="shared" si="1688"/>
        <v>86.769230769230802</v>
      </c>
      <c r="EP238" s="218">
        <f t="shared" si="1689"/>
        <v>0</v>
      </c>
      <c r="ER238" s="303" t="s">
        <v>203</v>
      </c>
      <c r="ES238" s="304" t="s">
        <v>226</v>
      </c>
      <c r="ET238" s="305" t="s">
        <v>133</v>
      </c>
      <c r="EU238" s="317"/>
      <c r="EV238" s="254">
        <f>Konvention_1slave-KLslave</f>
        <v>12</v>
      </c>
      <c r="EW238" s="254">
        <f>Konvention_1slave-INslave</f>
        <v>12</v>
      </c>
      <c r="EX238" s="254"/>
      <c r="EY238" s="254"/>
      <c r="EZ238" s="254"/>
      <c r="FA238" s="254">
        <f t="shared" si="1772"/>
        <v>12</v>
      </c>
      <c r="FB238" s="318"/>
      <c r="FC238" s="223">
        <f t="shared" si="1690"/>
        <v>12</v>
      </c>
      <c r="FD238" s="223">
        <f t="shared" si="1691"/>
        <v>24</v>
      </c>
      <c r="FE238" s="224">
        <f t="shared" si="1692"/>
        <v>36</v>
      </c>
      <c r="FF238" s="237">
        <f t="shared" si="1605"/>
        <v>2304</v>
      </c>
      <c r="FG238" s="254">
        <f>EV238*EW238*KOslave+EV238*INslave*FA238+KLslave*EW238*FA238</f>
        <v>3456</v>
      </c>
      <c r="FH238" s="224">
        <f t="shared" si="1693"/>
        <v>1728</v>
      </c>
      <c r="FI238" s="224">
        <f t="shared" si="1694"/>
        <v>7488</v>
      </c>
      <c r="FJ238" s="222">
        <f t="shared" si="1695"/>
        <v>3.6923076923076925</v>
      </c>
      <c r="FK238" s="223">
        <f t="shared" si="1696"/>
        <v>11.076923076923077</v>
      </c>
      <c r="FL238" s="243">
        <f t="shared" si="1697"/>
        <v>8.3076923076923084</v>
      </c>
      <c r="FM238" s="243">
        <f t="shared" si="1698"/>
        <v>23.07692307692308</v>
      </c>
      <c r="FN238" s="252">
        <f t="shared" si="1606"/>
        <v>0</v>
      </c>
      <c r="FO238" s="309">
        <f t="shared" si="1699"/>
        <v>23.07692307692308</v>
      </c>
      <c r="FP238" s="218">
        <f t="shared" si="1781"/>
        <v>87.769230769230802</v>
      </c>
      <c r="FQ238" s="242">
        <f t="shared" si="1781"/>
        <v>1</v>
      </c>
      <c r="FR238" s="243">
        <f t="shared" si="1700"/>
        <v>86.769230769230802</v>
      </c>
      <c r="FS238" s="218">
        <f t="shared" si="1701"/>
        <v>0</v>
      </c>
      <c r="FU238" s="303" t="s">
        <v>203</v>
      </c>
      <c r="FV238" s="304" t="s">
        <v>226</v>
      </c>
      <c r="FW238" s="305" t="s">
        <v>133</v>
      </c>
      <c r="FX238" s="317"/>
      <c r="FY238" s="254">
        <f>Konvention_1slave-KLslave</f>
        <v>12</v>
      </c>
      <c r="FZ238" s="254">
        <f>Konvention_1slave-INslave</f>
        <v>12</v>
      </c>
      <c r="GA238" s="254"/>
      <c r="GB238" s="254"/>
      <c r="GC238" s="254"/>
      <c r="GD238" s="254">
        <f t="shared" si="1773"/>
        <v>12</v>
      </c>
      <c r="GE238" s="318"/>
      <c r="GF238" s="223">
        <f t="shared" si="1702"/>
        <v>12</v>
      </c>
      <c r="GG238" s="223">
        <f t="shared" si="1703"/>
        <v>24</v>
      </c>
      <c r="GH238" s="224">
        <f t="shared" si="1704"/>
        <v>36</v>
      </c>
      <c r="GI238" s="237">
        <f t="shared" si="1607"/>
        <v>2304</v>
      </c>
      <c r="GJ238" s="254">
        <f>FY238*FZ238*KOslave+FY238*INslave*GD238+KLslave*FZ238*GD238</f>
        <v>3456</v>
      </c>
      <c r="GK238" s="224">
        <f t="shared" si="1705"/>
        <v>1728</v>
      </c>
      <c r="GL238" s="224">
        <f t="shared" si="1706"/>
        <v>7488</v>
      </c>
      <c r="GM238" s="222">
        <f t="shared" si="1707"/>
        <v>3.6923076923076925</v>
      </c>
      <c r="GN238" s="223">
        <f t="shared" si="1708"/>
        <v>11.076923076923077</v>
      </c>
      <c r="GO238" s="243">
        <f t="shared" si="1709"/>
        <v>8.3076923076923084</v>
      </c>
      <c r="GP238" s="243">
        <f t="shared" si="1710"/>
        <v>23.07692307692308</v>
      </c>
      <c r="GQ238" s="252">
        <f t="shared" si="1608"/>
        <v>0</v>
      </c>
      <c r="GR238" s="309">
        <f t="shared" si="1711"/>
        <v>23.07692307692308</v>
      </c>
      <c r="GS238" s="218">
        <f t="shared" si="1782"/>
        <v>87.769230769230802</v>
      </c>
      <c r="GT238" s="242">
        <f t="shared" si="1782"/>
        <v>1</v>
      </c>
      <c r="GU238" s="243">
        <f t="shared" si="1712"/>
        <v>86.769230769230802</v>
      </c>
      <c r="GV238" s="218">
        <f t="shared" si="1713"/>
        <v>0</v>
      </c>
      <c r="GX238" s="303" t="s">
        <v>203</v>
      </c>
      <c r="GY238" s="304" t="s">
        <v>226</v>
      </c>
      <c r="GZ238" s="305" t="s">
        <v>133</v>
      </c>
      <c r="HA238" s="317"/>
      <c r="HB238" s="254">
        <f>Konvention_1slave-KLslave</f>
        <v>12</v>
      </c>
      <c r="HC238" s="254">
        <f>Konvention_1slave-INslave</f>
        <v>12</v>
      </c>
      <c r="HD238" s="254"/>
      <c r="HE238" s="254"/>
      <c r="HF238" s="254"/>
      <c r="HG238" s="254">
        <f t="shared" si="1774"/>
        <v>11</v>
      </c>
      <c r="HH238" s="318"/>
      <c r="HI238" s="223">
        <f t="shared" si="1714"/>
        <v>11.666666666666666</v>
      </c>
      <c r="HJ238" s="223">
        <f t="shared" si="1715"/>
        <v>23.333333333333332</v>
      </c>
      <c r="HK238" s="224">
        <f t="shared" si="1716"/>
        <v>35</v>
      </c>
      <c r="HL238" s="237">
        <f t="shared" si="1609"/>
        <v>2432</v>
      </c>
      <c r="HM238" s="254">
        <f>HB238*HC238*KOslave_KO+HB238*INslave*HG238+KLslave*HC238*HG238</f>
        <v>3408</v>
      </c>
      <c r="HN238" s="224">
        <f t="shared" si="1717"/>
        <v>1584</v>
      </c>
      <c r="HO238" s="224">
        <f t="shared" si="1718"/>
        <v>7424</v>
      </c>
      <c r="HP238" s="222">
        <f t="shared" si="1719"/>
        <v>3.8218390804597702</v>
      </c>
      <c r="HQ238" s="223">
        <f t="shared" si="1720"/>
        <v>10.711206896551724</v>
      </c>
      <c r="HR238" s="243">
        <f t="shared" si="1721"/>
        <v>7.4676724137931032</v>
      </c>
      <c r="HS238" s="243">
        <f t="shared" si="1722"/>
        <v>22.000718390804597</v>
      </c>
      <c r="HT238" s="252">
        <f t="shared" si="1610"/>
        <v>0</v>
      </c>
      <c r="HU238" s="309">
        <f t="shared" si="1723"/>
        <v>22.000718390804597</v>
      </c>
      <c r="HV238" s="218">
        <f t="shared" si="1783"/>
        <v>77.007183908045945</v>
      </c>
      <c r="HW238" s="242">
        <f t="shared" si="1783"/>
        <v>1</v>
      </c>
      <c r="HX238" s="243">
        <f t="shared" si="1724"/>
        <v>76.007183908045945</v>
      </c>
      <c r="HY238" s="218">
        <f t="shared" si="1725"/>
        <v>0</v>
      </c>
      <c r="IA238" s="303" t="s">
        <v>203</v>
      </c>
      <c r="IB238" s="304" t="s">
        <v>226</v>
      </c>
      <c r="IC238" s="305" t="s">
        <v>133</v>
      </c>
      <c r="ID238" s="317"/>
      <c r="IE238" s="254">
        <f>Konvention_1slave-KLslave</f>
        <v>12</v>
      </c>
      <c r="IF238" s="254">
        <f>Konvention_1slave-INslave</f>
        <v>12</v>
      </c>
      <c r="IG238" s="254"/>
      <c r="IH238" s="254"/>
      <c r="II238" s="254"/>
      <c r="IJ238" s="254">
        <f t="shared" si="1775"/>
        <v>12</v>
      </c>
      <c r="IK238" s="318"/>
      <c r="IL238" s="223">
        <f t="shared" si="1726"/>
        <v>12</v>
      </c>
      <c r="IM238" s="223">
        <f t="shared" si="1727"/>
        <v>24</v>
      </c>
      <c r="IN238" s="224">
        <f t="shared" si="1728"/>
        <v>36</v>
      </c>
      <c r="IO238" s="237">
        <f t="shared" si="1611"/>
        <v>2304</v>
      </c>
      <c r="IP238" s="254">
        <f>IE238*IF238*KOslave+IE238*INslave*IJ238+KLslave*IF238*IJ238</f>
        <v>3456</v>
      </c>
      <c r="IQ238" s="224">
        <f t="shared" si="1729"/>
        <v>1728</v>
      </c>
      <c r="IR238" s="224">
        <f t="shared" si="1730"/>
        <v>7488</v>
      </c>
      <c r="IS238" s="222">
        <f t="shared" si="1731"/>
        <v>3.6923076923076925</v>
      </c>
      <c r="IT238" s="223">
        <f t="shared" si="1732"/>
        <v>11.076923076923077</v>
      </c>
      <c r="IU238" s="243">
        <f t="shared" si="1733"/>
        <v>8.3076923076923084</v>
      </c>
      <c r="IV238" s="243">
        <f t="shared" si="1734"/>
        <v>23.07692307692308</v>
      </c>
      <c r="IW238" s="252">
        <f t="shared" si="1612"/>
        <v>0</v>
      </c>
      <c r="IX238" s="309">
        <f t="shared" si="1735"/>
        <v>23.07692307692308</v>
      </c>
      <c r="IY238" s="218">
        <f t="shared" si="1784"/>
        <v>87.769230769230802</v>
      </c>
      <c r="IZ238" s="242">
        <f t="shared" si="1784"/>
        <v>1</v>
      </c>
      <c r="JA238" s="243">
        <f t="shared" si="1736"/>
        <v>86.769230769230802</v>
      </c>
      <c r="JB238" s="218">
        <f t="shared" si="1737"/>
        <v>0</v>
      </c>
      <c r="JE238" s="148"/>
    </row>
    <row r="239" spans="2:265" hidden="1" outlineLevel="2">
      <c r="B239" s="148">
        <v>27</v>
      </c>
      <c r="C239" s="303" t="e">
        <f>VLOOKUP(AF239,Attribute!C:T,1,FALSE)</f>
        <v>#N/A</v>
      </c>
      <c r="D239" s="86" t="s">
        <v>226</v>
      </c>
      <c r="E239" s="167" t="s">
        <v>133</v>
      </c>
      <c r="F239" s="120"/>
      <c r="G239" s="117">
        <f>Konvention_1master-KLmaster</f>
        <v>12</v>
      </c>
      <c r="H239" s="117">
        <f>Konvention_1master-INmaster</f>
        <v>12</v>
      </c>
      <c r="I239" s="117"/>
      <c r="J239" s="117"/>
      <c r="K239" s="117"/>
      <c r="L239" s="117">
        <f t="shared" si="1766"/>
        <v>12</v>
      </c>
      <c r="M239" s="121"/>
      <c r="N239" s="223">
        <f t="shared" si="1629"/>
        <v>12</v>
      </c>
      <c r="O239" s="223">
        <f t="shared" si="1630"/>
        <v>24</v>
      </c>
      <c r="P239" s="224">
        <f t="shared" si="1631"/>
        <v>36</v>
      </c>
      <c r="Q239" s="237">
        <f t="shared" si="1632"/>
        <v>2304</v>
      </c>
      <c r="R239" s="117">
        <f>G239*H239*KOmaster+G239*INmaster*L239+KLmaster*H239*L239</f>
        <v>3456</v>
      </c>
      <c r="S239" s="224">
        <f t="shared" si="1633"/>
        <v>1728</v>
      </c>
      <c r="T239" s="224">
        <f t="shared" si="1767"/>
        <v>7488</v>
      </c>
      <c r="U239" s="222">
        <f t="shared" si="1635"/>
        <v>3.6923076923076925</v>
      </c>
      <c r="V239" s="223">
        <f t="shared" si="1636"/>
        <v>11.076923076923077</v>
      </c>
      <c r="W239" s="243">
        <f t="shared" si="1637"/>
        <v>8.3076923076923084</v>
      </c>
      <c r="X239" s="243">
        <f t="shared" si="1638"/>
        <v>23.07692307692308</v>
      </c>
      <c r="Y239" s="252">
        <v>0</v>
      </c>
      <c r="Z239" s="198">
        <f t="shared" si="1639"/>
        <v>23.07692307692308</v>
      </c>
      <c r="AA239" s="125">
        <f t="shared" si="1776"/>
        <v>87.769230769230802</v>
      </c>
      <c r="AB239" s="160">
        <f t="shared" si="1776"/>
        <v>1</v>
      </c>
      <c r="AC239" s="127">
        <f t="shared" si="1640"/>
        <v>86.769230769230802</v>
      </c>
      <c r="AD239" s="125">
        <f t="shared" si="1641"/>
        <v>0</v>
      </c>
      <c r="AF239" s="163" t="s">
        <v>204</v>
      </c>
      <c r="AG239" s="86" t="s">
        <v>226</v>
      </c>
      <c r="AH239" s="167" t="s">
        <v>133</v>
      </c>
      <c r="AI239" s="120"/>
      <c r="AJ239" s="117">
        <f>Konvention_1slave-KLslave</f>
        <v>12</v>
      </c>
      <c r="AK239" s="117">
        <f>Konvention_1slave-INslave</f>
        <v>12</v>
      </c>
      <c r="AL239" s="117"/>
      <c r="AM239" s="117"/>
      <c r="AN239" s="117"/>
      <c r="AO239" s="117">
        <f t="shared" si="1768"/>
        <v>12</v>
      </c>
      <c r="AP239" s="121"/>
      <c r="AQ239" s="47">
        <f t="shared" si="1642"/>
        <v>12</v>
      </c>
      <c r="AR239" s="3">
        <f t="shared" si="1643"/>
        <v>24</v>
      </c>
      <c r="AS239" s="174">
        <f t="shared" si="1644"/>
        <v>36</v>
      </c>
      <c r="AT239" s="114">
        <f t="shared" si="1597"/>
        <v>2304</v>
      </c>
      <c r="AU239" s="117">
        <f>AJ239*AK239*KOslave+AJ239*INslave*AO239+KLslave*AK239*AO239</f>
        <v>3456</v>
      </c>
      <c r="AV239" s="119">
        <f t="shared" si="1645"/>
        <v>1728</v>
      </c>
      <c r="AW239" s="119">
        <f t="shared" si="1646"/>
        <v>7488</v>
      </c>
      <c r="AX239" s="89">
        <f t="shared" si="1647"/>
        <v>3.6923076923076925</v>
      </c>
      <c r="AY239" s="47">
        <f t="shared" si="1648"/>
        <v>11.076923076923077</v>
      </c>
      <c r="AZ239" s="127">
        <f t="shared" si="1649"/>
        <v>8.3076923076923084</v>
      </c>
      <c r="BA239" s="127">
        <f t="shared" si="1650"/>
        <v>23.07692307692308</v>
      </c>
      <c r="BB239" s="165">
        <f t="shared" si="1598"/>
        <v>0</v>
      </c>
      <c r="BC239" s="198">
        <f t="shared" si="1651"/>
        <v>23.07692307692308</v>
      </c>
      <c r="BD239" s="125">
        <f t="shared" si="1777"/>
        <v>87.769230769230802</v>
      </c>
      <c r="BE239" s="160">
        <f t="shared" si="1777"/>
        <v>1</v>
      </c>
      <c r="BF239" s="243">
        <f t="shared" si="1652"/>
        <v>86.769230769230802</v>
      </c>
      <c r="BG239" s="218">
        <f t="shared" si="1653"/>
        <v>0</v>
      </c>
      <c r="BI239" s="303" t="s">
        <v>204</v>
      </c>
      <c r="BJ239" s="304" t="s">
        <v>226</v>
      </c>
      <c r="BK239" s="305" t="s">
        <v>133</v>
      </c>
      <c r="BL239" s="317"/>
      <c r="BM239" s="254">
        <f>Konvention_1slave-KLslave_KL</f>
        <v>11</v>
      </c>
      <c r="BN239" s="254">
        <f>Konvention_1slave-INslave</f>
        <v>12</v>
      </c>
      <c r="BO239" s="254"/>
      <c r="BP239" s="254"/>
      <c r="BQ239" s="254"/>
      <c r="BR239" s="254">
        <f t="shared" si="1769"/>
        <v>12</v>
      </c>
      <c r="BS239" s="318"/>
      <c r="BT239" s="223">
        <f t="shared" si="1654"/>
        <v>11.666666666666666</v>
      </c>
      <c r="BU239" s="223">
        <f t="shared" si="1655"/>
        <v>23.333333333333332</v>
      </c>
      <c r="BV239" s="224">
        <f t="shared" si="1656"/>
        <v>35</v>
      </c>
      <c r="BW239" s="237">
        <f t="shared" si="1599"/>
        <v>2432</v>
      </c>
      <c r="BX239" s="254">
        <f>BM239*BN239*KOslave+BM239*INslave*BR239+KLslave_KL*BN239*BR239</f>
        <v>3408</v>
      </c>
      <c r="BY239" s="224">
        <f t="shared" si="1657"/>
        <v>1584</v>
      </c>
      <c r="BZ239" s="224">
        <f t="shared" si="1658"/>
        <v>7424</v>
      </c>
      <c r="CA239" s="222">
        <f t="shared" si="1659"/>
        <v>3.8218390804597702</v>
      </c>
      <c r="CB239" s="223">
        <f t="shared" si="1660"/>
        <v>10.711206896551724</v>
      </c>
      <c r="CC239" s="243">
        <f t="shared" si="1661"/>
        <v>7.4676724137931032</v>
      </c>
      <c r="CD239" s="243">
        <f t="shared" si="1662"/>
        <v>22.000718390804597</v>
      </c>
      <c r="CE239" s="252">
        <f t="shared" si="1600"/>
        <v>0</v>
      </c>
      <c r="CF239" s="309">
        <f t="shared" si="1663"/>
        <v>22.000718390804597</v>
      </c>
      <c r="CG239" s="218">
        <f t="shared" si="1778"/>
        <v>77.007183908045945</v>
      </c>
      <c r="CH239" s="242">
        <f t="shared" si="1778"/>
        <v>1</v>
      </c>
      <c r="CI239" s="243">
        <f t="shared" si="1664"/>
        <v>76.007183908045945</v>
      </c>
      <c r="CJ239" s="218">
        <f t="shared" si="1665"/>
        <v>0</v>
      </c>
      <c r="CL239" s="303" t="s">
        <v>204</v>
      </c>
      <c r="CM239" s="304" t="s">
        <v>226</v>
      </c>
      <c r="CN239" s="305" t="s">
        <v>133</v>
      </c>
      <c r="CO239" s="317"/>
      <c r="CP239" s="254">
        <f>Konvention_1slave-KLslave</f>
        <v>12</v>
      </c>
      <c r="CQ239" s="254">
        <f>Konvention_1slave-INslave_IN</f>
        <v>11</v>
      </c>
      <c r="CR239" s="254"/>
      <c r="CS239" s="254"/>
      <c r="CT239" s="254"/>
      <c r="CU239" s="254">
        <f t="shared" si="1770"/>
        <v>12</v>
      </c>
      <c r="CV239" s="318"/>
      <c r="CW239" s="223">
        <f t="shared" si="1666"/>
        <v>11.666666666666666</v>
      </c>
      <c r="CX239" s="223">
        <f t="shared" si="1667"/>
        <v>23.333333333333332</v>
      </c>
      <c r="CY239" s="224">
        <f t="shared" si="1668"/>
        <v>35</v>
      </c>
      <c r="CZ239" s="237">
        <f t="shared" si="1601"/>
        <v>2432</v>
      </c>
      <c r="DA239" s="254">
        <f>CP239*CQ239*KOslave+CP239*INslave_IN*CU239+KLslave*CQ239*CU239</f>
        <v>3408</v>
      </c>
      <c r="DB239" s="224">
        <f t="shared" si="1669"/>
        <v>1584</v>
      </c>
      <c r="DC239" s="224">
        <f t="shared" si="1670"/>
        <v>7424</v>
      </c>
      <c r="DD239" s="222">
        <f t="shared" si="1671"/>
        <v>3.8218390804597702</v>
      </c>
      <c r="DE239" s="223">
        <f t="shared" si="1672"/>
        <v>10.711206896551724</v>
      </c>
      <c r="DF239" s="243">
        <f t="shared" si="1673"/>
        <v>7.4676724137931032</v>
      </c>
      <c r="DG239" s="243">
        <f t="shared" si="1674"/>
        <v>22.000718390804597</v>
      </c>
      <c r="DH239" s="252">
        <f t="shared" si="1602"/>
        <v>0</v>
      </c>
      <c r="DI239" s="309">
        <f t="shared" si="1675"/>
        <v>22.000718390804597</v>
      </c>
      <c r="DJ239" s="218">
        <f t="shared" si="1779"/>
        <v>77.007183908045945</v>
      </c>
      <c r="DK239" s="242">
        <f t="shared" si="1779"/>
        <v>1</v>
      </c>
      <c r="DL239" s="243">
        <f t="shared" si="1676"/>
        <v>76.007183908045945</v>
      </c>
      <c r="DM239" s="218">
        <f t="shared" si="1677"/>
        <v>0</v>
      </c>
      <c r="DO239" s="303" t="s">
        <v>204</v>
      </c>
      <c r="DP239" s="304" t="s">
        <v>226</v>
      </c>
      <c r="DQ239" s="305" t="s">
        <v>133</v>
      </c>
      <c r="DR239" s="317"/>
      <c r="DS239" s="254">
        <f>Konvention_1slave-KLslave</f>
        <v>12</v>
      </c>
      <c r="DT239" s="254">
        <f>Konvention_1slave-INslave</f>
        <v>12</v>
      </c>
      <c r="DU239" s="254"/>
      <c r="DV239" s="254"/>
      <c r="DW239" s="254"/>
      <c r="DX239" s="254">
        <f t="shared" si="1771"/>
        <v>12</v>
      </c>
      <c r="DY239" s="318"/>
      <c r="DZ239" s="223">
        <f t="shared" si="1678"/>
        <v>12</v>
      </c>
      <c r="EA239" s="223">
        <f t="shared" si="1679"/>
        <v>24</v>
      </c>
      <c r="EB239" s="224">
        <f t="shared" si="1680"/>
        <v>36</v>
      </c>
      <c r="EC239" s="237">
        <f t="shared" si="1603"/>
        <v>2304</v>
      </c>
      <c r="ED239" s="254">
        <f>DS239*DT239*KOslave+DS239*INslave*DX239+KLslave*DT239*DX239</f>
        <v>3456</v>
      </c>
      <c r="EE239" s="224">
        <f t="shared" si="1681"/>
        <v>1728</v>
      </c>
      <c r="EF239" s="224">
        <f t="shared" si="1682"/>
        <v>7488</v>
      </c>
      <c r="EG239" s="222">
        <f t="shared" si="1683"/>
        <v>3.6923076923076925</v>
      </c>
      <c r="EH239" s="223">
        <f t="shared" si="1684"/>
        <v>11.076923076923077</v>
      </c>
      <c r="EI239" s="243">
        <f t="shared" si="1685"/>
        <v>8.3076923076923084</v>
      </c>
      <c r="EJ239" s="243">
        <f t="shared" si="1686"/>
        <v>23.07692307692308</v>
      </c>
      <c r="EK239" s="252">
        <f t="shared" si="1604"/>
        <v>0</v>
      </c>
      <c r="EL239" s="309">
        <f t="shared" si="1687"/>
        <v>23.07692307692308</v>
      </c>
      <c r="EM239" s="218">
        <f t="shared" si="1780"/>
        <v>87.769230769230802</v>
      </c>
      <c r="EN239" s="242">
        <f t="shared" si="1780"/>
        <v>1</v>
      </c>
      <c r="EO239" s="243">
        <f t="shared" si="1688"/>
        <v>86.769230769230802</v>
      </c>
      <c r="EP239" s="218">
        <f t="shared" si="1689"/>
        <v>0</v>
      </c>
      <c r="ER239" s="303" t="s">
        <v>204</v>
      </c>
      <c r="ES239" s="304" t="s">
        <v>226</v>
      </c>
      <c r="ET239" s="305" t="s">
        <v>133</v>
      </c>
      <c r="EU239" s="317"/>
      <c r="EV239" s="254">
        <f>Konvention_1slave-KLslave</f>
        <v>12</v>
      </c>
      <c r="EW239" s="254">
        <f>Konvention_1slave-INslave</f>
        <v>12</v>
      </c>
      <c r="EX239" s="254"/>
      <c r="EY239" s="254"/>
      <c r="EZ239" s="254"/>
      <c r="FA239" s="254">
        <f t="shared" si="1772"/>
        <v>12</v>
      </c>
      <c r="FB239" s="318"/>
      <c r="FC239" s="223">
        <f t="shared" si="1690"/>
        <v>12</v>
      </c>
      <c r="FD239" s="223">
        <f t="shared" si="1691"/>
        <v>24</v>
      </c>
      <c r="FE239" s="224">
        <f t="shared" si="1692"/>
        <v>36</v>
      </c>
      <c r="FF239" s="237">
        <f t="shared" si="1605"/>
        <v>2304</v>
      </c>
      <c r="FG239" s="254">
        <f>EV239*EW239*KOslave+EV239*INslave*FA239+KLslave*EW239*FA239</f>
        <v>3456</v>
      </c>
      <c r="FH239" s="224">
        <f t="shared" si="1693"/>
        <v>1728</v>
      </c>
      <c r="FI239" s="224">
        <f t="shared" si="1694"/>
        <v>7488</v>
      </c>
      <c r="FJ239" s="222">
        <f t="shared" si="1695"/>
        <v>3.6923076923076925</v>
      </c>
      <c r="FK239" s="223">
        <f t="shared" si="1696"/>
        <v>11.076923076923077</v>
      </c>
      <c r="FL239" s="243">
        <f t="shared" si="1697"/>
        <v>8.3076923076923084</v>
      </c>
      <c r="FM239" s="243">
        <f t="shared" si="1698"/>
        <v>23.07692307692308</v>
      </c>
      <c r="FN239" s="252">
        <f t="shared" si="1606"/>
        <v>0</v>
      </c>
      <c r="FO239" s="309">
        <f t="shared" si="1699"/>
        <v>23.07692307692308</v>
      </c>
      <c r="FP239" s="218">
        <f t="shared" si="1781"/>
        <v>87.769230769230802</v>
      </c>
      <c r="FQ239" s="242">
        <f t="shared" si="1781"/>
        <v>1</v>
      </c>
      <c r="FR239" s="243">
        <f t="shared" si="1700"/>
        <v>86.769230769230802</v>
      </c>
      <c r="FS239" s="218">
        <f t="shared" si="1701"/>
        <v>0</v>
      </c>
      <c r="FU239" s="303" t="s">
        <v>204</v>
      </c>
      <c r="FV239" s="304" t="s">
        <v>226</v>
      </c>
      <c r="FW239" s="305" t="s">
        <v>133</v>
      </c>
      <c r="FX239" s="317"/>
      <c r="FY239" s="254">
        <f>Konvention_1slave-KLslave</f>
        <v>12</v>
      </c>
      <c r="FZ239" s="254">
        <f>Konvention_1slave-INslave</f>
        <v>12</v>
      </c>
      <c r="GA239" s="254"/>
      <c r="GB239" s="254"/>
      <c r="GC239" s="254"/>
      <c r="GD239" s="254">
        <f t="shared" si="1773"/>
        <v>12</v>
      </c>
      <c r="GE239" s="318"/>
      <c r="GF239" s="223">
        <f t="shared" si="1702"/>
        <v>12</v>
      </c>
      <c r="GG239" s="223">
        <f t="shared" si="1703"/>
        <v>24</v>
      </c>
      <c r="GH239" s="224">
        <f t="shared" si="1704"/>
        <v>36</v>
      </c>
      <c r="GI239" s="237">
        <f t="shared" si="1607"/>
        <v>2304</v>
      </c>
      <c r="GJ239" s="254">
        <f>FY239*FZ239*KOslave+FY239*INslave*GD239+KLslave*FZ239*GD239</f>
        <v>3456</v>
      </c>
      <c r="GK239" s="224">
        <f t="shared" si="1705"/>
        <v>1728</v>
      </c>
      <c r="GL239" s="224">
        <f t="shared" si="1706"/>
        <v>7488</v>
      </c>
      <c r="GM239" s="222">
        <f t="shared" si="1707"/>
        <v>3.6923076923076925</v>
      </c>
      <c r="GN239" s="223">
        <f t="shared" si="1708"/>
        <v>11.076923076923077</v>
      </c>
      <c r="GO239" s="243">
        <f t="shared" si="1709"/>
        <v>8.3076923076923084</v>
      </c>
      <c r="GP239" s="243">
        <f t="shared" si="1710"/>
        <v>23.07692307692308</v>
      </c>
      <c r="GQ239" s="252">
        <f t="shared" si="1608"/>
        <v>0</v>
      </c>
      <c r="GR239" s="309">
        <f t="shared" si="1711"/>
        <v>23.07692307692308</v>
      </c>
      <c r="GS239" s="218">
        <f t="shared" si="1782"/>
        <v>87.769230769230802</v>
      </c>
      <c r="GT239" s="242">
        <f t="shared" si="1782"/>
        <v>1</v>
      </c>
      <c r="GU239" s="243">
        <f t="shared" si="1712"/>
        <v>86.769230769230802</v>
      </c>
      <c r="GV239" s="218">
        <f t="shared" si="1713"/>
        <v>0</v>
      </c>
      <c r="GX239" s="303" t="s">
        <v>204</v>
      </c>
      <c r="GY239" s="304" t="s">
        <v>226</v>
      </c>
      <c r="GZ239" s="305" t="s">
        <v>133</v>
      </c>
      <c r="HA239" s="317"/>
      <c r="HB239" s="254">
        <f>Konvention_1slave-KLslave</f>
        <v>12</v>
      </c>
      <c r="HC239" s="254">
        <f>Konvention_1slave-INslave</f>
        <v>12</v>
      </c>
      <c r="HD239" s="254"/>
      <c r="HE239" s="254"/>
      <c r="HF239" s="254"/>
      <c r="HG239" s="254">
        <f t="shared" si="1774"/>
        <v>11</v>
      </c>
      <c r="HH239" s="318"/>
      <c r="HI239" s="223">
        <f t="shared" si="1714"/>
        <v>11.666666666666666</v>
      </c>
      <c r="HJ239" s="223">
        <f t="shared" si="1715"/>
        <v>23.333333333333332</v>
      </c>
      <c r="HK239" s="224">
        <f t="shared" si="1716"/>
        <v>35</v>
      </c>
      <c r="HL239" s="237">
        <f t="shared" si="1609"/>
        <v>2432</v>
      </c>
      <c r="HM239" s="254">
        <f>HB239*HC239*KOslave_KO+HB239*INslave*HG239+KLslave*HC239*HG239</f>
        <v>3408</v>
      </c>
      <c r="HN239" s="224">
        <f t="shared" si="1717"/>
        <v>1584</v>
      </c>
      <c r="HO239" s="224">
        <f t="shared" si="1718"/>
        <v>7424</v>
      </c>
      <c r="HP239" s="222">
        <f t="shared" si="1719"/>
        <v>3.8218390804597702</v>
      </c>
      <c r="HQ239" s="223">
        <f t="shared" si="1720"/>
        <v>10.711206896551724</v>
      </c>
      <c r="HR239" s="243">
        <f t="shared" si="1721"/>
        <v>7.4676724137931032</v>
      </c>
      <c r="HS239" s="243">
        <f t="shared" si="1722"/>
        <v>22.000718390804597</v>
      </c>
      <c r="HT239" s="252">
        <f t="shared" si="1610"/>
        <v>0</v>
      </c>
      <c r="HU239" s="309">
        <f t="shared" si="1723"/>
        <v>22.000718390804597</v>
      </c>
      <c r="HV239" s="218">
        <f t="shared" si="1783"/>
        <v>77.007183908045945</v>
      </c>
      <c r="HW239" s="242">
        <f t="shared" si="1783"/>
        <v>1</v>
      </c>
      <c r="HX239" s="243">
        <f t="shared" si="1724"/>
        <v>76.007183908045945</v>
      </c>
      <c r="HY239" s="218">
        <f t="shared" si="1725"/>
        <v>0</v>
      </c>
      <c r="IA239" s="303" t="s">
        <v>204</v>
      </c>
      <c r="IB239" s="304" t="s">
        <v>226</v>
      </c>
      <c r="IC239" s="305" t="s">
        <v>133</v>
      </c>
      <c r="ID239" s="317"/>
      <c r="IE239" s="254">
        <f>Konvention_1slave-KLslave</f>
        <v>12</v>
      </c>
      <c r="IF239" s="254">
        <f>Konvention_1slave-INslave</f>
        <v>12</v>
      </c>
      <c r="IG239" s="254"/>
      <c r="IH239" s="254"/>
      <c r="II239" s="254"/>
      <c r="IJ239" s="254">
        <f t="shared" si="1775"/>
        <v>12</v>
      </c>
      <c r="IK239" s="318"/>
      <c r="IL239" s="223">
        <f t="shared" si="1726"/>
        <v>12</v>
      </c>
      <c r="IM239" s="223">
        <f t="shared" si="1727"/>
        <v>24</v>
      </c>
      <c r="IN239" s="224">
        <f t="shared" si="1728"/>
        <v>36</v>
      </c>
      <c r="IO239" s="237">
        <f t="shared" si="1611"/>
        <v>2304</v>
      </c>
      <c r="IP239" s="254">
        <f>IE239*IF239*KOslave+IE239*INslave*IJ239+KLslave*IF239*IJ239</f>
        <v>3456</v>
      </c>
      <c r="IQ239" s="224">
        <f t="shared" si="1729"/>
        <v>1728</v>
      </c>
      <c r="IR239" s="224">
        <f t="shared" si="1730"/>
        <v>7488</v>
      </c>
      <c r="IS239" s="222">
        <f t="shared" si="1731"/>
        <v>3.6923076923076925</v>
      </c>
      <c r="IT239" s="223">
        <f t="shared" si="1732"/>
        <v>11.076923076923077</v>
      </c>
      <c r="IU239" s="243">
        <f t="shared" si="1733"/>
        <v>8.3076923076923084</v>
      </c>
      <c r="IV239" s="243">
        <f t="shared" si="1734"/>
        <v>23.07692307692308</v>
      </c>
      <c r="IW239" s="252">
        <f t="shared" si="1612"/>
        <v>0</v>
      </c>
      <c r="IX239" s="309">
        <f t="shared" si="1735"/>
        <v>23.07692307692308</v>
      </c>
      <c r="IY239" s="218">
        <f t="shared" si="1784"/>
        <v>87.769230769230802</v>
      </c>
      <c r="IZ239" s="242">
        <f t="shared" si="1784"/>
        <v>1</v>
      </c>
      <c r="JA239" s="243">
        <f t="shared" si="1736"/>
        <v>86.769230769230802</v>
      </c>
      <c r="JB239" s="218">
        <f t="shared" si="1737"/>
        <v>0</v>
      </c>
      <c r="JE239" s="148"/>
    </row>
    <row r="240" spans="2:265" hidden="1" outlineLevel="2">
      <c r="B240" s="148">
        <v>28</v>
      </c>
      <c r="C240" s="303" t="e">
        <f>VLOOKUP(AF240,Attribute!C:T,1,FALSE)</f>
        <v>#N/A</v>
      </c>
      <c r="D240" s="86" t="s">
        <v>101</v>
      </c>
      <c r="E240" s="167" t="s">
        <v>135</v>
      </c>
      <c r="F240" s="120"/>
      <c r="G240" s="117"/>
      <c r="H240" s="117">
        <f>Konvention_1master-INmaster</f>
        <v>12</v>
      </c>
      <c r="I240" s="117">
        <f>Konvention_1master-CHmaster</f>
        <v>12</v>
      </c>
      <c r="J240" s="117"/>
      <c r="K240" s="117"/>
      <c r="L240" s="117">
        <f t="shared" si="1766"/>
        <v>12</v>
      </c>
      <c r="M240" s="121"/>
      <c r="N240" s="223">
        <f t="shared" si="1629"/>
        <v>12</v>
      </c>
      <c r="O240" s="223">
        <f t="shared" si="1630"/>
        <v>24</v>
      </c>
      <c r="P240" s="224">
        <f t="shared" si="1631"/>
        <v>36</v>
      </c>
      <c r="Q240" s="237">
        <f t="shared" si="1632"/>
        <v>2304</v>
      </c>
      <c r="R240" s="117">
        <f>H240*I240*KOmaster+H240*CHmaster*L240+INmaster*I240*L240</f>
        <v>3456</v>
      </c>
      <c r="S240" s="224">
        <f t="shared" si="1633"/>
        <v>1728</v>
      </c>
      <c r="T240" s="224">
        <f>SUM(Q240:S240)</f>
        <v>7488</v>
      </c>
      <c r="U240" s="222">
        <f t="shared" si="1635"/>
        <v>3.6923076923076925</v>
      </c>
      <c r="V240" s="223">
        <f t="shared" si="1636"/>
        <v>11.076923076923077</v>
      </c>
      <c r="W240" s="243">
        <f t="shared" si="1637"/>
        <v>8.3076923076923084</v>
      </c>
      <c r="X240" s="243">
        <f t="shared" si="1638"/>
        <v>23.07692307692308</v>
      </c>
      <c r="Y240" s="252">
        <v>0</v>
      </c>
      <c r="Z240" s="198">
        <f t="shared" si="1639"/>
        <v>23.07692307692308</v>
      </c>
      <c r="AA240" s="125">
        <f>IF(X240&lt;=0,3,0)+IF(X240&gt;0,X240+1,0)*3+IF(X240&gt;12,X240-12,0)*3+IF(X240&gt;13,X240-13,0)*3+IF(X240&gt;14,X240-14,0)*3+IF(X240&gt;15,X240-15,0)*3+IF(X240&gt;16,X240-16,0)*3+IF(X240&gt;17,X240-17,0)*3+IF(X240&gt;18,X240-18,0)*3+IF(X240&gt;19,X240-19,0)*3+IF(X240&gt;20,X240-20,0)*3</f>
        <v>263.30769230769232</v>
      </c>
      <c r="AB240" s="160">
        <f>IF(Y240&lt;=0,3,0)+IF(Y240&gt;0,Y240+1,0)*3+IF(Y240&gt;12,Y240-12,0)*3+IF(Y240&gt;13,Y240-13,0)*3+IF(Y240&gt;14,Y240-14,0)*3+IF(Y240&gt;15,Y240-15,0)*3+IF(Y240&gt;16,Y240-16,0)*3+IF(Y240&gt;17,Y240-17,0)*3+IF(Y240&gt;18,Y240-18,0)*3+IF(Y240&gt;19,Y240-19,0)*3+IF(Y240&gt;20,Y240-20,0)*3</f>
        <v>3</v>
      </c>
      <c r="AC240" s="127">
        <f t="shared" si="1640"/>
        <v>260.30769230769232</v>
      </c>
      <c r="AD240" s="125">
        <f t="shared" si="1641"/>
        <v>0</v>
      </c>
      <c r="AF240" s="163" t="s">
        <v>393</v>
      </c>
      <c r="AG240" s="86" t="s">
        <v>101</v>
      </c>
      <c r="AH240" s="167" t="s">
        <v>135</v>
      </c>
      <c r="AI240" s="120"/>
      <c r="AJ240" s="117"/>
      <c r="AK240" s="117">
        <f>Konvention_1slave-INslave</f>
        <v>12</v>
      </c>
      <c r="AL240" s="117">
        <f>Konvention_1slave-CHslave</f>
        <v>12</v>
      </c>
      <c r="AM240" s="117"/>
      <c r="AN240" s="117"/>
      <c r="AO240" s="117">
        <f t="shared" si="1768"/>
        <v>12</v>
      </c>
      <c r="AP240" s="121"/>
      <c r="AQ240" s="47">
        <f t="shared" si="1642"/>
        <v>12</v>
      </c>
      <c r="AR240" s="3">
        <f t="shared" si="1643"/>
        <v>24</v>
      </c>
      <c r="AS240" s="174">
        <f t="shared" si="1644"/>
        <v>36</v>
      </c>
      <c r="AT240" s="114">
        <f t="shared" si="1597"/>
        <v>2304</v>
      </c>
      <c r="AU240" s="117">
        <f>AK240*AL240*KOslave+AK240*CHslave*AO240+INslave*AL240*AO240</f>
        <v>3456</v>
      </c>
      <c r="AV240" s="119">
        <f t="shared" si="1645"/>
        <v>1728</v>
      </c>
      <c r="AW240" s="119">
        <f>SUM(AT240:AV240)</f>
        <v>7488</v>
      </c>
      <c r="AX240" s="89">
        <f t="shared" si="1647"/>
        <v>3.6923076923076925</v>
      </c>
      <c r="AY240" s="47">
        <f t="shared" si="1648"/>
        <v>11.076923076923077</v>
      </c>
      <c r="AZ240" s="127">
        <f t="shared" si="1649"/>
        <v>8.3076923076923084</v>
      </c>
      <c r="BA240" s="127">
        <f t="shared" si="1650"/>
        <v>23.07692307692308</v>
      </c>
      <c r="BB240" s="165">
        <f t="shared" si="1598"/>
        <v>0</v>
      </c>
      <c r="BC240" s="198">
        <f t="shared" si="1651"/>
        <v>23.07692307692308</v>
      </c>
      <c r="BD240" s="125">
        <f>IF(BA240&lt;=0,3,0)+IF(BA240&gt;0,BA240+1,0)*3+IF(BA240&gt;12,BA240-12,0)*3+IF(BA240&gt;13,BA240-13,0)*3+IF(BA240&gt;14,BA240-14,0)*3+IF(BA240&gt;15,BA240-15,0)*3+IF(BA240&gt;16,BA240-16,0)*3+IF(BA240&gt;17,BA240-17,0)*3+IF(BA240&gt;18,BA240-18,0)*3+IF(BA240&gt;19,BA240-19,0)*3+IF(BA240&gt;20,BA240-20,0)*3</f>
        <v>263.30769230769232</v>
      </c>
      <c r="BE240" s="160">
        <f>IF(BB240&lt;=0,3,0)+IF(BB240&gt;0,BB240+1,0)*3+IF(BB240&gt;12,BB240-12,0)*3+IF(BB240&gt;13,BB240-13,0)*3+IF(BB240&gt;14,BB240-14,0)*3+IF(BB240&gt;15,BB240-15,0)*3+IF(BB240&gt;16,BB240-16,0)*3+IF(BB240&gt;17,BB240-17,0)*3+IF(BB240&gt;18,BB240-18,0)*3+IF(BB240&gt;19,BB240-19,0)*3+IF(BB240&gt;20,BB240-20,0)*3</f>
        <v>3</v>
      </c>
      <c r="BF240" s="243">
        <f t="shared" si="1652"/>
        <v>260.30769230769232</v>
      </c>
      <c r="BG240" s="218">
        <f t="shared" si="1653"/>
        <v>0</v>
      </c>
      <c r="BI240" s="303" t="s">
        <v>393</v>
      </c>
      <c r="BJ240" s="304" t="s">
        <v>101</v>
      </c>
      <c r="BK240" s="305" t="s">
        <v>135</v>
      </c>
      <c r="BL240" s="317"/>
      <c r="BM240" s="254"/>
      <c r="BN240" s="254">
        <f>Konvention_1slave-INslave</f>
        <v>12</v>
      </c>
      <c r="BO240" s="254">
        <f>Konvention_1slave-CHslave</f>
        <v>12</v>
      </c>
      <c r="BP240" s="254"/>
      <c r="BQ240" s="254"/>
      <c r="BR240" s="254">
        <f t="shared" si="1769"/>
        <v>12</v>
      </c>
      <c r="BS240" s="318"/>
      <c r="BT240" s="223">
        <f t="shared" si="1654"/>
        <v>12</v>
      </c>
      <c r="BU240" s="223">
        <f t="shared" si="1655"/>
        <v>24</v>
      </c>
      <c r="BV240" s="224">
        <f t="shared" si="1656"/>
        <v>36</v>
      </c>
      <c r="BW240" s="237">
        <f t="shared" si="1599"/>
        <v>2304</v>
      </c>
      <c r="BX240" s="254">
        <f>BN240*BO240*KOslave+BN240*CHslave*BR240+INslave*BO240*BR240</f>
        <v>3456</v>
      </c>
      <c r="BY240" s="224">
        <f t="shared" si="1657"/>
        <v>1728</v>
      </c>
      <c r="BZ240" s="224">
        <f>SUM(BW240:BY240)</f>
        <v>7488</v>
      </c>
      <c r="CA240" s="222">
        <f t="shared" si="1659"/>
        <v>3.6923076923076925</v>
      </c>
      <c r="CB240" s="223">
        <f t="shared" si="1660"/>
        <v>11.076923076923077</v>
      </c>
      <c r="CC240" s="243">
        <f t="shared" si="1661"/>
        <v>8.3076923076923084</v>
      </c>
      <c r="CD240" s="243">
        <f t="shared" si="1662"/>
        <v>23.07692307692308</v>
      </c>
      <c r="CE240" s="252">
        <f t="shared" si="1600"/>
        <v>0</v>
      </c>
      <c r="CF240" s="309">
        <f t="shared" si="1663"/>
        <v>23.07692307692308</v>
      </c>
      <c r="CG240" s="218">
        <f>IF(CD240&lt;=0,3,0)+IF(CD240&gt;0,CD240+1,0)*3+IF(CD240&gt;12,CD240-12,0)*3+IF(CD240&gt;13,CD240-13,0)*3+IF(CD240&gt;14,CD240-14,0)*3+IF(CD240&gt;15,CD240-15,0)*3+IF(CD240&gt;16,CD240-16,0)*3+IF(CD240&gt;17,CD240-17,0)*3+IF(CD240&gt;18,CD240-18,0)*3+IF(CD240&gt;19,CD240-19,0)*3+IF(CD240&gt;20,CD240-20,0)*3</f>
        <v>263.30769230769232</v>
      </c>
      <c r="CH240" s="242">
        <f>IF(CE240&lt;=0,3,0)+IF(CE240&gt;0,CE240+1,0)*3+IF(CE240&gt;12,CE240-12,0)*3+IF(CE240&gt;13,CE240-13,0)*3+IF(CE240&gt;14,CE240-14,0)*3+IF(CE240&gt;15,CE240-15,0)*3+IF(CE240&gt;16,CE240-16,0)*3+IF(CE240&gt;17,CE240-17,0)*3+IF(CE240&gt;18,CE240-18,0)*3+IF(CE240&gt;19,CE240-19,0)*3+IF(CE240&gt;20,CE240-20,0)*3</f>
        <v>3</v>
      </c>
      <c r="CI240" s="243">
        <f t="shared" si="1664"/>
        <v>260.30769230769232</v>
      </c>
      <c r="CJ240" s="218">
        <f t="shared" si="1665"/>
        <v>0</v>
      </c>
      <c r="CL240" s="303" t="s">
        <v>393</v>
      </c>
      <c r="CM240" s="304" t="s">
        <v>101</v>
      </c>
      <c r="CN240" s="305" t="s">
        <v>135</v>
      </c>
      <c r="CO240" s="317"/>
      <c r="CP240" s="254"/>
      <c r="CQ240" s="254">
        <f>Konvention_1slave-INslave_IN</f>
        <v>11</v>
      </c>
      <c r="CR240" s="254">
        <f>Konvention_1slave-CHslave</f>
        <v>12</v>
      </c>
      <c r="CS240" s="254"/>
      <c r="CT240" s="254"/>
      <c r="CU240" s="254">
        <f t="shared" si="1770"/>
        <v>12</v>
      </c>
      <c r="CV240" s="318"/>
      <c r="CW240" s="223">
        <f t="shared" si="1666"/>
        <v>11.666666666666666</v>
      </c>
      <c r="CX240" s="223">
        <f t="shared" si="1667"/>
        <v>23.333333333333332</v>
      </c>
      <c r="CY240" s="224">
        <f t="shared" si="1668"/>
        <v>35</v>
      </c>
      <c r="CZ240" s="237">
        <f t="shared" si="1601"/>
        <v>2432</v>
      </c>
      <c r="DA240" s="254">
        <f>CQ240*CR240*KOslave+CQ240*CHslave*CU240+INslave_IN*CR240*CU240</f>
        <v>3408</v>
      </c>
      <c r="DB240" s="224">
        <f t="shared" si="1669"/>
        <v>1584</v>
      </c>
      <c r="DC240" s="224">
        <f>SUM(CZ240:DB240)</f>
        <v>7424</v>
      </c>
      <c r="DD240" s="222">
        <f t="shared" si="1671"/>
        <v>3.8218390804597702</v>
      </c>
      <c r="DE240" s="223">
        <f t="shared" si="1672"/>
        <v>10.711206896551724</v>
      </c>
      <c r="DF240" s="243">
        <f t="shared" si="1673"/>
        <v>7.4676724137931032</v>
      </c>
      <c r="DG240" s="243">
        <f t="shared" si="1674"/>
        <v>22.000718390804597</v>
      </c>
      <c r="DH240" s="252">
        <f t="shared" si="1602"/>
        <v>0</v>
      </c>
      <c r="DI240" s="309">
        <f t="shared" si="1675"/>
        <v>22.000718390804597</v>
      </c>
      <c r="DJ240" s="218">
        <f>IF(DG240&lt;=0,3,0)+IF(DG240&gt;0,DG240+1,0)*3+IF(DG240&gt;12,DG240-12,0)*3+IF(DG240&gt;13,DG240-13,0)*3+IF(DG240&gt;14,DG240-14,0)*3+IF(DG240&gt;15,DG240-15,0)*3+IF(DG240&gt;16,DG240-16,0)*3+IF(DG240&gt;17,DG240-17,0)*3+IF(DG240&gt;18,DG240-18,0)*3+IF(DG240&gt;19,DG240-19,0)*3+IF(DG240&gt;20,DG240-20,0)*3</f>
        <v>231.02155172413785</v>
      </c>
      <c r="DK240" s="242">
        <f>IF(DH240&lt;=0,3,0)+IF(DH240&gt;0,DH240+1,0)*3+IF(DH240&gt;12,DH240-12,0)*3+IF(DH240&gt;13,DH240-13,0)*3+IF(DH240&gt;14,DH240-14,0)*3+IF(DH240&gt;15,DH240-15,0)*3+IF(DH240&gt;16,DH240-16,0)*3+IF(DH240&gt;17,DH240-17,0)*3+IF(DH240&gt;18,DH240-18,0)*3+IF(DH240&gt;19,DH240-19,0)*3+IF(DH240&gt;20,DH240-20,0)*3</f>
        <v>3</v>
      </c>
      <c r="DL240" s="243">
        <f t="shared" si="1676"/>
        <v>228.02155172413785</v>
      </c>
      <c r="DM240" s="218">
        <f t="shared" si="1677"/>
        <v>0</v>
      </c>
      <c r="DO240" s="303" t="s">
        <v>393</v>
      </c>
      <c r="DP240" s="304" t="s">
        <v>101</v>
      </c>
      <c r="DQ240" s="305" t="s">
        <v>135</v>
      </c>
      <c r="DR240" s="317"/>
      <c r="DS240" s="254"/>
      <c r="DT240" s="254">
        <f>Konvention_1slave-INslave</f>
        <v>12</v>
      </c>
      <c r="DU240" s="254">
        <f>Konvention_1slave-CHslave_CH</f>
        <v>11</v>
      </c>
      <c r="DV240" s="254"/>
      <c r="DW240" s="254"/>
      <c r="DX240" s="254">
        <f t="shared" si="1771"/>
        <v>12</v>
      </c>
      <c r="DY240" s="318"/>
      <c r="DZ240" s="223">
        <f t="shared" si="1678"/>
        <v>11.666666666666666</v>
      </c>
      <c r="EA240" s="223">
        <f t="shared" si="1679"/>
        <v>23.333333333333332</v>
      </c>
      <c r="EB240" s="224">
        <f t="shared" si="1680"/>
        <v>35</v>
      </c>
      <c r="EC240" s="237">
        <f t="shared" si="1603"/>
        <v>2432</v>
      </c>
      <c r="ED240" s="254">
        <f>DT240*DU240*KOslave+DT240*CHslave_CH*DX240+INslave*DU240*DX240</f>
        <v>3408</v>
      </c>
      <c r="EE240" s="224">
        <f t="shared" si="1681"/>
        <v>1584</v>
      </c>
      <c r="EF240" s="224">
        <f>SUM(EC240:EE240)</f>
        <v>7424</v>
      </c>
      <c r="EG240" s="222">
        <f t="shared" si="1683"/>
        <v>3.8218390804597702</v>
      </c>
      <c r="EH240" s="223">
        <f t="shared" si="1684"/>
        <v>10.711206896551724</v>
      </c>
      <c r="EI240" s="243">
        <f t="shared" si="1685"/>
        <v>7.4676724137931032</v>
      </c>
      <c r="EJ240" s="243">
        <f t="shared" si="1686"/>
        <v>22.000718390804597</v>
      </c>
      <c r="EK240" s="252">
        <f t="shared" si="1604"/>
        <v>0</v>
      </c>
      <c r="EL240" s="309">
        <f t="shared" si="1687"/>
        <v>22.000718390804597</v>
      </c>
      <c r="EM240" s="218">
        <f>IF(EJ240&lt;=0,3,0)+IF(EJ240&gt;0,EJ240+1,0)*3+IF(EJ240&gt;12,EJ240-12,0)*3+IF(EJ240&gt;13,EJ240-13,0)*3+IF(EJ240&gt;14,EJ240-14,0)*3+IF(EJ240&gt;15,EJ240-15,0)*3+IF(EJ240&gt;16,EJ240-16,0)*3+IF(EJ240&gt;17,EJ240-17,0)*3+IF(EJ240&gt;18,EJ240-18,0)*3+IF(EJ240&gt;19,EJ240-19,0)*3+IF(EJ240&gt;20,EJ240-20,0)*3</f>
        <v>231.02155172413785</v>
      </c>
      <c r="EN240" s="242">
        <f>IF(EK240&lt;=0,3,0)+IF(EK240&gt;0,EK240+1,0)*3+IF(EK240&gt;12,EK240-12,0)*3+IF(EK240&gt;13,EK240-13,0)*3+IF(EK240&gt;14,EK240-14,0)*3+IF(EK240&gt;15,EK240-15,0)*3+IF(EK240&gt;16,EK240-16,0)*3+IF(EK240&gt;17,EK240-17,0)*3+IF(EK240&gt;18,EK240-18,0)*3+IF(EK240&gt;19,EK240-19,0)*3+IF(EK240&gt;20,EK240-20,0)*3</f>
        <v>3</v>
      </c>
      <c r="EO240" s="243">
        <f t="shared" si="1688"/>
        <v>228.02155172413785</v>
      </c>
      <c r="EP240" s="218">
        <f t="shared" si="1689"/>
        <v>0</v>
      </c>
      <c r="ER240" s="303" t="s">
        <v>393</v>
      </c>
      <c r="ES240" s="304" t="s">
        <v>101</v>
      </c>
      <c r="ET240" s="305" t="s">
        <v>135</v>
      </c>
      <c r="EU240" s="317"/>
      <c r="EV240" s="254"/>
      <c r="EW240" s="254">
        <f>Konvention_1slave-INslave</f>
        <v>12</v>
      </c>
      <c r="EX240" s="254">
        <f>Konvention_1slave-CHslave</f>
        <v>12</v>
      </c>
      <c r="EY240" s="254"/>
      <c r="EZ240" s="254"/>
      <c r="FA240" s="254">
        <f t="shared" si="1772"/>
        <v>12</v>
      </c>
      <c r="FB240" s="318"/>
      <c r="FC240" s="223">
        <f t="shared" si="1690"/>
        <v>12</v>
      </c>
      <c r="FD240" s="223">
        <f t="shared" si="1691"/>
        <v>24</v>
      </c>
      <c r="FE240" s="224">
        <f t="shared" si="1692"/>
        <v>36</v>
      </c>
      <c r="FF240" s="237">
        <f t="shared" si="1605"/>
        <v>2304</v>
      </c>
      <c r="FG240" s="254">
        <f>EW240*EX240*KOslave+EW240*CHslave*FA240+INslave*EX240*FA240</f>
        <v>3456</v>
      </c>
      <c r="FH240" s="224">
        <f t="shared" si="1693"/>
        <v>1728</v>
      </c>
      <c r="FI240" s="224">
        <f>SUM(FF240:FH240)</f>
        <v>7488</v>
      </c>
      <c r="FJ240" s="222">
        <f t="shared" si="1695"/>
        <v>3.6923076923076925</v>
      </c>
      <c r="FK240" s="223">
        <f t="shared" si="1696"/>
        <v>11.076923076923077</v>
      </c>
      <c r="FL240" s="243">
        <f t="shared" si="1697"/>
        <v>8.3076923076923084</v>
      </c>
      <c r="FM240" s="243">
        <f t="shared" si="1698"/>
        <v>23.07692307692308</v>
      </c>
      <c r="FN240" s="252">
        <f t="shared" si="1606"/>
        <v>0</v>
      </c>
      <c r="FO240" s="309">
        <f t="shared" si="1699"/>
        <v>23.07692307692308</v>
      </c>
      <c r="FP240" s="218">
        <f>IF(FM240&lt;=0,3,0)+IF(FM240&gt;0,FM240+1,0)*3+IF(FM240&gt;12,FM240-12,0)*3+IF(FM240&gt;13,FM240-13,0)*3+IF(FM240&gt;14,FM240-14,0)*3+IF(FM240&gt;15,FM240-15,0)*3+IF(FM240&gt;16,FM240-16,0)*3+IF(FM240&gt;17,FM240-17,0)*3+IF(FM240&gt;18,FM240-18,0)*3+IF(FM240&gt;19,FM240-19,0)*3+IF(FM240&gt;20,FM240-20,0)*3</f>
        <v>263.30769230769232</v>
      </c>
      <c r="FQ240" s="242">
        <f>IF(FN240&lt;=0,3,0)+IF(FN240&gt;0,FN240+1,0)*3+IF(FN240&gt;12,FN240-12,0)*3+IF(FN240&gt;13,FN240-13,0)*3+IF(FN240&gt;14,FN240-14,0)*3+IF(FN240&gt;15,FN240-15,0)*3+IF(FN240&gt;16,FN240-16,0)*3+IF(FN240&gt;17,FN240-17,0)*3+IF(FN240&gt;18,FN240-18,0)*3+IF(FN240&gt;19,FN240-19,0)*3+IF(FN240&gt;20,FN240-20,0)*3</f>
        <v>3</v>
      </c>
      <c r="FR240" s="243">
        <f t="shared" si="1700"/>
        <v>260.30769230769232</v>
      </c>
      <c r="FS240" s="218">
        <f t="shared" si="1701"/>
        <v>0</v>
      </c>
      <c r="FU240" s="303" t="s">
        <v>393</v>
      </c>
      <c r="FV240" s="304" t="s">
        <v>101</v>
      </c>
      <c r="FW240" s="305" t="s">
        <v>135</v>
      </c>
      <c r="FX240" s="317"/>
      <c r="FY240" s="254"/>
      <c r="FZ240" s="254">
        <f>Konvention_1slave-INslave</f>
        <v>12</v>
      </c>
      <c r="GA240" s="254">
        <f>Konvention_1slave-CHslave</f>
        <v>12</v>
      </c>
      <c r="GB240" s="254"/>
      <c r="GC240" s="254"/>
      <c r="GD240" s="254">
        <f t="shared" si="1773"/>
        <v>12</v>
      </c>
      <c r="GE240" s="318"/>
      <c r="GF240" s="223">
        <f t="shared" si="1702"/>
        <v>12</v>
      </c>
      <c r="GG240" s="223">
        <f t="shared" si="1703"/>
        <v>24</v>
      </c>
      <c r="GH240" s="224">
        <f t="shared" si="1704"/>
        <v>36</v>
      </c>
      <c r="GI240" s="237">
        <f t="shared" si="1607"/>
        <v>2304</v>
      </c>
      <c r="GJ240" s="254">
        <f>FZ240*GA240*KOslave+FZ240*CHslave*GD240+INslave*GA240*GD240</f>
        <v>3456</v>
      </c>
      <c r="GK240" s="224">
        <f t="shared" si="1705"/>
        <v>1728</v>
      </c>
      <c r="GL240" s="224">
        <f>SUM(GI240:GK240)</f>
        <v>7488</v>
      </c>
      <c r="GM240" s="222">
        <f t="shared" si="1707"/>
        <v>3.6923076923076925</v>
      </c>
      <c r="GN240" s="223">
        <f t="shared" si="1708"/>
        <v>11.076923076923077</v>
      </c>
      <c r="GO240" s="243">
        <f t="shared" si="1709"/>
        <v>8.3076923076923084</v>
      </c>
      <c r="GP240" s="243">
        <f t="shared" si="1710"/>
        <v>23.07692307692308</v>
      </c>
      <c r="GQ240" s="252">
        <f t="shared" si="1608"/>
        <v>0</v>
      </c>
      <c r="GR240" s="309">
        <f t="shared" si="1711"/>
        <v>23.07692307692308</v>
      </c>
      <c r="GS240" s="218">
        <f>IF(GP240&lt;=0,3,0)+IF(GP240&gt;0,GP240+1,0)*3+IF(GP240&gt;12,GP240-12,0)*3+IF(GP240&gt;13,GP240-13,0)*3+IF(GP240&gt;14,GP240-14,0)*3+IF(GP240&gt;15,GP240-15,0)*3+IF(GP240&gt;16,GP240-16,0)*3+IF(GP240&gt;17,GP240-17,0)*3+IF(GP240&gt;18,GP240-18,0)*3+IF(GP240&gt;19,GP240-19,0)*3+IF(GP240&gt;20,GP240-20,0)*3</f>
        <v>263.30769230769232</v>
      </c>
      <c r="GT240" s="242">
        <f>IF(GQ240&lt;=0,3,0)+IF(GQ240&gt;0,GQ240+1,0)*3+IF(GQ240&gt;12,GQ240-12,0)*3+IF(GQ240&gt;13,GQ240-13,0)*3+IF(GQ240&gt;14,GQ240-14,0)*3+IF(GQ240&gt;15,GQ240-15,0)*3+IF(GQ240&gt;16,GQ240-16,0)*3+IF(GQ240&gt;17,GQ240-17,0)*3+IF(GQ240&gt;18,GQ240-18,0)*3+IF(GQ240&gt;19,GQ240-19,0)*3+IF(GQ240&gt;20,GQ240-20,0)*3</f>
        <v>3</v>
      </c>
      <c r="GU240" s="243">
        <f t="shared" si="1712"/>
        <v>260.30769230769232</v>
      </c>
      <c r="GV240" s="218">
        <f t="shared" si="1713"/>
        <v>0</v>
      </c>
      <c r="GX240" s="303" t="s">
        <v>393</v>
      </c>
      <c r="GY240" s="304" t="s">
        <v>101</v>
      </c>
      <c r="GZ240" s="305" t="s">
        <v>135</v>
      </c>
      <c r="HA240" s="317"/>
      <c r="HB240" s="254"/>
      <c r="HC240" s="254">
        <f>Konvention_1slave-INslave</f>
        <v>12</v>
      </c>
      <c r="HD240" s="254">
        <f>Konvention_1slave-CHslave</f>
        <v>12</v>
      </c>
      <c r="HE240" s="254"/>
      <c r="HF240" s="254"/>
      <c r="HG240" s="254">
        <f t="shared" si="1774"/>
        <v>11</v>
      </c>
      <c r="HH240" s="318"/>
      <c r="HI240" s="223">
        <f t="shared" si="1714"/>
        <v>11.666666666666666</v>
      </c>
      <c r="HJ240" s="223">
        <f t="shared" si="1715"/>
        <v>23.333333333333332</v>
      </c>
      <c r="HK240" s="224">
        <f t="shared" si="1716"/>
        <v>35</v>
      </c>
      <c r="HL240" s="237">
        <f t="shared" si="1609"/>
        <v>2432</v>
      </c>
      <c r="HM240" s="254">
        <f>HC240*HD240*KOslave_KO+HC240*CHslave*HG240+INslave*HD240*HG240</f>
        <v>3408</v>
      </c>
      <c r="HN240" s="224">
        <f t="shared" si="1717"/>
        <v>1584</v>
      </c>
      <c r="HO240" s="224">
        <f>SUM(HL240:HN240)</f>
        <v>7424</v>
      </c>
      <c r="HP240" s="222">
        <f t="shared" si="1719"/>
        <v>3.8218390804597702</v>
      </c>
      <c r="HQ240" s="223">
        <f t="shared" si="1720"/>
        <v>10.711206896551724</v>
      </c>
      <c r="HR240" s="243">
        <f t="shared" si="1721"/>
        <v>7.4676724137931032</v>
      </c>
      <c r="HS240" s="243">
        <f t="shared" si="1722"/>
        <v>22.000718390804597</v>
      </c>
      <c r="HT240" s="252">
        <f t="shared" si="1610"/>
        <v>0</v>
      </c>
      <c r="HU240" s="309">
        <f t="shared" si="1723"/>
        <v>22.000718390804597</v>
      </c>
      <c r="HV240" s="218">
        <f>IF(HS240&lt;=0,3,0)+IF(HS240&gt;0,HS240+1,0)*3+IF(HS240&gt;12,HS240-12,0)*3+IF(HS240&gt;13,HS240-13,0)*3+IF(HS240&gt;14,HS240-14,0)*3+IF(HS240&gt;15,HS240-15,0)*3+IF(HS240&gt;16,HS240-16,0)*3+IF(HS240&gt;17,HS240-17,0)*3+IF(HS240&gt;18,HS240-18,0)*3+IF(HS240&gt;19,HS240-19,0)*3+IF(HS240&gt;20,HS240-20,0)*3</f>
        <v>231.02155172413785</v>
      </c>
      <c r="HW240" s="242">
        <f>IF(HT240&lt;=0,3,0)+IF(HT240&gt;0,HT240+1,0)*3+IF(HT240&gt;12,HT240-12,0)*3+IF(HT240&gt;13,HT240-13,0)*3+IF(HT240&gt;14,HT240-14,0)*3+IF(HT240&gt;15,HT240-15,0)*3+IF(HT240&gt;16,HT240-16,0)*3+IF(HT240&gt;17,HT240-17,0)*3+IF(HT240&gt;18,HT240-18,0)*3+IF(HT240&gt;19,HT240-19,0)*3+IF(HT240&gt;20,HT240-20,0)*3</f>
        <v>3</v>
      </c>
      <c r="HX240" s="243">
        <f t="shared" si="1724"/>
        <v>228.02155172413785</v>
      </c>
      <c r="HY240" s="218">
        <f t="shared" si="1725"/>
        <v>0</v>
      </c>
      <c r="IA240" s="303" t="s">
        <v>393</v>
      </c>
      <c r="IB240" s="304" t="s">
        <v>101</v>
      </c>
      <c r="IC240" s="305" t="s">
        <v>135</v>
      </c>
      <c r="ID240" s="317"/>
      <c r="IE240" s="254"/>
      <c r="IF240" s="254">
        <f>Konvention_1slave-INslave</f>
        <v>12</v>
      </c>
      <c r="IG240" s="254">
        <f>Konvention_1slave-CHslave</f>
        <v>12</v>
      </c>
      <c r="IH240" s="254"/>
      <c r="II240" s="254"/>
      <c r="IJ240" s="254">
        <f t="shared" si="1775"/>
        <v>12</v>
      </c>
      <c r="IK240" s="318"/>
      <c r="IL240" s="223">
        <f t="shared" si="1726"/>
        <v>12</v>
      </c>
      <c r="IM240" s="223">
        <f t="shared" si="1727"/>
        <v>24</v>
      </c>
      <c r="IN240" s="224">
        <f t="shared" si="1728"/>
        <v>36</v>
      </c>
      <c r="IO240" s="237">
        <f t="shared" si="1611"/>
        <v>2304</v>
      </c>
      <c r="IP240" s="254">
        <f>IF240*IG240*KOslave+IF240*CHslave*IJ240+INslave*IG240*IJ240</f>
        <v>3456</v>
      </c>
      <c r="IQ240" s="224">
        <f t="shared" si="1729"/>
        <v>1728</v>
      </c>
      <c r="IR240" s="224">
        <f>SUM(IO240:IQ240)</f>
        <v>7488</v>
      </c>
      <c r="IS240" s="222">
        <f t="shared" si="1731"/>
        <v>3.6923076923076925</v>
      </c>
      <c r="IT240" s="223">
        <f t="shared" si="1732"/>
        <v>11.076923076923077</v>
      </c>
      <c r="IU240" s="243">
        <f t="shared" si="1733"/>
        <v>8.3076923076923084</v>
      </c>
      <c r="IV240" s="243">
        <f t="shared" si="1734"/>
        <v>23.07692307692308</v>
      </c>
      <c r="IW240" s="252">
        <f t="shared" si="1612"/>
        <v>0</v>
      </c>
      <c r="IX240" s="309">
        <f t="shared" si="1735"/>
        <v>23.07692307692308</v>
      </c>
      <c r="IY240" s="218">
        <f>IF(IV240&lt;=0,3,0)+IF(IV240&gt;0,IV240+1,0)*3+IF(IV240&gt;12,IV240-12,0)*3+IF(IV240&gt;13,IV240-13,0)*3+IF(IV240&gt;14,IV240-14,0)*3+IF(IV240&gt;15,IV240-15,0)*3+IF(IV240&gt;16,IV240-16,0)*3+IF(IV240&gt;17,IV240-17,0)*3+IF(IV240&gt;18,IV240-18,0)*3+IF(IV240&gt;19,IV240-19,0)*3+IF(IV240&gt;20,IV240-20,0)*3</f>
        <v>263.30769230769232</v>
      </c>
      <c r="IZ240" s="242">
        <f>IF(IW240&lt;=0,3,0)+IF(IW240&gt;0,IW240+1,0)*3+IF(IW240&gt;12,IW240-12,0)*3+IF(IW240&gt;13,IW240-13,0)*3+IF(IW240&gt;14,IW240-14,0)*3+IF(IW240&gt;15,IW240-15,0)*3+IF(IW240&gt;16,IW240-16,0)*3+IF(IW240&gt;17,IW240-17,0)*3+IF(IW240&gt;18,IW240-18,0)*3+IF(IW240&gt;19,IW240-19,0)*3+IF(IW240&gt;20,IW240-20,0)*3</f>
        <v>3</v>
      </c>
      <c r="JA240" s="243">
        <f t="shared" si="1736"/>
        <v>260.30769230769232</v>
      </c>
      <c r="JB240" s="218">
        <f t="shared" si="1737"/>
        <v>0</v>
      </c>
      <c r="JE240" s="148"/>
    </row>
    <row r="241" spans="2:265" hidden="1" outlineLevel="2">
      <c r="B241" s="148">
        <v>29</v>
      </c>
      <c r="C241" s="303" t="e">
        <f>VLOOKUP(AF241,Attribute!C:T,1,FALSE)</f>
        <v>#N/A</v>
      </c>
      <c r="D241" s="125" t="s">
        <v>84</v>
      </c>
      <c r="E241" s="127" t="s">
        <v>132</v>
      </c>
      <c r="F241" s="114">
        <f>Konvention_1master-MUmaster</f>
        <v>12</v>
      </c>
      <c r="G241" s="113">
        <f>Konvention_1master-KLmaster</f>
        <v>12</v>
      </c>
      <c r="H241" s="113"/>
      <c r="I241" s="113">
        <f>Konvention_1master-CHmaster</f>
        <v>12</v>
      </c>
      <c r="J241" s="113"/>
      <c r="K241" s="113"/>
      <c r="L241" s="113"/>
      <c r="M241" s="119"/>
      <c r="N241" s="223">
        <f>(F241+G241+H241+I241+J241+K241+L241+M241)/3</f>
        <v>12</v>
      </c>
      <c r="O241" s="223">
        <f>2*N241</f>
        <v>24</v>
      </c>
      <c r="P241" s="224">
        <f>3*N241</f>
        <v>36</v>
      </c>
      <c r="Q241" s="237">
        <f>F241*POWER(KLmaster,SIGN(G241))*POWER(INmaster,SIGN(H241))*POWER(CHmaster,SIGN(I241))*POWER(FFmaster,SIGN(J241))*POWER(GEmaster,SIGN(K241))*POWER(KOmaster,SIGN(L241))*POWER(KKmaster,SIGN(M241))+G241*POWER(MUmaster,SIGN(F241))*POWER(INmaster,SIGN(H241))*POWER(CHmaster,SIGN(I241))*POWER(FFmaster,SIGN(J241))*POWER(GEmaster,SIGN(K241))*POWER(KOmaster,SIGN(L241))*POWER(KKmaster,SIGN(M241))+H241*POWER(MUmaster,SIGN(F241))*POWER(KLmaster,SIGN(G241))*POWER(CHmaster,SIGN(I241))*POWER(FFmaster,SIGN(J241))*POWER(GEmaster,SIGN(K241))*POWER(KOmaster,SIGN(L241))*POWER(KKmaster,SIGN(M241))+I241*POWER(MUmaster,SIGN(F241))*POWER(KLmaster,SIGN(G241))*POWER(INmaster,SIGN(H241))*POWER(FFmaster,SIGN(J241))*POWER(GEmaster,SIGN(K241))*POWER(KOmaster,SIGN(L241))*POWER(KKmaster,SIGN(M241))+J241*POWER(MUmaster,SIGN(F241))*POWER(KLmaster,SIGN(G241))*POWER(INmaster,SIGN(H241))*POWER(CHmaster,SIGN(I241))*POWER(GEmaster,SIGN(K241))*POWER(KOmaster,SIGN(L241))*POWER(KKmaster,SIGN(M241))+K241*POWER(MUmaster,SIGN(F241))*POWER(KLmaster,SIGN(G241))*POWER(INmaster,SIGN(H241))*POWER(CHmaster,SIGN(I241))*POWER(FFmaster,SIGN(J241))*POWER(KOmaster,SIGN(L241))*POWER(KKmaster,SIGN(M241))+L241*POWER(MUmaster,SIGN(F241))*POWER(KLmaster,SIGN(G241))*POWER(INmaster,SIGN(H241))*POWER(CHmaster,SIGN(I241))*POWER(FFmaster,SIGN(J241))*POWER(GEmaster,SIGN(K241))*POWER(KKmaster,SIGN(M241))+M241*POWER(MUmaster,SIGN(F241))*POWER(KLmaster,SIGN(G241))*POWER(INmaster,SIGN(H241))*POWER(CHmaster,SIGN(I241))*POWER(FFmaster,SIGN(J241))*POWER(GEmaster,SIGN(K241))*POWER(KOmaster,SIGN(L241))</f>
        <v>2304</v>
      </c>
      <c r="R241" s="113">
        <f>F241*G241*CHmaster+F241*KLmaster*I241+MUmaster*G241*I241</f>
        <v>3456</v>
      </c>
      <c r="S241" s="224">
        <f>IFERROR(F241^SIGN(F241),1)*IFERROR(G241^SIGN(G241),1)*IFERROR(H241^SIGN(H241),1)*IFERROR(I241^SIGN(I241),1)*IFERROR(J241^SIGN(J241),1)*IFERROR(K241^SIGN(K241),1)*IFERROR(L241^SIGN(L241),1)*IFERROR(M241^SIGN(M241),1)</f>
        <v>1728</v>
      </c>
      <c r="T241" s="224">
        <f>SUM(Q241:S241)</f>
        <v>7488</v>
      </c>
      <c r="U241" s="222">
        <f>N241*Q241/T241</f>
        <v>3.6923076923076925</v>
      </c>
      <c r="V241" s="223">
        <f>O241*R241/T241</f>
        <v>11.076923076923077</v>
      </c>
      <c r="W241" s="243">
        <f>P241*S241/T241</f>
        <v>8.3076923076923084</v>
      </c>
      <c r="X241" s="243">
        <f>SUM(U241:W241)</f>
        <v>23.07692307692308</v>
      </c>
      <c r="Y241" s="252">
        <v>0</v>
      </c>
      <c r="Z241" s="198">
        <f>X241-Y241</f>
        <v>23.07692307692308</v>
      </c>
      <c r="AA241" s="125">
        <f>IF(X241&lt;=0,2,0)+IF(X241&gt;0,X241+1,0)*2+IF(X241&gt;12,X241-12,0)*2+IF(X241&gt;13,X241-13,0)*2+IF(X241&gt;14,X241-14,0)*2+IF(X241&gt;15,X241-15,0)*2+IF(X241&gt;16,X241-16,0)*2+IF(X241&gt;17,X241-17,0)*2+IF(X241&gt;18,X241-18,0)*2+IF(X241&gt;19,X241-19,0)*2+IF(X241&gt;20,X241-20,0)*2</f>
        <v>175.5384615384616</v>
      </c>
      <c r="AB241" s="160">
        <f>IF(Y241&lt;=0,2,0)+IF(Y241&gt;0,Y241+1,0)*2+IF(Y241&gt;12,Y241-12,0)*2+IF(Y241&gt;13,Y241-13,0)*2+IF(Y241&gt;14,Y241-14,0)*2+IF(Y241&gt;15,Y241-15,0)*2+IF(Y241&gt;16,Y241-16,0)*2+IF(Y241&gt;17,Y241-17,0)*2+IF(Y241&gt;18,Y241-18,0)*2+IF(Y241&gt;19,Y241-19,0)*2+IF(Y241&gt;20,Y241-20,0)*2</f>
        <v>2</v>
      </c>
      <c r="AC241" s="127">
        <f>IF((AA241-AB241)&gt;0,AA241-AB241,0)</f>
        <v>173.5384615384616</v>
      </c>
      <c r="AD241" s="125">
        <f>IF((AB241-AA241)&gt;0,AB241-AA241,0)</f>
        <v>0</v>
      </c>
      <c r="AF241" s="163" t="s">
        <v>396</v>
      </c>
      <c r="AG241" s="125" t="s">
        <v>84</v>
      </c>
      <c r="AH241" s="127" t="s">
        <v>132</v>
      </c>
      <c r="AI241" s="114">
        <f>Konvention_1slave-MUslave_MU</f>
        <v>11</v>
      </c>
      <c r="AJ241" s="113">
        <f>Konvention_1slave-KLslave</f>
        <v>12</v>
      </c>
      <c r="AK241" s="113"/>
      <c r="AL241" s="113">
        <f>Konvention_1slave-CHslave</f>
        <v>12</v>
      </c>
      <c r="AM241" s="113"/>
      <c r="AN241" s="113"/>
      <c r="AO241" s="113"/>
      <c r="AP241" s="119"/>
      <c r="AQ241" s="47">
        <f>(AI241+AJ241+AK241+AL241+AM241+AN241+AO241+AP241)/3</f>
        <v>11.666666666666666</v>
      </c>
      <c r="AR241" s="47">
        <f>2*AQ241</f>
        <v>23.333333333333332</v>
      </c>
      <c r="AS241" s="119">
        <f>3*AQ241</f>
        <v>35</v>
      </c>
      <c r="AT241" s="114">
        <f t="shared" si="1597"/>
        <v>2432</v>
      </c>
      <c r="AU241" s="113">
        <f>AI241*AJ241*CHslave+AI241*KLslave*AL241+MUslave_MU*AJ241*AL241</f>
        <v>3408</v>
      </c>
      <c r="AV241" s="119">
        <f>IFERROR(AI241^SIGN(AI241),1)*IFERROR(AJ241^SIGN(AJ241),1)*IFERROR(AK241^SIGN(AK241),1)*IFERROR(AL241^SIGN(AL241),1)*IFERROR(AM241^SIGN(AM241),1)*IFERROR(AN241^SIGN(AN241),1)*IFERROR(AO241^SIGN(AO241),1)*IFERROR(AP241^SIGN(AP241),1)</f>
        <v>1584</v>
      </c>
      <c r="AW241" s="119">
        <f>SUM(AT241:AV241)</f>
        <v>7424</v>
      </c>
      <c r="AX241" s="89">
        <f>AQ241*AT241/AW241</f>
        <v>3.8218390804597702</v>
      </c>
      <c r="AY241" s="47">
        <f>AR241*AU241/AW241</f>
        <v>10.711206896551724</v>
      </c>
      <c r="AZ241" s="127">
        <f>AS241*AV241/AW241</f>
        <v>7.4676724137931032</v>
      </c>
      <c r="BA241" s="127">
        <f>SUM(AX241:AZ241)</f>
        <v>22.000718390804597</v>
      </c>
      <c r="BB241" s="165">
        <f t="shared" si="1598"/>
        <v>0</v>
      </c>
      <c r="BC241" s="198">
        <f>BA241-BB241</f>
        <v>22.000718390804597</v>
      </c>
      <c r="BD241" s="125">
        <f>IF(BA241&lt;=0,2,0)+IF(BA241&gt;0,BA241+1,0)*2+IF(BA241&gt;12,BA241-12,0)*2+IF(BA241&gt;13,BA241-13,0)*2+IF(BA241&gt;14,BA241-14,0)*2+IF(BA241&gt;15,BA241-15,0)*2+IF(BA241&gt;16,BA241-16,0)*2+IF(BA241&gt;17,BA241-17,0)*2+IF(BA241&gt;18,BA241-18,0)*2+IF(BA241&gt;19,BA241-19,0)*2+IF(BA241&gt;20,BA241-20,0)*2</f>
        <v>154.01436781609189</v>
      </c>
      <c r="BE241" s="160">
        <f>IF(BB241&lt;=0,2,0)+IF(BB241&gt;0,BB241+1,0)*2+IF(BB241&gt;12,BB241-12,0)*2+IF(BB241&gt;13,BB241-13,0)*2+IF(BB241&gt;14,BB241-14,0)*2+IF(BB241&gt;15,BB241-15,0)*2+IF(BB241&gt;16,BB241-16,0)*2+IF(BB241&gt;17,BB241-17,0)*2+IF(BB241&gt;18,BB241-18,0)*2+IF(BB241&gt;19,BB241-19,0)*2+IF(BB241&gt;20,BB241-20,0)*2</f>
        <v>2</v>
      </c>
      <c r="BF241" s="243">
        <f>IF((BD241-BE241)&gt;0,BD241-BE241,0)</f>
        <v>152.01436781609189</v>
      </c>
      <c r="BG241" s="218">
        <f>IF((BE241-BD241)&gt;0,BE241-BD241,0)</f>
        <v>0</v>
      </c>
      <c r="BI241" s="303" t="s">
        <v>396</v>
      </c>
      <c r="BJ241" s="218" t="s">
        <v>84</v>
      </c>
      <c r="BK241" s="243" t="s">
        <v>132</v>
      </c>
      <c r="BL241" s="237">
        <f>Konvention_1slave-MUslave</f>
        <v>12</v>
      </c>
      <c r="BM241" s="234">
        <f>Konvention_1slave-KLslave_KL</f>
        <v>11</v>
      </c>
      <c r="BN241" s="234"/>
      <c r="BO241" s="234">
        <f>Konvention_1slave-CHslave</f>
        <v>12</v>
      </c>
      <c r="BP241" s="234"/>
      <c r="BQ241" s="234"/>
      <c r="BR241" s="234"/>
      <c r="BS241" s="224"/>
      <c r="BT241" s="223">
        <f>(BL241+BM241+BN241+BO241+BP241+BQ241+BR241+BS241)/3</f>
        <v>11.666666666666666</v>
      </c>
      <c r="BU241" s="223">
        <f>2*BT241</f>
        <v>23.333333333333332</v>
      </c>
      <c r="BV241" s="224">
        <f>3*BT241</f>
        <v>35</v>
      </c>
      <c r="BW241" s="237">
        <f t="shared" si="1599"/>
        <v>2432</v>
      </c>
      <c r="BX241" s="234">
        <f>BL241*BM241*CHslave+BL241*KLslave_KL*BO241+MUslave*BM241*BO241</f>
        <v>3408</v>
      </c>
      <c r="BY241" s="224">
        <f>IFERROR(BL241^SIGN(BL241),1)*IFERROR(BM241^SIGN(BM241),1)*IFERROR(BN241^SIGN(BN241),1)*IFERROR(BO241^SIGN(BO241),1)*IFERROR(BP241^SIGN(BP241),1)*IFERROR(BQ241^SIGN(BQ241),1)*IFERROR(BR241^SIGN(BR241),1)*IFERROR(BS241^SIGN(BS241),1)</f>
        <v>1584</v>
      </c>
      <c r="BZ241" s="224">
        <f>SUM(BW241:BY241)</f>
        <v>7424</v>
      </c>
      <c r="CA241" s="222">
        <f>BT241*BW241/BZ241</f>
        <v>3.8218390804597702</v>
      </c>
      <c r="CB241" s="223">
        <f>BU241*BX241/BZ241</f>
        <v>10.711206896551724</v>
      </c>
      <c r="CC241" s="243">
        <f>BV241*BY241/BZ241</f>
        <v>7.4676724137931032</v>
      </c>
      <c r="CD241" s="243">
        <f>SUM(CA241:CC241)</f>
        <v>22.000718390804597</v>
      </c>
      <c r="CE241" s="252">
        <f t="shared" si="1600"/>
        <v>0</v>
      </c>
      <c r="CF241" s="309">
        <f>CD241-CE241</f>
        <v>22.000718390804597</v>
      </c>
      <c r="CG241" s="218">
        <f>IF(CD241&lt;=0,2,0)+IF(CD241&gt;0,CD241+1,0)*2+IF(CD241&gt;12,CD241-12,0)*2+IF(CD241&gt;13,CD241-13,0)*2+IF(CD241&gt;14,CD241-14,0)*2+IF(CD241&gt;15,CD241-15,0)*2+IF(CD241&gt;16,CD241-16,0)*2+IF(CD241&gt;17,CD241-17,0)*2+IF(CD241&gt;18,CD241-18,0)*2+IF(CD241&gt;19,CD241-19,0)*2+IF(CD241&gt;20,CD241-20,0)*2</f>
        <v>154.01436781609189</v>
      </c>
      <c r="CH241" s="242">
        <f>IF(CE241&lt;=0,2,0)+IF(CE241&gt;0,CE241+1,0)*2+IF(CE241&gt;12,CE241-12,0)*2+IF(CE241&gt;13,CE241-13,0)*2+IF(CE241&gt;14,CE241-14,0)*2+IF(CE241&gt;15,CE241-15,0)*2+IF(CE241&gt;16,CE241-16,0)*2+IF(CE241&gt;17,CE241-17,0)*2+IF(CE241&gt;18,CE241-18,0)*2+IF(CE241&gt;19,CE241-19,0)*2+IF(CE241&gt;20,CE241-20,0)*2</f>
        <v>2</v>
      </c>
      <c r="CI241" s="243">
        <f>IF((CG241-CH241)&gt;0,CG241-CH241,0)</f>
        <v>152.01436781609189</v>
      </c>
      <c r="CJ241" s="218">
        <f>IF((CH241-CG241)&gt;0,CH241-CG241,0)</f>
        <v>0</v>
      </c>
      <c r="CL241" s="303" t="s">
        <v>396</v>
      </c>
      <c r="CM241" s="218" t="s">
        <v>84</v>
      </c>
      <c r="CN241" s="243" t="s">
        <v>132</v>
      </c>
      <c r="CO241" s="237">
        <f>Konvention_1slave-MUslave</f>
        <v>12</v>
      </c>
      <c r="CP241" s="234">
        <f>Konvention_1slave-KLslave</f>
        <v>12</v>
      </c>
      <c r="CQ241" s="234"/>
      <c r="CR241" s="234">
        <f>Konvention_1slave-CHslave</f>
        <v>12</v>
      </c>
      <c r="CS241" s="234"/>
      <c r="CT241" s="234"/>
      <c r="CU241" s="234"/>
      <c r="CV241" s="224"/>
      <c r="CW241" s="223">
        <f>(CO241+CP241+CQ241+CR241+CS241+CT241+CU241+CV241)/3</f>
        <v>12</v>
      </c>
      <c r="CX241" s="223">
        <f>2*CW241</f>
        <v>24</v>
      </c>
      <c r="CY241" s="224">
        <f>3*CW241</f>
        <v>36</v>
      </c>
      <c r="CZ241" s="237">
        <f t="shared" si="1601"/>
        <v>2304</v>
      </c>
      <c r="DA241" s="234">
        <f>CO241*CP241*CHslave+CO241*KLslave*CR241+MUslave*CP241*CR241</f>
        <v>3456</v>
      </c>
      <c r="DB241" s="224">
        <f>IFERROR(CO241^SIGN(CO241),1)*IFERROR(CP241^SIGN(CP241),1)*IFERROR(CQ241^SIGN(CQ241),1)*IFERROR(CR241^SIGN(CR241),1)*IFERROR(CS241^SIGN(CS241),1)*IFERROR(CT241^SIGN(CT241),1)*IFERROR(CU241^SIGN(CU241),1)*IFERROR(CV241^SIGN(CV241),1)</f>
        <v>1728</v>
      </c>
      <c r="DC241" s="224">
        <f>SUM(CZ241:DB241)</f>
        <v>7488</v>
      </c>
      <c r="DD241" s="222">
        <f>CW241*CZ241/DC241</f>
        <v>3.6923076923076925</v>
      </c>
      <c r="DE241" s="223">
        <f>CX241*DA241/DC241</f>
        <v>11.076923076923077</v>
      </c>
      <c r="DF241" s="243">
        <f>CY241*DB241/DC241</f>
        <v>8.3076923076923084</v>
      </c>
      <c r="DG241" s="243">
        <f>SUM(DD241:DF241)</f>
        <v>23.07692307692308</v>
      </c>
      <c r="DH241" s="252">
        <f t="shared" si="1602"/>
        <v>0</v>
      </c>
      <c r="DI241" s="309">
        <f>DG241-DH241</f>
        <v>23.07692307692308</v>
      </c>
      <c r="DJ241" s="218">
        <f>IF(DG241&lt;=0,2,0)+IF(DG241&gt;0,DG241+1,0)*2+IF(DG241&gt;12,DG241-12,0)*2+IF(DG241&gt;13,DG241-13,0)*2+IF(DG241&gt;14,DG241-14,0)*2+IF(DG241&gt;15,DG241-15,0)*2+IF(DG241&gt;16,DG241-16,0)*2+IF(DG241&gt;17,DG241-17,0)*2+IF(DG241&gt;18,DG241-18,0)*2+IF(DG241&gt;19,DG241-19,0)*2+IF(DG241&gt;20,DG241-20,0)*2</f>
        <v>175.5384615384616</v>
      </c>
      <c r="DK241" s="242">
        <f>IF(DH241&lt;=0,2,0)+IF(DH241&gt;0,DH241+1,0)*2+IF(DH241&gt;12,DH241-12,0)*2+IF(DH241&gt;13,DH241-13,0)*2+IF(DH241&gt;14,DH241-14,0)*2+IF(DH241&gt;15,DH241-15,0)*2+IF(DH241&gt;16,DH241-16,0)*2+IF(DH241&gt;17,DH241-17,0)*2+IF(DH241&gt;18,DH241-18,0)*2+IF(DH241&gt;19,DH241-19,0)*2+IF(DH241&gt;20,DH241-20,0)*2</f>
        <v>2</v>
      </c>
      <c r="DL241" s="243">
        <f>IF((DJ241-DK241)&gt;0,DJ241-DK241,0)</f>
        <v>173.5384615384616</v>
      </c>
      <c r="DM241" s="218">
        <f>IF((DK241-DJ241)&gt;0,DK241-DJ241,0)</f>
        <v>0</v>
      </c>
      <c r="DO241" s="303" t="s">
        <v>396</v>
      </c>
      <c r="DP241" s="218" t="s">
        <v>84</v>
      </c>
      <c r="DQ241" s="243" t="s">
        <v>132</v>
      </c>
      <c r="DR241" s="237">
        <f>Konvention_1slave-MUslave</f>
        <v>12</v>
      </c>
      <c r="DS241" s="234">
        <f>Konvention_1slave-KLslave</f>
        <v>12</v>
      </c>
      <c r="DT241" s="234"/>
      <c r="DU241" s="234">
        <f>Konvention_1slave-CHslave_CH</f>
        <v>11</v>
      </c>
      <c r="DV241" s="234"/>
      <c r="DW241" s="234"/>
      <c r="DX241" s="234"/>
      <c r="DY241" s="224"/>
      <c r="DZ241" s="223">
        <f>(DR241+DS241+DT241+DU241+DV241+DW241+DX241+DY241)/3</f>
        <v>11.666666666666666</v>
      </c>
      <c r="EA241" s="223">
        <f>2*DZ241</f>
        <v>23.333333333333332</v>
      </c>
      <c r="EB241" s="224">
        <f>3*DZ241</f>
        <v>35</v>
      </c>
      <c r="EC241" s="237">
        <f t="shared" si="1603"/>
        <v>2432</v>
      </c>
      <c r="ED241" s="234">
        <f>DR241*DS241*CHslave_CH+DR241*KLslave*DU241+MUslave*DS241*DU241</f>
        <v>3408</v>
      </c>
      <c r="EE241" s="224">
        <f>IFERROR(DR241^SIGN(DR241),1)*IFERROR(DS241^SIGN(DS241),1)*IFERROR(DT241^SIGN(DT241),1)*IFERROR(DU241^SIGN(DU241),1)*IFERROR(DV241^SIGN(DV241),1)*IFERROR(DW241^SIGN(DW241),1)*IFERROR(DX241^SIGN(DX241),1)*IFERROR(DY241^SIGN(DY241),1)</f>
        <v>1584</v>
      </c>
      <c r="EF241" s="224">
        <f>SUM(EC241:EE241)</f>
        <v>7424</v>
      </c>
      <c r="EG241" s="222">
        <f>DZ241*EC241/EF241</f>
        <v>3.8218390804597702</v>
      </c>
      <c r="EH241" s="223">
        <f>EA241*ED241/EF241</f>
        <v>10.711206896551724</v>
      </c>
      <c r="EI241" s="243">
        <f>EB241*EE241/EF241</f>
        <v>7.4676724137931032</v>
      </c>
      <c r="EJ241" s="243">
        <f>SUM(EG241:EI241)</f>
        <v>22.000718390804597</v>
      </c>
      <c r="EK241" s="252">
        <f t="shared" si="1604"/>
        <v>0</v>
      </c>
      <c r="EL241" s="309">
        <f>EJ241-EK241</f>
        <v>22.000718390804597</v>
      </c>
      <c r="EM241" s="218">
        <f>IF(EJ241&lt;=0,2,0)+IF(EJ241&gt;0,EJ241+1,0)*2+IF(EJ241&gt;12,EJ241-12,0)*2+IF(EJ241&gt;13,EJ241-13,0)*2+IF(EJ241&gt;14,EJ241-14,0)*2+IF(EJ241&gt;15,EJ241-15,0)*2+IF(EJ241&gt;16,EJ241-16,0)*2+IF(EJ241&gt;17,EJ241-17,0)*2+IF(EJ241&gt;18,EJ241-18,0)*2+IF(EJ241&gt;19,EJ241-19,0)*2+IF(EJ241&gt;20,EJ241-20,0)*2</f>
        <v>154.01436781609189</v>
      </c>
      <c r="EN241" s="242">
        <f>IF(EK241&lt;=0,2,0)+IF(EK241&gt;0,EK241+1,0)*2+IF(EK241&gt;12,EK241-12,0)*2+IF(EK241&gt;13,EK241-13,0)*2+IF(EK241&gt;14,EK241-14,0)*2+IF(EK241&gt;15,EK241-15,0)*2+IF(EK241&gt;16,EK241-16,0)*2+IF(EK241&gt;17,EK241-17,0)*2+IF(EK241&gt;18,EK241-18,0)*2+IF(EK241&gt;19,EK241-19,0)*2+IF(EK241&gt;20,EK241-20,0)*2</f>
        <v>2</v>
      </c>
      <c r="EO241" s="243">
        <f>IF((EM241-EN241)&gt;0,EM241-EN241,0)</f>
        <v>152.01436781609189</v>
      </c>
      <c r="EP241" s="218">
        <f>IF((EN241-EM241)&gt;0,EN241-EM241,0)</f>
        <v>0</v>
      </c>
      <c r="ER241" s="303" t="s">
        <v>396</v>
      </c>
      <c r="ES241" s="218" t="s">
        <v>84</v>
      </c>
      <c r="ET241" s="243" t="s">
        <v>132</v>
      </c>
      <c r="EU241" s="237">
        <f>Konvention_1slave-MUslave</f>
        <v>12</v>
      </c>
      <c r="EV241" s="234">
        <f>Konvention_1slave-KLslave</f>
        <v>12</v>
      </c>
      <c r="EW241" s="234"/>
      <c r="EX241" s="234">
        <f>Konvention_1slave-CHslave</f>
        <v>12</v>
      </c>
      <c r="EY241" s="234"/>
      <c r="EZ241" s="234"/>
      <c r="FA241" s="234"/>
      <c r="FB241" s="224"/>
      <c r="FC241" s="223">
        <f>(EU241+EV241+EW241+EX241+EY241+EZ241+FA241+FB241)/3</f>
        <v>12</v>
      </c>
      <c r="FD241" s="223">
        <f>2*FC241</f>
        <v>24</v>
      </c>
      <c r="FE241" s="224">
        <f>3*FC241</f>
        <v>36</v>
      </c>
      <c r="FF241" s="237">
        <f t="shared" si="1605"/>
        <v>2304</v>
      </c>
      <c r="FG241" s="234">
        <f>EU241*EV241*CHslave+EU241*KLslave*EX241+MUslave*EV241*EX241</f>
        <v>3456</v>
      </c>
      <c r="FH241" s="224">
        <f>IFERROR(EU241^SIGN(EU241),1)*IFERROR(EV241^SIGN(EV241),1)*IFERROR(EW241^SIGN(EW241),1)*IFERROR(EX241^SIGN(EX241),1)*IFERROR(EY241^SIGN(EY241),1)*IFERROR(EZ241^SIGN(EZ241),1)*IFERROR(FA241^SIGN(FA241),1)*IFERROR(FB241^SIGN(FB241),1)</f>
        <v>1728</v>
      </c>
      <c r="FI241" s="224">
        <f>SUM(FF241:FH241)</f>
        <v>7488</v>
      </c>
      <c r="FJ241" s="222">
        <f>FC241*FF241/FI241</f>
        <v>3.6923076923076925</v>
      </c>
      <c r="FK241" s="223">
        <f>FD241*FG241/FI241</f>
        <v>11.076923076923077</v>
      </c>
      <c r="FL241" s="243">
        <f>FE241*FH241/FI241</f>
        <v>8.3076923076923084</v>
      </c>
      <c r="FM241" s="243">
        <f>SUM(FJ241:FL241)</f>
        <v>23.07692307692308</v>
      </c>
      <c r="FN241" s="252">
        <f t="shared" si="1606"/>
        <v>0</v>
      </c>
      <c r="FO241" s="309">
        <f>FM241-FN241</f>
        <v>23.07692307692308</v>
      </c>
      <c r="FP241" s="218">
        <f>IF(FM241&lt;=0,2,0)+IF(FM241&gt;0,FM241+1,0)*2+IF(FM241&gt;12,FM241-12,0)*2+IF(FM241&gt;13,FM241-13,0)*2+IF(FM241&gt;14,FM241-14,0)*2+IF(FM241&gt;15,FM241-15,0)*2+IF(FM241&gt;16,FM241-16,0)*2+IF(FM241&gt;17,FM241-17,0)*2+IF(FM241&gt;18,FM241-18,0)*2+IF(FM241&gt;19,FM241-19,0)*2+IF(FM241&gt;20,FM241-20,0)*2</f>
        <v>175.5384615384616</v>
      </c>
      <c r="FQ241" s="242">
        <f>IF(FN241&lt;=0,2,0)+IF(FN241&gt;0,FN241+1,0)*2+IF(FN241&gt;12,FN241-12,0)*2+IF(FN241&gt;13,FN241-13,0)*2+IF(FN241&gt;14,FN241-14,0)*2+IF(FN241&gt;15,FN241-15,0)*2+IF(FN241&gt;16,FN241-16,0)*2+IF(FN241&gt;17,FN241-17,0)*2+IF(FN241&gt;18,FN241-18,0)*2+IF(FN241&gt;19,FN241-19,0)*2+IF(FN241&gt;20,FN241-20,0)*2</f>
        <v>2</v>
      </c>
      <c r="FR241" s="243">
        <f>IF((FP241-FQ241)&gt;0,FP241-FQ241,0)</f>
        <v>173.5384615384616</v>
      </c>
      <c r="FS241" s="218">
        <f>IF((FQ241-FP241)&gt;0,FQ241-FP241,0)</f>
        <v>0</v>
      </c>
      <c r="FU241" s="303" t="s">
        <v>396</v>
      </c>
      <c r="FV241" s="218" t="s">
        <v>84</v>
      </c>
      <c r="FW241" s="243" t="s">
        <v>132</v>
      </c>
      <c r="FX241" s="237">
        <f>Konvention_1slave-MUslave</f>
        <v>12</v>
      </c>
      <c r="FY241" s="234">
        <f>Konvention_1slave-KLslave</f>
        <v>12</v>
      </c>
      <c r="FZ241" s="234"/>
      <c r="GA241" s="234">
        <f>Konvention_1slave-CHslave</f>
        <v>12</v>
      </c>
      <c r="GB241" s="234"/>
      <c r="GC241" s="234"/>
      <c r="GD241" s="234"/>
      <c r="GE241" s="224"/>
      <c r="GF241" s="223">
        <f>(FX241+FY241+FZ241+GA241+GB241+GC241+GD241+GE241)/3</f>
        <v>12</v>
      </c>
      <c r="GG241" s="223">
        <f>2*GF241</f>
        <v>24</v>
      </c>
      <c r="GH241" s="224">
        <f>3*GF241</f>
        <v>36</v>
      </c>
      <c r="GI241" s="237">
        <f t="shared" si="1607"/>
        <v>2304</v>
      </c>
      <c r="GJ241" s="234">
        <f>FX241*FY241*CHslave+FX241*KLslave*GA241+MUslave*FY241*GA241</f>
        <v>3456</v>
      </c>
      <c r="GK241" s="224">
        <f>IFERROR(FX241^SIGN(FX241),1)*IFERROR(FY241^SIGN(FY241),1)*IFERROR(FZ241^SIGN(FZ241),1)*IFERROR(GA241^SIGN(GA241),1)*IFERROR(GB241^SIGN(GB241),1)*IFERROR(GC241^SIGN(GC241),1)*IFERROR(GD241^SIGN(GD241),1)*IFERROR(GE241^SIGN(GE241),1)</f>
        <v>1728</v>
      </c>
      <c r="GL241" s="224">
        <f>SUM(GI241:GK241)</f>
        <v>7488</v>
      </c>
      <c r="GM241" s="222">
        <f>GF241*GI241/GL241</f>
        <v>3.6923076923076925</v>
      </c>
      <c r="GN241" s="223">
        <f>GG241*GJ241/GL241</f>
        <v>11.076923076923077</v>
      </c>
      <c r="GO241" s="243">
        <f>GH241*GK241/GL241</f>
        <v>8.3076923076923084</v>
      </c>
      <c r="GP241" s="243">
        <f>SUM(GM241:GO241)</f>
        <v>23.07692307692308</v>
      </c>
      <c r="GQ241" s="252">
        <f t="shared" si="1608"/>
        <v>0</v>
      </c>
      <c r="GR241" s="309">
        <f>GP241-GQ241</f>
        <v>23.07692307692308</v>
      </c>
      <c r="GS241" s="218">
        <f>IF(GP241&lt;=0,2,0)+IF(GP241&gt;0,GP241+1,0)*2+IF(GP241&gt;12,GP241-12,0)*2+IF(GP241&gt;13,GP241-13,0)*2+IF(GP241&gt;14,GP241-14,0)*2+IF(GP241&gt;15,GP241-15,0)*2+IF(GP241&gt;16,GP241-16,0)*2+IF(GP241&gt;17,GP241-17,0)*2+IF(GP241&gt;18,GP241-18,0)*2+IF(GP241&gt;19,GP241-19,0)*2+IF(GP241&gt;20,GP241-20,0)*2</f>
        <v>175.5384615384616</v>
      </c>
      <c r="GT241" s="242">
        <f>IF(GQ241&lt;=0,2,0)+IF(GQ241&gt;0,GQ241+1,0)*2+IF(GQ241&gt;12,GQ241-12,0)*2+IF(GQ241&gt;13,GQ241-13,0)*2+IF(GQ241&gt;14,GQ241-14,0)*2+IF(GQ241&gt;15,GQ241-15,0)*2+IF(GQ241&gt;16,GQ241-16,0)*2+IF(GQ241&gt;17,GQ241-17,0)*2+IF(GQ241&gt;18,GQ241-18,0)*2+IF(GQ241&gt;19,GQ241-19,0)*2+IF(GQ241&gt;20,GQ241-20,0)*2</f>
        <v>2</v>
      </c>
      <c r="GU241" s="243">
        <f>IF((GS241-GT241)&gt;0,GS241-GT241,0)</f>
        <v>173.5384615384616</v>
      </c>
      <c r="GV241" s="218">
        <f>IF((GT241-GS241)&gt;0,GT241-GS241,0)</f>
        <v>0</v>
      </c>
      <c r="GX241" s="303" t="s">
        <v>396</v>
      </c>
      <c r="GY241" s="218" t="s">
        <v>84</v>
      </c>
      <c r="GZ241" s="243" t="s">
        <v>132</v>
      </c>
      <c r="HA241" s="237">
        <f>Konvention_1slave-MUslave</f>
        <v>12</v>
      </c>
      <c r="HB241" s="234">
        <f>Konvention_1slave-KLslave</f>
        <v>12</v>
      </c>
      <c r="HC241" s="234"/>
      <c r="HD241" s="234">
        <f>Konvention_1slave-CHslave</f>
        <v>12</v>
      </c>
      <c r="HE241" s="234"/>
      <c r="HF241" s="234"/>
      <c r="HG241" s="234"/>
      <c r="HH241" s="224"/>
      <c r="HI241" s="223">
        <f>(HA241+HB241+HC241+HD241+HE241+HF241+HG241+HH241)/3</f>
        <v>12</v>
      </c>
      <c r="HJ241" s="223">
        <f>2*HI241</f>
        <v>24</v>
      </c>
      <c r="HK241" s="224">
        <f>3*HI241</f>
        <v>36</v>
      </c>
      <c r="HL241" s="237">
        <f t="shared" si="1609"/>
        <v>2304</v>
      </c>
      <c r="HM241" s="234">
        <f>HA241*HB241*CHslave+HA241*KLslave*HD241+MUslave*HB241*HD241</f>
        <v>3456</v>
      </c>
      <c r="HN241" s="224">
        <f>IFERROR(HA241^SIGN(HA241),1)*IFERROR(HB241^SIGN(HB241),1)*IFERROR(HC241^SIGN(HC241),1)*IFERROR(HD241^SIGN(HD241),1)*IFERROR(HE241^SIGN(HE241),1)*IFERROR(HF241^SIGN(HF241),1)*IFERROR(HG241^SIGN(HG241),1)*IFERROR(HH241^SIGN(HH241),1)</f>
        <v>1728</v>
      </c>
      <c r="HO241" s="224">
        <f>SUM(HL241:HN241)</f>
        <v>7488</v>
      </c>
      <c r="HP241" s="222">
        <f>HI241*HL241/HO241</f>
        <v>3.6923076923076925</v>
      </c>
      <c r="HQ241" s="223">
        <f>HJ241*HM241/HO241</f>
        <v>11.076923076923077</v>
      </c>
      <c r="HR241" s="243">
        <f>HK241*HN241/HO241</f>
        <v>8.3076923076923084</v>
      </c>
      <c r="HS241" s="243">
        <f>SUM(HP241:HR241)</f>
        <v>23.07692307692308</v>
      </c>
      <c r="HT241" s="252">
        <f t="shared" si="1610"/>
        <v>0</v>
      </c>
      <c r="HU241" s="309">
        <f>HS241-HT241</f>
        <v>23.07692307692308</v>
      </c>
      <c r="HV241" s="218">
        <f>IF(HS241&lt;=0,2,0)+IF(HS241&gt;0,HS241+1,0)*2+IF(HS241&gt;12,HS241-12,0)*2+IF(HS241&gt;13,HS241-13,0)*2+IF(HS241&gt;14,HS241-14,0)*2+IF(HS241&gt;15,HS241-15,0)*2+IF(HS241&gt;16,HS241-16,0)*2+IF(HS241&gt;17,HS241-17,0)*2+IF(HS241&gt;18,HS241-18,0)*2+IF(HS241&gt;19,HS241-19,0)*2+IF(HS241&gt;20,HS241-20,0)*2</f>
        <v>175.5384615384616</v>
      </c>
      <c r="HW241" s="242">
        <f>IF(HT241&lt;=0,2,0)+IF(HT241&gt;0,HT241+1,0)*2+IF(HT241&gt;12,HT241-12,0)*2+IF(HT241&gt;13,HT241-13,0)*2+IF(HT241&gt;14,HT241-14,0)*2+IF(HT241&gt;15,HT241-15,0)*2+IF(HT241&gt;16,HT241-16,0)*2+IF(HT241&gt;17,HT241-17,0)*2+IF(HT241&gt;18,HT241-18,0)*2+IF(HT241&gt;19,HT241-19,0)*2+IF(HT241&gt;20,HT241-20,0)*2</f>
        <v>2</v>
      </c>
      <c r="HX241" s="243">
        <f>IF((HV241-HW241)&gt;0,HV241-HW241,0)</f>
        <v>173.5384615384616</v>
      </c>
      <c r="HY241" s="218">
        <f>IF((HW241-HV241)&gt;0,HW241-HV241,0)</f>
        <v>0</v>
      </c>
      <c r="IA241" s="303" t="s">
        <v>396</v>
      </c>
      <c r="IB241" s="218" t="s">
        <v>84</v>
      </c>
      <c r="IC241" s="243" t="s">
        <v>132</v>
      </c>
      <c r="ID241" s="237">
        <f>Konvention_1slave-MUslave</f>
        <v>12</v>
      </c>
      <c r="IE241" s="234">
        <f>Konvention_1slave-KLslave</f>
        <v>12</v>
      </c>
      <c r="IF241" s="234"/>
      <c r="IG241" s="234">
        <f>Konvention_1slave-CHslave</f>
        <v>12</v>
      </c>
      <c r="IH241" s="234"/>
      <c r="II241" s="234"/>
      <c r="IJ241" s="234"/>
      <c r="IK241" s="224"/>
      <c r="IL241" s="223">
        <f>(ID241+IE241+IF241+IG241+IH241+II241+IJ241+IK241)/3</f>
        <v>12</v>
      </c>
      <c r="IM241" s="223">
        <f>2*IL241</f>
        <v>24</v>
      </c>
      <c r="IN241" s="224">
        <f>3*IL241</f>
        <v>36</v>
      </c>
      <c r="IO241" s="237">
        <f t="shared" si="1611"/>
        <v>2304</v>
      </c>
      <c r="IP241" s="234">
        <f>ID241*IE241*CHslave+ID241*KLslave*IG241+MUslave*IE241*IG241</f>
        <v>3456</v>
      </c>
      <c r="IQ241" s="224">
        <f>IFERROR(ID241^SIGN(ID241),1)*IFERROR(IE241^SIGN(IE241),1)*IFERROR(IF241^SIGN(IF241),1)*IFERROR(IG241^SIGN(IG241),1)*IFERROR(IH241^SIGN(IH241),1)*IFERROR(II241^SIGN(II241),1)*IFERROR(IJ241^SIGN(IJ241),1)*IFERROR(IK241^SIGN(IK241),1)</f>
        <v>1728</v>
      </c>
      <c r="IR241" s="224">
        <f>SUM(IO241:IQ241)</f>
        <v>7488</v>
      </c>
      <c r="IS241" s="222">
        <f>IL241*IO241/IR241</f>
        <v>3.6923076923076925</v>
      </c>
      <c r="IT241" s="223">
        <f>IM241*IP241/IR241</f>
        <v>11.076923076923077</v>
      </c>
      <c r="IU241" s="243">
        <f>IN241*IQ241/IR241</f>
        <v>8.3076923076923084</v>
      </c>
      <c r="IV241" s="243">
        <f>SUM(IS241:IU241)</f>
        <v>23.07692307692308</v>
      </c>
      <c r="IW241" s="252">
        <f t="shared" si="1612"/>
        <v>0</v>
      </c>
      <c r="IX241" s="309">
        <f>IV241-IW241</f>
        <v>23.07692307692308</v>
      </c>
      <c r="IY241" s="218">
        <f>IF(IV241&lt;=0,2,0)+IF(IV241&gt;0,IV241+1,0)*2+IF(IV241&gt;12,IV241-12,0)*2+IF(IV241&gt;13,IV241-13,0)*2+IF(IV241&gt;14,IV241-14,0)*2+IF(IV241&gt;15,IV241-15,0)*2+IF(IV241&gt;16,IV241-16,0)*2+IF(IV241&gt;17,IV241-17,0)*2+IF(IV241&gt;18,IV241-18,0)*2+IF(IV241&gt;19,IV241-19,0)*2+IF(IV241&gt;20,IV241-20,0)*2</f>
        <v>175.5384615384616</v>
      </c>
      <c r="IZ241" s="242">
        <f>IF(IW241&lt;=0,2,0)+IF(IW241&gt;0,IW241+1,0)*2+IF(IW241&gt;12,IW241-12,0)*2+IF(IW241&gt;13,IW241-13,0)*2+IF(IW241&gt;14,IW241-14,0)*2+IF(IW241&gt;15,IW241-15,0)*2+IF(IW241&gt;16,IW241-16,0)*2+IF(IW241&gt;17,IW241-17,0)*2+IF(IW241&gt;18,IW241-18,0)*2+IF(IW241&gt;19,IW241-19,0)*2+IF(IW241&gt;20,IW241-20,0)*2</f>
        <v>2</v>
      </c>
      <c r="JA241" s="243">
        <f>IF((IY241-IZ241)&gt;0,IY241-IZ241,0)</f>
        <v>173.5384615384616</v>
      </c>
      <c r="JB241" s="218">
        <f>IF((IZ241-IY241)&gt;0,IZ241-IY241,0)</f>
        <v>0</v>
      </c>
      <c r="JE241" s="148"/>
    </row>
    <row r="242" spans="2:265" hidden="1" outlineLevel="2">
      <c r="B242" s="148">
        <v>30</v>
      </c>
      <c r="C242" s="303" t="e">
        <f>VLOOKUP(AF242,Attribute!C:T,1,FALSE)</f>
        <v>#N/A</v>
      </c>
      <c r="D242" s="86" t="s">
        <v>87</v>
      </c>
      <c r="E242" s="127" t="s">
        <v>132</v>
      </c>
      <c r="F242" s="114"/>
      <c r="G242" s="113">
        <f>Konvention_1master-KLmaster</f>
        <v>12</v>
      </c>
      <c r="H242" s="113">
        <f>Konvention_1master-INmaster</f>
        <v>12</v>
      </c>
      <c r="I242" s="113">
        <f>Konvention_1master-CHmaster</f>
        <v>12</v>
      </c>
      <c r="J242" s="113"/>
      <c r="K242" s="113"/>
      <c r="L242" s="113"/>
      <c r="M242" s="119"/>
      <c r="N242" s="223">
        <f t="shared" si="1629"/>
        <v>12</v>
      </c>
      <c r="O242" s="223">
        <f t="shared" si="1630"/>
        <v>24</v>
      </c>
      <c r="P242" s="224">
        <f t="shared" si="1631"/>
        <v>36</v>
      </c>
      <c r="Q242" s="237">
        <f t="shared" si="1632"/>
        <v>2304</v>
      </c>
      <c r="R242" s="113">
        <f>G242*H242*CHmaster+G242*INmaster*I242+KLmaster*H242*I242</f>
        <v>3456</v>
      </c>
      <c r="S242" s="224">
        <f t="shared" si="1633"/>
        <v>1728</v>
      </c>
      <c r="T242" s="224">
        <f t="shared" si="1767"/>
        <v>7488</v>
      </c>
      <c r="U242" s="222">
        <f t="shared" si="1635"/>
        <v>3.6923076923076925</v>
      </c>
      <c r="V242" s="223">
        <f t="shared" si="1636"/>
        <v>11.076923076923077</v>
      </c>
      <c r="W242" s="243">
        <f t="shared" si="1637"/>
        <v>8.3076923076923084</v>
      </c>
      <c r="X242" s="243">
        <f t="shared" si="1638"/>
        <v>23.07692307692308</v>
      </c>
      <c r="Y242" s="252">
        <v>0</v>
      </c>
      <c r="Z242" s="198">
        <f t="shared" si="1639"/>
        <v>23.07692307692308</v>
      </c>
      <c r="AA242" s="125">
        <f>IF(X242&lt;=0,2,0)+IF(X242&gt;0,X242+1,0)*2+IF(X242&gt;12,X242-12,0)*2+IF(X242&gt;13,X242-13,0)*2+IF(X242&gt;14,X242-14,0)*2+IF(X242&gt;15,X242-15,0)*2+IF(X242&gt;16,X242-16,0)*2+IF(X242&gt;17,X242-17,0)*2+IF(X242&gt;18,X242-18,0)*2+IF(X242&gt;19,X242-19,0)*2+IF(X242&gt;20,X242-20,0)*2</f>
        <v>175.5384615384616</v>
      </c>
      <c r="AB242" s="160">
        <f>IF(Y242&lt;=0,2,0)+IF(Y242&gt;0,Y242+1,0)*2+IF(Y242&gt;12,Y242-12,0)*2+IF(Y242&gt;13,Y242-13,0)*2+IF(Y242&gt;14,Y242-14,0)*2+IF(Y242&gt;15,Y242-15,0)*2+IF(Y242&gt;16,Y242-16,0)*2+IF(Y242&gt;17,Y242-17,0)*2+IF(Y242&gt;18,Y242-18,0)*2+IF(Y242&gt;19,Y242-19,0)*2+IF(Y242&gt;20,Y242-20,0)*2</f>
        <v>2</v>
      </c>
      <c r="AC242" s="127">
        <f t="shared" si="1640"/>
        <v>173.5384615384616</v>
      </c>
      <c r="AD242" s="125">
        <f t="shared" si="1641"/>
        <v>0</v>
      </c>
      <c r="AF242" s="163" t="s">
        <v>164</v>
      </c>
      <c r="AG242" s="125" t="s">
        <v>87</v>
      </c>
      <c r="AH242" s="127" t="s">
        <v>132</v>
      </c>
      <c r="AI242" s="114"/>
      <c r="AJ242" s="113">
        <f>Konvention_1slave-KLslave</f>
        <v>12</v>
      </c>
      <c r="AK242" s="113">
        <f>Konvention_1slave-INslave</f>
        <v>12</v>
      </c>
      <c r="AL242" s="113">
        <f>Konvention_1slave-CHslave</f>
        <v>12</v>
      </c>
      <c r="AM242" s="113"/>
      <c r="AN242" s="113"/>
      <c r="AO242" s="113"/>
      <c r="AP242" s="119"/>
      <c r="AQ242" s="47">
        <f t="shared" si="1642"/>
        <v>12</v>
      </c>
      <c r="AR242" s="47">
        <f t="shared" si="1643"/>
        <v>24</v>
      </c>
      <c r="AS242" s="119">
        <f t="shared" si="1644"/>
        <v>36</v>
      </c>
      <c r="AT242" s="114">
        <f t="shared" si="1597"/>
        <v>2304</v>
      </c>
      <c r="AU242" s="113">
        <f>AJ242*AK242*CHslave+AJ242*INslave*AL242+KLslave*AK242*AL242</f>
        <v>3456</v>
      </c>
      <c r="AV242" s="119">
        <f t="shared" si="1645"/>
        <v>1728</v>
      </c>
      <c r="AW242" s="119">
        <f t="shared" si="1646"/>
        <v>7488</v>
      </c>
      <c r="AX242" s="89">
        <f t="shared" si="1647"/>
        <v>3.6923076923076925</v>
      </c>
      <c r="AY242" s="47">
        <f t="shared" si="1648"/>
        <v>11.076923076923077</v>
      </c>
      <c r="AZ242" s="127">
        <f t="shared" si="1649"/>
        <v>8.3076923076923084</v>
      </c>
      <c r="BA242" s="127">
        <f t="shared" si="1650"/>
        <v>23.07692307692308</v>
      </c>
      <c r="BB242" s="165">
        <f t="shared" si="1598"/>
        <v>0</v>
      </c>
      <c r="BC242" s="198">
        <f t="shared" si="1651"/>
        <v>23.07692307692308</v>
      </c>
      <c r="BD242" s="125">
        <f>IF(BA242&lt;=0,2,0)+IF(BA242&gt;0,BA242+1,0)*2+IF(BA242&gt;12,BA242-12,0)*2+IF(BA242&gt;13,BA242-13,0)*2+IF(BA242&gt;14,BA242-14,0)*2+IF(BA242&gt;15,BA242-15,0)*2+IF(BA242&gt;16,BA242-16,0)*2+IF(BA242&gt;17,BA242-17,0)*2+IF(BA242&gt;18,BA242-18,0)*2+IF(BA242&gt;19,BA242-19,0)*2+IF(BA242&gt;20,BA242-20,0)*2</f>
        <v>175.5384615384616</v>
      </c>
      <c r="BE242" s="160">
        <f>IF(BB242&lt;=0,2,0)+IF(BB242&gt;0,BB242+1,0)*2+IF(BB242&gt;12,BB242-12,0)*2+IF(BB242&gt;13,BB242-13,0)*2+IF(BB242&gt;14,BB242-14,0)*2+IF(BB242&gt;15,BB242-15,0)*2+IF(BB242&gt;16,BB242-16,0)*2+IF(BB242&gt;17,BB242-17,0)*2+IF(BB242&gt;18,BB242-18,0)*2+IF(BB242&gt;19,BB242-19,0)*2+IF(BB242&gt;20,BB242-20,0)*2</f>
        <v>2</v>
      </c>
      <c r="BF242" s="243">
        <f t="shared" si="1652"/>
        <v>173.5384615384616</v>
      </c>
      <c r="BG242" s="218">
        <f t="shared" si="1653"/>
        <v>0</v>
      </c>
      <c r="BI242" s="303" t="s">
        <v>164</v>
      </c>
      <c r="BJ242" s="218" t="s">
        <v>87</v>
      </c>
      <c r="BK242" s="243" t="s">
        <v>132</v>
      </c>
      <c r="BL242" s="237"/>
      <c r="BM242" s="234">
        <f>Konvention_1slave-KLslave_KL</f>
        <v>11</v>
      </c>
      <c r="BN242" s="234">
        <f>Konvention_1slave-INslave</f>
        <v>12</v>
      </c>
      <c r="BO242" s="234">
        <f>Konvention_1slave-CHslave</f>
        <v>12</v>
      </c>
      <c r="BP242" s="234"/>
      <c r="BQ242" s="234"/>
      <c r="BR242" s="234"/>
      <c r="BS242" s="224"/>
      <c r="BT242" s="223">
        <f t="shared" si="1654"/>
        <v>11.666666666666666</v>
      </c>
      <c r="BU242" s="223">
        <f t="shared" si="1655"/>
        <v>23.333333333333332</v>
      </c>
      <c r="BV242" s="224">
        <f t="shared" si="1656"/>
        <v>35</v>
      </c>
      <c r="BW242" s="237">
        <f t="shared" si="1599"/>
        <v>2432</v>
      </c>
      <c r="BX242" s="234">
        <f>BM242*BN242*CHslave+BM242*INslave*BO242+KLslave_KL*BN242*BO242</f>
        <v>3408</v>
      </c>
      <c r="BY242" s="224">
        <f t="shared" si="1657"/>
        <v>1584</v>
      </c>
      <c r="BZ242" s="224">
        <f t="shared" si="1658"/>
        <v>7424</v>
      </c>
      <c r="CA242" s="222">
        <f t="shared" si="1659"/>
        <v>3.8218390804597702</v>
      </c>
      <c r="CB242" s="223">
        <f t="shared" si="1660"/>
        <v>10.711206896551724</v>
      </c>
      <c r="CC242" s="243">
        <f t="shared" si="1661"/>
        <v>7.4676724137931032</v>
      </c>
      <c r="CD242" s="243">
        <f t="shared" si="1662"/>
        <v>22.000718390804597</v>
      </c>
      <c r="CE242" s="252">
        <f t="shared" si="1600"/>
        <v>0</v>
      </c>
      <c r="CF242" s="309">
        <f t="shared" si="1663"/>
        <v>22.000718390804597</v>
      </c>
      <c r="CG242" s="218">
        <f>IF(CD242&lt;=0,2,0)+IF(CD242&gt;0,CD242+1,0)*2+IF(CD242&gt;12,CD242-12,0)*2+IF(CD242&gt;13,CD242-13,0)*2+IF(CD242&gt;14,CD242-14,0)*2+IF(CD242&gt;15,CD242-15,0)*2+IF(CD242&gt;16,CD242-16,0)*2+IF(CD242&gt;17,CD242-17,0)*2+IF(CD242&gt;18,CD242-18,0)*2+IF(CD242&gt;19,CD242-19,0)*2+IF(CD242&gt;20,CD242-20,0)*2</f>
        <v>154.01436781609189</v>
      </c>
      <c r="CH242" s="242">
        <f>IF(CE242&lt;=0,2,0)+IF(CE242&gt;0,CE242+1,0)*2+IF(CE242&gt;12,CE242-12,0)*2+IF(CE242&gt;13,CE242-13,0)*2+IF(CE242&gt;14,CE242-14,0)*2+IF(CE242&gt;15,CE242-15,0)*2+IF(CE242&gt;16,CE242-16,0)*2+IF(CE242&gt;17,CE242-17,0)*2+IF(CE242&gt;18,CE242-18,0)*2+IF(CE242&gt;19,CE242-19,0)*2+IF(CE242&gt;20,CE242-20,0)*2</f>
        <v>2</v>
      </c>
      <c r="CI242" s="243">
        <f t="shared" si="1664"/>
        <v>152.01436781609189</v>
      </c>
      <c r="CJ242" s="218">
        <f t="shared" si="1665"/>
        <v>0</v>
      </c>
      <c r="CL242" s="303" t="s">
        <v>164</v>
      </c>
      <c r="CM242" s="218" t="s">
        <v>87</v>
      </c>
      <c r="CN242" s="243" t="s">
        <v>132</v>
      </c>
      <c r="CO242" s="237"/>
      <c r="CP242" s="234">
        <f>Konvention_1slave-KLslave</f>
        <v>12</v>
      </c>
      <c r="CQ242" s="234">
        <f>Konvention_1slave-INslave_IN</f>
        <v>11</v>
      </c>
      <c r="CR242" s="234">
        <f>Konvention_1slave-CHslave</f>
        <v>12</v>
      </c>
      <c r="CS242" s="234"/>
      <c r="CT242" s="234"/>
      <c r="CU242" s="234"/>
      <c r="CV242" s="224"/>
      <c r="CW242" s="223">
        <f t="shared" si="1666"/>
        <v>11.666666666666666</v>
      </c>
      <c r="CX242" s="223">
        <f t="shared" si="1667"/>
        <v>23.333333333333332</v>
      </c>
      <c r="CY242" s="224">
        <f t="shared" si="1668"/>
        <v>35</v>
      </c>
      <c r="CZ242" s="237">
        <f t="shared" si="1601"/>
        <v>2432</v>
      </c>
      <c r="DA242" s="234">
        <f>CP242*CQ242*CHslave+CP242*INslave_IN*CR242+KLslave*CQ242*CR242</f>
        <v>3408</v>
      </c>
      <c r="DB242" s="224">
        <f t="shared" si="1669"/>
        <v>1584</v>
      </c>
      <c r="DC242" s="224">
        <f t="shared" si="1670"/>
        <v>7424</v>
      </c>
      <c r="DD242" s="222">
        <f t="shared" si="1671"/>
        <v>3.8218390804597702</v>
      </c>
      <c r="DE242" s="223">
        <f t="shared" si="1672"/>
        <v>10.711206896551724</v>
      </c>
      <c r="DF242" s="243">
        <f t="shared" si="1673"/>
        <v>7.4676724137931032</v>
      </c>
      <c r="DG242" s="243">
        <f t="shared" si="1674"/>
        <v>22.000718390804597</v>
      </c>
      <c r="DH242" s="252">
        <f t="shared" si="1602"/>
        <v>0</v>
      </c>
      <c r="DI242" s="309">
        <f t="shared" si="1675"/>
        <v>22.000718390804597</v>
      </c>
      <c r="DJ242" s="218">
        <f>IF(DG242&lt;=0,2,0)+IF(DG242&gt;0,DG242+1,0)*2+IF(DG242&gt;12,DG242-12,0)*2+IF(DG242&gt;13,DG242-13,0)*2+IF(DG242&gt;14,DG242-14,0)*2+IF(DG242&gt;15,DG242-15,0)*2+IF(DG242&gt;16,DG242-16,0)*2+IF(DG242&gt;17,DG242-17,0)*2+IF(DG242&gt;18,DG242-18,0)*2+IF(DG242&gt;19,DG242-19,0)*2+IF(DG242&gt;20,DG242-20,0)*2</f>
        <v>154.01436781609189</v>
      </c>
      <c r="DK242" s="242">
        <f>IF(DH242&lt;=0,2,0)+IF(DH242&gt;0,DH242+1,0)*2+IF(DH242&gt;12,DH242-12,0)*2+IF(DH242&gt;13,DH242-13,0)*2+IF(DH242&gt;14,DH242-14,0)*2+IF(DH242&gt;15,DH242-15,0)*2+IF(DH242&gt;16,DH242-16,0)*2+IF(DH242&gt;17,DH242-17,0)*2+IF(DH242&gt;18,DH242-18,0)*2+IF(DH242&gt;19,DH242-19,0)*2+IF(DH242&gt;20,DH242-20,0)*2</f>
        <v>2</v>
      </c>
      <c r="DL242" s="243">
        <f t="shared" si="1676"/>
        <v>152.01436781609189</v>
      </c>
      <c r="DM242" s="218">
        <f t="shared" si="1677"/>
        <v>0</v>
      </c>
      <c r="DO242" s="303" t="s">
        <v>164</v>
      </c>
      <c r="DP242" s="218" t="s">
        <v>87</v>
      </c>
      <c r="DQ242" s="243" t="s">
        <v>132</v>
      </c>
      <c r="DR242" s="237"/>
      <c r="DS242" s="234">
        <f>Konvention_1slave-KLslave</f>
        <v>12</v>
      </c>
      <c r="DT242" s="234">
        <f>Konvention_1slave-INslave</f>
        <v>12</v>
      </c>
      <c r="DU242" s="234">
        <f>Konvention_1slave-CHslave_CH</f>
        <v>11</v>
      </c>
      <c r="DV242" s="234"/>
      <c r="DW242" s="234"/>
      <c r="DX242" s="234"/>
      <c r="DY242" s="224"/>
      <c r="DZ242" s="223">
        <f t="shared" si="1678"/>
        <v>11.666666666666666</v>
      </c>
      <c r="EA242" s="223">
        <f t="shared" si="1679"/>
        <v>23.333333333333332</v>
      </c>
      <c r="EB242" s="224">
        <f t="shared" si="1680"/>
        <v>35</v>
      </c>
      <c r="EC242" s="237">
        <f t="shared" si="1603"/>
        <v>2432</v>
      </c>
      <c r="ED242" s="234">
        <f>DS242*DT242*CHslave_CH+DS242*INslave*DU242+KLslave*DT242*DU242</f>
        <v>3408</v>
      </c>
      <c r="EE242" s="224">
        <f t="shared" si="1681"/>
        <v>1584</v>
      </c>
      <c r="EF242" s="224">
        <f t="shared" si="1682"/>
        <v>7424</v>
      </c>
      <c r="EG242" s="222">
        <f t="shared" si="1683"/>
        <v>3.8218390804597702</v>
      </c>
      <c r="EH242" s="223">
        <f t="shared" si="1684"/>
        <v>10.711206896551724</v>
      </c>
      <c r="EI242" s="243">
        <f t="shared" si="1685"/>
        <v>7.4676724137931032</v>
      </c>
      <c r="EJ242" s="243">
        <f t="shared" si="1686"/>
        <v>22.000718390804597</v>
      </c>
      <c r="EK242" s="252">
        <f t="shared" si="1604"/>
        <v>0</v>
      </c>
      <c r="EL242" s="309">
        <f t="shared" si="1687"/>
        <v>22.000718390804597</v>
      </c>
      <c r="EM242" s="218">
        <f>IF(EJ242&lt;=0,2,0)+IF(EJ242&gt;0,EJ242+1,0)*2+IF(EJ242&gt;12,EJ242-12,0)*2+IF(EJ242&gt;13,EJ242-13,0)*2+IF(EJ242&gt;14,EJ242-14,0)*2+IF(EJ242&gt;15,EJ242-15,0)*2+IF(EJ242&gt;16,EJ242-16,0)*2+IF(EJ242&gt;17,EJ242-17,0)*2+IF(EJ242&gt;18,EJ242-18,0)*2+IF(EJ242&gt;19,EJ242-19,0)*2+IF(EJ242&gt;20,EJ242-20,0)*2</f>
        <v>154.01436781609189</v>
      </c>
      <c r="EN242" s="242">
        <f>IF(EK242&lt;=0,2,0)+IF(EK242&gt;0,EK242+1,0)*2+IF(EK242&gt;12,EK242-12,0)*2+IF(EK242&gt;13,EK242-13,0)*2+IF(EK242&gt;14,EK242-14,0)*2+IF(EK242&gt;15,EK242-15,0)*2+IF(EK242&gt;16,EK242-16,0)*2+IF(EK242&gt;17,EK242-17,0)*2+IF(EK242&gt;18,EK242-18,0)*2+IF(EK242&gt;19,EK242-19,0)*2+IF(EK242&gt;20,EK242-20,0)*2</f>
        <v>2</v>
      </c>
      <c r="EO242" s="243">
        <f t="shared" si="1688"/>
        <v>152.01436781609189</v>
      </c>
      <c r="EP242" s="218">
        <f t="shared" si="1689"/>
        <v>0</v>
      </c>
      <c r="ER242" s="303" t="s">
        <v>164</v>
      </c>
      <c r="ES242" s="218" t="s">
        <v>87</v>
      </c>
      <c r="ET242" s="243" t="s">
        <v>132</v>
      </c>
      <c r="EU242" s="237"/>
      <c r="EV242" s="234">
        <f>Konvention_1slave-KLslave</f>
        <v>12</v>
      </c>
      <c r="EW242" s="234">
        <f>Konvention_1slave-INslave</f>
        <v>12</v>
      </c>
      <c r="EX242" s="234">
        <f>Konvention_1slave-CHslave</f>
        <v>12</v>
      </c>
      <c r="EY242" s="234"/>
      <c r="EZ242" s="234"/>
      <c r="FA242" s="234"/>
      <c r="FB242" s="224"/>
      <c r="FC242" s="223">
        <f t="shared" si="1690"/>
        <v>12</v>
      </c>
      <c r="FD242" s="223">
        <f t="shared" si="1691"/>
        <v>24</v>
      </c>
      <c r="FE242" s="224">
        <f t="shared" si="1692"/>
        <v>36</v>
      </c>
      <c r="FF242" s="237">
        <f t="shared" si="1605"/>
        <v>2304</v>
      </c>
      <c r="FG242" s="234">
        <f>EV242*EW242*CHslave+EV242*INslave*EX242+KLslave*EW242*EX242</f>
        <v>3456</v>
      </c>
      <c r="FH242" s="224">
        <f t="shared" si="1693"/>
        <v>1728</v>
      </c>
      <c r="FI242" s="224">
        <f t="shared" si="1694"/>
        <v>7488</v>
      </c>
      <c r="FJ242" s="222">
        <f t="shared" si="1695"/>
        <v>3.6923076923076925</v>
      </c>
      <c r="FK242" s="223">
        <f t="shared" si="1696"/>
        <v>11.076923076923077</v>
      </c>
      <c r="FL242" s="243">
        <f t="shared" si="1697"/>
        <v>8.3076923076923084</v>
      </c>
      <c r="FM242" s="243">
        <f t="shared" si="1698"/>
        <v>23.07692307692308</v>
      </c>
      <c r="FN242" s="252">
        <f t="shared" si="1606"/>
        <v>0</v>
      </c>
      <c r="FO242" s="309">
        <f t="shared" si="1699"/>
        <v>23.07692307692308</v>
      </c>
      <c r="FP242" s="218">
        <f>IF(FM242&lt;=0,2,0)+IF(FM242&gt;0,FM242+1,0)*2+IF(FM242&gt;12,FM242-12,0)*2+IF(FM242&gt;13,FM242-13,0)*2+IF(FM242&gt;14,FM242-14,0)*2+IF(FM242&gt;15,FM242-15,0)*2+IF(FM242&gt;16,FM242-16,0)*2+IF(FM242&gt;17,FM242-17,0)*2+IF(FM242&gt;18,FM242-18,0)*2+IF(FM242&gt;19,FM242-19,0)*2+IF(FM242&gt;20,FM242-20,0)*2</f>
        <v>175.5384615384616</v>
      </c>
      <c r="FQ242" s="242">
        <f>IF(FN242&lt;=0,2,0)+IF(FN242&gt;0,FN242+1,0)*2+IF(FN242&gt;12,FN242-12,0)*2+IF(FN242&gt;13,FN242-13,0)*2+IF(FN242&gt;14,FN242-14,0)*2+IF(FN242&gt;15,FN242-15,0)*2+IF(FN242&gt;16,FN242-16,0)*2+IF(FN242&gt;17,FN242-17,0)*2+IF(FN242&gt;18,FN242-18,0)*2+IF(FN242&gt;19,FN242-19,0)*2+IF(FN242&gt;20,FN242-20,0)*2</f>
        <v>2</v>
      </c>
      <c r="FR242" s="243">
        <f t="shared" si="1700"/>
        <v>173.5384615384616</v>
      </c>
      <c r="FS242" s="218">
        <f t="shared" si="1701"/>
        <v>0</v>
      </c>
      <c r="FU242" s="303" t="s">
        <v>164</v>
      </c>
      <c r="FV242" s="218" t="s">
        <v>87</v>
      </c>
      <c r="FW242" s="243" t="s">
        <v>132</v>
      </c>
      <c r="FX242" s="237"/>
      <c r="FY242" s="234">
        <f>Konvention_1slave-KLslave</f>
        <v>12</v>
      </c>
      <c r="FZ242" s="234">
        <f>Konvention_1slave-INslave</f>
        <v>12</v>
      </c>
      <c r="GA242" s="234">
        <f>Konvention_1slave-CHslave</f>
        <v>12</v>
      </c>
      <c r="GB242" s="234"/>
      <c r="GC242" s="234"/>
      <c r="GD242" s="234"/>
      <c r="GE242" s="224"/>
      <c r="GF242" s="223">
        <f t="shared" si="1702"/>
        <v>12</v>
      </c>
      <c r="GG242" s="223">
        <f t="shared" si="1703"/>
        <v>24</v>
      </c>
      <c r="GH242" s="224">
        <f t="shared" si="1704"/>
        <v>36</v>
      </c>
      <c r="GI242" s="237">
        <f t="shared" si="1607"/>
        <v>2304</v>
      </c>
      <c r="GJ242" s="234">
        <f>FY242*FZ242*CHslave+FY242*INslave*GA242+KLslave*FZ242*GA242</f>
        <v>3456</v>
      </c>
      <c r="GK242" s="224">
        <f t="shared" si="1705"/>
        <v>1728</v>
      </c>
      <c r="GL242" s="224">
        <f t="shared" si="1706"/>
        <v>7488</v>
      </c>
      <c r="GM242" s="222">
        <f t="shared" si="1707"/>
        <v>3.6923076923076925</v>
      </c>
      <c r="GN242" s="223">
        <f t="shared" si="1708"/>
        <v>11.076923076923077</v>
      </c>
      <c r="GO242" s="243">
        <f t="shared" si="1709"/>
        <v>8.3076923076923084</v>
      </c>
      <c r="GP242" s="243">
        <f t="shared" si="1710"/>
        <v>23.07692307692308</v>
      </c>
      <c r="GQ242" s="252">
        <f t="shared" si="1608"/>
        <v>0</v>
      </c>
      <c r="GR242" s="309">
        <f t="shared" si="1711"/>
        <v>23.07692307692308</v>
      </c>
      <c r="GS242" s="218">
        <f>IF(GP242&lt;=0,2,0)+IF(GP242&gt;0,GP242+1,0)*2+IF(GP242&gt;12,GP242-12,0)*2+IF(GP242&gt;13,GP242-13,0)*2+IF(GP242&gt;14,GP242-14,0)*2+IF(GP242&gt;15,GP242-15,0)*2+IF(GP242&gt;16,GP242-16,0)*2+IF(GP242&gt;17,GP242-17,0)*2+IF(GP242&gt;18,GP242-18,0)*2+IF(GP242&gt;19,GP242-19,0)*2+IF(GP242&gt;20,GP242-20,0)*2</f>
        <v>175.5384615384616</v>
      </c>
      <c r="GT242" s="242">
        <f>IF(GQ242&lt;=0,2,0)+IF(GQ242&gt;0,GQ242+1,0)*2+IF(GQ242&gt;12,GQ242-12,0)*2+IF(GQ242&gt;13,GQ242-13,0)*2+IF(GQ242&gt;14,GQ242-14,0)*2+IF(GQ242&gt;15,GQ242-15,0)*2+IF(GQ242&gt;16,GQ242-16,0)*2+IF(GQ242&gt;17,GQ242-17,0)*2+IF(GQ242&gt;18,GQ242-18,0)*2+IF(GQ242&gt;19,GQ242-19,0)*2+IF(GQ242&gt;20,GQ242-20,0)*2</f>
        <v>2</v>
      </c>
      <c r="GU242" s="243">
        <f t="shared" si="1712"/>
        <v>173.5384615384616</v>
      </c>
      <c r="GV242" s="218">
        <f t="shared" si="1713"/>
        <v>0</v>
      </c>
      <c r="GX242" s="303" t="s">
        <v>164</v>
      </c>
      <c r="GY242" s="218" t="s">
        <v>87</v>
      </c>
      <c r="GZ242" s="243" t="s">
        <v>132</v>
      </c>
      <c r="HA242" s="237"/>
      <c r="HB242" s="234">
        <f>Konvention_1slave-KLslave</f>
        <v>12</v>
      </c>
      <c r="HC242" s="234">
        <f>Konvention_1slave-INslave</f>
        <v>12</v>
      </c>
      <c r="HD242" s="234">
        <f>Konvention_1slave-CHslave</f>
        <v>12</v>
      </c>
      <c r="HE242" s="234"/>
      <c r="HF242" s="234"/>
      <c r="HG242" s="234"/>
      <c r="HH242" s="224"/>
      <c r="HI242" s="223">
        <f t="shared" si="1714"/>
        <v>12</v>
      </c>
      <c r="HJ242" s="223">
        <f t="shared" si="1715"/>
        <v>24</v>
      </c>
      <c r="HK242" s="224">
        <f t="shared" si="1716"/>
        <v>36</v>
      </c>
      <c r="HL242" s="237">
        <f t="shared" si="1609"/>
        <v>2304</v>
      </c>
      <c r="HM242" s="234">
        <f>HB242*HC242*CHslave+HB242*INslave*HD242+KLslave*HC242*HD242</f>
        <v>3456</v>
      </c>
      <c r="HN242" s="224">
        <f t="shared" si="1717"/>
        <v>1728</v>
      </c>
      <c r="HO242" s="224">
        <f t="shared" si="1718"/>
        <v>7488</v>
      </c>
      <c r="HP242" s="222">
        <f t="shared" si="1719"/>
        <v>3.6923076923076925</v>
      </c>
      <c r="HQ242" s="223">
        <f t="shared" si="1720"/>
        <v>11.076923076923077</v>
      </c>
      <c r="HR242" s="243">
        <f t="shared" si="1721"/>
        <v>8.3076923076923084</v>
      </c>
      <c r="HS242" s="243">
        <f t="shared" si="1722"/>
        <v>23.07692307692308</v>
      </c>
      <c r="HT242" s="252">
        <f t="shared" si="1610"/>
        <v>0</v>
      </c>
      <c r="HU242" s="309">
        <f t="shared" si="1723"/>
        <v>23.07692307692308</v>
      </c>
      <c r="HV242" s="218">
        <f>IF(HS242&lt;=0,2,0)+IF(HS242&gt;0,HS242+1,0)*2+IF(HS242&gt;12,HS242-12,0)*2+IF(HS242&gt;13,HS242-13,0)*2+IF(HS242&gt;14,HS242-14,0)*2+IF(HS242&gt;15,HS242-15,0)*2+IF(HS242&gt;16,HS242-16,0)*2+IF(HS242&gt;17,HS242-17,0)*2+IF(HS242&gt;18,HS242-18,0)*2+IF(HS242&gt;19,HS242-19,0)*2+IF(HS242&gt;20,HS242-20,0)*2</f>
        <v>175.5384615384616</v>
      </c>
      <c r="HW242" s="242">
        <f>IF(HT242&lt;=0,2,0)+IF(HT242&gt;0,HT242+1,0)*2+IF(HT242&gt;12,HT242-12,0)*2+IF(HT242&gt;13,HT242-13,0)*2+IF(HT242&gt;14,HT242-14,0)*2+IF(HT242&gt;15,HT242-15,0)*2+IF(HT242&gt;16,HT242-16,0)*2+IF(HT242&gt;17,HT242-17,0)*2+IF(HT242&gt;18,HT242-18,0)*2+IF(HT242&gt;19,HT242-19,0)*2+IF(HT242&gt;20,HT242-20,0)*2</f>
        <v>2</v>
      </c>
      <c r="HX242" s="243">
        <f t="shared" si="1724"/>
        <v>173.5384615384616</v>
      </c>
      <c r="HY242" s="218">
        <f t="shared" si="1725"/>
        <v>0</v>
      </c>
      <c r="IA242" s="303" t="s">
        <v>164</v>
      </c>
      <c r="IB242" s="218" t="s">
        <v>87</v>
      </c>
      <c r="IC242" s="243" t="s">
        <v>132</v>
      </c>
      <c r="ID242" s="237"/>
      <c r="IE242" s="234">
        <f>Konvention_1slave-KLslave</f>
        <v>12</v>
      </c>
      <c r="IF242" s="234">
        <f>Konvention_1slave-INslave</f>
        <v>12</v>
      </c>
      <c r="IG242" s="234">
        <f>Konvention_1slave-CHslave</f>
        <v>12</v>
      </c>
      <c r="IH242" s="234"/>
      <c r="II242" s="234"/>
      <c r="IJ242" s="234"/>
      <c r="IK242" s="224"/>
      <c r="IL242" s="223">
        <f t="shared" si="1726"/>
        <v>12</v>
      </c>
      <c r="IM242" s="223">
        <f t="shared" si="1727"/>
        <v>24</v>
      </c>
      <c r="IN242" s="224">
        <f t="shared" si="1728"/>
        <v>36</v>
      </c>
      <c r="IO242" s="237">
        <f t="shared" si="1611"/>
        <v>2304</v>
      </c>
      <c r="IP242" s="234">
        <f>IE242*IF242*CHslave+IE242*INslave*IG242+KLslave*IF242*IG242</f>
        <v>3456</v>
      </c>
      <c r="IQ242" s="224">
        <f t="shared" si="1729"/>
        <v>1728</v>
      </c>
      <c r="IR242" s="224">
        <f t="shared" si="1730"/>
        <v>7488</v>
      </c>
      <c r="IS242" s="222">
        <f t="shared" si="1731"/>
        <v>3.6923076923076925</v>
      </c>
      <c r="IT242" s="223">
        <f t="shared" si="1732"/>
        <v>11.076923076923077</v>
      </c>
      <c r="IU242" s="243">
        <f t="shared" si="1733"/>
        <v>8.3076923076923084</v>
      </c>
      <c r="IV242" s="243">
        <f t="shared" si="1734"/>
        <v>23.07692307692308</v>
      </c>
      <c r="IW242" s="252">
        <f t="shared" si="1612"/>
        <v>0</v>
      </c>
      <c r="IX242" s="309">
        <f t="shared" si="1735"/>
        <v>23.07692307692308</v>
      </c>
      <c r="IY242" s="218">
        <f>IF(IV242&lt;=0,2,0)+IF(IV242&gt;0,IV242+1,0)*2+IF(IV242&gt;12,IV242-12,0)*2+IF(IV242&gt;13,IV242-13,0)*2+IF(IV242&gt;14,IV242-14,0)*2+IF(IV242&gt;15,IV242-15,0)*2+IF(IV242&gt;16,IV242-16,0)*2+IF(IV242&gt;17,IV242-17,0)*2+IF(IV242&gt;18,IV242-18,0)*2+IF(IV242&gt;19,IV242-19,0)*2+IF(IV242&gt;20,IV242-20,0)*2</f>
        <v>175.5384615384616</v>
      </c>
      <c r="IZ242" s="242">
        <f>IF(IW242&lt;=0,2,0)+IF(IW242&gt;0,IW242+1,0)*2+IF(IW242&gt;12,IW242-12,0)*2+IF(IW242&gt;13,IW242-13,0)*2+IF(IW242&gt;14,IW242-14,0)*2+IF(IW242&gt;15,IW242-15,0)*2+IF(IW242&gt;16,IW242-16,0)*2+IF(IW242&gt;17,IW242-17,0)*2+IF(IW242&gt;18,IW242-18,0)*2+IF(IW242&gt;19,IW242-19,0)*2+IF(IW242&gt;20,IW242-20,0)*2</f>
        <v>2</v>
      </c>
      <c r="JA242" s="243">
        <f t="shared" si="1736"/>
        <v>173.5384615384616</v>
      </c>
      <c r="JB242" s="218">
        <f t="shared" si="1737"/>
        <v>0</v>
      </c>
      <c r="JE242" s="148"/>
    </row>
    <row r="243" spans="2:265" hidden="1" outlineLevel="2">
      <c r="B243" s="148">
        <v>31</v>
      </c>
      <c r="C243" s="303" t="e">
        <f>VLOOKUP(AF243,Attribute!C:T,1,FALSE)</f>
        <v>#N/A</v>
      </c>
      <c r="D243" s="125" t="s">
        <v>84</v>
      </c>
      <c r="E243" s="127" t="s">
        <v>135</v>
      </c>
      <c r="F243" s="114">
        <f>Konvention_1master-MUmaster</f>
        <v>12</v>
      </c>
      <c r="G243" s="113">
        <f>Konvention_1master-KLmaster</f>
        <v>12</v>
      </c>
      <c r="H243" s="113"/>
      <c r="I243" s="113">
        <f>Konvention_1master-CHmaster</f>
        <v>12</v>
      </c>
      <c r="J243" s="113"/>
      <c r="K243" s="113"/>
      <c r="L243" s="113"/>
      <c r="M243" s="119"/>
      <c r="N243" s="223">
        <f>(F243+G243+H243+I243+J243+K243+L243+M243)/3</f>
        <v>12</v>
      </c>
      <c r="O243" s="223">
        <f t="shared" si="1630"/>
        <v>24</v>
      </c>
      <c r="P243" s="224">
        <f t="shared" si="1631"/>
        <v>36</v>
      </c>
      <c r="Q243" s="237">
        <f>F243*POWER(KLmaster,SIGN(G243))*POWER(INmaster,SIGN(H243))*POWER(CHmaster,SIGN(I243))*POWER(FFmaster,SIGN(J243))*POWER(GEmaster,SIGN(K243))*POWER(KOmaster,SIGN(L243))*POWER(KKmaster,SIGN(M243))+G243*POWER(MUmaster,SIGN(F243))*POWER(INmaster,SIGN(H243))*POWER(CHmaster,SIGN(I243))*POWER(FFmaster,SIGN(J243))*POWER(GEmaster,SIGN(K243))*POWER(KOmaster,SIGN(L243))*POWER(KKmaster,SIGN(M243))+H243*POWER(MUmaster,SIGN(F243))*POWER(KLmaster,SIGN(G243))*POWER(CHmaster,SIGN(I243))*POWER(FFmaster,SIGN(J243))*POWER(GEmaster,SIGN(K243))*POWER(KOmaster,SIGN(L243))*POWER(KKmaster,SIGN(M243))+I243*POWER(MUmaster,SIGN(F243))*POWER(KLmaster,SIGN(G243))*POWER(INmaster,SIGN(H243))*POWER(FFmaster,SIGN(J243))*POWER(GEmaster,SIGN(K243))*POWER(KOmaster,SIGN(L243))*POWER(KKmaster,SIGN(M243))+J243*POWER(MUmaster,SIGN(F243))*POWER(KLmaster,SIGN(G243))*POWER(INmaster,SIGN(H243))*POWER(CHmaster,SIGN(I243))*POWER(GEmaster,SIGN(K243))*POWER(KOmaster,SIGN(L243))*POWER(KKmaster,SIGN(M243))+K243*POWER(MUmaster,SIGN(F243))*POWER(KLmaster,SIGN(G243))*POWER(INmaster,SIGN(H243))*POWER(CHmaster,SIGN(I243))*POWER(FFmaster,SIGN(J243))*POWER(KOmaster,SIGN(L243))*POWER(KKmaster,SIGN(M243))+L243*POWER(MUmaster,SIGN(F243))*POWER(KLmaster,SIGN(G243))*POWER(INmaster,SIGN(H243))*POWER(CHmaster,SIGN(I243))*POWER(FFmaster,SIGN(J243))*POWER(GEmaster,SIGN(K243))*POWER(KKmaster,SIGN(M243))+M243*POWER(MUmaster,SIGN(F243))*POWER(KLmaster,SIGN(G243))*POWER(INmaster,SIGN(H243))*POWER(CHmaster,SIGN(I243))*POWER(FFmaster,SIGN(J243))*POWER(GEmaster,SIGN(K243))*POWER(KOmaster,SIGN(L243))</f>
        <v>2304</v>
      </c>
      <c r="R243" s="113">
        <f>F243*G243*CHmaster+F243*KLmaster*I243+MUmaster*G243*I243</f>
        <v>3456</v>
      </c>
      <c r="S243" s="224">
        <f t="shared" si="1633"/>
        <v>1728</v>
      </c>
      <c r="T243" s="224">
        <f>SUM(Q243:S243)</f>
        <v>7488</v>
      </c>
      <c r="U243" s="222">
        <f t="shared" si="1635"/>
        <v>3.6923076923076925</v>
      </c>
      <c r="V243" s="223">
        <f t="shared" si="1636"/>
        <v>11.076923076923077</v>
      </c>
      <c r="W243" s="243">
        <f t="shared" si="1637"/>
        <v>8.3076923076923084</v>
      </c>
      <c r="X243" s="243">
        <f t="shared" si="1638"/>
        <v>23.07692307692308</v>
      </c>
      <c r="Y243" s="252">
        <v>0</v>
      </c>
      <c r="Z243" s="198">
        <f t="shared" si="1639"/>
        <v>23.07692307692308</v>
      </c>
      <c r="AA243" s="125">
        <f>IF(X243&lt;=0,3,0)+IF(X243&gt;0,X243+1,0)*3+IF(X243&gt;12,X243-12,0)*3+IF(X243&gt;13,X243-13,0)*3+IF(X243&gt;14,X243-14,0)*3+IF(X243&gt;15,X243-15,0)*3+IF(X243&gt;16,X243-16,0)*3+IF(X243&gt;17,X243-17,0)*3+IF(X243&gt;18,X243-18,0)*3+IF(X243&gt;19,X243-19,0)*3+IF(X243&gt;20,X243-20,0)*3</f>
        <v>263.30769230769232</v>
      </c>
      <c r="AB243" s="160">
        <f>IF(Y243&lt;=0,3,0)+IF(Y243&gt;0,Y243+1,0)*3+IF(Y243&gt;12,Y243-12,0)*3+IF(Y243&gt;13,Y243-13,0)*3+IF(Y243&gt;14,Y243-14,0)*3+IF(Y243&gt;15,Y243-15,0)*3+IF(Y243&gt;16,Y243-16,0)*3+IF(Y243&gt;17,Y243-17,0)*3+IF(Y243&gt;18,Y243-18,0)*3+IF(Y243&gt;19,Y243-19,0)*3+IF(Y243&gt;20,Y243-20,0)*3</f>
        <v>3</v>
      </c>
      <c r="AC243" s="127">
        <f t="shared" si="1640"/>
        <v>260.30769230769232</v>
      </c>
      <c r="AD243" s="125">
        <f t="shared" si="1641"/>
        <v>0</v>
      </c>
      <c r="AF243" s="163" t="s">
        <v>398</v>
      </c>
      <c r="AG243" s="125" t="s">
        <v>84</v>
      </c>
      <c r="AH243" s="127" t="s">
        <v>135</v>
      </c>
      <c r="AI243" s="114">
        <f>Konvention_1slave-MUslave_MU</f>
        <v>11</v>
      </c>
      <c r="AJ243" s="113">
        <f>Konvention_1slave-KLslave</f>
        <v>12</v>
      </c>
      <c r="AK243" s="113"/>
      <c r="AL243" s="113">
        <f>Konvention_1slave-CHslave</f>
        <v>12</v>
      </c>
      <c r="AM243" s="113"/>
      <c r="AN243" s="113"/>
      <c r="AO243" s="113"/>
      <c r="AP243" s="119"/>
      <c r="AQ243" s="47">
        <f>(AI243+AJ243+AK243+AL243+AM243+AN243+AO243+AP243)/3</f>
        <v>11.666666666666666</v>
      </c>
      <c r="AR243" s="47">
        <f t="shared" si="1643"/>
        <v>23.333333333333332</v>
      </c>
      <c r="AS243" s="119">
        <f t="shared" si="1644"/>
        <v>35</v>
      </c>
      <c r="AT243" s="114">
        <f t="shared" si="1597"/>
        <v>2432</v>
      </c>
      <c r="AU243" s="113">
        <f>AI243*AJ243*CHslave+AI243*KLslave*AL243+MUslave_MU*AJ243*AL243</f>
        <v>3408</v>
      </c>
      <c r="AV243" s="119">
        <f t="shared" si="1645"/>
        <v>1584</v>
      </c>
      <c r="AW243" s="119">
        <f>SUM(AT243:AV243)</f>
        <v>7424</v>
      </c>
      <c r="AX243" s="89">
        <f t="shared" si="1647"/>
        <v>3.8218390804597702</v>
      </c>
      <c r="AY243" s="47">
        <f t="shared" si="1648"/>
        <v>10.711206896551724</v>
      </c>
      <c r="AZ243" s="127">
        <f t="shared" si="1649"/>
        <v>7.4676724137931032</v>
      </c>
      <c r="BA243" s="127">
        <f t="shared" si="1650"/>
        <v>22.000718390804597</v>
      </c>
      <c r="BB243" s="165">
        <f t="shared" si="1598"/>
        <v>0</v>
      </c>
      <c r="BC243" s="198">
        <f t="shared" si="1651"/>
        <v>22.000718390804597</v>
      </c>
      <c r="BD243" s="125">
        <f>IF(BA243&lt;=0,3,0)+IF(BA243&gt;0,BA243+1,0)*3+IF(BA243&gt;12,BA243-12,0)*3+IF(BA243&gt;13,BA243-13,0)*3+IF(BA243&gt;14,BA243-14,0)*3+IF(BA243&gt;15,BA243-15,0)*3+IF(BA243&gt;16,BA243-16,0)*3+IF(BA243&gt;17,BA243-17,0)*3+IF(BA243&gt;18,BA243-18,0)*3+IF(BA243&gt;19,BA243-19,0)*3+IF(BA243&gt;20,BA243-20,0)*3</f>
        <v>231.02155172413785</v>
      </c>
      <c r="BE243" s="160">
        <f>IF(BB243&lt;=0,3,0)+IF(BB243&gt;0,BB243+1,0)*3+IF(BB243&gt;12,BB243-12,0)*3+IF(BB243&gt;13,BB243-13,0)*3+IF(BB243&gt;14,BB243-14,0)*3+IF(BB243&gt;15,BB243-15,0)*3+IF(BB243&gt;16,BB243-16,0)*3+IF(BB243&gt;17,BB243-17,0)*3+IF(BB243&gt;18,BB243-18,0)*3+IF(BB243&gt;19,BB243-19,0)*3+IF(BB243&gt;20,BB243-20,0)*3</f>
        <v>3</v>
      </c>
      <c r="BF243" s="243">
        <f t="shared" si="1652"/>
        <v>228.02155172413785</v>
      </c>
      <c r="BG243" s="218">
        <f t="shared" si="1653"/>
        <v>0</v>
      </c>
      <c r="BI243" s="303" t="s">
        <v>398</v>
      </c>
      <c r="BJ243" s="218" t="s">
        <v>84</v>
      </c>
      <c r="BK243" s="243" t="s">
        <v>135</v>
      </c>
      <c r="BL243" s="237">
        <f>Konvention_1slave-MUslave</f>
        <v>12</v>
      </c>
      <c r="BM243" s="234">
        <f>Konvention_1slave-KLslave_KL</f>
        <v>11</v>
      </c>
      <c r="BN243" s="234"/>
      <c r="BO243" s="234">
        <f>Konvention_1slave-CHslave</f>
        <v>12</v>
      </c>
      <c r="BP243" s="234"/>
      <c r="BQ243" s="234"/>
      <c r="BR243" s="234"/>
      <c r="BS243" s="224"/>
      <c r="BT243" s="223">
        <f>(BL243+BM243+BN243+BO243+BP243+BQ243+BR243+BS243)/3</f>
        <v>11.666666666666666</v>
      </c>
      <c r="BU243" s="223">
        <f t="shared" si="1655"/>
        <v>23.333333333333332</v>
      </c>
      <c r="BV243" s="224">
        <f t="shared" si="1656"/>
        <v>35</v>
      </c>
      <c r="BW243" s="237">
        <f t="shared" si="1599"/>
        <v>2432</v>
      </c>
      <c r="BX243" s="234">
        <f>BL243*BM243*CHslave+BL243*KLslave_KL*BO243+MUslave*BM243*BO243</f>
        <v>3408</v>
      </c>
      <c r="BY243" s="224">
        <f t="shared" si="1657"/>
        <v>1584</v>
      </c>
      <c r="BZ243" s="224">
        <f>SUM(BW243:BY243)</f>
        <v>7424</v>
      </c>
      <c r="CA243" s="222">
        <f t="shared" si="1659"/>
        <v>3.8218390804597702</v>
      </c>
      <c r="CB243" s="223">
        <f t="shared" si="1660"/>
        <v>10.711206896551724</v>
      </c>
      <c r="CC243" s="243">
        <f t="shared" si="1661"/>
        <v>7.4676724137931032</v>
      </c>
      <c r="CD243" s="243">
        <f t="shared" si="1662"/>
        <v>22.000718390804597</v>
      </c>
      <c r="CE243" s="252">
        <f t="shared" si="1600"/>
        <v>0</v>
      </c>
      <c r="CF243" s="309">
        <f t="shared" si="1663"/>
        <v>22.000718390804597</v>
      </c>
      <c r="CG243" s="218">
        <f>IF(CD243&lt;=0,3,0)+IF(CD243&gt;0,CD243+1,0)*3+IF(CD243&gt;12,CD243-12,0)*3+IF(CD243&gt;13,CD243-13,0)*3+IF(CD243&gt;14,CD243-14,0)*3+IF(CD243&gt;15,CD243-15,0)*3+IF(CD243&gt;16,CD243-16,0)*3+IF(CD243&gt;17,CD243-17,0)*3+IF(CD243&gt;18,CD243-18,0)*3+IF(CD243&gt;19,CD243-19,0)*3+IF(CD243&gt;20,CD243-20,0)*3</f>
        <v>231.02155172413785</v>
      </c>
      <c r="CH243" s="242">
        <f>IF(CE243&lt;=0,3,0)+IF(CE243&gt;0,CE243+1,0)*3+IF(CE243&gt;12,CE243-12,0)*3+IF(CE243&gt;13,CE243-13,0)*3+IF(CE243&gt;14,CE243-14,0)*3+IF(CE243&gt;15,CE243-15,0)*3+IF(CE243&gt;16,CE243-16,0)*3+IF(CE243&gt;17,CE243-17,0)*3+IF(CE243&gt;18,CE243-18,0)*3+IF(CE243&gt;19,CE243-19,0)*3+IF(CE243&gt;20,CE243-20,0)*3</f>
        <v>3</v>
      </c>
      <c r="CI243" s="243">
        <f t="shared" si="1664"/>
        <v>228.02155172413785</v>
      </c>
      <c r="CJ243" s="218">
        <f t="shared" si="1665"/>
        <v>0</v>
      </c>
      <c r="CL243" s="303" t="s">
        <v>398</v>
      </c>
      <c r="CM243" s="218" t="s">
        <v>84</v>
      </c>
      <c r="CN243" s="243" t="s">
        <v>135</v>
      </c>
      <c r="CO243" s="237">
        <f>Konvention_1slave-MUslave</f>
        <v>12</v>
      </c>
      <c r="CP243" s="234">
        <f>Konvention_1slave-KLslave</f>
        <v>12</v>
      </c>
      <c r="CQ243" s="234"/>
      <c r="CR243" s="234">
        <f>Konvention_1slave-CHslave</f>
        <v>12</v>
      </c>
      <c r="CS243" s="234"/>
      <c r="CT243" s="234"/>
      <c r="CU243" s="234"/>
      <c r="CV243" s="224"/>
      <c r="CW243" s="223">
        <f>(CO243+CP243+CQ243+CR243+CS243+CT243+CU243+CV243)/3</f>
        <v>12</v>
      </c>
      <c r="CX243" s="223">
        <f t="shared" si="1667"/>
        <v>24</v>
      </c>
      <c r="CY243" s="224">
        <f t="shared" si="1668"/>
        <v>36</v>
      </c>
      <c r="CZ243" s="237">
        <f t="shared" si="1601"/>
        <v>2304</v>
      </c>
      <c r="DA243" s="234">
        <f>CO243*CP243*CHslave+CO243*KLslave*CR243+MUslave*CP243*CR243</f>
        <v>3456</v>
      </c>
      <c r="DB243" s="224">
        <f t="shared" si="1669"/>
        <v>1728</v>
      </c>
      <c r="DC243" s="224">
        <f>SUM(CZ243:DB243)</f>
        <v>7488</v>
      </c>
      <c r="DD243" s="222">
        <f t="shared" si="1671"/>
        <v>3.6923076923076925</v>
      </c>
      <c r="DE243" s="223">
        <f t="shared" si="1672"/>
        <v>11.076923076923077</v>
      </c>
      <c r="DF243" s="243">
        <f t="shared" si="1673"/>
        <v>8.3076923076923084</v>
      </c>
      <c r="DG243" s="243">
        <f t="shared" si="1674"/>
        <v>23.07692307692308</v>
      </c>
      <c r="DH243" s="252">
        <f t="shared" si="1602"/>
        <v>0</v>
      </c>
      <c r="DI243" s="309">
        <f t="shared" si="1675"/>
        <v>23.07692307692308</v>
      </c>
      <c r="DJ243" s="218">
        <f>IF(DG243&lt;=0,3,0)+IF(DG243&gt;0,DG243+1,0)*3+IF(DG243&gt;12,DG243-12,0)*3+IF(DG243&gt;13,DG243-13,0)*3+IF(DG243&gt;14,DG243-14,0)*3+IF(DG243&gt;15,DG243-15,0)*3+IF(DG243&gt;16,DG243-16,0)*3+IF(DG243&gt;17,DG243-17,0)*3+IF(DG243&gt;18,DG243-18,0)*3+IF(DG243&gt;19,DG243-19,0)*3+IF(DG243&gt;20,DG243-20,0)*3</f>
        <v>263.30769230769232</v>
      </c>
      <c r="DK243" s="242">
        <f>IF(DH243&lt;=0,3,0)+IF(DH243&gt;0,DH243+1,0)*3+IF(DH243&gt;12,DH243-12,0)*3+IF(DH243&gt;13,DH243-13,0)*3+IF(DH243&gt;14,DH243-14,0)*3+IF(DH243&gt;15,DH243-15,0)*3+IF(DH243&gt;16,DH243-16,0)*3+IF(DH243&gt;17,DH243-17,0)*3+IF(DH243&gt;18,DH243-18,0)*3+IF(DH243&gt;19,DH243-19,0)*3+IF(DH243&gt;20,DH243-20,0)*3</f>
        <v>3</v>
      </c>
      <c r="DL243" s="243">
        <f t="shared" si="1676"/>
        <v>260.30769230769232</v>
      </c>
      <c r="DM243" s="218">
        <f t="shared" si="1677"/>
        <v>0</v>
      </c>
      <c r="DO243" s="303" t="s">
        <v>398</v>
      </c>
      <c r="DP243" s="218" t="s">
        <v>84</v>
      </c>
      <c r="DQ243" s="243" t="s">
        <v>135</v>
      </c>
      <c r="DR243" s="237">
        <f>Konvention_1slave-MUslave</f>
        <v>12</v>
      </c>
      <c r="DS243" s="234">
        <f>Konvention_1slave-KLslave</f>
        <v>12</v>
      </c>
      <c r="DT243" s="234"/>
      <c r="DU243" s="234">
        <f>Konvention_1slave-CHslave_CH</f>
        <v>11</v>
      </c>
      <c r="DV243" s="234"/>
      <c r="DW243" s="234"/>
      <c r="DX243" s="234"/>
      <c r="DY243" s="224"/>
      <c r="DZ243" s="223">
        <f>(DR243+DS243+DT243+DU243+DV243+DW243+DX243+DY243)/3</f>
        <v>11.666666666666666</v>
      </c>
      <c r="EA243" s="223">
        <f t="shared" si="1679"/>
        <v>23.333333333333332</v>
      </c>
      <c r="EB243" s="224">
        <f t="shared" si="1680"/>
        <v>35</v>
      </c>
      <c r="EC243" s="237">
        <f t="shared" si="1603"/>
        <v>2432</v>
      </c>
      <c r="ED243" s="234">
        <f>DR243*DS243*CHslave_CH+DR243*KLslave*DU243+MUslave*DS243*DU243</f>
        <v>3408</v>
      </c>
      <c r="EE243" s="224">
        <f t="shared" si="1681"/>
        <v>1584</v>
      </c>
      <c r="EF243" s="224">
        <f>SUM(EC243:EE243)</f>
        <v>7424</v>
      </c>
      <c r="EG243" s="222">
        <f t="shared" si="1683"/>
        <v>3.8218390804597702</v>
      </c>
      <c r="EH243" s="223">
        <f t="shared" si="1684"/>
        <v>10.711206896551724</v>
      </c>
      <c r="EI243" s="243">
        <f t="shared" si="1685"/>
        <v>7.4676724137931032</v>
      </c>
      <c r="EJ243" s="243">
        <f t="shared" si="1686"/>
        <v>22.000718390804597</v>
      </c>
      <c r="EK243" s="252">
        <f t="shared" si="1604"/>
        <v>0</v>
      </c>
      <c r="EL243" s="309">
        <f t="shared" si="1687"/>
        <v>22.000718390804597</v>
      </c>
      <c r="EM243" s="218">
        <f>IF(EJ243&lt;=0,3,0)+IF(EJ243&gt;0,EJ243+1,0)*3+IF(EJ243&gt;12,EJ243-12,0)*3+IF(EJ243&gt;13,EJ243-13,0)*3+IF(EJ243&gt;14,EJ243-14,0)*3+IF(EJ243&gt;15,EJ243-15,0)*3+IF(EJ243&gt;16,EJ243-16,0)*3+IF(EJ243&gt;17,EJ243-17,0)*3+IF(EJ243&gt;18,EJ243-18,0)*3+IF(EJ243&gt;19,EJ243-19,0)*3+IF(EJ243&gt;20,EJ243-20,0)*3</f>
        <v>231.02155172413785</v>
      </c>
      <c r="EN243" s="242">
        <f>IF(EK243&lt;=0,3,0)+IF(EK243&gt;0,EK243+1,0)*3+IF(EK243&gt;12,EK243-12,0)*3+IF(EK243&gt;13,EK243-13,0)*3+IF(EK243&gt;14,EK243-14,0)*3+IF(EK243&gt;15,EK243-15,0)*3+IF(EK243&gt;16,EK243-16,0)*3+IF(EK243&gt;17,EK243-17,0)*3+IF(EK243&gt;18,EK243-18,0)*3+IF(EK243&gt;19,EK243-19,0)*3+IF(EK243&gt;20,EK243-20,0)*3</f>
        <v>3</v>
      </c>
      <c r="EO243" s="243">
        <f t="shared" si="1688"/>
        <v>228.02155172413785</v>
      </c>
      <c r="EP243" s="218">
        <f t="shared" si="1689"/>
        <v>0</v>
      </c>
      <c r="ER243" s="303" t="s">
        <v>398</v>
      </c>
      <c r="ES243" s="218" t="s">
        <v>84</v>
      </c>
      <c r="ET243" s="243" t="s">
        <v>135</v>
      </c>
      <c r="EU243" s="237">
        <f>Konvention_1slave-MUslave</f>
        <v>12</v>
      </c>
      <c r="EV243" s="234">
        <f>Konvention_1slave-KLslave</f>
        <v>12</v>
      </c>
      <c r="EW243" s="234"/>
      <c r="EX243" s="234">
        <f>Konvention_1slave-CHslave</f>
        <v>12</v>
      </c>
      <c r="EY243" s="234"/>
      <c r="EZ243" s="234"/>
      <c r="FA243" s="234"/>
      <c r="FB243" s="224"/>
      <c r="FC243" s="223">
        <f>(EU243+EV243+EW243+EX243+EY243+EZ243+FA243+FB243)/3</f>
        <v>12</v>
      </c>
      <c r="FD243" s="223">
        <f t="shared" si="1691"/>
        <v>24</v>
      </c>
      <c r="FE243" s="224">
        <f t="shared" si="1692"/>
        <v>36</v>
      </c>
      <c r="FF243" s="237">
        <f t="shared" si="1605"/>
        <v>2304</v>
      </c>
      <c r="FG243" s="234">
        <f>EU243*EV243*CHslave+EU243*KLslave*EX243+MUslave*EV243*EX243</f>
        <v>3456</v>
      </c>
      <c r="FH243" s="224">
        <f t="shared" si="1693"/>
        <v>1728</v>
      </c>
      <c r="FI243" s="224">
        <f>SUM(FF243:FH243)</f>
        <v>7488</v>
      </c>
      <c r="FJ243" s="222">
        <f t="shared" si="1695"/>
        <v>3.6923076923076925</v>
      </c>
      <c r="FK243" s="223">
        <f t="shared" si="1696"/>
        <v>11.076923076923077</v>
      </c>
      <c r="FL243" s="243">
        <f t="shared" si="1697"/>
        <v>8.3076923076923084</v>
      </c>
      <c r="FM243" s="243">
        <f t="shared" si="1698"/>
        <v>23.07692307692308</v>
      </c>
      <c r="FN243" s="252">
        <f t="shared" si="1606"/>
        <v>0</v>
      </c>
      <c r="FO243" s="309">
        <f t="shared" si="1699"/>
        <v>23.07692307692308</v>
      </c>
      <c r="FP243" s="218">
        <f>IF(FM243&lt;=0,3,0)+IF(FM243&gt;0,FM243+1,0)*3+IF(FM243&gt;12,FM243-12,0)*3+IF(FM243&gt;13,FM243-13,0)*3+IF(FM243&gt;14,FM243-14,0)*3+IF(FM243&gt;15,FM243-15,0)*3+IF(FM243&gt;16,FM243-16,0)*3+IF(FM243&gt;17,FM243-17,0)*3+IF(FM243&gt;18,FM243-18,0)*3+IF(FM243&gt;19,FM243-19,0)*3+IF(FM243&gt;20,FM243-20,0)*3</f>
        <v>263.30769230769232</v>
      </c>
      <c r="FQ243" s="242">
        <f>IF(FN243&lt;=0,3,0)+IF(FN243&gt;0,FN243+1,0)*3+IF(FN243&gt;12,FN243-12,0)*3+IF(FN243&gt;13,FN243-13,0)*3+IF(FN243&gt;14,FN243-14,0)*3+IF(FN243&gt;15,FN243-15,0)*3+IF(FN243&gt;16,FN243-16,0)*3+IF(FN243&gt;17,FN243-17,0)*3+IF(FN243&gt;18,FN243-18,0)*3+IF(FN243&gt;19,FN243-19,0)*3+IF(FN243&gt;20,FN243-20,0)*3</f>
        <v>3</v>
      </c>
      <c r="FR243" s="243">
        <f t="shared" si="1700"/>
        <v>260.30769230769232</v>
      </c>
      <c r="FS243" s="218">
        <f t="shared" si="1701"/>
        <v>0</v>
      </c>
      <c r="FU243" s="303" t="s">
        <v>398</v>
      </c>
      <c r="FV243" s="218" t="s">
        <v>84</v>
      </c>
      <c r="FW243" s="243" t="s">
        <v>135</v>
      </c>
      <c r="FX243" s="237">
        <f>Konvention_1slave-MUslave</f>
        <v>12</v>
      </c>
      <c r="FY243" s="234">
        <f>Konvention_1slave-KLslave</f>
        <v>12</v>
      </c>
      <c r="FZ243" s="234"/>
      <c r="GA243" s="234">
        <f>Konvention_1slave-CHslave</f>
        <v>12</v>
      </c>
      <c r="GB243" s="234"/>
      <c r="GC243" s="234"/>
      <c r="GD243" s="234"/>
      <c r="GE243" s="224"/>
      <c r="GF243" s="223">
        <f>(FX243+FY243+FZ243+GA243+GB243+GC243+GD243+GE243)/3</f>
        <v>12</v>
      </c>
      <c r="GG243" s="223">
        <f t="shared" si="1703"/>
        <v>24</v>
      </c>
      <c r="GH243" s="224">
        <f t="shared" si="1704"/>
        <v>36</v>
      </c>
      <c r="GI243" s="237">
        <f t="shared" si="1607"/>
        <v>2304</v>
      </c>
      <c r="GJ243" s="234">
        <f>FX243*FY243*CHslave+FX243*KLslave*GA243+MUslave*FY243*GA243</f>
        <v>3456</v>
      </c>
      <c r="GK243" s="224">
        <f t="shared" si="1705"/>
        <v>1728</v>
      </c>
      <c r="GL243" s="224">
        <f>SUM(GI243:GK243)</f>
        <v>7488</v>
      </c>
      <c r="GM243" s="222">
        <f t="shared" si="1707"/>
        <v>3.6923076923076925</v>
      </c>
      <c r="GN243" s="223">
        <f t="shared" si="1708"/>
        <v>11.076923076923077</v>
      </c>
      <c r="GO243" s="243">
        <f t="shared" si="1709"/>
        <v>8.3076923076923084</v>
      </c>
      <c r="GP243" s="243">
        <f t="shared" si="1710"/>
        <v>23.07692307692308</v>
      </c>
      <c r="GQ243" s="252">
        <f t="shared" si="1608"/>
        <v>0</v>
      </c>
      <c r="GR243" s="309">
        <f t="shared" si="1711"/>
        <v>23.07692307692308</v>
      </c>
      <c r="GS243" s="218">
        <f>IF(GP243&lt;=0,3,0)+IF(GP243&gt;0,GP243+1,0)*3+IF(GP243&gt;12,GP243-12,0)*3+IF(GP243&gt;13,GP243-13,0)*3+IF(GP243&gt;14,GP243-14,0)*3+IF(GP243&gt;15,GP243-15,0)*3+IF(GP243&gt;16,GP243-16,0)*3+IF(GP243&gt;17,GP243-17,0)*3+IF(GP243&gt;18,GP243-18,0)*3+IF(GP243&gt;19,GP243-19,0)*3+IF(GP243&gt;20,GP243-20,0)*3</f>
        <v>263.30769230769232</v>
      </c>
      <c r="GT243" s="242">
        <f>IF(GQ243&lt;=0,3,0)+IF(GQ243&gt;0,GQ243+1,0)*3+IF(GQ243&gt;12,GQ243-12,0)*3+IF(GQ243&gt;13,GQ243-13,0)*3+IF(GQ243&gt;14,GQ243-14,0)*3+IF(GQ243&gt;15,GQ243-15,0)*3+IF(GQ243&gt;16,GQ243-16,0)*3+IF(GQ243&gt;17,GQ243-17,0)*3+IF(GQ243&gt;18,GQ243-18,0)*3+IF(GQ243&gt;19,GQ243-19,0)*3+IF(GQ243&gt;20,GQ243-20,0)*3</f>
        <v>3</v>
      </c>
      <c r="GU243" s="243">
        <f t="shared" si="1712"/>
        <v>260.30769230769232</v>
      </c>
      <c r="GV243" s="218">
        <f t="shared" si="1713"/>
        <v>0</v>
      </c>
      <c r="GX243" s="303" t="s">
        <v>398</v>
      </c>
      <c r="GY243" s="218" t="s">
        <v>84</v>
      </c>
      <c r="GZ243" s="243" t="s">
        <v>135</v>
      </c>
      <c r="HA243" s="237">
        <f>Konvention_1slave-MUslave</f>
        <v>12</v>
      </c>
      <c r="HB243" s="234">
        <f>Konvention_1slave-KLslave</f>
        <v>12</v>
      </c>
      <c r="HC243" s="234"/>
      <c r="HD243" s="234">
        <f>Konvention_1slave-CHslave</f>
        <v>12</v>
      </c>
      <c r="HE243" s="234"/>
      <c r="HF243" s="234"/>
      <c r="HG243" s="234"/>
      <c r="HH243" s="224"/>
      <c r="HI243" s="223">
        <f>(HA243+HB243+HC243+HD243+HE243+HF243+HG243+HH243)/3</f>
        <v>12</v>
      </c>
      <c r="HJ243" s="223">
        <f t="shared" si="1715"/>
        <v>24</v>
      </c>
      <c r="HK243" s="224">
        <f t="shared" si="1716"/>
        <v>36</v>
      </c>
      <c r="HL243" s="237">
        <f t="shared" si="1609"/>
        <v>2304</v>
      </c>
      <c r="HM243" s="234">
        <f>HA243*HB243*CHslave+HA243*KLslave*HD243+MUslave*HB243*HD243</f>
        <v>3456</v>
      </c>
      <c r="HN243" s="224">
        <f t="shared" si="1717"/>
        <v>1728</v>
      </c>
      <c r="HO243" s="224">
        <f>SUM(HL243:HN243)</f>
        <v>7488</v>
      </c>
      <c r="HP243" s="222">
        <f t="shared" si="1719"/>
        <v>3.6923076923076925</v>
      </c>
      <c r="HQ243" s="223">
        <f t="shared" si="1720"/>
        <v>11.076923076923077</v>
      </c>
      <c r="HR243" s="243">
        <f t="shared" si="1721"/>
        <v>8.3076923076923084</v>
      </c>
      <c r="HS243" s="243">
        <f t="shared" si="1722"/>
        <v>23.07692307692308</v>
      </c>
      <c r="HT243" s="252">
        <f t="shared" si="1610"/>
        <v>0</v>
      </c>
      <c r="HU243" s="309">
        <f t="shared" si="1723"/>
        <v>23.07692307692308</v>
      </c>
      <c r="HV243" s="218">
        <f>IF(HS243&lt;=0,3,0)+IF(HS243&gt;0,HS243+1,0)*3+IF(HS243&gt;12,HS243-12,0)*3+IF(HS243&gt;13,HS243-13,0)*3+IF(HS243&gt;14,HS243-14,0)*3+IF(HS243&gt;15,HS243-15,0)*3+IF(HS243&gt;16,HS243-16,0)*3+IF(HS243&gt;17,HS243-17,0)*3+IF(HS243&gt;18,HS243-18,0)*3+IF(HS243&gt;19,HS243-19,0)*3+IF(HS243&gt;20,HS243-20,0)*3</f>
        <v>263.30769230769232</v>
      </c>
      <c r="HW243" s="242">
        <f>IF(HT243&lt;=0,3,0)+IF(HT243&gt;0,HT243+1,0)*3+IF(HT243&gt;12,HT243-12,0)*3+IF(HT243&gt;13,HT243-13,0)*3+IF(HT243&gt;14,HT243-14,0)*3+IF(HT243&gt;15,HT243-15,0)*3+IF(HT243&gt;16,HT243-16,0)*3+IF(HT243&gt;17,HT243-17,0)*3+IF(HT243&gt;18,HT243-18,0)*3+IF(HT243&gt;19,HT243-19,0)*3+IF(HT243&gt;20,HT243-20,0)*3</f>
        <v>3</v>
      </c>
      <c r="HX243" s="243">
        <f t="shared" si="1724"/>
        <v>260.30769230769232</v>
      </c>
      <c r="HY243" s="218">
        <f t="shared" si="1725"/>
        <v>0</v>
      </c>
      <c r="IA243" s="303" t="s">
        <v>398</v>
      </c>
      <c r="IB243" s="218" t="s">
        <v>84</v>
      </c>
      <c r="IC243" s="243" t="s">
        <v>135</v>
      </c>
      <c r="ID243" s="237">
        <f>Konvention_1slave-MUslave</f>
        <v>12</v>
      </c>
      <c r="IE243" s="234">
        <f>Konvention_1slave-KLslave</f>
        <v>12</v>
      </c>
      <c r="IF243" s="234"/>
      <c r="IG243" s="234">
        <f>Konvention_1slave-CHslave</f>
        <v>12</v>
      </c>
      <c r="IH243" s="234"/>
      <c r="II243" s="234"/>
      <c r="IJ243" s="234"/>
      <c r="IK243" s="224"/>
      <c r="IL243" s="223">
        <f>(ID243+IE243+IF243+IG243+IH243+II243+IJ243+IK243)/3</f>
        <v>12</v>
      </c>
      <c r="IM243" s="223">
        <f t="shared" si="1727"/>
        <v>24</v>
      </c>
      <c r="IN243" s="224">
        <f t="shared" si="1728"/>
        <v>36</v>
      </c>
      <c r="IO243" s="237">
        <f t="shared" si="1611"/>
        <v>2304</v>
      </c>
      <c r="IP243" s="234">
        <f>ID243*IE243*CHslave+ID243*KLslave*IG243+MUslave*IE243*IG243</f>
        <v>3456</v>
      </c>
      <c r="IQ243" s="224">
        <f t="shared" si="1729"/>
        <v>1728</v>
      </c>
      <c r="IR243" s="224">
        <f>SUM(IO243:IQ243)</f>
        <v>7488</v>
      </c>
      <c r="IS243" s="222">
        <f t="shared" si="1731"/>
        <v>3.6923076923076925</v>
      </c>
      <c r="IT243" s="223">
        <f t="shared" si="1732"/>
        <v>11.076923076923077</v>
      </c>
      <c r="IU243" s="243">
        <f t="shared" si="1733"/>
        <v>8.3076923076923084</v>
      </c>
      <c r="IV243" s="243">
        <f t="shared" si="1734"/>
        <v>23.07692307692308</v>
      </c>
      <c r="IW243" s="252">
        <f t="shared" si="1612"/>
        <v>0</v>
      </c>
      <c r="IX243" s="309">
        <f t="shared" si="1735"/>
        <v>23.07692307692308</v>
      </c>
      <c r="IY243" s="218">
        <f>IF(IV243&lt;=0,3,0)+IF(IV243&gt;0,IV243+1,0)*3+IF(IV243&gt;12,IV243-12,0)*3+IF(IV243&gt;13,IV243-13,0)*3+IF(IV243&gt;14,IV243-14,0)*3+IF(IV243&gt;15,IV243-15,0)*3+IF(IV243&gt;16,IV243-16,0)*3+IF(IV243&gt;17,IV243-17,0)*3+IF(IV243&gt;18,IV243-18,0)*3+IF(IV243&gt;19,IV243-19,0)*3+IF(IV243&gt;20,IV243-20,0)*3</f>
        <v>263.30769230769232</v>
      </c>
      <c r="IZ243" s="242">
        <f>IF(IW243&lt;=0,3,0)+IF(IW243&gt;0,IW243+1,0)*3+IF(IW243&gt;12,IW243-12,0)*3+IF(IW243&gt;13,IW243-13,0)*3+IF(IW243&gt;14,IW243-14,0)*3+IF(IW243&gt;15,IW243-15,0)*3+IF(IW243&gt;16,IW243-16,0)*3+IF(IW243&gt;17,IW243-17,0)*3+IF(IW243&gt;18,IW243-18,0)*3+IF(IW243&gt;19,IW243-19,0)*3+IF(IW243&gt;20,IW243-20,0)*3</f>
        <v>3</v>
      </c>
      <c r="JA243" s="243">
        <f t="shared" si="1736"/>
        <v>260.30769230769232</v>
      </c>
      <c r="JB243" s="218">
        <f t="shared" si="1737"/>
        <v>0</v>
      </c>
      <c r="JE243" s="148"/>
    </row>
    <row r="244" spans="2:265" hidden="1" outlineLevel="2">
      <c r="B244" s="148">
        <v>32</v>
      </c>
      <c r="C244" s="303" t="e">
        <f>VLOOKUP(AF244,Attribute!C:T,1,FALSE)</f>
        <v>#N/A</v>
      </c>
      <c r="D244" s="86" t="s">
        <v>172</v>
      </c>
      <c r="E244" s="127" t="s">
        <v>132</v>
      </c>
      <c r="F244" s="114">
        <f>Konvention_1master-MUmaster</f>
        <v>12</v>
      </c>
      <c r="G244" s="113"/>
      <c r="H244" s="113"/>
      <c r="I244" s="113">
        <f>Konvention_1master-CHmaster</f>
        <v>12</v>
      </c>
      <c r="J244" s="113"/>
      <c r="K244" s="113">
        <f>Konvention_1master-GEmaster</f>
        <v>12</v>
      </c>
      <c r="L244" s="113"/>
      <c r="M244" s="119"/>
      <c r="N244" s="223">
        <f t="shared" si="1629"/>
        <v>12</v>
      </c>
      <c r="O244" s="223">
        <f t="shared" si="1630"/>
        <v>24</v>
      </c>
      <c r="P244" s="224">
        <f t="shared" si="1631"/>
        <v>36</v>
      </c>
      <c r="Q244" s="237">
        <f t="shared" si="1632"/>
        <v>2304</v>
      </c>
      <c r="R244" s="113">
        <f>F244*I244*GEmaster+F244*CHmaster*K244+MUmaster*I244*K244</f>
        <v>3456</v>
      </c>
      <c r="S244" s="224">
        <f t="shared" si="1633"/>
        <v>1728</v>
      </c>
      <c r="T244" s="224">
        <f t="shared" si="1767"/>
        <v>7488</v>
      </c>
      <c r="U244" s="222">
        <f t="shared" si="1635"/>
        <v>3.6923076923076925</v>
      </c>
      <c r="V244" s="223">
        <f t="shared" si="1636"/>
        <v>11.076923076923077</v>
      </c>
      <c r="W244" s="243">
        <f t="shared" si="1637"/>
        <v>8.3076923076923084</v>
      </c>
      <c r="X244" s="243">
        <f t="shared" si="1638"/>
        <v>23.07692307692308</v>
      </c>
      <c r="Y244" s="252">
        <v>0</v>
      </c>
      <c r="Z244" s="198">
        <f t="shared" si="1639"/>
        <v>23.07692307692308</v>
      </c>
      <c r="AA244" s="125">
        <f>IF(X244&lt;=0,2,0)+IF(X244&gt;0,X244+1,0)*2+IF(X244&gt;12,X244-12,0)*2+IF(X244&gt;13,X244-13,0)*2+IF(X244&gt;14,X244-14,0)*2+IF(X244&gt;15,X244-15,0)*2+IF(X244&gt;16,X244-16,0)*2+IF(X244&gt;17,X244-17,0)*2+IF(X244&gt;18,X244-18,0)*2+IF(X244&gt;19,X244-19,0)*2+IF(X244&gt;20,X244-20,0)*2</f>
        <v>175.5384615384616</v>
      </c>
      <c r="AB244" s="160">
        <f>IF(Y244&lt;=0,2,0)+IF(Y244&gt;0,Y244+1,0)*2+IF(Y244&gt;12,Y244-12,0)*2+IF(Y244&gt;13,Y244-13,0)*2+IF(Y244&gt;14,Y244-14,0)*2+IF(Y244&gt;15,Y244-15,0)*2+IF(Y244&gt;16,Y244-16,0)*2+IF(Y244&gt;17,Y244-17,0)*2+IF(Y244&gt;18,Y244-18,0)*2+IF(Y244&gt;19,Y244-19,0)*2+IF(Y244&gt;20,Y244-20,0)*2</f>
        <v>2</v>
      </c>
      <c r="AC244" s="127">
        <f t="shared" si="1640"/>
        <v>173.5384615384616</v>
      </c>
      <c r="AD244" s="125">
        <f t="shared" si="1641"/>
        <v>0</v>
      </c>
      <c r="AF244" s="163" t="s">
        <v>165</v>
      </c>
      <c r="AG244" s="125" t="s">
        <v>172</v>
      </c>
      <c r="AH244" s="127" t="s">
        <v>132</v>
      </c>
      <c r="AI244" s="114">
        <f>Konvention_1slave-MUslave_MU</f>
        <v>11</v>
      </c>
      <c r="AJ244" s="113"/>
      <c r="AK244" s="113"/>
      <c r="AL244" s="113">
        <f>Konvention_1slave-CHslave</f>
        <v>12</v>
      </c>
      <c r="AM244" s="113"/>
      <c r="AN244" s="113">
        <f>Konvention_1slave-GEslave</f>
        <v>12</v>
      </c>
      <c r="AO244" s="113"/>
      <c r="AP244" s="119"/>
      <c r="AQ244" s="47">
        <f t="shared" si="1642"/>
        <v>11.666666666666666</v>
      </c>
      <c r="AR244" s="47">
        <f t="shared" si="1643"/>
        <v>23.333333333333332</v>
      </c>
      <c r="AS244" s="119">
        <f t="shared" si="1644"/>
        <v>35</v>
      </c>
      <c r="AT244" s="114">
        <f t="shared" si="1597"/>
        <v>2432</v>
      </c>
      <c r="AU244" s="113">
        <f>AI244*AL244*GEslave+AI244*CHslave*AN244+MUslave_MU*AL244*AN244</f>
        <v>3408</v>
      </c>
      <c r="AV244" s="119">
        <f t="shared" si="1645"/>
        <v>1584</v>
      </c>
      <c r="AW244" s="119">
        <f t="shared" si="1646"/>
        <v>7424</v>
      </c>
      <c r="AX244" s="89">
        <f t="shared" si="1647"/>
        <v>3.8218390804597702</v>
      </c>
      <c r="AY244" s="47">
        <f t="shared" si="1648"/>
        <v>10.711206896551724</v>
      </c>
      <c r="AZ244" s="127">
        <f t="shared" si="1649"/>
        <v>7.4676724137931032</v>
      </c>
      <c r="BA244" s="127">
        <f t="shared" si="1650"/>
        <v>22.000718390804597</v>
      </c>
      <c r="BB244" s="165">
        <f t="shared" si="1598"/>
        <v>0</v>
      </c>
      <c r="BC244" s="198">
        <f t="shared" si="1651"/>
        <v>22.000718390804597</v>
      </c>
      <c r="BD244" s="125">
        <f>IF(BA244&lt;=0,2,0)+IF(BA244&gt;0,BA244+1,0)*2+IF(BA244&gt;12,BA244-12,0)*2+IF(BA244&gt;13,BA244-13,0)*2+IF(BA244&gt;14,BA244-14,0)*2+IF(BA244&gt;15,BA244-15,0)*2+IF(BA244&gt;16,BA244-16,0)*2+IF(BA244&gt;17,BA244-17,0)*2+IF(BA244&gt;18,BA244-18,0)*2+IF(BA244&gt;19,BA244-19,0)*2+IF(BA244&gt;20,BA244-20,0)*2</f>
        <v>154.01436781609189</v>
      </c>
      <c r="BE244" s="160">
        <f>IF(BB244&lt;=0,2,0)+IF(BB244&gt;0,BB244+1,0)*2+IF(BB244&gt;12,BB244-12,0)*2+IF(BB244&gt;13,BB244-13,0)*2+IF(BB244&gt;14,BB244-14,0)*2+IF(BB244&gt;15,BB244-15,0)*2+IF(BB244&gt;16,BB244-16,0)*2+IF(BB244&gt;17,BB244-17,0)*2+IF(BB244&gt;18,BB244-18,0)*2+IF(BB244&gt;19,BB244-19,0)*2+IF(BB244&gt;20,BB244-20,0)*2</f>
        <v>2</v>
      </c>
      <c r="BF244" s="243">
        <f t="shared" si="1652"/>
        <v>152.01436781609189</v>
      </c>
      <c r="BG244" s="218">
        <f t="shared" si="1653"/>
        <v>0</v>
      </c>
      <c r="BI244" s="303" t="s">
        <v>165</v>
      </c>
      <c r="BJ244" s="218" t="s">
        <v>172</v>
      </c>
      <c r="BK244" s="243" t="s">
        <v>132</v>
      </c>
      <c r="BL244" s="237">
        <f>Konvention_1slave-MUslave</f>
        <v>12</v>
      </c>
      <c r="BM244" s="234"/>
      <c r="BN244" s="234"/>
      <c r="BO244" s="234">
        <f>Konvention_1slave-CHslave</f>
        <v>12</v>
      </c>
      <c r="BP244" s="234"/>
      <c r="BQ244" s="234">
        <f>Konvention_1slave-GEslave</f>
        <v>12</v>
      </c>
      <c r="BR244" s="234"/>
      <c r="BS244" s="224"/>
      <c r="BT244" s="223">
        <f t="shared" si="1654"/>
        <v>12</v>
      </c>
      <c r="BU244" s="223">
        <f t="shared" si="1655"/>
        <v>24</v>
      </c>
      <c r="BV244" s="224">
        <f t="shared" si="1656"/>
        <v>36</v>
      </c>
      <c r="BW244" s="237">
        <f t="shared" si="1599"/>
        <v>2304</v>
      </c>
      <c r="BX244" s="234">
        <f>BL244*BO244*GEslave+BL244*CHslave*BQ244+MUslave*BO244*BQ244</f>
        <v>3456</v>
      </c>
      <c r="BY244" s="224">
        <f t="shared" si="1657"/>
        <v>1728</v>
      </c>
      <c r="BZ244" s="224">
        <f t="shared" si="1658"/>
        <v>7488</v>
      </c>
      <c r="CA244" s="222">
        <f t="shared" si="1659"/>
        <v>3.6923076923076925</v>
      </c>
      <c r="CB244" s="223">
        <f t="shared" si="1660"/>
        <v>11.076923076923077</v>
      </c>
      <c r="CC244" s="243">
        <f t="shared" si="1661"/>
        <v>8.3076923076923084</v>
      </c>
      <c r="CD244" s="243">
        <f t="shared" si="1662"/>
        <v>23.07692307692308</v>
      </c>
      <c r="CE244" s="252">
        <f t="shared" si="1600"/>
        <v>0</v>
      </c>
      <c r="CF244" s="309">
        <f t="shared" si="1663"/>
        <v>23.07692307692308</v>
      </c>
      <c r="CG244" s="218">
        <f>IF(CD244&lt;=0,2,0)+IF(CD244&gt;0,CD244+1,0)*2+IF(CD244&gt;12,CD244-12,0)*2+IF(CD244&gt;13,CD244-13,0)*2+IF(CD244&gt;14,CD244-14,0)*2+IF(CD244&gt;15,CD244-15,0)*2+IF(CD244&gt;16,CD244-16,0)*2+IF(CD244&gt;17,CD244-17,0)*2+IF(CD244&gt;18,CD244-18,0)*2+IF(CD244&gt;19,CD244-19,0)*2+IF(CD244&gt;20,CD244-20,0)*2</f>
        <v>175.5384615384616</v>
      </c>
      <c r="CH244" s="242">
        <f>IF(CE244&lt;=0,2,0)+IF(CE244&gt;0,CE244+1,0)*2+IF(CE244&gt;12,CE244-12,0)*2+IF(CE244&gt;13,CE244-13,0)*2+IF(CE244&gt;14,CE244-14,0)*2+IF(CE244&gt;15,CE244-15,0)*2+IF(CE244&gt;16,CE244-16,0)*2+IF(CE244&gt;17,CE244-17,0)*2+IF(CE244&gt;18,CE244-18,0)*2+IF(CE244&gt;19,CE244-19,0)*2+IF(CE244&gt;20,CE244-20,0)*2</f>
        <v>2</v>
      </c>
      <c r="CI244" s="243">
        <f t="shared" si="1664"/>
        <v>173.5384615384616</v>
      </c>
      <c r="CJ244" s="218">
        <f t="shared" si="1665"/>
        <v>0</v>
      </c>
      <c r="CL244" s="303" t="s">
        <v>165</v>
      </c>
      <c r="CM244" s="218" t="s">
        <v>172</v>
      </c>
      <c r="CN244" s="243" t="s">
        <v>132</v>
      </c>
      <c r="CO244" s="237">
        <f>Konvention_1slave-MUslave</f>
        <v>12</v>
      </c>
      <c r="CP244" s="234"/>
      <c r="CQ244" s="234"/>
      <c r="CR244" s="234">
        <f>Konvention_1slave-CHslave</f>
        <v>12</v>
      </c>
      <c r="CS244" s="234"/>
      <c r="CT244" s="234">
        <f>Konvention_1slave-GEslave</f>
        <v>12</v>
      </c>
      <c r="CU244" s="234"/>
      <c r="CV244" s="224"/>
      <c r="CW244" s="223">
        <f t="shared" si="1666"/>
        <v>12</v>
      </c>
      <c r="CX244" s="223">
        <f t="shared" si="1667"/>
        <v>24</v>
      </c>
      <c r="CY244" s="224">
        <f t="shared" si="1668"/>
        <v>36</v>
      </c>
      <c r="CZ244" s="237">
        <f t="shared" si="1601"/>
        <v>2304</v>
      </c>
      <c r="DA244" s="234">
        <f>CO244*CR244*GEslave+CO244*CHslave*CT244+MUslave*CR244*CT244</f>
        <v>3456</v>
      </c>
      <c r="DB244" s="224">
        <f t="shared" si="1669"/>
        <v>1728</v>
      </c>
      <c r="DC244" s="224">
        <f t="shared" si="1670"/>
        <v>7488</v>
      </c>
      <c r="DD244" s="222">
        <f t="shared" si="1671"/>
        <v>3.6923076923076925</v>
      </c>
      <c r="DE244" s="223">
        <f t="shared" si="1672"/>
        <v>11.076923076923077</v>
      </c>
      <c r="DF244" s="243">
        <f t="shared" si="1673"/>
        <v>8.3076923076923084</v>
      </c>
      <c r="DG244" s="243">
        <f t="shared" si="1674"/>
        <v>23.07692307692308</v>
      </c>
      <c r="DH244" s="252">
        <f t="shared" si="1602"/>
        <v>0</v>
      </c>
      <c r="DI244" s="309">
        <f t="shared" si="1675"/>
        <v>23.07692307692308</v>
      </c>
      <c r="DJ244" s="218">
        <f>IF(DG244&lt;=0,2,0)+IF(DG244&gt;0,DG244+1,0)*2+IF(DG244&gt;12,DG244-12,0)*2+IF(DG244&gt;13,DG244-13,0)*2+IF(DG244&gt;14,DG244-14,0)*2+IF(DG244&gt;15,DG244-15,0)*2+IF(DG244&gt;16,DG244-16,0)*2+IF(DG244&gt;17,DG244-17,0)*2+IF(DG244&gt;18,DG244-18,0)*2+IF(DG244&gt;19,DG244-19,0)*2+IF(DG244&gt;20,DG244-20,0)*2</f>
        <v>175.5384615384616</v>
      </c>
      <c r="DK244" s="242">
        <f>IF(DH244&lt;=0,2,0)+IF(DH244&gt;0,DH244+1,0)*2+IF(DH244&gt;12,DH244-12,0)*2+IF(DH244&gt;13,DH244-13,0)*2+IF(DH244&gt;14,DH244-14,0)*2+IF(DH244&gt;15,DH244-15,0)*2+IF(DH244&gt;16,DH244-16,0)*2+IF(DH244&gt;17,DH244-17,0)*2+IF(DH244&gt;18,DH244-18,0)*2+IF(DH244&gt;19,DH244-19,0)*2+IF(DH244&gt;20,DH244-20,0)*2</f>
        <v>2</v>
      </c>
      <c r="DL244" s="243">
        <f t="shared" si="1676"/>
        <v>173.5384615384616</v>
      </c>
      <c r="DM244" s="218">
        <f t="shared" si="1677"/>
        <v>0</v>
      </c>
      <c r="DO244" s="303" t="s">
        <v>165</v>
      </c>
      <c r="DP244" s="218" t="s">
        <v>172</v>
      </c>
      <c r="DQ244" s="243" t="s">
        <v>132</v>
      </c>
      <c r="DR244" s="237">
        <f>Konvention_1slave-MUslave</f>
        <v>12</v>
      </c>
      <c r="DS244" s="234"/>
      <c r="DT244" s="234"/>
      <c r="DU244" s="234">
        <f>Konvention_1slave-CHslave_CH</f>
        <v>11</v>
      </c>
      <c r="DV244" s="234"/>
      <c r="DW244" s="234">
        <f>Konvention_1slave-GEslave</f>
        <v>12</v>
      </c>
      <c r="DX244" s="234"/>
      <c r="DY244" s="224"/>
      <c r="DZ244" s="223">
        <f t="shared" si="1678"/>
        <v>11.666666666666666</v>
      </c>
      <c r="EA244" s="223">
        <f t="shared" si="1679"/>
        <v>23.333333333333332</v>
      </c>
      <c r="EB244" s="224">
        <f t="shared" si="1680"/>
        <v>35</v>
      </c>
      <c r="EC244" s="237">
        <f t="shared" si="1603"/>
        <v>2432</v>
      </c>
      <c r="ED244" s="234">
        <f>DR244*DU244*GEslave+DR244*CHslave_CH*DW244+MUslave*DU244*DW244</f>
        <v>3408</v>
      </c>
      <c r="EE244" s="224">
        <f t="shared" si="1681"/>
        <v>1584</v>
      </c>
      <c r="EF244" s="224">
        <f t="shared" si="1682"/>
        <v>7424</v>
      </c>
      <c r="EG244" s="222">
        <f t="shared" si="1683"/>
        <v>3.8218390804597702</v>
      </c>
      <c r="EH244" s="223">
        <f t="shared" si="1684"/>
        <v>10.711206896551724</v>
      </c>
      <c r="EI244" s="243">
        <f t="shared" si="1685"/>
        <v>7.4676724137931032</v>
      </c>
      <c r="EJ244" s="243">
        <f t="shared" si="1686"/>
        <v>22.000718390804597</v>
      </c>
      <c r="EK244" s="252">
        <f t="shared" si="1604"/>
        <v>0</v>
      </c>
      <c r="EL244" s="309">
        <f t="shared" si="1687"/>
        <v>22.000718390804597</v>
      </c>
      <c r="EM244" s="218">
        <f>IF(EJ244&lt;=0,2,0)+IF(EJ244&gt;0,EJ244+1,0)*2+IF(EJ244&gt;12,EJ244-12,0)*2+IF(EJ244&gt;13,EJ244-13,0)*2+IF(EJ244&gt;14,EJ244-14,0)*2+IF(EJ244&gt;15,EJ244-15,0)*2+IF(EJ244&gt;16,EJ244-16,0)*2+IF(EJ244&gt;17,EJ244-17,0)*2+IF(EJ244&gt;18,EJ244-18,0)*2+IF(EJ244&gt;19,EJ244-19,0)*2+IF(EJ244&gt;20,EJ244-20,0)*2</f>
        <v>154.01436781609189</v>
      </c>
      <c r="EN244" s="242">
        <f>IF(EK244&lt;=0,2,0)+IF(EK244&gt;0,EK244+1,0)*2+IF(EK244&gt;12,EK244-12,0)*2+IF(EK244&gt;13,EK244-13,0)*2+IF(EK244&gt;14,EK244-14,0)*2+IF(EK244&gt;15,EK244-15,0)*2+IF(EK244&gt;16,EK244-16,0)*2+IF(EK244&gt;17,EK244-17,0)*2+IF(EK244&gt;18,EK244-18,0)*2+IF(EK244&gt;19,EK244-19,0)*2+IF(EK244&gt;20,EK244-20,0)*2</f>
        <v>2</v>
      </c>
      <c r="EO244" s="243">
        <f t="shared" si="1688"/>
        <v>152.01436781609189</v>
      </c>
      <c r="EP244" s="218">
        <f t="shared" si="1689"/>
        <v>0</v>
      </c>
      <c r="ER244" s="303" t="s">
        <v>165</v>
      </c>
      <c r="ES244" s="218" t="s">
        <v>172</v>
      </c>
      <c r="ET244" s="243" t="s">
        <v>132</v>
      </c>
      <c r="EU244" s="237">
        <f>Konvention_1slave-MUslave</f>
        <v>12</v>
      </c>
      <c r="EV244" s="234"/>
      <c r="EW244" s="234"/>
      <c r="EX244" s="234">
        <f>Konvention_1slave-CHslave</f>
        <v>12</v>
      </c>
      <c r="EY244" s="234"/>
      <c r="EZ244" s="234">
        <f>Konvention_1slave-GEslave</f>
        <v>12</v>
      </c>
      <c r="FA244" s="234"/>
      <c r="FB244" s="224"/>
      <c r="FC244" s="223">
        <f t="shared" si="1690"/>
        <v>12</v>
      </c>
      <c r="FD244" s="223">
        <f t="shared" si="1691"/>
        <v>24</v>
      </c>
      <c r="FE244" s="224">
        <f t="shared" si="1692"/>
        <v>36</v>
      </c>
      <c r="FF244" s="237">
        <f t="shared" si="1605"/>
        <v>2304</v>
      </c>
      <c r="FG244" s="234">
        <f>EU244*EX244*GEslave+EU244*CHslave*EZ244+MUslave*EX244*EZ244</f>
        <v>3456</v>
      </c>
      <c r="FH244" s="224">
        <f t="shared" si="1693"/>
        <v>1728</v>
      </c>
      <c r="FI244" s="224">
        <f t="shared" si="1694"/>
        <v>7488</v>
      </c>
      <c r="FJ244" s="222">
        <f t="shared" si="1695"/>
        <v>3.6923076923076925</v>
      </c>
      <c r="FK244" s="223">
        <f t="shared" si="1696"/>
        <v>11.076923076923077</v>
      </c>
      <c r="FL244" s="243">
        <f t="shared" si="1697"/>
        <v>8.3076923076923084</v>
      </c>
      <c r="FM244" s="243">
        <f t="shared" si="1698"/>
        <v>23.07692307692308</v>
      </c>
      <c r="FN244" s="252">
        <f t="shared" si="1606"/>
        <v>0</v>
      </c>
      <c r="FO244" s="309">
        <f t="shared" si="1699"/>
        <v>23.07692307692308</v>
      </c>
      <c r="FP244" s="218">
        <f>IF(FM244&lt;=0,2,0)+IF(FM244&gt;0,FM244+1,0)*2+IF(FM244&gt;12,FM244-12,0)*2+IF(FM244&gt;13,FM244-13,0)*2+IF(FM244&gt;14,FM244-14,0)*2+IF(FM244&gt;15,FM244-15,0)*2+IF(FM244&gt;16,FM244-16,0)*2+IF(FM244&gt;17,FM244-17,0)*2+IF(FM244&gt;18,FM244-18,0)*2+IF(FM244&gt;19,FM244-19,0)*2+IF(FM244&gt;20,FM244-20,0)*2</f>
        <v>175.5384615384616</v>
      </c>
      <c r="FQ244" s="242">
        <f>IF(FN244&lt;=0,2,0)+IF(FN244&gt;0,FN244+1,0)*2+IF(FN244&gt;12,FN244-12,0)*2+IF(FN244&gt;13,FN244-13,0)*2+IF(FN244&gt;14,FN244-14,0)*2+IF(FN244&gt;15,FN244-15,0)*2+IF(FN244&gt;16,FN244-16,0)*2+IF(FN244&gt;17,FN244-17,0)*2+IF(FN244&gt;18,FN244-18,0)*2+IF(FN244&gt;19,FN244-19,0)*2+IF(FN244&gt;20,FN244-20,0)*2</f>
        <v>2</v>
      </c>
      <c r="FR244" s="243">
        <f t="shared" si="1700"/>
        <v>173.5384615384616</v>
      </c>
      <c r="FS244" s="218">
        <f t="shared" si="1701"/>
        <v>0</v>
      </c>
      <c r="FU244" s="303" t="s">
        <v>165</v>
      </c>
      <c r="FV244" s="218" t="s">
        <v>172</v>
      </c>
      <c r="FW244" s="243" t="s">
        <v>132</v>
      </c>
      <c r="FX244" s="237">
        <f>Konvention_1slave-MUslave</f>
        <v>12</v>
      </c>
      <c r="FY244" s="234"/>
      <c r="FZ244" s="234"/>
      <c r="GA244" s="234">
        <f>Konvention_1slave-CHslave</f>
        <v>12</v>
      </c>
      <c r="GB244" s="234"/>
      <c r="GC244" s="234">
        <f>Konvention_1slave-GEslave_GE</f>
        <v>11</v>
      </c>
      <c r="GD244" s="234"/>
      <c r="GE244" s="224"/>
      <c r="GF244" s="223">
        <f t="shared" si="1702"/>
        <v>11.666666666666666</v>
      </c>
      <c r="GG244" s="223">
        <f t="shared" si="1703"/>
        <v>23.333333333333332</v>
      </c>
      <c r="GH244" s="224">
        <f t="shared" si="1704"/>
        <v>35</v>
      </c>
      <c r="GI244" s="237">
        <f t="shared" si="1607"/>
        <v>2432</v>
      </c>
      <c r="GJ244" s="234">
        <f>FX244*GA244*GEslave_GE+FX244*CHslave*GC244+MUslave*GA244*GC244</f>
        <v>3408</v>
      </c>
      <c r="GK244" s="224">
        <f t="shared" si="1705"/>
        <v>1584</v>
      </c>
      <c r="GL244" s="224">
        <f t="shared" si="1706"/>
        <v>7424</v>
      </c>
      <c r="GM244" s="222">
        <f t="shared" si="1707"/>
        <v>3.8218390804597702</v>
      </c>
      <c r="GN244" s="223">
        <f t="shared" si="1708"/>
        <v>10.711206896551724</v>
      </c>
      <c r="GO244" s="243">
        <f t="shared" si="1709"/>
        <v>7.4676724137931032</v>
      </c>
      <c r="GP244" s="243">
        <f t="shared" si="1710"/>
        <v>22.000718390804597</v>
      </c>
      <c r="GQ244" s="252">
        <f t="shared" si="1608"/>
        <v>0</v>
      </c>
      <c r="GR244" s="309">
        <f t="shared" si="1711"/>
        <v>22.000718390804597</v>
      </c>
      <c r="GS244" s="218">
        <f>IF(GP244&lt;=0,2,0)+IF(GP244&gt;0,GP244+1,0)*2+IF(GP244&gt;12,GP244-12,0)*2+IF(GP244&gt;13,GP244-13,0)*2+IF(GP244&gt;14,GP244-14,0)*2+IF(GP244&gt;15,GP244-15,0)*2+IF(GP244&gt;16,GP244-16,0)*2+IF(GP244&gt;17,GP244-17,0)*2+IF(GP244&gt;18,GP244-18,0)*2+IF(GP244&gt;19,GP244-19,0)*2+IF(GP244&gt;20,GP244-20,0)*2</f>
        <v>154.01436781609189</v>
      </c>
      <c r="GT244" s="242">
        <f>IF(GQ244&lt;=0,2,0)+IF(GQ244&gt;0,GQ244+1,0)*2+IF(GQ244&gt;12,GQ244-12,0)*2+IF(GQ244&gt;13,GQ244-13,0)*2+IF(GQ244&gt;14,GQ244-14,0)*2+IF(GQ244&gt;15,GQ244-15,0)*2+IF(GQ244&gt;16,GQ244-16,0)*2+IF(GQ244&gt;17,GQ244-17,0)*2+IF(GQ244&gt;18,GQ244-18,0)*2+IF(GQ244&gt;19,GQ244-19,0)*2+IF(GQ244&gt;20,GQ244-20,0)*2</f>
        <v>2</v>
      </c>
      <c r="GU244" s="243">
        <f t="shared" si="1712"/>
        <v>152.01436781609189</v>
      </c>
      <c r="GV244" s="218">
        <f t="shared" si="1713"/>
        <v>0</v>
      </c>
      <c r="GX244" s="303" t="s">
        <v>165</v>
      </c>
      <c r="GY244" s="218" t="s">
        <v>172</v>
      </c>
      <c r="GZ244" s="243" t="s">
        <v>132</v>
      </c>
      <c r="HA244" s="237">
        <f>Konvention_1slave-MUslave</f>
        <v>12</v>
      </c>
      <c r="HB244" s="234"/>
      <c r="HC244" s="234"/>
      <c r="HD244" s="234">
        <f>Konvention_1slave-CHslave</f>
        <v>12</v>
      </c>
      <c r="HE244" s="234"/>
      <c r="HF244" s="234">
        <f>Konvention_1slave-GEslave</f>
        <v>12</v>
      </c>
      <c r="HG244" s="234"/>
      <c r="HH244" s="224"/>
      <c r="HI244" s="223">
        <f t="shared" si="1714"/>
        <v>12</v>
      </c>
      <c r="HJ244" s="223">
        <f t="shared" si="1715"/>
        <v>24</v>
      </c>
      <c r="HK244" s="224">
        <f t="shared" si="1716"/>
        <v>36</v>
      </c>
      <c r="HL244" s="237">
        <f t="shared" si="1609"/>
        <v>2304</v>
      </c>
      <c r="HM244" s="234">
        <f>HA244*HD244*GEslave+HA244*CHslave*HF244+MUslave*HD244*HF244</f>
        <v>3456</v>
      </c>
      <c r="HN244" s="224">
        <f t="shared" si="1717"/>
        <v>1728</v>
      </c>
      <c r="HO244" s="224">
        <f t="shared" si="1718"/>
        <v>7488</v>
      </c>
      <c r="HP244" s="222">
        <f t="shared" si="1719"/>
        <v>3.6923076923076925</v>
      </c>
      <c r="HQ244" s="223">
        <f t="shared" si="1720"/>
        <v>11.076923076923077</v>
      </c>
      <c r="HR244" s="243">
        <f t="shared" si="1721"/>
        <v>8.3076923076923084</v>
      </c>
      <c r="HS244" s="243">
        <f t="shared" si="1722"/>
        <v>23.07692307692308</v>
      </c>
      <c r="HT244" s="252">
        <f t="shared" si="1610"/>
        <v>0</v>
      </c>
      <c r="HU244" s="309">
        <f t="shared" si="1723"/>
        <v>23.07692307692308</v>
      </c>
      <c r="HV244" s="218">
        <f>IF(HS244&lt;=0,2,0)+IF(HS244&gt;0,HS244+1,0)*2+IF(HS244&gt;12,HS244-12,0)*2+IF(HS244&gt;13,HS244-13,0)*2+IF(HS244&gt;14,HS244-14,0)*2+IF(HS244&gt;15,HS244-15,0)*2+IF(HS244&gt;16,HS244-16,0)*2+IF(HS244&gt;17,HS244-17,0)*2+IF(HS244&gt;18,HS244-18,0)*2+IF(HS244&gt;19,HS244-19,0)*2+IF(HS244&gt;20,HS244-20,0)*2</f>
        <v>175.5384615384616</v>
      </c>
      <c r="HW244" s="242">
        <f>IF(HT244&lt;=0,2,0)+IF(HT244&gt;0,HT244+1,0)*2+IF(HT244&gt;12,HT244-12,0)*2+IF(HT244&gt;13,HT244-13,0)*2+IF(HT244&gt;14,HT244-14,0)*2+IF(HT244&gt;15,HT244-15,0)*2+IF(HT244&gt;16,HT244-16,0)*2+IF(HT244&gt;17,HT244-17,0)*2+IF(HT244&gt;18,HT244-18,0)*2+IF(HT244&gt;19,HT244-19,0)*2+IF(HT244&gt;20,HT244-20,0)*2</f>
        <v>2</v>
      </c>
      <c r="HX244" s="243">
        <f t="shared" si="1724"/>
        <v>173.5384615384616</v>
      </c>
      <c r="HY244" s="218">
        <f t="shared" si="1725"/>
        <v>0</v>
      </c>
      <c r="IA244" s="303" t="s">
        <v>165</v>
      </c>
      <c r="IB244" s="218" t="s">
        <v>172</v>
      </c>
      <c r="IC244" s="243" t="s">
        <v>132</v>
      </c>
      <c r="ID244" s="237">
        <f>Konvention_1slave-MUslave</f>
        <v>12</v>
      </c>
      <c r="IE244" s="234"/>
      <c r="IF244" s="234"/>
      <c r="IG244" s="234">
        <f>Konvention_1slave-CHslave</f>
        <v>12</v>
      </c>
      <c r="IH244" s="234"/>
      <c r="II244" s="234">
        <f>Konvention_1slave-GEslave</f>
        <v>12</v>
      </c>
      <c r="IJ244" s="234"/>
      <c r="IK244" s="224"/>
      <c r="IL244" s="223">
        <f t="shared" si="1726"/>
        <v>12</v>
      </c>
      <c r="IM244" s="223">
        <f t="shared" si="1727"/>
        <v>24</v>
      </c>
      <c r="IN244" s="224">
        <f t="shared" si="1728"/>
        <v>36</v>
      </c>
      <c r="IO244" s="237">
        <f t="shared" si="1611"/>
        <v>2304</v>
      </c>
      <c r="IP244" s="234">
        <f>ID244*IG244*GEslave+ID244*CHslave*II244+MUslave*IG244*II244</f>
        <v>3456</v>
      </c>
      <c r="IQ244" s="224">
        <f t="shared" si="1729"/>
        <v>1728</v>
      </c>
      <c r="IR244" s="224">
        <f t="shared" si="1730"/>
        <v>7488</v>
      </c>
      <c r="IS244" s="222">
        <f t="shared" si="1731"/>
        <v>3.6923076923076925</v>
      </c>
      <c r="IT244" s="223">
        <f t="shared" si="1732"/>
        <v>11.076923076923077</v>
      </c>
      <c r="IU244" s="243">
        <f t="shared" si="1733"/>
        <v>8.3076923076923084</v>
      </c>
      <c r="IV244" s="243">
        <f t="shared" si="1734"/>
        <v>23.07692307692308</v>
      </c>
      <c r="IW244" s="252">
        <f t="shared" si="1612"/>
        <v>0</v>
      </c>
      <c r="IX244" s="309">
        <f t="shared" si="1735"/>
        <v>23.07692307692308</v>
      </c>
      <c r="IY244" s="218">
        <f>IF(IV244&lt;=0,2,0)+IF(IV244&gt;0,IV244+1,0)*2+IF(IV244&gt;12,IV244-12,0)*2+IF(IV244&gt;13,IV244-13,0)*2+IF(IV244&gt;14,IV244-14,0)*2+IF(IV244&gt;15,IV244-15,0)*2+IF(IV244&gt;16,IV244-16,0)*2+IF(IV244&gt;17,IV244-17,0)*2+IF(IV244&gt;18,IV244-18,0)*2+IF(IV244&gt;19,IV244-19,0)*2+IF(IV244&gt;20,IV244-20,0)*2</f>
        <v>175.5384615384616</v>
      </c>
      <c r="IZ244" s="242">
        <f>IF(IW244&lt;=0,2,0)+IF(IW244&gt;0,IW244+1,0)*2+IF(IW244&gt;12,IW244-12,0)*2+IF(IW244&gt;13,IW244-13,0)*2+IF(IW244&gt;14,IW244-14,0)*2+IF(IW244&gt;15,IW244-15,0)*2+IF(IW244&gt;16,IW244-16,0)*2+IF(IW244&gt;17,IW244-17,0)*2+IF(IW244&gt;18,IW244-18,0)*2+IF(IW244&gt;19,IW244-19,0)*2+IF(IW244&gt;20,IW244-20,0)*2</f>
        <v>2</v>
      </c>
      <c r="JA244" s="243">
        <f t="shared" si="1736"/>
        <v>173.5384615384616</v>
      </c>
      <c r="JB244" s="218">
        <f t="shared" si="1737"/>
        <v>0</v>
      </c>
      <c r="JE244" s="148"/>
    </row>
    <row r="245" spans="2:265" hidden="1" outlineLevel="2">
      <c r="B245" s="148">
        <v>33</v>
      </c>
      <c r="C245" s="303" t="e">
        <f>VLOOKUP(AF245,Attribute!C:T,1,FALSE)</f>
        <v>#N/A</v>
      </c>
      <c r="D245" s="125" t="s">
        <v>89</v>
      </c>
      <c r="E245" s="127" t="s">
        <v>132</v>
      </c>
      <c r="F245" s="114"/>
      <c r="G245" s="113">
        <f>Konvention_1master-KLmaster</f>
        <v>12</v>
      </c>
      <c r="H245" s="113"/>
      <c r="I245" s="113"/>
      <c r="J245" s="113">
        <f>Konvention_1master-FFmaster</f>
        <v>12</v>
      </c>
      <c r="K245" s="113"/>
      <c r="L245" s="113"/>
      <c r="M245" s="119">
        <f>Konvention_1master-KKmaster</f>
        <v>12</v>
      </c>
      <c r="N245" s="223">
        <f t="shared" si="1629"/>
        <v>12</v>
      </c>
      <c r="O245" s="223">
        <f t="shared" si="1630"/>
        <v>24</v>
      </c>
      <c r="P245" s="224">
        <f t="shared" si="1631"/>
        <v>36</v>
      </c>
      <c r="Q245" s="237">
        <f t="shared" si="1632"/>
        <v>2304</v>
      </c>
      <c r="R245" s="113">
        <f>G245*J245*KKmaster+G245*FFmaster*M245+KLmaster*J245*M245</f>
        <v>3456</v>
      </c>
      <c r="S245" s="224">
        <f t="shared" si="1633"/>
        <v>1728</v>
      </c>
      <c r="T245" s="224">
        <f t="shared" si="1767"/>
        <v>7488</v>
      </c>
      <c r="U245" s="222">
        <f t="shared" si="1635"/>
        <v>3.6923076923076925</v>
      </c>
      <c r="V245" s="223">
        <f t="shared" si="1636"/>
        <v>11.076923076923077</v>
      </c>
      <c r="W245" s="243">
        <f t="shared" si="1637"/>
        <v>8.3076923076923084</v>
      </c>
      <c r="X245" s="243">
        <f t="shared" si="1638"/>
        <v>23.07692307692308</v>
      </c>
      <c r="Y245" s="252">
        <v>0</v>
      </c>
      <c r="Z245" s="198">
        <f t="shared" si="1639"/>
        <v>23.07692307692308</v>
      </c>
      <c r="AA245" s="125">
        <f>IF(X245&lt;=0,2,0)+IF(X245&gt;0,X245+1,0)*2+IF(X245&gt;12,X245-12,0)*2+IF(X245&gt;13,X245-13,0)*2+IF(X245&gt;14,X245-14,0)*2+IF(X245&gt;15,X245-15,0)*2+IF(X245&gt;16,X245-16,0)*2+IF(X245&gt;17,X245-17,0)*2+IF(X245&gt;18,X245-18,0)*2+IF(X245&gt;19,X245-19,0)*2+IF(X245&gt;20,X245-20,0)*2</f>
        <v>175.5384615384616</v>
      </c>
      <c r="AB245" s="160">
        <f>IF(Y245&lt;=0,2,0)+IF(Y245&gt;0,Y245+1,0)*2+IF(Y245&gt;12,Y245-12,0)*2+IF(Y245&gt;13,Y245-13,0)*2+IF(Y245&gt;14,Y245-14,0)*2+IF(Y245&gt;15,Y245-15,0)*2+IF(Y245&gt;16,Y245-16,0)*2+IF(Y245&gt;17,Y245-17,0)*2+IF(Y245&gt;18,Y245-18,0)*2+IF(Y245&gt;19,Y245-19,0)*2+IF(Y245&gt;20,Y245-20,0)*2</f>
        <v>2</v>
      </c>
      <c r="AC245" s="127">
        <f t="shared" si="1640"/>
        <v>173.5384615384616</v>
      </c>
      <c r="AD245" s="125">
        <f t="shared" si="1641"/>
        <v>0</v>
      </c>
      <c r="AF245" s="163" t="s">
        <v>214</v>
      </c>
      <c r="AG245" s="125" t="s">
        <v>89</v>
      </c>
      <c r="AH245" s="127" t="s">
        <v>132</v>
      </c>
      <c r="AI245" s="114"/>
      <c r="AJ245" s="113">
        <f>Konvention_1slave-KLslave</f>
        <v>12</v>
      </c>
      <c r="AK245" s="113"/>
      <c r="AL245" s="113"/>
      <c r="AM245" s="113">
        <f>Konvention_1slave-FFslave</f>
        <v>12</v>
      </c>
      <c r="AN245" s="113"/>
      <c r="AO245" s="113"/>
      <c r="AP245" s="119">
        <f>Konvention_1slave-KKslave</f>
        <v>12</v>
      </c>
      <c r="AQ245" s="47">
        <f t="shared" si="1642"/>
        <v>12</v>
      </c>
      <c r="AR245" s="47">
        <f t="shared" si="1643"/>
        <v>24</v>
      </c>
      <c r="AS245" s="119">
        <f t="shared" si="1644"/>
        <v>36</v>
      </c>
      <c r="AT245" s="114">
        <f t="shared" si="1597"/>
        <v>2304</v>
      </c>
      <c r="AU245" s="113">
        <f>AJ245*AM245*KKslave+AJ245*FFslave*AP245+KLslave*AM245*AP245</f>
        <v>3456</v>
      </c>
      <c r="AV245" s="119">
        <f t="shared" si="1645"/>
        <v>1728</v>
      </c>
      <c r="AW245" s="119">
        <f t="shared" si="1646"/>
        <v>7488</v>
      </c>
      <c r="AX245" s="89">
        <f t="shared" si="1647"/>
        <v>3.6923076923076925</v>
      </c>
      <c r="AY245" s="47">
        <f t="shared" si="1648"/>
        <v>11.076923076923077</v>
      </c>
      <c r="AZ245" s="127">
        <f t="shared" si="1649"/>
        <v>8.3076923076923084</v>
      </c>
      <c r="BA245" s="127">
        <f t="shared" si="1650"/>
        <v>23.07692307692308</v>
      </c>
      <c r="BB245" s="165">
        <f t="shared" si="1598"/>
        <v>0</v>
      </c>
      <c r="BC245" s="198">
        <f t="shared" si="1651"/>
        <v>23.07692307692308</v>
      </c>
      <c r="BD245" s="125">
        <f>IF(BA245&lt;=0,2,0)+IF(BA245&gt;0,BA245+1,0)*2+IF(BA245&gt;12,BA245-12,0)*2+IF(BA245&gt;13,BA245-13,0)*2+IF(BA245&gt;14,BA245-14,0)*2+IF(BA245&gt;15,BA245-15,0)*2+IF(BA245&gt;16,BA245-16,0)*2+IF(BA245&gt;17,BA245-17,0)*2+IF(BA245&gt;18,BA245-18,0)*2+IF(BA245&gt;19,BA245-19,0)*2+IF(BA245&gt;20,BA245-20,0)*2</f>
        <v>175.5384615384616</v>
      </c>
      <c r="BE245" s="160">
        <f>IF(BB245&lt;=0,2,0)+IF(BB245&gt;0,BB245+1,0)*2+IF(BB245&gt;12,BB245-12,0)*2+IF(BB245&gt;13,BB245-13,0)*2+IF(BB245&gt;14,BB245-14,0)*2+IF(BB245&gt;15,BB245-15,0)*2+IF(BB245&gt;16,BB245-16,0)*2+IF(BB245&gt;17,BB245-17,0)*2+IF(BB245&gt;18,BB245-18,0)*2+IF(BB245&gt;19,BB245-19,0)*2+IF(BB245&gt;20,BB245-20,0)*2</f>
        <v>2</v>
      </c>
      <c r="BF245" s="243">
        <f t="shared" si="1652"/>
        <v>173.5384615384616</v>
      </c>
      <c r="BG245" s="218">
        <f t="shared" si="1653"/>
        <v>0</v>
      </c>
      <c r="BI245" s="303" t="s">
        <v>214</v>
      </c>
      <c r="BJ245" s="218" t="s">
        <v>89</v>
      </c>
      <c r="BK245" s="243" t="s">
        <v>132</v>
      </c>
      <c r="BL245" s="237"/>
      <c r="BM245" s="234">
        <f>Konvention_1slave-KLslave_KL</f>
        <v>11</v>
      </c>
      <c r="BN245" s="234"/>
      <c r="BO245" s="234"/>
      <c r="BP245" s="234">
        <f>Konvention_1slave-FFslave</f>
        <v>12</v>
      </c>
      <c r="BQ245" s="234"/>
      <c r="BR245" s="234"/>
      <c r="BS245" s="224">
        <f>Konvention_1slave-KKslave</f>
        <v>12</v>
      </c>
      <c r="BT245" s="223">
        <f t="shared" si="1654"/>
        <v>11.666666666666666</v>
      </c>
      <c r="BU245" s="223">
        <f t="shared" si="1655"/>
        <v>23.333333333333332</v>
      </c>
      <c r="BV245" s="224">
        <f t="shared" si="1656"/>
        <v>35</v>
      </c>
      <c r="BW245" s="237">
        <f t="shared" si="1599"/>
        <v>2432</v>
      </c>
      <c r="BX245" s="234">
        <f>BM245*BP245*KKslave+BM245*FFslave*BS245+KLslave_KL*BP245*BS245</f>
        <v>3408</v>
      </c>
      <c r="BY245" s="224">
        <f t="shared" si="1657"/>
        <v>1584</v>
      </c>
      <c r="BZ245" s="224">
        <f t="shared" si="1658"/>
        <v>7424</v>
      </c>
      <c r="CA245" s="222">
        <f t="shared" si="1659"/>
        <v>3.8218390804597702</v>
      </c>
      <c r="CB245" s="223">
        <f t="shared" si="1660"/>
        <v>10.711206896551724</v>
      </c>
      <c r="CC245" s="243">
        <f t="shared" si="1661"/>
        <v>7.4676724137931032</v>
      </c>
      <c r="CD245" s="243">
        <f t="shared" si="1662"/>
        <v>22.000718390804597</v>
      </c>
      <c r="CE245" s="252">
        <f t="shared" si="1600"/>
        <v>0</v>
      </c>
      <c r="CF245" s="309">
        <f t="shared" si="1663"/>
        <v>22.000718390804597</v>
      </c>
      <c r="CG245" s="218">
        <f>IF(CD245&lt;=0,2,0)+IF(CD245&gt;0,CD245+1,0)*2+IF(CD245&gt;12,CD245-12,0)*2+IF(CD245&gt;13,CD245-13,0)*2+IF(CD245&gt;14,CD245-14,0)*2+IF(CD245&gt;15,CD245-15,0)*2+IF(CD245&gt;16,CD245-16,0)*2+IF(CD245&gt;17,CD245-17,0)*2+IF(CD245&gt;18,CD245-18,0)*2+IF(CD245&gt;19,CD245-19,0)*2+IF(CD245&gt;20,CD245-20,0)*2</f>
        <v>154.01436781609189</v>
      </c>
      <c r="CH245" s="242">
        <f>IF(CE245&lt;=0,2,0)+IF(CE245&gt;0,CE245+1,0)*2+IF(CE245&gt;12,CE245-12,0)*2+IF(CE245&gt;13,CE245-13,0)*2+IF(CE245&gt;14,CE245-14,0)*2+IF(CE245&gt;15,CE245-15,0)*2+IF(CE245&gt;16,CE245-16,0)*2+IF(CE245&gt;17,CE245-17,0)*2+IF(CE245&gt;18,CE245-18,0)*2+IF(CE245&gt;19,CE245-19,0)*2+IF(CE245&gt;20,CE245-20,0)*2</f>
        <v>2</v>
      </c>
      <c r="CI245" s="243">
        <f t="shared" si="1664"/>
        <v>152.01436781609189</v>
      </c>
      <c r="CJ245" s="218">
        <f t="shared" si="1665"/>
        <v>0</v>
      </c>
      <c r="CL245" s="303" t="s">
        <v>214</v>
      </c>
      <c r="CM245" s="218" t="s">
        <v>89</v>
      </c>
      <c r="CN245" s="243" t="s">
        <v>132</v>
      </c>
      <c r="CO245" s="237"/>
      <c r="CP245" s="234">
        <f>Konvention_1slave-KLslave</f>
        <v>12</v>
      </c>
      <c r="CQ245" s="234"/>
      <c r="CR245" s="234"/>
      <c r="CS245" s="234">
        <f>Konvention_1slave-FFslave</f>
        <v>12</v>
      </c>
      <c r="CT245" s="234"/>
      <c r="CU245" s="234"/>
      <c r="CV245" s="224">
        <f>Konvention_1slave-KKslave</f>
        <v>12</v>
      </c>
      <c r="CW245" s="223">
        <f t="shared" si="1666"/>
        <v>12</v>
      </c>
      <c r="CX245" s="223">
        <f t="shared" si="1667"/>
        <v>24</v>
      </c>
      <c r="CY245" s="224">
        <f t="shared" si="1668"/>
        <v>36</v>
      </c>
      <c r="CZ245" s="237">
        <f t="shared" si="1601"/>
        <v>2304</v>
      </c>
      <c r="DA245" s="234">
        <f>CP245*CS245*KKslave+CP245*FFslave*CV245+KLslave*CS245*CV245</f>
        <v>3456</v>
      </c>
      <c r="DB245" s="224">
        <f t="shared" si="1669"/>
        <v>1728</v>
      </c>
      <c r="DC245" s="224">
        <f t="shared" si="1670"/>
        <v>7488</v>
      </c>
      <c r="DD245" s="222">
        <f t="shared" si="1671"/>
        <v>3.6923076923076925</v>
      </c>
      <c r="DE245" s="223">
        <f t="shared" si="1672"/>
        <v>11.076923076923077</v>
      </c>
      <c r="DF245" s="243">
        <f t="shared" si="1673"/>
        <v>8.3076923076923084</v>
      </c>
      <c r="DG245" s="243">
        <f t="shared" si="1674"/>
        <v>23.07692307692308</v>
      </c>
      <c r="DH245" s="252">
        <f t="shared" si="1602"/>
        <v>0</v>
      </c>
      <c r="DI245" s="309">
        <f t="shared" si="1675"/>
        <v>23.07692307692308</v>
      </c>
      <c r="DJ245" s="218">
        <f>IF(DG245&lt;=0,2,0)+IF(DG245&gt;0,DG245+1,0)*2+IF(DG245&gt;12,DG245-12,0)*2+IF(DG245&gt;13,DG245-13,0)*2+IF(DG245&gt;14,DG245-14,0)*2+IF(DG245&gt;15,DG245-15,0)*2+IF(DG245&gt;16,DG245-16,0)*2+IF(DG245&gt;17,DG245-17,0)*2+IF(DG245&gt;18,DG245-18,0)*2+IF(DG245&gt;19,DG245-19,0)*2+IF(DG245&gt;20,DG245-20,0)*2</f>
        <v>175.5384615384616</v>
      </c>
      <c r="DK245" s="242">
        <f>IF(DH245&lt;=0,2,0)+IF(DH245&gt;0,DH245+1,0)*2+IF(DH245&gt;12,DH245-12,0)*2+IF(DH245&gt;13,DH245-13,0)*2+IF(DH245&gt;14,DH245-14,0)*2+IF(DH245&gt;15,DH245-15,0)*2+IF(DH245&gt;16,DH245-16,0)*2+IF(DH245&gt;17,DH245-17,0)*2+IF(DH245&gt;18,DH245-18,0)*2+IF(DH245&gt;19,DH245-19,0)*2+IF(DH245&gt;20,DH245-20,0)*2</f>
        <v>2</v>
      </c>
      <c r="DL245" s="243">
        <f t="shared" si="1676"/>
        <v>173.5384615384616</v>
      </c>
      <c r="DM245" s="218">
        <f t="shared" si="1677"/>
        <v>0</v>
      </c>
      <c r="DO245" s="303" t="s">
        <v>214</v>
      </c>
      <c r="DP245" s="218" t="s">
        <v>89</v>
      </c>
      <c r="DQ245" s="243" t="s">
        <v>132</v>
      </c>
      <c r="DR245" s="237"/>
      <c r="DS245" s="234">
        <f>Konvention_1slave-KLslave</f>
        <v>12</v>
      </c>
      <c r="DT245" s="234"/>
      <c r="DU245" s="234"/>
      <c r="DV245" s="234">
        <f>Konvention_1slave-FFslave</f>
        <v>12</v>
      </c>
      <c r="DW245" s="234"/>
      <c r="DX245" s="234"/>
      <c r="DY245" s="224">
        <f>Konvention_1slave-KKslave</f>
        <v>12</v>
      </c>
      <c r="DZ245" s="223">
        <f t="shared" si="1678"/>
        <v>12</v>
      </c>
      <c r="EA245" s="223">
        <f t="shared" si="1679"/>
        <v>24</v>
      </c>
      <c r="EB245" s="224">
        <f t="shared" si="1680"/>
        <v>36</v>
      </c>
      <c r="EC245" s="237">
        <f t="shared" si="1603"/>
        <v>2304</v>
      </c>
      <c r="ED245" s="234">
        <f>DS245*DV245*KKslave+DS245*FFslave*DY245+KLslave*DV245*DY245</f>
        <v>3456</v>
      </c>
      <c r="EE245" s="224">
        <f t="shared" si="1681"/>
        <v>1728</v>
      </c>
      <c r="EF245" s="224">
        <f t="shared" si="1682"/>
        <v>7488</v>
      </c>
      <c r="EG245" s="222">
        <f t="shared" si="1683"/>
        <v>3.6923076923076925</v>
      </c>
      <c r="EH245" s="223">
        <f t="shared" si="1684"/>
        <v>11.076923076923077</v>
      </c>
      <c r="EI245" s="243">
        <f t="shared" si="1685"/>
        <v>8.3076923076923084</v>
      </c>
      <c r="EJ245" s="243">
        <f t="shared" si="1686"/>
        <v>23.07692307692308</v>
      </c>
      <c r="EK245" s="252">
        <f t="shared" si="1604"/>
        <v>0</v>
      </c>
      <c r="EL245" s="309">
        <f t="shared" si="1687"/>
        <v>23.07692307692308</v>
      </c>
      <c r="EM245" s="218">
        <f>IF(EJ245&lt;=0,2,0)+IF(EJ245&gt;0,EJ245+1,0)*2+IF(EJ245&gt;12,EJ245-12,0)*2+IF(EJ245&gt;13,EJ245-13,0)*2+IF(EJ245&gt;14,EJ245-14,0)*2+IF(EJ245&gt;15,EJ245-15,0)*2+IF(EJ245&gt;16,EJ245-16,0)*2+IF(EJ245&gt;17,EJ245-17,0)*2+IF(EJ245&gt;18,EJ245-18,0)*2+IF(EJ245&gt;19,EJ245-19,0)*2+IF(EJ245&gt;20,EJ245-20,0)*2</f>
        <v>175.5384615384616</v>
      </c>
      <c r="EN245" s="242">
        <f>IF(EK245&lt;=0,2,0)+IF(EK245&gt;0,EK245+1,0)*2+IF(EK245&gt;12,EK245-12,0)*2+IF(EK245&gt;13,EK245-13,0)*2+IF(EK245&gt;14,EK245-14,0)*2+IF(EK245&gt;15,EK245-15,0)*2+IF(EK245&gt;16,EK245-16,0)*2+IF(EK245&gt;17,EK245-17,0)*2+IF(EK245&gt;18,EK245-18,0)*2+IF(EK245&gt;19,EK245-19,0)*2+IF(EK245&gt;20,EK245-20,0)*2</f>
        <v>2</v>
      </c>
      <c r="EO245" s="243">
        <f t="shared" si="1688"/>
        <v>173.5384615384616</v>
      </c>
      <c r="EP245" s="218">
        <f t="shared" si="1689"/>
        <v>0</v>
      </c>
      <c r="ER245" s="303" t="s">
        <v>214</v>
      </c>
      <c r="ES245" s="218" t="s">
        <v>89</v>
      </c>
      <c r="ET245" s="243" t="s">
        <v>132</v>
      </c>
      <c r="EU245" s="237"/>
      <c r="EV245" s="234">
        <f>Konvention_1slave-KLslave</f>
        <v>12</v>
      </c>
      <c r="EW245" s="234"/>
      <c r="EX245" s="234"/>
      <c r="EY245" s="234">
        <f>Konvention_1slave-FFslave_FF</f>
        <v>11</v>
      </c>
      <c r="EZ245" s="234"/>
      <c r="FA245" s="234"/>
      <c r="FB245" s="224">
        <f>Konvention_1slave-KKslave</f>
        <v>12</v>
      </c>
      <c r="FC245" s="223">
        <f t="shared" si="1690"/>
        <v>11.666666666666666</v>
      </c>
      <c r="FD245" s="223">
        <f t="shared" si="1691"/>
        <v>23.333333333333332</v>
      </c>
      <c r="FE245" s="224">
        <f t="shared" si="1692"/>
        <v>35</v>
      </c>
      <c r="FF245" s="237">
        <f t="shared" si="1605"/>
        <v>2432</v>
      </c>
      <c r="FG245" s="234">
        <f>EV245*EY245*KKslave+EV245*FFslave_FF*FB245+KLslave*EY245*FB245</f>
        <v>3408</v>
      </c>
      <c r="FH245" s="224">
        <f t="shared" si="1693"/>
        <v>1584</v>
      </c>
      <c r="FI245" s="224">
        <f t="shared" si="1694"/>
        <v>7424</v>
      </c>
      <c r="FJ245" s="222">
        <f t="shared" si="1695"/>
        <v>3.8218390804597702</v>
      </c>
      <c r="FK245" s="223">
        <f t="shared" si="1696"/>
        <v>10.711206896551724</v>
      </c>
      <c r="FL245" s="243">
        <f t="shared" si="1697"/>
        <v>7.4676724137931032</v>
      </c>
      <c r="FM245" s="243">
        <f t="shared" si="1698"/>
        <v>22.000718390804597</v>
      </c>
      <c r="FN245" s="252">
        <f t="shared" si="1606"/>
        <v>0</v>
      </c>
      <c r="FO245" s="309">
        <f t="shared" si="1699"/>
        <v>22.000718390804597</v>
      </c>
      <c r="FP245" s="218">
        <f>IF(FM245&lt;=0,2,0)+IF(FM245&gt;0,FM245+1,0)*2+IF(FM245&gt;12,FM245-12,0)*2+IF(FM245&gt;13,FM245-13,0)*2+IF(FM245&gt;14,FM245-14,0)*2+IF(FM245&gt;15,FM245-15,0)*2+IF(FM245&gt;16,FM245-16,0)*2+IF(FM245&gt;17,FM245-17,0)*2+IF(FM245&gt;18,FM245-18,0)*2+IF(FM245&gt;19,FM245-19,0)*2+IF(FM245&gt;20,FM245-20,0)*2</f>
        <v>154.01436781609189</v>
      </c>
      <c r="FQ245" s="242">
        <f>IF(FN245&lt;=0,2,0)+IF(FN245&gt;0,FN245+1,0)*2+IF(FN245&gt;12,FN245-12,0)*2+IF(FN245&gt;13,FN245-13,0)*2+IF(FN245&gt;14,FN245-14,0)*2+IF(FN245&gt;15,FN245-15,0)*2+IF(FN245&gt;16,FN245-16,0)*2+IF(FN245&gt;17,FN245-17,0)*2+IF(FN245&gt;18,FN245-18,0)*2+IF(FN245&gt;19,FN245-19,0)*2+IF(FN245&gt;20,FN245-20,0)*2</f>
        <v>2</v>
      </c>
      <c r="FR245" s="243">
        <f t="shared" si="1700"/>
        <v>152.01436781609189</v>
      </c>
      <c r="FS245" s="218">
        <f t="shared" si="1701"/>
        <v>0</v>
      </c>
      <c r="FU245" s="303" t="s">
        <v>214</v>
      </c>
      <c r="FV245" s="218" t="s">
        <v>89</v>
      </c>
      <c r="FW245" s="243" t="s">
        <v>132</v>
      </c>
      <c r="FX245" s="237"/>
      <c r="FY245" s="234">
        <f>Konvention_1slave-KLslave</f>
        <v>12</v>
      </c>
      <c r="FZ245" s="234"/>
      <c r="GA245" s="234"/>
      <c r="GB245" s="234">
        <f>Konvention_1slave-FFslave</f>
        <v>12</v>
      </c>
      <c r="GC245" s="234"/>
      <c r="GD245" s="234"/>
      <c r="GE245" s="224">
        <f>Konvention_1slave-KKslave</f>
        <v>12</v>
      </c>
      <c r="GF245" s="223">
        <f t="shared" si="1702"/>
        <v>12</v>
      </c>
      <c r="GG245" s="223">
        <f t="shared" si="1703"/>
        <v>24</v>
      </c>
      <c r="GH245" s="224">
        <f t="shared" si="1704"/>
        <v>36</v>
      </c>
      <c r="GI245" s="237">
        <f t="shared" si="1607"/>
        <v>2304</v>
      </c>
      <c r="GJ245" s="234">
        <f>FY245*GB245*KKslave+FY245*FFslave*GE245+KLslave*GB245*GE245</f>
        <v>3456</v>
      </c>
      <c r="GK245" s="224">
        <f t="shared" si="1705"/>
        <v>1728</v>
      </c>
      <c r="GL245" s="224">
        <f t="shared" si="1706"/>
        <v>7488</v>
      </c>
      <c r="GM245" s="222">
        <f t="shared" si="1707"/>
        <v>3.6923076923076925</v>
      </c>
      <c r="GN245" s="223">
        <f t="shared" si="1708"/>
        <v>11.076923076923077</v>
      </c>
      <c r="GO245" s="243">
        <f t="shared" si="1709"/>
        <v>8.3076923076923084</v>
      </c>
      <c r="GP245" s="243">
        <f t="shared" si="1710"/>
        <v>23.07692307692308</v>
      </c>
      <c r="GQ245" s="252">
        <f t="shared" si="1608"/>
        <v>0</v>
      </c>
      <c r="GR245" s="309">
        <f t="shared" si="1711"/>
        <v>23.07692307692308</v>
      </c>
      <c r="GS245" s="218">
        <f>IF(GP245&lt;=0,2,0)+IF(GP245&gt;0,GP245+1,0)*2+IF(GP245&gt;12,GP245-12,0)*2+IF(GP245&gt;13,GP245-13,0)*2+IF(GP245&gt;14,GP245-14,0)*2+IF(GP245&gt;15,GP245-15,0)*2+IF(GP245&gt;16,GP245-16,0)*2+IF(GP245&gt;17,GP245-17,0)*2+IF(GP245&gt;18,GP245-18,0)*2+IF(GP245&gt;19,GP245-19,0)*2+IF(GP245&gt;20,GP245-20,0)*2</f>
        <v>175.5384615384616</v>
      </c>
      <c r="GT245" s="242">
        <f>IF(GQ245&lt;=0,2,0)+IF(GQ245&gt;0,GQ245+1,0)*2+IF(GQ245&gt;12,GQ245-12,0)*2+IF(GQ245&gt;13,GQ245-13,0)*2+IF(GQ245&gt;14,GQ245-14,0)*2+IF(GQ245&gt;15,GQ245-15,0)*2+IF(GQ245&gt;16,GQ245-16,0)*2+IF(GQ245&gt;17,GQ245-17,0)*2+IF(GQ245&gt;18,GQ245-18,0)*2+IF(GQ245&gt;19,GQ245-19,0)*2+IF(GQ245&gt;20,GQ245-20,0)*2</f>
        <v>2</v>
      </c>
      <c r="GU245" s="243">
        <f t="shared" si="1712"/>
        <v>173.5384615384616</v>
      </c>
      <c r="GV245" s="218">
        <f t="shared" si="1713"/>
        <v>0</v>
      </c>
      <c r="GX245" s="303" t="s">
        <v>214</v>
      </c>
      <c r="GY245" s="218" t="s">
        <v>89</v>
      </c>
      <c r="GZ245" s="243" t="s">
        <v>132</v>
      </c>
      <c r="HA245" s="237"/>
      <c r="HB245" s="234">
        <f>Konvention_1slave-KLslave</f>
        <v>12</v>
      </c>
      <c r="HC245" s="234"/>
      <c r="HD245" s="234"/>
      <c r="HE245" s="234">
        <f>Konvention_1slave-FFslave</f>
        <v>12</v>
      </c>
      <c r="HF245" s="234"/>
      <c r="HG245" s="234"/>
      <c r="HH245" s="224">
        <f>Konvention_1slave-KKslave</f>
        <v>12</v>
      </c>
      <c r="HI245" s="223">
        <f t="shared" si="1714"/>
        <v>12</v>
      </c>
      <c r="HJ245" s="223">
        <f t="shared" si="1715"/>
        <v>24</v>
      </c>
      <c r="HK245" s="224">
        <f t="shared" si="1716"/>
        <v>36</v>
      </c>
      <c r="HL245" s="237">
        <f t="shared" si="1609"/>
        <v>2304</v>
      </c>
      <c r="HM245" s="234">
        <f>HB245*HE245*KKslave+HB245*FFslave*HH245+KLslave*HE245*HH245</f>
        <v>3456</v>
      </c>
      <c r="HN245" s="224">
        <f t="shared" si="1717"/>
        <v>1728</v>
      </c>
      <c r="HO245" s="224">
        <f t="shared" si="1718"/>
        <v>7488</v>
      </c>
      <c r="HP245" s="222">
        <f t="shared" si="1719"/>
        <v>3.6923076923076925</v>
      </c>
      <c r="HQ245" s="223">
        <f t="shared" si="1720"/>
        <v>11.076923076923077</v>
      </c>
      <c r="HR245" s="243">
        <f t="shared" si="1721"/>
        <v>8.3076923076923084</v>
      </c>
      <c r="HS245" s="243">
        <f t="shared" si="1722"/>
        <v>23.07692307692308</v>
      </c>
      <c r="HT245" s="252">
        <f t="shared" si="1610"/>
        <v>0</v>
      </c>
      <c r="HU245" s="309">
        <f t="shared" si="1723"/>
        <v>23.07692307692308</v>
      </c>
      <c r="HV245" s="218">
        <f>IF(HS245&lt;=0,2,0)+IF(HS245&gt;0,HS245+1,0)*2+IF(HS245&gt;12,HS245-12,0)*2+IF(HS245&gt;13,HS245-13,0)*2+IF(HS245&gt;14,HS245-14,0)*2+IF(HS245&gt;15,HS245-15,0)*2+IF(HS245&gt;16,HS245-16,0)*2+IF(HS245&gt;17,HS245-17,0)*2+IF(HS245&gt;18,HS245-18,0)*2+IF(HS245&gt;19,HS245-19,0)*2+IF(HS245&gt;20,HS245-20,0)*2</f>
        <v>175.5384615384616</v>
      </c>
      <c r="HW245" s="242">
        <f>IF(HT245&lt;=0,2,0)+IF(HT245&gt;0,HT245+1,0)*2+IF(HT245&gt;12,HT245-12,0)*2+IF(HT245&gt;13,HT245-13,0)*2+IF(HT245&gt;14,HT245-14,0)*2+IF(HT245&gt;15,HT245-15,0)*2+IF(HT245&gt;16,HT245-16,0)*2+IF(HT245&gt;17,HT245-17,0)*2+IF(HT245&gt;18,HT245-18,0)*2+IF(HT245&gt;19,HT245-19,0)*2+IF(HT245&gt;20,HT245-20,0)*2</f>
        <v>2</v>
      </c>
      <c r="HX245" s="243">
        <f t="shared" si="1724"/>
        <v>173.5384615384616</v>
      </c>
      <c r="HY245" s="218">
        <f t="shared" si="1725"/>
        <v>0</v>
      </c>
      <c r="IA245" s="303" t="s">
        <v>214</v>
      </c>
      <c r="IB245" s="218" t="s">
        <v>89</v>
      </c>
      <c r="IC245" s="243" t="s">
        <v>132</v>
      </c>
      <c r="ID245" s="237"/>
      <c r="IE245" s="234">
        <f>Konvention_1slave-KLslave</f>
        <v>12</v>
      </c>
      <c r="IF245" s="234"/>
      <c r="IG245" s="234"/>
      <c r="IH245" s="234">
        <f>Konvention_1slave-FFslave</f>
        <v>12</v>
      </c>
      <c r="II245" s="234"/>
      <c r="IJ245" s="234"/>
      <c r="IK245" s="224">
        <f>Konvention_1slave-KKslave_KK</f>
        <v>11</v>
      </c>
      <c r="IL245" s="223">
        <f t="shared" si="1726"/>
        <v>11.666666666666666</v>
      </c>
      <c r="IM245" s="223">
        <f t="shared" si="1727"/>
        <v>23.333333333333332</v>
      </c>
      <c r="IN245" s="224">
        <f t="shared" si="1728"/>
        <v>35</v>
      </c>
      <c r="IO245" s="237">
        <f t="shared" si="1611"/>
        <v>2432</v>
      </c>
      <c r="IP245" s="234">
        <f>IE245*IH245*KKslave_KK+IE245*FFslave*IK245+KLslave*IH245*IK245</f>
        <v>3408</v>
      </c>
      <c r="IQ245" s="224">
        <f t="shared" si="1729"/>
        <v>1584</v>
      </c>
      <c r="IR245" s="224">
        <f t="shared" si="1730"/>
        <v>7424</v>
      </c>
      <c r="IS245" s="222">
        <f t="shared" si="1731"/>
        <v>3.8218390804597702</v>
      </c>
      <c r="IT245" s="223">
        <f t="shared" si="1732"/>
        <v>10.711206896551724</v>
      </c>
      <c r="IU245" s="243">
        <f t="shared" si="1733"/>
        <v>7.4676724137931032</v>
      </c>
      <c r="IV245" s="243">
        <f t="shared" si="1734"/>
        <v>22.000718390804597</v>
      </c>
      <c r="IW245" s="252">
        <f t="shared" si="1612"/>
        <v>0</v>
      </c>
      <c r="IX245" s="309">
        <f t="shared" si="1735"/>
        <v>22.000718390804597</v>
      </c>
      <c r="IY245" s="218">
        <f>IF(IV245&lt;=0,2,0)+IF(IV245&gt;0,IV245+1,0)*2+IF(IV245&gt;12,IV245-12,0)*2+IF(IV245&gt;13,IV245-13,0)*2+IF(IV245&gt;14,IV245-14,0)*2+IF(IV245&gt;15,IV245-15,0)*2+IF(IV245&gt;16,IV245-16,0)*2+IF(IV245&gt;17,IV245-17,0)*2+IF(IV245&gt;18,IV245-18,0)*2+IF(IV245&gt;19,IV245-19,0)*2+IF(IV245&gt;20,IV245-20,0)*2</f>
        <v>154.01436781609189</v>
      </c>
      <c r="IZ245" s="242">
        <f>IF(IW245&lt;=0,2,0)+IF(IW245&gt;0,IW245+1,0)*2+IF(IW245&gt;12,IW245-12,0)*2+IF(IW245&gt;13,IW245-13,0)*2+IF(IW245&gt;14,IW245-14,0)*2+IF(IW245&gt;15,IW245-15,0)*2+IF(IW245&gt;16,IW245-16,0)*2+IF(IW245&gt;17,IW245-17,0)*2+IF(IW245&gt;18,IW245-18,0)*2+IF(IW245&gt;19,IW245-19,0)*2+IF(IW245&gt;20,IW245-20,0)*2</f>
        <v>2</v>
      </c>
      <c r="JA245" s="243">
        <f t="shared" si="1736"/>
        <v>152.01436781609189</v>
      </c>
      <c r="JB245" s="218">
        <f t="shared" si="1737"/>
        <v>0</v>
      </c>
      <c r="JE245" s="148"/>
    </row>
    <row r="246" spans="2:265" hidden="1" outlineLevel="2">
      <c r="B246" s="148">
        <v>34</v>
      </c>
      <c r="C246" s="303" t="e">
        <f>VLOOKUP(AF246,Attribute!C:T,1,FALSE)</f>
        <v>#N/A</v>
      </c>
      <c r="D246" s="86" t="s">
        <v>86</v>
      </c>
      <c r="E246" s="127" t="s">
        <v>133</v>
      </c>
      <c r="F246" s="114">
        <f>Konvention_1master-MUmaster</f>
        <v>12</v>
      </c>
      <c r="G246" s="113"/>
      <c r="H246" s="113">
        <f>Konvention_1master-INmaster</f>
        <v>12</v>
      </c>
      <c r="I246" s="113">
        <f>Konvention_1master-CHmaster</f>
        <v>12</v>
      </c>
      <c r="J246" s="113"/>
      <c r="K246" s="113"/>
      <c r="L246" s="113"/>
      <c r="M246" s="119"/>
      <c r="N246" s="223">
        <f t="shared" si="1629"/>
        <v>12</v>
      </c>
      <c r="O246" s="223">
        <f t="shared" si="1630"/>
        <v>24</v>
      </c>
      <c r="P246" s="224">
        <f t="shared" si="1631"/>
        <v>36</v>
      </c>
      <c r="Q246" s="237">
        <f t="shared" si="1632"/>
        <v>2304</v>
      </c>
      <c r="R246" s="113">
        <f>F246*H246*CHmaster+F246*INmaster*I246+MUmaster*H246*I246</f>
        <v>3456</v>
      </c>
      <c r="S246" s="224">
        <f t="shared" si="1633"/>
        <v>1728</v>
      </c>
      <c r="T246" s="224">
        <f t="shared" si="1767"/>
        <v>7488</v>
      </c>
      <c r="U246" s="222">
        <f t="shared" si="1635"/>
        <v>3.6923076923076925</v>
      </c>
      <c r="V246" s="223">
        <f t="shared" si="1636"/>
        <v>11.076923076923077</v>
      </c>
      <c r="W246" s="243">
        <f t="shared" si="1637"/>
        <v>8.3076923076923084</v>
      </c>
      <c r="X246" s="243">
        <f t="shared" si="1638"/>
        <v>23.07692307692308</v>
      </c>
      <c r="Y246" s="252">
        <v>0</v>
      </c>
      <c r="Z246" s="198">
        <f t="shared" si="1639"/>
        <v>23.07692307692308</v>
      </c>
      <c r="AA246" s="125">
        <f>IF(X246&lt;=0,1,0)+IF(X246&gt;0,X246+1,0)*1+IF(X246&gt;12,X246-12,0)*1+IF(X246&gt;13,X246-13,0)*1+IF(X246&gt;14,X246-14,0)*1+IF(X246&gt;15,X246-15,0)*1+IF(X246&gt;16,X246-16,0)*1+IF(X246&gt;17,X246-17,0)*1+IF(X246&gt;18,X246-18,0)*1+IF(X246&gt;19,X246-19,0)*1+IF(X246&gt;20,X246-20,0)*1</f>
        <v>87.769230769230802</v>
      </c>
      <c r="AB246" s="160">
        <f>IF(Y246&lt;=0,1,0)+IF(Y246&gt;0,Y246+1,0)*1+IF(Y246&gt;12,Y246-12,0)*1+IF(Y246&gt;13,Y246-13,0)*1+IF(Y246&gt;14,Y246-14,0)*1+IF(Y246&gt;15,Y246-15,0)*1+IF(Y246&gt;16,Y246-16,0)*1+IF(Y246&gt;17,Y246-17,0)*1+IF(Y246&gt;18,Y246-18,0)*1+IF(Y246&gt;19,Y246-19,0)*1+IF(Y246&gt;20,Y246-20,0)*1</f>
        <v>1</v>
      </c>
      <c r="AC246" s="127">
        <f t="shared" si="1640"/>
        <v>86.769230769230802</v>
      </c>
      <c r="AD246" s="125">
        <f t="shared" si="1641"/>
        <v>0</v>
      </c>
      <c r="AF246" s="163" t="s">
        <v>217</v>
      </c>
      <c r="AG246" s="125" t="s">
        <v>86</v>
      </c>
      <c r="AH246" s="127" t="s">
        <v>133</v>
      </c>
      <c r="AI246" s="114">
        <f>Konvention_1slave-MUslave_MU</f>
        <v>11</v>
      </c>
      <c r="AJ246" s="113"/>
      <c r="AK246" s="113">
        <f>Konvention_1slave-INslave</f>
        <v>12</v>
      </c>
      <c r="AL246" s="113">
        <f>Konvention_1slave-CHslave</f>
        <v>12</v>
      </c>
      <c r="AM246" s="113"/>
      <c r="AN246" s="113"/>
      <c r="AO246" s="113"/>
      <c r="AP246" s="119"/>
      <c r="AQ246" s="47">
        <f t="shared" si="1642"/>
        <v>11.666666666666666</v>
      </c>
      <c r="AR246" s="47">
        <f t="shared" si="1643"/>
        <v>23.333333333333332</v>
      </c>
      <c r="AS246" s="119">
        <f t="shared" si="1644"/>
        <v>35</v>
      </c>
      <c r="AT246" s="114">
        <f t="shared" si="1597"/>
        <v>2432</v>
      </c>
      <c r="AU246" s="113">
        <f>AI246*AK246*CHslave+AI246*INslave*AL246+MUslave_MU*AK246*AL246</f>
        <v>3408</v>
      </c>
      <c r="AV246" s="119">
        <f t="shared" si="1645"/>
        <v>1584</v>
      </c>
      <c r="AW246" s="119">
        <f t="shared" si="1646"/>
        <v>7424</v>
      </c>
      <c r="AX246" s="89">
        <f t="shared" si="1647"/>
        <v>3.8218390804597702</v>
      </c>
      <c r="AY246" s="47">
        <f t="shared" si="1648"/>
        <v>10.711206896551724</v>
      </c>
      <c r="AZ246" s="127">
        <f t="shared" si="1649"/>
        <v>7.4676724137931032</v>
      </c>
      <c r="BA246" s="127">
        <f t="shared" si="1650"/>
        <v>22.000718390804597</v>
      </c>
      <c r="BB246" s="165">
        <f t="shared" si="1598"/>
        <v>0</v>
      </c>
      <c r="BC246" s="198">
        <f t="shared" si="1651"/>
        <v>22.000718390804597</v>
      </c>
      <c r="BD246" s="125">
        <f>IF(BA246&lt;=0,1,0)+IF(BA246&gt;0,BA246+1,0)*1+IF(BA246&gt;12,BA246-12,0)*1+IF(BA246&gt;13,BA246-13,0)*1+IF(BA246&gt;14,BA246-14,0)*1+IF(BA246&gt;15,BA246-15,0)*1+IF(BA246&gt;16,BA246-16,0)*1+IF(BA246&gt;17,BA246-17,0)*1+IF(BA246&gt;18,BA246-18,0)*1+IF(BA246&gt;19,BA246-19,0)*1+IF(BA246&gt;20,BA246-20,0)*1</f>
        <v>77.007183908045945</v>
      </c>
      <c r="BE246" s="160">
        <f>IF(BB246&lt;=0,1,0)+IF(BB246&gt;0,BB246+1,0)*1+IF(BB246&gt;12,BB246-12,0)*1+IF(BB246&gt;13,BB246-13,0)*1+IF(BB246&gt;14,BB246-14,0)*1+IF(BB246&gt;15,BB246-15,0)*1+IF(BB246&gt;16,BB246-16,0)*1+IF(BB246&gt;17,BB246-17,0)*1+IF(BB246&gt;18,BB246-18,0)*1+IF(BB246&gt;19,BB246-19,0)*1+IF(BB246&gt;20,BB246-20,0)*1</f>
        <v>1</v>
      </c>
      <c r="BF246" s="243">
        <f t="shared" si="1652"/>
        <v>76.007183908045945</v>
      </c>
      <c r="BG246" s="218">
        <f t="shared" si="1653"/>
        <v>0</v>
      </c>
      <c r="BI246" s="303" t="s">
        <v>217</v>
      </c>
      <c r="BJ246" s="218" t="s">
        <v>86</v>
      </c>
      <c r="BK246" s="243" t="s">
        <v>133</v>
      </c>
      <c r="BL246" s="237">
        <f>Konvention_1slave-MUslave</f>
        <v>12</v>
      </c>
      <c r="BM246" s="234"/>
      <c r="BN246" s="234">
        <f>Konvention_1slave-INslave</f>
        <v>12</v>
      </c>
      <c r="BO246" s="234">
        <f>Konvention_1slave-CHslave</f>
        <v>12</v>
      </c>
      <c r="BP246" s="234"/>
      <c r="BQ246" s="234"/>
      <c r="BR246" s="234"/>
      <c r="BS246" s="224"/>
      <c r="BT246" s="223">
        <f t="shared" si="1654"/>
        <v>12</v>
      </c>
      <c r="BU246" s="223">
        <f t="shared" si="1655"/>
        <v>24</v>
      </c>
      <c r="BV246" s="224">
        <f t="shared" si="1656"/>
        <v>36</v>
      </c>
      <c r="BW246" s="237">
        <f t="shared" si="1599"/>
        <v>2304</v>
      </c>
      <c r="BX246" s="234">
        <f>BL246*BN246*CHslave+BL246*INslave*BO246+MUslave*BN246*BO246</f>
        <v>3456</v>
      </c>
      <c r="BY246" s="224">
        <f t="shared" si="1657"/>
        <v>1728</v>
      </c>
      <c r="BZ246" s="224">
        <f t="shared" si="1658"/>
        <v>7488</v>
      </c>
      <c r="CA246" s="222">
        <f t="shared" si="1659"/>
        <v>3.6923076923076925</v>
      </c>
      <c r="CB246" s="223">
        <f t="shared" si="1660"/>
        <v>11.076923076923077</v>
      </c>
      <c r="CC246" s="243">
        <f t="shared" si="1661"/>
        <v>8.3076923076923084</v>
      </c>
      <c r="CD246" s="243">
        <f t="shared" si="1662"/>
        <v>23.07692307692308</v>
      </c>
      <c r="CE246" s="252">
        <f t="shared" si="1600"/>
        <v>0</v>
      </c>
      <c r="CF246" s="309">
        <f t="shared" si="1663"/>
        <v>23.07692307692308</v>
      </c>
      <c r="CG246" s="218">
        <f>IF(CD246&lt;=0,1,0)+IF(CD246&gt;0,CD246+1,0)*1+IF(CD246&gt;12,CD246-12,0)*1+IF(CD246&gt;13,CD246-13,0)*1+IF(CD246&gt;14,CD246-14,0)*1+IF(CD246&gt;15,CD246-15,0)*1+IF(CD246&gt;16,CD246-16,0)*1+IF(CD246&gt;17,CD246-17,0)*1+IF(CD246&gt;18,CD246-18,0)*1+IF(CD246&gt;19,CD246-19,0)*1+IF(CD246&gt;20,CD246-20,0)*1</f>
        <v>87.769230769230802</v>
      </c>
      <c r="CH246" s="242">
        <f>IF(CE246&lt;=0,1,0)+IF(CE246&gt;0,CE246+1,0)*1+IF(CE246&gt;12,CE246-12,0)*1+IF(CE246&gt;13,CE246-13,0)*1+IF(CE246&gt;14,CE246-14,0)*1+IF(CE246&gt;15,CE246-15,0)*1+IF(CE246&gt;16,CE246-16,0)*1+IF(CE246&gt;17,CE246-17,0)*1+IF(CE246&gt;18,CE246-18,0)*1+IF(CE246&gt;19,CE246-19,0)*1+IF(CE246&gt;20,CE246-20,0)*1</f>
        <v>1</v>
      </c>
      <c r="CI246" s="243">
        <f t="shared" si="1664"/>
        <v>86.769230769230802</v>
      </c>
      <c r="CJ246" s="218">
        <f t="shared" si="1665"/>
        <v>0</v>
      </c>
      <c r="CL246" s="303" t="s">
        <v>217</v>
      </c>
      <c r="CM246" s="218" t="s">
        <v>86</v>
      </c>
      <c r="CN246" s="243" t="s">
        <v>133</v>
      </c>
      <c r="CO246" s="237">
        <f>Konvention_1slave-MUslave</f>
        <v>12</v>
      </c>
      <c r="CP246" s="234"/>
      <c r="CQ246" s="234">
        <f>Konvention_1slave-INslave_IN</f>
        <v>11</v>
      </c>
      <c r="CR246" s="234">
        <f>Konvention_1slave-CHslave</f>
        <v>12</v>
      </c>
      <c r="CS246" s="234"/>
      <c r="CT246" s="234"/>
      <c r="CU246" s="234"/>
      <c r="CV246" s="224"/>
      <c r="CW246" s="223">
        <f t="shared" si="1666"/>
        <v>11.666666666666666</v>
      </c>
      <c r="CX246" s="223">
        <f t="shared" si="1667"/>
        <v>23.333333333333332</v>
      </c>
      <c r="CY246" s="224">
        <f t="shared" si="1668"/>
        <v>35</v>
      </c>
      <c r="CZ246" s="237">
        <f t="shared" si="1601"/>
        <v>2432</v>
      </c>
      <c r="DA246" s="234">
        <f>CO246*CQ246*CHslave+CO246*INslave_IN*CR246+MUslave*CQ246*CR246</f>
        <v>3408</v>
      </c>
      <c r="DB246" s="224">
        <f t="shared" si="1669"/>
        <v>1584</v>
      </c>
      <c r="DC246" s="224">
        <f t="shared" si="1670"/>
        <v>7424</v>
      </c>
      <c r="DD246" s="222">
        <f t="shared" si="1671"/>
        <v>3.8218390804597702</v>
      </c>
      <c r="DE246" s="223">
        <f t="shared" si="1672"/>
        <v>10.711206896551724</v>
      </c>
      <c r="DF246" s="243">
        <f t="shared" si="1673"/>
        <v>7.4676724137931032</v>
      </c>
      <c r="DG246" s="243">
        <f t="shared" si="1674"/>
        <v>22.000718390804597</v>
      </c>
      <c r="DH246" s="252">
        <f t="shared" si="1602"/>
        <v>0</v>
      </c>
      <c r="DI246" s="309">
        <f t="shared" si="1675"/>
        <v>22.000718390804597</v>
      </c>
      <c r="DJ246" s="218">
        <f>IF(DG246&lt;=0,1,0)+IF(DG246&gt;0,DG246+1,0)*1+IF(DG246&gt;12,DG246-12,0)*1+IF(DG246&gt;13,DG246-13,0)*1+IF(DG246&gt;14,DG246-14,0)*1+IF(DG246&gt;15,DG246-15,0)*1+IF(DG246&gt;16,DG246-16,0)*1+IF(DG246&gt;17,DG246-17,0)*1+IF(DG246&gt;18,DG246-18,0)*1+IF(DG246&gt;19,DG246-19,0)*1+IF(DG246&gt;20,DG246-20,0)*1</f>
        <v>77.007183908045945</v>
      </c>
      <c r="DK246" s="242">
        <f>IF(DH246&lt;=0,1,0)+IF(DH246&gt;0,DH246+1,0)*1+IF(DH246&gt;12,DH246-12,0)*1+IF(DH246&gt;13,DH246-13,0)*1+IF(DH246&gt;14,DH246-14,0)*1+IF(DH246&gt;15,DH246-15,0)*1+IF(DH246&gt;16,DH246-16,0)*1+IF(DH246&gt;17,DH246-17,0)*1+IF(DH246&gt;18,DH246-18,0)*1+IF(DH246&gt;19,DH246-19,0)*1+IF(DH246&gt;20,DH246-20,0)*1</f>
        <v>1</v>
      </c>
      <c r="DL246" s="243">
        <f t="shared" si="1676"/>
        <v>76.007183908045945</v>
      </c>
      <c r="DM246" s="218">
        <f t="shared" si="1677"/>
        <v>0</v>
      </c>
      <c r="DO246" s="303" t="s">
        <v>217</v>
      </c>
      <c r="DP246" s="218" t="s">
        <v>86</v>
      </c>
      <c r="DQ246" s="243" t="s">
        <v>133</v>
      </c>
      <c r="DR246" s="237">
        <f>Konvention_1slave-MUslave</f>
        <v>12</v>
      </c>
      <c r="DS246" s="234"/>
      <c r="DT246" s="234">
        <f>Konvention_1slave-INslave</f>
        <v>12</v>
      </c>
      <c r="DU246" s="234">
        <f>Konvention_1slave-CHslave_CH</f>
        <v>11</v>
      </c>
      <c r="DV246" s="234"/>
      <c r="DW246" s="234"/>
      <c r="DX246" s="234"/>
      <c r="DY246" s="224"/>
      <c r="DZ246" s="223">
        <f t="shared" si="1678"/>
        <v>11.666666666666666</v>
      </c>
      <c r="EA246" s="223">
        <f t="shared" si="1679"/>
        <v>23.333333333333332</v>
      </c>
      <c r="EB246" s="224">
        <f t="shared" si="1680"/>
        <v>35</v>
      </c>
      <c r="EC246" s="237">
        <f t="shared" si="1603"/>
        <v>2432</v>
      </c>
      <c r="ED246" s="234">
        <f>DR246*DT246*CHslave_CH+DR246*INslave*DU246+MUslave*DT246*DU246</f>
        <v>3408</v>
      </c>
      <c r="EE246" s="224">
        <f t="shared" si="1681"/>
        <v>1584</v>
      </c>
      <c r="EF246" s="224">
        <f t="shared" si="1682"/>
        <v>7424</v>
      </c>
      <c r="EG246" s="222">
        <f t="shared" si="1683"/>
        <v>3.8218390804597702</v>
      </c>
      <c r="EH246" s="223">
        <f t="shared" si="1684"/>
        <v>10.711206896551724</v>
      </c>
      <c r="EI246" s="243">
        <f t="shared" si="1685"/>
        <v>7.4676724137931032</v>
      </c>
      <c r="EJ246" s="243">
        <f t="shared" si="1686"/>
        <v>22.000718390804597</v>
      </c>
      <c r="EK246" s="252">
        <f t="shared" si="1604"/>
        <v>0</v>
      </c>
      <c r="EL246" s="309">
        <f t="shared" si="1687"/>
        <v>22.000718390804597</v>
      </c>
      <c r="EM246" s="218">
        <f>IF(EJ246&lt;=0,1,0)+IF(EJ246&gt;0,EJ246+1,0)*1+IF(EJ246&gt;12,EJ246-12,0)*1+IF(EJ246&gt;13,EJ246-13,0)*1+IF(EJ246&gt;14,EJ246-14,0)*1+IF(EJ246&gt;15,EJ246-15,0)*1+IF(EJ246&gt;16,EJ246-16,0)*1+IF(EJ246&gt;17,EJ246-17,0)*1+IF(EJ246&gt;18,EJ246-18,0)*1+IF(EJ246&gt;19,EJ246-19,0)*1+IF(EJ246&gt;20,EJ246-20,0)*1</f>
        <v>77.007183908045945</v>
      </c>
      <c r="EN246" s="242">
        <f>IF(EK246&lt;=0,1,0)+IF(EK246&gt;0,EK246+1,0)*1+IF(EK246&gt;12,EK246-12,0)*1+IF(EK246&gt;13,EK246-13,0)*1+IF(EK246&gt;14,EK246-14,0)*1+IF(EK246&gt;15,EK246-15,0)*1+IF(EK246&gt;16,EK246-16,0)*1+IF(EK246&gt;17,EK246-17,0)*1+IF(EK246&gt;18,EK246-18,0)*1+IF(EK246&gt;19,EK246-19,0)*1+IF(EK246&gt;20,EK246-20,0)*1</f>
        <v>1</v>
      </c>
      <c r="EO246" s="243">
        <f t="shared" si="1688"/>
        <v>76.007183908045945</v>
      </c>
      <c r="EP246" s="218">
        <f t="shared" si="1689"/>
        <v>0</v>
      </c>
      <c r="ER246" s="303" t="s">
        <v>217</v>
      </c>
      <c r="ES246" s="218" t="s">
        <v>86</v>
      </c>
      <c r="ET246" s="243" t="s">
        <v>133</v>
      </c>
      <c r="EU246" s="237">
        <f>Konvention_1slave-MUslave</f>
        <v>12</v>
      </c>
      <c r="EV246" s="234"/>
      <c r="EW246" s="234">
        <f>Konvention_1slave-INslave</f>
        <v>12</v>
      </c>
      <c r="EX246" s="234">
        <f>Konvention_1slave-CHslave</f>
        <v>12</v>
      </c>
      <c r="EY246" s="234"/>
      <c r="EZ246" s="234"/>
      <c r="FA246" s="234"/>
      <c r="FB246" s="224"/>
      <c r="FC246" s="223">
        <f t="shared" si="1690"/>
        <v>12</v>
      </c>
      <c r="FD246" s="223">
        <f t="shared" si="1691"/>
        <v>24</v>
      </c>
      <c r="FE246" s="224">
        <f t="shared" si="1692"/>
        <v>36</v>
      </c>
      <c r="FF246" s="237">
        <f t="shared" si="1605"/>
        <v>2304</v>
      </c>
      <c r="FG246" s="234">
        <f>EU246*EW246*CHslave+EU246*INslave*EX246+MUslave*EW246*EX246</f>
        <v>3456</v>
      </c>
      <c r="FH246" s="224">
        <f t="shared" si="1693"/>
        <v>1728</v>
      </c>
      <c r="FI246" s="224">
        <f t="shared" si="1694"/>
        <v>7488</v>
      </c>
      <c r="FJ246" s="222">
        <f t="shared" si="1695"/>
        <v>3.6923076923076925</v>
      </c>
      <c r="FK246" s="223">
        <f t="shared" si="1696"/>
        <v>11.076923076923077</v>
      </c>
      <c r="FL246" s="243">
        <f t="shared" si="1697"/>
        <v>8.3076923076923084</v>
      </c>
      <c r="FM246" s="243">
        <f t="shared" si="1698"/>
        <v>23.07692307692308</v>
      </c>
      <c r="FN246" s="252">
        <f t="shared" si="1606"/>
        <v>0</v>
      </c>
      <c r="FO246" s="309">
        <f t="shared" si="1699"/>
        <v>23.07692307692308</v>
      </c>
      <c r="FP246" s="218">
        <f>IF(FM246&lt;=0,1,0)+IF(FM246&gt;0,FM246+1,0)*1+IF(FM246&gt;12,FM246-12,0)*1+IF(FM246&gt;13,FM246-13,0)*1+IF(FM246&gt;14,FM246-14,0)*1+IF(FM246&gt;15,FM246-15,0)*1+IF(FM246&gt;16,FM246-16,0)*1+IF(FM246&gt;17,FM246-17,0)*1+IF(FM246&gt;18,FM246-18,0)*1+IF(FM246&gt;19,FM246-19,0)*1+IF(FM246&gt;20,FM246-20,0)*1</f>
        <v>87.769230769230802</v>
      </c>
      <c r="FQ246" s="242">
        <f>IF(FN246&lt;=0,1,0)+IF(FN246&gt;0,FN246+1,0)*1+IF(FN246&gt;12,FN246-12,0)*1+IF(FN246&gt;13,FN246-13,0)*1+IF(FN246&gt;14,FN246-14,0)*1+IF(FN246&gt;15,FN246-15,0)*1+IF(FN246&gt;16,FN246-16,0)*1+IF(FN246&gt;17,FN246-17,0)*1+IF(FN246&gt;18,FN246-18,0)*1+IF(FN246&gt;19,FN246-19,0)*1+IF(FN246&gt;20,FN246-20,0)*1</f>
        <v>1</v>
      </c>
      <c r="FR246" s="243">
        <f t="shared" si="1700"/>
        <v>86.769230769230802</v>
      </c>
      <c r="FS246" s="218">
        <f t="shared" si="1701"/>
        <v>0</v>
      </c>
      <c r="FU246" s="303" t="s">
        <v>217</v>
      </c>
      <c r="FV246" s="218" t="s">
        <v>86</v>
      </c>
      <c r="FW246" s="243" t="s">
        <v>133</v>
      </c>
      <c r="FX246" s="237">
        <f>Konvention_1slave-MUslave</f>
        <v>12</v>
      </c>
      <c r="FY246" s="234"/>
      <c r="FZ246" s="234">
        <f>Konvention_1slave-INslave</f>
        <v>12</v>
      </c>
      <c r="GA246" s="234">
        <f>Konvention_1slave-CHslave</f>
        <v>12</v>
      </c>
      <c r="GB246" s="234"/>
      <c r="GC246" s="234"/>
      <c r="GD246" s="234"/>
      <c r="GE246" s="224"/>
      <c r="GF246" s="223">
        <f t="shared" si="1702"/>
        <v>12</v>
      </c>
      <c r="GG246" s="223">
        <f t="shared" si="1703"/>
        <v>24</v>
      </c>
      <c r="GH246" s="224">
        <f t="shared" si="1704"/>
        <v>36</v>
      </c>
      <c r="GI246" s="237">
        <f t="shared" si="1607"/>
        <v>2304</v>
      </c>
      <c r="GJ246" s="234">
        <f>FX246*FZ246*CHslave+FX246*INslave*GA246+MUslave*FZ246*GA246</f>
        <v>3456</v>
      </c>
      <c r="GK246" s="224">
        <f t="shared" si="1705"/>
        <v>1728</v>
      </c>
      <c r="GL246" s="224">
        <f t="shared" si="1706"/>
        <v>7488</v>
      </c>
      <c r="GM246" s="222">
        <f t="shared" si="1707"/>
        <v>3.6923076923076925</v>
      </c>
      <c r="GN246" s="223">
        <f t="shared" si="1708"/>
        <v>11.076923076923077</v>
      </c>
      <c r="GO246" s="243">
        <f t="shared" si="1709"/>
        <v>8.3076923076923084</v>
      </c>
      <c r="GP246" s="243">
        <f t="shared" si="1710"/>
        <v>23.07692307692308</v>
      </c>
      <c r="GQ246" s="252">
        <f t="shared" si="1608"/>
        <v>0</v>
      </c>
      <c r="GR246" s="309">
        <f t="shared" si="1711"/>
        <v>23.07692307692308</v>
      </c>
      <c r="GS246" s="218">
        <f>IF(GP246&lt;=0,1,0)+IF(GP246&gt;0,GP246+1,0)*1+IF(GP246&gt;12,GP246-12,0)*1+IF(GP246&gt;13,GP246-13,0)*1+IF(GP246&gt;14,GP246-14,0)*1+IF(GP246&gt;15,GP246-15,0)*1+IF(GP246&gt;16,GP246-16,0)*1+IF(GP246&gt;17,GP246-17,0)*1+IF(GP246&gt;18,GP246-18,0)*1+IF(GP246&gt;19,GP246-19,0)*1+IF(GP246&gt;20,GP246-20,0)*1</f>
        <v>87.769230769230802</v>
      </c>
      <c r="GT246" s="242">
        <f>IF(GQ246&lt;=0,1,0)+IF(GQ246&gt;0,GQ246+1,0)*1+IF(GQ246&gt;12,GQ246-12,0)*1+IF(GQ246&gt;13,GQ246-13,0)*1+IF(GQ246&gt;14,GQ246-14,0)*1+IF(GQ246&gt;15,GQ246-15,0)*1+IF(GQ246&gt;16,GQ246-16,0)*1+IF(GQ246&gt;17,GQ246-17,0)*1+IF(GQ246&gt;18,GQ246-18,0)*1+IF(GQ246&gt;19,GQ246-19,0)*1+IF(GQ246&gt;20,GQ246-20,0)*1</f>
        <v>1</v>
      </c>
      <c r="GU246" s="243">
        <f t="shared" si="1712"/>
        <v>86.769230769230802</v>
      </c>
      <c r="GV246" s="218">
        <f t="shared" si="1713"/>
        <v>0</v>
      </c>
      <c r="GX246" s="303" t="s">
        <v>217</v>
      </c>
      <c r="GY246" s="218" t="s">
        <v>86</v>
      </c>
      <c r="GZ246" s="243" t="s">
        <v>133</v>
      </c>
      <c r="HA246" s="237">
        <f>Konvention_1slave-MUslave</f>
        <v>12</v>
      </c>
      <c r="HB246" s="234"/>
      <c r="HC246" s="234">
        <f>Konvention_1slave-INslave</f>
        <v>12</v>
      </c>
      <c r="HD246" s="234">
        <f>Konvention_1slave-CHslave</f>
        <v>12</v>
      </c>
      <c r="HE246" s="234"/>
      <c r="HF246" s="234"/>
      <c r="HG246" s="234"/>
      <c r="HH246" s="224"/>
      <c r="HI246" s="223">
        <f t="shared" si="1714"/>
        <v>12</v>
      </c>
      <c r="HJ246" s="223">
        <f t="shared" si="1715"/>
        <v>24</v>
      </c>
      <c r="HK246" s="224">
        <f t="shared" si="1716"/>
        <v>36</v>
      </c>
      <c r="HL246" s="237">
        <f t="shared" si="1609"/>
        <v>2304</v>
      </c>
      <c r="HM246" s="234">
        <f>HA246*HC246*CHslave+HA246*INslave*HD246+MUslave*HC246*HD246</f>
        <v>3456</v>
      </c>
      <c r="HN246" s="224">
        <f t="shared" si="1717"/>
        <v>1728</v>
      </c>
      <c r="HO246" s="224">
        <f t="shared" si="1718"/>
        <v>7488</v>
      </c>
      <c r="HP246" s="222">
        <f t="shared" si="1719"/>
        <v>3.6923076923076925</v>
      </c>
      <c r="HQ246" s="223">
        <f t="shared" si="1720"/>
        <v>11.076923076923077</v>
      </c>
      <c r="HR246" s="243">
        <f t="shared" si="1721"/>
        <v>8.3076923076923084</v>
      </c>
      <c r="HS246" s="243">
        <f t="shared" si="1722"/>
        <v>23.07692307692308</v>
      </c>
      <c r="HT246" s="252">
        <f t="shared" si="1610"/>
        <v>0</v>
      </c>
      <c r="HU246" s="309">
        <f t="shared" si="1723"/>
        <v>23.07692307692308</v>
      </c>
      <c r="HV246" s="218">
        <f>IF(HS246&lt;=0,1,0)+IF(HS246&gt;0,HS246+1,0)*1+IF(HS246&gt;12,HS246-12,0)*1+IF(HS246&gt;13,HS246-13,0)*1+IF(HS246&gt;14,HS246-14,0)*1+IF(HS246&gt;15,HS246-15,0)*1+IF(HS246&gt;16,HS246-16,0)*1+IF(HS246&gt;17,HS246-17,0)*1+IF(HS246&gt;18,HS246-18,0)*1+IF(HS246&gt;19,HS246-19,0)*1+IF(HS246&gt;20,HS246-20,0)*1</f>
        <v>87.769230769230802</v>
      </c>
      <c r="HW246" s="242">
        <f>IF(HT246&lt;=0,1,0)+IF(HT246&gt;0,HT246+1,0)*1+IF(HT246&gt;12,HT246-12,0)*1+IF(HT246&gt;13,HT246-13,0)*1+IF(HT246&gt;14,HT246-14,0)*1+IF(HT246&gt;15,HT246-15,0)*1+IF(HT246&gt;16,HT246-16,0)*1+IF(HT246&gt;17,HT246-17,0)*1+IF(HT246&gt;18,HT246-18,0)*1+IF(HT246&gt;19,HT246-19,0)*1+IF(HT246&gt;20,HT246-20,0)*1</f>
        <v>1</v>
      </c>
      <c r="HX246" s="243">
        <f t="shared" si="1724"/>
        <v>86.769230769230802</v>
      </c>
      <c r="HY246" s="218">
        <f t="shared" si="1725"/>
        <v>0</v>
      </c>
      <c r="IA246" s="303" t="s">
        <v>217</v>
      </c>
      <c r="IB246" s="218" t="s">
        <v>86</v>
      </c>
      <c r="IC246" s="243" t="s">
        <v>133</v>
      </c>
      <c r="ID246" s="237">
        <f>Konvention_1slave-MUslave</f>
        <v>12</v>
      </c>
      <c r="IE246" s="234"/>
      <c r="IF246" s="234">
        <f>Konvention_1slave-INslave</f>
        <v>12</v>
      </c>
      <c r="IG246" s="234">
        <f>Konvention_1slave-CHslave</f>
        <v>12</v>
      </c>
      <c r="IH246" s="234"/>
      <c r="II246" s="234"/>
      <c r="IJ246" s="234"/>
      <c r="IK246" s="224"/>
      <c r="IL246" s="223">
        <f t="shared" si="1726"/>
        <v>12</v>
      </c>
      <c r="IM246" s="223">
        <f t="shared" si="1727"/>
        <v>24</v>
      </c>
      <c r="IN246" s="224">
        <f t="shared" si="1728"/>
        <v>36</v>
      </c>
      <c r="IO246" s="237">
        <f t="shared" si="1611"/>
        <v>2304</v>
      </c>
      <c r="IP246" s="234">
        <f>ID246*IF246*CHslave+ID246*INslave*IG246+MUslave*IF246*IG246</f>
        <v>3456</v>
      </c>
      <c r="IQ246" s="224">
        <f t="shared" si="1729"/>
        <v>1728</v>
      </c>
      <c r="IR246" s="224">
        <f t="shared" si="1730"/>
        <v>7488</v>
      </c>
      <c r="IS246" s="222">
        <f t="shared" si="1731"/>
        <v>3.6923076923076925</v>
      </c>
      <c r="IT246" s="223">
        <f t="shared" si="1732"/>
        <v>11.076923076923077</v>
      </c>
      <c r="IU246" s="243">
        <f t="shared" si="1733"/>
        <v>8.3076923076923084</v>
      </c>
      <c r="IV246" s="243">
        <f t="shared" si="1734"/>
        <v>23.07692307692308</v>
      </c>
      <c r="IW246" s="252">
        <f t="shared" si="1612"/>
        <v>0</v>
      </c>
      <c r="IX246" s="309">
        <f t="shared" si="1735"/>
        <v>23.07692307692308</v>
      </c>
      <c r="IY246" s="218">
        <f>IF(IV246&lt;=0,1,0)+IF(IV246&gt;0,IV246+1,0)*1+IF(IV246&gt;12,IV246-12,0)*1+IF(IV246&gt;13,IV246-13,0)*1+IF(IV246&gt;14,IV246-14,0)*1+IF(IV246&gt;15,IV246-15,0)*1+IF(IV246&gt;16,IV246-16,0)*1+IF(IV246&gt;17,IV246-17,0)*1+IF(IV246&gt;18,IV246-18,0)*1+IF(IV246&gt;19,IV246-19,0)*1+IF(IV246&gt;20,IV246-20,0)*1</f>
        <v>87.769230769230802</v>
      </c>
      <c r="IZ246" s="242">
        <f>IF(IW246&lt;=0,1,0)+IF(IW246&gt;0,IW246+1,0)*1+IF(IW246&gt;12,IW246-12,0)*1+IF(IW246&gt;13,IW246-13,0)*1+IF(IW246&gt;14,IW246-14,0)*1+IF(IW246&gt;15,IW246-15,0)*1+IF(IW246&gt;16,IW246-16,0)*1+IF(IW246&gt;17,IW246-17,0)*1+IF(IW246&gt;18,IW246-18,0)*1+IF(IW246&gt;19,IW246-19,0)*1+IF(IW246&gt;20,IW246-20,0)*1</f>
        <v>1</v>
      </c>
      <c r="JA246" s="243">
        <f t="shared" si="1736"/>
        <v>86.769230769230802</v>
      </c>
      <c r="JB246" s="218">
        <f t="shared" si="1737"/>
        <v>0</v>
      </c>
      <c r="JE246" s="148"/>
    </row>
    <row r="247" spans="2:265" hidden="1" outlineLevel="2">
      <c r="B247" s="148">
        <v>35</v>
      </c>
      <c r="C247" s="303" t="e">
        <f>VLOOKUP(AF247,Attribute!C:T,1,FALSE)</f>
        <v>#N/A</v>
      </c>
      <c r="D247" s="125" t="s">
        <v>226</v>
      </c>
      <c r="E247" s="127" t="s">
        <v>132</v>
      </c>
      <c r="F247" s="114"/>
      <c r="G247" s="113">
        <f>Konvention_1master-KLmaster</f>
        <v>12</v>
      </c>
      <c r="H247" s="113">
        <f>Konvention_1master-INmaster</f>
        <v>12</v>
      </c>
      <c r="I247" s="113"/>
      <c r="J247" s="113"/>
      <c r="K247" s="113"/>
      <c r="L247" s="113">
        <f>Konvention_1master-KOmaster</f>
        <v>12</v>
      </c>
      <c r="M247" s="119"/>
      <c r="N247" s="223">
        <f t="shared" si="1629"/>
        <v>12</v>
      </c>
      <c r="O247" s="223">
        <f t="shared" si="1630"/>
        <v>24</v>
      </c>
      <c r="P247" s="224">
        <f t="shared" si="1631"/>
        <v>36</v>
      </c>
      <c r="Q247" s="237">
        <f t="shared" si="1632"/>
        <v>2304</v>
      </c>
      <c r="R247" s="113">
        <f>G247*H247*KOmaster+G247*INmaster*L247+KLmaster*H247*L247</f>
        <v>3456</v>
      </c>
      <c r="S247" s="224">
        <f t="shared" si="1633"/>
        <v>1728</v>
      </c>
      <c r="T247" s="224">
        <f t="shared" si="1767"/>
        <v>7488</v>
      </c>
      <c r="U247" s="222">
        <f t="shared" si="1635"/>
        <v>3.6923076923076925</v>
      </c>
      <c r="V247" s="223">
        <f t="shared" si="1636"/>
        <v>11.076923076923077</v>
      </c>
      <c r="W247" s="243">
        <f t="shared" si="1637"/>
        <v>8.3076923076923084</v>
      </c>
      <c r="X247" s="243">
        <f t="shared" si="1638"/>
        <v>23.07692307692308</v>
      </c>
      <c r="Y247" s="252">
        <v>0</v>
      </c>
      <c r="Z247" s="198">
        <f t="shared" si="1639"/>
        <v>23.07692307692308</v>
      </c>
      <c r="AA247" s="125">
        <f>IF(X247&lt;=0,2,0)+IF(X247&gt;0,X247+1,0)*2+IF(X247&gt;12,X247-12,0)*2+IF(X247&gt;13,X247-13,0)*2+IF(X247&gt;14,X247-14,0)*2+IF(X247&gt;15,X247-15,0)*2+IF(X247&gt;16,X247-16,0)*2+IF(X247&gt;17,X247-17,0)*2+IF(X247&gt;18,X247-18,0)*2+IF(X247&gt;19,X247-19,0)*2+IF(X247&gt;20,X247-20,0)*2</f>
        <v>175.5384615384616</v>
      </c>
      <c r="AB247" s="160">
        <f>IF(Y247&lt;=0,2,0)+IF(Y247&gt;0,Y247+1,0)*2+IF(Y247&gt;12,Y247-12,0)*2+IF(Y247&gt;13,Y247-13,0)*2+IF(Y247&gt;14,Y247-14,0)*2+IF(Y247&gt;15,Y247-15,0)*2+IF(Y247&gt;16,Y247-16,0)*2+IF(Y247&gt;17,Y247-17,0)*2+IF(Y247&gt;18,Y247-18,0)*2+IF(Y247&gt;19,Y247-19,0)*2+IF(Y247&gt;20,Y247-20,0)*2</f>
        <v>2</v>
      </c>
      <c r="AC247" s="127">
        <f t="shared" si="1640"/>
        <v>173.5384615384616</v>
      </c>
      <c r="AD247" s="125">
        <f t="shared" si="1641"/>
        <v>0</v>
      </c>
      <c r="AF247" s="163" t="s">
        <v>218</v>
      </c>
      <c r="AG247" s="125" t="s">
        <v>226</v>
      </c>
      <c r="AH247" s="127" t="s">
        <v>132</v>
      </c>
      <c r="AI247" s="114"/>
      <c r="AJ247" s="113">
        <f>Konvention_1slave-KLslave</f>
        <v>12</v>
      </c>
      <c r="AK247" s="113">
        <f>Konvention_1slave-INslave</f>
        <v>12</v>
      </c>
      <c r="AL247" s="113"/>
      <c r="AM247" s="113"/>
      <c r="AN247" s="113"/>
      <c r="AO247" s="113">
        <f>Konvention_1slave-KOslave</f>
        <v>12</v>
      </c>
      <c r="AP247" s="119"/>
      <c r="AQ247" s="47">
        <f t="shared" si="1642"/>
        <v>12</v>
      </c>
      <c r="AR247" s="47">
        <f t="shared" si="1643"/>
        <v>24</v>
      </c>
      <c r="AS247" s="119">
        <f t="shared" si="1644"/>
        <v>36</v>
      </c>
      <c r="AT247" s="114">
        <f t="shared" si="1597"/>
        <v>2304</v>
      </c>
      <c r="AU247" s="113">
        <f>AJ247*AK247*KOslave+AJ247*INslave*AO247+KLslave*AK247*AO247</f>
        <v>3456</v>
      </c>
      <c r="AV247" s="119">
        <f t="shared" si="1645"/>
        <v>1728</v>
      </c>
      <c r="AW247" s="119">
        <f t="shared" si="1646"/>
        <v>7488</v>
      </c>
      <c r="AX247" s="89">
        <f t="shared" si="1647"/>
        <v>3.6923076923076925</v>
      </c>
      <c r="AY247" s="47">
        <f t="shared" si="1648"/>
        <v>11.076923076923077</v>
      </c>
      <c r="AZ247" s="127">
        <f t="shared" si="1649"/>
        <v>8.3076923076923084</v>
      </c>
      <c r="BA247" s="127">
        <f t="shared" si="1650"/>
        <v>23.07692307692308</v>
      </c>
      <c r="BB247" s="165">
        <f t="shared" si="1598"/>
        <v>0</v>
      </c>
      <c r="BC247" s="198">
        <f t="shared" si="1651"/>
        <v>23.07692307692308</v>
      </c>
      <c r="BD247" s="125">
        <f>IF(BA247&lt;=0,2,0)+IF(BA247&gt;0,BA247+1,0)*2+IF(BA247&gt;12,BA247-12,0)*2+IF(BA247&gt;13,BA247-13,0)*2+IF(BA247&gt;14,BA247-14,0)*2+IF(BA247&gt;15,BA247-15,0)*2+IF(BA247&gt;16,BA247-16,0)*2+IF(BA247&gt;17,BA247-17,0)*2+IF(BA247&gt;18,BA247-18,0)*2+IF(BA247&gt;19,BA247-19,0)*2+IF(BA247&gt;20,BA247-20,0)*2</f>
        <v>175.5384615384616</v>
      </c>
      <c r="BE247" s="160">
        <f>IF(BB247&lt;=0,2,0)+IF(BB247&gt;0,BB247+1,0)*2+IF(BB247&gt;12,BB247-12,0)*2+IF(BB247&gt;13,BB247-13,0)*2+IF(BB247&gt;14,BB247-14,0)*2+IF(BB247&gt;15,BB247-15,0)*2+IF(BB247&gt;16,BB247-16,0)*2+IF(BB247&gt;17,BB247-17,0)*2+IF(BB247&gt;18,BB247-18,0)*2+IF(BB247&gt;19,BB247-19,0)*2+IF(BB247&gt;20,BB247-20,0)*2</f>
        <v>2</v>
      </c>
      <c r="BF247" s="243">
        <f t="shared" si="1652"/>
        <v>173.5384615384616</v>
      </c>
      <c r="BG247" s="218">
        <f t="shared" si="1653"/>
        <v>0</v>
      </c>
      <c r="BI247" s="303" t="s">
        <v>218</v>
      </c>
      <c r="BJ247" s="218" t="s">
        <v>226</v>
      </c>
      <c r="BK247" s="243" t="s">
        <v>132</v>
      </c>
      <c r="BL247" s="237"/>
      <c r="BM247" s="234">
        <f>Konvention_1slave-KLslave_KL</f>
        <v>11</v>
      </c>
      <c r="BN247" s="234">
        <f>Konvention_1slave-INslave</f>
        <v>12</v>
      </c>
      <c r="BO247" s="234"/>
      <c r="BP247" s="234"/>
      <c r="BQ247" s="234"/>
      <c r="BR247" s="234">
        <f>Konvention_1slave-KOslave</f>
        <v>12</v>
      </c>
      <c r="BS247" s="224"/>
      <c r="BT247" s="223">
        <f t="shared" si="1654"/>
        <v>11.666666666666666</v>
      </c>
      <c r="BU247" s="223">
        <f t="shared" si="1655"/>
        <v>23.333333333333332</v>
      </c>
      <c r="BV247" s="224">
        <f t="shared" si="1656"/>
        <v>35</v>
      </c>
      <c r="BW247" s="237">
        <f t="shared" si="1599"/>
        <v>2432</v>
      </c>
      <c r="BX247" s="234">
        <f>BM247*BN247*KOslave+BM247*INslave*BR247+KLslave_KL*BN247*BR247</f>
        <v>3408</v>
      </c>
      <c r="BY247" s="224">
        <f t="shared" si="1657"/>
        <v>1584</v>
      </c>
      <c r="BZ247" s="224">
        <f t="shared" si="1658"/>
        <v>7424</v>
      </c>
      <c r="CA247" s="222">
        <f t="shared" si="1659"/>
        <v>3.8218390804597702</v>
      </c>
      <c r="CB247" s="223">
        <f t="shared" si="1660"/>
        <v>10.711206896551724</v>
      </c>
      <c r="CC247" s="243">
        <f t="shared" si="1661"/>
        <v>7.4676724137931032</v>
      </c>
      <c r="CD247" s="243">
        <f t="shared" si="1662"/>
        <v>22.000718390804597</v>
      </c>
      <c r="CE247" s="252">
        <f t="shared" si="1600"/>
        <v>0</v>
      </c>
      <c r="CF247" s="309">
        <f t="shared" si="1663"/>
        <v>22.000718390804597</v>
      </c>
      <c r="CG247" s="218">
        <f>IF(CD247&lt;=0,2,0)+IF(CD247&gt;0,CD247+1,0)*2+IF(CD247&gt;12,CD247-12,0)*2+IF(CD247&gt;13,CD247-13,0)*2+IF(CD247&gt;14,CD247-14,0)*2+IF(CD247&gt;15,CD247-15,0)*2+IF(CD247&gt;16,CD247-16,0)*2+IF(CD247&gt;17,CD247-17,0)*2+IF(CD247&gt;18,CD247-18,0)*2+IF(CD247&gt;19,CD247-19,0)*2+IF(CD247&gt;20,CD247-20,0)*2</f>
        <v>154.01436781609189</v>
      </c>
      <c r="CH247" s="242">
        <f>IF(CE247&lt;=0,2,0)+IF(CE247&gt;0,CE247+1,0)*2+IF(CE247&gt;12,CE247-12,0)*2+IF(CE247&gt;13,CE247-13,0)*2+IF(CE247&gt;14,CE247-14,0)*2+IF(CE247&gt;15,CE247-15,0)*2+IF(CE247&gt;16,CE247-16,0)*2+IF(CE247&gt;17,CE247-17,0)*2+IF(CE247&gt;18,CE247-18,0)*2+IF(CE247&gt;19,CE247-19,0)*2+IF(CE247&gt;20,CE247-20,0)*2</f>
        <v>2</v>
      </c>
      <c r="CI247" s="243">
        <f t="shared" si="1664"/>
        <v>152.01436781609189</v>
      </c>
      <c r="CJ247" s="218">
        <f t="shared" si="1665"/>
        <v>0</v>
      </c>
      <c r="CL247" s="303" t="s">
        <v>218</v>
      </c>
      <c r="CM247" s="218" t="s">
        <v>226</v>
      </c>
      <c r="CN247" s="243" t="s">
        <v>132</v>
      </c>
      <c r="CO247" s="237"/>
      <c r="CP247" s="234">
        <f>Konvention_1slave-KLslave</f>
        <v>12</v>
      </c>
      <c r="CQ247" s="234">
        <f>Konvention_1slave-INslave_IN</f>
        <v>11</v>
      </c>
      <c r="CR247" s="234"/>
      <c r="CS247" s="234"/>
      <c r="CT247" s="234"/>
      <c r="CU247" s="234">
        <f>Konvention_1slave-KOslave</f>
        <v>12</v>
      </c>
      <c r="CV247" s="224"/>
      <c r="CW247" s="223">
        <f t="shared" si="1666"/>
        <v>11.666666666666666</v>
      </c>
      <c r="CX247" s="223">
        <f t="shared" si="1667"/>
        <v>23.333333333333332</v>
      </c>
      <c r="CY247" s="224">
        <f t="shared" si="1668"/>
        <v>35</v>
      </c>
      <c r="CZ247" s="237">
        <f t="shared" si="1601"/>
        <v>2432</v>
      </c>
      <c r="DA247" s="234">
        <f>CP247*CQ247*KOslave+CP247*INslave_IN*CU247+KLslave*CQ247*CU247</f>
        <v>3408</v>
      </c>
      <c r="DB247" s="224">
        <f t="shared" si="1669"/>
        <v>1584</v>
      </c>
      <c r="DC247" s="224">
        <f t="shared" si="1670"/>
        <v>7424</v>
      </c>
      <c r="DD247" s="222">
        <f t="shared" si="1671"/>
        <v>3.8218390804597702</v>
      </c>
      <c r="DE247" s="223">
        <f t="shared" si="1672"/>
        <v>10.711206896551724</v>
      </c>
      <c r="DF247" s="243">
        <f t="shared" si="1673"/>
        <v>7.4676724137931032</v>
      </c>
      <c r="DG247" s="243">
        <f t="shared" si="1674"/>
        <v>22.000718390804597</v>
      </c>
      <c r="DH247" s="252">
        <f t="shared" si="1602"/>
        <v>0</v>
      </c>
      <c r="DI247" s="309">
        <f t="shared" si="1675"/>
        <v>22.000718390804597</v>
      </c>
      <c r="DJ247" s="218">
        <f>IF(DG247&lt;=0,2,0)+IF(DG247&gt;0,DG247+1,0)*2+IF(DG247&gt;12,DG247-12,0)*2+IF(DG247&gt;13,DG247-13,0)*2+IF(DG247&gt;14,DG247-14,0)*2+IF(DG247&gt;15,DG247-15,0)*2+IF(DG247&gt;16,DG247-16,0)*2+IF(DG247&gt;17,DG247-17,0)*2+IF(DG247&gt;18,DG247-18,0)*2+IF(DG247&gt;19,DG247-19,0)*2+IF(DG247&gt;20,DG247-20,0)*2</f>
        <v>154.01436781609189</v>
      </c>
      <c r="DK247" s="242">
        <f>IF(DH247&lt;=0,2,0)+IF(DH247&gt;0,DH247+1,0)*2+IF(DH247&gt;12,DH247-12,0)*2+IF(DH247&gt;13,DH247-13,0)*2+IF(DH247&gt;14,DH247-14,0)*2+IF(DH247&gt;15,DH247-15,0)*2+IF(DH247&gt;16,DH247-16,0)*2+IF(DH247&gt;17,DH247-17,0)*2+IF(DH247&gt;18,DH247-18,0)*2+IF(DH247&gt;19,DH247-19,0)*2+IF(DH247&gt;20,DH247-20,0)*2</f>
        <v>2</v>
      </c>
      <c r="DL247" s="243">
        <f t="shared" si="1676"/>
        <v>152.01436781609189</v>
      </c>
      <c r="DM247" s="218">
        <f t="shared" si="1677"/>
        <v>0</v>
      </c>
      <c r="DO247" s="303" t="s">
        <v>218</v>
      </c>
      <c r="DP247" s="218" t="s">
        <v>226</v>
      </c>
      <c r="DQ247" s="243" t="s">
        <v>132</v>
      </c>
      <c r="DR247" s="237"/>
      <c r="DS247" s="234">
        <f>Konvention_1slave-KLslave</f>
        <v>12</v>
      </c>
      <c r="DT247" s="234">
        <f>Konvention_1slave-INslave</f>
        <v>12</v>
      </c>
      <c r="DU247" s="234"/>
      <c r="DV247" s="234"/>
      <c r="DW247" s="234"/>
      <c r="DX247" s="234">
        <f>Konvention_1slave-KOslave</f>
        <v>12</v>
      </c>
      <c r="DY247" s="224"/>
      <c r="DZ247" s="223">
        <f t="shared" si="1678"/>
        <v>12</v>
      </c>
      <c r="EA247" s="223">
        <f t="shared" si="1679"/>
        <v>24</v>
      </c>
      <c r="EB247" s="224">
        <f t="shared" si="1680"/>
        <v>36</v>
      </c>
      <c r="EC247" s="237">
        <f t="shared" si="1603"/>
        <v>2304</v>
      </c>
      <c r="ED247" s="234">
        <f>DS247*DT247*KOslave+DS247*INslave*DX247+KLslave*DT247*DX247</f>
        <v>3456</v>
      </c>
      <c r="EE247" s="224">
        <f t="shared" si="1681"/>
        <v>1728</v>
      </c>
      <c r="EF247" s="224">
        <f t="shared" si="1682"/>
        <v>7488</v>
      </c>
      <c r="EG247" s="222">
        <f t="shared" si="1683"/>
        <v>3.6923076923076925</v>
      </c>
      <c r="EH247" s="223">
        <f t="shared" si="1684"/>
        <v>11.076923076923077</v>
      </c>
      <c r="EI247" s="243">
        <f t="shared" si="1685"/>
        <v>8.3076923076923084</v>
      </c>
      <c r="EJ247" s="243">
        <f t="shared" si="1686"/>
        <v>23.07692307692308</v>
      </c>
      <c r="EK247" s="252">
        <f t="shared" si="1604"/>
        <v>0</v>
      </c>
      <c r="EL247" s="309">
        <f t="shared" si="1687"/>
        <v>23.07692307692308</v>
      </c>
      <c r="EM247" s="218">
        <f>IF(EJ247&lt;=0,2,0)+IF(EJ247&gt;0,EJ247+1,0)*2+IF(EJ247&gt;12,EJ247-12,0)*2+IF(EJ247&gt;13,EJ247-13,0)*2+IF(EJ247&gt;14,EJ247-14,0)*2+IF(EJ247&gt;15,EJ247-15,0)*2+IF(EJ247&gt;16,EJ247-16,0)*2+IF(EJ247&gt;17,EJ247-17,0)*2+IF(EJ247&gt;18,EJ247-18,0)*2+IF(EJ247&gt;19,EJ247-19,0)*2+IF(EJ247&gt;20,EJ247-20,0)*2</f>
        <v>175.5384615384616</v>
      </c>
      <c r="EN247" s="242">
        <f>IF(EK247&lt;=0,2,0)+IF(EK247&gt;0,EK247+1,0)*2+IF(EK247&gt;12,EK247-12,0)*2+IF(EK247&gt;13,EK247-13,0)*2+IF(EK247&gt;14,EK247-14,0)*2+IF(EK247&gt;15,EK247-15,0)*2+IF(EK247&gt;16,EK247-16,0)*2+IF(EK247&gt;17,EK247-17,0)*2+IF(EK247&gt;18,EK247-18,0)*2+IF(EK247&gt;19,EK247-19,0)*2+IF(EK247&gt;20,EK247-20,0)*2</f>
        <v>2</v>
      </c>
      <c r="EO247" s="243">
        <f t="shared" si="1688"/>
        <v>173.5384615384616</v>
      </c>
      <c r="EP247" s="218">
        <f t="shared" si="1689"/>
        <v>0</v>
      </c>
      <c r="ER247" s="303" t="s">
        <v>218</v>
      </c>
      <c r="ES247" s="218" t="s">
        <v>226</v>
      </c>
      <c r="ET247" s="243" t="s">
        <v>132</v>
      </c>
      <c r="EU247" s="237"/>
      <c r="EV247" s="234">
        <f>Konvention_1slave-KLslave</f>
        <v>12</v>
      </c>
      <c r="EW247" s="234">
        <f>Konvention_1slave-INslave</f>
        <v>12</v>
      </c>
      <c r="EX247" s="234"/>
      <c r="EY247" s="234"/>
      <c r="EZ247" s="234"/>
      <c r="FA247" s="234">
        <f>Konvention_1slave-KOslave</f>
        <v>12</v>
      </c>
      <c r="FB247" s="224"/>
      <c r="FC247" s="223">
        <f t="shared" si="1690"/>
        <v>12</v>
      </c>
      <c r="FD247" s="223">
        <f t="shared" si="1691"/>
        <v>24</v>
      </c>
      <c r="FE247" s="224">
        <f t="shared" si="1692"/>
        <v>36</v>
      </c>
      <c r="FF247" s="237">
        <f t="shared" si="1605"/>
        <v>2304</v>
      </c>
      <c r="FG247" s="234">
        <f>EV247*EW247*KOslave+EV247*INslave*FA247+KLslave*EW247*FA247</f>
        <v>3456</v>
      </c>
      <c r="FH247" s="224">
        <f t="shared" si="1693"/>
        <v>1728</v>
      </c>
      <c r="FI247" s="224">
        <f t="shared" si="1694"/>
        <v>7488</v>
      </c>
      <c r="FJ247" s="222">
        <f t="shared" si="1695"/>
        <v>3.6923076923076925</v>
      </c>
      <c r="FK247" s="223">
        <f t="shared" si="1696"/>
        <v>11.076923076923077</v>
      </c>
      <c r="FL247" s="243">
        <f t="shared" si="1697"/>
        <v>8.3076923076923084</v>
      </c>
      <c r="FM247" s="243">
        <f t="shared" si="1698"/>
        <v>23.07692307692308</v>
      </c>
      <c r="FN247" s="252">
        <f t="shared" si="1606"/>
        <v>0</v>
      </c>
      <c r="FO247" s="309">
        <f t="shared" si="1699"/>
        <v>23.07692307692308</v>
      </c>
      <c r="FP247" s="218">
        <f>IF(FM247&lt;=0,2,0)+IF(FM247&gt;0,FM247+1,0)*2+IF(FM247&gt;12,FM247-12,0)*2+IF(FM247&gt;13,FM247-13,0)*2+IF(FM247&gt;14,FM247-14,0)*2+IF(FM247&gt;15,FM247-15,0)*2+IF(FM247&gt;16,FM247-16,0)*2+IF(FM247&gt;17,FM247-17,0)*2+IF(FM247&gt;18,FM247-18,0)*2+IF(FM247&gt;19,FM247-19,0)*2+IF(FM247&gt;20,FM247-20,0)*2</f>
        <v>175.5384615384616</v>
      </c>
      <c r="FQ247" s="242">
        <f>IF(FN247&lt;=0,2,0)+IF(FN247&gt;0,FN247+1,0)*2+IF(FN247&gt;12,FN247-12,0)*2+IF(FN247&gt;13,FN247-13,0)*2+IF(FN247&gt;14,FN247-14,0)*2+IF(FN247&gt;15,FN247-15,0)*2+IF(FN247&gt;16,FN247-16,0)*2+IF(FN247&gt;17,FN247-17,0)*2+IF(FN247&gt;18,FN247-18,0)*2+IF(FN247&gt;19,FN247-19,0)*2+IF(FN247&gt;20,FN247-20,0)*2</f>
        <v>2</v>
      </c>
      <c r="FR247" s="243">
        <f t="shared" si="1700"/>
        <v>173.5384615384616</v>
      </c>
      <c r="FS247" s="218">
        <f t="shared" si="1701"/>
        <v>0</v>
      </c>
      <c r="FU247" s="303" t="s">
        <v>218</v>
      </c>
      <c r="FV247" s="218" t="s">
        <v>226</v>
      </c>
      <c r="FW247" s="243" t="s">
        <v>132</v>
      </c>
      <c r="FX247" s="237"/>
      <c r="FY247" s="234">
        <f>Konvention_1slave-KLslave</f>
        <v>12</v>
      </c>
      <c r="FZ247" s="234">
        <f>Konvention_1slave-INslave</f>
        <v>12</v>
      </c>
      <c r="GA247" s="234"/>
      <c r="GB247" s="234"/>
      <c r="GC247" s="234"/>
      <c r="GD247" s="234">
        <f>Konvention_1slave-KOslave</f>
        <v>12</v>
      </c>
      <c r="GE247" s="224"/>
      <c r="GF247" s="223">
        <f t="shared" si="1702"/>
        <v>12</v>
      </c>
      <c r="GG247" s="223">
        <f t="shared" si="1703"/>
        <v>24</v>
      </c>
      <c r="GH247" s="224">
        <f t="shared" si="1704"/>
        <v>36</v>
      </c>
      <c r="GI247" s="237">
        <f t="shared" si="1607"/>
        <v>2304</v>
      </c>
      <c r="GJ247" s="234">
        <f>FY247*FZ247*KOslave+FY247*INslave*GD247+KLslave*FZ247*GD247</f>
        <v>3456</v>
      </c>
      <c r="GK247" s="224">
        <f t="shared" si="1705"/>
        <v>1728</v>
      </c>
      <c r="GL247" s="224">
        <f t="shared" si="1706"/>
        <v>7488</v>
      </c>
      <c r="GM247" s="222">
        <f t="shared" si="1707"/>
        <v>3.6923076923076925</v>
      </c>
      <c r="GN247" s="223">
        <f t="shared" si="1708"/>
        <v>11.076923076923077</v>
      </c>
      <c r="GO247" s="243">
        <f t="shared" si="1709"/>
        <v>8.3076923076923084</v>
      </c>
      <c r="GP247" s="243">
        <f t="shared" si="1710"/>
        <v>23.07692307692308</v>
      </c>
      <c r="GQ247" s="252">
        <f t="shared" si="1608"/>
        <v>0</v>
      </c>
      <c r="GR247" s="309">
        <f t="shared" si="1711"/>
        <v>23.07692307692308</v>
      </c>
      <c r="GS247" s="218">
        <f>IF(GP247&lt;=0,2,0)+IF(GP247&gt;0,GP247+1,0)*2+IF(GP247&gt;12,GP247-12,0)*2+IF(GP247&gt;13,GP247-13,0)*2+IF(GP247&gt;14,GP247-14,0)*2+IF(GP247&gt;15,GP247-15,0)*2+IF(GP247&gt;16,GP247-16,0)*2+IF(GP247&gt;17,GP247-17,0)*2+IF(GP247&gt;18,GP247-18,0)*2+IF(GP247&gt;19,GP247-19,0)*2+IF(GP247&gt;20,GP247-20,0)*2</f>
        <v>175.5384615384616</v>
      </c>
      <c r="GT247" s="242">
        <f>IF(GQ247&lt;=0,2,0)+IF(GQ247&gt;0,GQ247+1,0)*2+IF(GQ247&gt;12,GQ247-12,0)*2+IF(GQ247&gt;13,GQ247-13,0)*2+IF(GQ247&gt;14,GQ247-14,0)*2+IF(GQ247&gt;15,GQ247-15,0)*2+IF(GQ247&gt;16,GQ247-16,0)*2+IF(GQ247&gt;17,GQ247-17,0)*2+IF(GQ247&gt;18,GQ247-18,0)*2+IF(GQ247&gt;19,GQ247-19,0)*2+IF(GQ247&gt;20,GQ247-20,0)*2</f>
        <v>2</v>
      </c>
      <c r="GU247" s="243">
        <f t="shared" si="1712"/>
        <v>173.5384615384616</v>
      </c>
      <c r="GV247" s="218">
        <f t="shared" si="1713"/>
        <v>0</v>
      </c>
      <c r="GX247" s="303" t="s">
        <v>218</v>
      </c>
      <c r="GY247" s="218" t="s">
        <v>226</v>
      </c>
      <c r="GZ247" s="243" t="s">
        <v>132</v>
      </c>
      <c r="HA247" s="237"/>
      <c r="HB247" s="234">
        <f>Konvention_1slave-KLslave</f>
        <v>12</v>
      </c>
      <c r="HC247" s="234">
        <f>Konvention_1slave-INslave</f>
        <v>12</v>
      </c>
      <c r="HD247" s="234"/>
      <c r="HE247" s="234"/>
      <c r="HF247" s="234"/>
      <c r="HG247" s="234">
        <f>Konvention_1slave-KOslave_KO</f>
        <v>11</v>
      </c>
      <c r="HH247" s="224"/>
      <c r="HI247" s="223">
        <f t="shared" si="1714"/>
        <v>11.666666666666666</v>
      </c>
      <c r="HJ247" s="223">
        <f t="shared" si="1715"/>
        <v>23.333333333333332</v>
      </c>
      <c r="HK247" s="224">
        <f t="shared" si="1716"/>
        <v>35</v>
      </c>
      <c r="HL247" s="237">
        <f t="shared" si="1609"/>
        <v>2432</v>
      </c>
      <c r="HM247" s="234">
        <f>HB247*HC247*KOslave_KO+HB247*INslave*HG247+KLslave*HC247*HG247</f>
        <v>3408</v>
      </c>
      <c r="HN247" s="224">
        <f t="shared" si="1717"/>
        <v>1584</v>
      </c>
      <c r="HO247" s="224">
        <f t="shared" si="1718"/>
        <v>7424</v>
      </c>
      <c r="HP247" s="222">
        <f t="shared" si="1719"/>
        <v>3.8218390804597702</v>
      </c>
      <c r="HQ247" s="223">
        <f t="shared" si="1720"/>
        <v>10.711206896551724</v>
      </c>
      <c r="HR247" s="243">
        <f t="shared" si="1721"/>
        <v>7.4676724137931032</v>
      </c>
      <c r="HS247" s="243">
        <f t="shared" si="1722"/>
        <v>22.000718390804597</v>
      </c>
      <c r="HT247" s="252">
        <f t="shared" si="1610"/>
        <v>0</v>
      </c>
      <c r="HU247" s="309">
        <f t="shared" si="1723"/>
        <v>22.000718390804597</v>
      </c>
      <c r="HV247" s="218">
        <f>IF(HS247&lt;=0,2,0)+IF(HS247&gt;0,HS247+1,0)*2+IF(HS247&gt;12,HS247-12,0)*2+IF(HS247&gt;13,HS247-13,0)*2+IF(HS247&gt;14,HS247-14,0)*2+IF(HS247&gt;15,HS247-15,0)*2+IF(HS247&gt;16,HS247-16,0)*2+IF(HS247&gt;17,HS247-17,0)*2+IF(HS247&gt;18,HS247-18,0)*2+IF(HS247&gt;19,HS247-19,0)*2+IF(HS247&gt;20,HS247-20,0)*2</f>
        <v>154.01436781609189</v>
      </c>
      <c r="HW247" s="242">
        <f>IF(HT247&lt;=0,2,0)+IF(HT247&gt;0,HT247+1,0)*2+IF(HT247&gt;12,HT247-12,0)*2+IF(HT247&gt;13,HT247-13,0)*2+IF(HT247&gt;14,HT247-14,0)*2+IF(HT247&gt;15,HT247-15,0)*2+IF(HT247&gt;16,HT247-16,0)*2+IF(HT247&gt;17,HT247-17,0)*2+IF(HT247&gt;18,HT247-18,0)*2+IF(HT247&gt;19,HT247-19,0)*2+IF(HT247&gt;20,HT247-20,0)*2</f>
        <v>2</v>
      </c>
      <c r="HX247" s="243">
        <f t="shared" si="1724"/>
        <v>152.01436781609189</v>
      </c>
      <c r="HY247" s="218">
        <f t="shared" si="1725"/>
        <v>0</v>
      </c>
      <c r="IA247" s="303" t="s">
        <v>218</v>
      </c>
      <c r="IB247" s="218" t="s">
        <v>226</v>
      </c>
      <c r="IC247" s="243" t="s">
        <v>132</v>
      </c>
      <c r="ID247" s="237"/>
      <c r="IE247" s="234">
        <f>Konvention_1slave-KLslave</f>
        <v>12</v>
      </c>
      <c r="IF247" s="234">
        <f>Konvention_1slave-INslave</f>
        <v>12</v>
      </c>
      <c r="IG247" s="234"/>
      <c r="IH247" s="234"/>
      <c r="II247" s="234"/>
      <c r="IJ247" s="234">
        <f>Konvention_1slave-KOslave</f>
        <v>12</v>
      </c>
      <c r="IK247" s="224"/>
      <c r="IL247" s="223">
        <f t="shared" si="1726"/>
        <v>12</v>
      </c>
      <c r="IM247" s="223">
        <f t="shared" si="1727"/>
        <v>24</v>
      </c>
      <c r="IN247" s="224">
        <f t="shared" si="1728"/>
        <v>36</v>
      </c>
      <c r="IO247" s="237">
        <f t="shared" si="1611"/>
        <v>2304</v>
      </c>
      <c r="IP247" s="234">
        <f>IE247*IF247*KOslave+IE247*INslave*IJ247+KLslave*IF247*IJ247</f>
        <v>3456</v>
      </c>
      <c r="IQ247" s="224">
        <f t="shared" si="1729"/>
        <v>1728</v>
      </c>
      <c r="IR247" s="224">
        <f t="shared" si="1730"/>
        <v>7488</v>
      </c>
      <c r="IS247" s="222">
        <f t="shared" si="1731"/>
        <v>3.6923076923076925</v>
      </c>
      <c r="IT247" s="223">
        <f t="shared" si="1732"/>
        <v>11.076923076923077</v>
      </c>
      <c r="IU247" s="243">
        <f t="shared" si="1733"/>
        <v>8.3076923076923084</v>
      </c>
      <c r="IV247" s="243">
        <f t="shared" si="1734"/>
        <v>23.07692307692308</v>
      </c>
      <c r="IW247" s="252">
        <f t="shared" si="1612"/>
        <v>0</v>
      </c>
      <c r="IX247" s="309">
        <f t="shared" si="1735"/>
        <v>23.07692307692308</v>
      </c>
      <c r="IY247" s="218">
        <f>IF(IV247&lt;=0,2,0)+IF(IV247&gt;0,IV247+1,0)*2+IF(IV247&gt;12,IV247-12,0)*2+IF(IV247&gt;13,IV247-13,0)*2+IF(IV247&gt;14,IV247-14,0)*2+IF(IV247&gt;15,IV247-15,0)*2+IF(IV247&gt;16,IV247-16,0)*2+IF(IV247&gt;17,IV247-17,0)*2+IF(IV247&gt;18,IV247-18,0)*2+IF(IV247&gt;19,IV247-19,0)*2+IF(IV247&gt;20,IV247-20,0)*2</f>
        <v>175.5384615384616</v>
      </c>
      <c r="IZ247" s="242">
        <f>IF(IW247&lt;=0,2,0)+IF(IW247&gt;0,IW247+1,0)*2+IF(IW247&gt;12,IW247-12,0)*2+IF(IW247&gt;13,IW247-13,0)*2+IF(IW247&gt;14,IW247-14,0)*2+IF(IW247&gt;15,IW247-15,0)*2+IF(IW247&gt;16,IW247-16,0)*2+IF(IW247&gt;17,IW247-17,0)*2+IF(IW247&gt;18,IW247-18,0)*2+IF(IW247&gt;19,IW247-19,0)*2+IF(IW247&gt;20,IW247-20,0)*2</f>
        <v>2</v>
      </c>
      <c r="JA247" s="243">
        <f t="shared" si="1736"/>
        <v>173.5384615384616</v>
      </c>
      <c r="JB247" s="218">
        <f t="shared" si="1737"/>
        <v>0</v>
      </c>
      <c r="JE247" s="148"/>
    </row>
    <row r="248" spans="2:265" hidden="1" outlineLevel="2">
      <c r="B248" s="148">
        <v>36</v>
      </c>
      <c r="C248" s="303" t="e">
        <f>VLOOKUP(AF248,Attribute!C:T,1,FALSE)</f>
        <v>#N/A</v>
      </c>
      <c r="D248" s="86" t="s">
        <v>87</v>
      </c>
      <c r="E248" s="127" t="s">
        <v>132</v>
      </c>
      <c r="F248" s="114"/>
      <c r="G248" s="113">
        <f>Konvention_1master-KLmaster</f>
        <v>12</v>
      </c>
      <c r="H248" s="113">
        <f>Konvention_1master-INmaster</f>
        <v>12</v>
      </c>
      <c r="I248" s="113">
        <f>Konvention_1master-CHmaster</f>
        <v>12</v>
      </c>
      <c r="J248" s="113"/>
      <c r="K248" s="113"/>
      <c r="L248" s="113"/>
      <c r="M248" s="119"/>
      <c r="N248" s="223">
        <f t="shared" si="1629"/>
        <v>12</v>
      </c>
      <c r="O248" s="223">
        <f t="shared" si="1630"/>
        <v>24</v>
      </c>
      <c r="P248" s="224">
        <f t="shared" si="1631"/>
        <v>36</v>
      </c>
      <c r="Q248" s="237">
        <f t="shared" si="1632"/>
        <v>2304</v>
      </c>
      <c r="R248" s="113">
        <f>G248*H248*CHmaster+G248*INmaster*I248+KLmaster*H248*I248</f>
        <v>3456</v>
      </c>
      <c r="S248" s="224">
        <f t="shared" si="1633"/>
        <v>1728</v>
      </c>
      <c r="T248" s="224">
        <f t="shared" si="1767"/>
        <v>7488</v>
      </c>
      <c r="U248" s="222">
        <f t="shared" si="1635"/>
        <v>3.6923076923076925</v>
      </c>
      <c r="V248" s="223">
        <f t="shared" si="1636"/>
        <v>11.076923076923077</v>
      </c>
      <c r="W248" s="243">
        <f t="shared" si="1637"/>
        <v>8.3076923076923084</v>
      </c>
      <c r="X248" s="243">
        <f t="shared" si="1638"/>
        <v>23.07692307692308</v>
      </c>
      <c r="Y248" s="252">
        <v>0</v>
      </c>
      <c r="Z248" s="198">
        <f t="shared" si="1639"/>
        <v>23.07692307692308</v>
      </c>
      <c r="AA248" s="125">
        <f>IF(X248&lt;=0,2,0)+IF(X248&gt;0,X248+1,0)*2+IF(X248&gt;12,X248-12,0)*2+IF(X248&gt;13,X248-13,0)*2+IF(X248&gt;14,X248-14,0)*2+IF(X248&gt;15,X248-15,0)*2+IF(X248&gt;16,X248-16,0)*2+IF(X248&gt;17,X248-17,0)*2+IF(X248&gt;18,X248-18,0)*2+IF(X248&gt;19,X248-19,0)*2+IF(X248&gt;20,X248-20,0)*2</f>
        <v>175.5384615384616</v>
      </c>
      <c r="AB248" s="160">
        <f>IF(Y248&lt;=0,2,0)+IF(Y248&gt;0,Y248+1,0)*2+IF(Y248&gt;12,Y248-12,0)*2+IF(Y248&gt;13,Y248-13,0)*2+IF(Y248&gt;14,Y248-14,0)*2+IF(Y248&gt;15,Y248-15,0)*2+IF(Y248&gt;16,Y248-16,0)*2+IF(Y248&gt;17,Y248-17,0)*2+IF(Y248&gt;18,Y248-18,0)*2+IF(Y248&gt;19,Y248-19,0)*2+IF(Y248&gt;20,Y248-20,0)*2</f>
        <v>2</v>
      </c>
      <c r="AC248" s="127">
        <f t="shared" si="1640"/>
        <v>173.5384615384616</v>
      </c>
      <c r="AD248" s="125">
        <f t="shared" si="1641"/>
        <v>0</v>
      </c>
      <c r="AF248" s="163" t="s">
        <v>166</v>
      </c>
      <c r="AG248" s="125" t="s">
        <v>87</v>
      </c>
      <c r="AH248" s="127" t="s">
        <v>132</v>
      </c>
      <c r="AI248" s="114"/>
      <c r="AJ248" s="113">
        <f>Konvention_1slave-KLslave</f>
        <v>12</v>
      </c>
      <c r="AK248" s="113">
        <f>Konvention_1slave-INslave</f>
        <v>12</v>
      </c>
      <c r="AL248" s="113">
        <f>Konvention_1slave-CHslave</f>
        <v>12</v>
      </c>
      <c r="AM248" s="113"/>
      <c r="AN248" s="113"/>
      <c r="AO248" s="113"/>
      <c r="AP248" s="119"/>
      <c r="AQ248" s="47">
        <f t="shared" si="1642"/>
        <v>12</v>
      </c>
      <c r="AR248" s="47">
        <f t="shared" si="1643"/>
        <v>24</v>
      </c>
      <c r="AS248" s="119">
        <f t="shared" si="1644"/>
        <v>36</v>
      </c>
      <c r="AT248" s="114">
        <f t="shared" si="1597"/>
        <v>2304</v>
      </c>
      <c r="AU248" s="113">
        <f>AJ248*AK248*CHslave+AJ248*INslave*AL248+KLslave*AK248*AL248</f>
        <v>3456</v>
      </c>
      <c r="AV248" s="119">
        <f t="shared" si="1645"/>
        <v>1728</v>
      </c>
      <c r="AW248" s="119">
        <f t="shared" si="1646"/>
        <v>7488</v>
      </c>
      <c r="AX248" s="89">
        <f t="shared" si="1647"/>
        <v>3.6923076923076925</v>
      </c>
      <c r="AY248" s="47">
        <f t="shared" si="1648"/>
        <v>11.076923076923077</v>
      </c>
      <c r="AZ248" s="127">
        <f t="shared" si="1649"/>
        <v>8.3076923076923084</v>
      </c>
      <c r="BA248" s="127">
        <f t="shared" si="1650"/>
        <v>23.07692307692308</v>
      </c>
      <c r="BB248" s="165">
        <f t="shared" si="1598"/>
        <v>0</v>
      </c>
      <c r="BC248" s="198">
        <f t="shared" si="1651"/>
        <v>23.07692307692308</v>
      </c>
      <c r="BD248" s="125">
        <f>IF(BA248&lt;=0,2,0)+IF(BA248&gt;0,BA248+1,0)*2+IF(BA248&gt;12,BA248-12,0)*2+IF(BA248&gt;13,BA248-13,0)*2+IF(BA248&gt;14,BA248-14,0)*2+IF(BA248&gt;15,BA248-15,0)*2+IF(BA248&gt;16,BA248-16,0)*2+IF(BA248&gt;17,BA248-17,0)*2+IF(BA248&gt;18,BA248-18,0)*2+IF(BA248&gt;19,BA248-19,0)*2+IF(BA248&gt;20,BA248-20,0)*2</f>
        <v>175.5384615384616</v>
      </c>
      <c r="BE248" s="160">
        <f>IF(BB248&lt;=0,2,0)+IF(BB248&gt;0,BB248+1,0)*2+IF(BB248&gt;12,BB248-12,0)*2+IF(BB248&gt;13,BB248-13,0)*2+IF(BB248&gt;14,BB248-14,0)*2+IF(BB248&gt;15,BB248-15,0)*2+IF(BB248&gt;16,BB248-16,0)*2+IF(BB248&gt;17,BB248-17,0)*2+IF(BB248&gt;18,BB248-18,0)*2+IF(BB248&gt;19,BB248-19,0)*2+IF(BB248&gt;20,BB248-20,0)*2</f>
        <v>2</v>
      </c>
      <c r="BF248" s="243">
        <f t="shared" si="1652"/>
        <v>173.5384615384616</v>
      </c>
      <c r="BG248" s="218">
        <f t="shared" si="1653"/>
        <v>0</v>
      </c>
      <c r="BI248" s="303" t="s">
        <v>166</v>
      </c>
      <c r="BJ248" s="218" t="s">
        <v>87</v>
      </c>
      <c r="BK248" s="243" t="s">
        <v>132</v>
      </c>
      <c r="BL248" s="237"/>
      <c r="BM248" s="234">
        <f>Konvention_1slave-KLslave_KL</f>
        <v>11</v>
      </c>
      <c r="BN248" s="234">
        <f>Konvention_1slave-INslave</f>
        <v>12</v>
      </c>
      <c r="BO248" s="234">
        <f>Konvention_1slave-CHslave</f>
        <v>12</v>
      </c>
      <c r="BP248" s="234"/>
      <c r="BQ248" s="234"/>
      <c r="BR248" s="234"/>
      <c r="BS248" s="224"/>
      <c r="BT248" s="223">
        <f t="shared" si="1654"/>
        <v>11.666666666666666</v>
      </c>
      <c r="BU248" s="223">
        <f t="shared" si="1655"/>
        <v>23.333333333333332</v>
      </c>
      <c r="BV248" s="224">
        <f t="shared" si="1656"/>
        <v>35</v>
      </c>
      <c r="BW248" s="237">
        <f t="shared" si="1599"/>
        <v>2432</v>
      </c>
      <c r="BX248" s="234">
        <f>BM248*BN248*CHslave+BM248*INslave*BO248+KLslave_KL*BN248*BO248</f>
        <v>3408</v>
      </c>
      <c r="BY248" s="224">
        <f t="shared" si="1657"/>
        <v>1584</v>
      </c>
      <c r="BZ248" s="224">
        <f t="shared" si="1658"/>
        <v>7424</v>
      </c>
      <c r="CA248" s="222">
        <f t="shared" si="1659"/>
        <v>3.8218390804597702</v>
      </c>
      <c r="CB248" s="223">
        <f t="shared" si="1660"/>
        <v>10.711206896551724</v>
      </c>
      <c r="CC248" s="243">
        <f t="shared" si="1661"/>
        <v>7.4676724137931032</v>
      </c>
      <c r="CD248" s="243">
        <f t="shared" si="1662"/>
        <v>22.000718390804597</v>
      </c>
      <c r="CE248" s="252">
        <f t="shared" si="1600"/>
        <v>0</v>
      </c>
      <c r="CF248" s="309">
        <f t="shared" si="1663"/>
        <v>22.000718390804597</v>
      </c>
      <c r="CG248" s="218">
        <f>IF(CD248&lt;=0,2,0)+IF(CD248&gt;0,CD248+1,0)*2+IF(CD248&gt;12,CD248-12,0)*2+IF(CD248&gt;13,CD248-13,0)*2+IF(CD248&gt;14,CD248-14,0)*2+IF(CD248&gt;15,CD248-15,0)*2+IF(CD248&gt;16,CD248-16,0)*2+IF(CD248&gt;17,CD248-17,0)*2+IF(CD248&gt;18,CD248-18,0)*2+IF(CD248&gt;19,CD248-19,0)*2+IF(CD248&gt;20,CD248-20,0)*2</f>
        <v>154.01436781609189</v>
      </c>
      <c r="CH248" s="242">
        <f>IF(CE248&lt;=0,2,0)+IF(CE248&gt;0,CE248+1,0)*2+IF(CE248&gt;12,CE248-12,0)*2+IF(CE248&gt;13,CE248-13,0)*2+IF(CE248&gt;14,CE248-14,0)*2+IF(CE248&gt;15,CE248-15,0)*2+IF(CE248&gt;16,CE248-16,0)*2+IF(CE248&gt;17,CE248-17,0)*2+IF(CE248&gt;18,CE248-18,0)*2+IF(CE248&gt;19,CE248-19,0)*2+IF(CE248&gt;20,CE248-20,0)*2</f>
        <v>2</v>
      </c>
      <c r="CI248" s="243">
        <f t="shared" si="1664"/>
        <v>152.01436781609189</v>
      </c>
      <c r="CJ248" s="218">
        <f t="shared" si="1665"/>
        <v>0</v>
      </c>
      <c r="CL248" s="303" t="s">
        <v>166</v>
      </c>
      <c r="CM248" s="218" t="s">
        <v>87</v>
      </c>
      <c r="CN248" s="243" t="s">
        <v>132</v>
      </c>
      <c r="CO248" s="237"/>
      <c r="CP248" s="234">
        <f>Konvention_1slave-KLslave</f>
        <v>12</v>
      </c>
      <c r="CQ248" s="234">
        <f>Konvention_1slave-INslave_IN</f>
        <v>11</v>
      </c>
      <c r="CR248" s="234">
        <f>Konvention_1slave-CHslave</f>
        <v>12</v>
      </c>
      <c r="CS248" s="234"/>
      <c r="CT248" s="234"/>
      <c r="CU248" s="234"/>
      <c r="CV248" s="224"/>
      <c r="CW248" s="223">
        <f t="shared" si="1666"/>
        <v>11.666666666666666</v>
      </c>
      <c r="CX248" s="223">
        <f t="shared" si="1667"/>
        <v>23.333333333333332</v>
      </c>
      <c r="CY248" s="224">
        <f t="shared" si="1668"/>
        <v>35</v>
      </c>
      <c r="CZ248" s="237">
        <f t="shared" si="1601"/>
        <v>2432</v>
      </c>
      <c r="DA248" s="234">
        <f>CP248*CQ248*CHslave+CP248*INslave_IN*CR248+KLslave*CQ248*CR248</f>
        <v>3408</v>
      </c>
      <c r="DB248" s="224">
        <f t="shared" si="1669"/>
        <v>1584</v>
      </c>
      <c r="DC248" s="224">
        <f t="shared" si="1670"/>
        <v>7424</v>
      </c>
      <c r="DD248" s="222">
        <f t="shared" si="1671"/>
        <v>3.8218390804597702</v>
      </c>
      <c r="DE248" s="223">
        <f t="shared" si="1672"/>
        <v>10.711206896551724</v>
      </c>
      <c r="DF248" s="243">
        <f t="shared" si="1673"/>
        <v>7.4676724137931032</v>
      </c>
      <c r="DG248" s="243">
        <f t="shared" si="1674"/>
        <v>22.000718390804597</v>
      </c>
      <c r="DH248" s="252">
        <f t="shared" si="1602"/>
        <v>0</v>
      </c>
      <c r="DI248" s="309">
        <f t="shared" si="1675"/>
        <v>22.000718390804597</v>
      </c>
      <c r="DJ248" s="218">
        <f>IF(DG248&lt;=0,2,0)+IF(DG248&gt;0,DG248+1,0)*2+IF(DG248&gt;12,DG248-12,0)*2+IF(DG248&gt;13,DG248-13,0)*2+IF(DG248&gt;14,DG248-14,0)*2+IF(DG248&gt;15,DG248-15,0)*2+IF(DG248&gt;16,DG248-16,0)*2+IF(DG248&gt;17,DG248-17,0)*2+IF(DG248&gt;18,DG248-18,0)*2+IF(DG248&gt;19,DG248-19,0)*2+IF(DG248&gt;20,DG248-20,0)*2</f>
        <v>154.01436781609189</v>
      </c>
      <c r="DK248" s="242">
        <f>IF(DH248&lt;=0,2,0)+IF(DH248&gt;0,DH248+1,0)*2+IF(DH248&gt;12,DH248-12,0)*2+IF(DH248&gt;13,DH248-13,0)*2+IF(DH248&gt;14,DH248-14,0)*2+IF(DH248&gt;15,DH248-15,0)*2+IF(DH248&gt;16,DH248-16,0)*2+IF(DH248&gt;17,DH248-17,0)*2+IF(DH248&gt;18,DH248-18,0)*2+IF(DH248&gt;19,DH248-19,0)*2+IF(DH248&gt;20,DH248-20,0)*2</f>
        <v>2</v>
      </c>
      <c r="DL248" s="243">
        <f t="shared" si="1676"/>
        <v>152.01436781609189</v>
      </c>
      <c r="DM248" s="218">
        <f t="shared" si="1677"/>
        <v>0</v>
      </c>
      <c r="DO248" s="303" t="s">
        <v>166</v>
      </c>
      <c r="DP248" s="218" t="s">
        <v>87</v>
      </c>
      <c r="DQ248" s="243" t="s">
        <v>132</v>
      </c>
      <c r="DR248" s="237"/>
      <c r="DS248" s="234">
        <f>Konvention_1slave-KLslave</f>
        <v>12</v>
      </c>
      <c r="DT248" s="234">
        <f>Konvention_1slave-INslave</f>
        <v>12</v>
      </c>
      <c r="DU248" s="234">
        <f>Konvention_1slave-CHslave_CH</f>
        <v>11</v>
      </c>
      <c r="DV248" s="234"/>
      <c r="DW248" s="234"/>
      <c r="DX248" s="234"/>
      <c r="DY248" s="224"/>
      <c r="DZ248" s="223">
        <f t="shared" si="1678"/>
        <v>11.666666666666666</v>
      </c>
      <c r="EA248" s="223">
        <f t="shared" si="1679"/>
        <v>23.333333333333332</v>
      </c>
      <c r="EB248" s="224">
        <f t="shared" si="1680"/>
        <v>35</v>
      </c>
      <c r="EC248" s="237">
        <f t="shared" si="1603"/>
        <v>2432</v>
      </c>
      <c r="ED248" s="234">
        <f>DS248*DT248*CHslave_CH+DS248*INslave*DU248+KLslave*DT248*DU248</f>
        <v>3408</v>
      </c>
      <c r="EE248" s="224">
        <f t="shared" si="1681"/>
        <v>1584</v>
      </c>
      <c r="EF248" s="224">
        <f t="shared" si="1682"/>
        <v>7424</v>
      </c>
      <c r="EG248" s="222">
        <f t="shared" si="1683"/>
        <v>3.8218390804597702</v>
      </c>
      <c r="EH248" s="223">
        <f t="shared" si="1684"/>
        <v>10.711206896551724</v>
      </c>
      <c r="EI248" s="243">
        <f t="shared" si="1685"/>
        <v>7.4676724137931032</v>
      </c>
      <c r="EJ248" s="243">
        <f t="shared" si="1686"/>
        <v>22.000718390804597</v>
      </c>
      <c r="EK248" s="252">
        <f t="shared" si="1604"/>
        <v>0</v>
      </c>
      <c r="EL248" s="309">
        <f t="shared" si="1687"/>
        <v>22.000718390804597</v>
      </c>
      <c r="EM248" s="218">
        <f>IF(EJ248&lt;=0,2,0)+IF(EJ248&gt;0,EJ248+1,0)*2+IF(EJ248&gt;12,EJ248-12,0)*2+IF(EJ248&gt;13,EJ248-13,0)*2+IF(EJ248&gt;14,EJ248-14,0)*2+IF(EJ248&gt;15,EJ248-15,0)*2+IF(EJ248&gt;16,EJ248-16,0)*2+IF(EJ248&gt;17,EJ248-17,0)*2+IF(EJ248&gt;18,EJ248-18,0)*2+IF(EJ248&gt;19,EJ248-19,0)*2+IF(EJ248&gt;20,EJ248-20,0)*2</f>
        <v>154.01436781609189</v>
      </c>
      <c r="EN248" s="242">
        <f>IF(EK248&lt;=0,2,0)+IF(EK248&gt;0,EK248+1,0)*2+IF(EK248&gt;12,EK248-12,0)*2+IF(EK248&gt;13,EK248-13,0)*2+IF(EK248&gt;14,EK248-14,0)*2+IF(EK248&gt;15,EK248-15,0)*2+IF(EK248&gt;16,EK248-16,0)*2+IF(EK248&gt;17,EK248-17,0)*2+IF(EK248&gt;18,EK248-18,0)*2+IF(EK248&gt;19,EK248-19,0)*2+IF(EK248&gt;20,EK248-20,0)*2</f>
        <v>2</v>
      </c>
      <c r="EO248" s="243">
        <f t="shared" si="1688"/>
        <v>152.01436781609189</v>
      </c>
      <c r="EP248" s="218">
        <f t="shared" si="1689"/>
        <v>0</v>
      </c>
      <c r="ER248" s="303" t="s">
        <v>166</v>
      </c>
      <c r="ES248" s="218" t="s">
        <v>87</v>
      </c>
      <c r="ET248" s="243" t="s">
        <v>132</v>
      </c>
      <c r="EU248" s="237"/>
      <c r="EV248" s="234">
        <f>Konvention_1slave-KLslave</f>
        <v>12</v>
      </c>
      <c r="EW248" s="234">
        <f>Konvention_1slave-INslave</f>
        <v>12</v>
      </c>
      <c r="EX248" s="234">
        <f>Konvention_1slave-CHslave</f>
        <v>12</v>
      </c>
      <c r="EY248" s="234"/>
      <c r="EZ248" s="234"/>
      <c r="FA248" s="234"/>
      <c r="FB248" s="224"/>
      <c r="FC248" s="223">
        <f t="shared" si="1690"/>
        <v>12</v>
      </c>
      <c r="FD248" s="223">
        <f t="shared" si="1691"/>
        <v>24</v>
      </c>
      <c r="FE248" s="224">
        <f t="shared" si="1692"/>
        <v>36</v>
      </c>
      <c r="FF248" s="237">
        <f t="shared" si="1605"/>
        <v>2304</v>
      </c>
      <c r="FG248" s="234">
        <f>EV248*EW248*CHslave+EV248*INslave*EX248+KLslave*EW248*EX248</f>
        <v>3456</v>
      </c>
      <c r="FH248" s="224">
        <f t="shared" si="1693"/>
        <v>1728</v>
      </c>
      <c r="FI248" s="224">
        <f t="shared" si="1694"/>
        <v>7488</v>
      </c>
      <c r="FJ248" s="222">
        <f t="shared" si="1695"/>
        <v>3.6923076923076925</v>
      </c>
      <c r="FK248" s="223">
        <f t="shared" si="1696"/>
        <v>11.076923076923077</v>
      </c>
      <c r="FL248" s="243">
        <f t="shared" si="1697"/>
        <v>8.3076923076923084</v>
      </c>
      <c r="FM248" s="243">
        <f t="shared" si="1698"/>
        <v>23.07692307692308</v>
      </c>
      <c r="FN248" s="252">
        <f t="shared" si="1606"/>
        <v>0</v>
      </c>
      <c r="FO248" s="309">
        <f t="shared" si="1699"/>
        <v>23.07692307692308</v>
      </c>
      <c r="FP248" s="218">
        <f>IF(FM248&lt;=0,2,0)+IF(FM248&gt;0,FM248+1,0)*2+IF(FM248&gt;12,FM248-12,0)*2+IF(FM248&gt;13,FM248-13,0)*2+IF(FM248&gt;14,FM248-14,0)*2+IF(FM248&gt;15,FM248-15,0)*2+IF(FM248&gt;16,FM248-16,0)*2+IF(FM248&gt;17,FM248-17,0)*2+IF(FM248&gt;18,FM248-18,0)*2+IF(FM248&gt;19,FM248-19,0)*2+IF(FM248&gt;20,FM248-20,0)*2</f>
        <v>175.5384615384616</v>
      </c>
      <c r="FQ248" s="242">
        <f>IF(FN248&lt;=0,2,0)+IF(FN248&gt;0,FN248+1,0)*2+IF(FN248&gt;12,FN248-12,0)*2+IF(FN248&gt;13,FN248-13,0)*2+IF(FN248&gt;14,FN248-14,0)*2+IF(FN248&gt;15,FN248-15,0)*2+IF(FN248&gt;16,FN248-16,0)*2+IF(FN248&gt;17,FN248-17,0)*2+IF(FN248&gt;18,FN248-18,0)*2+IF(FN248&gt;19,FN248-19,0)*2+IF(FN248&gt;20,FN248-20,0)*2</f>
        <v>2</v>
      </c>
      <c r="FR248" s="243">
        <f t="shared" si="1700"/>
        <v>173.5384615384616</v>
      </c>
      <c r="FS248" s="218">
        <f t="shared" si="1701"/>
        <v>0</v>
      </c>
      <c r="FU248" s="303" t="s">
        <v>166</v>
      </c>
      <c r="FV248" s="218" t="s">
        <v>87</v>
      </c>
      <c r="FW248" s="243" t="s">
        <v>132</v>
      </c>
      <c r="FX248" s="237"/>
      <c r="FY248" s="234">
        <f>Konvention_1slave-KLslave</f>
        <v>12</v>
      </c>
      <c r="FZ248" s="234">
        <f>Konvention_1slave-INslave</f>
        <v>12</v>
      </c>
      <c r="GA248" s="234">
        <f>Konvention_1slave-CHslave</f>
        <v>12</v>
      </c>
      <c r="GB248" s="234"/>
      <c r="GC248" s="234"/>
      <c r="GD248" s="234"/>
      <c r="GE248" s="224"/>
      <c r="GF248" s="223">
        <f t="shared" si="1702"/>
        <v>12</v>
      </c>
      <c r="GG248" s="223">
        <f t="shared" si="1703"/>
        <v>24</v>
      </c>
      <c r="GH248" s="224">
        <f t="shared" si="1704"/>
        <v>36</v>
      </c>
      <c r="GI248" s="237">
        <f t="shared" si="1607"/>
        <v>2304</v>
      </c>
      <c r="GJ248" s="234">
        <f>FY248*FZ248*CHslave+FY248*INslave*GA248+KLslave*FZ248*GA248</f>
        <v>3456</v>
      </c>
      <c r="GK248" s="224">
        <f t="shared" si="1705"/>
        <v>1728</v>
      </c>
      <c r="GL248" s="224">
        <f t="shared" si="1706"/>
        <v>7488</v>
      </c>
      <c r="GM248" s="222">
        <f t="shared" si="1707"/>
        <v>3.6923076923076925</v>
      </c>
      <c r="GN248" s="223">
        <f t="shared" si="1708"/>
        <v>11.076923076923077</v>
      </c>
      <c r="GO248" s="243">
        <f t="shared" si="1709"/>
        <v>8.3076923076923084</v>
      </c>
      <c r="GP248" s="243">
        <f t="shared" si="1710"/>
        <v>23.07692307692308</v>
      </c>
      <c r="GQ248" s="252">
        <f t="shared" si="1608"/>
        <v>0</v>
      </c>
      <c r="GR248" s="309">
        <f t="shared" si="1711"/>
        <v>23.07692307692308</v>
      </c>
      <c r="GS248" s="218">
        <f>IF(GP248&lt;=0,2,0)+IF(GP248&gt;0,GP248+1,0)*2+IF(GP248&gt;12,GP248-12,0)*2+IF(GP248&gt;13,GP248-13,0)*2+IF(GP248&gt;14,GP248-14,0)*2+IF(GP248&gt;15,GP248-15,0)*2+IF(GP248&gt;16,GP248-16,0)*2+IF(GP248&gt;17,GP248-17,0)*2+IF(GP248&gt;18,GP248-18,0)*2+IF(GP248&gt;19,GP248-19,0)*2+IF(GP248&gt;20,GP248-20,0)*2</f>
        <v>175.5384615384616</v>
      </c>
      <c r="GT248" s="242">
        <f>IF(GQ248&lt;=0,2,0)+IF(GQ248&gt;0,GQ248+1,0)*2+IF(GQ248&gt;12,GQ248-12,0)*2+IF(GQ248&gt;13,GQ248-13,0)*2+IF(GQ248&gt;14,GQ248-14,0)*2+IF(GQ248&gt;15,GQ248-15,0)*2+IF(GQ248&gt;16,GQ248-16,0)*2+IF(GQ248&gt;17,GQ248-17,0)*2+IF(GQ248&gt;18,GQ248-18,0)*2+IF(GQ248&gt;19,GQ248-19,0)*2+IF(GQ248&gt;20,GQ248-20,0)*2</f>
        <v>2</v>
      </c>
      <c r="GU248" s="243">
        <f t="shared" si="1712"/>
        <v>173.5384615384616</v>
      </c>
      <c r="GV248" s="218">
        <f t="shared" si="1713"/>
        <v>0</v>
      </c>
      <c r="GX248" s="303" t="s">
        <v>166</v>
      </c>
      <c r="GY248" s="218" t="s">
        <v>87</v>
      </c>
      <c r="GZ248" s="243" t="s">
        <v>132</v>
      </c>
      <c r="HA248" s="237"/>
      <c r="HB248" s="234">
        <f>Konvention_1slave-KLslave</f>
        <v>12</v>
      </c>
      <c r="HC248" s="234">
        <f>Konvention_1slave-INslave</f>
        <v>12</v>
      </c>
      <c r="HD248" s="234">
        <f>Konvention_1slave-CHslave</f>
        <v>12</v>
      </c>
      <c r="HE248" s="234"/>
      <c r="HF248" s="234"/>
      <c r="HG248" s="234"/>
      <c r="HH248" s="224"/>
      <c r="HI248" s="223">
        <f t="shared" si="1714"/>
        <v>12</v>
      </c>
      <c r="HJ248" s="223">
        <f t="shared" si="1715"/>
        <v>24</v>
      </c>
      <c r="HK248" s="224">
        <f t="shared" si="1716"/>
        <v>36</v>
      </c>
      <c r="HL248" s="237">
        <f t="shared" si="1609"/>
        <v>2304</v>
      </c>
      <c r="HM248" s="234">
        <f>HB248*HC248*CHslave+HB248*INslave*HD248+KLslave*HC248*HD248</f>
        <v>3456</v>
      </c>
      <c r="HN248" s="224">
        <f t="shared" si="1717"/>
        <v>1728</v>
      </c>
      <c r="HO248" s="224">
        <f t="shared" si="1718"/>
        <v>7488</v>
      </c>
      <c r="HP248" s="222">
        <f t="shared" si="1719"/>
        <v>3.6923076923076925</v>
      </c>
      <c r="HQ248" s="223">
        <f t="shared" si="1720"/>
        <v>11.076923076923077</v>
      </c>
      <c r="HR248" s="243">
        <f t="shared" si="1721"/>
        <v>8.3076923076923084</v>
      </c>
      <c r="HS248" s="243">
        <f t="shared" si="1722"/>
        <v>23.07692307692308</v>
      </c>
      <c r="HT248" s="252">
        <f t="shared" si="1610"/>
        <v>0</v>
      </c>
      <c r="HU248" s="309">
        <f t="shared" si="1723"/>
        <v>23.07692307692308</v>
      </c>
      <c r="HV248" s="218">
        <f>IF(HS248&lt;=0,2,0)+IF(HS248&gt;0,HS248+1,0)*2+IF(HS248&gt;12,HS248-12,0)*2+IF(HS248&gt;13,HS248-13,0)*2+IF(HS248&gt;14,HS248-14,0)*2+IF(HS248&gt;15,HS248-15,0)*2+IF(HS248&gt;16,HS248-16,0)*2+IF(HS248&gt;17,HS248-17,0)*2+IF(HS248&gt;18,HS248-18,0)*2+IF(HS248&gt;19,HS248-19,0)*2+IF(HS248&gt;20,HS248-20,0)*2</f>
        <v>175.5384615384616</v>
      </c>
      <c r="HW248" s="242">
        <f>IF(HT248&lt;=0,2,0)+IF(HT248&gt;0,HT248+1,0)*2+IF(HT248&gt;12,HT248-12,0)*2+IF(HT248&gt;13,HT248-13,0)*2+IF(HT248&gt;14,HT248-14,0)*2+IF(HT248&gt;15,HT248-15,0)*2+IF(HT248&gt;16,HT248-16,0)*2+IF(HT248&gt;17,HT248-17,0)*2+IF(HT248&gt;18,HT248-18,0)*2+IF(HT248&gt;19,HT248-19,0)*2+IF(HT248&gt;20,HT248-20,0)*2</f>
        <v>2</v>
      </c>
      <c r="HX248" s="243">
        <f t="shared" si="1724"/>
        <v>173.5384615384616</v>
      </c>
      <c r="HY248" s="218">
        <f t="shared" si="1725"/>
        <v>0</v>
      </c>
      <c r="IA248" s="303" t="s">
        <v>166</v>
      </c>
      <c r="IB248" s="218" t="s">
        <v>87</v>
      </c>
      <c r="IC248" s="243" t="s">
        <v>132</v>
      </c>
      <c r="ID248" s="237"/>
      <c r="IE248" s="234">
        <f>Konvention_1slave-KLslave</f>
        <v>12</v>
      </c>
      <c r="IF248" s="234">
        <f>Konvention_1slave-INslave</f>
        <v>12</v>
      </c>
      <c r="IG248" s="234">
        <f>Konvention_1slave-CHslave</f>
        <v>12</v>
      </c>
      <c r="IH248" s="234"/>
      <c r="II248" s="234"/>
      <c r="IJ248" s="234"/>
      <c r="IK248" s="224"/>
      <c r="IL248" s="223">
        <f t="shared" si="1726"/>
        <v>12</v>
      </c>
      <c r="IM248" s="223">
        <f t="shared" si="1727"/>
        <v>24</v>
      </c>
      <c r="IN248" s="224">
        <f t="shared" si="1728"/>
        <v>36</v>
      </c>
      <c r="IO248" s="237">
        <f t="shared" si="1611"/>
        <v>2304</v>
      </c>
      <c r="IP248" s="234">
        <f>IE248*IF248*CHslave+IE248*INslave*IG248+KLslave*IF248*IG248</f>
        <v>3456</v>
      </c>
      <c r="IQ248" s="224">
        <f t="shared" si="1729"/>
        <v>1728</v>
      </c>
      <c r="IR248" s="224">
        <f t="shared" si="1730"/>
        <v>7488</v>
      </c>
      <c r="IS248" s="222">
        <f t="shared" si="1731"/>
        <v>3.6923076923076925</v>
      </c>
      <c r="IT248" s="223">
        <f t="shared" si="1732"/>
        <v>11.076923076923077</v>
      </c>
      <c r="IU248" s="243">
        <f t="shared" si="1733"/>
        <v>8.3076923076923084</v>
      </c>
      <c r="IV248" s="243">
        <f t="shared" si="1734"/>
        <v>23.07692307692308</v>
      </c>
      <c r="IW248" s="252">
        <f t="shared" si="1612"/>
        <v>0</v>
      </c>
      <c r="IX248" s="309">
        <f t="shared" si="1735"/>
        <v>23.07692307692308</v>
      </c>
      <c r="IY248" s="218">
        <f>IF(IV248&lt;=0,2,0)+IF(IV248&gt;0,IV248+1,0)*2+IF(IV248&gt;12,IV248-12,0)*2+IF(IV248&gt;13,IV248-13,0)*2+IF(IV248&gt;14,IV248-14,0)*2+IF(IV248&gt;15,IV248-15,0)*2+IF(IV248&gt;16,IV248-16,0)*2+IF(IV248&gt;17,IV248-17,0)*2+IF(IV248&gt;18,IV248-18,0)*2+IF(IV248&gt;19,IV248-19,0)*2+IF(IV248&gt;20,IV248-20,0)*2</f>
        <v>175.5384615384616</v>
      </c>
      <c r="IZ248" s="242">
        <f>IF(IW248&lt;=0,2,0)+IF(IW248&gt;0,IW248+1,0)*2+IF(IW248&gt;12,IW248-12,0)*2+IF(IW248&gt;13,IW248-13,0)*2+IF(IW248&gt;14,IW248-14,0)*2+IF(IW248&gt;15,IW248-15,0)*2+IF(IW248&gt;16,IW248-16,0)*2+IF(IW248&gt;17,IW248-17,0)*2+IF(IW248&gt;18,IW248-18,0)*2+IF(IW248&gt;19,IW248-19,0)*2+IF(IW248&gt;20,IW248-20,0)*2</f>
        <v>2</v>
      </c>
      <c r="JA248" s="243">
        <f t="shared" si="1736"/>
        <v>173.5384615384616</v>
      </c>
      <c r="JB248" s="218">
        <f t="shared" si="1737"/>
        <v>0</v>
      </c>
      <c r="JE248" s="148"/>
    </row>
    <row r="249" spans="2:265" hidden="1" outlineLevel="2">
      <c r="B249" s="148">
        <v>37</v>
      </c>
      <c r="C249" s="303" t="e">
        <f>VLOOKUP(AF249,Attribute!C:T,1,FALSE)</f>
        <v>#N/A</v>
      </c>
      <c r="D249" s="125" t="s">
        <v>85</v>
      </c>
      <c r="E249" s="127" t="s">
        <v>135</v>
      </c>
      <c r="F249" s="114">
        <f>Konvention_1master-MUmaster</f>
        <v>12</v>
      </c>
      <c r="G249" s="113"/>
      <c r="H249" s="113"/>
      <c r="I249" s="113">
        <f>Konvention_1master-CHmaster</f>
        <v>12</v>
      </c>
      <c r="J249" s="113"/>
      <c r="K249" s="113"/>
      <c r="L249" s="113"/>
      <c r="M249" s="119"/>
      <c r="N249" s="223">
        <f>(F249+I249+I249)/3</f>
        <v>12</v>
      </c>
      <c r="O249" s="223">
        <f t="shared" si="1630"/>
        <v>24</v>
      </c>
      <c r="P249" s="224">
        <f t="shared" si="1631"/>
        <v>36</v>
      </c>
      <c r="Q249" s="237">
        <f>I249*POWER(MUmaster,SIGN(F249))*POWER(CHmaster,SIGN(I249))+I249*POWER(MUmaster,SIGN(F249))*POWER(CHmaster,SIGN(I249))+F249*POWER(CHmaster,SIGN(I249))*POWER(CHmaster,SIGN(I249))</f>
        <v>2304</v>
      </c>
      <c r="R249" s="113">
        <f>F249*I249*CHmaster+F249*CHmaster*I249+MUmaster*I249*I249</f>
        <v>3456</v>
      </c>
      <c r="S249" s="224">
        <f>F249*I249*I249</f>
        <v>1728</v>
      </c>
      <c r="T249" s="224">
        <f>SUM(Q249:S249)</f>
        <v>7488</v>
      </c>
      <c r="U249" s="222">
        <f t="shared" si="1635"/>
        <v>3.6923076923076925</v>
      </c>
      <c r="V249" s="223">
        <f t="shared" si="1636"/>
        <v>11.076923076923077</v>
      </c>
      <c r="W249" s="243">
        <f t="shared" si="1637"/>
        <v>8.3076923076923084</v>
      </c>
      <c r="X249" s="243">
        <f t="shared" si="1638"/>
        <v>23.07692307692308</v>
      </c>
      <c r="Y249" s="252">
        <v>0</v>
      </c>
      <c r="Z249" s="198">
        <f t="shared" si="1639"/>
        <v>23.07692307692308</v>
      </c>
      <c r="AA249" s="125">
        <f>IF(X249&lt;=0,3,0)+IF(X249&gt;0,X249+1,0)*3+IF(X249&gt;12,X249-12,0)*3+IF(X249&gt;13,X249-13,0)*3+IF(X249&gt;14,X249-14,0)*3+IF(X249&gt;15,X249-15,0)*3+IF(X249&gt;16,X249-16,0)*3+IF(X249&gt;17,X249-17,0)*3+IF(X249&gt;18,X249-18,0)*3+IF(X249&gt;19,X249-19,0)*3+IF(X249&gt;20,X249-20,0)*3</f>
        <v>263.30769230769232</v>
      </c>
      <c r="AB249" s="160">
        <f>IF(Y249&lt;=0,3,0)+IF(Y249&gt;0,Y249+1,0)*3+IF(Y249&gt;12,Y249-12,0)*3+IF(Y249&gt;13,Y249-13,0)*3+IF(Y249&gt;14,Y249-14,0)*3+IF(Y249&gt;15,Y249-15,0)*3+IF(Y249&gt;16,Y249-16,0)*3+IF(Y249&gt;17,Y249-17,0)*3+IF(Y249&gt;18,Y249-18,0)*3+IF(Y249&gt;19,Y249-19,0)*3+IF(Y249&gt;20,Y249-20,0)*3</f>
        <v>3</v>
      </c>
      <c r="AC249" s="127">
        <f t="shared" si="1640"/>
        <v>260.30769230769232</v>
      </c>
      <c r="AD249" s="125">
        <f t="shared" si="1641"/>
        <v>0</v>
      </c>
      <c r="AF249" s="163" t="s">
        <v>309</v>
      </c>
      <c r="AG249" s="125" t="s">
        <v>85</v>
      </c>
      <c r="AH249" s="127" t="s">
        <v>135</v>
      </c>
      <c r="AI249" s="114">
        <f>Konvention_1slave-MUslave_MU</f>
        <v>11</v>
      </c>
      <c r="AJ249" s="113"/>
      <c r="AK249" s="113"/>
      <c r="AL249" s="113">
        <f>Konvention_1slave-CHslave</f>
        <v>12</v>
      </c>
      <c r="AM249" s="113"/>
      <c r="AN249" s="113"/>
      <c r="AO249" s="113"/>
      <c r="AP249" s="119"/>
      <c r="AQ249" s="47">
        <f>(AI249+AL249+AL249)/3</f>
        <v>11.666666666666666</v>
      </c>
      <c r="AR249" s="47">
        <f t="shared" si="1643"/>
        <v>23.333333333333332</v>
      </c>
      <c r="AS249" s="119">
        <f t="shared" si="1644"/>
        <v>35</v>
      </c>
      <c r="AT249" s="114">
        <f>AL249*POWER(MUslave_MU,SIGN(AI249))*POWER(CHslave,SIGN(AL249))+AL249*POWER(MUslave_MU,SIGN(AI249))*POWER(CHslave,SIGN(AL249))+AI249*POWER(CHslave,SIGN(AL249))*POWER(CHslave,SIGN(AL249))</f>
        <v>2432</v>
      </c>
      <c r="AU249" s="113">
        <f>AI249*AL249*CHslave+AI249*CHslave*AL249+MUslave_MU*AL249*AL249</f>
        <v>3408</v>
      </c>
      <c r="AV249" s="119">
        <f>AI249*AL249*AL249</f>
        <v>1584</v>
      </c>
      <c r="AW249" s="119">
        <f t="shared" ref="AW249:AW257" si="1785">SUM(AT249:AV249)</f>
        <v>7424</v>
      </c>
      <c r="AX249" s="89">
        <f t="shared" si="1647"/>
        <v>3.8218390804597702</v>
      </c>
      <c r="AY249" s="47">
        <f t="shared" si="1648"/>
        <v>10.711206896551724</v>
      </c>
      <c r="AZ249" s="127">
        <f t="shared" si="1649"/>
        <v>7.4676724137931032</v>
      </c>
      <c r="BA249" s="127">
        <f t="shared" si="1650"/>
        <v>22.000718390804597</v>
      </c>
      <c r="BB249" s="165">
        <f t="shared" si="1598"/>
        <v>0</v>
      </c>
      <c r="BC249" s="198">
        <f t="shared" si="1651"/>
        <v>22.000718390804597</v>
      </c>
      <c r="BD249" s="125">
        <f>IF(BA249&lt;=0,3,0)+IF(BA249&gt;0,BA249+1,0)*3+IF(BA249&gt;12,BA249-12,0)*3+IF(BA249&gt;13,BA249-13,0)*3+IF(BA249&gt;14,BA249-14,0)*3+IF(BA249&gt;15,BA249-15,0)*3+IF(BA249&gt;16,BA249-16,0)*3+IF(BA249&gt;17,BA249-17,0)*3+IF(BA249&gt;18,BA249-18,0)*3+IF(BA249&gt;19,BA249-19,0)*3+IF(BA249&gt;20,BA249-20,0)*3</f>
        <v>231.02155172413785</v>
      </c>
      <c r="BE249" s="160">
        <f>IF(BB249&lt;=0,3,0)+IF(BB249&gt;0,BB249+1,0)*3+IF(BB249&gt;12,BB249-12,0)*3+IF(BB249&gt;13,BB249-13,0)*3+IF(BB249&gt;14,BB249-14,0)*3+IF(BB249&gt;15,BB249-15,0)*3+IF(BB249&gt;16,BB249-16,0)*3+IF(BB249&gt;17,BB249-17,0)*3+IF(BB249&gt;18,BB249-18,0)*3+IF(BB249&gt;19,BB249-19,0)*3+IF(BB249&gt;20,BB249-20,0)*3</f>
        <v>3</v>
      </c>
      <c r="BF249" s="243">
        <f t="shared" si="1652"/>
        <v>228.02155172413785</v>
      </c>
      <c r="BG249" s="218">
        <f t="shared" si="1653"/>
        <v>0</v>
      </c>
      <c r="BI249" s="303" t="s">
        <v>309</v>
      </c>
      <c r="BJ249" s="218" t="s">
        <v>85</v>
      </c>
      <c r="BK249" s="243" t="s">
        <v>135</v>
      </c>
      <c r="BL249" s="237">
        <f>Konvention_1slave-MUslave</f>
        <v>12</v>
      </c>
      <c r="BM249" s="234"/>
      <c r="BN249" s="234"/>
      <c r="BO249" s="234">
        <f>Konvention_1slave-CHslave</f>
        <v>12</v>
      </c>
      <c r="BP249" s="234"/>
      <c r="BQ249" s="234"/>
      <c r="BR249" s="234"/>
      <c r="BS249" s="224"/>
      <c r="BT249" s="223">
        <f>(BL249+BO249+BO249)/3</f>
        <v>12</v>
      </c>
      <c r="BU249" s="223">
        <f t="shared" si="1655"/>
        <v>24</v>
      </c>
      <c r="BV249" s="224">
        <f t="shared" si="1656"/>
        <v>36</v>
      </c>
      <c r="BW249" s="237">
        <f>BO249*POWER(MUslave,SIGN(BL249))*POWER(CHslave,SIGN(BO249))+BO249*POWER(MUslave,SIGN(BL249))*POWER(CHslave,SIGN(BO249))+BL249*POWER(CHslave,SIGN(BO249))*POWER(CHslave,SIGN(BO249))</f>
        <v>2304</v>
      </c>
      <c r="BX249" s="234">
        <f>BL249*BO249*CHslave+BL249*CHslave*BO249+MUslave*BO249*BO249</f>
        <v>3456</v>
      </c>
      <c r="BY249" s="224">
        <f>BL249*BO249*BO249</f>
        <v>1728</v>
      </c>
      <c r="BZ249" s="224">
        <f t="shared" ref="BZ249:BZ257" si="1786">SUM(BW249:BY249)</f>
        <v>7488</v>
      </c>
      <c r="CA249" s="222">
        <f t="shared" si="1659"/>
        <v>3.6923076923076925</v>
      </c>
      <c r="CB249" s="223">
        <f t="shared" si="1660"/>
        <v>11.076923076923077</v>
      </c>
      <c r="CC249" s="243">
        <f t="shared" si="1661"/>
        <v>8.3076923076923084</v>
      </c>
      <c r="CD249" s="243">
        <f t="shared" si="1662"/>
        <v>23.07692307692308</v>
      </c>
      <c r="CE249" s="252">
        <f t="shared" si="1600"/>
        <v>0</v>
      </c>
      <c r="CF249" s="309">
        <f t="shared" si="1663"/>
        <v>23.07692307692308</v>
      </c>
      <c r="CG249" s="218">
        <f>IF(CD249&lt;=0,3,0)+IF(CD249&gt;0,CD249+1,0)*3+IF(CD249&gt;12,CD249-12,0)*3+IF(CD249&gt;13,CD249-13,0)*3+IF(CD249&gt;14,CD249-14,0)*3+IF(CD249&gt;15,CD249-15,0)*3+IF(CD249&gt;16,CD249-16,0)*3+IF(CD249&gt;17,CD249-17,0)*3+IF(CD249&gt;18,CD249-18,0)*3+IF(CD249&gt;19,CD249-19,0)*3+IF(CD249&gt;20,CD249-20,0)*3</f>
        <v>263.30769230769232</v>
      </c>
      <c r="CH249" s="242">
        <f>IF(CE249&lt;=0,3,0)+IF(CE249&gt;0,CE249+1,0)*3+IF(CE249&gt;12,CE249-12,0)*3+IF(CE249&gt;13,CE249-13,0)*3+IF(CE249&gt;14,CE249-14,0)*3+IF(CE249&gt;15,CE249-15,0)*3+IF(CE249&gt;16,CE249-16,0)*3+IF(CE249&gt;17,CE249-17,0)*3+IF(CE249&gt;18,CE249-18,0)*3+IF(CE249&gt;19,CE249-19,0)*3+IF(CE249&gt;20,CE249-20,0)*3</f>
        <v>3</v>
      </c>
      <c r="CI249" s="243">
        <f t="shared" si="1664"/>
        <v>260.30769230769232</v>
      </c>
      <c r="CJ249" s="218">
        <f t="shared" si="1665"/>
        <v>0</v>
      </c>
      <c r="CL249" s="303" t="s">
        <v>309</v>
      </c>
      <c r="CM249" s="218" t="s">
        <v>85</v>
      </c>
      <c r="CN249" s="243" t="s">
        <v>135</v>
      </c>
      <c r="CO249" s="237">
        <f>Konvention_1slave-MUslave</f>
        <v>12</v>
      </c>
      <c r="CP249" s="234"/>
      <c r="CQ249" s="234"/>
      <c r="CR249" s="234">
        <f>Konvention_1slave-CHslave</f>
        <v>12</v>
      </c>
      <c r="CS249" s="234"/>
      <c r="CT249" s="234"/>
      <c r="CU249" s="234"/>
      <c r="CV249" s="224"/>
      <c r="CW249" s="223">
        <f>(CO249+CR249+CR249)/3</f>
        <v>12</v>
      </c>
      <c r="CX249" s="223">
        <f t="shared" si="1667"/>
        <v>24</v>
      </c>
      <c r="CY249" s="224">
        <f t="shared" si="1668"/>
        <v>36</v>
      </c>
      <c r="CZ249" s="237">
        <f>CR249*POWER(MUslave,SIGN(CO249))*POWER(CHslave,SIGN(CR249))+CR249*POWER(MUslave,SIGN(CO249))*POWER(CHslave,SIGN(CR249))+CO249*POWER(CHslave,SIGN(CR249))*POWER(CHslave,SIGN(CR249))</f>
        <v>2304</v>
      </c>
      <c r="DA249" s="234">
        <f>CO249*CR249*CHslave+CO249*CHslave*CR249+MUslave*CR249*CR249</f>
        <v>3456</v>
      </c>
      <c r="DB249" s="224">
        <f>CO249*CR249*CR249</f>
        <v>1728</v>
      </c>
      <c r="DC249" s="224">
        <f t="shared" ref="DC249:DC257" si="1787">SUM(CZ249:DB249)</f>
        <v>7488</v>
      </c>
      <c r="DD249" s="222">
        <f t="shared" si="1671"/>
        <v>3.6923076923076925</v>
      </c>
      <c r="DE249" s="223">
        <f t="shared" si="1672"/>
        <v>11.076923076923077</v>
      </c>
      <c r="DF249" s="243">
        <f t="shared" si="1673"/>
        <v>8.3076923076923084</v>
      </c>
      <c r="DG249" s="243">
        <f t="shared" si="1674"/>
        <v>23.07692307692308</v>
      </c>
      <c r="DH249" s="252">
        <f t="shared" si="1602"/>
        <v>0</v>
      </c>
      <c r="DI249" s="309">
        <f t="shared" si="1675"/>
        <v>23.07692307692308</v>
      </c>
      <c r="DJ249" s="218">
        <f>IF(DG249&lt;=0,3,0)+IF(DG249&gt;0,DG249+1,0)*3+IF(DG249&gt;12,DG249-12,0)*3+IF(DG249&gt;13,DG249-13,0)*3+IF(DG249&gt;14,DG249-14,0)*3+IF(DG249&gt;15,DG249-15,0)*3+IF(DG249&gt;16,DG249-16,0)*3+IF(DG249&gt;17,DG249-17,0)*3+IF(DG249&gt;18,DG249-18,0)*3+IF(DG249&gt;19,DG249-19,0)*3+IF(DG249&gt;20,DG249-20,0)*3</f>
        <v>263.30769230769232</v>
      </c>
      <c r="DK249" s="242">
        <f>IF(DH249&lt;=0,3,0)+IF(DH249&gt;0,DH249+1,0)*3+IF(DH249&gt;12,DH249-12,0)*3+IF(DH249&gt;13,DH249-13,0)*3+IF(DH249&gt;14,DH249-14,0)*3+IF(DH249&gt;15,DH249-15,0)*3+IF(DH249&gt;16,DH249-16,0)*3+IF(DH249&gt;17,DH249-17,0)*3+IF(DH249&gt;18,DH249-18,0)*3+IF(DH249&gt;19,DH249-19,0)*3+IF(DH249&gt;20,DH249-20,0)*3</f>
        <v>3</v>
      </c>
      <c r="DL249" s="243">
        <f t="shared" si="1676"/>
        <v>260.30769230769232</v>
      </c>
      <c r="DM249" s="218">
        <f t="shared" si="1677"/>
        <v>0</v>
      </c>
      <c r="DO249" s="303" t="s">
        <v>309</v>
      </c>
      <c r="DP249" s="218" t="s">
        <v>85</v>
      </c>
      <c r="DQ249" s="243" t="s">
        <v>135</v>
      </c>
      <c r="DR249" s="237">
        <f>Konvention_1slave-MUslave</f>
        <v>12</v>
      </c>
      <c r="DS249" s="234"/>
      <c r="DT249" s="234"/>
      <c r="DU249" s="234">
        <f>Konvention_1slave-CHslave_CH</f>
        <v>11</v>
      </c>
      <c r="DV249" s="234"/>
      <c r="DW249" s="234"/>
      <c r="DX249" s="234"/>
      <c r="DY249" s="224"/>
      <c r="DZ249" s="223">
        <f>(DR249+DU249+DU249)/3</f>
        <v>11.333333333333334</v>
      </c>
      <c r="EA249" s="223">
        <f t="shared" si="1679"/>
        <v>22.666666666666668</v>
      </c>
      <c r="EB249" s="224">
        <f t="shared" si="1680"/>
        <v>34</v>
      </c>
      <c r="EC249" s="237">
        <f>DU249*POWER(MUslave,SIGN(DR249))*POWER(CHslave_CH,SIGN(DU249))+DU249*POWER(MUslave,SIGN(DR249))*POWER(CHslave_CH,SIGN(DU249))+DR249*POWER(CHslave_CH,SIGN(DU249))*POWER(CHslave_CH,SIGN(DU249))</f>
        <v>2556</v>
      </c>
      <c r="ED249" s="234">
        <f>DR249*DU249*CHslave_CH+DR249*CHslave_CH*DU249+MUslave*DU249*DU249</f>
        <v>3344</v>
      </c>
      <c r="EE249" s="224">
        <f>DR249*DU249*DU249</f>
        <v>1452</v>
      </c>
      <c r="EF249" s="224">
        <f t="shared" ref="EF249:EF257" si="1788">SUM(EC249:EE249)</f>
        <v>7352</v>
      </c>
      <c r="EG249" s="222">
        <f t="shared" si="1683"/>
        <v>3.940152339499456</v>
      </c>
      <c r="EH249" s="223">
        <f t="shared" si="1684"/>
        <v>10.309756982227059</v>
      </c>
      <c r="EI249" s="243">
        <f t="shared" si="1685"/>
        <v>6.714907508161045</v>
      </c>
      <c r="EJ249" s="243">
        <f t="shared" si="1686"/>
        <v>20.96481682988756</v>
      </c>
      <c r="EK249" s="252">
        <f t="shared" si="1604"/>
        <v>0</v>
      </c>
      <c r="EL249" s="309">
        <f t="shared" si="1687"/>
        <v>20.96481682988756</v>
      </c>
      <c r="EM249" s="218">
        <f>IF(EJ249&lt;=0,3,0)+IF(EJ249&gt;0,EJ249+1,0)*3+IF(EJ249&gt;12,EJ249-12,0)*3+IF(EJ249&gt;13,EJ249-13,0)*3+IF(EJ249&gt;14,EJ249-14,0)*3+IF(EJ249&gt;15,EJ249-15,0)*3+IF(EJ249&gt;16,EJ249-16,0)*3+IF(EJ249&gt;17,EJ249-17,0)*3+IF(EJ249&gt;18,EJ249-18,0)*3+IF(EJ249&gt;19,EJ249-19,0)*3+IF(EJ249&gt;20,EJ249-20,0)*3</f>
        <v>199.94450489662688</v>
      </c>
      <c r="EN249" s="242">
        <f>IF(EK249&lt;=0,3,0)+IF(EK249&gt;0,EK249+1,0)*3+IF(EK249&gt;12,EK249-12,0)*3+IF(EK249&gt;13,EK249-13,0)*3+IF(EK249&gt;14,EK249-14,0)*3+IF(EK249&gt;15,EK249-15,0)*3+IF(EK249&gt;16,EK249-16,0)*3+IF(EK249&gt;17,EK249-17,0)*3+IF(EK249&gt;18,EK249-18,0)*3+IF(EK249&gt;19,EK249-19,0)*3+IF(EK249&gt;20,EK249-20,0)*3</f>
        <v>3</v>
      </c>
      <c r="EO249" s="243">
        <f t="shared" si="1688"/>
        <v>196.94450489662688</v>
      </c>
      <c r="EP249" s="218">
        <f t="shared" si="1689"/>
        <v>0</v>
      </c>
      <c r="ER249" s="303" t="s">
        <v>309</v>
      </c>
      <c r="ES249" s="218" t="s">
        <v>85</v>
      </c>
      <c r="ET249" s="243" t="s">
        <v>135</v>
      </c>
      <c r="EU249" s="237">
        <f>Konvention_1slave-MUslave</f>
        <v>12</v>
      </c>
      <c r="EV249" s="234"/>
      <c r="EW249" s="234"/>
      <c r="EX249" s="234">
        <f>Konvention_1slave-CHslave</f>
        <v>12</v>
      </c>
      <c r="EY249" s="234"/>
      <c r="EZ249" s="234"/>
      <c r="FA249" s="234"/>
      <c r="FB249" s="224"/>
      <c r="FC249" s="223">
        <f>(EU249+EX249+EX249)/3</f>
        <v>12</v>
      </c>
      <c r="FD249" s="223">
        <f t="shared" si="1691"/>
        <v>24</v>
      </c>
      <c r="FE249" s="224">
        <f t="shared" si="1692"/>
        <v>36</v>
      </c>
      <c r="FF249" s="237">
        <f>EX249*POWER(MUslave,SIGN(EU249))*POWER(CHslave,SIGN(EX249))+EX249*POWER(MUslave,SIGN(EU249))*POWER(CHslave,SIGN(EX249))+EU249*POWER(CHslave,SIGN(EX249))*POWER(CHslave,SIGN(EX249))</f>
        <v>2304</v>
      </c>
      <c r="FG249" s="234">
        <f>EU249*EX249*CHslave+EU249*CHslave*EX249+MUslave*EX249*EX249</f>
        <v>3456</v>
      </c>
      <c r="FH249" s="224">
        <f>EU249*EX249*EX249</f>
        <v>1728</v>
      </c>
      <c r="FI249" s="224">
        <f t="shared" ref="FI249:FI257" si="1789">SUM(FF249:FH249)</f>
        <v>7488</v>
      </c>
      <c r="FJ249" s="222">
        <f t="shared" si="1695"/>
        <v>3.6923076923076925</v>
      </c>
      <c r="FK249" s="223">
        <f t="shared" si="1696"/>
        <v>11.076923076923077</v>
      </c>
      <c r="FL249" s="243">
        <f t="shared" si="1697"/>
        <v>8.3076923076923084</v>
      </c>
      <c r="FM249" s="243">
        <f t="shared" si="1698"/>
        <v>23.07692307692308</v>
      </c>
      <c r="FN249" s="252">
        <f t="shared" si="1606"/>
        <v>0</v>
      </c>
      <c r="FO249" s="309">
        <f t="shared" si="1699"/>
        <v>23.07692307692308</v>
      </c>
      <c r="FP249" s="218">
        <f>IF(FM249&lt;=0,3,0)+IF(FM249&gt;0,FM249+1,0)*3+IF(FM249&gt;12,FM249-12,0)*3+IF(FM249&gt;13,FM249-13,0)*3+IF(FM249&gt;14,FM249-14,0)*3+IF(FM249&gt;15,FM249-15,0)*3+IF(FM249&gt;16,FM249-16,0)*3+IF(FM249&gt;17,FM249-17,0)*3+IF(FM249&gt;18,FM249-18,0)*3+IF(FM249&gt;19,FM249-19,0)*3+IF(FM249&gt;20,FM249-20,0)*3</f>
        <v>263.30769230769232</v>
      </c>
      <c r="FQ249" s="242">
        <f>IF(FN249&lt;=0,3,0)+IF(FN249&gt;0,FN249+1,0)*3+IF(FN249&gt;12,FN249-12,0)*3+IF(FN249&gt;13,FN249-13,0)*3+IF(FN249&gt;14,FN249-14,0)*3+IF(FN249&gt;15,FN249-15,0)*3+IF(FN249&gt;16,FN249-16,0)*3+IF(FN249&gt;17,FN249-17,0)*3+IF(FN249&gt;18,FN249-18,0)*3+IF(FN249&gt;19,FN249-19,0)*3+IF(FN249&gt;20,FN249-20,0)*3</f>
        <v>3</v>
      </c>
      <c r="FR249" s="243">
        <f t="shared" si="1700"/>
        <v>260.30769230769232</v>
      </c>
      <c r="FS249" s="218">
        <f t="shared" si="1701"/>
        <v>0</v>
      </c>
      <c r="FU249" s="303" t="s">
        <v>309</v>
      </c>
      <c r="FV249" s="218" t="s">
        <v>85</v>
      </c>
      <c r="FW249" s="243" t="s">
        <v>135</v>
      </c>
      <c r="FX249" s="237">
        <f>Konvention_1slave-MUslave</f>
        <v>12</v>
      </c>
      <c r="FY249" s="234"/>
      <c r="FZ249" s="234"/>
      <c r="GA249" s="234">
        <f>Konvention_1slave-CHslave</f>
        <v>12</v>
      </c>
      <c r="GB249" s="234"/>
      <c r="GC249" s="234"/>
      <c r="GD249" s="234"/>
      <c r="GE249" s="224"/>
      <c r="GF249" s="223">
        <f>(FX249+GA249+GA249)/3</f>
        <v>12</v>
      </c>
      <c r="GG249" s="223">
        <f t="shared" si="1703"/>
        <v>24</v>
      </c>
      <c r="GH249" s="224">
        <f t="shared" si="1704"/>
        <v>36</v>
      </c>
      <c r="GI249" s="237">
        <f>GA249*POWER(MUslave,SIGN(FX249))*POWER(CHslave,SIGN(GA249))+GA249*POWER(MUslave,SIGN(FX249))*POWER(CHslave,SIGN(GA249))+FX249*POWER(CHslave,SIGN(GA249))*POWER(CHslave,SIGN(GA249))</f>
        <v>2304</v>
      </c>
      <c r="GJ249" s="234">
        <f>FX249*GA249*CHslave+FX249*CHslave*GA249+MUslave*GA249*GA249</f>
        <v>3456</v>
      </c>
      <c r="GK249" s="224">
        <f>FX249*GA249*GA249</f>
        <v>1728</v>
      </c>
      <c r="GL249" s="224">
        <f t="shared" ref="GL249:GL257" si="1790">SUM(GI249:GK249)</f>
        <v>7488</v>
      </c>
      <c r="GM249" s="222">
        <f t="shared" si="1707"/>
        <v>3.6923076923076925</v>
      </c>
      <c r="GN249" s="223">
        <f t="shared" si="1708"/>
        <v>11.076923076923077</v>
      </c>
      <c r="GO249" s="243">
        <f t="shared" si="1709"/>
        <v>8.3076923076923084</v>
      </c>
      <c r="GP249" s="243">
        <f t="shared" si="1710"/>
        <v>23.07692307692308</v>
      </c>
      <c r="GQ249" s="252">
        <f t="shared" si="1608"/>
        <v>0</v>
      </c>
      <c r="GR249" s="309">
        <f t="shared" si="1711"/>
        <v>23.07692307692308</v>
      </c>
      <c r="GS249" s="218">
        <f>IF(GP249&lt;=0,3,0)+IF(GP249&gt;0,GP249+1,0)*3+IF(GP249&gt;12,GP249-12,0)*3+IF(GP249&gt;13,GP249-13,0)*3+IF(GP249&gt;14,GP249-14,0)*3+IF(GP249&gt;15,GP249-15,0)*3+IF(GP249&gt;16,GP249-16,0)*3+IF(GP249&gt;17,GP249-17,0)*3+IF(GP249&gt;18,GP249-18,0)*3+IF(GP249&gt;19,GP249-19,0)*3+IF(GP249&gt;20,GP249-20,0)*3</f>
        <v>263.30769230769232</v>
      </c>
      <c r="GT249" s="242">
        <f>IF(GQ249&lt;=0,3,0)+IF(GQ249&gt;0,GQ249+1,0)*3+IF(GQ249&gt;12,GQ249-12,0)*3+IF(GQ249&gt;13,GQ249-13,0)*3+IF(GQ249&gt;14,GQ249-14,0)*3+IF(GQ249&gt;15,GQ249-15,0)*3+IF(GQ249&gt;16,GQ249-16,0)*3+IF(GQ249&gt;17,GQ249-17,0)*3+IF(GQ249&gt;18,GQ249-18,0)*3+IF(GQ249&gt;19,GQ249-19,0)*3+IF(GQ249&gt;20,GQ249-20,0)*3</f>
        <v>3</v>
      </c>
      <c r="GU249" s="243">
        <f t="shared" si="1712"/>
        <v>260.30769230769232</v>
      </c>
      <c r="GV249" s="218">
        <f t="shared" si="1713"/>
        <v>0</v>
      </c>
      <c r="GX249" s="303" t="s">
        <v>309</v>
      </c>
      <c r="GY249" s="218" t="s">
        <v>85</v>
      </c>
      <c r="GZ249" s="243" t="s">
        <v>135</v>
      </c>
      <c r="HA249" s="237">
        <f>Konvention_1slave-MUslave</f>
        <v>12</v>
      </c>
      <c r="HB249" s="234"/>
      <c r="HC249" s="234"/>
      <c r="HD249" s="234">
        <f>Konvention_1slave-CHslave</f>
        <v>12</v>
      </c>
      <c r="HE249" s="234"/>
      <c r="HF249" s="234"/>
      <c r="HG249" s="234"/>
      <c r="HH249" s="224"/>
      <c r="HI249" s="223">
        <f>(HA249+HD249+HD249)/3</f>
        <v>12</v>
      </c>
      <c r="HJ249" s="223">
        <f t="shared" si="1715"/>
        <v>24</v>
      </c>
      <c r="HK249" s="224">
        <f t="shared" si="1716"/>
        <v>36</v>
      </c>
      <c r="HL249" s="237">
        <f>HD249*POWER(MUslave,SIGN(HA249))*POWER(CHslave,SIGN(HD249))+HD249*POWER(MUslave,SIGN(HA249))*POWER(CHslave,SIGN(HD249))+HA249*POWER(CHslave,SIGN(HD249))*POWER(CHslave,SIGN(HD249))</f>
        <v>2304</v>
      </c>
      <c r="HM249" s="234">
        <f>HA249*HD249*CHslave+HA249*CHslave*HD249+MUslave*HD249*HD249</f>
        <v>3456</v>
      </c>
      <c r="HN249" s="224">
        <f>HA249*HD249*HD249</f>
        <v>1728</v>
      </c>
      <c r="HO249" s="224">
        <f t="shared" ref="HO249:HO257" si="1791">SUM(HL249:HN249)</f>
        <v>7488</v>
      </c>
      <c r="HP249" s="222">
        <f t="shared" si="1719"/>
        <v>3.6923076923076925</v>
      </c>
      <c r="HQ249" s="223">
        <f t="shared" si="1720"/>
        <v>11.076923076923077</v>
      </c>
      <c r="HR249" s="243">
        <f t="shared" si="1721"/>
        <v>8.3076923076923084</v>
      </c>
      <c r="HS249" s="243">
        <f t="shared" si="1722"/>
        <v>23.07692307692308</v>
      </c>
      <c r="HT249" s="252">
        <f t="shared" si="1610"/>
        <v>0</v>
      </c>
      <c r="HU249" s="309">
        <f t="shared" si="1723"/>
        <v>23.07692307692308</v>
      </c>
      <c r="HV249" s="218">
        <f>IF(HS249&lt;=0,3,0)+IF(HS249&gt;0,HS249+1,0)*3+IF(HS249&gt;12,HS249-12,0)*3+IF(HS249&gt;13,HS249-13,0)*3+IF(HS249&gt;14,HS249-14,0)*3+IF(HS249&gt;15,HS249-15,0)*3+IF(HS249&gt;16,HS249-16,0)*3+IF(HS249&gt;17,HS249-17,0)*3+IF(HS249&gt;18,HS249-18,0)*3+IF(HS249&gt;19,HS249-19,0)*3+IF(HS249&gt;20,HS249-20,0)*3</f>
        <v>263.30769230769232</v>
      </c>
      <c r="HW249" s="242">
        <f>IF(HT249&lt;=0,3,0)+IF(HT249&gt;0,HT249+1,0)*3+IF(HT249&gt;12,HT249-12,0)*3+IF(HT249&gt;13,HT249-13,0)*3+IF(HT249&gt;14,HT249-14,0)*3+IF(HT249&gt;15,HT249-15,0)*3+IF(HT249&gt;16,HT249-16,0)*3+IF(HT249&gt;17,HT249-17,0)*3+IF(HT249&gt;18,HT249-18,0)*3+IF(HT249&gt;19,HT249-19,0)*3+IF(HT249&gt;20,HT249-20,0)*3</f>
        <v>3</v>
      </c>
      <c r="HX249" s="243">
        <f t="shared" si="1724"/>
        <v>260.30769230769232</v>
      </c>
      <c r="HY249" s="218">
        <f t="shared" si="1725"/>
        <v>0</v>
      </c>
      <c r="IA249" s="303" t="s">
        <v>309</v>
      </c>
      <c r="IB249" s="218" t="s">
        <v>85</v>
      </c>
      <c r="IC249" s="243" t="s">
        <v>135</v>
      </c>
      <c r="ID249" s="237">
        <f>Konvention_1slave-MUslave</f>
        <v>12</v>
      </c>
      <c r="IE249" s="234"/>
      <c r="IF249" s="234"/>
      <c r="IG249" s="234">
        <f>Konvention_1slave-CHslave</f>
        <v>12</v>
      </c>
      <c r="IH249" s="234"/>
      <c r="II249" s="234"/>
      <c r="IJ249" s="234"/>
      <c r="IK249" s="224"/>
      <c r="IL249" s="223">
        <f>(ID249+IG249+IG249)/3</f>
        <v>12</v>
      </c>
      <c r="IM249" s="223">
        <f t="shared" si="1727"/>
        <v>24</v>
      </c>
      <c r="IN249" s="224">
        <f t="shared" si="1728"/>
        <v>36</v>
      </c>
      <c r="IO249" s="237">
        <f>IG249*POWER(MUslave,SIGN(ID249))*POWER(CHslave,SIGN(IG249))+IG249*POWER(MUslave,SIGN(ID249))*POWER(CHslave,SIGN(IG249))+ID249*POWER(CHslave,SIGN(IG249))*POWER(CHslave,SIGN(IG249))</f>
        <v>2304</v>
      </c>
      <c r="IP249" s="234">
        <f>ID249*IG249*CHslave+ID249*CHslave*IG249+MUslave*IG249*IG249</f>
        <v>3456</v>
      </c>
      <c r="IQ249" s="224">
        <f>ID249*IG249*IG249</f>
        <v>1728</v>
      </c>
      <c r="IR249" s="224">
        <f t="shared" ref="IR249:IR257" si="1792">SUM(IO249:IQ249)</f>
        <v>7488</v>
      </c>
      <c r="IS249" s="222">
        <f t="shared" si="1731"/>
        <v>3.6923076923076925</v>
      </c>
      <c r="IT249" s="223">
        <f t="shared" si="1732"/>
        <v>11.076923076923077</v>
      </c>
      <c r="IU249" s="243">
        <f t="shared" si="1733"/>
        <v>8.3076923076923084</v>
      </c>
      <c r="IV249" s="243">
        <f t="shared" si="1734"/>
        <v>23.07692307692308</v>
      </c>
      <c r="IW249" s="252">
        <f t="shared" si="1612"/>
        <v>0</v>
      </c>
      <c r="IX249" s="309">
        <f t="shared" si="1735"/>
        <v>23.07692307692308</v>
      </c>
      <c r="IY249" s="218">
        <f>IF(IV249&lt;=0,3,0)+IF(IV249&gt;0,IV249+1,0)*3+IF(IV249&gt;12,IV249-12,0)*3+IF(IV249&gt;13,IV249-13,0)*3+IF(IV249&gt;14,IV249-14,0)*3+IF(IV249&gt;15,IV249-15,0)*3+IF(IV249&gt;16,IV249-16,0)*3+IF(IV249&gt;17,IV249-17,0)*3+IF(IV249&gt;18,IV249-18,0)*3+IF(IV249&gt;19,IV249-19,0)*3+IF(IV249&gt;20,IV249-20,0)*3</f>
        <v>263.30769230769232</v>
      </c>
      <c r="IZ249" s="242">
        <f>IF(IW249&lt;=0,3,0)+IF(IW249&gt;0,IW249+1,0)*3+IF(IW249&gt;12,IW249-12,0)*3+IF(IW249&gt;13,IW249-13,0)*3+IF(IW249&gt;14,IW249-14,0)*3+IF(IW249&gt;15,IW249-15,0)*3+IF(IW249&gt;16,IW249-16,0)*3+IF(IW249&gt;17,IW249-17,0)*3+IF(IW249&gt;18,IW249-18,0)*3+IF(IW249&gt;19,IW249-19,0)*3+IF(IW249&gt;20,IW249-20,0)*3</f>
        <v>3</v>
      </c>
      <c r="JA249" s="243">
        <f t="shared" si="1736"/>
        <v>260.30769230769232</v>
      </c>
      <c r="JB249" s="218">
        <f t="shared" si="1737"/>
        <v>0</v>
      </c>
      <c r="JE249" s="148"/>
    </row>
    <row r="250" spans="2:265" ht="15" hidden="1" customHeight="1" outlineLevel="2">
      <c r="B250" s="148">
        <v>38</v>
      </c>
      <c r="C250" s="303" t="e">
        <f>VLOOKUP(AF250,Attribute!C:T,1,FALSE)</f>
        <v>#N/A</v>
      </c>
      <c r="D250" s="125" t="s">
        <v>227</v>
      </c>
      <c r="E250" s="127" t="s">
        <v>135</v>
      </c>
      <c r="F250" s="114">
        <f>Konvention_1master-MUmaster</f>
        <v>12</v>
      </c>
      <c r="G250" s="113"/>
      <c r="H250" s="113"/>
      <c r="I250" s="113">
        <f>Konvention_1master-CHmaster</f>
        <v>12</v>
      </c>
      <c r="J250" s="113"/>
      <c r="K250" s="113"/>
      <c r="L250" s="113">
        <f>Konvention_1master-KOmaster</f>
        <v>12</v>
      </c>
      <c r="M250" s="119"/>
      <c r="N250" s="223">
        <f>(F250+G250+H250+I250+J250+K250+L250+M250)/3</f>
        <v>12</v>
      </c>
      <c r="O250" s="223">
        <f t="shared" si="1630"/>
        <v>24</v>
      </c>
      <c r="P250" s="224">
        <f t="shared" si="1631"/>
        <v>36</v>
      </c>
      <c r="Q250" s="237">
        <f>F250*POWER(KLmaster,SIGN(G250))*POWER(INmaster,SIGN(H250))*POWER(CHmaster,SIGN(I250))*POWER(FFmaster,SIGN(J250))*POWER(GEmaster,SIGN(K250))*POWER(KOmaster,SIGN(L250))*POWER(KKmaster,SIGN(M250))+G250*POWER(MUmaster,SIGN(F250))*POWER(INmaster,SIGN(H250))*POWER(CHmaster,SIGN(I250))*POWER(FFmaster,SIGN(J250))*POWER(GEmaster,SIGN(K250))*POWER(KOmaster,SIGN(L250))*POWER(KKmaster,SIGN(M250))+H250*POWER(MUmaster,SIGN(F250))*POWER(KLmaster,SIGN(G250))*POWER(CHmaster,SIGN(I250))*POWER(FFmaster,SIGN(J250))*POWER(GEmaster,SIGN(K250))*POWER(KOmaster,SIGN(L250))*POWER(KKmaster,SIGN(M250))+I250*POWER(MUmaster,SIGN(F250))*POWER(KLmaster,SIGN(G250))*POWER(INmaster,SIGN(H250))*POWER(FFmaster,SIGN(J250))*POWER(GEmaster,SIGN(K250))*POWER(KOmaster,SIGN(L250))*POWER(KKmaster,SIGN(M250))+J250*POWER(MUmaster,SIGN(F250))*POWER(KLmaster,SIGN(G250))*POWER(INmaster,SIGN(H250))*POWER(CHmaster,SIGN(I250))*POWER(GEmaster,SIGN(K250))*POWER(KOmaster,SIGN(L250))*POWER(KKmaster,SIGN(M250))+K250*POWER(MUmaster,SIGN(F250))*POWER(KLmaster,SIGN(G250))*POWER(INmaster,SIGN(H250))*POWER(CHmaster,SIGN(I250))*POWER(FFmaster,SIGN(J250))*POWER(KOmaster,SIGN(L250))*POWER(KKmaster,SIGN(M250))+L250*POWER(MUmaster,SIGN(F250))*POWER(KLmaster,SIGN(G250))*POWER(INmaster,SIGN(H250))*POWER(CHmaster,SIGN(I250))*POWER(FFmaster,SIGN(J250))*POWER(GEmaster,SIGN(K250))*POWER(KKmaster,SIGN(M250))+M250*POWER(MUmaster,SIGN(F250))*POWER(KLmaster,SIGN(G250))*POWER(INmaster,SIGN(H250))*POWER(CHmaster,SIGN(I250))*POWER(FFmaster,SIGN(J250))*POWER(GEmaster,SIGN(K250))*POWER(KOmaster,SIGN(L250))</f>
        <v>2304</v>
      </c>
      <c r="R250" s="113">
        <f>F250*I250*KOmaster+F250*CHmaster*L250+MUmaster*I250*L250</f>
        <v>3456</v>
      </c>
      <c r="S250" s="224">
        <f>IFERROR(F250^SIGN(F250),1)*IFERROR(G250^SIGN(G250),1)*IFERROR(H250^SIGN(H250),1)*IFERROR(I250^SIGN(I250),1)*IFERROR(J250^SIGN(J250),1)*IFERROR(K250^SIGN(K250),1)*IFERROR(L250^SIGN(L250),1)*IFERROR(M250^SIGN(M250),1)</f>
        <v>1728</v>
      </c>
      <c r="T250" s="224">
        <f>SUM(Q250:S250)</f>
        <v>7488</v>
      </c>
      <c r="U250" s="222">
        <f t="shared" si="1635"/>
        <v>3.6923076923076925</v>
      </c>
      <c r="V250" s="223">
        <f t="shared" si="1636"/>
        <v>11.076923076923077</v>
      </c>
      <c r="W250" s="243">
        <f t="shared" si="1637"/>
        <v>8.3076923076923084</v>
      </c>
      <c r="X250" s="243">
        <f t="shared" si="1638"/>
        <v>23.07692307692308</v>
      </c>
      <c r="Y250" s="252">
        <v>0</v>
      </c>
      <c r="Z250" s="198">
        <f t="shared" si="1639"/>
        <v>23.07692307692308</v>
      </c>
      <c r="AA250" s="125">
        <f>IF(X250&lt;=0,3,0)+IF(X250&gt;0,X250+1,0)*3+IF(X250&gt;12,X250-12,0)*3+IF(X250&gt;13,X250-13,0)*3+IF(X250&gt;14,X250-14,0)*3+IF(X250&gt;15,X250-15,0)*3+IF(X250&gt;16,X250-16,0)*3+IF(X250&gt;17,X250-17,0)*3+IF(X250&gt;18,X250-18,0)*3+IF(X250&gt;19,X250-19,0)*3+IF(X250&gt;20,X250-20,0)*3</f>
        <v>263.30769230769232</v>
      </c>
      <c r="AB250" s="160">
        <f>IF(Y250&lt;=0,3,0)+IF(Y250&gt;0,Y250+1,0)*3+IF(Y250&gt;12,Y250-12,0)*3+IF(Y250&gt;13,Y250-13,0)*3+IF(Y250&gt;14,Y250-14,0)*3+IF(Y250&gt;15,Y250-15,0)*3+IF(Y250&gt;16,Y250-16,0)*3+IF(Y250&gt;17,Y250-17,0)*3+IF(Y250&gt;18,Y250-18,0)*3+IF(Y250&gt;19,Y250-19,0)*3+IF(Y250&gt;20,Y250-20,0)*3</f>
        <v>3</v>
      </c>
      <c r="AC250" s="127">
        <f t="shared" si="1640"/>
        <v>260.30769230769232</v>
      </c>
      <c r="AD250" s="125">
        <f t="shared" si="1641"/>
        <v>0</v>
      </c>
      <c r="AF250" s="163" t="s">
        <v>402</v>
      </c>
      <c r="AG250" s="125" t="s">
        <v>227</v>
      </c>
      <c r="AH250" s="127" t="s">
        <v>135</v>
      </c>
      <c r="AI250" s="114">
        <f>Konvention_1slave-MUslave_MU</f>
        <v>11</v>
      </c>
      <c r="AJ250" s="113"/>
      <c r="AK250" s="113"/>
      <c r="AL250" s="113">
        <f>Konvention_1slave-CHslave</f>
        <v>12</v>
      </c>
      <c r="AM250" s="113"/>
      <c r="AN250" s="113"/>
      <c r="AO250" s="113">
        <f>Konvention_1slave-KOslave</f>
        <v>12</v>
      </c>
      <c r="AP250" s="119"/>
      <c r="AQ250" s="47">
        <f>(AI250+AJ250+AK250+AL250+AM250+AN250+AO250+AP250)/3</f>
        <v>11.666666666666666</v>
      </c>
      <c r="AR250" s="47">
        <f t="shared" si="1643"/>
        <v>23.333333333333332</v>
      </c>
      <c r="AS250" s="119">
        <f t="shared" si="1644"/>
        <v>35</v>
      </c>
      <c r="AT250" s="114">
        <f>AI250*POWER(KLslave,SIGN(AJ250))*POWER(INslave,SIGN(AK250))*POWER(CHslave,SIGN(AL250))*POWER(FFslave,SIGN(AM250))*POWER(GEslave,SIGN(AN250))*POWER(KOslave,SIGN(AO250))*POWER(KKslave,SIGN(AP250))+AJ250*POWER(MUslave_MU,SIGN(AI250))*POWER(INslave,SIGN(AK250))*POWER(CHslave,SIGN(AL250))*POWER(FFslave,SIGN(AM250))*POWER(GEslave,SIGN(AN250))*POWER(KOslave,SIGN(AO250))*POWER(KKslave,SIGN(AP250))+AK250*POWER(MUslave_MU,SIGN(AI250))*POWER(KLslave,SIGN(AJ250))*POWER(CHslave,SIGN(AL250))*POWER(FFslave,SIGN(AM250))*POWER(GEslave,SIGN(AN250))*POWER(KOslave,SIGN(AO250))*POWER(KKslave,SIGN(AP250))+AL250*POWER(MUslave_MU,SIGN(AI250))*POWER(KLslave,SIGN(AJ250))*POWER(INslave,SIGN(AK250))*POWER(FFslave,SIGN(AM250))*POWER(GEslave,SIGN(AN250))*POWER(KOslave,SIGN(AO250))*POWER(KKslave,SIGN(AP250))+AM250*POWER(MUslave_MU,SIGN(AI250))*POWER(KLslave,SIGN(AJ250))*POWER(INslave,SIGN(AK250))*POWER(CHslave,SIGN(AL250))*POWER(GEslave,SIGN(AN250))*POWER(KOslave,SIGN(AO250))*POWER(KKslave,SIGN(AP250))+AN250*POWER(MUslave_MU,SIGN(AI250))*POWER(KLslave,SIGN(AJ250))*POWER(INslave,SIGN(AK250))*POWER(CHslave,SIGN(AL250))*POWER(FFslave,SIGN(AM250))*POWER(KOslave,SIGN(AO250))*POWER(KKslave,SIGN(AP250))+AO250*POWER(MUslave_MU,SIGN(AI250))*POWER(KLslave,SIGN(AJ250))*POWER(INslave,SIGN(AK250))*POWER(CHslave,SIGN(AL250))*POWER(FFslave,SIGN(AM250))*POWER(GEslave,SIGN(AN250))*POWER(KKslave,SIGN(AP250))+AP250*POWER(MUslave_MU,SIGN(AI250))*POWER(KLslave,SIGN(AJ250))*POWER(INslave,SIGN(AK250))*POWER(CHslave,SIGN(AL250))*POWER(FFslave,SIGN(AM250))*POWER(GEslave,SIGN(AN250))*POWER(KOslave,SIGN(AO250))</f>
        <v>2432</v>
      </c>
      <c r="AU250" s="113">
        <f>AI250*AL250*KOslave+AI250*CHslave*AO250+MUslave_MU*AL250*AO250</f>
        <v>3408</v>
      </c>
      <c r="AV250" s="119">
        <f>IFERROR(AI250^SIGN(AI250),1)*IFERROR(AJ250^SIGN(AJ250),1)*IFERROR(AK250^SIGN(AK250),1)*IFERROR(AL250^SIGN(AL250),1)*IFERROR(AM250^SIGN(AM250),1)*IFERROR(AN250^SIGN(AN250),1)*IFERROR(AO250^SIGN(AO250),1)*IFERROR(AP250^SIGN(AP250),1)</f>
        <v>1584</v>
      </c>
      <c r="AW250" s="119">
        <f t="shared" si="1785"/>
        <v>7424</v>
      </c>
      <c r="AX250" s="89">
        <f t="shared" si="1647"/>
        <v>3.8218390804597702</v>
      </c>
      <c r="AY250" s="47">
        <f t="shared" si="1648"/>
        <v>10.711206896551724</v>
      </c>
      <c r="AZ250" s="127">
        <f t="shared" si="1649"/>
        <v>7.4676724137931032</v>
      </c>
      <c r="BA250" s="127">
        <f t="shared" si="1650"/>
        <v>22.000718390804597</v>
      </c>
      <c r="BB250" s="165">
        <f t="shared" si="1598"/>
        <v>0</v>
      </c>
      <c r="BC250" s="198">
        <f t="shared" si="1651"/>
        <v>22.000718390804597</v>
      </c>
      <c r="BD250" s="125">
        <f>IF(BA250&lt;=0,3,0)+IF(BA250&gt;0,BA250+1,0)*3+IF(BA250&gt;12,BA250-12,0)*3+IF(BA250&gt;13,BA250-13,0)*3+IF(BA250&gt;14,BA250-14,0)*3+IF(BA250&gt;15,BA250-15,0)*3+IF(BA250&gt;16,BA250-16,0)*3+IF(BA250&gt;17,BA250-17,0)*3+IF(BA250&gt;18,BA250-18,0)*3+IF(BA250&gt;19,BA250-19,0)*3+IF(BA250&gt;20,BA250-20,0)*3</f>
        <v>231.02155172413785</v>
      </c>
      <c r="BE250" s="160">
        <f>IF(BB250&lt;=0,3,0)+IF(BB250&gt;0,BB250+1,0)*3+IF(BB250&gt;12,BB250-12,0)*3+IF(BB250&gt;13,BB250-13,0)*3+IF(BB250&gt;14,BB250-14,0)*3+IF(BB250&gt;15,BB250-15,0)*3+IF(BB250&gt;16,BB250-16,0)*3+IF(BB250&gt;17,BB250-17,0)*3+IF(BB250&gt;18,BB250-18,0)*3+IF(BB250&gt;19,BB250-19,0)*3+IF(BB250&gt;20,BB250-20,0)*3</f>
        <v>3</v>
      </c>
      <c r="BF250" s="243">
        <f t="shared" si="1652"/>
        <v>228.02155172413785</v>
      </c>
      <c r="BG250" s="218">
        <f t="shared" si="1653"/>
        <v>0</v>
      </c>
      <c r="BI250" s="303" t="s">
        <v>402</v>
      </c>
      <c r="BJ250" s="218" t="s">
        <v>227</v>
      </c>
      <c r="BK250" s="243" t="s">
        <v>135</v>
      </c>
      <c r="BL250" s="237">
        <f>Konvention_1slave-MUslave</f>
        <v>12</v>
      </c>
      <c r="BM250" s="234"/>
      <c r="BN250" s="234"/>
      <c r="BO250" s="234">
        <f>Konvention_1slave-CHslave</f>
        <v>12</v>
      </c>
      <c r="BP250" s="234"/>
      <c r="BQ250" s="234"/>
      <c r="BR250" s="234">
        <f>Konvention_1slave-KOslave</f>
        <v>12</v>
      </c>
      <c r="BS250" s="224"/>
      <c r="BT250" s="223">
        <f>(BL250+BM250+BN250+BO250+BP250+BQ250+BR250+BS250)/3</f>
        <v>12</v>
      </c>
      <c r="BU250" s="223">
        <f t="shared" si="1655"/>
        <v>24</v>
      </c>
      <c r="BV250" s="224">
        <f t="shared" si="1656"/>
        <v>36</v>
      </c>
      <c r="BW250" s="237">
        <f>BL250*POWER(KLslave_KL,SIGN(BM250))*POWER(INslave,SIGN(BN250))*POWER(CHslave,SIGN(BO250))*POWER(FFslave,SIGN(BP250))*POWER(GEslave,SIGN(BQ250))*POWER(KOslave,SIGN(BR250))*POWER(KKslave,SIGN(BS250))+BM250*POWER(MUslave,SIGN(BL250))*POWER(INslave,SIGN(BN250))*POWER(CHslave,SIGN(BO250))*POWER(FFslave,SIGN(BP250))*POWER(GEslave,SIGN(BQ250))*POWER(KOslave,SIGN(BR250))*POWER(KKslave,SIGN(BS250))+BN250*POWER(MUslave,SIGN(BL250))*POWER(KLslave_KL,SIGN(BM250))*POWER(CHslave,SIGN(BO250))*POWER(FFslave,SIGN(BP250))*POWER(GEslave,SIGN(BQ250))*POWER(KOslave,SIGN(BR250))*POWER(KKslave,SIGN(BS250))+BO250*POWER(MUslave,SIGN(BL250))*POWER(KLslave_KL,SIGN(BM250))*POWER(INslave,SIGN(BN250))*POWER(FFslave,SIGN(BP250))*POWER(GEslave,SIGN(BQ250))*POWER(KOslave,SIGN(BR250))*POWER(KKslave,SIGN(BS250))+BP250*POWER(MUslave,SIGN(BL250))*POWER(KLslave_KL,SIGN(BM250))*POWER(INslave,SIGN(BN250))*POWER(CHslave,SIGN(BO250))*POWER(GEslave,SIGN(BQ250))*POWER(KOslave,SIGN(BR250))*POWER(KKslave,SIGN(BS250))+BQ250*POWER(MUslave,SIGN(BL250))*POWER(KLslave_KL,SIGN(BM250))*POWER(INslave,SIGN(BN250))*POWER(CHslave,SIGN(BO250))*POWER(FFslave,SIGN(BP250))*POWER(KOslave,SIGN(BR250))*POWER(KKslave,SIGN(BS250))+BR250*POWER(MUslave,SIGN(BL250))*POWER(KLslave_KL,SIGN(BM250))*POWER(INslave,SIGN(BN250))*POWER(CHslave,SIGN(BO250))*POWER(FFslave,SIGN(BP250))*POWER(GEslave,SIGN(BQ250))*POWER(KKslave,SIGN(BS250))+BS250*POWER(MUslave,SIGN(BL250))*POWER(KLslave_KL,SIGN(BM250))*POWER(INslave,SIGN(BN250))*POWER(CHslave,SIGN(BO250))*POWER(FFslave,SIGN(BP250))*POWER(GEslave,SIGN(BQ250))*POWER(KOslave,SIGN(BR250))</f>
        <v>2304</v>
      </c>
      <c r="BX250" s="234">
        <f>BL250*BO250*KOslave+BL250*CHslave*BR250+MUslave*BO250*BR250</f>
        <v>3456</v>
      </c>
      <c r="BY250" s="224">
        <f>IFERROR(BL250^SIGN(BL250),1)*IFERROR(BM250^SIGN(BM250),1)*IFERROR(BN250^SIGN(BN250),1)*IFERROR(BO250^SIGN(BO250),1)*IFERROR(BP250^SIGN(BP250),1)*IFERROR(BQ250^SIGN(BQ250),1)*IFERROR(BR250^SIGN(BR250),1)*IFERROR(BS250^SIGN(BS250),1)</f>
        <v>1728</v>
      </c>
      <c r="BZ250" s="224">
        <f t="shared" si="1786"/>
        <v>7488</v>
      </c>
      <c r="CA250" s="222">
        <f t="shared" si="1659"/>
        <v>3.6923076923076925</v>
      </c>
      <c r="CB250" s="223">
        <f t="shared" si="1660"/>
        <v>11.076923076923077</v>
      </c>
      <c r="CC250" s="243">
        <f t="shared" si="1661"/>
        <v>8.3076923076923084</v>
      </c>
      <c r="CD250" s="243">
        <f t="shared" si="1662"/>
        <v>23.07692307692308</v>
      </c>
      <c r="CE250" s="252">
        <f t="shared" si="1600"/>
        <v>0</v>
      </c>
      <c r="CF250" s="309">
        <f t="shared" si="1663"/>
        <v>23.07692307692308</v>
      </c>
      <c r="CG250" s="218">
        <f>IF(CD250&lt;=0,3,0)+IF(CD250&gt;0,CD250+1,0)*3+IF(CD250&gt;12,CD250-12,0)*3+IF(CD250&gt;13,CD250-13,0)*3+IF(CD250&gt;14,CD250-14,0)*3+IF(CD250&gt;15,CD250-15,0)*3+IF(CD250&gt;16,CD250-16,0)*3+IF(CD250&gt;17,CD250-17,0)*3+IF(CD250&gt;18,CD250-18,0)*3+IF(CD250&gt;19,CD250-19,0)*3+IF(CD250&gt;20,CD250-20,0)*3</f>
        <v>263.30769230769232</v>
      </c>
      <c r="CH250" s="242">
        <f>IF(CE250&lt;=0,3,0)+IF(CE250&gt;0,CE250+1,0)*3+IF(CE250&gt;12,CE250-12,0)*3+IF(CE250&gt;13,CE250-13,0)*3+IF(CE250&gt;14,CE250-14,0)*3+IF(CE250&gt;15,CE250-15,0)*3+IF(CE250&gt;16,CE250-16,0)*3+IF(CE250&gt;17,CE250-17,0)*3+IF(CE250&gt;18,CE250-18,0)*3+IF(CE250&gt;19,CE250-19,0)*3+IF(CE250&gt;20,CE250-20,0)*3</f>
        <v>3</v>
      </c>
      <c r="CI250" s="243">
        <f t="shared" si="1664"/>
        <v>260.30769230769232</v>
      </c>
      <c r="CJ250" s="218">
        <f t="shared" si="1665"/>
        <v>0</v>
      </c>
      <c r="CL250" s="303" t="s">
        <v>402</v>
      </c>
      <c r="CM250" s="218" t="s">
        <v>227</v>
      </c>
      <c r="CN250" s="243" t="s">
        <v>135</v>
      </c>
      <c r="CO250" s="237">
        <f>Konvention_1slave-MUslave</f>
        <v>12</v>
      </c>
      <c r="CP250" s="234"/>
      <c r="CQ250" s="234"/>
      <c r="CR250" s="234">
        <f>Konvention_1slave-CHslave</f>
        <v>12</v>
      </c>
      <c r="CS250" s="234"/>
      <c r="CT250" s="234"/>
      <c r="CU250" s="234">
        <f>Konvention_1slave-KOslave</f>
        <v>12</v>
      </c>
      <c r="CV250" s="224"/>
      <c r="CW250" s="223">
        <f>(CO250+CP250+CQ250+CR250+CS250+CT250+CU250+CV250)/3</f>
        <v>12</v>
      </c>
      <c r="CX250" s="223">
        <f t="shared" si="1667"/>
        <v>24</v>
      </c>
      <c r="CY250" s="224">
        <f t="shared" si="1668"/>
        <v>36</v>
      </c>
      <c r="CZ250" s="237">
        <f>CO250*POWER(KLslave,SIGN(CP250))*POWER(INslave_IN,SIGN(CQ250))*POWER(CHslave,SIGN(CR250))*POWER(FFslave,SIGN(CS250))*POWER(GEslave,SIGN(CT250))*POWER(KOslave,SIGN(CU250))*POWER(KKslave,SIGN(CV250))+CP250*POWER(MUslave,SIGN(CO250))*POWER(INslave_IN,SIGN(CQ250))*POWER(CHslave,SIGN(CR250))*POWER(FFslave,SIGN(CS250))*POWER(GEslave,SIGN(CT250))*POWER(KOslave,SIGN(CU250))*POWER(KKslave,SIGN(CV250))+CQ250*POWER(MUslave,SIGN(CO250))*POWER(KLslave,SIGN(CP250))*POWER(CHslave,SIGN(CR250))*POWER(FFslave,SIGN(CS250))*POWER(GEslave,SIGN(CT250))*POWER(KOslave,SIGN(CU250))*POWER(KKslave,SIGN(CV250))+CR250*POWER(MUslave,SIGN(CO250))*POWER(KLslave,SIGN(CP250))*POWER(INslave_IN,SIGN(CQ250))*POWER(FFslave,SIGN(CS250))*POWER(GEslave,SIGN(CT250))*POWER(KOslave,SIGN(CU250))*POWER(KKslave,SIGN(CV250))+CS250*POWER(MUslave,SIGN(CO250))*POWER(KLslave,SIGN(CP250))*POWER(INslave_IN,SIGN(CQ250))*POWER(CHslave,SIGN(CR250))*POWER(GEslave,SIGN(CT250))*POWER(KOslave,SIGN(CU250))*POWER(KKslave,SIGN(CV250))+CT250*POWER(MUslave,SIGN(CO250))*POWER(KLslave,SIGN(CP250))*POWER(INslave_IN,SIGN(CQ250))*POWER(CHslave,SIGN(CR250))*POWER(FFslave,SIGN(CS250))*POWER(KOslave,SIGN(CU250))*POWER(KKslave,SIGN(CV250))+CU250*POWER(MUslave,SIGN(CO250))*POWER(KLslave,SIGN(CP250))*POWER(INslave_IN,SIGN(CQ250))*POWER(CHslave,SIGN(CR250))*POWER(FFslave,SIGN(CS250))*POWER(GEslave,SIGN(CT250))*POWER(KKslave,SIGN(CV250))+CV250*POWER(MUslave,SIGN(CO250))*POWER(KLslave,SIGN(CP250))*POWER(INslave_IN,SIGN(CQ250))*POWER(CHslave,SIGN(CR250))*POWER(FFslave,SIGN(CS250))*POWER(GEslave,SIGN(CT250))*POWER(KOslave,SIGN(CU250))</f>
        <v>2304</v>
      </c>
      <c r="DA250" s="234">
        <f>CO250*CR250*KOslave+CO250*CHslave*CU250+MUslave*CR250*CU250</f>
        <v>3456</v>
      </c>
      <c r="DB250" s="224">
        <f>IFERROR(CO250^SIGN(CO250),1)*IFERROR(CP250^SIGN(CP250),1)*IFERROR(CQ250^SIGN(CQ250),1)*IFERROR(CR250^SIGN(CR250),1)*IFERROR(CS250^SIGN(CS250),1)*IFERROR(CT250^SIGN(CT250),1)*IFERROR(CU250^SIGN(CU250),1)*IFERROR(CV250^SIGN(CV250),1)</f>
        <v>1728</v>
      </c>
      <c r="DC250" s="224">
        <f t="shared" si="1787"/>
        <v>7488</v>
      </c>
      <c r="DD250" s="222">
        <f t="shared" si="1671"/>
        <v>3.6923076923076925</v>
      </c>
      <c r="DE250" s="223">
        <f t="shared" si="1672"/>
        <v>11.076923076923077</v>
      </c>
      <c r="DF250" s="243">
        <f t="shared" si="1673"/>
        <v>8.3076923076923084</v>
      </c>
      <c r="DG250" s="243">
        <f t="shared" si="1674"/>
        <v>23.07692307692308</v>
      </c>
      <c r="DH250" s="252">
        <f t="shared" si="1602"/>
        <v>0</v>
      </c>
      <c r="DI250" s="309">
        <f t="shared" si="1675"/>
        <v>23.07692307692308</v>
      </c>
      <c r="DJ250" s="218">
        <f>IF(DG250&lt;=0,3,0)+IF(DG250&gt;0,DG250+1,0)*3+IF(DG250&gt;12,DG250-12,0)*3+IF(DG250&gt;13,DG250-13,0)*3+IF(DG250&gt;14,DG250-14,0)*3+IF(DG250&gt;15,DG250-15,0)*3+IF(DG250&gt;16,DG250-16,0)*3+IF(DG250&gt;17,DG250-17,0)*3+IF(DG250&gt;18,DG250-18,0)*3+IF(DG250&gt;19,DG250-19,0)*3+IF(DG250&gt;20,DG250-20,0)*3</f>
        <v>263.30769230769232</v>
      </c>
      <c r="DK250" s="242">
        <f>IF(DH250&lt;=0,3,0)+IF(DH250&gt;0,DH250+1,0)*3+IF(DH250&gt;12,DH250-12,0)*3+IF(DH250&gt;13,DH250-13,0)*3+IF(DH250&gt;14,DH250-14,0)*3+IF(DH250&gt;15,DH250-15,0)*3+IF(DH250&gt;16,DH250-16,0)*3+IF(DH250&gt;17,DH250-17,0)*3+IF(DH250&gt;18,DH250-18,0)*3+IF(DH250&gt;19,DH250-19,0)*3+IF(DH250&gt;20,DH250-20,0)*3</f>
        <v>3</v>
      </c>
      <c r="DL250" s="243">
        <f t="shared" si="1676"/>
        <v>260.30769230769232</v>
      </c>
      <c r="DM250" s="218">
        <f t="shared" si="1677"/>
        <v>0</v>
      </c>
      <c r="DO250" s="303" t="s">
        <v>402</v>
      </c>
      <c r="DP250" s="218" t="s">
        <v>227</v>
      </c>
      <c r="DQ250" s="243" t="s">
        <v>135</v>
      </c>
      <c r="DR250" s="237">
        <f>Konvention_1slave-MUslave</f>
        <v>12</v>
      </c>
      <c r="DS250" s="234"/>
      <c r="DT250" s="234"/>
      <c r="DU250" s="234">
        <f>Konvention_1slave-CHslave_CH</f>
        <v>11</v>
      </c>
      <c r="DV250" s="234"/>
      <c r="DW250" s="234"/>
      <c r="DX250" s="234">
        <f>Konvention_1slave-KOslave</f>
        <v>12</v>
      </c>
      <c r="DY250" s="224"/>
      <c r="DZ250" s="223">
        <f>(DR250+DS250+DT250+DU250+DV250+DW250+DX250+DY250)/3</f>
        <v>11.666666666666666</v>
      </c>
      <c r="EA250" s="223">
        <f t="shared" si="1679"/>
        <v>23.333333333333332</v>
      </c>
      <c r="EB250" s="224">
        <f t="shared" si="1680"/>
        <v>35</v>
      </c>
      <c r="EC250" s="237">
        <f>DR250*POWER(KLslave,SIGN(DS250))*POWER(INslave,SIGN(DT250))*POWER(CHslave_CH,SIGN(DU250))*POWER(FFslave,SIGN(DV250))*POWER(GEslave,SIGN(DW250))*POWER(KOslave,SIGN(DX250))*POWER(KKslave,SIGN(DY250))+DS250*POWER(MUslave,SIGN(DR250))*POWER(INslave,SIGN(DT250))*POWER(CHslave_CH,SIGN(DU250))*POWER(FFslave,SIGN(DV250))*POWER(GEslave,SIGN(DW250))*POWER(KOslave,SIGN(DX250))*POWER(KKslave,SIGN(DY250))+DT250*POWER(MUslave,SIGN(DR250))*POWER(KLslave,SIGN(DS250))*POWER(CHslave_CH,SIGN(DU250))*POWER(FFslave,SIGN(DV250))*POWER(GEslave,SIGN(DW250))*POWER(KOslave,SIGN(DX250))*POWER(KKslave,SIGN(DY250))+DU250*POWER(MUslave,SIGN(DR250))*POWER(KLslave,SIGN(DS250))*POWER(INslave,SIGN(DT250))*POWER(FFslave,SIGN(DV250))*POWER(GEslave,SIGN(DW250))*POWER(KOslave,SIGN(DX250))*POWER(KKslave,SIGN(DY250))+DV250*POWER(MUslave,SIGN(DR250))*POWER(KLslave,SIGN(DS250))*POWER(INslave,SIGN(DT250))*POWER(CHslave_CH,SIGN(DU250))*POWER(GEslave,SIGN(DW250))*POWER(KOslave,SIGN(DX250))*POWER(KKslave,SIGN(DY250))+DW250*POWER(MUslave,SIGN(DR250))*POWER(KLslave,SIGN(DS250))*POWER(INslave,SIGN(DT250))*POWER(CHslave_CH,SIGN(DU250))*POWER(FFslave,SIGN(DV250))*POWER(KOslave,SIGN(DX250))*POWER(KKslave,SIGN(DY250))+DX250*POWER(MUslave,SIGN(DR250))*POWER(KLslave,SIGN(DS250))*POWER(INslave,SIGN(DT250))*POWER(CHslave_CH,SIGN(DU250))*POWER(FFslave,SIGN(DV250))*POWER(GEslave,SIGN(DW250))*POWER(KKslave,SIGN(DY250))+DY250*POWER(MUslave,SIGN(DR250))*POWER(KLslave,SIGN(DS250))*POWER(INslave,SIGN(DT250))*POWER(CHslave_CH,SIGN(DU250))*POWER(FFslave,SIGN(DV250))*POWER(GEslave,SIGN(DW250))*POWER(KOslave,SIGN(DX250))</f>
        <v>2432</v>
      </c>
      <c r="ED250" s="234">
        <f>DR250*DU250*KOslave+DR250*CHslave_CH*DX250+MUslave*DU250*DX250</f>
        <v>3408</v>
      </c>
      <c r="EE250" s="224">
        <f>IFERROR(DR250^SIGN(DR250),1)*IFERROR(DS250^SIGN(DS250),1)*IFERROR(DT250^SIGN(DT250),1)*IFERROR(DU250^SIGN(DU250),1)*IFERROR(DV250^SIGN(DV250),1)*IFERROR(DW250^SIGN(DW250),1)*IFERROR(DX250^SIGN(DX250),1)*IFERROR(DY250^SIGN(DY250),1)</f>
        <v>1584</v>
      </c>
      <c r="EF250" s="224">
        <f t="shared" si="1788"/>
        <v>7424</v>
      </c>
      <c r="EG250" s="222">
        <f t="shared" si="1683"/>
        <v>3.8218390804597702</v>
      </c>
      <c r="EH250" s="223">
        <f t="shared" si="1684"/>
        <v>10.711206896551724</v>
      </c>
      <c r="EI250" s="243">
        <f t="shared" si="1685"/>
        <v>7.4676724137931032</v>
      </c>
      <c r="EJ250" s="243">
        <f t="shared" si="1686"/>
        <v>22.000718390804597</v>
      </c>
      <c r="EK250" s="252">
        <f t="shared" si="1604"/>
        <v>0</v>
      </c>
      <c r="EL250" s="309">
        <f t="shared" si="1687"/>
        <v>22.000718390804597</v>
      </c>
      <c r="EM250" s="218">
        <f>IF(EJ250&lt;=0,3,0)+IF(EJ250&gt;0,EJ250+1,0)*3+IF(EJ250&gt;12,EJ250-12,0)*3+IF(EJ250&gt;13,EJ250-13,0)*3+IF(EJ250&gt;14,EJ250-14,0)*3+IF(EJ250&gt;15,EJ250-15,0)*3+IF(EJ250&gt;16,EJ250-16,0)*3+IF(EJ250&gt;17,EJ250-17,0)*3+IF(EJ250&gt;18,EJ250-18,0)*3+IF(EJ250&gt;19,EJ250-19,0)*3+IF(EJ250&gt;20,EJ250-20,0)*3</f>
        <v>231.02155172413785</v>
      </c>
      <c r="EN250" s="242">
        <f>IF(EK250&lt;=0,3,0)+IF(EK250&gt;0,EK250+1,0)*3+IF(EK250&gt;12,EK250-12,0)*3+IF(EK250&gt;13,EK250-13,0)*3+IF(EK250&gt;14,EK250-14,0)*3+IF(EK250&gt;15,EK250-15,0)*3+IF(EK250&gt;16,EK250-16,0)*3+IF(EK250&gt;17,EK250-17,0)*3+IF(EK250&gt;18,EK250-18,0)*3+IF(EK250&gt;19,EK250-19,0)*3+IF(EK250&gt;20,EK250-20,0)*3</f>
        <v>3</v>
      </c>
      <c r="EO250" s="243">
        <f t="shared" si="1688"/>
        <v>228.02155172413785</v>
      </c>
      <c r="EP250" s="218">
        <f t="shared" si="1689"/>
        <v>0</v>
      </c>
      <c r="ER250" s="303" t="s">
        <v>402</v>
      </c>
      <c r="ES250" s="218" t="s">
        <v>227</v>
      </c>
      <c r="ET250" s="243" t="s">
        <v>135</v>
      </c>
      <c r="EU250" s="237">
        <f>Konvention_1slave-MUslave</f>
        <v>12</v>
      </c>
      <c r="EV250" s="234"/>
      <c r="EW250" s="234"/>
      <c r="EX250" s="234">
        <f>Konvention_1slave-CHslave</f>
        <v>12</v>
      </c>
      <c r="EY250" s="234"/>
      <c r="EZ250" s="234"/>
      <c r="FA250" s="234">
        <f>Konvention_1slave-KOslave</f>
        <v>12</v>
      </c>
      <c r="FB250" s="224"/>
      <c r="FC250" s="223">
        <f>(EU250+EV250+EW250+EX250+EY250+EZ250+FA250+FB250)/3</f>
        <v>12</v>
      </c>
      <c r="FD250" s="223">
        <f t="shared" si="1691"/>
        <v>24</v>
      </c>
      <c r="FE250" s="224">
        <f t="shared" si="1692"/>
        <v>36</v>
      </c>
      <c r="FF250" s="237">
        <f>EU250*POWER(KLslave,SIGN(EV250))*POWER(INslave,SIGN(EW250))*POWER(CHslave,SIGN(EX250))*POWER(FFslave_FF,SIGN(EY250))*POWER(GEslave,SIGN(EZ250))*POWER(KOslave,SIGN(FA250))*POWER(KKslave,SIGN(FB250))+EV250*POWER(MUslave,SIGN(EU250))*POWER(INslave,SIGN(EW250))*POWER(CHslave,SIGN(EX250))*POWER(FFslave_FF,SIGN(EY250))*POWER(GEslave,SIGN(EZ250))*POWER(KOslave,SIGN(FA250))*POWER(KKslave,SIGN(FB250))+EW250*POWER(MUslave,SIGN(EU250))*POWER(KLslave,SIGN(EV250))*POWER(CHslave,SIGN(EX250))*POWER(FFslave_FF,SIGN(EY250))*POWER(GEslave,SIGN(EZ250))*POWER(KOslave,SIGN(FA250))*POWER(KKslave,SIGN(FB250))+EX250*POWER(MUslave,SIGN(EU250))*POWER(KLslave,SIGN(EV250))*POWER(INslave,SIGN(EW250))*POWER(FFslave_FF,SIGN(EY250))*POWER(GEslave,SIGN(EZ250))*POWER(KOslave,SIGN(FA250))*POWER(KKslave,SIGN(FB250))+EY250*POWER(MUslave,SIGN(EU250))*POWER(KLslave,SIGN(EV250))*POWER(INslave,SIGN(EW250))*POWER(CHslave,SIGN(EX250))*POWER(GEslave,SIGN(EZ250))*POWER(KOslave,SIGN(FA250))*POWER(KKslave,SIGN(FB250))+EZ250*POWER(MUslave,SIGN(EU250))*POWER(KLslave,SIGN(EV250))*POWER(INslave,SIGN(EW250))*POWER(CHslave,SIGN(EX250))*POWER(FFslave_FF,SIGN(EY250))*POWER(KOslave,SIGN(FA250))*POWER(KKslave,SIGN(FB250))+FA250*POWER(MUslave,SIGN(EU250))*POWER(KLslave,SIGN(EV250))*POWER(INslave,SIGN(EW250))*POWER(CHslave,SIGN(EX250))*POWER(FFslave_FF,SIGN(EY250))*POWER(GEslave,SIGN(EZ250))*POWER(KKslave,SIGN(FB250))+FB250*POWER(MUslave,SIGN(EU250))*POWER(KLslave,SIGN(EV250))*POWER(INslave,SIGN(EW250))*POWER(CHslave,SIGN(EX250))*POWER(FFslave_FF,SIGN(EY250))*POWER(GEslave,SIGN(EZ250))*POWER(KOslave,SIGN(FA250))</f>
        <v>2304</v>
      </c>
      <c r="FG250" s="234">
        <f>EU250*EX250*KOslave+EU250*CHslave*FA250+MUslave*EX250*FA250</f>
        <v>3456</v>
      </c>
      <c r="FH250" s="224">
        <f>IFERROR(EU250^SIGN(EU250),1)*IFERROR(EV250^SIGN(EV250),1)*IFERROR(EW250^SIGN(EW250),1)*IFERROR(EX250^SIGN(EX250),1)*IFERROR(EY250^SIGN(EY250),1)*IFERROR(EZ250^SIGN(EZ250),1)*IFERROR(FA250^SIGN(FA250),1)*IFERROR(FB250^SIGN(FB250),1)</f>
        <v>1728</v>
      </c>
      <c r="FI250" s="224">
        <f t="shared" si="1789"/>
        <v>7488</v>
      </c>
      <c r="FJ250" s="222">
        <f t="shared" si="1695"/>
        <v>3.6923076923076925</v>
      </c>
      <c r="FK250" s="223">
        <f t="shared" si="1696"/>
        <v>11.076923076923077</v>
      </c>
      <c r="FL250" s="243">
        <f t="shared" si="1697"/>
        <v>8.3076923076923084</v>
      </c>
      <c r="FM250" s="243">
        <f t="shared" si="1698"/>
        <v>23.07692307692308</v>
      </c>
      <c r="FN250" s="252">
        <f t="shared" si="1606"/>
        <v>0</v>
      </c>
      <c r="FO250" s="309">
        <f t="shared" si="1699"/>
        <v>23.07692307692308</v>
      </c>
      <c r="FP250" s="218">
        <f>IF(FM250&lt;=0,3,0)+IF(FM250&gt;0,FM250+1,0)*3+IF(FM250&gt;12,FM250-12,0)*3+IF(FM250&gt;13,FM250-13,0)*3+IF(FM250&gt;14,FM250-14,0)*3+IF(FM250&gt;15,FM250-15,0)*3+IF(FM250&gt;16,FM250-16,0)*3+IF(FM250&gt;17,FM250-17,0)*3+IF(FM250&gt;18,FM250-18,0)*3+IF(FM250&gt;19,FM250-19,0)*3+IF(FM250&gt;20,FM250-20,0)*3</f>
        <v>263.30769230769232</v>
      </c>
      <c r="FQ250" s="242">
        <f>IF(FN250&lt;=0,3,0)+IF(FN250&gt;0,FN250+1,0)*3+IF(FN250&gt;12,FN250-12,0)*3+IF(FN250&gt;13,FN250-13,0)*3+IF(FN250&gt;14,FN250-14,0)*3+IF(FN250&gt;15,FN250-15,0)*3+IF(FN250&gt;16,FN250-16,0)*3+IF(FN250&gt;17,FN250-17,0)*3+IF(FN250&gt;18,FN250-18,0)*3+IF(FN250&gt;19,FN250-19,0)*3+IF(FN250&gt;20,FN250-20,0)*3</f>
        <v>3</v>
      </c>
      <c r="FR250" s="243">
        <f t="shared" si="1700"/>
        <v>260.30769230769232</v>
      </c>
      <c r="FS250" s="218">
        <f t="shared" si="1701"/>
        <v>0</v>
      </c>
      <c r="FU250" s="303" t="s">
        <v>402</v>
      </c>
      <c r="FV250" s="218" t="s">
        <v>227</v>
      </c>
      <c r="FW250" s="243" t="s">
        <v>135</v>
      </c>
      <c r="FX250" s="237">
        <f>Konvention_1slave-MUslave</f>
        <v>12</v>
      </c>
      <c r="FY250" s="234"/>
      <c r="FZ250" s="234"/>
      <c r="GA250" s="234">
        <f>Konvention_1slave-CHslave</f>
        <v>12</v>
      </c>
      <c r="GB250" s="234"/>
      <c r="GC250" s="234"/>
      <c r="GD250" s="234">
        <f>Konvention_1slave-KOslave</f>
        <v>12</v>
      </c>
      <c r="GE250" s="224"/>
      <c r="GF250" s="223">
        <f>(FX250+FY250+FZ250+GA250+GB250+GC250+GD250+GE250)/3</f>
        <v>12</v>
      </c>
      <c r="GG250" s="223">
        <f t="shared" si="1703"/>
        <v>24</v>
      </c>
      <c r="GH250" s="224">
        <f t="shared" si="1704"/>
        <v>36</v>
      </c>
      <c r="GI250" s="237">
        <f>FX250*POWER(KLslave,SIGN(FY250))*POWER(INslave,SIGN(FZ250))*POWER(CHslave,SIGN(GA250))*POWER(FFslave,SIGN(GB250))*POWER(GEslave_GE,SIGN(GC250))*POWER(KOslave,SIGN(GD250))*POWER(KKslave,SIGN(GE250))+FY250*POWER(MUslave,SIGN(FX250))*POWER(INslave,SIGN(FZ250))*POWER(CHslave,SIGN(GA250))*POWER(FFslave,SIGN(GB250))*POWER(GEslave_GE,SIGN(GC250))*POWER(KOslave,SIGN(GD250))*POWER(KKslave,SIGN(GE250))+FZ250*POWER(MUslave,SIGN(FX250))*POWER(KLslave,SIGN(FY250))*POWER(CHslave,SIGN(GA250))*POWER(FFslave,SIGN(GB250))*POWER(GEslave_GE,SIGN(GC250))*POWER(KOslave,SIGN(GD250))*POWER(KKslave,SIGN(GE250))+GA250*POWER(MUslave,SIGN(FX250))*POWER(KLslave,SIGN(FY250))*POWER(INslave,SIGN(FZ250))*POWER(FFslave,SIGN(GB250))*POWER(GEslave_GE,SIGN(GC250))*POWER(KOslave,SIGN(GD250))*POWER(KKslave,SIGN(GE250))+GB250*POWER(MUslave,SIGN(FX250))*POWER(KLslave,SIGN(FY250))*POWER(INslave,SIGN(FZ250))*POWER(CHslave,SIGN(GA250))*POWER(GEslave_GE,SIGN(GC250))*POWER(KOslave,SIGN(GD250))*POWER(KKslave,SIGN(GE250))+GC250*POWER(MUslave,SIGN(FX250))*POWER(KLslave,SIGN(FY250))*POWER(INslave,SIGN(FZ250))*POWER(CHslave,SIGN(GA250))*POWER(FFslave,SIGN(GB250))*POWER(KOslave,SIGN(GD250))*POWER(KKslave,SIGN(GE250))+GD250*POWER(MUslave,SIGN(FX250))*POWER(KLslave,SIGN(FY250))*POWER(INslave,SIGN(FZ250))*POWER(CHslave,SIGN(GA250))*POWER(FFslave,SIGN(GB250))*POWER(GEslave_GE,SIGN(GC250))*POWER(KKslave,SIGN(GE250))+GE250*POWER(MUslave,SIGN(FX250))*POWER(KLslave,SIGN(FY250))*POWER(INslave,SIGN(FZ250))*POWER(CHslave,SIGN(GA250))*POWER(FFslave,SIGN(GB250))*POWER(GEslave_GE,SIGN(GC250))*POWER(KOslave,SIGN(GD250))</f>
        <v>2304</v>
      </c>
      <c r="GJ250" s="234">
        <f>FX250*GA250*KOslave+FX250*CHslave*GD250+MUslave*GA250*GD250</f>
        <v>3456</v>
      </c>
      <c r="GK250" s="224">
        <f>IFERROR(FX250^SIGN(FX250),1)*IFERROR(FY250^SIGN(FY250),1)*IFERROR(FZ250^SIGN(FZ250),1)*IFERROR(GA250^SIGN(GA250),1)*IFERROR(GB250^SIGN(GB250),1)*IFERROR(GC250^SIGN(GC250),1)*IFERROR(GD250^SIGN(GD250),1)*IFERROR(GE250^SIGN(GE250),1)</f>
        <v>1728</v>
      </c>
      <c r="GL250" s="224">
        <f t="shared" si="1790"/>
        <v>7488</v>
      </c>
      <c r="GM250" s="222">
        <f t="shared" si="1707"/>
        <v>3.6923076923076925</v>
      </c>
      <c r="GN250" s="223">
        <f t="shared" si="1708"/>
        <v>11.076923076923077</v>
      </c>
      <c r="GO250" s="243">
        <f t="shared" si="1709"/>
        <v>8.3076923076923084</v>
      </c>
      <c r="GP250" s="243">
        <f t="shared" si="1710"/>
        <v>23.07692307692308</v>
      </c>
      <c r="GQ250" s="252">
        <f t="shared" si="1608"/>
        <v>0</v>
      </c>
      <c r="GR250" s="309">
        <f t="shared" si="1711"/>
        <v>23.07692307692308</v>
      </c>
      <c r="GS250" s="218">
        <f>IF(GP250&lt;=0,3,0)+IF(GP250&gt;0,GP250+1,0)*3+IF(GP250&gt;12,GP250-12,0)*3+IF(GP250&gt;13,GP250-13,0)*3+IF(GP250&gt;14,GP250-14,0)*3+IF(GP250&gt;15,GP250-15,0)*3+IF(GP250&gt;16,GP250-16,0)*3+IF(GP250&gt;17,GP250-17,0)*3+IF(GP250&gt;18,GP250-18,0)*3+IF(GP250&gt;19,GP250-19,0)*3+IF(GP250&gt;20,GP250-20,0)*3</f>
        <v>263.30769230769232</v>
      </c>
      <c r="GT250" s="242">
        <f>IF(GQ250&lt;=0,3,0)+IF(GQ250&gt;0,GQ250+1,0)*3+IF(GQ250&gt;12,GQ250-12,0)*3+IF(GQ250&gt;13,GQ250-13,0)*3+IF(GQ250&gt;14,GQ250-14,0)*3+IF(GQ250&gt;15,GQ250-15,0)*3+IF(GQ250&gt;16,GQ250-16,0)*3+IF(GQ250&gt;17,GQ250-17,0)*3+IF(GQ250&gt;18,GQ250-18,0)*3+IF(GQ250&gt;19,GQ250-19,0)*3+IF(GQ250&gt;20,GQ250-20,0)*3</f>
        <v>3</v>
      </c>
      <c r="GU250" s="243">
        <f t="shared" si="1712"/>
        <v>260.30769230769232</v>
      </c>
      <c r="GV250" s="218">
        <f t="shared" si="1713"/>
        <v>0</v>
      </c>
      <c r="GX250" s="303" t="s">
        <v>402</v>
      </c>
      <c r="GY250" s="218" t="s">
        <v>227</v>
      </c>
      <c r="GZ250" s="243" t="s">
        <v>135</v>
      </c>
      <c r="HA250" s="237">
        <f>Konvention_1slave-MUslave</f>
        <v>12</v>
      </c>
      <c r="HB250" s="234"/>
      <c r="HC250" s="234"/>
      <c r="HD250" s="234">
        <f>Konvention_1slave-CHslave</f>
        <v>12</v>
      </c>
      <c r="HE250" s="234"/>
      <c r="HF250" s="234"/>
      <c r="HG250" s="234">
        <f>Konvention_1slave-KOslave_KO</f>
        <v>11</v>
      </c>
      <c r="HH250" s="224"/>
      <c r="HI250" s="223">
        <f>(HA250+HB250+HC250+HD250+HE250+HF250+HG250+HH250)/3</f>
        <v>11.666666666666666</v>
      </c>
      <c r="HJ250" s="223">
        <f t="shared" si="1715"/>
        <v>23.333333333333332</v>
      </c>
      <c r="HK250" s="224">
        <f t="shared" si="1716"/>
        <v>35</v>
      </c>
      <c r="HL250" s="237">
        <f>HA250*POWER(KLslave,SIGN(HB250))*POWER(INslave,SIGN(HC250))*POWER(CHslave,SIGN(HD250))*POWER(FFslave,SIGN(HE250))*POWER(GEslave,SIGN(HF250))*POWER(KOslave_KO,SIGN(HG250))*POWER(KKslave,SIGN(HH250))+HB250*POWER(MUslave,SIGN(HA250))*POWER(INslave,SIGN(HC250))*POWER(CHslave,SIGN(HD250))*POWER(FFslave,SIGN(HE250))*POWER(GEslave,SIGN(HF250))*POWER(KOslave_KO,SIGN(HG250))*POWER(KKslave,SIGN(HH250))+HC250*POWER(MUslave,SIGN(HA250))*POWER(KLslave,SIGN(HB250))*POWER(CHslave,SIGN(HD250))*POWER(FFslave,SIGN(HE250))*POWER(GEslave,SIGN(HF250))*POWER(KOslave_KO,SIGN(HG250))*POWER(KKslave,SIGN(HH250))+HD250*POWER(MUslave,SIGN(HA250))*POWER(KLslave,SIGN(HB250))*POWER(INslave,SIGN(HC250))*POWER(FFslave,SIGN(HE250))*POWER(GEslave,SIGN(HF250))*POWER(KOslave_KO,SIGN(HG250))*POWER(KKslave,SIGN(HH250))+HE250*POWER(MUslave,SIGN(HA250))*POWER(KLslave,SIGN(HB250))*POWER(INslave,SIGN(HC250))*POWER(CHslave,SIGN(HD250))*POWER(GEslave,SIGN(HF250))*POWER(KOslave_KO,SIGN(HG250))*POWER(KKslave,SIGN(HH250))+HF250*POWER(MUslave,SIGN(HA250))*POWER(KLslave,SIGN(HB250))*POWER(INslave,SIGN(HC250))*POWER(CHslave,SIGN(HD250))*POWER(FFslave,SIGN(HE250))*POWER(KOslave_KO,SIGN(HG250))*POWER(KKslave,SIGN(HH250))+HG250*POWER(MUslave,SIGN(HA250))*POWER(KLslave,SIGN(HB250))*POWER(INslave,SIGN(HC250))*POWER(CHslave,SIGN(HD250))*POWER(FFslave,SIGN(HE250))*POWER(GEslave,SIGN(HF250))*POWER(KKslave,SIGN(HH250))+HH250*POWER(MUslave,SIGN(HA250))*POWER(KLslave,SIGN(HB250))*POWER(INslave,SIGN(HC250))*POWER(CHslave,SIGN(HD250))*POWER(FFslave,SIGN(HE250))*POWER(GEslave,SIGN(HF250))*POWER(KOslave_KO,SIGN(HG250))</f>
        <v>2432</v>
      </c>
      <c r="HM250" s="234">
        <f>HA250*HD250*KOslave_KO+HA250*CHslave*HG250+MUslave*HD250*HG250</f>
        <v>3408</v>
      </c>
      <c r="HN250" s="224">
        <f>IFERROR(HA250^SIGN(HA250),1)*IFERROR(HB250^SIGN(HB250),1)*IFERROR(HC250^SIGN(HC250),1)*IFERROR(HD250^SIGN(HD250),1)*IFERROR(HE250^SIGN(HE250),1)*IFERROR(HF250^SIGN(HF250),1)*IFERROR(HG250^SIGN(HG250),1)*IFERROR(HH250^SIGN(HH250),1)</f>
        <v>1584</v>
      </c>
      <c r="HO250" s="224">
        <f t="shared" si="1791"/>
        <v>7424</v>
      </c>
      <c r="HP250" s="222">
        <f t="shared" si="1719"/>
        <v>3.8218390804597702</v>
      </c>
      <c r="HQ250" s="223">
        <f t="shared" si="1720"/>
        <v>10.711206896551724</v>
      </c>
      <c r="HR250" s="243">
        <f t="shared" si="1721"/>
        <v>7.4676724137931032</v>
      </c>
      <c r="HS250" s="243">
        <f t="shared" si="1722"/>
        <v>22.000718390804597</v>
      </c>
      <c r="HT250" s="252">
        <f t="shared" si="1610"/>
        <v>0</v>
      </c>
      <c r="HU250" s="309">
        <f t="shared" si="1723"/>
        <v>22.000718390804597</v>
      </c>
      <c r="HV250" s="218">
        <f>IF(HS250&lt;=0,3,0)+IF(HS250&gt;0,HS250+1,0)*3+IF(HS250&gt;12,HS250-12,0)*3+IF(HS250&gt;13,HS250-13,0)*3+IF(HS250&gt;14,HS250-14,0)*3+IF(HS250&gt;15,HS250-15,0)*3+IF(HS250&gt;16,HS250-16,0)*3+IF(HS250&gt;17,HS250-17,0)*3+IF(HS250&gt;18,HS250-18,0)*3+IF(HS250&gt;19,HS250-19,0)*3+IF(HS250&gt;20,HS250-20,0)*3</f>
        <v>231.02155172413785</v>
      </c>
      <c r="HW250" s="242">
        <f>IF(HT250&lt;=0,3,0)+IF(HT250&gt;0,HT250+1,0)*3+IF(HT250&gt;12,HT250-12,0)*3+IF(HT250&gt;13,HT250-13,0)*3+IF(HT250&gt;14,HT250-14,0)*3+IF(HT250&gt;15,HT250-15,0)*3+IF(HT250&gt;16,HT250-16,0)*3+IF(HT250&gt;17,HT250-17,0)*3+IF(HT250&gt;18,HT250-18,0)*3+IF(HT250&gt;19,HT250-19,0)*3+IF(HT250&gt;20,HT250-20,0)*3</f>
        <v>3</v>
      </c>
      <c r="HX250" s="243">
        <f t="shared" si="1724"/>
        <v>228.02155172413785</v>
      </c>
      <c r="HY250" s="218">
        <f t="shared" si="1725"/>
        <v>0</v>
      </c>
      <c r="IA250" s="303" t="s">
        <v>402</v>
      </c>
      <c r="IB250" s="218" t="s">
        <v>227</v>
      </c>
      <c r="IC250" s="243" t="s">
        <v>135</v>
      </c>
      <c r="ID250" s="237">
        <f>Konvention_1slave-MUslave</f>
        <v>12</v>
      </c>
      <c r="IE250" s="234"/>
      <c r="IF250" s="234"/>
      <c r="IG250" s="234">
        <f>Konvention_1slave-CHslave</f>
        <v>12</v>
      </c>
      <c r="IH250" s="234"/>
      <c r="II250" s="234"/>
      <c r="IJ250" s="234">
        <f>Konvention_1slave-KOslave</f>
        <v>12</v>
      </c>
      <c r="IK250" s="224"/>
      <c r="IL250" s="223">
        <f>(ID250+IE250+IF250+IG250+IH250+II250+IJ250+IK250)/3</f>
        <v>12</v>
      </c>
      <c r="IM250" s="223">
        <f t="shared" si="1727"/>
        <v>24</v>
      </c>
      <c r="IN250" s="224">
        <f t="shared" si="1728"/>
        <v>36</v>
      </c>
      <c r="IO250" s="237">
        <f>ID250*POWER(KLslave,SIGN(IE250))*POWER(INslave,SIGN(IF250))*POWER(CHslave,SIGN(IG250))*POWER(FFslave,SIGN(IH250))*POWER(GEslave,SIGN(II250))*POWER(KOslave,SIGN(IJ250))*POWER(KKslave_KK,SIGN(IK250))+IE250*POWER(MUslave,SIGN(ID250))*POWER(INslave,SIGN(IF250))*POWER(CHslave,SIGN(IG250))*POWER(FFslave,SIGN(IH250))*POWER(GEslave,SIGN(II250))*POWER(KOslave,SIGN(IJ250))*POWER(KKslave_KK,SIGN(IK250))+IF250*POWER(MUslave,SIGN(ID250))*POWER(KLslave,SIGN(IE250))*POWER(CHslave,SIGN(IG250))*POWER(FFslave,SIGN(IH250))*POWER(GEslave,SIGN(II250))*POWER(KOslave,SIGN(IJ250))*POWER(KKslave_KK,SIGN(IK250))+IG250*POWER(MUslave,SIGN(ID250))*POWER(KLslave,SIGN(IE250))*POWER(INslave,SIGN(IF250))*POWER(FFslave,SIGN(IH250))*POWER(GEslave,SIGN(II250))*POWER(KOslave,SIGN(IJ250))*POWER(KKslave_KK,SIGN(IK250))+IH250*POWER(MUslave,SIGN(ID250))*POWER(KLslave,SIGN(IE250))*POWER(INslave,SIGN(IF250))*POWER(CHslave,SIGN(IG250))*POWER(GEslave,SIGN(II250))*POWER(KOslave,SIGN(IJ250))*POWER(KKslave_KK,SIGN(IK250))+II250*POWER(MUslave,SIGN(ID250))*POWER(KLslave,SIGN(IE250))*POWER(INslave,SIGN(IF250))*POWER(CHslave,SIGN(IG250))*POWER(FFslave,SIGN(IH250))*POWER(KOslave,SIGN(IJ250))*POWER(KKslave_KK,SIGN(IK250))+IJ250*POWER(MUslave,SIGN(ID250))*POWER(KLslave,SIGN(IE250))*POWER(INslave,SIGN(IF250))*POWER(CHslave,SIGN(IG250))*POWER(FFslave,SIGN(IH250))*POWER(GEslave,SIGN(II250))*POWER(KKslave_KK,SIGN(IK250))+IK250*POWER(MUslave,SIGN(ID250))*POWER(KLslave,SIGN(IE250))*POWER(INslave,SIGN(IF250))*POWER(CHslave,SIGN(IG250))*POWER(FFslave,SIGN(IH250))*POWER(GEslave,SIGN(II250))*POWER(KOslave,SIGN(IJ250))</f>
        <v>2304</v>
      </c>
      <c r="IP250" s="234">
        <f>ID250*IG250*KOslave+ID250*CHslave*IJ250+MUslave*IG250*IJ250</f>
        <v>3456</v>
      </c>
      <c r="IQ250" s="224">
        <f>IFERROR(ID250^SIGN(ID250),1)*IFERROR(IE250^SIGN(IE250),1)*IFERROR(IF250^SIGN(IF250),1)*IFERROR(IG250^SIGN(IG250),1)*IFERROR(IH250^SIGN(IH250),1)*IFERROR(II250^SIGN(II250),1)*IFERROR(IJ250^SIGN(IJ250),1)*IFERROR(IK250^SIGN(IK250),1)</f>
        <v>1728</v>
      </c>
      <c r="IR250" s="224">
        <f t="shared" si="1792"/>
        <v>7488</v>
      </c>
      <c r="IS250" s="222">
        <f t="shared" si="1731"/>
        <v>3.6923076923076925</v>
      </c>
      <c r="IT250" s="223">
        <f t="shared" si="1732"/>
        <v>11.076923076923077</v>
      </c>
      <c r="IU250" s="243">
        <f t="shared" si="1733"/>
        <v>8.3076923076923084</v>
      </c>
      <c r="IV250" s="243">
        <f t="shared" si="1734"/>
        <v>23.07692307692308</v>
      </c>
      <c r="IW250" s="252">
        <f t="shared" si="1612"/>
        <v>0</v>
      </c>
      <c r="IX250" s="309">
        <f t="shared" si="1735"/>
        <v>23.07692307692308</v>
      </c>
      <c r="IY250" s="218">
        <f>IF(IV250&lt;=0,3,0)+IF(IV250&gt;0,IV250+1,0)*3+IF(IV250&gt;12,IV250-12,0)*3+IF(IV250&gt;13,IV250-13,0)*3+IF(IV250&gt;14,IV250-14,0)*3+IF(IV250&gt;15,IV250-15,0)*3+IF(IV250&gt;16,IV250-16,0)*3+IF(IV250&gt;17,IV250-17,0)*3+IF(IV250&gt;18,IV250-18,0)*3+IF(IV250&gt;19,IV250-19,0)*3+IF(IV250&gt;20,IV250-20,0)*3</f>
        <v>263.30769230769232</v>
      </c>
      <c r="IZ250" s="242">
        <f>IF(IW250&lt;=0,3,0)+IF(IW250&gt;0,IW250+1,0)*3+IF(IW250&gt;12,IW250-12,0)*3+IF(IW250&gt;13,IW250-13,0)*3+IF(IW250&gt;14,IW250-14,0)*3+IF(IW250&gt;15,IW250-15,0)*3+IF(IW250&gt;16,IW250-16,0)*3+IF(IW250&gt;17,IW250-17,0)*3+IF(IW250&gt;18,IW250-18,0)*3+IF(IW250&gt;19,IW250-19,0)*3+IF(IW250&gt;20,IW250-20,0)*3</f>
        <v>3</v>
      </c>
      <c r="JA250" s="243">
        <f t="shared" si="1736"/>
        <v>260.30769230769232</v>
      </c>
      <c r="JB250" s="218">
        <f t="shared" si="1737"/>
        <v>0</v>
      </c>
      <c r="JE250" s="148"/>
    </row>
    <row r="251" spans="2:265" hidden="1" outlineLevel="2">
      <c r="B251" s="148">
        <v>39</v>
      </c>
      <c r="C251" s="303" t="e">
        <f>VLOOKUP(AF251,Attribute!C:T,1,FALSE)</f>
        <v>#N/A</v>
      </c>
      <c r="D251" s="125" t="s">
        <v>226</v>
      </c>
      <c r="E251" s="127" t="s">
        <v>133</v>
      </c>
      <c r="F251" s="114"/>
      <c r="G251" s="113">
        <f>Konvention_1master-KLmaster</f>
        <v>12</v>
      </c>
      <c r="H251" s="113">
        <f>Konvention_1master-INmaster</f>
        <v>12</v>
      </c>
      <c r="I251" s="113"/>
      <c r="J251" s="113"/>
      <c r="K251" s="113"/>
      <c r="L251" s="113">
        <f>Konvention_1master-KOmaster</f>
        <v>12</v>
      </c>
      <c r="M251" s="119"/>
      <c r="N251" s="223">
        <f>(F251+G251+H251+I251+J251+K251+L251+M251)/3</f>
        <v>12</v>
      </c>
      <c r="O251" s="223">
        <f t="shared" si="1630"/>
        <v>24</v>
      </c>
      <c r="P251" s="224">
        <f t="shared" si="1631"/>
        <v>36</v>
      </c>
      <c r="Q251" s="237">
        <f>F251*POWER(KLmaster,SIGN(G251))*POWER(INmaster,SIGN(H251))*POWER(CHmaster,SIGN(I251))*POWER(FFmaster,SIGN(J251))*POWER(GEmaster,SIGN(K251))*POWER(KOmaster,SIGN(L251))*POWER(KKmaster,SIGN(M251))+G251*POWER(MUmaster,SIGN(F251))*POWER(INmaster,SIGN(H251))*POWER(CHmaster,SIGN(I251))*POWER(FFmaster,SIGN(J251))*POWER(GEmaster,SIGN(K251))*POWER(KOmaster,SIGN(L251))*POWER(KKmaster,SIGN(M251))+H251*POWER(MUmaster,SIGN(F251))*POWER(KLmaster,SIGN(G251))*POWER(CHmaster,SIGN(I251))*POWER(FFmaster,SIGN(J251))*POWER(GEmaster,SIGN(K251))*POWER(KOmaster,SIGN(L251))*POWER(KKmaster,SIGN(M251))+I251*POWER(MUmaster,SIGN(F251))*POWER(KLmaster,SIGN(G251))*POWER(INmaster,SIGN(H251))*POWER(FFmaster,SIGN(J251))*POWER(GEmaster,SIGN(K251))*POWER(KOmaster,SIGN(L251))*POWER(KKmaster,SIGN(M251))+J251*POWER(MUmaster,SIGN(F251))*POWER(KLmaster,SIGN(G251))*POWER(INmaster,SIGN(H251))*POWER(CHmaster,SIGN(I251))*POWER(GEmaster,SIGN(K251))*POWER(KOmaster,SIGN(L251))*POWER(KKmaster,SIGN(M251))+K251*POWER(MUmaster,SIGN(F251))*POWER(KLmaster,SIGN(G251))*POWER(INmaster,SIGN(H251))*POWER(CHmaster,SIGN(I251))*POWER(FFmaster,SIGN(J251))*POWER(KOmaster,SIGN(L251))*POWER(KKmaster,SIGN(M251))+L251*POWER(MUmaster,SIGN(F251))*POWER(KLmaster,SIGN(G251))*POWER(INmaster,SIGN(H251))*POWER(CHmaster,SIGN(I251))*POWER(FFmaster,SIGN(J251))*POWER(GEmaster,SIGN(K251))*POWER(KKmaster,SIGN(M251))+M251*POWER(MUmaster,SIGN(F251))*POWER(KLmaster,SIGN(G251))*POWER(INmaster,SIGN(H251))*POWER(CHmaster,SIGN(I251))*POWER(FFmaster,SIGN(J251))*POWER(GEmaster,SIGN(K251))*POWER(KOmaster,SIGN(L251))</f>
        <v>2304</v>
      </c>
      <c r="R251" s="113">
        <f>G251*H251*KOmaster+G251*INmaster*L251+KLmaster*H251*L251</f>
        <v>3456</v>
      </c>
      <c r="S251" s="224">
        <f>IFERROR(F251^SIGN(F251),1)*IFERROR(G251^SIGN(G251),1)*IFERROR(H251^SIGN(H251),1)*IFERROR(I251^SIGN(I251),1)*IFERROR(J251^SIGN(J251),1)*IFERROR(K251^SIGN(K251),1)*IFERROR(L251^SIGN(L251),1)*IFERROR(M251^SIGN(M251),1)</f>
        <v>1728</v>
      </c>
      <c r="T251" s="224">
        <f t="shared" ref="T251:T257" si="1793">SUM(Q251:S251)</f>
        <v>7488</v>
      </c>
      <c r="U251" s="222">
        <f t="shared" si="1635"/>
        <v>3.6923076923076925</v>
      </c>
      <c r="V251" s="223">
        <f t="shared" si="1636"/>
        <v>11.076923076923077</v>
      </c>
      <c r="W251" s="243">
        <f t="shared" si="1637"/>
        <v>8.3076923076923084</v>
      </c>
      <c r="X251" s="243">
        <f t="shared" si="1638"/>
        <v>23.07692307692308</v>
      </c>
      <c r="Y251" s="252">
        <v>0</v>
      </c>
      <c r="Z251" s="198">
        <f t="shared" si="1639"/>
        <v>23.07692307692308</v>
      </c>
      <c r="AA251" s="125">
        <f>IF(X251&lt;=0,1,0)+IF(X251&gt;0,X251+1,0)*1+IF(X251&gt;12,X251-12,0)*1+IF(X251&gt;13,X251-13,0)*1+IF(X251&gt;14,X251-14,0)*1+IF(X251&gt;15,X251-15,0)*1+IF(X251&gt;16,X251-16,0)*1+IF(X251&gt;17,X251-17,0)*1+IF(X251&gt;18,X251-18,0)*1+IF(X251&gt;19,X251-19,0)*1+IF(X251&gt;20,X251-20,0)*1</f>
        <v>87.769230769230802</v>
      </c>
      <c r="AB251" s="160">
        <f>IF(Y251&lt;=0,1,0)+IF(Y251&gt;0,Y251+1,0)*1+IF(Y251&gt;12,Y251-12,0)*1+IF(Y251&gt;13,Y251-13,0)*1+IF(Y251&gt;14,Y251-14,0)*1+IF(Y251&gt;15,Y251-15,0)*1+IF(Y251&gt;16,Y251-16,0)*1+IF(Y251&gt;17,Y251-17,0)*1+IF(Y251&gt;18,Y251-18,0)*1+IF(Y251&gt;19,Y251-19,0)*1+IF(Y251&gt;20,Y251-20,0)*1</f>
        <v>1</v>
      </c>
      <c r="AC251" s="127">
        <f t="shared" si="1640"/>
        <v>86.769230769230802</v>
      </c>
      <c r="AD251" s="125">
        <f t="shared" si="1641"/>
        <v>0</v>
      </c>
      <c r="AF251" s="163" t="s">
        <v>221</v>
      </c>
      <c r="AG251" s="125" t="s">
        <v>226</v>
      </c>
      <c r="AH251" s="127" t="s">
        <v>133</v>
      </c>
      <c r="AI251" s="114"/>
      <c r="AJ251" s="113">
        <f>Konvention_1slave-KLslave</f>
        <v>12</v>
      </c>
      <c r="AK251" s="113">
        <f>Konvention_1slave-INslave</f>
        <v>12</v>
      </c>
      <c r="AL251" s="113"/>
      <c r="AM251" s="113"/>
      <c r="AN251" s="113"/>
      <c r="AO251" s="113">
        <f>Konvention_1slave-KOslave</f>
        <v>12</v>
      </c>
      <c r="AP251" s="119"/>
      <c r="AQ251" s="47">
        <f>(AI251+AJ251+AK251+AL251+AM251+AN251+AO251+AP251)/3</f>
        <v>12</v>
      </c>
      <c r="AR251" s="47">
        <f t="shared" si="1643"/>
        <v>24</v>
      </c>
      <c r="AS251" s="119">
        <f t="shared" si="1644"/>
        <v>36</v>
      </c>
      <c r="AT251" s="114">
        <f>AI251*POWER(KLslave,SIGN(AJ251))*POWER(INslave,SIGN(AK251))*POWER(CHslave,SIGN(AL251))*POWER(FFslave,SIGN(AM251))*POWER(GEslave,SIGN(AN251))*POWER(KOslave,SIGN(AO251))*POWER(KKslave,SIGN(AP251))+AJ251*POWER(MUslave_MU,SIGN(AI251))*POWER(INslave,SIGN(AK251))*POWER(CHslave,SIGN(AL251))*POWER(FFslave,SIGN(AM251))*POWER(GEslave,SIGN(AN251))*POWER(KOslave,SIGN(AO251))*POWER(KKslave,SIGN(AP251))+AK251*POWER(MUslave_MU,SIGN(AI251))*POWER(KLslave,SIGN(AJ251))*POWER(CHslave,SIGN(AL251))*POWER(FFslave,SIGN(AM251))*POWER(GEslave,SIGN(AN251))*POWER(KOslave,SIGN(AO251))*POWER(KKslave,SIGN(AP251))+AL251*POWER(MUslave_MU,SIGN(AI251))*POWER(KLslave,SIGN(AJ251))*POWER(INslave,SIGN(AK251))*POWER(FFslave,SIGN(AM251))*POWER(GEslave,SIGN(AN251))*POWER(KOslave,SIGN(AO251))*POWER(KKslave,SIGN(AP251))+AM251*POWER(MUslave_MU,SIGN(AI251))*POWER(KLslave,SIGN(AJ251))*POWER(INslave,SIGN(AK251))*POWER(CHslave,SIGN(AL251))*POWER(GEslave,SIGN(AN251))*POWER(KOslave,SIGN(AO251))*POWER(KKslave,SIGN(AP251))+AN251*POWER(MUslave_MU,SIGN(AI251))*POWER(KLslave,SIGN(AJ251))*POWER(INslave,SIGN(AK251))*POWER(CHslave,SIGN(AL251))*POWER(FFslave,SIGN(AM251))*POWER(KOslave,SIGN(AO251))*POWER(KKslave,SIGN(AP251))+AO251*POWER(MUslave_MU,SIGN(AI251))*POWER(KLslave,SIGN(AJ251))*POWER(INslave,SIGN(AK251))*POWER(CHslave,SIGN(AL251))*POWER(FFslave,SIGN(AM251))*POWER(GEslave,SIGN(AN251))*POWER(KKslave,SIGN(AP251))+AP251*POWER(MUslave_MU,SIGN(AI251))*POWER(KLslave,SIGN(AJ251))*POWER(INslave,SIGN(AK251))*POWER(CHslave,SIGN(AL251))*POWER(FFslave,SIGN(AM251))*POWER(GEslave,SIGN(AN251))*POWER(KOslave,SIGN(AO251))</f>
        <v>2304</v>
      </c>
      <c r="AU251" s="113">
        <f>AJ251*AK251*KOslave+AJ251*INslave*AO251+KLslave*AK251*AO251</f>
        <v>3456</v>
      </c>
      <c r="AV251" s="119">
        <f>IFERROR(AI251^SIGN(AI251),1)*IFERROR(AJ251^SIGN(AJ251),1)*IFERROR(AK251^SIGN(AK251),1)*IFERROR(AL251^SIGN(AL251),1)*IFERROR(AM251^SIGN(AM251),1)*IFERROR(AN251^SIGN(AN251),1)*IFERROR(AO251^SIGN(AO251),1)*IFERROR(AP251^SIGN(AP251),1)</f>
        <v>1728</v>
      </c>
      <c r="AW251" s="119">
        <f t="shared" si="1785"/>
        <v>7488</v>
      </c>
      <c r="AX251" s="89">
        <f t="shared" si="1647"/>
        <v>3.6923076923076925</v>
      </c>
      <c r="AY251" s="47">
        <f t="shared" si="1648"/>
        <v>11.076923076923077</v>
      </c>
      <c r="AZ251" s="127">
        <f t="shared" si="1649"/>
        <v>8.3076923076923084</v>
      </c>
      <c r="BA251" s="127">
        <f t="shared" si="1650"/>
        <v>23.07692307692308</v>
      </c>
      <c r="BB251" s="165">
        <f t="shared" si="1598"/>
        <v>0</v>
      </c>
      <c r="BC251" s="198">
        <f t="shared" si="1651"/>
        <v>23.07692307692308</v>
      </c>
      <c r="BD251" s="125">
        <f>IF(BA251&lt;=0,1,0)+IF(BA251&gt;0,BA251+1,0)*1+IF(BA251&gt;12,BA251-12,0)*1+IF(BA251&gt;13,BA251-13,0)*1+IF(BA251&gt;14,BA251-14,0)*1+IF(BA251&gt;15,BA251-15,0)*1+IF(BA251&gt;16,BA251-16,0)*1+IF(BA251&gt;17,BA251-17,0)*1+IF(BA251&gt;18,BA251-18,0)*1+IF(BA251&gt;19,BA251-19,0)*1+IF(BA251&gt;20,BA251-20,0)*1</f>
        <v>87.769230769230802</v>
      </c>
      <c r="BE251" s="160">
        <f>IF(BB251&lt;=0,1,0)+IF(BB251&gt;0,BB251+1,0)*1+IF(BB251&gt;12,BB251-12,0)*1+IF(BB251&gt;13,BB251-13,0)*1+IF(BB251&gt;14,BB251-14,0)*1+IF(BB251&gt;15,BB251-15,0)*1+IF(BB251&gt;16,BB251-16,0)*1+IF(BB251&gt;17,BB251-17,0)*1+IF(BB251&gt;18,BB251-18,0)*1+IF(BB251&gt;19,BB251-19,0)*1+IF(BB251&gt;20,BB251-20,0)*1</f>
        <v>1</v>
      </c>
      <c r="BF251" s="243">
        <f t="shared" si="1652"/>
        <v>86.769230769230802</v>
      </c>
      <c r="BG251" s="218">
        <f t="shared" si="1653"/>
        <v>0</v>
      </c>
      <c r="BI251" s="303" t="s">
        <v>221</v>
      </c>
      <c r="BJ251" s="218" t="s">
        <v>226</v>
      </c>
      <c r="BK251" s="243" t="s">
        <v>133</v>
      </c>
      <c r="BL251" s="237"/>
      <c r="BM251" s="234">
        <f>Konvention_1slave-KLslave_KL</f>
        <v>11</v>
      </c>
      <c r="BN251" s="234">
        <f>Konvention_1slave-INslave</f>
        <v>12</v>
      </c>
      <c r="BO251" s="234"/>
      <c r="BP251" s="234"/>
      <c r="BQ251" s="234"/>
      <c r="BR251" s="234">
        <f>Konvention_1slave-KOslave</f>
        <v>12</v>
      </c>
      <c r="BS251" s="224"/>
      <c r="BT251" s="223">
        <f>(BL251+BM251+BN251+BO251+BP251+BQ251+BR251+BS251)/3</f>
        <v>11.666666666666666</v>
      </c>
      <c r="BU251" s="223">
        <f t="shared" si="1655"/>
        <v>23.333333333333332</v>
      </c>
      <c r="BV251" s="224">
        <f t="shared" si="1656"/>
        <v>35</v>
      </c>
      <c r="BW251" s="237">
        <f>BL251*POWER(KLslave_KL,SIGN(BM251))*POWER(INslave,SIGN(BN251))*POWER(CHslave,SIGN(BO251))*POWER(FFslave,SIGN(BP251))*POWER(GEslave,SIGN(BQ251))*POWER(KOslave,SIGN(BR251))*POWER(KKslave,SIGN(BS251))+BM251*POWER(MUslave,SIGN(BL251))*POWER(INslave,SIGN(BN251))*POWER(CHslave,SIGN(BO251))*POWER(FFslave,SIGN(BP251))*POWER(GEslave,SIGN(BQ251))*POWER(KOslave,SIGN(BR251))*POWER(KKslave,SIGN(BS251))+BN251*POWER(MUslave,SIGN(BL251))*POWER(KLslave_KL,SIGN(BM251))*POWER(CHslave,SIGN(BO251))*POWER(FFslave,SIGN(BP251))*POWER(GEslave,SIGN(BQ251))*POWER(KOslave,SIGN(BR251))*POWER(KKslave,SIGN(BS251))+BO251*POWER(MUslave,SIGN(BL251))*POWER(KLslave_KL,SIGN(BM251))*POWER(INslave,SIGN(BN251))*POWER(FFslave,SIGN(BP251))*POWER(GEslave,SIGN(BQ251))*POWER(KOslave,SIGN(BR251))*POWER(KKslave,SIGN(BS251))+BP251*POWER(MUslave,SIGN(BL251))*POWER(KLslave_KL,SIGN(BM251))*POWER(INslave,SIGN(BN251))*POWER(CHslave,SIGN(BO251))*POWER(GEslave,SIGN(BQ251))*POWER(KOslave,SIGN(BR251))*POWER(KKslave,SIGN(BS251))+BQ251*POWER(MUslave,SIGN(BL251))*POWER(KLslave_KL,SIGN(BM251))*POWER(INslave,SIGN(BN251))*POWER(CHslave,SIGN(BO251))*POWER(FFslave,SIGN(BP251))*POWER(KOslave,SIGN(BR251))*POWER(KKslave,SIGN(BS251))+BR251*POWER(MUslave,SIGN(BL251))*POWER(KLslave_KL,SIGN(BM251))*POWER(INslave,SIGN(BN251))*POWER(CHslave,SIGN(BO251))*POWER(FFslave,SIGN(BP251))*POWER(GEslave,SIGN(BQ251))*POWER(KKslave,SIGN(BS251))+BS251*POWER(MUslave,SIGN(BL251))*POWER(KLslave_KL,SIGN(BM251))*POWER(INslave,SIGN(BN251))*POWER(CHslave,SIGN(BO251))*POWER(FFslave,SIGN(BP251))*POWER(GEslave,SIGN(BQ251))*POWER(KOslave,SIGN(BR251))</f>
        <v>2432</v>
      </c>
      <c r="BX251" s="234">
        <f>BM251*BN251*KOslave+BM251*INslave*BR251+KLslave_KL*BN251*BR251</f>
        <v>3408</v>
      </c>
      <c r="BY251" s="224">
        <f>IFERROR(BL251^SIGN(BL251),1)*IFERROR(BM251^SIGN(BM251),1)*IFERROR(BN251^SIGN(BN251),1)*IFERROR(BO251^SIGN(BO251),1)*IFERROR(BP251^SIGN(BP251),1)*IFERROR(BQ251^SIGN(BQ251),1)*IFERROR(BR251^SIGN(BR251),1)*IFERROR(BS251^SIGN(BS251),1)</f>
        <v>1584</v>
      </c>
      <c r="BZ251" s="224">
        <f t="shared" si="1786"/>
        <v>7424</v>
      </c>
      <c r="CA251" s="222">
        <f t="shared" si="1659"/>
        <v>3.8218390804597702</v>
      </c>
      <c r="CB251" s="223">
        <f t="shared" si="1660"/>
        <v>10.711206896551724</v>
      </c>
      <c r="CC251" s="243">
        <f t="shared" si="1661"/>
        <v>7.4676724137931032</v>
      </c>
      <c r="CD251" s="243">
        <f t="shared" si="1662"/>
        <v>22.000718390804597</v>
      </c>
      <c r="CE251" s="252">
        <f t="shared" si="1600"/>
        <v>0</v>
      </c>
      <c r="CF251" s="309">
        <f t="shared" si="1663"/>
        <v>22.000718390804597</v>
      </c>
      <c r="CG251" s="218">
        <f>IF(CD251&lt;=0,1,0)+IF(CD251&gt;0,CD251+1,0)*1+IF(CD251&gt;12,CD251-12,0)*1+IF(CD251&gt;13,CD251-13,0)*1+IF(CD251&gt;14,CD251-14,0)*1+IF(CD251&gt;15,CD251-15,0)*1+IF(CD251&gt;16,CD251-16,0)*1+IF(CD251&gt;17,CD251-17,0)*1+IF(CD251&gt;18,CD251-18,0)*1+IF(CD251&gt;19,CD251-19,0)*1+IF(CD251&gt;20,CD251-20,0)*1</f>
        <v>77.007183908045945</v>
      </c>
      <c r="CH251" s="242">
        <f>IF(CE251&lt;=0,1,0)+IF(CE251&gt;0,CE251+1,0)*1+IF(CE251&gt;12,CE251-12,0)*1+IF(CE251&gt;13,CE251-13,0)*1+IF(CE251&gt;14,CE251-14,0)*1+IF(CE251&gt;15,CE251-15,0)*1+IF(CE251&gt;16,CE251-16,0)*1+IF(CE251&gt;17,CE251-17,0)*1+IF(CE251&gt;18,CE251-18,0)*1+IF(CE251&gt;19,CE251-19,0)*1+IF(CE251&gt;20,CE251-20,0)*1</f>
        <v>1</v>
      </c>
      <c r="CI251" s="243">
        <f t="shared" si="1664"/>
        <v>76.007183908045945</v>
      </c>
      <c r="CJ251" s="218">
        <f t="shared" si="1665"/>
        <v>0</v>
      </c>
      <c r="CL251" s="303" t="s">
        <v>221</v>
      </c>
      <c r="CM251" s="218" t="s">
        <v>226</v>
      </c>
      <c r="CN251" s="243" t="s">
        <v>133</v>
      </c>
      <c r="CO251" s="237"/>
      <c r="CP251" s="234">
        <f>Konvention_1slave-KLslave</f>
        <v>12</v>
      </c>
      <c r="CQ251" s="234">
        <f>Konvention_1slave-INslave_IN</f>
        <v>11</v>
      </c>
      <c r="CR251" s="234"/>
      <c r="CS251" s="234"/>
      <c r="CT251" s="234"/>
      <c r="CU251" s="234">
        <f>Konvention_1slave-KOslave</f>
        <v>12</v>
      </c>
      <c r="CV251" s="224"/>
      <c r="CW251" s="223">
        <f>(CO251+CP251+CQ251+CR251+CS251+CT251+CU251+CV251)/3</f>
        <v>11.666666666666666</v>
      </c>
      <c r="CX251" s="223">
        <f t="shared" si="1667"/>
        <v>23.333333333333332</v>
      </c>
      <c r="CY251" s="224">
        <f t="shared" si="1668"/>
        <v>35</v>
      </c>
      <c r="CZ251" s="237">
        <f>CO251*POWER(KLslave,SIGN(CP251))*POWER(INslave_IN,SIGN(CQ251))*POWER(CHslave,SIGN(CR251))*POWER(FFslave,SIGN(CS251))*POWER(GEslave,SIGN(CT251))*POWER(KOslave,SIGN(CU251))*POWER(KKslave,SIGN(CV251))+CP251*POWER(MUslave,SIGN(CO251))*POWER(INslave_IN,SIGN(CQ251))*POWER(CHslave,SIGN(CR251))*POWER(FFslave,SIGN(CS251))*POWER(GEslave,SIGN(CT251))*POWER(KOslave,SIGN(CU251))*POWER(KKslave,SIGN(CV251))+CQ251*POWER(MUslave,SIGN(CO251))*POWER(KLslave,SIGN(CP251))*POWER(CHslave,SIGN(CR251))*POWER(FFslave,SIGN(CS251))*POWER(GEslave,SIGN(CT251))*POWER(KOslave,SIGN(CU251))*POWER(KKslave,SIGN(CV251))+CR251*POWER(MUslave,SIGN(CO251))*POWER(KLslave,SIGN(CP251))*POWER(INslave_IN,SIGN(CQ251))*POWER(FFslave,SIGN(CS251))*POWER(GEslave,SIGN(CT251))*POWER(KOslave,SIGN(CU251))*POWER(KKslave,SIGN(CV251))+CS251*POWER(MUslave,SIGN(CO251))*POWER(KLslave,SIGN(CP251))*POWER(INslave_IN,SIGN(CQ251))*POWER(CHslave,SIGN(CR251))*POWER(GEslave,SIGN(CT251))*POWER(KOslave,SIGN(CU251))*POWER(KKslave,SIGN(CV251))+CT251*POWER(MUslave,SIGN(CO251))*POWER(KLslave,SIGN(CP251))*POWER(INslave_IN,SIGN(CQ251))*POWER(CHslave,SIGN(CR251))*POWER(FFslave,SIGN(CS251))*POWER(KOslave,SIGN(CU251))*POWER(KKslave,SIGN(CV251))+CU251*POWER(MUslave,SIGN(CO251))*POWER(KLslave,SIGN(CP251))*POWER(INslave_IN,SIGN(CQ251))*POWER(CHslave,SIGN(CR251))*POWER(FFslave,SIGN(CS251))*POWER(GEslave,SIGN(CT251))*POWER(KKslave,SIGN(CV251))+CV251*POWER(MUslave,SIGN(CO251))*POWER(KLslave,SIGN(CP251))*POWER(INslave_IN,SIGN(CQ251))*POWER(CHslave,SIGN(CR251))*POWER(FFslave,SIGN(CS251))*POWER(GEslave,SIGN(CT251))*POWER(KOslave,SIGN(CU251))</f>
        <v>2432</v>
      </c>
      <c r="DA251" s="234">
        <f>CP251*CQ251*KOslave+CP251*INslave_IN*CU251+KLslave*CQ251*CU251</f>
        <v>3408</v>
      </c>
      <c r="DB251" s="224">
        <f>IFERROR(CO251^SIGN(CO251),1)*IFERROR(CP251^SIGN(CP251),1)*IFERROR(CQ251^SIGN(CQ251),1)*IFERROR(CR251^SIGN(CR251),1)*IFERROR(CS251^SIGN(CS251),1)*IFERROR(CT251^SIGN(CT251),1)*IFERROR(CU251^SIGN(CU251),1)*IFERROR(CV251^SIGN(CV251),1)</f>
        <v>1584</v>
      </c>
      <c r="DC251" s="224">
        <f t="shared" si="1787"/>
        <v>7424</v>
      </c>
      <c r="DD251" s="222">
        <f t="shared" si="1671"/>
        <v>3.8218390804597702</v>
      </c>
      <c r="DE251" s="223">
        <f t="shared" si="1672"/>
        <v>10.711206896551724</v>
      </c>
      <c r="DF251" s="243">
        <f t="shared" si="1673"/>
        <v>7.4676724137931032</v>
      </c>
      <c r="DG251" s="243">
        <f t="shared" si="1674"/>
        <v>22.000718390804597</v>
      </c>
      <c r="DH251" s="252">
        <f t="shared" si="1602"/>
        <v>0</v>
      </c>
      <c r="DI251" s="309">
        <f t="shared" si="1675"/>
        <v>22.000718390804597</v>
      </c>
      <c r="DJ251" s="218">
        <f>IF(DG251&lt;=0,1,0)+IF(DG251&gt;0,DG251+1,0)*1+IF(DG251&gt;12,DG251-12,0)*1+IF(DG251&gt;13,DG251-13,0)*1+IF(DG251&gt;14,DG251-14,0)*1+IF(DG251&gt;15,DG251-15,0)*1+IF(DG251&gt;16,DG251-16,0)*1+IF(DG251&gt;17,DG251-17,0)*1+IF(DG251&gt;18,DG251-18,0)*1+IF(DG251&gt;19,DG251-19,0)*1+IF(DG251&gt;20,DG251-20,0)*1</f>
        <v>77.007183908045945</v>
      </c>
      <c r="DK251" s="242">
        <f>IF(DH251&lt;=0,1,0)+IF(DH251&gt;0,DH251+1,0)*1+IF(DH251&gt;12,DH251-12,0)*1+IF(DH251&gt;13,DH251-13,0)*1+IF(DH251&gt;14,DH251-14,0)*1+IF(DH251&gt;15,DH251-15,0)*1+IF(DH251&gt;16,DH251-16,0)*1+IF(DH251&gt;17,DH251-17,0)*1+IF(DH251&gt;18,DH251-18,0)*1+IF(DH251&gt;19,DH251-19,0)*1+IF(DH251&gt;20,DH251-20,0)*1</f>
        <v>1</v>
      </c>
      <c r="DL251" s="243">
        <f t="shared" si="1676"/>
        <v>76.007183908045945</v>
      </c>
      <c r="DM251" s="218">
        <f t="shared" si="1677"/>
        <v>0</v>
      </c>
      <c r="DO251" s="303" t="s">
        <v>221</v>
      </c>
      <c r="DP251" s="218" t="s">
        <v>226</v>
      </c>
      <c r="DQ251" s="243" t="s">
        <v>133</v>
      </c>
      <c r="DR251" s="237"/>
      <c r="DS251" s="234">
        <f>Konvention_1slave-KLslave</f>
        <v>12</v>
      </c>
      <c r="DT251" s="234">
        <f>Konvention_1slave-INslave</f>
        <v>12</v>
      </c>
      <c r="DU251" s="234"/>
      <c r="DV251" s="234"/>
      <c r="DW251" s="234"/>
      <c r="DX251" s="234">
        <f>Konvention_1slave-KOslave</f>
        <v>12</v>
      </c>
      <c r="DY251" s="224"/>
      <c r="DZ251" s="223">
        <f>(DR251+DS251+DT251+DU251+DV251+DW251+DX251+DY251)/3</f>
        <v>12</v>
      </c>
      <c r="EA251" s="223">
        <f t="shared" si="1679"/>
        <v>24</v>
      </c>
      <c r="EB251" s="224">
        <f t="shared" si="1680"/>
        <v>36</v>
      </c>
      <c r="EC251" s="237">
        <f>DR251*POWER(KLslave,SIGN(DS251))*POWER(INslave,SIGN(DT251))*POWER(CHslave_CH,SIGN(DU251))*POWER(FFslave,SIGN(DV251))*POWER(GEslave,SIGN(DW251))*POWER(KOslave,SIGN(DX251))*POWER(KKslave,SIGN(DY251))+DS251*POWER(MUslave,SIGN(DR251))*POWER(INslave,SIGN(DT251))*POWER(CHslave_CH,SIGN(DU251))*POWER(FFslave,SIGN(DV251))*POWER(GEslave,SIGN(DW251))*POWER(KOslave,SIGN(DX251))*POWER(KKslave,SIGN(DY251))+DT251*POWER(MUslave,SIGN(DR251))*POWER(KLslave,SIGN(DS251))*POWER(CHslave_CH,SIGN(DU251))*POWER(FFslave,SIGN(DV251))*POWER(GEslave,SIGN(DW251))*POWER(KOslave,SIGN(DX251))*POWER(KKslave,SIGN(DY251))+DU251*POWER(MUslave,SIGN(DR251))*POWER(KLslave,SIGN(DS251))*POWER(INslave,SIGN(DT251))*POWER(FFslave,SIGN(DV251))*POWER(GEslave,SIGN(DW251))*POWER(KOslave,SIGN(DX251))*POWER(KKslave,SIGN(DY251))+DV251*POWER(MUslave,SIGN(DR251))*POWER(KLslave,SIGN(DS251))*POWER(INslave,SIGN(DT251))*POWER(CHslave_CH,SIGN(DU251))*POWER(GEslave,SIGN(DW251))*POWER(KOslave,SIGN(DX251))*POWER(KKslave,SIGN(DY251))+DW251*POWER(MUslave,SIGN(DR251))*POWER(KLslave,SIGN(DS251))*POWER(INslave,SIGN(DT251))*POWER(CHslave_CH,SIGN(DU251))*POWER(FFslave,SIGN(DV251))*POWER(KOslave,SIGN(DX251))*POWER(KKslave,SIGN(DY251))+DX251*POWER(MUslave,SIGN(DR251))*POWER(KLslave,SIGN(DS251))*POWER(INslave,SIGN(DT251))*POWER(CHslave_CH,SIGN(DU251))*POWER(FFslave,SIGN(DV251))*POWER(GEslave,SIGN(DW251))*POWER(KKslave,SIGN(DY251))+DY251*POWER(MUslave,SIGN(DR251))*POWER(KLslave,SIGN(DS251))*POWER(INslave,SIGN(DT251))*POWER(CHslave_CH,SIGN(DU251))*POWER(FFslave,SIGN(DV251))*POWER(GEslave,SIGN(DW251))*POWER(KOslave,SIGN(DX251))</f>
        <v>2304</v>
      </c>
      <c r="ED251" s="234">
        <f>DS251*DT251*KOslave+DS251*INslave*DX251+KLslave*DT251*DX251</f>
        <v>3456</v>
      </c>
      <c r="EE251" s="224">
        <f>IFERROR(DR251^SIGN(DR251),1)*IFERROR(DS251^SIGN(DS251),1)*IFERROR(DT251^SIGN(DT251),1)*IFERROR(DU251^SIGN(DU251),1)*IFERROR(DV251^SIGN(DV251),1)*IFERROR(DW251^SIGN(DW251),1)*IFERROR(DX251^SIGN(DX251),1)*IFERROR(DY251^SIGN(DY251),1)</f>
        <v>1728</v>
      </c>
      <c r="EF251" s="224">
        <f t="shared" si="1788"/>
        <v>7488</v>
      </c>
      <c r="EG251" s="222">
        <f t="shared" si="1683"/>
        <v>3.6923076923076925</v>
      </c>
      <c r="EH251" s="223">
        <f t="shared" si="1684"/>
        <v>11.076923076923077</v>
      </c>
      <c r="EI251" s="243">
        <f t="shared" si="1685"/>
        <v>8.3076923076923084</v>
      </c>
      <c r="EJ251" s="243">
        <f t="shared" si="1686"/>
        <v>23.07692307692308</v>
      </c>
      <c r="EK251" s="252">
        <f t="shared" si="1604"/>
        <v>0</v>
      </c>
      <c r="EL251" s="309">
        <f t="shared" si="1687"/>
        <v>23.07692307692308</v>
      </c>
      <c r="EM251" s="218">
        <f>IF(EJ251&lt;=0,1,0)+IF(EJ251&gt;0,EJ251+1,0)*1+IF(EJ251&gt;12,EJ251-12,0)*1+IF(EJ251&gt;13,EJ251-13,0)*1+IF(EJ251&gt;14,EJ251-14,0)*1+IF(EJ251&gt;15,EJ251-15,0)*1+IF(EJ251&gt;16,EJ251-16,0)*1+IF(EJ251&gt;17,EJ251-17,0)*1+IF(EJ251&gt;18,EJ251-18,0)*1+IF(EJ251&gt;19,EJ251-19,0)*1+IF(EJ251&gt;20,EJ251-20,0)*1</f>
        <v>87.769230769230802</v>
      </c>
      <c r="EN251" s="242">
        <f>IF(EK251&lt;=0,1,0)+IF(EK251&gt;0,EK251+1,0)*1+IF(EK251&gt;12,EK251-12,0)*1+IF(EK251&gt;13,EK251-13,0)*1+IF(EK251&gt;14,EK251-14,0)*1+IF(EK251&gt;15,EK251-15,0)*1+IF(EK251&gt;16,EK251-16,0)*1+IF(EK251&gt;17,EK251-17,0)*1+IF(EK251&gt;18,EK251-18,0)*1+IF(EK251&gt;19,EK251-19,0)*1+IF(EK251&gt;20,EK251-20,0)*1</f>
        <v>1</v>
      </c>
      <c r="EO251" s="243">
        <f t="shared" si="1688"/>
        <v>86.769230769230802</v>
      </c>
      <c r="EP251" s="218">
        <f t="shared" si="1689"/>
        <v>0</v>
      </c>
      <c r="ER251" s="303" t="s">
        <v>221</v>
      </c>
      <c r="ES251" s="218" t="s">
        <v>226</v>
      </c>
      <c r="ET251" s="243" t="s">
        <v>133</v>
      </c>
      <c r="EU251" s="237"/>
      <c r="EV251" s="234">
        <f>Konvention_1slave-KLslave</f>
        <v>12</v>
      </c>
      <c r="EW251" s="234">
        <f>Konvention_1slave-INslave</f>
        <v>12</v>
      </c>
      <c r="EX251" s="234"/>
      <c r="EY251" s="234"/>
      <c r="EZ251" s="234"/>
      <c r="FA251" s="234">
        <f>Konvention_1slave-KOslave</f>
        <v>12</v>
      </c>
      <c r="FB251" s="224"/>
      <c r="FC251" s="223">
        <f>(EU251+EV251+EW251+EX251+EY251+EZ251+FA251+FB251)/3</f>
        <v>12</v>
      </c>
      <c r="FD251" s="223">
        <f t="shared" si="1691"/>
        <v>24</v>
      </c>
      <c r="FE251" s="224">
        <f t="shared" si="1692"/>
        <v>36</v>
      </c>
      <c r="FF251" s="237">
        <f>EU251*POWER(KLslave,SIGN(EV251))*POWER(INslave,SIGN(EW251))*POWER(CHslave,SIGN(EX251))*POWER(FFslave_FF,SIGN(EY251))*POWER(GEslave,SIGN(EZ251))*POWER(KOslave,SIGN(FA251))*POWER(KKslave,SIGN(FB251))+EV251*POWER(MUslave,SIGN(EU251))*POWER(INslave,SIGN(EW251))*POWER(CHslave,SIGN(EX251))*POWER(FFslave_FF,SIGN(EY251))*POWER(GEslave,SIGN(EZ251))*POWER(KOslave,SIGN(FA251))*POWER(KKslave,SIGN(FB251))+EW251*POWER(MUslave,SIGN(EU251))*POWER(KLslave,SIGN(EV251))*POWER(CHslave,SIGN(EX251))*POWER(FFslave_FF,SIGN(EY251))*POWER(GEslave,SIGN(EZ251))*POWER(KOslave,SIGN(FA251))*POWER(KKslave,SIGN(FB251))+EX251*POWER(MUslave,SIGN(EU251))*POWER(KLslave,SIGN(EV251))*POWER(INslave,SIGN(EW251))*POWER(FFslave_FF,SIGN(EY251))*POWER(GEslave,SIGN(EZ251))*POWER(KOslave,SIGN(FA251))*POWER(KKslave,SIGN(FB251))+EY251*POWER(MUslave,SIGN(EU251))*POWER(KLslave,SIGN(EV251))*POWER(INslave,SIGN(EW251))*POWER(CHslave,SIGN(EX251))*POWER(GEslave,SIGN(EZ251))*POWER(KOslave,SIGN(FA251))*POWER(KKslave,SIGN(FB251))+EZ251*POWER(MUslave,SIGN(EU251))*POWER(KLslave,SIGN(EV251))*POWER(INslave,SIGN(EW251))*POWER(CHslave,SIGN(EX251))*POWER(FFslave_FF,SIGN(EY251))*POWER(KOslave,SIGN(FA251))*POWER(KKslave,SIGN(FB251))+FA251*POWER(MUslave,SIGN(EU251))*POWER(KLslave,SIGN(EV251))*POWER(INslave,SIGN(EW251))*POWER(CHslave,SIGN(EX251))*POWER(FFslave_FF,SIGN(EY251))*POWER(GEslave,SIGN(EZ251))*POWER(KKslave,SIGN(FB251))+FB251*POWER(MUslave,SIGN(EU251))*POWER(KLslave,SIGN(EV251))*POWER(INslave,SIGN(EW251))*POWER(CHslave,SIGN(EX251))*POWER(FFslave_FF,SIGN(EY251))*POWER(GEslave,SIGN(EZ251))*POWER(KOslave,SIGN(FA251))</f>
        <v>2304</v>
      </c>
      <c r="FG251" s="234">
        <f>EV251*EW251*KOslave+EV251*INslave*FA251+KLslave*EW251*FA251</f>
        <v>3456</v>
      </c>
      <c r="FH251" s="224">
        <f>IFERROR(EU251^SIGN(EU251),1)*IFERROR(EV251^SIGN(EV251),1)*IFERROR(EW251^SIGN(EW251),1)*IFERROR(EX251^SIGN(EX251),1)*IFERROR(EY251^SIGN(EY251),1)*IFERROR(EZ251^SIGN(EZ251),1)*IFERROR(FA251^SIGN(FA251),1)*IFERROR(FB251^SIGN(FB251),1)</f>
        <v>1728</v>
      </c>
      <c r="FI251" s="224">
        <f t="shared" si="1789"/>
        <v>7488</v>
      </c>
      <c r="FJ251" s="222">
        <f t="shared" si="1695"/>
        <v>3.6923076923076925</v>
      </c>
      <c r="FK251" s="223">
        <f t="shared" si="1696"/>
        <v>11.076923076923077</v>
      </c>
      <c r="FL251" s="243">
        <f t="shared" si="1697"/>
        <v>8.3076923076923084</v>
      </c>
      <c r="FM251" s="243">
        <f t="shared" si="1698"/>
        <v>23.07692307692308</v>
      </c>
      <c r="FN251" s="252">
        <f t="shared" si="1606"/>
        <v>0</v>
      </c>
      <c r="FO251" s="309">
        <f t="shared" si="1699"/>
        <v>23.07692307692308</v>
      </c>
      <c r="FP251" s="218">
        <f>IF(FM251&lt;=0,1,0)+IF(FM251&gt;0,FM251+1,0)*1+IF(FM251&gt;12,FM251-12,0)*1+IF(FM251&gt;13,FM251-13,0)*1+IF(FM251&gt;14,FM251-14,0)*1+IF(FM251&gt;15,FM251-15,0)*1+IF(FM251&gt;16,FM251-16,0)*1+IF(FM251&gt;17,FM251-17,0)*1+IF(FM251&gt;18,FM251-18,0)*1+IF(FM251&gt;19,FM251-19,0)*1+IF(FM251&gt;20,FM251-20,0)*1</f>
        <v>87.769230769230802</v>
      </c>
      <c r="FQ251" s="242">
        <f>IF(FN251&lt;=0,1,0)+IF(FN251&gt;0,FN251+1,0)*1+IF(FN251&gt;12,FN251-12,0)*1+IF(FN251&gt;13,FN251-13,0)*1+IF(FN251&gt;14,FN251-14,0)*1+IF(FN251&gt;15,FN251-15,0)*1+IF(FN251&gt;16,FN251-16,0)*1+IF(FN251&gt;17,FN251-17,0)*1+IF(FN251&gt;18,FN251-18,0)*1+IF(FN251&gt;19,FN251-19,0)*1+IF(FN251&gt;20,FN251-20,0)*1</f>
        <v>1</v>
      </c>
      <c r="FR251" s="243">
        <f t="shared" si="1700"/>
        <v>86.769230769230802</v>
      </c>
      <c r="FS251" s="218">
        <f t="shared" si="1701"/>
        <v>0</v>
      </c>
      <c r="FU251" s="303" t="s">
        <v>221</v>
      </c>
      <c r="FV251" s="218" t="s">
        <v>226</v>
      </c>
      <c r="FW251" s="243" t="s">
        <v>133</v>
      </c>
      <c r="FX251" s="237"/>
      <c r="FY251" s="234">
        <f>Konvention_1slave-KLslave</f>
        <v>12</v>
      </c>
      <c r="FZ251" s="234">
        <f>Konvention_1slave-INslave</f>
        <v>12</v>
      </c>
      <c r="GA251" s="234"/>
      <c r="GB251" s="234"/>
      <c r="GC251" s="234"/>
      <c r="GD251" s="234">
        <f>Konvention_1slave-KOslave</f>
        <v>12</v>
      </c>
      <c r="GE251" s="224"/>
      <c r="GF251" s="223">
        <f>(FX251+FY251+FZ251+GA251+GB251+GC251+GD251+GE251)/3</f>
        <v>12</v>
      </c>
      <c r="GG251" s="223">
        <f t="shared" si="1703"/>
        <v>24</v>
      </c>
      <c r="GH251" s="224">
        <f t="shared" si="1704"/>
        <v>36</v>
      </c>
      <c r="GI251" s="237">
        <f>FX251*POWER(KLslave,SIGN(FY251))*POWER(INslave,SIGN(FZ251))*POWER(CHslave,SIGN(GA251))*POWER(FFslave,SIGN(GB251))*POWER(GEslave_GE,SIGN(GC251))*POWER(KOslave,SIGN(GD251))*POWER(KKslave,SIGN(GE251))+FY251*POWER(MUslave,SIGN(FX251))*POWER(INslave,SIGN(FZ251))*POWER(CHslave,SIGN(GA251))*POWER(FFslave,SIGN(GB251))*POWER(GEslave_GE,SIGN(GC251))*POWER(KOslave,SIGN(GD251))*POWER(KKslave,SIGN(GE251))+FZ251*POWER(MUslave,SIGN(FX251))*POWER(KLslave,SIGN(FY251))*POWER(CHslave,SIGN(GA251))*POWER(FFslave,SIGN(GB251))*POWER(GEslave_GE,SIGN(GC251))*POWER(KOslave,SIGN(GD251))*POWER(KKslave,SIGN(GE251))+GA251*POWER(MUslave,SIGN(FX251))*POWER(KLslave,SIGN(FY251))*POWER(INslave,SIGN(FZ251))*POWER(FFslave,SIGN(GB251))*POWER(GEslave_GE,SIGN(GC251))*POWER(KOslave,SIGN(GD251))*POWER(KKslave,SIGN(GE251))+GB251*POWER(MUslave,SIGN(FX251))*POWER(KLslave,SIGN(FY251))*POWER(INslave,SIGN(FZ251))*POWER(CHslave,SIGN(GA251))*POWER(GEslave_GE,SIGN(GC251))*POWER(KOslave,SIGN(GD251))*POWER(KKslave,SIGN(GE251))+GC251*POWER(MUslave,SIGN(FX251))*POWER(KLslave,SIGN(FY251))*POWER(INslave,SIGN(FZ251))*POWER(CHslave,SIGN(GA251))*POWER(FFslave,SIGN(GB251))*POWER(KOslave,SIGN(GD251))*POWER(KKslave,SIGN(GE251))+GD251*POWER(MUslave,SIGN(FX251))*POWER(KLslave,SIGN(FY251))*POWER(INslave,SIGN(FZ251))*POWER(CHslave,SIGN(GA251))*POWER(FFslave,SIGN(GB251))*POWER(GEslave_GE,SIGN(GC251))*POWER(KKslave,SIGN(GE251))+GE251*POWER(MUslave,SIGN(FX251))*POWER(KLslave,SIGN(FY251))*POWER(INslave,SIGN(FZ251))*POWER(CHslave,SIGN(GA251))*POWER(FFslave,SIGN(GB251))*POWER(GEslave_GE,SIGN(GC251))*POWER(KOslave,SIGN(GD251))</f>
        <v>2304</v>
      </c>
      <c r="GJ251" s="234">
        <f>FY251*FZ251*KOslave+FY251*INslave*GD251+KLslave*FZ251*GD251</f>
        <v>3456</v>
      </c>
      <c r="GK251" s="224">
        <f>IFERROR(FX251^SIGN(FX251),1)*IFERROR(FY251^SIGN(FY251),1)*IFERROR(FZ251^SIGN(FZ251),1)*IFERROR(GA251^SIGN(GA251),1)*IFERROR(GB251^SIGN(GB251),1)*IFERROR(GC251^SIGN(GC251),1)*IFERROR(GD251^SIGN(GD251),1)*IFERROR(GE251^SIGN(GE251),1)</f>
        <v>1728</v>
      </c>
      <c r="GL251" s="224">
        <f t="shared" si="1790"/>
        <v>7488</v>
      </c>
      <c r="GM251" s="222">
        <f t="shared" si="1707"/>
        <v>3.6923076923076925</v>
      </c>
      <c r="GN251" s="223">
        <f t="shared" si="1708"/>
        <v>11.076923076923077</v>
      </c>
      <c r="GO251" s="243">
        <f t="shared" si="1709"/>
        <v>8.3076923076923084</v>
      </c>
      <c r="GP251" s="243">
        <f t="shared" si="1710"/>
        <v>23.07692307692308</v>
      </c>
      <c r="GQ251" s="252">
        <f t="shared" si="1608"/>
        <v>0</v>
      </c>
      <c r="GR251" s="309">
        <f t="shared" si="1711"/>
        <v>23.07692307692308</v>
      </c>
      <c r="GS251" s="218">
        <f>IF(GP251&lt;=0,1,0)+IF(GP251&gt;0,GP251+1,0)*1+IF(GP251&gt;12,GP251-12,0)*1+IF(GP251&gt;13,GP251-13,0)*1+IF(GP251&gt;14,GP251-14,0)*1+IF(GP251&gt;15,GP251-15,0)*1+IF(GP251&gt;16,GP251-16,0)*1+IF(GP251&gt;17,GP251-17,0)*1+IF(GP251&gt;18,GP251-18,0)*1+IF(GP251&gt;19,GP251-19,0)*1+IF(GP251&gt;20,GP251-20,0)*1</f>
        <v>87.769230769230802</v>
      </c>
      <c r="GT251" s="242">
        <f>IF(GQ251&lt;=0,1,0)+IF(GQ251&gt;0,GQ251+1,0)*1+IF(GQ251&gt;12,GQ251-12,0)*1+IF(GQ251&gt;13,GQ251-13,0)*1+IF(GQ251&gt;14,GQ251-14,0)*1+IF(GQ251&gt;15,GQ251-15,0)*1+IF(GQ251&gt;16,GQ251-16,0)*1+IF(GQ251&gt;17,GQ251-17,0)*1+IF(GQ251&gt;18,GQ251-18,0)*1+IF(GQ251&gt;19,GQ251-19,0)*1+IF(GQ251&gt;20,GQ251-20,0)*1</f>
        <v>1</v>
      </c>
      <c r="GU251" s="243">
        <f t="shared" si="1712"/>
        <v>86.769230769230802</v>
      </c>
      <c r="GV251" s="218">
        <f t="shared" si="1713"/>
        <v>0</v>
      </c>
      <c r="GX251" s="303" t="s">
        <v>221</v>
      </c>
      <c r="GY251" s="218" t="s">
        <v>226</v>
      </c>
      <c r="GZ251" s="243" t="s">
        <v>133</v>
      </c>
      <c r="HA251" s="237"/>
      <c r="HB251" s="234">
        <f>Konvention_1slave-KLslave</f>
        <v>12</v>
      </c>
      <c r="HC251" s="234">
        <f>Konvention_1slave-INslave</f>
        <v>12</v>
      </c>
      <c r="HD251" s="234"/>
      <c r="HE251" s="234"/>
      <c r="HF251" s="234"/>
      <c r="HG251" s="234">
        <f>Konvention_1slave-KOslave_KO</f>
        <v>11</v>
      </c>
      <c r="HH251" s="224"/>
      <c r="HI251" s="223">
        <f>(HA251+HB251+HC251+HD251+HE251+HF251+HG251+HH251)/3</f>
        <v>11.666666666666666</v>
      </c>
      <c r="HJ251" s="223">
        <f t="shared" si="1715"/>
        <v>23.333333333333332</v>
      </c>
      <c r="HK251" s="224">
        <f t="shared" si="1716"/>
        <v>35</v>
      </c>
      <c r="HL251" s="237">
        <f>HA251*POWER(KLslave,SIGN(HB251))*POWER(INslave,SIGN(HC251))*POWER(CHslave,SIGN(HD251))*POWER(FFslave,SIGN(HE251))*POWER(GEslave,SIGN(HF251))*POWER(KOslave_KO,SIGN(HG251))*POWER(KKslave,SIGN(HH251))+HB251*POWER(MUslave,SIGN(HA251))*POWER(INslave,SIGN(HC251))*POWER(CHslave,SIGN(HD251))*POWER(FFslave,SIGN(HE251))*POWER(GEslave,SIGN(HF251))*POWER(KOslave_KO,SIGN(HG251))*POWER(KKslave,SIGN(HH251))+HC251*POWER(MUslave,SIGN(HA251))*POWER(KLslave,SIGN(HB251))*POWER(CHslave,SIGN(HD251))*POWER(FFslave,SIGN(HE251))*POWER(GEslave,SIGN(HF251))*POWER(KOslave_KO,SIGN(HG251))*POWER(KKslave,SIGN(HH251))+HD251*POWER(MUslave,SIGN(HA251))*POWER(KLslave,SIGN(HB251))*POWER(INslave,SIGN(HC251))*POWER(FFslave,SIGN(HE251))*POWER(GEslave,SIGN(HF251))*POWER(KOslave_KO,SIGN(HG251))*POWER(KKslave,SIGN(HH251))+HE251*POWER(MUslave,SIGN(HA251))*POWER(KLslave,SIGN(HB251))*POWER(INslave,SIGN(HC251))*POWER(CHslave,SIGN(HD251))*POWER(GEslave,SIGN(HF251))*POWER(KOslave_KO,SIGN(HG251))*POWER(KKslave,SIGN(HH251))+HF251*POWER(MUslave,SIGN(HA251))*POWER(KLslave,SIGN(HB251))*POWER(INslave,SIGN(HC251))*POWER(CHslave,SIGN(HD251))*POWER(FFslave,SIGN(HE251))*POWER(KOslave_KO,SIGN(HG251))*POWER(KKslave,SIGN(HH251))+HG251*POWER(MUslave,SIGN(HA251))*POWER(KLslave,SIGN(HB251))*POWER(INslave,SIGN(HC251))*POWER(CHslave,SIGN(HD251))*POWER(FFslave,SIGN(HE251))*POWER(GEslave,SIGN(HF251))*POWER(KKslave,SIGN(HH251))+HH251*POWER(MUslave,SIGN(HA251))*POWER(KLslave,SIGN(HB251))*POWER(INslave,SIGN(HC251))*POWER(CHslave,SIGN(HD251))*POWER(FFslave,SIGN(HE251))*POWER(GEslave,SIGN(HF251))*POWER(KOslave_KO,SIGN(HG251))</f>
        <v>2432</v>
      </c>
      <c r="HM251" s="234">
        <f>HB251*HC251*KOslave_KO+HB251*INslave*HG251+KLslave*HC251*HG251</f>
        <v>3408</v>
      </c>
      <c r="HN251" s="224">
        <f>IFERROR(HA251^SIGN(HA251),1)*IFERROR(HB251^SIGN(HB251),1)*IFERROR(HC251^SIGN(HC251),1)*IFERROR(HD251^SIGN(HD251),1)*IFERROR(HE251^SIGN(HE251),1)*IFERROR(HF251^SIGN(HF251),1)*IFERROR(HG251^SIGN(HG251),1)*IFERROR(HH251^SIGN(HH251),1)</f>
        <v>1584</v>
      </c>
      <c r="HO251" s="224">
        <f t="shared" si="1791"/>
        <v>7424</v>
      </c>
      <c r="HP251" s="222">
        <f t="shared" si="1719"/>
        <v>3.8218390804597702</v>
      </c>
      <c r="HQ251" s="223">
        <f t="shared" si="1720"/>
        <v>10.711206896551724</v>
      </c>
      <c r="HR251" s="243">
        <f t="shared" si="1721"/>
        <v>7.4676724137931032</v>
      </c>
      <c r="HS251" s="243">
        <f t="shared" si="1722"/>
        <v>22.000718390804597</v>
      </c>
      <c r="HT251" s="252">
        <f t="shared" si="1610"/>
        <v>0</v>
      </c>
      <c r="HU251" s="309">
        <f t="shared" si="1723"/>
        <v>22.000718390804597</v>
      </c>
      <c r="HV251" s="218">
        <f>IF(HS251&lt;=0,1,0)+IF(HS251&gt;0,HS251+1,0)*1+IF(HS251&gt;12,HS251-12,0)*1+IF(HS251&gt;13,HS251-13,0)*1+IF(HS251&gt;14,HS251-14,0)*1+IF(HS251&gt;15,HS251-15,0)*1+IF(HS251&gt;16,HS251-16,0)*1+IF(HS251&gt;17,HS251-17,0)*1+IF(HS251&gt;18,HS251-18,0)*1+IF(HS251&gt;19,HS251-19,0)*1+IF(HS251&gt;20,HS251-20,0)*1</f>
        <v>77.007183908045945</v>
      </c>
      <c r="HW251" s="242">
        <f>IF(HT251&lt;=0,1,0)+IF(HT251&gt;0,HT251+1,0)*1+IF(HT251&gt;12,HT251-12,0)*1+IF(HT251&gt;13,HT251-13,0)*1+IF(HT251&gt;14,HT251-14,0)*1+IF(HT251&gt;15,HT251-15,0)*1+IF(HT251&gt;16,HT251-16,0)*1+IF(HT251&gt;17,HT251-17,0)*1+IF(HT251&gt;18,HT251-18,0)*1+IF(HT251&gt;19,HT251-19,0)*1+IF(HT251&gt;20,HT251-20,0)*1</f>
        <v>1</v>
      </c>
      <c r="HX251" s="243">
        <f t="shared" si="1724"/>
        <v>76.007183908045945</v>
      </c>
      <c r="HY251" s="218">
        <f t="shared" si="1725"/>
        <v>0</v>
      </c>
      <c r="IA251" s="303" t="s">
        <v>221</v>
      </c>
      <c r="IB251" s="218" t="s">
        <v>226</v>
      </c>
      <c r="IC251" s="243" t="s">
        <v>133</v>
      </c>
      <c r="ID251" s="237"/>
      <c r="IE251" s="234">
        <f>Konvention_1slave-KLslave</f>
        <v>12</v>
      </c>
      <c r="IF251" s="234">
        <f>Konvention_1slave-INslave</f>
        <v>12</v>
      </c>
      <c r="IG251" s="234"/>
      <c r="IH251" s="234"/>
      <c r="II251" s="234"/>
      <c r="IJ251" s="234">
        <f>Konvention_1slave-KOslave</f>
        <v>12</v>
      </c>
      <c r="IK251" s="224"/>
      <c r="IL251" s="223">
        <f>(ID251+IE251+IF251+IG251+IH251+II251+IJ251+IK251)/3</f>
        <v>12</v>
      </c>
      <c r="IM251" s="223">
        <f t="shared" si="1727"/>
        <v>24</v>
      </c>
      <c r="IN251" s="224">
        <f t="shared" si="1728"/>
        <v>36</v>
      </c>
      <c r="IO251" s="237">
        <f>ID251*POWER(KLslave,SIGN(IE251))*POWER(INslave,SIGN(IF251))*POWER(CHslave,SIGN(IG251))*POWER(FFslave,SIGN(IH251))*POWER(GEslave,SIGN(II251))*POWER(KOslave,SIGN(IJ251))*POWER(KKslave_KK,SIGN(IK251))+IE251*POWER(MUslave,SIGN(ID251))*POWER(INslave,SIGN(IF251))*POWER(CHslave,SIGN(IG251))*POWER(FFslave,SIGN(IH251))*POWER(GEslave,SIGN(II251))*POWER(KOslave,SIGN(IJ251))*POWER(KKslave_KK,SIGN(IK251))+IF251*POWER(MUslave,SIGN(ID251))*POWER(KLslave,SIGN(IE251))*POWER(CHslave,SIGN(IG251))*POWER(FFslave,SIGN(IH251))*POWER(GEslave,SIGN(II251))*POWER(KOslave,SIGN(IJ251))*POWER(KKslave_KK,SIGN(IK251))+IG251*POWER(MUslave,SIGN(ID251))*POWER(KLslave,SIGN(IE251))*POWER(INslave,SIGN(IF251))*POWER(FFslave,SIGN(IH251))*POWER(GEslave,SIGN(II251))*POWER(KOslave,SIGN(IJ251))*POWER(KKslave_KK,SIGN(IK251))+IH251*POWER(MUslave,SIGN(ID251))*POWER(KLslave,SIGN(IE251))*POWER(INslave,SIGN(IF251))*POWER(CHslave,SIGN(IG251))*POWER(GEslave,SIGN(II251))*POWER(KOslave,SIGN(IJ251))*POWER(KKslave_KK,SIGN(IK251))+II251*POWER(MUslave,SIGN(ID251))*POWER(KLslave,SIGN(IE251))*POWER(INslave,SIGN(IF251))*POWER(CHslave,SIGN(IG251))*POWER(FFslave,SIGN(IH251))*POWER(KOslave,SIGN(IJ251))*POWER(KKslave_KK,SIGN(IK251))+IJ251*POWER(MUslave,SIGN(ID251))*POWER(KLslave,SIGN(IE251))*POWER(INslave,SIGN(IF251))*POWER(CHslave,SIGN(IG251))*POWER(FFslave,SIGN(IH251))*POWER(GEslave,SIGN(II251))*POWER(KKslave_KK,SIGN(IK251))+IK251*POWER(MUslave,SIGN(ID251))*POWER(KLslave,SIGN(IE251))*POWER(INslave,SIGN(IF251))*POWER(CHslave,SIGN(IG251))*POWER(FFslave,SIGN(IH251))*POWER(GEslave,SIGN(II251))*POWER(KOslave,SIGN(IJ251))</f>
        <v>2304</v>
      </c>
      <c r="IP251" s="234">
        <f>IE251*IF251*KOslave+IE251*INslave*IJ251+KLslave*IF251*IJ251</f>
        <v>3456</v>
      </c>
      <c r="IQ251" s="224">
        <f>IFERROR(ID251^SIGN(ID251),1)*IFERROR(IE251^SIGN(IE251),1)*IFERROR(IF251^SIGN(IF251),1)*IFERROR(IG251^SIGN(IG251),1)*IFERROR(IH251^SIGN(IH251),1)*IFERROR(II251^SIGN(II251),1)*IFERROR(IJ251^SIGN(IJ251),1)*IFERROR(IK251^SIGN(IK251),1)</f>
        <v>1728</v>
      </c>
      <c r="IR251" s="224">
        <f t="shared" si="1792"/>
        <v>7488</v>
      </c>
      <c r="IS251" s="222">
        <f t="shared" si="1731"/>
        <v>3.6923076923076925</v>
      </c>
      <c r="IT251" s="223">
        <f t="shared" si="1732"/>
        <v>11.076923076923077</v>
      </c>
      <c r="IU251" s="243">
        <f t="shared" si="1733"/>
        <v>8.3076923076923084</v>
      </c>
      <c r="IV251" s="243">
        <f t="shared" si="1734"/>
        <v>23.07692307692308</v>
      </c>
      <c r="IW251" s="252">
        <f t="shared" si="1612"/>
        <v>0</v>
      </c>
      <c r="IX251" s="309">
        <f t="shared" si="1735"/>
        <v>23.07692307692308</v>
      </c>
      <c r="IY251" s="218">
        <f>IF(IV251&lt;=0,1,0)+IF(IV251&gt;0,IV251+1,0)*1+IF(IV251&gt;12,IV251-12,0)*1+IF(IV251&gt;13,IV251-13,0)*1+IF(IV251&gt;14,IV251-14,0)*1+IF(IV251&gt;15,IV251-15,0)*1+IF(IV251&gt;16,IV251-16,0)*1+IF(IV251&gt;17,IV251-17,0)*1+IF(IV251&gt;18,IV251-18,0)*1+IF(IV251&gt;19,IV251-19,0)*1+IF(IV251&gt;20,IV251-20,0)*1</f>
        <v>87.769230769230802</v>
      </c>
      <c r="IZ251" s="242">
        <f>IF(IW251&lt;=0,1,0)+IF(IW251&gt;0,IW251+1,0)*1+IF(IW251&gt;12,IW251-12,0)*1+IF(IW251&gt;13,IW251-13,0)*1+IF(IW251&gt;14,IW251-14,0)*1+IF(IW251&gt;15,IW251-15,0)*1+IF(IW251&gt;16,IW251-16,0)*1+IF(IW251&gt;17,IW251-17,0)*1+IF(IW251&gt;18,IW251-18,0)*1+IF(IW251&gt;19,IW251-19,0)*1+IF(IW251&gt;20,IW251-20,0)*1</f>
        <v>1</v>
      </c>
      <c r="JA251" s="243">
        <f t="shared" si="1736"/>
        <v>86.769230769230802</v>
      </c>
      <c r="JB251" s="218">
        <f t="shared" si="1737"/>
        <v>0</v>
      </c>
      <c r="JE251" s="148"/>
    </row>
    <row r="252" spans="2:265" ht="15" hidden="1" customHeight="1" outlineLevel="2">
      <c r="B252" s="148">
        <v>40</v>
      </c>
      <c r="C252" s="303" t="e">
        <f>VLOOKUP(AF252,Attribute!C:T,1,FALSE)</f>
        <v>#N/A</v>
      </c>
      <c r="D252" s="86" t="s">
        <v>86</v>
      </c>
      <c r="E252" s="127" t="s">
        <v>133</v>
      </c>
      <c r="F252" s="114">
        <f>Konvention_1master-MUmaster</f>
        <v>12</v>
      </c>
      <c r="G252" s="113"/>
      <c r="H252" s="113">
        <f>Konvention_1master-INmaster</f>
        <v>12</v>
      </c>
      <c r="I252" s="113">
        <f>Konvention_1master-CHmaster</f>
        <v>12</v>
      </c>
      <c r="J252" s="113"/>
      <c r="K252" s="113"/>
      <c r="L252" s="113"/>
      <c r="M252" s="119"/>
      <c r="N252" s="223">
        <f>(F252+G252+H252+I252+J252+K252+L252+M252)/3</f>
        <v>12</v>
      </c>
      <c r="O252" s="223">
        <f t="shared" si="1630"/>
        <v>24</v>
      </c>
      <c r="P252" s="224">
        <f t="shared" si="1631"/>
        <v>36</v>
      </c>
      <c r="Q252" s="237">
        <f>F252*POWER(KLmaster,SIGN(G252))*POWER(INmaster,SIGN(H252))*POWER(CHmaster,SIGN(I252))*POWER(FFmaster,SIGN(J252))*POWER(GEmaster,SIGN(K252))*POWER(KOmaster,SIGN(L252))*POWER(KKmaster,SIGN(M252))+G252*POWER(MUmaster,SIGN(F252))*POWER(INmaster,SIGN(H252))*POWER(CHmaster,SIGN(I252))*POWER(FFmaster,SIGN(J252))*POWER(GEmaster,SIGN(K252))*POWER(KOmaster,SIGN(L252))*POWER(KKmaster,SIGN(M252))+H252*POWER(MUmaster,SIGN(F252))*POWER(KLmaster,SIGN(G252))*POWER(CHmaster,SIGN(I252))*POWER(FFmaster,SIGN(J252))*POWER(GEmaster,SIGN(K252))*POWER(KOmaster,SIGN(L252))*POWER(KKmaster,SIGN(M252))+I252*POWER(MUmaster,SIGN(F252))*POWER(KLmaster,SIGN(G252))*POWER(INmaster,SIGN(H252))*POWER(FFmaster,SIGN(J252))*POWER(GEmaster,SIGN(K252))*POWER(KOmaster,SIGN(L252))*POWER(KKmaster,SIGN(M252))+J252*POWER(MUmaster,SIGN(F252))*POWER(KLmaster,SIGN(G252))*POWER(INmaster,SIGN(H252))*POWER(CHmaster,SIGN(I252))*POWER(GEmaster,SIGN(K252))*POWER(KOmaster,SIGN(L252))*POWER(KKmaster,SIGN(M252))+K252*POWER(MUmaster,SIGN(F252))*POWER(KLmaster,SIGN(G252))*POWER(INmaster,SIGN(H252))*POWER(CHmaster,SIGN(I252))*POWER(FFmaster,SIGN(J252))*POWER(KOmaster,SIGN(L252))*POWER(KKmaster,SIGN(M252))+L252*POWER(MUmaster,SIGN(F252))*POWER(KLmaster,SIGN(G252))*POWER(INmaster,SIGN(H252))*POWER(CHmaster,SIGN(I252))*POWER(FFmaster,SIGN(J252))*POWER(GEmaster,SIGN(K252))*POWER(KKmaster,SIGN(M252))+M252*POWER(MUmaster,SIGN(F252))*POWER(KLmaster,SIGN(G252))*POWER(INmaster,SIGN(H252))*POWER(CHmaster,SIGN(I252))*POWER(FFmaster,SIGN(J252))*POWER(GEmaster,SIGN(K252))*POWER(KOmaster,SIGN(L252))</f>
        <v>2304</v>
      </c>
      <c r="R252" s="113">
        <f>F252*H252*CHmaster+F252*INmaster*I252+MUmaster*H252*I252</f>
        <v>3456</v>
      </c>
      <c r="S252" s="224">
        <f>IFERROR(F252^SIGN(F252),1)*IFERROR(G252^SIGN(G252),1)*IFERROR(H252^SIGN(H252),1)*IFERROR(I252^SIGN(I252),1)*IFERROR(J252^SIGN(J252),1)*IFERROR(K252^SIGN(K252),1)*IFERROR(L252^SIGN(L252),1)*IFERROR(M252^SIGN(M252),1)</f>
        <v>1728</v>
      </c>
      <c r="T252" s="224">
        <f>SUM(Q252:S252)</f>
        <v>7488</v>
      </c>
      <c r="U252" s="222">
        <f>N252*Q252/T252</f>
        <v>3.6923076923076925</v>
      </c>
      <c r="V252" s="223">
        <f>O252*R252/T252</f>
        <v>11.076923076923077</v>
      </c>
      <c r="W252" s="243">
        <f>P252*S252/T252</f>
        <v>8.3076923076923084</v>
      </c>
      <c r="X252" s="243">
        <f>SUM(U252:W252)</f>
        <v>23.07692307692308</v>
      </c>
      <c r="Y252" s="252">
        <v>0</v>
      </c>
      <c r="Z252" s="198">
        <f>X252-Y252</f>
        <v>23.07692307692308</v>
      </c>
      <c r="AA252" s="125">
        <f>IF(X252&lt;=0,1,0)+IF(X252&gt;0,X252+1,0)*1+IF(X252&gt;12,X252-12,0)*1+IF(X252&gt;13,X252-13,0)*1+IF(X252&gt;14,X252-14,0)*1+IF(X252&gt;15,X252-15,0)*1+IF(X252&gt;16,X252-16,0)*1+IF(X252&gt;17,X252-17,0)*1+IF(X252&gt;18,X252-18,0)*1+IF(X252&gt;19,X252-19,0)*1+IF(X252&gt;20,X252-20,0)*1</f>
        <v>87.769230769230802</v>
      </c>
      <c r="AB252" s="160">
        <f>IF(Y252&lt;=0,1,0)+IF(Y252&gt;0,Y252+1,0)*1+IF(Y252&gt;12,Y252-12,0)*1+IF(Y252&gt;13,Y252-13,0)*1+IF(Y252&gt;14,Y252-14,0)*1+IF(Y252&gt;15,Y252-15,0)*1+IF(Y252&gt;16,Y252-16,0)*1+IF(Y252&gt;17,Y252-17,0)*1+IF(Y252&gt;18,Y252-18,0)*1+IF(Y252&gt;19,Y252-19,0)*1+IF(Y252&gt;20,Y252-20,0)*1</f>
        <v>1</v>
      </c>
      <c r="AC252" s="127">
        <f t="shared" si="1640"/>
        <v>86.769230769230802</v>
      </c>
      <c r="AD252" s="125">
        <f t="shared" si="1641"/>
        <v>0</v>
      </c>
      <c r="AF252" s="163" t="s">
        <v>377</v>
      </c>
      <c r="AG252" s="86" t="s">
        <v>86</v>
      </c>
      <c r="AH252" s="127" t="s">
        <v>133</v>
      </c>
      <c r="AI252" s="114">
        <f>Konvention_1slave-MUslave_MU</f>
        <v>11</v>
      </c>
      <c r="AJ252" s="113"/>
      <c r="AK252" s="113">
        <f>Konvention_1slave-INslave</f>
        <v>12</v>
      </c>
      <c r="AL252" s="113">
        <f>Konvention_1slave-CHslave</f>
        <v>12</v>
      </c>
      <c r="AM252" s="113"/>
      <c r="AN252" s="113"/>
      <c r="AO252" s="113"/>
      <c r="AP252" s="119"/>
      <c r="AQ252" s="47">
        <f>(AI252+AJ252+AK252+AL252+AM252+AN252+AO252+AP252)/3</f>
        <v>11.666666666666666</v>
      </c>
      <c r="AR252" s="3">
        <f t="shared" si="1643"/>
        <v>23.333333333333332</v>
      </c>
      <c r="AS252" s="174">
        <f t="shared" si="1644"/>
        <v>35</v>
      </c>
      <c r="AT252" s="114">
        <f>AI252*POWER(KLslave,SIGN(AJ252))*POWER(INslave,SIGN(AK252))*POWER(CHslave,SIGN(AL252))*POWER(FFslave,SIGN(AM252))*POWER(GEslave,SIGN(AN252))*POWER(KOslave,SIGN(AO252))*POWER(KKslave,SIGN(AP252))+AJ252*POWER(MUslave_MU,SIGN(AI252))*POWER(INslave,SIGN(AK252))*POWER(CHslave,SIGN(AL252))*POWER(FFslave,SIGN(AM252))*POWER(GEslave,SIGN(AN252))*POWER(KOslave,SIGN(AO252))*POWER(KKslave,SIGN(AP252))+AK252*POWER(MUslave_MU,SIGN(AI252))*POWER(KLslave,SIGN(AJ252))*POWER(CHslave,SIGN(AL252))*POWER(FFslave,SIGN(AM252))*POWER(GEslave,SIGN(AN252))*POWER(KOslave,SIGN(AO252))*POWER(KKslave,SIGN(AP252))+AL252*POWER(MUslave_MU,SIGN(AI252))*POWER(KLslave,SIGN(AJ252))*POWER(INslave,SIGN(AK252))*POWER(FFslave,SIGN(AM252))*POWER(GEslave,SIGN(AN252))*POWER(KOslave,SIGN(AO252))*POWER(KKslave,SIGN(AP252))+AM252*POWER(MUslave_MU,SIGN(AI252))*POWER(KLslave,SIGN(AJ252))*POWER(INslave,SIGN(AK252))*POWER(CHslave,SIGN(AL252))*POWER(GEslave,SIGN(AN252))*POWER(KOslave,SIGN(AO252))*POWER(KKslave,SIGN(AP252))+AN252*POWER(MUslave_MU,SIGN(AI252))*POWER(KLslave,SIGN(AJ252))*POWER(INslave,SIGN(AK252))*POWER(CHslave,SIGN(AL252))*POWER(FFslave,SIGN(AM252))*POWER(KOslave,SIGN(AO252))*POWER(KKslave,SIGN(AP252))+AO252*POWER(MUslave_MU,SIGN(AI252))*POWER(KLslave,SIGN(AJ252))*POWER(INslave,SIGN(AK252))*POWER(CHslave,SIGN(AL252))*POWER(FFslave,SIGN(AM252))*POWER(GEslave,SIGN(AN252))*POWER(KKslave,SIGN(AP252))+AP252*POWER(MUslave_MU,SIGN(AI252))*POWER(KLslave,SIGN(AJ252))*POWER(INslave,SIGN(AK252))*POWER(CHslave,SIGN(AL252))*POWER(FFslave,SIGN(AM252))*POWER(GEslave,SIGN(AN252))*POWER(KOslave,SIGN(AO252))</f>
        <v>2432</v>
      </c>
      <c r="AU252" s="113">
        <f>AI252*AK252*CHslave+AI252*INslave*AL252+MUslave_MU*AK252*AL252</f>
        <v>3408</v>
      </c>
      <c r="AV252" s="119">
        <f>IFERROR(AI252^SIGN(AI252),1)*IFERROR(AJ252^SIGN(AJ252),1)*IFERROR(AK252^SIGN(AK252),1)*IFERROR(AL252^SIGN(AL252),1)*IFERROR(AM252^SIGN(AM252),1)*IFERROR(AN252^SIGN(AN252),1)*IFERROR(AO252^SIGN(AO252),1)*IFERROR(AP252^SIGN(AP252),1)</f>
        <v>1584</v>
      </c>
      <c r="AW252" s="119">
        <f t="shared" si="1785"/>
        <v>7424</v>
      </c>
      <c r="AX252" s="89">
        <f>AQ252*AT252/AW252</f>
        <v>3.8218390804597702</v>
      </c>
      <c r="AY252" s="47">
        <f>AR252*AU252/AW252</f>
        <v>10.711206896551724</v>
      </c>
      <c r="AZ252" s="127">
        <f>AS252*AV252/AW252</f>
        <v>7.4676724137931032</v>
      </c>
      <c r="BA252" s="127">
        <f>SUM(AX252:AZ252)</f>
        <v>22.000718390804597</v>
      </c>
      <c r="BB252" s="165">
        <f t="shared" si="1598"/>
        <v>0</v>
      </c>
      <c r="BC252" s="198">
        <f t="shared" si="1651"/>
        <v>22.000718390804597</v>
      </c>
      <c r="BD252" s="125">
        <f>IF(BA252&lt;=0,1,0)+IF(BA252&gt;0,BA252+1,0)*1+IF(BA252&gt;12,BA252-12,0)*1+IF(BA252&gt;13,BA252-13,0)*1+IF(BA252&gt;14,BA252-14,0)*1+IF(BA252&gt;15,BA252-15,0)*1+IF(BA252&gt;16,BA252-16,0)*1+IF(BA252&gt;17,BA252-17,0)*1+IF(BA252&gt;18,BA252-18,0)*1+IF(BA252&gt;19,BA252-19,0)*1+IF(BA252&gt;20,BA252-20,0)*1</f>
        <v>77.007183908045945</v>
      </c>
      <c r="BE252" s="160">
        <f>IF(BB252&lt;=0,1,0)+IF(BB252&gt;0,BB252+1,0)*1+IF(BB252&gt;12,BB252-12,0)*1+IF(BB252&gt;13,BB252-13,0)*1+IF(BB252&gt;14,BB252-14,0)*1+IF(BB252&gt;15,BB252-15,0)*1+IF(BB252&gt;16,BB252-16,0)*1+IF(BB252&gt;17,BB252-17,0)*1+IF(BB252&gt;18,BB252-18,0)*1+IF(BB252&gt;19,BB252-19,0)*1+IF(BB252&gt;20,BB252-20,0)*1</f>
        <v>1</v>
      </c>
      <c r="BF252" s="243">
        <f t="shared" si="1652"/>
        <v>76.007183908045945</v>
      </c>
      <c r="BG252" s="218">
        <f t="shared" si="1653"/>
        <v>0</v>
      </c>
      <c r="BI252" s="303" t="s">
        <v>377</v>
      </c>
      <c r="BJ252" s="304" t="s">
        <v>86</v>
      </c>
      <c r="BK252" s="243" t="s">
        <v>133</v>
      </c>
      <c r="BL252" s="237">
        <f>Konvention_1slave-MUslave</f>
        <v>12</v>
      </c>
      <c r="BM252" s="234"/>
      <c r="BN252" s="234">
        <f>Konvention_1slave-INslave</f>
        <v>12</v>
      </c>
      <c r="BO252" s="234">
        <f>Konvention_1slave-CHslave</f>
        <v>12</v>
      </c>
      <c r="BP252" s="234"/>
      <c r="BQ252" s="234"/>
      <c r="BR252" s="234"/>
      <c r="BS252" s="224"/>
      <c r="BT252" s="223">
        <f>(BL252+BM252+BN252+BO252+BP252+BQ252+BR252+BS252)/3</f>
        <v>12</v>
      </c>
      <c r="BU252" s="223">
        <f t="shared" si="1655"/>
        <v>24</v>
      </c>
      <c r="BV252" s="224">
        <f t="shared" si="1656"/>
        <v>36</v>
      </c>
      <c r="BW252" s="237">
        <f>BL252*POWER(KLslave_KL,SIGN(BM252))*POWER(INslave,SIGN(BN252))*POWER(CHslave,SIGN(BO252))*POWER(FFslave,SIGN(BP252))*POWER(GEslave,SIGN(BQ252))*POWER(KOslave,SIGN(BR252))*POWER(KKslave,SIGN(BS252))+BM252*POWER(MUslave,SIGN(BL252))*POWER(INslave,SIGN(BN252))*POWER(CHslave,SIGN(BO252))*POWER(FFslave,SIGN(BP252))*POWER(GEslave,SIGN(BQ252))*POWER(KOslave,SIGN(BR252))*POWER(KKslave,SIGN(BS252))+BN252*POWER(MUslave,SIGN(BL252))*POWER(KLslave_KL,SIGN(BM252))*POWER(CHslave,SIGN(BO252))*POWER(FFslave,SIGN(BP252))*POWER(GEslave,SIGN(BQ252))*POWER(KOslave,SIGN(BR252))*POWER(KKslave,SIGN(BS252))+BO252*POWER(MUslave,SIGN(BL252))*POWER(KLslave_KL,SIGN(BM252))*POWER(INslave,SIGN(BN252))*POWER(FFslave,SIGN(BP252))*POWER(GEslave,SIGN(BQ252))*POWER(KOslave,SIGN(BR252))*POWER(KKslave,SIGN(BS252))+BP252*POWER(MUslave,SIGN(BL252))*POWER(KLslave_KL,SIGN(BM252))*POWER(INslave,SIGN(BN252))*POWER(CHslave,SIGN(BO252))*POWER(GEslave,SIGN(BQ252))*POWER(KOslave,SIGN(BR252))*POWER(KKslave,SIGN(BS252))+BQ252*POWER(MUslave,SIGN(BL252))*POWER(KLslave_KL,SIGN(BM252))*POWER(INslave,SIGN(BN252))*POWER(CHslave,SIGN(BO252))*POWER(FFslave,SIGN(BP252))*POWER(KOslave,SIGN(BR252))*POWER(KKslave,SIGN(BS252))+BR252*POWER(MUslave,SIGN(BL252))*POWER(KLslave_KL,SIGN(BM252))*POWER(INslave,SIGN(BN252))*POWER(CHslave,SIGN(BO252))*POWER(FFslave,SIGN(BP252))*POWER(GEslave,SIGN(BQ252))*POWER(KKslave,SIGN(BS252))+BS252*POWER(MUslave,SIGN(BL252))*POWER(KLslave_KL,SIGN(BM252))*POWER(INslave,SIGN(BN252))*POWER(CHslave,SIGN(BO252))*POWER(FFslave,SIGN(BP252))*POWER(GEslave,SIGN(BQ252))*POWER(KOslave,SIGN(BR252))</f>
        <v>2304</v>
      </c>
      <c r="BX252" s="234">
        <f>BL252*BN252*CHslave+BL252*INslave*BO252+MUslave*BN252*BO252</f>
        <v>3456</v>
      </c>
      <c r="BY252" s="224">
        <f>IFERROR(BL252^SIGN(BL252),1)*IFERROR(BM252^SIGN(BM252),1)*IFERROR(BN252^SIGN(BN252),1)*IFERROR(BO252^SIGN(BO252),1)*IFERROR(BP252^SIGN(BP252),1)*IFERROR(BQ252^SIGN(BQ252),1)*IFERROR(BR252^SIGN(BR252),1)*IFERROR(BS252^SIGN(BS252),1)</f>
        <v>1728</v>
      </c>
      <c r="BZ252" s="224">
        <f t="shared" si="1786"/>
        <v>7488</v>
      </c>
      <c r="CA252" s="222">
        <f>BT252*BW252/BZ252</f>
        <v>3.6923076923076925</v>
      </c>
      <c r="CB252" s="223">
        <f>BU252*BX252/BZ252</f>
        <v>11.076923076923077</v>
      </c>
      <c r="CC252" s="243">
        <f>BV252*BY252/BZ252</f>
        <v>8.3076923076923084</v>
      </c>
      <c r="CD252" s="243">
        <f>SUM(CA252:CC252)</f>
        <v>23.07692307692308</v>
      </c>
      <c r="CE252" s="252">
        <f t="shared" si="1600"/>
        <v>0</v>
      </c>
      <c r="CF252" s="309">
        <f t="shared" si="1663"/>
        <v>23.07692307692308</v>
      </c>
      <c r="CG252" s="218">
        <f>IF(CD252&lt;=0,1,0)+IF(CD252&gt;0,CD252+1,0)*1+IF(CD252&gt;12,CD252-12,0)*1+IF(CD252&gt;13,CD252-13,0)*1+IF(CD252&gt;14,CD252-14,0)*1+IF(CD252&gt;15,CD252-15,0)*1+IF(CD252&gt;16,CD252-16,0)*1+IF(CD252&gt;17,CD252-17,0)*1+IF(CD252&gt;18,CD252-18,0)*1+IF(CD252&gt;19,CD252-19,0)*1+IF(CD252&gt;20,CD252-20,0)*1</f>
        <v>87.769230769230802</v>
      </c>
      <c r="CH252" s="242">
        <f>IF(CE252&lt;=0,1,0)+IF(CE252&gt;0,CE252+1,0)*1+IF(CE252&gt;12,CE252-12,0)*1+IF(CE252&gt;13,CE252-13,0)*1+IF(CE252&gt;14,CE252-14,0)*1+IF(CE252&gt;15,CE252-15,0)*1+IF(CE252&gt;16,CE252-16,0)*1+IF(CE252&gt;17,CE252-17,0)*1+IF(CE252&gt;18,CE252-18,0)*1+IF(CE252&gt;19,CE252-19,0)*1+IF(CE252&gt;20,CE252-20,0)*1</f>
        <v>1</v>
      </c>
      <c r="CI252" s="243">
        <f t="shared" si="1664"/>
        <v>86.769230769230802</v>
      </c>
      <c r="CJ252" s="218">
        <f t="shared" si="1665"/>
        <v>0</v>
      </c>
      <c r="CL252" s="303" t="s">
        <v>377</v>
      </c>
      <c r="CM252" s="304" t="s">
        <v>86</v>
      </c>
      <c r="CN252" s="243" t="s">
        <v>133</v>
      </c>
      <c r="CO252" s="237">
        <f>Konvention_1slave-MUslave</f>
        <v>12</v>
      </c>
      <c r="CP252" s="234"/>
      <c r="CQ252" s="234">
        <f>Konvention_1slave-INslave_IN</f>
        <v>11</v>
      </c>
      <c r="CR252" s="234">
        <f>Konvention_1slave-CHslave</f>
        <v>12</v>
      </c>
      <c r="CS252" s="234"/>
      <c r="CT252" s="234"/>
      <c r="CU252" s="234"/>
      <c r="CV252" s="224"/>
      <c r="CW252" s="223">
        <f>(CO252+CP252+CQ252+CR252+CS252+CT252+CU252+CV252)/3</f>
        <v>11.666666666666666</v>
      </c>
      <c r="CX252" s="223">
        <f t="shared" si="1667"/>
        <v>23.333333333333332</v>
      </c>
      <c r="CY252" s="224">
        <f t="shared" si="1668"/>
        <v>35</v>
      </c>
      <c r="CZ252" s="237">
        <f>CO252*POWER(KLslave,SIGN(CP252))*POWER(INslave_IN,SIGN(CQ252))*POWER(CHslave,SIGN(CR252))*POWER(FFslave,SIGN(CS252))*POWER(GEslave,SIGN(CT252))*POWER(KOslave,SIGN(CU252))*POWER(KKslave,SIGN(CV252))+CP252*POWER(MUslave,SIGN(CO252))*POWER(INslave_IN,SIGN(CQ252))*POWER(CHslave,SIGN(CR252))*POWER(FFslave,SIGN(CS252))*POWER(GEslave,SIGN(CT252))*POWER(KOslave,SIGN(CU252))*POWER(KKslave,SIGN(CV252))+CQ252*POWER(MUslave,SIGN(CO252))*POWER(KLslave,SIGN(CP252))*POWER(CHslave,SIGN(CR252))*POWER(FFslave,SIGN(CS252))*POWER(GEslave,SIGN(CT252))*POWER(KOslave,SIGN(CU252))*POWER(KKslave,SIGN(CV252))+CR252*POWER(MUslave,SIGN(CO252))*POWER(KLslave,SIGN(CP252))*POWER(INslave_IN,SIGN(CQ252))*POWER(FFslave,SIGN(CS252))*POWER(GEslave,SIGN(CT252))*POWER(KOslave,SIGN(CU252))*POWER(KKslave,SIGN(CV252))+CS252*POWER(MUslave,SIGN(CO252))*POWER(KLslave,SIGN(CP252))*POWER(INslave_IN,SIGN(CQ252))*POWER(CHslave,SIGN(CR252))*POWER(GEslave,SIGN(CT252))*POWER(KOslave,SIGN(CU252))*POWER(KKslave,SIGN(CV252))+CT252*POWER(MUslave,SIGN(CO252))*POWER(KLslave,SIGN(CP252))*POWER(INslave_IN,SIGN(CQ252))*POWER(CHslave,SIGN(CR252))*POWER(FFslave,SIGN(CS252))*POWER(KOslave,SIGN(CU252))*POWER(KKslave,SIGN(CV252))+CU252*POWER(MUslave,SIGN(CO252))*POWER(KLslave,SIGN(CP252))*POWER(INslave_IN,SIGN(CQ252))*POWER(CHslave,SIGN(CR252))*POWER(FFslave,SIGN(CS252))*POWER(GEslave,SIGN(CT252))*POWER(KKslave,SIGN(CV252))+CV252*POWER(MUslave,SIGN(CO252))*POWER(KLslave,SIGN(CP252))*POWER(INslave_IN,SIGN(CQ252))*POWER(CHslave,SIGN(CR252))*POWER(FFslave,SIGN(CS252))*POWER(GEslave,SIGN(CT252))*POWER(KOslave,SIGN(CU252))</f>
        <v>2432</v>
      </c>
      <c r="DA252" s="234">
        <f>CO252*CQ252*CHslave+CO252*INslave_IN*CR252+MUslave*CQ252*CR252</f>
        <v>3408</v>
      </c>
      <c r="DB252" s="224">
        <f>IFERROR(CO252^SIGN(CO252),1)*IFERROR(CP252^SIGN(CP252),1)*IFERROR(CQ252^SIGN(CQ252),1)*IFERROR(CR252^SIGN(CR252),1)*IFERROR(CS252^SIGN(CS252),1)*IFERROR(CT252^SIGN(CT252),1)*IFERROR(CU252^SIGN(CU252),1)*IFERROR(CV252^SIGN(CV252),1)</f>
        <v>1584</v>
      </c>
      <c r="DC252" s="224">
        <f t="shared" si="1787"/>
        <v>7424</v>
      </c>
      <c r="DD252" s="222">
        <f>CW252*CZ252/DC252</f>
        <v>3.8218390804597702</v>
      </c>
      <c r="DE252" s="223">
        <f>CX252*DA252/DC252</f>
        <v>10.711206896551724</v>
      </c>
      <c r="DF252" s="243">
        <f>CY252*DB252/DC252</f>
        <v>7.4676724137931032</v>
      </c>
      <c r="DG252" s="243">
        <f>SUM(DD252:DF252)</f>
        <v>22.000718390804597</v>
      </c>
      <c r="DH252" s="252">
        <f t="shared" si="1602"/>
        <v>0</v>
      </c>
      <c r="DI252" s="309">
        <f t="shared" si="1675"/>
        <v>22.000718390804597</v>
      </c>
      <c r="DJ252" s="218">
        <f>IF(DG252&lt;=0,1,0)+IF(DG252&gt;0,DG252+1,0)*1+IF(DG252&gt;12,DG252-12,0)*1+IF(DG252&gt;13,DG252-13,0)*1+IF(DG252&gt;14,DG252-14,0)*1+IF(DG252&gt;15,DG252-15,0)*1+IF(DG252&gt;16,DG252-16,0)*1+IF(DG252&gt;17,DG252-17,0)*1+IF(DG252&gt;18,DG252-18,0)*1+IF(DG252&gt;19,DG252-19,0)*1+IF(DG252&gt;20,DG252-20,0)*1</f>
        <v>77.007183908045945</v>
      </c>
      <c r="DK252" s="242">
        <f>IF(DH252&lt;=0,1,0)+IF(DH252&gt;0,DH252+1,0)*1+IF(DH252&gt;12,DH252-12,0)*1+IF(DH252&gt;13,DH252-13,0)*1+IF(DH252&gt;14,DH252-14,0)*1+IF(DH252&gt;15,DH252-15,0)*1+IF(DH252&gt;16,DH252-16,0)*1+IF(DH252&gt;17,DH252-17,0)*1+IF(DH252&gt;18,DH252-18,0)*1+IF(DH252&gt;19,DH252-19,0)*1+IF(DH252&gt;20,DH252-20,0)*1</f>
        <v>1</v>
      </c>
      <c r="DL252" s="243">
        <f t="shared" si="1676"/>
        <v>76.007183908045945</v>
      </c>
      <c r="DM252" s="218">
        <f t="shared" si="1677"/>
        <v>0</v>
      </c>
      <c r="DO252" s="303" t="s">
        <v>377</v>
      </c>
      <c r="DP252" s="304" t="s">
        <v>86</v>
      </c>
      <c r="DQ252" s="243" t="s">
        <v>133</v>
      </c>
      <c r="DR252" s="237">
        <f>Konvention_1slave-MUslave</f>
        <v>12</v>
      </c>
      <c r="DS252" s="234"/>
      <c r="DT252" s="234">
        <f>Konvention_1slave-INslave</f>
        <v>12</v>
      </c>
      <c r="DU252" s="234">
        <f>Konvention_1slave-CHslave_CH</f>
        <v>11</v>
      </c>
      <c r="DV252" s="234"/>
      <c r="DW252" s="234"/>
      <c r="DX252" s="234"/>
      <c r="DY252" s="224"/>
      <c r="DZ252" s="223">
        <f>(DR252+DS252+DT252+DU252+DV252+DW252+DX252+DY252)/3</f>
        <v>11.666666666666666</v>
      </c>
      <c r="EA252" s="223">
        <f t="shared" si="1679"/>
        <v>23.333333333333332</v>
      </c>
      <c r="EB252" s="224">
        <f t="shared" si="1680"/>
        <v>35</v>
      </c>
      <c r="EC252" s="237">
        <f>DR252*POWER(KLslave,SIGN(DS252))*POWER(INslave,SIGN(DT252))*POWER(CHslave_CH,SIGN(DU252))*POWER(FFslave,SIGN(DV252))*POWER(GEslave,SIGN(DW252))*POWER(KOslave,SIGN(DX252))*POWER(KKslave,SIGN(DY252))+DS252*POWER(MUslave,SIGN(DR252))*POWER(INslave,SIGN(DT252))*POWER(CHslave_CH,SIGN(DU252))*POWER(FFslave,SIGN(DV252))*POWER(GEslave,SIGN(DW252))*POWER(KOslave,SIGN(DX252))*POWER(KKslave,SIGN(DY252))+DT252*POWER(MUslave,SIGN(DR252))*POWER(KLslave,SIGN(DS252))*POWER(CHslave_CH,SIGN(DU252))*POWER(FFslave,SIGN(DV252))*POWER(GEslave,SIGN(DW252))*POWER(KOslave,SIGN(DX252))*POWER(KKslave,SIGN(DY252))+DU252*POWER(MUslave,SIGN(DR252))*POWER(KLslave,SIGN(DS252))*POWER(INslave,SIGN(DT252))*POWER(FFslave,SIGN(DV252))*POWER(GEslave,SIGN(DW252))*POWER(KOslave,SIGN(DX252))*POWER(KKslave,SIGN(DY252))+DV252*POWER(MUslave,SIGN(DR252))*POWER(KLslave,SIGN(DS252))*POWER(INslave,SIGN(DT252))*POWER(CHslave_CH,SIGN(DU252))*POWER(GEslave,SIGN(DW252))*POWER(KOslave,SIGN(DX252))*POWER(KKslave,SIGN(DY252))+DW252*POWER(MUslave,SIGN(DR252))*POWER(KLslave,SIGN(DS252))*POWER(INslave,SIGN(DT252))*POWER(CHslave_CH,SIGN(DU252))*POWER(FFslave,SIGN(DV252))*POWER(KOslave,SIGN(DX252))*POWER(KKslave,SIGN(DY252))+DX252*POWER(MUslave,SIGN(DR252))*POWER(KLslave,SIGN(DS252))*POWER(INslave,SIGN(DT252))*POWER(CHslave_CH,SIGN(DU252))*POWER(FFslave,SIGN(DV252))*POWER(GEslave,SIGN(DW252))*POWER(KKslave,SIGN(DY252))+DY252*POWER(MUslave,SIGN(DR252))*POWER(KLslave,SIGN(DS252))*POWER(INslave,SIGN(DT252))*POWER(CHslave_CH,SIGN(DU252))*POWER(FFslave,SIGN(DV252))*POWER(GEslave,SIGN(DW252))*POWER(KOslave,SIGN(DX252))</f>
        <v>2432</v>
      </c>
      <c r="ED252" s="234">
        <f>DR252*DT252*CHslave_CH+DR252*INslave*DU252+MUslave*DT252*DU252</f>
        <v>3408</v>
      </c>
      <c r="EE252" s="224">
        <f>IFERROR(DR252^SIGN(DR252),1)*IFERROR(DS252^SIGN(DS252),1)*IFERROR(DT252^SIGN(DT252),1)*IFERROR(DU252^SIGN(DU252),1)*IFERROR(DV252^SIGN(DV252),1)*IFERROR(DW252^SIGN(DW252),1)*IFERROR(DX252^SIGN(DX252),1)*IFERROR(DY252^SIGN(DY252),1)</f>
        <v>1584</v>
      </c>
      <c r="EF252" s="224">
        <f t="shared" si="1788"/>
        <v>7424</v>
      </c>
      <c r="EG252" s="222">
        <f>DZ252*EC252/EF252</f>
        <v>3.8218390804597702</v>
      </c>
      <c r="EH252" s="223">
        <f>EA252*ED252/EF252</f>
        <v>10.711206896551724</v>
      </c>
      <c r="EI252" s="243">
        <f>EB252*EE252/EF252</f>
        <v>7.4676724137931032</v>
      </c>
      <c r="EJ252" s="243">
        <f>SUM(EG252:EI252)</f>
        <v>22.000718390804597</v>
      </c>
      <c r="EK252" s="252">
        <f t="shared" si="1604"/>
        <v>0</v>
      </c>
      <c r="EL252" s="309">
        <f t="shared" si="1687"/>
        <v>22.000718390804597</v>
      </c>
      <c r="EM252" s="218">
        <f>IF(EJ252&lt;=0,1,0)+IF(EJ252&gt;0,EJ252+1,0)*1+IF(EJ252&gt;12,EJ252-12,0)*1+IF(EJ252&gt;13,EJ252-13,0)*1+IF(EJ252&gt;14,EJ252-14,0)*1+IF(EJ252&gt;15,EJ252-15,0)*1+IF(EJ252&gt;16,EJ252-16,0)*1+IF(EJ252&gt;17,EJ252-17,0)*1+IF(EJ252&gt;18,EJ252-18,0)*1+IF(EJ252&gt;19,EJ252-19,0)*1+IF(EJ252&gt;20,EJ252-20,0)*1</f>
        <v>77.007183908045945</v>
      </c>
      <c r="EN252" s="242">
        <f>IF(EK252&lt;=0,1,0)+IF(EK252&gt;0,EK252+1,0)*1+IF(EK252&gt;12,EK252-12,0)*1+IF(EK252&gt;13,EK252-13,0)*1+IF(EK252&gt;14,EK252-14,0)*1+IF(EK252&gt;15,EK252-15,0)*1+IF(EK252&gt;16,EK252-16,0)*1+IF(EK252&gt;17,EK252-17,0)*1+IF(EK252&gt;18,EK252-18,0)*1+IF(EK252&gt;19,EK252-19,0)*1+IF(EK252&gt;20,EK252-20,0)*1</f>
        <v>1</v>
      </c>
      <c r="EO252" s="243">
        <f t="shared" si="1688"/>
        <v>76.007183908045945</v>
      </c>
      <c r="EP252" s="218">
        <f t="shared" si="1689"/>
        <v>0</v>
      </c>
      <c r="ER252" s="303" t="s">
        <v>377</v>
      </c>
      <c r="ES252" s="304" t="s">
        <v>86</v>
      </c>
      <c r="ET252" s="243" t="s">
        <v>133</v>
      </c>
      <c r="EU252" s="237">
        <f>Konvention_1slave-MUslave</f>
        <v>12</v>
      </c>
      <c r="EV252" s="234"/>
      <c r="EW252" s="234">
        <f>Konvention_1slave-INslave</f>
        <v>12</v>
      </c>
      <c r="EX252" s="234">
        <f>Konvention_1slave-CHslave</f>
        <v>12</v>
      </c>
      <c r="EY252" s="234"/>
      <c r="EZ252" s="234"/>
      <c r="FA252" s="234"/>
      <c r="FB252" s="224"/>
      <c r="FC252" s="223">
        <f>(EU252+EV252+EW252+EX252+EY252+EZ252+FA252+FB252)/3</f>
        <v>12</v>
      </c>
      <c r="FD252" s="223">
        <f t="shared" si="1691"/>
        <v>24</v>
      </c>
      <c r="FE252" s="224">
        <f t="shared" si="1692"/>
        <v>36</v>
      </c>
      <c r="FF252" s="237">
        <f>EU252*POWER(KLslave,SIGN(EV252))*POWER(INslave,SIGN(EW252))*POWER(CHslave,SIGN(EX252))*POWER(FFslave_FF,SIGN(EY252))*POWER(GEslave,SIGN(EZ252))*POWER(KOslave,SIGN(FA252))*POWER(KKslave,SIGN(FB252))+EV252*POWER(MUslave,SIGN(EU252))*POWER(INslave,SIGN(EW252))*POWER(CHslave,SIGN(EX252))*POWER(FFslave_FF,SIGN(EY252))*POWER(GEslave,SIGN(EZ252))*POWER(KOslave,SIGN(FA252))*POWER(KKslave,SIGN(FB252))+EW252*POWER(MUslave,SIGN(EU252))*POWER(KLslave,SIGN(EV252))*POWER(CHslave,SIGN(EX252))*POWER(FFslave_FF,SIGN(EY252))*POWER(GEslave,SIGN(EZ252))*POWER(KOslave,SIGN(FA252))*POWER(KKslave,SIGN(FB252))+EX252*POWER(MUslave,SIGN(EU252))*POWER(KLslave,SIGN(EV252))*POWER(INslave,SIGN(EW252))*POWER(FFslave_FF,SIGN(EY252))*POWER(GEslave,SIGN(EZ252))*POWER(KOslave,SIGN(FA252))*POWER(KKslave,SIGN(FB252))+EY252*POWER(MUslave,SIGN(EU252))*POWER(KLslave,SIGN(EV252))*POWER(INslave,SIGN(EW252))*POWER(CHslave,SIGN(EX252))*POWER(GEslave,SIGN(EZ252))*POWER(KOslave,SIGN(FA252))*POWER(KKslave,SIGN(FB252))+EZ252*POWER(MUslave,SIGN(EU252))*POWER(KLslave,SIGN(EV252))*POWER(INslave,SIGN(EW252))*POWER(CHslave,SIGN(EX252))*POWER(FFslave_FF,SIGN(EY252))*POWER(KOslave,SIGN(FA252))*POWER(KKslave,SIGN(FB252))+FA252*POWER(MUslave,SIGN(EU252))*POWER(KLslave,SIGN(EV252))*POWER(INslave,SIGN(EW252))*POWER(CHslave,SIGN(EX252))*POWER(FFslave_FF,SIGN(EY252))*POWER(GEslave,SIGN(EZ252))*POWER(KKslave,SIGN(FB252))+FB252*POWER(MUslave,SIGN(EU252))*POWER(KLslave,SIGN(EV252))*POWER(INslave,SIGN(EW252))*POWER(CHslave,SIGN(EX252))*POWER(FFslave_FF,SIGN(EY252))*POWER(GEslave,SIGN(EZ252))*POWER(KOslave,SIGN(FA252))</f>
        <v>2304</v>
      </c>
      <c r="FG252" s="234">
        <f>EU252*EW252*CHslave+EU252*INslave*EX252+MUslave*EW252*EX252</f>
        <v>3456</v>
      </c>
      <c r="FH252" s="224">
        <f>IFERROR(EU252^SIGN(EU252),1)*IFERROR(EV252^SIGN(EV252),1)*IFERROR(EW252^SIGN(EW252),1)*IFERROR(EX252^SIGN(EX252),1)*IFERROR(EY252^SIGN(EY252),1)*IFERROR(EZ252^SIGN(EZ252),1)*IFERROR(FA252^SIGN(FA252),1)*IFERROR(FB252^SIGN(FB252),1)</f>
        <v>1728</v>
      </c>
      <c r="FI252" s="224">
        <f t="shared" si="1789"/>
        <v>7488</v>
      </c>
      <c r="FJ252" s="222">
        <f>FC252*FF252/FI252</f>
        <v>3.6923076923076925</v>
      </c>
      <c r="FK252" s="223">
        <f>FD252*FG252/FI252</f>
        <v>11.076923076923077</v>
      </c>
      <c r="FL252" s="243">
        <f>FE252*FH252/FI252</f>
        <v>8.3076923076923084</v>
      </c>
      <c r="FM252" s="243">
        <f>SUM(FJ252:FL252)</f>
        <v>23.07692307692308</v>
      </c>
      <c r="FN252" s="252">
        <f t="shared" si="1606"/>
        <v>0</v>
      </c>
      <c r="FO252" s="309">
        <f t="shared" si="1699"/>
        <v>23.07692307692308</v>
      </c>
      <c r="FP252" s="218">
        <f>IF(FM252&lt;=0,1,0)+IF(FM252&gt;0,FM252+1,0)*1+IF(FM252&gt;12,FM252-12,0)*1+IF(FM252&gt;13,FM252-13,0)*1+IF(FM252&gt;14,FM252-14,0)*1+IF(FM252&gt;15,FM252-15,0)*1+IF(FM252&gt;16,FM252-16,0)*1+IF(FM252&gt;17,FM252-17,0)*1+IF(FM252&gt;18,FM252-18,0)*1+IF(FM252&gt;19,FM252-19,0)*1+IF(FM252&gt;20,FM252-20,0)*1</f>
        <v>87.769230769230802</v>
      </c>
      <c r="FQ252" s="242">
        <f>IF(FN252&lt;=0,1,0)+IF(FN252&gt;0,FN252+1,0)*1+IF(FN252&gt;12,FN252-12,0)*1+IF(FN252&gt;13,FN252-13,0)*1+IF(FN252&gt;14,FN252-14,0)*1+IF(FN252&gt;15,FN252-15,0)*1+IF(FN252&gt;16,FN252-16,0)*1+IF(FN252&gt;17,FN252-17,0)*1+IF(FN252&gt;18,FN252-18,0)*1+IF(FN252&gt;19,FN252-19,0)*1+IF(FN252&gt;20,FN252-20,0)*1</f>
        <v>1</v>
      </c>
      <c r="FR252" s="243">
        <f t="shared" si="1700"/>
        <v>86.769230769230802</v>
      </c>
      <c r="FS252" s="218">
        <f t="shared" si="1701"/>
        <v>0</v>
      </c>
      <c r="FU252" s="303" t="s">
        <v>377</v>
      </c>
      <c r="FV252" s="304" t="s">
        <v>86</v>
      </c>
      <c r="FW252" s="243" t="s">
        <v>133</v>
      </c>
      <c r="FX252" s="237">
        <f>Konvention_1slave-MUslave</f>
        <v>12</v>
      </c>
      <c r="FY252" s="234"/>
      <c r="FZ252" s="234">
        <f>Konvention_1slave-INslave</f>
        <v>12</v>
      </c>
      <c r="GA252" s="234">
        <f>Konvention_1slave-CHslave</f>
        <v>12</v>
      </c>
      <c r="GB252" s="234"/>
      <c r="GC252" s="234"/>
      <c r="GD252" s="234"/>
      <c r="GE252" s="224"/>
      <c r="GF252" s="223">
        <f>(FX252+FY252+FZ252+GA252+GB252+GC252+GD252+GE252)/3</f>
        <v>12</v>
      </c>
      <c r="GG252" s="223">
        <f t="shared" si="1703"/>
        <v>24</v>
      </c>
      <c r="GH252" s="224">
        <f t="shared" si="1704"/>
        <v>36</v>
      </c>
      <c r="GI252" s="237">
        <f>FX252*POWER(KLslave,SIGN(FY252))*POWER(INslave,SIGN(FZ252))*POWER(CHslave,SIGN(GA252))*POWER(FFslave,SIGN(GB252))*POWER(GEslave_GE,SIGN(GC252))*POWER(KOslave,SIGN(GD252))*POWER(KKslave,SIGN(GE252))+FY252*POWER(MUslave,SIGN(FX252))*POWER(INslave,SIGN(FZ252))*POWER(CHslave,SIGN(GA252))*POWER(FFslave,SIGN(GB252))*POWER(GEslave_GE,SIGN(GC252))*POWER(KOslave,SIGN(GD252))*POWER(KKslave,SIGN(GE252))+FZ252*POWER(MUslave,SIGN(FX252))*POWER(KLslave,SIGN(FY252))*POWER(CHslave,SIGN(GA252))*POWER(FFslave,SIGN(GB252))*POWER(GEslave_GE,SIGN(GC252))*POWER(KOslave,SIGN(GD252))*POWER(KKslave,SIGN(GE252))+GA252*POWER(MUslave,SIGN(FX252))*POWER(KLslave,SIGN(FY252))*POWER(INslave,SIGN(FZ252))*POWER(FFslave,SIGN(GB252))*POWER(GEslave_GE,SIGN(GC252))*POWER(KOslave,SIGN(GD252))*POWER(KKslave,SIGN(GE252))+GB252*POWER(MUslave,SIGN(FX252))*POWER(KLslave,SIGN(FY252))*POWER(INslave,SIGN(FZ252))*POWER(CHslave,SIGN(GA252))*POWER(GEslave_GE,SIGN(GC252))*POWER(KOslave,SIGN(GD252))*POWER(KKslave,SIGN(GE252))+GC252*POWER(MUslave,SIGN(FX252))*POWER(KLslave,SIGN(FY252))*POWER(INslave,SIGN(FZ252))*POWER(CHslave,SIGN(GA252))*POWER(FFslave,SIGN(GB252))*POWER(KOslave,SIGN(GD252))*POWER(KKslave,SIGN(GE252))+GD252*POWER(MUslave,SIGN(FX252))*POWER(KLslave,SIGN(FY252))*POWER(INslave,SIGN(FZ252))*POWER(CHslave,SIGN(GA252))*POWER(FFslave,SIGN(GB252))*POWER(GEslave_GE,SIGN(GC252))*POWER(KKslave,SIGN(GE252))+GE252*POWER(MUslave,SIGN(FX252))*POWER(KLslave,SIGN(FY252))*POWER(INslave,SIGN(FZ252))*POWER(CHslave,SIGN(GA252))*POWER(FFslave,SIGN(GB252))*POWER(GEslave_GE,SIGN(GC252))*POWER(KOslave,SIGN(GD252))</f>
        <v>2304</v>
      </c>
      <c r="GJ252" s="234">
        <f>FX252*FZ252*CHslave+FX252*INslave*GA252+MUslave*FZ252*GA252</f>
        <v>3456</v>
      </c>
      <c r="GK252" s="224">
        <f>IFERROR(FX252^SIGN(FX252),1)*IFERROR(FY252^SIGN(FY252),1)*IFERROR(FZ252^SIGN(FZ252),1)*IFERROR(GA252^SIGN(GA252),1)*IFERROR(GB252^SIGN(GB252),1)*IFERROR(GC252^SIGN(GC252),1)*IFERROR(GD252^SIGN(GD252),1)*IFERROR(GE252^SIGN(GE252),1)</f>
        <v>1728</v>
      </c>
      <c r="GL252" s="224">
        <f t="shared" si="1790"/>
        <v>7488</v>
      </c>
      <c r="GM252" s="222">
        <f>GF252*GI252/GL252</f>
        <v>3.6923076923076925</v>
      </c>
      <c r="GN252" s="223">
        <f>GG252*GJ252/GL252</f>
        <v>11.076923076923077</v>
      </c>
      <c r="GO252" s="243">
        <f>GH252*GK252/GL252</f>
        <v>8.3076923076923084</v>
      </c>
      <c r="GP252" s="243">
        <f>SUM(GM252:GO252)</f>
        <v>23.07692307692308</v>
      </c>
      <c r="GQ252" s="252">
        <f t="shared" si="1608"/>
        <v>0</v>
      </c>
      <c r="GR252" s="309">
        <f t="shared" si="1711"/>
        <v>23.07692307692308</v>
      </c>
      <c r="GS252" s="218">
        <f>IF(GP252&lt;=0,1,0)+IF(GP252&gt;0,GP252+1,0)*1+IF(GP252&gt;12,GP252-12,0)*1+IF(GP252&gt;13,GP252-13,0)*1+IF(GP252&gt;14,GP252-14,0)*1+IF(GP252&gt;15,GP252-15,0)*1+IF(GP252&gt;16,GP252-16,0)*1+IF(GP252&gt;17,GP252-17,0)*1+IF(GP252&gt;18,GP252-18,0)*1+IF(GP252&gt;19,GP252-19,0)*1+IF(GP252&gt;20,GP252-20,0)*1</f>
        <v>87.769230769230802</v>
      </c>
      <c r="GT252" s="242">
        <f>IF(GQ252&lt;=0,1,0)+IF(GQ252&gt;0,GQ252+1,0)*1+IF(GQ252&gt;12,GQ252-12,0)*1+IF(GQ252&gt;13,GQ252-13,0)*1+IF(GQ252&gt;14,GQ252-14,0)*1+IF(GQ252&gt;15,GQ252-15,0)*1+IF(GQ252&gt;16,GQ252-16,0)*1+IF(GQ252&gt;17,GQ252-17,0)*1+IF(GQ252&gt;18,GQ252-18,0)*1+IF(GQ252&gt;19,GQ252-19,0)*1+IF(GQ252&gt;20,GQ252-20,0)*1</f>
        <v>1</v>
      </c>
      <c r="GU252" s="243">
        <f t="shared" si="1712"/>
        <v>86.769230769230802</v>
      </c>
      <c r="GV252" s="218">
        <f t="shared" si="1713"/>
        <v>0</v>
      </c>
      <c r="GX252" s="303" t="s">
        <v>377</v>
      </c>
      <c r="GY252" s="304" t="s">
        <v>86</v>
      </c>
      <c r="GZ252" s="243" t="s">
        <v>133</v>
      </c>
      <c r="HA252" s="237">
        <f>Konvention_1slave-MUslave</f>
        <v>12</v>
      </c>
      <c r="HB252" s="234"/>
      <c r="HC252" s="234">
        <f>Konvention_1slave-INslave</f>
        <v>12</v>
      </c>
      <c r="HD252" s="234">
        <f>Konvention_1slave-CHslave</f>
        <v>12</v>
      </c>
      <c r="HE252" s="234"/>
      <c r="HF252" s="234"/>
      <c r="HG252" s="234"/>
      <c r="HH252" s="224"/>
      <c r="HI252" s="223">
        <f>(HA252+HB252+HC252+HD252+HE252+HF252+HG252+HH252)/3</f>
        <v>12</v>
      </c>
      <c r="HJ252" s="223">
        <f t="shared" si="1715"/>
        <v>24</v>
      </c>
      <c r="HK252" s="224">
        <f t="shared" si="1716"/>
        <v>36</v>
      </c>
      <c r="HL252" s="237">
        <f>HA252*POWER(KLslave,SIGN(HB252))*POWER(INslave,SIGN(HC252))*POWER(CHslave,SIGN(HD252))*POWER(FFslave,SIGN(HE252))*POWER(GEslave,SIGN(HF252))*POWER(KOslave_KO,SIGN(HG252))*POWER(KKslave,SIGN(HH252))+HB252*POWER(MUslave,SIGN(HA252))*POWER(INslave,SIGN(HC252))*POWER(CHslave,SIGN(HD252))*POWER(FFslave,SIGN(HE252))*POWER(GEslave,SIGN(HF252))*POWER(KOslave_KO,SIGN(HG252))*POWER(KKslave,SIGN(HH252))+HC252*POWER(MUslave,SIGN(HA252))*POWER(KLslave,SIGN(HB252))*POWER(CHslave,SIGN(HD252))*POWER(FFslave,SIGN(HE252))*POWER(GEslave,SIGN(HF252))*POWER(KOslave_KO,SIGN(HG252))*POWER(KKslave,SIGN(HH252))+HD252*POWER(MUslave,SIGN(HA252))*POWER(KLslave,SIGN(HB252))*POWER(INslave,SIGN(HC252))*POWER(FFslave,SIGN(HE252))*POWER(GEslave,SIGN(HF252))*POWER(KOslave_KO,SIGN(HG252))*POWER(KKslave,SIGN(HH252))+HE252*POWER(MUslave,SIGN(HA252))*POWER(KLslave,SIGN(HB252))*POWER(INslave,SIGN(HC252))*POWER(CHslave,SIGN(HD252))*POWER(GEslave,SIGN(HF252))*POWER(KOslave_KO,SIGN(HG252))*POWER(KKslave,SIGN(HH252))+HF252*POWER(MUslave,SIGN(HA252))*POWER(KLslave,SIGN(HB252))*POWER(INslave,SIGN(HC252))*POWER(CHslave,SIGN(HD252))*POWER(FFslave,SIGN(HE252))*POWER(KOslave_KO,SIGN(HG252))*POWER(KKslave,SIGN(HH252))+HG252*POWER(MUslave,SIGN(HA252))*POWER(KLslave,SIGN(HB252))*POWER(INslave,SIGN(HC252))*POWER(CHslave,SIGN(HD252))*POWER(FFslave,SIGN(HE252))*POWER(GEslave,SIGN(HF252))*POWER(KKslave,SIGN(HH252))+HH252*POWER(MUslave,SIGN(HA252))*POWER(KLslave,SIGN(HB252))*POWER(INslave,SIGN(HC252))*POWER(CHslave,SIGN(HD252))*POWER(FFslave,SIGN(HE252))*POWER(GEslave,SIGN(HF252))*POWER(KOslave_KO,SIGN(HG252))</f>
        <v>2304</v>
      </c>
      <c r="HM252" s="234">
        <f>HA252*HC252*CHslave+HA252*INslave*HD252+MUslave*HC252*HD252</f>
        <v>3456</v>
      </c>
      <c r="HN252" s="224">
        <f>IFERROR(HA252^SIGN(HA252),1)*IFERROR(HB252^SIGN(HB252),1)*IFERROR(HC252^SIGN(HC252),1)*IFERROR(HD252^SIGN(HD252),1)*IFERROR(HE252^SIGN(HE252),1)*IFERROR(HF252^SIGN(HF252),1)*IFERROR(HG252^SIGN(HG252),1)*IFERROR(HH252^SIGN(HH252),1)</f>
        <v>1728</v>
      </c>
      <c r="HO252" s="224">
        <f t="shared" si="1791"/>
        <v>7488</v>
      </c>
      <c r="HP252" s="222">
        <f>HI252*HL252/HO252</f>
        <v>3.6923076923076925</v>
      </c>
      <c r="HQ252" s="223">
        <f>HJ252*HM252/HO252</f>
        <v>11.076923076923077</v>
      </c>
      <c r="HR252" s="243">
        <f>HK252*HN252/HO252</f>
        <v>8.3076923076923084</v>
      </c>
      <c r="HS252" s="243">
        <f>SUM(HP252:HR252)</f>
        <v>23.07692307692308</v>
      </c>
      <c r="HT252" s="252">
        <f t="shared" si="1610"/>
        <v>0</v>
      </c>
      <c r="HU252" s="309">
        <f t="shared" si="1723"/>
        <v>23.07692307692308</v>
      </c>
      <c r="HV252" s="218">
        <f>IF(HS252&lt;=0,1,0)+IF(HS252&gt;0,HS252+1,0)*1+IF(HS252&gt;12,HS252-12,0)*1+IF(HS252&gt;13,HS252-13,0)*1+IF(HS252&gt;14,HS252-14,0)*1+IF(HS252&gt;15,HS252-15,0)*1+IF(HS252&gt;16,HS252-16,0)*1+IF(HS252&gt;17,HS252-17,0)*1+IF(HS252&gt;18,HS252-18,0)*1+IF(HS252&gt;19,HS252-19,0)*1+IF(HS252&gt;20,HS252-20,0)*1</f>
        <v>87.769230769230802</v>
      </c>
      <c r="HW252" s="242">
        <f>IF(HT252&lt;=0,1,0)+IF(HT252&gt;0,HT252+1,0)*1+IF(HT252&gt;12,HT252-12,0)*1+IF(HT252&gt;13,HT252-13,0)*1+IF(HT252&gt;14,HT252-14,0)*1+IF(HT252&gt;15,HT252-15,0)*1+IF(HT252&gt;16,HT252-16,0)*1+IF(HT252&gt;17,HT252-17,0)*1+IF(HT252&gt;18,HT252-18,0)*1+IF(HT252&gt;19,HT252-19,0)*1+IF(HT252&gt;20,HT252-20,0)*1</f>
        <v>1</v>
      </c>
      <c r="HX252" s="243">
        <f t="shared" si="1724"/>
        <v>86.769230769230802</v>
      </c>
      <c r="HY252" s="218">
        <f t="shared" si="1725"/>
        <v>0</v>
      </c>
      <c r="IA252" s="303" t="s">
        <v>377</v>
      </c>
      <c r="IB252" s="304" t="s">
        <v>86</v>
      </c>
      <c r="IC252" s="243" t="s">
        <v>133</v>
      </c>
      <c r="ID252" s="237">
        <f>Konvention_1slave-MUslave</f>
        <v>12</v>
      </c>
      <c r="IE252" s="234"/>
      <c r="IF252" s="234">
        <f>Konvention_1slave-INslave</f>
        <v>12</v>
      </c>
      <c r="IG252" s="234">
        <f>Konvention_1slave-CHslave</f>
        <v>12</v>
      </c>
      <c r="IH252" s="234"/>
      <c r="II252" s="234"/>
      <c r="IJ252" s="234"/>
      <c r="IK252" s="224"/>
      <c r="IL252" s="223">
        <f>(ID252+IE252+IF252+IG252+IH252+II252+IJ252+IK252)/3</f>
        <v>12</v>
      </c>
      <c r="IM252" s="223">
        <f t="shared" si="1727"/>
        <v>24</v>
      </c>
      <c r="IN252" s="224">
        <f t="shared" si="1728"/>
        <v>36</v>
      </c>
      <c r="IO252" s="237">
        <f>ID252*POWER(KLslave,SIGN(IE252))*POWER(INslave,SIGN(IF252))*POWER(CHslave,SIGN(IG252))*POWER(FFslave,SIGN(IH252))*POWER(GEslave,SIGN(II252))*POWER(KOslave,SIGN(IJ252))*POWER(KKslave_KK,SIGN(IK252))+IE252*POWER(MUslave,SIGN(ID252))*POWER(INslave,SIGN(IF252))*POWER(CHslave,SIGN(IG252))*POWER(FFslave,SIGN(IH252))*POWER(GEslave,SIGN(II252))*POWER(KOslave,SIGN(IJ252))*POWER(KKslave_KK,SIGN(IK252))+IF252*POWER(MUslave,SIGN(ID252))*POWER(KLslave,SIGN(IE252))*POWER(CHslave,SIGN(IG252))*POWER(FFslave,SIGN(IH252))*POWER(GEslave,SIGN(II252))*POWER(KOslave,SIGN(IJ252))*POWER(KKslave_KK,SIGN(IK252))+IG252*POWER(MUslave,SIGN(ID252))*POWER(KLslave,SIGN(IE252))*POWER(INslave,SIGN(IF252))*POWER(FFslave,SIGN(IH252))*POWER(GEslave,SIGN(II252))*POWER(KOslave,SIGN(IJ252))*POWER(KKslave_KK,SIGN(IK252))+IH252*POWER(MUslave,SIGN(ID252))*POWER(KLslave,SIGN(IE252))*POWER(INslave,SIGN(IF252))*POWER(CHslave,SIGN(IG252))*POWER(GEslave,SIGN(II252))*POWER(KOslave,SIGN(IJ252))*POWER(KKslave_KK,SIGN(IK252))+II252*POWER(MUslave,SIGN(ID252))*POWER(KLslave,SIGN(IE252))*POWER(INslave,SIGN(IF252))*POWER(CHslave,SIGN(IG252))*POWER(FFslave,SIGN(IH252))*POWER(KOslave,SIGN(IJ252))*POWER(KKslave_KK,SIGN(IK252))+IJ252*POWER(MUslave,SIGN(ID252))*POWER(KLslave,SIGN(IE252))*POWER(INslave,SIGN(IF252))*POWER(CHslave,SIGN(IG252))*POWER(FFslave,SIGN(IH252))*POWER(GEslave,SIGN(II252))*POWER(KKslave_KK,SIGN(IK252))+IK252*POWER(MUslave,SIGN(ID252))*POWER(KLslave,SIGN(IE252))*POWER(INslave,SIGN(IF252))*POWER(CHslave,SIGN(IG252))*POWER(FFslave,SIGN(IH252))*POWER(GEslave,SIGN(II252))*POWER(KOslave,SIGN(IJ252))</f>
        <v>2304</v>
      </c>
      <c r="IP252" s="234">
        <f>ID252*IF252*CHslave+ID252*INslave*IG252+MUslave*IF252*IG252</f>
        <v>3456</v>
      </c>
      <c r="IQ252" s="224">
        <f>IFERROR(ID252^SIGN(ID252),1)*IFERROR(IE252^SIGN(IE252),1)*IFERROR(IF252^SIGN(IF252),1)*IFERROR(IG252^SIGN(IG252),1)*IFERROR(IH252^SIGN(IH252),1)*IFERROR(II252^SIGN(II252),1)*IFERROR(IJ252^SIGN(IJ252),1)*IFERROR(IK252^SIGN(IK252),1)</f>
        <v>1728</v>
      </c>
      <c r="IR252" s="224">
        <f t="shared" si="1792"/>
        <v>7488</v>
      </c>
      <c r="IS252" s="222">
        <f>IL252*IO252/IR252</f>
        <v>3.6923076923076925</v>
      </c>
      <c r="IT252" s="223">
        <f>IM252*IP252/IR252</f>
        <v>11.076923076923077</v>
      </c>
      <c r="IU252" s="243">
        <f>IN252*IQ252/IR252</f>
        <v>8.3076923076923084</v>
      </c>
      <c r="IV252" s="243">
        <f>SUM(IS252:IU252)</f>
        <v>23.07692307692308</v>
      </c>
      <c r="IW252" s="252">
        <f t="shared" si="1612"/>
        <v>0</v>
      </c>
      <c r="IX252" s="309">
        <f t="shared" si="1735"/>
        <v>23.07692307692308</v>
      </c>
      <c r="IY252" s="218">
        <f>IF(IV252&lt;=0,1,0)+IF(IV252&gt;0,IV252+1,0)*1+IF(IV252&gt;12,IV252-12,0)*1+IF(IV252&gt;13,IV252-13,0)*1+IF(IV252&gt;14,IV252-14,0)*1+IF(IV252&gt;15,IV252-15,0)*1+IF(IV252&gt;16,IV252-16,0)*1+IF(IV252&gt;17,IV252-17,0)*1+IF(IV252&gt;18,IV252-18,0)*1+IF(IV252&gt;19,IV252-19,0)*1+IF(IV252&gt;20,IV252-20,0)*1</f>
        <v>87.769230769230802</v>
      </c>
      <c r="IZ252" s="242">
        <f>IF(IW252&lt;=0,1,0)+IF(IW252&gt;0,IW252+1,0)*1+IF(IW252&gt;12,IW252-12,0)*1+IF(IW252&gt;13,IW252-13,0)*1+IF(IW252&gt;14,IW252-14,0)*1+IF(IW252&gt;15,IW252-15,0)*1+IF(IW252&gt;16,IW252-16,0)*1+IF(IW252&gt;17,IW252-17,0)*1+IF(IW252&gt;18,IW252-18,0)*1+IF(IW252&gt;19,IW252-19,0)*1+IF(IW252&gt;20,IW252-20,0)*1</f>
        <v>1</v>
      </c>
      <c r="JA252" s="243">
        <f t="shared" si="1736"/>
        <v>86.769230769230802</v>
      </c>
      <c r="JB252" s="218">
        <f t="shared" si="1737"/>
        <v>0</v>
      </c>
      <c r="JE252" s="148"/>
    </row>
    <row r="253" spans="2:265" hidden="1" outlineLevel="2">
      <c r="B253" s="148">
        <v>41</v>
      </c>
      <c r="C253" s="303" t="e">
        <f>VLOOKUP(AF253,Attribute!C:T,1,FALSE)</f>
        <v>#N/A</v>
      </c>
      <c r="D253" s="125" t="s">
        <v>171</v>
      </c>
      <c r="E253" s="127" t="s">
        <v>132</v>
      </c>
      <c r="F253" s="114"/>
      <c r="G253" s="113"/>
      <c r="H253" s="113">
        <f>Konvention_1master-INmaster</f>
        <v>12</v>
      </c>
      <c r="I253" s="113"/>
      <c r="J253" s="113">
        <f>Konvention_1master-FFmaster</f>
        <v>12</v>
      </c>
      <c r="K253" s="113"/>
      <c r="L253" s="113">
        <f>Konvention_1master-KOmaster</f>
        <v>12</v>
      </c>
      <c r="M253" s="119"/>
      <c r="N253" s="223">
        <f>(F253+G253+H253+I253+J253+K253+L253+M253)/3</f>
        <v>12</v>
      </c>
      <c r="O253" s="223">
        <f t="shared" si="1630"/>
        <v>24</v>
      </c>
      <c r="P253" s="224">
        <f t="shared" si="1631"/>
        <v>36</v>
      </c>
      <c r="Q253" s="237">
        <f>F253*POWER(KLmaster,SIGN(G253))*POWER(INmaster,SIGN(H253))*POWER(CHmaster,SIGN(I253))*POWER(FFmaster,SIGN(J253))*POWER(GEmaster,SIGN(K253))*POWER(KOmaster,SIGN(L253))*POWER(KKmaster,SIGN(M253))+G253*POWER(MUmaster,SIGN(F253))*POWER(INmaster,SIGN(H253))*POWER(CHmaster,SIGN(I253))*POWER(FFmaster,SIGN(J253))*POWER(GEmaster,SIGN(K253))*POWER(KOmaster,SIGN(L253))*POWER(KKmaster,SIGN(M253))+H253*POWER(MUmaster,SIGN(F253))*POWER(KLmaster,SIGN(G253))*POWER(CHmaster,SIGN(I253))*POWER(FFmaster,SIGN(J253))*POWER(GEmaster,SIGN(K253))*POWER(KOmaster,SIGN(L253))*POWER(KKmaster,SIGN(M253))+I253*POWER(MUmaster,SIGN(F253))*POWER(KLmaster,SIGN(G253))*POWER(INmaster,SIGN(H253))*POWER(FFmaster,SIGN(J253))*POWER(GEmaster,SIGN(K253))*POWER(KOmaster,SIGN(L253))*POWER(KKmaster,SIGN(M253))+J253*POWER(MUmaster,SIGN(F253))*POWER(KLmaster,SIGN(G253))*POWER(INmaster,SIGN(H253))*POWER(CHmaster,SIGN(I253))*POWER(GEmaster,SIGN(K253))*POWER(KOmaster,SIGN(L253))*POWER(KKmaster,SIGN(M253))+K253*POWER(MUmaster,SIGN(F253))*POWER(KLmaster,SIGN(G253))*POWER(INmaster,SIGN(H253))*POWER(CHmaster,SIGN(I253))*POWER(FFmaster,SIGN(J253))*POWER(KOmaster,SIGN(L253))*POWER(KKmaster,SIGN(M253))+L253*POWER(MUmaster,SIGN(F253))*POWER(KLmaster,SIGN(G253))*POWER(INmaster,SIGN(H253))*POWER(CHmaster,SIGN(I253))*POWER(FFmaster,SIGN(J253))*POWER(GEmaster,SIGN(K253))*POWER(KKmaster,SIGN(M253))+M253*POWER(MUmaster,SIGN(F253))*POWER(KLmaster,SIGN(G253))*POWER(INmaster,SIGN(H253))*POWER(CHmaster,SIGN(I253))*POWER(FFmaster,SIGN(J253))*POWER(GEmaster,SIGN(K253))*POWER(KOmaster,SIGN(L253))</f>
        <v>2304</v>
      </c>
      <c r="R253" s="113">
        <f>H253*J253*KOmaster+H253*FFmaster*L253+INmaster*J253*L253</f>
        <v>3456</v>
      </c>
      <c r="S253" s="224">
        <f>IFERROR(F253^SIGN(F253),1)*IFERROR(G253^SIGN(G253),1)*IFERROR(H253^SIGN(H253),1)*IFERROR(I253^SIGN(I253),1)*IFERROR(J253^SIGN(J253),1)*IFERROR(K253^SIGN(K253),1)*IFERROR(L253^SIGN(L253),1)*IFERROR(M253^SIGN(M253),1)</f>
        <v>1728</v>
      </c>
      <c r="T253" s="224">
        <f t="shared" si="1793"/>
        <v>7488</v>
      </c>
      <c r="U253" s="222">
        <f t="shared" si="1635"/>
        <v>3.6923076923076925</v>
      </c>
      <c r="V253" s="223">
        <f t="shared" si="1636"/>
        <v>11.076923076923077</v>
      </c>
      <c r="W253" s="243">
        <f t="shared" si="1637"/>
        <v>8.3076923076923084</v>
      </c>
      <c r="X253" s="243">
        <f t="shared" si="1638"/>
        <v>23.07692307692308</v>
      </c>
      <c r="Y253" s="252">
        <v>0</v>
      </c>
      <c r="Z253" s="198">
        <f t="shared" si="1639"/>
        <v>23.07692307692308</v>
      </c>
      <c r="AA253" s="125">
        <f>IF(X253&lt;=0,2,0)+IF(X253&gt;0,X253+1,0)*2+IF(X253&gt;12,X253-12,0)*2+IF(X253&gt;13,X253-13,0)*2+IF(X253&gt;14,X253-14,0)*2+IF(X253&gt;15,X253-15,0)*2+IF(X253&gt;16,X253-16,0)*2+IF(X253&gt;17,X253-17,0)*2+IF(X253&gt;18,X253-18,0)*2+IF(X253&gt;19,X253-19,0)*2+IF(X253&gt;20,X253-20,0)*2</f>
        <v>175.5384615384616</v>
      </c>
      <c r="AB253" s="160">
        <f>IF(Y253&lt;=0,2,0)+IF(Y253&gt;0,Y253+1,0)*2+IF(Y253&gt;12,Y253-12,0)*2+IF(Y253&gt;13,Y253-13,0)*2+IF(Y253&gt;14,Y253-14,0)*2+IF(Y253&gt;15,Y253-15,0)*2+IF(Y253&gt;16,Y253-16,0)*2+IF(Y253&gt;17,Y253-17,0)*2+IF(Y253&gt;18,Y253-18,0)*2+IF(Y253&gt;19,Y253-19,0)*2+IF(Y253&gt;20,Y253-20,0)*2</f>
        <v>2</v>
      </c>
      <c r="AC253" s="127">
        <f t="shared" si="1640"/>
        <v>173.5384615384616</v>
      </c>
      <c r="AD253" s="125">
        <f t="shared" si="1641"/>
        <v>0</v>
      </c>
      <c r="AF253" s="163" t="s">
        <v>167</v>
      </c>
      <c r="AG253" s="125" t="s">
        <v>171</v>
      </c>
      <c r="AH253" s="127" t="s">
        <v>132</v>
      </c>
      <c r="AI253" s="114"/>
      <c r="AJ253" s="113"/>
      <c r="AK253" s="113">
        <f>Konvention_1slave-INslave</f>
        <v>12</v>
      </c>
      <c r="AL253" s="113"/>
      <c r="AM253" s="113">
        <f>Konvention_1slave-FFslave</f>
        <v>12</v>
      </c>
      <c r="AN253" s="113"/>
      <c r="AO253" s="113">
        <f>Konvention_1slave-KOslave</f>
        <v>12</v>
      </c>
      <c r="AP253" s="119"/>
      <c r="AQ253" s="47">
        <f>(AI253+AJ253+AK253+AL253+AM253+AN253+AO253+AP253)/3</f>
        <v>12</v>
      </c>
      <c r="AR253" s="47">
        <f t="shared" si="1643"/>
        <v>24</v>
      </c>
      <c r="AS253" s="119">
        <f t="shared" si="1644"/>
        <v>36</v>
      </c>
      <c r="AT253" s="114">
        <f>AI253*POWER(KLslave,SIGN(AJ253))*POWER(INslave,SIGN(AK253))*POWER(CHslave,SIGN(AL253))*POWER(FFslave,SIGN(AM253))*POWER(GEslave,SIGN(AN253))*POWER(KOslave,SIGN(AO253))*POWER(KKslave,SIGN(AP253))+AJ253*POWER(MUslave_MU,SIGN(AI253))*POWER(INslave,SIGN(AK253))*POWER(CHslave,SIGN(AL253))*POWER(FFslave,SIGN(AM253))*POWER(GEslave,SIGN(AN253))*POWER(KOslave,SIGN(AO253))*POWER(KKslave,SIGN(AP253))+AK253*POWER(MUslave_MU,SIGN(AI253))*POWER(KLslave,SIGN(AJ253))*POWER(CHslave,SIGN(AL253))*POWER(FFslave,SIGN(AM253))*POWER(GEslave,SIGN(AN253))*POWER(KOslave,SIGN(AO253))*POWER(KKslave,SIGN(AP253))+AL253*POWER(MUslave_MU,SIGN(AI253))*POWER(KLslave,SIGN(AJ253))*POWER(INslave,SIGN(AK253))*POWER(FFslave,SIGN(AM253))*POWER(GEslave,SIGN(AN253))*POWER(KOslave,SIGN(AO253))*POWER(KKslave,SIGN(AP253))+AM253*POWER(MUslave_MU,SIGN(AI253))*POWER(KLslave,SIGN(AJ253))*POWER(INslave,SIGN(AK253))*POWER(CHslave,SIGN(AL253))*POWER(GEslave,SIGN(AN253))*POWER(KOslave,SIGN(AO253))*POWER(KKslave,SIGN(AP253))+AN253*POWER(MUslave_MU,SIGN(AI253))*POWER(KLslave,SIGN(AJ253))*POWER(INslave,SIGN(AK253))*POWER(CHslave,SIGN(AL253))*POWER(FFslave,SIGN(AM253))*POWER(KOslave,SIGN(AO253))*POWER(KKslave,SIGN(AP253))+AO253*POWER(MUslave_MU,SIGN(AI253))*POWER(KLslave,SIGN(AJ253))*POWER(INslave,SIGN(AK253))*POWER(CHslave,SIGN(AL253))*POWER(FFslave,SIGN(AM253))*POWER(GEslave,SIGN(AN253))*POWER(KKslave,SIGN(AP253))+AP253*POWER(MUslave_MU,SIGN(AI253))*POWER(KLslave,SIGN(AJ253))*POWER(INslave,SIGN(AK253))*POWER(CHslave,SIGN(AL253))*POWER(FFslave,SIGN(AM253))*POWER(GEslave,SIGN(AN253))*POWER(KOslave,SIGN(AO253))</f>
        <v>2304</v>
      </c>
      <c r="AU253" s="113">
        <f>AK253*AM253*KOslave+AK253*FFslave*AO253+INslave*AM253*AO253</f>
        <v>3456</v>
      </c>
      <c r="AV253" s="119">
        <f>IFERROR(AI253^SIGN(AI253),1)*IFERROR(AJ253^SIGN(AJ253),1)*IFERROR(AK253^SIGN(AK253),1)*IFERROR(AL253^SIGN(AL253),1)*IFERROR(AM253^SIGN(AM253),1)*IFERROR(AN253^SIGN(AN253),1)*IFERROR(AO253^SIGN(AO253),1)*IFERROR(AP253^SIGN(AP253),1)</f>
        <v>1728</v>
      </c>
      <c r="AW253" s="119">
        <f t="shared" si="1785"/>
        <v>7488</v>
      </c>
      <c r="AX253" s="89">
        <f t="shared" si="1647"/>
        <v>3.6923076923076925</v>
      </c>
      <c r="AY253" s="47">
        <f t="shared" si="1648"/>
        <v>11.076923076923077</v>
      </c>
      <c r="AZ253" s="127">
        <f t="shared" si="1649"/>
        <v>8.3076923076923084</v>
      </c>
      <c r="BA253" s="127">
        <f t="shared" si="1650"/>
        <v>23.07692307692308</v>
      </c>
      <c r="BB253" s="165">
        <f t="shared" si="1598"/>
        <v>0</v>
      </c>
      <c r="BC253" s="198">
        <f t="shared" si="1651"/>
        <v>23.07692307692308</v>
      </c>
      <c r="BD253" s="125">
        <f>IF(BA253&lt;=0,2,0)+IF(BA253&gt;0,BA253+1,0)*2+IF(BA253&gt;12,BA253-12,0)*2+IF(BA253&gt;13,BA253-13,0)*2+IF(BA253&gt;14,BA253-14,0)*2+IF(BA253&gt;15,BA253-15,0)*2+IF(BA253&gt;16,BA253-16,0)*2+IF(BA253&gt;17,BA253-17,0)*2+IF(BA253&gt;18,BA253-18,0)*2+IF(BA253&gt;19,BA253-19,0)*2+IF(BA253&gt;20,BA253-20,0)*2</f>
        <v>175.5384615384616</v>
      </c>
      <c r="BE253" s="160">
        <f>IF(BB253&lt;=0,2,0)+IF(BB253&gt;0,BB253+1,0)*2+IF(BB253&gt;12,BB253-12,0)*2+IF(BB253&gt;13,BB253-13,0)*2+IF(BB253&gt;14,BB253-14,0)*2+IF(BB253&gt;15,BB253-15,0)*2+IF(BB253&gt;16,BB253-16,0)*2+IF(BB253&gt;17,BB253-17,0)*2+IF(BB253&gt;18,BB253-18,0)*2+IF(BB253&gt;19,BB253-19,0)*2+IF(BB253&gt;20,BB253-20,0)*2</f>
        <v>2</v>
      </c>
      <c r="BF253" s="243">
        <f t="shared" si="1652"/>
        <v>173.5384615384616</v>
      </c>
      <c r="BG253" s="218">
        <f t="shared" si="1653"/>
        <v>0</v>
      </c>
      <c r="BI253" s="303" t="s">
        <v>167</v>
      </c>
      <c r="BJ253" s="218" t="s">
        <v>171</v>
      </c>
      <c r="BK253" s="243" t="s">
        <v>132</v>
      </c>
      <c r="BL253" s="237"/>
      <c r="BM253" s="234"/>
      <c r="BN253" s="234">
        <f>Konvention_1slave-INslave</f>
        <v>12</v>
      </c>
      <c r="BO253" s="234"/>
      <c r="BP253" s="234">
        <f>Konvention_1slave-FFslave</f>
        <v>12</v>
      </c>
      <c r="BQ253" s="234"/>
      <c r="BR253" s="234">
        <f>Konvention_1slave-KOslave</f>
        <v>12</v>
      </c>
      <c r="BS253" s="224"/>
      <c r="BT253" s="223">
        <f>(BL253+BM253+BN253+BO253+BP253+BQ253+BR253+BS253)/3</f>
        <v>12</v>
      </c>
      <c r="BU253" s="223">
        <f t="shared" si="1655"/>
        <v>24</v>
      </c>
      <c r="BV253" s="224">
        <f t="shared" si="1656"/>
        <v>36</v>
      </c>
      <c r="BW253" s="237">
        <f>BL253*POWER(KLslave_KL,SIGN(BM253))*POWER(INslave,SIGN(BN253))*POWER(CHslave,SIGN(BO253))*POWER(FFslave,SIGN(BP253))*POWER(GEslave,SIGN(BQ253))*POWER(KOslave,SIGN(BR253))*POWER(KKslave,SIGN(BS253))+BM253*POWER(MUslave,SIGN(BL253))*POWER(INslave,SIGN(BN253))*POWER(CHslave,SIGN(BO253))*POWER(FFslave,SIGN(BP253))*POWER(GEslave,SIGN(BQ253))*POWER(KOslave,SIGN(BR253))*POWER(KKslave,SIGN(BS253))+BN253*POWER(MUslave,SIGN(BL253))*POWER(KLslave_KL,SIGN(BM253))*POWER(CHslave,SIGN(BO253))*POWER(FFslave,SIGN(BP253))*POWER(GEslave,SIGN(BQ253))*POWER(KOslave,SIGN(BR253))*POWER(KKslave,SIGN(BS253))+BO253*POWER(MUslave,SIGN(BL253))*POWER(KLslave_KL,SIGN(BM253))*POWER(INslave,SIGN(BN253))*POWER(FFslave,SIGN(BP253))*POWER(GEslave,SIGN(BQ253))*POWER(KOslave,SIGN(BR253))*POWER(KKslave,SIGN(BS253))+BP253*POWER(MUslave,SIGN(BL253))*POWER(KLslave_KL,SIGN(BM253))*POWER(INslave,SIGN(BN253))*POWER(CHslave,SIGN(BO253))*POWER(GEslave,SIGN(BQ253))*POWER(KOslave,SIGN(BR253))*POWER(KKslave,SIGN(BS253))+BQ253*POWER(MUslave,SIGN(BL253))*POWER(KLslave_KL,SIGN(BM253))*POWER(INslave,SIGN(BN253))*POWER(CHslave,SIGN(BO253))*POWER(FFslave,SIGN(BP253))*POWER(KOslave,SIGN(BR253))*POWER(KKslave,SIGN(BS253))+BR253*POWER(MUslave,SIGN(BL253))*POWER(KLslave_KL,SIGN(BM253))*POWER(INslave,SIGN(BN253))*POWER(CHslave,SIGN(BO253))*POWER(FFslave,SIGN(BP253))*POWER(GEslave,SIGN(BQ253))*POWER(KKslave,SIGN(BS253))+BS253*POWER(MUslave,SIGN(BL253))*POWER(KLslave_KL,SIGN(BM253))*POWER(INslave,SIGN(BN253))*POWER(CHslave,SIGN(BO253))*POWER(FFslave,SIGN(BP253))*POWER(GEslave,SIGN(BQ253))*POWER(KOslave,SIGN(BR253))</f>
        <v>2304</v>
      </c>
      <c r="BX253" s="234">
        <f>BN253*BP253*KOslave+BN253*FFslave*BR253+INslave*BP253*BR253</f>
        <v>3456</v>
      </c>
      <c r="BY253" s="224">
        <f>IFERROR(BL253^SIGN(BL253),1)*IFERROR(BM253^SIGN(BM253),1)*IFERROR(BN253^SIGN(BN253),1)*IFERROR(BO253^SIGN(BO253),1)*IFERROR(BP253^SIGN(BP253),1)*IFERROR(BQ253^SIGN(BQ253),1)*IFERROR(BR253^SIGN(BR253),1)*IFERROR(BS253^SIGN(BS253),1)</f>
        <v>1728</v>
      </c>
      <c r="BZ253" s="224">
        <f t="shared" si="1786"/>
        <v>7488</v>
      </c>
      <c r="CA253" s="222">
        <f t="shared" si="1659"/>
        <v>3.6923076923076925</v>
      </c>
      <c r="CB253" s="223">
        <f t="shared" si="1660"/>
        <v>11.076923076923077</v>
      </c>
      <c r="CC253" s="243">
        <f t="shared" si="1661"/>
        <v>8.3076923076923084</v>
      </c>
      <c r="CD253" s="243">
        <f t="shared" si="1662"/>
        <v>23.07692307692308</v>
      </c>
      <c r="CE253" s="252">
        <f t="shared" si="1600"/>
        <v>0</v>
      </c>
      <c r="CF253" s="309">
        <f t="shared" si="1663"/>
        <v>23.07692307692308</v>
      </c>
      <c r="CG253" s="218">
        <f>IF(CD253&lt;=0,2,0)+IF(CD253&gt;0,CD253+1,0)*2+IF(CD253&gt;12,CD253-12,0)*2+IF(CD253&gt;13,CD253-13,0)*2+IF(CD253&gt;14,CD253-14,0)*2+IF(CD253&gt;15,CD253-15,0)*2+IF(CD253&gt;16,CD253-16,0)*2+IF(CD253&gt;17,CD253-17,0)*2+IF(CD253&gt;18,CD253-18,0)*2+IF(CD253&gt;19,CD253-19,0)*2+IF(CD253&gt;20,CD253-20,0)*2</f>
        <v>175.5384615384616</v>
      </c>
      <c r="CH253" s="242">
        <f>IF(CE253&lt;=0,2,0)+IF(CE253&gt;0,CE253+1,0)*2+IF(CE253&gt;12,CE253-12,0)*2+IF(CE253&gt;13,CE253-13,0)*2+IF(CE253&gt;14,CE253-14,0)*2+IF(CE253&gt;15,CE253-15,0)*2+IF(CE253&gt;16,CE253-16,0)*2+IF(CE253&gt;17,CE253-17,0)*2+IF(CE253&gt;18,CE253-18,0)*2+IF(CE253&gt;19,CE253-19,0)*2+IF(CE253&gt;20,CE253-20,0)*2</f>
        <v>2</v>
      </c>
      <c r="CI253" s="243">
        <f t="shared" si="1664"/>
        <v>173.5384615384616</v>
      </c>
      <c r="CJ253" s="218">
        <f t="shared" si="1665"/>
        <v>0</v>
      </c>
      <c r="CL253" s="303" t="s">
        <v>167</v>
      </c>
      <c r="CM253" s="218" t="s">
        <v>171</v>
      </c>
      <c r="CN253" s="243" t="s">
        <v>132</v>
      </c>
      <c r="CO253" s="237"/>
      <c r="CP253" s="234"/>
      <c r="CQ253" s="234">
        <f>Konvention_1slave-INslave_IN</f>
        <v>11</v>
      </c>
      <c r="CR253" s="234"/>
      <c r="CS253" s="234">
        <f>Konvention_1slave-FFslave</f>
        <v>12</v>
      </c>
      <c r="CT253" s="234"/>
      <c r="CU253" s="234">
        <f>Konvention_1slave-KOslave</f>
        <v>12</v>
      </c>
      <c r="CV253" s="224"/>
      <c r="CW253" s="223">
        <f>(CO253+CP253+CQ253+CR253+CS253+CT253+CU253+CV253)/3</f>
        <v>11.666666666666666</v>
      </c>
      <c r="CX253" s="223">
        <f t="shared" si="1667"/>
        <v>23.333333333333332</v>
      </c>
      <c r="CY253" s="224">
        <f t="shared" si="1668"/>
        <v>35</v>
      </c>
      <c r="CZ253" s="237">
        <f>CO253*POWER(KLslave,SIGN(CP253))*POWER(INslave_IN,SIGN(CQ253))*POWER(CHslave,SIGN(CR253))*POWER(FFslave,SIGN(CS253))*POWER(GEslave,SIGN(CT253))*POWER(KOslave,SIGN(CU253))*POWER(KKslave,SIGN(CV253))+CP253*POWER(MUslave,SIGN(CO253))*POWER(INslave_IN,SIGN(CQ253))*POWER(CHslave,SIGN(CR253))*POWER(FFslave,SIGN(CS253))*POWER(GEslave,SIGN(CT253))*POWER(KOslave,SIGN(CU253))*POWER(KKslave,SIGN(CV253))+CQ253*POWER(MUslave,SIGN(CO253))*POWER(KLslave,SIGN(CP253))*POWER(CHslave,SIGN(CR253))*POWER(FFslave,SIGN(CS253))*POWER(GEslave,SIGN(CT253))*POWER(KOslave,SIGN(CU253))*POWER(KKslave,SIGN(CV253))+CR253*POWER(MUslave,SIGN(CO253))*POWER(KLslave,SIGN(CP253))*POWER(INslave_IN,SIGN(CQ253))*POWER(FFslave,SIGN(CS253))*POWER(GEslave,SIGN(CT253))*POWER(KOslave,SIGN(CU253))*POWER(KKslave,SIGN(CV253))+CS253*POWER(MUslave,SIGN(CO253))*POWER(KLslave,SIGN(CP253))*POWER(INslave_IN,SIGN(CQ253))*POWER(CHslave,SIGN(CR253))*POWER(GEslave,SIGN(CT253))*POWER(KOslave,SIGN(CU253))*POWER(KKslave,SIGN(CV253))+CT253*POWER(MUslave,SIGN(CO253))*POWER(KLslave,SIGN(CP253))*POWER(INslave_IN,SIGN(CQ253))*POWER(CHslave,SIGN(CR253))*POWER(FFslave,SIGN(CS253))*POWER(KOslave,SIGN(CU253))*POWER(KKslave,SIGN(CV253))+CU253*POWER(MUslave,SIGN(CO253))*POWER(KLslave,SIGN(CP253))*POWER(INslave_IN,SIGN(CQ253))*POWER(CHslave,SIGN(CR253))*POWER(FFslave,SIGN(CS253))*POWER(GEslave,SIGN(CT253))*POWER(KKslave,SIGN(CV253))+CV253*POWER(MUslave,SIGN(CO253))*POWER(KLslave,SIGN(CP253))*POWER(INslave_IN,SIGN(CQ253))*POWER(CHslave,SIGN(CR253))*POWER(FFslave,SIGN(CS253))*POWER(GEslave,SIGN(CT253))*POWER(KOslave,SIGN(CU253))</f>
        <v>2432</v>
      </c>
      <c r="DA253" s="234">
        <f>CQ253*CS253*KOslave+CQ253*FFslave*CU253+INslave_IN*CS253*CU253</f>
        <v>3408</v>
      </c>
      <c r="DB253" s="224">
        <f>IFERROR(CO253^SIGN(CO253),1)*IFERROR(CP253^SIGN(CP253),1)*IFERROR(CQ253^SIGN(CQ253),1)*IFERROR(CR253^SIGN(CR253),1)*IFERROR(CS253^SIGN(CS253),1)*IFERROR(CT253^SIGN(CT253),1)*IFERROR(CU253^SIGN(CU253),1)*IFERROR(CV253^SIGN(CV253),1)</f>
        <v>1584</v>
      </c>
      <c r="DC253" s="224">
        <f t="shared" si="1787"/>
        <v>7424</v>
      </c>
      <c r="DD253" s="222">
        <f t="shared" si="1671"/>
        <v>3.8218390804597702</v>
      </c>
      <c r="DE253" s="223">
        <f t="shared" si="1672"/>
        <v>10.711206896551724</v>
      </c>
      <c r="DF253" s="243">
        <f t="shared" si="1673"/>
        <v>7.4676724137931032</v>
      </c>
      <c r="DG253" s="243">
        <f t="shared" si="1674"/>
        <v>22.000718390804597</v>
      </c>
      <c r="DH253" s="252">
        <f t="shared" si="1602"/>
        <v>0</v>
      </c>
      <c r="DI253" s="309">
        <f t="shared" si="1675"/>
        <v>22.000718390804597</v>
      </c>
      <c r="DJ253" s="218">
        <f>IF(DG253&lt;=0,2,0)+IF(DG253&gt;0,DG253+1,0)*2+IF(DG253&gt;12,DG253-12,0)*2+IF(DG253&gt;13,DG253-13,0)*2+IF(DG253&gt;14,DG253-14,0)*2+IF(DG253&gt;15,DG253-15,0)*2+IF(DG253&gt;16,DG253-16,0)*2+IF(DG253&gt;17,DG253-17,0)*2+IF(DG253&gt;18,DG253-18,0)*2+IF(DG253&gt;19,DG253-19,0)*2+IF(DG253&gt;20,DG253-20,0)*2</f>
        <v>154.01436781609189</v>
      </c>
      <c r="DK253" s="242">
        <f>IF(DH253&lt;=0,2,0)+IF(DH253&gt;0,DH253+1,0)*2+IF(DH253&gt;12,DH253-12,0)*2+IF(DH253&gt;13,DH253-13,0)*2+IF(DH253&gt;14,DH253-14,0)*2+IF(DH253&gt;15,DH253-15,0)*2+IF(DH253&gt;16,DH253-16,0)*2+IF(DH253&gt;17,DH253-17,0)*2+IF(DH253&gt;18,DH253-18,0)*2+IF(DH253&gt;19,DH253-19,0)*2+IF(DH253&gt;20,DH253-20,0)*2</f>
        <v>2</v>
      </c>
      <c r="DL253" s="243">
        <f t="shared" si="1676"/>
        <v>152.01436781609189</v>
      </c>
      <c r="DM253" s="218">
        <f t="shared" si="1677"/>
        <v>0</v>
      </c>
      <c r="DO253" s="303" t="s">
        <v>167</v>
      </c>
      <c r="DP253" s="218" t="s">
        <v>171</v>
      </c>
      <c r="DQ253" s="243" t="s">
        <v>132</v>
      </c>
      <c r="DR253" s="237"/>
      <c r="DS253" s="234"/>
      <c r="DT253" s="234">
        <f>Konvention_1slave-INslave</f>
        <v>12</v>
      </c>
      <c r="DU253" s="234"/>
      <c r="DV253" s="234">
        <f>Konvention_1slave-FFslave</f>
        <v>12</v>
      </c>
      <c r="DW253" s="234"/>
      <c r="DX253" s="234">
        <f>Konvention_1slave-KOslave</f>
        <v>12</v>
      </c>
      <c r="DY253" s="224"/>
      <c r="DZ253" s="223">
        <f>(DR253+DS253+DT253+DU253+DV253+DW253+DX253+DY253)/3</f>
        <v>12</v>
      </c>
      <c r="EA253" s="223">
        <f t="shared" si="1679"/>
        <v>24</v>
      </c>
      <c r="EB253" s="224">
        <f t="shared" si="1680"/>
        <v>36</v>
      </c>
      <c r="EC253" s="237">
        <f>DR253*POWER(KLslave,SIGN(DS253))*POWER(INslave,SIGN(DT253))*POWER(CHslave_CH,SIGN(DU253))*POWER(FFslave,SIGN(DV253))*POWER(GEslave,SIGN(DW253))*POWER(KOslave,SIGN(DX253))*POWER(KKslave,SIGN(DY253))+DS253*POWER(MUslave,SIGN(DR253))*POWER(INslave,SIGN(DT253))*POWER(CHslave_CH,SIGN(DU253))*POWER(FFslave,SIGN(DV253))*POWER(GEslave,SIGN(DW253))*POWER(KOslave,SIGN(DX253))*POWER(KKslave,SIGN(DY253))+DT253*POWER(MUslave,SIGN(DR253))*POWER(KLslave,SIGN(DS253))*POWER(CHslave_CH,SIGN(DU253))*POWER(FFslave,SIGN(DV253))*POWER(GEslave,SIGN(DW253))*POWER(KOslave,SIGN(DX253))*POWER(KKslave,SIGN(DY253))+DU253*POWER(MUslave,SIGN(DR253))*POWER(KLslave,SIGN(DS253))*POWER(INslave,SIGN(DT253))*POWER(FFslave,SIGN(DV253))*POWER(GEslave,SIGN(DW253))*POWER(KOslave,SIGN(DX253))*POWER(KKslave,SIGN(DY253))+DV253*POWER(MUslave,SIGN(DR253))*POWER(KLslave,SIGN(DS253))*POWER(INslave,SIGN(DT253))*POWER(CHslave_CH,SIGN(DU253))*POWER(GEslave,SIGN(DW253))*POWER(KOslave,SIGN(DX253))*POWER(KKslave,SIGN(DY253))+DW253*POWER(MUslave,SIGN(DR253))*POWER(KLslave,SIGN(DS253))*POWER(INslave,SIGN(DT253))*POWER(CHslave_CH,SIGN(DU253))*POWER(FFslave,SIGN(DV253))*POWER(KOslave,SIGN(DX253))*POWER(KKslave,SIGN(DY253))+DX253*POWER(MUslave,SIGN(DR253))*POWER(KLslave,SIGN(DS253))*POWER(INslave,SIGN(DT253))*POWER(CHslave_CH,SIGN(DU253))*POWER(FFslave,SIGN(DV253))*POWER(GEslave,SIGN(DW253))*POWER(KKslave,SIGN(DY253))+DY253*POWER(MUslave,SIGN(DR253))*POWER(KLslave,SIGN(DS253))*POWER(INslave,SIGN(DT253))*POWER(CHslave_CH,SIGN(DU253))*POWER(FFslave,SIGN(DV253))*POWER(GEslave,SIGN(DW253))*POWER(KOslave,SIGN(DX253))</f>
        <v>2304</v>
      </c>
      <c r="ED253" s="234">
        <f>DT253*DV253*KOslave+DT253*FFslave*DX253+INslave*DV253*DX253</f>
        <v>3456</v>
      </c>
      <c r="EE253" s="224">
        <f>IFERROR(DR253^SIGN(DR253),1)*IFERROR(DS253^SIGN(DS253),1)*IFERROR(DT253^SIGN(DT253),1)*IFERROR(DU253^SIGN(DU253),1)*IFERROR(DV253^SIGN(DV253),1)*IFERROR(DW253^SIGN(DW253),1)*IFERROR(DX253^SIGN(DX253),1)*IFERROR(DY253^SIGN(DY253),1)</f>
        <v>1728</v>
      </c>
      <c r="EF253" s="224">
        <f t="shared" si="1788"/>
        <v>7488</v>
      </c>
      <c r="EG253" s="222">
        <f t="shared" si="1683"/>
        <v>3.6923076923076925</v>
      </c>
      <c r="EH253" s="223">
        <f t="shared" si="1684"/>
        <v>11.076923076923077</v>
      </c>
      <c r="EI253" s="243">
        <f t="shared" si="1685"/>
        <v>8.3076923076923084</v>
      </c>
      <c r="EJ253" s="243">
        <f t="shared" si="1686"/>
        <v>23.07692307692308</v>
      </c>
      <c r="EK253" s="252">
        <f t="shared" si="1604"/>
        <v>0</v>
      </c>
      <c r="EL253" s="309">
        <f t="shared" si="1687"/>
        <v>23.07692307692308</v>
      </c>
      <c r="EM253" s="218">
        <f>IF(EJ253&lt;=0,2,0)+IF(EJ253&gt;0,EJ253+1,0)*2+IF(EJ253&gt;12,EJ253-12,0)*2+IF(EJ253&gt;13,EJ253-13,0)*2+IF(EJ253&gt;14,EJ253-14,0)*2+IF(EJ253&gt;15,EJ253-15,0)*2+IF(EJ253&gt;16,EJ253-16,0)*2+IF(EJ253&gt;17,EJ253-17,0)*2+IF(EJ253&gt;18,EJ253-18,0)*2+IF(EJ253&gt;19,EJ253-19,0)*2+IF(EJ253&gt;20,EJ253-20,0)*2</f>
        <v>175.5384615384616</v>
      </c>
      <c r="EN253" s="242">
        <f>IF(EK253&lt;=0,2,0)+IF(EK253&gt;0,EK253+1,0)*2+IF(EK253&gt;12,EK253-12,0)*2+IF(EK253&gt;13,EK253-13,0)*2+IF(EK253&gt;14,EK253-14,0)*2+IF(EK253&gt;15,EK253-15,0)*2+IF(EK253&gt;16,EK253-16,0)*2+IF(EK253&gt;17,EK253-17,0)*2+IF(EK253&gt;18,EK253-18,0)*2+IF(EK253&gt;19,EK253-19,0)*2+IF(EK253&gt;20,EK253-20,0)*2</f>
        <v>2</v>
      </c>
      <c r="EO253" s="243">
        <f t="shared" si="1688"/>
        <v>173.5384615384616</v>
      </c>
      <c r="EP253" s="218">
        <f t="shared" si="1689"/>
        <v>0</v>
      </c>
      <c r="ER253" s="303" t="s">
        <v>167</v>
      </c>
      <c r="ES253" s="218" t="s">
        <v>171</v>
      </c>
      <c r="ET253" s="243" t="s">
        <v>132</v>
      </c>
      <c r="EU253" s="237"/>
      <c r="EV253" s="234"/>
      <c r="EW253" s="234">
        <f>Konvention_1slave-INslave</f>
        <v>12</v>
      </c>
      <c r="EX253" s="234"/>
      <c r="EY253" s="234">
        <f>Konvention_1slave-FFslave_FF</f>
        <v>11</v>
      </c>
      <c r="EZ253" s="234"/>
      <c r="FA253" s="234">
        <f>Konvention_1slave-KOslave</f>
        <v>12</v>
      </c>
      <c r="FB253" s="224"/>
      <c r="FC253" s="223">
        <f>(EU253+EV253+EW253+EX253+EY253+EZ253+FA253+FB253)/3</f>
        <v>11.666666666666666</v>
      </c>
      <c r="FD253" s="223">
        <f t="shared" si="1691"/>
        <v>23.333333333333332</v>
      </c>
      <c r="FE253" s="224">
        <f t="shared" si="1692"/>
        <v>35</v>
      </c>
      <c r="FF253" s="237">
        <f>EU253*POWER(KLslave,SIGN(EV253))*POWER(INslave,SIGN(EW253))*POWER(CHslave,SIGN(EX253))*POWER(FFslave_FF,SIGN(EY253))*POWER(GEslave,SIGN(EZ253))*POWER(KOslave,SIGN(FA253))*POWER(KKslave,SIGN(FB253))+EV253*POWER(MUslave,SIGN(EU253))*POWER(INslave,SIGN(EW253))*POWER(CHslave,SIGN(EX253))*POWER(FFslave_FF,SIGN(EY253))*POWER(GEslave,SIGN(EZ253))*POWER(KOslave,SIGN(FA253))*POWER(KKslave,SIGN(FB253))+EW253*POWER(MUslave,SIGN(EU253))*POWER(KLslave,SIGN(EV253))*POWER(CHslave,SIGN(EX253))*POWER(FFslave_FF,SIGN(EY253))*POWER(GEslave,SIGN(EZ253))*POWER(KOslave,SIGN(FA253))*POWER(KKslave,SIGN(FB253))+EX253*POWER(MUslave,SIGN(EU253))*POWER(KLslave,SIGN(EV253))*POWER(INslave,SIGN(EW253))*POWER(FFslave_FF,SIGN(EY253))*POWER(GEslave,SIGN(EZ253))*POWER(KOslave,SIGN(FA253))*POWER(KKslave,SIGN(FB253))+EY253*POWER(MUslave,SIGN(EU253))*POWER(KLslave,SIGN(EV253))*POWER(INslave,SIGN(EW253))*POWER(CHslave,SIGN(EX253))*POWER(GEslave,SIGN(EZ253))*POWER(KOslave,SIGN(FA253))*POWER(KKslave,SIGN(FB253))+EZ253*POWER(MUslave,SIGN(EU253))*POWER(KLslave,SIGN(EV253))*POWER(INslave,SIGN(EW253))*POWER(CHslave,SIGN(EX253))*POWER(FFslave_FF,SIGN(EY253))*POWER(KOslave,SIGN(FA253))*POWER(KKslave,SIGN(FB253))+FA253*POWER(MUslave,SIGN(EU253))*POWER(KLslave,SIGN(EV253))*POWER(INslave,SIGN(EW253))*POWER(CHslave,SIGN(EX253))*POWER(FFslave_FF,SIGN(EY253))*POWER(GEslave,SIGN(EZ253))*POWER(KKslave,SIGN(FB253))+FB253*POWER(MUslave,SIGN(EU253))*POWER(KLslave,SIGN(EV253))*POWER(INslave,SIGN(EW253))*POWER(CHslave,SIGN(EX253))*POWER(FFslave_FF,SIGN(EY253))*POWER(GEslave,SIGN(EZ253))*POWER(KOslave,SIGN(FA253))</f>
        <v>2432</v>
      </c>
      <c r="FG253" s="234">
        <f>EW253*EY253*KOslave+EW253*FFslave_FF*FA253+INslave*EY253*FA253</f>
        <v>3408</v>
      </c>
      <c r="FH253" s="224">
        <f>IFERROR(EU253^SIGN(EU253),1)*IFERROR(EV253^SIGN(EV253),1)*IFERROR(EW253^SIGN(EW253),1)*IFERROR(EX253^SIGN(EX253),1)*IFERROR(EY253^SIGN(EY253),1)*IFERROR(EZ253^SIGN(EZ253),1)*IFERROR(FA253^SIGN(FA253),1)*IFERROR(FB253^SIGN(FB253),1)</f>
        <v>1584</v>
      </c>
      <c r="FI253" s="224">
        <f t="shared" si="1789"/>
        <v>7424</v>
      </c>
      <c r="FJ253" s="222">
        <f t="shared" si="1695"/>
        <v>3.8218390804597702</v>
      </c>
      <c r="FK253" s="223">
        <f t="shared" si="1696"/>
        <v>10.711206896551724</v>
      </c>
      <c r="FL253" s="243">
        <f t="shared" si="1697"/>
        <v>7.4676724137931032</v>
      </c>
      <c r="FM253" s="243">
        <f t="shared" si="1698"/>
        <v>22.000718390804597</v>
      </c>
      <c r="FN253" s="252">
        <f t="shared" si="1606"/>
        <v>0</v>
      </c>
      <c r="FO253" s="309">
        <f t="shared" si="1699"/>
        <v>22.000718390804597</v>
      </c>
      <c r="FP253" s="218">
        <f>IF(FM253&lt;=0,2,0)+IF(FM253&gt;0,FM253+1,0)*2+IF(FM253&gt;12,FM253-12,0)*2+IF(FM253&gt;13,FM253-13,0)*2+IF(FM253&gt;14,FM253-14,0)*2+IF(FM253&gt;15,FM253-15,0)*2+IF(FM253&gt;16,FM253-16,0)*2+IF(FM253&gt;17,FM253-17,0)*2+IF(FM253&gt;18,FM253-18,0)*2+IF(FM253&gt;19,FM253-19,0)*2+IF(FM253&gt;20,FM253-20,0)*2</f>
        <v>154.01436781609189</v>
      </c>
      <c r="FQ253" s="242">
        <f>IF(FN253&lt;=0,2,0)+IF(FN253&gt;0,FN253+1,0)*2+IF(FN253&gt;12,FN253-12,0)*2+IF(FN253&gt;13,FN253-13,0)*2+IF(FN253&gt;14,FN253-14,0)*2+IF(FN253&gt;15,FN253-15,0)*2+IF(FN253&gt;16,FN253-16,0)*2+IF(FN253&gt;17,FN253-17,0)*2+IF(FN253&gt;18,FN253-18,0)*2+IF(FN253&gt;19,FN253-19,0)*2+IF(FN253&gt;20,FN253-20,0)*2</f>
        <v>2</v>
      </c>
      <c r="FR253" s="243">
        <f t="shared" si="1700"/>
        <v>152.01436781609189</v>
      </c>
      <c r="FS253" s="218">
        <f t="shared" si="1701"/>
        <v>0</v>
      </c>
      <c r="FU253" s="303" t="s">
        <v>167</v>
      </c>
      <c r="FV253" s="218" t="s">
        <v>171</v>
      </c>
      <c r="FW253" s="243" t="s">
        <v>132</v>
      </c>
      <c r="FX253" s="237"/>
      <c r="FY253" s="234"/>
      <c r="FZ253" s="234">
        <f>Konvention_1slave-INslave</f>
        <v>12</v>
      </c>
      <c r="GA253" s="234"/>
      <c r="GB253" s="234">
        <f>Konvention_1slave-FFslave</f>
        <v>12</v>
      </c>
      <c r="GC253" s="234"/>
      <c r="GD253" s="234">
        <f>Konvention_1slave-KOslave</f>
        <v>12</v>
      </c>
      <c r="GE253" s="224"/>
      <c r="GF253" s="223">
        <f>(FX253+FY253+FZ253+GA253+GB253+GC253+GD253+GE253)/3</f>
        <v>12</v>
      </c>
      <c r="GG253" s="223">
        <f t="shared" si="1703"/>
        <v>24</v>
      </c>
      <c r="GH253" s="224">
        <f t="shared" si="1704"/>
        <v>36</v>
      </c>
      <c r="GI253" s="237">
        <f>FX253*POWER(KLslave,SIGN(FY253))*POWER(INslave,SIGN(FZ253))*POWER(CHslave,SIGN(GA253))*POWER(FFslave,SIGN(GB253))*POWER(GEslave_GE,SIGN(GC253))*POWER(KOslave,SIGN(GD253))*POWER(KKslave,SIGN(GE253))+FY253*POWER(MUslave,SIGN(FX253))*POWER(INslave,SIGN(FZ253))*POWER(CHslave,SIGN(GA253))*POWER(FFslave,SIGN(GB253))*POWER(GEslave_GE,SIGN(GC253))*POWER(KOslave,SIGN(GD253))*POWER(KKslave,SIGN(GE253))+FZ253*POWER(MUslave,SIGN(FX253))*POWER(KLslave,SIGN(FY253))*POWER(CHslave,SIGN(GA253))*POWER(FFslave,SIGN(GB253))*POWER(GEslave_GE,SIGN(GC253))*POWER(KOslave,SIGN(GD253))*POWER(KKslave,SIGN(GE253))+GA253*POWER(MUslave,SIGN(FX253))*POWER(KLslave,SIGN(FY253))*POWER(INslave,SIGN(FZ253))*POWER(FFslave,SIGN(GB253))*POWER(GEslave_GE,SIGN(GC253))*POWER(KOslave,SIGN(GD253))*POWER(KKslave,SIGN(GE253))+GB253*POWER(MUslave,SIGN(FX253))*POWER(KLslave,SIGN(FY253))*POWER(INslave,SIGN(FZ253))*POWER(CHslave,SIGN(GA253))*POWER(GEslave_GE,SIGN(GC253))*POWER(KOslave,SIGN(GD253))*POWER(KKslave,SIGN(GE253))+GC253*POWER(MUslave,SIGN(FX253))*POWER(KLslave,SIGN(FY253))*POWER(INslave,SIGN(FZ253))*POWER(CHslave,SIGN(GA253))*POWER(FFslave,SIGN(GB253))*POWER(KOslave,SIGN(GD253))*POWER(KKslave,SIGN(GE253))+GD253*POWER(MUslave,SIGN(FX253))*POWER(KLslave,SIGN(FY253))*POWER(INslave,SIGN(FZ253))*POWER(CHslave,SIGN(GA253))*POWER(FFslave,SIGN(GB253))*POWER(GEslave_GE,SIGN(GC253))*POWER(KKslave,SIGN(GE253))+GE253*POWER(MUslave,SIGN(FX253))*POWER(KLslave,SIGN(FY253))*POWER(INslave,SIGN(FZ253))*POWER(CHslave,SIGN(GA253))*POWER(FFslave,SIGN(GB253))*POWER(GEslave_GE,SIGN(GC253))*POWER(KOslave,SIGN(GD253))</f>
        <v>2304</v>
      </c>
      <c r="GJ253" s="234">
        <f>FZ253*GB253*KOslave+FZ253*FFslave*GD253+INslave*GB253*GD253</f>
        <v>3456</v>
      </c>
      <c r="GK253" s="224">
        <f>IFERROR(FX253^SIGN(FX253),1)*IFERROR(FY253^SIGN(FY253),1)*IFERROR(FZ253^SIGN(FZ253),1)*IFERROR(GA253^SIGN(GA253),1)*IFERROR(GB253^SIGN(GB253),1)*IFERROR(GC253^SIGN(GC253),1)*IFERROR(GD253^SIGN(GD253),1)*IFERROR(GE253^SIGN(GE253),1)</f>
        <v>1728</v>
      </c>
      <c r="GL253" s="224">
        <f t="shared" si="1790"/>
        <v>7488</v>
      </c>
      <c r="GM253" s="222">
        <f t="shared" si="1707"/>
        <v>3.6923076923076925</v>
      </c>
      <c r="GN253" s="223">
        <f t="shared" si="1708"/>
        <v>11.076923076923077</v>
      </c>
      <c r="GO253" s="243">
        <f t="shared" si="1709"/>
        <v>8.3076923076923084</v>
      </c>
      <c r="GP253" s="243">
        <f t="shared" si="1710"/>
        <v>23.07692307692308</v>
      </c>
      <c r="GQ253" s="252">
        <f t="shared" si="1608"/>
        <v>0</v>
      </c>
      <c r="GR253" s="309">
        <f t="shared" si="1711"/>
        <v>23.07692307692308</v>
      </c>
      <c r="GS253" s="218">
        <f>IF(GP253&lt;=0,2,0)+IF(GP253&gt;0,GP253+1,0)*2+IF(GP253&gt;12,GP253-12,0)*2+IF(GP253&gt;13,GP253-13,0)*2+IF(GP253&gt;14,GP253-14,0)*2+IF(GP253&gt;15,GP253-15,0)*2+IF(GP253&gt;16,GP253-16,0)*2+IF(GP253&gt;17,GP253-17,0)*2+IF(GP253&gt;18,GP253-18,0)*2+IF(GP253&gt;19,GP253-19,0)*2+IF(GP253&gt;20,GP253-20,0)*2</f>
        <v>175.5384615384616</v>
      </c>
      <c r="GT253" s="242">
        <f>IF(GQ253&lt;=0,2,0)+IF(GQ253&gt;0,GQ253+1,0)*2+IF(GQ253&gt;12,GQ253-12,0)*2+IF(GQ253&gt;13,GQ253-13,0)*2+IF(GQ253&gt;14,GQ253-14,0)*2+IF(GQ253&gt;15,GQ253-15,0)*2+IF(GQ253&gt;16,GQ253-16,0)*2+IF(GQ253&gt;17,GQ253-17,0)*2+IF(GQ253&gt;18,GQ253-18,0)*2+IF(GQ253&gt;19,GQ253-19,0)*2+IF(GQ253&gt;20,GQ253-20,0)*2</f>
        <v>2</v>
      </c>
      <c r="GU253" s="243">
        <f t="shared" si="1712"/>
        <v>173.5384615384616</v>
      </c>
      <c r="GV253" s="218">
        <f t="shared" si="1713"/>
        <v>0</v>
      </c>
      <c r="GX253" s="303" t="s">
        <v>167</v>
      </c>
      <c r="GY253" s="218" t="s">
        <v>171</v>
      </c>
      <c r="GZ253" s="243" t="s">
        <v>132</v>
      </c>
      <c r="HA253" s="237"/>
      <c r="HB253" s="234"/>
      <c r="HC253" s="234">
        <f>Konvention_1slave-INslave</f>
        <v>12</v>
      </c>
      <c r="HD253" s="234"/>
      <c r="HE253" s="234">
        <f>Konvention_1slave-FFslave</f>
        <v>12</v>
      </c>
      <c r="HF253" s="234"/>
      <c r="HG253" s="234">
        <f>Konvention_1slave-KOslave_KO</f>
        <v>11</v>
      </c>
      <c r="HH253" s="224"/>
      <c r="HI253" s="223">
        <f>(HA253+HB253+HC253+HD253+HE253+HF253+HG253+HH253)/3</f>
        <v>11.666666666666666</v>
      </c>
      <c r="HJ253" s="223">
        <f t="shared" si="1715"/>
        <v>23.333333333333332</v>
      </c>
      <c r="HK253" s="224">
        <f t="shared" si="1716"/>
        <v>35</v>
      </c>
      <c r="HL253" s="237">
        <f>HA253*POWER(KLslave,SIGN(HB253))*POWER(INslave,SIGN(HC253))*POWER(CHslave,SIGN(HD253))*POWER(FFslave,SIGN(HE253))*POWER(GEslave,SIGN(HF253))*POWER(KOslave_KO,SIGN(HG253))*POWER(KKslave,SIGN(HH253))+HB253*POWER(MUslave,SIGN(HA253))*POWER(INslave,SIGN(HC253))*POWER(CHslave,SIGN(HD253))*POWER(FFslave,SIGN(HE253))*POWER(GEslave,SIGN(HF253))*POWER(KOslave_KO,SIGN(HG253))*POWER(KKslave,SIGN(HH253))+HC253*POWER(MUslave,SIGN(HA253))*POWER(KLslave,SIGN(HB253))*POWER(CHslave,SIGN(HD253))*POWER(FFslave,SIGN(HE253))*POWER(GEslave,SIGN(HF253))*POWER(KOslave_KO,SIGN(HG253))*POWER(KKslave,SIGN(HH253))+HD253*POWER(MUslave,SIGN(HA253))*POWER(KLslave,SIGN(HB253))*POWER(INslave,SIGN(HC253))*POWER(FFslave,SIGN(HE253))*POWER(GEslave,SIGN(HF253))*POWER(KOslave_KO,SIGN(HG253))*POWER(KKslave,SIGN(HH253))+HE253*POWER(MUslave,SIGN(HA253))*POWER(KLslave,SIGN(HB253))*POWER(INslave,SIGN(HC253))*POWER(CHslave,SIGN(HD253))*POWER(GEslave,SIGN(HF253))*POWER(KOslave_KO,SIGN(HG253))*POWER(KKslave,SIGN(HH253))+HF253*POWER(MUslave,SIGN(HA253))*POWER(KLslave,SIGN(HB253))*POWER(INslave,SIGN(HC253))*POWER(CHslave,SIGN(HD253))*POWER(FFslave,SIGN(HE253))*POWER(KOslave_KO,SIGN(HG253))*POWER(KKslave,SIGN(HH253))+HG253*POWER(MUslave,SIGN(HA253))*POWER(KLslave,SIGN(HB253))*POWER(INslave,SIGN(HC253))*POWER(CHslave,SIGN(HD253))*POWER(FFslave,SIGN(HE253))*POWER(GEslave,SIGN(HF253))*POWER(KKslave,SIGN(HH253))+HH253*POWER(MUslave,SIGN(HA253))*POWER(KLslave,SIGN(HB253))*POWER(INslave,SIGN(HC253))*POWER(CHslave,SIGN(HD253))*POWER(FFslave,SIGN(HE253))*POWER(GEslave,SIGN(HF253))*POWER(KOslave_KO,SIGN(HG253))</f>
        <v>2432</v>
      </c>
      <c r="HM253" s="234">
        <f>HC253*HE253*KOslave_KO+HC253*FFslave*HG253+INslave*HE253*HG253</f>
        <v>3408</v>
      </c>
      <c r="HN253" s="224">
        <f>IFERROR(HA253^SIGN(HA253),1)*IFERROR(HB253^SIGN(HB253),1)*IFERROR(HC253^SIGN(HC253),1)*IFERROR(HD253^SIGN(HD253),1)*IFERROR(HE253^SIGN(HE253),1)*IFERROR(HF253^SIGN(HF253),1)*IFERROR(HG253^SIGN(HG253),1)*IFERROR(HH253^SIGN(HH253),1)</f>
        <v>1584</v>
      </c>
      <c r="HO253" s="224">
        <f t="shared" si="1791"/>
        <v>7424</v>
      </c>
      <c r="HP253" s="222">
        <f t="shared" si="1719"/>
        <v>3.8218390804597702</v>
      </c>
      <c r="HQ253" s="223">
        <f t="shared" si="1720"/>
        <v>10.711206896551724</v>
      </c>
      <c r="HR253" s="243">
        <f t="shared" si="1721"/>
        <v>7.4676724137931032</v>
      </c>
      <c r="HS253" s="243">
        <f t="shared" si="1722"/>
        <v>22.000718390804597</v>
      </c>
      <c r="HT253" s="252">
        <f t="shared" si="1610"/>
        <v>0</v>
      </c>
      <c r="HU253" s="309">
        <f t="shared" si="1723"/>
        <v>22.000718390804597</v>
      </c>
      <c r="HV253" s="218">
        <f>IF(HS253&lt;=0,2,0)+IF(HS253&gt;0,HS253+1,0)*2+IF(HS253&gt;12,HS253-12,0)*2+IF(HS253&gt;13,HS253-13,0)*2+IF(HS253&gt;14,HS253-14,0)*2+IF(HS253&gt;15,HS253-15,0)*2+IF(HS253&gt;16,HS253-16,0)*2+IF(HS253&gt;17,HS253-17,0)*2+IF(HS253&gt;18,HS253-18,0)*2+IF(HS253&gt;19,HS253-19,0)*2+IF(HS253&gt;20,HS253-20,0)*2</f>
        <v>154.01436781609189</v>
      </c>
      <c r="HW253" s="242">
        <f>IF(HT253&lt;=0,2,0)+IF(HT253&gt;0,HT253+1,0)*2+IF(HT253&gt;12,HT253-12,0)*2+IF(HT253&gt;13,HT253-13,0)*2+IF(HT253&gt;14,HT253-14,0)*2+IF(HT253&gt;15,HT253-15,0)*2+IF(HT253&gt;16,HT253-16,0)*2+IF(HT253&gt;17,HT253-17,0)*2+IF(HT253&gt;18,HT253-18,0)*2+IF(HT253&gt;19,HT253-19,0)*2+IF(HT253&gt;20,HT253-20,0)*2</f>
        <v>2</v>
      </c>
      <c r="HX253" s="243">
        <f t="shared" si="1724"/>
        <v>152.01436781609189</v>
      </c>
      <c r="HY253" s="218">
        <f t="shared" si="1725"/>
        <v>0</v>
      </c>
      <c r="IA253" s="303" t="s">
        <v>167</v>
      </c>
      <c r="IB253" s="218" t="s">
        <v>171</v>
      </c>
      <c r="IC253" s="243" t="s">
        <v>132</v>
      </c>
      <c r="ID253" s="237"/>
      <c r="IE253" s="234"/>
      <c r="IF253" s="234">
        <f>Konvention_1slave-INslave</f>
        <v>12</v>
      </c>
      <c r="IG253" s="234"/>
      <c r="IH253" s="234">
        <f>Konvention_1slave-FFslave</f>
        <v>12</v>
      </c>
      <c r="II253" s="234"/>
      <c r="IJ253" s="234">
        <f>Konvention_1slave-KOslave</f>
        <v>12</v>
      </c>
      <c r="IK253" s="224"/>
      <c r="IL253" s="223">
        <f>(ID253+IE253+IF253+IG253+IH253+II253+IJ253+IK253)/3</f>
        <v>12</v>
      </c>
      <c r="IM253" s="223">
        <f t="shared" si="1727"/>
        <v>24</v>
      </c>
      <c r="IN253" s="224">
        <f t="shared" si="1728"/>
        <v>36</v>
      </c>
      <c r="IO253" s="237">
        <f>ID253*POWER(KLslave,SIGN(IE253))*POWER(INslave,SIGN(IF253))*POWER(CHslave,SIGN(IG253))*POWER(FFslave,SIGN(IH253))*POWER(GEslave,SIGN(II253))*POWER(KOslave,SIGN(IJ253))*POWER(KKslave_KK,SIGN(IK253))+IE253*POWER(MUslave,SIGN(ID253))*POWER(INslave,SIGN(IF253))*POWER(CHslave,SIGN(IG253))*POWER(FFslave,SIGN(IH253))*POWER(GEslave,SIGN(II253))*POWER(KOslave,SIGN(IJ253))*POWER(KKslave_KK,SIGN(IK253))+IF253*POWER(MUslave,SIGN(ID253))*POWER(KLslave,SIGN(IE253))*POWER(CHslave,SIGN(IG253))*POWER(FFslave,SIGN(IH253))*POWER(GEslave,SIGN(II253))*POWER(KOslave,SIGN(IJ253))*POWER(KKslave_KK,SIGN(IK253))+IG253*POWER(MUslave,SIGN(ID253))*POWER(KLslave,SIGN(IE253))*POWER(INslave,SIGN(IF253))*POWER(FFslave,SIGN(IH253))*POWER(GEslave,SIGN(II253))*POWER(KOslave,SIGN(IJ253))*POWER(KKslave_KK,SIGN(IK253))+IH253*POWER(MUslave,SIGN(ID253))*POWER(KLslave,SIGN(IE253))*POWER(INslave,SIGN(IF253))*POWER(CHslave,SIGN(IG253))*POWER(GEslave,SIGN(II253))*POWER(KOslave,SIGN(IJ253))*POWER(KKslave_KK,SIGN(IK253))+II253*POWER(MUslave,SIGN(ID253))*POWER(KLslave,SIGN(IE253))*POWER(INslave,SIGN(IF253))*POWER(CHslave,SIGN(IG253))*POWER(FFslave,SIGN(IH253))*POWER(KOslave,SIGN(IJ253))*POWER(KKslave_KK,SIGN(IK253))+IJ253*POWER(MUslave,SIGN(ID253))*POWER(KLslave,SIGN(IE253))*POWER(INslave,SIGN(IF253))*POWER(CHslave,SIGN(IG253))*POWER(FFslave,SIGN(IH253))*POWER(GEslave,SIGN(II253))*POWER(KKslave_KK,SIGN(IK253))+IK253*POWER(MUslave,SIGN(ID253))*POWER(KLslave,SIGN(IE253))*POWER(INslave,SIGN(IF253))*POWER(CHslave,SIGN(IG253))*POWER(FFslave,SIGN(IH253))*POWER(GEslave,SIGN(II253))*POWER(KOslave,SIGN(IJ253))</f>
        <v>2304</v>
      </c>
      <c r="IP253" s="234">
        <f>IF253*IH253*KOslave+IF253*FFslave*IJ253+INslave*IH253*IJ253</f>
        <v>3456</v>
      </c>
      <c r="IQ253" s="224">
        <f>IFERROR(ID253^SIGN(ID253),1)*IFERROR(IE253^SIGN(IE253),1)*IFERROR(IF253^SIGN(IF253),1)*IFERROR(IG253^SIGN(IG253),1)*IFERROR(IH253^SIGN(IH253),1)*IFERROR(II253^SIGN(II253),1)*IFERROR(IJ253^SIGN(IJ253),1)*IFERROR(IK253^SIGN(IK253),1)</f>
        <v>1728</v>
      </c>
      <c r="IR253" s="224">
        <f t="shared" si="1792"/>
        <v>7488</v>
      </c>
      <c r="IS253" s="222">
        <f t="shared" si="1731"/>
        <v>3.6923076923076925</v>
      </c>
      <c r="IT253" s="223">
        <f t="shared" si="1732"/>
        <v>11.076923076923077</v>
      </c>
      <c r="IU253" s="243">
        <f t="shared" si="1733"/>
        <v>8.3076923076923084</v>
      </c>
      <c r="IV253" s="243">
        <f t="shared" si="1734"/>
        <v>23.07692307692308</v>
      </c>
      <c r="IW253" s="252">
        <f t="shared" si="1612"/>
        <v>0</v>
      </c>
      <c r="IX253" s="309">
        <f t="shared" si="1735"/>
        <v>23.07692307692308</v>
      </c>
      <c r="IY253" s="218">
        <f>IF(IV253&lt;=0,2,0)+IF(IV253&gt;0,IV253+1,0)*2+IF(IV253&gt;12,IV253-12,0)*2+IF(IV253&gt;13,IV253-13,0)*2+IF(IV253&gt;14,IV253-14,0)*2+IF(IV253&gt;15,IV253-15,0)*2+IF(IV253&gt;16,IV253-16,0)*2+IF(IV253&gt;17,IV253-17,0)*2+IF(IV253&gt;18,IV253-18,0)*2+IF(IV253&gt;19,IV253-19,0)*2+IF(IV253&gt;20,IV253-20,0)*2</f>
        <v>175.5384615384616</v>
      </c>
      <c r="IZ253" s="242">
        <f>IF(IW253&lt;=0,2,0)+IF(IW253&gt;0,IW253+1,0)*2+IF(IW253&gt;12,IW253-12,0)*2+IF(IW253&gt;13,IW253-13,0)*2+IF(IW253&gt;14,IW253-14,0)*2+IF(IW253&gt;15,IW253-15,0)*2+IF(IW253&gt;16,IW253-16,0)*2+IF(IW253&gt;17,IW253-17,0)*2+IF(IW253&gt;18,IW253-18,0)*2+IF(IW253&gt;19,IW253-19,0)*2+IF(IW253&gt;20,IW253-20,0)*2</f>
        <v>2</v>
      </c>
      <c r="JA253" s="243">
        <f t="shared" si="1736"/>
        <v>173.5384615384616</v>
      </c>
      <c r="JB253" s="218">
        <f t="shared" si="1737"/>
        <v>0</v>
      </c>
      <c r="JE253" s="148"/>
    </row>
    <row r="254" spans="2:265" ht="15" hidden="1" customHeight="1" outlineLevel="2">
      <c r="B254" s="148">
        <v>42</v>
      </c>
      <c r="C254" s="303" t="e">
        <f>VLOOKUP(AF254,Attribute!C:T,1,FALSE)</f>
        <v>#N/A</v>
      </c>
      <c r="D254" s="125" t="s">
        <v>440</v>
      </c>
      <c r="E254" s="127" t="s">
        <v>132</v>
      </c>
      <c r="F254" s="114"/>
      <c r="G254" s="113">
        <f>Konvention_1master-KLmaster</f>
        <v>12</v>
      </c>
      <c r="H254" s="113"/>
      <c r="I254" s="113">
        <f>Konvention_1master-CHmaster</f>
        <v>12</v>
      </c>
      <c r="J254" s="113">
        <f>Konvention_1master-FFmaster</f>
        <v>12</v>
      </c>
      <c r="K254" s="113"/>
      <c r="L254" s="113"/>
      <c r="M254" s="119"/>
      <c r="N254" s="223">
        <f>(F254+G254+H254+I254+J254+K254+L254+M254)/3</f>
        <v>12</v>
      </c>
      <c r="O254" s="223">
        <f t="shared" si="1630"/>
        <v>24</v>
      </c>
      <c r="P254" s="224">
        <f t="shared" si="1631"/>
        <v>36</v>
      </c>
      <c r="Q254" s="237">
        <f>F254*POWER(KLmaster,SIGN(G254))*POWER(INmaster,SIGN(H254))*POWER(CHmaster,SIGN(I254))*POWER(FFmaster,SIGN(J254))*POWER(GEmaster,SIGN(K254))*POWER(KOmaster,SIGN(L254))*POWER(KKmaster,SIGN(M254))+G254*POWER(MUmaster,SIGN(F254))*POWER(INmaster,SIGN(H254))*POWER(CHmaster,SIGN(I254))*POWER(FFmaster,SIGN(J254))*POWER(GEmaster,SIGN(K254))*POWER(KOmaster,SIGN(L254))*POWER(KKmaster,SIGN(M254))+H254*POWER(MUmaster,SIGN(F254))*POWER(KLmaster,SIGN(G254))*POWER(CHmaster,SIGN(I254))*POWER(FFmaster,SIGN(J254))*POWER(GEmaster,SIGN(K254))*POWER(KOmaster,SIGN(L254))*POWER(KKmaster,SIGN(M254))+I254*POWER(MUmaster,SIGN(F254))*POWER(KLmaster,SIGN(G254))*POWER(INmaster,SIGN(H254))*POWER(FFmaster,SIGN(J254))*POWER(GEmaster,SIGN(K254))*POWER(KOmaster,SIGN(L254))*POWER(KKmaster,SIGN(M254))+J254*POWER(MUmaster,SIGN(F254))*POWER(KLmaster,SIGN(G254))*POWER(INmaster,SIGN(H254))*POWER(CHmaster,SIGN(I254))*POWER(GEmaster,SIGN(K254))*POWER(KOmaster,SIGN(L254))*POWER(KKmaster,SIGN(M254))+K254*POWER(MUmaster,SIGN(F254))*POWER(KLmaster,SIGN(G254))*POWER(INmaster,SIGN(H254))*POWER(CHmaster,SIGN(I254))*POWER(FFmaster,SIGN(J254))*POWER(KOmaster,SIGN(L254))*POWER(KKmaster,SIGN(M254))+L254*POWER(MUmaster,SIGN(F254))*POWER(KLmaster,SIGN(G254))*POWER(INmaster,SIGN(H254))*POWER(CHmaster,SIGN(I254))*POWER(FFmaster,SIGN(J254))*POWER(GEmaster,SIGN(K254))*POWER(KKmaster,SIGN(M254))+M254*POWER(MUmaster,SIGN(F254))*POWER(KLmaster,SIGN(G254))*POWER(INmaster,SIGN(H254))*POWER(CHmaster,SIGN(I254))*POWER(FFmaster,SIGN(J254))*POWER(GEmaster,SIGN(K254))*POWER(KOmaster,SIGN(L254))</f>
        <v>2304</v>
      </c>
      <c r="R254" s="113">
        <f>G254*I254*FFmaster+G254*CHmaster*J254+KLmaster*I254*J254</f>
        <v>3456</v>
      </c>
      <c r="S254" s="224">
        <f>IFERROR(F254^SIGN(F254),1)*IFERROR(G254^SIGN(G254),1)*IFERROR(H254^SIGN(H254),1)*IFERROR(I254^SIGN(I254),1)*IFERROR(J254^SIGN(J254),1)*IFERROR(K254^SIGN(K254),1)*IFERROR(L254^SIGN(L254),1)*IFERROR(M254^SIGN(M254),1)</f>
        <v>1728</v>
      </c>
      <c r="T254" s="224">
        <f t="shared" si="1793"/>
        <v>7488</v>
      </c>
      <c r="U254" s="222">
        <f t="shared" si="1635"/>
        <v>3.6923076923076925</v>
      </c>
      <c r="V254" s="223">
        <f t="shared" si="1636"/>
        <v>11.076923076923077</v>
      </c>
      <c r="W254" s="243">
        <f t="shared" si="1637"/>
        <v>8.3076923076923084</v>
      </c>
      <c r="X254" s="243">
        <f t="shared" si="1638"/>
        <v>23.07692307692308</v>
      </c>
      <c r="Y254" s="252">
        <v>0</v>
      </c>
      <c r="Z254" s="198">
        <f t="shared" si="1639"/>
        <v>23.07692307692308</v>
      </c>
      <c r="AA254" s="125">
        <f>IF(X254&lt;=0,2,0)+IF(X254&gt;0,X254+1,0)*2+IF(X254&gt;12,X254-12,0)*2+IF(X254&gt;13,X254-13,0)*2+IF(X254&gt;14,X254-14,0)*2+IF(X254&gt;15,X254-15,0)*2+IF(X254&gt;16,X254-16,0)*2+IF(X254&gt;17,X254-17,0)*2+IF(X254&gt;18,X254-18,0)*2+IF(X254&gt;19,X254-19,0)*2+IF(X254&gt;20,X254-20,0)*2</f>
        <v>175.5384615384616</v>
      </c>
      <c r="AB254" s="160">
        <f>IF(Y254&lt;=0,2,0)+IF(Y254&gt;0,Y254+1,0)*2+IF(Y254&gt;12,Y254-12,0)*2+IF(Y254&gt;13,Y254-13,0)*2+IF(Y254&gt;14,Y254-14,0)*2+IF(Y254&gt;15,Y254-15,0)*2+IF(Y254&gt;16,Y254-16,0)*2+IF(Y254&gt;17,Y254-17,0)*2+IF(Y254&gt;18,Y254-18,0)*2+IF(Y254&gt;19,Y254-19,0)*2+IF(Y254&gt;20,Y254-20,0)*2</f>
        <v>2</v>
      </c>
      <c r="AC254" s="127">
        <f t="shared" si="1640"/>
        <v>173.5384615384616</v>
      </c>
      <c r="AD254" s="125">
        <f t="shared" si="1641"/>
        <v>0</v>
      </c>
      <c r="AF254" s="163" t="s">
        <v>400</v>
      </c>
      <c r="AG254" s="125" t="s">
        <v>440</v>
      </c>
      <c r="AH254" s="127" t="s">
        <v>132</v>
      </c>
      <c r="AI254" s="114"/>
      <c r="AJ254" s="113">
        <f>Konvention_1slave-KLslave</f>
        <v>12</v>
      </c>
      <c r="AK254" s="113"/>
      <c r="AL254" s="113">
        <f>Konvention_1slave-CHslave</f>
        <v>12</v>
      </c>
      <c r="AM254" s="113">
        <f>Konvention_1slave-FFslave</f>
        <v>12</v>
      </c>
      <c r="AN254" s="113"/>
      <c r="AO254" s="113"/>
      <c r="AP254" s="119"/>
      <c r="AQ254" s="47">
        <f>(AI254+AJ254+AK254+AL254+AM254+AN254+AO254+AP254)/3</f>
        <v>12</v>
      </c>
      <c r="AR254" s="47">
        <f t="shared" si="1643"/>
        <v>24</v>
      </c>
      <c r="AS254" s="119">
        <f t="shared" si="1644"/>
        <v>36</v>
      </c>
      <c r="AT254" s="114">
        <f>AI254*POWER(KLslave,SIGN(AJ254))*POWER(INslave,SIGN(AK254))*POWER(CHslave,SIGN(AL254))*POWER(FFslave,SIGN(AM254))*POWER(GEslave,SIGN(AN254))*POWER(KOslave,SIGN(AO254))*POWER(KKslave,SIGN(AP254))+AJ254*POWER(MUslave_MU,SIGN(AI254))*POWER(INslave,SIGN(AK254))*POWER(CHslave,SIGN(AL254))*POWER(FFslave,SIGN(AM254))*POWER(GEslave,SIGN(AN254))*POWER(KOslave,SIGN(AO254))*POWER(KKslave,SIGN(AP254))+AK254*POWER(MUslave_MU,SIGN(AI254))*POWER(KLslave,SIGN(AJ254))*POWER(CHslave,SIGN(AL254))*POWER(FFslave,SIGN(AM254))*POWER(GEslave,SIGN(AN254))*POWER(KOslave,SIGN(AO254))*POWER(KKslave,SIGN(AP254))+AL254*POWER(MUslave_MU,SIGN(AI254))*POWER(KLslave,SIGN(AJ254))*POWER(INslave,SIGN(AK254))*POWER(FFslave,SIGN(AM254))*POWER(GEslave,SIGN(AN254))*POWER(KOslave,SIGN(AO254))*POWER(KKslave,SIGN(AP254))+AM254*POWER(MUslave_MU,SIGN(AI254))*POWER(KLslave,SIGN(AJ254))*POWER(INslave,SIGN(AK254))*POWER(CHslave,SIGN(AL254))*POWER(GEslave,SIGN(AN254))*POWER(KOslave,SIGN(AO254))*POWER(KKslave,SIGN(AP254))+AN254*POWER(MUslave_MU,SIGN(AI254))*POWER(KLslave,SIGN(AJ254))*POWER(INslave,SIGN(AK254))*POWER(CHslave,SIGN(AL254))*POWER(FFslave,SIGN(AM254))*POWER(KOslave,SIGN(AO254))*POWER(KKslave,SIGN(AP254))+AO254*POWER(MUslave_MU,SIGN(AI254))*POWER(KLslave,SIGN(AJ254))*POWER(INslave,SIGN(AK254))*POWER(CHslave,SIGN(AL254))*POWER(FFslave,SIGN(AM254))*POWER(GEslave,SIGN(AN254))*POWER(KKslave,SIGN(AP254))+AP254*POWER(MUslave_MU,SIGN(AI254))*POWER(KLslave,SIGN(AJ254))*POWER(INslave,SIGN(AK254))*POWER(CHslave,SIGN(AL254))*POWER(FFslave,SIGN(AM254))*POWER(GEslave,SIGN(AN254))*POWER(KOslave,SIGN(AO254))</f>
        <v>2304</v>
      </c>
      <c r="AU254" s="113">
        <f>AJ254*AL254*FFslave+AJ254*CHslave*AM254+KLslave*AL254*AM254</f>
        <v>3456</v>
      </c>
      <c r="AV254" s="119">
        <f>IFERROR(AI254^SIGN(AI254),1)*IFERROR(AJ254^SIGN(AJ254),1)*IFERROR(AK254^SIGN(AK254),1)*IFERROR(AL254^SIGN(AL254),1)*IFERROR(AM254^SIGN(AM254),1)*IFERROR(AN254^SIGN(AN254),1)*IFERROR(AO254^SIGN(AO254),1)*IFERROR(AP254^SIGN(AP254),1)</f>
        <v>1728</v>
      </c>
      <c r="AW254" s="119">
        <f t="shared" si="1785"/>
        <v>7488</v>
      </c>
      <c r="AX254" s="89">
        <f t="shared" si="1647"/>
        <v>3.6923076923076925</v>
      </c>
      <c r="AY254" s="47">
        <f t="shared" si="1648"/>
        <v>11.076923076923077</v>
      </c>
      <c r="AZ254" s="127">
        <f t="shared" si="1649"/>
        <v>8.3076923076923084</v>
      </c>
      <c r="BA254" s="127">
        <f t="shared" si="1650"/>
        <v>23.07692307692308</v>
      </c>
      <c r="BB254" s="165">
        <f t="shared" si="1598"/>
        <v>0</v>
      </c>
      <c r="BC254" s="198">
        <f t="shared" si="1651"/>
        <v>23.07692307692308</v>
      </c>
      <c r="BD254" s="125">
        <f>IF(BA254&lt;=0,2,0)+IF(BA254&gt;0,BA254+1,0)*2+IF(BA254&gt;12,BA254-12,0)*2+IF(BA254&gt;13,BA254-13,0)*2+IF(BA254&gt;14,BA254-14,0)*2+IF(BA254&gt;15,BA254-15,0)*2+IF(BA254&gt;16,BA254-16,0)*2+IF(BA254&gt;17,BA254-17,0)*2+IF(BA254&gt;18,BA254-18,0)*2+IF(BA254&gt;19,BA254-19,0)*2+IF(BA254&gt;20,BA254-20,0)*2</f>
        <v>175.5384615384616</v>
      </c>
      <c r="BE254" s="160">
        <f>IF(BB254&lt;=0,2,0)+IF(BB254&gt;0,BB254+1,0)*2+IF(BB254&gt;12,BB254-12,0)*2+IF(BB254&gt;13,BB254-13,0)*2+IF(BB254&gt;14,BB254-14,0)*2+IF(BB254&gt;15,BB254-15,0)*2+IF(BB254&gt;16,BB254-16,0)*2+IF(BB254&gt;17,BB254-17,0)*2+IF(BB254&gt;18,BB254-18,0)*2+IF(BB254&gt;19,BB254-19,0)*2+IF(BB254&gt;20,BB254-20,0)*2</f>
        <v>2</v>
      </c>
      <c r="BF254" s="243">
        <f t="shared" si="1652"/>
        <v>173.5384615384616</v>
      </c>
      <c r="BG254" s="218">
        <f t="shared" si="1653"/>
        <v>0</v>
      </c>
      <c r="BI254" s="303" t="s">
        <v>400</v>
      </c>
      <c r="BJ254" s="218" t="s">
        <v>440</v>
      </c>
      <c r="BK254" s="243" t="s">
        <v>132</v>
      </c>
      <c r="BL254" s="237"/>
      <c r="BM254" s="234">
        <f>Konvention_1slave-KLslave_KL</f>
        <v>11</v>
      </c>
      <c r="BN254" s="234"/>
      <c r="BO254" s="234">
        <f>Konvention_1slave-CHslave</f>
        <v>12</v>
      </c>
      <c r="BP254" s="234">
        <f>Konvention_1slave-FFslave</f>
        <v>12</v>
      </c>
      <c r="BQ254" s="234"/>
      <c r="BR254" s="234"/>
      <c r="BS254" s="224"/>
      <c r="BT254" s="223">
        <f>(BL254+BM254+BN254+BO254+BP254+BQ254+BR254+BS254)/3</f>
        <v>11.666666666666666</v>
      </c>
      <c r="BU254" s="223">
        <f t="shared" si="1655"/>
        <v>23.333333333333332</v>
      </c>
      <c r="BV254" s="224">
        <f t="shared" si="1656"/>
        <v>35</v>
      </c>
      <c r="BW254" s="237">
        <f>BL254*POWER(KLslave_KL,SIGN(BM254))*POWER(INslave,SIGN(BN254))*POWER(CHslave,SIGN(BO254))*POWER(FFslave,SIGN(BP254))*POWER(GEslave,SIGN(BQ254))*POWER(KOslave,SIGN(BR254))*POWER(KKslave,SIGN(BS254))+BM254*POWER(MUslave,SIGN(BL254))*POWER(INslave,SIGN(BN254))*POWER(CHslave,SIGN(BO254))*POWER(FFslave,SIGN(BP254))*POWER(GEslave,SIGN(BQ254))*POWER(KOslave,SIGN(BR254))*POWER(KKslave,SIGN(BS254))+BN254*POWER(MUslave,SIGN(BL254))*POWER(KLslave_KL,SIGN(BM254))*POWER(CHslave,SIGN(BO254))*POWER(FFslave,SIGN(BP254))*POWER(GEslave,SIGN(BQ254))*POWER(KOslave,SIGN(BR254))*POWER(KKslave,SIGN(BS254))+BO254*POWER(MUslave,SIGN(BL254))*POWER(KLslave_KL,SIGN(BM254))*POWER(INslave,SIGN(BN254))*POWER(FFslave,SIGN(BP254))*POWER(GEslave,SIGN(BQ254))*POWER(KOslave,SIGN(BR254))*POWER(KKslave,SIGN(BS254))+BP254*POWER(MUslave,SIGN(BL254))*POWER(KLslave_KL,SIGN(BM254))*POWER(INslave,SIGN(BN254))*POWER(CHslave,SIGN(BO254))*POWER(GEslave,SIGN(BQ254))*POWER(KOslave,SIGN(BR254))*POWER(KKslave,SIGN(BS254))+BQ254*POWER(MUslave,SIGN(BL254))*POWER(KLslave_KL,SIGN(BM254))*POWER(INslave,SIGN(BN254))*POWER(CHslave,SIGN(BO254))*POWER(FFslave,SIGN(BP254))*POWER(KOslave,SIGN(BR254))*POWER(KKslave,SIGN(BS254))+BR254*POWER(MUslave,SIGN(BL254))*POWER(KLslave_KL,SIGN(BM254))*POWER(INslave,SIGN(BN254))*POWER(CHslave,SIGN(BO254))*POWER(FFslave,SIGN(BP254))*POWER(GEslave,SIGN(BQ254))*POWER(KKslave,SIGN(BS254))+BS254*POWER(MUslave,SIGN(BL254))*POWER(KLslave_KL,SIGN(BM254))*POWER(INslave,SIGN(BN254))*POWER(CHslave,SIGN(BO254))*POWER(FFslave,SIGN(BP254))*POWER(GEslave,SIGN(BQ254))*POWER(KOslave,SIGN(BR254))</f>
        <v>2432</v>
      </c>
      <c r="BX254" s="234">
        <f>BM254*BO254*FFslave+BM254*CHslave*BP254+KLslave_KL*BO254*BP254</f>
        <v>3408</v>
      </c>
      <c r="BY254" s="224">
        <f>IFERROR(BL254^SIGN(BL254),1)*IFERROR(BM254^SIGN(BM254),1)*IFERROR(BN254^SIGN(BN254),1)*IFERROR(BO254^SIGN(BO254),1)*IFERROR(BP254^SIGN(BP254),1)*IFERROR(BQ254^SIGN(BQ254),1)*IFERROR(BR254^SIGN(BR254),1)*IFERROR(BS254^SIGN(BS254),1)</f>
        <v>1584</v>
      </c>
      <c r="BZ254" s="224">
        <f t="shared" si="1786"/>
        <v>7424</v>
      </c>
      <c r="CA254" s="222">
        <f t="shared" si="1659"/>
        <v>3.8218390804597702</v>
      </c>
      <c r="CB254" s="223">
        <f t="shared" si="1660"/>
        <v>10.711206896551724</v>
      </c>
      <c r="CC254" s="243">
        <f t="shared" si="1661"/>
        <v>7.4676724137931032</v>
      </c>
      <c r="CD254" s="243">
        <f t="shared" si="1662"/>
        <v>22.000718390804597</v>
      </c>
      <c r="CE254" s="252">
        <f t="shared" si="1600"/>
        <v>0</v>
      </c>
      <c r="CF254" s="309">
        <f t="shared" si="1663"/>
        <v>22.000718390804597</v>
      </c>
      <c r="CG254" s="218">
        <f>IF(CD254&lt;=0,2,0)+IF(CD254&gt;0,CD254+1,0)*2+IF(CD254&gt;12,CD254-12,0)*2+IF(CD254&gt;13,CD254-13,0)*2+IF(CD254&gt;14,CD254-14,0)*2+IF(CD254&gt;15,CD254-15,0)*2+IF(CD254&gt;16,CD254-16,0)*2+IF(CD254&gt;17,CD254-17,0)*2+IF(CD254&gt;18,CD254-18,0)*2+IF(CD254&gt;19,CD254-19,0)*2+IF(CD254&gt;20,CD254-20,0)*2</f>
        <v>154.01436781609189</v>
      </c>
      <c r="CH254" s="242">
        <f>IF(CE254&lt;=0,2,0)+IF(CE254&gt;0,CE254+1,0)*2+IF(CE254&gt;12,CE254-12,0)*2+IF(CE254&gt;13,CE254-13,0)*2+IF(CE254&gt;14,CE254-14,0)*2+IF(CE254&gt;15,CE254-15,0)*2+IF(CE254&gt;16,CE254-16,0)*2+IF(CE254&gt;17,CE254-17,0)*2+IF(CE254&gt;18,CE254-18,0)*2+IF(CE254&gt;19,CE254-19,0)*2+IF(CE254&gt;20,CE254-20,0)*2</f>
        <v>2</v>
      </c>
      <c r="CI254" s="243">
        <f t="shared" si="1664"/>
        <v>152.01436781609189</v>
      </c>
      <c r="CJ254" s="218">
        <f t="shared" si="1665"/>
        <v>0</v>
      </c>
      <c r="CL254" s="303" t="s">
        <v>400</v>
      </c>
      <c r="CM254" s="218" t="s">
        <v>440</v>
      </c>
      <c r="CN254" s="243" t="s">
        <v>132</v>
      </c>
      <c r="CO254" s="237"/>
      <c r="CP254" s="234">
        <f>Konvention_1slave-KLslave</f>
        <v>12</v>
      </c>
      <c r="CQ254" s="234"/>
      <c r="CR254" s="234">
        <f>Konvention_1slave-CHslave</f>
        <v>12</v>
      </c>
      <c r="CS254" s="234">
        <f>Konvention_1slave-FFslave</f>
        <v>12</v>
      </c>
      <c r="CT254" s="234"/>
      <c r="CU254" s="234"/>
      <c r="CV254" s="224"/>
      <c r="CW254" s="223">
        <f>(CO254+CP254+CQ254+CR254+CS254+CT254+CU254+CV254)/3</f>
        <v>12</v>
      </c>
      <c r="CX254" s="223">
        <f t="shared" si="1667"/>
        <v>24</v>
      </c>
      <c r="CY254" s="224">
        <f t="shared" si="1668"/>
        <v>36</v>
      </c>
      <c r="CZ254" s="237">
        <f>CO254*POWER(KLslave,SIGN(CP254))*POWER(INslave_IN,SIGN(CQ254))*POWER(CHslave,SIGN(CR254))*POWER(FFslave,SIGN(CS254))*POWER(GEslave,SIGN(CT254))*POWER(KOslave,SIGN(CU254))*POWER(KKslave,SIGN(CV254))+CP254*POWER(MUslave,SIGN(CO254))*POWER(INslave_IN,SIGN(CQ254))*POWER(CHslave,SIGN(CR254))*POWER(FFslave,SIGN(CS254))*POWER(GEslave,SIGN(CT254))*POWER(KOslave,SIGN(CU254))*POWER(KKslave,SIGN(CV254))+CQ254*POWER(MUslave,SIGN(CO254))*POWER(KLslave,SIGN(CP254))*POWER(CHslave,SIGN(CR254))*POWER(FFslave,SIGN(CS254))*POWER(GEslave,SIGN(CT254))*POWER(KOslave,SIGN(CU254))*POWER(KKslave,SIGN(CV254))+CR254*POWER(MUslave,SIGN(CO254))*POWER(KLslave,SIGN(CP254))*POWER(INslave_IN,SIGN(CQ254))*POWER(FFslave,SIGN(CS254))*POWER(GEslave,SIGN(CT254))*POWER(KOslave,SIGN(CU254))*POWER(KKslave,SIGN(CV254))+CS254*POWER(MUslave,SIGN(CO254))*POWER(KLslave,SIGN(CP254))*POWER(INslave_IN,SIGN(CQ254))*POWER(CHslave,SIGN(CR254))*POWER(GEslave,SIGN(CT254))*POWER(KOslave,SIGN(CU254))*POWER(KKslave,SIGN(CV254))+CT254*POWER(MUslave,SIGN(CO254))*POWER(KLslave,SIGN(CP254))*POWER(INslave_IN,SIGN(CQ254))*POWER(CHslave,SIGN(CR254))*POWER(FFslave,SIGN(CS254))*POWER(KOslave,SIGN(CU254))*POWER(KKslave,SIGN(CV254))+CU254*POWER(MUslave,SIGN(CO254))*POWER(KLslave,SIGN(CP254))*POWER(INslave_IN,SIGN(CQ254))*POWER(CHslave,SIGN(CR254))*POWER(FFslave,SIGN(CS254))*POWER(GEslave,SIGN(CT254))*POWER(KKslave,SIGN(CV254))+CV254*POWER(MUslave,SIGN(CO254))*POWER(KLslave,SIGN(CP254))*POWER(INslave_IN,SIGN(CQ254))*POWER(CHslave,SIGN(CR254))*POWER(FFslave,SIGN(CS254))*POWER(GEslave,SIGN(CT254))*POWER(KOslave,SIGN(CU254))</f>
        <v>2304</v>
      </c>
      <c r="DA254" s="234">
        <f>CP254*CR254*FFslave+CP254*CHslave*CS254+KLslave*CR254*CS254</f>
        <v>3456</v>
      </c>
      <c r="DB254" s="224">
        <f>IFERROR(CO254^SIGN(CO254),1)*IFERROR(CP254^SIGN(CP254),1)*IFERROR(CQ254^SIGN(CQ254),1)*IFERROR(CR254^SIGN(CR254),1)*IFERROR(CS254^SIGN(CS254),1)*IFERROR(CT254^SIGN(CT254),1)*IFERROR(CU254^SIGN(CU254),1)*IFERROR(CV254^SIGN(CV254),1)</f>
        <v>1728</v>
      </c>
      <c r="DC254" s="224">
        <f t="shared" si="1787"/>
        <v>7488</v>
      </c>
      <c r="DD254" s="222">
        <f t="shared" si="1671"/>
        <v>3.6923076923076925</v>
      </c>
      <c r="DE254" s="223">
        <f t="shared" si="1672"/>
        <v>11.076923076923077</v>
      </c>
      <c r="DF254" s="243">
        <f t="shared" si="1673"/>
        <v>8.3076923076923084</v>
      </c>
      <c r="DG254" s="243">
        <f t="shared" si="1674"/>
        <v>23.07692307692308</v>
      </c>
      <c r="DH254" s="252">
        <f t="shared" si="1602"/>
        <v>0</v>
      </c>
      <c r="DI254" s="309">
        <f t="shared" si="1675"/>
        <v>23.07692307692308</v>
      </c>
      <c r="DJ254" s="218">
        <f>IF(DG254&lt;=0,2,0)+IF(DG254&gt;0,DG254+1,0)*2+IF(DG254&gt;12,DG254-12,0)*2+IF(DG254&gt;13,DG254-13,0)*2+IF(DG254&gt;14,DG254-14,0)*2+IF(DG254&gt;15,DG254-15,0)*2+IF(DG254&gt;16,DG254-16,0)*2+IF(DG254&gt;17,DG254-17,0)*2+IF(DG254&gt;18,DG254-18,0)*2+IF(DG254&gt;19,DG254-19,0)*2+IF(DG254&gt;20,DG254-20,0)*2</f>
        <v>175.5384615384616</v>
      </c>
      <c r="DK254" s="242">
        <f>IF(DH254&lt;=0,2,0)+IF(DH254&gt;0,DH254+1,0)*2+IF(DH254&gt;12,DH254-12,0)*2+IF(DH254&gt;13,DH254-13,0)*2+IF(DH254&gt;14,DH254-14,0)*2+IF(DH254&gt;15,DH254-15,0)*2+IF(DH254&gt;16,DH254-16,0)*2+IF(DH254&gt;17,DH254-17,0)*2+IF(DH254&gt;18,DH254-18,0)*2+IF(DH254&gt;19,DH254-19,0)*2+IF(DH254&gt;20,DH254-20,0)*2</f>
        <v>2</v>
      </c>
      <c r="DL254" s="243">
        <f t="shared" si="1676"/>
        <v>173.5384615384616</v>
      </c>
      <c r="DM254" s="218">
        <f t="shared" si="1677"/>
        <v>0</v>
      </c>
      <c r="DO254" s="303" t="s">
        <v>400</v>
      </c>
      <c r="DP254" s="218" t="s">
        <v>440</v>
      </c>
      <c r="DQ254" s="243" t="s">
        <v>132</v>
      </c>
      <c r="DR254" s="237"/>
      <c r="DS254" s="234">
        <f>Konvention_1slave-KLslave</f>
        <v>12</v>
      </c>
      <c r="DT254" s="234"/>
      <c r="DU254" s="234">
        <f>Konvention_1slave-CHslave_CH</f>
        <v>11</v>
      </c>
      <c r="DV254" s="234">
        <f>Konvention_1slave-FFslave</f>
        <v>12</v>
      </c>
      <c r="DW254" s="234"/>
      <c r="DX254" s="234"/>
      <c r="DY254" s="224"/>
      <c r="DZ254" s="223">
        <f>(DR254+DS254+DT254+DU254+DV254+DW254+DX254+DY254)/3</f>
        <v>11.666666666666666</v>
      </c>
      <c r="EA254" s="223">
        <f t="shared" si="1679"/>
        <v>23.333333333333332</v>
      </c>
      <c r="EB254" s="224">
        <f t="shared" si="1680"/>
        <v>35</v>
      </c>
      <c r="EC254" s="237">
        <f>DR254*POWER(KLslave,SIGN(DS254))*POWER(INslave,SIGN(DT254))*POWER(CHslave_CH,SIGN(DU254))*POWER(FFslave,SIGN(DV254))*POWER(GEslave,SIGN(DW254))*POWER(KOslave,SIGN(DX254))*POWER(KKslave,SIGN(DY254))+DS254*POWER(MUslave,SIGN(DR254))*POWER(INslave,SIGN(DT254))*POWER(CHslave_CH,SIGN(DU254))*POWER(FFslave,SIGN(DV254))*POWER(GEslave,SIGN(DW254))*POWER(KOslave,SIGN(DX254))*POWER(KKslave,SIGN(DY254))+DT254*POWER(MUslave,SIGN(DR254))*POWER(KLslave,SIGN(DS254))*POWER(CHslave_CH,SIGN(DU254))*POWER(FFslave,SIGN(DV254))*POWER(GEslave,SIGN(DW254))*POWER(KOslave,SIGN(DX254))*POWER(KKslave,SIGN(DY254))+DU254*POWER(MUslave,SIGN(DR254))*POWER(KLslave,SIGN(DS254))*POWER(INslave,SIGN(DT254))*POWER(FFslave,SIGN(DV254))*POWER(GEslave,SIGN(DW254))*POWER(KOslave,SIGN(DX254))*POWER(KKslave,SIGN(DY254))+DV254*POWER(MUslave,SIGN(DR254))*POWER(KLslave,SIGN(DS254))*POWER(INslave,SIGN(DT254))*POWER(CHslave_CH,SIGN(DU254))*POWER(GEslave,SIGN(DW254))*POWER(KOslave,SIGN(DX254))*POWER(KKslave,SIGN(DY254))+DW254*POWER(MUslave,SIGN(DR254))*POWER(KLslave,SIGN(DS254))*POWER(INslave,SIGN(DT254))*POWER(CHslave_CH,SIGN(DU254))*POWER(FFslave,SIGN(DV254))*POWER(KOslave,SIGN(DX254))*POWER(KKslave,SIGN(DY254))+DX254*POWER(MUslave,SIGN(DR254))*POWER(KLslave,SIGN(DS254))*POWER(INslave,SIGN(DT254))*POWER(CHslave_CH,SIGN(DU254))*POWER(FFslave,SIGN(DV254))*POWER(GEslave,SIGN(DW254))*POWER(KKslave,SIGN(DY254))+DY254*POWER(MUslave,SIGN(DR254))*POWER(KLslave,SIGN(DS254))*POWER(INslave,SIGN(DT254))*POWER(CHslave_CH,SIGN(DU254))*POWER(FFslave,SIGN(DV254))*POWER(GEslave,SIGN(DW254))*POWER(KOslave,SIGN(DX254))</f>
        <v>2432</v>
      </c>
      <c r="ED254" s="234">
        <f>DS254*DU254*FFslave+DS254*CHslave_CH*DV254+KLslave*DU254*DV254</f>
        <v>3408</v>
      </c>
      <c r="EE254" s="224">
        <f>IFERROR(DR254^SIGN(DR254),1)*IFERROR(DS254^SIGN(DS254),1)*IFERROR(DT254^SIGN(DT254),1)*IFERROR(DU254^SIGN(DU254),1)*IFERROR(DV254^SIGN(DV254),1)*IFERROR(DW254^SIGN(DW254),1)*IFERROR(DX254^SIGN(DX254),1)*IFERROR(DY254^SIGN(DY254),1)</f>
        <v>1584</v>
      </c>
      <c r="EF254" s="224">
        <f t="shared" si="1788"/>
        <v>7424</v>
      </c>
      <c r="EG254" s="222">
        <f t="shared" si="1683"/>
        <v>3.8218390804597702</v>
      </c>
      <c r="EH254" s="223">
        <f t="shared" si="1684"/>
        <v>10.711206896551724</v>
      </c>
      <c r="EI254" s="243">
        <f t="shared" si="1685"/>
        <v>7.4676724137931032</v>
      </c>
      <c r="EJ254" s="243">
        <f t="shared" si="1686"/>
        <v>22.000718390804597</v>
      </c>
      <c r="EK254" s="252">
        <f t="shared" si="1604"/>
        <v>0</v>
      </c>
      <c r="EL254" s="309">
        <f t="shared" si="1687"/>
        <v>22.000718390804597</v>
      </c>
      <c r="EM254" s="218">
        <f>IF(EJ254&lt;=0,2,0)+IF(EJ254&gt;0,EJ254+1,0)*2+IF(EJ254&gt;12,EJ254-12,0)*2+IF(EJ254&gt;13,EJ254-13,0)*2+IF(EJ254&gt;14,EJ254-14,0)*2+IF(EJ254&gt;15,EJ254-15,0)*2+IF(EJ254&gt;16,EJ254-16,0)*2+IF(EJ254&gt;17,EJ254-17,0)*2+IF(EJ254&gt;18,EJ254-18,0)*2+IF(EJ254&gt;19,EJ254-19,0)*2+IF(EJ254&gt;20,EJ254-20,0)*2</f>
        <v>154.01436781609189</v>
      </c>
      <c r="EN254" s="242">
        <f>IF(EK254&lt;=0,2,0)+IF(EK254&gt;0,EK254+1,0)*2+IF(EK254&gt;12,EK254-12,0)*2+IF(EK254&gt;13,EK254-13,0)*2+IF(EK254&gt;14,EK254-14,0)*2+IF(EK254&gt;15,EK254-15,0)*2+IF(EK254&gt;16,EK254-16,0)*2+IF(EK254&gt;17,EK254-17,0)*2+IF(EK254&gt;18,EK254-18,0)*2+IF(EK254&gt;19,EK254-19,0)*2+IF(EK254&gt;20,EK254-20,0)*2</f>
        <v>2</v>
      </c>
      <c r="EO254" s="243">
        <f t="shared" si="1688"/>
        <v>152.01436781609189</v>
      </c>
      <c r="EP254" s="218">
        <f t="shared" si="1689"/>
        <v>0</v>
      </c>
      <c r="ER254" s="303" t="s">
        <v>400</v>
      </c>
      <c r="ES254" s="218" t="s">
        <v>440</v>
      </c>
      <c r="ET254" s="243" t="s">
        <v>132</v>
      </c>
      <c r="EU254" s="237"/>
      <c r="EV254" s="234">
        <f>Konvention_1slave-KLslave</f>
        <v>12</v>
      </c>
      <c r="EW254" s="234"/>
      <c r="EX254" s="234">
        <f>Konvention_1slave-CHslave</f>
        <v>12</v>
      </c>
      <c r="EY254" s="234">
        <f>Konvention_1slave-FFslave_FF</f>
        <v>11</v>
      </c>
      <c r="EZ254" s="234"/>
      <c r="FA254" s="234"/>
      <c r="FB254" s="224"/>
      <c r="FC254" s="223">
        <f>(EU254+EV254+EW254+EX254+EY254+EZ254+FA254+FB254)/3</f>
        <v>11.666666666666666</v>
      </c>
      <c r="FD254" s="223">
        <f t="shared" si="1691"/>
        <v>23.333333333333332</v>
      </c>
      <c r="FE254" s="224">
        <f t="shared" si="1692"/>
        <v>35</v>
      </c>
      <c r="FF254" s="237">
        <f>EU254*POWER(KLslave,SIGN(EV254))*POWER(INslave,SIGN(EW254))*POWER(CHslave,SIGN(EX254))*POWER(FFslave_FF,SIGN(EY254))*POWER(GEslave,SIGN(EZ254))*POWER(KOslave,SIGN(FA254))*POWER(KKslave,SIGN(FB254))+EV254*POWER(MUslave,SIGN(EU254))*POWER(INslave,SIGN(EW254))*POWER(CHslave,SIGN(EX254))*POWER(FFslave_FF,SIGN(EY254))*POWER(GEslave,SIGN(EZ254))*POWER(KOslave,SIGN(FA254))*POWER(KKslave,SIGN(FB254))+EW254*POWER(MUslave,SIGN(EU254))*POWER(KLslave,SIGN(EV254))*POWER(CHslave,SIGN(EX254))*POWER(FFslave_FF,SIGN(EY254))*POWER(GEslave,SIGN(EZ254))*POWER(KOslave,SIGN(FA254))*POWER(KKslave,SIGN(FB254))+EX254*POWER(MUslave,SIGN(EU254))*POWER(KLslave,SIGN(EV254))*POWER(INslave,SIGN(EW254))*POWER(FFslave_FF,SIGN(EY254))*POWER(GEslave,SIGN(EZ254))*POWER(KOslave,SIGN(FA254))*POWER(KKslave,SIGN(FB254))+EY254*POWER(MUslave,SIGN(EU254))*POWER(KLslave,SIGN(EV254))*POWER(INslave,SIGN(EW254))*POWER(CHslave,SIGN(EX254))*POWER(GEslave,SIGN(EZ254))*POWER(KOslave,SIGN(FA254))*POWER(KKslave,SIGN(FB254))+EZ254*POWER(MUslave,SIGN(EU254))*POWER(KLslave,SIGN(EV254))*POWER(INslave,SIGN(EW254))*POWER(CHslave,SIGN(EX254))*POWER(FFslave_FF,SIGN(EY254))*POWER(KOslave,SIGN(FA254))*POWER(KKslave,SIGN(FB254))+FA254*POWER(MUslave,SIGN(EU254))*POWER(KLslave,SIGN(EV254))*POWER(INslave,SIGN(EW254))*POWER(CHslave,SIGN(EX254))*POWER(FFslave_FF,SIGN(EY254))*POWER(GEslave,SIGN(EZ254))*POWER(KKslave,SIGN(FB254))+FB254*POWER(MUslave,SIGN(EU254))*POWER(KLslave,SIGN(EV254))*POWER(INslave,SIGN(EW254))*POWER(CHslave,SIGN(EX254))*POWER(FFslave_FF,SIGN(EY254))*POWER(GEslave,SIGN(EZ254))*POWER(KOslave,SIGN(FA254))</f>
        <v>2432</v>
      </c>
      <c r="FG254" s="234">
        <f>EV254*EX254*FFslave_FF+EV254*CHslave*EY254+KLslave*EX254*EY254</f>
        <v>3408</v>
      </c>
      <c r="FH254" s="224">
        <f>IFERROR(EU254^SIGN(EU254),1)*IFERROR(EV254^SIGN(EV254),1)*IFERROR(EW254^SIGN(EW254),1)*IFERROR(EX254^SIGN(EX254),1)*IFERROR(EY254^SIGN(EY254),1)*IFERROR(EZ254^SIGN(EZ254),1)*IFERROR(FA254^SIGN(FA254),1)*IFERROR(FB254^SIGN(FB254),1)</f>
        <v>1584</v>
      </c>
      <c r="FI254" s="224">
        <f t="shared" si="1789"/>
        <v>7424</v>
      </c>
      <c r="FJ254" s="222">
        <f t="shared" si="1695"/>
        <v>3.8218390804597702</v>
      </c>
      <c r="FK254" s="223">
        <f t="shared" si="1696"/>
        <v>10.711206896551724</v>
      </c>
      <c r="FL254" s="243">
        <f t="shared" si="1697"/>
        <v>7.4676724137931032</v>
      </c>
      <c r="FM254" s="243">
        <f t="shared" si="1698"/>
        <v>22.000718390804597</v>
      </c>
      <c r="FN254" s="252">
        <f t="shared" si="1606"/>
        <v>0</v>
      </c>
      <c r="FO254" s="309">
        <f t="shared" si="1699"/>
        <v>22.000718390804597</v>
      </c>
      <c r="FP254" s="218">
        <f>IF(FM254&lt;=0,2,0)+IF(FM254&gt;0,FM254+1,0)*2+IF(FM254&gt;12,FM254-12,0)*2+IF(FM254&gt;13,FM254-13,0)*2+IF(FM254&gt;14,FM254-14,0)*2+IF(FM254&gt;15,FM254-15,0)*2+IF(FM254&gt;16,FM254-16,0)*2+IF(FM254&gt;17,FM254-17,0)*2+IF(FM254&gt;18,FM254-18,0)*2+IF(FM254&gt;19,FM254-19,0)*2+IF(FM254&gt;20,FM254-20,0)*2</f>
        <v>154.01436781609189</v>
      </c>
      <c r="FQ254" s="242">
        <f>IF(FN254&lt;=0,2,0)+IF(FN254&gt;0,FN254+1,0)*2+IF(FN254&gt;12,FN254-12,0)*2+IF(FN254&gt;13,FN254-13,0)*2+IF(FN254&gt;14,FN254-14,0)*2+IF(FN254&gt;15,FN254-15,0)*2+IF(FN254&gt;16,FN254-16,0)*2+IF(FN254&gt;17,FN254-17,0)*2+IF(FN254&gt;18,FN254-18,0)*2+IF(FN254&gt;19,FN254-19,0)*2+IF(FN254&gt;20,FN254-20,0)*2</f>
        <v>2</v>
      </c>
      <c r="FR254" s="243">
        <f t="shared" si="1700"/>
        <v>152.01436781609189</v>
      </c>
      <c r="FS254" s="218">
        <f t="shared" si="1701"/>
        <v>0</v>
      </c>
      <c r="FU254" s="303" t="s">
        <v>400</v>
      </c>
      <c r="FV254" s="218" t="s">
        <v>440</v>
      </c>
      <c r="FW254" s="243" t="s">
        <v>132</v>
      </c>
      <c r="FX254" s="237"/>
      <c r="FY254" s="234">
        <f>Konvention_1slave-KLslave</f>
        <v>12</v>
      </c>
      <c r="FZ254" s="234"/>
      <c r="GA254" s="234">
        <f>Konvention_1slave-CHslave</f>
        <v>12</v>
      </c>
      <c r="GB254" s="234">
        <f>Konvention_1slave-FFslave</f>
        <v>12</v>
      </c>
      <c r="GC254" s="234"/>
      <c r="GD254" s="234"/>
      <c r="GE254" s="224"/>
      <c r="GF254" s="223">
        <f>(FX254+FY254+FZ254+GA254+GB254+GC254+GD254+GE254)/3</f>
        <v>12</v>
      </c>
      <c r="GG254" s="223">
        <f t="shared" si="1703"/>
        <v>24</v>
      </c>
      <c r="GH254" s="224">
        <f t="shared" si="1704"/>
        <v>36</v>
      </c>
      <c r="GI254" s="237">
        <f>FX254*POWER(KLslave,SIGN(FY254))*POWER(INslave,SIGN(FZ254))*POWER(CHslave,SIGN(GA254))*POWER(FFslave,SIGN(GB254))*POWER(GEslave_GE,SIGN(GC254))*POWER(KOslave,SIGN(GD254))*POWER(KKslave,SIGN(GE254))+FY254*POWER(MUslave,SIGN(FX254))*POWER(INslave,SIGN(FZ254))*POWER(CHslave,SIGN(GA254))*POWER(FFslave,SIGN(GB254))*POWER(GEslave_GE,SIGN(GC254))*POWER(KOslave,SIGN(GD254))*POWER(KKslave,SIGN(GE254))+FZ254*POWER(MUslave,SIGN(FX254))*POWER(KLslave,SIGN(FY254))*POWER(CHslave,SIGN(GA254))*POWER(FFslave,SIGN(GB254))*POWER(GEslave_GE,SIGN(GC254))*POWER(KOslave,SIGN(GD254))*POWER(KKslave,SIGN(GE254))+GA254*POWER(MUslave,SIGN(FX254))*POWER(KLslave,SIGN(FY254))*POWER(INslave,SIGN(FZ254))*POWER(FFslave,SIGN(GB254))*POWER(GEslave_GE,SIGN(GC254))*POWER(KOslave,SIGN(GD254))*POWER(KKslave,SIGN(GE254))+GB254*POWER(MUslave,SIGN(FX254))*POWER(KLslave,SIGN(FY254))*POWER(INslave,SIGN(FZ254))*POWER(CHslave,SIGN(GA254))*POWER(GEslave_GE,SIGN(GC254))*POWER(KOslave,SIGN(GD254))*POWER(KKslave,SIGN(GE254))+GC254*POWER(MUslave,SIGN(FX254))*POWER(KLslave,SIGN(FY254))*POWER(INslave,SIGN(FZ254))*POWER(CHslave,SIGN(GA254))*POWER(FFslave,SIGN(GB254))*POWER(KOslave,SIGN(GD254))*POWER(KKslave,SIGN(GE254))+GD254*POWER(MUslave,SIGN(FX254))*POWER(KLslave,SIGN(FY254))*POWER(INslave,SIGN(FZ254))*POWER(CHslave,SIGN(GA254))*POWER(FFslave,SIGN(GB254))*POWER(GEslave_GE,SIGN(GC254))*POWER(KKslave,SIGN(GE254))+GE254*POWER(MUslave,SIGN(FX254))*POWER(KLslave,SIGN(FY254))*POWER(INslave,SIGN(FZ254))*POWER(CHslave,SIGN(GA254))*POWER(FFslave,SIGN(GB254))*POWER(GEslave_GE,SIGN(GC254))*POWER(KOslave,SIGN(GD254))</f>
        <v>2304</v>
      </c>
      <c r="GJ254" s="234">
        <f>FY254*GA254*FFslave+FY254*CHslave*GB254+KLslave*GA254*GB254</f>
        <v>3456</v>
      </c>
      <c r="GK254" s="224">
        <f>IFERROR(FX254^SIGN(FX254),1)*IFERROR(FY254^SIGN(FY254),1)*IFERROR(FZ254^SIGN(FZ254),1)*IFERROR(GA254^SIGN(GA254),1)*IFERROR(GB254^SIGN(GB254),1)*IFERROR(GC254^SIGN(GC254),1)*IFERROR(GD254^SIGN(GD254),1)*IFERROR(GE254^SIGN(GE254),1)</f>
        <v>1728</v>
      </c>
      <c r="GL254" s="224">
        <f t="shared" si="1790"/>
        <v>7488</v>
      </c>
      <c r="GM254" s="222">
        <f t="shared" si="1707"/>
        <v>3.6923076923076925</v>
      </c>
      <c r="GN254" s="223">
        <f t="shared" si="1708"/>
        <v>11.076923076923077</v>
      </c>
      <c r="GO254" s="243">
        <f t="shared" si="1709"/>
        <v>8.3076923076923084</v>
      </c>
      <c r="GP254" s="243">
        <f t="shared" si="1710"/>
        <v>23.07692307692308</v>
      </c>
      <c r="GQ254" s="252">
        <f t="shared" si="1608"/>
        <v>0</v>
      </c>
      <c r="GR254" s="309">
        <f t="shared" si="1711"/>
        <v>23.07692307692308</v>
      </c>
      <c r="GS254" s="218">
        <f>IF(GP254&lt;=0,2,0)+IF(GP254&gt;0,GP254+1,0)*2+IF(GP254&gt;12,GP254-12,0)*2+IF(GP254&gt;13,GP254-13,0)*2+IF(GP254&gt;14,GP254-14,0)*2+IF(GP254&gt;15,GP254-15,0)*2+IF(GP254&gt;16,GP254-16,0)*2+IF(GP254&gt;17,GP254-17,0)*2+IF(GP254&gt;18,GP254-18,0)*2+IF(GP254&gt;19,GP254-19,0)*2+IF(GP254&gt;20,GP254-20,0)*2</f>
        <v>175.5384615384616</v>
      </c>
      <c r="GT254" s="242">
        <f>IF(GQ254&lt;=0,2,0)+IF(GQ254&gt;0,GQ254+1,0)*2+IF(GQ254&gt;12,GQ254-12,0)*2+IF(GQ254&gt;13,GQ254-13,0)*2+IF(GQ254&gt;14,GQ254-14,0)*2+IF(GQ254&gt;15,GQ254-15,0)*2+IF(GQ254&gt;16,GQ254-16,0)*2+IF(GQ254&gt;17,GQ254-17,0)*2+IF(GQ254&gt;18,GQ254-18,0)*2+IF(GQ254&gt;19,GQ254-19,0)*2+IF(GQ254&gt;20,GQ254-20,0)*2</f>
        <v>2</v>
      </c>
      <c r="GU254" s="243">
        <f t="shared" si="1712"/>
        <v>173.5384615384616</v>
      </c>
      <c r="GV254" s="218">
        <f t="shared" si="1713"/>
        <v>0</v>
      </c>
      <c r="GX254" s="303" t="s">
        <v>400</v>
      </c>
      <c r="GY254" s="218" t="s">
        <v>440</v>
      </c>
      <c r="GZ254" s="243" t="s">
        <v>132</v>
      </c>
      <c r="HA254" s="237"/>
      <c r="HB254" s="234">
        <f>Konvention_1slave-KLslave</f>
        <v>12</v>
      </c>
      <c r="HC254" s="234"/>
      <c r="HD254" s="234">
        <f>Konvention_1slave-CHslave</f>
        <v>12</v>
      </c>
      <c r="HE254" s="234">
        <f>Konvention_1slave-FFslave</f>
        <v>12</v>
      </c>
      <c r="HF254" s="234"/>
      <c r="HG254" s="234"/>
      <c r="HH254" s="224"/>
      <c r="HI254" s="223">
        <f>(HA254+HB254+HC254+HD254+HE254+HF254+HG254+HH254)/3</f>
        <v>12</v>
      </c>
      <c r="HJ254" s="223">
        <f t="shared" si="1715"/>
        <v>24</v>
      </c>
      <c r="HK254" s="224">
        <f t="shared" si="1716"/>
        <v>36</v>
      </c>
      <c r="HL254" s="237">
        <f>HA254*POWER(KLslave,SIGN(HB254))*POWER(INslave,SIGN(HC254))*POWER(CHslave,SIGN(HD254))*POWER(FFslave,SIGN(HE254))*POWER(GEslave,SIGN(HF254))*POWER(KOslave_KO,SIGN(HG254))*POWER(KKslave,SIGN(HH254))+HB254*POWER(MUslave,SIGN(HA254))*POWER(INslave,SIGN(HC254))*POWER(CHslave,SIGN(HD254))*POWER(FFslave,SIGN(HE254))*POWER(GEslave,SIGN(HF254))*POWER(KOslave_KO,SIGN(HG254))*POWER(KKslave,SIGN(HH254))+HC254*POWER(MUslave,SIGN(HA254))*POWER(KLslave,SIGN(HB254))*POWER(CHslave,SIGN(HD254))*POWER(FFslave,SIGN(HE254))*POWER(GEslave,SIGN(HF254))*POWER(KOslave_KO,SIGN(HG254))*POWER(KKslave,SIGN(HH254))+HD254*POWER(MUslave,SIGN(HA254))*POWER(KLslave,SIGN(HB254))*POWER(INslave,SIGN(HC254))*POWER(FFslave,SIGN(HE254))*POWER(GEslave,SIGN(HF254))*POWER(KOslave_KO,SIGN(HG254))*POWER(KKslave,SIGN(HH254))+HE254*POWER(MUslave,SIGN(HA254))*POWER(KLslave,SIGN(HB254))*POWER(INslave,SIGN(HC254))*POWER(CHslave,SIGN(HD254))*POWER(GEslave,SIGN(HF254))*POWER(KOslave_KO,SIGN(HG254))*POWER(KKslave,SIGN(HH254))+HF254*POWER(MUslave,SIGN(HA254))*POWER(KLslave,SIGN(HB254))*POWER(INslave,SIGN(HC254))*POWER(CHslave,SIGN(HD254))*POWER(FFslave,SIGN(HE254))*POWER(KOslave_KO,SIGN(HG254))*POWER(KKslave,SIGN(HH254))+HG254*POWER(MUslave,SIGN(HA254))*POWER(KLslave,SIGN(HB254))*POWER(INslave,SIGN(HC254))*POWER(CHslave,SIGN(HD254))*POWER(FFslave,SIGN(HE254))*POWER(GEslave,SIGN(HF254))*POWER(KKslave,SIGN(HH254))+HH254*POWER(MUslave,SIGN(HA254))*POWER(KLslave,SIGN(HB254))*POWER(INslave,SIGN(HC254))*POWER(CHslave,SIGN(HD254))*POWER(FFslave,SIGN(HE254))*POWER(GEslave,SIGN(HF254))*POWER(KOslave_KO,SIGN(HG254))</f>
        <v>2304</v>
      </c>
      <c r="HM254" s="234">
        <f>HB254*HD254*FFslave+HB254*CHslave*HE254+KLslave*HD254*HE254</f>
        <v>3456</v>
      </c>
      <c r="HN254" s="224">
        <f>IFERROR(HA254^SIGN(HA254),1)*IFERROR(HB254^SIGN(HB254),1)*IFERROR(HC254^SIGN(HC254),1)*IFERROR(HD254^SIGN(HD254),1)*IFERROR(HE254^SIGN(HE254),1)*IFERROR(HF254^SIGN(HF254),1)*IFERROR(HG254^SIGN(HG254),1)*IFERROR(HH254^SIGN(HH254),1)</f>
        <v>1728</v>
      </c>
      <c r="HO254" s="224">
        <f t="shared" si="1791"/>
        <v>7488</v>
      </c>
      <c r="HP254" s="222">
        <f t="shared" si="1719"/>
        <v>3.6923076923076925</v>
      </c>
      <c r="HQ254" s="223">
        <f t="shared" si="1720"/>
        <v>11.076923076923077</v>
      </c>
      <c r="HR254" s="243">
        <f t="shared" si="1721"/>
        <v>8.3076923076923084</v>
      </c>
      <c r="HS254" s="243">
        <f t="shared" si="1722"/>
        <v>23.07692307692308</v>
      </c>
      <c r="HT254" s="252">
        <f t="shared" si="1610"/>
        <v>0</v>
      </c>
      <c r="HU254" s="309">
        <f t="shared" si="1723"/>
        <v>23.07692307692308</v>
      </c>
      <c r="HV254" s="218">
        <f>IF(HS254&lt;=0,2,0)+IF(HS254&gt;0,HS254+1,0)*2+IF(HS254&gt;12,HS254-12,0)*2+IF(HS254&gt;13,HS254-13,0)*2+IF(HS254&gt;14,HS254-14,0)*2+IF(HS254&gt;15,HS254-15,0)*2+IF(HS254&gt;16,HS254-16,0)*2+IF(HS254&gt;17,HS254-17,0)*2+IF(HS254&gt;18,HS254-18,0)*2+IF(HS254&gt;19,HS254-19,0)*2+IF(HS254&gt;20,HS254-20,0)*2</f>
        <v>175.5384615384616</v>
      </c>
      <c r="HW254" s="242">
        <f>IF(HT254&lt;=0,2,0)+IF(HT254&gt;0,HT254+1,0)*2+IF(HT254&gt;12,HT254-12,0)*2+IF(HT254&gt;13,HT254-13,0)*2+IF(HT254&gt;14,HT254-14,0)*2+IF(HT254&gt;15,HT254-15,0)*2+IF(HT254&gt;16,HT254-16,0)*2+IF(HT254&gt;17,HT254-17,0)*2+IF(HT254&gt;18,HT254-18,0)*2+IF(HT254&gt;19,HT254-19,0)*2+IF(HT254&gt;20,HT254-20,0)*2</f>
        <v>2</v>
      </c>
      <c r="HX254" s="243">
        <f t="shared" si="1724"/>
        <v>173.5384615384616</v>
      </c>
      <c r="HY254" s="218">
        <f t="shared" si="1725"/>
        <v>0</v>
      </c>
      <c r="IA254" s="303" t="s">
        <v>400</v>
      </c>
      <c r="IB254" s="218" t="s">
        <v>440</v>
      </c>
      <c r="IC254" s="243" t="s">
        <v>132</v>
      </c>
      <c r="ID254" s="237"/>
      <c r="IE254" s="234">
        <f>Konvention_1slave-KLslave</f>
        <v>12</v>
      </c>
      <c r="IF254" s="234"/>
      <c r="IG254" s="234">
        <f>Konvention_1slave-CHslave</f>
        <v>12</v>
      </c>
      <c r="IH254" s="234">
        <f>Konvention_1slave-FFslave</f>
        <v>12</v>
      </c>
      <c r="II254" s="234"/>
      <c r="IJ254" s="234"/>
      <c r="IK254" s="224"/>
      <c r="IL254" s="223">
        <f>(ID254+IE254+IF254+IG254+IH254+II254+IJ254+IK254)/3</f>
        <v>12</v>
      </c>
      <c r="IM254" s="223">
        <f t="shared" si="1727"/>
        <v>24</v>
      </c>
      <c r="IN254" s="224">
        <f t="shared" si="1728"/>
        <v>36</v>
      </c>
      <c r="IO254" s="237">
        <f>ID254*POWER(KLslave,SIGN(IE254))*POWER(INslave,SIGN(IF254))*POWER(CHslave,SIGN(IG254))*POWER(FFslave,SIGN(IH254))*POWER(GEslave,SIGN(II254))*POWER(KOslave,SIGN(IJ254))*POWER(KKslave_KK,SIGN(IK254))+IE254*POWER(MUslave,SIGN(ID254))*POWER(INslave,SIGN(IF254))*POWER(CHslave,SIGN(IG254))*POWER(FFslave,SIGN(IH254))*POWER(GEslave,SIGN(II254))*POWER(KOslave,SIGN(IJ254))*POWER(KKslave_KK,SIGN(IK254))+IF254*POWER(MUslave,SIGN(ID254))*POWER(KLslave,SIGN(IE254))*POWER(CHslave,SIGN(IG254))*POWER(FFslave,SIGN(IH254))*POWER(GEslave,SIGN(II254))*POWER(KOslave,SIGN(IJ254))*POWER(KKslave_KK,SIGN(IK254))+IG254*POWER(MUslave,SIGN(ID254))*POWER(KLslave,SIGN(IE254))*POWER(INslave,SIGN(IF254))*POWER(FFslave,SIGN(IH254))*POWER(GEslave,SIGN(II254))*POWER(KOslave,SIGN(IJ254))*POWER(KKslave_KK,SIGN(IK254))+IH254*POWER(MUslave,SIGN(ID254))*POWER(KLslave,SIGN(IE254))*POWER(INslave,SIGN(IF254))*POWER(CHslave,SIGN(IG254))*POWER(GEslave,SIGN(II254))*POWER(KOslave,SIGN(IJ254))*POWER(KKslave_KK,SIGN(IK254))+II254*POWER(MUslave,SIGN(ID254))*POWER(KLslave,SIGN(IE254))*POWER(INslave,SIGN(IF254))*POWER(CHslave,SIGN(IG254))*POWER(FFslave,SIGN(IH254))*POWER(KOslave,SIGN(IJ254))*POWER(KKslave_KK,SIGN(IK254))+IJ254*POWER(MUslave,SIGN(ID254))*POWER(KLslave,SIGN(IE254))*POWER(INslave,SIGN(IF254))*POWER(CHslave,SIGN(IG254))*POWER(FFslave,SIGN(IH254))*POWER(GEslave,SIGN(II254))*POWER(KKslave_KK,SIGN(IK254))+IK254*POWER(MUslave,SIGN(ID254))*POWER(KLslave,SIGN(IE254))*POWER(INslave,SIGN(IF254))*POWER(CHslave,SIGN(IG254))*POWER(FFslave,SIGN(IH254))*POWER(GEslave,SIGN(II254))*POWER(KOslave,SIGN(IJ254))</f>
        <v>2304</v>
      </c>
      <c r="IP254" s="234">
        <f>IE254*IG254*FFslave+IE254*CHslave*IH254+KLslave*IG254*IH254</f>
        <v>3456</v>
      </c>
      <c r="IQ254" s="224">
        <f>IFERROR(ID254^SIGN(ID254),1)*IFERROR(IE254^SIGN(IE254),1)*IFERROR(IF254^SIGN(IF254),1)*IFERROR(IG254^SIGN(IG254),1)*IFERROR(IH254^SIGN(IH254),1)*IFERROR(II254^SIGN(II254),1)*IFERROR(IJ254^SIGN(IJ254),1)*IFERROR(IK254^SIGN(IK254),1)</f>
        <v>1728</v>
      </c>
      <c r="IR254" s="224">
        <f t="shared" si="1792"/>
        <v>7488</v>
      </c>
      <c r="IS254" s="222">
        <f t="shared" si="1731"/>
        <v>3.6923076923076925</v>
      </c>
      <c r="IT254" s="223">
        <f t="shared" si="1732"/>
        <v>11.076923076923077</v>
      </c>
      <c r="IU254" s="243">
        <f t="shared" si="1733"/>
        <v>8.3076923076923084</v>
      </c>
      <c r="IV254" s="243">
        <f t="shared" si="1734"/>
        <v>23.07692307692308</v>
      </c>
      <c r="IW254" s="252">
        <f t="shared" si="1612"/>
        <v>0</v>
      </c>
      <c r="IX254" s="309">
        <f t="shared" si="1735"/>
        <v>23.07692307692308</v>
      </c>
      <c r="IY254" s="218">
        <f>IF(IV254&lt;=0,2,0)+IF(IV254&gt;0,IV254+1,0)*2+IF(IV254&gt;12,IV254-12,0)*2+IF(IV254&gt;13,IV254-13,0)*2+IF(IV254&gt;14,IV254-14,0)*2+IF(IV254&gt;15,IV254-15,0)*2+IF(IV254&gt;16,IV254-16,0)*2+IF(IV254&gt;17,IV254-17,0)*2+IF(IV254&gt;18,IV254-18,0)*2+IF(IV254&gt;19,IV254-19,0)*2+IF(IV254&gt;20,IV254-20,0)*2</f>
        <v>175.5384615384616</v>
      </c>
      <c r="IZ254" s="242">
        <f>IF(IW254&lt;=0,2,0)+IF(IW254&gt;0,IW254+1,0)*2+IF(IW254&gt;12,IW254-12,0)*2+IF(IW254&gt;13,IW254-13,0)*2+IF(IW254&gt;14,IW254-14,0)*2+IF(IW254&gt;15,IW254-15,0)*2+IF(IW254&gt;16,IW254-16,0)*2+IF(IW254&gt;17,IW254-17,0)*2+IF(IW254&gt;18,IW254-18,0)*2+IF(IW254&gt;19,IW254-19,0)*2+IF(IW254&gt;20,IW254-20,0)*2</f>
        <v>2</v>
      </c>
      <c r="JA254" s="243">
        <f t="shared" si="1736"/>
        <v>173.5384615384616</v>
      </c>
      <c r="JB254" s="218">
        <f t="shared" si="1737"/>
        <v>0</v>
      </c>
      <c r="JE254" s="148"/>
    </row>
    <row r="255" spans="2:265" hidden="1" outlineLevel="2">
      <c r="B255" s="148">
        <v>43</v>
      </c>
      <c r="C255" s="303" t="e">
        <f>VLOOKUP(AF255,Attribute!C:T,1,FALSE)</f>
        <v>#N/A</v>
      </c>
      <c r="D255" s="86" t="s">
        <v>92</v>
      </c>
      <c r="E255" s="127" t="s">
        <v>135</v>
      </c>
      <c r="F255" s="114">
        <f>Konvention_1master-MUmaster</f>
        <v>12</v>
      </c>
      <c r="G255" s="113"/>
      <c r="H255" s="113"/>
      <c r="I255" s="113">
        <f>Konvention_1master-CHmaster</f>
        <v>12</v>
      </c>
      <c r="J255" s="113"/>
      <c r="K255" s="113"/>
      <c r="L255" s="113"/>
      <c r="M255" s="119"/>
      <c r="N255" s="223">
        <f>(F255+F255+I255)/3</f>
        <v>12</v>
      </c>
      <c r="O255" s="223">
        <f t="shared" si="1630"/>
        <v>24</v>
      </c>
      <c r="P255" s="224">
        <f t="shared" si="1631"/>
        <v>36</v>
      </c>
      <c r="Q255" s="237">
        <f>F255*POWER(CHmaster,SIGN(I255))*POWER(MUmaster,SIGN(F255))+F255*POWER(CHmaster,SIGN(I255))*POWER(MUmaster,SIGN(F255))+I255*POWER(MUmaster,SIGN(F255))*POWER(MUmaster,SIGN(F255))</f>
        <v>2304</v>
      </c>
      <c r="R255" s="113">
        <f>F255*F255*CHmaster+F255*MUmaster*I255+MUmaster*F255*I255</f>
        <v>3456</v>
      </c>
      <c r="S255" s="224">
        <f>F255*F255*I255</f>
        <v>1728</v>
      </c>
      <c r="T255" s="224">
        <f t="shared" si="1793"/>
        <v>7488</v>
      </c>
      <c r="U255" s="222">
        <f t="shared" si="1635"/>
        <v>3.6923076923076925</v>
      </c>
      <c r="V255" s="223">
        <f t="shared" si="1636"/>
        <v>11.076923076923077</v>
      </c>
      <c r="W255" s="243">
        <f t="shared" si="1637"/>
        <v>8.3076923076923084</v>
      </c>
      <c r="X255" s="243">
        <f t="shared" si="1638"/>
        <v>23.07692307692308</v>
      </c>
      <c r="Y255" s="252">
        <v>0</v>
      </c>
      <c r="Z255" s="198">
        <f t="shared" si="1639"/>
        <v>23.07692307692308</v>
      </c>
      <c r="AA255" s="125">
        <f>IF(X255&lt;=0,3,0)+IF(X255&gt;0,X255+1,0)*3+IF(X255&gt;12,X255-12,0)*3+IF(X255&gt;13,X255-13,0)*3+IF(X255&gt;14,X255-14,0)*3+IF(X255&gt;15,X255-15,0)*3+IF(X255&gt;16,X255-16,0)*3+IF(X255&gt;17,X255-17,0)*3+IF(X255&gt;18,X255-18,0)*3+IF(X255&gt;19,X255-19,0)*3+IF(X255&gt;20,X255-20,0)*3</f>
        <v>263.30769230769232</v>
      </c>
      <c r="AB255" s="160">
        <f>IF(Y255&lt;=0,3,0)+IF(Y255&gt;0,Y255+1,0)*3+IF(Y255&gt;12,Y255-12,0)*3+IF(Y255&gt;13,Y255-13,0)*3+IF(Y255&gt;14,Y255-14,0)*3+IF(Y255&gt;15,Y255-15,0)*3+IF(Y255&gt;16,Y255-16,0)*3+IF(Y255&gt;17,Y255-17,0)*3+IF(Y255&gt;18,Y255-18,0)*3+IF(Y255&gt;19,Y255-19,0)*3+IF(Y255&gt;20,Y255-20,0)*3</f>
        <v>3</v>
      </c>
      <c r="AC255" s="127">
        <f t="shared" si="1640"/>
        <v>260.30769230769232</v>
      </c>
      <c r="AD255" s="125">
        <f t="shared" si="1641"/>
        <v>0</v>
      </c>
      <c r="AF255" s="163" t="s">
        <v>310</v>
      </c>
      <c r="AG255" s="86" t="s">
        <v>92</v>
      </c>
      <c r="AH255" s="127" t="s">
        <v>135</v>
      </c>
      <c r="AI255" s="114">
        <f>Konvention_1slave-MUslave_MU</f>
        <v>11</v>
      </c>
      <c r="AJ255" s="113"/>
      <c r="AK255" s="113"/>
      <c r="AL255" s="113">
        <f>Konvention_1slave-CHslave</f>
        <v>12</v>
      </c>
      <c r="AM255" s="113"/>
      <c r="AN255" s="113"/>
      <c r="AO255" s="113"/>
      <c r="AP255" s="119"/>
      <c r="AQ255" s="47">
        <f>(AI255+AI255+AL255)/3</f>
        <v>11.333333333333334</v>
      </c>
      <c r="AR255" s="3">
        <f t="shared" si="1643"/>
        <v>22.666666666666668</v>
      </c>
      <c r="AS255" s="174">
        <f t="shared" si="1644"/>
        <v>34</v>
      </c>
      <c r="AT255" s="114">
        <f>AI255*POWER(CHslave,SIGN(AL255))*POWER(MUslave_MU,SIGN(AI255))+AI255*POWER(CHslave,SIGN(AL255))*POWER(MUslave_MU,SIGN(AI255))+AL255*POWER(MUslave_MU,SIGN(AI255))*POWER(MUslave_MU,SIGN(AI255))</f>
        <v>2556</v>
      </c>
      <c r="AU255" s="113">
        <f>AI255*AI255*CHslave+AI255*MUslave_MU*AL255+MUslave_MU*AI255*AL255</f>
        <v>3344</v>
      </c>
      <c r="AV255" s="119">
        <f>AI255*AI255*AL255</f>
        <v>1452</v>
      </c>
      <c r="AW255" s="119">
        <f t="shared" si="1785"/>
        <v>7352</v>
      </c>
      <c r="AX255" s="89">
        <f t="shared" si="1647"/>
        <v>3.940152339499456</v>
      </c>
      <c r="AY255" s="47">
        <f t="shared" si="1648"/>
        <v>10.309756982227059</v>
      </c>
      <c r="AZ255" s="127">
        <f t="shared" si="1649"/>
        <v>6.714907508161045</v>
      </c>
      <c r="BA255" s="127">
        <f t="shared" si="1650"/>
        <v>20.96481682988756</v>
      </c>
      <c r="BB255" s="165">
        <f t="shared" si="1598"/>
        <v>0</v>
      </c>
      <c r="BC255" s="198">
        <f t="shared" si="1651"/>
        <v>20.96481682988756</v>
      </c>
      <c r="BD255" s="125">
        <f>IF(BA255&lt;=0,3,0)+IF(BA255&gt;0,BA255+1,0)*3+IF(BA255&gt;12,BA255-12,0)*3+IF(BA255&gt;13,BA255-13,0)*3+IF(BA255&gt;14,BA255-14,0)*3+IF(BA255&gt;15,BA255-15,0)*3+IF(BA255&gt;16,BA255-16,0)*3+IF(BA255&gt;17,BA255-17,0)*3+IF(BA255&gt;18,BA255-18,0)*3+IF(BA255&gt;19,BA255-19,0)*3+IF(BA255&gt;20,BA255-20,0)*3</f>
        <v>199.94450489662688</v>
      </c>
      <c r="BE255" s="160">
        <f>IF(BB255&lt;=0,3,0)+IF(BB255&gt;0,BB255+1,0)*3+IF(BB255&gt;12,BB255-12,0)*3+IF(BB255&gt;13,BB255-13,0)*3+IF(BB255&gt;14,BB255-14,0)*3+IF(BB255&gt;15,BB255-15,0)*3+IF(BB255&gt;16,BB255-16,0)*3+IF(BB255&gt;17,BB255-17,0)*3+IF(BB255&gt;18,BB255-18,0)*3+IF(BB255&gt;19,BB255-19,0)*3+IF(BB255&gt;20,BB255-20,0)*3</f>
        <v>3</v>
      </c>
      <c r="BF255" s="243">
        <f t="shared" si="1652"/>
        <v>196.94450489662688</v>
      </c>
      <c r="BG255" s="218">
        <f t="shared" si="1653"/>
        <v>0</v>
      </c>
      <c r="BI255" s="303" t="s">
        <v>310</v>
      </c>
      <c r="BJ255" s="304" t="s">
        <v>92</v>
      </c>
      <c r="BK255" s="243" t="s">
        <v>135</v>
      </c>
      <c r="BL255" s="237">
        <f>Konvention_1slave-MUslave</f>
        <v>12</v>
      </c>
      <c r="BM255" s="234"/>
      <c r="BN255" s="234"/>
      <c r="BO255" s="234">
        <f>Konvention_1slave-CHslave</f>
        <v>12</v>
      </c>
      <c r="BP255" s="234"/>
      <c r="BQ255" s="234"/>
      <c r="BR255" s="234"/>
      <c r="BS255" s="224"/>
      <c r="BT255" s="223">
        <f>(BL255+BL255+BO255)/3</f>
        <v>12</v>
      </c>
      <c r="BU255" s="223">
        <f t="shared" si="1655"/>
        <v>24</v>
      </c>
      <c r="BV255" s="224">
        <f t="shared" si="1656"/>
        <v>36</v>
      </c>
      <c r="BW255" s="237">
        <f>BL255*POWER(CHslave,SIGN(BO255))*POWER(MUslave,SIGN(BL255))+BL255*POWER(CHslave,SIGN(BO255))*POWER(MUslave,SIGN(BL255))+BO255*POWER(MUslave,SIGN(BL255))*POWER(MUslave,SIGN(BL255))</f>
        <v>2304</v>
      </c>
      <c r="BX255" s="234">
        <f>BL255*BL255*CHslave+BL255*MUslave*BO255+MUslave*BL255*BO255</f>
        <v>3456</v>
      </c>
      <c r="BY255" s="224">
        <f>BL255*BL255*BO255</f>
        <v>1728</v>
      </c>
      <c r="BZ255" s="224">
        <f t="shared" si="1786"/>
        <v>7488</v>
      </c>
      <c r="CA255" s="222">
        <f t="shared" si="1659"/>
        <v>3.6923076923076925</v>
      </c>
      <c r="CB255" s="223">
        <f t="shared" si="1660"/>
        <v>11.076923076923077</v>
      </c>
      <c r="CC255" s="243">
        <f t="shared" si="1661"/>
        <v>8.3076923076923084</v>
      </c>
      <c r="CD255" s="243">
        <f t="shared" si="1662"/>
        <v>23.07692307692308</v>
      </c>
      <c r="CE255" s="252">
        <f t="shared" si="1600"/>
        <v>0</v>
      </c>
      <c r="CF255" s="309">
        <f t="shared" si="1663"/>
        <v>23.07692307692308</v>
      </c>
      <c r="CG255" s="218">
        <f>IF(CD255&lt;=0,3,0)+IF(CD255&gt;0,CD255+1,0)*3+IF(CD255&gt;12,CD255-12,0)*3+IF(CD255&gt;13,CD255-13,0)*3+IF(CD255&gt;14,CD255-14,0)*3+IF(CD255&gt;15,CD255-15,0)*3+IF(CD255&gt;16,CD255-16,0)*3+IF(CD255&gt;17,CD255-17,0)*3+IF(CD255&gt;18,CD255-18,0)*3+IF(CD255&gt;19,CD255-19,0)*3+IF(CD255&gt;20,CD255-20,0)*3</f>
        <v>263.30769230769232</v>
      </c>
      <c r="CH255" s="242">
        <f>IF(CE255&lt;=0,3,0)+IF(CE255&gt;0,CE255+1,0)*3+IF(CE255&gt;12,CE255-12,0)*3+IF(CE255&gt;13,CE255-13,0)*3+IF(CE255&gt;14,CE255-14,0)*3+IF(CE255&gt;15,CE255-15,0)*3+IF(CE255&gt;16,CE255-16,0)*3+IF(CE255&gt;17,CE255-17,0)*3+IF(CE255&gt;18,CE255-18,0)*3+IF(CE255&gt;19,CE255-19,0)*3+IF(CE255&gt;20,CE255-20,0)*3</f>
        <v>3</v>
      </c>
      <c r="CI255" s="243">
        <f t="shared" si="1664"/>
        <v>260.30769230769232</v>
      </c>
      <c r="CJ255" s="218">
        <f t="shared" si="1665"/>
        <v>0</v>
      </c>
      <c r="CL255" s="303" t="s">
        <v>310</v>
      </c>
      <c r="CM255" s="304" t="s">
        <v>92</v>
      </c>
      <c r="CN255" s="243" t="s">
        <v>135</v>
      </c>
      <c r="CO255" s="237">
        <f>Konvention_1slave-MUslave</f>
        <v>12</v>
      </c>
      <c r="CP255" s="234"/>
      <c r="CQ255" s="234"/>
      <c r="CR255" s="234">
        <f>Konvention_1slave-CHslave</f>
        <v>12</v>
      </c>
      <c r="CS255" s="234"/>
      <c r="CT255" s="234"/>
      <c r="CU255" s="234"/>
      <c r="CV255" s="224"/>
      <c r="CW255" s="223">
        <f>(CO255+CO255+CR255)/3</f>
        <v>12</v>
      </c>
      <c r="CX255" s="223">
        <f t="shared" si="1667"/>
        <v>24</v>
      </c>
      <c r="CY255" s="224">
        <f t="shared" si="1668"/>
        <v>36</v>
      </c>
      <c r="CZ255" s="237">
        <f>CO255*POWER(CHslave,SIGN(CR255))*POWER(MUslave,SIGN(CO255))+CO255*POWER(CHslave,SIGN(CR255))*POWER(MUslave,SIGN(CO255))+CR255*POWER(MUslave,SIGN(CO255))*POWER(MUslave,SIGN(CO255))</f>
        <v>2304</v>
      </c>
      <c r="DA255" s="234">
        <f>CO255*CO255*CHslave+CO255*MUslave*CR255+MUslave*CO255*CR255</f>
        <v>3456</v>
      </c>
      <c r="DB255" s="224">
        <f>CO255*CO255*CR255</f>
        <v>1728</v>
      </c>
      <c r="DC255" s="224">
        <f t="shared" si="1787"/>
        <v>7488</v>
      </c>
      <c r="DD255" s="222">
        <f t="shared" si="1671"/>
        <v>3.6923076923076925</v>
      </c>
      <c r="DE255" s="223">
        <f t="shared" si="1672"/>
        <v>11.076923076923077</v>
      </c>
      <c r="DF255" s="243">
        <f t="shared" si="1673"/>
        <v>8.3076923076923084</v>
      </c>
      <c r="DG255" s="243">
        <f t="shared" si="1674"/>
        <v>23.07692307692308</v>
      </c>
      <c r="DH255" s="252">
        <f t="shared" si="1602"/>
        <v>0</v>
      </c>
      <c r="DI255" s="309">
        <f t="shared" si="1675"/>
        <v>23.07692307692308</v>
      </c>
      <c r="DJ255" s="218">
        <f>IF(DG255&lt;=0,3,0)+IF(DG255&gt;0,DG255+1,0)*3+IF(DG255&gt;12,DG255-12,0)*3+IF(DG255&gt;13,DG255-13,0)*3+IF(DG255&gt;14,DG255-14,0)*3+IF(DG255&gt;15,DG255-15,0)*3+IF(DG255&gt;16,DG255-16,0)*3+IF(DG255&gt;17,DG255-17,0)*3+IF(DG255&gt;18,DG255-18,0)*3+IF(DG255&gt;19,DG255-19,0)*3+IF(DG255&gt;20,DG255-20,0)*3</f>
        <v>263.30769230769232</v>
      </c>
      <c r="DK255" s="242">
        <f>IF(DH255&lt;=0,3,0)+IF(DH255&gt;0,DH255+1,0)*3+IF(DH255&gt;12,DH255-12,0)*3+IF(DH255&gt;13,DH255-13,0)*3+IF(DH255&gt;14,DH255-14,0)*3+IF(DH255&gt;15,DH255-15,0)*3+IF(DH255&gt;16,DH255-16,0)*3+IF(DH255&gt;17,DH255-17,0)*3+IF(DH255&gt;18,DH255-18,0)*3+IF(DH255&gt;19,DH255-19,0)*3+IF(DH255&gt;20,DH255-20,0)*3</f>
        <v>3</v>
      </c>
      <c r="DL255" s="243">
        <f t="shared" si="1676"/>
        <v>260.30769230769232</v>
      </c>
      <c r="DM255" s="218">
        <f t="shared" si="1677"/>
        <v>0</v>
      </c>
      <c r="DO255" s="303" t="s">
        <v>310</v>
      </c>
      <c r="DP255" s="304" t="s">
        <v>92</v>
      </c>
      <c r="DQ255" s="243" t="s">
        <v>135</v>
      </c>
      <c r="DR255" s="237">
        <f>Konvention_1slave-MUslave</f>
        <v>12</v>
      </c>
      <c r="DS255" s="234"/>
      <c r="DT255" s="234"/>
      <c r="DU255" s="234">
        <f>Konvention_1slave-CHslave_CH</f>
        <v>11</v>
      </c>
      <c r="DV255" s="234"/>
      <c r="DW255" s="234"/>
      <c r="DX255" s="234"/>
      <c r="DY255" s="224"/>
      <c r="DZ255" s="223">
        <f>(DR255+DR255+DU255)/3</f>
        <v>11.666666666666666</v>
      </c>
      <c r="EA255" s="223">
        <f t="shared" si="1679"/>
        <v>23.333333333333332</v>
      </c>
      <c r="EB255" s="224">
        <f t="shared" si="1680"/>
        <v>35</v>
      </c>
      <c r="EC255" s="237">
        <f>DR255*POWER(CHslave_CH,SIGN(DU255))*POWER(MUslave,SIGN(DR255))+DR255*POWER(CHslave_CH,SIGN(DU255))*POWER(MUslave,SIGN(DR255))+DU255*POWER(MUslave,SIGN(DR255))*POWER(MUslave,SIGN(DR255))</f>
        <v>2432</v>
      </c>
      <c r="ED255" s="234">
        <f>DR255*DR255*CHslave_CH+DR255*MUslave*DU255+MUslave*DR255*DU255</f>
        <v>3408</v>
      </c>
      <c r="EE255" s="224">
        <f>DR255*DR255*DU255</f>
        <v>1584</v>
      </c>
      <c r="EF255" s="224">
        <f t="shared" si="1788"/>
        <v>7424</v>
      </c>
      <c r="EG255" s="222">
        <f t="shared" si="1683"/>
        <v>3.8218390804597702</v>
      </c>
      <c r="EH255" s="223">
        <f t="shared" si="1684"/>
        <v>10.711206896551724</v>
      </c>
      <c r="EI255" s="243">
        <f t="shared" si="1685"/>
        <v>7.4676724137931032</v>
      </c>
      <c r="EJ255" s="243">
        <f t="shared" si="1686"/>
        <v>22.000718390804597</v>
      </c>
      <c r="EK255" s="252">
        <f t="shared" si="1604"/>
        <v>0</v>
      </c>
      <c r="EL255" s="309">
        <f t="shared" si="1687"/>
        <v>22.000718390804597</v>
      </c>
      <c r="EM255" s="218">
        <f>IF(EJ255&lt;=0,3,0)+IF(EJ255&gt;0,EJ255+1,0)*3+IF(EJ255&gt;12,EJ255-12,0)*3+IF(EJ255&gt;13,EJ255-13,0)*3+IF(EJ255&gt;14,EJ255-14,0)*3+IF(EJ255&gt;15,EJ255-15,0)*3+IF(EJ255&gt;16,EJ255-16,0)*3+IF(EJ255&gt;17,EJ255-17,0)*3+IF(EJ255&gt;18,EJ255-18,0)*3+IF(EJ255&gt;19,EJ255-19,0)*3+IF(EJ255&gt;20,EJ255-20,0)*3</f>
        <v>231.02155172413785</v>
      </c>
      <c r="EN255" s="242">
        <f>IF(EK255&lt;=0,3,0)+IF(EK255&gt;0,EK255+1,0)*3+IF(EK255&gt;12,EK255-12,0)*3+IF(EK255&gt;13,EK255-13,0)*3+IF(EK255&gt;14,EK255-14,0)*3+IF(EK255&gt;15,EK255-15,0)*3+IF(EK255&gt;16,EK255-16,0)*3+IF(EK255&gt;17,EK255-17,0)*3+IF(EK255&gt;18,EK255-18,0)*3+IF(EK255&gt;19,EK255-19,0)*3+IF(EK255&gt;20,EK255-20,0)*3</f>
        <v>3</v>
      </c>
      <c r="EO255" s="243">
        <f t="shared" si="1688"/>
        <v>228.02155172413785</v>
      </c>
      <c r="EP255" s="218">
        <f t="shared" si="1689"/>
        <v>0</v>
      </c>
      <c r="ER255" s="303" t="s">
        <v>310</v>
      </c>
      <c r="ES255" s="304" t="s">
        <v>92</v>
      </c>
      <c r="ET255" s="243" t="s">
        <v>135</v>
      </c>
      <c r="EU255" s="237">
        <f>Konvention_1slave-MUslave</f>
        <v>12</v>
      </c>
      <c r="EV255" s="234"/>
      <c r="EW255" s="234"/>
      <c r="EX255" s="234">
        <f>Konvention_1slave-CHslave</f>
        <v>12</v>
      </c>
      <c r="EY255" s="234"/>
      <c r="EZ255" s="234"/>
      <c r="FA255" s="234"/>
      <c r="FB255" s="224"/>
      <c r="FC255" s="223">
        <f>(EU255+EU255+EX255)/3</f>
        <v>12</v>
      </c>
      <c r="FD255" s="223">
        <f t="shared" si="1691"/>
        <v>24</v>
      </c>
      <c r="FE255" s="224">
        <f t="shared" si="1692"/>
        <v>36</v>
      </c>
      <c r="FF255" s="237">
        <f>EU255*POWER(CHslave,SIGN(EX255))*POWER(MUslave,SIGN(EU255))+EU255*POWER(CHslave,SIGN(EX255))*POWER(MUslave,SIGN(EU255))+EX255*POWER(MUslave,SIGN(EU255))*POWER(MUslave,SIGN(EU255))</f>
        <v>2304</v>
      </c>
      <c r="FG255" s="234">
        <f>EU255*EU255*CHslave+EU255*MUslave*EX255+MUslave*EU255*EX255</f>
        <v>3456</v>
      </c>
      <c r="FH255" s="224">
        <f>EU255*EU255*EX255</f>
        <v>1728</v>
      </c>
      <c r="FI255" s="224">
        <f t="shared" si="1789"/>
        <v>7488</v>
      </c>
      <c r="FJ255" s="222">
        <f t="shared" si="1695"/>
        <v>3.6923076923076925</v>
      </c>
      <c r="FK255" s="223">
        <f t="shared" si="1696"/>
        <v>11.076923076923077</v>
      </c>
      <c r="FL255" s="243">
        <f t="shared" si="1697"/>
        <v>8.3076923076923084</v>
      </c>
      <c r="FM255" s="243">
        <f t="shared" si="1698"/>
        <v>23.07692307692308</v>
      </c>
      <c r="FN255" s="252">
        <f t="shared" si="1606"/>
        <v>0</v>
      </c>
      <c r="FO255" s="309">
        <f t="shared" si="1699"/>
        <v>23.07692307692308</v>
      </c>
      <c r="FP255" s="218">
        <f>IF(FM255&lt;=0,3,0)+IF(FM255&gt;0,FM255+1,0)*3+IF(FM255&gt;12,FM255-12,0)*3+IF(FM255&gt;13,FM255-13,0)*3+IF(FM255&gt;14,FM255-14,0)*3+IF(FM255&gt;15,FM255-15,0)*3+IF(FM255&gt;16,FM255-16,0)*3+IF(FM255&gt;17,FM255-17,0)*3+IF(FM255&gt;18,FM255-18,0)*3+IF(FM255&gt;19,FM255-19,0)*3+IF(FM255&gt;20,FM255-20,0)*3</f>
        <v>263.30769230769232</v>
      </c>
      <c r="FQ255" s="242">
        <f>IF(FN255&lt;=0,3,0)+IF(FN255&gt;0,FN255+1,0)*3+IF(FN255&gt;12,FN255-12,0)*3+IF(FN255&gt;13,FN255-13,0)*3+IF(FN255&gt;14,FN255-14,0)*3+IF(FN255&gt;15,FN255-15,0)*3+IF(FN255&gt;16,FN255-16,0)*3+IF(FN255&gt;17,FN255-17,0)*3+IF(FN255&gt;18,FN255-18,0)*3+IF(FN255&gt;19,FN255-19,0)*3+IF(FN255&gt;20,FN255-20,0)*3</f>
        <v>3</v>
      </c>
      <c r="FR255" s="243">
        <f t="shared" si="1700"/>
        <v>260.30769230769232</v>
      </c>
      <c r="FS255" s="218">
        <f t="shared" si="1701"/>
        <v>0</v>
      </c>
      <c r="FU255" s="303" t="s">
        <v>310</v>
      </c>
      <c r="FV255" s="304" t="s">
        <v>92</v>
      </c>
      <c r="FW255" s="243" t="s">
        <v>135</v>
      </c>
      <c r="FX255" s="237">
        <f>Konvention_1slave-MUslave</f>
        <v>12</v>
      </c>
      <c r="FY255" s="234"/>
      <c r="FZ255" s="234"/>
      <c r="GA255" s="234">
        <f>Konvention_1slave-CHslave</f>
        <v>12</v>
      </c>
      <c r="GB255" s="234"/>
      <c r="GC255" s="234"/>
      <c r="GD255" s="234"/>
      <c r="GE255" s="224"/>
      <c r="GF255" s="223">
        <f>(FX255+FX255+GA255)/3</f>
        <v>12</v>
      </c>
      <c r="GG255" s="223">
        <f t="shared" si="1703"/>
        <v>24</v>
      </c>
      <c r="GH255" s="224">
        <f t="shared" si="1704"/>
        <v>36</v>
      </c>
      <c r="GI255" s="237">
        <f>FX255*POWER(CHslave,SIGN(GA255))*POWER(MUslave,SIGN(FX255))+FX255*POWER(CHslave,SIGN(GA255))*POWER(MUslave,SIGN(FX255))+GA255*POWER(MUslave,SIGN(FX255))*POWER(MUslave,SIGN(FX255))</f>
        <v>2304</v>
      </c>
      <c r="GJ255" s="234">
        <f>FX255*FX255*CHslave+FX255*MUslave*GA255+MUslave*FX255*GA255</f>
        <v>3456</v>
      </c>
      <c r="GK255" s="224">
        <f>FX255*FX255*GA255</f>
        <v>1728</v>
      </c>
      <c r="GL255" s="224">
        <f t="shared" si="1790"/>
        <v>7488</v>
      </c>
      <c r="GM255" s="222">
        <f t="shared" si="1707"/>
        <v>3.6923076923076925</v>
      </c>
      <c r="GN255" s="223">
        <f t="shared" si="1708"/>
        <v>11.076923076923077</v>
      </c>
      <c r="GO255" s="243">
        <f t="shared" si="1709"/>
        <v>8.3076923076923084</v>
      </c>
      <c r="GP255" s="243">
        <f t="shared" si="1710"/>
        <v>23.07692307692308</v>
      </c>
      <c r="GQ255" s="252">
        <f t="shared" si="1608"/>
        <v>0</v>
      </c>
      <c r="GR255" s="309">
        <f t="shared" si="1711"/>
        <v>23.07692307692308</v>
      </c>
      <c r="GS255" s="218">
        <f>IF(GP255&lt;=0,3,0)+IF(GP255&gt;0,GP255+1,0)*3+IF(GP255&gt;12,GP255-12,0)*3+IF(GP255&gt;13,GP255-13,0)*3+IF(GP255&gt;14,GP255-14,0)*3+IF(GP255&gt;15,GP255-15,0)*3+IF(GP255&gt;16,GP255-16,0)*3+IF(GP255&gt;17,GP255-17,0)*3+IF(GP255&gt;18,GP255-18,0)*3+IF(GP255&gt;19,GP255-19,0)*3+IF(GP255&gt;20,GP255-20,0)*3</f>
        <v>263.30769230769232</v>
      </c>
      <c r="GT255" s="242">
        <f>IF(GQ255&lt;=0,3,0)+IF(GQ255&gt;0,GQ255+1,0)*3+IF(GQ255&gt;12,GQ255-12,0)*3+IF(GQ255&gt;13,GQ255-13,0)*3+IF(GQ255&gt;14,GQ255-14,0)*3+IF(GQ255&gt;15,GQ255-15,0)*3+IF(GQ255&gt;16,GQ255-16,0)*3+IF(GQ255&gt;17,GQ255-17,0)*3+IF(GQ255&gt;18,GQ255-18,0)*3+IF(GQ255&gt;19,GQ255-19,0)*3+IF(GQ255&gt;20,GQ255-20,0)*3</f>
        <v>3</v>
      </c>
      <c r="GU255" s="243">
        <f t="shared" si="1712"/>
        <v>260.30769230769232</v>
      </c>
      <c r="GV255" s="218">
        <f t="shared" si="1713"/>
        <v>0</v>
      </c>
      <c r="GX255" s="303" t="s">
        <v>310</v>
      </c>
      <c r="GY255" s="304" t="s">
        <v>92</v>
      </c>
      <c r="GZ255" s="243" t="s">
        <v>135</v>
      </c>
      <c r="HA255" s="237">
        <f>Konvention_1slave-MUslave</f>
        <v>12</v>
      </c>
      <c r="HB255" s="234"/>
      <c r="HC255" s="234"/>
      <c r="HD255" s="234">
        <f>Konvention_1slave-CHslave</f>
        <v>12</v>
      </c>
      <c r="HE255" s="234"/>
      <c r="HF255" s="234"/>
      <c r="HG255" s="234"/>
      <c r="HH255" s="224"/>
      <c r="HI255" s="223">
        <f>(HA255+HA255+HD255)/3</f>
        <v>12</v>
      </c>
      <c r="HJ255" s="223">
        <f t="shared" si="1715"/>
        <v>24</v>
      </c>
      <c r="HK255" s="224">
        <f t="shared" si="1716"/>
        <v>36</v>
      </c>
      <c r="HL255" s="237">
        <f>HA255*POWER(CHslave,SIGN(HD255))*POWER(MUslave,SIGN(HA255))+HA255*POWER(CHslave,SIGN(HD255))*POWER(MUslave,SIGN(HA255))+HD255*POWER(MUslave,SIGN(HA255))*POWER(MUslave,SIGN(HA255))</f>
        <v>2304</v>
      </c>
      <c r="HM255" s="234">
        <f>HA255*HA255*CHslave+HA255*MUslave*HD255+MUslave*HA255*HD255</f>
        <v>3456</v>
      </c>
      <c r="HN255" s="224">
        <f>HA255*HA255*HD255</f>
        <v>1728</v>
      </c>
      <c r="HO255" s="224">
        <f t="shared" si="1791"/>
        <v>7488</v>
      </c>
      <c r="HP255" s="222">
        <f t="shared" si="1719"/>
        <v>3.6923076923076925</v>
      </c>
      <c r="HQ255" s="223">
        <f t="shared" si="1720"/>
        <v>11.076923076923077</v>
      </c>
      <c r="HR255" s="243">
        <f t="shared" si="1721"/>
        <v>8.3076923076923084</v>
      </c>
      <c r="HS255" s="243">
        <f t="shared" si="1722"/>
        <v>23.07692307692308</v>
      </c>
      <c r="HT255" s="252">
        <f t="shared" si="1610"/>
        <v>0</v>
      </c>
      <c r="HU255" s="309">
        <f t="shared" si="1723"/>
        <v>23.07692307692308</v>
      </c>
      <c r="HV255" s="218">
        <f>IF(HS255&lt;=0,3,0)+IF(HS255&gt;0,HS255+1,0)*3+IF(HS255&gt;12,HS255-12,0)*3+IF(HS255&gt;13,HS255-13,0)*3+IF(HS255&gt;14,HS255-14,0)*3+IF(HS255&gt;15,HS255-15,0)*3+IF(HS255&gt;16,HS255-16,0)*3+IF(HS255&gt;17,HS255-17,0)*3+IF(HS255&gt;18,HS255-18,0)*3+IF(HS255&gt;19,HS255-19,0)*3+IF(HS255&gt;20,HS255-20,0)*3</f>
        <v>263.30769230769232</v>
      </c>
      <c r="HW255" s="242">
        <f>IF(HT255&lt;=0,3,0)+IF(HT255&gt;0,HT255+1,0)*3+IF(HT255&gt;12,HT255-12,0)*3+IF(HT255&gt;13,HT255-13,0)*3+IF(HT255&gt;14,HT255-14,0)*3+IF(HT255&gt;15,HT255-15,0)*3+IF(HT255&gt;16,HT255-16,0)*3+IF(HT255&gt;17,HT255-17,0)*3+IF(HT255&gt;18,HT255-18,0)*3+IF(HT255&gt;19,HT255-19,0)*3+IF(HT255&gt;20,HT255-20,0)*3</f>
        <v>3</v>
      </c>
      <c r="HX255" s="243">
        <f t="shared" si="1724"/>
        <v>260.30769230769232</v>
      </c>
      <c r="HY255" s="218">
        <f t="shared" si="1725"/>
        <v>0</v>
      </c>
      <c r="IA255" s="303" t="s">
        <v>310</v>
      </c>
      <c r="IB255" s="304" t="s">
        <v>92</v>
      </c>
      <c r="IC255" s="243" t="s">
        <v>135</v>
      </c>
      <c r="ID255" s="237">
        <f>Konvention_1slave-MUslave</f>
        <v>12</v>
      </c>
      <c r="IE255" s="234"/>
      <c r="IF255" s="234"/>
      <c r="IG255" s="234">
        <f>Konvention_1slave-CHslave</f>
        <v>12</v>
      </c>
      <c r="IH255" s="234"/>
      <c r="II255" s="234"/>
      <c r="IJ255" s="234"/>
      <c r="IK255" s="224"/>
      <c r="IL255" s="223">
        <f>(ID255+ID255+IG255)/3</f>
        <v>12</v>
      </c>
      <c r="IM255" s="223">
        <f t="shared" si="1727"/>
        <v>24</v>
      </c>
      <c r="IN255" s="224">
        <f t="shared" si="1728"/>
        <v>36</v>
      </c>
      <c r="IO255" s="237">
        <f>ID255*POWER(CHslave,SIGN(IG255))*POWER(MUslave,SIGN(ID255))+ID255*POWER(CHslave,SIGN(IG255))*POWER(MUslave,SIGN(ID255))+IG255*POWER(MUslave,SIGN(ID255))*POWER(MUslave,SIGN(ID255))</f>
        <v>2304</v>
      </c>
      <c r="IP255" s="234">
        <f>ID255*ID255*CHslave+ID255*MUslave*IG255+MUslave*ID255*IG255</f>
        <v>3456</v>
      </c>
      <c r="IQ255" s="224">
        <f>ID255*ID255*IG255</f>
        <v>1728</v>
      </c>
      <c r="IR255" s="224">
        <f t="shared" si="1792"/>
        <v>7488</v>
      </c>
      <c r="IS255" s="222">
        <f t="shared" si="1731"/>
        <v>3.6923076923076925</v>
      </c>
      <c r="IT255" s="223">
        <f t="shared" si="1732"/>
        <v>11.076923076923077</v>
      </c>
      <c r="IU255" s="243">
        <f t="shared" si="1733"/>
        <v>8.3076923076923084</v>
      </c>
      <c r="IV255" s="243">
        <f t="shared" si="1734"/>
        <v>23.07692307692308</v>
      </c>
      <c r="IW255" s="252">
        <f t="shared" si="1612"/>
        <v>0</v>
      </c>
      <c r="IX255" s="309">
        <f t="shared" si="1735"/>
        <v>23.07692307692308</v>
      </c>
      <c r="IY255" s="218">
        <f>IF(IV255&lt;=0,3,0)+IF(IV255&gt;0,IV255+1,0)*3+IF(IV255&gt;12,IV255-12,0)*3+IF(IV255&gt;13,IV255-13,0)*3+IF(IV255&gt;14,IV255-14,0)*3+IF(IV255&gt;15,IV255-15,0)*3+IF(IV255&gt;16,IV255-16,0)*3+IF(IV255&gt;17,IV255-17,0)*3+IF(IV255&gt;18,IV255-18,0)*3+IF(IV255&gt;19,IV255-19,0)*3+IF(IV255&gt;20,IV255-20,0)*3</f>
        <v>263.30769230769232</v>
      </c>
      <c r="IZ255" s="242">
        <f>IF(IW255&lt;=0,3,0)+IF(IW255&gt;0,IW255+1,0)*3+IF(IW255&gt;12,IW255-12,0)*3+IF(IW255&gt;13,IW255-13,0)*3+IF(IW255&gt;14,IW255-14,0)*3+IF(IW255&gt;15,IW255-15,0)*3+IF(IW255&gt;16,IW255-16,0)*3+IF(IW255&gt;17,IW255-17,0)*3+IF(IW255&gt;18,IW255-18,0)*3+IF(IW255&gt;19,IW255-19,0)*3+IF(IW255&gt;20,IW255-20,0)*3</f>
        <v>3</v>
      </c>
      <c r="JA255" s="243">
        <f t="shared" si="1736"/>
        <v>260.30769230769232</v>
      </c>
      <c r="JB255" s="218">
        <f t="shared" si="1737"/>
        <v>0</v>
      </c>
      <c r="JE255" s="148"/>
    </row>
    <row r="256" spans="2:265" hidden="1" outlineLevel="2">
      <c r="B256" s="148">
        <v>44</v>
      </c>
      <c r="C256" s="303" t="e">
        <f>VLOOKUP(AF256,Attribute!C:T,1,FALSE)</f>
        <v>#N/A</v>
      </c>
      <c r="D256" s="125" t="s">
        <v>171</v>
      </c>
      <c r="E256" s="127" t="s">
        <v>132</v>
      </c>
      <c r="F256" s="114"/>
      <c r="G256" s="113"/>
      <c r="H256" s="113">
        <f>Konvention_1master-INmaster</f>
        <v>12</v>
      </c>
      <c r="I256" s="113"/>
      <c r="J256" s="113">
        <f>Konvention_1master-FFmaster</f>
        <v>12</v>
      </c>
      <c r="K256" s="113"/>
      <c r="L256" s="113">
        <f>Konvention_1master-KOmaster</f>
        <v>12</v>
      </c>
      <c r="M256" s="119"/>
      <c r="N256" s="223">
        <f>(F256+G256+H256+I256+J256+K256+L256+M256)/3</f>
        <v>12</v>
      </c>
      <c r="O256" s="223">
        <f t="shared" si="1630"/>
        <v>24</v>
      </c>
      <c r="P256" s="224">
        <f t="shared" si="1631"/>
        <v>36</v>
      </c>
      <c r="Q256" s="237">
        <f>F256*POWER(KLmaster,SIGN(G256))*POWER(INmaster,SIGN(H256))*POWER(CHmaster,SIGN(I256))*POWER(FFmaster,SIGN(J256))*POWER(GEmaster,SIGN(K256))*POWER(KOmaster,SIGN(L256))*POWER(KKmaster,SIGN(M256))+G256*POWER(MUmaster,SIGN(F256))*POWER(INmaster,SIGN(H256))*POWER(CHmaster,SIGN(I256))*POWER(FFmaster,SIGN(J256))*POWER(GEmaster,SIGN(K256))*POWER(KOmaster,SIGN(L256))*POWER(KKmaster,SIGN(M256))+H256*POWER(MUmaster,SIGN(F256))*POWER(KLmaster,SIGN(G256))*POWER(CHmaster,SIGN(I256))*POWER(FFmaster,SIGN(J256))*POWER(GEmaster,SIGN(K256))*POWER(KOmaster,SIGN(L256))*POWER(KKmaster,SIGN(M256))+I256*POWER(MUmaster,SIGN(F256))*POWER(KLmaster,SIGN(G256))*POWER(INmaster,SIGN(H256))*POWER(FFmaster,SIGN(J256))*POWER(GEmaster,SIGN(K256))*POWER(KOmaster,SIGN(L256))*POWER(KKmaster,SIGN(M256))+J256*POWER(MUmaster,SIGN(F256))*POWER(KLmaster,SIGN(G256))*POWER(INmaster,SIGN(H256))*POWER(CHmaster,SIGN(I256))*POWER(GEmaster,SIGN(K256))*POWER(KOmaster,SIGN(L256))*POWER(KKmaster,SIGN(M256))+K256*POWER(MUmaster,SIGN(F256))*POWER(KLmaster,SIGN(G256))*POWER(INmaster,SIGN(H256))*POWER(CHmaster,SIGN(I256))*POWER(FFmaster,SIGN(J256))*POWER(KOmaster,SIGN(L256))*POWER(KKmaster,SIGN(M256))+L256*POWER(MUmaster,SIGN(F256))*POWER(KLmaster,SIGN(G256))*POWER(INmaster,SIGN(H256))*POWER(CHmaster,SIGN(I256))*POWER(FFmaster,SIGN(J256))*POWER(GEmaster,SIGN(K256))*POWER(KKmaster,SIGN(M256))+M256*POWER(MUmaster,SIGN(F256))*POWER(KLmaster,SIGN(G256))*POWER(INmaster,SIGN(H256))*POWER(CHmaster,SIGN(I256))*POWER(FFmaster,SIGN(J256))*POWER(GEmaster,SIGN(K256))*POWER(KOmaster,SIGN(L256))</f>
        <v>2304</v>
      </c>
      <c r="R256" s="113">
        <f>H256*J256*KOmaster+H256*FFmaster*L256+INmaster*J256*L256</f>
        <v>3456</v>
      </c>
      <c r="S256" s="224">
        <f>IFERROR(F256^SIGN(F256),1)*IFERROR(G256^SIGN(G256),1)*IFERROR(H256^SIGN(H256),1)*IFERROR(I256^SIGN(I256),1)*IFERROR(J256^SIGN(J256),1)*IFERROR(K256^SIGN(K256),1)*IFERROR(L256^SIGN(L256),1)*IFERROR(M256^SIGN(M256),1)</f>
        <v>1728</v>
      </c>
      <c r="T256" s="224">
        <f t="shared" si="1793"/>
        <v>7488</v>
      </c>
      <c r="U256" s="222">
        <f t="shared" si="1635"/>
        <v>3.6923076923076925</v>
      </c>
      <c r="V256" s="223">
        <f t="shared" si="1636"/>
        <v>11.076923076923077</v>
      </c>
      <c r="W256" s="243">
        <f t="shared" si="1637"/>
        <v>8.3076923076923084</v>
      </c>
      <c r="X256" s="243">
        <f t="shared" si="1638"/>
        <v>23.07692307692308</v>
      </c>
      <c r="Y256" s="252">
        <v>0</v>
      </c>
      <c r="Z256" s="198">
        <f t="shared" si="1639"/>
        <v>23.07692307692308</v>
      </c>
      <c r="AA256" s="125">
        <f>IF(X256&lt;=0,2,0)+IF(X256&gt;0,X256+1,0)*2+IF(X256&gt;12,X256-12,0)*2+IF(X256&gt;13,X256-13,0)*2+IF(X256&gt;14,X256-14,0)*2+IF(X256&gt;15,X256-15,0)*2+IF(X256&gt;16,X256-16,0)*2+IF(X256&gt;17,X256-17,0)*2+IF(X256&gt;18,X256-18,0)*2+IF(X256&gt;19,X256-19,0)*2+IF(X256&gt;20,X256-20,0)*2</f>
        <v>175.5384615384616</v>
      </c>
      <c r="AB256" s="160">
        <f>IF(Y256&lt;=0,2,0)+IF(Y256&gt;0,Y256+1,0)*2+IF(Y256&gt;12,Y256-12,0)*2+IF(Y256&gt;13,Y256-13,0)*2+IF(Y256&gt;14,Y256-14,0)*2+IF(Y256&gt;15,Y256-15,0)*2+IF(Y256&gt;16,Y256-16,0)*2+IF(Y256&gt;17,Y256-17,0)*2+IF(Y256&gt;18,Y256-18,0)*2+IF(Y256&gt;19,Y256-19,0)*2+IF(Y256&gt;20,Y256-20,0)*2</f>
        <v>2</v>
      </c>
      <c r="AC256" s="127">
        <f t="shared" si="1640"/>
        <v>173.5384615384616</v>
      </c>
      <c r="AD256" s="125">
        <f t="shared" si="1641"/>
        <v>0</v>
      </c>
      <c r="AF256" s="163" t="s">
        <v>168</v>
      </c>
      <c r="AG256" s="125" t="s">
        <v>171</v>
      </c>
      <c r="AH256" s="127" t="s">
        <v>132</v>
      </c>
      <c r="AI256" s="114"/>
      <c r="AJ256" s="113"/>
      <c r="AK256" s="113">
        <f>Konvention_1slave-INslave</f>
        <v>12</v>
      </c>
      <c r="AL256" s="113"/>
      <c r="AM256" s="113">
        <f>Konvention_1slave-FFslave</f>
        <v>12</v>
      </c>
      <c r="AN256" s="113"/>
      <c r="AO256" s="113">
        <f>Konvention_1slave-KOslave</f>
        <v>12</v>
      </c>
      <c r="AP256" s="119"/>
      <c r="AQ256" s="47">
        <f>(AI256+AJ256+AK256+AL256+AM256+AN256+AO256+AP256)/3</f>
        <v>12</v>
      </c>
      <c r="AR256" s="47">
        <f t="shared" si="1643"/>
        <v>24</v>
      </c>
      <c r="AS256" s="119">
        <f t="shared" si="1644"/>
        <v>36</v>
      </c>
      <c r="AT256" s="114">
        <f>AI256*POWER(KLslave,SIGN(AJ256))*POWER(INslave,SIGN(AK256))*POWER(CHslave,SIGN(AL256))*POWER(FFslave,SIGN(AM256))*POWER(GEslave,SIGN(AN256))*POWER(KOslave,SIGN(AO256))*POWER(KKslave,SIGN(AP256))+AJ256*POWER(MUslave_MU,SIGN(AI256))*POWER(INslave,SIGN(AK256))*POWER(CHslave,SIGN(AL256))*POWER(FFslave,SIGN(AM256))*POWER(GEslave,SIGN(AN256))*POWER(KOslave,SIGN(AO256))*POWER(KKslave,SIGN(AP256))+AK256*POWER(MUslave_MU,SIGN(AI256))*POWER(KLslave,SIGN(AJ256))*POWER(CHslave,SIGN(AL256))*POWER(FFslave,SIGN(AM256))*POWER(GEslave,SIGN(AN256))*POWER(KOslave,SIGN(AO256))*POWER(KKslave,SIGN(AP256))+AL256*POWER(MUslave_MU,SIGN(AI256))*POWER(KLslave,SIGN(AJ256))*POWER(INslave,SIGN(AK256))*POWER(FFslave,SIGN(AM256))*POWER(GEslave,SIGN(AN256))*POWER(KOslave,SIGN(AO256))*POWER(KKslave,SIGN(AP256))+AM256*POWER(MUslave_MU,SIGN(AI256))*POWER(KLslave,SIGN(AJ256))*POWER(INslave,SIGN(AK256))*POWER(CHslave,SIGN(AL256))*POWER(GEslave,SIGN(AN256))*POWER(KOslave,SIGN(AO256))*POWER(KKslave,SIGN(AP256))+AN256*POWER(MUslave_MU,SIGN(AI256))*POWER(KLslave,SIGN(AJ256))*POWER(INslave,SIGN(AK256))*POWER(CHslave,SIGN(AL256))*POWER(FFslave,SIGN(AM256))*POWER(KOslave,SIGN(AO256))*POWER(KKslave,SIGN(AP256))+AO256*POWER(MUslave_MU,SIGN(AI256))*POWER(KLslave,SIGN(AJ256))*POWER(INslave,SIGN(AK256))*POWER(CHslave,SIGN(AL256))*POWER(FFslave,SIGN(AM256))*POWER(GEslave,SIGN(AN256))*POWER(KKslave,SIGN(AP256))+AP256*POWER(MUslave_MU,SIGN(AI256))*POWER(KLslave,SIGN(AJ256))*POWER(INslave,SIGN(AK256))*POWER(CHslave,SIGN(AL256))*POWER(FFslave,SIGN(AM256))*POWER(GEslave,SIGN(AN256))*POWER(KOslave,SIGN(AO256))</f>
        <v>2304</v>
      </c>
      <c r="AU256" s="113">
        <f>AK256*AM256*KOslave+AK256*FFslave*AO256+INslave*AM256*AO256</f>
        <v>3456</v>
      </c>
      <c r="AV256" s="119">
        <f>IFERROR(AI256^SIGN(AI256),1)*IFERROR(AJ256^SIGN(AJ256),1)*IFERROR(AK256^SIGN(AK256),1)*IFERROR(AL256^SIGN(AL256),1)*IFERROR(AM256^SIGN(AM256),1)*IFERROR(AN256^SIGN(AN256),1)*IFERROR(AO256^SIGN(AO256),1)*IFERROR(AP256^SIGN(AP256),1)</f>
        <v>1728</v>
      </c>
      <c r="AW256" s="119">
        <f t="shared" si="1785"/>
        <v>7488</v>
      </c>
      <c r="AX256" s="89">
        <f t="shared" si="1647"/>
        <v>3.6923076923076925</v>
      </c>
      <c r="AY256" s="47">
        <f t="shared" si="1648"/>
        <v>11.076923076923077</v>
      </c>
      <c r="AZ256" s="127">
        <f t="shared" si="1649"/>
        <v>8.3076923076923084</v>
      </c>
      <c r="BA256" s="127">
        <f t="shared" si="1650"/>
        <v>23.07692307692308</v>
      </c>
      <c r="BB256" s="165">
        <f t="shared" si="1598"/>
        <v>0</v>
      </c>
      <c r="BC256" s="198">
        <f t="shared" si="1651"/>
        <v>23.07692307692308</v>
      </c>
      <c r="BD256" s="125">
        <f>IF(BA256&lt;=0,2,0)+IF(BA256&gt;0,BA256+1,0)*2+IF(BA256&gt;12,BA256-12,0)*2+IF(BA256&gt;13,BA256-13,0)*2+IF(BA256&gt;14,BA256-14,0)*2+IF(BA256&gt;15,BA256-15,0)*2+IF(BA256&gt;16,BA256-16,0)*2+IF(BA256&gt;17,BA256-17,0)*2+IF(BA256&gt;18,BA256-18,0)*2+IF(BA256&gt;19,BA256-19,0)*2+IF(BA256&gt;20,BA256-20,0)*2</f>
        <v>175.5384615384616</v>
      </c>
      <c r="BE256" s="160">
        <f>IF(BB256&lt;=0,2,0)+IF(BB256&gt;0,BB256+1,0)*2+IF(BB256&gt;12,BB256-12,0)*2+IF(BB256&gt;13,BB256-13,0)*2+IF(BB256&gt;14,BB256-14,0)*2+IF(BB256&gt;15,BB256-15,0)*2+IF(BB256&gt;16,BB256-16,0)*2+IF(BB256&gt;17,BB256-17,0)*2+IF(BB256&gt;18,BB256-18,0)*2+IF(BB256&gt;19,BB256-19,0)*2+IF(BB256&gt;20,BB256-20,0)*2</f>
        <v>2</v>
      </c>
      <c r="BF256" s="243">
        <f t="shared" si="1652"/>
        <v>173.5384615384616</v>
      </c>
      <c r="BG256" s="218">
        <f t="shared" si="1653"/>
        <v>0</v>
      </c>
      <c r="BI256" s="303" t="s">
        <v>168</v>
      </c>
      <c r="BJ256" s="218" t="s">
        <v>171</v>
      </c>
      <c r="BK256" s="243" t="s">
        <v>132</v>
      </c>
      <c r="BL256" s="237"/>
      <c r="BM256" s="234"/>
      <c r="BN256" s="234">
        <f>Konvention_1slave-INslave</f>
        <v>12</v>
      </c>
      <c r="BO256" s="234"/>
      <c r="BP256" s="234">
        <f>Konvention_1slave-FFslave</f>
        <v>12</v>
      </c>
      <c r="BQ256" s="234"/>
      <c r="BR256" s="234">
        <f>Konvention_1slave-KOslave</f>
        <v>12</v>
      </c>
      <c r="BS256" s="224"/>
      <c r="BT256" s="223">
        <f>(BL256+BM256+BN256+BO256+BP256+BQ256+BR256+BS256)/3</f>
        <v>12</v>
      </c>
      <c r="BU256" s="223">
        <f t="shared" si="1655"/>
        <v>24</v>
      </c>
      <c r="BV256" s="224">
        <f t="shared" si="1656"/>
        <v>36</v>
      </c>
      <c r="BW256" s="237">
        <f>BL256*POWER(KLslave_KL,SIGN(BM256))*POWER(INslave,SIGN(BN256))*POWER(CHslave,SIGN(BO256))*POWER(FFslave,SIGN(BP256))*POWER(GEslave,SIGN(BQ256))*POWER(KOslave,SIGN(BR256))*POWER(KKslave,SIGN(BS256))+BM256*POWER(MUslave,SIGN(BL256))*POWER(INslave,SIGN(BN256))*POWER(CHslave,SIGN(BO256))*POWER(FFslave,SIGN(BP256))*POWER(GEslave,SIGN(BQ256))*POWER(KOslave,SIGN(BR256))*POWER(KKslave,SIGN(BS256))+BN256*POWER(MUslave,SIGN(BL256))*POWER(KLslave_KL,SIGN(BM256))*POWER(CHslave,SIGN(BO256))*POWER(FFslave,SIGN(BP256))*POWER(GEslave,SIGN(BQ256))*POWER(KOslave,SIGN(BR256))*POWER(KKslave,SIGN(BS256))+BO256*POWER(MUslave,SIGN(BL256))*POWER(KLslave_KL,SIGN(BM256))*POWER(INslave,SIGN(BN256))*POWER(FFslave,SIGN(BP256))*POWER(GEslave,SIGN(BQ256))*POWER(KOslave,SIGN(BR256))*POWER(KKslave,SIGN(BS256))+BP256*POWER(MUslave,SIGN(BL256))*POWER(KLslave_KL,SIGN(BM256))*POWER(INslave,SIGN(BN256))*POWER(CHslave,SIGN(BO256))*POWER(GEslave,SIGN(BQ256))*POWER(KOslave,SIGN(BR256))*POWER(KKslave,SIGN(BS256))+BQ256*POWER(MUslave,SIGN(BL256))*POWER(KLslave_KL,SIGN(BM256))*POWER(INslave,SIGN(BN256))*POWER(CHslave,SIGN(BO256))*POWER(FFslave,SIGN(BP256))*POWER(KOslave,SIGN(BR256))*POWER(KKslave,SIGN(BS256))+BR256*POWER(MUslave,SIGN(BL256))*POWER(KLslave_KL,SIGN(BM256))*POWER(INslave,SIGN(BN256))*POWER(CHslave,SIGN(BO256))*POWER(FFslave,SIGN(BP256))*POWER(GEslave,SIGN(BQ256))*POWER(KKslave,SIGN(BS256))+BS256*POWER(MUslave,SIGN(BL256))*POWER(KLslave_KL,SIGN(BM256))*POWER(INslave,SIGN(BN256))*POWER(CHslave,SIGN(BO256))*POWER(FFslave,SIGN(BP256))*POWER(GEslave,SIGN(BQ256))*POWER(KOslave,SIGN(BR256))</f>
        <v>2304</v>
      </c>
      <c r="BX256" s="234">
        <f>BN256*BP256*KOslave+BN256*FFslave*BR256+INslave*BP256*BR256</f>
        <v>3456</v>
      </c>
      <c r="BY256" s="224">
        <f>IFERROR(BL256^SIGN(BL256),1)*IFERROR(BM256^SIGN(BM256),1)*IFERROR(BN256^SIGN(BN256),1)*IFERROR(BO256^SIGN(BO256),1)*IFERROR(BP256^SIGN(BP256),1)*IFERROR(BQ256^SIGN(BQ256),1)*IFERROR(BR256^SIGN(BR256),1)*IFERROR(BS256^SIGN(BS256),1)</f>
        <v>1728</v>
      </c>
      <c r="BZ256" s="224">
        <f t="shared" si="1786"/>
        <v>7488</v>
      </c>
      <c r="CA256" s="222">
        <f t="shared" si="1659"/>
        <v>3.6923076923076925</v>
      </c>
      <c r="CB256" s="223">
        <f t="shared" si="1660"/>
        <v>11.076923076923077</v>
      </c>
      <c r="CC256" s="243">
        <f t="shared" si="1661"/>
        <v>8.3076923076923084</v>
      </c>
      <c r="CD256" s="243">
        <f t="shared" si="1662"/>
        <v>23.07692307692308</v>
      </c>
      <c r="CE256" s="252">
        <f t="shared" si="1600"/>
        <v>0</v>
      </c>
      <c r="CF256" s="309">
        <f t="shared" si="1663"/>
        <v>23.07692307692308</v>
      </c>
      <c r="CG256" s="218">
        <f>IF(CD256&lt;=0,2,0)+IF(CD256&gt;0,CD256+1,0)*2+IF(CD256&gt;12,CD256-12,0)*2+IF(CD256&gt;13,CD256-13,0)*2+IF(CD256&gt;14,CD256-14,0)*2+IF(CD256&gt;15,CD256-15,0)*2+IF(CD256&gt;16,CD256-16,0)*2+IF(CD256&gt;17,CD256-17,0)*2+IF(CD256&gt;18,CD256-18,0)*2+IF(CD256&gt;19,CD256-19,0)*2+IF(CD256&gt;20,CD256-20,0)*2</f>
        <v>175.5384615384616</v>
      </c>
      <c r="CH256" s="242">
        <f>IF(CE256&lt;=0,2,0)+IF(CE256&gt;0,CE256+1,0)*2+IF(CE256&gt;12,CE256-12,0)*2+IF(CE256&gt;13,CE256-13,0)*2+IF(CE256&gt;14,CE256-14,0)*2+IF(CE256&gt;15,CE256-15,0)*2+IF(CE256&gt;16,CE256-16,0)*2+IF(CE256&gt;17,CE256-17,0)*2+IF(CE256&gt;18,CE256-18,0)*2+IF(CE256&gt;19,CE256-19,0)*2+IF(CE256&gt;20,CE256-20,0)*2</f>
        <v>2</v>
      </c>
      <c r="CI256" s="243">
        <f t="shared" si="1664"/>
        <v>173.5384615384616</v>
      </c>
      <c r="CJ256" s="218">
        <f t="shared" si="1665"/>
        <v>0</v>
      </c>
      <c r="CL256" s="303" t="s">
        <v>168</v>
      </c>
      <c r="CM256" s="218" t="s">
        <v>171</v>
      </c>
      <c r="CN256" s="243" t="s">
        <v>132</v>
      </c>
      <c r="CO256" s="237"/>
      <c r="CP256" s="234"/>
      <c r="CQ256" s="234">
        <f>Konvention_1slave-INslave_IN</f>
        <v>11</v>
      </c>
      <c r="CR256" s="234"/>
      <c r="CS256" s="234">
        <f>Konvention_1slave-FFslave</f>
        <v>12</v>
      </c>
      <c r="CT256" s="234"/>
      <c r="CU256" s="234">
        <f>Konvention_1slave-KOslave</f>
        <v>12</v>
      </c>
      <c r="CV256" s="224"/>
      <c r="CW256" s="223">
        <f>(CO256+CP256+CQ256+CR256+CS256+CT256+CU256+CV256)/3</f>
        <v>11.666666666666666</v>
      </c>
      <c r="CX256" s="223">
        <f t="shared" si="1667"/>
        <v>23.333333333333332</v>
      </c>
      <c r="CY256" s="224">
        <f t="shared" si="1668"/>
        <v>35</v>
      </c>
      <c r="CZ256" s="237">
        <f>CO256*POWER(KLslave,SIGN(CP256))*POWER(INslave_IN,SIGN(CQ256))*POWER(CHslave,SIGN(CR256))*POWER(FFslave,SIGN(CS256))*POWER(GEslave,SIGN(CT256))*POWER(KOslave,SIGN(CU256))*POWER(KKslave,SIGN(CV256))+CP256*POWER(MUslave,SIGN(CO256))*POWER(INslave_IN,SIGN(CQ256))*POWER(CHslave,SIGN(CR256))*POWER(FFslave,SIGN(CS256))*POWER(GEslave,SIGN(CT256))*POWER(KOslave,SIGN(CU256))*POWER(KKslave,SIGN(CV256))+CQ256*POWER(MUslave,SIGN(CO256))*POWER(KLslave,SIGN(CP256))*POWER(CHslave,SIGN(CR256))*POWER(FFslave,SIGN(CS256))*POWER(GEslave,SIGN(CT256))*POWER(KOslave,SIGN(CU256))*POWER(KKslave,SIGN(CV256))+CR256*POWER(MUslave,SIGN(CO256))*POWER(KLslave,SIGN(CP256))*POWER(INslave_IN,SIGN(CQ256))*POWER(FFslave,SIGN(CS256))*POWER(GEslave,SIGN(CT256))*POWER(KOslave,SIGN(CU256))*POWER(KKslave,SIGN(CV256))+CS256*POWER(MUslave,SIGN(CO256))*POWER(KLslave,SIGN(CP256))*POWER(INslave_IN,SIGN(CQ256))*POWER(CHslave,SIGN(CR256))*POWER(GEslave,SIGN(CT256))*POWER(KOslave,SIGN(CU256))*POWER(KKslave,SIGN(CV256))+CT256*POWER(MUslave,SIGN(CO256))*POWER(KLslave,SIGN(CP256))*POWER(INslave_IN,SIGN(CQ256))*POWER(CHslave,SIGN(CR256))*POWER(FFslave,SIGN(CS256))*POWER(KOslave,SIGN(CU256))*POWER(KKslave,SIGN(CV256))+CU256*POWER(MUslave,SIGN(CO256))*POWER(KLslave,SIGN(CP256))*POWER(INslave_IN,SIGN(CQ256))*POWER(CHslave,SIGN(CR256))*POWER(FFslave,SIGN(CS256))*POWER(GEslave,SIGN(CT256))*POWER(KKslave,SIGN(CV256))+CV256*POWER(MUslave,SIGN(CO256))*POWER(KLslave,SIGN(CP256))*POWER(INslave_IN,SIGN(CQ256))*POWER(CHslave,SIGN(CR256))*POWER(FFslave,SIGN(CS256))*POWER(GEslave,SIGN(CT256))*POWER(KOslave,SIGN(CU256))</f>
        <v>2432</v>
      </c>
      <c r="DA256" s="234">
        <f>CQ256*CS256*KOslave+CQ256*FFslave*CU256+INslave_IN*CS256*CU256</f>
        <v>3408</v>
      </c>
      <c r="DB256" s="224">
        <f>IFERROR(CO256^SIGN(CO256),1)*IFERROR(CP256^SIGN(CP256),1)*IFERROR(CQ256^SIGN(CQ256),1)*IFERROR(CR256^SIGN(CR256),1)*IFERROR(CS256^SIGN(CS256),1)*IFERROR(CT256^SIGN(CT256),1)*IFERROR(CU256^SIGN(CU256),1)*IFERROR(CV256^SIGN(CV256),1)</f>
        <v>1584</v>
      </c>
      <c r="DC256" s="224">
        <f t="shared" si="1787"/>
        <v>7424</v>
      </c>
      <c r="DD256" s="222">
        <f t="shared" si="1671"/>
        <v>3.8218390804597702</v>
      </c>
      <c r="DE256" s="223">
        <f t="shared" si="1672"/>
        <v>10.711206896551724</v>
      </c>
      <c r="DF256" s="243">
        <f t="shared" si="1673"/>
        <v>7.4676724137931032</v>
      </c>
      <c r="DG256" s="243">
        <f t="shared" si="1674"/>
        <v>22.000718390804597</v>
      </c>
      <c r="DH256" s="252">
        <f t="shared" si="1602"/>
        <v>0</v>
      </c>
      <c r="DI256" s="309">
        <f t="shared" si="1675"/>
        <v>22.000718390804597</v>
      </c>
      <c r="DJ256" s="218">
        <f>IF(DG256&lt;=0,2,0)+IF(DG256&gt;0,DG256+1,0)*2+IF(DG256&gt;12,DG256-12,0)*2+IF(DG256&gt;13,DG256-13,0)*2+IF(DG256&gt;14,DG256-14,0)*2+IF(DG256&gt;15,DG256-15,0)*2+IF(DG256&gt;16,DG256-16,0)*2+IF(DG256&gt;17,DG256-17,0)*2+IF(DG256&gt;18,DG256-18,0)*2+IF(DG256&gt;19,DG256-19,0)*2+IF(DG256&gt;20,DG256-20,0)*2</f>
        <v>154.01436781609189</v>
      </c>
      <c r="DK256" s="242">
        <f>IF(DH256&lt;=0,2,0)+IF(DH256&gt;0,DH256+1,0)*2+IF(DH256&gt;12,DH256-12,0)*2+IF(DH256&gt;13,DH256-13,0)*2+IF(DH256&gt;14,DH256-14,0)*2+IF(DH256&gt;15,DH256-15,0)*2+IF(DH256&gt;16,DH256-16,0)*2+IF(DH256&gt;17,DH256-17,0)*2+IF(DH256&gt;18,DH256-18,0)*2+IF(DH256&gt;19,DH256-19,0)*2+IF(DH256&gt;20,DH256-20,0)*2</f>
        <v>2</v>
      </c>
      <c r="DL256" s="243">
        <f t="shared" si="1676"/>
        <v>152.01436781609189</v>
      </c>
      <c r="DM256" s="218">
        <f t="shared" si="1677"/>
        <v>0</v>
      </c>
      <c r="DO256" s="303" t="s">
        <v>168</v>
      </c>
      <c r="DP256" s="218" t="s">
        <v>171</v>
      </c>
      <c r="DQ256" s="243" t="s">
        <v>132</v>
      </c>
      <c r="DR256" s="237"/>
      <c r="DS256" s="234"/>
      <c r="DT256" s="234">
        <f>Konvention_1slave-INslave</f>
        <v>12</v>
      </c>
      <c r="DU256" s="234"/>
      <c r="DV256" s="234">
        <f>Konvention_1slave-FFslave</f>
        <v>12</v>
      </c>
      <c r="DW256" s="234"/>
      <c r="DX256" s="234">
        <f>Konvention_1slave-KOslave</f>
        <v>12</v>
      </c>
      <c r="DY256" s="224"/>
      <c r="DZ256" s="223">
        <f>(DR256+DS256+DT256+DU256+DV256+DW256+DX256+DY256)/3</f>
        <v>12</v>
      </c>
      <c r="EA256" s="223">
        <f t="shared" si="1679"/>
        <v>24</v>
      </c>
      <c r="EB256" s="224">
        <f t="shared" si="1680"/>
        <v>36</v>
      </c>
      <c r="EC256" s="237">
        <f>DR256*POWER(KLslave,SIGN(DS256))*POWER(INslave,SIGN(DT256))*POWER(CHslave_CH,SIGN(DU256))*POWER(FFslave,SIGN(DV256))*POWER(GEslave,SIGN(DW256))*POWER(KOslave,SIGN(DX256))*POWER(KKslave,SIGN(DY256))+DS256*POWER(MUslave,SIGN(DR256))*POWER(INslave,SIGN(DT256))*POWER(CHslave_CH,SIGN(DU256))*POWER(FFslave,SIGN(DV256))*POWER(GEslave,SIGN(DW256))*POWER(KOslave,SIGN(DX256))*POWER(KKslave,SIGN(DY256))+DT256*POWER(MUslave,SIGN(DR256))*POWER(KLslave,SIGN(DS256))*POWER(CHslave_CH,SIGN(DU256))*POWER(FFslave,SIGN(DV256))*POWER(GEslave,SIGN(DW256))*POWER(KOslave,SIGN(DX256))*POWER(KKslave,SIGN(DY256))+DU256*POWER(MUslave,SIGN(DR256))*POWER(KLslave,SIGN(DS256))*POWER(INslave,SIGN(DT256))*POWER(FFslave,SIGN(DV256))*POWER(GEslave,SIGN(DW256))*POWER(KOslave,SIGN(DX256))*POWER(KKslave,SIGN(DY256))+DV256*POWER(MUslave,SIGN(DR256))*POWER(KLslave,SIGN(DS256))*POWER(INslave,SIGN(DT256))*POWER(CHslave_CH,SIGN(DU256))*POWER(GEslave,SIGN(DW256))*POWER(KOslave,SIGN(DX256))*POWER(KKslave,SIGN(DY256))+DW256*POWER(MUslave,SIGN(DR256))*POWER(KLslave,SIGN(DS256))*POWER(INslave,SIGN(DT256))*POWER(CHslave_CH,SIGN(DU256))*POWER(FFslave,SIGN(DV256))*POWER(KOslave,SIGN(DX256))*POWER(KKslave,SIGN(DY256))+DX256*POWER(MUslave,SIGN(DR256))*POWER(KLslave,SIGN(DS256))*POWER(INslave,SIGN(DT256))*POWER(CHslave_CH,SIGN(DU256))*POWER(FFslave,SIGN(DV256))*POWER(GEslave,SIGN(DW256))*POWER(KKslave,SIGN(DY256))+DY256*POWER(MUslave,SIGN(DR256))*POWER(KLslave,SIGN(DS256))*POWER(INslave,SIGN(DT256))*POWER(CHslave_CH,SIGN(DU256))*POWER(FFslave,SIGN(DV256))*POWER(GEslave,SIGN(DW256))*POWER(KOslave,SIGN(DX256))</f>
        <v>2304</v>
      </c>
      <c r="ED256" s="234">
        <f>DT256*DV256*KOslave+DT256*FFslave*DX256+INslave*DV256*DX256</f>
        <v>3456</v>
      </c>
      <c r="EE256" s="224">
        <f>IFERROR(DR256^SIGN(DR256),1)*IFERROR(DS256^SIGN(DS256),1)*IFERROR(DT256^SIGN(DT256),1)*IFERROR(DU256^SIGN(DU256),1)*IFERROR(DV256^SIGN(DV256),1)*IFERROR(DW256^SIGN(DW256),1)*IFERROR(DX256^SIGN(DX256),1)*IFERROR(DY256^SIGN(DY256),1)</f>
        <v>1728</v>
      </c>
      <c r="EF256" s="224">
        <f t="shared" si="1788"/>
        <v>7488</v>
      </c>
      <c r="EG256" s="222">
        <f t="shared" si="1683"/>
        <v>3.6923076923076925</v>
      </c>
      <c r="EH256" s="223">
        <f t="shared" si="1684"/>
        <v>11.076923076923077</v>
      </c>
      <c r="EI256" s="243">
        <f t="shared" si="1685"/>
        <v>8.3076923076923084</v>
      </c>
      <c r="EJ256" s="243">
        <f t="shared" si="1686"/>
        <v>23.07692307692308</v>
      </c>
      <c r="EK256" s="252">
        <f t="shared" si="1604"/>
        <v>0</v>
      </c>
      <c r="EL256" s="309">
        <f t="shared" si="1687"/>
        <v>23.07692307692308</v>
      </c>
      <c r="EM256" s="218">
        <f>IF(EJ256&lt;=0,2,0)+IF(EJ256&gt;0,EJ256+1,0)*2+IF(EJ256&gt;12,EJ256-12,0)*2+IF(EJ256&gt;13,EJ256-13,0)*2+IF(EJ256&gt;14,EJ256-14,0)*2+IF(EJ256&gt;15,EJ256-15,0)*2+IF(EJ256&gt;16,EJ256-16,0)*2+IF(EJ256&gt;17,EJ256-17,0)*2+IF(EJ256&gt;18,EJ256-18,0)*2+IF(EJ256&gt;19,EJ256-19,0)*2+IF(EJ256&gt;20,EJ256-20,0)*2</f>
        <v>175.5384615384616</v>
      </c>
      <c r="EN256" s="242">
        <f>IF(EK256&lt;=0,2,0)+IF(EK256&gt;0,EK256+1,0)*2+IF(EK256&gt;12,EK256-12,0)*2+IF(EK256&gt;13,EK256-13,0)*2+IF(EK256&gt;14,EK256-14,0)*2+IF(EK256&gt;15,EK256-15,0)*2+IF(EK256&gt;16,EK256-16,0)*2+IF(EK256&gt;17,EK256-17,0)*2+IF(EK256&gt;18,EK256-18,0)*2+IF(EK256&gt;19,EK256-19,0)*2+IF(EK256&gt;20,EK256-20,0)*2</f>
        <v>2</v>
      </c>
      <c r="EO256" s="243">
        <f t="shared" si="1688"/>
        <v>173.5384615384616</v>
      </c>
      <c r="EP256" s="218">
        <f t="shared" si="1689"/>
        <v>0</v>
      </c>
      <c r="ER256" s="303" t="s">
        <v>168</v>
      </c>
      <c r="ES256" s="218" t="s">
        <v>171</v>
      </c>
      <c r="ET256" s="243" t="s">
        <v>132</v>
      </c>
      <c r="EU256" s="237"/>
      <c r="EV256" s="234"/>
      <c r="EW256" s="234">
        <f>Konvention_1slave-INslave</f>
        <v>12</v>
      </c>
      <c r="EX256" s="234"/>
      <c r="EY256" s="234">
        <f>Konvention_1slave-FFslave_FF</f>
        <v>11</v>
      </c>
      <c r="EZ256" s="234"/>
      <c r="FA256" s="234">
        <f>Konvention_1slave-KOslave</f>
        <v>12</v>
      </c>
      <c r="FB256" s="224"/>
      <c r="FC256" s="223">
        <f>(EU256+EV256+EW256+EX256+EY256+EZ256+FA256+FB256)/3</f>
        <v>11.666666666666666</v>
      </c>
      <c r="FD256" s="223">
        <f t="shared" si="1691"/>
        <v>23.333333333333332</v>
      </c>
      <c r="FE256" s="224">
        <f t="shared" si="1692"/>
        <v>35</v>
      </c>
      <c r="FF256" s="237">
        <f>EU256*POWER(KLslave,SIGN(EV256))*POWER(INslave,SIGN(EW256))*POWER(CHslave,SIGN(EX256))*POWER(FFslave_FF,SIGN(EY256))*POWER(GEslave,SIGN(EZ256))*POWER(KOslave,SIGN(FA256))*POWER(KKslave,SIGN(FB256))+EV256*POWER(MUslave,SIGN(EU256))*POWER(INslave,SIGN(EW256))*POWER(CHslave,SIGN(EX256))*POWER(FFslave_FF,SIGN(EY256))*POWER(GEslave,SIGN(EZ256))*POWER(KOslave,SIGN(FA256))*POWER(KKslave,SIGN(FB256))+EW256*POWER(MUslave,SIGN(EU256))*POWER(KLslave,SIGN(EV256))*POWER(CHslave,SIGN(EX256))*POWER(FFslave_FF,SIGN(EY256))*POWER(GEslave,SIGN(EZ256))*POWER(KOslave,SIGN(FA256))*POWER(KKslave,SIGN(FB256))+EX256*POWER(MUslave,SIGN(EU256))*POWER(KLslave,SIGN(EV256))*POWER(INslave,SIGN(EW256))*POWER(FFslave_FF,SIGN(EY256))*POWER(GEslave,SIGN(EZ256))*POWER(KOslave,SIGN(FA256))*POWER(KKslave,SIGN(FB256))+EY256*POWER(MUslave,SIGN(EU256))*POWER(KLslave,SIGN(EV256))*POWER(INslave,SIGN(EW256))*POWER(CHslave,SIGN(EX256))*POWER(GEslave,SIGN(EZ256))*POWER(KOslave,SIGN(FA256))*POWER(KKslave,SIGN(FB256))+EZ256*POWER(MUslave,SIGN(EU256))*POWER(KLslave,SIGN(EV256))*POWER(INslave,SIGN(EW256))*POWER(CHslave,SIGN(EX256))*POWER(FFslave_FF,SIGN(EY256))*POWER(KOslave,SIGN(FA256))*POWER(KKslave,SIGN(FB256))+FA256*POWER(MUslave,SIGN(EU256))*POWER(KLslave,SIGN(EV256))*POWER(INslave,SIGN(EW256))*POWER(CHslave,SIGN(EX256))*POWER(FFslave_FF,SIGN(EY256))*POWER(GEslave,SIGN(EZ256))*POWER(KKslave,SIGN(FB256))+FB256*POWER(MUslave,SIGN(EU256))*POWER(KLslave,SIGN(EV256))*POWER(INslave,SIGN(EW256))*POWER(CHslave,SIGN(EX256))*POWER(FFslave_FF,SIGN(EY256))*POWER(GEslave,SIGN(EZ256))*POWER(KOslave,SIGN(FA256))</f>
        <v>2432</v>
      </c>
      <c r="FG256" s="234">
        <f>EW256*EY256*KOslave+EW256*FFslave_FF*FA256+INslave*EY256*FA256</f>
        <v>3408</v>
      </c>
      <c r="FH256" s="224">
        <f>IFERROR(EU256^SIGN(EU256),1)*IFERROR(EV256^SIGN(EV256),1)*IFERROR(EW256^SIGN(EW256),1)*IFERROR(EX256^SIGN(EX256),1)*IFERROR(EY256^SIGN(EY256),1)*IFERROR(EZ256^SIGN(EZ256),1)*IFERROR(FA256^SIGN(FA256),1)*IFERROR(FB256^SIGN(FB256),1)</f>
        <v>1584</v>
      </c>
      <c r="FI256" s="224">
        <f t="shared" si="1789"/>
        <v>7424</v>
      </c>
      <c r="FJ256" s="222">
        <f t="shared" si="1695"/>
        <v>3.8218390804597702</v>
      </c>
      <c r="FK256" s="223">
        <f t="shared" si="1696"/>
        <v>10.711206896551724</v>
      </c>
      <c r="FL256" s="243">
        <f t="shared" si="1697"/>
        <v>7.4676724137931032</v>
      </c>
      <c r="FM256" s="243">
        <f t="shared" si="1698"/>
        <v>22.000718390804597</v>
      </c>
      <c r="FN256" s="252">
        <f t="shared" si="1606"/>
        <v>0</v>
      </c>
      <c r="FO256" s="309">
        <f t="shared" si="1699"/>
        <v>22.000718390804597</v>
      </c>
      <c r="FP256" s="218">
        <f>IF(FM256&lt;=0,2,0)+IF(FM256&gt;0,FM256+1,0)*2+IF(FM256&gt;12,FM256-12,0)*2+IF(FM256&gt;13,FM256-13,0)*2+IF(FM256&gt;14,FM256-14,0)*2+IF(FM256&gt;15,FM256-15,0)*2+IF(FM256&gt;16,FM256-16,0)*2+IF(FM256&gt;17,FM256-17,0)*2+IF(FM256&gt;18,FM256-18,0)*2+IF(FM256&gt;19,FM256-19,0)*2+IF(FM256&gt;20,FM256-20,0)*2</f>
        <v>154.01436781609189</v>
      </c>
      <c r="FQ256" s="242">
        <f>IF(FN256&lt;=0,2,0)+IF(FN256&gt;0,FN256+1,0)*2+IF(FN256&gt;12,FN256-12,0)*2+IF(FN256&gt;13,FN256-13,0)*2+IF(FN256&gt;14,FN256-14,0)*2+IF(FN256&gt;15,FN256-15,0)*2+IF(FN256&gt;16,FN256-16,0)*2+IF(FN256&gt;17,FN256-17,0)*2+IF(FN256&gt;18,FN256-18,0)*2+IF(FN256&gt;19,FN256-19,0)*2+IF(FN256&gt;20,FN256-20,0)*2</f>
        <v>2</v>
      </c>
      <c r="FR256" s="243">
        <f t="shared" si="1700"/>
        <v>152.01436781609189</v>
      </c>
      <c r="FS256" s="218">
        <f t="shared" si="1701"/>
        <v>0</v>
      </c>
      <c r="FU256" s="303" t="s">
        <v>168</v>
      </c>
      <c r="FV256" s="218" t="s">
        <v>171</v>
      </c>
      <c r="FW256" s="243" t="s">
        <v>132</v>
      </c>
      <c r="FX256" s="237"/>
      <c r="FY256" s="234"/>
      <c r="FZ256" s="234">
        <f>Konvention_1slave-INslave</f>
        <v>12</v>
      </c>
      <c r="GA256" s="234"/>
      <c r="GB256" s="234">
        <f>Konvention_1slave-FFslave</f>
        <v>12</v>
      </c>
      <c r="GC256" s="234"/>
      <c r="GD256" s="234">
        <f>Konvention_1slave-KOslave</f>
        <v>12</v>
      </c>
      <c r="GE256" s="224"/>
      <c r="GF256" s="223">
        <f>(FX256+FY256+FZ256+GA256+GB256+GC256+GD256+GE256)/3</f>
        <v>12</v>
      </c>
      <c r="GG256" s="223">
        <f t="shared" si="1703"/>
        <v>24</v>
      </c>
      <c r="GH256" s="224">
        <f t="shared" si="1704"/>
        <v>36</v>
      </c>
      <c r="GI256" s="237">
        <f>FX256*POWER(KLslave,SIGN(FY256))*POWER(INslave,SIGN(FZ256))*POWER(CHslave,SIGN(GA256))*POWER(FFslave,SIGN(GB256))*POWER(GEslave_GE,SIGN(GC256))*POWER(KOslave,SIGN(GD256))*POWER(KKslave,SIGN(GE256))+FY256*POWER(MUslave,SIGN(FX256))*POWER(INslave,SIGN(FZ256))*POWER(CHslave,SIGN(GA256))*POWER(FFslave,SIGN(GB256))*POWER(GEslave_GE,SIGN(GC256))*POWER(KOslave,SIGN(GD256))*POWER(KKslave,SIGN(GE256))+FZ256*POWER(MUslave,SIGN(FX256))*POWER(KLslave,SIGN(FY256))*POWER(CHslave,SIGN(GA256))*POWER(FFslave,SIGN(GB256))*POWER(GEslave_GE,SIGN(GC256))*POWER(KOslave,SIGN(GD256))*POWER(KKslave,SIGN(GE256))+GA256*POWER(MUslave,SIGN(FX256))*POWER(KLslave,SIGN(FY256))*POWER(INslave,SIGN(FZ256))*POWER(FFslave,SIGN(GB256))*POWER(GEslave_GE,SIGN(GC256))*POWER(KOslave,SIGN(GD256))*POWER(KKslave,SIGN(GE256))+GB256*POWER(MUslave,SIGN(FX256))*POWER(KLslave,SIGN(FY256))*POWER(INslave,SIGN(FZ256))*POWER(CHslave,SIGN(GA256))*POWER(GEslave_GE,SIGN(GC256))*POWER(KOslave,SIGN(GD256))*POWER(KKslave,SIGN(GE256))+GC256*POWER(MUslave,SIGN(FX256))*POWER(KLslave,SIGN(FY256))*POWER(INslave,SIGN(FZ256))*POWER(CHslave,SIGN(GA256))*POWER(FFslave,SIGN(GB256))*POWER(KOslave,SIGN(GD256))*POWER(KKslave,SIGN(GE256))+GD256*POWER(MUslave,SIGN(FX256))*POWER(KLslave,SIGN(FY256))*POWER(INslave,SIGN(FZ256))*POWER(CHslave,SIGN(GA256))*POWER(FFslave,SIGN(GB256))*POWER(GEslave_GE,SIGN(GC256))*POWER(KKslave,SIGN(GE256))+GE256*POWER(MUslave,SIGN(FX256))*POWER(KLslave,SIGN(FY256))*POWER(INslave,SIGN(FZ256))*POWER(CHslave,SIGN(GA256))*POWER(FFslave,SIGN(GB256))*POWER(GEslave_GE,SIGN(GC256))*POWER(KOslave,SIGN(GD256))</f>
        <v>2304</v>
      </c>
      <c r="GJ256" s="234">
        <f>FZ256*GB256*KOslave+FZ256*FFslave*GD256+INslave*GB256*GD256</f>
        <v>3456</v>
      </c>
      <c r="GK256" s="224">
        <f>IFERROR(FX256^SIGN(FX256),1)*IFERROR(FY256^SIGN(FY256),1)*IFERROR(FZ256^SIGN(FZ256),1)*IFERROR(GA256^SIGN(GA256),1)*IFERROR(GB256^SIGN(GB256),1)*IFERROR(GC256^SIGN(GC256),1)*IFERROR(GD256^SIGN(GD256),1)*IFERROR(GE256^SIGN(GE256),1)</f>
        <v>1728</v>
      </c>
      <c r="GL256" s="224">
        <f t="shared" si="1790"/>
        <v>7488</v>
      </c>
      <c r="GM256" s="222">
        <f t="shared" si="1707"/>
        <v>3.6923076923076925</v>
      </c>
      <c r="GN256" s="223">
        <f t="shared" si="1708"/>
        <v>11.076923076923077</v>
      </c>
      <c r="GO256" s="243">
        <f t="shared" si="1709"/>
        <v>8.3076923076923084</v>
      </c>
      <c r="GP256" s="243">
        <f t="shared" si="1710"/>
        <v>23.07692307692308</v>
      </c>
      <c r="GQ256" s="252">
        <f t="shared" si="1608"/>
        <v>0</v>
      </c>
      <c r="GR256" s="309">
        <f t="shared" si="1711"/>
        <v>23.07692307692308</v>
      </c>
      <c r="GS256" s="218">
        <f>IF(GP256&lt;=0,2,0)+IF(GP256&gt;0,GP256+1,0)*2+IF(GP256&gt;12,GP256-12,0)*2+IF(GP256&gt;13,GP256-13,0)*2+IF(GP256&gt;14,GP256-14,0)*2+IF(GP256&gt;15,GP256-15,0)*2+IF(GP256&gt;16,GP256-16,0)*2+IF(GP256&gt;17,GP256-17,0)*2+IF(GP256&gt;18,GP256-18,0)*2+IF(GP256&gt;19,GP256-19,0)*2+IF(GP256&gt;20,GP256-20,0)*2</f>
        <v>175.5384615384616</v>
      </c>
      <c r="GT256" s="242">
        <f>IF(GQ256&lt;=0,2,0)+IF(GQ256&gt;0,GQ256+1,0)*2+IF(GQ256&gt;12,GQ256-12,0)*2+IF(GQ256&gt;13,GQ256-13,0)*2+IF(GQ256&gt;14,GQ256-14,0)*2+IF(GQ256&gt;15,GQ256-15,0)*2+IF(GQ256&gt;16,GQ256-16,0)*2+IF(GQ256&gt;17,GQ256-17,0)*2+IF(GQ256&gt;18,GQ256-18,0)*2+IF(GQ256&gt;19,GQ256-19,0)*2+IF(GQ256&gt;20,GQ256-20,0)*2</f>
        <v>2</v>
      </c>
      <c r="GU256" s="243">
        <f t="shared" si="1712"/>
        <v>173.5384615384616</v>
      </c>
      <c r="GV256" s="218">
        <f t="shared" si="1713"/>
        <v>0</v>
      </c>
      <c r="GX256" s="303" t="s">
        <v>168</v>
      </c>
      <c r="GY256" s="218" t="s">
        <v>171</v>
      </c>
      <c r="GZ256" s="243" t="s">
        <v>132</v>
      </c>
      <c r="HA256" s="237"/>
      <c r="HB256" s="234"/>
      <c r="HC256" s="234">
        <f>Konvention_1slave-INslave</f>
        <v>12</v>
      </c>
      <c r="HD256" s="234"/>
      <c r="HE256" s="234">
        <f>Konvention_1slave-FFslave</f>
        <v>12</v>
      </c>
      <c r="HF256" s="234"/>
      <c r="HG256" s="234">
        <f>Konvention_1slave-KOslave_KO</f>
        <v>11</v>
      </c>
      <c r="HH256" s="224"/>
      <c r="HI256" s="223">
        <f>(HA256+HB256+HC256+HD256+HE256+HF256+HG256+HH256)/3</f>
        <v>11.666666666666666</v>
      </c>
      <c r="HJ256" s="223">
        <f t="shared" si="1715"/>
        <v>23.333333333333332</v>
      </c>
      <c r="HK256" s="224">
        <f t="shared" si="1716"/>
        <v>35</v>
      </c>
      <c r="HL256" s="237">
        <f>HA256*POWER(KLslave,SIGN(HB256))*POWER(INslave,SIGN(HC256))*POWER(CHslave,SIGN(HD256))*POWER(FFslave,SIGN(HE256))*POWER(GEslave,SIGN(HF256))*POWER(KOslave_KO,SIGN(HG256))*POWER(KKslave,SIGN(HH256))+HB256*POWER(MUslave,SIGN(HA256))*POWER(INslave,SIGN(HC256))*POWER(CHslave,SIGN(HD256))*POWER(FFslave,SIGN(HE256))*POWER(GEslave,SIGN(HF256))*POWER(KOslave_KO,SIGN(HG256))*POWER(KKslave,SIGN(HH256))+HC256*POWER(MUslave,SIGN(HA256))*POWER(KLslave,SIGN(HB256))*POWER(CHslave,SIGN(HD256))*POWER(FFslave,SIGN(HE256))*POWER(GEslave,SIGN(HF256))*POWER(KOslave_KO,SIGN(HG256))*POWER(KKslave,SIGN(HH256))+HD256*POWER(MUslave,SIGN(HA256))*POWER(KLslave,SIGN(HB256))*POWER(INslave,SIGN(HC256))*POWER(FFslave,SIGN(HE256))*POWER(GEslave,SIGN(HF256))*POWER(KOslave_KO,SIGN(HG256))*POWER(KKslave,SIGN(HH256))+HE256*POWER(MUslave,SIGN(HA256))*POWER(KLslave,SIGN(HB256))*POWER(INslave,SIGN(HC256))*POWER(CHslave,SIGN(HD256))*POWER(GEslave,SIGN(HF256))*POWER(KOslave_KO,SIGN(HG256))*POWER(KKslave,SIGN(HH256))+HF256*POWER(MUslave,SIGN(HA256))*POWER(KLslave,SIGN(HB256))*POWER(INslave,SIGN(HC256))*POWER(CHslave,SIGN(HD256))*POWER(FFslave,SIGN(HE256))*POWER(KOslave_KO,SIGN(HG256))*POWER(KKslave,SIGN(HH256))+HG256*POWER(MUslave,SIGN(HA256))*POWER(KLslave,SIGN(HB256))*POWER(INslave,SIGN(HC256))*POWER(CHslave,SIGN(HD256))*POWER(FFslave,SIGN(HE256))*POWER(GEslave,SIGN(HF256))*POWER(KKslave,SIGN(HH256))+HH256*POWER(MUslave,SIGN(HA256))*POWER(KLslave,SIGN(HB256))*POWER(INslave,SIGN(HC256))*POWER(CHslave,SIGN(HD256))*POWER(FFslave,SIGN(HE256))*POWER(GEslave,SIGN(HF256))*POWER(KOslave_KO,SIGN(HG256))</f>
        <v>2432</v>
      </c>
      <c r="HM256" s="234">
        <f>HC256*HE256*KOslave_KO+HC256*FFslave*HG256+INslave*HE256*HG256</f>
        <v>3408</v>
      </c>
      <c r="HN256" s="224">
        <f>IFERROR(HA256^SIGN(HA256),1)*IFERROR(HB256^SIGN(HB256),1)*IFERROR(HC256^SIGN(HC256),1)*IFERROR(HD256^SIGN(HD256),1)*IFERROR(HE256^SIGN(HE256),1)*IFERROR(HF256^SIGN(HF256),1)*IFERROR(HG256^SIGN(HG256),1)*IFERROR(HH256^SIGN(HH256),1)</f>
        <v>1584</v>
      </c>
      <c r="HO256" s="224">
        <f t="shared" si="1791"/>
        <v>7424</v>
      </c>
      <c r="HP256" s="222">
        <f t="shared" si="1719"/>
        <v>3.8218390804597702</v>
      </c>
      <c r="HQ256" s="223">
        <f t="shared" si="1720"/>
        <v>10.711206896551724</v>
      </c>
      <c r="HR256" s="243">
        <f t="shared" si="1721"/>
        <v>7.4676724137931032</v>
      </c>
      <c r="HS256" s="243">
        <f t="shared" si="1722"/>
        <v>22.000718390804597</v>
      </c>
      <c r="HT256" s="252">
        <f t="shared" si="1610"/>
        <v>0</v>
      </c>
      <c r="HU256" s="309">
        <f t="shared" si="1723"/>
        <v>22.000718390804597</v>
      </c>
      <c r="HV256" s="218">
        <f>IF(HS256&lt;=0,2,0)+IF(HS256&gt;0,HS256+1,0)*2+IF(HS256&gt;12,HS256-12,0)*2+IF(HS256&gt;13,HS256-13,0)*2+IF(HS256&gt;14,HS256-14,0)*2+IF(HS256&gt;15,HS256-15,0)*2+IF(HS256&gt;16,HS256-16,0)*2+IF(HS256&gt;17,HS256-17,0)*2+IF(HS256&gt;18,HS256-18,0)*2+IF(HS256&gt;19,HS256-19,0)*2+IF(HS256&gt;20,HS256-20,0)*2</f>
        <v>154.01436781609189</v>
      </c>
      <c r="HW256" s="242">
        <f>IF(HT256&lt;=0,2,0)+IF(HT256&gt;0,HT256+1,0)*2+IF(HT256&gt;12,HT256-12,0)*2+IF(HT256&gt;13,HT256-13,0)*2+IF(HT256&gt;14,HT256-14,0)*2+IF(HT256&gt;15,HT256-15,0)*2+IF(HT256&gt;16,HT256-16,0)*2+IF(HT256&gt;17,HT256-17,0)*2+IF(HT256&gt;18,HT256-18,0)*2+IF(HT256&gt;19,HT256-19,0)*2+IF(HT256&gt;20,HT256-20,0)*2</f>
        <v>2</v>
      </c>
      <c r="HX256" s="243">
        <f t="shared" si="1724"/>
        <v>152.01436781609189</v>
      </c>
      <c r="HY256" s="218">
        <f t="shared" si="1725"/>
        <v>0</v>
      </c>
      <c r="IA256" s="303" t="s">
        <v>168</v>
      </c>
      <c r="IB256" s="218" t="s">
        <v>171</v>
      </c>
      <c r="IC256" s="243" t="s">
        <v>132</v>
      </c>
      <c r="ID256" s="237"/>
      <c r="IE256" s="234"/>
      <c r="IF256" s="234">
        <f>Konvention_1slave-INslave</f>
        <v>12</v>
      </c>
      <c r="IG256" s="234"/>
      <c r="IH256" s="234">
        <f>Konvention_1slave-FFslave</f>
        <v>12</v>
      </c>
      <c r="II256" s="234"/>
      <c r="IJ256" s="234">
        <f>Konvention_1slave-KOslave</f>
        <v>12</v>
      </c>
      <c r="IK256" s="224"/>
      <c r="IL256" s="223">
        <f>(ID256+IE256+IF256+IG256+IH256+II256+IJ256+IK256)/3</f>
        <v>12</v>
      </c>
      <c r="IM256" s="223">
        <f t="shared" si="1727"/>
        <v>24</v>
      </c>
      <c r="IN256" s="224">
        <f t="shared" si="1728"/>
        <v>36</v>
      </c>
      <c r="IO256" s="237">
        <f>ID256*POWER(KLslave,SIGN(IE256))*POWER(INslave,SIGN(IF256))*POWER(CHslave,SIGN(IG256))*POWER(FFslave,SIGN(IH256))*POWER(GEslave,SIGN(II256))*POWER(KOslave,SIGN(IJ256))*POWER(KKslave_KK,SIGN(IK256))+IE256*POWER(MUslave,SIGN(ID256))*POWER(INslave,SIGN(IF256))*POWER(CHslave,SIGN(IG256))*POWER(FFslave,SIGN(IH256))*POWER(GEslave,SIGN(II256))*POWER(KOslave,SIGN(IJ256))*POWER(KKslave_KK,SIGN(IK256))+IF256*POWER(MUslave,SIGN(ID256))*POWER(KLslave,SIGN(IE256))*POWER(CHslave,SIGN(IG256))*POWER(FFslave,SIGN(IH256))*POWER(GEslave,SIGN(II256))*POWER(KOslave,SIGN(IJ256))*POWER(KKslave_KK,SIGN(IK256))+IG256*POWER(MUslave,SIGN(ID256))*POWER(KLslave,SIGN(IE256))*POWER(INslave,SIGN(IF256))*POWER(FFslave,SIGN(IH256))*POWER(GEslave,SIGN(II256))*POWER(KOslave,SIGN(IJ256))*POWER(KKslave_KK,SIGN(IK256))+IH256*POWER(MUslave,SIGN(ID256))*POWER(KLslave,SIGN(IE256))*POWER(INslave,SIGN(IF256))*POWER(CHslave,SIGN(IG256))*POWER(GEslave,SIGN(II256))*POWER(KOslave,SIGN(IJ256))*POWER(KKslave_KK,SIGN(IK256))+II256*POWER(MUslave,SIGN(ID256))*POWER(KLslave,SIGN(IE256))*POWER(INslave,SIGN(IF256))*POWER(CHslave,SIGN(IG256))*POWER(FFslave,SIGN(IH256))*POWER(KOslave,SIGN(IJ256))*POWER(KKslave_KK,SIGN(IK256))+IJ256*POWER(MUslave,SIGN(ID256))*POWER(KLslave,SIGN(IE256))*POWER(INslave,SIGN(IF256))*POWER(CHslave,SIGN(IG256))*POWER(FFslave,SIGN(IH256))*POWER(GEslave,SIGN(II256))*POWER(KKslave_KK,SIGN(IK256))+IK256*POWER(MUslave,SIGN(ID256))*POWER(KLslave,SIGN(IE256))*POWER(INslave,SIGN(IF256))*POWER(CHslave,SIGN(IG256))*POWER(FFslave,SIGN(IH256))*POWER(GEslave,SIGN(II256))*POWER(KOslave,SIGN(IJ256))</f>
        <v>2304</v>
      </c>
      <c r="IP256" s="234">
        <f>IF256*IH256*KOslave+IF256*FFslave*IJ256+INslave*IH256*IJ256</f>
        <v>3456</v>
      </c>
      <c r="IQ256" s="224">
        <f>IFERROR(ID256^SIGN(ID256),1)*IFERROR(IE256^SIGN(IE256),1)*IFERROR(IF256^SIGN(IF256),1)*IFERROR(IG256^SIGN(IG256),1)*IFERROR(IH256^SIGN(IH256),1)*IFERROR(II256^SIGN(II256),1)*IFERROR(IJ256^SIGN(IJ256),1)*IFERROR(IK256^SIGN(IK256),1)</f>
        <v>1728</v>
      </c>
      <c r="IR256" s="224">
        <f t="shared" si="1792"/>
        <v>7488</v>
      </c>
      <c r="IS256" s="222">
        <f t="shared" si="1731"/>
        <v>3.6923076923076925</v>
      </c>
      <c r="IT256" s="223">
        <f t="shared" si="1732"/>
        <v>11.076923076923077</v>
      </c>
      <c r="IU256" s="243">
        <f t="shared" si="1733"/>
        <v>8.3076923076923084</v>
      </c>
      <c r="IV256" s="243">
        <f t="shared" si="1734"/>
        <v>23.07692307692308</v>
      </c>
      <c r="IW256" s="252">
        <f t="shared" si="1612"/>
        <v>0</v>
      </c>
      <c r="IX256" s="309">
        <f t="shared" si="1735"/>
        <v>23.07692307692308</v>
      </c>
      <c r="IY256" s="218">
        <f>IF(IV256&lt;=0,2,0)+IF(IV256&gt;0,IV256+1,0)*2+IF(IV256&gt;12,IV256-12,0)*2+IF(IV256&gt;13,IV256-13,0)*2+IF(IV256&gt;14,IV256-14,0)*2+IF(IV256&gt;15,IV256-15,0)*2+IF(IV256&gt;16,IV256-16,0)*2+IF(IV256&gt;17,IV256-17,0)*2+IF(IV256&gt;18,IV256-18,0)*2+IF(IV256&gt;19,IV256-19,0)*2+IF(IV256&gt;20,IV256-20,0)*2</f>
        <v>175.5384615384616</v>
      </c>
      <c r="IZ256" s="242">
        <f>IF(IW256&lt;=0,2,0)+IF(IW256&gt;0,IW256+1,0)*2+IF(IW256&gt;12,IW256-12,0)*2+IF(IW256&gt;13,IW256-13,0)*2+IF(IW256&gt;14,IW256-14,0)*2+IF(IW256&gt;15,IW256-15,0)*2+IF(IW256&gt;16,IW256-16,0)*2+IF(IW256&gt;17,IW256-17,0)*2+IF(IW256&gt;18,IW256-18,0)*2+IF(IW256&gt;19,IW256-19,0)*2+IF(IW256&gt;20,IW256-20,0)*2</f>
        <v>2</v>
      </c>
      <c r="JA256" s="243">
        <f t="shared" si="1736"/>
        <v>173.5384615384616</v>
      </c>
      <c r="JB256" s="218">
        <f t="shared" si="1737"/>
        <v>0</v>
      </c>
      <c r="JE256" s="148"/>
    </row>
    <row r="257" spans="2:265" hidden="1" outlineLevel="2">
      <c r="B257" s="148">
        <v>45</v>
      </c>
      <c r="C257" s="306" t="e">
        <f>VLOOKUP(AF257,Attribute!C:T,1,FALSE)</f>
        <v>#N/A</v>
      </c>
      <c r="D257" s="87" t="s">
        <v>87</v>
      </c>
      <c r="E257" s="128" t="s">
        <v>132</v>
      </c>
      <c r="F257" s="115"/>
      <c r="G257" s="122">
        <f>Konvention_1master-KLmaster</f>
        <v>12</v>
      </c>
      <c r="H257" s="122">
        <f>Konvention_1master-INmaster</f>
        <v>12</v>
      </c>
      <c r="I257" s="122">
        <f>Konvention_1master-CHmaster</f>
        <v>12</v>
      </c>
      <c r="J257" s="122"/>
      <c r="K257" s="122"/>
      <c r="L257" s="122"/>
      <c r="M257" s="123"/>
      <c r="N257" s="226">
        <f>(F257+G257+H257+I257+J257+K257+L257+M257)/3</f>
        <v>12</v>
      </c>
      <c r="O257" s="226">
        <f t="shared" si="1630"/>
        <v>24</v>
      </c>
      <c r="P257" s="227">
        <f t="shared" si="1631"/>
        <v>36</v>
      </c>
      <c r="Q257" s="238">
        <f>F257*POWER(KLmaster,SIGN(G257))*POWER(INmaster,SIGN(H257))*POWER(CHmaster,SIGN(I257))*POWER(FFmaster,SIGN(J257))*POWER(GEmaster,SIGN(K257))*POWER(KOmaster,SIGN(L257))*POWER(KKmaster,SIGN(M257))+G257*POWER(MUmaster,SIGN(F257))*POWER(INmaster,SIGN(H257))*POWER(CHmaster,SIGN(I257))*POWER(FFmaster,SIGN(J257))*POWER(GEmaster,SIGN(K257))*POWER(KOmaster,SIGN(L257))*POWER(KKmaster,SIGN(M257))+H257*POWER(MUmaster,SIGN(F257))*POWER(KLmaster,SIGN(G257))*POWER(CHmaster,SIGN(I257))*POWER(FFmaster,SIGN(J257))*POWER(GEmaster,SIGN(K257))*POWER(KOmaster,SIGN(L257))*POWER(KKmaster,SIGN(M257))+I257*POWER(MUmaster,SIGN(F257))*POWER(KLmaster,SIGN(G257))*POWER(INmaster,SIGN(H257))*POWER(FFmaster,SIGN(J257))*POWER(GEmaster,SIGN(K257))*POWER(KOmaster,SIGN(L257))*POWER(KKmaster,SIGN(M257))+J257*POWER(MUmaster,SIGN(F257))*POWER(KLmaster,SIGN(G257))*POWER(INmaster,SIGN(H257))*POWER(CHmaster,SIGN(I257))*POWER(GEmaster,SIGN(K257))*POWER(KOmaster,SIGN(L257))*POWER(KKmaster,SIGN(M257))+K257*POWER(MUmaster,SIGN(F257))*POWER(KLmaster,SIGN(G257))*POWER(INmaster,SIGN(H257))*POWER(CHmaster,SIGN(I257))*POWER(FFmaster,SIGN(J257))*POWER(KOmaster,SIGN(L257))*POWER(KKmaster,SIGN(M257))+L257*POWER(MUmaster,SIGN(F257))*POWER(KLmaster,SIGN(G257))*POWER(INmaster,SIGN(H257))*POWER(CHmaster,SIGN(I257))*POWER(FFmaster,SIGN(J257))*POWER(GEmaster,SIGN(K257))*POWER(KKmaster,SIGN(M257))+M257*POWER(MUmaster,SIGN(F257))*POWER(KLmaster,SIGN(G257))*POWER(INmaster,SIGN(H257))*POWER(CHmaster,SIGN(I257))*POWER(FFmaster,SIGN(J257))*POWER(GEmaster,SIGN(K257))*POWER(KOmaster,SIGN(L257))</f>
        <v>2304</v>
      </c>
      <c r="R257" s="122">
        <f>G257*H257*CHmaster+G257*INmaster*I257+KLmaster*H257*I257</f>
        <v>3456</v>
      </c>
      <c r="S257" s="227">
        <f>IFERROR(F257^SIGN(F257),1)*IFERROR(G257^SIGN(G257),1)*IFERROR(H257^SIGN(H257),1)*IFERROR(I257^SIGN(I257),1)*IFERROR(J257^SIGN(J257),1)*IFERROR(K257^SIGN(K257),1)*IFERROR(L257^SIGN(L257),1)*IFERROR(M257^SIGN(M257),1)</f>
        <v>1728</v>
      </c>
      <c r="T257" s="227">
        <f t="shared" si="1793"/>
        <v>7488</v>
      </c>
      <c r="U257" s="225">
        <f t="shared" si="1635"/>
        <v>3.6923076923076925</v>
      </c>
      <c r="V257" s="226">
        <f t="shared" si="1636"/>
        <v>11.076923076923077</v>
      </c>
      <c r="W257" s="245">
        <f t="shared" si="1637"/>
        <v>8.3076923076923084</v>
      </c>
      <c r="X257" s="245">
        <f t="shared" si="1638"/>
        <v>23.07692307692308</v>
      </c>
      <c r="Y257" s="252">
        <v>0</v>
      </c>
      <c r="Z257" s="198">
        <f t="shared" si="1639"/>
        <v>23.07692307692308</v>
      </c>
      <c r="AA257" s="159">
        <f>IF(X257&lt;=0,2,0)+IF(X257&gt;0,X257+1,0)*2+IF(X257&gt;12,X257-12,0)*2+IF(X257&gt;13,X257-13,0)*2+IF(X257&gt;14,X257-14,0)*2+IF(X257&gt;15,X257-15,0)*2+IF(X257&gt;16,X257-16,0)*2+IF(X257&gt;17,X257-17,0)*2+IF(X257&gt;18,X257-18,0)*2+IF(X257&gt;19,X257-19,0)*2+IF(X257&gt;20,X257-20,0)*2</f>
        <v>175.5384615384616</v>
      </c>
      <c r="AB257" s="161">
        <f>IF(Y257&lt;=0,2,0)+IF(Y257&gt;0,Y257+1,0)*2+IF(Y257&gt;12,Y257-12,0)*2+IF(Y257&gt;13,Y257-13,0)*2+IF(Y257&gt;14,Y257-14,0)*2+IF(Y257&gt;15,Y257-15,0)*2+IF(Y257&gt;16,Y257-16,0)*2+IF(Y257&gt;17,Y257-17,0)*2+IF(Y257&gt;18,Y257-18,0)*2+IF(Y257&gt;19,Y257-19,0)*2+IF(Y257&gt;20,Y257-20,0)*2</f>
        <v>2</v>
      </c>
      <c r="AC257" s="128">
        <f t="shared" si="1640"/>
        <v>173.5384615384616</v>
      </c>
      <c r="AD257" s="159">
        <f t="shared" si="1641"/>
        <v>0</v>
      </c>
      <c r="AF257" s="164" t="s">
        <v>169</v>
      </c>
      <c r="AG257" s="159" t="s">
        <v>87</v>
      </c>
      <c r="AH257" s="128" t="s">
        <v>132</v>
      </c>
      <c r="AI257" s="115"/>
      <c r="AJ257" s="122">
        <f>Konvention_1slave-KLslave</f>
        <v>12</v>
      </c>
      <c r="AK257" s="122">
        <f>Konvention_1slave-INslave</f>
        <v>12</v>
      </c>
      <c r="AL257" s="122">
        <f>Konvention_1slave-CHslave</f>
        <v>12</v>
      </c>
      <c r="AM257" s="122"/>
      <c r="AN257" s="122"/>
      <c r="AO257" s="122"/>
      <c r="AP257" s="123"/>
      <c r="AQ257" s="88">
        <f>(AI257+AJ257+AK257+AL257+AM257+AN257+AO257+AP257)/3</f>
        <v>12</v>
      </c>
      <c r="AR257" s="88">
        <f t="shared" si="1643"/>
        <v>24</v>
      </c>
      <c r="AS257" s="123">
        <f t="shared" si="1644"/>
        <v>36</v>
      </c>
      <c r="AT257" s="115">
        <f>AI257*POWER(KLslave,SIGN(AJ257))*POWER(INslave,SIGN(AK257))*POWER(CHslave,SIGN(AL257))*POWER(FFslave,SIGN(AM257))*POWER(GEslave,SIGN(AN257))*POWER(KOslave,SIGN(AO257))*POWER(KKslave,SIGN(AP257))+AJ257*POWER(MUslave_MU,SIGN(AI257))*POWER(INslave,SIGN(AK257))*POWER(CHslave,SIGN(AL257))*POWER(FFslave,SIGN(AM257))*POWER(GEslave,SIGN(AN257))*POWER(KOslave,SIGN(AO257))*POWER(KKslave,SIGN(AP257))+AK257*POWER(MUslave_MU,SIGN(AI257))*POWER(KLslave,SIGN(AJ257))*POWER(CHslave,SIGN(AL257))*POWER(FFslave,SIGN(AM257))*POWER(GEslave,SIGN(AN257))*POWER(KOslave,SIGN(AO257))*POWER(KKslave,SIGN(AP257))+AL257*POWER(MUslave_MU,SIGN(AI257))*POWER(KLslave,SIGN(AJ257))*POWER(INslave,SIGN(AK257))*POWER(FFslave,SIGN(AM257))*POWER(GEslave,SIGN(AN257))*POWER(KOslave,SIGN(AO257))*POWER(KKslave,SIGN(AP257))+AM257*POWER(MUslave_MU,SIGN(AI257))*POWER(KLslave,SIGN(AJ257))*POWER(INslave,SIGN(AK257))*POWER(CHslave,SIGN(AL257))*POWER(GEslave,SIGN(AN257))*POWER(KOslave,SIGN(AO257))*POWER(KKslave,SIGN(AP257))+AN257*POWER(MUslave_MU,SIGN(AI257))*POWER(KLslave,SIGN(AJ257))*POWER(INslave,SIGN(AK257))*POWER(CHslave,SIGN(AL257))*POWER(FFslave,SIGN(AM257))*POWER(KOslave,SIGN(AO257))*POWER(KKslave,SIGN(AP257))+AO257*POWER(MUslave_MU,SIGN(AI257))*POWER(KLslave,SIGN(AJ257))*POWER(INslave,SIGN(AK257))*POWER(CHslave,SIGN(AL257))*POWER(FFslave,SIGN(AM257))*POWER(GEslave,SIGN(AN257))*POWER(KKslave,SIGN(AP257))+AP257*POWER(MUslave_MU,SIGN(AI257))*POWER(KLslave,SIGN(AJ257))*POWER(INslave,SIGN(AK257))*POWER(CHslave,SIGN(AL257))*POWER(FFslave,SIGN(AM257))*POWER(GEslave,SIGN(AN257))*POWER(KOslave,SIGN(AO257))</f>
        <v>2304</v>
      </c>
      <c r="AU257" s="122">
        <f>AJ257*AK257*CHslave+AJ257*INslave*AL257+KLslave*AK257*AL257</f>
        <v>3456</v>
      </c>
      <c r="AV257" s="123">
        <f>IFERROR(AI257^SIGN(AI257),1)*IFERROR(AJ257^SIGN(AJ257),1)*IFERROR(AK257^SIGN(AK257),1)*IFERROR(AL257^SIGN(AL257),1)*IFERROR(AM257^SIGN(AM257),1)*IFERROR(AN257^SIGN(AN257),1)*IFERROR(AO257^SIGN(AO257),1)*IFERROR(AP257^SIGN(AP257),1)</f>
        <v>1728</v>
      </c>
      <c r="AW257" s="123">
        <f t="shared" si="1785"/>
        <v>7488</v>
      </c>
      <c r="AX257" s="90">
        <f t="shared" si="1647"/>
        <v>3.6923076923076925</v>
      </c>
      <c r="AY257" s="88">
        <f t="shared" si="1648"/>
        <v>11.076923076923077</v>
      </c>
      <c r="AZ257" s="128">
        <f t="shared" si="1649"/>
        <v>8.3076923076923084</v>
      </c>
      <c r="BA257" s="128">
        <f t="shared" si="1650"/>
        <v>23.07692307692308</v>
      </c>
      <c r="BB257" s="165">
        <f t="shared" si="1598"/>
        <v>0</v>
      </c>
      <c r="BC257" s="198">
        <f t="shared" si="1651"/>
        <v>23.07692307692308</v>
      </c>
      <c r="BD257" s="159">
        <f>IF(BA257&lt;=0,2,0)+IF(BA257&gt;0,BA257+1,0)*2+IF(BA257&gt;12,BA257-12,0)*2+IF(BA257&gt;13,BA257-13,0)*2+IF(BA257&gt;14,BA257-14,0)*2+IF(BA257&gt;15,BA257-15,0)*2+IF(BA257&gt;16,BA257-16,0)*2+IF(BA257&gt;17,BA257-17,0)*2+IF(BA257&gt;18,BA257-18,0)*2+IF(BA257&gt;19,BA257-19,0)*2+IF(BA257&gt;20,BA257-20,0)*2</f>
        <v>175.5384615384616</v>
      </c>
      <c r="BE257" s="161">
        <f>IF(BB257&lt;=0,2,0)+IF(BB257&gt;0,BB257+1,0)*2+IF(BB257&gt;12,BB257-12,0)*2+IF(BB257&gt;13,BB257-13,0)*2+IF(BB257&gt;14,BB257-14,0)*2+IF(BB257&gt;15,BB257-15,0)*2+IF(BB257&gt;16,BB257-16,0)*2+IF(BB257&gt;17,BB257-17,0)*2+IF(BB257&gt;18,BB257-18,0)*2+IF(BB257&gt;19,BB257-19,0)*2+IF(BB257&gt;20,BB257-20,0)*2</f>
        <v>2</v>
      </c>
      <c r="BF257" s="245">
        <f t="shared" si="1652"/>
        <v>173.5384615384616</v>
      </c>
      <c r="BG257" s="246">
        <f t="shared" si="1653"/>
        <v>0</v>
      </c>
      <c r="BI257" s="306" t="s">
        <v>169</v>
      </c>
      <c r="BJ257" s="246" t="s">
        <v>87</v>
      </c>
      <c r="BK257" s="245" t="s">
        <v>132</v>
      </c>
      <c r="BL257" s="238"/>
      <c r="BM257" s="235">
        <f>Konvention_1slave-KLslave_KL</f>
        <v>11</v>
      </c>
      <c r="BN257" s="235">
        <f>Konvention_1slave-INslave</f>
        <v>12</v>
      </c>
      <c r="BO257" s="235">
        <f>Konvention_1slave-CHslave</f>
        <v>12</v>
      </c>
      <c r="BP257" s="235"/>
      <c r="BQ257" s="235"/>
      <c r="BR257" s="235"/>
      <c r="BS257" s="227"/>
      <c r="BT257" s="226">
        <f>(BL257+BM257+BN257+BO257+BP257+BQ257+BR257+BS257)/3</f>
        <v>11.666666666666666</v>
      </c>
      <c r="BU257" s="226">
        <f t="shared" si="1655"/>
        <v>23.333333333333332</v>
      </c>
      <c r="BV257" s="227">
        <f t="shared" si="1656"/>
        <v>35</v>
      </c>
      <c r="BW257" s="238">
        <f>BL257*POWER(KLslave_KL,SIGN(BM257))*POWER(INslave,SIGN(BN257))*POWER(CHslave,SIGN(BO257))*POWER(FFslave,SIGN(BP257))*POWER(GEslave,SIGN(BQ257))*POWER(KOslave,SIGN(BR257))*POWER(KKslave,SIGN(BS257))+BM257*POWER(MUslave,SIGN(BL257))*POWER(INslave,SIGN(BN257))*POWER(CHslave,SIGN(BO257))*POWER(FFslave,SIGN(BP257))*POWER(GEslave,SIGN(BQ257))*POWER(KOslave,SIGN(BR257))*POWER(KKslave,SIGN(BS257))+BN257*POWER(MUslave,SIGN(BL257))*POWER(KLslave_KL,SIGN(BM257))*POWER(CHslave,SIGN(BO257))*POWER(FFslave,SIGN(BP257))*POWER(GEslave,SIGN(BQ257))*POWER(KOslave,SIGN(BR257))*POWER(KKslave,SIGN(BS257))+BO257*POWER(MUslave,SIGN(BL257))*POWER(KLslave_KL,SIGN(BM257))*POWER(INslave,SIGN(BN257))*POWER(FFslave,SIGN(BP257))*POWER(GEslave,SIGN(BQ257))*POWER(KOslave,SIGN(BR257))*POWER(KKslave,SIGN(BS257))+BP257*POWER(MUslave,SIGN(BL257))*POWER(KLslave_KL,SIGN(BM257))*POWER(INslave,SIGN(BN257))*POWER(CHslave,SIGN(BO257))*POWER(GEslave,SIGN(BQ257))*POWER(KOslave,SIGN(BR257))*POWER(KKslave,SIGN(BS257))+BQ257*POWER(MUslave,SIGN(BL257))*POWER(KLslave_KL,SIGN(BM257))*POWER(INslave,SIGN(BN257))*POWER(CHslave,SIGN(BO257))*POWER(FFslave,SIGN(BP257))*POWER(KOslave,SIGN(BR257))*POWER(KKslave,SIGN(BS257))+BR257*POWER(MUslave,SIGN(BL257))*POWER(KLslave_KL,SIGN(BM257))*POWER(INslave,SIGN(BN257))*POWER(CHslave,SIGN(BO257))*POWER(FFslave,SIGN(BP257))*POWER(GEslave,SIGN(BQ257))*POWER(KKslave,SIGN(BS257))+BS257*POWER(MUslave,SIGN(BL257))*POWER(KLslave_KL,SIGN(BM257))*POWER(INslave,SIGN(BN257))*POWER(CHslave,SIGN(BO257))*POWER(FFslave,SIGN(BP257))*POWER(GEslave,SIGN(BQ257))*POWER(KOslave,SIGN(BR257))</f>
        <v>2432</v>
      </c>
      <c r="BX257" s="235">
        <f>BM257*BN257*CHslave+BM257*INslave*BO257+KLslave_KL*BN257*BO257</f>
        <v>3408</v>
      </c>
      <c r="BY257" s="227">
        <f>IFERROR(BL257^SIGN(BL257),1)*IFERROR(BM257^SIGN(BM257),1)*IFERROR(BN257^SIGN(BN257),1)*IFERROR(BO257^SIGN(BO257),1)*IFERROR(BP257^SIGN(BP257),1)*IFERROR(BQ257^SIGN(BQ257),1)*IFERROR(BR257^SIGN(BR257),1)*IFERROR(BS257^SIGN(BS257),1)</f>
        <v>1584</v>
      </c>
      <c r="BZ257" s="227">
        <f t="shared" si="1786"/>
        <v>7424</v>
      </c>
      <c r="CA257" s="225">
        <f t="shared" si="1659"/>
        <v>3.8218390804597702</v>
      </c>
      <c r="CB257" s="226">
        <f t="shared" si="1660"/>
        <v>10.711206896551724</v>
      </c>
      <c r="CC257" s="245">
        <f t="shared" si="1661"/>
        <v>7.4676724137931032</v>
      </c>
      <c r="CD257" s="245">
        <f t="shared" si="1662"/>
        <v>22.000718390804597</v>
      </c>
      <c r="CE257" s="252">
        <f t="shared" si="1600"/>
        <v>0</v>
      </c>
      <c r="CF257" s="309">
        <f t="shared" si="1663"/>
        <v>22.000718390804597</v>
      </c>
      <c r="CG257" s="246">
        <f>IF(CD257&lt;=0,2,0)+IF(CD257&gt;0,CD257+1,0)*2+IF(CD257&gt;12,CD257-12,0)*2+IF(CD257&gt;13,CD257-13,0)*2+IF(CD257&gt;14,CD257-14,0)*2+IF(CD257&gt;15,CD257-15,0)*2+IF(CD257&gt;16,CD257-16,0)*2+IF(CD257&gt;17,CD257-17,0)*2+IF(CD257&gt;18,CD257-18,0)*2+IF(CD257&gt;19,CD257-19,0)*2+IF(CD257&gt;20,CD257-20,0)*2</f>
        <v>154.01436781609189</v>
      </c>
      <c r="CH257" s="244">
        <f>IF(CE257&lt;=0,2,0)+IF(CE257&gt;0,CE257+1,0)*2+IF(CE257&gt;12,CE257-12,0)*2+IF(CE257&gt;13,CE257-13,0)*2+IF(CE257&gt;14,CE257-14,0)*2+IF(CE257&gt;15,CE257-15,0)*2+IF(CE257&gt;16,CE257-16,0)*2+IF(CE257&gt;17,CE257-17,0)*2+IF(CE257&gt;18,CE257-18,0)*2+IF(CE257&gt;19,CE257-19,0)*2+IF(CE257&gt;20,CE257-20,0)*2</f>
        <v>2</v>
      </c>
      <c r="CI257" s="245">
        <f t="shared" si="1664"/>
        <v>152.01436781609189</v>
      </c>
      <c r="CJ257" s="246">
        <f t="shared" si="1665"/>
        <v>0</v>
      </c>
      <c r="CL257" s="306" t="s">
        <v>169</v>
      </c>
      <c r="CM257" s="246" t="s">
        <v>87</v>
      </c>
      <c r="CN257" s="245" t="s">
        <v>132</v>
      </c>
      <c r="CO257" s="238"/>
      <c r="CP257" s="235">
        <f>Konvention_1slave-KLslave</f>
        <v>12</v>
      </c>
      <c r="CQ257" s="235">
        <f>Konvention_1slave-INslave_IN</f>
        <v>11</v>
      </c>
      <c r="CR257" s="235">
        <f>Konvention_1slave-CHslave</f>
        <v>12</v>
      </c>
      <c r="CS257" s="235"/>
      <c r="CT257" s="235"/>
      <c r="CU257" s="235"/>
      <c r="CV257" s="227"/>
      <c r="CW257" s="226">
        <f>(CO257+CP257+CQ257+CR257+CS257+CT257+CU257+CV257)/3</f>
        <v>11.666666666666666</v>
      </c>
      <c r="CX257" s="226">
        <f t="shared" si="1667"/>
        <v>23.333333333333332</v>
      </c>
      <c r="CY257" s="227">
        <f t="shared" si="1668"/>
        <v>35</v>
      </c>
      <c r="CZ257" s="238">
        <f>CO257*POWER(KLslave,SIGN(CP257))*POWER(INslave_IN,SIGN(CQ257))*POWER(CHslave,SIGN(CR257))*POWER(FFslave,SIGN(CS257))*POWER(GEslave,SIGN(CT257))*POWER(KOslave,SIGN(CU257))*POWER(KKslave,SIGN(CV257))+CP257*POWER(MUslave,SIGN(CO257))*POWER(INslave_IN,SIGN(CQ257))*POWER(CHslave,SIGN(CR257))*POWER(FFslave,SIGN(CS257))*POWER(GEslave,SIGN(CT257))*POWER(KOslave,SIGN(CU257))*POWER(KKslave,SIGN(CV257))+CQ257*POWER(MUslave,SIGN(CO257))*POWER(KLslave,SIGN(CP257))*POWER(CHslave,SIGN(CR257))*POWER(FFslave,SIGN(CS257))*POWER(GEslave,SIGN(CT257))*POWER(KOslave,SIGN(CU257))*POWER(KKslave,SIGN(CV257))+CR257*POWER(MUslave,SIGN(CO257))*POWER(KLslave,SIGN(CP257))*POWER(INslave_IN,SIGN(CQ257))*POWER(FFslave,SIGN(CS257))*POWER(GEslave,SIGN(CT257))*POWER(KOslave,SIGN(CU257))*POWER(KKslave,SIGN(CV257))+CS257*POWER(MUslave,SIGN(CO257))*POWER(KLslave,SIGN(CP257))*POWER(INslave_IN,SIGN(CQ257))*POWER(CHslave,SIGN(CR257))*POWER(GEslave,SIGN(CT257))*POWER(KOslave,SIGN(CU257))*POWER(KKslave,SIGN(CV257))+CT257*POWER(MUslave,SIGN(CO257))*POWER(KLslave,SIGN(CP257))*POWER(INslave_IN,SIGN(CQ257))*POWER(CHslave,SIGN(CR257))*POWER(FFslave,SIGN(CS257))*POWER(KOslave,SIGN(CU257))*POWER(KKslave,SIGN(CV257))+CU257*POWER(MUslave,SIGN(CO257))*POWER(KLslave,SIGN(CP257))*POWER(INslave_IN,SIGN(CQ257))*POWER(CHslave,SIGN(CR257))*POWER(FFslave,SIGN(CS257))*POWER(GEslave,SIGN(CT257))*POWER(KKslave,SIGN(CV257))+CV257*POWER(MUslave,SIGN(CO257))*POWER(KLslave,SIGN(CP257))*POWER(INslave_IN,SIGN(CQ257))*POWER(CHslave,SIGN(CR257))*POWER(FFslave,SIGN(CS257))*POWER(GEslave,SIGN(CT257))*POWER(KOslave,SIGN(CU257))</f>
        <v>2432</v>
      </c>
      <c r="DA257" s="235">
        <f>CP257*CQ257*CHslave+CP257*INslave_IN*CR257+KLslave*CQ257*CR257</f>
        <v>3408</v>
      </c>
      <c r="DB257" s="227">
        <f>IFERROR(CO257^SIGN(CO257),1)*IFERROR(CP257^SIGN(CP257),1)*IFERROR(CQ257^SIGN(CQ257),1)*IFERROR(CR257^SIGN(CR257),1)*IFERROR(CS257^SIGN(CS257),1)*IFERROR(CT257^SIGN(CT257),1)*IFERROR(CU257^SIGN(CU257),1)*IFERROR(CV257^SIGN(CV257),1)</f>
        <v>1584</v>
      </c>
      <c r="DC257" s="227">
        <f t="shared" si="1787"/>
        <v>7424</v>
      </c>
      <c r="DD257" s="225">
        <f t="shared" si="1671"/>
        <v>3.8218390804597702</v>
      </c>
      <c r="DE257" s="226">
        <f t="shared" si="1672"/>
        <v>10.711206896551724</v>
      </c>
      <c r="DF257" s="245">
        <f t="shared" si="1673"/>
        <v>7.4676724137931032</v>
      </c>
      <c r="DG257" s="245">
        <f t="shared" si="1674"/>
        <v>22.000718390804597</v>
      </c>
      <c r="DH257" s="252">
        <f t="shared" si="1602"/>
        <v>0</v>
      </c>
      <c r="DI257" s="309">
        <f t="shared" si="1675"/>
        <v>22.000718390804597</v>
      </c>
      <c r="DJ257" s="246">
        <f>IF(DG257&lt;=0,2,0)+IF(DG257&gt;0,DG257+1,0)*2+IF(DG257&gt;12,DG257-12,0)*2+IF(DG257&gt;13,DG257-13,0)*2+IF(DG257&gt;14,DG257-14,0)*2+IF(DG257&gt;15,DG257-15,0)*2+IF(DG257&gt;16,DG257-16,0)*2+IF(DG257&gt;17,DG257-17,0)*2+IF(DG257&gt;18,DG257-18,0)*2+IF(DG257&gt;19,DG257-19,0)*2+IF(DG257&gt;20,DG257-20,0)*2</f>
        <v>154.01436781609189</v>
      </c>
      <c r="DK257" s="244">
        <f>IF(DH257&lt;=0,2,0)+IF(DH257&gt;0,DH257+1,0)*2+IF(DH257&gt;12,DH257-12,0)*2+IF(DH257&gt;13,DH257-13,0)*2+IF(DH257&gt;14,DH257-14,0)*2+IF(DH257&gt;15,DH257-15,0)*2+IF(DH257&gt;16,DH257-16,0)*2+IF(DH257&gt;17,DH257-17,0)*2+IF(DH257&gt;18,DH257-18,0)*2+IF(DH257&gt;19,DH257-19,0)*2+IF(DH257&gt;20,DH257-20,0)*2</f>
        <v>2</v>
      </c>
      <c r="DL257" s="245">
        <f t="shared" si="1676"/>
        <v>152.01436781609189</v>
      </c>
      <c r="DM257" s="246">
        <f t="shared" si="1677"/>
        <v>0</v>
      </c>
      <c r="DO257" s="306" t="s">
        <v>169</v>
      </c>
      <c r="DP257" s="246" t="s">
        <v>87</v>
      </c>
      <c r="DQ257" s="245" t="s">
        <v>132</v>
      </c>
      <c r="DR257" s="238"/>
      <c r="DS257" s="235">
        <f>Konvention_1slave-KLslave</f>
        <v>12</v>
      </c>
      <c r="DT257" s="235">
        <f>Konvention_1slave-INslave</f>
        <v>12</v>
      </c>
      <c r="DU257" s="235">
        <f>Konvention_1slave-CHslave_CH</f>
        <v>11</v>
      </c>
      <c r="DV257" s="235"/>
      <c r="DW257" s="235"/>
      <c r="DX257" s="235"/>
      <c r="DY257" s="227"/>
      <c r="DZ257" s="226">
        <f>(DR257+DS257+DT257+DU257+DV257+DW257+DX257+DY257)/3</f>
        <v>11.666666666666666</v>
      </c>
      <c r="EA257" s="226">
        <f t="shared" si="1679"/>
        <v>23.333333333333332</v>
      </c>
      <c r="EB257" s="227">
        <f t="shared" si="1680"/>
        <v>35</v>
      </c>
      <c r="EC257" s="238">
        <f>DR257*POWER(KLslave,SIGN(DS257))*POWER(INslave,SIGN(DT257))*POWER(CHslave_CH,SIGN(DU257))*POWER(FFslave,SIGN(DV257))*POWER(GEslave,SIGN(DW257))*POWER(KOslave,SIGN(DX257))*POWER(KKslave,SIGN(DY257))+DS257*POWER(MUslave,SIGN(DR257))*POWER(INslave,SIGN(DT257))*POWER(CHslave_CH,SIGN(DU257))*POWER(FFslave,SIGN(DV257))*POWER(GEslave,SIGN(DW257))*POWER(KOslave,SIGN(DX257))*POWER(KKslave,SIGN(DY257))+DT257*POWER(MUslave,SIGN(DR257))*POWER(KLslave,SIGN(DS257))*POWER(CHslave_CH,SIGN(DU257))*POWER(FFslave,SIGN(DV257))*POWER(GEslave,SIGN(DW257))*POWER(KOslave,SIGN(DX257))*POWER(KKslave,SIGN(DY257))+DU257*POWER(MUslave,SIGN(DR257))*POWER(KLslave,SIGN(DS257))*POWER(INslave,SIGN(DT257))*POWER(FFslave,SIGN(DV257))*POWER(GEslave,SIGN(DW257))*POWER(KOslave,SIGN(DX257))*POWER(KKslave,SIGN(DY257))+DV257*POWER(MUslave,SIGN(DR257))*POWER(KLslave,SIGN(DS257))*POWER(INslave,SIGN(DT257))*POWER(CHslave_CH,SIGN(DU257))*POWER(GEslave,SIGN(DW257))*POWER(KOslave,SIGN(DX257))*POWER(KKslave,SIGN(DY257))+DW257*POWER(MUslave,SIGN(DR257))*POWER(KLslave,SIGN(DS257))*POWER(INslave,SIGN(DT257))*POWER(CHslave_CH,SIGN(DU257))*POWER(FFslave,SIGN(DV257))*POWER(KOslave,SIGN(DX257))*POWER(KKslave,SIGN(DY257))+DX257*POWER(MUslave,SIGN(DR257))*POWER(KLslave,SIGN(DS257))*POWER(INslave,SIGN(DT257))*POWER(CHslave_CH,SIGN(DU257))*POWER(FFslave,SIGN(DV257))*POWER(GEslave,SIGN(DW257))*POWER(KKslave,SIGN(DY257))+DY257*POWER(MUslave,SIGN(DR257))*POWER(KLslave,SIGN(DS257))*POWER(INslave,SIGN(DT257))*POWER(CHslave_CH,SIGN(DU257))*POWER(FFslave,SIGN(DV257))*POWER(GEslave,SIGN(DW257))*POWER(KOslave,SIGN(DX257))</f>
        <v>2432</v>
      </c>
      <c r="ED257" s="235">
        <f>DS257*DT257*CHslave_CH+DS257*INslave*DU257+KLslave*DT257*DU257</f>
        <v>3408</v>
      </c>
      <c r="EE257" s="227">
        <f>IFERROR(DR257^SIGN(DR257),1)*IFERROR(DS257^SIGN(DS257),1)*IFERROR(DT257^SIGN(DT257),1)*IFERROR(DU257^SIGN(DU257),1)*IFERROR(DV257^SIGN(DV257),1)*IFERROR(DW257^SIGN(DW257),1)*IFERROR(DX257^SIGN(DX257),1)*IFERROR(DY257^SIGN(DY257),1)</f>
        <v>1584</v>
      </c>
      <c r="EF257" s="227">
        <f t="shared" si="1788"/>
        <v>7424</v>
      </c>
      <c r="EG257" s="225">
        <f t="shared" si="1683"/>
        <v>3.8218390804597702</v>
      </c>
      <c r="EH257" s="226">
        <f t="shared" si="1684"/>
        <v>10.711206896551724</v>
      </c>
      <c r="EI257" s="245">
        <f t="shared" si="1685"/>
        <v>7.4676724137931032</v>
      </c>
      <c r="EJ257" s="245">
        <f t="shared" si="1686"/>
        <v>22.000718390804597</v>
      </c>
      <c r="EK257" s="252">
        <f t="shared" si="1604"/>
        <v>0</v>
      </c>
      <c r="EL257" s="309">
        <f t="shared" si="1687"/>
        <v>22.000718390804597</v>
      </c>
      <c r="EM257" s="246">
        <f>IF(EJ257&lt;=0,2,0)+IF(EJ257&gt;0,EJ257+1,0)*2+IF(EJ257&gt;12,EJ257-12,0)*2+IF(EJ257&gt;13,EJ257-13,0)*2+IF(EJ257&gt;14,EJ257-14,0)*2+IF(EJ257&gt;15,EJ257-15,0)*2+IF(EJ257&gt;16,EJ257-16,0)*2+IF(EJ257&gt;17,EJ257-17,0)*2+IF(EJ257&gt;18,EJ257-18,0)*2+IF(EJ257&gt;19,EJ257-19,0)*2+IF(EJ257&gt;20,EJ257-20,0)*2</f>
        <v>154.01436781609189</v>
      </c>
      <c r="EN257" s="244">
        <f>IF(EK257&lt;=0,2,0)+IF(EK257&gt;0,EK257+1,0)*2+IF(EK257&gt;12,EK257-12,0)*2+IF(EK257&gt;13,EK257-13,0)*2+IF(EK257&gt;14,EK257-14,0)*2+IF(EK257&gt;15,EK257-15,0)*2+IF(EK257&gt;16,EK257-16,0)*2+IF(EK257&gt;17,EK257-17,0)*2+IF(EK257&gt;18,EK257-18,0)*2+IF(EK257&gt;19,EK257-19,0)*2+IF(EK257&gt;20,EK257-20,0)*2</f>
        <v>2</v>
      </c>
      <c r="EO257" s="245">
        <f t="shared" si="1688"/>
        <v>152.01436781609189</v>
      </c>
      <c r="EP257" s="246">
        <f t="shared" si="1689"/>
        <v>0</v>
      </c>
      <c r="ER257" s="306" t="s">
        <v>169</v>
      </c>
      <c r="ES257" s="246" t="s">
        <v>87</v>
      </c>
      <c r="ET257" s="245" t="s">
        <v>132</v>
      </c>
      <c r="EU257" s="238"/>
      <c r="EV257" s="235">
        <f>Konvention_1slave-KLslave</f>
        <v>12</v>
      </c>
      <c r="EW257" s="235">
        <f>Konvention_1slave-INslave</f>
        <v>12</v>
      </c>
      <c r="EX257" s="235">
        <f>Konvention_1slave-CHslave</f>
        <v>12</v>
      </c>
      <c r="EY257" s="235"/>
      <c r="EZ257" s="235"/>
      <c r="FA257" s="235"/>
      <c r="FB257" s="227"/>
      <c r="FC257" s="226">
        <f>(EU257+EV257+EW257+EX257+EY257+EZ257+FA257+FB257)/3</f>
        <v>12</v>
      </c>
      <c r="FD257" s="226">
        <f t="shared" si="1691"/>
        <v>24</v>
      </c>
      <c r="FE257" s="227">
        <f t="shared" si="1692"/>
        <v>36</v>
      </c>
      <c r="FF257" s="238">
        <f>EU257*POWER(KLslave,SIGN(EV257))*POWER(INslave,SIGN(EW257))*POWER(CHslave,SIGN(EX257))*POWER(FFslave_FF,SIGN(EY257))*POWER(GEslave,SIGN(EZ257))*POWER(KOslave,SIGN(FA257))*POWER(KKslave,SIGN(FB257))+EV257*POWER(MUslave,SIGN(EU257))*POWER(INslave,SIGN(EW257))*POWER(CHslave,SIGN(EX257))*POWER(FFslave_FF,SIGN(EY257))*POWER(GEslave,SIGN(EZ257))*POWER(KOslave,SIGN(FA257))*POWER(KKslave,SIGN(FB257))+EW257*POWER(MUslave,SIGN(EU257))*POWER(KLslave,SIGN(EV257))*POWER(CHslave,SIGN(EX257))*POWER(FFslave_FF,SIGN(EY257))*POWER(GEslave,SIGN(EZ257))*POWER(KOslave,SIGN(FA257))*POWER(KKslave,SIGN(FB257))+EX257*POWER(MUslave,SIGN(EU257))*POWER(KLslave,SIGN(EV257))*POWER(INslave,SIGN(EW257))*POWER(FFslave_FF,SIGN(EY257))*POWER(GEslave,SIGN(EZ257))*POWER(KOslave,SIGN(FA257))*POWER(KKslave,SIGN(FB257))+EY257*POWER(MUslave,SIGN(EU257))*POWER(KLslave,SIGN(EV257))*POWER(INslave,SIGN(EW257))*POWER(CHslave,SIGN(EX257))*POWER(GEslave,SIGN(EZ257))*POWER(KOslave,SIGN(FA257))*POWER(KKslave,SIGN(FB257))+EZ257*POWER(MUslave,SIGN(EU257))*POWER(KLslave,SIGN(EV257))*POWER(INslave,SIGN(EW257))*POWER(CHslave,SIGN(EX257))*POWER(FFslave_FF,SIGN(EY257))*POWER(KOslave,SIGN(FA257))*POWER(KKslave,SIGN(FB257))+FA257*POWER(MUslave,SIGN(EU257))*POWER(KLslave,SIGN(EV257))*POWER(INslave,SIGN(EW257))*POWER(CHslave,SIGN(EX257))*POWER(FFslave_FF,SIGN(EY257))*POWER(GEslave,SIGN(EZ257))*POWER(KKslave,SIGN(FB257))+FB257*POWER(MUslave,SIGN(EU257))*POWER(KLslave,SIGN(EV257))*POWER(INslave,SIGN(EW257))*POWER(CHslave,SIGN(EX257))*POWER(FFslave_FF,SIGN(EY257))*POWER(GEslave,SIGN(EZ257))*POWER(KOslave,SIGN(FA257))</f>
        <v>2304</v>
      </c>
      <c r="FG257" s="235">
        <f>EV257*EW257*CHslave+EV257*INslave*EX257+KLslave*EW257*EX257</f>
        <v>3456</v>
      </c>
      <c r="FH257" s="227">
        <f>IFERROR(EU257^SIGN(EU257),1)*IFERROR(EV257^SIGN(EV257),1)*IFERROR(EW257^SIGN(EW257),1)*IFERROR(EX257^SIGN(EX257),1)*IFERROR(EY257^SIGN(EY257),1)*IFERROR(EZ257^SIGN(EZ257),1)*IFERROR(FA257^SIGN(FA257),1)*IFERROR(FB257^SIGN(FB257),1)</f>
        <v>1728</v>
      </c>
      <c r="FI257" s="227">
        <f t="shared" si="1789"/>
        <v>7488</v>
      </c>
      <c r="FJ257" s="225">
        <f t="shared" si="1695"/>
        <v>3.6923076923076925</v>
      </c>
      <c r="FK257" s="226">
        <f t="shared" si="1696"/>
        <v>11.076923076923077</v>
      </c>
      <c r="FL257" s="245">
        <f t="shared" si="1697"/>
        <v>8.3076923076923084</v>
      </c>
      <c r="FM257" s="245">
        <f t="shared" si="1698"/>
        <v>23.07692307692308</v>
      </c>
      <c r="FN257" s="252">
        <f t="shared" si="1606"/>
        <v>0</v>
      </c>
      <c r="FO257" s="309">
        <f t="shared" si="1699"/>
        <v>23.07692307692308</v>
      </c>
      <c r="FP257" s="246">
        <f>IF(FM257&lt;=0,2,0)+IF(FM257&gt;0,FM257+1,0)*2+IF(FM257&gt;12,FM257-12,0)*2+IF(FM257&gt;13,FM257-13,0)*2+IF(FM257&gt;14,FM257-14,0)*2+IF(FM257&gt;15,FM257-15,0)*2+IF(FM257&gt;16,FM257-16,0)*2+IF(FM257&gt;17,FM257-17,0)*2+IF(FM257&gt;18,FM257-18,0)*2+IF(FM257&gt;19,FM257-19,0)*2+IF(FM257&gt;20,FM257-20,0)*2</f>
        <v>175.5384615384616</v>
      </c>
      <c r="FQ257" s="244">
        <f>IF(FN257&lt;=0,2,0)+IF(FN257&gt;0,FN257+1,0)*2+IF(FN257&gt;12,FN257-12,0)*2+IF(FN257&gt;13,FN257-13,0)*2+IF(FN257&gt;14,FN257-14,0)*2+IF(FN257&gt;15,FN257-15,0)*2+IF(FN257&gt;16,FN257-16,0)*2+IF(FN257&gt;17,FN257-17,0)*2+IF(FN257&gt;18,FN257-18,0)*2+IF(FN257&gt;19,FN257-19,0)*2+IF(FN257&gt;20,FN257-20,0)*2</f>
        <v>2</v>
      </c>
      <c r="FR257" s="245">
        <f t="shared" si="1700"/>
        <v>173.5384615384616</v>
      </c>
      <c r="FS257" s="246">
        <f t="shared" si="1701"/>
        <v>0</v>
      </c>
      <c r="FU257" s="306" t="s">
        <v>169</v>
      </c>
      <c r="FV257" s="246" t="s">
        <v>87</v>
      </c>
      <c r="FW257" s="245" t="s">
        <v>132</v>
      </c>
      <c r="FX257" s="238"/>
      <c r="FY257" s="235">
        <f>Konvention_1slave-KLslave</f>
        <v>12</v>
      </c>
      <c r="FZ257" s="235">
        <f>Konvention_1slave-INslave</f>
        <v>12</v>
      </c>
      <c r="GA257" s="235">
        <f>Konvention_1slave-CHslave</f>
        <v>12</v>
      </c>
      <c r="GB257" s="235"/>
      <c r="GC257" s="235"/>
      <c r="GD257" s="235"/>
      <c r="GE257" s="227"/>
      <c r="GF257" s="226">
        <f>(FX257+FY257+FZ257+GA257+GB257+GC257+GD257+GE257)/3</f>
        <v>12</v>
      </c>
      <c r="GG257" s="226">
        <f t="shared" si="1703"/>
        <v>24</v>
      </c>
      <c r="GH257" s="227">
        <f t="shared" si="1704"/>
        <v>36</v>
      </c>
      <c r="GI257" s="238">
        <f>FX257*POWER(KLslave,SIGN(FY257))*POWER(INslave,SIGN(FZ257))*POWER(CHslave,SIGN(GA257))*POWER(FFslave,SIGN(GB257))*POWER(GEslave_GE,SIGN(GC257))*POWER(KOslave,SIGN(GD257))*POWER(KKslave,SIGN(GE257))+FY257*POWER(MUslave,SIGN(FX257))*POWER(INslave,SIGN(FZ257))*POWER(CHslave,SIGN(GA257))*POWER(FFslave,SIGN(GB257))*POWER(GEslave_GE,SIGN(GC257))*POWER(KOslave,SIGN(GD257))*POWER(KKslave,SIGN(GE257))+FZ257*POWER(MUslave,SIGN(FX257))*POWER(KLslave,SIGN(FY257))*POWER(CHslave,SIGN(GA257))*POWER(FFslave,SIGN(GB257))*POWER(GEslave_GE,SIGN(GC257))*POWER(KOslave,SIGN(GD257))*POWER(KKslave,SIGN(GE257))+GA257*POWER(MUslave,SIGN(FX257))*POWER(KLslave,SIGN(FY257))*POWER(INslave,SIGN(FZ257))*POWER(FFslave,SIGN(GB257))*POWER(GEslave_GE,SIGN(GC257))*POWER(KOslave,SIGN(GD257))*POWER(KKslave,SIGN(GE257))+GB257*POWER(MUslave,SIGN(FX257))*POWER(KLslave,SIGN(FY257))*POWER(INslave,SIGN(FZ257))*POWER(CHslave,SIGN(GA257))*POWER(GEslave_GE,SIGN(GC257))*POWER(KOslave,SIGN(GD257))*POWER(KKslave,SIGN(GE257))+GC257*POWER(MUslave,SIGN(FX257))*POWER(KLslave,SIGN(FY257))*POWER(INslave,SIGN(FZ257))*POWER(CHslave,SIGN(GA257))*POWER(FFslave,SIGN(GB257))*POWER(KOslave,SIGN(GD257))*POWER(KKslave,SIGN(GE257))+GD257*POWER(MUslave,SIGN(FX257))*POWER(KLslave,SIGN(FY257))*POWER(INslave,SIGN(FZ257))*POWER(CHslave,SIGN(GA257))*POWER(FFslave,SIGN(GB257))*POWER(GEslave_GE,SIGN(GC257))*POWER(KKslave,SIGN(GE257))+GE257*POWER(MUslave,SIGN(FX257))*POWER(KLslave,SIGN(FY257))*POWER(INslave,SIGN(FZ257))*POWER(CHslave,SIGN(GA257))*POWER(FFslave,SIGN(GB257))*POWER(GEslave_GE,SIGN(GC257))*POWER(KOslave,SIGN(GD257))</f>
        <v>2304</v>
      </c>
      <c r="GJ257" s="235">
        <f>FY257*FZ257*CHslave+FY257*INslave*GA257+KLslave*FZ257*GA257</f>
        <v>3456</v>
      </c>
      <c r="GK257" s="227">
        <f>IFERROR(FX257^SIGN(FX257),1)*IFERROR(FY257^SIGN(FY257),1)*IFERROR(FZ257^SIGN(FZ257),1)*IFERROR(GA257^SIGN(GA257),1)*IFERROR(GB257^SIGN(GB257),1)*IFERROR(GC257^SIGN(GC257),1)*IFERROR(GD257^SIGN(GD257),1)*IFERROR(GE257^SIGN(GE257),1)</f>
        <v>1728</v>
      </c>
      <c r="GL257" s="227">
        <f t="shared" si="1790"/>
        <v>7488</v>
      </c>
      <c r="GM257" s="225">
        <f t="shared" si="1707"/>
        <v>3.6923076923076925</v>
      </c>
      <c r="GN257" s="226">
        <f t="shared" si="1708"/>
        <v>11.076923076923077</v>
      </c>
      <c r="GO257" s="245">
        <f t="shared" si="1709"/>
        <v>8.3076923076923084</v>
      </c>
      <c r="GP257" s="245">
        <f t="shared" si="1710"/>
        <v>23.07692307692308</v>
      </c>
      <c r="GQ257" s="252">
        <f t="shared" si="1608"/>
        <v>0</v>
      </c>
      <c r="GR257" s="309">
        <f t="shared" si="1711"/>
        <v>23.07692307692308</v>
      </c>
      <c r="GS257" s="246">
        <f>IF(GP257&lt;=0,2,0)+IF(GP257&gt;0,GP257+1,0)*2+IF(GP257&gt;12,GP257-12,0)*2+IF(GP257&gt;13,GP257-13,0)*2+IF(GP257&gt;14,GP257-14,0)*2+IF(GP257&gt;15,GP257-15,0)*2+IF(GP257&gt;16,GP257-16,0)*2+IF(GP257&gt;17,GP257-17,0)*2+IF(GP257&gt;18,GP257-18,0)*2+IF(GP257&gt;19,GP257-19,0)*2+IF(GP257&gt;20,GP257-20,0)*2</f>
        <v>175.5384615384616</v>
      </c>
      <c r="GT257" s="244">
        <f>IF(GQ257&lt;=0,2,0)+IF(GQ257&gt;0,GQ257+1,0)*2+IF(GQ257&gt;12,GQ257-12,0)*2+IF(GQ257&gt;13,GQ257-13,0)*2+IF(GQ257&gt;14,GQ257-14,0)*2+IF(GQ257&gt;15,GQ257-15,0)*2+IF(GQ257&gt;16,GQ257-16,0)*2+IF(GQ257&gt;17,GQ257-17,0)*2+IF(GQ257&gt;18,GQ257-18,0)*2+IF(GQ257&gt;19,GQ257-19,0)*2+IF(GQ257&gt;20,GQ257-20,0)*2</f>
        <v>2</v>
      </c>
      <c r="GU257" s="245">
        <f t="shared" si="1712"/>
        <v>173.5384615384616</v>
      </c>
      <c r="GV257" s="246">
        <f t="shared" si="1713"/>
        <v>0</v>
      </c>
      <c r="GX257" s="306" t="s">
        <v>169</v>
      </c>
      <c r="GY257" s="246" t="s">
        <v>87</v>
      </c>
      <c r="GZ257" s="245" t="s">
        <v>132</v>
      </c>
      <c r="HA257" s="238"/>
      <c r="HB257" s="235">
        <f>Konvention_1slave-KLslave</f>
        <v>12</v>
      </c>
      <c r="HC257" s="235">
        <f>Konvention_1slave-INslave</f>
        <v>12</v>
      </c>
      <c r="HD257" s="235">
        <f>Konvention_1slave-CHslave</f>
        <v>12</v>
      </c>
      <c r="HE257" s="235"/>
      <c r="HF257" s="235"/>
      <c r="HG257" s="235"/>
      <c r="HH257" s="227"/>
      <c r="HI257" s="226">
        <f>(HA257+HB257+HC257+HD257+HE257+HF257+HG257+HH257)/3</f>
        <v>12</v>
      </c>
      <c r="HJ257" s="226">
        <f t="shared" si="1715"/>
        <v>24</v>
      </c>
      <c r="HK257" s="227">
        <f t="shared" si="1716"/>
        <v>36</v>
      </c>
      <c r="HL257" s="238">
        <f>HA257*POWER(KLslave,SIGN(HB257))*POWER(INslave,SIGN(HC257))*POWER(CHslave,SIGN(HD257))*POWER(FFslave,SIGN(HE257))*POWER(GEslave,SIGN(HF257))*POWER(KOslave_KO,SIGN(HG257))*POWER(KKslave,SIGN(HH257))+HB257*POWER(MUslave,SIGN(HA257))*POWER(INslave,SIGN(HC257))*POWER(CHslave,SIGN(HD257))*POWER(FFslave,SIGN(HE257))*POWER(GEslave,SIGN(HF257))*POWER(KOslave_KO,SIGN(HG257))*POWER(KKslave,SIGN(HH257))+HC257*POWER(MUslave,SIGN(HA257))*POWER(KLslave,SIGN(HB257))*POWER(CHslave,SIGN(HD257))*POWER(FFslave,SIGN(HE257))*POWER(GEslave,SIGN(HF257))*POWER(KOslave_KO,SIGN(HG257))*POWER(KKslave,SIGN(HH257))+HD257*POWER(MUslave,SIGN(HA257))*POWER(KLslave,SIGN(HB257))*POWER(INslave,SIGN(HC257))*POWER(FFslave,SIGN(HE257))*POWER(GEslave,SIGN(HF257))*POWER(KOslave_KO,SIGN(HG257))*POWER(KKslave,SIGN(HH257))+HE257*POWER(MUslave,SIGN(HA257))*POWER(KLslave,SIGN(HB257))*POWER(INslave,SIGN(HC257))*POWER(CHslave,SIGN(HD257))*POWER(GEslave,SIGN(HF257))*POWER(KOslave_KO,SIGN(HG257))*POWER(KKslave,SIGN(HH257))+HF257*POWER(MUslave,SIGN(HA257))*POWER(KLslave,SIGN(HB257))*POWER(INslave,SIGN(HC257))*POWER(CHslave,SIGN(HD257))*POWER(FFslave,SIGN(HE257))*POWER(KOslave_KO,SIGN(HG257))*POWER(KKslave,SIGN(HH257))+HG257*POWER(MUslave,SIGN(HA257))*POWER(KLslave,SIGN(HB257))*POWER(INslave,SIGN(HC257))*POWER(CHslave,SIGN(HD257))*POWER(FFslave,SIGN(HE257))*POWER(GEslave,SIGN(HF257))*POWER(KKslave,SIGN(HH257))+HH257*POWER(MUslave,SIGN(HA257))*POWER(KLslave,SIGN(HB257))*POWER(INslave,SIGN(HC257))*POWER(CHslave,SIGN(HD257))*POWER(FFslave,SIGN(HE257))*POWER(GEslave,SIGN(HF257))*POWER(KOslave_KO,SIGN(HG257))</f>
        <v>2304</v>
      </c>
      <c r="HM257" s="235">
        <f>HB257*HC257*CHslave+HB257*INslave*HD257+KLslave*HC257*HD257</f>
        <v>3456</v>
      </c>
      <c r="HN257" s="227">
        <f>IFERROR(HA257^SIGN(HA257),1)*IFERROR(HB257^SIGN(HB257),1)*IFERROR(HC257^SIGN(HC257),1)*IFERROR(HD257^SIGN(HD257),1)*IFERROR(HE257^SIGN(HE257),1)*IFERROR(HF257^SIGN(HF257),1)*IFERROR(HG257^SIGN(HG257),1)*IFERROR(HH257^SIGN(HH257),1)</f>
        <v>1728</v>
      </c>
      <c r="HO257" s="227">
        <f t="shared" si="1791"/>
        <v>7488</v>
      </c>
      <c r="HP257" s="225">
        <f t="shared" si="1719"/>
        <v>3.6923076923076925</v>
      </c>
      <c r="HQ257" s="226">
        <f t="shared" si="1720"/>
        <v>11.076923076923077</v>
      </c>
      <c r="HR257" s="245">
        <f t="shared" si="1721"/>
        <v>8.3076923076923084</v>
      </c>
      <c r="HS257" s="245">
        <f t="shared" si="1722"/>
        <v>23.07692307692308</v>
      </c>
      <c r="HT257" s="252">
        <f t="shared" si="1610"/>
        <v>0</v>
      </c>
      <c r="HU257" s="309">
        <f t="shared" si="1723"/>
        <v>23.07692307692308</v>
      </c>
      <c r="HV257" s="246">
        <f>IF(HS257&lt;=0,2,0)+IF(HS257&gt;0,HS257+1,0)*2+IF(HS257&gt;12,HS257-12,0)*2+IF(HS257&gt;13,HS257-13,0)*2+IF(HS257&gt;14,HS257-14,0)*2+IF(HS257&gt;15,HS257-15,0)*2+IF(HS257&gt;16,HS257-16,0)*2+IF(HS257&gt;17,HS257-17,0)*2+IF(HS257&gt;18,HS257-18,0)*2+IF(HS257&gt;19,HS257-19,0)*2+IF(HS257&gt;20,HS257-20,0)*2</f>
        <v>175.5384615384616</v>
      </c>
      <c r="HW257" s="244">
        <f>IF(HT257&lt;=0,2,0)+IF(HT257&gt;0,HT257+1,0)*2+IF(HT257&gt;12,HT257-12,0)*2+IF(HT257&gt;13,HT257-13,0)*2+IF(HT257&gt;14,HT257-14,0)*2+IF(HT257&gt;15,HT257-15,0)*2+IF(HT257&gt;16,HT257-16,0)*2+IF(HT257&gt;17,HT257-17,0)*2+IF(HT257&gt;18,HT257-18,0)*2+IF(HT257&gt;19,HT257-19,0)*2+IF(HT257&gt;20,HT257-20,0)*2</f>
        <v>2</v>
      </c>
      <c r="HX257" s="245">
        <f t="shared" si="1724"/>
        <v>173.5384615384616</v>
      </c>
      <c r="HY257" s="246">
        <f t="shared" si="1725"/>
        <v>0</v>
      </c>
      <c r="IA257" s="306" t="s">
        <v>169</v>
      </c>
      <c r="IB257" s="246" t="s">
        <v>87</v>
      </c>
      <c r="IC257" s="245" t="s">
        <v>132</v>
      </c>
      <c r="ID257" s="238"/>
      <c r="IE257" s="235">
        <f>Konvention_1slave-KLslave</f>
        <v>12</v>
      </c>
      <c r="IF257" s="235">
        <f>Konvention_1slave-INslave</f>
        <v>12</v>
      </c>
      <c r="IG257" s="235">
        <f>Konvention_1slave-CHslave</f>
        <v>12</v>
      </c>
      <c r="IH257" s="235"/>
      <c r="II257" s="235"/>
      <c r="IJ257" s="235"/>
      <c r="IK257" s="227"/>
      <c r="IL257" s="226">
        <f>(ID257+IE257+IF257+IG257+IH257+II257+IJ257+IK257)/3</f>
        <v>12</v>
      </c>
      <c r="IM257" s="226">
        <f t="shared" si="1727"/>
        <v>24</v>
      </c>
      <c r="IN257" s="227">
        <f t="shared" si="1728"/>
        <v>36</v>
      </c>
      <c r="IO257" s="238">
        <f>ID257*POWER(KLslave,SIGN(IE257))*POWER(INslave,SIGN(IF257))*POWER(CHslave,SIGN(IG257))*POWER(FFslave,SIGN(IH257))*POWER(GEslave,SIGN(II257))*POWER(KOslave,SIGN(IJ257))*POWER(KKslave_KK,SIGN(IK257))+IE257*POWER(MUslave,SIGN(ID257))*POWER(INslave,SIGN(IF257))*POWER(CHslave,SIGN(IG257))*POWER(FFslave,SIGN(IH257))*POWER(GEslave,SIGN(II257))*POWER(KOslave,SIGN(IJ257))*POWER(KKslave_KK,SIGN(IK257))+IF257*POWER(MUslave,SIGN(ID257))*POWER(KLslave,SIGN(IE257))*POWER(CHslave,SIGN(IG257))*POWER(FFslave,SIGN(IH257))*POWER(GEslave,SIGN(II257))*POWER(KOslave,SIGN(IJ257))*POWER(KKslave_KK,SIGN(IK257))+IG257*POWER(MUslave,SIGN(ID257))*POWER(KLslave,SIGN(IE257))*POWER(INslave,SIGN(IF257))*POWER(FFslave,SIGN(IH257))*POWER(GEslave,SIGN(II257))*POWER(KOslave,SIGN(IJ257))*POWER(KKslave_KK,SIGN(IK257))+IH257*POWER(MUslave,SIGN(ID257))*POWER(KLslave,SIGN(IE257))*POWER(INslave,SIGN(IF257))*POWER(CHslave,SIGN(IG257))*POWER(GEslave,SIGN(II257))*POWER(KOslave,SIGN(IJ257))*POWER(KKslave_KK,SIGN(IK257))+II257*POWER(MUslave,SIGN(ID257))*POWER(KLslave,SIGN(IE257))*POWER(INslave,SIGN(IF257))*POWER(CHslave,SIGN(IG257))*POWER(FFslave,SIGN(IH257))*POWER(KOslave,SIGN(IJ257))*POWER(KKslave_KK,SIGN(IK257))+IJ257*POWER(MUslave,SIGN(ID257))*POWER(KLslave,SIGN(IE257))*POWER(INslave,SIGN(IF257))*POWER(CHslave,SIGN(IG257))*POWER(FFslave,SIGN(IH257))*POWER(GEslave,SIGN(II257))*POWER(KKslave_KK,SIGN(IK257))+IK257*POWER(MUslave,SIGN(ID257))*POWER(KLslave,SIGN(IE257))*POWER(INslave,SIGN(IF257))*POWER(CHslave,SIGN(IG257))*POWER(FFslave,SIGN(IH257))*POWER(GEslave,SIGN(II257))*POWER(KOslave,SIGN(IJ257))</f>
        <v>2304</v>
      </c>
      <c r="IP257" s="235">
        <f>IE257*IF257*CHslave+IE257*INslave*IG257+KLslave*IF257*IG257</f>
        <v>3456</v>
      </c>
      <c r="IQ257" s="227">
        <f>IFERROR(ID257^SIGN(ID257),1)*IFERROR(IE257^SIGN(IE257),1)*IFERROR(IF257^SIGN(IF257),1)*IFERROR(IG257^SIGN(IG257),1)*IFERROR(IH257^SIGN(IH257),1)*IFERROR(II257^SIGN(II257),1)*IFERROR(IJ257^SIGN(IJ257),1)*IFERROR(IK257^SIGN(IK257),1)</f>
        <v>1728</v>
      </c>
      <c r="IR257" s="227">
        <f t="shared" si="1792"/>
        <v>7488</v>
      </c>
      <c r="IS257" s="225">
        <f t="shared" si="1731"/>
        <v>3.6923076923076925</v>
      </c>
      <c r="IT257" s="226">
        <f t="shared" si="1732"/>
        <v>11.076923076923077</v>
      </c>
      <c r="IU257" s="245">
        <f t="shared" si="1733"/>
        <v>8.3076923076923084</v>
      </c>
      <c r="IV257" s="245">
        <f t="shared" si="1734"/>
        <v>23.07692307692308</v>
      </c>
      <c r="IW257" s="252">
        <f t="shared" si="1612"/>
        <v>0</v>
      </c>
      <c r="IX257" s="309">
        <f t="shared" si="1735"/>
        <v>23.07692307692308</v>
      </c>
      <c r="IY257" s="246">
        <f>IF(IV257&lt;=0,2,0)+IF(IV257&gt;0,IV257+1,0)*2+IF(IV257&gt;12,IV257-12,0)*2+IF(IV257&gt;13,IV257-13,0)*2+IF(IV257&gt;14,IV257-14,0)*2+IF(IV257&gt;15,IV257-15,0)*2+IF(IV257&gt;16,IV257-16,0)*2+IF(IV257&gt;17,IV257-17,0)*2+IF(IV257&gt;18,IV257-18,0)*2+IF(IV257&gt;19,IV257-19,0)*2+IF(IV257&gt;20,IV257-20,0)*2</f>
        <v>175.5384615384616</v>
      </c>
      <c r="IZ257" s="244">
        <f>IF(IW257&lt;=0,2,0)+IF(IW257&gt;0,IW257+1,0)*2+IF(IW257&gt;12,IW257-12,0)*2+IF(IW257&gt;13,IW257-13,0)*2+IF(IW257&gt;14,IW257-14,0)*2+IF(IW257&gt;15,IW257-15,0)*2+IF(IW257&gt;16,IW257-16,0)*2+IF(IW257&gt;17,IW257-17,0)*2+IF(IW257&gt;18,IW257-18,0)*2+IF(IW257&gt;19,IW257-19,0)*2+IF(IW257&gt;20,IW257-20,0)*2</f>
        <v>2</v>
      </c>
      <c r="JA257" s="245">
        <f t="shared" si="1736"/>
        <v>173.5384615384616</v>
      </c>
      <c r="JB257" s="246">
        <f t="shared" si="1737"/>
        <v>0</v>
      </c>
      <c r="JE257" s="148"/>
    </row>
    <row r="258" spans="2:265" hidden="1" outlineLevel="1" collapsed="1">
      <c r="B258" s="134" t="s">
        <v>407</v>
      </c>
      <c r="C258" s="307" t="s">
        <v>281</v>
      </c>
      <c r="D258" s="84" t="s">
        <v>279</v>
      </c>
      <c r="E258" s="84" t="s">
        <v>280</v>
      </c>
      <c r="Y258" s="251"/>
      <c r="Z258" s="197"/>
      <c r="AF258" s="83" t="s">
        <v>281</v>
      </c>
      <c r="AG258" s="84" t="s">
        <v>279</v>
      </c>
      <c r="AH258" s="84" t="s">
        <v>280</v>
      </c>
      <c r="BB258" s="197"/>
      <c r="BC258" s="197"/>
      <c r="BI258" s="307" t="s">
        <v>281</v>
      </c>
      <c r="BJ258" s="308" t="s">
        <v>279</v>
      </c>
      <c r="BK258" s="308" t="s">
        <v>280</v>
      </c>
      <c r="CE258" s="251"/>
      <c r="CF258" s="251"/>
      <c r="CL258" s="307" t="s">
        <v>281</v>
      </c>
      <c r="CM258" s="308" t="s">
        <v>279</v>
      </c>
      <c r="CN258" s="308" t="s">
        <v>280</v>
      </c>
      <c r="DH258" s="251"/>
      <c r="DI258" s="251"/>
      <c r="DO258" s="307" t="s">
        <v>281</v>
      </c>
      <c r="DP258" s="308" t="s">
        <v>279</v>
      </c>
      <c r="DQ258" s="308" t="s">
        <v>280</v>
      </c>
      <c r="EK258" s="251"/>
      <c r="EL258" s="251"/>
      <c r="ER258" s="307" t="s">
        <v>281</v>
      </c>
      <c r="ES258" s="308" t="s">
        <v>279</v>
      </c>
      <c r="ET258" s="308" t="s">
        <v>280</v>
      </c>
      <c r="FN258" s="251"/>
      <c r="FO258" s="251"/>
      <c r="FU258" s="307" t="s">
        <v>281</v>
      </c>
      <c r="FV258" s="308" t="s">
        <v>279</v>
      </c>
      <c r="FW258" s="308" t="s">
        <v>280</v>
      </c>
      <c r="GQ258" s="251"/>
      <c r="GR258" s="251"/>
      <c r="GX258" s="307" t="s">
        <v>281</v>
      </c>
      <c r="GY258" s="308" t="s">
        <v>279</v>
      </c>
      <c r="GZ258" s="308" t="s">
        <v>280</v>
      </c>
      <c r="HT258" s="251"/>
      <c r="HU258" s="251"/>
      <c r="IA258" s="307" t="s">
        <v>281</v>
      </c>
      <c r="IB258" s="308" t="s">
        <v>279</v>
      </c>
      <c r="IC258" s="308" t="s">
        <v>280</v>
      </c>
      <c r="IW258" s="251"/>
      <c r="IX258" s="251"/>
      <c r="JE258" s="148"/>
    </row>
    <row r="259" spans="2:265" ht="15" hidden="1" customHeight="1" outlineLevel="2">
      <c r="B259" s="148">
        <v>1</v>
      </c>
      <c r="C259" s="321" t="e">
        <f>VLOOKUP(AF259,Attribute!C:T,1,FALSE)</f>
        <v>#N/A</v>
      </c>
      <c r="D259" s="186" t="s">
        <v>436</v>
      </c>
      <c r="E259" s="40" t="s">
        <v>134</v>
      </c>
      <c r="F259" s="17">
        <f>Konvention_1master-MUmaster</f>
        <v>12</v>
      </c>
      <c r="G259" s="183"/>
      <c r="H259" s="183">
        <f>Konvention_1master-INmaster</f>
        <v>12</v>
      </c>
      <c r="I259" s="183"/>
      <c r="J259" s="183"/>
      <c r="K259" s="183"/>
      <c r="L259" s="183"/>
      <c r="M259" s="180">
        <f>Konvention_1master-KKmaster</f>
        <v>12</v>
      </c>
      <c r="N259" s="230">
        <f>(F259+G259+H259+I259+J259+K259+L259+M259)/3</f>
        <v>12</v>
      </c>
      <c r="O259" s="231">
        <f>2*N259</f>
        <v>24</v>
      </c>
      <c r="P259" s="232">
        <f>3*N259</f>
        <v>36</v>
      </c>
      <c r="Q259" s="239">
        <f>F259*POWER(KLmaster,SIGN(G259))*POWER(INmaster,SIGN(H259))*POWER(CHmaster,SIGN(I259))*POWER(FFmaster,SIGN(J259))*POWER(GEmaster,SIGN(K259))*POWER(KOmaster,SIGN(L259))*POWER(KKmaster,SIGN(M259))+G259*POWER(MUmaster,SIGN(F259))*POWER(INmaster,SIGN(H259))*POWER(CHmaster,SIGN(I259))*POWER(FFmaster,SIGN(J259))*POWER(GEmaster,SIGN(K259))*POWER(KOmaster,SIGN(L259))*POWER(KKmaster,SIGN(M259))+H259*POWER(MUmaster,SIGN(F259))*POWER(KLmaster,SIGN(G259))*POWER(CHmaster,SIGN(I259))*POWER(FFmaster,SIGN(J259))*POWER(GEmaster,SIGN(K259))*POWER(KOmaster,SIGN(L259))*POWER(KKmaster,SIGN(M259))+I259*POWER(MUmaster,SIGN(F259))*POWER(KLmaster,SIGN(G259))*POWER(INmaster,SIGN(H259))*POWER(FFmaster,SIGN(J259))*POWER(GEmaster,SIGN(K259))*POWER(KOmaster,SIGN(L259))*POWER(KKmaster,SIGN(M259))+J259*POWER(MUmaster,SIGN(F259))*POWER(KLmaster,SIGN(G259))*POWER(INmaster,SIGN(H259))*POWER(CHmaster,SIGN(I259))*POWER(GEmaster,SIGN(K259))*POWER(KOmaster,SIGN(L259))*POWER(KKmaster,SIGN(M259))+K259*POWER(MUmaster,SIGN(F259))*POWER(KLmaster,SIGN(G259))*POWER(INmaster,SIGN(H259))*POWER(CHmaster,SIGN(I259))*POWER(FFmaster,SIGN(J259))*POWER(KOmaster,SIGN(L259))*POWER(KKmaster,SIGN(M259))+L259*POWER(MUmaster,SIGN(F259))*POWER(KLmaster,SIGN(G259))*POWER(INmaster,SIGN(H259))*POWER(CHmaster,SIGN(I259))*POWER(FFmaster,SIGN(J259))*POWER(GEmaster,SIGN(K259))*POWER(KKmaster,SIGN(M259))+M259*POWER(MUmaster,SIGN(F259))*POWER(KLmaster,SIGN(G259))*POWER(INmaster,SIGN(H259))*POWER(CHmaster,SIGN(I259))*POWER(FFmaster,SIGN(J259))*POWER(GEmaster,SIGN(K259))*POWER(KOmaster,SIGN(L259))</f>
        <v>2304</v>
      </c>
      <c r="R259" s="188">
        <f>F259*H259*KKmaster+F259*INmaster*M259+MUmaster*H259*M259</f>
        <v>3456</v>
      </c>
      <c r="S259" s="232">
        <f>IFERROR(F259^SIGN(F259),1)*IFERROR(G259^SIGN(G259),1)*IFERROR(H259^SIGN(H259),1)*IFERROR(I259^SIGN(I259),1)*IFERROR(J259^SIGN(J259),1)*IFERROR(K259^SIGN(K259),1)*IFERROR(L259^SIGN(L259),1)*IFERROR(M259^SIGN(M259),1)</f>
        <v>1728</v>
      </c>
      <c r="T259" s="79">
        <f>SUM(Q259:S259)</f>
        <v>7488</v>
      </c>
      <c r="U259" s="230">
        <f>N259*Q259/T259</f>
        <v>3.6923076923076925</v>
      </c>
      <c r="V259" s="231">
        <f>O259*R259/T259</f>
        <v>11.076923076923077</v>
      </c>
      <c r="W259" s="247">
        <f>P259*S259/T259</f>
        <v>8.3076923076923084</v>
      </c>
      <c r="X259" s="247">
        <f>SUM(U259:W259)</f>
        <v>23.07692307692308</v>
      </c>
      <c r="Y259" s="252">
        <v>0</v>
      </c>
      <c r="Z259" s="198">
        <f>X259-Y259</f>
        <v>23.07692307692308</v>
      </c>
      <c r="AA259" s="40">
        <f>IF(X259&lt;=0,4,0)+IF(X259&gt;0,X259+1,0)*4+IF(X259&gt;12,X259-12,0)*4+IF(X259&gt;13,X259-13,0)*4+IF(X259&gt;14,X259-14,0)*4+IF(X259&gt;15,X259-15,0)*4+IF(X259&gt;16,X259-16,0)*4+IF(X259&gt;17,X259-17,0)*4+IF(X259&gt;18,X259-18,0)*4+IF(X259&gt;19,X259-19,0)*4+IF(X259&gt;20,X259-20,0)*4</f>
        <v>351.07692307692321</v>
      </c>
      <c r="AB259" s="189">
        <f>IF(Y259&lt;=0,4,0)+IF(Y259&gt;0,Y259+1,0)*4+IF(Y259&gt;12,Y259-12,0)*4+IF(Y259&gt;13,Y259-13,0)*4+IF(Y259&gt;14,Y259-14,0)*4+IF(Y259&gt;15,Y259-15,0)*4+IF(Y259&gt;16,Y259-16,0)*4+IF(Y259&gt;17,Y259-17,0)*4+IF(Y259&gt;18,Y259-18,0)*4+IF(Y259&gt;19,Y259-19,0)*4+IF(Y259&gt;20,Y259-20,0)*4</f>
        <v>4</v>
      </c>
      <c r="AC259" s="182">
        <f>IF((AA259-AB259)&gt;0,AA259-AB259,0)</f>
        <v>347.07692307692321</v>
      </c>
      <c r="AD259" s="40">
        <f>IF((AB259-AA259)&gt;0,AB259-AA259,0)</f>
        <v>0</v>
      </c>
      <c r="AF259" s="181" t="s">
        <v>380</v>
      </c>
      <c r="AG259" s="186" t="s">
        <v>436</v>
      </c>
      <c r="AH259" s="40" t="s">
        <v>134</v>
      </c>
      <c r="AI259" s="17">
        <f>Konvention_1slave-MUslave_MU</f>
        <v>11</v>
      </c>
      <c r="AJ259" s="183"/>
      <c r="AK259" s="183">
        <f>Konvention_1slave-INslave</f>
        <v>12</v>
      </c>
      <c r="AL259" s="183"/>
      <c r="AM259" s="183"/>
      <c r="AN259" s="183"/>
      <c r="AO259" s="183"/>
      <c r="AP259" s="180">
        <f>Konvention_1slave-KKslave</f>
        <v>12</v>
      </c>
      <c r="AQ259" s="166">
        <f>(AI259+AJ259+AK259+AL259+AM259+AN259+AO259+AP259)/3</f>
        <v>11.666666666666666</v>
      </c>
      <c r="AR259" s="32">
        <f>2*AQ259</f>
        <v>23.333333333333332</v>
      </c>
      <c r="AS259" s="187">
        <f>3*AQ259</f>
        <v>35</v>
      </c>
      <c r="AT259" s="17">
        <f>AI259*POWER(KLslave,SIGN(AJ259))*POWER(INslave,SIGN(AK259))*POWER(CHslave,SIGN(AL259))*POWER(FFslave,SIGN(AM259))*POWER(GEslave,SIGN(AN259))*POWER(KOslave,SIGN(AO259))*POWER(KKslave,SIGN(AP259))+AJ259*POWER(MUslave_MU,SIGN(AI259))*POWER(INslave,SIGN(AK259))*POWER(CHslave,SIGN(AL259))*POWER(FFslave,SIGN(AM259))*POWER(GEslave,SIGN(AN259))*POWER(KOslave,SIGN(AO259))*POWER(KKslave,SIGN(AP259))+AK259*POWER(MUslave_MU,SIGN(AI259))*POWER(KLslave,SIGN(AJ259))*POWER(CHslave,SIGN(AL259))*POWER(FFslave,SIGN(AM259))*POWER(GEslave,SIGN(AN259))*POWER(KOslave,SIGN(AO259))*POWER(KKslave,SIGN(AP259))+AL259*POWER(MUslave_MU,SIGN(AI259))*POWER(KLslave,SIGN(AJ259))*POWER(INslave,SIGN(AK259))*POWER(FFslave,SIGN(AM259))*POWER(GEslave,SIGN(AN259))*POWER(KOslave,SIGN(AO259))*POWER(KKslave,SIGN(AP259))+AM259*POWER(MUslave_MU,SIGN(AI259))*POWER(KLslave,SIGN(AJ259))*POWER(INslave,SIGN(AK259))*POWER(CHslave,SIGN(AL259))*POWER(GEslave,SIGN(AN259))*POWER(KOslave,SIGN(AO259))*POWER(KKslave,SIGN(AP259))+AN259*POWER(MUslave_MU,SIGN(AI259))*POWER(KLslave,SIGN(AJ259))*POWER(INslave,SIGN(AK259))*POWER(CHslave,SIGN(AL259))*POWER(FFslave,SIGN(AM259))*POWER(KOslave,SIGN(AO259))*POWER(KKslave,SIGN(AP259))+AO259*POWER(MUslave_MU,SIGN(AI259))*POWER(KLslave,SIGN(AJ259))*POWER(INslave,SIGN(AK259))*POWER(CHslave,SIGN(AL259))*POWER(FFslave,SIGN(AM259))*POWER(GEslave,SIGN(AN259))*POWER(KKslave,SIGN(AP259))+AP259*POWER(MUslave_MU,SIGN(AI259))*POWER(KLslave,SIGN(AJ259))*POWER(INslave,SIGN(AK259))*POWER(CHslave,SIGN(AL259))*POWER(FFslave,SIGN(AM259))*POWER(GEslave,SIGN(AN259))*POWER(KOslave,SIGN(AO259))</f>
        <v>2432</v>
      </c>
      <c r="AU259" s="188">
        <f>AI259*AK259*KKslave+AI259*INslave*AP259+MUslave_MU*AK259*AP259</f>
        <v>3408</v>
      </c>
      <c r="AV259" s="180">
        <f>IFERROR(AI259^SIGN(AI259),1)*IFERROR(AJ259^SIGN(AJ259),1)*IFERROR(AK259^SIGN(AK259),1)*IFERROR(AL259^SIGN(AL259),1)*IFERROR(AM259^SIGN(AM259),1)*IFERROR(AN259^SIGN(AN259),1)*IFERROR(AO259^SIGN(AO259),1)*IFERROR(AP259^SIGN(AP259),1)</f>
        <v>1584</v>
      </c>
      <c r="AW259" s="189">
        <f>SUM(AT259:AV259)</f>
        <v>7424</v>
      </c>
      <c r="AX259" s="166">
        <f>AQ259*AT259/AW259</f>
        <v>3.8218390804597702</v>
      </c>
      <c r="AY259" s="179">
        <f>AR259*AU259/AW259</f>
        <v>10.711206896551724</v>
      </c>
      <c r="AZ259" s="182">
        <f>AS259*AV259/AW259</f>
        <v>7.4676724137931032</v>
      </c>
      <c r="BA259" s="182">
        <f>SUM(AX259:AZ259)</f>
        <v>22.000718390804597</v>
      </c>
      <c r="BB259" s="165">
        <f>Y259</f>
        <v>0</v>
      </c>
      <c r="BC259" s="198">
        <f>BA259-BB259</f>
        <v>22.000718390804597</v>
      </c>
      <c r="BD259" s="40">
        <f>IF(BA259&lt;=0,4,0)+IF(BA259&gt;0,BA259+1,0)*4+IF(BA259&gt;12,BA259-12,0)*4+IF(BA259&gt;13,BA259-13,0)*4+IF(BA259&gt;14,BA259-14,0)*4+IF(BA259&gt;15,BA259-15,0)*4+IF(BA259&gt;16,BA259-16,0)*4+IF(BA259&gt;17,BA259-17,0)*4+IF(BA259&gt;18,BA259-18,0)*4+IF(BA259&gt;19,BA259-19,0)*4+IF(BA259&gt;20,BA259-20,0)*4</f>
        <v>308.02873563218378</v>
      </c>
      <c r="BE259" s="189">
        <f>IF(BB259&lt;=0,4,0)+IF(BB259&gt;0,BB259+1,0)*4+IF(BB259&gt;12,BB259-12,0)*4+IF(BB259&gt;13,BB259-13,0)*4+IF(BB259&gt;14,BB259-14,0)*4+IF(BB259&gt;15,BB259-15,0)*4+IF(BB259&gt;16,BB259-16,0)*4+IF(BB259&gt;17,BB259-17,0)*4+IF(BB259&gt;18,BB259-18,0)*4+IF(BB259&gt;19,BB259-19,0)*4+IF(BB259&gt;20,BB259-20,0)*4</f>
        <v>4</v>
      </c>
      <c r="BF259" s="247">
        <f>IF((BD259-BE259)&gt;0,BD259-BE259,0)</f>
        <v>304.02873563218378</v>
      </c>
      <c r="BG259" s="45">
        <f>IF((BE259-BD259)&gt;0,BE259-BD259,0)</f>
        <v>0</v>
      </c>
      <c r="BI259" s="321" t="s">
        <v>380</v>
      </c>
      <c r="BJ259" s="46" t="s">
        <v>436</v>
      </c>
      <c r="BK259" s="45" t="s">
        <v>134</v>
      </c>
      <c r="BL259" s="239">
        <f>Konvention_1slave-MUslave</f>
        <v>12</v>
      </c>
      <c r="BM259" s="240"/>
      <c r="BN259" s="240">
        <f>Konvention_1slave-INslave</f>
        <v>12</v>
      </c>
      <c r="BO259" s="240"/>
      <c r="BP259" s="240"/>
      <c r="BQ259" s="240"/>
      <c r="BR259" s="240"/>
      <c r="BS259" s="232">
        <f>Konvention_1slave-KKslave</f>
        <v>12</v>
      </c>
      <c r="BT259" s="230">
        <f>(BL259+BM259+BN259+BO259+BP259+BQ259+BR259+BS259)/3</f>
        <v>12</v>
      </c>
      <c r="BU259" s="231">
        <f>2*BT259</f>
        <v>24</v>
      </c>
      <c r="BV259" s="232">
        <f>3*BT259</f>
        <v>36</v>
      </c>
      <c r="BW259" s="239">
        <f>BL259*POWER(KLslave_KL,SIGN(BM259))*POWER(INslave,SIGN(BN259))*POWER(CHslave,SIGN(BO259))*POWER(FFslave,SIGN(BP259))*POWER(GEslave,SIGN(BQ259))*POWER(KOslave,SIGN(BR259))*POWER(KKslave,SIGN(BS259))+BM259*POWER(MUslave,SIGN(BL259))*POWER(INslave,SIGN(BN259))*POWER(CHslave,SIGN(BO259))*POWER(FFslave,SIGN(BP259))*POWER(GEslave,SIGN(BQ259))*POWER(KOslave,SIGN(BR259))*POWER(KKslave,SIGN(BS259))+BN259*POWER(MUslave,SIGN(BL259))*POWER(KLslave_KL,SIGN(BM259))*POWER(CHslave,SIGN(BO259))*POWER(FFslave,SIGN(BP259))*POWER(GEslave,SIGN(BQ259))*POWER(KOslave,SIGN(BR259))*POWER(KKslave,SIGN(BS259))+BO259*POWER(MUslave,SIGN(BL259))*POWER(KLslave_KL,SIGN(BM259))*POWER(INslave,SIGN(BN259))*POWER(FFslave,SIGN(BP259))*POWER(GEslave,SIGN(BQ259))*POWER(KOslave,SIGN(BR259))*POWER(KKslave,SIGN(BS259))+BP259*POWER(MUslave,SIGN(BL259))*POWER(KLslave_KL,SIGN(BM259))*POWER(INslave,SIGN(BN259))*POWER(CHslave,SIGN(BO259))*POWER(GEslave,SIGN(BQ259))*POWER(KOslave,SIGN(BR259))*POWER(KKslave,SIGN(BS259))+BQ259*POWER(MUslave,SIGN(BL259))*POWER(KLslave_KL,SIGN(BM259))*POWER(INslave,SIGN(BN259))*POWER(CHslave,SIGN(BO259))*POWER(FFslave,SIGN(BP259))*POWER(KOslave,SIGN(BR259))*POWER(KKslave,SIGN(BS259))+BR259*POWER(MUslave,SIGN(BL259))*POWER(KLslave_KL,SIGN(BM259))*POWER(INslave,SIGN(BN259))*POWER(CHslave,SIGN(BO259))*POWER(FFslave,SIGN(BP259))*POWER(GEslave,SIGN(BQ259))*POWER(KKslave,SIGN(BS259))+BS259*POWER(MUslave,SIGN(BL259))*POWER(KLslave_KL,SIGN(BM259))*POWER(INslave,SIGN(BN259))*POWER(CHslave,SIGN(BO259))*POWER(FFslave,SIGN(BP259))*POWER(GEslave,SIGN(BQ259))*POWER(KOslave,SIGN(BR259))</f>
        <v>2304</v>
      </c>
      <c r="BX259" s="322">
        <f>BL259*BN259*KKslave+BL259*INslave*BS259+MUslave*BN259*BS259</f>
        <v>3456</v>
      </c>
      <c r="BY259" s="232">
        <f>IFERROR(BL259^SIGN(BL259),1)*IFERROR(BM259^SIGN(BM259),1)*IFERROR(BN259^SIGN(BN259),1)*IFERROR(BO259^SIGN(BO259),1)*IFERROR(BP259^SIGN(BP259),1)*IFERROR(BQ259^SIGN(BQ259),1)*IFERROR(BR259^SIGN(BR259),1)*IFERROR(BS259^SIGN(BS259),1)</f>
        <v>1728</v>
      </c>
      <c r="BZ259" s="79">
        <f>SUM(BW259:BY259)</f>
        <v>7488</v>
      </c>
      <c r="CA259" s="230">
        <f>BT259*BW259/BZ259</f>
        <v>3.6923076923076925</v>
      </c>
      <c r="CB259" s="231">
        <f>BU259*BX259/BZ259</f>
        <v>11.076923076923077</v>
      </c>
      <c r="CC259" s="247">
        <f>BV259*BY259/BZ259</f>
        <v>8.3076923076923084</v>
      </c>
      <c r="CD259" s="247">
        <f>SUM(CA259:CC259)</f>
        <v>23.07692307692308</v>
      </c>
      <c r="CE259" s="252">
        <f>BB259</f>
        <v>0</v>
      </c>
      <c r="CF259" s="309">
        <f>CD259-CE259</f>
        <v>23.07692307692308</v>
      </c>
      <c r="CG259" s="45">
        <f>IF(CD259&lt;=0,4,0)+IF(CD259&gt;0,CD259+1,0)*4+IF(CD259&gt;12,CD259-12,0)*4+IF(CD259&gt;13,CD259-13,0)*4+IF(CD259&gt;14,CD259-14,0)*4+IF(CD259&gt;15,CD259-15,0)*4+IF(CD259&gt;16,CD259-16,0)*4+IF(CD259&gt;17,CD259-17,0)*4+IF(CD259&gt;18,CD259-18,0)*4+IF(CD259&gt;19,CD259-19,0)*4+IF(CD259&gt;20,CD259-20,0)*4</f>
        <v>351.07692307692321</v>
      </c>
      <c r="CH259" s="79">
        <f>IF(CE259&lt;=0,4,0)+IF(CE259&gt;0,CE259+1,0)*4+IF(CE259&gt;12,CE259-12,0)*4+IF(CE259&gt;13,CE259-13,0)*4+IF(CE259&gt;14,CE259-14,0)*4+IF(CE259&gt;15,CE259-15,0)*4+IF(CE259&gt;16,CE259-16,0)*4+IF(CE259&gt;17,CE259-17,0)*4+IF(CE259&gt;18,CE259-18,0)*4+IF(CE259&gt;19,CE259-19,0)*4+IF(CE259&gt;20,CE259-20,0)*4</f>
        <v>4</v>
      </c>
      <c r="CI259" s="247">
        <f>IF((CG259-CH259)&gt;0,CG259-CH259,0)</f>
        <v>347.07692307692321</v>
      </c>
      <c r="CJ259" s="45">
        <f>IF((CH259-CG259)&gt;0,CH259-CG259,0)</f>
        <v>0</v>
      </c>
      <c r="CL259" s="321" t="s">
        <v>380</v>
      </c>
      <c r="CM259" s="46" t="s">
        <v>436</v>
      </c>
      <c r="CN259" s="45" t="s">
        <v>134</v>
      </c>
      <c r="CO259" s="239">
        <f>Konvention_1slave-MUslave</f>
        <v>12</v>
      </c>
      <c r="CP259" s="240"/>
      <c r="CQ259" s="240">
        <f>Konvention_1slave-INslave_IN</f>
        <v>11</v>
      </c>
      <c r="CR259" s="240"/>
      <c r="CS259" s="240"/>
      <c r="CT259" s="240"/>
      <c r="CU259" s="240"/>
      <c r="CV259" s="232">
        <f>Konvention_1slave-KKslave</f>
        <v>12</v>
      </c>
      <c r="CW259" s="230">
        <f>(CO259+CP259+CQ259+CR259+CS259+CT259+CU259+CV259)/3</f>
        <v>11.666666666666666</v>
      </c>
      <c r="CX259" s="231">
        <f>2*CW259</f>
        <v>23.333333333333332</v>
      </c>
      <c r="CY259" s="232">
        <f>3*CW259</f>
        <v>35</v>
      </c>
      <c r="CZ259" s="239">
        <f>CO259*POWER(KLslave,SIGN(CP259))*POWER(INslave_IN,SIGN(CQ259))*POWER(CHslave,SIGN(CR259))*POWER(FFslave,SIGN(CS259))*POWER(GEslave,SIGN(CT259))*POWER(KOslave,SIGN(CU259))*POWER(KKslave,SIGN(CV259))+CP259*POWER(MUslave,SIGN(CO259))*POWER(INslave_IN,SIGN(CQ259))*POWER(CHslave,SIGN(CR259))*POWER(FFslave,SIGN(CS259))*POWER(GEslave,SIGN(CT259))*POWER(KOslave,SIGN(CU259))*POWER(KKslave,SIGN(CV259))+CQ259*POWER(MUslave,SIGN(CO259))*POWER(KLslave,SIGN(CP259))*POWER(CHslave,SIGN(CR259))*POWER(FFslave,SIGN(CS259))*POWER(GEslave,SIGN(CT259))*POWER(KOslave,SIGN(CU259))*POWER(KKslave,SIGN(CV259))+CR259*POWER(MUslave,SIGN(CO259))*POWER(KLslave,SIGN(CP259))*POWER(INslave_IN,SIGN(CQ259))*POWER(FFslave,SIGN(CS259))*POWER(GEslave,SIGN(CT259))*POWER(KOslave,SIGN(CU259))*POWER(KKslave,SIGN(CV259))+CS259*POWER(MUslave,SIGN(CO259))*POWER(KLslave,SIGN(CP259))*POWER(INslave_IN,SIGN(CQ259))*POWER(CHslave,SIGN(CR259))*POWER(GEslave,SIGN(CT259))*POWER(KOslave,SIGN(CU259))*POWER(KKslave,SIGN(CV259))+CT259*POWER(MUslave,SIGN(CO259))*POWER(KLslave,SIGN(CP259))*POWER(INslave_IN,SIGN(CQ259))*POWER(CHslave,SIGN(CR259))*POWER(FFslave,SIGN(CS259))*POWER(KOslave,SIGN(CU259))*POWER(KKslave,SIGN(CV259))+CU259*POWER(MUslave,SIGN(CO259))*POWER(KLslave,SIGN(CP259))*POWER(INslave_IN,SIGN(CQ259))*POWER(CHslave,SIGN(CR259))*POWER(FFslave,SIGN(CS259))*POWER(GEslave,SIGN(CT259))*POWER(KKslave,SIGN(CV259))+CV259*POWER(MUslave,SIGN(CO259))*POWER(KLslave,SIGN(CP259))*POWER(INslave_IN,SIGN(CQ259))*POWER(CHslave,SIGN(CR259))*POWER(FFslave,SIGN(CS259))*POWER(GEslave,SIGN(CT259))*POWER(KOslave,SIGN(CU259))</f>
        <v>2432</v>
      </c>
      <c r="DA259" s="322">
        <f>CO259*CQ259*KKslave+CO259*INslave_IN*CV259+MUslave*CQ259*CV259</f>
        <v>3408</v>
      </c>
      <c r="DB259" s="232">
        <f>IFERROR(CO259^SIGN(CO259),1)*IFERROR(CP259^SIGN(CP259),1)*IFERROR(CQ259^SIGN(CQ259),1)*IFERROR(CR259^SIGN(CR259),1)*IFERROR(CS259^SIGN(CS259),1)*IFERROR(CT259^SIGN(CT259),1)*IFERROR(CU259^SIGN(CU259),1)*IFERROR(CV259^SIGN(CV259),1)</f>
        <v>1584</v>
      </c>
      <c r="DC259" s="79">
        <f>SUM(CZ259:DB259)</f>
        <v>7424</v>
      </c>
      <c r="DD259" s="230">
        <f>CW259*CZ259/DC259</f>
        <v>3.8218390804597702</v>
      </c>
      <c r="DE259" s="231">
        <f>CX259*DA259/DC259</f>
        <v>10.711206896551724</v>
      </c>
      <c r="DF259" s="247">
        <f>CY259*DB259/DC259</f>
        <v>7.4676724137931032</v>
      </c>
      <c r="DG259" s="247">
        <f>SUM(DD259:DF259)</f>
        <v>22.000718390804597</v>
      </c>
      <c r="DH259" s="252">
        <f>CE259</f>
        <v>0</v>
      </c>
      <c r="DI259" s="309">
        <f>DG259-DH259</f>
        <v>22.000718390804597</v>
      </c>
      <c r="DJ259" s="45">
        <f>IF(DG259&lt;=0,4,0)+IF(DG259&gt;0,DG259+1,0)*4+IF(DG259&gt;12,DG259-12,0)*4+IF(DG259&gt;13,DG259-13,0)*4+IF(DG259&gt;14,DG259-14,0)*4+IF(DG259&gt;15,DG259-15,0)*4+IF(DG259&gt;16,DG259-16,0)*4+IF(DG259&gt;17,DG259-17,0)*4+IF(DG259&gt;18,DG259-18,0)*4+IF(DG259&gt;19,DG259-19,0)*4+IF(DG259&gt;20,DG259-20,0)*4</f>
        <v>308.02873563218378</v>
      </c>
      <c r="DK259" s="79">
        <f>IF(DH259&lt;=0,4,0)+IF(DH259&gt;0,DH259+1,0)*4+IF(DH259&gt;12,DH259-12,0)*4+IF(DH259&gt;13,DH259-13,0)*4+IF(DH259&gt;14,DH259-14,0)*4+IF(DH259&gt;15,DH259-15,0)*4+IF(DH259&gt;16,DH259-16,0)*4+IF(DH259&gt;17,DH259-17,0)*4+IF(DH259&gt;18,DH259-18,0)*4+IF(DH259&gt;19,DH259-19,0)*4+IF(DH259&gt;20,DH259-20,0)*4</f>
        <v>4</v>
      </c>
      <c r="DL259" s="247">
        <f>IF((DJ259-DK259)&gt;0,DJ259-DK259,0)</f>
        <v>304.02873563218378</v>
      </c>
      <c r="DM259" s="45">
        <f>IF((DK259-DJ259)&gt;0,DK259-DJ259,0)</f>
        <v>0</v>
      </c>
      <c r="DO259" s="321" t="s">
        <v>380</v>
      </c>
      <c r="DP259" s="46" t="s">
        <v>436</v>
      </c>
      <c r="DQ259" s="45" t="s">
        <v>134</v>
      </c>
      <c r="DR259" s="239">
        <f>Konvention_1slave-MUslave</f>
        <v>12</v>
      </c>
      <c r="DS259" s="240"/>
      <c r="DT259" s="240">
        <f>Konvention_1slave-INslave</f>
        <v>12</v>
      </c>
      <c r="DU259" s="240"/>
      <c r="DV259" s="240"/>
      <c r="DW259" s="240"/>
      <c r="DX259" s="240"/>
      <c r="DY259" s="232">
        <f>Konvention_1slave-KKslave</f>
        <v>12</v>
      </c>
      <c r="DZ259" s="230">
        <f>(DR259+DS259+DT259+DU259+DV259+DW259+DX259+DY259)/3</f>
        <v>12</v>
      </c>
      <c r="EA259" s="231">
        <f>2*DZ259</f>
        <v>24</v>
      </c>
      <c r="EB259" s="232">
        <f>3*DZ259</f>
        <v>36</v>
      </c>
      <c r="EC259" s="239">
        <f>DR259*POWER(KLslave,SIGN(DS259))*POWER(INslave,SIGN(DT259))*POWER(CHslave_CH,SIGN(DU259))*POWER(FFslave,SIGN(DV259))*POWER(GEslave,SIGN(DW259))*POWER(KOslave,SIGN(DX259))*POWER(KKslave,SIGN(DY259))+DS259*POWER(MUslave,SIGN(DR259))*POWER(INslave,SIGN(DT259))*POWER(CHslave_CH,SIGN(DU259))*POWER(FFslave,SIGN(DV259))*POWER(GEslave,SIGN(DW259))*POWER(KOslave,SIGN(DX259))*POWER(KKslave,SIGN(DY259))+DT259*POWER(MUslave,SIGN(DR259))*POWER(KLslave,SIGN(DS259))*POWER(CHslave_CH,SIGN(DU259))*POWER(FFslave,SIGN(DV259))*POWER(GEslave,SIGN(DW259))*POWER(KOslave,SIGN(DX259))*POWER(KKslave,SIGN(DY259))+DU259*POWER(MUslave,SIGN(DR259))*POWER(KLslave,SIGN(DS259))*POWER(INslave,SIGN(DT259))*POWER(FFslave,SIGN(DV259))*POWER(GEslave,SIGN(DW259))*POWER(KOslave,SIGN(DX259))*POWER(KKslave,SIGN(DY259))+DV259*POWER(MUslave,SIGN(DR259))*POWER(KLslave,SIGN(DS259))*POWER(INslave,SIGN(DT259))*POWER(CHslave_CH,SIGN(DU259))*POWER(GEslave,SIGN(DW259))*POWER(KOslave,SIGN(DX259))*POWER(KKslave,SIGN(DY259))+DW259*POWER(MUslave,SIGN(DR259))*POWER(KLslave,SIGN(DS259))*POWER(INslave,SIGN(DT259))*POWER(CHslave_CH,SIGN(DU259))*POWER(FFslave,SIGN(DV259))*POWER(KOslave,SIGN(DX259))*POWER(KKslave,SIGN(DY259))+DX259*POWER(MUslave,SIGN(DR259))*POWER(KLslave,SIGN(DS259))*POWER(INslave,SIGN(DT259))*POWER(CHslave_CH,SIGN(DU259))*POWER(FFslave,SIGN(DV259))*POWER(GEslave,SIGN(DW259))*POWER(KKslave,SIGN(DY259))+DY259*POWER(MUslave,SIGN(DR259))*POWER(KLslave,SIGN(DS259))*POWER(INslave,SIGN(DT259))*POWER(CHslave_CH,SIGN(DU259))*POWER(FFslave,SIGN(DV259))*POWER(GEslave,SIGN(DW259))*POWER(KOslave,SIGN(DX259))</f>
        <v>2304</v>
      </c>
      <c r="ED259" s="322">
        <f>DR259*DT259*KKslave+DR259*INslave*DY259+MUslave*DT259*DY259</f>
        <v>3456</v>
      </c>
      <c r="EE259" s="232">
        <f>IFERROR(DR259^SIGN(DR259),1)*IFERROR(DS259^SIGN(DS259),1)*IFERROR(DT259^SIGN(DT259),1)*IFERROR(DU259^SIGN(DU259),1)*IFERROR(DV259^SIGN(DV259),1)*IFERROR(DW259^SIGN(DW259),1)*IFERROR(DX259^SIGN(DX259),1)*IFERROR(DY259^SIGN(DY259),1)</f>
        <v>1728</v>
      </c>
      <c r="EF259" s="79">
        <f>SUM(EC259:EE259)</f>
        <v>7488</v>
      </c>
      <c r="EG259" s="230">
        <f>DZ259*EC259/EF259</f>
        <v>3.6923076923076925</v>
      </c>
      <c r="EH259" s="231">
        <f>EA259*ED259/EF259</f>
        <v>11.076923076923077</v>
      </c>
      <c r="EI259" s="247">
        <f>EB259*EE259/EF259</f>
        <v>8.3076923076923084</v>
      </c>
      <c r="EJ259" s="247">
        <f>SUM(EG259:EI259)</f>
        <v>23.07692307692308</v>
      </c>
      <c r="EK259" s="252">
        <f>DH259</f>
        <v>0</v>
      </c>
      <c r="EL259" s="309">
        <f>EJ259-EK259</f>
        <v>23.07692307692308</v>
      </c>
      <c r="EM259" s="45">
        <f>IF(EJ259&lt;=0,4,0)+IF(EJ259&gt;0,EJ259+1,0)*4+IF(EJ259&gt;12,EJ259-12,0)*4+IF(EJ259&gt;13,EJ259-13,0)*4+IF(EJ259&gt;14,EJ259-14,0)*4+IF(EJ259&gt;15,EJ259-15,0)*4+IF(EJ259&gt;16,EJ259-16,0)*4+IF(EJ259&gt;17,EJ259-17,0)*4+IF(EJ259&gt;18,EJ259-18,0)*4+IF(EJ259&gt;19,EJ259-19,0)*4+IF(EJ259&gt;20,EJ259-20,0)*4</f>
        <v>351.07692307692321</v>
      </c>
      <c r="EN259" s="79">
        <f>IF(EK259&lt;=0,4,0)+IF(EK259&gt;0,EK259+1,0)*4+IF(EK259&gt;12,EK259-12,0)*4+IF(EK259&gt;13,EK259-13,0)*4+IF(EK259&gt;14,EK259-14,0)*4+IF(EK259&gt;15,EK259-15,0)*4+IF(EK259&gt;16,EK259-16,0)*4+IF(EK259&gt;17,EK259-17,0)*4+IF(EK259&gt;18,EK259-18,0)*4+IF(EK259&gt;19,EK259-19,0)*4+IF(EK259&gt;20,EK259-20,0)*4</f>
        <v>4</v>
      </c>
      <c r="EO259" s="247">
        <f>IF((EM259-EN259)&gt;0,EM259-EN259,0)</f>
        <v>347.07692307692321</v>
      </c>
      <c r="EP259" s="45">
        <f>IF((EN259-EM259)&gt;0,EN259-EM259,0)</f>
        <v>0</v>
      </c>
      <c r="ER259" s="321" t="s">
        <v>380</v>
      </c>
      <c r="ES259" s="46" t="s">
        <v>436</v>
      </c>
      <c r="ET259" s="45" t="s">
        <v>134</v>
      </c>
      <c r="EU259" s="239">
        <f>Konvention_1slave-MUslave</f>
        <v>12</v>
      </c>
      <c r="EV259" s="240"/>
      <c r="EW259" s="240">
        <f>Konvention_1slave-INslave</f>
        <v>12</v>
      </c>
      <c r="EX259" s="240"/>
      <c r="EY259" s="240"/>
      <c r="EZ259" s="240"/>
      <c r="FA259" s="240"/>
      <c r="FB259" s="232">
        <f>Konvention_1slave-KKslave</f>
        <v>12</v>
      </c>
      <c r="FC259" s="230">
        <f>(EU259+EV259+EW259+EX259+EY259+EZ259+FA259+FB259)/3</f>
        <v>12</v>
      </c>
      <c r="FD259" s="231">
        <f>2*FC259</f>
        <v>24</v>
      </c>
      <c r="FE259" s="232">
        <f>3*FC259</f>
        <v>36</v>
      </c>
      <c r="FF259" s="239">
        <f>EU259*POWER(KLslave,SIGN(EV259))*POWER(INslave,SIGN(EW259))*POWER(CHslave,SIGN(EX259))*POWER(FFslave_FF,SIGN(EY259))*POWER(GEslave,SIGN(EZ259))*POWER(KOslave,SIGN(FA259))*POWER(KKslave,SIGN(FB259))+EV259*POWER(MUslave,SIGN(EU259))*POWER(INslave,SIGN(EW259))*POWER(CHslave,SIGN(EX259))*POWER(FFslave_FF,SIGN(EY259))*POWER(GEslave,SIGN(EZ259))*POWER(KOslave,SIGN(FA259))*POWER(KKslave,SIGN(FB259))+EW259*POWER(MUslave,SIGN(EU259))*POWER(KLslave,SIGN(EV259))*POWER(CHslave,SIGN(EX259))*POWER(FFslave_FF,SIGN(EY259))*POWER(GEslave,SIGN(EZ259))*POWER(KOslave,SIGN(FA259))*POWER(KKslave,SIGN(FB259))+EX259*POWER(MUslave,SIGN(EU259))*POWER(KLslave,SIGN(EV259))*POWER(INslave,SIGN(EW259))*POWER(FFslave_FF,SIGN(EY259))*POWER(GEslave,SIGN(EZ259))*POWER(KOslave,SIGN(FA259))*POWER(KKslave,SIGN(FB259))+EY259*POWER(MUslave,SIGN(EU259))*POWER(KLslave,SIGN(EV259))*POWER(INslave,SIGN(EW259))*POWER(CHslave,SIGN(EX259))*POWER(GEslave,SIGN(EZ259))*POWER(KOslave,SIGN(FA259))*POWER(KKslave,SIGN(FB259))+EZ259*POWER(MUslave,SIGN(EU259))*POWER(KLslave,SIGN(EV259))*POWER(INslave,SIGN(EW259))*POWER(CHslave,SIGN(EX259))*POWER(FFslave_FF,SIGN(EY259))*POWER(KOslave,SIGN(FA259))*POWER(KKslave,SIGN(FB259))+FA259*POWER(MUslave,SIGN(EU259))*POWER(KLslave,SIGN(EV259))*POWER(INslave,SIGN(EW259))*POWER(CHslave,SIGN(EX259))*POWER(FFslave_FF,SIGN(EY259))*POWER(GEslave,SIGN(EZ259))*POWER(KKslave,SIGN(FB259))+FB259*POWER(MUslave,SIGN(EU259))*POWER(KLslave,SIGN(EV259))*POWER(INslave,SIGN(EW259))*POWER(CHslave,SIGN(EX259))*POWER(FFslave_FF,SIGN(EY259))*POWER(GEslave,SIGN(EZ259))*POWER(KOslave,SIGN(FA259))</f>
        <v>2304</v>
      </c>
      <c r="FG259" s="322">
        <f>EU259*EW259*KKslave+EU259*INslave*FB259+MUslave*EW259*FB259</f>
        <v>3456</v>
      </c>
      <c r="FH259" s="232">
        <f>IFERROR(EU259^SIGN(EU259),1)*IFERROR(EV259^SIGN(EV259),1)*IFERROR(EW259^SIGN(EW259),1)*IFERROR(EX259^SIGN(EX259),1)*IFERROR(EY259^SIGN(EY259),1)*IFERROR(EZ259^SIGN(EZ259),1)*IFERROR(FA259^SIGN(FA259),1)*IFERROR(FB259^SIGN(FB259),1)</f>
        <v>1728</v>
      </c>
      <c r="FI259" s="79">
        <f>SUM(FF259:FH259)</f>
        <v>7488</v>
      </c>
      <c r="FJ259" s="230">
        <f>FC259*FF259/FI259</f>
        <v>3.6923076923076925</v>
      </c>
      <c r="FK259" s="231">
        <f>FD259*FG259/FI259</f>
        <v>11.076923076923077</v>
      </c>
      <c r="FL259" s="247">
        <f>FE259*FH259/FI259</f>
        <v>8.3076923076923084</v>
      </c>
      <c r="FM259" s="247">
        <f>SUM(FJ259:FL259)</f>
        <v>23.07692307692308</v>
      </c>
      <c r="FN259" s="252">
        <f>EK259</f>
        <v>0</v>
      </c>
      <c r="FO259" s="309">
        <f>FM259-FN259</f>
        <v>23.07692307692308</v>
      </c>
      <c r="FP259" s="45">
        <f>IF(FM259&lt;=0,4,0)+IF(FM259&gt;0,FM259+1,0)*4+IF(FM259&gt;12,FM259-12,0)*4+IF(FM259&gt;13,FM259-13,0)*4+IF(FM259&gt;14,FM259-14,0)*4+IF(FM259&gt;15,FM259-15,0)*4+IF(FM259&gt;16,FM259-16,0)*4+IF(FM259&gt;17,FM259-17,0)*4+IF(FM259&gt;18,FM259-18,0)*4+IF(FM259&gt;19,FM259-19,0)*4+IF(FM259&gt;20,FM259-20,0)*4</f>
        <v>351.07692307692321</v>
      </c>
      <c r="FQ259" s="79">
        <f>IF(FN259&lt;=0,4,0)+IF(FN259&gt;0,FN259+1,0)*4+IF(FN259&gt;12,FN259-12,0)*4+IF(FN259&gt;13,FN259-13,0)*4+IF(FN259&gt;14,FN259-14,0)*4+IF(FN259&gt;15,FN259-15,0)*4+IF(FN259&gt;16,FN259-16,0)*4+IF(FN259&gt;17,FN259-17,0)*4+IF(FN259&gt;18,FN259-18,0)*4+IF(FN259&gt;19,FN259-19,0)*4+IF(FN259&gt;20,FN259-20,0)*4</f>
        <v>4</v>
      </c>
      <c r="FR259" s="247">
        <f>IF((FP259-FQ259)&gt;0,FP259-FQ259,0)</f>
        <v>347.07692307692321</v>
      </c>
      <c r="FS259" s="45">
        <f>IF((FQ259-FP259)&gt;0,FQ259-FP259,0)</f>
        <v>0</v>
      </c>
      <c r="FU259" s="321" t="s">
        <v>380</v>
      </c>
      <c r="FV259" s="46" t="s">
        <v>436</v>
      </c>
      <c r="FW259" s="45" t="s">
        <v>134</v>
      </c>
      <c r="FX259" s="239">
        <f>Konvention_1slave-MUslave</f>
        <v>12</v>
      </c>
      <c r="FY259" s="240"/>
      <c r="FZ259" s="240">
        <f>Konvention_1slave-INslave</f>
        <v>12</v>
      </c>
      <c r="GA259" s="240"/>
      <c r="GB259" s="240"/>
      <c r="GC259" s="240"/>
      <c r="GD259" s="240"/>
      <c r="GE259" s="232">
        <f>Konvention_1slave-KKslave</f>
        <v>12</v>
      </c>
      <c r="GF259" s="230">
        <f>(FX259+FY259+FZ259+GA259+GB259+GC259+GD259+GE259)/3</f>
        <v>12</v>
      </c>
      <c r="GG259" s="231">
        <f>2*GF259</f>
        <v>24</v>
      </c>
      <c r="GH259" s="232">
        <f>3*GF259</f>
        <v>36</v>
      </c>
      <c r="GI259" s="239">
        <f>FX259*POWER(KLslave,SIGN(FY259))*POWER(INslave,SIGN(FZ259))*POWER(CHslave,SIGN(GA259))*POWER(FFslave,SIGN(GB259))*POWER(GEslave_GE,SIGN(GC259))*POWER(KOslave,SIGN(GD259))*POWER(KKslave,SIGN(GE259))+FY259*POWER(MUslave,SIGN(FX259))*POWER(INslave,SIGN(FZ259))*POWER(CHslave,SIGN(GA259))*POWER(FFslave,SIGN(GB259))*POWER(GEslave_GE,SIGN(GC259))*POWER(KOslave,SIGN(GD259))*POWER(KKslave,SIGN(GE259))+FZ259*POWER(MUslave,SIGN(FX259))*POWER(KLslave,SIGN(FY259))*POWER(CHslave,SIGN(GA259))*POWER(FFslave,SIGN(GB259))*POWER(GEslave_GE,SIGN(GC259))*POWER(KOslave,SIGN(GD259))*POWER(KKslave,SIGN(GE259))+GA259*POWER(MUslave,SIGN(FX259))*POWER(KLslave,SIGN(FY259))*POWER(INslave,SIGN(FZ259))*POWER(FFslave,SIGN(GB259))*POWER(GEslave_GE,SIGN(GC259))*POWER(KOslave,SIGN(GD259))*POWER(KKslave,SIGN(GE259))+GB259*POWER(MUslave,SIGN(FX259))*POWER(KLslave,SIGN(FY259))*POWER(INslave,SIGN(FZ259))*POWER(CHslave,SIGN(GA259))*POWER(GEslave_GE,SIGN(GC259))*POWER(KOslave,SIGN(GD259))*POWER(KKslave,SIGN(GE259))+GC259*POWER(MUslave,SIGN(FX259))*POWER(KLslave,SIGN(FY259))*POWER(INslave,SIGN(FZ259))*POWER(CHslave,SIGN(GA259))*POWER(FFslave,SIGN(GB259))*POWER(KOslave,SIGN(GD259))*POWER(KKslave,SIGN(GE259))+GD259*POWER(MUslave,SIGN(FX259))*POWER(KLslave,SIGN(FY259))*POWER(INslave,SIGN(FZ259))*POWER(CHslave,SIGN(GA259))*POWER(FFslave,SIGN(GB259))*POWER(GEslave_GE,SIGN(GC259))*POWER(KKslave,SIGN(GE259))+GE259*POWER(MUslave,SIGN(FX259))*POWER(KLslave,SIGN(FY259))*POWER(INslave,SIGN(FZ259))*POWER(CHslave,SIGN(GA259))*POWER(FFslave,SIGN(GB259))*POWER(GEslave_GE,SIGN(GC259))*POWER(KOslave,SIGN(GD259))</f>
        <v>2304</v>
      </c>
      <c r="GJ259" s="322">
        <f>FX259*FZ259*KKslave+FX259*INslave*GE259+MUslave*FZ259*GE259</f>
        <v>3456</v>
      </c>
      <c r="GK259" s="232">
        <f>IFERROR(FX259^SIGN(FX259),1)*IFERROR(FY259^SIGN(FY259),1)*IFERROR(FZ259^SIGN(FZ259),1)*IFERROR(GA259^SIGN(GA259),1)*IFERROR(GB259^SIGN(GB259),1)*IFERROR(GC259^SIGN(GC259),1)*IFERROR(GD259^SIGN(GD259),1)*IFERROR(GE259^SIGN(GE259),1)</f>
        <v>1728</v>
      </c>
      <c r="GL259" s="79">
        <f>SUM(GI259:GK259)</f>
        <v>7488</v>
      </c>
      <c r="GM259" s="230">
        <f>GF259*GI259/GL259</f>
        <v>3.6923076923076925</v>
      </c>
      <c r="GN259" s="231">
        <f>GG259*GJ259/GL259</f>
        <v>11.076923076923077</v>
      </c>
      <c r="GO259" s="247">
        <f>GH259*GK259/GL259</f>
        <v>8.3076923076923084</v>
      </c>
      <c r="GP259" s="247">
        <f>SUM(GM259:GO259)</f>
        <v>23.07692307692308</v>
      </c>
      <c r="GQ259" s="252">
        <f>FN259</f>
        <v>0</v>
      </c>
      <c r="GR259" s="309">
        <f>GP259-GQ259</f>
        <v>23.07692307692308</v>
      </c>
      <c r="GS259" s="45">
        <f>IF(GP259&lt;=0,4,0)+IF(GP259&gt;0,GP259+1,0)*4+IF(GP259&gt;12,GP259-12,0)*4+IF(GP259&gt;13,GP259-13,0)*4+IF(GP259&gt;14,GP259-14,0)*4+IF(GP259&gt;15,GP259-15,0)*4+IF(GP259&gt;16,GP259-16,0)*4+IF(GP259&gt;17,GP259-17,0)*4+IF(GP259&gt;18,GP259-18,0)*4+IF(GP259&gt;19,GP259-19,0)*4+IF(GP259&gt;20,GP259-20,0)*4</f>
        <v>351.07692307692321</v>
      </c>
      <c r="GT259" s="79">
        <f>IF(GQ259&lt;=0,4,0)+IF(GQ259&gt;0,GQ259+1,0)*4+IF(GQ259&gt;12,GQ259-12,0)*4+IF(GQ259&gt;13,GQ259-13,0)*4+IF(GQ259&gt;14,GQ259-14,0)*4+IF(GQ259&gt;15,GQ259-15,0)*4+IF(GQ259&gt;16,GQ259-16,0)*4+IF(GQ259&gt;17,GQ259-17,0)*4+IF(GQ259&gt;18,GQ259-18,0)*4+IF(GQ259&gt;19,GQ259-19,0)*4+IF(GQ259&gt;20,GQ259-20,0)*4</f>
        <v>4</v>
      </c>
      <c r="GU259" s="247">
        <f>IF((GS259-GT259)&gt;0,GS259-GT259,0)</f>
        <v>347.07692307692321</v>
      </c>
      <c r="GV259" s="45">
        <f>IF((GT259-GS259)&gt;0,GT259-GS259,0)</f>
        <v>0</v>
      </c>
      <c r="GX259" s="321" t="s">
        <v>380</v>
      </c>
      <c r="GY259" s="46" t="s">
        <v>436</v>
      </c>
      <c r="GZ259" s="45" t="s">
        <v>134</v>
      </c>
      <c r="HA259" s="239">
        <f>Konvention_1slave-MUslave</f>
        <v>12</v>
      </c>
      <c r="HB259" s="240"/>
      <c r="HC259" s="240">
        <f>Konvention_1slave-INslave</f>
        <v>12</v>
      </c>
      <c r="HD259" s="240"/>
      <c r="HE259" s="240"/>
      <c r="HF259" s="240"/>
      <c r="HG259" s="240"/>
      <c r="HH259" s="232">
        <f>Konvention_1slave-KKslave</f>
        <v>12</v>
      </c>
      <c r="HI259" s="230">
        <f>(HA259+HB259+HC259+HD259+HE259+HF259+HG259+HH259)/3</f>
        <v>12</v>
      </c>
      <c r="HJ259" s="231">
        <f>2*HI259</f>
        <v>24</v>
      </c>
      <c r="HK259" s="232">
        <f>3*HI259</f>
        <v>36</v>
      </c>
      <c r="HL259" s="239">
        <f>HA259*POWER(KLslave,SIGN(HB259))*POWER(INslave,SIGN(HC259))*POWER(CHslave,SIGN(HD259))*POWER(FFslave,SIGN(HE259))*POWER(GEslave,SIGN(HF259))*POWER(KOslave_KO,SIGN(HG259))*POWER(KKslave,SIGN(HH259))+HB259*POWER(MUslave,SIGN(HA259))*POWER(INslave,SIGN(HC259))*POWER(CHslave,SIGN(HD259))*POWER(FFslave,SIGN(HE259))*POWER(GEslave,SIGN(HF259))*POWER(KOslave_KO,SIGN(HG259))*POWER(KKslave,SIGN(HH259))+HC259*POWER(MUslave,SIGN(HA259))*POWER(KLslave,SIGN(HB259))*POWER(CHslave,SIGN(HD259))*POWER(FFslave,SIGN(HE259))*POWER(GEslave,SIGN(HF259))*POWER(KOslave_KO,SIGN(HG259))*POWER(KKslave,SIGN(HH259))+HD259*POWER(MUslave,SIGN(HA259))*POWER(KLslave,SIGN(HB259))*POWER(INslave,SIGN(HC259))*POWER(FFslave,SIGN(HE259))*POWER(GEslave,SIGN(HF259))*POWER(KOslave_KO,SIGN(HG259))*POWER(KKslave,SIGN(HH259))+HE259*POWER(MUslave,SIGN(HA259))*POWER(KLslave,SIGN(HB259))*POWER(INslave,SIGN(HC259))*POWER(CHslave,SIGN(HD259))*POWER(GEslave,SIGN(HF259))*POWER(KOslave_KO,SIGN(HG259))*POWER(KKslave,SIGN(HH259))+HF259*POWER(MUslave,SIGN(HA259))*POWER(KLslave,SIGN(HB259))*POWER(INslave,SIGN(HC259))*POWER(CHslave,SIGN(HD259))*POWER(FFslave,SIGN(HE259))*POWER(KOslave_KO,SIGN(HG259))*POWER(KKslave,SIGN(HH259))+HG259*POWER(MUslave,SIGN(HA259))*POWER(KLslave,SIGN(HB259))*POWER(INslave,SIGN(HC259))*POWER(CHslave,SIGN(HD259))*POWER(FFslave,SIGN(HE259))*POWER(GEslave,SIGN(HF259))*POWER(KKslave,SIGN(HH259))+HH259*POWER(MUslave,SIGN(HA259))*POWER(KLslave,SIGN(HB259))*POWER(INslave,SIGN(HC259))*POWER(CHslave,SIGN(HD259))*POWER(FFslave,SIGN(HE259))*POWER(GEslave,SIGN(HF259))*POWER(KOslave_KO,SIGN(HG259))</f>
        <v>2304</v>
      </c>
      <c r="HM259" s="322">
        <f>HA259*HC259*KKslave+HA259*INslave*HH259+MUslave*HC259*HH259</f>
        <v>3456</v>
      </c>
      <c r="HN259" s="232">
        <f>IFERROR(HA259^SIGN(HA259),1)*IFERROR(HB259^SIGN(HB259),1)*IFERROR(HC259^SIGN(HC259),1)*IFERROR(HD259^SIGN(HD259),1)*IFERROR(HE259^SIGN(HE259),1)*IFERROR(HF259^SIGN(HF259),1)*IFERROR(HG259^SIGN(HG259),1)*IFERROR(HH259^SIGN(HH259),1)</f>
        <v>1728</v>
      </c>
      <c r="HO259" s="79">
        <f>SUM(HL259:HN259)</f>
        <v>7488</v>
      </c>
      <c r="HP259" s="230">
        <f>HI259*HL259/HO259</f>
        <v>3.6923076923076925</v>
      </c>
      <c r="HQ259" s="231">
        <f>HJ259*HM259/HO259</f>
        <v>11.076923076923077</v>
      </c>
      <c r="HR259" s="247">
        <f>HK259*HN259/HO259</f>
        <v>8.3076923076923084</v>
      </c>
      <c r="HS259" s="247">
        <f>SUM(HP259:HR259)</f>
        <v>23.07692307692308</v>
      </c>
      <c r="HT259" s="252">
        <f>GQ259</f>
        <v>0</v>
      </c>
      <c r="HU259" s="309">
        <f>HS259-HT259</f>
        <v>23.07692307692308</v>
      </c>
      <c r="HV259" s="45">
        <f>IF(HS259&lt;=0,4,0)+IF(HS259&gt;0,HS259+1,0)*4+IF(HS259&gt;12,HS259-12,0)*4+IF(HS259&gt;13,HS259-13,0)*4+IF(HS259&gt;14,HS259-14,0)*4+IF(HS259&gt;15,HS259-15,0)*4+IF(HS259&gt;16,HS259-16,0)*4+IF(HS259&gt;17,HS259-17,0)*4+IF(HS259&gt;18,HS259-18,0)*4+IF(HS259&gt;19,HS259-19,0)*4+IF(HS259&gt;20,HS259-20,0)*4</f>
        <v>351.07692307692321</v>
      </c>
      <c r="HW259" s="79">
        <f>IF(HT259&lt;=0,4,0)+IF(HT259&gt;0,HT259+1,0)*4+IF(HT259&gt;12,HT259-12,0)*4+IF(HT259&gt;13,HT259-13,0)*4+IF(HT259&gt;14,HT259-14,0)*4+IF(HT259&gt;15,HT259-15,0)*4+IF(HT259&gt;16,HT259-16,0)*4+IF(HT259&gt;17,HT259-17,0)*4+IF(HT259&gt;18,HT259-18,0)*4+IF(HT259&gt;19,HT259-19,0)*4+IF(HT259&gt;20,HT259-20,0)*4</f>
        <v>4</v>
      </c>
      <c r="HX259" s="247">
        <f>IF((HV259-HW259)&gt;0,HV259-HW259,0)</f>
        <v>347.07692307692321</v>
      </c>
      <c r="HY259" s="45">
        <f>IF((HW259-HV259)&gt;0,HW259-HV259,0)</f>
        <v>0</v>
      </c>
      <c r="IA259" s="321" t="s">
        <v>380</v>
      </c>
      <c r="IB259" s="46" t="s">
        <v>436</v>
      </c>
      <c r="IC259" s="45" t="s">
        <v>134</v>
      </c>
      <c r="ID259" s="239">
        <f>Konvention_1slave-MUslave</f>
        <v>12</v>
      </c>
      <c r="IE259" s="240"/>
      <c r="IF259" s="240">
        <f>Konvention_1slave-INslave</f>
        <v>12</v>
      </c>
      <c r="IG259" s="240"/>
      <c r="IH259" s="240"/>
      <c r="II259" s="240"/>
      <c r="IJ259" s="240"/>
      <c r="IK259" s="232">
        <f>Konvention_1slave-KKslave_KK</f>
        <v>11</v>
      </c>
      <c r="IL259" s="230">
        <f>(ID259+IE259+IF259+IG259+IH259+II259+IJ259+IK259)/3</f>
        <v>11.666666666666666</v>
      </c>
      <c r="IM259" s="231">
        <f>2*IL259</f>
        <v>23.333333333333332</v>
      </c>
      <c r="IN259" s="232">
        <f>3*IL259</f>
        <v>35</v>
      </c>
      <c r="IO259" s="239">
        <f>ID259*POWER(KLslave,SIGN(IE259))*POWER(INslave,SIGN(IF259))*POWER(CHslave,SIGN(IG259))*POWER(FFslave,SIGN(IH259))*POWER(GEslave,SIGN(II259))*POWER(KOslave,SIGN(IJ259))*POWER(KKslave_KK,SIGN(IK259))+IE259*POWER(MUslave,SIGN(ID259))*POWER(INslave,SIGN(IF259))*POWER(CHslave,SIGN(IG259))*POWER(FFslave,SIGN(IH259))*POWER(GEslave,SIGN(II259))*POWER(KOslave,SIGN(IJ259))*POWER(KKslave_KK,SIGN(IK259))+IF259*POWER(MUslave,SIGN(ID259))*POWER(KLslave,SIGN(IE259))*POWER(CHslave,SIGN(IG259))*POWER(FFslave,SIGN(IH259))*POWER(GEslave,SIGN(II259))*POWER(KOslave,SIGN(IJ259))*POWER(KKslave_KK,SIGN(IK259))+IG259*POWER(MUslave,SIGN(ID259))*POWER(KLslave,SIGN(IE259))*POWER(INslave,SIGN(IF259))*POWER(FFslave,SIGN(IH259))*POWER(GEslave,SIGN(II259))*POWER(KOslave,SIGN(IJ259))*POWER(KKslave_KK,SIGN(IK259))+IH259*POWER(MUslave,SIGN(ID259))*POWER(KLslave,SIGN(IE259))*POWER(INslave,SIGN(IF259))*POWER(CHslave,SIGN(IG259))*POWER(GEslave,SIGN(II259))*POWER(KOslave,SIGN(IJ259))*POWER(KKslave_KK,SIGN(IK259))+II259*POWER(MUslave,SIGN(ID259))*POWER(KLslave,SIGN(IE259))*POWER(INslave,SIGN(IF259))*POWER(CHslave,SIGN(IG259))*POWER(FFslave,SIGN(IH259))*POWER(KOslave,SIGN(IJ259))*POWER(KKslave_KK,SIGN(IK259))+IJ259*POWER(MUslave,SIGN(ID259))*POWER(KLslave,SIGN(IE259))*POWER(INslave,SIGN(IF259))*POWER(CHslave,SIGN(IG259))*POWER(FFslave,SIGN(IH259))*POWER(GEslave,SIGN(II259))*POWER(KKslave_KK,SIGN(IK259))+IK259*POWER(MUslave,SIGN(ID259))*POWER(KLslave,SIGN(IE259))*POWER(INslave,SIGN(IF259))*POWER(CHslave,SIGN(IG259))*POWER(FFslave,SIGN(IH259))*POWER(GEslave,SIGN(II259))*POWER(KOslave,SIGN(IJ259))</f>
        <v>2432</v>
      </c>
      <c r="IP259" s="322">
        <f>ID259*IF259*KKslave_KK+ID259*INslave*IK259+MUslave*IF259*IK259</f>
        <v>3408</v>
      </c>
      <c r="IQ259" s="232">
        <f>IFERROR(ID259^SIGN(ID259),1)*IFERROR(IE259^SIGN(IE259),1)*IFERROR(IF259^SIGN(IF259),1)*IFERROR(IG259^SIGN(IG259),1)*IFERROR(IH259^SIGN(IH259),1)*IFERROR(II259^SIGN(II259),1)*IFERROR(IJ259^SIGN(IJ259),1)*IFERROR(IK259^SIGN(IK259),1)</f>
        <v>1584</v>
      </c>
      <c r="IR259" s="79">
        <f>SUM(IO259:IQ259)</f>
        <v>7424</v>
      </c>
      <c r="IS259" s="230">
        <f>IL259*IO259/IR259</f>
        <v>3.8218390804597702</v>
      </c>
      <c r="IT259" s="231">
        <f>IM259*IP259/IR259</f>
        <v>10.711206896551724</v>
      </c>
      <c r="IU259" s="247">
        <f>IN259*IQ259/IR259</f>
        <v>7.4676724137931032</v>
      </c>
      <c r="IV259" s="247">
        <f>SUM(IS259:IU259)</f>
        <v>22.000718390804597</v>
      </c>
      <c r="IW259" s="252">
        <f>HT259</f>
        <v>0</v>
      </c>
      <c r="IX259" s="309">
        <f>IV259-IW259</f>
        <v>22.000718390804597</v>
      </c>
      <c r="IY259" s="45">
        <f>IF(IV259&lt;=0,4,0)+IF(IV259&gt;0,IV259+1,0)*4+IF(IV259&gt;12,IV259-12,0)*4+IF(IV259&gt;13,IV259-13,0)*4+IF(IV259&gt;14,IV259-14,0)*4+IF(IV259&gt;15,IV259-15,0)*4+IF(IV259&gt;16,IV259-16,0)*4+IF(IV259&gt;17,IV259-17,0)*4+IF(IV259&gt;18,IV259-18,0)*4+IF(IV259&gt;19,IV259-19,0)*4+IF(IV259&gt;20,IV259-20,0)*4</f>
        <v>308.02873563218378</v>
      </c>
      <c r="IZ259" s="79">
        <f>IF(IW259&lt;=0,4,0)+IF(IW259&gt;0,IW259+1,0)*4+IF(IW259&gt;12,IW259-12,0)*4+IF(IW259&gt;13,IW259-13,0)*4+IF(IW259&gt;14,IW259-14,0)*4+IF(IW259&gt;15,IW259-15,0)*4+IF(IW259&gt;16,IW259-16,0)*4+IF(IW259&gt;17,IW259-17,0)*4+IF(IW259&gt;18,IW259-18,0)*4+IF(IW259&gt;19,IW259-19,0)*4+IF(IW259&gt;20,IW259-20,0)*4</f>
        <v>4</v>
      </c>
      <c r="JA259" s="247">
        <f>IF((IY259-IZ259)&gt;0,IY259-IZ259,0)</f>
        <v>304.02873563218378</v>
      </c>
      <c r="JB259" s="45">
        <f>IF((IZ259-IY259)&gt;0,IZ259-IY259,0)</f>
        <v>0</v>
      </c>
      <c r="JE259" s="148"/>
    </row>
    <row r="260" spans="2:265" hidden="1" outlineLevel="1" collapsed="1">
      <c r="B260" s="134" t="s">
        <v>408</v>
      </c>
      <c r="C260" s="307" t="s">
        <v>281</v>
      </c>
      <c r="D260" s="84" t="s">
        <v>279</v>
      </c>
      <c r="E260" s="84" t="s">
        <v>280</v>
      </c>
      <c r="Y260" s="251"/>
      <c r="Z260" s="197"/>
      <c r="AF260" s="83" t="s">
        <v>281</v>
      </c>
      <c r="AG260" s="84" t="s">
        <v>279</v>
      </c>
      <c r="AH260" s="84" t="s">
        <v>280</v>
      </c>
      <c r="BB260" s="197"/>
      <c r="BC260" s="197"/>
      <c r="BI260" s="307" t="s">
        <v>281</v>
      </c>
      <c r="BJ260" s="308" t="s">
        <v>279</v>
      </c>
      <c r="BK260" s="308" t="s">
        <v>280</v>
      </c>
      <c r="CE260" s="251"/>
      <c r="CF260" s="251"/>
      <c r="CL260" s="307" t="s">
        <v>281</v>
      </c>
      <c r="CM260" s="308" t="s">
        <v>279</v>
      </c>
      <c r="CN260" s="308" t="s">
        <v>280</v>
      </c>
      <c r="DH260" s="251"/>
      <c r="DI260" s="251"/>
      <c r="DO260" s="307" t="s">
        <v>281</v>
      </c>
      <c r="DP260" s="308" t="s">
        <v>279</v>
      </c>
      <c r="DQ260" s="308" t="s">
        <v>280</v>
      </c>
      <c r="EK260" s="251"/>
      <c r="EL260" s="251"/>
      <c r="ER260" s="307" t="s">
        <v>281</v>
      </c>
      <c r="ES260" s="308" t="s">
        <v>279</v>
      </c>
      <c r="ET260" s="308" t="s">
        <v>280</v>
      </c>
      <c r="FN260" s="251"/>
      <c r="FO260" s="251"/>
      <c r="FU260" s="307" t="s">
        <v>281</v>
      </c>
      <c r="FV260" s="308" t="s">
        <v>279</v>
      </c>
      <c r="FW260" s="308" t="s">
        <v>280</v>
      </c>
      <c r="GQ260" s="251"/>
      <c r="GR260" s="251"/>
      <c r="GX260" s="307" t="s">
        <v>281</v>
      </c>
      <c r="GY260" s="308" t="s">
        <v>279</v>
      </c>
      <c r="GZ260" s="308" t="s">
        <v>280</v>
      </c>
      <c r="HT260" s="251"/>
      <c r="HU260" s="251"/>
      <c r="IA260" s="307" t="s">
        <v>281</v>
      </c>
      <c r="IB260" s="308" t="s">
        <v>279</v>
      </c>
      <c r="IC260" s="308" t="s">
        <v>280</v>
      </c>
      <c r="IW260" s="251"/>
      <c r="IX260" s="251"/>
      <c r="JE260" s="148"/>
    </row>
    <row r="261" spans="2:265" ht="15" hidden="1" customHeight="1" outlineLevel="2">
      <c r="B261" s="148">
        <v>1</v>
      </c>
      <c r="C261" s="302" t="e">
        <f>VLOOKUP(AF261,Attribute!C:T,1,FALSE)</f>
        <v>#N/A</v>
      </c>
      <c r="D261" s="85" t="s">
        <v>172</v>
      </c>
      <c r="E261" s="126" t="s">
        <v>133</v>
      </c>
      <c r="F261" s="191">
        <f>Konvention_1master-MUmaster</f>
        <v>12</v>
      </c>
      <c r="G261" s="118"/>
      <c r="H261" s="118"/>
      <c r="I261" s="118">
        <f>Konvention_1master-CHmaster</f>
        <v>12</v>
      </c>
      <c r="J261" s="118"/>
      <c r="K261" s="118">
        <f>Konvention_1master-GEmaster</f>
        <v>12</v>
      </c>
      <c r="L261" s="118"/>
      <c r="M261" s="92"/>
      <c r="N261" s="220">
        <f t="shared" ref="N261:N285" si="1794">(F261+G261+H261+I261+J261+K261+L261+M261)/3</f>
        <v>12</v>
      </c>
      <c r="O261" s="220">
        <f t="shared" ref="O261:O296" si="1795">2*N261</f>
        <v>24</v>
      </c>
      <c r="P261" s="221">
        <f t="shared" ref="P261:P296" si="1796">3*N261</f>
        <v>36</v>
      </c>
      <c r="Q261" s="236">
        <f t="shared" ref="Q261:Q285" si="1797">F261*POWER(KLmaster,SIGN(G261))*POWER(INmaster,SIGN(H261))*POWER(CHmaster,SIGN(I261))*POWER(FFmaster,SIGN(J261))*POWER(GEmaster,SIGN(K261))*POWER(KOmaster,SIGN(L261))*POWER(KKmaster,SIGN(M261))+G261*POWER(MUmaster,SIGN(F261))*POWER(INmaster,SIGN(H261))*POWER(CHmaster,SIGN(I261))*POWER(FFmaster,SIGN(J261))*POWER(GEmaster,SIGN(K261))*POWER(KOmaster,SIGN(L261))*POWER(KKmaster,SIGN(M261))+H261*POWER(MUmaster,SIGN(F261))*POWER(KLmaster,SIGN(G261))*POWER(CHmaster,SIGN(I261))*POWER(FFmaster,SIGN(J261))*POWER(GEmaster,SIGN(K261))*POWER(KOmaster,SIGN(L261))*POWER(KKmaster,SIGN(M261))+I261*POWER(MUmaster,SIGN(F261))*POWER(KLmaster,SIGN(G261))*POWER(INmaster,SIGN(H261))*POWER(FFmaster,SIGN(J261))*POWER(GEmaster,SIGN(K261))*POWER(KOmaster,SIGN(L261))*POWER(KKmaster,SIGN(M261))+J261*POWER(MUmaster,SIGN(F261))*POWER(KLmaster,SIGN(G261))*POWER(INmaster,SIGN(H261))*POWER(CHmaster,SIGN(I261))*POWER(GEmaster,SIGN(K261))*POWER(KOmaster,SIGN(L261))*POWER(KKmaster,SIGN(M261))+K261*POWER(MUmaster,SIGN(F261))*POWER(KLmaster,SIGN(G261))*POWER(INmaster,SIGN(H261))*POWER(CHmaster,SIGN(I261))*POWER(FFmaster,SIGN(J261))*POWER(KOmaster,SIGN(L261))*POWER(KKmaster,SIGN(M261))+L261*POWER(MUmaster,SIGN(F261))*POWER(KLmaster,SIGN(G261))*POWER(INmaster,SIGN(H261))*POWER(CHmaster,SIGN(I261))*POWER(FFmaster,SIGN(J261))*POWER(GEmaster,SIGN(K261))*POWER(KKmaster,SIGN(M261))+M261*POWER(MUmaster,SIGN(F261))*POWER(KLmaster,SIGN(G261))*POWER(INmaster,SIGN(H261))*POWER(CHmaster,SIGN(I261))*POWER(FFmaster,SIGN(J261))*POWER(GEmaster,SIGN(K261))*POWER(KOmaster,SIGN(L261))</f>
        <v>2304</v>
      </c>
      <c r="R261" s="170">
        <f>F261*I261*GEmaster+F261*CHmaster*K261+MUmaster*I261*K261</f>
        <v>3456</v>
      </c>
      <c r="S261" s="221">
        <f t="shared" ref="S261:S285" si="1798">IFERROR(F261^SIGN(F261),1)*IFERROR(G261^SIGN(G261),1)*IFERROR(H261^SIGN(H261),1)*IFERROR(I261^SIGN(I261),1)*IFERROR(J261^SIGN(J261),1)*IFERROR(K261^SIGN(K261),1)*IFERROR(L261^SIGN(L261),1)*IFERROR(M261^SIGN(M261),1)</f>
        <v>1728</v>
      </c>
      <c r="T261" s="221">
        <f t="shared" ref="T261:T296" si="1799">SUM(Q261:S261)</f>
        <v>7488</v>
      </c>
      <c r="U261" s="219">
        <f t="shared" ref="U261:U296" si="1800">N261*Q261/T261</f>
        <v>3.6923076923076925</v>
      </c>
      <c r="V261" s="220">
        <f t="shared" ref="V261:V296" si="1801">O261*R261/T261</f>
        <v>11.076923076923077</v>
      </c>
      <c r="W261" s="241">
        <f t="shared" ref="W261:W296" si="1802">P261*S261/T261</f>
        <v>8.3076923076923084</v>
      </c>
      <c r="X261" s="241">
        <f t="shared" ref="X261:X296" si="1803">SUM(U261:W261)</f>
        <v>23.07692307692308</v>
      </c>
      <c r="Y261" s="252">
        <v>0</v>
      </c>
      <c r="Z261" s="198">
        <f t="shared" ref="Z261:Z296" si="1804">X261-Y261</f>
        <v>23.07692307692308</v>
      </c>
      <c r="AA261" s="158">
        <f t="shared" ref="AA261:AB263" si="1805">IF(X261&lt;=0,1,0)+IF(X261&gt;0,X261+1,0)*1+IF(X261&gt;12,X261-12,0)*1+IF(X261&gt;13,X261-13,0)*1+IF(X261&gt;14,X261-14,0)*1+IF(X261&gt;15,X261-15,0)*1+IF(X261&gt;16,X261-16,0)*1+IF(X261&gt;17,X261-17,0)*1+IF(X261&gt;18,X261-18,0)*1+IF(X261&gt;19,X261-19,0)*1+IF(X261&gt;20,X261-20,0)*1</f>
        <v>87.769230769230802</v>
      </c>
      <c r="AB261" s="91">
        <f t="shared" si="1805"/>
        <v>1</v>
      </c>
      <c r="AC261" s="126">
        <f t="shared" ref="AC261:AC296" si="1806">IF((AA261-AB261)&gt;0,AA261-AB261,0)</f>
        <v>86.769230769230802</v>
      </c>
      <c r="AD261" s="158">
        <f t="shared" ref="AD261:AD296" si="1807">IF((AB261-AA261)&gt;0,AB261-AA261,0)</f>
        <v>0</v>
      </c>
      <c r="AF261" s="162" t="s">
        <v>352</v>
      </c>
      <c r="AG261" s="85" t="s">
        <v>172</v>
      </c>
      <c r="AH261" s="126" t="s">
        <v>133</v>
      </c>
      <c r="AI261" s="191">
        <f>Konvention_1slave-MUslave_MU</f>
        <v>11</v>
      </c>
      <c r="AJ261" s="118"/>
      <c r="AK261" s="118"/>
      <c r="AL261" s="118">
        <f>Konvention_1slave-CHslave</f>
        <v>12</v>
      </c>
      <c r="AM261" s="118"/>
      <c r="AN261" s="118">
        <f>Konvention_1slave-GEslave</f>
        <v>12</v>
      </c>
      <c r="AO261" s="118"/>
      <c r="AP261" s="92"/>
      <c r="AQ261" s="116">
        <f t="shared" ref="AQ261:AQ285" si="1808">(AI261+AJ261+AK261+AL261+AM261+AN261+AO261+AP261)/3</f>
        <v>11.666666666666666</v>
      </c>
      <c r="AR261" s="194">
        <f t="shared" ref="AR261:AR296" si="1809">2*AQ261</f>
        <v>23.333333333333332</v>
      </c>
      <c r="AS261" s="192">
        <f t="shared" ref="AS261:AS296" si="1810">3*AQ261</f>
        <v>35</v>
      </c>
      <c r="AT261" s="191">
        <f t="shared" ref="AT261:AT285" si="1811">AI261*POWER(KLslave,SIGN(AJ261))*POWER(INslave,SIGN(AK261))*POWER(CHslave,SIGN(AL261))*POWER(FFslave,SIGN(AM261))*POWER(GEslave,SIGN(AN261))*POWER(KOslave,SIGN(AO261))*POWER(KKslave,SIGN(AP261))+AJ261*POWER(MUslave_MU,SIGN(AI261))*POWER(INslave,SIGN(AK261))*POWER(CHslave,SIGN(AL261))*POWER(FFslave,SIGN(AM261))*POWER(GEslave,SIGN(AN261))*POWER(KOslave,SIGN(AO261))*POWER(KKslave,SIGN(AP261))+AK261*POWER(MUslave_MU,SIGN(AI261))*POWER(KLslave,SIGN(AJ261))*POWER(CHslave,SIGN(AL261))*POWER(FFslave,SIGN(AM261))*POWER(GEslave,SIGN(AN261))*POWER(KOslave,SIGN(AO261))*POWER(KKslave,SIGN(AP261))+AL261*POWER(MUslave_MU,SIGN(AI261))*POWER(KLslave,SIGN(AJ261))*POWER(INslave,SIGN(AK261))*POWER(FFslave,SIGN(AM261))*POWER(GEslave,SIGN(AN261))*POWER(KOslave,SIGN(AO261))*POWER(KKslave,SIGN(AP261))+AM261*POWER(MUslave_MU,SIGN(AI261))*POWER(KLslave,SIGN(AJ261))*POWER(INslave,SIGN(AK261))*POWER(CHslave,SIGN(AL261))*POWER(GEslave,SIGN(AN261))*POWER(KOslave,SIGN(AO261))*POWER(KKslave,SIGN(AP261))+AN261*POWER(MUslave_MU,SIGN(AI261))*POWER(KLslave,SIGN(AJ261))*POWER(INslave,SIGN(AK261))*POWER(CHslave,SIGN(AL261))*POWER(FFslave,SIGN(AM261))*POWER(KOslave,SIGN(AO261))*POWER(KKslave,SIGN(AP261))+AO261*POWER(MUslave_MU,SIGN(AI261))*POWER(KLslave,SIGN(AJ261))*POWER(INslave,SIGN(AK261))*POWER(CHslave,SIGN(AL261))*POWER(FFslave,SIGN(AM261))*POWER(GEslave,SIGN(AN261))*POWER(KKslave,SIGN(AP261))+AP261*POWER(MUslave_MU,SIGN(AI261))*POWER(KLslave,SIGN(AJ261))*POWER(INslave,SIGN(AK261))*POWER(CHslave,SIGN(AL261))*POWER(FFslave,SIGN(AM261))*POWER(GEslave,SIGN(AN261))*POWER(KOslave,SIGN(AO261))</f>
        <v>2432</v>
      </c>
      <c r="AU261" s="170">
        <f>AI261*AL261*GEslave+AI261*CHslave*AN261+MUslave_MU*AL261*AN261</f>
        <v>3408</v>
      </c>
      <c r="AV261" s="92">
        <f t="shared" ref="AV261:AV285" si="1812">IFERROR(AI261^SIGN(AI261),1)*IFERROR(AJ261^SIGN(AJ261),1)*IFERROR(AK261^SIGN(AK261),1)*IFERROR(AL261^SIGN(AL261),1)*IFERROR(AM261^SIGN(AM261),1)*IFERROR(AN261^SIGN(AN261),1)*IFERROR(AO261^SIGN(AO261),1)*IFERROR(AP261^SIGN(AP261),1)</f>
        <v>1584</v>
      </c>
      <c r="AW261" s="92">
        <f t="shared" ref="AW261:AW296" si="1813">SUM(AT261:AV261)</f>
        <v>7424</v>
      </c>
      <c r="AX261" s="193">
        <f t="shared" ref="AX261:AX296" si="1814">AQ261*AT261/AW261</f>
        <v>3.8218390804597702</v>
      </c>
      <c r="AY261" s="116">
        <f t="shared" ref="AY261:AY296" si="1815">AR261*AU261/AW261</f>
        <v>10.711206896551724</v>
      </c>
      <c r="AZ261" s="126">
        <f t="shared" ref="AZ261:AZ296" si="1816">AS261*AV261/AW261</f>
        <v>7.4676724137931032</v>
      </c>
      <c r="BA261" s="126">
        <f t="shared" ref="BA261:BA296" si="1817">SUM(AX261:AZ261)</f>
        <v>22.000718390804597</v>
      </c>
      <c r="BB261" s="165">
        <f t="shared" ref="BB261:BB296" si="1818">Y261</f>
        <v>0</v>
      </c>
      <c r="BC261" s="198">
        <f t="shared" ref="BC261:BC296" si="1819">BA261-BB261</f>
        <v>22.000718390804597</v>
      </c>
      <c r="BD261" s="158">
        <f t="shared" ref="BD261:BE263" si="1820">IF(BA261&lt;=0,1,0)+IF(BA261&gt;0,BA261+1,0)*1+IF(BA261&gt;12,BA261-12,0)*1+IF(BA261&gt;13,BA261-13,0)*1+IF(BA261&gt;14,BA261-14,0)*1+IF(BA261&gt;15,BA261-15,0)*1+IF(BA261&gt;16,BA261-16,0)*1+IF(BA261&gt;17,BA261-17,0)*1+IF(BA261&gt;18,BA261-18,0)*1+IF(BA261&gt;19,BA261-19,0)*1+IF(BA261&gt;20,BA261-20,0)*1</f>
        <v>77.007183908045945</v>
      </c>
      <c r="BE261" s="91">
        <f t="shared" si="1820"/>
        <v>1</v>
      </c>
      <c r="BF261" s="241">
        <f t="shared" ref="BF261:BF296" si="1821">IF((BD261-BE261)&gt;0,BD261-BE261,0)</f>
        <v>76.007183908045945</v>
      </c>
      <c r="BG261" s="42">
        <f t="shared" ref="BG261:BG296" si="1822">IF((BE261-BD261)&gt;0,BE261-BD261,0)</f>
        <v>0</v>
      </c>
      <c r="BI261" s="302" t="s">
        <v>352</v>
      </c>
      <c r="BJ261" s="43" t="s">
        <v>172</v>
      </c>
      <c r="BK261" s="241" t="s">
        <v>133</v>
      </c>
      <c r="BL261" s="236">
        <f>Konvention_1slave-MUslave</f>
        <v>12</v>
      </c>
      <c r="BM261" s="233"/>
      <c r="BN261" s="233"/>
      <c r="BO261" s="233">
        <f>Konvention_1slave-CHslave</f>
        <v>12</v>
      </c>
      <c r="BP261" s="233"/>
      <c r="BQ261" s="233">
        <f>Konvention_1slave-GEslave</f>
        <v>12</v>
      </c>
      <c r="BR261" s="233"/>
      <c r="BS261" s="221"/>
      <c r="BT261" s="220">
        <f t="shared" ref="BT261:BT285" si="1823">(BL261+BM261+BN261+BO261+BP261+BQ261+BR261+BS261)/3</f>
        <v>12</v>
      </c>
      <c r="BU261" s="220">
        <f t="shared" ref="BU261:BU296" si="1824">2*BT261</f>
        <v>24</v>
      </c>
      <c r="BV261" s="221">
        <f t="shared" ref="BV261:BV296" si="1825">3*BT261</f>
        <v>36</v>
      </c>
      <c r="BW261" s="236">
        <f t="shared" ref="BW261:BW285" si="1826">BL261*POWER(KLslave_KL,SIGN(BM261))*POWER(INslave,SIGN(BN261))*POWER(CHslave,SIGN(BO261))*POWER(FFslave,SIGN(BP261))*POWER(GEslave,SIGN(BQ261))*POWER(KOslave,SIGN(BR261))*POWER(KKslave,SIGN(BS261))+BM261*POWER(MUslave,SIGN(BL261))*POWER(INslave,SIGN(BN261))*POWER(CHslave,SIGN(BO261))*POWER(FFslave,SIGN(BP261))*POWER(GEslave,SIGN(BQ261))*POWER(KOslave,SIGN(BR261))*POWER(KKslave,SIGN(BS261))+BN261*POWER(MUslave,SIGN(BL261))*POWER(KLslave_KL,SIGN(BM261))*POWER(CHslave,SIGN(BO261))*POWER(FFslave,SIGN(BP261))*POWER(GEslave,SIGN(BQ261))*POWER(KOslave,SIGN(BR261))*POWER(KKslave,SIGN(BS261))+BO261*POWER(MUslave,SIGN(BL261))*POWER(KLslave_KL,SIGN(BM261))*POWER(INslave,SIGN(BN261))*POWER(FFslave,SIGN(BP261))*POWER(GEslave,SIGN(BQ261))*POWER(KOslave,SIGN(BR261))*POWER(KKslave,SIGN(BS261))+BP261*POWER(MUslave,SIGN(BL261))*POWER(KLslave_KL,SIGN(BM261))*POWER(INslave,SIGN(BN261))*POWER(CHslave,SIGN(BO261))*POWER(GEslave,SIGN(BQ261))*POWER(KOslave,SIGN(BR261))*POWER(KKslave,SIGN(BS261))+BQ261*POWER(MUslave,SIGN(BL261))*POWER(KLslave_KL,SIGN(BM261))*POWER(INslave,SIGN(BN261))*POWER(CHslave,SIGN(BO261))*POWER(FFslave,SIGN(BP261))*POWER(KOslave,SIGN(BR261))*POWER(KKslave,SIGN(BS261))+BR261*POWER(MUslave,SIGN(BL261))*POWER(KLslave_KL,SIGN(BM261))*POWER(INslave,SIGN(BN261))*POWER(CHslave,SIGN(BO261))*POWER(FFslave,SIGN(BP261))*POWER(GEslave,SIGN(BQ261))*POWER(KKslave,SIGN(BS261))+BS261*POWER(MUslave,SIGN(BL261))*POWER(KLslave_KL,SIGN(BM261))*POWER(INslave,SIGN(BN261))*POWER(CHslave,SIGN(BO261))*POWER(FFslave,SIGN(BP261))*POWER(GEslave,SIGN(BQ261))*POWER(KOslave,SIGN(BR261))</f>
        <v>2304</v>
      </c>
      <c r="BX261" s="316">
        <f>BL261*BO261*GEslave+BL261*CHslave*BQ261+MUslave*BO261*BQ261</f>
        <v>3456</v>
      </c>
      <c r="BY261" s="221">
        <f t="shared" ref="BY261:BY285" si="1827">IFERROR(BL261^SIGN(BL261),1)*IFERROR(BM261^SIGN(BM261),1)*IFERROR(BN261^SIGN(BN261),1)*IFERROR(BO261^SIGN(BO261),1)*IFERROR(BP261^SIGN(BP261),1)*IFERROR(BQ261^SIGN(BQ261),1)*IFERROR(BR261^SIGN(BR261),1)*IFERROR(BS261^SIGN(BS261),1)</f>
        <v>1728</v>
      </c>
      <c r="BZ261" s="221">
        <f t="shared" ref="BZ261:BZ296" si="1828">SUM(BW261:BY261)</f>
        <v>7488</v>
      </c>
      <c r="CA261" s="219">
        <f t="shared" ref="CA261:CA296" si="1829">BT261*BW261/BZ261</f>
        <v>3.6923076923076925</v>
      </c>
      <c r="CB261" s="220">
        <f t="shared" ref="CB261:CB296" si="1830">BU261*BX261/BZ261</f>
        <v>11.076923076923077</v>
      </c>
      <c r="CC261" s="241">
        <f t="shared" ref="CC261:CC296" si="1831">BV261*BY261/BZ261</f>
        <v>8.3076923076923084</v>
      </c>
      <c r="CD261" s="241">
        <f t="shared" ref="CD261:CD296" si="1832">SUM(CA261:CC261)</f>
        <v>23.07692307692308</v>
      </c>
      <c r="CE261" s="252">
        <f t="shared" ref="CE261:CE324" si="1833">BB261</f>
        <v>0</v>
      </c>
      <c r="CF261" s="309">
        <f t="shared" ref="CF261:CF296" si="1834">CD261-CE261</f>
        <v>23.07692307692308</v>
      </c>
      <c r="CG261" s="42">
        <f t="shared" ref="CG261:CH263" si="1835">IF(CD261&lt;=0,1,0)+IF(CD261&gt;0,CD261+1,0)*1+IF(CD261&gt;12,CD261-12,0)*1+IF(CD261&gt;13,CD261-13,0)*1+IF(CD261&gt;14,CD261-14,0)*1+IF(CD261&gt;15,CD261-15,0)*1+IF(CD261&gt;16,CD261-16,0)*1+IF(CD261&gt;17,CD261-17,0)*1+IF(CD261&gt;18,CD261-18,0)*1+IF(CD261&gt;19,CD261-19,0)*1+IF(CD261&gt;20,CD261-20,0)*1</f>
        <v>87.769230769230802</v>
      </c>
      <c r="CH261" s="78">
        <f t="shared" si="1835"/>
        <v>1</v>
      </c>
      <c r="CI261" s="241">
        <f t="shared" ref="CI261:CI296" si="1836">IF((CG261-CH261)&gt;0,CG261-CH261,0)</f>
        <v>86.769230769230802</v>
      </c>
      <c r="CJ261" s="42">
        <f t="shared" ref="CJ261:CJ296" si="1837">IF((CH261-CG261)&gt;0,CH261-CG261,0)</f>
        <v>0</v>
      </c>
      <c r="CL261" s="302" t="s">
        <v>352</v>
      </c>
      <c r="CM261" s="43" t="s">
        <v>172</v>
      </c>
      <c r="CN261" s="241" t="s">
        <v>133</v>
      </c>
      <c r="CO261" s="236">
        <f>Konvention_1slave-MUslave</f>
        <v>12</v>
      </c>
      <c r="CP261" s="233"/>
      <c r="CQ261" s="233"/>
      <c r="CR261" s="233">
        <f>Konvention_1slave-CHslave</f>
        <v>12</v>
      </c>
      <c r="CS261" s="233"/>
      <c r="CT261" s="233">
        <f>Konvention_1slave-GEslave</f>
        <v>12</v>
      </c>
      <c r="CU261" s="233"/>
      <c r="CV261" s="221"/>
      <c r="CW261" s="220">
        <f t="shared" ref="CW261:CW285" si="1838">(CO261+CP261+CQ261+CR261+CS261+CT261+CU261+CV261)/3</f>
        <v>12</v>
      </c>
      <c r="CX261" s="220">
        <f t="shared" ref="CX261:CX296" si="1839">2*CW261</f>
        <v>24</v>
      </c>
      <c r="CY261" s="221">
        <f t="shared" ref="CY261:CY296" si="1840">3*CW261</f>
        <v>36</v>
      </c>
      <c r="CZ261" s="236">
        <f t="shared" ref="CZ261:CZ285" si="1841">CO261*POWER(KLslave,SIGN(CP261))*POWER(INslave_IN,SIGN(CQ261))*POWER(CHslave,SIGN(CR261))*POWER(FFslave,SIGN(CS261))*POWER(GEslave,SIGN(CT261))*POWER(KOslave,SIGN(CU261))*POWER(KKslave,SIGN(CV261))+CP261*POWER(MUslave,SIGN(CO261))*POWER(INslave_IN,SIGN(CQ261))*POWER(CHslave,SIGN(CR261))*POWER(FFslave,SIGN(CS261))*POWER(GEslave,SIGN(CT261))*POWER(KOslave,SIGN(CU261))*POWER(KKslave,SIGN(CV261))+CQ261*POWER(MUslave,SIGN(CO261))*POWER(KLslave,SIGN(CP261))*POWER(CHslave,SIGN(CR261))*POWER(FFslave,SIGN(CS261))*POWER(GEslave,SIGN(CT261))*POWER(KOslave,SIGN(CU261))*POWER(KKslave,SIGN(CV261))+CR261*POWER(MUslave,SIGN(CO261))*POWER(KLslave,SIGN(CP261))*POWER(INslave_IN,SIGN(CQ261))*POWER(FFslave,SIGN(CS261))*POWER(GEslave,SIGN(CT261))*POWER(KOslave,SIGN(CU261))*POWER(KKslave,SIGN(CV261))+CS261*POWER(MUslave,SIGN(CO261))*POWER(KLslave,SIGN(CP261))*POWER(INslave_IN,SIGN(CQ261))*POWER(CHslave,SIGN(CR261))*POWER(GEslave,SIGN(CT261))*POWER(KOslave,SIGN(CU261))*POWER(KKslave,SIGN(CV261))+CT261*POWER(MUslave,SIGN(CO261))*POWER(KLslave,SIGN(CP261))*POWER(INslave_IN,SIGN(CQ261))*POWER(CHslave,SIGN(CR261))*POWER(FFslave,SIGN(CS261))*POWER(KOslave,SIGN(CU261))*POWER(KKslave,SIGN(CV261))+CU261*POWER(MUslave,SIGN(CO261))*POWER(KLslave,SIGN(CP261))*POWER(INslave_IN,SIGN(CQ261))*POWER(CHslave,SIGN(CR261))*POWER(FFslave,SIGN(CS261))*POWER(GEslave,SIGN(CT261))*POWER(KKslave,SIGN(CV261))+CV261*POWER(MUslave,SIGN(CO261))*POWER(KLslave,SIGN(CP261))*POWER(INslave_IN,SIGN(CQ261))*POWER(CHslave,SIGN(CR261))*POWER(FFslave,SIGN(CS261))*POWER(GEslave,SIGN(CT261))*POWER(KOslave,SIGN(CU261))</f>
        <v>2304</v>
      </c>
      <c r="DA261" s="316">
        <f>CO261*CR261*GEslave+CO261*CHslave*CT261+MUslave*CR261*CT261</f>
        <v>3456</v>
      </c>
      <c r="DB261" s="221">
        <f t="shared" ref="DB261:DB285" si="1842">IFERROR(CO261^SIGN(CO261),1)*IFERROR(CP261^SIGN(CP261),1)*IFERROR(CQ261^SIGN(CQ261),1)*IFERROR(CR261^SIGN(CR261),1)*IFERROR(CS261^SIGN(CS261),1)*IFERROR(CT261^SIGN(CT261),1)*IFERROR(CU261^SIGN(CU261),1)*IFERROR(CV261^SIGN(CV261),1)</f>
        <v>1728</v>
      </c>
      <c r="DC261" s="221">
        <f t="shared" ref="DC261:DC296" si="1843">SUM(CZ261:DB261)</f>
        <v>7488</v>
      </c>
      <c r="DD261" s="219">
        <f t="shared" ref="DD261:DD296" si="1844">CW261*CZ261/DC261</f>
        <v>3.6923076923076925</v>
      </c>
      <c r="DE261" s="220">
        <f t="shared" ref="DE261:DE296" si="1845">CX261*DA261/DC261</f>
        <v>11.076923076923077</v>
      </c>
      <c r="DF261" s="241">
        <f t="shared" ref="DF261:DF296" si="1846">CY261*DB261/DC261</f>
        <v>8.3076923076923084</v>
      </c>
      <c r="DG261" s="241">
        <f t="shared" ref="DG261:DG296" si="1847">SUM(DD261:DF261)</f>
        <v>23.07692307692308</v>
      </c>
      <c r="DH261" s="252">
        <f t="shared" ref="DH261:DH324" si="1848">CE261</f>
        <v>0</v>
      </c>
      <c r="DI261" s="309">
        <f t="shared" ref="DI261:DI296" si="1849">DG261-DH261</f>
        <v>23.07692307692308</v>
      </c>
      <c r="DJ261" s="42">
        <f t="shared" ref="DJ261:DK263" si="1850">IF(DG261&lt;=0,1,0)+IF(DG261&gt;0,DG261+1,0)*1+IF(DG261&gt;12,DG261-12,0)*1+IF(DG261&gt;13,DG261-13,0)*1+IF(DG261&gt;14,DG261-14,0)*1+IF(DG261&gt;15,DG261-15,0)*1+IF(DG261&gt;16,DG261-16,0)*1+IF(DG261&gt;17,DG261-17,0)*1+IF(DG261&gt;18,DG261-18,0)*1+IF(DG261&gt;19,DG261-19,0)*1+IF(DG261&gt;20,DG261-20,0)*1</f>
        <v>87.769230769230802</v>
      </c>
      <c r="DK261" s="78">
        <f t="shared" si="1850"/>
        <v>1</v>
      </c>
      <c r="DL261" s="241">
        <f t="shared" ref="DL261:DL296" si="1851">IF((DJ261-DK261)&gt;0,DJ261-DK261,0)</f>
        <v>86.769230769230802</v>
      </c>
      <c r="DM261" s="42">
        <f t="shared" ref="DM261:DM296" si="1852">IF((DK261-DJ261)&gt;0,DK261-DJ261,0)</f>
        <v>0</v>
      </c>
      <c r="DO261" s="302" t="s">
        <v>352</v>
      </c>
      <c r="DP261" s="43" t="s">
        <v>172</v>
      </c>
      <c r="DQ261" s="241" t="s">
        <v>133</v>
      </c>
      <c r="DR261" s="236">
        <f>Konvention_1slave-MUslave</f>
        <v>12</v>
      </c>
      <c r="DS261" s="233"/>
      <c r="DT261" s="233"/>
      <c r="DU261" s="233">
        <f>Konvention_1slave-CHslave_CH</f>
        <v>11</v>
      </c>
      <c r="DV261" s="233"/>
      <c r="DW261" s="233">
        <f>Konvention_1slave-GEslave</f>
        <v>12</v>
      </c>
      <c r="DX261" s="233"/>
      <c r="DY261" s="221"/>
      <c r="DZ261" s="220">
        <f t="shared" ref="DZ261:DZ285" si="1853">(DR261+DS261+DT261+DU261+DV261+DW261+DX261+DY261)/3</f>
        <v>11.666666666666666</v>
      </c>
      <c r="EA261" s="220">
        <f t="shared" ref="EA261:EA296" si="1854">2*DZ261</f>
        <v>23.333333333333332</v>
      </c>
      <c r="EB261" s="221">
        <f t="shared" ref="EB261:EB296" si="1855">3*DZ261</f>
        <v>35</v>
      </c>
      <c r="EC261" s="236">
        <f t="shared" ref="EC261:EC285" si="1856">DR261*POWER(KLslave,SIGN(DS261))*POWER(INslave,SIGN(DT261))*POWER(CHslave_CH,SIGN(DU261))*POWER(FFslave,SIGN(DV261))*POWER(GEslave,SIGN(DW261))*POWER(KOslave,SIGN(DX261))*POWER(KKslave,SIGN(DY261))+DS261*POWER(MUslave,SIGN(DR261))*POWER(INslave,SIGN(DT261))*POWER(CHslave_CH,SIGN(DU261))*POWER(FFslave,SIGN(DV261))*POWER(GEslave,SIGN(DW261))*POWER(KOslave,SIGN(DX261))*POWER(KKslave,SIGN(DY261))+DT261*POWER(MUslave,SIGN(DR261))*POWER(KLslave,SIGN(DS261))*POWER(CHslave_CH,SIGN(DU261))*POWER(FFslave,SIGN(DV261))*POWER(GEslave,SIGN(DW261))*POWER(KOslave,SIGN(DX261))*POWER(KKslave,SIGN(DY261))+DU261*POWER(MUslave,SIGN(DR261))*POWER(KLslave,SIGN(DS261))*POWER(INslave,SIGN(DT261))*POWER(FFslave,SIGN(DV261))*POWER(GEslave,SIGN(DW261))*POWER(KOslave,SIGN(DX261))*POWER(KKslave,SIGN(DY261))+DV261*POWER(MUslave,SIGN(DR261))*POWER(KLslave,SIGN(DS261))*POWER(INslave,SIGN(DT261))*POWER(CHslave_CH,SIGN(DU261))*POWER(GEslave,SIGN(DW261))*POWER(KOslave,SIGN(DX261))*POWER(KKslave,SIGN(DY261))+DW261*POWER(MUslave,SIGN(DR261))*POWER(KLslave,SIGN(DS261))*POWER(INslave,SIGN(DT261))*POWER(CHslave_CH,SIGN(DU261))*POWER(FFslave,SIGN(DV261))*POWER(KOslave,SIGN(DX261))*POWER(KKslave,SIGN(DY261))+DX261*POWER(MUslave,SIGN(DR261))*POWER(KLslave,SIGN(DS261))*POWER(INslave,SIGN(DT261))*POWER(CHslave_CH,SIGN(DU261))*POWER(FFslave,SIGN(DV261))*POWER(GEslave,SIGN(DW261))*POWER(KKslave,SIGN(DY261))+DY261*POWER(MUslave,SIGN(DR261))*POWER(KLslave,SIGN(DS261))*POWER(INslave,SIGN(DT261))*POWER(CHslave_CH,SIGN(DU261))*POWER(FFslave,SIGN(DV261))*POWER(GEslave,SIGN(DW261))*POWER(KOslave,SIGN(DX261))</f>
        <v>2432</v>
      </c>
      <c r="ED261" s="316">
        <f>DR261*DU261*GEslave+DR261*CHslave_CH*DW261+MUslave*DU261*DW261</f>
        <v>3408</v>
      </c>
      <c r="EE261" s="221">
        <f t="shared" ref="EE261:EE285" si="1857">IFERROR(DR261^SIGN(DR261),1)*IFERROR(DS261^SIGN(DS261),1)*IFERROR(DT261^SIGN(DT261),1)*IFERROR(DU261^SIGN(DU261),1)*IFERROR(DV261^SIGN(DV261),1)*IFERROR(DW261^SIGN(DW261),1)*IFERROR(DX261^SIGN(DX261),1)*IFERROR(DY261^SIGN(DY261),1)</f>
        <v>1584</v>
      </c>
      <c r="EF261" s="221">
        <f t="shared" ref="EF261:EF296" si="1858">SUM(EC261:EE261)</f>
        <v>7424</v>
      </c>
      <c r="EG261" s="219">
        <f t="shared" ref="EG261:EG296" si="1859">DZ261*EC261/EF261</f>
        <v>3.8218390804597702</v>
      </c>
      <c r="EH261" s="220">
        <f t="shared" ref="EH261:EH296" si="1860">EA261*ED261/EF261</f>
        <v>10.711206896551724</v>
      </c>
      <c r="EI261" s="241">
        <f t="shared" ref="EI261:EI296" si="1861">EB261*EE261/EF261</f>
        <v>7.4676724137931032</v>
      </c>
      <c r="EJ261" s="241">
        <f t="shared" ref="EJ261:EJ296" si="1862">SUM(EG261:EI261)</f>
        <v>22.000718390804597</v>
      </c>
      <c r="EK261" s="252">
        <f t="shared" ref="EK261:EK324" si="1863">DH261</f>
        <v>0</v>
      </c>
      <c r="EL261" s="309">
        <f t="shared" ref="EL261:EL296" si="1864">EJ261-EK261</f>
        <v>22.000718390804597</v>
      </c>
      <c r="EM261" s="42">
        <f t="shared" ref="EM261:EN263" si="1865">IF(EJ261&lt;=0,1,0)+IF(EJ261&gt;0,EJ261+1,0)*1+IF(EJ261&gt;12,EJ261-12,0)*1+IF(EJ261&gt;13,EJ261-13,0)*1+IF(EJ261&gt;14,EJ261-14,0)*1+IF(EJ261&gt;15,EJ261-15,0)*1+IF(EJ261&gt;16,EJ261-16,0)*1+IF(EJ261&gt;17,EJ261-17,0)*1+IF(EJ261&gt;18,EJ261-18,0)*1+IF(EJ261&gt;19,EJ261-19,0)*1+IF(EJ261&gt;20,EJ261-20,0)*1</f>
        <v>77.007183908045945</v>
      </c>
      <c r="EN261" s="78">
        <f t="shared" si="1865"/>
        <v>1</v>
      </c>
      <c r="EO261" s="241">
        <f t="shared" ref="EO261:EO296" si="1866">IF((EM261-EN261)&gt;0,EM261-EN261,0)</f>
        <v>76.007183908045945</v>
      </c>
      <c r="EP261" s="42">
        <f t="shared" ref="EP261:EP296" si="1867">IF((EN261-EM261)&gt;0,EN261-EM261,0)</f>
        <v>0</v>
      </c>
      <c r="ER261" s="302" t="s">
        <v>352</v>
      </c>
      <c r="ES261" s="43" t="s">
        <v>172</v>
      </c>
      <c r="ET261" s="241" t="s">
        <v>133</v>
      </c>
      <c r="EU261" s="236">
        <f>Konvention_1slave-MUslave</f>
        <v>12</v>
      </c>
      <c r="EV261" s="233"/>
      <c r="EW261" s="233"/>
      <c r="EX261" s="233">
        <f>Konvention_1slave-CHslave</f>
        <v>12</v>
      </c>
      <c r="EY261" s="233"/>
      <c r="EZ261" s="233">
        <f>Konvention_1slave-GEslave</f>
        <v>12</v>
      </c>
      <c r="FA261" s="233"/>
      <c r="FB261" s="221"/>
      <c r="FC261" s="220">
        <f t="shared" ref="FC261:FC285" si="1868">(EU261+EV261+EW261+EX261+EY261+EZ261+FA261+FB261)/3</f>
        <v>12</v>
      </c>
      <c r="FD261" s="220">
        <f t="shared" ref="FD261:FD296" si="1869">2*FC261</f>
        <v>24</v>
      </c>
      <c r="FE261" s="221">
        <f t="shared" ref="FE261:FE296" si="1870">3*FC261</f>
        <v>36</v>
      </c>
      <c r="FF261" s="236">
        <f t="shared" ref="FF261:FF285" si="1871">EU261*POWER(KLslave,SIGN(EV261))*POWER(INslave,SIGN(EW261))*POWER(CHslave,SIGN(EX261))*POWER(FFslave_FF,SIGN(EY261))*POWER(GEslave,SIGN(EZ261))*POWER(KOslave,SIGN(FA261))*POWER(KKslave,SIGN(FB261))+EV261*POWER(MUslave,SIGN(EU261))*POWER(INslave,SIGN(EW261))*POWER(CHslave,SIGN(EX261))*POWER(FFslave_FF,SIGN(EY261))*POWER(GEslave,SIGN(EZ261))*POWER(KOslave,SIGN(FA261))*POWER(KKslave,SIGN(FB261))+EW261*POWER(MUslave,SIGN(EU261))*POWER(KLslave,SIGN(EV261))*POWER(CHslave,SIGN(EX261))*POWER(FFslave_FF,SIGN(EY261))*POWER(GEslave,SIGN(EZ261))*POWER(KOslave,SIGN(FA261))*POWER(KKslave,SIGN(FB261))+EX261*POWER(MUslave,SIGN(EU261))*POWER(KLslave,SIGN(EV261))*POWER(INslave,SIGN(EW261))*POWER(FFslave_FF,SIGN(EY261))*POWER(GEslave,SIGN(EZ261))*POWER(KOslave,SIGN(FA261))*POWER(KKslave,SIGN(FB261))+EY261*POWER(MUslave,SIGN(EU261))*POWER(KLslave,SIGN(EV261))*POWER(INslave,SIGN(EW261))*POWER(CHslave,SIGN(EX261))*POWER(GEslave,SIGN(EZ261))*POWER(KOslave,SIGN(FA261))*POWER(KKslave,SIGN(FB261))+EZ261*POWER(MUslave,SIGN(EU261))*POWER(KLslave,SIGN(EV261))*POWER(INslave,SIGN(EW261))*POWER(CHslave,SIGN(EX261))*POWER(FFslave_FF,SIGN(EY261))*POWER(KOslave,SIGN(FA261))*POWER(KKslave,SIGN(FB261))+FA261*POWER(MUslave,SIGN(EU261))*POWER(KLslave,SIGN(EV261))*POWER(INslave,SIGN(EW261))*POWER(CHslave,SIGN(EX261))*POWER(FFslave_FF,SIGN(EY261))*POWER(GEslave,SIGN(EZ261))*POWER(KKslave,SIGN(FB261))+FB261*POWER(MUslave,SIGN(EU261))*POWER(KLslave,SIGN(EV261))*POWER(INslave,SIGN(EW261))*POWER(CHslave,SIGN(EX261))*POWER(FFslave_FF,SIGN(EY261))*POWER(GEslave,SIGN(EZ261))*POWER(KOslave,SIGN(FA261))</f>
        <v>2304</v>
      </c>
      <c r="FG261" s="316">
        <f>EU261*EX261*GEslave+EU261*CHslave*EZ261+MUslave*EX261*EZ261</f>
        <v>3456</v>
      </c>
      <c r="FH261" s="221">
        <f t="shared" ref="FH261:FH285" si="1872">IFERROR(EU261^SIGN(EU261),1)*IFERROR(EV261^SIGN(EV261),1)*IFERROR(EW261^SIGN(EW261),1)*IFERROR(EX261^SIGN(EX261),1)*IFERROR(EY261^SIGN(EY261),1)*IFERROR(EZ261^SIGN(EZ261),1)*IFERROR(FA261^SIGN(FA261),1)*IFERROR(FB261^SIGN(FB261),1)</f>
        <v>1728</v>
      </c>
      <c r="FI261" s="221">
        <f t="shared" ref="FI261:FI296" si="1873">SUM(FF261:FH261)</f>
        <v>7488</v>
      </c>
      <c r="FJ261" s="219">
        <f t="shared" ref="FJ261:FJ296" si="1874">FC261*FF261/FI261</f>
        <v>3.6923076923076925</v>
      </c>
      <c r="FK261" s="220">
        <f t="shared" ref="FK261:FK296" si="1875">FD261*FG261/FI261</f>
        <v>11.076923076923077</v>
      </c>
      <c r="FL261" s="241">
        <f t="shared" ref="FL261:FL296" si="1876">FE261*FH261/FI261</f>
        <v>8.3076923076923084</v>
      </c>
      <c r="FM261" s="241">
        <f t="shared" ref="FM261:FM296" si="1877">SUM(FJ261:FL261)</f>
        <v>23.07692307692308</v>
      </c>
      <c r="FN261" s="252">
        <f t="shared" ref="FN261:FN324" si="1878">EK261</f>
        <v>0</v>
      </c>
      <c r="FO261" s="309">
        <f t="shared" ref="FO261:FO296" si="1879">FM261-FN261</f>
        <v>23.07692307692308</v>
      </c>
      <c r="FP261" s="42">
        <f t="shared" ref="FP261:FQ263" si="1880">IF(FM261&lt;=0,1,0)+IF(FM261&gt;0,FM261+1,0)*1+IF(FM261&gt;12,FM261-12,0)*1+IF(FM261&gt;13,FM261-13,0)*1+IF(FM261&gt;14,FM261-14,0)*1+IF(FM261&gt;15,FM261-15,0)*1+IF(FM261&gt;16,FM261-16,0)*1+IF(FM261&gt;17,FM261-17,0)*1+IF(FM261&gt;18,FM261-18,0)*1+IF(FM261&gt;19,FM261-19,0)*1+IF(FM261&gt;20,FM261-20,0)*1</f>
        <v>87.769230769230802</v>
      </c>
      <c r="FQ261" s="78">
        <f t="shared" si="1880"/>
        <v>1</v>
      </c>
      <c r="FR261" s="241">
        <f t="shared" ref="FR261:FR296" si="1881">IF((FP261-FQ261)&gt;0,FP261-FQ261,0)</f>
        <v>86.769230769230802</v>
      </c>
      <c r="FS261" s="42">
        <f t="shared" ref="FS261:FS296" si="1882">IF((FQ261-FP261)&gt;0,FQ261-FP261,0)</f>
        <v>0</v>
      </c>
      <c r="FU261" s="302" t="s">
        <v>352</v>
      </c>
      <c r="FV261" s="43" t="s">
        <v>172</v>
      </c>
      <c r="FW261" s="241" t="s">
        <v>133</v>
      </c>
      <c r="FX261" s="236">
        <f>Konvention_1slave-MUslave</f>
        <v>12</v>
      </c>
      <c r="FY261" s="233"/>
      <c r="FZ261" s="233"/>
      <c r="GA261" s="233">
        <f>Konvention_1slave-CHslave</f>
        <v>12</v>
      </c>
      <c r="GB261" s="233"/>
      <c r="GC261" s="233">
        <f>Konvention_1slave-GEslave_GE</f>
        <v>11</v>
      </c>
      <c r="GD261" s="233"/>
      <c r="GE261" s="221"/>
      <c r="GF261" s="220">
        <f t="shared" ref="GF261:GF285" si="1883">(FX261+FY261+FZ261+GA261+GB261+GC261+GD261+GE261)/3</f>
        <v>11.666666666666666</v>
      </c>
      <c r="GG261" s="220">
        <f t="shared" ref="GG261:GG296" si="1884">2*GF261</f>
        <v>23.333333333333332</v>
      </c>
      <c r="GH261" s="221">
        <f t="shared" ref="GH261:GH296" si="1885">3*GF261</f>
        <v>35</v>
      </c>
      <c r="GI261" s="236">
        <f t="shared" ref="GI261:GI285" si="1886">FX261*POWER(KLslave,SIGN(FY261))*POWER(INslave,SIGN(FZ261))*POWER(CHslave,SIGN(GA261))*POWER(FFslave,SIGN(GB261))*POWER(GEslave_GE,SIGN(GC261))*POWER(KOslave,SIGN(GD261))*POWER(KKslave,SIGN(GE261))+FY261*POWER(MUslave,SIGN(FX261))*POWER(INslave,SIGN(FZ261))*POWER(CHslave,SIGN(GA261))*POWER(FFslave,SIGN(GB261))*POWER(GEslave_GE,SIGN(GC261))*POWER(KOslave,SIGN(GD261))*POWER(KKslave,SIGN(GE261))+FZ261*POWER(MUslave,SIGN(FX261))*POWER(KLslave,SIGN(FY261))*POWER(CHslave,SIGN(GA261))*POWER(FFslave,SIGN(GB261))*POWER(GEslave_GE,SIGN(GC261))*POWER(KOslave,SIGN(GD261))*POWER(KKslave,SIGN(GE261))+GA261*POWER(MUslave,SIGN(FX261))*POWER(KLslave,SIGN(FY261))*POWER(INslave,SIGN(FZ261))*POWER(FFslave,SIGN(GB261))*POWER(GEslave_GE,SIGN(GC261))*POWER(KOslave,SIGN(GD261))*POWER(KKslave,SIGN(GE261))+GB261*POWER(MUslave,SIGN(FX261))*POWER(KLslave,SIGN(FY261))*POWER(INslave,SIGN(FZ261))*POWER(CHslave,SIGN(GA261))*POWER(GEslave_GE,SIGN(GC261))*POWER(KOslave,SIGN(GD261))*POWER(KKslave,SIGN(GE261))+GC261*POWER(MUslave,SIGN(FX261))*POWER(KLslave,SIGN(FY261))*POWER(INslave,SIGN(FZ261))*POWER(CHslave,SIGN(GA261))*POWER(FFslave,SIGN(GB261))*POWER(KOslave,SIGN(GD261))*POWER(KKslave,SIGN(GE261))+GD261*POWER(MUslave,SIGN(FX261))*POWER(KLslave,SIGN(FY261))*POWER(INslave,SIGN(FZ261))*POWER(CHslave,SIGN(GA261))*POWER(FFslave,SIGN(GB261))*POWER(GEslave_GE,SIGN(GC261))*POWER(KKslave,SIGN(GE261))+GE261*POWER(MUslave,SIGN(FX261))*POWER(KLslave,SIGN(FY261))*POWER(INslave,SIGN(FZ261))*POWER(CHslave,SIGN(GA261))*POWER(FFslave,SIGN(GB261))*POWER(GEslave_GE,SIGN(GC261))*POWER(KOslave,SIGN(GD261))</f>
        <v>2432</v>
      </c>
      <c r="GJ261" s="316">
        <f>FX261*GA261*GEslave_GE+FX261*CHslave*GC261+MUslave*GA261*GC261</f>
        <v>3408</v>
      </c>
      <c r="GK261" s="221">
        <f t="shared" ref="GK261:GK285" si="1887">IFERROR(FX261^SIGN(FX261),1)*IFERROR(FY261^SIGN(FY261),1)*IFERROR(FZ261^SIGN(FZ261),1)*IFERROR(GA261^SIGN(GA261),1)*IFERROR(GB261^SIGN(GB261),1)*IFERROR(GC261^SIGN(GC261),1)*IFERROR(GD261^SIGN(GD261),1)*IFERROR(GE261^SIGN(GE261),1)</f>
        <v>1584</v>
      </c>
      <c r="GL261" s="221">
        <f t="shared" ref="GL261:GL296" si="1888">SUM(GI261:GK261)</f>
        <v>7424</v>
      </c>
      <c r="GM261" s="219">
        <f t="shared" ref="GM261:GM296" si="1889">GF261*GI261/GL261</f>
        <v>3.8218390804597702</v>
      </c>
      <c r="GN261" s="220">
        <f t="shared" ref="GN261:GN296" si="1890">GG261*GJ261/GL261</f>
        <v>10.711206896551724</v>
      </c>
      <c r="GO261" s="241">
        <f t="shared" ref="GO261:GO296" si="1891">GH261*GK261/GL261</f>
        <v>7.4676724137931032</v>
      </c>
      <c r="GP261" s="241">
        <f t="shared" ref="GP261:GP296" si="1892">SUM(GM261:GO261)</f>
        <v>22.000718390804597</v>
      </c>
      <c r="GQ261" s="252">
        <f t="shared" ref="GQ261:GQ324" si="1893">FN261</f>
        <v>0</v>
      </c>
      <c r="GR261" s="309">
        <f t="shared" ref="GR261:GR296" si="1894">GP261-GQ261</f>
        <v>22.000718390804597</v>
      </c>
      <c r="GS261" s="42">
        <f t="shared" ref="GS261:GT263" si="1895">IF(GP261&lt;=0,1,0)+IF(GP261&gt;0,GP261+1,0)*1+IF(GP261&gt;12,GP261-12,0)*1+IF(GP261&gt;13,GP261-13,0)*1+IF(GP261&gt;14,GP261-14,0)*1+IF(GP261&gt;15,GP261-15,0)*1+IF(GP261&gt;16,GP261-16,0)*1+IF(GP261&gt;17,GP261-17,0)*1+IF(GP261&gt;18,GP261-18,0)*1+IF(GP261&gt;19,GP261-19,0)*1+IF(GP261&gt;20,GP261-20,0)*1</f>
        <v>77.007183908045945</v>
      </c>
      <c r="GT261" s="78">
        <f t="shared" si="1895"/>
        <v>1</v>
      </c>
      <c r="GU261" s="241">
        <f t="shared" ref="GU261:GU296" si="1896">IF((GS261-GT261)&gt;0,GS261-GT261,0)</f>
        <v>76.007183908045945</v>
      </c>
      <c r="GV261" s="42">
        <f t="shared" ref="GV261:GV296" si="1897">IF((GT261-GS261)&gt;0,GT261-GS261,0)</f>
        <v>0</v>
      </c>
      <c r="GX261" s="302" t="s">
        <v>352</v>
      </c>
      <c r="GY261" s="43" t="s">
        <v>172</v>
      </c>
      <c r="GZ261" s="241" t="s">
        <v>133</v>
      </c>
      <c r="HA261" s="236">
        <f>Konvention_1slave-MUslave</f>
        <v>12</v>
      </c>
      <c r="HB261" s="233"/>
      <c r="HC261" s="233"/>
      <c r="HD261" s="233">
        <f>Konvention_1slave-CHslave</f>
        <v>12</v>
      </c>
      <c r="HE261" s="233"/>
      <c r="HF261" s="233">
        <f>Konvention_1slave-GEslave</f>
        <v>12</v>
      </c>
      <c r="HG261" s="233"/>
      <c r="HH261" s="221"/>
      <c r="HI261" s="220">
        <f t="shared" ref="HI261:HI285" si="1898">(HA261+HB261+HC261+HD261+HE261+HF261+HG261+HH261)/3</f>
        <v>12</v>
      </c>
      <c r="HJ261" s="220">
        <f t="shared" ref="HJ261:HJ296" si="1899">2*HI261</f>
        <v>24</v>
      </c>
      <c r="HK261" s="221">
        <f t="shared" ref="HK261:HK296" si="1900">3*HI261</f>
        <v>36</v>
      </c>
      <c r="HL261" s="236">
        <f t="shared" ref="HL261:HL285" si="1901">HA261*POWER(KLslave,SIGN(HB261))*POWER(INslave,SIGN(HC261))*POWER(CHslave,SIGN(HD261))*POWER(FFslave,SIGN(HE261))*POWER(GEslave,SIGN(HF261))*POWER(KOslave_KO,SIGN(HG261))*POWER(KKslave,SIGN(HH261))+HB261*POWER(MUslave,SIGN(HA261))*POWER(INslave,SIGN(HC261))*POWER(CHslave,SIGN(HD261))*POWER(FFslave,SIGN(HE261))*POWER(GEslave,SIGN(HF261))*POWER(KOslave_KO,SIGN(HG261))*POWER(KKslave,SIGN(HH261))+HC261*POWER(MUslave,SIGN(HA261))*POWER(KLslave,SIGN(HB261))*POWER(CHslave,SIGN(HD261))*POWER(FFslave,SIGN(HE261))*POWER(GEslave,SIGN(HF261))*POWER(KOslave_KO,SIGN(HG261))*POWER(KKslave,SIGN(HH261))+HD261*POWER(MUslave,SIGN(HA261))*POWER(KLslave,SIGN(HB261))*POWER(INslave,SIGN(HC261))*POWER(FFslave,SIGN(HE261))*POWER(GEslave,SIGN(HF261))*POWER(KOslave_KO,SIGN(HG261))*POWER(KKslave,SIGN(HH261))+HE261*POWER(MUslave,SIGN(HA261))*POWER(KLslave,SIGN(HB261))*POWER(INslave,SIGN(HC261))*POWER(CHslave,SIGN(HD261))*POWER(GEslave,SIGN(HF261))*POWER(KOslave_KO,SIGN(HG261))*POWER(KKslave,SIGN(HH261))+HF261*POWER(MUslave,SIGN(HA261))*POWER(KLslave,SIGN(HB261))*POWER(INslave,SIGN(HC261))*POWER(CHslave,SIGN(HD261))*POWER(FFslave,SIGN(HE261))*POWER(KOslave_KO,SIGN(HG261))*POWER(KKslave,SIGN(HH261))+HG261*POWER(MUslave,SIGN(HA261))*POWER(KLslave,SIGN(HB261))*POWER(INslave,SIGN(HC261))*POWER(CHslave,SIGN(HD261))*POWER(FFslave,SIGN(HE261))*POWER(GEslave,SIGN(HF261))*POWER(KKslave,SIGN(HH261))+HH261*POWER(MUslave,SIGN(HA261))*POWER(KLslave,SIGN(HB261))*POWER(INslave,SIGN(HC261))*POWER(CHslave,SIGN(HD261))*POWER(FFslave,SIGN(HE261))*POWER(GEslave,SIGN(HF261))*POWER(KOslave_KO,SIGN(HG261))</f>
        <v>2304</v>
      </c>
      <c r="HM261" s="316">
        <f>HA261*HD261*GEslave+HA261*CHslave*HF261+MUslave*HD261*HF261</f>
        <v>3456</v>
      </c>
      <c r="HN261" s="221">
        <f t="shared" ref="HN261:HN285" si="1902">IFERROR(HA261^SIGN(HA261),1)*IFERROR(HB261^SIGN(HB261),1)*IFERROR(HC261^SIGN(HC261),1)*IFERROR(HD261^SIGN(HD261),1)*IFERROR(HE261^SIGN(HE261),1)*IFERROR(HF261^SIGN(HF261),1)*IFERROR(HG261^SIGN(HG261),1)*IFERROR(HH261^SIGN(HH261),1)</f>
        <v>1728</v>
      </c>
      <c r="HO261" s="221">
        <f t="shared" ref="HO261:HO296" si="1903">SUM(HL261:HN261)</f>
        <v>7488</v>
      </c>
      <c r="HP261" s="219">
        <f t="shared" ref="HP261:HP296" si="1904">HI261*HL261/HO261</f>
        <v>3.6923076923076925</v>
      </c>
      <c r="HQ261" s="220">
        <f t="shared" ref="HQ261:HQ296" si="1905">HJ261*HM261/HO261</f>
        <v>11.076923076923077</v>
      </c>
      <c r="HR261" s="241">
        <f t="shared" ref="HR261:HR296" si="1906">HK261*HN261/HO261</f>
        <v>8.3076923076923084</v>
      </c>
      <c r="HS261" s="241">
        <f t="shared" ref="HS261:HS296" si="1907">SUM(HP261:HR261)</f>
        <v>23.07692307692308</v>
      </c>
      <c r="HT261" s="252">
        <f t="shared" ref="HT261:HT324" si="1908">GQ261</f>
        <v>0</v>
      </c>
      <c r="HU261" s="309">
        <f t="shared" ref="HU261:HU296" si="1909">HS261-HT261</f>
        <v>23.07692307692308</v>
      </c>
      <c r="HV261" s="42">
        <f t="shared" ref="HV261:HW263" si="1910">IF(HS261&lt;=0,1,0)+IF(HS261&gt;0,HS261+1,0)*1+IF(HS261&gt;12,HS261-12,0)*1+IF(HS261&gt;13,HS261-13,0)*1+IF(HS261&gt;14,HS261-14,0)*1+IF(HS261&gt;15,HS261-15,0)*1+IF(HS261&gt;16,HS261-16,0)*1+IF(HS261&gt;17,HS261-17,0)*1+IF(HS261&gt;18,HS261-18,0)*1+IF(HS261&gt;19,HS261-19,0)*1+IF(HS261&gt;20,HS261-20,0)*1</f>
        <v>87.769230769230802</v>
      </c>
      <c r="HW261" s="78">
        <f t="shared" si="1910"/>
        <v>1</v>
      </c>
      <c r="HX261" s="241">
        <f t="shared" ref="HX261:HX296" si="1911">IF((HV261-HW261)&gt;0,HV261-HW261,0)</f>
        <v>86.769230769230802</v>
      </c>
      <c r="HY261" s="42">
        <f t="shared" ref="HY261:HY296" si="1912">IF((HW261-HV261)&gt;0,HW261-HV261,0)</f>
        <v>0</v>
      </c>
      <c r="IA261" s="302" t="s">
        <v>352</v>
      </c>
      <c r="IB261" s="43" t="s">
        <v>172</v>
      </c>
      <c r="IC261" s="241" t="s">
        <v>133</v>
      </c>
      <c r="ID261" s="236">
        <f>Konvention_1slave-MUslave</f>
        <v>12</v>
      </c>
      <c r="IE261" s="233"/>
      <c r="IF261" s="233"/>
      <c r="IG261" s="233">
        <f>Konvention_1slave-CHslave</f>
        <v>12</v>
      </c>
      <c r="IH261" s="233"/>
      <c r="II261" s="233">
        <f>Konvention_1slave-GEslave</f>
        <v>12</v>
      </c>
      <c r="IJ261" s="233"/>
      <c r="IK261" s="221"/>
      <c r="IL261" s="220">
        <f t="shared" ref="IL261:IL285" si="1913">(ID261+IE261+IF261+IG261+IH261+II261+IJ261+IK261)/3</f>
        <v>12</v>
      </c>
      <c r="IM261" s="220">
        <f t="shared" ref="IM261:IM296" si="1914">2*IL261</f>
        <v>24</v>
      </c>
      <c r="IN261" s="221">
        <f t="shared" ref="IN261:IN296" si="1915">3*IL261</f>
        <v>36</v>
      </c>
      <c r="IO261" s="236">
        <f t="shared" ref="IO261:IO285" si="1916">ID261*POWER(KLslave,SIGN(IE261))*POWER(INslave,SIGN(IF261))*POWER(CHslave,SIGN(IG261))*POWER(FFslave,SIGN(IH261))*POWER(GEslave,SIGN(II261))*POWER(KOslave,SIGN(IJ261))*POWER(KKslave_KK,SIGN(IK261))+IE261*POWER(MUslave,SIGN(ID261))*POWER(INslave,SIGN(IF261))*POWER(CHslave,SIGN(IG261))*POWER(FFslave,SIGN(IH261))*POWER(GEslave,SIGN(II261))*POWER(KOslave,SIGN(IJ261))*POWER(KKslave_KK,SIGN(IK261))+IF261*POWER(MUslave,SIGN(ID261))*POWER(KLslave,SIGN(IE261))*POWER(CHslave,SIGN(IG261))*POWER(FFslave,SIGN(IH261))*POWER(GEslave,SIGN(II261))*POWER(KOslave,SIGN(IJ261))*POWER(KKslave_KK,SIGN(IK261))+IG261*POWER(MUslave,SIGN(ID261))*POWER(KLslave,SIGN(IE261))*POWER(INslave,SIGN(IF261))*POWER(FFslave,SIGN(IH261))*POWER(GEslave,SIGN(II261))*POWER(KOslave,SIGN(IJ261))*POWER(KKslave_KK,SIGN(IK261))+IH261*POWER(MUslave,SIGN(ID261))*POWER(KLslave,SIGN(IE261))*POWER(INslave,SIGN(IF261))*POWER(CHslave,SIGN(IG261))*POWER(GEslave,SIGN(II261))*POWER(KOslave,SIGN(IJ261))*POWER(KKslave_KK,SIGN(IK261))+II261*POWER(MUslave,SIGN(ID261))*POWER(KLslave,SIGN(IE261))*POWER(INslave,SIGN(IF261))*POWER(CHslave,SIGN(IG261))*POWER(FFslave,SIGN(IH261))*POWER(KOslave,SIGN(IJ261))*POWER(KKslave_KK,SIGN(IK261))+IJ261*POWER(MUslave,SIGN(ID261))*POWER(KLslave,SIGN(IE261))*POWER(INslave,SIGN(IF261))*POWER(CHslave,SIGN(IG261))*POWER(FFslave,SIGN(IH261))*POWER(GEslave,SIGN(II261))*POWER(KKslave_KK,SIGN(IK261))+IK261*POWER(MUslave,SIGN(ID261))*POWER(KLslave,SIGN(IE261))*POWER(INslave,SIGN(IF261))*POWER(CHslave,SIGN(IG261))*POWER(FFslave,SIGN(IH261))*POWER(GEslave,SIGN(II261))*POWER(KOslave,SIGN(IJ261))</f>
        <v>2304</v>
      </c>
      <c r="IP261" s="316">
        <f>ID261*IG261*GEslave+ID261*CHslave*II261+MUslave*IG261*II261</f>
        <v>3456</v>
      </c>
      <c r="IQ261" s="221">
        <f t="shared" ref="IQ261:IQ285" si="1917">IFERROR(ID261^SIGN(ID261),1)*IFERROR(IE261^SIGN(IE261),1)*IFERROR(IF261^SIGN(IF261),1)*IFERROR(IG261^SIGN(IG261),1)*IFERROR(IH261^SIGN(IH261),1)*IFERROR(II261^SIGN(II261),1)*IFERROR(IJ261^SIGN(IJ261),1)*IFERROR(IK261^SIGN(IK261),1)</f>
        <v>1728</v>
      </c>
      <c r="IR261" s="221">
        <f t="shared" ref="IR261:IR296" si="1918">SUM(IO261:IQ261)</f>
        <v>7488</v>
      </c>
      <c r="IS261" s="219">
        <f t="shared" ref="IS261:IS296" si="1919">IL261*IO261/IR261</f>
        <v>3.6923076923076925</v>
      </c>
      <c r="IT261" s="220">
        <f t="shared" ref="IT261:IT296" si="1920">IM261*IP261/IR261</f>
        <v>11.076923076923077</v>
      </c>
      <c r="IU261" s="241">
        <f t="shared" ref="IU261:IU296" si="1921">IN261*IQ261/IR261</f>
        <v>8.3076923076923084</v>
      </c>
      <c r="IV261" s="241">
        <f t="shared" ref="IV261:IV296" si="1922">SUM(IS261:IU261)</f>
        <v>23.07692307692308</v>
      </c>
      <c r="IW261" s="252">
        <f t="shared" ref="IW261:IW324" si="1923">HT261</f>
        <v>0</v>
      </c>
      <c r="IX261" s="309">
        <f t="shared" ref="IX261:IX296" si="1924">IV261-IW261</f>
        <v>23.07692307692308</v>
      </c>
      <c r="IY261" s="42">
        <f t="shared" ref="IY261:IZ263" si="1925">IF(IV261&lt;=0,1,0)+IF(IV261&gt;0,IV261+1,0)*1+IF(IV261&gt;12,IV261-12,0)*1+IF(IV261&gt;13,IV261-13,0)*1+IF(IV261&gt;14,IV261-14,0)*1+IF(IV261&gt;15,IV261-15,0)*1+IF(IV261&gt;16,IV261-16,0)*1+IF(IV261&gt;17,IV261-17,0)*1+IF(IV261&gt;18,IV261-18,0)*1+IF(IV261&gt;19,IV261-19,0)*1+IF(IV261&gt;20,IV261-20,0)*1</f>
        <v>87.769230769230802</v>
      </c>
      <c r="IZ261" s="78">
        <f t="shared" si="1925"/>
        <v>1</v>
      </c>
      <c r="JA261" s="241">
        <f t="shared" ref="JA261:JA296" si="1926">IF((IY261-IZ261)&gt;0,IY261-IZ261,0)</f>
        <v>86.769230769230802</v>
      </c>
      <c r="JB261" s="42">
        <f t="shared" ref="JB261:JB296" si="1927">IF((IZ261-IY261)&gt;0,IZ261-IY261,0)</f>
        <v>0</v>
      </c>
      <c r="JE261" s="148"/>
    </row>
    <row r="262" spans="2:265" ht="15" hidden="1" customHeight="1" outlineLevel="2">
      <c r="B262" s="148">
        <v>2</v>
      </c>
      <c r="C262" s="303" t="e">
        <f>VLOOKUP(AF262,Attribute!C:T,1,FALSE)</f>
        <v>#N/A</v>
      </c>
      <c r="D262" s="125" t="s">
        <v>227</v>
      </c>
      <c r="E262" s="127" t="s">
        <v>133</v>
      </c>
      <c r="F262" s="114">
        <f>Konvention_1master-MUmaster</f>
        <v>12</v>
      </c>
      <c r="G262" s="113"/>
      <c r="H262" s="113"/>
      <c r="I262" s="113">
        <f>Konvention_1master-CHmaster</f>
        <v>12</v>
      </c>
      <c r="J262" s="113"/>
      <c r="K262" s="113"/>
      <c r="L262" s="113">
        <f>Konvention_1master-KOmaster</f>
        <v>12</v>
      </c>
      <c r="M262" s="119"/>
      <c r="N262" s="223">
        <f t="shared" si="1794"/>
        <v>12</v>
      </c>
      <c r="O262" s="223">
        <f t="shared" si="1795"/>
        <v>24</v>
      </c>
      <c r="P262" s="224">
        <f t="shared" si="1796"/>
        <v>36</v>
      </c>
      <c r="Q262" s="237">
        <f t="shared" si="1797"/>
        <v>2304</v>
      </c>
      <c r="R262" s="113">
        <f>F262*I262*KOmaster+F262*CHmaster*L262+MUmaster*I262*L262</f>
        <v>3456</v>
      </c>
      <c r="S262" s="224">
        <f t="shared" si="1798"/>
        <v>1728</v>
      </c>
      <c r="T262" s="224">
        <f t="shared" si="1799"/>
        <v>7488</v>
      </c>
      <c r="U262" s="222">
        <f t="shared" si="1800"/>
        <v>3.6923076923076925</v>
      </c>
      <c r="V262" s="223">
        <f t="shared" si="1801"/>
        <v>11.076923076923077</v>
      </c>
      <c r="W262" s="243">
        <f t="shared" si="1802"/>
        <v>8.3076923076923084</v>
      </c>
      <c r="X262" s="243">
        <f t="shared" si="1803"/>
        <v>23.07692307692308</v>
      </c>
      <c r="Y262" s="252">
        <v>0</v>
      </c>
      <c r="Z262" s="198">
        <f t="shared" si="1804"/>
        <v>23.07692307692308</v>
      </c>
      <c r="AA262" s="125">
        <f t="shared" si="1805"/>
        <v>87.769230769230802</v>
      </c>
      <c r="AB262" s="160">
        <f t="shared" si="1805"/>
        <v>1</v>
      </c>
      <c r="AC262" s="127">
        <f t="shared" si="1806"/>
        <v>86.769230769230802</v>
      </c>
      <c r="AD262" s="125">
        <f t="shared" si="1807"/>
        <v>0</v>
      </c>
      <c r="AF262" s="163" t="s">
        <v>409</v>
      </c>
      <c r="AG262" s="125" t="s">
        <v>227</v>
      </c>
      <c r="AH262" s="127" t="s">
        <v>133</v>
      </c>
      <c r="AI262" s="114">
        <f>Konvention_1slave-MUslave_MU</f>
        <v>11</v>
      </c>
      <c r="AJ262" s="113"/>
      <c r="AK262" s="113"/>
      <c r="AL262" s="113">
        <f>Konvention_1slave-CHslave</f>
        <v>12</v>
      </c>
      <c r="AM262" s="113"/>
      <c r="AN262" s="113"/>
      <c r="AO262" s="113">
        <f>Konvention_1slave-KOslave</f>
        <v>12</v>
      </c>
      <c r="AP262" s="119"/>
      <c r="AQ262" s="47">
        <f t="shared" si="1808"/>
        <v>11.666666666666666</v>
      </c>
      <c r="AR262" s="47">
        <f t="shared" si="1809"/>
        <v>23.333333333333332</v>
      </c>
      <c r="AS262" s="119">
        <f t="shared" si="1810"/>
        <v>35</v>
      </c>
      <c r="AT262" s="114">
        <f t="shared" si="1811"/>
        <v>2432</v>
      </c>
      <c r="AU262" s="113">
        <f>AI262*AL262*KOslave+AI262*CHslave*AO262+MUslave_MU*AL262*AO262</f>
        <v>3408</v>
      </c>
      <c r="AV262" s="119">
        <f t="shared" si="1812"/>
        <v>1584</v>
      </c>
      <c r="AW262" s="119">
        <f t="shared" si="1813"/>
        <v>7424</v>
      </c>
      <c r="AX262" s="89">
        <f t="shared" si="1814"/>
        <v>3.8218390804597702</v>
      </c>
      <c r="AY262" s="47">
        <f t="shared" si="1815"/>
        <v>10.711206896551724</v>
      </c>
      <c r="AZ262" s="127">
        <f t="shared" si="1816"/>
        <v>7.4676724137931032</v>
      </c>
      <c r="BA262" s="127">
        <f t="shared" si="1817"/>
        <v>22.000718390804597</v>
      </c>
      <c r="BB262" s="165">
        <f t="shared" si="1818"/>
        <v>0</v>
      </c>
      <c r="BC262" s="198">
        <f t="shared" si="1819"/>
        <v>22.000718390804597</v>
      </c>
      <c r="BD262" s="125">
        <f t="shared" si="1820"/>
        <v>77.007183908045945</v>
      </c>
      <c r="BE262" s="160">
        <f t="shared" si="1820"/>
        <v>1</v>
      </c>
      <c r="BF262" s="243">
        <f t="shared" si="1821"/>
        <v>76.007183908045945</v>
      </c>
      <c r="BG262" s="218">
        <f t="shared" si="1822"/>
        <v>0</v>
      </c>
      <c r="BI262" s="303" t="s">
        <v>409</v>
      </c>
      <c r="BJ262" s="218" t="s">
        <v>227</v>
      </c>
      <c r="BK262" s="243" t="s">
        <v>133</v>
      </c>
      <c r="BL262" s="237">
        <f>Konvention_1slave-MUslave</f>
        <v>12</v>
      </c>
      <c r="BM262" s="234"/>
      <c r="BN262" s="234"/>
      <c r="BO262" s="234">
        <f>Konvention_1slave-CHslave</f>
        <v>12</v>
      </c>
      <c r="BP262" s="234"/>
      <c r="BQ262" s="234"/>
      <c r="BR262" s="234">
        <f>Konvention_1slave-KOslave</f>
        <v>12</v>
      </c>
      <c r="BS262" s="224"/>
      <c r="BT262" s="223">
        <f t="shared" si="1823"/>
        <v>12</v>
      </c>
      <c r="BU262" s="223">
        <f t="shared" si="1824"/>
        <v>24</v>
      </c>
      <c r="BV262" s="224">
        <f t="shared" si="1825"/>
        <v>36</v>
      </c>
      <c r="BW262" s="237">
        <f t="shared" si="1826"/>
        <v>2304</v>
      </c>
      <c r="BX262" s="234">
        <f>BL262*BO262*KOslave+BL262*CHslave*BR262+MUslave*BO262*BR262</f>
        <v>3456</v>
      </c>
      <c r="BY262" s="224">
        <f t="shared" si="1827"/>
        <v>1728</v>
      </c>
      <c r="BZ262" s="224">
        <f t="shared" si="1828"/>
        <v>7488</v>
      </c>
      <c r="CA262" s="222">
        <f t="shared" si="1829"/>
        <v>3.6923076923076925</v>
      </c>
      <c r="CB262" s="223">
        <f t="shared" si="1830"/>
        <v>11.076923076923077</v>
      </c>
      <c r="CC262" s="243">
        <f t="shared" si="1831"/>
        <v>8.3076923076923084</v>
      </c>
      <c r="CD262" s="243">
        <f t="shared" si="1832"/>
        <v>23.07692307692308</v>
      </c>
      <c r="CE262" s="252">
        <f t="shared" si="1833"/>
        <v>0</v>
      </c>
      <c r="CF262" s="309">
        <f t="shared" si="1834"/>
        <v>23.07692307692308</v>
      </c>
      <c r="CG262" s="218">
        <f t="shared" si="1835"/>
        <v>87.769230769230802</v>
      </c>
      <c r="CH262" s="242">
        <f t="shared" si="1835"/>
        <v>1</v>
      </c>
      <c r="CI262" s="243">
        <f t="shared" si="1836"/>
        <v>86.769230769230802</v>
      </c>
      <c r="CJ262" s="218">
        <f t="shared" si="1837"/>
        <v>0</v>
      </c>
      <c r="CL262" s="303" t="s">
        <v>409</v>
      </c>
      <c r="CM262" s="218" t="s">
        <v>227</v>
      </c>
      <c r="CN262" s="243" t="s">
        <v>133</v>
      </c>
      <c r="CO262" s="237">
        <f>Konvention_1slave-MUslave</f>
        <v>12</v>
      </c>
      <c r="CP262" s="234"/>
      <c r="CQ262" s="234"/>
      <c r="CR262" s="234">
        <f>Konvention_1slave-CHslave</f>
        <v>12</v>
      </c>
      <c r="CS262" s="234"/>
      <c r="CT262" s="234"/>
      <c r="CU262" s="234">
        <f>Konvention_1slave-KOslave</f>
        <v>12</v>
      </c>
      <c r="CV262" s="224"/>
      <c r="CW262" s="223">
        <f t="shared" si="1838"/>
        <v>12</v>
      </c>
      <c r="CX262" s="223">
        <f t="shared" si="1839"/>
        <v>24</v>
      </c>
      <c r="CY262" s="224">
        <f t="shared" si="1840"/>
        <v>36</v>
      </c>
      <c r="CZ262" s="237">
        <f t="shared" si="1841"/>
        <v>2304</v>
      </c>
      <c r="DA262" s="234">
        <f>CO262*CR262*KOslave+CO262*CHslave*CU262+MUslave*CR262*CU262</f>
        <v>3456</v>
      </c>
      <c r="DB262" s="224">
        <f t="shared" si="1842"/>
        <v>1728</v>
      </c>
      <c r="DC262" s="224">
        <f t="shared" si="1843"/>
        <v>7488</v>
      </c>
      <c r="DD262" s="222">
        <f t="shared" si="1844"/>
        <v>3.6923076923076925</v>
      </c>
      <c r="DE262" s="223">
        <f t="shared" si="1845"/>
        <v>11.076923076923077</v>
      </c>
      <c r="DF262" s="243">
        <f t="shared" si="1846"/>
        <v>8.3076923076923084</v>
      </c>
      <c r="DG262" s="243">
        <f t="shared" si="1847"/>
        <v>23.07692307692308</v>
      </c>
      <c r="DH262" s="252">
        <f t="shared" si="1848"/>
        <v>0</v>
      </c>
      <c r="DI262" s="309">
        <f t="shared" si="1849"/>
        <v>23.07692307692308</v>
      </c>
      <c r="DJ262" s="218">
        <f t="shared" si="1850"/>
        <v>87.769230769230802</v>
      </c>
      <c r="DK262" s="242">
        <f t="shared" si="1850"/>
        <v>1</v>
      </c>
      <c r="DL262" s="243">
        <f t="shared" si="1851"/>
        <v>86.769230769230802</v>
      </c>
      <c r="DM262" s="218">
        <f t="shared" si="1852"/>
        <v>0</v>
      </c>
      <c r="DO262" s="303" t="s">
        <v>409</v>
      </c>
      <c r="DP262" s="218" t="s">
        <v>227</v>
      </c>
      <c r="DQ262" s="243" t="s">
        <v>133</v>
      </c>
      <c r="DR262" s="237">
        <f>Konvention_1slave-MUslave</f>
        <v>12</v>
      </c>
      <c r="DS262" s="234"/>
      <c r="DT262" s="234"/>
      <c r="DU262" s="234">
        <f>Konvention_1slave-CHslave_CH</f>
        <v>11</v>
      </c>
      <c r="DV262" s="234"/>
      <c r="DW262" s="234"/>
      <c r="DX262" s="234">
        <f>Konvention_1slave-KOslave</f>
        <v>12</v>
      </c>
      <c r="DY262" s="224"/>
      <c r="DZ262" s="223">
        <f t="shared" si="1853"/>
        <v>11.666666666666666</v>
      </c>
      <c r="EA262" s="223">
        <f t="shared" si="1854"/>
        <v>23.333333333333332</v>
      </c>
      <c r="EB262" s="224">
        <f t="shared" si="1855"/>
        <v>35</v>
      </c>
      <c r="EC262" s="237">
        <f t="shared" si="1856"/>
        <v>2432</v>
      </c>
      <c r="ED262" s="234">
        <f>DR262*DU262*KOslave+DR262*CHslave_CH*DX262+MUslave*DU262*DX262</f>
        <v>3408</v>
      </c>
      <c r="EE262" s="224">
        <f t="shared" si="1857"/>
        <v>1584</v>
      </c>
      <c r="EF262" s="224">
        <f t="shared" si="1858"/>
        <v>7424</v>
      </c>
      <c r="EG262" s="222">
        <f t="shared" si="1859"/>
        <v>3.8218390804597702</v>
      </c>
      <c r="EH262" s="223">
        <f t="shared" si="1860"/>
        <v>10.711206896551724</v>
      </c>
      <c r="EI262" s="243">
        <f t="shared" si="1861"/>
        <v>7.4676724137931032</v>
      </c>
      <c r="EJ262" s="243">
        <f t="shared" si="1862"/>
        <v>22.000718390804597</v>
      </c>
      <c r="EK262" s="252">
        <f t="shared" si="1863"/>
        <v>0</v>
      </c>
      <c r="EL262" s="309">
        <f t="shared" si="1864"/>
        <v>22.000718390804597</v>
      </c>
      <c r="EM262" s="218">
        <f t="shared" si="1865"/>
        <v>77.007183908045945</v>
      </c>
      <c r="EN262" s="242">
        <f t="shared" si="1865"/>
        <v>1</v>
      </c>
      <c r="EO262" s="243">
        <f t="shared" si="1866"/>
        <v>76.007183908045945</v>
      </c>
      <c r="EP262" s="218">
        <f t="shared" si="1867"/>
        <v>0</v>
      </c>
      <c r="ER262" s="303" t="s">
        <v>409</v>
      </c>
      <c r="ES262" s="218" t="s">
        <v>227</v>
      </c>
      <c r="ET262" s="243" t="s">
        <v>133</v>
      </c>
      <c r="EU262" s="237">
        <f>Konvention_1slave-MUslave</f>
        <v>12</v>
      </c>
      <c r="EV262" s="234"/>
      <c r="EW262" s="234"/>
      <c r="EX262" s="234">
        <f>Konvention_1slave-CHslave</f>
        <v>12</v>
      </c>
      <c r="EY262" s="234"/>
      <c r="EZ262" s="234"/>
      <c r="FA262" s="234">
        <f>Konvention_1slave-KOslave</f>
        <v>12</v>
      </c>
      <c r="FB262" s="224"/>
      <c r="FC262" s="223">
        <f t="shared" si="1868"/>
        <v>12</v>
      </c>
      <c r="FD262" s="223">
        <f t="shared" si="1869"/>
        <v>24</v>
      </c>
      <c r="FE262" s="224">
        <f t="shared" si="1870"/>
        <v>36</v>
      </c>
      <c r="FF262" s="237">
        <f t="shared" si="1871"/>
        <v>2304</v>
      </c>
      <c r="FG262" s="234">
        <f>EU262*EX262*KOslave+EU262*CHslave*FA262+MUslave*EX262*FA262</f>
        <v>3456</v>
      </c>
      <c r="FH262" s="224">
        <f t="shared" si="1872"/>
        <v>1728</v>
      </c>
      <c r="FI262" s="224">
        <f t="shared" si="1873"/>
        <v>7488</v>
      </c>
      <c r="FJ262" s="222">
        <f t="shared" si="1874"/>
        <v>3.6923076923076925</v>
      </c>
      <c r="FK262" s="223">
        <f t="shared" si="1875"/>
        <v>11.076923076923077</v>
      </c>
      <c r="FL262" s="243">
        <f t="shared" si="1876"/>
        <v>8.3076923076923084</v>
      </c>
      <c r="FM262" s="243">
        <f t="shared" si="1877"/>
        <v>23.07692307692308</v>
      </c>
      <c r="FN262" s="252">
        <f t="shared" si="1878"/>
        <v>0</v>
      </c>
      <c r="FO262" s="309">
        <f t="shared" si="1879"/>
        <v>23.07692307692308</v>
      </c>
      <c r="FP262" s="218">
        <f t="shared" si="1880"/>
        <v>87.769230769230802</v>
      </c>
      <c r="FQ262" s="242">
        <f t="shared" si="1880"/>
        <v>1</v>
      </c>
      <c r="FR262" s="243">
        <f t="shared" si="1881"/>
        <v>86.769230769230802</v>
      </c>
      <c r="FS262" s="218">
        <f t="shared" si="1882"/>
        <v>0</v>
      </c>
      <c r="FU262" s="303" t="s">
        <v>409</v>
      </c>
      <c r="FV262" s="218" t="s">
        <v>227</v>
      </c>
      <c r="FW262" s="243" t="s">
        <v>133</v>
      </c>
      <c r="FX262" s="237">
        <f>Konvention_1slave-MUslave</f>
        <v>12</v>
      </c>
      <c r="FY262" s="234"/>
      <c r="FZ262" s="234"/>
      <c r="GA262" s="234">
        <f>Konvention_1slave-CHslave</f>
        <v>12</v>
      </c>
      <c r="GB262" s="234"/>
      <c r="GC262" s="234"/>
      <c r="GD262" s="234">
        <f>Konvention_1slave-KOslave</f>
        <v>12</v>
      </c>
      <c r="GE262" s="224"/>
      <c r="GF262" s="223">
        <f t="shared" si="1883"/>
        <v>12</v>
      </c>
      <c r="GG262" s="223">
        <f t="shared" si="1884"/>
        <v>24</v>
      </c>
      <c r="GH262" s="224">
        <f t="shared" si="1885"/>
        <v>36</v>
      </c>
      <c r="GI262" s="237">
        <f t="shared" si="1886"/>
        <v>2304</v>
      </c>
      <c r="GJ262" s="234">
        <f>FX262*GA262*KOslave+FX262*CHslave*GD262+MUslave*GA262*GD262</f>
        <v>3456</v>
      </c>
      <c r="GK262" s="224">
        <f t="shared" si="1887"/>
        <v>1728</v>
      </c>
      <c r="GL262" s="224">
        <f t="shared" si="1888"/>
        <v>7488</v>
      </c>
      <c r="GM262" s="222">
        <f t="shared" si="1889"/>
        <v>3.6923076923076925</v>
      </c>
      <c r="GN262" s="223">
        <f t="shared" si="1890"/>
        <v>11.076923076923077</v>
      </c>
      <c r="GO262" s="243">
        <f t="shared" si="1891"/>
        <v>8.3076923076923084</v>
      </c>
      <c r="GP262" s="243">
        <f t="shared" si="1892"/>
        <v>23.07692307692308</v>
      </c>
      <c r="GQ262" s="252">
        <f t="shared" si="1893"/>
        <v>0</v>
      </c>
      <c r="GR262" s="309">
        <f t="shared" si="1894"/>
        <v>23.07692307692308</v>
      </c>
      <c r="GS262" s="218">
        <f t="shared" si="1895"/>
        <v>87.769230769230802</v>
      </c>
      <c r="GT262" s="242">
        <f t="shared" si="1895"/>
        <v>1</v>
      </c>
      <c r="GU262" s="243">
        <f t="shared" si="1896"/>
        <v>86.769230769230802</v>
      </c>
      <c r="GV262" s="218">
        <f t="shared" si="1897"/>
        <v>0</v>
      </c>
      <c r="GX262" s="303" t="s">
        <v>409</v>
      </c>
      <c r="GY262" s="218" t="s">
        <v>227</v>
      </c>
      <c r="GZ262" s="243" t="s">
        <v>133</v>
      </c>
      <c r="HA262" s="237">
        <f>Konvention_1slave-MUslave</f>
        <v>12</v>
      </c>
      <c r="HB262" s="234"/>
      <c r="HC262" s="234"/>
      <c r="HD262" s="234">
        <f>Konvention_1slave-CHslave</f>
        <v>12</v>
      </c>
      <c r="HE262" s="234"/>
      <c r="HF262" s="234"/>
      <c r="HG262" s="234">
        <f>Konvention_1slave-KOslave_KO</f>
        <v>11</v>
      </c>
      <c r="HH262" s="224"/>
      <c r="HI262" s="223">
        <f t="shared" si="1898"/>
        <v>11.666666666666666</v>
      </c>
      <c r="HJ262" s="223">
        <f t="shared" si="1899"/>
        <v>23.333333333333332</v>
      </c>
      <c r="HK262" s="224">
        <f t="shared" si="1900"/>
        <v>35</v>
      </c>
      <c r="HL262" s="237">
        <f t="shared" si="1901"/>
        <v>2432</v>
      </c>
      <c r="HM262" s="234">
        <f>HA262*HD262*KOslave_KO+HA262*CHslave*HG262+MUslave*HD262*HG262</f>
        <v>3408</v>
      </c>
      <c r="HN262" s="224">
        <f t="shared" si="1902"/>
        <v>1584</v>
      </c>
      <c r="HO262" s="224">
        <f t="shared" si="1903"/>
        <v>7424</v>
      </c>
      <c r="HP262" s="222">
        <f t="shared" si="1904"/>
        <v>3.8218390804597702</v>
      </c>
      <c r="HQ262" s="223">
        <f t="shared" si="1905"/>
        <v>10.711206896551724</v>
      </c>
      <c r="HR262" s="243">
        <f t="shared" si="1906"/>
        <v>7.4676724137931032</v>
      </c>
      <c r="HS262" s="243">
        <f t="shared" si="1907"/>
        <v>22.000718390804597</v>
      </c>
      <c r="HT262" s="252">
        <f t="shared" si="1908"/>
        <v>0</v>
      </c>
      <c r="HU262" s="309">
        <f t="shared" si="1909"/>
        <v>22.000718390804597</v>
      </c>
      <c r="HV262" s="218">
        <f t="shared" si="1910"/>
        <v>77.007183908045945</v>
      </c>
      <c r="HW262" s="242">
        <f t="shared" si="1910"/>
        <v>1</v>
      </c>
      <c r="HX262" s="243">
        <f t="shared" si="1911"/>
        <v>76.007183908045945</v>
      </c>
      <c r="HY262" s="218">
        <f t="shared" si="1912"/>
        <v>0</v>
      </c>
      <c r="IA262" s="303" t="s">
        <v>409</v>
      </c>
      <c r="IB262" s="218" t="s">
        <v>227</v>
      </c>
      <c r="IC262" s="243" t="s">
        <v>133</v>
      </c>
      <c r="ID262" s="237">
        <f>Konvention_1slave-MUslave</f>
        <v>12</v>
      </c>
      <c r="IE262" s="234"/>
      <c r="IF262" s="234"/>
      <c r="IG262" s="234">
        <f>Konvention_1slave-CHslave</f>
        <v>12</v>
      </c>
      <c r="IH262" s="234"/>
      <c r="II262" s="234"/>
      <c r="IJ262" s="234">
        <f>Konvention_1slave-KOslave</f>
        <v>12</v>
      </c>
      <c r="IK262" s="224"/>
      <c r="IL262" s="223">
        <f t="shared" si="1913"/>
        <v>12</v>
      </c>
      <c r="IM262" s="223">
        <f t="shared" si="1914"/>
        <v>24</v>
      </c>
      <c r="IN262" s="224">
        <f t="shared" si="1915"/>
        <v>36</v>
      </c>
      <c r="IO262" s="237">
        <f t="shared" si="1916"/>
        <v>2304</v>
      </c>
      <c r="IP262" s="234">
        <f>ID262*IG262*KOslave+ID262*CHslave*IJ262+MUslave*IG262*IJ262</f>
        <v>3456</v>
      </c>
      <c r="IQ262" s="224">
        <f t="shared" si="1917"/>
        <v>1728</v>
      </c>
      <c r="IR262" s="224">
        <f t="shared" si="1918"/>
        <v>7488</v>
      </c>
      <c r="IS262" s="222">
        <f t="shared" si="1919"/>
        <v>3.6923076923076925</v>
      </c>
      <c r="IT262" s="223">
        <f t="shared" si="1920"/>
        <v>11.076923076923077</v>
      </c>
      <c r="IU262" s="243">
        <f t="shared" si="1921"/>
        <v>8.3076923076923084</v>
      </c>
      <c r="IV262" s="243">
        <f t="shared" si="1922"/>
        <v>23.07692307692308</v>
      </c>
      <c r="IW262" s="252">
        <f t="shared" si="1923"/>
        <v>0</v>
      </c>
      <c r="IX262" s="309">
        <f t="shared" si="1924"/>
        <v>23.07692307692308</v>
      </c>
      <c r="IY262" s="218">
        <f t="shared" si="1925"/>
        <v>87.769230769230802</v>
      </c>
      <c r="IZ262" s="242">
        <f t="shared" si="1925"/>
        <v>1</v>
      </c>
      <c r="JA262" s="243">
        <f t="shared" si="1926"/>
        <v>86.769230769230802</v>
      </c>
      <c r="JB262" s="218">
        <f t="shared" si="1927"/>
        <v>0</v>
      </c>
      <c r="JE262" s="148"/>
    </row>
    <row r="263" spans="2:265" hidden="1" outlineLevel="2">
      <c r="B263" s="148">
        <v>3</v>
      </c>
      <c r="C263" s="303" t="e">
        <f>VLOOKUP(AF263,Attribute!C:T,1,FALSE)</f>
        <v>#N/A</v>
      </c>
      <c r="D263" s="86" t="s">
        <v>87</v>
      </c>
      <c r="E263" s="127" t="s">
        <v>133</v>
      </c>
      <c r="F263" s="114"/>
      <c r="G263" s="113">
        <f>Konvention_1master-KLmaster</f>
        <v>12</v>
      </c>
      <c r="H263" s="113">
        <f t="shared" ref="H263:H282" si="1928">Konvention_1master-INmaster</f>
        <v>12</v>
      </c>
      <c r="I263" s="113">
        <f>Konvention_1master-CHmaster</f>
        <v>12</v>
      </c>
      <c r="J263" s="113"/>
      <c r="K263" s="113"/>
      <c r="L263" s="113"/>
      <c r="M263" s="119"/>
      <c r="N263" s="223">
        <f t="shared" si="1794"/>
        <v>12</v>
      </c>
      <c r="O263" s="223">
        <f t="shared" si="1795"/>
        <v>24</v>
      </c>
      <c r="P263" s="224">
        <f t="shared" si="1796"/>
        <v>36</v>
      </c>
      <c r="Q263" s="237">
        <f t="shared" si="1797"/>
        <v>2304</v>
      </c>
      <c r="R263" s="113">
        <f>G263*H263*CHmaster+G263*INmaster*I263+KLmaster*H263*I263</f>
        <v>3456</v>
      </c>
      <c r="S263" s="224">
        <f t="shared" si="1798"/>
        <v>1728</v>
      </c>
      <c r="T263" s="224">
        <f t="shared" si="1799"/>
        <v>7488</v>
      </c>
      <c r="U263" s="222">
        <f t="shared" si="1800"/>
        <v>3.6923076923076925</v>
      </c>
      <c r="V263" s="223">
        <f t="shared" si="1801"/>
        <v>11.076923076923077</v>
      </c>
      <c r="W263" s="243">
        <f t="shared" si="1802"/>
        <v>8.3076923076923084</v>
      </c>
      <c r="X263" s="243">
        <f t="shared" si="1803"/>
        <v>23.07692307692308</v>
      </c>
      <c r="Y263" s="252">
        <v>0</v>
      </c>
      <c r="Z263" s="198">
        <f t="shared" si="1804"/>
        <v>23.07692307692308</v>
      </c>
      <c r="AA263" s="125">
        <f t="shared" si="1805"/>
        <v>87.769230769230802</v>
      </c>
      <c r="AB263" s="160">
        <f t="shared" si="1805"/>
        <v>1</v>
      </c>
      <c r="AC263" s="127">
        <f t="shared" si="1806"/>
        <v>86.769230769230802</v>
      </c>
      <c r="AD263" s="125">
        <f t="shared" si="1807"/>
        <v>0</v>
      </c>
      <c r="AF263" s="163" t="s">
        <v>410</v>
      </c>
      <c r="AG263" s="125" t="s">
        <v>87</v>
      </c>
      <c r="AH263" s="127" t="s">
        <v>133</v>
      </c>
      <c r="AI263" s="114"/>
      <c r="AJ263" s="113">
        <f>Konvention_1slave-KLslave</f>
        <v>12</v>
      </c>
      <c r="AK263" s="113">
        <f t="shared" ref="AK263:AK272" si="1929">Konvention_1slave-INslave</f>
        <v>12</v>
      </c>
      <c r="AL263" s="113">
        <f>Konvention_1slave-CHslave</f>
        <v>12</v>
      </c>
      <c r="AM263" s="113"/>
      <c r="AN263" s="113"/>
      <c r="AO263" s="113"/>
      <c r="AP263" s="119"/>
      <c r="AQ263" s="47">
        <f t="shared" si="1808"/>
        <v>12</v>
      </c>
      <c r="AR263" s="47">
        <f t="shared" si="1809"/>
        <v>24</v>
      </c>
      <c r="AS263" s="119">
        <f t="shared" si="1810"/>
        <v>36</v>
      </c>
      <c r="AT263" s="114">
        <f t="shared" si="1811"/>
        <v>2304</v>
      </c>
      <c r="AU263" s="113">
        <f>AJ263*AK263*CHslave+AJ263*INslave*AL263+KLslave*AK263*AL263</f>
        <v>3456</v>
      </c>
      <c r="AV263" s="119">
        <f t="shared" si="1812"/>
        <v>1728</v>
      </c>
      <c r="AW263" s="119">
        <f t="shared" si="1813"/>
        <v>7488</v>
      </c>
      <c r="AX263" s="89">
        <f t="shared" si="1814"/>
        <v>3.6923076923076925</v>
      </c>
      <c r="AY263" s="47">
        <f t="shared" si="1815"/>
        <v>11.076923076923077</v>
      </c>
      <c r="AZ263" s="127">
        <f t="shared" si="1816"/>
        <v>8.3076923076923084</v>
      </c>
      <c r="BA263" s="127">
        <f t="shared" si="1817"/>
        <v>23.07692307692308</v>
      </c>
      <c r="BB263" s="165">
        <f t="shared" si="1818"/>
        <v>0</v>
      </c>
      <c r="BC263" s="198">
        <f t="shared" si="1819"/>
        <v>23.07692307692308</v>
      </c>
      <c r="BD263" s="125">
        <f t="shared" si="1820"/>
        <v>87.769230769230802</v>
      </c>
      <c r="BE263" s="160">
        <f t="shared" si="1820"/>
        <v>1</v>
      </c>
      <c r="BF263" s="243">
        <f t="shared" si="1821"/>
        <v>86.769230769230802</v>
      </c>
      <c r="BG263" s="218">
        <f t="shared" si="1822"/>
        <v>0</v>
      </c>
      <c r="BI263" s="303" t="s">
        <v>410</v>
      </c>
      <c r="BJ263" s="218" t="s">
        <v>87</v>
      </c>
      <c r="BK263" s="243" t="s">
        <v>133</v>
      </c>
      <c r="BL263" s="237"/>
      <c r="BM263" s="234">
        <f>Konvention_1slave-KLslave_KL</f>
        <v>11</v>
      </c>
      <c r="BN263" s="234">
        <f t="shared" ref="BN263:BN282" si="1930">Konvention_1slave-INslave</f>
        <v>12</v>
      </c>
      <c r="BO263" s="234">
        <f>Konvention_1slave-CHslave</f>
        <v>12</v>
      </c>
      <c r="BP263" s="234"/>
      <c r="BQ263" s="234"/>
      <c r="BR263" s="234"/>
      <c r="BS263" s="224"/>
      <c r="BT263" s="223">
        <f t="shared" si="1823"/>
        <v>11.666666666666666</v>
      </c>
      <c r="BU263" s="223">
        <f t="shared" si="1824"/>
        <v>23.333333333333332</v>
      </c>
      <c r="BV263" s="224">
        <f t="shared" si="1825"/>
        <v>35</v>
      </c>
      <c r="BW263" s="237">
        <f t="shared" si="1826"/>
        <v>2432</v>
      </c>
      <c r="BX263" s="234">
        <f>BM263*BN263*CHslave+BM263*INslave*BO263+KLslave_KL*BN263*BO263</f>
        <v>3408</v>
      </c>
      <c r="BY263" s="224">
        <f t="shared" si="1827"/>
        <v>1584</v>
      </c>
      <c r="BZ263" s="224">
        <f t="shared" si="1828"/>
        <v>7424</v>
      </c>
      <c r="CA263" s="222">
        <f t="shared" si="1829"/>
        <v>3.8218390804597702</v>
      </c>
      <c r="CB263" s="223">
        <f t="shared" si="1830"/>
        <v>10.711206896551724</v>
      </c>
      <c r="CC263" s="243">
        <f t="shared" si="1831"/>
        <v>7.4676724137931032</v>
      </c>
      <c r="CD263" s="243">
        <f t="shared" si="1832"/>
        <v>22.000718390804597</v>
      </c>
      <c r="CE263" s="252">
        <f t="shared" si="1833"/>
        <v>0</v>
      </c>
      <c r="CF263" s="309">
        <f t="shared" si="1834"/>
        <v>22.000718390804597</v>
      </c>
      <c r="CG263" s="218">
        <f t="shared" si="1835"/>
        <v>77.007183908045945</v>
      </c>
      <c r="CH263" s="242">
        <f t="shared" si="1835"/>
        <v>1</v>
      </c>
      <c r="CI263" s="243">
        <f t="shared" si="1836"/>
        <v>76.007183908045945</v>
      </c>
      <c r="CJ263" s="218">
        <f t="shared" si="1837"/>
        <v>0</v>
      </c>
      <c r="CL263" s="303" t="s">
        <v>410</v>
      </c>
      <c r="CM263" s="218" t="s">
        <v>87</v>
      </c>
      <c r="CN263" s="243" t="s">
        <v>133</v>
      </c>
      <c r="CO263" s="237"/>
      <c r="CP263" s="234">
        <f>Konvention_1slave-KLslave</f>
        <v>12</v>
      </c>
      <c r="CQ263" s="234">
        <f t="shared" ref="CQ263:CQ282" si="1931">Konvention_1slave-INslave_IN</f>
        <v>11</v>
      </c>
      <c r="CR263" s="234">
        <f>Konvention_1slave-CHslave</f>
        <v>12</v>
      </c>
      <c r="CS263" s="234"/>
      <c r="CT263" s="234"/>
      <c r="CU263" s="234"/>
      <c r="CV263" s="224"/>
      <c r="CW263" s="223">
        <f t="shared" si="1838"/>
        <v>11.666666666666666</v>
      </c>
      <c r="CX263" s="223">
        <f t="shared" si="1839"/>
        <v>23.333333333333332</v>
      </c>
      <c r="CY263" s="224">
        <f t="shared" si="1840"/>
        <v>35</v>
      </c>
      <c r="CZ263" s="237">
        <f t="shared" si="1841"/>
        <v>2432</v>
      </c>
      <c r="DA263" s="234">
        <f>CP263*CQ263*CHslave+CP263*INslave_IN*CR263+KLslave*CQ263*CR263</f>
        <v>3408</v>
      </c>
      <c r="DB263" s="224">
        <f t="shared" si="1842"/>
        <v>1584</v>
      </c>
      <c r="DC263" s="224">
        <f t="shared" si="1843"/>
        <v>7424</v>
      </c>
      <c r="DD263" s="222">
        <f t="shared" si="1844"/>
        <v>3.8218390804597702</v>
      </c>
      <c r="DE263" s="223">
        <f t="shared" si="1845"/>
        <v>10.711206896551724</v>
      </c>
      <c r="DF263" s="243">
        <f t="shared" si="1846"/>
        <v>7.4676724137931032</v>
      </c>
      <c r="DG263" s="243">
        <f t="shared" si="1847"/>
        <v>22.000718390804597</v>
      </c>
      <c r="DH263" s="252">
        <f t="shared" si="1848"/>
        <v>0</v>
      </c>
      <c r="DI263" s="309">
        <f t="shared" si="1849"/>
        <v>22.000718390804597</v>
      </c>
      <c r="DJ263" s="218">
        <f t="shared" si="1850"/>
        <v>77.007183908045945</v>
      </c>
      <c r="DK263" s="242">
        <f t="shared" si="1850"/>
        <v>1</v>
      </c>
      <c r="DL263" s="243">
        <f t="shared" si="1851"/>
        <v>76.007183908045945</v>
      </c>
      <c r="DM263" s="218">
        <f t="shared" si="1852"/>
        <v>0</v>
      </c>
      <c r="DO263" s="303" t="s">
        <v>410</v>
      </c>
      <c r="DP263" s="218" t="s">
        <v>87</v>
      </c>
      <c r="DQ263" s="243" t="s">
        <v>133</v>
      </c>
      <c r="DR263" s="237"/>
      <c r="DS263" s="234">
        <f>Konvention_1slave-KLslave</f>
        <v>12</v>
      </c>
      <c r="DT263" s="234">
        <f t="shared" ref="DT263:DT282" si="1932">Konvention_1slave-INslave</f>
        <v>12</v>
      </c>
      <c r="DU263" s="234">
        <f>Konvention_1slave-CHslave_CH</f>
        <v>11</v>
      </c>
      <c r="DV263" s="234"/>
      <c r="DW263" s="234"/>
      <c r="DX263" s="234"/>
      <c r="DY263" s="224"/>
      <c r="DZ263" s="223">
        <f t="shared" si="1853"/>
        <v>11.666666666666666</v>
      </c>
      <c r="EA263" s="223">
        <f t="shared" si="1854"/>
        <v>23.333333333333332</v>
      </c>
      <c r="EB263" s="224">
        <f t="shared" si="1855"/>
        <v>35</v>
      </c>
      <c r="EC263" s="237">
        <f t="shared" si="1856"/>
        <v>2432</v>
      </c>
      <c r="ED263" s="234">
        <f>DS263*DT263*CHslave_CH+DS263*INslave*DU263+KLslave*DT263*DU263</f>
        <v>3408</v>
      </c>
      <c r="EE263" s="224">
        <f t="shared" si="1857"/>
        <v>1584</v>
      </c>
      <c r="EF263" s="224">
        <f t="shared" si="1858"/>
        <v>7424</v>
      </c>
      <c r="EG263" s="222">
        <f t="shared" si="1859"/>
        <v>3.8218390804597702</v>
      </c>
      <c r="EH263" s="223">
        <f t="shared" si="1860"/>
        <v>10.711206896551724</v>
      </c>
      <c r="EI263" s="243">
        <f t="shared" si="1861"/>
        <v>7.4676724137931032</v>
      </c>
      <c r="EJ263" s="243">
        <f t="shared" si="1862"/>
        <v>22.000718390804597</v>
      </c>
      <c r="EK263" s="252">
        <f t="shared" si="1863"/>
        <v>0</v>
      </c>
      <c r="EL263" s="309">
        <f t="shared" si="1864"/>
        <v>22.000718390804597</v>
      </c>
      <c r="EM263" s="218">
        <f t="shared" si="1865"/>
        <v>77.007183908045945</v>
      </c>
      <c r="EN263" s="242">
        <f t="shared" si="1865"/>
        <v>1</v>
      </c>
      <c r="EO263" s="243">
        <f t="shared" si="1866"/>
        <v>76.007183908045945</v>
      </c>
      <c r="EP263" s="218">
        <f t="shared" si="1867"/>
        <v>0</v>
      </c>
      <c r="ER263" s="303" t="s">
        <v>410</v>
      </c>
      <c r="ES263" s="218" t="s">
        <v>87</v>
      </c>
      <c r="ET263" s="243" t="s">
        <v>133</v>
      </c>
      <c r="EU263" s="237"/>
      <c r="EV263" s="234">
        <f>Konvention_1slave-KLslave</f>
        <v>12</v>
      </c>
      <c r="EW263" s="234">
        <f t="shared" ref="EW263:EW282" si="1933">Konvention_1slave-INslave</f>
        <v>12</v>
      </c>
      <c r="EX263" s="234">
        <f>Konvention_1slave-CHslave</f>
        <v>12</v>
      </c>
      <c r="EY263" s="234"/>
      <c r="EZ263" s="234"/>
      <c r="FA263" s="234"/>
      <c r="FB263" s="224"/>
      <c r="FC263" s="223">
        <f t="shared" si="1868"/>
        <v>12</v>
      </c>
      <c r="FD263" s="223">
        <f t="shared" si="1869"/>
        <v>24</v>
      </c>
      <c r="FE263" s="224">
        <f t="shared" si="1870"/>
        <v>36</v>
      </c>
      <c r="FF263" s="237">
        <f t="shared" si="1871"/>
        <v>2304</v>
      </c>
      <c r="FG263" s="234">
        <f>EV263*EW263*CHslave+EV263*INslave*EX263+KLslave*EW263*EX263</f>
        <v>3456</v>
      </c>
      <c r="FH263" s="224">
        <f t="shared" si="1872"/>
        <v>1728</v>
      </c>
      <c r="FI263" s="224">
        <f t="shared" si="1873"/>
        <v>7488</v>
      </c>
      <c r="FJ263" s="222">
        <f t="shared" si="1874"/>
        <v>3.6923076923076925</v>
      </c>
      <c r="FK263" s="223">
        <f t="shared" si="1875"/>
        <v>11.076923076923077</v>
      </c>
      <c r="FL263" s="243">
        <f t="shared" si="1876"/>
        <v>8.3076923076923084</v>
      </c>
      <c r="FM263" s="243">
        <f t="shared" si="1877"/>
        <v>23.07692307692308</v>
      </c>
      <c r="FN263" s="252">
        <f t="shared" si="1878"/>
        <v>0</v>
      </c>
      <c r="FO263" s="309">
        <f t="shared" si="1879"/>
        <v>23.07692307692308</v>
      </c>
      <c r="FP263" s="218">
        <f t="shared" si="1880"/>
        <v>87.769230769230802</v>
      </c>
      <c r="FQ263" s="242">
        <f t="shared" si="1880"/>
        <v>1</v>
      </c>
      <c r="FR263" s="243">
        <f t="shared" si="1881"/>
        <v>86.769230769230802</v>
      </c>
      <c r="FS263" s="218">
        <f t="shared" si="1882"/>
        <v>0</v>
      </c>
      <c r="FU263" s="303" t="s">
        <v>410</v>
      </c>
      <c r="FV263" s="218" t="s">
        <v>87</v>
      </c>
      <c r="FW263" s="243" t="s">
        <v>133</v>
      </c>
      <c r="FX263" s="237"/>
      <c r="FY263" s="234">
        <f>Konvention_1slave-KLslave</f>
        <v>12</v>
      </c>
      <c r="FZ263" s="234">
        <f t="shared" ref="FZ263:FZ282" si="1934">Konvention_1slave-INslave</f>
        <v>12</v>
      </c>
      <c r="GA263" s="234">
        <f>Konvention_1slave-CHslave</f>
        <v>12</v>
      </c>
      <c r="GB263" s="234"/>
      <c r="GC263" s="234"/>
      <c r="GD263" s="234"/>
      <c r="GE263" s="224"/>
      <c r="GF263" s="223">
        <f t="shared" si="1883"/>
        <v>12</v>
      </c>
      <c r="GG263" s="223">
        <f t="shared" si="1884"/>
        <v>24</v>
      </c>
      <c r="GH263" s="224">
        <f t="shared" si="1885"/>
        <v>36</v>
      </c>
      <c r="GI263" s="237">
        <f t="shared" si="1886"/>
        <v>2304</v>
      </c>
      <c r="GJ263" s="234">
        <f>FY263*FZ263*CHslave+FY263*INslave*GA263+KLslave*FZ263*GA263</f>
        <v>3456</v>
      </c>
      <c r="GK263" s="224">
        <f t="shared" si="1887"/>
        <v>1728</v>
      </c>
      <c r="GL263" s="224">
        <f t="shared" si="1888"/>
        <v>7488</v>
      </c>
      <c r="GM263" s="222">
        <f t="shared" si="1889"/>
        <v>3.6923076923076925</v>
      </c>
      <c r="GN263" s="223">
        <f t="shared" si="1890"/>
        <v>11.076923076923077</v>
      </c>
      <c r="GO263" s="243">
        <f t="shared" si="1891"/>
        <v>8.3076923076923084</v>
      </c>
      <c r="GP263" s="243">
        <f t="shared" si="1892"/>
        <v>23.07692307692308</v>
      </c>
      <c r="GQ263" s="252">
        <f t="shared" si="1893"/>
        <v>0</v>
      </c>
      <c r="GR263" s="309">
        <f t="shared" si="1894"/>
        <v>23.07692307692308</v>
      </c>
      <c r="GS263" s="218">
        <f t="shared" si="1895"/>
        <v>87.769230769230802</v>
      </c>
      <c r="GT263" s="242">
        <f t="shared" si="1895"/>
        <v>1</v>
      </c>
      <c r="GU263" s="243">
        <f t="shared" si="1896"/>
        <v>86.769230769230802</v>
      </c>
      <c r="GV263" s="218">
        <f t="shared" si="1897"/>
        <v>0</v>
      </c>
      <c r="GX263" s="303" t="s">
        <v>410</v>
      </c>
      <c r="GY263" s="218" t="s">
        <v>87</v>
      </c>
      <c r="GZ263" s="243" t="s">
        <v>133</v>
      </c>
      <c r="HA263" s="237"/>
      <c r="HB263" s="234">
        <f>Konvention_1slave-KLslave</f>
        <v>12</v>
      </c>
      <c r="HC263" s="234">
        <f t="shared" ref="HC263:HC282" si="1935">Konvention_1slave-INslave</f>
        <v>12</v>
      </c>
      <c r="HD263" s="234">
        <f>Konvention_1slave-CHslave</f>
        <v>12</v>
      </c>
      <c r="HE263" s="234"/>
      <c r="HF263" s="234"/>
      <c r="HG263" s="234"/>
      <c r="HH263" s="224"/>
      <c r="HI263" s="223">
        <f t="shared" si="1898"/>
        <v>12</v>
      </c>
      <c r="HJ263" s="223">
        <f t="shared" si="1899"/>
        <v>24</v>
      </c>
      <c r="HK263" s="224">
        <f t="shared" si="1900"/>
        <v>36</v>
      </c>
      <c r="HL263" s="237">
        <f t="shared" si="1901"/>
        <v>2304</v>
      </c>
      <c r="HM263" s="234">
        <f>HB263*HC263*CHslave+HB263*INslave*HD263+KLslave*HC263*HD263</f>
        <v>3456</v>
      </c>
      <c r="HN263" s="224">
        <f t="shared" si="1902"/>
        <v>1728</v>
      </c>
      <c r="HO263" s="224">
        <f t="shared" si="1903"/>
        <v>7488</v>
      </c>
      <c r="HP263" s="222">
        <f t="shared" si="1904"/>
        <v>3.6923076923076925</v>
      </c>
      <c r="HQ263" s="223">
        <f t="shared" si="1905"/>
        <v>11.076923076923077</v>
      </c>
      <c r="HR263" s="243">
        <f t="shared" si="1906"/>
        <v>8.3076923076923084</v>
      </c>
      <c r="HS263" s="243">
        <f t="shared" si="1907"/>
        <v>23.07692307692308</v>
      </c>
      <c r="HT263" s="252">
        <f t="shared" si="1908"/>
        <v>0</v>
      </c>
      <c r="HU263" s="309">
        <f t="shared" si="1909"/>
        <v>23.07692307692308</v>
      </c>
      <c r="HV263" s="218">
        <f t="shared" si="1910"/>
        <v>87.769230769230802</v>
      </c>
      <c r="HW263" s="242">
        <f t="shared" si="1910"/>
        <v>1</v>
      </c>
      <c r="HX263" s="243">
        <f t="shared" si="1911"/>
        <v>86.769230769230802</v>
      </c>
      <c r="HY263" s="218">
        <f t="shared" si="1912"/>
        <v>0</v>
      </c>
      <c r="IA263" s="303" t="s">
        <v>410</v>
      </c>
      <c r="IB263" s="218" t="s">
        <v>87</v>
      </c>
      <c r="IC263" s="243" t="s">
        <v>133</v>
      </c>
      <c r="ID263" s="237"/>
      <c r="IE263" s="234">
        <f>Konvention_1slave-KLslave</f>
        <v>12</v>
      </c>
      <c r="IF263" s="234">
        <f t="shared" ref="IF263:IF282" si="1936">Konvention_1slave-INslave</f>
        <v>12</v>
      </c>
      <c r="IG263" s="234">
        <f>Konvention_1slave-CHslave</f>
        <v>12</v>
      </c>
      <c r="IH263" s="234"/>
      <c r="II263" s="234"/>
      <c r="IJ263" s="234"/>
      <c r="IK263" s="224"/>
      <c r="IL263" s="223">
        <f t="shared" si="1913"/>
        <v>12</v>
      </c>
      <c r="IM263" s="223">
        <f t="shared" si="1914"/>
        <v>24</v>
      </c>
      <c r="IN263" s="224">
        <f t="shared" si="1915"/>
        <v>36</v>
      </c>
      <c r="IO263" s="237">
        <f t="shared" si="1916"/>
        <v>2304</v>
      </c>
      <c r="IP263" s="234">
        <f>IE263*IF263*CHslave+IE263*INslave*IG263+KLslave*IF263*IG263</f>
        <v>3456</v>
      </c>
      <c r="IQ263" s="224">
        <f t="shared" si="1917"/>
        <v>1728</v>
      </c>
      <c r="IR263" s="224">
        <f t="shared" si="1918"/>
        <v>7488</v>
      </c>
      <c r="IS263" s="222">
        <f t="shared" si="1919"/>
        <v>3.6923076923076925</v>
      </c>
      <c r="IT263" s="223">
        <f t="shared" si="1920"/>
        <v>11.076923076923077</v>
      </c>
      <c r="IU263" s="243">
        <f t="shared" si="1921"/>
        <v>8.3076923076923084</v>
      </c>
      <c r="IV263" s="243">
        <f t="shared" si="1922"/>
        <v>23.07692307692308</v>
      </c>
      <c r="IW263" s="252">
        <f t="shared" si="1923"/>
        <v>0</v>
      </c>
      <c r="IX263" s="309">
        <f t="shared" si="1924"/>
        <v>23.07692307692308</v>
      </c>
      <c r="IY263" s="218">
        <f t="shared" si="1925"/>
        <v>87.769230769230802</v>
      </c>
      <c r="IZ263" s="242">
        <f t="shared" si="1925"/>
        <v>1</v>
      </c>
      <c r="JA263" s="243">
        <f t="shared" si="1926"/>
        <v>86.769230769230802</v>
      </c>
      <c r="JB263" s="218">
        <f t="shared" si="1927"/>
        <v>0</v>
      </c>
      <c r="JE263" s="148"/>
    </row>
    <row r="264" spans="2:265" hidden="1" outlineLevel="2">
      <c r="B264" s="148">
        <v>4</v>
      </c>
      <c r="C264" s="303" t="e">
        <f>VLOOKUP(AF264,Attribute!C:T,1,FALSE)</f>
        <v>#N/A</v>
      </c>
      <c r="D264" s="86" t="s">
        <v>87</v>
      </c>
      <c r="E264" s="167" t="s">
        <v>132</v>
      </c>
      <c r="F264" s="120"/>
      <c r="G264" s="117">
        <f>Konvention_1master-KLmaster</f>
        <v>12</v>
      </c>
      <c r="H264" s="117">
        <f t="shared" si="1928"/>
        <v>12</v>
      </c>
      <c r="I264" s="117">
        <f>Konvention_1master-CHmaster</f>
        <v>12</v>
      </c>
      <c r="J264" s="117"/>
      <c r="K264" s="117"/>
      <c r="L264" s="117"/>
      <c r="M264" s="121"/>
      <c r="N264" s="223">
        <f t="shared" si="1794"/>
        <v>12</v>
      </c>
      <c r="O264" s="223">
        <f t="shared" si="1795"/>
        <v>24</v>
      </c>
      <c r="P264" s="224">
        <f t="shared" si="1796"/>
        <v>36</v>
      </c>
      <c r="Q264" s="237">
        <f t="shared" si="1797"/>
        <v>2304</v>
      </c>
      <c r="R264" s="117">
        <f>G264*H264*CHmaster+G264*INmaster*I264+KLmaster*H264*I264</f>
        <v>3456</v>
      </c>
      <c r="S264" s="224">
        <f t="shared" si="1798"/>
        <v>1728</v>
      </c>
      <c r="T264" s="224">
        <f t="shared" si="1799"/>
        <v>7488</v>
      </c>
      <c r="U264" s="222">
        <f t="shared" si="1800"/>
        <v>3.6923076923076925</v>
      </c>
      <c r="V264" s="223">
        <f t="shared" si="1801"/>
        <v>11.076923076923077</v>
      </c>
      <c r="W264" s="243">
        <f t="shared" si="1802"/>
        <v>8.3076923076923084</v>
      </c>
      <c r="X264" s="243">
        <f t="shared" si="1803"/>
        <v>23.07692307692308</v>
      </c>
      <c r="Y264" s="252">
        <v>0</v>
      </c>
      <c r="Z264" s="198">
        <f t="shared" si="1804"/>
        <v>23.07692307692308</v>
      </c>
      <c r="AA264" s="125">
        <f t="shared" ref="AA264:AB266" si="1937">IF(X264&lt;=0,2,0)+IF(X264&gt;0,X264+1,0)*2+IF(X264&gt;12,X264-12,0)*2+IF(X264&gt;13,X264-13,0)*2+IF(X264&gt;14,X264-14,0)*2+IF(X264&gt;15,X264-15,0)*2+IF(X264&gt;16,X264-16,0)*2+IF(X264&gt;17,X264-17,0)*2+IF(X264&gt;18,X264-18,0)*2+IF(X264&gt;19,X264-19,0)*2+IF(X264&gt;20,X264-20,0)*2</f>
        <v>175.5384615384616</v>
      </c>
      <c r="AB264" s="160">
        <f t="shared" si="1937"/>
        <v>2</v>
      </c>
      <c r="AC264" s="127">
        <f t="shared" si="1806"/>
        <v>173.5384615384616</v>
      </c>
      <c r="AD264" s="125">
        <f t="shared" si="1807"/>
        <v>0</v>
      </c>
      <c r="AF264" s="163" t="s">
        <v>411</v>
      </c>
      <c r="AG264" s="86" t="s">
        <v>87</v>
      </c>
      <c r="AH264" s="167" t="s">
        <v>132</v>
      </c>
      <c r="AI264" s="120"/>
      <c r="AJ264" s="117">
        <f>Konvention_1slave-KLslave</f>
        <v>12</v>
      </c>
      <c r="AK264" s="117">
        <f t="shared" si="1929"/>
        <v>12</v>
      </c>
      <c r="AL264" s="117">
        <f>Konvention_1slave-CHslave</f>
        <v>12</v>
      </c>
      <c r="AM264" s="117"/>
      <c r="AN264" s="117"/>
      <c r="AO264" s="117"/>
      <c r="AP264" s="121"/>
      <c r="AQ264" s="47">
        <f t="shared" si="1808"/>
        <v>12</v>
      </c>
      <c r="AR264" s="3">
        <f t="shared" si="1809"/>
        <v>24</v>
      </c>
      <c r="AS264" s="174">
        <f t="shared" si="1810"/>
        <v>36</v>
      </c>
      <c r="AT264" s="114">
        <f t="shared" si="1811"/>
        <v>2304</v>
      </c>
      <c r="AU264" s="117">
        <f>AJ264*AK264*CHslave+AJ264*INslave*AL264+KLslave*AK264*AL264</f>
        <v>3456</v>
      </c>
      <c r="AV264" s="119">
        <f t="shared" si="1812"/>
        <v>1728</v>
      </c>
      <c r="AW264" s="119">
        <f t="shared" si="1813"/>
        <v>7488</v>
      </c>
      <c r="AX264" s="89">
        <f t="shared" si="1814"/>
        <v>3.6923076923076925</v>
      </c>
      <c r="AY264" s="47">
        <f t="shared" si="1815"/>
        <v>11.076923076923077</v>
      </c>
      <c r="AZ264" s="127">
        <f t="shared" si="1816"/>
        <v>8.3076923076923084</v>
      </c>
      <c r="BA264" s="127">
        <f t="shared" si="1817"/>
        <v>23.07692307692308</v>
      </c>
      <c r="BB264" s="165">
        <f t="shared" si="1818"/>
        <v>0</v>
      </c>
      <c r="BC264" s="198">
        <f t="shared" si="1819"/>
        <v>23.07692307692308</v>
      </c>
      <c r="BD264" s="125">
        <f t="shared" ref="BD264:BE266" si="1938">IF(BA264&lt;=0,2,0)+IF(BA264&gt;0,BA264+1,0)*2+IF(BA264&gt;12,BA264-12,0)*2+IF(BA264&gt;13,BA264-13,0)*2+IF(BA264&gt;14,BA264-14,0)*2+IF(BA264&gt;15,BA264-15,0)*2+IF(BA264&gt;16,BA264-16,0)*2+IF(BA264&gt;17,BA264-17,0)*2+IF(BA264&gt;18,BA264-18,0)*2+IF(BA264&gt;19,BA264-19,0)*2+IF(BA264&gt;20,BA264-20,0)*2</f>
        <v>175.5384615384616</v>
      </c>
      <c r="BE264" s="160">
        <f t="shared" si="1938"/>
        <v>2</v>
      </c>
      <c r="BF264" s="243">
        <f t="shared" si="1821"/>
        <v>173.5384615384616</v>
      </c>
      <c r="BG264" s="218">
        <f t="shared" si="1822"/>
        <v>0</v>
      </c>
      <c r="BI264" s="303" t="s">
        <v>411</v>
      </c>
      <c r="BJ264" s="304" t="s">
        <v>87</v>
      </c>
      <c r="BK264" s="305" t="s">
        <v>132</v>
      </c>
      <c r="BL264" s="317"/>
      <c r="BM264" s="254">
        <f>Konvention_1slave-KLslave_KL</f>
        <v>11</v>
      </c>
      <c r="BN264" s="254">
        <f t="shared" si="1930"/>
        <v>12</v>
      </c>
      <c r="BO264" s="254">
        <f>Konvention_1slave-CHslave</f>
        <v>12</v>
      </c>
      <c r="BP264" s="254"/>
      <c r="BQ264" s="254"/>
      <c r="BR264" s="254"/>
      <c r="BS264" s="318"/>
      <c r="BT264" s="223">
        <f t="shared" si="1823"/>
        <v>11.666666666666666</v>
      </c>
      <c r="BU264" s="223">
        <f t="shared" si="1824"/>
        <v>23.333333333333332</v>
      </c>
      <c r="BV264" s="224">
        <f t="shared" si="1825"/>
        <v>35</v>
      </c>
      <c r="BW264" s="237">
        <f t="shared" si="1826"/>
        <v>2432</v>
      </c>
      <c r="BX264" s="254">
        <f>BM264*BN264*CHslave+BM264*INslave*BO264+KLslave_KL*BN264*BO264</f>
        <v>3408</v>
      </c>
      <c r="BY264" s="224">
        <f t="shared" si="1827"/>
        <v>1584</v>
      </c>
      <c r="BZ264" s="224">
        <f t="shared" si="1828"/>
        <v>7424</v>
      </c>
      <c r="CA264" s="222">
        <f t="shared" si="1829"/>
        <v>3.8218390804597702</v>
      </c>
      <c r="CB264" s="223">
        <f t="shared" si="1830"/>
        <v>10.711206896551724</v>
      </c>
      <c r="CC264" s="243">
        <f t="shared" si="1831"/>
        <v>7.4676724137931032</v>
      </c>
      <c r="CD264" s="243">
        <f t="shared" si="1832"/>
        <v>22.000718390804597</v>
      </c>
      <c r="CE264" s="252">
        <f t="shared" si="1833"/>
        <v>0</v>
      </c>
      <c r="CF264" s="309">
        <f t="shared" si="1834"/>
        <v>22.000718390804597</v>
      </c>
      <c r="CG264" s="218">
        <f t="shared" ref="CG264:CH266" si="1939">IF(CD264&lt;=0,2,0)+IF(CD264&gt;0,CD264+1,0)*2+IF(CD264&gt;12,CD264-12,0)*2+IF(CD264&gt;13,CD264-13,0)*2+IF(CD264&gt;14,CD264-14,0)*2+IF(CD264&gt;15,CD264-15,0)*2+IF(CD264&gt;16,CD264-16,0)*2+IF(CD264&gt;17,CD264-17,0)*2+IF(CD264&gt;18,CD264-18,0)*2+IF(CD264&gt;19,CD264-19,0)*2+IF(CD264&gt;20,CD264-20,0)*2</f>
        <v>154.01436781609189</v>
      </c>
      <c r="CH264" s="242">
        <f t="shared" si="1939"/>
        <v>2</v>
      </c>
      <c r="CI264" s="243">
        <f t="shared" si="1836"/>
        <v>152.01436781609189</v>
      </c>
      <c r="CJ264" s="218">
        <f t="shared" si="1837"/>
        <v>0</v>
      </c>
      <c r="CL264" s="303" t="s">
        <v>411</v>
      </c>
      <c r="CM264" s="304" t="s">
        <v>87</v>
      </c>
      <c r="CN264" s="305" t="s">
        <v>132</v>
      </c>
      <c r="CO264" s="317"/>
      <c r="CP264" s="254">
        <f>Konvention_1slave-KLslave</f>
        <v>12</v>
      </c>
      <c r="CQ264" s="254">
        <f t="shared" si="1931"/>
        <v>11</v>
      </c>
      <c r="CR264" s="254">
        <f>Konvention_1slave-CHslave</f>
        <v>12</v>
      </c>
      <c r="CS264" s="254"/>
      <c r="CT264" s="254"/>
      <c r="CU264" s="254"/>
      <c r="CV264" s="318"/>
      <c r="CW264" s="223">
        <f t="shared" si="1838"/>
        <v>11.666666666666666</v>
      </c>
      <c r="CX264" s="223">
        <f t="shared" si="1839"/>
        <v>23.333333333333332</v>
      </c>
      <c r="CY264" s="224">
        <f t="shared" si="1840"/>
        <v>35</v>
      </c>
      <c r="CZ264" s="237">
        <f t="shared" si="1841"/>
        <v>2432</v>
      </c>
      <c r="DA264" s="254">
        <f>CP264*CQ264*CHslave+CP264*INslave_IN*CR264+KLslave*CQ264*CR264</f>
        <v>3408</v>
      </c>
      <c r="DB264" s="224">
        <f t="shared" si="1842"/>
        <v>1584</v>
      </c>
      <c r="DC264" s="224">
        <f t="shared" si="1843"/>
        <v>7424</v>
      </c>
      <c r="DD264" s="222">
        <f t="shared" si="1844"/>
        <v>3.8218390804597702</v>
      </c>
      <c r="DE264" s="223">
        <f t="shared" si="1845"/>
        <v>10.711206896551724</v>
      </c>
      <c r="DF264" s="243">
        <f t="shared" si="1846"/>
        <v>7.4676724137931032</v>
      </c>
      <c r="DG264" s="243">
        <f t="shared" si="1847"/>
        <v>22.000718390804597</v>
      </c>
      <c r="DH264" s="252">
        <f t="shared" si="1848"/>
        <v>0</v>
      </c>
      <c r="DI264" s="309">
        <f t="shared" si="1849"/>
        <v>22.000718390804597</v>
      </c>
      <c r="DJ264" s="218">
        <f t="shared" ref="DJ264:DK266" si="1940">IF(DG264&lt;=0,2,0)+IF(DG264&gt;0,DG264+1,0)*2+IF(DG264&gt;12,DG264-12,0)*2+IF(DG264&gt;13,DG264-13,0)*2+IF(DG264&gt;14,DG264-14,0)*2+IF(DG264&gt;15,DG264-15,0)*2+IF(DG264&gt;16,DG264-16,0)*2+IF(DG264&gt;17,DG264-17,0)*2+IF(DG264&gt;18,DG264-18,0)*2+IF(DG264&gt;19,DG264-19,0)*2+IF(DG264&gt;20,DG264-20,0)*2</f>
        <v>154.01436781609189</v>
      </c>
      <c r="DK264" s="242">
        <f t="shared" si="1940"/>
        <v>2</v>
      </c>
      <c r="DL264" s="243">
        <f t="shared" si="1851"/>
        <v>152.01436781609189</v>
      </c>
      <c r="DM264" s="218">
        <f t="shared" si="1852"/>
        <v>0</v>
      </c>
      <c r="DO264" s="303" t="s">
        <v>411</v>
      </c>
      <c r="DP264" s="304" t="s">
        <v>87</v>
      </c>
      <c r="DQ264" s="305" t="s">
        <v>132</v>
      </c>
      <c r="DR264" s="317"/>
      <c r="DS264" s="254">
        <f>Konvention_1slave-KLslave</f>
        <v>12</v>
      </c>
      <c r="DT264" s="254">
        <f t="shared" si="1932"/>
        <v>12</v>
      </c>
      <c r="DU264" s="254">
        <f>Konvention_1slave-CHslave_CH</f>
        <v>11</v>
      </c>
      <c r="DV264" s="254"/>
      <c r="DW264" s="254"/>
      <c r="DX264" s="254"/>
      <c r="DY264" s="318"/>
      <c r="DZ264" s="223">
        <f t="shared" si="1853"/>
        <v>11.666666666666666</v>
      </c>
      <c r="EA264" s="223">
        <f t="shared" si="1854"/>
        <v>23.333333333333332</v>
      </c>
      <c r="EB264" s="224">
        <f t="shared" si="1855"/>
        <v>35</v>
      </c>
      <c r="EC264" s="237">
        <f t="shared" si="1856"/>
        <v>2432</v>
      </c>
      <c r="ED264" s="254">
        <f>DS264*DT264*CHslave_CH+DS264*INslave*DU264+KLslave*DT264*DU264</f>
        <v>3408</v>
      </c>
      <c r="EE264" s="224">
        <f t="shared" si="1857"/>
        <v>1584</v>
      </c>
      <c r="EF264" s="224">
        <f t="shared" si="1858"/>
        <v>7424</v>
      </c>
      <c r="EG264" s="222">
        <f t="shared" si="1859"/>
        <v>3.8218390804597702</v>
      </c>
      <c r="EH264" s="223">
        <f t="shared" si="1860"/>
        <v>10.711206896551724</v>
      </c>
      <c r="EI264" s="243">
        <f t="shared" si="1861"/>
        <v>7.4676724137931032</v>
      </c>
      <c r="EJ264" s="243">
        <f t="shared" si="1862"/>
        <v>22.000718390804597</v>
      </c>
      <c r="EK264" s="252">
        <f t="shared" si="1863"/>
        <v>0</v>
      </c>
      <c r="EL264" s="309">
        <f t="shared" si="1864"/>
        <v>22.000718390804597</v>
      </c>
      <c r="EM264" s="218">
        <f t="shared" ref="EM264:EN266" si="1941">IF(EJ264&lt;=0,2,0)+IF(EJ264&gt;0,EJ264+1,0)*2+IF(EJ264&gt;12,EJ264-12,0)*2+IF(EJ264&gt;13,EJ264-13,0)*2+IF(EJ264&gt;14,EJ264-14,0)*2+IF(EJ264&gt;15,EJ264-15,0)*2+IF(EJ264&gt;16,EJ264-16,0)*2+IF(EJ264&gt;17,EJ264-17,0)*2+IF(EJ264&gt;18,EJ264-18,0)*2+IF(EJ264&gt;19,EJ264-19,0)*2+IF(EJ264&gt;20,EJ264-20,0)*2</f>
        <v>154.01436781609189</v>
      </c>
      <c r="EN264" s="242">
        <f t="shared" si="1941"/>
        <v>2</v>
      </c>
      <c r="EO264" s="243">
        <f t="shared" si="1866"/>
        <v>152.01436781609189</v>
      </c>
      <c r="EP264" s="218">
        <f t="shared" si="1867"/>
        <v>0</v>
      </c>
      <c r="ER264" s="303" t="s">
        <v>411</v>
      </c>
      <c r="ES264" s="304" t="s">
        <v>87</v>
      </c>
      <c r="ET264" s="305" t="s">
        <v>132</v>
      </c>
      <c r="EU264" s="317"/>
      <c r="EV264" s="254">
        <f>Konvention_1slave-KLslave</f>
        <v>12</v>
      </c>
      <c r="EW264" s="254">
        <f t="shared" si="1933"/>
        <v>12</v>
      </c>
      <c r="EX264" s="254">
        <f>Konvention_1slave-CHslave</f>
        <v>12</v>
      </c>
      <c r="EY264" s="254"/>
      <c r="EZ264" s="254"/>
      <c r="FA264" s="254"/>
      <c r="FB264" s="318"/>
      <c r="FC264" s="223">
        <f t="shared" si="1868"/>
        <v>12</v>
      </c>
      <c r="FD264" s="223">
        <f t="shared" si="1869"/>
        <v>24</v>
      </c>
      <c r="FE264" s="224">
        <f t="shared" si="1870"/>
        <v>36</v>
      </c>
      <c r="FF264" s="237">
        <f t="shared" si="1871"/>
        <v>2304</v>
      </c>
      <c r="FG264" s="254">
        <f>EV264*EW264*CHslave+EV264*INslave*EX264+KLslave*EW264*EX264</f>
        <v>3456</v>
      </c>
      <c r="FH264" s="224">
        <f t="shared" si="1872"/>
        <v>1728</v>
      </c>
      <c r="FI264" s="224">
        <f t="shared" si="1873"/>
        <v>7488</v>
      </c>
      <c r="FJ264" s="222">
        <f t="shared" si="1874"/>
        <v>3.6923076923076925</v>
      </c>
      <c r="FK264" s="223">
        <f t="shared" si="1875"/>
        <v>11.076923076923077</v>
      </c>
      <c r="FL264" s="243">
        <f t="shared" si="1876"/>
        <v>8.3076923076923084</v>
      </c>
      <c r="FM264" s="243">
        <f t="shared" si="1877"/>
        <v>23.07692307692308</v>
      </c>
      <c r="FN264" s="252">
        <f t="shared" si="1878"/>
        <v>0</v>
      </c>
      <c r="FO264" s="309">
        <f t="shared" si="1879"/>
        <v>23.07692307692308</v>
      </c>
      <c r="FP264" s="218">
        <f t="shared" ref="FP264:FQ266" si="1942">IF(FM264&lt;=0,2,0)+IF(FM264&gt;0,FM264+1,0)*2+IF(FM264&gt;12,FM264-12,0)*2+IF(FM264&gt;13,FM264-13,0)*2+IF(FM264&gt;14,FM264-14,0)*2+IF(FM264&gt;15,FM264-15,0)*2+IF(FM264&gt;16,FM264-16,0)*2+IF(FM264&gt;17,FM264-17,0)*2+IF(FM264&gt;18,FM264-18,0)*2+IF(FM264&gt;19,FM264-19,0)*2+IF(FM264&gt;20,FM264-20,0)*2</f>
        <v>175.5384615384616</v>
      </c>
      <c r="FQ264" s="242">
        <f t="shared" si="1942"/>
        <v>2</v>
      </c>
      <c r="FR264" s="243">
        <f t="shared" si="1881"/>
        <v>173.5384615384616</v>
      </c>
      <c r="FS264" s="218">
        <f t="shared" si="1882"/>
        <v>0</v>
      </c>
      <c r="FU264" s="303" t="s">
        <v>411</v>
      </c>
      <c r="FV264" s="304" t="s">
        <v>87</v>
      </c>
      <c r="FW264" s="305" t="s">
        <v>132</v>
      </c>
      <c r="FX264" s="317"/>
      <c r="FY264" s="254">
        <f>Konvention_1slave-KLslave</f>
        <v>12</v>
      </c>
      <c r="FZ264" s="254">
        <f t="shared" si="1934"/>
        <v>12</v>
      </c>
      <c r="GA264" s="254">
        <f>Konvention_1slave-CHslave</f>
        <v>12</v>
      </c>
      <c r="GB264" s="254"/>
      <c r="GC264" s="254"/>
      <c r="GD264" s="254"/>
      <c r="GE264" s="318"/>
      <c r="GF264" s="223">
        <f t="shared" si="1883"/>
        <v>12</v>
      </c>
      <c r="GG264" s="223">
        <f t="shared" si="1884"/>
        <v>24</v>
      </c>
      <c r="GH264" s="224">
        <f t="shared" si="1885"/>
        <v>36</v>
      </c>
      <c r="GI264" s="237">
        <f t="shared" si="1886"/>
        <v>2304</v>
      </c>
      <c r="GJ264" s="254">
        <f>FY264*FZ264*CHslave+FY264*INslave*GA264+KLslave*FZ264*GA264</f>
        <v>3456</v>
      </c>
      <c r="GK264" s="224">
        <f t="shared" si="1887"/>
        <v>1728</v>
      </c>
      <c r="GL264" s="224">
        <f t="shared" si="1888"/>
        <v>7488</v>
      </c>
      <c r="GM264" s="222">
        <f t="shared" si="1889"/>
        <v>3.6923076923076925</v>
      </c>
      <c r="GN264" s="223">
        <f t="shared" si="1890"/>
        <v>11.076923076923077</v>
      </c>
      <c r="GO264" s="243">
        <f t="shared" si="1891"/>
        <v>8.3076923076923084</v>
      </c>
      <c r="GP264" s="243">
        <f t="shared" si="1892"/>
        <v>23.07692307692308</v>
      </c>
      <c r="GQ264" s="252">
        <f t="shared" si="1893"/>
        <v>0</v>
      </c>
      <c r="GR264" s="309">
        <f t="shared" si="1894"/>
        <v>23.07692307692308</v>
      </c>
      <c r="GS264" s="218">
        <f t="shared" ref="GS264:GT266" si="1943">IF(GP264&lt;=0,2,0)+IF(GP264&gt;0,GP264+1,0)*2+IF(GP264&gt;12,GP264-12,0)*2+IF(GP264&gt;13,GP264-13,0)*2+IF(GP264&gt;14,GP264-14,0)*2+IF(GP264&gt;15,GP264-15,0)*2+IF(GP264&gt;16,GP264-16,0)*2+IF(GP264&gt;17,GP264-17,0)*2+IF(GP264&gt;18,GP264-18,0)*2+IF(GP264&gt;19,GP264-19,0)*2+IF(GP264&gt;20,GP264-20,0)*2</f>
        <v>175.5384615384616</v>
      </c>
      <c r="GT264" s="242">
        <f t="shared" si="1943"/>
        <v>2</v>
      </c>
      <c r="GU264" s="243">
        <f t="shared" si="1896"/>
        <v>173.5384615384616</v>
      </c>
      <c r="GV264" s="218">
        <f t="shared" si="1897"/>
        <v>0</v>
      </c>
      <c r="GX264" s="303" t="s">
        <v>411</v>
      </c>
      <c r="GY264" s="304" t="s">
        <v>87</v>
      </c>
      <c r="GZ264" s="305" t="s">
        <v>132</v>
      </c>
      <c r="HA264" s="317"/>
      <c r="HB264" s="254">
        <f>Konvention_1slave-KLslave</f>
        <v>12</v>
      </c>
      <c r="HC264" s="254">
        <f t="shared" si="1935"/>
        <v>12</v>
      </c>
      <c r="HD264" s="254">
        <f>Konvention_1slave-CHslave</f>
        <v>12</v>
      </c>
      <c r="HE264" s="254"/>
      <c r="HF264" s="254"/>
      <c r="HG264" s="254"/>
      <c r="HH264" s="318"/>
      <c r="HI264" s="223">
        <f t="shared" si="1898"/>
        <v>12</v>
      </c>
      <c r="HJ264" s="223">
        <f t="shared" si="1899"/>
        <v>24</v>
      </c>
      <c r="HK264" s="224">
        <f t="shared" si="1900"/>
        <v>36</v>
      </c>
      <c r="HL264" s="237">
        <f t="shared" si="1901"/>
        <v>2304</v>
      </c>
      <c r="HM264" s="254">
        <f>HB264*HC264*CHslave+HB264*INslave*HD264+KLslave*HC264*HD264</f>
        <v>3456</v>
      </c>
      <c r="HN264" s="224">
        <f t="shared" si="1902"/>
        <v>1728</v>
      </c>
      <c r="HO264" s="224">
        <f t="shared" si="1903"/>
        <v>7488</v>
      </c>
      <c r="HP264" s="222">
        <f t="shared" si="1904"/>
        <v>3.6923076923076925</v>
      </c>
      <c r="HQ264" s="223">
        <f t="shared" si="1905"/>
        <v>11.076923076923077</v>
      </c>
      <c r="HR264" s="243">
        <f t="shared" si="1906"/>
        <v>8.3076923076923084</v>
      </c>
      <c r="HS264" s="243">
        <f t="shared" si="1907"/>
        <v>23.07692307692308</v>
      </c>
      <c r="HT264" s="252">
        <f t="shared" si="1908"/>
        <v>0</v>
      </c>
      <c r="HU264" s="309">
        <f t="shared" si="1909"/>
        <v>23.07692307692308</v>
      </c>
      <c r="HV264" s="218">
        <f t="shared" ref="HV264:HW266" si="1944">IF(HS264&lt;=0,2,0)+IF(HS264&gt;0,HS264+1,0)*2+IF(HS264&gt;12,HS264-12,0)*2+IF(HS264&gt;13,HS264-13,0)*2+IF(HS264&gt;14,HS264-14,0)*2+IF(HS264&gt;15,HS264-15,0)*2+IF(HS264&gt;16,HS264-16,0)*2+IF(HS264&gt;17,HS264-17,0)*2+IF(HS264&gt;18,HS264-18,0)*2+IF(HS264&gt;19,HS264-19,0)*2+IF(HS264&gt;20,HS264-20,0)*2</f>
        <v>175.5384615384616</v>
      </c>
      <c r="HW264" s="242">
        <f t="shared" si="1944"/>
        <v>2</v>
      </c>
      <c r="HX264" s="243">
        <f t="shared" si="1911"/>
        <v>173.5384615384616</v>
      </c>
      <c r="HY264" s="218">
        <f t="shared" si="1912"/>
        <v>0</v>
      </c>
      <c r="IA264" s="303" t="s">
        <v>411</v>
      </c>
      <c r="IB264" s="304" t="s">
        <v>87</v>
      </c>
      <c r="IC264" s="305" t="s">
        <v>132</v>
      </c>
      <c r="ID264" s="317"/>
      <c r="IE264" s="254">
        <f>Konvention_1slave-KLslave</f>
        <v>12</v>
      </c>
      <c r="IF264" s="254">
        <f t="shared" si="1936"/>
        <v>12</v>
      </c>
      <c r="IG264" s="254">
        <f>Konvention_1slave-CHslave</f>
        <v>12</v>
      </c>
      <c r="IH264" s="254"/>
      <c r="II264" s="254"/>
      <c r="IJ264" s="254"/>
      <c r="IK264" s="318"/>
      <c r="IL264" s="223">
        <f t="shared" si="1913"/>
        <v>12</v>
      </c>
      <c r="IM264" s="223">
        <f t="shared" si="1914"/>
        <v>24</v>
      </c>
      <c r="IN264" s="224">
        <f t="shared" si="1915"/>
        <v>36</v>
      </c>
      <c r="IO264" s="237">
        <f t="shared" si="1916"/>
        <v>2304</v>
      </c>
      <c r="IP264" s="254">
        <f>IE264*IF264*CHslave+IE264*INslave*IG264+KLslave*IF264*IG264</f>
        <v>3456</v>
      </c>
      <c r="IQ264" s="224">
        <f t="shared" si="1917"/>
        <v>1728</v>
      </c>
      <c r="IR264" s="224">
        <f t="shared" si="1918"/>
        <v>7488</v>
      </c>
      <c r="IS264" s="222">
        <f t="shared" si="1919"/>
        <v>3.6923076923076925</v>
      </c>
      <c r="IT264" s="223">
        <f t="shared" si="1920"/>
        <v>11.076923076923077</v>
      </c>
      <c r="IU264" s="243">
        <f t="shared" si="1921"/>
        <v>8.3076923076923084</v>
      </c>
      <c r="IV264" s="243">
        <f t="shared" si="1922"/>
        <v>23.07692307692308</v>
      </c>
      <c r="IW264" s="252">
        <f t="shared" si="1923"/>
        <v>0</v>
      </c>
      <c r="IX264" s="309">
        <f t="shared" si="1924"/>
        <v>23.07692307692308</v>
      </c>
      <c r="IY264" s="218">
        <f t="shared" ref="IY264:IZ266" si="1945">IF(IV264&lt;=0,2,0)+IF(IV264&gt;0,IV264+1,0)*2+IF(IV264&gt;12,IV264-12,0)*2+IF(IV264&gt;13,IV264-13,0)*2+IF(IV264&gt;14,IV264-14,0)*2+IF(IV264&gt;15,IV264-15,0)*2+IF(IV264&gt;16,IV264-16,0)*2+IF(IV264&gt;17,IV264-17,0)*2+IF(IV264&gt;18,IV264-18,0)*2+IF(IV264&gt;19,IV264-19,0)*2+IF(IV264&gt;20,IV264-20,0)*2</f>
        <v>175.5384615384616</v>
      </c>
      <c r="IZ264" s="242">
        <f t="shared" si="1945"/>
        <v>2</v>
      </c>
      <c r="JA264" s="243">
        <f t="shared" si="1926"/>
        <v>173.5384615384616</v>
      </c>
      <c r="JB264" s="218">
        <f t="shared" si="1927"/>
        <v>0</v>
      </c>
      <c r="JE264" s="148"/>
    </row>
    <row r="265" spans="2:265" ht="15" hidden="1" customHeight="1" outlineLevel="2">
      <c r="B265" s="148">
        <v>5</v>
      </c>
      <c r="C265" s="303" t="e">
        <f>VLOOKUP(AF265,Attribute!C:T,1,FALSE)</f>
        <v>#N/A</v>
      </c>
      <c r="D265" s="86" t="s">
        <v>170</v>
      </c>
      <c r="E265" s="167" t="s">
        <v>132</v>
      </c>
      <c r="F265" s="120"/>
      <c r="G265" s="117">
        <f>Konvention_1master-KLmaster</f>
        <v>12</v>
      </c>
      <c r="H265" s="117">
        <f t="shared" si="1928"/>
        <v>12</v>
      </c>
      <c r="I265" s="117"/>
      <c r="J265" s="117">
        <f>Konvention_1master-FFmaster</f>
        <v>12</v>
      </c>
      <c r="K265" s="117"/>
      <c r="L265" s="117"/>
      <c r="M265" s="121"/>
      <c r="N265" s="223">
        <f t="shared" si="1794"/>
        <v>12</v>
      </c>
      <c r="O265" s="223">
        <f t="shared" si="1795"/>
        <v>24</v>
      </c>
      <c r="P265" s="224">
        <f t="shared" si="1796"/>
        <v>36</v>
      </c>
      <c r="Q265" s="237">
        <f t="shared" si="1797"/>
        <v>2304</v>
      </c>
      <c r="R265" s="117">
        <f>G265*H265*FFmaster+G265*INmaster*J265+KLmaster*H265*J265</f>
        <v>3456</v>
      </c>
      <c r="S265" s="224">
        <f t="shared" si="1798"/>
        <v>1728</v>
      </c>
      <c r="T265" s="224">
        <f t="shared" si="1799"/>
        <v>7488</v>
      </c>
      <c r="U265" s="222">
        <f t="shared" si="1800"/>
        <v>3.6923076923076925</v>
      </c>
      <c r="V265" s="223">
        <f t="shared" si="1801"/>
        <v>11.076923076923077</v>
      </c>
      <c r="W265" s="243">
        <f t="shared" si="1802"/>
        <v>8.3076923076923084</v>
      </c>
      <c r="X265" s="243">
        <f t="shared" si="1803"/>
        <v>23.07692307692308</v>
      </c>
      <c r="Y265" s="252">
        <v>0</v>
      </c>
      <c r="Z265" s="198">
        <f t="shared" si="1804"/>
        <v>23.07692307692308</v>
      </c>
      <c r="AA265" s="125">
        <f t="shared" si="1937"/>
        <v>175.5384615384616</v>
      </c>
      <c r="AB265" s="160">
        <f t="shared" si="1937"/>
        <v>2</v>
      </c>
      <c r="AC265" s="127">
        <f t="shared" si="1806"/>
        <v>173.5384615384616</v>
      </c>
      <c r="AD265" s="125">
        <f t="shared" si="1807"/>
        <v>0</v>
      </c>
      <c r="AF265" s="163" t="s">
        <v>412</v>
      </c>
      <c r="AG265" s="86" t="s">
        <v>170</v>
      </c>
      <c r="AH265" s="167" t="s">
        <v>132</v>
      </c>
      <c r="AI265" s="120"/>
      <c r="AJ265" s="117">
        <f>Konvention_1slave-KLslave</f>
        <v>12</v>
      </c>
      <c r="AK265" s="117">
        <f t="shared" si="1929"/>
        <v>12</v>
      </c>
      <c r="AL265" s="117"/>
      <c r="AM265" s="117">
        <f>Konvention_1slave-FFslave</f>
        <v>12</v>
      </c>
      <c r="AN265" s="117"/>
      <c r="AO265" s="117"/>
      <c r="AP265" s="121"/>
      <c r="AQ265" s="47">
        <f t="shared" si="1808"/>
        <v>12</v>
      </c>
      <c r="AR265" s="3">
        <f t="shared" si="1809"/>
        <v>24</v>
      </c>
      <c r="AS265" s="174">
        <f t="shared" si="1810"/>
        <v>36</v>
      </c>
      <c r="AT265" s="114">
        <f t="shared" si="1811"/>
        <v>2304</v>
      </c>
      <c r="AU265" s="117">
        <f>AJ265*AK265*FFslave+AJ265*INslave*AM265+KLslave*AK265*AM265</f>
        <v>3456</v>
      </c>
      <c r="AV265" s="119">
        <f t="shared" si="1812"/>
        <v>1728</v>
      </c>
      <c r="AW265" s="119">
        <f t="shared" si="1813"/>
        <v>7488</v>
      </c>
      <c r="AX265" s="89">
        <f t="shared" si="1814"/>
        <v>3.6923076923076925</v>
      </c>
      <c r="AY265" s="47">
        <f t="shared" si="1815"/>
        <v>11.076923076923077</v>
      </c>
      <c r="AZ265" s="127">
        <f t="shared" si="1816"/>
        <v>8.3076923076923084</v>
      </c>
      <c r="BA265" s="127">
        <f t="shared" si="1817"/>
        <v>23.07692307692308</v>
      </c>
      <c r="BB265" s="165">
        <f t="shared" si="1818"/>
        <v>0</v>
      </c>
      <c r="BC265" s="198">
        <f t="shared" si="1819"/>
        <v>23.07692307692308</v>
      </c>
      <c r="BD265" s="125">
        <f t="shared" si="1938"/>
        <v>175.5384615384616</v>
      </c>
      <c r="BE265" s="160">
        <f t="shared" si="1938"/>
        <v>2</v>
      </c>
      <c r="BF265" s="243">
        <f t="shared" si="1821"/>
        <v>173.5384615384616</v>
      </c>
      <c r="BG265" s="218">
        <f t="shared" si="1822"/>
        <v>0</v>
      </c>
      <c r="BI265" s="303" t="s">
        <v>412</v>
      </c>
      <c r="BJ265" s="304" t="s">
        <v>170</v>
      </c>
      <c r="BK265" s="305" t="s">
        <v>132</v>
      </c>
      <c r="BL265" s="317"/>
      <c r="BM265" s="254">
        <f>Konvention_1slave-KLslave_KL</f>
        <v>11</v>
      </c>
      <c r="BN265" s="254">
        <f t="shared" si="1930"/>
        <v>12</v>
      </c>
      <c r="BO265" s="254"/>
      <c r="BP265" s="254">
        <f>Konvention_1slave-FFslave</f>
        <v>12</v>
      </c>
      <c r="BQ265" s="254"/>
      <c r="BR265" s="254"/>
      <c r="BS265" s="318"/>
      <c r="BT265" s="223">
        <f t="shared" si="1823"/>
        <v>11.666666666666666</v>
      </c>
      <c r="BU265" s="223">
        <f t="shared" si="1824"/>
        <v>23.333333333333332</v>
      </c>
      <c r="BV265" s="224">
        <f t="shared" si="1825"/>
        <v>35</v>
      </c>
      <c r="BW265" s="237">
        <f t="shared" si="1826"/>
        <v>2432</v>
      </c>
      <c r="BX265" s="254">
        <f>BM265*BN265*FFslave+BM265*INslave*BP265+KLslave_KL*BN265*BP265</f>
        <v>3408</v>
      </c>
      <c r="BY265" s="224">
        <f t="shared" si="1827"/>
        <v>1584</v>
      </c>
      <c r="BZ265" s="224">
        <f t="shared" si="1828"/>
        <v>7424</v>
      </c>
      <c r="CA265" s="222">
        <f t="shared" si="1829"/>
        <v>3.8218390804597702</v>
      </c>
      <c r="CB265" s="223">
        <f t="shared" si="1830"/>
        <v>10.711206896551724</v>
      </c>
      <c r="CC265" s="243">
        <f t="shared" si="1831"/>
        <v>7.4676724137931032</v>
      </c>
      <c r="CD265" s="243">
        <f t="shared" si="1832"/>
        <v>22.000718390804597</v>
      </c>
      <c r="CE265" s="252">
        <f t="shared" si="1833"/>
        <v>0</v>
      </c>
      <c r="CF265" s="309">
        <f t="shared" si="1834"/>
        <v>22.000718390804597</v>
      </c>
      <c r="CG265" s="218">
        <f t="shared" si="1939"/>
        <v>154.01436781609189</v>
      </c>
      <c r="CH265" s="242">
        <f t="shared" si="1939"/>
        <v>2</v>
      </c>
      <c r="CI265" s="243">
        <f t="shared" si="1836"/>
        <v>152.01436781609189</v>
      </c>
      <c r="CJ265" s="218">
        <f t="shared" si="1837"/>
        <v>0</v>
      </c>
      <c r="CL265" s="303" t="s">
        <v>412</v>
      </c>
      <c r="CM265" s="304" t="s">
        <v>170</v>
      </c>
      <c r="CN265" s="305" t="s">
        <v>132</v>
      </c>
      <c r="CO265" s="317"/>
      <c r="CP265" s="254">
        <f>Konvention_1slave-KLslave</f>
        <v>12</v>
      </c>
      <c r="CQ265" s="254">
        <f t="shared" si="1931"/>
        <v>11</v>
      </c>
      <c r="CR265" s="254"/>
      <c r="CS265" s="254">
        <f>Konvention_1slave-FFslave</f>
        <v>12</v>
      </c>
      <c r="CT265" s="254"/>
      <c r="CU265" s="254"/>
      <c r="CV265" s="318"/>
      <c r="CW265" s="223">
        <f t="shared" si="1838"/>
        <v>11.666666666666666</v>
      </c>
      <c r="CX265" s="223">
        <f t="shared" si="1839"/>
        <v>23.333333333333332</v>
      </c>
      <c r="CY265" s="224">
        <f t="shared" si="1840"/>
        <v>35</v>
      </c>
      <c r="CZ265" s="237">
        <f t="shared" si="1841"/>
        <v>2432</v>
      </c>
      <c r="DA265" s="254">
        <f>CP265*CQ265*FFslave+CP265*INslave_IN*CS265+KLslave*CQ265*CS265</f>
        <v>3408</v>
      </c>
      <c r="DB265" s="224">
        <f t="shared" si="1842"/>
        <v>1584</v>
      </c>
      <c r="DC265" s="224">
        <f t="shared" si="1843"/>
        <v>7424</v>
      </c>
      <c r="DD265" s="222">
        <f t="shared" si="1844"/>
        <v>3.8218390804597702</v>
      </c>
      <c r="DE265" s="223">
        <f t="shared" si="1845"/>
        <v>10.711206896551724</v>
      </c>
      <c r="DF265" s="243">
        <f t="shared" si="1846"/>
        <v>7.4676724137931032</v>
      </c>
      <c r="DG265" s="243">
        <f t="shared" si="1847"/>
        <v>22.000718390804597</v>
      </c>
      <c r="DH265" s="252">
        <f t="shared" si="1848"/>
        <v>0</v>
      </c>
      <c r="DI265" s="309">
        <f t="shared" si="1849"/>
        <v>22.000718390804597</v>
      </c>
      <c r="DJ265" s="218">
        <f t="shared" si="1940"/>
        <v>154.01436781609189</v>
      </c>
      <c r="DK265" s="242">
        <f t="shared" si="1940"/>
        <v>2</v>
      </c>
      <c r="DL265" s="243">
        <f t="shared" si="1851"/>
        <v>152.01436781609189</v>
      </c>
      <c r="DM265" s="218">
        <f t="shared" si="1852"/>
        <v>0</v>
      </c>
      <c r="DO265" s="303" t="s">
        <v>412</v>
      </c>
      <c r="DP265" s="304" t="s">
        <v>170</v>
      </c>
      <c r="DQ265" s="305" t="s">
        <v>132</v>
      </c>
      <c r="DR265" s="317"/>
      <c r="DS265" s="254">
        <f>Konvention_1slave-KLslave</f>
        <v>12</v>
      </c>
      <c r="DT265" s="254">
        <f t="shared" si="1932"/>
        <v>12</v>
      </c>
      <c r="DU265" s="254"/>
      <c r="DV265" s="254">
        <f>Konvention_1slave-FFslave</f>
        <v>12</v>
      </c>
      <c r="DW265" s="254"/>
      <c r="DX265" s="254"/>
      <c r="DY265" s="318"/>
      <c r="DZ265" s="223">
        <f t="shared" si="1853"/>
        <v>12</v>
      </c>
      <c r="EA265" s="223">
        <f t="shared" si="1854"/>
        <v>24</v>
      </c>
      <c r="EB265" s="224">
        <f t="shared" si="1855"/>
        <v>36</v>
      </c>
      <c r="EC265" s="237">
        <f t="shared" si="1856"/>
        <v>2304</v>
      </c>
      <c r="ED265" s="254">
        <f>DS265*DT265*FFslave+DS265*INslave*DV265+KLslave*DT265*DV265</f>
        <v>3456</v>
      </c>
      <c r="EE265" s="224">
        <f t="shared" si="1857"/>
        <v>1728</v>
      </c>
      <c r="EF265" s="224">
        <f t="shared" si="1858"/>
        <v>7488</v>
      </c>
      <c r="EG265" s="222">
        <f t="shared" si="1859"/>
        <v>3.6923076923076925</v>
      </c>
      <c r="EH265" s="223">
        <f t="shared" si="1860"/>
        <v>11.076923076923077</v>
      </c>
      <c r="EI265" s="243">
        <f t="shared" si="1861"/>
        <v>8.3076923076923084</v>
      </c>
      <c r="EJ265" s="243">
        <f t="shared" si="1862"/>
        <v>23.07692307692308</v>
      </c>
      <c r="EK265" s="252">
        <f t="shared" si="1863"/>
        <v>0</v>
      </c>
      <c r="EL265" s="309">
        <f t="shared" si="1864"/>
        <v>23.07692307692308</v>
      </c>
      <c r="EM265" s="218">
        <f t="shared" si="1941"/>
        <v>175.5384615384616</v>
      </c>
      <c r="EN265" s="242">
        <f t="shared" si="1941"/>
        <v>2</v>
      </c>
      <c r="EO265" s="243">
        <f t="shared" si="1866"/>
        <v>173.5384615384616</v>
      </c>
      <c r="EP265" s="218">
        <f t="shared" si="1867"/>
        <v>0</v>
      </c>
      <c r="ER265" s="303" t="s">
        <v>412</v>
      </c>
      <c r="ES265" s="304" t="s">
        <v>170</v>
      </c>
      <c r="ET265" s="305" t="s">
        <v>132</v>
      </c>
      <c r="EU265" s="317"/>
      <c r="EV265" s="254">
        <f>Konvention_1slave-KLslave</f>
        <v>12</v>
      </c>
      <c r="EW265" s="254">
        <f t="shared" si="1933"/>
        <v>12</v>
      </c>
      <c r="EX265" s="254"/>
      <c r="EY265" s="254">
        <f>Konvention_1slave-FFslave_FF</f>
        <v>11</v>
      </c>
      <c r="EZ265" s="254"/>
      <c r="FA265" s="254"/>
      <c r="FB265" s="318"/>
      <c r="FC265" s="223">
        <f t="shared" si="1868"/>
        <v>11.666666666666666</v>
      </c>
      <c r="FD265" s="223">
        <f t="shared" si="1869"/>
        <v>23.333333333333332</v>
      </c>
      <c r="FE265" s="224">
        <f t="shared" si="1870"/>
        <v>35</v>
      </c>
      <c r="FF265" s="237">
        <f t="shared" si="1871"/>
        <v>2432</v>
      </c>
      <c r="FG265" s="254">
        <f>EV265*EW265*FFslave_FF+EV265*INslave*EY265+KLslave*EW265*EY265</f>
        <v>3408</v>
      </c>
      <c r="FH265" s="224">
        <f t="shared" si="1872"/>
        <v>1584</v>
      </c>
      <c r="FI265" s="224">
        <f t="shared" si="1873"/>
        <v>7424</v>
      </c>
      <c r="FJ265" s="222">
        <f t="shared" si="1874"/>
        <v>3.8218390804597702</v>
      </c>
      <c r="FK265" s="223">
        <f t="shared" si="1875"/>
        <v>10.711206896551724</v>
      </c>
      <c r="FL265" s="243">
        <f t="shared" si="1876"/>
        <v>7.4676724137931032</v>
      </c>
      <c r="FM265" s="243">
        <f t="shared" si="1877"/>
        <v>22.000718390804597</v>
      </c>
      <c r="FN265" s="252">
        <f t="shared" si="1878"/>
        <v>0</v>
      </c>
      <c r="FO265" s="309">
        <f t="shared" si="1879"/>
        <v>22.000718390804597</v>
      </c>
      <c r="FP265" s="218">
        <f t="shared" si="1942"/>
        <v>154.01436781609189</v>
      </c>
      <c r="FQ265" s="242">
        <f t="shared" si="1942"/>
        <v>2</v>
      </c>
      <c r="FR265" s="243">
        <f t="shared" si="1881"/>
        <v>152.01436781609189</v>
      </c>
      <c r="FS265" s="218">
        <f t="shared" si="1882"/>
        <v>0</v>
      </c>
      <c r="FU265" s="303" t="s">
        <v>412</v>
      </c>
      <c r="FV265" s="304" t="s">
        <v>170</v>
      </c>
      <c r="FW265" s="305" t="s">
        <v>132</v>
      </c>
      <c r="FX265" s="317"/>
      <c r="FY265" s="254">
        <f>Konvention_1slave-KLslave</f>
        <v>12</v>
      </c>
      <c r="FZ265" s="254">
        <f t="shared" si="1934"/>
        <v>12</v>
      </c>
      <c r="GA265" s="254"/>
      <c r="GB265" s="254">
        <f>Konvention_1slave-FFslave</f>
        <v>12</v>
      </c>
      <c r="GC265" s="254"/>
      <c r="GD265" s="254"/>
      <c r="GE265" s="318"/>
      <c r="GF265" s="223">
        <f t="shared" si="1883"/>
        <v>12</v>
      </c>
      <c r="GG265" s="223">
        <f t="shared" si="1884"/>
        <v>24</v>
      </c>
      <c r="GH265" s="224">
        <f t="shared" si="1885"/>
        <v>36</v>
      </c>
      <c r="GI265" s="237">
        <f t="shared" si="1886"/>
        <v>2304</v>
      </c>
      <c r="GJ265" s="254">
        <f>FY265*FZ265*FFslave+FY265*INslave*GB265+KLslave*FZ265*GB265</f>
        <v>3456</v>
      </c>
      <c r="GK265" s="224">
        <f t="shared" si="1887"/>
        <v>1728</v>
      </c>
      <c r="GL265" s="224">
        <f t="shared" si="1888"/>
        <v>7488</v>
      </c>
      <c r="GM265" s="222">
        <f t="shared" si="1889"/>
        <v>3.6923076923076925</v>
      </c>
      <c r="GN265" s="223">
        <f t="shared" si="1890"/>
        <v>11.076923076923077</v>
      </c>
      <c r="GO265" s="243">
        <f t="shared" si="1891"/>
        <v>8.3076923076923084</v>
      </c>
      <c r="GP265" s="243">
        <f t="shared" si="1892"/>
        <v>23.07692307692308</v>
      </c>
      <c r="GQ265" s="252">
        <f t="shared" si="1893"/>
        <v>0</v>
      </c>
      <c r="GR265" s="309">
        <f t="shared" si="1894"/>
        <v>23.07692307692308</v>
      </c>
      <c r="GS265" s="218">
        <f t="shared" si="1943"/>
        <v>175.5384615384616</v>
      </c>
      <c r="GT265" s="242">
        <f t="shared" si="1943"/>
        <v>2</v>
      </c>
      <c r="GU265" s="243">
        <f t="shared" si="1896"/>
        <v>173.5384615384616</v>
      </c>
      <c r="GV265" s="218">
        <f t="shared" si="1897"/>
        <v>0</v>
      </c>
      <c r="GX265" s="303" t="s">
        <v>412</v>
      </c>
      <c r="GY265" s="304" t="s">
        <v>170</v>
      </c>
      <c r="GZ265" s="305" t="s">
        <v>132</v>
      </c>
      <c r="HA265" s="317"/>
      <c r="HB265" s="254">
        <f>Konvention_1slave-KLslave</f>
        <v>12</v>
      </c>
      <c r="HC265" s="254">
        <f t="shared" si="1935"/>
        <v>12</v>
      </c>
      <c r="HD265" s="254"/>
      <c r="HE265" s="254">
        <f>Konvention_1slave-FFslave</f>
        <v>12</v>
      </c>
      <c r="HF265" s="254"/>
      <c r="HG265" s="254"/>
      <c r="HH265" s="318"/>
      <c r="HI265" s="223">
        <f t="shared" si="1898"/>
        <v>12</v>
      </c>
      <c r="HJ265" s="223">
        <f t="shared" si="1899"/>
        <v>24</v>
      </c>
      <c r="HK265" s="224">
        <f t="shared" si="1900"/>
        <v>36</v>
      </c>
      <c r="HL265" s="237">
        <f t="shared" si="1901"/>
        <v>2304</v>
      </c>
      <c r="HM265" s="254">
        <f>HB265*HC265*FFslave+HB265*INslave*HE265+KLslave*HC265*HE265</f>
        <v>3456</v>
      </c>
      <c r="HN265" s="224">
        <f t="shared" si="1902"/>
        <v>1728</v>
      </c>
      <c r="HO265" s="224">
        <f t="shared" si="1903"/>
        <v>7488</v>
      </c>
      <c r="HP265" s="222">
        <f t="shared" si="1904"/>
        <v>3.6923076923076925</v>
      </c>
      <c r="HQ265" s="223">
        <f t="shared" si="1905"/>
        <v>11.076923076923077</v>
      </c>
      <c r="HR265" s="243">
        <f t="shared" si="1906"/>
        <v>8.3076923076923084</v>
      </c>
      <c r="HS265" s="243">
        <f t="shared" si="1907"/>
        <v>23.07692307692308</v>
      </c>
      <c r="HT265" s="252">
        <f t="shared" si="1908"/>
        <v>0</v>
      </c>
      <c r="HU265" s="309">
        <f t="shared" si="1909"/>
        <v>23.07692307692308</v>
      </c>
      <c r="HV265" s="218">
        <f t="shared" si="1944"/>
        <v>175.5384615384616</v>
      </c>
      <c r="HW265" s="242">
        <f t="shared" si="1944"/>
        <v>2</v>
      </c>
      <c r="HX265" s="243">
        <f t="shared" si="1911"/>
        <v>173.5384615384616</v>
      </c>
      <c r="HY265" s="218">
        <f t="shared" si="1912"/>
        <v>0</v>
      </c>
      <c r="IA265" s="303" t="s">
        <v>412</v>
      </c>
      <c r="IB265" s="304" t="s">
        <v>170</v>
      </c>
      <c r="IC265" s="305" t="s">
        <v>132</v>
      </c>
      <c r="ID265" s="317"/>
      <c r="IE265" s="254">
        <f>Konvention_1slave-KLslave</f>
        <v>12</v>
      </c>
      <c r="IF265" s="254">
        <f t="shared" si="1936"/>
        <v>12</v>
      </c>
      <c r="IG265" s="254"/>
      <c r="IH265" s="254">
        <f>Konvention_1slave-FFslave</f>
        <v>12</v>
      </c>
      <c r="II265" s="254"/>
      <c r="IJ265" s="254"/>
      <c r="IK265" s="318"/>
      <c r="IL265" s="223">
        <f t="shared" si="1913"/>
        <v>12</v>
      </c>
      <c r="IM265" s="223">
        <f t="shared" si="1914"/>
        <v>24</v>
      </c>
      <c r="IN265" s="224">
        <f t="shared" si="1915"/>
        <v>36</v>
      </c>
      <c r="IO265" s="237">
        <f t="shared" si="1916"/>
        <v>2304</v>
      </c>
      <c r="IP265" s="254">
        <f>IE265*IF265*FFslave+IE265*INslave*IH265+KLslave*IF265*IH265</f>
        <v>3456</v>
      </c>
      <c r="IQ265" s="224">
        <f t="shared" si="1917"/>
        <v>1728</v>
      </c>
      <c r="IR265" s="224">
        <f t="shared" si="1918"/>
        <v>7488</v>
      </c>
      <c r="IS265" s="222">
        <f t="shared" si="1919"/>
        <v>3.6923076923076925</v>
      </c>
      <c r="IT265" s="223">
        <f t="shared" si="1920"/>
        <v>11.076923076923077</v>
      </c>
      <c r="IU265" s="243">
        <f t="shared" si="1921"/>
        <v>8.3076923076923084</v>
      </c>
      <c r="IV265" s="243">
        <f t="shared" si="1922"/>
        <v>23.07692307692308</v>
      </c>
      <c r="IW265" s="252">
        <f t="shared" si="1923"/>
        <v>0</v>
      </c>
      <c r="IX265" s="309">
        <f t="shared" si="1924"/>
        <v>23.07692307692308</v>
      </c>
      <c r="IY265" s="218">
        <f t="shared" si="1945"/>
        <v>175.5384615384616</v>
      </c>
      <c r="IZ265" s="242">
        <f t="shared" si="1945"/>
        <v>2</v>
      </c>
      <c r="JA265" s="243">
        <f t="shared" si="1926"/>
        <v>173.5384615384616</v>
      </c>
      <c r="JB265" s="218">
        <f t="shared" si="1927"/>
        <v>0</v>
      </c>
      <c r="JE265" s="148"/>
    </row>
    <row r="266" spans="2:265" ht="15" hidden="1" customHeight="1" outlineLevel="2">
      <c r="B266" s="148">
        <v>6</v>
      </c>
      <c r="C266" s="303" t="e">
        <f>VLOOKUP(AF266,Attribute!C:T,1,FALSE)</f>
        <v>#N/A</v>
      </c>
      <c r="D266" s="125" t="s">
        <v>298</v>
      </c>
      <c r="E266" s="127" t="s">
        <v>132</v>
      </c>
      <c r="F266" s="114"/>
      <c r="G266" s="113">
        <f>Konvention_1master-KLmaster</f>
        <v>12</v>
      </c>
      <c r="H266" s="113">
        <f t="shared" si="1928"/>
        <v>12</v>
      </c>
      <c r="I266" s="113"/>
      <c r="J266" s="113"/>
      <c r="K266" s="113"/>
      <c r="L266" s="113"/>
      <c r="M266" s="119">
        <f>Konvention_1master-KKmaster</f>
        <v>12</v>
      </c>
      <c r="N266" s="223">
        <f t="shared" si="1794"/>
        <v>12</v>
      </c>
      <c r="O266" s="223">
        <f t="shared" si="1795"/>
        <v>24</v>
      </c>
      <c r="P266" s="224">
        <f t="shared" si="1796"/>
        <v>36</v>
      </c>
      <c r="Q266" s="237">
        <f t="shared" si="1797"/>
        <v>2304</v>
      </c>
      <c r="R266" s="113">
        <f>G266*H266*KKmaster+G266*INmaster*M266+KLmaster*H266*M266</f>
        <v>3456</v>
      </c>
      <c r="S266" s="224">
        <f t="shared" si="1798"/>
        <v>1728</v>
      </c>
      <c r="T266" s="224">
        <f t="shared" si="1799"/>
        <v>7488</v>
      </c>
      <c r="U266" s="222">
        <f t="shared" si="1800"/>
        <v>3.6923076923076925</v>
      </c>
      <c r="V266" s="223">
        <f t="shared" si="1801"/>
        <v>11.076923076923077</v>
      </c>
      <c r="W266" s="243">
        <f t="shared" si="1802"/>
        <v>8.3076923076923084</v>
      </c>
      <c r="X266" s="243">
        <f t="shared" si="1803"/>
        <v>23.07692307692308</v>
      </c>
      <c r="Y266" s="252">
        <v>0</v>
      </c>
      <c r="Z266" s="198">
        <f t="shared" si="1804"/>
        <v>23.07692307692308</v>
      </c>
      <c r="AA266" s="125">
        <f t="shared" si="1937"/>
        <v>175.5384615384616</v>
      </c>
      <c r="AB266" s="160">
        <f t="shared" si="1937"/>
        <v>2</v>
      </c>
      <c r="AC266" s="127">
        <f t="shared" si="1806"/>
        <v>173.5384615384616</v>
      </c>
      <c r="AD266" s="125">
        <f t="shared" si="1807"/>
        <v>0</v>
      </c>
      <c r="AF266" s="163" t="s">
        <v>297</v>
      </c>
      <c r="AG266" s="125" t="s">
        <v>298</v>
      </c>
      <c r="AH266" s="127" t="s">
        <v>132</v>
      </c>
      <c r="AI266" s="114"/>
      <c r="AJ266" s="113">
        <f>Konvention_1slave-KLslave</f>
        <v>12</v>
      </c>
      <c r="AK266" s="113">
        <f t="shared" si="1929"/>
        <v>12</v>
      </c>
      <c r="AL266" s="113"/>
      <c r="AM266" s="113"/>
      <c r="AN266" s="113"/>
      <c r="AO266" s="113"/>
      <c r="AP266" s="119">
        <f>Konvention_1slave-KKslave</f>
        <v>12</v>
      </c>
      <c r="AQ266" s="47">
        <f t="shared" si="1808"/>
        <v>12</v>
      </c>
      <c r="AR266" s="47">
        <f t="shared" si="1809"/>
        <v>24</v>
      </c>
      <c r="AS266" s="119">
        <f t="shared" si="1810"/>
        <v>36</v>
      </c>
      <c r="AT266" s="114">
        <f t="shared" si="1811"/>
        <v>2304</v>
      </c>
      <c r="AU266" s="113">
        <f>AJ266*AK266*KKslave+AJ266*INslave*AP266+KLslave*AK266*AP266</f>
        <v>3456</v>
      </c>
      <c r="AV266" s="119">
        <f t="shared" si="1812"/>
        <v>1728</v>
      </c>
      <c r="AW266" s="119">
        <f t="shared" si="1813"/>
        <v>7488</v>
      </c>
      <c r="AX266" s="89">
        <f t="shared" si="1814"/>
        <v>3.6923076923076925</v>
      </c>
      <c r="AY266" s="47">
        <f t="shared" si="1815"/>
        <v>11.076923076923077</v>
      </c>
      <c r="AZ266" s="127">
        <f t="shared" si="1816"/>
        <v>8.3076923076923084</v>
      </c>
      <c r="BA266" s="127">
        <f t="shared" si="1817"/>
        <v>23.07692307692308</v>
      </c>
      <c r="BB266" s="165">
        <f t="shared" si="1818"/>
        <v>0</v>
      </c>
      <c r="BC266" s="198">
        <f t="shared" si="1819"/>
        <v>23.07692307692308</v>
      </c>
      <c r="BD266" s="125">
        <f t="shared" si="1938"/>
        <v>175.5384615384616</v>
      </c>
      <c r="BE266" s="160">
        <f t="shared" si="1938"/>
        <v>2</v>
      </c>
      <c r="BF266" s="243">
        <f t="shared" si="1821"/>
        <v>173.5384615384616</v>
      </c>
      <c r="BG266" s="218">
        <f t="shared" si="1822"/>
        <v>0</v>
      </c>
      <c r="BI266" s="303" t="s">
        <v>297</v>
      </c>
      <c r="BJ266" s="218" t="s">
        <v>298</v>
      </c>
      <c r="BK266" s="243" t="s">
        <v>132</v>
      </c>
      <c r="BL266" s="237"/>
      <c r="BM266" s="234">
        <f>Konvention_1slave-KLslave_KL</f>
        <v>11</v>
      </c>
      <c r="BN266" s="234">
        <f t="shared" si="1930"/>
        <v>12</v>
      </c>
      <c r="BO266" s="234"/>
      <c r="BP266" s="234"/>
      <c r="BQ266" s="234"/>
      <c r="BR266" s="234"/>
      <c r="BS266" s="224">
        <f>Konvention_1slave-KKslave</f>
        <v>12</v>
      </c>
      <c r="BT266" s="223">
        <f t="shared" si="1823"/>
        <v>11.666666666666666</v>
      </c>
      <c r="BU266" s="223">
        <f t="shared" si="1824"/>
        <v>23.333333333333332</v>
      </c>
      <c r="BV266" s="224">
        <f t="shared" si="1825"/>
        <v>35</v>
      </c>
      <c r="BW266" s="237">
        <f t="shared" si="1826"/>
        <v>2432</v>
      </c>
      <c r="BX266" s="234">
        <f>BM266*BN266*KKslave+BM266*INslave*BS266+KLslave_KL*BN266*BS266</f>
        <v>3408</v>
      </c>
      <c r="BY266" s="224">
        <f t="shared" si="1827"/>
        <v>1584</v>
      </c>
      <c r="BZ266" s="224">
        <f t="shared" si="1828"/>
        <v>7424</v>
      </c>
      <c r="CA266" s="222">
        <f t="shared" si="1829"/>
        <v>3.8218390804597702</v>
      </c>
      <c r="CB266" s="223">
        <f t="shared" si="1830"/>
        <v>10.711206896551724</v>
      </c>
      <c r="CC266" s="243">
        <f t="shared" si="1831"/>
        <v>7.4676724137931032</v>
      </c>
      <c r="CD266" s="243">
        <f t="shared" si="1832"/>
        <v>22.000718390804597</v>
      </c>
      <c r="CE266" s="252">
        <f t="shared" si="1833"/>
        <v>0</v>
      </c>
      <c r="CF266" s="309">
        <f t="shared" si="1834"/>
        <v>22.000718390804597</v>
      </c>
      <c r="CG266" s="218">
        <f t="shared" si="1939"/>
        <v>154.01436781609189</v>
      </c>
      <c r="CH266" s="242">
        <f t="shared" si="1939"/>
        <v>2</v>
      </c>
      <c r="CI266" s="243">
        <f t="shared" si="1836"/>
        <v>152.01436781609189</v>
      </c>
      <c r="CJ266" s="218">
        <f t="shared" si="1837"/>
        <v>0</v>
      </c>
      <c r="CL266" s="303" t="s">
        <v>297</v>
      </c>
      <c r="CM266" s="218" t="s">
        <v>298</v>
      </c>
      <c r="CN266" s="243" t="s">
        <v>132</v>
      </c>
      <c r="CO266" s="237"/>
      <c r="CP266" s="234">
        <f>Konvention_1slave-KLslave</f>
        <v>12</v>
      </c>
      <c r="CQ266" s="234">
        <f t="shared" si="1931"/>
        <v>11</v>
      </c>
      <c r="CR266" s="234"/>
      <c r="CS266" s="234"/>
      <c r="CT266" s="234"/>
      <c r="CU266" s="234"/>
      <c r="CV266" s="224">
        <f>Konvention_1slave-KKslave</f>
        <v>12</v>
      </c>
      <c r="CW266" s="223">
        <f t="shared" si="1838"/>
        <v>11.666666666666666</v>
      </c>
      <c r="CX266" s="223">
        <f t="shared" si="1839"/>
        <v>23.333333333333332</v>
      </c>
      <c r="CY266" s="224">
        <f t="shared" si="1840"/>
        <v>35</v>
      </c>
      <c r="CZ266" s="237">
        <f t="shared" si="1841"/>
        <v>2432</v>
      </c>
      <c r="DA266" s="234">
        <f>CP266*CQ266*KKslave+CP266*INslave_IN*CV266+KLslave*CQ266*CV266</f>
        <v>3408</v>
      </c>
      <c r="DB266" s="224">
        <f t="shared" si="1842"/>
        <v>1584</v>
      </c>
      <c r="DC266" s="224">
        <f t="shared" si="1843"/>
        <v>7424</v>
      </c>
      <c r="DD266" s="222">
        <f t="shared" si="1844"/>
        <v>3.8218390804597702</v>
      </c>
      <c r="DE266" s="223">
        <f t="shared" si="1845"/>
        <v>10.711206896551724</v>
      </c>
      <c r="DF266" s="243">
        <f t="shared" si="1846"/>
        <v>7.4676724137931032</v>
      </c>
      <c r="DG266" s="243">
        <f t="shared" si="1847"/>
        <v>22.000718390804597</v>
      </c>
      <c r="DH266" s="252">
        <f t="shared" si="1848"/>
        <v>0</v>
      </c>
      <c r="DI266" s="309">
        <f t="shared" si="1849"/>
        <v>22.000718390804597</v>
      </c>
      <c r="DJ266" s="218">
        <f t="shared" si="1940"/>
        <v>154.01436781609189</v>
      </c>
      <c r="DK266" s="242">
        <f t="shared" si="1940"/>
        <v>2</v>
      </c>
      <c r="DL266" s="243">
        <f t="shared" si="1851"/>
        <v>152.01436781609189</v>
      </c>
      <c r="DM266" s="218">
        <f t="shared" si="1852"/>
        <v>0</v>
      </c>
      <c r="DO266" s="303" t="s">
        <v>297</v>
      </c>
      <c r="DP266" s="218" t="s">
        <v>298</v>
      </c>
      <c r="DQ266" s="243" t="s">
        <v>132</v>
      </c>
      <c r="DR266" s="237"/>
      <c r="DS266" s="234">
        <f>Konvention_1slave-KLslave</f>
        <v>12</v>
      </c>
      <c r="DT266" s="234">
        <f t="shared" si="1932"/>
        <v>12</v>
      </c>
      <c r="DU266" s="234"/>
      <c r="DV266" s="234"/>
      <c r="DW266" s="234"/>
      <c r="DX266" s="234"/>
      <c r="DY266" s="224">
        <f>Konvention_1slave-KKslave</f>
        <v>12</v>
      </c>
      <c r="DZ266" s="223">
        <f t="shared" si="1853"/>
        <v>12</v>
      </c>
      <c r="EA266" s="223">
        <f t="shared" si="1854"/>
        <v>24</v>
      </c>
      <c r="EB266" s="224">
        <f t="shared" si="1855"/>
        <v>36</v>
      </c>
      <c r="EC266" s="237">
        <f t="shared" si="1856"/>
        <v>2304</v>
      </c>
      <c r="ED266" s="234">
        <f>DS266*DT266*KKslave+DS266*INslave*DY266+KLslave*DT266*DY266</f>
        <v>3456</v>
      </c>
      <c r="EE266" s="224">
        <f t="shared" si="1857"/>
        <v>1728</v>
      </c>
      <c r="EF266" s="224">
        <f t="shared" si="1858"/>
        <v>7488</v>
      </c>
      <c r="EG266" s="222">
        <f t="shared" si="1859"/>
        <v>3.6923076923076925</v>
      </c>
      <c r="EH266" s="223">
        <f t="shared" si="1860"/>
        <v>11.076923076923077</v>
      </c>
      <c r="EI266" s="243">
        <f t="shared" si="1861"/>
        <v>8.3076923076923084</v>
      </c>
      <c r="EJ266" s="243">
        <f t="shared" si="1862"/>
        <v>23.07692307692308</v>
      </c>
      <c r="EK266" s="252">
        <f t="shared" si="1863"/>
        <v>0</v>
      </c>
      <c r="EL266" s="309">
        <f t="shared" si="1864"/>
        <v>23.07692307692308</v>
      </c>
      <c r="EM266" s="218">
        <f t="shared" si="1941"/>
        <v>175.5384615384616</v>
      </c>
      <c r="EN266" s="242">
        <f t="shared" si="1941"/>
        <v>2</v>
      </c>
      <c r="EO266" s="243">
        <f t="shared" si="1866"/>
        <v>173.5384615384616</v>
      </c>
      <c r="EP266" s="218">
        <f t="shared" si="1867"/>
        <v>0</v>
      </c>
      <c r="ER266" s="303" t="s">
        <v>297</v>
      </c>
      <c r="ES266" s="218" t="s">
        <v>298</v>
      </c>
      <c r="ET266" s="243" t="s">
        <v>132</v>
      </c>
      <c r="EU266" s="237"/>
      <c r="EV266" s="234">
        <f>Konvention_1slave-KLslave</f>
        <v>12</v>
      </c>
      <c r="EW266" s="234">
        <f t="shared" si="1933"/>
        <v>12</v>
      </c>
      <c r="EX266" s="234"/>
      <c r="EY266" s="234"/>
      <c r="EZ266" s="234"/>
      <c r="FA266" s="234"/>
      <c r="FB266" s="224">
        <f>Konvention_1slave-KKslave</f>
        <v>12</v>
      </c>
      <c r="FC266" s="223">
        <f t="shared" si="1868"/>
        <v>12</v>
      </c>
      <c r="FD266" s="223">
        <f t="shared" si="1869"/>
        <v>24</v>
      </c>
      <c r="FE266" s="224">
        <f t="shared" si="1870"/>
        <v>36</v>
      </c>
      <c r="FF266" s="237">
        <f t="shared" si="1871"/>
        <v>2304</v>
      </c>
      <c r="FG266" s="234">
        <f>EV266*EW266*KKslave+EV266*INslave*FB266+KLslave*EW266*FB266</f>
        <v>3456</v>
      </c>
      <c r="FH266" s="224">
        <f t="shared" si="1872"/>
        <v>1728</v>
      </c>
      <c r="FI266" s="224">
        <f t="shared" si="1873"/>
        <v>7488</v>
      </c>
      <c r="FJ266" s="222">
        <f t="shared" si="1874"/>
        <v>3.6923076923076925</v>
      </c>
      <c r="FK266" s="223">
        <f t="shared" si="1875"/>
        <v>11.076923076923077</v>
      </c>
      <c r="FL266" s="243">
        <f t="shared" si="1876"/>
        <v>8.3076923076923084</v>
      </c>
      <c r="FM266" s="243">
        <f t="shared" si="1877"/>
        <v>23.07692307692308</v>
      </c>
      <c r="FN266" s="252">
        <f t="shared" si="1878"/>
        <v>0</v>
      </c>
      <c r="FO266" s="309">
        <f t="shared" si="1879"/>
        <v>23.07692307692308</v>
      </c>
      <c r="FP266" s="218">
        <f t="shared" si="1942"/>
        <v>175.5384615384616</v>
      </c>
      <c r="FQ266" s="242">
        <f t="shared" si="1942"/>
        <v>2</v>
      </c>
      <c r="FR266" s="243">
        <f t="shared" si="1881"/>
        <v>173.5384615384616</v>
      </c>
      <c r="FS266" s="218">
        <f t="shared" si="1882"/>
        <v>0</v>
      </c>
      <c r="FU266" s="303" t="s">
        <v>297</v>
      </c>
      <c r="FV266" s="218" t="s">
        <v>298</v>
      </c>
      <c r="FW266" s="243" t="s">
        <v>132</v>
      </c>
      <c r="FX266" s="237"/>
      <c r="FY266" s="234">
        <f>Konvention_1slave-KLslave</f>
        <v>12</v>
      </c>
      <c r="FZ266" s="234">
        <f t="shared" si="1934"/>
        <v>12</v>
      </c>
      <c r="GA266" s="234"/>
      <c r="GB266" s="234"/>
      <c r="GC266" s="234"/>
      <c r="GD266" s="234"/>
      <c r="GE266" s="224">
        <f>Konvention_1slave-KKslave</f>
        <v>12</v>
      </c>
      <c r="GF266" s="223">
        <f t="shared" si="1883"/>
        <v>12</v>
      </c>
      <c r="GG266" s="223">
        <f t="shared" si="1884"/>
        <v>24</v>
      </c>
      <c r="GH266" s="224">
        <f t="shared" si="1885"/>
        <v>36</v>
      </c>
      <c r="GI266" s="237">
        <f t="shared" si="1886"/>
        <v>2304</v>
      </c>
      <c r="GJ266" s="234">
        <f>FY266*FZ266*KKslave+FY266*INslave*GE266+KLslave*FZ266*GE266</f>
        <v>3456</v>
      </c>
      <c r="GK266" s="224">
        <f t="shared" si="1887"/>
        <v>1728</v>
      </c>
      <c r="GL266" s="224">
        <f t="shared" si="1888"/>
        <v>7488</v>
      </c>
      <c r="GM266" s="222">
        <f t="shared" si="1889"/>
        <v>3.6923076923076925</v>
      </c>
      <c r="GN266" s="223">
        <f t="shared" si="1890"/>
        <v>11.076923076923077</v>
      </c>
      <c r="GO266" s="243">
        <f t="shared" si="1891"/>
        <v>8.3076923076923084</v>
      </c>
      <c r="GP266" s="243">
        <f t="shared" si="1892"/>
        <v>23.07692307692308</v>
      </c>
      <c r="GQ266" s="252">
        <f t="shared" si="1893"/>
        <v>0</v>
      </c>
      <c r="GR266" s="309">
        <f t="shared" si="1894"/>
        <v>23.07692307692308</v>
      </c>
      <c r="GS266" s="218">
        <f t="shared" si="1943"/>
        <v>175.5384615384616</v>
      </c>
      <c r="GT266" s="242">
        <f t="shared" si="1943"/>
        <v>2</v>
      </c>
      <c r="GU266" s="243">
        <f t="shared" si="1896"/>
        <v>173.5384615384616</v>
      </c>
      <c r="GV266" s="218">
        <f t="shared" si="1897"/>
        <v>0</v>
      </c>
      <c r="GX266" s="303" t="s">
        <v>297</v>
      </c>
      <c r="GY266" s="218" t="s">
        <v>298</v>
      </c>
      <c r="GZ266" s="243" t="s">
        <v>132</v>
      </c>
      <c r="HA266" s="237"/>
      <c r="HB266" s="234">
        <f>Konvention_1slave-KLslave</f>
        <v>12</v>
      </c>
      <c r="HC266" s="234">
        <f t="shared" si="1935"/>
        <v>12</v>
      </c>
      <c r="HD266" s="234"/>
      <c r="HE266" s="234"/>
      <c r="HF266" s="234"/>
      <c r="HG266" s="234"/>
      <c r="HH266" s="224">
        <f>Konvention_1slave-KKslave</f>
        <v>12</v>
      </c>
      <c r="HI266" s="223">
        <f t="shared" si="1898"/>
        <v>12</v>
      </c>
      <c r="HJ266" s="223">
        <f t="shared" si="1899"/>
        <v>24</v>
      </c>
      <c r="HK266" s="224">
        <f t="shared" si="1900"/>
        <v>36</v>
      </c>
      <c r="HL266" s="237">
        <f t="shared" si="1901"/>
        <v>2304</v>
      </c>
      <c r="HM266" s="234">
        <f>HB266*HC266*KKslave+HB266*INslave*HH266+KLslave*HC266*HH266</f>
        <v>3456</v>
      </c>
      <c r="HN266" s="224">
        <f t="shared" si="1902"/>
        <v>1728</v>
      </c>
      <c r="HO266" s="224">
        <f t="shared" si="1903"/>
        <v>7488</v>
      </c>
      <c r="HP266" s="222">
        <f t="shared" si="1904"/>
        <v>3.6923076923076925</v>
      </c>
      <c r="HQ266" s="223">
        <f t="shared" si="1905"/>
        <v>11.076923076923077</v>
      </c>
      <c r="HR266" s="243">
        <f t="shared" si="1906"/>
        <v>8.3076923076923084</v>
      </c>
      <c r="HS266" s="243">
        <f t="shared" si="1907"/>
        <v>23.07692307692308</v>
      </c>
      <c r="HT266" s="252">
        <f t="shared" si="1908"/>
        <v>0</v>
      </c>
      <c r="HU266" s="309">
        <f t="shared" si="1909"/>
        <v>23.07692307692308</v>
      </c>
      <c r="HV266" s="218">
        <f t="shared" si="1944"/>
        <v>175.5384615384616</v>
      </c>
      <c r="HW266" s="242">
        <f t="shared" si="1944"/>
        <v>2</v>
      </c>
      <c r="HX266" s="243">
        <f t="shared" si="1911"/>
        <v>173.5384615384616</v>
      </c>
      <c r="HY266" s="218">
        <f t="shared" si="1912"/>
        <v>0</v>
      </c>
      <c r="IA266" s="303" t="s">
        <v>297</v>
      </c>
      <c r="IB266" s="218" t="s">
        <v>298</v>
      </c>
      <c r="IC266" s="243" t="s">
        <v>132</v>
      </c>
      <c r="ID266" s="237"/>
      <c r="IE266" s="234">
        <f>Konvention_1slave-KLslave</f>
        <v>12</v>
      </c>
      <c r="IF266" s="234">
        <f t="shared" si="1936"/>
        <v>12</v>
      </c>
      <c r="IG266" s="234"/>
      <c r="IH266" s="234"/>
      <c r="II266" s="234"/>
      <c r="IJ266" s="234"/>
      <c r="IK266" s="224">
        <f>Konvention_1slave-KKslave_KK</f>
        <v>11</v>
      </c>
      <c r="IL266" s="223">
        <f t="shared" si="1913"/>
        <v>11.666666666666666</v>
      </c>
      <c r="IM266" s="223">
        <f t="shared" si="1914"/>
        <v>23.333333333333332</v>
      </c>
      <c r="IN266" s="224">
        <f t="shared" si="1915"/>
        <v>35</v>
      </c>
      <c r="IO266" s="237">
        <f t="shared" si="1916"/>
        <v>2432</v>
      </c>
      <c r="IP266" s="234">
        <f>IE266*IF266*KKslave_KK+IE266*INslave*IK266+KLslave*IF266*IK266</f>
        <v>3408</v>
      </c>
      <c r="IQ266" s="224">
        <f t="shared" si="1917"/>
        <v>1584</v>
      </c>
      <c r="IR266" s="224">
        <f t="shared" si="1918"/>
        <v>7424</v>
      </c>
      <c r="IS266" s="222">
        <f t="shared" si="1919"/>
        <v>3.8218390804597702</v>
      </c>
      <c r="IT266" s="223">
        <f t="shared" si="1920"/>
        <v>10.711206896551724</v>
      </c>
      <c r="IU266" s="243">
        <f t="shared" si="1921"/>
        <v>7.4676724137931032</v>
      </c>
      <c r="IV266" s="243">
        <f t="shared" si="1922"/>
        <v>22.000718390804597</v>
      </c>
      <c r="IW266" s="252">
        <f t="shared" si="1923"/>
        <v>0</v>
      </c>
      <c r="IX266" s="309">
        <f t="shared" si="1924"/>
        <v>22.000718390804597</v>
      </c>
      <c r="IY266" s="218">
        <f t="shared" si="1945"/>
        <v>154.01436781609189</v>
      </c>
      <c r="IZ266" s="242">
        <f t="shared" si="1945"/>
        <v>2</v>
      </c>
      <c r="JA266" s="243">
        <f t="shared" si="1926"/>
        <v>152.01436781609189</v>
      </c>
      <c r="JB266" s="218">
        <f t="shared" si="1927"/>
        <v>0</v>
      </c>
      <c r="JE266" s="148"/>
    </row>
    <row r="267" spans="2:265" ht="15" hidden="1" customHeight="1" outlineLevel="2">
      <c r="B267" s="148">
        <v>7</v>
      </c>
      <c r="C267" s="303" t="e">
        <f>VLOOKUP(AF267,Attribute!C:T,1,FALSE)</f>
        <v>#N/A</v>
      </c>
      <c r="D267" s="125" t="s">
        <v>437</v>
      </c>
      <c r="E267" s="127" t="s">
        <v>133</v>
      </c>
      <c r="F267" s="114"/>
      <c r="G267" s="113"/>
      <c r="H267" s="113">
        <f t="shared" si="1928"/>
        <v>12</v>
      </c>
      <c r="I267" s="113">
        <f>Konvention_1master-CHmaster</f>
        <v>12</v>
      </c>
      <c r="J267" s="113">
        <f>Konvention_1master-FFmaster</f>
        <v>12</v>
      </c>
      <c r="K267" s="113"/>
      <c r="L267" s="113"/>
      <c r="M267" s="119"/>
      <c r="N267" s="223">
        <f t="shared" si="1794"/>
        <v>12</v>
      </c>
      <c r="O267" s="223">
        <f t="shared" si="1795"/>
        <v>24</v>
      </c>
      <c r="P267" s="224">
        <f t="shared" si="1796"/>
        <v>36</v>
      </c>
      <c r="Q267" s="237">
        <f t="shared" si="1797"/>
        <v>2304</v>
      </c>
      <c r="R267" s="113">
        <f>H267*I267*FFmaster+H267*CHmaster*J267+INmaster*I267*J267</f>
        <v>3456</v>
      </c>
      <c r="S267" s="224">
        <f t="shared" si="1798"/>
        <v>1728</v>
      </c>
      <c r="T267" s="224">
        <f t="shared" si="1799"/>
        <v>7488</v>
      </c>
      <c r="U267" s="222">
        <f t="shared" si="1800"/>
        <v>3.6923076923076925</v>
      </c>
      <c r="V267" s="223">
        <f t="shared" si="1801"/>
        <v>11.076923076923077</v>
      </c>
      <c r="W267" s="243">
        <f t="shared" si="1802"/>
        <v>8.3076923076923084</v>
      </c>
      <c r="X267" s="243">
        <f t="shared" si="1803"/>
        <v>23.07692307692308</v>
      </c>
      <c r="Y267" s="252">
        <v>0</v>
      </c>
      <c r="Z267" s="198">
        <f t="shared" si="1804"/>
        <v>23.07692307692308</v>
      </c>
      <c r="AA267" s="125">
        <f>IF(X267&lt;=0,1,0)+IF(X267&gt;0,X267+1,0)*1+IF(X267&gt;12,X267-12,0)*1+IF(X267&gt;13,X267-13,0)*1+IF(X267&gt;14,X267-14,0)*1+IF(X267&gt;15,X267-15,0)*1+IF(X267&gt;16,X267-16,0)*1+IF(X267&gt;17,X267-17,0)*1+IF(X267&gt;18,X267-18,0)*1+IF(X267&gt;19,X267-19,0)*1+IF(X267&gt;20,X267-20,0)*1</f>
        <v>87.769230769230802</v>
      </c>
      <c r="AB267" s="160">
        <f>IF(Y267&lt;=0,1,0)+IF(Y267&gt;0,Y267+1,0)*1+IF(Y267&gt;12,Y267-12,0)*1+IF(Y267&gt;13,Y267-13,0)*1+IF(Y267&gt;14,Y267-14,0)*1+IF(Y267&gt;15,Y267-15,0)*1+IF(Y267&gt;16,Y267-16,0)*1+IF(Y267&gt;17,Y267-17,0)*1+IF(Y267&gt;18,Y267-18,0)*1+IF(Y267&gt;19,Y267-19,0)*1+IF(Y267&gt;20,Y267-20,0)*1</f>
        <v>1</v>
      </c>
      <c r="AC267" s="127">
        <f t="shared" si="1806"/>
        <v>86.769230769230802</v>
      </c>
      <c r="AD267" s="125">
        <f t="shared" si="1807"/>
        <v>0</v>
      </c>
      <c r="AF267" s="163" t="s">
        <v>413</v>
      </c>
      <c r="AG267" s="125" t="s">
        <v>437</v>
      </c>
      <c r="AH267" s="127" t="s">
        <v>133</v>
      </c>
      <c r="AI267" s="114"/>
      <c r="AJ267" s="113"/>
      <c r="AK267" s="113">
        <f t="shared" si="1929"/>
        <v>12</v>
      </c>
      <c r="AL267" s="113">
        <f>Konvention_1slave-CHslave</f>
        <v>12</v>
      </c>
      <c r="AM267" s="113">
        <f>Konvention_1slave-FFslave</f>
        <v>12</v>
      </c>
      <c r="AN267" s="113"/>
      <c r="AO267" s="113"/>
      <c r="AP267" s="119"/>
      <c r="AQ267" s="47">
        <f t="shared" si="1808"/>
        <v>12</v>
      </c>
      <c r="AR267" s="47">
        <f t="shared" si="1809"/>
        <v>24</v>
      </c>
      <c r="AS267" s="119">
        <f t="shared" si="1810"/>
        <v>36</v>
      </c>
      <c r="AT267" s="114">
        <f t="shared" si="1811"/>
        <v>2304</v>
      </c>
      <c r="AU267" s="113">
        <f>AK267*AL267*FFslave+AK267*CHslave*AM267+INslave*AL267*AM267</f>
        <v>3456</v>
      </c>
      <c r="AV267" s="119">
        <f t="shared" si="1812"/>
        <v>1728</v>
      </c>
      <c r="AW267" s="119">
        <f t="shared" si="1813"/>
        <v>7488</v>
      </c>
      <c r="AX267" s="89">
        <f t="shared" si="1814"/>
        <v>3.6923076923076925</v>
      </c>
      <c r="AY267" s="47">
        <f t="shared" si="1815"/>
        <v>11.076923076923077</v>
      </c>
      <c r="AZ267" s="127">
        <f t="shared" si="1816"/>
        <v>8.3076923076923084</v>
      </c>
      <c r="BA267" s="127">
        <f t="shared" si="1817"/>
        <v>23.07692307692308</v>
      </c>
      <c r="BB267" s="165">
        <f t="shared" si="1818"/>
        <v>0</v>
      </c>
      <c r="BC267" s="198">
        <f t="shared" si="1819"/>
        <v>23.07692307692308</v>
      </c>
      <c r="BD267" s="125">
        <f>IF(BA267&lt;=0,1,0)+IF(BA267&gt;0,BA267+1,0)*1+IF(BA267&gt;12,BA267-12,0)*1+IF(BA267&gt;13,BA267-13,0)*1+IF(BA267&gt;14,BA267-14,0)*1+IF(BA267&gt;15,BA267-15,0)*1+IF(BA267&gt;16,BA267-16,0)*1+IF(BA267&gt;17,BA267-17,0)*1+IF(BA267&gt;18,BA267-18,0)*1+IF(BA267&gt;19,BA267-19,0)*1+IF(BA267&gt;20,BA267-20,0)*1</f>
        <v>87.769230769230802</v>
      </c>
      <c r="BE267" s="160">
        <f>IF(BB267&lt;=0,1,0)+IF(BB267&gt;0,BB267+1,0)*1+IF(BB267&gt;12,BB267-12,0)*1+IF(BB267&gt;13,BB267-13,0)*1+IF(BB267&gt;14,BB267-14,0)*1+IF(BB267&gt;15,BB267-15,0)*1+IF(BB267&gt;16,BB267-16,0)*1+IF(BB267&gt;17,BB267-17,0)*1+IF(BB267&gt;18,BB267-18,0)*1+IF(BB267&gt;19,BB267-19,0)*1+IF(BB267&gt;20,BB267-20,0)*1</f>
        <v>1</v>
      </c>
      <c r="BF267" s="243">
        <f t="shared" si="1821"/>
        <v>86.769230769230802</v>
      </c>
      <c r="BG267" s="218">
        <f t="shared" si="1822"/>
        <v>0</v>
      </c>
      <c r="BI267" s="303" t="s">
        <v>413</v>
      </c>
      <c r="BJ267" s="218" t="s">
        <v>437</v>
      </c>
      <c r="BK267" s="243" t="s">
        <v>133</v>
      </c>
      <c r="BL267" s="237"/>
      <c r="BM267" s="234"/>
      <c r="BN267" s="234">
        <f t="shared" si="1930"/>
        <v>12</v>
      </c>
      <c r="BO267" s="234">
        <f>Konvention_1slave-CHslave</f>
        <v>12</v>
      </c>
      <c r="BP267" s="234">
        <f>Konvention_1slave-FFslave</f>
        <v>12</v>
      </c>
      <c r="BQ267" s="234"/>
      <c r="BR267" s="234"/>
      <c r="BS267" s="224"/>
      <c r="BT267" s="223">
        <f t="shared" si="1823"/>
        <v>12</v>
      </c>
      <c r="BU267" s="223">
        <f t="shared" si="1824"/>
        <v>24</v>
      </c>
      <c r="BV267" s="224">
        <f t="shared" si="1825"/>
        <v>36</v>
      </c>
      <c r="BW267" s="237">
        <f t="shared" si="1826"/>
        <v>2304</v>
      </c>
      <c r="BX267" s="234">
        <f>BN267*BO267*FFslave+BN267*CHslave*BP267+INslave*BO267*BP267</f>
        <v>3456</v>
      </c>
      <c r="BY267" s="224">
        <f t="shared" si="1827"/>
        <v>1728</v>
      </c>
      <c r="BZ267" s="224">
        <f t="shared" si="1828"/>
        <v>7488</v>
      </c>
      <c r="CA267" s="222">
        <f t="shared" si="1829"/>
        <v>3.6923076923076925</v>
      </c>
      <c r="CB267" s="223">
        <f t="shared" si="1830"/>
        <v>11.076923076923077</v>
      </c>
      <c r="CC267" s="243">
        <f t="shared" si="1831"/>
        <v>8.3076923076923084</v>
      </c>
      <c r="CD267" s="243">
        <f t="shared" si="1832"/>
        <v>23.07692307692308</v>
      </c>
      <c r="CE267" s="252">
        <f t="shared" si="1833"/>
        <v>0</v>
      </c>
      <c r="CF267" s="309">
        <f t="shared" si="1834"/>
        <v>23.07692307692308</v>
      </c>
      <c r="CG267" s="218">
        <f>IF(CD267&lt;=0,1,0)+IF(CD267&gt;0,CD267+1,0)*1+IF(CD267&gt;12,CD267-12,0)*1+IF(CD267&gt;13,CD267-13,0)*1+IF(CD267&gt;14,CD267-14,0)*1+IF(CD267&gt;15,CD267-15,0)*1+IF(CD267&gt;16,CD267-16,0)*1+IF(CD267&gt;17,CD267-17,0)*1+IF(CD267&gt;18,CD267-18,0)*1+IF(CD267&gt;19,CD267-19,0)*1+IF(CD267&gt;20,CD267-20,0)*1</f>
        <v>87.769230769230802</v>
      </c>
      <c r="CH267" s="242">
        <f>IF(CE267&lt;=0,1,0)+IF(CE267&gt;0,CE267+1,0)*1+IF(CE267&gt;12,CE267-12,0)*1+IF(CE267&gt;13,CE267-13,0)*1+IF(CE267&gt;14,CE267-14,0)*1+IF(CE267&gt;15,CE267-15,0)*1+IF(CE267&gt;16,CE267-16,0)*1+IF(CE267&gt;17,CE267-17,0)*1+IF(CE267&gt;18,CE267-18,0)*1+IF(CE267&gt;19,CE267-19,0)*1+IF(CE267&gt;20,CE267-20,0)*1</f>
        <v>1</v>
      </c>
      <c r="CI267" s="243">
        <f t="shared" si="1836"/>
        <v>86.769230769230802</v>
      </c>
      <c r="CJ267" s="218">
        <f t="shared" si="1837"/>
        <v>0</v>
      </c>
      <c r="CL267" s="303" t="s">
        <v>413</v>
      </c>
      <c r="CM267" s="218" t="s">
        <v>437</v>
      </c>
      <c r="CN267" s="243" t="s">
        <v>133</v>
      </c>
      <c r="CO267" s="237"/>
      <c r="CP267" s="234"/>
      <c r="CQ267" s="234">
        <f t="shared" si="1931"/>
        <v>11</v>
      </c>
      <c r="CR267" s="234">
        <f>Konvention_1slave-CHslave</f>
        <v>12</v>
      </c>
      <c r="CS267" s="234">
        <f>Konvention_1slave-FFslave</f>
        <v>12</v>
      </c>
      <c r="CT267" s="234"/>
      <c r="CU267" s="234"/>
      <c r="CV267" s="224"/>
      <c r="CW267" s="223">
        <f t="shared" si="1838"/>
        <v>11.666666666666666</v>
      </c>
      <c r="CX267" s="223">
        <f t="shared" si="1839"/>
        <v>23.333333333333332</v>
      </c>
      <c r="CY267" s="224">
        <f t="shared" si="1840"/>
        <v>35</v>
      </c>
      <c r="CZ267" s="237">
        <f t="shared" si="1841"/>
        <v>2432</v>
      </c>
      <c r="DA267" s="234">
        <f>CQ267*CR267*FFslave+CQ267*CHslave*CS267+INslave_IN*CR267*CS267</f>
        <v>3408</v>
      </c>
      <c r="DB267" s="224">
        <f t="shared" si="1842"/>
        <v>1584</v>
      </c>
      <c r="DC267" s="224">
        <f t="shared" si="1843"/>
        <v>7424</v>
      </c>
      <c r="DD267" s="222">
        <f t="shared" si="1844"/>
        <v>3.8218390804597702</v>
      </c>
      <c r="DE267" s="223">
        <f t="shared" si="1845"/>
        <v>10.711206896551724</v>
      </c>
      <c r="DF267" s="243">
        <f t="shared" si="1846"/>
        <v>7.4676724137931032</v>
      </c>
      <c r="DG267" s="243">
        <f t="shared" si="1847"/>
        <v>22.000718390804597</v>
      </c>
      <c r="DH267" s="252">
        <f t="shared" si="1848"/>
        <v>0</v>
      </c>
      <c r="DI267" s="309">
        <f t="shared" si="1849"/>
        <v>22.000718390804597</v>
      </c>
      <c r="DJ267" s="218">
        <f>IF(DG267&lt;=0,1,0)+IF(DG267&gt;0,DG267+1,0)*1+IF(DG267&gt;12,DG267-12,0)*1+IF(DG267&gt;13,DG267-13,0)*1+IF(DG267&gt;14,DG267-14,0)*1+IF(DG267&gt;15,DG267-15,0)*1+IF(DG267&gt;16,DG267-16,0)*1+IF(DG267&gt;17,DG267-17,0)*1+IF(DG267&gt;18,DG267-18,0)*1+IF(DG267&gt;19,DG267-19,0)*1+IF(DG267&gt;20,DG267-20,0)*1</f>
        <v>77.007183908045945</v>
      </c>
      <c r="DK267" s="242">
        <f>IF(DH267&lt;=0,1,0)+IF(DH267&gt;0,DH267+1,0)*1+IF(DH267&gt;12,DH267-12,0)*1+IF(DH267&gt;13,DH267-13,0)*1+IF(DH267&gt;14,DH267-14,0)*1+IF(DH267&gt;15,DH267-15,0)*1+IF(DH267&gt;16,DH267-16,0)*1+IF(DH267&gt;17,DH267-17,0)*1+IF(DH267&gt;18,DH267-18,0)*1+IF(DH267&gt;19,DH267-19,0)*1+IF(DH267&gt;20,DH267-20,0)*1</f>
        <v>1</v>
      </c>
      <c r="DL267" s="243">
        <f t="shared" si="1851"/>
        <v>76.007183908045945</v>
      </c>
      <c r="DM267" s="218">
        <f t="shared" si="1852"/>
        <v>0</v>
      </c>
      <c r="DO267" s="303" t="s">
        <v>413</v>
      </c>
      <c r="DP267" s="218" t="s">
        <v>437</v>
      </c>
      <c r="DQ267" s="243" t="s">
        <v>133</v>
      </c>
      <c r="DR267" s="237"/>
      <c r="DS267" s="234"/>
      <c r="DT267" s="234">
        <f t="shared" si="1932"/>
        <v>12</v>
      </c>
      <c r="DU267" s="234">
        <f>Konvention_1slave-CHslave_CH</f>
        <v>11</v>
      </c>
      <c r="DV267" s="234">
        <f>Konvention_1slave-FFslave</f>
        <v>12</v>
      </c>
      <c r="DW267" s="234"/>
      <c r="DX267" s="234"/>
      <c r="DY267" s="224"/>
      <c r="DZ267" s="223">
        <f t="shared" si="1853"/>
        <v>11.666666666666666</v>
      </c>
      <c r="EA267" s="223">
        <f t="shared" si="1854"/>
        <v>23.333333333333332</v>
      </c>
      <c r="EB267" s="224">
        <f t="shared" si="1855"/>
        <v>35</v>
      </c>
      <c r="EC267" s="237">
        <f t="shared" si="1856"/>
        <v>2432</v>
      </c>
      <c r="ED267" s="234">
        <f>DT267*DU267*FFslave+DT267*CHslave_CH*DV267+INslave*DU267*DV267</f>
        <v>3408</v>
      </c>
      <c r="EE267" s="224">
        <f t="shared" si="1857"/>
        <v>1584</v>
      </c>
      <c r="EF267" s="224">
        <f t="shared" si="1858"/>
        <v>7424</v>
      </c>
      <c r="EG267" s="222">
        <f t="shared" si="1859"/>
        <v>3.8218390804597702</v>
      </c>
      <c r="EH267" s="223">
        <f t="shared" si="1860"/>
        <v>10.711206896551724</v>
      </c>
      <c r="EI267" s="243">
        <f t="shared" si="1861"/>
        <v>7.4676724137931032</v>
      </c>
      <c r="EJ267" s="243">
        <f t="shared" si="1862"/>
        <v>22.000718390804597</v>
      </c>
      <c r="EK267" s="252">
        <f t="shared" si="1863"/>
        <v>0</v>
      </c>
      <c r="EL267" s="309">
        <f t="shared" si="1864"/>
        <v>22.000718390804597</v>
      </c>
      <c r="EM267" s="218">
        <f>IF(EJ267&lt;=0,1,0)+IF(EJ267&gt;0,EJ267+1,0)*1+IF(EJ267&gt;12,EJ267-12,0)*1+IF(EJ267&gt;13,EJ267-13,0)*1+IF(EJ267&gt;14,EJ267-14,0)*1+IF(EJ267&gt;15,EJ267-15,0)*1+IF(EJ267&gt;16,EJ267-16,0)*1+IF(EJ267&gt;17,EJ267-17,0)*1+IF(EJ267&gt;18,EJ267-18,0)*1+IF(EJ267&gt;19,EJ267-19,0)*1+IF(EJ267&gt;20,EJ267-20,0)*1</f>
        <v>77.007183908045945</v>
      </c>
      <c r="EN267" s="242">
        <f>IF(EK267&lt;=0,1,0)+IF(EK267&gt;0,EK267+1,0)*1+IF(EK267&gt;12,EK267-12,0)*1+IF(EK267&gt;13,EK267-13,0)*1+IF(EK267&gt;14,EK267-14,0)*1+IF(EK267&gt;15,EK267-15,0)*1+IF(EK267&gt;16,EK267-16,0)*1+IF(EK267&gt;17,EK267-17,0)*1+IF(EK267&gt;18,EK267-18,0)*1+IF(EK267&gt;19,EK267-19,0)*1+IF(EK267&gt;20,EK267-20,0)*1</f>
        <v>1</v>
      </c>
      <c r="EO267" s="243">
        <f t="shared" si="1866"/>
        <v>76.007183908045945</v>
      </c>
      <c r="EP267" s="218">
        <f t="shared" si="1867"/>
        <v>0</v>
      </c>
      <c r="ER267" s="303" t="s">
        <v>413</v>
      </c>
      <c r="ES267" s="218" t="s">
        <v>437</v>
      </c>
      <c r="ET267" s="243" t="s">
        <v>133</v>
      </c>
      <c r="EU267" s="237"/>
      <c r="EV267" s="234"/>
      <c r="EW267" s="234">
        <f t="shared" si="1933"/>
        <v>12</v>
      </c>
      <c r="EX267" s="234">
        <f>Konvention_1slave-CHslave</f>
        <v>12</v>
      </c>
      <c r="EY267" s="234">
        <f>Konvention_1slave-FFslave_FF</f>
        <v>11</v>
      </c>
      <c r="EZ267" s="234"/>
      <c r="FA267" s="234"/>
      <c r="FB267" s="224"/>
      <c r="FC267" s="223">
        <f t="shared" si="1868"/>
        <v>11.666666666666666</v>
      </c>
      <c r="FD267" s="223">
        <f t="shared" si="1869"/>
        <v>23.333333333333332</v>
      </c>
      <c r="FE267" s="224">
        <f t="shared" si="1870"/>
        <v>35</v>
      </c>
      <c r="FF267" s="237">
        <f t="shared" si="1871"/>
        <v>2432</v>
      </c>
      <c r="FG267" s="234">
        <f>EW267*EX267*FFslave_FF+EW267*CHslave*EY267+INslave*EX267*EY267</f>
        <v>3408</v>
      </c>
      <c r="FH267" s="224">
        <f t="shared" si="1872"/>
        <v>1584</v>
      </c>
      <c r="FI267" s="224">
        <f t="shared" si="1873"/>
        <v>7424</v>
      </c>
      <c r="FJ267" s="222">
        <f t="shared" si="1874"/>
        <v>3.8218390804597702</v>
      </c>
      <c r="FK267" s="223">
        <f t="shared" si="1875"/>
        <v>10.711206896551724</v>
      </c>
      <c r="FL267" s="243">
        <f t="shared" si="1876"/>
        <v>7.4676724137931032</v>
      </c>
      <c r="FM267" s="243">
        <f t="shared" si="1877"/>
        <v>22.000718390804597</v>
      </c>
      <c r="FN267" s="252">
        <f t="shared" si="1878"/>
        <v>0</v>
      </c>
      <c r="FO267" s="309">
        <f t="shared" si="1879"/>
        <v>22.000718390804597</v>
      </c>
      <c r="FP267" s="218">
        <f>IF(FM267&lt;=0,1,0)+IF(FM267&gt;0,FM267+1,0)*1+IF(FM267&gt;12,FM267-12,0)*1+IF(FM267&gt;13,FM267-13,0)*1+IF(FM267&gt;14,FM267-14,0)*1+IF(FM267&gt;15,FM267-15,0)*1+IF(FM267&gt;16,FM267-16,0)*1+IF(FM267&gt;17,FM267-17,0)*1+IF(FM267&gt;18,FM267-18,0)*1+IF(FM267&gt;19,FM267-19,0)*1+IF(FM267&gt;20,FM267-20,0)*1</f>
        <v>77.007183908045945</v>
      </c>
      <c r="FQ267" s="242">
        <f>IF(FN267&lt;=0,1,0)+IF(FN267&gt;0,FN267+1,0)*1+IF(FN267&gt;12,FN267-12,0)*1+IF(FN267&gt;13,FN267-13,0)*1+IF(FN267&gt;14,FN267-14,0)*1+IF(FN267&gt;15,FN267-15,0)*1+IF(FN267&gt;16,FN267-16,0)*1+IF(FN267&gt;17,FN267-17,0)*1+IF(FN267&gt;18,FN267-18,0)*1+IF(FN267&gt;19,FN267-19,0)*1+IF(FN267&gt;20,FN267-20,0)*1</f>
        <v>1</v>
      </c>
      <c r="FR267" s="243">
        <f t="shared" si="1881"/>
        <v>76.007183908045945</v>
      </c>
      <c r="FS267" s="218">
        <f t="shared" si="1882"/>
        <v>0</v>
      </c>
      <c r="FU267" s="303" t="s">
        <v>413</v>
      </c>
      <c r="FV267" s="218" t="s">
        <v>437</v>
      </c>
      <c r="FW267" s="243" t="s">
        <v>133</v>
      </c>
      <c r="FX267" s="237"/>
      <c r="FY267" s="234"/>
      <c r="FZ267" s="234">
        <f t="shared" si="1934"/>
        <v>12</v>
      </c>
      <c r="GA267" s="234">
        <f>Konvention_1slave-CHslave</f>
        <v>12</v>
      </c>
      <c r="GB267" s="234">
        <f>Konvention_1slave-FFslave</f>
        <v>12</v>
      </c>
      <c r="GC267" s="234"/>
      <c r="GD267" s="234"/>
      <c r="GE267" s="224"/>
      <c r="GF267" s="223">
        <f t="shared" si="1883"/>
        <v>12</v>
      </c>
      <c r="GG267" s="223">
        <f t="shared" si="1884"/>
        <v>24</v>
      </c>
      <c r="GH267" s="224">
        <f t="shared" si="1885"/>
        <v>36</v>
      </c>
      <c r="GI267" s="237">
        <f t="shared" si="1886"/>
        <v>2304</v>
      </c>
      <c r="GJ267" s="234">
        <f>FZ267*GA267*FFslave+FZ267*CHslave*GB267+INslave*GA267*GB267</f>
        <v>3456</v>
      </c>
      <c r="GK267" s="224">
        <f t="shared" si="1887"/>
        <v>1728</v>
      </c>
      <c r="GL267" s="224">
        <f t="shared" si="1888"/>
        <v>7488</v>
      </c>
      <c r="GM267" s="222">
        <f t="shared" si="1889"/>
        <v>3.6923076923076925</v>
      </c>
      <c r="GN267" s="223">
        <f t="shared" si="1890"/>
        <v>11.076923076923077</v>
      </c>
      <c r="GO267" s="243">
        <f t="shared" si="1891"/>
        <v>8.3076923076923084</v>
      </c>
      <c r="GP267" s="243">
        <f t="shared" si="1892"/>
        <v>23.07692307692308</v>
      </c>
      <c r="GQ267" s="252">
        <f t="shared" si="1893"/>
        <v>0</v>
      </c>
      <c r="GR267" s="309">
        <f t="shared" si="1894"/>
        <v>23.07692307692308</v>
      </c>
      <c r="GS267" s="218">
        <f>IF(GP267&lt;=0,1,0)+IF(GP267&gt;0,GP267+1,0)*1+IF(GP267&gt;12,GP267-12,0)*1+IF(GP267&gt;13,GP267-13,0)*1+IF(GP267&gt;14,GP267-14,0)*1+IF(GP267&gt;15,GP267-15,0)*1+IF(GP267&gt;16,GP267-16,0)*1+IF(GP267&gt;17,GP267-17,0)*1+IF(GP267&gt;18,GP267-18,0)*1+IF(GP267&gt;19,GP267-19,0)*1+IF(GP267&gt;20,GP267-20,0)*1</f>
        <v>87.769230769230802</v>
      </c>
      <c r="GT267" s="242">
        <f>IF(GQ267&lt;=0,1,0)+IF(GQ267&gt;0,GQ267+1,0)*1+IF(GQ267&gt;12,GQ267-12,0)*1+IF(GQ267&gt;13,GQ267-13,0)*1+IF(GQ267&gt;14,GQ267-14,0)*1+IF(GQ267&gt;15,GQ267-15,0)*1+IF(GQ267&gt;16,GQ267-16,0)*1+IF(GQ267&gt;17,GQ267-17,0)*1+IF(GQ267&gt;18,GQ267-18,0)*1+IF(GQ267&gt;19,GQ267-19,0)*1+IF(GQ267&gt;20,GQ267-20,0)*1</f>
        <v>1</v>
      </c>
      <c r="GU267" s="243">
        <f t="shared" si="1896"/>
        <v>86.769230769230802</v>
      </c>
      <c r="GV267" s="218">
        <f t="shared" si="1897"/>
        <v>0</v>
      </c>
      <c r="GX267" s="303" t="s">
        <v>413</v>
      </c>
      <c r="GY267" s="218" t="s">
        <v>437</v>
      </c>
      <c r="GZ267" s="243" t="s">
        <v>133</v>
      </c>
      <c r="HA267" s="237"/>
      <c r="HB267" s="234"/>
      <c r="HC267" s="234">
        <f t="shared" si="1935"/>
        <v>12</v>
      </c>
      <c r="HD267" s="234">
        <f>Konvention_1slave-CHslave</f>
        <v>12</v>
      </c>
      <c r="HE267" s="234">
        <f>Konvention_1slave-FFslave</f>
        <v>12</v>
      </c>
      <c r="HF267" s="234"/>
      <c r="HG267" s="234"/>
      <c r="HH267" s="224"/>
      <c r="HI267" s="223">
        <f t="shared" si="1898"/>
        <v>12</v>
      </c>
      <c r="HJ267" s="223">
        <f t="shared" si="1899"/>
        <v>24</v>
      </c>
      <c r="HK267" s="224">
        <f t="shared" si="1900"/>
        <v>36</v>
      </c>
      <c r="HL267" s="237">
        <f t="shared" si="1901"/>
        <v>2304</v>
      </c>
      <c r="HM267" s="234">
        <f>HC267*HD267*FFslave+HC267*CHslave*HE267+INslave*HD267*HE267</f>
        <v>3456</v>
      </c>
      <c r="HN267" s="224">
        <f t="shared" si="1902"/>
        <v>1728</v>
      </c>
      <c r="HO267" s="224">
        <f t="shared" si="1903"/>
        <v>7488</v>
      </c>
      <c r="HP267" s="222">
        <f t="shared" si="1904"/>
        <v>3.6923076923076925</v>
      </c>
      <c r="HQ267" s="223">
        <f t="shared" si="1905"/>
        <v>11.076923076923077</v>
      </c>
      <c r="HR267" s="243">
        <f t="shared" si="1906"/>
        <v>8.3076923076923084</v>
      </c>
      <c r="HS267" s="243">
        <f t="shared" si="1907"/>
        <v>23.07692307692308</v>
      </c>
      <c r="HT267" s="252">
        <f t="shared" si="1908"/>
        <v>0</v>
      </c>
      <c r="HU267" s="309">
        <f t="shared" si="1909"/>
        <v>23.07692307692308</v>
      </c>
      <c r="HV267" s="218">
        <f>IF(HS267&lt;=0,1,0)+IF(HS267&gt;0,HS267+1,0)*1+IF(HS267&gt;12,HS267-12,0)*1+IF(HS267&gt;13,HS267-13,0)*1+IF(HS267&gt;14,HS267-14,0)*1+IF(HS267&gt;15,HS267-15,0)*1+IF(HS267&gt;16,HS267-16,0)*1+IF(HS267&gt;17,HS267-17,0)*1+IF(HS267&gt;18,HS267-18,0)*1+IF(HS267&gt;19,HS267-19,0)*1+IF(HS267&gt;20,HS267-20,0)*1</f>
        <v>87.769230769230802</v>
      </c>
      <c r="HW267" s="242">
        <f>IF(HT267&lt;=0,1,0)+IF(HT267&gt;0,HT267+1,0)*1+IF(HT267&gt;12,HT267-12,0)*1+IF(HT267&gt;13,HT267-13,0)*1+IF(HT267&gt;14,HT267-14,0)*1+IF(HT267&gt;15,HT267-15,0)*1+IF(HT267&gt;16,HT267-16,0)*1+IF(HT267&gt;17,HT267-17,0)*1+IF(HT267&gt;18,HT267-18,0)*1+IF(HT267&gt;19,HT267-19,0)*1+IF(HT267&gt;20,HT267-20,0)*1</f>
        <v>1</v>
      </c>
      <c r="HX267" s="243">
        <f t="shared" si="1911"/>
        <v>86.769230769230802</v>
      </c>
      <c r="HY267" s="218">
        <f t="shared" si="1912"/>
        <v>0</v>
      </c>
      <c r="IA267" s="303" t="s">
        <v>413</v>
      </c>
      <c r="IB267" s="218" t="s">
        <v>437</v>
      </c>
      <c r="IC267" s="243" t="s">
        <v>133</v>
      </c>
      <c r="ID267" s="237"/>
      <c r="IE267" s="234"/>
      <c r="IF267" s="234">
        <f t="shared" si="1936"/>
        <v>12</v>
      </c>
      <c r="IG267" s="234">
        <f>Konvention_1slave-CHslave</f>
        <v>12</v>
      </c>
      <c r="IH267" s="234">
        <f>Konvention_1slave-FFslave</f>
        <v>12</v>
      </c>
      <c r="II267" s="234"/>
      <c r="IJ267" s="234"/>
      <c r="IK267" s="224"/>
      <c r="IL267" s="223">
        <f t="shared" si="1913"/>
        <v>12</v>
      </c>
      <c r="IM267" s="223">
        <f t="shared" si="1914"/>
        <v>24</v>
      </c>
      <c r="IN267" s="224">
        <f t="shared" si="1915"/>
        <v>36</v>
      </c>
      <c r="IO267" s="237">
        <f t="shared" si="1916"/>
        <v>2304</v>
      </c>
      <c r="IP267" s="234">
        <f>IF267*IG267*FFslave+IF267*CHslave*IH267+INslave*IG267*IH267</f>
        <v>3456</v>
      </c>
      <c r="IQ267" s="224">
        <f t="shared" si="1917"/>
        <v>1728</v>
      </c>
      <c r="IR267" s="224">
        <f t="shared" si="1918"/>
        <v>7488</v>
      </c>
      <c r="IS267" s="222">
        <f t="shared" si="1919"/>
        <v>3.6923076923076925</v>
      </c>
      <c r="IT267" s="223">
        <f t="shared" si="1920"/>
        <v>11.076923076923077</v>
      </c>
      <c r="IU267" s="243">
        <f t="shared" si="1921"/>
        <v>8.3076923076923084</v>
      </c>
      <c r="IV267" s="243">
        <f t="shared" si="1922"/>
        <v>23.07692307692308</v>
      </c>
      <c r="IW267" s="252">
        <f t="shared" si="1923"/>
        <v>0</v>
      </c>
      <c r="IX267" s="309">
        <f t="shared" si="1924"/>
        <v>23.07692307692308</v>
      </c>
      <c r="IY267" s="218">
        <f>IF(IV267&lt;=0,1,0)+IF(IV267&gt;0,IV267+1,0)*1+IF(IV267&gt;12,IV267-12,0)*1+IF(IV267&gt;13,IV267-13,0)*1+IF(IV267&gt;14,IV267-14,0)*1+IF(IV267&gt;15,IV267-15,0)*1+IF(IV267&gt;16,IV267-16,0)*1+IF(IV267&gt;17,IV267-17,0)*1+IF(IV267&gt;18,IV267-18,0)*1+IF(IV267&gt;19,IV267-19,0)*1+IF(IV267&gt;20,IV267-20,0)*1</f>
        <v>87.769230769230802</v>
      </c>
      <c r="IZ267" s="242">
        <f>IF(IW267&lt;=0,1,0)+IF(IW267&gt;0,IW267+1,0)*1+IF(IW267&gt;12,IW267-12,0)*1+IF(IW267&gt;13,IW267-13,0)*1+IF(IW267&gt;14,IW267-14,0)*1+IF(IW267&gt;15,IW267-15,0)*1+IF(IW267&gt;16,IW267-16,0)*1+IF(IW267&gt;17,IW267-17,0)*1+IF(IW267&gt;18,IW267-18,0)*1+IF(IW267&gt;19,IW267-19,0)*1+IF(IW267&gt;20,IW267-20,0)*1</f>
        <v>1</v>
      </c>
      <c r="JA267" s="243">
        <f t="shared" si="1926"/>
        <v>86.769230769230802</v>
      </c>
      <c r="JB267" s="218">
        <f t="shared" si="1927"/>
        <v>0</v>
      </c>
      <c r="JE267" s="148"/>
    </row>
    <row r="268" spans="2:265" hidden="1" outlineLevel="2">
      <c r="B268" s="148">
        <v>8</v>
      </c>
      <c r="C268" s="303" t="e">
        <f>VLOOKUP(AF268,Attribute!C:T,1,FALSE)</f>
        <v>#N/A</v>
      </c>
      <c r="D268" s="86" t="s">
        <v>87</v>
      </c>
      <c r="E268" s="127" t="s">
        <v>132</v>
      </c>
      <c r="F268" s="114"/>
      <c r="G268" s="113">
        <f>Konvention_1master-KLmaster</f>
        <v>12</v>
      </c>
      <c r="H268" s="113">
        <f t="shared" si="1928"/>
        <v>12</v>
      </c>
      <c r="I268" s="113">
        <f>Konvention_1master-CHmaster</f>
        <v>12</v>
      </c>
      <c r="J268" s="113"/>
      <c r="K268" s="113"/>
      <c r="L268" s="113"/>
      <c r="M268" s="119"/>
      <c r="N268" s="223">
        <f t="shared" si="1794"/>
        <v>12</v>
      </c>
      <c r="O268" s="223">
        <f t="shared" si="1795"/>
        <v>24</v>
      </c>
      <c r="P268" s="224">
        <f t="shared" si="1796"/>
        <v>36</v>
      </c>
      <c r="Q268" s="237">
        <f t="shared" si="1797"/>
        <v>2304</v>
      </c>
      <c r="R268" s="113">
        <f>G268*H268*CHmaster+G268*INmaster*I268+KLmaster*H268*I268</f>
        <v>3456</v>
      </c>
      <c r="S268" s="224">
        <f t="shared" si="1798"/>
        <v>1728</v>
      </c>
      <c r="T268" s="224">
        <f t="shared" si="1799"/>
        <v>7488</v>
      </c>
      <c r="U268" s="222">
        <f t="shared" si="1800"/>
        <v>3.6923076923076925</v>
      </c>
      <c r="V268" s="223">
        <f t="shared" si="1801"/>
        <v>11.076923076923077</v>
      </c>
      <c r="W268" s="243">
        <f t="shared" si="1802"/>
        <v>8.3076923076923084</v>
      </c>
      <c r="X268" s="243">
        <f t="shared" si="1803"/>
        <v>23.07692307692308</v>
      </c>
      <c r="Y268" s="252">
        <v>0</v>
      </c>
      <c r="Z268" s="198">
        <f t="shared" si="1804"/>
        <v>23.07692307692308</v>
      </c>
      <c r="AA268" s="125">
        <f>IF(X268&lt;=0,2,0)+IF(X268&gt;0,X268+1,0)*2+IF(X268&gt;12,X268-12,0)*2+IF(X268&gt;13,X268-13,0)*2+IF(X268&gt;14,X268-14,0)*2+IF(X268&gt;15,X268-15,0)*2+IF(X268&gt;16,X268-16,0)*2+IF(X268&gt;17,X268-17,0)*2+IF(X268&gt;18,X268-18,0)*2+IF(X268&gt;19,X268-19,0)*2+IF(X268&gt;20,X268-20,0)*2</f>
        <v>175.5384615384616</v>
      </c>
      <c r="AB268" s="160">
        <f>IF(Y268&lt;=0,2,0)+IF(Y268&gt;0,Y268+1,0)*2+IF(Y268&gt;12,Y268-12,0)*2+IF(Y268&gt;13,Y268-13,0)*2+IF(Y268&gt;14,Y268-14,0)*2+IF(Y268&gt;15,Y268-15,0)*2+IF(Y268&gt;16,Y268-16,0)*2+IF(Y268&gt;17,Y268-17,0)*2+IF(Y268&gt;18,Y268-18,0)*2+IF(Y268&gt;19,Y268-19,0)*2+IF(Y268&gt;20,Y268-20,0)*2</f>
        <v>2</v>
      </c>
      <c r="AC268" s="127">
        <f t="shared" si="1806"/>
        <v>173.5384615384616</v>
      </c>
      <c r="AD268" s="125">
        <f t="shared" si="1807"/>
        <v>0</v>
      </c>
      <c r="AF268" s="163" t="s">
        <v>381</v>
      </c>
      <c r="AG268" s="125" t="s">
        <v>87</v>
      </c>
      <c r="AH268" s="127" t="s">
        <v>132</v>
      </c>
      <c r="AI268" s="114"/>
      <c r="AJ268" s="113">
        <f>Konvention_1slave-KLslave</f>
        <v>12</v>
      </c>
      <c r="AK268" s="113">
        <f t="shared" si="1929"/>
        <v>12</v>
      </c>
      <c r="AL268" s="113">
        <f>Konvention_1slave-CHslave</f>
        <v>12</v>
      </c>
      <c r="AM268" s="113"/>
      <c r="AN268" s="113"/>
      <c r="AO268" s="113"/>
      <c r="AP268" s="119"/>
      <c r="AQ268" s="47">
        <f t="shared" si="1808"/>
        <v>12</v>
      </c>
      <c r="AR268" s="47">
        <f t="shared" si="1809"/>
        <v>24</v>
      </c>
      <c r="AS268" s="119">
        <f t="shared" si="1810"/>
        <v>36</v>
      </c>
      <c r="AT268" s="114">
        <f t="shared" si="1811"/>
        <v>2304</v>
      </c>
      <c r="AU268" s="113">
        <f>AJ268*AK268*CHslave+AJ268*INslave*AL268+KLslave*AK268*AL268</f>
        <v>3456</v>
      </c>
      <c r="AV268" s="119">
        <f t="shared" si="1812"/>
        <v>1728</v>
      </c>
      <c r="AW268" s="119">
        <f t="shared" si="1813"/>
        <v>7488</v>
      </c>
      <c r="AX268" s="89">
        <f t="shared" si="1814"/>
        <v>3.6923076923076925</v>
      </c>
      <c r="AY268" s="47">
        <f t="shared" si="1815"/>
        <v>11.076923076923077</v>
      </c>
      <c r="AZ268" s="127">
        <f t="shared" si="1816"/>
        <v>8.3076923076923084</v>
      </c>
      <c r="BA268" s="127">
        <f t="shared" si="1817"/>
        <v>23.07692307692308</v>
      </c>
      <c r="BB268" s="165">
        <f t="shared" si="1818"/>
        <v>0</v>
      </c>
      <c r="BC268" s="198">
        <f t="shared" si="1819"/>
        <v>23.07692307692308</v>
      </c>
      <c r="BD268" s="125">
        <f>IF(BA268&lt;=0,2,0)+IF(BA268&gt;0,BA268+1,0)*2+IF(BA268&gt;12,BA268-12,0)*2+IF(BA268&gt;13,BA268-13,0)*2+IF(BA268&gt;14,BA268-14,0)*2+IF(BA268&gt;15,BA268-15,0)*2+IF(BA268&gt;16,BA268-16,0)*2+IF(BA268&gt;17,BA268-17,0)*2+IF(BA268&gt;18,BA268-18,0)*2+IF(BA268&gt;19,BA268-19,0)*2+IF(BA268&gt;20,BA268-20,0)*2</f>
        <v>175.5384615384616</v>
      </c>
      <c r="BE268" s="160">
        <f>IF(BB268&lt;=0,2,0)+IF(BB268&gt;0,BB268+1,0)*2+IF(BB268&gt;12,BB268-12,0)*2+IF(BB268&gt;13,BB268-13,0)*2+IF(BB268&gt;14,BB268-14,0)*2+IF(BB268&gt;15,BB268-15,0)*2+IF(BB268&gt;16,BB268-16,0)*2+IF(BB268&gt;17,BB268-17,0)*2+IF(BB268&gt;18,BB268-18,0)*2+IF(BB268&gt;19,BB268-19,0)*2+IF(BB268&gt;20,BB268-20,0)*2</f>
        <v>2</v>
      </c>
      <c r="BF268" s="243">
        <f t="shared" si="1821"/>
        <v>173.5384615384616</v>
      </c>
      <c r="BG268" s="218">
        <f t="shared" si="1822"/>
        <v>0</v>
      </c>
      <c r="BI268" s="303" t="s">
        <v>381</v>
      </c>
      <c r="BJ268" s="218" t="s">
        <v>87</v>
      </c>
      <c r="BK268" s="243" t="s">
        <v>132</v>
      </c>
      <c r="BL268" s="237"/>
      <c r="BM268" s="234">
        <f>Konvention_1slave-KLslave_KL</f>
        <v>11</v>
      </c>
      <c r="BN268" s="234">
        <f t="shared" si="1930"/>
        <v>12</v>
      </c>
      <c r="BO268" s="234">
        <f>Konvention_1slave-CHslave</f>
        <v>12</v>
      </c>
      <c r="BP268" s="234"/>
      <c r="BQ268" s="234"/>
      <c r="BR268" s="234"/>
      <c r="BS268" s="224"/>
      <c r="BT268" s="223">
        <f t="shared" si="1823"/>
        <v>11.666666666666666</v>
      </c>
      <c r="BU268" s="223">
        <f t="shared" si="1824"/>
        <v>23.333333333333332</v>
      </c>
      <c r="BV268" s="224">
        <f t="shared" si="1825"/>
        <v>35</v>
      </c>
      <c r="BW268" s="237">
        <f t="shared" si="1826"/>
        <v>2432</v>
      </c>
      <c r="BX268" s="234">
        <f>BM268*BN268*CHslave+BM268*INslave*BO268+KLslave_KL*BN268*BO268</f>
        <v>3408</v>
      </c>
      <c r="BY268" s="224">
        <f t="shared" si="1827"/>
        <v>1584</v>
      </c>
      <c r="BZ268" s="224">
        <f t="shared" si="1828"/>
        <v>7424</v>
      </c>
      <c r="CA268" s="222">
        <f t="shared" si="1829"/>
        <v>3.8218390804597702</v>
      </c>
      <c r="CB268" s="223">
        <f t="shared" si="1830"/>
        <v>10.711206896551724</v>
      </c>
      <c r="CC268" s="243">
        <f t="shared" si="1831"/>
        <v>7.4676724137931032</v>
      </c>
      <c r="CD268" s="243">
        <f t="shared" si="1832"/>
        <v>22.000718390804597</v>
      </c>
      <c r="CE268" s="252">
        <f t="shared" si="1833"/>
        <v>0</v>
      </c>
      <c r="CF268" s="309">
        <f t="shared" si="1834"/>
        <v>22.000718390804597</v>
      </c>
      <c r="CG268" s="218">
        <f>IF(CD268&lt;=0,2,0)+IF(CD268&gt;0,CD268+1,0)*2+IF(CD268&gt;12,CD268-12,0)*2+IF(CD268&gt;13,CD268-13,0)*2+IF(CD268&gt;14,CD268-14,0)*2+IF(CD268&gt;15,CD268-15,0)*2+IF(CD268&gt;16,CD268-16,0)*2+IF(CD268&gt;17,CD268-17,0)*2+IF(CD268&gt;18,CD268-18,0)*2+IF(CD268&gt;19,CD268-19,0)*2+IF(CD268&gt;20,CD268-20,0)*2</f>
        <v>154.01436781609189</v>
      </c>
      <c r="CH268" s="242">
        <f>IF(CE268&lt;=0,2,0)+IF(CE268&gt;0,CE268+1,0)*2+IF(CE268&gt;12,CE268-12,0)*2+IF(CE268&gt;13,CE268-13,0)*2+IF(CE268&gt;14,CE268-14,0)*2+IF(CE268&gt;15,CE268-15,0)*2+IF(CE268&gt;16,CE268-16,0)*2+IF(CE268&gt;17,CE268-17,0)*2+IF(CE268&gt;18,CE268-18,0)*2+IF(CE268&gt;19,CE268-19,0)*2+IF(CE268&gt;20,CE268-20,0)*2</f>
        <v>2</v>
      </c>
      <c r="CI268" s="243">
        <f t="shared" si="1836"/>
        <v>152.01436781609189</v>
      </c>
      <c r="CJ268" s="218">
        <f t="shared" si="1837"/>
        <v>0</v>
      </c>
      <c r="CL268" s="303" t="s">
        <v>381</v>
      </c>
      <c r="CM268" s="218" t="s">
        <v>87</v>
      </c>
      <c r="CN268" s="243" t="s">
        <v>132</v>
      </c>
      <c r="CO268" s="237"/>
      <c r="CP268" s="234">
        <f>Konvention_1slave-KLslave</f>
        <v>12</v>
      </c>
      <c r="CQ268" s="234">
        <f t="shared" si="1931"/>
        <v>11</v>
      </c>
      <c r="CR268" s="234">
        <f>Konvention_1slave-CHslave</f>
        <v>12</v>
      </c>
      <c r="CS268" s="234"/>
      <c r="CT268" s="234"/>
      <c r="CU268" s="234"/>
      <c r="CV268" s="224"/>
      <c r="CW268" s="223">
        <f t="shared" si="1838"/>
        <v>11.666666666666666</v>
      </c>
      <c r="CX268" s="223">
        <f t="shared" si="1839"/>
        <v>23.333333333333332</v>
      </c>
      <c r="CY268" s="224">
        <f t="shared" si="1840"/>
        <v>35</v>
      </c>
      <c r="CZ268" s="237">
        <f t="shared" si="1841"/>
        <v>2432</v>
      </c>
      <c r="DA268" s="234">
        <f>CP268*CQ268*CHslave+CP268*INslave_IN*CR268+KLslave*CQ268*CR268</f>
        <v>3408</v>
      </c>
      <c r="DB268" s="224">
        <f t="shared" si="1842"/>
        <v>1584</v>
      </c>
      <c r="DC268" s="224">
        <f t="shared" si="1843"/>
        <v>7424</v>
      </c>
      <c r="DD268" s="222">
        <f t="shared" si="1844"/>
        <v>3.8218390804597702</v>
      </c>
      <c r="DE268" s="223">
        <f t="shared" si="1845"/>
        <v>10.711206896551724</v>
      </c>
      <c r="DF268" s="243">
        <f t="shared" si="1846"/>
        <v>7.4676724137931032</v>
      </c>
      <c r="DG268" s="243">
        <f t="shared" si="1847"/>
        <v>22.000718390804597</v>
      </c>
      <c r="DH268" s="252">
        <f t="shared" si="1848"/>
        <v>0</v>
      </c>
      <c r="DI268" s="309">
        <f t="shared" si="1849"/>
        <v>22.000718390804597</v>
      </c>
      <c r="DJ268" s="218">
        <f>IF(DG268&lt;=0,2,0)+IF(DG268&gt;0,DG268+1,0)*2+IF(DG268&gt;12,DG268-12,0)*2+IF(DG268&gt;13,DG268-13,0)*2+IF(DG268&gt;14,DG268-14,0)*2+IF(DG268&gt;15,DG268-15,0)*2+IF(DG268&gt;16,DG268-16,0)*2+IF(DG268&gt;17,DG268-17,0)*2+IF(DG268&gt;18,DG268-18,0)*2+IF(DG268&gt;19,DG268-19,0)*2+IF(DG268&gt;20,DG268-20,0)*2</f>
        <v>154.01436781609189</v>
      </c>
      <c r="DK268" s="242">
        <f>IF(DH268&lt;=0,2,0)+IF(DH268&gt;0,DH268+1,0)*2+IF(DH268&gt;12,DH268-12,0)*2+IF(DH268&gt;13,DH268-13,0)*2+IF(DH268&gt;14,DH268-14,0)*2+IF(DH268&gt;15,DH268-15,0)*2+IF(DH268&gt;16,DH268-16,0)*2+IF(DH268&gt;17,DH268-17,0)*2+IF(DH268&gt;18,DH268-18,0)*2+IF(DH268&gt;19,DH268-19,0)*2+IF(DH268&gt;20,DH268-20,0)*2</f>
        <v>2</v>
      </c>
      <c r="DL268" s="243">
        <f t="shared" si="1851"/>
        <v>152.01436781609189</v>
      </c>
      <c r="DM268" s="218">
        <f t="shared" si="1852"/>
        <v>0</v>
      </c>
      <c r="DO268" s="303" t="s">
        <v>381</v>
      </c>
      <c r="DP268" s="218" t="s">
        <v>87</v>
      </c>
      <c r="DQ268" s="243" t="s">
        <v>132</v>
      </c>
      <c r="DR268" s="237"/>
      <c r="DS268" s="234">
        <f>Konvention_1slave-KLslave</f>
        <v>12</v>
      </c>
      <c r="DT268" s="234">
        <f t="shared" si="1932"/>
        <v>12</v>
      </c>
      <c r="DU268" s="234">
        <f>Konvention_1slave-CHslave_CH</f>
        <v>11</v>
      </c>
      <c r="DV268" s="234"/>
      <c r="DW268" s="234"/>
      <c r="DX268" s="234"/>
      <c r="DY268" s="224"/>
      <c r="DZ268" s="223">
        <f t="shared" si="1853"/>
        <v>11.666666666666666</v>
      </c>
      <c r="EA268" s="223">
        <f t="shared" si="1854"/>
        <v>23.333333333333332</v>
      </c>
      <c r="EB268" s="224">
        <f t="shared" si="1855"/>
        <v>35</v>
      </c>
      <c r="EC268" s="237">
        <f t="shared" si="1856"/>
        <v>2432</v>
      </c>
      <c r="ED268" s="234">
        <f>DS268*DT268*CHslave_CH+DS268*INslave*DU268+KLslave*DT268*DU268</f>
        <v>3408</v>
      </c>
      <c r="EE268" s="224">
        <f t="shared" si="1857"/>
        <v>1584</v>
      </c>
      <c r="EF268" s="224">
        <f t="shared" si="1858"/>
        <v>7424</v>
      </c>
      <c r="EG268" s="222">
        <f t="shared" si="1859"/>
        <v>3.8218390804597702</v>
      </c>
      <c r="EH268" s="223">
        <f t="shared" si="1860"/>
        <v>10.711206896551724</v>
      </c>
      <c r="EI268" s="243">
        <f t="shared" si="1861"/>
        <v>7.4676724137931032</v>
      </c>
      <c r="EJ268" s="243">
        <f t="shared" si="1862"/>
        <v>22.000718390804597</v>
      </c>
      <c r="EK268" s="252">
        <f t="shared" si="1863"/>
        <v>0</v>
      </c>
      <c r="EL268" s="309">
        <f t="shared" si="1864"/>
        <v>22.000718390804597</v>
      </c>
      <c r="EM268" s="218">
        <f>IF(EJ268&lt;=0,2,0)+IF(EJ268&gt;0,EJ268+1,0)*2+IF(EJ268&gt;12,EJ268-12,0)*2+IF(EJ268&gt;13,EJ268-13,0)*2+IF(EJ268&gt;14,EJ268-14,0)*2+IF(EJ268&gt;15,EJ268-15,0)*2+IF(EJ268&gt;16,EJ268-16,0)*2+IF(EJ268&gt;17,EJ268-17,0)*2+IF(EJ268&gt;18,EJ268-18,0)*2+IF(EJ268&gt;19,EJ268-19,0)*2+IF(EJ268&gt;20,EJ268-20,0)*2</f>
        <v>154.01436781609189</v>
      </c>
      <c r="EN268" s="242">
        <f>IF(EK268&lt;=0,2,0)+IF(EK268&gt;0,EK268+1,0)*2+IF(EK268&gt;12,EK268-12,0)*2+IF(EK268&gt;13,EK268-13,0)*2+IF(EK268&gt;14,EK268-14,0)*2+IF(EK268&gt;15,EK268-15,0)*2+IF(EK268&gt;16,EK268-16,0)*2+IF(EK268&gt;17,EK268-17,0)*2+IF(EK268&gt;18,EK268-18,0)*2+IF(EK268&gt;19,EK268-19,0)*2+IF(EK268&gt;20,EK268-20,0)*2</f>
        <v>2</v>
      </c>
      <c r="EO268" s="243">
        <f t="shared" si="1866"/>
        <v>152.01436781609189</v>
      </c>
      <c r="EP268" s="218">
        <f t="shared" si="1867"/>
        <v>0</v>
      </c>
      <c r="ER268" s="303" t="s">
        <v>381</v>
      </c>
      <c r="ES268" s="218" t="s">
        <v>87</v>
      </c>
      <c r="ET268" s="243" t="s">
        <v>132</v>
      </c>
      <c r="EU268" s="237"/>
      <c r="EV268" s="234">
        <f>Konvention_1slave-KLslave</f>
        <v>12</v>
      </c>
      <c r="EW268" s="234">
        <f t="shared" si="1933"/>
        <v>12</v>
      </c>
      <c r="EX268" s="234">
        <f>Konvention_1slave-CHslave</f>
        <v>12</v>
      </c>
      <c r="EY268" s="234"/>
      <c r="EZ268" s="234"/>
      <c r="FA268" s="234"/>
      <c r="FB268" s="224"/>
      <c r="FC268" s="223">
        <f t="shared" si="1868"/>
        <v>12</v>
      </c>
      <c r="FD268" s="223">
        <f t="shared" si="1869"/>
        <v>24</v>
      </c>
      <c r="FE268" s="224">
        <f t="shared" si="1870"/>
        <v>36</v>
      </c>
      <c r="FF268" s="237">
        <f t="shared" si="1871"/>
        <v>2304</v>
      </c>
      <c r="FG268" s="234">
        <f>EV268*EW268*CHslave+EV268*INslave*EX268+KLslave*EW268*EX268</f>
        <v>3456</v>
      </c>
      <c r="FH268" s="224">
        <f t="shared" si="1872"/>
        <v>1728</v>
      </c>
      <c r="FI268" s="224">
        <f t="shared" si="1873"/>
        <v>7488</v>
      </c>
      <c r="FJ268" s="222">
        <f t="shared" si="1874"/>
        <v>3.6923076923076925</v>
      </c>
      <c r="FK268" s="223">
        <f t="shared" si="1875"/>
        <v>11.076923076923077</v>
      </c>
      <c r="FL268" s="243">
        <f t="shared" si="1876"/>
        <v>8.3076923076923084</v>
      </c>
      <c r="FM268" s="243">
        <f t="shared" si="1877"/>
        <v>23.07692307692308</v>
      </c>
      <c r="FN268" s="252">
        <f t="shared" si="1878"/>
        <v>0</v>
      </c>
      <c r="FO268" s="309">
        <f t="shared" si="1879"/>
        <v>23.07692307692308</v>
      </c>
      <c r="FP268" s="218">
        <f>IF(FM268&lt;=0,2,0)+IF(FM268&gt;0,FM268+1,0)*2+IF(FM268&gt;12,FM268-12,0)*2+IF(FM268&gt;13,FM268-13,0)*2+IF(FM268&gt;14,FM268-14,0)*2+IF(FM268&gt;15,FM268-15,0)*2+IF(FM268&gt;16,FM268-16,0)*2+IF(FM268&gt;17,FM268-17,0)*2+IF(FM268&gt;18,FM268-18,0)*2+IF(FM268&gt;19,FM268-19,0)*2+IF(FM268&gt;20,FM268-20,0)*2</f>
        <v>175.5384615384616</v>
      </c>
      <c r="FQ268" s="242">
        <f>IF(FN268&lt;=0,2,0)+IF(FN268&gt;0,FN268+1,0)*2+IF(FN268&gt;12,FN268-12,0)*2+IF(FN268&gt;13,FN268-13,0)*2+IF(FN268&gt;14,FN268-14,0)*2+IF(FN268&gt;15,FN268-15,0)*2+IF(FN268&gt;16,FN268-16,0)*2+IF(FN268&gt;17,FN268-17,0)*2+IF(FN268&gt;18,FN268-18,0)*2+IF(FN268&gt;19,FN268-19,0)*2+IF(FN268&gt;20,FN268-20,0)*2</f>
        <v>2</v>
      </c>
      <c r="FR268" s="243">
        <f t="shared" si="1881"/>
        <v>173.5384615384616</v>
      </c>
      <c r="FS268" s="218">
        <f t="shared" si="1882"/>
        <v>0</v>
      </c>
      <c r="FU268" s="303" t="s">
        <v>381</v>
      </c>
      <c r="FV268" s="218" t="s">
        <v>87</v>
      </c>
      <c r="FW268" s="243" t="s">
        <v>132</v>
      </c>
      <c r="FX268" s="237"/>
      <c r="FY268" s="234">
        <f>Konvention_1slave-KLslave</f>
        <v>12</v>
      </c>
      <c r="FZ268" s="234">
        <f t="shared" si="1934"/>
        <v>12</v>
      </c>
      <c r="GA268" s="234">
        <f>Konvention_1slave-CHslave</f>
        <v>12</v>
      </c>
      <c r="GB268" s="234"/>
      <c r="GC268" s="234"/>
      <c r="GD268" s="234"/>
      <c r="GE268" s="224"/>
      <c r="GF268" s="223">
        <f t="shared" si="1883"/>
        <v>12</v>
      </c>
      <c r="GG268" s="223">
        <f t="shared" si="1884"/>
        <v>24</v>
      </c>
      <c r="GH268" s="224">
        <f t="shared" si="1885"/>
        <v>36</v>
      </c>
      <c r="GI268" s="237">
        <f t="shared" si="1886"/>
        <v>2304</v>
      </c>
      <c r="GJ268" s="234">
        <f>FY268*FZ268*CHslave+FY268*INslave*GA268+KLslave*FZ268*GA268</f>
        <v>3456</v>
      </c>
      <c r="GK268" s="224">
        <f t="shared" si="1887"/>
        <v>1728</v>
      </c>
      <c r="GL268" s="224">
        <f t="shared" si="1888"/>
        <v>7488</v>
      </c>
      <c r="GM268" s="222">
        <f t="shared" si="1889"/>
        <v>3.6923076923076925</v>
      </c>
      <c r="GN268" s="223">
        <f t="shared" si="1890"/>
        <v>11.076923076923077</v>
      </c>
      <c r="GO268" s="243">
        <f t="shared" si="1891"/>
        <v>8.3076923076923084</v>
      </c>
      <c r="GP268" s="243">
        <f t="shared" si="1892"/>
        <v>23.07692307692308</v>
      </c>
      <c r="GQ268" s="252">
        <f t="shared" si="1893"/>
        <v>0</v>
      </c>
      <c r="GR268" s="309">
        <f t="shared" si="1894"/>
        <v>23.07692307692308</v>
      </c>
      <c r="GS268" s="218">
        <f>IF(GP268&lt;=0,2,0)+IF(GP268&gt;0,GP268+1,0)*2+IF(GP268&gt;12,GP268-12,0)*2+IF(GP268&gt;13,GP268-13,0)*2+IF(GP268&gt;14,GP268-14,0)*2+IF(GP268&gt;15,GP268-15,0)*2+IF(GP268&gt;16,GP268-16,0)*2+IF(GP268&gt;17,GP268-17,0)*2+IF(GP268&gt;18,GP268-18,0)*2+IF(GP268&gt;19,GP268-19,0)*2+IF(GP268&gt;20,GP268-20,0)*2</f>
        <v>175.5384615384616</v>
      </c>
      <c r="GT268" s="242">
        <f>IF(GQ268&lt;=0,2,0)+IF(GQ268&gt;0,GQ268+1,0)*2+IF(GQ268&gt;12,GQ268-12,0)*2+IF(GQ268&gt;13,GQ268-13,0)*2+IF(GQ268&gt;14,GQ268-14,0)*2+IF(GQ268&gt;15,GQ268-15,0)*2+IF(GQ268&gt;16,GQ268-16,0)*2+IF(GQ268&gt;17,GQ268-17,0)*2+IF(GQ268&gt;18,GQ268-18,0)*2+IF(GQ268&gt;19,GQ268-19,0)*2+IF(GQ268&gt;20,GQ268-20,0)*2</f>
        <v>2</v>
      </c>
      <c r="GU268" s="243">
        <f t="shared" si="1896"/>
        <v>173.5384615384616</v>
      </c>
      <c r="GV268" s="218">
        <f t="shared" si="1897"/>
        <v>0</v>
      </c>
      <c r="GX268" s="303" t="s">
        <v>381</v>
      </c>
      <c r="GY268" s="218" t="s">
        <v>87</v>
      </c>
      <c r="GZ268" s="243" t="s">
        <v>132</v>
      </c>
      <c r="HA268" s="237"/>
      <c r="HB268" s="234">
        <f>Konvention_1slave-KLslave</f>
        <v>12</v>
      </c>
      <c r="HC268" s="234">
        <f t="shared" si="1935"/>
        <v>12</v>
      </c>
      <c r="HD268" s="234">
        <f>Konvention_1slave-CHslave</f>
        <v>12</v>
      </c>
      <c r="HE268" s="234"/>
      <c r="HF268" s="234"/>
      <c r="HG268" s="234"/>
      <c r="HH268" s="224"/>
      <c r="HI268" s="223">
        <f t="shared" si="1898"/>
        <v>12</v>
      </c>
      <c r="HJ268" s="223">
        <f t="shared" si="1899"/>
        <v>24</v>
      </c>
      <c r="HK268" s="224">
        <f t="shared" si="1900"/>
        <v>36</v>
      </c>
      <c r="HL268" s="237">
        <f t="shared" si="1901"/>
        <v>2304</v>
      </c>
      <c r="HM268" s="234">
        <f>HB268*HC268*CHslave+HB268*INslave*HD268+KLslave*HC268*HD268</f>
        <v>3456</v>
      </c>
      <c r="HN268" s="224">
        <f t="shared" si="1902"/>
        <v>1728</v>
      </c>
      <c r="HO268" s="224">
        <f t="shared" si="1903"/>
        <v>7488</v>
      </c>
      <c r="HP268" s="222">
        <f t="shared" si="1904"/>
        <v>3.6923076923076925</v>
      </c>
      <c r="HQ268" s="223">
        <f t="shared" si="1905"/>
        <v>11.076923076923077</v>
      </c>
      <c r="HR268" s="243">
        <f t="shared" si="1906"/>
        <v>8.3076923076923084</v>
      </c>
      <c r="HS268" s="243">
        <f t="shared" si="1907"/>
        <v>23.07692307692308</v>
      </c>
      <c r="HT268" s="252">
        <f t="shared" si="1908"/>
        <v>0</v>
      </c>
      <c r="HU268" s="309">
        <f t="shared" si="1909"/>
        <v>23.07692307692308</v>
      </c>
      <c r="HV268" s="218">
        <f>IF(HS268&lt;=0,2,0)+IF(HS268&gt;0,HS268+1,0)*2+IF(HS268&gt;12,HS268-12,0)*2+IF(HS268&gt;13,HS268-13,0)*2+IF(HS268&gt;14,HS268-14,0)*2+IF(HS268&gt;15,HS268-15,0)*2+IF(HS268&gt;16,HS268-16,0)*2+IF(HS268&gt;17,HS268-17,0)*2+IF(HS268&gt;18,HS268-18,0)*2+IF(HS268&gt;19,HS268-19,0)*2+IF(HS268&gt;20,HS268-20,0)*2</f>
        <v>175.5384615384616</v>
      </c>
      <c r="HW268" s="242">
        <f>IF(HT268&lt;=0,2,0)+IF(HT268&gt;0,HT268+1,0)*2+IF(HT268&gt;12,HT268-12,0)*2+IF(HT268&gt;13,HT268-13,0)*2+IF(HT268&gt;14,HT268-14,0)*2+IF(HT268&gt;15,HT268-15,0)*2+IF(HT268&gt;16,HT268-16,0)*2+IF(HT268&gt;17,HT268-17,0)*2+IF(HT268&gt;18,HT268-18,0)*2+IF(HT268&gt;19,HT268-19,0)*2+IF(HT268&gt;20,HT268-20,0)*2</f>
        <v>2</v>
      </c>
      <c r="HX268" s="243">
        <f t="shared" si="1911"/>
        <v>173.5384615384616</v>
      </c>
      <c r="HY268" s="218">
        <f t="shared" si="1912"/>
        <v>0</v>
      </c>
      <c r="IA268" s="303" t="s">
        <v>381</v>
      </c>
      <c r="IB268" s="218" t="s">
        <v>87</v>
      </c>
      <c r="IC268" s="243" t="s">
        <v>132</v>
      </c>
      <c r="ID268" s="237"/>
      <c r="IE268" s="234">
        <f>Konvention_1slave-KLslave</f>
        <v>12</v>
      </c>
      <c r="IF268" s="234">
        <f t="shared" si="1936"/>
        <v>12</v>
      </c>
      <c r="IG268" s="234">
        <f>Konvention_1slave-CHslave</f>
        <v>12</v>
      </c>
      <c r="IH268" s="234"/>
      <c r="II268" s="234"/>
      <c r="IJ268" s="234"/>
      <c r="IK268" s="224"/>
      <c r="IL268" s="223">
        <f t="shared" si="1913"/>
        <v>12</v>
      </c>
      <c r="IM268" s="223">
        <f t="shared" si="1914"/>
        <v>24</v>
      </c>
      <c r="IN268" s="224">
        <f t="shared" si="1915"/>
        <v>36</v>
      </c>
      <c r="IO268" s="237">
        <f t="shared" si="1916"/>
        <v>2304</v>
      </c>
      <c r="IP268" s="234">
        <f>IE268*IF268*CHslave+IE268*INslave*IG268+KLslave*IF268*IG268</f>
        <v>3456</v>
      </c>
      <c r="IQ268" s="224">
        <f t="shared" si="1917"/>
        <v>1728</v>
      </c>
      <c r="IR268" s="224">
        <f t="shared" si="1918"/>
        <v>7488</v>
      </c>
      <c r="IS268" s="222">
        <f t="shared" si="1919"/>
        <v>3.6923076923076925</v>
      </c>
      <c r="IT268" s="223">
        <f t="shared" si="1920"/>
        <v>11.076923076923077</v>
      </c>
      <c r="IU268" s="243">
        <f t="shared" si="1921"/>
        <v>8.3076923076923084</v>
      </c>
      <c r="IV268" s="243">
        <f t="shared" si="1922"/>
        <v>23.07692307692308</v>
      </c>
      <c r="IW268" s="252">
        <f t="shared" si="1923"/>
        <v>0</v>
      </c>
      <c r="IX268" s="309">
        <f t="shared" si="1924"/>
        <v>23.07692307692308</v>
      </c>
      <c r="IY268" s="218">
        <f>IF(IV268&lt;=0,2,0)+IF(IV268&gt;0,IV268+1,0)*2+IF(IV268&gt;12,IV268-12,0)*2+IF(IV268&gt;13,IV268-13,0)*2+IF(IV268&gt;14,IV268-14,0)*2+IF(IV268&gt;15,IV268-15,0)*2+IF(IV268&gt;16,IV268-16,0)*2+IF(IV268&gt;17,IV268-17,0)*2+IF(IV268&gt;18,IV268-18,0)*2+IF(IV268&gt;19,IV268-19,0)*2+IF(IV268&gt;20,IV268-20,0)*2</f>
        <v>175.5384615384616</v>
      </c>
      <c r="IZ268" s="242">
        <f>IF(IW268&lt;=0,2,0)+IF(IW268&gt;0,IW268+1,0)*2+IF(IW268&gt;12,IW268-12,0)*2+IF(IW268&gt;13,IW268-13,0)*2+IF(IW268&gt;14,IW268-14,0)*2+IF(IW268&gt;15,IW268-15,0)*2+IF(IW268&gt;16,IW268-16,0)*2+IF(IW268&gt;17,IW268-17,0)*2+IF(IW268&gt;18,IW268-18,0)*2+IF(IW268&gt;19,IW268-19,0)*2+IF(IW268&gt;20,IW268-20,0)*2</f>
        <v>2</v>
      </c>
      <c r="JA268" s="243">
        <f t="shared" si="1926"/>
        <v>173.5384615384616</v>
      </c>
      <c r="JB268" s="218">
        <f t="shared" si="1927"/>
        <v>0</v>
      </c>
      <c r="JE268" s="148"/>
    </row>
    <row r="269" spans="2:265" hidden="1" outlineLevel="2">
      <c r="B269" s="148">
        <v>9</v>
      </c>
      <c r="C269" s="303" t="e">
        <f>VLOOKUP(AF269,Attribute!C:T,1,FALSE)</f>
        <v>#N/A</v>
      </c>
      <c r="D269" s="86" t="s">
        <v>87</v>
      </c>
      <c r="E269" s="127" t="s">
        <v>133</v>
      </c>
      <c r="F269" s="114"/>
      <c r="G269" s="113">
        <f>Konvention_1master-KLmaster</f>
        <v>12</v>
      </c>
      <c r="H269" s="113">
        <f t="shared" si="1928"/>
        <v>12</v>
      </c>
      <c r="I269" s="113">
        <f>Konvention_1master-CHmaster</f>
        <v>12</v>
      </c>
      <c r="J269" s="113"/>
      <c r="K269" s="113"/>
      <c r="L269" s="113"/>
      <c r="M269" s="119"/>
      <c r="N269" s="223">
        <f t="shared" si="1794"/>
        <v>12</v>
      </c>
      <c r="O269" s="223">
        <f t="shared" si="1795"/>
        <v>24</v>
      </c>
      <c r="P269" s="224">
        <f t="shared" si="1796"/>
        <v>36</v>
      </c>
      <c r="Q269" s="237">
        <f t="shared" si="1797"/>
        <v>2304</v>
      </c>
      <c r="R269" s="113">
        <f>G269*H269*CHmaster+G269*INmaster*I269+KLmaster*H269*I269</f>
        <v>3456</v>
      </c>
      <c r="S269" s="224">
        <f t="shared" si="1798"/>
        <v>1728</v>
      </c>
      <c r="T269" s="224">
        <f t="shared" si="1799"/>
        <v>7488</v>
      </c>
      <c r="U269" s="222">
        <f t="shared" si="1800"/>
        <v>3.6923076923076925</v>
      </c>
      <c r="V269" s="223">
        <f t="shared" si="1801"/>
        <v>11.076923076923077</v>
      </c>
      <c r="W269" s="243">
        <f t="shared" si="1802"/>
        <v>8.3076923076923084</v>
      </c>
      <c r="X269" s="243">
        <f t="shared" si="1803"/>
        <v>23.07692307692308</v>
      </c>
      <c r="Y269" s="252">
        <v>0</v>
      </c>
      <c r="Z269" s="198">
        <f t="shared" si="1804"/>
        <v>23.07692307692308</v>
      </c>
      <c r="AA269" s="125">
        <f>IF(X269&lt;=0,1,0)+IF(X269&gt;0,X269+1,0)*1+IF(X269&gt;12,X269-12,0)*1+IF(X269&gt;13,X269-13,0)*1+IF(X269&gt;14,X269-14,0)*1+IF(X269&gt;15,X269-15,0)*1+IF(X269&gt;16,X269-16,0)*1+IF(X269&gt;17,X269-17,0)*1+IF(X269&gt;18,X269-18,0)*1+IF(X269&gt;19,X269-19,0)*1+IF(X269&gt;20,X269-20,0)*1</f>
        <v>87.769230769230802</v>
      </c>
      <c r="AB269" s="160">
        <f>IF(Y269&lt;=0,1,0)+IF(Y269&gt;0,Y269+1,0)*1+IF(Y269&gt;12,Y269-12,0)*1+IF(Y269&gt;13,Y269-13,0)*1+IF(Y269&gt;14,Y269-14,0)*1+IF(Y269&gt;15,Y269-15,0)*1+IF(Y269&gt;16,Y269-16,0)*1+IF(Y269&gt;17,Y269-17,0)*1+IF(Y269&gt;18,Y269-18,0)*1+IF(Y269&gt;19,Y269-19,0)*1+IF(Y269&gt;20,Y269-20,0)*1</f>
        <v>1</v>
      </c>
      <c r="AC269" s="127">
        <f t="shared" si="1806"/>
        <v>86.769230769230802</v>
      </c>
      <c r="AD269" s="125">
        <f t="shared" si="1807"/>
        <v>0</v>
      </c>
      <c r="AF269" s="163" t="s">
        <v>369</v>
      </c>
      <c r="AG269" s="125" t="s">
        <v>87</v>
      </c>
      <c r="AH269" s="127" t="s">
        <v>133</v>
      </c>
      <c r="AI269" s="114"/>
      <c r="AJ269" s="113">
        <f>Konvention_1slave-KLslave</f>
        <v>12</v>
      </c>
      <c r="AK269" s="113">
        <f t="shared" si="1929"/>
        <v>12</v>
      </c>
      <c r="AL269" s="113">
        <f>Konvention_1slave-CHslave</f>
        <v>12</v>
      </c>
      <c r="AM269" s="113"/>
      <c r="AN269" s="113"/>
      <c r="AO269" s="113"/>
      <c r="AP269" s="119"/>
      <c r="AQ269" s="47">
        <f t="shared" si="1808"/>
        <v>12</v>
      </c>
      <c r="AR269" s="47">
        <f t="shared" si="1809"/>
        <v>24</v>
      </c>
      <c r="AS269" s="119">
        <f t="shared" si="1810"/>
        <v>36</v>
      </c>
      <c r="AT269" s="114">
        <f t="shared" si="1811"/>
        <v>2304</v>
      </c>
      <c r="AU269" s="113">
        <f>AJ269*AK269*CHslave+AJ269*INslave*AL269+KLslave*AK269*AL269</f>
        <v>3456</v>
      </c>
      <c r="AV269" s="119">
        <f t="shared" si="1812"/>
        <v>1728</v>
      </c>
      <c r="AW269" s="119">
        <f t="shared" si="1813"/>
        <v>7488</v>
      </c>
      <c r="AX269" s="89">
        <f t="shared" si="1814"/>
        <v>3.6923076923076925</v>
      </c>
      <c r="AY269" s="47">
        <f t="shared" si="1815"/>
        <v>11.076923076923077</v>
      </c>
      <c r="AZ269" s="127">
        <f t="shared" si="1816"/>
        <v>8.3076923076923084</v>
      </c>
      <c r="BA269" s="127">
        <f t="shared" si="1817"/>
        <v>23.07692307692308</v>
      </c>
      <c r="BB269" s="165">
        <f t="shared" si="1818"/>
        <v>0</v>
      </c>
      <c r="BC269" s="198">
        <f t="shared" si="1819"/>
        <v>23.07692307692308</v>
      </c>
      <c r="BD269" s="125">
        <f>IF(BA269&lt;=0,1,0)+IF(BA269&gt;0,BA269+1,0)*1+IF(BA269&gt;12,BA269-12,0)*1+IF(BA269&gt;13,BA269-13,0)*1+IF(BA269&gt;14,BA269-14,0)*1+IF(BA269&gt;15,BA269-15,0)*1+IF(BA269&gt;16,BA269-16,0)*1+IF(BA269&gt;17,BA269-17,0)*1+IF(BA269&gt;18,BA269-18,0)*1+IF(BA269&gt;19,BA269-19,0)*1+IF(BA269&gt;20,BA269-20,0)*1</f>
        <v>87.769230769230802</v>
      </c>
      <c r="BE269" s="160">
        <f>IF(BB269&lt;=0,1,0)+IF(BB269&gt;0,BB269+1,0)*1+IF(BB269&gt;12,BB269-12,0)*1+IF(BB269&gt;13,BB269-13,0)*1+IF(BB269&gt;14,BB269-14,0)*1+IF(BB269&gt;15,BB269-15,0)*1+IF(BB269&gt;16,BB269-16,0)*1+IF(BB269&gt;17,BB269-17,0)*1+IF(BB269&gt;18,BB269-18,0)*1+IF(BB269&gt;19,BB269-19,0)*1+IF(BB269&gt;20,BB269-20,0)*1</f>
        <v>1</v>
      </c>
      <c r="BF269" s="243">
        <f t="shared" si="1821"/>
        <v>86.769230769230802</v>
      </c>
      <c r="BG269" s="218">
        <f t="shared" si="1822"/>
        <v>0</v>
      </c>
      <c r="BI269" s="303" t="s">
        <v>369</v>
      </c>
      <c r="BJ269" s="218" t="s">
        <v>87</v>
      </c>
      <c r="BK269" s="243" t="s">
        <v>133</v>
      </c>
      <c r="BL269" s="237"/>
      <c r="BM269" s="234">
        <f>Konvention_1slave-KLslave_KL</f>
        <v>11</v>
      </c>
      <c r="BN269" s="234">
        <f t="shared" si="1930"/>
        <v>12</v>
      </c>
      <c r="BO269" s="234">
        <f>Konvention_1slave-CHslave</f>
        <v>12</v>
      </c>
      <c r="BP269" s="234"/>
      <c r="BQ269" s="234"/>
      <c r="BR269" s="234"/>
      <c r="BS269" s="224"/>
      <c r="BT269" s="223">
        <f t="shared" si="1823"/>
        <v>11.666666666666666</v>
      </c>
      <c r="BU269" s="223">
        <f t="shared" si="1824"/>
        <v>23.333333333333332</v>
      </c>
      <c r="BV269" s="224">
        <f t="shared" si="1825"/>
        <v>35</v>
      </c>
      <c r="BW269" s="237">
        <f t="shared" si="1826"/>
        <v>2432</v>
      </c>
      <c r="BX269" s="234">
        <f>BM269*BN269*CHslave+BM269*INslave*BO269+KLslave_KL*BN269*BO269</f>
        <v>3408</v>
      </c>
      <c r="BY269" s="224">
        <f t="shared" si="1827"/>
        <v>1584</v>
      </c>
      <c r="BZ269" s="224">
        <f t="shared" si="1828"/>
        <v>7424</v>
      </c>
      <c r="CA269" s="222">
        <f t="shared" si="1829"/>
        <v>3.8218390804597702</v>
      </c>
      <c r="CB269" s="223">
        <f t="shared" si="1830"/>
        <v>10.711206896551724</v>
      </c>
      <c r="CC269" s="243">
        <f t="shared" si="1831"/>
        <v>7.4676724137931032</v>
      </c>
      <c r="CD269" s="243">
        <f t="shared" si="1832"/>
        <v>22.000718390804597</v>
      </c>
      <c r="CE269" s="252">
        <f t="shared" si="1833"/>
        <v>0</v>
      </c>
      <c r="CF269" s="309">
        <f t="shared" si="1834"/>
        <v>22.000718390804597</v>
      </c>
      <c r="CG269" s="218">
        <f>IF(CD269&lt;=0,1,0)+IF(CD269&gt;0,CD269+1,0)*1+IF(CD269&gt;12,CD269-12,0)*1+IF(CD269&gt;13,CD269-13,0)*1+IF(CD269&gt;14,CD269-14,0)*1+IF(CD269&gt;15,CD269-15,0)*1+IF(CD269&gt;16,CD269-16,0)*1+IF(CD269&gt;17,CD269-17,0)*1+IF(CD269&gt;18,CD269-18,0)*1+IF(CD269&gt;19,CD269-19,0)*1+IF(CD269&gt;20,CD269-20,0)*1</f>
        <v>77.007183908045945</v>
      </c>
      <c r="CH269" s="242">
        <f>IF(CE269&lt;=0,1,0)+IF(CE269&gt;0,CE269+1,0)*1+IF(CE269&gt;12,CE269-12,0)*1+IF(CE269&gt;13,CE269-13,0)*1+IF(CE269&gt;14,CE269-14,0)*1+IF(CE269&gt;15,CE269-15,0)*1+IF(CE269&gt;16,CE269-16,0)*1+IF(CE269&gt;17,CE269-17,0)*1+IF(CE269&gt;18,CE269-18,0)*1+IF(CE269&gt;19,CE269-19,0)*1+IF(CE269&gt;20,CE269-20,0)*1</f>
        <v>1</v>
      </c>
      <c r="CI269" s="243">
        <f t="shared" si="1836"/>
        <v>76.007183908045945</v>
      </c>
      <c r="CJ269" s="218">
        <f t="shared" si="1837"/>
        <v>0</v>
      </c>
      <c r="CL269" s="303" t="s">
        <v>369</v>
      </c>
      <c r="CM269" s="218" t="s">
        <v>87</v>
      </c>
      <c r="CN269" s="243" t="s">
        <v>133</v>
      </c>
      <c r="CO269" s="237"/>
      <c r="CP269" s="234">
        <f>Konvention_1slave-KLslave</f>
        <v>12</v>
      </c>
      <c r="CQ269" s="234">
        <f t="shared" si="1931"/>
        <v>11</v>
      </c>
      <c r="CR269" s="234">
        <f>Konvention_1slave-CHslave</f>
        <v>12</v>
      </c>
      <c r="CS269" s="234"/>
      <c r="CT269" s="234"/>
      <c r="CU269" s="234"/>
      <c r="CV269" s="224"/>
      <c r="CW269" s="223">
        <f t="shared" si="1838"/>
        <v>11.666666666666666</v>
      </c>
      <c r="CX269" s="223">
        <f t="shared" si="1839"/>
        <v>23.333333333333332</v>
      </c>
      <c r="CY269" s="224">
        <f t="shared" si="1840"/>
        <v>35</v>
      </c>
      <c r="CZ269" s="237">
        <f t="shared" si="1841"/>
        <v>2432</v>
      </c>
      <c r="DA269" s="234">
        <f>CP269*CQ269*CHslave+CP269*INslave_IN*CR269+KLslave*CQ269*CR269</f>
        <v>3408</v>
      </c>
      <c r="DB269" s="224">
        <f t="shared" si="1842"/>
        <v>1584</v>
      </c>
      <c r="DC269" s="224">
        <f t="shared" si="1843"/>
        <v>7424</v>
      </c>
      <c r="DD269" s="222">
        <f t="shared" si="1844"/>
        <v>3.8218390804597702</v>
      </c>
      <c r="DE269" s="223">
        <f t="shared" si="1845"/>
        <v>10.711206896551724</v>
      </c>
      <c r="DF269" s="243">
        <f t="shared" si="1846"/>
        <v>7.4676724137931032</v>
      </c>
      <c r="DG269" s="243">
        <f t="shared" si="1847"/>
        <v>22.000718390804597</v>
      </c>
      <c r="DH269" s="252">
        <f t="shared" si="1848"/>
        <v>0</v>
      </c>
      <c r="DI269" s="309">
        <f t="shared" si="1849"/>
        <v>22.000718390804597</v>
      </c>
      <c r="DJ269" s="218">
        <f>IF(DG269&lt;=0,1,0)+IF(DG269&gt;0,DG269+1,0)*1+IF(DG269&gt;12,DG269-12,0)*1+IF(DG269&gt;13,DG269-13,0)*1+IF(DG269&gt;14,DG269-14,0)*1+IF(DG269&gt;15,DG269-15,0)*1+IF(DG269&gt;16,DG269-16,0)*1+IF(DG269&gt;17,DG269-17,0)*1+IF(DG269&gt;18,DG269-18,0)*1+IF(DG269&gt;19,DG269-19,0)*1+IF(DG269&gt;20,DG269-20,0)*1</f>
        <v>77.007183908045945</v>
      </c>
      <c r="DK269" s="242">
        <f>IF(DH269&lt;=0,1,0)+IF(DH269&gt;0,DH269+1,0)*1+IF(DH269&gt;12,DH269-12,0)*1+IF(DH269&gt;13,DH269-13,0)*1+IF(DH269&gt;14,DH269-14,0)*1+IF(DH269&gt;15,DH269-15,0)*1+IF(DH269&gt;16,DH269-16,0)*1+IF(DH269&gt;17,DH269-17,0)*1+IF(DH269&gt;18,DH269-18,0)*1+IF(DH269&gt;19,DH269-19,0)*1+IF(DH269&gt;20,DH269-20,0)*1</f>
        <v>1</v>
      </c>
      <c r="DL269" s="243">
        <f t="shared" si="1851"/>
        <v>76.007183908045945</v>
      </c>
      <c r="DM269" s="218">
        <f t="shared" si="1852"/>
        <v>0</v>
      </c>
      <c r="DO269" s="303" t="s">
        <v>369</v>
      </c>
      <c r="DP269" s="218" t="s">
        <v>87</v>
      </c>
      <c r="DQ269" s="243" t="s">
        <v>133</v>
      </c>
      <c r="DR269" s="237"/>
      <c r="DS269" s="234">
        <f>Konvention_1slave-KLslave</f>
        <v>12</v>
      </c>
      <c r="DT269" s="234">
        <f t="shared" si="1932"/>
        <v>12</v>
      </c>
      <c r="DU269" s="234">
        <f>Konvention_1slave-CHslave_CH</f>
        <v>11</v>
      </c>
      <c r="DV269" s="234"/>
      <c r="DW269" s="234"/>
      <c r="DX269" s="234"/>
      <c r="DY269" s="224"/>
      <c r="DZ269" s="223">
        <f t="shared" si="1853"/>
        <v>11.666666666666666</v>
      </c>
      <c r="EA269" s="223">
        <f t="shared" si="1854"/>
        <v>23.333333333333332</v>
      </c>
      <c r="EB269" s="224">
        <f t="shared" si="1855"/>
        <v>35</v>
      </c>
      <c r="EC269" s="237">
        <f t="shared" si="1856"/>
        <v>2432</v>
      </c>
      <c r="ED269" s="234">
        <f>DS269*DT269*CHslave_CH+DS269*INslave*DU269+KLslave*DT269*DU269</f>
        <v>3408</v>
      </c>
      <c r="EE269" s="224">
        <f t="shared" si="1857"/>
        <v>1584</v>
      </c>
      <c r="EF269" s="224">
        <f t="shared" si="1858"/>
        <v>7424</v>
      </c>
      <c r="EG269" s="222">
        <f t="shared" si="1859"/>
        <v>3.8218390804597702</v>
      </c>
      <c r="EH269" s="223">
        <f t="shared" si="1860"/>
        <v>10.711206896551724</v>
      </c>
      <c r="EI269" s="243">
        <f t="shared" si="1861"/>
        <v>7.4676724137931032</v>
      </c>
      <c r="EJ269" s="243">
        <f t="shared" si="1862"/>
        <v>22.000718390804597</v>
      </c>
      <c r="EK269" s="252">
        <f t="shared" si="1863"/>
        <v>0</v>
      </c>
      <c r="EL269" s="309">
        <f t="shared" si="1864"/>
        <v>22.000718390804597</v>
      </c>
      <c r="EM269" s="218">
        <f>IF(EJ269&lt;=0,1,0)+IF(EJ269&gt;0,EJ269+1,0)*1+IF(EJ269&gt;12,EJ269-12,0)*1+IF(EJ269&gt;13,EJ269-13,0)*1+IF(EJ269&gt;14,EJ269-14,0)*1+IF(EJ269&gt;15,EJ269-15,0)*1+IF(EJ269&gt;16,EJ269-16,0)*1+IF(EJ269&gt;17,EJ269-17,0)*1+IF(EJ269&gt;18,EJ269-18,0)*1+IF(EJ269&gt;19,EJ269-19,0)*1+IF(EJ269&gt;20,EJ269-20,0)*1</f>
        <v>77.007183908045945</v>
      </c>
      <c r="EN269" s="242">
        <f>IF(EK269&lt;=0,1,0)+IF(EK269&gt;0,EK269+1,0)*1+IF(EK269&gt;12,EK269-12,0)*1+IF(EK269&gt;13,EK269-13,0)*1+IF(EK269&gt;14,EK269-14,0)*1+IF(EK269&gt;15,EK269-15,0)*1+IF(EK269&gt;16,EK269-16,0)*1+IF(EK269&gt;17,EK269-17,0)*1+IF(EK269&gt;18,EK269-18,0)*1+IF(EK269&gt;19,EK269-19,0)*1+IF(EK269&gt;20,EK269-20,0)*1</f>
        <v>1</v>
      </c>
      <c r="EO269" s="243">
        <f t="shared" si="1866"/>
        <v>76.007183908045945</v>
      </c>
      <c r="EP269" s="218">
        <f t="shared" si="1867"/>
        <v>0</v>
      </c>
      <c r="ER269" s="303" t="s">
        <v>369</v>
      </c>
      <c r="ES269" s="218" t="s">
        <v>87</v>
      </c>
      <c r="ET269" s="243" t="s">
        <v>133</v>
      </c>
      <c r="EU269" s="237"/>
      <c r="EV269" s="234">
        <f>Konvention_1slave-KLslave</f>
        <v>12</v>
      </c>
      <c r="EW269" s="234">
        <f t="shared" si="1933"/>
        <v>12</v>
      </c>
      <c r="EX269" s="234">
        <f>Konvention_1slave-CHslave</f>
        <v>12</v>
      </c>
      <c r="EY269" s="234"/>
      <c r="EZ269" s="234"/>
      <c r="FA269" s="234"/>
      <c r="FB269" s="224"/>
      <c r="FC269" s="223">
        <f t="shared" si="1868"/>
        <v>12</v>
      </c>
      <c r="FD269" s="223">
        <f t="shared" si="1869"/>
        <v>24</v>
      </c>
      <c r="FE269" s="224">
        <f t="shared" si="1870"/>
        <v>36</v>
      </c>
      <c r="FF269" s="237">
        <f t="shared" si="1871"/>
        <v>2304</v>
      </c>
      <c r="FG269" s="234">
        <f>EV269*EW269*CHslave+EV269*INslave*EX269+KLslave*EW269*EX269</f>
        <v>3456</v>
      </c>
      <c r="FH269" s="224">
        <f t="shared" si="1872"/>
        <v>1728</v>
      </c>
      <c r="FI269" s="224">
        <f t="shared" si="1873"/>
        <v>7488</v>
      </c>
      <c r="FJ269" s="222">
        <f t="shared" si="1874"/>
        <v>3.6923076923076925</v>
      </c>
      <c r="FK269" s="223">
        <f t="shared" si="1875"/>
        <v>11.076923076923077</v>
      </c>
      <c r="FL269" s="243">
        <f t="shared" si="1876"/>
        <v>8.3076923076923084</v>
      </c>
      <c r="FM269" s="243">
        <f t="shared" si="1877"/>
        <v>23.07692307692308</v>
      </c>
      <c r="FN269" s="252">
        <f t="shared" si="1878"/>
        <v>0</v>
      </c>
      <c r="FO269" s="309">
        <f t="shared" si="1879"/>
        <v>23.07692307692308</v>
      </c>
      <c r="FP269" s="218">
        <f>IF(FM269&lt;=0,1,0)+IF(FM269&gt;0,FM269+1,0)*1+IF(FM269&gt;12,FM269-12,0)*1+IF(FM269&gt;13,FM269-13,0)*1+IF(FM269&gt;14,FM269-14,0)*1+IF(FM269&gt;15,FM269-15,0)*1+IF(FM269&gt;16,FM269-16,0)*1+IF(FM269&gt;17,FM269-17,0)*1+IF(FM269&gt;18,FM269-18,0)*1+IF(FM269&gt;19,FM269-19,0)*1+IF(FM269&gt;20,FM269-20,0)*1</f>
        <v>87.769230769230802</v>
      </c>
      <c r="FQ269" s="242">
        <f>IF(FN269&lt;=0,1,0)+IF(FN269&gt;0,FN269+1,0)*1+IF(FN269&gt;12,FN269-12,0)*1+IF(FN269&gt;13,FN269-13,0)*1+IF(FN269&gt;14,FN269-14,0)*1+IF(FN269&gt;15,FN269-15,0)*1+IF(FN269&gt;16,FN269-16,0)*1+IF(FN269&gt;17,FN269-17,0)*1+IF(FN269&gt;18,FN269-18,0)*1+IF(FN269&gt;19,FN269-19,0)*1+IF(FN269&gt;20,FN269-20,0)*1</f>
        <v>1</v>
      </c>
      <c r="FR269" s="243">
        <f t="shared" si="1881"/>
        <v>86.769230769230802</v>
      </c>
      <c r="FS269" s="218">
        <f t="shared" si="1882"/>
        <v>0</v>
      </c>
      <c r="FU269" s="303" t="s">
        <v>369</v>
      </c>
      <c r="FV269" s="218" t="s">
        <v>87</v>
      </c>
      <c r="FW269" s="243" t="s">
        <v>133</v>
      </c>
      <c r="FX269" s="237"/>
      <c r="FY269" s="234">
        <f>Konvention_1slave-KLslave</f>
        <v>12</v>
      </c>
      <c r="FZ269" s="234">
        <f t="shared" si="1934"/>
        <v>12</v>
      </c>
      <c r="GA269" s="234">
        <f>Konvention_1slave-CHslave</f>
        <v>12</v>
      </c>
      <c r="GB269" s="234"/>
      <c r="GC269" s="234"/>
      <c r="GD269" s="234"/>
      <c r="GE269" s="224"/>
      <c r="GF269" s="223">
        <f t="shared" si="1883"/>
        <v>12</v>
      </c>
      <c r="GG269" s="223">
        <f t="shared" si="1884"/>
        <v>24</v>
      </c>
      <c r="GH269" s="224">
        <f t="shared" si="1885"/>
        <v>36</v>
      </c>
      <c r="GI269" s="237">
        <f t="shared" si="1886"/>
        <v>2304</v>
      </c>
      <c r="GJ269" s="234">
        <f>FY269*FZ269*CHslave+FY269*INslave*GA269+KLslave*FZ269*GA269</f>
        <v>3456</v>
      </c>
      <c r="GK269" s="224">
        <f t="shared" si="1887"/>
        <v>1728</v>
      </c>
      <c r="GL269" s="224">
        <f t="shared" si="1888"/>
        <v>7488</v>
      </c>
      <c r="GM269" s="222">
        <f t="shared" si="1889"/>
        <v>3.6923076923076925</v>
      </c>
      <c r="GN269" s="223">
        <f t="shared" si="1890"/>
        <v>11.076923076923077</v>
      </c>
      <c r="GO269" s="243">
        <f t="shared" si="1891"/>
        <v>8.3076923076923084</v>
      </c>
      <c r="GP269" s="243">
        <f t="shared" si="1892"/>
        <v>23.07692307692308</v>
      </c>
      <c r="GQ269" s="252">
        <f t="shared" si="1893"/>
        <v>0</v>
      </c>
      <c r="GR269" s="309">
        <f t="shared" si="1894"/>
        <v>23.07692307692308</v>
      </c>
      <c r="GS269" s="218">
        <f>IF(GP269&lt;=0,1,0)+IF(GP269&gt;0,GP269+1,0)*1+IF(GP269&gt;12,GP269-12,0)*1+IF(GP269&gt;13,GP269-13,0)*1+IF(GP269&gt;14,GP269-14,0)*1+IF(GP269&gt;15,GP269-15,0)*1+IF(GP269&gt;16,GP269-16,0)*1+IF(GP269&gt;17,GP269-17,0)*1+IF(GP269&gt;18,GP269-18,0)*1+IF(GP269&gt;19,GP269-19,0)*1+IF(GP269&gt;20,GP269-20,0)*1</f>
        <v>87.769230769230802</v>
      </c>
      <c r="GT269" s="242">
        <f>IF(GQ269&lt;=0,1,0)+IF(GQ269&gt;0,GQ269+1,0)*1+IF(GQ269&gt;12,GQ269-12,0)*1+IF(GQ269&gt;13,GQ269-13,0)*1+IF(GQ269&gt;14,GQ269-14,0)*1+IF(GQ269&gt;15,GQ269-15,0)*1+IF(GQ269&gt;16,GQ269-16,0)*1+IF(GQ269&gt;17,GQ269-17,0)*1+IF(GQ269&gt;18,GQ269-18,0)*1+IF(GQ269&gt;19,GQ269-19,0)*1+IF(GQ269&gt;20,GQ269-20,0)*1</f>
        <v>1</v>
      </c>
      <c r="GU269" s="243">
        <f t="shared" si="1896"/>
        <v>86.769230769230802</v>
      </c>
      <c r="GV269" s="218">
        <f t="shared" si="1897"/>
        <v>0</v>
      </c>
      <c r="GX269" s="303" t="s">
        <v>369</v>
      </c>
      <c r="GY269" s="218" t="s">
        <v>87</v>
      </c>
      <c r="GZ269" s="243" t="s">
        <v>133</v>
      </c>
      <c r="HA269" s="237"/>
      <c r="HB269" s="234">
        <f>Konvention_1slave-KLslave</f>
        <v>12</v>
      </c>
      <c r="HC269" s="234">
        <f t="shared" si="1935"/>
        <v>12</v>
      </c>
      <c r="HD269" s="234">
        <f>Konvention_1slave-CHslave</f>
        <v>12</v>
      </c>
      <c r="HE269" s="234"/>
      <c r="HF269" s="234"/>
      <c r="HG269" s="234"/>
      <c r="HH269" s="224"/>
      <c r="HI269" s="223">
        <f t="shared" si="1898"/>
        <v>12</v>
      </c>
      <c r="HJ269" s="223">
        <f t="shared" si="1899"/>
        <v>24</v>
      </c>
      <c r="HK269" s="224">
        <f t="shared" si="1900"/>
        <v>36</v>
      </c>
      <c r="HL269" s="237">
        <f t="shared" si="1901"/>
        <v>2304</v>
      </c>
      <c r="HM269" s="234">
        <f>HB269*HC269*CHslave+HB269*INslave*HD269+KLslave*HC269*HD269</f>
        <v>3456</v>
      </c>
      <c r="HN269" s="224">
        <f t="shared" si="1902"/>
        <v>1728</v>
      </c>
      <c r="HO269" s="224">
        <f t="shared" si="1903"/>
        <v>7488</v>
      </c>
      <c r="HP269" s="222">
        <f t="shared" si="1904"/>
        <v>3.6923076923076925</v>
      </c>
      <c r="HQ269" s="223">
        <f t="shared" si="1905"/>
        <v>11.076923076923077</v>
      </c>
      <c r="HR269" s="243">
        <f t="shared" si="1906"/>
        <v>8.3076923076923084</v>
      </c>
      <c r="HS269" s="243">
        <f t="shared" si="1907"/>
        <v>23.07692307692308</v>
      </c>
      <c r="HT269" s="252">
        <f t="shared" si="1908"/>
        <v>0</v>
      </c>
      <c r="HU269" s="309">
        <f t="shared" si="1909"/>
        <v>23.07692307692308</v>
      </c>
      <c r="HV269" s="218">
        <f>IF(HS269&lt;=0,1,0)+IF(HS269&gt;0,HS269+1,0)*1+IF(HS269&gt;12,HS269-12,0)*1+IF(HS269&gt;13,HS269-13,0)*1+IF(HS269&gt;14,HS269-14,0)*1+IF(HS269&gt;15,HS269-15,0)*1+IF(HS269&gt;16,HS269-16,0)*1+IF(HS269&gt;17,HS269-17,0)*1+IF(HS269&gt;18,HS269-18,0)*1+IF(HS269&gt;19,HS269-19,0)*1+IF(HS269&gt;20,HS269-20,0)*1</f>
        <v>87.769230769230802</v>
      </c>
      <c r="HW269" s="242">
        <f>IF(HT269&lt;=0,1,0)+IF(HT269&gt;0,HT269+1,0)*1+IF(HT269&gt;12,HT269-12,0)*1+IF(HT269&gt;13,HT269-13,0)*1+IF(HT269&gt;14,HT269-14,0)*1+IF(HT269&gt;15,HT269-15,0)*1+IF(HT269&gt;16,HT269-16,0)*1+IF(HT269&gt;17,HT269-17,0)*1+IF(HT269&gt;18,HT269-18,0)*1+IF(HT269&gt;19,HT269-19,0)*1+IF(HT269&gt;20,HT269-20,0)*1</f>
        <v>1</v>
      </c>
      <c r="HX269" s="243">
        <f t="shared" si="1911"/>
        <v>86.769230769230802</v>
      </c>
      <c r="HY269" s="218">
        <f t="shared" si="1912"/>
        <v>0</v>
      </c>
      <c r="IA269" s="303" t="s">
        <v>369</v>
      </c>
      <c r="IB269" s="218" t="s">
        <v>87</v>
      </c>
      <c r="IC269" s="243" t="s">
        <v>133</v>
      </c>
      <c r="ID269" s="237"/>
      <c r="IE269" s="234">
        <f>Konvention_1slave-KLslave</f>
        <v>12</v>
      </c>
      <c r="IF269" s="234">
        <f t="shared" si="1936"/>
        <v>12</v>
      </c>
      <c r="IG269" s="234">
        <f>Konvention_1slave-CHslave</f>
        <v>12</v>
      </c>
      <c r="IH269" s="234"/>
      <c r="II269" s="234"/>
      <c r="IJ269" s="234"/>
      <c r="IK269" s="224"/>
      <c r="IL269" s="223">
        <f t="shared" si="1913"/>
        <v>12</v>
      </c>
      <c r="IM269" s="223">
        <f t="shared" si="1914"/>
        <v>24</v>
      </c>
      <c r="IN269" s="224">
        <f t="shared" si="1915"/>
        <v>36</v>
      </c>
      <c r="IO269" s="237">
        <f t="shared" si="1916"/>
        <v>2304</v>
      </c>
      <c r="IP269" s="234">
        <f>IE269*IF269*CHslave+IE269*INslave*IG269+KLslave*IF269*IG269</f>
        <v>3456</v>
      </c>
      <c r="IQ269" s="224">
        <f t="shared" si="1917"/>
        <v>1728</v>
      </c>
      <c r="IR269" s="224">
        <f t="shared" si="1918"/>
        <v>7488</v>
      </c>
      <c r="IS269" s="222">
        <f t="shared" si="1919"/>
        <v>3.6923076923076925</v>
      </c>
      <c r="IT269" s="223">
        <f t="shared" si="1920"/>
        <v>11.076923076923077</v>
      </c>
      <c r="IU269" s="243">
        <f t="shared" si="1921"/>
        <v>8.3076923076923084</v>
      </c>
      <c r="IV269" s="243">
        <f t="shared" si="1922"/>
        <v>23.07692307692308</v>
      </c>
      <c r="IW269" s="252">
        <f t="shared" si="1923"/>
        <v>0</v>
      </c>
      <c r="IX269" s="309">
        <f t="shared" si="1924"/>
        <v>23.07692307692308</v>
      </c>
      <c r="IY269" s="218">
        <f>IF(IV269&lt;=0,1,0)+IF(IV269&gt;0,IV269+1,0)*1+IF(IV269&gt;12,IV269-12,0)*1+IF(IV269&gt;13,IV269-13,0)*1+IF(IV269&gt;14,IV269-14,0)*1+IF(IV269&gt;15,IV269-15,0)*1+IF(IV269&gt;16,IV269-16,0)*1+IF(IV269&gt;17,IV269-17,0)*1+IF(IV269&gt;18,IV269-18,0)*1+IF(IV269&gt;19,IV269-19,0)*1+IF(IV269&gt;20,IV269-20,0)*1</f>
        <v>87.769230769230802</v>
      </c>
      <c r="IZ269" s="242">
        <f>IF(IW269&lt;=0,1,0)+IF(IW269&gt;0,IW269+1,0)*1+IF(IW269&gt;12,IW269-12,0)*1+IF(IW269&gt;13,IW269-13,0)*1+IF(IW269&gt;14,IW269-14,0)*1+IF(IW269&gt;15,IW269-15,0)*1+IF(IW269&gt;16,IW269-16,0)*1+IF(IW269&gt;17,IW269-17,0)*1+IF(IW269&gt;18,IW269-18,0)*1+IF(IW269&gt;19,IW269-19,0)*1+IF(IW269&gt;20,IW269-20,0)*1</f>
        <v>1</v>
      </c>
      <c r="JA269" s="243">
        <f t="shared" si="1926"/>
        <v>86.769230769230802</v>
      </c>
      <c r="JB269" s="218">
        <f t="shared" si="1927"/>
        <v>0</v>
      </c>
      <c r="JE269" s="148"/>
    </row>
    <row r="270" spans="2:265" hidden="1" outlineLevel="2">
      <c r="B270" s="148">
        <v>10</v>
      </c>
      <c r="C270" s="303" t="e">
        <f>VLOOKUP(AF270,Attribute!C:T,1,FALSE)</f>
        <v>#N/A</v>
      </c>
      <c r="D270" s="86" t="s">
        <v>87</v>
      </c>
      <c r="E270" s="167" t="s">
        <v>135</v>
      </c>
      <c r="F270" s="120"/>
      <c r="G270" s="117">
        <f>Konvention_1master-KLmaster</f>
        <v>12</v>
      </c>
      <c r="H270" s="117">
        <f t="shared" si="1928"/>
        <v>12</v>
      </c>
      <c r="I270" s="117">
        <f>Konvention_1master-CHmaster</f>
        <v>12</v>
      </c>
      <c r="J270" s="117"/>
      <c r="K270" s="117"/>
      <c r="L270" s="117"/>
      <c r="M270" s="121"/>
      <c r="N270" s="223">
        <f t="shared" si="1794"/>
        <v>12</v>
      </c>
      <c r="O270" s="223">
        <f t="shared" si="1795"/>
        <v>24</v>
      </c>
      <c r="P270" s="224">
        <f t="shared" si="1796"/>
        <v>36</v>
      </c>
      <c r="Q270" s="237">
        <f t="shared" si="1797"/>
        <v>2304</v>
      </c>
      <c r="R270" s="117">
        <f>G270*H270*CHmaster+G270*INmaster*I270+KLmaster*H270*I270</f>
        <v>3456</v>
      </c>
      <c r="S270" s="224">
        <f t="shared" si="1798"/>
        <v>1728</v>
      </c>
      <c r="T270" s="224">
        <f t="shared" si="1799"/>
        <v>7488</v>
      </c>
      <c r="U270" s="222">
        <f t="shared" si="1800"/>
        <v>3.6923076923076925</v>
      </c>
      <c r="V270" s="223">
        <f t="shared" si="1801"/>
        <v>11.076923076923077</v>
      </c>
      <c r="W270" s="243">
        <f t="shared" si="1802"/>
        <v>8.3076923076923084</v>
      </c>
      <c r="X270" s="243">
        <f t="shared" si="1803"/>
        <v>23.07692307692308</v>
      </c>
      <c r="Y270" s="252">
        <v>0</v>
      </c>
      <c r="Z270" s="198">
        <f t="shared" si="1804"/>
        <v>23.07692307692308</v>
      </c>
      <c r="AA270" s="125">
        <f>IF(X270&lt;=0,3,0)+IF(X270&gt;0,X270+1,0)*3+IF(X270&gt;12,X270-12,0)*3+IF(X270&gt;13,X270-13,0)*3+IF(X270&gt;14,X270-14,0)*3+IF(X270&gt;15,X270-15,0)*3+IF(X270&gt;16,X270-16,0)*3+IF(X270&gt;17,X270-17,0)*3+IF(X270&gt;18,X270-18,0)*3+IF(X270&gt;19,X270-19,0)*3+IF(X270&gt;20,X270-20,0)*3</f>
        <v>263.30769230769232</v>
      </c>
      <c r="AB270" s="160">
        <f>IF(Y270&lt;=0,3,0)+IF(Y270&gt;0,Y270+1,0)*3+IF(Y270&gt;12,Y270-12,0)*3+IF(Y270&gt;13,Y270-13,0)*3+IF(Y270&gt;14,Y270-14,0)*3+IF(Y270&gt;15,Y270-15,0)*3+IF(Y270&gt;16,Y270-16,0)*3+IF(Y270&gt;17,Y270-17,0)*3+IF(Y270&gt;18,Y270-18,0)*3+IF(Y270&gt;19,Y270-19,0)*3+IF(Y270&gt;20,Y270-20,0)*3</f>
        <v>3</v>
      </c>
      <c r="AC270" s="127">
        <f t="shared" si="1806"/>
        <v>260.30769230769232</v>
      </c>
      <c r="AD270" s="125">
        <f t="shared" si="1807"/>
        <v>0</v>
      </c>
      <c r="AF270" s="163" t="s">
        <v>405</v>
      </c>
      <c r="AG270" s="86" t="s">
        <v>87</v>
      </c>
      <c r="AH270" s="167" t="s">
        <v>135</v>
      </c>
      <c r="AI270" s="120"/>
      <c r="AJ270" s="117">
        <f>Konvention_1slave-KLslave</f>
        <v>12</v>
      </c>
      <c r="AK270" s="117">
        <f t="shared" si="1929"/>
        <v>12</v>
      </c>
      <c r="AL270" s="117">
        <f>Konvention_1slave-CHslave</f>
        <v>12</v>
      </c>
      <c r="AM270" s="117"/>
      <c r="AN270" s="117"/>
      <c r="AO270" s="117"/>
      <c r="AP270" s="121"/>
      <c r="AQ270" s="47">
        <f t="shared" si="1808"/>
        <v>12</v>
      </c>
      <c r="AR270" s="3">
        <f t="shared" si="1809"/>
        <v>24</v>
      </c>
      <c r="AS270" s="174">
        <f t="shared" si="1810"/>
        <v>36</v>
      </c>
      <c r="AT270" s="114">
        <f t="shared" si="1811"/>
        <v>2304</v>
      </c>
      <c r="AU270" s="117">
        <f>AJ270*AK270*CHslave+AJ270*INslave*AL270+KLslave*AK270*AL270</f>
        <v>3456</v>
      </c>
      <c r="AV270" s="119">
        <f t="shared" si="1812"/>
        <v>1728</v>
      </c>
      <c r="AW270" s="119">
        <f t="shared" si="1813"/>
        <v>7488</v>
      </c>
      <c r="AX270" s="89">
        <f t="shared" si="1814"/>
        <v>3.6923076923076925</v>
      </c>
      <c r="AY270" s="47">
        <f t="shared" si="1815"/>
        <v>11.076923076923077</v>
      </c>
      <c r="AZ270" s="127">
        <f t="shared" si="1816"/>
        <v>8.3076923076923084</v>
      </c>
      <c r="BA270" s="127">
        <f t="shared" si="1817"/>
        <v>23.07692307692308</v>
      </c>
      <c r="BB270" s="165">
        <f t="shared" si="1818"/>
        <v>0</v>
      </c>
      <c r="BC270" s="198">
        <f t="shared" si="1819"/>
        <v>23.07692307692308</v>
      </c>
      <c r="BD270" s="125">
        <f>IF(BA270&lt;=0,3,0)+IF(BA270&gt;0,BA270+1,0)*3+IF(BA270&gt;12,BA270-12,0)*3+IF(BA270&gt;13,BA270-13,0)*3+IF(BA270&gt;14,BA270-14,0)*3+IF(BA270&gt;15,BA270-15,0)*3+IF(BA270&gt;16,BA270-16,0)*3+IF(BA270&gt;17,BA270-17,0)*3+IF(BA270&gt;18,BA270-18,0)*3+IF(BA270&gt;19,BA270-19,0)*3+IF(BA270&gt;20,BA270-20,0)*3</f>
        <v>263.30769230769232</v>
      </c>
      <c r="BE270" s="160">
        <f>IF(BB270&lt;=0,3,0)+IF(BB270&gt;0,BB270+1,0)*3+IF(BB270&gt;12,BB270-12,0)*3+IF(BB270&gt;13,BB270-13,0)*3+IF(BB270&gt;14,BB270-14,0)*3+IF(BB270&gt;15,BB270-15,0)*3+IF(BB270&gt;16,BB270-16,0)*3+IF(BB270&gt;17,BB270-17,0)*3+IF(BB270&gt;18,BB270-18,0)*3+IF(BB270&gt;19,BB270-19,0)*3+IF(BB270&gt;20,BB270-20,0)*3</f>
        <v>3</v>
      </c>
      <c r="BF270" s="243">
        <f t="shared" si="1821"/>
        <v>260.30769230769232</v>
      </c>
      <c r="BG270" s="218">
        <f t="shared" si="1822"/>
        <v>0</v>
      </c>
      <c r="BI270" s="303" t="s">
        <v>405</v>
      </c>
      <c r="BJ270" s="304" t="s">
        <v>87</v>
      </c>
      <c r="BK270" s="305" t="s">
        <v>135</v>
      </c>
      <c r="BL270" s="317"/>
      <c r="BM270" s="254">
        <f>Konvention_1slave-KLslave_KL</f>
        <v>11</v>
      </c>
      <c r="BN270" s="254">
        <f t="shared" si="1930"/>
        <v>12</v>
      </c>
      <c r="BO270" s="254">
        <f>Konvention_1slave-CHslave</f>
        <v>12</v>
      </c>
      <c r="BP270" s="254"/>
      <c r="BQ270" s="254"/>
      <c r="BR270" s="254"/>
      <c r="BS270" s="318"/>
      <c r="BT270" s="223">
        <f t="shared" si="1823"/>
        <v>11.666666666666666</v>
      </c>
      <c r="BU270" s="223">
        <f t="shared" si="1824"/>
        <v>23.333333333333332</v>
      </c>
      <c r="BV270" s="224">
        <f t="shared" si="1825"/>
        <v>35</v>
      </c>
      <c r="BW270" s="237">
        <f t="shared" si="1826"/>
        <v>2432</v>
      </c>
      <c r="BX270" s="254">
        <f>BM270*BN270*CHslave+BM270*INslave*BO270+KLslave_KL*BN270*BO270</f>
        <v>3408</v>
      </c>
      <c r="BY270" s="224">
        <f t="shared" si="1827"/>
        <v>1584</v>
      </c>
      <c r="BZ270" s="224">
        <f t="shared" si="1828"/>
        <v>7424</v>
      </c>
      <c r="CA270" s="222">
        <f t="shared" si="1829"/>
        <v>3.8218390804597702</v>
      </c>
      <c r="CB270" s="223">
        <f t="shared" si="1830"/>
        <v>10.711206896551724</v>
      </c>
      <c r="CC270" s="243">
        <f t="shared" si="1831"/>
        <v>7.4676724137931032</v>
      </c>
      <c r="CD270" s="243">
        <f t="shared" si="1832"/>
        <v>22.000718390804597</v>
      </c>
      <c r="CE270" s="252">
        <f t="shared" si="1833"/>
        <v>0</v>
      </c>
      <c r="CF270" s="309">
        <f t="shared" si="1834"/>
        <v>22.000718390804597</v>
      </c>
      <c r="CG270" s="218">
        <f>IF(CD270&lt;=0,3,0)+IF(CD270&gt;0,CD270+1,0)*3+IF(CD270&gt;12,CD270-12,0)*3+IF(CD270&gt;13,CD270-13,0)*3+IF(CD270&gt;14,CD270-14,0)*3+IF(CD270&gt;15,CD270-15,0)*3+IF(CD270&gt;16,CD270-16,0)*3+IF(CD270&gt;17,CD270-17,0)*3+IF(CD270&gt;18,CD270-18,0)*3+IF(CD270&gt;19,CD270-19,0)*3+IF(CD270&gt;20,CD270-20,0)*3</f>
        <v>231.02155172413785</v>
      </c>
      <c r="CH270" s="242">
        <f>IF(CE270&lt;=0,3,0)+IF(CE270&gt;0,CE270+1,0)*3+IF(CE270&gt;12,CE270-12,0)*3+IF(CE270&gt;13,CE270-13,0)*3+IF(CE270&gt;14,CE270-14,0)*3+IF(CE270&gt;15,CE270-15,0)*3+IF(CE270&gt;16,CE270-16,0)*3+IF(CE270&gt;17,CE270-17,0)*3+IF(CE270&gt;18,CE270-18,0)*3+IF(CE270&gt;19,CE270-19,0)*3+IF(CE270&gt;20,CE270-20,0)*3</f>
        <v>3</v>
      </c>
      <c r="CI270" s="243">
        <f t="shared" si="1836"/>
        <v>228.02155172413785</v>
      </c>
      <c r="CJ270" s="218">
        <f t="shared" si="1837"/>
        <v>0</v>
      </c>
      <c r="CL270" s="303" t="s">
        <v>405</v>
      </c>
      <c r="CM270" s="304" t="s">
        <v>87</v>
      </c>
      <c r="CN270" s="305" t="s">
        <v>135</v>
      </c>
      <c r="CO270" s="317"/>
      <c r="CP270" s="254">
        <f>Konvention_1slave-KLslave</f>
        <v>12</v>
      </c>
      <c r="CQ270" s="254">
        <f t="shared" si="1931"/>
        <v>11</v>
      </c>
      <c r="CR270" s="254">
        <f>Konvention_1slave-CHslave</f>
        <v>12</v>
      </c>
      <c r="CS270" s="254"/>
      <c r="CT270" s="254"/>
      <c r="CU270" s="254"/>
      <c r="CV270" s="318"/>
      <c r="CW270" s="223">
        <f t="shared" si="1838"/>
        <v>11.666666666666666</v>
      </c>
      <c r="CX270" s="223">
        <f t="shared" si="1839"/>
        <v>23.333333333333332</v>
      </c>
      <c r="CY270" s="224">
        <f t="shared" si="1840"/>
        <v>35</v>
      </c>
      <c r="CZ270" s="237">
        <f t="shared" si="1841"/>
        <v>2432</v>
      </c>
      <c r="DA270" s="254">
        <f>CP270*CQ270*CHslave+CP270*INslave_IN*CR270+KLslave*CQ270*CR270</f>
        <v>3408</v>
      </c>
      <c r="DB270" s="224">
        <f t="shared" si="1842"/>
        <v>1584</v>
      </c>
      <c r="DC270" s="224">
        <f t="shared" si="1843"/>
        <v>7424</v>
      </c>
      <c r="DD270" s="222">
        <f t="shared" si="1844"/>
        <v>3.8218390804597702</v>
      </c>
      <c r="DE270" s="223">
        <f t="shared" si="1845"/>
        <v>10.711206896551724</v>
      </c>
      <c r="DF270" s="243">
        <f t="shared" si="1846"/>
        <v>7.4676724137931032</v>
      </c>
      <c r="DG270" s="243">
        <f t="shared" si="1847"/>
        <v>22.000718390804597</v>
      </c>
      <c r="DH270" s="252">
        <f t="shared" si="1848"/>
        <v>0</v>
      </c>
      <c r="DI270" s="309">
        <f t="shared" si="1849"/>
        <v>22.000718390804597</v>
      </c>
      <c r="DJ270" s="218">
        <f>IF(DG270&lt;=0,3,0)+IF(DG270&gt;0,DG270+1,0)*3+IF(DG270&gt;12,DG270-12,0)*3+IF(DG270&gt;13,DG270-13,0)*3+IF(DG270&gt;14,DG270-14,0)*3+IF(DG270&gt;15,DG270-15,0)*3+IF(DG270&gt;16,DG270-16,0)*3+IF(DG270&gt;17,DG270-17,0)*3+IF(DG270&gt;18,DG270-18,0)*3+IF(DG270&gt;19,DG270-19,0)*3+IF(DG270&gt;20,DG270-20,0)*3</f>
        <v>231.02155172413785</v>
      </c>
      <c r="DK270" s="242">
        <f>IF(DH270&lt;=0,3,0)+IF(DH270&gt;0,DH270+1,0)*3+IF(DH270&gt;12,DH270-12,0)*3+IF(DH270&gt;13,DH270-13,0)*3+IF(DH270&gt;14,DH270-14,0)*3+IF(DH270&gt;15,DH270-15,0)*3+IF(DH270&gt;16,DH270-16,0)*3+IF(DH270&gt;17,DH270-17,0)*3+IF(DH270&gt;18,DH270-18,0)*3+IF(DH270&gt;19,DH270-19,0)*3+IF(DH270&gt;20,DH270-20,0)*3</f>
        <v>3</v>
      </c>
      <c r="DL270" s="243">
        <f t="shared" si="1851"/>
        <v>228.02155172413785</v>
      </c>
      <c r="DM270" s="218">
        <f t="shared" si="1852"/>
        <v>0</v>
      </c>
      <c r="DO270" s="303" t="s">
        <v>405</v>
      </c>
      <c r="DP270" s="304" t="s">
        <v>87</v>
      </c>
      <c r="DQ270" s="305" t="s">
        <v>135</v>
      </c>
      <c r="DR270" s="317"/>
      <c r="DS270" s="254">
        <f>Konvention_1slave-KLslave</f>
        <v>12</v>
      </c>
      <c r="DT270" s="254">
        <f t="shared" si="1932"/>
        <v>12</v>
      </c>
      <c r="DU270" s="254">
        <f>Konvention_1slave-CHslave_CH</f>
        <v>11</v>
      </c>
      <c r="DV270" s="254"/>
      <c r="DW270" s="254"/>
      <c r="DX270" s="254"/>
      <c r="DY270" s="318"/>
      <c r="DZ270" s="223">
        <f t="shared" si="1853"/>
        <v>11.666666666666666</v>
      </c>
      <c r="EA270" s="223">
        <f t="shared" si="1854"/>
        <v>23.333333333333332</v>
      </c>
      <c r="EB270" s="224">
        <f t="shared" si="1855"/>
        <v>35</v>
      </c>
      <c r="EC270" s="237">
        <f t="shared" si="1856"/>
        <v>2432</v>
      </c>
      <c r="ED270" s="254">
        <f>DS270*DT270*CHslave_CH+DS270*INslave*DU270+KLslave*DT270*DU270</f>
        <v>3408</v>
      </c>
      <c r="EE270" s="224">
        <f t="shared" si="1857"/>
        <v>1584</v>
      </c>
      <c r="EF270" s="224">
        <f t="shared" si="1858"/>
        <v>7424</v>
      </c>
      <c r="EG270" s="222">
        <f t="shared" si="1859"/>
        <v>3.8218390804597702</v>
      </c>
      <c r="EH270" s="223">
        <f t="shared" si="1860"/>
        <v>10.711206896551724</v>
      </c>
      <c r="EI270" s="243">
        <f t="shared" si="1861"/>
        <v>7.4676724137931032</v>
      </c>
      <c r="EJ270" s="243">
        <f t="shared" si="1862"/>
        <v>22.000718390804597</v>
      </c>
      <c r="EK270" s="252">
        <f t="shared" si="1863"/>
        <v>0</v>
      </c>
      <c r="EL270" s="309">
        <f t="shared" si="1864"/>
        <v>22.000718390804597</v>
      </c>
      <c r="EM270" s="218">
        <f>IF(EJ270&lt;=0,3,0)+IF(EJ270&gt;0,EJ270+1,0)*3+IF(EJ270&gt;12,EJ270-12,0)*3+IF(EJ270&gt;13,EJ270-13,0)*3+IF(EJ270&gt;14,EJ270-14,0)*3+IF(EJ270&gt;15,EJ270-15,0)*3+IF(EJ270&gt;16,EJ270-16,0)*3+IF(EJ270&gt;17,EJ270-17,0)*3+IF(EJ270&gt;18,EJ270-18,0)*3+IF(EJ270&gt;19,EJ270-19,0)*3+IF(EJ270&gt;20,EJ270-20,0)*3</f>
        <v>231.02155172413785</v>
      </c>
      <c r="EN270" s="242">
        <f>IF(EK270&lt;=0,3,0)+IF(EK270&gt;0,EK270+1,0)*3+IF(EK270&gt;12,EK270-12,0)*3+IF(EK270&gt;13,EK270-13,0)*3+IF(EK270&gt;14,EK270-14,0)*3+IF(EK270&gt;15,EK270-15,0)*3+IF(EK270&gt;16,EK270-16,0)*3+IF(EK270&gt;17,EK270-17,0)*3+IF(EK270&gt;18,EK270-18,0)*3+IF(EK270&gt;19,EK270-19,0)*3+IF(EK270&gt;20,EK270-20,0)*3</f>
        <v>3</v>
      </c>
      <c r="EO270" s="243">
        <f t="shared" si="1866"/>
        <v>228.02155172413785</v>
      </c>
      <c r="EP270" s="218">
        <f t="shared" si="1867"/>
        <v>0</v>
      </c>
      <c r="ER270" s="303" t="s">
        <v>405</v>
      </c>
      <c r="ES270" s="304" t="s">
        <v>87</v>
      </c>
      <c r="ET270" s="305" t="s">
        <v>135</v>
      </c>
      <c r="EU270" s="317"/>
      <c r="EV270" s="254">
        <f>Konvention_1slave-KLslave</f>
        <v>12</v>
      </c>
      <c r="EW270" s="254">
        <f t="shared" si="1933"/>
        <v>12</v>
      </c>
      <c r="EX270" s="254">
        <f>Konvention_1slave-CHslave</f>
        <v>12</v>
      </c>
      <c r="EY270" s="254"/>
      <c r="EZ270" s="254"/>
      <c r="FA270" s="254"/>
      <c r="FB270" s="318"/>
      <c r="FC270" s="223">
        <f t="shared" si="1868"/>
        <v>12</v>
      </c>
      <c r="FD270" s="223">
        <f t="shared" si="1869"/>
        <v>24</v>
      </c>
      <c r="FE270" s="224">
        <f t="shared" si="1870"/>
        <v>36</v>
      </c>
      <c r="FF270" s="237">
        <f t="shared" si="1871"/>
        <v>2304</v>
      </c>
      <c r="FG270" s="254">
        <f>EV270*EW270*CHslave+EV270*INslave*EX270+KLslave*EW270*EX270</f>
        <v>3456</v>
      </c>
      <c r="FH270" s="224">
        <f t="shared" si="1872"/>
        <v>1728</v>
      </c>
      <c r="FI270" s="224">
        <f t="shared" si="1873"/>
        <v>7488</v>
      </c>
      <c r="FJ270" s="222">
        <f t="shared" si="1874"/>
        <v>3.6923076923076925</v>
      </c>
      <c r="FK270" s="223">
        <f t="shared" si="1875"/>
        <v>11.076923076923077</v>
      </c>
      <c r="FL270" s="243">
        <f t="shared" si="1876"/>
        <v>8.3076923076923084</v>
      </c>
      <c r="FM270" s="243">
        <f t="shared" si="1877"/>
        <v>23.07692307692308</v>
      </c>
      <c r="FN270" s="252">
        <f t="shared" si="1878"/>
        <v>0</v>
      </c>
      <c r="FO270" s="309">
        <f t="shared" si="1879"/>
        <v>23.07692307692308</v>
      </c>
      <c r="FP270" s="218">
        <f>IF(FM270&lt;=0,3,0)+IF(FM270&gt;0,FM270+1,0)*3+IF(FM270&gt;12,FM270-12,0)*3+IF(FM270&gt;13,FM270-13,0)*3+IF(FM270&gt;14,FM270-14,0)*3+IF(FM270&gt;15,FM270-15,0)*3+IF(FM270&gt;16,FM270-16,0)*3+IF(FM270&gt;17,FM270-17,0)*3+IF(FM270&gt;18,FM270-18,0)*3+IF(FM270&gt;19,FM270-19,0)*3+IF(FM270&gt;20,FM270-20,0)*3</f>
        <v>263.30769230769232</v>
      </c>
      <c r="FQ270" s="242">
        <f>IF(FN270&lt;=0,3,0)+IF(FN270&gt;0,FN270+1,0)*3+IF(FN270&gt;12,FN270-12,0)*3+IF(FN270&gt;13,FN270-13,0)*3+IF(FN270&gt;14,FN270-14,0)*3+IF(FN270&gt;15,FN270-15,0)*3+IF(FN270&gt;16,FN270-16,0)*3+IF(FN270&gt;17,FN270-17,0)*3+IF(FN270&gt;18,FN270-18,0)*3+IF(FN270&gt;19,FN270-19,0)*3+IF(FN270&gt;20,FN270-20,0)*3</f>
        <v>3</v>
      </c>
      <c r="FR270" s="243">
        <f t="shared" si="1881"/>
        <v>260.30769230769232</v>
      </c>
      <c r="FS270" s="218">
        <f t="shared" si="1882"/>
        <v>0</v>
      </c>
      <c r="FU270" s="303" t="s">
        <v>405</v>
      </c>
      <c r="FV270" s="304" t="s">
        <v>87</v>
      </c>
      <c r="FW270" s="305" t="s">
        <v>135</v>
      </c>
      <c r="FX270" s="317"/>
      <c r="FY270" s="254">
        <f>Konvention_1slave-KLslave</f>
        <v>12</v>
      </c>
      <c r="FZ270" s="254">
        <f t="shared" si="1934"/>
        <v>12</v>
      </c>
      <c r="GA270" s="254">
        <f>Konvention_1slave-CHslave</f>
        <v>12</v>
      </c>
      <c r="GB270" s="254"/>
      <c r="GC270" s="254"/>
      <c r="GD270" s="254"/>
      <c r="GE270" s="318"/>
      <c r="GF270" s="223">
        <f t="shared" si="1883"/>
        <v>12</v>
      </c>
      <c r="GG270" s="223">
        <f t="shared" si="1884"/>
        <v>24</v>
      </c>
      <c r="GH270" s="224">
        <f t="shared" si="1885"/>
        <v>36</v>
      </c>
      <c r="GI270" s="237">
        <f t="shared" si="1886"/>
        <v>2304</v>
      </c>
      <c r="GJ270" s="254">
        <f>FY270*FZ270*CHslave+FY270*INslave*GA270+KLslave*FZ270*GA270</f>
        <v>3456</v>
      </c>
      <c r="GK270" s="224">
        <f t="shared" si="1887"/>
        <v>1728</v>
      </c>
      <c r="GL270" s="224">
        <f t="shared" si="1888"/>
        <v>7488</v>
      </c>
      <c r="GM270" s="222">
        <f t="shared" si="1889"/>
        <v>3.6923076923076925</v>
      </c>
      <c r="GN270" s="223">
        <f t="shared" si="1890"/>
        <v>11.076923076923077</v>
      </c>
      <c r="GO270" s="243">
        <f t="shared" si="1891"/>
        <v>8.3076923076923084</v>
      </c>
      <c r="GP270" s="243">
        <f t="shared" si="1892"/>
        <v>23.07692307692308</v>
      </c>
      <c r="GQ270" s="252">
        <f t="shared" si="1893"/>
        <v>0</v>
      </c>
      <c r="GR270" s="309">
        <f t="shared" si="1894"/>
        <v>23.07692307692308</v>
      </c>
      <c r="GS270" s="218">
        <f>IF(GP270&lt;=0,3,0)+IF(GP270&gt;0,GP270+1,0)*3+IF(GP270&gt;12,GP270-12,0)*3+IF(GP270&gt;13,GP270-13,0)*3+IF(GP270&gt;14,GP270-14,0)*3+IF(GP270&gt;15,GP270-15,0)*3+IF(GP270&gt;16,GP270-16,0)*3+IF(GP270&gt;17,GP270-17,0)*3+IF(GP270&gt;18,GP270-18,0)*3+IF(GP270&gt;19,GP270-19,0)*3+IF(GP270&gt;20,GP270-20,0)*3</f>
        <v>263.30769230769232</v>
      </c>
      <c r="GT270" s="242">
        <f>IF(GQ270&lt;=0,3,0)+IF(GQ270&gt;0,GQ270+1,0)*3+IF(GQ270&gt;12,GQ270-12,0)*3+IF(GQ270&gt;13,GQ270-13,0)*3+IF(GQ270&gt;14,GQ270-14,0)*3+IF(GQ270&gt;15,GQ270-15,0)*3+IF(GQ270&gt;16,GQ270-16,0)*3+IF(GQ270&gt;17,GQ270-17,0)*3+IF(GQ270&gt;18,GQ270-18,0)*3+IF(GQ270&gt;19,GQ270-19,0)*3+IF(GQ270&gt;20,GQ270-20,0)*3</f>
        <v>3</v>
      </c>
      <c r="GU270" s="243">
        <f t="shared" si="1896"/>
        <v>260.30769230769232</v>
      </c>
      <c r="GV270" s="218">
        <f t="shared" si="1897"/>
        <v>0</v>
      </c>
      <c r="GX270" s="303" t="s">
        <v>405</v>
      </c>
      <c r="GY270" s="304" t="s">
        <v>87</v>
      </c>
      <c r="GZ270" s="305" t="s">
        <v>135</v>
      </c>
      <c r="HA270" s="317"/>
      <c r="HB270" s="254">
        <f>Konvention_1slave-KLslave</f>
        <v>12</v>
      </c>
      <c r="HC270" s="254">
        <f t="shared" si="1935"/>
        <v>12</v>
      </c>
      <c r="HD270" s="254">
        <f>Konvention_1slave-CHslave</f>
        <v>12</v>
      </c>
      <c r="HE270" s="254"/>
      <c r="HF270" s="254"/>
      <c r="HG270" s="254"/>
      <c r="HH270" s="318"/>
      <c r="HI270" s="223">
        <f t="shared" si="1898"/>
        <v>12</v>
      </c>
      <c r="HJ270" s="223">
        <f t="shared" si="1899"/>
        <v>24</v>
      </c>
      <c r="HK270" s="224">
        <f t="shared" si="1900"/>
        <v>36</v>
      </c>
      <c r="HL270" s="237">
        <f t="shared" si="1901"/>
        <v>2304</v>
      </c>
      <c r="HM270" s="254">
        <f>HB270*HC270*CHslave+HB270*INslave*HD270+KLslave*HC270*HD270</f>
        <v>3456</v>
      </c>
      <c r="HN270" s="224">
        <f t="shared" si="1902"/>
        <v>1728</v>
      </c>
      <c r="HO270" s="224">
        <f t="shared" si="1903"/>
        <v>7488</v>
      </c>
      <c r="HP270" s="222">
        <f t="shared" si="1904"/>
        <v>3.6923076923076925</v>
      </c>
      <c r="HQ270" s="223">
        <f t="shared" si="1905"/>
        <v>11.076923076923077</v>
      </c>
      <c r="HR270" s="243">
        <f t="shared" si="1906"/>
        <v>8.3076923076923084</v>
      </c>
      <c r="HS270" s="243">
        <f t="shared" si="1907"/>
        <v>23.07692307692308</v>
      </c>
      <c r="HT270" s="252">
        <f t="shared" si="1908"/>
        <v>0</v>
      </c>
      <c r="HU270" s="309">
        <f t="shared" si="1909"/>
        <v>23.07692307692308</v>
      </c>
      <c r="HV270" s="218">
        <f>IF(HS270&lt;=0,3,0)+IF(HS270&gt;0,HS270+1,0)*3+IF(HS270&gt;12,HS270-12,0)*3+IF(HS270&gt;13,HS270-13,0)*3+IF(HS270&gt;14,HS270-14,0)*3+IF(HS270&gt;15,HS270-15,0)*3+IF(HS270&gt;16,HS270-16,0)*3+IF(HS270&gt;17,HS270-17,0)*3+IF(HS270&gt;18,HS270-18,0)*3+IF(HS270&gt;19,HS270-19,0)*3+IF(HS270&gt;20,HS270-20,0)*3</f>
        <v>263.30769230769232</v>
      </c>
      <c r="HW270" s="242">
        <f>IF(HT270&lt;=0,3,0)+IF(HT270&gt;0,HT270+1,0)*3+IF(HT270&gt;12,HT270-12,0)*3+IF(HT270&gt;13,HT270-13,0)*3+IF(HT270&gt;14,HT270-14,0)*3+IF(HT270&gt;15,HT270-15,0)*3+IF(HT270&gt;16,HT270-16,0)*3+IF(HT270&gt;17,HT270-17,0)*3+IF(HT270&gt;18,HT270-18,0)*3+IF(HT270&gt;19,HT270-19,0)*3+IF(HT270&gt;20,HT270-20,0)*3</f>
        <v>3</v>
      </c>
      <c r="HX270" s="243">
        <f t="shared" si="1911"/>
        <v>260.30769230769232</v>
      </c>
      <c r="HY270" s="218">
        <f t="shared" si="1912"/>
        <v>0</v>
      </c>
      <c r="IA270" s="303" t="s">
        <v>405</v>
      </c>
      <c r="IB270" s="304" t="s">
        <v>87</v>
      </c>
      <c r="IC270" s="305" t="s">
        <v>135</v>
      </c>
      <c r="ID270" s="317"/>
      <c r="IE270" s="254">
        <f>Konvention_1slave-KLslave</f>
        <v>12</v>
      </c>
      <c r="IF270" s="254">
        <f t="shared" si="1936"/>
        <v>12</v>
      </c>
      <c r="IG270" s="254">
        <f>Konvention_1slave-CHslave</f>
        <v>12</v>
      </c>
      <c r="IH270" s="254"/>
      <c r="II270" s="254"/>
      <c r="IJ270" s="254"/>
      <c r="IK270" s="318"/>
      <c r="IL270" s="223">
        <f t="shared" si="1913"/>
        <v>12</v>
      </c>
      <c r="IM270" s="223">
        <f t="shared" si="1914"/>
        <v>24</v>
      </c>
      <c r="IN270" s="224">
        <f t="shared" si="1915"/>
        <v>36</v>
      </c>
      <c r="IO270" s="237">
        <f t="shared" si="1916"/>
        <v>2304</v>
      </c>
      <c r="IP270" s="254">
        <f>IE270*IF270*CHslave+IE270*INslave*IG270+KLslave*IF270*IG270</f>
        <v>3456</v>
      </c>
      <c r="IQ270" s="224">
        <f t="shared" si="1917"/>
        <v>1728</v>
      </c>
      <c r="IR270" s="224">
        <f t="shared" si="1918"/>
        <v>7488</v>
      </c>
      <c r="IS270" s="222">
        <f t="shared" si="1919"/>
        <v>3.6923076923076925</v>
      </c>
      <c r="IT270" s="223">
        <f t="shared" si="1920"/>
        <v>11.076923076923077</v>
      </c>
      <c r="IU270" s="243">
        <f t="shared" si="1921"/>
        <v>8.3076923076923084</v>
      </c>
      <c r="IV270" s="243">
        <f t="shared" si="1922"/>
        <v>23.07692307692308</v>
      </c>
      <c r="IW270" s="252">
        <f t="shared" si="1923"/>
        <v>0</v>
      </c>
      <c r="IX270" s="309">
        <f t="shared" si="1924"/>
        <v>23.07692307692308</v>
      </c>
      <c r="IY270" s="218">
        <f>IF(IV270&lt;=0,3,0)+IF(IV270&gt;0,IV270+1,0)*3+IF(IV270&gt;12,IV270-12,0)*3+IF(IV270&gt;13,IV270-13,0)*3+IF(IV270&gt;14,IV270-14,0)*3+IF(IV270&gt;15,IV270-15,0)*3+IF(IV270&gt;16,IV270-16,0)*3+IF(IV270&gt;17,IV270-17,0)*3+IF(IV270&gt;18,IV270-18,0)*3+IF(IV270&gt;19,IV270-19,0)*3+IF(IV270&gt;20,IV270-20,0)*3</f>
        <v>263.30769230769232</v>
      </c>
      <c r="IZ270" s="242">
        <f>IF(IW270&lt;=0,3,0)+IF(IW270&gt;0,IW270+1,0)*3+IF(IW270&gt;12,IW270-12,0)*3+IF(IW270&gt;13,IW270-13,0)*3+IF(IW270&gt;14,IW270-14,0)*3+IF(IW270&gt;15,IW270-15,0)*3+IF(IW270&gt;16,IW270-16,0)*3+IF(IW270&gt;17,IW270-17,0)*3+IF(IW270&gt;18,IW270-18,0)*3+IF(IW270&gt;19,IW270-19,0)*3+IF(IW270&gt;20,IW270-20,0)*3</f>
        <v>3</v>
      </c>
      <c r="JA270" s="243">
        <f t="shared" si="1926"/>
        <v>260.30769230769232</v>
      </c>
      <c r="JB270" s="218">
        <f t="shared" si="1927"/>
        <v>0</v>
      </c>
      <c r="JE270" s="148"/>
    </row>
    <row r="271" spans="2:265" hidden="1" outlineLevel="2">
      <c r="B271" s="148">
        <v>11</v>
      </c>
      <c r="C271" s="303" t="e">
        <f>VLOOKUP(AF271,Attribute!C:T,1,FALSE)</f>
        <v>#N/A</v>
      </c>
      <c r="D271" s="86" t="s">
        <v>88</v>
      </c>
      <c r="E271" s="167" t="s">
        <v>132</v>
      </c>
      <c r="F271" s="120"/>
      <c r="G271" s="117"/>
      <c r="H271" s="117">
        <f t="shared" si="1928"/>
        <v>12</v>
      </c>
      <c r="I271" s="117">
        <f>Konvention_1master-CHmaster</f>
        <v>12</v>
      </c>
      <c r="J271" s="117"/>
      <c r="K271" s="117">
        <f>Konvention_1master-GEmaster</f>
        <v>12</v>
      </c>
      <c r="L271" s="117"/>
      <c r="M271" s="121"/>
      <c r="N271" s="223">
        <f t="shared" si="1794"/>
        <v>12</v>
      </c>
      <c r="O271" s="223">
        <f t="shared" si="1795"/>
        <v>24</v>
      </c>
      <c r="P271" s="224">
        <f t="shared" si="1796"/>
        <v>36</v>
      </c>
      <c r="Q271" s="237">
        <f t="shared" si="1797"/>
        <v>2304</v>
      </c>
      <c r="R271" s="117">
        <f>H271*I271*GEmaster+H271*CHmaster*K271+INmaster*I271*K271</f>
        <v>3456</v>
      </c>
      <c r="S271" s="224">
        <f t="shared" si="1798"/>
        <v>1728</v>
      </c>
      <c r="T271" s="224">
        <f t="shared" si="1799"/>
        <v>7488</v>
      </c>
      <c r="U271" s="222">
        <f t="shared" si="1800"/>
        <v>3.6923076923076925</v>
      </c>
      <c r="V271" s="223">
        <f t="shared" si="1801"/>
        <v>11.076923076923077</v>
      </c>
      <c r="W271" s="243">
        <f t="shared" si="1802"/>
        <v>8.3076923076923084</v>
      </c>
      <c r="X271" s="243">
        <f t="shared" si="1803"/>
        <v>23.07692307692308</v>
      </c>
      <c r="Y271" s="252">
        <v>0</v>
      </c>
      <c r="Z271" s="198">
        <f t="shared" si="1804"/>
        <v>23.07692307692308</v>
      </c>
      <c r="AA271" s="125">
        <f t="shared" ref="AA271:AB274" si="1946">IF(X271&lt;=0,2,0)+IF(X271&gt;0,X271+1,0)*2+IF(X271&gt;12,X271-12,0)*2+IF(X271&gt;13,X271-13,0)*2+IF(X271&gt;14,X271-14,0)*2+IF(X271&gt;15,X271-15,0)*2+IF(X271&gt;16,X271-16,0)*2+IF(X271&gt;17,X271-17,0)*2+IF(X271&gt;18,X271-18,0)*2+IF(X271&gt;19,X271-19,0)*2+IF(X271&gt;20,X271-20,0)*2</f>
        <v>175.5384615384616</v>
      </c>
      <c r="AB271" s="160">
        <f t="shared" si="1946"/>
        <v>2</v>
      </c>
      <c r="AC271" s="127">
        <f t="shared" si="1806"/>
        <v>173.5384615384616</v>
      </c>
      <c r="AD271" s="125">
        <f t="shared" si="1807"/>
        <v>0</v>
      </c>
      <c r="AF271" s="163" t="s">
        <v>370</v>
      </c>
      <c r="AG271" s="86" t="s">
        <v>88</v>
      </c>
      <c r="AH271" s="167" t="s">
        <v>132</v>
      </c>
      <c r="AI271" s="120"/>
      <c r="AJ271" s="117"/>
      <c r="AK271" s="117">
        <f t="shared" si="1929"/>
        <v>12</v>
      </c>
      <c r="AL271" s="117">
        <f>Konvention_1slave-CHslave</f>
        <v>12</v>
      </c>
      <c r="AM271" s="117"/>
      <c r="AN271" s="117">
        <f>Konvention_1slave-GEslave</f>
        <v>12</v>
      </c>
      <c r="AO271" s="117"/>
      <c r="AP271" s="121"/>
      <c r="AQ271" s="47">
        <f t="shared" si="1808"/>
        <v>12</v>
      </c>
      <c r="AR271" s="3">
        <f t="shared" si="1809"/>
        <v>24</v>
      </c>
      <c r="AS271" s="174">
        <f t="shared" si="1810"/>
        <v>36</v>
      </c>
      <c r="AT271" s="114">
        <f t="shared" si="1811"/>
        <v>2304</v>
      </c>
      <c r="AU271" s="117">
        <f>AK271*AL271*GEslave+AK271*CHslave*AN271+INslave*AL271*AN271</f>
        <v>3456</v>
      </c>
      <c r="AV271" s="119">
        <f t="shared" si="1812"/>
        <v>1728</v>
      </c>
      <c r="AW271" s="119">
        <f t="shared" si="1813"/>
        <v>7488</v>
      </c>
      <c r="AX271" s="89">
        <f t="shared" si="1814"/>
        <v>3.6923076923076925</v>
      </c>
      <c r="AY271" s="47">
        <f t="shared" si="1815"/>
        <v>11.076923076923077</v>
      </c>
      <c r="AZ271" s="127">
        <f t="shared" si="1816"/>
        <v>8.3076923076923084</v>
      </c>
      <c r="BA271" s="127">
        <f t="shared" si="1817"/>
        <v>23.07692307692308</v>
      </c>
      <c r="BB271" s="165">
        <f t="shared" si="1818"/>
        <v>0</v>
      </c>
      <c r="BC271" s="198">
        <f t="shared" si="1819"/>
        <v>23.07692307692308</v>
      </c>
      <c r="BD271" s="125">
        <f t="shared" ref="BD271:BE274" si="1947">IF(BA271&lt;=0,2,0)+IF(BA271&gt;0,BA271+1,0)*2+IF(BA271&gt;12,BA271-12,0)*2+IF(BA271&gt;13,BA271-13,0)*2+IF(BA271&gt;14,BA271-14,0)*2+IF(BA271&gt;15,BA271-15,0)*2+IF(BA271&gt;16,BA271-16,0)*2+IF(BA271&gt;17,BA271-17,0)*2+IF(BA271&gt;18,BA271-18,0)*2+IF(BA271&gt;19,BA271-19,0)*2+IF(BA271&gt;20,BA271-20,0)*2</f>
        <v>175.5384615384616</v>
      </c>
      <c r="BE271" s="160">
        <f t="shared" si="1947"/>
        <v>2</v>
      </c>
      <c r="BF271" s="243">
        <f t="shared" si="1821"/>
        <v>173.5384615384616</v>
      </c>
      <c r="BG271" s="218">
        <f t="shared" si="1822"/>
        <v>0</v>
      </c>
      <c r="BI271" s="303" t="s">
        <v>370</v>
      </c>
      <c r="BJ271" s="304" t="s">
        <v>88</v>
      </c>
      <c r="BK271" s="305" t="s">
        <v>132</v>
      </c>
      <c r="BL271" s="317"/>
      <c r="BM271" s="254"/>
      <c r="BN271" s="254">
        <f t="shared" si="1930"/>
        <v>12</v>
      </c>
      <c r="BO271" s="254">
        <f>Konvention_1slave-CHslave</f>
        <v>12</v>
      </c>
      <c r="BP271" s="254"/>
      <c r="BQ271" s="254">
        <f>Konvention_1slave-GEslave</f>
        <v>12</v>
      </c>
      <c r="BR271" s="254"/>
      <c r="BS271" s="318"/>
      <c r="BT271" s="223">
        <f t="shared" si="1823"/>
        <v>12</v>
      </c>
      <c r="BU271" s="223">
        <f t="shared" si="1824"/>
        <v>24</v>
      </c>
      <c r="BV271" s="224">
        <f t="shared" si="1825"/>
        <v>36</v>
      </c>
      <c r="BW271" s="237">
        <f t="shared" si="1826"/>
        <v>2304</v>
      </c>
      <c r="BX271" s="254">
        <f>BN271*BO271*GEslave+BN271*CHslave*BQ271+INslave*BO271*BQ271</f>
        <v>3456</v>
      </c>
      <c r="BY271" s="224">
        <f t="shared" si="1827"/>
        <v>1728</v>
      </c>
      <c r="BZ271" s="224">
        <f t="shared" si="1828"/>
        <v>7488</v>
      </c>
      <c r="CA271" s="222">
        <f t="shared" si="1829"/>
        <v>3.6923076923076925</v>
      </c>
      <c r="CB271" s="223">
        <f t="shared" si="1830"/>
        <v>11.076923076923077</v>
      </c>
      <c r="CC271" s="243">
        <f t="shared" si="1831"/>
        <v>8.3076923076923084</v>
      </c>
      <c r="CD271" s="243">
        <f t="shared" si="1832"/>
        <v>23.07692307692308</v>
      </c>
      <c r="CE271" s="252">
        <f t="shared" si="1833"/>
        <v>0</v>
      </c>
      <c r="CF271" s="309">
        <f t="shared" si="1834"/>
        <v>23.07692307692308</v>
      </c>
      <c r="CG271" s="218">
        <f t="shared" ref="CG271:CH274" si="1948">IF(CD271&lt;=0,2,0)+IF(CD271&gt;0,CD271+1,0)*2+IF(CD271&gt;12,CD271-12,0)*2+IF(CD271&gt;13,CD271-13,0)*2+IF(CD271&gt;14,CD271-14,0)*2+IF(CD271&gt;15,CD271-15,0)*2+IF(CD271&gt;16,CD271-16,0)*2+IF(CD271&gt;17,CD271-17,0)*2+IF(CD271&gt;18,CD271-18,0)*2+IF(CD271&gt;19,CD271-19,0)*2+IF(CD271&gt;20,CD271-20,0)*2</f>
        <v>175.5384615384616</v>
      </c>
      <c r="CH271" s="242">
        <f t="shared" si="1948"/>
        <v>2</v>
      </c>
      <c r="CI271" s="243">
        <f t="shared" si="1836"/>
        <v>173.5384615384616</v>
      </c>
      <c r="CJ271" s="218">
        <f t="shared" si="1837"/>
        <v>0</v>
      </c>
      <c r="CL271" s="303" t="s">
        <v>370</v>
      </c>
      <c r="CM271" s="304" t="s">
        <v>88</v>
      </c>
      <c r="CN271" s="305" t="s">
        <v>132</v>
      </c>
      <c r="CO271" s="317"/>
      <c r="CP271" s="254"/>
      <c r="CQ271" s="254">
        <f t="shared" si="1931"/>
        <v>11</v>
      </c>
      <c r="CR271" s="254">
        <f>Konvention_1slave-CHslave</f>
        <v>12</v>
      </c>
      <c r="CS271" s="254"/>
      <c r="CT271" s="254">
        <f>Konvention_1slave-GEslave</f>
        <v>12</v>
      </c>
      <c r="CU271" s="254"/>
      <c r="CV271" s="318"/>
      <c r="CW271" s="223">
        <f t="shared" si="1838"/>
        <v>11.666666666666666</v>
      </c>
      <c r="CX271" s="223">
        <f t="shared" si="1839"/>
        <v>23.333333333333332</v>
      </c>
      <c r="CY271" s="224">
        <f t="shared" si="1840"/>
        <v>35</v>
      </c>
      <c r="CZ271" s="237">
        <f t="shared" si="1841"/>
        <v>2432</v>
      </c>
      <c r="DA271" s="254">
        <f>CQ271*CR271*GEslave+CQ271*CHslave*CT271+INslave_IN*CR271*CT271</f>
        <v>3408</v>
      </c>
      <c r="DB271" s="224">
        <f t="shared" si="1842"/>
        <v>1584</v>
      </c>
      <c r="DC271" s="224">
        <f t="shared" si="1843"/>
        <v>7424</v>
      </c>
      <c r="DD271" s="222">
        <f t="shared" si="1844"/>
        <v>3.8218390804597702</v>
      </c>
      <c r="DE271" s="223">
        <f t="shared" si="1845"/>
        <v>10.711206896551724</v>
      </c>
      <c r="DF271" s="243">
        <f t="shared" si="1846"/>
        <v>7.4676724137931032</v>
      </c>
      <c r="DG271" s="243">
        <f t="shared" si="1847"/>
        <v>22.000718390804597</v>
      </c>
      <c r="DH271" s="252">
        <f t="shared" si="1848"/>
        <v>0</v>
      </c>
      <c r="DI271" s="309">
        <f t="shared" si="1849"/>
        <v>22.000718390804597</v>
      </c>
      <c r="DJ271" s="218">
        <f t="shared" ref="DJ271:DK274" si="1949">IF(DG271&lt;=0,2,0)+IF(DG271&gt;0,DG271+1,0)*2+IF(DG271&gt;12,DG271-12,0)*2+IF(DG271&gt;13,DG271-13,0)*2+IF(DG271&gt;14,DG271-14,0)*2+IF(DG271&gt;15,DG271-15,0)*2+IF(DG271&gt;16,DG271-16,0)*2+IF(DG271&gt;17,DG271-17,0)*2+IF(DG271&gt;18,DG271-18,0)*2+IF(DG271&gt;19,DG271-19,0)*2+IF(DG271&gt;20,DG271-20,0)*2</f>
        <v>154.01436781609189</v>
      </c>
      <c r="DK271" s="242">
        <f t="shared" si="1949"/>
        <v>2</v>
      </c>
      <c r="DL271" s="243">
        <f t="shared" si="1851"/>
        <v>152.01436781609189</v>
      </c>
      <c r="DM271" s="218">
        <f t="shared" si="1852"/>
        <v>0</v>
      </c>
      <c r="DO271" s="303" t="s">
        <v>370</v>
      </c>
      <c r="DP271" s="304" t="s">
        <v>88</v>
      </c>
      <c r="DQ271" s="305" t="s">
        <v>132</v>
      </c>
      <c r="DR271" s="317"/>
      <c r="DS271" s="254"/>
      <c r="DT271" s="254">
        <f t="shared" si="1932"/>
        <v>12</v>
      </c>
      <c r="DU271" s="254">
        <f>Konvention_1slave-CHslave_CH</f>
        <v>11</v>
      </c>
      <c r="DV271" s="254"/>
      <c r="DW271" s="254">
        <f>Konvention_1slave-GEslave</f>
        <v>12</v>
      </c>
      <c r="DX271" s="254"/>
      <c r="DY271" s="318"/>
      <c r="DZ271" s="223">
        <f t="shared" si="1853"/>
        <v>11.666666666666666</v>
      </c>
      <c r="EA271" s="223">
        <f t="shared" si="1854"/>
        <v>23.333333333333332</v>
      </c>
      <c r="EB271" s="224">
        <f t="shared" si="1855"/>
        <v>35</v>
      </c>
      <c r="EC271" s="237">
        <f t="shared" si="1856"/>
        <v>2432</v>
      </c>
      <c r="ED271" s="254">
        <f>DT271*DU271*GEslave+DT271*CHslave_CH*DW271+INslave*DU271*DW271</f>
        <v>3408</v>
      </c>
      <c r="EE271" s="224">
        <f t="shared" si="1857"/>
        <v>1584</v>
      </c>
      <c r="EF271" s="224">
        <f t="shared" si="1858"/>
        <v>7424</v>
      </c>
      <c r="EG271" s="222">
        <f t="shared" si="1859"/>
        <v>3.8218390804597702</v>
      </c>
      <c r="EH271" s="223">
        <f t="shared" si="1860"/>
        <v>10.711206896551724</v>
      </c>
      <c r="EI271" s="243">
        <f t="shared" si="1861"/>
        <v>7.4676724137931032</v>
      </c>
      <c r="EJ271" s="243">
        <f t="shared" si="1862"/>
        <v>22.000718390804597</v>
      </c>
      <c r="EK271" s="252">
        <f t="shared" si="1863"/>
        <v>0</v>
      </c>
      <c r="EL271" s="309">
        <f t="shared" si="1864"/>
        <v>22.000718390804597</v>
      </c>
      <c r="EM271" s="218">
        <f t="shared" ref="EM271:EN274" si="1950">IF(EJ271&lt;=0,2,0)+IF(EJ271&gt;0,EJ271+1,0)*2+IF(EJ271&gt;12,EJ271-12,0)*2+IF(EJ271&gt;13,EJ271-13,0)*2+IF(EJ271&gt;14,EJ271-14,0)*2+IF(EJ271&gt;15,EJ271-15,0)*2+IF(EJ271&gt;16,EJ271-16,0)*2+IF(EJ271&gt;17,EJ271-17,0)*2+IF(EJ271&gt;18,EJ271-18,0)*2+IF(EJ271&gt;19,EJ271-19,0)*2+IF(EJ271&gt;20,EJ271-20,0)*2</f>
        <v>154.01436781609189</v>
      </c>
      <c r="EN271" s="242">
        <f t="shared" si="1950"/>
        <v>2</v>
      </c>
      <c r="EO271" s="243">
        <f t="shared" si="1866"/>
        <v>152.01436781609189</v>
      </c>
      <c r="EP271" s="218">
        <f t="shared" si="1867"/>
        <v>0</v>
      </c>
      <c r="ER271" s="303" t="s">
        <v>370</v>
      </c>
      <c r="ES271" s="304" t="s">
        <v>88</v>
      </c>
      <c r="ET271" s="305" t="s">
        <v>132</v>
      </c>
      <c r="EU271" s="317"/>
      <c r="EV271" s="254"/>
      <c r="EW271" s="254">
        <f t="shared" si="1933"/>
        <v>12</v>
      </c>
      <c r="EX271" s="254">
        <f>Konvention_1slave-CHslave</f>
        <v>12</v>
      </c>
      <c r="EY271" s="254"/>
      <c r="EZ271" s="254">
        <f>Konvention_1slave-GEslave</f>
        <v>12</v>
      </c>
      <c r="FA271" s="254"/>
      <c r="FB271" s="318"/>
      <c r="FC271" s="223">
        <f t="shared" si="1868"/>
        <v>12</v>
      </c>
      <c r="FD271" s="223">
        <f t="shared" si="1869"/>
        <v>24</v>
      </c>
      <c r="FE271" s="224">
        <f t="shared" si="1870"/>
        <v>36</v>
      </c>
      <c r="FF271" s="237">
        <f t="shared" si="1871"/>
        <v>2304</v>
      </c>
      <c r="FG271" s="254">
        <f>EW271*EX271*GEslave+EW271*CHslave*EZ271+INslave*EX271*EZ271</f>
        <v>3456</v>
      </c>
      <c r="FH271" s="224">
        <f t="shared" si="1872"/>
        <v>1728</v>
      </c>
      <c r="FI271" s="224">
        <f t="shared" si="1873"/>
        <v>7488</v>
      </c>
      <c r="FJ271" s="222">
        <f t="shared" si="1874"/>
        <v>3.6923076923076925</v>
      </c>
      <c r="FK271" s="223">
        <f t="shared" si="1875"/>
        <v>11.076923076923077</v>
      </c>
      <c r="FL271" s="243">
        <f t="shared" si="1876"/>
        <v>8.3076923076923084</v>
      </c>
      <c r="FM271" s="243">
        <f t="shared" si="1877"/>
        <v>23.07692307692308</v>
      </c>
      <c r="FN271" s="252">
        <f t="shared" si="1878"/>
        <v>0</v>
      </c>
      <c r="FO271" s="309">
        <f t="shared" si="1879"/>
        <v>23.07692307692308</v>
      </c>
      <c r="FP271" s="218">
        <f t="shared" ref="FP271:FQ274" si="1951">IF(FM271&lt;=0,2,0)+IF(FM271&gt;0,FM271+1,0)*2+IF(FM271&gt;12,FM271-12,0)*2+IF(FM271&gt;13,FM271-13,0)*2+IF(FM271&gt;14,FM271-14,0)*2+IF(FM271&gt;15,FM271-15,0)*2+IF(FM271&gt;16,FM271-16,0)*2+IF(FM271&gt;17,FM271-17,0)*2+IF(FM271&gt;18,FM271-18,0)*2+IF(FM271&gt;19,FM271-19,0)*2+IF(FM271&gt;20,FM271-20,0)*2</f>
        <v>175.5384615384616</v>
      </c>
      <c r="FQ271" s="242">
        <f t="shared" si="1951"/>
        <v>2</v>
      </c>
      <c r="FR271" s="243">
        <f t="shared" si="1881"/>
        <v>173.5384615384616</v>
      </c>
      <c r="FS271" s="218">
        <f t="shared" si="1882"/>
        <v>0</v>
      </c>
      <c r="FU271" s="303" t="s">
        <v>370</v>
      </c>
      <c r="FV271" s="304" t="s">
        <v>88</v>
      </c>
      <c r="FW271" s="305" t="s">
        <v>132</v>
      </c>
      <c r="FX271" s="317"/>
      <c r="FY271" s="254"/>
      <c r="FZ271" s="254">
        <f t="shared" si="1934"/>
        <v>12</v>
      </c>
      <c r="GA271" s="254">
        <f>Konvention_1slave-CHslave</f>
        <v>12</v>
      </c>
      <c r="GB271" s="254"/>
      <c r="GC271" s="254">
        <f>Konvention_1slave-GEslave_GE</f>
        <v>11</v>
      </c>
      <c r="GD271" s="254"/>
      <c r="GE271" s="318"/>
      <c r="GF271" s="223">
        <f t="shared" si="1883"/>
        <v>11.666666666666666</v>
      </c>
      <c r="GG271" s="223">
        <f t="shared" si="1884"/>
        <v>23.333333333333332</v>
      </c>
      <c r="GH271" s="224">
        <f t="shared" si="1885"/>
        <v>35</v>
      </c>
      <c r="GI271" s="237">
        <f t="shared" si="1886"/>
        <v>2432</v>
      </c>
      <c r="GJ271" s="254">
        <f>FZ271*GA271*GEslave_GE+FZ271*CHslave*GC271+INslave*GA271*GC271</f>
        <v>3408</v>
      </c>
      <c r="GK271" s="224">
        <f t="shared" si="1887"/>
        <v>1584</v>
      </c>
      <c r="GL271" s="224">
        <f t="shared" si="1888"/>
        <v>7424</v>
      </c>
      <c r="GM271" s="222">
        <f t="shared" si="1889"/>
        <v>3.8218390804597702</v>
      </c>
      <c r="GN271" s="223">
        <f t="shared" si="1890"/>
        <v>10.711206896551724</v>
      </c>
      <c r="GO271" s="243">
        <f t="shared" si="1891"/>
        <v>7.4676724137931032</v>
      </c>
      <c r="GP271" s="243">
        <f t="shared" si="1892"/>
        <v>22.000718390804597</v>
      </c>
      <c r="GQ271" s="252">
        <f t="shared" si="1893"/>
        <v>0</v>
      </c>
      <c r="GR271" s="309">
        <f t="shared" si="1894"/>
        <v>22.000718390804597</v>
      </c>
      <c r="GS271" s="218">
        <f t="shared" ref="GS271:GT274" si="1952">IF(GP271&lt;=0,2,0)+IF(GP271&gt;0,GP271+1,0)*2+IF(GP271&gt;12,GP271-12,0)*2+IF(GP271&gt;13,GP271-13,0)*2+IF(GP271&gt;14,GP271-14,0)*2+IF(GP271&gt;15,GP271-15,0)*2+IF(GP271&gt;16,GP271-16,0)*2+IF(GP271&gt;17,GP271-17,0)*2+IF(GP271&gt;18,GP271-18,0)*2+IF(GP271&gt;19,GP271-19,0)*2+IF(GP271&gt;20,GP271-20,0)*2</f>
        <v>154.01436781609189</v>
      </c>
      <c r="GT271" s="242">
        <f t="shared" si="1952"/>
        <v>2</v>
      </c>
      <c r="GU271" s="243">
        <f t="shared" si="1896"/>
        <v>152.01436781609189</v>
      </c>
      <c r="GV271" s="218">
        <f t="shared" si="1897"/>
        <v>0</v>
      </c>
      <c r="GX271" s="303" t="s">
        <v>370</v>
      </c>
      <c r="GY271" s="304" t="s">
        <v>88</v>
      </c>
      <c r="GZ271" s="305" t="s">
        <v>132</v>
      </c>
      <c r="HA271" s="317"/>
      <c r="HB271" s="254"/>
      <c r="HC271" s="254">
        <f t="shared" si="1935"/>
        <v>12</v>
      </c>
      <c r="HD271" s="254">
        <f>Konvention_1slave-CHslave</f>
        <v>12</v>
      </c>
      <c r="HE271" s="254"/>
      <c r="HF271" s="254">
        <f>Konvention_1slave-GEslave</f>
        <v>12</v>
      </c>
      <c r="HG271" s="254"/>
      <c r="HH271" s="318"/>
      <c r="HI271" s="223">
        <f t="shared" si="1898"/>
        <v>12</v>
      </c>
      <c r="HJ271" s="223">
        <f t="shared" si="1899"/>
        <v>24</v>
      </c>
      <c r="HK271" s="224">
        <f t="shared" si="1900"/>
        <v>36</v>
      </c>
      <c r="HL271" s="237">
        <f t="shared" si="1901"/>
        <v>2304</v>
      </c>
      <c r="HM271" s="254">
        <f>HC271*HD271*GEslave+HC271*CHslave*HF271+INslave*HD271*HF271</f>
        <v>3456</v>
      </c>
      <c r="HN271" s="224">
        <f t="shared" si="1902"/>
        <v>1728</v>
      </c>
      <c r="HO271" s="224">
        <f t="shared" si="1903"/>
        <v>7488</v>
      </c>
      <c r="HP271" s="222">
        <f t="shared" si="1904"/>
        <v>3.6923076923076925</v>
      </c>
      <c r="HQ271" s="223">
        <f t="shared" si="1905"/>
        <v>11.076923076923077</v>
      </c>
      <c r="HR271" s="243">
        <f t="shared" si="1906"/>
        <v>8.3076923076923084</v>
      </c>
      <c r="HS271" s="243">
        <f t="shared" si="1907"/>
        <v>23.07692307692308</v>
      </c>
      <c r="HT271" s="252">
        <f t="shared" si="1908"/>
        <v>0</v>
      </c>
      <c r="HU271" s="309">
        <f t="shared" si="1909"/>
        <v>23.07692307692308</v>
      </c>
      <c r="HV271" s="218">
        <f t="shared" ref="HV271:HW274" si="1953">IF(HS271&lt;=0,2,0)+IF(HS271&gt;0,HS271+1,0)*2+IF(HS271&gt;12,HS271-12,0)*2+IF(HS271&gt;13,HS271-13,0)*2+IF(HS271&gt;14,HS271-14,0)*2+IF(HS271&gt;15,HS271-15,0)*2+IF(HS271&gt;16,HS271-16,0)*2+IF(HS271&gt;17,HS271-17,0)*2+IF(HS271&gt;18,HS271-18,0)*2+IF(HS271&gt;19,HS271-19,0)*2+IF(HS271&gt;20,HS271-20,0)*2</f>
        <v>175.5384615384616</v>
      </c>
      <c r="HW271" s="242">
        <f t="shared" si="1953"/>
        <v>2</v>
      </c>
      <c r="HX271" s="243">
        <f t="shared" si="1911"/>
        <v>173.5384615384616</v>
      </c>
      <c r="HY271" s="218">
        <f t="shared" si="1912"/>
        <v>0</v>
      </c>
      <c r="IA271" s="303" t="s">
        <v>370</v>
      </c>
      <c r="IB271" s="304" t="s">
        <v>88</v>
      </c>
      <c r="IC271" s="305" t="s">
        <v>132</v>
      </c>
      <c r="ID271" s="317"/>
      <c r="IE271" s="254"/>
      <c r="IF271" s="254">
        <f t="shared" si="1936"/>
        <v>12</v>
      </c>
      <c r="IG271" s="254">
        <f>Konvention_1slave-CHslave</f>
        <v>12</v>
      </c>
      <c r="IH271" s="254"/>
      <c r="II271" s="254">
        <f>Konvention_1slave-GEslave</f>
        <v>12</v>
      </c>
      <c r="IJ271" s="254"/>
      <c r="IK271" s="318"/>
      <c r="IL271" s="223">
        <f t="shared" si="1913"/>
        <v>12</v>
      </c>
      <c r="IM271" s="223">
        <f t="shared" si="1914"/>
        <v>24</v>
      </c>
      <c r="IN271" s="224">
        <f t="shared" si="1915"/>
        <v>36</v>
      </c>
      <c r="IO271" s="237">
        <f t="shared" si="1916"/>
        <v>2304</v>
      </c>
      <c r="IP271" s="254">
        <f>IF271*IG271*GEslave+IF271*CHslave*II271+INslave*IG271*II271</f>
        <v>3456</v>
      </c>
      <c r="IQ271" s="224">
        <f t="shared" si="1917"/>
        <v>1728</v>
      </c>
      <c r="IR271" s="224">
        <f t="shared" si="1918"/>
        <v>7488</v>
      </c>
      <c r="IS271" s="222">
        <f t="shared" si="1919"/>
        <v>3.6923076923076925</v>
      </c>
      <c r="IT271" s="223">
        <f t="shared" si="1920"/>
        <v>11.076923076923077</v>
      </c>
      <c r="IU271" s="243">
        <f t="shared" si="1921"/>
        <v>8.3076923076923084</v>
      </c>
      <c r="IV271" s="243">
        <f t="shared" si="1922"/>
        <v>23.07692307692308</v>
      </c>
      <c r="IW271" s="252">
        <f t="shared" si="1923"/>
        <v>0</v>
      </c>
      <c r="IX271" s="309">
        <f t="shared" si="1924"/>
        <v>23.07692307692308</v>
      </c>
      <c r="IY271" s="218">
        <f t="shared" ref="IY271:IZ274" si="1954">IF(IV271&lt;=0,2,0)+IF(IV271&gt;0,IV271+1,0)*2+IF(IV271&gt;12,IV271-12,0)*2+IF(IV271&gt;13,IV271-13,0)*2+IF(IV271&gt;14,IV271-14,0)*2+IF(IV271&gt;15,IV271-15,0)*2+IF(IV271&gt;16,IV271-16,0)*2+IF(IV271&gt;17,IV271-17,0)*2+IF(IV271&gt;18,IV271-18,0)*2+IF(IV271&gt;19,IV271-19,0)*2+IF(IV271&gt;20,IV271-20,0)*2</f>
        <v>175.5384615384616</v>
      </c>
      <c r="IZ271" s="242">
        <f t="shared" si="1954"/>
        <v>2</v>
      </c>
      <c r="JA271" s="243">
        <f t="shared" si="1926"/>
        <v>173.5384615384616</v>
      </c>
      <c r="JB271" s="218">
        <f t="shared" si="1927"/>
        <v>0</v>
      </c>
      <c r="JE271" s="148"/>
    </row>
    <row r="272" spans="2:265" ht="15" hidden="1" customHeight="1" outlineLevel="2">
      <c r="B272" s="148">
        <v>12</v>
      </c>
      <c r="C272" s="303" t="e">
        <f>VLOOKUP(AF272,Attribute!C:T,1,FALSE)</f>
        <v>#N/A</v>
      </c>
      <c r="D272" s="86" t="s">
        <v>170</v>
      </c>
      <c r="E272" s="167" t="s">
        <v>132</v>
      </c>
      <c r="F272" s="120"/>
      <c r="G272" s="117">
        <f>Konvention_1master-KLmaster</f>
        <v>12</v>
      </c>
      <c r="H272" s="117">
        <f t="shared" si="1928"/>
        <v>12</v>
      </c>
      <c r="I272" s="117"/>
      <c r="J272" s="117">
        <f>Konvention_1master-FFmaster</f>
        <v>12</v>
      </c>
      <c r="K272" s="117"/>
      <c r="L272" s="117"/>
      <c r="M272" s="121"/>
      <c r="N272" s="223">
        <f t="shared" si="1794"/>
        <v>12</v>
      </c>
      <c r="O272" s="223">
        <f t="shared" si="1795"/>
        <v>24</v>
      </c>
      <c r="P272" s="224">
        <f t="shared" si="1796"/>
        <v>36</v>
      </c>
      <c r="Q272" s="237">
        <f t="shared" si="1797"/>
        <v>2304</v>
      </c>
      <c r="R272" s="117">
        <f>G272*H272*FFmaster+G272*INmaster*J272+KLmaster*H272*J272</f>
        <v>3456</v>
      </c>
      <c r="S272" s="224">
        <f t="shared" si="1798"/>
        <v>1728</v>
      </c>
      <c r="T272" s="224">
        <f t="shared" si="1799"/>
        <v>7488</v>
      </c>
      <c r="U272" s="222">
        <f t="shared" si="1800"/>
        <v>3.6923076923076925</v>
      </c>
      <c r="V272" s="223">
        <f t="shared" si="1801"/>
        <v>11.076923076923077</v>
      </c>
      <c r="W272" s="243">
        <f t="shared" si="1802"/>
        <v>8.3076923076923084</v>
      </c>
      <c r="X272" s="243">
        <f t="shared" si="1803"/>
        <v>23.07692307692308</v>
      </c>
      <c r="Y272" s="252">
        <v>0</v>
      </c>
      <c r="Z272" s="198">
        <f t="shared" si="1804"/>
        <v>23.07692307692308</v>
      </c>
      <c r="AA272" s="125">
        <f t="shared" si="1946"/>
        <v>175.5384615384616</v>
      </c>
      <c r="AB272" s="160">
        <f t="shared" si="1946"/>
        <v>2</v>
      </c>
      <c r="AC272" s="127">
        <f t="shared" si="1806"/>
        <v>173.5384615384616</v>
      </c>
      <c r="AD272" s="125">
        <f t="shared" si="1807"/>
        <v>0</v>
      </c>
      <c r="AF272" s="163" t="s">
        <v>299</v>
      </c>
      <c r="AG272" s="86" t="s">
        <v>170</v>
      </c>
      <c r="AH272" s="167" t="s">
        <v>132</v>
      </c>
      <c r="AI272" s="120"/>
      <c r="AJ272" s="117">
        <f>Konvention_1slave-KLslave</f>
        <v>12</v>
      </c>
      <c r="AK272" s="117">
        <f t="shared" si="1929"/>
        <v>12</v>
      </c>
      <c r="AL272" s="117"/>
      <c r="AM272" s="117">
        <f>Konvention_1slave-FFslave</f>
        <v>12</v>
      </c>
      <c r="AN272" s="117"/>
      <c r="AO272" s="117"/>
      <c r="AP272" s="121"/>
      <c r="AQ272" s="47">
        <f t="shared" si="1808"/>
        <v>12</v>
      </c>
      <c r="AR272" s="3">
        <f t="shared" si="1809"/>
        <v>24</v>
      </c>
      <c r="AS272" s="174">
        <f t="shared" si="1810"/>
        <v>36</v>
      </c>
      <c r="AT272" s="114">
        <f t="shared" si="1811"/>
        <v>2304</v>
      </c>
      <c r="AU272" s="117">
        <f>AJ272*AK272*FFslave+AJ272*INslave*AM272+KLslave*AK272*AM272</f>
        <v>3456</v>
      </c>
      <c r="AV272" s="119">
        <f t="shared" si="1812"/>
        <v>1728</v>
      </c>
      <c r="AW272" s="119">
        <f t="shared" si="1813"/>
        <v>7488</v>
      </c>
      <c r="AX272" s="89">
        <f t="shared" si="1814"/>
        <v>3.6923076923076925</v>
      </c>
      <c r="AY272" s="47">
        <f t="shared" si="1815"/>
        <v>11.076923076923077</v>
      </c>
      <c r="AZ272" s="127">
        <f t="shared" si="1816"/>
        <v>8.3076923076923084</v>
      </c>
      <c r="BA272" s="127">
        <f t="shared" si="1817"/>
        <v>23.07692307692308</v>
      </c>
      <c r="BB272" s="165">
        <f t="shared" si="1818"/>
        <v>0</v>
      </c>
      <c r="BC272" s="198">
        <f t="shared" si="1819"/>
        <v>23.07692307692308</v>
      </c>
      <c r="BD272" s="125">
        <f t="shared" si="1947"/>
        <v>175.5384615384616</v>
      </c>
      <c r="BE272" s="160">
        <f t="shared" si="1947"/>
        <v>2</v>
      </c>
      <c r="BF272" s="243">
        <f t="shared" si="1821"/>
        <v>173.5384615384616</v>
      </c>
      <c r="BG272" s="218">
        <f t="shared" si="1822"/>
        <v>0</v>
      </c>
      <c r="BI272" s="303" t="s">
        <v>299</v>
      </c>
      <c r="BJ272" s="304" t="s">
        <v>170</v>
      </c>
      <c r="BK272" s="305" t="s">
        <v>132</v>
      </c>
      <c r="BL272" s="317"/>
      <c r="BM272" s="254">
        <f>Konvention_1slave-KLslave_KL</f>
        <v>11</v>
      </c>
      <c r="BN272" s="254">
        <f t="shared" si="1930"/>
        <v>12</v>
      </c>
      <c r="BO272" s="254"/>
      <c r="BP272" s="254">
        <f>Konvention_1slave-FFslave</f>
        <v>12</v>
      </c>
      <c r="BQ272" s="254"/>
      <c r="BR272" s="254"/>
      <c r="BS272" s="318"/>
      <c r="BT272" s="223">
        <f t="shared" si="1823"/>
        <v>11.666666666666666</v>
      </c>
      <c r="BU272" s="223">
        <f t="shared" si="1824"/>
        <v>23.333333333333332</v>
      </c>
      <c r="BV272" s="224">
        <f t="shared" si="1825"/>
        <v>35</v>
      </c>
      <c r="BW272" s="237">
        <f t="shared" si="1826"/>
        <v>2432</v>
      </c>
      <c r="BX272" s="254">
        <f>BM272*BN272*FFslave+BM272*INslave*BP272+KLslave_KL*BN272*BP272</f>
        <v>3408</v>
      </c>
      <c r="BY272" s="224">
        <f t="shared" si="1827"/>
        <v>1584</v>
      </c>
      <c r="BZ272" s="224">
        <f t="shared" si="1828"/>
        <v>7424</v>
      </c>
      <c r="CA272" s="222">
        <f t="shared" si="1829"/>
        <v>3.8218390804597702</v>
      </c>
      <c r="CB272" s="223">
        <f t="shared" si="1830"/>
        <v>10.711206896551724</v>
      </c>
      <c r="CC272" s="243">
        <f t="shared" si="1831"/>
        <v>7.4676724137931032</v>
      </c>
      <c r="CD272" s="243">
        <f t="shared" si="1832"/>
        <v>22.000718390804597</v>
      </c>
      <c r="CE272" s="252">
        <f t="shared" si="1833"/>
        <v>0</v>
      </c>
      <c r="CF272" s="309">
        <f t="shared" si="1834"/>
        <v>22.000718390804597</v>
      </c>
      <c r="CG272" s="218">
        <f t="shared" si="1948"/>
        <v>154.01436781609189</v>
      </c>
      <c r="CH272" s="242">
        <f t="shared" si="1948"/>
        <v>2</v>
      </c>
      <c r="CI272" s="243">
        <f t="shared" si="1836"/>
        <v>152.01436781609189</v>
      </c>
      <c r="CJ272" s="218">
        <f t="shared" si="1837"/>
        <v>0</v>
      </c>
      <c r="CL272" s="303" t="s">
        <v>299</v>
      </c>
      <c r="CM272" s="304" t="s">
        <v>170</v>
      </c>
      <c r="CN272" s="305" t="s">
        <v>132</v>
      </c>
      <c r="CO272" s="317"/>
      <c r="CP272" s="254">
        <f>Konvention_1slave-KLslave</f>
        <v>12</v>
      </c>
      <c r="CQ272" s="254">
        <f t="shared" si="1931"/>
        <v>11</v>
      </c>
      <c r="CR272" s="254"/>
      <c r="CS272" s="254">
        <f>Konvention_1slave-FFslave</f>
        <v>12</v>
      </c>
      <c r="CT272" s="254"/>
      <c r="CU272" s="254"/>
      <c r="CV272" s="318"/>
      <c r="CW272" s="223">
        <f t="shared" si="1838"/>
        <v>11.666666666666666</v>
      </c>
      <c r="CX272" s="223">
        <f t="shared" si="1839"/>
        <v>23.333333333333332</v>
      </c>
      <c r="CY272" s="224">
        <f t="shared" si="1840"/>
        <v>35</v>
      </c>
      <c r="CZ272" s="237">
        <f t="shared" si="1841"/>
        <v>2432</v>
      </c>
      <c r="DA272" s="254">
        <f>CP272*CQ272*FFslave+CP272*INslave_IN*CS272+KLslave*CQ272*CS272</f>
        <v>3408</v>
      </c>
      <c r="DB272" s="224">
        <f t="shared" si="1842"/>
        <v>1584</v>
      </c>
      <c r="DC272" s="224">
        <f t="shared" si="1843"/>
        <v>7424</v>
      </c>
      <c r="DD272" s="222">
        <f t="shared" si="1844"/>
        <v>3.8218390804597702</v>
      </c>
      <c r="DE272" s="223">
        <f t="shared" si="1845"/>
        <v>10.711206896551724</v>
      </c>
      <c r="DF272" s="243">
        <f t="shared" si="1846"/>
        <v>7.4676724137931032</v>
      </c>
      <c r="DG272" s="243">
        <f t="shared" si="1847"/>
        <v>22.000718390804597</v>
      </c>
      <c r="DH272" s="252">
        <f t="shared" si="1848"/>
        <v>0</v>
      </c>
      <c r="DI272" s="309">
        <f t="shared" si="1849"/>
        <v>22.000718390804597</v>
      </c>
      <c r="DJ272" s="218">
        <f t="shared" si="1949"/>
        <v>154.01436781609189</v>
      </c>
      <c r="DK272" s="242">
        <f t="shared" si="1949"/>
        <v>2</v>
      </c>
      <c r="DL272" s="243">
        <f t="shared" si="1851"/>
        <v>152.01436781609189</v>
      </c>
      <c r="DM272" s="218">
        <f t="shared" si="1852"/>
        <v>0</v>
      </c>
      <c r="DO272" s="303" t="s">
        <v>299</v>
      </c>
      <c r="DP272" s="304" t="s">
        <v>170</v>
      </c>
      <c r="DQ272" s="305" t="s">
        <v>132</v>
      </c>
      <c r="DR272" s="317"/>
      <c r="DS272" s="254">
        <f>Konvention_1slave-KLslave</f>
        <v>12</v>
      </c>
      <c r="DT272" s="254">
        <f t="shared" si="1932"/>
        <v>12</v>
      </c>
      <c r="DU272" s="254"/>
      <c r="DV272" s="254">
        <f>Konvention_1slave-FFslave</f>
        <v>12</v>
      </c>
      <c r="DW272" s="254"/>
      <c r="DX272" s="254"/>
      <c r="DY272" s="318"/>
      <c r="DZ272" s="223">
        <f t="shared" si="1853"/>
        <v>12</v>
      </c>
      <c r="EA272" s="223">
        <f t="shared" si="1854"/>
        <v>24</v>
      </c>
      <c r="EB272" s="224">
        <f t="shared" si="1855"/>
        <v>36</v>
      </c>
      <c r="EC272" s="237">
        <f t="shared" si="1856"/>
        <v>2304</v>
      </c>
      <c r="ED272" s="254">
        <f>DS272*DT272*FFslave+DS272*INslave*DV272+KLslave*DT272*DV272</f>
        <v>3456</v>
      </c>
      <c r="EE272" s="224">
        <f t="shared" si="1857"/>
        <v>1728</v>
      </c>
      <c r="EF272" s="224">
        <f t="shared" si="1858"/>
        <v>7488</v>
      </c>
      <c r="EG272" s="222">
        <f t="shared" si="1859"/>
        <v>3.6923076923076925</v>
      </c>
      <c r="EH272" s="223">
        <f t="shared" si="1860"/>
        <v>11.076923076923077</v>
      </c>
      <c r="EI272" s="243">
        <f t="shared" si="1861"/>
        <v>8.3076923076923084</v>
      </c>
      <c r="EJ272" s="243">
        <f t="shared" si="1862"/>
        <v>23.07692307692308</v>
      </c>
      <c r="EK272" s="252">
        <f t="shared" si="1863"/>
        <v>0</v>
      </c>
      <c r="EL272" s="309">
        <f t="shared" si="1864"/>
        <v>23.07692307692308</v>
      </c>
      <c r="EM272" s="218">
        <f t="shared" si="1950"/>
        <v>175.5384615384616</v>
      </c>
      <c r="EN272" s="242">
        <f t="shared" si="1950"/>
        <v>2</v>
      </c>
      <c r="EO272" s="243">
        <f t="shared" si="1866"/>
        <v>173.5384615384616</v>
      </c>
      <c r="EP272" s="218">
        <f t="shared" si="1867"/>
        <v>0</v>
      </c>
      <c r="ER272" s="303" t="s">
        <v>299</v>
      </c>
      <c r="ES272" s="304" t="s">
        <v>170</v>
      </c>
      <c r="ET272" s="305" t="s">
        <v>132</v>
      </c>
      <c r="EU272" s="317"/>
      <c r="EV272" s="254">
        <f>Konvention_1slave-KLslave</f>
        <v>12</v>
      </c>
      <c r="EW272" s="254">
        <f t="shared" si="1933"/>
        <v>12</v>
      </c>
      <c r="EX272" s="254"/>
      <c r="EY272" s="254">
        <f>Konvention_1slave-FFslave_FF</f>
        <v>11</v>
      </c>
      <c r="EZ272" s="254"/>
      <c r="FA272" s="254"/>
      <c r="FB272" s="318"/>
      <c r="FC272" s="223">
        <f t="shared" si="1868"/>
        <v>11.666666666666666</v>
      </c>
      <c r="FD272" s="223">
        <f t="shared" si="1869"/>
        <v>23.333333333333332</v>
      </c>
      <c r="FE272" s="224">
        <f t="shared" si="1870"/>
        <v>35</v>
      </c>
      <c r="FF272" s="237">
        <f t="shared" si="1871"/>
        <v>2432</v>
      </c>
      <c r="FG272" s="254">
        <f>EV272*EW272*FFslave_FF+EV272*INslave*EY272+KLslave*EW272*EY272</f>
        <v>3408</v>
      </c>
      <c r="FH272" s="224">
        <f t="shared" si="1872"/>
        <v>1584</v>
      </c>
      <c r="FI272" s="224">
        <f t="shared" si="1873"/>
        <v>7424</v>
      </c>
      <c r="FJ272" s="222">
        <f t="shared" si="1874"/>
        <v>3.8218390804597702</v>
      </c>
      <c r="FK272" s="223">
        <f t="shared" si="1875"/>
        <v>10.711206896551724</v>
      </c>
      <c r="FL272" s="243">
        <f t="shared" si="1876"/>
        <v>7.4676724137931032</v>
      </c>
      <c r="FM272" s="243">
        <f t="shared" si="1877"/>
        <v>22.000718390804597</v>
      </c>
      <c r="FN272" s="252">
        <f t="shared" si="1878"/>
        <v>0</v>
      </c>
      <c r="FO272" s="309">
        <f t="shared" si="1879"/>
        <v>22.000718390804597</v>
      </c>
      <c r="FP272" s="218">
        <f t="shared" si="1951"/>
        <v>154.01436781609189</v>
      </c>
      <c r="FQ272" s="242">
        <f t="shared" si="1951"/>
        <v>2</v>
      </c>
      <c r="FR272" s="243">
        <f t="shared" si="1881"/>
        <v>152.01436781609189</v>
      </c>
      <c r="FS272" s="218">
        <f t="shared" si="1882"/>
        <v>0</v>
      </c>
      <c r="FU272" s="303" t="s">
        <v>299</v>
      </c>
      <c r="FV272" s="304" t="s">
        <v>170</v>
      </c>
      <c r="FW272" s="305" t="s">
        <v>132</v>
      </c>
      <c r="FX272" s="317"/>
      <c r="FY272" s="254">
        <f>Konvention_1slave-KLslave</f>
        <v>12</v>
      </c>
      <c r="FZ272" s="254">
        <f t="shared" si="1934"/>
        <v>12</v>
      </c>
      <c r="GA272" s="254"/>
      <c r="GB272" s="254">
        <f>Konvention_1slave-FFslave</f>
        <v>12</v>
      </c>
      <c r="GC272" s="254"/>
      <c r="GD272" s="254"/>
      <c r="GE272" s="318"/>
      <c r="GF272" s="223">
        <f t="shared" si="1883"/>
        <v>12</v>
      </c>
      <c r="GG272" s="223">
        <f t="shared" si="1884"/>
        <v>24</v>
      </c>
      <c r="GH272" s="224">
        <f t="shared" si="1885"/>
        <v>36</v>
      </c>
      <c r="GI272" s="237">
        <f t="shared" si="1886"/>
        <v>2304</v>
      </c>
      <c r="GJ272" s="254">
        <f>FY272*FZ272*FFslave+FY272*INslave*GB272+KLslave*FZ272*GB272</f>
        <v>3456</v>
      </c>
      <c r="GK272" s="224">
        <f t="shared" si="1887"/>
        <v>1728</v>
      </c>
      <c r="GL272" s="224">
        <f t="shared" si="1888"/>
        <v>7488</v>
      </c>
      <c r="GM272" s="222">
        <f t="shared" si="1889"/>
        <v>3.6923076923076925</v>
      </c>
      <c r="GN272" s="223">
        <f t="shared" si="1890"/>
        <v>11.076923076923077</v>
      </c>
      <c r="GO272" s="243">
        <f t="shared" si="1891"/>
        <v>8.3076923076923084</v>
      </c>
      <c r="GP272" s="243">
        <f t="shared" si="1892"/>
        <v>23.07692307692308</v>
      </c>
      <c r="GQ272" s="252">
        <f t="shared" si="1893"/>
        <v>0</v>
      </c>
      <c r="GR272" s="309">
        <f t="shared" si="1894"/>
        <v>23.07692307692308</v>
      </c>
      <c r="GS272" s="218">
        <f t="shared" si="1952"/>
        <v>175.5384615384616</v>
      </c>
      <c r="GT272" s="242">
        <f t="shared" si="1952"/>
        <v>2</v>
      </c>
      <c r="GU272" s="243">
        <f t="shared" si="1896"/>
        <v>173.5384615384616</v>
      </c>
      <c r="GV272" s="218">
        <f t="shared" si="1897"/>
        <v>0</v>
      </c>
      <c r="GX272" s="303" t="s">
        <v>299</v>
      </c>
      <c r="GY272" s="304" t="s">
        <v>170</v>
      </c>
      <c r="GZ272" s="305" t="s">
        <v>132</v>
      </c>
      <c r="HA272" s="317"/>
      <c r="HB272" s="254">
        <f>Konvention_1slave-KLslave</f>
        <v>12</v>
      </c>
      <c r="HC272" s="254">
        <f t="shared" si="1935"/>
        <v>12</v>
      </c>
      <c r="HD272" s="254"/>
      <c r="HE272" s="254">
        <f>Konvention_1slave-FFslave</f>
        <v>12</v>
      </c>
      <c r="HF272" s="254"/>
      <c r="HG272" s="254"/>
      <c r="HH272" s="318"/>
      <c r="HI272" s="223">
        <f t="shared" si="1898"/>
        <v>12</v>
      </c>
      <c r="HJ272" s="223">
        <f t="shared" si="1899"/>
        <v>24</v>
      </c>
      <c r="HK272" s="224">
        <f t="shared" si="1900"/>
        <v>36</v>
      </c>
      <c r="HL272" s="237">
        <f t="shared" si="1901"/>
        <v>2304</v>
      </c>
      <c r="HM272" s="254">
        <f>HB272*HC272*FFslave+HB272*INslave*HE272+KLslave*HC272*HE272</f>
        <v>3456</v>
      </c>
      <c r="HN272" s="224">
        <f t="shared" si="1902"/>
        <v>1728</v>
      </c>
      <c r="HO272" s="224">
        <f t="shared" si="1903"/>
        <v>7488</v>
      </c>
      <c r="HP272" s="222">
        <f t="shared" si="1904"/>
        <v>3.6923076923076925</v>
      </c>
      <c r="HQ272" s="223">
        <f t="shared" si="1905"/>
        <v>11.076923076923077</v>
      </c>
      <c r="HR272" s="243">
        <f t="shared" si="1906"/>
        <v>8.3076923076923084</v>
      </c>
      <c r="HS272" s="243">
        <f t="shared" si="1907"/>
        <v>23.07692307692308</v>
      </c>
      <c r="HT272" s="252">
        <f t="shared" si="1908"/>
        <v>0</v>
      </c>
      <c r="HU272" s="309">
        <f t="shared" si="1909"/>
        <v>23.07692307692308</v>
      </c>
      <c r="HV272" s="218">
        <f t="shared" si="1953"/>
        <v>175.5384615384616</v>
      </c>
      <c r="HW272" s="242">
        <f t="shared" si="1953"/>
        <v>2</v>
      </c>
      <c r="HX272" s="243">
        <f t="shared" si="1911"/>
        <v>173.5384615384616</v>
      </c>
      <c r="HY272" s="218">
        <f t="shared" si="1912"/>
        <v>0</v>
      </c>
      <c r="IA272" s="303" t="s">
        <v>299</v>
      </c>
      <c r="IB272" s="304" t="s">
        <v>170</v>
      </c>
      <c r="IC272" s="305" t="s">
        <v>132</v>
      </c>
      <c r="ID272" s="317"/>
      <c r="IE272" s="254">
        <f>Konvention_1slave-KLslave</f>
        <v>12</v>
      </c>
      <c r="IF272" s="254">
        <f t="shared" si="1936"/>
        <v>12</v>
      </c>
      <c r="IG272" s="254"/>
      <c r="IH272" s="254">
        <f>Konvention_1slave-FFslave</f>
        <v>12</v>
      </c>
      <c r="II272" s="254"/>
      <c r="IJ272" s="254"/>
      <c r="IK272" s="318"/>
      <c r="IL272" s="223">
        <f t="shared" si="1913"/>
        <v>12</v>
      </c>
      <c r="IM272" s="223">
        <f t="shared" si="1914"/>
        <v>24</v>
      </c>
      <c r="IN272" s="224">
        <f t="shared" si="1915"/>
        <v>36</v>
      </c>
      <c r="IO272" s="237">
        <f t="shared" si="1916"/>
        <v>2304</v>
      </c>
      <c r="IP272" s="254">
        <f>IE272*IF272*FFslave+IE272*INslave*IH272+KLslave*IF272*IH272</f>
        <v>3456</v>
      </c>
      <c r="IQ272" s="224">
        <f t="shared" si="1917"/>
        <v>1728</v>
      </c>
      <c r="IR272" s="224">
        <f t="shared" si="1918"/>
        <v>7488</v>
      </c>
      <c r="IS272" s="222">
        <f t="shared" si="1919"/>
        <v>3.6923076923076925</v>
      </c>
      <c r="IT272" s="223">
        <f t="shared" si="1920"/>
        <v>11.076923076923077</v>
      </c>
      <c r="IU272" s="243">
        <f t="shared" si="1921"/>
        <v>8.3076923076923084</v>
      </c>
      <c r="IV272" s="243">
        <f t="shared" si="1922"/>
        <v>23.07692307692308</v>
      </c>
      <c r="IW272" s="252">
        <f t="shared" si="1923"/>
        <v>0</v>
      </c>
      <c r="IX272" s="309">
        <f t="shared" si="1924"/>
        <v>23.07692307692308</v>
      </c>
      <c r="IY272" s="218">
        <f t="shared" si="1954"/>
        <v>175.5384615384616</v>
      </c>
      <c r="IZ272" s="242">
        <f t="shared" si="1954"/>
        <v>2</v>
      </c>
      <c r="JA272" s="243">
        <f t="shared" si="1926"/>
        <v>173.5384615384616</v>
      </c>
      <c r="JB272" s="218">
        <f t="shared" si="1927"/>
        <v>0</v>
      </c>
      <c r="JE272" s="148"/>
    </row>
    <row r="273" spans="2:265" hidden="1" outlineLevel="2">
      <c r="B273" s="148">
        <v>13</v>
      </c>
      <c r="C273" s="303" t="e">
        <f>VLOOKUP(AF273,Attribute!C:T,1,FALSE)</f>
        <v>#N/A</v>
      </c>
      <c r="D273" s="86" t="s">
        <v>87</v>
      </c>
      <c r="E273" s="167" t="s">
        <v>132</v>
      </c>
      <c r="F273" s="120"/>
      <c r="G273" s="117">
        <f>Konvention_1master-KLmaster</f>
        <v>12</v>
      </c>
      <c r="H273" s="117">
        <f t="shared" si="1928"/>
        <v>12</v>
      </c>
      <c r="I273" s="117">
        <f>Konvention_1master-CHmaster</f>
        <v>12</v>
      </c>
      <c r="J273" s="117"/>
      <c r="K273" s="117"/>
      <c r="L273" s="117"/>
      <c r="M273" s="121"/>
      <c r="N273" s="223">
        <f t="shared" si="1794"/>
        <v>12</v>
      </c>
      <c r="O273" s="223">
        <f t="shared" si="1795"/>
        <v>24</v>
      </c>
      <c r="P273" s="224">
        <f t="shared" si="1796"/>
        <v>36</v>
      </c>
      <c r="Q273" s="237">
        <f t="shared" si="1797"/>
        <v>2304</v>
      </c>
      <c r="R273" s="117">
        <f>G273*H273*CHmaster+G273*INmaster*I273+KLmaster*H273*I273</f>
        <v>3456</v>
      </c>
      <c r="S273" s="224">
        <f t="shared" si="1798"/>
        <v>1728</v>
      </c>
      <c r="T273" s="224">
        <f t="shared" si="1799"/>
        <v>7488</v>
      </c>
      <c r="U273" s="222">
        <f t="shared" si="1800"/>
        <v>3.6923076923076925</v>
      </c>
      <c r="V273" s="223">
        <f t="shared" si="1801"/>
        <v>11.076923076923077</v>
      </c>
      <c r="W273" s="243">
        <f t="shared" si="1802"/>
        <v>8.3076923076923084</v>
      </c>
      <c r="X273" s="243">
        <f t="shared" si="1803"/>
        <v>23.07692307692308</v>
      </c>
      <c r="Y273" s="252">
        <v>0</v>
      </c>
      <c r="Z273" s="198">
        <f t="shared" si="1804"/>
        <v>23.07692307692308</v>
      </c>
      <c r="AA273" s="125">
        <f t="shared" si="1946"/>
        <v>175.5384615384616</v>
      </c>
      <c r="AB273" s="160">
        <f t="shared" si="1946"/>
        <v>2</v>
      </c>
      <c r="AC273" s="127">
        <f t="shared" si="1806"/>
        <v>173.5384615384616</v>
      </c>
      <c r="AD273" s="125">
        <f t="shared" si="1807"/>
        <v>0</v>
      </c>
      <c r="AF273" s="163" t="s">
        <v>285</v>
      </c>
      <c r="AG273" s="86" t="s">
        <v>87</v>
      </c>
      <c r="AH273" s="167" t="s">
        <v>132</v>
      </c>
      <c r="AI273" s="120"/>
      <c r="AJ273" s="117">
        <f>Konvention_1slave-KLslave</f>
        <v>12</v>
      </c>
      <c r="AK273" s="117">
        <f t="shared" ref="AK273:AK280" si="1955">Konvention_1slave-INslave</f>
        <v>12</v>
      </c>
      <c r="AL273" s="117">
        <f>Konvention_1slave-CHslave</f>
        <v>12</v>
      </c>
      <c r="AM273" s="117"/>
      <c r="AN273" s="117"/>
      <c r="AO273" s="117"/>
      <c r="AP273" s="121"/>
      <c r="AQ273" s="47">
        <f t="shared" si="1808"/>
        <v>12</v>
      </c>
      <c r="AR273" s="3">
        <f t="shared" si="1809"/>
        <v>24</v>
      </c>
      <c r="AS273" s="174">
        <f t="shared" si="1810"/>
        <v>36</v>
      </c>
      <c r="AT273" s="114">
        <f t="shared" si="1811"/>
        <v>2304</v>
      </c>
      <c r="AU273" s="117">
        <f>AJ273*AK273*CHslave+AJ273*INslave*AL273+KLslave*AK273*AL273</f>
        <v>3456</v>
      </c>
      <c r="AV273" s="119">
        <f t="shared" si="1812"/>
        <v>1728</v>
      </c>
      <c r="AW273" s="119">
        <f t="shared" si="1813"/>
        <v>7488</v>
      </c>
      <c r="AX273" s="89">
        <f t="shared" si="1814"/>
        <v>3.6923076923076925</v>
      </c>
      <c r="AY273" s="47">
        <f t="shared" si="1815"/>
        <v>11.076923076923077</v>
      </c>
      <c r="AZ273" s="127">
        <f t="shared" si="1816"/>
        <v>8.3076923076923084</v>
      </c>
      <c r="BA273" s="127">
        <f t="shared" si="1817"/>
        <v>23.07692307692308</v>
      </c>
      <c r="BB273" s="165">
        <f t="shared" si="1818"/>
        <v>0</v>
      </c>
      <c r="BC273" s="198">
        <f t="shared" si="1819"/>
        <v>23.07692307692308</v>
      </c>
      <c r="BD273" s="125">
        <f t="shared" si="1947"/>
        <v>175.5384615384616</v>
      </c>
      <c r="BE273" s="160">
        <f t="shared" si="1947"/>
        <v>2</v>
      </c>
      <c r="BF273" s="243">
        <f t="shared" si="1821"/>
        <v>173.5384615384616</v>
      </c>
      <c r="BG273" s="218">
        <f t="shared" si="1822"/>
        <v>0</v>
      </c>
      <c r="BI273" s="303" t="s">
        <v>285</v>
      </c>
      <c r="BJ273" s="304" t="s">
        <v>87</v>
      </c>
      <c r="BK273" s="305" t="s">
        <v>132</v>
      </c>
      <c r="BL273" s="317"/>
      <c r="BM273" s="254">
        <f>Konvention_1slave-KLslave_KL</f>
        <v>11</v>
      </c>
      <c r="BN273" s="254">
        <f t="shared" si="1930"/>
        <v>12</v>
      </c>
      <c r="BO273" s="254">
        <f>Konvention_1slave-CHslave</f>
        <v>12</v>
      </c>
      <c r="BP273" s="254"/>
      <c r="BQ273" s="254"/>
      <c r="BR273" s="254"/>
      <c r="BS273" s="318"/>
      <c r="BT273" s="223">
        <f t="shared" si="1823"/>
        <v>11.666666666666666</v>
      </c>
      <c r="BU273" s="223">
        <f t="shared" si="1824"/>
        <v>23.333333333333332</v>
      </c>
      <c r="BV273" s="224">
        <f t="shared" si="1825"/>
        <v>35</v>
      </c>
      <c r="BW273" s="237">
        <f t="shared" si="1826"/>
        <v>2432</v>
      </c>
      <c r="BX273" s="254">
        <f>BM273*BN273*CHslave+BM273*INslave*BO273+KLslave_KL*BN273*BO273</f>
        <v>3408</v>
      </c>
      <c r="BY273" s="224">
        <f t="shared" si="1827"/>
        <v>1584</v>
      </c>
      <c r="BZ273" s="224">
        <f t="shared" si="1828"/>
        <v>7424</v>
      </c>
      <c r="CA273" s="222">
        <f t="shared" si="1829"/>
        <v>3.8218390804597702</v>
      </c>
      <c r="CB273" s="223">
        <f t="shared" si="1830"/>
        <v>10.711206896551724</v>
      </c>
      <c r="CC273" s="243">
        <f t="shared" si="1831"/>
        <v>7.4676724137931032</v>
      </c>
      <c r="CD273" s="243">
        <f t="shared" si="1832"/>
        <v>22.000718390804597</v>
      </c>
      <c r="CE273" s="252">
        <f t="shared" si="1833"/>
        <v>0</v>
      </c>
      <c r="CF273" s="309">
        <f t="shared" si="1834"/>
        <v>22.000718390804597</v>
      </c>
      <c r="CG273" s="218">
        <f t="shared" si="1948"/>
        <v>154.01436781609189</v>
      </c>
      <c r="CH273" s="242">
        <f t="shared" si="1948"/>
        <v>2</v>
      </c>
      <c r="CI273" s="243">
        <f t="shared" si="1836"/>
        <v>152.01436781609189</v>
      </c>
      <c r="CJ273" s="218">
        <f t="shared" si="1837"/>
        <v>0</v>
      </c>
      <c r="CL273" s="303" t="s">
        <v>285</v>
      </c>
      <c r="CM273" s="304" t="s">
        <v>87</v>
      </c>
      <c r="CN273" s="305" t="s">
        <v>132</v>
      </c>
      <c r="CO273" s="317"/>
      <c r="CP273" s="254">
        <f>Konvention_1slave-KLslave</f>
        <v>12</v>
      </c>
      <c r="CQ273" s="254">
        <f t="shared" si="1931"/>
        <v>11</v>
      </c>
      <c r="CR273" s="254">
        <f>Konvention_1slave-CHslave</f>
        <v>12</v>
      </c>
      <c r="CS273" s="254"/>
      <c r="CT273" s="254"/>
      <c r="CU273" s="254"/>
      <c r="CV273" s="318"/>
      <c r="CW273" s="223">
        <f t="shared" si="1838"/>
        <v>11.666666666666666</v>
      </c>
      <c r="CX273" s="223">
        <f t="shared" si="1839"/>
        <v>23.333333333333332</v>
      </c>
      <c r="CY273" s="224">
        <f t="shared" si="1840"/>
        <v>35</v>
      </c>
      <c r="CZ273" s="237">
        <f t="shared" si="1841"/>
        <v>2432</v>
      </c>
      <c r="DA273" s="254">
        <f>CP273*CQ273*CHslave+CP273*INslave_IN*CR273+KLslave*CQ273*CR273</f>
        <v>3408</v>
      </c>
      <c r="DB273" s="224">
        <f t="shared" si="1842"/>
        <v>1584</v>
      </c>
      <c r="DC273" s="224">
        <f t="shared" si="1843"/>
        <v>7424</v>
      </c>
      <c r="DD273" s="222">
        <f t="shared" si="1844"/>
        <v>3.8218390804597702</v>
      </c>
      <c r="DE273" s="223">
        <f t="shared" si="1845"/>
        <v>10.711206896551724</v>
      </c>
      <c r="DF273" s="243">
        <f t="shared" si="1846"/>
        <v>7.4676724137931032</v>
      </c>
      <c r="DG273" s="243">
        <f t="shared" si="1847"/>
        <v>22.000718390804597</v>
      </c>
      <c r="DH273" s="252">
        <f t="shared" si="1848"/>
        <v>0</v>
      </c>
      <c r="DI273" s="309">
        <f t="shared" si="1849"/>
        <v>22.000718390804597</v>
      </c>
      <c r="DJ273" s="218">
        <f t="shared" si="1949"/>
        <v>154.01436781609189</v>
      </c>
      <c r="DK273" s="242">
        <f t="shared" si="1949"/>
        <v>2</v>
      </c>
      <c r="DL273" s="243">
        <f t="shared" si="1851"/>
        <v>152.01436781609189</v>
      </c>
      <c r="DM273" s="218">
        <f t="shared" si="1852"/>
        <v>0</v>
      </c>
      <c r="DO273" s="303" t="s">
        <v>285</v>
      </c>
      <c r="DP273" s="304" t="s">
        <v>87</v>
      </c>
      <c r="DQ273" s="305" t="s">
        <v>132</v>
      </c>
      <c r="DR273" s="317"/>
      <c r="DS273" s="254">
        <f>Konvention_1slave-KLslave</f>
        <v>12</v>
      </c>
      <c r="DT273" s="254">
        <f t="shared" si="1932"/>
        <v>12</v>
      </c>
      <c r="DU273" s="254">
        <f>Konvention_1slave-CHslave_CH</f>
        <v>11</v>
      </c>
      <c r="DV273" s="254"/>
      <c r="DW273" s="254"/>
      <c r="DX273" s="254"/>
      <c r="DY273" s="318"/>
      <c r="DZ273" s="223">
        <f t="shared" si="1853"/>
        <v>11.666666666666666</v>
      </c>
      <c r="EA273" s="223">
        <f t="shared" si="1854"/>
        <v>23.333333333333332</v>
      </c>
      <c r="EB273" s="224">
        <f t="shared" si="1855"/>
        <v>35</v>
      </c>
      <c r="EC273" s="237">
        <f t="shared" si="1856"/>
        <v>2432</v>
      </c>
      <c r="ED273" s="254">
        <f>DS273*DT273*CHslave_CH+DS273*INslave*DU273+KLslave*DT273*DU273</f>
        <v>3408</v>
      </c>
      <c r="EE273" s="224">
        <f t="shared" si="1857"/>
        <v>1584</v>
      </c>
      <c r="EF273" s="224">
        <f t="shared" si="1858"/>
        <v>7424</v>
      </c>
      <c r="EG273" s="222">
        <f t="shared" si="1859"/>
        <v>3.8218390804597702</v>
      </c>
      <c r="EH273" s="223">
        <f t="shared" si="1860"/>
        <v>10.711206896551724</v>
      </c>
      <c r="EI273" s="243">
        <f t="shared" si="1861"/>
        <v>7.4676724137931032</v>
      </c>
      <c r="EJ273" s="243">
        <f t="shared" si="1862"/>
        <v>22.000718390804597</v>
      </c>
      <c r="EK273" s="252">
        <f t="shared" si="1863"/>
        <v>0</v>
      </c>
      <c r="EL273" s="309">
        <f t="shared" si="1864"/>
        <v>22.000718390804597</v>
      </c>
      <c r="EM273" s="218">
        <f t="shared" si="1950"/>
        <v>154.01436781609189</v>
      </c>
      <c r="EN273" s="242">
        <f t="shared" si="1950"/>
        <v>2</v>
      </c>
      <c r="EO273" s="243">
        <f t="shared" si="1866"/>
        <v>152.01436781609189</v>
      </c>
      <c r="EP273" s="218">
        <f t="shared" si="1867"/>
        <v>0</v>
      </c>
      <c r="ER273" s="303" t="s">
        <v>285</v>
      </c>
      <c r="ES273" s="304" t="s">
        <v>87</v>
      </c>
      <c r="ET273" s="305" t="s">
        <v>132</v>
      </c>
      <c r="EU273" s="317"/>
      <c r="EV273" s="254">
        <f>Konvention_1slave-KLslave</f>
        <v>12</v>
      </c>
      <c r="EW273" s="254">
        <f t="shared" si="1933"/>
        <v>12</v>
      </c>
      <c r="EX273" s="254">
        <f>Konvention_1slave-CHslave</f>
        <v>12</v>
      </c>
      <c r="EY273" s="254"/>
      <c r="EZ273" s="254"/>
      <c r="FA273" s="254"/>
      <c r="FB273" s="318"/>
      <c r="FC273" s="223">
        <f t="shared" si="1868"/>
        <v>12</v>
      </c>
      <c r="FD273" s="223">
        <f t="shared" si="1869"/>
        <v>24</v>
      </c>
      <c r="FE273" s="224">
        <f t="shared" si="1870"/>
        <v>36</v>
      </c>
      <c r="FF273" s="237">
        <f t="shared" si="1871"/>
        <v>2304</v>
      </c>
      <c r="FG273" s="254">
        <f>EV273*EW273*CHslave+EV273*INslave*EX273+KLslave*EW273*EX273</f>
        <v>3456</v>
      </c>
      <c r="FH273" s="224">
        <f t="shared" si="1872"/>
        <v>1728</v>
      </c>
      <c r="FI273" s="224">
        <f t="shared" si="1873"/>
        <v>7488</v>
      </c>
      <c r="FJ273" s="222">
        <f t="shared" si="1874"/>
        <v>3.6923076923076925</v>
      </c>
      <c r="FK273" s="223">
        <f t="shared" si="1875"/>
        <v>11.076923076923077</v>
      </c>
      <c r="FL273" s="243">
        <f t="shared" si="1876"/>
        <v>8.3076923076923084</v>
      </c>
      <c r="FM273" s="243">
        <f t="shared" si="1877"/>
        <v>23.07692307692308</v>
      </c>
      <c r="FN273" s="252">
        <f t="shared" si="1878"/>
        <v>0</v>
      </c>
      <c r="FO273" s="309">
        <f t="shared" si="1879"/>
        <v>23.07692307692308</v>
      </c>
      <c r="FP273" s="218">
        <f t="shared" si="1951"/>
        <v>175.5384615384616</v>
      </c>
      <c r="FQ273" s="242">
        <f t="shared" si="1951"/>
        <v>2</v>
      </c>
      <c r="FR273" s="243">
        <f t="shared" si="1881"/>
        <v>173.5384615384616</v>
      </c>
      <c r="FS273" s="218">
        <f t="shared" si="1882"/>
        <v>0</v>
      </c>
      <c r="FU273" s="303" t="s">
        <v>285</v>
      </c>
      <c r="FV273" s="304" t="s">
        <v>87</v>
      </c>
      <c r="FW273" s="305" t="s">
        <v>132</v>
      </c>
      <c r="FX273" s="317"/>
      <c r="FY273" s="254">
        <f>Konvention_1slave-KLslave</f>
        <v>12</v>
      </c>
      <c r="FZ273" s="254">
        <f t="shared" si="1934"/>
        <v>12</v>
      </c>
      <c r="GA273" s="254">
        <f>Konvention_1slave-CHslave</f>
        <v>12</v>
      </c>
      <c r="GB273" s="254"/>
      <c r="GC273" s="254"/>
      <c r="GD273" s="254"/>
      <c r="GE273" s="318"/>
      <c r="GF273" s="223">
        <f t="shared" si="1883"/>
        <v>12</v>
      </c>
      <c r="GG273" s="223">
        <f t="shared" si="1884"/>
        <v>24</v>
      </c>
      <c r="GH273" s="224">
        <f t="shared" si="1885"/>
        <v>36</v>
      </c>
      <c r="GI273" s="237">
        <f t="shared" si="1886"/>
        <v>2304</v>
      </c>
      <c r="GJ273" s="254">
        <f>FY273*FZ273*CHslave+FY273*INslave*GA273+KLslave*FZ273*GA273</f>
        <v>3456</v>
      </c>
      <c r="GK273" s="224">
        <f t="shared" si="1887"/>
        <v>1728</v>
      </c>
      <c r="GL273" s="224">
        <f t="shared" si="1888"/>
        <v>7488</v>
      </c>
      <c r="GM273" s="222">
        <f t="shared" si="1889"/>
        <v>3.6923076923076925</v>
      </c>
      <c r="GN273" s="223">
        <f t="shared" si="1890"/>
        <v>11.076923076923077</v>
      </c>
      <c r="GO273" s="243">
        <f t="shared" si="1891"/>
        <v>8.3076923076923084</v>
      </c>
      <c r="GP273" s="243">
        <f t="shared" si="1892"/>
        <v>23.07692307692308</v>
      </c>
      <c r="GQ273" s="252">
        <f t="shared" si="1893"/>
        <v>0</v>
      </c>
      <c r="GR273" s="309">
        <f t="shared" si="1894"/>
        <v>23.07692307692308</v>
      </c>
      <c r="GS273" s="218">
        <f t="shared" si="1952"/>
        <v>175.5384615384616</v>
      </c>
      <c r="GT273" s="242">
        <f t="shared" si="1952"/>
        <v>2</v>
      </c>
      <c r="GU273" s="243">
        <f t="shared" si="1896"/>
        <v>173.5384615384616</v>
      </c>
      <c r="GV273" s="218">
        <f t="shared" si="1897"/>
        <v>0</v>
      </c>
      <c r="GX273" s="303" t="s">
        <v>285</v>
      </c>
      <c r="GY273" s="304" t="s">
        <v>87</v>
      </c>
      <c r="GZ273" s="305" t="s">
        <v>132</v>
      </c>
      <c r="HA273" s="317"/>
      <c r="HB273" s="254">
        <f>Konvention_1slave-KLslave</f>
        <v>12</v>
      </c>
      <c r="HC273" s="254">
        <f t="shared" si="1935"/>
        <v>12</v>
      </c>
      <c r="HD273" s="254">
        <f>Konvention_1slave-CHslave</f>
        <v>12</v>
      </c>
      <c r="HE273" s="254"/>
      <c r="HF273" s="254"/>
      <c r="HG273" s="254"/>
      <c r="HH273" s="318"/>
      <c r="HI273" s="223">
        <f t="shared" si="1898"/>
        <v>12</v>
      </c>
      <c r="HJ273" s="223">
        <f t="shared" si="1899"/>
        <v>24</v>
      </c>
      <c r="HK273" s="224">
        <f t="shared" si="1900"/>
        <v>36</v>
      </c>
      <c r="HL273" s="237">
        <f t="shared" si="1901"/>
        <v>2304</v>
      </c>
      <c r="HM273" s="254">
        <f>HB273*HC273*CHslave+HB273*INslave*HD273+KLslave*HC273*HD273</f>
        <v>3456</v>
      </c>
      <c r="HN273" s="224">
        <f t="shared" si="1902"/>
        <v>1728</v>
      </c>
      <c r="HO273" s="224">
        <f t="shared" si="1903"/>
        <v>7488</v>
      </c>
      <c r="HP273" s="222">
        <f t="shared" si="1904"/>
        <v>3.6923076923076925</v>
      </c>
      <c r="HQ273" s="223">
        <f t="shared" si="1905"/>
        <v>11.076923076923077</v>
      </c>
      <c r="HR273" s="243">
        <f t="shared" si="1906"/>
        <v>8.3076923076923084</v>
      </c>
      <c r="HS273" s="243">
        <f t="shared" si="1907"/>
        <v>23.07692307692308</v>
      </c>
      <c r="HT273" s="252">
        <f t="shared" si="1908"/>
        <v>0</v>
      </c>
      <c r="HU273" s="309">
        <f t="shared" si="1909"/>
        <v>23.07692307692308</v>
      </c>
      <c r="HV273" s="218">
        <f t="shared" si="1953"/>
        <v>175.5384615384616</v>
      </c>
      <c r="HW273" s="242">
        <f t="shared" si="1953"/>
        <v>2</v>
      </c>
      <c r="HX273" s="243">
        <f t="shared" si="1911"/>
        <v>173.5384615384616</v>
      </c>
      <c r="HY273" s="218">
        <f t="shared" si="1912"/>
        <v>0</v>
      </c>
      <c r="IA273" s="303" t="s">
        <v>285</v>
      </c>
      <c r="IB273" s="304" t="s">
        <v>87</v>
      </c>
      <c r="IC273" s="305" t="s">
        <v>132</v>
      </c>
      <c r="ID273" s="317"/>
      <c r="IE273" s="254">
        <f>Konvention_1slave-KLslave</f>
        <v>12</v>
      </c>
      <c r="IF273" s="254">
        <f t="shared" si="1936"/>
        <v>12</v>
      </c>
      <c r="IG273" s="254">
        <f>Konvention_1slave-CHslave</f>
        <v>12</v>
      </c>
      <c r="IH273" s="254"/>
      <c r="II273" s="254"/>
      <c r="IJ273" s="254"/>
      <c r="IK273" s="318"/>
      <c r="IL273" s="223">
        <f t="shared" si="1913"/>
        <v>12</v>
      </c>
      <c r="IM273" s="223">
        <f t="shared" si="1914"/>
        <v>24</v>
      </c>
      <c r="IN273" s="224">
        <f t="shared" si="1915"/>
        <v>36</v>
      </c>
      <c r="IO273" s="237">
        <f t="shared" si="1916"/>
        <v>2304</v>
      </c>
      <c r="IP273" s="254">
        <f>IE273*IF273*CHslave+IE273*INslave*IG273+KLslave*IF273*IG273</f>
        <v>3456</v>
      </c>
      <c r="IQ273" s="224">
        <f t="shared" si="1917"/>
        <v>1728</v>
      </c>
      <c r="IR273" s="224">
        <f t="shared" si="1918"/>
        <v>7488</v>
      </c>
      <c r="IS273" s="222">
        <f t="shared" si="1919"/>
        <v>3.6923076923076925</v>
      </c>
      <c r="IT273" s="223">
        <f t="shared" si="1920"/>
        <v>11.076923076923077</v>
      </c>
      <c r="IU273" s="243">
        <f t="shared" si="1921"/>
        <v>8.3076923076923084</v>
      </c>
      <c r="IV273" s="243">
        <f t="shared" si="1922"/>
        <v>23.07692307692308</v>
      </c>
      <c r="IW273" s="252">
        <f t="shared" si="1923"/>
        <v>0</v>
      </c>
      <c r="IX273" s="309">
        <f t="shared" si="1924"/>
        <v>23.07692307692308</v>
      </c>
      <c r="IY273" s="218">
        <f t="shared" si="1954"/>
        <v>175.5384615384616</v>
      </c>
      <c r="IZ273" s="242">
        <f t="shared" si="1954"/>
        <v>2</v>
      </c>
      <c r="JA273" s="243">
        <f t="shared" si="1926"/>
        <v>173.5384615384616</v>
      </c>
      <c r="JB273" s="218">
        <f t="shared" si="1927"/>
        <v>0</v>
      </c>
      <c r="JE273" s="148"/>
    </row>
    <row r="274" spans="2:265" hidden="1" outlineLevel="2">
      <c r="B274" s="148">
        <v>14</v>
      </c>
      <c r="C274" s="303" t="e">
        <f>VLOOKUP(AF274,Attribute!C:T,1,FALSE)</f>
        <v>#N/A</v>
      </c>
      <c r="D274" s="86" t="s">
        <v>87</v>
      </c>
      <c r="E274" s="167" t="s">
        <v>132</v>
      </c>
      <c r="F274" s="120"/>
      <c r="G274" s="117">
        <f>Konvention_1master-KLmaster</f>
        <v>12</v>
      </c>
      <c r="H274" s="117">
        <f t="shared" si="1928"/>
        <v>12</v>
      </c>
      <c r="I274" s="117">
        <f>Konvention_1master-CHmaster</f>
        <v>12</v>
      </c>
      <c r="J274" s="117"/>
      <c r="K274" s="117"/>
      <c r="L274" s="117"/>
      <c r="M274" s="121"/>
      <c r="N274" s="223">
        <f t="shared" si="1794"/>
        <v>12</v>
      </c>
      <c r="O274" s="223">
        <f t="shared" si="1795"/>
        <v>24</v>
      </c>
      <c r="P274" s="224">
        <f t="shared" si="1796"/>
        <v>36</v>
      </c>
      <c r="Q274" s="237">
        <f t="shared" si="1797"/>
        <v>2304</v>
      </c>
      <c r="R274" s="117">
        <f>G274*H274*CHmaster+G274*INmaster*I274+KLmaster*H274*I274</f>
        <v>3456</v>
      </c>
      <c r="S274" s="224">
        <f t="shared" si="1798"/>
        <v>1728</v>
      </c>
      <c r="T274" s="224">
        <f t="shared" si="1799"/>
        <v>7488</v>
      </c>
      <c r="U274" s="222">
        <f t="shared" si="1800"/>
        <v>3.6923076923076925</v>
      </c>
      <c r="V274" s="223">
        <f t="shared" si="1801"/>
        <v>11.076923076923077</v>
      </c>
      <c r="W274" s="243">
        <f t="shared" si="1802"/>
        <v>8.3076923076923084</v>
      </c>
      <c r="X274" s="243">
        <f t="shared" si="1803"/>
        <v>23.07692307692308</v>
      </c>
      <c r="Y274" s="252">
        <v>0</v>
      </c>
      <c r="Z274" s="198">
        <f t="shared" si="1804"/>
        <v>23.07692307692308</v>
      </c>
      <c r="AA274" s="125">
        <f t="shared" si="1946"/>
        <v>175.5384615384616</v>
      </c>
      <c r="AB274" s="160">
        <f t="shared" si="1946"/>
        <v>2</v>
      </c>
      <c r="AC274" s="127">
        <f t="shared" si="1806"/>
        <v>173.5384615384616</v>
      </c>
      <c r="AD274" s="125">
        <f t="shared" si="1807"/>
        <v>0</v>
      </c>
      <c r="AF274" s="163" t="s">
        <v>357</v>
      </c>
      <c r="AG274" s="86" t="s">
        <v>87</v>
      </c>
      <c r="AH274" s="167" t="s">
        <v>132</v>
      </c>
      <c r="AI274" s="120"/>
      <c r="AJ274" s="117">
        <f>Konvention_1slave-KLslave</f>
        <v>12</v>
      </c>
      <c r="AK274" s="117">
        <f t="shared" si="1955"/>
        <v>12</v>
      </c>
      <c r="AL274" s="117">
        <f>Konvention_1slave-CHslave</f>
        <v>12</v>
      </c>
      <c r="AM274" s="117"/>
      <c r="AN274" s="117"/>
      <c r="AO274" s="117"/>
      <c r="AP274" s="121"/>
      <c r="AQ274" s="47">
        <f t="shared" si="1808"/>
        <v>12</v>
      </c>
      <c r="AR274" s="3">
        <f t="shared" si="1809"/>
        <v>24</v>
      </c>
      <c r="AS274" s="174">
        <f t="shared" si="1810"/>
        <v>36</v>
      </c>
      <c r="AT274" s="114">
        <f t="shared" si="1811"/>
        <v>2304</v>
      </c>
      <c r="AU274" s="117">
        <f>AJ274*AK274*CHslave+AJ274*INslave*AL274+KLslave*AK274*AL274</f>
        <v>3456</v>
      </c>
      <c r="AV274" s="119">
        <f t="shared" si="1812"/>
        <v>1728</v>
      </c>
      <c r="AW274" s="119">
        <f t="shared" si="1813"/>
        <v>7488</v>
      </c>
      <c r="AX274" s="89">
        <f t="shared" si="1814"/>
        <v>3.6923076923076925</v>
      </c>
      <c r="AY274" s="47">
        <f t="shared" si="1815"/>
        <v>11.076923076923077</v>
      </c>
      <c r="AZ274" s="127">
        <f t="shared" si="1816"/>
        <v>8.3076923076923084</v>
      </c>
      <c r="BA274" s="127">
        <f t="shared" si="1817"/>
        <v>23.07692307692308</v>
      </c>
      <c r="BB274" s="165">
        <f t="shared" si="1818"/>
        <v>0</v>
      </c>
      <c r="BC274" s="198">
        <f t="shared" si="1819"/>
        <v>23.07692307692308</v>
      </c>
      <c r="BD274" s="125">
        <f t="shared" si="1947"/>
        <v>175.5384615384616</v>
      </c>
      <c r="BE274" s="160">
        <f t="shared" si="1947"/>
        <v>2</v>
      </c>
      <c r="BF274" s="243">
        <f t="shared" si="1821"/>
        <v>173.5384615384616</v>
      </c>
      <c r="BG274" s="218">
        <f t="shared" si="1822"/>
        <v>0</v>
      </c>
      <c r="BI274" s="303" t="s">
        <v>357</v>
      </c>
      <c r="BJ274" s="304" t="s">
        <v>87</v>
      </c>
      <c r="BK274" s="305" t="s">
        <v>132</v>
      </c>
      <c r="BL274" s="317"/>
      <c r="BM274" s="254">
        <f>Konvention_1slave-KLslave_KL</f>
        <v>11</v>
      </c>
      <c r="BN274" s="254">
        <f t="shared" si="1930"/>
        <v>12</v>
      </c>
      <c r="BO274" s="254">
        <f>Konvention_1slave-CHslave</f>
        <v>12</v>
      </c>
      <c r="BP274" s="254"/>
      <c r="BQ274" s="254"/>
      <c r="BR274" s="254"/>
      <c r="BS274" s="318"/>
      <c r="BT274" s="223">
        <f t="shared" si="1823"/>
        <v>11.666666666666666</v>
      </c>
      <c r="BU274" s="223">
        <f t="shared" si="1824"/>
        <v>23.333333333333332</v>
      </c>
      <c r="BV274" s="224">
        <f t="shared" si="1825"/>
        <v>35</v>
      </c>
      <c r="BW274" s="237">
        <f t="shared" si="1826"/>
        <v>2432</v>
      </c>
      <c r="BX274" s="254">
        <f>BM274*BN274*CHslave+BM274*INslave*BO274+KLslave_KL*BN274*BO274</f>
        <v>3408</v>
      </c>
      <c r="BY274" s="224">
        <f t="shared" si="1827"/>
        <v>1584</v>
      </c>
      <c r="BZ274" s="224">
        <f t="shared" si="1828"/>
        <v>7424</v>
      </c>
      <c r="CA274" s="222">
        <f t="shared" si="1829"/>
        <v>3.8218390804597702</v>
      </c>
      <c r="CB274" s="223">
        <f t="shared" si="1830"/>
        <v>10.711206896551724</v>
      </c>
      <c r="CC274" s="243">
        <f t="shared" si="1831"/>
        <v>7.4676724137931032</v>
      </c>
      <c r="CD274" s="243">
        <f t="shared" si="1832"/>
        <v>22.000718390804597</v>
      </c>
      <c r="CE274" s="252">
        <f t="shared" si="1833"/>
        <v>0</v>
      </c>
      <c r="CF274" s="309">
        <f t="shared" si="1834"/>
        <v>22.000718390804597</v>
      </c>
      <c r="CG274" s="218">
        <f t="shared" si="1948"/>
        <v>154.01436781609189</v>
      </c>
      <c r="CH274" s="242">
        <f t="shared" si="1948"/>
        <v>2</v>
      </c>
      <c r="CI274" s="243">
        <f t="shared" si="1836"/>
        <v>152.01436781609189</v>
      </c>
      <c r="CJ274" s="218">
        <f t="shared" si="1837"/>
        <v>0</v>
      </c>
      <c r="CL274" s="303" t="s">
        <v>357</v>
      </c>
      <c r="CM274" s="304" t="s">
        <v>87</v>
      </c>
      <c r="CN274" s="305" t="s">
        <v>132</v>
      </c>
      <c r="CO274" s="317"/>
      <c r="CP274" s="254">
        <f>Konvention_1slave-KLslave</f>
        <v>12</v>
      </c>
      <c r="CQ274" s="254">
        <f t="shared" si="1931"/>
        <v>11</v>
      </c>
      <c r="CR274" s="254">
        <f>Konvention_1slave-CHslave</f>
        <v>12</v>
      </c>
      <c r="CS274" s="254"/>
      <c r="CT274" s="254"/>
      <c r="CU274" s="254"/>
      <c r="CV274" s="318"/>
      <c r="CW274" s="223">
        <f t="shared" si="1838"/>
        <v>11.666666666666666</v>
      </c>
      <c r="CX274" s="223">
        <f t="shared" si="1839"/>
        <v>23.333333333333332</v>
      </c>
      <c r="CY274" s="224">
        <f t="shared" si="1840"/>
        <v>35</v>
      </c>
      <c r="CZ274" s="237">
        <f t="shared" si="1841"/>
        <v>2432</v>
      </c>
      <c r="DA274" s="254">
        <f>CP274*CQ274*CHslave+CP274*INslave_IN*CR274+KLslave*CQ274*CR274</f>
        <v>3408</v>
      </c>
      <c r="DB274" s="224">
        <f t="shared" si="1842"/>
        <v>1584</v>
      </c>
      <c r="DC274" s="224">
        <f t="shared" si="1843"/>
        <v>7424</v>
      </c>
      <c r="DD274" s="222">
        <f t="shared" si="1844"/>
        <v>3.8218390804597702</v>
      </c>
      <c r="DE274" s="223">
        <f t="shared" si="1845"/>
        <v>10.711206896551724</v>
      </c>
      <c r="DF274" s="243">
        <f t="shared" si="1846"/>
        <v>7.4676724137931032</v>
      </c>
      <c r="DG274" s="243">
        <f t="shared" si="1847"/>
        <v>22.000718390804597</v>
      </c>
      <c r="DH274" s="252">
        <f t="shared" si="1848"/>
        <v>0</v>
      </c>
      <c r="DI274" s="309">
        <f t="shared" si="1849"/>
        <v>22.000718390804597</v>
      </c>
      <c r="DJ274" s="218">
        <f t="shared" si="1949"/>
        <v>154.01436781609189</v>
      </c>
      <c r="DK274" s="242">
        <f t="shared" si="1949"/>
        <v>2</v>
      </c>
      <c r="DL274" s="243">
        <f t="shared" si="1851"/>
        <v>152.01436781609189</v>
      </c>
      <c r="DM274" s="218">
        <f t="shared" si="1852"/>
        <v>0</v>
      </c>
      <c r="DO274" s="303" t="s">
        <v>357</v>
      </c>
      <c r="DP274" s="304" t="s">
        <v>87</v>
      </c>
      <c r="DQ274" s="305" t="s">
        <v>132</v>
      </c>
      <c r="DR274" s="317"/>
      <c r="DS274" s="254">
        <f>Konvention_1slave-KLslave</f>
        <v>12</v>
      </c>
      <c r="DT274" s="254">
        <f t="shared" si="1932"/>
        <v>12</v>
      </c>
      <c r="DU274" s="254">
        <f>Konvention_1slave-CHslave_CH</f>
        <v>11</v>
      </c>
      <c r="DV274" s="254"/>
      <c r="DW274" s="254"/>
      <c r="DX274" s="254"/>
      <c r="DY274" s="318"/>
      <c r="DZ274" s="223">
        <f t="shared" si="1853"/>
        <v>11.666666666666666</v>
      </c>
      <c r="EA274" s="223">
        <f t="shared" si="1854"/>
        <v>23.333333333333332</v>
      </c>
      <c r="EB274" s="224">
        <f t="shared" si="1855"/>
        <v>35</v>
      </c>
      <c r="EC274" s="237">
        <f t="shared" si="1856"/>
        <v>2432</v>
      </c>
      <c r="ED274" s="254">
        <f>DS274*DT274*CHslave_CH+DS274*INslave*DU274+KLslave*DT274*DU274</f>
        <v>3408</v>
      </c>
      <c r="EE274" s="224">
        <f t="shared" si="1857"/>
        <v>1584</v>
      </c>
      <c r="EF274" s="224">
        <f t="shared" si="1858"/>
        <v>7424</v>
      </c>
      <c r="EG274" s="222">
        <f t="shared" si="1859"/>
        <v>3.8218390804597702</v>
      </c>
      <c r="EH274" s="223">
        <f t="shared" si="1860"/>
        <v>10.711206896551724</v>
      </c>
      <c r="EI274" s="243">
        <f t="shared" si="1861"/>
        <v>7.4676724137931032</v>
      </c>
      <c r="EJ274" s="243">
        <f t="shared" si="1862"/>
        <v>22.000718390804597</v>
      </c>
      <c r="EK274" s="252">
        <f t="shared" si="1863"/>
        <v>0</v>
      </c>
      <c r="EL274" s="309">
        <f t="shared" si="1864"/>
        <v>22.000718390804597</v>
      </c>
      <c r="EM274" s="218">
        <f t="shared" si="1950"/>
        <v>154.01436781609189</v>
      </c>
      <c r="EN274" s="242">
        <f t="shared" si="1950"/>
        <v>2</v>
      </c>
      <c r="EO274" s="243">
        <f t="shared" si="1866"/>
        <v>152.01436781609189</v>
      </c>
      <c r="EP274" s="218">
        <f t="shared" si="1867"/>
        <v>0</v>
      </c>
      <c r="ER274" s="303" t="s">
        <v>357</v>
      </c>
      <c r="ES274" s="304" t="s">
        <v>87</v>
      </c>
      <c r="ET274" s="305" t="s">
        <v>132</v>
      </c>
      <c r="EU274" s="317"/>
      <c r="EV274" s="254">
        <f>Konvention_1slave-KLslave</f>
        <v>12</v>
      </c>
      <c r="EW274" s="254">
        <f t="shared" si="1933"/>
        <v>12</v>
      </c>
      <c r="EX274" s="254">
        <f>Konvention_1slave-CHslave</f>
        <v>12</v>
      </c>
      <c r="EY274" s="254"/>
      <c r="EZ274" s="254"/>
      <c r="FA274" s="254"/>
      <c r="FB274" s="318"/>
      <c r="FC274" s="223">
        <f t="shared" si="1868"/>
        <v>12</v>
      </c>
      <c r="FD274" s="223">
        <f t="shared" si="1869"/>
        <v>24</v>
      </c>
      <c r="FE274" s="224">
        <f t="shared" si="1870"/>
        <v>36</v>
      </c>
      <c r="FF274" s="237">
        <f t="shared" si="1871"/>
        <v>2304</v>
      </c>
      <c r="FG274" s="254">
        <f>EV274*EW274*CHslave+EV274*INslave*EX274+KLslave*EW274*EX274</f>
        <v>3456</v>
      </c>
      <c r="FH274" s="224">
        <f t="shared" si="1872"/>
        <v>1728</v>
      </c>
      <c r="FI274" s="224">
        <f t="shared" si="1873"/>
        <v>7488</v>
      </c>
      <c r="FJ274" s="222">
        <f t="shared" si="1874"/>
        <v>3.6923076923076925</v>
      </c>
      <c r="FK274" s="223">
        <f t="shared" si="1875"/>
        <v>11.076923076923077</v>
      </c>
      <c r="FL274" s="243">
        <f t="shared" si="1876"/>
        <v>8.3076923076923084</v>
      </c>
      <c r="FM274" s="243">
        <f t="shared" si="1877"/>
        <v>23.07692307692308</v>
      </c>
      <c r="FN274" s="252">
        <f t="shared" si="1878"/>
        <v>0</v>
      </c>
      <c r="FO274" s="309">
        <f t="shared" si="1879"/>
        <v>23.07692307692308</v>
      </c>
      <c r="FP274" s="218">
        <f t="shared" si="1951"/>
        <v>175.5384615384616</v>
      </c>
      <c r="FQ274" s="242">
        <f t="shared" si="1951"/>
        <v>2</v>
      </c>
      <c r="FR274" s="243">
        <f t="shared" si="1881"/>
        <v>173.5384615384616</v>
      </c>
      <c r="FS274" s="218">
        <f t="shared" si="1882"/>
        <v>0</v>
      </c>
      <c r="FU274" s="303" t="s">
        <v>357</v>
      </c>
      <c r="FV274" s="304" t="s">
        <v>87</v>
      </c>
      <c r="FW274" s="305" t="s">
        <v>132</v>
      </c>
      <c r="FX274" s="317"/>
      <c r="FY274" s="254">
        <f>Konvention_1slave-KLslave</f>
        <v>12</v>
      </c>
      <c r="FZ274" s="254">
        <f t="shared" si="1934"/>
        <v>12</v>
      </c>
      <c r="GA274" s="254">
        <f>Konvention_1slave-CHslave</f>
        <v>12</v>
      </c>
      <c r="GB274" s="254"/>
      <c r="GC274" s="254"/>
      <c r="GD274" s="254"/>
      <c r="GE274" s="318"/>
      <c r="GF274" s="223">
        <f t="shared" si="1883"/>
        <v>12</v>
      </c>
      <c r="GG274" s="223">
        <f t="shared" si="1884"/>
        <v>24</v>
      </c>
      <c r="GH274" s="224">
        <f t="shared" si="1885"/>
        <v>36</v>
      </c>
      <c r="GI274" s="237">
        <f t="shared" si="1886"/>
        <v>2304</v>
      </c>
      <c r="GJ274" s="254">
        <f>FY274*FZ274*CHslave+FY274*INslave*GA274+KLslave*FZ274*GA274</f>
        <v>3456</v>
      </c>
      <c r="GK274" s="224">
        <f t="shared" si="1887"/>
        <v>1728</v>
      </c>
      <c r="GL274" s="224">
        <f t="shared" si="1888"/>
        <v>7488</v>
      </c>
      <c r="GM274" s="222">
        <f t="shared" si="1889"/>
        <v>3.6923076923076925</v>
      </c>
      <c r="GN274" s="223">
        <f t="shared" si="1890"/>
        <v>11.076923076923077</v>
      </c>
      <c r="GO274" s="243">
        <f t="shared" si="1891"/>
        <v>8.3076923076923084</v>
      </c>
      <c r="GP274" s="243">
        <f t="shared" si="1892"/>
        <v>23.07692307692308</v>
      </c>
      <c r="GQ274" s="252">
        <f t="shared" si="1893"/>
        <v>0</v>
      </c>
      <c r="GR274" s="309">
        <f t="shared" si="1894"/>
        <v>23.07692307692308</v>
      </c>
      <c r="GS274" s="218">
        <f t="shared" si="1952"/>
        <v>175.5384615384616</v>
      </c>
      <c r="GT274" s="242">
        <f t="shared" si="1952"/>
        <v>2</v>
      </c>
      <c r="GU274" s="243">
        <f t="shared" si="1896"/>
        <v>173.5384615384616</v>
      </c>
      <c r="GV274" s="218">
        <f t="shared" si="1897"/>
        <v>0</v>
      </c>
      <c r="GX274" s="303" t="s">
        <v>357</v>
      </c>
      <c r="GY274" s="304" t="s">
        <v>87</v>
      </c>
      <c r="GZ274" s="305" t="s">
        <v>132</v>
      </c>
      <c r="HA274" s="317"/>
      <c r="HB274" s="254">
        <f>Konvention_1slave-KLslave</f>
        <v>12</v>
      </c>
      <c r="HC274" s="254">
        <f t="shared" si="1935"/>
        <v>12</v>
      </c>
      <c r="HD274" s="254">
        <f>Konvention_1slave-CHslave</f>
        <v>12</v>
      </c>
      <c r="HE274" s="254"/>
      <c r="HF274" s="254"/>
      <c r="HG274" s="254"/>
      <c r="HH274" s="318"/>
      <c r="HI274" s="223">
        <f t="shared" si="1898"/>
        <v>12</v>
      </c>
      <c r="HJ274" s="223">
        <f t="shared" si="1899"/>
        <v>24</v>
      </c>
      <c r="HK274" s="224">
        <f t="shared" si="1900"/>
        <v>36</v>
      </c>
      <c r="HL274" s="237">
        <f t="shared" si="1901"/>
        <v>2304</v>
      </c>
      <c r="HM274" s="254">
        <f>HB274*HC274*CHslave+HB274*INslave*HD274+KLslave*HC274*HD274</f>
        <v>3456</v>
      </c>
      <c r="HN274" s="224">
        <f t="shared" si="1902"/>
        <v>1728</v>
      </c>
      <c r="HO274" s="224">
        <f t="shared" si="1903"/>
        <v>7488</v>
      </c>
      <c r="HP274" s="222">
        <f t="shared" si="1904"/>
        <v>3.6923076923076925</v>
      </c>
      <c r="HQ274" s="223">
        <f t="shared" si="1905"/>
        <v>11.076923076923077</v>
      </c>
      <c r="HR274" s="243">
        <f t="shared" si="1906"/>
        <v>8.3076923076923084</v>
      </c>
      <c r="HS274" s="243">
        <f t="shared" si="1907"/>
        <v>23.07692307692308</v>
      </c>
      <c r="HT274" s="252">
        <f t="shared" si="1908"/>
        <v>0</v>
      </c>
      <c r="HU274" s="309">
        <f t="shared" si="1909"/>
        <v>23.07692307692308</v>
      </c>
      <c r="HV274" s="218">
        <f t="shared" si="1953"/>
        <v>175.5384615384616</v>
      </c>
      <c r="HW274" s="242">
        <f t="shared" si="1953"/>
        <v>2</v>
      </c>
      <c r="HX274" s="243">
        <f t="shared" si="1911"/>
        <v>173.5384615384616</v>
      </c>
      <c r="HY274" s="218">
        <f t="shared" si="1912"/>
        <v>0</v>
      </c>
      <c r="IA274" s="303" t="s">
        <v>357</v>
      </c>
      <c r="IB274" s="304" t="s">
        <v>87</v>
      </c>
      <c r="IC274" s="305" t="s">
        <v>132</v>
      </c>
      <c r="ID274" s="317"/>
      <c r="IE274" s="254">
        <f>Konvention_1slave-KLslave</f>
        <v>12</v>
      </c>
      <c r="IF274" s="254">
        <f t="shared" si="1936"/>
        <v>12</v>
      </c>
      <c r="IG274" s="254">
        <f>Konvention_1slave-CHslave</f>
        <v>12</v>
      </c>
      <c r="IH274" s="254"/>
      <c r="II274" s="254"/>
      <c r="IJ274" s="254"/>
      <c r="IK274" s="318"/>
      <c r="IL274" s="223">
        <f t="shared" si="1913"/>
        <v>12</v>
      </c>
      <c r="IM274" s="223">
        <f t="shared" si="1914"/>
        <v>24</v>
      </c>
      <c r="IN274" s="224">
        <f t="shared" si="1915"/>
        <v>36</v>
      </c>
      <c r="IO274" s="237">
        <f t="shared" si="1916"/>
        <v>2304</v>
      </c>
      <c r="IP274" s="254">
        <f>IE274*IF274*CHslave+IE274*INslave*IG274+KLslave*IF274*IG274</f>
        <v>3456</v>
      </c>
      <c r="IQ274" s="224">
        <f t="shared" si="1917"/>
        <v>1728</v>
      </c>
      <c r="IR274" s="224">
        <f t="shared" si="1918"/>
        <v>7488</v>
      </c>
      <c r="IS274" s="222">
        <f t="shared" si="1919"/>
        <v>3.6923076923076925</v>
      </c>
      <c r="IT274" s="223">
        <f t="shared" si="1920"/>
        <v>11.076923076923077</v>
      </c>
      <c r="IU274" s="243">
        <f t="shared" si="1921"/>
        <v>8.3076923076923084</v>
      </c>
      <c r="IV274" s="243">
        <f t="shared" si="1922"/>
        <v>23.07692307692308</v>
      </c>
      <c r="IW274" s="252">
        <f t="shared" si="1923"/>
        <v>0</v>
      </c>
      <c r="IX274" s="309">
        <f t="shared" si="1924"/>
        <v>23.07692307692308</v>
      </c>
      <c r="IY274" s="218">
        <f t="shared" si="1954"/>
        <v>175.5384615384616</v>
      </c>
      <c r="IZ274" s="242">
        <f t="shared" si="1954"/>
        <v>2</v>
      </c>
      <c r="JA274" s="243">
        <f t="shared" si="1926"/>
        <v>173.5384615384616</v>
      </c>
      <c r="JB274" s="218">
        <f t="shared" si="1927"/>
        <v>0</v>
      </c>
      <c r="JE274" s="148"/>
    </row>
    <row r="275" spans="2:265" ht="15" hidden="1" customHeight="1" outlineLevel="2">
      <c r="B275" s="148">
        <v>15</v>
      </c>
      <c r="C275" s="303" t="e">
        <f>VLOOKUP(AF275,Attribute!C:T,1,FALSE)</f>
        <v>#N/A</v>
      </c>
      <c r="D275" s="86" t="s">
        <v>437</v>
      </c>
      <c r="E275" s="167" t="s">
        <v>133</v>
      </c>
      <c r="F275" s="120"/>
      <c r="G275" s="117"/>
      <c r="H275" s="117">
        <f t="shared" si="1928"/>
        <v>12</v>
      </c>
      <c r="I275" s="117">
        <f>Konvention_1master-CHmaster</f>
        <v>12</v>
      </c>
      <c r="J275" s="117">
        <f>Konvention_1master-FFmaster</f>
        <v>12</v>
      </c>
      <c r="K275" s="117"/>
      <c r="L275" s="117"/>
      <c r="M275" s="121"/>
      <c r="N275" s="223">
        <f t="shared" si="1794"/>
        <v>12</v>
      </c>
      <c r="O275" s="223">
        <f t="shared" si="1795"/>
        <v>24</v>
      </c>
      <c r="P275" s="224">
        <f t="shared" si="1796"/>
        <v>36</v>
      </c>
      <c r="Q275" s="237">
        <f t="shared" si="1797"/>
        <v>2304</v>
      </c>
      <c r="R275" s="117">
        <f>H275*I275*FFmaster+H275*CHmaster*J275+INmaster*I275*J275</f>
        <v>3456</v>
      </c>
      <c r="S275" s="224">
        <f t="shared" si="1798"/>
        <v>1728</v>
      </c>
      <c r="T275" s="224">
        <f t="shared" si="1799"/>
        <v>7488</v>
      </c>
      <c r="U275" s="222">
        <f t="shared" si="1800"/>
        <v>3.6923076923076925</v>
      </c>
      <c r="V275" s="223">
        <f t="shared" si="1801"/>
        <v>11.076923076923077</v>
      </c>
      <c r="W275" s="243">
        <f t="shared" si="1802"/>
        <v>8.3076923076923084</v>
      </c>
      <c r="X275" s="243">
        <f t="shared" si="1803"/>
        <v>23.07692307692308</v>
      </c>
      <c r="Y275" s="252">
        <v>0</v>
      </c>
      <c r="Z275" s="198">
        <f t="shared" si="1804"/>
        <v>23.07692307692308</v>
      </c>
      <c r="AA275" s="125">
        <f>IF(X275&lt;=0,1,0)+IF(X275&gt;0,X275+1,0)*1+IF(X275&gt;12,X275-12,0)*1+IF(X275&gt;13,X275-13,0)*1+IF(X275&gt;14,X275-14,0)*1+IF(X275&gt;15,X275-15,0)*1+IF(X275&gt;16,X275-16,0)*1+IF(X275&gt;17,X275-17,0)*1+IF(X275&gt;18,X275-18,0)*1+IF(X275&gt;19,X275-19,0)*1+IF(X275&gt;20,X275-20,0)*1</f>
        <v>87.769230769230802</v>
      </c>
      <c r="AB275" s="160">
        <f>IF(Y275&lt;=0,1,0)+IF(Y275&gt;0,Y275+1,0)*1+IF(Y275&gt;12,Y275-12,0)*1+IF(Y275&gt;13,Y275-13,0)*1+IF(Y275&gt;14,Y275-14,0)*1+IF(Y275&gt;15,Y275-15,0)*1+IF(Y275&gt;16,Y275-16,0)*1+IF(Y275&gt;17,Y275-17,0)*1+IF(Y275&gt;18,Y275-18,0)*1+IF(Y275&gt;19,Y275-19,0)*1+IF(Y275&gt;20,Y275-20,0)*1</f>
        <v>1</v>
      </c>
      <c r="AC275" s="127">
        <f t="shared" si="1806"/>
        <v>86.769230769230802</v>
      </c>
      <c r="AD275" s="125">
        <f t="shared" si="1807"/>
        <v>0</v>
      </c>
      <c r="AF275" s="163" t="s">
        <v>414</v>
      </c>
      <c r="AG275" s="86" t="s">
        <v>437</v>
      </c>
      <c r="AH275" s="167" t="s">
        <v>133</v>
      </c>
      <c r="AI275" s="120"/>
      <c r="AJ275" s="117"/>
      <c r="AK275" s="117">
        <f>Konvention_1slave-INslave</f>
        <v>12</v>
      </c>
      <c r="AL275" s="117">
        <f>Konvention_1slave-CHslave</f>
        <v>12</v>
      </c>
      <c r="AM275" s="117">
        <f>Konvention_1slave-FFslave</f>
        <v>12</v>
      </c>
      <c r="AN275" s="117"/>
      <c r="AO275" s="117"/>
      <c r="AP275" s="121"/>
      <c r="AQ275" s="47">
        <f t="shared" si="1808"/>
        <v>12</v>
      </c>
      <c r="AR275" s="3">
        <f t="shared" si="1809"/>
        <v>24</v>
      </c>
      <c r="AS275" s="174">
        <f t="shared" si="1810"/>
        <v>36</v>
      </c>
      <c r="AT275" s="114">
        <f t="shared" si="1811"/>
        <v>2304</v>
      </c>
      <c r="AU275" s="117">
        <f>AK275*AL275*FFslave+AK275*CHslave*AM275+INslave*AL275*AM275</f>
        <v>3456</v>
      </c>
      <c r="AV275" s="119">
        <f t="shared" si="1812"/>
        <v>1728</v>
      </c>
      <c r="AW275" s="119">
        <f t="shared" si="1813"/>
        <v>7488</v>
      </c>
      <c r="AX275" s="89">
        <f t="shared" si="1814"/>
        <v>3.6923076923076925</v>
      </c>
      <c r="AY275" s="47">
        <f t="shared" si="1815"/>
        <v>11.076923076923077</v>
      </c>
      <c r="AZ275" s="127">
        <f t="shared" si="1816"/>
        <v>8.3076923076923084</v>
      </c>
      <c r="BA275" s="127">
        <f t="shared" si="1817"/>
        <v>23.07692307692308</v>
      </c>
      <c r="BB275" s="165">
        <f t="shared" si="1818"/>
        <v>0</v>
      </c>
      <c r="BC275" s="198">
        <f t="shared" si="1819"/>
        <v>23.07692307692308</v>
      </c>
      <c r="BD275" s="125">
        <f>IF(BA275&lt;=0,1,0)+IF(BA275&gt;0,BA275+1,0)*1+IF(BA275&gt;12,BA275-12,0)*1+IF(BA275&gt;13,BA275-13,0)*1+IF(BA275&gt;14,BA275-14,0)*1+IF(BA275&gt;15,BA275-15,0)*1+IF(BA275&gt;16,BA275-16,0)*1+IF(BA275&gt;17,BA275-17,0)*1+IF(BA275&gt;18,BA275-18,0)*1+IF(BA275&gt;19,BA275-19,0)*1+IF(BA275&gt;20,BA275-20,0)*1</f>
        <v>87.769230769230802</v>
      </c>
      <c r="BE275" s="160">
        <f>IF(BB275&lt;=0,1,0)+IF(BB275&gt;0,BB275+1,0)*1+IF(BB275&gt;12,BB275-12,0)*1+IF(BB275&gt;13,BB275-13,0)*1+IF(BB275&gt;14,BB275-14,0)*1+IF(BB275&gt;15,BB275-15,0)*1+IF(BB275&gt;16,BB275-16,0)*1+IF(BB275&gt;17,BB275-17,0)*1+IF(BB275&gt;18,BB275-18,0)*1+IF(BB275&gt;19,BB275-19,0)*1+IF(BB275&gt;20,BB275-20,0)*1</f>
        <v>1</v>
      </c>
      <c r="BF275" s="243">
        <f t="shared" si="1821"/>
        <v>86.769230769230802</v>
      </c>
      <c r="BG275" s="218">
        <f t="shared" si="1822"/>
        <v>0</v>
      </c>
      <c r="BI275" s="303" t="s">
        <v>414</v>
      </c>
      <c r="BJ275" s="304" t="s">
        <v>437</v>
      </c>
      <c r="BK275" s="305" t="s">
        <v>133</v>
      </c>
      <c r="BL275" s="317"/>
      <c r="BM275" s="254"/>
      <c r="BN275" s="254">
        <f t="shared" si="1930"/>
        <v>12</v>
      </c>
      <c r="BO275" s="254">
        <f>Konvention_1slave-CHslave</f>
        <v>12</v>
      </c>
      <c r="BP275" s="254">
        <f>Konvention_1slave-FFslave</f>
        <v>12</v>
      </c>
      <c r="BQ275" s="254"/>
      <c r="BR275" s="254"/>
      <c r="BS275" s="318"/>
      <c r="BT275" s="223">
        <f t="shared" si="1823"/>
        <v>12</v>
      </c>
      <c r="BU275" s="223">
        <f t="shared" si="1824"/>
        <v>24</v>
      </c>
      <c r="BV275" s="224">
        <f t="shared" si="1825"/>
        <v>36</v>
      </c>
      <c r="BW275" s="237">
        <f t="shared" si="1826"/>
        <v>2304</v>
      </c>
      <c r="BX275" s="254">
        <f>BN275*BO275*FFslave+BN275*CHslave*BP275+INslave*BO275*BP275</f>
        <v>3456</v>
      </c>
      <c r="BY275" s="224">
        <f t="shared" si="1827"/>
        <v>1728</v>
      </c>
      <c r="BZ275" s="224">
        <f t="shared" si="1828"/>
        <v>7488</v>
      </c>
      <c r="CA275" s="222">
        <f t="shared" si="1829"/>
        <v>3.6923076923076925</v>
      </c>
      <c r="CB275" s="223">
        <f t="shared" si="1830"/>
        <v>11.076923076923077</v>
      </c>
      <c r="CC275" s="243">
        <f t="shared" si="1831"/>
        <v>8.3076923076923084</v>
      </c>
      <c r="CD275" s="243">
        <f t="shared" si="1832"/>
        <v>23.07692307692308</v>
      </c>
      <c r="CE275" s="252">
        <f t="shared" si="1833"/>
        <v>0</v>
      </c>
      <c r="CF275" s="309">
        <f t="shared" si="1834"/>
        <v>23.07692307692308</v>
      </c>
      <c r="CG275" s="218">
        <f>IF(CD275&lt;=0,1,0)+IF(CD275&gt;0,CD275+1,0)*1+IF(CD275&gt;12,CD275-12,0)*1+IF(CD275&gt;13,CD275-13,0)*1+IF(CD275&gt;14,CD275-14,0)*1+IF(CD275&gt;15,CD275-15,0)*1+IF(CD275&gt;16,CD275-16,0)*1+IF(CD275&gt;17,CD275-17,0)*1+IF(CD275&gt;18,CD275-18,0)*1+IF(CD275&gt;19,CD275-19,0)*1+IF(CD275&gt;20,CD275-20,0)*1</f>
        <v>87.769230769230802</v>
      </c>
      <c r="CH275" s="242">
        <f>IF(CE275&lt;=0,1,0)+IF(CE275&gt;0,CE275+1,0)*1+IF(CE275&gt;12,CE275-12,0)*1+IF(CE275&gt;13,CE275-13,0)*1+IF(CE275&gt;14,CE275-14,0)*1+IF(CE275&gt;15,CE275-15,0)*1+IF(CE275&gt;16,CE275-16,0)*1+IF(CE275&gt;17,CE275-17,0)*1+IF(CE275&gt;18,CE275-18,0)*1+IF(CE275&gt;19,CE275-19,0)*1+IF(CE275&gt;20,CE275-20,0)*1</f>
        <v>1</v>
      </c>
      <c r="CI275" s="243">
        <f t="shared" si="1836"/>
        <v>86.769230769230802</v>
      </c>
      <c r="CJ275" s="218">
        <f t="shared" si="1837"/>
        <v>0</v>
      </c>
      <c r="CL275" s="303" t="s">
        <v>414</v>
      </c>
      <c r="CM275" s="304" t="s">
        <v>437</v>
      </c>
      <c r="CN275" s="305" t="s">
        <v>133</v>
      </c>
      <c r="CO275" s="317"/>
      <c r="CP275" s="254"/>
      <c r="CQ275" s="254">
        <f t="shared" si="1931"/>
        <v>11</v>
      </c>
      <c r="CR275" s="254">
        <f>Konvention_1slave-CHslave</f>
        <v>12</v>
      </c>
      <c r="CS275" s="254">
        <f>Konvention_1slave-FFslave</f>
        <v>12</v>
      </c>
      <c r="CT275" s="254"/>
      <c r="CU275" s="254"/>
      <c r="CV275" s="318"/>
      <c r="CW275" s="223">
        <f t="shared" si="1838"/>
        <v>11.666666666666666</v>
      </c>
      <c r="CX275" s="223">
        <f t="shared" si="1839"/>
        <v>23.333333333333332</v>
      </c>
      <c r="CY275" s="224">
        <f t="shared" si="1840"/>
        <v>35</v>
      </c>
      <c r="CZ275" s="237">
        <f t="shared" si="1841"/>
        <v>2432</v>
      </c>
      <c r="DA275" s="254">
        <f>CQ275*CR275*FFslave+CQ275*CHslave*CS275+INslave_IN*CR275*CS275</f>
        <v>3408</v>
      </c>
      <c r="DB275" s="224">
        <f t="shared" si="1842"/>
        <v>1584</v>
      </c>
      <c r="DC275" s="224">
        <f t="shared" si="1843"/>
        <v>7424</v>
      </c>
      <c r="DD275" s="222">
        <f t="shared" si="1844"/>
        <v>3.8218390804597702</v>
      </c>
      <c r="DE275" s="223">
        <f t="shared" si="1845"/>
        <v>10.711206896551724</v>
      </c>
      <c r="DF275" s="243">
        <f t="shared" si="1846"/>
        <v>7.4676724137931032</v>
      </c>
      <c r="DG275" s="243">
        <f t="shared" si="1847"/>
        <v>22.000718390804597</v>
      </c>
      <c r="DH275" s="252">
        <f t="shared" si="1848"/>
        <v>0</v>
      </c>
      <c r="DI275" s="309">
        <f t="shared" si="1849"/>
        <v>22.000718390804597</v>
      </c>
      <c r="DJ275" s="218">
        <f>IF(DG275&lt;=0,1,0)+IF(DG275&gt;0,DG275+1,0)*1+IF(DG275&gt;12,DG275-12,0)*1+IF(DG275&gt;13,DG275-13,0)*1+IF(DG275&gt;14,DG275-14,0)*1+IF(DG275&gt;15,DG275-15,0)*1+IF(DG275&gt;16,DG275-16,0)*1+IF(DG275&gt;17,DG275-17,0)*1+IF(DG275&gt;18,DG275-18,0)*1+IF(DG275&gt;19,DG275-19,0)*1+IF(DG275&gt;20,DG275-20,0)*1</f>
        <v>77.007183908045945</v>
      </c>
      <c r="DK275" s="242">
        <f>IF(DH275&lt;=0,1,0)+IF(DH275&gt;0,DH275+1,0)*1+IF(DH275&gt;12,DH275-12,0)*1+IF(DH275&gt;13,DH275-13,0)*1+IF(DH275&gt;14,DH275-14,0)*1+IF(DH275&gt;15,DH275-15,0)*1+IF(DH275&gt;16,DH275-16,0)*1+IF(DH275&gt;17,DH275-17,0)*1+IF(DH275&gt;18,DH275-18,0)*1+IF(DH275&gt;19,DH275-19,0)*1+IF(DH275&gt;20,DH275-20,0)*1</f>
        <v>1</v>
      </c>
      <c r="DL275" s="243">
        <f t="shared" si="1851"/>
        <v>76.007183908045945</v>
      </c>
      <c r="DM275" s="218">
        <f t="shared" si="1852"/>
        <v>0</v>
      </c>
      <c r="DO275" s="303" t="s">
        <v>414</v>
      </c>
      <c r="DP275" s="304" t="s">
        <v>437</v>
      </c>
      <c r="DQ275" s="305" t="s">
        <v>133</v>
      </c>
      <c r="DR275" s="317"/>
      <c r="DS275" s="254"/>
      <c r="DT275" s="254">
        <f t="shared" si="1932"/>
        <v>12</v>
      </c>
      <c r="DU275" s="254">
        <f>Konvention_1slave-CHslave_CH</f>
        <v>11</v>
      </c>
      <c r="DV275" s="254">
        <f>Konvention_1slave-FFslave</f>
        <v>12</v>
      </c>
      <c r="DW275" s="254"/>
      <c r="DX275" s="254"/>
      <c r="DY275" s="318"/>
      <c r="DZ275" s="223">
        <f t="shared" si="1853"/>
        <v>11.666666666666666</v>
      </c>
      <c r="EA275" s="223">
        <f t="shared" si="1854"/>
        <v>23.333333333333332</v>
      </c>
      <c r="EB275" s="224">
        <f t="shared" si="1855"/>
        <v>35</v>
      </c>
      <c r="EC275" s="237">
        <f t="shared" si="1856"/>
        <v>2432</v>
      </c>
      <c r="ED275" s="254">
        <f>DT275*DU275*FFslave+DT275*CHslave_CH*DV275+INslave*DU275*DV275</f>
        <v>3408</v>
      </c>
      <c r="EE275" s="224">
        <f t="shared" si="1857"/>
        <v>1584</v>
      </c>
      <c r="EF275" s="224">
        <f t="shared" si="1858"/>
        <v>7424</v>
      </c>
      <c r="EG275" s="222">
        <f t="shared" si="1859"/>
        <v>3.8218390804597702</v>
      </c>
      <c r="EH275" s="223">
        <f t="shared" si="1860"/>
        <v>10.711206896551724</v>
      </c>
      <c r="EI275" s="243">
        <f t="shared" si="1861"/>
        <v>7.4676724137931032</v>
      </c>
      <c r="EJ275" s="243">
        <f t="shared" si="1862"/>
        <v>22.000718390804597</v>
      </c>
      <c r="EK275" s="252">
        <f t="shared" si="1863"/>
        <v>0</v>
      </c>
      <c r="EL275" s="309">
        <f t="shared" si="1864"/>
        <v>22.000718390804597</v>
      </c>
      <c r="EM275" s="218">
        <f>IF(EJ275&lt;=0,1,0)+IF(EJ275&gt;0,EJ275+1,0)*1+IF(EJ275&gt;12,EJ275-12,0)*1+IF(EJ275&gt;13,EJ275-13,0)*1+IF(EJ275&gt;14,EJ275-14,0)*1+IF(EJ275&gt;15,EJ275-15,0)*1+IF(EJ275&gt;16,EJ275-16,0)*1+IF(EJ275&gt;17,EJ275-17,0)*1+IF(EJ275&gt;18,EJ275-18,0)*1+IF(EJ275&gt;19,EJ275-19,0)*1+IF(EJ275&gt;20,EJ275-20,0)*1</f>
        <v>77.007183908045945</v>
      </c>
      <c r="EN275" s="242">
        <f>IF(EK275&lt;=0,1,0)+IF(EK275&gt;0,EK275+1,0)*1+IF(EK275&gt;12,EK275-12,0)*1+IF(EK275&gt;13,EK275-13,0)*1+IF(EK275&gt;14,EK275-14,0)*1+IF(EK275&gt;15,EK275-15,0)*1+IF(EK275&gt;16,EK275-16,0)*1+IF(EK275&gt;17,EK275-17,0)*1+IF(EK275&gt;18,EK275-18,0)*1+IF(EK275&gt;19,EK275-19,0)*1+IF(EK275&gt;20,EK275-20,0)*1</f>
        <v>1</v>
      </c>
      <c r="EO275" s="243">
        <f t="shared" si="1866"/>
        <v>76.007183908045945</v>
      </c>
      <c r="EP275" s="218">
        <f t="shared" si="1867"/>
        <v>0</v>
      </c>
      <c r="ER275" s="303" t="s">
        <v>414</v>
      </c>
      <c r="ES275" s="304" t="s">
        <v>437</v>
      </c>
      <c r="ET275" s="305" t="s">
        <v>133</v>
      </c>
      <c r="EU275" s="317"/>
      <c r="EV275" s="254"/>
      <c r="EW275" s="254">
        <f t="shared" si="1933"/>
        <v>12</v>
      </c>
      <c r="EX275" s="254">
        <f>Konvention_1slave-CHslave</f>
        <v>12</v>
      </c>
      <c r="EY275" s="254">
        <f>Konvention_1slave-FFslave_FF</f>
        <v>11</v>
      </c>
      <c r="EZ275" s="254"/>
      <c r="FA275" s="254"/>
      <c r="FB275" s="318"/>
      <c r="FC275" s="223">
        <f t="shared" si="1868"/>
        <v>11.666666666666666</v>
      </c>
      <c r="FD275" s="223">
        <f t="shared" si="1869"/>
        <v>23.333333333333332</v>
      </c>
      <c r="FE275" s="224">
        <f t="shared" si="1870"/>
        <v>35</v>
      </c>
      <c r="FF275" s="237">
        <f t="shared" si="1871"/>
        <v>2432</v>
      </c>
      <c r="FG275" s="254">
        <f>EW275*EX275*FFslave_FF+EW275*CHslave*EY275+INslave*EX275*EY275</f>
        <v>3408</v>
      </c>
      <c r="FH275" s="224">
        <f t="shared" si="1872"/>
        <v>1584</v>
      </c>
      <c r="FI275" s="224">
        <f t="shared" si="1873"/>
        <v>7424</v>
      </c>
      <c r="FJ275" s="222">
        <f t="shared" si="1874"/>
        <v>3.8218390804597702</v>
      </c>
      <c r="FK275" s="223">
        <f t="shared" si="1875"/>
        <v>10.711206896551724</v>
      </c>
      <c r="FL275" s="243">
        <f t="shared" si="1876"/>
        <v>7.4676724137931032</v>
      </c>
      <c r="FM275" s="243">
        <f t="shared" si="1877"/>
        <v>22.000718390804597</v>
      </c>
      <c r="FN275" s="252">
        <f t="shared" si="1878"/>
        <v>0</v>
      </c>
      <c r="FO275" s="309">
        <f t="shared" si="1879"/>
        <v>22.000718390804597</v>
      </c>
      <c r="FP275" s="218">
        <f>IF(FM275&lt;=0,1,0)+IF(FM275&gt;0,FM275+1,0)*1+IF(FM275&gt;12,FM275-12,0)*1+IF(FM275&gt;13,FM275-13,0)*1+IF(FM275&gt;14,FM275-14,0)*1+IF(FM275&gt;15,FM275-15,0)*1+IF(FM275&gt;16,FM275-16,0)*1+IF(FM275&gt;17,FM275-17,0)*1+IF(FM275&gt;18,FM275-18,0)*1+IF(FM275&gt;19,FM275-19,0)*1+IF(FM275&gt;20,FM275-20,0)*1</f>
        <v>77.007183908045945</v>
      </c>
      <c r="FQ275" s="242">
        <f>IF(FN275&lt;=0,1,0)+IF(FN275&gt;0,FN275+1,0)*1+IF(FN275&gt;12,FN275-12,0)*1+IF(FN275&gt;13,FN275-13,0)*1+IF(FN275&gt;14,FN275-14,0)*1+IF(FN275&gt;15,FN275-15,0)*1+IF(FN275&gt;16,FN275-16,0)*1+IF(FN275&gt;17,FN275-17,0)*1+IF(FN275&gt;18,FN275-18,0)*1+IF(FN275&gt;19,FN275-19,0)*1+IF(FN275&gt;20,FN275-20,0)*1</f>
        <v>1</v>
      </c>
      <c r="FR275" s="243">
        <f t="shared" si="1881"/>
        <v>76.007183908045945</v>
      </c>
      <c r="FS275" s="218">
        <f t="shared" si="1882"/>
        <v>0</v>
      </c>
      <c r="FU275" s="303" t="s">
        <v>414</v>
      </c>
      <c r="FV275" s="304" t="s">
        <v>437</v>
      </c>
      <c r="FW275" s="305" t="s">
        <v>133</v>
      </c>
      <c r="FX275" s="317"/>
      <c r="FY275" s="254"/>
      <c r="FZ275" s="254">
        <f t="shared" si="1934"/>
        <v>12</v>
      </c>
      <c r="GA275" s="254">
        <f>Konvention_1slave-CHslave</f>
        <v>12</v>
      </c>
      <c r="GB275" s="254">
        <f>Konvention_1slave-FFslave</f>
        <v>12</v>
      </c>
      <c r="GC275" s="254"/>
      <c r="GD275" s="254"/>
      <c r="GE275" s="318"/>
      <c r="GF275" s="223">
        <f t="shared" si="1883"/>
        <v>12</v>
      </c>
      <c r="GG275" s="223">
        <f t="shared" si="1884"/>
        <v>24</v>
      </c>
      <c r="GH275" s="224">
        <f t="shared" si="1885"/>
        <v>36</v>
      </c>
      <c r="GI275" s="237">
        <f t="shared" si="1886"/>
        <v>2304</v>
      </c>
      <c r="GJ275" s="254">
        <f>FZ275*GA275*FFslave+FZ275*CHslave*GB275+INslave*GA275*GB275</f>
        <v>3456</v>
      </c>
      <c r="GK275" s="224">
        <f t="shared" si="1887"/>
        <v>1728</v>
      </c>
      <c r="GL275" s="224">
        <f t="shared" si="1888"/>
        <v>7488</v>
      </c>
      <c r="GM275" s="222">
        <f t="shared" si="1889"/>
        <v>3.6923076923076925</v>
      </c>
      <c r="GN275" s="223">
        <f t="shared" si="1890"/>
        <v>11.076923076923077</v>
      </c>
      <c r="GO275" s="243">
        <f t="shared" si="1891"/>
        <v>8.3076923076923084</v>
      </c>
      <c r="GP275" s="243">
        <f t="shared" si="1892"/>
        <v>23.07692307692308</v>
      </c>
      <c r="GQ275" s="252">
        <f t="shared" si="1893"/>
        <v>0</v>
      </c>
      <c r="GR275" s="309">
        <f t="shared" si="1894"/>
        <v>23.07692307692308</v>
      </c>
      <c r="GS275" s="218">
        <f>IF(GP275&lt;=0,1,0)+IF(GP275&gt;0,GP275+1,0)*1+IF(GP275&gt;12,GP275-12,0)*1+IF(GP275&gt;13,GP275-13,0)*1+IF(GP275&gt;14,GP275-14,0)*1+IF(GP275&gt;15,GP275-15,0)*1+IF(GP275&gt;16,GP275-16,0)*1+IF(GP275&gt;17,GP275-17,0)*1+IF(GP275&gt;18,GP275-18,0)*1+IF(GP275&gt;19,GP275-19,0)*1+IF(GP275&gt;20,GP275-20,0)*1</f>
        <v>87.769230769230802</v>
      </c>
      <c r="GT275" s="242">
        <f>IF(GQ275&lt;=0,1,0)+IF(GQ275&gt;0,GQ275+1,0)*1+IF(GQ275&gt;12,GQ275-12,0)*1+IF(GQ275&gt;13,GQ275-13,0)*1+IF(GQ275&gt;14,GQ275-14,0)*1+IF(GQ275&gt;15,GQ275-15,0)*1+IF(GQ275&gt;16,GQ275-16,0)*1+IF(GQ275&gt;17,GQ275-17,0)*1+IF(GQ275&gt;18,GQ275-18,0)*1+IF(GQ275&gt;19,GQ275-19,0)*1+IF(GQ275&gt;20,GQ275-20,0)*1</f>
        <v>1</v>
      </c>
      <c r="GU275" s="243">
        <f t="shared" si="1896"/>
        <v>86.769230769230802</v>
      </c>
      <c r="GV275" s="218">
        <f t="shared" si="1897"/>
        <v>0</v>
      </c>
      <c r="GX275" s="303" t="s">
        <v>414</v>
      </c>
      <c r="GY275" s="304" t="s">
        <v>437</v>
      </c>
      <c r="GZ275" s="305" t="s">
        <v>133</v>
      </c>
      <c r="HA275" s="317"/>
      <c r="HB275" s="254"/>
      <c r="HC275" s="254">
        <f t="shared" si="1935"/>
        <v>12</v>
      </c>
      <c r="HD275" s="254">
        <f>Konvention_1slave-CHslave</f>
        <v>12</v>
      </c>
      <c r="HE275" s="254">
        <f>Konvention_1slave-FFslave</f>
        <v>12</v>
      </c>
      <c r="HF275" s="254"/>
      <c r="HG275" s="254"/>
      <c r="HH275" s="318"/>
      <c r="HI275" s="223">
        <f t="shared" si="1898"/>
        <v>12</v>
      </c>
      <c r="HJ275" s="223">
        <f t="shared" si="1899"/>
        <v>24</v>
      </c>
      <c r="HK275" s="224">
        <f t="shared" si="1900"/>
        <v>36</v>
      </c>
      <c r="HL275" s="237">
        <f t="shared" si="1901"/>
        <v>2304</v>
      </c>
      <c r="HM275" s="254">
        <f>HC275*HD275*FFslave+HC275*CHslave*HE275+INslave*HD275*HE275</f>
        <v>3456</v>
      </c>
      <c r="HN275" s="224">
        <f t="shared" si="1902"/>
        <v>1728</v>
      </c>
      <c r="HO275" s="224">
        <f t="shared" si="1903"/>
        <v>7488</v>
      </c>
      <c r="HP275" s="222">
        <f t="shared" si="1904"/>
        <v>3.6923076923076925</v>
      </c>
      <c r="HQ275" s="223">
        <f t="shared" si="1905"/>
        <v>11.076923076923077</v>
      </c>
      <c r="HR275" s="243">
        <f t="shared" si="1906"/>
        <v>8.3076923076923084</v>
      </c>
      <c r="HS275" s="243">
        <f t="shared" si="1907"/>
        <v>23.07692307692308</v>
      </c>
      <c r="HT275" s="252">
        <f t="shared" si="1908"/>
        <v>0</v>
      </c>
      <c r="HU275" s="309">
        <f t="shared" si="1909"/>
        <v>23.07692307692308</v>
      </c>
      <c r="HV275" s="218">
        <f>IF(HS275&lt;=0,1,0)+IF(HS275&gt;0,HS275+1,0)*1+IF(HS275&gt;12,HS275-12,0)*1+IF(HS275&gt;13,HS275-13,0)*1+IF(HS275&gt;14,HS275-14,0)*1+IF(HS275&gt;15,HS275-15,0)*1+IF(HS275&gt;16,HS275-16,0)*1+IF(HS275&gt;17,HS275-17,0)*1+IF(HS275&gt;18,HS275-18,0)*1+IF(HS275&gt;19,HS275-19,0)*1+IF(HS275&gt;20,HS275-20,0)*1</f>
        <v>87.769230769230802</v>
      </c>
      <c r="HW275" s="242">
        <f>IF(HT275&lt;=0,1,0)+IF(HT275&gt;0,HT275+1,0)*1+IF(HT275&gt;12,HT275-12,0)*1+IF(HT275&gt;13,HT275-13,0)*1+IF(HT275&gt;14,HT275-14,0)*1+IF(HT275&gt;15,HT275-15,0)*1+IF(HT275&gt;16,HT275-16,0)*1+IF(HT275&gt;17,HT275-17,0)*1+IF(HT275&gt;18,HT275-18,0)*1+IF(HT275&gt;19,HT275-19,0)*1+IF(HT275&gt;20,HT275-20,0)*1</f>
        <v>1</v>
      </c>
      <c r="HX275" s="243">
        <f t="shared" si="1911"/>
        <v>86.769230769230802</v>
      </c>
      <c r="HY275" s="218">
        <f t="shared" si="1912"/>
        <v>0</v>
      </c>
      <c r="IA275" s="303" t="s">
        <v>414</v>
      </c>
      <c r="IB275" s="304" t="s">
        <v>437</v>
      </c>
      <c r="IC275" s="305" t="s">
        <v>133</v>
      </c>
      <c r="ID275" s="317"/>
      <c r="IE275" s="254"/>
      <c r="IF275" s="254">
        <f t="shared" si="1936"/>
        <v>12</v>
      </c>
      <c r="IG275" s="254">
        <f>Konvention_1slave-CHslave</f>
        <v>12</v>
      </c>
      <c r="IH275" s="254">
        <f>Konvention_1slave-FFslave</f>
        <v>12</v>
      </c>
      <c r="II275" s="254"/>
      <c r="IJ275" s="254"/>
      <c r="IK275" s="318"/>
      <c r="IL275" s="223">
        <f t="shared" si="1913"/>
        <v>12</v>
      </c>
      <c r="IM275" s="223">
        <f t="shared" si="1914"/>
        <v>24</v>
      </c>
      <c r="IN275" s="224">
        <f t="shared" si="1915"/>
        <v>36</v>
      </c>
      <c r="IO275" s="237">
        <f t="shared" si="1916"/>
        <v>2304</v>
      </c>
      <c r="IP275" s="254">
        <f>IF275*IG275*FFslave+IF275*CHslave*IH275+INslave*IG275*IH275</f>
        <v>3456</v>
      </c>
      <c r="IQ275" s="224">
        <f t="shared" si="1917"/>
        <v>1728</v>
      </c>
      <c r="IR275" s="224">
        <f t="shared" si="1918"/>
        <v>7488</v>
      </c>
      <c r="IS275" s="222">
        <f t="shared" si="1919"/>
        <v>3.6923076923076925</v>
      </c>
      <c r="IT275" s="223">
        <f t="shared" si="1920"/>
        <v>11.076923076923077</v>
      </c>
      <c r="IU275" s="243">
        <f t="shared" si="1921"/>
        <v>8.3076923076923084</v>
      </c>
      <c r="IV275" s="243">
        <f t="shared" si="1922"/>
        <v>23.07692307692308</v>
      </c>
      <c r="IW275" s="252">
        <f t="shared" si="1923"/>
        <v>0</v>
      </c>
      <c r="IX275" s="309">
        <f t="shared" si="1924"/>
        <v>23.07692307692308</v>
      </c>
      <c r="IY275" s="218">
        <f>IF(IV275&lt;=0,1,0)+IF(IV275&gt;0,IV275+1,0)*1+IF(IV275&gt;12,IV275-12,0)*1+IF(IV275&gt;13,IV275-13,0)*1+IF(IV275&gt;14,IV275-14,0)*1+IF(IV275&gt;15,IV275-15,0)*1+IF(IV275&gt;16,IV275-16,0)*1+IF(IV275&gt;17,IV275-17,0)*1+IF(IV275&gt;18,IV275-18,0)*1+IF(IV275&gt;19,IV275-19,0)*1+IF(IV275&gt;20,IV275-20,0)*1</f>
        <v>87.769230769230802</v>
      </c>
      <c r="IZ275" s="242">
        <f>IF(IW275&lt;=0,1,0)+IF(IW275&gt;0,IW275+1,0)*1+IF(IW275&gt;12,IW275-12,0)*1+IF(IW275&gt;13,IW275-13,0)*1+IF(IW275&gt;14,IW275-14,0)*1+IF(IW275&gt;15,IW275-15,0)*1+IF(IW275&gt;16,IW275-16,0)*1+IF(IW275&gt;17,IW275-17,0)*1+IF(IW275&gt;18,IW275-18,0)*1+IF(IW275&gt;19,IW275-19,0)*1+IF(IW275&gt;20,IW275-20,0)*1</f>
        <v>1</v>
      </c>
      <c r="JA275" s="243">
        <f t="shared" si="1926"/>
        <v>86.769230769230802</v>
      </c>
      <c r="JB275" s="218">
        <f t="shared" si="1927"/>
        <v>0</v>
      </c>
      <c r="JE275" s="148"/>
    </row>
    <row r="276" spans="2:265" ht="15" hidden="1" customHeight="1" outlineLevel="2">
      <c r="B276" s="148">
        <v>16</v>
      </c>
      <c r="C276" s="303" t="e">
        <f>VLOOKUP(AF276,Attribute!C:T,1,FALSE)</f>
        <v>#N/A</v>
      </c>
      <c r="D276" s="86" t="s">
        <v>170</v>
      </c>
      <c r="E276" s="167" t="s">
        <v>135</v>
      </c>
      <c r="F276" s="120"/>
      <c r="G276" s="117">
        <f>Konvention_1master-KLmaster</f>
        <v>12</v>
      </c>
      <c r="H276" s="117">
        <f t="shared" si="1928"/>
        <v>12</v>
      </c>
      <c r="I276" s="117"/>
      <c r="J276" s="117">
        <f>Konvention_1master-FFmaster</f>
        <v>12</v>
      </c>
      <c r="K276" s="117"/>
      <c r="L276" s="117"/>
      <c r="M276" s="121"/>
      <c r="N276" s="223">
        <f t="shared" si="1794"/>
        <v>12</v>
      </c>
      <c r="O276" s="223">
        <f t="shared" si="1795"/>
        <v>24</v>
      </c>
      <c r="P276" s="224">
        <f t="shared" si="1796"/>
        <v>36</v>
      </c>
      <c r="Q276" s="237">
        <f t="shared" si="1797"/>
        <v>2304</v>
      </c>
      <c r="R276" s="117">
        <f>G276*H276*FFmaster+G276*INmaster*J276+KLmaster*H276*J276</f>
        <v>3456</v>
      </c>
      <c r="S276" s="224">
        <f t="shared" si="1798"/>
        <v>1728</v>
      </c>
      <c r="T276" s="224">
        <f t="shared" si="1799"/>
        <v>7488</v>
      </c>
      <c r="U276" s="222">
        <f t="shared" si="1800"/>
        <v>3.6923076923076925</v>
      </c>
      <c r="V276" s="223">
        <f t="shared" si="1801"/>
        <v>11.076923076923077</v>
      </c>
      <c r="W276" s="243">
        <f t="shared" si="1802"/>
        <v>8.3076923076923084</v>
      </c>
      <c r="X276" s="243">
        <f t="shared" si="1803"/>
        <v>23.07692307692308</v>
      </c>
      <c r="Y276" s="252">
        <v>0</v>
      </c>
      <c r="Z276" s="198">
        <f t="shared" si="1804"/>
        <v>23.07692307692308</v>
      </c>
      <c r="AA276" s="125">
        <f>IF(X276&lt;=0,3,0)+IF(X276&gt;0,X276+1,0)*3+IF(X276&gt;12,X276-12,0)*3+IF(X276&gt;13,X276-13,0)*3+IF(X276&gt;14,X276-14,0)*3+IF(X276&gt;15,X276-15,0)*3+IF(X276&gt;16,X276-16,0)*3+IF(X276&gt;17,X276-17,0)*3+IF(X276&gt;18,X276-18,0)*3+IF(X276&gt;19,X276-19,0)*3+IF(X276&gt;20,X276-20,0)*3</f>
        <v>263.30769230769232</v>
      </c>
      <c r="AB276" s="160">
        <f>IF(Y276&lt;=0,3,0)+IF(Y276&gt;0,Y276+1,0)*3+IF(Y276&gt;12,Y276-12,0)*3+IF(Y276&gt;13,Y276-13,0)*3+IF(Y276&gt;14,Y276-14,0)*3+IF(Y276&gt;15,Y276-15,0)*3+IF(Y276&gt;16,Y276-16,0)*3+IF(Y276&gt;17,Y276-17,0)*3+IF(Y276&gt;18,Y276-18,0)*3+IF(Y276&gt;19,Y276-19,0)*3+IF(Y276&gt;20,Y276-20,0)*3</f>
        <v>3</v>
      </c>
      <c r="AC276" s="127">
        <f t="shared" si="1806"/>
        <v>260.30769230769232</v>
      </c>
      <c r="AD276" s="125">
        <f t="shared" si="1807"/>
        <v>0</v>
      </c>
      <c r="AF276" s="163" t="s">
        <v>302</v>
      </c>
      <c r="AG276" s="86" t="s">
        <v>170</v>
      </c>
      <c r="AH276" s="167" t="s">
        <v>135</v>
      </c>
      <c r="AI276" s="120"/>
      <c r="AJ276" s="117">
        <f>Konvention_1slave-KLslave</f>
        <v>12</v>
      </c>
      <c r="AK276" s="117">
        <f t="shared" si="1955"/>
        <v>12</v>
      </c>
      <c r="AL276" s="117"/>
      <c r="AM276" s="117">
        <f>Konvention_1slave-FFslave</f>
        <v>12</v>
      </c>
      <c r="AN276" s="117"/>
      <c r="AO276" s="117"/>
      <c r="AP276" s="121"/>
      <c r="AQ276" s="47">
        <f t="shared" si="1808"/>
        <v>12</v>
      </c>
      <c r="AR276" s="3">
        <f t="shared" si="1809"/>
        <v>24</v>
      </c>
      <c r="AS276" s="174">
        <f t="shared" si="1810"/>
        <v>36</v>
      </c>
      <c r="AT276" s="114">
        <f t="shared" si="1811"/>
        <v>2304</v>
      </c>
      <c r="AU276" s="117">
        <f>AJ276*AK276*FFslave+AJ276*INslave*AM276+KLslave*AK276*AM276</f>
        <v>3456</v>
      </c>
      <c r="AV276" s="119">
        <f t="shared" si="1812"/>
        <v>1728</v>
      </c>
      <c r="AW276" s="119">
        <f t="shared" si="1813"/>
        <v>7488</v>
      </c>
      <c r="AX276" s="89">
        <f t="shared" si="1814"/>
        <v>3.6923076923076925</v>
      </c>
      <c r="AY276" s="47">
        <f t="shared" si="1815"/>
        <v>11.076923076923077</v>
      </c>
      <c r="AZ276" s="127">
        <f t="shared" si="1816"/>
        <v>8.3076923076923084</v>
      </c>
      <c r="BA276" s="127">
        <f t="shared" si="1817"/>
        <v>23.07692307692308</v>
      </c>
      <c r="BB276" s="165">
        <f t="shared" si="1818"/>
        <v>0</v>
      </c>
      <c r="BC276" s="198">
        <f t="shared" si="1819"/>
        <v>23.07692307692308</v>
      </c>
      <c r="BD276" s="125">
        <f>IF(BA276&lt;=0,3,0)+IF(BA276&gt;0,BA276+1,0)*3+IF(BA276&gt;12,BA276-12,0)*3+IF(BA276&gt;13,BA276-13,0)*3+IF(BA276&gt;14,BA276-14,0)*3+IF(BA276&gt;15,BA276-15,0)*3+IF(BA276&gt;16,BA276-16,0)*3+IF(BA276&gt;17,BA276-17,0)*3+IF(BA276&gt;18,BA276-18,0)*3+IF(BA276&gt;19,BA276-19,0)*3+IF(BA276&gt;20,BA276-20,0)*3</f>
        <v>263.30769230769232</v>
      </c>
      <c r="BE276" s="160">
        <f>IF(BB276&lt;=0,3,0)+IF(BB276&gt;0,BB276+1,0)*3+IF(BB276&gt;12,BB276-12,0)*3+IF(BB276&gt;13,BB276-13,0)*3+IF(BB276&gt;14,BB276-14,0)*3+IF(BB276&gt;15,BB276-15,0)*3+IF(BB276&gt;16,BB276-16,0)*3+IF(BB276&gt;17,BB276-17,0)*3+IF(BB276&gt;18,BB276-18,0)*3+IF(BB276&gt;19,BB276-19,0)*3+IF(BB276&gt;20,BB276-20,0)*3</f>
        <v>3</v>
      </c>
      <c r="BF276" s="243">
        <f t="shared" si="1821"/>
        <v>260.30769230769232</v>
      </c>
      <c r="BG276" s="218">
        <f t="shared" si="1822"/>
        <v>0</v>
      </c>
      <c r="BI276" s="303" t="s">
        <v>302</v>
      </c>
      <c r="BJ276" s="304" t="s">
        <v>170</v>
      </c>
      <c r="BK276" s="305" t="s">
        <v>135</v>
      </c>
      <c r="BL276" s="317"/>
      <c r="BM276" s="254">
        <f>Konvention_1slave-KLslave_KL</f>
        <v>11</v>
      </c>
      <c r="BN276" s="254">
        <f t="shared" si="1930"/>
        <v>12</v>
      </c>
      <c r="BO276" s="254"/>
      <c r="BP276" s="254">
        <f>Konvention_1slave-FFslave</f>
        <v>12</v>
      </c>
      <c r="BQ276" s="254"/>
      <c r="BR276" s="254"/>
      <c r="BS276" s="318"/>
      <c r="BT276" s="223">
        <f t="shared" si="1823"/>
        <v>11.666666666666666</v>
      </c>
      <c r="BU276" s="223">
        <f t="shared" si="1824"/>
        <v>23.333333333333332</v>
      </c>
      <c r="BV276" s="224">
        <f t="shared" si="1825"/>
        <v>35</v>
      </c>
      <c r="BW276" s="237">
        <f t="shared" si="1826"/>
        <v>2432</v>
      </c>
      <c r="BX276" s="254">
        <f>BM276*BN276*FFslave+BM276*INslave*BP276+KLslave_KL*BN276*BP276</f>
        <v>3408</v>
      </c>
      <c r="BY276" s="224">
        <f t="shared" si="1827"/>
        <v>1584</v>
      </c>
      <c r="BZ276" s="224">
        <f t="shared" si="1828"/>
        <v>7424</v>
      </c>
      <c r="CA276" s="222">
        <f t="shared" si="1829"/>
        <v>3.8218390804597702</v>
      </c>
      <c r="CB276" s="223">
        <f t="shared" si="1830"/>
        <v>10.711206896551724</v>
      </c>
      <c r="CC276" s="243">
        <f t="shared" si="1831"/>
        <v>7.4676724137931032</v>
      </c>
      <c r="CD276" s="243">
        <f t="shared" si="1832"/>
        <v>22.000718390804597</v>
      </c>
      <c r="CE276" s="252">
        <f t="shared" si="1833"/>
        <v>0</v>
      </c>
      <c r="CF276" s="309">
        <f t="shared" si="1834"/>
        <v>22.000718390804597</v>
      </c>
      <c r="CG276" s="218">
        <f>IF(CD276&lt;=0,3,0)+IF(CD276&gt;0,CD276+1,0)*3+IF(CD276&gt;12,CD276-12,0)*3+IF(CD276&gt;13,CD276-13,0)*3+IF(CD276&gt;14,CD276-14,0)*3+IF(CD276&gt;15,CD276-15,0)*3+IF(CD276&gt;16,CD276-16,0)*3+IF(CD276&gt;17,CD276-17,0)*3+IF(CD276&gt;18,CD276-18,0)*3+IF(CD276&gt;19,CD276-19,0)*3+IF(CD276&gt;20,CD276-20,0)*3</f>
        <v>231.02155172413785</v>
      </c>
      <c r="CH276" s="242">
        <f>IF(CE276&lt;=0,3,0)+IF(CE276&gt;0,CE276+1,0)*3+IF(CE276&gt;12,CE276-12,0)*3+IF(CE276&gt;13,CE276-13,0)*3+IF(CE276&gt;14,CE276-14,0)*3+IF(CE276&gt;15,CE276-15,0)*3+IF(CE276&gt;16,CE276-16,0)*3+IF(CE276&gt;17,CE276-17,0)*3+IF(CE276&gt;18,CE276-18,0)*3+IF(CE276&gt;19,CE276-19,0)*3+IF(CE276&gt;20,CE276-20,0)*3</f>
        <v>3</v>
      </c>
      <c r="CI276" s="243">
        <f t="shared" si="1836"/>
        <v>228.02155172413785</v>
      </c>
      <c r="CJ276" s="218">
        <f t="shared" si="1837"/>
        <v>0</v>
      </c>
      <c r="CL276" s="303" t="s">
        <v>302</v>
      </c>
      <c r="CM276" s="304" t="s">
        <v>170</v>
      </c>
      <c r="CN276" s="305" t="s">
        <v>135</v>
      </c>
      <c r="CO276" s="317"/>
      <c r="CP276" s="254">
        <f>Konvention_1slave-KLslave</f>
        <v>12</v>
      </c>
      <c r="CQ276" s="254">
        <f t="shared" si="1931"/>
        <v>11</v>
      </c>
      <c r="CR276" s="254"/>
      <c r="CS276" s="254">
        <f>Konvention_1slave-FFslave</f>
        <v>12</v>
      </c>
      <c r="CT276" s="254"/>
      <c r="CU276" s="254"/>
      <c r="CV276" s="318"/>
      <c r="CW276" s="223">
        <f t="shared" si="1838"/>
        <v>11.666666666666666</v>
      </c>
      <c r="CX276" s="223">
        <f t="shared" si="1839"/>
        <v>23.333333333333332</v>
      </c>
      <c r="CY276" s="224">
        <f t="shared" si="1840"/>
        <v>35</v>
      </c>
      <c r="CZ276" s="237">
        <f t="shared" si="1841"/>
        <v>2432</v>
      </c>
      <c r="DA276" s="254">
        <f>CP276*CQ276*FFslave+CP276*INslave_IN*CS276+KLslave*CQ276*CS276</f>
        <v>3408</v>
      </c>
      <c r="DB276" s="224">
        <f t="shared" si="1842"/>
        <v>1584</v>
      </c>
      <c r="DC276" s="224">
        <f t="shared" si="1843"/>
        <v>7424</v>
      </c>
      <c r="DD276" s="222">
        <f t="shared" si="1844"/>
        <v>3.8218390804597702</v>
      </c>
      <c r="DE276" s="223">
        <f t="shared" si="1845"/>
        <v>10.711206896551724</v>
      </c>
      <c r="DF276" s="243">
        <f t="shared" si="1846"/>
        <v>7.4676724137931032</v>
      </c>
      <c r="DG276" s="243">
        <f t="shared" si="1847"/>
        <v>22.000718390804597</v>
      </c>
      <c r="DH276" s="252">
        <f t="shared" si="1848"/>
        <v>0</v>
      </c>
      <c r="DI276" s="309">
        <f t="shared" si="1849"/>
        <v>22.000718390804597</v>
      </c>
      <c r="DJ276" s="218">
        <f>IF(DG276&lt;=0,3,0)+IF(DG276&gt;0,DG276+1,0)*3+IF(DG276&gt;12,DG276-12,0)*3+IF(DG276&gt;13,DG276-13,0)*3+IF(DG276&gt;14,DG276-14,0)*3+IF(DG276&gt;15,DG276-15,0)*3+IF(DG276&gt;16,DG276-16,0)*3+IF(DG276&gt;17,DG276-17,0)*3+IF(DG276&gt;18,DG276-18,0)*3+IF(DG276&gt;19,DG276-19,0)*3+IF(DG276&gt;20,DG276-20,0)*3</f>
        <v>231.02155172413785</v>
      </c>
      <c r="DK276" s="242">
        <f>IF(DH276&lt;=0,3,0)+IF(DH276&gt;0,DH276+1,0)*3+IF(DH276&gt;12,DH276-12,0)*3+IF(DH276&gt;13,DH276-13,0)*3+IF(DH276&gt;14,DH276-14,0)*3+IF(DH276&gt;15,DH276-15,0)*3+IF(DH276&gt;16,DH276-16,0)*3+IF(DH276&gt;17,DH276-17,0)*3+IF(DH276&gt;18,DH276-18,0)*3+IF(DH276&gt;19,DH276-19,0)*3+IF(DH276&gt;20,DH276-20,0)*3</f>
        <v>3</v>
      </c>
      <c r="DL276" s="243">
        <f t="shared" si="1851"/>
        <v>228.02155172413785</v>
      </c>
      <c r="DM276" s="218">
        <f t="shared" si="1852"/>
        <v>0</v>
      </c>
      <c r="DO276" s="303" t="s">
        <v>302</v>
      </c>
      <c r="DP276" s="304" t="s">
        <v>170</v>
      </c>
      <c r="DQ276" s="305" t="s">
        <v>135</v>
      </c>
      <c r="DR276" s="317"/>
      <c r="DS276" s="254">
        <f>Konvention_1slave-KLslave</f>
        <v>12</v>
      </c>
      <c r="DT276" s="254">
        <f t="shared" si="1932"/>
        <v>12</v>
      </c>
      <c r="DU276" s="254"/>
      <c r="DV276" s="254">
        <f>Konvention_1slave-FFslave</f>
        <v>12</v>
      </c>
      <c r="DW276" s="254"/>
      <c r="DX276" s="254"/>
      <c r="DY276" s="318"/>
      <c r="DZ276" s="223">
        <f t="shared" si="1853"/>
        <v>12</v>
      </c>
      <c r="EA276" s="223">
        <f t="shared" si="1854"/>
        <v>24</v>
      </c>
      <c r="EB276" s="224">
        <f t="shared" si="1855"/>
        <v>36</v>
      </c>
      <c r="EC276" s="237">
        <f t="shared" si="1856"/>
        <v>2304</v>
      </c>
      <c r="ED276" s="254">
        <f>DS276*DT276*FFslave+DS276*INslave*DV276+KLslave*DT276*DV276</f>
        <v>3456</v>
      </c>
      <c r="EE276" s="224">
        <f t="shared" si="1857"/>
        <v>1728</v>
      </c>
      <c r="EF276" s="224">
        <f t="shared" si="1858"/>
        <v>7488</v>
      </c>
      <c r="EG276" s="222">
        <f t="shared" si="1859"/>
        <v>3.6923076923076925</v>
      </c>
      <c r="EH276" s="223">
        <f t="shared" si="1860"/>
        <v>11.076923076923077</v>
      </c>
      <c r="EI276" s="243">
        <f t="shared" si="1861"/>
        <v>8.3076923076923084</v>
      </c>
      <c r="EJ276" s="243">
        <f t="shared" si="1862"/>
        <v>23.07692307692308</v>
      </c>
      <c r="EK276" s="252">
        <f t="shared" si="1863"/>
        <v>0</v>
      </c>
      <c r="EL276" s="309">
        <f t="shared" si="1864"/>
        <v>23.07692307692308</v>
      </c>
      <c r="EM276" s="218">
        <f>IF(EJ276&lt;=0,3,0)+IF(EJ276&gt;0,EJ276+1,0)*3+IF(EJ276&gt;12,EJ276-12,0)*3+IF(EJ276&gt;13,EJ276-13,0)*3+IF(EJ276&gt;14,EJ276-14,0)*3+IF(EJ276&gt;15,EJ276-15,0)*3+IF(EJ276&gt;16,EJ276-16,0)*3+IF(EJ276&gt;17,EJ276-17,0)*3+IF(EJ276&gt;18,EJ276-18,0)*3+IF(EJ276&gt;19,EJ276-19,0)*3+IF(EJ276&gt;20,EJ276-20,0)*3</f>
        <v>263.30769230769232</v>
      </c>
      <c r="EN276" s="242">
        <f>IF(EK276&lt;=0,3,0)+IF(EK276&gt;0,EK276+1,0)*3+IF(EK276&gt;12,EK276-12,0)*3+IF(EK276&gt;13,EK276-13,0)*3+IF(EK276&gt;14,EK276-14,0)*3+IF(EK276&gt;15,EK276-15,0)*3+IF(EK276&gt;16,EK276-16,0)*3+IF(EK276&gt;17,EK276-17,0)*3+IF(EK276&gt;18,EK276-18,0)*3+IF(EK276&gt;19,EK276-19,0)*3+IF(EK276&gt;20,EK276-20,0)*3</f>
        <v>3</v>
      </c>
      <c r="EO276" s="243">
        <f t="shared" si="1866"/>
        <v>260.30769230769232</v>
      </c>
      <c r="EP276" s="218">
        <f t="shared" si="1867"/>
        <v>0</v>
      </c>
      <c r="ER276" s="303" t="s">
        <v>302</v>
      </c>
      <c r="ES276" s="304" t="s">
        <v>170</v>
      </c>
      <c r="ET276" s="305" t="s">
        <v>135</v>
      </c>
      <c r="EU276" s="317"/>
      <c r="EV276" s="254">
        <f>Konvention_1slave-KLslave</f>
        <v>12</v>
      </c>
      <c r="EW276" s="254">
        <f t="shared" si="1933"/>
        <v>12</v>
      </c>
      <c r="EX276" s="254"/>
      <c r="EY276" s="254">
        <f>Konvention_1slave-FFslave_FF</f>
        <v>11</v>
      </c>
      <c r="EZ276" s="254"/>
      <c r="FA276" s="254"/>
      <c r="FB276" s="318"/>
      <c r="FC276" s="223">
        <f t="shared" si="1868"/>
        <v>11.666666666666666</v>
      </c>
      <c r="FD276" s="223">
        <f t="shared" si="1869"/>
        <v>23.333333333333332</v>
      </c>
      <c r="FE276" s="224">
        <f t="shared" si="1870"/>
        <v>35</v>
      </c>
      <c r="FF276" s="237">
        <f t="shared" si="1871"/>
        <v>2432</v>
      </c>
      <c r="FG276" s="254">
        <f>EV276*EW276*FFslave_FF+EV276*INslave*EY276+KLslave*EW276*EY276</f>
        <v>3408</v>
      </c>
      <c r="FH276" s="224">
        <f t="shared" si="1872"/>
        <v>1584</v>
      </c>
      <c r="FI276" s="224">
        <f t="shared" si="1873"/>
        <v>7424</v>
      </c>
      <c r="FJ276" s="222">
        <f t="shared" si="1874"/>
        <v>3.8218390804597702</v>
      </c>
      <c r="FK276" s="223">
        <f t="shared" si="1875"/>
        <v>10.711206896551724</v>
      </c>
      <c r="FL276" s="243">
        <f t="shared" si="1876"/>
        <v>7.4676724137931032</v>
      </c>
      <c r="FM276" s="243">
        <f t="shared" si="1877"/>
        <v>22.000718390804597</v>
      </c>
      <c r="FN276" s="252">
        <f t="shared" si="1878"/>
        <v>0</v>
      </c>
      <c r="FO276" s="309">
        <f t="shared" si="1879"/>
        <v>22.000718390804597</v>
      </c>
      <c r="FP276" s="218">
        <f>IF(FM276&lt;=0,3,0)+IF(FM276&gt;0,FM276+1,0)*3+IF(FM276&gt;12,FM276-12,0)*3+IF(FM276&gt;13,FM276-13,0)*3+IF(FM276&gt;14,FM276-14,0)*3+IF(FM276&gt;15,FM276-15,0)*3+IF(FM276&gt;16,FM276-16,0)*3+IF(FM276&gt;17,FM276-17,0)*3+IF(FM276&gt;18,FM276-18,0)*3+IF(FM276&gt;19,FM276-19,0)*3+IF(FM276&gt;20,FM276-20,0)*3</f>
        <v>231.02155172413785</v>
      </c>
      <c r="FQ276" s="242">
        <f>IF(FN276&lt;=0,3,0)+IF(FN276&gt;0,FN276+1,0)*3+IF(FN276&gt;12,FN276-12,0)*3+IF(FN276&gt;13,FN276-13,0)*3+IF(FN276&gt;14,FN276-14,0)*3+IF(FN276&gt;15,FN276-15,0)*3+IF(FN276&gt;16,FN276-16,0)*3+IF(FN276&gt;17,FN276-17,0)*3+IF(FN276&gt;18,FN276-18,0)*3+IF(FN276&gt;19,FN276-19,0)*3+IF(FN276&gt;20,FN276-20,0)*3</f>
        <v>3</v>
      </c>
      <c r="FR276" s="243">
        <f t="shared" si="1881"/>
        <v>228.02155172413785</v>
      </c>
      <c r="FS276" s="218">
        <f t="shared" si="1882"/>
        <v>0</v>
      </c>
      <c r="FU276" s="303" t="s">
        <v>302</v>
      </c>
      <c r="FV276" s="304" t="s">
        <v>170</v>
      </c>
      <c r="FW276" s="305" t="s">
        <v>135</v>
      </c>
      <c r="FX276" s="317"/>
      <c r="FY276" s="254">
        <f>Konvention_1slave-KLslave</f>
        <v>12</v>
      </c>
      <c r="FZ276" s="254">
        <f t="shared" si="1934"/>
        <v>12</v>
      </c>
      <c r="GA276" s="254"/>
      <c r="GB276" s="254">
        <f>Konvention_1slave-FFslave</f>
        <v>12</v>
      </c>
      <c r="GC276" s="254"/>
      <c r="GD276" s="254"/>
      <c r="GE276" s="318"/>
      <c r="GF276" s="223">
        <f t="shared" si="1883"/>
        <v>12</v>
      </c>
      <c r="GG276" s="223">
        <f t="shared" si="1884"/>
        <v>24</v>
      </c>
      <c r="GH276" s="224">
        <f t="shared" si="1885"/>
        <v>36</v>
      </c>
      <c r="GI276" s="237">
        <f t="shared" si="1886"/>
        <v>2304</v>
      </c>
      <c r="GJ276" s="254">
        <f>FY276*FZ276*FFslave+FY276*INslave*GB276+KLslave*FZ276*GB276</f>
        <v>3456</v>
      </c>
      <c r="GK276" s="224">
        <f t="shared" si="1887"/>
        <v>1728</v>
      </c>
      <c r="GL276" s="224">
        <f t="shared" si="1888"/>
        <v>7488</v>
      </c>
      <c r="GM276" s="222">
        <f t="shared" si="1889"/>
        <v>3.6923076923076925</v>
      </c>
      <c r="GN276" s="223">
        <f t="shared" si="1890"/>
        <v>11.076923076923077</v>
      </c>
      <c r="GO276" s="243">
        <f t="shared" si="1891"/>
        <v>8.3076923076923084</v>
      </c>
      <c r="GP276" s="243">
        <f t="shared" si="1892"/>
        <v>23.07692307692308</v>
      </c>
      <c r="GQ276" s="252">
        <f t="shared" si="1893"/>
        <v>0</v>
      </c>
      <c r="GR276" s="309">
        <f t="shared" si="1894"/>
        <v>23.07692307692308</v>
      </c>
      <c r="GS276" s="218">
        <f>IF(GP276&lt;=0,3,0)+IF(GP276&gt;0,GP276+1,0)*3+IF(GP276&gt;12,GP276-12,0)*3+IF(GP276&gt;13,GP276-13,0)*3+IF(GP276&gt;14,GP276-14,0)*3+IF(GP276&gt;15,GP276-15,0)*3+IF(GP276&gt;16,GP276-16,0)*3+IF(GP276&gt;17,GP276-17,0)*3+IF(GP276&gt;18,GP276-18,0)*3+IF(GP276&gt;19,GP276-19,0)*3+IF(GP276&gt;20,GP276-20,0)*3</f>
        <v>263.30769230769232</v>
      </c>
      <c r="GT276" s="242">
        <f>IF(GQ276&lt;=0,3,0)+IF(GQ276&gt;0,GQ276+1,0)*3+IF(GQ276&gt;12,GQ276-12,0)*3+IF(GQ276&gt;13,GQ276-13,0)*3+IF(GQ276&gt;14,GQ276-14,0)*3+IF(GQ276&gt;15,GQ276-15,0)*3+IF(GQ276&gt;16,GQ276-16,0)*3+IF(GQ276&gt;17,GQ276-17,0)*3+IF(GQ276&gt;18,GQ276-18,0)*3+IF(GQ276&gt;19,GQ276-19,0)*3+IF(GQ276&gt;20,GQ276-20,0)*3</f>
        <v>3</v>
      </c>
      <c r="GU276" s="243">
        <f t="shared" si="1896"/>
        <v>260.30769230769232</v>
      </c>
      <c r="GV276" s="218">
        <f t="shared" si="1897"/>
        <v>0</v>
      </c>
      <c r="GX276" s="303" t="s">
        <v>302</v>
      </c>
      <c r="GY276" s="304" t="s">
        <v>170</v>
      </c>
      <c r="GZ276" s="305" t="s">
        <v>135</v>
      </c>
      <c r="HA276" s="317"/>
      <c r="HB276" s="254">
        <f>Konvention_1slave-KLslave</f>
        <v>12</v>
      </c>
      <c r="HC276" s="254">
        <f t="shared" si="1935"/>
        <v>12</v>
      </c>
      <c r="HD276" s="254"/>
      <c r="HE276" s="254">
        <f>Konvention_1slave-FFslave</f>
        <v>12</v>
      </c>
      <c r="HF276" s="254"/>
      <c r="HG276" s="254"/>
      <c r="HH276" s="318"/>
      <c r="HI276" s="223">
        <f t="shared" si="1898"/>
        <v>12</v>
      </c>
      <c r="HJ276" s="223">
        <f t="shared" si="1899"/>
        <v>24</v>
      </c>
      <c r="HK276" s="224">
        <f t="shared" si="1900"/>
        <v>36</v>
      </c>
      <c r="HL276" s="237">
        <f t="shared" si="1901"/>
        <v>2304</v>
      </c>
      <c r="HM276" s="254">
        <f>HB276*HC276*FFslave+HB276*INslave*HE276+KLslave*HC276*HE276</f>
        <v>3456</v>
      </c>
      <c r="HN276" s="224">
        <f t="shared" si="1902"/>
        <v>1728</v>
      </c>
      <c r="HO276" s="224">
        <f t="shared" si="1903"/>
        <v>7488</v>
      </c>
      <c r="HP276" s="222">
        <f t="shared" si="1904"/>
        <v>3.6923076923076925</v>
      </c>
      <c r="HQ276" s="223">
        <f t="shared" si="1905"/>
        <v>11.076923076923077</v>
      </c>
      <c r="HR276" s="243">
        <f t="shared" si="1906"/>
        <v>8.3076923076923084</v>
      </c>
      <c r="HS276" s="243">
        <f t="shared" si="1907"/>
        <v>23.07692307692308</v>
      </c>
      <c r="HT276" s="252">
        <f t="shared" si="1908"/>
        <v>0</v>
      </c>
      <c r="HU276" s="309">
        <f t="shared" si="1909"/>
        <v>23.07692307692308</v>
      </c>
      <c r="HV276" s="218">
        <f>IF(HS276&lt;=0,3,0)+IF(HS276&gt;0,HS276+1,0)*3+IF(HS276&gt;12,HS276-12,0)*3+IF(HS276&gt;13,HS276-13,0)*3+IF(HS276&gt;14,HS276-14,0)*3+IF(HS276&gt;15,HS276-15,0)*3+IF(HS276&gt;16,HS276-16,0)*3+IF(HS276&gt;17,HS276-17,0)*3+IF(HS276&gt;18,HS276-18,0)*3+IF(HS276&gt;19,HS276-19,0)*3+IF(HS276&gt;20,HS276-20,0)*3</f>
        <v>263.30769230769232</v>
      </c>
      <c r="HW276" s="242">
        <f>IF(HT276&lt;=0,3,0)+IF(HT276&gt;0,HT276+1,0)*3+IF(HT276&gt;12,HT276-12,0)*3+IF(HT276&gt;13,HT276-13,0)*3+IF(HT276&gt;14,HT276-14,0)*3+IF(HT276&gt;15,HT276-15,0)*3+IF(HT276&gt;16,HT276-16,0)*3+IF(HT276&gt;17,HT276-17,0)*3+IF(HT276&gt;18,HT276-18,0)*3+IF(HT276&gt;19,HT276-19,0)*3+IF(HT276&gt;20,HT276-20,0)*3</f>
        <v>3</v>
      </c>
      <c r="HX276" s="243">
        <f t="shared" si="1911"/>
        <v>260.30769230769232</v>
      </c>
      <c r="HY276" s="218">
        <f t="shared" si="1912"/>
        <v>0</v>
      </c>
      <c r="IA276" s="303" t="s">
        <v>302</v>
      </c>
      <c r="IB276" s="304" t="s">
        <v>170</v>
      </c>
      <c r="IC276" s="305" t="s">
        <v>135</v>
      </c>
      <c r="ID276" s="317"/>
      <c r="IE276" s="254">
        <f>Konvention_1slave-KLslave</f>
        <v>12</v>
      </c>
      <c r="IF276" s="254">
        <f t="shared" si="1936"/>
        <v>12</v>
      </c>
      <c r="IG276" s="254"/>
      <c r="IH276" s="254">
        <f>Konvention_1slave-FFslave</f>
        <v>12</v>
      </c>
      <c r="II276" s="254"/>
      <c r="IJ276" s="254"/>
      <c r="IK276" s="318"/>
      <c r="IL276" s="223">
        <f t="shared" si="1913"/>
        <v>12</v>
      </c>
      <c r="IM276" s="223">
        <f t="shared" si="1914"/>
        <v>24</v>
      </c>
      <c r="IN276" s="224">
        <f t="shared" si="1915"/>
        <v>36</v>
      </c>
      <c r="IO276" s="237">
        <f t="shared" si="1916"/>
        <v>2304</v>
      </c>
      <c r="IP276" s="254">
        <f>IE276*IF276*FFslave+IE276*INslave*IH276+KLslave*IF276*IH276</f>
        <v>3456</v>
      </c>
      <c r="IQ276" s="224">
        <f t="shared" si="1917"/>
        <v>1728</v>
      </c>
      <c r="IR276" s="224">
        <f t="shared" si="1918"/>
        <v>7488</v>
      </c>
      <c r="IS276" s="222">
        <f t="shared" si="1919"/>
        <v>3.6923076923076925</v>
      </c>
      <c r="IT276" s="223">
        <f t="shared" si="1920"/>
        <v>11.076923076923077</v>
      </c>
      <c r="IU276" s="243">
        <f t="shared" si="1921"/>
        <v>8.3076923076923084</v>
      </c>
      <c r="IV276" s="243">
        <f t="shared" si="1922"/>
        <v>23.07692307692308</v>
      </c>
      <c r="IW276" s="252">
        <f t="shared" si="1923"/>
        <v>0</v>
      </c>
      <c r="IX276" s="309">
        <f t="shared" si="1924"/>
        <v>23.07692307692308</v>
      </c>
      <c r="IY276" s="218">
        <f>IF(IV276&lt;=0,3,0)+IF(IV276&gt;0,IV276+1,0)*3+IF(IV276&gt;12,IV276-12,0)*3+IF(IV276&gt;13,IV276-13,0)*3+IF(IV276&gt;14,IV276-14,0)*3+IF(IV276&gt;15,IV276-15,0)*3+IF(IV276&gt;16,IV276-16,0)*3+IF(IV276&gt;17,IV276-17,0)*3+IF(IV276&gt;18,IV276-18,0)*3+IF(IV276&gt;19,IV276-19,0)*3+IF(IV276&gt;20,IV276-20,0)*3</f>
        <v>263.30769230769232</v>
      </c>
      <c r="IZ276" s="242">
        <f>IF(IW276&lt;=0,3,0)+IF(IW276&gt;0,IW276+1,0)*3+IF(IW276&gt;12,IW276-12,0)*3+IF(IW276&gt;13,IW276-13,0)*3+IF(IW276&gt;14,IW276-14,0)*3+IF(IW276&gt;15,IW276-15,0)*3+IF(IW276&gt;16,IW276-16,0)*3+IF(IW276&gt;17,IW276-17,0)*3+IF(IW276&gt;18,IW276-18,0)*3+IF(IW276&gt;19,IW276-19,0)*3+IF(IW276&gt;20,IW276-20,0)*3</f>
        <v>3</v>
      </c>
      <c r="JA276" s="243">
        <f t="shared" si="1926"/>
        <v>260.30769230769232</v>
      </c>
      <c r="JB276" s="218">
        <f t="shared" si="1927"/>
        <v>0</v>
      </c>
      <c r="JE276" s="148"/>
    </row>
    <row r="277" spans="2:265" hidden="1" outlineLevel="2">
      <c r="B277" s="148">
        <v>17</v>
      </c>
      <c r="C277" s="303" t="e">
        <f>VLOOKUP(AF277,Attribute!C:T,1,FALSE)</f>
        <v>#N/A</v>
      </c>
      <c r="D277" s="86" t="s">
        <v>100</v>
      </c>
      <c r="E277" s="167" t="s">
        <v>132</v>
      </c>
      <c r="F277" s="120">
        <f>Konvention_1master-MUmaster</f>
        <v>12</v>
      </c>
      <c r="G277" s="117"/>
      <c r="H277" s="117">
        <f t="shared" si="1928"/>
        <v>12</v>
      </c>
      <c r="I277" s="117"/>
      <c r="J277" s="117"/>
      <c r="K277" s="117"/>
      <c r="L277" s="117">
        <f>Konvention_1master-KOmaster</f>
        <v>12</v>
      </c>
      <c r="M277" s="121"/>
      <c r="N277" s="223">
        <f t="shared" si="1794"/>
        <v>12</v>
      </c>
      <c r="O277" s="223">
        <f t="shared" si="1795"/>
        <v>24</v>
      </c>
      <c r="P277" s="224">
        <f t="shared" si="1796"/>
        <v>36</v>
      </c>
      <c r="Q277" s="237">
        <f t="shared" si="1797"/>
        <v>2304</v>
      </c>
      <c r="R277" s="117">
        <f>F277*H277*KOmaster+F277*INmaster*L277+MUmaster*H277*L277</f>
        <v>3456</v>
      </c>
      <c r="S277" s="224">
        <f t="shared" si="1798"/>
        <v>1728</v>
      </c>
      <c r="T277" s="224">
        <f t="shared" si="1799"/>
        <v>7488</v>
      </c>
      <c r="U277" s="222">
        <f t="shared" si="1800"/>
        <v>3.6923076923076925</v>
      </c>
      <c r="V277" s="223">
        <f t="shared" si="1801"/>
        <v>11.076923076923077</v>
      </c>
      <c r="W277" s="243">
        <f t="shared" si="1802"/>
        <v>8.3076923076923084</v>
      </c>
      <c r="X277" s="243">
        <f t="shared" si="1803"/>
        <v>23.07692307692308</v>
      </c>
      <c r="Y277" s="252">
        <v>0</v>
      </c>
      <c r="Z277" s="198">
        <f t="shared" si="1804"/>
        <v>23.07692307692308</v>
      </c>
      <c r="AA277" s="125">
        <f>IF(X277&lt;=0,2,0)+IF(X277&gt;0,X277+1,0)*2+IF(X277&gt;12,X277-12,0)*2+IF(X277&gt;13,X277-13,0)*2+IF(X277&gt;14,X277-14,0)*2+IF(X277&gt;15,X277-15,0)*2+IF(X277&gt;16,X277-16,0)*2+IF(X277&gt;17,X277-17,0)*2+IF(X277&gt;18,X277-18,0)*2+IF(X277&gt;19,X277-19,0)*2+IF(X277&gt;20,X277-20,0)*2</f>
        <v>175.5384615384616</v>
      </c>
      <c r="AB277" s="160">
        <f>IF(Y277&lt;=0,2,0)+IF(Y277&gt;0,Y277+1,0)*2+IF(Y277&gt;12,Y277-12,0)*2+IF(Y277&gt;13,Y277-13,0)*2+IF(Y277&gt;14,Y277-14,0)*2+IF(Y277&gt;15,Y277-15,0)*2+IF(Y277&gt;16,Y277-16,0)*2+IF(Y277&gt;17,Y277-17,0)*2+IF(Y277&gt;18,Y277-18,0)*2+IF(Y277&gt;19,Y277-19,0)*2+IF(Y277&gt;20,Y277-20,0)*2</f>
        <v>2</v>
      </c>
      <c r="AC277" s="127">
        <f t="shared" si="1806"/>
        <v>173.5384615384616</v>
      </c>
      <c r="AD277" s="125">
        <f t="shared" si="1807"/>
        <v>0</v>
      </c>
      <c r="AF277" s="163" t="s">
        <v>303</v>
      </c>
      <c r="AG277" s="86" t="s">
        <v>100</v>
      </c>
      <c r="AH277" s="167" t="s">
        <v>132</v>
      </c>
      <c r="AI277" s="120">
        <f>Konvention_1slave-MUslave_MU</f>
        <v>11</v>
      </c>
      <c r="AJ277" s="117"/>
      <c r="AK277" s="117">
        <f>Konvention_1slave-INslave</f>
        <v>12</v>
      </c>
      <c r="AL277" s="117"/>
      <c r="AM277" s="117"/>
      <c r="AN277" s="117"/>
      <c r="AO277" s="117">
        <f>Konvention_1slave-KOslave</f>
        <v>12</v>
      </c>
      <c r="AP277" s="121"/>
      <c r="AQ277" s="47">
        <f t="shared" si="1808"/>
        <v>11.666666666666666</v>
      </c>
      <c r="AR277" s="3">
        <f t="shared" si="1809"/>
        <v>23.333333333333332</v>
      </c>
      <c r="AS277" s="174">
        <f t="shared" si="1810"/>
        <v>35</v>
      </c>
      <c r="AT277" s="114">
        <f t="shared" si="1811"/>
        <v>2432</v>
      </c>
      <c r="AU277" s="117">
        <f>AI277*AK277*KOslave+AI277*INslave*AO277+MUslave_MU*AK277*AO277</f>
        <v>3408</v>
      </c>
      <c r="AV277" s="119">
        <f t="shared" si="1812"/>
        <v>1584</v>
      </c>
      <c r="AW277" s="119">
        <f t="shared" si="1813"/>
        <v>7424</v>
      </c>
      <c r="AX277" s="89">
        <f t="shared" si="1814"/>
        <v>3.8218390804597702</v>
      </c>
      <c r="AY277" s="47">
        <f t="shared" si="1815"/>
        <v>10.711206896551724</v>
      </c>
      <c r="AZ277" s="127">
        <f t="shared" si="1816"/>
        <v>7.4676724137931032</v>
      </c>
      <c r="BA277" s="127">
        <f t="shared" si="1817"/>
        <v>22.000718390804597</v>
      </c>
      <c r="BB277" s="165">
        <f t="shared" si="1818"/>
        <v>0</v>
      </c>
      <c r="BC277" s="198">
        <f t="shared" si="1819"/>
        <v>22.000718390804597</v>
      </c>
      <c r="BD277" s="125">
        <f>IF(BA277&lt;=0,2,0)+IF(BA277&gt;0,BA277+1,0)*2+IF(BA277&gt;12,BA277-12,0)*2+IF(BA277&gt;13,BA277-13,0)*2+IF(BA277&gt;14,BA277-14,0)*2+IF(BA277&gt;15,BA277-15,0)*2+IF(BA277&gt;16,BA277-16,0)*2+IF(BA277&gt;17,BA277-17,0)*2+IF(BA277&gt;18,BA277-18,0)*2+IF(BA277&gt;19,BA277-19,0)*2+IF(BA277&gt;20,BA277-20,0)*2</f>
        <v>154.01436781609189</v>
      </c>
      <c r="BE277" s="160">
        <f>IF(BB277&lt;=0,2,0)+IF(BB277&gt;0,BB277+1,0)*2+IF(BB277&gt;12,BB277-12,0)*2+IF(BB277&gt;13,BB277-13,0)*2+IF(BB277&gt;14,BB277-14,0)*2+IF(BB277&gt;15,BB277-15,0)*2+IF(BB277&gt;16,BB277-16,0)*2+IF(BB277&gt;17,BB277-17,0)*2+IF(BB277&gt;18,BB277-18,0)*2+IF(BB277&gt;19,BB277-19,0)*2+IF(BB277&gt;20,BB277-20,0)*2</f>
        <v>2</v>
      </c>
      <c r="BF277" s="243">
        <f t="shared" si="1821"/>
        <v>152.01436781609189</v>
      </c>
      <c r="BG277" s="218">
        <f t="shared" si="1822"/>
        <v>0</v>
      </c>
      <c r="BI277" s="303" t="s">
        <v>303</v>
      </c>
      <c r="BJ277" s="304" t="s">
        <v>100</v>
      </c>
      <c r="BK277" s="305" t="s">
        <v>132</v>
      </c>
      <c r="BL277" s="317">
        <f>Konvention_1slave-MUslave</f>
        <v>12</v>
      </c>
      <c r="BM277" s="254"/>
      <c r="BN277" s="254">
        <f t="shared" si="1930"/>
        <v>12</v>
      </c>
      <c r="BO277" s="254"/>
      <c r="BP277" s="254"/>
      <c r="BQ277" s="254"/>
      <c r="BR277" s="254">
        <f>Konvention_1slave-KOslave</f>
        <v>12</v>
      </c>
      <c r="BS277" s="318"/>
      <c r="BT277" s="223">
        <f t="shared" si="1823"/>
        <v>12</v>
      </c>
      <c r="BU277" s="223">
        <f t="shared" si="1824"/>
        <v>24</v>
      </c>
      <c r="BV277" s="224">
        <f t="shared" si="1825"/>
        <v>36</v>
      </c>
      <c r="BW277" s="237">
        <f t="shared" si="1826"/>
        <v>2304</v>
      </c>
      <c r="BX277" s="254">
        <f>BL277*BN277*KOslave+BL277*INslave*BR277+MUslave*BN277*BR277</f>
        <v>3456</v>
      </c>
      <c r="BY277" s="224">
        <f t="shared" si="1827"/>
        <v>1728</v>
      </c>
      <c r="BZ277" s="224">
        <f t="shared" si="1828"/>
        <v>7488</v>
      </c>
      <c r="CA277" s="222">
        <f t="shared" si="1829"/>
        <v>3.6923076923076925</v>
      </c>
      <c r="CB277" s="223">
        <f t="shared" si="1830"/>
        <v>11.076923076923077</v>
      </c>
      <c r="CC277" s="243">
        <f t="shared" si="1831"/>
        <v>8.3076923076923084</v>
      </c>
      <c r="CD277" s="243">
        <f t="shared" si="1832"/>
        <v>23.07692307692308</v>
      </c>
      <c r="CE277" s="252">
        <f t="shared" si="1833"/>
        <v>0</v>
      </c>
      <c r="CF277" s="309">
        <f t="shared" si="1834"/>
        <v>23.07692307692308</v>
      </c>
      <c r="CG277" s="218">
        <f>IF(CD277&lt;=0,2,0)+IF(CD277&gt;0,CD277+1,0)*2+IF(CD277&gt;12,CD277-12,0)*2+IF(CD277&gt;13,CD277-13,0)*2+IF(CD277&gt;14,CD277-14,0)*2+IF(CD277&gt;15,CD277-15,0)*2+IF(CD277&gt;16,CD277-16,0)*2+IF(CD277&gt;17,CD277-17,0)*2+IF(CD277&gt;18,CD277-18,0)*2+IF(CD277&gt;19,CD277-19,0)*2+IF(CD277&gt;20,CD277-20,0)*2</f>
        <v>175.5384615384616</v>
      </c>
      <c r="CH277" s="242">
        <f>IF(CE277&lt;=0,2,0)+IF(CE277&gt;0,CE277+1,0)*2+IF(CE277&gt;12,CE277-12,0)*2+IF(CE277&gt;13,CE277-13,0)*2+IF(CE277&gt;14,CE277-14,0)*2+IF(CE277&gt;15,CE277-15,0)*2+IF(CE277&gt;16,CE277-16,0)*2+IF(CE277&gt;17,CE277-17,0)*2+IF(CE277&gt;18,CE277-18,0)*2+IF(CE277&gt;19,CE277-19,0)*2+IF(CE277&gt;20,CE277-20,0)*2</f>
        <v>2</v>
      </c>
      <c r="CI277" s="243">
        <f t="shared" si="1836"/>
        <v>173.5384615384616</v>
      </c>
      <c r="CJ277" s="218">
        <f t="shared" si="1837"/>
        <v>0</v>
      </c>
      <c r="CL277" s="303" t="s">
        <v>303</v>
      </c>
      <c r="CM277" s="304" t="s">
        <v>100</v>
      </c>
      <c r="CN277" s="305" t="s">
        <v>132</v>
      </c>
      <c r="CO277" s="317">
        <f>Konvention_1slave-MUslave</f>
        <v>12</v>
      </c>
      <c r="CP277" s="254"/>
      <c r="CQ277" s="254">
        <f t="shared" si="1931"/>
        <v>11</v>
      </c>
      <c r="CR277" s="254"/>
      <c r="CS277" s="254"/>
      <c r="CT277" s="254"/>
      <c r="CU277" s="254">
        <f>Konvention_1slave-KOslave</f>
        <v>12</v>
      </c>
      <c r="CV277" s="318"/>
      <c r="CW277" s="223">
        <f t="shared" si="1838"/>
        <v>11.666666666666666</v>
      </c>
      <c r="CX277" s="223">
        <f t="shared" si="1839"/>
        <v>23.333333333333332</v>
      </c>
      <c r="CY277" s="224">
        <f t="shared" si="1840"/>
        <v>35</v>
      </c>
      <c r="CZ277" s="237">
        <f t="shared" si="1841"/>
        <v>2432</v>
      </c>
      <c r="DA277" s="254">
        <f>CO277*CQ277*KOslave+CO277*INslave_IN*CU277+MUslave*CQ277*CU277</f>
        <v>3408</v>
      </c>
      <c r="DB277" s="224">
        <f t="shared" si="1842"/>
        <v>1584</v>
      </c>
      <c r="DC277" s="224">
        <f t="shared" si="1843"/>
        <v>7424</v>
      </c>
      <c r="DD277" s="222">
        <f t="shared" si="1844"/>
        <v>3.8218390804597702</v>
      </c>
      <c r="DE277" s="223">
        <f t="shared" si="1845"/>
        <v>10.711206896551724</v>
      </c>
      <c r="DF277" s="243">
        <f t="shared" si="1846"/>
        <v>7.4676724137931032</v>
      </c>
      <c r="DG277" s="243">
        <f t="shared" si="1847"/>
        <v>22.000718390804597</v>
      </c>
      <c r="DH277" s="252">
        <f t="shared" si="1848"/>
        <v>0</v>
      </c>
      <c r="DI277" s="309">
        <f t="shared" si="1849"/>
        <v>22.000718390804597</v>
      </c>
      <c r="DJ277" s="218">
        <f>IF(DG277&lt;=0,2,0)+IF(DG277&gt;0,DG277+1,0)*2+IF(DG277&gt;12,DG277-12,0)*2+IF(DG277&gt;13,DG277-13,0)*2+IF(DG277&gt;14,DG277-14,0)*2+IF(DG277&gt;15,DG277-15,0)*2+IF(DG277&gt;16,DG277-16,0)*2+IF(DG277&gt;17,DG277-17,0)*2+IF(DG277&gt;18,DG277-18,0)*2+IF(DG277&gt;19,DG277-19,0)*2+IF(DG277&gt;20,DG277-20,0)*2</f>
        <v>154.01436781609189</v>
      </c>
      <c r="DK277" s="242">
        <f>IF(DH277&lt;=0,2,0)+IF(DH277&gt;0,DH277+1,0)*2+IF(DH277&gt;12,DH277-12,0)*2+IF(DH277&gt;13,DH277-13,0)*2+IF(DH277&gt;14,DH277-14,0)*2+IF(DH277&gt;15,DH277-15,0)*2+IF(DH277&gt;16,DH277-16,0)*2+IF(DH277&gt;17,DH277-17,0)*2+IF(DH277&gt;18,DH277-18,0)*2+IF(DH277&gt;19,DH277-19,0)*2+IF(DH277&gt;20,DH277-20,0)*2</f>
        <v>2</v>
      </c>
      <c r="DL277" s="243">
        <f t="shared" si="1851"/>
        <v>152.01436781609189</v>
      </c>
      <c r="DM277" s="218">
        <f t="shared" si="1852"/>
        <v>0</v>
      </c>
      <c r="DO277" s="303" t="s">
        <v>303</v>
      </c>
      <c r="DP277" s="304" t="s">
        <v>100</v>
      </c>
      <c r="DQ277" s="305" t="s">
        <v>132</v>
      </c>
      <c r="DR277" s="317">
        <f>Konvention_1slave-MUslave</f>
        <v>12</v>
      </c>
      <c r="DS277" s="254"/>
      <c r="DT277" s="254">
        <f t="shared" si="1932"/>
        <v>12</v>
      </c>
      <c r="DU277" s="254"/>
      <c r="DV277" s="254"/>
      <c r="DW277" s="254"/>
      <c r="DX277" s="254">
        <f>Konvention_1slave-KOslave</f>
        <v>12</v>
      </c>
      <c r="DY277" s="318"/>
      <c r="DZ277" s="223">
        <f t="shared" si="1853"/>
        <v>12</v>
      </c>
      <c r="EA277" s="223">
        <f t="shared" si="1854"/>
        <v>24</v>
      </c>
      <c r="EB277" s="224">
        <f t="shared" si="1855"/>
        <v>36</v>
      </c>
      <c r="EC277" s="237">
        <f t="shared" si="1856"/>
        <v>2304</v>
      </c>
      <c r="ED277" s="254">
        <f>DR277*DT277*KOslave+DR277*INslave*DX277+MUslave*DT277*DX277</f>
        <v>3456</v>
      </c>
      <c r="EE277" s="224">
        <f t="shared" si="1857"/>
        <v>1728</v>
      </c>
      <c r="EF277" s="224">
        <f t="shared" si="1858"/>
        <v>7488</v>
      </c>
      <c r="EG277" s="222">
        <f t="shared" si="1859"/>
        <v>3.6923076923076925</v>
      </c>
      <c r="EH277" s="223">
        <f t="shared" si="1860"/>
        <v>11.076923076923077</v>
      </c>
      <c r="EI277" s="243">
        <f t="shared" si="1861"/>
        <v>8.3076923076923084</v>
      </c>
      <c r="EJ277" s="243">
        <f t="shared" si="1862"/>
        <v>23.07692307692308</v>
      </c>
      <c r="EK277" s="252">
        <f t="shared" si="1863"/>
        <v>0</v>
      </c>
      <c r="EL277" s="309">
        <f t="shared" si="1864"/>
        <v>23.07692307692308</v>
      </c>
      <c r="EM277" s="218">
        <f>IF(EJ277&lt;=0,2,0)+IF(EJ277&gt;0,EJ277+1,0)*2+IF(EJ277&gt;12,EJ277-12,0)*2+IF(EJ277&gt;13,EJ277-13,0)*2+IF(EJ277&gt;14,EJ277-14,0)*2+IF(EJ277&gt;15,EJ277-15,0)*2+IF(EJ277&gt;16,EJ277-16,0)*2+IF(EJ277&gt;17,EJ277-17,0)*2+IF(EJ277&gt;18,EJ277-18,0)*2+IF(EJ277&gt;19,EJ277-19,0)*2+IF(EJ277&gt;20,EJ277-20,0)*2</f>
        <v>175.5384615384616</v>
      </c>
      <c r="EN277" s="242">
        <f>IF(EK277&lt;=0,2,0)+IF(EK277&gt;0,EK277+1,0)*2+IF(EK277&gt;12,EK277-12,0)*2+IF(EK277&gt;13,EK277-13,0)*2+IF(EK277&gt;14,EK277-14,0)*2+IF(EK277&gt;15,EK277-15,0)*2+IF(EK277&gt;16,EK277-16,0)*2+IF(EK277&gt;17,EK277-17,0)*2+IF(EK277&gt;18,EK277-18,0)*2+IF(EK277&gt;19,EK277-19,0)*2+IF(EK277&gt;20,EK277-20,0)*2</f>
        <v>2</v>
      </c>
      <c r="EO277" s="243">
        <f t="shared" si="1866"/>
        <v>173.5384615384616</v>
      </c>
      <c r="EP277" s="218">
        <f t="shared" si="1867"/>
        <v>0</v>
      </c>
      <c r="ER277" s="303" t="s">
        <v>303</v>
      </c>
      <c r="ES277" s="304" t="s">
        <v>100</v>
      </c>
      <c r="ET277" s="305" t="s">
        <v>132</v>
      </c>
      <c r="EU277" s="317">
        <f>Konvention_1slave-MUslave</f>
        <v>12</v>
      </c>
      <c r="EV277" s="254"/>
      <c r="EW277" s="254">
        <f t="shared" si="1933"/>
        <v>12</v>
      </c>
      <c r="EX277" s="254"/>
      <c r="EY277" s="254"/>
      <c r="EZ277" s="254"/>
      <c r="FA277" s="254">
        <f>Konvention_1slave-KOslave</f>
        <v>12</v>
      </c>
      <c r="FB277" s="318"/>
      <c r="FC277" s="223">
        <f t="shared" si="1868"/>
        <v>12</v>
      </c>
      <c r="FD277" s="223">
        <f t="shared" si="1869"/>
        <v>24</v>
      </c>
      <c r="FE277" s="224">
        <f t="shared" si="1870"/>
        <v>36</v>
      </c>
      <c r="FF277" s="237">
        <f t="shared" si="1871"/>
        <v>2304</v>
      </c>
      <c r="FG277" s="254">
        <f>EU277*EW277*KOslave+EU277*INslave*FA277+MUslave*EW277*FA277</f>
        <v>3456</v>
      </c>
      <c r="FH277" s="224">
        <f t="shared" si="1872"/>
        <v>1728</v>
      </c>
      <c r="FI277" s="224">
        <f t="shared" si="1873"/>
        <v>7488</v>
      </c>
      <c r="FJ277" s="222">
        <f t="shared" si="1874"/>
        <v>3.6923076923076925</v>
      </c>
      <c r="FK277" s="223">
        <f t="shared" si="1875"/>
        <v>11.076923076923077</v>
      </c>
      <c r="FL277" s="243">
        <f t="shared" si="1876"/>
        <v>8.3076923076923084</v>
      </c>
      <c r="FM277" s="243">
        <f t="shared" si="1877"/>
        <v>23.07692307692308</v>
      </c>
      <c r="FN277" s="252">
        <f t="shared" si="1878"/>
        <v>0</v>
      </c>
      <c r="FO277" s="309">
        <f t="shared" si="1879"/>
        <v>23.07692307692308</v>
      </c>
      <c r="FP277" s="218">
        <f>IF(FM277&lt;=0,2,0)+IF(FM277&gt;0,FM277+1,0)*2+IF(FM277&gt;12,FM277-12,0)*2+IF(FM277&gt;13,FM277-13,0)*2+IF(FM277&gt;14,FM277-14,0)*2+IF(FM277&gt;15,FM277-15,0)*2+IF(FM277&gt;16,FM277-16,0)*2+IF(FM277&gt;17,FM277-17,0)*2+IF(FM277&gt;18,FM277-18,0)*2+IF(FM277&gt;19,FM277-19,0)*2+IF(FM277&gt;20,FM277-20,0)*2</f>
        <v>175.5384615384616</v>
      </c>
      <c r="FQ277" s="242">
        <f>IF(FN277&lt;=0,2,0)+IF(FN277&gt;0,FN277+1,0)*2+IF(FN277&gt;12,FN277-12,0)*2+IF(FN277&gt;13,FN277-13,0)*2+IF(FN277&gt;14,FN277-14,0)*2+IF(FN277&gt;15,FN277-15,0)*2+IF(FN277&gt;16,FN277-16,0)*2+IF(FN277&gt;17,FN277-17,0)*2+IF(FN277&gt;18,FN277-18,0)*2+IF(FN277&gt;19,FN277-19,0)*2+IF(FN277&gt;20,FN277-20,0)*2</f>
        <v>2</v>
      </c>
      <c r="FR277" s="243">
        <f t="shared" si="1881"/>
        <v>173.5384615384616</v>
      </c>
      <c r="FS277" s="218">
        <f t="shared" si="1882"/>
        <v>0</v>
      </c>
      <c r="FU277" s="303" t="s">
        <v>303</v>
      </c>
      <c r="FV277" s="304" t="s">
        <v>100</v>
      </c>
      <c r="FW277" s="305" t="s">
        <v>132</v>
      </c>
      <c r="FX277" s="317">
        <f>Konvention_1slave-MUslave</f>
        <v>12</v>
      </c>
      <c r="FY277" s="254"/>
      <c r="FZ277" s="254">
        <f t="shared" si="1934"/>
        <v>12</v>
      </c>
      <c r="GA277" s="254"/>
      <c r="GB277" s="254"/>
      <c r="GC277" s="254"/>
      <c r="GD277" s="254">
        <f>Konvention_1slave-KOslave</f>
        <v>12</v>
      </c>
      <c r="GE277" s="318"/>
      <c r="GF277" s="223">
        <f t="shared" si="1883"/>
        <v>12</v>
      </c>
      <c r="GG277" s="223">
        <f t="shared" si="1884"/>
        <v>24</v>
      </c>
      <c r="GH277" s="224">
        <f t="shared" si="1885"/>
        <v>36</v>
      </c>
      <c r="GI277" s="237">
        <f t="shared" si="1886"/>
        <v>2304</v>
      </c>
      <c r="GJ277" s="254">
        <f>FX277*FZ277*KOslave+FX277*INslave*GD277+MUslave*FZ277*GD277</f>
        <v>3456</v>
      </c>
      <c r="GK277" s="224">
        <f t="shared" si="1887"/>
        <v>1728</v>
      </c>
      <c r="GL277" s="224">
        <f t="shared" si="1888"/>
        <v>7488</v>
      </c>
      <c r="GM277" s="222">
        <f t="shared" si="1889"/>
        <v>3.6923076923076925</v>
      </c>
      <c r="GN277" s="223">
        <f t="shared" si="1890"/>
        <v>11.076923076923077</v>
      </c>
      <c r="GO277" s="243">
        <f t="shared" si="1891"/>
        <v>8.3076923076923084</v>
      </c>
      <c r="GP277" s="243">
        <f t="shared" si="1892"/>
        <v>23.07692307692308</v>
      </c>
      <c r="GQ277" s="252">
        <f t="shared" si="1893"/>
        <v>0</v>
      </c>
      <c r="GR277" s="309">
        <f t="shared" si="1894"/>
        <v>23.07692307692308</v>
      </c>
      <c r="GS277" s="218">
        <f>IF(GP277&lt;=0,2,0)+IF(GP277&gt;0,GP277+1,0)*2+IF(GP277&gt;12,GP277-12,0)*2+IF(GP277&gt;13,GP277-13,0)*2+IF(GP277&gt;14,GP277-14,0)*2+IF(GP277&gt;15,GP277-15,0)*2+IF(GP277&gt;16,GP277-16,0)*2+IF(GP277&gt;17,GP277-17,0)*2+IF(GP277&gt;18,GP277-18,0)*2+IF(GP277&gt;19,GP277-19,0)*2+IF(GP277&gt;20,GP277-20,0)*2</f>
        <v>175.5384615384616</v>
      </c>
      <c r="GT277" s="242">
        <f>IF(GQ277&lt;=0,2,0)+IF(GQ277&gt;0,GQ277+1,0)*2+IF(GQ277&gt;12,GQ277-12,0)*2+IF(GQ277&gt;13,GQ277-13,0)*2+IF(GQ277&gt;14,GQ277-14,0)*2+IF(GQ277&gt;15,GQ277-15,0)*2+IF(GQ277&gt;16,GQ277-16,0)*2+IF(GQ277&gt;17,GQ277-17,0)*2+IF(GQ277&gt;18,GQ277-18,0)*2+IF(GQ277&gt;19,GQ277-19,0)*2+IF(GQ277&gt;20,GQ277-20,0)*2</f>
        <v>2</v>
      </c>
      <c r="GU277" s="243">
        <f t="shared" si="1896"/>
        <v>173.5384615384616</v>
      </c>
      <c r="GV277" s="218">
        <f t="shared" si="1897"/>
        <v>0</v>
      </c>
      <c r="GX277" s="303" t="s">
        <v>303</v>
      </c>
      <c r="GY277" s="304" t="s">
        <v>100</v>
      </c>
      <c r="GZ277" s="305" t="s">
        <v>132</v>
      </c>
      <c r="HA277" s="317">
        <f>Konvention_1slave-MUslave</f>
        <v>12</v>
      </c>
      <c r="HB277" s="254"/>
      <c r="HC277" s="254">
        <f t="shared" si="1935"/>
        <v>12</v>
      </c>
      <c r="HD277" s="254"/>
      <c r="HE277" s="254"/>
      <c r="HF277" s="254"/>
      <c r="HG277" s="254">
        <f>Konvention_1slave-KOslave_KO</f>
        <v>11</v>
      </c>
      <c r="HH277" s="318"/>
      <c r="HI277" s="223">
        <f t="shared" si="1898"/>
        <v>11.666666666666666</v>
      </c>
      <c r="HJ277" s="223">
        <f t="shared" si="1899"/>
        <v>23.333333333333332</v>
      </c>
      <c r="HK277" s="224">
        <f t="shared" si="1900"/>
        <v>35</v>
      </c>
      <c r="HL277" s="237">
        <f t="shared" si="1901"/>
        <v>2432</v>
      </c>
      <c r="HM277" s="254">
        <f>HA277*HC277*KOslave_KO+HA277*INslave*HG277+MUslave*HC277*HG277</f>
        <v>3408</v>
      </c>
      <c r="HN277" s="224">
        <f t="shared" si="1902"/>
        <v>1584</v>
      </c>
      <c r="HO277" s="224">
        <f t="shared" si="1903"/>
        <v>7424</v>
      </c>
      <c r="HP277" s="222">
        <f t="shared" si="1904"/>
        <v>3.8218390804597702</v>
      </c>
      <c r="HQ277" s="223">
        <f t="shared" si="1905"/>
        <v>10.711206896551724</v>
      </c>
      <c r="HR277" s="243">
        <f t="shared" si="1906"/>
        <v>7.4676724137931032</v>
      </c>
      <c r="HS277" s="243">
        <f t="shared" si="1907"/>
        <v>22.000718390804597</v>
      </c>
      <c r="HT277" s="252">
        <f t="shared" si="1908"/>
        <v>0</v>
      </c>
      <c r="HU277" s="309">
        <f t="shared" si="1909"/>
        <v>22.000718390804597</v>
      </c>
      <c r="HV277" s="218">
        <f>IF(HS277&lt;=0,2,0)+IF(HS277&gt;0,HS277+1,0)*2+IF(HS277&gt;12,HS277-12,0)*2+IF(HS277&gt;13,HS277-13,0)*2+IF(HS277&gt;14,HS277-14,0)*2+IF(HS277&gt;15,HS277-15,0)*2+IF(HS277&gt;16,HS277-16,0)*2+IF(HS277&gt;17,HS277-17,0)*2+IF(HS277&gt;18,HS277-18,0)*2+IF(HS277&gt;19,HS277-19,0)*2+IF(HS277&gt;20,HS277-20,0)*2</f>
        <v>154.01436781609189</v>
      </c>
      <c r="HW277" s="242">
        <f>IF(HT277&lt;=0,2,0)+IF(HT277&gt;0,HT277+1,0)*2+IF(HT277&gt;12,HT277-12,0)*2+IF(HT277&gt;13,HT277-13,0)*2+IF(HT277&gt;14,HT277-14,0)*2+IF(HT277&gt;15,HT277-15,0)*2+IF(HT277&gt;16,HT277-16,0)*2+IF(HT277&gt;17,HT277-17,0)*2+IF(HT277&gt;18,HT277-18,0)*2+IF(HT277&gt;19,HT277-19,0)*2+IF(HT277&gt;20,HT277-20,0)*2</f>
        <v>2</v>
      </c>
      <c r="HX277" s="243">
        <f t="shared" si="1911"/>
        <v>152.01436781609189</v>
      </c>
      <c r="HY277" s="218">
        <f t="shared" si="1912"/>
        <v>0</v>
      </c>
      <c r="IA277" s="303" t="s">
        <v>303</v>
      </c>
      <c r="IB277" s="304" t="s">
        <v>100</v>
      </c>
      <c r="IC277" s="305" t="s">
        <v>132</v>
      </c>
      <c r="ID277" s="317">
        <f>Konvention_1slave-MUslave</f>
        <v>12</v>
      </c>
      <c r="IE277" s="254"/>
      <c r="IF277" s="254">
        <f t="shared" si="1936"/>
        <v>12</v>
      </c>
      <c r="IG277" s="254"/>
      <c r="IH277" s="254"/>
      <c r="II277" s="254"/>
      <c r="IJ277" s="254">
        <f>Konvention_1slave-KOslave</f>
        <v>12</v>
      </c>
      <c r="IK277" s="318"/>
      <c r="IL277" s="223">
        <f t="shared" si="1913"/>
        <v>12</v>
      </c>
      <c r="IM277" s="223">
        <f t="shared" si="1914"/>
        <v>24</v>
      </c>
      <c r="IN277" s="224">
        <f t="shared" si="1915"/>
        <v>36</v>
      </c>
      <c r="IO277" s="237">
        <f t="shared" si="1916"/>
        <v>2304</v>
      </c>
      <c r="IP277" s="254">
        <f>ID277*IF277*KOslave+ID277*INslave*IJ277+MUslave*IF277*IJ277</f>
        <v>3456</v>
      </c>
      <c r="IQ277" s="224">
        <f t="shared" si="1917"/>
        <v>1728</v>
      </c>
      <c r="IR277" s="224">
        <f t="shared" si="1918"/>
        <v>7488</v>
      </c>
      <c r="IS277" s="222">
        <f t="shared" si="1919"/>
        <v>3.6923076923076925</v>
      </c>
      <c r="IT277" s="223">
        <f t="shared" si="1920"/>
        <v>11.076923076923077</v>
      </c>
      <c r="IU277" s="243">
        <f t="shared" si="1921"/>
        <v>8.3076923076923084</v>
      </c>
      <c r="IV277" s="243">
        <f t="shared" si="1922"/>
        <v>23.07692307692308</v>
      </c>
      <c r="IW277" s="252">
        <f t="shared" si="1923"/>
        <v>0</v>
      </c>
      <c r="IX277" s="309">
        <f t="shared" si="1924"/>
        <v>23.07692307692308</v>
      </c>
      <c r="IY277" s="218">
        <f>IF(IV277&lt;=0,2,0)+IF(IV277&gt;0,IV277+1,0)*2+IF(IV277&gt;12,IV277-12,0)*2+IF(IV277&gt;13,IV277-13,0)*2+IF(IV277&gt;14,IV277-14,0)*2+IF(IV277&gt;15,IV277-15,0)*2+IF(IV277&gt;16,IV277-16,0)*2+IF(IV277&gt;17,IV277-17,0)*2+IF(IV277&gt;18,IV277-18,0)*2+IF(IV277&gt;19,IV277-19,0)*2+IF(IV277&gt;20,IV277-20,0)*2</f>
        <v>175.5384615384616</v>
      </c>
      <c r="IZ277" s="242">
        <f>IF(IW277&lt;=0,2,0)+IF(IW277&gt;0,IW277+1,0)*2+IF(IW277&gt;12,IW277-12,0)*2+IF(IW277&gt;13,IW277-13,0)*2+IF(IW277&gt;14,IW277-14,0)*2+IF(IW277&gt;15,IW277-15,0)*2+IF(IW277&gt;16,IW277-16,0)*2+IF(IW277&gt;17,IW277-17,0)*2+IF(IW277&gt;18,IW277-18,0)*2+IF(IW277&gt;19,IW277-19,0)*2+IF(IW277&gt;20,IW277-20,0)*2</f>
        <v>2</v>
      </c>
      <c r="JA277" s="243">
        <f t="shared" si="1926"/>
        <v>173.5384615384616</v>
      </c>
      <c r="JB277" s="218">
        <f t="shared" si="1927"/>
        <v>0</v>
      </c>
      <c r="JE277" s="148"/>
    </row>
    <row r="278" spans="2:265" hidden="1" outlineLevel="2">
      <c r="B278" s="148">
        <v>18</v>
      </c>
      <c r="C278" s="303" t="e">
        <f>VLOOKUP(AF278,Attribute!C:T,1,FALSE)</f>
        <v>#N/A</v>
      </c>
      <c r="D278" s="86" t="s">
        <v>439</v>
      </c>
      <c r="E278" s="167" t="s">
        <v>133</v>
      </c>
      <c r="F278" s="120"/>
      <c r="G278" s="117">
        <f>Konvention_1master-KLmaster</f>
        <v>12</v>
      </c>
      <c r="H278" s="117">
        <f t="shared" si="1928"/>
        <v>12</v>
      </c>
      <c r="I278" s="117"/>
      <c r="J278" s="117"/>
      <c r="K278" s="117">
        <f>Konvention_1master-GEmaster</f>
        <v>12</v>
      </c>
      <c r="L278" s="117"/>
      <c r="M278" s="121"/>
      <c r="N278" s="223">
        <f t="shared" si="1794"/>
        <v>12</v>
      </c>
      <c r="O278" s="223">
        <f t="shared" si="1795"/>
        <v>24</v>
      </c>
      <c r="P278" s="224">
        <f t="shared" si="1796"/>
        <v>36</v>
      </c>
      <c r="Q278" s="237">
        <f t="shared" si="1797"/>
        <v>2304</v>
      </c>
      <c r="R278" s="117">
        <f>G278*H278*GEmaster+G278*INmaster*K278+KLmaster*H278*K278</f>
        <v>3456</v>
      </c>
      <c r="S278" s="224">
        <f t="shared" si="1798"/>
        <v>1728</v>
      </c>
      <c r="T278" s="224">
        <f t="shared" si="1799"/>
        <v>7488</v>
      </c>
      <c r="U278" s="222">
        <f t="shared" si="1800"/>
        <v>3.6923076923076925</v>
      </c>
      <c r="V278" s="223">
        <f t="shared" si="1801"/>
        <v>11.076923076923077</v>
      </c>
      <c r="W278" s="243">
        <f t="shared" si="1802"/>
        <v>8.3076923076923084</v>
      </c>
      <c r="X278" s="243">
        <f t="shared" si="1803"/>
        <v>23.07692307692308</v>
      </c>
      <c r="Y278" s="252">
        <v>0</v>
      </c>
      <c r="Z278" s="198">
        <f t="shared" si="1804"/>
        <v>23.07692307692308</v>
      </c>
      <c r="AA278" s="125">
        <f>IF(X278&lt;=0,1,0)+IF(X278&gt;0,X278+1,0)*1+IF(X278&gt;12,X278-12,0)*1+IF(X278&gt;13,X278-13,0)*1+IF(X278&gt;14,X278-14,0)*1+IF(X278&gt;15,X278-15,0)*1+IF(X278&gt;16,X278-16,0)*1+IF(X278&gt;17,X278-17,0)*1+IF(X278&gt;18,X278-18,0)*1+IF(X278&gt;19,X278-19,0)*1+IF(X278&gt;20,X278-20,0)*1</f>
        <v>87.769230769230802</v>
      </c>
      <c r="AB278" s="160">
        <f>IF(Y278&lt;=0,1,0)+IF(Y278&gt;0,Y278+1,0)*1+IF(Y278&gt;12,Y278-12,0)*1+IF(Y278&gt;13,Y278-13,0)*1+IF(Y278&gt;14,Y278-14,0)*1+IF(Y278&gt;15,Y278-15,0)*1+IF(Y278&gt;16,Y278-16,0)*1+IF(Y278&gt;17,Y278-17,0)*1+IF(Y278&gt;18,Y278-18,0)*1+IF(Y278&gt;19,Y278-19,0)*1+IF(Y278&gt;20,Y278-20,0)*1</f>
        <v>1</v>
      </c>
      <c r="AC278" s="127">
        <f t="shared" si="1806"/>
        <v>86.769230769230802</v>
      </c>
      <c r="AD278" s="125">
        <f t="shared" si="1807"/>
        <v>0</v>
      </c>
      <c r="AF278" s="163" t="s">
        <v>406</v>
      </c>
      <c r="AG278" s="86" t="s">
        <v>439</v>
      </c>
      <c r="AH278" s="167" t="s">
        <v>133</v>
      </c>
      <c r="AI278" s="120"/>
      <c r="AJ278" s="117">
        <f>Konvention_1slave-KLslave</f>
        <v>12</v>
      </c>
      <c r="AK278" s="117">
        <f>Konvention_1slave-INslave</f>
        <v>12</v>
      </c>
      <c r="AL278" s="117"/>
      <c r="AM278" s="117"/>
      <c r="AN278" s="117">
        <f>Konvention_1slave-GEslave</f>
        <v>12</v>
      </c>
      <c r="AO278" s="117"/>
      <c r="AP278" s="121"/>
      <c r="AQ278" s="47">
        <f t="shared" si="1808"/>
        <v>12</v>
      </c>
      <c r="AR278" s="3">
        <f t="shared" si="1809"/>
        <v>24</v>
      </c>
      <c r="AS278" s="174">
        <f t="shared" si="1810"/>
        <v>36</v>
      </c>
      <c r="AT278" s="114">
        <f t="shared" si="1811"/>
        <v>2304</v>
      </c>
      <c r="AU278" s="117">
        <f>AJ278*AK278*GEslave+AJ278*INslave*AN278+KLslave*AK278*AN278</f>
        <v>3456</v>
      </c>
      <c r="AV278" s="119">
        <f t="shared" si="1812"/>
        <v>1728</v>
      </c>
      <c r="AW278" s="119">
        <f t="shared" si="1813"/>
        <v>7488</v>
      </c>
      <c r="AX278" s="89">
        <f t="shared" si="1814"/>
        <v>3.6923076923076925</v>
      </c>
      <c r="AY278" s="47">
        <f t="shared" si="1815"/>
        <v>11.076923076923077</v>
      </c>
      <c r="AZ278" s="127">
        <f t="shared" si="1816"/>
        <v>8.3076923076923084</v>
      </c>
      <c r="BA278" s="127">
        <f t="shared" si="1817"/>
        <v>23.07692307692308</v>
      </c>
      <c r="BB278" s="165">
        <f t="shared" si="1818"/>
        <v>0</v>
      </c>
      <c r="BC278" s="198">
        <f t="shared" si="1819"/>
        <v>23.07692307692308</v>
      </c>
      <c r="BD278" s="125">
        <f>IF(BA278&lt;=0,1,0)+IF(BA278&gt;0,BA278+1,0)*1+IF(BA278&gt;12,BA278-12,0)*1+IF(BA278&gt;13,BA278-13,0)*1+IF(BA278&gt;14,BA278-14,0)*1+IF(BA278&gt;15,BA278-15,0)*1+IF(BA278&gt;16,BA278-16,0)*1+IF(BA278&gt;17,BA278-17,0)*1+IF(BA278&gt;18,BA278-18,0)*1+IF(BA278&gt;19,BA278-19,0)*1+IF(BA278&gt;20,BA278-20,0)*1</f>
        <v>87.769230769230802</v>
      </c>
      <c r="BE278" s="160">
        <f>IF(BB278&lt;=0,1,0)+IF(BB278&gt;0,BB278+1,0)*1+IF(BB278&gt;12,BB278-12,0)*1+IF(BB278&gt;13,BB278-13,0)*1+IF(BB278&gt;14,BB278-14,0)*1+IF(BB278&gt;15,BB278-15,0)*1+IF(BB278&gt;16,BB278-16,0)*1+IF(BB278&gt;17,BB278-17,0)*1+IF(BB278&gt;18,BB278-18,0)*1+IF(BB278&gt;19,BB278-19,0)*1+IF(BB278&gt;20,BB278-20,0)*1</f>
        <v>1</v>
      </c>
      <c r="BF278" s="243">
        <f t="shared" si="1821"/>
        <v>86.769230769230802</v>
      </c>
      <c r="BG278" s="218">
        <f t="shared" si="1822"/>
        <v>0</v>
      </c>
      <c r="BI278" s="303" t="s">
        <v>406</v>
      </c>
      <c r="BJ278" s="304" t="s">
        <v>439</v>
      </c>
      <c r="BK278" s="305" t="s">
        <v>133</v>
      </c>
      <c r="BL278" s="317"/>
      <c r="BM278" s="254">
        <f>Konvention_1slave-KLslave_KL</f>
        <v>11</v>
      </c>
      <c r="BN278" s="254">
        <f t="shared" si="1930"/>
        <v>12</v>
      </c>
      <c r="BO278" s="254"/>
      <c r="BP278" s="254"/>
      <c r="BQ278" s="254">
        <f>Konvention_1slave-GEslave</f>
        <v>12</v>
      </c>
      <c r="BR278" s="254"/>
      <c r="BS278" s="318"/>
      <c r="BT278" s="223">
        <f t="shared" si="1823"/>
        <v>11.666666666666666</v>
      </c>
      <c r="BU278" s="223">
        <f t="shared" si="1824"/>
        <v>23.333333333333332</v>
      </c>
      <c r="BV278" s="224">
        <f t="shared" si="1825"/>
        <v>35</v>
      </c>
      <c r="BW278" s="237">
        <f t="shared" si="1826"/>
        <v>2432</v>
      </c>
      <c r="BX278" s="254">
        <f>BM278*BN278*GEslave+BM278*INslave*BQ278+KLslave_KL*BN278*BQ278</f>
        <v>3408</v>
      </c>
      <c r="BY278" s="224">
        <f t="shared" si="1827"/>
        <v>1584</v>
      </c>
      <c r="BZ278" s="224">
        <f t="shared" si="1828"/>
        <v>7424</v>
      </c>
      <c r="CA278" s="222">
        <f t="shared" si="1829"/>
        <v>3.8218390804597702</v>
      </c>
      <c r="CB278" s="223">
        <f t="shared" si="1830"/>
        <v>10.711206896551724</v>
      </c>
      <c r="CC278" s="243">
        <f t="shared" si="1831"/>
        <v>7.4676724137931032</v>
      </c>
      <c r="CD278" s="243">
        <f t="shared" si="1832"/>
        <v>22.000718390804597</v>
      </c>
      <c r="CE278" s="252">
        <f t="shared" si="1833"/>
        <v>0</v>
      </c>
      <c r="CF278" s="309">
        <f t="shared" si="1834"/>
        <v>22.000718390804597</v>
      </c>
      <c r="CG278" s="218">
        <f>IF(CD278&lt;=0,1,0)+IF(CD278&gt;0,CD278+1,0)*1+IF(CD278&gt;12,CD278-12,0)*1+IF(CD278&gt;13,CD278-13,0)*1+IF(CD278&gt;14,CD278-14,0)*1+IF(CD278&gt;15,CD278-15,0)*1+IF(CD278&gt;16,CD278-16,0)*1+IF(CD278&gt;17,CD278-17,0)*1+IF(CD278&gt;18,CD278-18,0)*1+IF(CD278&gt;19,CD278-19,0)*1+IF(CD278&gt;20,CD278-20,0)*1</f>
        <v>77.007183908045945</v>
      </c>
      <c r="CH278" s="242">
        <f>IF(CE278&lt;=0,1,0)+IF(CE278&gt;0,CE278+1,0)*1+IF(CE278&gt;12,CE278-12,0)*1+IF(CE278&gt;13,CE278-13,0)*1+IF(CE278&gt;14,CE278-14,0)*1+IF(CE278&gt;15,CE278-15,0)*1+IF(CE278&gt;16,CE278-16,0)*1+IF(CE278&gt;17,CE278-17,0)*1+IF(CE278&gt;18,CE278-18,0)*1+IF(CE278&gt;19,CE278-19,0)*1+IF(CE278&gt;20,CE278-20,0)*1</f>
        <v>1</v>
      </c>
      <c r="CI278" s="243">
        <f t="shared" si="1836"/>
        <v>76.007183908045945</v>
      </c>
      <c r="CJ278" s="218">
        <f t="shared" si="1837"/>
        <v>0</v>
      </c>
      <c r="CL278" s="303" t="s">
        <v>406</v>
      </c>
      <c r="CM278" s="304" t="s">
        <v>439</v>
      </c>
      <c r="CN278" s="305" t="s">
        <v>133</v>
      </c>
      <c r="CO278" s="317"/>
      <c r="CP278" s="254">
        <f>Konvention_1slave-KLslave</f>
        <v>12</v>
      </c>
      <c r="CQ278" s="254">
        <f t="shared" si="1931"/>
        <v>11</v>
      </c>
      <c r="CR278" s="254"/>
      <c r="CS278" s="254"/>
      <c r="CT278" s="254">
        <f>Konvention_1slave-GEslave</f>
        <v>12</v>
      </c>
      <c r="CU278" s="254"/>
      <c r="CV278" s="318"/>
      <c r="CW278" s="223">
        <f t="shared" si="1838"/>
        <v>11.666666666666666</v>
      </c>
      <c r="CX278" s="223">
        <f t="shared" si="1839"/>
        <v>23.333333333333332</v>
      </c>
      <c r="CY278" s="224">
        <f t="shared" si="1840"/>
        <v>35</v>
      </c>
      <c r="CZ278" s="237">
        <f t="shared" si="1841"/>
        <v>2432</v>
      </c>
      <c r="DA278" s="254">
        <f>CP278*CQ278*GEslave+CP278*INslave_IN*CT278+KLslave*CQ278*CT278</f>
        <v>3408</v>
      </c>
      <c r="DB278" s="224">
        <f t="shared" si="1842"/>
        <v>1584</v>
      </c>
      <c r="DC278" s="224">
        <f t="shared" si="1843"/>
        <v>7424</v>
      </c>
      <c r="DD278" s="222">
        <f t="shared" si="1844"/>
        <v>3.8218390804597702</v>
      </c>
      <c r="DE278" s="223">
        <f t="shared" si="1845"/>
        <v>10.711206896551724</v>
      </c>
      <c r="DF278" s="243">
        <f t="shared" si="1846"/>
        <v>7.4676724137931032</v>
      </c>
      <c r="DG278" s="243">
        <f t="shared" si="1847"/>
        <v>22.000718390804597</v>
      </c>
      <c r="DH278" s="252">
        <f t="shared" si="1848"/>
        <v>0</v>
      </c>
      <c r="DI278" s="309">
        <f t="shared" si="1849"/>
        <v>22.000718390804597</v>
      </c>
      <c r="DJ278" s="218">
        <f>IF(DG278&lt;=0,1,0)+IF(DG278&gt;0,DG278+1,0)*1+IF(DG278&gt;12,DG278-12,0)*1+IF(DG278&gt;13,DG278-13,0)*1+IF(DG278&gt;14,DG278-14,0)*1+IF(DG278&gt;15,DG278-15,0)*1+IF(DG278&gt;16,DG278-16,0)*1+IF(DG278&gt;17,DG278-17,0)*1+IF(DG278&gt;18,DG278-18,0)*1+IF(DG278&gt;19,DG278-19,0)*1+IF(DG278&gt;20,DG278-20,0)*1</f>
        <v>77.007183908045945</v>
      </c>
      <c r="DK278" s="242">
        <f>IF(DH278&lt;=0,1,0)+IF(DH278&gt;0,DH278+1,0)*1+IF(DH278&gt;12,DH278-12,0)*1+IF(DH278&gt;13,DH278-13,0)*1+IF(DH278&gt;14,DH278-14,0)*1+IF(DH278&gt;15,DH278-15,0)*1+IF(DH278&gt;16,DH278-16,0)*1+IF(DH278&gt;17,DH278-17,0)*1+IF(DH278&gt;18,DH278-18,0)*1+IF(DH278&gt;19,DH278-19,0)*1+IF(DH278&gt;20,DH278-20,0)*1</f>
        <v>1</v>
      </c>
      <c r="DL278" s="243">
        <f t="shared" si="1851"/>
        <v>76.007183908045945</v>
      </c>
      <c r="DM278" s="218">
        <f t="shared" si="1852"/>
        <v>0</v>
      </c>
      <c r="DO278" s="303" t="s">
        <v>406</v>
      </c>
      <c r="DP278" s="304" t="s">
        <v>439</v>
      </c>
      <c r="DQ278" s="305" t="s">
        <v>133</v>
      </c>
      <c r="DR278" s="317"/>
      <c r="DS278" s="254">
        <f>Konvention_1slave-KLslave</f>
        <v>12</v>
      </c>
      <c r="DT278" s="254">
        <f t="shared" si="1932"/>
        <v>12</v>
      </c>
      <c r="DU278" s="254"/>
      <c r="DV278" s="254"/>
      <c r="DW278" s="254">
        <f>Konvention_1slave-GEslave</f>
        <v>12</v>
      </c>
      <c r="DX278" s="254"/>
      <c r="DY278" s="318"/>
      <c r="DZ278" s="223">
        <f t="shared" si="1853"/>
        <v>12</v>
      </c>
      <c r="EA278" s="223">
        <f t="shared" si="1854"/>
        <v>24</v>
      </c>
      <c r="EB278" s="224">
        <f t="shared" si="1855"/>
        <v>36</v>
      </c>
      <c r="EC278" s="237">
        <f t="shared" si="1856"/>
        <v>2304</v>
      </c>
      <c r="ED278" s="254">
        <f>DS278*DT278*GEslave+DS278*INslave*DW278+KLslave*DT278*DW278</f>
        <v>3456</v>
      </c>
      <c r="EE278" s="224">
        <f t="shared" si="1857"/>
        <v>1728</v>
      </c>
      <c r="EF278" s="224">
        <f t="shared" si="1858"/>
        <v>7488</v>
      </c>
      <c r="EG278" s="222">
        <f t="shared" si="1859"/>
        <v>3.6923076923076925</v>
      </c>
      <c r="EH278" s="223">
        <f t="shared" si="1860"/>
        <v>11.076923076923077</v>
      </c>
      <c r="EI278" s="243">
        <f t="shared" si="1861"/>
        <v>8.3076923076923084</v>
      </c>
      <c r="EJ278" s="243">
        <f t="shared" si="1862"/>
        <v>23.07692307692308</v>
      </c>
      <c r="EK278" s="252">
        <f t="shared" si="1863"/>
        <v>0</v>
      </c>
      <c r="EL278" s="309">
        <f t="shared" si="1864"/>
        <v>23.07692307692308</v>
      </c>
      <c r="EM278" s="218">
        <f>IF(EJ278&lt;=0,1,0)+IF(EJ278&gt;0,EJ278+1,0)*1+IF(EJ278&gt;12,EJ278-12,0)*1+IF(EJ278&gt;13,EJ278-13,0)*1+IF(EJ278&gt;14,EJ278-14,0)*1+IF(EJ278&gt;15,EJ278-15,0)*1+IF(EJ278&gt;16,EJ278-16,0)*1+IF(EJ278&gt;17,EJ278-17,0)*1+IF(EJ278&gt;18,EJ278-18,0)*1+IF(EJ278&gt;19,EJ278-19,0)*1+IF(EJ278&gt;20,EJ278-20,0)*1</f>
        <v>87.769230769230802</v>
      </c>
      <c r="EN278" s="242">
        <f>IF(EK278&lt;=0,1,0)+IF(EK278&gt;0,EK278+1,0)*1+IF(EK278&gt;12,EK278-12,0)*1+IF(EK278&gt;13,EK278-13,0)*1+IF(EK278&gt;14,EK278-14,0)*1+IF(EK278&gt;15,EK278-15,0)*1+IF(EK278&gt;16,EK278-16,0)*1+IF(EK278&gt;17,EK278-17,0)*1+IF(EK278&gt;18,EK278-18,0)*1+IF(EK278&gt;19,EK278-19,0)*1+IF(EK278&gt;20,EK278-20,0)*1</f>
        <v>1</v>
      </c>
      <c r="EO278" s="243">
        <f t="shared" si="1866"/>
        <v>86.769230769230802</v>
      </c>
      <c r="EP278" s="218">
        <f t="shared" si="1867"/>
        <v>0</v>
      </c>
      <c r="ER278" s="303" t="s">
        <v>406</v>
      </c>
      <c r="ES278" s="304" t="s">
        <v>439</v>
      </c>
      <c r="ET278" s="305" t="s">
        <v>133</v>
      </c>
      <c r="EU278" s="317"/>
      <c r="EV278" s="254">
        <f>Konvention_1slave-KLslave</f>
        <v>12</v>
      </c>
      <c r="EW278" s="254">
        <f t="shared" si="1933"/>
        <v>12</v>
      </c>
      <c r="EX278" s="254"/>
      <c r="EY278" s="254"/>
      <c r="EZ278" s="254">
        <f>Konvention_1slave-GEslave</f>
        <v>12</v>
      </c>
      <c r="FA278" s="254"/>
      <c r="FB278" s="318"/>
      <c r="FC278" s="223">
        <f t="shared" si="1868"/>
        <v>12</v>
      </c>
      <c r="FD278" s="223">
        <f t="shared" si="1869"/>
        <v>24</v>
      </c>
      <c r="FE278" s="224">
        <f t="shared" si="1870"/>
        <v>36</v>
      </c>
      <c r="FF278" s="237">
        <f t="shared" si="1871"/>
        <v>2304</v>
      </c>
      <c r="FG278" s="254">
        <f>EV278*EW278*GEslave+EV278*INslave*EZ278+KLslave*EW278*EZ278</f>
        <v>3456</v>
      </c>
      <c r="FH278" s="224">
        <f t="shared" si="1872"/>
        <v>1728</v>
      </c>
      <c r="FI278" s="224">
        <f t="shared" si="1873"/>
        <v>7488</v>
      </c>
      <c r="FJ278" s="222">
        <f t="shared" si="1874"/>
        <v>3.6923076923076925</v>
      </c>
      <c r="FK278" s="223">
        <f t="shared" si="1875"/>
        <v>11.076923076923077</v>
      </c>
      <c r="FL278" s="243">
        <f t="shared" si="1876"/>
        <v>8.3076923076923084</v>
      </c>
      <c r="FM278" s="243">
        <f t="shared" si="1877"/>
        <v>23.07692307692308</v>
      </c>
      <c r="FN278" s="252">
        <f t="shared" si="1878"/>
        <v>0</v>
      </c>
      <c r="FO278" s="309">
        <f t="shared" si="1879"/>
        <v>23.07692307692308</v>
      </c>
      <c r="FP278" s="218">
        <f>IF(FM278&lt;=0,1,0)+IF(FM278&gt;0,FM278+1,0)*1+IF(FM278&gt;12,FM278-12,0)*1+IF(FM278&gt;13,FM278-13,0)*1+IF(FM278&gt;14,FM278-14,0)*1+IF(FM278&gt;15,FM278-15,0)*1+IF(FM278&gt;16,FM278-16,0)*1+IF(FM278&gt;17,FM278-17,0)*1+IF(FM278&gt;18,FM278-18,0)*1+IF(FM278&gt;19,FM278-19,0)*1+IF(FM278&gt;20,FM278-20,0)*1</f>
        <v>87.769230769230802</v>
      </c>
      <c r="FQ278" s="242">
        <f>IF(FN278&lt;=0,1,0)+IF(FN278&gt;0,FN278+1,0)*1+IF(FN278&gt;12,FN278-12,0)*1+IF(FN278&gt;13,FN278-13,0)*1+IF(FN278&gt;14,FN278-14,0)*1+IF(FN278&gt;15,FN278-15,0)*1+IF(FN278&gt;16,FN278-16,0)*1+IF(FN278&gt;17,FN278-17,0)*1+IF(FN278&gt;18,FN278-18,0)*1+IF(FN278&gt;19,FN278-19,0)*1+IF(FN278&gt;20,FN278-20,0)*1</f>
        <v>1</v>
      </c>
      <c r="FR278" s="243">
        <f t="shared" si="1881"/>
        <v>86.769230769230802</v>
      </c>
      <c r="FS278" s="218">
        <f t="shared" si="1882"/>
        <v>0</v>
      </c>
      <c r="FU278" s="303" t="s">
        <v>406</v>
      </c>
      <c r="FV278" s="304" t="s">
        <v>439</v>
      </c>
      <c r="FW278" s="305" t="s">
        <v>133</v>
      </c>
      <c r="FX278" s="317"/>
      <c r="FY278" s="254">
        <f>Konvention_1slave-KLslave</f>
        <v>12</v>
      </c>
      <c r="FZ278" s="254">
        <f t="shared" si="1934"/>
        <v>12</v>
      </c>
      <c r="GA278" s="254"/>
      <c r="GB278" s="254"/>
      <c r="GC278" s="254">
        <f>Konvention_1slave-GEslave_GE</f>
        <v>11</v>
      </c>
      <c r="GD278" s="254"/>
      <c r="GE278" s="318"/>
      <c r="GF278" s="223">
        <f t="shared" si="1883"/>
        <v>11.666666666666666</v>
      </c>
      <c r="GG278" s="223">
        <f t="shared" si="1884"/>
        <v>23.333333333333332</v>
      </c>
      <c r="GH278" s="224">
        <f t="shared" si="1885"/>
        <v>35</v>
      </c>
      <c r="GI278" s="237">
        <f t="shared" si="1886"/>
        <v>2432</v>
      </c>
      <c r="GJ278" s="254">
        <f>FY278*FZ278*GEslave_GE+FY278*INslave*GC278+KLslave*FZ278*GC278</f>
        <v>3408</v>
      </c>
      <c r="GK278" s="224">
        <f t="shared" si="1887"/>
        <v>1584</v>
      </c>
      <c r="GL278" s="224">
        <f t="shared" si="1888"/>
        <v>7424</v>
      </c>
      <c r="GM278" s="222">
        <f t="shared" si="1889"/>
        <v>3.8218390804597702</v>
      </c>
      <c r="GN278" s="223">
        <f t="shared" si="1890"/>
        <v>10.711206896551724</v>
      </c>
      <c r="GO278" s="243">
        <f t="shared" si="1891"/>
        <v>7.4676724137931032</v>
      </c>
      <c r="GP278" s="243">
        <f t="shared" si="1892"/>
        <v>22.000718390804597</v>
      </c>
      <c r="GQ278" s="252">
        <f t="shared" si="1893"/>
        <v>0</v>
      </c>
      <c r="GR278" s="309">
        <f t="shared" si="1894"/>
        <v>22.000718390804597</v>
      </c>
      <c r="GS278" s="218">
        <f>IF(GP278&lt;=0,1,0)+IF(GP278&gt;0,GP278+1,0)*1+IF(GP278&gt;12,GP278-12,0)*1+IF(GP278&gt;13,GP278-13,0)*1+IF(GP278&gt;14,GP278-14,0)*1+IF(GP278&gt;15,GP278-15,0)*1+IF(GP278&gt;16,GP278-16,0)*1+IF(GP278&gt;17,GP278-17,0)*1+IF(GP278&gt;18,GP278-18,0)*1+IF(GP278&gt;19,GP278-19,0)*1+IF(GP278&gt;20,GP278-20,0)*1</f>
        <v>77.007183908045945</v>
      </c>
      <c r="GT278" s="242">
        <f>IF(GQ278&lt;=0,1,0)+IF(GQ278&gt;0,GQ278+1,0)*1+IF(GQ278&gt;12,GQ278-12,0)*1+IF(GQ278&gt;13,GQ278-13,0)*1+IF(GQ278&gt;14,GQ278-14,0)*1+IF(GQ278&gt;15,GQ278-15,0)*1+IF(GQ278&gt;16,GQ278-16,0)*1+IF(GQ278&gt;17,GQ278-17,0)*1+IF(GQ278&gt;18,GQ278-18,0)*1+IF(GQ278&gt;19,GQ278-19,0)*1+IF(GQ278&gt;20,GQ278-20,0)*1</f>
        <v>1</v>
      </c>
      <c r="GU278" s="243">
        <f t="shared" si="1896"/>
        <v>76.007183908045945</v>
      </c>
      <c r="GV278" s="218">
        <f t="shared" si="1897"/>
        <v>0</v>
      </c>
      <c r="GX278" s="303" t="s">
        <v>406</v>
      </c>
      <c r="GY278" s="304" t="s">
        <v>439</v>
      </c>
      <c r="GZ278" s="305" t="s">
        <v>133</v>
      </c>
      <c r="HA278" s="317"/>
      <c r="HB278" s="254">
        <f>Konvention_1slave-KLslave</f>
        <v>12</v>
      </c>
      <c r="HC278" s="254">
        <f t="shared" si="1935"/>
        <v>12</v>
      </c>
      <c r="HD278" s="254"/>
      <c r="HE278" s="254"/>
      <c r="HF278" s="254">
        <f>Konvention_1slave-GEslave</f>
        <v>12</v>
      </c>
      <c r="HG278" s="254"/>
      <c r="HH278" s="318"/>
      <c r="HI278" s="223">
        <f t="shared" si="1898"/>
        <v>12</v>
      </c>
      <c r="HJ278" s="223">
        <f t="shared" si="1899"/>
        <v>24</v>
      </c>
      <c r="HK278" s="224">
        <f t="shared" si="1900"/>
        <v>36</v>
      </c>
      <c r="HL278" s="237">
        <f t="shared" si="1901"/>
        <v>2304</v>
      </c>
      <c r="HM278" s="254">
        <f>HB278*HC278*GEslave+HB278*INslave*HF278+KLslave*HC278*HF278</f>
        <v>3456</v>
      </c>
      <c r="HN278" s="224">
        <f t="shared" si="1902"/>
        <v>1728</v>
      </c>
      <c r="HO278" s="224">
        <f t="shared" si="1903"/>
        <v>7488</v>
      </c>
      <c r="HP278" s="222">
        <f t="shared" si="1904"/>
        <v>3.6923076923076925</v>
      </c>
      <c r="HQ278" s="223">
        <f t="shared" si="1905"/>
        <v>11.076923076923077</v>
      </c>
      <c r="HR278" s="243">
        <f t="shared" si="1906"/>
        <v>8.3076923076923084</v>
      </c>
      <c r="HS278" s="243">
        <f t="shared" si="1907"/>
        <v>23.07692307692308</v>
      </c>
      <c r="HT278" s="252">
        <f t="shared" si="1908"/>
        <v>0</v>
      </c>
      <c r="HU278" s="309">
        <f t="shared" si="1909"/>
        <v>23.07692307692308</v>
      </c>
      <c r="HV278" s="218">
        <f>IF(HS278&lt;=0,1,0)+IF(HS278&gt;0,HS278+1,0)*1+IF(HS278&gt;12,HS278-12,0)*1+IF(HS278&gt;13,HS278-13,0)*1+IF(HS278&gt;14,HS278-14,0)*1+IF(HS278&gt;15,HS278-15,0)*1+IF(HS278&gt;16,HS278-16,0)*1+IF(HS278&gt;17,HS278-17,0)*1+IF(HS278&gt;18,HS278-18,0)*1+IF(HS278&gt;19,HS278-19,0)*1+IF(HS278&gt;20,HS278-20,0)*1</f>
        <v>87.769230769230802</v>
      </c>
      <c r="HW278" s="242">
        <f>IF(HT278&lt;=0,1,0)+IF(HT278&gt;0,HT278+1,0)*1+IF(HT278&gt;12,HT278-12,0)*1+IF(HT278&gt;13,HT278-13,0)*1+IF(HT278&gt;14,HT278-14,0)*1+IF(HT278&gt;15,HT278-15,0)*1+IF(HT278&gt;16,HT278-16,0)*1+IF(HT278&gt;17,HT278-17,0)*1+IF(HT278&gt;18,HT278-18,0)*1+IF(HT278&gt;19,HT278-19,0)*1+IF(HT278&gt;20,HT278-20,0)*1</f>
        <v>1</v>
      </c>
      <c r="HX278" s="243">
        <f t="shared" si="1911"/>
        <v>86.769230769230802</v>
      </c>
      <c r="HY278" s="218">
        <f t="shared" si="1912"/>
        <v>0</v>
      </c>
      <c r="IA278" s="303" t="s">
        <v>406</v>
      </c>
      <c r="IB278" s="304" t="s">
        <v>439</v>
      </c>
      <c r="IC278" s="305" t="s">
        <v>133</v>
      </c>
      <c r="ID278" s="317"/>
      <c r="IE278" s="254">
        <f>Konvention_1slave-KLslave</f>
        <v>12</v>
      </c>
      <c r="IF278" s="254">
        <f t="shared" si="1936"/>
        <v>12</v>
      </c>
      <c r="IG278" s="254"/>
      <c r="IH278" s="254"/>
      <c r="II278" s="254">
        <f>Konvention_1slave-GEslave</f>
        <v>12</v>
      </c>
      <c r="IJ278" s="254"/>
      <c r="IK278" s="318"/>
      <c r="IL278" s="223">
        <f t="shared" si="1913"/>
        <v>12</v>
      </c>
      <c r="IM278" s="223">
        <f t="shared" si="1914"/>
        <v>24</v>
      </c>
      <c r="IN278" s="224">
        <f t="shared" si="1915"/>
        <v>36</v>
      </c>
      <c r="IO278" s="237">
        <f t="shared" si="1916"/>
        <v>2304</v>
      </c>
      <c r="IP278" s="254">
        <f>IE278*IF278*GEslave+IE278*INslave*II278+KLslave*IF278*II278</f>
        <v>3456</v>
      </c>
      <c r="IQ278" s="224">
        <f t="shared" si="1917"/>
        <v>1728</v>
      </c>
      <c r="IR278" s="224">
        <f t="shared" si="1918"/>
        <v>7488</v>
      </c>
      <c r="IS278" s="222">
        <f t="shared" si="1919"/>
        <v>3.6923076923076925</v>
      </c>
      <c r="IT278" s="223">
        <f t="shared" si="1920"/>
        <v>11.076923076923077</v>
      </c>
      <c r="IU278" s="243">
        <f t="shared" si="1921"/>
        <v>8.3076923076923084</v>
      </c>
      <c r="IV278" s="243">
        <f t="shared" si="1922"/>
        <v>23.07692307692308</v>
      </c>
      <c r="IW278" s="252">
        <f t="shared" si="1923"/>
        <v>0</v>
      </c>
      <c r="IX278" s="309">
        <f t="shared" si="1924"/>
        <v>23.07692307692308</v>
      </c>
      <c r="IY278" s="218">
        <f>IF(IV278&lt;=0,1,0)+IF(IV278&gt;0,IV278+1,0)*1+IF(IV278&gt;12,IV278-12,0)*1+IF(IV278&gt;13,IV278-13,0)*1+IF(IV278&gt;14,IV278-14,0)*1+IF(IV278&gt;15,IV278-15,0)*1+IF(IV278&gt;16,IV278-16,0)*1+IF(IV278&gt;17,IV278-17,0)*1+IF(IV278&gt;18,IV278-18,0)*1+IF(IV278&gt;19,IV278-19,0)*1+IF(IV278&gt;20,IV278-20,0)*1</f>
        <v>87.769230769230802</v>
      </c>
      <c r="IZ278" s="242">
        <f>IF(IW278&lt;=0,1,0)+IF(IW278&gt;0,IW278+1,0)*1+IF(IW278&gt;12,IW278-12,0)*1+IF(IW278&gt;13,IW278-13,0)*1+IF(IW278&gt;14,IW278-14,0)*1+IF(IW278&gt;15,IW278-15,0)*1+IF(IW278&gt;16,IW278-16,0)*1+IF(IW278&gt;17,IW278-17,0)*1+IF(IW278&gt;18,IW278-18,0)*1+IF(IW278&gt;19,IW278-19,0)*1+IF(IW278&gt;20,IW278-20,0)*1</f>
        <v>1</v>
      </c>
      <c r="JA278" s="243">
        <f t="shared" si="1926"/>
        <v>86.769230769230802</v>
      </c>
      <c r="JB278" s="218">
        <f t="shared" si="1927"/>
        <v>0</v>
      </c>
      <c r="JE278" s="148"/>
    </row>
    <row r="279" spans="2:265" hidden="1" outlineLevel="2">
      <c r="B279" s="148">
        <v>19</v>
      </c>
      <c r="C279" s="303" t="e">
        <f>VLOOKUP(AF279,Attribute!C:T,1,FALSE)</f>
        <v>#N/A</v>
      </c>
      <c r="D279" s="86" t="s">
        <v>87</v>
      </c>
      <c r="E279" s="167" t="s">
        <v>132</v>
      </c>
      <c r="F279" s="120"/>
      <c r="G279" s="117">
        <f>Konvention_1master-KLmaster</f>
        <v>12</v>
      </c>
      <c r="H279" s="117">
        <f t="shared" si="1928"/>
        <v>12</v>
      </c>
      <c r="I279" s="117">
        <f t="shared" ref="I279:I285" si="1956">Konvention_1master-CHmaster</f>
        <v>12</v>
      </c>
      <c r="J279" s="117"/>
      <c r="K279" s="117"/>
      <c r="L279" s="117"/>
      <c r="M279" s="121"/>
      <c r="N279" s="223">
        <f t="shared" si="1794"/>
        <v>12</v>
      </c>
      <c r="O279" s="223">
        <f t="shared" si="1795"/>
        <v>24</v>
      </c>
      <c r="P279" s="224">
        <f t="shared" si="1796"/>
        <v>36</v>
      </c>
      <c r="Q279" s="237">
        <f t="shared" si="1797"/>
        <v>2304</v>
      </c>
      <c r="R279" s="117">
        <f>G279*H279*CHmaster+G279*INmaster*I279+KLmaster*H279*I279</f>
        <v>3456</v>
      </c>
      <c r="S279" s="224">
        <f t="shared" si="1798"/>
        <v>1728</v>
      </c>
      <c r="T279" s="224">
        <f t="shared" si="1799"/>
        <v>7488</v>
      </c>
      <c r="U279" s="222">
        <f t="shared" si="1800"/>
        <v>3.6923076923076925</v>
      </c>
      <c r="V279" s="223">
        <f t="shared" si="1801"/>
        <v>11.076923076923077</v>
      </c>
      <c r="W279" s="243">
        <f t="shared" si="1802"/>
        <v>8.3076923076923084</v>
      </c>
      <c r="X279" s="243">
        <f t="shared" si="1803"/>
        <v>23.07692307692308</v>
      </c>
      <c r="Y279" s="252">
        <v>0</v>
      </c>
      <c r="Z279" s="198">
        <f t="shared" si="1804"/>
        <v>23.07692307692308</v>
      </c>
      <c r="AA279" s="125">
        <f t="shared" ref="AA279:AB283" si="1957">IF(X279&lt;=0,2,0)+IF(X279&gt;0,X279+1,0)*2+IF(X279&gt;12,X279-12,0)*2+IF(X279&gt;13,X279-13,0)*2+IF(X279&gt;14,X279-14,0)*2+IF(X279&gt;15,X279-15,0)*2+IF(X279&gt;16,X279-16,0)*2+IF(X279&gt;17,X279-17,0)*2+IF(X279&gt;18,X279-18,0)*2+IF(X279&gt;19,X279-19,0)*2+IF(X279&gt;20,X279-20,0)*2</f>
        <v>175.5384615384616</v>
      </c>
      <c r="AB279" s="160">
        <f t="shared" si="1957"/>
        <v>2</v>
      </c>
      <c r="AC279" s="127">
        <f t="shared" si="1806"/>
        <v>173.5384615384616</v>
      </c>
      <c r="AD279" s="125">
        <f t="shared" si="1807"/>
        <v>0</v>
      </c>
      <c r="AF279" s="163" t="s">
        <v>360</v>
      </c>
      <c r="AG279" s="86" t="s">
        <v>87</v>
      </c>
      <c r="AH279" s="167" t="s">
        <v>132</v>
      </c>
      <c r="AI279" s="120"/>
      <c r="AJ279" s="117">
        <f>Konvention_1slave-KLslave</f>
        <v>12</v>
      </c>
      <c r="AK279" s="117">
        <f t="shared" si="1955"/>
        <v>12</v>
      </c>
      <c r="AL279" s="117">
        <f t="shared" ref="AL279:AL285" si="1958">Konvention_1slave-CHslave</f>
        <v>12</v>
      </c>
      <c r="AM279" s="117"/>
      <c r="AN279" s="117"/>
      <c r="AO279" s="117"/>
      <c r="AP279" s="121"/>
      <c r="AQ279" s="47">
        <f t="shared" si="1808"/>
        <v>12</v>
      </c>
      <c r="AR279" s="3">
        <f t="shared" si="1809"/>
        <v>24</v>
      </c>
      <c r="AS279" s="174">
        <f t="shared" si="1810"/>
        <v>36</v>
      </c>
      <c r="AT279" s="114">
        <f t="shared" si="1811"/>
        <v>2304</v>
      </c>
      <c r="AU279" s="117">
        <f>AJ279*AK279*CHslave+AJ279*INslave*AL279+KLslave*AK279*AL279</f>
        <v>3456</v>
      </c>
      <c r="AV279" s="119">
        <f t="shared" si="1812"/>
        <v>1728</v>
      </c>
      <c r="AW279" s="119">
        <f t="shared" si="1813"/>
        <v>7488</v>
      </c>
      <c r="AX279" s="89">
        <f t="shared" si="1814"/>
        <v>3.6923076923076925</v>
      </c>
      <c r="AY279" s="47">
        <f t="shared" si="1815"/>
        <v>11.076923076923077</v>
      </c>
      <c r="AZ279" s="127">
        <f t="shared" si="1816"/>
        <v>8.3076923076923084</v>
      </c>
      <c r="BA279" s="127">
        <f t="shared" si="1817"/>
        <v>23.07692307692308</v>
      </c>
      <c r="BB279" s="165">
        <f t="shared" si="1818"/>
        <v>0</v>
      </c>
      <c r="BC279" s="198">
        <f t="shared" si="1819"/>
        <v>23.07692307692308</v>
      </c>
      <c r="BD279" s="125">
        <f t="shared" ref="BD279:BE283" si="1959">IF(BA279&lt;=0,2,0)+IF(BA279&gt;0,BA279+1,0)*2+IF(BA279&gt;12,BA279-12,0)*2+IF(BA279&gt;13,BA279-13,0)*2+IF(BA279&gt;14,BA279-14,0)*2+IF(BA279&gt;15,BA279-15,0)*2+IF(BA279&gt;16,BA279-16,0)*2+IF(BA279&gt;17,BA279-17,0)*2+IF(BA279&gt;18,BA279-18,0)*2+IF(BA279&gt;19,BA279-19,0)*2+IF(BA279&gt;20,BA279-20,0)*2</f>
        <v>175.5384615384616</v>
      </c>
      <c r="BE279" s="160">
        <f t="shared" si="1959"/>
        <v>2</v>
      </c>
      <c r="BF279" s="243">
        <f t="shared" si="1821"/>
        <v>173.5384615384616</v>
      </c>
      <c r="BG279" s="218">
        <f t="shared" si="1822"/>
        <v>0</v>
      </c>
      <c r="BI279" s="303" t="s">
        <v>360</v>
      </c>
      <c r="BJ279" s="304" t="s">
        <v>87</v>
      </c>
      <c r="BK279" s="305" t="s">
        <v>132</v>
      </c>
      <c r="BL279" s="317"/>
      <c r="BM279" s="254">
        <f>Konvention_1slave-KLslave_KL</f>
        <v>11</v>
      </c>
      <c r="BN279" s="254">
        <f t="shared" si="1930"/>
        <v>12</v>
      </c>
      <c r="BO279" s="254">
        <f t="shared" ref="BO279:BO285" si="1960">Konvention_1slave-CHslave</f>
        <v>12</v>
      </c>
      <c r="BP279" s="254"/>
      <c r="BQ279" s="254"/>
      <c r="BR279" s="254"/>
      <c r="BS279" s="318"/>
      <c r="BT279" s="223">
        <f t="shared" si="1823"/>
        <v>11.666666666666666</v>
      </c>
      <c r="BU279" s="223">
        <f t="shared" si="1824"/>
        <v>23.333333333333332</v>
      </c>
      <c r="BV279" s="224">
        <f t="shared" si="1825"/>
        <v>35</v>
      </c>
      <c r="BW279" s="237">
        <f t="shared" si="1826"/>
        <v>2432</v>
      </c>
      <c r="BX279" s="254">
        <f>BM279*BN279*CHslave+BM279*INslave*BO279+KLslave_KL*BN279*BO279</f>
        <v>3408</v>
      </c>
      <c r="BY279" s="224">
        <f t="shared" si="1827"/>
        <v>1584</v>
      </c>
      <c r="BZ279" s="224">
        <f t="shared" si="1828"/>
        <v>7424</v>
      </c>
      <c r="CA279" s="222">
        <f t="shared" si="1829"/>
        <v>3.8218390804597702</v>
      </c>
      <c r="CB279" s="223">
        <f t="shared" si="1830"/>
        <v>10.711206896551724</v>
      </c>
      <c r="CC279" s="243">
        <f t="shared" si="1831"/>
        <v>7.4676724137931032</v>
      </c>
      <c r="CD279" s="243">
        <f t="shared" si="1832"/>
        <v>22.000718390804597</v>
      </c>
      <c r="CE279" s="252">
        <f t="shared" si="1833"/>
        <v>0</v>
      </c>
      <c r="CF279" s="309">
        <f t="shared" si="1834"/>
        <v>22.000718390804597</v>
      </c>
      <c r="CG279" s="218">
        <f t="shared" ref="CG279:CH283" si="1961">IF(CD279&lt;=0,2,0)+IF(CD279&gt;0,CD279+1,0)*2+IF(CD279&gt;12,CD279-12,0)*2+IF(CD279&gt;13,CD279-13,0)*2+IF(CD279&gt;14,CD279-14,0)*2+IF(CD279&gt;15,CD279-15,0)*2+IF(CD279&gt;16,CD279-16,0)*2+IF(CD279&gt;17,CD279-17,0)*2+IF(CD279&gt;18,CD279-18,0)*2+IF(CD279&gt;19,CD279-19,0)*2+IF(CD279&gt;20,CD279-20,0)*2</f>
        <v>154.01436781609189</v>
      </c>
      <c r="CH279" s="242">
        <f t="shared" si="1961"/>
        <v>2</v>
      </c>
      <c r="CI279" s="243">
        <f t="shared" si="1836"/>
        <v>152.01436781609189</v>
      </c>
      <c r="CJ279" s="218">
        <f t="shared" si="1837"/>
        <v>0</v>
      </c>
      <c r="CL279" s="303" t="s">
        <v>360</v>
      </c>
      <c r="CM279" s="304" t="s">
        <v>87</v>
      </c>
      <c r="CN279" s="305" t="s">
        <v>132</v>
      </c>
      <c r="CO279" s="317"/>
      <c r="CP279" s="254">
        <f>Konvention_1slave-KLslave</f>
        <v>12</v>
      </c>
      <c r="CQ279" s="254">
        <f t="shared" si="1931"/>
        <v>11</v>
      </c>
      <c r="CR279" s="254">
        <f t="shared" ref="CR279:CR285" si="1962">Konvention_1slave-CHslave</f>
        <v>12</v>
      </c>
      <c r="CS279" s="254"/>
      <c r="CT279" s="254"/>
      <c r="CU279" s="254"/>
      <c r="CV279" s="318"/>
      <c r="CW279" s="223">
        <f t="shared" si="1838"/>
        <v>11.666666666666666</v>
      </c>
      <c r="CX279" s="223">
        <f t="shared" si="1839"/>
        <v>23.333333333333332</v>
      </c>
      <c r="CY279" s="224">
        <f t="shared" si="1840"/>
        <v>35</v>
      </c>
      <c r="CZ279" s="237">
        <f t="shared" si="1841"/>
        <v>2432</v>
      </c>
      <c r="DA279" s="254">
        <f>CP279*CQ279*CHslave+CP279*INslave_IN*CR279+KLslave*CQ279*CR279</f>
        <v>3408</v>
      </c>
      <c r="DB279" s="224">
        <f t="shared" si="1842"/>
        <v>1584</v>
      </c>
      <c r="DC279" s="224">
        <f t="shared" si="1843"/>
        <v>7424</v>
      </c>
      <c r="DD279" s="222">
        <f t="shared" si="1844"/>
        <v>3.8218390804597702</v>
      </c>
      <c r="DE279" s="223">
        <f t="shared" si="1845"/>
        <v>10.711206896551724</v>
      </c>
      <c r="DF279" s="243">
        <f t="shared" si="1846"/>
        <v>7.4676724137931032</v>
      </c>
      <c r="DG279" s="243">
        <f t="shared" si="1847"/>
        <v>22.000718390804597</v>
      </c>
      <c r="DH279" s="252">
        <f t="shared" si="1848"/>
        <v>0</v>
      </c>
      <c r="DI279" s="309">
        <f t="shared" si="1849"/>
        <v>22.000718390804597</v>
      </c>
      <c r="DJ279" s="218">
        <f t="shared" ref="DJ279:DK283" si="1963">IF(DG279&lt;=0,2,0)+IF(DG279&gt;0,DG279+1,0)*2+IF(DG279&gt;12,DG279-12,0)*2+IF(DG279&gt;13,DG279-13,0)*2+IF(DG279&gt;14,DG279-14,0)*2+IF(DG279&gt;15,DG279-15,0)*2+IF(DG279&gt;16,DG279-16,0)*2+IF(DG279&gt;17,DG279-17,0)*2+IF(DG279&gt;18,DG279-18,0)*2+IF(DG279&gt;19,DG279-19,0)*2+IF(DG279&gt;20,DG279-20,0)*2</f>
        <v>154.01436781609189</v>
      </c>
      <c r="DK279" s="242">
        <f t="shared" si="1963"/>
        <v>2</v>
      </c>
      <c r="DL279" s="243">
        <f t="shared" si="1851"/>
        <v>152.01436781609189</v>
      </c>
      <c r="DM279" s="218">
        <f t="shared" si="1852"/>
        <v>0</v>
      </c>
      <c r="DO279" s="303" t="s">
        <v>360</v>
      </c>
      <c r="DP279" s="304" t="s">
        <v>87</v>
      </c>
      <c r="DQ279" s="305" t="s">
        <v>132</v>
      </c>
      <c r="DR279" s="317"/>
      <c r="DS279" s="254">
        <f>Konvention_1slave-KLslave</f>
        <v>12</v>
      </c>
      <c r="DT279" s="254">
        <f t="shared" si="1932"/>
        <v>12</v>
      </c>
      <c r="DU279" s="254">
        <f t="shared" ref="DU279:DU285" si="1964">Konvention_1slave-CHslave_CH</f>
        <v>11</v>
      </c>
      <c r="DV279" s="254"/>
      <c r="DW279" s="254"/>
      <c r="DX279" s="254"/>
      <c r="DY279" s="318"/>
      <c r="DZ279" s="223">
        <f t="shared" si="1853"/>
        <v>11.666666666666666</v>
      </c>
      <c r="EA279" s="223">
        <f t="shared" si="1854"/>
        <v>23.333333333333332</v>
      </c>
      <c r="EB279" s="224">
        <f t="shared" si="1855"/>
        <v>35</v>
      </c>
      <c r="EC279" s="237">
        <f t="shared" si="1856"/>
        <v>2432</v>
      </c>
      <c r="ED279" s="254">
        <f>DS279*DT279*CHslave_CH+DS279*INslave*DU279+KLslave*DT279*DU279</f>
        <v>3408</v>
      </c>
      <c r="EE279" s="224">
        <f t="shared" si="1857"/>
        <v>1584</v>
      </c>
      <c r="EF279" s="224">
        <f t="shared" si="1858"/>
        <v>7424</v>
      </c>
      <c r="EG279" s="222">
        <f t="shared" si="1859"/>
        <v>3.8218390804597702</v>
      </c>
      <c r="EH279" s="223">
        <f t="shared" si="1860"/>
        <v>10.711206896551724</v>
      </c>
      <c r="EI279" s="243">
        <f t="shared" si="1861"/>
        <v>7.4676724137931032</v>
      </c>
      <c r="EJ279" s="243">
        <f t="shared" si="1862"/>
        <v>22.000718390804597</v>
      </c>
      <c r="EK279" s="252">
        <f t="shared" si="1863"/>
        <v>0</v>
      </c>
      <c r="EL279" s="309">
        <f t="shared" si="1864"/>
        <v>22.000718390804597</v>
      </c>
      <c r="EM279" s="218">
        <f t="shared" ref="EM279:EN283" si="1965">IF(EJ279&lt;=0,2,0)+IF(EJ279&gt;0,EJ279+1,0)*2+IF(EJ279&gt;12,EJ279-12,0)*2+IF(EJ279&gt;13,EJ279-13,0)*2+IF(EJ279&gt;14,EJ279-14,0)*2+IF(EJ279&gt;15,EJ279-15,0)*2+IF(EJ279&gt;16,EJ279-16,0)*2+IF(EJ279&gt;17,EJ279-17,0)*2+IF(EJ279&gt;18,EJ279-18,0)*2+IF(EJ279&gt;19,EJ279-19,0)*2+IF(EJ279&gt;20,EJ279-20,0)*2</f>
        <v>154.01436781609189</v>
      </c>
      <c r="EN279" s="242">
        <f t="shared" si="1965"/>
        <v>2</v>
      </c>
      <c r="EO279" s="243">
        <f t="shared" si="1866"/>
        <v>152.01436781609189</v>
      </c>
      <c r="EP279" s="218">
        <f t="shared" si="1867"/>
        <v>0</v>
      </c>
      <c r="ER279" s="303" t="s">
        <v>360</v>
      </c>
      <c r="ES279" s="304" t="s">
        <v>87</v>
      </c>
      <c r="ET279" s="305" t="s">
        <v>132</v>
      </c>
      <c r="EU279" s="317"/>
      <c r="EV279" s="254">
        <f>Konvention_1slave-KLslave</f>
        <v>12</v>
      </c>
      <c r="EW279" s="254">
        <f t="shared" si="1933"/>
        <v>12</v>
      </c>
      <c r="EX279" s="254">
        <f t="shared" ref="EX279:EX285" si="1966">Konvention_1slave-CHslave</f>
        <v>12</v>
      </c>
      <c r="EY279" s="254"/>
      <c r="EZ279" s="254"/>
      <c r="FA279" s="254"/>
      <c r="FB279" s="318"/>
      <c r="FC279" s="223">
        <f t="shared" si="1868"/>
        <v>12</v>
      </c>
      <c r="FD279" s="223">
        <f t="shared" si="1869"/>
        <v>24</v>
      </c>
      <c r="FE279" s="224">
        <f t="shared" si="1870"/>
        <v>36</v>
      </c>
      <c r="FF279" s="237">
        <f t="shared" si="1871"/>
        <v>2304</v>
      </c>
      <c r="FG279" s="254">
        <f>EV279*EW279*CHslave+EV279*INslave*EX279+KLslave*EW279*EX279</f>
        <v>3456</v>
      </c>
      <c r="FH279" s="224">
        <f t="shared" si="1872"/>
        <v>1728</v>
      </c>
      <c r="FI279" s="224">
        <f t="shared" si="1873"/>
        <v>7488</v>
      </c>
      <c r="FJ279" s="222">
        <f t="shared" si="1874"/>
        <v>3.6923076923076925</v>
      </c>
      <c r="FK279" s="223">
        <f t="shared" si="1875"/>
        <v>11.076923076923077</v>
      </c>
      <c r="FL279" s="243">
        <f t="shared" si="1876"/>
        <v>8.3076923076923084</v>
      </c>
      <c r="FM279" s="243">
        <f t="shared" si="1877"/>
        <v>23.07692307692308</v>
      </c>
      <c r="FN279" s="252">
        <f t="shared" si="1878"/>
        <v>0</v>
      </c>
      <c r="FO279" s="309">
        <f t="shared" si="1879"/>
        <v>23.07692307692308</v>
      </c>
      <c r="FP279" s="218">
        <f t="shared" ref="FP279:FQ283" si="1967">IF(FM279&lt;=0,2,0)+IF(FM279&gt;0,FM279+1,0)*2+IF(FM279&gt;12,FM279-12,0)*2+IF(FM279&gt;13,FM279-13,0)*2+IF(FM279&gt;14,FM279-14,0)*2+IF(FM279&gt;15,FM279-15,0)*2+IF(FM279&gt;16,FM279-16,0)*2+IF(FM279&gt;17,FM279-17,0)*2+IF(FM279&gt;18,FM279-18,0)*2+IF(FM279&gt;19,FM279-19,0)*2+IF(FM279&gt;20,FM279-20,0)*2</f>
        <v>175.5384615384616</v>
      </c>
      <c r="FQ279" s="242">
        <f t="shared" si="1967"/>
        <v>2</v>
      </c>
      <c r="FR279" s="243">
        <f t="shared" si="1881"/>
        <v>173.5384615384616</v>
      </c>
      <c r="FS279" s="218">
        <f t="shared" si="1882"/>
        <v>0</v>
      </c>
      <c r="FU279" s="303" t="s">
        <v>360</v>
      </c>
      <c r="FV279" s="304" t="s">
        <v>87</v>
      </c>
      <c r="FW279" s="305" t="s">
        <v>132</v>
      </c>
      <c r="FX279" s="317"/>
      <c r="FY279" s="254">
        <f>Konvention_1slave-KLslave</f>
        <v>12</v>
      </c>
      <c r="FZ279" s="254">
        <f t="shared" si="1934"/>
        <v>12</v>
      </c>
      <c r="GA279" s="254">
        <f t="shared" ref="GA279:GA285" si="1968">Konvention_1slave-CHslave</f>
        <v>12</v>
      </c>
      <c r="GB279" s="254"/>
      <c r="GC279" s="254"/>
      <c r="GD279" s="254"/>
      <c r="GE279" s="318"/>
      <c r="GF279" s="223">
        <f t="shared" si="1883"/>
        <v>12</v>
      </c>
      <c r="GG279" s="223">
        <f t="shared" si="1884"/>
        <v>24</v>
      </c>
      <c r="GH279" s="224">
        <f t="shared" si="1885"/>
        <v>36</v>
      </c>
      <c r="GI279" s="237">
        <f t="shared" si="1886"/>
        <v>2304</v>
      </c>
      <c r="GJ279" s="254">
        <f>FY279*FZ279*CHslave+FY279*INslave*GA279+KLslave*FZ279*GA279</f>
        <v>3456</v>
      </c>
      <c r="GK279" s="224">
        <f t="shared" si="1887"/>
        <v>1728</v>
      </c>
      <c r="GL279" s="224">
        <f t="shared" si="1888"/>
        <v>7488</v>
      </c>
      <c r="GM279" s="222">
        <f t="shared" si="1889"/>
        <v>3.6923076923076925</v>
      </c>
      <c r="GN279" s="223">
        <f t="shared" si="1890"/>
        <v>11.076923076923077</v>
      </c>
      <c r="GO279" s="243">
        <f t="shared" si="1891"/>
        <v>8.3076923076923084</v>
      </c>
      <c r="GP279" s="243">
        <f t="shared" si="1892"/>
        <v>23.07692307692308</v>
      </c>
      <c r="GQ279" s="252">
        <f t="shared" si="1893"/>
        <v>0</v>
      </c>
      <c r="GR279" s="309">
        <f t="shared" si="1894"/>
        <v>23.07692307692308</v>
      </c>
      <c r="GS279" s="218">
        <f t="shared" ref="GS279:GT283" si="1969">IF(GP279&lt;=0,2,0)+IF(GP279&gt;0,GP279+1,0)*2+IF(GP279&gt;12,GP279-12,0)*2+IF(GP279&gt;13,GP279-13,0)*2+IF(GP279&gt;14,GP279-14,0)*2+IF(GP279&gt;15,GP279-15,0)*2+IF(GP279&gt;16,GP279-16,0)*2+IF(GP279&gt;17,GP279-17,0)*2+IF(GP279&gt;18,GP279-18,0)*2+IF(GP279&gt;19,GP279-19,0)*2+IF(GP279&gt;20,GP279-20,0)*2</f>
        <v>175.5384615384616</v>
      </c>
      <c r="GT279" s="242">
        <f t="shared" si="1969"/>
        <v>2</v>
      </c>
      <c r="GU279" s="243">
        <f t="shared" si="1896"/>
        <v>173.5384615384616</v>
      </c>
      <c r="GV279" s="218">
        <f t="shared" si="1897"/>
        <v>0</v>
      </c>
      <c r="GX279" s="303" t="s">
        <v>360</v>
      </c>
      <c r="GY279" s="304" t="s">
        <v>87</v>
      </c>
      <c r="GZ279" s="305" t="s">
        <v>132</v>
      </c>
      <c r="HA279" s="317"/>
      <c r="HB279" s="254">
        <f>Konvention_1slave-KLslave</f>
        <v>12</v>
      </c>
      <c r="HC279" s="254">
        <f t="shared" si="1935"/>
        <v>12</v>
      </c>
      <c r="HD279" s="254">
        <f t="shared" ref="HD279:HD285" si="1970">Konvention_1slave-CHslave</f>
        <v>12</v>
      </c>
      <c r="HE279" s="254"/>
      <c r="HF279" s="254"/>
      <c r="HG279" s="254"/>
      <c r="HH279" s="318"/>
      <c r="HI279" s="223">
        <f t="shared" si="1898"/>
        <v>12</v>
      </c>
      <c r="HJ279" s="223">
        <f t="shared" si="1899"/>
        <v>24</v>
      </c>
      <c r="HK279" s="224">
        <f t="shared" si="1900"/>
        <v>36</v>
      </c>
      <c r="HL279" s="237">
        <f t="shared" si="1901"/>
        <v>2304</v>
      </c>
      <c r="HM279" s="254">
        <f>HB279*HC279*CHslave+HB279*INslave*HD279+KLslave*HC279*HD279</f>
        <v>3456</v>
      </c>
      <c r="HN279" s="224">
        <f t="shared" si="1902"/>
        <v>1728</v>
      </c>
      <c r="HO279" s="224">
        <f t="shared" si="1903"/>
        <v>7488</v>
      </c>
      <c r="HP279" s="222">
        <f t="shared" si="1904"/>
        <v>3.6923076923076925</v>
      </c>
      <c r="HQ279" s="223">
        <f t="shared" si="1905"/>
        <v>11.076923076923077</v>
      </c>
      <c r="HR279" s="243">
        <f t="shared" si="1906"/>
        <v>8.3076923076923084</v>
      </c>
      <c r="HS279" s="243">
        <f t="shared" si="1907"/>
        <v>23.07692307692308</v>
      </c>
      <c r="HT279" s="252">
        <f t="shared" si="1908"/>
        <v>0</v>
      </c>
      <c r="HU279" s="309">
        <f t="shared" si="1909"/>
        <v>23.07692307692308</v>
      </c>
      <c r="HV279" s="218">
        <f t="shared" ref="HV279:HW283" si="1971">IF(HS279&lt;=0,2,0)+IF(HS279&gt;0,HS279+1,0)*2+IF(HS279&gt;12,HS279-12,0)*2+IF(HS279&gt;13,HS279-13,0)*2+IF(HS279&gt;14,HS279-14,0)*2+IF(HS279&gt;15,HS279-15,0)*2+IF(HS279&gt;16,HS279-16,0)*2+IF(HS279&gt;17,HS279-17,0)*2+IF(HS279&gt;18,HS279-18,0)*2+IF(HS279&gt;19,HS279-19,0)*2+IF(HS279&gt;20,HS279-20,0)*2</f>
        <v>175.5384615384616</v>
      </c>
      <c r="HW279" s="242">
        <f t="shared" si="1971"/>
        <v>2</v>
      </c>
      <c r="HX279" s="243">
        <f t="shared" si="1911"/>
        <v>173.5384615384616</v>
      </c>
      <c r="HY279" s="218">
        <f t="shared" si="1912"/>
        <v>0</v>
      </c>
      <c r="IA279" s="303" t="s">
        <v>360</v>
      </c>
      <c r="IB279" s="304" t="s">
        <v>87</v>
      </c>
      <c r="IC279" s="305" t="s">
        <v>132</v>
      </c>
      <c r="ID279" s="317"/>
      <c r="IE279" s="254">
        <f>Konvention_1slave-KLslave</f>
        <v>12</v>
      </c>
      <c r="IF279" s="254">
        <f t="shared" si="1936"/>
        <v>12</v>
      </c>
      <c r="IG279" s="254">
        <f t="shared" ref="IG279:IG285" si="1972">Konvention_1slave-CHslave</f>
        <v>12</v>
      </c>
      <c r="IH279" s="254"/>
      <c r="II279" s="254"/>
      <c r="IJ279" s="254"/>
      <c r="IK279" s="318"/>
      <c r="IL279" s="223">
        <f t="shared" si="1913"/>
        <v>12</v>
      </c>
      <c r="IM279" s="223">
        <f t="shared" si="1914"/>
        <v>24</v>
      </c>
      <c r="IN279" s="224">
        <f t="shared" si="1915"/>
        <v>36</v>
      </c>
      <c r="IO279" s="237">
        <f t="shared" si="1916"/>
        <v>2304</v>
      </c>
      <c r="IP279" s="254">
        <f>IE279*IF279*CHslave+IE279*INslave*IG279+KLslave*IF279*IG279</f>
        <v>3456</v>
      </c>
      <c r="IQ279" s="224">
        <f t="shared" si="1917"/>
        <v>1728</v>
      </c>
      <c r="IR279" s="224">
        <f t="shared" si="1918"/>
        <v>7488</v>
      </c>
      <c r="IS279" s="222">
        <f t="shared" si="1919"/>
        <v>3.6923076923076925</v>
      </c>
      <c r="IT279" s="223">
        <f t="shared" si="1920"/>
        <v>11.076923076923077</v>
      </c>
      <c r="IU279" s="243">
        <f t="shared" si="1921"/>
        <v>8.3076923076923084</v>
      </c>
      <c r="IV279" s="243">
        <f t="shared" si="1922"/>
        <v>23.07692307692308</v>
      </c>
      <c r="IW279" s="252">
        <f t="shared" si="1923"/>
        <v>0</v>
      </c>
      <c r="IX279" s="309">
        <f t="shared" si="1924"/>
        <v>23.07692307692308</v>
      </c>
      <c r="IY279" s="218">
        <f t="shared" ref="IY279:IZ283" si="1973">IF(IV279&lt;=0,2,0)+IF(IV279&gt;0,IV279+1,0)*2+IF(IV279&gt;12,IV279-12,0)*2+IF(IV279&gt;13,IV279-13,0)*2+IF(IV279&gt;14,IV279-14,0)*2+IF(IV279&gt;15,IV279-15,0)*2+IF(IV279&gt;16,IV279-16,0)*2+IF(IV279&gt;17,IV279-17,0)*2+IF(IV279&gt;18,IV279-18,0)*2+IF(IV279&gt;19,IV279-19,0)*2+IF(IV279&gt;20,IV279-20,0)*2</f>
        <v>175.5384615384616</v>
      </c>
      <c r="IZ279" s="242">
        <f t="shared" si="1973"/>
        <v>2</v>
      </c>
      <c r="JA279" s="243">
        <f t="shared" si="1926"/>
        <v>173.5384615384616</v>
      </c>
      <c r="JB279" s="218">
        <f t="shared" si="1927"/>
        <v>0</v>
      </c>
      <c r="JE279" s="148"/>
    </row>
    <row r="280" spans="2:265" hidden="1" outlineLevel="2">
      <c r="B280" s="148">
        <v>20</v>
      </c>
      <c r="C280" s="303" t="e">
        <f>VLOOKUP(AF280,Attribute!C:T,1,FALSE)</f>
        <v>#N/A</v>
      </c>
      <c r="D280" s="86" t="s">
        <v>88</v>
      </c>
      <c r="E280" s="167" t="s">
        <v>132</v>
      </c>
      <c r="F280" s="120"/>
      <c r="G280" s="117"/>
      <c r="H280" s="117">
        <f t="shared" si="1928"/>
        <v>12</v>
      </c>
      <c r="I280" s="117">
        <f t="shared" si="1956"/>
        <v>12</v>
      </c>
      <c r="J280" s="117"/>
      <c r="K280" s="117">
        <f>Konvention_1master-GEmaster</f>
        <v>12</v>
      </c>
      <c r="L280" s="117"/>
      <c r="M280" s="121"/>
      <c r="N280" s="223">
        <f t="shared" si="1794"/>
        <v>12</v>
      </c>
      <c r="O280" s="223">
        <f t="shared" si="1795"/>
        <v>24</v>
      </c>
      <c r="P280" s="224">
        <f t="shared" si="1796"/>
        <v>36</v>
      </c>
      <c r="Q280" s="237">
        <f t="shared" si="1797"/>
        <v>2304</v>
      </c>
      <c r="R280" s="117">
        <f>H280*I280*GEmaster+H280*CHmaster*K280+INmaster*I280*K280</f>
        <v>3456</v>
      </c>
      <c r="S280" s="224">
        <f t="shared" si="1798"/>
        <v>1728</v>
      </c>
      <c r="T280" s="224">
        <f t="shared" si="1799"/>
        <v>7488</v>
      </c>
      <c r="U280" s="222">
        <f t="shared" si="1800"/>
        <v>3.6923076923076925</v>
      </c>
      <c r="V280" s="223">
        <f t="shared" si="1801"/>
        <v>11.076923076923077</v>
      </c>
      <c r="W280" s="243">
        <f t="shared" si="1802"/>
        <v>8.3076923076923084</v>
      </c>
      <c r="X280" s="243">
        <f t="shared" si="1803"/>
        <v>23.07692307692308</v>
      </c>
      <c r="Y280" s="252">
        <v>0</v>
      </c>
      <c r="Z280" s="198">
        <f t="shared" si="1804"/>
        <v>23.07692307692308</v>
      </c>
      <c r="AA280" s="125">
        <f t="shared" si="1957"/>
        <v>175.5384615384616</v>
      </c>
      <c r="AB280" s="160">
        <f t="shared" si="1957"/>
        <v>2</v>
      </c>
      <c r="AC280" s="127">
        <f t="shared" si="1806"/>
        <v>173.5384615384616</v>
      </c>
      <c r="AD280" s="125">
        <f t="shared" si="1807"/>
        <v>0</v>
      </c>
      <c r="AF280" s="163" t="s">
        <v>415</v>
      </c>
      <c r="AG280" s="86" t="s">
        <v>88</v>
      </c>
      <c r="AH280" s="167" t="s">
        <v>132</v>
      </c>
      <c r="AI280" s="120"/>
      <c r="AJ280" s="117"/>
      <c r="AK280" s="117">
        <f t="shared" si="1955"/>
        <v>12</v>
      </c>
      <c r="AL280" s="117">
        <f t="shared" si="1958"/>
        <v>12</v>
      </c>
      <c r="AM280" s="117"/>
      <c r="AN280" s="117">
        <f>Konvention_1slave-GEslave</f>
        <v>12</v>
      </c>
      <c r="AO280" s="117"/>
      <c r="AP280" s="121"/>
      <c r="AQ280" s="47">
        <f t="shared" si="1808"/>
        <v>12</v>
      </c>
      <c r="AR280" s="3">
        <f t="shared" si="1809"/>
        <v>24</v>
      </c>
      <c r="AS280" s="174">
        <f t="shared" si="1810"/>
        <v>36</v>
      </c>
      <c r="AT280" s="114">
        <f t="shared" si="1811"/>
        <v>2304</v>
      </c>
      <c r="AU280" s="117">
        <f>AK280*AL280*GEslave+AK280*CHslave*AN280+INslave*AL280*AN280</f>
        <v>3456</v>
      </c>
      <c r="AV280" s="119">
        <f t="shared" si="1812"/>
        <v>1728</v>
      </c>
      <c r="AW280" s="119">
        <f t="shared" si="1813"/>
        <v>7488</v>
      </c>
      <c r="AX280" s="89">
        <f t="shared" si="1814"/>
        <v>3.6923076923076925</v>
      </c>
      <c r="AY280" s="47">
        <f t="shared" si="1815"/>
        <v>11.076923076923077</v>
      </c>
      <c r="AZ280" s="127">
        <f t="shared" si="1816"/>
        <v>8.3076923076923084</v>
      </c>
      <c r="BA280" s="127">
        <f t="shared" si="1817"/>
        <v>23.07692307692308</v>
      </c>
      <c r="BB280" s="165">
        <f t="shared" si="1818"/>
        <v>0</v>
      </c>
      <c r="BC280" s="198">
        <f t="shared" si="1819"/>
        <v>23.07692307692308</v>
      </c>
      <c r="BD280" s="125">
        <f t="shared" si="1959"/>
        <v>175.5384615384616</v>
      </c>
      <c r="BE280" s="160">
        <f t="shared" si="1959"/>
        <v>2</v>
      </c>
      <c r="BF280" s="243">
        <f t="shared" si="1821"/>
        <v>173.5384615384616</v>
      </c>
      <c r="BG280" s="218">
        <f t="shared" si="1822"/>
        <v>0</v>
      </c>
      <c r="BI280" s="303" t="s">
        <v>415</v>
      </c>
      <c r="BJ280" s="304" t="s">
        <v>88</v>
      </c>
      <c r="BK280" s="305" t="s">
        <v>132</v>
      </c>
      <c r="BL280" s="317"/>
      <c r="BM280" s="254"/>
      <c r="BN280" s="254">
        <f t="shared" si="1930"/>
        <v>12</v>
      </c>
      <c r="BO280" s="254">
        <f t="shared" si="1960"/>
        <v>12</v>
      </c>
      <c r="BP280" s="254"/>
      <c r="BQ280" s="254">
        <f>Konvention_1slave-GEslave</f>
        <v>12</v>
      </c>
      <c r="BR280" s="254"/>
      <c r="BS280" s="318"/>
      <c r="BT280" s="223">
        <f t="shared" si="1823"/>
        <v>12</v>
      </c>
      <c r="BU280" s="223">
        <f t="shared" si="1824"/>
        <v>24</v>
      </c>
      <c r="BV280" s="224">
        <f t="shared" si="1825"/>
        <v>36</v>
      </c>
      <c r="BW280" s="237">
        <f t="shared" si="1826"/>
        <v>2304</v>
      </c>
      <c r="BX280" s="254">
        <f>BN280*BO280*GEslave+BN280*CHslave*BQ280+INslave*BO280*BQ280</f>
        <v>3456</v>
      </c>
      <c r="BY280" s="224">
        <f t="shared" si="1827"/>
        <v>1728</v>
      </c>
      <c r="BZ280" s="224">
        <f t="shared" si="1828"/>
        <v>7488</v>
      </c>
      <c r="CA280" s="222">
        <f t="shared" si="1829"/>
        <v>3.6923076923076925</v>
      </c>
      <c r="CB280" s="223">
        <f t="shared" si="1830"/>
        <v>11.076923076923077</v>
      </c>
      <c r="CC280" s="243">
        <f t="shared" si="1831"/>
        <v>8.3076923076923084</v>
      </c>
      <c r="CD280" s="243">
        <f t="shared" si="1832"/>
        <v>23.07692307692308</v>
      </c>
      <c r="CE280" s="252">
        <f t="shared" si="1833"/>
        <v>0</v>
      </c>
      <c r="CF280" s="309">
        <f t="shared" si="1834"/>
        <v>23.07692307692308</v>
      </c>
      <c r="CG280" s="218">
        <f t="shared" si="1961"/>
        <v>175.5384615384616</v>
      </c>
      <c r="CH280" s="242">
        <f t="shared" si="1961"/>
        <v>2</v>
      </c>
      <c r="CI280" s="243">
        <f t="shared" si="1836"/>
        <v>173.5384615384616</v>
      </c>
      <c r="CJ280" s="218">
        <f t="shared" si="1837"/>
        <v>0</v>
      </c>
      <c r="CL280" s="303" t="s">
        <v>415</v>
      </c>
      <c r="CM280" s="304" t="s">
        <v>88</v>
      </c>
      <c r="CN280" s="305" t="s">
        <v>132</v>
      </c>
      <c r="CO280" s="317"/>
      <c r="CP280" s="254"/>
      <c r="CQ280" s="254">
        <f t="shared" si="1931"/>
        <v>11</v>
      </c>
      <c r="CR280" s="254">
        <f t="shared" si="1962"/>
        <v>12</v>
      </c>
      <c r="CS280" s="254"/>
      <c r="CT280" s="254">
        <f>Konvention_1slave-GEslave</f>
        <v>12</v>
      </c>
      <c r="CU280" s="254"/>
      <c r="CV280" s="318"/>
      <c r="CW280" s="223">
        <f t="shared" si="1838"/>
        <v>11.666666666666666</v>
      </c>
      <c r="CX280" s="223">
        <f t="shared" si="1839"/>
        <v>23.333333333333332</v>
      </c>
      <c r="CY280" s="224">
        <f t="shared" si="1840"/>
        <v>35</v>
      </c>
      <c r="CZ280" s="237">
        <f t="shared" si="1841"/>
        <v>2432</v>
      </c>
      <c r="DA280" s="254">
        <f>CQ280*CR280*GEslave+CQ280*CHslave*CT280+INslave_IN*CR280*CT280</f>
        <v>3408</v>
      </c>
      <c r="DB280" s="224">
        <f t="shared" si="1842"/>
        <v>1584</v>
      </c>
      <c r="DC280" s="224">
        <f t="shared" si="1843"/>
        <v>7424</v>
      </c>
      <c r="DD280" s="222">
        <f t="shared" si="1844"/>
        <v>3.8218390804597702</v>
      </c>
      <c r="DE280" s="223">
        <f t="shared" si="1845"/>
        <v>10.711206896551724</v>
      </c>
      <c r="DF280" s="243">
        <f t="shared" si="1846"/>
        <v>7.4676724137931032</v>
      </c>
      <c r="DG280" s="243">
        <f t="shared" si="1847"/>
        <v>22.000718390804597</v>
      </c>
      <c r="DH280" s="252">
        <f t="shared" si="1848"/>
        <v>0</v>
      </c>
      <c r="DI280" s="309">
        <f t="shared" si="1849"/>
        <v>22.000718390804597</v>
      </c>
      <c r="DJ280" s="218">
        <f t="shared" si="1963"/>
        <v>154.01436781609189</v>
      </c>
      <c r="DK280" s="242">
        <f t="shared" si="1963"/>
        <v>2</v>
      </c>
      <c r="DL280" s="243">
        <f t="shared" si="1851"/>
        <v>152.01436781609189</v>
      </c>
      <c r="DM280" s="218">
        <f t="shared" si="1852"/>
        <v>0</v>
      </c>
      <c r="DO280" s="303" t="s">
        <v>415</v>
      </c>
      <c r="DP280" s="304" t="s">
        <v>88</v>
      </c>
      <c r="DQ280" s="305" t="s">
        <v>132</v>
      </c>
      <c r="DR280" s="317"/>
      <c r="DS280" s="254"/>
      <c r="DT280" s="254">
        <f t="shared" si="1932"/>
        <v>12</v>
      </c>
      <c r="DU280" s="254">
        <f t="shared" si="1964"/>
        <v>11</v>
      </c>
      <c r="DV280" s="254"/>
      <c r="DW280" s="254">
        <f>Konvention_1slave-GEslave</f>
        <v>12</v>
      </c>
      <c r="DX280" s="254"/>
      <c r="DY280" s="318"/>
      <c r="DZ280" s="223">
        <f t="shared" si="1853"/>
        <v>11.666666666666666</v>
      </c>
      <c r="EA280" s="223">
        <f t="shared" si="1854"/>
        <v>23.333333333333332</v>
      </c>
      <c r="EB280" s="224">
        <f t="shared" si="1855"/>
        <v>35</v>
      </c>
      <c r="EC280" s="237">
        <f t="shared" si="1856"/>
        <v>2432</v>
      </c>
      <c r="ED280" s="254">
        <f>DT280*DU280*GEslave+DT280*CHslave_CH*DW280+INslave*DU280*DW280</f>
        <v>3408</v>
      </c>
      <c r="EE280" s="224">
        <f t="shared" si="1857"/>
        <v>1584</v>
      </c>
      <c r="EF280" s="224">
        <f t="shared" si="1858"/>
        <v>7424</v>
      </c>
      <c r="EG280" s="222">
        <f t="shared" si="1859"/>
        <v>3.8218390804597702</v>
      </c>
      <c r="EH280" s="223">
        <f t="shared" si="1860"/>
        <v>10.711206896551724</v>
      </c>
      <c r="EI280" s="243">
        <f t="shared" si="1861"/>
        <v>7.4676724137931032</v>
      </c>
      <c r="EJ280" s="243">
        <f t="shared" si="1862"/>
        <v>22.000718390804597</v>
      </c>
      <c r="EK280" s="252">
        <f t="shared" si="1863"/>
        <v>0</v>
      </c>
      <c r="EL280" s="309">
        <f t="shared" si="1864"/>
        <v>22.000718390804597</v>
      </c>
      <c r="EM280" s="218">
        <f t="shared" si="1965"/>
        <v>154.01436781609189</v>
      </c>
      <c r="EN280" s="242">
        <f t="shared" si="1965"/>
        <v>2</v>
      </c>
      <c r="EO280" s="243">
        <f t="shared" si="1866"/>
        <v>152.01436781609189</v>
      </c>
      <c r="EP280" s="218">
        <f t="shared" si="1867"/>
        <v>0</v>
      </c>
      <c r="ER280" s="303" t="s">
        <v>415</v>
      </c>
      <c r="ES280" s="304" t="s">
        <v>88</v>
      </c>
      <c r="ET280" s="305" t="s">
        <v>132</v>
      </c>
      <c r="EU280" s="317"/>
      <c r="EV280" s="254"/>
      <c r="EW280" s="254">
        <f t="shared" si="1933"/>
        <v>12</v>
      </c>
      <c r="EX280" s="254">
        <f t="shared" si="1966"/>
        <v>12</v>
      </c>
      <c r="EY280" s="254"/>
      <c r="EZ280" s="254">
        <f>Konvention_1slave-GEslave</f>
        <v>12</v>
      </c>
      <c r="FA280" s="254"/>
      <c r="FB280" s="318"/>
      <c r="FC280" s="223">
        <f t="shared" si="1868"/>
        <v>12</v>
      </c>
      <c r="FD280" s="223">
        <f t="shared" si="1869"/>
        <v>24</v>
      </c>
      <c r="FE280" s="224">
        <f t="shared" si="1870"/>
        <v>36</v>
      </c>
      <c r="FF280" s="237">
        <f t="shared" si="1871"/>
        <v>2304</v>
      </c>
      <c r="FG280" s="254">
        <f>EW280*EX280*GEslave+EW280*CHslave*EZ280+INslave*EX280*EZ280</f>
        <v>3456</v>
      </c>
      <c r="FH280" s="224">
        <f t="shared" si="1872"/>
        <v>1728</v>
      </c>
      <c r="FI280" s="224">
        <f t="shared" si="1873"/>
        <v>7488</v>
      </c>
      <c r="FJ280" s="222">
        <f t="shared" si="1874"/>
        <v>3.6923076923076925</v>
      </c>
      <c r="FK280" s="223">
        <f t="shared" si="1875"/>
        <v>11.076923076923077</v>
      </c>
      <c r="FL280" s="243">
        <f t="shared" si="1876"/>
        <v>8.3076923076923084</v>
      </c>
      <c r="FM280" s="243">
        <f t="shared" si="1877"/>
        <v>23.07692307692308</v>
      </c>
      <c r="FN280" s="252">
        <f t="shared" si="1878"/>
        <v>0</v>
      </c>
      <c r="FO280" s="309">
        <f t="shared" si="1879"/>
        <v>23.07692307692308</v>
      </c>
      <c r="FP280" s="218">
        <f t="shared" si="1967"/>
        <v>175.5384615384616</v>
      </c>
      <c r="FQ280" s="242">
        <f t="shared" si="1967"/>
        <v>2</v>
      </c>
      <c r="FR280" s="243">
        <f t="shared" si="1881"/>
        <v>173.5384615384616</v>
      </c>
      <c r="FS280" s="218">
        <f t="shared" si="1882"/>
        <v>0</v>
      </c>
      <c r="FU280" s="303" t="s">
        <v>415</v>
      </c>
      <c r="FV280" s="304" t="s">
        <v>88</v>
      </c>
      <c r="FW280" s="305" t="s">
        <v>132</v>
      </c>
      <c r="FX280" s="317"/>
      <c r="FY280" s="254"/>
      <c r="FZ280" s="254">
        <f t="shared" si="1934"/>
        <v>12</v>
      </c>
      <c r="GA280" s="254">
        <f t="shared" si="1968"/>
        <v>12</v>
      </c>
      <c r="GB280" s="254"/>
      <c r="GC280" s="254">
        <f>Konvention_1slave-GEslave_GE</f>
        <v>11</v>
      </c>
      <c r="GD280" s="254"/>
      <c r="GE280" s="318"/>
      <c r="GF280" s="223">
        <f t="shared" si="1883"/>
        <v>11.666666666666666</v>
      </c>
      <c r="GG280" s="223">
        <f t="shared" si="1884"/>
        <v>23.333333333333332</v>
      </c>
      <c r="GH280" s="224">
        <f t="shared" si="1885"/>
        <v>35</v>
      </c>
      <c r="GI280" s="237">
        <f t="shared" si="1886"/>
        <v>2432</v>
      </c>
      <c r="GJ280" s="254">
        <f>FZ280*GA280*GEslave_GE+FZ280*CHslave*GC280+INslave*GA280*GC280</f>
        <v>3408</v>
      </c>
      <c r="GK280" s="224">
        <f t="shared" si="1887"/>
        <v>1584</v>
      </c>
      <c r="GL280" s="224">
        <f t="shared" si="1888"/>
        <v>7424</v>
      </c>
      <c r="GM280" s="222">
        <f t="shared" si="1889"/>
        <v>3.8218390804597702</v>
      </c>
      <c r="GN280" s="223">
        <f t="shared" si="1890"/>
        <v>10.711206896551724</v>
      </c>
      <c r="GO280" s="243">
        <f t="shared" si="1891"/>
        <v>7.4676724137931032</v>
      </c>
      <c r="GP280" s="243">
        <f t="shared" si="1892"/>
        <v>22.000718390804597</v>
      </c>
      <c r="GQ280" s="252">
        <f t="shared" si="1893"/>
        <v>0</v>
      </c>
      <c r="GR280" s="309">
        <f t="shared" si="1894"/>
        <v>22.000718390804597</v>
      </c>
      <c r="GS280" s="218">
        <f t="shared" si="1969"/>
        <v>154.01436781609189</v>
      </c>
      <c r="GT280" s="242">
        <f t="shared" si="1969"/>
        <v>2</v>
      </c>
      <c r="GU280" s="243">
        <f t="shared" si="1896"/>
        <v>152.01436781609189</v>
      </c>
      <c r="GV280" s="218">
        <f t="shared" si="1897"/>
        <v>0</v>
      </c>
      <c r="GX280" s="303" t="s">
        <v>415</v>
      </c>
      <c r="GY280" s="304" t="s">
        <v>88</v>
      </c>
      <c r="GZ280" s="305" t="s">
        <v>132</v>
      </c>
      <c r="HA280" s="317"/>
      <c r="HB280" s="254"/>
      <c r="HC280" s="254">
        <f t="shared" si="1935"/>
        <v>12</v>
      </c>
      <c r="HD280" s="254">
        <f t="shared" si="1970"/>
        <v>12</v>
      </c>
      <c r="HE280" s="254"/>
      <c r="HF280" s="254">
        <f>Konvention_1slave-GEslave</f>
        <v>12</v>
      </c>
      <c r="HG280" s="254"/>
      <c r="HH280" s="318"/>
      <c r="HI280" s="223">
        <f t="shared" si="1898"/>
        <v>12</v>
      </c>
      <c r="HJ280" s="223">
        <f t="shared" si="1899"/>
        <v>24</v>
      </c>
      <c r="HK280" s="224">
        <f t="shared" si="1900"/>
        <v>36</v>
      </c>
      <c r="HL280" s="237">
        <f t="shared" si="1901"/>
        <v>2304</v>
      </c>
      <c r="HM280" s="254">
        <f>HC280*HD280*GEslave+HC280*CHslave*HF280+INslave*HD280*HF280</f>
        <v>3456</v>
      </c>
      <c r="HN280" s="224">
        <f t="shared" si="1902"/>
        <v>1728</v>
      </c>
      <c r="HO280" s="224">
        <f t="shared" si="1903"/>
        <v>7488</v>
      </c>
      <c r="HP280" s="222">
        <f t="shared" si="1904"/>
        <v>3.6923076923076925</v>
      </c>
      <c r="HQ280" s="223">
        <f t="shared" si="1905"/>
        <v>11.076923076923077</v>
      </c>
      <c r="HR280" s="243">
        <f t="shared" si="1906"/>
        <v>8.3076923076923084</v>
      </c>
      <c r="HS280" s="243">
        <f t="shared" si="1907"/>
        <v>23.07692307692308</v>
      </c>
      <c r="HT280" s="252">
        <f t="shared" si="1908"/>
        <v>0</v>
      </c>
      <c r="HU280" s="309">
        <f t="shared" si="1909"/>
        <v>23.07692307692308</v>
      </c>
      <c r="HV280" s="218">
        <f t="shared" si="1971"/>
        <v>175.5384615384616</v>
      </c>
      <c r="HW280" s="242">
        <f t="shared" si="1971"/>
        <v>2</v>
      </c>
      <c r="HX280" s="243">
        <f t="shared" si="1911"/>
        <v>173.5384615384616</v>
      </c>
      <c r="HY280" s="218">
        <f t="shared" si="1912"/>
        <v>0</v>
      </c>
      <c r="IA280" s="303" t="s">
        <v>415</v>
      </c>
      <c r="IB280" s="304" t="s">
        <v>88</v>
      </c>
      <c r="IC280" s="305" t="s">
        <v>132</v>
      </c>
      <c r="ID280" s="317"/>
      <c r="IE280" s="254"/>
      <c r="IF280" s="254">
        <f t="shared" si="1936"/>
        <v>12</v>
      </c>
      <c r="IG280" s="254">
        <f t="shared" si="1972"/>
        <v>12</v>
      </c>
      <c r="IH280" s="254"/>
      <c r="II280" s="254">
        <f>Konvention_1slave-GEslave</f>
        <v>12</v>
      </c>
      <c r="IJ280" s="254"/>
      <c r="IK280" s="318"/>
      <c r="IL280" s="223">
        <f t="shared" si="1913"/>
        <v>12</v>
      </c>
      <c r="IM280" s="223">
        <f t="shared" si="1914"/>
        <v>24</v>
      </c>
      <c r="IN280" s="224">
        <f t="shared" si="1915"/>
        <v>36</v>
      </c>
      <c r="IO280" s="237">
        <f t="shared" si="1916"/>
        <v>2304</v>
      </c>
      <c r="IP280" s="254">
        <f>IF280*IG280*GEslave+IF280*CHslave*II280+INslave*IG280*II280</f>
        <v>3456</v>
      </c>
      <c r="IQ280" s="224">
        <f t="shared" si="1917"/>
        <v>1728</v>
      </c>
      <c r="IR280" s="224">
        <f t="shared" si="1918"/>
        <v>7488</v>
      </c>
      <c r="IS280" s="222">
        <f t="shared" si="1919"/>
        <v>3.6923076923076925</v>
      </c>
      <c r="IT280" s="223">
        <f t="shared" si="1920"/>
        <v>11.076923076923077</v>
      </c>
      <c r="IU280" s="243">
        <f t="shared" si="1921"/>
        <v>8.3076923076923084</v>
      </c>
      <c r="IV280" s="243">
        <f t="shared" si="1922"/>
        <v>23.07692307692308</v>
      </c>
      <c r="IW280" s="252">
        <f t="shared" si="1923"/>
        <v>0</v>
      </c>
      <c r="IX280" s="309">
        <f t="shared" si="1924"/>
        <v>23.07692307692308</v>
      </c>
      <c r="IY280" s="218">
        <f t="shared" si="1973"/>
        <v>175.5384615384616</v>
      </c>
      <c r="IZ280" s="242">
        <f t="shared" si="1973"/>
        <v>2</v>
      </c>
      <c r="JA280" s="243">
        <f t="shared" si="1926"/>
        <v>173.5384615384616</v>
      </c>
      <c r="JB280" s="218">
        <f t="shared" si="1927"/>
        <v>0</v>
      </c>
      <c r="JE280" s="148"/>
    </row>
    <row r="281" spans="2:265" hidden="1" outlineLevel="2">
      <c r="B281" s="148">
        <v>21</v>
      </c>
      <c r="C281" s="303" t="e">
        <f>VLOOKUP(AF281,Attribute!C:T,1,FALSE)</f>
        <v>#N/A</v>
      </c>
      <c r="D281" s="86" t="s">
        <v>87</v>
      </c>
      <c r="E281" s="167" t="s">
        <v>132</v>
      </c>
      <c r="F281" s="120"/>
      <c r="G281" s="117">
        <f>Konvention_1master-KLmaster</f>
        <v>12</v>
      </c>
      <c r="H281" s="117">
        <f t="shared" si="1928"/>
        <v>12</v>
      </c>
      <c r="I281" s="117">
        <f t="shared" si="1956"/>
        <v>12</v>
      </c>
      <c r="J281" s="117"/>
      <c r="K281" s="117"/>
      <c r="L281" s="117"/>
      <c r="M281" s="121"/>
      <c r="N281" s="223">
        <f t="shared" si="1794"/>
        <v>12</v>
      </c>
      <c r="O281" s="223">
        <f t="shared" si="1795"/>
        <v>24</v>
      </c>
      <c r="P281" s="224">
        <f t="shared" si="1796"/>
        <v>36</v>
      </c>
      <c r="Q281" s="237">
        <f t="shared" si="1797"/>
        <v>2304</v>
      </c>
      <c r="R281" s="117">
        <f>G281*H281*CHmaster+G281*INmaster*I281+KLmaster*H281*I281</f>
        <v>3456</v>
      </c>
      <c r="S281" s="224">
        <f t="shared" si="1798"/>
        <v>1728</v>
      </c>
      <c r="T281" s="224">
        <f t="shared" si="1799"/>
        <v>7488</v>
      </c>
      <c r="U281" s="222">
        <f t="shared" si="1800"/>
        <v>3.6923076923076925</v>
      </c>
      <c r="V281" s="223">
        <f t="shared" si="1801"/>
        <v>11.076923076923077</v>
      </c>
      <c r="W281" s="243">
        <f t="shared" si="1802"/>
        <v>8.3076923076923084</v>
      </c>
      <c r="X281" s="243">
        <f t="shared" si="1803"/>
        <v>23.07692307692308</v>
      </c>
      <c r="Y281" s="252">
        <v>0</v>
      </c>
      <c r="Z281" s="198">
        <f t="shared" si="1804"/>
        <v>23.07692307692308</v>
      </c>
      <c r="AA281" s="125">
        <f t="shared" si="1957"/>
        <v>175.5384615384616</v>
      </c>
      <c r="AB281" s="160">
        <f t="shared" si="1957"/>
        <v>2</v>
      </c>
      <c r="AC281" s="127">
        <f t="shared" si="1806"/>
        <v>173.5384615384616</v>
      </c>
      <c r="AD281" s="125">
        <f t="shared" si="1807"/>
        <v>0</v>
      </c>
      <c r="AF281" s="163" t="s">
        <v>389</v>
      </c>
      <c r="AG281" s="86" t="s">
        <v>87</v>
      </c>
      <c r="AH281" s="167" t="s">
        <v>132</v>
      </c>
      <c r="AI281" s="120"/>
      <c r="AJ281" s="117">
        <f>Konvention_1slave-KLslave</f>
        <v>12</v>
      </c>
      <c r="AK281" s="117">
        <f>Konvention_1slave-INslave</f>
        <v>12</v>
      </c>
      <c r="AL281" s="117">
        <f t="shared" si="1958"/>
        <v>12</v>
      </c>
      <c r="AM281" s="117"/>
      <c r="AN281" s="117"/>
      <c r="AO281" s="117"/>
      <c r="AP281" s="121"/>
      <c r="AQ281" s="47">
        <f t="shared" si="1808"/>
        <v>12</v>
      </c>
      <c r="AR281" s="3">
        <f t="shared" si="1809"/>
        <v>24</v>
      </c>
      <c r="AS281" s="174">
        <f t="shared" si="1810"/>
        <v>36</v>
      </c>
      <c r="AT281" s="114">
        <f t="shared" si="1811"/>
        <v>2304</v>
      </c>
      <c r="AU281" s="117">
        <f>AJ281*AK281*CHslave+AJ281*INslave*AL281+KLslave*AK281*AL281</f>
        <v>3456</v>
      </c>
      <c r="AV281" s="119">
        <f t="shared" si="1812"/>
        <v>1728</v>
      </c>
      <c r="AW281" s="119">
        <f t="shared" si="1813"/>
        <v>7488</v>
      </c>
      <c r="AX281" s="89">
        <f t="shared" si="1814"/>
        <v>3.6923076923076925</v>
      </c>
      <c r="AY281" s="47">
        <f t="shared" si="1815"/>
        <v>11.076923076923077</v>
      </c>
      <c r="AZ281" s="127">
        <f t="shared" si="1816"/>
        <v>8.3076923076923084</v>
      </c>
      <c r="BA281" s="127">
        <f t="shared" si="1817"/>
        <v>23.07692307692308</v>
      </c>
      <c r="BB281" s="165">
        <f t="shared" si="1818"/>
        <v>0</v>
      </c>
      <c r="BC281" s="198">
        <f t="shared" si="1819"/>
        <v>23.07692307692308</v>
      </c>
      <c r="BD281" s="125">
        <f t="shared" si="1959"/>
        <v>175.5384615384616</v>
      </c>
      <c r="BE281" s="160">
        <f t="shared" si="1959"/>
        <v>2</v>
      </c>
      <c r="BF281" s="243">
        <f t="shared" si="1821"/>
        <v>173.5384615384616</v>
      </c>
      <c r="BG281" s="218">
        <f t="shared" si="1822"/>
        <v>0</v>
      </c>
      <c r="BI281" s="303" t="s">
        <v>389</v>
      </c>
      <c r="BJ281" s="304" t="s">
        <v>87</v>
      </c>
      <c r="BK281" s="305" t="s">
        <v>132</v>
      </c>
      <c r="BL281" s="317"/>
      <c r="BM281" s="254">
        <f>Konvention_1slave-KLslave_KL</f>
        <v>11</v>
      </c>
      <c r="BN281" s="254">
        <f t="shared" si="1930"/>
        <v>12</v>
      </c>
      <c r="BO281" s="254">
        <f t="shared" si="1960"/>
        <v>12</v>
      </c>
      <c r="BP281" s="254"/>
      <c r="BQ281" s="254"/>
      <c r="BR281" s="254"/>
      <c r="BS281" s="318"/>
      <c r="BT281" s="223">
        <f t="shared" si="1823"/>
        <v>11.666666666666666</v>
      </c>
      <c r="BU281" s="223">
        <f t="shared" si="1824"/>
        <v>23.333333333333332</v>
      </c>
      <c r="BV281" s="224">
        <f t="shared" si="1825"/>
        <v>35</v>
      </c>
      <c r="BW281" s="237">
        <f t="shared" si="1826"/>
        <v>2432</v>
      </c>
      <c r="BX281" s="254">
        <f>BM281*BN281*CHslave+BM281*INslave*BO281+KLslave_KL*BN281*BO281</f>
        <v>3408</v>
      </c>
      <c r="BY281" s="224">
        <f t="shared" si="1827"/>
        <v>1584</v>
      </c>
      <c r="BZ281" s="224">
        <f t="shared" si="1828"/>
        <v>7424</v>
      </c>
      <c r="CA281" s="222">
        <f t="shared" si="1829"/>
        <v>3.8218390804597702</v>
      </c>
      <c r="CB281" s="223">
        <f t="shared" si="1830"/>
        <v>10.711206896551724</v>
      </c>
      <c r="CC281" s="243">
        <f t="shared" si="1831"/>
        <v>7.4676724137931032</v>
      </c>
      <c r="CD281" s="243">
        <f t="shared" si="1832"/>
        <v>22.000718390804597</v>
      </c>
      <c r="CE281" s="252">
        <f t="shared" si="1833"/>
        <v>0</v>
      </c>
      <c r="CF281" s="309">
        <f t="shared" si="1834"/>
        <v>22.000718390804597</v>
      </c>
      <c r="CG281" s="218">
        <f t="shared" si="1961"/>
        <v>154.01436781609189</v>
      </c>
      <c r="CH281" s="242">
        <f t="shared" si="1961"/>
        <v>2</v>
      </c>
      <c r="CI281" s="243">
        <f t="shared" si="1836"/>
        <v>152.01436781609189</v>
      </c>
      <c r="CJ281" s="218">
        <f t="shared" si="1837"/>
        <v>0</v>
      </c>
      <c r="CL281" s="303" t="s">
        <v>389</v>
      </c>
      <c r="CM281" s="304" t="s">
        <v>87</v>
      </c>
      <c r="CN281" s="305" t="s">
        <v>132</v>
      </c>
      <c r="CO281" s="317"/>
      <c r="CP281" s="254">
        <f>Konvention_1slave-KLslave</f>
        <v>12</v>
      </c>
      <c r="CQ281" s="254">
        <f t="shared" si="1931"/>
        <v>11</v>
      </c>
      <c r="CR281" s="254">
        <f t="shared" si="1962"/>
        <v>12</v>
      </c>
      <c r="CS281" s="254"/>
      <c r="CT281" s="254"/>
      <c r="CU281" s="254"/>
      <c r="CV281" s="318"/>
      <c r="CW281" s="223">
        <f t="shared" si="1838"/>
        <v>11.666666666666666</v>
      </c>
      <c r="CX281" s="223">
        <f t="shared" si="1839"/>
        <v>23.333333333333332</v>
      </c>
      <c r="CY281" s="224">
        <f t="shared" si="1840"/>
        <v>35</v>
      </c>
      <c r="CZ281" s="237">
        <f t="shared" si="1841"/>
        <v>2432</v>
      </c>
      <c r="DA281" s="254">
        <f>CP281*CQ281*CHslave+CP281*INslave_IN*CR281+KLslave*CQ281*CR281</f>
        <v>3408</v>
      </c>
      <c r="DB281" s="224">
        <f t="shared" si="1842"/>
        <v>1584</v>
      </c>
      <c r="DC281" s="224">
        <f t="shared" si="1843"/>
        <v>7424</v>
      </c>
      <c r="DD281" s="222">
        <f t="shared" si="1844"/>
        <v>3.8218390804597702</v>
      </c>
      <c r="DE281" s="223">
        <f t="shared" si="1845"/>
        <v>10.711206896551724</v>
      </c>
      <c r="DF281" s="243">
        <f t="shared" si="1846"/>
        <v>7.4676724137931032</v>
      </c>
      <c r="DG281" s="243">
        <f t="shared" si="1847"/>
        <v>22.000718390804597</v>
      </c>
      <c r="DH281" s="252">
        <f t="shared" si="1848"/>
        <v>0</v>
      </c>
      <c r="DI281" s="309">
        <f t="shared" si="1849"/>
        <v>22.000718390804597</v>
      </c>
      <c r="DJ281" s="218">
        <f t="shared" si="1963"/>
        <v>154.01436781609189</v>
      </c>
      <c r="DK281" s="242">
        <f t="shared" si="1963"/>
        <v>2</v>
      </c>
      <c r="DL281" s="243">
        <f t="shared" si="1851"/>
        <v>152.01436781609189</v>
      </c>
      <c r="DM281" s="218">
        <f t="shared" si="1852"/>
        <v>0</v>
      </c>
      <c r="DO281" s="303" t="s">
        <v>389</v>
      </c>
      <c r="DP281" s="304" t="s">
        <v>87</v>
      </c>
      <c r="DQ281" s="305" t="s">
        <v>132</v>
      </c>
      <c r="DR281" s="317"/>
      <c r="DS281" s="254">
        <f>Konvention_1slave-KLslave</f>
        <v>12</v>
      </c>
      <c r="DT281" s="254">
        <f t="shared" si="1932"/>
        <v>12</v>
      </c>
      <c r="DU281" s="254">
        <f t="shared" si="1964"/>
        <v>11</v>
      </c>
      <c r="DV281" s="254"/>
      <c r="DW281" s="254"/>
      <c r="DX281" s="254"/>
      <c r="DY281" s="318"/>
      <c r="DZ281" s="223">
        <f t="shared" si="1853"/>
        <v>11.666666666666666</v>
      </c>
      <c r="EA281" s="223">
        <f t="shared" si="1854"/>
        <v>23.333333333333332</v>
      </c>
      <c r="EB281" s="224">
        <f t="shared" si="1855"/>
        <v>35</v>
      </c>
      <c r="EC281" s="237">
        <f t="shared" si="1856"/>
        <v>2432</v>
      </c>
      <c r="ED281" s="254">
        <f>DS281*DT281*CHslave_CH+DS281*INslave*DU281+KLslave*DT281*DU281</f>
        <v>3408</v>
      </c>
      <c r="EE281" s="224">
        <f t="shared" si="1857"/>
        <v>1584</v>
      </c>
      <c r="EF281" s="224">
        <f t="shared" si="1858"/>
        <v>7424</v>
      </c>
      <c r="EG281" s="222">
        <f t="shared" si="1859"/>
        <v>3.8218390804597702</v>
      </c>
      <c r="EH281" s="223">
        <f t="shared" si="1860"/>
        <v>10.711206896551724</v>
      </c>
      <c r="EI281" s="243">
        <f t="shared" si="1861"/>
        <v>7.4676724137931032</v>
      </c>
      <c r="EJ281" s="243">
        <f t="shared" si="1862"/>
        <v>22.000718390804597</v>
      </c>
      <c r="EK281" s="252">
        <f t="shared" si="1863"/>
        <v>0</v>
      </c>
      <c r="EL281" s="309">
        <f t="shared" si="1864"/>
        <v>22.000718390804597</v>
      </c>
      <c r="EM281" s="218">
        <f t="shared" si="1965"/>
        <v>154.01436781609189</v>
      </c>
      <c r="EN281" s="242">
        <f t="shared" si="1965"/>
        <v>2</v>
      </c>
      <c r="EO281" s="243">
        <f t="shared" si="1866"/>
        <v>152.01436781609189</v>
      </c>
      <c r="EP281" s="218">
        <f t="shared" si="1867"/>
        <v>0</v>
      </c>
      <c r="ER281" s="303" t="s">
        <v>389</v>
      </c>
      <c r="ES281" s="304" t="s">
        <v>87</v>
      </c>
      <c r="ET281" s="305" t="s">
        <v>132</v>
      </c>
      <c r="EU281" s="317"/>
      <c r="EV281" s="254">
        <f>Konvention_1slave-KLslave</f>
        <v>12</v>
      </c>
      <c r="EW281" s="254">
        <f t="shared" si="1933"/>
        <v>12</v>
      </c>
      <c r="EX281" s="254">
        <f t="shared" si="1966"/>
        <v>12</v>
      </c>
      <c r="EY281" s="254"/>
      <c r="EZ281" s="254"/>
      <c r="FA281" s="254"/>
      <c r="FB281" s="318"/>
      <c r="FC281" s="223">
        <f t="shared" si="1868"/>
        <v>12</v>
      </c>
      <c r="FD281" s="223">
        <f t="shared" si="1869"/>
        <v>24</v>
      </c>
      <c r="FE281" s="224">
        <f t="shared" si="1870"/>
        <v>36</v>
      </c>
      <c r="FF281" s="237">
        <f t="shared" si="1871"/>
        <v>2304</v>
      </c>
      <c r="FG281" s="254">
        <f>EV281*EW281*CHslave+EV281*INslave*EX281+KLslave*EW281*EX281</f>
        <v>3456</v>
      </c>
      <c r="FH281" s="224">
        <f t="shared" si="1872"/>
        <v>1728</v>
      </c>
      <c r="FI281" s="224">
        <f t="shared" si="1873"/>
        <v>7488</v>
      </c>
      <c r="FJ281" s="222">
        <f t="shared" si="1874"/>
        <v>3.6923076923076925</v>
      </c>
      <c r="FK281" s="223">
        <f t="shared" si="1875"/>
        <v>11.076923076923077</v>
      </c>
      <c r="FL281" s="243">
        <f t="shared" si="1876"/>
        <v>8.3076923076923084</v>
      </c>
      <c r="FM281" s="243">
        <f t="shared" si="1877"/>
        <v>23.07692307692308</v>
      </c>
      <c r="FN281" s="252">
        <f t="shared" si="1878"/>
        <v>0</v>
      </c>
      <c r="FO281" s="309">
        <f t="shared" si="1879"/>
        <v>23.07692307692308</v>
      </c>
      <c r="FP281" s="218">
        <f t="shared" si="1967"/>
        <v>175.5384615384616</v>
      </c>
      <c r="FQ281" s="242">
        <f t="shared" si="1967"/>
        <v>2</v>
      </c>
      <c r="FR281" s="243">
        <f t="shared" si="1881"/>
        <v>173.5384615384616</v>
      </c>
      <c r="FS281" s="218">
        <f t="shared" si="1882"/>
        <v>0</v>
      </c>
      <c r="FU281" s="303" t="s">
        <v>389</v>
      </c>
      <c r="FV281" s="304" t="s">
        <v>87</v>
      </c>
      <c r="FW281" s="305" t="s">
        <v>132</v>
      </c>
      <c r="FX281" s="317"/>
      <c r="FY281" s="254">
        <f>Konvention_1slave-KLslave</f>
        <v>12</v>
      </c>
      <c r="FZ281" s="254">
        <f t="shared" si="1934"/>
        <v>12</v>
      </c>
      <c r="GA281" s="254">
        <f t="shared" si="1968"/>
        <v>12</v>
      </c>
      <c r="GB281" s="254"/>
      <c r="GC281" s="254"/>
      <c r="GD281" s="254"/>
      <c r="GE281" s="318"/>
      <c r="GF281" s="223">
        <f t="shared" si="1883"/>
        <v>12</v>
      </c>
      <c r="GG281" s="223">
        <f t="shared" si="1884"/>
        <v>24</v>
      </c>
      <c r="GH281" s="224">
        <f t="shared" si="1885"/>
        <v>36</v>
      </c>
      <c r="GI281" s="237">
        <f t="shared" si="1886"/>
        <v>2304</v>
      </c>
      <c r="GJ281" s="254">
        <f>FY281*FZ281*CHslave+FY281*INslave*GA281+KLslave*FZ281*GA281</f>
        <v>3456</v>
      </c>
      <c r="GK281" s="224">
        <f t="shared" si="1887"/>
        <v>1728</v>
      </c>
      <c r="GL281" s="224">
        <f t="shared" si="1888"/>
        <v>7488</v>
      </c>
      <c r="GM281" s="222">
        <f t="shared" si="1889"/>
        <v>3.6923076923076925</v>
      </c>
      <c r="GN281" s="223">
        <f t="shared" si="1890"/>
        <v>11.076923076923077</v>
      </c>
      <c r="GO281" s="243">
        <f t="shared" si="1891"/>
        <v>8.3076923076923084</v>
      </c>
      <c r="GP281" s="243">
        <f t="shared" si="1892"/>
        <v>23.07692307692308</v>
      </c>
      <c r="GQ281" s="252">
        <f t="shared" si="1893"/>
        <v>0</v>
      </c>
      <c r="GR281" s="309">
        <f t="shared" si="1894"/>
        <v>23.07692307692308</v>
      </c>
      <c r="GS281" s="218">
        <f t="shared" si="1969"/>
        <v>175.5384615384616</v>
      </c>
      <c r="GT281" s="242">
        <f t="shared" si="1969"/>
        <v>2</v>
      </c>
      <c r="GU281" s="243">
        <f t="shared" si="1896"/>
        <v>173.5384615384616</v>
      </c>
      <c r="GV281" s="218">
        <f t="shared" si="1897"/>
        <v>0</v>
      </c>
      <c r="GX281" s="303" t="s">
        <v>389</v>
      </c>
      <c r="GY281" s="304" t="s">
        <v>87</v>
      </c>
      <c r="GZ281" s="305" t="s">
        <v>132</v>
      </c>
      <c r="HA281" s="317"/>
      <c r="HB281" s="254">
        <f>Konvention_1slave-KLslave</f>
        <v>12</v>
      </c>
      <c r="HC281" s="254">
        <f t="shared" si="1935"/>
        <v>12</v>
      </c>
      <c r="HD281" s="254">
        <f t="shared" si="1970"/>
        <v>12</v>
      </c>
      <c r="HE281" s="254"/>
      <c r="HF281" s="254"/>
      <c r="HG281" s="254"/>
      <c r="HH281" s="318"/>
      <c r="HI281" s="223">
        <f t="shared" si="1898"/>
        <v>12</v>
      </c>
      <c r="HJ281" s="223">
        <f t="shared" si="1899"/>
        <v>24</v>
      </c>
      <c r="HK281" s="224">
        <f t="shared" si="1900"/>
        <v>36</v>
      </c>
      <c r="HL281" s="237">
        <f t="shared" si="1901"/>
        <v>2304</v>
      </c>
      <c r="HM281" s="254">
        <f>HB281*HC281*CHslave+HB281*INslave*HD281+KLslave*HC281*HD281</f>
        <v>3456</v>
      </c>
      <c r="HN281" s="224">
        <f t="shared" si="1902"/>
        <v>1728</v>
      </c>
      <c r="HO281" s="224">
        <f t="shared" si="1903"/>
        <v>7488</v>
      </c>
      <c r="HP281" s="222">
        <f t="shared" si="1904"/>
        <v>3.6923076923076925</v>
      </c>
      <c r="HQ281" s="223">
        <f t="shared" si="1905"/>
        <v>11.076923076923077</v>
      </c>
      <c r="HR281" s="243">
        <f t="shared" si="1906"/>
        <v>8.3076923076923084</v>
      </c>
      <c r="HS281" s="243">
        <f t="shared" si="1907"/>
        <v>23.07692307692308</v>
      </c>
      <c r="HT281" s="252">
        <f t="shared" si="1908"/>
        <v>0</v>
      </c>
      <c r="HU281" s="309">
        <f t="shared" si="1909"/>
        <v>23.07692307692308</v>
      </c>
      <c r="HV281" s="218">
        <f t="shared" si="1971"/>
        <v>175.5384615384616</v>
      </c>
      <c r="HW281" s="242">
        <f t="shared" si="1971"/>
        <v>2</v>
      </c>
      <c r="HX281" s="243">
        <f t="shared" si="1911"/>
        <v>173.5384615384616</v>
      </c>
      <c r="HY281" s="218">
        <f t="shared" si="1912"/>
        <v>0</v>
      </c>
      <c r="IA281" s="303" t="s">
        <v>389</v>
      </c>
      <c r="IB281" s="304" t="s">
        <v>87</v>
      </c>
      <c r="IC281" s="305" t="s">
        <v>132</v>
      </c>
      <c r="ID281" s="317"/>
      <c r="IE281" s="254">
        <f>Konvention_1slave-KLslave</f>
        <v>12</v>
      </c>
      <c r="IF281" s="254">
        <f t="shared" si="1936"/>
        <v>12</v>
      </c>
      <c r="IG281" s="254">
        <f t="shared" si="1972"/>
        <v>12</v>
      </c>
      <c r="IH281" s="254"/>
      <c r="II281" s="254"/>
      <c r="IJ281" s="254"/>
      <c r="IK281" s="318"/>
      <c r="IL281" s="223">
        <f t="shared" si="1913"/>
        <v>12</v>
      </c>
      <c r="IM281" s="223">
        <f t="shared" si="1914"/>
        <v>24</v>
      </c>
      <c r="IN281" s="224">
        <f t="shared" si="1915"/>
        <v>36</v>
      </c>
      <c r="IO281" s="237">
        <f t="shared" si="1916"/>
        <v>2304</v>
      </c>
      <c r="IP281" s="254">
        <f>IE281*IF281*CHslave+IE281*INslave*IG281+KLslave*IF281*IG281</f>
        <v>3456</v>
      </c>
      <c r="IQ281" s="224">
        <f t="shared" si="1917"/>
        <v>1728</v>
      </c>
      <c r="IR281" s="224">
        <f t="shared" si="1918"/>
        <v>7488</v>
      </c>
      <c r="IS281" s="222">
        <f t="shared" si="1919"/>
        <v>3.6923076923076925</v>
      </c>
      <c r="IT281" s="223">
        <f t="shared" si="1920"/>
        <v>11.076923076923077</v>
      </c>
      <c r="IU281" s="243">
        <f t="shared" si="1921"/>
        <v>8.3076923076923084</v>
      </c>
      <c r="IV281" s="243">
        <f t="shared" si="1922"/>
        <v>23.07692307692308</v>
      </c>
      <c r="IW281" s="252">
        <f t="shared" si="1923"/>
        <v>0</v>
      </c>
      <c r="IX281" s="309">
        <f t="shared" si="1924"/>
        <v>23.07692307692308</v>
      </c>
      <c r="IY281" s="218">
        <f t="shared" si="1973"/>
        <v>175.5384615384616</v>
      </c>
      <c r="IZ281" s="242">
        <f t="shared" si="1973"/>
        <v>2</v>
      </c>
      <c r="JA281" s="243">
        <f t="shared" si="1926"/>
        <v>173.5384615384616</v>
      </c>
      <c r="JB281" s="218">
        <f t="shared" si="1927"/>
        <v>0</v>
      </c>
      <c r="JE281" s="148"/>
    </row>
    <row r="282" spans="2:265" ht="15" hidden="1" customHeight="1" outlineLevel="2">
      <c r="B282" s="148">
        <v>22</v>
      </c>
      <c r="C282" s="303" t="e">
        <f>VLOOKUP(AF282,Attribute!C:T,1,FALSE)</f>
        <v>#N/A</v>
      </c>
      <c r="D282" s="86" t="s">
        <v>437</v>
      </c>
      <c r="E282" s="167" t="s">
        <v>132</v>
      </c>
      <c r="F282" s="120"/>
      <c r="G282" s="117"/>
      <c r="H282" s="117">
        <f t="shared" si="1928"/>
        <v>12</v>
      </c>
      <c r="I282" s="117">
        <f t="shared" si="1956"/>
        <v>12</v>
      </c>
      <c r="J282" s="117">
        <f>Konvention_1master-FFmaster</f>
        <v>12</v>
      </c>
      <c r="K282" s="117"/>
      <c r="L282" s="117"/>
      <c r="M282" s="121"/>
      <c r="N282" s="223">
        <f t="shared" si="1794"/>
        <v>12</v>
      </c>
      <c r="O282" s="223">
        <f t="shared" si="1795"/>
        <v>24</v>
      </c>
      <c r="P282" s="224">
        <f t="shared" si="1796"/>
        <v>36</v>
      </c>
      <c r="Q282" s="237">
        <f t="shared" si="1797"/>
        <v>2304</v>
      </c>
      <c r="R282" s="117">
        <f>H282*I282*FFmaster+H282*CHmaster*J282+INmaster*I282*J282</f>
        <v>3456</v>
      </c>
      <c r="S282" s="224">
        <f t="shared" si="1798"/>
        <v>1728</v>
      </c>
      <c r="T282" s="224">
        <f t="shared" si="1799"/>
        <v>7488</v>
      </c>
      <c r="U282" s="222">
        <f t="shared" si="1800"/>
        <v>3.6923076923076925</v>
      </c>
      <c r="V282" s="223">
        <f t="shared" si="1801"/>
        <v>11.076923076923077</v>
      </c>
      <c r="W282" s="243">
        <f t="shared" si="1802"/>
        <v>8.3076923076923084</v>
      </c>
      <c r="X282" s="243">
        <f t="shared" si="1803"/>
        <v>23.07692307692308</v>
      </c>
      <c r="Y282" s="252">
        <v>0</v>
      </c>
      <c r="Z282" s="198">
        <f t="shared" si="1804"/>
        <v>23.07692307692308</v>
      </c>
      <c r="AA282" s="125">
        <f t="shared" si="1957"/>
        <v>175.5384615384616</v>
      </c>
      <c r="AB282" s="160">
        <f t="shared" si="1957"/>
        <v>2</v>
      </c>
      <c r="AC282" s="127">
        <f t="shared" si="1806"/>
        <v>173.5384615384616</v>
      </c>
      <c r="AD282" s="125">
        <f t="shared" si="1807"/>
        <v>0</v>
      </c>
      <c r="AF282" s="163" t="s">
        <v>416</v>
      </c>
      <c r="AG282" s="86" t="s">
        <v>437</v>
      </c>
      <c r="AH282" s="167" t="s">
        <v>132</v>
      </c>
      <c r="AI282" s="120"/>
      <c r="AJ282" s="117"/>
      <c r="AK282" s="117">
        <f>Konvention_1slave-INslave</f>
        <v>12</v>
      </c>
      <c r="AL282" s="117">
        <f t="shared" si="1958"/>
        <v>12</v>
      </c>
      <c r="AM282" s="117">
        <f>Konvention_1slave-FFslave</f>
        <v>12</v>
      </c>
      <c r="AN282" s="117"/>
      <c r="AO282" s="117"/>
      <c r="AP282" s="121"/>
      <c r="AQ282" s="47">
        <f t="shared" si="1808"/>
        <v>12</v>
      </c>
      <c r="AR282" s="3">
        <f t="shared" si="1809"/>
        <v>24</v>
      </c>
      <c r="AS282" s="174">
        <f t="shared" si="1810"/>
        <v>36</v>
      </c>
      <c r="AT282" s="114">
        <f t="shared" si="1811"/>
        <v>2304</v>
      </c>
      <c r="AU282" s="117">
        <f>AK282*AL282*FFslave+AK282*CHslave*AM282+INslave*AL282*AM282</f>
        <v>3456</v>
      </c>
      <c r="AV282" s="119">
        <f t="shared" si="1812"/>
        <v>1728</v>
      </c>
      <c r="AW282" s="119">
        <f t="shared" si="1813"/>
        <v>7488</v>
      </c>
      <c r="AX282" s="89">
        <f t="shared" si="1814"/>
        <v>3.6923076923076925</v>
      </c>
      <c r="AY282" s="47">
        <f t="shared" si="1815"/>
        <v>11.076923076923077</v>
      </c>
      <c r="AZ282" s="127">
        <f t="shared" si="1816"/>
        <v>8.3076923076923084</v>
      </c>
      <c r="BA282" s="127">
        <f t="shared" si="1817"/>
        <v>23.07692307692308</v>
      </c>
      <c r="BB282" s="165">
        <f t="shared" si="1818"/>
        <v>0</v>
      </c>
      <c r="BC282" s="198">
        <f t="shared" si="1819"/>
        <v>23.07692307692308</v>
      </c>
      <c r="BD282" s="125">
        <f t="shared" si="1959"/>
        <v>175.5384615384616</v>
      </c>
      <c r="BE282" s="160">
        <f t="shared" si="1959"/>
        <v>2</v>
      </c>
      <c r="BF282" s="243">
        <f t="shared" si="1821"/>
        <v>173.5384615384616</v>
      </c>
      <c r="BG282" s="218">
        <f t="shared" si="1822"/>
        <v>0</v>
      </c>
      <c r="BI282" s="303" t="s">
        <v>416</v>
      </c>
      <c r="BJ282" s="304" t="s">
        <v>437</v>
      </c>
      <c r="BK282" s="305" t="s">
        <v>132</v>
      </c>
      <c r="BL282" s="317"/>
      <c r="BM282" s="254"/>
      <c r="BN282" s="254">
        <f t="shared" si="1930"/>
        <v>12</v>
      </c>
      <c r="BO282" s="254">
        <f t="shared" si="1960"/>
        <v>12</v>
      </c>
      <c r="BP282" s="254">
        <f>Konvention_1slave-FFslave</f>
        <v>12</v>
      </c>
      <c r="BQ282" s="254"/>
      <c r="BR282" s="254"/>
      <c r="BS282" s="318"/>
      <c r="BT282" s="223">
        <f t="shared" si="1823"/>
        <v>12</v>
      </c>
      <c r="BU282" s="223">
        <f t="shared" si="1824"/>
        <v>24</v>
      </c>
      <c r="BV282" s="224">
        <f t="shared" si="1825"/>
        <v>36</v>
      </c>
      <c r="BW282" s="237">
        <f t="shared" si="1826"/>
        <v>2304</v>
      </c>
      <c r="BX282" s="254">
        <f>BN282*BO282*FFslave+BN282*CHslave*BP282+INslave*BO282*BP282</f>
        <v>3456</v>
      </c>
      <c r="BY282" s="224">
        <f t="shared" si="1827"/>
        <v>1728</v>
      </c>
      <c r="BZ282" s="224">
        <f t="shared" si="1828"/>
        <v>7488</v>
      </c>
      <c r="CA282" s="222">
        <f t="shared" si="1829"/>
        <v>3.6923076923076925</v>
      </c>
      <c r="CB282" s="223">
        <f t="shared" si="1830"/>
        <v>11.076923076923077</v>
      </c>
      <c r="CC282" s="243">
        <f t="shared" si="1831"/>
        <v>8.3076923076923084</v>
      </c>
      <c r="CD282" s="243">
        <f t="shared" si="1832"/>
        <v>23.07692307692308</v>
      </c>
      <c r="CE282" s="252">
        <f t="shared" si="1833"/>
        <v>0</v>
      </c>
      <c r="CF282" s="309">
        <f t="shared" si="1834"/>
        <v>23.07692307692308</v>
      </c>
      <c r="CG282" s="218">
        <f t="shared" si="1961"/>
        <v>175.5384615384616</v>
      </c>
      <c r="CH282" s="242">
        <f t="shared" si="1961"/>
        <v>2</v>
      </c>
      <c r="CI282" s="243">
        <f t="shared" si="1836"/>
        <v>173.5384615384616</v>
      </c>
      <c r="CJ282" s="218">
        <f t="shared" si="1837"/>
        <v>0</v>
      </c>
      <c r="CL282" s="303" t="s">
        <v>416</v>
      </c>
      <c r="CM282" s="304" t="s">
        <v>437</v>
      </c>
      <c r="CN282" s="305" t="s">
        <v>132</v>
      </c>
      <c r="CO282" s="317"/>
      <c r="CP282" s="254"/>
      <c r="CQ282" s="254">
        <f t="shared" si="1931"/>
        <v>11</v>
      </c>
      <c r="CR282" s="254">
        <f t="shared" si="1962"/>
        <v>12</v>
      </c>
      <c r="CS282" s="254">
        <f>Konvention_1slave-FFslave</f>
        <v>12</v>
      </c>
      <c r="CT282" s="254"/>
      <c r="CU282" s="254"/>
      <c r="CV282" s="318"/>
      <c r="CW282" s="223">
        <f t="shared" si="1838"/>
        <v>11.666666666666666</v>
      </c>
      <c r="CX282" s="223">
        <f t="shared" si="1839"/>
        <v>23.333333333333332</v>
      </c>
      <c r="CY282" s="224">
        <f t="shared" si="1840"/>
        <v>35</v>
      </c>
      <c r="CZ282" s="237">
        <f t="shared" si="1841"/>
        <v>2432</v>
      </c>
      <c r="DA282" s="254">
        <f>CQ282*CR282*FFslave+CQ282*CHslave*CS282+INslave_IN*CR282*CS282</f>
        <v>3408</v>
      </c>
      <c r="DB282" s="224">
        <f t="shared" si="1842"/>
        <v>1584</v>
      </c>
      <c r="DC282" s="224">
        <f t="shared" si="1843"/>
        <v>7424</v>
      </c>
      <c r="DD282" s="222">
        <f t="shared" si="1844"/>
        <v>3.8218390804597702</v>
      </c>
      <c r="DE282" s="223">
        <f t="shared" si="1845"/>
        <v>10.711206896551724</v>
      </c>
      <c r="DF282" s="243">
        <f t="shared" si="1846"/>
        <v>7.4676724137931032</v>
      </c>
      <c r="DG282" s="243">
        <f t="shared" si="1847"/>
        <v>22.000718390804597</v>
      </c>
      <c r="DH282" s="252">
        <f t="shared" si="1848"/>
        <v>0</v>
      </c>
      <c r="DI282" s="309">
        <f t="shared" si="1849"/>
        <v>22.000718390804597</v>
      </c>
      <c r="DJ282" s="218">
        <f t="shared" si="1963"/>
        <v>154.01436781609189</v>
      </c>
      <c r="DK282" s="242">
        <f t="shared" si="1963"/>
        <v>2</v>
      </c>
      <c r="DL282" s="243">
        <f t="shared" si="1851"/>
        <v>152.01436781609189</v>
      </c>
      <c r="DM282" s="218">
        <f t="shared" si="1852"/>
        <v>0</v>
      </c>
      <c r="DO282" s="303" t="s">
        <v>416</v>
      </c>
      <c r="DP282" s="304" t="s">
        <v>437</v>
      </c>
      <c r="DQ282" s="305" t="s">
        <v>132</v>
      </c>
      <c r="DR282" s="317"/>
      <c r="DS282" s="254"/>
      <c r="DT282" s="254">
        <f t="shared" si="1932"/>
        <v>12</v>
      </c>
      <c r="DU282" s="254">
        <f t="shared" si="1964"/>
        <v>11</v>
      </c>
      <c r="DV282" s="254">
        <f>Konvention_1slave-FFslave</f>
        <v>12</v>
      </c>
      <c r="DW282" s="254"/>
      <c r="DX282" s="254"/>
      <c r="DY282" s="318"/>
      <c r="DZ282" s="223">
        <f t="shared" si="1853"/>
        <v>11.666666666666666</v>
      </c>
      <c r="EA282" s="223">
        <f t="shared" si="1854"/>
        <v>23.333333333333332</v>
      </c>
      <c r="EB282" s="224">
        <f t="shared" si="1855"/>
        <v>35</v>
      </c>
      <c r="EC282" s="237">
        <f t="shared" si="1856"/>
        <v>2432</v>
      </c>
      <c r="ED282" s="254">
        <f>DT282*DU282*FFslave+DT282*CHslave_CH*DV282+INslave*DU282*DV282</f>
        <v>3408</v>
      </c>
      <c r="EE282" s="224">
        <f t="shared" si="1857"/>
        <v>1584</v>
      </c>
      <c r="EF282" s="224">
        <f t="shared" si="1858"/>
        <v>7424</v>
      </c>
      <c r="EG282" s="222">
        <f t="shared" si="1859"/>
        <v>3.8218390804597702</v>
      </c>
      <c r="EH282" s="223">
        <f t="shared" si="1860"/>
        <v>10.711206896551724</v>
      </c>
      <c r="EI282" s="243">
        <f t="shared" si="1861"/>
        <v>7.4676724137931032</v>
      </c>
      <c r="EJ282" s="243">
        <f t="shared" si="1862"/>
        <v>22.000718390804597</v>
      </c>
      <c r="EK282" s="252">
        <f t="shared" si="1863"/>
        <v>0</v>
      </c>
      <c r="EL282" s="309">
        <f t="shared" si="1864"/>
        <v>22.000718390804597</v>
      </c>
      <c r="EM282" s="218">
        <f t="shared" si="1965"/>
        <v>154.01436781609189</v>
      </c>
      <c r="EN282" s="242">
        <f t="shared" si="1965"/>
        <v>2</v>
      </c>
      <c r="EO282" s="243">
        <f t="shared" si="1866"/>
        <v>152.01436781609189</v>
      </c>
      <c r="EP282" s="218">
        <f t="shared" si="1867"/>
        <v>0</v>
      </c>
      <c r="ER282" s="303" t="s">
        <v>416</v>
      </c>
      <c r="ES282" s="304" t="s">
        <v>437</v>
      </c>
      <c r="ET282" s="305" t="s">
        <v>132</v>
      </c>
      <c r="EU282" s="317"/>
      <c r="EV282" s="254"/>
      <c r="EW282" s="254">
        <f t="shared" si="1933"/>
        <v>12</v>
      </c>
      <c r="EX282" s="254">
        <f t="shared" si="1966"/>
        <v>12</v>
      </c>
      <c r="EY282" s="254">
        <f>Konvention_1slave-FFslave_FF</f>
        <v>11</v>
      </c>
      <c r="EZ282" s="254"/>
      <c r="FA282" s="254"/>
      <c r="FB282" s="318"/>
      <c r="FC282" s="223">
        <f t="shared" si="1868"/>
        <v>11.666666666666666</v>
      </c>
      <c r="FD282" s="223">
        <f t="shared" si="1869"/>
        <v>23.333333333333332</v>
      </c>
      <c r="FE282" s="224">
        <f t="shared" si="1870"/>
        <v>35</v>
      </c>
      <c r="FF282" s="237">
        <f t="shared" si="1871"/>
        <v>2432</v>
      </c>
      <c r="FG282" s="254">
        <f>EW282*EX282*FFslave_FF+EW282*CHslave*EY282+INslave*EX282*EY282</f>
        <v>3408</v>
      </c>
      <c r="FH282" s="224">
        <f t="shared" si="1872"/>
        <v>1584</v>
      </c>
      <c r="FI282" s="224">
        <f t="shared" si="1873"/>
        <v>7424</v>
      </c>
      <c r="FJ282" s="222">
        <f t="shared" si="1874"/>
        <v>3.8218390804597702</v>
      </c>
      <c r="FK282" s="223">
        <f t="shared" si="1875"/>
        <v>10.711206896551724</v>
      </c>
      <c r="FL282" s="243">
        <f t="shared" si="1876"/>
        <v>7.4676724137931032</v>
      </c>
      <c r="FM282" s="243">
        <f t="shared" si="1877"/>
        <v>22.000718390804597</v>
      </c>
      <c r="FN282" s="252">
        <f t="shared" si="1878"/>
        <v>0</v>
      </c>
      <c r="FO282" s="309">
        <f t="shared" si="1879"/>
        <v>22.000718390804597</v>
      </c>
      <c r="FP282" s="218">
        <f t="shared" si="1967"/>
        <v>154.01436781609189</v>
      </c>
      <c r="FQ282" s="242">
        <f t="shared" si="1967"/>
        <v>2</v>
      </c>
      <c r="FR282" s="243">
        <f t="shared" si="1881"/>
        <v>152.01436781609189</v>
      </c>
      <c r="FS282" s="218">
        <f t="shared" si="1882"/>
        <v>0</v>
      </c>
      <c r="FU282" s="303" t="s">
        <v>416</v>
      </c>
      <c r="FV282" s="304" t="s">
        <v>437</v>
      </c>
      <c r="FW282" s="305" t="s">
        <v>132</v>
      </c>
      <c r="FX282" s="317"/>
      <c r="FY282" s="254"/>
      <c r="FZ282" s="254">
        <f t="shared" si="1934"/>
        <v>12</v>
      </c>
      <c r="GA282" s="254">
        <f t="shared" si="1968"/>
        <v>12</v>
      </c>
      <c r="GB282" s="254">
        <f>Konvention_1slave-FFslave</f>
        <v>12</v>
      </c>
      <c r="GC282" s="254"/>
      <c r="GD282" s="254"/>
      <c r="GE282" s="318"/>
      <c r="GF282" s="223">
        <f t="shared" si="1883"/>
        <v>12</v>
      </c>
      <c r="GG282" s="223">
        <f t="shared" si="1884"/>
        <v>24</v>
      </c>
      <c r="GH282" s="224">
        <f t="shared" si="1885"/>
        <v>36</v>
      </c>
      <c r="GI282" s="237">
        <f t="shared" si="1886"/>
        <v>2304</v>
      </c>
      <c r="GJ282" s="254">
        <f>FZ282*GA282*FFslave+FZ282*CHslave*GB282+INslave*GA282*GB282</f>
        <v>3456</v>
      </c>
      <c r="GK282" s="224">
        <f t="shared" si="1887"/>
        <v>1728</v>
      </c>
      <c r="GL282" s="224">
        <f t="shared" si="1888"/>
        <v>7488</v>
      </c>
      <c r="GM282" s="222">
        <f t="shared" si="1889"/>
        <v>3.6923076923076925</v>
      </c>
      <c r="GN282" s="223">
        <f t="shared" si="1890"/>
        <v>11.076923076923077</v>
      </c>
      <c r="GO282" s="243">
        <f t="shared" si="1891"/>
        <v>8.3076923076923084</v>
      </c>
      <c r="GP282" s="243">
        <f t="shared" si="1892"/>
        <v>23.07692307692308</v>
      </c>
      <c r="GQ282" s="252">
        <f t="shared" si="1893"/>
        <v>0</v>
      </c>
      <c r="GR282" s="309">
        <f t="shared" si="1894"/>
        <v>23.07692307692308</v>
      </c>
      <c r="GS282" s="218">
        <f t="shared" si="1969"/>
        <v>175.5384615384616</v>
      </c>
      <c r="GT282" s="242">
        <f t="shared" si="1969"/>
        <v>2</v>
      </c>
      <c r="GU282" s="243">
        <f t="shared" si="1896"/>
        <v>173.5384615384616</v>
      </c>
      <c r="GV282" s="218">
        <f t="shared" si="1897"/>
        <v>0</v>
      </c>
      <c r="GX282" s="303" t="s">
        <v>416</v>
      </c>
      <c r="GY282" s="304" t="s">
        <v>437</v>
      </c>
      <c r="GZ282" s="305" t="s">
        <v>132</v>
      </c>
      <c r="HA282" s="317"/>
      <c r="HB282" s="254"/>
      <c r="HC282" s="254">
        <f t="shared" si="1935"/>
        <v>12</v>
      </c>
      <c r="HD282" s="254">
        <f t="shared" si="1970"/>
        <v>12</v>
      </c>
      <c r="HE282" s="254">
        <f>Konvention_1slave-FFslave</f>
        <v>12</v>
      </c>
      <c r="HF282" s="254"/>
      <c r="HG282" s="254"/>
      <c r="HH282" s="318"/>
      <c r="HI282" s="223">
        <f t="shared" si="1898"/>
        <v>12</v>
      </c>
      <c r="HJ282" s="223">
        <f t="shared" si="1899"/>
        <v>24</v>
      </c>
      <c r="HK282" s="224">
        <f t="shared" si="1900"/>
        <v>36</v>
      </c>
      <c r="HL282" s="237">
        <f t="shared" si="1901"/>
        <v>2304</v>
      </c>
      <c r="HM282" s="254">
        <f>HC282*HD282*FFslave+HC282*CHslave*HE282+INslave*HD282*HE282</f>
        <v>3456</v>
      </c>
      <c r="HN282" s="224">
        <f t="shared" si="1902"/>
        <v>1728</v>
      </c>
      <c r="HO282" s="224">
        <f t="shared" si="1903"/>
        <v>7488</v>
      </c>
      <c r="HP282" s="222">
        <f t="shared" si="1904"/>
        <v>3.6923076923076925</v>
      </c>
      <c r="HQ282" s="223">
        <f t="shared" si="1905"/>
        <v>11.076923076923077</v>
      </c>
      <c r="HR282" s="243">
        <f t="shared" si="1906"/>
        <v>8.3076923076923084</v>
      </c>
      <c r="HS282" s="243">
        <f t="shared" si="1907"/>
        <v>23.07692307692308</v>
      </c>
      <c r="HT282" s="252">
        <f t="shared" si="1908"/>
        <v>0</v>
      </c>
      <c r="HU282" s="309">
        <f t="shared" si="1909"/>
        <v>23.07692307692308</v>
      </c>
      <c r="HV282" s="218">
        <f t="shared" si="1971"/>
        <v>175.5384615384616</v>
      </c>
      <c r="HW282" s="242">
        <f t="shared" si="1971"/>
        <v>2</v>
      </c>
      <c r="HX282" s="243">
        <f t="shared" si="1911"/>
        <v>173.5384615384616</v>
      </c>
      <c r="HY282" s="218">
        <f t="shared" si="1912"/>
        <v>0</v>
      </c>
      <c r="IA282" s="303" t="s">
        <v>416</v>
      </c>
      <c r="IB282" s="304" t="s">
        <v>437</v>
      </c>
      <c r="IC282" s="305" t="s">
        <v>132</v>
      </c>
      <c r="ID282" s="317"/>
      <c r="IE282" s="254"/>
      <c r="IF282" s="254">
        <f t="shared" si="1936"/>
        <v>12</v>
      </c>
      <c r="IG282" s="254">
        <f t="shared" si="1972"/>
        <v>12</v>
      </c>
      <c r="IH282" s="254">
        <f>Konvention_1slave-FFslave</f>
        <v>12</v>
      </c>
      <c r="II282" s="254"/>
      <c r="IJ282" s="254"/>
      <c r="IK282" s="318"/>
      <c r="IL282" s="223">
        <f t="shared" si="1913"/>
        <v>12</v>
      </c>
      <c r="IM282" s="223">
        <f t="shared" si="1914"/>
        <v>24</v>
      </c>
      <c r="IN282" s="224">
        <f t="shared" si="1915"/>
        <v>36</v>
      </c>
      <c r="IO282" s="237">
        <f t="shared" si="1916"/>
        <v>2304</v>
      </c>
      <c r="IP282" s="254">
        <f>IF282*IG282*FFslave+IF282*CHslave*IH282+INslave*IG282*IH282</f>
        <v>3456</v>
      </c>
      <c r="IQ282" s="224">
        <f t="shared" si="1917"/>
        <v>1728</v>
      </c>
      <c r="IR282" s="224">
        <f t="shared" si="1918"/>
        <v>7488</v>
      </c>
      <c r="IS282" s="222">
        <f t="shared" si="1919"/>
        <v>3.6923076923076925</v>
      </c>
      <c r="IT282" s="223">
        <f t="shared" si="1920"/>
        <v>11.076923076923077</v>
      </c>
      <c r="IU282" s="243">
        <f t="shared" si="1921"/>
        <v>8.3076923076923084</v>
      </c>
      <c r="IV282" s="243">
        <f t="shared" si="1922"/>
        <v>23.07692307692308</v>
      </c>
      <c r="IW282" s="252">
        <f t="shared" si="1923"/>
        <v>0</v>
      </c>
      <c r="IX282" s="309">
        <f t="shared" si="1924"/>
        <v>23.07692307692308</v>
      </c>
      <c r="IY282" s="218">
        <f t="shared" si="1973"/>
        <v>175.5384615384616</v>
      </c>
      <c r="IZ282" s="242">
        <f t="shared" si="1973"/>
        <v>2</v>
      </c>
      <c r="JA282" s="243">
        <f t="shared" si="1926"/>
        <v>173.5384615384616</v>
      </c>
      <c r="JB282" s="218">
        <f t="shared" si="1927"/>
        <v>0</v>
      </c>
      <c r="JE282" s="148"/>
    </row>
    <row r="283" spans="2:265" hidden="1" outlineLevel="2">
      <c r="B283" s="148">
        <v>23</v>
      </c>
      <c r="C283" s="303" t="e">
        <f>VLOOKUP(AF283,Attribute!C:T,1,FALSE)</f>
        <v>#N/A</v>
      </c>
      <c r="D283" s="86" t="s">
        <v>79</v>
      </c>
      <c r="E283" s="167" t="s">
        <v>132</v>
      </c>
      <c r="F283" s="120"/>
      <c r="G283" s="117">
        <f>Konvention_1master-KLmaster</f>
        <v>12</v>
      </c>
      <c r="H283" s="117"/>
      <c r="I283" s="117">
        <f t="shared" si="1956"/>
        <v>12</v>
      </c>
      <c r="J283" s="117"/>
      <c r="K283" s="117"/>
      <c r="L283" s="117">
        <f>Konvention_1master-KOmaster</f>
        <v>12</v>
      </c>
      <c r="M283" s="121"/>
      <c r="N283" s="223">
        <f t="shared" si="1794"/>
        <v>12</v>
      </c>
      <c r="O283" s="223">
        <f t="shared" si="1795"/>
        <v>24</v>
      </c>
      <c r="P283" s="224">
        <f t="shared" si="1796"/>
        <v>36</v>
      </c>
      <c r="Q283" s="237">
        <f t="shared" si="1797"/>
        <v>2304</v>
      </c>
      <c r="R283" s="117">
        <f>G283*I283*KOmaster+G283*CHmaster*L283+KLmaster*I283*L283</f>
        <v>3456</v>
      </c>
      <c r="S283" s="224">
        <f t="shared" si="1798"/>
        <v>1728</v>
      </c>
      <c r="T283" s="224">
        <f t="shared" si="1799"/>
        <v>7488</v>
      </c>
      <c r="U283" s="222">
        <f t="shared" si="1800"/>
        <v>3.6923076923076925</v>
      </c>
      <c r="V283" s="223">
        <f t="shared" si="1801"/>
        <v>11.076923076923077</v>
      </c>
      <c r="W283" s="243">
        <f t="shared" si="1802"/>
        <v>8.3076923076923084</v>
      </c>
      <c r="X283" s="243">
        <f t="shared" si="1803"/>
        <v>23.07692307692308</v>
      </c>
      <c r="Y283" s="252">
        <v>0</v>
      </c>
      <c r="Z283" s="198">
        <f t="shared" si="1804"/>
        <v>23.07692307692308</v>
      </c>
      <c r="AA283" s="125">
        <f t="shared" si="1957"/>
        <v>175.5384615384616</v>
      </c>
      <c r="AB283" s="160">
        <f t="shared" si="1957"/>
        <v>2</v>
      </c>
      <c r="AC283" s="127">
        <f t="shared" si="1806"/>
        <v>173.5384615384616</v>
      </c>
      <c r="AD283" s="125">
        <f t="shared" si="1807"/>
        <v>0</v>
      </c>
      <c r="AF283" s="163" t="s">
        <v>390</v>
      </c>
      <c r="AG283" s="86" t="s">
        <v>79</v>
      </c>
      <c r="AH283" s="167" t="s">
        <v>132</v>
      </c>
      <c r="AI283" s="120"/>
      <c r="AJ283" s="117">
        <f>Konvention_1slave-KLslave</f>
        <v>12</v>
      </c>
      <c r="AK283" s="117"/>
      <c r="AL283" s="117">
        <f t="shared" si="1958"/>
        <v>12</v>
      </c>
      <c r="AM283" s="117"/>
      <c r="AN283" s="117"/>
      <c r="AO283" s="117">
        <f>Konvention_1slave-KOslave</f>
        <v>12</v>
      </c>
      <c r="AP283" s="121"/>
      <c r="AQ283" s="47">
        <f t="shared" si="1808"/>
        <v>12</v>
      </c>
      <c r="AR283" s="3">
        <f t="shared" si="1809"/>
        <v>24</v>
      </c>
      <c r="AS283" s="174">
        <f t="shared" si="1810"/>
        <v>36</v>
      </c>
      <c r="AT283" s="114">
        <f t="shared" si="1811"/>
        <v>2304</v>
      </c>
      <c r="AU283" s="117">
        <f>AJ283*AL283*KOslave+AJ283*CHslave*AO283+KLslave*AL283*AO283</f>
        <v>3456</v>
      </c>
      <c r="AV283" s="119">
        <f t="shared" si="1812"/>
        <v>1728</v>
      </c>
      <c r="AW283" s="119">
        <f t="shared" si="1813"/>
        <v>7488</v>
      </c>
      <c r="AX283" s="89">
        <f t="shared" si="1814"/>
        <v>3.6923076923076925</v>
      </c>
      <c r="AY283" s="47">
        <f t="shared" si="1815"/>
        <v>11.076923076923077</v>
      </c>
      <c r="AZ283" s="127">
        <f t="shared" si="1816"/>
        <v>8.3076923076923084</v>
      </c>
      <c r="BA283" s="127">
        <f t="shared" si="1817"/>
        <v>23.07692307692308</v>
      </c>
      <c r="BB283" s="165">
        <f t="shared" si="1818"/>
        <v>0</v>
      </c>
      <c r="BC283" s="198">
        <f t="shared" si="1819"/>
        <v>23.07692307692308</v>
      </c>
      <c r="BD283" s="125">
        <f t="shared" si="1959"/>
        <v>175.5384615384616</v>
      </c>
      <c r="BE283" s="160">
        <f t="shared" si="1959"/>
        <v>2</v>
      </c>
      <c r="BF283" s="243">
        <f t="shared" si="1821"/>
        <v>173.5384615384616</v>
      </c>
      <c r="BG283" s="218">
        <f t="shared" si="1822"/>
        <v>0</v>
      </c>
      <c r="BI283" s="303" t="s">
        <v>390</v>
      </c>
      <c r="BJ283" s="304" t="s">
        <v>79</v>
      </c>
      <c r="BK283" s="305" t="s">
        <v>132</v>
      </c>
      <c r="BL283" s="317"/>
      <c r="BM283" s="254">
        <f>Konvention_1slave-KLslave_KL</f>
        <v>11</v>
      </c>
      <c r="BN283" s="254"/>
      <c r="BO283" s="254">
        <f t="shared" si="1960"/>
        <v>12</v>
      </c>
      <c r="BP283" s="254"/>
      <c r="BQ283" s="254"/>
      <c r="BR283" s="254">
        <f>Konvention_1slave-KOslave</f>
        <v>12</v>
      </c>
      <c r="BS283" s="318"/>
      <c r="BT283" s="223">
        <f t="shared" si="1823"/>
        <v>11.666666666666666</v>
      </c>
      <c r="BU283" s="223">
        <f t="shared" si="1824"/>
        <v>23.333333333333332</v>
      </c>
      <c r="BV283" s="224">
        <f t="shared" si="1825"/>
        <v>35</v>
      </c>
      <c r="BW283" s="237">
        <f t="shared" si="1826"/>
        <v>2432</v>
      </c>
      <c r="BX283" s="254">
        <f>BM283*BO283*KOslave+BM283*CHslave*BR283+KLslave_KL*BO283*BR283</f>
        <v>3408</v>
      </c>
      <c r="BY283" s="224">
        <f t="shared" si="1827"/>
        <v>1584</v>
      </c>
      <c r="BZ283" s="224">
        <f t="shared" si="1828"/>
        <v>7424</v>
      </c>
      <c r="CA283" s="222">
        <f t="shared" si="1829"/>
        <v>3.8218390804597702</v>
      </c>
      <c r="CB283" s="223">
        <f t="shared" si="1830"/>
        <v>10.711206896551724</v>
      </c>
      <c r="CC283" s="243">
        <f t="shared" si="1831"/>
        <v>7.4676724137931032</v>
      </c>
      <c r="CD283" s="243">
        <f t="shared" si="1832"/>
        <v>22.000718390804597</v>
      </c>
      <c r="CE283" s="252">
        <f t="shared" si="1833"/>
        <v>0</v>
      </c>
      <c r="CF283" s="309">
        <f t="shared" si="1834"/>
        <v>22.000718390804597</v>
      </c>
      <c r="CG283" s="218">
        <f t="shared" si="1961"/>
        <v>154.01436781609189</v>
      </c>
      <c r="CH283" s="242">
        <f t="shared" si="1961"/>
        <v>2</v>
      </c>
      <c r="CI283" s="243">
        <f t="shared" si="1836"/>
        <v>152.01436781609189</v>
      </c>
      <c r="CJ283" s="218">
        <f t="shared" si="1837"/>
        <v>0</v>
      </c>
      <c r="CL283" s="303" t="s">
        <v>390</v>
      </c>
      <c r="CM283" s="304" t="s">
        <v>79</v>
      </c>
      <c r="CN283" s="305" t="s">
        <v>132</v>
      </c>
      <c r="CO283" s="317"/>
      <c r="CP283" s="254">
        <f>Konvention_1slave-KLslave</f>
        <v>12</v>
      </c>
      <c r="CQ283" s="254"/>
      <c r="CR283" s="254">
        <f t="shared" si="1962"/>
        <v>12</v>
      </c>
      <c r="CS283" s="254"/>
      <c r="CT283" s="254"/>
      <c r="CU283" s="254">
        <f>Konvention_1slave-KOslave</f>
        <v>12</v>
      </c>
      <c r="CV283" s="318"/>
      <c r="CW283" s="223">
        <f t="shared" si="1838"/>
        <v>12</v>
      </c>
      <c r="CX283" s="223">
        <f t="shared" si="1839"/>
        <v>24</v>
      </c>
      <c r="CY283" s="224">
        <f t="shared" si="1840"/>
        <v>36</v>
      </c>
      <c r="CZ283" s="237">
        <f t="shared" si="1841"/>
        <v>2304</v>
      </c>
      <c r="DA283" s="254">
        <f>CP283*CR283*KOslave+CP283*CHslave*CU283+KLslave*CR283*CU283</f>
        <v>3456</v>
      </c>
      <c r="DB283" s="224">
        <f t="shared" si="1842"/>
        <v>1728</v>
      </c>
      <c r="DC283" s="224">
        <f t="shared" si="1843"/>
        <v>7488</v>
      </c>
      <c r="DD283" s="222">
        <f t="shared" si="1844"/>
        <v>3.6923076923076925</v>
      </c>
      <c r="DE283" s="223">
        <f t="shared" si="1845"/>
        <v>11.076923076923077</v>
      </c>
      <c r="DF283" s="243">
        <f t="shared" si="1846"/>
        <v>8.3076923076923084</v>
      </c>
      <c r="DG283" s="243">
        <f t="shared" si="1847"/>
        <v>23.07692307692308</v>
      </c>
      <c r="DH283" s="252">
        <f t="shared" si="1848"/>
        <v>0</v>
      </c>
      <c r="DI283" s="309">
        <f t="shared" si="1849"/>
        <v>23.07692307692308</v>
      </c>
      <c r="DJ283" s="218">
        <f t="shared" si="1963"/>
        <v>175.5384615384616</v>
      </c>
      <c r="DK283" s="242">
        <f t="shared" si="1963"/>
        <v>2</v>
      </c>
      <c r="DL283" s="243">
        <f t="shared" si="1851"/>
        <v>173.5384615384616</v>
      </c>
      <c r="DM283" s="218">
        <f t="shared" si="1852"/>
        <v>0</v>
      </c>
      <c r="DO283" s="303" t="s">
        <v>390</v>
      </c>
      <c r="DP283" s="304" t="s">
        <v>79</v>
      </c>
      <c r="DQ283" s="305" t="s">
        <v>132</v>
      </c>
      <c r="DR283" s="317"/>
      <c r="DS283" s="254">
        <f>Konvention_1slave-KLslave</f>
        <v>12</v>
      </c>
      <c r="DT283" s="254"/>
      <c r="DU283" s="254">
        <f t="shared" si="1964"/>
        <v>11</v>
      </c>
      <c r="DV283" s="254"/>
      <c r="DW283" s="254"/>
      <c r="DX283" s="254">
        <f>Konvention_1slave-KOslave</f>
        <v>12</v>
      </c>
      <c r="DY283" s="318"/>
      <c r="DZ283" s="223">
        <f t="shared" si="1853"/>
        <v>11.666666666666666</v>
      </c>
      <c r="EA283" s="223">
        <f t="shared" si="1854"/>
        <v>23.333333333333332</v>
      </c>
      <c r="EB283" s="224">
        <f t="shared" si="1855"/>
        <v>35</v>
      </c>
      <c r="EC283" s="237">
        <f t="shared" si="1856"/>
        <v>2432</v>
      </c>
      <c r="ED283" s="254">
        <f>DS283*DU283*KOslave+DS283*CHslave_CH*DX283+KLslave*DU283*DX283</f>
        <v>3408</v>
      </c>
      <c r="EE283" s="224">
        <f t="shared" si="1857"/>
        <v>1584</v>
      </c>
      <c r="EF283" s="224">
        <f t="shared" si="1858"/>
        <v>7424</v>
      </c>
      <c r="EG283" s="222">
        <f t="shared" si="1859"/>
        <v>3.8218390804597702</v>
      </c>
      <c r="EH283" s="223">
        <f t="shared" si="1860"/>
        <v>10.711206896551724</v>
      </c>
      <c r="EI283" s="243">
        <f t="shared" si="1861"/>
        <v>7.4676724137931032</v>
      </c>
      <c r="EJ283" s="243">
        <f t="shared" si="1862"/>
        <v>22.000718390804597</v>
      </c>
      <c r="EK283" s="252">
        <f t="shared" si="1863"/>
        <v>0</v>
      </c>
      <c r="EL283" s="309">
        <f t="shared" si="1864"/>
        <v>22.000718390804597</v>
      </c>
      <c r="EM283" s="218">
        <f t="shared" si="1965"/>
        <v>154.01436781609189</v>
      </c>
      <c r="EN283" s="242">
        <f t="shared" si="1965"/>
        <v>2</v>
      </c>
      <c r="EO283" s="243">
        <f t="shared" si="1866"/>
        <v>152.01436781609189</v>
      </c>
      <c r="EP283" s="218">
        <f t="shared" si="1867"/>
        <v>0</v>
      </c>
      <c r="ER283" s="303" t="s">
        <v>390</v>
      </c>
      <c r="ES283" s="304" t="s">
        <v>79</v>
      </c>
      <c r="ET283" s="305" t="s">
        <v>132</v>
      </c>
      <c r="EU283" s="317"/>
      <c r="EV283" s="254">
        <f>Konvention_1slave-KLslave</f>
        <v>12</v>
      </c>
      <c r="EW283" s="254"/>
      <c r="EX283" s="254">
        <f t="shared" si="1966"/>
        <v>12</v>
      </c>
      <c r="EY283" s="254"/>
      <c r="EZ283" s="254"/>
      <c r="FA283" s="254">
        <f>Konvention_1slave-KOslave</f>
        <v>12</v>
      </c>
      <c r="FB283" s="318"/>
      <c r="FC283" s="223">
        <f t="shared" si="1868"/>
        <v>12</v>
      </c>
      <c r="FD283" s="223">
        <f t="shared" si="1869"/>
        <v>24</v>
      </c>
      <c r="FE283" s="224">
        <f t="shared" si="1870"/>
        <v>36</v>
      </c>
      <c r="FF283" s="237">
        <f t="shared" si="1871"/>
        <v>2304</v>
      </c>
      <c r="FG283" s="254">
        <f>EV283*EX283*KOslave+EV283*CHslave*FA283+KLslave*EX283*FA283</f>
        <v>3456</v>
      </c>
      <c r="FH283" s="224">
        <f t="shared" si="1872"/>
        <v>1728</v>
      </c>
      <c r="FI283" s="224">
        <f t="shared" si="1873"/>
        <v>7488</v>
      </c>
      <c r="FJ283" s="222">
        <f t="shared" si="1874"/>
        <v>3.6923076923076925</v>
      </c>
      <c r="FK283" s="223">
        <f t="shared" si="1875"/>
        <v>11.076923076923077</v>
      </c>
      <c r="FL283" s="243">
        <f t="shared" si="1876"/>
        <v>8.3076923076923084</v>
      </c>
      <c r="FM283" s="243">
        <f t="shared" si="1877"/>
        <v>23.07692307692308</v>
      </c>
      <c r="FN283" s="252">
        <f t="shared" si="1878"/>
        <v>0</v>
      </c>
      <c r="FO283" s="309">
        <f t="shared" si="1879"/>
        <v>23.07692307692308</v>
      </c>
      <c r="FP283" s="218">
        <f t="shared" si="1967"/>
        <v>175.5384615384616</v>
      </c>
      <c r="FQ283" s="242">
        <f t="shared" si="1967"/>
        <v>2</v>
      </c>
      <c r="FR283" s="243">
        <f t="shared" si="1881"/>
        <v>173.5384615384616</v>
      </c>
      <c r="FS283" s="218">
        <f t="shared" si="1882"/>
        <v>0</v>
      </c>
      <c r="FU283" s="303" t="s">
        <v>390</v>
      </c>
      <c r="FV283" s="304" t="s">
        <v>79</v>
      </c>
      <c r="FW283" s="305" t="s">
        <v>132</v>
      </c>
      <c r="FX283" s="317"/>
      <c r="FY283" s="254">
        <f>Konvention_1slave-KLslave</f>
        <v>12</v>
      </c>
      <c r="FZ283" s="254"/>
      <c r="GA283" s="254">
        <f t="shared" si="1968"/>
        <v>12</v>
      </c>
      <c r="GB283" s="254"/>
      <c r="GC283" s="254"/>
      <c r="GD283" s="254">
        <f>Konvention_1slave-KOslave</f>
        <v>12</v>
      </c>
      <c r="GE283" s="318"/>
      <c r="GF283" s="223">
        <f t="shared" si="1883"/>
        <v>12</v>
      </c>
      <c r="GG283" s="223">
        <f t="shared" si="1884"/>
        <v>24</v>
      </c>
      <c r="GH283" s="224">
        <f t="shared" si="1885"/>
        <v>36</v>
      </c>
      <c r="GI283" s="237">
        <f t="shared" si="1886"/>
        <v>2304</v>
      </c>
      <c r="GJ283" s="254">
        <f>FY283*GA283*KOslave+FY283*CHslave*GD283+KLslave*GA283*GD283</f>
        <v>3456</v>
      </c>
      <c r="GK283" s="224">
        <f t="shared" si="1887"/>
        <v>1728</v>
      </c>
      <c r="GL283" s="224">
        <f t="shared" si="1888"/>
        <v>7488</v>
      </c>
      <c r="GM283" s="222">
        <f t="shared" si="1889"/>
        <v>3.6923076923076925</v>
      </c>
      <c r="GN283" s="223">
        <f t="shared" si="1890"/>
        <v>11.076923076923077</v>
      </c>
      <c r="GO283" s="243">
        <f t="shared" si="1891"/>
        <v>8.3076923076923084</v>
      </c>
      <c r="GP283" s="243">
        <f t="shared" si="1892"/>
        <v>23.07692307692308</v>
      </c>
      <c r="GQ283" s="252">
        <f t="shared" si="1893"/>
        <v>0</v>
      </c>
      <c r="GR283" s="309">
        <f t="shared" si="1894"/>
        <v>23.07692307692308</v>
      </c>
      <c r="GS283" s="218">
        <f t="shared" si="1969"/>
        <v>175.5384615384616</v>
      </c>
      <c r="GT283" s="242">
        <f t="shared" si="1969"/>
        <v>2</v>
      </c>
      <c r="GU283" s="243">
        <f t="shared" si="1896"/>
        <v>173.5384615384616</v>
      </c>
      <c r="GV283" s="218">
        <f t="shared" si="1897"/>
        <v>0</v>
      </c>
      <c r="GX283" s="303" t="s">
        <v>390</v>
      </c>
      <c r="GY283" s="304" t="s">
        <v>79</v>
      </c>
      <c r="GZ283" s="305" t="s">
        <v>132</v>
      </c>
      <c r="HA283" s="317"/>
      <c r="HB283" s="254">
        <f>Konvention_1slave-KLslave</f>
        <v>12</v>
      </c>
      <c r="HC283" s="254"/>
      <c r="HD283" s="254">
        <f t="shared" si="1970"/>
        <v>12</v>
      </c>
      <c r="HE283" s="254"/>
      <c r="HF283" s="254"/>
      <c r="HG283" s="254">
        <f>Konvention_1slave-KOslave_KO</f>
        <v>11</v>
      </c>
      <c r="HH283" s="318"/>
      <c r="HI283" s="223">
        <f t="shared" si="1898"/>
        <v>11.666666666666666</v>
      </c>
      <c r="HJ283" s="223">
        <f t="shared" si="1899"/>
        <v>23.333333333333332</v>
      </c>
      <c r="HK283" s="224">
        <f t="shared" si="1900"/>
        <v>35</v>
      </c>
      <c r="HL283" s="237">
        <f t="shared" si="1901"/>
        <v>2432</v>
      </c>
      <c r="HM283" s="254">
        <f>HB283*HD283*KOslave_KO+HB283*CHslave*HG283+KLslave*HD283*HG283</f>
        <v>3408</v>
      </c>
      <c r="HN283" s="224">
        <f t="shared" si="1902"/>
        <v>1584</v>
      </c>
      <c r="HO283" s="224">
        <f t="shared" si="1903"/>
        <v>7424</v>
      </c>
      <c r="HP283" s="222">
        <f t="shared" si="1904"/>
        <v>3.8218390804597702</v>
      </c>
      <c r="HQ283" s="223">
        <f t="shared" si="1905"/>
        <v>10.711206896551724</v>
      </c>
      <c r="HR283" s="243">
        <f t="shared" si="1906"/>
        <v>7.4676724137931032</v>
      </c>
      <c r="HS283" s="243">
        <f t="shared" si="1907"/>
        <v>22.000718390804597</v>
      </c>
      <c r="HT283" s="252">
        <f t="shared" si="1908"/>
        <v>0</v>
      </c>
      <c r="HU283" s="309">
        <f t="shared" si="1909"/>
        <v>22.000718390804597</v>
      </c>
      <c r="HV283" s="218">
        <f t="shared" si="1971"/>
        <v>154.01436781609189</v>
      </c>
      <c r="HW283" s="242">
        <f t="shared" si="1971"/>
        <v>2</v>
      </c>
      <c r="HX283" s="243">
        <f t="shared" si="1911"/>
        <v>152.01436781609189</v>
      </c>
      <c r="HY283" s="218">
        <f t="shared" si="1912"/>
        <v>0</v>
      </c>
      <c r="IA283" s="303" t="s">
        <v>390</v>
      </c>
      <c r="IB283" s="304" t="s">
        <v>79</v>
      </c>
      <c r="IC283" s="305" t="s">
        <v>132</v>
      </c>
      <c r="ID283" s="317"/>
      <c r="IE283" s="254">
        <f>Konvention_1slave-KLslave</f>
        <v>12</v>
      </c>
      <c r="IF283" s="254"/>
      <c r="IG283" s="254">
        <f t="shared" si="1972"/>
        <v>12</v>
      </c>
      <c r="IH283" s="254"/>
      <c r="II283" s="254"/>
      <c r="IJ283" s="254">
        <f>Konvention_1slave-KOslave</f>
        <v>12</v>
      </c>
      <c r="IK283" s="318"/>
      <c r="IL283" s="223">
        <f t="shared" si="1913"/>
        <v>12</v>
      </c>
      <c r="IM283" s="223">
        <f t="shared" si="1914"/>
        <v>24</v>
      </c>
      <c r="IN283" s="224">
        <f t="shared" si="1915"/>
        <v>36</v>
      </c>
      <c r="IO283" s="237">
        <f t="shared" si="1916"/>
        <v>2304</v>
      </c>
      <c r="IP283" s="254">
        <f>IE283*IG283*KOslave+IE283*CHslave*IJ283+KLslave*IG283*IJ283</f>
        <v>3456</v>
      </c>
      <c r="IQ283" s="224">
        <f t="shared" si="1917"/>
        <v>1728</v>
      </c>
      <c r="IR283" s="224">
        <f t="shared" si="1918"/>
        <v>7488</v>
      </c>
      <c r="IS283" s="222">
        <f t="shared" si="1919"/>
        <v>3.6923076923076925</v>
      </c>
      <c r="IT283" s="223">
        <f t="shared" si="1920"/>
        <v>11.076923076923077</v>
      </c>
      <c r="IU283" s="243">
        <f t="shared" si="1921"/>
        <v>8.3076923076923084</v>
      </c>
      <c r="IV283" s="243">
        <f t="shared" si="1922"/>
        <v>23.07692307692308</v>
      </c>
      <c r="IW283" s="252">
        <f t="shared" si="1923"/>
        <v>0</v>
      </c>
      <c r="IX283" s="309">
        <f t="shared" si="1924"/>
        <v>23.07692307692308</v>
      </c>
      <c r="IY283" s="218">
        <f t="shared" si="1973"/>
        <v>175.5384615384616</v>
      </c>
      <c r="IZ283" s="242">
        <f t="shared" si="1973"/>
        <v>2</v>
      </c>
      <c r="JA283" s="243">
        <f t="shared" si="1926"/>
        <v>173.5384615384616</v>
      </c>
      <c r="JB283" s="218">
        <f t="shared" si="1927"/>
        <v>0</v>
      </c>
      <c r="JE283" s="148"/>
    </row>
    <row r="284" spans="2:265" ht="15" hidden="1" customHeight="1" outlineLevel="2">
      <c r="B284" s="148">
        <v>24</v>
      </c>
      <c r="C284" s="303" t="e">
        <f>VLOOKUP(AF284,Attribute!C:T,1,FALSE)</f>
        <v>#N/A</v>
      </c>
      <c r="D284" s="86" t="s">
        <v>86</v>
      </c>
      <c r="E284" s="167" t="s">
        <v>133</v>
      </c>
      <c r="F284" s="120">
        <f>Konvention_1master-MUmaster</f>
        <v>12</v>
      </c>
      <c r="G284" s="117"/>
      <c r="H284" s="117">
        <f>Konvention_1master-INmaster</f>
        <v>12</v>
      </c>
      <c r="I284" s="117">
        <f t="shared" si="1956"/>
        <v>12</v>
      </c>
      <c r="J284" s="117"/>
      <c r="K284" s="117"/>
      <c r="L284" s="117"/>
      <c r="M284" s="121"/>
      <c r="N284" s="223">
        <f t="shared" si="1794"/>
        <v>12</v>
      </c>
      <c r="O284" s="223">
        <f t="shared" si="1795"/>
        <v>24</v>
      </c>
      <c r="P284" s="224">
        <f t="shared" si="1796"/>
        <v>36</v>
      </c>
      <c r="Q284" s="237">
        <f t="shared" si="1797"/>
        <v>2304</v>
      </c>
      <c r="R284" s="117">
        <f>F284*H284*CHmaster+F284*INmaster*I284+MUmaster*H284*I284</f>
        <v>3456</v>
      </c>
      <c r="S284" s="224">
        <f t="shared" si="1798"/>
        <v>1728</v>
      </c>
      <c r="T284" s="224">
        <f t="shared" si="1799"/>
        <v>7488</v>
      </c>
      <c r="U284" s="222">
        <f t="shared" si="1800"/>
        <v>3.6923076923076925</v>
      </c>
      <c r="V284" s="223">
        <f t="shared" si="1801"/>
        <v>11.076923076923077</v>
      </c>
      <c r="W284" s="243">
        <f t="shared" si="1802"/>
        <v>8.3076923076923084</v>
      </c>
      <c r="X284" s="243">
        <f t="shared" si="1803"/>
        <v>23.07692307692308</v>
      </c>
      <c r="Y284" s="252">
        <v>0</v>
      </c>
      <c r="Z284" s="198">
        <f t="shared" si="1804"/>
        <v>23.07692307692308</v>
      </c>
      <c r="AA284" s="125">
        <f t="shared" ref="AA284:AB287" si="1974">IF(X284&lt;=0,1,0)+IF(X284&gt;0,X284+1,0)*1+IF(X284&gt;12,X284-12,0)*1+IF(X284&gt;13,X284-13,0)*1+IF(X284&gt;14,X284-14,0)*1+IF(X284&gt;15,X284-15,0)*1+IF(X284&gt;16,X284-16,0)*1+IF(X284&gt;17,X284-17,0)*1+IF(X284&gt;18,X284-18,0)*1+IF(X284&gt;19,X284-19,0)*1+IF(X284&gt;20,X284-20,0)*1</f>
        <v>87.769230769230802</v>
      </c>
      <c r="AB284" s="160">
        <f t="shared" si="1974"/>
        <v>1</v>
      </c>
      <c r="AC284" s="127">
        <f t="shared" si="1806"/>
        <v>86.769230769230802</v>
      </c>
      <c r="AD284" s="125">
        <f t="shared" si="1807"/>
        <v>0</v>
      </c>
      <c r="AF284" s="163" t="s">
        <v>363</v>
      </c>
      <c r="AG284" s="86" t="s">
        <v>86</v>
      </c>
      <c r="AH284" s="167" t="s">
        <v>133</v>
      </c>
      <c r="AI284" s="120">
        <f>Konvention_1slave-MUslave_MU</f>
        <v>11</v>
      </c>
      <c r="AJ284" s="117"/>
      <c r="AK284" s="117">
        <f>Konvention_1slave-INslave</f>
        <v>12</v>
      </c>
      <c r="AL284" s="117">
        <f t="shared" si="1958"/>
        <v>12</v>
      </c>
      <c r="AM284" s="117"/>
      <c r="AN284" s="117"/>
      <c r="AO284" s="117"/>
      <c r="AP284" s="121"/>
      <c r="AQ284" s="47">
        <f t="shared" si="1808"/>
        <v>11.666666666666666</v>
      </c>
      <c r="AR284" s="3">
        <f t="shared" si="1809"/>
        <v>23.333333333333332</v>
      </c>
      <c r="AS284" s="174">
        <f t="shared" si="1810"/>
        <v>35</v>
      </c>
      <c r="AT284" s="114">
        <f t="shared" si="1811"/>
        <v>2432</v>
      </c>
      <c r="AU284" s="117">
        <f>AI284*AK284*CHslave+AI284*INslave*AL284+MUslave_MU*AK284*AL284</f>
        <v>3408</v>
      </c>
      <c r="AV284" s="119">
        <f t="shared" si="1812"/>
        <v>1584</v>
      </c>
      <c r="AW284" s="119">
        <f t="shared" si="1813"/>
        <v>7424</v>
      </c>
      <c r="AX284" s="89">
        <f t="shared" si="1814"/>
        <v>3.8218390804597702</v>
      </c>
      <c r="AY284" s="47">
        <f t="shared" si="1815"/>
        <v>10.711206896551724</v>
      </c>
      <c r="AZ284" s="127">
        <f t="shared" si="1816"/>
        <v>7.4676724137931032</v>
      </c>
      <c r="BA284" s="127">
        <f t="shared" si="1817"/>
        <v>22.000718390804597</v>
      </c>
      <c r="BB284" s="165">
        <f t="shared" si="1818"/>
        <v>0</v>
      </c>
      <c r="BC284" s="198">
        <f t="shared" si="1819"/>
        <v>22.000718390804597</v>
      </c>
      <c r="BD284" s="125">
        <f t="shared" ref="BD284:BE287" si="1975">IF(BA284&lt;=0,1,0)+IF(BA284&gt;0,BA284+1,0)*1+IF(BA284&gt;12,BA284-12,0)*1+IF(BA284&gt;13,BA284-13,0)*1+IF(BA284&gt;14,BA284-14,0)*1+IF(BA284&gt;15,BA284-15,0)*1+IF(BA284&gt;16,BA284-16,0)*1+IF(BA284&gt;17,BA284-17,0)*1+IF(BA284&gt;18,BA284-18,0)*1+IF(BA284&gt;19,BA284-19,0)*1+IF(BA284&gt;20,BA284-20,0)*1</f>
        <v>77.007183908045945</v>
      </c>
      <c r="BE284" s="160">
        <f t="shared" si="1975"/>
        <v>1</v>
      </c>
      <c r="BF284" s="243">
        <f t="shared" si="1821"/>
        <v>76.007183908045945</v>
      </c>
      <c r="BG284" s="218">
        <f t="shared" si="1822"/>
        <v>0</v>
      </c>
      <c r="BI284" s="303" t="s">
        <v>363</v>
      </c>
      <c r="BJ284" s="304" t="s">
        <v>86</v>
      </c>
      <c r="BK284" s="305" t="s">
        <v>133</v>
      </c>
      <c r="BL284" s="317">
        <f>Konvention_1slave-MUslave</f>
        <v>12</v>
      </c>
      <c r="BM284" s="254"/>
      <c r="BN284" s="254">
        <f>Konvention_1slave-INslave</f>
        <v>12</v>
      </c>
      <c r="BO284" s="254">
        <f t="shared" si="1960"/>
        <v>12</v>
      </c>
      <c r="BP284" s="254"/>
      <c r="BQ284" s="254"/>
      <c r="BR284" s="254"/>
      <c r="BS284" s="318"/>
      <c r="BT284" s="223">
        <f t="shared" si="1823"/>
        <v>12</v>
      </c>
      <c r="BU284" s="223">
        <f t="shared" si="1824"/>
        <v>24</v>
      </c>
      <c r="BV284" s="224">
        <f t="shared" si="1825"/>
        <v>36</v>
      </c>
      <c r="BW284" s="237">
        <f t="shared" si="1826"/>
        <v>2304</v>
      </c>
      <c r="BX284" s="254">
        <f>BL284*BN284*CHslave+BL284*INslave*BO284+MUslave*BN284*BO284</f>
        <v>3456</v>
      </c>
      <c r="BY284" s="224">
        <f t="shared" si="1827"/>
        <v>1728</v>
      </c>
      <c r="BZ284" s="224">
        <f t="shared" si="1828"/>
        <v>7488</v>
      </c>
      <c r="CA284" s="222">
        <f t="shared" si="1829"/>
        <v>3.6923076923076925</v>
      </c>
      <c r="CB284" s="223">
        <f t="shared" si="1830"/>
        <v>11.076923076923077</v>
      </c>
      <c r="CC284" s="243">
        <f t="shared" si="1831"/>
        <v>8.3076923076923084</v>
      </c>
      <c r="CD284" s="243">
        <f t="shared" si="1832"/>
        <v>23.07692307692308</v>
      </c>
      <c r="CE284" s="252">
        <f t="shared" si="1833"/>
        <v>0</v>
      </c>
      <c r="CF284" s="309">
        <f t="shared" si="1834"/>
        <v>23.07692307692308</v>
      </c>
      <c r="CG284" s="218">
        <f t="shared" ref="CG284:CH287" si="1976">IF(CD284&lt;=0,1,0)+IF(CD284&gt;0,CD284+1,0)*1+IF(CD284&gt;12,CD284-12,0)*1+IF(CD284&gt;13,CD284-13,0)*1+IF(CD284&gt;14,CD284-14,0)*1+IF(CD284&gt;15,CD284-15,0)*1+IF(CD284&gt;16,CD284-16,0)*1+IF(CD284&gt;17,CD284-17,0)*1+IF(CD284&gt;18,CD284-18,0)*1+IF(CD284&gt;19,CD284-19,0)*1+IF(CD284&gt;20,CD284-20,0)*1</f>
        <v>87.769230769230802</v>
      </c>
      <c r="CH284" s="242">
        <f t="shared" si="1976"/>
        <v>1</v>
      </c>
      <c r="CI284" s="243">
        <f t="shared" si="1836"/>
        <v>86.769230769230802</v>
      </c>
      <c r="CJ284" s="218">
        <f t="shared" si="1837"/>
        <v>0</v>
      </c>
      <c r="CL284" s="303" t="s">
        <v>363</v>
      </c>
      <c r="CM284" s="304" t="s">
        <v>86</v>
      </c>
      <c r="CN284" s="305" t="s">
        <v>133</v>
      </c>
      <c r="CO284" s="317">
        <f>Konvention_1slave-MUslave</f>
        <v>12</v>
      </c>
      <c r="CP284" s="254"/>
      <c r="CQ284" s="254">
        <f>Konvention_1slave-INslave_IN</f>
        <v>11</v>
      </c>
      <c r="CR284" s="254">
        <f t="shared" si="1962"/>
        <v>12</v>
      </c>
      <c r="CS284" s="254"/>
      <c r="CT284" s="254"/>
      <c r="CU284" s="254"/>
      <c r="CV284" s="318"/>
      <c r="CW284" s="223">
        <f t="shared" si="1838"/>
        <v>11.666666666666666</v>
      </c>
      <c r="CX284" s="223">
        <f t="shared" si="1839"/>
        <v>23.333333333333332</v>
      </c>
      <c r="CY284" s="224">
        <f t="shared" si="1840"/>
        <v>35</v>
      </c>
      <c r="CZ284" s="237">
        <f t="shared" si="1841"/>
        <v>2432</v>
      </c>
      <c r="DA284" s="254">
        <f>CO284*CQ284*CHslave+CO284*INslave_IN*CR284+MUslave*CQ284*CR284</f>
        <v>3408</v>
      </c>
      <c r="DB284" s="224">
        <f t="shared" si="1842"/>
        <v>1584</v>
      </c>
      <c r="DC284" s="224">
        <f t="shared" si="1843"/>
        <v>7424</v>
      </c>
      <c r="DD284" s="222">
        <f t="shared" si="1844"/>
        <v>3.8218390804597702</v>
      </c>
      <c r="DE284" s="223">
        <f t="shared" si="1845"/>
        <v>10.711206896551724</v>
      </c>
      <c r="DF284" s="243">
        <f t="shared" si="1846"/>
        <v>7.4676724137931032</v>
      </c>
      <c r="DG284" s="243">
        <f t="shared" si="1847"/>
        <v>22.000718390804597</v>
      </c>
      <c r="DH284" s="252">
        <f t="shared" si="1848"/>
        <v>0</v>
      </c>
      <c r="DI284" s="309">
        <f t="shared" si="1849"/>
        <v>22.000718390804597</v>
      </c>
      <c r="DJ284" s="218">
        <f t="shared" ref="DJ284:DK287" si="1977">IF(DG284&lt;=0,1,0)+IF(DG284&gt;0,DG284+1,0)*1+IF(DG284&gt;12,DG284-12,0)*1+IF(DG284&gt;13,DG284-13,0)*1+IF(DG284&gt;14,DG284-14,0)*1+IF(DG284&gt;15,DG284-15,0)*1+IF(DG284&gt;16,DG284-16,0)*1+IF(DG284&gt;17,DG284-17,0)*1+IF(DG284&gt;18,DG284-18,0)*1+IF(DG284&gt;19,DG284-19,0)*1+IF(DG284&gt;20,DG284-20,0)*1</f>
        <v>77.007183908045945</v>
      </c>
      <c r="DK284" s="242">
        <f t="shared" si="1977"/>
        <v>1</v>
      </c>
      <c r="DL284" s="243">
        <f t="shared" si="1851"/>
        <v>76.007183908045945</v>
      </c>
      <c r="DM284" s="218">
        <f t="shared" si="1852"/>
        <v>0</v>
      </c>
      <c r="DO284" s="303" t="s">
        <v>363</v>
      </c>
      <c r="DP284" s="304" t="s">
        <v>86</v>
      </c>
      <c r="DQ284" s="305" t="s">
        <v>133</v>
      </c>
      <c r="DR284" s="317">
        <f>Konvention_1slave-MUslave</f>
        <v>12</v>
      </c>
      <c r="DS284" s="254"/>
      <c r="DT284" s="254">
        <f>Konvention_1slave-INslave</f>
        <v>12</v>
      </c>
      <c r="DU284" s="254">
        <f t="shared" si="1964"/>
        <v>11</v>
      </c>
      <c r="DV284" s="254"/>
      <c r="DW284" s="254"/>
      <c r="DX284" s="254"/>
      <c r="DY284" s="318"/>
      <c r="DZ284" s="223">
        <f t="shared" si="1853"/>
        <v>11.666666666666666</v>
      </c>
      <c r="EA284" s="223">
        <f t="shared" si="1854"/>
        <v>23.333333333333332</v>
      </c>
      <c r="EB284" s="224">
        <f t="shared" si="1855"/>
        <v>35</v>
      </c>
      <c r="EC284" s="237">
        <f t="shared" si="1856"/>
        <v>2432</v>
      </c>
      <c r="ED284" s="254">
        <f>DR284*DT284*CHslave_CH+DR284*INslave*DU284+MUslave*DT284*DU284</f>
        <v>3408</v>
      </c>
      <c r="EE284" s="224">
        <f t="shared" si="1857"/>
        <v>1584</v>
      </c>
      <c r="EF284" s="224">
        <f t="shared" si="1858"/>
        <v>7424</v>
      </c>
      <c r="EG284" s="222">
        <f t="shared" si="1859"/>
        <v>3.8218390804597702</v>
      </c>
      <c r="EH284" s="223">
        <f t="shared" si="1860"/>
        <v>10.711206896551724</v>
      </c>
      <c r="EI284" s="243">
        <f t="shared" si="1861"/>
        <v>7.4676724137931032</v>
      </c>
      <c r="EJ284" s="243">
        <f t="shared" si="1862"/>
        <v>22.000718390804597</v>
      </c>
      <c r="EK284" s="252">
        <f t="shared" si="1863"/>
        <v>0</v>
      </c>
      <c r="EL284" s="309">
        <f t="shared" si="1864"/>
        <v>22.000718390804597</v>
      </c>
      <c r="EM284" s="218">
        <f t="shared" ref="EM284:EN287" si="1978">IF(EJ284&lt;=0,1,0)+IF(EJ284&gt;0,EJ284+1,0)*1+IF(EJ284&gt;12,EJ284-12,0)*1+IF(EJ284&gt;13,EJ284-13,0)*1+IF(EJ284&gt;14,EJ284-14,0)*1+IF(EJ284&gt;15,EJ284-15,0)*1+IF(EJ284&gt;16,EJ284-16,0)*1+IF(EJ284&gt;17,EJ284-17,0)*1+IF(EJ284&gt;18,EJ284-18,0)*1+IF(EJ284&gt;19,EJ284-19,0)*1+IF(EJ284&gt;20,EJ284-20,0)*1</f>
        <v>77.007183908045945</v>
      </c>
      <c r="EN284" s="242">
        <f t="shared" si="1978"/>
        <v>1</v>
      </c>
      <c r="EO284" s="243">
        <f t="shared" si="1866"/>
        <v>76.007183908045945</v>
      </c>
      <c r="EP284" s="218">
        <f t="shared" si="1867"/>
        <v>0</v>
      </c>
      <c r="ER284" s="303" t="s">
        <v>363</v>
      </c>
      <c r="ES284" s="304" t="s">
        <v>86</v>
      </c>
      <c r="ET284" s="305" t="s">
        <v>133</v>
      </c>
      <c r="EU284" s="317">
        <f>Konvention_1slave-MUslave</f>
        <v>12</v>
      </c>
      <c r="EV284" s="254"/>
      <c r="EW284" s="254">
        <f>Konvention_1slave-INslave</f>
        <v>12</v>
      </c>
      <c r="EX284" s="254">
        <f t="shared" si="1966"/>
        <v>12</v>
      </c>
      <c r="EY284" s="254"/>
      <c r="EZ284" s="254"/>
      <c r="FA284" s="254"/>
      <c r="FB284" s="318"/>
      <c r="FC284" s="223">
        <f t="shared" si="1868"/>
        <v>12</v>
      </c>
      <c r="FD284" s="223">
        <f t="shared" si="1869"/>
        <v>24</v>
      </c>
      <c r="FE284" s="224">
        <f t="shared" si="1870"/>
        <v>36</v>
      </c>
      <c r="FF284" s="237">
        <f t="shared" si="1871"/>
        <v>2304</v>
      </c>
      <c r="FG284" s="254">
        <f>EU284*EW284*CHslave+EU284*INslave*EX284+MUslave*EW284*EX284</f>
        <v>3456</v>
      </c>
      <c r="FH284" s="224">
        <f t="shared" si="1872"/>
        <v>1728</v>
      </c>
      <c r="FI284" s="224">
        <f t="shared" si="1873"/>
        <v>7488</v>
      </c>
      <c r="FJ284" s="222">
        <f t="shared" si="1874"/>
        <v>3.6923076923076925</v>
      </c>
      <c r="FK284" s="223">
        <f t="shared" si="1875"/>
        <v>11.076923076923077</v>
      </c>
      <c r="FL284" s="243">
        <f t="shared" si="1876"/>
        <v>8.3076923076923084</v>
      </c>
      <c r="FM284" s="243">
        <f t="shared" si="1877"/>
        <v>23.07692307692308</v>
      </c>
      <c r="FN284" s="252">
        <f t="shared" si="1878"/>
        <v>0</v>
      </c>
      <c r="FO284" s="309">
        <f t="shared" si="1879"/>
        <v>23.07692307692308</v>
      </c>
      <c r="FP284" s="218">
        <f t="shared" ref="FP284:FQ287" si="1979">IF(FM284&lt;=0,1,0)+IF(FM284&gt;0,FM284+1,0)*1+IF(FM284&gt;12,FM284-12,0)*1+IF(FM284&gt;13,FM284-13,0)*1+IF(FM284&gt;14,FM284-14,0)*1+IF(FM284&gt;15,FM284-15,0)*1+IF(FM284&gt;16,FM284-16,0)*1+IF(FM284&gt;17,FM284-17,0)*1+IF(FM284&gt;18,FM284-18,0)*1+IF(FM284&gt;19,FM284-19,0)*1+IF(FM284&gt;20,FM284-20,0)*1</f>
        <v>87.769230769230802</v>
      </c>
      <c r="FQ284" s="242">
        <f t="shared" si="1979"/>
        <v>1</v>
      </c>
      <c r="FR284" s="243">
        <f t="shared" si="1881"/>
        <v>86.769230769230802</v>
      </c>
      <c r="FS284" s="218">
        <f t="shared" si="1882"/>
        <v>0</v>
      </c>
      <c r="FU284" s="303" t="s">
        <v>363</v>
      </c>
      <c r="FV284" s="304" t="s">
        <v>86</v>
      </c>
      <c r="FW284" s="305" t="s">
        <v>133</v>
      </c>
      <c r="FX284" s="317">
        <f>Konvention_1slave-MUslave</f>
        <v>12</v>
      </c>
      <c r="FY284" s="254"/>
      <c r="FZ284" s="254">
        <f>Konvention_1slave-INslave</f>
        <v>12</v>
      </c>
      <c r="GA284" s="254">
        <f t="shared" si="1968"/>
        <v>12</v>
      </c>
      <c r="GB284" s="254"/>
      <c r="GC284" s="254"/>
      <c r="GD284" s="254"/>
      <c r="GE284" s="318"/>
      <c r="GF284" s="223">
        <f t="shared" si="1883"/>
        <v>12</v>
      </c>
      <c r="GG284" s="223">
        <f t="shared" si="1884"/>
        <v>24</v>
      </c>
      <c r="GH284" s="224">
        <f t="shared" si="1885"/>
        <v>36</v>
      </c>
      <c r="GI284" s="237">
        <f t="shared" si="1886"/>
        <v>2304</v>
      </c>
      <c r="GJ284" s="254">
        <f>FX284*FZ284*CHslave+FX284*INslave*GA284+MUslave*FZ284*GA284</f>
        <v>3456</v>
      </c>
      <c r="GK284" s="224">
        <f t="shared" si="1887"/>
        <v>1728</v>
      </c>
      <c r="GL284" s="224">
        <f t="shared" si="1888"/>
        <v>7488</v>
      </c>
      <c r="GM284" s="222">
        <f t="shared" si="1889"/>
        <v>3.6923076923076925</v>
      </c>
      <c r="GN284" s="223">
        <f t="shared" si="1890"/>
        <v>11.076923076923077</v>
      </c>
      <c r="GO284" s="243">
        <f t="shared" si="1891"/>
        <v>8.3076923076923084</v>
      </c>
      <c r="GP284" s="243">
        <f t="shared" si="1892"/>
        <v>23.07692307692308</v>
      </c>
      <c r="GQ284" s="252">
        <f t="shared" si="1893"/>
        <v>0</v>
      </c>
      <c r="GR284" s="309">
        <f t="shared" si="1894"/>
        <v>23.07692307692308</v>
      </c>
      <c r="GS284" s="218">
        <f t="shared" ref="GS284:GT287" si="1980">IF(GP284&lt;=0,1,0)+IF(GP284&gt;0,GP284+1,0)*1+IF(GP284&gt;12,GP284-12,0)*1+IF(GP284&gt;13,GP284-13,0)*1+IF(GP284&gt;14,GP284-14,0)*1+IF(GP284&gt;15,GP284-15,0)*1+IF(GP284&gt;16,GP284-16,0)*1+IF(GP284&gt;17,GP284-17,0)*1+IF(GP284&gt;18,GP284-18,0)*1+IF(GP284&gt;19,GP284-19,0)*1+IF(GP284&gt;20,GP284-20,0)*1</f>
        <v>87.769230769230802</v>
      </c>
      <c r="GT284" s="242">
        <f t="shared" si="1980"/>
        <v>1</v>
      </c>
      <c r="GU284" s="243">
        <f t="shared" si="1896"/>
        <v>86.769230769230802</v>
      </c>
      <c r="GV284" s="218">
        <f t="shared" si="1897"/>
        <v>0</v>
      </c>
      <c r="GX284" s="303" t="s">
        <v>363</v>
      </c>
      <c r="GY284" s="304" t="s">
        <v>86</v>
      </c>
      <c r="GZ284" s="305" t="s">
        <v>133</v>
      </c>
      <c r="HA284" s="317">
        <f>Konvention_1slave-MUslave</f>
        <v>12</v>
      </c>
      <c r="HB284" s="254"/>
      <c r="HC284" s="254">
        <f>Konvention_1slave-INslave</f>
        <v>12</v>
      </c>
      <c r="HD284" s="254">
        <f t="shared" si="1970"/>
        <v>12</v>
      </c>
      <c r="HE284" s="254"/>
      <c r="HF284" s="254"/>
      <c r="HG284" s="254"/>
      <c r="HH284" s="318"/>
      <c r="HI284" s="223">
        <f t="shared" si="1898"/>
        <v>12</v>
      </c>
      <c r="HJ284" s="223">
        <f t="shared" si="1899"/>
        <v>24</v>
      </c>
      <c r="HK284" s="224">
        <f t="shared" si="1900"/>
        <v>36</v>
      </c>
      <c r="HL284" s="237">
        <f t="shared" si="1901"/>
        <v>2304</v>
      </c>
      <c r="HM284" s="254">
        <f>HA284*HC284*CHslave+HA284*INslave*HD284+MUslave*HC284*HD284</f>
        <v>3456</v>
      </c>
      <c r="HN284" s="224">
        <f t="shared" si="1902"/>
        <v>1728</v>
      </c>
      <c r="HO284" s="224">
        <f t="shared" si="1903"/>
        <v>7488</v>
      </c>
      <c r="HP284" s="222">
        <f t="shared" si="1904"/>
        <v>3.6923076923076925</v>
      </c>
      <c r="HQ284" s="223">
        <f t="shared" si="1905"/>
        <v>11.076923076923077</v>
      </c>
      <c r="HR284" s="243">
        <f t="shared" si="1906"/>
        <v>8.3076923076923084</v>
      </c>
      <c r="HS284" s="243">
        <f t="shared" si="1907"/>
        <v>23.07692307692308</v>
      </c>
      <c r="HT284" s="252">
        <f t="shared" si="1908"/>
        <v>0</v>
      </c>
      <c r="HU284" s="309">
        <f t="shared" si="1909"/>
        <v>23.07692307692308</v>
      </c>
      <c r="HV284" s="218">
        <f t="shared" ref="HV284:HW287" si="1981">IF(HS284&lt;=0,1,0)+IF(HS284&gt;0,HS284+1,0)*1+IF(HS284&gt;12,HS284-12,0)*1+IF(HS284&gt;13,HS284-13,0)*1+IF(HS284&gt;14,HS284-14,0)*1+IF(HS284&gt;15,HS284-15,0)*1+IF(HS284&gt;16,HS284-16,0)*1+IF(HS284&gt;17,HS284-17,0)*1+IF(HS284&gt;18,HS284-18,0)*1+IF(HS284&gt;19,HS284-19,0)*1+IF(HS284&gt;20,HS284-20,0)*1</f>
        <v>87.769230769230802</v>
      </c>
      <c r="HW284" s="242">
        <f t="shared" si="1981"/>
        <v>1</v>
      </c>
      <c r="HX284" s="243">
        <f t="shared" si="1911"/>
        <v>86.769230769230802</v>
      </c>
      <c r="HY284" s="218">
        <f t="shared" si="1912"/>
        <v>0</v>
      </c>
      <c r="IA284" s="303" t="s">
        <v>363</v>
      </c>
      <c r="IB284" s="304" t="s">
        <v>86</v>
      </c>
      <c r="IC284" s="305" t="s">
        <v>133</v>
      </c>
      <c r="ID284" s="317">
        <f>Konvention_1slave-MUslave</f>
        <v>12</v>
      </c>
      <c r="IE284" s="254"/>
      <c r="IF284" s="254">
        <f>Konvention_1slave-INslave</f>
        <v>12</v>
      </c>
      <c r="IG284" s="254">
        <f t="shared" si="1972"/>
        <v>12</v>
      </c>
      <c r="IH284" s="254"/>
      <c r="II284" s="254"/>
      <c r="IJ284" s="254"/>
      <c r="IK284" s="318"/>
      <c r="IL284" s="223">
        <f t="shared" si="1913"/>
        <v>12</v>
      </c>
      <c r="IM284" s="223">
        <f t="shared" si="1914"/>
        <v>24</v>
      </c>
      <c r="IN284" s="224">
        <f t="shared" si="1915"/>
        <v>36</v>
      </c>
      <c r="IO284" s="237">
        <f t="shared" si="1916"/>
        <v>2304</v>
      </c>
      <c r="IP284" s="254">
        <f>ID284*IF284*CHslave+ID284*INslave*IG284+MUslave*IF284*IG284</f>
        <v>3456</v>
      </c>
      <c r="IQ284" s="224">
        <f t="shared" si="1917"/>
        <v>1728</v>
      </c>
      <c r="IR284" s="224">
        <f t="shared" si="1918"/>
        <v>7488</v>
      </c>
      <c r="IS284" s="222">
        <f t="shared" si="1919"/>
        <v>3.6923076923076925</v>
      </c>
      <c r="IT284" s="223">
        <f t="shared" si="1920"/>
        <v>11.076923076923077</v>
      </c>
      <c r="IU284" s="243">
        <f t="shared" si="1921"/>
        <v>8.3076923076923084</v>
      </c>
      <c r="IV284" s="243">
        <f t="shared" si="1922"/>
        <v>23.07692307692308</v>
      </c>
      <c r="IW284" s="252">
        <f t="shared" si="1923"/>
        <v>0</v>
      </c>
      <c r="IX284" s="309">
        <f t="shared" si="1924"/>
        <v>23.07692307692308</v>
      </c>
      <c r="IY284" s="218">
        <f t="shared" ref="IY284:IZ287" si="1982">IF(IV284&lt;=0,1,0)+IF(IV284&gt;0,IV284+1,0)*1+IF(IV284&gt;12,IV284-12,0)*1+IF(IV284&gt;13,IV284-13,0)*1+IF(IV284&gt;14,IV284-14,0)*1+IF(IV284&gt;15,IV284-15,0)*1+IF(IV284&gt;16,IV284-16,0)*1+IF(IV284&gt;17,IV284-17,0)*1+IF(IV284&gt;18,IV284-18,0)*1+IF(IV284&gt;19,IV284-19,0)*1+IF(IV284&gt;20,IV284-20,0)*1</f>
        <v>87.769230769230802</v>
      </c>
      <c r="IZ284" s="242">
        <f t="shared" si="1982"/>
        <v>1</v>
      </c>
      <c r="JA284" s="243">
        <f t="shared" si="1926"/>
        <v>86.769230769230802</v>
      </c>
      <c r="JB284" s="218">
        <f t="shared" si="1927"/>
        <v>0</v>
      </c>
      <c r="JE284" s="148"/>
    </row>
    <row r="285" spans="2:265" hidden="1" outlineLevel="2">
      <c r="B285" s="148">
        <v>25</v>
      </c>
      <c r="C285" s="303" t="e">
        <f>VLOOKUP(AF285,Attribute!C:T,1,FALSE)</f>
        <v>#N/A</v>
      </c>
      <c r="D285" s="86" t="s">
        <v>87</v>
      </c>
      <c r="E285" s="167" t="s">
        <v>133</v>
      </c>
      <c r="F285" s="120"/>
      <c r="G285" s="117">
        <f>Konvention_1master-KLmaster</f>
        <v>12</v>
      </c>
      <c r="H285" s="117">
        <f>Konvention_1master-INmaster</f>
        <v>12</v>
      </c>
      <c r="I285" s="117">
        <f t="shared" si="1956"/>
        <v>12</v>
      </c>
      <c r="J285" s="117"/>
      <c r="K285" s="117"/>
      <c r="L285" s="117"/>
      <c r="M285" s="121"/>
      <c r="N285" s="223">
        <f t="shared" si="1794"/>
        <v>12</v>
      </c>
      <c r="O285" s="223">
        <f t="shared" si="1795"/>
        <v>24</v>
      </c>
      <c r="P285" s="224">
        <f t="shared" si="1796"/>
        <v>36</v>
      </c>
      <c r="Q285" s="237">
        <f t="shared" si="1797"/>
        <v>2304</v>
      </c>
      <c r="R285" s="117">
        <f>G285*H285*CHmaster+G285*INmaster*I285+KLmaster*H285*I285</f>
        <v>3456</v>
      </c>
      <c r="S285" s="224">
        <f t="shared" si="1798"/>
        <v>1728</v>
      </c>
      <c r="T285" s="224">
        <f t="shared" si="1799"/>
        <v>7488</v>
      </c>
      <c r="U285" s="222">
        <f t="shared" si="1800"/>
        <v>3.6923076923076925</v>
      </c>
      <c r="V285" s="223">
        <f t="shared" si="1801"/>
        <v>11.076923076923077</v>
      </c>
      <c r="W285" s="243">
        <f t="shared" si="1802"/>
        <v>8.3076923076923084</v>
      </c>
      <c r="X285" s="243">
        <f t="shared" si="1803"/>
        <v>23.07692307692308</v>
      </c>
      <c r="Y285" s="252">
        <v>0</v>
      </c>
      <c r="Z285" s="198">
        <f t="shared" si="1804"/>
        <v>23.07692307692308</v>
      </c>
      <c r="AA285" s="125">
        <f t="shared" si="1974"/>
        <v>87.769230769230802</v>
      </c>
      <c r="AB285" s="160">
        <f t="shared" si="1974"/>
        <v>1</v>
      </c>
      <c r="AC285" s="127">
        <f t="shared" si="1806"/>
        <v>86.769230769230802</v>
      </c>
      <c r="AD285" s="125">
        <f t="shared" si="1807"/>
        <v>0</v>
      </c>
      <c r="AF285" s="163" t="s">
        <v>394</v>
      </c>
      <c r="AG285" s="86" t="s">
        <v>87</v>
      </c>
      <c r="AH285" s="167" t="s">
        <v>133</v>
      </c>
      <c r="AI285" s="120"/>
      <c r="AJ285" s="117">
        <f>Konvention_1slave-KLslave</f>
        <v>12</v>
      </c>
      <c r="AK285" s="117">
        <f>Konvention_1slave-INslave</f>
        <v>12</v>
      </c>
      <c r="AL285" s="117">
        <f t="shared" si="1958"/>
        <v>12</v>
      </c>
      <c r="AM285" s="117"/>
      <c r="AN285" s="117"/>
      <c r="AO285" s="117"/>
      <c r="AP285" s="121"/>
      <c r="AQ285" s="47">
        <f t="shared" si="1808"/>
        <v>12</v>
      </c>
      <c r="AR285" s="3">
        <f t="shared" si="1809"/>
        <v>24</v>
      </c>
      <c r="AS285" s="174">
        <f t="shared" si="1810"/>
        <v>36</v>
      </c>
      <c r="AT285" s="114">
        <f t="shared" si="1811"/>
        <v>2304</v>
      </c>
      <c r="AU285" s="117">
        <f>AJ285*AK285*CHslave+AJ285*INslave*AL285+KLslave*AK285*AL285</f>
        <v>3456</v>
      </c>
      <c r="AV285" s="119">
        <f t="shared" si="1812"/>
        <v>1728</v>
      </c>
      <c r="AW285" s="119">
        <f t="shared" si="1813"/>
        <v>7488</v>
      </c>
      <c r="AX285" s="89">
        <f t="shared" si="1814"/>
        <v>3.6923076923076925</v>
      </c>
      <c r="AY285" s="47">
        <f t="shared" si="1815"/>
        <v>11.076923076923077</v>
      </c>
      <c r="AZ285" s="127">
        <f t="shared" si="1816"/>
        <v>8.3076923076923084</v>
      </c>
      <c r="BA285" s="127">
        <f t="shared" si="1817"/>
        <v>23.07692307692308</v>
      </c>
      <c r="BB285" s="165">
        <f t="shared" si="1818"/>
        <v>0</v>
      </c>
      <c r="BC285" s="198">
        <f t="shared" si="1819"/>
        <v>23.07692307692308</v>
      </c>
      <c r="BD285" s="125">
        <f t="shared" si="1975"/>
        <v>87.769230769230802</v>
      </c>
      <c r="BE285" s="160">
        <f t="shared" si="1975"/>
        <v>1</v>
      </c>
      <c r="BF285" s="243">
        <f t="shared" si="1821"/>
        <v>86.769230769230802</v>
      </c>
      <c r="BG285" s="218">
        <f t="shared" si="1822"/>
        <v>0</v>
      </c>
      <c r="BI285" s="303" t="s">
        <v>394</v>
      </c>
      <c r="BJ285" s="304" t="s">
        <v>87</v>
      </c>
      <c r="BK285" s="305" t="s">
        <v>133</v>
      </c>
      <c r="BL285" s="317"/>
      <c r="BM285" s="254">
        <f>Konvention_1slave-KLslave_KL</f>
        <v>11</v>
      </c>
      <c r="BN285" s="254">
        <f>Konvention_1slave-INslave</f>
        <v>12</v>
      </c>
      <c r="BO285" s="254">
        <f t="shared" si="1960"/>
        <v>12</v>
      </c>
      <c r="BP285" s="254"/>
      <c r="BQ285" s="254"/>
      <c r="BR285" s="254"/>
      <c r="BS285" s="318"/>
      <c r="BT285" s="223">
        <f t="shared" si="1823"/>
        <v>11.666666666666666</v>
      </c>
      <c r="BU285" s="223">
        <f t="shared" si="1824"/>
        <v>23.333333333333332</v>
      </c>
      <c r="BV285" s="224">
        <f t="shared" si="1825"/>
        <v>35</v>
      </c>
      <c r="BW285" s="237">
        <f t="shared" si="1826"/>
        <v>2432</v>
      </c>
      <c r="BX285" s="254">
        <f>BM285*BN285*CHslave+BM285*INslave*BO285+KLslave_KL*BN285*BO285</f>
        <v>3408</v>
      </c>
      <c r="BY285" s="224">
        <f t="shared" si="1827"/>
        <v>1584</v>
      </c>
      <c r="BZ285" s="224">
        <f t="shared" si="1828"/>
        <v>7424</v>
      </c>
      <c r="CA285" s="222">
        <f t="shared" si="1829"/>
        <v>3.8218390804597702</v>
      </c>
      <c r="CB285" s="223">
        <f t="shared" si="1830"/>
        <v>10.711206896551724</v>
      </c>
      <c r="CC285" s="243">
        <f t="shared" si="1831"/>
        <v>7.4676724137931032</v>
      </c>
      <c r="CD285" s="243">
        <f t="shared" si="1832"/>
        <v>22.000718390804597</v>
      </c>
      <c r="CE285" s="252">
        <f t="shared" si="1833"/>
        <v>0</v>
      </c>
      <c r="CF285" s="309">
        <f t="shared" si="1834"/>
        <v>22.000718390804597</v>
      </c>
      <c r="CG285" s="218">
        <f t="shared" si="1976"/>
        <v>77.007183908045945</v>
      </c>
      <c r="CH285" s="242">
        <f t="shared" si="1976"/>
        <v>1</v>
      </c>
      <c r="CI285" s="243">
        <f t="shared" si="1836"/>
        <v>76.007183908045945</v>
      </c>
      <c r="CJ285" s="218">
        <f t="shared" si="1837"/>
        <v>0</v>
      </c>
      <c r="CL285" s="303" t="s">
        <v>394</v>
      </c>
      <c r="CM285" s="304" t="s">
        <v>87</v>
      </c>
      <c r="CN285" s="305" t="s">
        <v>133</v>
      </c>
      <c r="CO285" s="317"/>
      <c r="CP285" s="254">
        <f>Konvention_1slave-KLslave</f>
        <v>12</v>
      </c>
      <c r="CQ285" s="254">
        <f>Konvention_1slave-INslave_IN</f>
        <v>11</v>
      </c>
      <c r="CR285" s="254">
        <f t="shared" si="1962"/>
        <v>12</v>
      </c>
      <c r="CS285" s="254"/>
      <c r="CT285" s="254"/>
      <c r="CU285" s="254"/>
      <c r="CV285" s="318"/>
      <c r="CW285" s="223">
        <f t="shared" si="1838"/>
        <v>11.666666666666666</v>
      </c>
      <c r="CX285" s="223">
        <f t="shared" si="1839"/>
        <v>23.333333333333332</v>
      </c>
      <c r="CY285" s="224">
        <f t="shared" si="1840"/>
        <v>35</v>
      </c>
      <c r="CZ285" s="237">
        <f t="shared" si="1841"/>
        <v>2432</v>
      </c>
      <c r="DA285" s="254">
        <f>CP285*CQ285*CHslave+CP285*INslave_IN*CR285+KLslave*CQ285*CR285</f>
        <v>3408</v>
      </c>
      <c r="DB285" s="224">
        <f t="shared" si="1842"/>
        <v>1584</v>
      </c>
      <c r="DC285" s="224">
        <f t="shared" si="1843"/>
        <v>7424</v>
      </c>
      <c r="DD285" s="222">
        <f t="shared" si="1844"/>
        <v>3.8218390804597702</v>
      </c>
      <c r="DE285" s="223">
        <f t="shared" si="1845"/>
        <v>10.711206896551724</v>
      </c>
      <c r="DF285" s="243">
        <f t="shared" si="1846"/>
        <v>7.4676724137931032</v>
      </c>
      <c r="DG285" s="243">
        <f t="shared" si="1847"/>
        <v>22.000718390804597</v>
      </c>
      <c r="DH285" s="252">
        <f t="shared" si="1848"/>
        <v>0</v>
      </c>
      <c r="DI285" s="309">
        <f t="shared" si="1849"/>
        <v>22.000718390804597</v>
      </c>
      <c r="DJ285" s="218">
        <f t="shared" si="1977"/>
        <v>77.007183908045945</v>
      </c>
      <c r="DK285" s="242">
        <f t="shared" si="1977"/>
        <v>1</v>
      </c>
      <c r="DL285" s="243">
        <f t="shared" si="1851"/>
        <v>76.007183908045945</v>
      </c>
      <c r="DM285" s="218">
        <f t="shared" si="1852"/>
        <v>0</v>
      </c>
      <c r="DO285" s="303" t="s">
        <v>394</v>
      </c>
      <c r="DP285" s="304" t="s">
        <v>87</v>
      </c>
      <c r="DQ285" s="305" t="s">
        <v>133</v>
      </c>
      <c r="DR285" s="317"/>
      <c r="DS285" s="254">
        <f>Konvention_1slave-KLslave</f>
        <v>12</v>
      </c>
      <c r="DT285" s="254">
        <f>Konvention_1slave-INslave</f>
        <v>12</v>
      </c>
      <c r="DU285" s="254">
        <f t="shared" si="1964"/>
        <v>11</v>
      </c>
      <c r="DV285" s="254"/>
      <c r="DW285" s="254"/>
      <c r="DX285" s="254"/>
      <c r="DY285" s="318"/>
      <c r="DZ285" s="223">
        <f t="shared" si="1853"/>
        <v>11.666666666666666</v>
      </c>
      <c r="EA285" s="223">
        <f t="shared" si="1854"/>
        <v>23.333333333333332</v>
      </c>
      <c r="EB285" s="224">
        <f t="shared" si="1855"/>
        <v>35</v>
      </c>
      <c r="EC285" s="237">
        <f t="shared" si="1856"/>
        <v>2432</v>
      </c>
      <c r="ED285" s="254">
        <f>DS285*DT285*CHslave_CH+DS285*INslave*DU285+KLslave*DT285*DU285</f>
        <v>3408</v>
      </c>
      <c r="EE285" s="224">
        <f t="shared" si="1857"/>
        <v>1584</v>
      </c>
      <c r="EF285" s="224">
        <f t="shared" si="1858"/>
        <v>7424</v>
      </c>
      <c r="EG285" s="222">
        <f t="shared" si="1859"/>
        <v>3.8218390804597702</v>
      </c>
      <c r="EH285" s="223">
        <f t="shared" si="1860"/>
        <v>10.711206896551724</v>
      </c>
      <c r="EI285" s="243">
        <f t="shared" si="1861"/>
        <v>7.4676724137931032</v>
      </c>
      <c r="EJ285" s="243">
        <f t="shared" si="1862"/>
        <v>22.000718390804597</v>
      </c>
      <c r="EK285" s="252">
        <f t="shared" si="1863"/>
        <v>0</v>
      </c>
      <c r="EL285" s="309">
        <f t="shared" si="1864"/>
        <v>22.000718390804597</v>
      </c>
      <c r="EM285" s="218">
        <f t="shared" si="1978"/>
        <v>77.007183908045945</v>
      </c>
      <c r="EN285" s="242">
        <f t="shared" si="1978"/>
        <v>1</v>
      </c>
      <c r="EO285" s="243">
        <f t="shared" si="1866"/>
        <v>76.007183908045945</v>
      </c>
      <c r="EP285" s="218">
        <f t="shared" si="1867"/>
        <v>0</v>
      </c>
      <c r="ER285" s="303" t="s">
        <v>394</v>
      </c>
      <c r="ES285" s="304" t="s">
        <v>87</v>
      </c>
      <c r="ET285" s="305" t="s">
        <v>133</v>
      </c>
      <c r="EU285" s="317"/>
      <c r="EV285" s="254">
        <f>Konvention_1slave-KLslave</f>
        <v>12</v>
      </c>
      <c r="EW285" s="254">
        <f>Konvention_1slave-INslave</f>
        <v>12</v>
      </c>
      <c r="EX285" s="254">
        <f t="shared" si="1966"/>
        <v>12</v>
      </c>
      <c r="EY285" s="254"/>
      <c r="EZ285" s="254"/>
      <c r="FA285" s="254"/>
      <c r="FB285" s="318"/>
      <c r="FC285" s="223">
        <f t="shared" si="1868"/>
        <v>12</v>
      </c>
      <c r="FD285" s="223">
        <f t="shared" si="1869"/>
        <v>24</v>
      </c>
      <c r="FE285" s="224">
        <f t="shared" si="1870"/>
        <v>36</v>
      </c>
      <c r="FF285" s="237">
        <f t="shared" si="1871"/>
        <v>2304</v>
      </c>
      <c r="FG285" s="254">
        <f>EV285*EW285*CHslave+EV285*INslave*EX285+KLslave*EW285*EX285</f>
        <v>3456</v>
      </c>
      <c r="FH285" s="224">
        <f t="shared" si="1872"/>
        <v>1728</v>
      </c>
      <c r="FI285" s="224">
        <f t="shared" si="1873"/>
        <v>7488</v>
      </c>
      <c r="FJ285" s="222">
        <f t="shared" si="1874"/>
        <v>3.6923076923076925</v>
      </c>
      <c r="FK285" s="223">
        <f t="shared" si="1875"/>
        <v>11.076923076923077</v>
      </c>
      <c r="FL285" s="243">
        <f t="shared" si="1876"/>
        <v>8.3076923076923084</v>
      </c>
      <c r="FM285" s="243">
        <f t="shared" si="1877"/>
        <v>23.07692307692308</v>
      </c>
      <c r="FN285" s="252">
        <f t="shared" si="1878"/>
        <v>0</v>
      </c>
      <c r="FO285" s="309">
        <f t="shared" si="1879"/>
        <v>23.07692307692308</v>
      </c>
      <c r="FP285" s="218">
        <f t="shared" si="1979"/>
        <v>87.769230769230802</v>
      </c>
      <c r="FQ285" s="242">
        <f t="shared" si="1979"/>
        <v>1</v>
      </c>
      <c r="FR285" s="243">
        <f t="shared" si="1881"/>
        <v>86.769230769230802</v>
      </c>
      <c r="FS285" s="218">
        <f t="shared" si="1882"/>
        <v>0</v>
      </c>
      <c r="FU285" s="303" t="s">
        <v>394</v>
      </c>
      <c r="FV285" s="304" t="s">
        <v>87</v>
      </c>
      <c r="FW285" s="305" t="s">
        <v>133</v>
      </c>
      <c r="FX285" s="317"/>
      <c r="FY285" s="254">
        <f>Konvention_1slave-KLslave</f>
        <v>12</v>
      </c>
      <c r="FZ285" s="254">
        <f>Konvention_1slave-INslave</f>
        <v>12</v>
      </c>
      <c r="GA285" s="254">
        <f t="shared" si="1968"/>
        <v>12</v>
      </c>
      <c r="GB285" s="254"/>
      <c r="GC285" s="254"/>
      <c r="GD285" s="254"/>
      <c r="GE285" s="318"/>
      <c r="GF285" s="223">
        <f t="shared" si="1883"/>
        <v>12</v>
      </c>
      <c r="GG285" s="223">
        <f t="shared" si="1884"/>
        <v>24</v>
      </c>
      <c r="GH285" s="224">
        <f t="shared" si="1885"/>
        <v>36</v>
      </c>
      <c r="GI285" s="237">
        <f t="shared" si="1886"/>
        <v>2304</v>
      </c>
      <c r="GJ285" s="254">
        <f>FY285*FZ285*CHslave+FY285*INslave*GA285+KLslave*FZ285*GA285</f>
        <v>3456</v>
      </c>
      <c r="GK285" s="224">
        <f t="shared" si="1887"/>
        <v>1728</v>
      </c>
      <c r="GL285" s="224">
        <f t="shared" si="1888"/>
        <v>7488</v>
      </c>
      <c r="GM285" s="222">
        <f t="shared" si="1889"/>
        <v>3.6923076923076925</v>
      </c>
      <c r="GN285" s="223">
        <f t="shared" si="1890"/>
        <v>11.076923076923077</v>
      </c>
      <c r="GO285" s="243">
        <f t="shared" si="1891"/>
        <v>8.3076923076923084</v>
      </c>
      <c r="GP285" s="243">
        <f t="shared" si="1892"/>
        <v>23.07692307692308</v>
      </c>
      <c r="GQ285" s="252">
        <f t="shared" si="1893"/>
        <v>0</v>
      </c>
      <c r="GR285" s="309">
        <f t="shared" si="1894"/>
        <v>23.07692307692308</v>
      </c>
      <c r="GS285" s="218">
        <f t="shared" si="1980"/>
        <v>87.769230769230802</v>
      </c>
      <c r="GT285" s="242">
        <f t="shared" si="1980"/>
        <v>1</v>
      </c>
      <c r="GU285" s="243">
        <f t="shared" si="1896"/>
        <v>86.769230769230802</v>
      </c>
      <c r="GV285" s="218">
        <f t="shared" si="1897"/>
        <v>0</v>
      </c>
      <c r="GX285" s="303" t="s">
        <v>394</v>
      </c>
      <c r="GY285" s="304" t="s">
        <v>87</v>
      </c>
      <c r="GZ285" s="305" t="s">
        <v>133</v>
      </c>
      <c r="HA285" s="317"/>
      <c r="HB285" s="254">
        <f>Konvention_1slave-KLslave</f>
        <v>12</v>
      </c>
      <c r="HC285" s="254">
        <f>Konvention_1slave-INslave</f>
        <v>12</v>
      </c>
      <c r="HD285" s="254">
        <f t="shared" si="1970"/>
        <v>12</v>
      </c>
      <c r="HE285" s="254"/>
      <c r="HF285" s="254"/>
      <c r="HG285" s="254"/>
      <c r="HH285" s="318"/>
      <c r="HI285" s="223">
        <f t="shared" si="1898"/>
        <v>12</v>
      </c>
      <c r="HJ285" s="223">
        <f t="shared" si="1899"/>
        <v>24</v>
      </c>
      <c r="HK285" s="224">
        <f t="shared" si="1900"/>
        <v>36</v>
      </c>
      <c r="HL285" s="237">
        <f t="shared" si="1901"/>
        <v>2304</v>
      </c>
      <c r="HM285" s="254">
        <f>HB285*HC285*CHslave+HB285*INslave*HD285+KLslave*HC285*HD285</f>
        <v>3456</v>
      </c>
      <c r="HN285" s="224">
        <f t="shared" si="1902"/>
        <v>1728</v>
      </c>
      <c r="HO285" s="224">
        <f t="shared" si="1903"/>
        <v>7488</v>
      </c>
      <c r="HP285" s="222">
        <f t="shared" si="1904"/>
        <v>3.6923076923076925</v>
      </c>
      <c r="HQ285" s="223">
        <f t="shared" si="1905"/>
        <v>11.076923076923077</v>
      </c>
      <c r="HR285" s="243">
        <f t="shared" si="1906"/>
        <v>8.3076923076923084</v>
      </c>
      <c r="HS285" s="243">
        <f t="shared" si="1907"/>
        <v>23.07692307692308</v>
      </c>
      <c r="HT285" s="252">
        <f t="shared" si="1908"/>
        <v>0</v>
      </c>
      <c r="HU285" s="309">
        <f t="shared" si="1909"/>
        <v>23.07692307692308</v>
      </c>
      <c r="HV285" s="218">
        <f t="shared" si="1981"/>
        <v>87.769230769230802</v>
      </c>
      <c r="HW285" s="242">
        <f t="shared" si="1981"/>
        <v>1</v>
      </c>
      <c r="HX285" s="243">
        <f t="shared" si="1911"/>
        <v>86.769230769230802</v>
      </c>
      <c r="HY285" s="218">
        <f t="shared" si="1912"/>
        <v>0</v>
      </c>
      <c r="IA285" s="303" t="s">
        <v>394</v>
      </c>
      <c r="IB285" s="304" t="s">
        <v>87</v>
      </c>
      <c r="IC285" s="305" t="s">
        <v>133</v>
      </c>
      <c r="ID285" s="317"/>
      <c r="IE285" s="254">
        <f>Konvention_1slave-KLslave</f>
        <v>12</v>
      </c>
      <c r="IF285" s="254">
        <f>Konvention_1slave-INslave</f>
        <v>12</v>
      </c>
      <c r="IG285" s="254">
        <f t="shared" si="1972"/>
        <v>12</v>
      </c>
      <c r="IH285" s="254"/>
      <c r="II285" s="254"/>
      <c r="IJ285" s="254"/>
      <c r="IK285" s="318"/>
      <c r="IL285" s="223">
        <f t="shared" si="1913"/>
        <v>12</v>
      </c>
      <c r="IM285" s="223">
        <f t="shared" si="1914"/>
        <v>24</v>
      </c>
      <c r="IN285" s="224">
        <f t="shared" si="1915"/>
        <v>36</v>
      </c>
      <c r="IO285" s="237">
        <f t="shared" si="1916"/>
        <v>2304</v>
      </c>
      <c r="IP285" s="254">
        <f>IE285*IF285*CHslave+IE285*INslave*IG285+KLslave*IF285*IG285</f>
        <v>3456</v>
      </c>
      <c r="IQ285" s="224">
        <f t="shared" si="1917"/>
        <v>1728</v>
      </c>
      <c r="IR285" s="224">
        <f t="shared" si="1918"/>
        <v>7488</v>
      </c>
      <c r="IS285" s="222">
        <f t="shared" si="1919"/>
        <v>3.6923076923076925</v>
      </c>
      <c r="IT285" s="223">
        <f t="shared" si="1920"/>
        <v>11.076923076923077</v>
      </c>
      <c r="IU285" s="243">
        <f t="shared" si="1921"/>
        <v>8.3076923076923084</v>
      </c>
      <c r="IV285" s="243">
        <f t="shared" si="1922"/>
        <v>23.07692307692308</v>
      </c>
      <c r="IW285" s="252">
        <f t="shared" si="1923"/>
        <v>0</v>
      </c>
      <c r="IX285" s="309">
        <f t="shared" si="1924"/>
        <v>23.07692307692308</v>
      </c>
      <c r="IY285" s="218">
        <f t="shared" si="1982"/>
        <v>87.769230769230802</v>
      </c>
      <c r="IZ285" s="242">
        <f t="shared" si="1982"/>
        <v>1</v>
      </c>
      <c r="JA285" s="243">
        <f t="shared" si="1926"/>
        <v>86.769230769230802</v>
      </c>
      <c r="JB285" s="218">
        <f t="shared" si="1927"/>
        <v>0</v>
      </c>
      <c r="JE285" s="148"/>
    </row>
    <row r="286" spans="2:265" hidden="1" outlineLevel="2">
      <c r="B286" s="148">
        <v>26</v>
      </c>
      <c r="C286" s="303" t="e">
        <f>VLOOKUP(AF286,Attribute!C:T,1,FALSE)</f>
        <v>#N/A</v>
      </c>
      <c r="D286" s="86" t="s">
        <v>94</v>
      </c>
      <c r="E286" s="167" t="s">
        <v>133</v>
      </c>
      <c r="F286" s="120"/>
      <c r="G286" s="117">
        <f>Konvention_1master-KLmaster</f>
        <v>12</v>
      </c>
      <c r="H286" s="117">
        <f>Konvention_1master-INmaster</f>
        <v>12</v>
      </c>
      <c r="I286" s="117"/>
      <c r="J286" s="117"/>
      <c r="K286" s="117"/>
      <c r="L286" s="117"/>
      <c r="M286" s="121"/>
      <c r="N286" s="223">
        <f>(G286+G286+H286)/3</f>
        <v>12</v>
      </c>
      <c r="O286" s="223">
        <f t="shared" si="1795"/>
        <v>24</v>
      </c>
      <c r="P286" s="224">
        <f t="shared" si="1796"/>
        <v>36</v>
      </c>
      <c r="Q286" s="237">
        <f>G286*POWER(INmaster,SIGN(H286))*POWER(KLmaster,SIGN(G286))+G286*POWER(INmaster,SIGN(H286))*POWER(KLmaster,SIGN(G286))+H286*POWER(KLmaster,SIGN(G286))*POWER(KLmaster,SIGN(G286))</f>
        <v>2304</v>
      </c>
      <c r="R286" s="117">
        <f>G286*G286*INmaster+G286*KLmaster*H286+KLmaster*G286*H286</f>
        <v>3456</v>
      </c>
      <c r="S286" s="224">
        <f>G286*G286*H286</f>
        <v>1728</v>
      </c>
      <c r="T286" s="224">
        <f t="shared" si="1799"/>
        <v>7488</v>
      </c>
      <c r="U286" s="222">
        <f t="shared" si="1800"/>
        <v>3.6923076923076925</v>
      </c>
      <c r="V286" s="223">
        <f t="shared" si="1801"/>
        <v>11.076923076923077</v>
      </c>
      <c r="W286" s="243">
        <f t="shared" si="1802"/>
        <v>8.3076923076923084</v>
      </c>
      <c r="X286" s="243">
        <f t="shared" si="1803"/>
        <v>23.07692307692308</v>
      </c>
      <c r="Y286" s="252">
        <v>0</v>
      </c>
      <c r="Z286" s="198">
        <f t="shared" si="1804"/>
        <v>23.07692307692308</v>
      </c>
      <c r="AA286" s="125">
        <f t="shared" si="1974"/>
        <v>87.769230769230802</v>
      </c>
      <c r="AB286" s="160">
        <f t="shared" si="1974"/>
        <v>1</v>
      </c>
      <c r="AC286" s="127">
        <f t="shared" si="1806"/>
        <v>86.769230769230802</v>
      </c>
      <c r="AD286" s="125">
        <f t="shared" si="1807"/>
        <v>0</v>
      </c>
      <c r="AF286" s="163" t="s">
        <v>289</v>
      </c>
      <c r="AG286" s="86" t="s">
        <v>94</v>
      </c>
      <c r="AH286" s="167" t="s">
        <v>133</v>
      </c>
      <c r="AI286" s="120"/>
      <c r="AJ286" s="117">
        <f>Konvention_1slave-KLslave</f>
        <v>12</v>
      </c>
      <c r="AK286" s="117">
        <f>Konvention_1slave-INslave</f>
        <v>12</v>
      </c>
      <c r="AL286" s="117"/>
      <c r="AM286" s="117"/>
      <c r="AN286" s="117"/>
      <c r="AO286" s="117"/>
      <c r="AP286" s="121"/>
      <c r="AQ286" s="47">
        <f>(AJ286+AJ286+AK286)/3</f>
        <v>12</v>
      </c>
      <c r="AR286" s="3">
        <f t="shared" si="1809"/>
        <v>24</v>
      </c>
      <c r="AS286" s="174">
        <f t="shared" si="1810"/>
        <v>36</v>
      </c>
      <c r="AT286" s="114">
        <f>AJ286*POWER(INslave,SIGN(AK286))*POWER(KLslave,SIGN(AJ286))+AJ286*POWER(INslave,SIGN(AK286))*POWER(KLslave,SIGN(AJ286))+AK286*POWER(KLslave,SIGN(AJ286))*POWER(KLslave,SIGN(AJ286))</f>
        <v>2304</v>
      </c>
      <c r="AU286" s="117">
        <f>AJ286*AJ286*INslave+AJ286*KLslave*AK286+KLslave*AJ286*AK286</f>
        <v>3456</v>
      </c>
      <c r="AV286" s="119">
        <f>AJ286*AJ286*AK286</f>
        <v>1728</v>
      </c>
      <c r="AW286" s="119">
        <f t="shared" si="1813"/>
        <v>7488</v>
      </c>
      <c r="AX286" s="89">
        <f t="shared" si="1814"/>
        <v>3.6923076923076925</v>
      </c>
      <c r="AY286" s="47">
        <f t="shared" si="1815"/>
        <v>11.076923076923077</v>
      </c>
      <c r="AZ286" s="127">
        <f t="shared" si="1816"/>
        <v>8.3076923076923084</v>
      </c>
      <c r="BA286" s="127">
        <f t="shared" si="1817"/>
        <v>23.07692307692308</v>
      </c>
      <c r="BB286" s="165">
        <f t="shared" si="1818"/>
        <v>0</v>
      </c>
      <c r="BC286" s="198">
        <f t="shared" si="1819"/>
        <v>23.07692307692308</v>
      </c>
      <c r="BD286" s="125">
        <f t="shared" si="1975"/>
        <v>87.769230769230802</v>
      </c>
      <c r="BE286" s="160">
        <f t="shared" si="1975"/>
        <v>1</v>
      </c>
      <c r="BF286" s="243">
        <f t="shared" si="1821"/>
        <v>86.769230769230802</v>
      </c>
      <c r="BG286" s="218">
        <f t="shared" si="1822"/>
        <v>0</v>
      </c>
      <c r="BI286" s="303" t="s">
        <v>289</v>
      </c>
      <c r="BJ286" s="304" t="s">
        <v>94</v>
      </c>
      <c r="BK286" s="305" t="s">
        <v>133</v>
      </c>
      <c r="BL286" s="317"/>
      <c r="BM286" s="254">
        <f>Konvention_1slave-KLslave_KL</f>
        <v>11</v>
      </c>
      <c r="BN286" s="254">
        <f>Konvention_1slave-INslave</f>
        <v>12</v>
      </c>
      <c r="BO286" s="254"/>
      <c r="BP286" s="254"/>
      <c r="BQ286" s="254"/>
      <c r="BR286" s="254"/>
      <c r="BS286" s="318"/>
      <c r="BT286" s="223">
        <f>(BM286+BM286+BN286)/3</f>
        <v>11.333333333333334</v>
      </c>
      <c r="BU286" s="223">
        <f t="shared" si="1824"/>
        <v>22.666666666666668</v>
      </c>
      <c r="BV286" s="224">
        <f t="shared" si="1825"/>
        <v>34</v>
      </c>
      <c r="BW286" s="237">
        <f>BM286*POWER(INslave,SIGN(BN286))*POWER(KLslave_KL,SIGN(BM286))+BM286*POWER(INslave,SIGN(BN286))*POWER(KLslave_KL,SIGN(BM286))+BN286*POWER(KLslave_KL,SIGN(BM286))*POWER(KLslave_KL,SIGN(BM286))</f>
        <v>2556</v>
      </c>
      <c r="BX286" s="254">
        <f>BM286*BM286*INslave+BM286*KLslave_KL*BN286+KLslave_KL*BM286*BN286</f>
        <v>3344</v>
      </c>
      <c r="BY286" s="224">
        <f>BM286*BM286*BN286</f>
        <v>1452</v>
      </c>
      <c r="BZ286" s="224">
        <f t="shared" si="1828"/>
        <v>7352</v>
      </c>
      <c r="CA286" s="222">
        <f t="shared" si="1829"/>
        <v>3.940152339499456</v>
      </c>
      <c r="CB286" s="223">
        <f t="shared" si="1830"/>
        <v>10.309756982227059</v>
      </c>
      <c r="CC286" s="243">
        <f t="shared" si="1831"/>
        <v>6.714907508161045</v>
      </c>
      <c r="CD286" s="243">
        <f t="shared" si="1832"/>
        <v>20.96481682988756</v>
      </c>
      <c r="CE286" s="252">
        <f t="shared" si="1833"/>
        <v>0</v>
      </c>
      <c r="CF286" s="309">
        <f t="shared" si="1834"/>
        <v>20.96481682988756</v>
      </c>
      <c r="CG286" s="218">
        <f t="shared" si="1976"/>
        <v>66.648168298875589</v>
      </c>
      <c r="CH286" s="242">
        <f t="shared" si="1976"/>
        <v>1</v>
      </c>
      <c r="CI286" s="243">
        <f t="shared" si="1836"/>
        <v>65.648168298875589</v>
      </c>
      <c r="CJ286" s="218">
        <f t="shared" si="1837"/>
        <v>0</v>
      </c>
      <c r="CL286" s="303" t="s">
        <v>289</v>
      </c>
      <c r="CM286" s="304" t="s">
        <v>94</v>
      </c>
      <c r="CN286" s="305" t="s">
        <v>133</v>
      </c>
      <c r="CO286" s="317"/>
      <c r="CP286" s="254">
        <f>Konvention_1slave-KLslave</f>
        <v>12</v>
      </c>
      <c r="CQ286" s="254">
        <f>Konvention_1slave-INslave_IN</f>
        <v>11</v>
      </c>
      <c r="CR286" s="254"/>
      <c r="CS286" s="254"/>
      <c r="CT286" s="254"/>
      <c r="CU286" s="254"/>
      <c r="CV286" s="318"/>
      <c r="CW286" s="223">
        <f>(CP286+CP286+CQ286)/3</f>
        <v>11.666666666666666</v>
      </c>
      <c r="CX286" s="223">
        <f t="shared" si="1839"/>
        <v>23.333333333333332</v>
      </c>
      <c r="CY286" s="224">
        <f t="shared" si="1840"/>
        <v>35</v>
      </c>
      <c r="CZ286" s="237">
        <f>CP286*POWER(INslave_IN,SIGN(CQ286))*POWER(KLslave,SIGN(CP286))+CP286*POWER(INslave_IN,SIGN(CQ286))*POWER(KLslave,SIGN(CP286))+CQ286*POWER(KLslave,SIGN(CP286))*POWER(KLslave,SIGN(CP286))</f>
        <v>2432</v>
      </c>
      <c r="DA286" s="254">
        <f>CP286*CP286*INslave_IN+CP286*KLslave*CQ286+KLslave*CP286*CQ286</f>
        <v>3408</v>
      </c>
      <c r="DB286" s="224">
        <f>CP286*CP286*CQ286</f>
        <v>1584</v>
      </c>
      <c r="DC286" s="224">
        <f t="shared" si="1843"/>
        <v>7424</v>
      </c>
      <c r="DD286" s="222">
        <f t="shared" si="1844"/>
        <v>3.8218390804597702</v>
      </c>
      <c r="DE286" s="223">
        <f t="shared" si="1845"/>
        <v>10.711206896551724</v>
      </c>
      <c r="DF286" s="243">
        <f t="shared" si="1846"/>
        <v>7.4676724137931032</v>
      </c>
      <c r="DG286" s="243">
        <f t="shared" si="1847"/>
        <v>22.000718390804597</v>
      </c>
      <c r="DH286" s="252">
        <f t="shared" si="1848"/>
        <v>0</v>
      </c>
      <c r="DI286" s="309">
        <f t="shared" si="1849"/>
        <v>22.000718390804597</v>
      </c>
      <c r="DJ286" s="218">
        <f t="shared" si="1977"/>
        <v>77.007183908045945</v>
      </c>
      <c r="DK286" s="242">
        <f t="shared" si="1977"/>
        <v>1</v>
      </c>
      <c r="DL286" s="243">
        <f t="shared" si="1851"/>
        <v>76.007183908045945</v>
      </c>
      <c r="DM286" s="218">
        <f t="shared" si="1852"/>
        <v>0</v>
      </c>
      <c r="DO286" s="303" t="s">
        <v>289</v>
      </c>
      <c r="DP286" s="304" t="s">
        <v>94</v>
      </c>
      <c r="DQ286" s="305" t="s">
        <v>133</v>
      </c>
      <c r="DR286" s="317"/>
      <c r="DS286" s="254">
        <f>Konvention_1slave-KLslave</f>
        <v>12</v>
      </c>
      <c r="DT286" s="254">
        <f>Konvention_1slave-INslave</f>
        <v>12</v>
      </c>
      <c r="DU286" s="254"/>
      <c r="DV286" s="254"/>
      <c r="DW286" s="254"/>
      <c r="DX286" s="254"/>
      <c r="DY286" s="318"/>
      <c r="DZ286" s="223">
        <f>(DS286+DS286+DT286)/3</f>
        <v>12</v>
      </c>
      <c r="EA286" s="223">
        <f t="shared" si="1854"/>
        <v>24</v>
      </c>
      <c r="EB286" s="224">
        <f t="shared" si="1855"/>
        <v>36</v>
      </c>
      <c r="EC286" s="237">
        <f>DS286*POWER(INslave,SIGN(DT286))*POWER(KLslave,SIGN(DS286))+DS286*POWER(INslave,SIGN(DT286))*POWER(KLslave,SIGN(DS286))+DT286*POWER(KLslave,SIGN(DS286))*POWER(KLslave,SIGN(DS286))</f>
        <v>2304</v>
      </c>
      <c r="ED286" s="254">
        <f>DS286*DS286*INslave+DS286*KLslave*DT286+KLslave*DS286*DT286</f>
        <v>3456</v>
      </c>
      <c r="EE286" s="224">
        <f>DS286*DS286*DT286</f>
        <v>1728</v>
      </c>
      <c r="EF286" s="224">
        <f t="shared" si="1858"/>
        <v>7488</v>
      </c>
      <c r="EG286" s="222">
        <f t="shared" si="1859"/>
        <v>3.6923076923076925</v>
      </c>
      <c r="EH286" s="223">
        <f t="shared" si="1860"/>
        <v>11.076923076923077</v>
      </c>
      <c r="EI286" s="243">
        <f t="shared" si="1861"/>
        <v>8.3076923076923084</v>
      </c>
      <c r="EJ286" s="243">
        <f t="shared" si="1862"/>
        <v>23.07692307692308</v>
      </c>
      <c r="EK286" s="252">
        <f t="shared" si="1863"/>
        <v>0</v>
      </c>
      <c r="EL286" s="309">
        <f t="shared" si="1864"/>
        <v>23.07692307692308</v>
      </c>
      <c r="EM286" s="218">
        <f t="shared" si="1978"/>
        <v>87.769230769230802</v>
      </c>
      <c r="EN286" s="242">
        <f t="shared" si="1978"/>
        <v>1</v>
      </c>
      <c r="EO286" s="243">
        <f t="shared" si="1866"/>
        <v>86.769230769230802</v>
      </c>
      <c r="EP286" s="218">
        <f t="shared" si="1867"/>
        <v>0</v>
      </c>
      <c r="ER286" s="303" t="s">
        <v>289</v>
      </c>
      <c r="ES286" s="304" t="s">
        <v>94</v>
      </c>
      <c r="ET286" s="305" t="s">
        <v>133</v>
      </c>
      <c r="EU286" s="317"/>
      <c r="EV286" s="254">
        <f>Konvention_1slave-KLslave</f>
        <v>12</v>
      </c>
      <c r="EW286" s="254">
        <f>Konvention_1slave-INslave</f>
        <v>12</v>
      </c>
      <c r="EX286" s="254"/>
      <c r="EY286" s="254"/>
      <c r="EZ286" s="254"/>
      <c r="FA286" s="254"/>
      <c r="FB286" s="318"/>
      <c r="FC286" s="223">
        <f>(EV286+EV286+EW286)/3</f>
        <v>12</v>
      </c>
      <c r="FD286" s="223">
        <f t="shared" si="1869"/>
        <v>24</v>
      </c>
      <c r="FE286" s="224">
        <f t="shared" si="1870"/>
        <v>36</v>
      </c>
      <c r="FF286" s="237">
        <f>EV286*POWER(INslave,SIGN(EW286))*POWER(KLslave,SIGN(EV286))+EV286*POWER(INslave,SIGN(EW286))*POWER(KLslave,SIGN(EV286))+EW286*POWER(KLslave,SIGN(EV286))*POWER(KLslave,SIGN(EV286))</f>
        <v>2304</v>
      </c>
      <c r="FG286" s="254">
        <f>EV286*EV286*INslave+EV286*KLslave*EW286+KLslave*EV286*EW286</f>
        <v>3456</v>
      </c>
      <c r="FH286" s="224">
        <f>EV286*EV286*EW286</f>
        <v>1728</v>
      </c>
      <c r="FI286" s="224">
        <f t="shared" si="1873"/>
        <v>7488</v>
      </c>
      <c r="FJ286" s="222">
        <f t="shared" si="1874"/>
        <v>3.6923076923076925</v>
      </c>
      <c r="FK286" s="223">
        <f t="shared" si="1875"/>
        <v>11.076923076923077</v>
      </c>
      <c r="FL286" s="243">
        <f t="shared" si="1876"/>
        <v>8.3076923076923084</v>
      </c>
      <c r="FM286" s="243">
        <f t="shared" si="1877"/>
        <v>23.07692307692308</v>
      </c>
      <c r="FN286" s="252">
        <f t="shared" si="1878"/>
        <v>0</v>
      </c>
      <c r="FO286" s="309">
        <f t="shared" si="1879"/>
        <v>23.07692307692308</v>
      </c>
      <c r="FP286" s="218">
        <f t="shared" si="1979"/>
        <v>87.769230769230802</v>
      </c>
      <c r="FQ286" s="242">
        <f t="shared" si="1979"/>
        <v>1</v>
      </c>
      <c r="FR286" s="243">
        <f t="shared" si="1881"/>
        <v>86.769230769230802</v>
      </c>
      <c r="FS286" s="218">
        <f t="shared" si="1882"/>
        <v>0</v>
      </c>
      <c r="FU286" s="303" t="s">
        <v>289</v>
      </c>
      <c r="FV286" s="304" t="s">
        <v>94</v>
      </c>
      <c r="FW286" s="305" t="s">
        <v>133</v>
      </c>
      <c r="FX286" s="317"/>
      <c r="FY286" s="254">
        <f>Konvention_1slave-KLslave</f>
        <v>12</v>
      </c>
      <c r="FZ286" s="254">
        <f>Konvention_1slave-INslave</f>
        <v>12</v>
      </c>
      <c r="GA286" s="254"/>
      <c r="GB286" s="254"/>
      <c r="GC286" s="254"/>
      <c r="GD286" s="254"/>
      <c r="GE286" s="318"/>
      <c r="GF286" s="223">
        <f>(FY286+FY286+FZ286)/3</f>
        <v>12</v>
      </c>
      <c r="GG286" s="223">
        <f t="shared" si="1884"/>
        <v>24</v>
      </c>
      <c r="GH286" s="224">
        <f t="shared" si="1885"/>
        <v>36</v>
      </c>
      <c r="GI286" s="237">
        <f>FY286*POWER(INslave,SIGN(FZ286))*POWER(KLslave,SIGN(FY286))+FY286*POWER(INslave,SIGN(FZ286))*POWER(KLslave,SIGN(FY286))+FZ286*POWER(KLslave,SIGN(FY286))*POWER(KLslave,SIGN(FY286))</f>
        <v>2304</v>
      </c>
      <c r="GJ286" s="254">
        <f>FY286*FY286*INslave+FY286*KLslave*FZ286+KLslave*FY286*FZ286</f>
        <v>3456</v>
      </c>
      <c r="GK286" s="224">
        <f>FY286*FY286*FZ286</f>
        <v>1728</v>
      </c>
      <c r="GL286" s="224">
        <f t="shared" si="1888"/>
        <v>7488</v>
      </c>
      <c r="GM286" s="222">
        <f t="shared" si="1889"/>
        <v>3.6923076923076925</v>
      </c>
      <c r="GN286" s="223">
        <f t="shared" si="1890"/>
        <v>11.076923076923077</v>
      </c>
      <c r="GO286" s="243">
        <f t="shared" si="1891"/>
        <v>8.3076923076923084</v>
      </c>
      <c r="GP286" s="243">
        <f t="shared" si="1892"/>
        <v>23.07692307692308</v>
      </c>
      <c r="GQ286" s="252">
        <f t="shared" si="1893"/>
        <v>0</v>
      </c>
      <c r="GR286" s="309">
        <f t="shared" si="1894"/>
        <v>23.07692307692308</v>
      </c>
      <c r="GS286" s="218">
        <f t="shared" si="1980"/>
        <v>87.769230769230802</v>
      </c>
      <c r="GT286" s="242">
        <f t="shared" si="1980"/>
        <v>1</v>
      </c>
      <c r="GU286" s="243">
        <f t="shared" si="1896"/>
        <v>86.769230769230802</v>
      </c>
      <c r="GV286" s="218">
        <f t="shared" si="1897"/>
        <v>0</v>
      </c>
      <c r="GX286" s="303" t="s">
        <v>289</v>
      </c>
      <c r="GY286" s="304" t="s">
        <v>94</v>
      </c>
      <c r="GZ286" s="305" t="s">
        <v>133</v>
      </c>
      <c r="HA286" s="317"/>
      <c r="HB286" s="254">
        <f>Konvention_1slave-KLslave</f>
        <v>12</v>
      </c>
      <c r="HC286" s="254">
        <f>Konvention_1slave-INslave</f>
        <v>12</v>
      </c>
      <c r="HD286" s="254"/>
      <c r="HE286" s="254"/>
      <c r="HF286" s="254"/>
      <c r="HG286" s="254"/>
      <c r="HH286" s="318"/>
      <c r="HI286" s="223">
        <f>(HB286+HB286+HC286)/3</f>
        <v>12</v>
      </c>
      <c r="HJ286" s="223">
        <f t="shared" si="1899"/>
        <v>24</v>
      </c>
      <c r="HK286" s="224">
        <f t="shared" si="1900"/>
        <v>36</v>
      </c>
      <c r="HL286" s="237">
        <f>HB286*POWER(INslave,SIGN(HC286))*POWER(KLslave,SIGN(HB286))+HB286*POWER(INslave,SIGN(HC286))*POWER(KLslave,SIGN(HB286))+HC286*POWER(KLslave,SIGN(HB286))*POWER(KLslave,SIGN(HB286))</f>
        <v>2304</v>
      </c>
      <c r="HM286" s="254">
        <f>HB286*HB286*INslave+HB286*KLslave*HC286+KLslave*HB286*HC286</f>
        <v>3456</v>
      </c>
      <c r="HN286" s="224">
        <f>HB286*HB286*HC286</f>
        <v>1728</v>
      </c>
      <c r="HO286" s="224">
        <f t="shared" si="1903"/>
        <v>7488</v>
      </c>
      <c r="HP286" s="222">
        <f t="shared" si="1904"/>
        <v>3.6923076923076925</v>
      </c>
      <c r="HQ286" s="223">
        <f t="shared" si="1905"/>
        <v>11.076923076923077</v>
      </c>
      <c r="HR286" s="243">
        <f t="shared" si="1906"/>
        <v>8.3076923076923084</v>
      </c>
      <c r="HS286" s="243">
        <f t="shared" si="1907"/>
        <v>23.07692307692308</v>
      </c>
      <c r="HT286" s="252">
        <f t="shared" si="1908"/>
        <v>0</v>
      </c>
      <c r="HU286" s="309">
        <f t="shared" si="1909"/>
        <v>23.07692307692308</v>
      </c>
      <c r="HV286" s="218">
        <f t="shared" si="1981"/>
        <v>87.769230769230802</v>
      </c>
      <c r="HW286" s="242">
        <f t="shared" si="1981"/>
        <v>1</v>
      </c>
      <c r="HX286" s="243">
        <f t="shared" si="1911"/>
        <v>86.769230769230802</v>
      </c>
      <c r="HY286" s="218">
        <f t="shared" si="1912"/>
        <v>0</v>
      </c>
      <c r="IA286" s="303" t="s">
        <v>289</v>
      </c>
      <c r="IB286" s="304" t="s">
        <v>94</v>
      </c>
      <c r="IC286" s="305" t="s">
        <v>133</v>
      </c>
      <c r="ID286" s="317"/>
      <c r="IE286" s="254">
        <f>Konvention_1slave-KLslave</f>
        <v>12</v>
      </c>
      <c r="IF286" s="254">
        <f>Konvention_1slave-INslave</f>
        <v>12</v>
      </c>
      <c r="IG286" s="254"/>
      <c r="IH286" s="254"/>
      <c r="II286" s="254"/>
      <c r="IJ286" s="254"/>
      <c r="IK286" s="318"/>
      <c r="IL286" s="223">
        <f>(IE286+IE286+IF286)/3</f>
        <v>12</v>
      </c>
      <c r="IM286" s="223">
        <f t="shared" si="1914"/>
        <v>24</v>
      </c>
      <c r="IN286" s="224">
        <f t="shared" si="1915"/>
        <v>36</v>
      </c>
      <c r="IO286" s="237">
        <f>IE286*POWER(INslave,SIGN(IF286))*POWER(KLslave,SIGN(IE286))+IE286*POWER(INslave,SIGN(IF286))*POWER(KLslave,SIGN(IE286))+IF286*POWER(KLslave,SIGN(IE286))*POWER(KLslave,SIGN(IE286))</f>
        <v>2304</v>
      </c>
      <c r="IP286" s="254">
        <f>IE286*IE286*INslave+IE286*KLslave*IF286+KLslave*IE286*IF286</f>
        <v>3456</v>
      </c>
      <c r="IQ286" s="224">
        <f>IE286*IE286*IF286</f>
        <v>1728</v>
      </c>
      <c r="IR286" s="224">
        <f t="shared" si="1918"/>
        <v>7488</v>
      </c>
      <c r="IS286" s="222">
        <f t="shared" si="1919"/>
        <v>3.6923076923076925</v>
      </c>
      <c r="IT286" s="223">
        <f t="shared" si="1920"/>
        <v>11.076923076923077</v>
      </c>
      <c r="IU286" s="243">
        <f t="shared" si="1921"/>
        <v>8.3076923076923084</v>
      </c>
      <c r="IV286" s="243">
        <f t="shared" si="1922"/>
        <v>23.07692307692308</v>
      </c>
      <c r="IW286" s="252">
        <f t="shared" si="1923"/>
        <v>0</v>
      </c>
      <c r="IX286" s="309">
        <f t="shared" si="1924"/>
        <v>23.07692307692308</v>
      </c>
      <c r="IY286" s="218">
        <f t="shared" si="1982"/>
        <v>87.769230769230802</v>
      </c>
      <c r="IZ286" s="242">
        <f t="shared" si="1982"/>
        <v>1</v>
      </c>
      <c r="JA286" s="243">
        <f t="shared" si="1926"/>
        <v>86.769230769230802</v>
      </c>
      <c r="JB286" s="218">
        <f t="shared" si="1927"/>
        <v>0</v>
      </c>
      <c r="JE286" s="148"/>
    </row>
    <row r="287" spans="2:265" ht="15" hidden="1" customHeight="1" outlineLevel="2">
      <c r="B287" s="148">
        <v>27</v>
      </c>
      <c r="C287" s="303" t="e">
        <f>VLOOKUP(AF287,Attribute!C:T,1,FALSE)</f>
        <v>#N/A</v>
      </c>
      <c r="D287" s="86" t="s">
        <v>440</v>
      </c>
      <c r="E287" s="167" t="s">
        <v>133</v>
      </c>
      <c r="F287" s="120"/>
      <c r="G287" s="117">
        <f>Konvention_1master-KLmaster</f>
        <v>12</v>
      </c>
      <c r="H287" s="117"/>
      <c r="I287" s="117">
        <f>Konvention_1master-CHmaster</f>
        <v>12</v>
      </c>
      <c r="J287" s="117">
        <f>Konvention_1master-FFmaster</f>
        <v>12</v>
      </c>
      <c r="K287" s="117"/>
      <c r="L287" s="117"/>
      <c r="M287" s="121"/>
      <c r="N287" s="223">
        <f t="shared" ref="N287:N296" si="1983">(F287+G287+H287+I287+J287+K287+L287+M287)/3</f>
        <v>12</v>
      </c>
      <c r="O287" s="223">
        <f t="shared" si="1795"/>
        <v>24</v>
      </c>
      <c r="P287" s="224">
        <f t="shared" si="1796"/>
        <v>36</v>
      </c>
      <c r="Q287" s="237">
        <f t="shared" ref="Q287:Q296" si="1984">F287*POWER(KLmaster,SIGN(G287))*POWER(INmaster,SIGN(H287))*POWER(CHmaster,SIGN(I287))*POWER(FFmaster,SIGN(J287))*POWER(GEmaster,SIGN(K287))*POWER(KOmaster,SIGN(L287))*POWER(KKmaster,SIGN(M287))+G287*POWER(MUmaster,SIGN(F287))*POWER(INmaster,SIGN(H287))*POWER(CHmaster,SIGN(I287))*POWER(FFmaster,SIGN(J287))*POWER(GEmaster,SIGN(K287))*POWER(KOmaster,SIGN(L287))*POWER(KKmaster,SIGN(M287))+H287*POWER(MUmaster,SIGN(F287))*POWER(KLmaster,SIGN(G287))*POWER(CHmaster,SIGN(I287))*POWER(FFmaster,SIGN(J287))*POWER(GEmaster,SIGN(K287))*POWER(KOmaster,SIGN(L287))*POWER(KKmaster,SIGN(M287))+I287*POWER(MUmaster,SIGN(F287))*POWER(KLmaster,SIGN(G287))*POWER(INmaster,SIGN(H287))*POWER(FFmaster,SIGN(J287))*POWER(GEmaster,SIGN(K287))*POWER(KOmaster,SIGN(L287))*POWER(KKmaster,SIGN(M287))+J287*POWER(MUmaster,SIGN(F287))*POWER(KLmaster,SIGN(G287))*POWER(INmaster,SIGN(H287))*POWER(CHmaster,SIGN(I287))*POWER(GEmaster,SIGN(K287))*POWER(KOmaster,SIGN(L287))*POWER(KKmaster,SIGN(M287))+K287*POWER(MUmaster,SIGN(F287))*POWER(KLmaster,SIGN(G287))*POWER(INmaster,SIGN(H287))*POWER(CHmaster,SIGN(I287))*POWER(FFmaster,SIGN(J287))*POWER(KOmaster,SIGN(L287))*POWER(KKmaster,SIGN(M287))+L287*POWER(MUmaster,SIGN(F287))*POWER(KLmaster,SIGN(G287))*POWER(INmaster,SIGN(H287))*POWER(CHmaster,SIGN(I287))*POWER(FFmaster,SIGN(J287))*POWER(GEmaster,SIGN(K287))*POWER(KKmaster,SIGN(M287))+M287*POWER(MUmaster,SIGN(F287))*POWER(KLmaster,SIGN(G287))*POWER(INmaster,SIGN(H287))*POWER(CHmaster,SIGN(I287))*POWER(FFmaster,SIGN(J287))*POWER(GEmaster,SIGN(K287))*POWER(KOmaster,SIGN(L287))</f>
        <v>2304</v>
      </c>
      <c r="R287" s="117">
        <f>G287*I287*FFmaster+G287*CHmaster*J287+KLmaster*I287*J287</f>
        <v>3456</v>
      </c>
      <c r="S287" s="224">
        <f t="shared" ref="S287:S296" si="1985">IFERROR(F287^SIGN(F287),1)*IFERROR(G287^SIGN(G287),1)*IFERROR(H287^SIGN(H287),1)*IFERROR(I287^SIGN(I287),1)*IFERROR(J287^SIGN(J287),1)*IFERROR(K287^SIGN(K287),1)*IFERROR(L287^SIGN(L287),1)*IFERROR(M287^SIGN(M287),1)</f>
        <v>1728</v>
      </c>
      <c r="T287" s="224">
        <f t="shared" si="1799"/>
        <v>7488</v>
      </c>
      <c r="U287" s="222">
        <f t="shared" si="1800"/>
        <v>3.6923076923076925</v>
      </c>
      <c r="V287" s="223">
        <f t="shared" si="1801"/>
        <v>11.076923076923077</v>
      </c>
      <c r="W287" s="243">
        <f t="shared" si="1802"/>
        <v>8.3076923076923084</v>
      </c>
      <c r="X287" s="243">
        <f t="shared" si="1803"/>
        <v>23.07692307692308</v>
      </c>
      <c r="Y287" s="252">
        <v>0</v>
      </c>
      <c r="Z287" s="198">
        <f t="shared" si="1804"/>
        <v>23.07692307692308</v>
      </c>
      <c r="AA287" s="125">
        <f t="shared" si="1974"/>
        <v>87.769230769230802</v>
      </c>
      <c r="AB287" s="160">
        <f t="shared" si="1974"/>
        <v>1</v>
      </c>
      <c r="AC287" s="127">
        <f t="shared" si="1806"/>
        <v>86.769230769230802</v>
      </c>
      <c r="AD287" s="125">
        <f t="shared" si="1807"/>
        <v>0</v>
      </c>
      <c r="AF287" s="163" t="s">
        <v>395</v>
      </c>
      <c r="AG287" s="86" t="s">
        <v>440</v>
      </c>
      <c r="AH287" s="167" t="s">
        <v>133</v>
      </c>
      <c r="AI287" s="120"/>
      <c r="AJ287" s="117">
        <f>Konvention_1slave-KLslave</f>
        <v>12</v>
      </c>
      <c r="AK287" s="117"/>
      <c r="AL287" s="117">
        <f>Konvention_1slave-CHslave</f>
        <v>12</v>
      </c>
      <c r="AM287" s="117">
        <f>Konvention_1slave-FFslave</f>
        <v>12</v>
      </c>
      <c r="AN287" s="117"/>
      <c r="AO287" s="117"/>
      <c r="AP287" s="121"/>
      <c r="AQ287" s="47">
        <f t="shared" ref="AQ287:AQ296" si="1986">(AI287+AJ287+AK287+AL287+AM287+AN287+AO287+AP287)/3</f>
        <v>12</v>
      </c>
      <c r="AR287" s="3">
        <f t="shared" si="1809"/>
        <v>24</v>
      </c>
      <c r="AS287" s="174">
        <f t="shared" si="1810"/>
        <v>36</v>
      </c>
      <c r="AT287" s="114">
        <f t="shared" ref="AT287:AT296" si="1987">AI287*POWER(KLslave,SIGN(AJ287))*POWER(INslave,SIGN(AK287))*POWER(CHslave,SIGN(AL287))*POWER(FFslave,SIGN(AM287))*POWER(GEslave,SIGN(AN287))*POWER(KOslave,SIGN(AO287))*POWER(KKslave,SIGN(AP287))+AJ287*POWER(MUslave_MU,SIGN(AI287))*POWER(INslave,SIGN(AK287))*POWER(CHslave,SIGN(AL287))*POWER(FFslave,SIGN(AM287))*POWER(GEslave,SIGN(AN287))*POWER(KOslave,SIGN(AO287))*POWER(KKslave,SIGN(AP287))+AK287*POWER(MUslave_MU,SIGN(AI287))*POWER(KLslave,SIGN(AJ287))*POWER(CHslave,SIGN(AL287))*POWER(FFslave,SIGN(AM287))*POWER(GEslave,SIGN(AN287))*POWER(KOslave,SIGN(AO287))*POWER(KKslave,SIGN(AP287))+AL287*POWER(MUslave_MU,SIGN(AI287))*POWER(KLslave,SIGN(AJ287))*POWER(INslave,SIGN(AK287))*POWER(FFslave,SIGN(AM287))*POWER(GEslave,SIGN(AN287))*POWER(KOslave,SIGN(AO287))*POWER(KKslave,SIGN(AP287))+AM287*POWER(MUslave_MU,SIGN(AI287))*POWER(KLslave,SIGN(AJ287))*POWER(INslave,SIGN(AK287))*POWER(CHslave,SIGN(AL287))*POWER(GEslave,SIGN(AN287))*POWER(KOslave,SIGN(AO287))*POWER(KKslave,SIGN(AP287))+AN287*POWER(MUslave_MU,SIGN(AI287))*POWER(KLslave,SIGN(AJ287))*POWER(INslave,SIGN(AK287))*POWER(CHslave,SIGN(AL287))*POWER(FFslave,SIGN(AM287))*POWER(KOslave,SIGN(AO287))*POWER(KKslave,SIGN(AP287))+AO287*POWER(MUslave_MU,SIGN(AI287))*POWER(KLslave,SIGN(AJ287))*POWER(INslave,SIGN(AK287))*POWER(CHslave,SIGN(AL287))*POWER(FFslave,SIGN(AM287))*POWER(GEslave,SIGN(AN287))*POWER(KKslave,SIGN(AP287))+AP287*POWER(MUslave_MU,SIGN(AI287))*POWER(KLslave,SIGN(AJ287))*POWER(INslave,SIGN(AK287))*POWER(CHslave,SIGN(AL287))*POWER(FFslave,SIGN(AM287))*POWER(GEslave,SIGN(AN287))*POWER(KOslave,SIGN(AO287))</f>
        <v>2304</v>
      </c>
      <c r="AU287" s="117">
        <f>AJ287*AL287*FFslave+AJ287*CHslave*AM287+KLslave*AL287*AM287</f>
        <v>3456</v>
      </c>
      <c r="AV287" s="119">
        <f t="shared" ref="AV287:AV296" si="1988">IFERROR(AI287^SIGN(AI287),1)*IFERROR(AJ287^SIGN(AJ287),1)*IFERROR(AK287^SIGN(AK287),1)*IFERROR(AL287^SIGN(AL287),1)*IFERROR(AM287^SIGN(AM287),1)*IFERROR(AN287^SIGN(AN287),1)*IFERROR(AO287^SIGN(AO287),1)*IFERROR(AP287^SIGN(AP287),1)</f>
        <v>1728</v>
      </c>
      <c r="AW287" s="119">
        <f t="shared" si="1813"/>
        <v>7488</v>
      </c>
      <c r="AX287" s="89">
        <f t="shared" si="1814"/>
        <v>3.6923076923076925</v>
      </c>
      <c r="AY287" s="47">
        <f t="shared" si="1815"/>
        <v>11.076923076923077</v>
      </c>
      <c r="AZ287" s="127">
        <f t="shared" si="1816"/>
        <v>8.3076923076923084</v>
      </c>
      <c r="BA287" s="127">
        <f t="shared" si="1817"/>
        <v>23.07692307692308</v>
      </c>
      <c r="BB287" s="165">
        <f t="shared" si="1818"/>
        <v>0</v>
      </c>
      <c r="BC287" s="198">
        <f t="shared" si="1819"/>
        <v>23.07692307692308</v>
      </c>
      <c r="BD287" s="125">
        <f t="shared" si="1975"/>
        <v>87.769230769230802</v>
      </c>
      <c r="BE287" s="160">
        <f t="shared" si="1975"/>
        <v>1</v>
      </c>
      <c r="BF287" s="243">
        <f t="shared" si="1821"/>
        <v>86.769230769230802</v>
      </c>
      <c r="BG287" s="218">
        <f t="shared" si="1822"/>
        <v>0</v>
      </c>
      <c r="BI287" s="303" t="s">
        <v>395</v>
      </c>
      <c r="BJ287" s="304" t="s">
        <v>440</v>
      </c>
      <c r="BK287" s="305" t="s">
        <v>133</v>
      </c>
      <c r="BL287" s="317"/>
      <c r="BM287" s="254">
        <f>Konvention_1slave-KLslave_KL</f>
        <v>11</v>
      </c>
      <c r="BN287" s="254"/>
      <c r="BO287" s="254">
        <f>Konvention_1slave-CHslave</f>
        <v>12</v>
      </c>
      <c r="BP287" s="254">
        <f>Konvention_1slave-FFslave</f>
        <v>12</v>
      </c>
      <c r="BQ287" s="254"/>
      <c r="BR287" s="254"/>
      <c r="BS287" s="318"/>
      <c r="BT287" s="223">
        <f t="shared" ref="BT287:BT296" si="1989">(BL287+BM287+BN287+BO287+BP287+BQ287+BR287+BS287)/3</f>
        <v>11.666666666666666</v>
      </c>
      <c r="BU287" s="223">
        <f t="shared" si="1824"/>
        <v>23.333333333333332</v>
      </c>
      <c r="BV287" s="224">
        <f t="shared" si="1825"/>
        <v>35</v>
      </c>
      <c r="BW287" s="237">
        <f t="shared" ref="BW287:BW296" si="1990">BL287*POWER(KLslave_KL,SIGN(BM287))*POWER(INslave,SIGN(BN287))*POWER(CHslave,SIGN(BO287))*POWER(FFslave,SIGN(BP287))*POWER(GEslave,SIGN(BQ287))*POWER(KOslave,SIGN(BR287))*POWER(KKslave,SIGN(BS287))+BM287*POWER(MUslave,SIGN(BL287))*POWER(INslave,SIGN(BN287))*POWER(CHslave,SIGN(BO287))*POWER(FFslave,SIGN(BP287))*POWER(GEslave,SIGN(BQ287))*POWER(KOslave,SIGN(BR287))*POWER(KKslave,SIGN(BS287))+BN287*POWER(MUslave,SIGN(BL287))*POWER(KLslave_KL,SIGN(BM287))*POWER(CHslave,SIGN(BO287))*POWER(FFslave,SIGN(BP287))*POWER(GEslave,SIGN(BQ287))*POWER(KOslave,SIGN(BR287))*POWER(KKslave,SIGN(BS287))+BO287*POWER(MUslave,SIGN(BL287))*POWER(KLslave_KL,SIGN(BM287))*POWER(INslave,SIGN(BN287))*POWER(FFslave,SIGN(BP287))*POWER(GEslave,SIGN(BQ287))*POWER(KOslave,SIGN(BR287))*POWER(KKslave,SIGN(BS287))+BP287*POWER(MUslave,SIGN(BL287))*POWER(KLslave_KL,SIGN(BM287))*POWER(INslave,SIGN(BN287))*POWER(CHslave,SIGN(BO287))*POWER(GEslave,SIGN(BQ287))*POWER(KOslave,SIGN(BR287))*POWER(KKslave,SIGN(BS287))+BQ287*POWER(MUslave,SIGN(BL287))*POWER(KLslave_KL,SIGN(BM287))*POWER(INslave,SIGN(BN287))*POWER(CHslave,SIGN(BO287))*POWER(FFslave,SIGN(BP287))*POWER(KOslave,SIGN(BR287))*POWER(KKslave,SIGN(BS287))+BR287*POWER(MUslave,SIGN(BL287))*POWER(KLslave_KL,SIGN(BM287))*POWER(INslave,SIGN(BN287))*POWER(CHslave,SIGN(BO287))*POWER(FFslave,SIGN(BP287))*POWER(GEslave,SIGN(BQ287))*POWER(KKslave,SIGN(BS287))+BS287*POWER(MUslave,SIGN(BL287))*POWER(KLslave_KL,SIGN(BM287))*POWER(INslave,SIGN(BN287))*POWER(CHslave,SIGN(BO287))*POWER(FFslave,SIGN(BP287))*POWER(GEslave,SIGN(BQ287))*POWER(KOslave,SIGN(BR287))</f>
        <v>2432</v>
      </c>
      <c r="BX287" s="254">
        <f>BM287*BO287*FFslave+BM287*CHslave*BP287+KLslave_KL*BO287*BP287</f>
        <v>3408</v>
      </c>
      <c r="BY287" s="224">
        <f t="shared" ref="BY287:BY296" si="1991">IFERROR(BL287^SIGN(BL287),1)*IFERROR(BM287^SIGN(BM287),1)*IFERROR(BN287^SIGN(BN287),1)*IFERROR(BO287^SIGN(BO287),1)*IFERROR(BP287^SIGN(BP287),1)*IFERROR(BQ287^SIGN(BQ287),1)*IFERROR(BR287^SIGN(BR287),1)*IFERROR(BS287^SIGN(BS287),1)</f>
        <v>1584</v>
      </c>
      <c r="BZ287" s="224">
        <f t="shared" si="1828"/>
        <v>7424</v>
      </c>
      <c r="CA287" s="222">
        <f t="shared" si="1829"/>
        <v>3.8218390804597702</v>
      </c>
      <c r="CB287" s="223">
        <f t="shared" si="1830"/>
        <v>10.711206896551724</v>
      </c>
      <c r="CC287" s="243">
        <f t="shared" si="1831"/>
        <v>7.4676724137931032</v>
      </c>
      <c r="CD287" s="243">
        <f t="shared" si="1832"/>
        <v>22.000718390804597</v>
      </c>
      <c r="CE287" s="252">
        <f t="shared" si="1833"/>
        <v>0</v>
      </c>
      <c r="CF287" s="309">
        <f t="shared" si="1834"/>
        <v>22.000718390804597</v>
      </c>
      <c r="CG287" s="218">
        <f t="shared" si="1976"/>
        <v>77.007183908045945</v>
      </c>
      <c r="CH287" s="242">
        <f t="shared" si="1976"/>
        <v>1</v>
      </c>
      <c r="CI287" s="243">
        <f t="shared" si="1836"/>
        <v>76.007183908045945</v>
      </c>
      <c r="CJ287" s="218">
        <f t="shared" si="1837"/>
        <v>0</v>
      </c>
      <c r="CL287" s="303" t="s">
        <v>395</v>
      </c>
      <c r="CM287" s="304" t="s">
        <v>440</v>
      </c>
      <c r="CN287" s="305" t="s">
        <v>133</v>
      </c>
      <c r="CO287" s="317"/>
      <c r="CP287" s="254">
        <f>Konvention_1slave-KLslave</f>
        <v>12</v>
      </c>
      <c r="CQ287" s="254"/>
      <c r="CR287" s="254">
        <f>Konvention_1slave-CHslave</f>
        <v>12</v>
      </c>
      <c r="CS287" s="254">
        <f>Konvention_1slave-FFslave</f>
        <v>12</v>
      </c>
      <c r="CT287" s="254"/>
      <c r="CU287" s="254"/>
      <c r="CV287" s="318"/>
      <c r="CW287" s="223">
        <f t="shared" ref="CW287:CW296" si="1992">(CO287+CP287+CQ287+CR287+CS287+CT287+CU287+CV287)/3</f>
        <v>12</v>
      </c>
      <c r="CX287" s="223">
        <f t="shared" si="1839"/>
        <v>24</v>
      </c>
      <c r="CY287" s="224">
        <f t="shared" si="1840"/>
        <v>36</v>
      </c>
      <c r="CZ287" s="237">
        <f t="shared" ref="CZ287:CZ296" si="1993">CO287*POWER(KLslave,SIGN(CP287))*POWER(INslave_IN,SIGN(CQ287))*POWER(CHslave,SIGN(CR287))*POWER(FFslave,SIGN(CS287))*POWER(GEslave,SIGN(CT287))*POWER(KOslave,SIGN(CU287))*POWER(KKslave,SIGN(CV287))+CP287*POWER(MUslave,SIGN(CO287))*POWER(INslave_IN,SIGN(CQ287))*POWER(CHslave,SIGN(CR287))*POWER(FFslave,SIGN(CS287))*POWER(GEslave,SIGN(CT287))*POWER(KOslave,SIGN(CU287))*POWER(KKslave,SIGN(CV287))+CQ287*POWER(MUslave,SIGN(CO287))*POWER(KLslave,SIGN(CP287))*POWER(CHslave,SIGN(CR287))*POWER(FFslave,SIGN(CS287))*POWER(GEslave,SIGN(CT287))*POWER(KOslave,SIGN(CU287))*POWER(KKslave,SIGN(CV287))+CR287*POWER(MUslave,SIGN(CO287))*POWER(KLslave,SIGN(CP287))*POWER(INslave_IN,SIGN(CQ287))*POWER(FFslave,SIGN(CS287))*POWER(GEslave,SIGN(CT287))*POWER(KOslave,SIGN(CU287))*POWER(KKslave,SIGN(CV287))+CS287*POWER(MUslave,SIGN(CO287))*POWER(KLslave,SIGN(CP287))*POWER(INslave_IN,SIGN(CQ287))*POWER(CHslave,SIGN(CR287))*POWER(GEslave,SIGN(CT287))*POWER(KOslave,SIGN(CU287))*POWER(KKslave,SIGN(CV287))+CT287*POWER(MUslave,SIGN(CO287))*POWER(KLslave,SIGN(CP287))*POWER(INslave_IN,SIGN(CQ287))*POWER(CHslave,SIGN(CR287))*POWER(FFslave,SIGN(CS287))*POWER(KOslave,SIGN(CU287))*POWER(KKslave,SIGN(CV287))+CU287*POWER(MUslave,SIGN(CO287))*POWER(KLslave,SIGN(CP287))*POWER(INslave_IN,SIGN(CQ287))*POWER(CHslave,SIGN(CR287))*POWER(FFslave,SIGN(CS287))*POWER(GEslave,SIGN(CT287))*POWER(KKslave,SIGN(CV287))+CV287*POWER(MUslave,SIGN(CO287))*POWER(KLslave,SIGN(CP287))*POWER(INslave_IN,SIGN(CQ287))*POWER(CHslave,SIGN(CR287))*POWER(FFslave,SIGN(CS287))*POWER(GEslave,SIGN(CT287))*POWER(KOslave,SIGN(CU287))</f>
        <v>2304</v>
      </c>
      <c r="DA287" s="254">
        <f>CP287*CR287*FFslave+CP287*CHslave*CS287+KLslave*CR287*CS287</f>
        <v>3456</v>
      </c>
      <c r="DB287" s="224">
        <f t="shared" ref="DB287:DB296" si="1994">IFERROR(CO287^SIGN(CO287),1)*IFERROR(CP287^SIGN(CP287),1)*IFERROR(CQ287^SIGN(CQ287),1)*IFERROR(CR287^SIGN(CR287),1)*IFERROR(CS287^SIGN(CS287),1)*IFERROR(CT287^SIGN(CT287),1)*IFERROR(CU287^SIGN(CU287),1)*IFERROR(CV287^SIGN(CV287),1)</f>
        <v>1728</v>
      </c>
      <c r="DC287" s="224">
        <f t="shared" si="1843"/>
        <v>7488</v>
      </c>
      <c r="DD287" s="222">
        <f t="shared" si="1844"/>
        <v>3.6923076923076925</v>
      </c>
      <c r="DE287" s="223">
        <f t="shared" si="1845"/>
        <v>11.076923076923077</v>
      </c>
      <c r="DF287" s="243">
        <f t="shared" si="1846"/>
        <v>8.3076923076923084</v>
      </c>
      <c r="DG287" s="243">
        <f t="shared" si="1847"/>
        <v>23.07692307692308</v>
      </c>
      <c r="DH287" s="252">
        <f t="shared" si="1848"/>
        <v>0</v>
      </c>
      <c r="DI287" s="309">
        <f t="shared" si="1849"/>
        <v>23.07692307692308</v>
      </c>
      <c r="DJ287" s="218">
        <f t="shared" si="1977"/>
        <v>87.769230769230802</v>
      </c>
      <c r="DK287" s="242">
        <f t="shared" si="1977"/>
        <v>1</v>
      </c>
      <c r="DL287" s="243">
        <f t="shared" si="1851"/>
        <v>86.769230769230802</v>
      </c>
      <c r="DM287" s="218">
        <f t="shared" si="1852"/>
        <v>0</v>
      </c>
      <c r="DO287" s="303" t="s">
        <v>395</v>
      </c>
      <c r="DP287" s="304" t="s">
        <v>440</v>
      </c>
      <c r="DQ287" s="305" t="s">
        <v>133</v>
      </c>
      <c r="DR287" s="317"/>
      <c r="DS287" s="254">
        <f>Konvention_1slave-KLslave</f>
        <v>12</v>
      </c>
      <c r="DT287" s="254"/>
      <c r="DU287" s="254">
        <f>Konvention_1slave-CHslave_CH</f>
        <v>11</v>
      </c>
      <c r="DV287" s="254">
        <f>Konvention_1slave-FFslave</f>
        <v>12</v>
      </c>
      <c r="DW287" s="254"/>
      <c r="DX287" s="254"/>
      <c r="DY287" s="318"/>
      <c r="DZ287" s="223">
        <f t="shared" ref="DZ287:DZ296" si="1995">(DR287+DS287+DT287+DU287+DV287+DW287+DX287+DY287)/3</f>
        <v>11.666666666666666</v>
      </c>
      <c r="EA287" s="223">
        <f t="shared" si="1854"/>
        <v>23.333333333333332</v>
      </c>
      <c r="EB287" s="224">
        <f t="shared" si="1855"/>
        <v>35</v>
      </c>
      <c r="EC287" s="237">
        <f t="shared" ref="EC287:EC296" si="1996">DR287*POWER(KLslave,SIGN(DS287))*POWER(INslave,SIGN(DT287))*POWER(CHslave_CH,SIGN(DU287))*POWER(FFslave,SIGN(DV287))*POWER(GEslave,SIGN(DW287))*POWER(KOslave,SIGN(DX287))*POWER(KKslave,SIGN(DY287))+DS287*POWER(MUslave,SIGN(DR287))*POWER(INslave,SIGN(DT287))*POWER(CHslave_CH,SIGN(DU287))*POWER(FFslave,SIGN(DV287))*POWER(GEslave,SIGN(DW287))*POWER(KOslave,SIGN(DX287))*POWER(KKslave,SIGN(DY287))+DT287*POWER(MUslave,SIGN(DR287))*POWER(KLslave,SIGN(DS287))*POWER(CHslave_CH,SIGN(DU287))*POWER(FFslave,SIGN(DV287))*POWER(GEslave,SIGN(DW287))*POWER(KOslave,SIGN(DX287))*POWER(KKslave,SIGN(DY287))+DU287*POWER(MUslave,SIGN(DR287))*POWER(KLslave,SIGN(DS287))*POWER(INslave,SIGN(DT287))*POWER(FFslave,SIGN(DV287))*POWER(GEslave,SIGN(DW287))*POWER(KOslave,SIGN(DX287))*POWER(KKslave,SIGN(DY287))+DV287*POWER(MUslave,SIGN(DR287))*POWER(KLslave,SIGN(DS287))*POWER(INslave,SIGN(DT287))*POWER(CHslave_CH,SIGN(DU287))*POWER(GEslave,SIGN(DW287))*POWER(KOslave,SIGN(DX287))*POWER(KKslave,SIGN(DY287))+DW287*POWER(MUslave,SIGN(DR287))*POWER(KLslave,SIGN(DS287))*POWER(INslave,SIGN(DT287))*POWER(CHslave_CH,SIGN(DU287))*POWER(FFslave,SIGN(DV287))*POWER(KOslave,SIGN(DX287))*POWER(KKslave,SIGN(DY287))+DX287*POWER(MUslave,SIGN(DR287))*POWER(KLslave,SIGN(DS287))*POWER(INslave,SIGN(DT287))*POWER(CHslave_CH,SIGN(DU287))*POWER(FFslave,SIGN(DV287))*POWER(GEslave,SIGN(DW287))*POWER(KKslave,SIGN(DY287))+DY287*POWER(MUslave,SIGN(DR287))*POWER(KLslave,SIGN(DS287))*POWER(INslave,SIGN(DT287))*POWER(CHslave_CH,SIGN(DU287))*POWER(FFslave,SIGN(DV287))*POWER(GEslave,SIGN(DW287))*POWER(KOslave,SIGN(DX287))</f>
        <v>2432</v>
      </c>
      <c r="ED287" s="254">
        <f>DS287*DU287*FFslave+DS287*CHslave_CH*DV287+KLslave*DU287*DV287</f>
        <v>3408</v>
      </c>
      <c r="EE287" s="224">
        <f t="shared" ref="EE287:EE296" si="1997">IFERROR(DR287^SIGN(DR287),1)*IFERROR(DS287^SIGN(DS287),1)*IFERROR(DT287^SIGN(DT287),1)*IFERROR(DU287^SIGN(DU287),1)*IFERROR(DV287^SIGN(DV287),1)*IFERROR(DW287^SIGN(DW287),1)*IFERROR(DX287^SIGN(DX287),1)*IFERROR(DY287^SIGN(DY287),1)</f>
        <v>1584</v>
      </c>
      <c r="EF287" s="224">
        <f t="shared" si="1858"/>
        <v>7424</v>
      </c>
      <c r="EG287" s="222">
        <f t="shared" si="1859"/>
        <v>3.8218390804597702</v>
      </c>
      <c r="EH287" s="223">
        <f t="shared" si="1860"/>
        <v>10.711206896551724</v>
      </c>
      <c r="EI287" s="243">
        <f t="shared" si="1861"/>
        <v>7.4676724137931032</v>
      </c>
      <c r="EJ287" s="243">
        <f t="shared" si="1862"/>
        <v>22.000718390804597</v>
      </c>
      <c r="EK287" s="252">
        <f t="shared" si="1863"/>
        <v>0</v>
      </c>
      <c r="EL287" s="309">
        <f t="shared" si="1864"/>
        <v>22.000718390804597</v>
      </c>
      <c r="EM287" s="218">
        <f t="shared" si="1978"/>
        <v>77.007183908045945</v>
      </c>
      <c r="EN287" s="242">
        <f t="shared" si="1978"/>
        <v>1</v>
      </c>
      <c r="EO287" s="243">
        <f t="shared" si="1866"/>
        <v>76.007183908045945</v>
      </c>
      <c r="EP287" s="218">
        <f t="shared" si="1867"/>
        <v>0</v>
      </c>
      <c r="ER287" s="303" t="s">
        <v>395</v>
      </c>
      <c r="ES287" s="304" t="s">
        <v>440</v>
      </c>
      <c r="ET287" s="305" t="s">
        <v>133</v>
      </c>
      <c r="EU287" s="317"/>
      <c r="EV287" s="254">
        <f>Konvention_1slave-KLslave</f>
        <v>12</v>
      </c>
      <c r="EW287" s="254"/>
      <c r="EX287" s="254">
        <f>Konvention_1slave-CHslave</f>
        <v>12</v>
      </c>
      <c r="EY287" s="254">
        <f>Konvention_1slave-FFslave_FF</f>
        <v>11</v>
      </c>
      <c r="EZ287" s="254"/>
      <c r="FA287" s="254"/>
      <c r="FB287" s="318"/>
      <c r="FC287" s="223">
        <f t="shared" ref="FC287:FC296" si="1998">(EU287+EV287+EW287+EX287+EY287+EZ287+FA287+FB287)/3</f>
        <v>11.666666666666666</v>
      </c>
      <c r="FD287" s="223">
        <f t="shared" si="1869"/>
        <v>23.333333333333332</v>
      </c>
      <c r="FE287" s="224">
        <f t="shared" si="1870"/>
        <v>35</v>
      </c>
      <c r="FF287" s="237">
        <f t="shared" ref="FF287:FF296" si="1999">EU287*POWER(KLslave,SIGN(EV287))*POWER(INslave,SIGN(EW287))*POWER(CHslave,SIGN(EX287))*POWER(FFslave_FF,SIGN(EY287))*POWER(GEslave,SIGN(EZ287))*POWER(KOslave,SIGN(FA287))*POWER(KKslave,SIGN(FB287))+EV287*POWER(MUslave,SIGN(EU287))*POWER(INslave,SIGN(EW287))*POWER(CHslave,SIGN(EX287))*POWER(FFslave_FF,SIGN(EY287))*POWER(GEslave,SIGN(EZ287))*POWER(KOslave,SIGN(FA287))*POWER(KKslave,SIGN(FB287))+EW287*POWER(MUslave,SIGN(EU287))*POWER(KLslave,SIGN(EV287))*POWER(CHslave,SIGN(EX287))*POWER(FFslave_FF,SIGN(EY287))*POWER(GEslave,SIGN(EZ287))*POWER(KOslave,SIGN(FA287))*POWER(KKslave,SIGN(FB287))+EX287*POWER(MUslave,SIGN(EU287))*POWER(KLslave,SIGN(EV287))*POWER(INslave,SIGN(EW287))*POWER(FFslave_FF,SIGN(EY287))*POWER(GEslave,SIGN(EZ287))*POWER(KOslave,SIGN(FA287))*POWER(KKslave,SIGN(FB287))+EY287*POWER(MUslave,SIGN(EU287))*POWER(KLslave,SIGN(EV287))*POWER(INslave,SIGN(EW287))*POWER(CHslave,SIGN(EX287))*POWER(GEslave,SIGN(EZ287))*POWER(KOslave,SIGN(FA287))*POWER(KKslave,SIGN(FB287))+EZ287*POWER(MUslave,SIGN(EU287))*POWER(KLslave,SIGN(EV287))*POWER(INslave,SIGN(EW287))*POWER(CHslave,SIGN(EX287))*POWER(FFslave_FF,SIGN(EY287))*POWER(KOslave,SIGN(FA287))*POWER(KKslave,SIGN(FB287))+FA287*POWER(MUslave,SIGN(EU287))*POWER(KLslave,SIGN(EV287))*POWER(INslave,SIGN(EW287))*POWER(CHslave,SIGN(EX287))*POWER(FFslave_FF,SIGN(EY287))*POWER(GEslave,SIGN(EZ287))*POWER(KKslave,SIGN(FB287))+FB287*POWER(MUslave,SIGN(EU287))*POWER(KLslave,SIGN(EV287))*POWER(INslave,SIGN(EW287))*POWER(CHslave,SIGN(EX287))*POWER(FFslave_FF,SIGN(EY287))*POWER(GEslave,SIGN(EZ287))*POWER(KOslave,SIGN(FA287))</f>
        <v>2432</v>
      </c>
      <c r="FG287" s="254">
        <f>EV287*EX287*FFslave_FF+EV287*CHslave*EY287+KLslave*EX287*EY287</f>
        <v>3408</v>
      </c>
      <c r="FH287" s="224">
        <f t="shared" ref="FH287:FH296" si="2000">IFERROR(EU287^SIGN(EU287),1)*IFERROR(EV287^SIGN(EV287),1)*IFERROR(EW287^SIGN(EW287),1)*IFERROR(EX287^SIGN(EX287),1)*IFERROR(EY287^SIGN(EY287),1)*IFERROR(EZ287^SIGN(EZ287),1)*IFERROR(FA287^SIGN(FA287),1)*IFERROR(FB287^SIGN(FB287),1)</f>
        <v>1584</v>
      </c>
      <c r="FI287" s="224">
        <f t="shared" si="1873"/>
        <v>7424</v>
      </c>
      <c r="FJ287" s="222">
        <f t="shared" si="1874"/>
        <v>3.8218390804597702</v>
      </c>
      <c r="FK287" s="223">
        <f t="shared" si="1875"/>
        <v>10.711206896551724</v>
      </c>
      <c r="FL287" s="243">
        <f t="shared" si="1876"/>
        <v>7.4676724137931032</v>
      </c>
      <c r="FM287" s="243">
        <f t="shared" si="1877"/>
        <v>22.000718390804597</v>
      </c>
      <c r="FN287" s="252">
        <f t="shared" si="1878"/>
        <v>0</v>
      </c>
      <c r="FO287" s="309">
        <f t="shared" si="1879"/>
        <v>22.000718390804597</v>
      </c>
      <c r="FP287" s="218">
        <f t="shared" si="1979"/>
        <v>77.007183908045945</v>
      </c>
      <c r="FQ287" s="242">
        <f t="shared" si="1979"/>
        <v>1</v>
      </c>
      <c r="FR287" s="243">
        <f t="shared" si="1881"/>
        <v>76.007183908045945</v>
      </c>
      <c r="FS287" s="218">
        <f t="shared" si="1882"/>
        <v>0</v>
      </c>
      <c r="FU287" s="303" t="s">
        <v>395</v>
      </c>
      <c r="FV287" s="304" t="s">
        <v>440</v>
      </c>
      <c r="FW287" s="305" t="s">
        <v>133</v>
      </c>
      <c r="FX287" s="317"/>
      <c r="FY287" s="254">
        <f>Konvention_1slave-KLslave</f>
        <v>12</v>
      </c>
      <c r="FZ287" s="254"/>
      <c r="GA287" s="254">
        <f>Konvention_1slave-CHslave</f>
        <v>12</v>
      </c>
      <c r="GB287" s="254">
        <f>Konvention_1slave-FFslave</f>
        <v>12</v>
      </c>
      <c r="GC287" s="254"/>
      <c r="GD287" s="254"/>
      <c r="GE287" s="318"/>
      <c r="GF287" s="223">
        <f t="shared" ref="GF287:GF296" si="2001">(FX287+FY287+FZ287+GA287+GB287+GC287+GD287+GE287)/3</f>
        <v>12</v>
      </c>
      <c r="GG287" s="223">
        <f t="shared" si="1884"/>
        <v>24</v>
      </c>
      <c r="GH287" s="224">
        <f t="shared" si="1885"/>
        <v>36</v>
      </c>
      <c r="GI287" s="237">
        <f t="shared" ref="GI287:GI296" si="2002">FX287*POWER(KLslave,SIGN(FY287))*POWER(INslave,SIGN(FZ287))*POWER(CHslave,SIGN(GA287))*POWER(FFslave,SIGN(GB287))*POWER(GEslave_GE,SIGN(GC287))*POWER(KOslave,SIGN(GD287))*POWER(KKslave,SIGN(GE287))+FY287*POWER(MUslave,SIGN(FX287))*POWER(INslave,SIGN(FZ287))*POWER(CHslave,SIGN(GA287))*POWER(FFslave,SIGN(GB287))*POWER(GEslave_GE,SIGN(GC287))*POWER(KOslave,SIGN(GD287))*POWER(KKslave,SIGN(GE287))+FZ287*POWER(MUslave,SIGN(FX287))*POWER(KLslave,SIGN(FY287))*POWER(CHslave,SIGN(GA287))*POWER(FFslave,SIGN(GB287))*POWER(GEslave_GE,SIGN(GC287))*POWER(KOslave,SIGN(GD287))*POWER(KKslave,SIGN(GE287))+GA287*POWER(MUslave,SIGN(FX287))*POWER(KLslave,SIGN(FY287))*POWER(INslave,SIGN(FZ287))*POWER(FFslave,SIGN(GB287))*POWER(GEslave_GE,SIGN(GC287))*POWER(KOslave,SIGN(GD287))*POWER(KKslave,SIGN(GE287))+GB287*POWER(MUslave,SIGN(FX287))*POWER(KLslave,SIGN(FY287))*POWER(INslave,SIGN(FZ287))*POWER(CHslave,SIGN(GA287))*POWER(GEslave_GE,SIGN(GC287))*POWER(KOslave,SIGN(GD287))*POWER(KKslave,SIGN(GE287))+GC287*POWER(MUslave,SIGN(FX287))*POWER(KLslave,SIGN(FY287))*POWER(INslave,SIGN(FZ287))*POWER(CHslave,SIGN(GA287))*POWER(FFslave,SIGN(GB287))*POWER(KOslave,SIGN(GD287))*POWER(KKslave,SIGN(GE287))+GD287*POWER(MUslave,SIGN(FX287))*POWER(KLslave,SIGN(FY287))*POWER(INslave,SIGN(FZ287))*POWER(CHslave,SIGN(GA287))*POWER(FFslave,SIGN(GB287))*POWER(GEslave_GE,SIGN(GC287))*POWER(KKslave,SIGN(GE287))+GE287*POWER(MUslave,SIGN(FX287))*POWER(KLslave,SIGN(FY287))*POWER(INslave,SIGN(FZ287))*POWER(CHslave,SIGN(GA287))*POWER(FFslave,SIGN(GB287))*POWER(GEslave_GE,SIGN(GC287))*POWER(KOslave,SIGN(GD287))</f>
        <v>2304</v>
      </c>
      <c r="GJ287" s="254">
        <f>FY287*GA287*FFslave+FY287*CHslave*GB287+KLslave*GA287*GB287</f>
        <v>3456</v>
      </c>
      <c r="GK287" s="224">
        <f t="shared" ref="GK287:GK296" si="2003">IFERROR(FX287^SIGN(FX287),1)*IFERROR(FY287^SIGN(FY287),1)*IFERROR(FZ287^SIGN(FZ287),1)*IFERROR(GA287^SIGN(GA287),1)*IFERROR(GB287^SIGN(GB287),1)*IFERROR(GC287^SIGN(GC287),1)*IFERROR(GD287^SIGN(GD287),1)*IFERROR(GE287^SIGN(GE287),1)</f>
        <v>1728</v>
      </c>
      <c r="GL287" s="224">
        <f t="shared" si="1888"/>
        <v>7488</v>
      </c>
      <c r="GM287" s="222">
        <f t="shared" si="1889"/>
        <v>3.6923076923076925</v>
      </c>
      <c r="GN287" s="223">
        <f t="shared" si="1890"/>
        <v>11.076923076923077</v>
      </c>
      <c r="GO287" s="243">
        <f t="shared" si="1891"/>
        <v>8.3076923076923084</v>
      </c>
      <c r="GP287" s="243">
        <f t="shared" si="1892"/>
        <v>23.07692307692308</v>
      </c>
      <c r="GQ287" s="252">
        <f t="shared" si="1893"/>
        <v>0</v>
      </c>
      <c r="GR287" s="309">
        <f t="shared" si="1894"/>
        <v>23.07692307692308</v>
      </c>
      <c r="GS287" s="218">
        <f t="shared" si="1980"/>
        <v>87.769230769230802</v>
      </c>
      <c r="GT287" s="242">
        <f t="shared" si="1980"/>
        <v>1</v>
      </c>
      <c r="GU287" s="243">
        <f t="shared" si="1896"/>
        <v>86.769230769230802</v>
      </c>
      <c r="GV287" s="218">
        <f t="shared" si="1897"/>
        <v>0</v>
      </c>
      <c r="GX287" s="303" t="s">
        <v>395</v>
      </c>
      <c r="GY287" s="304" t="s">
        <v>440</v>
      </c>
      <c r="GZ287" s="305" t="s">
        <v>133</v>
      </c>
      <c r="HA287" s="317"/>
      <c r="HB287" s="254">
        <f>Konvention_1slave-KLslave</f>
        <v>12</v>
      </c>
      <c r="HC287" s="254"/>
      <c r="HD287" s="254">
        <f>Konvention_1slave-CHslave</f>
        <v>12</v>
      </c>
      <c r="HE287" s="254">
        <f>Konvention_1slave-FFslave</f>
        <v>12</v>
      </c>
      <c r="HF287" s="254"/>
      <c r="HG287" s="254"/>
      <c r="HH287" s="318"/>
      <c r="HI287" s="223">
        <f t="shared" ref="HI287:HI296" si="2004">(HA287+HB287+HC287+HD287+HE287+HF287+HG287+HH287)/3</f>
        <v>12</v>
      </c>
      <c r="HJ287" s="223">
        <f t="shared" si="1899"/>
        <v>24</v>
      </c>
      <c r="HK287" s="224">
        <f t="shared" si="1900"/>
        <v>36</v>
      </c>
      <c r="HL287" s="237">
        <f t="shared" ref="HL287:HL296" si="2005">HA287*POWER(KLslave,SIGN(HB287))*POWER(INslave,SIGN(HC287))*POWER(CHslave,SIGN(HD287))*POWER(FFslave,SIGN(HE287))*POWER(GEslave,SIGN(HF287))*POWER(KOslave_KO,SIGN(HG287))*POWER(KKslave,SIGN(HH287))+HB287*POWER(MUslave,SIGN(HA287))*POWER(INslave,SIGN(HC287))*POWER(CHslave,SIGN(HD287))*POWER(FFslave,SIGN(HE287))*POWER(GEslave,SIGN(HF287))*POWER(KOslave_KO,SIGN(HG287))*POWER(KKslave,SIGN(HH287))+HC287*POWER(MUslave,SIGN(HA287))*POWER(KLslave,SIGN(HB287))*POWER(CHslave,SIGN(HD287))*POWER(FFslave,SIGN(HE287))*POWER(GEslave,SIGN(HF287))*POWER(KOslave_KO,SIGN(HG287))*POWER(KKslave,SIGN(HH287))+HD287*POWER(MUslave,SIGN(HA287))*POWER(KLslave,SIGN(HB287))*POWER(INslave,SIGN(HC287))*POWER(FFslave,SIGN(HE287))*POWER(GEslave,SIGN(HF287))*POWER(KOslave_KO,SIGN(HG287))*POWER(KKslave,SIGN(HH287))+HE287*POWER(MUslave,SIGN(HA287))*POWER(KLslave,SIGN(HB287))*POWER(INslave,SIGN(HC287))*POWER(CHslave,SIGN(HD287))*POWER(GEslave,SIGN(HF287))*POWER(KOslave_KO,SIGN(HG287))*POWER(KKslave,SIGN(HH287))+HF287*POWER(MUslave,SIGN(HA287))*POWER(KLslave,SIGN(HB287))*POWER(INslave,SIGN(HC287))*POWER(CHslave,SIGN(HD287))*POWER(FFslave,SIGN(HE287))*POWER(KOslave_KO,SIGN(HG287))*POWER(KKslave,SIGN(HH287))+HG287*POWER(MUslave,SIGN(HA287))*POWER(KLslave,SIGN(HB287))*POWER(INslave,SIGN(HC287))*POWER(CHslave,SIGN(HD287))*POWER(FFslave,SIGN(HE287))*POWER(GEslave,SIGN(HF287))*POWER(KKslave,SIGN(HH287))+HH287*POWER(MUslave,SIGN(HA287))*POWER(KLslave,SIGN(HB287))*POWER(INslave,SIGN(HC287))*POWER(CHslave,SIGN(HD287))*POWER(FFslave,SIGN(HE287))*POWER(GEslave,SIGN(HF287))*POWER(KOslave_KO,SIGN(HG287))</f>
        <v>2304</v>
      </c>
      <c r="HM287" s="254">
        <f>HB287*HD287*FFslave+HB287*CHslave*HE287+KLslave*HD287*HE287</f>
        <v>3456</v>
      </c>
      <c r="HN287" s="224">
        <f t="shared" ref="HN287:HN296" si="2006">IFERROR(HA287^SIGN(HA287),1)*IFERROR(HB287^SIGN(HB287),1)*IFERROR(HC287^SIGN(HC287),1)*IFERROR(HD287^SIGN(HD287),1)*IFERROR(HE287^SIGN(HE287),1)*IFERROR(HF287^SIGN(HF287),1)*IFERROR(HG287^SIGN(HG287),1)*IFERROR(HH287^SIGN(HH287),1)</f>
        <v>1728</v>
      </c>
      <c r="HO287" s="224">
        <f t="shared" si="1903"/>
        <v>7488</v>
      </c>
      <c r="HP287" s="222">
        <f t="shared" si="1904"/>
        <v>3.6923076923076925</v>
      </c>
      <c r="HQ287" s="223">
        <f t="shared" si="1905"/>
        <v>11.076923076923077</v>
      </c>
      <c r="HR287" s="243">
        <f t="shared" si="1906"/>
        <v>8.3076923076923084</v>
      </c>
      <c r="HS287" s="243">
        <f t="shared" si="1907"/>
        <v>23.07692307692308</v>
      </c>
      <c r="HT287" s="252">
        <f t="shared" si="1908"/>
        <v>0</v>
      </c>
      <c r="HU287" s="309">
        <f t="shared" si="1909"/>
        <v>23.07692307692308</v>
      </c>
      <c r="HV287" s="218">
        <f t="shared" si="1981"/>
        <v>87.769230769230802</v>
      </c>
      <c r="HW287" s="242">
        <f t="shared" si="1981"/>
        <v>1</v>
      </c>
      <c r="HX287" s="243">
        <f t="shared" si="1911"/>
        <v>86.769230769230802</v>
      </c>
      <c r="HY287" s="218">
        <f t="shared" si="1912"/>
        <v>0</v>
      </c>
      <c r="IA287" s="303" t="s">
        <v>395</v>
      </c>
      <c r="IB287" s="304" t="s">
        <v>440</v>
      </c>
      <c r="IC287" s="305" t="s">
        <v>133</v>
      </c>
      <c r="ID287" s="317"/>
      <c r="IE287" s="254">
        <f>Konvention_1slave-KLslave</f>
        <v>12</v>
      </c>
      <c r="IF287" s="254"/>
      <c r="IG287" s="254">
        <f>Konvention_1slave-CHslave</f>
        <v>12</v>
      </c>
      <c r="IH287" s="254">
        <f>Konvention_1slave-FFslave</f>
        <v>12</v>
      </c>
      <c r="II287" s="254"/>
      <c r="IJ287" s="254"/>
      <c r="IK287" s="318"/>
      <c r="IL287" s="223">
        <f t="shared" ref="IL287:IL296" si="2007">(ID287+IE287+IF287+IG287+IH287+II287+IJ287+IK287)/3</f>
        <v>12</v>
      </c>
      <c r="IM287" s="223">
        <f t="shared" si="1914"/>
        <v>24</v>
      </c>
      <c r="IN287" s="224">
        <f t="shared" si="1915"/>
        <v>36</v>
      </c>
      <c r="IO287" s="237">
        <f t="shared" ref="IO287:IO296" si="2008">ID287*POWER(KLslave,SIGN(IE287))*POWER(INslave,SIGN(IF287))*POWER(CHslave,SIGN(IG287))*POWER(FFslave,SIGN(IH287))*POWER(GEslave,SIGN(II287))*POWER(KOslave,SIGN(IJ287))*POWER(KKslave_KK,SIGN(IK287))+IE287*POWER(MUslave,SIGN(ID287))*POWER(INslave,SIGN(IF287))*POWER(CHslave,SIGN(IG287))*POWER(FFslave,SIGN(IH287))*POWER(GEslave,SIGN(II287))*POWER(KOslave,SIGN(IJ287))*POWER(KKslave_KK,SIGN(IK287))+IF287*POWER(MUslave,SIGN(ID287))*POWER(KLslave,SIGN(IE287))*POWER(CHslave,SIGN(IG287))*POWER(FFslave,SIGN(IH287))*POWER(GEslave,SIGN(II287))*POWER(KOslave,SIGN(IJ287))*POWER(KKslave_KK,SIGN(IK287))+IG287*POWER(MUslave,SIGN(ID287))*POWER(KLslave,SIGN(IE287))*POWER(INslave,SIGN(IF287))*POWER(FFslave,SIGN(IH287))*POWER(GEslave,SIGN(II287))*POWER(KOslave,SIGN(IJ287))*POWER(KKslave_KK,SIGN(IK287))+IH287*POWER(MUslave,SIGN(ID287))*POWER(KLslave,SIGN(IE287))*POWER(INslave,SIGN(IF287))*POWER(CHslave,SIGN(IG287))*POWER(GEslave,SIGN(II287))*POWER(KOslave,SIGN(IJ287))*POWER(KKslave_KK,SIGN(IK287))+II287*POWER(MUslave,SIGN(ID287))*POWER(KLslave,SIGN(IE287))*POWER(INslave,SIGN(IF287))*POWER(CHslave,SIGN(IG287))*POWER(FFslave,SIGN(IH287))*POWER(KOslave,SIGN(IJ287))*POWER(KKslave_KK,SIGN(IK287))+IJ287*POWER(MUslave,SIGN(ID287))*POWER(KLslave,SIGN(IE287))*POWER(INslave,SIGN(IF287))*POWER(CHslave,SIGN(IG287))*POWER(FFslave,SIGN(IH287))*POWER(GEslave,SIGN(II287))*POWER(KKslave_KK,SIGN(IK287))+IK287*POWER(MUslave,SIGN(ID287))*POWER(KLslave,SIGN(IE287))*POWER(INslave,SIGN(IF287))*POWER(CHslave,SIGN(IG287))*POWER(FFslave,SIGN(IH287))*POWER(GEslave,SIGN(II287))*POWER(KOslave,SIGN(IJ287))</f>
        <v>2304</v>
      </c>
      <c r="IP287" s="254">
        <f>IE287*IG287*FFslave+IE287*CHslave*IH287+KLslave*IG287*IH287</f>
        <v>3456</v>
      </c>
      <c r="IQ287" s="224">
        <f t="shared" ref="IQ287:IQ296" si="2009">IFERROR(ID287^SIGN(ID287),1)*IFERROR(IE287^SIGN(IE287),1)*IFERROR(IF287^SIGN(IF287),1)*IFERROR(IG287^SIGN(IG287),1)*IFERROR(IH287^SIGN(IH287),1)*IFERROR(II287^SIGN(II287),1)*IFERROR(IJ287^SIGN(IJ287),1)*IFERROR(IK287^SIGN(IK287),1)</f>
        <v>1728</v>
      </c>
      <c r="IR287" s="224">
        <f t="shared" si="1918"/>
        <v>7488</v>
      </c>
      <c r="IS287" s="222">
        <f t="shared" si="1919"/>
        <v>3.6923076923076925</v>
      </c>
      <c r="IT287" s="223">
        <f t="shared" si="1920"/>
        <v>11.076923076923077</v>
      </c>
      <c r="IU287" s="243">
        <f t="shared" si="1921"/>
        <v>8.3076923076923084</v>
      </c>
      <c r="IV287" s="243">
        <f t="shared" si="1922"/>
        <v>23.07692307692308</v>
      </c>
      <c r="IW287" s="252">
        <f t="shared" si="1923"/>
        <v>0</v>
      </c>
      <c r="IX287" s="309">
        <f t="shared" si="1924"/>
        <v>23.07692307692308</v>
      </c>
      <c r="IY287" s="218">
        <f t="shared" si="1982"/>
        <v>87.769230769230802</v>
      </c>
      <c r="IZ287" s="242">
        <f t="shared" si="1982"/>
        <v>1</v>
      </c>
      <c r="JA287" s="243">
        <f t="shared" si="1926"/>
        <v>86.769230769230802</v>
      </c>
      <c r="JB287" s="218">
        <f t="shared" si="1927"/>
        <v>0</v>
      </c>
      <c r="JE287" s="148"/>
    </row>
    <row r="288" spans="2:265" hidden="1" outlineLevel="2">
      <c r="B288" s="148">
        <v>28</v>
      </c>
      <c r="C288" s="303" t="e">
        <f>VLOOKUP(AF288,Attribute!C:T,1,FALSE)</f>
        <v>#N/A</v>
      </c>
      <c r="D288" s="86" t="s">
        <v>91</v>
      </c>
      <c r="E288" s="167" t="s">
        <v>132</v>
      </c>
      <c r="F288" s="120"/>
      <c r="G288" s="117">
        <f>Konvention_1master-KLmaster</f>
        <v>12</v>
      </c>
      <c r="H288" s="117"/>
      <c r="I288" s="117"/>
      <c r="J288" s="117">
        <f>Konvention_1master-FFmaster</f>
        <v>12</v>
      </c>
      <c r="K288" s="117"/>
      <c r="L288" s="117">
        <f>Konvention_1master-KOmaster</f>
        <v>12</v>
      </c>
      <c r="M288" s="121"/>
      <c r="N288" s="223">
        <f t="shared" si="1983"/>
        <v>12</v>
      </c>
      <c r="O288" s="223">
        <f t="shared" si="1795"/>
        <v>24</v>
      </c>
      <c r="P288" s="224">
        <f t="shared" si="1796"/>
        <v>36</v>
      </c>
      <c r="Q288" s="237">
        <f t="shared" si="1984"/>
        <v>2304</v>
      </c>
      <c r="R288" s="117">
        <f>G288*J288*KOmaster+G288*FFmaster*L288+KLmaster*J288*L288</f>
        <v>3456</v>
      </c>
      <c r="S288" s="224">
        <f t="shared" si="1985"/>
        <v>1728</v>
      </c>
      <c r="T288" s="224">
        <f t="shared" si="1799"/>
        <v>7488</v>
      </c>
      <c r="U288" s="222">
        <f t="shared" si="1800"/>
        <v>3.6923076923076925</v>
      </c>
      <c r="V288" s="223">
        <f t="shared" si="1801"/>
        <v>11.076923076923077</v>
      </c>
      <c r="W288" s="243">
        <f t="shared" si="1802"/>
        <v>8.3076923076923084</v>
      </c>
      <c r="X288" s="243">
        <f t="shared" si="1803"/>
        <v>23.07692307692308</v>
      </c>
      <c r="Y288" s="252">
        <v>0</v>
      </c>
      <c r="Z288" s="198">
        <f t="shared" si="1804"/>
        <v>23.07692307692308</v>
      </c>
      <c r="AA288" s="125">
        <f>IF(X288&lt;=0,2,0)+IF(X288&gt;0,X288+1,0)*2+IF(X288&gt;12,X288-12,0)*2+IF(X288&gt;13,X288-13,0)*2+IF(X288&gt;14,X288-14,0)*2+IF(X288&gt;15,X288-15,0)*2+IF(X288&gt;16,X288-16,0)*2+IF(X288&gt;17,X288-17,0)*2+IF(X288&gt;18,X288-18,0)*2+IF(X288&gt;19,X288-19,0)*2+IF(X288&gt;20,X288-20,0)*2</f>
        <v>175.5384615384616</v>
      </c>
      <c r="AB288" s="160">
        <f>IF(Y288&lt;=0,2,0)+IF(Y288&gt;0,Y288+1,0)*2+IF(Y288&gt;12,Y288-12,0)*2+IF(Y288&gt;13,Y288-13,0)*2+IF(Y288&gt;14,Y288-14,0)*2+IF(Y288&gt;15,Y288-15,0)*2+IF(Y288&gt;16,Y288-16,0)*2+IF(Y288&gt;17,Y288-17,0)*2+IF(Y288&gt;18,Y288-18,0)*2+IF(Y288&gt;19,Y288-19,0)*2+IF(Y288&gt;20,Y288-20,0)*2</f>
        <v>2</v>
      </c>
      <c r="AC288" s="127">
        <f t="shared" si="1806"/>
        <v>173.5384615384616</v>
      </c>
      <c r="AD288" s="125">
        <f t="shared" si="1807"/>
        <v>0</v>
      </c>
      <c r="AF288" s="163" t="s">
        <v>417</v>
      </c>
      <c r="AG288" s="86" t="s">
        <v>91</v>
      </c>
      <c r="AH288" s="167" t="s">
        <v>132</v>
      </c>
      <c r="AI288" s="120"/>
      <c r="AJ288" s="117">
        <f>Konvention_1slave-KLslave</f>
        <v>12</v>
      </c>
      <c r="AK288" s="117"/>
      <c r="AL288" s="117"/>
      <c r="AM288" s="117">
        <f>Konvention_1slave-FFslave</f>
        <v>12</v>
      </c>
      <c r="AN288" s="117"/>
      <c r="AO288" s="117">
        <f>Konvention_1slave-KOslave</f>
        <v>12</v>
      </c>
      <c r="AP288" s="121"/>
      <c r="AQ288" s="47">
        <f t="shared" si="1986"/>
        <v>12</v>
      </c>
      <c r="AR288" s="3">
        <f t="shared" si="1809"/>
        <v>24</v>
      </c>
      <c r="AS288" s="174">
        <f t="shared" si="1810"/>
        <v>36</v>
      </c>
      <c r="AT288" s="114">
        <f t="shared" si="1987"/>
        <v>2304</v>
      </c>
      <c r="AU288" s="117">
        <f>AJ288*AM288*KOslave+AJ288*FFslave*AO288+KLslave*AM288*AO288</f>
        <v>3456</v>
      </c>
      <c r="AV288" s="119">
        <f t="shared" si="1988"/>
        <v>1728</v>
      </c>
      <c r="AW288" s="119">
        <f t="shared" si="1813"/>
        <v>7488</v>
      </c>
      <c r="AX288" s="89">
        <f t="shared" si="1814"/>
        <v>3.6923076923076925</v>
      </c>
      <c r="AY288" s="47">
        <f t="shared" si="1815"/>
        <v>11.076923076923077</v>
      </c>
      <c r="AZ288" s="127">
        <f t="shared" si="1816"/>
        <v>8.3076923076923084</v>
      </c>
      <c r="BA288" s="127">
        <f t="shared" si="1817"/>
        <v>23.07692307692308</v>
      </c>
      <c r="BB288" s="165">
        <f t="shared" si="1818"/>
        <v>0</v>
      </c>
      <c r="BC288" s="198">
        <f t="shared" si="1819"/>
        <v>23.07692307692308</v>
      </c>
      <c r="BD288" s="125">
        <f>IF(BA288&lt;=0,2,0)+IF(BA288&gt;0,BA288+1,0)*2+IF(BA288&gt;12,BA288-12,0)*2+IF(BA288&gt;13,BA288-13,0)*2+IF(BA288&gt;14,BA288-14,0)*2+IF(BA288&gt;15,BA288-15,0)*2+IF(BA288&gt;16,BA288-16,0)*2+IF(BA288&gt;17,BA288-17,0)*2+IF(BA288&gt;18,BA288-18,0)*2+IF(BA288&gt;19,BA288-19,0)*2+IF(BA288&gt;20,BA288-20,0)*2</f>
        <v>175.5384615384616</v>
      </c>
      <c r="BE288" s="160">
        <f>IF(BB288&lt;=0,2,0)+IF(BB288&gt;0,BB288+1,0)*2+IF(BB288&gt;12,BB288-12,0)*2+IF(BB288&gt;13,BB288-13,0)*2+IF(BB288&gt;14,BB288-14,0)*2+IF(BB288&gt;15,BB288-15,0)*2+IF(BB288&gt;16,BB288-16,0)*2+IF(BB288&gt;17,BB288-17,0)*2+IF(BB288&gt;18,BB288-18,0)*2+IF(BB288&gt;19,BB288-19,0)*2+IF(BB288&gt;20,BB288-20,0)*2</f>
        <v>2</v>
      </c>
      <c r="BF288" s="243">
        <f t="shared" si="1821"/>
        <v>173.5384615384616</v>
      </c>
      <c r="BG288" s="218">
        <f t="shared" si="1822"/>
        <v>0</v>
      </c>
      <c r="BI288" s="303" t="s">
        <v>417</v>
      </c>
      <c r="BJ288" s="304" t="s">
        <v>91</v>
      </c>
      <c r="BK288" s="305" t="s">
        <v>132</v>
      </c>
      <c r="BL288" s="317"/>
      <c r="BM288" s="254">
        <f>Konvention_1slave-KLslave_KL</f>
        <v>11</v>
      </c>
      <c r="BN288" s="254"/>
      <c r="BO288" s="254"/>
      <c r="BP288" s="254">
        <f>Konvention_1slave-FFslave</f>
        <v>12</v>
      </c>
      <c r="BQ288" s="254"/>
      <c r="BR288" s="254">
        <f>Konvention_1slave-KOslave</f>
        <v>12</v>
      </c>
      <c r="BS288" s="318"/>
      <c r="BT288" s="223">
        <f t="shared" si="1989"/>
        <v>11.666666666666666</v>
      </c>
      <c r="BU288" s="223">
        <f t="shared" si="1824"/>
        <v>23.333333333333332</v>
      </c>
      <c r="BV288" s="224">
        <f t="shared" si="1825"/>
        <v>35</v>
      </c>
      <c r="BW288" s="237">
        <f t="shared" si="1990"/>
        <v>2432</v>
      </c>
      <c r="BX288" s="254">
        <f>BM288*BP288*KOslave+BM288*FFslave*BR288+KLslave_KL*BP288*BR288</f>
        <v>3408</v>
      </c>
      <c r="BY288" s="224">
        <f t="shared" si="1991"/>
        <v>1584</v>
      </c>
      <c r="BZ288" s="224">
        <f t="shared" si="1828"/>
        <v>7424</v>
      </c>
      <c r="CA288" s="222">
        <f t="shared" si="1829"/>
        <v>3.8218390804597702</v>
      </c>
      <c r="CB288" s="223">
        <f t="shared" si="1830"/>
        <v>10.711206896551724</v>
      </c>
      <c r="CC288" s="243">
        <f t="shared" si="1831"/>
        <v>7.4676724137931032</v>
      </c>
      <c r="CD288" s="243">
        <f t="shared" si="1832"/>
        <v>22.000718390804597</v>
      </c>
      <c r="CE288" s="252">
        <f t="shared" si="1833"/>
        <v>0</v>
      </c>
      <c r="CF288" s="309">
        <f t="shared" si="1834"/>
        <v>22.000718390804597</v>
      </c>
      <c r="CG288" s="218">
        <f>IF(CD288&lt;=0,2,0)+IF(CD288&gt;0,CD288+1,0)*2+IF(CD288&gt;12,CD288-12,0)*2+IF(CD288&gt;13,CD288-13,0)*2+IF(CD288&gt;14,CD288-14,0)*2+IF(CD288&gt;15,CD288-15,0)*2+IF(CD288&gt;16,CD288-16,0)*2+IF(CD288&gt;17,CD288-17,0)*2+IF(CD288&gt;18,CD288-18,0)*2+IF(CD288&gt;19,CD288-19,0)*2+IF(CD288&gt;20,CD288-20,0)*2</f>
        <v>154.01436781609189</v>
      </c>
      <c r="CH288" s="242">
        <f>IF(CE288&lt;=0,2,0)+IF(CE288&gt;0,CE288+1,0)*2+IF(CE288&gt;12,CE288-12,0)*2+IF(CE288&gt;13,CE288-13,0)*2+IF(CE288&gt;14,CE288-14,0)*2+IF(CE288&gt;15,CE288-15,0)*2+IF(CE288&gt;16,CE288-16,0)*2+IF(CE288&gt;17,CE288-17,0)*2+IF(CE288&gt;18,CE288-18,0)*2+IF(CE288&gt;19,CE288-19,0)*2+IF(CE288&gt;20,CE288-20,0)*2</f>
        <v>2</v>
      </c>
      <c r="CI288" s="243">
        <f t="shared" si="1836"/>
        <v>152.01436781609189</v>
      </c>
      <c r="CJ288" s="218">
        <f t="shared" si="1837"/>
        <v>0</v>
      </c>
      <c r="CL288" s="303" t="s">
        <v>417</v>
      </c>
      <c r="CM288" s="304" t="s">
        <v>91</v>
      </c>
      <c r="CN288" s="305" t="s">
        <v>132</v>
      </c>
      <c r="CO288" s="317"/>
      <c r="CP288" s="254">
        <f>Konvention_1slave-KLslave</f>
        <v>12</v>
      </c>
      <c r="CQ288" s="254"/>
      <c r="CR288" s="254"/>
      <c r="CS288" s="254">
        <f>Konvention_1slave-FFslave</f>
        <v>12</v>
      </c>
      <c r="CT288" s="254"/>
      <c r="CU288" s="254">
        <f>Konvention_1slave-KOslave</f>
        <v>12</v>
      </c>
      <c r="CV288" s="318"/>
      <c r="CW288" s="223">
        <f t="shared" si="1992"/>
        <v>12</v>
      </c>
      <c r="CX288" s="223">
        <f t="shared" si="1839"/>
        <v>24</v>
      </c>
      <c r="CY288" s="224">
        <f t="shared" si="1840"/>
        <v>36</v>
      </c>
      <c r="CZ288" s="237">
        <f t="shared" si="1993"/>
        <v>2304</v>
      </c>
      <c r="DA288" s="254">
        <f>CP288*CS288*KOslave+CP288*FFslave*CU288+KLslave*CS288*CU288</f>
        <v>3456</v>
      </c>
      <c r="DB288" s="224">
        <f t="shared" si="1994"/>
        <v>1728</v>
      </c>
      <c r="DC288" s="224">
        <f t="shared" si="1843"/>
        <v>7488</v>
      </c>
      <c r="DD288" s="222">
        <f t="shared" si="1844"/>
        <v>3.6923076923076925</v>
      </c>
      <c r="DE288" s="223">
        <f t="shared" si="1845"/>
        <v>11.076923076923077</v>
      </c>
      <c r="DF288" s="243">
        <f t="shared" si="1846"/>
        <v>8.3076923076923084</v>
      </c>
      <c r="DG288" s="243">
        <f t="shared" si="1847"/>
        <v>23.07692307692308</v>
      </c>
      <c r="DH288" s="252">
        <f t="shared" si="1848"/>
        <v>0</v>
      </c>
      <c r="DI288" s="309">
        <f t="shared" si="1849"/>
        <v>23.07692307692308</v>
      </c>
      <c r="DJ288" s="218">
        <f>IF(DG288&lt;=0,2,0)+IF(DG288&gt;0,DG288+1,0)*2+IF(DG288&gt;12,DG288-12,0)*2+IF(DG288&gt;13,DG288-13,0)*2+IF(DG288&gt;14,DG288-14,0)*2+IF(DG288&gt;15,DG288-15,0)*2+IF(DG288&gt;16,DG288-16,0)*2+IF(DG288&gt;17,DG288-17,0)*2+IF(DG288&gt;18,DG288-18,0)*2+IF(DG288&gt;19,DG288-19,0)*2+IF(DG288&gt;20,DG288-20,0)*2</f>
        <v>175.5384615384616</v>
      </c>
      <c r="DK288" s="242">
        <f>IF(DH288&lt;=0,2,0)+IF(DH288&gt;0,DH288+1,0)*2+IF(DH288&gt;12,DH288-12,0)*2+IF(DH288&gt;13,DH288-13,0)*2+IF(DH288&gt;14,DH288-14,0)*2+IF(DH288&gt;15,DH288-15,0)*2+IF(DH288&gt;16,DH288-16,0)*2+IF(DH288&gt;17,DH288-17,0)*2+IF(DH288&gt;18,DH288-18,0)*2+IF(DH288&gt;19,DH288-19,0)*2+IF(DH288&gt;20,DH288-20,0)*2</f>
        <v>2</v>
      </c>
      <c r="DL288" s="243">
        <f t="shared" si="1851"/>
        <v>173.5384615384616</v>
      </c>
      <c r="DM288" s="218">
        <f t="shared" si="1852"/>
        <v>0</v>
      </c>
      <c r="DO288" s="303" t="s">
        <v>417</v>
      </c>
      <c r="DP288" s="304" t="s">
        <v>91</v>
      </c>
      <c r="DQ288" s="305" t="s">
        <v>132</v>
      </c>
      <c r="DR288" s="317"/>
      <c r="DS288" s="254">
        <f>Konvention_1slave-KLslave</f>
        <v>12</v>
      </c>
      <c r="DT288" s="254"/>
      <c r="DU288" s="254"/>
      <c r="DV288" s="254">
        <f>Konvention_1slave-FFslave</f>
        <v>12</v>
      </c>
      <c r="DW288" s="254"/>
      <c r="DX288" s="254">
        <f>Konvention_1slave-KOslave</f>
        <v>12</v>
      </c>
      <c r="DY288" s="318"/>
      <c r="DZ288" s="223">
        <f t="shared" si="1995"/>
        <v>12</v>
      </c>
      <c r="EA288" s="223">
        <f t="shared" si="1854"/>
        <v>24</v>
      </c>
      <c r="EB288" s="224">
        <f t="shared" si="1855"/>
        <v>36</v>
      </c>
      <c r="EC288" s="237">
        <f t="shared" si="1996"/>
        <v>2304</v>
      </c>
      <c r="ED288" s="254">
        <f>DS288*DV288*KOslave+DS288*FFslave*DX288+KLslave*DV288*DX288</f>
        <v>3456</v>
      </c>
      <c r="EE288" s="224">
        <f t="shared" si="1997"/>
        <v>1728</v>
      </c>
      <c r="EF288" s="224">
        <f t="shared" si="1858"/>
        <v>7488</v>
      </c>
      <c r="EG288" s="222">
        <f t="shared" si="1859"/>
        <v>3.6923076923076925</v>
      </c>
      <c r="EH288" s="223">
        <f t="shared" si="1860"/>
        <v>11.076923076923077</v>
      </c>
      <c r="EI288" s="243">
        <f t="shared" si="1861"/>
        <v>8.3076923076923084</v>
      </c>
      <c r="EJ288" s="243">
        <f t="shared" si="1862"/>
        <v>23.07692307692308</v>
      </c>
      <c r="EK288" s="252">
        <f t="shared" si="1863"/>
        <v>0</v>
      </c>
      <c r="EL288" s="309">
        <f t="shared" si="1864"/>
        <v>23.07692307692308</v>
      </c>
      <c r="EM288" s="218">
        <f>IF(EJ288&lt;=0,2,0)+IF(EJ288&gt;0,EJ288+1,0)*2+IF(EJ288&gt;12,EJ288-12,0)*2+IF(EJ288&gt;13,EJ288-13,0)*2+IF(EJ288&gt;14,EJ288-14,0)*2+IF(EJ288&gt;15,EJ288-15,0)*2+IF(EJ288&gt;16,EJ288-16,0)*2+IF(EJ288&gt;17,EJ288-17,0)*2+IF(EJ288&gt;18,EJ288-18,0)*2+IF(EJ288&gt;19,EJ288-19,0)*2+IF(EJ288&gt;20,EJ288-20,0)*2</f>
        <v>175.5384615384616</v>
      </c>
      <c r="EN288" s="242">
        <f>IF(EK288&lt;=0,2,0)+IF(EK288&gt;0,EK288+1,0)*2+IF(EK288&gt;12,EK288-12,0)*2+IF(EK288&gt;13,EK288-13,0)*2+IF(EK288&gt;14,EK288-14,0)*2+IF(EK288&gt;15,EK288-15,0)*2+IF(EK288&gt;16,EK288-16,0)*2+IF(EK288&gt;17,EK288-17,0)*2+IF(EK288&gt;18,EK288-18,0)*2+IF(EK288&gt;19,EK288-19,0)*2+IF(EK288&gt;20,EK288-20,0)*2</f>
        <v>2</v>
      </c>
      <c r="EO288" s="243">
        <f t="shared" si="1866"/>
        <v>173.5384615384616</v>
      </c>
      <c r="EP288" s="218">
        <f t="shared" si="1867"/>
        <v>0</v>
      </c>
      <c r="ER288" s="303" t="s">
        <v>417</v>
      </c>
      <c r="ES288" s="304" t="s">
        <v>91</v>
      </c>
      <c r="ET288" s="305" t="s">
        <v>132</v>
      </c>
      <c r="EU288" s="317"/>
      <c r="EV288" s="254">
        <f>Konvention_1slave-KLslave</f>
        <v>12</v>
      </c>
      <c r="EW288" s="254"/>
      <c r="EX288" s="254"/>
      <c r="EY288" s="254">
        <f>Konvention_1slave-FFslave_FF</f>
        <v>11</v>
      </c>
      <c r="EZ288" s="254"/>
      <c r="FA288" s="254">
        <f>Konvention_1slave-KOslave</f>
        <v>12</v>
      </c>
      <c r="FB288" s="318"/>
      <c r="FC288" s="223">
        <f t="shared" si="1998"/>
        <v>11.666666666666666</v>
      </c>
      <c r="FD288" s="223">
        <f t="shared" si="1869"/>
        <v>23.333333333333332</v>
      </c>
      <c r="FE288" s="224">
        <f t="shared" si="1870"/>
        <v>35</v>
      </c>
      <c r="FF288" s="237">
        <f t="shared" si="1999"/>
        <v>2432</v>
      </c>
      <c r="FG288" s="254">
        <f>EV288*EY288*KOslave+EV288*FFslave_FF*FA288+KLslave*EY288*FA288</f>
        <v>3408</v>
      </c>
      <c r="FH288" s="224">
        <f t="shared" si="2000"/>
        <v>1584</v>
      </c>
      <c r="FI288" s="224">
        <f t="shared" si="1873"/>
        <v>7424</v>
      </c>
      <c r="FJ288" s="222">
        <f t="shared" si="1874"/>
        <v>3.8218390804597702</v>
      </c>
      <c r="FK288" s="223">
        <f t="shared" si="1875"/>
        <v>10.711206896551724</v>
      </c>
      <c r="FL288" s="243">
        <f t="shared" si="1876"/>
        <v>7.4676724137931032</v>
      </c>
      <c r="FM288" s="243">
        <f t="shared" si="1877"/>
        <v>22.000718390804597</v>
      </c>
      <c r="FN288" s="252">
        <f t="shared" si="1878"/>
        <v>0</v>
      </c>
      <c r="FO288" s="309">
        <f t="shared" si="1879"/>
        <v>22.000718390804597</v>
      </c>
      <c r="FP288" s="218">
        <f>IF(FM288&lt;=0,2,0)+IF(FM288&gt;0,FM288+1,0)*2+IF(FM288&gt;12,FM288-12,0)*2+IF(FM288&gt;13,FM288-13,0)*2+IF(FM288&gt;14,FM288-14,0)*2+IF(FM288&gt;15,FM288-15,0)*2+IF(FM288&gt;16,FM288-16,0)*2+IF(FM288&gt;17,FM288-17,0)*2+IF(FM288&gt;18,FM288-18,0)*2+IF(FM288&gt;19,FM288-19,0)*2+IF(FM288&gt;20,FM288-20,0)*2</f>
        <v>154.01436781609189</v>
      </c>
      <c r="FQ288" s="242">
        <f>IF(FN288&lt;=0,2,0)+IF(FN288&gt;0,FN288+1,0)*2+IF(FN288&gt;12,FN288-12,0)*2+IF(FN288&gt;13,FN288-13,0)*2+IF(FN288&gt;14,FN288-14,0)*2+IF(FN288&gt;15,FN288-15,0)*2+IF(FN288&gt;16,FN288-16,0)*2+IF(FN288&gt;17,FN288-17,0)*2+IF(FN288&gt;18,FN288-18,0)*2+IF(FN288&gt;19,FN288-19,0)*2+IF(FN288&gt;20,FN288-20,0)*2</f>
        <v>2</v>
      </c>
      <c r="FR288" s="243">
        <f t="shared" si="1881"/>
        <v>152.01436781609189</v>
      </c>
      <c r="FS288" s="218">
        <f t="shared" si="1882"/>
        <v>0</v>
      </c>
      <c r="FU288" s="303" t="s">
        <v>417</v>
      </c>
      <c r="FV288" s="304" t="s">
        <v>91</v>
      </c>
      <c r="FW288" s="305" t="s">
        <v>132</v>
      </c>
      <c r="FX288" s="317"/>
      <c r="FY288" s="254">
        <f>Konvention_1slave-KLslave</f>
        <v>12</v>
      </c>
      <c r="FZ288" s="254"/>
      <c r="GA288" s="254"/>
      <c r="GB288" s="254">
        <f>Konvention_1slave-FFslave</f>
        <v>12</v>
      </c>
      <c r="GC288" s="254"/>
      <c r="GD288" s="254">
        <f>Konvention_1slave-KOslave</f>
        <v>12</v>
      </c>
      <c r="GE288" s="318"/>
      <c r="GF288" s="223">
        <f t="shared" si="2001"/>
        <v>12</v>
      </c>
      <c r="GG288" s="223">
        <f t="shared" si="1884"/>
        <v>24</v>
      </c>
      <c r="GH288" s="224">
        <f t="shared" si="1885"/>
        <v>36</v>
      </c>
      <c r="GI288" s="237">
        <f t="shared" si="2002"/>
        <v>2304</v>
      </c>
      <c r="GJ288" s="254">
        <f>FY288*GB288*KOslave+FY288*FFslave*GD288+KLslave*GB288*GD288</f>
        <v>3456</v>
      </c>
      <c r="GK288" s="224">
        <f t="shared" si="2003"/>
        <v>1728</v>
      </c>
      <c r="GL288" s="224">
        <f t="shared" si="1888"/>
        <v>7488</v>
      </c>
      <c r="GM288" s="222">
        <f t="shared" si="1889"/>
        <v>3.6923076923076925</v>
      </c>
      <c r="GN288" s="223">
        <f t="shared" si="1890"/>
        <v>11.076923076923077</v>
      </c>
      <c r="GO288" s="243">
        <f t="shared" si="1891"/>
        <v>8.3076923076923084</v>
      </c>
      <c r="GP288" s="243">
        <f t="shared" si="1892"/>
        <v>23.07692307692308</v>
      </c>
      <c r="GQ288" s="252">
        <f t="shared" si="1893"/>
        <v>0</v>
      </c>
      <c r="GR288" s="309">
        <f t="shared" si="1894"/>
        <v>23.07692307692308</v>
      </c>
      <c r="GS288" s="218">
        <f>IF(GP288&lt;=0,2,0)+IF(GP288&gt;0,GP288+1,0)*2+IF(GP288&gt;12,GP288-12,0)*2+IF(GP288&gt;13,GP288-13,0)*2+IF(GP288&gt;14,GP288-14,0)*2+IF(GP288&gt;15,GP288-15,0)*2+IF(GP288&gt;16,GP288-16,0)*2+IF(GP288&gt;17,GP288-17,0)*2+IF(GP288&gt;18,GP288-18,0)*2+IF(GP288&gt;19,GP288-19,0)*2+IF(GP288&gt;20,GP288-20,0)*2</f>
        <v>175.5384615384616</v>
      </c>
      <c r="GT288" s="242">
        <f>IF(GQ288&lt;=0,2,0)+IF(GQ288&gt;0,GQ288+1,0)*2+IF(GQ288&gt;12,GQ288-12,0)*2+IF(GQ288&gt;13,GQ288-13,0)*2+IF(GQ288&gt;14,GQ288-14,0)*2+IF(GQ288&gt;15,GQ288-15,0)*2+IF(GQ288&gt;16,GQ288-16,0)*2+IF(GQ288&gt;17,GQ288-17,0)*2+IF(GQ288&gt;18,GQ288-18,0)*2+IF(GQ288&gt;19,GQ288-19,0)*2+IF(GQ288&gt;20,GQ288-20,0)*2</f>
        <v>2</v>
      </c>
      <c r="GU288" s="243">
        <f t="shared" si="1896"/>
        <v>173.5384615384616</v>
      </c>
      <c r="GV288" s="218">
        <f t="shared" si="1897"/>
        <v>0</v>
      </c>
      <c r="GX288" s="303" t="s">
        <v>417</v>
      </c>
      <c r="GY288" s="304" t="s">
        <v>91</v>
      </c>
      <c r="GZ288" s="305" t="s">
        <v>132</v>
      </c>
      <c r="HA288" s="317"/>
      <c r="HB288" s="254">
        <f>Konvention_1slave-KLslave</f>
        <v>12</v>
      </c>
      <c r="HC288" s="254"/>
      <c r="HD288" s="254"/>
      <c r="HE288" s="254">
        <f>Konvention_1slave-FFslave</f>
        <v>12</v>
      </c>
      <c r="HF288" s="254"/>
      <c r="HG288" s="254">
        <f>Konvention_1slave-KOslave_KO</f>
        <v>11</v>
      </c>
      <c r="HH288" s="318"/>
      <c r="HI288" s="223">
        <f t="shared" si="2004"/>
        <v>11.666666666666666</v>
      </c>
      <c r="HJ288" s="223">
        <f t="shared" si="1899"/>
        <v>23.333333333333332</v>
      </c>
      <c r="HK288" s="224">
        <f t="shared" si="1900"/>
        <v>35</v>
      </c>
      <c r="HL288" s="237">
        <f t="shared" si="2005"/>
        <v>2432</v>
      </c>
      <c r="HM288" s="254">
        <f>HB288*HE288*KOslave_KO+HB288*FFslave*HG288+KLslave*HE288*HG288</f>
        <v>3408</v>
      </c>
      <c r="HN288" s="224">
        <f t="shared" si="2006"/>
        <v>1584</v>
      </c>
      <c r="HO288" s="224">
        <f t="shared" si="1903"/>
        <v>7424</v>
      </c>
      <c r="HP288" s="222">
        <f t="shared" si="1904"/>
        <v>3.8218390804597702</v>
      </c>
      <c r="HQ288" s="223">
        <f t="shared" si="1905"/>
        <v>10.711206896551724</v>
      </c>
      <c r="HR288" s="243">
        <f t="shared" si="1906"/>
        <v>7.4676724137931032</v>
      </c>
      <c r="HS288" s="243">
        <f t="shared" si="1907"/>
        <v>22.000718390804597</v>
      </c>
      <c r="HT288" s="252">
        <f t="shared" si="1908"/>
        <v>0</v>
      </c>
      <c r="HU288" s="309">
        <f t="shared" si="1909"/>
        <v>22.000718390804597</v>
      </c>
      <c r="HV288" s="218">
        <f>IF(HS288&lt;=0,2,0)+IF(HS288&gt;0,HS288+1,0)*2+IF(HS288&gt;12,HS288-12,0)*2+IF(HS288&gt;13,HS288-13,0)*2+IF(HS288&gt;14,HS288-14,0)*2+IF(HS288&gt;15,HS288-15,0)*2+IF(HS288&gt;16,HS288-16,0)*2+IF(HS288&gt;17,HS288-17,0)*2+IF(HS288&gt;18,HS288-18,0)*2+IF(HS288&gt;19,HS288-19,0)*2+IF(HS288&gt;20,HS288-20,0)*2</f>
        <v>154.01436781609189</v>
      </c>
      <c r="HW288" s="242">
        <f>IF(HT288&lt;=0,2,0)+IF(HT288&gt;0,HT288+1,0)*2+IF(HT288&gt;12,HT288-12,0)*2+IF(HT288&gt;13,HT288-13,0)*2+IF(HT288&gt;14,HT288-14,0)*2+IF(HT288&gt;15,HT288-15,0)*2+IF(HT288&gt;16,HT288-16,0)*2+IF(HT288&gt;17,HT288-17,0)*2+IF(HT288&gt;18,HT288-18,0)*2+IF(HT288&gt;19,HT288-19,0)*2+IF(HT288&gt;20,HT288-20,0)*2</f>
        <v>2</v>
      </c>
      <c r="HX288" s="243">
        <f t="shared" si="1911"/>
        <v>152.01436781609189</v>
      </c>
      <c r="HY288" s="218">
        <f t="shared" si="1912"/>
        <v>0</v>
      </c>
      <c r="IA288" s="303" t="s">
        <v>417</v>
      </c>
      <c r="IB288" s="304" t="s">
        <v>91</v>
      </c>
      <c r="IC288" s="305" t="s">
        <v>132</v>
      </c>
      <c r="ID288" s="317"/>
      <c r="IE288" s="254">
        <f>Konvention_1slave-KLslave</f>
        <v>12</v>
      </c>
      <c r="IF288" s="254"/>
      <c r="IG288" s="254"/>
      <c r="IH288" s="254">
        <f>Konvention_1slave-FFslave</f>
        <v>12</v>
      </c>
      <c r="II288" s="254"/>
      <c r="IJ288" s="254">
        <f>Konvention_1slave-KOslave</f>
        <v>12</v>
      </c>
      <c r="IK288" s="318"/>
      <c r="IL288" s="223">
        <f t="shared" si="2007"/>
        <v>12</v>
      </c>
      <c r="IM288" s="223">
        <f t="shared" si="1914"/>
        <v>24</v>
      </c>
      <c r="IN288" s="224">
        <f t="shared" si="1915"/>
        <v>36</v>
      </c>
      <c r="IO288" s="237">
        <f t="shared" si="2008"/>
        <v>2304</v>
      </c>
      <c r="IP288" s="254">
        <f>IE288*IH288*KOslave+IE288*FFslave*IJ288+KLslave*IH288*IJ288</f>
        <v>3456</v>
      </c>
      <c r="IQ288" s="224">
        <f t="shared" si="2009"/>
        <v>1728</v>
      </c>
      <c r="IR288" s="224">
        <f t="shared" si="1918"/>
        <v>7488</v>
      </c>
      <c r="IS288" s="222">
        <f t="shared" si="1919"/>
        <v>3.6923076923076925</v>
      </c>
      <c r="IT288" s="223">
        <f t="shared" si="1920"/>
        <v>11.076923076923077</v>
      </c>
      <c r="IU288" s="243">
        <f t="shared" si="1921"/>
        <v>8.3076923076923084</v>
      </c>
      <c r="IV288" s="243">
        <f t="shared" si="1922"/>
        <v>23.07692307692308</v>
      </c>
      <c r="IW288" s="252">
        <f t="shared" si="1923"/>
        <v>0</v>
      </c>
      <c r="IX288" s="309">
        <f t="shared" si="1924"/>
        <v>23.07692307692308</v>
      </c>
      <c r="IY288" s="218">
        <f>IF(IV288&lt;=0,2,0)+IF(IV288&gt;0,IV288+1,0)*2+IF(IV288&gt;12,IV288-12,0)*2+IF(IV288&gt;13,IV288-13,0)*2+IF(IV288&gt;14,IV288-14,0)*2+IF(IV288&gt;15,IV288-15,0)*2+IF(IV288&gt;16,IV288-16,0)*2+IF(IV288&gt;17,IV288-17,0)*2+IF(IV288&gt;18,IV288-18,0)*2+IF(IV288&gt;19,IV288-19,0)*2+IF(IV288&gt;20,IV288-20,0)*2</f>
        <v>175.5384615384616</v>
      </c>
      <c r="IZ288" s="242">
        <f>IF(IW288&lt;=0,2,0)+IF(IW288&gt;0,IW288+1,0)*2+IF(IW288&gt;12,IW288-12,0)*2+IF(IW288&gt;13,IW288-13,0)*2+IF(IW288&gt;14,IW288-14,0)*2+IF(IW288&gt;15,IW288-15,0)*2+IF(IW288&gt;16,IW288-16,0)*2+IF(IW288&gt;17,IW288-17,0)*2+IF(IW288&gt;18,IW288-18,0)*2+IF(IW288&gt;19,IW288-19,0)*2+IF(IW288&gt;20,IW288-20,0)*2</f>
        <v>2</v>
      </c>
      <c r="JA288" s="243">
        <f t="shared" si="1926"/>
        <v>173.5384615384616</v>
      </c>
      <c r="JB288" s="218">
        <f t="shared" si="1927"/>
        <v>0</v>
      </c>
      <c r="JE288" s="148"/>
    </row>
    <row r="289" spans="1:265" hidden="1" outlineLevel="2">
      <c r="B289" s="148">
        <v>29</v>
      </c>
      <c r="C289" s="303" t="e">
        <f>VLOOKUP(AF289,Attribute!C:T,1,FALSE)</f>
        <v>#N/A</v>
      </c>
      <c r="D289" s="125" t="s">
        <v>443</v>
      </c>
      <c r="E289" s="127" t="s">
        <v>133</v>
      </c>
      <c r="F289" s="114">
        <f>Konvention_1master-MUmaster</f>
        <v>12</v>
      </c>
      <c r="G289" s="113">
        <f>Konvention_1master-KLmaster</f>
        <v>12</v>
      </c>
      <c r="H289" s="113"/>
      <c r="I289" s="113"/>
      <c r="J289" s="113"/>
      <c r="K289" s="113"/>
      <c r="L289" s="113"/>
      <c r="M289" s="119">
        <f>Konvention_1master-KKmaster</f>
        <v>12</v>
      </c>
      <c r="N289" s="223">
        <f t="shared" si="1983"/>
        <v>12</v>
      </c>
      <c r="O289" s="223">
        <f t="shared" si="1795"/>
        <v>24</v>
      </c>
      <c r="P289" s="224">
        <f t="shared" si="1796"/>
        <v>36</v>
      </c>
      <c r="Q289" s="237">
        <f t="shared" si="1984"/>
        <v>2304</v>
      </c>
      <c r="R289" s="113">
        <f>F289*G289*KKmaster+F289*KLmaster*M289+MUmaster*G289*M289</f>
        <v>3456</v>
      </c>
      <c r="S289" s="224">
        <f t="shared" si="1985"/>
        <v>1728</v>
      </c>
      <c r="T289" s="224">
        <f t="shared" si="1799"/>
        <v>7488</v>
      </c>
      <c r="U289" s="222">
        <f t="shared" si="1800"/>
        <v>3.6923076923076925</v>
      </c>
      <c r="V289" s="223">
        <f t="shared" si="1801"/>
        <v>11.076923076923077</v>
      </c>
      <c r="W289" s="243">
        <f t="shared" si="1802"/>
        <v>8.3076923076923084</v>
      </c>
      <c r="X289" s="243">
        <f t="shared" si="1803"/>
        <v>23.07692307692308</v>
      </c>
      <c r="Y289" s="252">
        <v>0</v>
      </c>
      <c r="Z289" s="198">
        <f t="shared" si="1804"/>
        <v>23.07692307692308</v>
      </c>
      <c r="AA289" s="125">
        <f>IF(X289&lt;=0,1,0)+IF(X289&gt;0,X289+1,0)*1+IF(X289&gt;12,X289-12,0)*1+IF(X289&gt;13,X289-13,0)*1+IF(X289&gt;14,X289-14,0)*1+IF(X289&gt;15,X289-15,0)*1+IF(X289&gt;16,X289-16,0)*1+IF(X289&gt;17,X289-17,0)*1+IF(X289&gt;18,X289-18,0)*1+IF(X289&gt;19,X289-19,0)*1+IF(X289&gt;20,X289-20,0)*1</f>
        <v>87.769230769230802</v>
      </c>
      <c r="AB289" s="160">
        <f>IF(Y289&lt;=0,1,0)+IF(Y289&gt;0,Y289+1,0)*1+IF(Y289&gt;12,Y289-12,0)*1+IF(Y289&gt;13,Y289-13,0)*1+IF(Y289&gt;14,Y289-14,0)*1+IF(Y289&gt;15,Y289-15,0)*1+IF(Y289&gt;16,Y289-16,0)*1+IF(Y289&gt;17,Y289-17,0)*1+IF(Y289&gt;18,Y289-18,0)*1+IF(Y289&gt;19,Y289-19,0)*1+IF(Y289&gt;20,Y289-20,0)*1</f>
        <v>1</v>
      </c>
      <c r="AC289" s="127">
        <f t="shared" si="1806"/>
        <v>86.769230769230802</v>
      </c>
      <c r="AD289" s="125">
        <f t="shared" si="1807"/>
        <v>0</v>
      </c>
      <c r="AF289" s="163" t="s">
        <v>418</v>
      </c>
      <c r="AG289" s="125" t="s">
        <v>443</v>
      </c>
      <c r="AH289" s="127" t="s">
        <v>133</v>
      </c>
      <c r="AI289" s="114">
        <f>Konvention_1slave-MUslave_MU</f>
        <v>11</v>
      </c>
      <c r="AJ289" s="113">
        <f>Konvention_1slave-KLslave</f>
        <v>12</v>
      </c>
      <c r="AK289" s="113"/>
      <c r="AL289" s="113"/>
      <c r="AM289" s="113"/>
      <c r="AN289" s="113"/>
      <c r="AO289" s="113"/>
      <c r="AP289" s="119">
        <f>Konvention_1slave-KKslave</f>
        <v>12</v>
      </c>
      <c r="AQ289" s="47">
        <f t="shared" si="1986"/>
        <v>11.666666666666666</v>
      </c>
      <c r="AR289" s="47">
        <f t="shared" si="1809"/>
        <v>23.333333333333332</v>
      </c>
      <c r="AS289" s="119">
        <f t="shared" si="1810"/>
        <v>35</v>
      </c>
      <c r="AT289" s="114">
        <f t="shared" si="1987"/>
        <v>2432</v>
      </c>
      <c r="AU289" s="113">
        <f>AI289*AJ289*KKslave+AI289*KLslave*AP289+MUslave_MU*AJ289*AP289</f>
        <v>3408</v>
      </c>
      <c r="AV289" s="119">
        <f t="shared" si="1988"/>
        <v>1584</v>
      </c>
      <c r="AW289" s="119">
        <f t="shared" si="1813"/>
        <v>7424</v>
      </c>
      <c r="AX289" s="89">
        <f t="shared" si="1814"/>
        <v>3.8218390804597702</v>
      </c>
      <c r="AY289" s="47">
        <f t="shared" si="1815"/>
        <v>10.711206896551724</v>
      </c>
      <c r="AZ289" s="127">
        <f t="shared" si="1816"/>
        <v>7.4676724137931032</v>
      </c>
      <c r="BA289" s="127">
        <f t="shared" si="1817"/>
        <v>22.000718390804597</v>
      </c>
      <c r="BB289" s="165">
        <f t="shared" si="1818"/>
        <v>0</v>
      </c>
      <c r="BC289" s="198">
        <f t="shared" si="1819"/>
        <v>22.000718390804597</v>
      </c>
      <c r="BD289" s="125">
        <f>IF(BA289&lt;=0,1,0)+IF(BA289&gt;0,BA289+1,0)*1+IF(BA289&gt;12,BA289-12,0)*1+IF(BA289&gt;13,BA289-13,0)*1+IF(BA289&gt;14,BA289-14,0)*1+IF(BA289&gt;15,BA289-15,0)*1+IF(BA289&gt;16,BA289-16,0)*1+IF(BA289&gt;17,BA289-17,0)*1+IF(BA289&gt;18,BA289-18,0)*1+IF(BA289&gt;19,BA289-19,0)*1+IF(BA289&gt;20,BA289-20,0)*1</f>
        <v>77.007183908045945</v>
      </c>
      <c r="BE289" s="160">
        <f>IF(BB289&lt;=0,1,0)+IF(BB289&gt;0,BB289+1,0)*1+IF(BB289&gt;12,BB289-12,0)*1+IF(BB289&gt;13,BB289-13,0)*1+IF(BB289&gt;14,BB289-14,0)*1+IF(BB289&gt;15,BB289-15,0)*1+IF(BB289&gt;16,BB289-16,0)*1+IF(BB289&gt;17,BB289-17,0)*1+IF(BB289&gt;18,BB289-18,0)*1+IF(BB289&gt;19,BB289-19,0)*1+IF(BB289&gt;20,BB289-20,0)*1</f>
        <v>1</v>
      </c>
      <c r="BF289" s="243">
        <f t="shared" si="1821"/>
        <v>76.007183908045945</v>
      </c>
      <c r="BG289" s="218">
        <f t="shared" si="1822"/>
        <v>0</v>
      </c>
      <c r="BI289" s="303" t="s">
        <v>418</v>
      </c>
      <c r="BJ289" s="218" t="s">
        <v>443</v>
      </c>
      <c r="BK289" s="243" t="s">
        <v>133</v>
      </c>
      <c r="BL289" s="237">
        <f>Konvention_1slave-MUslave</f>
        <v>12</v>
      </c>
      <c r="BM289" s="234">
        <f>Konvention_1slave-KLslave_KL</f>
        <v>11</v>
      </c>
      <c r="BN289" s="234"/>
      <c r="BO289" s="234"/>
      <c r="BP289" s="234"/>
      <c r="BQ289" s="234"/>
      <c r="BR289" s="234"/>
      <c r="BS289" s="224">
        <f>Konvention_1slave-KKslave</f>
        <v>12</v>
      </c>
      <c r="BT289" s="223">
        <f t="shared" si="1989"/>
        <v>11.666666666666666</v>
      </c>
      <c r="BU289" s="223">
        <f t="shared" si="1824"/>
        <v>23.333333333333332</v>
      </c>
      <c r="BV289" s="224">
        <f t="shared" si="1825"/>
        <v>35</v>
      </c>
      <c r="BW289" s="237">
        <f t="shared" si="1990"/>
        <v>2432</v>
      </c>
      <c r="BX289" s="234">
        <f>BL289*BM289*KKslave+BL289*KLslave_KL*BS289+MUslave*BM289*BS289</f>
        <v>3408</v>
      </c>
      <c r="BY289" s="224">
        <f t="shared" si="1991"/>
        <v>1584</v>
      </c>
      <c r="BZ289" s="224">
        <f t="shared" si="1828"/>
        <v>7424</v>
      </c>
      <c r="CA289" s="222">
        <f t="shared" si="1829"/>
        <v>3.8218390804597702</v>
      </c>
      <c r="CB289" s="223">
        <f t="shared" si="1830"/>
        <v>10.711206896551724</v>
      </c>
      <c r="CC289" s="243">
        <f t="shared" si="1831"/>
        <v>7.4676724137931032</v>
      </c>
      <c r="CD289" s="243">
        <f t="shared" si="1832"/>
        <v>22.000718390804597</v>
      </c>
      <c r="CE289" s="252">
        <f t="shared" si="1833"/>
        <v>0</v>
      </c>
      <c r="CF289" s="309">
        <f t="shared" si="1834"/>
        <v>22.000718390804597</v>
      </c>
      <c r="CG289" s="218">
        <f>IF(CD289&lt;=0,1,0)+IF(CD289&gt;0,CD289+1,0)*1+IF(CD289&gt;12,CD289-12,0)*1+IF(CD289&gt;13,CD289-13,0)*1+IF(CD289&gt;14,CD289-14,0)*1+IF(CD289&gt;15,CD289-15,0)*1+IF(CD289&gt;16,CD289-16,0)*1+IF(CD289&gt;17,CD289-17,0)*1+IF(CD289&gt;18,CD289-18,0)*1+IF(CD289&gt;19,CD289-19,0)*1+IF(CD289&gt;20,CD289-20,0)*1</f>
        <v>77.007183908045945</v>
      </c>
      <c r="CH289" s="242">
        <f>IF(CE289&lt;=0,1,0)+IF(CE289&gt;0,CE289+1,0)*1+IF(CE289&gt;12,CE289-12,0)*1+IF(CE289&gt;13,CE289-13,0)*1+IF(CE289&gt;14,CE289-14,0)*1+IF(CE289&gt;15,CE289-15,0)*1+IF(CE289&gt;16,CE289-16,0)*1+IF(CE289&gt;17,CE289-17,0)*1+IF(CE289&gt;18,CE289-18,0)*1+IF(CE289&gt;19,CE289-19,0)*1+IF(CE289&gt;20,CE289-20,0)*1</f>
        <v>1</v>
      </c>
      <c r="CI289" s="243">
        <f t="shared" si="1836"/>
        <v>76.007183908045945</v>
      </c>
      <c r="CJ289" s="218">
        <f t="shared" si="1837"/>
        <v>0</v>
      </c>
      <c r="CL289" s="303" t="s">
        <v>418</v>
      </c>
      <c r="CM289" s="218" t="s">
        <v>443</v>
      </c>
      <c r="CN289" s="243" t="s">
        <v>133</v>
      </c>
      <c r="CO289" s="237">
        <f>Konvention_1slave-MUslave</f>
        <v>12</v>
      </c>
      <c r="CP289" s="234">
        <f>Konvention_1slave-KLslave</f>
        <v>12</v>
      </c>
      <c r="CQ289" s="234"/>
      <c r="CR289" s="234"/>
      <c r="CS289" s="234"/>
      <c r="CT289" s="234"/>
      <c r="CU289" s="234"/>
      <c r="CV289" s="224">
        <f>Konvention_1slave-KKslave</f>
        <v>12</v>
      </c>
      <c r="CW289" s="223">
        <f t="shared" si="1992"/>
        <v>12</v>
      </c>
      <c r="CX289" s="223">
        <f t="shared" si="1839"/>
        <v>24</v>
      </c>
      <c r="CY289" s="224">
        <f t="shared" si="1840"/>
        <v>36</v>
      </c>
      <c r="CZ289" s="237">
        <f t="shared" si="1993"/>
        <v>2304</v>
      </c>
      <c r="DA289" s="234">
        <f>CO289*CP289*KKslave+CO289*KLslave*CV289+MUslave*CP289*CV289</f>
        <v>3456</v>
      </c>
      <c r="DB289" s="224">
        <f t="shared" si="1994"/>
        <v>1728</v>
      </c>
      <c r="DC289" s="224">
        <f t="shared" si="1843"/>
        <v>7488</v>
      </c>
      <c r="DD289" s="222">
        <f t="shared" si="1844"/>
        <v>3.6923076923076925</v>
      </c>
      <c r="DE289" s="223">
        <f t="shared" si="1845"/>
        <v>11.076923076923077</v>
      </c>
      <c r="DF289" s="243">
        <f t="shared" si="1846"/>
        <v>8.3076923076923084</v>
      </c>
      <c r="DG289" s="243">
        <f t="shared" si="1847"/>
        <v>23.07692307692308</v>
      </c>
      <c r="DH289" s="252">
        <f t="shared" si="1848"/>
        <v>0</v>
      </c>
      <c r="DI289" s="309">
        <f t="shared" si="1849"/>
        <v>23.07692307692308</v>
      </c>
      <c r="DJ289" s="218">
        <f>IF(DG289&lt;=0,1,0)+IF(DG289&gt;0,DG289+1,0)*1+IF(DG289&gt;12,DG289-12,0)*1+IF(DG289&gt;13,DG289-13,0)*1+IF(DG289&gt;14,DG289-14,0)*1+IF(DG289&gt;15,DG289-15,0)*1+IF(DG289&gt;16,DG289-16,0)*1+IF(DG289&gt;17,DG289-17,0)*1+IF(DG289&gt;18,DG289-18,0)*1+IF(DG289&gt;19,DG289-19,0)*1+IF(DG289&gt;20,DG289-20,0)*1</f>
        <v>87.769230769230802</v>
      </c>
      <c r="DK289" s="242">
        <f>IF(DH289&lt;=0,1,0)+IF(DH289&gt;0,DH289+1,0)*1+IF(DH289&gt;12,DH289-12,0)*1+IF(DH289&gt;13,DH289-13,0)*1+IF(DH289&gt;14,DH289-14,0)*1+IF(DH289&gt;15,DH289-15,0)*1+IF(DH289&gt;16,DH289-16,0)*1+IF(DH289&gt;17,DH289-17,0)*1+IF(DH289&gt;18,DH289-18,0)*1+IF(DH289&gt;19,DH289-19,0)*1+IF(DH289&gt;20,DH289-20,0)*1</f>
        <v>1</v>
      </c>
      <c r="DL289" s="243">
        <f t="shared" si="1851"/>
        <v>86.769230769230802</v>
      </c>
      <c r="DM289" s="218">
        <f t="shared" si="1852"/>
        <v>0</v>
      </c>
      <c r="DO289" s="303" t="s">
        <v>418</v>
      </c>
      <c r="DP289" s="218" t="s">
        <v>443</v>
      </c>
      <c r="DQ289" s="243" t="s">
        <v>133</v>
      </c>
      <c r="DR289" s="237">
        <f>Konvention_1slave-MUslave</f>
        <v>12</v>
      </c>
      <c r="DS289" s="234">
        <f>Konvention_1slave-KLslave</f>
        <v>12</v>
      </c>
      <c r="DT289" s="234"/>
      <c r="DU289" s="234"/>
      <c r="DV289" s="234"/>
      <c r="DW289" s="234"/>
      <c r="DX289" s="234"/>
      <c r="DY289" s="224">
        <f>Konvention_1slave-KKslave</f>
        <v>12</v>
      </c>
      <c r="DZ289" s="223">
        <f t="shared" si="1995"/>
        <v>12</v>
      </c>
      <c r="EA289" s="223">
        <f t="shared" si="1854"/>
        <v>24</v>
      </c>
      <c r="EB289" s="224">
        <f t="shared" si="1855"/>
        <v>36</v>
      </c>
      <c r="EC289" s="237">
        <f t="shared" si="1996"/>
        <v>2304</v>
      </c>
      <c r="ED289" s="234">
        <f>DR289*DS289*KKslave+DR289*KLslave*DY289+MUslave*DS289*DY289</f>
        <v>3456</v>
      </c>
      <c r="EE289" s="224">
        <f t="shared" si="1997"/>
        <v>1728</v>
      </c>
      <c r="EF289" s="224">
        <f t="shared" si="1858"/>
        <v>7488</v>
      </c>
      <c r="EG289" s="222">
        <f t="shared" si="1859"/>
        <v>3.6923076923076925</v>
      </c>
      <c r="EH289" s="223">
        <f t="shared" si="1860"/>
        <v>11.076923076923077</v>
      </c>
      <c r="EI289" s="243">
        <f t="shared" si="1861"/>
        <v>8.3076923076923084</v>
      </c>
      <c r="EJ289" s="243">
        <f t="shared" si="1862"/>
        <v>23.07692307692308</v>
      </c>
      <c r="EK289" s="252">
        <f t="shared" si="1863"/>
        <v>0</v>
      </c>
      <c r="EL289" s="309">
        <f t="shared" si="1864"/>
        <v>23.07692307692308</v>
      </c>
      <c r="EM289" s="218">
        <f>IF(EJ289&lt;=0,1,0)+IF(EJ289&gt;0,EJ289+1,0)*1+IF(EJ289&gt;12,EJ289-12,0)*1+IF(EJ289&gt;13,EJ289-13,0)*1+IF(EJ289&gt;14,EJ289-14,0)*1+IF(EJ289&gt;15,EJ289-15,0)*1+IF(EJ289&gt;16,EJ289-16,0)*1+IF(EJ289&gt;17,EJ289-17,0)*1+IF(EJ289&gt;18,EJ289-18,0)*1+IF(EJ289&gt;19,EJ289-19,0)*1+IF(EJ289&gt;20,EJ289-20,0)*1</f>
        <v>87.769230769230802</v>
      </c>
      <c r="EN289" s="242">
        <f>IF(EK289&lt;=0,1,0)+IF(EK289&gt;0,EK289+1,0)*1+IF(EK289&gt;12,EK289-12,0)*1+IF(EK289&gt;13,EK289-13,0)*1+IF(EK289&gt;14,EK289-14,0)*1+IF(EK289&gt;15,EK289-15,0)*1+IF(EK289&gt;16,EK289-16,0)*1+IF(EK289&gt;17,EK289-17,0)*1+IF(EK289&gt;18,EK289-18,0)*1+IF(EK289&gt;19,EK289-19,0)*1+IF(EK289&gt;20,EK289-20,0)*1</f>
        <v>1</v>
      </c>
      <c r="EO289" s="243">
        <f t="shared" si="1866"/>
        <v>86.769230769230802</v>
      </c>
      <c r="EP289" s="218">
        <f t="shared" si="1867"/>
        <v>0</v>
      </c>
      <c r="ER289" s="303" t="s">
        <v>418</v>
      </c>
      <c r="ES289" s="218" t="s">
        <v>443</v>
      </c>
      <c r="ET289" s="243" t="s">
        <v>133</v>
      </c>
      <c r="EU289" s="237">
        <f>Konvention_1slave-MUslave</f>
        <v>12</v>
      </c>
      <c r="EV289" s="234">
        <f>Konvention_1slave-KLslave</f>
        <v>12</v>
      </c>
      <c r="EW289" s="234"/>
      <c r="EX289" s="234"/>
      <c r="EY289" s="234"/>
      <c r="EZ289" s="234"/>
      <c r="FA289" s="234"/>
      <c r="FB289" s="224">
        <f>Konvention_1slave-KKslave</f>
        <v>12</v>
      </c>
      <c r="FC289" s="223">
        <f t="shared" si="1998"/>
        <v>12</v>
      </c>
      <c r="FD289" s="223">
        <f t="shared" si="1869"/>
        <v>24</v>
      </c>
      <c r="FE289" s="224">
        <f t="shared" si="1870"/>
        <v>36</v>
      </c>
      <c r="FF289" s="237">
        <f t="shared" si="1999"/>
        <v>2304</v>
      </c>
      <c r="FG289" s="234">
        <f>EU289*EV289*KKslave+EU289*KLslave*FB289+MUslave*EV289*FB289</f>
        <v>3456</v>
      </c>
      <c r="FH289" s="224">
        <f t="shared" si="2000"/>
        <v>1728</v>
      </c>
      <c r="FI289" s="224">
        <f t="shared" si="1873"/>
        <v>7488</v>
      </c>
      <c r="FJ289" s="222">
        <f t="shared" si="1874"/>
        <v>3.6923076923076925</v>
      </c>
      <c r="FK289" s="223">
        <f t="shared" si="1875"/>
        <v>11.076923076923077</v>
      </c>
      <c r="FL289" s="243">
        <f t="shared" si="1876"/>
        <v>8.3076923076923084</v>
      </c>
      <c r="FM289" s="243">
        <f t="shared" si="1877"/>
        <v>23.07692307692308</v>
      </c>
      <c r="FN289" s="252">
        <f t="shared" si="1878"/>
        <v>0</v>
      </c>
      <c r="FO289" s="309">
        <f t="shared" si="1879"/>
        <v>23.07692307692308</v>
      </c>
      <c r="FP289" s="218">
        <f>IF(FM289&lt;=0,1,0)+IF(FM289&gt;0,FM289+1,0)*1+IF(FM289&gt;12,FM289-12,0)*1+IF(FM289&gt;13,FM289-13,0)*1+IF(FM289&gt;14,FM289-14,0)*1+IF(FM289&gt;15,FM289-15,0)*1+IF(FM289&gt;16,FM289-16,0)*1+IF(FM289&gt;17,FM289-17,0)*1+IF(FM289&gt;18,FM289-18,0)*1+IF(FM289&gt;19,FM289-19,0)*1+IF(FM289&gt;20,FM289-20,0)*1</f>
        <v>87.769230769230802</v>
      </c>
      <c r="FQ289" s="242">
        <f>IF(FN289&lt;=0,1,0)+IF(FN289&gt;0,FN289+1,0)*1+IF(FN289&gt;12,FN289-12,0)*1+IF(FN289&gt;13,FN289-13,0)*1+IF(FN289&gt;14,FN289-14,0)*1+IF(FN289&gt;15,FN289-15,0)*1+IF(FN289&gt;16,FN289-16,0)*1+IF(FN289&gt;17,FN289-17,0)*1+IF(FN289&gt;18,FN289-18,0)*1+IF(FN289&gt;19,FN289-19,0)*1+IF(FN289&gt;20,FN289-20,0)*1</f>
        <v>1</v>
      </c>
      <c r="FR289" s="243">
        <f t="shared" si="1881"/>
        <v>86.769230769230802</v>
      </c>
      <c r="FS289" s="218">
        <f t="shared" si="1882"/>
        <v>0</v>
      </c>
      <c r="FU289" s="303" t="s">
        <v>418</v>
      </c>
      <c r="FV289" s="218" t="s">
        <v>443</v>
      </c>
      <c r="FW289" s="243" t="s">
        <v>133</v>
      </c>
      <c r="FX289" s="237">
        <f>Konvention_1slave-MUslave</f>
        <v>12</v>
      </c>
      <c r="FY289" s="234">
        <f>Konvention_1slave-KLslave</f>
        <v>12</v>
      </c>
      <c r="FZ289" s="234"/>
      <c r="GA289" s="234"/>
      <c r="GB289" s="234"/>
      <c r="GC289" s="234"/>
      <c r="GD289" s="234"/>
      <c r="GE289" s="224">
        <f>Konvention_1slave-KKslave</f>
        <v>12</v>
      </c>
      <c r="GF289" s="223">
        <f t="shared" si="2001"/>
        <v>12</v>
      </c>
      <c r="GG289" s="223">
        <f t="shared" si="1884"/>
        <v>24</v>
      </c>
      <c r="GH289" s="224">
        <f t="shared" si="1885"/>
        <v>36</v>
      </c>
      <c r="GI289" s="237">
        <f t="shared" si="2002"/>
        <v>2304</v>
      </c>
      <c r="GJ289" s="234">
        <f>FX289*FY289*KKslave+FX289*KLslave*GE289+MUslave*FY289*GE289</f>
        <v>3456</v>
      </c>
      <c r="GK289" s="224">
        <f t="shared" si="2003"/>
        <v>1728</v>
      </c>
      <c r="GL289" s="224">
        <f t="shared" si="1888"/>
        <v>7488</v>
      </c>
      <c r="GM289" s="222">
        <f t="shared" si="1889"/>
        <v>3.6923076923076925</v>
      </c>
      <c r="GN289" s="223">
        <f t="shared" si="1890"/>
        <v>11.076923076923077</v>
      </c>
      <c r="GO289" s="243">
        <f t="shared" si="1891"/>
        <v>8.3076923076923084</v>
      </c>
      <c r="GP289" s="243">
        <f t="shared" si="1892"/>
        <v>23.07692307692308</v>
      </c>
      <c r="GQ289" s="252">
        <f t="shared" si="1893"/>
        <v>0</v>
      </c>
      <c r="GR289" s="309">
        <f t="shared" si="1894"/>
        <v>23.07692307692308</v>
      </c>
      <c r="GS289" s="218">
        <f>IF(GP289&lt;=0,1,0)+IF(GP289&gt;0,GP289+1,0)*1+IF(GP289&gt;12,GP289-12,0)*1+IF(GP289&gt;13,GP289-13,0)*1+IF(GP289&gt;14,GP289-14,0)*1+IF(GP289&gt;15,GP289-15,0)*1+IF(GP289&gt;16,GP289-16,0)*1+IF(GP289&gt;17,GP289-17,0)*1+IF(GP289&gt;18,GP289-18,0)*1+IF(GP289&gt;19,GP289-19,0)*1+IF(GP289&gt;20,GP289-20,0)*1</f>
        <v>87.769230769230802</v>
      </c>
      <c r="GT289" s="242">
        <f>IF(GQ289&lt;=0,1,0)+IF(GQ289&gt;0,GQ289+1,0)*1+IF(GQ289&gt;12,GQ289-12,0)*1+IF(GQ289&gt;13,GQ289-13,0)*1+IF(GQ289&gt;14,GQ289-14,0)*1+IF(GQ289&gt;15,GQ289-15,0)*1+IF(GQ289&gt;16,GQ289-16,0)*1+IF(GQ289&gt;17,GQ289-17,0)*1+IF(GQ289&gt;18,GQ289-18,0)*1+IF(GQ289&gt;19,GQ289-19,0)*1+IF(GQ289&gt;20,GQ289-20,0)*1</f>
        <v>1</v>
      </c>
      <c r="GU289" s="243">
        <f t="shared" si="1896"/>
        <v>86.769230769230802</v>
      </c>
      <c r="GV289" s="218">
        <f t="shared" si="1897"/>
        <v>0</v>
      </c>
      <c r="GX289" s="303" t="s">
        <v>418</v>
      </c>
      <c r="GY289" s="218" t="s">
        <v>443</v>
      </c>
      <c r="GZ289" s="243" t="s">
        <v>133</v>
      </c>
      <c r="HA289" s="237">
        <f>Konvention_1slave-MUslave</f>
        <v>12</v>
      </c>
      <c r="HB289" s="234">
        <f>Konvention_1slave-KLslave</f>
        <v>12</v>
      </c>
      <c r="HC289" s="234"/>
      <c r="HD289" s="234"/>
      <c r="HE289" s="234"/>
      <c r="HF289" s="234"/>
      <c r="HG289" s="234"/>
      <c r="HH289" s="224">
        <f>Konvention_1slave-KKslave</f>
        <v>12</v>
      </c>
      <c r="HI289" s="223">
        <f t="shared" si="2004"/>
        <v>12</v>
      </c>
      <c r="HJ289" s="223">
        <f t="shared" si="1899"/>
        <v>24</v>
      </c>
      <c r="HK289" s="224">
        <f t="shared" si="1900"/>
        <v>36</v>
      </c>
      <c r="HL289" s="237">
        <f t="shared" si="2005"/>
        <v>2304</v>
      </c>
      <c r="HM289" s="234">
        <f>HA289*HB289*KKslave+HA289*KLslave*HH289+MUslave*HB289*HH289</f>
        <v>3456</v>
      </c>
      <c r="HN289" s="224">
        <f t="shared" si="2006"/>
        <v>1728</v>
      </c>
      <c r="HO289" s="224">
        <f t="shared" si="1903"/>
        <v>7488</v>
      </c>
      <c r="HP289" s="222">
        <f t="shared" si="1904"/>
        <v>3.6923076923076925</v>
      </c>
      <c r="HQ289" s="223">
        <f t="shared" si="1905"/>
        <v>11.076923076923077</v>
      </c>
      <c r="HR289" s="243">
        <f t="shared" si="1906"/>
        <v>8.3076923076923084</v>
      </c>
      <c r="HS289" s="243">
        <f t="shared" si="1907"/>
        <v>23.07692307692308</v>
      </c>
      <c r="HT289" s="252">
        <f t="shared" si="1908"/>
        <v>0</v>
      </c>
      <c r="HU289" s="309">
        <f t="shared" si="1909"/>
        <v>23.07692307692308</v>
      </c>
      <c r="HV289" s="218">
        <f>IF(HS289&lt;=0,1,0)+IF(HS289&gt;0,HS289+1,0)*1+IF(HS289&gt;12,HS289-12,0)*1+IF(HS289&gt;13,HS289-13,0)*1+IF(HS289&gt;14,HS289-14,0)*1+IF(HS289&gt;15,HS289-15,0)*1+IF(HS289&gt;16,HS289-16,0)*1+IF(HS289&gt;17,HS289-17,0)*1+IF(HS289&gt;18,HS289-18,0)*1+IF(HS289&gt;19,HS289-19,0)*1+IF(HS289&gt;20,HS289-20,0)*1</f>
        <v>87.769230769230802</v>
      </c>
      <c r="HW289" s="242">
        <f>IF(HT289&lt;=0,1,0)+IF(HT289&gt;0,HT289+1,0)*1+IF(HT289&gt;12,HT289-12,0)*1+IF(HT289&gt;13,HT289-13,0)*1+IF(HT289&gt;14,HT289-14,0)*1+IF(HT289&gt;15,HT289-15,0)*1+IF(HT289&gt;16,HT289-16,0)*1+IF(HT289&gt;17,HT289-17,0)*1+IF(HT289&gt;18,HT289-18,0)*1+IF(HT289&gt;19,HT289-19,0)*1+IF(HT289&gt;20,HT289-20,0)*1</f>
        <v>1</v>
      </c>
      <c r="HX289" s="243">
        <f t="shared" si="1911"/>
        <v>86.769230769230802</v>
      </c>
      <c r="HY289" s="218">
        <f t="shared" si="1912"/>
        <v>0</v>
      </c>
      <c r="IA289" s="303" t="s">
        <v>418</v>
      </c>
      <c r="IB289" s="218" t="s">
        <v>443</v>
      </c>
      <c r="IC289" s="243" t="s">
        <v>133</v>
      </c>
      <c r="ID289" s="237">
        <f>Konvention_1slave-MUslave</f>
        <v>12</v>
      </c>
      <c r="IE289" s="234">
        <f>Konvention_1slave-KLslave</f>
        <v>12</v>
      </c>
      <c r="IF289" s="234"/>
      <c r="IG289" s="234"/>
      <c r="IH289" s="234"/>
      <c r="II289" s="234"/>
      <c r="IJ289" s="234"/>
      <c r="IK289" s="224">
        <f>Konvention_1slave-KKslave_KK</f>
        <v>11</v>
      </c>
      <c r="IL289" s="223">
        <f t="shared" si="2007"/>
        <v>11.666666666666666</v>
      </c>
      <c r="IM289" s="223">
        <f t="shared" si="1914"/>
        <v>23.333333333333332</v>
      </c>
      <c r="IN289" s="224">
        <f t="shared" si="1915"/>
        <v>35</v>
      </c>
      <c r="IO289" s="237">
        <f t="shared" si="2008"/>
        <v>2432</v>
      </c>
      <c r="IP289" s="234">
        <f>ID289*IE289*KKslave_KK+ID289*KLslave*IK289+MUslave*IE289*IK289</f>
        <v>3408</v>
      </c>
      <c r="IQ289" s="224">
        <f t="shared" si="2009"/>
        <v>1584</v>
      </c>
      <c r="IR289" s="224">
        <f t="shared" si="1918"/>
        <v>7424</v>
      </c>
      <c r="IS289" s="222">
        <f t="shared" si="1919"/>
        <v>3.8218390804597702</v>
      </c>
      <c r="IT289" s="223">
        <f t="shared" si="1920"/>
        <v>10.711206896551724</v>
      </c>
      <c r="IU289" s="243">
        <f t="shared" si="1921"/>
        <v>7.4676724137931032</v>
      </c>
      <c r="IV289" s="243">
        <f t="shared" si="1922"/>
        <v>22.000718390804597</v>
      </c>
      <c r="IW289" s="252">
        <f t="shared" si="1923"/>
        <v>0</v>
      </c>
      <c r="IX289" s="309">
        <f t="shared" si="1924"/>
        <v>22.000718390804597</v>
      </c>
      <c r="IY289" s="218">
        <f>IF(IV289&lt;=0,1,0)+IF(IV289&gt;0,IV289+1,0)*1+IF(IV289&gt;12,IV289-12,0)*1+IF(IV289&gt;13,IV289-13,0)*1+IF(IV289&gt;14,IV289-14,0)*1+IF(IV289&gt;15,IV289-15,0)*1+IF(IV289&gt;16,IV289-16,0)*1+IF(IV289&gt;17,IV289-17,0)*1+IF(IV289&gt;18,IV289-18,0)*1+IF(IV289&gt;19,IV289-19,0)*1+IF(IV289&gt;20,IV289-20,0)*1</f>
        <v>77.007183908045945</v>
      </c>
      <c r="IZ289" s="242">
        <f>IF(IW289&lt;=0,1,0)+IF(IW289&gt;0,IW289+1,0)*1+IF(IW289&gt;12,IW289-12,0)*1+IF(IW289&gt;13,IW289-13,0)*1+IF(IW289&gt;14,IW289-14,0)*1+IF(IW289&gt;15,IW289-15,0)*1+IF(IW289&gt;16,IW289-16,0)*1+IF(IW289&gt;17,IW289-17,0)*1+IF(IW289&gt;18,IW289-18,0)*1+IF(IW289&gt;19,IW289-19,0)*1+IF(IW289&gt;20,IW289-20,0)*1</f>
        <v>1</v>
      </c>
      <c r="JA289" s="243">
        <f t="shared" si="1926"/>
        <v>76.007183908045945</v>
      </c>
      <c r="JB289" s="218">
        <f t="shared" si="1927"/>
        <v>0</v>
      </c>
      <c r="JE289" s="148"/>
    </row>
    <row r="290" spans="1:265" ht="15" hidden="1" customHeight="1" outlineLevel="2">
      <c r="B290" s="148">
        <v>30</v>
      </c>
      <c r="C290" s="303" t="e">
        <f>VLOOKUP(AF290,Attribute!C:T,1,FALSE)</f>
        <v>#N/A</v>
      </c>
      <c r="D290" s="86" t="s">
        <v>172</v>
      </c>
      <c r="E290" s="127" t="s">
        <v>132</v>
      </c>
      <c r="F290" s="114">
        <f>Konvention_1master-MUmaster</f>
        <v>12</v>
      </c>
      <c r="G290" s="113"/>
      <c r="H290" s="113"/>
      <c r="I290" s="113">
        <f>Konvention_1master-CHmaster</f>
        <v>12</v>
      </c>
      <c r="J290" s="113"/>
      <c r="K290" s="113">
        <f>Konvention_1master-GEmaster</f>
        <v>12</v>
      </c>
      <c r="L290" s="113"/>
      <c r="M290" s="119"/>
      <c r="N290" s="223">
        <f t="shared" si="1983"/>
        <v>12</v>
      </c>
      <c r="O290" s="223">
        <f t="shared" si="1795"/>
        <v>24</v>
      </c>
      <c r="P290" s="224">
        <f t="shared" si="1796"/>
        <v>36</v>
      </c>
      <c r="Q290" s="237">
        <f t="shared" si="1984"/>
        <v>2304</v>
      </c>
      <c r="R290" s="113">
        <f>F290*I290*GEmaster+F290*CHmaster*K290+MUmaster*I290*K290</f>
        <v>3456</v>
      </c>
      <c r="S290" s="224">
        <f t="shared" si="1985"/>
        <v>1728</v>
      </c>
      <c r="T290" s="224">
        <f t="shared" si="1799"/>
        <v>7488</v>
      </c>
      <c r="U290" s="222">
        <f t="shared" si="1800"/>
        <v>3.6923076923076925</v>
      </c>
      <c r="V290" s="223">
        <f t="shared" si="1801"/>
        <v>11.076923076923077</v>
      </c>
      <c r="W290" s="243">
        <f t="shared" si="1802"/>
        <v>8.3076923076923084</v>
      </c>
      <c r="X290" s="243">
        <f t="shared" si="1803"/>
        <v>23.07692307692308</v>
      </c>
      <c r="Y290" s="252">
        <v>0</v>
      </c>
      <c r="Z290" s="198">
        <f t="shared" si="1804"/>
        <v>23.07692307692308</v>
      </c>
      <c r="AA290" s="125">
        <f>IF(X290&lt;=0,2,0)+IF(X290&gt;0,X290+1,0)*2+IF(X290&gt;12,X290-12,0)*2+IF(X290&gt;13,X290-13,0)*2+IF(X290&gt;14,X290-14,0)*2+IF(X290&gt;15,X290-15,0)*2+IF(X290&gt;16,X290-16,0)*2+IF(X290&gt;17,X290-17,0)*2+IF(X290&gt;18,X290-18,0)*2+IF(X290&gt;19,X290-19,0)*2+IF(X290&gt;20,X290-20,0)*2</f>
        <v>175.5384615384616</v>
      </c>
      <c r="AB290" s="160">
        <f>IF(Y290&lt;=0,2,0)+IF(Y290&gt;0,Y290+1,0)*2+IF(Y290&gt;12,Y290-12,0)*2+IF(Y290&gt;13,Y290-13,0)*2+IF(Y290&gt;14,Y290-14,0)*2+IF(Y290&gt;15,Y290-15,0)*2+IF(Y290&gt;16,Y290-16,0)*2+IF(Y290&gt;17,Y290-17,0)*2+IF(Y290&gt;18,Y290-18,0)*2+IF(Y290&gt;19,Y290-19,0)*2+IF(Y290&gt;20,Y290-20,0)*2</f>
        <v>2</v>
      </c>
      <c r="AC290" s="127">
        <f t="shared" si="1806"/>
        <v>173.5384615384616</v>
      </c>
      <c r="AD290" s="125">
        <f t="shared" si="1807"/>
        <v>0</v>
      </c>
      <c r="AF290" s="163" t="s">
        <v>366</v>
      </c>
      <c r="AG290" s="125" t="s">
        <v>172</v>
      </c>
      <c r="AH290" s="127" t="s">
        <v>132</v>
      </c>
      <c r="AI290" s="114">
        <f>Konvention_1slave-MUslave_MU</f>
        <v>11</v>
      </c>
      <c r="AJ290" s="113"/>
      <c r="AK290" s="113"/>
      <c r="AL290" s="113">
        <f>Konvention_1slave-CHslave</f>
        <v>12</v>
      </c>
      <c r="AM290" s="113"/>
      <c r="AN290" s="113">
        <f>Konvention_1slave-GEslave</f>
        <v>12</v>
      </c>
      <c r="AO290" s="113"/>
      <c r="AP290" s="119"/>
      <c r="AQ290" s="47">
        <f t="shared" si="1986"/>
        <v>11.666666666666666</v>
      </c>
      <c r="AR290" s="47">
        <f t="shared" si="1809"/>
        <v>23.333333333333332</v>
      </c>
      <c r="AS290" s="119">
        <f t="shared" si="1810"/>
        <v>35</v>
      </c>
      <c r="AT290" s="114">
        <f t="shared" si="1987"/>
        <v>2432</v>
      </c>
      <c r="AU290" s="113">
        <f>AI290*AL290*GEslave+AI290*CHslave*AN290+MUslave_MU*AL290*AN290</f>
        <v>3408</v>
      </c>
      <c r="AV290" s="119">
        <f t="shared" si="1988"/>
        <v>1584</v>
      </c>
      <c r="AW290" s="119">
        <f t="shared" si="1813"/>
        <v>7424</v>
      </c>
      <c r="AX290" s="89">
        <f t="shared" si="1814"/>
        <v>3.8218390804597702</v>
      </c>
      <c r="AY290" s="47">
        <f t="shared" si="1815"/>
        <v>10.711206896551724</v>
      </c>
      <c r="AZ290" s="127">
        <f t="shared" si="1816"/>
        <v>7.4676724137931032</v>
      </c>
      <c r="BA290" s="127">
        <f t="shared" si="1817"/>
        <v>22.000718390804597</v>
      </c>
      <c r="BB290" s="165">
        <f t="shared" si="1818"/>
        <v>0</v>
      </c>
      <c r="BC290" s="198">
        <f t="shared" si="1819"/>
        <v>22.000718390804597</v>
      </c>
      <c r="BD290" s="125">
        <f>IF(BA290&lt;=0,2,0)+IF(BA290&gt;0,BA290+1,0)*2+IF(BA290&gt;12,BA290-12,0)*2+IF(BA290&gt;13,BA290-13,0)*2+IF(BA290&gt;14,BA290-14,0)*2+IF(BA290&gt;15,BA290-15,0)*2+IF(BA290&gt;16,BA290-16,0)*2+IF(BA290&gt;17,BA290-17,0)*2+IF(BA290&gt;18,BA290-18,0)*2+IF(BA290&gt;19,BA290-19,0)*2+IF(BA290&gt;20,BA290-20,0)*2</f>
        <v>154.01436781609189</v>
      </c>
      <c r="BE290" s="160">
        <f>IF(BB290&lt;=0,2,0)+IF(BB290&gt;0,BB290+1,0)*2+IF(BB290&gt;12,BB290-12,0)*2+IF(BB290&gt;13,BB290-13,0)*2+IF(BB290&gt;14,BB290-14,0)*2+IF(BB290&gt;15,BB290-15,0)*2+IF(BB290&gt;16,BB290-16,0)*2+IF(BB290&gt;17,BB290-17,0)*2+IF(BB290&gt;18,BB290-18,0)*2+IF(BB290&gt;19,BB290-19,0)*2+IF(BB290&gt;20,BB290-20,0)*2</f>
        <v>2</v>
      </c>
      <c r="BF290" s="243">
        <f t="shared" si="1821"/>
        <v>152.01436781609189</v>
      </c>
      <c r="BG290" s="218">
        <f t="shared" si="1822"/>
        <v>0</v>
      </c>
      <c r="BI290" s="303" t="s">
        <v>366</v>
      </c>
      <c r="BJ290" s="218" t="s">
        <v>172</v>
      </c>
      <c r="BK290" s="243" t="s">
        <v>132</v>
      </c>
      <c r="BL290" s="237">
        <f>Konvention_1slave-MUslave</f>
        <v>12</v>
      </c>
      <c r="BM290" s="234"/>
      <c r="BN290" s="234"/>
      <c r="BO290" s="234">
        <f>Konvention_1slave-CHslave</f>
        <v>12</v>
      </c>
      <c r="BP290" s="234"/>
      <c r="BQ290" s="234">
        <f>Konvention_1slave-GEslave</f>
        <v>12</v>
      </c>
      <c r="BR290" s="234"/>
      <c r="BS290" s="224"/>
      <c r="BT290" s="223">
        <f t="shared" si="1989"/>
        <v>12</v>
      </c>
      <c r="BU290" s="223">
        <f t="shared" si="1824"/>
        <v>24</v>
      </c>
      <c r="BV290" s="224">
        <f t="shared" si="1825"/>
        <v>36</v>
      </c>
      <c r="BW290" s="237">
        <f t="shared" si="1990"/>
        <v>2304</v>
      </c>
      <c r="BX290" s="234">
        <f>BL290*BO290*GEslave+BL290*CHslave*BQ290+MUslave*BO290*BQ290</f>
        <v>3456</v>
      </c>
      <c r="BY290" s="224">
        <f t="shared" si="1991"/>
        <v>1728</v>
      </c>
      <c r="BZ290" s="224">
        <f t="shared" si="1828"/>
        <v>7488</v>
      </c>
      <c r="CA290" s="222">
        <f t="shared" si="1829"/>
        <v>3.6923076923076925</v>
      </c>
      <c r="CB290" s="223">
        <f t="shared" si="1830"/>
        <v>11.076923076923077</v>
      </c>
      <c r="CC290" s="243">
        <f t="shared" si="1831"/>
        <v>8.3076923076923084</v>
      </c>
      <c r="CD290" s="243">
        <f t="shared" si="1832"/>
        <v>23.07692307692308</v>
      </c>
      <c r="CE290" s="252">
        <f t="shared" si="1833"/>
        <v>0</v>
      </c>
      <c r="CF290" s="309">
        <f t="shared" si="1834"/>
        <v>23.07692307692308</v>
      </c>
      <c r="CG290" s="218">
        <f>IF(CD290&lt;=0,2,0)+IF(CD290&gt;0,CD290+1,0)*2+IF(CD290&gt;12,CD290-12,0)*2+IF(CD290&gt;13,CD290-13,0)*2+IF(CD290&gt;14,CD290-14,0)*2+IF(CD290&gt;15,CD290-15,0)*2+IF(CD290&gt;16,CD290-16,0)*2+IF(CD290&gt;17,CD290-17,0)*2+IF(CD290&gt;18,CD290-18,0)*2+IF(CD290&gt;19,CD290-19,0)*2+IF(CD290&gt;20,CD290-20,0)*2</f>
        <v>175.5384615384616</v>
      </c>
      <c r="CH290" s="242">
        <f>IF(CE290&lt;=0,2,0)+IF(CE290&gt;0,CE290+1,0)*2+IF(CE290&gt;12,CE290-12,0)*2+IF(CE290&gt;13,CE290-13,0)*2+IF(CE290&gt;14,CE290-14,0)*2+IF(CE290&gt;15,CE290-15,0)*2+IF(CE290&gt;16,CE290-16,0)*2+IF(CE290&gt;17,CE290-17,0)*2+IF(CE290&gt;18,CE290-18,0)*2+IF(CE290&gt;19,CE290-19,0)*2+IF(CE290&gt;20,CE290-20,0)*2</f>
        <v>2</v>
      </c>
      <c r="CI290" s="243">
        <f t="shared" si="1836"/>
        <v>173.5384615384616</v>
      </c>
      <c r="CJ290" s="218">
        <f t="shared" si="1837"/>
        <v>0</v>
      </c>
      <c r="CL290" s="303" t="s">
        <v>366</v>
      </c>
      <c r="CM290" s="218" t="s">
        <v>172</v>
      </c>
      <c r="CN290" s="243" t="s">
        <v>132</v>
      </c>
      <c r="CO290" s="237">
        <f>Konvention_1slave-MUslave</f>
        <v>12</v>
      </c>
      <c r="CP290" s="234"/>
      <c r="CQ290" s="234"/>
      <c r="CR290" s="234">
        <f>Konvention_1slave-CHslave</f>
        <v>12</v>
      </c>
      <c r="CS290" s="234"/>
      <c r="CT290" s="234">
        <f>Konvention_1slave-GEslave</f>
        <v>12</v>
      </c>
      <c r="CU290" s="234"/>
      <c r="CV290" s="224"/>
      <c r="CW290" s="223">
        <f t="shared" si="1992"/>
        <v>12</v>
      </c>
      <c r="CX290" s="223">
        <f t="shared" si="1839"/>
        <v>24</v>
      </c>
      <c r="CY290" s="224">
        <f t="shared" si="1840"/>
        <v>36</v>
      </c>
      <c r="CZ290" s="237">
        <f t="shared" si="1993"/>
        <v>2304</v>
      </c>
      <c r="DA290" s="234">
        <f>CO290*CR290*GEslave+CO290*CHslave*CT290+MUslave*CR290*CT290</f>
        <v>3456</v>
      </c>
      <c r="DB290" s="224">
        <f t="shared" si="1994"/>
        <v>1728</v>
      </c>
      <c r="DC290" s="224">
        <f t="shared" si="1843"/>
        <v>7488</v>
      </c>
      <c r="DD290" s="222">
        <f t="shared" si="1844"/>
        <v>3.6923076923076925</v>
      </c>
      <c r="DE290" s="223">
        <f t="shared" si="1845"/>
        <v>11.076923076923077</v>
      </c>
      <c r="DF290" s="243">
        <f t="shared" si="1846"/>
        <v>8.3076923076923084</v>
      </c>
      <c r="DG290" s="243">
        <f t="shared" si="1847"/>
        <v>23.07692307692308</v>
      </c>
      <c r="DH290" s="252">
        <f t="shared" si="1848"/>
        <v>0</v>
      </c>
      <c r="DI290" s="309">
        <f t="shared" si="1849"/>
        <v>23.07692307692308</v>
      </c>
      <c r="DJ290" s="218">
        <f>IF(DG290&lt;=0,2,0)+IF(DG290&gt;0,DG290+1,0)*2+IF(DG290&gt;12,DG290-12,0)*2+IF(DG290&gt;13,DG290-13,0)*2+IF(DG290&gt;14,DG290-14,0)*2+IF(DG290&gt;15,DG290-15,0)*2+IF(DG290&gt;16,DG290-16,0)*2+IF(DG290&gt;17,DG290-17,0)*2+IF(DG290&gt;18,DG290-18,0)*2+IF(DG290&gt;19,DG290-19,0)*2+IF(DG290&gt;20,DG290-20,0)*2</f>
        <v>175.5384615384616</v>
      </c>
      <c r="DK290" s="242">
        <f>IF(DH290&lt;=0,2,0)+IF(DH290&gt;0,DH290+1,0)*2+IF(DH290&gt;12,DH290-12,0)*2+IF(DH290&gt;13,DH290-13,0)*2+IF(DH290&gt;14,DH290-14,0)*2+IF(DH290&gt;15,DH290-15,0)*2+IF(DH290&gt;16,DH290-16,0)*2+IF(DH290&gt;17,DH290-17,0)*2+IF(DH290&gt;18,DH290-18,0)*2+IF(DH290&gt;19,DH290-19,0)*2+IF(DH290&gt;20,DH290-20,0)*2</f>
        <v>2</v>
      </c>
      <c r="DL290" s="243">
        <f t="shared" si="1851"/>
        <v>173.5384615384616</v>
      </c>
      <c r="DM290" s="218">
        <f t="shared" si="1852"/>
        <v>0</v>
      </c>
      <c r="DO290" s="303" t="s">
        <v>366</v>
      </c>
      <c r="DP290" s="218" t="s">
        <v>172</v>
      </c>
      <c r="DQ290" s="243" t="s">
        <v>132</v>
      </c>
      <c r="DR290" s="237">
        <f>Konvention_1slave-MUslave</f>
        <v>12</v>
      </c>
      <c r="DS290" s="234"/>
      <c r="DT290" s="234"/>
      <c r="DU290" s="234">
        <f>Konvention_1slave-CHslave_CH</f>
        <v>11</v>
      </c>
      <c r="DV290" s="234"/>
      <c r="DW290" s="234">
        <f>Konvention_1slave-GEslave</f>
        <v>12</v>
      </c>
      <c r="DX290" s="234"/>
      <c r="DY290" s="224"/>
      <c r="DZ290" s="223">
        <f t="shared" si="1995"/>
        <v>11.666666666666666</v>
      </c>
      <c r="EA290" s="223">
        <f t="shared" si="1854"/>
        <v>23.333333333333332</v>
      </c>
      <c r="EB290" s="224">
        <f t="shared" si="1855"/>
        <v>35</v>
      </c>
      <c r="EC290" s="237">
        <f t="shared" si="1996"/>
        <v>2432</v>
      </c>
      <c r="ED290" s="234">
        <f>DR290*DU290*GEslave+DR290*CHslave_CH*DW290+MUslave*DU290*DW290</f>
        <v>3408</v>
      </c>
      <c r="EE290" s="224">
        <f t="shared" si="1997"/>
        <v>1584</v>
      </c>
      <c r="EF290" s="224">
        <f t="shared" si="1858"/>
        <v>7424</v>
      </c>
      <c r="EG290" s="222">
        <f t="shared" si="1859"/>
        <v>3.8218390804597702</v>
      </c>
      <c r="EH290" s="223">
        <f t="shared" si="1860"/>
        <v>10.711206896551724</v>
      </c>
      <c r="EI290" s="243">
        <f t="shared" si="1861"/>
        <v>7.4676724137931032</v>
      </c>
      <c r="EJ290" s="243">
        <f t="shared" si="1862"/>
        <v>22.000718390804597</v>
      </c>
      <c r="EK290" s="252">
        <f t="shared" si="1863"/>
        <v>0</v>
      </c>
      <c r="EL290" s="309">
        <f t="shared" si="1864"/>
        <v>22.000718390804597</v>
      </c>
      <c r="EM290" s="218">
        <f>IF(EJ290&lt;=0,2,0)+IF(EJ290&gt;0,EJ290+1,0)*2+IF(EJ290&gt;12,EJ290-12,0)*2+IF(EJ290&gt;13,EJ290-13,0)*2+IF(EJ290&gt;14,EJ290-14,0)*2+IF(EJ290&gt;15,EJ290-15,0)*2+IF(EJ290&gt;16,EJ290-16,0)*2+IF(EJ290&gt;17,EJ290-17,0)*2+IF(EJ290&gt;18,EJ290-18,0)*2+IF(EJ290&gt;19,EJ290-19,0)*2+IF(EJ290&gt;20,EJ290-20,0)*2</f>
        <v>154.01436781609189</v>
      </c>
      <c r="EN290" s="242">
        <f>IF(EK290&lt;=0,2,0)+IF(EK290&gt;0,EK290+1,0)*2+IF(EK290&gt;12,EK290-12,0)*2+IF(EK290&gt;13,EK290-13,0)*2+IF(EK290&gt;14,EK290-14,0)*2+IF(EK290&gt;15,EK290-15,0)*2+IF(EK290&gt;16,EK290-16,0)*2+IF(EK290&gt;17,EK290-17,0)*2+IF(EK290&gt;18,EK290-18,0)*2+IF(EK290&gt;19,EK290-19,0)*2+IF(EK290&gt;20,EK290-20,0)*2</f>
        <v>2</v>
      </c>
      <c r="EO290" s="243">
        <f t="shared" si="1866"/>
        <v>152.01436781609189</v>
      </c>
      <c r="EP290" s="218">
        <f t="shared" si="1867"/>
        <v>0</v>
      </c>
      <c r="ER290" s="303" t="s">
        <v>366</v>
      </c>
      <c r="ES290" s="218" t="s">
        <v>172</v>
      </c>
      <c r="ET290" s="243" t="s">
        <v>132</v>
      </c>
      <c r="EU290" s="237">
        <f>Konvention_1slave-MUslave</f>
        <v>12</v>
      </c>
      <c r="EV290" s="234"/>
      <c r="EW290" s="234"/>
      <c r="EX290" s="234">
        <f>Konvention_1slave-CHslave</f>
        <v>12</v>
      </c>
      <c r="EY290" s="234"/>
      <c r="EZ290" s="234">
        <f>Konvention_1slave-GEslave</f>
        <v>12</v>
      </c>
      <c r="FA290" s="234"/>
      <c r="FB290" s="224"/>
      <c r="FC290" s="223">
        <f t="shared" si="1998"/>
        <v>12</v>
      </c>
      <c r="FD290" s="223">
        <f t="shared" si="1869"/>
        <v>24</v>
      </c>
      <c r="FE290" s="224">
        <f t="shared" si="1870"/>
        <v>36</v>
      </c>
      <c r="FF290" s="237">
        <f t="shared" si="1999"/>
        <v>2304</v>
      </c>
      <c r="FG290" s="234">
        <f>EU290*EX290*GEslave+EU290*CHslave*EZ290+MUslave*EX290*EZ290</f>
        <v>3456</v>
      </c>
      <c r="FH290" s="224">
        <f t="shared" si="2000"/>
        <v>1728</v>
      </c>
      <c r="FI290" s="224">
        <f t="shared" si="1873"/>
        <v>7488</v>
      </c>
      <c r="FJ290" s="222">
        <f t="shared" si="1874"/>
        <v>3.6923076923076925</v>
      </c>
      <c r="FK290" s="223">
        <f t="shared" si="1875"/>
        <v>11.076923076923077</v>
      </c>
      <c r="FL290" s="243">
        <f t="shared" si="1876"/>
        <v>8.3076923076923084</v>
      </c>
      <c r="FM290" s="243">
        <f t="shared" si="1877"/>
        <v>23.07692307692308</v>
      </c>
      <c r="FN290" s="252">
        <f t="shared" si="1878"/>
        <v>0</v>
      </c>
      <c r="FO290" s="309">
        <f t="shared" si="1879"/>
        <v>23.07692307692308</v>
      </c>
      <c r="FP290" s="218">
        <f>IF(FM290&lt;=0,2,0)+IF(FM290&gt;0,FM290+1,0)*2+IF(FM290&gt;12,FM290-12,0)*2+IF(FM290&gt;13,FM290-13,0)*2+IF(FM290&gt;14,FM290-14,0)*2+IF(FM290&gt;15,FM290-15,0)*2+IF(FM290&gt;16,FM290-16,0)*2+IF(FM290&gt;17,FM290-17,0)*2+IF(FM290&gt;18,FM290-18,0)*2+IF(FM290&gt;19,FM290-19,0)*2+IF(FM290&gt;20,FM290-20,0)*2</f>
        <v>175.5384615384616</v>
      </c>
      <c r="FQ290" s="242">
        <f>IF(FN290&lt;=0,2,0)+IF(FN290&gt;0,FN290+1,0)*2+IF(FN290&gt;12,FN290-12,0)*2+IF(FN290&gt;13,FN290-13,0)*2+IF(FN290&gt;14,FN290-14,0)*2+IF(FN290&gt;15,FN290-15,0)*2+IF(FN290&gt;16,FN290-16,0)*2+IF(FN290&gt;17,FN290-17,0)*2+IF(FN290&gt;18,FN290-18,0)*2+IF(FN290&gt;19,FN290-19,0)*2+IF(FN290&gt;20,FN290-20,0)*2</f>
        <v>2</v>
      </c>
      <c r="FR290" s="243">
        <f t="shared" si="1881"/>
        <v>173.5384615384616</v>
      </c>
      <c r="FS290" s="218">
        <f t="shared" si="1882"/>
        <v>0</v>
      </c>
      <c r="FU290" s="303" t="s">
        <v>366</v>
      </c>
      <c r="FV290" s="218" t="s">
        <v>172</v>
      </c>
      <c r="FW290" s="243" t="s">
        <v>132</v>
      </c>
      <c r="FX290" s="237">
        <f>Konvention_1slave-MUslave</f>
        <v>12</v>
      </c>
      <c r="FY290" s="234"/>
      <c r="FZ290" s="234"/>
      <c r="GA290" s="234">
        <f>Konvention_1slave-CHslave</f>
        <v>12</v>
      </c>
      <c r="GB290" s="234"/>
      <c r="GC290" s="234">
        <f>Konvention_1slave-GEslave_GE</f>
        <v>11</v>
      </c>
      <c r="GD290" s="234"/>
      <c r="GE290" s="224"/>
      <c r="GF290" s="223">
        <f t="shared" si="2001"/>
        <v>11.666666666666666</v>
      </c>
      <c r="GG290" s="223">
        <f t="shared" si="1884"/>
        <v>23.333333333333332</v>
      </c>
      <c r="GH290" s="224">
        <f t="shared" si="1885"/>
        <v>35</v>
      </c>
      <c r="GI290" s="237">
        <f t="shared" si="2002"/>
        <v>2432</v>
      </c>
      <c r="GJ290" s="234">
        <f>FX290*GA290*GEslave_GE+FX290*CHslave*GC290+MUslave*GA290*GC290</f>
        <v>3408</v>
      </c>
      <c r="GK290" s="224">
        <f t="shared" si="2003"/>
        <v>1584</v>
      </c>
      <c r="GL290" s="224">
        <f t="shared" si="1888"/>
        <v>7424</v>
      </c>
      <c r="GM290" s="222">
        <f t="shared" si="1889"/>
        <v>3.8218390804597702</v>
      </c>
      <c r="GN290" s="223">
        <f t="shared" si="1890"/>
        <v>10.711206896551724</v>
      </c>
      <c r="GO290" s="243">
        <f t="shared" si="1891"/>
        <v>7.4676724137931032</v>
      </c>
      <c r="GP290" s="243">
        <f t="shared" si="1892"/>
        <v>22.000718390804597</v>
      </c>
      <c r="GQ290" s="252">
        <f t="shared" si="1893"/>
        <v>0</v>
      </c>
      <c r="GR290" s="309">
        <f t="shared" si="1894"/>
        <v>22.000718390804597</v>
      </c>
      <c r="GS290" s="218">
        <f>IF(GP290&lt;=0,2,0)+IF(GP290&gt;0,GP290+1,0)*2+IF(GP290&gt;12,GP290-12,0)*2+IF(GP290&gt;13,GP290-13,0)*2+IF(GP290&gt;14,GP290-14,0)*2+IF(GP290&gt;15,GP290-15,0)*2+IF(GP290&gt;16,GP290-16,0)*2+IF(GP290&gt;17,GP290-17,0)*2+IF(GP290&gt;18,GP290-18,0)*2+IF(GP290&gt;19,GP290-19,0)*2+IF(GP290&gt;20,GP290-20,0)*2</f>
        <v>154.01436781609189</v>
      </c>
      <c r="GT290" s="242">
        <f>IF(GQ290&lt;=0,2,0)+IF(GQ290&gt;0,GQ290+1,0)*2+IF(GQ290&gt;12,GQ290-12,0)*2+IF(GQ290&gt;13,GQ290-13,0)*2+IF(GQ290&gt;14,GQ290-14,0)*2+IF(GQ290&gt;15,GQ290-15,0)*2+IF(GQ290&gt;16,GQ290-16,0)*2+IF(GQ290&gt;17,GQ290-17,0)*2+IF(GQ290&gt;18,GQ290-18,0)*2+IF(GQ290&gt;19,GQ290-19,0)*2+IF(GQ290&gt;20,GQ290-20,0)*2</f>
        <v>2</v>
      </c>
      <c r="GU290" s="243">
        <f t="shared" si="1896"/>
        <v>152.01436781609189</v>
      </c>
      <c r="GV290" s="218">
        <f t="shared" si="1897"/>
        <v>0</v>
      </c>
      <c r="GX290" s="303" t="s">
        <v>366</v>
      </c>
      <c r="GY290" s="218" t="s">
        <v>172</v>
      </c>
      <c r="GZ290" s="243" t="s">
        <v>132</v>
      </c>
      <c r="HA290" s="237">
        <f>Konvention_1slave-MUslave</f>
        <v>12</v>
      </c>
      <c r="HB290" s="234"/>
      <c r="HC290" s="234"/>
      <c r="HD290" s="234">
        <f>Konvention_1slave-CHslave</f>
        <v>12</v>
      </c>
      <c r="HE290" s="234"/>
      <c r="HF290" s="234">
        <f>Konvention_1slave-GEslave</f>
        <v>12</v>
      </c>
      <c r="HG290" s="234"/>
      <c r="HH290" s="224"/>
      <c r="HI290" s="223">
        <f t="shared" si="2004"/>
        <v>12</v>
      </c>
      <c r="HJ290" s="223">
        <f t="shared" si="1899"/>
        <v>24</v>
      </c>
      <c r="HK290" s="224">
        <f t="shared" si="1900"/>
        <v>36</v>
      </c>
      <c r="HL290" s="237">
        <f t="shared" si="2005"/>
        <v>2304</v>
      </c>
      <c r="HM290" s="234">
        <f>HA290*HD290*GEslave+HA290*CHslave*HF290+MUslave*HD290*HF290</f>
        <v>3456</v>
      </c>
      <c r="HN290" s="224">
        <f t="shared" si="2006"/>
        <v>1728</v>
      </c>
      <c r="HO290" s="224">
        <f t="shared" si="1903"/>
        <v>7488</v>
      </c>
      <c r="HP290" s="222">
        <f t="shared" si="1904"/>
        <v>3.6923076923076925</v>
      </c>
      <c r="HQ290" s="223">
        <f t="shared" si="1905"/>
        <v>11.076923076923077</v>
      </c>
      <c r="HR290" s="243">
        <f t="shared" si="1906"/>
        <v>8.3076923076923084</v>
      </c>
      <c r="HS290" s="243">
        <f t="shared" si="1907"/>
        <v>23.07692307692308</v>
      </c>
      <c r="HT290" s="252">
        <f t="shared" si="1908"/>
        <v>0</v>
      </c>
      <c r="HU290" s="309">
        <f t="shared" si="1909"/>
        <v>23.07692307692308</v>
      </c>
      <c r="HV290" s="218">
        <f>IF(HS290&lt;=0,2,0)+IF(HS290&gt;0,HS290+1,0)*2+IF(HS290&gt;12,HS290-12,0)*2+IF(HS290&gt;13,HS290-13,0)*2+IF(HS290&gt;14,HS290-14,0)*2+IF(HS290&gt;15,HS290-15,0)*2+IF(HS290&gt;16,HS290-16,0)*2+IF(HS290&gt;17,HS290-17,0)*2+IF(HS290&gt;18,HS290-18,0)*2+IF(HS290&gt;19,HS290-19,0)*2+IF(HS290&gt;20,HS290-20,0)*2</f>
        <v>175.5384615384616</v>
      </c>
      <c r="HW290" s="242">
        <f>IF(HT290&lt;=0,2,0)+IF(HT290&gt;0,HT290+1,0)*2+IF(HT290&gt;12,HT290-12,0)*2+IF(HT290&gt;13,HT290-13,0)*2+IF(HT290&gt;14,HT290-14,0)*2+IF(HT290&gt;15,HT290-15,0)*2+IF(HT290&gt;16,HT290-16,0)*2+IF(HT290&gt;17,HT290-17,0)*2+IF(HT290&gt;18,HT290-18,0)*2+IF(HT290&gt;19,HT290-19,0)*2+IF(HT290&gt;20,HT290-20,0)*2</f>
        <v>2</v>
      </c>
      <c r="HX290" s="243">
        <f t="shared" si="1911"/>
        <v>173.5384615384616</v>
      </c>
      <c r="HY290" s="218">
        <f t="shared" si="1912"/>
        <v>0</v>
      </c>
      <c r="IA290" s="303" t="s">
        <v>366</v>
      </c>
      <c r="IB290" s="218" t="s">
        <v>172</v>
      </c>
      <c r="IC290" s="243" t="s">
        <v>132</v>
      </c>
      <c r="ID290" s="237">
        <f>Konvention_1slave-MUslave</f>
        <v>12</v>
      </c>
      <c r="IE290" s="234"/>
      <c r="IF290" s="234"/>
      <c r="IG290" s="234">
        <f>Konvention_1slave-CHslave</f>
        <v>12</v>
      </c>
      <c r="IH290" s="234"/>
      <c r="II290" s="234">
        <f>Konvention_1slave-GEslave</f>
        <v>12</v>
      </c>
      <c r="IJ290" s="234"/>
      <c r="IK290" s="224"/>
      <c r="IL290" s="223">
        <f t="shared" si="2007"/>
        <v>12</v>
      </c>
      <c r="IM290" s="223">
        <f t="shared" si="1914"/>
        <v>24</v>
      </c>
      <c r="IN290" s="224">
        <f t="shared" si="1915"/>
        <v>36</v>
      </c>
      <c r="IO290" s="237">
        <f t="shared" si="2008"/>
        <v>2304</v>
      </c>
      <c r="IP290" s="234">
        <f>ID290*IG290*GEslave+ID290*CHslave*II290+MUslave*IG290*II290</f>
        <v>3456</v>
      </c>
      <c r="IQ290" s="224">
        <f t="shared" si="2009"/>
        <v>1728</v>
      </c>
      <c r="IR290" s="224">
        <f t="shared" si="1918"/>
        <v>7488</v>
      </c>
      <c r="IS290" s="222">
        <f t="shared" si="1919"/>
        <v>3.6923076923076925</v>
      </c>
      <c r="IT290" s="223">
        <f t="shared" si="1920"/>
        <v>11.076923076923077</v>
      </c>
      <c r="IU290" s="243">
        <f t="shared" si="1921"/>
        <v>8.3076923076923084</v>
      </c>
      <c r="IV290" s="243">
        <f t="shared" si="1922"/>
        <v>23.07692307692308</v>
      </c>
      <c r="IW290" s="252">
        <f t="shared" si="1923"/>
        <v>0</v>
      </c>
      <c r="IX290" s="309">
        <f t="shared" si="1924"/>
        <v>23.07692307692308</v>
      </c>
      <c r="IY290" s="218">
        <f>IF(IV290&lt;=0,2,0)+IF(IV290&gt;0,IV290+1,0)*2+IF(IV290&gt;12,IV290-12,0)*2+IF(IV290&gt;13,IV290-13,0)*2+IF(IV290&gt;14,IV290-14,0)*2+IF(IV290&gt;15,IV290-15,0)*2+IF(IV290&gt;16,IV290-16,0)*2+IF(IV290&gt;17,IV290-17,0)*2+IF(IV290&gt;18,IV290-18,0)*2+IF(IV290&gt;19,IV290-19,0)*2+IF(IV290&gt;20,IV290-20,0)*2</f>
        <v>175.5384615384616</v>
      </c>
      <c r="IZ290" s="242">
        <f>IF(IW290&lt;=0,2,0)+IF(IW290&gt;0,IW290+1,0)*2+IF(IW290&gt;12,IW290-12,0)*2+IF(IW290&gt;13,IW290-13,0)*2+IF(IW290&gt;14,IW290-14,0)*2+IF(IW290&gt;15,IW290-15,0)*2+IF(IW290&gt;16,IW290-16,0)*2+IF(IW290&gt;17,IW290-17,0)*2+IF(IW290&gt;18,IW290-18,0)*2+IF(IW290&gt;19,IW290-19,0)*2+IF(IW290&gt;20,IW290-20,0)*2</f>
        <v>2</v>
      </c>
      <c r="JA290" s="243">
        <f t="shared" si="1926"/>
        <v>173.5384615384616</v>
      </c>
      <c r="JB290" s="218">
        <f t="shared" si="1927"/>
        <v>0</v>
      </c>
      <c r="JE290" s="148"/>
    </row>
    <row r="291" spans="1:265" ht="15" hidden="1" customHeight="1" outlineLevel="2">
      <c r="B291" s="148">
        <v>31</v>
      </c>
      <c r="C291" s="303" t="e">
        <f>VLOOKUP(AF291,Attribute!C:T,1,FALSE)</f>
        <v>#N/A</v>
      </c>
      <c r="D291" s="86" t="s">
        <v>86</v>
      </c>
      <c r="E291" s="127" t="s">
        <v>132</v>
      </c>
      <c r="F291" s="114">
        <f>Konvention_1master-MUmaster</f>
        <v>12</v>
      </c>
      <c r="G291" s="113"/>
      <c r="H291" s="113">
        <f>Konvention_1master-INmaster</f>
        <v>12</v>
      </c>
      <c r="I291" s="113">
        <f>Konvention_1master-CHmaster</f>
        <v>12</v>
      </c>
      <c r="J291" s="113"/>
      <c r="K291" s="113"/>
      <c r="L291" s="113"/>
      <c r="M291" s="119"/>
      <c r="N291" s="223">
        <f t="shared" si="1983"/>
        <v>12</v>
      </c>
      <c r="O291" s="223">
        <f t="shared" si="1795"/>
        <v>24</v>
      </c>
      <c r="P291" s="224">
        <f t="shared" si="1796"/>
        <v>36</v>
      </c>
      <c r="Q291" s="237">
        <f t="shared" si="1984"/>
        <v>2304</v>
      </c>
      <c r="R291" s="113">
        <f>F291*H291*CHmaster+F291*INmaster*I291+MUmaster*H291*I291</f>
        <v>3456</v>
      </c>
      <c r="S291" s="224">
        <f t="shared" si="1985"/>
        <v>1728</v>
      </c>
      <c r="T291" s="224">
        <f t="shared" si="1799"/>
        <v>7488</v>
      </c>
      <c r="U291" s="222">
        <f t="shared" si="1800"/>
        <v>3.6923076923076925</v>
      </c>
      <c r="V291" s="223">
        <f t="shared" si="1801"/>
        <v>11.076923076923077</v>
      </c>
      <c r="W291" s="243">
        <f t="shared" si="1802"/>
        <v>8.3076923076923084</v>
      </c>
      <c r="X291" s="243">
        <f t="shared" si="1803"/>
        <v>23.07692307692308</v>
      </c>
      <c r="Y291" s="252">
        <v>0</v>
      </c>
      <c r="Z291" s="198">
        <f t="shared" si="1804"/>
        <v>23.07692307692308</v>
      </c>
      <c r="AA291" s="125">
        <f>IF(X291&lt;=0,2,0)+IF(X291&gt;0,X291+1,0)*2+IF(X291&gt;12,X291-12,0)*2+IF(X291&gt;13,X291-13,0)*2+IF(X291&gt;14,X291-14,0)*2+IF(X291&gt;15,X291-15,0)*2+IF(X291&gt;16,X291-16,0)*2+IF(X291&gt;17,X291-17,0)*2+IF(X291&gt;18,X291-18,0)*2+IF(X291&gt;19,X291-19,0)*2+IF(X291&gt;20,X291-20,0)*2</f>
        <v>175.5384615384616</v>
      </c>
      <c r="AB291" s="160">
        <f>IF(Y291&lt;=0,2,0)+IF(Y291&gt;0,Y291+1,0)*2+IF(Y291&gt;12,Y291-12,0)*2+IF(Y291&gt;13,Y291-13,0)*2+IF(Y291&gt;14,Y291-14,0)*2+IF(Y291&gt;15,Y291-15,0)*2+IF(Y291&gt;16,Y291-16,0)*2+IF(Y291&gt;17,Y291-17,0)*2+IF(Y291&gt;18,Y291-18,0)*2+IF(Y291&gt;19,Y291-19,0)*2+IF(Y291&gt;20,Y291-20,0)*2</f>
        <v>2</v>
      </c>
      <c r="AC291" s="127">
        <f t="shared" si="1806"/>
        <v>173.5384615384616</v>
      </c>
      <c r="AD291" s="125">
        <f t="shared" si="1807"/>
        <v>0</v>
      </c>
      <c r="AF291" s="163" t="s">
        <v>419</v>
      </c>
      <c r="AG291" s="125" t="s">
        <v>86</v>
      </c>
      <c r="AH291" s="127" t="s">
        <v>132</v>
      </c>
      <c r="AI291" s="114">
        <f>Konvention_1slave-MUslave_MU</f>
        <v>11</v>
      </c>
      <c r="AJ291" s="113"/>
      <c r="AK291" s="113">
        <f>Konvention_1slave-INslave</f>
        <v>12</v>
      </c>
      <c r="AL291" s="113">
        <f>Konvention_1slave-CHslave</f>
        <v>12</v>
      </c>
      <c r="AM291" s="113"/>
      <c r="AN291" s="113"/>
      <c r="AO291" s="113"/>
      <c r="AP291" s="119"/>
      <c r="AQ291" s="47">
        <f t="shared" si="1986"/>
        <v>11.666666666666666</v>
      </c>
      <c r="AR291" s="47">
        <f t="shared" si="1809"/>
        <v>23.333333333333332</v>
      </c>
      <c r="AS291" s="119">
        <f t="shared" si="1810"/>
        <v>35</v>
      </c>
      <c r="AT291" s="114">
        <f t="shared" si="1987"/>
        <v>2432</v>
      </c>
      <c r="AU291" s="113">
        <f>AI291*AK291*CHslave+AI291*INslave*AL291+MUslave_MU*AK291*AL291</f>
        <v>3408</v>
      </c>
      <c r="AV291" s="119">
        <f t="shared" si="1988"/>
        <v>1584</v>
      </c>
      <c r="AW291" s="119">
        <f t="shared" si="1813"/>
        <v>7424</v>
      </c>
      <c r="AX291" s="89">
        <f t="shared" si="1814"/>
        <v>3.8218390804597702</v>
      </c>
      <c r="AY291" s="47">
        <f t="shared" si="1815"/>
        <v>10.711206896551724</v>
      </c>
      <c r="AZ291" s="127">
        <f t="shared" si="1816"/>
        <v>7.4676724137931032</v>
      </c>
      <c r="BA291" s="127">
        <f t="shared" si="1817"/>
        <v>22.000718390804597</v>
      </c>
      <c r="BB291" s="165">
        <f t="shared" si="1818"/>
        <v>0</v>
      </c>
      <c r="BC291" s="198">
        <f t="shared" si="1819"/>
        <v>22.000718390804597</v>
      </c>
      <c r="BD291" s="125">
        <f>IF(BA291&lt;=0,2,0)+IF(BA291&gt;0,BA291+1,0)*2+IF(BA291&gt;12,BA291-12,0)*2+IF(BA291&gt;13,BA291-13,0)*2+IF(BA291&gt;14,BA291-14,0)*2+IF(BA291&gt;15,BA291-15,0)*2+IF(BA291&gt;16,BA291-16,0)*2+IF(BA291&gt;17,BA291-17,0)*2+IF(BA291&gt;18,BA291-18,0)*2+IF(BA291&gt;19,BA291-19,0)*2+IF(BA291&gt;20,BA291-20,0)*2</f>
        <v>154.01436781609189</v>
      </c>
      <c r="BE291" s="160">
        <f>IF(BB291&lt;=0,2,0)+IF(BB291&gt;0,BB291+1,0)*2+IF(BB291&gt;12,BB291-12,0)*2+IF(BB291&gt;13,BB291-13,0)*2+IF(BB291&gt;14,BB291-14,0)*2+IF(BB291&gt;15,BB291-15,0)*2+IF(BB291&gt;16,BB291-16,0)*2+IF(BB291&gt;17,BB291-17,0)*2+IF(BB291&gt;18,BB291-18,0)*2+IF(BB291&gt;19,BB291-19,0)*2+IF(BB291&gt;20,BB291-20,0)*2</f>
        <v>2</v>
      </c>
      <c r="BF291" s="243">
        <f t="shared" si="1821"/>
        <v>152.01436781609189</v>
      </c>
      <c r="BG291" s="218">
        <f t="shared" si="1822"/>
        <v>0</v>
      </c>
      <c r="BI291" s="303" t="s">
        <v>419</v>
      </c>
      <c r="BJ291" s="218" t="s">
        <v>86</v>
      </c>
      <c r="BK291" s="243" t="s">
        <v>132</v>
      </c>
      <c r="BL291" s="237">
        <f>Konvention_1slave-MUslave</f>
        <v>12</v>
      </c>
      <c r="BM291" s="234"/>
      <c r="BN291" s="234">
        <f>Konvention_1slave-INslave</f>
        <v>12</v>
      </c>
      <c r="BO291" s="234">
        <f>Konvention_1slave-CHslave</f>
        <v>12</v>
      </c>
      <c r="BP291" s="234"/>
      <c r="BQ291" s="234"/>
      <c r="BR291" s="234"/>
      <c r="BS291" s="224"/>
      <c r="BT291" s="223">
        <f t="shared" si="1989"/>
        <v>12</v>
      </c>
      <c r="BU291" s="223">
        <f t="shared" si="1824"/>
        <v>24</v>
      </c>
      <c r="BV291" s="224">
        <f t="shared" si="1825"/>
        <v>36</v>
      </c>
      <c r="BW291" s="237">
        <f t="shared" si="1990"/>
        <v>2304</v>
      </c>
      <c r="BX291" s="234">
        <f>BL291*BN291*CHslave+BL291*INslave*BO291+MUslave*BN291*BO291</f>
        <v>3456</v>
      </c>
      <c r="BY291" s="224">
        <f t="shared" si="1991"/>
        <v>1728</v>
      </c>
      <c r="BZ291" s="224">
        <f t="shared" si="1828"/>
        <v>7488</v>
      </c>
      <c r="CA291" s="222">
        <f t="shared" si="1829"/>
        <v>3.6923076923076925</v>
      </c>
      <c r="CB291" s="223">
        <f t="shared" si="1830"/>
        <v>11.076923076923077</v>
      </c>
      <c r="CC291" s="243">
        <f t="shared" si="1831"/>
        <v>8.3076923076923084</v>
      </c>
      <c r="CD291" s="243">
        <f t="shared" si="1832"/>
        <v>23.07692307692308</v>
      </c>
      <c r="CE291" s="252">
        <f t="shared" si="1833"/>
        <v>0</v>
      </c>
      <c r="CF291" s="309">
        <f t="shared" si="1834"/>
        <v>23.07692307692308</v>
      </c>
      <c r="CG291" s="218">
        <f>IF(CD291&lt;=0,2,0)+IF(CD291&gt;0,CD291+1,0)*2+IF(CD291&gt;12,CD291-12,0)*2+IF(CD291&gt;13,CD291-13,0)*2+IF(CD291&gt;14,CD291-14,0)*2+IF(CD291&gt;15,CD291-15,0)*2+IF(CD291&gt;16,CD291-16,0)*2+IF(CD291&gt;17,CD291-17,0)*2+IF(CD291&gt;18,CD291-18,0)*2+IF(CD291&gt;19,CD291-19,0)*2+IF(CD291&gt;20,CD291-20,0)*2</f>
        <v>175.5384615384616</v>
      </c>
      <c r="CH291" s="242">
        <f>IF(CE291&lt;=0,2,0)+IF(CE291&gt;0,CE291+1,0)*2+IF(CE291&gt;12,CE291-12,0)*2+IF(CE291&gt;13,CE291-13,0)*2+IF(CE291&gt;14,CE291-14,0)*2+IF(CE291&gt;15,CE291-15,0)*2+IF(CE291&gt;16,CE291-16,0)*2+IF(CE291&gt;17,CE291-17,0)*2+IF(CE291&gt;18,CE291-18,0)*2+IF(CE291&gt;19,CE291-19,0)*2+IF(CE291&gt;20,CE291-20,0)*2</f>
        <v>2</v>
      </c>
      <c r="CI291" s="243">
        <f t="shared" si="1836"/>
        <v>173.5384615384616</v>
      </c>
      <c r="CJ291" s="218">
        <f t="shared" si="1837"/>
        <v>0</v>
      </c>
      <c r="CL291" s="303" t="s">
        <v>419</v>
      </c>
      <c r="CM291" s="218" t="s">
        <v>86</v>
      </c>
      <c r="CN291" s="243" t="s">
        <v>132</v>
      </c>
      <c r="CO291" s="237">
        <f>Konvention_1slave-MUslave</f>
        <v>12</v>
      </c>
      <c r="CP291" s="234"/>
      <c r="CQ291" s="234">
        <f>Konvention_1slave-INslave_IN</f>
        <v>11</v>
      </c>
      <c r="CR291" s="234">
        <f>Konvention_1slave-CHslave</f>
        <v>12</v>
      </c>
      <c r="CS291" s="234"/>
      <c r="CT291" s="234"/>
      <c r="CU291" s="234"/>
      <c r="CV291" s="224"/>
      <c r="CW291" s="223">
        <f t="shared" si="1992"/>
        <v>11.666666666666666</v>
      </c>
      <c r="CX291" s="223">
        <f t="shared" si="1839"/>
        <v>23.333333333333332</v>
      </c>
      <c r="CY291" s="224">
        <f t="shared" si="1840"/>
        <v>35</v>
      </c>
      <c r="CZ291" s="237">
        <f t="shared" si="1993"/>
        <v>2432</v>
      </c>
      <c r="DA291" s="234">
        <f>CO291*CQ291*CHslave+CO291*INslave_IN*CR291+MUslave*CQ291*CR291</f>
        <v>3408</v>
      </c>
      <c r="DB291" s="224">
        <f t="shared" si="1994"/>
        <v>1584</v>
      </c>
      <c r="DC291" s="224">
        <f t="shared" si="1843"/>
        <v>7424</v>
      </c>
      <c r="DD291" s="222">
        <f t="shared" si="1844"/>
        <v>3.8218390804597702</v>
      </c>
      <c r="DE291" s="223">
        <f t="shared" si="1845"/>
        <v>10.711206896551724</v>
      </c>
      <c r="DF291" s="243">
        <f t="shared" si="1846"/>
        <v>7.4676724137931032</v>
      </c>
      <c r="DG291" s="243">
        <f t="shared" si="1847"/>
        <v>22.000718390804597</v>
      </c>
      <c r="DH291" s="252">
        <f t="shared" si="1848"/>
        <v>0</v>
      </c>
      <c r="DI291" s="309">
        <f t="shared" si="1849"/>
        <v>22.000718390804597</v>
      </c>
      <c r="DJ291" s="218">
        <f>IF(DG291&lt;=0,2,0)+IF(DG291&gt;0,DG291+1,0)*2+IF(DG291&gt;12,DG291-12,0)*2+IF(DG291&gt;13,DG291-13,0)*2+IF(DG291&gt;14,DG291-14,0)*2+IF(DG291&gt;15,DG291-15,0)*2+IF(DG291&gt;16,DG291-16,0)*2+IF(DG291&gt;17,DG291-17,0)*2+IF(DG291&gt;18,DG291-18,0)*2+IF(DG291&gt;19,DG291-19,0)*2+IF(DG291&gt;20,DG291-20,0)*2</f>
        <v>154.01436781609189</v>
      </c>
      <c r="DK291" s="242">
        <f>IF(DH291&lt;=0,2,0)+IF(DH291&gt;0,DH291+1,0)*2+IF(DH291&gt;12,DH291-12,0)*2+IF(DH291&gt;13,DH291-13,0)*2+IF(DH291&gt;14,DH291-14,0)*2+IF(DH291&gt;15,DH291-15,0)*2+IF(DH291&gt;16,DH291-16,0)*2+IF(DH291&gt;17,DH291-17,0)*2+IF(DH291&gt;18,DH291-18,0)*2+IF(DH291&gt;19,DH291-19,0)*2+IF(DH291&gt;20,DH291-20,0)*2</f>
        <v>2</v>
      </c>
      <c r="DL291" s="243">
        <f t="shared" si="1851"/>
        <v>152.01436781609189</v>
      </c>
      <c r="DM291" s="218">
        <f t="shared" si="1852"/>
        <v>0</v>
      </c>
      <c r="DO291" s="303" t="s">
        <v>419</v>
      </c>
      <c r="DP291" s="218" t="s">
        <v>86</v>
      </c>
      <c r="DQ291" s="243" t="s">
        <v>132</v>
      </c>
      <c r="DR291" s="237">
        <f>Konvention_1slave-MUslave</f>
        <v>12</v>
      </c>
      <c r="DS291" s="234"/>
      <c r="DT291" s="234">
        <f>Konvention_1slave-INslave</f>
        <v>12</v>
      </c>
      <c r="DU291" s="234">
        <f>Konvention_1slave-CHslave_CH</f>
        <v>11</v>
      </c>
      <c r="DV291" s="234"/>
      <c r="DW291" s="234"/>
      <c r="DX291" s="234"/>
      <c r="DY291" s="224"/>
      <c r="DZ291" s="223">
        <f t="shared" si="1995"/>
        <v>11.666666666666666</v>
      </c>
      <c r="EA291" s="223">
        <f t="shared" si="1854"/>
        <v>23.333333333333332</v>
      </c>
      <c r="EB291" s="224">
        <f t="shared" si="1855"/>
        <v>35</v>
      </c>
      <c r="EC291" s="237">
        <f t="shared" si="1996"/>
        <v>2432</v>
      </c>
      <c r="ED291" s="234">
        <f>DR291*DT291*CHslave_CH+DR291*INslave*DU291+MUslave*DT291*DU291</f>
        <v>3408</v>
      </c>
      <c r="EE291" s="224">
        <f t="shared" si="1997"/>
        <v>1584</v>
      </c>
      <c r="EF291" s="224">
        <f t="shared" si="1858"/>
        <v>7424</v>
      </c>
      <c r="EG291" s="222">
        <f t="shared" si="1859"/>
        <v>3.8218390804597702</v>
      </c>
      <c r="EH291" s="223">
        <f t="shared" si="1860"/>
        <v>10.711206896551724</v>
      </c>
      <c r="EI291" s="243">
        <f t="shared" si="1861"/>
        <v>7.4676724137931032</v>
      </c>
      <c r="EJ291" s="243">
        <f t="shared" si="1862"/>
        <v>22.000718390804597</v>
      </c>
      <c r="EK291" s="252">
        <f t="shared" si="1863"/>
        <v>0</v>
      </c>
      <c r="EL291" s="309">
        <f t="shared" si="1864"/>
        <v>22.000718390804597</v>
      </c>
      <c r="EM291" s="218">
        <f>IF(EJ291&lt;=0,2,0)+IF(EJ291&gt;0,EJ291+1,0)*2+IF(EJ291&gt;12,EJ291-12,0)*2+IF(EJ291&gt;13,EJ291-13,0)*2+IF(EJ291&gt;14,EJ291-14,0)*2+IF(EJ291&gt;15,EJ291-15,0)*2+IF(EJ291&gt;16,EJ291-16,0)*2+IF(EJ291&gt;17,EJ291-17,0)*2+IF(EJ291&gt;18,EJ291-18,0)*2+IF(EJ291&gt;19,EJ291-19,0)*2+IF(EJ291&gt;20,EJ291-20,0)*2</f>
        <v>154.01436781609189</v>
      </c>
      <c r="EN291" s="242">
        <f>IF(EK291&lt;=0,2,0)+IF(EK291&gt;0,EK291+1,0)*2+IF(EK291&gt;12,EK291-12,0)*2+IF(EK291&gt;13,EK291-13,0)*2+IF(EK291&gt;14,EK291-14,0)*2+IF(EK291&gt;15,EK291-15,0)*2+IF(EK291&gt;16,EK291-16,0)*2+IF(EK291&gt;17,EK291-17,0)*2+IF(EK291&gt;18,EK291-18,0)*2+IF(EK291&gt;19,EK291-19,0)*2+IF(EK291&gt;20,EK291-20,0)*2</f>
        <v>2</v>
      </c>
      <c r="EO291" s="243">
        <f t="shared" si="1866"/>
        <v>152.01436781609189</v>
      </c>
      <c r="EP291" s="218">
        <f t="shared" si="1867"/>
        <v>0</v>
      </c>
      <c r="ER291" s="303" t="s">
        <v>419</v>
      </c>
      <c r="ES291" s="218" t="s">
        <v>86</v>
      </c>
      <c r="ET291" s="243" t="s">
        <v>132</v>
      </c>
      <c r="EU291" s="237">
        <f>Konvention_1slave-MUslave</f>
        <v>12</v>
      </c>
      <c r="EV291" s="234"/>
      <c r="EW291" s="234">
        <f>Konvention_1slave-INslave</f>
        <v>12</v>
      </c>
      <c r="EX291" s="234">
        <f>Konvention_1slave-CHslave</f>
        <v>12</v>
      </c>
      <c r="EY291" s="234"/>
      <c r="EZ291" s="234"/>
      <c r="FA291" s="234"/>
      <c r="FB291" s="224"/>
      <c r="FC291" s="223">
        <f t="shared" si="1998"/>
        <v>12</v>
      </c>
      <c r="FD291" s="223">
        <f t="shared" si="1869"/>
        <v>24</v>
      </c>
      <c r="FE291" s="224">
        <f t="shared" si="1870"/>
        <v>36</v>
      </c>
      <c r="FF291" s="237">
        <f t="shared" si="1999"/>
        <v>2304</v>
      </c>
      <c r="FG291" s="234">
        <f>EU291*EW291*CHslave+EU291*INslave*EX291+MUslave*EW291*EX291</f>
        <v>3456</v>
      </c>
      <c r="FH291" s="224">
        <f t="shared" si="2000"/>
        <v>1728</v>
      </c>
      <c r="FI291" s="224">
        <f t="shared" si="1873"/>
        <v>7488</v>
      </c>
      <c r="FJ291" s="222">
        <f t="shared" si="1874"/>
        <v>3.6923076923076925</v>
      </c>
      <c r="FK291" s="223">
        <f t="shared" si="1875"/>
        <v>11.076923076923077</v>
      </c>
      <c r="FL291" s="243">
        <f t="shared" si="1876"/>
        <v>8.3076923076923084</v>
      </c>
      <c r="FM291" s="243">
        <f t="shared" si="1877"/>
        <v>23.07692307692308</v>
      </c>
      <c r="FN291" s="252">
        <f t="shared" si="1878"/>
        <v>0</v>
      </c>
      <c r="FO291" s="309">
        <f t="shared" si="1879"/>
        <v>23.07692307692308</v>
      </c>
      <c r="FP291" s="218">
        <f>IF(FM291&lt;=0,2,0)+IF(FM291&gt;0,FM291+1,0)*2+IF(FM291&gt;12,FM291-12,0)*2+IF(FM291&gt;13,FM291-13,0)*2+IF(FM291&gt;14,FM291-14,0)*2+IF(FM291&gt;15,FM291-15,0)*2+IF(FM291&gt;16,FM291-16,0)*2+IF(FM291&gt;17,FM291-17,0)*2+IF(FM291&gt;18,FM291-18,0)*2+IF(FM291&gt;19,FM291-19,0)*2+IF(FM291&gt;20,FM291-20,0)*2</f>
        <v>175.5384615384616</v>
      </c>
      <c r="FQ291" s="242">
        <f>IF(FN291&lt;=0,2,0)+IF(FN291&gt;0,FN291+1,0)*2+IF(FN291&gt;12,FN291-12,0)*2+IF(FN291&gt;13,FN291-13,0)*2+IF(FN291&gt;14,FN291-14,0)*2+IF(FN291&gt;15,FN291-15,0)*2+IF(FN291&gt;16,FN291-16,0)*2+IF(FN291&gt;17,FN291-17,0)*2+IF(FN291&gt;18,FN291-18,0)*2+IF(FN291&gt;19,FN291-19,0)*2+IF(FN291&gt;20,FN291-20,0)*2</f>
        <v>2</v>
      </c>
      <c r="FR291" s="243">
        <f t="shared" si="1881"/>
        <v>173.5384615384616</v>
      </c>
      <c r="FS291" s="218">
        <f t="shared" si="1882"/>
        <v>0</v>
      </c>
      <c r="FU291" s="303" t="s">
        <v>419</v>
      </c>
      <c r="FV291" s="218" t="s">
        <v>86</v>
      </c>
      <c r="FW291" s="243" t="s">
        <v>132</v>
      </c>
      <c r="FX291" s="237">
        <f>Konvention_1slave-MUslave</f>
        <v>12</v>
      </c>
      <c r="FY291" s="234"/>
      <c r="FZ291" s="234">
        <f>Konvention_1slave-INslave</f>
        <v>12</v>
      </c>
      <c r="GA291" s="234">
        <f>Konvention_1slave-CHslave</f>
        <v>12</v>
      </c>
      <c r="GB291" s="234"/>
      <c r="GC291" s="234"/>
      <c r="GD291" s="234"/>
      <c r="GE291" s="224"/>
      <c r="GF291" s="223">
        <f t="shared" si="2001"/>
        <v>12</v>
      </c>
      <c r="GG291" s="223">
        <f t="shared" si="1884"/>
        <v>24</v>
      </c>
      <c r="GH291" s="224">
        <f t="shared" si="1885"/>
        <v>36</v>
      </c>
      <c r="GI291" s="237">
        <f t="shared" si="2002"/>
        <v>2304</v>
      </c>
      <c r="GJ291" s="234">
        <f>FX291*FZ291*CHslave+FX291*INslave*GA291+MUslave*FZ291*GA291</f>
        <v>3456</v>
      </c>
      <c r="GK291" s="224">
        <f t="shared" si="2003"/>
        <v>1728</v>
      </c>
      <c r="GL291" s="224">
        <f t="shared" si="1888"/>
        <v>7488</v>
      </c>
      <c r="GM291" s="222">
        <f t="shared" si="1889"/>
        <v>3.6923076923076925</v>
      </c>
      <c r="GN291" s="223">
        <f t="shared" si="1890"/>
        <v>11.076923076923077</v>
      </c>
      <c r="GO291" s="243">
        <f t="shared" si="1891"/>
        <v>8.3076923076923084</v>
      </c>
      <c r="GP291" s="243">
        <f t="shared" si="1892"/>
        <v>23.07692307692308</v>
      </c>
      <c r="GQ291" s="252">
        <f t="shared" si="1893"/>
        <v>0</v>
      </c>
      <c r="GR291" s="309">
        <f t="shared" si="1894"/>
        <v>23.07692307692308</v>
      </c>
      <c r="GS291" s="218">
        <f>IF(GP291&lt;=0,2,0)+IF(GP291&gt;0,GP291+1,0)*2+IF(GP291&gt;12,GP291-12,0)*2+IF(GP291&gt;13,GP291-13,0)*2+IF(GP291&gt;14,GP291-14,0)*2+IF(GP291&gt;15,GP291-15,0)*2+IF(GP291&gt;16,GP291-16,0)*2+IF(GP291&gt;17,GP291-17,0)*2+IF(GP291&gt;18,GP291-18,0)*2+IF(GP291&gt;19,GP291-19,0)*2+IF(GP291&gt;20,GP291-20,0)*2</f>
        <v>175.5384615384616</v>
      </c>
      <c r="GT291" s="242">
        <f>IF(GQ291&lt;=0,2,0)+IF(GQ291&gt;0,GQ291+1,0)*2+IF(GQ291&gt;12,GQ291-12,0)*2+IF(GQ291&gt;13,GQ291-13,0)*2+IF(GQ291&gt;14,GQ291-14,0)*2+IF(GQ291&gt;15,GQ291-15,0)*2+IF(GQ291&gt;16,GQ291-16,0)*2+IF(GQ291&gt;17,GQ291-17,0)*2+IF(GQ291&gt;18,GQ291-18,0)*2+IF(GQ291&gt;19,GQ291-19,0)*2+IF(GQ291&gt;20,GQ291-20,0)*2</f>
        <v>2</v>
      </c>
      <c r="GU291" s="243">
        <f t="shared" si="1896"/>
        <v>173.5384615384616</v>
      </c>
      <c r="GV291" s="218">
        <f t="shared" si="1897"/>
        <v>0</v>
      </c>
      <c r="GX291" s="303" t="s">
        <v>419</v>
      </c>
      <c r="GY291" s="218" t="s">
        <v>86</v>
      </c>
      <c r="GZ291" s="243" t="s">
        <v>132</v>
      </c>
      <c r="HA291" s="237">
        <f>Konvention_1slave-MUslave</f>
        <v>12</v>
      </c>
      <c r="HB291" s="234"/>
      <c r="HC291" s="234">
        <f>Konvention_1slave-INslave</f>
        <v>12</v>
      </c>
      <c r="HD291" s="234">
        <f>Konvention_1slave-CHslave</f>
        <v>12</v>
      </c>
      <c r="HE291" s="234"/>
      <c r="HF291" s="234"/>
      <c r="HG291" s="234"/>
      <c r="HH291" s="224"/>
      <c r="HI291" s="223">
        <f t="shared" si="2004"/>
        <v>12</v>
      </c>
      <c r="HJ291" s="223">
        <f t="shared" si="1899"/>
        <v>24</v>
      </c>
      <c r="HK291" s="224">
        <f t="shared" si="1900"/>
        <v>36</v>
      </c>
      <c r="HL291" s="237">
        <f t="shared" si="2005"/>
        <v>2304</v>
      </c>
      <c r="HM291" s="234">
        <f>HA291*HC291*CHslave+HA291*INslave*HD291+MUslave*HC291*HD291</f>
        <v>3456</v>
      </c>
      <c r="HN291" s="224">
        <f t="shared" si="2006"/>
        <v>1728</v>
      </c>
      <c r="HO291" s="224">
        <f t="shared" si="1903"/>
        <v>7488</v>
      </c>
      <c r="HP291" s="222">
        <f t="shared" si="1904"/>
        <v>3.6923076923076925</v>
      </c>
      <c r="HQ291" s="223">
        <f t="shared" si="1905"/>
        <v>11.076923076923077</v>
      </c>
      <c r="HR291" s="243">
        <f t="shared" si="1906"/>
        <v>8.3076923076923084</v>
      </c>
      <c r="HS291" s="243">
        <f t="shared" si="1907"/>
        <v>23.07692307692308</v>
      </c>
      <c r="HT291" s="252">
        <f t="shared" si="1908"/>
        <v>0</v>
      </c>
      <c r="HU291" s="309">
        <f t="shared" si="1909"/>
        <v>23.07692307692308</v>
      </c>
      <c r="HV291" s="218">
        <f>IF(HS291&lt;=0,2,0)+IF(HS291&gt;0,HS291+1,0)*2+IF(HS291&gt;12,HS291-12,0)*2+IF(HS291&gt;13,HS291-13,0)*2+IF(HS291&gt;14,HS291-14,0)*2+IF(HS291&gt;15,HS291-15,0)*2+IF(HS291&gt;16,HS291-16,0)*2+IF(HS291&gt;17,HS291-17,0)*2+IF(HS291&gt;18,HS291-18,0)*2+IF(HS291&gt;19,HS291-19,0)*2+IF(HS291&gt;20,HS291-20,0)*2</f>
        <v>175.5384615384616</v>
      </c>
      <c r="HW291" s="242">
        <f>IF(HT291&lt;=0,2,0)+IF(HT291&gt;0,HT291+1,0)*2+IF(HT291&gt;12,HT291-12,0)*2+IF(HT291&gt;13,HT291-13,0)*2+IF(HT291&gt;14,HT291-14,0)*2+IF(HT291&gt;15,HT291-15,0)*2+IF(HT291&gt;16,HT291-16,0)*2+IF(HT291&gt;17,HT291-17,0)*2+IF(HT291&gt;18,HT291-18,0)*2+IF(HT291&gt;19,HT291-19,0)*2+IF(HT291&gt;20,HT291-20,0)*2</f>
        <v>2</v>
      </c>
      <c r="HX291" s="243">
        <f t="shared" si="1911"/>
        <v>173.5384615384616</v>
      </c>
      <c r="HY291" s="218">
        <f t="shared" si="1912"/>
        <v>0</v>
      </c>
      <c r="IA291" s="303" t="s">
        <v>419</v>
      </c>
      <c r="IB291" s="218" t="s">
        <v>86</v>
      </c>
      <c r="IC291" s="243" t="s">
        <v>132</v>
      </c>
      <c r="ID291" s="237">
        <f>Konvention_1slave-MUslave</f>
        <v>12</v>
      </c>
      <c r="IE291" s="234"/>
      <c r="IF291" s="234">
        <f>Konvention_1slave-INslave</f>
        <v>12</v>
      </c>
      <c r="IG291" s="234">
        <f>Konvention_1slave-CHslave</f>
        <v>12</v>
      </c>
      <c r="IH291" s="234"/>
      <c r="II291" s="234"/>
      <c r="IJ291" s="234"/>
      <c r="IK291" s="224"/>
      <c r="IL291" s="223">
        <f t="shared" si="2007"/>
        <v>12</v>
      </c>
      <c r="IM291" s="223">
        <f t="shared" si="1914"/>
        <v>24</v>
      </c>
      <c r="IN291" s="224">
        <f t="shared" si="1915"/>
        <v>36</v>
      </c>
      <c r="IO291" s="237">
        <f t="shared" si="2008"/>
        <v>2304</v>
      </c>
      <c r="IP291" s="234">
        <f>ID291*IF291*CHslave+ID291*INslave*IG291+MUslave*IF291*IG291</f>
        <v>3456</v>
      </c>
      <c r="IQ291" s="224">
        <f t="shared" si="2009"/>
        <v>1728</v>
      </c>
      <c r="IR291" s="224">
        <f t="shared" si="1918"/>
        <v>7488</v>
      </c>
      <c r="IS291" s="222">
        <f t="shared" si="1919"/>
        <v>3.6923076923076925</v>
      </c>
      <c r="IT291" s="223">
        <f t="shared" si="1920"/>
        <v>11.076923076923077</v>
      </c>
      <c r="IU291" s="243">
        <f t="shared" si="1921"/>
        <v>8.3076923076923084</v>
      </c>
      <c r="IV291" s="243">
        <f t="shared" si="1922"/>
        <v>23.07692307692308</v>
      </c>
      <c r="IW291" s="252">
        <f t="shared" si="1923"/>
        <v>0</v>
      </c>
      <c r="IX291" s="309">
        <f t="shared" si="1924"/>
        <v>23.07692307692308</v>
      </c>
      <c r="IY291" s="218">
        <f>IF(IV291&lt;=0,2,0)+IF(IV291&gt;0,IV291+1,0)*2+IF(IV291&gt;12,IV291-12,0)*2+IF(IV291&gt;13,IV291-13,0)*2+IF(IV291&gt;14,IV291-14,0)*2+IF(IV291&gt;15,IV291-15,0)*2+IF(IV291&gt;16,IV291-16,0)*2+IF(IV291&gt;17,IV291-17,0)*2+IF(IV291&gt;18,IV291-18,0)*2+IF(IV291&gt;19,IV291-19,0)*2+IF(IV291&gt;20,IV291-20,0)*2</f>
        <v>175.5384615384616</v>
      </c>
      <c r="IZ291" s="242">
        <f>IF(IW291&lt;=0,2,0)+IF(IW291&gt;0,IW291+1,0)*2+IF(IW291&gt;12,IW291-12,0)*2+IF(IW291&gt;13,IW291-13,0)*2+IF(IW291&gt;14,IW291-14,0)*2+IF(IW291&gt;15,IW291-15,0)*2+IF(IW291&gt;16,IW291-16,0)*2+IF(IW291&gt;17,IW291-17,0)*2+IF(IW291&gt;18,IW291-18,0)*2+IF(IW291&gt;19,IW291-19,0)*2+IF(IW291&gt;20,IW291-20,0)*2</f>
        <v>2</v>
      </c>
      <c r="JA291" s="243">
        <f t="shared" si="1926"/>
        <v>173.5384615384616</v>
      </c>
      <c r="JB291" s="218">
        <f t="shared" si="1927"/>
        <v>0</v>
      </c>
      <c r="JE291" s="148"/>
    </row>
    <row r="292" spans="1:265" ht="15" hidden="1" customHeight="1" outlineLevel="2">
      <c r="B292" s="148">
        <v>32</v>
      </c>
      <c r="C292" s="303" t="e">
        <f>VLOOKUP(AF292,Attribute!C:T,1,FALSE)</f>
        <v>#N/A</v>
      </c>
      <c r="D292" s="125" t="s">
        <v>440</v>
      </c>
      <c r="E292" s="127" t="s">
        <v>133</v>
      </c>
      <c r="F292" s="114"/>
      <c r="G292" s="113">
        <f>Konvention_1master-KLmaster</f>
        <v>12</v>
      </c>
      <c r="H292" s="113"/>
      <c r="I292" s="113">
        <f>Konvention_1master-CHmaster</f>
        <v>12</v>
      </c>
      <c r="J292" s="113">
        <f>Konvention_1master-FFmaster</f>
        <v>12</v>
      </c>
      <c r="K292" s="113"/>
      <c r="L292" s="113"/>
      <c r="M292" s="119"/>
      <c r="N292" s="223">
        <f t="shared" si="1983"/>
        <v>12</v>
      </c>
      <c r="O292" s="223">
        <f t="shared" si="1795"/>
        <v>24</v>
      </c>
      <c r="P292" s="224">
        <f t="shared" si="1796"/>
        <v>36</v>
      </c>
      <c r="Q292" s="237">
        <f t="shared" si="1984"/>
        <v>2304</v>
      </c>
      <c r="R292" s="113">
        <f>G292*I292*FFmaster+G292*CHmaster*J292+KLmaster*I292*J292</f>
        <v>3456</v>
      </c>
      <c r="S292" s="224">
        <f t="shared" si="1985"/>
        <v>1728</v>
      </c>
      <c r="T292" s="224">
        <f t="shared" si="1799"/>
        <v>7488</v>
      </c>
      <c r="U292" s="222">
        <f t="shared" si="1800"/>
        <v>3.6923076923076925</v>
      </c>
      <c r="V292" s="223">
        <f t="shared" si="1801"/>
        <v>11.076923076923077</v>
      </c>
      <c r="W292" s="243">
        <f t="shared" si="1802"/>
        <v>8.3076923076923084</v>
      </c>
      <c r="X292" s="243">
        <f t="shared" si="1803"/>
        <v>23.07692307692308</v>
      </c>
      <c r="Y292" s="252">
        <v>0</v>
      </c>
      <c r="Z292" s="198">
        <f t="shared" si="1804"/>
        <v>23.07692307692308</v>
      </c>
      <c r="AA292" s="125">
        <f>IF(X292&lt;=0,1,0)+IF(X292&gt;0,X292+1,0)*1+IF(X292&gt;12,X292-12,0)*1+IF(X292&gt;13,X292-13,0)*1+IF(X292&gt;14,X292-14,0)*1+IF(X292&gt;15,X292-15,0)*1+IF(X292&gt;16,X292-16,0)*1+IF(X292&gt;17,X292-17,0)*1+IF(X292&gt;18,X292-18,0)*1+IF(X292&gt;19,X292-19,0)*1+IF(X292&gt;20,X292-20,0)*1</f>
        <v>87.769230769230802</v>
      </c>
      <c r="AB292" s="160">
        <f>IF(Y292&lt;=0,1,0)+IF(Y292&gt;0,Y292+1,0)*1+IF(Y292&gt;12,Y292-12,0)*1+IF(Y292&gt;13,Y292-13,0)*1+IF(Y292&gt;14,Y292-14,0)*1+IF(Y292&gt;15,Y292-15,0)*1+IF(Y292&gt;16,Y292-16,0)*1+IF(Y292&gt;17,Y292-17,0)*1+IF(Y292&gt;18,Y292-18,0)*1+IF(Y292&gt;19,Y292-19,0)*1+IF(Y292&gt;20,Y292-20,0)*1</f>
        <v>1</v>
      </c>
      <c r="AC292" s="127">
        <f t="shared" si="1806"/>
        <v>86.769230769230802</v>
      </c>
      <c r="AD292" s="125">
        <f t="shared" si="1807"/>
        <v>0</v>
      </c>
      <c r="AF292" s="163" t="s">
        <v>420</v>
      </c>
      <c r="AG292" s="125" t="s">
        <v>440</v>
      </c>
      <c r="AH292" s="127" t="s">
        <v>133</v>
      </c>
      <c r="AI292" s="114"/>
      <c r="AJ292" s="113">
        <f>Konvention_1slave-KLslave</f>
        <v>12</v>
      </c>
      <c r="AK292" s="113"/>
      <c r="AL292" s="113">
        <f>Konvention_1slave-CHslave</f>
        <v>12</v>
      </c>
      <c r="AM292" s="113">
        <f>Konvention_1slave-FFslave</f>
        <v>12</v>
      </c>
      <c r="AN292" s="113"/>
      <c r="AO292" s="113"/>
      <c r="AP292" s="119"/>
      <c r="AQ292" s="47">
        <f t="shared" si="1986"/>
        <v>12</v>
      </c>
      <c r="AR292" s="47">
        <f t="shared" si="1809"/>
        <v>24</v>
      </c>
      <c r="AS292" s="119">
        <f t="shared" si="1810"/>
        <v>36</v>
      </c>
      <c r="AT292" s="114">
        <f t="shared" si="1987"/>
        <v>2304</v>
      </c>
      <c r="AU292" s="113">
        <f>AJ292*AL292*FFslave+AJ292*CHslave*AM292+KLslave*AL292*AM292</f>
        <v>3456</v>
      </c>
      <c r="AV292" s="119">
        <f t="shared" si="1988"/>
        <v>1728</v>
      </c>
      <c r="AW292" s="119">
        <f t="shared" si="1813"/>
        <v>7488</v>
      </c>
      <c r="AX292" s="89">
        <f t="shared" si="1814"/>
        <v>3.6923076923076925</v>
      </c>
      <c r="AY292" s="47">
        <f t="shared" si="1815"/>
        <v>11.076923076923077</v>
      </c>
      <c r="AZ292" s="127">
        <f t="shared" si="1816"/>
        <v>8.3076923076923084</v>
      </c>
      <c r="BA292" s="127">
        <f t="shared" si="1817"/>
        <v>23.07692307692308</v>
      </c>
      <c r="BB292" s="165">
        <f t="shared" si="1818"/>
        <v>0</v>
      </c>
      <c r="BC292" s="198">
        <f t="shared" si="1819"/>
        <v>23.07692307692308</v>
      </c>
      <c r="BD292" s="125">
        <f>IF(BA292&lt;=0,1,0)+IF(BA292&gt;0,BA292+1,0)*1+IF(BA292&gt;12,BA292-12,0)*1+IF(BA292&gt;13,BA292-13,0)*1+IF(BA292&gt;14,BA292-14,0)*1+IF(BA292&gt;15,BA292-15,0)*1+IF(BA292&gt;16,BA292-16,0)*1+IF(BA292&gt;17,BA292-17,0)*1+IF(BA292&gt;18,BA292-18,0)*1+IF(BA292&gt;19,BA292-19,0)*1+IF(BA292&gt;20,BA292-20,0)*1</f>
        <v>87.769230769230802</v>
      </c>
      <c r="BE292" s="160">
        <f>IF(BB292&lt;=0,1,0)+IF(BB292&gt;0,BB292+1,0)*1+IF(BB292&gt;12,BB292-12,0)*1+IF(BB292&gt;13,BB292-13,0)*1+IF(BB292&gt;14,BB292-14,0)*1+IF(BB292&gt;15,BB292-15,0)*1+IF(BB292&gt;16,BB292-16,0)*1+IF(BB292&gt;17,BB292-17,0)*1+IF(BB292&gt;18,BB292-18,0)*1+IF(BB292&gt;19,BB292-19,0)*1+IF(BB292&gt;20,BB292-20,0)*1</f>
        <v>1</v>
      </c>
      <c r="BF292" s="243">
        <f t="shared" si="1821"/>
        <v>86.769230769230802</v>
      </c>
      <c r="BG292" s="218">
        <f t="shared" si="1822"/>
        <v>0</v>
      </c>
      <c r="BI292" s="303" t="s">
        <v>420</v>
      </c>
      <c r="BJ292" s="218" t="s">
        <v>440</v>
      </c>
      <c r="BK292" s="243" t="s">
        <v>133</v>
      </c>
      <c r="BL292" s="237"/>
      <c r="BM292" s="234">
        <f>Konvention_1slave-KLslave_KL</f>
        <v>11</v>
      </c>
      <c r="BN292" s="234"/>
      <c r="BO292" s="234">
        <f>Konvention_1slave-CHslave</f>
        <v>12</v>
      </c>
      <c r="BP292" s="234">
        <f>Konvention_1slave-FFslave</f>
        <v>12</v>
      </c>
      <c r="BQ292" s="234"/>
      <c r="BR292" s="234"/>
      <c r="BS292" s="224"/>
      <c r="BT292" s="223">
        <f t="shared" si="1989"/>
        <v>11.666666666666666</v>
      </c>
      <c r="BU292" s="223">
        <f t="shared" si="1824"/>
        <v>23.333333333333332</v>
      </c>
      <c r="BV292" s="224">
        <f t="shared" si="1825"/>
        <v>35</v>
      </c>
      <c r="BW292" s="237">
        <f t="shared" si="1990"/>
        <v>2432</v>
      </c>
      <c r="BX292" s="234">
        <f>BM292*BO292*FFslave+BM292*CHslave*BP292+KLslave_KL*BO292*BP292</f>
        <v>3408</v>
      </c>
      <c r="BY292" s="224">
        <f t="shared" si="1991"/>
        <v>1584</v>
      </c>
      <c r="BZ292" s="224">
        <f t="shared" si="1828"/>
        <v>7424</v>
      </c>
      <c r="CA292" s="222">
        <f t="shared" si="1829"/>
        <v>3.8218390804597702</v>
      </c>
      <c r="CB292" s="223">
        <f t="shared" si="1830"/>
        <v>10.711206896551724</v>
      </c>
      <c r="CC292" s="243">
        <f t="shared" si="1831"/>
        <v>7.4676724137931032</v>
      </c>
      <c r="CD292" s="243">
        <f t="shared" si="1832"/>
        <v>22.000718390804597</v>
      </c>
      <c r="CE292" s="252">
        <f t="shared" si="1833"/>
        <v>0</v>
      </c>
      <c r="CF292" s="309">
        <f t="shared" si="1834"/>
        <v>22.000718390804597</v>
      </c>
      <c r="CG292" s="218">
        <f>IF(CD292&lt;=0,1,0)+IF(CD292&gt;0,CD292+1,0)*1+IF(CD292&gt;12,CD292-12,0)*1+IF(CD292&gt;13,CD292-13,0)*1+IF(CD292&gt;14,CD292-14,0)*1+IF(CD292&gt;15,CD292-15,0)*1+IF(CD292&gt;16,CD292-16,0)*1+IF(CD292&gt;17,CD292-17,0)*1+IF(CD292&gt;18,CD292-18,0)*1+IF(CD292&gt;19,CD292-19,0)*1+IF(CD292&gt;20,CD292-20,0)*1</f>
        <v>77.007183908045945</v>
      </c>
      <c r="CH292" s="242">
        <f>IF(CE292&lt;=0,1,0)+IF(CE292&gt;0,CE292+1,0)*1+IF(CE292&gt;12,CE292-12,0)*1+IF(CE292&gt;13,CE292-13,0)*1+IF(CE292&gt;14,CE292-14,0)*1+IF(CE292&gt;15,CE292-15,0)*1+IF(CE292&gt;16,CE292-16,0)*1+IF(CE292&gt;17,CE292-17,0)*1+IF(CE292&gt;18,CE292-18,0)*1+IF(CE292&gt;19,CE292-19,0)*1+IF(CE292&gt;20,CE292-20,0)*1</f>
        <v>1</v>
      </c>
      <c r="CI292" s="243">
        <f t="shared" si="1836"/>
        <v>76.007183908045945</v>
      </c>
      <c r="CJ292" s="218">
        <f t="shared" si="1837"/>
        <v>0</v>
      </c>
      <c r="CL292" s="303" t="s">
        <v>420</v>
      </c>
      <c r="CM292" s="218" t="s">
        <v>440</v>
      </c>
      <c r="CN292" s="243" t="s">
        <v>133</v>
      </c>
      <c r="CO292" s="237"/>
      <c r="CP292" s="234">
        <f>Konvention_1slave-KLslave</f>
        <v>12</v>
      </c>
      <c r="CQ292" s="234"/>
      <c r="CR292" s="234">
        <f>Konvention_1slave-CHslave</f>
        <v>12</v>
      </c>
      <c r="CS292" s="234">
        <f>Konvention_1slave-FFslave</f>
        <v>12</v>
      </c>
      <c r="CT292" s="234"/>
      <c r="CU292" s="234"/>
      <c r="CV292" s="224"/>
      <c r="CW292" s="223">
        <f t="shared" si="1992"/>
        <v>12</v>
      </c>
      <c r="CX292" s="223">
        <f t="shared" si="1839"/>
        <v>24</v>
      </c>
      <c r="CY292" s="224">
        <f t="shared" si="1840"/>
        <v>36</v>
      </c>
      <c r="CZ292" s="237">
        <f t="shared" si="1993"/>
        <v>2304</v>
      </c>
      <c r="DA292" s="234">
        <f>CP292*CR292*FFslave+CP292*CHslave*CS292+KLslave*CR292*CS292</f>
        <v>3456</v>
      </c>
      <c r="DB292" s="224">
        <f t="shared" si="1994"/>
        <v>1728</v>
      </c>
      <c r="DC292" s="224">
        <f t="shared" si="1843"/>
        <v>7488</v>
      </c>
      <c r="DD292" s="222">
        <f t="shared" si="1844"/>
        <v>3.6923076923076925</v>
      </c>
      <c r="DE292" s="223">
        <f t="shared" si="1845"/>
        <v>11.076923076923077</v>
      </c>
      <c r="DF292" s="243">
        <f t="shared" si="1846"/>
        <v>8.3076923076923084</v>
      </c>
      <c r="DG292" s="243">
        <f t="shared" si="1847"/>
        <v>23.07692307692308</v>
      </c>
      <c r="DH292" s="252">
        <f t="shared" si="1848"/>
        <v>0</v>
      </c>
      <c r="DI292" s="309">
        <f t="shared" si="1849"/>
        <v>23.07692307692308</v>
      </c>
      <c r="DJ292" s="218">
        <f>IF(DG292&lt;=0,1,0)+IF(DG292&gt;0,DG292+1,0)*1+IF(DG292&gt;12,DG292-12,0)*1+IF(DG292&gt;13,DG292-13,0)*1+IF(DG292&gt;14,DG292-14,0)*1+IF(DG292&gt;15,DG292-15,0)*1+IF(DG292&gt;16,DG292-16,0)*1+IF(DG292&gt;17,DG292-17,0)*1+IF(DG292&gt;18,DG292-18,0)*1+IF(DG292&gt;19,DG292-19,0)*1+IF(DG292&gt;20,DG292-20,0)*1</f>
        <v>87.769230769230802</v>
      </c>
      <c r="DK292" s="242">
        <f>IF(DH292&lt;=0,1,0)+IF(DH292&gt;0,DH292+1,0)*1+IF(DH292&gt;12,DH292-12,0)*1+IF(DH292&gt;13,DH292-13,0)*1+IF(DH292&gt;14,DH292-14,0)*1+IF(DH292&gt;15,DH292-15,0)*1+IF(DH292&gt;16,DH292-16,0)*1+IF(DH292&gt;17,DH292-17,0)*1+IF(DH292&gt;18,DH292-18,0)*1+IF(DH292&gt;19,DH292-19,0)*1+IF(DH292&gt;20,DH292-20,0)*1</f>
        <v>1</v>
      </c>
      <c r="DL292" s="243">
        <f t="shared" si="1851"/>
        <v>86.769230769230802</v>
      </c>
      <c r="DM292" s="218">
        <f t="shared" si="1852"/>
        <v>0</v>
      </c>
      <c r="DO292" s="303" t="s">
        <v>420</v>
      </c>
      <c r="DP292" s="218" t="s">
        <v>440</v>
      </c>
      <c r="DQ292" s="243" t="s">
        <v>133</v>
      </c>
      <c r="DR292" s="237"/>
      <c r="DS292" s="234">
        <f>Konvention_1slave-KLslave</f>
        <v>12</v>
      </c>
      <c r="DT292" s="234"/>
      <c r="DU292" s="234">
        <f>Konvention_1slave-CHslave_CH</f>
        <v>11</v>
      </c>
      <c r="DV292" s="234">
        <f>Konvention_1slave-FFslave</f>
        <v>12</v>
      </c>
      <c r="DW292" s="234"/>
      <c r="DX292" s="234"/>
      <c r="DY292" s="224"/>
      <c r="DZ292" s="223">
        <f t="shared" si="1995"/>
        <v>11.666666666666666</v>
      </c>
      <c r="EA292" s="223">
        <f t="shared" si="1854"/>
        <v>23.333333333333332</v>
      </c>
      <c r="EB292" s="224">
        <f t="shared" si="1855"/>
        <v>35</v>
      </c>
      <c r="EC292" s="237">
        <f t="shared" si="1996"/>
        <v>2432</v>
      </c>
      <c r="ED292" s="234">
        <f>DS292*DU292*FFslave+DS292*CHslave_CH*DV292+KLslave*DU292*DV292</f>
        <v>3408</v>
      </c>
      <c r="EE292" s="224">
        <f t="shared" si="1997"/>
        <v>1584</v>
      </c>
      <c r="EF292" s="224">
        <f t="shared" si="1858"/>
        <v>7424</v>
      </c>
      <c r="EG292" s="222">
        <f t="shared" si="1859"/>
        <v>3.8218390804597702</v>
      </c>
      <c r="EH292" s="223">
        <f t="shared" si="1860"/>
        <v>10.711206896551724</v>
      </c>
      <c r="EI292" s="243">
        <f t="shared" si="1861"/>
        <v>7.4676724137931032</v>
      </c>
      <c r="EJ292" s="243">
        <f t="shared" si="1862"/>
        <v>22.000718390804597</v>
      </c>
      <c r="EK292" s="252">
        <f t="shared" si="1863"/>
        <v>0</v>
      </c>
      <c r="EL292" s="309">
        <f t="shared" si="1864"/>
        <v>22.000718390804597</v>
      </c>
      <c r="EM292" s="218">
        <f>IF(EJ292&lt;=0,1,0)+IF(EJ292&gt;0,EJ292+1,0)*1+IF(EJ292&gt;12,EJ292-12,0)*1+IF(EJ292&gt;13,EJ292-13,0)*1+IF(EJ292&gt;14,EJ292-14,0)*1+IF(EJ292&gt;15,EJ292-15,0)*1+IF(EJ292&gt;16,EJ292-16,0)*1+IF(EJ292&gt;17,EJ292-17,0)*1+IF(EJ292&gt;18,EJ292-18,0)*1+IF(EJ292&gt;19,EJ292-19,0)*1+IF(EJ292&gt;20,EJ292-20,0)*1</f>
        <v>77.007183908045945</v>
      </c>
      <c r="EN292" s="242">
        <f>IF(EK292&lt;=0,1,0)+IF(EK292&gt;0,EK292+1,0)*1+IF(EK292&gt;12,EK292-12,0)*1+IF(EK292&gt;13,EK292-13,0)*1+IF(EK292&gt;14,EK292-14,0)*1+IF(EK292&gt;15,EK292-15,0)*1+IF(EK292&gt;16,EK292-16,0)*1+IF(EK292&gt;17,EK292-17,0)*1+IF(EK292&gt;18,EK292-18,0)*1+IF(EK292&gt;19,EK292-19,0)*1+IF(EK292&gt;20,EK292-20,0)*1</f>
        <v>1</v>
      </c>
      <c r="EO292" s="243">
        <f t="shared" si="1866"/>
        <v>76.007183908045945</v>
      </c>
      <c r="EP292" s="218">
        <f t="shared" si="1867"/>
        <v>0</v>
      </c>
      <c r="ER292" s="303" t="s">
        <v>420</v>
      </c>
      <c r="ES292" s="218" t="s">
        <v>440</v>
      </c>
      <c r="ET292" s="243" t="s">
        <v>133</v>
      </c>
      <c r="EU292" s="237"/>
      <c r="EV292" s="234">
        <f>Konvention_1slave-KLslave</f>
        <v>12</v>
      </c>
      <c r="EW292" s="234"/>
      <c r="EX292" s="234">
        <f>Konvention_1slave-CHslave</f>
        <v>12</v>
      </c>
      <c r="EY292" s="234">
        <f>Konvention_1slave-FFslave_FF</f>
        <v>11</v>
      </c>
      <c r="EZ292" s="234"/>
      <c r="FA292" s="234"/>
      <c r="FB292" s="224"/>
      <c r="FC292" s="223">
        <f t="shared" si="1998"/>
        <v>11.666666666666666</v>
      </c>
      <c r="FD292" s="223">
        <f t="shared" si="1869"/>
        <v>23.333333333333332</v>
      </c>
      <c r="FE292" s="224">
        <f t="shared" si="1870"/>
        <v>35</v>
      </c>
      <c r="FF292" s="237">
        <f t="shared" si="1999"/>
        <v>2432</v>
      </c>
      <c r="FG292" s="234">
        <f>EV292*EX292*FFslave_FF+EV292*CHslave*EY292+KLslave*EX292*EY292</f>
        <v>3408</v>
      </c>
      <c r="FH292" s="224">
        <f t="shared" si="2000"/>
        <v>1584</v>
      </c>
      <c r="FI292" s="224">
        <f t="shared" si="1873"/>
        <v>7424</v>
      </c>
      <c r="FJ292" s="222">
        <f t="shared" si="1874"/>
        <v>3.8218390804597702</v>
      </c>
      <c r="FK292" s="223">
        <f t="shared" si="1875"/>
        <v>10.711206896551724</v>
      </c>
      <c r="FL292" s="243">
        <f t="shared" si="1876"/>
        <v>7.4676724137931032</v>
      </c>
      <c r="FM292" s="243">
        <f t="shared" si="1877"/>
        <v>22.000718390804597</v>
      </c>
      <c r="FN292" s="252">
        <f t="shared" si="1878"/>
        <v>0</v>
      </c>
      <c r="FO292" s="309">
        <f t="shared" si="1879"/>
        <v>22.000718390804597</v>
      </c>
      <c r="FP292" s="218">
        <f>IF(FM292&lt;=0,1,0)+IF(FM292&gt;0,FM292+1,0)*1+IF(FM292&gt;12,FM292-12,0)*1+IF(FM292&gt;13,FM292-13,0)*1+IF(FM292&gt;14,FM292-14,0)*1+IF(FM292&gt;15,FM292-15,0)*1+IF(FM292&gt;16,FM292-16,0)*1+IF(FM292&gt;17,FM292-17,0)*1+IF(FM292&gt;18,FM292-18,0)*1+IF(FM292&gt;19,FM292-19,0)*1+IF(FM292&gt;20,FM292-20,0)*1</f>
        <v>77.007183908045945</v>
      </c>
      <c r="FQ292" s="242">
        <f>IF(FN292&lt;=0,1,0)+IF(FN292&gt;0,FN292+1,0)*1+IF(FN292&gt;12,FN292-12,0)*1+IF(FN292&gt;13,FN292-13,0)*1+IF(FN292&gt;14,FN292-14,0)*1+IF(FN292&gt;15,FN292-15,0)*1+IF(FN292&gt;16,FN292-16,0)*1+IF(FN292&gt;17,FN292-17,0)*1+IF(FN292&gt;18,FN292-18,0)*1+IF(FN292&gt;19,FN292-19,0)*1+IF(FN292&gt;20,FN292-20,0)*1</f>
        <v>1</v>
      </c>
      <c r="FR292" s="243">
        <f t="shared" si="1881"/>
        <v>76.007183908045945</v>
      </c>
      <c r="FS292" s="218">
        <f t="shared" si="1882"/>
        <v>0</v>
      </c>
      <c r="FU292" s="303" t="s">
        <v>420</v>
      </c>
      <c r="FV292" s="218" t="s">
        <v>440</v>
      </c>
      <c r="FW292" s="243" t="s">
        <v>133</v>
      </c>
      <c r="FX292" s="237"/>
      <c r="FY292" s="234">
        <f>Konvention_1slave-KLslave</f>
        <v>12</v>
      </c>
      <c r="FZ292" s="234"/>
      <c r="GA292" s="234">
        <f>Konvention_1slave-CHslave</f>
        <v>12</v>
      </c>
      <c r="GB292" s="234">
        <f>Konvention_1slave-FFslave</f>
        <v>12</v>
      </c>
      <c r="GC292" s="234"/>
      <c r="GD292" s="234"/>
      <c r="GE292" s="224"/>
      <c r="GF292" s="223">
        <f t="shared" si="2001"/>
        <v>12</v>
      </c>
      <c r="GG292" s="223">
        <f t="shared" si="1884"/>
        <v>24</v>
      </c>
      <c r="GH292" s="224">
        <f t="shared" si="1885"/>
        <v>36</v>
      </c>
      <c r="GI292" s="237">
        <f t="shared" si="2002"/>
        <v>2304</v>
      </c>
      <c r="GJ292" s="234">
        <f>FY292*GA292*FFslave+FY292*CHslave*GB292+KLslave*GA292*GB292</f>
        <v>3456</v>
      </c>
      <c r="GK292" s="224">
        <f t="shared" si="2003"/>
        <v>1728</v>
      </c>
      <c r="GL292" s="224">
        <f t="shared" si="1888"/>
        <v>7488</v>
      </c>
      <c r="GM292" s="222">
        <f t="shared" si="1889"/>
        <v>3.6923076923076925</v>
      </c>
      <c r="GN292" s="223">
        <f t="shared" si="1890"/>
        <v>11.076923076923077</v>
      </c>
      <c r="GO292" s="243">
        <f t="shared" si="1891"/>
        <v>8.3076923076923084</v>
      </c>
      <c r="GP292" s="243">
        <f t="shared" si="1892"/>
        <v>23.07692307692308</v>
      </c>
      <c r="GQ292" s="252">
        <f t="shared" si="1893"/>
        <v>0</v>
      </c>
      <c r="GR292" s="309">
        <f t="shared" si="1894"/>
        <v>23.07692307692308</v>
      </c>
      <c r="GS292" s="218">
        <f>IF(GP292&lt;=0,1,0)+IF(GP292&gt;0,GP292+1,0)*1+IF(GP292&gt;12,GP292-12,0)*1+IF(GP292&gt;13,GP292-13,0)*1+IF(GP292&gt;14,GP292-14,0)*1+IF(GP292&gt;15,GP292-15,0)*1+IF(GP292&gt;16,GP292-16,0)*1+IF(GP292&gt;17,GP292-17,0)*1+IF(GP292&gt;18,GP292-18,0)*1+IF(GP292&gt;19,GP292-19,0)*1+IF(GP292&gt;20,GP292-20,0)*1</f>
        <v>87.769230769230802</v>
      </c>
      <c r="GT292" s="242">
        <f>IF(GQ292&lt;=0,1,0)+IF(GQ292&gt;0,GQ292+1,0)*1+IF(GQ292&gt;12,GQ292-12,0)*1+IF(GQ292&gt;13,GQ292-13,0)*1+IF(GQ292&gt;14,GQ292-14,0)*1+IF(GQ292&gt;15,GQ292-15,0)*1+IF(GQ292&gt;16,GQ292-16,0)*1+IF(GQ292&gt;17,GQ292-17,0)*1+IF(GQ292&gt;18,GQ292-18,0)*1+IF(GQ292&gt;19,GQ292-19,0)*1+IF(GQ292&gt;20,GQ292-20,0)*1</f>
        <v>1</v>
      </c>
      <c r="GU292" s="243">
        <f t="shared" si="1896"/>
        <v>86.769230769230802</v>
      </c>
      <c r="GV292" s="218">
        <f t="shared" si="1897"/>
        <v>0</v>
      </c>
      <c r="GX292" s="303" t="s">
        <v>420</v>
      </c>
      <c r="GY292" s="218" t="s">
        <v>440</v>
      </c>
      <c r="GZ292" s="243" t="s">
        <v>133</v>
      </c>
      <c r="HA292" s="237"/>
      <c r="HB292" s="234">
        <f>Konvention_1slave-KLslave</f>
        <v>12</v>
      </c>
      <c r="HC292" s="234"/>
      <c r="HD292" s="234">
        <f>Konvention_1slave-CHslave</f>
        <v>12</v>
      </c>
      <c r="HE292" s="234">
        <f>Konvention_1slave-FFslave</f>
        <v>12</v>
      </c>
      <c r="HF292" s="234"/>
      <c r="HG292" s="234"/>
      <c r="HH292" s="224"/>
      <c r="HI292" s="223">
        <f t="shared" si="2004"/>
        <v>12</v>
      </c>
      <c r="HJ292" s="223">
        <f t="shared" si="1899"/>
        <v>24</v>
      </c>
      <c r="HK292" s="224">
        <f t="shared" si="1900"/>
        <v>36</v>
      </c>
      <c r="HL292" s="237">
        <f t="shared" si="2005"/>
        <v>2304</v>
      </c>
      <c r="HM292" s="234">
        <f>HB292*HD292*FFslave+HB292*CHslave*HE292+KLslave*HD292*HE292</f>
        <v>3456</v>
      </c>
      <c r="HN292" s="224">
        <f t="shared" si="2006"/>
        <v>1728</v>
      </c>
      <c r="HO292" s="224">
        <f t="shared" si="1903"/>
        <v>7488</v>
      </c>
      <c r="HP292" s="222">
        <f t="shared" si="1904"/>
        <v>3.6923076923076925</v>
      </c>
      <c r="HQ292" s="223">
        <f t="shared" si="1905"/>
        <v>11.076923076923077</v>
      </c>
      <c r="HR292" s="243">
        <f t="shared" si="1906"/>
        <v>8.3076923076923084</v>
      </c>
      <c r="HS292" s="243">
        <f t="shared" si="1907"/>
        <v>23.07692307692308</v>
      </c>
      <c r="HT292" s="252">
        <f t="shared" si="1908"/>
        <v>0</v>
      </c>
      <c r="HU292" s="309">
        <f t="shared" si="1909"/>
        <v>23.07692307692308</v>
      </c>
      <c r="HV292" s="218">
        <f>IF(HS292&lt;=0,1,0)+IF(HS292&gt;0,HS292+1,0)*1+IF(HS292&gt;12,HS292-12,0)*1+IF(HS292&gt;13,HS292-13,0)*1+IF(HS292&gt;14,HS292-14,0)*1+IF(HS292&gt;15,HS292-15,0)*1+IF(HS292&gt;16,HS292-16,0)*1+IF(HS292&gt;17,HS292-17,0)*1+IF(HS292&gt;18,HS292-18,0)*1+IF(HS292&gt;19,HS292-19,0)*1+IF(HS292&gt;20,HS292-20,0)*1</f>
        <v>87.769230769230802</v>
      </c>
      <c r="HW292" s="242">
        <f>IF(HT292&lt;=0,1,0)+IF(HT292&gt;0,HT292+1,0)*1+IF(HT292&gt;12,HT292-12,0)*1+IF(HT292&gt;13,HT292-13,0)*1+IF(HT292&gt;14,HT292-14,0)*1+IF(HT292&gt;15,HT292-15,0)*1+IF(HT292&gt;16,HT292-16,0)*1+IF(HT292&gt;17,HT292-17,0)*1+IF(HT292&gt;18,HT292-18,0)*1+IF(HT292&gt;19,HT292-19,0)*1+IF(HT292&gt;20,HT292-20,0)*1</f>
        <v>1</v>
      </c>
      <c r="HX292" s="243">
        <f t="shared" si="1911"/>
        <v>86.769230769230802</v>
      </c>
      <c r="HY292" s="218">
        <f t="shared" si="1912"/>
        <v>0</v>
      </c>
      <c r="IA292" s="303" t="s">
        <v>420</v>
      </c>
      <c r="IB292" s="218" t="s">
        <v>440</v>
      </c>
      <c r="IC292" s="243" t="s">
        <v>133</v>
      </c>
      <c r="ID292" s="237"/>
      <c r="IE292" s="234">
        <f>Konvention_1slave-KLslave</f>
        <v>12</v>
      </c>
      <c r="IF292" s="234"/>
      <c r="IG292" s="234">
        <f>Konvention_1slave-CHslave</f>
        <v>12</v>
      </c>
      <c r="IH292" s="234">
        <f>Konvention_1slave-FFslave</f>
        <v>12</v>
      </c>
      <c r="II292" s="234"/>
      <c r="IJ292" s="234"/>
      <c r="IK292" s="224"/>
      <c r="IL292" s="223">
        <f t="shared" si="2007"/>
        <v>12</v>
      </c>
      <c r="IM292" s="223">
        <f t="shared" si="1914"/>
        <v>24</v>
      </c>
      <c r="IN292" s="224">
        <f t="shared" si="1915"/>
        <v>36</v>
      </c>
      <c r="IO292" s="237">
        <f t="shared" si="2008"/>
        <v>2304</v>
      </c>
      <c r="IP292" s="234">
        <f>IE292*IG292*FFslave+IE292*CHslave*IH292+KLslave*IG292*IH292</f>
        <v>3456</v>
      </c>
      <c r="IQ292" s="224">
        <f t="shared" si="2009"/>
        <v>1728</v>
      </c>
      <c r="IR292" s="224">
        <f t="shared" si="1918"/>
        <v>7488</v>
      </c>
      <c r="IS292" s="222">
        <f t="shared" si="1919"/>
        <v>3.6923076923076925</v>
      </c>
      <c r="IT292" s="223">
        <f t="shared" si="1920"/>
        <v>11.076923076923077</v>
      </c>
      <c r="IU292" s="243">
        <f t="shared" si="1921"/>
        <v>8.3076923076923084</v>
      </c>
      <c r="IV292" s="243">
        <f t="shared" si="1922"/>
        <v>23.07692307692308</v>
      </c>
      <c r="IW292" s="252">
        <f t="shared" si="1923"/>
        <v>0</v>
      </c>
      <c r="IX292" s="309">
        <f t="shared" si="1924"/>
        <v>23.07692307692308</v>
      </c>
      <c r="IY292" s="218">
        <f>IF(IV292&lt;=0,1,0)+IF(IV292&gt;0,IV292+1,0)*1+IF(IV292&gt;12,IV292-12,0)*1+IF(IV292&gt;13,IV292-13,0)*1+IF(IV292&gt;14,IV292-14,0)*1+IF(IV292&gt;15,IV292-15,0)*1+IF(IV292&gt;16,IV292-16,0)*1+IF(IV292&gt;17,IV292-17,0)*1+IF(IV292&gt;18,IV292-18,0)*1+IF(IV292&gt;19,IV292-19,0)*1+IF(IV292&gt;20,IV292-20,0)*1</f>
        <v>87.769230769230802</v>
      </c>
      <c r="IZ292" s="242">
        <f>IF(IW292&lt;=0,1,0)+IF(IW292&gt;0,IW292+1,0)*1+IF(IW292&gt;12,IW292-12,0)*1+IF(IW292&gt;13,IW292-13,0)*1+IF(IW292&gt;14,IW292-14,0)*1+IF(IW292&gt;15,IW292-15,0)*1+IF(IW292&gt;16,IW292-16,0)*1+IF(IW292&gt;17,IW292-17,0)*1+IF(IW292&gt;18,IW292-18,0)*1+IF(IW292&gt;19,IW292-19,0)*1+IF(IW292&gt;20,IW292-20,0)*1</f>
        <v>1</v>
      </c>
      <c r="JA292" s="243">
        <f t="shared" si="1926"/>
        <v>86.769230769230802</v>
      </c>
      <c r="JB292" s="218">
        <f t="shared" si="1927"/>
        <v>0</v>
      </c>
      <c r="JE292" s="148"/>
    </row>
    <row r="293" spans="1:265" ht="15" hidden="1" customHeight="1" outlineLevel="2">
      <c r="B293" s="148">
        <v>33</v>
      </c>
      <c r="C293" s="303" t="e">
        <f>VLOOKUP(AF293,Attribute!C:T,1,FALSE)</f>
        <v>#N/A</v>
      </c>
      <c r="D293" s="125" t="s">
        <v>440</v>
      </c>
      <c r="E293" s="127" t="s">
        <v>133</v>
      </c>
      <c r="F293" s="114"/>
      <c r="G293" s="113">
        <f>Konvention_1master-KLmaster</f>
        <v>12</v>
      </c>
      <c r="H293" s="113"/>
      <c r="I293" s="113">
        <f>Konvention_1master-CHmaster</f>
        <v>12</v>
      </c>
      <c r="J293" s="113">
        <f>Konvention_1master-FFmaster</f>
        <v>12</v>
      </c>
      <c r="K293" s="113"/>
      <c r="L293" s="113"/>
      <c r="M293" s="119"/>
      <c r="N293" s="223">
        <f t="shared" si="1983"/>
        <v>12</v>
      </c>
      <c r="O293" s="223">
        <f t="shared" si="1795"/>
        <v>24</v>
      </c>
      <c r="P293" s="224">
        <f t="shared" si="1796"/>
        <v>36</v>
      </c>
      <c r="Q293" s="237">
        <f t="shared" si="1984"/>
        <v>2304</v>
      </c>
      <c r="R293" s="113">
        <f>G293*I293*FFmaster+G293*CHmaster*J293+KLmaster*I293*J293</f>
        <v>3456</v>
      </c>
      <c r="S293" s="224">
        <f t="shared" si="1985"/>
        <v>1728</v>
      </c>
      <c r="T293" s="224">
        <f t="shared" si="1799"/>
        <v>7488</v>
      </c>
      <c r="U293" s="222">
        <f t="shared" si="1800"/>
        <v>3.6923076923076925</v>
      </c>
      <c r="V293" s="223">
        <f t="shared" si="1801"/>
        <v>11.076923076923077</v>
      </c>
      <c r="W293" s="243">
        <f t="shared" si="1802"/>
        <v>8.3076923076923084</v>
      </c>
      <c r="X293" s="243">
        <f t="shared" si="1803"/>
        <v>23.07692307692308</v>
      </c>
      <c r="Y293" s="252">
        <v>0</v>
      </c>
      <c r="Z293" s="198">
        <f t="shared" si="1804"/>
        <v>23.07692307692308</v>
      </c>
      <c r="AA293" s="125">
        <f>IF(X293&lt;=0,1,0)+IF(X293&gt;0,X293+1,0)*1+IF(X293&gt;12,X293-12,0)*1+IF(X293&gt;13,X293-13,0)*1+IF(X293&gt;14,X293-14,0)*1+IF(X293&gt;15,X293-15,0)*1+IF(X293&gt;16,X293-16,0)*1+IF(X293&gt;17,X293-17,0)*1+IF(X293&gt;18,X293-18,0)*1+IF(X293&gt;19,X293-19,0)*1+IF(X293&gt;20,X293-20,0)*1</f>
        <v>87.769230769230802</v>
      </c>
      <c r="AB293" s="160">
        <f>IF(Y293&lt;=0,1,0)+IF(Y293&gt;0,Y293+1,0)*1+IF(Y293&gt;12,Y293-12,0)*1+IF(Y293&gt;13,Y293-13,0)*1+IF(Y293&gt;14,Y293-14,0)*1+IF(Y293&gt;15,Y293-15,0)*1+IF(Y293&gt;16,Y293-16,0)*1+IF(Y293&gt;17,Y293-17,0)*1+IF(Y293&gt;18,Y293-18,0)*1+IF(Y293&gt;19,Y293-19,0)*1+IF(Y293&gt;20,Y293-20,0)*1</f>
        <v>1</v>
      </c>
      <c r="AC293" s="127">
        <f t="shared" si="1806"/>
        <v>86.769230769230802</v>
      </c>
      <c r="AD293" s="125">
        <f t="shared" si="1807"/>
        <v>0</v>
      </c>
      <c r="AF293" s="163" t="s">
        <v>421</v>
      </c>
      <c r="AG293" s="125" t="s">
        <v>440</v>
      </c>
      <c r="AH293" s="127" t="s">
        <v>133</v>
      </c>
      <c r="AI293" s="114"/>
      <c r="AJ293" s="113">
        <f>Konvention_1slave-KLslave</f>
        <v>12</v>
      </c>
      <c r="AK293" s="113"/>
      <c r="AL293" s="113">
        <f>Konvention_1slave-CHslave</f>
        <v>12</v>
      </c>
      <c r="AM293" s="113">
        <f>Konvention_1slave-FFslave</f>
        <v>12</v>
      </c>
      <c r="AN293" s="113"/>
      <c r="AO293" s="113"/>
      <c r="AP293" s="119"/>
      <c r="AQ293" s="47">
        <f t="shared" si="1986"/>
        <v>12</v>
      </c>
      <c r="AR293" s="47">
        <f t="shared" si="1809"/>
        <v>24</v>
      </c>
      <c r="AS293" s="119">
        <f t="shared" si="1810"/>
        <v>36</v>
      </c>
      <c r="AT293" s="114">
        <f t="shared" si="1987"/>
        <v>2304</v>
      </c>
      <c r="AU293" s="113">
        <f>AJ293*AL293*FFslave+AJ293*CHslave*AM293+KLslave*AL293*AM293</f>
        <v>3456</v>
      </c>
      <c r="AV293" s="119">
        <f t="shared" si="1988"/>
        <v>1728</v>
      </c>
      <c r="AW293" s="119">
        <f t="shared" si="1813"/>
        <v>7488</v>
      </c>
      <c r="AX293" s="89">
        <f t="shared" si="1814"/>
        <v>3.6923076923076925</v>
      </c>
      <c r="AY293" s="47">
        <f t="shared" si="1815"/>
        <v>11.076923076923077</v>
      </c>
      <c r="AZ293" s="127">
        <f t="shared" si="1816"/>
        <v>8.3076923076923084</v>
      </c>
      <c r="BA293" s="127">
        <f t="shared" si="1817"/>
        <v>23.07692307692308</v>
      </c>
      <c r="BB293" s="165">
        <f t="shared" si="1818"/>
        <v>0</v>
      </c>
      <c r="BC293" s="198">
        <f t="shared" si="1819"/>
        <v>23.07692307692308</v>
      </c>
      <c r="BD293" s="125">
        <f>IF(BA293&lt;=0,1,0)+IF(BA293&gt;0,BA293+1,0)*1+IF(BA293&gt;12,BA293-12,0)*1+IF(BA293&gt;13,BA293-13,0)*1+IF(BA293&gt;14,BA293-14,0)*1+IF(BA293&gt;15,BA293-15,0)*1+IF(BA293&gt;16,BA293-16,0)*1+IF(BA293&gt;17,BA293-17,0)*1+IF(BA293&gt;18,BA293-18,0)*1+IF(BA293&gt;19,BA293-19,0)*1+IF(BA293&gt;20,BA293-20,0)*1</f>
        <v>87.769230769230802</v>
      </c>
      <c r="BE293" s="160">
        <f>IF(BB293&lt;=0,1,0)+IF(BB293&gt;0,BB293+1,0)*1+IF(BB293&gt;12,BB293-12,0)*1+IF(BB293&gt;13,BB293-13,0)*1+IF(BB293&gt;14,BB293-14,0)*1+IF(BB293&gt;15,BB293-15,0)*1+IF(BB293&gt;16,BB293-16,0)*1+IF(BB293&gt;17,BB293-17,0)*1+IF(BB293&gt;18,BB293-18,0)*1+IF(BB293&gt;19,BB293-19,0)*1+IF(BB293&gt;20,BB293-20,0)*1</f>
        <v>1</v>
      </c>
      <c r="BF293" s="243">
        <f t="shared" si="1821"/>
        <v>86.769230769230802</v>
      </c>
      <c r="BG293" s="218">
        <f t="shared" si="1822"/>
        <v>0</v>
      </c>
      <c r="BI293" s="303" t="s">
        <v>421</v>
      </c>
      <c r="BJ293" s="218" t="s">
        <v>440</v>
      </c>
      <c r="BK293" s="243" t="s">
        <v>133</v>
      </c>
      <c r="BL293" s="237"/>
      <c r="BM293" s="234">
        <f>Konvention_1slave-KLslave_KL</f>
        <v>11</v>
      </c>
      <c r="BN293" s="234"/>
      <c r="BO293" s="234">
        <f>Konvention_1slave-CHslave</f>
        <v>12</v>
      </c>
      <c r="BP293" s="234">
        <f>Konvention_1slave-FFslave</f>
        <v>12</v>
      </c>
      <c r="BQ293" s="234"/>
      <c r="BR293" s="234"/>
      <c r="BS293" s="224"/>
      <c r="BT293" s="223">
        <f t="shared" si="1989"/>
        <v>11.666666666666666</v>
      </c>
      <c r="BU293" s="223">
        <f t="shared" si="1824"/>
        <v>23.333333333333332</v>
      </c>
      <c r="BV293" s="224">
        <f t="shared" si="1825"/>
        <v>35</v>
      </c>
      <c r="BW293" s="237">
        <f t="shared" si="1990"/>
        <v>2432</v>
      </c>
      <c r="BX293" s="234">
        <f>BM293*BO293*FFslave+BM293*CHslave*BP293+KLslave_KL*BO293*BP293</f>
        <v>3408</v>
      </c>
      <c r="BY293" s="224">
        <f t="shared" si="1991"/>
        <v>1584</v>
      </c>
      <c r="BZ293" s="224">
        <f t="shared" si="1828"/>
        <v>7424</v>
      </c>
      <c r="CA293" s="222">
        <f t="shared" si="1829"/>
        <v>3.8218390804597702</v>
      </c>
      <c r="CB293" s="223">
        <f t="shared" si="1830"/>
        <v>10.711206896551724</v>
      </c>
      <c r="CC293" s="243">
        <f t="shared" si="1831"/>
        <v>7.4676724137931032</v>
      </c>
      <c r="CD293" s="243">
        <f t="shared" si="1832"/>
        <v>22.000718390804597</v>
      </c>
      <c r="CE293" s="252">
        <f t="shared" si="1833"/>
        <v>0</v>
      </c>
      <c r="CF293" s="309">
        <f t="shared" si="1834"/>
        <v>22.000718390804597</v>
      </c>
      <c r="CG293" s="218">
        <f>IF(CD293&lt;=0,1,0)+IF(CD293&gt;0,CD293+1,0)*1+IF(CD293&gt;12,CD293-12,0)*1+IF(CD293&gt;13,CD293-13,0)*1+IF(CD293&gt;14,CD293-14,0)*1+IF(CD293&gt;15,CD293-15,0)*1+IF(CD293&gt;16,CD293-16,0)*1+IF(CD293&gt;17,CD293-17,0)*1+IF(CD293&gt;18,CD293-18,0)*1+IF(CD293&gt;19,CD293-19,0)*1+IF(CD293&gt;20,CD293-20,0)*1</f>
        <v>77.007183908045945</v>
      </c>
      <c r="CH293" s="242">
        <f>IF(CE293&lt;=0,1,0)+IF(CE293&gt;0,CE293+1,0)*1+IF(CE293&gt;12,CE293-12,0)*1+IF(CE293&gt;13,CE293-13,0)*1+IF(CE293&gt;14,CE293-14,0)*1+IF(CE293&gt;15,CE293-15,0)*1+IF(CE293&gt;16,CE293-16,0)*1+IF(CE293&gt;17,CE293-17,0)*1+IF(CE293&gt;18,CE293-18,0)*1+IF(CE293&gt;19,CE293-19,0)*1+IF(CE293&gt;20,CE293-20,0)*1</f>
        <v>1</v>
      </c>
      <c r="CI293" s="243">
        <f t="shared" si="1836"/>
        <v>76.007183908045945</v>
      </c>
      <c r="CJ293" s="218">
        <f t="shared" si="1837"/>
        <v>0</v>
      </c>
      <c r="CL293" s="303" t="s">
        <v>421</v>
      </c>
      <c r="CM293" s="218" t="s">
        <v>440</v>
      </c>
      <c r="CN293" s="243" t="s">
        <v>133</v>
      </c>
      <c r="CO293" s="237"/>
      <c r="CP293" s="234">
        <f>Konvention_1slave-KLslave</f>
        <v>12</v>
      </c>
      <c r="CQ293" s="234"/>
      <c r="CR293" s="234">
        <f>Konvention_1slave-CHslave</f>
        <v>12</v>
      </c>
      <c r="CS293" s="234">
        <f>Konvention_1slave-FFslave</f>
        <v>12</v>
      </c>
      <c r="CT293" s="234"/>
      <c r="CU293" s="234"/>
      <c r="CV293" s="224"/>
      <c r="CW293" s="223">
        <f t="shared" si="1992"/>
        <v>12</v>
      </c>
      <c r="CX293" s="223">
        <f t="shared" si="1839"/>
        <v>24</v>
      </c>
      <c r="CY293" s="224">
        <f t="shared" si="1840"/>
        <v>36</v>
      </c>
      <c r="CZ293" s="237">
        <f t="shared" si="1993"/>
        <v>2304</v>
      </c>
      <c r="DA293" s="234">
        <f>CP293*CR293*FFslave+CP293*CHslave*CS293+KLslave*CR293*CS293</f>
        <v>3456</v>
      </c>
      <c r="DB293" s="224">
        <f t="shared" si="1994"/>
        <v>1728</v>
      </c>
      <c r="DC293" s="224">
        <f t="shared" si="1843"/>
        <v>7488</v>
      </c>
      <c r="DD293" s="222">
        <f t="shared" si="1844"/>
        <v>3.6923076923076925</v>
      </c>
      <c r="DE293" s="223">
        <f t="shared" si="1845"/>
        <v>11.076923076923077</v>
      </c>
      <c r="DF293" s="243">
        <f t="shared" si="1846"/>
        <v>8.3076923076923084</v>
      </c>
      <c r="DG293" s="243">
        <f t="shared" si="1847"/>
        <v>23.07692307692308</v>
      </c>
      <c r="DH293" s="252">
        <f t="shared" si="1848"/>
        <v>0</v>
      </c>
      <c r="DI293" s="309">
        <f t="shared" si="1849"/>
        <v>23.07692307692308</v>
      </c>
      <c r="DJ293" s="218">
        <f>IF(DG293&lt;=0,1,0)+IF(DG293&gt;0,DG293+1,0)*1+IF(DG293&gt;12,DG293-12,0)*1+IF(DG293&gt;13,DG293-13,0)*1+IF(DG293&gt;14,DG293-14,0)*1+IF(DG293&gt;15,DG293-15,0)*1+IF(DG293&gt;16,DG293-16,0)*1+IF(DG293&gt;17,DG293-17,0)*1+IF(DG293&gt;18,DG293-18,0)*1+IF(DG293&gt;19,DG293-19,0)*1+IF(DG293&gt;20,DG293-20,0)*1</f>
        <v>87.769230769230802</v>
      </c>
      <c r="DK293" s="242">
        <f>IF(DH293&lt;=0,1,0)+IF(DH293&gt;0,DH293+1,0)*1+IF(DH293&gt;12,DH293-12,0)*1+IF(DH293&gt;13,DH293-13,0)*1+IF(DH293&gt;14,DH293-14,0)*1+IF(DH293&gt;15,DH293-15,0)*1+IF(DH293&gt;16,DH293-16,0)*1+IF(DH293&gt;17,DH293-17,0)*1+IF(DH293&gt;18,DH293-18,0)*1+IF(DH293&gt;19,DH293-19,0)*1+IF(DH293&gt;20,DH293-20,0)*1</f>
        <v>1</v>
      </c>
      <c r="DL293" s="243">
        <f t="shared" si="1851"/>
        <v>86.769230769230802</v>
      </c>
      <c r="DM293" s="218">
        <f t="shared" si="1852"/>
        <v>0</v>
      </c>
      <c r="DO293" s="303" t="s">
        <v>421</v>
      </c>
      <c r="DP293" s="218" t="s">
        <v>440</v>
      </c>
      <c r="DQ293" s="243" t="s">
        <v>133</v>
      </c>
      <c r="DR293" s="237"/>
      <c r="DS293" s="234">
        <f>Konvention_1slave-KLslave</f>
        <v>12</v>
      </c>
      <c r="DT293" s="234"/>
      <c r="DU293" s="234">
        <f>Konvention_1slave-CHslave_CH</f>
        <v>11</v>
      </c>
      <c r="DV293" s="234">
        <f>Konvention_1slave-FFslave</f>
        <v>12</v>
      </c>
      <c r="DW293" s="234"/>
      <c r="DX293" s="234"/>
      <c r="DY293" s="224"/>
      <c r="DZ293" s="223">
        <f t="shared" si="1995"/>
        <v>11.666666666666666</v>
      </c>
      <c r="EA293" s="223">
        <f t="shared" si="1854"/>
        <v>23.333333333333332</v>
      </c>
      <c r="EB293" s="224">
        <f t="shared" si="1855"/>
        <v>35</v>
      </c>
      <c r="EC293" s="237">
        <f t="shared" si="1996"/>
        <v>2432</v>
      </c>
      <c r="ED293" s="234">
        <f>DS293*DU293*FFslave+DS293*CHslave_CH*DV293+KLslave*DU293*DV293</f>
        <v>3408</v>
      </c>
      <c r="EE293" s="224">
        <f t="shared" si="1997"/>
        <v>1584</v>
      </c>
      <c r="EF293" s="224">
        <f t="shared" si="1858"/>
        <v>7424</v>
      </c>
      <c r="EG293" s="222">
        <f t="shared" si="1859"/>
        <v>3.8218390804597702</v>
      </c>
      <c r="EH293" s="223">
        <f t="shared" si="1860"/>
        <v>10.711206896551724</v>
      </c>
      <c r="EI293" s="243">
        <f t="shared" si="1861"/>
        <v>7.4676724137931032</v>
      </c>
      <c r="EJ293" s="243">
        <f t="shared" si="1862"/>
        <v>22.000718390804597</v>
      </c>
      <c r="EK293" s="252">
        <f t="shared" si="1863"/>
        <v>0</v>
      </c>
      <c r="EL293" s="309">
        <f t="shared" si="1864"/>
        <v>22.000718390804597</v>
      </c>
      <c r="EM293" s="218">
        <f>IF(EJ293&lt;=0,1,0)+IF(EJ293&gt;0,EJ293+1,0)*1+IF(EJ293&gt;12,EJ293-12,0)*1+IF(EJ293&gt;13,EJ293-13,0)*1+IF(EJ293&gt;14,EJ293-14,0)*1+IF(EJ293&gt;15,EJ293-15,0)*1+IF(EJ293&gt;16,EJ293-16,0)*1+IF(EJ293&gt;17,EJ293-17,0)*1+IF(EJ293&gt;18,EJ293-18,0)*1+IF(EJ293&gt;19,EJ293-19,0)*1+IF(EJ293&gt;20,EJ293-20,0)*1</f>
        <v>77.007183908045945</v>
      </c>
      <c r="EN293" s="242">
        <f>IF(EK293&lt;=0,1,0)+IF(EK293&gt;0,EK293+1,0)*1+IF(EK293&gt;12,EK293-12,0)*1+IF(EK293&gt;13,EK293-13,0)*1+IF(EK293&gt;14,EK293-14,0)*1+IF(EK293&gt;15,EK293-15,0)*1+IF(EK293&gt;16,EK293-16,0)*1+IF(EK293&gt;17,EK293-17,0)*1+IF(EK293&gt;18,EK293-18,0)*1+IF(EK293&gt;19,EK293-19,0)*1+IF(EK293&gt;20,EK293-20,0)*1</f>
        <v>1</v>
      </c>
      <c r="EO293" s="243">
        <f t="shared" si="1866"/>
        <v>76.007183908045945</v>
      </c>
      <c r="EP293" s="218">
        <f t="shared" si="1867"/>
        <v>0</v>
      </c>
      <c r="ER293" s="303" t="s">
        <v>421</v>
      </c>
      <c r="ES293" s="218" t="s">
        <v>440</v>
      </c>
      <c r="ET293" s="243" t="s">
        <v>133</v>
      </c>
      <c r="EU293" s="237"/>
      <c r="EV293" s="234">
        <f>Konvention_1slave-KLslave</f>
        <v>12</v>
      </c>
      <c r="EW293" s="234"/>
      <c r="EX293" s="234">
        <f>Konvention_1slave-CHslave</f>
        <v>12</v>
      </c>
      <c r="EY293" s="234">
        <f>Konvention_1slave-FFslave_FF</f>
        <v>11</v>
      </c>
      <c r="EZ293" s="234"/>
      <c r="FA293" s="234"/>
      <c r="FB293" s="224"/>
      <c r="FC293" s="223">
        <f t="shared" si="1998"/>
        <v>11.666666666666666</v>
      </c>
      <c r="FD293" s="223">
        <f t="shared" si="1869"/>
        <v>23.333333333333332</v>
      </c>
      <c r="FE293" s="224">
        <f t="shared" si="1870"/>
        <v>35</v>
      </c>
      <c r="FF293" s="237">
        <f t="shared" si="1999"/>
        <v>2432</v>
      </c>
      <c r="FG293" s="234">
        <f>EV293*EX293*FFslave_FF+EV293*CHslave*EY293+KLslave*EX293*EY293</f>
        <v>3408</v>
      </c>
      <c r="FH293" s="224">
        <f t="shared" si="2000"/>
        <v>1584</v>
      </c>
      <c r="FI293" s="224">
        <f t="shared" si="1873"/>
        <v>7424</v>
      </c>
      <c r="FJ293" s="222">
        <f t="shared" si="1874"/>
        <v>3.8218390804597702</v>
      </c>
      <c r="FK293" s="223">
        <f t="shared" si="1875"/>
        <v>10.711206896551724</v>
      </c>
      <c r="FL293" s="243">
        <f t="shared" si="1876"/>
        <v>7.4676724137931032</v>
      </c>
      <c r="FM293" s="243">
        <f t="shared" si="1877"/>
        <v>22.000718390804597</v>
      </c>
      <c r="FN293" s="252">
        <f t="shared" si="1878"/>
        <v>0</v>
      </c>
      <c r="FO293" s="309">
        <f t="shared" si="1879"/>
        <v>22.000718390804597</v>
      </c>
      <c r="FP293" s="218">
        <f>IF(FM293&lt;=0,1,0)+IF(FM293&gt;0,FM293+1,0)*1+IF(FM293&gt;12,FM293-12,0)*1+IF(FM293&gt;13,FM293-13,0)*1+IF(FM293&gt;14,FM293-14,0)*1+IF(FM293&gt;15,FM293-15,0)*1+IF(FM293&gt;16,FM293-16,0)*1+IF(FM293&gt;17,FM293-17,0)*1+IF(FM293&gt;18,FM293-18,0)*1+IF(FM293&gt;19,FM293-19,0)*1+IF(FM293&gt;20,FM293-20,0)*1</f>
        <v>77.007183908045945</v>
      </c>
      <c r="FQ293" s="242">
        <f>IF(FN293&lt;=0,1,0)+IF(FN293&gt;0,FN293+1,0)*1+IF(FN293&gt;12,FN293-12,0)*1+IF(FN293&gt;13,FN293-13,0)*1+IF(FN293&gt;14,FN293-14,0)*1+IF(FN293&gt;15,FN293-15,0)*1+IF(FN293&gt;16,FN293-16,0)*1+IF(FN293&gt;17,FN293-17,0)*1+IF(FN293&gt;18,FN293-18,0)*1+IF(FN293&gt;19,FN293-19,0)*1+IF(FN293&gt;20,FN293-20,0)*1</f>
        <v>1</v>
      </c>
      <c r="FR293" s="243">
        <f t="shared" si="1881"/>
        <v>76.007183908045945</v>
      </c>
      <c r="FS293" s="218">
        <f t="shared" si="1882"/>
        <v>0</v>
      </c>
      <c r="FU293" s="303" t="s">
        <v>421</v>
      </c>
      <c r="FV293" s="218" t="s">
        <v>440</v>
      </c>
      <c r="FW293" s="243" t="s">
        <v>133</v>
      </c>
      <c r="FX293" s="237"/>
      <c r="FY293" s="234">
        <f>Konvention_1slave-KLslave</f>
        <v>12</v>
      </c>
      <c r="FZ293" s="234"/>
      <c r="GA293" s="234">
        <f>Konvention_1slave-CHslave</f>
        <v>12</v>
      </c>
      <c r="GB293" s="234">
        <f>Konvention_1slave-FFslave</f>
        <v>12</v>
      </c>
      <c r="GC293" s="234"/>
      <c r="GD293" s="234"/>
      <c r="GE293" s="224"/>
      <c r="GF293" s="223">
        <f t="shared" si="2001"/>
        <v>12</v>
      </c>
      <c r="GG293" s="223">
        <f t="shared" si="1884"/>
        <v>24</v>
      </c>
      <c r="GH293" s="224">
        <f t="shared" si="1885"/>
        <v>36</v>
      </c>
      <c r="GI293" s="237">
        <f t="shared" si="2002"/>
        <v>2304</v>
      </c>
      <c r="GJ293" s="234">
        <f>FY293*GA293*FFslave+FY293*CHslave*GB293+KLslave*GA293*GB293</f>
        <v>3456</v>
      </c>
      <c r="GK293" s="224">
        <f t="shared" si="2003"/>
        <v>1728</v>
      </c>
      <c r="GL293" s="224">
        <f t="shared" si="1888"/>
        <v>7488</v>
      </c>
      <c r="GM293" s="222">
        <f t="shared" si="1889"/>
        <v>3.6923076923076925</v>
      </c>
      <c r="GN293" s="223">
        <f t="shared" si="1890"/>
        <v>11.076923076923077</v>
      </c>
      <c r="GO293" s="243">
        <f t="shared" si="1891"/>
        <v>8.3076923076923084</v>
      </c>
      <c r="GP293" s="243">
        <f t="shared" si="1892"/>
        <v>23.07692307692308</v>
      </c>
      <c r="GQ293" s="252">
        <f t="shared" si="1893"/>
        <v>0</v>
      </c>
      <c r="GR293" s="309">
        <f t="shared" si="1894"/>
        <v>23.07692307692308</v>
      </c>
      <c r="GS293" s="218">
        <f>IF(GP293&lt;=0,1,0)+IF(GP293&gt;0,GP293+1,0)*1+IF(GP293&gt;12,GP293-12,0)*1+IF(GP293&gt;13,GP293-13,0)*1+IF(GP293&gt;14,GP293-14,0)*1+IF(GP293&gt;15,GP293-15,0)*1+IF(GP293&gt;16,GP293-16,0)*1+IF(GP293&gt;17,GP293-17,0)*1+IF(GP293&gt;18,GP293-18,0)*1+IF(GP293&gt;19,GP293-19,0)*1+IF(GP293&gt;20,GP293-20,0)*1</f>
        <v>87.769230769230802</v>
      </c>
      <c r="GT293" s="242">
        <f>IF(GQ293&lt;=0,1,0)+IF(GQ293&gt;0,GQ293+1,0)*1+IF(GQ293&gt;12,GQ293-12,0)*1+IF(GQ293&gt;13,GQ293-13,0)*1+IF(GQ293&gt;14,GQ293-14,0)*1+IF(GQ293&gt;15,GQ293-15,0)*1+IF(GQ293&gt;16,GQ293-16,0)*1+IF(GQ293&gt;17,GQ293-17,0)*1+IF(GQ293&gt;18,GQ293-18,0)*1+IF(GQ293&gt;19,GQ293-19,0)*1+IF(GQ293&gt;20,GQ293-20,0)*1</f>
        <v>1</v>
      </c>
      <c r="GU293" s="243">
        <f t="shared" si="1896"/>
        <v>86.769230769230802</v>
      </c>
      <c r="GV293" s="218">
        <f t="shared" si="1897"/>
        <v>0</v>
      </c>
      <c r="GX293" s="303" t="s">
        <v>421</v>
      </c>
      <c r="GY293" s="218" t="s">
        <v>440</v>
      </c>
      <c r="GZ293" s="243" t="s">
        <v>133</v>
      </c>
      <c r="HA293" s="237"/>
      <c r="HB293" s="234">
        <f>Konvention_1slave-KLslave</f>
        <v>12</v>
      </c>
      <c r="HC293" s="234"/>
      <c r="HD293" s="234">
        <f>Konvention_1slave-CHslave</f>
        <v>12</v>
      </c>
      <c r="HE293" s="234">
        <f>Konvention_1slave-FFslave</f>
        <v>12</v>
      </c>
      <c r="HF293" s="234"/>
      <c r="HG293" s="234"/>
      <c r="HH293" s="224"/>
      <c r="HI293" s="223">
        <f t="shared" si="2004"/>
        <v>12</v>
      </c>
      <c r="HJ293" s="223">
        <f t="shared" si="1899"/>
        <v>24</v>
      </c>
      <c r="HK293" s="224">
        <f t="shared" si="1900"/>
        <v>36</v>
      </c>
      <c r="HL293" s="237">
        <f t="shared" si="2005"/>
        <v>2304</v>
      </c>
      <c r="HM293" s="234">
        <f>HB293*HD293*FFslave+HB293*CHslave*HE293+KLslave*HD293*HE293</f>
        <v>3456</v>
      </c>
      <c r="HN293" s="224">
        <f t="shared" si="2006"/>
        <v>1728</v>
      </c>
      <c r="HO293" s="224">
        <f t="shared" si="1903"/>
        <v>7488</v>
      </c>
      <c r="HP293" s="222">
        <f t="shared" si="1904"/>
        <v>3.6923076923076925</v>
      </c>
      <c r="HQ293" s="223">
        <f t="shared" si="1905"/>
        <v>11.076923076923077</v>
      </c>
      <c r="HR293" s="243">
        <f t="shared" si="1906"/>
        <v>8.3076923076923084</v>
      </c>
      <c r="HS293" s="243">
        <f t="shared" si="1907"/>
        <v>23.07692307692308</v>
      </c>
      <c r="HT293" s="252">
        <f t="shared" si="1908"/>
        <v>0</v>
      </c>
      <c r="HU293" s="309">
        <f t="shared" si="1909"/>
        <v>23.07692307692308</v>
      </c>
      <c r="HV293" s="218">
        <f>IF(HS293&lt;=0,1,0)+IF(HS293&gt;0,HS293+1,0)*1+IF(HS293&gt;12,HS293-12,0)*1+IF(HS293&gt;13,HS293-13,0)*1+IF(HS293&gt;14,HS293-14,0)*1+IF(HS293&gt;15,HS293-15,0)*1+IF(HS293&gt;16,HS293-16,0)*1+IF(HS293&gt;17,HS293-17,0)*1+IF(HS293&gt;18,HS293-18,0)*1+IF(HS293&gt;19,HS293-19,0)*1+IF(HS293&gt;20,HS293-20,0)*1</f>
        <v>87.769230769230802</v>
      </c>
      <c r="HW293" s="242">
        <f>IF(HT293&lt;=0,1,0)+IF(HT293&gt;0,HT293+1,0)*1+IF(HT293&gt;12,HT293-12,0)*1+IF(HT293&gt;13,HT293-13,0)*1+IF(HT293&gt;14,HT293-14,0)*1+IF(HT293&gt;15,HT293-15,0)*1+IF(HT293&gt;16,HT293-16,0)*1+IF(HT293&gt;17,HT293-17,0)*1+IF(HT293&gt;18,HT293-18,0)*1+IF(HT293&gt;19,HT293-19,0)*1+IF(HT293&gt;20,HT293-20,0)*1</f>
        <v>1</v>
      </c>
      <c r="HX293" s="243">
        <f t="shared" si="1911"/>
        <v>86.769230769230802</v>
      </c>
      <c r="HY293" s="218">
        <f t="shared" si="1912"/>
        <v>0</v>
      </c>
      <c r="IA293" s="303" t="s">
        <v>421</v>
      </c>
      <c r="IB293" s="218" t="s">
        <v>440</v>
      </c>
      <c r="IC293" s="243" t="s">
        <v>133</v>
      </c>
      <c r="ID293" s="237"/>
      <c r="IE293" s="234">
        <f>Konvention_1slave-KLslave</f>
        <v>12</v>
      </c>
      <c r="IF293" s="234"/>
      <c r="IG293" s="234">
        <f>Konvention_1slave-CHslave</f>
        <v>12</v>
      </c>
      <c r="IH293" s="234">
        <f>Konvention_1slave-FFslave</f>
        <v>12</v>
      </c>
      <c r="II293" s="234"/>
      <c r="IJ293" s="234"/>
      <c r="IK293" s="224"/>
      <c r="IL293" s="223">
        <f t="shared" si="2007"/>
        <v>12</v>
      </c>
      <c r="IM293" s="223">
        <f t="shared" si="1914"/>
        <v>24</v>
      </c>
      <c r="IN293" s="224">
        <f t="shared" si="1915"/>
        <v>36</v>
      </c>
      <c r="IO293" s="237">
        <f t="shared" si="2008"/>
        <v>2304</v>
      </c>
      <c r="IP293" s="234">
        <f>IE293*IG293*FFslave+IE293*CHslave*IH293+KLslave*IG293*IH293</f>
        <v>3456</v>
      </c>
      <c r="IQ293" s="224">
        <f t="shared" si="2009"/>
        <v>1728</v>
      </c>
      <c r="IR293" s="224">
        <f t="shared" si="1918"/>
        <v>7488</v>
      </c>
      <c r="IS293" s="222">
        <f t="shared" si="1919"/>
        <v>3.6923076923076925</v>
      </c>
      <c r="IT293" s="223">
        <f t="shared" si="1920"/>
        <v>11.076923076923077</v>
      </c>
      <c r="IU293" s="243">
        <f t="shared" si="1921"/>
        <v>8.3076923076923084</v>
      </c>
      <c r="IV293" s="243">
        <f t="shared" si="1922"/>
        <v>23.07692307692308</v>
      </c>
      <c r="IW293" s="252">
        <f t="shared" si="1923"/>
        <v>0</v>
      </c>
      <c r="IX293" s="309">
        <f t="shared" si="1924"/>
        <v>23.07692307692308</v>
      </c>
      <c r="IY293" s="218">
        <f>IF(IV293&lt;=0,1,0)+IF(IV293&gt;0,IV293+1,0)*1+IF(IV293&gt;12,IV293-12,0)*1+IF(IV293&gt;13,IV293-13,0)*1+IF(IV293&gt;14,IV293-14,0)*1+IF(IV293&gt;15,IV293-15,0)*1+IF(IV293&gt;16,IV293-16,0)*1+IF(IV293&gt;17,IV293-17,0)*1+IF(IV293&gt;18,IV293-18,0)*1+IF(IV293&gt;19,IV293-19,0)*1+IF(IV293&gt;20,IV293-20,0)*1</f>
        <v>87.769230769230802</v>
      </c>
      <c r="IZ293" s="242">
        <f>IF(IW293&lt;=0,1,0)+IF(IW293&gt;0,IW293+1,0)*1+IF(IW293&gt;12,IW293-12,0)*1+IF(IW293&gt;13,IW293-13,0)*1+IF(IW293&gt;14,IW293-14,0)*1+IF(IW293&gt;15,IW293-15,0)*1+IF(IW293&gt;16,IW293-16,0)*1+IF(IW293&gt;17,IW293-17,0)*1+IF(IW293&gt;18,IW293-18,0)*1+IF(IW293&gt;19,IW293-19,0)*1+IF(IW293&gt;20,IW293-20,0)*1</f>
        <v>1</v>
      </c>
      <c r="JA293" s="243">
        <f t="shared" si="1926"/>
        <v>86.769230769230802</v>
      </c>
      <c r="JB293" s="218">
        <f t="shared" si="1927"/>
        <v>0</v>
      </c>
      <c r="JE293" s="148"/>
    </row>
    <row r="294" spans="1:265" hidden="1" outlineLevel="2">
      <c r="B294" s="148">
        <v>34</v>
      </c>
      <c r="C294" s="303" t="e">
        <f>VLOOKUP(AF294,Attribute!C:T,1,FALSE)</f>
        <v>#N/A</v>
      </c>
      <c r="D294" s="86" t="s">
        <v>87</v>
      </c>
      <c r="E294" s="127" t="s">
        <v>132</v>
      </c>
      <c r="F294" s="114"/>
      <c r="G294" s="113">
        <f>Konvention_1master-KLmaster</f>
        <v>12</v>
      </c>
      <c r="H294" s="113">
        <f>Konvention_1master-INmaster</f>
        <v>12</v>
      </c>
      <c r="I294" s="113">
        <f>Konvention_1master-CHmaster</f>
        <v>12</v>
      </c>
      <c r="J294" s="113"/>
      <c r="K294" s="113"/>
      <c r="L294" s="113"/>
      <c r="M294" s="119"/>
      <c r="N294" s="223">
        <f t="shared" si="1983"/>
        <v>12</v>
      </c>
      <c r="O294" s="223">
        <f t="shared" si="1795"/>
        <v>24</v>
      </c>
      <c r="P294" s="224">
        <f t="shared" si="1796"/>
        <v>36</v>
      </c>
      <c r="Q294" s="237">
        <f t="shared" si="1984"/>
        <v>2304</v>
      </c>
      <c r="R294" s="113">
        <f>G294*H294*CHmaster+G294*INmaster*I294+KLmaster*H294*I294</f>
        <v>3456</v>
      </c>
      <c r="S294" s="224">
        <f t="shared" si="1985"/>
        <v>1728</v>
      </c>
      <c r="T294" s="224">
        <f t="shared" si="1799"/>
        <v>7488</v>
      </c>
      <c r="U294" s="222">
        <f t="shared" si="1800"/>
        <v>3.6923076923076925</v>
      </c>
      <c r="V294" s="223">
        <f t="shared" si="1801"/>
        <v>11.076923076923077</v>
      </c>
      <c r="W294" s="243">
        <f t="shared" si="1802"/>
        <v>8.3076923076923084</v>
      </c>
      <c r="X294" s="243">
        <f t="shared" si="1803"/>
        <v>23.07692307692308</v>
      </c>
      <c r="Y294" s="252">
        <v>0</v>
      </c>
      <c r="Z294" s="198">
        <f t="shared" si="1804"/>
        <v>23.07692307692308</v>
      </c>
      <c r="AA294" s="125">
        <f>IF(X294&lt;=0,2,0)+IF(X294&gt;0,X294+1,0)*2+IF(X294&gt;12,X294-12,0)*2+IF(X294&gt;13,X294-13,0)*2+IF(X294&gt;14,X294-14,0)*2+IF(X294&gt;15,X294-15,0)*2+IF(X294&gt;16,X294-16,0)*2+IF(X294&gt;17,X294-17,0)*2+IF(X294&gt;18,X294-18,0)*2+IF(X294&gt;19,X294-19,0)*2+IF(X294&gt;20,X294-20,0)*2</f>
        <v>175.5384615384616</v>
      </c>
      <c r="AB294" s="160">
        <f>IF(Y294&lt;=0,2,0)+IF(Y294&gt;0,Y294+1,0)*2+IF(Y294&gt;12,Y294-12,0)*2+IF(Y294&gt;13,Y294-13,0)*2+IF(Y294&gt;14,Y294-14,0)*2+IF(Y294&gt;15,Y294-15,0)*2+IF(Y294&gt;16,Y294-16,0)*2+IF(Y294&gt;17,Y294-17,0)*2+IF(Y294&gt;18,Y294-18,0)*2+IF(Y294&gt;19,Y294-19,0)*2+IF(Y294&gt;20,Y294-20,0)*2</f>
        <v>2</v>
      </c>
      <c r="AC294" s="127">
        <f t="shared" si="1806"/>
        <v>173.5384615384616</v>
      </c>
      <c r="AD294" s="125">
        <f t="shared" si="1807"/>
        <v>0</v>
      </c>
      <c r="AF294" s="163" t="s">
        <v>422</v>
      </c>
      <c r="AG294" s="125" t="s">
        <v>87</v>
      </c>
      <c r="AH294" s="127" t="s">
        <v>132</v>
      </c>
      <c r="AI294" s="114"/>
      <c r="AJ294" s="113">
        <f>Konvention_1slave-KLslave</f>
        <v>12</v>
      </c>
      <c r="AK294" s="113">
        <f>Konvention_1slave-INslave</f>
        <v>12</v>
      </c>
      <c r="AL294" s="113">
        <f>Konvention_1slave-CHslave</f>
        <v>12</v>
      </c>
      <c r="AM294" s="113"/>
      <c r="AN294" s="113"/>
      <c r="AO294" s="113"/>
      <c r="AP294" s="119"/>
      <c r="AQ294" s="47">
        <f t="shared" si="1986"/>
        <v>12</v>
      </c>
      <c r="AR294" s="47">
        <f t="shared" si="1809"/>
        <v>24</v>
      </c>
      <c r="AS294" s="119">
        <f t="shared" si="1810"/>
        <v>36</v>
      </c>
      <c r="AT294" s="114">
        <f t="shared" si="1987"/>
        <v>2304</v>
      </c>
      <c r="AU294" s="113">
        <f>AJ294*AK294*CHslave+AJ294*INslave*AL294+KLslave*AK294*AL294</f>
        <v>3456</v>
      </c>
      <c r="AV294" s="119">
        <f t="shared" si="1988"/>
        <v>1728</v>
      </c>
      <c r="AW294" s="119">
        <f t="shared" si="1813"/>
        <v>7488</v>
      </c>
      <c r="AX294" s="89">
        <f t="shared" si="1814"/>
        <v>3.6923076923076925</v>
      </c>
      <c r="AY294" s="47">
        <f t="shared" si="1815"/>
        <v>11.076923076923077</v>
      </c>
      <c r="AZ294" s="127">
        <f t="shared" si="1816"/>
        <v>8.3076923076923084</v>
      </c>
      <c r="BA294" s="127">
        <f t="shared" si="1817"/>
        <v>23.07692307692308</v>
      </c>
      <c r="BB294" s="165">
        <f t="shared" si="1818"/>
        <v>0</v>
      </c>
      <c r="BC294" s="198">
        <f t="shared" si="1819"/>
        <v>23.07692307692308</v>
      </c>
      <c r="BD294" s="125">
        <f>IF(BA294&lt;=0,2,0)+IF(BA294&gt;0,BA294+1,0)*2+IF(BA294&gt;12,BA294-12,0)*2+IF(BA294&gt;13,BA294-13,0)*2+IF(BA294&gt;14,BA294-14,0)*2+IF(BA294&gt;15,BA294-15,0)*2+IF(BA294&gt;16,BA294-16,0)*2+IF(BA294&gt;17,BA294-17,0)*2+IF(BA294&gt;18,BA294-18,0)*2+IF(BA294&gt;19,BA294-19,0)*2+IF(BA294&gt;20,BA294-20,0)*2</f>
        <v>175.5384615384616</v>
      </c>
      <c r="BE294" s="160">
        <f>IF(BB294&lt;=0,2,0)+IF(BB294&gt;0,BB294+1,0)*2+IF(BB294&gt;12,BB294-12,0)*2+IF(BB294&gt;13,BB294-13,0)*2+IF(BB294&gt;14,BB294-14,0)*2+IF(BB294&gt;15,BB294-15,0)*2+IF(BB294&gt;16,BB294-16,0)*2+IF(BB294&gt;17,BB294-17,0)*2+IF(BB294&gt;18,BB294-18,0)*2+IF(BB294&gt;19,BB294-19,0)*2+IF(BB294&gt;20,BB294-20,0)*2</f>
        <v>2</v>
      </c>
      <c r="BF294" s="243">
        <f t="shared" si="1821"/>
        <v>173.5384615384616</v>
      </c>
      <c r="BG294" s="218">
        <f t="shared" si="1822"/>
        <v>0</v>
      </c>
      <c r="BI294" s="303" t="s">
        <v>422</v>
      </c>
      <c r="BJ294" s="218" t="s">
        <v>87</v>
      </c>
      <c r="BK294" s="243" t="s">
        <v>132</v>
      </c>
      <c r="BL294" s="237"/>
      <c r="BM294" s="234">
        <f>Konvention_1slave-KLslave_KL</f>
        <v>11</v>
      </c>
      <c r="BN294" s="234">
        <f>Konvention_1slave-INslave</f>
        <v>12</v>
      </c>
      <c r="BO294" s="234">
        <f>Konvention_1slave-CHslave</f>
        <v>12</v>
      </c>
      <c r="BP294" s="234"/>
      <c r="BQ294" s="234"/>
      <c r="BR294" s="234"/>
      <c r="BS294" s="224"/>
      <c r="BT294" s="223">
        <f t="shared" si="1989"/>
        <v>11.666666666666666</v>
      </c>
      <c r="BU294" s="223">
        <f t="shared" si="1824"/>
        <v>23.333333333333332</v>
      </c>
      <c r="BV294" s="224">
        <f t="shared" si="1825"/>
        <v>35</v>
      </c>
      <c r="BW294" s="237">
        <f t="shared" si="1990"/>
        <v>2432</v>
      </c>
      <c r="BX294" s="234">
        <f>BM294*BN294*CHslave+BM294*INslave*BO294+KLslave_KL*BN294*BO294</f>
        <v>3408</v>
      </c>
      <c r="BY294" s="224">
        <f t="shared" si="1991"/>
        <v>1584</v>
      </c>
      <c r="BZ294" s="224">
        <f t="shared" si="1828"/>
        <v>7424</v>
      </c>
      <c r="CA294" s="222">
        <f t="shared" si="1829"/>
        <v>3.8218390804597702</v>
      </c>
      <c r="CB294" s="223">
        <f t="shared" si="1830"/>
        <v>10.711206896551724</v>
      </c>
      <c r="CC294" s="243">
        <f t="shared" si="1831"/>
        <v>7.4676724137931032</v>
      </c>
      <c r="CD294" s="243">
        <f t="shared" si="1832"/>
        <v>22.000718390804597</v>
      </c>
      <c r="CE294" s="252">
        <f t="shared" si="1833"/>
        <v>0</v>
      </c>
      <c r="CF294" s="309">
        <f t="shared" si="1834"/>
        <v>22.000718390804597</v>
      </c>
      <c r="CG294" s="218">
        <f>IF(CD294&lt;=0,2,0)+IF(CD294&gt;0,CD294+1,0)*2+IF(CD294&gt;12,CD294-12,0)*2+IF(CD294&gt;13,CD294-13,0)*2+IF(CD294&gt;14,CD294-14,0)*2+IF(CD294&gt;15,CD294-15,0)*2+IF(CD294&gt;16,CD294-16,0)*2+IF(CD294&gt;17,CD294-17,0)*2+IF(CD294&gt;18,CD294-18,0)*2+IF(CD294&gt;19,CD294-19,0)*2+IF(CD294&gt;20,CD294-20,0)*2</f>
        <v>154.01436781609189</v>
      </c>
      <c r="CH294" s="242">
        <f>IF(CE294&lt;=0,2,0)+IF(CE294&gt;0,CE294+1,0)*2+IF(CE294&gt;12,CE294-12,0)*2+IF(CE294&gt;13,CE294-13,0)*2+IF(CE294&gt;14,CE294-14,0)*2+IF(CE294&gt;15,CE294-15,0)*2+IF(CE294&gt;16,CE294-16,0)*2+IF(CE294&gt;17,CE294-17,0)*2+IF(CE294&gt;18,CE294-18,0)*2+IF(CE294&gt;19,CE294-19,0)*2+IF(CE294&gt;20,CE294-20,0)*2</f>
        <v>2</v>
      </c>
      <c r="CI294" s="243">
        <f t="shared" si="1836"/>
        <v>152.01436781609189</v>
      </c>
      <c r="CJ294" s="218">
        <f t="shared" si="1837"/>
        <v>0</v>
      </c>
      <c r="CL294" s="303" t="s">
        <v>422</v>
      </c>
      <c r="CM294" s="218" t="s">
        <v>87</v>
      </c>
      <c r="CN294" s="243" t="s">
        <v>132</v>
      </c>
      <c r="CO294" s="237"/>
      <c r="CP294" s="234">
        <f>Konvention_1slave-KLslave</f>
        <v>12</v>
      </c>
      <c r="CQ294" s="234">
        <f>Konvention_1slave-INslave_IN</f>
        <v>11</v>
      </c>
      <c r="CR294" s="234">
        <f>Konvention_1slave-CHslave</f>
        <v>12</v>
      </c>
      <c r="CS294" s="234"/>
      <c r="CT294" s="234"/>
      <c r="CU294" s="234"/>
      <c r="CV294" s="224"/>
      <c r="CW294" s="223">
        <f t="shared" si="1992"/>
        <v>11.666666666666666</v>
      </c>
      <c r="CX294" s="223">
        <f t="shared" si="1839"/>
        <v>23.333333333333332</v>
      </c>
      <c r="CY294" s="224">
        <f t="shared" si="1840"/>
        <v>35</v>
      </c>
      <c r="CZ294" s="237">
        <f t="shared" si="1993"/>
        <v>2432</v>
      </c>
      <c r="DA294" s="234">
        <f>CP294*CQ294*CHslave+CP294*INslave_IN*CR294+KLslave*CQ294*CR294</f>
        <v>3408</v>
      </c>
      <c r="DB294" s="224">
        <f t="shared" si="1994"/>
        <v>1584</v>
      </c>
      <c r="DC294" s="224">
        <f t="shared" si="1843"/>
        <v>7424</v>
      </c>
      <c r="DD294" s="222">
        <f t="shared" si="1844"/>
        <v>3.8218390804597702</v>
      </c>
      <c r="DE294" s="223">
        <f t="shared" si="1845"/>
        <v>10.711206896551724</v>
      </c>
      <c r="DF294" s="243">
        <f t="shared" si="1846"/>
        <v>7.4676724137931032</v>
      </c>
      <c r="DG294" s="243">
        <f t="shared" si="1847"/>
        <v>22.000718390804597</v>
      </c>
      <c r="DH294" s="252">
        <f t="shared" si="1848"/>
        <v>0</v>
      </c>
      <c r="DI294" s="309">
        <f t="shared" si="1849"/>
        <v>22.000718390804597</v>
      </c>
      <c r="DJ294" s="218">
        <f>IF(DG294&lt;=0,2,0)+IF(DG294&gt;0,DG294+1,0)*2+IF(DG294&gt;12,DG294-12,0)*2+IF(DG294&gt;13,DG294-13,0)*2+IF(DG294&gt;14,DG294-14,0)*2+IF(DG294&gt;15,DG294-15,0)*2+IF(DG294&gt;16,DG294-16,0)*2+IF(DG294&gt;17,DG294-17,0)*2+IF(DG294&gt;18,DG294-18,0)*2+IF(DG294&gt;19,DG294-19,0)*2+IF(DG294&gt;20,DG294-20,0)*2</f>
        <v>154.01436781609189</v>
      </c>
      <c r="DK294" s="242">
        <f>IF(DH294&lt;=0,2,0)+IF(DH294&gt;0,DH294+1,0)*2+IF(DH294&gt;12,DH294-12,0)*2+IF(DH294&gt;13,DH294-13,0)*2+IF(DH294&gt;14,DH294-14,0)*2+IF(DH294&gt;15,DH294-15,0)*2+IF(DH294&gt;16,DH294-16,0)*2+IF(DH294&gt;17,DH294-17,0)*2+IF(DH294&gt;18,DH294-18,0)*2+IF(DH294&gt;19,DH294-19,0)*2+IF(DH294&gt;20,DH294-20,0)*2</f>
        <v>2</v>
      </c>
      <c r="DL294" s="243">
        <f t="shared" si="1851"/>
        <v>152.01436781609189</v>
      </c>
      <c r="DM294" s="218">
        <f t="shared" si="1852"/>
        <v>0</v>
      </c>
      <c r="DO294" s="303" t="s">
        <v>422</v>
      </c>
      <c r="DP294" s="218" t="s">
        <v>87</v>
      </c>
      <c r="DQ294" s="243" t="s">
        <v>132</v>
      </c>
      <c r="DR294" s="237"/>
      <c r="DS294" s="234">
        <f>Konvention_1slave-KLslave</f>
        <v>12</v>
      </c>
      <c r="DT294" s="234">
        <f>Konvention_1slave-INslave</f>
        <v>12</v>
      </c>
      <c r="DU294" s="234">
        <f>Konvention_1slave-CHslave_CH</f>
        <v>11</v>
      </c>
      <c r="DV294" s="234"/>
      <c r="DW294" s="234"/>
      <c r="DX294" s="234"/>
      <c r="DY294" s="224"/>
      <c r="DZ294" s="223">
        <f t="shared" si="1995"/>
        <v>11.666666666666666</v>
      </c>
      <c r="EA294" s="223">
        <f t="shared" si="1854"/>
        <v>23.333333333333332</v>
      </c>
      <c r="EB294" s="224">
        <f t="shared" si="1855"/>
        <v>35</v>
      </c>
      <c r="EC294" s="237">
        <f t="shared" si="1996"/>
        <v>2432</v>
      </c>
      <c r="ED294" s="234">
        <f>DS294*DT294*CHslave_CH+DS294*INslave*DU294+KLslave*DT294*DU294</f>
        <v>3408</v>
      </c>
      <c r="EE294" s="224">
        <f t="shared" si="1997"/>
        <v>1584</v>
      </c>
      <c r="EF294" s="224">
        <f t="shared" si="1858"/>
        <v>7424</v>
      </c>
      <c r="EG294" s="222">
        <f t="shared" si="1859"/>
        <v>3.8218390804597702</v>
      </c>
      <c r="EH294" s="223">
        <f t="shared" si="1860"/>
        <v>10.711206896551724</v>
      </c>
      <c r="EI294" s="243">
        <f t="shared" si="1861"/>
        <v>7.4676724137931032</v>
      </c>
      <c r="EJ294" s="243">
        <f t="shared" si="1862"/>
        <v>22.000718390804597</v>
      </c>
      <c r="EK294" s="252">
        <f t="shared" si="1863"/>
        <v>0</v>
      </c>
      <c r="EL294" s="309">
        <f t="shared" si="1864"/>
        <v>22.000718390804597</v>
      </c>
      <c r="EM294" s="218">
        <f>IF(EJ294&lt;=0,2,0)+IF(EJ294&gt;0,EJ294+1,0)*2+IF(EJ294&gt;12,EJ294-12,0)*2+IF(EJ294&gt;13,EJ294-13,0)*2+IF(EJ294&gt;14,EJ294-14,0)*2+IF(EJ294&gt;15,EJ294-15,0)*2+IF(EJ294&gt;16,EJ294-16,0)*2+IF(EJ294&gt;17,EJ294-17,0)*2+IF(EJ294&gt;18,EJ294-18,0)*2+IF(EJ294&gt;19,EJ294-19,0)*2+IF(EJ294&gt;20,EJ294-20,0)*2</f>
        <v>154.01436781609189</v>
      </c>
      <c r="EN294" s="242">
        <f>IF(EK294&lt;=0,2,0)+IF(EK294&gt;0,EK294+1,0)*2+IF(EK294&gt;12,EK294-12,0)*2+IF(EK294&gt;13,EK294-13,0)*2+IF(EK294&gt;14,EK294-14,0)*2+IF(EK294&gt;15,EK294-15,0)*2+IF(EK294&gt;16,EK294-16,0)*2+IF(EK294&gt;17,EK294-17,0)*2+IF(EK294&gt;18,EK294-18,0)*2+IF(EK294&gt;19,EK294-19,0)*2+IF(EK294&gt;20,EK294-20,0)*2</f>
        <v>2</v>
      </c>
      <c r="EO294" s="243">
        <f t="shared" si="1866"/>
        <v>152.01436781609189</v>
      </c>
      <c r="EP294" s="218">
        <f t="shared" si="1867"/>
        <v>0</v>
      </c>
      <c r="ER294" s="303" t="s">
        <v>422</v>
      </c>
      <c r="ES294" s="218" t="s">
        <v>87</v>
      </c>
      <c r="ET294" s="243" t="s">
        <v>132</v>
      </c>
      <c r="EU294" s="237"/>
      <c r="EV294" s="234">
        <f>Konvention_1slave-KLslave</f>
        <v>12</v>
      </c>
      <c r="EW294" s="234">
        <f>Konvention_1slave-INslave</f>
        <v>12</v>
      </c>
      <c r="EX294" s="234">
        <f>Konvention_1slave-CHslave</f>
        <v>12</v>
      </c>
      <c r="EY294" s="234"/>
      <c r="EZ294" s="234"/>
      <c r="FA294" s="234"/>
      <c r="FB294" s="224"/>
      <c r="FC294" s="223">
        <f t="shared" si="1998"/>
        <v>12</v>
      </c>
      <c r="FD294" s="223">
        <f t="shared" si="1869"/>
        <v>24</v>
      </c>
      <c r="FE294" s="224">
        <f t="shared" si="1870"/>
        <v>36</v>
      </c>
      <c r="FF294" s="237">
        <f t="shared" si="1999"/>
        <v>2304</v>
      </c>
      <c r="FG294" s="234">
        <f>EV294*EW294*CHslave+EV294*INslave*EX294+KLslave*EW294*EX294</f>
        <v>3456</v>
      </c>
      <c r="FH294" s="224">
        <f t="shared" si="2000"/>
        <v>1728</v>
      </c>
      <c r="FI294" s="224">
        <f t="shared" si="1873"/>
        <v>7488</v>
      </c>
      <c r="FJ294" s="222">
        <f t="shared" si="1874"/>
        <v>3.6923076923076925</v>
      </c>
      <c r="FK294" s="223">
        <f t="shared" si="1875"/>
        <v>11.076923076923077</v>
      </c>
      <c r="FL294" s="243">
        <f t="shared" si="1876"/>
        <v>8.3076923076923084</v>
      </c>
      <c r="FM294" s="243">
        <f t="shared" si="1877"/>
        <v>23.07692307692308</v>
      </c>
      <c r="FN294" s="252">
        <f t="shared" si="1878"/>
        <v>0</v>
      </c>
      <c r="FO294" s="309">
        <f t="shared" si="1879"/>
        <v>23.07692307692308</v>
      </c>
      <c r="FP294" s="218">
        <f>IF(FM294&lt;=0,2,0)+IF(FM294&gt;0,FM294+1,0)*2+IF(FM294&gt;12,FM294-12,0)*2+IF(FM294&gt;13,FM294-13,0)*2+IF(FM294&gt;14,FM294-14,0)*2+IF(FM294&gt;15,FM294-15,0)*2+IF(FM294&gt;16,FM294-16,0)*2+IF(FM294&gt;17,FM294-17,0)*2+IF(FM294&gt;18,FM294-18,0)*2+IF(FM294&gt;19,FM294-19,0)*2+IF(FM294&gt;20,FM294-20,0)*2</f>
        <v>175.5384615384616</v>
      </c>
      <c r="FQ294" s="242">
        <f>IF(FN294&lt;=0,2,0)+IF(FN294&gt;0,FN294+1,0)*2+IF(FN294&gt;12,FN294-12,0)*2+IF(FN294&gt;13,FN294-13,0)*2+IF(FN294&gt;14,FN294-14,0)*2+IF(FN294&gt;15,FN294-15,0)*2+IF(FN294&gt;16,FN294-16,0)*2+IF(FN294&gt;17,FN294-17,0)*2+IF(FN294&gt;18,FN294-18,0)*2+IF(FN294&gt;19,FN294-19,0)*2+IF(FN294&gt;20,FN294-20,0)*2</f>
        <v>2</v>
      </c>
      <c r="FR294" s="243">
        <f t="shared" si="1881"/>
        <v>173.5384615384616</v>
      </c>
      <c r="FS294" s="218">
        <f t="shared" si="1882"/>
        <v>0</v>
      </c>
      <c r="FU294" s="303" t="s">
        <v>422</v>
      </c>
      <c r="FV294" s="218" t="s">
        <v>87</v>
      </c>
      <c r="FW294" s="243" t="s">
        <v>132</v>
      </c>
      <c r="FX294" s="237"/>
      <c r="FY294" s="234">
        <f>Konvention_1slave-KLslave</f>
        <v>12</v>
      </c>
      <c r="FZ294" s="234">
        <f>Konvention_1slave-INslave</f>
        <v>12</v>
      </c>
      <c r="GA294" s="234">
        <f>Konvention_1slave-CHslave</f>
        <v>12</v>
      </c>
      <c r="GB294" s="234"/>
      <c r="GC294" s="234"/>
      <c r="GD294" s="234"/>
      <c r="GE294" s="224"/>
      <c r="GF294" s="223">
        <f t="shared" si="2001"/>
        <v>12</v>
      </c>
      <c r="GG294" s="223">
        <f t="shared" si="1884"/>
        <v>24</v>
      </c>
      <c r="GH294" s="224">
        <f t="shared" si="1885"/>
        <v>36</v>
      </c>
      <c r="GI294" s="237">
        <f t="shared" si="2002"/>
        <v>2304</v>
      </c>
      <c r="GJ294" s="234">
        <f>FY294*FZ294*CHslave+FY294*INslave*GA294+KLslave*FZ294*GA294</f>
        <v>3456</v>
      </c>
      <c r="GK294" s="224">
        <f t="shared" si="2003"/>
        <v>1728</v>
      </c>
      <c r="GL294" s="224">
        <f t="shared" si="1888"/>
        <v>7488</v>
      </c>
      <c r="GM294" s="222">
        <f t="shared" si="1889"/>
        <v>3.6923076923076925</v>
      </c>
      <c r="GN294" s="223">
        <f t="shared" si="1890"/>
        <v>11.076923076923077</v>
      </c>
      <c r="GO294" s="243">
        <f t="shared" si="1891"/>
        <v>8.3076923076923084</v>
      </c>
      <c r="GP294" s="243">
        <f t="shared" si="1892"/>
        <v>23.07692307692308</v>
      </c>
      <c r="GQ294" s="252">
        <f t="shared" si="1893"/>
        <v>0</v>
      </c>
      <c r="GR294" s="309">
        <f t="shared" si="1894"/>
        <v>23.07692307692308</v>
      </c>
      <c r="GS294" s="218">
        <f>IF(GP294&lt;=0,2,0)+IF(GP294&gt;0,GP294+1,0)*2+IF(GP294&gt;12,GP294-12,0)*2+IF(GP294&gt;13,GP294-13,0)*2+IF(GP294&gt;14,GP294-14,0)*2+IF(GP294&gt;15,GP294-15,0)*2+IF(GP294&gt;16,GP294-16,0)*2+IF(GP294&gt;17,GP294-17,0)*2+IF(GP294&gt;18,GP294-18,0)*2+IF(GP294&gt;19,GP294-19,0)*2+IF(GP294&gt;20,GP294-20,0)*2</f>
        <v>175.5384615384616</v>
      </c>
      <c r="GT294" s="242">
        <f>IF(GQ294&lt;=0,2,0)+IF(GQ294&gt;0,GQ294+1,0)*2+IF(GQ294&gt;12,GQ294-12,0)*2+IF(GQ294&gt;13,GQ294-13,0)*2+IF(GQ294&gt;14,GQ294-14,0)*2+IF(GQ294&gt;15,GQ294-15,0)*2+IF(GQ294&gt;16,GQ294-16,0)*2+IF(GQ294&gt;17,GQ294-17,0)*2+IF(GQ294&gt;18,GQ294-18,0)*2+IF(GQ294&gt;19,GQ294-19,0)*2+IF(GQ294&gt;20,GQ294-20,0)*2</f>
        <v>2</v>
      </c>
      <c r="GU294" s="243">
        <f t="shared" si="1896"/>
        <v>173.5384615384616</v>
      </c>
      <c r="GV294" s="218">
        <f t="shared" si="1897"/>
        <v>0</v>
      </c>
      <c r="GX294" s="303" t="s">
        <v>422</v>
      </c>
      <c r="GY294" s="218" t="s">
        <v>87</v>
      </c>
      <c r="GZ294" s="243" t="s">
        <v>132</v>
      </c>
      <c r="HA294" s="237"/>
      <c r="HB294" s="234">
        <f>Konvention_1slave-KLslave</f>
        <v>12</v>
      </c>
      <c r="HC294" s="234">
        <f>Konvention_1slave-INslave</f>
        <v>12</v>
      </c>
      <c r="HD294" s="234">
        <f>Konvention_1slave-CHslave</f>
        <v>12</v>
      </c>
      <c r="HE294" s="234"/>
      <c r="HF294" s="234"/>
      <c r="HG294" s="234"/>
      <c r="HH294" s="224"/>
      <c r="HI294" s="223">
        <f t="shared" si="2004"/>
        <v>12</v>
      </c>
      <c r="HJ294" s="223">
        <f t="shared" si="1899"/>
        <v>24</v>
      </c>
      <c r="HK294" s="224">
        <f t="shared" si="1900"/>
        <v>36</v>
      </c>
      <c r="HL294" s="237">
        <f t="shared" si="2005"/>
        <v>2304</v>
      </c>
      <c r="HM294" s="234">
        <f>HB294*HC294*CHslave+HB294*INslave*HD294+KLslave*HC294*HD294</f>
        <v>3456</v>
      </c>
      <c r="HN294" s="224">
        <f t="shared" si="2006"/>
        <v>1728</v>
      </c>
      <c r="HO294" s="224">
        <f t="shared" si="1903"/>
        <v>7488</v>
      </c>
      <c r="HP294" s="222">
        <f t="shared" si="1904"/>
        <v>3.6923076923076925</v>
      </c>
      <c r="HQ294" s="223">
        <f t="shared" si="1905"/>
        <v>11.076923076923077</v>
      </c>
      <c r="HR294" s="243">
        <f t="shared" si="1906"/>
        <v>8.3076923076923084</v>
      </c>
      <c r="HS294" s="243">
        <f t="shared" si="1907"/>
        <v>23.07692307692308</v>
      </c>
      <c r="HT294" s="252">
        <f t="shared" si="1908"/>
        <v>0</v>
      </c>
      <c r="HU294" s="309">
        <f t="shared" si="1909"/>
        <v>23.07692307692308</v>
      </c>
      <c r="HV294" s="218">
        <f>IF(HS294&lt;=0,2,0)+IF(HS294&gt;0,HS294+1,0)*2+IF(HS294&gt;12,HS294-12,0)*2+IF(HS294&gt;13,HS294-13,0)*2+IF(HS294&gt;14,HS294-14,0)*2+IF(HS294&gt;15,HS294-15,0)*2+IF(HS294&gt;16,HS294-16,0)*2+IF(HS294&gt;17,HS294-17,0)*2+IF(HS294&gt;18,HS294-18,0)*2+IF(HS294&gt;19,HS294-19,0)*2+IF(HS294&gt;20,HS294-20,0)*2</f>
        <v>175.5384615384616</v>
      </c>
      <c r="HW294" s="242">
        <f>IF(HT294&lt;=0,2,0)+IF(HT294&gt;0,HT294+1,0)*2+IF(HT294&gt;12,HT294-12,0)*2+IF(HT294&gt;13,HT294-13,0)*2+IF(HT294&gt;14,HT294-14,0)*2+IF(HT294&gt;15,HT294-15,0)*2+IF(HT294&gt;16,HT294-16,0)*2+IF(HT294&gt;17,HT294-17,0)*2+IF(HT294&gt;18,HT294-18,0)*2+IF(HT294&gt;19,HT294-19,0)*2+IF(HT294&gt;20,HT294-20,0)*2</f>
        <v>2</v>
      </c>
      <c r="HX294" s="243">
        <f t="shared" si="1911"/>
        <v>173.5384615384616</v>
      </c>
      <c r="HY294" s="218">
        <f t="shared" si="1912"/>
        <v>0</v>
      </c>
      <c r="IA294" s="303" t="s">
        <v>422</v>
      </c>
      <c r="IB294" s="218" t="s">
        <v>87</v>
      </c>
      <c r="IC294" s="243" t="s">
        <v>132</v>
      </c>
      <c r="ID294" s="237"/>
      <c r="IE294" s="234">
        <f>Konvention_1slave-KLslave</f>
        <v>12</v>
      </c>
      <c r="IF294" s="234">
        <f>Konvention_1slave-INslave</f>
        <v>12</v>
      </c>
      <c r="IG294" s="234">
        <f>Konvention_1slave-CHslave</f>
        <v>12</v>
      </c>
      <c r="IH294" s="234"/>
      <c r="II294" s="234"/>
      <c r="IJ294" s="234"/>
      <c r="IK294" s="224"/>
      <c r="IL294" s="223">
        <f t="shared" si="2007"/>
        <v>12</v>
      </c>
      <c r="IM294" s="223">
        <f t="shared" si="1914"/>
        <v>24</v>
      </c>
      <c r="IN294" s="224">
        <f t="shared" si="1915"/>
        <v>36</v>
      </c>
      <c r="IO294" s="237">
        <f t="shared" si="2008"/>
        <v>2304</v>
      </c>
      <c r="IP294" s="234">
        <f>IE294*IF294*CHslave+IE294*INslave*IG294+KLslave*IF294*IG294</f>
        <v>3456</v>
      </c>
      <c r="IQ294" s="224">
        <f t="shared" si="2009"/>
        <v>1728</v>
      </c>
      <c r="IR294" s="224">
        <f t="shared" si="1918"/>
        <v>7488</v>
      </c>
      <c r="IS294" s="222">
        <f t="shared" si="1919"/>
        <v>3.6923076923076925</v>
      </c>
      <c r="IT294" s="223">
        <f t="shared" si="1920"/>
        <v>11.076923076923077</v>
      </c>
      <c r="IU294" s="243">
        <f t="shared" si="1921"/>
        <v>8.3076923076923084</v>
      </c>
      <c r="IV294" s="243">
        <f t="shared" si="1922"/>
        <v>23.07692307692308</v>
      </c>
      <c r="IW294" s="252">
        <f t="shared" si="1923"/>
        <v>0</v>
      </c>
      <c r="IX294" s="309">
        <f t="shared" si="1924"/>
        <v>23.07692307692308</v>
      </c>
      <c r="IY294" s="218">
        <f>IF(IV294&lt;=0,2,0)+IF(IV294&gt;0,IV294+1,0)*2+IF(IV294&gt;12,IV294-12,0)*2+IF(IV294&gt;13,IV294-13,0)*2+IF(IV294&gt;14,IV294-14,0)*2+IF(IV294&gt;15,IV294-15,0)*2+IF(IV294&gt;16,IV294-16,0)*2+IF(IV294&gt;17,IV294-17,0)*2+IF(IV294&gt;18,IV294-18,0)*2+IF(IV294&gt;19,IV294-19,0)*2+IF(IV294&gt;20,IV294-20,0)*2</f>
        <v>175.5384615384616</v>
      </c>
      <c r="IZ294" s="242">
        <f>IF(IW294&lt;=0,2,0)+IF(IW294&gt;0,IW294+1,0)*2+IF(IW294&gt;12,IW294-12,0)*2+IF(IW294&gt;13,IW294-13,0)*2+IF(IW294&gt;14,IW294-14,0)*2+IF(IW294&gt;15,IW294-15,0)*2+IF(IW294&gt;16,IW294-16,0)*2+IF(IW294&gt;17,IW294-17,0)*2+IF(IW294&gt;18,IW294-18,0)*2+IF(IW294&gt;19,IW294-19,0)*2+IF(IW294&gt;20,IW294-20,0)*2</f>
        <v>2</v>
      </c>
      <c r="JA294" s="243">
        <f t="shared" si="1926"/>
        <v>173.5384615384616</v>
      </c>
      <c r="JB294" s="218">
        <f t="shared" si="1927"/>
        <v>0</v>
      </c>
      <c r="JE294" s="148"/>
    </row>
    <row r="295" spans="1:265" ht="15" hidden="1" customHeight="1" outlineLevel="2">
      <c r="B295" s="148">
        <v>35</v>
      </c>
      <c r="C295" s="303" t="e">
        <f>VLOOKUP(AF295,Attribute!C:T,1,FALSE)</f>
        <v>#N/A</v>
      </c>
      <c r="D295" s="125" t="s">
        <v>170</v>
      </c>
      <c r="E295" s="127" t="s">
        <v>132</v>
      </c>
      <c r="F295" s="114"/>
      <c r="G295" s="113">
        <f>Konvention_1master-KLmaster</f>
        <v>12</v>
      </c>
      <c r="H295" s="113">
        <f>Konvention_1master-INmaster</f>
        <v>12</v>
      </c>
      <c r="I295" s="113"/>
      <c r="J295" s="113">
        <f>Konvention_1master-FFmaster</f>
        <v>12</v>
      </c>
      <c r="K295" s="113"/>
      <c r="L295" s="113"/>
      <c r="M295" s="119"/>
      <c r="N295" s="223">
        <f t="shared" si="1983"/>
        <v>12</v>
      </c>
      <c r="O295" s="223">
        <f t="shared" si="1795"/>
        <v>24</v>
      </c>
      <c r="P295" s="224">
        <f t="shared" si="1796"/>
        <v>36</v>
      </c>
      <c r="Q295" s="237">
        <f t="shared" si="1984"/>
        <v>2304</v>
      </c>
      <c r="R295" s="113">
        <f>G295*H295*FFmaster+G295*INmaster*J295+KLmaster*H295*J295</f>
        <v>3456</v>
      </c>
      <c r="S295" s="224">
        <f t="shared" si="1985"/>
        <v>1728</v>
      </c>
      <c r="T295" s="224">
        <f t="shared" si="1799"/>
        <v>7488</v>
      </c>
      <c r="U295" s="222">
        <f t="shared" si="1800"/>
        <v>3.6923076923076925</v>
      </c>
      <c r="V295" s="223">
        <f t="shared" si="1801"/>
        <v>11.076923076923077</v>
      </c>
      <c r="W295" s="243">
        <f t="shared" si="1802"/>
        <v>8.3076923076923084</v>
      </c>
      <c r="X295" s="243">
        <f t="shared" si="1803"/>
        <v>23.07692307692308</v>
      </c>
      <c r="Y295" s="252">
        <v>0</v>
      </c>
      <c r="Z295" s="198">
        <f t="shared" si="1804"/>
        <v>23.07692307692308</v>
      </c>
      <c r="AA295" s="125">
        <f>IF(X295&lt;=0,2,0)+IF(X295&gt;0,X295+1,0)*2+IF(X295&gt;12,X295-12,0)*2+IF(X295&gt;13,X295-13,0)*2+IF(X295&gt;14,X295-14,0)*2+IF(X295&gt;15,X295-15,0)*2+IF(X295&gt;16,X295-16,0)*2+IF(X295&gt;17,X295-17,0)*2+IF(X295&gt;18,X295-18,0)*2+IF(X295&gt;19,X295-19,0)*2+IF(X295&gt;20,X295-20,0)*2</f>
        <v>175.5384615384616</v>
      </c>
      <c r="AB295" s="160">
        <f>IF(Y295&lt;=0,2,0)+IF(Y295&gt;0,Y295+1,0)*2+IF(Y295&gt;12,Y295-12,0)*2+IF(Y295&gt;13,Y295-13,0)*2+IF(Y295&gt;14,Y295-14,0)*2+IF(Y295&gt;15,Y295-15,0)*2+IF(Y295&gt;16,Y295-16,0)*2+IF(Y295&gt;17,Y295-17,0)*2+IF(Y295&gt;18,Y295-18,0)*2+IF(Y295&gt;19,Y295-19,0)*2+IF(Y295&gt;20,Y295-20,0)*2</f>
        <v>2</v>
      </c>
      <c r="AC295" s="127">
        <f t="shared" si="1806"/>
        <v>173.5384615384616</v>
      </c>
      <c r="AD295" s="125">
        <f t="shared" si="1807"/>
        <v>0</v>
      </c>
      <c r="AF295" s="163" t="s">
        <v>404</v>
      </c>
      <c r="AG295" s="125" t="s">
        <v>170</v>
      </c>
      <c r="AH295" s="127" t="s">
        <v>132</v>
      </c>
      <c r="AI295" s="114"/>
      <c r="AJ295" s="113">
        <f>Konvention_1slave-KLslave</f>
        <v>12</v>
      </c>
      <c r="AK295" s="113">
        <f>Konvention_1slave-INslave</f>
        <v>12</v>
      </c>
      <c r="AL295" s="113"/>
      <c r="AM295" s="113">
        <f>Konvention_1slave-FFslave</f>
        <v>12</v>
      </c>
      <c r="AN295" s="113"/>
      <c r="AO295" s="113"/>
      <c r="AP295" s="119"/>
      <c r="AQ295" s="47">
        <f t="shared" si="1986"/>
        <v>12</v>
      </c>
      <c r="AR295" s="47">
        <f t="shared" si="1809"/>
        <v>24</v>
      </c>
      <c r="AS295" s="119">
        <f t="shared" si="1810"/>
        <v>36</v>
      </c>
      <c r="AT295" s="114">
        <f t="shared" si="1987"/>
        <v>2304</v>
      </c>
      <c r="AU295" s="113">
        <f>AJ295*AK295*FFslave+AJ295*INslave*AM295+KLslave*AK295*AM295</f>
        <v>3456</v>
      </c>
      <c r="AV295" s="119">
        <f t="shared" si="1988"/>
        <v>1728</v>
      </c>
      <c r="AW295" s="119">
        <f t="shared" si="1813"/>
        <v>7488</v>
      </c>
      <c r="AX295" s="89">
        <f t="shared" si="1814"/>
        <v>3.6923076923076925</v>
      </c>
      <c r="AY295" s="47">
        <f t="shared" si="1815"/>
        <v>11.076923076923077</v>
      </c>
      <c r="AZ295" s="127">
        <f t="shared" si="1816"/>
        <v>8.3076923076923084</v>
      </c>
      <c r="BA295" s="127">
        <f t="shared" si="1817"/>
        <v>23.07692307692308</v>
      </c>
      <c r="BB295" s="165">
        <f t="shared" si="1818"/>
        <v>0</v>
      </c>
      <c r="BC295" s="198">
        <f t="shared" si="1819"/>
        <v>23.07692307692308</v>
      </c>
      <c r="BD295" s="125">
        <f>IF(BA295&lt;=0,2,0)+IF(BA295&gt;0,BA295+1,0)*2+IF(BA295&gt;12,BA295-12,0)*2+IF(BA295&gt;13,BA295-13,0)*2+IF(BA295&gt;14,BA295-14,0)*2+IF(BA295&gt;15,BA295-15,0)*2+IF(BA295&gt;16,BA295-16,0)*2+IF(BA295&gt;17,BA295-17,0)*2+IF(BA295&gt;18,BA295-18,0)*2+IF(BA295&gt;19,BA295-19,0)*2+IF(BA295&gt;20,BA295-20,0)*2</f>
        <v>175.5384615384616</v>
      </c>
      <c r="BE295" s="160">
        <f>IF(BB295&lt;=0,2,0)+IF(BB295&gt;0,BB295+1,0)*2+IF(BB295&gt;12,BB295-12,0)*2+IF(BB295&gt;13,BB295-13,0)*2+IF(BB295&gt;14,BB295-14,0)*2+IF(BB295&gt;15,BB295-15,0)*2+IF(BB295&gt;16,BB295-16,0)*2+IF(BB295&gt;17,BB295-17,0)*2+IF(BB295&gt;18,BB295-18,0)*2+IF(BB295&gt;19,BB295-19,0)*2+IF(BB295&gt;20,BB295-20,0)*2</f>
        <v>2</v>
      </c>
      <c r="BF295" s="243">
        <f t="shared" si="1821"/>
        <v>173.5384615384616</v>
      </c>
      <c r="BG295" s="218">
        <f t="shared" si="1822"/>
        <v>0</v>
      </c>
      <c r="BI295" s="303" t="s">
        <v>404</v>
      </c>
      <c r="BJ295" s="218" t="s">
        <v>170</v>
      </c>
      <c r="BK295" s="243" t="s">
        <v>132</v>
      </c>
      <c r="BL295" s="237"/>
      <c r="BM295" s="234">
        <f>Konvention_1slave-KLslave_KL</f>
        <v>11</v>
      </c>
      <c r="BN295" s="234">
        <f>Konvention_1slave-INslave</f>
        <v>12</v>
      </c>
      <c r="BO295" s="234"/>
      <c r="BP295" s="234">
        <f>Konvention_1slave-FFslave</f>
        <v>12</v>
      </c>
      <c r="BQ295" s="234"/>
      <c r="BR295" s="234"/>
      <c r="BS295" s="224"/>
      <c r="BT295" s="223">
        <f t="shared" si="1989"/>
        <v>11.666666666666666</v>
      </c>
      <c r="BU295" s="223">
        <f t="shared" si="1824"/>
        <v>23.333333333333332</v>
      </c>
      <c r="BV295" s="224">
        <f t="shared" si="1825"/>
        <v>35</v>
      </c>
      <c r="BW295" s="237">
        <f t="shared" si="1990"/>
        <v>2432</v>
      </c>
      <c r="BX295" s="234">
        <f>BM295*BN295*FFslave+BM295*INslave*BP295+KLslave_KL*BN295*BP295</f>
        <v>3408</v>
      </c>
      <c r="BY295" s="224">
        <f t="shared" si="1991"/>
        <v>1584</v>
      </c>
      <c r="BZ295" s="224">
        <f t="shared" si="1828"/>
        <v>7424</v>
      </c>
      <c r="CA295" s="222">
        <f t="shared" si="1829"/>
        <v>3.8218390804597702</v>
      </c>
      <c r="CB295" s="223">
        <f t="shared" si="1830"/>
        <v>10.711206896551724</v>
      </c>
      <c r="CC295" s="243">
        <f t="shared" si="1831"/>
        <v>7.4676724137931032</v>
      </c>
      <c r="CD295" s="243">
        <f t="shared" si="1832"/>
        <v>22.000718390804597</v>
      </c>
      <c r="CE295" s="252">
        <f t="shared" si="1833"/>
        <v>0</v>
      </c>
      <c r="CF295" s="309">
        <f t="shared" si="1834"/>
        <v>22.000718390804597</v>
      </c>
      <c r="CG295" s="218">
        <f>IF(CD295&lt;=0,2,0)+IF(CD295&gt;0,CD295+1,0)*2+IF(CD295&gt;12,CD295-12,0)*2+IF(CD295&gt;13,CD295-13,0)*2+IF(CD295&gt;14,CD295-14,0)*2+IF(CD295&gt;15,CD295-15,0)*2+IF(CD295&gt;16,CD295-16,0)*2+IF(CD295&gt;17,CD295-17,0)*2+IF(CD295&gt;18,CD295-18,0)*2+IF(CD295&gt;19,CD295-19,0)*2+IF(CD295&gt;20,CD295-20,0)*2</f>
        <v>154.01436781609189</v>
      </c>
      <c r="CH295" s="242">
        <f>IF(CE295&lt;=0,2,0)+IF(CE295&gt;0,CE295+1,0)*2+IF(CE295&gt;12,CE295-12,0)*2+IF(CE295&gt;13,CE295-13,0)*2+IF(CE295&gt;14,CE295-14,0)*2+IF(CE295&gt;15,CE295-15,0)*2+IF(CE295&gt;16,CE295-16,0)*2+IF(CE295&gt;17,CE295-17,0)*2+IF(CE295&gt;18,CE295-18,0)*2+IF(CE295&gt;19,CE295-19,0)*2+IF(CE295&gt;20,CE295-20,0)*2</f>
        <v>2</v>
      </c>
      <c r="CI295" s="243">
        <f t="shared" si="1836"/>
        <v>152.01436781609189</v>
      </c>
      <c r="CJ295" s="218">
        <f t="shared" si="1837"/>
        <v>0</v>
      </c>
      <c r="CL295" s="303" t="s">
        <v>404</v>
      </c>
      <c r="CM295" s="218" t="s">
        <v>170</v>
      </c>
      <c r="CN295" s="243" t="s">
        <v>132</v>
      </c>
      <c r="CO295" s="237"/>
      <c r="CP295" s="234">
        <f>Konvention_1slave-KLslave</f>
        <v>12</v>
      </c>
      <c r="CQ295" s="234">
        <f>Konvention_1slave-INslave_IN</f>
        <v>11</v>
      </c>
      <c r="CR295" s="234"/>
      <c r="CS295" s="234">
        <f>Konvention_1slave-FFslave</f>
        <v>12</v>
      </c>
      <c r="CT295" s="234"/>
      <c r="CU295" s="234"/>
      <c r="CV295" s="224"/>
      <c r="CW295" s="223">
        <f t="shared" si="1992"/>
        <v>11.666666666666666</v>
      </c>
      <c r="CX295" s="223">
        <f t="shared" si="1839"/>
        <v>23.333333333333332</v>
      </c>
      <c r="CY295" s="224">
        <f t="shared" si="1840"/>
        <v>35</v>
      </c>
      <c r="CZ295" s="237">
        <f t="shared" si="1993"/>
        <v>2432</v>
      </c>
      <c r="DA295" s="234">
        <f>CP295*CQ295*FFslave+CP295*INslave_IN*CS295+KLslave*CQ295*CS295</f>
        <v>3408</v>
      </c>
      <c r="DB295" s="224">
        <f t="shared" si="1994"/>
        <v>1584</v>
      </c>
      <c r="DC295" s="224">
        <f t="shared" si="1843"/>
        <v>7424</v>
      </c>
      <c r="DD295" s="222">
        <f t="shared" si="1844"/>
        <v>3.8218390804597702</v>
      </c>
      <c r="DE295" s="223">
        <f t="shared" si="1845"/>
        <v>10.711206896551724</v>
      </c>
      <c r="DF295" s="243">
        <f t="shared" si="1846"/>
        <v>7.4676724137931032</v>
      </c>
      <c r="DG295" s="243">
        <f t="shared" si="1847"/>
        <v>22.000718390804597</v>
      </c>
      <c r="DH295" s="252">
        <f t="shared" si="1848"/>
        <v>0</v>
      </c>
      <c r="DI295" s="309">
        <f t="shared" si="1849"/>
        <v>22.000718390804597</v>
      </c>
      <c r="DJ295" s="218">
        <f>IF(DG295&lt;=0,2,0)+IF(DG295&gt;0,DG295+1,0)*2+IF(DG295&gt;12,DG295-12,0)*2+IF(DG295&gt;13,DG295-13,0)*2+IF(DG295&gt;14,DG295-14,0)*2+IF(DG295&gt;15,DG295-15,0)*2+IF(DG295&gt;16,DG295-16,0)*2+IF(DG295&gt;17,DG295-17,0)*2+IF(DG295&gt;18,DG295-18,0)*2+IF(DG295&gt;19,DG295-19,0)*2+IF(DG295&gt;20,DG295-20,0)*2</f>
        <v>154.01436781609189</v>
      </c>
      <c r="DK295" s="242">
        <f>IF(DH295&lt;=0,2,0)+IF(DH295&gt;0,DH295+1,0)*2+IF(DH295&gt;12,DH295-12,0)*2+IF(DH295&gt;13,DH295-13,0)*2+IF(DH295&gt;14,DH295-14,0)*2+IF(DH295&gt;15,DH295-15,0)*2+IF(DH295&gt;16,DH295-16,0)*2+IF(DH295&gt;17,DH295-17,0)*2+IF(DH295&gt;18,DH295-18,0)*2+IF(DH295&gt;19,DH295-19,0)*2+IF(DH295&gt;20,DH295-20,0)*2</f>
        <v>2</v>
      </c>
      <c r="DL295" s="243">
        <f t="shared" si="1851"/>
        <v>152.01436781609189</v>
      </c>
      <c r="DM295" s="218">
        <f t="shared" si="1852"/>
        <v>0</v>
      </c>
      <c r="DO295" s="303" t="s">
        <v>404</v>
      </c>
      <c r="DP295" s="218" t="s">
        <v>170</v>
      </c>
      <c r="DQ295" s="243" t="s">
        <v>132</v>
      </c>
      <c r="DR295" s="237"/>
      <c r="DS295" s="234">
        <f>Konvention_1slave-KLslave</f>
        <v>12</v>
      </c>
      <c r="DT295" s="234">
        <f>Konvention_1slave-INslave</f>
        <v>12</v>
      </c>
      <c r="DU295" s="234"/>
      <c r="DV295" s="234">
        <f>Konvention_1slave-FFslave</f>
        <v>12</v>
      </c>
      <c r="DW295" s="234"/>
      <c r="DX295" s="234"/>
      <c r="DY295" s="224"/>
      <c r="DZ295" s="223">
        <f t="shared" si="1995"/>
        <v>12</v>
      </c>
      <c r="EA295" s="223">
        <f t="shared" si="1854"/>
        <v>24</v>
      </c>
      <c r="EB295" s="224">
        <f t="shared" si="1855"/>
        <v>36</v>
      </c>
      <c r="EC295" s="237">
        <f t="shared" si="1996"/>
        <v>2304</v>
      </c>
      <c r="ED295" s="234">
        <f>DS295*DT295*FFslave+DS295*INslave*DV295+KLslave*DT295*DV295</f>
        <v>3456</v>
      </c>
      <c r="EE295" s="224">
        <f t="shared" si="1997"/>
        <v>1728</v>
      </c>
      <c r="EF295" s="224">
        <f t="shared" si="1858"/>
        <v>7488</v>
      </c>
      <c r="EG295" s="222">
        <f t="shared" si="1859"/>
        <v>3.6923076923076925</v>
      </c>
      <c r="EH295" s="223">
        <f t="shared" si="1860"/>
        <v>11.076923076923077</v>
      </c>
      <c r="EI295" s="243">
        <f t="shared" si="1861"/>
        <v>8.3076923076923084</v>
      </c>
      <c r="EJ295" s="243">
        <f t="shared" si="1862"/>
        <v>23.07692307692308</v>
      </c>
      <c r="EK295" s="252">
        <f t="shared" si="1863"/>
        <v>0</v>
      </c>
      <c r="EL295" s="309">
        <f t="shared" si="1864"/>
        <v>23.07692307692308</v>
      </c>
      <c r="EM295" s="218">
        <f>IF(EJ295&lt;=0,2,0)+IF(EJ295&gt;0,EJ295+1,0)*2+IF(EJ295&gt;12,EJ295-12,0)*2+IF(EJ295&gt;13,EJ295-13,0)*2+IF(EJ295&gt;14,EJ295-14,0)*2+IF(EJ295&gt;15,EJ295-15,0)*2+IF(EJ295&gt;16,EJ295-16,0)*2+IF(EJ295&gt;17,EJ295-17,0)*2+IF(EJ295&gt;18,EJ295-18,0)*2+IF(EJ295&gt;19,EJ295-19,0)*2+IF(EJ295&gt;20,EJ295-20,0)*2</f>
        <v>175.5384615384616</v>
      </c>
      <c r="EN295" s="242">
        <f>IF(EK295&lt;=0,2,0)+IF(EK295&gt;0,EK295+1,0)*2+IF(EK295&gt;12,EK295-12,0)*2+IF(EK295&gt;13,EK295-13,0)*2+IF(EK295&gt;14,EK295-14,0)*2+IF(EK295&gt;15,EK295-15,0)*2+IF(EK295&gt;16,EK295-16,0)*2+IF(EK295&gt;17,EK295-17,0)*2+IF(EK295&gt;18,EK295-18,0)*2+IF(EK295&gt;19,EK295-19,0)*2+IF(EK295&gt;20,EK295-20,0)*2</f>
        <v>2</v>
      </c>
      <c r="EO295" s="243">
        <f t="shared" si="1866"/>
        <v>173.5384615384616</v>
      </c>
      <c r="EP295" s="218">
        <f t="shared" si="1867"/>
        <v>0</v>
      </c>
      <c r="ER295" s="303" t="s">
        <v>404</v>
      </c>
      <c r="ES295" s="218" t="s">
        <v>170</v>
      </c>
      <c r="ET295" s="243" t="s">
        <v>132</v>
      </c>
      <c r="EU295" s="237"/>
      <c r="EV295" s="234">
        <f>Konvention_1slave-KLslave</f>
        <v>12</v>
      </c>
      <c r="EW295" s="234">
        <f>Konvention_1slave-INslave</f>
        <v>12</v>
      </c>
      <c r="EX295" s="234"/>
      <c r="EY295" s="234">
        <f>Konvention_1slave-FFslave_FF</f>
        <v>11</v>
      </c>
      <c r="EZ295" s="234"/>
      <c r="FA295" s="234"/>
      <c r="FB295" s="224"/>
      <c r="FC295" s="223">
        <f t="shared" si="1998"/>
        <v>11.666666666666666</v>
      </c>
      <c r="FD295" s="223">
        <f t="shared" si="1869"/>
        <v>23.333333333333332</v>
      </c>
      <c r="FE295" s="224">
        <f t="shared" si="1870"/>
        <v>35</v>
      </c>
      <c r="FF295" s="237">
        <f t="shared" si="1999"/>
        <v>2432</v>
      </c>
      <c r="FG295" s="234">
        <f>EV295*EW295*FFslave_FF+EV295*INslave*EY295+KLslave*EW295*EY295</f>
        <v>3408</v>
      </c>
      <c r="FH295" s="224">
        <f t="shared" si="2000"/>
        <v>1584</v>
      </c>
      <c r="FI295" s="224">
        <f t="shared" si="1873"/>
        <v>7424</v>
      </c>
      <c r="FJ295" s="222">
        <f t="shared" si="1874"/>
        <v>3.8218390804597702</v>
      </c>
      <c r="FK295" s="223">
        <f t="shared" si="1875"/>
        <v>10.711206896551724</v>
      </c>
      <c r="FL295" s="243">
        <f t="shared" si="1876"/>
        <v>7.4676724137931032</v>
      </c>
      <c r="FM295" s="243">
        <f t="shared" si="1877"/>
        <v>22.000718390804597</v>
      </c>
      <c r="FN295" s="252">
        <f t="shared" si="1878"/>
        <v>0</v>
      </c>
      <c r="FO295" s="309">
        <f t="shared" si="1879"/>
        <v>22.000718390804597</v>
      </c>
      <c r="FP295" s="218">
        <f>IF(FM295&lt;=0,2,0)+IF(FM295&gt;0,FM295+1,0)*2+IF(FM295&gt;12,FM295-12,0)*2+IF(FM295&gt;13,FM295-13,0)*2+IF(FM295&gt;14,FM295-14,0)*2+IF(FM295&gt;15,FM295-15,0)*2+IF(FM295&gt;16,FM295-16,0)*2+IF(FM295&gt;17,FM295-17,0)*2+IF(FM295&gt;18,FM295-18,0)*2+IF(FM295&gt;19,FM295-19,0)*2+IF(FM295&gt;20,FM295-20,0)*2</f>
        <v>154.01436781609189</v>
      </c>
      <c r="FQ295" s="242">
        <f>IF(FN295&lt;=0,2,0)+IF(FN295&gt;0,FN295+1,0)*2+IF(FN295&gt;12,FN295-12,0)*2+IF(FN295&gt;13,FN295-13,0)*2+IF(FN295&gt;14,FN295-14,0)*2+IF(FN295&gt;15,FN295-15,0)*2+IF(FN295&gt;16,FN295-16,0)*2+IF(FN295&gt;17,FN295-17,0)*2+IF(FN295&gt;18,FN295-18,0)*2+IF(FN295&gt;19,FN295-19,0)*2+IF(FN295&gt;20,FN295-20,0)*2</f>
        <v>2</v>
      </c>
      <c r="FR295" s="243">
        <f t="shared" si="1881"/>
        <v>152.01436781609189</v>
      </c>
      <c r="FS295" s="218">
        <f t="shared" si="1882"/>
        <v>0</v>
      </c>
      <c r="FU295" s="303" t="s">
        <v>404</v>
      </c>
      <c r="FV295" s="218" t="s">
        <v>170</v>
      </c>
      <c r="FW295" s="243" t="s">
        <v>132</v>
      </c>
      <c r="FX295" s="237"/>
      <c r="FY295" s="234">
        <f>Konvention_1slave-KLslave</f>
        <v>12</v>
      </c>
      <c r="FZ295" s="234">
        <f>Konvention_1slave-INslave</f>
        <v>12</v>
      </c>
      <c r="GA295" s="234"/>
      <c r="GB295" s="234">
        <f>Konvention_1slave-FFslave</f>
        <v>12</v>
      </c>
      <c r="GC295" s="234"/>
      <c r="GD295" s="234"/>
      <c r="GE295" s="224"/>
      <c r="GF295" s="223">
        <f t="shared" si="2001"/>
        <v>12</v>
      </c>
      <c r="GG295" s="223">
        <f t="shared" si="1884"/>
        <v>24</v>
      </c>
      <c r="GH295" s="224">
        <f t="shared" si="1885"/>
        <v>36</v>
      </c>
      <c r="GI295" s="237">
        <f t="shared" si="2002"/>
        <v>2304</v>
      </c>
      <c r="GJ295" s="234">
        <f>FY295*FZ295*FFslave+FY295*INslave*GB295+KLslave*FZ295*GB295</f>
        <v>3456</v>
      </c>
      <c r="GK295" s="224">
        <f t="shared" si="2003"/>
        <v>1728</v>
      </c>
      <c r="GL295" s="224">
        <f t="shared" si="1888"/>
        <v>7488</v>
      </c>
      <c r="GM295" s="222">
        <f t="shared" si="1889"/>
        <v>3.6923076923076925</v>
      </c>
      <c r="GN295" s="223">
        <f t="shared" si="1890"/>
        <v>11.076923076923077</v>
      </c>
      <c r="GO295" s="243">
        <f t="shared" si="1891"/>
        <v>8.3076923076923084</v>
      </c>
      <c r="GP295" s="243">
        <f t="shared" si="1892"/>
        <v>23.07692307692308</v>
      </c>
      <c r="GQ295" s="252">
        <f t="shared" si="1893"/>
        <v>0</v>
      </c>
      <c r="GR295" s="309">
        <f t="shared" si="1894"/>
        <v>23.07692307692308</v>
      </c>
      <c r="GS295" s="218">
        <f>IF(GP295&lt;=0,2,0)+IF(GP295&gt;0,GP295+1,0)*2+IF(GP295&gt;12,GP295-12,0)*2+IF(GP295&gt;13,GP295-13,0)*2+IF(GP295&gt;14,GP295-14,0)*2+IF(GP295&gt;15,GP295-15,0)*2+IF(GP295&gt;16,GP295-16,0)*2+IF(GP295&gt;17,GP295-17,0)*2+IF(GP295&gt;18,GP295-18,0)*2+IF(GP295&gt;19,GP295-19,0)*2+IF(GP295&gt;20,GP295-20,0)*2</f>
        <v>175.5384615384616</v>
      </c>
      <c r="GT295" s="242">
        <f>IF(GQ295&lt;=0,2,0)+IF(GQ295&gt;0,GQ295+1,0)*2+IF(GQ295&gt;12,GQ295-12,0)*2+IF(GQ295&gt;13,GQ295-13,0)*2+IF(GQ295&gt;14,GQ295-14,0)*2+IF(GQ295&gt;15,GQ295-15,0)*2+IF(GQ295&gt;16,GQ295-16,0)*2+IF(GQ295&gt;17,GQ295-17,0)*2+IF(GQ295&gt;18,GQ295-18,0)*2+IF(GQ295&gt;19,GQ295-19,0)*2+IF(GQ295&gt;20,GQ295-20,0)*2</f>
        <v>2</v>
      </c>
      <c r="GU295" s="243">
        <f t="shared" si="1896"/>
        <v>173.5384615384616</v>
      </c>
      <c r="GV295" s="218">
        <f t="shared" si="1897"/>
        <v>0</v>
      </c>
      <c r="GX295" s="303" t="s">
        <v>404</v>
      </c>
      <c r="GY295" s="218" t="s">
        <v>170</v>
      </c>
      <c r="GZ295" s="243" t="s">
        <v>132</v>
      </c>
      <c r="HA295" s="237"/>
      <c r="HB295" s="234">
        <f>Konvention_1slave-KLslave</f>
        <v>12</v>
      </c>
      <c r="HC295" s="234">
        <f>Konvention_1slave-INslave</f>
        <v>12</v>
      </c>
      <c r="HD295" s="234"/>
      <c r="HE295" s="234">
        <f>Konvention_1slave-FFslave</f>
        <v>12</v>
      </c>
      <c r="HF295" s="234"/>
      <c r="HG295" s="234"/>
      <c r="HH295" s="224"/>
      <c r="HI295" s="223">
        <f t="shared" si="2004"/>
        <v>12</v>
      </c>
      <c r="HJ295" s="223">
        <f t="shared" si="1899"/>
        <v>24</v>
      </c>
      <c r="HK295" s="224">
        <f t="shared" si="1900"/>
        <v>36</v>
      </c>
      <c r="HL295" s="237">
        <f t="shared" si="2005"/>
        <v>2304</v>
      </c>
      <c r="HM295" s="234">
        <f>HB295*HC295*FFslave+HB295*INslave*HE295+KLslave*HC295*HE295</f>
        <v>3456</v>
      </c>
      <c r="HN295" s="224">
        <f t="shared" si="2006"/>
        <v>1728</v>
      </c>
      <c r="HO295" s="224">
        <f t="shared" si="1903"/>
        <v>7488</v>
      </c>
      <c r="HP295" s="222">
        <f t="shared" si="1904"/>
        <v>3.6923076923076925</v>
      </c>
      <c r="HQ295" s="223">
        <f t="shared" si="1905"/>
        <v>11.076923076923077</v>
      </c>
      <c r="HR295" s="243">
        <f t="shared" si="1906"/>
        <v>8.3076923076923084</v>
      </c>
      <c r="HS295" s="243">
        <f t="shared" si="1907"/>
        <v>23.07692307692308</v>
      </c>
      <c r="HT295" s="252">
        <f t="shared" si="1908"/>
        <v>0</v>
      </c>
      <c r="HU295" s="309">
        <f t="shared" si="1909"/>
        <v>23.07692307692308</v>
      </c>
      <c r="HV295" s="218">
        <f>IF(HS295&lt;=0,2,0)+IF(HS295&gt;0,HS295+1,0)*2+IF(HS295&gt;12,HS295-12,0)*2+IF(HS295&gt;13,HS295-13,0)*2+IF(HS295&gt;14,HS295-14,0)*2+IF(HS295&gt;15,HS295-15,0)*2+IF(HS295&gt;16,HS295-16,0)*2+IF(HS295&gt;17,HS295-17,0)*2+IF(HS295&gt;18,HS295-18,0)*2+IF(HS295&gt;19,HS295-19,0)*2+IF(HS295&gt;20,HS295-20,0)*2</f>
        <v>175.5384615384616</v>
      </c>
      <c r="HW295" s="242">
        <f>IF(HT295&lt;=0,2,0)+IF(HT295&gt;0,HT295+1,0)*2+IF(HT295&gt;12,HT295-12,0)*2+IF(HT295&gt;13,HT295-13,0)*2+IF(HT295&gt;14,HT295-14,0)*2+IF(HT295&gt;15,HT295-15,0)*2+IF(HT295&gt;16,HT295-16,0)*2+IF(HT295&gt;17,HT295-17,0)*2+IF(HT295&gt;18,HT295-18,0)*2+IF(HT295&gt;19,HT295-19,0)*2+IF(HT295&gt;20,HT295-20,0)*2</f>
        <v>2</v>
      </c>
      <c r="HX295" s="243">
        <f t="shared" si="1911"/>
        <v>173.5384615384616</v>
      </c>
      <c r="HY295" s="218">
        <f t="shared" si="1912"/>
        <v>0</v>
      </c>
      <c r="IA295" s="303" t="s">
        <v>404</v>
      </c>
      <c r="IB295" s="218" t="s">
        <v>170</v>
      </c>
      <c r="IC295" s="243" t="s">
        <v>132</v>
      </c>
      <c r="ID295" s="237"/>
      <c r="IE295" s="234">
        <f>Konvention_1slave-KLslave</f>
        <v>12</v>
      </c>
      <c r="IF295" s="234">
        <f>Konvention_1slave-INslave</f>
        <v>12</v>
      </c>
      <c r="IG295" s="234"/>
      <c r="IH295" s="234">
        <f>Konvention_1slave-FFslave</f>
        <v>12</v>
      </c>
      <c r="II295" s="234"/>
      <c r="IJ295" s="234"/>
      <c r="IK295" s="224"/>
      <c r="IL295" s="223">
        <f t="shared" si="2007"/>
        <v>12</v>
      </c>
      <c r="IM295" s="223">
        <f t="shared" si="1914"/>
        <v>24</v>
      </c>
      <c r="IN295" s="224">
        <f t="shared" si="1915"/>
        <v>36</v>
      </c>
      <c r="IO295" s="237">
        <f t="shared" si="2008"/>
        <v>2304</v>
      </c>
      <c r="IP295" s="234">
        <f>IE295*IF295*FFslave+IE295*INslave*IH295+KLslave*IF295*IH295</f>
        <v>3456</v>
      </c>
      <c r="IQ295" s="224">
        <f t="shared" si="2009"/>
        <v>1728</v>
      </c>
      <c r="IR295" s="224">
        <f t="shared" si="1918"/>
        <v>7488</v>
      </c>
      <c r="IS295" s="222">
        <f t="shared" si="1919"/>
        <v>3.6923076923076925</v>
      </c>
      <c r="IT295" s="223">
        <f t="shared" si="1920"/>
        <v>11.076923076923077</v>
      </c>
      <c r="IU295" s="243">
        <f t="shared" si="1921"/>
        <v>8.3076923076923084</v>
      </c>
      <c r="IV295" s="243">
        <f t="shared" si="1922"/>
        <v>23.07692307692308</v>
      </c>
      <c r="IW295" s="252">
        <f t="shared" si="1923"/>
        <v>0</v>
      </c>
      <c r="IX295" s="309">
        <f t="shared" si="1924"/>
        <v>23.07692307692308</v>
      </c>
      <c r="IY295" s="218">
        <f>IF(IV295&lt;=0,2,0)+IF(IV295&gt;0,IV295+1,0)*2+IF(IV295&gt;12,IV295-12,0)*2+IF(IV295&gt;13,IV295-13,0)*2+IF(IV295&gt;14,IV295-14,0)*2+IF(IV295&gt;15,IV295-15,0)*2+IF(IV295&gt;16,IV295-16,0)*2+IF(IV295&gt;17,IV295-17,0)*2+IF(IV295&gt;18,IV295-18,0)*2+IF(IV295&gt;19,IV295-19,0)*2+IF(IV295&gt;20,IV295-20,0)*2</f>
        <v>175.5384615384616</v>
      </c>
      <c r="IZ295" s="242">
        <f>IF(IW295&lt;=0,2,0)+IF(IW295&gt;0,IW295+1,0)*2+IF(IW295&gt;12,IW295-12,0)*2+IF(IW295&gt;13,IW295-13,0)*2+IF(IW295&gt;14,IW295-14,0)*2+IF(IW295&gt;15,IW295-15,0)*2+IF(IW295&gt;16,IW295-16,0)*2+IF(IW295&gt;17,IW295-17,0)*2+IF(IW295&gt;18,IW295-18,0)*2+IF(IW295&gt;19,IW295-19,0)*2+IF(IW295&gt;20,IW295-20,0)*2</f>
        <v>2</v>
      </c>
      <c r="JA295" s="243">
        <f t="shared" si="1926"/>
        <v>173.5384615384616</v>
      </c>
      <c r="JB295" s="218">
        <f t="shared" si="1927"/>
        <v>0</v>
      </c>
      <c r="JE295" s="148"/>
    </row>
    <row r="296" spans="1:265" hidden="1" outlineLevel="2">
      <c r="B296" s="148">
        <v>36</v>
      </c>
      <c r="C296" s="306" t="e">
        <f>VLOOKUP(AF296,Attribute!C:T,1,FALSE)</f>
        <v>#N/A</v>
      </c>
      <c r="D296" s="87" t="s">
        <v>8</v>
      </c>
      <c r="E296" s="128" t="s">
        <v>133</v>
      </c>
      <c r="F296" s="115">
        <f>Konvention_1master-MUmaster</f>
        <v>12</v>
      </c>
      <c r="G296" s="122"/>
      <c r="H296" s="122">
        <f>Konvention_1master-INmaster</f>
        <v>12</v>
      </c>
      <c r="I296" s="122"/>
      <c r="J296" s="122"/>
      <c r="K296" s="122">
        <f>Konvention_1master-GEmaster</f>
        <v>12</v>
      </c>
      <c r="L296" s="122"/>
      <c r="M296" s="123"/>
      <c r="N296" s="226">
        <f t="shared" si="1983"/>
        <v>12</v>
      </c>
      <c r="O296" s="226">
        <f t="shared" si="1795"/>
        <v>24</v>
      </c>
      <c r="P296" s="227">
        <f t="shared" si="1796"/>
        <v>36</v>
      </c>
      <c r="Q296" s="238">
        <f t="shared" si="1984"/>
        <v>2304</v>
      </c>
      <c r="R296" s="122">
        <f>F296*H296*GEmaster+F296*INmaster*K296+MUmaster*H296*K296</f>
        <v>3456</v>
      </c>
      <c r="S296" s="227">
        <f t="shared" si="1985"/>
        <v>1728</v>
      </c>
      <c r="T296" s="227">
        <f t="shared" si="1799"/>
        <v>7488</v>
      </c>
      <c r="U296" s="225">
        <f t="shared" si="1800"/>
        <v>3.6923076923076925</v>
      </c>
      <c r="V296" s="226">
        <f t="shared" si="1801"/>
        <v>11.076923076923077</v>
      </c>
      <c r="W296" s="245">
        <f t="shared" si="1802"/>
        <v>8.3076923076923084</v>
      </c>
      <c r="X296" s="245">
        <f t="shared" si="1803"/>
        <v>23.07692307692308</v>
      </c>
      <c r="Y296" s="252">
        <v>0</v>
      </c>
      <c r="Z296" s="198">
        <f t="shared" si="1804"/>
        <v>23.07692307692308</v>
      </c>
      <c r="AA296" s="159">
        <f>IF(X296&lt;=0,1,0)+IF(X296&gt;0,X296+1,0)*1+IF(X296&gt;12,X296-12,0)*1+IF(X296&gt;13,X296-13,0)*1+IF(X296&gt;14,X296-14,0)*1+IF(X296&gt;15,X296-15,0)*1+IF(X296&gt;16,X296-16,0)*1+IF(X296&gt;17,X296-17,0)*1+IF(X296&gt;18,X296-18,0)*1+IF(X296&gt;19,X296-19,0)*1+IF(X296&gt;20,X296-20,0)*1</f>
        <v>87.769230769230802</v>
      </c>
      <c r="AB296" s="161">
        <f>IF(Y296&lt;=0,1,0)+IF(Y296&gt;0,Y296+1,0)*1+IF(Y296&gt;12,Y296-12,0)*1+IF(Y296&gt;13,Y296-13,0)*1+IF(Y296&gt;14,Y296-14,0)*1+IF(Y296&gt;15,Y296-15,0)*1+IF(Y296&gt;16,Y296-16,0)*1+IF(Y296&gt;17,Y296-17,0)*1+IF(Y296&gt;18,Y296-18,0)*1+IF(Y296&gt;19,Y296-19,0)*1+IF(Y296&gt;20,Y296-20,0)*1</f>
        <v>1</v>
      </c>
      <c r="AC296" s="128">
        <f t="shared" si="1806"/>
        <v>86.769230769230802</v>
      </c>
      <c r="AD296" s="159">
        <f t="shared" si="1807"/>
        <v>0</v>
      </c>
      <c r="AF296" s="164" t="s">
        <v>423</v>
      </c>
      <c r="AG296" s="159" t="s">
        <v>8</v>
      </c>
      <c r="AH296" s="128" t="s">
        <v>133</v>
      </c>
      <c r="AI296" s="115">
        <f>Konvention_1slave-MUslave_MU</f>
        <v>11</v>
      </c>
      <c r="AJ296" s="122"/>
      <c r="AK296" s="122">
        <f>Konvention_1slave-INslave</f>
        <v>12</v>
      </c>
      <c r="AL296" s="122"/>
      <c r="AM296" s="122"/>
      <c r="AN296" s="122">
        <f>Konvention_1slave-GEslave</f>
        <v>12</v>
      </c>
      <c r="AO296" s="122"/>
      <c r="AP296" s="123"/>
      <c r="AQ296" s="88">
        <f t="shared" si="1986"/>
        <v>11.666666666666666</v>
      </c>
      <c r="AR296" s="88">
        <f t="shared" si="1809"/>
        <v>23.333333333333332</v>
      </c>
      <c r="AS296" s="123">
        <f t="shared" si="1810"/>
        <v>35</v>
      </c>
      <c r="AT296" s="115">
        <f t="shared" si="1987"/>
        <v>2432</v>
      </c>
      <c r="AU296" s="122">
        <f>AI296*AK296*GEslave+AI296*INslave*AN296+MUslave_MU*AK296*AN296</f>
        <v>3408</v>
      </c>
      <c r="AV296" s="123">
        <f t="shared" si="1988"/>
        <v>1584</v>
      </c>
      <c r="AW296" s="123">
        <f t="shared" si="1813"/>
        <v>7424</v>
      </c>
      <c r="AX296" s="90">
        <f t="shared" si="1814"/>
        <v>3.8218390804597702</v>
      </c>
      <c r="AY296" s="88">
        <f t="shared" si="1815"/>
        <v>10.711206896551724</v>
      </c>
      <c r="AZ296" s="128">
        <f t="shared" si="1816"/>
        <v>7.4676724137931032</v>
      </c>
      <c r="BA296" s="128">
        <f t="shared" si="1817"/>
        <v>22.000718390804597</v>
      </c>
      <c r="BB296" s="165">
        <f t="shared" si="1818"/>
        <v>0</v>
      </c>
      <c r="BC296" s="198">
        <f t="shared" si="1819"/>
        <v>22.000718390804597</v>
      </c>
      <c r="BD296" s="159">
        <f>IF(BA296&lt;=0,1,0)+IF(BA296&gt;0,BA296+1,0)*1+IF(BA296&gt;12,BA296-12,0)*1+IF(BA296&gt;13,BA296-13,0)*1+IF(BA296&gt;14,BA296-14,0)*1+IF(BA296&gt;15,BA296-15,0)*1+IF(BA296&gt;16,BA296-16,0)*1+IF(BA296&gt;17,BA296-17,0)*1+IF(BA296&gt;18,BA296-18,0)*1+IF(BA296&gt;19,BA296-19,0)*1+IF(BA296&gt;20,BA296-20,0)*1</f>
        <v>77.007183908045945</v>
      </c>
      <c r="BE296" s="161">
        <f>IF(BB296&lt;=0,1,0)+IF(BB296&gt;0,BB296+1,0)*1+IF(BB296&gt;12,BB296-12,0)*1+IF(BB296&gt;13,BB296-13,0)*1+IF(BB296&gt;14,BB296-14,0)*1+IF(BB296&gt;15,BB296-15,0)*1+IF(BB296&gt;16,BB296-16,0)*1+IF(BB296&gt;17,BB296-17,0)*1+IF(BB296&gt;18,BB296-18,0)*1+IF(BB296&gt;19,BB296-19,0)*1+IF(BB296&gt;20,BB296-20,0)*1</f>
        <v>1</v>
      </c>
      <c r="BF296" s="245">
        <f t="shared" si="1821"/>
        <v>76.007183908045945</v>
      </c>
      <c r="BG296" s="246">
        <f t="shared" si="1822"/>
        <v>0</v>
      </c>
      <c r="BI296" s="306" t="s">
        <v>423</v>
      </c>
      <c r="BJ296" s="246" t="s">
        <v>8</v>
      </c>
      <c r="BK296" s="245" t="s">
        <v>133</v>
      </c>
      <c r="BL296" s="238">
        <f>Konvention_1slave-MUslave</f>
        <v>12</v>
      </c>
      <c r="BM296" s="235"/>
      <c r="BN296" s="235">
        <f>Konvention_1slave-INslave</f>
        <v>12</v>
      </c>
      <c r="BO296" s="235"/>
      <c r="BP296" s="235"/>
      <c r="BQ296" s="235">
        <f>Konvention_1slave-GEslave</f>
        <v>12</v>
      </c>
      <c r="BR296" s="235"/>
      <c r="BS296" s="227"/>
      <c r="BT296" s="226">
        <f t="shared" si="1989"/>
        <v>12</v>
      </c>
      <c r="BU296" s="226">
        <f t="shared" si="1824"/>
        <v>24</v>
      </c>
      <c r="BV296" s="227">
        <f t="shared" si="1825"/>
        <v>36</v>
      </c>
      <c r="BW296" s="238">
        <f t="shared" si="1990"/>
        <v>2304</v>
      </c>
      <c r="BX296" s="235">
        <f>BL296*BN296*GEslave+BL296*INslave*BQ296+MUslave*BN296*BQ296</f>
        <v>3456</v>
      </c>
      <c r="BY296" s="227">
        <f t="shared" si="1991"/>
        <v>1728</v>
      </c>
      <c r="BZ296" s="227">
        <f t="shared" si="1828"/>
        <v>7488</v>
      </c>
      <c r="CA296" s="225">
        <f t="shared" si="1829"/>
        <v>3.6923076923076925</v>
      </c>
      <c r="CB296" s="226">
        <f t="shared" si="1830"/>
        <v>11.076923076923077</v>
      </c>
      <c r="CC296" s="245">
        <f t="shared" si="1831"/>
        <v>8.3076923076923084</v>
      </c>
      <c r="CD296" s="245">
        <f t="shared" si="1832"/>
        <v>23.07692307692308</v>
      </c>
      <c r="CE296" s="252">
        <f t="shared" si="1833"/>
        <v>0</v>
      </c>
      <c r="CF296" s="309">
        <f t="shared" si="1834"/>
        <v>23.07692307692308</v>
      </c>
      <c r="CG296" s="246">
        <f>IF(CD296&lt;=0,1,0)+IF(CD296&gt;0,CD296+1,0)*1+IF(CD296&gt;12,CD296-12,0)*1+IF(CD296&gt;13,CD296-13,0)*1+IF(CD296&gt;14,CD296-14,0)*1+IF(CD296&gt;15,CD296-15,0)*1+IF(CD296&gt;16,CD296-16,0)*1+IF(CD296&gt;17,CD296-17,0)*1+IF(CD296&gt;18,CD296-18,0)*1+IF(CD296&gt;19,CD296-19,0)*1+IF(CD296&gt;20,CD296-20,0)*1</f>
        <v>87.769230769230802</v>
      </c>
      <c r="CH296" s="244">
        <f>IF(CE296&lt;=0,1,0)+IF(CE296&gt;0,CE296+1,0)*1+IF(CE296&gt;12,CE296-12,0)*1+IF(CE296&gt;13,CE296-13,0)*1+IF(CE296&gt;14,CE296-14,0)*1+IF(CE296&gt;15,CE296-15,0)*1+IF(CE296&gt;16,CE296-16,0)*1+IF(CE296&gt;17,CE296-17,0)*1+IF(CE296&gt;18,CE296-18,0)*1+IF(CE296&gt;19,CE296-19,0)*1+IF(CE296&gt;20,CE296-20,0)*1</f>
        <v>1</v>
      </c>
      <c r="CI296" s="245">
        <f t="shared" si="1836"/>
        <v>86.769230769230802</v>
      </c>
      <c r="CJ296" s="246">
        <f t="shared" si="1837"/>
        <v>0</v>
      </c>
      <c r="CL296" s="306" t="s">
        <v>423</v>
      </c>
      <c r="CM296" s="246" t="s">
        <v>8</v>
      </c>
      <c r="CN296" s="245" t="s">
        <v>133</v>
      </c>
      <c r="CO296" s="238">
        <f>Konvention_1slave-MUslave</f>
        <v>12</v>
      </c>
      <c r="CP296" s="235"/>
      <c r="CQ296" s="235">
        <f>Konvention_1slave-INslave_IN</f>
        <v>11</v>
      </c>
      <c r="CR296" s="235"/>
      <c r="CS296" s="235"/>
      <c r="CT296" s="235">
        <f>Konvention_1slave-GEslave</f>
        <v>12</v>
      </c>
      <c r="CU296" s="235"/>
      <c r="CV296" s="227"/>
      <c r="CW296" s="226">
        <f t="shared" si="1992"/>
        <v>11.666666666666666</v>
      </c>
      <c r="CX296" s="226">
        <f t="shared" si="1839"/>
        <v>23.333333333333332</v>
      </c>
      <c r="CY296" s="227">
        <f t="shared" si="1840"/>
        <v>35</v>
      </c>
      <c r="CZ296" s="238">
        <f t="shared" si="1993"/>
        <v>2432</v>
      </c>
      <c r="DA296" s="235">
        <f>CO296*CQ296*GEslave+CO296*INslave_IN*CT296+MUslave*CQ296*CT296</f>
        <v>3408</v>
      </c>
      <c r="DB296" s="227">
        <f t="shared" si="1994"/>
        <v>1584</v>
      </c>
      <c r="DC296" s="227">
        <f t="shared" si="1843"/>
        <v>7424</v>
      </c>
      <c r="DD296" s="225">
        <f t="shared" si="1844"/>
        <v>3.8218390804597702</v>
      </c>
      <c r="DE296" s="226">
        <f t="shared" si="1845"/>
        <v>10.711206896551724</v>
      </c>
      <c r="DF296" s="245">
        <f t="shared" si="1846"/>
        <v>7.4676724137931032</v>
      </c>
      <c r="DG296" s="245">
        <f t="shared" si="1847"/>
        <v>22.000718390804597</v>
      </c>
      <c r="DH296" s="252">
        <f t="shared" si="1848"/>
        <v>0</v>
      </c>
      <c r="DI296" s="309">
        <f t="shared" si="1849"/>
        <v>22.000718390804597</v>
      </c>
      <c r="DJ296" s="246">
        <f>IF(DG296&lt;=0,1,0)+IF(DG296&gt;0,DG296+1,0)*1+IF(DG296&gt;12,DG296-12,0)*1+IF(DG296&gt;13,DG296-13,0)*1+IF(DG296&gt;14,DG296-14,0)*1+IF(DG296&gt;15,DG296-15,0)*1+IF(DG296&gt;16,DG296-16,0)*1+IF(DG296&gt;17,DG296-17,0)*1+IF(DG296&gt;18,DG296-18,0)*1+IF(DG296&gt;19,DG296-19,0)*1+IF(DG296&gt;20,DG296-20,0)*1</f>
        <v>77.007183908045945</v>
      </c>
      <c r="DK296" s="244">
        <f>IF(DH296&lt;=0,1,0)+IF(DH296&gt;0,DH296+1,0)*1+IF(DH296&gt;12,DH296-12,0)*1+IF(DH296&gt;13,DH296-13,0)*1+IF(DH296&gt;14,DH296-14,0)*1+IF(DH296&gt;15,DH296-15,0)*1+IF(DH296&gt;16,DH296-16,0)*1+IF(DH296&gt;17,DH296-17,0)*1+IF(DH296&gt;18,DH296-18,0)*1+IF(DH296&gt;19,DH296-19,0)*1+IF(DH296&gt;20,DH296-20,0)*1</f>
        <v>1</v>
      </c>
      <c r="DL296" s="245">
        <f t="shared" si="1851"/>
        <v>76.007183908045945</v>
      </c>
      <c r="DM296" s="246">
        <f t="shared" si="1852"/>
        <v>0</v>
      </c>
      <c r="DO296" s="306" t="s">
        <v>423</v>
      </c>
      <c r="DP296" s="246" t="s">
        <v>8</v>
      </c>
      <c r="DQ296" s="245" t="s">
        <v>133</v>
      </c>
      <c r="DR296" s="238">
        <f>Konvention_1slave-MUslave</f>
        <v>12</v>
      </c>
      <c r="DS296" s="235"/>
      <c r="DT296" s="235">
        <f>Konvention_1slave-INslave</f>
        <v>12</v>
      </c>
      <c r="DU296" s="235"/>
      <c r="DV296" s="235"/>
      <c r="DW296" s="235">
        <f>Konvention_1slave-GEslave</f>
        <v>12</v>
      </c>
      <c r="DX296" s="235"/>
      <c r="DY296" s="227"/>
      <c r="DZ296" s="226">
        <f t="shared" si="1995"/>
        <v>12</v>
      </c>
      <c r="EA296" s="226">
        <f t="shared" si="1854"/>
        <v>24</v>
      </c>
      <c r="EB296" s="227">
        <f t="shared" si="1855"/>
        <v>36</v>
      </c>
      <c r="EC296" s="238">
        <f t="shared" si="1996"/>
        <v>2304</v>
      </c>
      <c r="ED296" s="235">
        <f>DR296*DT296*GEslave+DR296*INslave*DW296+MUslave*DT296*DW296</f>
        <v>3456</v>
      </c>
      <c r="EE296" s="227">
        <f t="shared" si="1997"/>
        <v>1728</v>
      </c>
      <c r="EF296" s="227">
        <f t="shared" si="1858"/>
        <v>7488</v>
      </c>
      <c r="EG296" s="225">
        <f t="shared" si="1859"/>
        <v>3.6923076923076925</v>
      </c>
      <c r="EH296" s="226">
        <f t="shared" si="1860"/>
        <v>11.076923076923077</v>
      </c>
      <c r="EI296" s="245">
        <f t="shared" si="1861"/>
        <v>8.3076923076923084</v>
      </c>
      <c r="EJ296" s="245">
        <f t="shared" si="1862"/>
        <v>23.07692307692308</v>
      </c>
      <c r="EK296" s="252">
        <f t="shared" si="1863"/>
        <v>0</v>
      </c>
      <c r="EL296" s="309">
        <f t="shared" si="1864"/>
        <v>23.07692307692308</v>
      </c>
      <c r="EM296" s="246">
        <f>IF(EJ296&lt;=0,1,0)+IF(EJ296&gt;0,EJ296+1,0)*1+IF(EJ296&gt;12,EJ296-12,0)*1+IF(EJ296&gt;13,EJ296-13,0)*1+IF(EJ296&gt;14,EJ296-14,0)*1+IF(EJ296&gt;15,EJ296-15,0)*1+IF(EJ296&gt;16,EJ296-16,0)*1+IF(EJ296&gt;17,EJ296-17,0)*1+IF(EJ296&gt;18,EJ296-18,0)*1+IF(EJ296&gt;19,EJ296-19,0)*1+IF(EJ296&gt;20,EJ296-20,0)*1</f>
        <v>87.769230769230802</v>
      </c>
      <c r="EN296" s="244">
        <f>IF(EK296&lt;=0,1,0)+IF(EK296&gt;0,EK296+1,0)*1+IF(EK296&gt;12,EK296-12,0)*1+IF(EK296&gt;13,EK296-13,0)*1+IF(EK296&gt;14,EK296-14,0)*1+IF(EK296&gt;15,EK296-15,0)*1+IF(EK296&gt;16,EK296-16,0)*1+IF(EK296&gt;17,EK296-17,0)*1+IF(EK296&gt;18,EK296-18,0)*1+IF(EK296&gt;19,EK296-19,0)*1+IF(EK296&gt;20,EK296-20,0)*1</f>
        <v>1</v>
      </c>
      <c r="EO296" s="245">
        <f t="shared" si="1866"/>
        <v>86.769230769230802</v>
      </c>
      <c r="EP296" s="246">
        <f t="shared" si="1867"/>
        <v>0</v>
      </c>
      <c r="ER296" s="306" t="s">
        <v>423</v>
      </c>
      <c r="ES296" s="246" t="s">
        <v>8</v>
      </c>
      <c r="ET296" s="245" t="s">
        <v>133</v>
      </c>
      <c r="EU296" s="238">
        <f>Konvention_1slave-MUslave</f>
        <v>12</v>
      </c>
      <c r="EV296" s="235"/>
      <c r="EW296" s="235">
        <f>Konvention_1slave-INslave</f>
        <v>12</v>
      </c>
      <c r="EX296" s="235"/>
      <c r="EY296" s="235"/>
      <c r="EZ296" s="235">
        <f>Konvention_1slave-GEslave</f>
        <v>12</v>
      </c>
      <c r="FA296" s="235"/>
      <c r="FB296" s="227"/>
      <c r="FC296" s="226">
        <f t="shared" si="1998"/>
        <v>12</v>
      </c>
      <c r="FD296" s="226">
        <f t="shared" si="1869"/>
        <v>24</v>
      </c>
      <c r="FE296" s="227">
        <f t="shared" si="1870"/>
        <v>36</v>
      </c>
      <c r="FF296" s="238">
        <f t="shared" si="1999"/>
        <v>2304</v>
      </c>
      <c r="FG296" s="235">
        <f>EU296*EW296*GEslave+EU296*INslave*EZ296+MUslave*EW296*EZ296</f>
        <v>3456</v>
      </c>
      <c r="FH296" s="227">
        <f t="shared" si="2000"/>
        <v>1728</v>
      </c>
      <c r="FI296" s="227">
        <f t="shared" si="1873"/>
        <v>7488</v>
      </c>
      <c r="FJ296" s="225">
        <f t="shared" si="1874"/>
        <v>3.6923076923076925</v>
      </c>
      <c r="FK296" s="226">
        <f t="shared" si="1875"/>
        <v>11.076923076923077</v>
      </c>
      <c r="FL296" s="245">
        <f t="shared" si="1876"/>
        <v>8.3076923076923084</v>
      </c>
      <c r="FM296" s="245">
        <f t="shared" si="1877"/>
        <v>23.07692307692308</v>
      </c>
      <c r="FN296" s="252">
        <f t="shared" si="1878"/>
        <v>0</v>
      </c>
      <c r="FO296" s="309">
        <f t="shared" si="1879"/>
        <v>23.07692307692308</v>
      </c>
      <c r="FP296" s="246">
        <f>IF(FM296&lt;=0,1,0)+IF(FM296&gt;0,FM296+1,0)*1+IF(FM296&gt;12,FM296-12,0)*1+IF(FM296&gt;13,FM296-13,0)*1+IF(FM296&gt;14,FM296-14,0)*1+IF(FM296&gt;15,FM296-15,0)*1+IF(FM296&gt;16,FM296-16,0)*1+IF(FM296&gt;17,FM296-17,0)*1+IF(FM296&gt;18,FM296-18,0)*1+IF(FM296&gt;19,FM296-19,0)*1+IF(FM296&gt;20,FM296-20,0)*1</f>
        <v>87.769230769230802</v>
      </c>
      <c r="FQ296" s="244">
        <f>IF(FN296&lt;=0,1,0)+IF(FN296&gt;0,FN296+1,0)*1+IF(FN296&gt;12,FN296-12,0)*1+IF(FN296&gt;13,FN296-13,0)*1+IF(FN296&gt;14,FN296-14,0)*1+IF(FN296&gt;15,FN296-15,0)*1+IF(FN296&gt;16,FN296-16,0)*1+IF(FN296&gt;17,FN296-17,0)*1+IF(FN296&gt;18,FN296-18,0)*1+IF(FN296&gt;19,FN296-19,0)*1+IF(FN296&gt;20,FN296-20,0)*1</f>
        <v>1</v>
      </c>
      <c r="FR296" s="245">
        <f t="shared" si="1881"/>
        <v>86.769230769230802</v>
      </c>
      <c r="FS296" s="246">
        <f t="shared" si="1882"/>
        <v>0</v>
      </c>
      <c r="FU296" s="306" t="s">
        <v>423</v>
      </c>
      <c r="FV296" s="246" t="s">
        <v>8</v>
      </c>
      <c r="FW296" s="245" t="s">
        <v>133</v>
      </c>
      <c r="FX296" s="238">
        <f>Konvention_1slave-MUslave</f>
        <v>12</v>
      </c>
      <c r="FY296" s="235"/>
      <c r="FZ296" s="235">
        <f>Konvention_1slave-INslave</f>
        <v>12</v>
      </c>
      <c r="GA296" s="235"/>
      <c r="GB296" s="235"/>
      <c r="GC296" s="235">
        <f>Konvention_1slave-GEslave_GE</f>
        <v>11</v>
      </c>
      <c r="GD296" s="235"/>
      <c r="GE296" s="227"/>
      <c r="GF296" s="226">
        <f t="shared" si="2001"/>
        <v>11.666666666666666</v>
      </c>
      <c r="GG296" s="226">
        <f t="shared" si="1884"/>
        <v>23.333333333333332</v>
      </c>
      <c r="GH296" s="227">
        <f t="shared" si="1885"/>
        <v>35</v>
      </c>
      <c r="GI296" s="238">
        <f t="shared" si="2002"/>
        <v>2432</v>
      </c>
      <c r="GJ296" s="235">
        <f>FX296*FZ296*GEslave_GE+FX296*INslave*GC296+MUslave*FZ296*GC296</f>
        <v>3408</v>
      </c>
      <c r="GK296" s="227">
        <f t="shared" si="2003"/>
        <v>1584</v>
      </c>
      <c r="GL296" s="227">
        <f t="shared" si="1888"/>
        <v>7424</v>
      </c>
      <c r="GM296" s="225">
        <f t="shared" si="1889"/>
        <v>3.8218390804597702</v>
      </c>
      <c r="GN296" s="226">
        <f t="shared" si="1890"/>
        <v>10.711206896551724</v>
      </c>
      <c r="GO296" s="245">
        <f t="shared" si="1891"/>
        <v>7.4676724137931032</v>
      </c>
      <c r="GP296" s="245">
        <f t="shared" si="1892"/>
        <v>22.000718390804597</v>
      </c>
      <c r="GQ296" s="252">
        <f t="shared" si="1893"/>
        <v>0</v>
      </c>
      <c r="GR296" s="309">
        <f t="shared" si="1894"/>
        <v>22.000718390804597</v>
      </c>
      <c r="GS296" s="246">
        <f>IF(GP296&lt;=0,1,0)+IF(GP296&gt;0,GP296+1,0)*1+IF(GP296&gt;12,GP296-12,0)*1+IF(GP296&gt;13,GP296-13,0)*1+IF(GP296&gt;14,GP296-14,0)*1+IF(GP296&gt;15,GP296-15,0)*1+IF(GP296&gt;16,GP296-16,0)*1+IF(GP296&gt;17,GP296-17,0)*1+IF(GP296&gt;18,GP296-18,0)*1+IF(GP296&gt;19,GP296-19,0)*1+IF(GP296&gt;20,GP296-20,0)*1</f>
        <v>77.007183908045945</v>
      </c>
      <c r="GT296" s="244">
        <f>IF(GQ296&lt;=0,1,0)+IF(GQ296&gt;0,GQ296+1,0)*1+IF(GQ296&gt;12,GQ296-12,0)*1+IF(GQ296&gt;13,GQ296-13,0)*1+IF(GQ296&gt;14,GQ296-14,0)*1+IF(GQ296&gt;15,GQ296-15,0)*1+IF(GQ296&gt;16,GQ296-16,0)*1+IF(GQ296&gt;17,GQ296-17,0)*1+IF(GQ296&gt;18,GQ296-18,0)*1+IF(GQ296&gt;19,GQ296-19,0)*1+IF(GQ296&gt;20,GQ296-20,0)*1</f>
        <v>1</v>
      </c>
      <c r="GU296" s="245">
        <f t="shared" si="1896"/>
        <v>76.007183908045945</v>
      </c>
      <c r="GV296" s="246">
        <f t="shared" si="1897"/>
        <v>0</v>
      </c>
      <c r="GX296" s="306" t="s">
        <v>423</v>
      </c>
      <c r="GY296" s="246" t="s">
        <v>8</v>
      </c>
      <c r="GZ296" s="245" t="s">
        <v>133</v>
      </c>
      <c r="HA296" s="238">
        <f>Konvention_1slave-MUslave</f>
        <v>12</v>
      </c>
      <c r="HB296" s="235"/>
      <c r="HC296" s="235">
        <f>Konvention_1slave-INslave</f>
        <v>12</v>
      </c>
      <c r="HD296" s="235"/>
      <c r="HE296" s="235"/>
      <c r="HF296" s="235">
        <f>Konvention_1slave-GEslave</f>
        <v>12</v>
      </c>
      <c r="HG296" s="235"/>
      <c r="HH296" s="227"/>
      <c r="HI296" s="226">
        <f t="shared" si="2004"/>
        <v>12</v>
      </c>
      <c r="HJ296" s="226">
        <f t="shared" si="1899"/>
        <v>24</v>
      </c>
      <c r="HK296" s="227">
        <f t="shared" si="1900"/>
        <v>36</v>
      </c>
      <c r="HL296" s="238">
        <f t="shared" si="2005"/>
        <v>2304</v>
      </c>
      <c r="HM296" s="235">
        <f>HA296*HC296*GEslave+HA296*INslave*HF296+MUslave*HC296*HF296</f>
        <v>3456</v>
      </c>
      <c r="HN296" s="227">
        <f t="shared" si="2006"/>
        <v>1728</v>
      </c>
      <c r="HO296" s="227">
        <f t="shared" si="1903"/>
        <v>7488</v>
      </c>
      <c r="HP296" s="225">
        <f t="shared" si="1904"/>
        <v>3.6923076923076925</v>
      </c>
      <c r="HQ296" s="226">
        <f t="shared" si="1905"/>
        <v>11.076923076923077</v>
      </c>
      <c r="HR296" s="245">
        <f t="shared" si="1906"/>
        <v>8.3076923076923084</v>
      </c>
      <c r="HS296" s="245">
        <f t="shared" si="1907"/>
        <v>23.07692307692308</v>
      </c>
      <c r="HT296" s="252">
        <f t="shared" si="1908"/>
        <v>0</v>
      </c>
      <c r="HU296" s="309">
        <f t="shared" si="1909"/>
        <v>23.07692307692308</v>
      </c>
      <c r="HV296" s="246">
        <f>IF(HS296&lt;=0,1,0)+IF(HS296&gt;0,HS296+1,0)*1+IF(HS296&gt;12,HS296-12,0)*1+IF(HS296&gt;13,HS296-13,0)*1+IF(HS296&gt;14,HS296-14,0)*1+IF(HS296&gt;15,HS296-15,0)*1+IF(HS296&gt;16,HS296-16,0)*1+IF(HS296&gt;17,HS296-17,0)*1+IF(HS296&gt;18,HS296-18,0)*1+IF(HS296&gt;19,HS296-19,0)*1+IF(HS296&gt;20,HS296-20,0)*1</f>
        <v>87.769230769230802</v>
      </c>
      <c r="HW296" s="244">
        <f>IF(HT296&lt;=0,1,0)+IF(HT296&gt;0,HT296+1,0)*1+IF(HT296&gt;12,HT296-12,0)*1+IF(HT296&gt;13,HT296-13,0)*1+IF(HT296&gt;14,HT296-14,0)*1+IF(HT296&gt;15,HT296-15,0)*1+IF(HT296&gt;16,HT296-16,0)*1+IF(HT296&gt;17,HT296-17,0)*1+IF(HT296&gt;18,HT296-18,0)*1+IF(HT296&gt;19,HT296-19,0)*1+IF(HT296&gt;20,HT296-20,0)*1</f>
        <v>1</v>
      </c>
      <c r="HX296" s="245">
        <f t="shared" si="1911"/>
        <v>86.769230769230802</v>
      </c>
      <c r="HY296" s="246">
        <f t="shared" si="1912"/>
        <v>0</v>
      </c>
      <c r="IA296" s="306" t="s">
        <v>423</v>
      </c>
      <c r="IB296" s="246" t="s">
        <v>8</v>
      </c>
      <c r="IC296" s="245" t="s">
        <v>133</v>
      </c>
      <c r="ID296" s="238">
        <f>Konvention_1slave-MUslave</f>
        <v>12</v>
      </c>
      <c r="IE296" s="235"/>
      <c r="IF296" s="235">
        <f>Konvention_1slave-INslave</f>
        <v>12</v>
      </c>
      <c r="IG296" s="235"/>
      <c r="IH296" s="235"/>
      <c r="II296" s="235">
        <f>Konvention_1slave-GEslave</f>
        <v>12</v>
      </c>
      <c r="IJ296" s="235"/>
      <c r="IK296" s="227"/>
      <c r="IL296" s="226">
        <f t="shared" si="2007"/>
        <v>12</v>
      </c>
      <c r="IM296" s="226">
        <f t="shared" si="1914"/>
        <v>24</v>
      </c>
      <c r="IN296" s="227">
        <f t="shared" si="1915"/>
        <v>36</v>
      </c>
      <c r="IO296" s="238">
        <f t="shared" si="2008"/>
        <v>2304</v>
      </c>
      <c r="IP296" s="235">
        <f>ID296*IF296*GEslave+ID296*INslave*II296+MUslave*IF296*II296</f>
        <v>3456</v>
      </c>
      <c r="IQ296" s="227">
        <f t="shared" si="2009"/>
        <v>1728</v>
      </c>
      <c r="IR296" s="227">
        <f t="shared" si="1918"/>
        <v>7488</v>
      </c>
      <c r="IS296" s="225">
        <f t="shared" si="1919"/>
        <v>3.6923076923076925</v>
      </c>
      <c r="IT296" s="226">
        <f t="shared" si="1920"/>
        <v>11.076923076923077</v>
      </c>
      <c r="IU296" s="245">
        <f t="shared" si="1921"/>
        <v>8.3076923076923084</v>
      </c>
      <c r="IV296" s="245">
        <f t="shared" si="1922"/>
        <v>23.07692307692308</v>
      </c>
      <c r="IW296" s="252">
        <f t="shared" si="1923"/>
        <v>0</v>
      </c>
      <c r="IX296" s="309">
        <f t="shared" si="1924"/>
        <v>23.07692307692308</v>
      </c>
      <c r="IY296" s="246">
        <f>IF(IV296&lt;=0,1,0)+IF(IV296&gt;0,IV296+1,0)*1+IF(IV296&gt;12,IV296-12,0)*1+IF(IV296&gt;13,IV296-13,0)*1+IF(IV296&gt;14,IV296-14,0)*1+IF(IV296&gt;15,IV296-15,0)*1+IF(IV296&gt;16,IV296-16,0)*1+IF(IV296&gt;17,IV296-17,0)*1+IF(IV296&gt;18,IV296-18,0)*1+IF(IV296&gt;19,IV296-19,0)*1+IF(IV296&gt;20,IV296-20,0)*1</f>
        <v>87.769230769230802</v>
      </c>
      <c r="IZ296" s="244">
        <f>IF(IW296&lt;=0,1,0)+IF(IW296&gt;0,IW296+1,0)*1+IF(IW296&gt;12,IW296-12,0)*1+IF(IW296&gt;13,IW296-13,0)*1+IF(IW296&gt;14,IW296-14,0)*1+IF(IW296&gt;15,IW296-15,0)*1+IF(IW296&gt;16,IW296-16,0)*1+IF(IW296&gt;17,IW296-17,0)*1+IF(IW296&gt;18,IW296-18,0)*1+IF(IW296&gt;19,IW296-19,0)*1+IF(IW296&gt;20,IW296-20,0)*1</f>
        <v>1</v>
      </c>
      <c r="JA296" s="245">
        <f t="shared" si="1926"/>
        <v>86.769230769230802</v>
      </c>
      <c r="JB296" s="246">
        <f t="shared" si="1927"/>
        <v>0</v>
      </c>
      <c r="JE296" s="148"/>
    </row>
    <row r="297" spans="1:265" s="205" customFormat="1" hidden="1" outlineLevel="1" collapsed="1">
      <c r="A297" s="185"/>
      <c r="B297" s="311" t="s">
        <v>445</v>
      </c>
      <c r="C297" s="312" t="s">
        <v>281</v>
      </c>
      <c r="D297" s="308" t="s">
        <v>279</v>
      </c>
      <c r="E297" s="308" t="s">
        <v>280</v>
      </c>
      <c r="N297" s="217"/>
      <c r="O297" s="217"/>
      <c r="P297" s="217"/>
      <c r="Q297" s="217"/>
      <c r="S297" s="217"/>
      <c r="T297" s="217"/>
      <c r="U297" s="217"/>
      <c r="V297" s="217"/>
      <c r="W297" s="217"/>
      <c r="X297" s="217"/>
      <c r="Y297" s="251"/>
      <c r="Z297" s="206"/>
      <c r="AA297" s="308"/>
      <c r="AB297" s="308"/>
      <c r="AF297" s="327" t="s">
        <v>281</v>
      </c>
      <c r="AG297" s="308" t="s">
        <v>279</v>
      </c>
      <c r="AH297" s="308" t="s">
        <v>280</v>
      </c>
      <c r="BB297" s="206"/>
      <c r="BC297" s="206"/>
      <c r="BF297" s="217"/>
      <c r="BG297" s="217"/>
      <c r="BH297" s="217"/>
      <c r="BI297" s="327" t="s">
        <v>281</v>
      </c>
      <c r="BJ297" s="308" t="s">
        <v>279</v>
      </c>
      <c r="BK297" s="308" t="s">
        <v>280</v>
      </c>
      <c r="BL297" s="217"/>
      <c r="BM297" s="217"/>
      <c r="BN297" s="217"/>
      <c r="BO297" s="217"/>
      <c r="BP297" s="217"/>
      <c r="BQ297" s="217"/>
      <c r="BR297" s="217"/>
      <c r="BS297" s="217"/>
      <c r="BT297" s="217"/>
      <c r="BU297" s="217"/>
      <c r="BV297" s="217"/>
      <c r="BW297" s="217"/>
      <c r="BX297" s="217"/>
      <c r="BY297" s="217"/>
      <c r="BZ297" s="217"/>
      <c r="CA297" s="217"/>
      <c r="CB297" s="217"/>
      <c r="CC297" s="217"/>
      <c r="CD297" s="217"/>
      <c r="CE297" s="251"/>
      <c r="CF297" s="251"/>
      <c r="CG297" s="217"/>
      <c r="CH297" s="217"/>
      <c r="CI297" s="217"/>
      <c r="CJ297" s="217"/>
      <c r="CK297" s="217"/>
      <c r="CL297" s="327" t="s">
        <v>281</v>
      </c>
      <c r="CM297" s="308" t="s">
        <v>279</v>
      </c>
      <c r="CN297" s="308" t="s">
        <v>280</v>
      </c>
      <c r="CO297" s="217"/>
      <c r="CP297" s="217"/>
      <c r="CQ297" s="217"/>
      <c r="CR297" s="217"/>
      <c r="CS297" s="217"/>
      <c r="CT297" s="217"/>
      <c r="CU297" s="217"/>
      <c r="CV297" s="217"/>
      <c r="CW297" s="217"/>
      <c r="CX297" s="217"/>
      <c r="CY297" s="217"/>
      <c r="CZ297" s="217"/>
      <c r="DA297" s="217"/>
      <c r="DB297" s="217"/>
      <c r="DC297" s="217"/>
      <c r="DD297" s="217"/>
      <c r="DE297" s="217"/>
      <c r="DF297" s="217"/>
      <c r="DG297" s="217"/>
      <c r="DH297" s="251"/>
      <c r="DI297" s="251"/>
      <c r="DJ297" s="217"/>
      <c r="DK297" s="217"/>
      <c r="DL297" s="217"/>
      <c r="DM297" s="217"/>
      <c r="DN297" s="217"/>
      <c r="DO297" s="327" t="s">
        <v>281</v>
      </c>
      <c r="DP297" s="308" t="s">
        <v>279</v>
      </c>
      <c r="DQ297" s="308" t="s">
        <v>280</v>
      </c>
      <c r="DR297" s="217"/>
      <c r="DS297" s="217"/>
      <c r="DT297" s="217"/>
      <c r="DU297" s="217"/>
      <c r="DV297" s="217"/>
      <c r="DW297" s="217"/>
      <c r="DX297" s="217"/>
      <c r="DY297" s="217"/>
      <c r="DZ297" s="217"/>
      <c r="EA297" s="217"/>
      <c r="EB297" s="217"/>
      <c r="EC297" s="217"/>
      <c r="ED297" s="217"/>
      <c r="EE297" s="217"/>
      <c r="EF297" s="217"/>
      <c r="EG297" s="217"/>
      <c r="EH297" s="217"/>
      <c r="EI297" s="217"/>
      <c r="EJ297" s="217"/>
      <c r="EK297" s="251"/>
      <c r="EL297" s="251"/>
      <c r="EM297" s="217"/>
      <c r="EN297" s="217"/>
      <c r="EO297" s="217"/>
      <c r="EP297" s="217"/>
      <c r="EQ297" s="217"/>
      <c r="ER297" s="327" t="s">
        <v>281</v>
      </c>
      <c r="ES297" s="308" t="s">
        <v>279</v>
      </c>
      <c r="ET297" s="308" t="s">
        <v>280</v>
      </c>
      <c r="EU297" s="217"/>
      <c r="EV297" s="217"/>
      <c r="EW297" s="217"/>
      <c r="EX297" s="217"/>
      <c r="EY297" s="217"/>
      <c r="EZ297" s="217"/>
      <c r="FA297" s="217"/>
      <c r="FB297" s="217"/>
      <c r="FC297" s="217"/>
      <c r="FD297" s="217"/>
      <c r="FE297" s="217"/>
      <c r="FF297" s="217"/>
      <c r="FG297" s="217"/>
      <c r="FH297" s="217"/>
      <c r="FI297" s="217"/>
      <c r="FJ297" s="217"/>
      <c r="FK297" s="217"/>
      <c r="FL297" s="217"/>
      <c r="FM297" s="217"/>
      <c r="FN297" s="251"/>
      <c r="FO297" s="251"/>
      <c r="FP297" s="217"/>
      <c r="FQ297" s="217"/>
      <c r="FR297" s="217"/>
      <c r="FS297" s="217"/>
      <c r="FT297" s="217"/>
      <c r="FU297" s="327" t="s">
        <v>281</v>
      </c>
      <c r="FV297" s="308" t="s">
        <v>279</v>
      </c>
      <c r="FW297" s="308" t="s">
        <v>280</v>
      </c>
      <c r="FX297" s="217"/>
      <c r="FY297" s="217"/>
      <c r="FZ297" s="217"/>
      <c r="GA297" s="217"/>
      <c r="GB297" s="217"/>
      <c r="GC297" s="217"/>
      <c r="GD297" s="217"/>
      <c r="GE297" s="217"/>
      <c r="GF297" s="217"/>
      <c r="GG297" s="217"/>
      <c r="GH297" s="217"/>
      <c r="GI297" s="217"/>
      <c r="GJ297" s="217"/>
      <c r="GK297" s="217"/>
      <c r="GL297" s="217"/>
      <c r="GM297" s="217"/>
      <c r="GN297" s="217"/>
      <c r="GO297" s="217"/>
      <c r="GP297" s="217"/>
      <c r="GQ297" s="251"/>
      <c r="GR297" s="251"/>
      <c r="GS297" s="217"/>
      <c r="GT297" s="217"/>
      <c r="GU297" s="217"/>
      <c r="GV297" s="217"/>
      <c r="GW297" s="217"/>
      <c r="GX297" s="327" t="s">
        <v>281</v>
      </c>
      <c r="GY297" s="308" t="s">
        <v>279</v>
      </c>
      <c r="GZ297" s="308" t="s">
        <v>280</v>
      </c>
      <c r="HA297" s="217"/>
      <c r="HB297" s="217"/>
      <c r="HC297" s="217"/>
      <c r="HD297" s="217"/>
      <c r="HE297" s="217"/>
      <c r="HF297" s="217"/>
      <c r="HG297" s="217"/>
      <c r="HH297" s="217"/>
      <c r="HI297" s="217"/>
      <c r="HJ297" s="217"/>
      <c r="HK297" s="217"/>
      <c r="HL297" s="217"/>
      <c r="HM297" s="217"/>
      <c r="HN297" s="217"/>
      <c r="HO297" s="217"/>
      <c r="HP297" s="217"/>
      <c r="HQ297" s="217"/>
      <c r="HR297" s="217"/>
      <c r="HS297" s="217"/>
      <c r="HT297" s="251"/>
      <c r="HU297" s="251"/>
      <c r="HV297" s="217"/>
      <c r="HW297" s="217"/>
      <c r="HX297" s="217"/>
      <c r="HY297" s="217"/>
      <c r="HZ297" s="217"/>
      <c r="IA297" s="327" t="s">
        <v>281</v>
      </c>
      <c r="IB297" s="308" t="s">
        <v>279</v>
      </c>
      <c r="IC297" s="308" t="s">
        <v>280</v>
      </c>
      <c r="ID297" s="217"/>
      <c r="IE297" s="217"/>
      <c r="IF297" s="217"/>
      <c r="IG297" s="217"/>
      <c r="IH297" s="217"/>
      <c r="II297" s="217"/>
      <c r="IJ297" s="217"/>
      <c r="IK297" s="217"/>
      <c r="IL297" s="217"/>
      <c r="IM297" s="217"/>
      <c r="IN297" s="217"/>
      <c r="IO297" s="217"/>
      <c r="IP297" s="217"/>
      <c r="IQ297" s="217"/>
      <c r="IR297" s="217"/>
      <c r="IS297" s="217"/>
      <c r="IT297" s="217"/>
      <c r="IU297" s="217"/>
      <c r="IV297" s="217"/>
      <c r="IW297" s="251"/>
      <c r="IX297" s="251"/>
      <c r="IY297" s="217"/>
      <c r="IZ297" s="217"/>
      <c r="JA297" s="217"/>
      <c r="JB297" s="217"/>
    </row>
    <row r="298" spans="1:265" s="205" customFormat="1" ht="15" hidden="1" customHeight="1" outlineLevel="2">
      <c r="A298" s="185"/>
      <c r="B298" s="217">
        <v>1</v>
      </c>
      <c r="C298" s="302" t="e">
        <f>VLOOKUP(AF298,Attribute!C:T,1,FALSE)</f>
        <v>#N/A</v>
      </c>
      <c r="D298" s="42" t="s">
        <v>471</v>
      </c>
      <c r="E298" s="43" t="s">
        <v>135</v>
      </c>
      <c r="F298" s="207"/>
      <c r="G298" s="208"/>
      <c r="H298" s="208"/>
      <c r="I298" s="118">
        <f>Konvention_1master-CHmaster</f>
        <v>12</v>
      </c>
      <c r="J298" s="208"/>
      <c r="K298" s="118">
        <f>Konvention_1master-GEmaster</f>
        <v>12</v>
      </c>
      <c r="L298" s="170">
        <f>Konvention_1master-KOmaster</f>
        <v>12</v>
      </c>
      <c r="M298" s="209"/>
      <c r="N298" s="220">
        <f t="shared" ref="N298:N308" si="2010">(F298+G298+H298+I298+J298+K298+L298+M298)/3</f>
        <v>12</v>
      </c>
      <c r="O298" s="220">
        <f t="shared" ref="O298:O311" si="2011">2*N298</f>
        <v>24</v>
      </c>
      <c r="P298" s="221">
        <f t="shared" ref="P298:P311" si="2012">3*N298</f>
        <v>36</v>
      </c>
      <c r="Q298" s="236">
        <f t="shared" ref="Q298:Q310" si="2013">F298*POWER(KLmaster,SIGN(G298))*POWER(INmaster,SIGN(H298))*POWER(CHmaster,SIGN(I298))*POWER(FFmaster,SIGN(J298))*POWER(GEmaster,SIGN(K298))*POWER(KOmaster,SIGN(L298))*POWER(KKmaster,SIGN(M298))+G298*POWER(MUmaster,SIGN(F298))*POWER(INmaster,SIGN(H298))*POWER(CHmaster,SIGN(I298))*POWER(FFmaster,SIGN(J298))*POWER(GEmaster,SIGN(K298))*POWER(KOmaster,SIGN(L298))*POWER(KKmaster,SIGN(M298))+H298*POWER(MUmaster,SIGN(F298))*POWER(KLmaster,SIGN(G298))*POWER(CHmaster,SIGN(I298))*POWER(FFmaster,SIGN(J298))*POWER(GEmaster,SIGN(K298))*POWER(KOmaster,SIGN(L298))*POWER(KKmaster,SIGN(M298))+I298*POWER(MUmaster,SIGN(F298))*POWER(KLmaster,SIGN(G298))*POWER(INmaster,SIGN(H298))*POWER(FFmaster,SIGN(J298))*POWER(GEmaster,SIGN(K298))*POWER(KOmaster,SIGN(L298))*POWER(KKmaster,SIGN(M298))+J298*POWER(MUmaster,SIGN(F298))*POWER(KLmaster,SIGN(G298))*POWER(INmaster,SIGN(H298))*POWER(CHmaster,SIGN(I298))*POWER(GEmaster,SIGN(K298))*POWER(KOmaster,SIGN(L298))*POWER(KKmaster,SIGN(M298))+K298*POWER(MUmaster,SIGN(F298))*POWER(KLmaster,SIGN(G298))*POWER(INmaster,SIGN(H298))*POWER(CHmaster,SIGN(I298))*POWER(FFmaster,SIGN(J298))*POWER(KOmaster,SIGN(L298))*POWER(KKmaster,SIGN(M298))+L298*POWER(MUmaster,SIGN(F298))*POWER(KLmaster,SIGN(G298))*POWER(INmaster,SIGN(H298))*POWER(CHmaster,SIGN(I298))*POWER(FFmaster,SIGN(J298))*POWER(GEmaster,SIGN(K298))*POWER(KKmaster,SIGN(M298))+M298*POWER(MUmaster,SIGN(F298))*POWER(KLmaster,SIGN(G298))*POWER(INmaster,SIGN(H298))*POWER(CHmaster,SIGN(I298))*POWER(FFmaster,SIGN(J298))*POWER(GEmaster,SIGN(K298))*POWER(KOmaster,SIGN(L298))</f>
        <v>2304</v>
      </c>
      <c r="R298" s="233">
        <f>I298*K298*KOmaster+I298*GEmaster*L298+CHmaster*K298*L298</f>
        <v>3456</v>
      </c>
      <c r="S298" s="221">
        <f t="shared" ref="S298:S310" si="2014">IFERROR(F298^SIGN(F298),1)*IFERROR(G298^SIGN(G298),1)*IFERROR(H298^SIGN(H298),1)*IFERROR(I298^SIGN(I298),1)*IFERROR(J298^SIGN(J298),1)*IFERROR(K298^SIGN(K298),1)*IFERROR(L298^SIGN(L298),1)*IFERROR(M298^SIGN(M298),1)</f>
        <v>1728</v>
      </c>
      <c r="T298" s="221">
        <f t="shared" ref="T298:T321" si="2015">SUM(Q298:S298)</f>
        <v>7488</v>
      </c>
      <c r="U298" s="219">
        <f t="shared" ref="U298:U311" si="2016">N298*Q298/T298</f>
        <v>3.6923076923076925</v>
      </c>
      <c r="V298" s="220">
        <f t="shared" ref="V298:V311" si="2017">O298*R298/T298</f>
        <v>11.076923076923077</v>
      </c>
      <c r="W298" s="241">
        <f t="shared" ref="W298:W311" si="2018">P298*S298/T298</f>
        <v>8.3076923076923084</v>
      </c>
      <c r="X298" s="241">
        <f t="shared" ref="X298:X307" si="2019">SUM(U298:W298)</f>
        <v>23.07692307692308</v>
      </c>
      <c r="Y298" s="252">
        <v>0</v>
      </c>
      <c r="Z298" s="324">
        <f t="shared" ref="Z298:Z311" si="2020">X298-Y298</f>
        <v>23.07692307692308</v>
      </c>
      <c r="AA298" s="43">
        <f t="shared" ref="AA298:AA299" si="2021">IF(X298&lt;=0,3,0)+IF(X298&gt;0,X298+1,0)*3+IF(X298&gt;12,X298-12,0)*3+IF(X298&gt;13,X298-13,0)*3+IF(X298&gt;14,X298-14,0)*3+IF(X298&gt;15,X298-15,0)*3+IF(X298&gt;16,X298-16,0)*3+IF(X298&gt;17,X298-17,0)*3+IF(X298&gt;18,X298-18,0)*3+IF(X298&gt;19,X298-19,0)*3+IF(X298&gt;20,X298-20,0)*3</f>
        <v>263.30769230769232</v>
      </c>
      <c r="AB298" s="334">
        <f t="shared" ref="AB298:AB299" si="2022">IF(Y298&lt;=0,3,0)+IF(Y298&gt;0,Y298+1,0)*3+IF(Y298&gt;12,Y298-12,0)*3+IF(Y298&gt;13,Y298-13,0)*3+IF(Y298&gt;14,Y298-14,0)*3+IF(Y298&gt;15,Y298-15,0)*3+IF(Y298&gt;16,Y298-16,0)*3+IF(Y298&gt;17,Y298-17,0)*3+IF(Y298&gt;18,Y298-18,0)*3+IF(Y298&gt;19,Y298-19,0)*3+IF(Y298&gt;20,Y298-20,0)*3</f>
        <v>3</v>
      </c>
      <c r="AC298" s="241">
        <f t="shared" ref="AC298:AC311" si="2023">IF((AA298-AB298)&gt;0,AA298-AB298,0)</f>
        <v>260.30769230769232</v>
      </c>
      <c r="AD298" s="42">
        <f t="shared" ref="AD298:AD311" si="2024">IF((AB298-AA298)&gt;0,AB298-AA298,0)</f>
        <v>0</v>
      </c>
      <c r="AE298" s="299"/>
      <c r="AF298" s="302" t="s">
        <v>447</v>
      </c>
      <c r="AG298" s="42" t="s">
        <v>471</v>
      </c>
      <c r="AH298" s="43" t="s">
        <v>135</v>
      </c>
      <c r="AI298" s="207"/>
      <c r="AJ298" s="208"/>
      <c r="AK298" s="208"/>
      <c r="AL298" s="118">
        <f>Konvention_1slave-CHslave</f>
        <v>12</v>
      </c>
      <c r="AM298" s="208"/>
      <c r="AN298" s="118">
        <f>Konvention_1slave-GEslave</f>
        <v>12</v>
      </c>
      <c r="AO298" s="170">
        <f>Konvention_1slave-KOslave</f>
        <v>12</v>
      </c>
      <c r="AP298" s="209"/>
      <c r="AQ298" s="220">
        <f t="shared" ref="AQ298:AQ308" si="2025">(AI298+AJ298+AK298+AL298+AM298+AN298+AO298+AP298)/3</f>
        <v>12</v>
      </c>
      <c r="AR298" s="220">
        <f t="shared" ref="AR298:AR311" si="2026">2*AQ298</f>
        <v>24</v>
      </c>
      <c r="AS298" s="221">
        <f t="shared" ref="AS298:AS311" si="2027">3*AQ298</f>
        <v>36</v>
      </c>
      <c r="AT298" s="236">
        <f>AI298*POWER(KLslave,SIGN(AJ298))*POWER(INslave,SIGN(AK298))*POWER(CHslave,SIGN(AL298))*POWER(FFslave,SIGN(AM298))*POWER(GEslave,SIGN(AN298))*POWER(KOslave,SIGN(AO298))*POWER(KKslave,SIGN(AP298))+AJ298*POWER(MUslave,SIGN(AI298))*POWER(INslave,SIGN(AK298))*POWER(CHslave,SIGN(AL298))*POWER(FFslave,SIGN(AM298))*POWER(GEslave,SIGN(AN298))*POWER(KOslave,SIGN(AO298))*POWER(KKslave,SIGN(AP298))+AK298*POWER(MUslave,SIGN(AI298))*POWER(KLslave,SIGN(AJ298))*POWER(CHslave,SIGN(AL298))*POWER(FFslave,SIGN(AM298))*POWER(GEslave,SIGN(AN298))*POWER(KOslave,SIGN(AO298))*POWER(KKslave,SIGN(AP298))+AL298*POWER(MUslave,SIGN(AI298))*POWER(KLslave,SIGN(AJ298))*POWER(INslave,SIGN(AK298))*POWER(FFslave,SIGN(AM298))*POWER(GEslave,SIGN(AN298))*POWER(KOslave,SIGN(AO298))*POWER(KKslave,SIGN(AP298))+AM298*POWER(MUslave,SIGN(AI298))*POWER(KLslave,SIGN(AJ298))*POWER(INslave,SIGN(AK298))*POWER(CHslave,SIGN(AL298))*POWER(GEslave,SIGN(AN298))*POWER(KOslave,SIGN(AO298))*POWER(KKslave,SIGN(AP298))+AN298*POWER(MUslave,SIGN(AI298))*POWER(KLslave,SIGN(AJ298))*POWER(INslave,SIGN(AK298))*POWER(CHslave,SIGN(AL298))*POWER(FFslave,SIGN(AM298))*POWER(KOslave,SIGN(AO298))*POWER(KKslave,SIGN(AP298))+AO298*POWER(MUslave,SIGN(AI298))*POWER(KLslave,SIGN(AJ298))*POWER(INslave,SIGN(AK298))*POWER(CHslave,SIGN(AL298))*POWER(FFslave,SIGN(AM298))*POWER(GEslave,SIGN(AN298))*POWER(KKslave,SIGN(AP298))+AP298*POWER(MUslave,SIGN(AI298))*POWER(KLslave,SIGN(AJ298))*POWER(INslave,SIGN(AK298))*POWER(CHslave,SIGN(AL298))*POWER(FFslave,SIGN(AM298))*POWER(GEslave,SIGN(AN298))*POWER(KOslave,SIGN(AO298))</f>
        <v>2304</v>
      </c>
      <c r="AU298" s="233">
        <f>AL298*AN298*KOslave+AL298*GEslave*AO298+CHslave*AN298*AO298</f>
        <v>3456</v>
      </c>
      <c r="AV298" s="221">
        <f t="shared" ref="AV298:AV310" si="2028">IFERROR(AI298^SIGN(AI298),1)*IFERROR(AJ298^SIGN(AJ298),1)*IFERROR(AK298^SIGN(AK298),1)*IFERROR(AL298^SIGN(AL298),1)*IFERROR(AM298^SIGN(AM298),1)*IFERROR(AN298^SIGN(AN298),1)*IFERROR(AO298^SIGN(AO298),1)*IFERROR(AP298^SIGN(AP298),1)</f>
        <v>1728</v>
      </c>
      <c r="AW298" s="221">
        <f t="shared" ref="AW298:AW299" si="2029">SUM(AT298:AV298)</f>
        <v>7488</v>
      </c>
      <c r="AX298" s="219">
        <f t="shared" ref="AX298:AX311" si="2030">AQ298*AT298/AW298</f>
        <v>3.6923076923076925</v>
      </c>
      <c r="AY298" s="220">
        <f t="shared" ref="AY298:AY311" si="2031">AR298*AU298/AW298</f>
        <v>11.076923076923077</v>
      </c>
      <c r="AZ298" s="241">
        <f t="shared" ref="AZ298:AZ311" si="2032">AS298*AV298/AW298</f>
        <v>8.3076923076923084</v>
      </c>
      <c r="BA298" s="241">
        <f t="shared" ref="BA298:BA307" si="2033">SUM(AX298:AZ298)</f>
        <v>23.07692307692308</v>
      </c>
      <c r="BB298" s="252">
        <f t="shared" ref="BB298:BB348" si="2034">Y298</f>
        <v>0</v>
      </c>
      <c r="BC298" s="324">
        <f t="shared" ref="BC298:BC311" si="2035">BA298-BB298</f>
        <v>23.07692307692308</v>
      </c>
      <c r="BD298" s="43">
        <f t="shared" ref="BD298:BE299" si="2036">IF(BA298&lt;=0,3,0)+IF(BA298&gt;0,BA298+1,0)*3+IF(BA298&gt;12,BA298-12,0)*3+IF(BA298&gt;13,BA298-13,0)*3+IF(BA298&gt;14,BA298-14,0)*3+IF(BA298&gt;15,BA298-15,0)*3+IF(BA298&gt;16,BA298-16,0)*3+IF(BA298&gt;17,BA298-17,0)*3+IF(BA298&gt;18,BA298-18,0)*3+IF(BA298&gt;19,BA298-19,0)*3+IF(BA298&gt;20,BA298-20,0)*3</f>
        <v>263.30769230769232</v>
      </c>
      <c r="BE298" s="334">
        <f t="shared" si="2036"/>
        <v>3</v>
      </c>
      <c r="BF298" s="241">
        <f t="shared" ref="BF298:BF311" si="2037">IF((BD298-BE298)&gt;0,BD298-BE298,0)</f>
        <v>260.30769230769232</v>
      </c>
      <c r="BG298" s="42">
        <f t="shared" ref="BG298:BG311" si="2038">IF((BE298-BD298)&gt;0,BE298-BD298,0)</f>
        <v>0</v>
      </c>
      <c r="BH298" s="248"/>
      <c r="BI298" s="302" t="s">
        <v>447</v>
      </c>
      <c r="BJ298" s="42" t="s">
        <v>471</v>
      </c>
      <c r="BK298" s="43" t="s">
        <v>135</v>
      </c>
      <c r="BL298" s="207"/>
      <c r="BM298" s="208"/>
      <c r="BN298" s="208"/>
      <c r="BO298" s="118">
        <f>Konvention_1slave-CHslave</f>
        <v>12</v>
      </c>
      <c r="BP298" s="208"/>
      <c r="BQ298" s="118">
        <f>Konvention_1slave-GEslave</f>
        <v>12</v>
      </c>
      <c r="BR298" s="170">
        <f>Konvention_1slave-KOslave</f>
        <v>12</v>
      </c>
      <c r="BS298" s="209"/>
      <c r="BT298" s="220">
        <f t="shared" ref="BT298:BT308" si="2039">(BL298+BM298+BN298+BO298+BP298+BQ298+BR298+BS298)/3</f>
        <v>12</v>
      </c>
      <c r="BU298" s="220">
        <f t="shared" ref="BU298:BU311" si="2040">2*BT298</f>
        <v>24</v>
      </c>
      <c r="BV298" s="221">
        <f t="shared" ref="BV298:BV311" si="2041">3*BT298</f>
        <v>36</v>
      </c>
      <c r="BW298" s="236">
        <f>BL298*POWER(KLslave,SIGN(BM298))*POWER(INslave,SIGN(BN298))*POWER(CHslave,SIGN(BO298))*POWER(FFslave,SIGN(BP298))*POWER(GEslave,SIGN(BQ298))*POWER(KOslave,SIGN(BR298))*POWER(KKslave,SIGN(BS298))+BM298*POWER(MUslave,SIGN(BL298))*POWER(INslave,SIGN(BN298))*POWER(CHslave,SIGN(BO298))*POWER(FFslave,SIGN(BP298))*POWER(GEslave,SIGN(BQ298))*POWER(KOslave,SIGN(BR298))*POWER(KKslave,SIGN(BS298))+BN298*POWER(MUslave,SIGN(BL298))*POWER(KLslave,SIGN(BM298))*POWER(CHslave,SIGN(BO298))*POWER(FFslave,SIGN(BP298))*POWER(GEslave,SIGN(BQ298))*POWER(KOslave,SIGN(BR298))*POWER(KKslave,SIGN(BS298))+BO298*POWER(MUslave,SIGN(BL298))*POWER(KLslave,SIGN(BM298))*POWER(INslave,SIGN(BN298))*POWER(FFslave,SIGN(BP298))*POWER(GEslave,SIGN(BQ298))*POWER(KOslave,SIGN(BR298))*POWER(KKslave,SIGN(BS298))+BP298*POWER(MUslave,SIGN(BL298))*POWER(KLslave,SIGN(BM298))*POWER(INslave,SIGN(BN298))*POWER(CHslave,SIGN(BO298))*POWER(GEslave,SIGN(BQ298))*POWER(KOslave,SIGN(BR298))*POWER(KKslave,SIGN(BS298))+BQ298*POWER(MUslave,SIGN(BL298))*POWER(KLslave,SIGN(BM298))*POWER(INslave,SIGN(BN298))*POWER(CHslave,SIGN(BO298))*POWER(FFslave,SIGN(BP298))*POWER(KOslave,SIGN(BR298))*POWER(KKslave,SIGN(BS298))+BR298*POWER(MUslave,SIGN(BL298))*POWER(KLslave,SIGN(BM298))*POWER(INslave,SIGN(BN298))*POWER(CHslave,SIGN(BO298))*POWER(FFslave,SIGN(BP298))*POWER(GEslave,SIGN(BQ298))*POWER(KKslave,SIGN(BS298))+BS298*POWER(MUslave,SIGN(BL298))*POWER(KLslave,SIGN(BM298))*POWER(INslave,SIGN(BN298))*POWER(CHslave,SIGN(BO298))*POWER(FFslave,SIGN(BP298))*POWER(GEslave,SIGN(BQ298))*POWER(KOslave,SIGN(BR298))</f>
        <v>2304</v>
      </c>
      <c r="BX298" s="233">
        <f>BO298*BQ298*KOslave+BO298*GEslave*BR298+CHslave*BQ298*BR298</f>
        <v>3456</v>
      </c>
      <c r="BY298" s="221">
        <f t="shared" ref="BY298:BY310" si="2042">IFERROR(BL298^SIGN(BL298),1)*IFERROR(BM298^SIGN(BM298),1)*IFERROR(BN298^SIGN(BN298),1)*IFERROR(BO298^SIGN(BO298),1)*IFERROR(BP298^SIGN(BP298),1)*IFERROR(BQ298^SIGN(BQ298),1)*IFERROR(BR298^SIGN(BR298),1)*IFERROR(BS298^SIGN(BS298),1)</f>
        <v>1728</v>
      </c>
      <c r="BZ298" s="221">
        <f t="shared" ref="BZ298:BZ299" si="2043">SUM(BW298:BY298)</f>
        <v>7488</v>
      </c>
      <c r="CA298" s="219">
        <f t="shared" ref="CA298:CA311" si="2044">BT298*BW298/BZ298</f>
        <v>3.6923076923076925</v>
      </c>
      <c r="CB298" s="220">
        <f t="shared" ref="CB298:CB311" si="2045">BU298*BX298/BZ298</f>
        <v>11.076923076923077</v>
      </c>
      <c r="CC298" s="241">
        <f t="shared" ref="CC298:CC311" si="2046">BV298*BY298/BZ298</f>
        <v>8.3076923076923084</v>
      </c>
      <c r="CD298" s="241">
        <f t="shared" ref="CD298:CD307" si="2047">SUM(CA298:CC298)</f>
        <v>23.07692307692308</v>
      </c>
      <c r="CE298" s="252">
        <f t="shared" si="1833"/>
        <v>0</v>
      </c>
      <c r="CF298" s="324">
        <f t="shared" ref="CF298:CF311" si="2048">CD298-CE298</f>
        <v>23.07692307692308</v>
      </c>
      <c r="CG298" s="43">
        <f t="shared" ref="CG298:CH299" si="2049">IF(CD298&lt;=0,3,0)+IF(CD298&gt;0,CD298+1,0)*3+IF(CD298&gt;12,CD298-12,0)*3+IF(CD298&gt;13,CD298-13,0)*3+IF(CD298&gt;14,CD298-14,0)*3+IF(CD298&gt;15,CD298-15,0)*3+IF(CD298&gt;16,CD298-16,0)*3+IF(CD298&gt;17,CD298-17,0)*3+IF(CD298&gt;18,CD298-18,0)*3+IF(CD298&gt;19,CD298-19,0)*3+IF(CD298&gt;20,CD298-20,0)*3</f>
        <v>263.30769230769232</v>
      </c>
      <c r="CH298" s="334">
        <f t="shared" si="2049"/>
        <v>3</v>
      </c>
      <c r="CI298" s="241">
        <f t="shared" ref="CI298:CI311" si="2050">IF((CG298-CH298)&gt;0,CG298-CH298,0)</f>
        <v>260.30769230769232</v>
      </c>
      <c r="CJ298" s="42">
        <f t="shared" ref="CJ298:CJ311" si="2051">IF((CH298-CG298)&gt;0,CH298-CG298,0)</f>
        <v>0</v>
      </c>
      <c r="CK298" s="248"/>
      <c r="CL298" s="302" t="s">
        <v>447</v>
      </c>
      <c r="CM298" s="42" t="s">
        <v>471</v>
      </c>
      <c r="CN298" s="43" t="s">
        <v>135</v>
      </c>
      <c r="CO298" s="207"/>
      <c r="CP298" s="208"/>
      <c r="CQ298" s="208"/>
      <c r="CR298" s="118">
        <f>Konvention_1slave-CHslave</f>
        <v>12</v>
      </c>
      <c r="CS298" s="208"/>
      <c r="CT298" s="118">
        <f>Konvention_1slave-GEslave</f>
        <v>12</v>
      </c>
      <c r="CU298" s="170">
        <f>Konvention_1slave-KOslave</f>
        <v>12</v>
      </c>
      <c r="CV298" s="209"/>
      <c r="CW298" s="220">
        <f t="shared" ref="CW298:CW308" si="2052">(CO298+CP298+CQ298+CR298+CS298+CT298+CU298+CV298)/3</f>
        <v>12</v>
      </c>
      <c r="CX298" s="220">
        <f t="shared" ref="CX298:CX311" si="2053">2*CW298</f>
        <v>24</v>
      </c>
      <c r="CY298" s="221">
        <f t="shared" ref="CY298:CY311" si="2054">3*CW298</f>
        <v>36</v>
      </c>
      <c r="CZ298" s="236">
        <f>CO298*POWER(KLslave,SIGN(CP298))*POWER(INslave,SIGN(CQ298))*POWER(CHslave,SIGN(CR298))*POWER(FFslave,SIGN(CS298))*POWER(GEslave,SIGN(CT298))*POWER(KOslave,SIGN(CU298))*POWER(KKslave,SIGN(CV298))+CP298*POWER(MUslave,SIGN(CO298))*POWER(INslave,SIGN(CQ298))*POWER(CHslave,SIGN(CR298))*POWER(FFslave,SIGN(CS298))*POWER(GEslave,SIGN(CT298))*POWER(KOslave,SIGN(CU298))*POWER(KKslave,SIGN(CV298))+CQ298*POWER(MUslave,SIGN(CO298))*POWER(KLslave,SIGN(CP298))*POWER(CHslave,SIGN(CR298))*POWER(FFslave,SIGN(CS298))*POWER(GEslave,SIGN(CT298))*POWER(KOslave,SIGN(CU298))*POWER(KKslave,SIGN(CV298))+CR298*POWER(MUslave,SIGN(CO298))*POWER(KLslave,SIGN(CP298))*POWER(INslave,SIGN(CQ298))*POWER(FFslave,SIGN(CS298))*POWER(GEslave,SIGN(CT298))*POWER(KOslave,SIGN(CU298))*POWER(KKslave,SIGN(CV298))+CS298*POWER(MUslave,SIGN(CO298))*POWER(KLslave,SIGN(CP298))*POWER(INslave,SIGN(CQ298))*POWER(CHslave,SIGN(CR298))*POWER(GEslave,SIGN(CT298))*POWER(KOslave,SIGN(CU298))*POWER(KKslave,SIGN(CV298))+CT298*POWER(MUslave,SIGN(CO298))*POWER(KLslave,SIGN(CP298))*POWER(INslave,SIGN(CQ298))*POWER(CHslave,SIGN(CR298))*POWER(FFslave,SIGN(CS298))*POWER(KOslave,SIGN(CU298))*POWER(KKslave,SIGN(CV298))+CU298*POWER(MUslave,SIGN(CO298))*POWER(KLslave,SIGN(CP298))*POWER(INslave,SIGN(CQ298))*POWER(CHslave,SIGN(CR298))*POWER(FFslave,SIGN(CS298))*POWER(GEslave,SIGN(CT298))*POWER(KKslave,SIGN(CV298))+CV298*POWER(MUslave,SIGN(CO298))*POWER(KLslave,SIGN(CP298))*POWER(INslave,SIGN(CQ298))*POWER(CHslave,SIGN(CR298))*POWER(FFslave,SIGN(CS298))*POWER(GEslave,SIGN(CT298))*POWER(KOslave,SIGN(CU298))</f>
        <v>2304</v>
      </c>
      <c r="DA298" s="233">
        <f>CR298*CT298*KOslave+CR298*GEslave*CU298+CHslave*CT298*CU298</f>
        <v>3456</v>
      </c>
      <c r="DB298" s="221">
        <f t="shared" ref="DB298:DB310" si="2055">IFERROR(CO298^SIGN(CO298),1)*IFERROR(CP298^SIGN(CP298),1)*IFERROR(CQ298^SIGN(CQ298),1)*IFERROR(CR298^SIGN(CR298),1)*IFERROR(CS298^SIGN(CS298),1)*IFERROR(CT298^SIGN(CT298),1)*IFERROR(CU298^SIGN(CU298),1)*IFERROR(CV298^SIGN(CV298),1)</f>
        <v>1728</v>
      </c>
      <c r="DC298" s="221">
        <f t="shared" ref="DC298:DC299" si="2056">SUM(CZ298:DB298)</f>
        <v>7488</v>
      </c>
      <c r="DD298" s="219">
        <f t="shared" ref="DD298:DD311" si="2057">CW298*CZ298/DC298</f>
        <v>3.6923076923076925</v>
      </c>
      <c r="DE298" s="220">
        <f t="shared" ref="DE298:DE311" si="2058">CX298*DA298/DC298</f>
        <v>11.076923076923077</v>
      </c>
      <c r="DF298" s="241">
        <f t="shared" ref="DF298:DF311" si="2059">CY298*DB298/DC298</f>
        <v>8.3076923076923084</v>
      </c>
      <c r="DG298" s="241">
        <f t="shared" ref="DG298:DG307" si="2060">SUM(DD298:DF298)</f>
        <v>23.07692307692308</v>
      </c>
      <c r="DH298" s="252">
        <f t="shared" si="1848"/>
        <v>0</v>
      </c>
      <c r="DI298" s="324">
        <f t="shared" ref="DI298:DI311" si="2061">DG298-DH298</f>
        <v>23.07692307692308</v>
      </c>
      <c r="DJ298" s="43">
        <f t="shared" ref="DJ298:DK299" si="2062">IF(DG298&lt;=0,3,0)+IF(DG298&gt;0,DG298+1,0)*3+IF(DG298&gt;12,DG298-12,0)*3+IF(DG298&gt;13,DG298-13,0)*3+IF(DG298&gt;14,DG298-14,0)*3+IF(DG298&gt;15,DG298-15,0)*3+IF(DG298&gt;16,DG298-16,0)*3+IF(DG298&gt;17,DG298-17,0)*3+IF(DG298&gt;18,DG298-18,0)*3+IF(DG298&gt;19,DG298-19,0)*3+IF(DG298&gt;20,DG298-20,0)*3</f>
        <v>263.30769230769232</v>
      </c>
      <c r="DK298" s="334">
        <f t="shared" si="2062"/>
        <v>3</v>
      </c>
      <c r="DL298" s="241">
        <f t="shared" ref="DL298:DL311" si="2063">IF((DJ298-DK298)&gt;0,DJ298-DK298,0)</f>
        <v>260.30769230769232</v>
      </c>
      <c r="DM298" s="42">
        <f t="shared" ref="DM298:DM311" si="2064">IF((DK298-DJ298)&gt;0,DK298-DJ298,0)</f>
        <v>0</v>
      </c>
      <c r="DN298" s="248"/>
      <c r="DO298" s="302" t="s">
        <v>447</v>
      </c>
      <c r="DP298" s="42" t="s">
        <v>471</v>
      </c>
      <c r="DQ298" s="43" t="s">
        <v>135</v>
      </c>
      <c r="DR298" s="207"/>
      <c r="DS298" s="208"/>
      <c r="DT298" s="208"/>
      <c r="DU298" s="118">
        <f>Konvention_1slave-CHslave</f>
        <v>12</v>
      </c>
      <c r="DV298" s="208"/>
      <c r="DW298" s="118">
        <f>Konvention_1slave-GEslave</f>
        <v>12</v>
      </c>
      <c r="DX298" s="170">
        <f>Konvention_1slave-KOslave</f>
        <v>12</v>
      </c>
      <c r="DY298" s="209"/>
      <c r="DZ298" s="220">
        <f t="shared" ref="DZ298:DZ308" si="2065">(DR298+DS298+DT298+DU298+DV298+DW298+DX298+DY298)/3</f>
        <v>12</v>
      </c>
      <c r="EA298" s="220">
        <f t="shared" ref="EA298:EA311" si="2066">2*DZ298</f>
        <v>24</v>
      </c>
      <c r="EB298" s="221">
        <f t="shared" ref="EB298:EB311" si="2067">3*DZ298</f>
        <v>36</v>
      </c>
      <c r="EC298" s="236">
        <f>DR298*POWER(KLslave,SIGN(DS298))*POWER(INslave,SIGN(DT298))*POWER(CHslave,SIGN(DU298))*POWER(FFslave,SIGN(DV298))*POWER(GEslave,SIGN(DW298))*POWER(KOslave,SIGN(DX298))*POWER(KKslave,SIGN(DY298))+DS298*POWER(MUslave,SIGN(DR298))*POWER(INslave,SIGN(DT298))*POWER(CHslave,SIGN(DU298))*POWER(FFslave,SIGN(DV298))*POWER(GEslave,SIGN(DW298))*POWER(KOslave,SIGN(DX298))*POWER(KKslave,SIGN(DY298))+DT298*POWER(MUslave,SIGN(DR298))*POWER(KLslave,SIGN(DS298))*POWER(CHslave,SIGN(DU298))*POWER(FFslave,SIGN(DV298))*POWER(GEslave,SIGN(DW298))*POWER(KOslave,SIGN(DX298))*POWER(KKslave,SIGN(DY298))+DU298*POWER(MUslave,SIGN(DR298))*POWER(KLslave,SIGN(DS298))*POWER(INslave,SIGN(DT298))*POWER(FFslave,SIGN(DV298))*POWER(GEslave,SIGN(DW298))*POWER(KOslave,SIGN(DX298))*POWER(KKslave,SIGN(DY298))+DV298*POWER(MUslave,SIGN(DR298))*POWER(KLslave,SIGN(DS298))*POWER(INslave,SIGN(DT298))*POWER(CHslave,SIGN(DU298))*POWER(GEslave,SIGN(DW298))*POWER(KOslave,SIGN(DX298))*POWER(KKslave,SIGN(DY298))+DW298*POWER(MUslave,SIGN(DR298))*POWER(KLslave,SIGN(DS298))*POWER(INslave,SIGN(DT298))*POWER(CHslave,SIGN(DU298))*POWER(FFslave,SIGN(DV298))*POWER(KOslave,SIGN(DX298))*POWER(KKslave,SIGN(DY298))+DX298*POWER(MUslave,SIGN(DR298))*POWER(KLslave,SIGN(DS298))*POWER(INslave,SIGN(DT298))*POWER(CHslave,SIGN(DU298))*POWER(FFslave,SIGN(DV298))*POWER(GEslave,SIGN(DW298))*POWER(KKslave,SIGN(DY298))+DY298*POWER(MUslave,SIGN(DR298))*POWER(KLslave,SIGN(DS298))*POWER(INslave,SIGN(DT298))*POWER(CHslave,SIGN(DU298))*POWER(FFslave,SIGN(DV298))*POWER(GEslave,SIGN(DW298))*POWER(KOslave,SIGN(DX298))</f>
        <v>2304</v>
      </c>
      <c r="ED298" s="233">
        <f>DU298*DW298*KOslave+DU298*GEslave*DX298+CHslave*DW298*DX298</f>
        <v>3456</v>
      </c>
      <c r="EE298" s="221">
        <f t="shared" ref="EE298:EE310" si="2068">IFERROR(DR298^SIGN(DR298),1)*IFERROR(DS298^SIGN(DS298),1)*IFERROR(DT298^SIGN(DT298),1)*IFERROR(DU298^SIGN(DU298),1)*IFERROR(DV298^SIGN(DV298),1)*IFERROR(DW298^SIGN(DW298),1)*IFERROR(DX298^SIGN(DX298),1)*IFERROR(DY298^SIGN(DY298),1)</f>
        <v>1728</v>
      </c>
      <c r="EF298" s="221">
        <f t="shared" ref="EF298:EF299" si="2069">SUM(EC298:EE298)</f>
        <v>7488</v>
      </c>
      <c r="EG298" s="219">
        <f t="shared" ref="EG298:EG311" si="2070">DZ298*EC298/EF298</f>
        <v>3.6923076923076925</v>
      </c>
      <c r="EH298" s="220">
        <f t="shared" ref="EH298:EH311" si="2071">EA298*ED298/EF298</f>
        <v>11.076923076923077</v>
      </c>
      <c r="EI298" s="241">
        <f t="shared" ref="EI298:EI311" si="2072">EB298*EE298/EF298</f>
        <v>8.3076923076923084</v>
      </c>
      <c r="EJ298" s="241">
        <f t="shared" ref="EJ298:EJ307" si="2073">SUM(EG298:EI298)</f>
        <v>23.07692307692308</v>
      </c>
      <c r="EK298" s="252">
        <f t="shared" si="1863"/>
        <v>0</v>
      </c>
      <c r="EL298" s="324">
        <f t="shared" ref="EL298:EL311" si="2074">EJ298-EK298</f>
        <v>23.07692307692308</v>
      </c>
      <c r="EM298" s="43">
        <f t="shared" ref="EM298:EN299" si="2075">IF(EJ298&lt;=0,3,0)+IF(EJ298&gt;0,EJ298+1,0)*3+IF(EJ298&gt;12,EJ298-12,0)*3+IF(EJ298&gt;13,EJ298-13,0)*3+IF(EJ298&gt;14,EJ298-14,0)*3+IF(EJ298&gt;15,EJ298-15,0)*3+IF(EJ298&gt;16,EJ298-16,0)*3+IF(EJ298&gt;17,EJ298-17,0)*3+IF(EJ298&gt;18,EJ298-18,0)*3+IF(EJ298&gt;19,EJ298-19,0)*3+IF(EJ298&gt;20,EJ298-20,0)*3</f>
        <v>263.30769230769232</v>
      </c>
      <c r="EN298" s="334">
        <f t="shared" si="2075"/>
        <v>3</v>
      </c>
      <c r="EO298" s="241">
        <f t="shared" ref="EO298:EO311" si="2076">IF((EM298-EN298)&gt;0,EM298-EN298,0)</f>
        <v>260.30769230769232</v>
      </c>
      <c r="EP298" s="42">
        <f t="shared" ref="EP298:EP311" si="2077">IF((EN298-EM298)&gt;0,EN298-EM298,0)</f>
        <v>0</v>
      </c>
      <c r="EQ298" s="248"/>
      <c r="ER298" s="302" t="s">
        <v>447</v>
      </c>
      <c r="ES298" s="42" t="s">
        <v>471</v>
      </c>
      <c r="ET298" s="43" t="s">
        <v>135</v>
      </c>
      <c r="EU298" s="207"/>
      <c r="EV298" s="208"/>
      <c r="EW298" s="208"/>
      <c r="EX298" s="118">
        <f>Konvention_1slave-CHslave</f>
        <v>12</v>
      </c>
      <c r="EY298" s="208"/>
      <c r="EZ298" s="118">
        <f>Konvention_1slave-GEslave</f>
        <v>12</v>
      </c>
      <c r="FA298" s="170">
        <f>Konvention_1slave-KOslave</f>
        <v>12</v>
      </c>
      <c r="FB298" s="209"/>
      <c r="FC298" s="220">
        <f t="shared" ref="FC298:FC308" si="2078">(EU298+EV298+EW298+EX298+EY298+EZ298+FA298+FB298)/3</f>
        <v>12</v>
      </c>
      <c r="FD298" s="220">
        <f t="shared" ref="FD298:FD311" si="2079">2*FC298</f>
        <v>24</v>
      </c>
      <c r="FE298" s="221">
        <f t="shared" ref="FE298:FE311" si="2080">3*FC298</f>
        <v>36</v>
      </c>
      <c r="FF298" s="236">
        <f>EU298*POWER(KLslave,SIGN(EV298))*POWER(INslave,SIGN(EW298))*POWER(CHslave,SIGN(EX298))*POWER(FFslave,SIGN(EY298))*POWER(GEslave,SIGN(EZ298))*POWER(KOslave,SIGN(FA298))*POWER(KKslave,SIGN(FB298))+EV298*POWER(MUslave,SIGN(EU298))*POWER(INslave,SIGN(EW298))*POWER(CHslave,SIGN(EX298))*POWER(FFslave,SIGN(EY298))*POWER(GEslave,SIGN(EZ298))*POWER(KOslave,SIGN(FA298))*POWER(KKslave,SIGN(FB298))+EW298*POWER(MUslave,SIGN(EU298))*POWER(KLslave,SIGN(EV298))*POWER(CHslave,SIGN(EX298))*POWER(FFslave,SIGN(EY298))*POWER(GEslave,SIGN(EZ298))*POWER(KOslave,SIGN(FA298))*POWER(KKslave,SIGN(FB298))+EX298*POWER(MUslave,SIGN(EU298))*POWER(KLslave,SIGN(EV298))*POWER(INslave,SIGN(EW298))*POWER(FFslave,SIGN(EY298))*POWER(GEslave,SIGN(EZ298))*POWER(KOslave,SIGN(FA298))*POWER(KKslave,SIGN(FB298))+EY298*POWER(MUslave,SIGN(EU298))*POWER(KLslave,SIGN(EV298))*POWER(INslave,SIGN(EW298))*POWER(CHslave,SIGN(EX298))*POWER(GEslave,SIGN(EZ298))*POWER(KOslave,SIGN(FA298))*POWER(KKslave,SIGN(FB298))+EZ298*POWER(MUslave,SIGN(EU298))*POWER(KLslave,SIGN(EV298))*POWER(INslave,SIGN(EW298))*POWER(CHslave,SIGN(EX298))*POWER(FFslave,SIGN(EY298))*POWER(KOslave,SIGN(FA298))*POWER(KKslave,SIGN(FB298))+FA298*POWER(MUslave,SIGN(EU298))*POWER(KLslave,SIGN(EV298))*POWER(INslave,SIGN(EW298))*POWER(CHslave,SIGN(EX298))*POWER(FFslave,SIGN(EY298))*POWER(GEslave,SIGN(EZ298))*POWER(KKslave,SIGN(FB298))+FB298*POWER(MUslave,SIGN(EU298))*POWER(KLslave,SIGN(EV298))*POWER(INslave,SIGN(EW298))*POWER(CHslave,SIGN(EX298))*POWER(FFslave,SIGN(EY298))*POWER(GEslave,SIGN(EZ298))*POWER(KOslave,SIGN(FA298))</f>
        <v>2304</v>
      </c>
      <c r="FG298" s="233">
        <f>EX298*EZ298*KOslave+EX298*GEslave*FA298+CHslave*EZ298*FA298</f>
        <v>3456</v>
      </c>
      <c r="FH298" s="221">
        <f t="shared" ref="FH298:FH310" si="2081">IFERROR(EU298^SIGN(EU298),1)*IFERROR(EV298^SIGN(EV298),1)*IFERROR(EW298^SIGN(EW298),1)*IFERROR(EX298^SIGN(EX298),1)*IFERROR(EY298^SIGN(EY298),1)*IFERROR(EZ298^SIGN(EZ298),1)*IFERROR(FA298^SIGN(FA298),1)*IFERROR(FB298^SIGN(FB298),1)</f>
        <v>1728</v>
      </c>
      <c r="FI298" s="221">
        <f t="shared" ref="FI298:FI299" si="2082">SUM(FF298:FH298)</f>
        <v>7488</v>
      </c>
      <c r="FJ298" s="219">
        <f t="shared" ref="FJ298:FJ311" si="2083">FC298*FF298/FI298</f>
        <v>3.6923076923076925</v>
      </c>
      <c r="FK298" s="220">
        <f t="shared" ref="FK298:FK311" si="2084">FD298*FG298/FI298</f>
        <v>11.076923076923077</v>
      </c>
      <c r="FL298" s="241">
        <f t="shared" ref="FL298:FL311" si="2085">FE298*FH298/FI298</f>
        <v>8.3076923076923084</v>
      </c>
      <c r="FM298" s="241">
        <f t="shared" ref="FM298:FM307" si="2086">SUM(FJ298:FL298)</f>
        <v>23.07692307692308</v>
      </c>
      <c r="FN298" s="252">
        <f t="shared" si="1878"/>
        <v>0</v>
      </c>
      <c r="FO298" s="324">
        <f t="shared" ref="FO298:FO311" si="2087">FM298-FN298</f>
        <v>23.07692307692308</v>
      </c>
      <c r="FP298" s="43">
        <f t="shared" ref="FP298:FQ299" si="2088">IF(FM298&lt;=0,3,0)+IF(FM298&gt;0,FM298+1,0)*3+IF(FM298&gt;12,FM298-12,0)*3+IF(FM298&gt;13,FM298-13,0)*3+IF(FM298&gt;14,FM298-14,0)*3+IF(FM298&gt;15,FM298-15,0)*3+IF(FM298&gt;16,FM298-16,0)*3+IF(FM298&gt;17,FM298-17,0)*3+IF(FM298&gt;18,FM298-18,0)*3+IF(FM298&gt;19,FM298-19,0)*3+IF(FM298&gt;20,FM298-20,0)*3</f>
        <v>263.30769230769232</v>
      </c>
      <c r="FQ298" s="334">
        <f t="shared" si="2088"/>
        <v>3</v>
      </c>
      <c r="FR298" s="241">
        <f t="shared" ref="FR298:FR311" si="2089">IF((FP298-FQ298)&gt;0,FP298-FQ298,0)</f>
        <v>260.30769230769232</v>
      </c>
      <c r="FS298" s="42">
        <f t="shared" ref="FS298:FS311" si="2090">IF((FQ298-FP298)&gt;0,FQ298-FP298,0)</f>
        <v>0</v>
      </c>
      <c r="FT298" s="248"/>
      <c r="FU298" s="302" t="s">
        <v>447</v>
      </c>
      <c r="FV298" s="42" t="s">
        <v>471</v>
      </c>
      <c r="FW298" s="43" t="s">
        <v>135</v>
      </c>
      <c r="FX298" s="207"/>
      <c r="FY298" s="208"/>
      <c r="FZ298" s="208"/>
      <c r="GA298" s="118">
        <f>Konvention_1slave-CHslave</f>
        <v>12</v>
      </c>
      <c r="GB298" s="208"/>
      <c r="GC298" s="118">
        <f>Konvention_1slave-GEslave</f>
        <v>12</v>
      </c>
      <c r="GD298" s="170">
        <f>Konvention_1slave-KOslave</f>
        <v>12</v>
      </c>
      <c r="GE298" s="209"/>
      <c r="GF298" s="220">
        <f t="shared" ref="GF298:GF308" si="2091">(FX298+FY298+FZ298+GA298+GB298+GC298+GD298+GE298)/3</f>
        <v>12</v>
      </c>
      <c r="GG298" s="220">
        <f t="shared" ref="GG298:GG311" si="2092">2*GF298</f>
        <v>24</v>
      </c>
      <c r="GH298" s="221">
        <f t="shared" ref="GH298:GH311" si="2093">3*GF298</f>
        <v>36</v>
      </c>
      <c r="GI298" s="236">
        <f>FX298*POWER(KLslave,SIGN(FY298))*POWER(INslave,SIGN(FZ298))*POWER(CHslave,SIGN(GA298))*POWER(FFslave,SIGN(GB298))*POWER(GEslave,SIGN(GC298))*POWER(KOslave,SIGN(GD298))*POWER(KKslave,SIGN(GE298))+FY298*POWER(MUslave,SIGN(FX298))*POWER(INslave,SIGN(FZ298))*POWER(CHslave,SIGN(GA298))*POWER(FFslave,SIGN(GB298))*POWER(GEslave,SIGN(GC298))*POWER(KOslave,SIGN(GD298))*POWER(KKslave,SIGN(GE298))+FZ298*POWER(MUslave,SIGN(FX298))*POWER(KLslave,SIGN(FY298))*POWER(CHslave,SIGN(GA298))*POWER(FFslave,SIGN(GB298))*POWER(GEslave,SIGN(GC298))*POWER(KOslave,SIGN(GD298))*POWER(KKslave,SIGN(GE298))+GA298*POWER(MUslave,SIGN(FX298))*POWER(KLslave,SIGN(FY298))*POWER(INslave,SIGN(FZ298))*POWER(FFslave,SIGN(GB298))*POWER(GEslave,SIGN(GC298))*POWER(KOslave,SIGN(GD298))*POWER(KKslave,SIGN(GE298))+GB298*POWER(MUslave,SIGN(FX298))*POWER(KLslave,SIGN(FY298))*POWER(INslave,SIGN(FZ298))*POWER(CHslave,SIGN(GA298))*POWER(GEslave,SIGN(GC298))*POWER(KOslave,SIGN(GD298))*POWER(KKslave,SIGN(GE298))+GC298*POWER(MUslave,SIGN(FX298))*POWER(KLslave,SIGN(FY298))*POWER(INslave,SIGN(FZ298))*POWER(CHslave,SIGN(GA298))*POWER(FFslave,SIGN(GB298))*POWER(KOslave,SIGN(GD298))*POWER(KKslave,SIGN(GE298))+GD298*POWER(MUslave,SIGN(FX298))*POWER(KLslave,SIGN(FY298))*POWER(INslave,SIGN(FZ298))*POWER(CHslave,SIGN(GA298))*POWER(FFslave,SIGN(GB298))*POWER(GEslave,SIGN(GC298))*POWER(KKslave,SIGN(GE298))+GE298*POWER(MUslave,SIGN(FX298))*POWER(KLslave,SIGN(FY298))*POWER(INslave,SIGN(FZ298))*POWER(CHslave,SIGN(GA298))*POWER(FFslave,SIGN(GB298))*POWER(GEslave,SIGN(GC298))*POWER(KOslave,SIGN(GD298))</f>
        <v>2304</v>
      </c>
      <c r="GJ298" s="233">
        <f>GA298*GC298*KOslave+GA298*GEslave*GD298+CHslave*GC298*GD298</f>
        <v>3456</v>
      </c>
      <c r="GK298" s="221">
        <f t="shared" ref="GK298:GK310" si="2094">IFERROR(FX298^SIGN(FX298),1)*IFERROR(FY298^SIGN(FY298),1)*IFERROR(FZ298^SIGN(FZ298),1)*IFERROR(GA298^SIGN(GA298),1)*IFERROR(GB298^SIGN(GB298),1)*IFERROR(GC298^SIGN(GC298),1)*IFERROR(GD298^SIGN(GD298),1)*IFERROR(GE298^SIGN(GE298),1)</f>
        <v>1728</v>
      </c>
      <c r="GL298" s="221">
        <f t="shared" ref="GL298:GL299" si="2095">SUM(GI298:GK298)</f>
        <v>7488</v>
      </c>
      <c r="GM298" s="219">
        <f t="shared" ref="GM298:GM311" si="2096">GF298*GI298/GL298</f>
        <v>3.6923076923076925</v>
      </c>
      <c r="GN298" s="220">
        <f t="shared" ref="GN298:GN311" si="2097">GG298*GJ298/GL298</f>
        <v>11.076923076923077</v>
      </c>
      <c r="GO298" s="241">
        <f t="shared" ref="GO298:GO311" si="2098">GH298*GK298/GL298</f>
        <v>8.3076923076923084</v>
      </c>
      <c r="GP298" s="241">
        <f t="shared" ref="GP298:GP307" si="2099">SUM(GM298:GO298)</f>
        <v>23.07692307692308</v>
      </c>
      <c r="GQ298" s="252">
        <f t="shared" si="1893"/>
        <v>0</v>
      </c>
      <c r="GR298" s="324">
        <f t="shared" ref="GR298:GR311" si="2100">GP298-GQ298</f>
        <v>23.07692307692308</v>
      </c>
      <c r="GS298" s="43">
        <f t="shared" ref="GS298:GT299" si="2101">IF(GP298&lt;=0,3,0)+IF(GP298&gt;0,GP298+1,0)*3+IF(GP298&gt;12,GP298-12,0)*3+IF(GP298&gt;13,GP298-13,0)*3+IF(GP298&gt;14,GP298-14,0)*3+IF(GP298&gt;15,GP298-15,0)*3+IF(GP298&gt;16,GP298-16,0)*3+IF(GP298&gt;17,GP298-17,0)*3+IF(GP298&gt;18,GP298-18,0)*3+IF(GP298&gt;19,GP298-19,0)*3+IF(GP298&gt;20,GP298-20,0)*3</f>
        <v>263.30769230769232</v>
      </c>
      <c r="GT298" s="334">
        <f t="shared" si="2101"/>
        <v>3</v>
      </c>
      <c r="GU298" s="241">
        <f t="shared" ref="GU298:GU311" si="2102">IF((GS298-GT298)&gt;0,GS298-GT298,0)</f>
        <v>260.30769230769232</v>
      </c>
      <c r="GV298" s="42">
        <f t="shared" ref="GV298:GV311" si="2103">IF((GT298-GS298)&gt;0,GT298-GS298,0)</f>
        <v>0</v>
      </c>
      <c r="GW298" s="248"/>
      <c r="GX298" s="302" t="s">
        <v>447</v>
      </c>
      <c r="GY298" s="42" t="s">
        <v>471</v>
      </c>
      <c r="GZ298" s="43" t="s">
        <v>135</v>
      </c>
      <c r="HA298" s="207"/>
      <c r="HB298" s="208"/>
      <c r="HC298" s="208"/>
      <c r="HD298" s="118">
        <f>Konvention_1slave-CHslave</f>
        <v>12</v>
      </c>
      <c r="HE298" s="208"/>
      <c r="HF298" s="118">
        <f>Konvention_1slave-GEslave</f>
        <v>12</v>
      </c>
      <c r="HG298" s="170">
        <f>Konvention_1slave-KOslave</f>
        <v>12</v>
      </c>
      <c r="HH298" s="209"/>
      <c r="HI298" s="220">
        <f t="shared" ref="HI298:HI308" si="2104">(HA298+HB298+HC298+HD298+HE298+HF298+HG298+HH298)/3</f>
        <v>12</v>
      </c>
      <c r="HJ298" s="220">
        <f t="shared" ref="HJ298:HJ311" si="2105">2*HI298</f>
        <v>24</v>
      </c>
      <c r="HK298" s="221">
        <f t="shared" ref="HK298:HK311" si="2106">3*HI298</f>
        <v>36</v>
      </c>
      <c r="HL298" s="236">
        <f>HA298*POWER(KLslave,SIGN(HB298))*POWER(INslave,SIGN(HC298))*POWER(CHslave,SIGN(HD298))*POWER(FFslave,SIGN(HE298))*POWER(GEslave,SIGN(HF298))*POWER(KOslave,SIGN(HG298))*POWER(KKslave,SIGN(HH298))+HB298*POWER(MUslave,SIGN(HA298))*POWER(INslave,SIGN(HC298))*POWER(CHslave,SIGN(HD298))*POWER(FFslave,SIGN(HE298))*POWER(GEslave,SIGN(HF298))*POWER(KOslave,SIGN(HG298))*POWER(KKslave,SIGN(HH298))+HC298*POWER(MUslave,SIGN(HA298))*POWER(KLslave,SIGN(HB298))*POWER(CHslave,SIGN(HD298))*POWER(FFslave,SIGN(HE298))*POWER(GEslave,SIGN(HF298))*POWER(KOslave,SIGN(HG298))*POWER(KKslave,SIGN(HH298))+HD298*POWER(MUslave,SIGN(HA298))*POWER(KLslave,SIGN(HB298))*POWER(INslave,SIGN(HC298))*POWER(FFslave,SIGN(HE298))*POWER(GEslave,SIGN(HF298))*POWER(KOslave,SIGN(HG298))*POWER(KKslave,SIGN(HH298))+HE298*POWER(MUslave,SIGN(HA298))*POWER(KLslave,SIGN(HB298))*POWER(INslave,SIGN(HC298))*POWER(CHslave,SIGN(HD298))*POWER(GEslave,SIGN(HF298))*POWER(KOslave,SIGN(HG298))*POWER(KKslave,SIGN(HH298))+HF298*POWER(MUslave,SIGN(HA298))*POWER(KLslave,SIGN(HB298))*POWER(INslave,SIGN(HC298))*POWER(CHslave,SIGN(HD298))*POWER(FFslave,SIGN(HE298))*POWER(KOslave,SIGN(HG298))*POWER(KKslave,SIGN(HH298))+HG298*POWER(MUslave,SIGN(HA298))*POWER(KLslave,SIGN(HB298))*POWER(INslave,SIGN(HC298))*POWER(CHslave,SIGN(HD298))*POWER(FFslave,SIGN(HE298))*POWER(GEslave,SIGN(HF298))*POWER(KKslave,SIGN(HH298))+HH298*POWER(MUslave,SIGN(HA298))*POWER(KLslave,SIGN(HB298))*POWER(INslave,SIGN(HC298))*POWER(CHslave,SIGN(HD298))*POWER(FFslave,SIGN(HE298))*POWER(GEslave,SIGN(HF298))*POWER(KOslave,SIGN(HG298))</f>
        <v>2304</v>
      </c>
      <c r="HM298" s="233">
        <f>HD298*HF298*KOslave+HD298*GEslave*HG298+CHslave*HF298*HG298</f>
        <v>3456</v>
      </c>
      <c r="HN298" s="221">
        <f t="shared" ref="HN298:HN310" si="2107">IFERROR(HA298^SIGN(HA298),1)*IFERROR(HB298^SIGN(HB298),1)*IFERROR(HC298^SIGN(HC298),1)*IFERROR(HD298^SIGN(HD298),1)*IFERROR(HE298^SIGN(HE298),1)*IFERROR(HF298^SIGN(HF298),1)*IFERROR(HG298^SIGN(HG298),1)*IFERROR(HH298^SIGN(HH298),1)</f>
        <v>1728</v>
      </c>
      <c r="HO298" s="221">
        <f t="shared" ref="HO298:HO299" si="2108">SUM(HL298:HN298)</f>
        <v>7488</v>
      </c>
      <c r="HP298" s="219">
        <f t="shared" ref="HP298:HP311" si="2109">HI298*HL298/HO298</f>
        <v>3.6923076923076925</v>
      </c>
      <c r="HQ298" s="220">
        <f t="shared" ref="HQ298:HQ311" si="2110">HJ298*HM298/HO298</f>
        <v>11.076923076923077</v>
      </c>
      <c r="HR298" s="241">
        <f t="shared" ref="HR298:HR311" si="2111">HK298*HN298/HO298</f>
        <v>8.3076923076923084</v>
      </c>
      <c r="HS298" s="241">
        <f t="shared" ref="HS298:HS307" si="2112">SUM(HP298:HR298)</f>
        <v>23.07692307692308</v>
      </c>
      <c r="HT298" s="252">
        <f t="shared" si="1908"/>
        <v>0</v>
      </c>
      <c r="HU298" s="324">
        <f t="shared" ref="HU298:HU311" si="2113">HS298-HT298</f>
        <v>23.07692307692308</v>
      </c>
      <c r="HV298" s="43">
        <f t="shared" ref="HV298:HW299" si="2114">IF(HS298&lt;=0,3,0)+IF(HS298&gt;0,HS298+1,0)*3+IF(HS298&gt;12,HS298-12,0)*3+IF(HS298&gt;13,HS298-13,0)*3+IF(HS298&gt;14,HS298-14,0)*3+IF(HS298&gt;15,HS298-15,0)*3+IF(HS298&gt;16,HS298-16,0)*3+IF(HS298&gt;17,HS298-17,0)*3+IF(HS298&gt;18,HS298-18,0)*3+IF(HS298&gt;19,HS298-19,0)*3+IF(HS298&gt;20,HS298-20,0)*3</f>
        <v>263.30769230769232</v>
      </c>
      <c r="HW298" s="334">
        <f t="shared" si="2114"/>
        <v>3</v>
      </c>
      <c r="HX298" s="241">
        <f t="shared" ref="HX298:HX311" si="2115">IF((HV298-HW298)&gt;0,HV298-HW298,0)</f>
        <v>260.30769230769232</v>
      </c>
      <c r="HY298" s="42">
        <f t="shared" ref="HY298:HY311" si="2116">IF((HW298-HV298)&gt;0,HW298-HV298,0)</f>
        <v>0</v>
      </c>
      <c r="HZ298" s="248"/>
      <c r="IA298" s="302" t="s">
        <v>447</v>
      </c>
      <c r="IB298" s="42" t="s">
        <v>471</v>
      </c>
      <c r="IC298" s="43" t="s">
        <v>135</v>
      </c>
      <c r="ID298" s="207"/>
      <c r="IE298" s="208"/>
      <c r="IF298" s="208"/>
      <c r="IG298" s="118">
        <f>Konvention_1slave-CHslave</f>
        <v>12</v>
      </c>
      <c r="IH298" s="208"/>
      <c r="II298" s="118">
        <f>Konvention_1slave-GEslave</f>
        <v>12</v>
      </c>
      <c r="IJ298" s="170">
        <f>Konvention_1slave-KOslave</f>
        <v>12</v>
      </c>
      <c r="IK298" s="209"/>
      <c r="IL298" s="220">
        <f t="shared" ref="IL298:IL308" si="2117">(ID298+IE298+IF298+IG298+IH298+II298+IJ298+IK298)/3</f>
        <v>12</v>
      </c>
      <c r="IM298" s="220">
        <f t="shared" ref="IM298:IM311" si="2118">2*IL298</f>
        <v>24</v>
      </c>
      <c r="IN298" s="221">
        <f t="shared" ref="IN298:IN311" si="2119">3*IL298</f>
        <v>36</v>
      </c>
      <c r="IO298" s="236">
        <f>ID298*POWER(KLslave,SIGN(IE298))*POWER(INslave,SIGN(IF298))*POWER(CHslave,SIGN(IG298))*POWER(FFslave,SIGN(IH298))*POWER(GEslave,SIGN(II298))*POWER(KOslave,SIGN(IJ298))*POWER(KKslave,SIGN(IK298))+IE298*POWER(MUslave,SIGN(ID298))*POWER(INslave,SIGN(IF298))*POWER(CHslave,SIGN(IG298))*POWER(FFslave,SIGN(IH298))*POWER(GEslave,SIGN(II298))*POWER(KOslave,SIGN(IJ298))*POWER(KKslave,SIGN(IK298))+IF298*POWER(MUslave,SIGN(ID298))*POWER(KLslave,SIGN(IE298))*POWER(CHslave,SIGN(IG298))*POWER(FFslave,SIGN(IH298))*POWER(GEslave,SIGN(II298))*POWER(KOslave,SIGN(IJ298))*POWER(KKslave,SIGN(IK298))+IG298*POWER(MUslave,SIGN(ID298))*POWER(KLslave,SIGN(IE298))*POWER(INslave,SIGN(IF298))*POWER(FFslave,SIGN(IH298))*POWER(GEslave,SIGN(II298))*POWER(KOslave,SIGN(IJ298))*POWER(KKslave,SIGN(IK298))+IH298*POWER(MUslave,SIGN(ID298))*POWER(KLslave,SIGN(IE298))*POWER(INslave,SIGN(IF298))*POWER(CHslave,SIGN(IG298))*POWER(GEslave,SIGN(II298))*POWER(KOslave,SIGN(IJ298))*POWER(KKslave,SIGN(IK298))+II298*POWER(MUslave,SIGN(ID298))*POWER(KLslave,SIGN(IE298))*POWER(INslave,SIGN(IF298))*POWER(CHslave,SIGN(IG298))*POWER(FFslave,SIGN(IH298))*POWER(KOslave,SIGN(IJ298))*POWER(KKslave,SIGN(IK298))+IJ298*POWER(MUslave,SIGN(ID298))*POWER(KLslave,SIGN(IE298))*POWER(INslave,SIGN(IF298))*POWER(CHslave,SIGN(IG298))*POWER(FFslave,SIGN(IH298))*POWER(GEslave,SIGN(II298))*POWER(KKslave,SIGN(IK298))+IK298*POWER(MUslave,SIGN(ID298))*POWER(KLslave,SIGN(IE298))*POWER(INslave,SIGN(IF298))*POWER(CHslave,SIGN(IG298))*POWER(FFslave,SIGN(IH298))*POWER(GEslave,SIGN(II298))*POWER(KOslave,SIGN(IJ298))</f>
        <v>2304</v>
      </c>
      <c r="IP298" s="233">
        <f>IG298*II298*KOslave+IG298*GEslave*IJ298+CHslave*II298*IJ298</f>
        <v>3456</v>
      </c>
      <c r="IQ298" s="221">
        <f t="shared" ref="IQ298:IQ310" si="2120">IFERROR(ID298^SIGN(ID298),1)*IFERROR(IE298^SIGN(IE298),1)*IFERROR(IF298^SIGN(IF298),1)*IFERROR(IG298^SIGN(IG298),1)*IFERROR(IH298^SIGN(IH298),1)*IFERROR(II298^SIGN(II298),1)*IFERROR(IJ298^SIGN(IJ298),1)*IFERROR(IK298^SIGN(IK298),1)</f>
        <v>1728</v>
      </c>
      <c r="IR298" s="221">
        <f t="shared" ref="IR298:IR299" si="2121">SUM(IO298:IQ298)</f>
        <v>7488</v>
      </c>
      <c r="IS298" s="219">
        <f t="shared" ref="IS298:IS311" si="2122">IL298*IO298/IR298</f>
        <v>3.6923076923076925</v>
      </c>
      <c r="IT298" s="220">
        <f t="shared" ref="IT298:IT311" si="2123">IM298*IP298/IR298</f>
        <v>11.076923076923077</v>
      </c>
      <c r="IU298" s="241">
        <f t="shared" ref="IU298:IU311" si="2124">IN298*IQ298/IR298</f>
        <v>8.3076923076923084</v>
      </c>
      <c r="IV298" s="241">
        <f t="shared" ref="IV298:IV307" si="2125">SUM(IS298:IU298)</f>
        <v>23.07692307692308</v>
      </c>
      <c r="IW298" s="252">
        <f t="shared" si="1923"/>
        <v>0</v>
      </c>
      <c r="IX298" s="324">
        <f t="shared" ref="IX298:IX311" si="2126">IV298-IW298</f>
        <v>23.07692307692308</v>
      </c>
      <c r="IY298" s="43">
        <f t="shared" ref="IY298:IZ299" si="2127">IF(IV298&lt;=0,3,0)+IF(IV298&gt;0,IV298+1,0)*3+IF(IV298&gt;12,IV298-12,0)*3+IF(IV298&gt;13,IV298-13,0)*3+IF(IV298&gt;14,IV298-14,0)*3+IF(IV298&gt;15,IV298-15,0)*3+IF(IV298&gt;16,IV298-16,0)*3+IF(IV298&gt;17,IV298-17,0)*3+IF(IV298&gt;18,IV298-18,0)*3+IF(IV298&gt;19,IV298-19,0)*3+IF(IV298&gt;20,IV298-20,0)*3</f>
        <v>263.30769230769232</v>
      </c>
      <c r="IZ298" s="334">
        <f t="shared" si="2127"/>
        <v>3</v>
      </c>
      <c r="JA298" s="241">
        <f t="shared" ref="JA298:JA311" si="2128">IF((IY298-IZ298)&gt;0,IY298-IZ298,0)</f>
        <v>260.30769230769232</v>
      </c>
      <c r="JB298" s="42">
        <f t="shared" ref="JB298:JB311" si="2129">IF((IZ298-IY298)&gt;0,IZ298-IY298,0)</f>
        <v>0</v>
      </c>
    </row>
    <row r="299" spans="1:265" ht="15" hidden="1" customHeight="1" outlineLevel="2">
      <c r="A299" s="185"/>
      <c r="B299" s="148">
        <v>2</v>
      </c>
      <c r="C299" s="303" t="e">
        <f>VLOOKUP(AF299,Attribute!C:T,1,FALSE)</f>
        <v>#N/A</v>
      </c>
      <c r="D299" s="218" t="s">
        <v>172</v>
      </c>
      <c r="E299" s="304" t="s">
        <v>135</v>
      </c>
      <c r="F299" s="120">
        <f>Konvention_1master-MUmaster</f>
        <v>12</v>
      </c>
      <c r="G299" s="117"/>
      <c r="H299" s="117"/>
      <c r="I299" s="117">
        <f>Konvention_1master-CHmaster</f>
        <v>12</v>
      </c>
      <c r="J299" s="117"/>
      <c r="K299" s="117">
        <f>Konvention_1master-GEmaster</f>
        <v>12</v>
      </c>
      <c r="L299" s="117"/>
      <c r="M299" s="121"/>
      <c r="N299" s="223">
        <f>(F299+G299+H299+I299+J299+K299+L299+M299)/3</f>
        <v>12</v>
      </c>
      <c r="O299" s="223">
        <f t="shared" si="2011"/>
        <v>24</v>
      </c>
      <c r="P299" s="224">
        <f t="shared" si="2012"/>
        <v>36</v>
      </c>
      <c r="Q299" s="237">
        <f>F299*POWER(KLmaster,SIGN(G299))*POWER(INmaster,SIGN(H299))*POWER(CHmaster,SIGN(I299))*POWER(FFmaster,SIGN(J299))*POWER(GEmaster,SIGN(K299))*POWER(KOmaster,SIGN(L299))*POWER(KKmaster,SIGN(M299))+G299*POWER(MUmaster,SIGN(F299))*POWER(INmaster,SIGN(H299))*POWER(CHmaster,SIGN(I299))*POWER(FFmaster,SIGN(J299))*POWER(GEmaster,SIGN(K299))*POWER(KOmaster,SIGN(L299))*POWER(KKmaster,SIGN(M299))+H299*POWER(MUmaster,SIGN(F299))*POWER(KLmaster,SIGN(G299))*POWER(CHmaster,SIGN(I299))*POWER(FFmaster,SIGN(J299))*POWER(GEmaster,SIGN(K299))*POWER(KOmaster,SIGN(L299))*POWER(KKmaster,SIGN(M299))+I299*POWER(MUmaster,SIGN(F299))*POWER(KLmaster,SIGN(G299))*POWER(INmaster,SIGN(H299))*POWER(FFmaster,SIGN(J299))*POWER(GEmaster,SIGN(K299))*POWER(KOmaster,SIGN(L299))*POWER(KKmaster,SIGN(M299))+J299*POWER(MUmaster,SIGN(F299))*POWER(KLmaster,SIGN(G299))*POWER(INmaster,SIGN(H299))*POWER(CHmaster,SIGN(I299))*POWER(GEmaster,SIGN(K299))*POWER(KOmaster,SIGN(L299))*POWER(KKmaster,SIGN(M299))+K299*POWER(MUmaster,SIGN(F299))*POWER(KLmaster,SIGN(G299))*POWER(INmaster,SIGN(H299))*POWER(CHmaster,SIGN(I299))*POWER(FFmaster,SIGN(J299))*POWER(KOmaster,SIGN(L299))*POWER(KKmaster,SIGN(M299))+L299*POWER(MUmaster,SIGN(F299))*POWER(KLmaster,SIGN(G299))*POWER(INmaster,SIGN(H299))*POWER(CHmaster,SIGN(I299))*POWER(FFmaster,SIGN(J299))*POWER(GEmaster,SIGN(K299))*POWER(KKmaster,SIGN(M299))+M299*POWER(MUmaster,SIGN(F299))*POWER(KLmaster,SIGN(G299))*POWER(INmaster,SIGN(H299))*POWER(CHmaster,SIGN(I299))*POWER(FFmaster,SIGN(J299))*POWER(GEmaster,SIGN(K299))*POWER(KOmaster,SIGN(L299))</f>
        <v>2304</v>
      </c>
      <c r="R299" s="117">
        <f>F299*I299*GEmaster+F299*CHmaster*K299+MUmaster*I299*K299</f>
        <v>3456</v>
      </c>
      <c r="S299" s="224">
        <f>IFERROR(F299^SIGN(F299),1)*IFERROR(G299^SIGN(G299),1)*IFERROR(H299^SIGN(H299),1)*IFERROR(I299^SIGN(I299),1)*IFERROR(J299^SIGN(J299),1)*IFERROR(K299^SIGN(K299),1)*IFERROR(L299^SIGN(L299),1)*IFERROR(M299^SIGN(M299),1)</f>
        <v>1728</v>
      </c>
      <c r="T299" s="224">
        <f t="shared" si="2015"/>
        <v>7488</v>
      </c>
      <c r="U299" s="222">
        <f t="shared" si="2016"/>
        <v>3.6923076923076925</v>
      </c>
      <c r="V299" s="223">
        <f t="shared" si="2017"/>
        <v>11.076923076923077</v>
      </c>
      <c r="W299" s="243">
        <f t="shared" si="2018"/>
        <v>8.3076923076923084</v>
      </c>
      <c r="X299" s="243">
        <f t="shared" ref="X299" si="2130">SUM(U299:W299)</f>
        <v>23.07692307692308</v>
      </c>
      <c r="Y299" s="252">
        <v>0</v>
      </c>
      <c r="Z299" s="324">
        <f t="shared" si="2020"/>
        <v>23.07692307692308</v>
      </c>
      <c r="AA299" s="304">
        <f t="shared" si="2021"/>
        <v>263.30769230769232</v>
      </c>
      <c r="AB299" s="335">
        <f t="shared" si="2022"/>
        <v>3</v>
      </c>
      <c r="AC299" s="243">
        <f t="shared" si="2023"/>
        <v>260.30769230769232</v>
      </c>
      <c r="AD299" s="218">
        <f t="shared" si="2024"/>
        <v>0</v>
      </c>
      <c r="AE299" s="140"/>
      <c r="AF299" s="303" t="s">
        <v>448</v>
      </c>
      <c r="AG299" s="218" t="s">
        <v>172</v>
      </c>
      <c r="AH299" s="304" t="s">
        <v>135</v>
      </c>
      <c r="AI299" s="120">
        <f>Konvention_1slave-MUslave_MU</f>
        <v>11</v>
      </c>
      <c r="AJ299" s="117"/>
      <c r="AK299" s="117"/>
      <c r="AL299" s="117">
        <f>Konvention_1slave-CHslave</f>
        <v>12</v>
      </c>
      <c r="AM299" s="117"/>
      <c r="AN299" s="117">
        <f>Konvention_1slave-GEslave</f>
        <v>12</v>
      </c>
      <c r="AO299" s="117"/>
      <c r="AP299" s="121"/>
      <c r="AQ299" s="223">
        <f>(AI299+AJ299+AK299+AL299+AM299+AN299+AO299+AP299)/3</f>
        <v>11.666666666666666</v>
      </c>
      <c r="AR299" s="223">
        <f t="shared" si="2026"/>
        <v>23.333333333333332</v>
      </c>
      <c r="AS299" s="224">
        <f t="shared" si="2027"/>
        <v>35</v>
      </c>
      <c r="AT299" s="237">
        <f>AI299*POWER(KLslave,SIGN(AJ299))*POWER(INslave,SIGN(AK299))*POWER(CHslave,SIGN(AL299))*POWER(FFslave,SIGN(AM299))*POWER(GEslave,SIGN(AN299))*POWER(KOslave,SIGN(AO299))*POWER(KKslave,SIGN(AP299))+AJ299*POWER(MUslave_MU,SIGN(AI299))*POWER(INslave,SIGN(AK299))*POWER(CHslave,SIGN(AL299))*POWER(FFslave,SIGN(AM299))*POWER(GEslave,SIGN(AN299))*POWER(KOslave,SIGN(AO299))*POWER(KKslave,SIGN(AP299))+AK299*POWER(MUslave_MU,SIGN(AI299))*POWER(KLslave,SIGN(AJ299))*POWER(CHslave,SIGN(AL299))*POWER(FFslave,SIGN(AM299))*POWER(GEslave,SIGN(AN299))*POWER(KOslave,SIGN(AO299))*POWER(KKslave,SIGN(AP299))+AL299*POWER(MUslave_MU,SIGN(AI299))*POWER(KLslave,SIGN(AJ299))*POWER(INslave,SIGN(AK299))*POWER(FFslave,SIGN(AM299))*POWER(GEslave,SIGN(AN299))*POWER(KOslave,SIGN(AO299))*POWER(KKslave,SIGN(AP299))+AM299*POWER(MUslave_MU,SIGN(AI299))*POWER(KLslave,SIGN(AJ299))*POWER(INslave,SIGN(AK299))*POWER(CHslave,SIGN(AL299))*POWER(GEslave,SIGN(AN299))*POWER(KOslave,SIGN(AO299))*POWER(KKslave,SIGN(AP299))+AN299*POWER(MUslave_MU,SIGN(AI299))*POWER(KLslave,SIGN(AJ299))*POWER(INslave,SIGN(AK299))*POWER(CHslave,SIGN(AL299))*POWER(FFslave,SIGN(AM299))*POWER(KOslave,SIGN(AO299))*POWER(KKslave,SIGN(AP299))+AO299*POWER(MUslave_MU,SIGN(AI299))*POWER(KLslave,SIGN(AJ299))*POWER(INslave,SIGN(AK299))*POWER(CHslave,SIGN(AL299))*POWER(FFslave,SIGN(AM299))*POWER(GEslave,SIGN(AN299))*POWER(KKslave,SIGN(AP299))+AP299*POWER(MUslave_MU,SIGN(AI299))*POWER(KLslave,SIGN(AJ299))*POWER(INslave,SIGN(AK299))*POWER(CHslave,SIGN(AL299))*POWER(FFslave,SIGN(AM299))*POWER(GEslave,SIGN(AN299))*POWER(KOslave,SIGN(AO299))</f>
        <v>2432</v>
      </c>
      <c r="AU299" s="117">
        <f>AI299*AL299*GEslave+AI299*CHslave*AN299+MUslave_MU*AL299*AN299</f>
        <v>3408</v>
      </c>
      <c r="AV299" s="224">
        <f>IFERROR(AI299^SIGN(AI299),1)*IFERROR(AJ299^SIGN(AJ299),1)*IFERROR(AK299^SIGN(AK299),1)*IFERROR(AL299^SIGN(AL299),1)*IFERROR(AM299^SIGN(AM299),1)*IFERROR(AN299^SIGN(AN299),1)*IFERROR(AO299^SIGN(AO299),1)*IFERROR(AP299^SIGN(AP299),1)</f>
        <v>1584</v>
      </c>
      <c r="AW299" s="224">
        <f t="shared" si="2029"/>
        <v>7424</v>
      </c>
      <c r="AX299" s="222">
        <f t="shared" si="2030"/>
        <v>3.8218390804597702</v>
      </c>
      <c r="AY299" s="223">
        <f t="shared" si="2031"/>
        <v>10.711206896551724</v>
      </c>
      <c r="AZ299" s="243">
        <f t="shared" si="2032"/>
        <v>7.4676724137931032</v>
      </c>
      <c r="BA299" s="243">
        <f t="shared" ref="BA299" si="2131">SUM(AX299:AZ299)</f>
        <v>22.000718390804597</v>
      </c>
      <c r="BB299" s="252">
        <f t="shared" si="2034"/>
        <v>0</v>
      </c>
      <c r="BC299" s="324">
        <f t="shared" si="2035"/>
        <v>22.000718390804597</v>
      </c>
      <c r="BD299" s="304">
        <f t="shared" si="2036"/>
        <v>231.02155172413785</v>
      </c>
      <c r="BE299" s="335">
        <f t="shared" si="2036"/>
        <v>3</v>
      </c>
      <c r="BF299" s="243">
        <f t="shared" si="2037"/>
        <v>228.02155172413785</v>
      </c>
      <c r="BG299" s="218">
        <f t="shared" si="2038"/>
        <v>0</v>
      </c>
      <c r="BH299" s="248"/>
      <c r="BI299" s="303" t="s">
        <v>448</v>
      </c>
      <c r="BJ299" s="218" t="s">
        <v>172</v>
      </c>
      <c r="BK299" s="304" t="s">
        <v>135</v>
      </c>
      <c r="BL299" s="120">
        <f>Konvention_1slave-MUslave</f>
        <v>12</v>
      </c>
      <c r="BM299" s="117"/>
      <c r="BN299" s="117"/>
      <c r="BO299" s="117">
        <f>Konvention_1slave-CHslave</f>
        <v>12</v>
      </c>
      <c r="BP299" s="117"/>
      <c r="BQ299" s="117">
        <f>Konvention_1slave-GEslave</f>
        <v>12</v>
      </c>
      <c r="BR299" s="117"/>
      <c r="BS299" s="121"/>
      <c r="BT299" s="223">
        <f>(BL299+BM299+BN299+BO299+BP299+BQ299+BR299+BS299)/3</f>
        <v>12</v>
      </c>
      <c r="BU299" s="223">
        <f t="shared" si="2040"/>
        <v>24</v>
      </c>
      <c r="BV299" s="224">
        <f t="shared" si="2041"/>
        <v>36</v>
      </c>
      <c r="BW299" s="237">
        <f>BL299*POWER(KLslave_KL,SIGN(BM299))*POWER(INslave,SIGN(BN299))*POWER(CHslave,SIGN(BO299))*POWER(FFslave,SIGN(BP299))*POWER(GEslave,SIGN(BQ299))*POWER(KOslave,SIGN(BR299))*POWER(KKslave,SIGN(BS299))+BM299*POWER(MUslave,SIGN(BL299))*POWER(INslave,SIGN(BN299))*POWER(CHslave,SIGN(BO299))*POWER(FFslave,SIGN(BP299))*POWER(GEslave,SIGN(BQ299))*POWER(KOslave,SIGN(BR299))*POWER(KKslave,SIGN(BS299))+BN299*POWER(MUslave,SIGN(BL299))*POWER(KLslave_KL,SIGN(BM299))*POWER(CHslave,SIGN(BO299))*POWER(FFslave,SIGN(BP299))*POWER(GEslave,SIGN(BQ299))*POWER(KOslave,SIGN(BR299))*POWER(KKslave,SIGN(BS299))+BO299*POWER(MUslave,SIGN(BL299))*POWER(KLslave_KL,SIGN(BM299))*POWER(INslave,SIGN(BN299))*POWER(FFslave,SIGN(BP299))*POWER(GEslave,SIGN(BQ299))*POWER(KOslave,SIGN(BR299))*POWER(KKslave,SIGN(BS299))+BP299*POWER(MUslave,SIGN(BL299))*POWER(KLslave_KL,SIGN(BM299))*POWER(INslave,SIGN(BN299))*POWER(CHslave,SIGN(BO299))*POWER(GEslave,SIGN(BQ299))*POWER(KOslave,SIGN(BR299))*POWER(KKslave,SIGN(BS299))+BQ299*POWER(MUslave,SIGN(BL299))*POWER(KLslave_KL,SIGN(BM299))*POWER(INslave,SIGN(BN299))*POWER(CHslave,SIGN(BO299))*POWER(FFslave,SIGN(BP299))*POWER(KOslave,SIGN(BR299))*POWER(KKslave,SIGN(BS299))+BR299*POWER(MUslave,SIGN(BL299))*POWER(KLslave_KL,SIGN(BM299))*POWER(INslave,SIGN(BN299))*POWER(CHslave,SIGN(BO299))*POWER(FFslave,SIGN(BP299))*POWER(GEslave,SIGN(BQ299))*POWER(KKslave,SIGN(BS299))+BS299*POWER(MUslave,SIGN(BL299))*POWER(KLslave_KL,SIGN(BM299))*POWER(INslave,SIGN(BN299))*POWER(CHslave,SIGN(BO299))*POWER(FFslave,SIGN(BP299))*POWER(GEslave,SIGN(BQ299))*POWER(KOslave,SIGN(BR299))</f>
        <v>2304</v>
      </c>
      <c r="BX299" s="117">
        <f>BL299*BO299*GEslave+BL299*CHslave*BQ299+MUslave*BO299*BQ299</f>
        <v>3456</v>
      </c>
      <c r="BY299" s="224">
        <f>IFERROR(BL299^SIGN(BL299),1)*IFERROR(BM299^SIGN(BM299),1)*IFERROR(BN299^SIGN(BN299),1)*IFERROR(BO299^SIGN(BO299),1)*IFERROR(BP299^SIGN(BP299),1)*IFERROR(BQ299^SIGN(BQ299),1)*IFERROR(BR299^SIGN(BR299),1)*IFERROR(BS299^SIGN(BS299),1)</f>
        <v>1728</v>
      </c>
      <c r="BZ299" s="224">
        <f t="shared" si="2043"/>
        <v>7488</v>
      </c>
      <c r="CA299" s="222">
        <f t="shared" si="2044"/>
        <v>3.6923076923076925</v>
      </c>
      <c r="CB299" s="223">
        <f t="shared" si="2045"/>
        <v>11.076923076923077</v>
      </c>
      <c r="CC299" s="243">
        <f t="shared" si="2046"/>
        <v>8.3076923076923084</v>
      </c>
      <c r="CD299" s="243">
        <f t="shared" ref="CD299" si="2132">SUM(CA299:CC299)</f>
        <v>23.07692307692308</v>
      </c>
      <c r="CE299" s="252">
        <f t="shared" si="1833"/>
        <v>0</v>
      </c>
      <c r="CF299" s="324">
        <f t="shared" si="2048"/>
        <v>23.07692307692308</v>
      </c>
      <c r="CG299" s="304">
        <f t="shared" si="2049"/>
        <v>263.30769230769232</v>
      </c>
      <c r="CH299" s="335">
        <f t="shared" si="2049"/>
        <v>3</v>
      </c>
      <c r="CI299" s="243">
        <f t="shared" si="2050"/>
        <v>260.30769230769232</v>
      </c>
      <c r="CJ299" s="218">
        <f t="shared" si="2051"/>
        <v>0</v>
      </c>
      <c r="CK299" s="248"/>
      <c r="CL299" s="303" t="s">
        <v>448</v>
      </c>
      <c r="CM299" s="218" t="s">
        <v>172</v>
      </c>
      <c r="CN299" s="304" t="s">
        <v>135</v>
      </c>
      <c r="CO299" s="120">
        <f>Konvention_1slave-MUslave</f>
        <v>12</v>
      </c>
      <c r="CP299" s="117"/>
      <c r="CQ299" s="117"/>
      <c r="CR299" s="117">
        <f>Konvention_1slave-CHslave</f>
        <v>12</v>
      </c>
      <c r="CS299" s="117"/>
      <c r="CT299" s="117">
        <f>Konvention_1slave-GEslave</f>
        <v>12</v>
      </c>
      <c r="CU299" s="117"/>
      <c r="CV299" s="121"/>
      <c r="CW299" s="223">
        <f>(CO299+CP299+CQ299+CR299+CS299+CT299+CU299+CV299)/3</f>
        <v>12</v>
      </c>
      <c r="CX299" s="223">
        <f t="shared" si="2053"/>
        <v>24</v>
      </c>
      <c r="CY299" s="224">
        <f t="shared" si="2054"/>
        <v>36</v>
      </c>
      <c r="CZ299" s="237">
        <f>CO299*POWER(KLslave,SIGN(CP299))*POWER(INslave_IN,SIGN(CQ299))*POWER(CHslave,SIGN(CR299))*POWER(FFslave,SIGN(CS299))*POWER(GEslave,SIGN(CT299))*POWER(KOslave,SIGN(CU299))*POWER(KKslave,SIGN(CV299))+CP299*POWER(MUslave,SIGN(CO299))*POWER(INslave_IN,SIGN(CQ299))*POWER(CHslave,SIGN(CR299))*POWER(FFslave,SIGN(CS299))*POWER(GEslave,SIGN(CT299))*POWER(KOslave,SIGN(CU299))*POWER(KKslave,SIGN(CV299))+CQ299*POWER(MUslave,SIGN(CO299))*POWER(KLslave,SIGN(CP299))*POWER(CHslave,SIGN(CR299))*POWER(FFslave,SIGN(CS299))*POWER(GEslave,SIGN(CT299))*POWER(KOslave,SIGN(CU299))*POWER(KKslave,SIGN(CV299))+CR299*POWER(MUslave,SIGN(CO299))*POWER(KLslave,SIGN(CP299))*POWER(INslave_IN,SIGN(CQ299))*POWER(FFslave,SIGN(CS299))*POWER(GEslave,SIGN(CT299))*POWER(KOslave,SIGN(CU299))*POWER(KKslave,SIGN(CV299))+CS299*POWER(MUslave,SIGN(CO299))*POWER(KLslave,SIGN(CP299))*POWER(INslave_IN,SIGN(CQ299))*POWER(CHslave,SIGN(CR299))*POWER(GEslave,SIGN(CT299))*POWER(KOslave,SIGN(CU299))*POWER(KKslave,SIGN(CV299))+CT299*POWER(MUslave,SIGN(CO299))*POWER(KLslave,SIGN(CP299))*POWER(INslave_IN,SIGN(CQ299))*POWER(CHslave,SIGN(CR299))*POWER(FFslave,SIGN(CS299))*POWER(KOslave,SIGN(CU299))*POWER(KKslave,SIGN(CV299))+CU299*POWER(MUslave,SIGN(CO299))*POWER(KLslave,SIGN(CP299))*POWER(INslave_IN,SIGN(CQ299))*POWER(CHslave,SIGN(CR299))*POWER(FFslave,SIGN(CS299))*POWER(GEslave,SIGN(CT299))*POWER(KKslave,SIGN(CV299))+CV299*POWER(MUslave,SIGN(CO299))*POWER(KLslave,SIGN(CP299))*POWER(INslave_IN,SIGN(CQ299))*POWER(CHslave,SIGN(CR299))*POWER(FFslave,SIGN(CS299))*POWER(GEslave,SIGN(CT299))*POWER(KOslave,SIGN(CU299))</f>
        <v>2304</v>
      </c>
      <c r="DA299" s="117">
        <f>CO299*CR299*GEslave+CO299*CHslave*CT299+MUslave*CR299*CT299</f>
        <v>3456</v>
      </c>
      <c r="DB299" s="224">
        <f>IFERROR(CO299^SIGN(CO299),1)*IFERROR(CP299^SIGN(CP299),1)*IFERROR(CQ299^SIGN(CQ299),1)*IFERROR(CR299^SIGN(CR299),1)*IFERROR(CS299^SIGN(CS299),1)*IFERROR(CT299^SIGN(CT299),1)*IFERROR(CU299^SIGN(CU299),1)*IFERROR(CV299^SIGN(CV299),1)</f>
        <v>1728</v>
      </c>
      <c r="DC299" s="224">
        <f t="shared" si="2056"/>
        <v>7488</v>
      </c>
      <c r="DD299" s="222">
        <f t="shared" si="2057"/>
        <v>3.6923076923076925</v>
      </c>
      <c r="DE299" s="223">
        <f t="shared" si="2058"/>
        <v>11.076923076923077</v>
      </c>
      <c r="DF299" s="243">
        <f t="shared" si="2059"/>
        <v>8.3076923076923084</v>
      </c>
      <c r="DG299" s="243">
        <f t="shared" ref="DG299" si="2133">SUM(DD299:DF299)</f>
        <v>23.07692307692308</v>
      </c>
      <c r="DH299" s="252">
        <f t="shared" si="1848"/>
        <v>0</v>
      </c>
      <c r="DI299" s="324">
        <f t="shared" si="2061"/>
        <v>23.07692307692308</v>
      </c>
      <c r="DJ299" s="304">
        <f t="shared" si="2062"/>
        <v>263.30769230769232</v>
      </c>
      <c r="DK299" s="335">
        <f t="shared" si="2062"/>
        <v>3</v>
      </c>
      <c r="DL299" s="243">
        <f t="shared" si="2063"/>
        <v>260.30769230769232</v>
      </c>
      <c r="DM299" s="218">
        <f t="shared" si="2064"/>
        <v>0</v>
      </c>
      <c r="DN299" s="248"/>
      <c r="DO299" s="303" t="s">
        <v>448</v>
      </c>
      <c r="DP299" s="218" t="s">
        <v>172</v>
      </c>
      <c r="DQ299" s="304" t="s">
        <v>135</v>
      </c>
      <c r="DR299" s="120">
        <f>Konvention_1slave-MUslave</f>
        <v>12</v>
      </c>
      <c r="DS299" s="117"/>
      <c r="DT299" s="117"/>
      <c r="DU299" s="117">
        <f>Konvention_1slave-CHslave_CH</f>
        <v>11</v>
      </c>
      <c r="DV299" s="117"/>
      <c r="DW299" s="117">
        <f>Konvention_1slave-GEslave</f>
        <v>12</v>
      </c>
      <c r="DX299" s="117"/>
      <c r="DY299" s="121"/>
      <c r="DZ299" s="223">
        <f>(DR299+DS299+DT299+DU299+DV299+DW299+DX299+DY299)/3</f>
        <v>11.666666666666666</v>
      </c>
      <c r="EA299" s="223">
        <f t="shared" si="2066"/>
        <v>23.333333333333332</v>
      </c>
      <c r="EB299" s="224">
        <f t="shared" si="2067"/>
        <v>35</v>
      </c>
      <c r="EC299" s="237">
        <f>DR299*POWER(KLslave,SIGN(DS299))*POWER(INslave,SIGN(DT299))*POWER(CHslave_CH,SIGN(DU299))*POWER(FFslave,SIGN(DV299))*POWER(GEslave,SIGN(DW299))*POWER(KOslave,SIGN(DX299))*POWER(KKslave,SIGN(DY299))+DS299*POWER(MUslave,SIGN(DR299))*POWER(INslave,SIGN(DT299))*POWER(CHslave_CH,SIGN(DU299))*POWER(FFslave,SIGN(DV299))*POWER(GEslave,SIGN(DW299))*POWER(KOslave,SIGN(DX299))*POWER(KKslave,SIGN(DY299))+DT299*POWER(MUslave,SIGN(DR299))*POWER(KLslave,SIGN(DS299))*POWER(CHslave_CH,SIGN(DU299))*POWER(FFslave,SIGN(DV299))*POWER(GEslave,SIGN(DW299))*POWER(KOslave,SIGN(DX299))*POWER(KKslave,SIGN(DY299))+DU299*POWER(MUslave,SIGN(DR299))*POWER(KLslave,SIGN(DS299))*POWER(INslave,SIGN(DT299))*POWER(FFslave,SIGN(DV299))*POWER(GEslave,SIGN(DW299))*POWER(KOslave,SIGN(DX299))*POWER(KKslave,SIGN(DY299))+DV299*POWER(MUslave,SIGN(DR299))*POWER(KLslave,SIGN(DS299))*POWER(INslave,SIGN(DT299))*POWER(CHslave_CH,SIGN(DU299))*POWER(GEslave,SIGN(DW299))*POWER(KOslave,SIGN(DX299))*POWER(KKslave,SIGN(DY299))+DW299*POWER(MUslave,SIGN(DR299))*POWER(KLslave,SIGN(DS299))*POWER(INslave,SIGN(DT299))*POWER(CHslave_CH,SIGN(DU299))*POWER(FFslave,SIGN(DV299))*POWER(KOslave,SIGN(DX299))*POWER(KKslave,SIGN(DY299))+DX299*POWER(MUslave,SIGN(DR299))*POWER(KLslave,SIGN(DS299))*POWER(INslave,SIGN(DT299))*POWER(CHslave_CH,SIGN(DU299))*POWER(FFslave,SIGN(DV299))*POWER(GEslave,SIGN(DW299))*POWER(KKslave,SIGN(DY299))+DY299*POWER(MUslave,SIGN(DR299))*POWER(KLslave,SIGN(DS299))*POWER(INslave,SIGN(DT299))*POWER(CHslave_CH,SIGN(DU299))*POWER(FFslave,SIGN(DV299))*POWER(GEslave,SIGN(DW299))*POWER(KOslave,SIGN(DX299))</f>
        <v>2432</v>
      </c>
      <c r="ED299" s="117">
        <f>DR299*DU299*GEslave+DR299*CHslave_CH*DW299+MUslave*DU299*DW299</f>
        <v>3408</v>
      </c>
      <c r="EE299" s="224">
        <f>IFERROR(DR299^SIGN(DR299),1)*IFERROR(DS299^SIGN(DS299),1)*IFERROR(DT299^SIGN(DT299),1)*IFERROR(DU299^SIGN(DU299),1)*IFERROR(DV299^SIGN(DV299),1)*IFERROR(DW299^SIGN(DW299),1)*IFERROR(DX299^SIGN(DX299),1)*IFERROR(DY299^SIGN(DY299),1)</f>
        <v>1584</v>
      </c>
      <c r="EF299" s="224">
        <f t="shared" si="2069"/>
        <v>7424</v>
      </c>
      <c r="EG299" s="222">
        <f t="shared" si="2070"/>
        <v>3.8218390804597702</v>
      </c>
      <c r="EH299" s="223">
        <f t="shared" si="2071"/>
        <v>10.711206896551724</v>
      </c>
      <c r="EI299" s="243">
        <f t="shared" si="2072"/>
        <v>7.4676724137931032</v>
      </c>
      <c r="EJ299" s="243">
        <f t="shared" ref="EJ299" si="2134">SUM(EG299:EI299)</f>
        <v>22.000718390804597</v>
      </c>
      <c r="EK299" s="252">
        <f t="shared" si="1863"/>
        <v>0</v>
      </c>
      <c r="EL299" s="324">
        <f t="shared" si="2074"/>
        <v>22.000718390804597</v>
      </c>
      <c r="EM299" s="304">
        <f t="shared" si="2075"/>
        <v>231.02155172413785</v>
      </c>
      <c r="EN299" s="335">
        <f t="shared" si="2075"/>
        <v>3</v>
      </c>
      <c r="EO299" s="243">
        <f t="shared" si="2076"/>
        <v>228.02155172413785</v>
      </c>
      <c r="EP299" s="218">
        <f t="shared" si="2077"/>
        <v>0</v>
      </c>
      <c r="EQ299" s="248"/>
      <c r="ER299" s="303" t="s">
        <v>448</v>
      </c>
      <c r="ES299" s="218" t="s">
        <v>172</v>
      </c>
      <c r="ET299" s="304" t="s">
        <v>135</v>
      </c>
      <c r="EU299" s="120">
        <f>Konvention_1slave-MUslave</f>
        <v>12</v>
      </c>
      <c r="EV299" s="117"/>
      <c r="EW299" s="117"/>
      <c r="EX299" s="117">
        <f>Konvention_1slave-CHslave</f>
        <v>12</v>
      </c>
      <c r="EY299" s="117"/>
      <c r="EZ299" s="117">
        <f>Konvention_1slave-GEslave</f>
        <v>12</v>
      </c>
      <c r="FA299" s="117"/>
      <c r="FB299" s="121"/>
      <c r="FC299" s="223">
        <f>(EU299+EV299+EW299+EX299+EY299+EZ299+FA299+FB299)/3</f>
        <v>12</v>
      </c>
      <c r="FD299" s="223">
        <f t="shared" si="2079"/>
        <v>24</v>
      </c>
      <c r="FE299" s="224">
        <f t="shared" si="2080"/>
        <v>36</v>
      </c>
      <c r="FF299" s="237">
        <f>EU299*POWER(KLslave,SIGN(EV299))*POWER(INslave,SIGN(EW299))*POWER(CHslave,SIGN(EX299))*POWER(FFslave_FF,SIGN(EY299))*POWER(GEslave,SIGN(EZ299))*POWER(KOslave,SIGN(FA299))*POWER(KKslave,SIGN(FB299))+EV299*POWER(MUslave,SIGN(EU299))*POWER(INslave,SIGN(EW299))*POWER(CHslave,SIGN(EX299))*POWER(FFslave_FF,SIGN(EY299))*POWER(GEslave,SIGN(EZ299))*POWER(KOslave,SIGN(FA299))*POWER(KKslave,SIGN(FB299))+EW299*POWER(MUslave,SIGN(EU299))*POWER(KLslave,SIGN(EV299))*POWER(CHslave,SIGN(EX299))*POWER(FFslave_FF,SIGN(EY299))*POWER(GEslave,SIGN(EZ299))*POWER(KOslave,SIGN(FA299))*POWER(KKslave,SIGN(FB299))+EX299*POWER(MUslave,SIGN(EU299))*POWER(KLslave,SIGN(EV299))*POWER(INslave,SIGN(EW299))*POWER(FFslave_FF,SIGN(EY299))*POWER(GEslave,SIGN(EZ299))*POWER(KOslave,SIGN(FA299))*POWER(KKslave,SIGN(FB299))+EY299*POWER(MUslave,SIGN(EU299))*POWER(KLslave,SIGN(EV299))*POWER(INslave,SIGN(EW299))*POWER(CHslave,SIGN(EX299))*POWER(GEslave,SIGN(EZ299))*POWER(KOslave,SIGN(FA299))*POWER(KKslave,SIGN(FB299))+EZ299*POWER(MUslave,SIGN(EU299))*POWER(KLslave,SIGN(EV299))*POWER(INslave,SIGN(EW299))*POWER(CHslave,SIGN(EX299))*POWER(FFslave_FF,SIGN(EY299))*POWER(KOslave,SIGN(FA299))*POWER(KKslave,SIGN(FB299))+FA299*POWER(MUslave,SIGN(EU299))*POWER(KLslave,SIGN(EV299))*POWER(INslave,SIGN(EW299))*POWER(CHslave,SIGN(EX299))*POWER(FFslave_FF,SIGN(EY299))*POWER(GEslave,SIGN(EZ299))*POWER(KKslave,SIGN(FB299))+FB299*POWER(MUslave,SIGN(EU299))*POWER(KLslave,SIGN(EV299))*POWER(INslave,SIGN(EW299))*POWER(CHslave,SIGN(EX299))*POWER(FFslave_FF,SIGN(EY299))*POWER(GEslave,SIGN(EZ299))*POWER(KOslave,SIGN(FA299))</f>
        <v>2304</v>
      </c>
      <c r="FG299" s="117">
        <f>EU299*EX299*GEslave+EU299*CHslave*EZ299+MUslave*EX299*EZ299</f>
        <v>3456</v>
      </c>
      <c r="FH299" s="224">
        <f>IFERROR(EU299^SIGN(EU299),1)*IFERROR(EV299^SIGN(EV299),1)*IFERROR(EW299^SIGN(EW299),1)*IFERROR(EX299^SIGN(EX299),1)*IFERROR(EY299^SIGN(EY299),1)*IFERROR(EZ299^SIGN(EZ299),1)*IFERROR(FA299^SIGN(FA299),1)*IFERROR(FB299^SIGN(FB299),1)</f>
        <v>1728</v>
      </c>
      <c r="FI299" s="224">
        <f t="shared" si="2082"/>
        <v>7488</v>
      </c>
      <c r="FJ299" s="222">
        <f t="shared" si="2083"/>
        <v>3.6923076923076925</v>
      </c>
      <c r="FK299" s="223">
        <f t="shared" si="2084"/>
        <v>11.076923076923077</v>
      </c>
      <c r="FL299" s="243">
        <f t="shared" si="2085"/>
        <v>8.3076923076923084</v>
      </c>
      <c r="FM299" s="243">
        <f t="shared" ref="FM299" si="2135">SUM(FJ299:FL299)</f>
        <v>23.07692307692308</v>
      </c>
      <c r="FN299" s="252">
        <f t="shared" si="1878"/>
        <v>0</v>
      </c>
      <c r="FO299" s="324">
        <f t="shared" si="2087"/>
        <v>23.07692307692308</v>
      </c>
      <c r="FP299" s="304">
        <f t="shared" si="2088"/>
        <v>263.30769230769232</v>
      </c>
      <c r="FQ299" s="335">
        <f t="shared" si="2088"/>
        <v>3</v>
      </c>
      <c r="FR299" s="243">
        <f t="shared" si="2089"/>
        <v>260.30769230769232</v>
      </c>
      <c r="FS299" s="218">
        <f t="shared" si="2090"/>
        <v>0</v>
      </c>
      <c r="FT299" s="248"/>
      <c r="FU299" s="303" t="s">
        <v>448</v>
      </c>
      <c r="FV299" s="218" t="s">
        <v>172</v>
      </c>
      <c r="FW299" s="304" t="s">
        <v>135</v>
      </c>
      <c r="FX299" s="120">
        <f>Konvention_1slave-MUslave</f>
        <v>12</v>
      </c>
      <c r="FY299" s="117"/>
      <c r="FZ299" s="117"/>
      <c r="GA299" s="117">
        <f>Konvention_1slave-CHslave</f>
        <v>12</v>
      </c>
      <c r="GB299" s="117"/>
      <c r="GC299" s="117">
        <f>Konvention_1slave-GEslave_GE</f>
        <v>11</v>
      </c>
      <c r="GD299" s="117"/>
      <c r="GE299" s="121"/>
      <c r="GF299" s="223">
        <f>(FX299+FY299+FZ299+GA299+GB299+GC299+GD299+GE299)/3</f>
        <v>11.666666666666666</v>
      </c>
      <c r="GG299" s="223">
        <f t="shared" si="2092"/>
        <v>23.333333333333332</v>
      </c>
      <c r="GH299" s="224">
        <f t="shared" si="2093"/>
        <v>35</v>
      </c>
      <c r="GI299" s="237">
        <f>FX299*POWER(KLslave,SIGN(FY299))*POWER(INslave,SIGN(FZ299))*POWER(CHslave,SIGN(GA299))*POWER(FFslave,SIGN(GB299))*POWER(GEslave_GE,SIGN(GC299))*POWER(KOslave,SIGN(GD299))*POWER(KKslave,SIGN(GE299))+FY299*POWER(MUslave,SIGN(FX299))*POWER(INslave,SIGN(FZ299))*POWER(CHslave,SIGN(GA299))*POWER(FFslave,SIGN(GB299))*POWER(GEslave_GE,SIGN(GC299))*POWER(KOslave,SIGN(GD299))*POWER(KKslave,SIGN(GE299))+FZ299*POWER(MUslave,SIGN(FX299))*POWER(KLslave,SIGN(FY299))*POWER(CHslave,SIGN(GA299))*POWER(FFslave,SIGN(GB299))*POWER(GEslave_GE,SIGN(GC299))*POWER(KOslave,SIGN(GD299))*POWER(KKslave,SIGN(GE299))+GA299*POWER(MUslave,SIGN(FX299))*POWER(KLslave,SIGN(FY299))*POWER(INslave,SIGN(FZ299))*POWER(FFslave,SIGN(GB299))*POWER(GEslave_GE,SIGN(GC299))*POWER(KOslave,SIGN(GD299))*POWER(KKslave,SIGN(GE299))+GB299*POWER(MUslave,SIGN(FX299))*POWER(KLslave,SIGN(FY299))*POWER(INslave,SIGN(FZ299))*POWER(CHslave,SIGN(GA299))*POWER(GEslave_GE,SIGN(GC299))*POWER(KOslave,SIGN(GD299))*POWER(KKslave,SIGN(GE299))+GC299*POWER(MUslave,SIGN(FX299))*POWER(KLslave,SIGN(FY299))*POWER(INslave,SIGN(FZ299))*POWER(CHslave,SIGN(GA299))*POWER(FFslave,SIGN(GB299))*POWER(KOslave,SIGN(GD299))*POWER(KKslave,SIGN(GE299))+GD299*POWER(MUslave,SIGN(FX299))*POWER(KLslave,SIGN(FY299))*POWER(INslave,SIGN(FZ299))*POWER(CHslave,SIGN(GA299))*POWER(FFslave,SIGN(GB299))*POWER(GEslave_GE,SIGN(GC299))*POWER(KKslave,SIGN(GE299))+GE299*POWER(MUslave,SIGN(FX299))*POWER(KLslave,SIGN(FY299))*POWER(INslave,SIGN(FZ299))*POWER(CHslave,SIGN(GA299))*POWER(FFslave,SIGN(GB299))*POWER(GEslave_GE,SIGN(GC299))*POWER(KOslave,SIGN(GD299))</f>
        <v>2432</v>
      </c>
      <c r="GJ299" s="117">
        <f>FX299*GA299*GEslave_GE+FX299*CHslave*GC299+MUslave*GA299*GC299</f>
        <v>3408</v>
      </c>
      <c r="GK299" s="224">
        <f>IFERROR(FX299^SIGN(FX299),1)*IFERROR(FY299^SIGN(FY299),1)*IFERROR(FZ299^SIGN(FZ299),1)*IFERROR(GA299^SIGN(GA299),1)*IFERROR(GB299^SIGN(GB299),1)*IFERROR(GC299^SIGN(GC299),1)*IFERROR(GD299^SIGN(GD299),1)*IFERROR(GE299^SIGN(GE299),1)</f>
        <v>1584</v>
      </c>
      <c r="GL299" s="224">
        <f t="shared" si="2095"/>
        <v>7424</v>
      </c>
      <c r="GM299" s="222">
        <f t="shared" si="2096"/>
        <v>3.8218390804597702</v>
      </c>
      <c r="GN299" s="223">
        <f t="shared" si="2097"/>
        <v>10.711206896551724</v>
      </c>
      <c r="GO299" s="243">
        <f t="shared" si="2098"/>
        <v>7.4676724137931032</v>
      </c>
      <c r="GP299" s="243">
        <f t="shared" ref="GP299" si="2136">SUM(GM299:GO299)</f>
        <v>22.000718390804597</v>
      </c>
      <c r="GQ299" s="252">
        <f t="shared" si="1893"/>
        <v>0</v>
      </c>
      <c r="GR299" s="324">
        <f t="shared" si="2100"/>
        <v>22.000718390804597</v>
      </c>
      <c r="GS299" s="304">
        <f t="shared" si="2101"/>
        <v>231.02155172413785</v>
      </c>
      <c r="GT299" s="335">
        <f t="shared" si="2101"/>
        <v>3</v>
      </c>
      <c r="GU299" s="243">
        <f t="shared" si="2102"/>
        <v>228.02155172413785</v>
      </c>
      <c r="GV299" s="218">
        <f t="shared" si="2103"/>
        <v>0</v>
      </c>
      <c r="GW299" s="248"/>
      <c r="GX299" s="303" t="s">
        <v>448</v>
      </c>
      <c r="GY299" s="218" t="s">
        <v>172</v>
      </c>
      <c r="GZ299" s="304" t="s">
        <v>135</v>
      </c>
      <c r="HA299" s="120">
        <f>Konvention_1slave-MUslave</f>
        <v>12</v>
      </c>
      <c r="HB299" s="117"/>
      <c r="HC299" s="117"/>
      <c r="HD299" s="117">
        <f>Konvention_1slave-CHslave</f>
        <v>12</v>
      </c>
      <c r="HE299" s="117"/>
      <c r="HF299" s="117">
        <f>Konvention_1slave-GEslave</f>
        <v>12</v>
      </c>
      <c r="HG299" s="117"/>
      <c r="HH299" s="121"/>
      <c r="HI299" s="223">
        <f>(HA299+HB299+HC299+HD299+HE299+HF299+HG299+HH299)/3</f>
        <v>12</v>
      </c>
      <c r="HJ299" s="223">
        <f t="shared" si="2105"/>
        <v>24</v>
      </c>
      <c r="HK299" s="224">
        <f t="shared" si="2106"/>
        <v>36</v>
      </c>
      <c r="HL299" s="237">
        <f>HA299*POWER(KLslave,SIGN(HB299))*POWER(INslave,SIGN(HC299))*POWER(CHslave,SIGN(HD299))*POWER(FFslave,SIGN(HE299))*POWER(GEslave,SIGN(HF299))*POWER(KOslave_KO,SIGN(HG299))*POWER(KKslave,SIGN(HH299))+HB299*POWER(MUslave,SIGN(HA299))*POWER(INslave,SIGN(HC299))*POWER(CHslave,SIGN(HD299))*POWER(FFslave,SIGN(HE299))*POWER(GEslave,SIGN(HF299))*POWER(KOslave_KO,SIGN(HG299))*POWER(KKslave,SIGN(HH299))+HC299*POWER(MUslave,SIGN(HA299))*POWER(KLslave,SIGN(HB299))*POWER(CHslave,SIGN(HD299))*POWER(FFslave,SIGN(HE299))*POWER(GEslave,SIGN(HF299))*POWER(KOslave_KO,SIGN(HG299))*POWER(KKslave,SIGN(HH299))+HD299*POWER(MUslave,SIGN(HA299))*POWER(KLslave,SIGN(HB299))*POWER(INslave,SIGN(HC299))*POWER(FFslave,SIGN(HE299))*POWER(GEslave,SIGN(HF299))*POWER(KOslave_KO,SIGN(HG299))*POWER(KKslave,SIGN(HH299))+HE299*POWER(MUslave,SIGN(HA299))*POWER(KLslave,SIGN(HB299))*POWER(INslave,SIGN(HC299))*POWER(CHslave,SIGN(HD299))*POWER(GEslave,SIGN(HF299))*POWER(KOslave_KO,SIGN(HG299))*POWER(KKslave,SIGN(HH299))+HF299*POWER(MUslave,SIGN(HA299))*POWER(KLslave,SIGN(HB299))*POWER(INslave,SIGN(HC299))*POWER(CHslave,SIGN(HD299))*POWER(FFslave,SIGN(HE299))*POWER(KOslave_KO,SIGN(HG299))*POWER(KKslave,SIGN(HH299))+HG299*POWER(MUslave,SIGN(HA299))*POWER(KLslave,SIGN(HB299))*POWER(INslave,SIGN(HC299))*POWER(CHslave,SIGN(HD299))*POWER(FFslave,SIGN(HE299))*POWER(GEslave,SIGN(HF299))*POWER(KKslave,SIGN(HH299))+HH299*POWER(MUslave,SIGN(HA299))*POWER(KLslave,SIGN(HB299))*POWER(INslave,SIGN(HC299))*POWER(CHslave,SIGN(HD299))*POWER(FFslave,SIGN(HE299))*POWER(GEslave,SIGN(HF299))*POWER(KOslave_KO,SIGN(HG299))</f>
        <v>2304</v>
      </c>
      <c r="HM299" s="117">
        <f>HA299*HD299*GEslave+HA299*CHslave*HF299+MUslave*HD299*HF299</f>
        <v>3456</v>
      </c>
      <c r="HN299" s="224">
        <f>IFERROR(HA299^SIGN(HA299),1)*IFERROR(HB299^SIGN(HB299),1)*IFERROR(HC299^SIGN(HC299),1)*IFERROR(HD299^SIGN(HD299),1)*IFERROR(HE299^SIGN(HE299),1)*IFERROR(HF299^SIGN(HF299),1)*IFERROR(HG299^SIGN(HG299),1)*IFERROR(HH299^SIGN(HH299),1)</f>
        <v>1728</v>
      </c>
      <c r="HO299" s="224">
        <f t="shared" si="2108"/>
        <v>7488</v>
      </c>
      <c r="HP299" s="222">
        <f t="shared" si="2109"/>
        <v>3.6923076923076925</v>
      </c>
      <c r="HQ299" s="223">
        <f t="shared" si="2110"/>
        <v>11.076923076923077</v>
      </c>
      <c r="HR299" s="243">
        <f t="shared" si="2111"/>
        <v>8.3076923076923084</v>
      </c>
      <c r="HS299" s="243">
        <f t="shared" ref="HS299" si="2137">SUM(HP299:HR299)</f>
        <v>23.07692307692308</v>
      </c>
      <c r="HT299" s="252">
        <f t="shared" si="1908"/>
        <v>0</v>
      </c>
      <c r="HU299" s="324">
        <f t="shared" si="2113"/>
        <v>23.07692307692308</v>
      </c>
      <c r="HV299" s="304">
        <f t="shared" si="2114"/>
        <v>263.30769230769232</v>
      </c>
      <c r="HW299" s="335">
        <f t="shared" si="2114"/>
        <v>3</v>
      </c>
      <c r="HX299" s="243">
        <f t="shared" si="2115"/>
        <v>260.30769230769232</v>
      </c>
      <c r="HY299" s="218">
        <f t="shared" si="2116"/>
        <v>0</v>
      </c>
      <c r="HZ299" s="248"/>
      <c r="IA299" s="303" t="s">
        <v>448</v>
      </c>
      <c r="IB299" s="218" t="s">
        <v>172</v>
      </c>
      <c r="IC299" s="304" t="s">
        <v>135</v>
      </c>
      <c r="ID299" s="120">
        <f>Konvention_1slave-MUslave</f>
        <v>12</v>
      </c>
      <c r="IE299" s="117"/>
      <c r="IF299" s="117"/>
      <c r="IG299" s="117">
        <f>Konvention_1slave-CHslave</f>
        <v>12</v>
      </c>
      <c r="IH299" s="117"/>
      <c r="II299" s="117">
        <f>Konvention_1slave-GEslave</f>
        <v>12</v>
      </c>
      <c r="IJ299" s="117"/>
      <c r="IK299" s="121"/>
      <c r="IL299" s="223">
        <f>(ID299+IE299+IF299+IG299+IH299+II299+IJ299+IK299)/3</f>
        <v>12</v>
      </c>
      <c r="IM299" s="223">
        <f t="shared" si="2118"/>
        <v>24</v>
      </c>
      <c r="IN299" s="224">
        <f t="shared" si="2119"/>
        <v>36</v>
      </c>
      <c r="IO299" s="237">
        <f>ID299*POWER(KLslave,SIGN(IE299))*POWER(INslave,SIGN(IF299))*POWER(CHslave,SIGN(IG299))*POWER(FFslave,SIGN(IH299))*POWER(GEslave,SIGN(II299))*POWER(KOslave,SIGN(IJ299))*POWER(KKslave_KK,SIGN(IK299))+IE299*POWER(MUslave,SIGN(ID299))*POWER(INslave,SIGN(IF299))*POWER(CHslave,SIGN(IG299))*POWER(FFslave,SIGN(IH299))*POWER(GEslave,SIGN(II299))*POWER(KOslave,SIGN(IJ299))*POWER(KKslave_KK,SIGN(IK299))+IF299*POWER(MUslave,SIGN(ID299))*POWER(KLslave,SIGN(IE299))*POWER(CHslave,SIGN(IG299))*POWER(FFslave,SIGN(IH299))*POWER(GEslave,SIGN(II299))*POWER(KOslave,SIGN(IJ299))*POWER(KKslave_KK,SIGN(IK299))+IG299*POWER(MUslave,SIGN(ID299))*POWER(KLslave,SIGN(IE299))*POWER(INslave,SIGN(IF299))*POWER(FFslave,SIGN(IH299))*POWER(GEslave,SIGN(II299))*POWER(KOslave,SIGN(IJ299))*POWER(KKslave_KK,SIGN(IK299))+IH299*POWER(MUslave,SIGN(ID299))*POWER(KLslave,SIGN(IE299))*POWER(INslave,SIGN(IF299))*POWER(CHslave,SIGN(IG299))*POWER(GEslave,SIGN(II299))*POWER(KOslave,SIGN(IJ299))*POWER(KKslave_KK,SIGN(IK299))+II299*POWER(MUslave,SIGN(ID299))*POWER(KLslave,SIGN(IE299))*POWER(INslave,SIGN(IF299))*POWER(CHslave,SIGN(IG299))*POWER(FFslave,SIGN(IH299))*POWER(KOslave,SIGN(IJ299))*POWER(KKslave_KK,SIGN(IK299))+IJ299*POWER(MUslave,SIGN(ID299))*POWER(KLslave,SIGN(IE299))*POWER(INslave,SIGN(IF299))*POWER(CHslave,SIGN(IG299))*POWER(FFslave,SIGN(IH299))*POWER(GEslave,SIGN(II299))*POWER(KKslave_KK,SIGN(IK299))+IK299*POWER(MUslave,SIGN(ID299))*POWER(KLslave,SIGN(IE299))*POWER(INslave,SIGN(IF299))*POWER(CHslave,SIGN(IG299))*POWER(FFslave,SIGN(IH299))*POWER(GEslave,SIGN(II299))*POWER(KOslave,SIGN(IJ299))</f>
        <v>2304</v>
      </c>
      <c r="IP299" s="117">
        <f>ID299*IG299*GEslave+ID299*CHslave*II299+MUslave*IG299*II299</f>
        <v>3456</v>
      </c>
      <c r="IQ299" s="224">
        <f>IFERROR(ID299^SIGN(ID299),1)*IFERROR(IE299^SIGN(IE299),1)*IFERROR(IF299^SIGN(IF299),1)*IFERROR(IG299^SIGN(IG299),1)*IFERROR(IH299^SIGN(IH299),1)*IFERROR(II299^SIGN(II299),1)*IFERROR(IJ299^SIGN(IJ299),1)*IFERROR(IK299^SIGN(IK299),1)</f>
        <v>1728</v>
      </c>
      <c r="IR299" s="224">
        <f t="shared" si="2121"/>
        <v>7488</v>
      </c>
      <c r="IS299" s="222">
        <f t="shared" si="2122"/>
        <v>3.6923076923076925</v>
      </c>
      <c r="IT299" s="223">
        <f t="shared" si="2123"/>
        <v>11.076923076923077</v>
      </c>
      <c r="IU299" s="243">
        <f t="shared" si="2124"/>
        <v>8.3076923076923084</v>
      </c>
      <c r="IV299" s="243">
        <f t="shared" ref="IV299" si="2138">SUM(IS299:IU299)</f>
        <v>23.07692307692308</v>
      </c>
      <c r="IW299" s="252">
        <f t="shared" si="1923"/>
        <v>0</v>
      </c>
      <c r="IX299" s="324">
        <f t="shared" si="2126"/>
        <v>23.07692307692308</v>
      </c>
      <c r="IY299" s="304">
        <f t="shared" si="2127"/>
        <v>263.30769230769232</v>
      </c>
      <c r="IZ299" s="335">
        <f t="shared" si="2127"/>
        <v>3</v>
      </c>
      <c r="JA299" s="243">
        <f t="shared" si="2128"/>
        <v>260.30769230769232</v>
      </c>
      <c r="JB299" s="218">
        <f t="shared" si="2129"/>
        <v>0</v>
      </c>
      <c r="JE299" s="148"/>
    </row>
    <row r="300" spans="1:265" hidden="1" outlineLevel="2">
      <c r="A300" s="185"/>
      <c r="B300" s="217">
        <v>3</v>
      </c>
      <c r="C300" s="303" t="e">
        <f>VLOOKUP(AF300,Attribute!C:T,1,FALSE)</f>
        <v>#N/A</v>
      </c>
      <c r="D300" s="218" t="s">
        <v>8</v>
      </c>
      <c r="E300" s="304" t="s">
        <v>132</v>
      </c>
      <c r="F300" s="114">
        <f>Konvention_1master-MUmaster</f>
        <v>12</v>
      </c>
      <c r="G300" s="113"/>
      <c r="H300" s="113">
        <f>Konvention_1master-INmaster</f>
        <v>12</v>
      </c>
      <c r="I300" s="113"/>
      <c r="J300" s="113"/>
      <c r="K300" s="113">
        <f>Konvention_1master-GEmaster</f>
        <v>12</v>
      </c>
      <c r="L300" s="113"/>
      <c r="M300" s="119"/>
      <c r="N300" s="223">
        <f>(F300+G300+H300+I300+J300+K300+L300+M300)/3</f>
        <v>12</v>
      </c>
      <c r="O300" s="223">
        <f>2*N300</f>
        <v>24</v>
      </c>
      <c r="P300" s="224">
        <f>3*N300</f>
        <v>36</v>
      </c>
      <c r="Q300" s="237">
        <f>F300*POWER(KLmaster,SIGN(G300))*POWER(INmaster,SIGN(H300))*POWER(CHmaster,SIGN(I300))*POWER(FFmaster,SIGN(J300))*POWER(GEmaster,SIGN(K300))*POWER(KOmaster,SIGN(L300))*POWER(KKmaster,SIGN(M300))+G300*POWER(MUmaster,SIGN(F300))*POWER(INmaster,SIGN(H300))*POWER(CHmaster,SIGN(I300))*POWER(FFmaster,SIGN(J300))*POWER(GEmaster,SIGN(K300))*POWER(KOmaster,SIGN(L300))*POWER(KKmaster,SIGN(M300))+H300*POWER(MUmaster,SIGN(F300))*POWER(KLmaster,SIGN(G300))*POWER(CHmaster,SIGN(I300))*POWER(FFmaster,SIGN(J300))*POWER(GEmaster,SIGN(K300))*POWER(KOmaster,SIGN(L300))*POWER(KKmaster,SIGN(M300))+I300*POWER(MUmaster,SIGN(F300))*POWER(KLmaster,SIGN(G300))*POWER(INmaster,SIGN(H300))*POWER(FFmaster,SIGN(J300))*POWER(GEmaster,SIGN(K300))*POWER(KOmaster,SIGN(L300))*POWER(KKmaster,SIGN(M300))+J300*POWER(MUmaster,SIGN(F300))*POWER(KLmaster,SIGN(G300))*POWER(INmaster,SIGN(H300))*POWER(CHmaster,SIGN(I300))*POWER(GEmaster,SIGN(K300))*POWER(KOmaster,SIGN(L300))*POWER(KKmaster,SIGN(M300))+K300*POWER(MUmaster,SIGN(F300))*POWER(KLmaster,SIGN(G300))*POWER(INmaster,SIGN(H300))*POWER(CHmaster,SIGN(I300))*POWER(FFmaster,SIGN(J300))*POWER(KOmaster,SIGN(L300))*POWER(KKmaster,SIGN(M300))+L300*POWER(MUmaster,SIGN(F300))*POWER(KLmaster,SIGN(G300))*POWER(INmaster,SIGN(H300))*POWER(CHmaster,SIGN(I300))*POWER(FFmaster,SIGN(J300))*POWER(GEmaster,SIGN(K300))*POWER(KKmaster,SIGN(M300))+M300*POWER(MUmaster,SIGN(F300))*POWER(KLmaster,SIGN(G300))*POWER(INmaster,SIGN(H300))*POWER(CHmaster,SIGN(I300))*POWER(FFmaster,SIGN(J300))*POWER(GEmaster,SIGN(K300))*POWER(KOmaster,SIGN(L300))</f>
        <v>2304</v>
      </c>
      <c r="R300" s="113">
        <f>F300*H300*GEmaster+F300*INmaster*K300+MUmaster*H300*K300</f>
        <v>3456</v>
      </c>
      <c r="S300" s="224">
        <f>IFERROR(F300^SIGN(F300),1)*IFERROR(G300^SIGN(G300),1)*IFERROR(H300^SIGN(H300),1)*IFERROR(I300^SIGN(I300),1)*IFERROR(J300^SIGN(J300),1)*IFERROR(K300^SIGN(K300),1)*IFERROR(L300^SIGN(L300),1)*IFERROR(M300^SIGN(M300),1)</f>
        <v>1728</v>
      </c>
      <c r="T300" s="224">
        <f>SUM(Q300:S300)</f>
        <v>7488</v>
      </c>
      <c r="U300" s="222">
        <f>N300*Q300/T300</f>
        <v>3.6923076923076925</v>
      </c>
      <c r="V300" s="223">
        <f>O300*R300/T300</f>
        <v>11.076923076923077</v>
      </c>
      <c r="W300" s="243">
        <f>P300*S300/T300</f>
        <v>8.3076923076923084</v>
      </c>
      <c r="X300" s="243">
        <f>SUM(U300:W300)</f>
        <v>23.07692307692308</v>
      </c>
      <c r="Y300" s="252">
        <v>0</v>
      </c>
      <c r="Z300" s="324">
        <f>X300-Y300</f>
        <v>23.07692307692308</v>
      </c>
      <c r="AA300" s="304">
        <f>IF(X300&lt;=0,2,0)+IF(X300&gt;0,X300+1,0)*2+IF(X300&gt;12,X300-12,0)*2+IF(X300&gt;13,X300-13,0)*2+IF(X300&gt;14,X300-14,0)*2+IF(X300&gt;15,X300-15,0)*2+IF(X300&gt;16,X300-16,0)*2+IF(X300&gt;17,X300-17,0)*2+IF(X300&gt;18,X300-18,0)*2+IF(X300&gt;19,X300-19,0)*2+IF(X300&gt;20,X300-20,0)*2</f>
        <v>175.5384615384616</v>
      </c>
      <c r="AB300" s="335">
        <f>IF(Y300&lt;=0,2,0)+IF(Y300&gt;0,Y300+1,0)*2+IF(Y300&gt;12,Y300-12,0)*2+IF(Y300&gt;13,Y300-13,0)*2+IF(Y300&gt;14,Y300-14,0)*2+IF(Y300&gt;15,Y300-15,0)*2+IF(Y300&gt;16,Y300-16,0)*2+IF(Y300&gt;17,Y300-17,0)*2+IF(Y300&gt;18,Y300-18,0)*2+IF(Y300&gt;19,Y300-19,0)*2+IF(Y300&gt;20,Y300-20,0)*2</f>
        <v>2</v>
      </c>
      <c r="AC300" s="243">
        <f t="shared" si="2023"/>
        <v>173.5384615384616</v>
      </c>
      <c r="AD300" s="218">
        <f>IF((AB300-AA300)&gt;0,AB300-AA300,0)</f>
        <v>0</v>
      </c>
      <c r="AE300" s="140"/>
      <c r="AF300" s="303" t="s">
        <v>449</v>
      </c>
      <c r="AG300" s="218" t="s">
        <v>8</v>
      </c>
      <c r="AH300" s="304" t="s">
        <v>132</v>
      </c>
      <c r="AI300" s="114">
        <f t="shared" ref="AI300" si="2139">Konvention_1slave-MUslave_MU</f>
        <v>11</v>
      </c>
      <c r="AJ300" s="113"/>
      <c r="AK300" s="113">
        <f>Konvention_1slave-INslave</f>
        <v>12</v>
      </c>
      <c r="AL300" s="113"/>
      <c r="AM300" s="113"/>
      <c r="AN300" s="113">
        <f>Konvention_1slave-GEslave</f>
        <v>12</v>
      </c>
      <c r="AO300" s="113"/>
      <c r="AP300" s="119"/>
      <c r="AQ300" s="223">
        <f>(AI300+AJ300+AK300+AL300+AM300+AN300+AO300+AP300)/3</f>
        <v>11.666666666666666</v>
      </c>
      <c r="AR300" s="223">
        <f>2*AQ300</f>
        <v>23.333333333333332</v>
      </c>
      <c r="AS300" s="224">
        <f>3*AQ300</f>
        <v>35</v>
      </c>
      <c r="AT300" s="237">
        <f t="shared" ref="AT300" si="2140">AI300*POWER(KLslave,SIGN(AJ300))*POWER(INslave,SIGN(AK300))*POWER(CHslave,SIGN(AL300))*POWER(FFslave,SIGN(AM300))*POWER(GEslave,SIGN(AN300))*POWER(KOslave,SIGN(AO300))*POWER(KKslave,SIGN(AP300))+AJ300*POWER(MUslave_MU,SIGN(AI300))*POWER(INslave,SIGN(AK300))*POWER(CHslave,SIGN(AL300))*POWER(FFslave,SIGN(AM300))*POWER(GEslave,SIGN(AN300))*POWER(KOslave,SIGN(AO300))*POWER(KKslave,SIGN(AP300))+AK300*POWER(MUslave_MU,SIGN(AI300))*POWER(KLslave,SIGN(AJ300))*POWER(CHslave,SIGN(AL300))*POWER(FFslave,SIGN(AM300))*POWER(GEslave,SIGN(AN300))*POWER(KOslave,SIGN(AO300))*POWER(KKslave,SIGN(AP300))+AL300*POWER(MUslave_MU,SIGN(AI300))*POWER(KLslave,SIGN(AJ300))*POWER(INslave,SIGN(AK300))*POWER(FFslave,SIGN(AM300))*POWER(GEslave,SIGN(AN300))*POWER(KOslave,SIGN(AO300))*POWER(KKslave,SIGN(AP300))+AM300*POWER(MUslave_MU,SIGN(AI300))*POWER(KLslave,SIGN(AJ300))*POWER(INslave,SIGN(AK300))*POWER(CHslave,SIGN(AL300))*POWER(GEslave,SIGN(AN300))*POWER(KOslave,SIGN(AO300))*POWER(KKslave,SIGN(AP300))+AN300*POWER(MUslave_MU,SIGN(AI300))*POWER(KLslave,SIGN(AJ300))*POWER(INslave,SIGN(AK300))*POWER(CHslave,SIGN(AL300))*POWER(FFslave,SIGN(AM300))*POWER(KOslave,SIGN(AO300))*POWER(KKslave,SIGN(AP300))+AO300*POWER(MUslave_MU,SIGN(AI300))*POWER(KLslave,SIGN(AJ300))*POWER(INslave,SIGN(AK300))*POWER(CHslave,SIGN(AL300))*POWER(FFslave,SIGN(AM300))*POWER(GEslave,SIGN(AN300))*POWER(KKslave,SIGN(AP300))+AP300*POWER(MUslave_MU,SIGN(AI300))*POWER(KLslave,SIGN(AJ300))*POWER(INslave,SIGN(AK300))*POWER(CHslave,SIGN(AL300))*POWER(FFslave,SIGN(AM300))*POWER(GEslave,SIGN(AN300))*POWER(KOslave,SIGN(AO300))</f>
        <v>2432</v>
      </c>
      <c r="AU300" s="113">
        <f>AI300*AK300*GEslave+AI300*INslave*AN300+MUslave_MU*AK300*AN300</f>
        <v>3408</v>
      </c>
      <c r="AV300" s="224">
        <f>IFERROR(AI300^SIGN(AI300),1)*IFERROR(AJ300^SIGN(AJ300),1)*IFERROR(AK300^SIGN(AK300),1)*IFERROR(AL300^SIGN(AL300),1)*IFERROR(AM300^SIGN(AM300),1)*IFERROR(AN300^SIGN(AN300),1)*IFERROR(AO300^SIGN(AO300),1)*IFERROR(AP300^SIGN(AP300),1)</f>
        <v>1584</v>
      </c>
      <c r="AW300" s="224">
        <f>SUM(AT300:AV300)</f>
        <v>7424</v>
      </c>
      <c r="AX300" s="222">
        <f>AQ300*AT300/AW300</f>
        <v>3.8218390804597702</v>
      </c>
      <c r="AY300" s="223">
        <f>AR300*AU300/AW300</f>
        <v>10.711206896551724</v>
      </c>
      <c r="AZ300" s="243">
        <f>AS300*AV300/AW300</f>
        <v>7.4676724137931032</v>
      </c>
      <c r="BA300" s="243">
        <f>SUM(AX300:AZ300)</f>
        <v>22.000718390804597</v>
      </c>
      <c r="BB300" s="252">
        <f t="shared" si="2034"/>
        <v>0</v>
      </c>
      <c r="BC300" s="324">
        <f>BA300-BB300</f>
        <v>22.000718390804597</v>
      </c>
      <c r="BD300" s="304">
        <f>IF(BA300&lt;=0,2,0)+IF(BA300&gt;0,BA300+1,0)*2+IF(BA300&gt;12,BA300-12,0)*2+IF(BA300&gt;13,BA300-13,0)*2+IF(BA300&gt;14,BA300-14,0)*2+IF(BA300&gt;15,BA300-15,0)*2+IF(BA300&gt;16,BA300-16,0)*2+IF(BA300&gt;17,BA300-17,0)*2+IF(BA300&gt;18,BA300-18,0)*2+IF(BA300&gt;19,BA300-19,0)*2+IF(BA300&gt;20,BA300-20,0)*2</f>
        <v>154.01436781609189</v>
      </c>
      <c r="BE300" s="335">
        <f>IF(BB300&lt;=0,2,0)+IF(BB300&gt;0,BB300+1,0)*2+IF(BB300&gt;12,BB300-12,0)*2+IF(BB300&gt;13,BB300-13,0)*2+IF(BB300&gt;14,BB300-14,0)*2+IF(BB300&gt;15,BB300-15,0)*2+IF(BB300&gt;16,BB300-16,0)*2+IF(BB300&gt;17,BB300-17,0)*2+IF(BB300&gt;18,BB300-18,0)*2+IF(BB300&gt;19,BB300-19,0)*2+IF(BB300&gt;20,BB300-20,0)*2</f>
        <v>2</v>
      </c>
      <c r="BF300" s="243">
        <f t="shared" si="2037"/>
        <v>152.01436781609189</v>
      </c>
      <c r="BG300" s="218">
        <f>IF((BE300-BD300)&gt;0,BE300-BD300,0)</f>
        <v>0</v>
      </c>
      <c r="BH300" s="248"/>
      <c r="BI300" s="303" t="s">
        <v>449</v>
      </c>
      <c r="BJ300" s="218" t="s">
        <v>8</v>
      </c>
      <c r="BK300" s="304" t="s">
        <v>132</v>
      </c>
      <c r="BL300" s="114">
        <f t="shared" ref="BL300" si="2141">Konvention_1slave-MUslave</f>
        <v>12</v>
      </c>
      <c r="BM300" s="113"/>
      <c r="BN300" s="113">
        <f>Konvention_1slave-INslave</f>
        <v>12</v>
      </c>
      <c r="BO300" s="113"/>
      <c r="BP300" s="113"/>
      <c r="BQ300" s="113">
        <f>Konvention_1slave-GEslave</f>
        <v>12</v>
      </c>
      <c r="BR300" s="113"/>
      <c r="BS300" s="119"/>
      <c r="BT300" s="223">
        <f>(BL300+BM300+BN300+BO300+BP300+BQ300+BR300+BS300)/3</f>
        <v>12</v>
      </c>
      <c r="BU300" s="223">
        <f>2*BT300</f>
        <v>24</v>
      </c>
      <c r="BV300" s="224">
        <f>3*BT300</f>
        <v>36</v>
      </c>
      <c r="BW300" s="237">
        <f t="shared" ref="BW300" si="2142">BL300*POWER(KLslave_KL,SIGN(BM300))*POWER(INslave,SIGN(BN300))*POWER(CHslave,SIGN(BO300))*POWER(FFslave,SIGN(BP300))*POWER(GEslave,SIGN(BQ300))*POWER(KOslave,SIGN(BR300))*POWER(KKslave,SIGN(BS300))+BM300*POWER(MUslave,SIGN(BL300))*POWER(INslave,SIGN(BN300))*POWER(CHslave,SIGN(BO300))*POWER(FFslave,SIGN(BP300))*POWER(GEslave,SIGN(BQ300))*POWER(KOslave,SIGN(BR300))*POWER(KKslave,SIGN(BS300))+BN300*POWER(MUslave,SIGN(BL300))*POWER(KLslave_KL,SIGN(BM300))*POWER(CHslave,SIGN(BO300))*POWER(FFslave,SIGN(BP300))*POWER(GEslave,SIGN(BQ300))*POWER(KOslave,SIGN(BR300))*POWER(KKslave,SIGN(BS300))+BO300*POWER(MUslave,SIGN(BL300))*POWER(KLslave_KL,SIGN(BM300))*POWER(INslave,SIGN(BN300))*POWER(FFslave,SIGN(BP300))*POWER(GEslave,SIGN(BQ300))*POWER(KOslave,SIGN(BR300))*POWER(KKslave,SIGN(BS300))+BP300*POWER(MUslave,SIGN(BL300))*POWER(KLslave_KL,SIGN(BM300))*POWER(INslave,SIGN(BN300))*POWER(CHslave,SIGN(BO300))*POWER(GEslave,SIGN(BQ300))*POWER(KOslave,SIGN(BR300))*POWER(KKslave,SIGN(BS300))+BQ300*POWER(MUslave,SIGN(BL300))*POWER(KLslave_KL,SIGN(BM300))*POWER(INslave,SIGN(BN300))*POWER(CHslave,SIGN(BO300))*POWER(FFslave,SIGN(BP300))*POWER(KOslave,SIGN(BR300))*POWER(KKslave,SIGN(BS300))+BR300*POWER(MUslave,SIGN(BL300))*POWER(KLslave_KL,SIGN(BM300))*POWER(INslave,SIGN(BN300))*POWER(CHslave,SIGN(BO300))*POWER(FFslave,SIGN(BP300))*POWER(GEslave,SIGN(BQ300))*POWER(KKslave,SIGN(BS300))+BS300*POWER(MUslave,SIGN(BL300))*POWER(KLslave_KL,SIGN(BM300))*POWER(INslave,SIGN(BN300))*POWER(CHslave,SIGN(BO300))*POWER(FFslave,SIGN(BP300))*POWER(GEslave,SIGN(BQ300))*POWER(KOslave,SIGN(BR300))</f>
        <v>2304</v>
      </c>
      <c r="BX300" s="113">
        <f>BL300*BN300*GEslave+BL300*INslave*BQ300+MUslave*BN300*BQ300</f>
        <v>3456</v>
      </c>
      <c r="BY300" s="224">
        <f>IFERROR(BL300^SIGN(BL300),1)*IFERROR(BM300^SIGN(BM300),1)*IFERROR(BN300^SIGN(BN300),1)*IFERROR(BO300^SIGN(BO300),1)*IFERROR(BP300^SIGN(BP300),1)*IFERROR(BQ300^SIGN(BQ300),1)*IFERROR(BR300^SIGN(BR300),1)*IFERROR(BS300^SIGN(BS300),1)</f>
        <v>1728</v>
      </c>
      <c r="BZ300" s="224">
        <f>SUM(BW300:BY300)</f>
        <v>7488</v>
      </c>
      <c r="CA300" s="222">
        <f>BT300*BW300/BZ300</f>
        <v>3.6923076923076925</v>
      </c>
      <c r="CB300" s="223">
        <f>BU300*BX300/BZ300</f>
        <v>11.076923076923077</v>
      </c>
      <c r="CC300" s="243">
        <f>BV300*BY300/BZ300</f>
        <v>8.3076923076923084</v>
      </c>
      <c r="CD300" s="243">
        <f>SUM(CA300:CC300)</f>
        <v>23.07692307692308</v>
      </c>
      <c r="CE300" s="252">
        <f t="shared" si="1833"/>
        <v>0</v>
      </c>
      <c r="CF300" s="324">
        <f>CD300-CE300</f>
        <v>23.07692307692308</v>
      </c>
      <c r="CG300" s="304">
        <f>IF(CD300&lt;=0,2,0)+IF(CD300&gt;0,CD300+1,0)*2+IF(CD300&gt;12,CD300-12,0)*2+IF(CD300&gt;13,CD300-13,0)*2+IF(CD300&gt;14,CD300-14,0)*2+IF(CD300&gt;15,CD300-15,0)*2+IF(CD300&gt;16,CD300-16,0)*2+IF(CD300&gt;17,CD300-17,0)*2+IF(CD300&gt;18,CD300-18,0)*2+IF(CD300&gt;19,CD300-19,0)*2+IF(CD300&gt;20,CD300-20,0)*2</f>
        <v>175.5384615384616</v>
      </c>
      <c r="CH300" s="335">
        <f>IF(CE300&lt;=0,2,0)+IF(CE300&gt;0,CE300+1,0)*2+IF(CE300&gt;12,CE300-12,0)*2+IF(CE300&gt;13,CE300-13,0)*2+IF(CE300&gt;14,CE300-14,0)*2+IF(CE300&gt;15,CE300-15,0)*2+IF(CE300&gt;16,CE300-16,0)*2+IF(CE300&gt;17,CE300-17,0)*2+IF(CE300&gt;18,CE300-18,0)*2+IF(CE300&gt;19,CE300-19,0)*2+IF(CE300&gt;20,CE300-20,0)*2</f>
        <v>2</v>
      </c>
      <c r="CI300" s="243">
        <f t="shared" si="2050"/>
        <v>173.5384615384616</v>
      </c>
      <c r="CJ300" s="218">
        <f>IF((CH300-CG300)&gt;0,CH300-CG300,0)</f>
        <v>0</v>
      </c>
      <c r="CK300" s="248"/>
      <c r="CL300" s="303" t="s">
        <v>449</v>
      </c>
      <c r="CM300" s="218" t="s">
        <v>8</v>
      </c>
      <c r="CN300" s="304" t="s">
        <v>132</v>
      </c>
      <c r="CO300" s="114">
        <f t="shared" ref="CO300" si="2143">Konvention_1slave-MUslave</f>
        <v>12</v>
      </c>
      <c r="CP300" s="113"/>
      <c r="CQ300" s="113">
        <f>Konvention_1slave-INslave_IN</f>
        <v>11</v>
      </c>
      <c r="CR300" s="113"/>
      <c r="CS300" s="113"/>
      <c r="CT300" s="113">
        <f>Konvention_1slave-GEslave</f>
        <v>12</v>
      </c>
      <c r="CU300" s="113"/>
      <c r="CV300" s="119"/>
      <c r="CW300" s="223">
        <f>(CO300+CP300+CQ300+CR300+CS300+CT300+CU300+CV300)/3</f>
        <v>11.666666666666666</v>
      </c>
      <c r="CX300" s="223">
        <f>2*CW300</f>
        <v>23.333333333333332</v>
      </c>
      <c r="CY300" s="224">
        <f>3*CW300</f>
        <v>35</v>
      </c>
      <c r="CZ300" s="237">
        <f t="shared" ref="CZ300" si="2144">CO300*POWER(KLslave,SIGN(CP300))*POWER(INslave_IN,SIGN(CQ300))*POWER(CHslave,SIGN(CR300))*POWER(FFslave,SIGN(CS300))*POWER(GEslave,SIGN(CT300))*POWER(KOslave,SIGN(CU300))*POWER(KKslave,SIGN(CV300))+CP300*POWER(MUslave,SIGN(CO300))*POWER(INslave_IN,SIGN(CQ300))*POWER(CHslave,SIGN(CR300))*POWER(FFslave,SIGN(CS300))*POWER(GEslave,SIGN(CT300))*POWER(KOslave,SIGN(CU300))*POWER(KKslave,SIGN(CV300))+CQ300*POWER(MUslave,SIGN(CO300))*POWER(KLslave,SIGN(CP300))*POWER(CHslave,SIGN(CR300))*POWER(FFslave,SIGN(CS300))*POWER(GEslave,SIGN(CT300))*POWER(KOslave,SIGN(CU300))*POWER(KKslave,SIGN(CV300))+CR300*POWER(MUslave,SIGN(CO300))*POWER(KLslave,SIGN(CP300))*POWER(INslave_IN,SIGN(CQ300))*POWER(FFslave,SIGN(CS300))*POWER(GEslave,SIGN(CT300))*POWER(KOslave,SIGN(CU300))*POWER(KKslave,SIGN(CV300))+CS300*POWER(MUslave,SIGN(CO300))*POWER(KLslave,SIGN(CP300))*POWER(INslave_IN,SIGN(CQ300))*POWER(CHslave,SIGN(CR300))*POWER(GEslave,SIGN(CT300))*POWER(KOslave,SIGN(CU300))*POWER(KKslave,SIGN(CV300))+CT300*POWER(MUslave,SIGN(CO300))*POWER(KLslave,SIGN(CP300))*POWER(INslave_IN,SIGN(CQ300))*POWER(CHslave,SIGN(CR300))*POWER(FFslave,SIGN(CS300))*POWER(KOslave,SIGN(CU300))*POWER(KKslave,SIGN(CV300))+CU300*POWER(MUslave,SIGN(CO300))*POWER(KLslave,SIGN(CP300))*POWER(INslave_IN,SIGN(CQ300))*POWER(CHslave,SIGN(CR300))*POWER(FFslave,SIGN(CS300))*POWER(GEslave,SIGN(CT300))*POWER(KKslave,SIGN(CV300))+CV300*POWER(MUslave,SIGN(CO300))*POWER(KLslave,SIGN(CP300))*POWER(INslave_IN,SIGN(CQ300))*POWER(CHslave,SIGN(CR300))*POWER(FFslave,SIGN(CS300))*POWER(GEslave,SIGN(CT300))*POWER(KOslave,SIGN(CU300))</f>
        <v>2432</v>
      </c>
      <c r="DA300" s="113">
        <f>CO300*CQ300*GEslave+CO300*INslave_IN*CT300+MUslave*CQ300*CT300</f>
        <v>3408</v>
      </c>
      <c r="DB300" s="224">
        <f>IFERROR(CO300^SIGN(CO300),1)*IFERROR(CP300^SIGN(CP300),1)*IFERROR(CQ300^SIGN(CQ300),1)*IFERROR(CR300^SIGN(CR300),1)*IFERROR(CS300^SIGN(CS300),1)*IFERROR(CT300^SIGN(CT300),1)*IFERROR(CU300^SIGN(CU300),1)*IFERROR(CV300^SIGN(CV300),1)</f>
        <v>1584</v>
      </c>
      <c r="DC300" s="224">
        <f>SUM(CZ300:DB300)</f>
        <v>7424</v>
      </c>
      <c r="DD300" s="222">
        <f>CW300*CZ300/DC300</f>
        <v>3.8218390804597702</v>
      </c>
      <c r="DE300" s="223">
        <f>CX300*DA300/DC300</f>
        <v>10.711206896551724</v>
      </c>
      <c r="DF300" s="243">
        <f>CY300*DB300/DC300</f>
        <v>7.4676724137931032</v>
      </c>
      <c r="DG300" s="243">
        <f>SUM(DD300:DF300)</f>
        <v>22.000718390804597</v>
      </c>
      <c r="DH300" s="252">
        <f t="shared" si="1848"/>
        <v>0</v>
      </c>
      <c r="DI300" s="324">
        <f>DG300-DH300</f>
        <v>22.000718390804597</v>
      </c>
      <c r="DJ300" s="304">
        <f>IF(DG300&lt;=0,2,0)+IF(DG300&gt;0,DG300+1,0)*2+IF(DG300&gt;12,DG300-12,0)*2+IF(DG300&gt;13,DG300-13,0)*2+IF(DG300&gt;14,DG300-14,0)*2+IF(DG300&gt;15,DG300-15,0)*2+IF(DG300&gt;16,DG300-16,0)*2+IF(DG300&gt;17,DG300-17,0)*2+IF(DG300&gt;18,DG300-18,0)*2+IF(DG300&gt;19,DG300-19,0)*2+IF(DG300&gt;20,DG300-20,0)*2</f>
        <v>154.01436781609189</v>
      </c>
      <c r="DK300" s="335">
        <f>IF(DH300&lt;=0,2,0)+IF(DH300&gt;0,DH300+1,0)*2+IF(DH300&gt;12,DH300-12,0)*2+IF(DH300&gt;13,DH300-13,0)*2+IF(DH300&gt;14,DH300-14,0)*2+IF(DH300&gt;15,DH300-15,0)*2+IF(DH300&gt;16,DH300-16,0)*2+IF(DH300&gt;17,DH300-17,0)*2+IF(DH300&gt;18,DH300-18,0)*2+IF(DH300&gt;19,DH300-19,0)*2+IF(DH300&gt;20,DH300-20,0)*2</f>
        <v>2</v>
      </c>
      <c r="DL300" s="243">
        <f t="shared" si="2063"/>
        <v>152.01436781609189</v>
      </c>
      <c r="DM300" s="218">
        <f>IF((DK300-DJ300)&gt;0,DK300-DJ300,0)</f>
        <v>0</v>
      </c>
      <c r="DN300" s="248"/>
      <c r="DO300" s="303" t="s">
        <v>449</v>
      </c>
      <c r="DP300" s="218" t="s">
        <v>8</v>
      </c>
      <c r="DQ300" s="304" t="s">
        <v>132</v>
      </c>
      <c r="DR300" s="114">
        <f t="shared" ref="DR300" si="2145">Konvention_1slave-MUslave</f>
        <v>12</v>
      </c>
      <c r="DS300" s="113"/>
      <c r="DT300" s="113">
        <f>Konvention_1slave-INslave</f>
        <v>12</v>
      </c>
      <c r="DU300" s="113"/>
      <c r="DV300" s="113"/>
      <c r="DW300" s="113">
        <f>Konvention_1slave-GEslave</f>
        <v>12</v>
      </c>
      <c r="DX300" s="113"/>
      <c r="DY300" s="119"/>
      <c r="DZ300" s="223">
        <f>(DR300+DS300+DT300+DU300+DV300+DW300+DX300+DY300)/3</f>
        <v>12</v>
      </c>
      <c r="EA300" s="223">
        <f>2*DZ300</f>
        <v>24</v>
      </c>
      <c r="EB300" s="224">
        <f>3*DZ300</f>
        <v>36</v>
      </c>
      <c r="EC300" s="237">
        <f t="shared" ref="EC300" si="2146">DR300*POWER(KLslave,SIGN(DS300))*POWER(INslave,SIGN(DT300))*POWER(CHslave_CH,SIGN(DU300))*POWER(FFslave,SIGN(DV300))*POWER(GEslave,SIGN(DW300))*POWER(KOslave,SIGN(DX300))*POWER(KKslave,SIGN(DY300))+DS300*POWER(MUslave,SIGN(DR300))*POWER(INslave,SIGN(DT300))*POWER(CHslave_CH,SIGN(DU300))*POWER(FFslave,SIGN(DV300))*POWER(GEslave,SIGN(DW300))*POWER(KOslave,SIGN(DX300))*POWER(KKslave,SIGN(DY300))+DT300*POWER(MUslave,SIGN(DR300))*POWER(KLslave,SIGN(DS300))*POWER(CHslave_CH,SIGN(DU300))*POWER(FFslave,SIGN(DV300))*POWER(GEslave,SIGN(DW300))*POWER(KOslave,SIGN(DX300))*POWER(KKslave,SIGN(DY300))+DU300*POWER(MUslave,SIGN(DR300))*POWER(KLslave,SIGN(DS300))*POWER(INslave,SIGN(DT300))*POWER(FFslave,SIGN(DV300))*POWER(GEslave,SIGN(DW300))*POWER(KOslave,SIGN(DX300))*POWER(KKslave,SIGN(DY300))+DV300*POWER(MUslave,SIGN(DR300))*POWER(KLslave,SIGN(DS300))*POWER(INslave,SIGN(DT300))*POWER(CHslave_CH,SIGN(DU300))*POWER(GEslave,SIGN(DW300))*POWER(KOslave,SIGN(DX300))*POWER(KKslave,SIGN(DY300))+DW300*POWER(MUslave,SIGN(DR300))*POWER(KLslave,SIGN(DS300))*POWER(INslave,SIGN(DT300))*POWER(CHslave_CH,SIGN(DU300))*POWER(FFslave,SIGN(DV300))*POWER(KOslave,SIGN(DX300))*POWER(KKslave,SIGN(DY300))+DX300*POWER(MUslave,SIGN(DR300))*POWER(KLslave,SIGN(DS300))*POWER(INslave,SIGN(DT300))*POWER(CHslave_CH,SIGN(DU300))*POWER(FFslave,SIGN(DV300))*POWER(GEslave,SIGN(DW300))*POWER(KKslave,SIGN(DY300))+DY300*POWER(MUslave,SIGN(DR300))*POWER(KLslave,SIGN(DS300))*POWER(INslave,SIGN(DT300))*POWER(CHslave_CH,SIGN(DU300))*POWER(FFslave,SIGN(DV300))*POWER(GEslave,SIGN(DW300))*POWER(KOslave,SIGN(DX300))</f>
        <v>2304</v>
      </c>
      <c r="ED300" s="113">
        <f>DR300*DT300*GEslave+DR300*INslave*DW300+MUslave*DT300*DW300</f>
        <v>3456</v>
      </c>
      <c r="EE300" s="224">
        <f>IFERROR(DR300^SIGN(DR300),1)*IFERROR(DS300^SIGN(DS300),1)*IFERROR(DT300^SIGN(DT300),1)*IFERROR(DU300^SIGN(DU300),1)*IFERROR(DV300^SIGN(DV300),1)*IFERROR(DW300^SIGN(DW300),1)*IFERROR(DX300^SIGN(DX300),1)*IFERROR(DY300^SIGN(DY300),1)</f>
        <v>1728</v>
      </c>
      <c r="EF300" s="224">
        <f>SUM(EC300:EE300)</f>
        <v>7488</v>
      </c>
      <c r="EG300" s="222">
        <f>DZ300*EC300/EF300</f>
        <v>3.6923076923076925</v>
      </c>
      <c r="EH300" s="223">
        <f>EA300*ED300/EF300</f>
        <v>11.076923076923077</v>
      </c>
      <c r="EI300" s="243">
        <f>EB300*EE300/EF300</f>
        <v>8.3076923076923084</v>
      </c>
      <c r="EJ300" s="243">
        <f>SUM(EG300:EI300)</f>
        <v>23.07692307692308</v>
      </c>
      <c r="EK300" s="252">
        <f t="shared" si="1863"/>
        <v>0</v>
      </c>
      <c r="EL300" s="324">
        <f>EJ300-EK300</f>
        <v>23.07692307692308</v>
      </c>
      <c r="EM300" s="304">
        <f>IF(EJ300&lt;=0,2,0)+IF(EJ300&gt;0,EJ300+1,0)*2+IF(EJ300&gt;12,EJ300-12,0)*2+IF(EJ300&gt;13,EJ300-13,0)*2+IF(EJ300&gt;14,EJ300-14,0)*2+IF(EJ300&gt;15,EJ300-15,0)*2+IF(EJ300&gt;16,EJ300-16,0)*2+IF(EJ300&gt;17,EJ300-17,0)*2+IF(EJ300&gt;18,EJ300-18,0)*2+IF(EJ300&gt;19,EJ300-19,0)*2+IF(EJ300&gt;20,EJ300-20,0)*2</f>
        <v>175.5384615384616</v>
      </c>
      <c r="EN300" s="335">
        <f>IF(EK300&lt;=0,2,0)+IF(EK300&gt;0,EK300+1,0)*2+IF(EK300&gt;12,EK300-12,0)*2+IF(EK300&gt;13,EK300-13,0)*2+IF(EK300&gt;14,EK300-14,0)*2+IF(EK300&gt;15,EK300-15,0)*2+IF(EK300&gt;16,EK300-16,0)*2+IF(EK300&gt;17,EK300-17,0)*2+IF(EK300&gt;18,EK300-18,0)*2+IF(EK300&gt;19,EK300-19,0)*2+IF(EK300&gt;20,EK300-20,0)*2</f>
        <v>2</v>
      </c>
      <c r="EO300" s="243">
        <f t="shared" si="2076"/>
        <v>173.5384615384616</v>
      </c>
      <c r="EP300" s="218">
        <f>IF((EN300-EM300)&gt;0,EN300-EM300,0)</f>
        <v>0</v>
      </c>
      <c r="EQ300" s="248"/>
      <c r="ER300" s="303" t="s">
        <v>449</v>
      </c>
      <c r="ES300" s="218" t="s">
        <v>8</v>
      </c>
      <c r="ET300" s="304" t="s">
        <v>132</v>
      </c>
      <c r="EU300" s="114">
        <f t="shared" ref="EU300" si="2147">Konvention_1slave-MUslave</f>
        <v>12</v>
      </c>
      <c r="EV300" s="113"/>
      <c r="EW300" s="113">
        <f>Konvention_1slave-INslave</f>
        <v>12</v>
      </c>
      <c r="EX300" s="113"/>
      <c r="EY300" s="113"/>
      <c r="EZ300" s="113">
        <f>Konvention_1slave-GEslave</f>
        <v>12</v>
      </c>
      <c r="FA300" s="113"/>
      <c r="FB300" s="119"/>
      <c r="FC300" s="223">
        <f>(EU300+EV300+EW300+EX300+EY300+EZ300+FA300+FB300)/3</f>
        <v>12</v>
      </c>
      <c r="FD300" s="223">
        <f>2*FC300</f>
        <v>24</v>
      </c>
      <c r="FE300" s="224">
        <f>3*FC300</f>
        <v>36</v>
      </c>
      <c r="FF300" s="237">
        <f t="shared" ref="FF300" si="2148">EU300*POWER(KLslave,SIGN(EV300))*POWER(INslave,SIGN(EW300))*POWER(CHslave,SIGN(EX300))*POWER(FFslave_FF,SIGN(EY300))*POWER(GEslave,SIGN(EZ300))*POWER(KOslave,SIGN(FA300))*POWER(KKslave,SIGN(FB300))+EV300*POWER(MUslave,SIGN(EU300))*POWER(INslave,SIGN(EW300))*POWER(CHslave,SIGN(EX300))*POWER(FFslave_FF,SIGN(EY300))*POWER(GEslave,SIGN(EZ300))*POWER(KOslave,SIGN(FA300))*POWER(KKslave,SIGN(FB300))+EW300*POWER(MUslave,SIGN(EU300))*POWER(KLslave,SIGN(EV300))*POWER(CHslave,SIGN(EX300))*POWER(FFslave_FF,SIGN(EY300))*POWER(GEslave,SIGN(EZ300))*POWER(KOslave,SIGN(FA300))*POWER(KKslave,SIGN(FB300))+EX300*POWER(MUslave,SIGN(EU300))*POWER(KLslave,SIGN(EV300))*POWER(INslave,SIGN(EW300))*POWER(FFslave_FF,SIGN(EY300))*POWER(GEslave,SIGN(EZ300))*POWER(KOslave,SIGN(FA300))*POWER(KKslave,SIGN(FB300))+EY300*POWER(MUslave,SIGN(EU300))*POWER(KLslave,SIGN(EV300))*POWER(INslave,SIGN(EW300))*POWER(CHslave,SIGN(EX300))*POWER(GEslave,SIGN(EZ300))*POWER(KOslave,SIGN(FA300))*POWER(KKslave,SIGN(FB300))+EZ300*POWER(MUslave,SIGN(EU300))*POWER(KLslave,SIGN(EV300))*POWER(INslave,SIGN(EW300))*POWER(CHslave,SIGN(EX300))*POWER(FFslave_FF,SIGN(EY300))*POWER(KOslave,SIGN(FA300))*POWER(KKslave,SIGN(FB300))+FA300*POWER(MUslave,SIGN(EU300))*POWER(KLslave,SIGN(EV300))*POWER(INslave,SIGN(EW300))*POWER(CHslave,SIGN(EX300))*POWER(FFslave_FF,SIGN(EY300))*POWER(GEslave,SIGN(EZ300))*POWER(KKslave,SIGN(FB300))+FB300*POWER(MUslave,SIGN(EU300))*POWER(KLslave,SIGN(EV300))*POWER(INslave,SIGN(EW300))*POWER(CHslave,SIGN(EX300))*POWER(FFslave_FF,SIGN(EY300))*POWER(GEslave,SIGN(EZ300))*POWER(KOslave,SIGN(FA300))</f>
        <v>2304</v>
      </c>
      <c r="FG300" s="113">
        <f>EU300*EW300*GEslave+EU300*INslave*EZ300+MUslave*EW300*EZ300</f>
        <v>3456</v>
      </c>
      <c r="FH300" s="224">
        <f>IFERROR(EU300^SIGN(EU300),1)*IFERROR(EV300^SIGN(EV300),1)*IFERROR(EW300^SIGN(EW300),1)*IFERROR(EX300^SIGN(EX300),1)*IFERROR(EY300^SIGN(EY300),1)*IFERROR(EZ300^SIGN(EZ300),1)*IFERROR(FA300^SIGN(FA300),1)*IFERROR(FB300^SIGN(FB300),1)</f>
        <v>1728</v>
      </c>
      <c r="FI300" s="224">
        <f>SUM(FF300:FH300)</f>
        <v>7488</v>
      </c>
      <c r="FJ300" s="222">
        <f>FC300*FF300/FI300</f>
        <v>3.6923076923076925</v>
      </c>
      <c r="FK300" s="223">
        <f>FD300*FG300/FI300</f>
        <v>11.076923076923077</v>
      </c>
      <c r="FL300" s="243">
        <f>FE300*FH300/FI300</f>
        <v>8.3076923076923084</v>
      </c>
      <c r="FM300" s="243">
        <f>SUM(FJ300:FL300)</f>
        <v>23.07692307692308</v>
      </c>
      <c r="FN300" s="252">
        <f t="shared" si="1878"/>
        <v>0</v>
      </c>
      <c r="FO300" s="324">
        <f>FM300-FN300</f>
        <v>23.07692307692308</v>
      </c>
      <c r="FP300" s="304">
        <f>IF(FM300&lt;=0,2,0)+IF(FM300&gt;0,FM300+1,0)*2+IF(FM300&gt;12,FM300-12,0)*2+IF(FM300&gt;13,FM300-13,0)*2+IF(FM300&gt;14,FM300-14,0)*2+IF(FM300&gt;15,FM300-15,0)*2+IF(FM300&gt;16,FM300-16,0)*2+IF(FM300&gt;17,FM300-17,0)*2+IF(FM300&gt;18,FM300-18,0)*2+IF(FM300&gt;19,FM300-19,0)*2+IF(FM300&gt;20,FM300-20,0)*2</f>
        <v>175.5384615384616</v>
      </c>
      <c r="FQ300" s="335">
        <f>IF(FN300&lt;=0,2,0)+IF(FN300&gt;0,FN300+1,0)*2+IF(FN300&gt;12,FN300-12,0)*2+IF(FN300&gt;13,FN300-13,0)*2+IF(FN300&gt;14,FN300-14,0)*2+IF(FN300&gt;15,FN300-15,0)*2+IF(FN300&gt;16,FN300-16,0)*2+IF(FN300&gt;17,FN300-17,0)*2+IF(FN300&gt;18,FN300-18,0)*2+IF(FN300&gt;19,FN300-19,0)*2+IF(FN300&gt;20,FN300-20,0)*2</f>
        <v>2</v>
      </c>
      <c r="FR300" s="243">
        <f t="shared" si="2089"/>
        <v>173.5384615384616</v>
      </c>
      <c r="FS300" s="218">
        <f>IF((FQ300-FP300)&gt;0,FQ300-FP300,0)</f>
        <v>0</v>
      </c>
      <c r="FT300" s="248"/>
      <c r="FU300" s="303" t="s">
        <v>449</v>
      </c>
      <c r="FV300" s="218" t="s">
        <v>8</v>
      </c>
      <c r="FW300" s="304" t="s">
        <v>132</v>
      </c>
      <c r="FX300" s="114">
        <f t="shared" ref="FX300" si="2149">Konvention_1slave-MUslave</f>
        <v>12</v>
      </c>
      <c r="FY300" s="113"/>
      <c r="FZ300" s="113">
        <f>Konvention_1slave-INslave</f>
        <v>12</v>
      </c>
      <c r="GA300" s="113"/>
      <c r="GB300" s="113"/>
      <c r="GC300" s="113">
        <f>Konvention_1slave-GEslave_GE</f>
        <v>11</v>
      </c>
      <c r="GD300" s="113"/>
      <c r="GE300" s="119"/>
      <c r="GF300" s="223">
        <f>(FX300+FY300+FZ300+GA300+GB300+GC300+GD300+GE300)/3</f>
        <v>11.666666666666666</v>
      </c>
      <c r="GG300" s="223">
        <f>2*GF300</f>
        <v>23.333333333333332</v>
      </c>
      <c r="GH300" s="224">
        <f>3*GF300</f>
        <v>35</v>
      </c>
      <c r="GI300" s="237">
        <f t="shared" ref="GI300" si="2150">FX300*POWER(KLslave,SIGN(FY300))*POWER(INslave,SIGN(FZ300))*POWER(CHslave,SIGN(GA300))*POWER(FFslave,SIGN(GB300))*POWER(GEslave_GE,SIGN(GC300))*POWER(KOslave,SIGN(GD300))*POWER(KKslave,SIGN(GE300))+FY300*POWER(MUslave,SIGN(FX300))*POWER(INslave,SIGN(FZ300))*POWER(CHslave,SIGN(GA300))*POWER(FFslave,SIGN(GB300))*POWER(GEslave_GE,SIGN(GC300))*POWER(KOslave,SIGN(GD300))*POWER(KKslave,SIGN(GE300))+FZ300*POWER(MUslave,SIGN(FX300))*POWER(KLslave,SIGN(FY300))*POWER(CHslave,SIGN(GA300))*POWER(FFslave,SIGN(GB300))*POWER(GEslave_GE,SIGN(GC300))*POWER(KOslave,SIGN(GD300))*POWER(KKslave,SIGN(GE300))+GA300*POWER(MUslave,SIGN(FX300))*POWER(KLslave,SIGN(FY300))*POWER(INslave,SIGN(FZ300))*POWER(FFslave,SIGN(GB300))*POWER(GEslave_GE,SIGN(GC300))*POWER(KOslave,SIGN(GD300))*POWER(KKslave,SIGN(GE300))+GB300*POWER(MUslave,SIGN(FX300))*POWER(KLslave,SIGN(FY300))*POWER(INslave,SIGN(FZ300))*POWER(CHslave,SIGN(GA300))*POWER(GEslave_GE,SIGN(GC300))*POWER(KOslave,SIGN(GD300))*POWER(KKslave,SIGN(GE300))+GC300*POWER(MUslave,SIGN(FX300))*POWER(KLslave,SIGN(FY300))*POWER(INslave,SIGN(FZ300))*POWER(CHslave,SIGN(GA300))*POWER(FFslave,SIGN(GB300))*POWER(KOslave,SIGN(GD300))*POWER(KKslave,SIGN(GE300))+GD300*POWER(MUslave,SIGN(FX300))*POWER(KLslave,SIGN(FY300))*POWER(INslave,SIGN(FZ300))*POWER(CHslave,SIGN(GA300))*POWER(FFslave,SIGN(GB300))*POWER(GEslave_GE,SIGN(GC300))*POWER(KKslave,SIGN(GE300))+GE300*POWER(MUslave,SIGN(FX300))*POWER(KLslave,SIGN(FY300))*POWER(INslave,SIGN(FZ300))*POWER(CHslave,SIGN(GA300))*POWER(FFslave,SIGN(GB300))*POWER(GEslave_GE,SIGN(GC300))*POWER(KOslave,SIGN(GD300))</f>
        <v>2432</v>
      </c>
      <c r="GJ300" s="113">
        <f>FX300*FZ300*GEslave_GE+FX300*INslave*GC300+MUslave*FZ300*GC300</f>
        <v>3408</v>
      </c>
      <c r="GK300" s="224">
        <f>IFERROR(FX300^SIGN(FX300),1)*IFERROR(FY300^SIGN(FY300),1)*IFERROR(FZ300^SIGN(FZ300),1)*IFERROR(GA300^SIGN(GA300),1)*IFERROR(GB300^SIGN(GB300),1)*IFERROR(GC300^SIGN(GC300),1)*IFERROR(GD300^SIGN(GD300),1)*IFERROR(GE300^SIGN(GE300),1)</f>
        <v>1584</v>
      </c>
      <c r="GL300" s="224">
        <f>SUM(GI300:GK300)</f>
        <v>7424</v>
      </c>
      <c r="GM300" s="222">
        <f>GF300*GI300/GL300</f>
        <v>3.8218390804597702</v>
      </c>
      <c r="GN300" s="223">
        <f>GG300*GJ300/GL300</f>
        <v>10.711206896551724</v>
      </c>
      <c r="GO300" s="243">
        <f>GH300*GK300/GL300</f>
        <v>7.4676724137931032</v>
      </c>
      <c r="GP300" s="243">
        <f>SUM(GM300:GO300)</f>
        <v>22.000718390804597</v>
      </c>
      <c r="GQ300" s="252">
        <f t="shared" si="1893"/>
        <v>0</v>
      </c>
      <c r="GR300" s="324">
        <f>GP300-GQ300</f>
        <v>22.000718390804597</v>
      </c>
      <c r="GS300" s="304">
        <f>IF(GP300&lt;=0,2,0)+IF(GP300&gt;0,GP300+1,0)*2+IF(GP300&gt;12,GP300-12,0)*2+IF(GP300&gt;13,GP300-13,0)*2+IF(GP300&gt;14,GP300-14,0)*2+IF(GP300&gt;15,GP300-15,0)*2+IF(GP300&gt;16,GP300-16,0)*2+IF(GP300&gt;17,GP300-17,0)*2+IF(GP300&gt;18,GP300-18,0)*2+IF(GP300&gt;19,GP300-19,0)*2+IF(GP300&gt;20,GP300-20,0)*2</f>
        <v>154.01436781609189</v>
      </c>
      <c r="GT300" s="335">
        <f>IF(GQ300&lt;=0,2,0)+IF(GQ300&gt;0,GQ300+1,0)*2+IF(GQ300&gt;12,GQ300-12,0)*2+IF(GQ300&gt;13,GQ300-13,0)*2+IF(GQ300&gt;14,GQ300-14,0)*2+IF(GQ300&gt;15,GQ300-15,0)*2+IF(GQ300&gt;16,GQ300-16,0)*2+IF(GQ300&gt;17,GQ300-17,0)*2+IF(GQ300&gt;18,GQ300-18,0)*2+IF(GQ300&gt;19,GQ300-19,0)*2+IF(GQ300&gt;20,GQ300-20,0)*2</f>
        <v>2</v>
      </c>
      <c r="GU300" s="243">
        <f t="shared" si="2102"/>
        <v>152.01436781609189</v>
      </c>
      <c r="GV300" s="218">
        <f>IF((GT300-GS300)&gt;0,GT300-GS300,0)</f>
        <v>0</v>
      </c>
      <c r="GW300" s="248"/>
      <c r="GX300" s="303" t="s">
        <v>449</v>
      </c>
      <c r="GY300" s="218" t="s">
        <v>8</v>
      </c>
      <c r="GZ300" s="304" t="s">
        <v>132</v>
      </c>
      <c r="HA300" s="114">
        <f t="shared" ref="HA300" si="2151">Konvention_1slave-MUslave</f>
        <v>12</v>
      </c>
      <c r="HB300" s="113"/>
      <c r="HC300" s="113">
        <f>Konvention_1slave-INslave</f>
        <v>12</v>
      </c>
      <c r="HD300" s="113"/>
      <c r="HE300" s="113"/>
      <c r="HF300" s="113">
        <f>Konvention_1slave-GEslave</f>
        <v>12</v>
      </c>
      <c r="HG300" s="113"/>
      <c r="HH300" s="119"/>
      <c r="HI300" s="223">
        <f>(HA300+HB300+HC300+HD300+HE300+HF300+HG300+HH300)/3</f>
        <v>12</v>
      </c>
      <c r="HJ300" s="223">
        <f>2*HI300</f>
        <v>24</v>
      </c>
      <c r="HK300" s="224">
        <f>3*HI300</f>
        <v>36</v>
      </c>
      <c r="HL300" s="237">
        <f t="shared" ref="HL300" si="2152">HA300*POWER(KLslave,SIGN(HB300))*POWER(INslave,SIGN(HC300))*POWER(CHslave,SIGN(HD300))*POWER(FFslave,SIGN(HE300))*POWER(GEslave,SIGN(HF300))*POWER(KOslave_KO,SIGN(HG300))*POWER(KKslave,SIGN(HH300))+HB300*POWER(MUslave,SIGN(HA300))*POWER(INslave,SIGN(HC300))*POWER(CHslave,SIGN(HD300))*POWER(FFslave,SIGN(HE300))*POWER(GEslave,SIGN(HF300))*POWER(KOslave_KO,SIGN(HG300))*POWER(KKslave,SIGN(HH300))+HC300*POWER(MUslave,SIGN(HA300))*POWER(KLslave,SIGN(HB300))*POWER(CHslave,SIGN(HD300))*POWER(FFslave,SIGN(HE300))*POWER(GEslave,SIGN(HF300))*POWER(KOslave_KO,SIGN(HG300))*POWER(KKslave,SIGN(HH300))+HD300*POWER(MUslave,SIGN(HA300))*POWER(KLslave,SIGN(HB300))*POWER(INslave,SIGN(HC300))*POWER(FFslave,SIGN(HE300))*POWER(GEslave,SIGN(HF300))*POWER(KOslave_KO,SIGN(HG300))*POWER(KKslave,SIGN(HH300))+HE300*POWER(MUslave,SIGN(HA300))*POWER(KLslave,SIGN(HB300))*POWER(INslave,SIGN(HC300))*POWER(CHslave,SIGN(HD300))*POWER(GEslave,SIGN(HF300))*POWER(KOslave_KO,SIGN(HG300))*POWER(KKslave,SIGN(HH300))+HF300*POWER(MUslave,SIGN(HA300))*POWER(KLslave,SIGN(HB300))*POWER(INslave,SIGN(HC300))*POWER(CHslave,SIGN(HD300))*POWER(FFslave,SIGN(HE300))*POWER(KOslave_KO,SIGN(HG300))*POWER(KKslave,SIGN(HH300))+HG300*POWER(MUslave,SIGN(HA300))*POWER(KLslave,SIGN(HB300))*POWER(INslave,SIGN(HC300))*POWER(CHslave,SIGN(HD300))*POWER(FFslave,SIGN(HE300))*POWER(GEslave,SIGN(HF300))*POWER(KKslave,SIGN(HH300))+HH300*POWER(MUslave,SIGN(HA300))*POWER(KLslave,SIGN(HB300))*POWER(INslave,SIGN(HC300))*POWER(CHslave,SIGN(HD300))*POWER(FFslave,SIGN(HE300))*POWER(GEslave,SIGN(HF300))*POWER(KOslave_KO,SIGN(HG300))</f>
        <v>2304</v>
      </c>
      <c r="HM300" s="113">
        <f>HA300*HC300*GEslave+HA300*INslave*HF300+MUslave*HC300*HF300</f>
        <v>3456</v>
      </c>
      <c r="HN300" s="224">
        <f>IFERROR(HA300^SIGN(HA300),1)*IFERROR(HB300^SIGN(HB300),1)*IFERROR(HC300^SIGN(HC300),1)*IFERROR(HD300^SIGN(HD300),1)*IFERROR(HE300^SIGN(HE300),1)*IFERROR(HF300^SIGN(HF300),1)*IFERROR(HG300^SIGN(HG300),1)*IFERROR(HH300^SIGN(HH300),1)</f>
        <v>1728</v>
      </c>
      <c r="HO300" s="224">
        <f>SUM(HL300:HN300)</f>
        <v>7488</v>
      </c>
      <c r="HP300" s="222">
        <f>HI300*HL300/HO300</f>
        <v>3.6923076923076925</v>
      </c>
      <c r="HQ300" s="223">
        <f>HJ300*HM300/HO300</f>
        <v>11.076923076923077</v>
      </c>
      <c r="HR300" s="243">
        <f>HK300*HN300/HO300</f>
        <v>8.3076923076923084</v>
      </c>
      <c r="HS300" s="243">
        <f>SUM(HP300:HR300)</f>
        <v>23.07692307692308</v>
      </c>
      <c r="HT300" s="252">
        <f t="shared" si="1908"/>
        <v>0</v>
      </c>
      <c r="HU300" s="324">
        <f>HS300-HT300</f>
        <v>23.07692307692308</v>
      </c>
      <c r="HV300" s="304">
        <f>IF(HS300&lt;=0,2,0)+IF(HS300&gt;0,HS300+1,0)*2+IF(HS300&gt;12,HS300-12,0)*2+IF(HS300&gt;13,HS300-13,0)*2+IF(HS300&gt;14,HS300-14,0)*2+IF(HS300&gt;15,HS300-15,0)*2+IF(HS300&gt;16,HS300-16,0)*2+IF(HS300&gt;17,HS300-17,0)*2+IF(HS300&gt;18,HS300-18,0)*2+IF(HS300&gt;19,HS300-19,0)*2+IF(HS300&gt;20,HS300-20,0)*2</f>
        <v>175.5384615384616</v>
      </c>
      <c r="HW300" s="335">
        <f>IF(HT300&lt;=0,2,0)+IF(HT300&gt;0,HT300+1,0)*2+IF(HT300&gt;12,HT300-12,0)*2+IF(HT300&gt;13,HT300-13,0)*2+IF(HT300&gt;14,HT300-14,0)*2+IF(HT300&gt;15,HT300-15,0)*2+IF(HT300&gt;16,HT300-16,0)*2+IF(HT300&gt;17,HT300-17,0)*2+IF(HT300&gt;18,HT300-18,0)*2+IF(HT300&gt;19,HT300-19,0)*2+IF(HT300&gt;20,HT300-20,0)*2</f>
        <v>2</v>
      </c>
      <c r="HX300" s="243">
        <f t="shared" si="2115"/>
        <v>173.5384615384616</v>
      </c>
      <c r="HY300" s="218">
        <f>IF((HW300-HV300)&gt;0,HW300-HV300,0)</f>
        <v>0</v>
      </c>
      <c r="HZ300" s="248"/>
      <c r="IA300" s="303" t="s">
        <v>449</v>
      </c>
      <c r="IB300" s="218" t="s">
        <v>8</v>
      </c>
      <c r="IC300" s="304" t="s">
        <v>132</v>
      </c>
      <c r="ID300" s="114">
        <f t="shared" ref="ID300" si="2153">Konvention_1slave-MUslave</f>
        <v>12</v>
      </c>
      <c r="IE300" s="113"/>
      <c r="IF300" s="113">
        <f>Konvention_1slave-INslave</f>
        <v>12</v>
      </c>
      <c r="IG300" s="113"/>
      <c r="IH300" s="113"/>
      <c r="II300" s="113">
        <f>Konvention_1slave-GEslave</f>
        <v>12</v>
      </c>
      <c r="IJ300" s="113"/>
      <c r="IK300" s="119"/>
      <c r="IL300" s="223">
        <f>(ID300+IE300+IF300+IG300+IH300+II300+IJ300+IK300)/3</f>
        <v>12</v>
      </c>
      <c r="IM300" s="223">
        <f>2*IL300</f>
        <v>24</v>
      </c>
      <c r="IN300" s="224">
        <f>3*IL300</f>
        <v>36</v>
      </c>
      <c r="IO300" s="237">
        <f t="shared" ref="IO300" si="2154">ID300*POWER(KLslave,SIGN(IE300))*POWER(INslave,SIGN(IF300))*POWER(CHslave,SIGN(IG300))*POWER(FFslave,SIGN(IH300))*POWER(GEslave,SIGN(II300))*POWER(KOslave,SIGN(IJ300))*POWER(KKslave_KK,SIGN(IK300))+IE300*POWER(MUslave,SIGN(ID300))*POWER(INslave,SIGN(IF300))*POWER(CHslave,SIGN(IG300))*POWER(FFslave,SIGN(IH300))*POWER(GEslave,SIGN(II300))*POWER(KOslave,SIGN(IJ300))*POWER(KKslave_KK,SIGN(IK300))+IF300*POWER(MUslave,SIGN(ID300))*POWER(KLslave,SIGN(IE300))*POWER(CHslave,SIGN(IG300))*POWER(FFslave,SIGN(IH300))*POWER(GEslave,SIGN(II300))*POWER(KOslave,SIGN(IJ300))*POWER(KKslave_KK,SIGN(IK300))+IG300*POWER(MUslave,SIGN(ID300))*POWER(KLslave,SIGN(IE300))*POWER(INslave,SIGN(IF300))*POWER(FFslave,SIGN(IH300))*POWER(GEslave,SIGN(II300))*POWER(KOslave,SIGN(IJ300))*POWER(KKslave_KK,SIGN(IK300))+IH300*POWER(MUslave,SIGN(ID300))*POWER(KLslave,SIGN(IE300))*POWER(INslave,SIGN(IF300))*POWER(CHslave,SIGN(IG300))*POWER(GEslave,SIGN(II300))*POWER(KOslave,SIGN(IJ300))*POWER(KKslave_KK,SIGN(IK300))+II300*POWER(MUslave,SIGN(ID300))*POWER(KLslave,SIGN(IE300))*POWER(INslave,SIGN(IF300))*POWER(CHslave,SIGN(IG300))*POWER(FFslave,SIGN(IH300))*POWER(KOslave,SIGN(IJ300))*POWER(KKslave_KK,SIGN(IK300))+IJ300*POWER(MUslave,SIGN(ID300))*POWER(KLslave,SIGN(IE300))*POWER(INslave,SIGN(IF300))*POWER(CHslave,SIGN(IG300))*POWER(FFslave,SIGN(IH300))*POWER(GEslave,SIGN(II300))*POWER(KKslave_KK,SIGN(IK300))+IK300*POWER(MUslave,SIGN(ID300))*POWER(KLslave,SIGN(IE300))*POWER(INslave,SIGN(IF300))*POWER(CHslave,SIGN(IG300))*POWER(FFslave,SIGN(IH300))*POWER(GEslave,SIGN(II300))*POWER(KOslave,SIGN(IJ300))</f>
        <v>2304</v>
      </c>
      <c r="IP300" s="113">
        <f>ID300*IF300*GEslave+ID300*INslave*II300+MUslave*IF300*II300</f>
        <v>3456</v>
      </c>
      <c r="IQ300" s="224">
        <f>IFERROR(ID300^SIGN(ID300),1)*IFERROR(IE300^SIGN(IE300),1)*IFERROR(IF300^SIGN(IF300),1)*IFERROR(IG300^SIGN(IG300),1)*IFERROR(IH300^SIGN(IH300),1)*IFERROR(II300^SIGN(II300),1)*IFERROR(IJ300^SIGN(IJ300),1)*IFERROR(IK300^SIGN(IK300),1)</f>
        <v>1728</v>
      </c>
      <c r="IR300" s="224">
        <f>SUM(IO300:IQ300)</f>
        <v>7488</v>
      </c>
      <c r="IS300" s="222">
        <f>IL300*IO300/IR300</f>
        <v>3.6923076923076925</v>
      </c>
      <c r="IT300" s="223">
        <f>IM300*IP300/IR300</f>
        <v>11.076923076923077</v>
      </c>
      <c r="IU300" s="243">
        <f>IN300*IQ300/IR300</f>
        <v>8.3076923076923084</v>
      </c>
      <c r="IV300" s="243">
        <f>SUM(IS300:IU300)</f>
        <v>23.07692307692308</v>
      </c>
      <c r="IW300" s="252">
        <f t="shared" si="1923"/>
        <v>0</v>
      </c>
      <c r="IX300" s="324">
        <f>IV300-IW300</f>
        <v>23.07692307692308</v>
      </c>
      <c r="IY300" s="304">
        <f>IF(IV300&lt;=0,2,0)+IF(IV300&gt;0,IV300+1,0)*2+IF(IV300&gt;12,IV300-12,0)*2+IF(IV300&gt;13,IV300-13,0)*2+IF(IV300&gt;14,IV300-14,0)*2+IF(IV300&gt;15,IV300-15,0)*2+IF(IV300&gt;16,IV300-16,0)*2+IF(IV300&gt;17,IV300-17,0)*2+IF(IV300&gt;18,IV300-18,0)*2+IF(IV300&gt;19,IV300-19,0)*2+IF(IV300&gt;20,IV300-20,0)*2</f>
        <v>175.5384615384616</v>
      </c>
      <c r="IZ300" s="335">
        <f>IF(IW300&lt;=0,2,0)+IF(IW300&gt;0,IW300+1,0)*2+IF(IW300&gt;12,IW300-12,0)*2+IF(IW300&gt;13,IW300-13,0)*2+IF(IW300&gt;14,IW300-14,0)*2+IF(IW300&gt;15,IW300-15,0)*2+IF(IW300&gt;16,IW300-16,0)*2+IF(IW300&gt;17,IW300-17,0)*2+IF(IW300&gt;18,IW300-18,0)*2+IF(IW300&gt;19,IW300-19,0)*2+IF(IW300&gt;20,IW300-20,0)*2</f>
        <v>2</v>
      </c>
      <c r="JA300" s="243">
        <f t="shared" si="2128"/>
        <v>173.5384615384616</v>
      </c>
      <c r="JB300" s="218">
        <f>IF((IZ300-IY300)&gt;0,IZ300-IY300,0)</f>
        <v>0</v>
      </c>
      <c r="JE300" s="148"/>
    </row>
    <row r="301" spans="1:265" s="205" customFormat="1" ht="15" hidden="1" customHeight="1" outlineLevel="2">
      <c r="A301" s="185"/>
      <c r="B301" s="148">
        <v>4</v>
      </c>
      <c r="C301" s="303" t="e">
        <f>VLOOKUP(AF301,Attribute!C:T,1,FALSE)</f>
        <v>#N/A</v>
      </c>
      <c r="D301" s="218" t="s">
        <v>471</v>
      </c>
      <c r="E301" s="304" t="s">
        <v>133</v>
      </c>
      <c r="F301" s="210"/>
      <c r="G301" s="211"/>
      <c r="H301" s="211"/>
      <c r="I301" s="113">
        <f t="shared" ref="I301:I309" si="2155">Konvention_1master-CHmaster</f>
        <v>12</v>
      </c>
      <c r="J301" s="211"/>
      <c r="K301" s="113">
        <f>Konvention_1master-GEmaster</f>
        <v>12</v>
      </c>
      <c r="L301" s="117">
        <f>Konvention_1master-KOmaster</f>
        <v>12</v>
      </c>
      <c r="M301" s="212"/>
      <c r="N301" s="223">
        <f t="shared" si="2010"/>
        <v>12</v>
      </c>
      <c r="O301" s="223">
        <f t="shared" si="2011"/>
        <v>24</v>
      </c>
      <c r="P301" s="224">
        <f t="shared" si="2012"/>
        <v>36</v>
      </c>
      <c r="Q301" s="237">
        <f t="shared" si="2013"/>
        <v>2304</v>
      </c>
      <c r="R301" s="234">
        <f>I301*K301*KOmaster+I301*GEmaster*L301+CHmaster*K301*L301</f>
        <v>3456</v>
      </c>
      <c r="S301" s="224">
        <f t="shared" si="2014"/>
        <v>1728</v>
      </c>
      <c r="T301" s="224">
        <f t="shared" ref="T301:T302" si="2156">SUM(Q301:S301)</f>
        <v>7488</v>
      </c>
      <c r="U301" s="222">
        <f t="shared" si="2016"/>
        <v>3.6923076923076925</v>
      </c>
      <c r="V301" s="223">
        <f t="shared" si="2017"/>
        <v>11.076923076923077</v>
      </c>
      <c r="W301" s="243">
        <f t="shared" si="2018"/>
        <v>8.3076923076923084</v>
      </c>
      <c r="X301" s="243">
        <f t="shared" si="2019"/>
        <v>23.07692307692308</v>
      </c>
      <c r="Y301" s="252">
        <v>0</v>
      </c>
      <c r="Z301" s="324">
        <f t="shared" si="2020"/>
        <v>23.07692307692308</v>
      </c>
      <c r="AA301" s="304">
        <f t="shared" ref="AA301:AB304" si="2157">IF(X301&lt;=0,1,0)+IF(X301&gt;0,X301+1,0)*1+IF(X301&gt;12,X301-12,0)*1+IF(X301&gt;13,X301-13,0)*1+IF(X301&gt;14,X301-14,0)*1+IF(X301&gt;15,X301-15,0)*1+IF(X301&gt;16,X301-16,0)*1+IF(X301&gt;17,X301-17,0)*1+IF(X301&gt;18,X301-18,0)*1+IF(X301&gt;19,X301-19,0)*1+IF(X301&gt;20,X301-20,0)*1</f>
        <v>87.769230769230802</v>
      </c>
      <c r="AB301" s="335">
        <f t="shared" si="2157"/>
        <v>1</v>
      </c>
      <c r="AC301" s="243">
        <f t="shared" si="2023"/>
        <v>86.769230769230802</v>
      </c>
      <c r="AD301" s="218">
        <f t="shared" si="2024"/>
        <v>0</v>
      </c>
      <c r="AE301" s="299"/>
      <c r="AF301" s="303" t="s">
        <v>450</v>
      </c>
      <c r="AG301" s="218" t="s">
        <v>471</v>
      </c>
      <c r="AH301" s="304" t="s">
        <v>133</v>
      </c>
      <c r="AI301" s="210"/>
      <c r="AJ301" s="211"/>
      <c r="AK301" s="211"/>
      <c r="AL301" s="113">
        <f>Konvention_1slave-CHslave</f>
        <v>12</v>
      </c>
      <c r="AM301" s="211"/>
      <c r="AN301" s="113">
        <f>Konvention_1slave-GEslave</f>
        <v>12</v>
      </c>
      <c r="AO301" s="117">
        <f>Konvention_1slave-KOslave</f>
        <v>12</v>
      </c>
      <c r="AP301" s="212"/>
      <c r="AQ301" s="223">
        <f t="shared" si="2025"/>
        <v>12</v>
      </c>
      <c r="AR301" s="223">
        <f t="shared" si="2026"/>
        <v>24</v>
      </c>
      <c r="AS301" s="224">
        <f t="shared" si="2027"/>
        <v>36</v>
      </c>
      <c r="AT301" s="237">
        <f>AI301*POWER(KLslave,SIGN(AJ301))*POWER(INslave,SIGN(AK301))*POWER(CHslave,SIGN(AL301))*POWER(FFslave,SIGN(AM301))*POWER(GEslave,SIGN(AN301))*POWER(KOslave,SIGN(AO301))*POWER(KKslave,SIGN(AP301))+AJ301*POWER(MUslave,SIGN(AI301))*POWER(INslave,SIGN(AK301))*POWER(CHslave,SIGN(AL301))*POWER(FFslave,SIGN(AM301))*POWER(GEslave,SIGN(AN301))*POWER(KOslave,SIGN(AO301))*POWER(KKslave,SIGN(AP301))+AK301*POWER(MUslave,SIGN(AI301))*POWER(KLslave,SIGN(AJ301))*POWER(CHslave,SIGN(AL301))*POWER(FFslave,SIGN(AM301))*POWER(GEslave,SIGN(AN301))*POWER(KOslave,SIGN(AO301))*POWER(KKslave,SIGN(AP301))+AL301*POWER(MUslave,SIGN(AI301))*POWER(KLslave,SIGN(AJ301))*POWER(INslave,SIGN(AK301))*POWER(FFslave,SIGN(AM301))*POWER(GEslave,SIGN(AN301))*POWER(KOslave,SIGN(AO301))*POWER(KKslave,SIGN(AP301))+AM301*POWER(MUslave,SIGN(AI301))*POWER(KLslave,SIGN(AJ301))*POWER(INslave,SIGN(AK301))*POWER(CHslave,SIGN(AL301))*POWER(GEslave,SIGN(AN301))*POWER(KOslave,SIGN(AO301))*POWER(KKslave,SIGN(AP301))+AN301*POWER(MUslave,SIGN(AI301))*POWER(KLslave,SIGN(AJ301))*POWER(INslave,SIGN(AK301))*POWER(CHslave,SIGN(AL301))*POWER(FFslave,SIGN(AM301))*POWER(KOslave,SIGN(AO301))*POWER(KKslave,SIGN(AP301))+AO301*POWER(MUslave,SIGN(AI301))*POWER(KLslave,SIGN(AJ301))*POWER(INslave,SIGN(AK301))*POWER(CHslave,SIGN(AL301))*POWER(FFslave,SIGN(AM301))*POWER(GEslave,SIGN(AN301))*POWER(KKslave,SIGN(AP301))+AP301*POWER(MUslave,SIGN(AI301))*POWER(KLslave,SIGN(AJ301))*POWER(INslave,SIGN(AK301))*POWER(CHslave,SIGN(AL301))*POWER(FFslave,SIGN(AM301))*POWER(GEslave,SIGN(AN301))*POWER(KOslave,SIGN(AO301))</f>
        <v>2304</v>
      </c>
      <c r="AU301" s="234">
        <f>AL301*AN301*KOslave+AL301*GEslave*AO301+CHslave*AN301*AO301</f>
        <v>3456</v>
      </c>
      <c r="AV301" s="224">
        <f t="shared" si="2028"/>
        <v>1728</v>
      </c>
      <c r="AW301" s="224">
        <f t="shared" ref="AW299:AW321" si="2158">SUM(AT301:AV301)</f>
        <v>7488</v>
      </c>
      <c r="AX301" s="222">
        <f t="shared" si="2030"/>
        <v>3.6923076923076925</v>
      </c>
      <c r="AY301" s="223">
        <f t="shared" si="2031"/>
        <v>11.076923076923077</v>
      </c>
      <c r="AZ301" s="243">
        <f t="shared" si="2032"/>
        <v>8.3076923076923084</v>
      </c>
      <c r="BA301" s="243">
        <f t="shared" si="2033"/>
        <v>23.07692307692308</v>
      </c>
      <c r="BB301" s="252">
        <f t="shared" si="2034"/>
        <v>0</v>
      </c>
      <c r="BC301" s="324">
        <f t="shared" si="2035"/>
        <v>23.07692307692308</v>
      </c>
      <c r="BD301" s="304">
        <f t="shared" ref="BD301:BE304" si="2159">IF(BA301&lt;=0,1,0)+IF(BA301&gt;0,BA301+1,0)*1+IF(BA301&gt;12,BA301-12,0)*1+IF(BA301&gt;13,BA301-13,0)*1+IF(BA301&gt;14,BA301-14,0)*1+IF(BA301&gt;15,BA301-15,0)*1+IF(BA301&gt;16,BA301-16,0)*1+IF(BA301&gt;17,BA301-17,0)*1+IF(BA301&gt;18,BA301-18,0)*1+IF(BA301&gt;19,BA301-19,0)*1+IF(BA301&gt;20,BA301-20,0)*1</f>
        <v>87.769230769230802</v>
      </c>
      <c r="BE301" s="335">
        <f t="shared" si="2159"/>
        <v>1</v>
      </c>
      <c r="BF301" s="243">
        <f t="shared" si="2037"/>
        <v>86.769230769230802</v>
      </c>
      <c r="BG301" s="218">
        <f t="shared" si="2038"/>
        <v>0</v>
      </c>
      <c r="BH301" s="248"/>
      <c r="BI301" s="303" t="s">
        <v>450</v>
      </c>
      <c r="BJ301" s="218" t="s">
        <v>471</v>
      </c>
      <c r="BK301" s="304" t="s">
        <v>133</v>
      </c>
      <c r="BL301" s="210"/>
      <c r="BM301" s="211"/>
      <c r="BN301" s="211"/>
      <c r="BO301" s="113">
        <f>Konvention_1slave-CHslave</f>
        <v>12</v>
      </c>
      <c r="BP301" s="211"/>
      <c r="BQ301" s="113">
        <f>Konvention_1slave-GEslave</f>
        <v>12</v>
      </c>
      <c r="BR301" s="117">
        <f>Konvention_1slave-KOslave</f>
        <v>12</v>
      </c>
      <c r="BS301" s="212"/>
      <c r="BT301" s="223">
        <f t="shared" si="2039"/>
        <v>12</v>
      </c>
      <c r="BU301" s="223">
        <f t="shared" si="2040"/>
        <v>24</v>
      </c>
      <c r="BV301" s="224">
        <f t="shared" si="2041"/>
        <v>36</v>
      </c>
      <c r="BW301" s="237">
        <f>BL301*POWER(KLslave,SIGN(BM301))*POWER(INslave,SIGN(BN301))*POWER(CHslave,SIGN(BO301))*POWER(FFslave,SIGN(BP301))*POWER(GEslave,SIGN(BQ301))*POWER(KOslave,SIGN(BR301))*POWER(KKslave,SIGN(BS301))+BM301*POWER(MUslave,SIGN(BL301))*POWER(INslave,SIGN(BN301))*POWER(CHslave,SIGN(BO301))*POWER(FFslave,SIGN(BP301))*POWER(GEslave,SIGN(BQ301))*POWER(KOslave,SIGN(BR301))*POWER(KKslave,SIGN(BS301))+BN301*POWER(MUslave,SIGN(BL301))*POWER(KLslave,SIGN(BM301))*POWER(CHslave,SIGN(BO301))*POWER(FFslave,SIGN(BP301))*POWER(GEslave,SIGN(BQ301))*POWER(KOslave,SIGN(BR301))*POWER(KKslave,SIGN(BS301))+BO301*POWER(MUslave,SIGN(BL301))*POWER(KLslave,SIGN(BM301))*POWER(INslave,SIGN(BN301))*POWER(FFslave,SIGN(BP301))*POWER(GEslave,SIGN(BQ301))*POWER(KOslave,SIGN(BR301))*POWER(KKslave,SIGN(BS301))+BP301*POWER(MUslave,SIGN(BL301))*POWER(KLslave,SIGN(BM301))*POWER(INslave,SIGN(BN301))*POWER(CHslave,SIGN(BO301))*POWER(GEslave,SIGN(BQ301))*POWER(KOslave,SIGN(BR301))*POWER(KKslave,SIGN(BS301))+BQ301*POWER(MUslave,SIGN(BL301))*POWER(KLslave,SIGN(BM301))*POWER(INslave,SIGN(BN301))*POWER(CHslave,SIGN(BO301))*POWER(FFslave,SIGN(BP301))*POWER(KOslave,SIGN(BR301))*POWER(KKslave,SIGN(BS301))+BR301*POWER(MUslave,SIGN(BL301))*POWER(KLslave,SIGN(BM301))*POWER(INslave,SIGN(BN301))*POWER(CHslave,SIGN(BO301))*POWER(FFslave,SIGN(BP301))*POWER(GEslave,SIGN(BQ301))*POWER(KKslave,SIGN(BS301))+BS301*POWER(MUslave,SIGN(BL301))*POWER(KLslave,SIGN(BM301))*POWER(INslave,SIGN(BN301))*POWER(CHslave,SIGN(BO301))*POWER(FFslave,SIGN(BP301))*POWER(GEslave,SIGN(BQ301))*POWER(KOslave,SIGN(BR301))</f>
        <v>2304</v>
      </c>
      <c r="BX301" s="234">
        <f>BO301*BQ301*KOslave+BO301*GEslave*BR301+CHslave*BQ301*BR301</f>
        <v>3456</v>
      </c>
      <c r="BY301" s="224">
        <f t="shared" si="2042"/>
        <v>1728</v>
      </c>
      <c r="BZ301" s="224">
        <f t="shared" ref="BZ299:BZ321" si="2160">SUM(BW301:BY301)</f>
        <v>7488</v>
      </c>
      <c r="CA301" s="222">
        <f t="shared" si="2044"/>
        <v>3.6923076923076925</v>
      </c>
      <c r="CB301" s="223">
        <f t="shared" si="2045"/>
        <v>11.076923076923077</v>
      </c>
      <c r="CC301" s="243">
        <f t="shared" si="2046"/>
        <v>8.3076923076923084</v>
      </c>
      <c r="CD301" s="243">
        <f t="shared" si="2047"/>
        <v>23.07692307692308</v>
      </c>
      <c r="CE301" s="252">
        <f t="shared" si="1833"/>
        <v>0</v>
      </c>
      <c r="CF301" s="324">
        <f t="shared" si="2048"/>
        <v>23.07692307692308</v>
      </c>
      <c r="CG301" s="304">
        <f t="shared" ref="CG301:CH304" si="2161">IF(CD301&lt;=0,1,0)+IF(CD301&gt;0,CD301+1,0)*1+IF(CD301&gt;12,CD301-12,0)*1+IF(CD301&gt;13,CD301-13,0)*1+IF(CD301&gt;14,CD301-14,0)*1+IF(CD301&gt;15,CD301-15,0)*1+IF(CD301&gt;16,CD301-16,0)*1+IF(CD301&gt;17,CD301-17,0)*1+IF(CD301&gt;18,CD301-18,0)*1+IF(CD301&gt;19,CD301-19,0)*1+IF(CD301&gt;20,CD301-20,0)*1</f>
        <v>87.769230769230802</v>
      </c>
      <c r="CH301" s="335">
        <f t="shared" si="2161"/>
        <v>1</v>
      </c>
      <c r="CI301" s="243">
        <f t="shared" si="2050"/>
        <v>86.769230769230802</v>
      </c>
      <c r="CJ301" s="218">
        <f t="shared" si="2051"/>
        <v>0</v>
      </c>
      <c r="CK301" s="248"/>
      <c r="CL301" s="303" t="s">
        <v>450</v>
      </c>
      <c r="CM301" s="218" t="s">
        <v>471</v>
      </c>
      <c r="CN301" s="304" t="s">
        <v>133</v>
      </c>
      <c r="CO301" s="210"/>
      <c r="CP301" s="211"/>
      <c r="CQ301" s="211"/>
      <c r="CR301" s="113">
        <f>Konvention_1slave-CHslave</f>
        <v>12</v>
      </c>
      <c r="CS301" s="211"/>
      <c r="CT301" s="113">
        <f>Konvention_1slave-GEslave</f>
        <v>12</v>
      </c>
      <c r="CU301" s="117">
        <f>Konvention_1slave-KOslave</f>
        <v>12</v>
      </c>
      <c r="CV301" s="212"/>
      <c r="CW301" s="223">
        <f t="shared" si="2052"/>
        <v>12</v>
      </c>
      <c r="CX301" s="223">
        <f t="shared" si="2053"/>
        <v>24</v>
      </c>
      <c r="CY301" s="224">
        <f t="shared" si="2054"/>
        <v>36</v>
      </c>
      <c r="CZ301" s="237">
        <f>CO301*POWER(KLslave,SIGN(CP301))*POWER(INslave,SIGN(CQ301))*POWER(CHslave,SIGN(CR301))*POWER(FFslave,SIGN(CS301))*POWER(GEslave,SIGN(CT301))*POWER(KOslave,SIGN(CU301))*POWER(KKslave,SIGN(CV301))+CP301*POWER(MUslave,SIGN(CO301))*POWER(INslave,SIGN(CQ301))*POWER(CHslave,SIGN(CR301))*POWER(FFslave,SIGN(CS301))*POWER(GEslave,SIGN(CT301))*POWER(KOslave,SIGN(CU301))*POWER(KKslave,SIGN(CV301))+CQ301*POWER(MUslave,SIGN(CO301))*POWER(KLslave,SIGN(CP301))*POWER(CHslave,SIGN(CR301))*POWER(FFslave,SIGN(CS301))*POWER(GEslave,SIGN(CT301))*POWER(KOslave,SIGN(CU301))*POWER(KKslave,SIGN(CV301))+CR301*POWER(MUslave,SIGN(CO301))*POWER(KLslave,SIGN(CP301))*POWER(INslave,SIGN(CQ301))*POWER(FFslave,SIGN(CS301))*POWER(GEslave,SIGN(CT301))*POWER(KOslave,SIGN(CU301))*POWER(KKslave,SIGN(CV301))+CS301*POWER(MUslave,SIGN(CO301))*POWER(KLslave,SIGN(CP301))*POWER(INslave,SIGN(CQ301))*POWER(CHslave,SIGN(CR301))*POWER(GEslave,SIGN(CT301))*POWER(KOslave,SIGN(CU301))*POWER(KKslave,SIGN(CV301))+CT301*POWER(MUslave,SIGN(CO301))*POWER(KLslave,SIGN(CP301))*POWER(INslave,SIGN(CQ301))*POWER(CHslave,SIGN(CR301))*POWER(FFslave,SIGN(CS301))*POWER(KOslave,SIGN(CU301))*POWER(KKslave,SIGN(CV301))+CU301*POWER(MUslave,SIGN(CO301))*POWER(KLslave,SIGN(CP301))*POWER(INslave,SIGN(CQ301))*POWER(CHslave,SIGN(CR301))*POWER(FFslave,SIGN(CS301))*POWER(GEslave,SIGN(CT301))*POWER(KKslave,SIGN(CV301))+CV301*POWER(MUslave,SIGN(CO301))*POWER(KLslave,SIGN(CP301))*POWER(INslave,SIGN(CQ301))*POWER(CHslave,SIGN(CR301))*POWER(FFslave,SIGN(CS301))*POWER(GEslave,SIGN(CT301))*POWER(KOslave,SIGN(CU301))</f>
        <v>2304</v>
      </c>
      <c r="DA301" s="234">
        <f>CR301*CT301*KOslave+CR301*GEslave*CU301+CHslave*CT301*CU301</f>
        <v>3456</v>
      </c>
      <c r="DB301" s="224">
        <f t="shared" si="2055"/>
        <v>1728</v>
      </c>
      <c r="DC301" s="224">
        <f t="shared" ref="DC299:DC321" si="2162">SUM(CZ301:DB301)</f>
        <v>7488</v>
      </c>
      <c r="DD301" s="222">
        <f t="shared" si="2057"/>
        <v>3.6923076923076925</v>
      </c>
      <c r="DE301" s="223">
        <f t="shared" si="2058"/>
        <v>11.076923076923077</v>
      </c>
      <c r="DF301" s="243">
        <f t="shared" si="2059"/>
        <v>8.3076923076923084</v>
      </c>
      <c r="DG301" s="243">
        <f t="shared" si="2060"/>
        <v>23.07692307692308</v>
      </c>
      <c r="DH301" s="252">
        <f t="shared" si="1848"/>
        <v>0</v>
      </c>
      <c r="DI301" s="324">
        <f t="shared" si="2061"/>
        <v>23.07692307692308</v>
      </c>
      <c r="DJ301" s="304">
        <f t="shared" ref="DJ301:DK304" si="2163">IF(DG301&lt;=0,1,0)+IF(DG301&gt;0,DG301+1,0)*1+IF(DG301&gt;12,DG301-12,0)*1+IF(DG301&gt;13,DG301-13,0)*1+IF(DG301&gt;14,DG301-14,0)*1+IF(DG301&gt;15,DG301-15,0)*1+IF(DG301&gt;16,DG301-16,0)*1+IF(DG301&gt;17,DG301-17,0)*1+IF(DG301&gt;18,DG301-18,0)*1+IF(DG301&gt;19,DG301-19,0)*1+IF(DG301&gt;20,DG301-20,0)*1</f>
        <v>87.769230769230802</v>
      </c>
      <c r="DK301" s="335">
        <f t="shared" si="2163"/>
        <v>1</v>
      </c>
      <c r="DL301" s="243">
        <f t="shared" si="2063"/>
        <v>86.769230769230802</v>
      </c>
      <c r="DM301" s="218">
        <f t="shared" si="2064"/>
        <v>0</v>
      </c>
      <c r="DN301" s="248"/>
      <c r="DO301" s="303" t="s">
        <v>450</v>
      </c>
      <c r="DP301" s="218" t="s">
        <v>471</v>
      </c>
      <c r="DQ301" s="304" t="s">
        <v>133</v>
      </c>
      <c r="DR301" s="210"/>
      <c r="DS301" s="211"/>
      <c r="DT301" s="211"/>
      <c r="DU301" s="113">
        <f>Konvention_1slave-CHslave</f>
        <v>12</v>
      </c>
      <c r="DV301" s="211"/>
      <c r="DW301" s="113">
        <f>Konvention_1slave-GEslave</f>
        <v>12</v>
      </c>
      <c r="DX301" s="117">
        <f>Konvention_1slave-KOslave</f>
        <v>12</v>
      </c>
      <c r="DY301" s="212"/>
      <c r="DZ301" s="223">
        <f t="shared" si="2065"/>
        <v>12</v>
      </c>
      <c r="EA301" s="223">
        <f t="shared" si="2066"/>
        <v>24</v>
      </c>
      <c r="EB301" s="224">
        <f t="shared" si="2067"/>
        <v>36</v>
      </c>
      <c r="EC301" s="237">
        <f>DR301*POWER(KLslave,SIGN(DS301))*POWER(INslave,SIGN(DT301))*POWER(CHslave,SIGN(DU301))*POWER(FFslave,SIGN(DV301))*POWER(GEslave,SIGN(DW301))*POWER(KOslave,SIGN(DX301))*POWER(KKslave,SIGN(DY301))+DS301*POWER(MUslave,SIGN(DR301))*POWER(INslave,SIGN(DT301))*POWER(CHslave,SIGN(DU301))*POWER(FFslave,SIGN(DV301))*POWER(GEslave,SIGN(DW301))*POWER(KOslave,SIGN(DX301))*POWER(KKslave,SIGN(DY301))+DT301*POWER(MUslave,SIGN(DR301))*POWER(KLslave,SIGN(DS301))*POWER(CHslave,SIGN(DU301))*POWER(FFslave,SIGN(DV301))*POWER(GEslave,SIGN(DW301))*POWER(KOslave,SIGN(DX301))*POWER(KKslave,SIGN(DY301))+DU301*POWER(MUslave,SIGN(DR301))*POWER(KLslave,SIGN(DS301))*POWER(INslave,SIGN(DT301))*POWER(FFslave,SIGN(DV301))*POWER(GEslave,SIGN(DW301))*POWER(KOslave,SIGN(DX301))*POWER(KKslave,SIGN(DY301))+DV301*POWER(MUslave,SIGN(DR301))*POWER(KLslave,SIGN(DS301))*POWER(INslave,SIGN(DT301))*POWER(CHslave,SIGN(DU301))*POWER(GEslave,SIGN(DW301))*POWER(KOslave,SIGN(DX301))*POWER(KKslave,SIGN(DY301))+DW301*POWER(MUslave,SIGN(DR301))*POWER(KLslave,SIGN(DS301))*POWER(INslave,SIGN(DT301))*POWER(CHslave,SIGN(DU301))*POWER(FFslave,SIGN(DV301))*POWER(KOslave,SIGN(DX301))*POWER(KKslave,SIGN(DY301))+DX301*POWER(MUslave,SIGN(DR301))*POWER(KLslave,SIGN(DS301))*POWER(INslave,SIGN(DT301))*POWER(CHslave,SIGN(DU301))*POWER(FFslave,SIGN(DV301))*POWER(GEslave,SIGN(DW301))*POWER(KKslave,SIGN(DY301))+DY301*POWER(MUslave,SIGN(DR301))*POWER(KLslave,SIGN(DS301))*POWER(INslave,SIGN(DT301))*POWER(CHslave,SIGN(DU301))*POWER(FFslave,SIGN(DV301))*POWER(GEslave,SIGN(DW301))*POWER(KOslave,SIGN(DX301))</f>
        <v>2304</v>
      </c>
      <c r="ED301" s="234">
        <f>DU301*DW301*KOslave+DU301*GEslave*DX301+CHslave*DW301*DX301</f>
        <v>3456</v>
      </c>
      <c r="EE301" s="224">
        <f t="shared" si="2068"/>
        <v>1728</v>
      </c>
      <c r="EF301" s="224">
        <f t="shared" ref="EF299:EF321" si="2164">SUM(EC301:EE301)</f>
        <v>7488</v>
      </c>
      <c r="EG301" s="222">
        <f t="shared" si="2070"/>
        <v>3.6923076923076925</v>
      </c>
      <c r="EH301" s="223">
        <f t="shared" si="2071"/>
        <v>11.076923076923077</v>
      </c>
      <c r="EI301" s="243">
        <f t="shared" si="2072"/>
        <v>8.3076923076923084</v>
      </c>
      <c r="EJ301" s="243">
        <f t="shared" si="2073"/>
        <v>23.07692307692308</v>
      </c>
      <c r="EK301" s="252">
        <f t="shared" si="1863"/>
        <v>0</v>
      </c>
      <c r="EL301" s="324">
        <f t="shared" si="2074"/>
        <v>23.07692307692308</v>
      </c>
      <c r="EM301" s="304">
        <f t="shared" ref="EM301:EN304" si="2165">IF(EJ301&lt;=0,1,0)+IF(EJ301&gt;0,EJ301+1,0)*1+IF(EJ301&gt;12,EJ301-12,0)*1+IF(EJ301&gt;13,EJ301-13,0)*1+IF(EJ301&gt;14,EJ301-14,0)*1+IF(EJ301&gt;15,EJ301-15,0)*1+IF(EJ301&gt;16,EJ301-16,0)*1+IF(EJ301&gt;17,EJ301-17,0)*1+IF(EJ301&gt;18,EJ301-18,0)*1+IF(EJ301&gt;19,EJ301-19,0)*1+IF(EJ301&gt;20,EJ301-20,0)*1</f>
        <v>87.769230769230802</v>
      </c>
      <c r="EN301" s="335">
        <f t="shared" si="2165"/>
        <v>1</v>
      </c>
      <c r="EO301" s="243">
        <f t="shared" si="2076"/>
        <v>86.769230769230802</v>
      </c>
      <c r="EP301" s="218">
        <f t="shared" si="2077"/>
        <v>0</v>
      </c>
      <c r="EQ301" s="248"/>
      <c r="ER301" s="303" t="s">
        <v>450</v>
      </c>
      <c r="ES301" s="218" t="s">
        <v>471</v>
      </c>
      <c r="ET301" s="304" t="s">
        <v>133</v>
      </c>
      <c r="EU301" s="210"/>
      <c r="EV301" s="211"/>
      <c r="EW301" s="211"/>
      <c r="EX301" s="113">
        <f>Konvention_1slave-CHslave</f>
        <v>12</v>
      </c>
      <c r="EY301" s="211"/>
      <c r="EZ301" s="113">
        <f>Konvention_1slave-GEslave</f>
        <v>12</v>
      </c>
      <c r="FA301" s="117">
        <f>Konvention_1slave-KOslave</f>
        <v>12</v>
      </c>
      <c r="FB301" s="212"/>
      <c r="FC301" s="223">
        <f t="shared" si="2078"/>
        <v>12</v>
      </c>
      <c r="FD301" s="223">
        <f t="shared" si="2079"/>
        <v>24</v>
      </c>
      <c r="FE301" s="224">
        <f t="shared" si="2080"/>
        <v>36</v>
      </c>
      <c r="FF301" s="237">
        <f>EU301*POWER(KLslave,SIGN(EV301))*POWER(INslave,SIGN(EW301))*POWER(CHslave,SIGN(EX301))*POWER(FFslave,SIGN(EY301))*POWER(GEslave,SIGN(EZ301))*POWER(KOslave,SIGN(FA301))*POWER(KKslave,SIGN(FB301))+EV301*POWER(MUslave,SIGN(EU301))*POWER(INslave,SIGN(EW301))*POWER(CHslave,SIGN(EX301))*POWER(FFslave,SIGN(EY301))*POWER(GEslave,SIGN(EZ301))*POWER(KOslave,SIGN(FA301))*POWER(KKslave,SIGN(FB301))+EW301*POWER(MUslave,SIGN(EU301))*POWER(KLslave,SIGN(EV301))*POWER(CHslave,SIGN(EX301))*POWER(FFslave,SIGN(EY301))*POWER(GEslave,SIGN(EZ301))*POWER(KOslave,SIGN(FA301))*POWER(KKslave,SIGN(FB301))+EX301*POWER(MUslave,SIGN(EU301))*POWER(KLslave,SIGN(EV301))*POWER(INslave,SIGN(EW301))*POWER(FFslave,SIGN(EY301))*POWER(GEslave,SIGN(EZ301))*POWER(KOslave,SIGN(FA301))*POWER(KKslave,SIGN(FB301))+EY301*POWER(MUslave,SIGN(EU301))*POWER(KLslave,SIGN(EV301))*POWER(INslave,SIGN(EW301))*POWER(CHslave,SIGN(EX301))*POWER(GEslave,SIGN(EZ301))*POWER(KOslave,SIGN(FA301))*POWER(KKslave,SIGN(FB301))+EZ301*POWER(MUslave,SIGN(EU301))*POWER(KLslave,SIGN(EV301))*POWER(INslave,SIGN(EW301))*POWER(CHslave,SIGN(EX301))*POWER(FFslave,SIGN(EY301))*POWER(KOslave,SIGN(FA301))*POWER(KKslave,SIGN(FB301))+FA301*POWER(MUslave,SIGN(EU301))*POWER(KLslave,SIGN(EV301))*POWER(INslave,SIGN(EW301))*POWER(CHslave,SIGN(EX301))*POWER(FFslave,SIGN(EY301))*POWER(GEslave,SIGN(EZ301))*POWER(KKslave,SIGN(FB301))+FB301*POWER(MUslave,SIGN(EU301))*POWER(KLslave,SIGN(EV301))*POWER(INslave,SIGN(EW301))*POWER(CHslave,SIGN(EX301))*POWER(FFslave,SIGN(EY301))*POWER(GEslave,SIGN(EZ301))*POWER(KOslave,SIGN(FA301))</f>
        <v>2304</v>
      </c>
      <c r="FG301" s="234">
        <f>EX301*EZ301*KOslave+EX301*GEslave*FA301+CHslave*EZ301*FA301</f>
        <v>3456</v>
      </c>
      <c r="FH301" s="224">
        <f t="shared" si="2081"/>
        <v>1728</v>
      </c>
      <c r="FI301" s="224">
        <f t="shared" ref="FI299:FI321" si="2166">SUM(FF301:FH301)</f>
        <v>7488</v>
      </c>
      <c r="FJ301" s="222">
        <f t="shared" si="2083"/>
        <v>3.6923076923076925</v>
      </c>
      <c r="FK301" s="223">
        <f t="shared" si="2084"/>
        <v>11.076923076923077</v>
      </c>
      <c r="FL301" s="243">
        <f t="shared" si="2085"/>
        <v>8.3076923076923084</v>
      </c>
      <c r="FM301" s="243">
        <f t="shared" si="2086"/>
        <v>23.07692307692308</v>
      </c>
      <c r="FN301" s="252">
        <f t="shared" si="1878"/>
        <v>0</v>
      </c>
      <c r="FO301" s="324">
        <f t="shared" si="2087"/>
        <v>23.07692307692308</v>
      </c>
      <c r="FP301" s="304">
        <f t="shared" ref="FP301:FQ304" si="2167">IF(FM301&lt;=0,1,0)+IF(FM301&gt;0,FM301+1,0)*1+IF(FM301&gt;12,FM301-12,0)*1+IF(FM301&gt;13,FM301-13,0)*1+IF(FM301&gt;14,FM301-14,0)*1+IF(FM301&gt;15,FM301-15,0)*1+IF(FM301&gt;16,FM301-16,0)*1+IF(FM301&gt;17,FM301-17,0)*1+IF(FM301&gt;18,FM301-18,0)*1+IF(FM301&gt;19,FM301-19,0)*1+IF(FM301&gt;20,FM301-20,0)*1</f>
        <v>87.769230769230802</v>
      </c>
      <c r="FQ301" s="335">
        <f t="shared" si="2167"/>
        <v>1</v>
      </c>
      <c r="FR301" s="243">
        <f t="shared" si="2089"/>
        <v>86.769230769230802</v>
      </c>
      <c r="FS301" s="218">
        <f t="shared" si="2090"/>
        <v>0</v>
      </c>
      <c r="FT301" s="248"/>
      <c r="FU301" s="303" t="s">
        <v>450</v>
      </c>
      <c r="FV301" s="218" t="s">
        <v>471</v>
      </c>
      <c r="FW301" s="304" t="s">
        <v>133</v>
      </c>
      <c r="FX301" s="210"/>
      <c r="FY301" s="211"/>
      <c r="FZ301" s="211"/>
      <c r="GA301" s="113">
        <f>Konvention_1slave-CHslave</f>
        <v>12</v>
      </c>
      <c r="GB301" s="211"/>
      <c r="GC301" s="113">
        <f>Konvention_1slave-GEslave</f>
        <v>12</v>
      </c>
      <c r="GD301" s="117">
        <f>Konvention_1slave-KOslave</f>
        <v>12</v>
      </c>
      <c r="GE301" s="212"/>
      <c r="GF301" s="223">
        <f t="shared" si="2091"/>
        <v>12</v>
      </c>
      <c r="GG301" s="223">
        <f t="shared" si="2092"/>
        <v>24</v>
      </c>
      <c r="GH301" s="224">
        <f t="shared" si="2093"/>
        <v>36</v>
      </c>
      <c r="GI301" s="237">
        <f>FX301*POWER(KLslave,SIGN(FY301))*POWER(INslave,SIGN(FZ301))*POWER(CHslave,SIGN(GA301))*POWER(FFslave,SIGN(GB301))*POWER(GEslave,SIGN(GC301))*POWER(KOslave,SIGN(GD301))*POWER(KKslave,SIGN(GE301))+FY301*POWER(MUslave,SIGN(FX301))*POWER(INslave,SIGN(FZ301))*POWER(CHslave,SIGN(GA301))*POWER(FFslave,SIGN(GB301))*POWER(GEslave,SIGN(GC301))*POWER(KOslave,SIGN(GD301))*POWER(KKslave,SIGN(GE301))+FZ301*POWER(MUslave,SIGN(FX301))*POWER(KLslave,SIGN(FY301))*POWER(CHslave,SIGN(GA301))*POWER(FFslave,SIGN(GB301))*POWER(GEslave,SIGN(GC301))*POWER(KOslave,SIGN(GD301))*POWER(KKslave,SIGN(GE301))+GA301*POWER(MUslave,SIGN(FX301))*POWER(KLslave,SIGN(FY301))*POWER(INslave,SIGN(FZ301))*POWER(FFslave,SIGN(GB301))*POWER(GEslave,SIGN(GC301))*POWER(KOslave,SIGN(GD301))*POWER(KKslave,SIGN(GE301))+GB301*POWER(MUslave,SIGN(FX301))*POWER(KLslave,SIGN(FY301))*POWER(INslave,SIGN(FZ301))*POWER(CHslave,SIGN(GA301))*POWER(GEslave,SIGN(GC301))*POWER(KOslave,SIGN(GD301))*POWER(KKslave,SIGN(GE301))+GC301*POWER(MUslave,SIGN(FX301))*POWER(KLslave,SIGN(FY301))*POWER(INslave,SIGN(FZ301))*POWER(CHslave,SIGN(GA301))*POWER(FFslave,SIGN(GB301))*POWER(KOslave,SIGN(GD301))*POWER(KKslave,SIGN(GE301))+GD301*POWER(MUslave,SIGN(FX301))*POWER(KLslave,SIGN(FY301))*POWER(INslave,SIGN(FZ301))*POWER(CHslave,SIGN(GA301))*POWER(FFslave,SIGN(GB301))*POWER(GEslave,SIGN(GC301))*POWER(KKslave,SIGN(GE301))+GE301*POWER(MUslave,SIGN(FX301))*POWER(KLslave,SIGN(FY301))*POWER(INslave,SIGN(FZ301))*POWER(CHslave,SIGN(GA301))*POWER(FFslave,SIGN(GB301))*POWER(GEslave,SIGN(GC301))*POWER(KOslave,SIGN(GD301))</f>
        <v>2304</v>
      </c>
      <c r="GJ301" s="234">
        <f>GA301*GC301*KOslave+GA301*GEslave*GD301+CHslave*GC301*GD301</f>
        <v>3456</v>
      </c>
      <c r="GK301" s="224">
        <f t="shared" si="2094"/>
        <v>1728</v>
      </c>
      <c r="GL301" s="224">
        <f t="shared" ref="GL299:GL321" si="2168">SUM(GI301:GK301)</f>
        <v>7488</v>
      </c>
      <c r="GM301" s="222">
        <f t="shared" si="2096"/>
        <v>3.6923076923076925</v>
      </c>
      <c r="GN301" s="223">
        <f t="shared" si="2097"/>
        <v>11.076923076923077</v>
      </c>
      <c r="GO301" s="243">
        <f t="shared" si="2098"/>
        <v>8.3076923076923084</v>
      </c>
      <c r="GP301" s="243">
        <f t="shared" si="2099"/>
        <v>23.07692307692308</v>
      </c>
      <c r="GQ301" s="252">
        <f t="shared" si="1893"/>
        <v>0</v>
      </c>
      <c r="GR301" s="324">
        <f t="shared" si="2100"/>
        <v>23.07692307692308</v>
      </c>
      <c r="GS301" s="304">
        <f t="shared" ref="GS301:GT304" si="2169">IF(GP301&lt;=0,1,0)+IF(GP301&gt;0,GP301+1,0)*1+IF(GP301&gt;12,GP301-12,0)*1+IF(GP301&gt;13,GP301-13,0)*1+IF(GP301&gt;14,GP301-14,0)*1+IF(GP301&gt;15,GP301-15,0)*1+IF(GP301&gt;16,GP301-16,0)*1+IF(GP301&gt;17,GP301-17,0)*1+IF(GP301&gt;18,GP301-18,0)*1+IF(GP301&gt;19,GP301-19,0)*1+IF(GP301&gt;20,GP301-20,0)*1</f>
        <v>87.769230769230802</v>
      </c>
      <c r="GT301" s="335">
        <f t="shared" si="2169"/>
        <v>1</v>
      </c>
      <c r="GU301" s="243">
        <f t="shared" si="2102"/>
        <v>86.769230769230802</v>
      </c>
      <c r="GV301" s="218">
        <f t="shared" si="2103"/>
        <v>0</v>
      </c>
      <c r="GW301" s="248"/>
      <c r="GX301" s="303" t="s">
        <v>450</v>
      </c>
      <c r="GY301" s="218" t="s">
        <v>471</v>
      </c>
      <c r="GZ301" s="304" t="s">
        <v>133</v>
      </c>
      <c r="HA301" s="210"/>
      <c r="HB301" s="211"/>
      <c r="HC301" s="211"/>
      <c r="HD301" s="113">
        <f>Konvention_1slave-CHslave</f>
        <v>12</v>
      </c>
      <c r="HE301" s="211"/>
      <c r="HF301" s="113">
        <f>Konvention_1slave-GEslave</f>
        <v>12</v>
      </c>
      <c r="HG301" s="117">
        <f>Konvention_1slave-KOslave</f>
        <v>12</v>
      </c>
      <c r="HH301" s="212"/>
      <c r="HI301" s="223">
        <f t="shared" si="2104"/>
        <v>12</v>
      </c>
      <c r="HJ301" s="223">
        <f t="shared" si="2105"/>
        <v>24</v>
      </c>
      <c r="HK301" s="224">
        <f t="shared" si="2106"/>
        <v>36</v>
      </c>
      <c r="HL301" s="237">
        <f>HA301*POWER(KLslave,SIGN(HB301))*POWER(INslave,SIGN(HC301))*POWER(CHslave,SIGN(HD301))*POWER(FFslave,SIGN(HE301))*POWER(GEslave,SIGN(HF301))*POWER(KOslave,SIGN(HG301))*POWER(KKslave,SIGN(HH301))+HB301*POWER(MUslave,SIGN(HA301))*POWER(INslave,SIGN(HC301))*POWER(CHslave,SIGN(HD301))*POWER(FFslave,SIGN(HE301))*POWER(GEslave,SIGN(HF301))*POWER(KOslave,SIGN(HG301))*POWER(KKslave,SIGN(HH301))+HC301*POWER(MUslave,SIGN(HA301))*POWER(KLslave,SIGN(HB301))*POWER(CHslave,SIGN(HD301))*POWER(FFslave,SIGN(HE301))*POWER(GEslave,SIGN(HF301))*POWER(KOslave,SIGN(HG301))*POWER(KKslave,SIGN(HH301))+HD301*POWER(MUslave,SIGN(HA301))*POWER(KLslave,SIGN(HB301))*POWER(INslave,SIGN(HC301))*POWER(FFslave,SIGN(HE301))*POWER(GEslave,SIGN(HF301))*POWER(KOslave,SIGN(HG301))*POWER(KKslave,SIGN(HH301))+HE301*POWER(MUslave,SIGN(HA301))*POWER(KLslave,SIGN(HB301))*POWER(INslave,SIGN(HC301))*POWER(CHslave,SIGN(HD301))*POWER(GEslave,SIGN(HF301))*POWER(KOslave,SIGN(HG301))*POWER(KKslave,SIGN(HH301))+HF301*POWER(MUslave,SIGN(HA301))*POWER(KLslave,SIGN(HB301))*POWER(INslave,SIGN(HC301))*POWER(CHslave,SIGN(HD301))*POWER(FFslave,SIGN(HE301))*POWER(KOslave,SIGN(HG301))*POWER(KKslave,SIGN(HH301))+HG301*POWER(MUslave,SIGN(HA301))*POWER(KLslave,SIGN(HB301))*POWER(INslave,SIGN(HC301))*POWER(CHslave,SIGN(HD301))*POWER(FFslave,SIGN(HE301))*POWER(GEslave,SIGN(HF301))*POWER(KKslave,SIGN(HH301))+HH301*POWER(MUslave,SIGN(HA301))*POWER(KLslave,SIGN(HB301))*POWER(INslave,SIGN(HC301))*POWER(CHslave,SIGN(HD301))*POWER(FFslave,SIGN(HE301))*POWER(GEslave,SIGN(HF301))*POWER(KOslave,SIGN(HG301))</f>
        <v>2304</v>
      </c>
      <c r="HM301" s="234">
        <f>HD301*HF301*KOslave+HD301*GEslave*HG301+CHslave*HF301*HG301</f>
        <v>3456</v>
      </c>
      <c r="HN301" s="224">
        <f t="shared" si="2107"/>
        <v>1728</v>
      </c>
      <c r="HO301" s="224">
        <f t="shared" ref="HO299:HO321" si="2170">SUM(HL301:HN301)</f>
        <v>7488</v>
      </c>
      <c r="HP301" s="222">
        <f t="shared" si="2109"/>
        <v>3.6923076923076925</v>
      </c>
      <c r="HQ301" s="223">
        <f t="shared" si="2110"/>
        <v>11.076923076923077</v>
      </c>
      <c r="HR301" s="243">
        <f t="shared" si="2111"/>
        <v>8.3076923076923084</v>
      </c>
      <c r="HS301" s="243">
        <f t="shared" si="2112"/>
        <v>23.07692307692308</v>
      </c>
      <c r="HT301" s="252">
        <f t="shared" si="1908"/>
        <v>0</v>
      </c>
      <c r="HU301" s="324">
        <f t="shared" si="2113"/>
        <v>23.07692307692308</v>
      </c>
      <c r="HV301" s="304">
        <f t="shared" ref="HV301:HW304" si="2171">IF(HS301&lt;=0,1,0)+IF(HS301&gt;0,HS301+1,0)*1+IF(HS301&gt;12,HS301-12,0)*1+IF(HS301&gt;13,HS301-13,0)*1+IF(HS301&gt;14,HS301-14,0)*1+IF(HS301&gt;15,HS301-15,0)*1+IF(HS301&gt;16,HS301-16,0)*1+IF(HS301&gt;17,HS301-17,0)*1+IF(HS301&gt;18,HS301-18,0)*1+IF(HS301&gt;19,HS301-19,0)*1+IF(HS301&gt;20,HS301-20,0)*1</f>
        <v>87.769230769230802</v>
      </c>
      <c r="HW301" s="335">
        <f t="shared" si="2171"/>
        <v>1</v>
      </c>
      <c r="HX301" s="243">
        <f t="shared" si="2115"/>
        <v>86.769230769230802</v>
      </c>
      <c r="HY301" s="218">
        <f t="shared" si="2116"/>
        <v>0</v>
      </c>
      <c r="HZ301" s="248"/>
      <c r="IA301" s="303" t="s">
        <v>450</v>
      </c>
      <c r="IB301" s="218" t="s">
        <v>471</v>
      </c>
      <c r="IC301" s="304" t="s">
        <v>133</v>
      </c>
      <c r="ID301" s="210"/>
      <c r="IE301" s="211"/>
      <c r="IF301" s="211"/>
      <c r="IG301" s="113">
        <f>Konvention_1slave-CHslave</f>
        <v>12</v>
      </c>
      <c r="IH301" s="211"/>
      <c r="II301" s="113">
        <f>Konvention_1slave-GEslave</f>
        <v>12</v>
      </c>
      <c r="IJ301" s="117">
        <f>Konvention_1slave-KOslave</f>
        <v>12</v>
      </c>
      <c r="IK301" s="212"/>
      <c r="IL301" s="223">
        <f t="shared" si="2117"/>
        <v>12</v>
      </c>
      <c r="IM301" s="223">
        <f t="shared" si="2118"/>
        <v>24</v>
      </c>
      <c r="IN301" s="224">
        <f t="shared" si="2119"/>
        <v>36</v>
      </c>
      <c r="IO301" s="237">
        <f>ID301*POWER(KLslave,SIGN(IE301))*POWER(INslave,SIGN(IF301))*POWER(CHslave,SIGN(IG301))*POWER(FFslave,SIGN(IH301))*POWER(GEslave,SIGN(II301))*POWER(KOslave,SIGN(IJ301))*POWER(KKslave,SIGN(IK301))+IE301*POWER(MUslave,SIGN(ID301))*POWER(INslave,SIGN(IF301))*POWER(CHslave,SIGN(IG301))*POWER(FFslave,SIGN(IH301))*POWER(GEslave,SIGN(II301))*POWER(KOslave,SIGN(IJ301))*POWER(KKslave,SIGN(IK301))+IF301*POWER(MUslave,SIGN(ID301))*POWER(KLslave,SIGN(IE301))*POWER(CHslave,SIGN(IG301))*POWER(FFslave,SIGN(IH301))*POWER(GEslave,SIGN(II301))*POWER(KOslave,SIGN(IJ301))*POWER(KKslave,SIGN(IK301))+IG301*POWER(MUslave,SIGN(ID301))*POWER(KLslave,SIGN(IE301))*POWER(INslave,SIGN(IF301))*POWER(FFslave,SIGN(IH301))*POWER(GEslave,SIGN(II301))*POWER(KOslave,SIGN(IJ301))*POWER(KKslave,SIGN(IK301))+IH301*POWER(MUslave,SIGN(ID301))*POWER(KLslave,SIGN(IE301))*POWER(INslave,SIGN(IF301))*POWER(CHslave,SIGN(IG301))*POWER(GEslave,SIGN(II301))*POWER(KOslave,SIGN(IJ301))*POWER(KKslave,SIGN(IK301))+II301*POWER(MUslave,SIGN(ID301))*POWER(KLslave,SIGN(IE301))*POWER(INslave,SIGN(IF301))*POWER(CHslave,SIGN(IG301))*POWER(FFslave,SIGN(IH301))*POWER(KOslave,SIGN(IJ301))*POWER(KKslave,SIGN(IK301))+IJ301*POWER(MUslave,SIGN(ID301))*POWER(KLslave,SIGN(IE301))*POWER(INslave,SIGN(IF301))*POWER(CHslave,SIGN(IG301))*POWER(FFslave,SIGN(IH301))*POWER(GEslave,SIGN(II301))*POWER(KKslave,SIGN(IK301))+IK301*POWER(MUslave,SIGN(ID301))*POWER(KLslave,SIGN(IE301))*POWER(INslave,SIGN(IF301))*POWER(CHslave,SIGN(IG301))*POWER(FFslave,SIGN(IH301))*POWER(GEslave,SIGN(II301))*POWER(KOslave,SIGN(IJ301))</f>
        <v>2304</v>
      </c>
      <c r="IP301" s="234">
        <f>IG301*II301*KOslave+IG301*GEslave*IJ301+CHslave*II301*IJ301</f>
        <v>3456</v>
      </c>
      <c r="IQ301" s="224">
        <f t="shared" si="2120"/>
        <v>1728</v>
      </c>
      <c r="IR301" s="224">
        <f t="shared" ref="IR299:IR321" si="2172">SUM(IO301:IQ301)</f>
        <v>7488</v>
      </c>
      <c r="IS301" s="222">
        <f t="shared" si="2122"/>
        <v>3.6923076923076925</v>
      </c>
      <c r="IT301" s="223">
        <f t="shared" si="2123"/>
        <v>11.076923076923077</v>
      </c>
      <c r="IU301" s="243">
        <f t="shared" si="2124"/>
        <v>8.3076923076923084</v>
      </c>
      <c r="IV301" s="243">
        <f t="shared" si="2125"/>
        <v>23.07692307692308</v>
      </c>
      <c r="IW301" s="252">
        <f t="shared" si="1923"/>
        <v>0</v>
      </c>
      <c r="IX301" s="324">
        <f t="shared" si="2126"/>
        <v>23.07692307692308</v>
      </c>
      <c r="IY301" s="304">
        <f t="shared" ref="IY301:IZ304" si="2173">IF(IV301&lt;=0,1,0)+IF(IV301&gt;0,IV301+1,0)*1+IF(IV301&gt;12,IV301-12,0)*1+IF(IV301&gt;13,IV301-13,0)*1+IF(IV301&gt;14,IV301-14,0)*1+IF(IV301&gt;15,IV301-15,0)*1+IF(IV301&gt;16,IV301-16,0)*1+IF(IV301&gt;17,IV301-17,0)*1+IF(IV301&gt;18,IV301-18,0)*1+IF(IV301&gt;19,IV301-19,0)*1+IF(IV301&gt;20,IV301-20,0)*1</f>
        <v>87.769230769230802</v>
      </c>
      <c r="IZ301" s="335">
        <f t="shared" si="2173"/>
        <v>1</v>
      </c>
      <c r="JA301" s="243">
        <f t="shared" si="2128"/>
        <v>86.769230769230802</v>
      </c>
      <c r="JB301" s="218">
        <f t="shared" si="2129"/>
        <v>0</v>
      </c>
    </row>
    <row r="302" spans="1:265" s="205" customFormat="1" ht="15" hidden="1" customHeight="1" outlineLevel="2">
      <c r="A302" s="185"/>
      <c r="B302" s="217">
        <v>5</v>
      </c>
      <c r="C302" s="303" t="e">
        <f>VLOOKUP(AF302,Attribute!C:T,1,FALSE)</f>
        <v>#N/A</v>
      </c>
      <c r="D302" s="218" t="s">
        <v>471</v>
      </c>
      <c r="E302" s="304" t="s">
        <v>132</v>
      </c>
      <c r="F302" s="210"/>
      <c r="G302" s="211"/>
      <c r="H302" s="211"/>
      <c r="I302" s="113">
        <f t="shared" si="2155"/>
        <v>12</v>
      </c>
      <c r="J302" s="211"/>
      <c r="K302" s="113">
        <f>Konvention_1master-GEmaster</f>
        <v>12</v>
      </c>
      <c r="L302" s="117">
        <f>Konvention_1master-KOmaster</f>
        <v>12</v>
      </c>
      <c r="M302" s="212"/>
      <c r="N302" s="223">
        <f t="shared" si="2010"/>
        <v>12</v>
      </c>
      <c r="O302" s="223">
        <f t="shared" si="2011"/>
        <v>24</v>
      </c>
      <c r="P302" s="224">
        <f t="shared" si="2012"/>
        <v>36</v>
      </c>
      <c r="Q302" s="237">
        <f t="shared" si="2013"/>
        <v>2304</v>
      </c>
      <c r="R302" s="234">
        <f>I302*K302*KOmaster+I302*GEmaster*L302+CHmaster*K302*L302</f>
        <v>3456</v>
      </c>
      <c r="S302" s="224">
        <f t="shared" si="2014"/>
        <v>1728</v>
      </c>
      <c r="T302" s="224">
        <f t="shared" si="2156"/>
        <v>7488</v>
      </c>
      <c r="U302" s="222">
        <f t="shared" si="2016"/>
        <v>3.6923076923076925</v>
      </c>
      <c r="V302" s="223">
        <f t="shared" si="2017"/>
        <v>11.076923076923077</v>
      </c>
      <c r="W302" s="243">
        <f t="shared" si="2018"/>
        <v>8.3076923076923084</v>
      </c>
      <c r="X302" s="243">
        <f t="shared" si="2019"/>
        <v>23.07692307692308</v>
      </c>
      <c r="Y302" s="252">
        <v>0</v>
      </c>
      <c r="Z302" s="324">
        <f t="shared" si="2020"/>
        <v>23.07692307692308</v>
      </c>
      <c r="AA302" s="304">
        <f>IF(X302&lt;=0,2,0)+IF(X302&gt;0,X302+1,0)*2+IF(X302&gt;12,X302-12,0)*2+IF(X302&gt;13,X302-13,0)*2+IF(X302&gt;14,X302-14,0)*2+IF(X302&gt;15,X302-15,0)*2+IF(X302&gt;16,X302-16,0)*2+IF(X302&gt;17,X302-17,0)*2+IF(X302&gt;18,X302-18,0)*2+IF(X302&gt;19,X302-19,0)*2+IF(X302&gt;20,X302-20,0)*2</f>
        <v>175.5384615384616</v>
      </c>
      <c r="AB302" s="335">
        <f>IF(Y302&lt;=0,2,0)+IF(Y302&gt;0,Y302+1,0)*2+IF(Y302&gt;12,Y302-12,0)*2+IF(Y302&gt;13,Y302-13,0)*2+IF(Y302&gt;14,Y302-14,0)*2+IF(Y302&gt;15,Y302-15,0)*2+IF(Y302&gt;16,Y302-16,0)*2+IF(Y302&gt;17,Y302-17,0)*2+IF(Y302&gt;18,Y302-18,0)*2+IF(Y302&gt;19,Y302-19,0)*2+IF(Y302&gt;20,Y302-20,0)*2</f>
        <v>2</v>
      </c>
      <c r="AC302" s="243">
        <f t="shared" si="2023"/>
        <v>173.5384615384616</v>
      </c>
      <c r="AD302" s="218">
        <f t="shared" si="2024"/>
        <v>0</v>
      </c>
      <c r="AE302" s="299"/>
      <c r="AF302" s="303" t="s">
        <v>451</v>
      </c>
      <c r="AG302" s="218" t="s">
        <v>471</v>
      </c>
      <c r="AH302" s="304" t="s">
        <v>132</v>
      </c>
      <c r="AI302" s="210"/>
      <c r="AJ302" s="211"/>
      <c r="AK302" s="211"/>
      <c r="AL302" s="113">
        <f>Konvention_1slave-CHslave</f>
        <v>12</v>
      </c>
      <c r="AM302" s="211"/>
      <c r="AN302" s="113">
        <f>Konvention_1slave-GEslave</f>
        <v>12</v>
      </c>
      <c r="AO302" s="117">
        <f>Konvention_1slave-KOslave</f>
        <v>12</v>
      </c>
      <c r="AP302" s="212"/>
      <c r="AQ302" s="223">
        <f t="shared" si="2025"/>
        <v>12</v>
      </c>
      <c r="AR302" s="223">
        <f t="shared" si="2026"/>
        <v>24</v>
      </c>
      <c r="AS302" s="224">
        <f t="shared" si="2027"/>
        <v>36</v>
      </c>
      <c r="AT302" s="237">
        <f>AI302*POWER(KLslave,SIGN(AJ302))*POWER(INslave,SIGN(AK302))*POWER(CHslave,SIGN(AL302))*POWER(FFslave,SIGN(AM302))*POWER(GEslave,SIGN(AN302))*POWER(KOslave,SIGN(AO302))*POWER(KKslave,SIGN(AP302))+AJ302*POWER(MUslave,SIGN(AI302))*POWER(INslave,SIGN(AK302))*POWER(CHslave,SIGN(AL302))*POWER(FFslave,SIGN(AM302))*POWER(GEslave,SIGN(AN302))*POWER(KOslave,SIGN(AO302))*POWER(KKslave,SIGN(AP302))+AK302*POWER(MUslave,SIGN(AI302))*POWER(KLslave,SIGN(AJ302))*POWER(CHslave,SIGN(AL302))*POWER(FFslave,SIGN(AM302))*POWER(GEslave,SIGN(AN302))*POWER(KOslave,SIGN(AO302))*POWER(KKslave,SIGN(AP302))+AL302*POWER(MUslave,SIGN(AI302))*POWER(KLslave,SIGN(AJ302))*POWER(INslave,SIGN(AK302))*POWER(FFslave,SIGN(AM302))*POWER(GEslave,SIGN(AN302))*POWER(KOslave,SIGN(AO302))*POWER(KKslave,SIGN(AP302))+AM302*POWER(MUslave,SIGN(AI302))*POWER(KLslave,SIGN(AJ302))*POWER(INslave,SIGN(AK302))*POWER(CHslave,SIGN(AL302))*POWER(GEslave,SIGN(AN302))*POWER(KOslave,SIGN(AO302))*POWER(KKslave,SIGN(AP302))+AN302*POWER(MUslave,SIGN(AI302))*POWER(KLslave,SIGN(AJ302))*POWER(INslave,SIGN(AK302))*POWER(CHslave,SIGN(AL302))*POWER(FFslave,SIGN(AM302))*POWER(KOslave,SIGN(AO302))*POWER(KKslave,SIGN(AP302))+AO302*POWER(MUslave,SIGN(AI302))*POWER(KLslave,SIGN(AJ302))*POWER(INslave,SIGN(AK302))*POWER(CHslave,SIGN(AL302))*POWER(FFslave,SIGN(AM302))*POWER(GEslave,SIGN(AN302))*POWER(KKslave,SIGN(AP302))+AP302*POWER(MUslave,SIGN(AI302))*POWER(KLslave,SIGN(AJ302))*POWER(INslave,SIGN(AK302))*POWER(CHslave,SIGN(AL302))*POWER(FFslave,SIGN(AM302))*POWER(GEslave,SIGN(AN302))*POWER(KOslave,SIGN(AO302))</f>
        <v>2304</v>
      </c>
      <c r="AU302" s="234">
        <f>AL302*AN302*KOslave+AL302*GEslave*AO302+CHslave*AN302*AO302</f>
        <v>3456</v>
      </c>
      <c r="AV302" s="224">
        <f t="shared" si="2028"/>
        <v>1728</v>
      </c>
      <c r="AW302" s="224">
        <f t="shared" si="2158"/>
        <v>7488</v>
      </c>
      <c r="AX302" s="222">
        <f t="shared" si="2030"/>
        <v>3.6923076923076925</v>
      </c>
      <c r="AY302" s="223">
        <f t="shared" si="2031"/>
        <v>11.076923076923077</v>
      </c>
      <c r="AZ302" s="243">
        <f t="shared" si="2032"/>
        <v>8.3076923076923084</v>
      </c>
      <c r="BA302" s="243">
        <f t="shared" si="2033"/>
        <v>23.07692307692308</v>
      </c>
      <c r="BB302" s="252">
        <f t="shared" si="2034"/>
        <v>0</v>
      </c>
      <c r="BC302" s="324">
        <f t="shared" si="2035"/>
        <v>23.07692307692308</v>
      </c>
      <c r="BD302" s="304">
        <f>IF(BA302&lt;=0,2,0)+IF(BA302&gt;0,BA302+1,0)*2+IF(BA302&gt;12,BA302-12,0)*2+IF(BA302&gt;13,BA302-13,0)*2+IF(BA302&gt;14,BA302-14,0)*2+IF(BA302&gt;15,BA302-15,0)*2+IF(BA302&gt;16,BA302-16,0)*2+IF(BA302&gt;17,BA302-17,0)*2+IF(BA302&gt;18,BA302-18,0)*2+IF(BA302&gt;19,BA302-19,0)*2+IF(BA302&gt;20,BA302-20,0)*2</f>
        <v>175.5384615384616</v>
      </c>
      <c r="BE302" s="335">
        <f>IF(BB302&lt;=0,2,0)+IF(BB302&gt;0,BB302+1,0)*2+IF(BB302&gt;12,BB302-12,0)*2+IF(BB302&gt;13,BB302-13,0)*2+IF(BB302&gt;14,BB302-14,0)*2+IF(BB302&gt;15,BB302-15,0)*2+IF(BB302&gt;16,BB302-16,0)*2+IF(BB302&gt;17,BB302-17,0)*2+IF(BB302&gt;18,BB302-18,0)*2+IF(BB302&gt;19,BB302-19,0)*2+IF(BB302&gt;20,BB302-20,0)*2</f>
        <v>2</v>
      </c>
      <c r="BF302" s="243">
        <f t="shared" si="2037"/>
        <v>173.5384615384616</v>
      </c>
      <c r="BG302" s="218">
        <f t="shared" si="2038"/>
        <v>0</v>
      </c>
      <c r="BH302" s="248"/>
      <c r="BI302" s="303" t="s">
        <v>451</v>
      </c>
      <c r="BJ302" s="218" t="s">
        <v>471</v>
      </c>
      <c r="BK302" s="304" t="s">
        <v>132</v>
      </c>
      <c r="BL302" s="210"/>
      <c r="BM302" s="211"/>
      <c r="BN302" s="211"/>
      <c r="BO302" s="113">
        <f>Konvention_1slave-CHslave</f>
        <v>12</v>
      </c>
      <c r="BP302" s="211"/>
      <c r="BQ302" s="113">
        <f>Konvention_1slave-GEslave</f>
        <v>12</v>
      </c>
      <c r="BR302" s="117">
        <f>Konvention_1slave-KOslave</f>
        <v>12</v>
      </c>
      <c r="BS302" s="212"/>
      <c r="BT302" s="223">
        <f t="shared" si="2039"/>
        <v>12</v>
      </c>
      <c r="BU302" s="223">
        <f t="shared" si="2040"/>
        <v>24</v>
      </c>
      <c r="BV302" s="224">
        <f t="shared" si="2041"/>
        <v>36</v>
      </c>
      <c r="BW302" s="237">
        <f>BL302*POWER(KLslave,SIGN(BM302))*POWER(INslave,SIGN(BN302))*POWER(CHslave,SIGN(BO302))*POWER(FFslave,SIGN(BP302))*POWER(GEslave,SIGN(BQ302))*POWER(KOslave,SIGN(BR302))*POWER(KKslave,SIGN(BS302))+BM302*POWER(MUslave,SIGN(BL302))*POWER(INslave,SIGN(BN302))*POWER(CHslave,SIGN(BO302))*POWER(FFslave,SIGN(BP302))*POWER(GEslave,SIGN(BQ302))*POWER(KOslave,SIGN(BR302))*POWER(KKslave,SIGN(BS302))+BN302*POWER(MUslave,SIGN(BL302))*POWER(KLslave,SIGN(BM302))*POWER(CHslave,SIGN(BO302))*POWER(FFslave,SIGN(BP302))*POWER(GEslave,SIGN(BQ302))*POWER(KOslave,SIGN(BR302))*POWER(KKslave,SIGN(BS302))+BO302*POWER(MUslave,SIGN(BL302))*POWER(KLslave,SIGN(BM302))*POWER(INslave,SIGN(BN302))*POWER(FFslave,SIGN(BP302))*POWER(GEslave,SIGN(BQ302))*POWER(KOslave,SIGN(BR302))*POWER(KKslave,SIGN(BS302))+BP302*POWER(MUslave,SIGN(BL302))*POWER(KLslave,SIGN(BM302))*POWER(INslave,SIGN(BN302))*POWER(CHslave,SIGN(BO302))*POWER(GEslave,SIGN(BQ302))*POWER(KOslave,SIGN(BR302))*POWER(KKslave,SIGN(BS302))+BQ302*POWER(MUslave,SIGN(BL302))*POWER(KLslave,SIGN(BM302))*POWER(INslave,SIGN(BN302))*POWER(CHslave,SIGN(BO302))*POWER(FFslave,SIGN(BP302))*POWER(KOslave,SIGN(BR302))*POWER(KKslave,SIGN(BS302))+BR302*POWER(MUslave,SIGN(BL302))*POWER(KLslave,SIGN(BM302))*POWER(INslave,SIGN(BN302))*POWER(CHslave,SIGN(BO302))*POWER(FFslave,SIGN(BP302))*POWER(GEslave,SIGN(BQ302))*POWER(KKslave,SIGN(BS302))+BS302*POWER(MUslave,SIGN(BL302))*POWER(KLslave,SIGN(BM302))*POWER(INslave,SIGN(BN302))*POWER(CHslave,SIGN(BO302))*POWER(FFslave,SIGN(BP302))*POWER(GEslave,SIGN(BQ302))*POWER(KOslave,SIGN(BR302))</f>
        <v>2304</v>
      </c>
      <c r="BX302" s="234">
        <f>BO302*BQ302*KOslave+BO302*GEslave*BR302+CHslave*BQ302*BR302</f>
        <v>3456</v>
      </c>
      <c r="BY302" s="224">
        <f t="shared" si="2042"/>
        <v>1728</v>
      </c>
      <c r="BZ302" s="224">
        <f t="shared" si="2160"/>
        <v>7488</v>
      </c>
      <c r="CA302" s="222">
        <f t="shared" si="2044"/>
        <v>3.6923076923076925</v>
      </c>
      <c r="CB302" s="223">
        <f t="shared" si="2045"/>
        <v>11.076923076923077</v>
      </c>
      <c r="CC302" s="243">
        <f t="shared" si="2046"/>
        <v>8.3076923076923084</v>
      </c>
      <c r="CD302" s="243">
        <f t="shared" si="2047"/>
        <v>23.07692307692308</v>
      </c>
      <c r="CE302" s="252">
        <f t="shared" si="1833"/>
        <v>0</v>
      </c>
      <c r="CF302" s="324">
        <f t="shared" si="2048"/>
        <v>23.07692307692308</v>
      </c>
      <c r="CG302" s="304">
        <f>IF(CD302&lt;=0,2,0)+IF(CD302&gt;0,CD302+1,0)*2+IF(CD302&gt;12,CD302-12,0)*2+IF(CD302&gt;13,CD302-13,0)*2+IF(CD302&gt;14,CD302-14,0)*2+IF(CD302&gt;15,CD302-15,0)*2+IF(CD302&gt;16,CD302-16,0)*2+IF(CD302&gt;17,CD302-17,0)*2+IF(CD302&gt;18,CD302-18,0)*2+IF(CD302&gt;19,CD302-19,0)*2+IF(CD302&gt;20,CD302-20,0)*2</f>
        <v>175.5384615384616</v>
      </c>
      <c r="CH302" s="335">
        <f>IF(CE302&lt;=0,2,0)+IF(CE302&gt;0,CE302+1,0)*2+IF(CE302&gt;12,CE302-12,0)*2+IF(CE302&gt;13,CE302-13,0)*2+IF(CE302&gt;14,CE302-14,0)*2+IF(CE302&gt;15,CE302-15,0)*2+IF(CE302&gt;16,CE302-16,0)*2+IF(CE302&gt;17,CE302-17,0)*2+IF(CE302&gt;18,CE302-18,0)*2+IF(CE302&gt;19,CE302-19,0)*2+IF(CE302&gt;20,CE302-20,0)*2</f>
        <v>2</v>
      </c>
      <c r="CI302" s="243">
        <f t="shared" si="2050"/>
        <v>173.5384615384616</v>
      </c>
      <c r="CJ302" s="218">
        <f t="shared" si="2051"/>
        <v>0</v>
      </c>
      <c r="CK302" s="248"/>
      <c r="CL302" s="303" t="s">
        <v>451</v>
      </c>
      <c r="CM302" s="218" t="s">
        <v>471</v>
      </c>
      <c r="CN302" s="304" t="s">
        <v>132</v>
      </c>
      <c r="CO302" s="210"/>
      <c r="CP302" s="211"/>
      <c r="CQ302" s="211"/>
      <c r="CR302" s="113">
        <f>Konvention_1slave-CHslave</f>
        <v>12</v>
      </c>
      <c r="CS302" s="211"/>
      <c r="CT302" s="113">
        <f>Konvention_1slave-GEslave</f>
        <v>12</v>
      </c>
      <c r="CU302" s="117">
        <f>Konvention_1slave-KOslave</f>
        <v>12</v>
      </c>
      <c r="CV302" s="212"/>
      <c r="CW302" s="223">
        <f t="shared" si="2052"/>
        <v>12</v>
      </c>
      <c r="CX302" s="223">
        <f t="shared" si="2053"/>
        <v>24</v>
      </c>
      <c r="CY302" s="224">
        <f t="shared" si="2054"/>
        <v>36</v>
      </c>
      <c r="CZ302" s="237">
        <f>CO302*POWER(KLslave,SIGN(CP302))*POWER(INslave,SIGN(CQ302))*POWER(CHslave,SIGN(CR302))*POWER(FFslave,SIGN(CS302))*POWER(GEslave,SIGN(CT302))*POWER(KOslave,SIGN(CU302))*POWER(KKslave,SIGN(CV302))+CP302*POWER(MUslave,SIGN(CO302))*POWER(INslave,SIGN(CQ302))*POWER(CHslave,SIGN(CR302))*POWER(FFslave,SIGN(CS302))*POWER(GEslave,SIGN(CT302))*POWER(KOslave,SIGN(CU302))*POWER(KKslave,SIGN(CV302))+CQ302*POWER(MUslave,SIGN(CO302))*POWER(KLslave,SIGN(CP302))*POWER(CHslave,SIGN(CR302))*POWER(FFslave,SIGN(CS302))*POWER(GEslave,SIGN(CT302))*POWER(KOslave,SIGN(CU302))*POWER(KKslave,SIGN(CV302))+CR302*POWER(MUslave,SIGN(CO302))*POWER(KLslave,SIGN(CP302))*POWER(INslave,SIGN(CQ302))*POWER(FFslave,SIGN(CS302))*POWER(GEslave,SIGN(CT302))*POWER(KOslave,SIGN(CU302))*POWER(KKslave,SIGN(CV302))+CS302*POWER(MUslave,SIGN(CO302))*POWER(KLslave,SIGN(CP302))*POWER(INslave,SIGN(CQ302))*POWER(CHslave,SIGN(CR302))*POWER(GEslave,SIGN(CT302))*POWER(KOslave,SIGN(CU302))*POWER(KKslave,SIGN(CV302))+CT302*POWER(MUslave,SIGN(CO302))*POWER(KLslave,SIGN(CP302))*POWER(INslave,SIGN(CQ302))*POWER(CHslave,SIGN(CR302))*POWER(FFslave,SIGN(CS302))*POWER(KOslave,SIGN(CU302))*POWER(KKslave,SIGN(CV302))+CU302*POWER(MUslave,SIGN(CO302))*POWER(KLslave,SIGN(CP302))*POWER(INslave,SIGN(CQ302))*POWER(CHslave,SIGN(CR302))*POWER(FFslave,SIGN(CS302))*POWER(GEslave,SIGN(CT302))*POWER(KKslave,SIGN(CV302))+CV302*POWER(MUslave,SIGN(CO302))*POWER(KLslave,SIGN(CP302))*POWER(INslave,SIGN(CQ302))*POWER(CHslave,SIGN(CR302))*POWER(FFslave,SIGN(CS302))*POWER(GEslave,SIGN(CT302))*POWER(KOslave,SIGN(CU302))</f>
        <v>2304</v>
      </c>
      <c r="DA302" s="234">
        <f>CR302*CT302*KOslave+CR302*GEslave*CU302+CHslave*CT302*CU302</f>
        <v>3456</v>
      </c>
      <c r="DB302" s="224">
        <f t="shared" si="2055"/>
        <v>1728</v>
      </c>
      <c r="DC302" s="224">
        <f t="shared" si="2162"/>
        <v>7488</v>
      </c>
      <c r="DD302" s="222">
        <f t="shared" si="2057"/>
        <v>3.6923076923076925</v>
      </c>
      <c r="DE302" s="223">
        <f t="shared" si="2058"/>
        <v>11.076923076923077</v>
      </c>
      <c r="DF302" s="243">
        <f t="shared" si="2059"/>
        <v>8.3076923076923084</v>
      </c>
      <c r="DG302" s="243">
        <f t="shared" si="2060"/>
        <v>23.07692307692308</v>
      </c>
      <c r="DH302" s="252">
        <f t="shared" si="1848"/>
        <v>0</v>
      </c>
      <c r="DI302" s="324">
        <f t="shared" si="2061"/>
        <v>23.07692307692308</v>
      </c>
      <c r="DJ302" s="304">
        <f>IF(DG302&lt;=0,2,0)+IF(DG302&gt;0,DG302+1,0)*2+IF(DG302&gt;12,DG302-12,0)*2+IF(DG302&gt;13,DG302-13,0)*2+IF(DG302&gt;14,DG302-14,0)*2+IF(DG302&gt;15,DG302-15,0)*2+IF(DG302&gt;16,DG302-16,0)*2+IF(DG302&gt;17,DG302-17,0)*2+IF(DG302&gt;18,DG302-18,0)*2+IF(DG302&gt;19,DG302-19,0)*2+IF(DG302&gt;20,DG302-20,0)*2</f>
        <v>175.5384615384616</v>
      </c>
      <c r="DK302" s="335">
        <f>IF(DH302&lt;=0,2,0)+IF(DH302&gt;0,DH302+1,0)*2+IF(DH302&gt;12,DH302-12,0)*2+IF(DH302&gt;13,DH302-13,0)*2+IF(DH302&gt;14,DH302-14,0)*2+IF(DH302&gt;15,DH302-15,0)*2+IF(DH302&gt;16,DH302-16,0)*2+IF(DH302&gt;17,DH302-17,0)*2+IF(DH302&gt;18,DH302-18,0)*2+IF(DH302&gt;19,DH302-19,0)*2+IF(DH302&gt;20,DH302-20,0)*2</f>
        <v>2</v>
      </c>
      <c r="DL302" s="243">
        <f t="shared" si="2063"/>
        <v>173.5384615384616</v>
      </c>
      <c r="DM302" s="218">
        <f t="shared" si="2064"/>
        <v>0</v>
      </c>
      <c r="DN302" s="248"/>
      <c r="DO302" s="303" t="s">
        <v>451</v>
      </c>
      <c r="DP302" s="218" t="s">
        <v>471</v>
      </c>
      <c r="DQ302" s="304" t="s">
        <v>132</v>
      </c>
      <c r="DR302" s="210"/>
      <c r="DS302" s="211"/>
      <c r="DT302" s="211"/>
      <c r="DU302" s="113">
        <f>Konvention_1slave-CHslave</f>
        <v>12</v>
      </c>
      <c r="DV302" s="211"/>
      <c r="DW302" s="113">
        <f>Konvention_1slave-GEslave</f>
        <v>12</v>
      </c>
      <c r="DX302" s="117">
        <f>Konvention_1slave-KOslave</f>
        <v>12</v>
      </c>
      <c r="DY302" s="212"/>
      <c r="DZ302" s="223">
        <f t="shared" si="2065"/>
        <v>12</v>
      </c>
      <c r="EA302" s="223">
        <f t="shared" si="2066"/>
        <v>24</v>
      </c>
      <c r="EB302" s="224">
        <f t="shared" si="2067"/>
        <v>36</v>
      </c>
      <c r="EC302" s="237">
        <f>DR302*POWER(KLslave,SIGN(DS302))*POWER(INslave,SIGN(DT302))*POWER(CHslave,SIGN(DU302))*POWER(FFslave,SIGN(DV302))*POWER(GEslave,SIGN(DW302))*POWER(KOslave,SIGN(DX302))*POWER(KKslave,SIGN(DY302))+DS302*POWER(MUslave,SIGN(DR302))*POWER(INslave,SIGN(DT302))*POWER(CHslave,SIGN(DU302))*POWER(FFslave,SIGN(DV302))*POWER(GEslave,SIGN(DW302))*POWER(KOslave,SIGN(DX302))*POWER(KKslave,SIGN(DY302))+DT302*POWER(MUslave,SIGN(DR302))*POWER(KLslave,SIGN(DS302))*POWER(CHslave,SIGN(DU302))*POWER(FFslave,SIGN(DV302))*POWER(GEslave,SIGN(DW302))*POWER(KOslave,SIGN(DX302))*POWER(KKslave,SIGN(DY302))+DU302*POWER(MUslave,SIGN(DR302))*POWER(KLslave,SIGN(DS302))*POWER(INslave,SIGN(DT302))*POWER(FFslave,SIGN(DV302))*POWER(GEslave,SIGN(DW302))*POWER(KOslave,SIGN(DX302))*POWER(KKslave,SIGN(DY302))+DV302*POWER(MUslave,SIGN(DR302))*POWER(KLslave,SIGN(DS302))*POWER(INslave,SIGN(DT302))*POWER(CHslave,SIGN(DU302))*POWER(GEslave,SIGN(DW302))*POWER(KOslave,SIGN(DX302))*POWER(KKslave,SIGN(DY302))+DW302*POWER(MUslave,SIGN(DR302))*POWER(KLslave,SIGN(DS302))*POWER(INslave,SIGN(DT302))*POWER(CHslave,SIGN(DU302))*POWER(FFslave,SIGN(DV302))*POWER(KOslave,SIGN(DX302))*POWER(KKslave,SIGN(DY302))+DX302*POWER(MUslave,SIGN(DR302))*POWER(KLslave,SIGN(DS302))*POWER(INslave,SIGN(DT302))*POWER(CHslave,SIGN(DU302))*POWER(FFslave,SIGN(DV302))*POWER(GEslave,SIGN(DW302))*POWER(KKslave,SIGN(DY302))+DY302*POWER(MUslave,SIGN(DR302))*POWER(KLslave,SIGN(DS302))*POWER(INslave,SIGN(DT302))*POWER(CHslave,SIGN(DU302))*POWER(FFslave,SIGN(DV302))*POWER(GEslave,SIGN(DW302))*POWER(KOslave,SIGN(DX302))</f>
        <v>2304</v>
      </c>
      <c r="ED302" s="234">
        <f>DU302*DW302*KOslave+DU302*GEslave*DX302+CHslave*DW302*DX302</f>
        <v>3456</v>
      </c>
      <c r="EE302" s="224">
        <f t="shared" si="2068"/>
        <v>1728</v>
      </c>
      <c r="EF302" s="224">
        <f t="shared" si="2164"/>
        <v>7488</v>
      </c>
      <c r="EG302" s="222">
        <f t="shared" si="2070"/>
        <v>3.6923076923076925</v>
      </c>
      <c r="EH302" s="223">
        <f t="shared" si="2071"/>
        <v>11.076923076923077</v>
      </c>
      <c r="EI302" s="243">
        <f t="shared" si="2072"/>
        <v>8.3076923076923084</v>
      </c>
      <c r="EJ302" s="243">
        <f t="shared" si="2073"/>
        <v>23.07692307692308</v>
      </c>
      <c r="EK302" s="252">
        <f t="shared" si="1863"/>
        <v>0</v>
      </c>
      <c r="EL302" s="324">
        <f t="shared" si="2074"/>
        <v>23.07692307692308</v>
      </c>
      <c r="EM302" s="304">
        <f>IF(EJ302&lt;=0,2,0)+IF(EJ302&gt;0,EJ302+1,0)*2+IF(EJ302&gt;12,EJ302-12,0)*2+IF(EJ302&gt;13,EJ302-13,0)*2+IF(EJ302&gt;14,EJ302-14,0)*2+IF(EJ302&gt;15,EJ302-15,0)*2+IF(EJ302&gt;16,EJ302-16,0)*2+IF(EJ302&gt;17,EJ302-17,0)*2+IF(EJ302&gt;18,EJ302-18,0)*2+IF(EJ302&gt;19,EJ302-19,0)*2+IF(EJ302&gt;20,EJ302-20,0)*2</f>
        <v>175.5384615384616</v>
      </c>
      <c r="EN302" s="335">
        <f>IF(EK302&lt;=0,2,0)+IF(EK302&gt;0,EK302+1,0)*2+IF(EK302&gt;12,EK302-12,0)*2+IF(EK302&gt;13,EK302-13,0)*2+IF(EK302&gt;14,EK302-14,0)*2+IF(EK302&gt;15,EK302-15,0)*2+IF(EK302&gt;16,EK302-16,0)*2+IF(EK302&gt;17,EK302-17,0)*2+IF(EK302&gt;18,EK302-18,0)*2+IF(EK302&gt;19,EK302-19,0)*2+IF(EK302&gt;20,EK302-20,0)*2</f>
        <v>2</v>
      </c>
      <c r="EO302" s="243">
        <f t="shared" si="2076"/>
        <v>173.5384615384616</v>
      </c>
      <c r="EP302" s="218">
        <f t="shared" si="2077"/>
        <v>0</v>
      </c>
      <c r="EQ302" s="248"/>
      <c r="ER302" s="303" t="s">
        <v>451</v>
      </c>
      <c r="ES302" s="218" t="s">
        <v>471</v>
      </c>
      <c r="ET302" s="304" t="s">
        <v>132</v>
      </c>
      <c r="EU302" s="210"/>
      <c r="EV302" s="211"/>
      <c r="EW302" s="211"/>
      <c r="EX302" s="113">
        <f>Konvention_1slave-CHslave</f>
        <v>12</v>
      </c>
      <c r="EY302" s="211"/>
      <c r="EZ302" s="113">
        <f>Konvention_1slave-GEslave</f>
        <v>12</v>
      </c>
      <c r="FA302" s="117">
        <f>Konvention_1slave-KOslave</f>
        <v>12</v>
      </c>
      <c r="FB302" s="212"/>
      <c r="FC302" s="223">
        <f t="shared" si="2078"/>
        <v>12</v>
      </c>
      <c r="FD302" s="223">
        <f t="shared" si="2079"/>
        <v>24</v>
      </c>
      <c r="FE302" s="224">
        <f t="shared" si="2080"/>
        <v>36</v>
      </c>
      <c r="FF302" s="237">
        <f>EU302*POWER(KLslave,SIGN(EV302))*POWER(INslave,SIGN(EW302))*POWER(CHslave,SIGN(EX302))*POWER(FFslave,SIGN(EY302))*POWER(GEslave,SIGN(EZ302))*POWER(KOslave,SIGN(FA302))*POWER(KKslave,SIGN(FB302))+EV302*POWER(MUslave,SIGN(EU302))*POWER(INslave,SIGN(EW302))*POWER(CHslave,SIGN(EX302))*POWER(FFslave,SIGN(EY302))*POWER(GEslave,SIGN(EZ302))*POWER(KOslave,SIGN(FA302))*POWER(KKslave,SIGN(FB302))+EW302*POWER(MUslave,SIGN(EU302))*POWER(KLslave,SIGN(EV302))*POWER(CHslave,SIGN(EX302))*POWER(FFslave,SIGN(EY302))*POWER(GEslave,SIGN(EZ302))*POWER(KOslave,SIGN(FA302))*POWER(KKslave,SIGN(FB302))+EX302*POWER(MUslave,SIGN(EU302))*POWER(KLslave,SIGN(EV302))*POWER(INslave,SIGN(EW302))*POWER(FFslave,SIGN(EY302))*POWER(GEslave,SIGN(EZ302))*POWER(KOslave,SIGN(FA302))*POWER(KKslave,SIGN(FB302))+EY302*POWER(MUslave,SIGN(EU302))*POWER(KLslave,SIGN(EV302))*POWER(INslave,SIGN(EW302))*POWER(CHslave,SIGN(EX302))*POWER(GEslave,SIGN(EZ302))*POWER(KOslave,SIGN(FA302))*POWER(KKslave,SIGN(FB302))+EZ302*POWER(MUslave,SIGN(EU302))*POWER(KLslave,SIGN(EV302))*POWER(INslave,SIGN(EW302))*POWER(CHslave,SIGN(EX302))*POWER(FFslave,SIGN(EY302))*POWER(KOslave,SIGN(FA302))*POWER(KKslave,SIGN(FB302))+FA302*POWER(MUslave,SIGN(EU302))*POWER(KLslave,SIGN(EV302))*POWER(INslave,SIGN(EW302))*POWER(CHslave,SIGN(EX302))*POWER(FFslave,SIGN(EY302))*POWER(GEslave,SIGN(EZ302))*POWER(KKslave,SIGN(FB302))+FB302*POWER(MUslave,SIGN(EU302))*POWER(KLslave,SIGN(EV302))*POWER(INslave,SIGN(EW302))*POWER(CHslave,SIGN(EX302))*POWER(FFslave,SIGN(EY302))*POWER(GEslave,SIGN(EZ302))*POWER(KOslave,SIGN(FA302))</f>
        <v>2304</v>
      </c>
      <c r="FG302" s="234">
        <f>EX302*EZ302*KOslave+EX302*GEslave*FA302+CHslave*EZ302*FA302</f>
        <v>3456</v>
      </c>
      <c r="FH302" s="224">
        <f t="shared" si="2081"/>
        <v>1728</v>
      </c>
      <c r="FI302" s="224">
        <f t="shared" si="2166"/>
        <v>7488</v>
      </c>
      <c r="FJ302" s="222">
        <f t="shared" si="2083"/>
        <v>3.6923076923076925</v>
      </c>
      <c r="FK302" s="223">
        <f t="shared" si="2084"/>
        <v>11.076923076923077</v>
      </c>
      <c r="FL302" s="243">
        <f t="shared" si="2085"/>
        <v>8.3076923076923084</v>
      </c>
      <c r="FM302" s="243">
        <f t="shared" si="2086"/>
        <v>23.07692307692308</v>
      </c>
      <c r="FN302" s="252">
        <f t="shared" si="1878"/>
        <v>0</v>
      </c>
      <c r="FO302" s="324">
        <f t="shared" si="2087"/>
        <v>23.07692307692308</v>
      </c>
      <c r="FP302" s="304">
        <f>IF(FM302&lt;=0,2,0)+IF(FM302&gt;0,FM302+1,0)*2+IF(FM302&gt;12,FM302-12,0)*2+IF(FM302&gt;13,FM302-13,0)*2+IF(FM302&gt;14,FM302-14,0)*2+IF(FM302&gt;15,FM302-15,0)*2+IF(FM302&gt;16,FM302-16,0)*2+IF(FM302&gt;17,FM302-17,0)*2+IF(FM302&gt;18,FM302-18,0)*2+IF(FM302&gt;19,FM302-19,0)*2+IF(FM302&gt;20,FM302-20,0)*2</f>
        <v>175.5384615384616</v>
      </c>
      <c r="FQ302" s="335">
        <f>IF(FN302&lt;=0,2,0)+IF(FN302&gt;0,FN302+1,0)*2+IF(FN302&gt;12,FN302-12,0)*2+IF(FN302&gt;13,FN302-13,0)*2+IF(FN302&gt;14,FN302-14,0)*2+IF(FN302&gt;15,FN302-15,0)*2+IF(FN302&gt;16,FN302-16,0)*2+IF(FN302&gt;17,FN302-17,0)*2+IF(FN302&gt;18,FN302-18,0)*2+IF(FN302&gt;19,FN302-19,0)*2+IF(FN302&gt;20,FN302-20,0)*2</f>
        <v>2</v>
      </c>
      <c r="FR302" s="243">
        <f t="shared" si="2089"/>
        <v>173.5384615384616</v>
      </c>
      <c r="FS302" s="218">
        <f t="shared" si="2090"/>
        <v>0</v>
      </c>
      <c r="FT302" s="248"/>
      <c r="FU302" s="303" t="s">
        <v>451</v>
      </c>
      <c r="FV302" s="218" t="s">
        <v>471</v>
      </c>
      <c r="FW302" s="304" t="s">
        <v>132</v>
      </c>
      <c r="FX302" s="210"/>
      <c r="FY302" s="211"/>
      <c r="FZ302" s="211"/>
      <c r="GA302" s="113">
        <f>Konvention_1slave-CHslave</f>
        <v>12</v>
      </c>
      <c r="GB302" s="211"/>
      <c r="GC302" s="113">
        <f>Konvention_1slave-GEslave</f>
        <v>12</v>
      </c>
      <c r="GD302" s="117">
        <f>Konvention_1slave-KOslave</f>
        <v>12</v>
      </c>
      <c r="GE302" s="212"/>
      <c r="GF302" s="223">
        <f t="shared" si="2091"/>
        <v>12</v>
      </c>
      <c r="GG302" s="223">
        <f t="shared" si="2092"/>
        <v>24</v>
      </c>
      <c r="GH302" s="224">
        <f t="shared" si="2093"/>
        <v>36</v>
      </c>
      <c r="GI302" s="237">
        <f>FX302*POWER(KLslave,SIGN(FY302))*POWER(INslave,SIGN(FZ302))*POWER(CHslave,SIGN(GA302))*POWER(FFslave,SIGN(GB302))*POWER(GEslave,SIGN(GC302))*POWER(KOslave,SIGN(GD302))*POWER(KKslave,SIGN(GE302))+FY302*POWER(MUslave,SIGN(FX302))*POWER(INslave,SIGN(FZ302))*POWER(CHslave,SIGN(GA302))*POWER(FFslave,SIGN(GB302))*POWER(GEslave,SIGN(GC302))*POWER(KOslave,SIGN(GD302))*POWER(KKslave,SIGN(GE302))+FZ302*POWER(MUslave,SIGN(FX302))*POWER(KLslave,SIGN(FY302))*POWER(CHslave,SIGN(GA302))*POWER(FFslave,SIGN(GB302))*POWER(GEslave,SIGN(GC302))*POWER(KOslave,SIGN(GD302))*POWER(KKslave,SIGN(GE302))+GA302*POWER(MUslave,SIGN(FX302))*POWER(KLslave,SIGN(FY302))*POWER(INslave,SIGN(FZ302))*POWER(FFslave,SIGN(GB302))*POWER(GEslave,SIGN(GC302))*POWER(KOslave,SIGN(GD302))*POWER(KKslave,SIGN(GE302))+GB302*POWER(MUslave,SIGN(FX302))*POWER(KLslave,SIGN(FY302))*POWER(INslave,SIGN(FZ302))*POWER(CHslave,SIGN(GA302))*POWER(GEslave,SIGN(GC302))*POWER(KOslave,SIGN(GD302))*POWER(KKslave,SIGN(GE302))+GC302*POWER(MUslave,SIGN(FX302))*POWER(KLslave,SIGN(FY302))*POWER(INslave,SIGN(FZ302))*POWER(CHslave,SIGN(GA302))*POWER(FFslave,SIGN(GB302))*POWER(KOslave,SIGN(GD302))*POWER(KKslave,SIGN(GE302))+GD302*POWER(MUslave,SIGN(FX302))*POWER(KLslave,SIGN(FY302))*POWER(INslave,SIGN(FZ302))*POWER(CHslave,SIGN(GA302))*POWER(FFslave,SIGN(GB302))*POWER(GEslave,SIGN(GC302))*POWER(KKslave,SIGN(GE302))+GE302*POWER(MUslave,SIGN(FX302))*POWER(KLslave,SIGN(FY302))*POWER(INslave,SIGN(FZ302))*POWER(CHslave,SIGN(GA302))*POWER(FFslave,SIGN(GB302))*POWER(GEslave,SIGN(GC302))*POWER(KOslave,SIGN(GD302))</f>
        <v>2304</v>
      </c>
      <c r="GJ302" s="234">
        <f>GA302*GC302*KOslave+GA302*GEslave*GD302+CHslave*GC302*GD302</f>
        <v>3456</v>
      </c>
      <c r="GK302" s="224">
        <f t="shared" si="2094"/>
        <v>1728</v>
      </c>
      <c r="GL302" s="224">
        <f t="shared" si="2168"/>
        <v>7488</v>
      </c>
      <c r="GM302" s="222">
        <f t="shared" si="2096"/>
        <v>3.6923076923076925</v>
      </c>
      <c r="GN302" s="223">
        <f t="shared" si="2097"/>
        <v>11.076923076923077</v>
      </c>
      <c r="GO302" s="243">
        <f t="shared" si="2098"/>
        <v>8.3076923076923084</v>
      </c>
      <c r="GP302" s="243">
        <f t="shared" si="2099"/>
        <v>23.07692307692308</v>
      </c>
      <c r="GQ302" s="252">
        <f t="shared" si="1893"/>
        <v>0</v>
      </c>
      <c r="GR302" s="324">
        <f t="shared" si="2100"/>
        <v>23.07692307692308</v>
      </c>
      <c r="GS302" s="304">
        <f>IF(GP302&lt;=0,2,0)+IF(GP302&gt;0,GP302+1,0)*2+IF(GP302&gt;12,GP302-12,0)*2+IF(GP302&gt;13,GP302-13,0)*2+IF(GP302&gt;14,GP302-14,0)*2+IF(GP302&gt;15,GP302-15,0)*2+IF(GP302&gt;16,GP302-16,0)*2+IF(GP302&gt;17,GP302-17,0)*2+IF(GP302&gt;18,GP302-18,0)*2+IF(GP302&gt;19,GP302-19,0)*2+IF(GP302&gt;20,GP302-20,0)*2</f>
        <v>175.5384615384616</v>
      </c>
      <c r="GT302" s="335">
        <f>IF(GQ302&lt;=0,2,0)+IF(GQ302&gt;0,GQ302+1,0)*2+IF(GQ302&gt;12,GQ302-12,0)*2+IF(GQ302&gt;13,GQ302-13,0)*2+IF(GQ302&gt;14,GQ302-14,0)*2+IF(GQ302&gt;15,GQ302-15,0)*2+IF(GQ302&gt;16,GQ302-16,0)*2+IF(GQ302&gt;17,GQ302-17,0)*2+IF(GQ302&gt;18,GQ302-18,0)*2+IF(GQ302&gt;19,GQ302-19,0)*2+IF(GQ302&gt;20,GQ302-20,0)*2</f>
        <v>2</v>
      </c>
      <c r="GU302" s="243">
        <f t="shared" si="2102"/>
        <v>173.5384615384616</v>
      </c>
      <c r="GV302" s="218">
        <f t="shared" si="2103"/>
        <v>0</v>
      </c>
      <c r="GW302" s="248"/>
      <c r="GX302" s="303" t="s">
        <v>451</v>
      </c>
      <c r="GY302" s="218" t="s">
        <v>471</v>
      </c>
      <c r="GZ302" s="304" t="s">
        <v>132</v>
      </c>
      <c r="HA302" s="210"/>
      <c r="HB302" s="211"/>
      <c r="HC302" s="211"/>
      <c r="HD302" s="113">
        <f>Konvention_1slave-CHslave</f>
        <v>12</v>
      </c>
      <c r="HE302" s="211"/>
      <c r="HF302" s="113">
        <f>Konvention_1slave-GEslave</f>
        <v>12</v>
      </c>
      <c r="HG302" s="117">
        <f>Konvention_1slave-KOslave</f>
        <v>12</v>
      </c>
      <c r="HH302" s="212"/>
      <c r="HI302" s="223">
        <f t="shared" si="2104"/>
        <v>12</v>
      </c>
      <c r="HJ302" s="223">
        <f t="shared" si="2105"/>
        <v>24</v>
      </c>
      <c r="HK302" s="224">
        <f t="shared" si="2106"/>
        <v>36</v>
      </c>
      <c r="HL302" s="237">
        <f>HA302*POWER(KLslave,SIGN(HB302))*POWER(INslave,SIGN(HC302))*POWER(CHslave,SIGN(HD302))*POWER(FFslave,SIGN(HE302))*POWER(GEslave,SIGN(HF302))*POWER(KOslave,SIGN(HG302))*POWER(KKslave,SIGN(HH302))+HB302*POWER(MUslave,SIGN(HA302))*POWER(INslave,SIGN(HC302))*POWER(CHslave,SIGN(HD302))*POWER(FFslave,SIGN(HE302))*POWER(GEslave,SIGN(HF302))*POWER(KOslave,SIGN(HG302))*POWER(KKslave,SIGN(HH302))+HC302*POWER(MUslave,SIGN(HA302))*POWER(KLslave,SIGN(HB302))*POWER(CHslave,SIGN(HD302))*POWER(FFslave,SIGN(HE302))*POWER(GEslave,SIGN(HF302))*POWER(KOslave,SIGN(HG302))*POWER(KKslave,SIGN(HH302))+HD302*POWER(MUslave,SIGN(HA302))*POWER(KLslave,SIGN(HB302))*POWER(INslave,SIGN(HC302))*POWER(FFslave,SIGN(HE302))*POWER(GEslave,SIGN(HF302))*POWER(KOslave,SIGN(HG302))*POWER(KKslave,SIGN(HH302))+HE302*POWER(MUslave,SIGN(HA302))*POWER(KLslave,SIGN(HB302))*POWER(INslave,SIGN(HC302))*POWER(CHslave,SIGN(HD302))*POWER(GEslave,SIGN(HF302))*POWER(KOslave,SIGN(HG302))*POWER(KKslave,SIGN(HH302))+HF302*POWER(MUslave,SIGN(HA302))*POWER(KLslave,SIGN(HB302))*POWER(INslave,SIGN(HC302))*POWER(CHslave,SIGN(HD302))*POWER(FFslave,SIGN(HE302))*POWER(KOslave,SIGN(HG302))*POWER(KKslave,SIGN(HH302))+HG302*POWER(MUslave,SIGN(HA302))*POWER(KLslave,SIGN(HB302))*POWER(INslave,SIGN(HC302))*POWER(CHslave,SIGN(HD302))*POWER(FFslave,SIGN(HE302))*POWER(GEslave,SIGN(HF302))*POWER(KKslave,SIGN(HH302))+HH302*POWER(MUslave,SIGN(HA302))*POWER(KLslave,SIGN(HB302))*POWER(INslave,SIGN(HC302))*POWER(CHslave,SIGN(HD302))*POWER(FFslave,SIGN(HE302))*POWER(GEslave,SIGN(HF302))*POWER(KOslave,SIGN(HG302))</f>
        <v>2304</v>
      </c>
      <c r="HM302" s="234">
        <f>HD302*HF302*KOslave+HD302*GEslave*HG302+CHslave*HF302*HG302</f>
        <v>3456</v>
      </c>
      <c r="HN302" s="224">
        <f t="shared" si="2107"/>
        <v>1728</v>
      </c>
      <c r="HO302" s="224">
        <f t="shared" si="2170"/>
        <v>7488</v>
      </c>
      <c r="HP302" s="222">
        <f t="shared" si="2109"/>
        <v>3.6923076923076925</v>
      </c>
      <c r="HQ302" s="223">
        <f t="shared" si="2110"/>
        <v>11.076923076923077</v>
      </c>
      <c r="HR302" s="243">
        <f t="shared" si="2111"/>
        <v>8.3076923076923084</v>
      </c>
      <c r="HS302" s="243">
        <f t="shared" si="2112"/>
        <v>23.07692307692308</v>
      </c>
      <c r="HT302" s="252">
        <f t="shared" si="1908"/>
        <v>0</v>
      </c>
      <c r="HU302" s="324">
        <f t="shared" si="2113"/>
        <v>23.07692307692308</v>
      </c>
      <c r="HV302" s="304">
        <f>IF(HS302&lt;=0,2,0)+IF(HS302&gt;0,HS302+1,0)*2+IF(HS302&gt;12,HS302-12,0)*2+IF(HS302&gt;13,HS302-13,0)*2+IF(HS302&gt;14,HS302-14,0)*2+IF(HS302&gt;15,HS302-15,0)*2+IF(HS302&gt;16,HS302-16,0)*2+IF(HS302&gt;17,HS302-17,0)*2+IF(HS302&gt;18,HS302-18,0)*2+IF(HS302&gt;19,HS302-19,0)*2+IF(HS302&gt;20,HS302-20,0)*2</f>
        <v>175.5384615384616</v>
      </c>
      <c r="HW302" s="335">
        <f>IF(HT302&lt;=0,2,0)+IF(HT302&gt;0,HT302+1,0)*2+IF(HT302&gt;12,HT302-12,0)*2+IF(HT302&gt;13,HT302-13,0)*2+IF(HT302&gt;14,HT302-14,0)*2+IF(HT302&gt;15,HT302-15,0)*2+IF(HT302&gt;16,HT302-16,0)*2+IF(HT302&gt;17,HT302-17,0)*2+IF(HT302&gt;18,HT302-18,0)*2+IF(HT302&gt;19,HT302-19,0)*2+IF(HT302&gt;20,HT302-20,0)*2</f>
        <v>2</v>
      </c>
      <c r="HX302" s="243">
        <f t="shared" si="2115"/>
        <v>173.5384615384616</v>
      </c>
      <c r="HY302" s="218">
        <f t="shared" si="2116"/>
        <v>0</v>
      </c>
      <c r="HZ302" s="248"/>
      <c r="IA302" s="303" t="s">
        <v>451</v>
      </c>
      <c r="IB302" s="218" t="s">
        <v>471</v>
      </c>
      <c r="IC302" s="304" t="s">
        <v>132</v>
      </c>
      <c r="ID302" s="210"/>
      <c r="IE302" s="211"/>
      <c r="IF302" s="211"/>
      <c r="IG302" s="113">
        <f>Konvention_1slave-CHslave</f>
        <v>12</v>
      </c>
      <c r="IH302" s="211"/>
      <c r="II302" s="113">
        <f>Konvention_1slave-GEslave</f>
        <v>12</v>
      </c>
      <c r="IJ302" s="117">
        <f>Konvention_1slave-KOslave</f>
        <v>12</v>
      </c>
      <c r="IK302" s="212"/>
      <c r="IL302" s="223">
        <f t="shared" si="2117"/>
        <v>12</v>
      </c>
      <c r="IM302" s="223">
        <f t="shared" si="2118"/>
        <v>24</v>
      </c>
      <c r="IN302" s="224">
        <f t="shared" si="2119"/>
        <v>36</v>
      </c>
      <c r="IO302" s="237">
        <f>ID302*POWER(KLslave,SIGN(IE302))*POWER(INslave,SIGN(IF302))*POWER(CHslave,SIGN(IG302))*POWER(FFslave,SIGN(IH302))*POWER(GEslave,SIGN(II302))*POWER(KOslave,SIGN(IJ302))*POWER(KKslave,SIGN(IK302))+IE302*POWER(MUslave,SIGN(ID302))*POWER(INslave,SIGN(IF302))*POWER(CHslave,SIGN(IG302))*POWER(FFslave,SIGN(IH302))*POWER(GEslave,SIGN(II302))*POWER(KOslave,SIGN(IJ302))*POWER(KKslave,SIGN(IK302))+IF302*POWER(MUslave,SIGN(ID302))*POWER(KLslave,SIGN(IE302))*POWER(CHslave,SIGN(IG302))*POWER(FFslave,SIGN(IH302))*POWER(GEslave,SIGN(II302))*POWER(KOslave,SIGN(IJ302))*POWER(KKslave,SIGN(IK302))+IG302*POWER(MUslave,SIGN(ID302))*POWER(KLslave,SIGN(IE302))*POWER(INslave,SIGN(IF302))*POWER(FFslave,SIGN(IH302))*POWER(GEslave,SIGN(II302))*POWER(KOslave,SIGN(IJ302))*POWER(KKslave,SIGN(IK302))+IH302*POWER(MUslave,SIGN(ID302))*POWER(KLslave,SIGN(IE302))*POWER(INslave,SIGN(IF302))*POWER(CHslave,SIGN(IG302))*POWER(GEslave,SIGN(II302))*POWER(KOslave,SIGN(IJ302))*POWER(KKslave,SIGN(IK302))+II302*POWER(MUslave,SIGN(ID302))*POWER(KLslave,SIGN(IE302))*POWER(INslave,SIGN(IF302))*POWER(CHslave,SIGN(IG302))*POWER(FFslave,SIGN(IH302))*POWER(KOslave,SIGN(IJ302))*POWER(KKslave,SIGN(IK302))+IJ302*POWER(MUslave,SIGN(ID302))*POWER(KLslave,SIGN(IE302))*POWER(INslave,SIGN(IF302))*POWER(CHslave,SIGN(IG302))*POWER(FFslave,SIGN(IH302))*POWER(GEslave,SIGN(II302))*POWER(KKslave,SIGN(IK302))+IK302*POWER(MUslave,SIGN(ID302))*POWER(KLslave,SIGN(IE302))*POWER(INslave,SIGN(IF302))*POWER(CHslave,SIGN(IG302))*POWER(FFslave,SIGN(IH302))*POWER(GEslave,SIGN(II302))*POWER(KOslave,SIGN(IJ302))</f>
        <v>2304</v>
      </c>
      <c r="IP302" s="234">
        <f>IG302*II302*KOslave+IG302*GEslave*IJ302+CHslave*II302*IJ302</f>
        <v>3456</v>
      </c>
      <c r="IQ302" s="224">
        <f t="shared" si="2120"/>
        <v>1728</v>
      </c>
      <c r="IR302" s="224">
        <f t="shared" si="2172"/>
        <v>7488</v>
      </c>
      <c r="IS302" s="222">
        <f t="shared" si="2122"/>
        <v>3.6923076923076925</v>
      </c>
      <c r="IT302" s="223">
        <f t="shared" si="2123"/>
        <v>11.076923076923077</v>
      </c>
      <c r="IU302" s="243">
        <f t="shared" si="2124"/>
        <v>8.3076923076923084</v>
      </c>
      <c r="IV302" s="243">
        <f t="shared" si="2125"/>
        <v>23.07692307692308</v>
      </c>
      <c r="IW302" s="252">
        <f t="shared" si="1923"/>
        <v>0</v>
      </c>
      <c r="IX302" s="324">
        <f t="shared" si="2126"/>
        <v>23.07692307692308</v>
      </c>
      <c r="IY302" s="304">
        <f>IF(IV302&lt;=0,2,0)+IF(IV302&gt;0,IV302+1,0)*2+IF(IV302&gt;12,IV302-12,0)*2+IF(IV302&gt;13,IV302-13,0)*2+IF(IV302&gt;14,IV302-14,0)*2+IF(IV302&gt;15,IV302-15,0)*2+IF(IV302&gt;16,IV302-16,0)*2+IF(IV302&gt;17,IV302-17,0)*2+IF(IV302&gt;18,IV302-18,0)*2+IF(IV302&gt;19,IV302-19,0)*2+IF(IV302&gt;20,IV302-20,0)*2</f>
        <v>175.5384615384616</v>
      </c>
      <c r="IZ302" s="335">
        <f>IF(IW302&lt;=0,2,0)+IF(IW302&gt;0,IW302+1,0)*2+IF(IW302&gt;12,IW302-12,0)*2+IF(IW302&gt;13,IW302-13,0)*2+IF(IW302&gt;14,IW302-14,0)*2+IF(IW302&gt;15,IW302-15,0)*2+IF(IW302&gt;16,IW302-16,0)*2+IF(IW302&gt;17,IW302-17,0)*2+IF(IW302&gt;18,IW302-18,0)*2+IF(IW302&gt;19,IW302-19,0)*2+IF(IW302&gt;20,IW302-20,0)*2</f>
        <v>2</v>
      </c>
      <c r="JA302" s="243">
        <f t="shared" si="2128"/>
        <v>173.5384615384616</v>
      </c>
      <c r="JB302" s="218">
        <f t="shared" si="2129"/>
        <v>0</v>
      </c>
    </row>
    <row r="303" spans="1:265" hidden="1" outlineLevel="2">
      <c r="A303" s="185"/>
      <c r="B303" s="148">
        <v>6</v>
      </c>
      <c r="C303" s="303" t="e">
        <f>VLOOKUP(AF303,Attribute!C:T,1,FALSE)</f>
        <v>#N/A</v>
      </c>
      <c r="D303" s="218" t="s">
        <v>179</v>
      </c>
      <c r="E303" s="304" t="s">
        <v>133</v>
      </c>
      <c r="F303" s="114"/>
      <c r="G303" s="113"/>
      <c r="H303" s="113">
        <f t="shared" ref="H303" si="2174">Konvention_1master-INmaster</f>
        <v>12</v>
      </c>
      <c r="I303" s="113">
        <f>Konvention_1master-CHmaster</f>
        <v>12</v>
      </c>
      <c r="J303" s="113"/>
      <c r="K303" s="113"/>
      <c r="L303" s="113"/>
      <c r="M303" s="119"/>
      <c r="N303" s="223">
        <f>(H303+I303+I303)/3</f>
        <v>12</v>
      </c>
      <c r="O303" s="223">
        <f t="shared" si="2011"/>
        <v>24</v>
      </c>
      <c r="P303" s="224">
        <f t="shared" si="2012"/>
        <v>36</v>
      </c>
      <c r="Q303" s="237">
        <f>I303*POWER(INmaster,SIGN(H303))*POWER(CHmaster,SIGN(I303))+I303*POWER(INmaster,SIGN(H303))*POWER(CHmaster,SIGN(I303))+H303*POWER(CHmaster,SIGN(I303))*POWER(CHmaster,SIGN(I303))</f>
        <v>2304</v>
      </c>
      <c r="R303" s="113">
        <f>H303*I303*CHmaster+H303*CHmaster*I303+INmaster*I303*I303</f>
        <v>3456</v>
      </c>
      <c r="S303" s="224">
        <f>H303*I303*I303</f>
        <v>1728</v>
      </c>
      <c r="T303" s="224">
        <f t="shared" ref="T303" si="2175">SUM(Q303:S303)</f>
        <v>7488</v>
      </c>
      <c r="U303" s="222">
        <f t="shared" si="2016"/>
        <v>3.6923076923076925</v>
      </c>
      <c r="V303" s="223">
        <f t="shared" si="2017"/>
        <v>11.076923076923077</v>
      </c>
      <c r="W303" s="243">
        <f t="shared" si="2018"/>
        <v>8.3076923076923084</v>
      </c>
      <c r="X303" s="243">
        <f t="shared" ref="X303" si="2176">SUM(U303:W303)</f>
        <v>23.07692307692308</v>
      </c>
      <c r="Y303" s="252">
        <v>0</v>
      </c>
      <c r="Z303" s="324">
        <f t="shared" si="2020"/>
        <v>23.07692307692308</v>
      </c>
      <c r="AA303" s="304">
        <f t="shared" si="2157"/>
        <v>87.769230769230802</v>
      </c>
      <c r="AB303" s="335">
        <f t="shared" si="2157"/>
        <v>1</v>
      </c>
      <c r="AC303" s="243">
        <f t="shared" si="2023"/>
        <v>86.769230769230802</v>
      </c>
      <c r="AD303" s="218">
        <f t="shared" si="2024"/>
        <v>0</v>
      </c>
      <c r="AE303" s="140"/>
      <c r="AF303" s="303" t="s">
        <v>452</v>
      </c>
      <c r="AG303" s="218" t="s">
        <v>179</v>
      </c>
      <c r="AH303" s="304" t="s">
        <v>133</v>
      </c>
      <c r="AI303" s="114"/>
      <c r="AJ303" s="113"/>
      <c r="AK303" s="113">
        <f t="shared" ref="AK303" si="2177">Konvention_1slave-INslave</f>
        <v>12</v>
      </c>
      <c r="AL303" s="113">
        <f>Konvention_1slave-CHslave</f>
        <v>12</v>
      </c>
      <c r="AM303" s="113"/>
      <c r="AN303" s="113"/>
      <c r="AO303" s="113"/>
      <c r="AP303" s="119"/>
      <c r="AQ303" s="223">
        <f>(AK303+AL303+AL303)/3</f>
        <v>12</v>
      </c>
      <c r="AR303" s="223">
        <f t="shared" si="2026"/>
        <v>24</v>
      </c>
      <c r="AS303" s="224">
        <f t="shared" si="2027"/>
        <v>36</v>
      </c>
      <c r="AT303" s="237">
        <f>AL303*POWER(INslave,SIGN(AK303))*POWER(CHslave,SIGN(AL303))+AL303*POWER(INslave,SIGN(AK303))*POWER(CHslave,SIGN(AL303))+AK303*POWER(CHslave,SIGN(AL303))*POWER(CHslave,SIGN(AL303))</f>
        <v>2304</v>
      </c>
      <c r="AU303" s="113">
        <f>AK303*AL303*CHslave+AK303*CHslave*AL303+INslave*AL303*AL303</f>
        <v>3456</v>
      </c>
      <c r="AV303" s="224">
        <f>AK303*AL303*AL303</f>
        <v>1728</v>
      </c>
      <c r="AW303" s="224">
        <f t="shared" ref="AW303" si="2178">SUM(AT303:AV303)</f>
        <v>7488</v>
      </c>
      <c r="AX303" s="222">
        <f t="shared" si="2030"/>
        <v>3.6923076923076925</v>
      </c>
      <c r="AY303" s="223">
        <f t="shared" si="2031"/>
        <v>11.076923076923077</v>
      </c>
      <c r="AZ303" s="243">
        <f t="shared" si="2032"/>
        <v>8.3076923076923084</v>
      </c>
      <c r="BA303" s="243">
        <f t="shared" ref="BA303" si="2179">SUM(AX303:AZ303)</f>
        <v>23.07692307692308</v>
      </c>
      <c r="BB303" s="252">
        <f t="shared" si="2034"/>
        <v>0</v>
      </c>
      <c r="BC303" s="324">
        <f t="shared" si="2035"/>
        <v>23.07692307692308</v>
      </c>
      <c r="BD303" s="304">
        <f t="shared" ref="BD303:BD306" si="2180">IF(BA303&lt;=0,1,0)+IF(BA303&gt;0,BA303+1,0)*1+IF(BA303&gt;12,BA303-12,0)*1+IF(BA303&gt;13,BA303-13,0)*1+IF(BA303&gt;14,BA303-14,0)*1+IF(BA303&gt;15,BA303-15,0)*1+IF(BA303&gt;16,BA303-16,0)*1+IF(BA303&gt;17,BA303-17,0)*1+IF(BA303&gt;18,BA303-18,0)*1+IF(BA303&gt;19,BA303-19,0)*1+IF(BA303&gt;20,BA303-20,0)*1</f>
        <v>87.769230769230802</v>
      </c>
      <c r="BE303" s="335">
        <f t="shared" si="2159"/>
        <v>1</v>
      </c>
      <c r="BF303" s="243">
        <f t="shared" si="2037"/>
        <v>86.769230769230802</v>
      </c>
      <c r="BG303" s="218">
        <f t="shared" si="2038"/>
        <v>0</v>
      </c>
      <c r="BH303" s="248"/>
      <c r="BI303" s="303" t="s">
        <v>452</v>
      </c>
      <c r="BJ303" s="218" t="s">
        <v>179</v>
      </c>
      <c r="BK303" s="304" t="s">
        <v>133</v>
      </c>
      <c r="BL303" s="114"/>
      <c r="BM303" s="113"/>
      <c r="BN303" s="113">
        <f t="shared" ref="BN303" si="2181">Konvention_1slave-INslave</f>
        <v>12</v>
      </c>
      <c r="BO303" s="113">
        <f>Konvention_1slave-CHslave</f>
        <v>12</v>
      </c>
      <c r="BP303" s="113"/>
      <c r="BQ303" s="113"/>
      <c r="BR303" s="113"/>
      <c r="BS303" s="119"/>
      <c r="BT303" s="223">
        <f>(BN303+BO303+BO303)/3</f>
        <v>12</v>
      </c>
      <c r="BU303" s="223">
        <f t="shared" si="2040"/>
        <v>24</v>
      </c>
      <c r="BV303" s="224">
        <f t="shared" si="2041"/>
        <v>36</v>
      </c>
      <c r="BW303" s="237">
        <f>BO303*POWER(INslave,SIGN(BN303))*POWER(CHslave,SIGN(BO303))+BO303*POWER(INslave,SIGN(BN303))*POWER(CHslave,SIGN(BO303))+BN303*POWER(CHslave,SIGN(BO303))*POWER(CHslave,SIGN(BO303))</f>
        <v>2304</v>
      </c>
      <c r="BX303" s="113">
        <f>BN303*BO303*CHslave+BN303*CHslave*BO303+INslave*BO303*BO303</f>
        <v>3456</v>
      </c>
      <c r="BY303" s="224">
        <f>BN303*BO303*BO303</f>
        <v>1728</v>
      </c>
      <c r="BZ303" s="224">
        <f t="shared" ref="BZ303" si="2182">SUM(BW303:BY303)</f>
        <v>7488</v>
      </c>
      <c r="CA303" s="222">
        <f t="shared" si="2044"/>
        <v>3.6923076923076925</v>
      </c>
      <c r="CB303" s="223">
        <f t="shared" si="2045"/>
        <v>11.076923076923077</v>
      </c>
      <c r="CC303" s="243">
        <f t="shared" si="2046"/>
        <v>8.3076923076923084</v>
      </c>
      <c r="CD303" s="243">
        <f t="shared" ref="CD303" si="2183">SUM(CA303:CC303)</f>
        <v>23.07692307692308</v>
      </c>
      <c r="CE303" s="252">
        <f t="shared" si="1833"/>
        <v>0</v>
      </c>
      <c r="CF303" s="324">
        <f t="shared" si="2048"/>
        <v>23.07692307692308</v>
      </c>
      <c r="CG303" s="304">
        <f t="shared" ref="CG303:CG306" si="2184">IF(CD303&lt;=0,1,0)+IF(CD303&gt;0,CD303+1,0)*1+IF(CD303&gt;12,CD303-12,0)*1+IF(CD303&gt;13,CD303-13,0)*1+IF(CD303&gt;14,CD303-14,0)*1+IF(CD303&gt;15,CD303-15,0)*1+IF(CD303&gt;16,CD303-16,0)*1+IF(CD303&gt;17,CD303-17,0)*1+IF(CD303&gt;18,CD303-18,0)*1+IF(CD303&gt;19,CD303-19,0)*1+IF(CD303&gt;20,CD303-20,0)*1</f>
        <v>87.769230769230802</v>
      </c>
      <c r="CH303" s="335">
        <f t="shared" si="2161"/>
        <v>1</v>
      </c>
      <c r="CI303" s="243">
        <f t="shared" si="2050"/>
        <v>86.769230769230802</v>
      </c>
      <c r="CJ303" s="218">
        <f t="shared" si="2051"/>
        <v>0</v>
      </c>
      <c r="CK303" s="248"/>
      <c r="CL303" s="303" t="s">
        <v>452</v>
      </c>
      <c r="CM303" s="218" t="s">
        <v>179</v>
      </c>
      <c r="CN303" s="304" t="s">
        <v>133</v>
      </c>
      <c r="CO303" s="114"/>
      <c r="CP303" s="113"/>
      <c r="CQ303" s="113">
        <f>Konvention_1slave-INslave_IN</f>
        <v>11</v>
      </c>
      <c r="CR303" s="113">
        <f>Konvention_1slave-CHslave</f>
        <v>12</v>
      </c>
      <c r="CS303" s="113"/>
      <c r="CT303" s="113"/>
      <c r="CU303" s="113"/>
      <c r="CV303" s="119"/>
      <c r="CW303" s="223">
        <f>(CQ303+CR303+CR303)/3</f>
        <v>11.666666666666666</v>
      </c>
      <c r="CX303" s="223">
        <f t="shared" si="2053"/>
        <v>23.333333333333332</v>
      </c>
      <c r="CY303" s="224">
        <f t="shared" si="2054"/>
        <v>35</v>
      </c>
      <c r="CZ303" s="237">
        <f>CR303*POWER(INslave_IN,SIGN(CQ303))*POWER(CHslave,SIGN(CR303))+CR303*POWER(INslave_IN,SIGN(CQ303))*POWER(CHslave,SIGN(CR303))+CQ303*POWER(CHslave,SIGN(CR303))*POWER(CHslave,SIGN(CR303))</f>
        <v>2432</v>
      </c>
      <c r="DA303" s="113">
        <f>CQ303*CR303*CHslave+CQ303*CHslave*CR303+INslave_IN*CR303*CR303</f>
        <v>3408</v>
      </c>
      <c r="DB303" s="224">
        <f>CQ303*CR303*CR303</f>
        <v>1584</v>
      </c>
      <c r="DC303" s="224">
        <f t="shared" ref="DC303" si="2185">SUM(CZ303:DB303)</f>
        <v>7424</v>
      </c>
      <c r="DD303" s="222">
        <f t="shared" si="2057"/>
        <v>3.8218390804597702</v>
      </c>
      <c r="DE303" s="223">
        <f t="shared" si="2058"/>
        <v>10.711206896551724</v>
      </c>
      <c r="DF303" s="243">
        <f t="shared" si="2059"/>
        <v>7.4676724137931032</v>
      </c>
      <c r="DG303" s="243">
        <f t="shared" ref="DG303" si="2186">SUM(DD303:DF303)</f>
        <v>22.000718390804597</v>
      </c>
      <c r="DH303" s="252">
        <f t="shared" si="1848"/>
        <v>0</v>
      </c>
      <c r="DI303" s="324">
        <f t="shared" si="2061"/>
        <v>22.000718390804597</v>
      </c>
      <c r="DJ303" s="304">
        <f t="shared" ref="DJ303:DJ306" si="2187">IF(DG303&lt;=0,1,0)+IF(DG303&gt;0,DG303+1,0)*1+IF(DG303&gt;12,DG303-12,0)*1+IF(DG303&gt;13,DG303-13,0)*1+IF(DG303&gt;14,DG303-14,0)*1+IF(DG303&gt;15,DG303-15,0)*1+IF(DG303&gt;16,DG303-16,0)*1+IF(DG303&gt;17,DG303-17,0)*1+IF(DG303&gt;18,DG303-18,0)*1+IF(DG303&gt;19,DG303-19,0)*1+IF(DG303&gt;20,DG303-20,0)*1</f>
        <v>77.007183908045945</v>
      </c>
      <c r="DK303" s="335">
        <f t="shared" si="2163"/>
        <v>1</v>
      </c>
      <c r="DL303" s="243">
        <f t="shared" si="2063"/>
        <v>76.007183908045945</v>
      </c>
      <c r="DM303" s="218">
        <f t="shared" si="2064"/>
        <v>0</v>
      </c>
      <c r="DN303" s="248"/>
      <c r="DO303" s="303" t="s">
        <v>452</v>
      </c>
      <c r="DP303" s="218" t="s">
        <v>179</v>
      </c>
      <c r="DQ303" s="304" t="s">
        <v>133</v>
      </c>
      <c r="DR303" s="114"/>
      <c r="DS303" s="113"/>
      <c r="DT303" s="113">
        <f t="shared" ref="DT303" si="2188">Konvention_1slave-INslave</f>
        <v>12</v>
      </c>
      <c r="DU303" s="113">
        <f>Konvention_1slave-CHslave_CH</f>
        <v>11</v>
      </c>
      <c r="DV303" s="113"/>
      <c r="DW303" s="113"/>
      <c r="DX303" s="113"/>
      <c r="DY303" s="119"/>
      <c r="DZ303" s="223">
        <f>(DT303+DU303+DU303)/3</f>
        <v>11.333333333333334</v>
      </c>
      <c r="EA303" s="223">
        <f t="shared" si="2066"/>
        <v>22.666666666666668</v>
      </c>
      <c r="EB303" s="224">
        <f t="shared" si="2067"/>
        <v>34</v>
      </c>
      <c r="EC303" s="237">
        <f>DU303*POWER(INslave,SIGN(DT303))*POWER(CHslave_CH,SIGN(DU303))+DU303*POWER(INslave,SIGN(DT303))*POWER(CHslave_CH,SIGN(DU303))+DT303*POWER(CHslave_CH,SIGN(DU303))*POWER(CHslave_CH,SIGN(DU303))</f>
        <v>2556</v>
      </c>
      <c r="ED303" s="113">
        <f>DT303*DU303*CHslave_CH+DT303*CHslave_CH*DU303+INslave*DU303*DU303</f>
        <v>3344</v>
      </c>
      <c r="EE303" s="224">
        <f>DT303*DU303*DU303</f>
        <v>1452</v>
      </c>
      <c r="EF303" s="224">
        <f t="shared" ref="EF303" si="2189">SUM(EC303:EE303)</f>
        <v>7352</v>
      </c>
      <c r="EG303" s="222">
        <f t="shared" si="2070"/>
        <v>3.940152339499456</v>
      </c>
      <c r="EH303" s="223">
        <f t="shared" si="2071"/>
        <v>10.309756982227059</v>
      </c>
      <c r="EI303" s="243">
        <f t="shared" si="2072"/>
        <v>6.714907508161045</v>
      </c>
      <c r="EJ303" s="243">
        <f t="shared" ref="EJ303" si="2190">SUM(EG303:EI303)</f>
        <v>20.96481682988756</v>
      </c>
      <c r="EK303" s="252">
        <f t="shared" si="1863"/>
        <v>0</v>
      </c>
      <c r="EL303" s="324">
        <f t="shared" si="2074"/>
        <v>20.96481682988756</v>
      </c>
      <c r="EM303" s="304">
        <f t="shared" ref="EM303:EM306" si="2191">IF(EJ303&lt;=0,1,0)+IF(EJ303&gt;0,EJ303+1,0)*1+IF(EJ303&gt;12,EJ303-12,0)*1+IF(EJ303&gt;13,EJ303-13,0)*1+IF(EJ303&gt;14,EJ303-14,0)*1+IF(EJ303&gt;15,EJ303-15,0)*1+IF(EJ303&gt;16,EJ303-16,0)*1+IF(EJ303&gt;17,EJ303-17,0)*1+IF(EJ303&gt;18,EJ303-18,0)*1+IF(EJ303&gt;19,EJ303-19,0)*1+IF(EJ303&gt;20,EJ303-20,0)*1</f>
        <v>66.648168298875589</v>
      </c>
      <c r="EN303" s="335">
        <f t="shared" si="2165"/>
        <v>1</v>
      </c>
      <c r="EO303" s="243">
        <f t="shared" si="2076"/>
        <v>65.648168298875589</v>
      </c>
      <c r="EP303" s="218">
        <f t="shared" si="2077"/>
        <v>0</v>
      </c>
      <c r="EQ303" s="248"/>
      <c r="ER303" s="303" t="s">
        <v>452</v>
      </c>
      <c r="ES303" s="218" t="s">
        <v>179</v>
      </c>
      <c r="ET303" s="304" t="s">
        <v>133</v>
      </c>
      <c r="EU303" s="114"/>
      <c r="EV303" s="113"/>
      <c r="EW303" s="113">
        <f t="shared" ref="EW303" si="2192">Konvention_1slave-INslave</f>
        <v>12</v>
      </c>
      <c r="EX303" s="113">
        <f>Konvention_1slave-CHslave</f>
        <v>12</v>
      </c>
      <c r="EY303" s="113"/>
      <c r="EZ303" s="113"/>
      <c r="FA303" s="113"/>
      <c r="FB303" s="119"/>
      <c r="FC303" s="223">
        <f>(EW303+EX303+EX303)/3</f>
        <v>12</v>
      </c>
      <c r="FD303" s="223">
        <f t="shared" si="2079"/>
        <v>24</v>
      </c>
      <c r="FE303" s="224">
        <f t="shared" si="2080"/>
        <v>36</v>
      </c>
      <c r="FF303" s="237">
        <f>EX303*POWER(INslave,SIGN(EW303))*POWER(CHslave,SIGN(EX303))+EX303*POWER(INslave,SIGN(EW303))*POWER(CHslave,SIGN(EX303))+EW303*POWER(CHslave,SIGN(EX303))*POWER(CHslave,SIGN(EX303))</f>
        <v>2304</v>
      </c>
      <c r="FG303" s="113">
        <f>EW303*EX303*CHslave+EW303*CHslave*EX303+INslave*EX303*EX303</f>
        <v>3456</v>
      </c>
      <c r="FH303" s="224">
        <f>EW303*EX303*EX303</f>
        <v>1728</v>
      </c>
      <c r="FI303" s="224">
        <f t="shared" ref="FI303" si="2193">SUM(FF303:FH303)</f>
        <v>7488</v>
      </c>
      <c r="FJ303" s="222">
        <f t="shared" si="2083"/>
        <v>3.6923076923076925</v>
      </c>
      <c r="FK303" s="223">
        <f t="shared" si="2084"/>
        <v>11.076923076923077</v>
      </c>
      <c r="FL303" s="243">
        <f t="shared" si="2085"/>
        <v>8.3076923076923084</v>
      </c>
      <c r="FM303" s="243">
        <f t="shared" ref="FM303" si="2194">SUM(FJ303:FL303)</f>
        <v>23.07692307692308</v>
      </c>
      <c r="FN303" s="252">
        <f t="shared" si="1878"/>
        <v>0</v>
      </c>
      <c r="FO303" s="324">
        <f t="shared" si="2087"/>
        <v>23.07692307692308</v>
      </c>
      <c r="FP303" s="304">
        <f t="shared" ref="FP303:FP306" si="2195">IF(FM303&lt;=0,1,0)+IF(FM303&gt;0,FM303+1,0)*1+IF(FM303&gt;12,FM303-12,0)*1+IF(FM303&gt;13,FM303-13,0)*1+IF(FM303&gt;14,FM303-14,0)*1+IF(FM303&gt;15,FM303-15,0)*1+IF(FM303&gt;16,FM303-16,0)*1+IF(FM303&gt;17,FM303-17,0)*1+IF(FM303&gt;18,FM303-18,0)*1+IF(FM303&gt;19,FM303-19,0)*1+IF(FM303&gt;20,FM303-20,0)*1</f>
        <v>87.769230769230802</v>
      </c>
      <c r="FQ303" s="335">
        <f t="shared" si="2167"/>
        <v>1</v>
      </c>
      <c r="FR303" s="243">
        <f t="shared" si="2089"/>
        <v>86.769230769230802</v>
      </c>
      <c r="FS303" s="218">
        <f t="shared" si="2090"/>
        <v>0</v>
      </c>
      <c r="FT303" s="248"/>
      <c r="FU303" s="303" t="s">
        <v>452</v>
      </c>
      <c r="FV303" s="218" t="s">
        <v>179</v>
      </c>
      <c r="FW303" s="304" t="s">
        <v>133</v>
      </c>
      <c r="FX303" s="114"/>
      <c r="FY303" s="113"/>
      <c r="FZ303" s="113">
        <f t="shared" ref="FZ303" si="2196">Konvention_1slave-INslave</f>
        <v>12</v>
      </c>
      <c r="GA303" s="113">
        <f>Konvention_1slave-CHslave</f>
        <v>12</v>
      </c>
      <c r="GB303" s="113"/>
      <c r="GC303" s="113"/>
      <c r="GD303" s="113"/>
      <c r="GE303" s="119"/>
      <c r="GF303" s="223">
        <f>(FZ303+GA303+GA303)/3</f>
        <v>12</v>
      </c>
      <c r="GG303" s="223">
        <f t="shared" si="2092"/>
        <v>24</v>
      </c>
      <c r="GH303" s="224">
        <f t="shared" si="2093"/>
        <v>36</v>
      </c>
      <c r="GI303" s="237">
        <f>GA303*POWER(INslave,SIGN(FZ303))*POWER(CHslave,SIGN(GA303))+GA303*POWER(INslave,SIGN(FZ303))*POWER(CHslave,SIGN(GA303))+FZ303*POWER(CHslave,SIGN(GA303))*POWER(CHslave,SIGN(GA303))</f>
        <v>2304</v>
      </c>
      <c r="GJ303" s="113">
        <f>FZ303*GA303*CHslave+FZ303*CHslave*GA303+INslave*GA303*GA303</f>
        <v>3456</v>
      </c>
      <c r="GK303" s="224">
        <f>FZ303*GA303*GA303</f>
        <v>1728</v>
      </c>
      <c r="GL303" s="224">
        <f t="shared" ref="GL303" si="2197">SUM(GI303:GK303)</f>
        <v>7488</v>
      </c>
      <c r="GM303" s="222">
        <f t="shared" si="2096"/>
        <v>3.6923076923076925</v>
      </c>
      <c r="GN303" s="223">
        <f t="shared" si="2097"/>
        <v>11.076923076923077</v>
      </c>
      <c r="GO303" s="243">
        <f t="shared" si="2098"/>
        <v>8.3076923076923084</v>
      </c>
      <c r="GP303" s="243">
        <f t="shared" ref="GP303" si="2198">SUM(GM303:GO303)</f>
        <v>23.07692307692308</v>
      </c>
      <c r="GQ303" s="252">
        <f t="shared" si="1893"/>
        <v>0</v>
      </c>
      <c r="GR303" s="324">
        <f t="shared" si="2100"/>
        <v>23.07692307692308</v>
      </c>
      <c r="GS303" s="304">
        <f t="shared" ref="GS303:GS306" si="2199">IF(GP303&lt;=0,1,0)+IF(GP303&gt;0,GP303+1,0)*1+IF(GP303&gt;12,GP303-12,0)*1+IF(GP303&gt;13,GP303-13,0)*1+IF(GP303&gt;14,GP303-14,0)*1+IF(GP303&gt;15,GP303-15,0)*1+IF(GP303&gt;16,GP303-16,0)*1+IF(GP303&gt;17,GP303-17,0)*1+IF(GP303&gt;18,GP303-18,0)*1+IF(GP303&gt;19,GP303-19,0)*1+IF(GP303&gt;20,GP303-20,0)*1</f>
        <v>87.769230769230802</v>
      </c>
      <c r="GT303" s="335">
        <f t="shared" si="2169"/>
        <v>1</v>
      </c>
      <c r="GU303" s="243">
        <f t="shared" si="2102"/>
        <v>86.769230769230802</v>
      </c>
      <c r="GV303" s="218">
        <f t="shared" si="2103"/>
        <v>0</v>
      </c>
      <c r="GW303" s="248"/>
      <c r="GX303" s="303" t="s">
        <v>452</v>
      </c>
      <c r="GY303" s="218" t="s">
        <v>179</v>
      </c>
      <c r="GZ303" s="304" t="s">
        <v>133</v>
      </c>
      <c r="HA303" s="114"/>
      <c r="HB303" s="113"/>
      <c r="HC303" s="113">
        <f t="shared" ref="HC303" si="2200">Konvention_1slave-INslave</f>
        <v>12</v>
      </c>
      <c r="HD303" s="113">
        <f>Konvention_1slave-CHslave</f>
        <v>12</v>
      </c>
      <c r="HE303" s="113"/>
      <c r="HF303" s="113"/>
      <c r="HG303" s="113"/>
      <c r="HH303" s="119"/>
      <c r="HI303" s="223">
        <f>(HC303+HD303+HD303)/3</f>
        <v>12</v>
      </c>
      <c r="HJ303" s="223">
        <f t="shared" si="2105"/>
        <v>24</v>
      </c>
      <c r="HK303" s="224">
        <f t="shared" si="2106"/>
        <v>36</v>
      </c>
      <c r="HL303" s="237">
        <f>HD303*POWER(INslave,SIGN(HC303))*POWER(CHslave,SIGN(HD303))+HD303*POWER(INslave,SIGN(HC303))*POWER(CHslave,SIGN(HD303))+HC303*POWER(CHslave,SIGN(HD303))*POWER(CHslave,SIGN(HD303))</f>
        <v>2304</v>
      </c>
      <c r="HM303" s="113">
        <f>HC303*HD303*CHslave+HC303*CHslave*HD303+INslave*HD303*HD303</f>
        <v>3456</v>
      </c>
      <c r="HN303" s="224">
        <f>HC303*HD303*HD303</f>
        <v>1728</v>
      </c>
      <c r="HO303" s="224">
        <f t="shared" ref="HO303" si="2201">SUM(HL303:HN303)</f>
        <v>7488</v>
      </c>
      <c r="HP303" s="222">
        <f t="shared" si="2109"/>
        <v>3.6923076923076925</v>
      </c>
      <c r="HQ303" s="223">
        <f t="shared" si="2110"/>
        <v>11.076923076923077</v>
      </c>
      <c r="HR303" s="243">
        <f t="shared" si="2111"/>
        <v>8.3076923076923084</v>
      </c>
      <c r="HS303" s="243">
        <f t="shared" ref="HS303" si="2202">SUM(HP303:HR303)</f>
        <v>23.07692307692308</v>
      </c>
      <c r="HT303" s="252">
        <f t="shared" si="1908"/>
        <v>0</v>
      </c>
      <c r="HU303" s="324">
        <f t="shared" si="2113"/>
        <v>23.07692307692308</v>
      </c>
      <c r="HV303" s="304">
        <f t="shared" ref="HV303:HV306" si="2203">IF(HS303&lt;=0,1,0)+IF(HS303&gt;0,HS303+1,0)*1+IF(HS303&gt;12,HS303-12,0)*1+IF(HS303&gt;13,HS303-13,0)*1+IF(HS303&gt;14,HS303-14,0)*1+IF(HS303&gt;15,HS303-15,0)*1+IF(HS303&gt;16,HS303-16,0)*1+IF(HS303&gt;17,HS303-17,0)*1+IF(HS303&gt;18,HS303-18,0)*1+IF(HS303&gt;19,HS303-19,0)*1+IF(HS303&gt;20,HS303-20,0)*1</f>
        <v>87.769230769230802</v>
      </c>
      <c r="HW303" s="335">
        <f t="shared" si="2171"/>
        <v>1</v>
      </c>
      <c r="HX303" s="243">
        <f t="shared" si="2115"/>
        <v>86.769230769230802</v>
      </c>
      <c r="HY303" s="218">
        <f t="shared" si="2116"/>
        <v>0</v>
      </c>
      <c r="HZ303" s="248"/>
      <c r="IA303" s="303" t="s">
        <v>452</v>
      </c>
      <c r="IB303" s="218" t="s">
        <v>179</v>
      </c>
      <c r="IC303" s="304" t="s">
        <v>133</v>
      </c>
      <c r="ID303" s="114"/>
      <c r="IE303" s="113"/>
      <c r="IF303" s="113">
        <f t="shared" ref="IF303" si="2204">Konvention_1slave-INslave</f>
        <v>12</v>
      </c>
      <c r="IG303" s="113">
        <f>Konvention_1slave-CHslave</f>
        <v>12</v>
      </c>
      <c r="IH303" s="113"/>
      <c r="II303" s="113"/>
      <c r="IJ303" s="113"/>
      <c r="IK303" s="119"/>
      <c r="IL303" s="223">
        <f>(IF303+IG303+IG303)/3</f>
        <v>12</v>
      </c>
      <c r="IM303" s="223">
        <f t="shared" si="2118"/>
        <v>24</v>
      </c>
      <c r="IN303" s="224">
        <f t="shared" si="2119"/>
        <v>36</v>
      </c>
      <c r="IO303" s="237">
        <f>IG303*POWER(INslave,SIGN(IF303))*POWER(CHslave,SIGN(IG303))+IG303*POWER(INslave,SIGN(IF303))*POWER(CHslave,SIGN(IG303))+IF303*POWER(CHslave,SIGN(IG303))*POWER(CHslave,SIGN(IG303))</f>
        <v>2304</v>
      </c>
      <c r="IP303" s="113">
        <f>IF303*IG303*CHslave+IF303*CHslave*IG303+INslave*IG303*IG303</f>
        <v>3456</v>
      </c>
      <c r="IQ303" s="224">
        <f>IF303*IG303*IG303</f>
        <v>1728</v>
      </c>
      <c r="IR303" s="224">
        <f t="shared" ref="IR303" si="2205">SUM(IO303:IQ303)</f>
        <v>7488</v>
      </c>
      <c r="IS303" s="222">
        <f t="shared" si="2122"/>
        <v>3.6923076923076925</v>
      </c>
      <c r="IT303" s="223">
        <f t="shared" si="2123"/>
        <v>11.076923076923077</v>
      </c>
      <c r="IU303" s="243">
        <f t="shared" si="2124"/>
        <v>8.3076923076923084</v>
      </c>
      <c r="IV303" s="243">
        <f t="shared" ref="IV303" si="2206">SUM(IS303:IU303)</f>
        <v>23.07692307692308</v>
      </c>
      <c r="IW303" s="252">
        <f t="shared" si="1923"/>
        <v>0</v>
      </c>
      <c r="IX303" s="324">
        <f t="shared" si="2126"/>
        <v>23.07692307692308</v>
      </c>
      <c r="IY303" s="304">
        <f t="shared" ref="IY303:IY306" si="2207">IF(IV303&lt;=0,1,0)+IF(IV303&gt;0,IV303+1,0)*1+IF(IV303&gt;12,IV303-12,0)*1+IF(IV303&gt;13,IV303-13,0)*1+IF(IV303&gt;14,IV303-14,0)*1+IF(IV303&gt;15,IV303-15,0)*1+IF(IV303&gt;16,IV303-16,0)*1+IF(IV303&gt;17,IV303-17,0)*1+IF(IV303&gt;18,IV303-18,0)*1+IF(IV303&gt;19,IV303-19,0)*1+IF(IV303&gt;20,IV303-20,0)*1</f>
        <v>87.769230769230802</v>
      </c>
      <c r="IZ303" s="335">
        <f t="shared" si="2173"/>
        <v>1</v>
      </c>
      <c r="JA303" s="243">
        <f t="shared" si="2128"/>
        <v>86.769230769230802</v>
      </c>
      <c r="JB303" s="218">
        <f t="shared" si="2129"/>
        <v>0</v>
      </c>
      <c r="JE303" s="148"/>
    </row>
    <row r="304" spans="1:265" s="205" customFormat="1" ht="15" hidden="1" customHeight="1" outlineLevel="2">
      <c r="A304" s="185"/>
      <c r="B304" s="217">
        <v>7</v>
      </c>
      <c r="C304" s="303" t="e">
        <f>VLOOKUP(AF304,Attribute!C:T,1,FALSE)</f>
        <v>#N/A</v>
      </c>
      <c r="D304" s="218" t="s">
        <v>471</v>
      </c>
      <c r="E304" s="304" t="s">
        <v>132</v>
      </c>
      <c r="F304" s="210"/>
      <c r="G304" s="211"/>
      <c r="H304" s="211"/>
      <c r="I304" s="113">
        <f t="shared" si="2155"/>
        <v>12</v>
      </c>
      <c r="J304" s="211"/>
      <c r="K304" s="113">
        <f>Konvention_1master-GEmaster</f>
        <v>12</v>
      </c>
      <c r="L304" s="117">
        <f>Konvention_1master-KOmaster</f>
        <v>12</v>
      </c>
      <c r="M304" s="212"/>
      <c r="N304" s="223">
        <f t="shared" si="2010"/>
        <v>12</v>
      </c>
      <c r="O304" s="223">
        <f t="shared" si="2011"/>
        <v>24</v>
      </c>
      <c r="P304" s="224">
        <f t="shared" si="2012"/>
        <v>36</v>
      </c>
      <c r="Q304" s="237">
        <f t="shared" si="2013"/>
        <v>2304</v>
      </c>
      <c r="R304" s="234">
        <f>I304*K304*KOmaster+I304*GEmaster*L304+CHmaster*K304*L304</f>
        <v>3456</v>
      </c>
      <c r="S304" s="224">
        <f t="shared" si="2014"/>
        <v>1728</v>
      </c>
      <c r="T304" s="224">
        <f t="shared" ref="T304" si="2208">SUM(Q304:S304)</f>
        <v>7488</v>
      </c>
      <c r="U304" s="222">
        <f t="shared" si="2016"/>
        <v>3.6923076923076925</v>
      </c>
      <c r="V304" s="223">
        <f t="shared" si="2017"/>
        <v>11.076923076923077</v>
      </c>
      <c r="W304" s="243">
        <f t="shared" si="2018"/>
        <v>8.3076923076923084</v>
      </c>
      <c r="X304" s="243">
        <f t="shared" si="2019"/>
        <v>23.07692307692308</v>
      </c>
      <c r="Y304" s="252">
        <v>0</v>
      </c>
      <c r="Z304" s="324">
        <f t="shared" si="2020"/>
        <v>23.07692307692308</v>
      </c>
      <c r="AA304" s="304">
        <f>IF(X304&lt;=0,2,0)+IF(X304&gt;0,X304+1,0)*2+IF(X304&gt;12,X304-12,0)*2+IF(X304&gt;13,X304-13,0)*2+IF(X304&gt;14,X304-14,0)*2+IF(X304&gt;15,X304-15,0)*2+IF(X304&gt;16,X304-16,0)*2+IF(X304&gt;17,X304-17,0)*2+IF(X304&gt;18,X304-18,0)*2+IF(X304&gt;19,X304-19,0)*2+IF(X304&gt;20,X304-20,0)*2</f>
        <v>175.5384615384616</v>
      </c>
      <c r="AB304" s="335">
        <f>IF(Y304&lt;=0,2,0)+IF(Y304&gt;0,Y304+1,0)*2+IF(Y304&gt;12,Y304-12,0)*2+IF(Y304&gt;13,Y304-13,0)*2+IF(Y304&gt;14,Y304-14,0)*2+IF(Y304&gt;15,Y304-15,0)*2+IF(Y304&gt;16,Y304-16,0)*2+IF(Y304&gt;17,Y304-17,0)*2+IF(Y304&gt;18,Y304-18,0)*2+IF(Y304&gt;19,Y304-19,0)*2+IF(Y304&gt;20,Y304-20,0)*2</f>
        <v>2</v>
      </c>
      <c r="AC304" s="243">
        <f t="shared" si="2023"/>
        <v>173.5384615384616</v>
      </c>
      <c r="AD304" s="218">
        <f t="shared" si="2024"/>
        <v>0</v>
      </c>
      <c r="AE304" s="299"/>
      <c r="AF304" s="303" t="s">
        <v>453</v>
      </c>
      <c r="AG304" s="218" t="s">
        <v>471</v>
      </c>
      <c r="AH304" s="304" t="s">
        <v>132</v>
      </c>
      <c r="AI304" s="210"/>
      <c r="AJ304" s="211"/>
      <c r="AK304" s="211"/>
      <c r="AL304" s="113">
        <f>Konvention_1slave-CHslave</f>
        <v>12</v>
      </c>
      <c r="AM304" s="211"/>
      <c r="AN304" s="113">
        <f>Konvention_1slave-GEslave</f>
        <v>12</v>
      </c>
      <c r="AO304" s="117">
        <f>Konvention_1slave-KOslave</f>
        <v>12</v>
      </c>
      <c r="AP304" s="212"/>
      <c r="AQ304" s="223">
        <f t="shared" si="2025"/>
        <v>12</v>
      </c>
      <c r="AR304" s="223">
        <f t="shared" si="2026"/>
        <v>24</v>
      </c>
      <c r="AS304" s="224">
        <f t="shared" si="2027"/>
        <v>36</v>
      </c>
      <c r="AT304" s="237">
        <f>AI304*POWER(KLslave,SIGN(AJ304))*POWER(INslave,SIGN(AK304))*POWER(CHslave,SIGN(AL304))*POWER(FFslave,SIGN(AM304))*POWER(GEslave,SIGN(AN304))*POWER(KOslave,SIGN(AO304))*POWER(KKslave,SIGN(AP304))+AJ304*POWER(MUslave,SIGN(AI304))*POWER(INslave,SIGN(AK304))*POWER(CHslave,SIGN(AL304))*POWER(FFslave,SIGN(AM304))*POWER(GEslave,SIGN(AN304))*POWER(KOslave,SIGN(AO304))*POWER(KKslave,SIGN(AP304))+AK304*POWER(MUslave,SIGN(AI304))*POWER(KLslave,SIGN(AJ304))*POWER(CHslave,SIGN(AL304))*POWER(FFslave,SIGN(AM304))*POWER(GEslave,SIGN(AN304))*POWER(KOslave,SIGN(AO304))*POWER(KKslave,SIGN(AP304))+AL304*POWER(MUslave,SIGN(AI304))*POWER(KLslave,SIGN(AJ304))*POWER(INslave,SIGN(AK304))*POWER(FFslave,SIGN(AM304))*POWER(GEslave,SIGN(AN304))*POWER(KOslave,SIGN(AO304))*POWER(KKslave,SIGN(AP304))+AM304*POWER(MUslave,SIGN(AI304))*POWER(KLslave,SIGN(AJ304))*POWER(INslave,SIGN(AK304))*POWER(CHslave,SIGN(AL304))*POWER(GEslave,SIGN(AN304))*POWER(KOslave,SIGN(AO304))*POWER(KKslave,SIGN(AP304))+AN304*POWER(MUslave,SIGN(AI304))*POWER(KLslave,SIGN(AJ304))*POWER(INslave,SIGN(AK304))*POWER(CHslave,SIGN(AL304))*POWER(FFslave,SIGN(AM304))*POWER(KOslave,SIGN(AO304))*POWER(KKslave,SIGN(AP304))+AO304*POWER(MUslave,SIGN(AI304))*POWER(KLslave,SIGN(AJ304))*POWER(INslave,SIGN(AK304))*POWER(CHslave,SIGN(AL304))*POWER(FFslave,SIGN(AM304))*POWER(GEslave,SIGN(AN304))*POWER(KKslave,SIGN(AP304))+AP304*POWER(MUslave,SIGN(AI304))*POWER(KLslave,SIGN(AJ304))*POWER(INslave,SIGN(AK304))*POWER(CHslave,SIGN(AL304))*POWER(FFslave,SIGN(AM304))*POWER(GEslave,SIGN(AN304))*POWER(KOslave,SIGN(AO304))</f>
        <v>2304</v>
      </c>
      <c r="AU304" s="234">
        <f>AL304*AN304*KOslave+AL304*GEslave*AO304+CHslave*AN304*AO304</f>
        <v>3456</v>
      </c>
      <c r="AV304" s="224">
        <f t="shared" si="2028"/>
        <v>1728</v>
      </c>
      <c r="AW304" s="224">
        <f t="shared" si="2158"/>
        <v>7488</v>
      </c>
      <c r="AX304" s="222">
        <f t="shared" si="2030"/>
        <v>3.6923076923076925</v>
      </c>
      <c r="AY304" s="223">
        <f t="shared" si="2031"/>
        <v>11.076923076923077</v>
      </c>
      <c r="AZ304" s="243">
        <f t="shared" si="2032"/>
        <v>8.3076923076923084</v>
      </c>
      <c r="BA304" s="243">
        <f t="shared" si="2033"/>
        <v>23.07692307692308</v>
      </c>
      <c r="BB304" s="252">
        <f t="shared" si="2034"/>
        <v>0</v>
      </c>
      <c r="BC304" s="324">
        <f t="shared" si="2035"/>
        <v>23.07692307692308</v>
      </c>
      <c r="BD304" s="304">
        <f>IF(BA304&lt;=0,2,0)+IF(BA304&gt;0,BA304+1,0)*2+IF(BA304&gt;12,BA304-12,0)*2+IF(BA304&gt;13,BA304-13,0)*2+IF(BA304&gt;14,BA304-14,0)*2+IF(BA304&gt;15,BA304-15,0)*2+IF(BA304&gt;16,BA304-16,0)*2+IF(BA304&gt;17,BA304-17,0)*2+IF(BA304&gt;18,BA304-18,0)*2+IF(BA304&gt;19,BA304-19,0)*2+IF(BA304&gt;20,BA304-20,0)*2</f>
        <v>175.5384615384616</v>
      </c>
      <c r="BE304" s="335">
        <f>IF(BB304&lt;=0,2,0)+IF(BB304&gt;0,BB304+1,0)*2+IF(BB304&gt;12,BB304-12,0)*2+IF(BB304&gt;13,BB304-13,0)*2+IF(BB304&gt;14,BB304-14,0)*2+IF(BB304&gt;15,BB304-15,0)*2+IF(BB304&gt;16,BB304-16,0)*2+IF(BB304&gt;17,BB304-17,0)*2+IF(BB304&gt;18,BB304-18,0)*2+IF(BB304&gt;19,BB304-19,0)*2+IF(BB304&gt;20,BB304-20,0)*2</f>
        <v>2</v>
      </c>
      <c r="BF304" s="243">
        <f t="shared" si="2037"/>
        <v>173.5384615384616</v>
      </c>
      <c r="BG304" s="218">
        <f t="shared" si="2038"/>
        <v>0</v>
      </c>
      <c r="BH304" s="248"/>
      <c r="BI304" s="303" t="s">
        <v>453</v>
      </c>
      <c r="BJ304" s="218" t="s">
        <v>471</v>
      </c>
      <c r="BK304" s="304" t="s">
        <v>132</v>
      </c>
      <c r="BL304" s="210"/>
      <c r="BM304" s="211"/>
      <c r="BN304" s="211"/>
      <c r="BO304" s="113">
        <f>Konvention_1slave-CHslave</f>
        <v>12</v>
      </c>
      <c r="BP304" s="211"/>
      <c r="BQ304" s="113">
        <f>Konvention_1slave-GEslave</f>
        <v>12</v>
      </c>
      <c r="BR304" s="117">
        <f>Konvention_1slave-KOslave</f>
        <v>12</v>
      </c>
      <c r="BS304" s="212"/>
      <c r="BT304" s="223">
        <f t="shared" si="2039"/>
        <v>12</v>
      </c>
      <c r="BU304" s="223">
        <f t="shared" si="2040"/>
        <v>24</v>
      </c>
      <c r="BV304" s="224">
        <f t="shared" si="2041"/>
        <v>36</v>
      </c>
      <c r="BW304" s="237">
        <f>BL304*POWER(KLslave,SIGN(BM304))*POWER(INslave,SIGN(BN304))*POWER(CHslave,SIGN(BO304))*POWER(FFslave,SIGN(BP304))*POWER(GEslave,SIGN(BQ304))*POWER(KOslave,SIGN(BR304))*POWER(KKslave,SIGN(BS304))+BM304*POWER(MUslave,SIGN(BL304))*POWER(INslave,SIGN(BN304))*POWER(CHslave,SIGN(BO304))*POWER(FFslave,SIGN(BP304))*POWER(GEslave,SIGN(BQ304))*POWER(KOslave,SIGN(BR304))*POWER(KKslave,SIGN(BS304))+BN304*POWER(MUslave,SIGN(BL304))*POWER(KLslave,SIGN(BM304))*POWER(CHslave,SIGN(BO304))*POWER(FFslave,SIGN(BP304))*POWER(GEslave,SIGN(BQ304))*POWER(KOslave,SIGN(BR304))*POWER(KKslave,SIGN(BS304))+BO304*POWER(MUslave,SIGN(BL304))*POWER(KLslave,SIGN(BM304))*POWER(INslave,SIGN(BN304))*POWER(FFslave,SIGN(BP304))*POWER(GEslave,SIGN(BQ304))*POWER(KOslave,SIGN(BR304))*POWER(KKslave,SIGN(BS304))+BP304*POWER(MUslave,SIGN(BL304))*POWER(KLslave,SIGN(BM304))*POWER(INslave,SIGN(BN304))*POWER(CHslave,SIGN(BO304))*POWER(GEslave,SIGN(BQ304))*POWER(KOslave,SIGN(BR304))*POWER(KKslave,SIGN(BS304))+BQ304*POWER(MUslave,SIGN(BL304))*POWER(KLslave,SIGN(BM304))*POWER(INslave,SIGN(BN304))*POWER(CHslave,SIGN(BO304))*POWER(FFslave,SIGN(BP304))*POWER(KOslave,SIGN(BR304))*POWER(KKslave,SIGN(BS304))+BR304*POWER(MUslave,SIGN(BL304))*POWER(KLslave,SIGN(BM304))*POWER(INslave,SIGN(BN304))*POWER(CHslave,SIGN(BO304))*POWER(FFslave,SIGN(BP304))*POWER(GEslave,SIGN(BQ304))*POWER(KKslave,SIGN(BS304))+BS304*POWER(MUslave,SIGN(BL304))*POWER(KLslave,SIGN(BM304))*POWER(INslave,SIGN(BN304))*POWER(CHslave,SIGN(BO304))*POWER(FFslave,SIGN(BP304))*POWER(GEslave,SIGN(BQ304))*POWER(KOslave,SIGN(BR304))</f>
        <v>2304</v>
      </c>
      <c r="BX304" s="234">
        <f>BO304*BQ304*KOslave+BO304*GEslave*BR304+CHslave*BQ304*BR304</f>
        <v>3456</v>
      </c>
      <c r="BY304" s="224">
        <f t="shared" si="2042"/>
        <v>1728</v>
      </c>
      <c r="BZ304" s="224">
        <f t="shared" si="2160"/>
        <v>7488</v>
      </c>
      <c r="CA304" s="222">
        <f t="shared" si="2044"/>
        <v>3.6923076923076925</v>
      </c>
      <c r="CB304" s="223">
        <f t="shared" si="2045"/>
        <v>11.076923076923077</v>
      </c>
      <c r="CC304" s="243">
        <f t="shared" si="2046"/>
        <v>8.3076923076923084</v>
      </c>
      <c r="CD304" s="243">
        <f t="shared" si="2047"/>
        <v>23.07692307692308</v>
      </c>
      <c r="CE304" s="252">
        <f t="shared" si="1833"/>
        <v>0</v>
      </c>
      <c r="CF304" s="324">
        <f t="shared" si="2048"/>
        <v>23.07692307692308</v>
      </c>
      <c r="CG304" s="304">
        <f>IF(CD304&lt;=0,2,0)+IF(CD304&gt;0,CD304+1,0)*2+IF(CD304&gt;12,CD304-12,0)*2+IF(CD304&gt;13,CD304-13,0)*2+IF(CD304&gt;14,CD304-14,0)*2+IF(CD304&gt;15,CD304-15,0)*2+IF(CD304&gt;16,CD304-16,0)*2+IF(CD304&gt;17,CD304-17,0)*2+IF(CD304&gt;18,CD304-18,0)*2+IF(CD304&gt;19,CD304-19,0)*2+IF(CD304&gt;20,CD304-20,0)*2</f>
        <v>175.5384615384616</v>
      </c>
      <c r="CH304" s="335">
        <f>IF(CE304&lt;=0,2,0)+IF(CE304&gt;0,CE304+1,0)*2+IF(CE304&gt;12,CE304-12,0)*2+IF(CE304&gt;13,CE304-13,0)*2+IF(CE304&gt;14,CE304-14,0)*2+IF(CE304&gt;15,CE304-15,0)*2+IF(CE304&gt;16,CE304-16,0)*2+IF(CE304&gt;17,CE304-17,0)*2+IF(CE304&gt;18,CE304-18,0)*2+IF(CE304&gt;19,CE304-19,0)*2+IF(CE304&gt;20,CE304-20,0)*2</f>
        <v>2</v>
      </c>
      <c r="CI304" s="243">
        <f t="shared" si="2050"/>
        <v>173.5384615384616</v>
      </c>
      <c r="CJ304" s="218">
        <f t="shared" si="2051"/>
        <v>0</v>
      </c>
      <c r="CK304" s="248"/>
      <c r="CL304" s="303" t="s">
        <v>453</v>
      </c>
      <c r="CM304" s="218" t="s">
        <v>471</v>
      </c>
      <c r="CN304" s="304" t="s">
        <v>132</v>
      </c>
      <c r="CO304" s="210"/>
      <c r="CP304" s="211"/>
      <c r="CQ304" s="211"/>
      <c r="CR304" s="113">
        <f>Konvention_1slave-CHslave</f>
        <v>12</v>
      </c>
      <c r="CS304" s="211"/>
      <c r="CT304" s="113">
        <f>Konvention_1slave-GEslave</f>
        <v>12</v>
      </c>
      <c r="CU304" s="117">
        <f>Konvention_1slave-KOslave</f>
        <v>12</v>
      </c>
      <c r="CV304" s="212"/>
      <c r="CW304" s="223">
        <f t="shared" si="2052"/>
        <v>12</v>
      </c>
      <c r="CX304" s="223">
        <f t="shared" si="2053"/>
        <v>24</v>
      </c>
      <c r="CY304" s="224">
        <f t="shared" si="2054"/>
        <v>36</v>
      </c>
      <c r="CZ304" s="237">
        <f>CO304*POWER(KLslave,SIGN(CP304))*POWER(INslave,SIGN(CQ304))*POWER(CHslave,SIGN(CR304))*POWER(FFslave,SIGN(CS304))*POWER(GEslave,SIGN(CT304))*POWER(KOslave,SIGN(CU304))*POWER(KKslave,SIGN(CV304))+CP304*POWER(MUslave,SIGN(CO304))*POWER(INslave,SIGN(CQ304))*POWER(CHslave,SIGN(CR304))*POWER(FFslave,SIGN(CS304))*POWER(GEslave,SIGN(CT304))*POWER(KOslave,SIGN(CU304))*POWER(KKslave,SIGN(CV304))+CQ304*POWER(MUslave,SIGN(CO304))*POWER(KLslave,SIGN(CP304))*POWER(CHslave,SIGN(CR304))*POWER(FFslave,SIGN(CS304))*POWER(GEslave,SIGN(CT304))*POWER(KOslave,SIGN(CU304))*POWER(KKslave,SIGN(CV304))+CR304*POWER(MUslave,SIGN(CO304))*POWER(KLslave,SIGN(CP304))*POWER(INslave,SIGN(CQ304))*POWER(FFslave,SIGN(CS304))*POWER(GEslave,SIGN(CT304))*POWER(KOslave,SIGN(CU304))*POWER(KKslave,SIGN(CV304))+CS304*POWER(MUslave,SIGN(CO304))*POWER(KLslave,SIGN(CP304))*POWER(INslave,SIGN(CQ304))*POWER(CHslave,SIGN(CR304))*POWER(GEslave,SIGN(CT304))*POWER(KOslave,SIGN(CU304))*POWER(KKslave,SIGN(CV304))+CT304*POWER(MUslave,SIGN(CO304))*POWER(KLslave,SIGN(CP304))*POWER(INslave,SIGN(CQ304))*POWER(CHslave,SIGN(CR304))*POWER(FFslave,SIGN(CS304))*POWER(KOslave,SIGN(CU304))*POWER(KKslave,SIGN(CV304))+CU304*POWER(MUslave,SIGN(CO304))*POWER(KLslave,SIGN(CP304))*POWER(INslave,SIGN(CQ304))*POWER(CHslave,SIGN(CR304))*POWER(FFslave,SIGN(CS304))*POWER(GEslave,SIGN(CT304))*POWER(KKslave,SIGN(CV304))+CV304*POWER(MUslave,SIGN(CO304))*POWER(KLslave,SIGN(CP304))*POWER(INslave,SIGN(CQ304))*POWER(CHslave,SIGN(CR304))*POWER(FFslave,SIGN(CS304))*POWER(GEslave,SIGN(CT304))*POWER(KOslave,SIGN(CU304))</f>
        <v>2304</v>
      </c>
      <c r="DA304" s="234">
        <f>CR304*CT304*KOslave+CR304*GEslave*CU304+CHslave*CT304*CU304</f>
        <v>3456</v>
      </c>
      <c r="DB304" s="224">
        <f t="shared" si="2055"/>
        <v>1728</v>
      </c>
      <c r="DC304" s="224">
        <f t="shared" si="2162"/>
        <v>7488</v>
      </c>
      <c r="DD304" s="222">
        <f t="shared" si="2057"/>
        <v>3.6923076923076925</v>
      </c>
      <c r="DE304" s="223">
        <f t="shared" si="2058"/>
        <v>11.076923076923077</v>
      </c>
      <c r="DF304" s="243">
        <f t="shared" si="2059"/>
        <v>8.3076923076923084</v>
      </c>
      <c r="DG304" s="243">
        <f t="shared" si="2060"/>
        <v>23.07692307692308</v>
      </c>
      <c r="DH304" s="252">
        <f t="shared" si="1848"/>
        <v>0</v>
      </c>
      <c r="DI304" s="324">
        <f t="shared" si="2061"/>
        <v>23.07692307692308</v>
      </c>
      <c r="DJ304" s="304">
        <f>IF(DG304&lt;=0,2,0)+IF(DG304&gt;0,DG304+1,0)*2+IF(DG304&gt;12,DG304-12,0)*2+IF(DG304&gt;13,DG304-13,0)*2+IF(DG304&gt;14,DG304-14,0)*2+IF(DG304&gt;15,DG304-15,0)*2+IF(DG304&gt;16,DG304-16,0)*2+IF(DG304&gt;17,DG304-17,0)*2+IF(DG304&gt;18,DG304-18,0)*2+IF(DG304&gt;19,DG304-19,0)*2+IF(DG304&gt;20,DG304-20,0)*2</f>
        <v>175.5384615384616</v>
      </c>
      <c r="DK304" s="335">
        <f>IF(DH304&lt;=0,2,0)+IF(DH304&gt;0,DH304+1,0)*2+IF(DH304&gt;12,DH304-12,0)*2+IF(DH304&gt;13,DH304-13,0)*2+IF(DH304&gt;14,DH304-14,0)*2+IF(DH304&gt;15,DH304-15,0)*2+IF(DH304&gt;16,DH304-16,0)*2+IF(DH304&gt;17,DH304-17,0)*2+IF(DH304&gt;18,DH304-18,0)*2+IF(DH304&gt;19,DH304-19,0)*2+IF(DH304&gt;20,DH304-20,0)*2</f>
        <v>2</v>
      </c>
      <c r="DL304" s="243">
        <f t="shared" si="2063"/>
        <v>173.5384615384616</v>
      </c>
      <c r="DM304" s="218">
        <f t="shared" si="2064"/>
        <v>0</v>
      </c>
      <c r="DN304" s="248"/>
      <c r="DO304" s="303" t="s">
        <v>453</v>
      </c>
      <c r="DP304" s="218" t="s">
        <v>471</v>
      </c>
      <c r="DQ304" s="304" t="s">
        <v>132</v>
      </c>
      <c r="DR304" s="210"/>
      <c r="DS304" s="211"/>
      <c r="DT304" s="211"/>
      <c r="DU304" s="113">
        <f>Konvention_1slave-CHslave</f>
        <v>12</v>
      </c>
      <c r="DV304" s="211"/>
      <c r="DW304" s="113">
        <f>Konvention_1slave-GEslave</f>
        <v>12</v>
      </c>
      <c r="DX304" s="117">
        <f>Konvention_1slave-KOslave</f>
        <v>12</v>
      </c>
      <c r="DY304" s="212"/>
      <c r="DZ304" s="223">
        <f t="shared" si="2065"/>
        <v>12</v>
      </c>
      <c r="EA304" s="223">
        <f t="shared" si="2066"/>
        <v>24</v>
      </c>
      <c r="EB304" s="224">
        <f t="shared" si="2067"/>
        <v>36</v>
      </c>
      <c r="EC304" s="237">
        <f>DR304*POWER(KLslave,SIGN(DS304))*POWER(INslave,SIGN(DT304))*POWER(CHslave,SIGN(DU304))*POWER(FFslave,SIGN(DV304))*POWER(GEslave,SIGN(DW304))*POWER(KOslave,SIGN(DX304))*POWER(KKslave,SIGN(DY304))+DS304*POWER(MUslave,SIGN(DR304))*POWER(INslave,SIGN(DT304))*POWER(CHslave,SIGN(DU304))*POWER(FFslave,SIGN(DV304))*POWER(GEslave,SIGN(DW304))*POWER(KOslave,SIGN(DX304))*POWER(KKslave,SIGN(DY304))+DT304*POWER(MUslave,SIGN(DR304))*POWER(KLslave,SIGN(DS304))*POWER(CHslave,SIGN(DU304))*POWER(FFslave,SIGN(DV304))*POWER(GEslave,SIGN(DW304))*POWER(KOslave,SIGN(DX304))*POWER(KKslave,SIGN(DY304))+DU304*POWER(MUslave,SIGN(DR304))*POWER(KLslave,SIGN(DS304))*POWER(INslave,SIGN(DT304))*POWER(FFslave,SIGN(DV304))*POWER(GEslave,SIGN(DW304))*POWER(KOslave,SIGN(DX304))*POWER(KKslave,SIGN(DY304))+DV304*POWER(MUslave,SIGN(DR304))*POWER(KLslave,SIGN(DS304))*POWER(INslave,SIGN(DT304))*POWER(CHslave,SIGN(DU304))*POWER(GEslave,SIGN(DW304))*POWER(KOslave,SIGN(DX304))*POWER(KKslave,SIGN(DY304))+DW304*POWER(MUslave,SIGN(DR304))*POWER(KLslave,SIGN(DS304))*POWER(INslave,SIGN(DT304))*POWER(CHslave,SIGN(DU304))*POWER(FFslave,SIGN(DV304))*POWER(KOslave,SIGN(DX304))*POWER(KKslave,SIGN(DY304))+DX304*POWER(MUslave,SIGN(DR304))*POWER(KLslave,SIGN(DS304))*POWER(INslave,SIGN(DT304))*POWER(CHslave,SIGN(DU304))*POWER(FFslave,SIGN(DV304))*POWER(GEslave,SIGN(DW304))*POWER(KKslave,SIGN(DY304))+DY304*POWER(MUslave,SIGN(DR304))*POWER(KLslave,SIGN(DS304))*POWER(INslave,SIGN(DT304))*POWER(CHslave,SIGN(DU304))*POWER(FFslave,SIGN(DV304))*POWER(GEslave,SIGN(DW304))*POWER(KOslave,SIGN(DX304))</f>
        <v>2304</v>
      </c>
      <c r="ED304" s="234">
        <f>DU304*DW304*KOslave+DU304*GEslave*DX304+CHslave*DW304*DX304</f>
        <v>3456</v>
      </c>
      <c r="EE304" s="224">
        <f t="shared" si="2068"/>
        <v>1728</v>
      </c>
      <c r="EF304" s="224">
        <f t="shared" si="2164"/>
        <v>7488</v>
      </c>
      <c r="EG304" s="222">
        <f t="shared" si="2070"/>
        <v>3.6923076923076925</v>
      </c>
      <c r="EH304" s="223">
        <f t="shared" si="2071"/>
        <v>11.076923076923077</v>
      </c>
      <c r="EI304" s="243">
        <f t="shared" si="2072"/>
        <v>8.3076923076923084</v>
      </c>
      <c r="EJ304" s="243">
        <f t="shared" si="2073"/>
        <v>23.07692307692308</v>
      </c>
      <c r="EK304" s="252">
        <f t="shared" si="1863"/>
        <v>0</v>
      </c>
      <c r="EL304" s="324">
        <f t="shared" si="2074"/>
        <v>23.07692307692308</v>
      </c>
      <c r="EM304" s="304">
        <f>IF(EJ304&lt;=0,2,0)+IF(EJ304&gt;0,EJ304+1,0)*2+IF(EJ304&gt;12,EJ304-12,0)*2+IF(EJ304&gt;13,EJ304-13,0)*2+IF(EJ304&gt;14,EJ304-14,0)*2+IF(EJ304&gt;15,EJ304-15,0)*2+IF(EJ304&gt;16,EJ304-16,0)*2+IF(EJ304&gt;17,EJ304-17,0)*2+IF(EJ304&gt;18,EJ304-18,0)*2+IF(EJ304&gt;19,EJ304-19,0)*2+IF(EJ304&gt;20,EJ304-20,0)*2</f>
        <v>175.5384615384616</v>
      </c>
      <c r="EN304" s="335">
        <f>IF(EK304&lt;=0,2,0)+IF(EK304&gt;0,EK304+1,0)*2+IF(EK304&gt;12,EK304-12,0)*2+IF(EK304&gt;13,EK304-13,0)*2+IF(EK304&gt;14,EK304-14,0)*2+IF(EK304&gt;15,EK304-15,0)*2+IF(EK304&gt;16,EK304-16,0)*2+IF(EK304&gt;17,EK304-17,0)*2+IF(EK304&gt;18,EK304-18,0)*2+IF(EK304&gt;19,EK304-19,0)*2+IF(EK304&gt;20,EK304-20,0)*2</f>
        <v>2</v>
      </c>
      <c r="EO304" s="243">
        <f t="shared" si="2076"/>
        <v>173.5384615384616</v>
      </c>
      <c r="EP304" s="218">
        <f t="shared" si="2077"/>
        <v>0</v>
      </c>
      <c r="EQ304" s="248"/>
      <c r="ER304" s="303" t="s">
        <v>453</v>
      </c>
      <c r="ES304" s="218" t="s">
        <v>471</v>
      </c>
      <c r="ET304" s="304" t="s">
        <v>132</v>
      </c>
      <c r="EU304" s="210"/>
      <c r="EV304" s="211"/>
      <c r="EW304" s="211"/>
      <c r="EX304" s="113">
        <f>Konvention_1slave-CHslave</f>
        <v>12</v>
      </c>
      <c r="EY304" s="211"/>
      <c r="EZ304" s="113">
        <f>Konvention_1slave-GEslave</f>
        <v>12</v>
      </c>
      <c r="FA304" s="117">
        <f>Konvention_1slave-KOslave</f>
        <v>12</v>
      </c>
      <c r="FB304" s="212"/>
      <c r="FC304" s="223">
        <f t="shared" si="2078"/>
        <v>12</v>
      </c>
      <c r="FD304" s="223">
        <f t="shared" si="2079"/>
        <v>24</v>
      </c>
      <c r="FE304" s="224">
        <f t="shared" si="2080"/>
        <v>36</v>
      </c>
      <c r="FF304" s="237">
        <f>EU304*POWER(KLslave,SIGN(EV304))*POWER(INslave,SIGN(EW304))*POWER(CHslave,SIGN(EX304))*POWER(FFslave,SIGN(EY304))*POWER(GEslave,SIGN(EZ304))*POWER(KOslave,SIGN(FA304))*POWER(KKslave,SIGN(FB304))+EV304*POWER(MUslave,SIGN(EU304))*POWER(INslave,SIGN(EW304))*POWER(CHslave,SIGN(EX304))*POWER(FFslave,SIGN(EY304))*POWER(GEslave,SIGN(EZ304))*POWER(KOslave,SIGN(FA304))*POWER(KKslave,SIGN(FB304))+EW304*POWER(MUslave,SIGN(EU304))*POWER(KLslave,SIGN(EV304))*POWER(CHslave,SIGN(EX304))*POWER(FFslave,SIGN(EY304))*POWER(GEslave,SIGN(EZ304))*POWER(KOslave,SIGN(FA304))*POWER(KKslave,SIGN(FB304))+EX304*POWER(MUslave,SIGN(EU304))*POWER(KLslave,SIGN(EV304))*POWER(INslave,SIGN(EW304))*POWER(FFslave,SIGN(EY304))*POWER(GEslave,SIGN(EZ304))*POWER(KOslave,SIGN(FA304))*POWER(KKslave,SIGN(FB304))+EY304*POWER(MUslave,SIGN(EU304))*POWER(KLslave,SIGN(EV304))*POWER(INslave,SIGN(EW304))*POWER(CHslave,SIGN(EX304))*POWER(GEslave,SIGN(EZ304))*POWER(KOslave,SIGN(FA304))*POWER(KKslave,SIGN(FB304))+EZ304*POWER(MUslave,SIGN(EU304))*POWER(KLslave,SIGN(EV304))*POWER(INslave,SIGN(EW304))*POWER(CHslave,SIGN(EX304))*POWER(FFslave,SIGN(EY304))*POWER(KOslave,SIGN(FA304))*POWER(KKslave,SIGN(FB304))+FA304*POWER(MUslave,SIGN(EU304))*POWER(KLslave,SIGN(EV304))*POWER(INslave,SIGN(EW304))*POWER(CHslave,SIGN(EX304))*POWER(FFslave,SIGN(EY304))*POWER(GEslave,SIGN(EZ304))*POWER(KKslave,SIGN(FB304))+FB304*POWER(MUslave,SIGN(EU304))*POWER(KLslave,SIGN(EV304))*POWER(INslave,SIGN(EW304))*POWER(CHslave,SIGN(EX304))*POWER(FFslave,SIGN(EY304))*POWER(GEslave,SIGN(EZ304))*POWER(KOslave,SIGN(FA304))</f>
        <v>2304</v>
      </c>
      <c r="FG304" s="234">
        <f>EX304*EZ304*KOslave+EX304*GEslave*FA304+CHslave*EZ304*FA304</f>
        <v>3456</v>
      </c>
      <c r="FH304" s="224">
        <f t="shared" si="2081"/>
        <v>1728</v>
      </c>
      <c r="FI304" s="224">
        <f t="shared" si="2166"/>
        <v>7488</v>
      </c>
      <c r="FJ304" s="222">
        <f t="shared" si="2083"/>
        <v>3.6923076923076925</v>
      </c>
      <c r="FK304" s="223">
        <f t="shared" si="2084"/>
        <v>11.076923076923077</v>
      </c>
      <c r="FL304" s="243">
        <f t="shared" si="2085"/>
        <v>8.3076923076923084</v>
      </c>
      <c r="FM304" s="243">
        <f t="shared" si="2086"/>
        <v>23.07692307692308</v>
      </c>
      <c r="FN304" s="252">
        <f t="shared" si="1878"/>
        <v>0</v>
      </c>
      <c r="FO304" s="324">
        <f t="shared" si="2087"/>
        <v>23.07692307692308</v>
      </c>
      <c r="FP304" s="304">
        <f>IF(FM304&lt;=0,2,0)+IF(FM304&gt;0,FM304+1,0)*2+IF(FM304&gt;12,FM304-12,0)*2+IF(FM304&gt;13,FM304-13,0)*2+IF(FM304&gt;14,FM304-14,0)*2+IF(FM304&gt;15,FM304-15,0)*2+IF(FM304&gt;16,FM304-16,0)*2+IF(FM304&gt;17,FM304-17,0)*2+IF(FM304&gt;18,FM304-18,0)*2+IF(FM304&gt;19,FM304-19,0)*2+IF(FM304&gt;20,FM304-20,0)*2</f>
        <v>175.5384615384616</v>
      </c>
      <c r="FQ304" s="335">
        <f>IF(FN304&lt;=0,2,0)+IF(FN304&gt;0,FN304+1,0)*2+IF(FN304&gt;12,FN304-12,0)*2+IF(FN304&gt;13,FN304-13,0)*2+IF(FN304&gt;14,FN304-14,0)*2+IF(FN304&gt;15,FN304-15,0)*2+IF(FN304&gt;16,FN304-16,0)*2+IF(FN304&gt;17,FN304-17,0)*2+IF(FN304&gt;18,FN304-18,0)*2+IF(FN304&gt;19,FN304-19,0)*2+IF(FN304&gt;20,FN304-20,0)*2</f>
        <v>2</v>
      </c>
      <c r="FR304" s="243">
        <f t="shared" si="2089"/>
        <v>173.5384615384616</v>
      </c>
      <c r="FS304" s="218">
        <f t="shared" si="2090"/>
        <v>0</v>
      </c>
      <c r="FT304" s="248"/>
      <c r="FU304" s="303" t="s">
        <v>453</v>
      </c>
      <c r="FV304" s="218" t="s">
        <v>471</v>
      </c>
      <c r="FW304" s="304" t="s">
        <v>132</v>
      </c>
      <c r="FX304" s="210"/>
      <c r="FY304" s="211"/>
      <c r="FZ304" s="211"/>
      <c r="GA304" s="113">
        <f>Konvention_1slave-CHslave</f>
        <v>12</v>
      </c>
      <c r="GB304" s="211"/>
      <c r="GC304" s="113">
        <f>Konvention_1slave-GEslave</f>
        <v>12</v>
      </c>
      <c r="GD304" s="117">
        <f>Konvention_1slave-KOslave</f>
        <v>12</v>
      </c>
      <c r="GE304" s="212"/>
      <c r="GF304" s="223">
        <f t="shared" si="2091"/>
        <v>12</v>
      </c>
      <c r="GG304" s="223">
        <f t="shared" si="2092"/>
        <v>24</v>
      </c>
      <c r="GH304" s="224">
        <f t="shared" si="2093"/>
        <v>36</v>
      </c>
      <c r="GI304" s="237">
        <f>FX304*POWER(KLslave,SIGN(FY304))*POWER(INslave,SIGN(FZ304))*POWER(CHslave,SIGN(GA304))*POWER(FFslave,SIGN(GB304))*POWER(GEslave,SIGN(GC304))*POWER(KOslave,SIGN(GD304))*POWER(KKslave,SIGN(GE304))+FY304*POWER(MUslave,SIGN(FX304))*POWER(INslave,SIGN(FZ304))*POWER(CHslave,SIGN(GA304))*POWER(FFslave,SIGN(GB304))*POWER(GEslave,SIGN(GC304))*POWER(KOslave,SIGN(GD304))*POWER(KKslave,SIGN(GE304))+FZ304*POWER(MUslave,SIGN(FX304))*POWER(KLslave,SIGN(FY304))*POWER(CHslave,SIGN(GA304))*POWER(FFslave,SIGN(GB304))*POWER(GEslave,SIGN(GC304))*POWER(KOslave,SIGN(GD304))*POWER(KKslave,SIGN(GE304))+GA304*POWER(MUslave,SIGN(FX304))*POWER(KLslave,SIGN(FY304))*POWER(INslave,SIGN(FZ304))*POWER(FFslave,SIGN(GB304))*POWER(GEslave,SIGN(GC304))*POWER(KOslave,SIGN(GD304))*POWER(KKslave,SIGN(GE304))+GB304*POWER(MUslave,SIGN(FX304))*POWER(KLslave,SIGN(FY304))*POWER(INslave,SIGN(FZ304))*POWER(CHslave,SIGN(GA304))*POWER(GEslave,SIGN(GC304))*POWER(KOslave,SIGN(GD304))*POWER(KKslave,SIGN(GE304))+GC304*POWER(MUslave,SIGN(FX304))*POWER(KLslave,SIGN(FY304))*POWER(INslave,SIGN(FZ304))*POWER(CHslave,SIGN(GA304))*POWER(FFslave,SIGN(GB304))*POWER(KOslave,SIGN(GD304))*POWER(KKslave,SIGN(GE304))+GD304*POWER(MUslave,SIGN(FX304))*POWER(KLslave,SIGN(FY304))*POWER(INslave,SIGN(FZ304))*POWER(CHslave,SIGN(GA304))*POWER(FFslave,SIGN(GB304))*POWER(GEslave,SIGN(GC304))*POWER(KKslave,SIGN(GE304))+GE304*POWER(MUslave,SIGN(FX304))*POWER(KLslave,SIGN(FY304))*POWER(INslave,SIGN(FZ304))*POWER(CHslave,SIGN(GA304))*POWER(FFslave,SIGN(GB304))*POWER(GEslave,SIGN(GC304))*POWER(KOslave,SIGN(GD304))</f>
        <v>2304</v>
      </c>
      <c r="GJ304" s="234">
        <f>GA304*GC304*KOslave+GA304*GEslave*GD304+CHslave*GC304*GD304</f>
        <v>3456</v>
      </c>
      <c r="GK304" s="224">
        <f t="shared" si="2094"/>
        <v>1728</v>
      </c>
      <c r="GL304" s="224">
        <f t="shared" si="2168"/>
        <v>7488</v>
      </c>
      <c r="GM304" s="222">
        <f t="shared" si="2096"/>
        <v>3.6923076923076925</v>
      </c>
      <c r="GN304" s="223">
        <f t="shared" si="2097"/>
        <v>11.076923076923077</v>
      </c>
      <c r="GO304" s="243">
        <f t="shared" si="2098"/>
        <v>8.3076923076923084</v>
      </c>
      <c r="GP304" s="243">
        <f t="shared" si="2099"/>
        <v>23.07692307692308</v>
      </c>
      <c r="GQ304" s="252">
        <f t="shared" si="1893"/>
        <v>0</v>
      </c>
      <c r="GR304" s="324">
        <f t="shared" si="2100"/>
        <v>23.07692307692308</v>
      </c>
      <c r="GS304" s="304">
        <f>IF(GP304&lt;=0,2,0)+IF(GP304&gt;0,GP304+1,0)*2+IF(GP304&gt;12,GP304-12,0)*2+IF(GP304&gt;13,GP304-13,0)*2+IF(GP304&gt;14,GP304-14,0)*2+IF(GP304&gt;15,GP304-15,0)*2+IF(GP304&gt;16,GP304-16,0)*2+IF(GP304&gt;17,GP304-17,0)*2+IF(GP304&gt;18,GP304-18,0)*2+IF(GP304&gt;19,GP304-19,0)*2+IF(GP304&gt;20,GP304-20,0)*2</f>
        <v>175.5384615384616</v>
      </c>
      <c r="GT304" s="335">
        <f>IF(GQ304&lt;=0,2,0)+IF(GQ304&gt;0,GQ304+1,0)*2+IF(GQ304&gt;12,GQ304-12,0)*2+IF(GQ304&gt;13,GQ304-13,0)*2+IF(GQ304&gt;14,GQ304-14,0)*2+IF(GQ304&gt;15,GQ304-15,0)*2+IF(GQ304&gt;16,GQ304-16,0)*2+IF(GQ304&gt;17,GQ304-17,0)*2+IF(GQ304&gt;18,GQ304-18,0)*2+IF(GQ304&gt;19,GQ304-19,0)*2+IF(GQ304&gt;20,GQ304-20,0)*2</f>
        <v>2</v>
      </c>
      <c r="GU304" s="243">
        <f t="shared" si="2102"/>
        <v>173.5384615384616</v>
      </c>
      <c r="GV304" s="218">
        <f t="shared" si="2103"/>
        <v>0</v>
      </c>
      <c r="GW304" s="248"/>
      <c r="GX304" s="303" t="s">
        <v>453</v>
      </c>
      <c r="GY304" s="218" t="s">
        <v>471</v>
      </c>
      <c r="GZ304" s="304" t="s">
        <v>132</v>
      </c>
      <c r="HA304" s="210"/>
      <c r="HB304" s="211"/>
      <c r="HC304" s="211"/>
      <c r="HD304" s="113">
        <f>Konvention_1slave-CHslave</f>
        <v>12</v>
      </c>
      <c r="HE304" s="211"/>
      <c r="HF304" s="113">
        <f>Konvention_1slave-GEslave</f>
        <v>12</v>
      </c>
      <c r="HG304" s="117">
        <f>Konvention_1slave-KOslave</f>
        <v>12</v>
      </c>
      <c r="HH304" s="212"/>
      <c r="HI304" s="223">
        <f t="shared" si="2104"/>
        <v>12</v>
      </c>
      <c r="HJ304" s="223">
        <f t="shared" si="2105"/>
        <v>24</v>
      </c>
      <c r="HK304" s="224">
        <f t="shared" si="2106"/>
        <v>36</v>
      </c>
      <c r="HL304" s="237">
        <f>HA304*POWER(KLslave,SIGN(HB304))*POWER(INslave,SIGN(HC304))*POWER(CHslave,SIGN(HD304))*POWER(FFslave,SIGN(HE304))*POWER(GEslave,SIGN(HF304))*POWER(KOslave,SIGN(HG304))*POWER(KKslave,SIGN(HH304))+HB304*POWER(MUslave,SIGN(HA304))*POWER(INslave,SIGN(HC304))*POWER(CHslave,SIGN(HD304))*POWER(FFslave,SIGN(HE304))*POWER(GEslave,SIGN(HF304))*POWER(KOslave,SIGN(HG304))*POWER(KKslave,SIGN(HH304))+HC304*POWER(MUslave,SIGN(HA304))*POWER(KLslave,SIGN(HB304))*POWER(CHslave,SIGN(HD304))*POWER(FFslave,SIGN(HE304))*POWER(GEslave,SIGN(HF304))*POWER(KOslave,SIGN(HG304))*POWER(KKslave,SIGN(HH304))+HD304*POWER(MUslave,SIGN(HA304))*POWER(KLslave,SIGN(HB304))*POWER(INslave,SIGN(HC304))*POWER(FFslave,SIGN(HE304))*POWER(GEslave,SIGN(HF304))*POWER(KOslave,SIGN(HG304))*POWER(KKslave,SIGN(HH304))+HE304*POWER(MUslave,SIGN(HA304))*POWER(KLslave,SIGN(HB304))*POWER(INslave,SIGN(HC304))*POWER(CHslave,SIGN(HD304))*POWER(GEslave,SIGN(HF304))*POWER(KOslave,SIGN(HG304))*POWER(KKslave,SIGN(HH304))+HF304*POWER(MUslave,SIGN(HA304))*POWER(KLslave,SIGN(HB304))*POWER(INslave,SIGN(HC304))*POWER(CHslave,SIGN(HD304))*POWER(FFslave,SIGN(HE304))*POWER(KOslave,SIGN(HG304))*POWER(KKslave,SIGN(HH304))+HG304*POWER(MUslave,SIGN(HA304))*POWER(KLslave,SIGN(HB304))*POWER(INslave,SIGN(HC304))*POWER(CHslave,SIGN(HD304))*POWER(FFslave,SIGN(HE304))*POWER(GEslave,SIGN(HF304))*POWER(KKslave,SIGN(HH304))+HH304*POWER(MUslave,SIGN(HA304))*POWER(KLslave,SIGN(HB304))*POWER(INslave,SIGN(HC304))*POWER(CHslave,SIGN(HD304))*POWER(FFslave,SIGN(HE304))*POWER(GEslave,SIGN(HF304))*POWER(KOslave,SIGN(HG304))</f>
        <v>2304</v>
      </c>
      <c r="HM304" s="234">
        <f>HD304*HF304*KOslave+HD304*GEslave*HG304+CHslave*HF304*HG304</f>
        <v>3456</v>
      </c>
      <c r="HN304" s="224">
        <f t="shared" si="2107"/>
        <v>1728</v>
      </c>
      <c r="HO304" s="224">
        <f t="shared" si="2170"/>
        <v>7488</v>
      </c>
      <c r="HP304" s="222">
        <f t="shared" si="2109"/>
        <v>3.6923076923076925</v>
      </c>
      <c r="HQ304" s="223">
        <f t="shared" si="2110"/>
        <v>11.076923076923077</v>
      </c>
      <c r="HR304" s="243">
        <f t="shared" si="2111"/>
        <v>8.3076923076923084</v>
      </c>
      <c r="HS304" s="243">
        <f t="shared" si="2112"/>
        <v>23.07692307692308</v>
      </c>
      <c r="HT304" s="252">
        <f t="shared" si="1908"/>
        <v>0</v>
      </c>
      <c r="HU304" s="324">
        <f t="shared" si="2113"/>
        <v>23.07692307692308</v>
      </c>
      <c r="HV304" s="304">
        <f>IF(HS304&lt;=0,2,0)+IF(HS304&gt;0,HS304+1,0)*2+IF(HS304&gt;12,HS304-12,0)*2+IF(HS304&gt;13,HS304-13,0)*2+IF(HS304&gt;14,HS304-14,0)*2+IF(HS304&gt;15,HS304-15,0)*2+IF(HS304&gt;16,HS304-16,0)*2+IF(HS304&gt;17,HS304-17,0)*2+IF(HS304&gt;18,HS304-18,0)*2+IF(HS304&gt;19,HS304-19,0)*2+IF(HS304&gt;20,HS304-20,0)*2</f>
        <v>175.5384615384616</v>
      </c>
      <c r="HW304" s="335">
        <f>IF(HT304&lt;=0,2,0)+IF(HT304&gt;0,HT304+1,0)*2+IF(HT304&gt;12,HT304-12,0)*2+IF(HT304&gt;13,HT304-13,0)*2+IF(HT304&gt;14,HT304-14,0)*2+IF(HT304&gt;15,HT304-15,0)*2+IF(HT304&gt;16,HT304-16,0)*2+IF(HT304&gt;17,HT304-17,0)*2+IF(HT304&gt;18,HT304-18,0)*2+IF(HT304&gt;19,HT304-19,0)*2+IF(HT304&gt;20,HT304-20,0)*2</f>
        <v>2</v>
      </c>
      <c r="HX304" s="243">
        <f t="shared" si="2115"/>
        <v>173.5384615384616</v>
      </c>
      <c r="HY304" s="218">
        <f t="shared" si="2116"/>
        <v>0</v>
      </c>
      <c r="HZ304" s="248"/>
      <c r="IA304" s="303" t="s">
        <v>453</v>
      </c>
      <c r="IB304" s="218" t="s">
        <v>471</v>
      </c>
      <c r="IC304" s="304" t="s">
        <v>132</v>
      </c>
      <c r="ID304" s="210"/>
      <c r="IE304" s="211"/>
      <c r="IF304" s="211"/>
      <c r="IG304" s="113">
        <f>Konvention_1slave-CHslave</f>
        <v>12</v>
      </c>
      <c r="IH304" s="211"/>
      <c r="II304" s="113">
        <f>Konvention_1slave-GEslave</f>
        <v>12</v>
      </c>
      <c r="IJ304" s="117">
        <f>Konvention_1slave-KOslave</f>
        <v>12</v>
      </c>
      <c r="IK304" s="212"/>
      <c r="IL304" s="223">
        <f t="shared" si="2117"/>
        <v>12</v>
      </c>
      <c r="IM304" s="223">
        <f t="shared" si="2118"/>
        <v>24</v>
      </c>
      <c r="IN304" s="224">
        <f t="shared" si="2119"/>
        <v>36</v>
      </c>
      <c r="IO304" s="237">
        <f>ID304*POWER(KLslave,SIGN(IE304))*POWER(INslave,SIGN(IF304))*POWER(CHslave,SIGN(IG304))*POWER(FFslave,SIGN(IH304))*POWER(GEslave,SIGN(II304))*POWER(KOslave,SIGN(IJ304))*POWER(KKslave,SIGN(IK304))+IE304*POWER(MUslave,SIGN(ID304))*POWER(INslave,SIGN(IF304))*POWER(CHslave,SIGN(IG304))*POWER(FFslave,SIGN(IH304))*POWER(GEslave,SIGN(II304))*POWER(KOslave,SIGN(IJ304))*POWER(KKslave,SIGN(IK304))+IF304*POWER(MUslave,SIGN(ID304))*POWER(KLslave,SIGN(IE304))*POWER(CHslave,SIGN(IG304))*POWER(FFslave,SIGN(IH304))*POWER(GEslave,SIGN(II304))*POWER(KOslave,SIGN(IJ304))*POWER(KKslave,SIGN(IK304))+IG304*POWER(MUslave,SIGN(ID304))*POWER(KLslave,SIGN(IE304))*POWER(INslave,SIGN(IF304))*POWER(FFslave,SIGN(IH304))*POWER(GEslave,SIGN(II304))*POWER(KOslave,SIGN(IJ304))*POWER(KKslave,SIGN(IK304))+IH304*POWER(MUslave,SIGN(ID304))*POWER(KLslave,SIGN(IE304))*POWER(INslave,SIGN(IF304))*POWER(CHslave,SIGN(IG304))*POWER(GEslave,SIGN(II304))*POWER(KOslave,SIGN(IJ304))*POWER(KKslave,SIGN(IK304))+II304*POWER(MUslave,SIGN(ID304))*POWER(KLslave,SIGN(IE304))*POWER(INslave,SIGN(IF304))*POWER(CHslave,SIGN(IG304))*POWER(FFslave,SIGN(IH304))*POWER(KOslave,SIGN(IJ304))*POWER(KKslave,SIGN(IK304))+IJ304*POWER(MUslave,SIGN(ID304))*POWER(KLslave,SIGN(IE304))*POWER(INslave,SIGN(IF304))*POWER(CHslave,SIGN(IG304))*POWER(FFslave,SIGN(IH304))*POWER(GEslave,SIGN(II304))*POWER(KKslave,SIGN(IK304))+IK304*POWER(MUslave,SIGN(ID304))*POWER(KLslave,SIGN(IE304))*POWER(INslave,SIGN(IF304))*POWER(CHslave,SIGN(IG304))*POWER(FFslave,SIGN(IH304))*POWER(GEslave,SIGN(II304))*POWER(KOslave,SIGN(IJ304))</f>
        <v>2304</v>
      </c>
      <c r="IP304" s="234">
        <f>IG304*II304*KOslave+IG304*GEslave*IJ304+CHslave*II304*IJ304</f>
        <v>3456</v>
      </c>
      <c r="IQ304" s="224">
        <f t="shared" si="2120"/>
        <v>1728</v>
      </c>
      <c r="IR304" s="224">
        <f t="shared" si="2172"/>
        <v>7488</v>
      </c>
      <c r="IS304" s="222">
        <f t="shared" si="2122"/>
        <v>3.6923076923076925</v>
      </c>
      <c r="IT304" s="223">
        <f t="shared" si="2123"/>
        <v>11.076923076923077</v>
      </c>
      <c r="IU304" s="243">
        <f t="shared" si="2124"/>
        <v>8.3076923076923084</v>
      </c>
      <c r="IV304" s="243">
        <f t="shared" si="2125"/>
        <v>23.07692307692308</v>
      </c>
      <c r="IW304" s="252">
        <f t="shared" si="1923"/>
        <v>0</v>
      </c>
      <c r="IX304" s="324">
        <f t="shared" si="2126"/>
        <v>23.07692307692308</v>
      </c>
      <c r="IY304" s="304">
        <f>IF(IV304&lt;=0,2,0)+IF(IV304&gt;0,IV304+1,0)*2+IF(IV304&gt;12,IV304-12,0)*2+IF(IV304&gt;13,IV304-13,0)*2+IF(IV304&gt;14,IV304-14,0)*2+IF(IV304&gt;15,IV304-15,0)*2+IF(IV304&gt;16,IV304-16,0)*2+IF(IV304&gt;17,IV304-17,0)*2+IF(IV304&gt;18,IV304-18,0)*2+IF(IV304&gt;19,IV304-19,0)*2+IF(IV304&gt;20,IV304-20,0)*2</f>
        <v>175.5384615384616</v>
      </c>
      <c r="IZ304" s="335">
        <f>IF(IW304&lt;=0,2,0)+IF(IW304&gt;0,IW304+1,0)*2+IF(IW304&gt;12,IW304-12,0)*2+IF(IW304&gt;13,IW304-13,0)*2+IF(IW304&gt;14,IW304-14,0)*2+IF(IW304&gt;15,IW304-15,0)*2+IF(IW304&gt;16,IW304-16,0)*2+IF(IW304&gt;17,IW304-17,0)*2+IF(IW304&gt;18,IW304-18,0)*2+IF(IW304&gt;19,IW304-19,0)*2+IF(IW304&gt;20,IW304-20,0)*2</f>
        <v>2</v>
      </c>
      <c r="JA304" s="243">
        <f t="shared" si="2128"/>
        <v>173.5384615384616</v>
      </c>
      <c r="JB304" s="218">
        <f t="shared" si="2129"/>
        <v>0</v>
      </c>
    </row>
    <row r="305" spans="1:265" hidden="1" outlineLevel="2">
      <c r="A305" s="185"/>
      <c r="B305" s="148">
        <v>8</v>
      </c>
      <c r="C305" s="303" t="e">
        <f>VLOOKUP(AF305,Attribute!C:T,1,FALSE)</f>
        <v>#N/A</v>
      </c>
      <c r="D305" s="218" t="s">
        <v>180</v>
      </c>
      <c r="E305" s="304" t="s">
        <v>132</v>
      </c>
      <c r="F305" s="114"/>
      <c r="G305" s="113"/>
      <c r="H305" s="113">
        <f t="shared" ref="H305" si="2209">Konvention_1master-INmaster</f>
        <v>12</v>
      </c>
      <c r="I305" s="113">
        <f>Konvention_1master-CHmaster</f>
        <v>12</v>
      </c>
      <c r="J305" s="113"/>
      <c r="K305" s="113"/>
      <c r="L305" s="113"/>
      <c r="M305" s="119"/>
      <c r="N305" s="223">
        <f>(H305+H305+I305)/3</f>
        <v>12</v>
      </c>
      <c r="O305" s="223">
        <f t="shared" si="2011"/>
        <v>24</v>
      </c>
      <c r="P305" s="224">
        <f t="shared" si="2012"/>
        <v>36</v>
      </c>
      <c r="Q305" s="237">
        <f>H305*POWER(CHmaster,SIGN(I305))*POWER(INmaster,SIGN(H305))+H305*POWER(CHmaster,SIGN(I305))*POWER(INmaster,SIGN(H305))+I305*POWER(INmaster,SIGN(H305))*POWER(INmaster,SIGN(H305))</f>
        <v>2304</v>
      </c>
      <c r="R305" s="113">
        <f>H305*H305*CHmaster+H305*INmaster*I305+INmaster*H305*I305</f>
        <v>3456</v>
      </c>
      <c r="S305" s="224">
        <f>H305*H305*I305</f>
        <v>1728</v>
      </c>
      <c r="T305" s="224">
        <f t="shared" ref="T305" si="2210">SUM(Q305:S305)</f>
        <v>7488</v>
      </c>
      <c r="U305" s="222">
        <f t="shared" si="2016"/>
        <v>3.6923076923076925</v>
      </c>
      <c r="V305" s="223">
        <f t="shared" si="2017"/>
        <v>11.076923076923077</v>
      </c>
      <c r="W305" s="243">
        <f t="shared" si="2018"/>
        <v>8.3076923076923084</v>
      </c>
      <c r="X305" s="243">
        <f t="shared" ref="X305" si="2211">SUM(U305:W305)</f>
        <v>23.07692307692308</v>
      </c>
      <c r="Y305" s="252">
        <v>0</v>
      </c>
      <c r="Z305" s="324">
        <f t="shared" si="2020"/>
        <v>23.07692307692308</v>
      </c>
      <c r="AA305" s="304">
        <f>IF(X305&lt;=0,2,0)+IF(X305&gt;0,X305+1,0)*2+IF(X305&gt;12,X305-12,0)*2+IF(X305&gt;13,X305-13,0)*2+IF(X305&gt;14,X305-14,0)*2+IF(X305&gt;15,X305-15,0)*2+IF(X305&gt;16,X305-16,0)*2+IF(X305&gt;17,X305-17,0)*2+IF(X305&gt;18,X305-18,0)*2+IF(X305&gt;19,X305-19,0)*2+IF(X305&gt;20,X305-20,0)*2</f>
        <v>175.5384615384616</v>
      </c>
      <c r="AB305" s="335">
        <f>IF(Y305&lt;=0,2,0)+IF(Y305&gt;0,Y305+1,0)*2+IF(Y305&gt;12,Y305-12,0)*2+IF(Y305&gt;13,Y305-13,0)*2+IF(Y305&gt;14,Y305-14,0)*2+IF(Y305&gt;15,Y305-15,0)*2+IF(Y305&gt;16,Y305-16,0)*2+IF(Y305&gt;17,Y305-17,0)*2+IF(Y305&gt;18,Y305-18,0)*2+IF(Y305&gt;19,Y305-19,0)*2+IF(Y305&gt;20,Y305-20,0)*2</f>
        <v>2</v>
      </c>
      <c r="AC305" s="243">
        <f t="shared" si="2023"/>
        <v>173.5384615384616</v>
      </c>
      <c r="AD305" s="218">
        <f t="shared" si="2024"/>
        <v>0</v>
      </c>
      <c r="AE305" s="140"/>
      <c r="AF305" s="303" t="s">
        <v>454</v>
      </c>
      <c r="AG305" s="218" t="s">
        <v>180</v>
      </c>
      <c r="AH305" s="304" t="s">
        <v>132</v>
      </c>
      <c r="AI305" s="114"/>
      <c r="AJ305" s="113"/>
      <c r="AK305" s="113">
        <f t="shared" ref="AK305" si="2212">Konvention_1slave-INslave</f>
        <v>12</v>
      </c>
      <c r="AL305" s="113">
        <f>Konvention_1slave-CHslave</f>
        <v>12</v>
      </c>
      <c r="AM305" s="113"/>
      <c r="AN305" s="113"/>
      <c r="AO305" s="113"/>
      <c r="AP305" s="119"/>
      <c r="AQ305" s="223">
        <f>(AK305+AK305+AL305)/3</f>
        <v>12</v>
      </c>
      <c r="AR305" s="223">
        <f t="shared" si="2026"/>
        <v>24</v>
      </c>
      <c r="AS305" s="224">
        <f t="shared" si="2027"/>
        <v>36</v>
      </c>
      <c r="AT305" s="237">
        <f>AK305*POWER(CHslave,SIGN(AL305))*POWER(INslave,SIGN(AK305))+AK305*POWER(CHslave,SIGN(AL305))*POWER(INslave,SIGN(AK305))+AL305*POWER(INslave,SIGN(AK305))*POWER(INslave,SIGN(AK305))</f>
        <v>2304</v>
      </c>
      <c r="AU305" s="113">
        <f>AK305*AK305*CHslave+AK305*INslave*AL305+INslave*AK305*AL305</f>
        <v>3456</v>
      </c>
      <c r="AV305" s="224">
        <f>AK305*AK305*AL305</f>
        <v>1728</v>
      </c>
      <c r="AW305" s="224">
        <f t="shared" ref="AW305" si="2213">SUM(AT305:AV305)</f>
        <v>7488</v>
      </c>
      <c r="AX305" s="222">
        <f t="shared" si="2030"/>
        <v>3.6923076923076925</v>
      </c>
      <c r="AY305" s="223">
        <f t="shared" si="2031"/>
        <v>11.076923076923077</v>
      </c>
      <c r="AZ305" s="243">
        <f t="shared" si="2032"/>
        <v>8.3076923076923084</v>
      </c>
      <c r="BA305" s="243">
        <f t="shared" ref="BA305" si="2214">SUM(AX305:AZ305)</f>
        <v>23.07692307692308</v>
      </c>
      <c r="BB305" s="252">
        <f t="shared" si="2034"/>
        <v>0</v>
      </c>
      <c r="BC305" s="324">
        <f t="shared" si="2035"/>
        <v>23.07692307692308</v>
      </c>
      <c r="BD305" s="304">
        <f>IF(BA305&lt;=0,2,0)+IF(BA305&gt;0,BA305+1,0)*2+IF(BA305&gt;12,BA305-12,0)*2+IF(BA305&gt;13,BA305-13,0)*2+IF(BA305&gt;14,BA305-14,0)*2+IF(BA305&gt;15,BA305-15,0)*2+IF(BA305&gt;16,BA305-16,0)*2+IF(BA305&gt;17,BA305-17,0)*2+IF(BA305&gt;18,BA305-18,0)*2+IF(BA305&gt;19,BA305-19,0)*2+IF(BA305&gt;20,BA305-20,0)*2</f>
        <v>175.5384615384616</v>
      </c>
      <c r="BE305" s="335">
        <f>IF(BB305&lt;=0,2,0)+IF(BB305&gt;0,BB305+1,0)*2+IF(BB305&gt;12,BB305-12,0)*2+IF(BB305&gt;13,BB305-13,0)*2+IF(BB305&gt;14,BB305-14,0)*2+IF(BB305&gt;15,BB305-15,0)*2+IF(BB305&gt;16,BB305-16,0)*2+IF(BB305&gt;17,BB305-17,0)*2+IF(BB305&gt;18,BB305-18,0)*2+IF(BB305&gt;19,BB305-19,0)*2+IF(BB305&gt;20,BB305-20,0)*2</f>
        <v>2</v>
      </c>
      <c r="BF305" s="243">
        <f t="shared" si="2037"/>
        <v>173.5384615384616</v>
      </c>
      <c r="BG305" s="218">
        <f t="shared" si="2038"/>
        <v>0</v>
      </c>
      <c r="BH305" s="248"/>
      <c r="BI305" s="303" t="s">
        <v>454</v>
      </c>
      <c r="BJ305" s="218" t="s">
        <v>180</v>
      </c>
      <c r="BK305" s="304" t="s">
        <v>132</v>
      </c>
      <c r="BL305" s="114"/>
      <c r="BM305" s="113"/>
      <c r="BN305" s="113">
        <f t="shared" ref="BN305" si="2215">Konvention_1slave-INslave</f>
        <v>12</v>
      </c>
      <c r="BO305" s="113">
        <f>Konvention_1slave-CHslave</f>
        <v>12</v>
      </c>
      <c r="BP305" s="113"/>
      <c r="BQ305" s="113"/>
      <c r="BR305" s="113"/>
      <c r="BS305" s="119"/>
      <c r="BT305" s="223">
        <f>(BN305+BN305+BO305)/3</f>
        <v>12</v>
      </c>
      <c r="BU305" s="223">
        <f t="shared" si="2040"/>
        <v>24</v>
      </c>
      <c r="BV305" s="224">
        <f t="shared" si="2041"/>
        <v>36</v>
      </c>
      <c r="BW305" s="237">
        <f>BN305*POWER(CHslave,SIGN(BO305))*POWER(INslave,SIGN(BN305))+BN305*POWER(CHslave,SIGN(BO305))*POWER(INslave,SIGN(BN305))+BO305*POWER(INslave,SIGN(BN305))*POWER(INslave,SIGN(BN305))</f>
        <v>2304</v>
      </c>
      <c r="BX305" s="113">
        <f>BN305*BN305*CHslave+BN305*INslave*BO305+INslave*BN305*BO305</f>
        <v>3456</v>
      </c>
      <c r="BY305" s="224">
        <f>BN305*BN305*BO305</f>
        <v>1728</v>
      </c>
      <c r="BZ305" s="224">
        <f t="shared" ref="BZ305" si="2216">SUM(BW305:BY305)</f>
        <v>7488</v>
      </c>
      <c r="CA305" s="222">
        <f t="shared" si="2044"/>
        <v>3.6923076923076925</v>
      </c>
      <c r="CB305" s="223">
        <f t="shared" si="2045"/>
        <v>11.076923076923077</v>
      </c>
      <c r="CC305" s="243">
        <f t="shared" si="2046"/>
        <v>8.3076923076923084</v>
      </c>
      <c r="CD305" s="243">
        <f t="shared" ref="CD305" si="2217">SUM(CA305:CC305)</f>
        <v>23.07692307692308</v>
      </c>
      <c r="CE305" s="252">
        <f t="shared" si="1833"/>
        <v>0</v>
      </c>
      <c r="CF305" s="324">
        <f t="shared" si="2048"/>
        <v>23.07692307692308</v>
      </c>
      <c r="CG305" s="304">
        <f>IF(CD305&lt;=0,2,0)+IF(CD305&gt;0,CD305+1,0)*2+IF(CD305&gt;12,CD305-12,0)*2+IF(CD305&gt;13,CD305-13,0)*2+IF(CD305&gt;14,CD305-14,0)*2+IF(CD305&gt;15,CD305-15,0)*2+IF(CD305&gt;16,CD305-16,0)*2+IF(CD305&gt;17,CD305-17,0)*2+IF(CD305&gt;18,CD305-18,0)*2+IF(CD305&gt;19,CD305-19,0)*2+IF(CD305&gt;20,CD305-20,0)*2</f>
        <v>175.5384615384616</v>
      </c>
      <c r="CH305" s="335">
        <f>IF(CE305&lt;=0,2,0)+IF(CE305&gt;0,CE305+1,0)*2+IF(CE305&gt;12,CE305-12,0)*2+IF(CE305&gt;13,CE305-13,0)*2+IF(CE305&gt;14,CE305-14,0)*2+IF(CE305&gt;15,CE305-15,0)*2+IF(CE305&gt;16,CE305-16,0)*2+IF(CE305&gt;17,CE305-17,0)*2+IF(CE305&gt;18,CE305-18,0)*2+IF(CE305&gt;19,CE305-19,0)*2+IF(CE305&gt;20,CE305-20,0)*2</f>
        <v>2</v>
      </c>
      <c r="CI305" s="243">
        <f t="shared" si="2050"/>
        <v>173.5384615384616</v>
      </c>
      <c r="CJ305" s="218">
        <f t="shared" si="2051"/>
        <v>0</v>
      </c>
      <c r="CK305" s="248"/>
      <c r="CL305" s="303" t="s">
        <v>454</v>
      </c>
      <c r="CM305" s="218" t="s">
        <v>180</v>
      </c>
      <c r="CN305" s="304" t="s">
        <v>132</v>
      </c>
      <c r="CO305" s="114"/>
      <c r="CP305" s="113"/>
      <c r="CQ305" s="113">
        <f>Konvention_1slave-INslave_IN</f>
        <v>11</v>
      </c>
      <c r="CR305" s="113">
        <f>Konvention_1slave-CHslave</f>
        <v>12</v>
      </c>
      <c r="CS305" s="113"/>
      <c r="CT305" s="113"/>
      <c r="CU305" s="113"/>
      <c r="CV305" s="119"/>
      <c r="CW305" s="223">
        <f>(CQ305+CQ305+CR305)/3</f>
        <v>11.333333333333334</v>
      </c>
      <c r="CX305" s="223">
        <f t="shared" si="2053"/>
        <v>22.666666666666668</v>
      </c>
      <c r="CY305" s="224">
        <f t="shared" si="2054"/>
        <v>34</v>
      </c>
      <c r="CZ305" s="237">
        <f>CQ305*POWER(CHslave,SIGN(CR305))*POWER(INslave_IN,SIGN(CQ305))+CQ305*POWER(CHslave,SIGN(CR305))*POWER(INslave_IN,SIGN(CQ305))+CR305*POWER(INslave_IN,SIGN(CQ305))*POWER(INslave_IN,SIGN(CQ305))</f>
        <v>2556</v>
      </c>
      <c r="DA305" s="113">
        <f>CQ305*CQ305*CHslave+CQ305*INslave_IN*CR305+INslave_IN*CQ305*CR305</f>
        <v>3344</v>
      </c>
      <c r="DB305" s="224">
        <f>CQ305*CQ305*CR305</f>
        <v>1452</v>
      </c>
      <c r="DC305" s="224">
        <f t="shared" ref="DC305" si="2218">SUM(CZ305:DB305)</f>
        <v>7352</v>
      </c>
      <c r="DD305" s="222">
        <f t="shared" si="2057"/>
        <v>3.940152339499456</v>
      </c>
      <c r="DE305" s="223">
        <f t="shared" si="2058"/>
        <v>10.309756982227059</v>
      </c>
      <c r="DF305" s="243">
        <f t="shared" si="2059"/>
        <v>6.714907508161045</v>
      </c>
      <c r="DG305" s="243">
        <f t="shared" ref="DG305" si="2219">SUM(DD305:DF305)</f>
        <v>20.96481682988756</v>
      </c>
      <c r="DH305" s="252">
        <f t="shared" si="1848"/>
        <v>0</v>
      </c>
      <c r="DI305" s="324">
        <f t="shared" si="2061"/>
        <v>20.96481682988756</v>
      </c>
      <c r="DJ305" s="304">
        <f>IF(DG305&lt;=0,2,0)+IF(DG305&gt;0,DG305+1,0)*2+IF(DG305&gt;12,DG305-12,0)*2+IF(DG305&gt;13,DG305-13,0)*2+IF(DG305&gt;14,DG305-14,0)*2+IF(DG305&gt;15,DG305-15,0)*2+IF(DG305&gt;16,DG305-16,0)*2+IF(DG305&gt;17,DG305-17,0)*2+IF(DG305&gt;18,DG305-18,0)*2+IF(DG305&gt;19,DG305-19,0)*2+IF(DG305&gt;20,DG305-20,0)*2</f>
        <v>133.29633659775118</v>
      </c>
      <c r="DK305" s="335">
        <f>IF(DH305&lt;=0,2,0)+IF(DH305&gt;0,DH305+1,0)*2+IF(DH305&gt;12,DH305-12,0)*2+IF(DH305&gt;13,DH305-13,0)*2+IF(DH305&gt;14,DH305-14,0)*2+IF(DH305&gt;15,DH305-15,0)*2+IF(DH305&gt;16,DH305-16,0)*2+IF(DH305&gt;17,DH305-17,0)*2+IF(DH305&gt;18,DH305-18,0)*2+IF(DH305&gt;19,DH305-19,0)*2+IF(DH305&gt;20,DH305-20,0)*2</f>
        <v>2</v>
      </c>
      <c r="DL305" s="243">
        <f t="shared" si="2063"/>
        <v>131.29633659775118</v>
      </c>
      <c r="DM305" s="218">
        <f t="shared" si="2064"/>
        <v>0</v>
      </c>
      <c r="DN305" s="248"/>
      <c r="DO305" s="303" t="s">
        <v>454</v>
      </c>
      <c r="DP305" s="218" t="s">
        <v>180</v>
      </c>
      <c r="DQ305" s="304" t="s">
        <v>132</v>
      </c>
      <c r="DR305" s="114"/>
      <c r="DS305" s="113"/>
      <c r="DT305" s="113">
        <f t="shared" ref="DT305" si="2220">Konvention_1slave-INslave</f>
        <v>12</v>
      </c>
      <c r="DU305" s="113">
        <f>Konvention_1slave-CHslave_CH</f>
        <v>11</v>
      </c>
      <c r="DV305" s="113"/>
      <c r="DW305" s="113"/>
      <c r="DX305" s="113"/>
      <c r="DY305" s="119"/>
      <c r="DZ305" s="223">
        <f>(DT305+DT305+DU305)/3</f>
        <v>11.666666666666666</v>
      </c>
      <c r="EA305" s="223">
        <f t="shared" si="2066"/>
        <v>23.333333333333332</v>
      </c>
      <c r="EB305" s="224">
        <f t="shared" si="2067"/>
        <v>35</v>
      </c>
      <c r="EC305" s="237">
        <f>DT305*POWER(CHslave_CH,SIGN(DU305))*POWER(INslave,SIGN(DT305))+DT305*POWER(CHslave_CH,SIGN(DU305))*POWER(INslave,SIGN(DT305))+DU305*POWER(INslave,SIGN(DT305))*POWER(INslave,SIGN(DT305))</f>
        <v>2432</v>
      </c>
      <c r="ED305" s="113">
        <f>DT305*DT305*CHslave_CH+DT305*INslave*DU305+INslave*DT305*DU305</f>
        <v>3408</v>
      </c>
      <c r="EE305" s="224">
        <f>DT305*DT305*DU305</f>
        <v>1584</v>
      </c>
      <c r="EF305" s="224">
        <f t="shared" ref="EF305" si="2221">SUM(EC305:EE305)</f>
        <v>7424</v>
      </c>
      <c r="EG305" s="222">
        <f t="shared" si="2070"/>
        <v>3.8218390804597702</v>
      </c>
      <c r="EH305" s="223">
        <f t="shared" si="2071"/>
        <v>10.711206896551724</v>
      </c>
      <c r="EI305" s="243">
        <f t="shared" si="2072"/>
        <v>7.4676724137931032</v>
      </c>
      <c r="EJ305" s="243">
        <f t="shared" ref="EJ305" si="2222">SUM(EG305:EI305)</f>
        <v>22.000718390804597</v>
      </c>
      <c r="EK305" s="252">
        <f t="shared" si="1863"/>
        <v>0</v>
      </c>
      <c r="EL305" s="324">
        <f t="shared" si="2074"/>
        <v>22.000718390804597</v>
      </c>
      <c r="EM305" s="304">
        <f>IF(EJ305&lt;=0,2,0)+IF(EJ305&gt;0,EJ305+1,0)*2+IF(EJ305&gt;12,EJ305-12,0)*2+IF(EJ305&gt;13,EJ305-13,0)*2+IF(EJ305&gt;14,EJ305-14,0)*2+IF(EJ305&gt;15,EJ305-15,0)*2+IF(EJ305&gt;16,EJ305-16,0)*2+IF(EJ305&gt;17,EJ305-17,0)*2+IF(EJ305&gt;18,EJ305-18,0)*2+IF(EJ305&gt;19,EJ305-19,0)*2+IF(EJ305&gt;20,EJ305-20,0)*2</f>
        <v>154.01436781609189</v>
      </c>
      <c r="EN305" s="335">
        <f>IF(EK305&lt;=0,2,0)+IF(EK305&gt;0,EK305+1,0)*2+IF(EK305&gt;12,EK305-12,0)*2+IF(EK305&gt;13,EK305-13,0)*2+IF(EK305&gt;14,EK305-14,0)*2+IF(EK305&gt;15,EK305-15,0)*2+IF(EK305&gt;16,EK305-16,0)*2+IF(EK305&gt;17,EK305-17,0)*2+IF(EK305&gt;18,EK305-18,0)*2+IF(EK305&gt;19,EK305-19,0)*2+IF(EK305&gt;20,EK305-20,0)*2</f>
        <v>2</v>
      </c>
      <c r="EO305" s="243">
        <f t="shared" si="2076"/>
        <v>152.01436781609189</v>
      </c>
      <c r="EP305" s="218">
        <f t="shared" si="2077"/>
        <v>0</v>
      </c>
      <c r="EQ305" s="248"/>
      <c r="ER305" s="303" t="s">
        <v>454</v>
      </c>
      <c r="ES305" s="218" t="s">
        <v>180</v>
      </c>
      <c r="ET305" s="304" t="s">
        <v>132</v>
      </c>
      <c r="EU305" s="114"/>
      <c r="EV305" s="113"/>
      <c r="EW305" s="113">
        <f t="shared" ref="EW305" si="2223">Konvention_1slave-INslave</f>
        <v>12</v>
      </c>
      <c r="EX305" s="113">
        <f>Konvention_1slave-CHslave</f>
        <v>12</v>
      </c>
      <c r="EY305" s="113"/>
      <c r="EZ305" s="113"/>
      <c r="FA305" s="113"/>
      <c r="FB305" s="119"/>
      <c r="FC305" s="223">
        <f>(EW305+EW305+EX305)/3</f>
        <v>12</v>
      </c>
      <c r="FD305" s="223">
        <f t="shared" si="2079"/>
        <v>24</v>
      </c>
      <c r="FE305" s="224">
        <f t="shared" si="2080"/>
        <v>36</v>
      </c>
      <c r="FF305" s="237">
        <f>EW305*POWER(CHslave,SIGN(EX305))*POWER(INslave,SIGN(EW305))+EW305*POWER(CHslave,SIGN(EX305))*POWER(INslave,SIGN(EW305))+EX305*POWER(INslave,SIGN(EW305))*POWER(INslave,SIGN(EW305))</f>
        <v>2304</v>
      </c>
      <c r="FG305" s="113">
        <f>EW305*EW305*CHslave+EW305*INslave*EX305+INslave*EW305*EX305</f>
        <v>3456</v>
      </c>
      <c r="FH305" s="224">
        <f>EW305*EW305*EX305</f>
        <v>1728</v>
      </c>
      <c r="FI305" s="224">
        <f t="shared" ref="FI305" si="2224">SUM(FF305:FH305)</f>
        <v>7488</v>
      </c>
      <c r="FJ305" s="222">
        <f t="shared" si="2083"/>
        <v>3.6923076923076925</v>
      </c>
      <c r="FK305" s="223">
        <f t="shared" si="2084"/>
        <v>11.076923076923077</v>
      </c>
      <c r="FL305" s="243">
        <f t="shared" si="2085"/>
        <v>8.3076923076923084</v>
      </c>
      <c r="FM305" s="243">
        <f t="shared" ref="FM305" si="2225">SUM(FJ305:FL305)</f>
        <v>23.07692307692308</v>
      </c>
      <c r="FN305" s="252">
        <f t="shared" si="1878"/>
        <v>0</v>
      </c>
      <c r="FO305" s="324">
        <f t="shared" si="2087"/>
        <v>23.07692307692308</v>
      </c>
      <c r="FP305" s="304">
        <f>IF(FM305&lt;=0,2,0)+IF(FM305&gt;0,FM305+1,0)*2+IF(FM305&gt;12,FM305-12,0)*2+IF(FM305&gt;13,FM305-13,0)*2+IF(FM305&gt;14,FM305-14,0)*2+IF(FM305&gt;15,FM305-15,0)*2+IF(FM305&gt;16,FM305-16,0)*2+IF(FM305&gt;17,FM305-17,0)*2+IF(FM305&gt;18,FM305-18,0)*2+IF(FM305&gt;19,FM305-19,0)*2+IF(FM305&gt;20,FM305-20,0)*2</f>
        <v>175.5384615384616</v>
      </c>
      <c r="FQ305" s="335">
        <f>IF(FN305&lt;=0,2,0)+IF(FN305&gt;0,FN305+1,0)*2+IF(FN305&gt;12,FN305-12,0)*2+IF(FN305&gt;13,FN305-13,0)*2+IF(FN305&gt;14,FN305-14,0)*2+IF(FN305&gt;15,FN305-15,0)*2+IF(FN305&gt;16,FN305-16,0)*2+IF(FN305&gt;17,FN305-17,0)*2+IF(FN305&gt;18,FN305-18,0)*2+IF(FN305&gt;19,FN305-19,0)*2+IF(FN305&gt;20,FN305-20,0)*2</f>
        <v>2</v>
      </c>
      <c r="FR305" s="243">
        <f t="shared" si="2089"/>
        <v>173.5384615384616</v>
      </c>
      <c r="FS305" s="218">
        <f t="shared" si="2090"/>
        <v>0</v>
      </c>
      <c r="FT305" s="248"/>
      <c r="FU305" s="303" t="s">
        <v>454</v>
      </c>
      <c r="FV305" s="218" t="s">
        <v>180</v>
      </c>
      <c r="FW305" s="304" t="s">
        <v>132</v>
      </c>
      <c r="FX305" s="114"/>
      <c r="FY305" s="113"/>
      <c r="FZ305" s="113">
        <f t="shared" ref="FZ305" si="2226">Konvention_1slave-INslave</f>
        <v>12</v>
      </c>
      <c r="GA305" s="113">
        <f>Konvention_1slave-CHslave</f>
        <v>12</v>
      </c>
      <c r="GB305" s="113"/>
      <c r="GC305" s="113"/>
      <c r="GD305" s="113"/>
      <c r="GE305" s="119"/>
      <c r="GF305" s="223">
        <f>(FZ305+FZ305+GA305)/3</f>
        <v>12</v>
      </c>
      <c r="GG305" s="223">
        <f t="shared" si="2092"/>
        <v>24</v>
      </c>
      <c r="GH305" s="224">
        <f t="shared" si="2093"/>
        <v>36</v>
      </c>
      <c r="GI305" s="237">
        <f>FZ305*POWER(CHslave,SIGN(GA305))*POWER(INslave,SIGN(FZ305))+FZ305*POWER(CHslave,SIGN(GA305))*POWER(INslave,SIGN(FZ305))+GA305*POWER(INslave,SIGN(FZ305))*POWER(INslave,SIGN(FZ305))</f>
        <v>2304</v>
      </c>
      <c r="GJ305" s="113">
        <f>FZ305*FZ305*CHslave+FZ305*INslave*GA305+INslave*FZ305*GA305</f>
        <v>3456</v>
      </c>
      <c r="GK305" s="224">
        <f>FZ305*FZ305*GA305</f>
        <v>1728</v>
      </c>
      <c r="GL305" s="224">
        <f t="shared" ref="GL305" si="2227">SUM(GI305:GK305)</f>
        <v>7488</v>
      </c>
      <c r="GM305" s="222">
        <f t="shared" si="2096"/>
        <v>3.6923076923076925</v>
      </c>
      <c r="GN305" s="223">
        <f t="shared" si="2097"/>
        <v>11.076923076923077</v>
      </c>
      <c r="GO305" s="243">
        <f t="shared" si="2098"/>
        <v>8.3076923076923084</v>
      </c>
      <c r="GP305" s="243">
        <f t="shared" ref="GP305" si="2228">SUM(GM305:GO305)</f>
        <v>23.07692307692308</v>
      </c>
      <c r="GQ305" s="252">
        <f t="shared" si="1893"/>
        <v>0</v>
      </c>
      <c r="GR305" s="324">
        <f t="shared" si="2100"/>
        <v>23.07692307692308</v>
      </c>
      <c r="GS305" s="304">
        <f>IF(GP305&lt;=0,2,0)+IF(GP305&gt;0,GP305+1,0)*2+IF(GP305&gt;12,GP305-12,0)*2+IF(GP305&gt;13,GP305-13,0)*2+IF(GP305&gt;14,GP305-14,0)*2+IF(GP305&gt;15,GP305-15,0)*2+IF(GP305&gt;16,GP305-16,0)*2+IF(GP305&gt;17,GP305-17,0)*2+IF(GP305&gt;18,GP305-18,0)*2+IF(GP305&gt;19,GP305-19,0)*2+IF(GP305&gt;20,GP305-20,0)*2</f>
        <v>175.5384615384616</v>
      </c>
      <c r="GT305" s="335">
        <f>IF(GQ305&lt;=0,2,0)+IF(GQ305&gt;0,GQ305+1,0)*2+IF(GQ305&gt;12,GQ305-12,0)*2+IF(GQ305&gt;13,GQ305-13,0)*2+IF(GQ305&gt;14,GQ305-14,0)*2+IF(GQ305&gt;15,GQ305-15,0)*2+IF(GQ305&gt;16,GQ305-16,0)*2+IF(GQ305&gt;17,GQ305-17,0)*2+IF(GQ305&gt;18,GQ305-18,0)*2+IF(GQ305&gt;19,GQ305-19,0)*2+IF(GQ305&gt;20,GQ305-20,0)*2</f>
        <v>2</v>
      </c>
      <c r="GU305" s="243">
        <f t="shared" si="2102"/>
        <v>173.5384615384616</v>
      </c>
      <c r="GV305" s="218">
        <f t="shared" si="2103"/>
        <v>0</v>
      </c>
      <c r="GW305" s="248"/>
      <c r="GX305" s="303" t="s">
        <v>454</v>
      </c>
      <c r="GY305" s="218" t="s">
        <v>180</v>
      </c>
      <c r="GZ305" s="304" t="s">
        <v>132</v>
      </c>
      <c r="HA305" s="114"/>
      <c r="HB305" s="113"/>
      <c r="HC305" s="113">
        <f t="shared" ref="HC305" si="2229">Konvention_1slave-INslave</f>
        <v>12</v>
      </c>
      <c r="HD305" s="113">
        <f>Konvention_1slave-CHslave</f>
        <v>12</v>
      </c>
      <c r="HE305" s="113"/>
      <c r="HF305" s="113"/>
      <c r="HG305" s="113"/>
      <c r="HH305" s="119"/>
      <c r="HI305" s="223">
        <f>(HC305+HC305+HD305)/3</f>
        <v>12</v>
      </c>
      <c r="HJ305" s="223">
        <f t="shared" si="2105"/>
        <v>24</v>
      </c>
      <c r="HK305" s="224">
        <f t="shared" si="2106"/>
        <v>36</v>
      </c>
      <c r="HL305" s="237">
        <f>HC305*POWER(CHslave,SIGN(HD305))*POWER(INslave,SIGN(HC305))+HC305*POWER(CHslave,SIGN(HD305))*POWER(INslave,SIGN(HC305))+HD305*POWER(INslave,SIGN(HC305))*POWER(INslave,SIGN(HC305))</f>
        <v>2304</v>
      </c>
      <c r="HM305" s="113">
        <f>HC305*HC305*CHslave+HC305*INslave*HD305+INslave*HC305*HD305</f>
        <v>3456</v>
      </c>
      <c r="HN305" s="224">
        <f>HC305*HC305*HD305</f>
        <v>1728</v>
      </c>
      <c r="HO305" s="224">
        <f t="shared" ref="HO305" si="2230">SUM(HL305:HN305)</f>
        <v>7488</v>
      </c>
      <c r="HP305" s="222">
        <f t="shared" si="2109"/>
        <v>3.6923076923076925</v>
      </c>
      <c r="HQ305" s="223">
        <f t="shared" si="2110"/>
        <v>11.076923076923077</v>
      </c>
      <c r="HR305" s="243">
        <f t="shared" si="2111"/>
        <v>8.3076923076923084</v>
      </c>
      <c r="HS305" s="243">
        <f t="shared" ref="HS305" si="2231">SUM(HP305:HR305)</f>
        <v>23.07692307692308</v>
      </c>
      <c r="HT305" s="252">
        <f t="shared" si="1908"/>
        <v>0</v>
      </c>
      <c r="HU305" s="324">
        <f t="shared" si="2113"/>
        <v>23.07692307692308</v>
      </c>
      <c r="HV305" s="304">
        <f>IF(HS305&lt;=0,2,0)+IF(HS305&gt;0,HS305+1,0)*2+IF(HS305&gt;12,HS305-12,0)*2+IF(HS305&gt;13,HS305-13,0)*2+IF(HS305&gt;14,HS305-14,0)*2+IF(HS305&gt;15,HS305-15,0)*2+IF(HS305&gt;16,HS305-16,0)*2+IF(HS305&gt;17,HS305-17,0)*2+IF(HS305&gt;18,HS305-18,0)*2+IF(HS305&gt;19,HS305-19,0)*2+IF(HS305&gt;20,HS305-20,0)*2</f>
        <v>175.5384615384616</v>
      </c>
      <c r="HW305" s="335">
        <f>IF(HT305&lt;=0,2,0)+IF(HT305&gt;0,HT305+1,0)*2+IF(HT305&gt;12,HT305-12,0)*2+IF(HT305&gt;13,HT305-13,0)*2+IF(HT305&gt;14,HT305-14,0)*2+IF(HT305&gt;15,HT305-15,0)*2+IF(HT305&gt;16,HT305-16,0)*2+IF(HT305&gt;17,HT305-17,0)*2+IF(HT305&gt;18,HT305-18,0)*2+IF(HT305&gt;19,HT305-19,0)*2+IF(HT305&gt;20,HT305-20,0)*2</f>
        <v>2</v>
      </c>
      <c r="HX305" s="243">
        <f t="shared" si="2115"/>
        <v>173.5384615384616</v>
      </c>
      <c r="HY305" s="218">
        <f t="shared" si="2116"/>
        <v>0</v>
      </c>
      <c r="HZ305" s="248"/>
      <c r="IA305" s="303" t="s">
        <v>454</v>
      </c>
      <c r="IB305" s="218" t="s">
        <v>180</v>
      </c>
      <c r="IC305" s="304" t="s">
        <v>132</v>
      </c>
      <c r="ID305" s="114"/>
      <c r="IE305" s="113"/>
      <c r="IF305" s="113">
        <f t="shared" ref="IF305" si="2232">Konvention_1slave-INslave</f>
        <v>12</v>
      </c>
      <c r="IG305" s="113">
        <f>Konvention_1slave-CHslave</f>
        <v>12</v>
      </c>
      <c r="IH305" s="113"/>
      <c r="II305" s="113"/>
      <c r="IJ305" s="113"/>
      <c r="IK305" s="119"/>
      <c r="IL305" s="223">
        <f>(IF305+IF305+IG305)/3</f>
        <v>12</v>
      </c>
      <c r="IM305" s="223">
        <f t="shared" si="2118"/>
        <v>24</v>
      </c>
      <c r="IN305" s="224">
        <f t="shared" si="2119"/>
        <v>36</v>
      </c>
      <c r="IO305" s="237">
        <f>IF305*POWER(CHslave,SIGN(IG305))*POWER(INslave,SIGN(IF305))+IF305*POWER(CHslave,SIGN(IG305))*POWER(INslave,SIGN(IF305))+IG305*POWER(INslave,SIGN(IF305))*POWER(INslave,SIGN(IF305))</f>
        <v>2304</v>
      </c>
      <c r="IP305" s="113">
        <f>IF305*IF305*CHslave+IF305*INslave*IG305+INslave*IF305*IG305</f>
        <v>3456</v>
      </c>
      <c r="IQ305" s="224">
        <f>IF305*IF305*IG305</f>
        <v>1728</v>
      </c>
      <c r="IR305" s="224">
        <f t="shared" ref="IR305" si="2233">SUM(IO305:IQ305)</f>
        <v>7488</v>
      </c>
      <c r="IS305" s="222">
        <f t="shared" si="2122"/>
        <v>3.6923076923076925</v>
      </c>
      <c r="IT305" s="223">
        <f t="shared" si="2123"/>
        <v>11.076923076923077</v>
      </c>
      <c r="IU305" s="243">
        <f t="shared" si="2124"/>
        <v>8.3076923076923084</v>
      </c>
      <c r="IV305" s="243">
        <f t="shared" ref="IV305" si="2234">SUM(IS305:IU305)</f>
        <v>23.07692307692308</v>
      </c>
      <c r="IW305" s="252">
        <f t="shared" si="1923"/>
        <v>0</v>
      </c>
      <c r="IX305" s="324">
        <f t="shared" si="2126"/>
        <v>23.07692307692308</v>
      </c>
      <c r="IY305" s="304">
        <f>IF(IV305&lt;=0,2,0)+IF(IV305&gt;0,IV305+1,0)*2+IF(IV305&gt;12,IV305-12,0)*2+IF(IV305&gt;13,IV305-13,0)*2+IF(IV305&gt;14,IV305-14,0)*2+IF(IV305&gt;15,IV305-15,0)*2+IF(IV305&gt;16,IV305-16,0)*2+IF(IV305&gt;17,IV305-17,0)*2+IF(IV305&gt;18,IV305-18,0)*2+IF(IV305&gt;19,IV305-19,0)*2+IF(IV305&gt;20,IV305-20,0)*2</f>
        <v>175.5384615384616</v>
      </c>
      <c r="IZ305" s="335">
        <f>IF(IW305&lt;=0,2,0)+IF(IW305&gt;0,IW305+1,0)*2+IF(IW305&gt;12,IW305-12,0)*2+IF(IW305&gt;13,IW305-13,0)*2+IF(IW305&gt;14,IW305-14,0)*2+IF(IW305&gt;15,IW305-15,0)*2+IF(IW305&gt;16,IW305-16,0)*2+IF(IW305&gt;17,IW305-17,0)*2+IF(IW305&gt;18,IW305-18,0)*2+IF(IW305&gt;19,IW305-19,0)*2+IF(IW305&gt;20,IW305-20,0)*2</f>
        <v>2</v>
      </c>
      <c r="JA305" s="243">
        <f t="shared" si="2128"/>
        <v>173.5384615384616</v>
      </c>
      <c r="JB305" s="218">
        <f t="shared" si="2129"/>
        <v>0</v>
      </c>
      <c r="JE305" s="148"/>
    </row>
    <row r="306" spans="1:265" hidden="1" outlineLevel="2">
      <c r="A306" s="185"/>
      <c r="B306" s="217">
        <v>9</v>
      </c>
      <c r="C306" s="303" t="e">
        <f>VLOOKUP(AF306,Attribute!C:T,1,FALSE)</f>
        <v>#N/A</v>
      </c>
      <c r="D306" s="218" t="s">
        <v>8</v>
      </c>
      <c r="E306" s="304" t="s">
        <v>132</v>
      </c>
      <c r="F306" s="114">
        <f>Konvention_1master-MUmaster</f>
        <v>12</v>
      </c>
      <c r="G306" s="113"/>
      <c r="H306" s="113">
        <f>Konvention_1master-INmaster</f>
        <v>12</v>
      </c>
      <c r="I306" s="113"/>
      <c r="J306" s="113"/>
      <c r="K306" s="113">
        <f>Konvention_1master-GEmaster</f>
        <v>12</v>
      </c>
      <c r="L306" s="113"/>
      <c r="M306" s="119"/>
      <c r="N306" s="223">
        <f>(F306+G306+H306+I306+J306+K306+L306+M306)/3</f>
        <v>12</v>
      </c>
      <c r="O306" s="223">
        <f>2*N306</f>
        <v>24</v>
      </c>
      <c r="P306" s="224">
        <f>3*N306</f>
        <v>36</v>
      </c>
      <c r="Q306" s="237">
        <f>F306*POWER(KLmaster,SIGN(G306))*POWER(INmaster,SIGN(H306))*POWER(CHmaster,SIGN(I306))*POWER(FFmaster,SIGN(J306))*POWER(GEmaster,SIGN(K306))*POWER(KOmaster,SIGN(L306))*POWER(KKmaster,SIGN(M306))+G306*POWER(MUmaster,SIGN(F306))*POWER(INmaster,SIGN(H306))*POWER(CHmaster,SIGN(I306))*POWER(FFmaster,SIGN(J306))*POWER(GEmaster,SIGN(K306))*POWER(KOmaster,SIGN(L306))*POWER(KKmaster,SIGN(M306))+H306*POWER(MUmaster,SIGN(F306))*POWER(KLmaster,SIGN(G306))*POWER(CHmaster,SIGN(I306))*POWER(FFmaster,SIGN(J306))*POWER(GEmaster,SIGN(K306))*POWER(KOmaster,SIGN(L306))*POWER(KKmaster,SIGN(M306))+I306*POWER(MUmaster,SIGN(F306))*POWER(KLmaster,SIGN(G306))*POWER(INmaster,SIGN(H306))*POWER(FFmaster,SIGN(J306))*POWER(GEmaster,SIGN(K306))*POWER(KOmaster,SIGN(L306))*POWER(KKmaster,SIGN(M306))+J306*POWER(MUmaster,SIGN(F306))*POWER(KLmaster,SIGN(G306))*POWER(INmaster,SIGN(H306))*POWER(CHmaster,SIGN(I306))*POWER(GEmaster,SIGN(K306))*POWER(KOmaster,SIGN(L306))*POWER(KKmaster,SIGN(M306))+K306*POWER(MUmaster,SIGN(F306))*POWER(KLmaster,SIGN(G306))*POWER(INmaster,SIGN(H306))*POWER(CHmaster,SIGN(I306))*POWER(FFmaster,SIGN(J306))*POWER(KOmaster,SIGN(L306))*POWER(KKmaster,SIGN(M306))+L306*POWER(MUmaster,SIGN(F306))*POWER(KLmaster,SIGN(G306))*POWER(INmaster,SIGN(H306))*POWER(CHmaster,SIGN(I306))*POWER(FFmaster,SIGN(J306))*POWER(GEmaster,SIGN(K306))*POWER(KKmaster,SIGN(M306))+M306*POWER(MUmaster,SIGN(F306))*POWER(KLmaster,SIGN(G306))*POWER(INmaster,SIGN(H306))*POWER(CHmaster,SIGN(I306))*POWER(FFmaster,SIGN(J306))*POWER(GEmaster,SIGN(K306))*POWER(KOmaster,SIGN(L306))</f>
        <v>2304</v>
      </c>
      <c r="R306" s="113">
        <f>F306*H306*GEmaster+F306*INmaster*K306+MUmaster*H306*K306</f>
        <v>3456</v>
      </c>
      <c r="S306" s="224">
        <f>IFERROR(F306^SIGN(F306),1)*IFERROR(G306^SIGN(G306),1)*IFERROR(H306^SIGN(H306),1)*IFERROR(I306^SIGN(I306),1)*IFERROR(J306^SIGN(J306),1)*IFERROR(K306^SIGN(K306),1)*IFERROR(L306^SIGN(L306),1)*IFERROR(M306^SIGN(M306),1)</f>
        <v>1728</v>
      </c>
      <c r="T306" s="224">
        <f>SUM(Q306:S306)</f>
        <v>7488</v>
      </c>
      <c r="U306" s="222">
        <f>N306*Q306/T306</f>
        <v>3.6923076923076925</v>
      </c>
      <c r="V306" s="223">
        <f>O306*R306/T306</f>
        <v>11.076923076923077</v>
      </c>
      <c r="W306" s="243">
        <f>P306*S306/T306</f>
        <v>8.3076923076923084</v>
      </c>
      <c r="X306" s="243">
        <f>SUM(U306:W306)</f>
        <v>23.07692307692308</v>
      </c>
      <c r="Y306" s="252">
        <v>0</v>
      </c>
      <c r="Z306" s="324">
        <f>X306-Y306</f>
        <v>23.07692307692308</v>
      </c>
      <c r="AA306" s="304">
        <f>IF(X306&lt;=0,2,0)+IF(X306&gt;0,X306+1,0)*2+IF(X306&gt;12,X306-12,0)*2+IF(X306&gt;13,X306-13,0)*2+IF(X306&gt;14,X306-14,0)*2+IF(X306&gt;15,X306-15,0)*2+IF(X306&gt;16,X306-16,0)*2+IF(X306&gt;17,X306-17,0)*2+IF(X306&gt;18,X306-18,0)*2+IF(X306&gt;19,X306-19,0)*2+IF(X306&gt;20,X306-20,0)*2</f>
        <v>175.5384615384616</v>
      </c>
      <c r="AB306" s="335">
        <f>IF(Y306&lt;=0,2,0)+IF(Y306&gt;0,Y306+1,0)*2+IF(Y306&gt;12,Y306-12,0)*2+IF(Y306&gt;13,Y306-13,0)*2+IF(Y306&gt;14,Y306-14,0)*2+IF(Y306&gt;15,Y306-15,0)*2+IF(Y306&gt;16,Y306-16,0)*2+IF(Y306&gt;17,Y306-17,0)*2+IF(Y306&gt;18,Y306-18,0)*2+IF(Y306&gt;19,Y306-19,0)*2+IF(Y306&gt;20,Y306-20,0)*2</f>
        <v>2</v>
      </c>
      <c r="AC306" s="243">
        <f t="shared" si="2023"/>
        <v>173.5384615384616</v>
      </c>
      <c r="AD306" s="218">
        <f>IF((AB306-AA306)&gt;0,AB306-AA306,0)</f>
        <v>0</v>
      </c>
      <c r="AE306" s="140"/>
      <c r="AF306" s="303" t="s">
        <v>455</v>
      </c>
      <c r="AG306" s="218" t="s">
        <v>8</v>
      </c>
      <c r="AH306" s="304" t="s">
        <v>132</v>
      </c>
      <c r="AI306" s="114">
        <f t="shared" ref="AI306" si="2235">Konvention_1slave-MUslave_MU</f>
        <v>11</v>
      </c>
      <c r="AJ306" s="113"/>
      <c r="AK306" s="113">
        <f>Konvention_1slave-INslave</f>
        <v>12</v>
      </c>
      <c r="AL306" s="113"/>
      <c r="AM306" s="113"/>
      <c r="AN306" s="113">
        <f>Konvention_1slave-GEslave</f>
        <v>12</v>
      </c>
      <c r="AO306" s="113"/>
      <c r="AP306" s="119"/>
      <c r="AQ306" s="223">
        <f>(AI306+AJ306+AK306+AL306+AM306+AN306+AO306+AP306)/3</f>
        <v>11.666666666666666</v>
      </c>
      <c r="AR306" s="223">
        <f>2*AQ306</f>
        <v>23.333333333333332</v>
      </c>
      <c r="AS306" s="224">
        <f>3*AQ306</f>
        <v>35</v>
      </c>
      <c r="AT306" s="237">
        <f t="shared" ref="AT299:AT321" si="2236">AI306*POWER(KLslave,SIGN(AJ306))*POWER(INslave,SIGN(AK306))*POWER(CHslave,SIGN(AL306))*POWER(FFslave,SIGN(AM306))*POWER(GEslave,SIGN(AN306))*POWER(KOslave,SIGN(AO306))*POWER(KKslave,SIGN(AP306))+AJ306*POWER(MUslave_MU,SIGN(AI306))*POWER(INslave,SIGN(AK306))*POWER(CHslave,SIGN(AL306))*POWER(FFslave,SIGN(AM306))*POWER(GEslave,SIGN(AN306))*POWER(KOslave,SIGN(AO306))*POWER(KKslave,SIGN(AP306))+AK306*POWER(MUslave_MU,SIGN(AI306))*POWER(KLslave,SIGN(AJ306))*POWER(CHslave,SIGN(AL306))*POWER(FFslave,SIGN(AM306))*POWER(GEslave,SIGN(AN306))*POWER(KOslave,SIGN(AO306))*POWER(KKslave,SIGN(AP306))+AL306*POWER(MUslave_MU,SIGN(AI306))*POWER(KLslave,SIGN(AJ306))*POWER(INslave,SIGN(AK306))*POWER(FFslave,SIGN(AM306))*POWER(GEslave,SIGN(AN306))*POWER(KOslave,SIGN(AO306))*POWER(KKslave,SIGN(AP306))+AM306*POWER(MUslave_MU,SIGN(AI306))*POWER(KLslave,SIGN(AJ306))*POWER(INslave,SIGN(AK306))*POWER(CHslave,SIGN(AL306))*POWER(GEslave,SIGN(AN306))*POWER(KOslave,SIGN(AO306))*POWER(KKslave,SIGN(AP306))+AN306*POWER(MUslave_MU,SIGN(AI306))*POWER(KLslave,SIGN(AJ306))*POWER(INslave,SIGN(AK306))*POWER(CHslave,SIGN(AL306))*POWER(FFslave,SIGN(AM306))*POWER(KOslave,SIGN(AO306))*POWER(KKslave,SIGN(AP306))+AO306*POWER(MUslave_MU,SIGN(AI306))*POWER(KLslave,SIGN(AJ306))*POWER(INslave,SIGN(AK306))*POWER(CHslave,SIGN(AL306))*POWER(FFslave,SIGN(AM306))*POWER(GEslave,SIGN(AN306))*POWER(KKslave,SIGN(AP306))+AP306*POWER(MUslave_MU,SIGN(AI306))*POWER(KLslave,SIGN(AJ306))*POWER(INslave,SIGN(AK306))*POWER(CHslave,SIGN(AL306))*POWER(FFslave,SIGN(AM306))*POWER(GEslave,SIGN(AN306))*POWER(KOslave,SIGN(AO306))</f>
        <v>2432</v>
      </c>
      <c r="AU306" s="113">
        <f>AI306*AK306*GEslave+AI306*INslave*AN306+MUslave_MU*AK306*AN306</f>
        <v>3408</v>
      </c>
      <c r="AV306" s="224">
        <f>IFERROR(AI306^SIGN(AI306),1)*IFERROR(AJ306^SIGN(AJ306),1)*IFERROR(AK306^SIGN(AK306),1)*IFERROR(AL306^SIGN(AL306),1)*IFERROR(AM306^SIGN(AM306),1)*IFERROR(AN306^SIGN(AN306),1)*IFERROR(AO306^SIGN(AO306),1)*IFERROR(AP306^SIGN(AP306),1)</f>
        <v>1584</v>
      </c>
      <c r="AW306" s="224">
        <f>SUM(AT306:AV306)</f>
        <v>7424</v>
      </c>
      <c r="AX306" s="222">
        <f>AQ306*AT306/AW306</f>
        <v>3.8218390804597702</v>
      </c>
      <c r="AY306" s="223">
        <f>AR306*AU306/AW306</f>
        <v>10.711206896551724</v>
      </c>
      <c r="AZ306" s="243">
        <f>AS306*AV306/AW306</f>
        <v>7.4676724137931032</v>
      </c>
      <c r="BA306" s="243">
        <f>SUM(AX306:AZ306)</f>
        <v>22.000718390804597</v>
      </c>
      <c r="BB306" s="252">
        <f t="shared" si="2034"/>
        <v>0</v>
      </c>
      <c r="BC306" s="324">
        <f>BA306-BB306</f>
        <v>22.000718390804597</v>
      </c>
      <c r="BD306" s="304">
        <f>IF(BA306&lt;=0,2,0)+IF(BA306&gt;0,BA306+1,0)*2+IF(BA306&gt;12,BA306-12,0)*2+IF(BA306&gt;13,BA306-13,0)*2+IF(BA306&gt;14,BA306-14,0)*2+IF(BA306&gt;15,BA306-15,0)*2+IF(BA306&gt;16,BA306-16,0)*2+IF(BA306&gt;17,BA306-17,0)*2+IF(BA306&gt;18,BA306-18,0)*2+IF(BA306&gt;19,BA306-19,0)*2+IF(BA306&gt;20,BA306-20,0)*2</f>
        <v>154.01436781609189</v>
      </c>
      <c r="BE306" s="335">
        <f>IF(BB306&lt;=0,2,0)+IF(BB306&gt;0,BB306+1,0)*2+IF(BB306&gt;12,BB306-12,0)*2+IF(BB306&gt;13,BB306-13,0)*2+IF(BB306&gt;14,BB306-14,0)*2+IF(BB306&gt;15,BB306-15,0)*2+IF(BB306&gt;16,BB306-16,0)*2+IF(BB306&gt;17,BB306-17,0)*2+IF(BB306&gt;18,BB306-18,0)*2+IF(BB306&gt;19,BB306-19,0)*2+IF(BB306&gt;20,BB306-20,0)*2</f>
        <v>2</v>
      </c>
      <c r="BF306" s="243">
        <f t="shared" si="2037"/>
        <v>152.01436781609189</v>
      </c>
      <c r="BG306" s="218">
        <f>IF((BE306-BD306)&gt;0,BE306-BD306,0)</f>
        <v>0</v>
      </c>
      <c r="BH306" s="248"/>
      <c r="BI306" s="303" t="s">
        <v>455</v>
      </c>
      <c r="BJ306" s="218" t="s">
        <v>8</v>
      </c>
      <c r="BK306" s="304" t="s">
        <v>132</v>
      </c>
      <c r="BL306" s="114">
        <f t="shared" ref="BL306" si="2237">Konvention_1slave-MUslave</f>
        <v>12</v>
      </c>
      <c r="BM306" s="113"/>
      <c r="BN306" s="113">
        <f>Konvention_1slave-INslave</f>
        <v>12</v>
      </c>
      <c r="BO306" s="113"/>
      <c r="BP306" s="113"/>
      <c r="BQ306" s="113">
        <f>Konvention_1slave-GEslave</f>
        <v>12</v>
      </c>
      <c r="BR306" s="113"/>
      <c r="BS306" s="119"/>
      <c r="BT306" s="223">
        <f>(BL306+BM306+BN306+BO306+BP306+BQ306+BR306+BS306)/3</f>
        <v>12</v>
      </c>
      <c r="BU306" s="223">
        <f>2*BT306</f>
        <v>24</v>
      </c>
      <c r="BV306" s="224">
        <f>3*BT306</f>
        <v>36</v>
      </c>
      <c r="BW306" s="237">
        <f t="shared" ref="BW299:BW321" si="2238">BL306*POWER(KLslave_KL,SIGN(BM306))*POWER(INslave,SIGN(BN306))*POWER(CHslave,SIGN(BO306))*POWER(FFslave,SIGN(BP306))*POWER(GEslave,SIGN(BQ306))*POWER(KOslave,SIGN(BR306))*POWER(KKslave,SIGN(BS306))+BM306*POWER(MUslave,SIGN(BL306))*POWER(INslave,SIGN(BN306))*POWER(CHslave,SIGN(BO306))*POWER(FFslave,SIGN(BP306))*POWER(GEslave,SIGN(BQ306))*POWER(KOslave,SIGN(BR306))*POWER(KKslave,SIGN(BS306))+BN306*POWER(MUslave,SIGN(BL306))*POWER(KLslave_KL,SIGN(BM306))*POWER(CHslave,SIGN(BO306))*POWER(FFslave,SIGN(BP306))*POWER(GEslave,SIGN(BQ306))*POWER(KOslave,SIGN(BR306))*POWER(KKslave,SIGN(BS306))+BO306*POWER(MUslave,SIGN(BL306))*POWER(KLslave_KL,SIGN(BM306))*POWER(INslave,SIGN(BN306))*POWER(FFslave,SIGN(BP306))*POWER(GEslave,SIGN(BQ306))*POWER(KOslave,SIGN(BR306))*POWER(KKslave,SIGN(BS306))+BP306*POWER(MUslave,SIGN(BL306))*POWER(KLslave_KL,SIGN(BM306))*POWER(INslave,SIGN(BN306))*POWER(CHslave,SIGN(BO306))*POWER(GEslave,SIGN(BQ306))*POWER(KOslave,SIGN(BR306))*POWER(KKslave,SIGN(BS306))+BQ306*POWER(MUslave,SIGN(BL306))*POWER(KLslave_KL,SIGN(BM306))*POWER(INslave,SIGN(BN306))*POWER(CHslave,SIGN(BO306))*POWER(FFslave,SIGN(BP306))*POWER(KOslave,SIGN(BR306))*POWER(KKslave,SIGN(BS306))+BR306*POWER(MUslave,SIGN(BL306))*POWER(KLslave_KL,SIGN(BM306))*POWER(INslave,SIGN(BN306))*POWER(CHslave,SIGN(BO306))*POWER(FFslave,SIGN(BP306))*POWER(GEslave,SIGN(BQ306))*POWER(KKslave,SIGN(BS306))+BS306*POWER(MUslave,SIGN(BL306))*POWER(KLslave_KL,SIGN(BM306))*POWER(INslave,SIGN(BN306))*POWER(CHslave,SIGN(BO306))*POWER(FFslave,SIGN(BP306))*POWER(GEslave,SIGN(BQ306))*POWER(KOslave,SIGN(BR306))</f>
        <v>2304</v>
      </c>
      <c r="BX306" s="113">
        <f>BL306*BN306*GEslave+BL306*INslave*BQ306+MUslave*BN306*BQ306</f>
        <v>3456</v>
      </c>
      <c r="BY306" s="224">
        <f>IFERROR(BL306^SIGN(BL306),1)*IFERROR(BM306^SIGN(BM306),1)*IFERROR(BN306^SIGN(BN306),1)*IFERROR(BO306^SIGN(BO306),1)*IFERROR(BP306^SIGN(BP306),1)*IFERROR(BQ306^SIGN(BQ306),1)*IFERROR(BR306^SIGN(BR306),1)*IFERROR(BS306^SIGN(BS306),1)</f>
        <v>1728</v>
      </c>
      <c r="BZ306" s="224">
        <f>SUM(BW306:BY306)</f>
        <v>7488</v>
      </c>
      <c r="CA306" s="222">
        <f>BT306*BW306/BZ306</f>
        <v>3.6923076923076925</v>
      </c>
      <c r="CB306" s="223">
        <f>BU306*BX306/BZ306</f>
        <v>11.076923076923077</v>
      </c>
      <c r="CC306" s="243">
        <f>BV306*BY306/BZ306</f>
        <v>8.3076923076923084</v>
      </c>
      <c r="CD306" s="243">
        <f>SUM(CA306:CC306)</f>
        <v>23.07692307692308</v>
      </c>
      <c r="CE306" s="252">
        <f t="shared" si="1833"/>
        <v>0</v>
      </c>
      <c r="CF306" s="324">
        <f>CD306-CE306</f>
        <v>23.07692307692308</v>
      </c>
      <c r="CG306" s="304">
        <f>IF(CD306&lt;=0,2,0)+IF(CD306&gt;0,CD306+1,0)*2+IF(CD306&gt;12,CD306-12,0)*2+IF(CD306&gt;13,CD306-13,0)*2+IF(CD306&gt;14,CD306-14,0)*2+IF(CD306&gt;15,CD306-15,0)*2+IF(CD306&gt;16,CD306-16,0)*2+IF(CD306&gt;17,CD306-17,0)*2+IF(CD306&gt;18,CD306-18,0)*2+IF(CD306&gt;19,CD306-19,0)*2+IF(CD306&gt;20,CD306-20,0)*2</f>
        <v>175.5384615384616</v>
      </c>
      <c r="CH306" s="335">
        <f>IF(CE306&lt;=0,2,0)+IF(CE306&gt;0,CE306+1,0)*2+IF(CE306&gt;12,CE306-12,0)*2+IF(CE306&gt;13,CE306-13,0)*2+IF(CE306&gt;14,CE306-14,0)*2+IF(CE306&gt;15,CE306-15,0)*2+IF(CE306&gt;16,CE306-16,0)*2+IF(CE306&gt;17,CE306-17,0)*2+IF(CE306&gt;18,CE306-18,0)*2+IF(CE306&gt;19,CE306-19,0)*2+IF(CE306&gt;20,CE306-20,0)*2</f>
        <v>2</v>
      </c>
      <c r="CI306" s="243">
        <f t="shared" si="2050"/>
        <v>173.5384615384616</v>
      </c>
      <c r="CJ306" s="218">
        <f>IF((CH306-CG306)&gt;0,CH306-CG306,0)</f>
        <v>0</v>
      </c>
      <c r="CK306" s="248"/>
      <c r="CL306" s="303" t="s">
        <v>455</v>
      </c>
      <c r="CM306" s="218" t="s">
        <v>8</v>
      </c>
      <c r="CN306" s="304" t="s">
        <v>132</v>
      </c>
      <c r="CO306" s="114">
        <f t="shared" ref="CO306" si="2239">Konvention_1slave-MUslave</f>
        <v>12</v>
      </c>
      <c r="CP306" s="113"/>
      <c r="CQ306" s="113">
        <f>Konvention_1slave-INslave_IN</f>
        <v>11</v>
      </c>
      <c r="CR306" s="113"/>
      <c r="CS306" s="113"/>
      <c r="CT306" s="113">
        <f>Konvention_1slave-GEslave</f>
        <v>12</v>
      </c>
      <c r="CU306" s="113"/>
      <c r="CV306" s="119"/>
      <c r="CW306" s="223">
        <f>(CO306+CP306+CQ306+CR306+CS306+CT306+CU306+CV306)/3</f>
        <v>11.666666666666666</v>
      </c>
      <c r="CX306" s="223">
        <f>2*CW306</f>
        <v>23.333333333333332</v>
      </c>
      <c r="CY306" s="224">
        <f>3*CW306</f>
        <v>35</v>
      </c>
      <c r="CZ306" s="237">
        <f t="shared" ref="CZ299:CZ321" si="2240">CO306*POWER(KLslave,SIGN(CP306))*POWER(INslave_IN,SIGN(CQ306))*POWER(CHslave,SIGN(CR306))*POWER(FFslave,SIGN(CS306))*POWER(GEslave,SIGN(CT306))*POWER(KOslave,SIGN(CU306))*POWER(KKslave,SIGN(CV306))+CP306*POWER(MUslave,SIGN(CO306))*POWER(INslave_IN,SIGN(CQ306))*POWER(CHslave,SIGN(CR306))*POWER(FFslave,SIGN(CS306))*POWER(GEslave,SIGN(CT306))*POWER(KOslave,SIGN(CU306))*POWER(KKslave,SIGN(CV306))+CQ306*POWER(MUslave,SIGN(CO306))*POWER(KLslave,SIGN(CP306))*POWER(CHslave,SIGN(CR306))*POWER(FFslave,SIGN(CS306))*POWER(GEslave,SIGN(CT306))*POWER(KOslave,SIGN(CU306))*POWER(KKslave,SIGN(CV306))+CR306*POWER(MUslave,SIGN(CO306))*POWER(KLslave,SIGN(CP306))*POWER(INslave_IN,SIGN(CQ306))*POWER(FFslave,SIGN(CS306))*POWER(GEslave,SIGN(CT306))*POWER(KOslave,SIGN(CU306))*POWER(KKslave,SIGN(CV306))+CS306*POWER(MUslave,SIGN(CO306))*POWER(KLslave,SIGN(CP306))*POWER(INslave_IN,SIGN(CQ306))*POWER(CHslave,SIGN(CR306))*POWER(GEslave,SIGN(CT306))*POWER(KOslave,SIGN(CU306))*POWER(KKslave,SIGN(CV306))+CT306*POWER(MUslave,SIGN(CO306))*POWER(KLslave,SIGN(CP306))*POWER(INslave_IN,SIGN(CQ306))*POWER(CHslave,SIGN(CR306))*POWER(FFslave,SIGN(CS306))*POWER(KOslave,SIGN(CU306))*POWER(KKslave,SIGN(CV306))+CU306*POWER(MUslave,SIGN(CO306))*POWER(KLslave,SIGN(CP306))*POWER(INslave_IN,SIGN(CQ306))*POWER(CHslave,SIGN(CR306))*POWER(FFslave,SIGN(CS306))*POWER(GEslave,SIGN(CT306))*POWER(KKslave,SIGN(CV306))+CV306*POWER(MUslave,SIGN(CO306))*POWER(KLslave,SIGN(CP306))*POWER(INslave_IN,SIGN(CQ306))*POWER(CHslave,SIGN(CR306))*POWER(FFslave,SIGN(CS306))*POWER(GEslave,SIGN(CT306))*POWER(KOslave,SIGN(CU306))</f>
        <v>2432</v>
      </c>
      <c r="DA306" s="113">
        <f>CO306*CQ306*GEslave+CO306*INslave_IN*CT306+MUslave*CQ306*CT306</f>
        <v>3408</v>
      </c>
      <c r="DB306" s="224">
        <f>IFERROR(CO306^SIGN(CO306),1)*IFERROR(CP306^SIGN(CP306),1)*IFERROR(CQ306^SIGN(CQ306),1)*IFERROR(CR306^SIGN(CR306),1)*IFERROR(CS306^SIGN(CS306),1)*IFERROR(CT306^SIGN(CT306),1)*IFERROR(CU306^SIGN(CU306),1)*IFERROR(CV306^SIGN(CV306),1)</f>
        <v>1584</v>
      </c>
      <c r="DC306" s="224">
        <f>SUM(CZ306:DB306)</f>
        <v>7424</v>
      </c>
      <c r="DD306" s="222">
        <f>CW306*CZ306/DC306</f>
        <v>3.8218390804597702</v>
      </c>
      <c r="DE306" s="223">
        <f>CX306*DA306/DC306</f>
        <v>10.711206896551724</v>
      </c>
      <c r="DF306" s="243">
        <f>CY306*DB306/DC306</f>
        <v>7.4676724137931032</v>
      </c>
      <c r="DG306" s="243">
        <f>SUM(DD306:DF306)</f>
        <v>22.000718390804597</v>
      </c>
      <c r="DH306" s="252">
        <f t="shared" si="1848"/>
        <v>0</v>
      </c>
      <c r="DI306" s="324">
        <f>DG306-DH306</f>
        <v>22.000718390804597</v>
      </c>
      <c r="DJ306" s="304">
        <f>IF(DG306&lt;=0,2,0)+IF(DG306&gt;0,DG306+1,0)*2+IF(DG306&gt;12,DG306-12,0)*2+IF(DG306&gt;13,DG306-13,0)*2+IF(DG306&gt;14,DG306-14,0)*2+IF(DG306&gt;15,DG306-15,0)*2+IF(DG306&gt;16,DG306-16,0)*2+IF(DG306&gt;17,DG306-17,0)*2+IF(DG306&gt;18,DG306-18,0)*2+IF(DG306&gt;19,DG306-19,0)*2+IF(DG306&gt;20,DG306-20,0)*2</f>
        <v>154.01436781609189</v>
      </c>
      <c r="DK306" s="335">
        <f>IF(DH306&lt;=0,2,0)+IF(DH306&gt;0,DH306+1,0)*2+IF(DH306&gt;12,DH306-12,0)*2+IF(DH306&gt;13,DH306-13,0)*2+IF(DH306&gt;14,DH306-14,0)*2+IF(DH306&gt;15,DH306-15,0)*2+IF(DH306&gt;16,DH306-16,0)*2+IF(DH306&gt;17,DH306-17,0)*2+IF(DH306&gt;18,DH306-18,0)*2+IF(DH306&gt;19,DH306-19,0)*2+IF(DH306&gt;20,DH306-20,0)*2</f>
        <v>2</v>
      </c>
      <c r="DL306" s="243">
        <f t="shared" si="2063"/>
        <v>152.01436781609189</v>
      </c>
      <c r="DM306" s="218">
        <f>IF((DK306-DJ306)&gt;0,DK306-DJ306,0)</f>
        <v>0</v>
      </c>
      <c r="DN306" s="248"/>
      <c r="DO306" s="303" t="s">
        <v>455</v>
      </c>
      <c r="DP306" s="218" t="s">
        <v>8</v>
      </c>
      <c r="DQ306" s="304" t="s">
        <v>132</v>
      </c>
      <c r="DR306" s="114">
        <f t="shared" ref="DR306" si="2241">Konvention_1slave-MUslave</f>
        <v>12</v>
      </c>
      <c r="DS306" s="113"/>
      <c r="DT306" s="113">
        <f>Konvention_1slave-INslave</f>
        <v>12</v>
      </c>
      <c r="DU306" s="113"/>
      <c r="DV306" s="113"/>
      <c r="DW306" s="113">
        <f>Konvention_1slave-GEslave</f>
        <v>12</v>
      </c>
      <c r="DX306" s="113"/>
      <c r="DY306" s="119"/>
      <c r="DZ306" s="223">
        <f>(DR306+DS306+DT306+DU306+DV306+DW306+DX306+DY306)/3</f>
        <v>12</v>
      </c>
      <c r="EA306" s="223">
        <f>2*DZ306</f>
        <v>24</v>
      </c>
      <c r="EB306" s="224">
        <f>3*DZ306</f>
        <v>36</v>
      </c>
      <c r="EC306" s="237">
        <f t="shared" ref="EC299:EC321" si="2242">DR306*POWER(KLslave,SIGN(DS306))*POWER(INslave,SIGN(DT306))*POWER(CHslave_CH,SIGN(DU306))*POWER(FFslave,SIGN(DV306))*POWER(GEslave,SIGN(DW306))*POWER(KOslave,SIGN(DX306))*POWER(KKslave,SIGN(DY306))+DS306*POWER(MUslave,SIGN(DR306))*POWER(INslave,SIGN(DT306))*POWER(CHslave_CH,SIGN(DU306))*POWER(FFslave,SIGN(DV306))*POWER(GEslave,SIGN(DW306))*POWER(KOslave,SIGN(DX306))*POWER(KKslave,SIGN(DY306))+DT306*POWER(MUslave,SIGN(DR306))*POWER(KLslave,SIGN(DS306))*POWER(CHslave_CH,SIGN(DU306))*POWER(FFslave,SIGN(DV306))*POWER(GEslave,SIGN(DW306))*POWER(KOslave,SIGN(DX306))*POWER(KKslave,SIGN(DY306))+DU306*POWER(MUslave,SIGN(DR306))*POWER(KLslave,SIGN(DS306))*POWER(INslave,SIGN(DT306))*POWER(FFslave,SIGN(DV306))*POWER(GEslave,SIGN(DW306))*POWER(KOslave,SIGN(DX306))*POWER(KKslave,SIGN(DY306))+DV306*POWER(MUslave,SIGN(DR306))*POWER(KLslave,SIGN(DS306))*POWER(INslave,SIGN(DT306))*POWER(CHslave_CH,SIGN(DU306))*POWER(GEslave,SIGN(DW306))*POWER(KOslave,SIGN(DX306))*POWER(KKslave,SIGN(DY306))+DW306*POWER(MUslave,SIGN(DR306))*POWER(KLslave,SIGN(DS306))*POWER(INslave,SIGN(DT306))*POWER(CHslave_CH,SIGN(DU306))*POWER(FFslave,SIGN(DV306))*POWER(KOslave,SIGN(DX306))*POWER(KKslave,SIGN(DY306))+DX306*POWER(MUslave,SIGN(DR306))*POWER(KLslave,SIGN(DS306))*POWER(INslave,SIGN(DT306))*POWER(CHslave_CH,SIGN(DU306))*POWER(FFslave,SIGN(DV306))*POWER(GEslave,SIGN(DW306))*POWER(KKslave,SIGN(DY306))+DY306*POWER(MUslave,SIGN(DR306))*POWER(KLslave,SIGN(DS306))*POWER(INslave,SIGN(DT306))*POWER(CHslave_CH,SIGN(DU306))*POWER(FFslave,SIGN(DV306))*POWER(GEslave,SIGN(DW306))*POWER(KOslave,SIGN(DX306))</f>
        <v>2304</v>
      </c>
      <c r="ED306" s="113">
        <f>DR306*DT306*GEslave+DR306*INslave*DW306+MUslave*DT306*DW306</f>
        <v>3456</v>
      </c>
      <c r="EE306" s="224">
        <f>IFERROR(DR306^SIGN(DR306),1)*IFERROR(DS306^SIGN(DS306),1)*IFERROR(DT306^SIGN(DT306),1)*IFERROR(DU306^SIGN(DU306),1)*IFERROR(DV306^SIGN(DV306),1)*IFERROR(DW306^SIGN(DW306),1)*IFERROR(DX306^SIGN(DX306),1)*IFERROR(DY306^SIGN(DY306),1)</f>
        <v>1728</v>
      </c>
      <c r="EF306" s="224">
        <f>SUM(EC306:EE306)</f>
        <v>7488</v>
      </c>
      <c r="EG306" s="222">
        <f>DZ306*EC306/EF306</f>
        <v>3.6923076923076925</v>
      </c>
      <c r="EH306" s="223">
        <f>EA306*ED306/EF306</f>
        <v>11.076923076923077</v>
      </c>
      <c r="EI306" s="243">
        <f>EB306*EE306/EF306</f>
        <v>8.3076923076923084</v>
      </c>
      <c r="EJ306" s="243">
        <f>SUM(EG306:EI306)</f>
        <v>23.07692307692308</v>
      </c>
      <c r="EK306" s="252">
        <f t="shared" si="1863"/>
        <v>0</v>
      </c>
      <c r="EL306" s="324">
        <f>EJ306-EK306</f>
        <v>23.07692307692308</v>
      </c>
      <c r="EM306" s="304">
        <f>IF(EJ306&lt;=0,2,0)+IF(EJ306&gt;0,EJ306+1,0)*2+IF(EJ306&gt;12,EJ306-12,0)*2+IF(EJ306&gt;13,EJ306-13,0)*2+IF(EJ306&gt;14,EJ306-14,0)*2+IF(EJ306&gt;15,EJ306-15,0)*2+IF(EJ306&gt;16,EJ306-16,0)*2+IF(EJ306&gt;17,EJ306-17,0)*2+IF(EJ306&gt;18,EJ306-18,0)*2+IF(EJ306&gt;19,EJ306-19,0)*2+IF(EJ306&gt;20,EJ306-20,0)*2</f>
        <v>175.5384615384616</v>
      </c>
      <c r="EN306" s="335">
        <f>IF(EK306&lt;=0,2,0)+IF(EK306&gt;0,EK306+1,0)*2+IF(EK306&gt;12,EK306-12,0)*2+IF(EK306&gt;13,EK306-13,0)*2+IF(EK306&gt;14,EK306-14,0)*2+IF(EK306&gt;15,EK306-15,0)*2+IF(EK306&gt;16,EK306-16,0)*2+IF(EK306&gt;17,EK306-17,0)*2+IF(EK306&gt;18,EK306-18,0)*2+IF(EK306&gt;19,EK306-19,0)*2+IF(EK306&gt;20,EK306-20,0)*2</f>
        <v>2</v>
      </c>
      <c r="EO306" s="243">
        <f t="shared" si="2076"/>
        <v>173.5384615384616</v>
      </c>
      <c r="EP306" s="218">
        <f>IF((EN306-EM306)&gt;0,EN306-EM306,0)</f>
        <v>0</v>
      </c>
      <c r="EQ306" s="248"/>
      <c r="ER306" s="303" t="s">
        <v>455</v>
      </c>
      <c r="ES306" s="218" t="s">
        <v>8</v>
      </c>
      <c r="ET306" s="304" t="s">
        <v>132</v>
      </c>
      <c r="EU306" s="114">
        <f t="shared" ref="EU306" si="2243">Konvention_1slave-MUslave</f>
        <v>12</v>
      </c>
      <c r="EV306" s="113"/>
      <c r="EW306" s="113">
        <f>Konvention_1slave-INslave</f>
        <v>12</v>
      </c>
      <c r="EX306" s="113"/>
      <c r="EY306" s="113"/>
      <c r="EZ306" s="113">
        <f>Konvention_1slave-GEslave</f>
        <v>12</v>
      </c>
      <c r="FA306" s="113"/>
      <c r="FB306" s="119"/>
      <c r="FC306" s="223">
        <f>(EU306+EV306+EW306+EX306+EY306+EZ306+FA306+FB306)/3</f>
        <v>12</v>
      </c>
      <c r="FD306" s="223">
        <f>2*FC306</f>
        <v>24</v>
      </c>
      <c r="FE306" s="224">
        <f>3*FC306</f>
        <v>36</v>
      </c>
      <c r="FF306" s="237">
        <f t="shared" ref="FF299:FF321" si="2244">EU306*POWER(KLslave,SIGN(EV306))*POWER(INslave,SIGN(EW306))*POWER(CHslave,SIGN(EX306))*POWER(FFslave_FF,SIGN(EY306))*POWER(GEslave,SIGN(EZ306))*POWER(KOslave,SIGN(FA306))*POWER(KKslave,SIGN(FB306))+EV306*POWER(MUslave,SIGN(EU306))*POWER(INslave,SIGN(EW306))*POWER(CHslave,SIGN(EX306))*POWER(FFslave_FF,SIGN(EY306))*POWER(GEslave,SIGN(EZ306))*POWER(KOslave,SIGN(FA306))*POWER(KKslave,SIGN(FB306))+EW306*POWER(MUslave,SIGN(EU306))*POWER(KLslave,SIGN(EV306))*POWER(CHslave,SIGN(EX306))*POWER(FFslave_FF,SIGN(EY306))*POWER(GEslave,SIGN(EZ306))*POWER(KOslave,SIGN(FA306))*POWER(KKslave,SIGN(FB306))+EX306*POWER(MUslave,SIGN(EU306))*POWER(KLslave,SIGN(EV306))*POWER(INslave,SIGN(EW306))*POWER(FFslave_FF,SIGN(EY306))*POWER(GEslave,SIGN(EZ306))*POWER(KOslave,SIGN(FA306))*POWER(KKslave,SIGN(FB306))+EY306*POWER(MUslave,SIGN(EU306))*POWER(KLslave,SIGN(EV306))*POWER(INslave,SIGN(EW306))*POWER(CHslave,SIGN(EX306))*POWER(GEslave,SIGN(EZ306))*POWER(KOslave,SIGN(FA306))*POWER(KKslave,SIGN(FB306))+EZ306*POWER(MUslave,SIGN(EU306))*POWER(KLslave,SIGN(EV306))*POWER(INslave,SIGN(EW306))*POWER(CHslave,SIGN(EX306))*POWER(FFslave_FF,SIGN(EY306))*POWER(KOslave,SIGN(FA306))*POWER(KKslave,SIGN(FB306))+FA306*POWER(MUslave,SIGN(EU306))*POWER(KLslave,SIGN(EV306))*POWER(INslave,SIGN(EW306))*POWER(CHslave,SIGN(EX306))*POWER(FFslave_FF,SIGN(EY306))*POWER(GEslave,SIGN(EZ306))*POWER(KKslave,SIGN(FB306))+FB306*POWER(MUslave,SIGN(EU306))*POWER(KLslave,SIGN(EV306))*POWER(INslave,SIGN(EW306))*POWER(CHslave,SIGN(EX306))*POWER(FFslave_FF,SIGN(EY306))*POWER(GEslave,SIGN(EZ306))*POWER(KOslave,SIGN(FA306))</f>
        <v>2304</v>
      </c>
      <c r="FG306" s="113">
        <f>EU306*EW306*GEslave+EU306*INslave*EZ306+MUslave*EW306*EZ306</f>
        <v>3456</v>
      </c>
      <c r="FH306" s="224">
        <f>IFERROR(EU306^SIGN(EU306),1)*IFERROR(EV306^SIGN(EV306),1)*IFERROR(EW306^SIGN(EW306),1)*IFERROR(EX306^SIGN(EX306),1)*IFERROR(EY306^SIGN(EY306),1)*IFERROR(EZ306^SIGN(EZ306),1)*IFERROR(FA306^SIGN(FA306),1)*IFERROR(FB306^SIGN(FB306),1)</f>
        <v>1728</v>
      </c>
      <c r="FI306" s="224">
        <f>SUM(FF306:FH306)</f>
        <v>7488</v>
      </c>
      <c r="FJ306" s="222">
        <f>FC306*FF306/FI306</f>
        <v>3.6923076923076925</v>
      </c>
      <c r="FK306" s="223">
        <f>FD306*FG306/FI306</f>
        <v>11.076923076923077</v>
      </c>
      <c r="FL306" s="243">
        <f>FE306*FH306/FI306</f>
        <v>8.3076923076923084</v>
      </c>
      <c r="FM306" s="243">
        <f>SUM(FJ306:FL306)</f>
        <v>23.07692307692308</v>
      </c>
      <c r="FN306" s="252">
        <f t="shared" si="1878"/>
        <v>0</v>
      </c>
      <c r="FO306" s="324">
        <f>FM306-FN306</f>
        <v>23.07692307692308</v>
      </c>
      <c r="FP306" s="304">
        <f>IF(FM306&lt;=0,2,0)+IF(FM306&gt;0,FM306+1,0)*2+IF(FM306&gt;12,FM306-12,0)*2+IF(FM306&gt;13,FM306-13,0)*2+IF(FM306&gt;14,FM306-14,0)*2+IF(FM306&gt;15,FM306-15,0)*2+IF(FM306&gt;16,FM306-16,0)*2+IF(FM306&gt;17,FM306-17,0)*2+IF(FM306&gt;18,FM306-18,0)*2+IF(FM306&gt;19,FM306-19,0)*2+IF(FM306&gt;20,FM306-20,0)*2</f>
        <v>175.5384615384616</v>
      </c>
      <c r="FQ306" s="335">
        <f>IF(FN306&lt;=0,2,0)+IF(FN306&gt;0,FN306+1,0)*2+IF(FN306&gt;12,FN306-12,0)*2+IF(FN306&gt;13,FN306-13,0)*2+IF(FN306&gt;14,FN306-14,0)*2+IF(FN306&gt;15,FN306-15,0)*2+IF(FN306&gt;16,FN306-16,0)*2+IF(FN306&gt;17,FN306-17,0)*2+IF(FN306&gt;18,FN306-18,0)*2+IF(FN306&gt;19,FN306-19,0)*2+IF(FN306&gt;20,FN306-20,0)*2</f>
        <v>2</v>
      </c>
      <c r="FR306" s="243">
        <f t="shared" si="2089"/>
        <v>173.5384615384616</v>
      </c>
      <c r="FS306" s="218">
        <f>IF((FQ306-FP306)&gt;0,FQ306-FP306,0)</f>
        <v>0</v>
      </c>
      <c r="FT306" s="248"/>
      <c r="FU306" s="303" t="s">
        <v>455</v>
      </c>
      <c r="FV306" s="218" t="s">
        <v>8</v>
      </c>
      <c r="FW306" s="304" t="s">
        <v>132</v>
      </c>
      <c r="FX306" s="114">
        <f t="shared" ref="FX306" si="2245">Konvention_1slave-MUslave</f>
        <v>12</v>
      </c>
      <c r="FY306" s="113"/>
      <c r="FZ306" s="113">
        <f>Konvention_1slave-INslave</f>
        <v>12</v>
      </c>
      <c r="GA306" s="113"/>
      <c r="GB306" s="113"/>
      <c r="GC306" s="113">
        <f>Konvention_1slave-GEslave_GE</f>
        <v>11</v>
      </c>
      <c r="GD306" s="113"/>
      <c r="GE306" s="119"/>
      <c r="GF306" s="223">
        <f>(FX306+FY306+FZ306+GA306+GB306+GC306+GD306+GE306)/3</f>
        <v>11.666666666666666</v>
      </c>
      <c r="GG306" s="223">
        <f>2*GF306</f>
        <v>23.333333333333332</v>
      </c>
      <c r="GH306" s="224">
        <f>3*GF306</f>
        <v>35</v>
      </c>
      <c r="GI306" s="237">
        <f t="shared" ref="GI299:GI321" si="2246">FX306*POWER(KLslave,SIGN(FY306))*POWER(INslave,SIGN(FZ306))*POWER(CHslave,SIGN(GA306))*POWER(FFslave,SIGN(GB306))*POWER(GEslave_GE,SIGN(GC306))*POWER(KOslave,SIGN(GD306))*POWER(KKslave,SIGN(GE306))+FY306*POWER(MUslave,SIGN(FX306))*POWER(INslave,SIGN(FZ306))*POWER(CHslave,SIGN(GA306))*POWER(FFslave,SIGN(GB306))*POWER(GEslave_GE,SIGN(GC306))*POWER(KOslave,SIGN(GD306))*POWER(KKslave,SIGN(GE306))+FZ306*POWER(MUslave,SIGN(FX306))*POWER(KLslave,SIGN(FY306))*POWER(CHslave,SIGN(GA306))*POWER(FFslave,SIGN(GB306))*POWER(GEslave_GE,SIGN(GC306))*POWER(KOslave,SIGN(GD306))*POWER(KKslave,SIGN(GE306))+GA306*POWER(MUslave,SIGN(FX306))*POWER(KLslave,SIGN(FY306))*POWER(INslave,SIGN(FZ306))*POWER(FFslave,SIGN(GB306))*POWER(GEslave_GE,SIGN(GC306))*POWER(KOslave,SIGN(GD306))*POWER(KKslave,SIGN(GE306))+GB306*POWER(MUslave,SIGN(FX306))*POWER(KLslave,SIGN(FY306))*POWER(INslave,SIGN(FZ306))*POWER(CHslave,SIGN(GA306))*POWER(GEslave_GE,SIGN(GC306))*POWER(KOslave,SIGN(GD306))*POWER(KKslave,SIGN(GE306))+GC306*POWER(MUslave,SIGN(FX306))*POWER(KLslave,SIGN(FY306))*POWER(INslave,SIGN(FZ306))*POWER(CHslave,SIGN(GA306))*POWER(FFslave,SIGN(GB306))*POWER(KOslave,SIGN(GD306))*POWER(KKslave,SIGN(GE306))+GD306*POWER(MUslave,SIGN(FX306))*POWER(KLslave,SIGN(FY306))*POWER(INslave,SIGN(FZ306))*POWER(CHslave,SIGN(GA306))*POWER(FFslave,SIGN(GB306))*POWER(GEslave_GE,SIGN(GC306))*POWER(KKslave,SIGN(GE306))+GE306*POWER(MUslave,SIGN(FX306))*POWER(KLslave,SIGN(FY306))*POWER(INslave,SIGN(FZ306))*POWER(CHslave,SIGN(GA306))*POWER(FFslave,SIGN(GB306))*POWER(GEslave_GE,SIGN(GC306))*POWER(KOslave,SIGN(GD306))</f>
        <v>2432</v>
      </c>
      <c r="GJ306" s="113">
        <f>FX306*FZ306*GEslave_GE+FX306*INslave*GC306+MUslave*FZ306*GC306</f>
        <v>3408</v>
      </c>
      <c r="GK306" s="224">
        <f>IFERROR(FX306^SIGN(FX306),1)*IFERROR(FY306^SIGN(FY306),1)*IFERROR(FZ306^SIGN(FZ306),1)*IFERROR(GA306^SIGN(GA306),1)*IFERROR(GB306^SIGN(GB306),1)*IFERROR(GC306^SIGN(GC306),1)*IFERROR(GD306^SIGN(GD306),1)*IFERROR(GE306^SIGN(GE306),1)</f>
        <v>1584</v>
      </c>
      <c r="GL306" s="224">
        <f>SUM(GI306:GK306)</f>
        <v>7424</v>
      </c>
      <c r="GM306" s="222">
        <f>GF306*GI306/GL306</f>
        <v>3.8218390804597702</v>
      </c>
      <c r="GN306" s="223">
        <f>GG306*GJ306/GL306</f>
        <v>10.711206896551724</v>
      </c>
      <c r="GO306" s="243">
        <f>GH306*GK306/GL306</f>
        <v>7.4676724137931032</v>
      </c>
      <c r="GP306" s="243">
        <f>SUM(GM306:GO306)</f>
        <v>22.000718390804597</v>
      </c>
      <c r="GQ306" s="252">
        <f t="shared" si="1893"/>
        <v>0</v>
      </c>
      <c r="GR306" s="324">
        <f>GP306-GQ306</f>
        <v>22.000718390804597</v>
      </c>
      <c r="GS306" s="304">
        <f>IF(GP306&lt;=0,2,0)+IF(GP306&gt;0,GP306+1,0)*2+IF(GP306&gt;12,GP306-12,0)*2+IF(GP306&gt;13,GP306-13,0)*2+IF(GP306&gt;14,GP306-14,0)*2+IF(GP306&gt;15,GP306-15,0)*2+IF(GP306&gt;16,GP306-16,0)*2+IF(GP306&gt;17,GP306-17,0)*2+IF(GP306&gt;18,GP306-18,0)*2+IF(GP306&gt;19,GP306-19,0)*2+IF(GP306&gt;20,GP306-20,0)*2</f>
        <v>154.01436781609189</v>
      </c>
      <c r="GT306" s="335">
        <f>IF(GQ306&lt;=0,2,0)+IF(GQ306&gt;0,GQ306+1,0)*2+IF(GQ306&gt;12,GQ306-12,0)*2+IF(GQ306&gt;13,GQ306-13,0)*2+IF(GQ306&gt;14,GQ306-14,0)*2+IF(GQ306&gt;15,GQ306-15,0)*2+IF(GQ306&gt;16,GQ306-16,0)*2+IF(GQ306&gt;17,GQ306-17,0)*2+IF(GQ306&gt;18,GQ306-18,0)*2+IF(GQ306&gt;19,GQ306-19,0)*2+IF(GQ306&gt;20,GQ306-20,0)*2</f>
        <v>2</v>
      </c>
      <c r="GU306" s="243">
        <f t="shared" si="2102"/>
        <v>152.01436781609189</v>
      </c>
      <c r="GV306" s="218">
        <f>IF((GT306-GS306)&gt;0,GT306-GS306,0)</f>
        <v>0</v>
      </c>
      <c r="GW306" s="248"/>
      <c r="GX306" s="303" t="s">
        <v>455</v>
      </c>
      <c r="GY306" s="218" t="s">
        <v>8</v>
      </c>
      <c r="GZ306" s="304" t="s">
        <v>132</v>
      </c>
      <c r="HA306" s="114">
        <f t="shared" ref="HA306" si="2247">Konvention_1slave-MUslave</f>
        <v>12</v>
      </c>
      <c r="HB306" s="113"/>
      <c r="HC306" s="113">
        <f>Konvention_1slave-INslave</f>
        <v>12</v>
      </c>
      <c r="HD306" s="113"/>
      <c r="HE306" s="113"/>
      <c r="HF306" s="113">
        <f>Konvention_1slave-GEslave</f>
        <v>12</v>
      </c>
      <c r="HG306" s="113"/>
      <c r="HH306" s="119"/>
      <c r="HI306" s="223">
        <f>(HA306+HB306+HC306+HD306+HE306+HF306+HG306+HH306)/3</f>
        <v>12</v>
      </c>
      <c r="HJ306" s="223">
        <f>2*HI306</f>
        <v>24</v>
      </c>
      <c r="HK306" s="224">
        <f>3*HI306</f>
        <v>36</v>
      </c>
      <c r="HL306" s="237">
        <f t="shared" ref="HL299:HL321" si="2248">HA306*POWER(KLslave,SIGN(HB306))*POWER(INslave,SIGN(HC306))*POWER(CHslave,SIGN(HD306))*POWER(FFslave,SIGN(HE306))*POWER(GEslave,SIGN(HF306))*POWER(KOslave_KO,SIGN(HG306))*POWER(KKslave,SIGN(HH306))+HB306*POWER(MUslave,SIGN(HA306))*POWER(INslave,SIGN(HC306))*POWER(CHslave,SIGN(HD306))*POWER(FFslave,SIGN(HE306))*POWER(GEslave,SIGN(HF306))*POWER(KOslave_KO,SIGN(HG306))*POWER(KKslave,SIGN(HH306))+HC306*POWER(MUslave,SIGN(HA306))*POWER(KLslave,SIGN(HB306))*POWER(CHslave,SIGN(HD306))*POWER(FFslave,SIGN(HE306))*POWER(GEslave,SIGN(HF306))*POWER(KOslave_KO,SIGN(HG306))*POWER(KKslave,SIGN(HH306))+HD306*POWER(MUslave,SIGN(HA306))*POWER(KLslave,SIGN(HB306))*POWER(INslave,SIGN(HC306))*POWER(FFslave,SIGN(HE306))*POWER(GEslave,SIGN(HF306))*POWER(KOslave_KO,SIGN(HG306))*POWER(KKslave,SIGN(HH306))+HE306*POWER(MUslave,SIGN(HA306))*POWER(KLslave,SIGN(HB306))*POWER(INslave,SIGN(HC306))*POWER(CHslave,SIGN(HD306))*POWER(GEslave,SIGN(HF306))*POWER(KOslave_KO,SIGN(HG306))*POWER(KKslave,SIGN(HH306))+HF306*POWER(MUslave,SIGN(HA306))*POWER(KLslave,SIGN(HB306))*POWER(INslave,SIGN(HC306))*POWER(CHslave,SIGN(HD306))*POWER(FFslave,SIGN(HE306))*POWER(KOslave_KO,SIGN(HG306))*POWER(KKslave,SIGN(HH306))+HG306*POWER(MUslave,SIGN(HA306))*POWER(KLslave,SIGN(HB306))*POWER(INslave,SIGN(HC306))*POWER(CHslave,SIGN(HD306))*POWER(FFslave,SIGN(HE306))*POWER(GEslave,SIGN(HF306))*POWER(KKslave,SIGN(HH306))+HH306*POWER(MUslave,SIGN(HA306))*POWER(KLslave,SIGN(HB306))*POWER(INslave,SIGN(HC306))*POWER(CHslave,SIGN(HD306))*POWER(FFslave,SIGN(HE306))*POWER(GEslave,SIGN(HF306))*POWER(KOslave_KO,SIGN(HG306))</f>
        <v>2304</v>
      </c>
      <c r="HM306" s="113">
        <f>HA306*HC306*GEslave+HA306*INslave*HF306+MUslave*HC306*HF306</f>
        <v>3456</v>
      </c>
      <c r="HN306" s="224">
        <f>IFERROR(HA306^SIGN(HA306),1)*IFERROR(HB306^SIGN(HB306),1)*IFERROR(HC306^SIGN(HC306),1)*IFERROR(HD306^SIGN(HD306),1)*IFERROR(HE306^SIGN(HE306),1)*IFERROR(HF306^SIGN(HF306),1)*IFERROR(HG306^SIGN(HG306),1)*IFERROR(HH306^SIGN(HH306),1)</f>
        <v>1728</v>
      </c>
      <c r="HO306" s="224">
        <f>SUM(HL306:HN306)</f>
        <v>7488</v>
      </c>
      <c r="HP306" s="222">
        <f>HI306*HL306/HO306</f>
        <v>3.6923076923076925</v>
      </c>
      <c r="HQ306" s="223">
        <f>HJ306*HM306/HO306</f>
        <v>11.076923076923077</v>
      </c>
      <c r="HR306" s="243">
        <f>HK306*HN306/HO306</f>
        <v>8.3076923076923084</v>
      </c>
      <c r="HS306" s="243">
        <f>SUM(HP306:HR306)</f>
        <v>23.07692307692308</v>
      </c>
      <c r="HT306" s="252">
        <f t="shared" si="1908"/>
        <v>0</v>
      </c>
      <c r="HU306" s="324">
        <f>HS306-HT306</f>
        <v>23.07692307692308</v>
      </c>
      <c r="HV306" s="304">
        <f>IF(HS306&lt;=0,2,0)+IF(HS306&gt;0,HS306+1,0)*2+IF(HS306&gt;12,HS306-12,0)*2+IF(HS306&gt;13,HS306-13,0)*2+IF(HS306&gt;14,HS306-14,0)*2+IF(HS306&gt;15,HS306-15,0)*2+IF(HS306&gt;16,HS306-16,0)*2+IF(HS306&gt;17,HS306-17,0)*2+IF(HS306&gt;18,HS306-18,0)*2+IF(HS306&gt;19,HS306-19,0)*2+IF(HS306&gt;20,HS306-20,0)*2</f>
        <v>175.5384615384616</v>
      </c>
      <c r="HW306" s="335">
        <f>IF(HT306&lt;=0,2,0)+IF(HT306&gt;0,HT306+1,0)*2+IF(HT306&gt;12,HT306-12,0)*2+IF(HT306&gt;13,HT306-13,0)*2+IF(HT306&gt;14,HT306-14,0)*2+IF(HT306&gt;15,HT306-15,0)*2+IF(HT306&gt;16,HT306-16,0)*2+IF(HT306&gt;17,HT306-17,0)*2+IF(HT306&gt;18,HT306-18,0)*2+IF(HT306&gt;19,HT306-19,0)*2+IF(HT306&gt;20,HT306-20,0)*2</f>
        <v>2</v>
      </c>
      <c r="HX306" s="243">
        <f t="shared" si="2115"/>
        <v>173.5384615384616</v>
      </c>
      <c r="HY306" s="218">
        <f>IF((HW306-HV306)&gt;0,HW306-HV306,0)</f>
        <v>0</v>
      </c>
      <c r="HZ306" s="248"/>
      <c r="IA306" s="303" t="s">
        <v>455</v>
      </c>
      <c r="IB306" s="218" t="s">
        <v>8</v>
      </c>
      <c r="IC306" s="304" t="s">
        <v>132</v>
      </c>
      <c r="ID306" s="114">
        <f t="shared" ref="ID306" si="2249">Konvention_1slave-MUslave</f>
        <v>12</v>
      </c>
      <c r="IE306" s="113"/>
      <c r="IF306" s="113">
        <f>Konvention_1slave-INslave</f>
        <v>12</v>
      </c>
      <c r="IG306" s="113"/>
      <c r="IH306" s="113"/>
      <c r="II306" s="113">
        <f>Konvention_1slave-GEslave</f>
        <v>12</v>
      </c>
      <c r="IJ306" s="113"/>
      <c r="IK306" s="119"/>
      <c r="IL306" s="223">
        <f>(ID306+IE306+IF306+IG306+IH306+II306+IJ306+IK306)/3</f>
        <v>12</v>
      </c>
      <c r="IM306" s="223">
        <f>2*IL306</f>
        <v>24</v>
      </c>
      <c r="IN306" s="224">
        <f>3*IL306</f>
        <v>36</v>
      </c>
      <c r="IO306" s="237">
        <f t="shared" ref="IO299:IO321" si="2250">ID306*POWER(KLslave,SIGN(IE306))*POWER(INslave,SIGN(IF306))*POWER(CHslave,SIGN(IG306))*POWER(FFslave,SIGN(IH306))*POWER(GEslave,SIGN(II306))*POWER(KOslave,SIGN(IJ306))*POWER(KKslave_KK,SIGN(IK306))+IE306*POWER(MUslave,SIGN(ID306))*POWER(INslave,SIGN(IF306))*POWER(CHslave,SIGN(IG306))*POWER(FFslave,SIGN(IH306))*POWER(GEslave,SIGN(II306))*POWER(KOslave,SIGN(IJ306))*POWER(KKslave_KK,SIGN(IK306))+IF306*POWER(MUslave,SIGN(ID306))*POWER(KLslave,SIGN(IE306))*POWER(CHslave,SIGN(IG306))*POWER(FFslave,SIGN(IH306))*POWER(GEslave,SIGN(II306))*POWER(KOslave,SIGN(IJ306))*POWER(KKslave_KK,SIGN(IK306))+IG306*POWER(MUslave,SIGN(ID306))*POWER(KLslave,SIGN(IE306))*POWER(INslave,SIGN(IF306))*POWER(FFslave,SIGN(IH306))*POWER(GEslave,SIGN(II306))*POWER(KOslave,SIGN(IJ306))*POWER(KKslave_KK,SIGN(IK306))+IH306*POWER(MUslave,SIGN(ID306))*POWER(KLslave,SIGN(IE306))*POWER(INslave,SIGN(IF306))*POWER(CHslave,SIGN(IG306))*POWER(GEslave,SIGN(II306))*POWER(KOslave,SIGN(IJ306))*POWER(KKslave_KK,SIGN(IK306))+II306*POWER(MUslave,SIGN(ID306))*POWER(KLslave,SIGN(IE306))*POWER(INslave,SIGN(IF306))*POWER(CHslave,SIGN(IG306))*POWER(FFslave,SIGN(IH306))*POWER(KOslave,SIGN(IJ306))*POWER(KKslave_KK,SIGN(IK306))+IJ306*POWER(MUslave,SIGN(ID306))*POWER(KLslave,SIGN(IE306))*POWER(INslave,SIGN(IF306))*POWER(CHslave,SIGN(IG306))*POWER(FFslave,SIGN(IH306))*POWER(GEslave,SIGN(II306))*POWER(KKslave_KK,SIGN(IK306))+IK306*POWER(MUslave,SIGN(ID306))*POWER(KLslave,SIGN(IE306))*POWER(INslave,SIGN(IF306))*POWER(CHslave,SIGN(IG306))*POWER(FFslave,SIGN(IH306))*POWER(GEslave,SIGN(II306))*POWER(KOslave,SIGN(IJ306))</f>
        <v>2304</v>
      </c>
      <c r="IP306" s="113">
        <f>ID306*IF306*GEslave+ID306*INslave*II306+MUslave*IF306*II306</f>
        <v>3456</v>
      </c>
      <c r="IQ306" s="224">
        <f>IFERROR(ID306^SIGN(ID306),1)*IFERROR(IE306^SIGN(IE306),1)*IFERROR(IF306^SIGN(IF306),1)*IFERROR(IG306^SIGN(IG306),1)*IFERROR(IH306^SIGN(IH306),1)*IFERROR(II306^SIGN(II306),1)*IFERROR(IJ306^SIGN(IJ306),1)*IFERROR(IK306^SIGN(IK306),1)</f>
        <v>1728</v>
      </c>
      <c r="IR306" s="224">
        <f>SUM(IO306:IQ306)</f>
        <v>7488</v>
      </c>
      <c r="IS306" s="222">
        <f>IL306*IO306/IR306</f>
        <v>3.6923076923076925</v>
      </c>
      <c r="IT306" s="223">
        <f>IM306*IP306/IR306</f>
        <v>11.076923076923077</v>
      </c>
      <c r="IU306" s="243">
        <f>IN306*IQ306/IR306</f>
        <v>8.3076923076923084</v>
      </c>
      <c r="IV306" s="243">
        <f>SUM(IS306:IU306)</f>
        <v>23.07692307692308</v>
      </c>
      <c r="IW306" s="252">
        <f t="shared" si="1923"/>
        <v>0</v>
      </c>
      <c r="IX306" s="324">
        <f>IV306-IW306</f>
        <v>23.07692307692308</v>
      </c>
      <c r="IY306" s="304">
        <f>IF(IV306&lt;=0,2,0)+IF(IV306&gt;0,IV306+1,0)*2+IF(IV306&gt;12,IV306-12,0)*2+IF(IV306&gt;13,IV306-13,0)*2+IF(IV306&gt;14,IV306-14,0)*2+IF(IV306&gt;15,IV306-15,0)*2+IF(IV306&gt;16,IV306-16,0)*2+IF(IV306&gt;17,IV306-17,0)*2+IF(IV306&gt;18,IV306-18,0)*2+IF(IV306&gt;19,IV306-19,0)*2+IF(IV306&gt;20,IV306-20,0)*2</f>
        <v>175.5384615384616</v>
      </c>
      <c r="IZ306" s="335">
        <f>IF(IW306&lt;=0,2,0)+IF(IW306&gt;0,IW306+1,0)*2+IF(IW306&gt;12,IW306-12,0)*2+IF(IW306&gt;13,IW306-13,0)*2+IF(IW306&gt;14,IW306-14,0)*2+IF(IW306&gt;15,IW306-15,0)*2+IF(IW306&gt;16,IW306-16,0)*2+IF(IW306&gt;17,IW306-17,0)*2+IF(IW306&gt;18,IW306-18,0)*2+IF(IW306&gt;19,IW306-19,0)*2+IF(IW306&gt;20,IW306-20,0)*2</f>
        <v>2</v>
      </c>
      <c r="JA306" s="243">
        <f t="shared" si="2128"/>
        <v>173.5384615384616</v>
      </c>
      <c r="JB306" s="218">
        <f>IF((IZ306-IY306)&gt;0,IZ306-IY306,0)</f>
        <v>0</v>
      </c>
      <c r="JE306" s="148"/>
    </row>
    <row r="307" spans="1:265" s="205" customFormat="1" ht="15" hidden="1" customHeight="1" outlineLevel="2">
      <c r="A307" s="185"/>
      <c r="B307" s="148">
        <v>10</v>
      </c>
      <c r="C307" s="303" t="e">
        <f>VLOOKUP(AF307,Attribute!C:T,1,FALSE)</f>
        <v>#N/A</v>
      </c>
      <c r="D307" s="218" t="s">
        <v>471</v>
      </c>
      <c r="E307" s="304" t="s">
        <v>135</v>
      </c>
      <c r="F307" s="210"/>
      <c r="G307" s="211"/>
      <c r="H307" s="211"/>
      <c r="I307" s="113">
        <f t="shared" si="2155"/>
        <v>12</v>
      </c>
      <c r="J307" s="211"/>
      <c r="K307" s="113">
        <f>Konvention_1master-GEmaster</f>
        <v>12</v>
      </c>
      <c r="L307" s="117">
        <f>Konvention_1master-KOmaster</f>
        <v>12</v>
      </c>
      <c r="M307" s="212"/>
      <c r="N307" s="223">
        <f t="shared" si="2010"/>
        <v>12</v>
      </c>
      <c r="O307" s="223">
        <f t="shared" si="2011"/>
        <v>24</v>
      </c>
      <c r="P307" s="224">
        <f t="shared" si="2012"/>
        <v>36</v>
      </c>
      <c r="Q307" s="237">
        <f t="shared" si="2013"/>
        <v>2304</v>
      </c>
      <c r="R307" s="234">
        <f>I307*K307*KOmaster+I307*GEmaster*L307+CHmaster*K307*L307</f>
        <v>3456</v>
      </c>
      <c r="S307" s="224">
        <f t="shared" si="2014"/>
        <v>1728</v>
      </c>
      <c r="T307" s="224">
        <f t="shared" ref="T307" si="2251">SUM(Q307:S307)</f>
        <v>7488</v>
      </c>
      <c r="U307" s="222">
        <f t="shared" si="2016"/>
        <v>3.6923076923076925</v>
      </c>
      <c r="V307" s="223">
        <f t="shared" si="2017"/>
        <v>11.076923076923077</v>
      </c>
      <c r="W307" s="243">
        <f t="shared" si="2018"/>
        <v>8.3076923076923084</v>
      </c>
      <c r="X307" s="243">
        <f t="shared" si="2019"/>
        <v>23.07692307692308</v>
      </c>
      <c r="Y307" s="252">
        <v>0</v>
      </c>
      <c r="Z307" s="324">
        <f t="shared" si="2020"/>
        <v>23.07692307692308</v>
      </c>
      <c r="AA307" s="304">
        <f>IF(X307&lt;=0,3,0)+IF(X307&gt;0,X307+1,0)*3+IF(X307&gt;12,X307-12,0)*3+IF(X307&gt;13,X307-13,0)*3+IF(X307&gt;14,X307-14,0)*3+IF(X307&gt;15,X307-15,0)*3+IF(X307&gt;16,X307-16,0)*3+IF(X307&gt;17,X307-17,0)*3+IF(X307&gt;18,X307-18,0)*3+IF(X307&gt;19,X307-19,0)*3+IF(X307&gt;20,X307-20,0)*3</f>
        <v>263.30769230769232</v>
      </c>
      <c r="AB307" s="335">
        <f>IF(Y307&lt;=0,3,0)+IF(Y307&gt;0,Y307+1,0)*3+IF(Y307&gt;12,Y307-12,0)*3+IF(Y307&gt;13,Y307-13,0)*3+IF(Y307&gt;14,Y307-14,0)*3+IF(Y307&gt;15,Y307-15,0)*3+IF(Y307&gt;16,Y307-16,0)*3+IF(Y307&gt;17,Y307-17,0)*3+IF(Y307&gt;18,Y307-18,0)*3+IF(Y307&gt;19,Y307-19,0)*3+IF(Y307&gt;20,Y307-20,0)*3</f>
        <v>3</v>
      </c>
      <c r="AC307" s="243">
        <f t="shared" si="2023"/>
        <v>260.30769230769232</v>
      </c>
      <c r="AD307" s="218">
        <f t="shared" si="2024"/>
        <v>0</v>
      </c>
      <c r="AE307" s="299"/>
      <c r="AF307" s="303" t="s">
        <v>456</v>
      </c>
      <c r="AG307" s="218" t="s">
        <v>471</v>
      </c>
      <c r="AH307" s="304" t="s">
        <v>135</v>
      </c>
      <c r="AI307" s="210"/>
      <c r="AJ307" s="211"/>
      <c r="AK307" s="211"/>
      <c r="AL307" s="113">
        <f>Konvention_1slave-CHslave</f>
        <v>12</v>
      </c>
      <c r="AM307" s="211"/>
      <c r="AN307" s="113">
        <f>Konvention_1slave-GEslave</f>
        <v>12</v>
      </c>
      <c r="AO307" s="117">
        <f>Konvention_1slave-KOslave</f>
        <v>12</v>
      </c>
      <c r="AP307" s="212"/>
      <c r="AQ307" s="223">
        <f t="shared" si="2025"/>
        <v>12</v>
      </c>
      <c r="AR307" s="223">
        <f t="shared" si="2026"/>
        <v>24</v>
      </c>
      <c r="AS307" s="224">
        <f t="shared" si="2027"/>
        <v>36</v>
      </c>
      <c r="AT307" s="237">
        <f>AI307*POWER(KLslave,SIGN(AJ307))*POWER(INslave,SIGN(AK307))*POWER(CHslave,SIGN(AL307))*POWER(FFslave,SIGN(AM307))*POWER(GEslave,SIGN(AN307))*POWER(KOslave,SIGN(AO307))*POWER(KKslave,SIGN(AP307))+AJ307*POWER(MUslave,SIGN(AI307))*POWER(INslave,SIGN(AK307))*POWER(CHslave,SIGN(AL307))*POWER(FFslave,SIGN(AM307))*POWER(GEslave,SIGN(AN307))*POWER(KOslave,SIGN(AO307))*POWER(KKslave,SIGN(AP307))+AK307*POWER(MUslave,SIGN(AI307))*POWER(KLslave,SIGN(AJ307))*POWER(CHslave,SIGN(AL307))*POWER(FFslave,SIGN(AM307))*POWER(GEslave,SIGN(AN307))*POWER(KOslave,SIGN(AO307))*POWER(KKslave,SIGN(AP307))+AL307*POWER(MUslave,SIGN(AI307))*POWER(KLslave,SIGN(AJ307))*POWER(INslave,SIGN(AK307))*POWER(FFslave,SIGN(AM307))*POWER(GEslave,SIGN(AN307))*POWER(KOslave,SIGN(AO307))*POWER(KKslave,SIGN(AP307))+AM307*POWER(MUslave,SIGN(AI307))*POWER(KLslave,SIGN(AJ307))*POWER(INslave,SIGN(AK307))*POWER(CHslave,SIGN(AL307))*POWER(GEslave,SIGN(AN307))*POWER(KOslave,SIGN(AO307))*POWER(KKslave,SIGN(AP307))+AN307*POWER(MUslave,SIGN(AI307))*POWER(KLslave,SIGN(AJ307))*POWER(INslave,SIGN(AK307))*POWER(CHslave,SIGN(AL307))*POWER(FFslave,SIGN(AM307))*POWER(KOslave,SIGN(AO307))*POWER(KKslave,SIGN(AP307))+AO307*POWER(MUslave,SIGN(AI307))*POWER(KLslave,SIGN(AJ307))*POWER(INslave,SIGN(AK307))*POWER(CHslave,SIGN(AL307))*POWER(FFslave,SIGN(AM307))*POWER(GEslave,SIGN(AN307))*POWER(KKslave,SIGN(AP307))+AP307*POWER(MUslave,SIGN(AI307))*POWER(KLslave,SIGN(AJ307))*POWER(INslave,SIGN(AK307))*POWER(CHslave,SIGN(AL307))*POWER(FFslave,SIGN(AM307))*POWER(GEslave,SIGN(AN307))*POWER(KOslave,SIGN(AO307))</f>
        <v>2304</v>
      </c>
      <c r="AU307" s="234">
        <f>AL307*AN307*KOslave+AL307*GEslave*AO307+CHslave*AN307*AO307</f>
        <v>3456</v>
      </c>
      <c r="AV307" s="224">
        <f t="shared" si="2028"/>
        <v>1728</v>
      </c>
      <c r="AW307" s="224">
        <f t="shared" si="2158"/>
        <v>7488</v>
      </c>
      <c r="AX307" s="222">
        <f t="shared" si="2030"/>
        <v>3.6923076923076925</v>
      </c>
      <c r="AY307" s="223">
        <f t="shared" si="2031"/>
        <v>11.076923076923077</v>
      </c>
      <c r="AZ307" s="243">
        <f t="shared" si="2032"/>
        <v>8.3076923076923084</v>
      </c>
      <c r="BA307" s="243">
        <f t="shared" si="2033"/>
        <v>23.07692307692308</v>
      </c>
      <c r="BB307" s="252">
        <f t="shared" si="2034"/>
        <v>0</v>
      </c>
      <c r="BC307" s="324">
        <f t="shared" si="2035"/>
        <v>23.07692307692308</v>
      </c>
      <c r="BD307" s="304">
        <f>IF(BA307&lt;=0,3,0)+IF(BA307&gt;0,BA307+1,0)*3+IF(BA307&gt;12,BA307-12,0)*3+IF(BA307&gt;13,BA307-13,0)*3+IF(BA307&gt;14,BA307-14,0)*3+IF(BA307&gt;15,BA307-15,0)*3+IF(BA307&gt;16,BA307-16,0)*3+IF(BA307&gt;17,BA307-17,0)*3+IF(BA307&gt;18,BA307-18,0)*3+IF(BA307&gt;19,BA307-19,0)*3+IF(BA307&gt;20,BA307-20,0)*3</f>
        <v>263.30769230769232</v>
      </c>
      <c r="BE307" s="335">
        <f>IF(BB307&lt;=0,3,0)+IF(BB307&gt;0,BB307+1,0)*3+IF(BB307&gt;12,BB307-12,0)*3+IF(BB307&gt;13,BB307-13,0)*3+IF(BB307&gt;14,BB307-14,0)*3+IF(BB307&gt;15,BB307-15,0)*3+IF(BB307&gt;16,BB307-16,0)*3+IF(BB307&gt;17,BB307-17,0)*3+IF(BB307&gt;18,BB307-18,0)*3+IF(BB307&gt;19,BB307-19,0)*3+IF(BB307&gt;20,BB307-20,0)*3</f>
        <v>3</v>
      </c>
      <c r="BF307" s="243">
        <f t="shared" si="2037"/>
        <v>260.30769230769232</v>
      </c>
      <c r="BG307" s="218">
        <f t="shared" si="2038"/>
        <v>0</v>
      </c>
      <c r="BH307" s="248"/>
      <c r="BI307" s="303" t="s">
        <v>456</v>
      </c>
      <c r="BJ307" s="218" t="s">
        <v>471</v>
      </c>
      <c r="BK307" s="304" t="s">
        <v>135</v>
      </c>
      <c r="BL307" s="210"/>
      <c r="BM307" s="211"/>
      <c r="BN307" s="211"/>
      <c r="BO307" s="113">
        <f>Konvention_1slave-CHslave</f>
        <v>12</v>
      </c>
      <c r="BP307" s="211"/>
      <c r="BQ307" s="113">
        <f>Konvention_1slave-GEslave</f>
        <v>12</v>
      </c>
      <c r="BR307" s="117">
        <f>Konvention_1slave-KOslave</f>
        <v>12</v>
      </c>
      <c r="BS307" s="212"/>
      <c r="BT307" s="223">
        <f t="shared" si="2039"/>
        <v>12</v>
      </c>
      <c r="BU307" s="223">
        <f t="shared" si="2040"/>
        <v>24</v>
      </c>
      <c r="BV307" s="224">
        <f t="shared" si="2041"/>
        <v>36</v>
      </c>
      <c r="BW307" s="237">
        <f>BL307*POWER(KLslave,SIGN(BM307))*POWER(INslave,SIGN(BN307))*POWER(CHslave,SIGN(BO307))*POWER(FFslave,SIGN(BP307))*POWER(GEslave,SIGN(BQ307))*POWER(KOslave,SIGN(BR307))*POWER(KKslave,SIGN(BS307))+BM307*POWER(MUslave,SIGN(BL307))*POWER(INslave,SIGN(BN307))*POWER(CHslave,SIGN(BO307))*POWER(FFslave,SIGN(BP307))*POWER(GEslave,SIGN(BQ307))*POWER(KOslave,SIGN(BR307))*POWER(KKslave,SIGN(BS307))+BN307*POWER(MUslave,SIGN(BL307))*POWER(KLslave,SIGN(BM307))*POWER(CHslave,SIGN(BO307))*POWER(FFslave,SIGN(BP307))*POWER(GEslave,SIGN(BQ307))*POWER(KOslave,SIGN(BR307))*POWER(KKslave,SIGN(BS307))+BO307*POWER(MUslave,SIGN(BL307))*POWER(KLslave,SIGN(BM307))*POWER(INslave,SIGN(BN307))*POWER(FFslave,SIGN(BP307))*POWER(GEslave,SIGN(BQ307))*POWER(KOslave,SIGN(BR307))*POWER(KKslave,SIGN(BS307))+BP307*POWER(MUslave,SIGN(BL307))*POWER(KLslave,SIGN(BM307))*POWER(INslave,SIGN(BN307))*POWER(CHslave,SIGN(BO307))*POWER(GEslave,SIGN(BQ307))*POWER(KOslave,SIGN(BR307))*POWER(KKslave,SIGN(BS307))+BQ307*POWER(MUslave,SIGN(BL307))*POWER(KLslave,SIGN(BM307))*POWER(INslave,SIGN(BN307))*POWER(CHslave,SIGN(BO307))*POWER(FFslave,SIGN(BP307))*POWER(KOslave,SIGN(BR307))*POWER(KKslave,SIGN(BS307))+BR307*POWER(MUslave,SIGN(BL307))*POWER(KLslave,SIGN(BM307))*POWER(INslave,SIGN(BN307))*POWER(CHslave,SIGN(BO307))*POWER(FFslave,SIGN(BP307))*POWER(GEslave,SIGN(BQ307))*POWER(KKslave,SIGN(BS307))+BS307*POWER(MUslave,SIGN(BL307))*POWER(KLslave,SIGN(BM307))*POWER(INslave,SIGN(BN307))*POWER(CHslave,SIGN(BO307))*POWER(FFslave,SIGN(BP307))*POWER(GEslave,SIGN(BQ307))*POWER(KOslave,SIGN(BR307))</f>
        <v>2304</v>
      </c>
      <c r="BX307" s="234">
        <f>BO307*BQ307*KOslave+BO307*GEslave*BR307+CHslave*BQ307*BR307</f>
        <v>3456</v>
      </c>
      <c r="BY307" s="224">
        <f t="shared" si="2042"/>
        <v>1728</v>
      </c>
      <c r="BZ307" s="224">
        <f t="shared" si="2160"/>
        <v>7488</v>
      </c>
      <c r="CA307" s="222">
        <f t="shared" si="2044"/>
        <v>3.6923076923076925</v>
      </c>
      <c r="CB307" s="223">
        <f t="shared" si="2045"/>
        <v>11.076923076923077</v>
      </c>
      <c r="CC307" s="243">
        <f t="shared" si="2046"/>
        <v>8.3076923076923084</v>
      </c>
      <c r="CD307" s="243">
        <f t="shared" si="2047"/>
        <v>23.07692307692308</v>
      </c>
      <c r="CE307" s="252">
        <f t="shared" si="1833"/>
        <v>0</v>
      </c>
      <c r="CF307" s="324">
        <f t="shared" si="2048"/>
        <v>23.07692307692308</v>
      </c>
      <c r="CG307" s="304">
        <f>IF(CD307&lt;=0,3,0)+IF(CD307&gt;0,CD307+1,0)*3+IF(CD307&gt;12,CD307-12,0)*3+IF(CD307&gt;13,CD307-13,0)*3+IF(CD307&gt;14,CD307-14,0)*3+IF(CD307&gt;15,CD307-15,0)*3+IF(CD307&gt;16,CD307-16,0)*3+IF(CD307&gt;17,CD307-17,0)*3+IF(CD307&gt;18,CD307-18,0)*3+IF(CD307&gt;19,CD307-19,0)*3+IF(CD307&gt;20,CD307-20,0)*3</f>
        <v>263.30769230769232</v>
      </c>
      <c r="CH307" s="335">
        <f>IF(CE307&lt;=0,3,0)+IF(CE307&gt;0,CE307+1,0)*3+IF(CE307&gt;12,CE307-12,0)*3+IF(CE307&gt;13,CE307-13,0)*3+IF(CE307&gt;14,CE307-14,0)*3+IF(CE307&gt;15,CE307-15,0)*3+IF(CE307&gt;16,CE307-16,0)*3+IF(CE307&gt;17,CE307-17,0)*3+IF(CE307&gt;18,CE307-18,0)*3+IF(CE307&gt;19,CE307-19,0)*3+IF(CE307&gt;20,CE307-20,0)*3</f>
        <v>3</v>
      </c>
      <c r="CI307" s="243">
        <f t="shared" si="2050"/>
        <v>260.30769230769232</v>
      </c>
      <c r="CJ307" s="218">
        <f t="shared" si="2051"/>
        <v>0</v>
      </c>
      <c r="CK307" s="248"/>
      <c r="CL307" s="303" t="s">
        <v>456</v>
      </c>
      <c r="CM307" s="218" t="s">
        <v>471</v>
      </c>
      <c r="CN307" s="304" t="s">
        <v>135</v>
      </c>
      <c r="CO307" s="210"/>
      <c r="CP307" s="211"/>
      <c r="CQ307" s="211"/>
      <c r="CR307" s="113">
        <f>Konvention_1slave-CHslave</f>
        <v>12</v>
      </c>
      <c r="CS307" s="211"/>
      <c r="CT307" s="113">
        <f>Konvention_1slave-GEslave</f>
        <v>12</v>
      </c>
      <c r="CU307" s="117">
        <f>Konvention_1slave-KOslave</f>
        <v>12</v>
      </c>
      <c r="CV307" s="212"/>
      <c r="CW307" s="223">
        <f t="shared" si="2052"/>
        <v>12</v>
      </c>
      <c r="CX307" s="223">
        <f t="shared" si="2053"/>
        <v>24</v>
      </c>
      <c r="CY307" s="224">
        <f t="shared" si="2054"/>
        <v>36</v>
      </c>
      <c r="CZ307" s="237">
        <f>CO307*POWER(KLslave,SIGN(CP307))*POWER(INslave,SIGN(CQ307))*POWER(CHslave,SIGN(CR307))*POWER(FFslave,SIGN(CS307))*POWER(GEslave,SIGN(CT307))*POWER(KOslave,SIGN(CU307))*POWER(KKslave,SIGN(CV307))+CP307*POWER(MUslave,SIGN(CO307))*POWER(INslave,SIGN(CQ307))*POWER(CHslave,SIGN(CR307))*POWER(FFslave,SIGN(CS307))*POWER(GEslave,SIGN(CT307))*POWER(KOslave,SIGN(CU307))*POWER(KKslave,SIGN(CV307))+CQ307*POWER(MUslave,SIGN(CO307))*POWER(KLslave,SIGN(CP307))*POWER(CHslave,SIGN(CR307))*POWER(FFslave,SIGN(CS307))*POWER(GEslave,SIGN(CT307))*POWER(KOslave,SIGN(CU307))*POWER(KKslave,SIGN(CV307))+CR307*POWER(MUslave,SIGN(CO307))*POWER(KLslave,SIGN(CP307))*POWER(INslave,SIGN(CQ307))*POWER(FFslave,SIGN(CS307))*POWER(GEslave,SIGN(CT307))*POWER(KOslave,SIGN(CU307))*POWER(KKslave,SIGN(CV307))+CS307*POWER(MUslave,SIGN(CO307))*POWER(KLslave,SIGN(CP307))*POWER(INslave,SIGN(CQ307))*POWER(CHslave,SIGN(CR307))*POWER(GEslave,SIGN(CT307))*POWER(KOslave,SIGN(CU307))*POWER(KKslave,SIGN(CV307))+CT307*POWER(MUslave,SIGN(CO307))*POWER(KLslave,SIGN(CP307))*POWER(INslave,SIGN(CQ307))*POWER(CHslave,SIGN(CR307))*POWER(FFslave,SIGN(CS307))*POWER(KOslave,SIGN(CU307))*POWER(KKslave,SIGN(CV307))+CU307*POWER(MUslave,SIGN(CO307))*POWER(KLslave,SIGN(CP307))*POWER(INslave,SIGN(CQ307))*POWER(CHslave,SIGN(CR307))*POWER(FFslave,SIGN(CS307))*POWER(GEslave,SIGN(CT307))*POWER(KKslave,SIGN(CV307))+CV307*POWER(MUslave,SIGN(CO307))*POWER(KLslave,SIGN(CP307))*POWER(INslave,SIGN(CQ307))*POWER(CHslave,SIGN(CR307))*POWER(FFslave,SIGN(CS307))*POWER(GEslave,SIGN(CT307))*POWER(KOslave,SIGN(CU307))</f>
        <v>2304</v>
      </c>
      <c r="DA307" s="234">
        <f>CR307*CT307*KOslave+CR307*GEslave*CU307+CHslave*CT307*CU307</f>
        <v>3456</v>
      </c>
      <c r="DB307" s="224">
        <f t="shared" si="2055"/>
        <v>1728</v>
      </c>
      <c r="DC307" s="224">
        <f t="shared" si="2162"/>
        <v>7488</v>
      </c>
      <c r="DD307" s="222">
        <f t="shared" si="2057"/>
        <v>3.6923076923076925</v>
      </c>
      <c r="DE307" s="223">
        <f t="shared" si="2058"/>
        <v>11.076923076923077</v>
      </c>
      <c r="DF307" s="243">
        <f t="shared" si="2059"/>
        <v>8.3076923076923084</v>
      </c>
      <c r="DG307" s="243">
        <f t="shared" si="2060"/>
        <v>23.07692307692308</v>
      </c>
      <c r="DH307" s="252">
        <f t="shared" si="1848"/>
        <v>0</v>
      </c>
      <c r="DI307" s="324">
        <f t="shared" si="2061"/>
        <v>23.07692307692308</v>
      </c>
      <c r="DJ307" s="304">
        <f>IF(DG307&lt;=0,3,0)+IF(DG307&gt;0,DG307+1,0)*3+IF(DG307&gt;12,DG307-12,0)*3+IF(DG307&gt;13,DG307-13,0)*3+IF(DG307&gt;14,DG307-14,0)*3+IF(DG307&gt;15,DG307-15,0)*3+IF(DG307&gt;16,DG307-16,0)*3+IF(DG307&gt;17,DG307-17,0)*3+IF(DG307&gt;18,DG307-18,0)*3+IF(DG307&gt;19,DG307-19,0)*3+IF(DG307&gt;20,DG307-20,0)*3</f>
        <v>263.30769230769232</v>
      </c>
      <c r="DK307" s="335">
        <f>IF(DH307&lt;=0,3,0)+IF(DH307&gt;0,DH307+1,0)*3+IF(DH307&gt;12,DH307-12,0)*3+IF(DH307&gt;13,DH307-13,0)*3+IF(DH307&gt;14,DH307-14,0)*3+IF(DH307&gt;15,DH307-15,0)*3+IF(DH307&gt;16,DH307-16,0)*3+IF(DH307&gt;17,DH307-17,0)*3+IF(DH307&gt;18,DH307-18,0)*3+IF(DH307&gt;19,DH307-19,0)*3+IF(DH307&gt;20,DH307-20,0)*3</f>
        <v>3</v>
      </c>
      <c r="DL307" s="243">
        <f t="shared" si="2063"/>
        <v>260.30769230769232</v>
      </c>
      <c r="DM307" s="218">
        <f t="shared" si="2064"/>
        <v>0</v>
      </c>
      <c r="DN307" s="248"/>
      <c r="DO307" s="303" t="s">
        <v>456</v>
      </c>
      <c r="DP307" s="218" t="s">
        <v>471</v>
      </c>
      <c r="DQ307" s="304" t="s">
        <v>135</v>
      </c>
      <c r="DR307" s="210"/>
      <c r="DS307" s="211"/>
      <c r="DT307" s="211"/>
      <c r="DU307" s="113">
        <f>Konvention_1slave-CHslave</f>
        <v>12</v>
      </c>
      <c r="DV307" s="211"/>
      <c r="DW307" s="113">
        <f>Konvention_1slave-GEslave</f>
        <v>12</v>
      </c>
      <c r="DX307" s="117">
        <f>Konvention_1slave-KOslave</f>
        <v>12</v>
      </c>
      <c r="DY307" s="212"/>
      <c r="DZ307" s="223">
        <f t="shared" si="2065"/>
        <v>12</v>
      </c>
      <c r="EA307" s="223">
        <f t="shared" si="2066"/>
        <v>24</v>
      </c>
      <c r="EB307" s="224">
        <f t="shared" si="2067"/>
        <v>36</v>
      </c>
      <c r="EC307" s="237">
        <f>DR307*POWER(KLslave,SIGN(DS307))*POWER(INslave,SIGN(DT307))*POWER(CHslave,SIGN(DU307))*POWER(FFslave,SIGN(DV307))*POWER(GEslave,SIGN(DW307))*POWER(KOslave,SIGN(DX307))*POWER(KKslave,SIGN(DY307))+DS307*POWER(MUslave,SIGN(DR307))*POWER(INslave,SIGN(DT307))*POWER(CHslave,SIGN(DU307))*POWER(FFslave,SIGN(DV307))*POWER(GEslave,SIGN(DW307))*POWER(KOslave,SIGN(DX307))*POWER(KKslave,SIGN(DY307))+DT307*POWER(MUslave,SIGN(DR307))*POWER(KLslave,SIGN(DS307))*POWER(CHslave,SIGN(DU307))*POWER(FFslave,SIGN(DV307))*POWER(GEslave,SIGN(DW307))*POWER(KOslave,SIGN(DX307))*POWER(KKslave,SIGN(DY307))+DU307*POWER(MUslave,SIGN(DR307))*POWER(KLslave,SIGN(DS307))*POWER(INslave,SIGN(DT307))*POWER(FFslave,SIGN(DV307))*POWER(GEslave,SIGN(DW307))*POWER(KOslave,SIGN(DX307))*POWER(KKslave,SIGN(DY307))+DV307*POWER(MUslave,SIGN(DR307))*POWER(KLslave,SIGN(DS307))*POWER(INslave,SIGN(DT307))*POWER(CHslave,SIGN(DU307))*POWER(GEslave,SIGN(DW307))*POWER(KOslave,SIGN(DX307))*POWER(KKslave,SIGN(DY307))+DW307*POWER(MUslave,SIGN(DR307))*POWER(KLslave,SIGN(DS307))*POWER(INslave,SIGN(DT307))*POWER(CHslave,SIGN(DU307))*POWER(FFslave,SIGN(DV307))*POWER(KOslave,SIGN(DX307))*POWER(KKslave,SIGN(DY307))+DX307*POWER(MUslave,SIGN(DR307))*POWER(KLslave,SIGN(DS307))*POWER(INslave,SIGN(DT307))*POWER(CHslave,SIGN(DU307))*POWER(FFslave,SIGN(DV307))*POWER(GEslave,SIGN(DW307))*POWER(KKslave,SIGN(DY307))+DY307*POWER(MUslave,SIGN(DR307))*POWER(KLslave,SIGN(DS307))*POWER(INslave,SIGN(DT307))*POWER(CHslave,SIGN(DU307))*POWER(FFslave,SIGN(DV307))*POWER(GEslave,SIGN(DW307))*POWER(KOslave,SIGN(DX307))</f>
        <v>2304</v>
      </c>
      <c r="ED307" s="234">
        <f>DU307*DW307*KOslave+DU307*GEslave*DX307+CHslave*DW307*DX307</f>
        <v>3456</v>
      </c>
      <c r="EE307" s="224">
        <f t="shared" si="2068"/>
        <v>1728</v>
      </c>
      <c r="EF307" s="224">
        <f t="shared" si="2164"/>
        <v>7488</v>
      </c>
      <c r="EG307" s="222">
        <f t="shared" si="2070"/>
        <v>3.6923076923076925</v>
      </c>
      <c r="EH307" s="223">
        <f t="shared" si="2071"/>
        <v>11.076923076923077</v>
      </c>
      <c r="EI307" s="243">
        <f t="shared" si="2072"/>
        <v>8.3076923076923084</v>
      </c>
      <c r="EJ307" s="243">
        <f t="shared" si="2073"/>
        <v>23.07692307692308</v>
      </c>
      <c r="EK307" s="252">
        <f t="shared" si="1863"/>
        <v>0</v>
      </c>
      <c r="EL307" s="324">
        <f t="shared" si="2074"/>
        <v>23.07692307692308</v>
      </c>
      <c r="EM307" s="304">
        <f>IF(EJ307&lt;=0,3,0)+IF(EJ307&gt;0,EJ307+1,0)*3+IF(EJ307&gt;12,EJ307-12,0)*3+IF(EJ307&gt;13,EJ307-13,0)*3+IF(EJ307&gt;14,EJ307-14,0)*3+IF(EJ307&gt;15,EJ307-15,0)*3+IF(EJ307&gt;16,EJ307-16,0)*3+IF(EJ307&gt;17,EJ307-17,0)*3+IF(EJ307&gt;18,EJ307-18,0)*3+IF(EJ307&gt;19,EJ307-19,0)*3+IF(EJ307&gt;20,EJ307-20,0)*3</f>
        <v>263.30769230769232</v>
      </c>
      <c r="EN307" s="335">
        <f>IF(EK307&lt;=0,3,0)+IF(EK307&gt;0,EK307+1,0)*3+IF(EK307&gt;12,EK307-12,0)*3+IF(EK307&gt;13,EK307-13,0)*3+IF(EK307&gt;14,EK307-14,0)*3+IF(EK307&gt;15,EK307-15,0)*3+IF(EK307&gt;16,EK307-16,0)*3+IF(EK307&gt;17,EK307-17,0)*3+IF(EK307&gt;18,EK307-18,0)*3+IF(EK307&gt;19,EK307-19,0)*3+IF(EK307&gt;20,EK307-20,0)*3</f>
        <v>3</v>
      </c>
      <c r="EO307" s="243">
        <f t="shared" si="2076"/>
        <v>260.30769230769232</v>
      </c>
      <c r="EP307" s="218">
        <f t="shared" si="2077"/>
        <v>0</v>
      </c>
      <c r="EQ307" s="248"/>
      <c r="ER307" s="303" t="s">
        <v>456</v>
      </c>
      <c r="ES307" s="218" t="s">
        <v>471</v>
      </c>
      <c r="ET307" s="304" t="s">
        <v>135</v>
      </c>
      <c r="EU307" s="210"/>
      <c r="EV307" s="211"/>
      <c r="EW307" s="211"/>
      <c r="EX307" s="113">
        <f>Konvention_1slave-CHslave</f>
        <v>12</v>
      </c>
      <c r="EY307" s="211"/>
      <c r="EZ307" s="113">
        <f>Konvention_1slave-GEslave</f>
        <v>12</v>
      </c>
      <c r="FA307" s="117">
        <f>Konvention_1slave-KOslave</f>
        <v>12</v>
      </c>
      <c r="FB307" s="212"/>
      <c r="FC307" s="223">
        <f t="shared" si="2078"/>
        <v>12</v>
      </c>
      <c r="FD307" s="223">
        <f t="shared" si="2079"/>
        <v>24</v>
      </c>
      <c r="FE307" s="224">
        <f t="shared" si="2080"/>
        <v>36</v>
      </c>
      <c r="FF307" s="237">
        <f>EU307*POWER(KLslave,SIGN(EV307))*POWER(INslave,SIGN(EW307))*POWER(CHslave,SIGN(EX307))*POWER(FFslave,SIGN(EY307))*POWER(GEslave,SIGN(EZ307))*POWER(KOslave,SIGN(FA307))*POWER(KKslave,SIGN(FB307))+EV307*POWER(MUslave,SIGN(EU307))*POWER(INslave,SIGN(EW307))*POWER(CHslave,SIGN(EX307))*POWER(FFslave,SIGN(EY307))*POWER(GEslave,SIGN(EZ307))*POWER(KOslave,SIGN(FA307))*POWER(KKslave,SIGN(FB307))+EW307*POWER(MUslave,SIGN(EU307))*POWER(KLslave,SIGN(EV307))*POWER(CHslave,SIGN(EX307))*POWER(FFslave,SIGN(EY307))*POWER(GEslave,SIGN(EZ307))*POWER(KOslave,SIGN(FA307))*POWER(KKslave,SIGN(FB307))+EX307*POWER(MUslave,SIGN(EU307))*POWER(KLslave,SIGN(EV307))*POWER(INslave,SIGN(EW307))*POWER(FFslave,SIGN(EY307))*POWER(GEslave,SIGN(EZ307))*POWER(KOslave,SIGN(FA307))*POWER(KKslave,SIGN(FB307))+EY307*POWER(MUslave,SIGN(EU307))*POWER(KLslave,SIGN(EV307))*POWER(INslave,SIGN(EW307))*POWER(CHslave,SIGN(EX307))*POWER(GEslave,SIGN(EZ307))*POWER(KOslave,SIGN(FA307))*POWER(KKslave,SIGN(FB307))+EZ307*POWER(MUslave,SIGN(EU307))*POWER(KLslave,SIGN(EV307))*POWER(INslave,SIGN(EW307))*POWER(CHslave,SIGN(EX307))*POWER(FFslave,SIGN(EY307))*POWER(KOslave,SIGN(FA307))*POWER(KKslave,SIGN(FB307))+FA307*POWER(MUslave,SIGN(EU307))*POWER(KLslave,SIGN(EV307))*POWER(INslave,SIGN(EW307))*POWER(CHslave,SIGN(EX307))*POWER(FFslave,SIGN(EY307))*POWER(GEslave,SIGN(EZ307))*POWER(KKslave,SIGN(FB307))+FB307*POWER(MUslave,SIGN(EU307))*POWER(KLslave,SIGN(EV307))*POWER(INslave,SIGN(EW307))*POWER(CHslave,SIGN(EX307))*POWER(FFslave,SIGN(EY307))*POWER(GEslave,SIGN(EZ307))*POWER(KOslave,SIGN(FA307))</f>
        <v>2304</v>
      </c>
      <c r="FG307" s="234">
        <f>EX307*EZ307*KOslave+EX307*GEslave*FA307+CHslave*EZ307*FA307</f>
        <v>3456</v>
      </c>
      <c r="FH307" s="224">
        <f t="shared" si="2081"/>
        <v>1728</v>
      </c>
      <c r="FI307" s="224">
        <f t="shared" si="2166"/>
        <v>7488</v>
      </c>
      <c r="FJ307" s="222">
        <f t="shared" si="2083"/>
        <v>3.6923076923076925</v>
      </c>
      <c r="FK307" s="223">
        <f t="shared" si="2084"/>
        <v>11.076923076923077</v>
      </c>
      <c r="FL307" s="243">
        <f t="shared" si="2085"/>
        <v>8.3076923076923084</v>
      </c>
      <c r="FM307" s="243">
        <f t="shared" si="2086"/>
        <v>23.07692307692308</v>
      </c>
      <c r="FN307" s="252">
        <f t="shared" si="1878"/>
        <v>0</v>
      </c>
      <c r="FO307" s="324">
        <f t="shared" si="2087"/>
        <v>23.07692307692308</v>
      </c>
      <c r="FP307" s="304">
        <f>IF(FM307&lt;=0,3,0)+IF(FM307&gt;0,FM307+1,0)*3+IF(FM307&gt;12,FM307-12,0)*3+IF(FM307&gt;13,FM307-13,0)*3+IF(FM307&gt;14,FM307-14,0)*3+IF(FM307&gt;15,FM307-15,0)*3+IF(FM307&gt;16,FM307-16,0)*3+IF(FM307&gt;17,FM307-17,0)*3+IF(FM307&gt;18,FM307-18,0)*3+IF(FM307&gt;19,FM307-19,0)*3+IF(FM307&gt;20,FM307-20,0)*3</f>
        <v>263.30769230769232</v>
      </c>
      <c r="FQ307" s="335">
        <f>IF(FN307&lt;=0,3,0)+IF(FN307&gt;0,FN307+1,0)*3+IF(FN307&gt;12,FN307-12,0)*3+IF(FN307&gt;13,FN307-13,0)*3+IF(FN307&gt;14,FN307-14,0)*3+IF(FN307&gt;15,FN307-15,0)*3+IF(FN307&gt;16,FN307-16,0)*3+IF(FN307&gt;17,FN307-17,0)*3+IF(FN307&gt;18,FN307-18,0)*3+IF(FN307&gt;19,FN307-19,0)*3+IF(FN307&gt;20,FN307-20,0)*3</f>
        <v>3</v>
      </c>
      <c r="FR307" s="243">
        <f t="shared" si="2089"/>
        <v>260.30769230769232</v>
      </c>
      <c r="FS307" s="218">
        <f t="shared" si="2090"/>
        <v>0</v>
      </c>
      <c r="FT307" s="248"/>
      <c r="FU307" s="303" t="s">
        <v>456</v>
      </c>
      <c r="FV307" s="218" t="s">
        <v>471</v>
      </c>
      <c r="FW307" s="304" t="s">
        <v>135</v>
      </c>
      <c r="FX307" s="210"/>
      <c r="FY307" s="211"/>
      <c r="FZ307" s="211"/>
      <c r="GA307" s="113">
        <f>Konvention_1slave-CHslave</f>
        <v>12</v>
      </c>
      <c r="GB307" s="211"/>
      <c r="GC307" s="113">
        <f>Konvention_1slave-GEslave</f>
        <v>12</v>
      </c>
      <c r="GD307" s="117">
        <f>Konvention_1slave-KOslave</f>
        <v>12</v>
      </c>
      <c r="GE307" s="212"/>
      <c r="GF307" s="223">
        <f t="shared" si="2091"/>
        <v>12</v>
      </c>
      <c r="GG307" s="223">
        <f t="shared" si="2092"/>
        <v>24</v>
      </c>
      <c r="GH307" s="224">
        <f t="shared" si="2093"/>
        <v>36</v>
      </c>
      <c r="GI307" s="237">
        <f>FX307*POWER(KLslave,SIGN(FY307))*POWER(INslave,SIGN(FZ307))*POWER(CHslave,SIGN(GA307))*POWER(FFslave,SIGN(GB307))*POWER(GEslave,SIGN(GC307))*POWER(KOslave,SIGN(GD307))*POWER(KKslave,SIGN(GE307))+FY307*POWER(MUslave,SIGN(FX307))*POWER(INslave,SIGN(FZ307))*POWER(CHslave,SIGN(GA307))*POWER(FFslave,SIGN(GB307))*POWER(GEslave,SIGN(GC307))*POWER(KOslave,SIGN(GD307))*POWER(KKslave,SIGN(GE307))+FZ307*POWER(MUslave,SIGN(FX307))*POWER(KLslave,SIGN(FY307))*POWER(CHslave,SIGN(GA307))*POWER(FFslave,SIGN(GB307))*POWER(GEslave,SIGN(GC307))*POWER(KOslave,SIGN(GD307))*POWER(KKslave,SIGN(GE307))+GA307*POWER(MUslave,SIGN(FX307))*POWER(KLslave,SIGN(FY307))*POWER(INslave,SIGN(FZ307))*POWER(FFslave,SIGN(GB307))*POWER(GEslave,SIGN(GC307))*POWER(KOslave,SIGN(GD307))*POWER(KKslave,SIGN(GE307))+GB307*POWER(MUslave,SIGN(FX307))*POWER(KLslave,SIGN(FY307))*POWER(INslave,SIGN(FZ307))*POWER(CHslave,SIGN(GA307))*POWER(GEslave,SIGN(GC307))*POWER(KOslave,SIGN(GD307))*POWER(KKslave,SIGN(GE307))+GC307*POWER(MUslave,SIGN(FX307))*POWER(KLslave,SIGN(FY307))*POWER(INslave,SIGN(FZ307))*POWER(CHslave,SIGN(GA307))*POWER(FFslave,SIGN(GB307))*POWER(KOslave,SIGN(GD307))*POWER(KKslave,SIGN(GE307))+GD307*POWER(MUslave,SIGN(FX307))*POWER(KLslave,SIGN(FY307))*POWER(INslave,SIGN(FZ307))*POWER(CHslave,SIGN(GA307))*POWER(FFslave,SIGN(GB307))*POWER(GEslave,SIGN(GC307))*POWER(KKslave,SIGN(GE307))+GE307*POWER(MUslave,SIGN(FX307))*POWER(KLslave,SIGN(FY307))*POWER(INslave,SIGN(FZ307))*POWER(CHslave,SIGN(GA307))*POWER(FFslave,SIGN(GB307))*POWER(GEslave,SIGN(GC307))*POWER(KOslave,SIGN(GD307))</f>
        <v>2304</v>
      </c>
      <c r="GJ307" s="234">
        <f>GA307*GC307*KOslave+GA307*GEslave*GD307+CHslave*GC307*GD307</f>
        <v>3456</v>
      </c>
      <c r="GK307" s="224">
        <f t="shared" si="2094"/>
        <v>1728</v>
      </c>
      <c r="GL307" s="224">
        <f t="shared" si="2168"/>
        <v>7488</v>
      </c>
      <c r="GM307" s="222">
        <f t="shared" si="2096"/>
        <v>3.6923076923076925</v>
      </c>
      <c r="GN307" s="223">
        <f t="shared" si="2097"/>
        <v>11.076923076923077</v>
      </c>
      <c r="GO307" s="243">
        <f t="shared" si="2098"/>
        <v>8.3076923076923084</v>
      </c>
      <c r="GP307" s="243">
        <f t="shared" si="2099"/>
        <v>23.07692307692308</v>
      </c>
      <c r="GQ307" s="252">
        <f t="shared" si="1893"/>
        <v>0</v>
      </c>
      <c r="GR307" s="324">
        <f t="shared" si="2100"/>
        <v>23.07692307692308</v>
      </c>
      <c r="GS307" s="304">
        <f>IF(GP307&lt;=0,3,0)+IF(GP307&gt;0,GP307+1,0)*3+IF(GP307&gt;12,GP307-12,0)*3+IF(GP307&gt;13,GP307-13,0)*3+IF(GP307&gt;14,GP307-14,0)*3+IF(GP307&gt;15,GP307-15,0)*3+IF(GP307&gt;16,GP307-16,0)*3+IF(GP307&gt;17,GP307-17,0)*3+IF(GP307&gt;18,GP307-18,0)*3+IF(GP307&gt;19,GP307-19,0)*3+IF(GP307&gt;20,GP307-20,0)*3</f>
        <v>263.30769230769232</v>
      </c>
      <c r="GT307" s="335">
        <f>IF(GQ307&lt;=0,3,0)+IF(GQ307&gt;0,GQ307+1,0)*3+IF(GQ307&gt;12,GQ307-12,0)*3+IF(GQ307&gt;13,GQ307-13,0)*3+IF(GQ307&gt;14,GQ307-14,0)*3+IF(GQ307&gt;15,GQ307-15,0)*3+IF(GQ307&gt;16,GQ307-16,0)*3+IF(GQ307&gt;17,GQ307-17,0)*3+IF(GQ307&gt;18,GQ307-18,0)*3+IF(GQ307&gt;19,GQ307-19,0)*3+IF(GQ307&gt;20,GQ307-20,0)*3</f>
        <v>3</v>
      </c>
      <c r="GU307" s="243">
        <f t="shared" si="2102"/>
        <v>260.30769230769232</v>
      </c>
      <c r="GV307" s="218">
        <f t="shared" si="2103"/>
        <v>0</v>
      </c>
      <c r="GW307" s="248"/>
      <c r="GX307" s="303" t="s">
        <v>456</v>
      </c>
      <c r="GY307" s="218" t="s">
        <v>471</v>
      </c>
      <c r="GZ307" s="304" t="s">
        <v>135</v>
      </c>
      <c r="HA307" s="210"/>
      <c r="HB307" s="211"/>
      <c r="HC307" s="211"/>
      <c r="HD307" s="113">
        <f>Konvention_1slave-CHslave</f>
        <v>12</v>
      </c>
      <c r="HE307" s="211"/>
      <c r="HF307" s="113">
        <f>Konvention_1slave-GEslave</f>
        <v>12</v>
      </c>
      <c r="HG307" s="117">
        <f>Konvention_1slave-KOslave</f>
        <v>12</v>
      </c>
      <c r="HH307" s="212"/>
      <c r="HI307" s="223">
        <f t="shared" si="2104"/>
        <v>12</v>
      </c>
      <c r="HJ307" s="223">
        <f t="shared" si="2105"/>
        <v>24</v>
      </c>
      <c r="HK307" s="224">
        <f t="shared" si="2106"/>
        <v>36</v>
      </c>
      <c r="HL307" s="237">
        <f>HA307*POWER(KLslave,SIGN(HB307))*POWER(INslave,SIGN(HC307))*POWER(CHslave,SIGN(HD307))*POWER(FFslave,SIGN(HE307))*POWER(GEslave,SIGN(HF307))*POWER(KOslave,SIGN(HG307))*POWER(KKslave,SIGN(HH307))+HB307*POWER(MUslave,SIGN(HA307))*POWER(INslave,SIGN(HC307))*POWER(CHslave,SIGN(HD307))*POWER(FFslave,SIGN(HE307))*POWER(GEslave,SIGN(HF307))*POWER(KOslave,SIGN(HG307))*POWER(KKslave,SIGN(HH307))+HC307*POWER(MUslave,SIGN(HA307))*POWER(KLslave,SIGN(HB307))*POWER(CHslave,SIGN(HD307))*POWER(FFslave,SIGN(HE307))*POWER(GEslave,SIGN(HF307))*POWER(KOslave,SIGN(HG307))*POWER(KKslave,SIGN(HH307))+HD307*POWER(MUslave,SIGN(HA307))*POWER(KLslave,SIGN(HB307))*POWER(INslave,SIGN(HC307))*POWER(FFslave,SIGN(HE307))*POWER(GEslave,SIGN(HF307))*POWER(KOslave,SIGN(HG307))*POWER(KKslave,SIGN(HH307))+HE307*POWER(MUslave,SIGN(HA307))*POWER(KLslave,SIGN(HB307))*POWER(INslave,SIGN(HC307))*POWER(CHslave,SIGN(HD307))*POWER(GEslave,SIGN(HF307))*POWER(KOslave,SIGN(HG307))*POWER(KKslave,SIGN(HH307))+HF307*POWER(MUslave,SIGN(HA307))*POWER(KLslave,SIGN(HB307))*POWER(INslave,SIGN(HC307))*POWER(CHslave,SIGN(HD307))*POWER(FFslave,SIGN(HE307))*POWER(KOslave,SIGN(HG307))*POWER(KKslave,SIGN(HH307))+HG307*POWER(MUslave,SIGN(HA307))*POWER(KLslave,SIGN(HB307))*POWER(INslave,SIGN(HC307))*POWER(CHslave,SIGN(HD307))*POWER(FFslave,SIGN(HE307))*POWER(GEslave,SIGN(HF307))*POWER(KKslave,SIGN(HH307))+HH307*POWER(MUslave,SIGN(HA307))*POWER(KLslave,SIGN(HB307))*POWER(INslave,SIGN(HC307))*POWER(CHslave,SIGN(HD307))*POWER(FFslave,SIGN(HE307))*POWER(GEslave,SIGN(HF307))*POWER(KOslave,SIGN(HG307))</f>
        <v>2304</v>
      </c>
      <c r="HM307" s="234">
        <f>HD307*HF307*KOslave+HD307*GEslave*HG307+CHslave*HF307*HG307</f>
        <v>3456</v>
      </c>
      <c r="HN307" s="224">
        <f t="shared" si="2107"/>
        <v>1728</v>
      </c>
      <c r="HO307" s="224">
        <f t="shared" si="2170"/>
        <v>7488</v>
      </c>
      <c r="HP307" s="222">
        <f t="shared" si="2109"/>
        <v>3.6923076923076925</v>
      </c>
      <c r="HQ307" s="223">
        <f t="shared" si="2110"/>
        <v>11.076923076923077</v>
      </c>
      <c r="HR307" s="243">
        <f t="shared" si="2111"/>
        <v>8.3076923076923084</v>
      </c>
      <c r="HS307" s="243">
        <f t="shared" si="2112"/>
        <v>23.07692307692308</v>
      </c>
      <c r="HT307" s="252">
        <f t="shared" si="1908"/>
        <v>0</v>
      </c>
      <c r="HU307" s="324">
        <f t="shared" si="2113"/>
        <v>23.07692307692308</v>
      </c>
      <c r="HV307" s="304">
        <f>IF(HS307&lt;=0,3,0)+IF(HS307&gt;0,HS307+1,0)*3+IF(HS307&gt;12,HS307-12,0)*3+IF(HS307&gt;13,HS307-13,0)*3+IF(HS307&gt;14,HS307-14,0)*3+IF(HS307&gt;15,HS307-15,0)*3+IF(HS307&gt;16,HS307-16,0)*3+IF(HS307&gt;17,HS307-17,0)*3+IF(HS307&gt;18,HS307-18,0)*3+IF(HS307&gt;19,HS307-19,0)*3+IF(HS307&gt;20,HS307-20,0)*3</f>
        <v>263.30769230769232</v>
      </c>
      <c r="HW307" s="335">
        <f>IF(HT307&lt;=0,3,0)+IF(HT307&gt;0,HT307+1,0)*3+IF(HT307&gt;12,HT307-12,0)*3+IF(HT307&gt;13,HT307-13,0)*3+IF(HT307&gt;14,HT307-14,0)*3+IF(HT307&gt;15,HT307-15,0)*3+IF(HT307&gt;16,HT307-16,0)*3+IF(HT307&gt;17,HT307-17,0)*3+IF(HT307&gt;18,HT307-18,0)*3+IF(HT307&gt;19,HT307-19,0)*3+IF(HT307&gt;20,HT307-20,0)*3</f>
        <v>3</v>
      </c>
      <c r="HX307" s="243">
        <f t="shared" si="2115"/>
        <v>260.30769230769232</v>
      </c>
      <c r="HY307" s="218">
        <f t="shared" si="2116"/>
        <v>0</v>
      </c>
      <c r="HZ307" s="248"/>
      <c r="IA307" s="303" t="s">
        <v>456</v>
      </c>
      <c r="IB307" s="218" t="s">
        <v>471</v>
      </c>
      <c r="IC307" s="304" t="s">
        <v>135</v>
      </c>
      <c r="ID307" s="210"/>
      <c r="IE307" s="211"/>
      <c r="IF307" s="211"/>
      <c r="IG307" s="113">
        <f>Konvention_1slave-CHslave</f>
        <v>12</v>
      </c>
      <c r="IH307" s="211"/>
      <c r="II307" s="113">
        <f>Konvention_1slave-GEslave</f>
        <v>12</v>
      </c>
      <c r="IJ307" s="117">
        <f>Konvention_1slave-KOslave</f>
        <v>12</v>
      </c>
      <c r="IK307" s="212"/>
      <c r="IL307" s="223">
        <f t="shared" si="2117"/>
        <v>12</v>
      </c>
      <c r="IM307" s="223">
        <f t="shared" si="2118"/>
        <v>24</v>
      </c>
      <c r="IN307" s="224">
        <f t="shared" si="2119"/>
        <v>36</v>
      </c>
      <c r="IO307" s="237">
        <f>ID307*POWER(KLslave,SIGN(IE307))*POWER(INslave,SIGN(IF307))*POWER(CHslave,SIGN(IG307))*POWER(FFslave,SIGN(IH307))*POWER(GEslave,SIGN(II307))*POWER(KOslave,SIGN(IJ307))*POWER(KKslave,SIGN(IK307))+IE307*POWER(MUslave,SIGN(ID307))*POWER(INslave,SIGN(IF307))*POWER(CHslave,SIGN(IG307))*POWER(FFslave,SIGN(IH307))*POWER(GEslave,SIGN(II307))*POWER(KOslave,SIGN(IJ307))*POWER(KKslave,SIGN(IK307))+IF307*POWER(MUslave,SIGN(ID307))*POWER(KLslave,SIGN(IE307))*POWER(CHslave,SIGN(IG307))*POWER(FFslave,SIGN(IH307))*POWER(GEslave,SIGN(II307))*POWER(KOslave,SIGN(IJ307))*POWER(KKslave,SIGN(IK307))+IG307*POWER(MUslave,SIGN(ID307))*POWER(KLslave,SIGN(IE307))*POWER(INslave,SIGN(IF307))*POWER(FFslave,SIGN(IH307))*POWER(GEslave,SIGN(II307))*POWER(KOslave,SIGN(IJ307))*POWER(KKslave,SIGN(IK307))+IH307*POWER(MUslave,SIGN(ID307))*POWER(KLslave,SIGN(IE307))*POWER(INslave,SIGN(IF307))*POWER(CHslave,SIGN(IG307))*POWER(GEslave,SIGN(II307))*POWER(KOslave,SIGN(IJ307))*POWER(KKslave,SIGN(IK307))+II307*POWER(MUslave,SIGN(ID307))*POWER(KLslave,SIGN(IE307))*POWER(INslave,SIGN(IF307))*POWER(CHslave,SIGN(IG307))*POWER(FFslave,SIGN(IH307))*POWER(KOslave,SIGN(IJ307))*POWER(KKslave,SIGN(IK307))+IJ307*POWER(MUslave,SIGN(ID307))*POWER(KLslave,SIGN(IE307))*POWER(INslave,SIGN(IF307))*POWER(CHslave,SIGN(IG307))*POWER(FFslave,SIGN(IH307))*POWER(GEslave,SIGN(II307))*POWER(KKslave,SIGN(IK307))+IK307*POWER(MUslave,SIGN(ID307))*POWER(KLslave,SIGN(IE307))*POWER(INslave,SIGN(IF307))*POWER(CHslave,SIGN(IG307))*POWER(FFslave,SIGN(IH307))*POWER(GEslave,SIGN(II307))*POWER(KOslave,SIGN(IJ307))</f>
        <v>2304</v>
      </c>
      <c r="IP307" s="234">
        <f>IG307*II307*KOslave+IG307*GEslave*IJ307+CHslave*II307*IJ307</f>
        <v>3456</v>
      </c>
      <c r="IQ307" s="224">
        <f t="shared" si="2120"/>
        <v>1728</v>
      </c>
      <c r="IR307" s="224">
        <f t="shared" si="2172"/>
        <v>7488</v>
      </c>
      <c r="IS307" s="222">
        <f t="shared" si="2122"/>
        <v>3.6923076923076925</v>
      </c>
      <c r="IT307" s="223">
        <f t="shared" si="2123"/>
        <v>11.076923076923077</v>
      </c>
      <c r="IU307" s="243">
        <f t="shared" si="2124"/>
        <v>8.3076923076923084</v>
      </c>
      <c r="IV307" s="243">
        <f t="shared" si="2125"/>
        <v>23.07692307692308</v>
      </c>
      <c r="IW307" s="252">
        <f t="shared" si="1923"/>
        <v>0</v>
      </c>
      <c r="IX307" s="324">
        <f t="shared" si="2126"/>
        <v>23.07692307692308</v>
      </c>
      <c r="IY307" s="304">
        <f>IF(IV307&lt;=0,3,0)+IF(IV307&gt;0,IV307+1,0)*3+IF(IV307&gt;12,IV307-12,0)*3+IF(IV307&gt;13,IV307-13,0)*3+IF(IV307&gt;14,IV307-14,0)*3+IF(IV307&gt;15,IV307-15,0)*3+IF(IV307&gt;16,IV307-16,0)*3+IF(IV307&gt;17,IV307-17,0)*3+IF(IV307&gt;18,IV307-18,0)*3+IF(IV307&gt;19,IV307-19,0)*3+IF(IV307&gt;20,IV307-20,0)*3</f>
        <v>263.30769230769232</v>
      </c>
      <c r="IZ307" s="335">
        <f>IF(IW307&lt;=0,3,0)+IF(IW307&gt;0,IW307+1,0)*3+IF(IW307&gt;12,IW307-12,0)*3+IF(IW307&gt;13,IW307-13,0)*3+IF(IW307&gt;14,IW307-14,0)*3+IF(IW307&gt;15,IW307-15,0)*3+IF(IW307&gt;16,IW307-16,0)*3+IF(IW307&gt;17,IW307-17,0)*3+IF(IW307&gt;18,IW307-18,0)*3+IF(IW307&gt;19,IW307-19,0)*3+IF(IW307&gt;20,IW307-20,0)*3</f>
        <v>3</v>
      </c>
      <c r="JA307" s="243">
        <f t="shared" si="2128"/>
        <v>260.30769230769232</v>
      </c>
      <c r="JB307" s="218">
        <f t="shared" si="2129"/>
        <v>0</v>
      </c>
    </row>
    <row r="308" spans="1:265" ht="15" hidden="1" customHeight="1" outlineLevel="2">
      <c r="A308" s="185"/>
      <c r="B308" s="217">
        <v>11</v>
      </c>
      <c r="C308" s="303" t="e">
        <f>VLOOKUP(AF308,Attribute!C:T,1,FALSE)</f>
        <v>#N/A</v>
      </c>
      <c r="D308" s="218" t="s">
        <v>87</v>
      </c>
      <c r="E308" s="304" t="s">
        <v>132</v>
      </c>
      <c r="F308" s="120"/>
      <c r="G308" s="117">
        <f>Konvention_1master-KLmaster</f>
        <v>12</v>
      </c>
      <c r="H308" s="117">
        <f t="shared" ref="H308" si="2252">Konvention_1master-INmaster</f>
        <v>12</v>
      </c>
      <c r="I308" s="117">
        <f t="shared" si="2155"/>
        <v>12</v>
      </c>
      <c r="J308" s="117"/>
      <c r="K308" s="117"/>
      <c r="L308" s="117"/>
      <c r="M308" s="121"/>
      <c r="N308" s="223">
        <f t="shared" si="2010"/>
        <v>12</v>
      </c>
      <c r="O308" s="223">
        <f t="shared" si="2011"/>
        <v>24</v>
      </c>
      <c r="P308" s="224">
        <f t="shared" si="2012"/>
        <v>36</v>
      </c>
      <c r="Q308" s="237">
        <f t="shared" si="2013"/>
        <v>2304</v>
      </c>
      <c r="R308" s="117">
        <f>G308*H308*CHmaster+G308*INmaster*I308+KLmaster*H308*I308</f>
        <v>3456</v>
      </c>
      <c r="S308" s="224">
        <f t="shared" si="2014"/>
        <v>1728</v>
      </c>
      <c r="T308" s="224">
        <f t="shared" ref="T308" si="2253">SUM(Q308:S308)</f>
        <v>7488</v>
      </c>
      <c r="U308" s="222">
        <f t="shared" si="2016"/>
        <v>3.6923076923076925</v>
      </c>
      <c r="V308" s="223">
        <f t="shared" si="2017"/>
        <v>11.076923076923077</v>
      </c>
      <c r="W308" s="243">
        <f t="shared" si="2018"/>
        <v>8.3076923076923084</v>
      </c>
      <c r="X308" s="243">
        <f t="shared" ref="X308:X311" si="2254">SUM(U308:W308)</f>
        <v>23.07692307692308</v>
      </c>
      <c r="Y308" s="252">
        <v>0</v>
      </c>
      <c r="Z308" s="324">
        <f t="shared" si="2020"/>
        <v>23.07692307692308</v>
      </c>
      <c r="AA308" s="304">
        <f t="shared" ref="AA308:AA310" si="2255">IF(X308&lt;=0,2,0)+IF(X308&gt;0,X308+1,0)*2+IF(X308&gt;12,X308-12,0)*2+IF(X308&gt;13,X308-13,0)*2+IF(X308&gt;14,X308-14,0)*2+IF(X308&gt;15,X308-15,0)*2+IF(X308&gt;16,X308-16,0)*2+IF(X308&gt;17,X308-17,0)*2+IF(X308&gt;18,X308-18,0)*2+IF(X308&gt;19,X308-19,0)*2+IF(X308&gt;20,X308-20,0)*2</f>
        <v>175.5384615384616</v>
      </c>
      <c r="AB308" s="335">
        <f t="shared" ref="AB308:AB310" si="2256">IF(Y308&lt;=0,2,0)+IF(Y308&gt;0,Y308+1,0)*2+IF(Y308&gt;12,Y308-12,0)*2+IF(Y308&gt;13,Y308-13,0)*2+IF(Y308&gt;14,Y308-14,0)*2+IF(Y308&gt;15,Y308-15,0)*2+IF(Y308&gt;16,Y308-16,0)*2+IF(Y308&gt;17,Y308-17,0)*2+IF(Y308&gt;18,Y308-18,0)*2+IF(Y308&gt;19,Y308-19,0)*2+IF(Y308&gt;20,Y308-20,0)*2</f>
        <v>2</v>
      </c>
      <c r="AC308" s="243">
        <f t="shared" si="2023"/>
        <v>173.5384615384616</v>
      </c>
      <c r="AD308" s="218">
        <f t="shared" si="2024"/>
        <v>0</v>
      </c>
      <c r="AE308" s="140"/>
      <c r="AF308" s="303" t="s">
        <v>457</v>
      </c>
      <c r="AG308" s="218" t="s">
        <v>87</v>
      </c>
      <c r="AH308" s="304" t="s">
        <v>132</v>
      </c>
      <c r="AI308" s="120"/>
      <c r="AJ308" s="117">
        <f>Konvention_1slave-KLslave</f>
        <v>12</v>
      </c>
      <c r="AK308" s="117">
        <f t="shared" ref="AK308" si="2257">Konvention_1slave-INslave</f>
        <v>12</v>
      </c>
      <c r="AL308" s="117">
        <f t="shared" ref="AL308" si="2258">Konvention_1slave-CHslave</f>
        <v>12</v>
      </c>
      <c r="AM308" s="117"/>
      <c r="AN308" s="117"/>
      <c r="AO308" s="117"/>
      <c r="AP308" s="121"/>
      <c r="AQ308" s="223">
        <f t="shared" si="2025"/>
        <v>12</v>
      </c>
      <c r="AR308" s="223">
        <f t="shared" si="2026"/>
        <v>24</v>
      </c>
      <c r="AS308" s="224">
        <f t="shared" si="2027"/>
        <v>36</v>
      </c>
      <c r="AT308" s="237">
        <f t="shared" ref="AT308:AT310" si="2259">AI308*POWER(KLslave,SIGN(AJ308))*POWER(INslave,SIGN(AK308))*POWER(CHslave,SIGN(AL308))*POWER(FFslave,SIGN(AM308))*POWER(GEslave,SIGN(AN308))*POWER(KOslave,SIGN(AO308))*POWER(KKslave,SIGN(AP308))+AJ308*POWER(MUslave_MU,SIGN(AI308))*POWER(INslave,SIGN(AK308))*POWER(CHslave,SIGN(AL308))*POWER(FFslave,SIGN(AM308))*POWER(GEslave,SIGN(AN308))*POWER(KOslave,SIGN(AO308))*POWER(KKslave,SIGN(AP308))+AK308*POWER(MUslave_MU,SIGN(AI308))*POWER(KLslave,SIGN(AJ308))*POWER(CHslave,SIGN(AL308))*POWER(FFslave,SIGN(AM308))*POWER(GEslave,SIGN(AN308))*POWER(KOslave,SIGN(AO308))*POWER(KKslave,SIGN(AP308))+AL308*POWER(MUslave_MU,SIGN(AI308))*POWER(KLslave,SIGN(AJ308))*POWER(INslave,SIGN(AK308))*POWER(FFslave,SIGN(AM308))*POWER(GEslave,SIGN(AN308))*POWER(KOslave,SIGN(AO308))*POWER(KKslave,SIGN(AP308))+AM308*POWER(MUslave_MU,SIGN(AI308))*POWER(KLslave,SIGN(AJ308))*POWER(INslave,SIGN(AK308))*POWER(CHslave,SIGN(AL308))*POWER(GEslave,SIGN(AN308))*POWER(KOslave,SIGN(AO308))*POWER(KKslave,SIGN(AP308))+AN308*POWER(MUslave_MU,SIGN(AI308))*POWER(KLslave,SIGN(AJ308))*POWER(INslave,SIGN(AK308))*POWER(CHslave,SIGN(AL308))*POWER(FFslave,SIGN(AM308))*POWER(KOslave,SIGN(AO308))*POWER(KKslave,SIGN(AP308))+AO308*POWER(MUslave_MU,SIGN(AI308))*POWER(KLslave,SIGN(AJ308))*POWER(INslave,SIGN(AK308))*POWER(CHslave,SIGN(AL308))*POWER(FFslave,SIGN(AM308))*POWER(GEslave,SIGN(AN308))*POWER(KKslave,SIGN(AP308))+AP308*POWER(MUslave_MU,SIGN(AI308))*POWER(KLslave,SIGN(AJ308))*POWER(INslave,SIGN(AK308))*POWER(CHslave,SIGN(AL308))*POWER(FFslave,SIGN(AM308))*POWER(GEslave,SIGN(AN308))*POWER(KOslave,SIGN(AO308))</f>
        <v>2304</v>
      </c>
      <c r="AU308" s="117">
        <f>AJ308*AK308*CHslave+AJ308*INslave*AL308+KLslave*AK308*AL308</f>
        <v>3456</v>
      </c>
      <c r="AV308" s="224">
        <f t="shared" si="2028"/>
        <v>1728</v>
      </c>
      <c r="AW308" s="224">
        <f t="shared" si="2158"/>
        <v>7488</v>
      </c>
      <c r="AX308" s="222">
        <f t="shared" si="2030"/>
        <v>3.6923076923076925</v>
      </c>
      <c r="AY308" s="223">
        <f t="shared" si="2031"/>
        <v>11.076923076923077</v>
      </c>
      <c r="AZ308" s="243">
        <f t="shared" si="2032"/>
        <v>8.3076923076923084</v>
      </c>
      <c r="BA308" s="243">
        <f t="shared" ref="BA308:BA311" si="2260">SUM(AX308:AZ308)</f>
        <v>23.07692307692308</v>
      </c>
      <c r="BB308" s="252">
        <f t="shared" si="2034"/>
        <v>0</v>
      </c>
      <c r="BC308" s="324">
        <f t="shared" si="2035"/>
        <v>23.07692307692308</v>
      </c>
      <c r="BD308" s="304">
        <f t="shared" ref="BD308:BE310" si="2261">IF(BA308&lt;=0,2,0)+IF(BA308&gt;0,BA308+1,0)*2+IF(BA308&gt;12,BA308-12,0)*2+IF(BA308&gt;13,BA308-13,0)*2+IF(BA308&gt;14,BA308-14,0)*2+IF(BA308&gt;15,BA308-15,0)*2+IF(BA308&gt;16,BA308-16,0)*2+IF(BA308&gt;17,BA308-17,0)*2+IF(BA308&gt;18,BA308-18,0)*2+IF(BA308&gt;19,BA308-19,0)*2+IF(BA308&gt;20,BA308-20,0)*2</f>
        <v>175.5384615384616</v>
      </c>
      <c r="BE308" s="335">
        <f t="shared" si="2261"/>
        <v>2</v>
      </c>
      <c r="BF308" s="243">
        <f t="shared" si="2037"/>
        <v>173.5384615384616</v>
      </c>
      <c r="BG308" s="218">
        <f t="shared" si="2038"/>
        <v>0</v>
      </c>
      <c r="BH308" s="248"/>
      <c r="BI308" s="303" t="s">
        <v>457</v>
      </c>
      <c r="BJ308" s="218" t="s">
        <v>87</v>
      </c>
      <c r="BK308" s="304" t="s">
        <v>132</v>
      </c>
      <c r="BL308" s="120"/>
      <c r="BM308" s="117">
        <f>Konvention_1slave-KLslave_KL</f>
        <v>11</v>
      </c>
      <c r="BN308" s="117">
        <f t="shared" ref="BN308" si="2262">Konvention_1slave-INslave</f>
        <v>12</v>
      </c>
      <c r="BO308" s="117">
        <f t="shared" ref="BO308:BO309" si="2263">Konvention_1slave-CHslave</f>
        <v>12</v>
      </c>
      <c r="BP308" s="117"/>
      <c r="BQ308" s="117"/>
      <c r="BR308" s="117"/>
      <c r="BS308" s="121"/>
      <c r="BT308" s="223">
        <f t="shared" si="2039"/>
        <v>11.666666666666666</v>
      </c>
      <c r="BU308" s="223">
        <f t="shared" si="2040"/>
        <v>23.333333333333332</v>
      </c>
      <c r="BV308" s="224">
        <f t="shared" si="2041"/>
        <v>35</v>
      </c>
      <c r="BW308" s="237">
        <f t="shared" ref="BW308:BW310" si="2264">BL308*POWER(KLslave_KL,SIGN(BM308))*POWER(INslave,SIGN(BN308))*POWER(CHslave,SIGN(BO308))*POWER(FFslave,SIGN(BP308))*POWER(GEslave,SIGN(BQ308))*POWER(KOslave,SIGN(BR308))*POWER(KKslave,SIGN(BS308))+BM308*POWER(MUslave,SIGN(BL308))*POWER(INslave,SIGN(BN308))*POWER(CHslave,SIGN(BO308))*POWER(FFslave,SIGN(BP308))*POWER(GEslave,SIGN(BQ308))*POWER(KOslave,SIGN(BR308))*POWER(KKslave,SIGN(BS308))+BN308*POWER(MUslave,SIGN(BL308))*POWER(KLslave_KL,SIGN(BM308))*POWER(CHslave,SIGN(BO308))*POWER(FFslave,SIGN(BP308))*POWER(GEslave,SIGN(BQ308))*POWER(KOslave,SIGN(BR308))*POWER(KKslave,SIGN(BS308))+BO308*POWER(MUslave,SIGN(BL308))*POWER(KLslave_KL,SIGN(BM308))*POWER(INslave,SIGN(BN308))*POWER(FFslave,SIGN(BP308))*POWER(GEslave,SIGN(BQ308))*POWER(KOslave,SIGN(BR308))*POWER(KKslave,SIGN(BS308))+BP308*POWER(MUslave,SIGN(BL308))*POWER(KLslave_KL,SIGN(BM308))*POWER(INslave,SIGN(BN308))*POWER(CHslave,SIGN(BO308))*POWER(GEslave,SIGN(BQ308))*POWER(KOslave,SIGN(BR308))*POWER(KKslave,SIGN(BS308))+BQ308*POWER(MUslave,SIGN(BL308))*POWER(KLslave_KL,SIGN(BM308))*POWER(INslave,SIGN(BN308))*POWER(CHslave,SIGN(BO308))*POWER(FFslave,SIGN(BP308))*POWER(KOslave,SIGN(BR308))*POWER(KKslave,SIGN(BS308))+BR308*POWER(MUslave,SIGN(BL308))*POWER(KLslave_KL,SIGN(BM308))*POWER(INslave,SIGN(BN308))*POWER(CHslave,SIGN(BO308))*POWER(FFslave,SIGN(BP308))*POWER(GEslave,SIGN(BQ308))*POWER(KKslave,SIGN(BS308))+BS308*POWER(MUslave,SIGN(BL308))*POWER(KLslave_KL,SIGN(BM308))*POWER(INslave,SIGN(BN308))*POWER(CHslave,SIGN(BO308))*POWER(FFslave,SIGN(BP308))*POWER(GEslave,SIGN(BQ308))*POWER(KOslave,SIGN(BR308))</f>
        <v>2432</v>
      </c>
      <c r="BX308" s="117">
        <f>BM308*BN308*CHslave+BM308*INslave*BO308+KLslave_KL*BN308*BO308</f>
        <v>3408</v>
      </c>
      <c r="BY308" s="224">
        <f t="shared" si="2042"/>
        <v>1584</v>
      </c>
      <c r="BZ308" s="224">
        <f t="shared" si="2160"/>
        <v>7424</v>
      </c>
      <c r="CA308" s="222">
        <f t="shared" si="2044"/>
        <v>3.8218390804597702</v>
      </c>
      <c r="CB308" s="223">
        <f t="shared" si="2045"/>
        <v>10.711206896551724</v>
      </c>
      <c r="CC308" s="243">
        <f t="shared" si="2046"/>
        <v>7.4676724137931032</v>
      </c>
      <c r="CD308" s="243">
        <f t="shared" ref="CD308:CD311" si="2265">SUM(CA308:CC308)</f>
        <v>22.000718390804597</v>
      </c>
      <c r="CE308" s="252">
        <f t="shared" si="1833"/>
        <v>0</v>
      </c>
      <c r="CF308" s="324">
        <f t="shared" si="2048"/>
        <v>22.000718390804597</v>
      </c>
      <c r="CG308" s="304">
        <f t="shared" ref="CG308:CH310" si="2266">IF(CD308&lt;=0,2,0)+IF(CD308&gt;0,CD308+1,0)*2+IF(CD308&gt;12,CD308-12,0)*2+IF(CD308&gt;13,CD308-13,0)*2+IF(CD308&gt;14,CD308-14,0)*2+IF(CD308&gt;15,CD308-15,0)*2+IF(CD308&gt;16,CD308-16,0)*2+IF(CD308&gt;17,CD308-17,0)*2+IF(CD308&gt;18,CD308-18,0)*2+IF(CD308&gt;19,CD308-19,0)*2+IF(CD308&gt;20,CD308-20,0)*2</f>
        <v>154.01436781609189</v>
      </c>
      <c r="CH308" s="335">
        <f t="shared" si="2266"/>
        <v>2</v>
      </c>
      <c r="CI308" s="243">
        <f t="shared" si="2050"/>
        <v>152.01436781609189</v>
      </c>
      <c r="CJ308" s="218">
        <f t="shared" si="2051"/>
        <v>0</v>
      </c>
      <c r="CK308" s="248"/>
      <c r="CL308" s="303" t="s">
        <v>457</v>
      </c>
      <c r="CM308" s="218" t="s">
        <v>87</v>
      </c>
      <c r="CN308" s="304" t="s">
        <v>132</v>
      </c>
      <c r="CO308" s="120"/>
      <c r="CP308" s="117">
        <f>Konvention_1slave-KLslave</f>
        <v>12</v>
      </c>
      <c r="CQ308" s="117">
        <f t="shared" ref="CQ308" si="2267">Konvention_1slave-INslave_IN</f>
        <v>11</v>
      </c>
      <c r="CR308" s="117">
        <f t="shared" ref="CR308:CR309" si="2268">Konvention_1slave-CHslave</f>
        <v>12</v>
      </c>
      <c r="CS308" s="117"/>
      <c r="CT308" s="117"/>
      <c r="CU308" s="117"/>
      <c r="CV308" s="121"/>
      <c r="CW308" s="223">
        <f t="shared" si="2052"/>
        <v>11.666666666666666</v>
      </c>
      <c r="CX308" s="223">
        <f t="shared" si="2053"/>
        <v>23.333333333333332</v>
      </c>
      <c r="CY308" s="224">
        <f t="shared" si="2054"/>
        <v>35</v>
      </c>
      <c r="CZ308" s="237">
        <f t="shared" ref="CZ308:CZ310" si="2269">CO308*POWER(KLslave,SIGN(CP308))*POWER(INslave_IN,SIGN(CQ308))*POWER(CHslave,SIGN(CR308))*POWER(FFslave,SIGN(CS308))*POWER(GEslave,SIGN(CT308))*POWER(KOslave,SIGN(CU308))*POWER(KKslave,SIGN(CV308))+CP308*POWER(MUslave,SIGN(CO308))*POWER(INslave_IN,SIGN(CQ308))*POWER(CHslave,SIGN(CR308))*POWER(FFslave,SIGN(CS308))*POWER(GEslave,SIGN(CT308))*POWER(KOslave,SIGN(CU308))*POWER(KKslave,SIGN(CV308))+CQ308*POWER(MUslave,SIGN(CO308))*POWER(KLslave,SIGN(CP308))*POWER(CHslave,SIGN(CR308))*POWER(FFslave,SIGN(CS308))*POWER(GEslave,SIGN(CT308))*POWER(KOslave,SIGN(CU308))*POWER(KKslave,SIGN(CV308))+CR308*POWER(MUslave,SIGN(CO308))*POWER(KLslave,SIGN(CP308))*POWER(INslave_IN,SIGN(CQ308))*POWER(FFslave,SIGN(CS308))*POWER(GEslave,SIGN(CT308))*POWER(KOslave,SIGN(CU308))*POWER(KKslave,SIGN(CV308))+CS308*POWER(MUslave,SIGN(CO308))*POWER(KLslave,SIGN(CP308))*POWER(INslave_IN,SIGN(CQ308))*POWER(CHslave,SIGN(CR308))*POWER(GEslave,SIGN(CT308))*POWER(KOslave,SIGN(CU308))*POWER(KKslave,SIGN(CV308))+CT308*POWER(MUslave,SIGN(CO308))*POWER(KLslave,SIGN(CP308))*POWER(INslave_IN,SIGN(CQ308))*POWER(CHslave,SIGN(CR308))*POWER(FFslave,SIGN(CS308))*POWER(KOslave,SIGN(CU308))*POWER(KKslave,SIGN(CV308))+CU308*POWER(MUslave,SIGN(CO308))*POWER(KLslave,SIGN(CP308))*POWER(INslave_IN,SIGN(CQ308))*POWER(CHslave,SIGN(CR308))*POWER(FFslave,SIGN(CS308))*POWER(GEslave,SIGN(CT308))*POWER(KKslave,SIGN(CV308))+CV308*POWER(MUslave,SIGN(CO308))*POWER(KLslave,SIGN(CP308))*POWER(INslave_IN,SIGN(CQ308))*POWER(CHslave,SIGN(CR308))*POWER(FFslave,SIGN(CS308))*POWER(GEslave,SIGN(CT308))*POWER(KOslave,SIGN(CU308))</f>
        <v>2432</v>
      </c>
      <c r="DA308" s="117">
        <f>CP308*CQ308*CHslave+CP308*INslave_IN*CR308+KLslave*CQ308*CR308</f>
        <v>3408</v>
      </c>
      <c r="DB308" s="224">
        <f t="shared" si="2055"/>
        <v>1584</v>
      </c>
      <c r="DC308" s="224">
        <f t="shared" si="2162"/>
        <v>7424</v>
      </c>
      <c r="DD308" s="222">
        <f t="shared" si="2057"/>
        <v>3.8218390804597702</v>
      </c>
      <c r="DE308" s="223">
        <f t="shared" si="2058"/>
        <v>10.711206896551724</v>
      </c>
      <c r="DF308" s="243">
        <f t="shared" si="2059"/>
        <v>7.4676724137931032</v>
      </c>
      <c r="DG308" s="243">
        <f t="shared" ref="DG308:DG311" si="2270">SUM(DD308:DF308)</f>
        <v>22.000718390804597</v>
      </c>
      <c r="DH308" s="252">
        <f t="shared" si="1848"/>
        <v>0</v>
      </c>
      <c r="DI308" s="324">
        <f t="shared" si="2061"/>
        <v>22.000718390804597</v>
      </c>
      <c r="DJ308" s="304">
        <f t="shared" ref="DJ308:DK310" si="2271">IF(DG308&lt;=0,2,0)+IF(DG308&gt;0,DG308+1,0)*2+IF(DG308&gt;12,DG308-12,0)*2+IF(DG308&gt;13,DG308-13,0)*2+IF(DG308&gt;14,DG308-14,0)*2+IF(DG308&gt;15,DG308-15,0)*2+IF(DG308&gt;16,DG308-16,0)*2+IF(DG308&gt;17,DG308-17,0)*2+IF(DG308&gt;18,DG308-18,0)*2+IF(DG308&gt;19,DG308-19,0)*2+IF(DG308&gt;20,DG308-20,0)*2</f>
        <v>154.01436781609189</v>
      </c>
      <c r="DK308" s="335">
        <f t="shared" si="2271"/>
        <v>2</v>
      </c>
      <c r="DL308" s="243">
        <f t="shared" si="2063"/>
        <v>152.01436781609189</v>
      </c>
      <c r="DM308" s="218">
        <f t="shared" si="2064"/>
        <v>0</v>
      </c>
      <c r="DN308" s="248"/>
      <c r="DO308" s="303" t="s">
        <v>457</v>
      </c>
      <c r="DP308" s="218" t="s">
        <v>87</v>
      </c>
      <c r="DQ308" s="304" t="s">
        <v>132</v>
      </c>
      <c r="DR308" s="120"/>
      <c r="DS308" s="117">
        <f>Konvention_1slave-KLslave</f>
        <v>12</v>
      </c>
      <c r="DT308" s="117">
        <f t="shared" ref="DT308" si="2272">Konvention_1slave-INslave</f>
        <v>12</v>
      </c>
      <c r="DU308" s="117">
        <f t="shared" ref="DU308:DU309" si="2273">Konvention_1slave-CHslave_CH</f>
        <v>11</v>
      </c>
      <c r="DV308" s="117"/>
      <c r="DW308" s="117"/>
      <c r="DX308" s="117"/>
      <c r="DY308" s="121"/>
      <c r="DZ308" s="223">
        <f t="shared" si="2065"/>
        <v>11.666666666666666</v>
      </c>
      <c r="EA308" s="223">
        <f t="shared" si="2066"/>
        <v>23.333333333333332</v>
      </c>
      <c r="EB308" s="224">
        <f t="shared" si="2067"/>
        <v>35</v>
      </c>
      <c r="EC308" s="237">
        <f t="shared" ref="EC308:EC310" si="2274">DR308*POWER(KLslave,SIGN(DS308))*POWER(INslave,SIGN(DT308))*POWER(CHslave_CH,SIGN(DU308))*POWER(FFslave,SIGN(DV308))*POWER(GEslave,SIGN(DW308))*POWER(KOslave,SIGN(DX308))*POWER(KKslave,SIGN(DY308))+DS308*POWER(MUslave,SIGN(DR308))*POWER(INslave,SIGN(DT308))*POWER(CHslave_CH,SIGN(DU308))*POWER(FFslave,SIGN(DV308))*POWER(GEslave,SIGN(DW308))*POWER(KOslave,SIGN(DX308))*POWER(KKslave,SIGN(DY308))+DT308*POWER(MUslave,SIGN(DR308))*POWER(KLslave,SIGN(DS308))*POWER(CHslave_CH,SIGN(DU308))*POWER(FFslave,SIGN(DV308))*POWER(GEslave,SIGN(DW308))*POWER(KOslave,SIGN(DX308))*POWER(KKslave,SIGN(DY308))+DU308*POWER(MUslave,SIGN(DR308))*POWER(KLslave,SIGN(DS308))*POWER(INslave,SIGN(DT308))*POWER(FFslave,SIGN(DV308))*POWER(GEslave,SIGN(DW308))*POWER(KOslave,SIGN(DX308))*POWER(KKslave,SIGN(DY308))+DV308*POWER(MUslave,SIGN(DR308))*POWER(KLslave,SIGN(DS308))*POWER(INslave,SIGN(DT308))*POWER(CHslave_CH,SIGN(DU308))*POWER(GEslave,SIGN(DW308))*POWER(KOslave,SIGN(DX308))*POWER(KKslave,SIGN(DY308))+DW308*POWER(MUslave,SIGN(DR308))*POWER(KLslave,SIGN(DS308))*POWER(INslave,SIGN(DT308))*POWER(CHslave_CH,SIGN(DU308))*POWER(FFslave,SIGN(DV308))*POWER(KOslave,SIGN(DX308))*POWER(KKslave,SIGN(DY308))+DX308*POWER(MUslave,SIGN(DR308))*POWER(KLslave,SIGN(DS308))*POWER(INslave,SIGN(DT308))*POWER(CHslave_CH,SIGN(DU308))*POWER(FFslave,SIGN(DV308))*POWER(GEslave,SIGN(DW308))*POWER(KKslave,SIGN(DY308))+DY308*POWER(MUslave,SIGN(DR308))*POWER(KLslave,SIGN(DS308))*POWER(INslave,SIGN(DT308))*POWER(CHslave_CH,SIGN(DU308))*POWER(FFslave,SIGN(DV308))*POWER(GEslave,SIGN(DW308))*POWER(KOslave,SIGN(DX308))</f>
        <v>2432</v>
      </c>
      <c r="ED308" s="117">
        <f>DS308*DT308*CHslave_CH+DS308*INslave*DU308+KLslave*DT308*DU308</f>
        <v>3408</v>
      </c>
      <c r="EE308" s="224">
        <f t="shared" si="2068"/>
        <v>1584</v>
      </c>
      <c r="EF308" s="224">
        <f t="shared" si="2164"/>
        <v>7424</v>
      </c>
      <c r="EG308" s="222">
        <f t="shared" si="2070"/>
        <v>3.8218390804597702</v>
      </c>
      <c r="EH308" s="223">
        <f t="shared" si="2071"/>
        <v>10.711206896551724</v>
      </c>
      <c r="EI308" s="243">
        <f t="shared" si="2072"/>
        <v>7.4676724137931032</v>
      </c>
      <c r="EJ308" s="243">
        <f t="shared" ref="EJ308:EJ311" si="2275">SUM(EG308:EI308)</f>
        <v>22.000718390804597</v>
      </c>
      <c r="EK308" s="252">
        <f t="shared" si="1863"/>
        <v>0</v>
      </c>
      <c r="EL308" s="324">
        <f t="shared" si="2074"/>
        <v>22.000718390804597</v>
      </c>
      <c r="EM308" s="304">
        <f t="shared" ref="EM308:EN310" si="2276">IF(EJ308&lt;=0,2,0)+IF(EJ308&gt;0,EJ308+1,0)*2+IF(EJ308&gt;12,EJ308-12,0)*2+IF(EJ308&gt;13,EJ308-13,0)*2+IF(EJ308&gt;14,EJ308-14,0)*2+IF(EJ308&gt;15,EJ308-15,0)*2+IF(EJ308&gt;16,EJ308-16,0)*2+IF(EJ308&gt;17,EJ308-17,0)*2+IF(EJ308&gt;18,EJ308-18,0)*2+IF(EJ308&gt;19,EJ308-19,0)*2+IF(EJ308&gt;20,EJ308-20,0)*2</f>
        <v>154.01436781609189</v>
      </c>
      <c r="EN308" s="335">
        <f t="shared" si="2276"/>
        <v>2</v>
      </c>
      <c r="EO308" s="243">
        <f t="shared" si="2076"/>
        <v>152.01436781609189</v>
      </c>
      <c r="EP308" s="218">
        <f t="shared" si="2077"/>
        <v>0</v>
      </c>
      <c r="EQ308" s="248"/>
      <c r="ER308" s="303" t="s">
        <v>457</v>
      </c>
      <c r="ES308" s="218" t="s">
        <v>87</v>
      </c>
      <c r="ET308" s="304" t="s">
        <v>132</v>
      </c>
      <c r="EU308" s="120"/>
      <c r="EV308" s="117">
        <f>Konvention_1slave-KLslave</f>
        <v>12</v>
      </c>
      <c r="EW308" s="117">
        <f t="shared" ref="EW308" si="2277">Konvention_1slave-INslave</f>
        <v>12</v>
      </c>
      <c r="EX308" s="117">
        <f t="shared" ref="EX308:EX309" si="2278">Konvention_1slave-CHslave</f>
        <v>12</v>
      </c>
      <c r="EY308" s="117"/>
      <c r="EZ308" s="117"/>
      <c r="FA308" s="117"/>
      <c r="FB308" s="121"/>
      <c r="FC308" s="223">
        <f t="shared" si="2078"/>
        <v>12</v>
      </c>
      <c r="FD308" s="223">
        <f t="shared" si="2079"/>
        <v>24</v>
      </c>
      <c r="FE308" s="224">
        <f t="shared" si="2080"/>
        <v>36</v>
      </c>
      <c r="FF308" s="237">
        <f t="shared" ref="FF308:FF310" si="2279">EU308*POWER(KLslave,SIGN(EV308))*POWER(INslave,SIGN(EW308))*POWER(CHslave,SIGN(EX308))*POWER(FFslave_FF,SIGN(EY308))*POWER(GEslave,SIGN(EZ308))*POWER(KOslave,SIGN(FA308))*POWER(KKslave,SIGN(FB308))+EV308*POWER(MUslave,SIGN(EU308))*POWER(INslave,SIGN(EW308))*POWER(CHslave,SIGN(EX308))*POWER(FFslave_FF,SIGN(EY308))*POWER(GEslave,SIGN(EZ308))*POWER(KOslave,SIGN(FA308))*POWER(KKslave,SIGN(FB308))+EW308*POWER(MUslave,SIGN(EU308))*POWER(KLslave,SIGN(EV308))*POWER(CHslave,SIGN(EX308))*POWER(FFslave_FF,SIGN(EY308))*POWER(GEslave,SIGN(EZ308))*POWER(KOslave,SIGN(FA308))*POWER(KKslave,SIGN(FB308))+EX308*POWER(MUslave,SIGN(EU308))*POWER(KLslave,SIGN(EV308))*POWER(INslave,SIGN(EW308))*POWER(FFslave_FF,SIGN(EY308))*POWER(GEslave,SIGN(EZ308))*POWER(KOslave,SIGN(FA308))*POWER(KKslave,SIGN(FB308))+EY308*POWER(MUslave,SIGN(EU308))*POWER(KLslave,SIGN(EV308))*POWER(INslave,SIGN(EW308))*POWER(CHslave,SIGN(EX308))*POWER(GEslave,SIGN(EZ308))*POWER(KOslave,SIGN(FA308))*POWER(KKslave,SIGN(FB308))+EZ308*POWER(MUslave,SIGN(EU308))*POWER(KLslave,SIGN(EV308))*POWER(INslave,SIGN(EW308))*POWER(CHslave,SIGN(EX308))*POWER(FFslave_FF,SIGN(EY308))*POWER(KOslave,SIGN(FA308))*POWER(KKslave,SIGN(FB308))+FA308*POWER(MUslave,SIGN(EU308))*POWER(KLslave,SIGN(EV308))*POWER(INslave,SIGN(EW308))*POWER(CHslave,SIGN(EX308))*POWER(FFslave_FF,SIGN(EY308))*POWER(GEslave,SIGN(EZ308))*POWER(KKslave,SIGN(FB308))+FB308*POWER(MUslave,SIGN(EU308))*POWER(KLslave,SIGN(EV308))*POWER(INslave,SIGN(EW308))*POWER(CHslave,SIGN(EX308))*POWER(FFslave_FF,SIGN(EY308))*POWER(GEslave,SIGN(EZ308))*POWER(KOslave,SIGN(FA308))</f>
        <v>2304</v>
      </c>
      <c r="FG308" s="117">
        <f>EV308*EW308*CHslave+EV308*INslave*EX308+KLslave*EW308*EX308</f>
        <v>3456</v>
      </c>
      <c r="FH308" s="224">
        <f t="shared" si="2081"/>
        <v>1728</v>
      </c>
      <c r="FI308" s="224">
        <f t="shared" si="2166"/>
        <v>7488</v>
      </c>
      <c r="FJ308" s="222">
        <f t="shared" si="2083"/>
        <v>3.6923076923076925</v>
      </c>
      <c r="FK308" s="223">
        <f t="shared" si="2084"/>
        <v>11.076923076923077</v>
      </c>
      <c r="FL308" s="243">
        <f t="shared" si="2085"/>
        <v>8.3076923076923084</v>
      </c>
      <c r="FM308" s="243">
        <f t="shared" ref="FM308:FM311" si="2280">SUM(FJ308:FL308)</f>
        <v>23.07692307692308</v>
      </c>
      <c r="FN308" s="252">
        <f t="shared" si="1878"/>
        <v>0</v>
      </c>
      <c r="FO308" s="324">
        <f t="shared" si="2087"/>
        <v>23.07692307692308</v>
      </c>
      <c r="FP308" s="304">
        <f t="shared" ref="FP308:FQ310" si="2281">IF(FM308&lt;=0,2,0)+IF(FM308&gt;0,FM308+1,0)*2+IF(FM308&gt;12,FM308-12,0)*2+IF(FM308&gt;13,FM308-13,0)*2+IF(FM308&gt;14,FM308-14,0)*2+IF(FM308&gt;15,FM308-15,0)*2+IF(FM308&gt;16,FM308-16,0)*2+IF(FM308&gt;17,FM308-17,0)*2+IF(FM308&gt;18,FM308-18,0)*2+IF(FM308&gt;19,FM308-19,0)*2+IF(FM308&gt;20,FM308-20,0)*2</f>
        <v>175.5384615384616</v>
      </c>
      <c r="FQ308" s="335">
        <f t="shared" si="2281"/>
        <v>2</v>
      </c>
      <c r="FR308" s="243">
        <f t="shared" si="2089"/>
        <v>173.5384615384616</v>
      </c>
      <c r="FS308" s="218">
        <f t="shared" si="2090"/>
        <v>0</v>
      </c>
      <c r="FT308" s="248"/>
      <c r="FU308" s="303" t="s">
        <v>457</v>
      </c>
      <c r="FV308" s="218" t="s">
        <v>87</v>
      </c>
      <c r="FW308" s="304" t="s">
        <v>132</v>
      </c>
      <c r="FX308" s="120"/>
      <c r="FY308" s="117">
        <f>Konvention_1slave-KLslave</f>
        <v>12</v>
      </c>
      <c r="FZ308" s="117">
        <f t="shared" ref="FZ308" si="2282">Konvention_1slave-INslave</f>
        <v>12</v>
      </c>
      <c r="GA308" s="117">
        <f t="shared" ref="GA308:GA309" si="2283">Konvention_1slave-CHslave</f>
        <v>12</v>
      </c>
      <c r="GB308" s="117"/>
      <c r="GC308" s="117"/>
      <c r="GD308" s="117"/>
      <c r="GE308" s="121"/>
      <c r="GF308" s="223">
        <f t="shared" si="2091"/>
        <v>12</v>
      </c>
      <c r="GG308" s="223">
        <f t="shared" si="2092"/>
        <v>24</v>
      </c>
      <c r="GH308" s="224">
        <f t="shared" si="2093"/>
        <v>36</v>
      </c>
      <c r="GI308" s="237">
        <f t="shared" ref="GI308:GI310" si="2284">FX308*POWER(KLslave,SIGN(FY308))*POWER(INslave,SIGN(FZ308))*POWER(CHslave,SIGN(GA308))*POWER(FFslave,SIGN(GB308))*POWER(GEslave_GE,SIGN(GC308))*POWER(KOslave,SIGN(GD308))*POWER(KKslave,SIGN(GE308))+FY308*POWER(MUslave,SIGN(FX308))*POWER(INslave,SIGN(FZ308))*POWER(CHslave,SIGN(GA308))*POWER(FFslave,SIGN(GB308))*POWER(GEslave_GE,SIGN(GC308))*POWER(KOslave,SIGN(GD308))*POWER(KKslave,SIGN(GE308))+FZ308*POWER(MUslave,SIGN(FX308))*POWER(KLslave,SIGN(FY308))*POWER(CHslave,SIGN(GA308))*POWER(FFslave,SIGN(GB308))*POWER(GEslave_GE,SIGN(GC308))*POWER(KOslave,SIGN(GD308))*POWER(KKslave,SIGN(GE308))+GA308*POWER(MUslave,SIGN(FX308))*POWER(KLslave,SIGN(FY308))*POWER(INslave,SIGN(FZ308))*POWER(FFslave,SIGN(GB308))*POWER(GEslave_GE,SIGN(GC308))*POWER(KOslave,SIGN(GD308))*POWER(KKslave,SIGN(GE308))+GB308*POWER(MUslave,SIGN(FX308))*POWER(KLslave,SIGN(FY308))*POWER(INslave,SIGN(FZ308))*POWER(CHslave,SIGN(GA308))*POWER(GEslave_GE,SIGN(GC308))*POWER(KOslave,SIGN(GD308))*POWER(KKslave,SIGN(GE308))+GC308*POWER(MUslave,SIGN(FX308))*POWER(KLslave,SIGN(FY308))*POWER(INslave,SIGN(FZ308))*POWER(CHslave,SIGN(GA308))*POWER(FFslave,SIGN(GB308))*POWER(KOslave,SIGN(GD308))*POWER(KKslave,SIGN(GE308))+GD308*POWER(MUslave,SIGN(FX308))*POWER(KLslave,SIGN(FY308))*POWER(INslave,SIGN(FZ308))*POWER(CHslave,SIGN(GA308))*POWER(FFslave,SIGN(GB308))*POWER(GEslave_GE,SIGN(GC308))*POWER(KKslave,SIGN(GE308))+GE308*POWER(MUslave,SIGN(FX308))*POWER(KLslave,SIGN(FY308))*POWER(INslave,SIGN(FZ308))*POWER(CHslave,SIGN(GA308))*POWER(FFslave,SIGN(GB308))*POWER(GEslave_GE,SIGN(GC308))*POWER(KOslave,SIGN(GD308))</f>
        <v>2304</v>
      </c>
      <c r="GJ308" s="117">
        <f>FY308*FZ308*CHslave+FY308*INslave*GA308+KLslave*FZ308*GA308</f>
        <v>3456</v>
      </c>
      <c r="GK308" s="224">
        <f t="shared" si="2094"/>
        <v>1728</v>
      </c>
      <c r="GL308" s="224">
        <f t="shared" si="2168"/>
        <v>7488</v>
      </c>
      <c r="GM308" s="222">
        <f t="shared" si="2096"/>
        <v>3.6923076923076925</v>
      </c>
      <c r="GN308" s="223">
        <f t="shared" si="2097"/>
        <v>11.076923076923077</v>
      </c>
      <c r="GO308" s="243">
        <f t="shared" si="2098"/>
        <v>8.3076923076923084</v>
      </c>
      <c r="GP308" s="243">
        <f t="shared" ref="GP308:GP311" si="2285">SUM(GM308:GO308)</f>
        <v>23.07692307692308</v>
      </c>
      <c r="GQ308" s="252">
        <f t="shared" si="1893"/>
        <v>0</v>
      </c>
      <c r="GR308" s="324">
        <f t="shared" si="2100"/>
        <v>23.07692307692308</v>
      </c>
      <c r="GS308" s="304">
        <f t="shared" ref="GS308:GT310" si="2286">IF(GP308&lt;=0,2,0)+IF(GP308&gt;0,GP308+1,0)*2+IF(GP308&gt;12,GP308-12,0)*2+IF(GP308&gt;13,GP308-13,0)*2+IF(GP308&gt;14,GP308-14,0)*2+IF(GP308&gt;15,GP308-15,0)*2+IF(GP308&gt;16,GP308-16,0)*2+IF(GP308&gt;17,GP308-17,0)*2+IF(GP308&gt;18,GP308-18,0)*2+IF(GP308&gt;19,GP308-19,0)*2+IF(GP308&gt;20,GP308-20,0)*2</f>
        <v>175.5384615384616</v>
      </c>
      <c r="GT308" s="335">
        <f t="shared" si="2286"/>
        <v>2</v>
      </c>
      <c r="GU308" s="243">
        <f t="shared" si="2102"/>
        <v>173.5384615384616</v>
      </c>
      <c r="GV308" s="218">
        <f t="shared" si="2103"/>
        <v>0</v>
      </c>
      <c r="GW308" s="248"/>
      <c r="GX308" s="303" t="s">
        <v>457</v>
      </c>
      <c r="GY308" s="218" t="s">
        <v>87</v>
      </c>
      <c r="GZ308" s="304" t="s">
        <v>132</v>
      </c>
      <c r="HA308" s="120"/>
      <c r="HB308" s="117">
        <f>Konvention_1slave-KLslave</f>
        <v>12</v>
      </c>
      <c r="HC308" s="117">
        <f t="shared" ref="HC308" si="2287">Konvention_1slave-INslave</f>
        <v>12</v>
      </c>
      <c r="HD308" s="117">
        <f t="shared" ref="HD308:HD309" si="2288">Konvention_1slave-CHslave</f>
        <v>12</v>
      </c>
      <c r="HE308" s="117"/>
      <c r="HF308" s="117"/>
      <c r="HG308" s="117"/>
      <c r="HH308" s="121"/>
      <c r="HI308" s="223">
        <f t="shared" si="2104"/>
        <v>12</v>
      </c>
      <c r="HJ308" s="223">
        <f t="shared" si="2105"/>
        <v>24</v>
      </c>
      <c r="HK308" s="224">
        <f t="shared" si="2106"/>
        <v>36</v>
      </c>
      <c r="HL308" s="237">
        <f t="shared" ref="HL308:HL310" si="2289">HA308*POWER(KLslave,SIGN(HB308))*POWER(INslave,SIGN(HC308))*POWER(CHslave,SIGN(HD308))*POWER(FFslave,SIGN(HE308))*POWER(GEslave,SIGN(HF308))*POWER(KOslave_KO,SIGN(HG308))*POWER(KKslave,SIGN(HH308))+HB308*POWER(MUslave,SIGN(HA308))*POWER(INslave,SIGN(HC308))*POWER(CHslave,SIGN(HD308))*POWER(FFslave,SIGN(HE308))*POWER(GEslave,SIGN(HF308))*POWER(KOslave_KO,SIGN(HG308))*POWER(KKslave,SIGN(HH308))+HC308*POWER(MUslave,SIGN(HA308))*POWER(KLslave,SIGN(HB308))*POWER(CHslave,SIGN(HD308))*POWER(FFslave,SIGN(HE308))*POWER(GEslave,SIGN(HF308))*POWER(KOslave_KO,SIGN(HG308))*POWER(KKslave,SIGN(HH308))+HD308*POWER(MUslave,SIGN(HA308))*POWER(KLslave,SIGN(HB308))*POWER(INslave,SIGN(HC308))*POWER(FFslave,SIGN(HE308))*POWER(GEslave,SIGN(HF308))*POWER(KOslave_KO,SIGN(HG308))*POWER(KKslave,SIGN(HH308))+HE308*POWER(MUslave,SIGN(HA308))*POWER(KLslave,SIGN(HB308))*POWER(INslave,SIGN(HC308))*POWER(CHslave,SIGN(HD308))*POWER(GEslave,SIGN(HF308))*POWER(KOslave_KO,SIGN(HG308))*POWER(KKslave,SIGN(HH308))+HF308*POWER(MUslave,SIGN(HA308))*POWER(KLslave,SIGN(HB308))*POWER(INslave,SIGN(HC308))*POWER(CHslave,SIGN(HD308))*POWER(FFslave,SIGN(HE308))*POWER(KOslave_KO,SIGN(HG308))*POWER(KKslave,SIGN(HH308))+HG308*POWER(MUslave,SIGN(HA308))*POWER(KLslave,SIGN(HB308))*POWER(INslave,SIGN(HC308))*POWER(CHslave,SIGN(HD308))*POWER(FFslave,SIGN(HE308))*POWER(GEslave,SIGN(HF308))*POWER(KKslave,SIGN(HH308))+HH308*POWER(MUslave,SIGN(HA308))*POWER(KLslave,SIGN(HB308))*POWER(INslave,SIGN(HC308))*POWER(CHslave,SIGN(HD308))*POWER(FFslave,SIGN(HE308))*POWER(GEslave,SIGN(HF308))*POWER(KOslave_KO,SIGN(HG308))</f>
        <v>2304</v>
      </c>
      <c r="HM308" s="117">
        <f>HB308*HC308*CHslave+HB308*INslave*HD308+KLslave*HC308*HD308</f>
        <v>3456</v>
      </c>
      <c r="HN308" s="224">
        <f t="shared" si="2107"/>
        <v>1728</v>
      </c>
      <c r="HO308" s="224">
        <f t="shared" si="2170"/>
        <v>7488</v>
      </c>
      <c r="HP308" s="222">
        <f t="shared" si="2109"/>
        <v>3.6923076923076925</v>
      </c>
      <c r="HQ308" s="223">
        <f t="shared" si="2110"/>
        <v>11.076923076923077</v>
      </c>
      <c r="HR308" s="243">
        <f t="shared" si="2111"/>
        <v>8.3076923076923084</v>
      </c>
      <c r="HS308" s="243">
        <f t="shared" ref="HS308:HS311" si="2290">SUM(HP308:HR308)</f>
        <v>23.07692307692308</v>
      </c>
      <c r="HT308" s="252">
        <f t="shared" si="1908"/>
        <v>0</v>
      </c>
      <c r="HU308" s="324">
        <f t="shared" si="2113"/>
        <v>23.07692307692308</v>
      </c>
      <c r="HV308" s="304">
        <f t="shared" ref="HV308:HW310" si="2291">IF(HS308&lt;=0,2,0)+IF(HS308&gt;0,HS308+1,0)*2+IF(HS308&gt;12,HS308-12,0)*2+IF(HS308&gt;13,HS308-13,0)*2+IF(HS308&gt;14,HS308-14,0)*2+IF(HS308&gt;15,HS308-15,0)*2+IF(HS308&gt;16,HS308-16,0)*2+IF(HS308&gt;17,HS308-17,0)*2+IF(HS308&gt;18,HS308-18,0)*2+IF(HS308&gt;19,HS308-19,0)*2+IF(HS308&gt;20,HS308-20,0)*2</f>
        <v>175.5384615384616</v>
      </c>
      <c r="HW308" s="335">
        <f t="shared" si="2291"/>
        <v>2</v>
      </c>
      <c r="HX308" s="243">
        <f t="shared" si="2115"/>
        <v>173.5384615384616</v>
      </c>
      <c r="HY308" s="218">
        <f t="shared" si="2116"/>
        <v>0</v>
      </c>
      <c r="HZ308" s="248"/>
      <c r="IA308" s="303" t="s">
        <v>457</v>
      </c>
      <c r="IB308" s="218" t="s">
        <v>87</v>
      </c>
      <c r="IC308" s="304" t="s">
        <v>132</v>
      </c>
      <c r="ID308" s="120"/>
      <c r="IE308" s="117">
        <f>Konvention_1slave-KLslave</f>
        <v>12</v>
      </c>
      <c r="IF308" s="117">
        <f t="shared" ref="IF308" si="2292">Konvention_1slave-INslave</f>
        <v>12</v>
      </c>
      <c r="IG308" s="117">
        <f t="shared" ref="IG308:IG309" si="2293">Konvention_1slave-CHslave</f>
        <v>12</v>
      </c>
      <c r="IH308" s="117"/>
      <c r="II308" s="117"/>
      <c r="IJ308" s="117"/>
      <c r="IK308" s="121"/>
      <c r="IL308" s="223">
        <f t="shared" si="2117"/>
        <v>12</v>
      </c>
      <c r="IM308" s="223">
        <f t="shared" si="2118"/>
        <v>24</v>
      </c>
      <c r="IN308" s="224">
        <f t="shared" si="2119"/>
        <v>36</v>
      </c>
      <c r="IO308" s="237">
        <f t="shared" ref="IO308:IO310" si="2294">ID308*POWER(KLslave,SIGN(IE308))*POWER(INslave,SIGN(IF308))*POWER(CHslave,SIGN(IG308))*POWER(FFslave,SIGN(IH308))*POWER(GEslave,SIGN(II308))*POWER(KOslave,SIGN(IJ308))*POWER(KKslave_KK,SIGN(IK308))+IE308*POWER(MUslave,SIGN(ID308))*POWER(INslave,SIGN(IF308))*POWER(CHslave,SIGN(IG308))*POWER(FFslave,SIGN(IH308))*POWER(GEslave,SIGN(II308))*POWER(KOslave,SIGN(IJ308))*POWER(KKslave_KK,SIGN(IK308))+IF308*POWER(MUslave,SIGN(ID308))*POWER(KLslave,SIGN(IE308))*POWER(CHslave,SIGN(IG308))*POWER(FFslave,SIGN(IH308))*POWER(GEslave,SIGN(II308))*POWER(KOslave,SIGN(IJ308))*POWER(KKslave_KK,SIGN(IK308))+IG308*POWER(MUslave,SIGN(ID308))*POWER(KLslave,SIGN(IE308))*POWER(INslave,SIGN(IF308))*POWER(FFslave,SIGN(IH308))*POWER(GEslave,SIGN(II308))*POWER(KOslave,SIGN(IJ308))*POWER(KKslave_KK,SIGN(IK308))+IH308*POWER(MUslave,SIGN(ID308))*POWER(KLslave,SIGN(IE308))*POWER(INslave,SIGN(IF308))*POWER(CHslave,SIGN(IG308))*POWER(GEslave,SIGN(II308))*POWER(KOslave,SIGN(IJ308))*POWER(KKslave_KK,SIGN(IK308))+II308*POWER(MUslave,SIGN(ID308))*POWER(KLslave,SIGN(IE308))*POWER(INslave,SIGN(IF308))*POWER(CHslave,SIGN(IG308))*POWER(FFslave,SIGN(IH308))*POWER(KOslave,SIGN(IJ308))*POWER(KKslave_KK,SIGN(IK308))+IJ308*POWER(MUslave,SIGN(ID308))*POWER(KLslave,SIGN(IE308))*POWER(INslave,SIGN(IF308))*POWER(CHslave,SIGN(IG308))*POWER(FFslave,SIGN(IH308))*POWER(GEslave,SIGN(II308))*POWER(KKslave_KK,SIGN(IK308))+IK308*POWER(MUslave,SIGN(ID308))*POWER(KLslave,SIGN(IE308))*POWER(INslave,SIGN(IF308))*POWER(CHslave,SIGN(IG308))*POWER(FFslave,SIGN(IH308))*POWER(GEslave,SIGN(II308))*POWER(KOslave,SIGN(IJ308))</f>
        <v>2304</v>
      </c>
      <c r="IP308" s="117">
        <f>IE308*IF308*CHslave+IE308*INslave*IG308+KLslave*IF308*IG308</f>
        <v>3456</v>
      </c>
      <c r="IQ308" s="224">
        <f t="shared" si="2120"/>
        <v>1728</v>
      </c>
      <c r="IR308" s="224">
        <f t="shared" si="2172"/>
        <v>7488</v>
      </c>
      <c r="IS308" s="222">
        <f t="shared" si="2122"/>
        <v>3.6923076923076925</v>
      </c>
      <c r="IT308" s="223">
        <f t="shared" si="2123"/>
        <v>11.076923076923077</v>
      </c>
      <c r="IU308" s="243">
        <f t="shared" si="2124"/>
        <v>8.3076923076923084</v>
      </c>
      <c r="IV308" s="243">
        <f t="shared" ref="IV308:IV311" si="2295">SUM(IS308:IU308)</f>
        <v>23.07692307692308</v>
      </c>
      <c r="IW308" s="252">
        <f t="shared" si="1923"/>
        <v>0</v>
      </c>
      <c r="IX308" s="324">
        <f t="shared" si="2126"/>
        <v>23.07692307692308</v>
      </c>
      <c r="IY308" s="304">
        <f t="shared" ref="IY308:IZ310" si="2296">IF(IV308&lt;=0,2,0)+IF(IV308&gt;0,IV308+1,0)*2+IF(IV308&gt;12,IV308-12,0)*2+IF(IV308&gt;13,IV308-13,0)*2+IF(IV308&gt;14,IV308-14,0)*2+IF(IV308&gt;15,IV308-15,0)*2+IF(IV308&gt;16,IV308-16,0)*2+IF(IV308&gt;17,IV308-17,0)*2+IF(IV308&gt;18,IV308-18,0)*2+IF(IV308&gt;19,IV308-19,0)*2+IF(IV308&gt;20,IV308-20,0)*2</f>
        <v>175.5384615384616</v>
      </c>
      <c r="IZ308" s="335">
        <f t="shared" si="2296"/>
        <v>2</v>
      </c>
      <c r="JA308" s="243">
        <f t="shared" si="2128"/>
        <v>173.5384615384616</v>
      </c>
      <c r="JB308" s="218">
        <f t="shared" si="2129"/>
        <v>0</v>
      </c>
      <c r="JE308" s="148"/>
    </row>
    <row r="309" spans="1:265" hidden="1" outlineLevel="2">
      <c r="A309" s="185"/>
      <c r="B309" s="148">
        <v>12</v>
      </c>
      <c r="C309" s="303" t="e">
        <f>VLOOKUP(AF309,Attribute!C:T,1,FALSE)</f>
        <v>#N/A</v>
      </c>
      <c r="D309" s="218" t="s">
        <v>81</v>
      </c>
      <c r="E309" s="304" t="s">
        <v>132</v>
      </c>
      <c r="F309" s="120"/>
      <c r="G309" s="117">
        <f>Konvention_1master-KLmaster</f>
        <v>12</v>
      </c>
      <c r="H309" s="117"/>
      <c r="I309" s="117">
        <f t="shared" si="2155"/>
        <v>12</v>
      </c>
      <c r="J309" s="117"/>
      <c r="K309" s="117">
        <f>Konvention_1master-GEmaster</f>
        <v>12</v>
      </c>
      <c r="L309" s="117"/>
      <c r="M309" s="121"/>
      <c r="N309" s="223">
        <f>(F309+G309+H309+I309+J309+K309+L309+M309)/3</f>
        <v>12</v>
      </c>
      <c r="O309" s="223">
        <f t="shared" si="2011"/>
        <v>24</v>
      </c>
      <c r="P309" s="224">
        <f t="shared" si="2012"/>
        <v>36</v>
      </c>
      <c r="Q309" s="237">
        <f t="shared" si="2013"/>
        <v>2304</v>
      </c>
      <c r="R309" s="117">
        <f>G309*I309*GEmaster+G309*CHmaster*K309+KLmaster*I309*K309</f>
        <v>3456</v>
      </c>
      <c r="S309" s="224">
        <f t="shared" si="2014"/>
        <v>1728</v>
      </c>
      <c r="T309" s="224">
        <f>SUM(Q309:S309)</f>
        <v>7488</v>
      </c>
      <c r="U309" s="222">
        <f t="shared" si="2016"/>
        <v>3.6923076923076925</v>
      </c>
      <c r="V309" s="223">
        <f t="shared" si="2017"/>
        <v>11.076923076923077</v>
      </c>
      <c r="W309" s="243">
        <f t="shared" si="2018"/>
        <v>8.3076923076923084</v>
      </c>
      <c r="X309" s="243">
        <f t="shared" si="2254"/>
        <v>23.07692307692308</v>
      </c>
      <c r="Y309" s="252">
        <v>0</v>
      </c>
      <c r="Z309" s="324">
        <f t="shared" si="2020"/>
        <v>23.07692307692308</v>
      </c>
      <c r="AA309" s="304">
        <f t="shared" si="2255"/>
        <v>175.5384615384616</v>
      </c>
      <c r="AB309" s="335">
        <f t="shared" si="2256"/>
        <v>2</v>
      </c>
      <c r="AC309" s="243">
        <f t="shared" si="2023"/>
        <v>173.5384615384616</v>
      </c>
      <c r="AD309" s="218">
        <f t="shared" si="2024"/>
        <v>0</v>
      </c>
      <c r="AE309" s="140"/>
      <c r="AF309" s="303" t="s">
        <v>458</v>
      </c>
      <c r="AG309" s="218" t="s">
        <v>81</v>
      </c>
      <c r="AH309" s="304" t="s">
        <v>132</v>
      </c>
      <c r="AI309" s="120"/>
      <c r="AJ309" s="117">
        <f>Konvention_1slave-KLslave</f>
        <v>12</v>
      </c>
      <c r="AK309" s="117"/>
      <c r="AL309" s="117">
        <f>Konvention_1slave-CHslave</f>
        <v>12</v>
      </c>
      <c r="AM309" s="117"/>
      <c r="AN309" s="117">
        <f>Konvention_1slave-GEslave</f>
        <v>12</v>
      </c>
      <c r="AO309" s="117"/>
      <c r="AP309" s="121"/>
      <c r="AQ309" s="223">
        <f>(AI309+AJ309+AK309+AL309+AM309+AN309+AO309+AP309)/3</f>
        <v>12</v>
      </c>
      <c r="AR309" s="223">
        <f t="shared" si="2026"/>
        <v>24</v>
      </c>
      <c r="AS309" s="224">
        <f t="shared" si="2027"/>
        <v>36</v>
      </c>
      <c r="AT309" s="237">
        <f t="shared" si="2259"/>
        <v>2304</v>
      </c>
      <c r="AU309" s="117">
        <f>AJ309*AL309*GEslave+AJ309*CHslave*AN309+KLslave*AL309*AN309</f>
        <v>3456</v>
      </c>
      <c r="AV309" s="224">
        <f t="shared" si="2028"/>
        <v>1728</v>
      </c>
      <c r="AW309" s="224">
        <f t="shared" si="2158"/>
        <v>7488</v>
      </c>
      <c r="AX309" s="222">
        <f t="shared" si="2030"/>
        <v>3.6923076923076925</v>
      </c>
      <c r="AY309" s="223">
        <f t="shared" si="2031"/>
        <v>11.076923076923077</v>
      </c>
      <c r="AZ309" s="243">
        <f t="shared" si="2032"/>
        <v>8.3076923076923084</v>
      </c>
      <c r="BA309" s="243">
        <f t="shared" si="2260"/>
        <v>23.07692307692308</v>
      </c>
      <c r="BB309" s="252">
        <f t="shared" si="2034"/>
        <v>0</v>
      </c>
      <c r="BC309" s="324">
        <f t="shared" si="2035"/>
        <v>23.07692307692308</v>
      </c>
      <c r="BD309" s="304">
        <f t="shared" si="2261"/>
        <v>175.5384615384616</v>
      </c>
      <c r="BE309" s="335">
        <f t="shared" si="2261"/>
        <v>2</v>
      </c>
      <c r="BF309" s="243">
        <f t="shared" si="2037"/>
        <v>173.5384615384616</v>
      </c>
      <c r="BG309" s="218">
        <f t="shared" si="2038"/>
        <v>0</v>
      </c>
      <c r="BH309" s="248"/>
      <c r="BI309" s="303" t="s">
        <v>458</v>
      </c>
      <c r="BJ309" s="218" t="s">
        <v>81</v>
      </c>
      <c r="BK309" s="304" t="s">
        <v>132</v>
      </c>
      <c r="BL309" s="120"/>
      <c r="BM309" s="117">
        <f>Konvention_1slave-KLslave_KL</f>
        <v>11</v>
      </c>
      <c r="BN309" s="117"/>
      <c r="BO309" s="117">
        <f t="shared" si="2263"/>
        <v>12</v>
      </c>
      <c r="BP309" s="117"/>
      <c r="BQ309" s="117">
        <f>Konvention_1slave-GEslave</f>
        <v>12</v>
      </c>
      <c r="BR309" s="117"/>
      <c r="BS309" s="121"/>
      <c r="BT309" s="223">
        <f>(BL309+BM309+BN309+BO309+BP309+BQ309+BR309+BS309)/3</f>
        <v>11.666666666666666</v>
      </c>
      <c r="BU309" s="223">
        <f t="shared" si="2040"/>
        <v>23.333333333333332</v>
      </c>
      <c r="BV309" s="224">
        <f t="shared" si="2041"/>
        <v>35</v>
      </c>
      <c r="BW309" s="237">
        <f t="shared" si="2264"/>
        <v>2432</v>
      </c>
      <c r="BX309" s="117">
        <f>BM309*BO309*GEslave+BM309*CHslave*BQ309+KLslave_KL*BO309*BQ309</f>
        <v>3408</v>
      </c>
      <c r="BY309" s="224">
        <f t="shared" si="2042"/>
        <v>1584</v>
      </c>
      <c r="BZ309" s="224">
        <f t="shared" si="2160"/>
        <v>7424</v>
      </c>
      <c r="CA309" s="222">
        <f t="shared" si="2044"/>
        <v>3.8218390804597702</v>
      </c>
      <c r="CB309" s="223">
        <f t="shared" si="2045"/>
        <v>10.711206896551724</v>
      </c>
      <c r="CC309" s="243">
        <f t="shared" si="2046"/>
        <v>7.4676724137931032</v>
      </c>
      <c r="CD309" s="243">
        <f t="shared" si="2265"/>
        <v>22.000718390804597</v>
      </c>
      <c r="CE309" s="252">
        <f t="shared" si="1833"/>
        <v>0</v>
      </c>
      <c r="CF309" s="324">
        <f t="shared" si="2048"/>
        <v>22.000718390804597</v>
      </c>
      <c r="CG309" s="304">
        <f t="shared" si="2266"/>
        <v>154.01436781609189</v>
      </c>
      <c r="CH309" s="335">
        <f t="shared" si="2266"/>
        <v>2</v>
      </c>
      <c r="CI309" s="243">
        <f t="shared" si="2050"/>
        <v>152.01436781609189</v>
      </c>
      <c r="CJ309" s="218">
        <f t="shared" si="2051"/>
        <v>0</v>
      </c>
      <c r="CK309" s="248"/>
      <c r="CL309" s="303" t="s">
        <v>458</v>
      </c>
      <c r="CM309" s="218" t="s">
        <v>81</v>
      </c>
      <c r="CN309" s="304" t="s">
        <v>132</v>
      </c>
      <c r="CO309" s="120"/>
      <c r="CP309" s="117">
        <f>Konvention_1slave-KLslave</f>
        <v>12</v>
      </c>
      <c r="CQ309" s="117"/>
      <c r="CR309" s="117">
        <f t="shared" si="2268"/>
        <v>12</v>
      </c>
      <c r="CS309" s="117"/>
      <c r="CT309" s="117">
        <f>Konvention_1slave-GEslave</f>
        <v>12</v>
      </c>
      <c r="CU309" s="117"/>
      <c r="CV309" s="121"/>
      <c r="CW309" s="223">
        <f>(CO309+CP309+CQ309+CR309+CS309+CT309+CU309+CV309)/3</f>
        <v>12</v>
      </c>
      <c r="CX309" s="223">
        <f t="shared" si="2053"/>
        <v>24</v>
      </c>
      <c r="CY309" s="224">
        <f t="shared" si="2054"/>
        <v>36</v>
      </c>
      <c r="CZ309" s="237">
        <f t="shared" si="2269"/>
        <v>2304</v>
      </c>
      <c r="DA309" s="117">
        <f>CP309*CR309*GEslave+CP309*CHslave*CT309+KLslave*CR309*CT309</f>
        <v>3456</v>
      </c>
      <c r="DB309" s="224">
        <f t="shared" si="2055"/>
        <v>1728</v>
      </c>
      <c r="DC309" s="224">
        <f t="shared" si="2162"/>
        <v>7488</v>
      </c>
      <c r="DD309" s="222">
        <f t="shared" si="2057"/>
        <v>3.6923076923076925</v>
      </c>
      <c r="DE309" s="223">
        <f t="shared" si="2058"/>
        <v>11.076923076923077</v>
      </c>
      <c r="DF309" s="243">
        <f t="shared" si="2059"/>
        <v>8.3076923076923084</v>
      </c>
      <c r="DG309" s="243">
        <f t="shared" si="2270"/>
        <v>23.07692307692308</v>
      </c>
      <c r="DH309" s="252">
        <f t="shared" si="1848"/>
        <v>0</v>
      </c>
      <c r="DI309" s="324">
        <f t="shared" si="2061"/>
        <v>23.07692307692308</v>
      </c>
      <c r="DJ309" s="304">
        <f t="shared" si="2271"/>
        <v>175.5384615384616</v>
      </c>
      <c r="DK309" s="335">
        <f t="shared" si="2271"/>
        <v>2</v>
      </c>
      <c r="DL309" s="243">
        <f t="shared" si="2063"/>
        <v>173.5384615384616</v>
      </c>
      <c r="DM309" s="218">
        <f t="shared" si="2064"/>
        <v>0</v>
      </c>
      <c r="DN309" s="248"/>
      <c r="DO309" s="303" t="s">
        <v>458</v>
      </c>
      <c r="DP309" s="218" t="s">
        <v>81</v>
      </c>
      <c r="DQ309" s="304" t="s">
        <v>132</v>
      </c>
      <c r="DR309" s="120"/>
      <c r="DS309" s="117">
        <f>Konvention_1slave-KLslave</f>
        <v>12</v>
      </c>
      <c r="DT309" s="117"/>
      <c r="DU309" s="117">
        <f t="shared" si="2273"/>
        <v>11</v>
      </c>
      <c r="DV309" s="117"/>
      <c r="DW309" s="117">
        <f>Konvention_1slave-GEslave</f>
        <v>12</v>
      </c>
      <c r="DX309" s="117"/>
      <c r="DY309" s="121"/>
      <c r="DZ309" s="223">
        <f>(DR309+DS309+DT309+DU309+DV309+DW309+DX309+DY309)/3</f>
        <v>11.666666666666666</v>
      </c>
      <c r="EA309" s="223">
        <f t="shared" si="2066"/>
        <v>23.333333333333332</v>
      </c>
      <c r="EB309" s="224">
        <f t="shared" si="2067"/>
        <v>35</v>
      </c>
      <c r="EC309" s="237">
        <f t="shared" si="2274"/>
        <v>2432</v>
      </c>
      <c r="ED309" s="117">
        <f>DS309*DU309*GEslave+DS309*CHslave_CH*DW309+KLslave*DU309*DW309</f>
        <v>3408</v>
      </c>
      <c r="EE309" s="224">
        <f t="shared" si="2068"/>
        <v>1584</v>
      </c>
      <c r="EF309" s="224">
        <f t="shared" si="2164"/>
        <v>7424</v>
      </c>
      <c r="EG309" s="222">
        <f t="shared" si="2070"/>
        <v>3.8218390804597702</v>
      </c>
      <c r="EH309" s="223">
        <f t="shared" si="2071"/>
        <v>10.711206896551724</v>
      </c>
      <c r="EI309" s="243">
        <f t="shared" si="2072"/>
        <v>7.4676724137931032</v>
      </c>
      <c r="EJ309" s="243">
        <f t="shared" si="2275"/>
        <v>22.000718390804597</v>
      </c>
      <c r="EK309" s="252">
        <f t="shared" si="1863"/>
        <v>0</v>
      </c>
      <c r="EL309" s="324">
        <f t="shared" si="2074"/>
        <v>22.000718390804597</v>
      </c>
      <c r="EM309" s="304">
        <f t="shared" si="2276"/>
        <v>154.01436781609189</v>
      </c>
      <c r="EN309" s="335">
        <f t="shared" si="2276"/>
        <v>2</v>
      </c>
      <c r="EO309" s="243">
        <f t="shared" si="2076"/>
        <v>152.01436781609189</v>
      </c>
      <c r="EP309" s="218">
        <f t="shared" si="2077"/>
        <v>0</v>
      </c>
      <c r="EQ309" s="248"/>
      <c r="ER309" s="303" t="s">
        <v>458</v>
      </c>
      <c r="ES309" s="218" t="s">
        <v>81</v>
      </c>
      <c r="ET309" s="304" t="s">
        <v>132</v>
      </c>
      <c r="EU309" s="120"/>
      <c r="EV309" s="117">
        <f>Konvention_1slave-KLslave</f>
        <v>12</v>
      </c>
      <c r="EW309" s="117"/>
      <c r="EX309" s="117">
        <f t="shared" si="2278"/>
        <v>12</v>
      </c>
      <c r="EY309" s="117"/>
      <c r="EZ309" s="117">
        <f>Konvention_1slave-GEslave</f>
        <v>12</v>
      </c>
      <c r="FA309" s="117"/>
      <c r="FB309" s="121"/>
      <c r="FC309" s="223">
        <f>(EU309+EV309+EW309+EX309+EY309+EZ309+FA309+FB309)/3</f>
        <v>12</v>
      </c>
      <c r="FD309" s="223">
        <f t="shared" si="2079"/>
        <v>24</v>
      </c>
      <c r="FE309" s="224">
        <f t="shared" si="2080"/>
        <v>36</v>
      </c>
      <c r="FF309" s="237">
        <f t="shared" si="2279"/>
        <v>2304</v>
      </c>
      <c r="FG309" s="117">
        <f>EV309*EX309*GEslave+EV309*CHslave*EZ309+KLslave*EX309*EZ309</f>
        <v>3456</v>
      </c>
      <c r="FH309" s="224">
        <f t="shared" si="2081"/>
        <v>1728</v>
      </c>
      <c r="FI309" s="224">
        <f t="shared" si="2166"/>
        <v>7488</v>
      </c>
      <c r="FJ309" s="222">
        <f t="shared" si="2083"/>
        <v>3.6923076923076925</v>
      </c>
      <c r="FK309" s="223">
        <f t="shared" si="2084"/>
        <v>11.076923076923077</v>
      </c>
      <c r="FL309" s="243">
        <f t="shared" si="2085"/>
        <v>8.3076923076923084</v>
      </c>
      <c r="FM309" s="243">
        <f t="shared" si="2280"/>
        <v>23.07692307692308</v>
      </c>
      <c r="FN309" s="252">
        <f t="shared" si="1878"/>
        <v>0</v>
      </c>
      <c r="FO309" s="324">
        <f t="shared" si="2087"/>
        <v>23.07692307692308</v>
      </c>
      <c r="FP309" s="304">
        <f t="shared" si="2281"/>
        <v>175.5384615384616</v>
      </c>
      <c r="FQ309" s="335">
        <f t="shared" si="2281"/>
        <v>2</v>
      </c>
      <c r="FR309" s="243">
        <f t="shared" si="2089"/>
        <v>173.5384615384616</v>
      </c>
      <c r="FS309" s="218">
        <f t="shared" si="2090"/>
        <v>0</v>
      </c>
      <c r="FT309" s="248"/>
      <c r="FU309" s="303" t="s">
        <v>458</v>
      </c>
      <c r="FV309" s="218" t="s">
        <v>81</v>
      </c>
      <c r="FW309" s="304" t="s">
        <v>132</v>
      </c>
      <c r="FX309" s="120"/>
      <c r="FY309" s="117">
        <f>Konvention_1slave-KLslave</f>
        <v>12</v>
      </c>
      <c r="FZ309" s="117"/>
      <c r="GA309" s="117">
        <f t="shared" si="2283"/>
        <v>12</v>
      </c>
      <c r="GB309" s="117"/>
      <c r="GC309" s="117">
        <f>Konvention_1slave-GEslave_GE</f>
        <v>11</v>
      </c>
      <c r="GD309" s="117"/>
      <c r="GE309" s="121"/>
      <c r="GF309" s="223">
        <f>(FX309+FY309+FZ309+GA309+GB309+GC309+GD309+GE309)/3</f>
        <v>11.666666666666666</v>
      </c>
      <c r="GG309" s="223">
        <f t="shared" si="2092"/>
        <v>23.333333333333332</v>
      </c>
      <c r="GH309" s="224">
        <f t="shared" si="2093"/>
        <v>35</v>
      </c>
      <c r="GI309" s="237">
        <f t="shared" si="2284"/>
        <v>2432</v>
      </c>
      <c r="GJ309" s="117">
        <f>FY309*GA309*GEslave_GE+FY309*CHslave*GC309+KLslave*GA309*GC309</f>
        <v>3408</v>
      </c>
      <c r="GK309" s="224">
        <f t="shared" si="2094"/>
        <v>1584</v>
      </c>
      <c r="GL309" s="224">
        <f t="shared" si="2168"/>
        <v>7424</v>
      </c>
      <c r="GM309" s="222">
        <f t="shared" si="2096"/>
        <v>3.8218390804597702</v>
      </c>
      <c r="GN309" s="223">
        <f t="shared" si="2097"/>
        <v>10.711206896551724</v>
      </c>
      <c r="GO309" s="243">
        <f t="shared" si="2098"/>
        <v>7.4676724137931032</v>
      </c>
      <c r="GP309" s="243">
        <f t="shared" si="2285"/>
        <v>22.000718390804597</v>
      </c>
      <c r="GQ309" s="252">
        <f t="shared" si="1893"/>
        <v>0</v>
      </c>
      <c r="GR309" s="324">
        <f t="shared" si="2100"/>
        <v>22.000718390804597</v>
      </c>
      <c r="GS309" s="304">
        <f t="shared" si="2286"/>
        <v>154.01436781609189</v>
      </c>
      <c r="GT309" s="335">
        <f t="shared" si="2286"/>
        <v>2</v>
      </c>
      <c r="GU309" s="243">
        <f t="shared" si="2102"/>
        <v>152.01436781609189</v>
      </c>
      <c r="GV309" s="218">
        <f t="shared" si="2103"/>
        <v>0</v>
      </c>
      <c r="GW309" s="248"/>
      <c r="GX309" s="303" t="s">
        <v>458</v>
      </c>
      <c r="GY309" s="218" t="s">
        <v>81</v>
      </c>
      <c r="GZ309" s="304" t="s">
        <v>132</v>
      </c>
      <c r="HA309" s="120"/>
      <c r="HB309" s="117">
        <f>Konvention_1slave-KLslave</f>
        <v>12</v>
      </c>
      <c r="HC309" s="117"/>
      <c r="HD309" s="117">
        <f t="shared" si="2288"/>
        <v>12</v>
      </c>
      <c r="HE309" s="117"/>
      <c r="HF309" s="117">
        <f>Konvention_1slave-GEslave</f>
        <v>12</v>
      </c>
      <c r="HG309" s="117"/>
      <c r="HH309" s="121"/>
      <c r="HI309" s="223">
        <f>(HA309+HB309+HC309+HD309+HE309+HF309+HG309+HH309)/3</f>
        <v>12</v>
      </c>
      <c r="HJ309" s="223">
        <f t="shared" si="2105"/>
        <v>24</v>
      </c>
      <c r="HK309" s="224">
        <f t="shared" si="2106"/>
        <v>36</v>
      </c>
      <c r="HL309" s="237">
        <f t="shared" si="2289"/>
        <v>2304</v>
      </c>
      <c r="HM309" s="117">
        <f>HB309*HD309*GEslave+HB309*CHslave*HF309+KLslave*HD309*HF309</f>
        <v>3456</v>
      </c>
      <c r="HN309" s="224">
        <f t="shared" si="2107"/>
        <v>1728</v>
      </c>
      <c r="HO309" s="224">
        <f t="shared" si="2170"/>
        <v>7488</v>
      </c>
      <c r="HP309" s="222">
        <f t="shared" si="2109"/>
        <v>3.6923076923076925</v>
      </c>
      <c r="HQ309" s="223">
        <f t="shared" si="2110"/>
        <v>11.076923076923077</v>
      </c>
      <c r="HR309" s="243">
        <f t="shared" si="2111"/>
        <v>8.3076923076923084</v>
      </c>
      <c r="HS309" s="243">
        <f t="shared" si="2290"/>
        <v>23.07692307692308</v>
      </c>
      <c r="HT309" s="252">
        <f t="shared" si="1908"/>
        <v>0</v>
      </c>
      <c r="HU309" s="324">
        <f t="shared" si="2113"/>
        <v>23.07692307692308</v>
      </c>
      <c r="HV309" s="304">
        <f t="shared" si="2291"/>
        <v>175.5384615384616</v>
      </c>
      <c r="HW309" s="335">
        <f t="shared" si="2291"/>
        <v>2</v>
      </c>
      <c r="HX309" s="243">
        <f t="shared" si="2115"/>
        <v>173.5384615384616</v>
      </c>
      <c r="HY309" s="218">
        <f t="shared" si="2116"/>
        <v>0</v>
      </c>
      <c r="HZ309" s="248"/>
      <c r="IA309" s="303" t="s">
        <v>458</v>
      </c>
      <c r="IB309" s="218" t="s">
        <v>81</v>
      </c>
      <c r="IC309" s="304" t="s">
        <v>132</v>
      </c>
      <c r="ID309" s="120"/>
      <c r="IE309" s="117">
        <f>Konvention_1slave-KLslave</f>
        <v>12</v>
      </c>
      <c r="IF309" s="117"/>
      <c r="IG309" s="117">
        <f t="shared" si="2293"/>
        <v>12</v>
      </c>
      <c r="IH309" s="117"/>
      <c r="II309" s="117">
        <f>Konvention_1slave-GEslave</f>
        <v>12</v>
      </c>
      <c r="IJ309" s="117"/>
      <c r="IK309" s="121"/>
      <c r="IL309" s="223">
        <f>(ID309+IE309+IF309+IG309+IH309+II309+IJ309+IK309)/3</f>
        <v>12</v>
      </c>
      <c r="IM309" s="223">
        <f t="shared" si="2118"/>
        <v>24</v>
      </c>
      <c r="IN309" s="224">
        <f t="shared" si="2119"/>
        <v>36</v>
      </c>
      <c r="IO309" s="237">
        <f t="shared" si="2294"/>
        <v>2304</v>
      </c>
      <c r="IP309" s="117">
        <f>IE309*IG309*GEslave+IE309*CHslave*II309+KLslave*IG309*II309</f>
        <v>3456</v>
      </c>
      <c r="IQ309" s="224">
        <f t="shared" si="2120"/>
        <v>1728</v>
      </c>
      <c r="IR309" s="224">
        <f t="shared" si="2172"/>
        <v>7488</v>
      </c>
      <c r="IS309" s="222">
        <f t="shared" si="2122"/>
        <v>3.6923076923076925</v>
      </c>
      <c r="IT309" s="223">
        <f t="shared" si="2123"/>
        <v>11.076923076923077</v>
      </c>
      <c r="IU309" s="243">
        <f t="shared" si="2124"/>
        <v>8.3076923076923084</v>
      </c>
      <c r="IV309" s="243">
        <f t="shared" si="2295"/>
        <v>23.07692307692308</v>
      </c>
      <c r="IW309" s="252">
        <f t="shared" si="1923"/>
        <v>0</v>
      </c>
      <c r="IX309" s="324">
        <f t="shared" si="2126"/>
        <v>23.07692307692308</v>
      </c>
      <c r="IY309" s="304">
        <f t="shared" si="2296"/>
        <v>175.5384615384616</v>
      </c>
      <c r="IZ309" s="335">
        <f t="shared" si="2296"/>
        <v>2</v>
      </c>
      <c r="JA309" s="243">
        <f t="shared" si="2128"/>
        <v>173.5384615384616</v>
      </c>
      <c r="JB309" s="218">
        <f t="shared" si="2129"/>
        <v>0</v>
      </c>
      <c r="JE309" s="148"/>
    </row>
    <row r="310" spans="1:265" ht="15" hidden="1" customHeight="1" outlineLevel="2">
      <c r="A310" s="185"/>
      <c r="B310" s="217">
        <v>13</v>
      </c>
      <c r="C310" s="303" t="e">
        <f>VLOOKUP(AF310,Attribute!C:T,1,FALSE)</f>
        <v>#N/A</v>
      </c>
      <c r="D310" s="218" t="s">
        <v>95</v>
      </c>
      <c r="E310" s="304" t="s">
        <v>132</v>
      </c>
      <c r="F310" s="120">
        <f>Konvention_1master-MUmaster</f>
        <v>12</v>
      </c>
      <c r="G310" s="117">
        <f t="shared" ref="G310" si="2297">Konvention_1master-KLmaster</f>
        <v>12</v>
      </c>
      <c r="H310" s="117">
        <f>Konvention_1master-INmaster</f>
        <v>12</v>
      </c>
      <c r="I310" s="117"/>
      <c r="J310" s="117"/>
      <c r="K310" s="117"/>
      <c r="L310" s="117"/>
      <c r="M310" s="121"/>
      <c r="N310" s="223">
        <f t="shared" ref="N310" si="2298">(F310+G310+H310+I310+J310+K310+L310+M310)/3</f>
        <v>12</v>
      </c>
      <c r="O310" s="223">
        <f t="shared" si="2011"/>
        <v>24</v>
      </c>
      <c r="P310" s="224">
        <f t="shared" si="2012"/>
        <v>36</v>
      </c>
      <c r="Q310" s="237">
        <f t="shared" si="2013"/>
        <v>2304</v>
      </c>
      <c r="R310" s="117">
        <f>F310*G310*INmaster+F310*KLmaster*H310+MUmaster*G310*H310</f>
        <v>3456</v>
      </c>
      <c r="S310" s="224">
        <f t="shared" si="2014"/>
        <v>1728</v>
      </c>
      <c r="T310" s="224">
        <f t="shared" ref="T310" si="2299">SUM(Q310:S310)</f>
        <v>7488</v>
      </c>
      <c r="U310" s="222">
        <f t="shared" si="2016"/>
        <v>3.6923076923076925</v>
      </c>
      <c r="V310" s="223">
        <f t="shared" si="2017"/>
        <v>11.076923076923077</v>
      </c>
      <c r="W310" s="243">
        <f t="shared" si="2018"/>
        <v>8.3076923076923084</v>
      </c>
      <c r="X310" s="243">
        <f t="shared" si="2254"/>
        <v>23.07692307692308</v>
      </c>
      <c r="Y310" s="252">
        <v>0</v>
      </c>
      <c r="Z310" s="324">
        <f t="shared" si="2020"/>
        <v>23.07692307692308</v>
      </c>
      <c r="AA310" s="304">
        <f t="shared" si="2255"/>
        <v>175.5384615384616</v>
      </c>
      <c r="AB310" s="335">
        <f t="shared" si="2256"/>
        <v>2</v>
      </c>
      <c r="AC310" s="243">
        <f t="shared" si="2023"/>
        <v>173.5384615384616</v>
      </c>
      <c r="AD310" s="218">
        <f t="shared" si="2024"/>
        <v>0</v>
      </c>
      <c r="AE310" s="140"/>
      <c r="AF310" s="303" t="s">
        <v>459</v>
      </c>
      <c r="AG310" s="218" t="s">
        <v>95</v>
      </c>
      <c r="AH310" s="304" t="s">
        <v>132</v>
      </c>
      <c r="AI310" s="120">
        <f>Konvention_1slave-MUslave_MU</f>
        <v>11</v>
      </c>
      <c r="AJ310" s="117">
        <f t="shared" ref="AJ310" si="2300">Konvention_1slave-KLslave</f>
        <v>12</v>
      </c>
      <c r="AK310" s="117">
        <f>Konvention_1slave-INslave</f>
        <v>12</v>
      </c>
      <c r="AL310" s="117"/>
      <c r="AM310" s="117"/>
      <c r="AN310" s="117"/>
      <c r="AO310" s="117"/>
      <c r="AP310" s="121"/>
      <c r="AQ310" s="223">
        <f t="shared" ref="AQ310" si="2301">(AI310+AJ310+AK310+AL310+AM310+AN310+AO310+AP310)/3</f>
        <v>11.666666666666666</v>
      </c>
      <c r="AR310" s="223">
        <f t="shared" si="2026"/>
        <v>23.333333333333332</v>
      </c>
      <c r="AS310" s="224">
        <f t="shared" si="2027"/>
        <v>35</v>
      </c>
      <c r="AT310" s="237">
        <f t="shared" si="2259"/>
        <v>2432</v>
      </c>
      <c r="AU310" s="117">
        <f>AI310*AJ310*INslave+AI310*KLslave*AK310+MUslave_MU*AJ310*AK310</f>
        <v>3408</v>
      </c>
      <c r="AV310" s="224">
        <f t="shared" si="2028"/>
        <v>1584</v>
      </c>
      <c r="AW310" s="224">
        <f t="shared" ref="AW310" si="2302">SUM(AT310:AV310)</f>
        <v>7424</v>
      </c>
      <c r="AX310" s="222">
        <f t="shared" si="2030"/>
        <v>3.8218390804597702</v>
      </c>
      <c r="AY310" s="223">
        <f t="shared" si="2031"/>
        <v>10.711206896551724</v>
      </c>
      <c r="AZ310" s="243">
        <f t="shared" si="2032"/>
        <v>7.4676724137931032</v>
      </c>
      <c r="BA310" s="243">
        <f t="shared" si="2260"/>
        <v>22.000718390804597</v>
      </c>
      <c r="BB310" s="252">
        <f t="shared" si="2034"/>
        <v>0</v>
      </c>
      <c r="BC310" s="324">
        <f t="shared" si="2035"/>
        <v>22.000718390804597</v>
      </c>
      <c r="BD310" s="304">
        <f t="shared" si="2261"/>
        <v>154.01436781609189</v>
      </c>
      <c r="BE310" s="335">
        <f t="shared" si="2261"/>
        <v>2</v>
      </c>
      <c r="BF310" s="243">
        <f t="shared" si="2037"/>
        <v>152.01436781609189</v>
      </c>
      <c r="BG310" s="218">
        <f t="shared" si="2038"/>
        <v>0</v>
      </c>
      <c r="BH310" s="248"/>
      <c r="BI310" s="303" t="s">
        <v>459</v>
      </c>
      <c r="BJ310" s="218" t="s">
        <v>95</v>
      </c>
      <c r="BK310" s="304" t="s">
        <v>132</v>
      </c>
      <c r="BL310" s="120">
        <f>Konvention_1slave-MUslave</f>
        <v>12</v>
      </c>
      <c r="BM310" s="117">
        <f t="shared" ref="BM310" si="2303">Konvention_1slave-KLslave_KL</f>
        <v>11</v>
      </c>
      <c r="BN310" s="117">
        <f>Konvention_1slave-INslave</f>
        <v>12</v>
      </c>
      <c r="BO310" s="117"/>
      <c r="BP310" s="117"/>
      <c r="BQ310" s="117"/>
      <c r="BR310" s="117"/>
      <c r="BS310" s="121"/>
      <c r="BT310" s="223">
        <f t="shared" ref="BT310" si="2304">(BL310+BM310+BN310+BO310+BP310+BQ310+BR310+BS310)/3</f>
        <v>11.666666666666666</v>
      </c>
      <c r="BU310" s="223">
        <f t="shared" si="2040"/>
        <v>23.333333333333332</v>
      </c>
      <c r="BV310" s="224">
        <f t="shared" si="2041"/>
        <v>35</v>
      </c>
      <c r="BW310" s="237">
        <f t="shared" si="2264"/>
        <v>2432</v>
      </c>
      <c r="BX310" s="117">
        <f>BL310*BM310*INslave+BL310*KLslave_KL*BN310+MUslave*BM310*BN310</f>
        <v>3408</v>
      </c>
      <c r="BY310" s="224">
        <f t="shared" si="2042"/>
        <v>1584</v>
      </c>
      <c r="BZ310" s="224">
        <f t="shared" ref="BZ310" si="2305">SUM(BW310:BY310)</f>
        <v>7424</v>
      </c>
      <c r="CA310" s="222">
        <f t="shared" si="2044"/>
        <v>3.8218390804597702</v>
      </c>
      <c r="CB310" s="223">
        <f t="shared" si="2045"/>
        <v>10.711206896551724</v>
      </c>
      <c r="CC310" s="243">
        <f t="shared" si="2046"/>
        <v>7.4676724137931032</v>
      </c>
      <c r="CD310" s="243">
        <f t="shared" si="2265"/>
        <v>22.000718390804597</v>
      </c>
      <c r="CE310" s="252">
        <f t="shared" si="1833"/>
        <v>0</v>
      </c>
      <c r="CF310" s="324">
        <f t="shared" si="2048"/>
        <v>22.000718390804597</v>
      </c>
      <c r="CG310" s="304">
        <f t="shared" si="2266"/>
        <v>154.01436781609189</v>
      </c>
      <c r="CH310" s="335">
        <f t="shared" si="2266"/>
        <v>2</v>
      </c>
      <c r="CI310" s="243">
        <f t="shared" si="2050"/>
        <v>152.01436781609189</v>
      </c>
      <c r="CJ310" s="218">
        <f t="shared" si="2051"/>
        <v>0</v>
      </c>
      <c r="CK310" s="248"/>
      <c r="CL310" s="303" t="s">
        <v>459</v>
      </c>
      <c r="CM310" s="218" t="s">
        <v>95</v>
      </c>
      <c r="CN310" s="304" t="s">
        <v>132</v>
      </c>
      <c r="CO310" s="120">
        <f>Konvention_1slave-MUslave</f>
        <v>12</v>
      </c>
      <c r="CP310" s="117">
        <f t="shared" ref="CP310" si="2306">Konvention_1slave-KLslave</f>
        <v>12</v>
      </c>
      <c r="CQ310" s="117">
        <f>Konvention_1slave-INslave_IN</f>
        <v>11</v>
      </c>
      <c r="CR310" s="117"/>
      <c r="CS310" s="117"/>
      <c r="CT310" s="117"/>
      <c r="CU310" s="117"/>
      <c r="CV310" s="121"/>
      <c r="CW310" s="223">
        <f t="shared" ref="CW310" si="2307">(CO310+CP310+CQ310+CR310+CS310+CT310+CU310+CV310)/3</f>
        <v>11.666666666666666</v>
      </c>
      <c r="CX310" s="223">
        <f t="shared" si="2053"/>
        <v>23.333333333333332</v>
      </c>
      <c r="CY310" s="224">
        <f t="shared" si="2054"/>
        <v>35</v>
      </c>
      <c r="CZ310" s="237">
        <f t="shared" si="2269"/>
        <v>2432</v>
      </c>
      <c r="DA310" s="117">
        <f>CO310*CP310*INslave_IN+CO310*KLslave*CQ310+MUslave*CP310*CQ310</f>
        <v>3408</v>
      </c>
      <c r="DB310" s="224">
        <f t="shared" si="2055"/>
        <v>1584</v>
      </c>
      <c r="DC310" s="224">
        <f t="shared" ref="DC310" si="2308">SUM(CZ310:DB310)</f>
        <v>7424</v>
      </c>
      <c r="DD310" s="222">
        <f t="shared" si="2057"/>
        <v>3.8218390804597702</v>
      </c>
      <c r="DE310" s="223">
        <f t="shared" si="2058"/>
        <v>10.711206896551724</v>
      </c>
      <c r="DF310" s="243">
        <f t="shared" si="2059"/>
        <v>7.4676724137931032</v>
      </c>
      <c r="DG310" s="243">
        <f t="shared" si="2270"/>
        <v>22.000718390804597</v>
      </c>
      <c r="DH310" s="252">
        <f t="shared" si="1848"/>
        <v>0</v>
      </c>
      <c r="DI310" s="324">
        <f t="shared" si="2061"/>
        <v>22.000718390804597</v>
      </c>
      <c r="DJ310" s="304">
        <f t="shared" si="2271"/>
        <v>154.01436781609189</v>
      </c>
      <c r="DK310" s="335">
        <f t="shared" si="2271"/>
        <v>2</v>
      </c>
      <c r="DL310" s="243">
        <f t="shared" si="2063"/>
        <v>152.01436781609189</v>
      </c>
      <c r="DM310" s="218">
        <f t="shared" si="2064"/>
        <v>0</v>
      </c>
      <c r="DN310" s="248"/>
      <c r="DO310" s="303" t="s">
        <v>459</v>
      </c>
      <c r="DP310" s="218" t="s">
        <v>95</v>
      </c>
      <c r="DQ310" s="304" t="s">
        <v>132</v>
      </c>
      <c r="DR310" s="120">
        <f>Konvention_1slave-MUslave</f>
        <v>12</v>
      </c>
      <c r="DS310" s="117">
        <f t="shared" ref="DS310" si="2309">Konvention_1slave-KLslave</f>
        <v>12</v>
      </c>
      <c r="DT310" s="117">
        <f>Konvention_1slave-INslave</f>
        <v>12</v>
      </c>
      <c r="DU310" s="117"/>
      <c r="DV310" s="117"/>
      <c r="DW310" s="117"/>
      <c r="DX310" s="117"/>
      <c r="DY310" s="121"/>
      <c r="DZ310" s="223">
        <f t="shared" ref="DZ310" si="2310">(DR310+DS310+DT310+DU310+DV310+DW310+DX310+DY310)/3</f>
        <v>12</v>
      </c>
      <c r="EA310" s="223">
        <f t="shared" si="2066"/>
        <v>24</v>
      </c>
      <c r="EB310" s="224">
        <f t="shared" si="2067"/>
        <v>36</v>
      </c>
      <c r="EC310" s="237">
        <f t="shared" si="2274"/>
        <v>2304</v>
      </c>
      <c r="ED310" s="117">
        <f>DR310*DS310*INslave+DR310*KLslave*DT310+MUslave*DS310*DT310</f>
        <v>3456</v>
      </c>
      <c r="EE310" s="224">
        <f t="shared" si="2068"/>
        <v>1728</v>
      </c>
      <c r="EF310" s="224">
        <f t="shared" ref="EF310" si="2311">SUM(EC310:EE310)</f>
        <v>7488</v>
      </c>
      <c r="EG310" s="222">
        <f t="shared" si="2070"/>
        <v>3.6923076923076925</v>
      </c>
      <c r="EH310" s="223">
        <f t="shared" si="2071"/>
        <v>11.076923076923077</v>
      </c>
      <c r="EI310" s="243">
        <f t="shared" si="2072"/>
        <v>8.3076923076923084</v>
      </c>
      <c r="EJ310" s="243">
        <f t="shared" si="2275"/>
        <v>23.07692307692308</v>
      </c>
      <c r="EK310" s="252">
        <f t="shared" si="1863"/>
        <v>0</v>
      </c>
      <c r="EL310" s="324">
        <f t="shared" si="2074"/>
        <v>23.07692307692308</v>
      </c>
      <c r="EM310" s="304">
        <f t="shared" si="2276"/>
        <v>175.5384615384616</v>
      </c>
      <c r="EN310" s="335">
        <f t="shared" si="2276"/>
        <v>2</v>
      </c>
      <c r="EO310" s="243">
        <f t="shared" si="2076"/>
        <v>173.5384615384616</v>
      </c>
      <c r="EP310" s="218">
        <f t="shared" si="2077"/>
        <v>0</v>
      </c>
      <c r="EQ310" s="248"/>
      <c r="ER310" s="303" t="s">
        <v>459</v>
      </c>
      <c r="ES310" s="218" t="s">
        <v>95</v>
      </c>
      <c r="ET310" s="304" t="s">
        <v>132</v>
      </c>
      <c r="EU310" s="120">
        <f>Konvention_1slave-MUslave</f>
        <v>12</v>
      </c>
      <c r="EV310" s="117">
        <f t="shared" ref="EV310" si="2312">Konvention_1slave-KLslave</f>
        <v>12</v>
      </c>
      <c r="EW310" s="117">
        <f>Konvention_1slave-INslave</f>
        <v>12</v>
      </c>
      <c r="EX310" s="117"/>
      <c r="EY310" s="117"/>
      <c r="EZ310" s="117"/>
      <c r="FA310" s="117"/>
      <c r="FB310" s="121"/>
      <c r="FC310" s="223">
        <f t="shared" ref="FC310" si="2313">(EU310+EV310+EW310+EX310+EY310+EZ310+FA310+FB310)/3</f>
        <v>12</v>
      </c>
      <c r="FD310" s="223">
        <f t="shared" si="2079"/>
        <v>24</v>
      </c>
      <c r="FE310" s="224">
        <f t="shared" si="2080"/>
        <v>36</v>
      </c>
      <c r="FF310" s="237">
        <f t="shared" si="2279"/>
        <v>2304</v>
      </c>
      <c r="FG310" s="117">
        <f>EU310*EV310*INslave+EU310*KLslave*EW310+MUslave*EV310*EW310</f>
        <v>3456</v>
      </c>
      <c r="FH310" s="224">
        <f t="shared" si="2081"/>
        <v>1728</v>
      </c>
      <c r="FI310" s="224">
        <f t="shared" ref="FI310" si="2314">SUM(FF310:FH310)</f>
        <v>7488</v>
      </c>
      <c r="FJ310" s="222">
        <f t="shared" si="2083"/>
        <v>3.6923076923076925</v>
      </c>
      <c r="FK310" s="223">
        <f t="shared" si="2084"/>
        <v>11.076923076923077</v>
      </c>
      <c r="FL310" s="243">
        <f t="shared" si="2085"/>
        <v>8.3076923076923084</v>
      </c>
      <c r="FM310" s="243">
        <f t="shared" si="2280"/>
        <v>23.07692307692308</v>
      </c>
      <c r="FN310" s="252">
        <f t="shared" si="1878"/>
        <v>0</v>
      </c>
      <c r="FO310" s="324">
        <f t="shared" si="2087"/>
        <v>23.07692307692308</v>
      </c>
      <c r="FP310" s="304">
        <f t="shared" si="2281"/>
        <v>175.5384615384616</v>
      </c>
      <c r="FQ310" s="335">
        <f t="shared" si="2281"/>
        <v>2</v>
      </c>
      <c r="FR310" s="243">
        <f t="shared" si="2089"/>
        <v>173.5384615384616</v>
      </c>
      <c r="FS310" s="218">
        <f t="shared" si="2090"/>
        <v>0</v>
      </c>
      <c r="FT310" s="248"/>
      <c r="FU310" s="303" t="s">
        <v>459</v>
      </c>
      <c r="FV310" s="218" t="s">
        <v>95</v>
      </c>
      <c r="FW310" s="304" t="s">
        <v>132</v>
      </c>
      <c r="FX310" s="120">
        <f>Konvention_1slave-MUslave</f>
        <v>12</v>
      </c>
      <c r="FY310" s="117">
        <f t="shared" ref="FY310" si="2315">Konvention_1slave-KLslave</f>
        <v>12</v>
      </c>
      <c r="FZ310" s="117">
        <f>Konvention_1slave-INslave</f>
        <v>12</v>
      </c>
      <c r="GA310" s="117"/>
      <c r="GB310" s="117"/>
      <c r="GC310" s="117"/>
      <c r="GD310" s="117"/>
      <c r="GE310" s="121"/>
      <c r="GF310" s="223">
        <f t="shared" ref="GF310" si="2316">(FX310+FY310+FZ310+GA310+GB310+GC310+GD310+GE310)/3</f>
        <v>12</v>
      </c>
      <c r="GG310" s="223">
        <f t="shared" si="2092"/>
        <v>24</v>
      </c>
      <c r="GH310" s="224">
        <f t="shared" si="2093"/>
        <v>36</v>
      </c>
      <c r="GI310" s="237">
        <f t="shared" si="2284"/>
        <v>2304</v>
      </c>
      <c r="GJ310" s="117">
        <f>FX310*FY310*INslave+FX310*KLslave*FZ310+MUslave*FY310*FZ310</f>
        <v>3456</v>
      </c>
      <c r="GK310" s="224">
        <f t="shared" si="2094"/>
        <v>1728</v>
      </c>
      <c r="GL310" s="224">
        <f t="shared" ref="GL310" si="2317">SUM(GI310:GK310)</f>
        <v>7488</v>
      </c>
      <c r="GM310" s="222">
        <f t="shared" si="2096"/>
        <v>3.6923076923076925</v>
      </c>
      <c r="GN310" s="223">
        <f t="shared" si="2097"/>
        <v>11.076923076923077</v>
      </c>
      <c r="GO310" s="243">
        <f t="shared" si="2098"/>
        <v>8.3076923076923084</v>
      </c>
      <c r="GP310" s="243">
        <f t="shared" si="2285"/>
        <v>23.07692307692308</v>
      </c>
      <c r="GQ310" s="252">
        <f t="shared" si="1893"/>
        <v>0</v>
      </c>
      <c r="GR310" s="324">
        <f t="shared" si="2100"/>
        <v>23.07692307692308</v>
      </c>
      <c r="GS310" s="304">
        <f t="shared" si="2286"/>
        <v>175.5384615384616</v>
      </c>
      <c r="GT310" s="335">
        <f t="shared" si="2286"/>
        <v>2</v>
      </c>
      <c r="GU310" s="243">
        <f t="shared" si="2102"/>
        <v>173.5384615384616</v>
      </c>
      <c r="GV310" s="218">
        <f t="shared" si="2103"/>
        <v>0</v>
      </c>
      <c r="GW310" s="248"/>
      <c r="GX310" s="303" t="s">
        <v>459</v>
      </c>
      <c r="GY310" s="218" t="s">
        <v>95</v>
      </c>
      <c r="GZ310" s="304" t="s">
        <v>132</v>
      </c>
      <c r="HA310" s="120">
        <f>Konvention_1slave-MUslave</f>
        <v>12</v>
      </c>
      <c r="HB310" s="117">
        <f t="shared" ref="HB310" si="2318">Konvention_1slave-KLslave</f>
        <v>12</v>
      </c>
      <c r="HC310" s="117">
        <f>Konvention_1slave-INslave</f>
        <v>12</v>
      </c>
      <c r="HD310" s="117"/>
      <c r="HE310" s="117"/>
      <c r="HF310" s="117"/>
      <c r="HG310" s="117"/>
      <c r="HH310" s="121"/>
      <c r="HI310" s="223">
        <f t="shared" ref="HI310" si="2319">(HA310+HB310+HC310+HD310+HE310+HF310+HG310+HH310)/3</f>
        <v>12</v>
      </c>
      <c r="HJ310" s="223">
        <f t="shared" si="2105"/>
        <v>24</v>
      </c>
      <c r="HK310" s="224">
        <f t="shared" si="2106"/>
        <v>36</v>
      </c>
      <c r="HL310" s="237">
        <f t="shared" si="2289"/>
        <v>2304</v>
      </c>
      <c r="HM310" s="117">
        <f>HA310*HB310*INslave+HA310*KLslave*HC310+MUslave*HB310*HC310</f>
        <v>3456</v>
      </c>
      <c r="HN310" s="224">
        <f t="shared" si="2107"/>
        <v>1728</v>
      </c>
      <c r="HO310" s="224">
        <f t="shared" ref="HO310" si="2320">SUM(HL310:HN310)</f>
        <v>7488</v>
      </c>
      <c r="HP310" s="222">
        <f t="shared" si="2109"/>
        <v>3.6923076923076925</v>
      </c>
      <c r="HQ310" s="223">
        <f t="shared" si="2110"/>
        <v>11.076923076923077</v>
      </c>
      <c r="HR310" s="243">
        <f t="shared" si="2111"/>
        <v>8.3076923076923084</v>
      </c>
      <c r="HS310" s="243">
        <f t="shared" si="2290"/>
        <v>23.07692307692308</v>
      </c>
      <c r="HT310" s="252">
        <f t="shared" si="1908"/>
        <v>0</v>
      </c>
      <c r="HU310" s="324">
        <f t="shared" si="2113"/>
        <v>23.07692307692308</v>
      </c>
      <c r="HV310" s="304">
        <f t="shared" si="2291"/>
        <v>175.5384615384616</v>
      </c>
      <c r="HW310" s="335">
        <f t="shared" si="2291"/>
        <v>2</v>
      </c>
      <c r="HX310" s="243">
        <f t="shared" si="2115"/>
        <v>173.5384615384616</v>
      </c>
      <c r="HY310" s="218">
        <f t="shared" si="2116"/>
        <v>0</v>
      </c>
      <c r="HZ310" s="248"/>
      <c r="IA310" s="303" t="s">
        <v>459</v>
      </c>
      <c r="IB310" s="218" t="s">
        <v>95</v>
      </c>
      <c r="IC310" s="304" t="s">
        <v>132</v>
      </c>
      <c r="ID310" s="120">
        <f>Konvention_1slave-MUslave</f>
        <v>12</v>
      </c>
      <c r="IE310" s="117">
        <f t="shared" ref="IE310" si="2321">Konvention_1slave-KLslave</f>
        <v>12</v>
      </c>
      <c r="IF310" s="117">
        <f>Konvention_1slave-INslave</f>
        <v>12</v>
      </c>
      <c r="IG310" s="117"/>
      <c r="IH310" s="117"/>
      <c r="II310" s="117"/>
      <c r="IJ310" s="117"/>
      <c r="IK310" s="121"/>
      <c r="IL310" s="223">
        <f t="shared" ref="IL310" si="2322">(ID310+IE310+IF310+IG310+IH310+II310+IJ310+IK310)/3</f>
        <v>12</v>
      </c>
      <c r="IM310" s="223">
        <f t="shared" si="2118"/>
        <v>24</v>
      </c>
      <c r="IN310" s="224">
        <f t="shared" si="2119"/>
        <v>36</v>
      </c>
      <c r="IO310" s="237">
        <f t="shared" si="2294"/>
        <v>2304</v>
      </c>
      <c r="IP310" s="117">
        <f>ID310*IE310*INslave+ID310*KLslave*IF310+MUslave*IE310*IF310</f>
        <v>3456</v>
      </c>
      <c r="IQ310" s="224">
        <f t="shared" si="2120"/>
        <v>1728</v>
      </c>
      <c r="IR310" s="224">
        <f t="shared" ref="IR310" si="2323">SUM(IO310:IQ310)</f>
        <v>7488</v>
      </c>
      <c r="IS310" s="222">
        <f t="shared" si="2122"/>
        <v>3.6923076923076925</v>
      </c>
      <c r="IT310" s="223">
        <f t="shared" si="2123"/>
        <v>11.076923076923077</v>
      </c>
      <c r="IU310" s="243">
        <f t="shared" si="2124"/>
        <v>8.3076923076923084</v>
      </c>
      <c r="IV310" s="243">
        <f t="shared" si="2295"/>
        <v>23.07692307692308</v>
      </c>
      <c r="IW310" s="252">
        <f t="shared" si="1923"/>
        <v>0</v>
      </c>
      <c r="IX310" s="324">
        <f t="shared" si="2126"/>
        <v>23.07692307692308</v>
      </c>
      <c r="IY310" s="304">
        <f t="shared" si="2296"/>
        <v>175.5384615384616</v>
      </c>
      <c r="IZ310" s="335">
        <f t="shared" si="2296"/>
        <v>2</v>
      </c>
      <c r="JA310" s="243">
        <f t="shared" si="2128"/>
        <v>173.5384615384616</v>
      </c>
      <c r="JB310" s="218">
        <f t="shared" si="2129"/>
        <v>0</v>
      </c>
      <c r="JE310" s="148"/>
    </row>
    <row r="311" spans="1:265" hidden="1" outlineLevel="2">
      <c r="A311" s="185"/>
      <c r="B311" s="148">
        <v>14</v>
      </c>
      <c r="C311" s="303" t="e">
        <f>VLOOKUP(AF311,Attribute!C:T,1,FALSE)</f>
        <v>#N/A</v>
      </c>
      <c r="D311" s="218" t="s">
        <v>92</v>
      </c>
      <c r="E311" s="304" t="s">
        <v>134</v>
      </c>
      <c r="F311" s="114">
        <f>Konvention_1master-MUmaster</f>
        <v>12</v>
      </c>
      <c r="G311" s="113"/>
      <c r="H311" s="113"/>
      <c r="I311" s="113">
        <f>Konvention_1master-CHmaster</f>
        <v>12</v>
      </c>
      <c r="J311" s="113"/>
      <c r="K311" s="113"/>
      <c r="L311" s="113"/>
      <c r="M311" s="119"/>
      <c r="N311" s="223">
        <f>(F311+F311+I311)/3</f>
        <v>12</v>
      </c>
      <c r="O311" s="223">
        <f t="shared" si="2011"/>
        <v>24</v>
      </c>
      <c r="P311" s="224">
        <f t="shared" si="2012"/>
        <v>36</v>
      </c>
      <c r="Q311" s="237">
        <f>F311*POWER(CHmaster,SIGN(I311))*POWER(MUmaster,SIGN(F311))+F311*POWER(CHmaster,SIGN(I311))*POWER(MUmaster,SIGN(F311))+I311*POWER(MUmaster,SIGN(F311))*POWER(MUmaster,SIGN(F311))</f>
        <v>2304</v>
      </c>
      <c r="R311" s="113">
        <f>F311*F311*CHmaster+F311*MUmaster*I311+MUmaster*F311*I311</f>
        <v>3456</v>
      </c>
      <c r="S311" s="224">
        <f>F311*F311*I311</f>
        <v>1728</v>
      </c>
      <c r="T311" s="224">
        <f t="shared" ref="T311" si="2324">SUM(Q311:S311)</f>
        <v>7488</v>
      </c>
      <c r="U311" s="222">
        <f t="shared" si="2016"/>
        <v>3.6923076923076925</v>
      </c>
      <c r="V311" s="223">
        <f t="shared" si="2017"/>
        <v>11.076923076923077</v>
      </c>
      <c r="W311" s="243">
        <f t="shared" si="2018"/>
        <v>8.3076923076923084</v>
      </c>
      <c r="X311" s="243">
        <f t="shared" si="2254"/>
        <v>23.07692307692308</v>
      </c>
      <c r="Y311" s="252">
        <v>0</v>
      </c>
      <c r="Z311" s="324">
        <f t="shared" si="2020"/>
        <v>23.07692307692308</v>
      </c>
      <c r="AA311" s="304">
        <f>IF(X311&lt;=0,4,0)+IF(X311&gt;0,X311+1,0)*4+IF(X311&gt;12,X311-12,0)*4+IF(X311&gt;13,X311-13,0)*4+IF(X311&gt;14,X311-14,0)*4+IF(X311&gt;15,X311-15,0)*4+IF(X311&gt;16,X311-16,0)*4+IF(X311&gt;17,X311-17,0)*4+IF(X311&gt;18,X311-18,0)*4+IF(X311&gt;19,X311-19,0)*4+IF(X311&gt;20,X311-20,0)*4</f>
        <v>351.07692307692321</v>
      </c>
      <c r="AB311" s="335">
        <f>IF(Y311&lt;=0,4,0)+IF(Y311&gt;0,Y311+1,0)*4+IF(Y311&gt;12,Y311-12,0)*4+IF(Y311&gt;13,Y311-13,0)*4+IF(Y311&gt;14,Y311-14,0)*4+IF(Y311&gt;15,Y311-15,0)*4+IF(Y311&gt;16,Y311-16,0)*4+IF(Y311&gt;17,Y311-17,0)*4+IF(Y311&gt;18,Y311-18,0)*4+IF(Y311&gt;19,Y311-19,0)*4+IF(Y311&gt;20,Y311-20,0)*4</f>
        <v>4</v>
      </c>
      <c r="AC311" s="243">
        <f t="shared" si="2023"/>
        <v>347.07692307692321</v>
      </c>
      <c r="AD311" s="218">
        <f t="shared" si="2024"/>
        <v>0</v>
      </c>
      <c r="AE311" s="140"/>
      <c r="AF311" s="303" t="s">
        <v>460</v>
      </c>
      <c r="AG311" s="218" t="s">
        <v>92</v>
      </c>
      <c r="AH311" s="304" t="s">
        <v>134</v>
      </c>
      <c r="AI311" s="114">
        <f>Konvention_1slave-MUslave_MU</f>
        <v>11</v>
      </c>
      <c r="AJ311" s="113"/>
      <c r="AK311" s="113"/>
      <c r="AL311" s="113">
        <f>Konvention_1slave-CHslave</f>
        <v>12</v>
      </c>
      <c r="AM311" s="113"/>
      <c r="AN311" s="113"/>
      <c r="AO311" s="113"/>
      <c r="AP311" s="119"/>
      <c r="AQ311" s="223">
        <f>(AI311+AI311+AL311)/3</f>
        <v>11.333333333333334</v>
      </c>
      <c r="AR311" s="223">
        <f t="shared" si="2026"/>
        <v>22.666666666666668</v>
      </c>
      <c r="AS311" s="224">
        <f t="shared" si="2027"/>
        <v>34</v>
      </c>
      <c r="AT311" s="237">
        <f>AI311*POWER(CHslave,SIGN(AL311))*POWER(MUslave_MU,SIGN(AI311))+AI311*POWER(CHslave,SIGN(AL311))*POWER(MUslave_MU,SIGN(AI311))+AL311*POWER(MUslave_MU,SIGN(AI311))*POWER(MUslave_MU,SIGN(AI311))</f>
        <v>2556</v>
      </c>
      <c r="AU311" s="113">
        <f>AI311*AI311*CHslave+AI311*MUslave_MU*AL311+MUslave_MU*AI311*AL311</f>
        <v>3344</v>
      </c>
      <c r="AV311" s="224">
        <f>AI311*AI311*AL311</f>
        <v>1452</v>
      </c>
      <c r="AW311" s="224">
        <f t="shared" ref="AW311" si="2325">SUM(AT311:AV311)</f>
        <v>7352</v>
      </c>
      <c r="AX311" s="222">
        <f t="shared" si="2030"/>
        <v>3.940152339499456</v>
      </c>
      <c r="AY311" s="223">
        <f t="shared" si="2031"/>
        <v>10.309756982227059</v>
      </c>
      <c r="AZ311" s="243">
        <f t="shared" si="2032"/>
        <v>6.714907508161045</v>
      </c>
      <c r="BA311" s="243">
        <f t="shared" si="2260"/>
        <v>20.96481682988756</v>
      </c>
      <c r="BB311" s="252">
        <f t="shared" si="2034"/>
        <v>0</v>
      </c>
      <c r="BC311" s="324">
        <f t="shared" si="2035"/>
        <v>20.96481682988756</v>
      </c>
      <c r="BD311" s="304">
        <f>IF(BA311&lt;=0,4,0)+IF(BA311&gt;0,BA311+1,0)*4+IF(BA311&gt;12,BA311-12,0)*4+IF(BA311&gt;13,BA311-13,0)*4+IF(BA311&gt;14,BA311-14,0)*4+IF(BA311&gt;15,BA311-15,0)*4+IF(BA311&gt;16,BA311-16,0)*4+IF(BA311&gt;17,BA311-17,0)*4+IF(BA311&gt;18,BA311-18,0)*4+IF(BA311&gt;19,BA311-19,0)*4+IF(BA311&gt;20,BA311-20,0)*4</f>
        <v>266.59267319550236</v>
      </c>
      <c r="BE311" s="335">
        <f>IF(BB311&lt;=0,4,0)+IF(BB311&gt;0,BB311+1,0)*4+IF(BB311&gt;12,BB311-12,0)*4+IF(BB311&gt;13,BB311-13,0)*4+IF(BB311&gt;14,BB311-14,0)*4+IF(BB311&gt;15,BB311-15,0)*4+IF(BB311&gt;16,BB311-16,0)*4+IF(BB311&gt;17,BB311-17,0)*4+IF(BB311&gt;18,BB311-18,0)*4+IF(BB311&gt;19,BB311-19,0)*4+IF(BB311&gt;20,BB311-20,0)*4</f>
        <v>4</v>
      </c>
      <c r="BF311" s="243">
        <f t="shared" si="2037"/>
        <v>262.59267319550236</v>
      </c>
      <c r="BG311" s="218">
        <f t="shared" si="2038"/>
        <v>0</v>
      </c>
      <c r="BH311" s="248"/>
      <c r="BI311" s="303" t="s">
        <v>460</v>
      </c>
      <c r="BJ311" s="218" t="s">
        <v>92</v>
      </c>
      <c r="BK311" s="304" t="s">
        <v>134</v>
      </c>
      <c r="BL311" s="114">
        <f>Konvention_1slave-MUslave</f>
        <v>12</v>
      </c>
      <c r="BM311" s="113"/>
      <c r="BN311" s="113"/>
      <c r="BO311" s="113">
        <f>Konvention_1slave-CHslave</f>
        <v>12</v>
      </c>
      <c r="BP311" s="113"/>
      <c r="BQ311" s="113"/>
      <c r="BR311" s="113"/>
      <c r="BS311" s="119"/>
      <c r="BT311" s="223">
        <f>(BL311+BL311+BO311)/3</f>
        <v>12</v>
      </c>
      <c r="BU311" s="223">
        <f t="shared" si="2040"/>
        <v>24</v>
      </c>
      <c r="BV311" s="224">
        <f t="shared" si="2041"/>
        <v>36</v>
      </c>
      <c r="BW311" s="237">
        <f>BL311*POWER(CHslave,SIGN(BO311))*POWER(MUslave,SIGN(BL311))+BL311*POWER(CHslave,SIGN(BO311))*POWER(MUslave,SIGN(BL311))+BO311*POWER(MUslave,SIGN(BL311))*POWER(MUslave,SIGN(BL311))</f>
        <v>2304</v>
      </c>
      <c r="BX311" s="113">
        <f>BL311*BL311*CHslave+BL311*MUslave*BO311+MUslave*BL311*BO311</f>
        <v>3456</v>
      </c>
      <c r="BY311" s="224">
        <f>BL311*BL311*BO311</f>
        <v>1728</v>
      </c>
      <c r="BZ311" s="224">
        <f t="shared" ref="BZ311" si="2326">SUM(BW311:BY311)</f>
        <v>7488</v>
      </c>
      <c r="CA311" s="222">
        <f t="shared" si="2044"/>
        <v>3.6923076923076925</v>
      </c>
      <c r="CB311" s="223">
        <f t="shared" si="2045"/>
        <v>11.076923076923077</v>
      </c>
      <c r="CC311" s="243">
        <f t="shared" si="2046"/>
        <v>8.3076923076923084</v>
      </c>
      <c r="CD311" s="243">
        <f t="shared" si="2265"/>
        <v>23.07692307692308</v>
      </c>
      <c r="CE311" s="252">
        <f t="shared" si="1833"/>
        <v>0</v>
      </c>
      <c r="CF311" s="324">
        <f t="shared" si="2048"/>
        <v>23.07692307692308</v>
      </c>
      <c r="CG311" s="304">
        <f>IF(CD311&lt;=0,4,0)+IF(CD311&gt;0,CD311+1,0)*4+IF(CD311&gt;12,CD311-12,0)*4+IF(CD311&gt;13,CD311-13,0)*4+IF(CD311&gt;14,CD311-14,0)*4+IF(CD311&gt;15,CD311-15,0)*4+IF(CD311&gt;16,CD311-16,0)*4+IF(CD311&gt;17,CD311-17,0)*4+IF(CD311&gt;18,CD311-18,0)*4+IF(CD311&gt;19,CD311-19,0)*4+IF(CD311&gt;20,CD311-20,0)*4</f>
        <v>351.07692307692321</v>
      </c>
      <c r="CH311" s="335">
        <f>IF(CE311&lt;=0,4,0)+IF(CE311&gt;0,CE311+1,0)*4+IF(CE311&gt;12,CE311-12,0)*4+IF(CE311&gt;13,CE311-13,0)*4+IF(CE311&gt;14,CE311-14,0)*4+IF(CE311&gt;15,CE311-15,0)*4+IF(CE311&gt;16,CE311-16,0)*4+IF(CE311&gt;17,CE311-17,0)*4+IF(CE311&gt;18,CE311-18,0)*4+IF(CE311&gt;19,CE311-19,0)*4+IF(CE311&gt;20,CE311-20,0)*4</f>
        <v>4</v>
      </c>
      <c r="CI311" s="243">
        <f t="shared" si="2050"/>
        <v>347.07692307692321</v>
      </c>
      <c r="CJ311" s="218">
        <f t="shared" si="2051"/>
        <v>0</v>
      </c>
      <c r="CK311" s="248"/>
      <c r="CL311" s="303" t="s">
        <v>460</v>
      </c>
      <c r="CM311" s="218" t="s">
        <v>92</v>
      </c>
      <c r="CN311" s="304" t="s">
        <v>134</v>
      </c>
      <c r="CO311" s="114">
        <f>Konvention_1slave-MUslave</f>
        <v>12</v>
      </c>
      <c r="CP311" s="113"/>
      <c r="CQ311" s="113"/>
      <c r="CR311" s="113">
        <f>Konvention_1slave-CHslave</f>
        <v>12</v>
      </c>
      <c r="CS311" s="113"/>
      <c r="CT311" s="113"/>
      <c r="CU311" s="113"/>
      <c r="CV311" s="119"/>
      <c r="CW311" s="223">
        <f>(CO311+CO311+CR311)/3</f>
        <v>12</v>
      </c>
      <c r="CX311" s="223">
        <f t="shared" si="2053"/>
        <v>24</v>
      </c>
      <c r="CY311" s="224">
        <f t="shared" si="2054"/>
        <v>36</v>
      </c>
      <c r="CZ311" s="237">
        <f>CO311*POWER(CHslave,SIGN(CR311))*POWER(MUslave,SIGN(CO311))+CO311*POWER(CHslave,SIGN(CR311))*POWER(MUslave,SIGN(CO311))+CR311*POWER(MUslave,SIGN(CO311))*POWER(MUslave,SIGN(CO311))</f>
        <v>2304</v>
      </c>
      <c r="DA311" s="113">
        <f>CO311*CO311*CHslave+CO311*MUslave*CR311+MUslave*CO311*CR311</f>
        <v>3456</v>
      </c>
      <c r="DB311" s="224">
        <f>CO311*CO311*CR311</f>
        <v>1728</v>
      </c>
      <c r="DC311" s="224">
        <f t="shared" ref="DC311" si="2327">SUM(CZ311:DB311)</f>
        <v>7488</v>
      </c>
      <c r="DD311" s="222">
        <f t="shared" si="2057"/>
        <v>3.6923076923076925</v>
      </c>
      <c r="DE311" s="223">
        <f t="shared" si="2058"/>
        <v>11.076923076923077</v>
      </c>
      <c r="DF311" s="243">
        <f t="shared" si="2059"/>
        <v>8.3076923076923084</v>
      </c>
      <c r="DG311" s="243">
        <f t="shared" si="2270"/>
        <v>23.07692307692308</v>
      </c>
      <c r="DH311" s="252">
        <f t="shared" si="1848"/>
        <v>0</v>
      </c>
      <c r="DI311" s="324">
        <f t="shared" si="2061"/>
        <v>23.07692307692308</v>
      </c>
      <c r="DJ311" s="304">
        <f>IF(DG311&lt;=0,4,0)+IF(DG311&gt;0,DG311+1,0)*4+IF(DG311&gt;12,DG311-12,0)*4+IF(DG311&gt;13,DG311-13,0)*4+IF(DG311&gt;14,DG311-14,0)*4+IF(DG311&gt;15,DG311-15,0)*4+IF(DG311&gt;16,DG311-16,0)*4+IF(DG311&gt;17,DG311-17,0)*4+IF(DG311&gt;18,DG311-18,0)*4+IF(DG311&gt;19,DG311-19,0)*4+IF(DG311&gt;20,DG311-20,0)*4</f>
        <v>351.07692307692321</v>
      </c>
      <c r="DK311" s="335">
        <f>IF(DH311&lt;=0,4,0)+IF(DH311&gt;0,DH311+1,0)*4+IF(DH311&gt;12,DH311-12,0)*4+IF(DH311&gt;13,DH311-13,0)*4+IF(DH311&gt;14,DH311-14,0)*4+IF(DH311&gt;15,DH311-15,0)*4+IF(DH311&gt;16,DH311-16,0)*4+IF(DH311&gt;17,DH311-17,0)*4+IF(DH311&gt;18,DH311-18,0)*4+IF(DH311&gt;19,DH311-19,0)*4+IF(DH311&gt;20,DH311-20,0)*4</f>
        <v>4</v>
      </c>
      <c r="DL311" s="243">
        <f t="shared" si="2063"/>
        <v>347.07692307692321</v>
      </c>
      <c r="DM311" s="218">
        <f t="shared" si="2064"/>
        <v>0</v>
      </c>
      <c r="DN311" s="248"/>
      <c r="DO311" s="303" t="s">
        <v>460</v>
      </c>
      <c r="DP311" s="218" t="s">
        <v>92</v>
      </c>
      <c r="DQ311" s="304" t="s">
        <v>134</v>
      </c>
      <c r="DR311" s="114">
        <f>Konvention_1slave-MUslave</f>
        <v>12</v>
      </c>
      <c r="DS311" s="113"/>
      <c r="DT311" s="113"/>
      <c r="DU311" s="113">
        <f>Konvention_1slave-CHslave_CH</f>
        <v>11</v>
      </c>
      <c r="DV311" s="113"/>
      <c r="DW311" s="113"/>
      <c r="DX311" s="113"/>
      <c r="DY311" s="119"/>
      <c r="DZ311" s="223">
        <f>(DR311+DR311+DU311)/3</f>
        <v>11.666666666666666</v>
      </c>
      <c r="EA311" s="223">
        <f t="shared" si="2066"/>
        <v>23.333333333333332</v>
      </c>
      <c r="EB311" s="224">
        <f t="shared" si="2067"/>
        <v>35</v>
      </c>
      <c r="EC311" s="237">
        <f>DR311*POWER(CHslave_CH,SIGN(DU311))*POWER(MUslave,SIGN(DR311))+DR311*POWER(CHslave_CH,SIGN(DU311))*POWER(MUslave,SIGN(DR311))+DU311*POWER(MUslave,SIGN(DR311))*POWER(MUslave,SIGN(DR311))</f>
        <v>2432</v>
      </c>
      <c r="ED311" s="113">
        <f>DR311*DR311*CHslave_CH+DR311*MUslave*DU311+MUslave*DR311*DU311</f>
        <v>3408</v>
      </c>
      <c r="EE311" s="224">
        <f>DR311*DR311*DU311</f>
        <v>1584</v>
      </c>
      <c r="EF311" s="224">
        <f t="shared" ref="EF311" si="2328">SUM(EC311:EE311)</f>
        <v>7424</v>
      </c>
      <c r="EG311" s="222">
        <f t="shared" si="2070"/>
        <v>3.8218390804597702</v>
      </c>
      <c r="EH311" s="223">
        <f t="shared" si="2071"/>
        <v>10.711206896551724</v>
      </c>
      <c r="EI311" s="243">
        <f t="shared" si="2072"/>
        <v>7.4676724137931032</v>
      </c>
      <c r="EJ311" s="243">
        <f t="shared" si="2275"/>
        <v>22.000718390804597</v>
      </c>
      <c r="EK311" s="252">
        <f t="shared" si="1863"/>
        <v>0</v>
      </c>
      <c r="EL311" s="324">
        <f t="shared" si="2074"/>
        <v>22.000718390804597</v>
      </c>
      <c r="EM311" s="304">
        <f>IF(EJ311&lt;=0,4,0)+IF(EJ311&gt;0,EJ311+1,0)*4+IF(EJ311&gt;12,EJ311-12,0)*4+IF(EJ311&gt;13,EJ311-13,0)*4+IF(EJ311&gt;14,EJ311-14,0)*4+IF(EJ311&gt;15,EJ311-15,0)*4+IF(EJ311&gt;16,EJ311-16,0)*4+IF(EJ311&gt;17,EJ311-17,0)*4+IF(EJ311&gt;18,EJ311-18,0)*4+IF(EJ311&gt;19,EJ311-19,0)*4+IF(EJ311&gt;20,EJ311-20,0)*4</f>
        <v>308.02873563218378</v>
      </c>
      <c r="EN311" s="335">
        <f>IF(EK311&lt;=0,4,0)+IF(EK311&gt;0,EK311+1,0)*4+IF(EK311&gt;12,EK311-12,0)*4+IF(EK311&gt;13,EK311-13,0)*4+IF(EK311&gt;14,EK311-14,0)*4+IF(EK311&gt;15,EK311-15,0)*4+IF(EK311&gt;16,EK311-16,0)*4+IF(EK311&gt;17,EK311-17,0)*4+IF(EK311&gt;18,EK311-18,0)*4+IF(EK311&gt;19,EK311-19,0)*4+IF(EK311&gt;20,EK311-20,0)*4</f>
        <v>4</v>
      </c>
      <c r="EO311" s="243">
        <f t="shared" si="2076"/>
        <v>304.02873563218378</v>
      </c>
      <c r="EP311" s="218">
        <f t="shared" si="2077"/>
        <v>0</v>
      </c>
      <c r="EQ311" s="248"/>
      <c r="ER311" s="303" t="s">
        <v>460</v>
      </c>
      <c r="ES311" s="218" t="s">
        <v>92</v>
      </c>
      <c r="ET311" s="304" t="s">
        <v>134</v>
      </c>
      <c r="EU311" s="114">
        <f>Konvention_1slave-MUslave</f>
        <v>12</v>
      </c>
      <c r="EV311" s="113"/>
      <c r="EW311" s="113"/>
      <c r="EX311" s="113">
        <f>Konvention_1slave-CHslave</f>
        <v>12</v>
      </c>
      <c r="EY311" s="113"/>
      <c r="EZ311" s="113"/>
      <c r="FA311" s="113"/>
      <c r="FB311" s="119"/>
      <c r="FC311" s="223">
        <f>(EU311+EU311+EX311)/3</f>
        <v>12</v>
      </c>
      <c r="FD311" s="223">
        <f t="shared" si="2079"/>
        <v>24</v>
      </c>
      <c r="FE311" s="224">
        <f t="shared" si="2080"/>
        <v>36</v>
      </c>
      <c r="FF311" s="237">
        <f>EU311*POWER(CHslave,SIGN(EX311))*POWER(MUslave,SIGN(EU311))+EU311*POWER(CHslave,SIGN(EX311))*POWER(MUslave,SIGN(EU311))+EX311*POWER(MUslave,SIGN(EU311))*POWER(MUslave,SIGN(EU311))</f>
        <v>2304</v>
      </c>
      <c r="FG311" s="113">
        <f>EU311*EU311*CHslave+EU311*MUslave*EX311+MUslave*EU311*EX311</f>
        <v>3456</v>
      </c>
      <c r="FH311" s="224">
        <f>EU311*EU311*EX311</f>
        <v>1728</v>
      </c>
      <c r="FI311" s="224">
        <f t="shared" ref="FI311" si="2329">SUM(FF311:FH311)</f>
        <v>7488</v>
      </c>
      <c r="FJ311" s="222">
        <f t="shared" si="2083"/>
        <v>3.6923076923076925</v>
      </c>
      <c r="FK311" s="223">
        <f t="shared" si="2084"/>
        <v>11.076923076923077</v>
      </c>
      <c r="FL311" s="243">
        <f t="shared" si="2085"/>
        <v>8.3076923076923084</v>
      </c>
      <c r="FM311" s="243">
        <f t="shared" si="2280"/>
        <v>23.07692307692308</v>
      </c>
      <c r="FN311" s="252">
        <f t="shared" si="1878"/>
        <v>0</v>
      </c>
      <c r="FO311" s="324">
        <f t="shared" si="2087"/>
        <v>23.07692307692308</v>
      </c>
      <c r="FP311" s="304">
        <f>IF(FM311&lt;=0,4,0)+IF(FM311&gt;0,FM311+1,0)*4+IF(FM311&gt;12,FM311-12,0)*4+IF(FM311&gt;13,FM311-13,0)*4+IF(FM311&gt;14,FM311-14,0)*4+IF(FM311&gt;15,FM311-15,0)*4+IF(FM311&gt;16,FM311-16,0)*4+IF(FM311&gt;17,FM311-17,0)*4+IF(FM311&gt;18,FM311-18,0)*4+IF(FM311&gt;19,FM311-19,0)*4+IF(FM311&gt;20,FM311-20,0)*4</f>
        <v>351.07692307692321</v>
      </c>
      <c r="FQ311" s="335">
        <f>IF(FN311&lt;=0,4,0)+IF(FN311&gt;0,FN311+1,0)*4+IF(FN311&gt;12,FN311-12,0)*4+IF(FN311&gt;13,FN311-13,0)*4+IF(FN311&gt;14,FN311-14,0)*4+IF(FN311&gt;15,FN311-15,0)*4+IF(FN311&gt;16,FN311-16,0)*4+IF(FN311&gt;17,FN311-17,0)*4+IF(FN311&gt;18,FN311-18,0)*4+IF(FN311&gt;19,FN311-19,0)*4+IF(FN311&gt;20,FN311-20,0)*4</f>
        <v>4</v>
      </c>
      <c r="FR311" s="243">
        <f t="shared" si="2089"/>
        <v>347.07692307692321</v>
      </c>
      <c r="FS311" s="218">
        <f t="shared" si="2090"/>
        <v>0</v>
      </c>
      <c r="FT311" s="248"/>
      <c r="FU311" s="303" t="s">
        <v>460</v>
      </c>
      <c r="FV311" s="218" t="s">
        <v>92</v>
      </c>
      <c r="FW311" s="304" t="s">
        <v>134</v>
      </c>
      <c r="FX311" s="114">
        <f>Konvention_1slave-MUslave</f>
        <v>12</v>
      </c>
      <c r="FY311" s="113"/>
      <c r="FZ311" s="113"/>
      <c r="GA311" s="113">
        <f>Konvention_1slave-CHslave</f>
        <v>12</v>
      </c>
      <c r="GB311" s="113"/>
      <c r="GC311" s="113"/>
      <c r="GD311" s="113"/>
      <c r="GE311" s="119"/>
      <c r="GF311" s="223">
        <f>(FX311+FX311+GA311)/3</f>
        <v>12</v>
      </c>
      <c r="GG311" s="223">
        <f t="shared" si="2092"/>
        <v>24</v>
      </c>
      <c r="GH311" s="224">
        <f t="shared" si="2093"/>
        <v>36</v>
      </c>
      <c r="GI311" s="237">
        <f>FX311*POWER(CHslave,SIGN(GA311))*POWER(MUslave,SIGN(FX311))+FX311*POWER(CHslave,SIGN(GA311))*POWER(MUslave,SIGN(FX311))+GA311*POWER(MUslave,SIGN(FX311))*POWER(MUslave,SIGN(FX311))</f>
        <v>2304</v>
      </c>
      <c r="GJ311" s="113">
        <f>FX311*FX311*CHslave+FX311*MUslave*GA311+MUslave*FX311*GA311</f>
        <v>3456</v>
      </c>
      <c r="GK311" s="224">
        <f>FX311*FX311*GA311</f>
        <v>1728</v>
      </c>
      <c r="GL311" s="224">
        <f t="shared" ref="GL311" si="2330">SUM(GI311:GK311)</f>
        <v>7488</v>
      </c>
      <c r="GM311" s="222">
        <f t="shared" si="2096"/>
        <v>3.6923076923076925</v>
      </c>
      <c r="GN311" s="223">
        <f t="shared" si="2097"/>
        <v>11.076923076923077</v>
      </c>
      <c r="GO311" s="243">
        <f t="shared" si="2098"/>
        <v>8.3076923076923084</v>
      </c>
      <c r="GP311" s="243">
        <f t="shared" si="2285"/>
        <v>23.07692307692308</v>
      </c>
      <c r="GQ311" s="252">
        <f t="shared" si="1893"/>
        <v>0</v>
      </c>
      <c r="GR311" s="324">
        <f t="shared" si="2100"/>
        <v>23.07692307692308</v>
      </c>
      <c r="GS311" s="304">
        <f>IF(GP311&lt;=0,4,0)+IF(GP311&gt;0,GP311+1,0)*4+IF(GP311&gt;12,GP311-12,0)*4+IF(GP311&gt;13,GP311-13,0)*4+IF(GP311&gt;14,GP311-14,0)*4+IF(GP311&gt;15,GP311-15,0)*4+IF(GP311&gt;16,GP311-16,0)*4+IF(GP311&gt;17,GP311-17,0)*4+IF(GP311&gt;18,GP311-18,0)*4+IF(GP311&gt;19,GP311-19,0)*4+IF(GP311&gt;20,GP311-20,0)*4</f>
        <v>351.07692307692321</v>
      </c>
      <c r="GT311" s="335">
        <f>IF(GQ311&lt;=0,4,0)+IF(GQ311&gt;0,GQ311+1,0)*4+IF(GQ311&gt;12,GQ311-12,0)*4+IF(GQ311&gt;13,GQ311-13,0)*4+IF(GQ311&gt;14,GQ311-14,0)*4+IF(GQ311&gt;15,GQ311-15,0)*4+IF(GQ311&gt;16,GQ311-16,0)*4+IF(GQ311&gt;17,GQ311-17,0)*4+IF(GQ311&gt;18,GQ311-18,0)*4+IF(GQ311&gt;19,GQ311-19,0)*4+IF(GQ311&gt;20,GQ311-20,0)*4</f>
        <v>4</v>
      </c>
      <c r="GU311" s="243">
        <f t="shared" si="2102"/>
        <v>347.07692307692321</v>
      </c>
      <c r="GV311" s="218">
        <f t="shared" si="2103"/>
        <v>0</v>
      </c>
      <c r="GW311" s="248"/>
      <c r="GX311" s="303" t="s">
        <v>460</v>
      </c>
      <c r="GY311" s="218" t="s">
        <v>92</v>
      </c>
      <c r="GZ311" s="304" t="s">
        <v>134</v>
      </c>
      <c r="HA311" s="114">
        <f>Konvention_1slave-MUslave</f>
        <v>12</v>
      </c>
      <c r="HB311" s="113"/>
      <c r="HC311" s="113"/>
      <c r="HD311" s="113">
        <f>Konvention_1slave-CHslave</f>
        <v>12</v>
      </c>
      <c r="HE311" s="113"/>
      <c r="HF311" s="113"/>
      <c r="HG311" s="113"/>
      <c r="HH311" s="119"/>
      <c r="HI311" s="223">
        <f>(HA311+HA311+HD311)/3</f>
        <v>12</v>
      </c>
      <c r="HJ311" s="223">
        <f t="shared" si="2105"/>
        <v>24</v>
      </c>
      <c r="HK311" s="224">
        <f t="shared" si="2106"/>
        <v>36</v>
      </c>
      <c r="HL311" s="237">
        <f>HA311*POWER(CHslave,SIGN(HD311))*POWER(MUslave,SIGN(HA311))+HA311*POWER(CHslave,SIGN(HD311))*POWER(MUslave,SIGN(HA311))+HD311*POWER(MUslave,SIGN(HA311))*POWER(MUslave,SIGN(HA311))</f>
        <v>2304</v>
      </c>
      <c r="HM311" s="113">
        <f>HA311*HA311*CHslave+HA311*MUslave*HD311+MUslave*HA311*HD311</f>
        <v>3456</v>
      </c>
      <c r="HN311" s="224">
        <f>HA311*HA311*HD311</f>
        <v>1728</v>
      </c>
      <c r="HO311" s="224">
        <f t="shared" ref="HO311" si="2331">SUM(HL311:HN311)</f>
        <v>7488</v>
      </c>
      <c r="HP311" s="222">
        <f t="shared" si="2109"/>
        <v>3.6923076923076925</v>
      </c>
      <c r="HQ311" s="223">
        <f t="shared" si="2110"/>
        <v>11.076923076923077</v>
      </c>
      <c r="HR311" s="243">
        <f t="shared" si="2111"/>
        <v>8.3076923076923084</v>
      </c>
      <c r="HS311" s="243">
        <f t="shared" si="2290"/>
        <v>23.07692307692308</v>
      </c>
      <c r="HT311" s="252">
        <f t="shared" si="1908"/>
        <v>0</v>
      </c>
      <c r="HU311" s="324">
        <f t="shared" si="2113"/>
        <v>23.07692307692308</v>
      </c>
      <c r="HV311" s="304">
        <f>IF(HS311&lt;=0,4,0)+IF(HS311&gt;0,HS311+1,0)*4+IF(HS311&gt;12,HS311-12,0)*4+IF(HS311&gt;13,HS311-13,0)*4+IF(HS311&gt;14,HS311-14,0)*4+IF(HS311&gt;15,HS311-15,0)*4+IF(HS311&gt;16,HS311-16,0)*4+IF(HS311&gt;17,HS311-17,0)*4+IF(HS311&gt;18,HS311-18,0)*4+IF(HS311&gt;19,HS311-19,0)*4+IF(HS311&gt;20,HS311-20,0)*4</f>
        <v>351.07692307692321</v>
      </c>
      <c r="HW311" s="335">
        <f>IF(HT311&lt;=0,4,0)+IF(HT311&gt;0,HT311+1,0)*4+IF(HT311&gt;12,HT311-12,0)*4+IF(HT311&gt;13,HT311-13,0)*4+IF(HT311&gt;14,HT311-14,0)*4+IF(HT311&gt;15,HT311-15,0)*4+IF(HT311&gt;16,HT311-16,0)*4+IF(HT311&gt;17,HT311-17,0)*4+IF(HT311&gt;18,HT311-18,0)*4+IF(HT311&gt;19,HT311-19,0)*4+IF(HT311&gt;20,HT311-20,0)*4</f>
        <v>4</v>
      </c>
      <c r="HX311" s="243">
        <f t="shared" si="2115"/>
        <v>347.07692307692321</v>
      </c>
      <c r="HY311" s="218">
        <f t="shared" si="2116"/>
        <v>0</v>
      </c>
      <c r="HZ311" s="248"/>
      <c r="IA311" s="303" t="s">
        <v>460</v>
      </c>
      <c r="IB311" s="218" t="s">
        <v>92</v>
      </c>
      <c r="IC311" s="304" t="s">
        <v>134</v>
      </c>
      <c r="ID311" s="114">
        <f>Konvention_1slave-MUslave</f>
        <v>12</v>
      </c>
      <c r="IE311" s="113"/>
      <c r="IF311" s="113"/>
      <c r="IG311" s="113">
        <f>Konvention_1slave-CHslave</f>
        <v>12</v>
      </c>
      <c r="IH311" s="113"/>
      <c r="II311" s="113"/>
      <c r="IJ311" s="113"/>
      <c r="IK311" s="119"/>
      <c r="IL311" s="223">
        <f>(ID311+ID311+IG311)/3</f>
        <v>12</v>
      </c>
      <c r="IM311" s="223">
        <f t="shared" si="2118"/>
        <v>24</v>
      </c>
      <c r="IN311" s="224">
        <f t="shared" si="2119"/>
        <v>36</v>
      </c>
      <c r="IO311" s="237">
        <f>ID311*POWER(CHslave,SIGN(IG311))*POWER(MUslave,SIGN(ID311))+ID311*POWER(CHslave,SIGN(IG311))*POWER(MUslave,SIGN(ID311))+IG311*POWER(MUslave,SIGN(ID311))*POWER(MUslave,SIGN(ID311))</f>
        <v>2304</v>
      </c>
      <c r="IP311" s="113">
        <f>ID311*ID311*CHslave+ID311*MUslave*IG311+MUslave*ID311*IG311</f>
        <v>3456</v>
      </c>
      <c r="IQ311" s="224">
        <f>ID311*ID311*IG311</f>
        <v>1728</v>
      </c>
      <c r="IR311" s="224">
        <f t="shared" ref="IR311" si="2332">SUM(IO311:IQ311)</f>
        <v>7488</v>
      </c>
      <c r="IS311" s="222">
        <f t="shared" si="2122"/>
        <v>3.6923076923076925</v>
      </c>
      <c r="IT311" s="223">
        <f t="shared" si="2123"/>
        <v>11.076923076923077</v>
      </c>
      <c r="IU311" s="243">
        <f t="shared" si="2124"/>
        <v>8.3076923076923084</v>
      </c>
      <c r="IV311" s="243">
        <f t="shared" si="2295"/>
        <v>23.07692307692308</v>
      </c>
      <c r="IW311" s="252">
        <f t="shared" si="1923"/>
        <v>0</v>
      </c>
      <c r="IX311" s="324">
        <f t="shared" si="2126"/>
        <v>23.07692307692308</v>
      </c>
      <c r="IY311" s="304">
        <f>IF(IV311&lt;=0,4,0)+IF(IV311&gt;0,IV311+1,0)*4+IF(IV311&gt;12,IV311-12,0)*4+IF(IV311&gt;13,IV311-13,0)*4+IF(IV311&gt;14,IV311-14,0)*4+IF(IV311&gt;15,IV311-15,0)*4+IF(IV311&gt;16,IV311-16,0)*4+IF(IV311&gt;17,IV311-17,0)*4+IF(IV311&gt;18,IV311-18,0)*4+IF(IV311&gt;19,IV311-19,0)*4+IF(IV311&gt;20,IV311-20,0)*4</f>
        <v>351.07692307692321</v>
      </c>
      <c r="IZ311" s="335">
        <f>IF(IW311&lt;=0,4,0)+IF(IW311&gt;0,IW311+1,0)*4+IF(IW311&gt;12,IW311-12,0)*4+IF(IW311&gt;13,IW311-13,0)*4+IF(IW311&gt;14,IW311-14,0)*4+IF(IW311&gt;15,IW311-15,0)*4+IF(IW311&gt;16,IW311-16,0)*4+IF(IW311&gt;17,IW311-17,0)*4+IF(IW311&gt;18,IW311-18,0)*4+IF(IW311&gt;19,IW311-19,0)*4+IF(IW311&gt;20,IW311-20,0)*4</f>
        <v>4</v>
      </c>
      <c r="JA311" s="243">
        <f t="shared" si="2128"/>
        <v>347.07692307692321</v>
      </c>
      <c r="JB311" s="218">
        <f t="shared" si="2129"/>
        <v>0</v>
      </c>
      <c r="JE311" s="148"/>
    </row>
    <row r="312" spans="1:265" s="205" customFormat="1" hidden="1" outlineLevel="2">
      <c r="A312" s="185"/>
      <c r="B312" s="217">
        <v>15</v>
      </c>
      <c r="C312" s="303" t="e">
        <f>VLOOKUP(AF312,Attribute!C:T,1,FALSE)</f>
        <v>#N/A</v>
      </c>
      <c r="D312" s="218" t="s">
        <v>472</v>
      </c>
      <c r="E312" s="304" t="s">
        <v>134</v>
      </c>
      <c r="F312" s="210"/>
      <c r="G312" s="211"/>
      <c r="H312" s="211"/>
      <c r="I312" s="113">
        <f>Konvention_1master-CHmaster</f>
        <v>12</v>
      </c>
      <c r="J312" s="211"/>
      <c r="K312" s="211"/>
      <c r="L312" s="117">
        <f>Konvention_1master-KOmaster</f>
        <v>12</v>
      </c>
      <c r="M312" s="119">
        <f>Konvention_1master-KKmaster</f>
        <v>12</v>
      </c>
      <c r="N312" s="223">
        <f>(F312+G312+H312+I312+J312+K312+L312+M312)/3</f>
        <v>12</v>
      </c>
      <c r="O312" s="223">
        <f>2*N312</f>
        <v>24</v>
      </c>
      <c r="P312" s="224">
        <f>3*N312</f>
        <v>36</v>
      </c>
      <c r="Q312" s="237">
        <f>F312*POWER(KLmaster,SIGN(G312))*POWER(INmaster,SIGN(H312))*POWER(CHmaster,SIGN(I312))*POWER(FFmaster,SIGN(J312))*POWER(GEmaster,SIGN(K312))*POWER(KOmaster,SIGN(L312))*POWER(KKmaster,SIGN(M312))+G312*POWER(MUmaster,SIGN(F312))*POWER(INmaster,SIGN(H312))*POWER(CHmaster,SIGN(I312))*POWER(FFmaster,SIGN(J312))*POWER(GEmaster,SIGN(K312))*POWER(KOmaster,SIGN(L312))*POWER(KKmaster,SIGN(M312))+H312*POWER(MUmaster,SIGN(F312))*POWER(KLmaster,SIGN(G312))*POWER(CHmaster,SIGN(I312))*POWER(FFmaster,SIGN(J312))*POWER(GEmaster,SIGN(K312))*POWER(KOmaster,SIGN(L312))*POWER(KKmaster,SIGN(M312))+I312*POWER(MUmaster,SIGN(F312))*POWER(KLmaster,SIGN(G312))*POWER(INmaster,SIGN(H312))*POWER(FFmaster,SIGN(J312))*POWER(GEmaster,SIGN(K312))*POWER(KOmaster,SIGN(L312))*POWER(KKmaster,SIGN(M312))+J312*POWER(MUmaster,SIGN(F312))*POWER(KLmaster,SIGN(G312))*POWER(INmaster,SIGN(H312))*POWER(CHmaster,SIGN(I312))*POWER(GEmaster,SIGN(K312))*POWER(KOmaster,SIGN(L312))*POWER(KKmaster,SIGN(M312))+K312*POWER(MUmaster,SIGN(F312))*POWER(KLmaster,SIGN(G312))*POWER(INmaster,SIGN(H312))*POWER(CHmaster,SIGN(I312))*POWER(FFmaster,SIGN(J312))*POWER(KOmaster,SIGN(L312))*POWER(KKmaster,SIGN(M312))+L312*POWER(MUmaster,SIGN(F312))*POWER(KLmaster,SIGN(G312))*POWER(INmaster,SIGN(H312))*POWER(CHmaster,SIGN(I312))*POWER(FFmaster,SIGN(J312))*POWER(GEmaster,SIGN(K312))*POWER(KKmaster,SIGN(M312))+M312*POWER(MUmaster,SIGN(F312))*POWER(KLmaster,SIGN(G312))*POWER(INmaster,SIGN(H312))*POWER(CHmaster,SIGN(I312))*POWER(FFmaster,SIGN(J312))*POWER(GEmaster,SIGN(K312))*POWER(KOmaster,SIGN(L312))</f>
        <v>2304</v>
      </c>
      <c r="R312" s="234">
        <f>I312*L312*KKmaster+I312*KOmaster*M312+CHmaster*L312*M312</f>
        <v>3456</v>
      </c>
      <c r="S312" s="224">
        <f>IFERROR(F312^SIGN(F312),1)*IFERROR(G312^SIGN(G312),1)*IFERROR(H312^SIGN(H312),1)*IFERROR(I312^SIGN(I312),1)*IFERROR(J312^SIGN(J312),1)*IFERROR(K312^SIGN(K312),1)*IFERROR(L312^SIGN(L312),1)*IFERROR(M312^SIGN(M312),1)</f>
        <v>1728</v>
      </c>
      <c r="T312" s="224">
        <f t="shared" si="2015"/>
        <v>7488</v>
      </c>
      <c r="U312" s="222">
        <f>N312*Q312/T312</f>
        <v>3.6923076923076925</v>
      </c>
      <c r="V312" s="223">
        <f>O312*R312/T312</f>
        <v>11.076923076923077</v>
      </c>
      <c r="W312" s="243">
        <f>P312*S312/T312</f>
        <v>8.3076923076923084</v>
      </c>
      <c r="X312" s="243">
        <f>SUM(U312:W312)</f>
        <v>23.07692307692308</v>
      </c>
      <c r="Y312" s="252">
        <v>0</v>
      </c>
      <c r="Z312" s="324">
        <f>X312-Y312</f>
        <v>23.07692307692308</v>
      </c>
      <c r="AA312" s="304">
        <f>IF(X312&lt;=0,4,0)+IF(X312&gt;0,X312+1,0)*4+IF(X312&gt;12,X312-12,0)*4+IF(X312&gt;13,X312-13,0)*4+IF(X312&gt;14,X312-14,0)*4+IF(X312&gt;15,X312-15,0)*4+IF(X312&gt;16,X312-16,0)*4+IF(X312&gt;17,X312-17,0)*4+IF(X312&gt;18,X312-18,0)*4+IF(X312&gt;19,X312-19,0)*4+IF(X312&gt;20,X312-20,0)*4</f>
        <v>351.07692307692321</v>
      </c>
      <c r="AB312" s="335">
        <f>IF(Y312&lt;=0,4,0)+IF(Y312&gt;0,Y312+1,0)*4+IF(Y312&gt;12,Y312-12,0)*4+IF(Y312&gt;13,Y312-13,0)*4+IF(Y312&gt;14,Y312-14,0)*4+IF(Y312&gt;15,Y312-15,0)*4+IF(Y312&gt;16,Y312-16,0)*4+IF(Y312&gt;17,Y312-17,0)*4+IF(Y312&gt;18,Y312-18,0)*4+IF(Y312&gt;19,Y312-19,0)*4+IF(Y312&gt;20,Y312-20,0)*4</f>
        <v>4</v>
      </c>
      <c r="AC312" s="243">
        <f>IF((AA312-AB312)&gt;0,AA312-AB312,0)</f>
        <v>347.07692307692321</v>
      </c>
      <c r="AD312" s="218">
        <f>IF((AB312-AA312)&gt;0,AB312-AA312,0)</f>
        <v>0</v>
      </c>
      <c r="AE312" s="299"/>
      <c r="AF312" s="303" t="s">
        <v>463</v>
      </c>
      <c r="AG312" s="218" t="s">
        <v>472</v>
      </c>
      <c r="AH312" s="304" t="s">
        <v>134</v>
      </c>
      <c r="AI312" s="210"/>
      <c r="AJ312" s="211"/>
      <c r="AK312" s="211"/>
      <c r="AL312" s="113">
        <f>Konvention_1slave-CHslave</f>
        <v>12</v>
      </c>
      <c r="AM312" s="211"/>
      <c r="AN312" s="211"/>
      <c r="AO312" s="117">
        <f>Konvention_1slave-KOslave</f>
        <v>12</v>
      </c>
      <c r="AP312" s="119">
        <f>Konvention_1slave-KKslave</f>
        <v>12</v>
      </c>
      <c r="AQ312" s="223">
        <f>(AI312+AJ312+AK312+AL312+AM312+AN312+AO312+AP312)/3</f>
        <v>12</v>
      </c>
      <c r="AR312" s="223">
        <f>2*AQ312</f>
        <v>24</v>
      </c>
      <c r="AS312" s="224">
        <f>3*AQ312</f>
        <v>36</v>
      </c>
      <c r="AT312" s="237">
        <f>AI312*POWER(KLslave,SIGN(AJ312))*POWER(INslave,SIGN(AK312))*POWER(CHslave,SIGN(AL312))*POWER(FFslave,SIGN(AM312))*POWER(GEslave,SIGN(AN312))*POWER(KOslave,SIGN(AO312))*POWER(KKslave,SIGN(AP312))+AJ312*POWER(MUslave,SIGN(AI312))*POWER(INslave,SIGN(AK312))*POWER(CHslave,SIGN(AL312))*POWER(FFslave,SIGN(AM312))*POWER(GEslave,SIGN(AN312))*POWER(KOslave,SIGN(AO312))*POWER(KKslave,SIGN(AP312))+AK312*POWER(MUslave,SIGN(AI312))*POWER(KLslave,SIGN(AJ312))*POWER(CHslave,SIGN(AL312))*POWER(FFslave,SIGN(AM312))*POWER(GEslave,SIGN(AN312))*POWER(KOslave,SIGN(AO312))*POWER(KKslave,SIGN(AP312))+AL312*POWER(MUslave,SIGN(AI312))*POWER(KLslave,SIGN(AJ312))*POWER(INslave,SIGN(AK312))*POWER(FFslave,SIGN(AM312))*POWER(GEslave,SIGN(AN312))*POWER(KOslave,SIGN(AO312))*POWER(KKslave,SIGN(AP312))+AM312*POWER(MUslave,SIGN(AI312))*POWER(KLslave,SIGN(AJ312))*POWER(INslave,SIGN(AK312))*POWER(CHslave,SIGN(AL312))*POWER(GEslave,SIGN(AN312))*POWER(KOslave,SIGN(AO312))*POWER(KKslave,SIGN(AP312))+AN312*POWER(MUslave,SIGN(AI312))*POWER(KLslave,SIGN(AJ312))*POWER(INslave,SIGN(AK312))*POWER(CHslave,SIGN(AL312))*POWER(FFslave,SIGN(AM312))*POWER(KOslave,SIGN(AO312))*POWER(KKslave,SIGN(AP312))+AO312*POWER(MUslave,SIGN(AI312))*POWER(KLslave,SIGN(AJ312))*POWER(INslave,SIGN(AK312))*POWER(CHslave,SIGN(AL312))*POWER(FFslave,SIGN(AM312))*POWER(GEslave,SIGN(AN312))*POWER(KKslave,SIGN(AP312))+AP312*POWER(MUslave,SIGN(AI312))*POWER(KLslave,SIGN(AJ312))*POWER(INslave,SIGN(AK312))*POWER(CHslave,SIGN(AL312))*POWER(FFslave,SIGN(AM312))*POWER(GEslave,SIGN(AN312))*POWER(KOslave,SIGN(AO312))</f>
        <v>2304</v>
      </c>
      <c r="AU312" s="234">
        <f>AL312*AO312*KKslave+AL312*KOslave*AP312+CHslave*AO312*AP312</f>
        <v>3456</v>
      </c>
      <c r="AV312" s="224">
        <f>IFERROR(AI312^SIGN(AI312),1)*IFERROR(AJ312^SIGN(AJ312),1)*IFERROR(AK312^SIGN(AK312),1)*IFERROR(AL312^SIGN(AL312),1)*IFERROR(AM312^SIGN(AM312),1)*IFERROR(AN312^SIGN(AN312),1)*IFERROR(AO312^SIGN(AO312),1)*IFERROR(AP312^SIGN(AP312),1)</f>
        <v>1728</v>
      </c>
      <c r="AW312" s="224">
        <f t="shared" si="2158"/>
        <v>7488</v>
      </c>
      <c r="AX312" s="222">
        <f>AQ312*AT312/AW312</f>
        <v>3.6923076923076925</v>
      </c>
      <c r="AY312" s="223">
        <f>AR312*AU312/AW312</f>
        <v>11.076923076923077</v>
      </c>
      <c r="AZ312" s="243">
        <f>AS312*AV312/AW312</f>
        <v>8.3076923076923084</v>
      </c>
      <c r="BA312" s="243">
        <f>SUM(AX312:AZ312)</f>
        <v>23.07692307692308</v>
      </c>
      <c r="BB312" s="252">
        <f t="shared" si="2034"/>
        <v>0</v>
      </c>
      <c r="BC312" s="324">
        <f>BA312-BB312</f>
        <v>23.07692307692308</v>
      </c>
      <c r="BD312" s="304">
        <f>IF(BA312&lt;=0,4,0)+IF(BA312&gt;0,BA312+1,0)*4+IF(BA312&gt;12,BA312-12,0)*4+IF(BA312&gt;13,BA312-13,0)*4+IF(BA312&gt;14,BA312-14,0)*4+IF(BA312&gt;15,BA312-15,0)*4+IF(BA312&gt;16,BA312-16,0)*4+IF(BA312&gt;17,BA312-17,0)*4+IF(BA312&gt;18,BA312-18,0)*4+IF(BA312&gt;19,BA312-19,0)*4+IF(BA312&gt;20,BA312-20,0)*4</f>
        <v>351.07692307692321</v>
      </c>
      <c r="BE312" s="335">
        <f>IF(BB312&lt;=0,4,0)+IF(BB312&gt;0,BB312+1,0)*4+IF(BB312&gt;12,BB312-12,0)*4+IF(BB312&gt;13,BB312-13,0)*4+IF(BB312&gt;14,BB312-14,0)*4+IF(BB312&gt;15,BB312-15,0)*4+IF(BB312&gt;16,BB312-16,0)*4+IF(BB312&gt;17,BB312-17,0)*4+IF(BB312&gt;18,BB312-18,0)*4+IF(BB312&gt;19,BB312-19,0)*4+IF(BB312&gt;20,BB312-20,0)*4</f>
        <v>4</v>
      </c>
      <c r="BF312" s="243">
        <f>IF((BD312-BE312)&gt;0,BD312-BE312,0)</f>
        <v>347.07692307692321</v>
      </c>
      <c r="BG312" s="218">
        <f>IF((BE312-BD312)&gt;0,BE312-BD312,0)</f>
        <v>0</v>
      </c>
      <c r="BH312" s="248"/>
      <c r="BI312" s="303" t="s">
        <v>463</v>
      </c>
      <c r="BJ312" s="218" t="s">
        <v>472</v>
      </c>
      <c r="BK312" s="304" t="s">
        <v>134</v>
      </c>
      <c r="BL312" s="210"/>
      <c r="BM312" s="211"/>
      <c r="BN312" s="211"/>
      <c r="BO312" s="113">
        <f>Konvention_1slave-CHslave</f>
        <v>12</v>
      </c>
      <c r="BP312" s="211"/>
      <c r="BQ312" s="211"/>
      <c r="BR312" s="117">
        <f>Konvention_1slave-KOslave</f>
        <v>12</v>
      </c>
      <c r="BS312" s="119">
        <f>Konvention_1slave-KKslave</f>
        <v>12</v>
      </c>
      <c r="BT312" s="223">
        <f>(BL312+BM312+BN312+BO312+BP312+BQ312+BR312+BS312)/3</f>
        <v>12</v>
      </c>
      <c r="BU312" s="223">
        <f>2*BT312</f>
        <v>24</v>
      </c>
      <c r="BV312" s="224">
        <f>3*BT312</f>
        <v>36</v>
      </c>
      <c r="BW312" s="237">
        <f>BL312*POWER(KLslave,SIGN(BM312))*POWER(INslave,SIGN(BN312))*POWER(CHslave,SIGN(BO312))*POWER(FFslave,SIGN(BP312))*POWER(GEslave,SIGN(BQ312))*POWER(KOslave,SIGN(BR312))*POWER(KKslave,SIGN(BS312))+BM312*POWER(MUslave,SIGN(BL312))*POWER(INslave,SIGN(BN312))*POWER(CHslave,SIGN(BO312))*POWER(FFslave,SIGN(BP312))*POWER(GEslave,SIGN(BQ312))*POWER(KOslave,SIGN(BR312))*POWER(KKslave,SIGN(BS312))+BN312*POWER(MUslave,SIGN(BL312))*POWER(KLslave,SIGN(BM312))*POWER(CHslave,SIGN(BO312))*POWER(FFslave,SIGN(BP312))*POWER(GEslave,SIGN(BQ312))*POWER(KOslave,SIGN(BR312))*POWER(KKslave,SIGN(BS312))+BO312*POWER(MUslave,SIGN(BL312))*POWER(KLslave,SIGN(BM312))*POWER(INslave,SIGN(BN312))*POWER(FFslave,SIGN(BP312))*POWER(GEslave,SIGN(BQ312))*POWER(KOslave,SIGN(BR312))*POWER(KKslave,SIGN(BS312))+BP312*POWER(MUslave,SIGN(BL312))*POWER(KLslave,SIGN(BM312))*POWER(INslave,SIGN(BN312))*POWER(CHslave,SIGN(BO312))*POWER(GEslave,SIGN(BQ312))*POWER(KOslave,SIGN(BR312))*POWER(KKslave,SIGN(BS312))+BQ312*POWER(MUslave,SIGN(BL312))*POWER(KLslave,SIGN(BM312))*POWER(INslave,SIGN(BN312))*POWER(CHslave,SIGN(BO312))*POWER(FFslave,SIGN(BP312))*POWER(KOslave,SIGN(BR312))*POWER(KKslave,SIGN(BS312))+BR312*POWER(MUslave,SIGN(BL312))*POWER(KLslave,SIGN(BM312))*POWER(INslave,SIGN(BN312))*POWER(CHslave,SIGN(BO312))*POWER(FFslave,SIGN(BP312))*POWER(GEslave,SIGN(BQ312))*POWER(KKslave,SIGN(BS312))+BS312*POWER(MUslave,SIGN(BL312))*POWER(KLslave,SIGN(BM312))*POWER(INslave,SIGN(BN312))*POWER(CHslave,SIGN(BO312))*POWER(FFslave,SIGN(BP312))*POWER(GEslave,SIGN(BQ312))*POWER(KOslave,SIGN(BR312))</f>
        <v>2304</v>
      </c>
      <c r="BX312" s="234">
        <f>BO312*BR312*KKslave+BO312*KOslave*BS312+CHslave*BR312*BS312</f>
        <v>3456</v>
      </c>
      <c r="BY312" s="224">
        <f>IFERROR(BL312^SIGN(BL312),1)*IFERROR(BM312^SIGN(BM312),1)*IFERROR(BN312^SIGN(BN312),1)*IFERROR(BO312^SIGN(BO312),1)*IFERROR(BP312^SIGN(BP312),1)*IFERROR(BQ312^SIGN(BQ312),1)*IFERROR(BR312^SIGN(BR312),1)*IFERROR(BS312^SIGN(BS312),1)</f>
        <v>1728</v>
      </c>
      <c r="BZ312" s="224">
        <f t="shared" si="2160"/>
        <v>7488</v>
      </c>
      <c r="CA312" s="222">
        <f>BT312*BW312/BZ312</f>
        <v>3.6923076923076925</v>
      </c>
      <c r="CB312" s="223">
        <f>BU312*BX312/BZ312</f>
        <v>11.076923076923077</v>
      </c>
      <c r="CC312" s="243">
        <f>BV312*BY312/BZ312</f>
        <v>8.3076923076923084</v>
      </c>
      <c r="CD312" s="243">
        <f>SUM(CA312:CC312)</f>
        <v>23.07692307692308</v>
      </c>
      <c r="CE312" s="252">
        <f t="shared" si="1833"/>
        <v>0</v>
      </c>
      <c r="CF312" s="324">
        <f>CD312-CE312</f>
        <v>23.07692307692308</v>
      </c>
      <c r="CG312" s="304">
        <f>IF(CD312&lt;=0,4,0)+IF(CD312&gt;0,CD312+1,0)*4+IF(CD312&gt;12,CD312-12,0)*4+IF(CD312&gt;13,CD312-13,0)*4+IF(CD312&gt;14,CD312-14,0)*4+IF(CD312&gt;15,CD312-15,0)*4+IF(CD312&gt;16,CD312-16,0)*4+IF(CD312&gt;17,CD312-17,0)*4+IF(CD312&gt;18,CD312-18,0)*4+IF(CD312&gt;19,CD312-19,0)*4+IF(CD312&gt;20,CD312-20,0)*4</f>
        <v>351.07692307692321</v>
      </c>
      <c r="CH312" s="335">
        <f>IF(CE312&lt;=0,4,0)+IF(CE312&gt;0,CE312+1,0)*4+IF(CE312&gt;12,CE312-12,0)*4+IF(CE312&gt;13,CE312-13,0)*4+IF(CE312&gt;14,CE312-14,0)*4+IF(CE312&gt;15,CE312-15,0)*4+IF(CE312&gt;16,CE312-16,0)*4+IF(CE312&gt;17,CE312-17,0)*4+IF(CE312&gt;18,CE312-18,0)*4+IF(CE312&gt;19,CE312-19,0)*4+IF(CE312&gt;20,CE312-20,0)*4</f>
        <v>4</v>
      </c>
      <c r="CI312" s="243">
        <f>IF((CG312-CH312)&gt;0,CG312-CH312,0)</f>
        <v>347.07692307692321</v>
      </c>
      <c r="CJ312" s="218">
        <f>IF((CH312-CG312)&gt;0,CH312-CG312,0)</f>
        <v>0</v>
      </c>
      <c r="CK312" s="248"/>
      <c r="CL312" s="303" t="s">
        <v>463</v>
      </c>
      <c r="CM312" s="218" t="s">
        <v>472</v>
      </c>
      <c r="CN312" s="304" t="s">
        <v>134</v>
      </c>
      <c r="CO312" s="210"/>
      <c r="CP312" s="211"/>
      <c r="CQ312" s="211"/>
      <c r="CR312" s="113">
        <f>Konvention_1slave-CHslave</f>
        <v>12</v>
      </c>
      <c r="CS312" s="211"/>
      <c r="CT312" s="211"/>
      <c r="CU312" s="117">
        <f>Konvention_1slave-KOslave</f>
        <v>12</v>
      </c>
      <c r="CV312" s="119">
        <f>Konvention_1slave-KKslave</f>
        <v>12</v>
      </c>
      <c r="CW312" s="223">
        <f>(CO312+CP312+CQ312+CR312+CS312+CT312+CU312+CV312)/3</f>
        <v>12</v>
      </c>
      <c r="CX312" s="223">
        <f>2*CW312</f>
        <v>24</v>
      </c>
      <c r="CY312" s="224">
        <f>3*CW312</f>
        <v>36</v>
      </c>
      <c r="CZ312" s="237">
        <f>CO312*POWER(KLslave,SIGN(CP312))*POWER(INslave,SIGN(CQ312))*POWER(CHslave,SIGN(CR312))*POWER(FFslave,SIGN(CS312))*POWER(GEslave,SIGN(CT312))*POWER(KOslave,SIGN(CU312))*POWER(KKslave,SIGN(CV312))+CP312*POWER(MUslave,SIGN(CO312))*POWER(INslave,SIGN(CQ312))*POWER(CHslave,SIGN(CR312))*POWER(FFslave,SIGN(CS312))*POWER(GEslave,SIGN(CT312))*POWER(KOslave,SIGN(CU312))*POWER(KKslave,SIGN(CV312))+CQ312*POWER(MUslave,SIGN(CO312))*POWER(KLslave,SIGN(CP312))*POWER(CHslave,SIGN(CR312))*POWER(FFslave,SIGN(CS312))*POWER(GEslave,SIGN(CT312))*POWER(KOslave,SIGN(CU312))*POWER(KKslave,SIGN(CV312))+CR312*POWER(MUslave,SIGN(CO312))*POWER(KLslave,SIGN(CP312))*POWER(INslave,SIGN(CQ312))*POWER(FFslave,SIGN(CS312))*POWER(GEslave,SIGN(CT312))*POWER(KOslave,SIGN(CU312))*POWER(KKslave,SIGN(CV312))+CS312*POWER(MUslave,SIGN(CO312))*POWER(KLslave,SIGN(CP312))*POWER(INslave,SIGN(CQ312))*POWER(CHslave,SIGN(CR312))*POWER(GEslave,SIGN(CT312))*POWER(KOslave,SIGN(CU312))*POWER(KKslave,SIGN(CV312))+CT312*POWER(MUslave,SIGN(CO312))*POWER(KLslave,SIGN(CP312))*POWER(INslave,SIGN(CQ312))*POWER(CHslave,SIGN(CR312))*POWER(FFslave,SIGN(CS312))*POWER(KOslave,SIGN(CU312))*POWER(KKslave,SIGN(CV312))+CU312*POWER(MUslave,SIGN(CO312))*POWER(KLslave,SIGN(CP312))*POWER(INslave,SIGN(CQ312))*POWER(CHslave,SIGN(CR312))*POWER(FFslave,SIGN(CS312))*POWER(GEslave,SIGN(CT312))*POWER(KKslave,SIGN(CV312))+CV312*POWER(MUslave,SIGN(CO312))*POWER(KLslave,SIGN(CP312))*POWER(INslave,SIGN(CQ312))*POWER(CHslave,SIGN(CR312))*POWER(FFslave,SIGN(CS312))*POWER(GEslave,SIGN(CT312))*POWER(KOslave,SIGN(CU312))</f>
        <v>2304</v>
      </c>
      <c r="DA312" s="234">
        <f>CR312*CU312*KKslave+CR312*KOslave*CV312+CHslave*CU312*CV312</f>
        <v>3456</v>
      </c>
      <c r="DB312" s="224">
        <f>IFERROR(CO312^SIGN(CO312),1)*IFERROR(CP312^SIGN(CP312),1)*IFERROR(CQ312^SIGN(CQ312),1)*IFERROR(CR312^SIGN(CR312),1)*IFERROR(CS312^SIGN(CS312),1)*IFERROR(CT312^SIGN(CT312),1)*IFERROR(CU312^SIGN(CU312),1)*IFERROR(CV312^SIGN(CV312),1)</f>
        <v>1728</v>
      </c>
      <c r="DC312" s="224">
        <f t="shared" si="2162"/>
        <v>7488</v>
      </c>
      <c r="DD312" s="222">
        <f>CW312*CZ312/DC312</f>
        <v>3.6923076923076925</v>
      </c>
      <c r="DE312" s="223">
        <f>CX312*DA312/DC312</f>
        <v>11.076923076923077</v>
      </c>
      <c r="DF312" s="243">
        <f>CY312*DB312/DC312</f>
        <v>8.3076923076923084</v>
      </c>
      <c r="DG312" s="243">
        <f>SUM(DD312:DF312)</f>
        <v>23.07692307692308</v>
      </c>
      <c r="DH312" s="252">
        <f t="shared" si="1848"/>
        <v>0</v>
      </c>
      <c r="DI312" s="324">
        <f>DG312-DH312</f>
        <v>23.07692307692308</v>
      </c>
      <c r="DJ312" s="304">
        <f>IF(DG312&lt;=0,4,0)+IF(DG312&gt;0,DG312+1,0)*4+IF(DG312&gt;12,DG312-12,0)*4+IF(DG312&gt;13,DG312-13,0)*4+IF(DG312&gt;14,DG312-14,0)*4+IF(DG312&gt;15,DG312-15,0)*4+IF(DG312&gt;16,DG312-16,0)*4+IF(DG312&gt;17,DG312-17,0)*4+IF(DG312&gt;18,DG312-18,0)*4+IF(DG312&gt;19,DG312-19,0)*4+IF(DG312&gt;20,DG312-20,0)*4</f>
        <v>351.07692307692321</v>
      </c>
      <c r="DK312" s="335">
        <f>IF(DH312&lt;=0,4,0)+IF(DH312&gt;0,DH312+1,0)*4+IF(DH312&gt;12,DH312-12,0)*4+IF(DH312&gt;13,DH312-13,0)*4+IF(DH312&gt;14,DH312-14,0)*4+IF(DH312&gt;15,DH312-15,0)*4+IF(DH312&gt;16,DH312-16,0)*4+IF(DH312&gt;17,DH312-17,0)*4+IF(DH312&gt;18,DH312-18,0)*4+IF(DH312&gt;19,DH312-19,0)*4+IF(DH312&gt;20,DH312-20,0)*4</f>
        <v>4</v>
      </c>
      <c r="DL312" s="243">
        <f>IF((DJ312-DK312)&gt;0,DJ312-DK312,0)</f>
        <v>347.07692307692321</v>
      </c>
      <c r="DM312" s="218">
        <f>IF((DK312-DJ312)&gt;0,DK312-DJ312,0)</f>
        <v>0</v>
      </c>
      <c r="DN312" s="248"/>
      <c r="DO312" s="303" t="s">
        <v>463</v>
      </c>
      <c r="DP312" s="218" t="s">
        <v>472</v>
      </c>
      <c r="DQ312" s="304" t="s">
        <v>134</v>
      </c>
      <c r="DR312" s="210"/>
      <c r="DS312" s="211"/>
      <c r="DT312" s="211"/>
      <c r="DU312" s="113">
        <f>Konvention_1slave-CHslave</f>
        <v>12</v>
      </c>
      <c r="DV312" s="211"/>
      <c r="DW312" s="211"/>
      <c r="DX312" s="117">
        <f>Konvention_1slave-KOslave</f>
        <v>12</v>
      </c>
      <c r="DY312" s="119">
        <f>Konvention_1slave-KKslave</f>
        <v>12</v>
      </c>
      <c r="DZ312" s="223">
        <f>(DR312+DS312+DT312+DU312+DV312+DW312+DX312+DY312)/3</f>
        <v>12</v>
      </c>
      <c r="EA312" s="223">
        <f>2*DZ312</f>
        <v>24</v>
      </c>
      <c r="EB312" s="224">
        <f>3*DZ312</f>
        <v>36</v>
      </c>
      <c r="EC312" s="237">
        <f>DR312*POWER(KLslave,SIGN(DS312))*POWER(INslave,SIGN(DT312))*POWER(CHslave,SIGN(DU312))*POWER(FFslave,SIGN(DV312))*POWER(GEslave,SIGN(DW312))*POWER(KOslave,SIGN(DX312))*POWER(KKslave,SIGN(DY312))+DS312*POWER(MUslave,SIGN(DR312))*POWER(INslave,SIGN(DT312))*POWER(CHslave,SIGN(DU312))*POWER(FFslave,SIGN(DV312))*POWER(GEslave,SIGN(DW312))*POWER(KOslave,SIGN(DX312))*POWER(KKslave,SIGN(DY312))+DT312*POWER(MUslave,SIGN(DR312))*POWER(KLslave,SIGN(DS312))*POWER(CHslave,SIGN(DU312))*POWER(FFslave,SIGN(DV312))*POWER(GEslave,SIGN(DW312))*POWER(KOslave,SIGN(DX312))*POWER(KKslave,SIGN(DY312))+DU312*POWER(MUslave,SIGN(DR312))*POWER(KLslave,SIGN(DS312))*POWER(INslave,SIGN(DT312))*POWER(FFslave,SIGN(DV312))*POWER(GEslave,SIGN(DW312))*POWER(KOslave,SIGN(DX312))*POWER(KKslave,SIGN(DY312))+DV312*POWER(MUslave,SIGN(DR312))*POWER(KLslave,SIGN(DS312))*POWER(INslave,SIGN(DT312))*POWER(CHslave,SIGN(DU312))*POWER(GEslave,SIGN(DW312))*POWER(KOslave,SIGN(DX312))*POWER(KKslave,SIGN(DY312))+DW312*POWER(MUslave,SIGN(DR312))*POWER(KLslave,SIGN(DS312))*POWER(INslave,SIGN(DT312))*POWER(CHslave,SIGN(DU312))*POWER(FFslave,SIGN(DV312))*POWER(KOslave,SIGN(DX312))*POWER(KKslave,SIGN(DY312))+DX312*POWER(MUslave,SIGN(DR312))*POWER(KLslave,SIGN(DS312))*POWER(INslave,SIGN(DT312))*POWER(CHslave,SIGN(DU312))*POWER(FFslave,SIGN(DV312))*POWER(GEslave,SIGN(DW312))*POWER(KKslave,SIGN(DY312))+DY312*POWER(MUslave,SIGN(DR312))*POWER(KLslave,SIGN(DS312))*POWER(INslave,SIGN(DT312))*POWER(CHslave,SIGN(DU312))*POWER(FFslave,SIGN(DV312))*POWER(GEslave,SIGN(DW312))*POWER(KOslave,SIGN(DX312))</f>
        <v>2304</v>
      </c>
      <c r="ED312" s="234">
        <f>DU312*DX312*KKslave+DU312*KOslave*DY312+CHslave*DX312*DY312</f>
        <v>3456</v>
      </c>
      <c r="EE312" s="224">
        <f>IFERROR(DR312^SIGN(DR312),1)*IFERROR(DS312^SIGN(DS312),1)*IFERROR(DT312^SIGN(DT312),1)*IFERROR(DU312^SIGN(DU312),1)*IFERROR(DV312^SIGN(DV312),1)*IFERROR(DW312^SIGN(DW312),1)*IFERROR(DX312^SIGN(DX312),1)*IFERROR(DY312^SIGN(DY312),1)</f>
        <v>1728</v>
      </c>
      <c r="EF312" s="224">
        <f t="shared" si="2164"/>
        <v>7488</v>
      </c>
      <c r="EG312" s="222">
        <f>DZ312*EC312/EF312</f>
        <v>3.6923076923076925</v>
      </c>
      <c r="EH312" s="223">
        <f>EA312*ED312/EF312</f>
        <v>11.076923076923077</v>
      </c>
      <c r="EI312" s="243">
        <f>EB312*EE312/EF312</f>
        <v>8.3076923076923084</v>
      </c>
      <c r="EJ312" s="243">
        <f>SUM(EG312:EI312)</f>
        <v>23.07692307692308</v>
      </c>
      <c r="EK312" s="252">
        <f t="shared" si="1863"/>
        <v>0</v>
      </c>
      <c r="EL312" s="324">
        <f>EJ312-EK312</f>
        <v>23.07692307692308</v>
      </c>
      <c r="EM312" s="304">
        <f>IF(EJ312&lt;=0,4,0)+IF(EJ312&gt;0,EJ312+1,0)*4+IF(EJ312&gt;12,EJ312-12,0)*4+IF(EJ312&gt;13,EJ312-13,0)*4+IF(EJ312&gt;14,EJ312-14,0)*4+IF(EJ312&gt;15,EJ312-15,0)*4+IF(EJ312&gt;16,EJ312-16,0)*4+IF(EJ312&gt;17,EJ312-17,0)*4+IF(EJ312&gt;18,EJ312-18,0)*4+IF(EJ312&gt;19,EJ312-19,0)*4+IF(EJ312&gt;20,EJ312-20,0)*4</f>
        <v>351.07692307692321</v>
      </c>
      <c r="EN312" s="335">
        <f>IF(EK312&lt;=0,4,0)+IF(EK312&gt;0,EK312+1,0)*4+IF(EK312&gt;12,EK312-12,0)*4+IF(EK312&gt;13,EK312-13,0)*4+IF(EK312&gt;14,EK312-14,0)*4+IF(EK312&gt;15,EK312-15,0)*4+IF(EK312&gt;16,EK312-16,0)*4+IF(EK312&gt;17,EK312-17,0)*4+IF(EK312&gt;18,EK312-18,0)*4+IF(EK312&gt;19,EK312-19,0)*4+IF(EK312&gt;20,EK312-20,0)*4</f>
        <v>4</v>
      </c>
      <c r="EO312" s="243">
        <f>IF((EM312-EN312)&gt;0,EM312-EN312,0)</f>
        <v>347.07692307692321</v>
      </c>
      <c r="EP312" s="218">
        <f>IF((EN312-EM312)&gt;0,EN312-EM312,0)</f>
        <v>0</v>
      </c>
      <c r="EQ312" s="248"/>
      <c r="ER312" s="303" t="s">
        <v>463</v>
      </c>
      <c r="ES312" s="218" t="s">
        <v>472</v>
      </c>
      <c r="ET312" s="304" t="s">
        <v>134</v>
      </c>
      <c r="EU312" s="210"/>
      <c r="EV312" s="211"/>
      <c r="EW312" s="211"/>
      <c r="EX312" s="113">
        <f>Konvention_1slave-CHslave</f>
        <v>12</v>
      </c>
      <c r="EY312" s="211"/>
      <c r="EZ312" s="211"/>
      <c r="FA312" s="117">
        <f>Konvention_1slave-KOslave</f>
        <v>12</v>
      </c>
      <c r="FB312" s="119">
        <f>Konvention_1slave-KKslave</f>
        <v>12</v>
      </c>
      <c r="FC312" s="223">
        <f>(EU312+EV312+EW312+EX312+EY312+EZ312+FA312+FB312)/3</f>
        <v>12</v>
      </c>
      <c r="FD312" s="223">
        <f>2*FC312</f>
        <v>24</v>
      </c>
      <c r="FE312" s="224">
        <f>3*FC312</f>
        <v>36</v>
      </c>
      <c r="FF312" s="237">
        <f>EU312*POWER(KLslave,SIGN(EV312))*POWER(INslave,SIGN(EW312))*POWER(CHslave,SIGN(EX312))*POWER(FFslave,SIGN(EY312))*POWER(GEslave,SIGN(EZ312))*POWER(KOslave,SIGN(FA312))*POWER(KKslave,SIGN(FB312))+EV312*POWER(MUslave,SIGN(EU312))*POWER(INslave,SIGN(EW312))*POWER(CHslave,SIGN(EX312))*POWER(FFslave,SIGN(EY312))*POWER(GEslave,SIGN(EZ312))*POWER(KOslave,SIGN(FA312))*POWER(KKslave,SIGN(FB312))+EW312*POWER(MUslave,SIGN(EU312))*POWER(KLslave,SIGN(EV312))*POWER(CHslave,SIGN(EX312))*POWER(FFslave,SIGN(EY312))*POWER(GEslave,SIGN(EZ312))*POWER(KOslave,SIGN(FA312))*POWER(KKslave,SIGN(FB312))+EX312*POWER(MUslave,SIGN(EU312))*POWER(KLslave,SIGN(EV312))*POWER(INslave,SIGN(EW312))*POWER(FFslave,SIGN(EY312))*POWER(GEslave,SIGN(EZ312))*POWER(KOslave,SIGN(FA312))*POWER(KKslave,SIGN(FB312))+EY312*POWER(MUslave,SIGN(EU312))*POWER(KLslave,SIGN(EV312))*POWER(INslave,SIGN(EW312))*POWER(CHslave,SIGN(EX312))*POWER(GEslave,SIGN(EZ312))*POWER(KOslave,SIGN(FA312))*POWER(KKslave,SIGN(FB312))+EZ312*POWER(MUslave,SIGN(EU312))*POWER(KLslave,SIGN(EV312))*POWER(INslave,SIGN(EW312))*POWER(CHslave,SIGN(EX312))*POWER(FFslave,SIGN(EY312))*POWER(KOslave,SIGN(FA312))*POWER(KKslave,SIGN(FB312))+FA312*POWER(MUslave,SIGN(EU312))*POWER(KLslave,SIGN(EV312))*POWER(INslave,SIGN(EW312))*POWER(CHslave,SIGN(EX312))*POWER(FFslave,SIGN(EY312))*POWER(GEslave,SIGN(EZ312))*POWER(KKslave,SIGN(FB312))+FB312*POWER(MUslave,SIGN(EU312))*POWER(KLslave,SIGN(EV312))*POWER(INslave,SIGN(EW312))*POWER(CHslave,SIGN(EX312))*POWER(FFslave,SIGN(EY312))*POWER(GEslave,SIGN(EZ312))*POWER(KOslave,SIGN(FA312))</f>
        <v>2304</v>
      </c>
      <c r="FG312" s="234">
        <f>EX312*FA312*KKslave+EX312*KOslave*FB312+CHslave*FA312*FB312</f>
        <v>3456</v>
      </c>
      <c r="FH312" s="224">
        <f>IFERROR(EU312^SIGN(EU312),1)*IFERROR(EV312^SIGN(EV312),1)*IFERROR(EW312^SIGN(EW312),1)*IFERROR(EX312^SIGN(EX312),1)*IFERROR(EY312^SIGN(EY312),1)*IFERROR(EZ312^SIGN(EZ312),1)*IFERROR(FA312^SIGN(FA312),1)*IFERROR(FB312^SIGN(FB312),1)</f>
        <v>1728</v>
      </c>
      <c r="FI312" s="224">
        <f t="shared" si="2166"/>
        <v>7488</v>
      </c>
      <c r="FJ312" s="222">
        <f>FC312*FF312/FI312</f>
        <v>3.6923076923076925</v>
      </c>
      <c r="FK312" s="223">
        <f>FD312*FG312/FI312</f>
        <v>11.076923076923077</v>
      </c>
      <c r="FL312" s="243">
        <f>FE312*FH312/FI312</f>
        <v>8.3076923076923084</v>
      </c>
      <c r="FM312" s="243">
        <f>SUM(FJ312:FL312)</f>
        <v>23.07692307692308</v>
      </c>
      <c r="FN312" s="252">
        <f t="shared" si="1878"/>
        <v>0</v>
      </c>
      <c r="FO312" s="324">
        <f>FM312-FN312</f>
        <v>23.07692307692308</v>
      </c>
      <c r="FP312" s="304">
        <f>IF(FM312&lt;=0,4,0)+IF(FM312&gt;0,FM312+1,0)*4+IF(FM312&gt;12,FM312-12,0)*4+IF(FM312&gt;13,FM312-13,0)*4+IF(FM312&gt;14,FM312-14,0)*4+IF(FM312&gt;15,FM312-15,0)*4+IF(FM312&gt;16,FM312-16,0)*4+IF(FM312&gt;17,FM312-17,0)*4+IF(FM312&gt;18,FM312-18,0)*4+IF(FM312&gt;19,FM312-19,0)*4+IF(FM312&gt;20,FM312-20,0)*4</f>
        <v>351.07692307692321</v>
      </c>
      <c r="FQ312" s="335">
        <f>IF(FN312&lt;=0,4,0)+IF(FN312&gt;0,FN312+1,0)*4+IF(FN312&gt;12,FN312-12,0)*4+IF(FN312&gt;13,FN312-13,0)*4+IF(FN312&gt;14,FN312-14,0)*4+IF(FN312&gt;15,FN312-15,0)*4+IF(FN312&gt;16,FN312-16,0)*4+IF(FN312&gt;17,FN312-17,0)*4+IF(FN312&gt;18,FN312-18,0)*4+IF(FN312&gt;19,FN312-19,0)*4+IF(FN312&gt;20,FN312-20,0)*4</f>
        <v>4</v>
      </c>
      <c r="FR312" s="243">
        <f>IF((FP312-FQ312)&gt;0,FP312-FQ312,0)</f>
        <v>347.07692307692321</v>
      </c>
      <c r="FS312" s="218">
        <f>IF((FQ312-FP312)&gt;0,FQ312-FP312,0)</f>
        <v>0</v>
      </c>
      <c r="FT312" s="248"/>
      <c r="FU312" s="303" t="s">
        <v>463</v>
      </c>
      <c r="FV312" s="218" t="s">
        <v>472</v>
      </c>
      <c r="FW312" s="304" t="s">
        <v>134</v>
      </c>
      <c r="FX312" s="210"/>
      <c r="FY312" s="211"/>
      <c r="FZ312" s="211"/>
      <c r="GA312" s="113">
        <f>Konvention_1slave-CHslave</f>
        <v>12</v>
      </c>
      <c r="GB312" s="211"/>
      <c r="GC312" s="211"/>
      <c r="GD312" s="117">
        <f>Konvention_1slave-KOslave</f>
        <v>12</v>
      </c>
      <c r="GE312" s="119">
        <f>Konvention_1slave-KKslave</f>
        <v>12</v>
      </c>
      <c r="GF312" s="223">
        <f>(FX312+FY312+FZ312+GA312+GB312+GC312+GD312+GE312)/3</f>
        <v>12</v>
      </c>
      <c r="GG312" s="223">
        <f>2*GF312</f>
        <v>24</v>
      </c>
      <c r="GH312" s="224">
        <f>3*GF312</f>
        <v>36</v>
      </c>
      <c r="GI312" s="237">
        <f>FX312*POWER(KLslave,SIGN(FY312))*POWER(INslave,SIGN(FZ312))*POWER(CHslave,SIGN(GA312))*POWER(FFslave,SIGN(GB312))*POWER(GEslave,SIGN(GC312))*POWER(KOslave,SIGN(GD312))*POWER(KKslave,SIGN(GE312))+FY312*POWER(MUslave,SIGN(FX312))*POWER(INslave,SIGN(FZ312))*POWER(CHslave,SIGN(GA312))*POWER(FFslave,SIGN(GB312))*POWER(GEslave,SIGN(GC312))*POWER(KOslave,SIGN(GD312))*POWER(KKslave,SIGN(GE312))+FZ312*POWER(MUslave,SIGN(FX312))*POWER(KLslave,SIGN(FY312))*POWER(CHslave,SIGN(GA312))*POWER(FFslave,SIGN(GB312))*POWER(GEslave,SIGN(GC312))*POWER(KOslave,SIGN(GD312))*POWER(KKslave,SIGN(GE312))+GA312*POWER(MUslave,SIGN(FX312))*POWER(KLslave,SIGN(FY312))*POWER(INslave,SIGN(FZ312))*POWER(FFslave,SIGN(GB312))*POWER(GEslave,SIGN(GC312))*POWER(KOslave,SIGN(GD312))*POWER(KKslave,SIGN(GE312))+GB312*POWER(MUslave,SIGN(FX312))*POWER(KLslave,SIGN(FY312))*POWER(INslave,SIGN(FZ312))*POWER(CHslave,SIGN(GA312))*POWER(GEslave,SIGN(GC312))*POWER(KOslave,SIGN(GD312))*POWER(KKslave,SIGN(GE312))+GC312*POWER(MUslave,SIGN(FX312))*POWER(KLslave,SIGN(FY312))*POWER(INslave,SIGN(FZ312))*POWER(CHslave,SIGN(GA312))*POWER(FFslave,SIGN(GB312))*POWER(KOslave,SIGN(GD312))*POWER(KKslave,SIGN(GE312))+GD312*POWER(MUslave,SIGN(FX312))*POWER(KLslave,SIGN(FY312))*POWER(INslave,SIGN(FZ312))*POWER(CHslave,SIGN(GA312))*POWER(FFslave,SIGN(GB312))*POWER(GEslave,SIGN(GC312))*POWER(KKslave,SIGN(GE312))+GE312*POWER(MUslave,SIGN(FX312))*POWER(KLslave,SIGN(FY312))*POWER(INslave,SIGN(FZ312))*POWER(CHslave,SIGN(GA312))*POWER(FFslave,SIGN(GB312))*POWER(GEslave,SIGN(GC312))*POWER(KOslave,SIGN(GD312))</f>
        <v>2304</v>
      </c>
      <c r="GJ312" s="234">
        <f>GA312*GD312*KKslave+GA312*KOslave*GE312+CHslave*GD312*GE312</f>
        <v>3456</v>
      </c>
      <c r="GK312" s="224">
        <f>IFERROR(FX312^SIGN(FX312),1)*IFERROR(FY312^SIGN(FY312),1)*IFERROR(FZ312^SIGN(FZ312),1)*IFERROR(GA312^SIGN(GA312),1)*IFERROR(GB312^SIGN(GB312),1)*IFERROR(GC312^SIGN(GC312),1)*IFERROR(GD312^SIGN(GD312),1)*IFERROR(GE312^SIGN(GE312),1)</f>
        <v>1728</v>
      </c>
      <c r="GL312" s="224">
        <f t="shared" si="2168"/>
        <v>7488</v>
      </c>
      <c r="GM312" s="222">
        <f>GF312*GI312/GL312</f>
        <v>3.6923076923076925</v>
      </c>
      <c r="GN312" s="223">
        <f>GG312*GJ312/GL312</f>
        <v>11.076923076923077</v>
      </c>
      <c r="GO312" s="243">
        <f>GH312*GK312/GL312</f>
        <v>8.3076923076923084</v>
      </c>
      <c r="GP312" s="243">
        <f>SUM(GM312:GO312)</f>
        <v>23.07692307692308</v>
      </c>
      <c r="GQ312" s="252">
        <f t="shared" si="1893"/>
        <v>0</v>
      </c>
      <c r="GR312" s="324">
        <f>GP312-GQ312</f>
        <v>23.07692307692308</v>
      </c>
      <c r="GS312" s="304">
        <f>IF(GP312&lt;=0,4,0)+IF(GP312&gt;0,GP312+1,0)*4+IF(GP312&gt;12,GP312-12,0)*4+IF(GP312&gt;13,GP312-13,0)*4+IF(GP312&gt;14,GP312-14,0)*4+IF(GP312&gt;15,GP312-15,0)*4+IF(GP312&gt;16,GP312-16,0)*4+IF(GP312&gt;17,GP312-17,0)*4+IF(GP312&gt;18,GP312-18,0)*4+IF(GP312&gt;19,GP312-19,0)*4+IF(GP312&gt;20,GP312-20,0)*4</f>
        <v>351.07692307692321</v>
      </c>
      <c r="GT312" s="335">
        <f>IF(GQ312&lt;=0,4,0)+IF(GQ312&gt;0,GQ312+1,0)*4+IF(GQ312&gt;12,GQ312-12,0)*4+IF(GQ312&gt;13,GQ312-13,0)*4+IF(GQ312&gt;14,GQ312-14,0)*4+IF(GQ312&gt;15,GQ312-15,0)*4+IF(GQ312&gt;16,GQ312-16,0)*4+IF(GQ312&gt;17,GQ312-17,0)*4+IF(GQ312&gt;18,GQ312-18,0)*4+IF(GQ312&gt;19,GQ312-19,0)*4+IF(GQ312&gt;20,GQ312-20,0)*4</f>
        <v>4</v>
      </c>
      <c r="GU312" s="243">
        <f>IF((GS312-GT312)&gt;0,GS312-GT312,0)</f>
        <v>347.07692307692321</v>
      </c>
      <c r="GV312" s="218">
        <f>IF((GT312-GS312)&gt;0,GT312-GS312,0)</f>
        <v>0</v>
      </c>
      <c r="GW312" s="248"/>
      <c r="GX312" s="303" t="s">
        <v>463</v>
      </c>
      <c r="GY312" s="218" t="s">
        <v>472</v>
      </c>
      <c r="GZ312" s="304" t="s">
        <v>134</v>
      </c>
      <c r="HA312" s="210"/>
      <c r="HB312" s="211"/>
      <c r="HC312" s="211"/>
      <c r="HD312" s="113">
        <f>Konvention_1slave-CHslave</f>
        <v>12</v>
      </c>
      <c r="HE312" s="211"/>
      <c r="HF312" s="211"/>
      <c r="HG312" s="117">
        <f>Konvention_1slave-KOslave</f>
        <v>12</v>
      </c>
      <c r="HH312" s="119">
        <f>Konvention_1slave-KKslave</f>
        <v>12</v>
      </c>
      <c r="HI312" s="223">
        <f>(HA312+HB312+HC312+HD312+HE312+HF312+HG312+HH312)/3</f>
        <v>12</v>
      </c>
      <c r="HJ312" s="223">
        <f>2*HI312</f>
        <v>24</v>
      </c>
      <c r="HK312" s="224">
        <f>3*HI312</f>
        <v>36</v>
      </c>
      <c r="HL312" s="237">
        <f>HA312*POWER(KLslave,SIGN(HB312))*POWER(INslave,SIGN(HC312))*POWER(CHslave,SIGN(HD312))*POWER(FFslave,SIGN(HE312))*POWER(GEslave,SIGN(HF312))*POWER(KOslave,SIGN(HG312))*POWER(KKslave,SIGN(HH312))+HB312*POWER(MUslave,SIGN(HA312))*POWER(INslave,SIGN(HC312))*POWER(CHslave,SIGN(HD312))*POWER(FFslave,SIGN(HE312))*POWER(GEslave,SIGN(HF312))*POWER(KOslave,SIGN(HG312))*POWER(KKslave,SIGN(HH312))+HC312*POWER(MUslave,SIGN(HA312))*POWER(KLslave,SIGN(HB312))*POWER(CHslave,SIGN(HD312))*POWER(FFslave,SIGN(HE312))*POWER(GEslave,SIGN(HF312))*POWER(KOslave,SIGN(HG312))*POWER(KKslave,SIGN(HH312))+HD312*POWER(MUslave,SIGN(HA312))*POWER(KLslave,SIGN(HB312))*POWER(INslave,SIGN(HC312))*POWER(FFslave,SIGN(HE312))*POWER(GEslave,SIGN(HF312))*POWER(KOslave,SIGN(HG312))*POWER(KKslave,SIGN(HH312))+HE312*POWER(MUslave,SIGN(HA312))*POWER(KLslave,SIGN(HB312))*POWER(INslave,SIGN(HC312))*POWER(CHslave,SIGN(HD312))*POWER(GEslave,SIGN(HF312))*POWER(KOslave,SIGN(HG312))*POWER(KKslave,SIGN(HH312))+HF312*POWER(MUslave,SIGN(HA312))*POWER(KLslave,SIGN(HB312))*POWER(INslave,SIGN(HC312))*POWER(CHslave,SIGN(HD312))*POWER(FFslave,SIGN(HE312))*POWER(KOslave,SIGN(HG312))*POWER(KKslave,SIGN(HH312))+HG312*POWER(MUslave,SIGN(HA312))*POWER(KLslave,SIGN(HB312))*POWER(INslave,SIGN(HC312))*POWER(CHslave,SIGN(HD312))*POWER(FFslave,SIGN(HE312))*POWER(GEslave,SIGN(HF312))*POWER(KKslave,SIGN(HH312))+HH312*POWER(MUslave,SIGN(HA312))*POWER(KLslave,SIGN(HB312))*POWER(INslave,SIGN(HC312))*POWER(CHslave,SIGN(HD312))*POWER(FFslave,SIGN(HE312))*POWER(GEslave,SIGN(HF312))*POWER(KOslave,SIGN(HG312))</f>
        <v>2304</v>
      </c>
      <c r="HM312" s="234">
        <f>HD312*HG312*KKslave+HD312*KOslave*HH312+CHslave*HG312*HH312</f>
        <v>3456</v>
      </c>
      <c r="HN312" s="224">
        <f>IFERROR(HA312^SIGN(HA312),1)*IFERROR(HB312^SIGN(HB312),1)*IFERROR(HC312^SIGN(HC312),1)*IFERROR(HD312^SIGN(HD312),1)*IFERROR(HE312^SIGN(HE312),1)*IFERROR(HF312^SIGN(HF312),1)*IFERROR(HG312^SIGN(HG312),1)*IFERROR(HH312^SIGN(HH312),1)</f>
        <v>1728</v>
      </c>
      <c r="HO312" s="224">
        <f t="shared" si="2170"/>
        <v>7488</v>
      </c>
      <c r="HP312" s="222">
        <f>HI312*HL312/HO312</f>
        <v>3.6923076923076925</v>
      </c>
      <c r="HQ312" s="223">
        <f>HJ312*HM312/HO312</f>
        <v>11.076923076923077</v>
      </c>
      <c r="HR312" s="243">
        <f>HK312*HN312/HO312</f>
        <v>8.3076923076923084</v>
      </c>
      <c r="HS312" s="243">
        <f>SUM(HP312:HR312)</f>
        <v>23.07692307692308</v>
      </c>
      <c r="HT312" s="252">
        <f t="shared" si="1908"/>
        <v>0</v>
      </c>
      <c r="HU312" s="324">
        <f>HS312-HT312</f>
        <v>23.07692307692308</v>
      </c>
      <c r="HV312" s="304">
        <f>IF(HS312&lt;=0,4,0)+IF(HS312&gt;0,HS312+1,0)*4+IF(HS312&gt;12,HS312-12,0)*4+IF(HS312&gt;13,HS312-13,0)*4+IF(HS312&gt;14,HS312-14,0)*4+IF(HS312&gt;15,HS312-15,0)*4+IF(HS312&gt;16,HS312-16,0)*4+IF(HS312&gt;17,HS312-17,0)*4+IF(HS312&gt;18,HS312-18,0)*4+IF(HS312&gt;19,HS312-19,0)*4+IF(HS312&gt;20,HS312-20,0)*4</f>
        <v>351.07692307692321</v>
      </c>
      <c r="HW312" s="335">
        <f>IF(HT312&lt;=0,4,0)+IF(HT312&gt;0,HT312+1,0)*4+IF(HT312&gt;12,HT312-12,0)*4+IF(HT312&gt;13,HT312-13,0)*4+IF(HT312&gt;14,HT312-14,0)*4+IF(HT312&gt;15,HT312-15,0)*4+IF(HT312&gt;16,HT312-16,0)*4+IF(HT312&gt;17,HT312-17,0)*4+IF(HT312&gt;18,HT312-18,0)*4+IF(HT312&gt;19,HT312-19,0)*4+IF(HT312&gt;20,HT312-20,0)*4</f>
        <v>4</v>
      </c>
      <c r="HX312" s="243">
        <f>IF((HV312-HW312)&gt;0,HV312-HW312,0)</f>
        <v>347.07692307692321</v>
      </c>
      <c r="HY312" s="218">
        <f>IF((HW312-HV312)&gt;0,HW312-HV312,0)</f>
        <v>0</v>
      </c>
      <c r="HZ312" s="248"/>
      <c r="IA312" s="303" t="s">
        <v>463</v>
      </c>
      <c r="IB312" s="218" t="s">
        <v>472</v>
      </c>
      <c r="IC312" s="304" t="s">
        <v>134</v>
      </c>
      <c r="ID312" s="210"/>
      <c r="IE312" s="211"/>
      <c r="IF312" s="211"/>
      <c r="IG312" s="113">
        <f>Konvention_1slave-CHslave</f>
        <v>12</v>
      </c>
      <c r="IH312" s="211"/>
      <c r="II312" s="211"/>
      <c r="IJ312" s="117">
        <f>Konvention_1slave-KOslave</f>
        <v>12</v>
      </c>
      <c r="IK312" s="119">
        <f>Konvention_1slave-KKslave</f>
        <v>12</v>
      </c>
      <c r="IL312" s="223">
        <f>(ID312+IE312+IF312+IG312+IH312+II312+IJ312+IK312)/3</f>
        <v>12</v>
      </c>
      <c r="IM312" s="223">
        <f>2*IL312</f>
        <v>24</v>
      </c>
      <c r="IN312" s="224">
        <f>3*IL312</f>
        <v>36</v>
      </c>
      <c r="IO312" s="237">
        <f>ID312*POWER(KLslave,SIGN(IE312))*POWER(INslave,SIGN(IF312))*POWER(CHslave,SIGN(IG312))*POWER(FFslave,SIGN(IH312))*POWER(GEslave,SIGN(II312))*POWER(KOslave,SIGN(IJ312))*POWER(KKslave,SIGN(IK312))+IE312*POWER(MUslave,SIGN(ID312))*POWER(INslave,SIGN(IF312))*POWER(CHslave,SIGN(IG312))*POWER(FFslave,SIGN(IH312))*POWER(GEslave,SIGN(II312))*POWER(KOslave,SIGN(IJ312))*POWER(KKslave,SIGN(IK312))+IF312*POWER(MUslave,SIGN(ID312))*POWER(KLslave,SIGN(IE312))*POWER(CHslave,SIGN(IG312))*POWER(FFslave,SIGN(IH312))*POWER(GEslave,SIGN(II312))*POWER(KOslave,SIGN(IJ312))*POWER(KKslave,SIGN(IK312))+IG312*POWER(MUslave,SIGN(ID312))*POWER(KLslave,SIGN(IE312))*POWER(INslave,SIGN(IF312))*POWER(FFslave,SIGN(IH312))*POWER(GEslave,SIGN(II312))*POWER(KOslave,SIGN(IJ312))*POWER(KKslave,SIGN(IK312))+IH312*POWER(MUslave,SIGN(ID312))*POWER(KLslave,SIGN(IE312))*POWER(INslave,SIGN(IF312))*POWER(CHslave,SIGN(IG312))*POWER(GEslave,SIGN(II312))*POWER(KOslave,SIGN(IJ312))*POWER(KKslave,SIGN(IK312))+II312*POWER(MUslave,SIGN(ID312))*POWER(KLslave,SIGN(IE312))*POWER(INslave,SIGN(IF312))*POWER(CHslave,SIGN(IG312))*POWER(FFslave,SIGN(IH312))*POWER(KOslave,SIGN(IJ312))*POWER(KKslave,SIGN(IK312))+IJ312*POWER(MUslave,SIGN(ID312))*POWER(KLslave,SIGN(IE312))*POWER(INslave,SIGN(IF312))*POWER(CHslave,SIGN(IG312))*POWER(FFslave,SIGN(IH312))*POWER(GEslave,SIGN(II312))*POWER(KKslave,SIGN(IK312))+IK312*POWER(MUslave,SIGN(ID312))*POWER(KLslave,SIGN(IE312))*POWER(INslave,SIGN(IF312))*POWER(CHslave,SIGN(IG312))*POWER(FFslave,SIGN(IH312))*POWER(GEslave,SIGN(II312))*POWER(KOslave,SIGN(IJ312))</f>
        <v>2304</v>
      </c>
      <c r="IP312" s="234">
        <f>IG312*IJ312*KKslave+IG312*KOslave*IK312+CHslave*IJ312*IK312</f>
        <v>3456</v>
      </c>
      <c r="IQ312" s="224">
        <f>IFERROR(ID312^SIGN(ID312),1)*IFERROR(IE312^SIGN(IE312),1)*IFERROR(IF312^SIGN(IF312),1)*IFERROR(IG312^SIGN(IG312),1)*IFERROR(IH312^SIGN(IH312),1)*IFERROR(II312^SIGN(II312),1)*IFERROR(IJ312^SIGN(IJ312),1)*IFERROR(IK312^SIGN(IK312),1)</f>
        <v>1728</v>
      </c>
      <c r="IR312" s="224">
        <f t="shared" si="2172"/>
        <v>7488</v>
      </c>
      <c r="IS312" s="222">
        <f>IL312*IO312/IR312</f>
        <v>3.6923076923076925</v>
      </c>
      <c r="IT312" s="223">
        <f>IM312*IP312/IR312</f>
        <v>11.076923076923077</v>
      </c>
      <c r="IU312" s="243">
        <f>IN312*IQ312/IR312</f>
        <v>8.3076923076923084</v>
      </c>
      <c r="IV312" s="243">
        <f>SUM(IS312:IU312)</f>
        <v>23.07692307692308</v>
      </c>
      <c r="IW312" s="252">
        <f t="shared" si="1923"/>
        <v>0</v>
      </c>
      <c r="IX312" s="324">
        <f>IV312-IW312</f>
        <v>23.07692307692308</v>
      </c>
      <c r="IY312" s="304">
        <f>IF(IV312&lt;=0,4,0)+IF(IV312&gt;0,IV312+1,0)*4+IF(IV312&gt;12,IV312-12,0)*4+IF(IV312&gt;13,IV312-13,0)*4+IF(IV312&gt;14,IV312-14,0)*4+IF(IV312&gt;15,IV312-15,0)*4+IF(IV312&gt;16,IV312-16,0)*4+IF(IV312&gt;17,IV312-17,0)*4+IF(IV312&gt;18,IV312-18,0)*4+IF(IV312&gt;19,IV312-19,0)*4+IF(IV312&gt;20,IV312-20,0)*4</f>
        <v>351.07692307692321</v>
      </c>
      <c r="IZ312" s="335">
        <f>IF(IW312&lt;=0,4,0)+IF(IW312&gt;0,IW312+1,0)*4+IF(IW312&gt;12,IW312-12,0)*4+IF(IW312&gt;13,IW312-13,0)*4+IF(IW312&gt;14,IW312-14,0)*4+IF(IW312&gt;15,IW312-15,0)*4+IF(IW312&gt;16,IW312-16,0)*4+IF(IW312&gt;17,IW312-17,0)*4+IF(IW312&gt;18,IW312-18,0)*4+IF(IW312&gt;19,IW312-19,0)*4+IF(IW312&gt;20,IW312-20,0)*4</f>
        <v>4</v>
      </c>
      <c r="JA312" s="243">
        <f>IF((IY312-IZ312)&gt;0,IY312-IZ312,0)</f>
        <v>347.07692307692321</v>
      </c>
      <c r="JB312" s="218">
        <f>IF((IZ312-IY312)&gt;0,IZ312-IY312,0)</f>
        <v>0</v>
      </c>
    </row>
    <row r="313" spans="1:265" s="205" customFormat="1" hidden="1" outlineLevel="2">
      <c r="A313" s="185"/>
      <c r="B313" s="148">
        <v>16</v>
      </c>
      <c r="C313" s="303" t="e">
        <f>VLOOKUP(AF313,Attribute!C:T,1,FALSE)</f>
        <v>#N/A</v>
      </c>
      <c r="D313" s="304" t="s">
        <v>473</v>
      </c>
      <c r="E313" s="304" t="s">
        <v>132</v>
      </c>
      <c r="F313" s="213"/>
      <c r="G313" s="113">
        <f>Konvention_1master-KLmaster</f>
        <v>12</v>
      </c>
      <c r="H313" s="214"/>
      <c r="I313" s="113">
        <f>Konvention_1master-CHmaster</f>
        <v>12</v>
      </c>
      <c r="J313" s="214"/>
      <c r="K313" s="113"/>
      <c r="L313" s="214"/>
      <c r="M313" s="215"/>
      <c r="N313" s="223">
        <f>(G313+I313+I313)/3</f>
        <v>12</v>
      </c>
      <c r="O313" s="223">
        <f t="shared" ref="O313:O314" si="2333">2*N313</f>
        <v>24</v>
      </c>
      <c r="P313" s="224">
        <f t="shared" ref="P313:P314" si="2334">3*N313</f>
        <v>36</v>
      </c>
      <c r="Q313" s="237">
        <f>I313*POWER(INmaster,SIGN(G313))*POWER(KLmaster,SIGN(I313))+I313*POWER(INmaster,SIGN(G313))*POWER(KLmaster,SIGN(I313))+G313*POWER(KLmaster,SIGN(I313))*POWER(KLmaster,SIGN(I313))</f>
        <v>2304</v>
      </c>
      <c r="R313" s="117">
        <f>I313*I313*KLmaster+I313*CHmaster*G313+CHmaster*I313*G313</f>
        <v>3456</v>
      </c>
      <c r="S313" s="224">
        <f>I313*I313*G313</f>
        <v>1728</v>
      </c>
      <c r="T313" s="224">
        <f t="shared" si="2015"/>
        <v>7488</v>
      </c>
      <c r="U313" s="222">
        <f t="shared" ref="U313:U314" si="2335">N313*Q313/T313</f>
        <v>3.6923076923076925</v>
      </c>
      <c r="V313" s="223">
        <f t="shared" ref="V313:V314" si="2336">O313*R313/T313</f>
        <v>11.076923076923077</v>
      </c>
      <c r="W313" s="243">
        <f t="shared" ref="W313:W314" si="2337">P313*S313/T313</f>
        <v>8.3076923076923084</v>
      </c>
      <c r="X313" s="243">
        <f t="shared" ref="X313:X314" si="2338">SUM(U313:W313)</f>
        <v>23.07692307692308</v>
      </c>
      <c r="Y313" s="252">
        <v>0</v>
      </c>
      <c r="Z313" s="324">
        <f t="shared" ref="Z313:Z314" si="2339">X313-Y313</f>
        <v>23.07692307692308</v>
      </c>
      <c r="AA313" s="304">
        <f t="shared" ref="AA313:AA314" si="2340">IF(X313&lt;=0,2,0)+IF(X313&gt;0,X313+1,0)*2+IF(X313&gt;12,X313-12,0)*2+IF(X313&gt;13,X313-13,0)*2+IF(X313&gt;14,X313-14,0)*2+IF(X313&gt;15,X313-15,0)*2+IF(X313&gt;16,X313-16,0)*2+IF(X313&gt;17,X313-17,0)*2+IF(X313&gt;18,X313-18,0)*2+IF(X313&gt;19,X313-19,0)*2+IF(X313&gt;20,X313-20,0)*2</f>
        <v>175.5384615384616</v>
      </c>
      <c r="AB313" s="335">
        <f t="shared" ref="AB313:AB314" si="2341">IF(Y313&lt;=0,2,0)+IF(Y313&gt;0,Y313+1,0)*2+IF(Y313&gt;12,Y313-12,0)*2+IF(Y313&gt;13,Y313-13,0)*2+IF(Y313&gt;14,Y313-14,0)*2+IF(Y313&gt;15,Y313-15,0)*2+IF(Y313&gt;16,Y313-16,0)*2+IF(Y313&gt;17,Y313-17,0)*2+IF(Y313&gt;18,Y313-18,0)*2+IF(Y313&gt;19,Y313-19,0)*2+IF(Y313&gt;20,Y313-20,0)*2</f>
        <v>2</v>
      </c>
      <c r="AC313" s="243">
        <f t="shared" ref="AC313:AC314" si="2342">IF((AA313-AB313)&gt;0,AA313-AB313,0)</f>
        <v>173.5384615384616</v>
      </c>
      <c r="AD313" s="218">
        <f t="shared" ref="AD313:AD314" si="2343">IF((AB313-AA313)&gt;0,AB313-AA313,0)</f>
        <v>0</v>
      </c>
      <c r="AE313" s="299"/>
      <c r="AF313" s="303" t="s">
        <v>462</v>
      </c>
      <c r="AG313" s="304" t="s">
        <v>473</v>
      </c>
      <c r="AH313" s="304" t="s">
        <v>132</v>
      </c>
      <c r="AI313" s="213"/>
      <c r="AJ313" s="113">
        <f>Konvention_1slave-KLslave</f>
        <v>12</v>
      </c>
      <c r="AK313" s="214"/>
      <c r="AL313" s="113">
        <f>Konvention_1slave-CHslave</f>
        <v>12</v>
      </c>
      <c r="AM313" s="214"/>
      <c r="AN313" s="113"/>
      <c r="AO313" s="214"/>
      <c r="AP313" s="215"/>
      <c r="AQ313" s="223">
        <f>(AJ313+AL313+AL313)/3</f>
        <v>12</v>
      </c>
      <c r="AR313" s="223">
        <f t="shared" ref="AR313:AR314" si="2344">2*AQ313</f>
        <v>24</v>
      </c>
      <c r="AS313" s="224">
        <f t="shared" ref="AS313:AS314" si="2345">3*AQ313</f>
        <v>36</v>
      </c>
      <c r="AT313" s="237">
        <f>AL313*POWER(INslave,SIGN(AJ313))*POWER(KLslave,SIGN(AL313))+AL313*POWER(INslave,SIGN(AJ313))*POWER(KLslave,SIGN(AL313))+AJ313*POWER(KLslave,SIGN(AL313))*POWER(KLslave,SIGN(AL313))</f>
        <v>2304</v>
      </c>
      <c r="AU313" s="117">
        <f>AL313*AL313*KLslave+AL313*CHslave*AJ313+CHslave*AL313*AJ313</f>
        <v>3456</v>
      </c>
      <c r="AV313" s="224">
        <f>AL313*AL313*AJ313</f>
        <v>1728</v>
      </c>
      <c r="AW313" s="224">
        <f t="shared" si="2158"/>
        <v>7488</v>
      </c>
      <c r="AX313" s="222">
        <f t="shared" ref="AX313:AX314" si="2346">AQ313*AT313/AW313</f>
        <v>3.6923076923076925</v>
      </c>
      <c r="AY313" s="223">
        <f t="shared" ref="AY313:AY314" si="2347">AR313*AU313/AW313</f>
        <v>11.076923076923077</v>
      </c>
      <c r="AZ313" s="243">
        <f t="shared" ref="AZ313:AZ314" si="2348">AS313*AV313/AW313</f>
        <v>8.3076923076923084</v>
      </c>
      <c r="BA313" s="243">
        <f t="shared" ref="BA313:BA314" si="2349">SUM(AX313:AZ313)</f>
        <v>23.07692307692308</v>
      </c>
      <c r="BB313" s="252">
        <f t="shared" si="2034"/>
        <v>0</v>
      </c>
      <c r="BC313" s="324">
        <f t="shared" ref="BC313:BC314" si="2350">BA313-BB313</f>
        <v>23.07692307692308</v>
      </c>
      <c r="BD313" s="304">
        <f t="shared" ref="BD313:BE314" si="2351">IF(BA313&lt;=0,2,0)+IF(BA313&gt;0,BA313+1,0)*2+IF(BA313&gt;12,BA313-12,0)*2+IF(BA313&gt;13,BA313-13,0)*2+IF(BA313&gt;14,BA313-14,0)*2+IF(BA313&gt;15,BA313-15,0)*2+IF(BA313&gt;16,BA313-16,0)*2+IF(BA313&gt;17,BA313-17,0)*2+IF(BA313&gt;18,BA313-18,0)*2+IF(BA313&gt;19,BA313-19,0)*2+IF(BA313&gt;20,BA313-20,0)*2</f>
        <v>175.5384615384616</v>
      </c>
      <c r="BE313" s="335">
        <f t="shared" si="2351"/>
        <v>2</v>
      </c>
      <c r="BF313" s="243">
        <f t="shared" ref="BF313:BF314" si="2352">IF((BD313-BE313)&gt;0,BD313-BE313,0)</f>
        <v>173.5384615384616</v>
      </c>
      <c r="BG313" s="218">
        <f t="shared" ref="BG313:BG314" si="2353">IF((BE313-BD313)&gt;0,BE313-BD313,0)</f>
        <v>0</v>
      </c>
      <c r="BH313" s="248"/>
      <c r="BI313" s="303" t="s">
        <v>462</v>
      </c>
      <c r="BJ313" s="304" t="s">
        <v>473</v>
      </c>
      <c r="BK313" s="304" t="s">
        <v>132</v>
      </c>
      <c r="BL313" s="213"/>
      <c r="BM313" s="113">
        <f>Konvention_1slave-KLslave</f>
        <v>12</v>
      </c>
      <c r="BN313" s="214"/>
      <c r="BO313" s="113">
        <f>Konvention_1slave-CHslave</f>
        <v>12</v>
      </c>
      <c r="BP313" s="214"/>
      <c r="BQ313" s="113"/>
      <c r="BR313" s="214"/>
      <c r="BS313" s="215"/>
      <c r="BT313" s="223">
        <f>(BM313+BO313+BO313)/3</f>
        <v>12</v>
      </c>
      <c r="BU313" s="223">
        <f t="shared" ref="BU313:BU314" si="2354">2*BT313</f>
        <v>24</v>
      </c>
      <c r="BV313" s="224">
        <f t="shared" ref="BV313:BV314" si="2355">3*BT313</f>
        <v>36</v>
      </c>
      <c r="BW313" s="237">
        <f>BO313*POWER(INslave,SIGN(BM313))*POWER(KLslave,SIGN(BO313))+BO313*POWER(INslave,SIGN(BM313))*POWER(KLslave,SIGN(BO313))+BM313*POWER(KLslave,SIGN(BO313))*POWER(KLslave,SIGN(BO313))</f>
        <v>2304</v>
      </c>
      <c r="BX313" s="117">
        <f>BO313*BO313*KLslave+BO313*CHslave*BM313+CHslave*BO313*BM313</f>
        <v>3456</v>
      </c>
      <c r="BY313" s="224">
        <f>BO313*BO313*BM313</f>
        <v>1728</v>
      </c>
      <c r="BZ313" s="224">
        <f t="shared" si="2160"/>
        <v>7488</v>
      </c>
      <c r="CA313" s="222">
        <f t="shared" ref="CA313:CA314" si="2356">BT313*BW313/BZ313</f>
        <v>3.6923076923076925</v>
      </c>
      <c r="CB313" s="223">
        <f t="shared" ref="CB313:CB314" si="2357">BU313*BX313/BZ313</f>
        <v>11.076923076923077</v>
      </c>
      <c r="CC313" s="243">
        <f t="shared" ref="CC313:CC314" si="2358">BV313*BY313/BZ313</f>
        <v>8.3076923076923084</v>
      </c>
      <c r="CD313" s="243">
        <f t="shared" ref="CD313:CD314" si="2359">SUM(CA313:CC313)</f>
        <v>23.07692307692308</v>
      </c>
      <c r="CE313" s="252">
        <f t="shared" si="1833"/>
        <v>0</v>
      </c>
      <c r="CF313" s="324">
        <f t="shared" ref="CF313:CF314" si="2360">CD313-CE313</f>
        <v>23.07692307692308</v>
      </c>
      <c r="CG313" s="304">
        <f t="shared" ref="CG313:CH314" si="2361">IF(CD313&lt;=0,2,0)+IF(CD313&gt;0,CD313+1,0)*2+IF(CD313&gt;12,CD313-12,0)*2+IF(CD313&gt;13,CD313-13,0)*2+IF(CD313&gt;14,CD313-14,0)*2+IF(CD313&gt;15,CD313-15,0)*2+IF(CD313&gt;16,CD313-16,0)*2+IF(CD313&gt;17,CD313-17,0)*2+IF(CD313&gt;18,CD313-18,0)*2+IF(CD313&gt;19,CD313-19,0)*2+IF(CD313&gt;20,CD313-20,0)*2</f>
        <v>175.5384615384616</v>
      </c>
      <c r="CH313" s="335">
        <f t="shared" si="2361"/>
        <v>2</v>
      </c>
      <c r="CI313" s="243">
        <f t="shared" ref="CI313:CI314" si="2362">IF((CG313-CH313)&gt;0,CG313-CH313,0)</f>
        <v>173.5384615384616</v>
      </c>
      <c r="CJ313" s="218">
        <f t="shared" ref="CJ313:CJ314" si="2363">IF((CH313-CG313)&gt;0,CH313-CG313,0)</f>
        <v>0</v>
      </c>
      <c r="CK313" s="248"/>
      <c r="CL313" s="303" t="s">
        <v>462</v>
      </c>
      <c r="CM313" s="304" t="s">
        <v>473</v>
      </c>
      <c r="CN313" s="304" t="s">
        <v>132</v>
      </c>
      <c r="CO313" s="213"/>
      <c r="CP313" s="113">
        <f>Konvention_1slave-KLslave</f>
        <v>12</v>
      </c>
      <c r="CQ313" s="214"/>
      <c r="CR313" s="113">
        <f>Konvention_1slave-CHslave</f>
        <v>12</v>
      </c>
      <c r="CS313" s="214"/>
      <c r="CT313" s="113"/>
      <c r="CU313" s="214"/>
      <c r="CV313" s="215"/>
      <c r="CW313" s="223">
        <f>(CP313+CR313+CR313)/3</f>
        <v>12</v>
      </c>
      <c r="CX313" s="223">
        <f t="shared" ref="CX313:CX314" si="2364">2*CW313</f>
        <v>24</v>
      </c>
      <c r="CY313" s="224">
        <f t="shared" ref="CY313:CY314" si="2365">3*CW313</f>
        <v>36</v>
      </c>
      <c r="CZ313" s="237">
        <f>CR313*POWER(INslave,SIGN(CP313))*POWER(KLslave,SIGN(CR313))+CR313*POWER(INslave,SIGN(CP313))*POWER(KLslave,SIGN(CR313))+CP313*POWER(KLslave,SIGN(CR313))*POWER(KLslave,SIGN(CR313))</f>
        <v>2304</v>
      </c>
      <c r="DA313" s="117">
        <f>CR313*CR313*KLslave+CR313*CHslave*CP313+CHslave*CR313*CP313</f>
        <v>3456</v>
      </c>
      <c r="DB313" s="224">
        <f>CR313*CR313*CP313</f>
        <v>1728</v>
      </c>
      <c r="DC313" s="224">
        <f t="shared" si="2162"/>
        <v>7488</v>
      </c>
      <c r="DD313" s="222">
        <f t="shared" ref="DD313:DD314" si="2366">CW313*CZ313/DC313</f>
        <v>3.6923076923076925</v>
      </c>
      <c r="DE313" s="223">
        <f t="shared" ref="DE313:DE314" si="2367">CX313*DA313/DC313</f>
        <v>11.076923076923077</v>
      </c>
      <c r="DF313" s="243">
        <f t="shared" ref="DF313:DF314" si="2368">CY313*DB313/DC313</f>
        <v>8.3076923076923084</v>
      </c>
      <c r="DG313" s="243">
        <f t="shared" ref="DG313:DG314" si="2369">SUM(DD313:DF313)</f>
        <v>23.07692307692308</v>
      </c>
      <c r="DH313" s="252">
        <f t="shared" si="1848"/>
        <v>0</v>
      </c>
      <c r="DI313" s="324">
        <f t="shared" ref="DI313:DI314" si="2370">DG313-DH313</f>
        <v>23.07692307692308</v>
      </c>
      <c r="DJ313" s="304">
        <f t="shared" ref="DJ313:DK314" si="2371">IF(DG313&lt;=0,2,0)+IF(DG313&gt;0,DG313+1,0)*2+IF(DG313&gt;12,DG313-12,0)*2+IF(DG313&gt;13,DG313-13,0)*2+IF(DG313&gt;14,DG313-14,0)*2+IF(DG313&gt;15,DG313-15,0)*2+IF(DG313&gt;16,DG313-16,0)*2+IF(DG313&gt;17,DG313-17,0)*2+IF(DG313&gt;18,DG313-18,0)*2+IF(DG313&gt;19,DG313-19,0)*2+IF(DG313&gt;20,DG313-20,0)*2</f>
        <v>175.5384615384616</v>
      </c>
      <c r="DK313" s="335">
        <f t="shared" si="2371"/>
        <v>2</v>
      </c>
      <c r="DL313" s="243">
        <f t="shared" ref="DL313:DL314" si="2372">IF((DJ313-DK313)&gt;0,DJ313-DK313,0)</f>
        <v>173.5384615384616</v>
      </c>
      <c r="DM313" s="218">
        <f t="shared" ref="DM313:DM314" si="2373">IF((DK313-DJ313)&gt;0,DK313-DJ313,0)</f>
        <v>0</v>
      </c>
      <c r="DN313" s="248"/>
      <c r="DO313" s="303" t="s">
        <v>462</v>
      </c>
      <c r="DP313" s="304" t="s">
        <v>473</v>
      </c>
      <c r="DQ313" s="304" t="s">
        <v>132</v>
      </c>
      <c r="DR313" s="213"/>
      <c r="DS313" s="113">
        <f>Konvention_1slave-KLslave</f>
        <v>12</v>
      </c>
      <c r="DT313" s="214"/>
      <c r="DU313" s="113">
        <f>Konvention_1slave-CHslave</f>
        <v>12</v>
      </c>
      <c r="DV313" s="214"/>
      <c r="DW313" s="113"/>
      <c r="DX313" s="214"/>
      <c r="DY313" s="215"/>
      <c r="DZ313" s="223">
        <f>(DS313+DU313+DU313)/3</f>
        <v>12</v>
      </c>
      <c r="EA313" s="223">
        <f t="shared" ref="EA313:EA314" si="2374">2*DZ313</f>
        <v>24</v>
      </c>
      <c r="EB313" s="224">
        <f t="shared" ref="EB313:EB314" si="2375">3*DZ313</f>
        <v>36</v>
      </c>
      <c r="EC313" s="237">
        <f>DU313*POWER(INslave,SIGN(DS313))*POWER(KLslave,SIGN(DU313))+DU313*POWER(INslave,SIGN(DS313))*POWER(KLslave,SIGN(DU313))+DS313*POWER(KLslave,SIGN(DU313))*POWER(KLslave,SIGN(DU313))</f>
        <v>2304</v>
      </c>
      <c r="ED313" s="117">
        <f>DU313*DU313*KLslave+DU313*CHslave*DS313+CHslave*DU313*DS313</f>
        <v>3456</v>
      </c>
      <c r="EE313" s="224">
        <f>DU313*DU313*DS313</f>
        <v>1728</v>
      </c>
      <c r="EF313" s="224">
        <f t="shared" si="2164"/>
        <v>7488</v>
      </c>
      <c r="EG313" s="222">
        <f t="shared" ref="EG313:EG314" si="2376">DZ313*EC313/EF313</f>
        <v>3.6923076923076925</v>
      </c>
      <c r="EH313" s="223">
        <f t="shared" ref="EH313:EH314" si="2377">EA313*ED313/EF313</f>
        <v>11.076923076923077</v>
      </c>
      <c r="EI313" s="243">
        <f t="shared" ref="EI313:EI314" si="2378">EB313*EE313/EF313</f>
        <v>8.3076923076923084</v>
      </c>
      <c r="EJ313" s="243">
        <f t="shared" ref="EJ313:EJ314" si="2379">SUM(EG313:EI313)</f>
        <v>23.07692307692308</v>
      </c>
      <c r="EK313" s="252">
        <f t="shared" si="1863"/>
        <v>0</v>
      </c>
      <c r="EL313" s="324">
        <f t="shared" ref="EL313:EL314" si="2380">EJ313-EK313</f>
        <v>23.07692307692308</v>
      </c>
      <c r="EM313" s="304">
        <f t="shared" ref="EM313:EN314" si="2381">IF(EJ313&lt;=0,2,0)+IF(EJ313&gt;0,EJ313+1,0)*2+IF(EJ313&gt;12,EJ313-12,0)*2+IF(EJ313&gt;13,EJ313-13,0)*2+IF(EJ313&gt;14,EJ313-14,0)*2+IF(EJ313&gt;15,EJ313-15,0)*2+IF(EJ313&gt;16,EJ313-16,0)*2+IF(EJ313&gt;17,EJ313-17,0)*2+IF(EJ313&gt;18,EJ313-18,0)*2+IF(EJ313&gt;19,EJ313-19,0)*2+IF(EJ313&gt;20,EJ313-20,0)*2</f>
        <v>175.5384615384616</v>
      </c>
      <c r="EN313" s="335">
        <f t="shared" si="2381"/>
        <v>2</v>
      </c>
      <c r="EO313" s="243">
        <f t="shared" ref="EO313:EO314" si="2382">IF((EM313-EN313)&gt;0,EM313-EN313,0)</f>
        <v>173.5384615384616</v>
      </c>
      <c r="EP313" s="218">
        <f t="shared" ref="EP313:EP314" si="2383">IF((EN313-EM313)&gt;0,EN313-EM313,0)</f>
        <v>0</v>
      </c>
      <c r="EQ313" s="248"/>
      <c r="ER313" s="303" t="s">
        <v>462</v>
      </c>
      <c r="ES313" s="304" t="s">
        <v>473</v>
      </c>
      <c r="ET313" s="304" t="s">
        <v>132</v>
      </c>
      <c r="EU313" s="213"/>
      <c r="EV313" s="113">
        <f>Konvention_1slave-KLslave</f>
        <v>12</v>
      </c>
      <c r="EW313" s="214"/>
      <c r="EX313" s="113">
        <f>Konvention_1slave-CHslave</f>
        <v>12</v>
      </c>
      <c r="EY313" s="214"/>
      <c r="EZ313" s="113"/>
      <c r="FA313" s="214"/>
      <c r="FB313" s="215"/>
      <c r="FC313" s="223">
        <f>(EV313+EX313+EX313)/3</f>
        <v>12</v>
      </c>
      <c r="FD313" s="223">
        <f t="shared" ref="FD313:FD314" si="2384">2*FC313</f>
        <v>24</v>
      </c>
      <c r="FE313" s="224">
        <f t="shared" ref="FE313:FE314" si="2385">3*FC313</f>
        <v>36</v>
      </c>
      <c r="FF313" s="237">
        <f>EX313*POWER(INslave,SIGN(EV313))*POWER(KLslave,SIGN(EX313))+EX313*POWER(INslave,SIGN(EV313))*POWER(KLslave,SIGN(EX313))+EV313*POWER(KLslave,SIGN(EX313))*POWER(KLslave,SIGN(EX313))</f>
        <v>2304</v>
      </c>
      <c r="FG313" s="117">
        <f>EX313*EX313*KLslave+EX313*CHslave*EV313+CHslave*EX313*EV313</f>
        <v>3456</v>
      </c>
      <c r="FH313" s="224">
        <f>EX313*EX313*EV313</f>
        <v>1728</v>
      </c>
      <c r="FI313" s="224">
        <f t="shared" si="2166"/>
        <v>7488</v>
      </c>
      <c r="FJ313" s="222">
        <f t="shared" ref="FJ313:FJ314" si="2386">FC313*FF313/FI313</f>
        <v>3.6923076923076925</v>
      </c>
      <c r="FK313" s="223">
        <f t="shared" ref="FK313:FK314" si="2387">FD313*FG313/FI313</f>
        <v>11.076923076923077</v>
      </c>
      <c r="FL313" s="243">
        <f t="shared" ref="FL313:FL314" si="2388">FE313*FH313/FI313</f>
        <v>8.3076923076923084</v>
      </c>
      <c r="FM313" s="243">
        <f t="shared" ref="FM313:FM314" si="2389">SUM(FJ313:FL313)</f>
        <v>23.07692307692308</v>
      </c>
      <c r="FN313" s="252">
        <f t="shared" si="1878"/>
        <v>0</v>
      </c>
      <c r="FO313" s="324">
        <f t="shared" ref="FO313:FO314" si="2390">FM313-FN313</f>
        <v>23.07692307692308</v>
      </c>
      <c r="FP313" s="304">
        <f t="shared" ref="FP313:FQ314" si="2391">IF(FM313&lt;=0,2,0)+IF(FM313&gt;0,FM313+1,0)*2+IF(FM313&gt;12,FM313-12,0)*2+IF(FM313&gt;13,FM313-13,0)*2+IF(FM313&gt;14,FM313-14,0)*2+IF(FM313&gt;15,FM313-15,0)*2+IF(FM313&gt;16,FM313-16,0)*2+IF(FM313&gt;17,FM313-17,0)*2+IF(FM313&gt;18,FM313-18,0)*2+IF(FM313&gt;19,FM313-19,0)*2+IF(FM313&gt;20,FM313-20,0)*2</f>
        <v>175.5384615384616</v>
      </c>
      <c r="FQ313" s="335">
        <f t="shared" si="2391"/>
        <v>2</v>
      </c>
      <c r="FR313" s="243">
        <f t="shared" ref="FR313:FR314" si="2392">IF((FP313-FQ313)&gt;0,FP313-FQ313,0)</f>
        <v>173.5384615384616</v>
      </c>
      <c r="FS313" s="218">
        <f t="shared" ref="FS313:FS314" si="2393">IF((FQ313-FP313)&gt;0,FQ313-FP313,0)</f>
        <v>0</v>
      </c>
      <c r="FT313" s="248"/>
      <c r="FU313" s="303" t="s">
        <v>462</v>
      </c>
      <c r="FV313" s="304" t="s">
        <v>473</v>
      </c>
      <c r="FW313" s="304" t="s">
        <v>132</v>
      </c>
      <c r="FX313" s="213"/>
      <c r="FY313" s="113">
        <f>Konvention_1slave-KLslave</f>
        <v>12</v>
      </c>
      <c r="FZ313" s="214"/>
      <c r="GA313" s="113">
        <f>Konvention_1slave-CHslave</f>
        <v>12</v>
      </c>
      <c r="GB313" s="214"/>
      <c r="GC313" s="113"/>
      <c r="GD313" s="214"/>
      <c r="GE313" s="215"/>
      <c r="GF313" s="223">
        <f>(FY313+GA313+GA313)/3</f>
        <v>12</v>
      </c>
      <c r="GG313" s="223">
        <f t="shared" ref="GG313:GG314" si="2394">2*GF313</f>
        <v>24</v>
      </c>
      <c r="GH313" s="224">
        <f t="shared" ref="GH313:GH314" si="2395">3*GF313</f>
        <v>36</v>
      </c>
      <c r="GI313" s="237">
        <f>GA313*POWER(INslave,SIGN(FY313))*POWER(KLslave,SIGN(GA313))+GA313*POWER(INslave,SIGN(FY313))*POWER(KLslave,SIGN(GA313))+FY313*POWER(KLslave,SIGN(GA313))*POWER(KLslave,SIGN(GA313))</f>
        <v>2304</v>
      </c>
      <c r="GJ313" s="117">
        <f>GA313*GA313*KLslave+GA313*CHslave*FY313+CHslave*GA313*FY313</f>
        <v>3456</v>
      </c>
      <c r="GK313" s="224">
        <f>GA313*GA313*FY313</f>
        <v>1728</v>
      </c>
      <c r="GL313" s="224">
        <f t="shared" si="2168"/>
        <v>7488</v>
      </c>
      <c r="GM313" s="222">
        <f t="shared" ref="GM313:GM314" si="2396">GF313*GI313/GL313</f>
        <v>3.6923076923076925</v>
      </c>
      <c r="GN313" s="223">
        <f t="shared" ref="GN313:GN314" si="2397">GG313*GJ313/GL313</f>
        <v>11.076923076923077</v>
      </c>
      <c r="GO313" s="243">
        <f t="shared" ref="GO313:GO314" si="2398">GH313*GK313/GL313</f>
        <v>8.3076923076923084</v>
      </c>
      <c r="GP313" s="243">
        <f t="shared" ref="GP313:GP314" si="2399">SUM(GM313:GO313)</f>
        <v>23.07692307692308</v>
      </c>
      <c r="GQ313" s="252">
        <f t="shared" si="1893"/>
        <v>0</v>
      </c>
      <c r="GR313" s="324">
        <f t="shared" ref="GR313:GR314" si="2400">GP313-GQ313</f>
        <v>23.07692307692308</v>
      </c>
      <c r="GS313" s="304">
        <f t="shared" ref="GS313:GT314" si="2401">IF(GP313&lt;=0,2,0)+IF(GP313&gt;0,GP313+1,0)*2+IF(GP313&gt;12,GP313-12,0)*2+IF(GP313&gt;13,GP313-13,0)*2+IF(GP313&gt;14,GP313-14,0)*2+IF(GP313&gt;15,GP313-15,0)*2+IF(GP313&gt;16,GP313-16,0)*2+IF(GP313&gt;17,GP313-17,0)*2+IF(GP313&gt;18,GP313-18,0)*2+IF(GP313&gt;19,GP313-19,0)*2+IF(GP313&gt;20,GP313-20,0)*2</f>
        <v>175.5384615384616</v>
      </c>
      <c r="GT313" s="335">
        <f t="shared" si="2401"/>
        <v>2</v>
      </c>
      <c r="GU313" s="243">
        <f t="shared" ref="GU313:GU314" si="2402">IF((GS313-GT313)&gt;0,GS313-GT313,0)</f>
        <v>173.5384615384616</v>
      </c>
      <c r="GV313" s="218">
        <f t="shared" ref="GV313:GV314" si="2403">IF((GT313-GS313)&gt;0,GT313-GS313,0)</f>
        <v>0</v>
      </c>
      <c r="GW313" s="248"/>
      <c r="GX313" s="303" t="s">
        <v>462</v>
      </c>
      <c r="GY313" s="304" t="s">
        <v>473</v>
      </c>
      <c r="GZ313" s="304" t="s">
        <v>132</v>
      </c>
      <c r="HA313" s="213"/>
      <c r="HB313" s="113">
        <f>Konvention_1slave-KLslave</f>
        <v>12</v>
      </c>
      <c r="HC313" s="214"/>
      <c r="HD313" s="113">
        <f>Konvention_1slave-CHslave</f>
        <v>12</v>
      </c>
      <c r="HE313" s="214"/>
      <c r="HF313" s="113"/>
      <c r="HG313" s="214"/>
      <c r="HH313" s="215"/>
      <c r="HI313" s="223">
        <f>(HB313+HD313+HD313)/3</f>
        <v>12</v>
      </c>
      <c r="HJ313" s="223">
        <f t="shared" ref="HJ313:HJ314" si="2404">2*HI313</f>
        <v>24</v>
      </c>
      <c r="HK313" s="224">
        <f t="shared" ref="HK313:HK314" si="2405">3*HI313</f>
        <v>36</v>
      </c>
      <c r="HL313" s="237">
        <f>HD313*POWER(INslave,SIGN(HB313))*POWER(KLslave,SIGN(HD313))+HD313*POWER(INslave,SIGN(HB313))*POWER(KLslave,SIGN(HD313))+HB313*POWER(KLslave,SIGN(HD313))*POWER(KLslave,SIGN(HD313))</f>
        <v>2304</v>
      </c>
      <c r="HM313" s="117">
        <f>HD313*HD313*KLslave+HD313*CHslave*HB313+CHslave*HD313*HB313</f>
        <v>3456</v>
      </c>
      <c r="HN313" s="224">
        <f>HD313*HD313*HB313</f>
        <v>1728</v>
      </c>
      <c r="HO313" s="224">
        <f t="shared" si="2170"/>
        <v>7488</v>
      </c>
      <c r="HP313" s="222">
        <f t="shared" ref="HP313:HP314" si="2406">HI313*HL313/HO313</f>
        <v>3.6923076923076925</v>
      </c>
      <c r="HQ313" s="223">
        <f t="shared" ref="HQ313:HQ314" si="2407">HJ313*HM313/HO313</f>
        <v>11.076923076923077</v>
      </c>
      <c r="HR313" s="243">
        <f t="shared" ref="HR313:HR314" si="2408">HK313*HN313/HO313</f>
        <v>8.3076923076923084</v>
      </c>
      <c r="HS313" s="243">
        <f t="shared" ref="HS313:HS314" si="2409">SUM(HP313:HR313)</f>
        <v>23.07692307692308</v>
      </c>
      <c r="HT313" s="252">
        <f t="shared" si="1908"/>
        <v>0</v>
      </c>
      <c r="HU313" s="324">
        <f t="shared" ref="HU313:HU314" si="2410">HS313-HT313</f>
        <v>23.07692307692308</v>
      </c>
      <c r="HV313" s="304">
        <f t="shared" ref="HV313:HW314" si="2411">IF(HS313&lt;=0,2,0)+IF(HS313&gt;0,HS313+1,0)*2+IF(HS313&gt;12,HS313-12,0)*2+IF(HS313&gt;13,HS313-13,0)*2+IF(HS313&gt;14,HS313-14,0)*2+IF(HS313&gt;15,HS313-15,0)*2+IF(HS313&gt;16,HS313-16,0)*2+IF(HS313&gt;17,HS313-17,0)*2+IF(HS313&gt;18,HS313-18,0)*2+IF(HS313&gt;19,HS313-19,0)*2+IF(HS313&gt;20,HS313-20,0)*2</f>
        <v>175.5384615384616</v>
      </c>
      <c r="HW313" s="335">
        <f t="shared" si="2411"/>
        <v>2</v>
      </c>
      <c r="HX313" s="243">
        <f t="shared" ref="HX313:HX314" si="2412">IF((HV313-HW313)&gt;0,HV313-HW313,0)</f>
        <v>173.5384615384616</v>
      </c>
      <c r="HY313" s="218">
        <f t="shared" ref="HY313:HY314" si="2413">IF((HW313-HV313)&gt;0,HW313-HV313,0)</f>
        <v>0</v>
      </c>
      <c r="HZ313" s="248"/>
      <c r="IA313" s="303" t="s">
        <v>462</v>
      </c>
      <c r="IB313" s="304" t="s">
        <v>473</v>
      </c>
      <c r="IC313" s="304" t="s">
        <v>132</v>
      </c>
      <c r="ID313" s="213"/>
      <c r="IE313" s="113">
        <f>Konvention_1slave-KLslave</f>
        <v>12</v>
      </c>
      <c r="IF313" s="214"/>
      <c r="IG313" s="113">
        <f>Konvention_1slave-CHslave</f>
        <v>12</v>
      </c>
      <c r="IH313" s="214"/>
      <c r="II313" s="113"/>
      <c r="IJ313" s="214"/>
      <c r="IK313" s="215"/>
      <c r="IL313" s="223">
        <f>(IE313+IG313+IG313)/3</f>
        <v>12</v>
      </c>
      <c r="IM313" s="223">
        <f t="shared" ref="IM313:IM314" si="2414">2*IL313</f>
        <v>24</v>
      </c>
      <c r="IN313" s="224">
        <f t="shared" ref="IN313:IN314" si="2415">3*IL313</f>
        <v>36</v>
      </c>
      <c r="IO313" s="237">
        <f>IG313*POWER(INslave,SIGN(IE313))*POWER(KLslave,SIGN(IG313))+IG313*POWER(INslave,SIGN(IE313))*POWER(KLslave,SIGN(IG313))+IE313*POWER(KLslave,SIGN(IG313))*POWER(KLslave,SIGN(IG313))</f>
        <v>2304</v>
      </c>
      <c r="IP313" s="117">
        <f>IG313*IG313*KLslave+IG313*CHslave*IE313+CHslave*IG313*IE313</f>
        <v>3456</v>
      </c>
      <c r="IQ313" s="224">
        <f>IG313*IG313*IE313</f>
        <v>1728</v>
      </c>
      <c r="IR313" s="224">
        <f t="shared" si="2172"/>
        <v>7488</v>
      </c>
      <c r="IS313" s="222">
        <f t="shared" ref="IS313:IS314" si="2416">IL313*IO313/IR313</f>
        <v>3.6923076923076925</v>
      </c>
      <c r="IT313" s="223">
        <f t="shared" ref="IT313:IT314" si="2417">IM313*IP313/IR313</f>
        <v>11.076923076923077</v>
      </c>
      <c r="IU313" s="243">
        <f t="shared" ref="IU313:IU314" si="2418">IN313*IQ313/IR313</f>
        <v>8.3076923076923084</v>
      </c>
      <c r="IV313" s="243">
        <f t="shared" ref="IV313:IV314" si="2419">SUM(IS313:IU313)</f>
        <v>23.07692307692308</v>
      </c>
      <c r="IW313" s="252">
        <f t="shared" si="1923"/>
        <v>0</v>
      </c>
      <c r="IX313" s="324">
        <f t="shared" ref="IX313:IX314" si="2420">IV313-IW313</f>
        <v>23.07692307692308</v>
      </c>
      <c r="IY313" s="304">
        <f t="shared" ref="IY313:IZ314" si="2421">IF(IV313&lt;=0,2,0)+IF(IV313&gt;0,IV313+1,0)*2+IF(IV313&gt;12,IV313-12,0)*2+IF(IV313&gt;13,IV313-13,0)*2+IF(IV313&gt;14,IV313-14,0)*2+IF(IV313&gt;15,IV313-15,0)*2+IF(IV313&gt;16,IV313-16,0)*2+IF(IV313&gt;17,IV313-17,0)*2+IF(IV313&gt;18,IV313-18,0)*2+IF(IV313&gt;19,IV313-19,0)*2+IF(IV313&gt;20,IV313-20,0)*2</f>
        <v>175.5384615384616</v>
      </c>
      <c r="IZ313" s="335">
        <f t="shared" si="2421"/>
        <v>2</v>
      </c>
      <c r="JA313" s="243">
        <f t="shared" ref="JA313:JA314" si="2422">IF((IY313-IZ313)&gt;0,IY313-IZ313,0)</f>
        <v>173.5384615384616</v>
      </c>
      <c r="JB313" s="218">
        <f t="shared" ref="JB313:JB314" si="2423">IF((IZ313-IY313)&gt;0,IZ313-IY313,0)</f>
        <v>0</v>
      </c>
    </row>
    <row r="314" spans="1:265" hidden="1" outlineLevel="2">
      <c r="A314" s="185"/>
      <c r="B314" s="217">
        <v>17</v>
      </c>
      <c r="C314" s="303" t="e">
        <f>VLOOKUP(AF314,Attribute!C:T,1,FALSE)</f>
        <v>#N/A</v>
      </c>
      <c r="D314" s="218" t="s">
        <v>439</v>
      </c>
      <c r="E314" s="304" t="s">
        <v>132</v>
      </c>
      <c r="F314" s="120"/>
      <c r="G314" s="117">
        <f>Konvention_1master-KLmaster</f>
        <v>12</v>
      </c>
      <c r="H314" s="117">
        <f t="shared" ref="H314" si="2424">Konvention_1master-INmaster</f>
        <v>12</v>
      </c>
      <c r="I314" s="117"/>
      <c r="J314" s="117"/>
      <c r="K314" s="117">
        <f>Konvention_1master-GEmaster</f>
        <v>12</v>
      </c>
      <c r="L314" s="117"/>
      <c r="M314" s="121"/>
      <c r="N314" s="223">
        <f t="shared" ref="N314" si="2425">(F314+G314+H314+I314+J314+K314+L314+M314)/3</f>
        <v>12</v>
      </c>
      <c r="O314" s="223">
        <f t="shared" si="2333"/>
        <v>24</v>
      </c>
      <c r="P314" s="224">
        <f t="shared" si="2334"/>
        <v>36</v>
      </c>
      <c r="Q314" s="237">
        <f t="shared" ref="Q314" si="2426">F314*POWER(KLmaster,SIGN(G314))*POWER(INmaster,SIGN(H314))*POWER(CHmaster,SIGN(I314))*POWER(FFmaster,SIGN(J314))*POWER(GEmaster,SIGN(K314))*POWER(KOmaster,SIGN(L314))*POWER(KKmaster,SIGN(M314))+G314*POWER(MUmaster,SIGN(F314))*POWER(INmaster,SIGN(H314))*POWER(CHmaster,SIGN(I314))*POWER(FFmaster,SIGN(J314))*POWER(GEmaster,SIGN(K314))*POWER(KOmaster,SIGN(L314))*POWER(KKmaster,SIGN(M314))+H314*POWER(MUmaster,SIGN(F314))*POWER(KLmaster,SIGN(G314))*POWER(CHmaster,SIGN(I314))*POWER(FFmaster,SIGN(J314))*POWER(GEmaster,SIGN(K314))*POWER(KOmaster,SIGN(L314))*POWER(KKmaster,SIGN(M314))+I314*POWER(MUmaster,SIGN(F314))*POWER(KLmaster,SIGN(G314))*POWER(INmaster,SIGN(H314))*POWER(FFmaster,SIGN(J314))*POWER(GEmaster,SIGN(K314))*POWER(KOmaster,SIGN(L314))*POWER(KKmaster,SIGN(M314))+J314*POWER(MUmaster,SIGN(F314))*POWER(KLmaster,SIGN(G314))*POWER(INmaster,SIGN(H314))*POWER(CHmaster,SIGN(I314))*POWER(GEmaster,SIGN(K314))*POWER(KOmaster,SIGN(L314))*POWER(KKmaster,SIGN(M314))+K314*POWER(MUmaster,SIGN(F314))*POWER(KLmaster,SIGN(G314))*POWER(INmaster,SIGN(H314))*POWER(CHmaster,SIGN(I314))*POWER(FFmaster,SIGN(J314))*POWER(KOmaster,SIGN(L314))*POWER(KKmaster,SIGN(M314))+L314*POWER(MUmaster,SIGN(F314))*POWER(KLmaster,SIGN(G314))*POWER(INmaster,SIGN(H314))*POWER(CHmaster,SIGN(I314))*POWER(FFmaster,SIGN(J314))*POWER(GEmaster,SIGN(K314))*POWER(KKmaster,SIGN(M314))+M314*POWER(MUmaster,SIGN(F314))*POWER(KLmaster,SIGN(G314))*POWER(INmaster,SIGN(H314))*POWER(CHmaster,SIGN(I314))*POWER(FFmaster,SIGN(J314))*POWER(GEmaster,SIGN(K314))*POWER(KOmaster,SIGN(L314))</f>
        <v>2304</v>
      </c>
      <c r="R314" s="117">
        <f>G314*H314*GEmaster+G314*INmaster*K314+KLmaster*H314*K314</f>
        <v>3456</v>
      </c>
      <c r="S314" s="224">
        <f t="shared" ref="S314" si="2427">IFERROR(F314^SIGN(F314),1)*IFERROR(G314^SIGN(G314),1)*IFERROR(H314^SIGN(H314),1)*IFERROR(I314^SIGN(I314),1)*IFERROR(J314^SIGN(J314),1)*IFERROR(K314^SIGN(K314),1)*IFERROR(L314^SIGN(L314),1)*IFERROR(M314^SIGN(M314),1)</f>
        <v>1728</v>
      </c>
      <c r="T314" s="224">
        <f t="shared" si="2015"/>
        <v>7488</v>
      </c>
      <c r="U314" s="222">
        <f t="shared" si="2335"/>
        <v>3.6923076923076925</v>
      </c>
      <c r="V314" s="223">
        <f t="shared" si="2336"/>
        <v>11.076923076923077</v>
      </c>
      <c r="W314" s="243">
        <f t="shared" si="2337"/>
        <v>8.3076923076923084</v>
      </c>
      <c r="X314" s="243">
        <f t="shared" si="2338"/>
        <v>23.07692307692308</v>
      </c>
      <c r="Y314" s="252">
        <v>0</v>
      </c>
      <c r="Z314" s="324">
        <f t="shared" si="2339"/>
        <v>23.07692307692308</v>
      </c>
      <c r="AA314" s="304">
        <f t="shared" si="2340"/>
        <v>175.5384615384616</v>
      </c>
      <c r="AB314" s="335">
        <f t="shared" si="2341"/>
        <v>2</v>
      </c>
      <c r="AC314" s="243">
        <f t="shared" si="2342"/>
        <v>173.5384615384616</v>
      </c>
      <c r="AD314" s="218">
        <f t="shared" si="2343"/>
        <v>0</v>
      </c>
      <c r="AE314" s="140"/>
      <c r="AF314" s="303" t="s">
        <v>461</v>
      </c>
      <c r="AG314" s="218" t="s">
        <v>439</v>
      </c>
      <c r="AH314" s="304" t="s">
        <v>132</v>
      </c>
      <c r="AI314" s="120"/>
      <c r="AJ314" s="117">
        <f>Konvention_1slave-KLslave</f>
        <v>12</v>
      </c>
      <c r="AK314" s="117">
        <f>Konvention_1slave-INslave</f>
        <v>12</v>
      </c>
      <c r="AL314" s="117"/>
      <c r="AM314" s="117"/>
      <c r="AN314" s="117">
        <f>Konvention_1slave-GEslave</f>
        <v>12</v>
      </c>
      <c r="AO314" s="117"/>
      <c r="AP314" s="121"/>
      <c r="AQ314" s="223">
        <f t="shared" ref="AQ314" si="2428">(AI314+AJ314+AK314+AL314+AM314+AN314+AO314+AP314)/3</f>
        <v>12</v>
      </c>
      <c r="AR314" s="223">
        <f t="shared" si="2344"/>
        <v>24</v>
      </c>
      <c r="AS314" s="224">
        <f t="shared" si="2345"/>
        <v>36</v>
      </c>
      <c r="AT314" s="237">
        <f t="shared" ref="AT314" si="2429">AI314*POWER(KLslave,SIGN(AJ314))*POWER(INslave,SIGN(AK314))*POWER(CHslave,SIGN(AL314))*POWER(FFslave,SIGN(AM314))*POWER(GEslave,SIGN(AN314))*POWER(KOslave,SIGN(AO314))*POWER(KKslave,SIGN(AP314))+AJ314*POWER(MUslave_MU,SIGN(AI314))*POWER(INslave,SIGN(AK314))*POWER(CHslave,SIGN(AL314))*POWER(FFslave,SIGN(AM314))*POWER(GEslave,SIGN(AN314))*POWER(KOslave,SIGN(AO314))*POWER(KKslave,SIGN(AP314))+AK314*POWER(MUslave_MU,SIGN(AI314))*POWER(KLslave,SIGN(AJ314))*POWER(CHslave,SIGN(AL314))*POWER(FFslave,SIGN(AM314))*POWER(GEslave,SIGN(AN314))*POWER(KOslave,SIGN(AO314))*POWER(KKslave,SIGN(AP314))+AL314*POWER(MUslave_MU,SIGN(AI314))*POWER(KLslave,SIGN(AJ314))*POWER(INslave,SIGN(AK314))*POWER(FFslave,SIGN(AM314))*POWER(GEslave,SIGN(AN314))*POWER(KOslave,SIGN(AO314))*POWER(KKslave,SIGN(AP314))+AM314*POWER(MUslave_MU,SIGN(AI314))*POWER(KLslave,SIGN(AJ314))*POWER(INslave,SIGN(AK314))*POWER(CHslave,SIGN(AL314))*POWER(GEslave,SIGN(AN314))*POWER(KOslave,SIGN(AO314))*POWER(KKslave,SIGN(AP314))+AN314*POWER(MUslave_MU,SIGN(AI314))*POWER(KLslave,SIGN(AJ314))*POWER(INslave,SIGN(AK314))*POWER(CHslave,SIGN(AL314))*POWER(FFslave,SIGN(AM314))*POWER(KOslave,SIGN(AO314))*POWER(KKslave,SIGN(AP314))+AO314*POWER(MUslave_MU,SIGN(AI314))*POWER(KLslave,SIGN(AJ314))*POWER(INslave,SIGN(AK314))*POWER(CHslave,SIGN(AL314))*POWER(FFslave,SIGN(AM314))*POWER(GEslave,SIGN(AN314))*POWER(KKslave,SIGN(AP314))+AP314*POWER(MUslave_MU,SIGN(AI314))*POWER(KLslave,SIGN(AJ314))*POWER(INslave,SIGN(AK314))*POWER(CHslave,SIGN(AL314))*POWER(FFslave,SIGN(AM314))*POWER(GEslave,SIGN(AN314))*POWER(KOslave,SIGN(AO314))</f>
        <v>2304</v>
      </c>
      <c r="AU314" s="117">
        <f>AJ314*AK314*GEslave+AJ314*INslave*AN314+KLslave*AK314*AN314</f>
        <v>3456</v>
      </c>
      <c r="AV314" s="224">
        <f t="shared" ref="AV314" si="2430">IFERROR(AI314^SIGN(AI314),1)*IFERROR(AJ314^SIGN(AJ314),1)*IFERROR(AK314^SIGN(AK314),1)*IFERROR(AL314^SIGN(AL314),1)*IFERROR(AM314^SIGN(AM314),1)*IFERROR(AN314^SIGN(AN314),1)*IFERROR(AO314^SIGN(AO314),1)*IFERROR(AP314^SIGN(AP314),1)</f>
        <v>1728</v>
      </c>
      <c r="AW314" s="224">
        <f t="shared" si="2158"/>
        <v>7488</v>
      </c>
      <c r="AX314" s="222">
        <f t="shared" si="2346"/>
        <v>3.6923076923076925</v>
      </c>
      <c r="AY314" s="223">
        <f t="shared" si="2347"/>
        <v>11.076923076923077</v>
      </c>
      <c r="AZ314" s="243">
        <f t="shared" si="2348"/>
        <v>8.3076923076923084</v>
      </c>
      <c r="BA314" s="243">
        <f t="shared" si="2349"/>
        <v>23.07692307692308</v>
      </c>
      <c r="BB314" s="252">
        <f t="shared" si="2034"/>
        <v>0</v>
      </c>
      <c r="BC314" s="324">
        <f t="shared" si="2350"/>
        <v>23.07692307692308</v>
      </c>
      <c r="BD314" s="304">
        <f t="shared" si="2351"/>
        <v>175.5384615384616</v>
      </c>
      <c r="BE314" s="335">
        <f t="shared" si="2351"/>
        <v>2</v>
      </c>
      <c r="BF314" s="243">
        <f t="shared" si="2352"/>
        <v>173.5384615384616</v>
      </c>
      <c r="BG314" s="218">
        <f t="shared" si="2353"/>
        <v>0</v>
      </c>
      <c r="BH314" s="248"/>
      <c r="BI314" s="303" t="s">
        <v>461</v>
      </c>
      <c r="BJ314" s="218" t="s">
        <v>439</v>
      </c>
      <c r="BK314" s="304" t="s">
        <v>132</v>
      </c>
      <c r="BL314" s="120"/>
      <c r="BM314" s="117">
        <f>Konvention_1slave-KLslave_KL</f>
        <v>11</v>
      </c>
      <c r="BN314" s="117">
        <f t="shared" ref="BN314" si="2431">Konvention_1slave-INslave</f>
        <v>12</v>
      </c>
      <c r="BO314" s="117"/>
      <c r="BP314" s="117"/>
      <c r="BQ314" s="117">
        <f>Konvention_1slave-GEslave</f>
        <v>12</v>
      </c>
      <c r="BR314" s="117"/>
      <c r="BS314" s="121"/>
      <c r="BT314" s="223">
        <f t="shared" ref="BT314" si="2432">(BL314+BM314+BN314+BO314+BP314+BQ314+BR314+BS314)/3</f>
        <v>11.666666666666666</v>
      </c>
      <c r="BU314" s="223">
        <f t="shared" si="2354"/>
        <v>23.333333333333332</v>
      </c>
      <c r="BV314" s="224">
        <f t="shared" si="2355"/>
        <v>35</v>
      </c>
      <c r="BW314" s="237">
        <f t="shared" ref="BW314" si="2433">BL314*POWER(KLslave_KL,SIGN(BM314))*POWER(INslave,SIGN(BN314))*POWER(CHslave,SIGN(BO314))*POWER(FFslave,SIGN(BP314))*POWER(GEslave,SIGN(BQ314))*POWER(KOslave,SIGN(BR314))*POWER(KKslave,SIGN(BS314))+BM314*POWER(MUslave,SIGN(BL314))*POWER(INslave,SIGN(BN314))*POWER(CHslave,SIGN(BO314))*POWER(FFslave,SIGN(BP314))*POWER(GEslave,SIGN(BQ314))*POWER(KOslave,SIGN(BR314))*POWER(KKslave,SIGN(BS314))+BN314*POWER(MUslave,SIGN(BL314))*POWER(KLslave_KL,SIGN(BM314))*POWER(CHslave,SIGN(BO314))*POWER(FFslave,SIGN(BP314))*POWER(GEslave,SIGN(BQ314))*POWER(KOslave,SIGN(BR314))*POWER(KKslave,SIGN(BS314))+BO314*POWER(MUslave,SIGN(BL314))*POWER(KLslave_KL,SIGN(BM314))*POWER(INslave,SIGN(BN314))*POWER(FFslave,SIGN(BP314))*POWER(GEslave,SIGN(BQ314))*POWER(KOslave,SIGN(BR314))*POWER(KKslave,SIGN(BS314))+BP314*POWER(MUslave,SIGN(BL314))*POWER(KLslave_KL,SIGN(BM314))*POWER(INslave,SIGN(BN314))*POWER(CHslave,SIGN(BO314))*POWER(GEslave,SIGN(BQ314))*POWER(KOslave,SIGN(BR314))*POWER(KKslave,SIGN(BS314))+BQ314*POWER(MUslave,SIGN(BL314))*POWER(KLslave_KL,SIGN(BM314))*POWER(INslave,SIGN(BN314))*POWER(CHslave,SIGN(BO314))*POWER(FFslave,SIGN(BP314))*POWER(KOslave,SIGN(BR314))*POWER(KKslave,SIGN(BS314))+BR314*POWER(MUslave,SIGN(BL314))*POWER(KLslave_KL,SIGN(BM314))*POWER(INslave,SIGN(BN314))*POWER(CHslave,SIGN(BO314))*POWER(FFslave,SIGN(BP314))*POWER(GEslave,SIGN(BQ314))*POWER(KKslave,SIGN(BS314))+BS314*POWER(MUslave,SIGN(BL314))*POWER(KLslave_KL,SIGN(BM314))*POWER(INslave,SIGN(BN314))*POWER(CHslave,SIGN(BO314))*POWER(FFslave,SIGN(BP314))*POWER(GEslave,SIGN(BQ314))*POWER(KOslave,SIGN(BR314))</f>
        <v>2432</v>
      </c>
      <c r="BX314" s="117">
        <f>BM314*BN314*GEslave+BM314*INslave*BQ314+KLslave_KL*BN314*BQ314</f>
        <v>3408</v>
      </c>
      <c r="BY314" s="224">
        <f t="shared" ref="BY314" si="2434">IFERROR(BL314^SIGN(BL314),1)*IFERROR(BM314^SIGN(BM314),1)*IFERROR(BN314^SIGN(BN314),1)*IFERROR(BO314^SIGN(BO314),1)*IFERROR(BP314^SIGN(BP314),1)*IFERROR(BQ314^SIGN(BQ314),1)*IFERROR(BR314^SIGN(BR314),1)*IFERROR(BS314^SIGN(BS314),1)</f>
        <v>1584</v>
      </c>
      <c r="BZ314" s="224">
        <f t="shared" si="2160"/>
        <v>7424</v>
      </c>
      <c r="CA314" s="222">
        <f t="shared" si="2356"/>
        <v>3.8218390804597702</v>
      </c>
      <c r="CB314" s="223">
        <f t="shared" si="2357"/>
        <v>10.711206896551724</v>
      </c>
      <c r="CC314" s="243">
        <f t="shared" si="2358"/>
        <v>7.4676724137931032</v>
      </c>
      <c r="CD314" s="243">
        <f t="shared" si="2359"/>
        <v>22.000718390804597</v>
      </c>
      <c r="CE314" s="252">
        <f t="shared" si="1833"/>
        <v>0</v>
      </c>
      <c r="CF314" s="324">
        <f t="shared" si="2360"/>
        <v>22.000718390804597</v>
      </c>
      <c r="CG314" s="304">
        <f t="shared" si="2361"/>
        <v>154.01436781609189</v>
      </c>
      <c r="CH314" s="335">
        <f t="shared" si="2361"/>
        <v>2</v>
      </c>
      <c r="CI314" s="243">
        <f t="shared" si="2362"/>
        <v>152.01436781609189</v>
      </c>
      <c r="CJ314" s="218">
        <f t="shared" si="2363"/>
        <v>0</v>
      </c>
      <c r="CK314" s="248"/>
      <c r="CL314" s="303" t="s">
        <v>461</v>
      </c>
      <c r="CM314" s="218" t="s">
        <v>439</v>
      </c>
      <c r="CN314" s="304" t="s">
        <v>132</v>
      </c>
      <c r="CO314" s="120"/>
      <c r="CP314" s="117">
        <f>Konvention_1slave-KLslave</f>
        <v>12</v>
      </c>
      <c r="CQ314" s="117">
        <f t="shared" ref="CQ314" si="2435">Konvention_1slave-INslave_IN</f>
        <v>11</v>
      </c>
      <c r="CR314" s="117"/>
      <c r="CS314" s="117"/>
      <c r="CT314" s="117">
        <f>Konvention_1slave-GEslave</f>
        <v>12</v>
      </c>
      <c r="CU314" s="117"/>
      <c r="CV314" s="121"/>
      <c r="CW314" s="223">
        <f t="shared" ref="CW314" si="2436">(CO314+CP314+CQ314+CR314+CS314+CT314+CU314+CV314)/3</f>
        <v>11.666666666666666</v>
      </c>
      <c r="CX314" s="223">
        <f t="shared" si="2364"/>
        <v>23.333333333333332</v>
      </c>
      <c r="CY314" s="224">
        <f t="shared" si="2365"/>
        <v>35</v>
      </c>
      <c r="CZ314" s="237">
        <f t="shared" ref="CZ314" si="2437">CO314*POWER(KLslave,SIGN(CP314))*POWER(INslave_IN,SIGN(CQ314))*POWER(CHslave,SIGN(CR314))*POWER(FFslave,SIGN(CS314))*POWER(GEslave,SIGN(CT314))*POWER(KOslave,SIGN(CU314))*POWER(KKslave,SIGN(CV314))+CP314*POWER(MUslave,SIGN(CO314))*POWER(INslave_IN,SIGN(CQ314))*POWER(CHslave,SIGN(CR314))*POWER(FFslave,SIGN(CS314))*POWER(GEslave,SIGN(CT314))*POWER(KOslave,SIGN(CU314))*POWER(KKslave,SIGN(CV314))+CQ314*POWER(MUslave,SIGN(CO314))*POWER(KLslave,SIGN(CP314))*POWER(CHslave,SIGN(CR314))*POWER(FFslave,SIGN(CS314))*POWER(GEslave,SIGN(CT314))*POWER(KOslave,SIGN(CU314))*POWER(KKslave,SIGN(CV314))+CR314*POWER(MUslave,SIGN(CO314))*POWER(KLslave,SIGN(CP314))*POWER(INslave_IN,SIGN(CQ314))*POWER(FFslave,SIGN(CS314))*POWER(GEslave,SIGN(CT314))*POWER(KOslave,SIGN(CU314))*POWER(KKslave,SIGN(CV314))+CS314*POWER(MUslave,SIGN(CO314))*POWER(KLslave,SIGN(CP314))*POWER(INslave_IN,SIGN(CQ314))*POWER(CHslave,SIGN(CR314))*POWER(GEslave,SIGN(CT314))*POWER(KOslave,SIGN(CU314))*POWER(KKslave,SIGN(CV314))+CT314*POWER(MUslave,SIGN(CO314))*POWER(KLslave,SIGN(CP314))*POWER(INslave_IN,SIGN(CQ314))*POWER(CHslave,SIGN(CR314))*POWER(FFslave,SIGN(CS314))*POWER(KOslave,SIGN(CU314))*POWER(KKslave,SIGN(CV314))+CU314*POWER(MUslave,SIGN(CO314))*POWER(KLslave,SIGN(CP314))*POWER(INslave_IN,SIGN(CQ314))*POWER(CHslave,SIGN(CR314))*POWER(FFslave,SIGN(CS314))*POWER(GEslave,SIGN(CT314))*POWER(KKslave,SIGN(CV314))+CV314*POWER(MUslave,SIGN(CO314))*POWER(KLslave,SIGN(CP314))*POWER(INslave_IN,SIGN(CQ314))*POWER(CHslave,SIGN(CR314))*POWER(FFslave,SIGN(CS314))*POWER(GEslave,SIGN(CT314))*POWER(KOslave,SIGN(CU314))</f>
        <v>2432</v>
      </c>
      <c r="DA314" s="117">
        <f>CP314*CQ314*GEslave+CP314*INslave_IN*CT314+KLslave*CQ314*CT314</f>
        <v>3408</v>
      </c>
      <c r="DB314" s="224">
        <f t="shared" ref="DB314" si="2438">IFERROR(CO314^SIGN(CO314),1)*IFERROR(CP314^SIGN(CP314),1)*IFERROR(CQ314^SIGN(CQ314),1)*IFERROR(CR314^SIGN(CR314),1)*IFERROR(CS314^SIGN(CS314),1)*IFERROR(CT314^SIGN(CT314),1)*IFERROR(CU314^SIGN(CU314),1)*IFERROR(CV314^SIGN(CV314),1)</f>
        <v>1584</v>
      </c>
      <c r="DC314" s="224">
        <f t="shared" si="2162"/>
        <v>7424</v>
      </c>
      <c r="DD314" s="222">
        <f t="shared" si="2366"/>
        <v>3.8218390804597702</v>
      </c>
      <c r="DE314" s="223">
        <f t="shared" si="2367"/>
        <v>10.711206896551724</v>
      </c>
      <c r="DF314" s="243">
        <f t="shared" si="2368"/>
        <v>7.4676724137931032</v>
      </c>
      <c r="DG314" s="243">
        <f t="shared" si="2369"/>
        <v>22.000718390804597</v>
      </c>
      <c r="DH314" s="252">
        <f t="shared" si="1848"/>
        <v>0</v>
      </c>
      <c r="DI314" s="324">
        <f t="shared" si="2370"/>
        <v>22.000718390804597</v>
      </c>
      <c r="DJ314" s="304">
        <f t="shared" si="2371"/>
        <v>154.01436781609189</v>
      </c>
      <c r="DK314" s="335">
        <f t="shared" si="2371"/>
        <v>2</v>
      </c>
      <c r="DL314" s="243">
        <f t="shared" si="2372"/>
        <v>152.01436781609189</v>
      </c>
      <c r="DM314" s="218">
        <f t="shared" si="2373"/>
        <v>0</v>
      </c>
      <c r="DN314" s="248"/>
      <c r="DO314" s="303" t="s">
        <v>461</v>
      </c>
      <c r="DP314" s="218" t="s">
        <v>439</v>
      </c>
      <c r="DQ314" s="304" t="s">
        <v>132</v>
      </c>
      <c r="DR314" s="120"/>
      <c r="DS314" s="117">
        <f>Konvention_1slave-KLslave</f>
        <v>12</v>
      </c>
      <c r="DT314" s="117">
        <f t="shared" ref="DT314" si="2439">Konvention_1slave-INslave</f>
        <v>12</v>
      </c>
      <c r="DU314" s="117"/>
      <c r="DV314" s="117"/>
      <c r="DW314" s="117">
        <f>Konvention_1slave-GEslave</f>
        <v>12</v>
      </c>
      <c r="DX314" s="117"/>
      <c r="DY314" s="121"/>
      <c r="DZ314" s="223">
        <f t="shared" ref="DZ314" si="2440">(DR314+DS314+DT314+DU314+DV314+DW314+DX314+DY314)/3</f>
        <v>12</v>
      </c>
      <c r="EA314" s="223">
        <f t="shared" si="2374"/>
        <v>24</v>
      </c>
      <c r="EB314" s="224">
        <f t="shared" si="2375"/>
        <v>36</v>
      </c>
      <c r="EC314" s="237">
        <f t="shared" ref="EC314" si="2441">DR314*POWER(KLslave,SIGN(DS314))*POWER(INslave,SIGN(DT314))*POWER(CHslave_CH,SIGN(DU314))*POWER(FFslave,SIGN(DV314))*POWER(GEslave,SIGN(DW314))*POWER(KOslave,SIGN(DX314))*POWER(KKslave,SIGN(DY314))+DS314*POWER(MUslave,SIGN(DR314))*POWER(INslave,SIGN(DT314))*POWER(CHslave_CH,SIGN(DU314))*POWER(FFslave,SIGN(DV314))*POWER(GEslave,SIGN(DW314))*POWER(KOslave,SIGN(DX314))*POWER(KKslave,SIGN(DY314))+DT314*POWER(MUslave,SIGN(DR314))*POWER(KLslave,SIGN(DS314))*POWER(CHslave_CH,SIGN(DU314))*POWER(FFslave,SIGN(DV314))*POWER(GEslave,SIGN(DW314))*POWER(KOslave,SIGN(DX314))*POWER(KKslave,SIGN(DY314))+DU314*POWER(MUslave,SIGN(DR314))*POWER(KLslave,SIGN(DS314))*POWER(INslave,SIGN(DT314))*POWER(FFslave,SIGN(DV314))*POWER(GEslave,SIGN(DW314))*POWER(KOslave,SIGN(DX314))*POWER(KKslave,SIGN(DY314))+DV314*POWER(MUslave,SIGN(DR314))*POWER(KLslave,SIGN(DS314))*POWER(INslave,SIGN(DT314))*POWER(CHslave_CH,SIGN(DU314))*POWER(GEslave,SIGN(DW314))*POWER(KOslave,SIGN(DX314))*POWER(KKslave,SIGN(DY314))+DW314*POWER(MUslave,SIGN(DR314))*POWER(KLslave,SIGN(DS314))*POWER(INslave,SIGN(DT314))*POWER(CHslave_CH,SIGN(DU314))*POWER(FFslave,SIGN(DV314))*POWER(KOslave,SIGN(DX314))*POWER(KKslave,SIGN(DY314))+DX314*POWER(MUslave,SIGN(DR314))*POWER(KLslave,SIGN(DS314))*POWER(INslave,SIGN(DT314))*POWER(CHslave_CH,SIGN(DU314))*POWER(FFslave,SIGN(DV314))*POWER(GEslave,SIGN(DW314))*POWER(KKslave,SIGN(DY314))+DY314*POWER(MUslave,SIGN(DR314))*POWER(KLslave,SIGN(DS314))*POWER(INslave,SIGN(DT314))*POWER(CHslave_CH,SIGN(DU314))*POWER(FFslave,SIGN(DV314))*POWER(GEslave,SIGN(DW314))*POWER(KOslave,SIGN(DX314))</f>
        <v>2304</v>
      </c>
      <c r="ED314" s="117">
        <f>DS314*DT314*GEslave+DS314*INslave*DW314+KLslave*DT314*DW314</f>
        <v>3456</v>
      </c>
      <c r="EE314" s="224">
        <f t="shared" ref="EE314" si="2442">IFERROR(DR314^SIGN(DR314),1)*IFERROR(DS314^SIGN(DS314),1)*IFERROR(DT314^SIGN(DT314),1)*IFERROR(DU314^SIGN(DU314),1)*IFERROR(DV314^SIGN(DV314),1)*IFERROR(DW314^SIGN(DW314),1)*IFERROR(DX314^SIGN(DX314),1)*IFERROR(DY314^SIGN(DY314),1)</f>
        <v>1728</v>
      </c>
      <c r="EF314" s="224">
        <f t="shared" si="2164"/>
        <v>7488</v>
      </c>
      <c r="EG314" s="222">
        <f t="shared" si="2376"/>
        <v>3.6923076923076925</v>
      </c>
      <c r="EH314" s="223">
        <f t="shared" si="2377"/>
        <v>11.076923076923077</v>
      </c>
      <c r="EI314" s="243">
        <f t="shared" si="2378"/>
        <v>8.3076923076923084</v>
      </c>
      <c r="EJ314" s="243">
        <f t="shared" si="2379"/>
        <v>23.07692307692308</v>
      </c>
      <c r="EK314" s="252">
        <f t="shared" si="1863"/>
        <v>0</v>
      </c>
      <c r="EL314" s="324">
        <f t="shared" si="2380"/>
        <v>23.07692307692308</v>
      </c>
      <c r="EM314" s="304">
        <f t="shared" si="2381"/>
        <v>175.5384615384616</v>
      </c>
      <c r="EN314" s="335">
        <f t="shared" si="2381"/>
        <v>2</v>
      </c>
      <c r="EO314" s="243">
        <f t="shared" si="2382"/>
        <v>173.5384615384616</v>
      </c>
      <c r="EP314" s="218">
        <f t="shared" si="2383"/>
        <v>0</v>
      </c>
      <c r="EQ314" s="248"/>
      <c r="ER314" s="303" t="s">
        <v>461</v>
      </c>
      <c r="ES314" s="218" t="s">
        <v>439</v>
      </c>
      <c r="ET314" s="304" t="s">
        <v>132</v>
      </c>
      <c r="EU314" s="120"/>
      <c r="EV314" s="117">
        <f>Konvention_1slave-KLslave</f>
        <v>12</v>
      </c>
      <c r="EW314" s="117">
        <f t="shared" ref="EW314" si="2443">Konvention_1slave-INslave</f>
        <v>12</v>
      </c>
      <c r="EX314" s="117"/>
      <c r="EY314" s="117"/>
      <c r="EZ314" s="117">
        <f>Konvention_1slave-GEslave</f>
        <v>12</v>
      </c>
      <c r="FA314" s="117"/>
      <c r="FB314" s="121"/>
      <c r="FC314" s="223">
        <f t="shared" ref="FC314" si="2444">(EU314+EV314+EW314+EX314+EY314+EZ314+FA314+FB314)/3</f>
        <v>12</v>
      </c>
      <c r="FD314" s="223">
        <f t="shared" si="2384"/>
        <v>24</v>
      </c>
      <c r="FE314" s="224">
        <f t="shared" si="2385"/>
        <v>36</v>
      </c>
      <c r="FF314" s="237">
        <f t="shared" ref="FF314" si="2445">EU314*POWER(KLslave,SIGN(EV314))*POWER(INslave,SIGN(EW314))*POWER(CHslave,SIGN(EX314))*POWER(FFslave_FF,SIGN(EY314))*POWER(GEslave,SIGN(EZ314))*POWER(KOslave,SIGN(FA314))*POWER(KKslave,SIGN(FB314))+EV314*POWER(MUslave,SIGN(EU314))*POWER(INslave,SIGN(EW314))*POWER(CHslave,SIGN(EX314))*POWER(FFslave_FF,SIGN(EY314))*POWER(GEslave,SIGN(EZ314))*POWER(KOslave,SIGN(FA314))*POWER(KKslave,SIGN(FB314))+EW314*POWER(MUslave,SIGN(EU314))*POWER(KLslave,SIGN(EV314))*POWER(CHslave,SIGN(EX314))*POWER(FFslave_FF,SIGN(EY314))*POWER(GEslave,SIGN(EZ314))*POWER(KOslave,SIGN(FA314))*POWER(KKslave,SIGN(FB314))+EX314*POWER(MUslave,SIGN(EU314))*POWER(KLslave,SIGN(EV314))*POWER(INslave,SIGN(EW314))*POWER(FFslave_FF,SIGN(EY314))*POWER(GEslave,SIGN(EZ314))*POWER(KOslave,SIGN(FA314))*POWER(KKslave,SIGN(FB314))+EY314*POWER(MUslave,SIGN(EU314))*POWER(KLslave,SIGN(EV314))*POWER(INslave,SIGN(EW314))*POWER(CHslave,SIGN(EX314))*POWER(GEslave,SIGN(EZ314))*POWER(KOslave,SIGN(FA314))*POWER(KKslave,SIGN(FB314))+EZ314*POWER(MUslave,SIGN(EU314))*POWER(KLslave,SIGN(EV314))*POWER(INslave,SIGN(EW314))*POWER(CHslave,SIGN(EX314))*POWER(FFslave_FF,SIGN(EY314))*POWER(KOslave,SIGN(FA314))*POWER(KKslave,SIGN(FB314))+FA314*POWER(MUslave,SIGN(EU314))*POWER(KLslave,SIGN(EV314))*POWER(INslave,SIGN(EW314))*POWER(CHslave,SIGN(EX314))*POWER(FFslave_FF,SIGN(EY314))*POWER(GEslave,SIGN(EZ314))*POWER(KKslave,SIGN(FB314))+FB314*POWER(MUslave,SIGN(EU314))*POWER(KLslave,SIGN(EV314))*POWER(INslave,SIGN(EW314))*POWER(CHslave,SIGN(EX314))*POWER(FFslave_FF,SIGN(EY314))*POWER(GEslave,SIGN(EZ314))*POWER(KOslave,SIGN(FA314))</f>
        <v>2304</v>
      </c>
      <c r="FG314" s="117">
        <f>EV314*EW314*GEslave+EV314*INslave*EZ314+KLslave*EW314*EZ314</f>
        <v>3456</v>
      </c>
      <c r="FH314" s="224">
        <f t="shared" ref="FH314" si="2446">IFERROR(EU314^SIGN(EU314),1)*IFERROR(EV314^SIGN(EV314),1)*IFERROR(EW314^SIGN(EW314),1)*IFERROR(EX314^SIGN(EX314),1)*IFERROR(EY314^SIGN(EY314),1)*IFERROR(EZ314^SIGN(EZ314),1)*IFERROR(FA314^SIGN(FA314),1)*IFERROR(FB314^SIGN(FB314),1)</f>
        <v>1728</v>
      </c>
      <c r="FI314" s="224">
        <f t="shared" si="2166"/>
        <v>7488</v>
      </c>
      <c r="FJ314" s="222">
        <f t="shared" si="2386"/>
        <v>3.6923076923076925</v>
      </c>
      <c r="FK314" s="223">
        <f t="shared" si="2387"/>
        <v>11.076923076923077</v>
      </c>
      <c r="FL314" s="243">
        <f t="shared" si="2388"/>
        <v>8.3076923076923084</v>
      </c>
      <c r="FM314" s="243">
        <f t="shared" si="2389"/>
        <v>23.07692307692308</v>
      </c>
      <c r="FN314" s="252">
        <f t="shared" si="1878"/>
        <v>0</v>
      </c>
      <c r="FO314" s="324">
        <f t="shared" si="2390"/>
        <v>23.07692307692308</v>
      </c>
      <c r="FP314" s="304">
        <f t="shared" si="2391"/>
        <v>175.5384615384616</v>
      </c>
      <c r="FQ314" s="335">
        <f t="shared" si="2391"/>
        <v>2</v>
      </c>
      <c r="FR314" s="243">
        <f t="shared" si="2392"/>
        <v>173.5384615384616</v>
      </c>
      <c r="FS314" s="218">
        <f t="shared" si="2393"/>
        <v>0</v>
      </c>
      <c r="FT314" s="248"/>
      <c r="FU314" s="303" t="s">
        <v>461</v>
      </c>
      <c r="FV314" s="218" t="s">
        <v>439</v>
      </c>
      <c r="FW314" s="304" t="s">
        <v>132</v>
      </c>
      <c r="FX314" s="120"/>
      <c r="FY314" s="117">
        <f>Konvention_1slave-KLslave</f>
        <v>12</v>
      </c>
      <c r="FZ314" s="117">
        <f t="shared" ref="FZ314" si="2447">Konvention_1slave-INslave</f>
        <v>12</v>
      </c>
      <c r="GA314" s="117"/>
      <c r="GB314" s="117"/>
      <c r="GC314" s="117">
        <f>Konvention_1slave-GEslave_GE</f>
        <v>11</v>
      </c>
      <c r="GD314" s="117"/>
      <c r="GE314" s="121"/>
      <c r="GF314" s="223">
        <f t="shared" ref="GF314" si="2448">(FX314+FY314+FZ314+GA314+GB314+GC314+GD314+GE314)/3</f>
        <v>11.666666666666666</v>
      </c>
      <c r="GG314" s="223">
        <f t="shared" si="2394"/>
        <v>23.333333333333332</v>
      </c>
      <c r="GH314" s="224">
        <f t="shared" si="2395"/>
        <v>35</v>
      </c>
      <c r="GI314" s="237">
        <f t="shared" ref="GI314" si="2449">FX314*POWER(KLslave,SIGN(FY314))*POWER(INslave,SIGN(FZ314))*POWER(CHslave,SIGN(GA314))*POWER(FFslave,SIGN(GB314))*POWER(GEslave_GE,SIGN(GC314))*POWER(KOslave,SIGN(GD314))*POWER(KKslave,SIGN(GE314))+FY314*POWER(MUslave,SIGN(FX314))*POWER(INslave,SIGN(FZ314))*POWER(CHslave,SIGN(GA314))*POWER(FFslave,SIGN(GB314))*POWER(GEslave_GE,SIGN(GC314))*POWER(KOslave,SIGN(GD314))*POWER(KKslave,SIGN(GE314))+FZ314*POWER(MUslave,SIGN(FX314))*POWER(KLslave,SIGN(FY314))*POWER(CHslave,SIGN(GA314))*POWER(FFslave,SIGN(GB314))*POWER(GEslave_GE,SIGN(GC314))*POWER(KOslave,SIGN(GD314))*POWER(KKslave,SIGN(GE314))+GA314*POWER(MUslave,SIGN(FX314))*POWER(KLslave,SIGN(FY314))*POWER(INslave,SIGN(FZ314))*POWER(FFslave,SIGN(GB314))*POWER(GEslave_GE,SIGN(GC314))*POWER(KOslave,SIGN(GD314))*POWER(KKslave,SIGN(GE314))+GB314*POWER(MUslave,SIGN(FX314))*POWER(KLslave,SIGN(FY314))*POWER(INslave,SIGN(FZ314))*POWER(CHslave,SIGN(GA314))*POWER(GEslave_GE,SIGN(GC314))*POWER(KOslave,SIGN(GD314))*POWER(KKslave,SIGN(GE314))+GC314*POWER(MUslave,SIGN(FX314))*POWER(KLslave,SIGN(FY314))*POWER(INslave,SIGN(FZ314))*POWER(CHslave,SIGN(GA314))*POWER(FFslave,SIGN(GB314))*POWER(KOslave,SIGN(GD314))*POWER(KKslave,SIGN(GE314))+GD314*POWER(MUslave,SIGN(FX314))*POWER(KLslave,SIGN(FY314))*POWER(INslave,SIGN(FZ314))*POWER(CHslave,SIGN(GA314))*POWER(FFslave,SIGN(GB314))*POWER(GEslave_GE,SIGN(GC314))*POWER(KKslave,SIGN(GE314))+GE314*POWER(MUslave,SIGN(FX314))*POWER(KLslave,SIGN(FY314))*POWER(INslave,SIGN(FZ314))*POWER(CHslave,SIGN(GA314))*POWER(FFslave,SIGN(GB314))*POWER(GEslave_GE,SIGN(GC314))*POWER(KOslave,SIGN(GD314))</f>
        <v>2432</v>
      </c>
      <c r="GJ314" s="117">
        <f>FY314*FZ314*GEslave_GE+FY314*INslave*GC314+KLslave*FZ314*GC314</f>
        <v>3408</v>
      </c>
      <c r="GK314" s="224">
        <f t="shared" ref="GK314" si="2450">IFERROR(FX314^SIGN(FX314),1)*IFERROR(FY314^SIGN(FY314),1)*IFERROR(FZ314^SIGN(FZ314),1)*IFERROR(GA314^SIGN(GA314),1)*IFERROR(GB314^SIGN(GB314),1)*IFERROR(GC314^SIGN(GC314),1)*IFERROR(GD314^SIGN(GD314),1)*IFERROR(GE314^SIGN(GE314),1)</f>
        <v>1584</v>
      </c>
      <c r="GL314" s="224">
        <f t="shared" si="2168"/>
        <v>7424</v>
      </c>
      <c r="GM314" s="222">
        <f t="shared" si="2396"/>
        <v>3.8218390804597702</v>
      </c>
      <c r="GN314" s="223">
        <f t="shared" si="2397"/>
        <v>10.711206896551724</v>
      </c>
      <c r="GO314" s="243">
        <f t="shared" si="2398"/>
        <v>7.4676724137931032</v>
      </c>
      <c r="GP314" s="243">
        <f t="shared" si="2399"/>
        <v>22.000718390804597</v>
      </c>
      <c r="GQ314" s="252">
        <f t="shared" si="1893"/>
        <v>0</v>
      </c>
      <c r="GR314" s="324">
        <f t="shared" si="2400"/>
        <v>22.000718390804597</v>
      </c>
      <c r="GS314" s="304">
        <f t="shared" si="2401"/>
        <v>154.01436781609189</v>
      </c>
      <c r="GT314" s="335">
        <f t="shared" si="2401"/>
        <v>2</v>
      </c>
      <c r="GU314" s="243">
        <f t="shared" si="2402"/>
        <v>152.01436781609189</v>
      </c>
      <c r="GV314" s="218">
        <f t="shared" si="2403"/>
        <v>0</v>
      </c>
      <c r="GW314" s="248"/>
      <c r="GX314" s="303" t="s">
        <v>461</v>
      </c>
      <c r="GY314" s="218" t="s">
        <v>439</v>
      </c>
      <c r="GZ314" s="304" t="s">
        <v>132</v>
      </c>
      <c r="HA314" s="120"/>
      <c r="HB314" s="117">
        <f>Konvention_1slave-KLslave</f>
        <v>12</v>
      </c>
      <c r="HC314" s="117">
        <f t="shared" ref="HC314" si="2451">Konvention_1slave-INslave</f>
        <v>12</v>
      </c>
      <c r="HD314" s="117"/>
      <c r="HE314" s="117"/>
      <c r="HF314" s="117">
        <f>Konvention_1slave-GEslave</f>
        <v>12</v>
      </c>
      <c r="HG314" s="117"/>
      <c r="HH314" s="121"/>
      <c r="HI314" s="223">
        <f t="shared" ref="HI314" si="2452">(HA314+HB314+HC314+HD314+HE314+HF314+HG314+HH314)/3</f>
        <v>12</v>
      </c>
      <c r="HJ314" s="223">
        <f t="shared" si="2404"/>
        <v>24</v>
      </c>
      <c r="HK314" s="224">
        <f t="shared" si="2405"/>
        <v>36</v>
      </c>
      <c r="HL314" s="237">
        <f t="shared" ref="HL314" si="2453">HA314*POWER(KLslave,SIGN(HB314))*POWER(INslave,SIGN(HC314))*POWER(CHslave,SIGN(HD314))*POWER(FFslave,SIGN(HE314))*POWER(GEslave,SIGN(HF314))*POWER(KOslave_KO,SIGN(HG314))*POWER(KKslave,SIGN(HH314))+HB314*POWER(MUslave,SIGN(HA314))*POWER(INslave,SIGN(HC314))*POWER(CHslave,SIGN(HD314))*POWER(FFslave,SIGN(HE314))*POWER(GEslave,SIGN(HF314))*POWER(KOslave_KO,SIGN(HG314))*POWER(KKslave,SIGN(HH314))+HC314*POWER(MUslave,SIGN(HA314))*POWER(KLslave,SIGN(HB314))*POWER(CHslave,SIGN(HD314))*POWER(FFslave,SIGN(HE314))*POWER(GEslave,SIGN(HF314))*POWER(KOslave_KO,SIGN(HG314))*POWER(KKslave,SIGN(HH314))+HD314*POWER(MUslave,SIGN(HA314))*POWER(KLslave,SIGN(HB314))*POWER(INslave,SIGN(HC314))*POWER(FFslave,SIGN(HE314))*POWER(GEslave,SIGN(HF314))*POWER(KOslave_KO,SIGN(HG314))*POWER(KKslave,SIGN(HH314))+HE314*POWER(MUslave,SIGN(HA314))*POWER(KLslave,SIGN(HB314))*POWER(INslave,SIGN(HC314))*POWER(CHslave,SIGN(HD314))*POWER(GEslave,SIGN(HF314))*POWER(KOslave_KO,SIGN(HG314))*POWER(KKslave,SIGN(HH314))+HF314*POWER(MUslave,SIGN(HA314))*POWER(KLslave,SIGN(HB314))*POWER(INslave,SIGN(HC314))*POWER(CHslave,SIGN(HD314))*POWER(FFslave,SIGN(HE314))*POWER(KOslave_KO,SIGN(HG314))*POWER(KKslave,SIGN(HH314))+HG314*POWER(MUslave,SIGN(HA314))*POWER(KLslave,SIGN(HB314))*POWER(INslave,SIGN(HC314))*POWER(CHslave,SIGN(HD314))*POWER(FFslave,SIGN(HE314))*POWER(GEslave,SIGN(HF314))*POWER(KKslave,SIGN(HH314))+HH314*POWER(MUslave,SIGN(HA314))*POWER(KLslave,SIGN(HB314))*POWER(INslave,SIGN(HC314))*POWER(CHslave,SIGN(HD314))*POWER(FFslave,SIGN(HE314))*POWER(GEslave,SIGN(HF314))*POWER(KOslave_KO,SIGN(HG314))</f>
        <v>2304</v>
      </c>
      <c r="HM314" s="117">
        <f>HB314*HC314*GEslave+HB314*INslave*HF314+KLslave*HC314*HF314</f>
        <v>3456</v>
      </c>
      <c r="HN314" s="224">
        <f t="shared" ref="HN314" si="2454">IFERROR(HA314^SIGN(HA314),1)*IFERROR(HB314^SIGN(HB314),1)*IFERROR(HC314^SIGN(HC314),1)*IFERROR(HD314^SIGN(HD314),1)*IFERROR(HE314^SIGN(HE314),1)*IFERROR(HF314^SIGN(HF314),1)*IFERROR(HG314^SIGN(HG314),1)*IFERROR(HH314^SIGN(HH314),1)</f>
        <v>1728</v>
      </c>
      <c r="HO314" s="224">
        <f t="shared" si="2170"/>
        <v>7488</v>
      </c>
      <c r="HP314" s="222">
        <f t="shared" si="2406"/>
        <v>3.6923076923076925</v>
      </c>
      <c r="HQ314" s="223">
        <f t="shared" si="2407"/>
        <v>11.076923076923077</v>
      </c>
      <c r="HR314" s="243">
        <f t="shared" si="2408"/>
        <v>8.3076923076923084</v>
      </c>
      <c r="HS314" s="243">
        <f t="shared" si="2409"/>
        <v>23.07692307692308</v>
      </c>
      <c r="HT314" s="252">
        <f t="shared" si="1908"/>
        <v>0</v>
      </c>
      <c r="HU314" s="324">
        <f t="shared" si="2410"/>
        <v>23.07692307692308</v>
      </c>
      <c r="HV314" s="304">
        <f t="shared" si="2411"/>
        <v>175.5384615384616</v>
      </c>
      <c r="HW314" s="335">
        <f t="shared" si="2411"/>
        <v>2</v>
      </c>
      <c r="HX314" s="243">
        <f t="shared" si="2412"/>
        <v>173.5384615384616</v>
      </c>
      <c r="HY314" s="218">
        <f t="shared" si="2413"/>
        <v>0</v>
      </c>
      <c r="HZ314" s="248"/>
      <c r="IA314" s="303" t="s">
        <v>461</v>
      </c>
      <c r="IB314" s="218" t="s">
        <v>439</v>
      </c>
      <c r="IC314" s="304" t="s">
        <v>132</v>
      </c>
      <c r="ID314" s="120"/>
      <c r="IE314" s="117">
        <f>Konvention_1slave-KLslave</f>
        <v>12</v>
      </c>
      <c r="IF314" s="117">
        <f t="shared" ref="IF314" si="2455">Konvention_1slave-INslave</f>
        <v>12</v>
      </c>
      <c r="IG314" s="117"/>
      <c r="IH314" s="117"/>
      <c r="II314" s="117">
        <f>Konvention_1slave-GEslave</f>
        <v>12</v>
      </c>
      <c r="IJ314" s="117"/>
      <c r="IK314" s="121"/>
      <c r="IL314" s="223">
        <f t="shared" ref="IL314" si="2456">(ID314+IE314+IF314+IG314+IH314+II314+IJ314+IK314)/3</f>
        <v>12</v>
      </c>
      <c r="IM314" s="223">
        <f t="shared" si="2414"/>
        <v>24</v>
      </c>
      <c r="IN314" s="224">
        <f t="shared" si="2415"/>
        <v>36</v>
      </c>
      <c r="IO314" s="237">
        <f t="shared" ref="IO314" si="2457">ID314*POWER(KLslave,SIGN(IE314))*POWER(INslave,SIGN(IF314))*POWER(CHslave,SIGN(IG314))*POWER(FFslave,SIGN(IH314))*POWER(GEslave,SIGN(II314))*POWER(KOslave,SIGN(IJ314))*POWER(KKslave_KK,SIGN(IK314))+IE314*POWER(MUslave,SIGN(ID314))*POWER(INslave,SIGN(IF314))*POWER(CHslave,SIGN(IG314))*POWER(FFslave,SIGN(IH314))*POWER(GEslave,SIGN(II314))*POWER(KOslave,SIGN(IJ314))*POWER(KKslave_KK,SIGN(IK314))+IF314*POWER(MUslave,SIGN(ID314))*POWER(KLslave,SIGN(IE314))*POWER(CHslave,SIGN(IG314))*POWER(FFslave,SIGN(IH314))*POWER(GEslave,SIGN(II314))*POWER(KOslave,SIGN(IJ314))*POWER(KKslave_KK,SIGN(IK314))+IG314*POWER(MUslave,SIGN(ID314))*POWER(KLslave,SIGN(IE314))*POWER(INslave,SIGN(IF314))*POWER(FFslave,SIGN(IH314))*POWER(GEslave,SIGN(II314))*POWER(KOslave,SIGN(IJ314))*POWER(KKslave_KK,SIGN(IK314))+IH314*POWER(MUslave,SIGN(ID314))*POWER(KLslave,SIGN(IE314))*POWER(INslave,SIGN(IF314))*POWER(CHslave,SIGN(IG314))*POWER(GEslave,SIGN(II314))*POWER(KOslave,SIGN(IJ314))*POWER(KKslave_KK,SIGN(IK314))+II314*POWER(MUslave,SIGN(ID314))*POWER(KLslave,SIGN(IE314))*POWER(INslave,SIGN(IF314))*POWER(CHslave,SIGN(IG314))*POWER(FFslave,SIGN(IH314))*POWER(KOslave,SIGN(IJ314))*POWER(KKslave_KK,SIGN(IK314))+IJ314*POWER(MUslave,SIGN(ID314))*POWER(KLslave,SIGN(IE314))*POWER(INslave,SIGN(IF314))*POWER(CHslave,SIGN(IG314))*POWER(FFslave,SIGN(IH314))*POWER(GEslave,SIGN(II314))*POWER(KKslave_KK,SIGN(IK314))+IK314*POWER(MUslave,SIGN(ID314))*POWER(KLslave,SIGN(IE314))*POWER(INslave,SIGN(IF314))*POWER(CHslave,SIGN(IG314))*POWER(FFslave,SIGN(IH314))*POWER(GEslave,SIGN(II314))*POWER(KOslave,SIGN(IJ314))</f>
        <v>2304</v>
      </c>
      <c r="IP314" s="117">
        <f>IE314*IF314*GEslave+IE314*INslave*II314+KLslave*IF314*II314</f>
        <v>3456</v>
      </c>
      <c r="IQ314" s="224">
        <f t="shared" ref="IQ314" si="2458">IFERROR(ID314^SIGN(ID314),1)*IFERROR(IE314^SIGN(IE314),1)*IFERROR(IF314^SIGN(IF314),1)*IFERROR(IG314^SIGN(IG314),1)*IFERROR(IH314^SIGN(IH314),1)*IFERROR(II314^SIGN(II314),1)*IFERROR(IJ314^SIGN(IJ314),1)*IFERROR(IK314^SIGN(IK314),1)</f>
        <v>1728</v>
      </c>
      <c r="IR314" s="224">
        <f t="shared" si="2172"/>
        <v>7488</v>
      </c>
      <c r="IS314" s="222">
        <f t="shared" si="2416"/>
        <v>3.6923076923076925</v>
      </c>
      <c r="IT314" s="223">
        <f t="shared" si="2417"/>
        <v>11.076923076923077</v>
      </c>
      <c r="IU314" s="243">
        <f t="shared" si="2418"/>
        <v>8.3076923076923084</v>
      </c>
      <c r="IV314" s="243">
        <f t="shared" si="2419"/>
        <v>23.07692307692308</v>
      </c>
      <c r="IW314" s="252">
        <f t="shared" si="1923"/>
        <v>0</v>
      </c>
      <c r="IX314" s="324">
        <f t="shared" si="2420"/>
        <v>23.07692307692308</v>
      </c>
      <c r="IY314" s="304">
        <f t="shared" si="2421"/>
        <v>175.5384615384616</v>
      </c>
      <c r="IZ314" s="335">
        <f t="shared" si="2421"/>
        <v>2</v>
      </c>
      <c r="JA314" s="243">
        <f t="shared" si="2422"/>
        <v>173.5384615384616</v>
      </c>
      <c r="JB314" s="218">
        <f t="shared" si="2423"/>
        <v>0</v>
      </c>
      <c r="JE314" s="148"/>
    </row>
    <row r="315" spans="1:265" s="205" customFormat="1" hidden="1" outlineLevel="2">
      <c r="A315" s="185"/>
      <c r="B315" s="148">
        <v>18</v>
      </c>
      <c r="C315" s="303" t="e">
        <f>VLOOKUP(AF315,Attribute!C:T,1,FALSE)</f>
        <v>#N/A</v>
      </c>
      <c r="D315" s="218" t="s">
        <v>472</v>
      </c>
      <c r="E315" s="304" t="s">
        <v>135</v>
      </c>
      <c r="F315" s="210"/>
      <c r="G315" s="211"/>
      <c r="H315" s="211"/>
      <c r="I315" s="113">
        <f>Konvention_1master-CHmaster</f>
        <v>12</v>
      </c>
      <c r="J315" s="211"/>
      <c r="K315" s="211"/>
      <c r="L315" s="117">
        <f>Konvention_1master-KOmaster</f>
        <v>12</v>
      </c>
      <c r="M315" s="119">
        <f>Konvention_1master-KKmaster</f>
        <v>12</v>
      </c>
      <c r="N315" s="223">
        <f>(F315+G315+H315+I315+J315+K315+L315+M315)/3</f>
        <v>12</v>
      </c>
      <c r="O315" s="223">
        <f>2*N315</f>
        <v>24</v>
      </c>
      <c r="P315" s="224">
        <f>3*N315</f>
        <v>36</v>
      </c>
      <c r="Q315" s="237">
        <f>F315*POWER(KLmaster,SIGN(G315))*POWER(INmaster,SIGN(H315))*POWER(CHmaster,SIGN(I315))*POWER(FFmaster,SIGN(J315))*POWER(GEmaster,SIGN(K315))*POWER(KOmaster,SIGN(L315))*POWER(KKmaster,SIGN(M315))+G315*POWER(MUmaster,SIGN(F315))*POWER(INmaster,SIGN(H315))*POWER(CHmaster,SIGN(I315))*POWER(FFmaster,SIGN(J315))*POWER(GEmaster,SIGN(K315))*POWER(KOmaster,SIGN(L315))*POWER(KKmaster,SIGN(M315))+H315*POWER(MUmaster,SIGN(F315))*POWER(KLmaster,SIGN(G315))*POWER(CHmaster,SIGN(I315))*POWER(FFmaster,SIGN(J315))*POWER(GEmaster,SIGN(K315))*POWER(KOmaster,SIGN(L315))*POWER(KKmaster,SIGN(M315))+I315*POWER(MUmaster,SIGN(F315))*POWER(KLmaster,SIGN(G315))*POWER(INmaster,SIGN(H315))*POWER(FFmaster,SIGN(J315))*POWER(GEmaster,SIGN(K315))*POWER(KOmaster,SIGN(L315))*POWER(KKmaster,SIGN(M315))+J315*POWER(MUmaster,SIGN(F315))*POWER(KLmaster,SIGN(G315))*POWER(INmaster,SIGN(H315))*POWER(CHmaster,SIGN(I315))*POWER(GEmaster,SIGN(K315))*POWER(KOmaster,SIGN(L315))*POWER(KKmaster,SIGN(M315))+K315*POWER(MUmaster,SIGN(F315))*POWER(KLmaster,SIGN(G315))*POWER(INmaster,SIGN(H315))*POWER(CHmaster,SIGN(I315))*POWER(FFmaster,SIGN(J315))*POWER(KOmaster,SIGN(L315))*POWER(KKmaster,SIGN(M315))+L315*POWER(MUmaster,SIGN(F315))*POWER(KLmaster,SIGN(G315))*POWER(INmaster,SIGN(H315))*POWER(CHmaster,SIGN(I315))*POWER(FFmaster,SIGN(J315))*POWER(GEmaster,SIGN(K315))*POWER(KKmaster,SIGN(M315))+M315*POWER(MUmaster,SIGN(F315))*POWER(KLmaster,SIGN(G315))*POWER(INmaster,SIGN(H315))*POWER(CHmaster,SIGN(I315))*POWER(FFmaster,SIGN(J315))*POWER(GEmaster,SIGN(K315))*POWER(KOmaster,SIGN(L315))</f>
        <v>2304</v>
      </c>
      <c r="R315" s="234">
        <f>I315*L315*KKmaster+I315*KOmaster*M315+CHmaster*L315*M315</f>
        <v>3456</v>
      </c>
      <c r="S315" s="224">
        <f>IFERROR(F315^SIGN(F315),1)*IFERROR(G315^SIGN(G315),1)*IFERROR(H315^SIGN(H315),1)*IFERROR(I315^SIGN(I315),1)*IFERROR(J315^SIGN(J315),1)*IFERROR(K315^SIGN(K315),1)*IFERROR(L315^SIGN(L315),1)*IFERROR(M315^SIGN(M315),1)</f>
        <v>1728</v>
      </c>
      <c r="T315" s="224">
        <f t="shared" ref="T315" si="2459">SUM(Q315:S315)</f>
        <v>7488</v>
      </c>
      <c r="U315" s="222">
        <f>N315*Q315/T315</f>
        <v>3.6923076923076925</v>
      </c>
      <c r="V315" s="223">
        <f>O315*R315/T315</f>
        <v>11.076923076923077</v>
      </c>
      <c r="W315" s="243">
        <f>P315*S315/T315</f>
        <v>8.3076923076923084</v>
      </c>
      <c r="X315" s="243">
        <f>SUM(U315:W315)</f>
        <v>23.07692307692308</v>
      </c>
      <c r="Y315" s="252">
        <v>0</v>
      </c>
      <c r="Z315" s="324">
        <f>X315-Y315</f>
        <v>23.07692307692308</v>
      </c>
      <c r="AA315" s="304">
        <f>IF(X315&lt;=0,3,0)+IF(X315&gt;0,X315+1,0)*3+IF(X315&gt;12,X315-12,0)*3+IF(X315&gt;13,X315-13,0)*3+IF(X315&gt;14,X315-14,0)*3+IF(X315&gt;15,X315-15,0)*3+IF(X315&gt;16,X315-16,0)*3+IF(X315&gt;17,X315-17,0)*3+IF(X315&gt;18,X315-18,0)*3+IF(X315&gt;19,X315-19,0)*3+IF(X315&gt;20,X315-20,0)*3</f>
        <v>263.30769230769232</v>
      </c>
      <c r="AB315" s="335">
        <f>IF(Y315&lt;=0,3,0)+IF(Y315&gt;0,Y315+1,0)*3+IF(Y315&gt;12,Y315-12,0)*3+IF(Y315&gt;13,Y315-13,0)*3+IF(Y315&gt;14,Y315-14,0)*3+IF(Y315&gt;15,Y315-15,0)*3+IF(Y315&gt;16,Y315-16,0)*3+IF(Y315&gt;17,Y315-17,0)*3+IF(Y315&gt;18,Y315-18,0)*3+IF(Y315&gt;19,Y315-19,0)*3+IF(Y315&gt;20,Y315-20,0)*3</f>
        <v>3</v>
      </c>
      <c r="AC315" s="243">
        <f>IF((AA315-AB315)&gt;0,AA315-AB315,0)</f>
        <v>260.30769230769232</v>
      </c>
      <c r="AD315" s="218">
        <f>IF((AB315-AA315)&gt;0,AB315-AA315,0)</f>
        <v>0</v>
      </c>
      <c r="AE315" s="299"/>
      <c r="AF315" s="303" t="s">
        <v>464</v>
      </c>
      <c r="AG315" s="218" t="s">
        <v>472</v>
      </c>
      <c r="AH315" s="304" t="s">
        <v>135</v>
      </c>
      <c r="AI315" s="210"/>
      <c r="AJ315" s="211"/>
      <c r="AK315" s="211"/>
      <c r="AL315" s="113">
        <f>Konvention_1slave-CHslave</f>
        <v>12</v>
      </c>
      <c r="AM315" s="211"/>
      <c r="AN315" s="211"/>
      <c r="AO315" s="117">
        <f>Konvention_1slave-KOslave</f>
        <v>12</v>
      </c>
      <c r="AP315" s="119">
        <f>Konvention_1slave-KKslave</f>
        <v>12</v>
      </c>
      <c r="AQ315" s="223">
        <f>(AI315+AJ315+AK315+AL315+AM315+AN315+AO315+AP315)/3</f>
        <v>12</v>
      </c>
      <c r="AR315" s="223">
        <f>2*AQ315</f>
        <v>24</v>
      </c>
      <c r="AS315" s="224">
        <f>3*AQ315</f>
        <v>36</v>
      </c>
      <c r="AT315" s="237">
        <f>AI315*POWER(KLslave,SIGN(AJ315))*POWER(INslave,SIGN(AK315))*POWER(CHslave,SIGN(AL315))*POWER(FFslave,SIGN(AM315))*POWER(GEslave,SIGN(AN315))*POWER(KOslave,SIGN(AO315))*POWER(KKslave,SIGN(AP315))+AJ315*POWER(MUslave,SIGN(AI315))*POWER(INslave,SIGN(AK315))*POWER(CHslave,SIGN(AL315))*POWER(FFslave,SIGN(AM315))*POWER(GEslave,SIGN(AN315))*POWER(KOslave,SIGN(AO315))*POWER(KKslave,SIGN(AP315))+AK315*POWER(MUslave,SIGN(AI315))*POWER(KLslave,SIGN(AJ315))*POWER(CHslave,SIGN(AL315))*POWER(FFslave,SIGN(AM315))*POWER(GEslave,SIGN(AN315))*POWER(KOslave,SIGN(AO315))*POWER(KKslave,SIGN(AP315))+AL315*POWER(MUslave,SIGN(AI315))*POWER(KLslave,SIGN(AJ315))*POWER(INslave,SIGN(AK315))*POWER(FFslave,SIGN(AM315))*POWER(GEslave,SIGN(AN315))*POWER(KOslave,SIGN(AO315))*POWER(KKslave,SIGN(AP315))+AM315*POWER(MUslave,SIGN(AI315))*POWER(KLslave,SIGN(AJ315))*POWER(INslave,SIGN(AK315))*POWER(CHslave,SIGN(AL315))*POWER(GEslave,SIGN(AN315))*POWER(KOslave,SIGN(AO315))*POWER(KKslave,SIGN(AP315))+AN315*POWER(MUslave,SIGN(AI315))*POWER(KLslave,SIGN(AJ315))*POWER(INslave,SIGN(AK315))*POWER(CHslave,SIGN(AL315))*POWER(FFslave,SIGN(AM315))*POWER(KOslave,SIGN(AO315))*POWER(KKslave,SIGN(AP315))+AO315*POWER(MUslave,SIGN(AI315))*POWER(KLslave,SIGN(AJ315))*POWER(INslave,SIGN(AK315))*POWER(CHslave,SIGN(AL315))*POWER(FFslave,SIGN(AM315))*POWER(GEslave,SIGN(AN315))*POWER(KKslave,SIGN(AP315))+AP315*POWER(MUslave,SIGN(AI315))*POWER(KLslave,SIGN(AJ315))*POWER(INslave,SIGN(AK315))*POWER(CHslave,SIGN(AL315))*POWER(FFslave,SIGN(AM315))*POWER(GEslave,SIGN(AN315))*POWER(KOslave,SIGN(AO315))</f>
        <v>2304</v>
      </c>
      <c r="AU315" s="234">
        <f>AL315*AO315*KKslave+AL315*KOslave*AP315+CHslave*AO315*AP315</f>
        <v>3456</v>
      </c>
      <c r="AV315" s="224">
        <f>IFERROR(AI315^SIGN(AI315),1)*IFERROR(AJ315^SIGN(AJ315),1)*IFERROR(AK315^SIGN(AK315),1)*IFERROR(AL315^SIGN(AL315),1)*IFERROR(AM315^SIGN(AM315),1)*IFERROR(AN315^SIGN(AN315),1)*IFERROR(AO315^SIGN(AO315),1)*IFERROR(AP315^SIGN(AP315),1)</f>
        <v>1728</v>
      </c>
      <c r="AW315" s="224">
        <f t="shared" ref="AW315" si="2460">SUM(AT315:AV315)</f>
        <v>7488</v>
      </c>
      <c r="AX315" s="222">
        <f>AQ315*AT315/AW315</f>
        <v>3.6923076923076925</v>
      </c>
      <c r="AY315" s="223">
        <f>AR315*AU315/AW315</f>
        <v>11.076923076923077</v>
      </c>
      <c r="AZ315" s="243">
        <f>AS315*AV315/AW315</f>
        <v>8.3076923076923084</v>
      </c>
      <c r="BA315" s="243">
        <f>SUM(AX315:AZ315)</f>
        <v>23.07692307692308</v>
      </c>
      <c r="BB315" s="252">
        <f t="shared" si="2034"/>
        <v>0</v>
      </c>
      <c r="BC315" s="324">
        <f>BA315-BB315</f>
        <v>23.07692307692308</v>
      </c>
      <c r="BD315" s="304">
        <f>IF(BA315&lt;=0,3,0)+IF(BA315&gt;0,BA315+1,0)*3+IF(BA315&gt;12,BA315-12,0)*3+IF(BA315&gt;13,BA315-13,0)*3+IF(BA315&gt;14,BA315-14,0)*3+IF(BA315&gt;15,BA315-15,0)*3+IF(BA315&gt;16,BA315-16,0)*3+IF(BA315&gt;17,BA315-17,0)*3+IF(BA315&gt;18,BA315-18,0)*3+IF(BA315&gt;19,BA315-19,0)*3+IF(BA315&gt;20,BA315-20,0)*3</f>
        <v>263.30769230769232</v>
      </c>
      <c r="BE315" s="335">
        <f>IF(BB315&lt;=0,3,0)+IF(BB315&gt;0,BB315+1,0)*3+IF(BB315&gt;12,BB315-12,0)*3+IF(BB315&gt;13,BB315-13,0)*3+IF(BB315&gt;14,BB315-14,0)*3+IF(BB315&gt;15,BB315-15,0)*3+IF(BB315&gt;16,BB315-16,0)*3+IF(BB315&gt;17,BB315-17,0)*3+IF(BB315&gt;18,BB315-18,0)*3+IF(BB315&gt;19,BB315-19,0)*3+IF(BB315&gt;20,BB315-20,0)*3</f>
        <v>3</v>
      </c>
      <c r="BF315" s="243">
        <f>IF((BD315-BE315)&gt;0,BD315-BE315,0)</f>
        <v>260.30769230769232</v>
      </c>
      <c r="BG315" s="218">
        <f>IF((BE315-BD315)&gt;0,BE315-BD315,0)</f>
        <v>0</v>
      </c>
      <c r="BH315" s="248"/>
      <c r="BI315" s="303" t="s">
        <v>464</v>
      </c>
      <c r="BJ315" s="218" t="s">
        <v>472</v>
      </c>
      <c r="BK315" s="304" t="s">
        <v>135</v>
      </c>
      <c r="BL315" s="210"/>
      <c r="BM315" s="211"/>
      <c r="BN315" s="211"/>
      <c r="BO315" s="113">
        <f>Konvention_1slave-CHslave</f>
        <v>12</v>
      </c>
      <c r="BP315" s="211"/>
      <c r="BQ315" s="211"/>
      <c r="BR315" s="117">
        <f>Konvention_1slave-KOslave</f>
        <v>12</v>
      </c>
      <c r="BS315" s="119">
        <f>Konvention_1slave-KKslave</f>
        <v>12</v>
      </c>
      <c r="BT315" s="223">
        <f>(BL315+BM315+BN315+BO315+BP315+BQ315+BR315+BS315)/3</f>
        <v>12</v>
      </c>
      <c r="BU315" s="223">
        <f>2*BT315</f>
        <v>24</v>
      </c>
      <c r="BV315" s="224">
        <f>3*BT315</f>
        <v>36</v>
      </c>
      <c r="BW315" s="237">
        <f>BL315*POWER(KLslave,SIGN(BM315))*POWER(INslave,SIGN(BN315))*POWER(CHslave,SIGN(BO315))*POWER(FFslave,SIGN(BP315))*POWER(GEslave,SIGN(BQ315))*POWER(KOslave,SIGN(BR315))*POWER(KKslave,SIGN(BS315))+BM315*POWER(MUslave,SIGN(BL315))*POWER(INslave,SIGN(BN315))*POWER(CHslave,SIGN(BO315))*POWER(FFslave,SIGN(BP315))*POWER(GEslave,SIGN(BQ315))*POWER(KOslave,SIGN(BR315))*POWER(KKslave,SIGN(BS315))+BN315*POWER(MUslave,SIGN(BL315))*POWER(KLslave,SIGN(BM315))*POWER(CHslave,SIGN(BO315))*POWER(FFslave,SIGN(BP315))*POWER(GEslave,SIGN(BQ315))*POWER(KOslave,SIGN(BR315))*POWER(KKslave,SIGN(BS315))+BO315*POWER(MUslave,SIGN(BL315))*POWER(KLslave,SIGN(BM315))*POWER(INslave,SIGN(BN315))*POWER(FFslave,SIGN(BP315))*POWER(GEslave,SIGN(BQ315))*POWER(KOslave,SIGN(BR315))*POWER(KKslave,SIGN(BS315))+BP315*POWER(MUslave,SIGN(BL315))*POWER(KLslave,SIGN(BM315))*POWER(INslave,SIGN(BN315))*POWER(CHslave,SIGN(BO315))*POWER(GEslave,SIGN(BQ315))*POWER(KOslave,SIGN(BR315))*POWER(KKslave,SIGN(BS315))+BQ315*POWER(MUslave,SIGN(BL315))*POWER(KLslave,SIGN(BM315))*POWER(INslave,SIGN(BN315))*POWER(CHslave,SIGN(BO315))*POWER(FFslave,SIGN(BP315))*POWER(KOslave,SIGN(BR315))*POWER(KKslave,SIGN(BS315))+BR315*POWER(MUslave,SIGN(BL315))*POWER(KLslave,SIGN(BM315))*POWER(INslave,SIGN(BN315))*POWER(CHslave,SIGN(BO315))*POWER(FFslave,SIGN(BP315))*POWER(GEslave,SIGN(BQ315))*POWER(KKslave,SIGN(BS315))+BS315*POWER(MUslave,SIGN(BL315))*POWER(KLslave,SIGN(BM315))*POWER(INslave,SIGN(BN315))*POWER(CHslave,SIGN(BO315))*POWER(FFslave,SIGN(BP315))*POWER(GEslave,SIGN(BQ315))*POWER(KOslave,SIGN(BR315))</f>
        <v>2304</v>
      </c>
      <c r="BX315" s="234">
        <f>BO315*BR315*KKslave+BO315*KOslave*BS315+CHslave*BR315*BS315</f>
        <v>3456</v>
      </c>
      <c r="BY315" s="224">
        <f>IFERROR(BL315^SIGN(BL315),1)*IFERROR(BM315^SIGN(BM315),1)*IFERROR(BN315^SIGN(BN315),1)*IFERROR(BO315^SIGN(BO315),1)*IFERROR(BP315^SIGN(BP315),1)*IFERROR(BQ315^SIGN(BQ315),1)*IFERROR(BR315^SIGN(BR315),1)*IFERROR(BS315^SIGN(BS315),1)</f>
        <v>1728</v>
      </c>
      <c r="BZ315" s="224">
        <f t="shared" ref="BZ315" si="2461">SUM(BW315:BY315)</f>
        <v>7488</v>
      </c>
      <c r="CA315" s="222">
        <f>BT315*BW315/BZ315</f>
        <v>3.6923076923076925</v>
      </c>
      <c r="CB315" s="223">
        <f>BU315*BX315/BZ315</f>
        <v>11.076923076923077</v>
      </c>
      <c r="CC315" s="243">
        <f>BV315*BY315/BZ315</f>
        <v>8.3076923076923084</v>
      </c>
      <c r="CD315" s="243">
        <f>SUM(CA315:CC315)</f>
        <v>23.07692307692308</v>
      </c>
      <c r="CE315" s="252">
        <f t="shared" si="1833"/>
        <v>0</v>
      </c>
      <c r="CF315" s="324">
        <f>CD315-CE315</f>
        <v>23.07692307692308</v>
      </c>
      <c r="CG315" s="304">
        <f>IF(CD315&lt;=0,3,0)+IF(CD315&gt;0,CD315+1,0)*3+IF(CD315&gt;12,CD315-12,0)*3+IF(CD315&gt;13,CD315-13,0)*3+IF(CD315&gt;14,CD315-14,0)*3+IF(CD315&gt;15,CD315-15,0)*3+IF(CD315&gt;16,CD315-16,0)*3+IF(CD315&gt;17,CD315-17,0)*3+IF(CD315&gt;18,CD315-18,0)*3+IF(CD315&gt;19,CD315-19,0)*3+IF(CD315&gt;20,CD315-20,0)*3</f>
        <v>263.30769230769232</v>
      </c>
      <c r="CH315" s="335">
        <f>IF(CE315&lt;=0,3,0)+IF(CE315&gt;0,CE315+1,0)*3+IF(CE315&gt;12,CE315-12,0)*3+IF(CE315&gt;13,CE315-13,0)*3+IF(CE315&gt;14,CE315-14,0)*3+IF(CE315&gt;15,CE315-15,0)*3+IF(CE315&gt;16,CE315-16,0)*3+IF(CE315&gt;17,CE315-17,0)*3+IF(CE315&gt;18,CE315-18,0)*3+IF(CE315&gt;19,CE315-19,0)*3+IF(CE315&gt;20,CE315-20,0)*3</f>
        <v>3</v>
      </c>
      <c r="CI315" s="243">
        <f>IF((CG315-CH315)&gt;0,CG315-CH315,0)</f>
        <v>260.30769230769232</v>
      </c>
      <c r="CJ315" s="218">
        <f>IF((CH315-CG315)&gt;0,CH315-CG315,0)</f>
        <v>0</v>
      </c>
      <c r="CK315" s="248"/>
      <c r="CL315" s="303" t="s">
        <v>464</v>
      </c>
      <c r="CM315" s="218" t="s">
        <v>472</v>
      </c>
      <c r="CN315" s="304" t="s">
        <v>135</v>
      </c>
      <c r="CO315" s="210"/>
      <c r="CP315" s="211"/>
      <c r="CQ315" s="211"/>
      <c r="CR315" s="113">
        <f>Konvention_1slave-CHslave</f>
        <v>12</v>
      </c>
      <c r="CS315" s="211"/>
      <c r="CT315" s="211"/>
      <c r="CU315" s="117">
        <f>Konvention_1slave-KOslave</f>
        <v>12</v>
      </c>
      <c r="CV315" s="119">
        <f>Konvention_1slave-KKslave</f>
        <v>12</v>
      </c>
      <c r="CW315" s="223">
        <f>(CO315+CP315+CQ315+CR315+CS315+CT315+CU315+CV315)/3</f>
        <v>12</v>
      </c>
      <c r="CX315" s="223">
        <f>2*CW315</f>
        <v>24</v>
      </c>
      <c r="CY315" s="224">
        <f>3*CW315</f>
        <v>36</v>
      </c>
      <c r="CZ315" s="237">
        <f>CO315*POWER(KLslave,SIGN(CP315))*POWER(INslave,SIGN(CQ315))*POWER(CHslave,SIGN(CR315))*POWER(FFslave,SIGN(CS315))*POWER(GEslave,SIGN(CT315))*POWER(KOslave,SIGN(CU315))*POWER(KKslave,SIGN(CV315))+CP315*POWER(MUslave,SIGN(CO315))*POWER(INslave,SIGN(CQ315))*POWER(CHslave,SIGN(CR315))*POWER(FFslave,SIGN(CS315))*POWER(GEslave,SIGN(CT315))*POWER(KOslave,SIGN(CU315))*POWER(KKslave,SIGN(CV315))+CQ315*POWER(MUslave,SIGN(CO315))*POWER(KLslave,SIGN(CP315))*POWER(CHslave,SIGN(CR315))*POWER(FFslave,SIGN(CS315))*POWER(GEslave,SIGN(CT315))*POWER(KOslave,SIGN(CU315))*POWER(KKslave,SIGN(CV315))+CR315*POWER(MUslave,SIGN(CO315))*POWER(KLslave,SIGN(CP315))*POWER(INslave,SIGN(CQ315))*POWER(FFslave,SIGN(CS315))*POWER(GEslave,SIGN(CT315))*POWER(KOslave,SIGN(CU315))*POWER(KKslave,SIGN(CV315))+CS315*POWER(MUslave,SIGN(CO315))*POWER(KLslave,SIGN(CP315))*POWER(INslave,SIGN(CQ315))*POWER(CHslave,SIGN(CR315))*POWER(GEslave,SIGN(CT315))*POWER(KOslave,SIGN(CU315))*POWER(KKslave,SIGN(CV315))+CT315*POWER(MUslave,SIGN(CO315))*POWER(KLslave,SIGN(CP315))*POWER(INslave,SIGN(CQ315))*POWER(CHslave,SIGN(CR315))*POWER(FFslave,SIGN(CS315))*POWER(KOslave,SIGN(CU315))*POWER(KKslave,SIGN(CV315))+CU315*POWER(MUslave,SIGN(CO315))*POWER(KLslave,SIGN(CP315))*POWER(INslave,SIGN(CQ315))*POWER(CHslave,SIGN(CR315))*POWER(FFslave,SIGN(CS315))*POWER(GEslave,SIGN(CT315))*POWER(KKslave,SIGN(CV315))+CV315*POWER(MUslave,SIGN(CO315))*POWER(KLslave,SIGN(CP315))*POWER(INslave,SIGN(CQ315))*POWER(CHslave,SIGN(CR315))*POWER(FFslave,SIGN(CS315))*POWER(GEslave,SIGN(CT315))*POWER(KOslave,SIGN(CU315))</f>
        <v>2304</v>
      </c>
      <c r="DA315" s="234">
        <f>CR315*CU315*KKslave+CR315*KOslave*CV315+CHslave*CU315*CV315</f>
        <v>3456</v>
      </c>
      <c r="DB315" s="224">
        <f>IFERROR(CO315^SIGN(CO315),1)*IFERROR(CP315^SIGN(CP315),1)*IFERROR(CQ315^SIGN(CQ315),1)*IFERROR(CR315^SIGN(CR315),1)*IFERROR(CS315^SIGN(CS315),1)*IFERROR(CT315^SIGN(CT315),1)*IFERROR(CU315^SIGN(CU315),1)*IFERROR(CV315^SIGN(CV315),1)</f>
        <v>1728</v>
      </c>
      <c r="DC315" s="224">
        <f t="shared" ref="DC315" si="2462">SUM(CZ315:DB315)</f>
        <v>7488</v>
      </c>
      <c r="DD315" s="222">
        <f>CW315*CZ315/DC315</f>
        <v>3.6923076923076925</v>
      </c>
      <c r="DE315" s="223">
        <f>CX315*DA315/DC315</f>
        <v>11.076923076923077</v>
      </c>
      <c r="DF315" s="243">
        <f>CY315*DB315/DC315</f>
        <v>8.3076923076923084</v>
      </c>
      <c r="DG315" s="243">
        <f>SUM(DD315:DF315)</f>
        <v>23.07692307692308</v>
      </c>
      <c r="DH315" s="252">
        <f t="shared" si="1848"/>
        <v>0</v>
      </c>
      <c r="DI315" s="324">
        <f>DG315-DH315</f>
        <v>23.07692307692308</v>
      </c>
      <c r="DJ315" s="304">
        <f>IF(DG315&lt;=0,3,0)+IF(DG315&gt;0,DG315+1,0)*3+IF(DG315&gt;12,DG315-12,0)*3+IF(DG315&gt;13,DG315-13,0)*3+IF(DG315&gt;14,DG315-14,0)*3+IF(DG315&gt;15,DG315-15,0)*3+IF(DG315&gt;16,DG315-16,0)*3+IF(DG315&gt;17,DG315-17,0)*3+IF(DG315&gt;18,DG315-18,0)*3+IF(DG315&gt;19,DG315-19,0)*3+IF(DG315&gt;20,DG315-20,0)*3</f>
        <v>263.30769230769232</v>
      </c>
      <c r="DK315" s="335">
        <f>IF(DH315&lt;=0,3,0)+IF(DH315&gt;0,DH315+1,0)*3+IF(DH315&gt;12,DH315-12,0)*3+IF(DH315&gt;13,DH315-13,0)*3+IF(DH315&gt;14,DH315-14,0)*3+IF(DH315&gt;15,DH315-15,0)*3+IF(DH315&gt;16,DH315-16,0)*3+IF(DH315&gt;17,DH315-17,0)*3+IF(DH315&gt;18,DH315-18,0)*3+IF(DH315&gt;19,DH315-19,0)*3+IF(DH315&gt;20,DH315-20,0)*3</f>
        <v>3</v>
      </c>
      <c r="DL315" s="243">
        <f>IF((DJ315-DK315)&gt;0,DJ315-DK315,0)</f>
        <v>260.30769230769232</v>
      </c>
      <c r="DM315" s="218">
        <f>IF((DK315-DJ315)&gt;0,DK315-DJ315,0)</f>
        <v>0</v>
      </c>
      <c r="DN315" s="248"/>
      <c r="DO315" s="303" t="s">
        <v>464</v>
      </c>
      <c r="DP315" s="218" t="s">
        <v>472</v>
      </c>
      <c r="DQ315" s="304" t="s">
        <v>135</v>
      </c>
      <c r="DR315" s="210"/>
      <c r="DS315" s="211"/>
      <c r="DT315" s="211"/>
      <c r="DU315" s="113">
        <f>Konvention_1slave-CHslave</f>
        <v>12</v>
      </c>
      <c r="DV315" s="211"/>
      <c r="DW315" s="211"/>
      <c r="DX315" s="117">
        <f>Konvention_1slave-KOslave</f>
        <v>12</v>
      </c>
      <c r="DY315" s="119">
        <f>Konvention_1slave-KKslave</f>
        <v>12</v>
      </c>
      <c r="DZ315" s="223">
        <f>(DR315+DS315+DT315+DU315+DV315+DW315+DX315+DY315)/3</f>
        <v>12</v>
      </c>
      <c r="EA315" s="223">
        <f>2*DZ315</f>
        <v>24</v>
      </c>
      <c r="EB315" s="224">
        <f>3*DZ315</f>
        <v>36</v>
      </c>
      <c r="EC315" s="237">
        <f>DR315*POWER(KLslave,SIGN(DS315))*POWER(INslave,SIGN(DT315))*POWER(CHslave,SIGN(DU315))*POWER(FFslave,SIGN(DV315))*POWER(GEslave,SIGN(DW315))*POWER(KOslave,SIGN(DX315))*POWER(KKslave,SIGN(DY315))+DS315*POWER(MUslave,SIGN(DR315))*POWER(INslave,SIGN(DT315))*POWER(CHslave,SIGN(DU315))*POWER(FFslave,SIGN(DV315))*POWER(GEslave,SIGN(DW315))*POWER(KOslave,SIGN(DX315))*POWER(KKslave,SIGN(DY315))+DT315*POWER(MUslave,SIGN(DR315))*POWER(KLslave,SIGN(DS315))*POWER(CHslave,SIGN(DU315))*POWER(FFslave,SIGN(DV315))*POWER(GEslave,SIGN(DW315))*POWER(KOslave,SIGN(DX315))*POWER(KKslave,SIGN(DY315))+DU315*POWER(MUslave,SIGN(DR315))*POWER(KLslave,SIGN(DS315))*POWER(INslave,SIGN(DT315))*POWER(FFslave,SIGN(DV315))*POWER(GEslave,SIGN(DW315))*POWER(KOslave,SIGN(DX315))*POWER(KKslave,SIGN(DY315))+DV315*POWER(MUslave,SIGN(DR315))*POWER(KLslave,SIGN(DS315))*POWER(INslave,SIGN(DT315))*POWER(CHslave,SIGN(DU315))*POWER(GEslave,SIGN(DW315))*POWER(KOslave,SIGN(DX315))*POWER(KKslave,SIGN(DY315))+DW315*POWER(MUslave,SIGN(DR315))*POWER(KLslave,SIGN(DS315))*POWER(INslave,SIGN(DT315))*POWER(CHslave,SIGN(DU315))*POWER(FFslave,SIGN(DV315))*POWER(KOslave,SIGN(DX315))*POWER(KKslave,SIGN(DY315))+DX315*POWER(MUslave,SIGN(DR315))*POWER(KLslave,SIGN(DS315))*POWER(INslave,SIGN(DT315))*POWER(CHslave,SIGN(DU315))*POWER(FFslave,SIGN(DV315))*POWER(GEslave,SIGN(DW315))*POWER(KKslave,SIGN(DY315))+DY315*POWER(MUslave,SIGN(DR315))*POWER(KLslave,SIGN(DS315))*POWER(INslave,SIGN(DT315))*POWER(CHslave,SIGN(DU315))*POWER(FFslave,SIGN(DV315))*POWER(GEslave,SIGN(DW315))*POWER(KOslave,SIGN(DX315))</f>
        <v>2304</v>
      </c>
      <c r="ED315" s="234">
        <f>DU315*DX315*KKslave+DU315*KOslave*DY315+CHslave*DX315*DY315</f>
        <v>3456</v>
      </c>
      <c r="EE315" s="224">
        <f>IFERROR(DR315^SIGN(DR315),1)*IFERROR(DS315^SIGN(DS315),1)*IFERROR(DT315^SIGN(DT315),1)*IFERROR(DU315^SIGN(DU315),1)*IFERROR(DV315^SIGN(DV315),1)*IFERROR(DW315^SIGN(DW315),1)*IFERROR(DX315^SIGN(DX315),1)*IFERROR(DY315^SIGN(DY315),1)</f>
        <v>1728</v>
      </c>
      <c r="EF315" s="224">
        <f t="shared" ref="EF315" si="2463">SUM(EC315:EE315)</f>
        <v>7488</v>
      </c>
      <c r="EG315" s="222">
        <f>DZ315*EC315/EF315</f>
        <v>3.6923076923076925</v>
      </c>
      <c r="EH315" s="223">
        <f>EA315*ED315/EF315</f>
        <v>11.076923076923077</v>
      </c>
      <c r="EI315" s="243">
        <f>EB315*EE315/EF315</f>
        <v>8.3076923076923084</v>
      </c>
      <c r="EJ315" s="243">
        <f>SUM(EG315:EI315)</f>
        <v>23.07692307692308</v>
      </c>
      <c r="EK315" s="252">
        <f t="shared" si="1863"/>
        <v>0</v>
      </c>
      <c r="EL315" s="324">
        <f>EJ315-EK315</f>
        <v>23.07692307692308</v>
      </c>
      <c r="EM315" s="304">
        <f>IF(EJ315&lt;=0,3,0)+IF(EJ315&gt;0,EJ315+1,0)*3+IF(EJ315&gt;12,EJ315-12,0)*3+IF(EJ315&gt;13,EJ315-13,0)*3+IF(EJ315&gt;14,EJ315-14,0)*3+IF(EJ315&gt;15,EJ315-15,0)*3+IF(EJ315&gt;16,EJ315-16,0)*3+IF(EJ315&gt;17,EJ315-17,0)*3+IF(EJ315&gt;18,EJ315-18,0)*3+IF(EJ315&gt;19,EJ315-19,0)*3+IF(EJ315&gt;20,EJ315-20,0)*3</f>
        <v>263.30769230769232</v>
      </c>
      <c r="EN315" s="335">
        <f>IF(EK315&lt;=0,3,0)+IF(EK315&gt;0,EK315+1,0)*3+IF(EK315&gt;12,EK315-12,0)*3+IF(EK315&gt;13,EK315-13,0)*3+IF(EK315&gt;14,EK315-14,0)*3+IF(EK315&gt;15,EK315-15,0)*3+IF(EK315&gt;16,EK315-16,0)*3+IF(EK315&gt;17,EK315-17,0)*3+IF(EK315&gt;18,EK315-18,0)*3+IF(EK315&gt;19,EK315-19,0)*3+IF(EK315&gt;20,EK315-20,0)*3</f>
        <v>3</v>
      </c>
      <c r="EO315" s="243">
        <f>IF((EM315-EN315)&gt;0,EM315-EN315,0)</f>
        <v>260.30769230769232</v>
      </c>
      <c r="EP315" s="218">
        <f>IF((EN315-EM315)&gt;0,EN315-EM315,0)</f>
        <v>0</v>
      </c>
      <c r="EQ315" s="248"/>
      <c r="ER315" s="303" t="s">
        <v>464</v>
      </c>
      <c r="ES315" s="218" t="s">
        <v>472</v>
      </c>
      <c r="ET315" s="304" t="s">
        <v>135</v>
      </c>
      <c r="EU315" s="210"/>
      <c r="EV315" s="211"/>
      <c r="EW315" s="211"/>
      <c r="EX315" s="113">
        <f>Konvention_1slave-CHslave</f>
        <v>12</v>
      </c>
      <c r="EY315" s="211"/>
      <c r="EZ315" s="211"/>
      <c r="FA315" s="117">
        <f>Konvention_1slave-KOslave</f>
        <v>12</v>
      </c>
      <c r="FB315" s="119">
        <f>Konvention_1slave-KKslave</f>
        <v>12</v>
      </c>
      <c r="FC315" s="223">
        <f>(EU315+EV315+EW315+EX315+EY315+EZ315+FA315+FB315)/3</f>
        <v>12</v>
      </c>
      <c r="FD315" s="223">
        <f>2*FC315</f>
        <v>24</v>
      </c>
      <c r="FE315" s="224">
        <f>3*FC315</f>
        <v>36</v>
      </c>
      <c r="FF315" s="237">
        <f>EU315*POWER(KLslave,SIGN(EV315))*POWER(INslave,SIGN(EW315))*POWER(CHslave,SIGN(EX315))*POWER(FFslave,SIGN(EY315))*POWER(GEslave,SIGN(EZ315))*POWER(KOslave,SIGN(FA315))*POWER(KKslave,SIGN(FB315))+EV315*POWER(MUslave,SIGN(EU315))*POWER(INslave,SIGN(EW315))*POWER(CHslave,SIGN(EX315))*POWER(FFslave,SIGN(EY315))*POWER(GEslave,SIGN(EZ315))*POWER(KOslave,SIGN(FA315))*POWER(KKslave,SIGN(FB315))+EW315*POWER(MUslave,SIGN(EU315))*POWER(KLslave,SIGN(EV315))*POWER(CHslave,SIGN(EX315))*POWER(FFslave,SIGN(EY315))*POWER(GEslave,SIGN(EZ315))*POWER(KOslave,SIGN(FA315))*POWER(KKslave,SIGN(FB315))+EX315*POWER(MUslave,SIGN(EU315))*POWER(KLslave,SIGN(EV315))*POWER(INslave,SIGN(EW315))*POWER(FFslave,SIGN(EY315))*POWER(GEslave,SIGN(EZ315))*POWER(KOslave,SIGN(FA315))*POWER(KKslave,SIGN(FB315))+EY315*POWER(MUslave,SIGN(EU315))*POWER(KLslave,SIGN(EV315))*POWER(INslave,SIGN(EW315))*POWER(CHslave,SIGN(EX315))*POWER(GEslave,SIGN(EZ315))*POWER(KOslave,SIGN(FA315))*POWER(KKslave,SIGN(FB315))+EZ315*POWER(MUslave,SIGN(EU315))*POWER(KLslave,SIGN(EV315))*POWER(INslave,SIGN(EW315))*POWER(CHslave,SIGN(EX315))*POWER(FFslave,SIGN(EY315))*POWER(KOslave,SIGN(FA315))*POWER(KKslave,SIGN(FB315))+FA315*POWER(MUslave,SIGN(EU315))*POWER(KLslave,SIGN(EV315))*POWER(INslave,SIGN(EW315))*POWER(CHslave,SIGN(EX315))*POWER(FFslave,SIGN(EY315))*POWER(GEslave,SIGN(EZ315))*POWER(KKslave,SIGN(FB315))+FB315*POWER(MUslave,SIGN(EU315))*POWER(KLslave,SIGN(EV315))*POWER(INslave,SIGN(EW315))*POWER(CHslave,SIGN(EX315))*POWER(FFslave,SIGN(EY315))*POWER(GEslave,SIGN(EZ315))*POWER(KOslave,SIGN(FA315))</f>
        <v>2304</v>
      </c>
      <c r="FG315" s="234">
        <f>EX315*FA315*KKslave+EX315*KOslave*FB315+CHslave*FA315*FB315</f>
        <v>3456</v>
      </c>
      <c r="FH315" s="224">
        <f>IFERROR(EU315^SIGN(EU315),1)*IFERROR(EV315^SIGN(EV315),1)*IFERROR(EW315^SIGN(EW315),1)*IFERROR(EX315^SIGN(EX315),1)*IFERROR(EY315^SIGN(EY315),1)*IFERROR(EZ315^SIGN(EZ315),1)*IFERROR(FA315^SIGN(FA315),1)*IFERROR(FB315^SIGN(FB315),1)</f>
        <v>1728</v>
      </c>
      <c r="FI315" s="224">
        <f t="shared" ref="FI315" si="2464">SUM(FF315:FH315)</f>
        <v>7488</v>
      </c>
      <c r="FJ315" s="222">
        <f>FC315*FF315/FI315</f>
        <v>3.6923076923076925</v>
      </c>
      <c r="FK315" s="223">
        <f>FD315*FG315/FI315</f>
        <v>11.076923076923077</v>
      </c>
      <c r="FL315" s="243">
        <f>FE315*FH315/FI315</f>
        <v>8.3076923076923084</v>
      </c>
      <c r="FM315" s="243">
        <f>SUM(FJ315:FL315)</f>
        <v>23.07692307692308</v>
      </c>
      <c r="FN315" s="252">
        <f t="shared" si="1878"/>
        <v>0</v>
      </c>
      <c r="FO315" s="324">
        <f>FM315-FN315</f>
        <v>23.07692307692308</v>
      </c>
      <c r="FP315" s="304">
        <f>IF(FM315&lt;=0,3,0)+IF(FM315&gt;0,FM315+1,0)*3+IF(FM315&gt;12,FM315-12,0)*3+IF(FM315&gt;13,FM315-13,0)*3+IF(FM315&gt;14,FM315-14,0)*3+IF(FM315&gt;15,FM315-15,0)*3+IF(FM315&gt;16,FM315-16,0)*3+IF(FM315&gt;17,FM315-17,0)*3+IF(FM315&gt;18,FM315-18,0)*3+IF(FM315&gt;19,FM315-19,0)*3+IF(FM315&gt;20,FM315-20,0)*3</f>
        <v>263.30769230769232</v>
      </c>
      <c r="FQ315" s="335">
        <f>IF(FN315&lt;=0,3,0)+IF(FN315&gt;0,FN315+1,0)*3+IF(FN315&gt;12,FN315-12,0)*3+IF(FN315&gt;13,FN315-13,0)*3+IF(FN315&gt;14,FN315-14,0)*3+IF(FN315&gt;15,FN315-15,0)*3+IF(FN315&gt;16,FN315-16,0)*3+IF(FN315&gt;17,FN315-17,0)*3+IF(FN315&gt;18,FN315-18,0)*3+IF(FN315&gt;19,FN315-19,0)*3+IF(FN315&gt;20,FN315-20,0)*3</f>
        <v>3</v>
      </c>
      <c r="FR315" s="243">
        <f>IF((FP315-FQ315)&gt;0,FP315-FQ315,0)</f>
        <v>260.30769230769232</v>
      </c>
      <c r="FS315" s="218">
        <f>IF((FQ315-FP315)&gt;0,FQ315-FP315,0)</f>
        <v>0</v>
      </c>
      <c r="FT315" s="248"/>
      <c r="FU315" s="303" t="s">
        <v>464</v>
      </c>
      <c r="FV315" s="218" t="s">
        <v>472</v>
      </c>
      <c r="FW315" s="304" t="s">
        <v>135</v>
      </c>
      <c r="FX315" s="210"/>
      <c r="FY315" s="211"/>
      <c r="FZ315" s="211"/>
      <c r="GA315" s="113">
        <f>Konvention_1slave-CHslave</f>
        <v>12</v>
      </c>
      <c r="GB315" s="211"/>
      <c r="GC315" s="211"/>
      <c r="GD315" s="117">
        <f>Konvention_1slave-KOslave</f>
        <v>12</v>
      </c>
      <c r="GE315" s="119">
        <f>Konvention_1slave-KKslave</f>
        <v>12</v>
      </c>
      <c r="GF315" s="223">
        <f>(FX315+FY315+FZ315+GA315+GB315+GC315+GD315+GE315)/3</f>
        <v>12</v>
      </c>
      <c r="GG315" s="223">
        <f>2*GF315</f>
        <v>24</v>
      </c>
      <c r="GH315" s="224">
        <f>3*GF315</f>
        <v>36</v>
      </c>
      <c r="GI315" s="237">
        <f>FX315*POWER(KLslave,SIGN(FY315))*POWER(INslave,SIGN(FZ315))*POWER(CHslave,SIGN(GA315))*POWER(FFslave,SIGN(GB315))*POWER(GEslave,SIGN(GC315))*POWER(KOslave,SIGN(GD315))*POWER(KKslave,SIGN(GE315))+FY315*POWER(MUslave,SIGN(FX315))*POWER(INslave,SIGN(FZ315))*POWER(CHslave,SIGN(GA315))*POWER(FFslave,SIGN(GB315))*POWER(GEslave,SIGN(GC315))*POWER(KOslave,SIGN(GD315))*POWER(KKslave,SIGN(GE315))+FZ315*POWER(MUslave,SIGN(FX315))*POWER(KLslave,SIGN(FY315))*POWER(CHslave,SIGN(GA315))*POWER(FFslave,SIGN(GB315))*POWER(GEslave,SIGN(GC315))*POWER(KOslave,SIGN(GD315))*POWER(KKslave,SIGN(GE315))+GA315*POWER(MUslave,SIGN(FX315))*POWER(KLslave,SIGN(FY315))*POWER(INslave,SIGN(FZ315))*POWER(FFslave,SIGN(GB315))*POWER(GEslave,SIGN(GC315))*POWER(KOslave,SIGN(GD315))*POWER(KKslave,SIGN(GE315))+GB315*POWER(MUslave,SIGN(FX315))*POWER(KLslave,SIGN(FY315))*POWER(INslave,SIGN(FZ315))*POWER(CHslave,SIGN(GA315))*POWER(GEslave,SIGN(GC315))*POWER(KOslave,SIGN(GD315))*POWER(KKslave,SIGN(GE315))+GC315*POWER(MUslave,SIGN(FX315))*POWER(KLslave,SIGN(FY315))*POWER(INslave,SIGN(FZ315))*POWER(CHslave,SIGN(GA315))*POWER(FFslave,SIGN(GB315))*POWER(KOslave,SIGN(GD315))*POWER(KKslave,SIGN(GE315))+GD315*POWER(MUslave,SIGN(FX315))*POWER(KLslave,SIGN(FY315))*POWER(INslave,SIGN(FZ315))*POWER(CHslave,SIGN(GA315))*POWER(FFslave,SIGN(GB315))*POWER(GEslave,SIGN(GC315))*POWER(KKslave,SIGN(GE315))+GE315*POWER(MUslave,SIGN(FX315))*POWER(KLslave,SIGN(FY315))*POWER(INslave,SIGN(FZ315))*POWER(CHslave,SIGN(GA315))*POWER(FFslave,SIGN(GB315))*POWER(GEslave,SIGN(GC315))*POWER(KOslave,SIGN(GD315))</f>
        <v>2304</v>
      </c>
      <c r="GJ315" s="234">
        <f>GA315*GD315*KKslave+GA315*KOslave*GE315+CHslave*GD315*GE315</f>
        <v>3456</v>
      </c>
      <c r="GK315" s="224">
        <f>IFERROR(FX315^SIGN(FX315),1)*IFERROR(FY315^SIGN(FY315),1)*IFERROR(FZ315^SIGN(FZ315),1)*IFERROR(GA315^SIGN(GA315),1)*IFERROR(GB315^SIGN(GB315),1)*IFERROR(GC315^SIGN(GC315),1)*IFERROR(GD315^SIGN(GD315),1)*IFERROR(GE315^SIGN(GE315),1)</f>
        <v>1728</v>
      </c>
      <c r="GL315" s="224">
        <f t="shared" ref="GL315" si="2465">SUM(GI315:GK315)</f>
        <v>7488</v>
      </c>
      <c r="GM315" s="222">
        <f>GF315*GI315/GL315</f>
        <v>3.6923076923076925</v>
      </c>
      <c r="GN315" s="223">
        <f>GG315*GJ315/GL315</f>
        <v>11.076923076923077</v>
      </c>
      <c r="GO315" s="243">
        <f>GH315*GK315/GL315</f>
        <v>8.3076923076923084</v>
      </c>
      <c r="GP315" s="243">
        <f>SUM(GM315:GO315)</f>
        <v>23.07692307692308</v>
      </c>
      <c r="GQ315" s="252">
        <f t="shared" si="1893"/>
        <v>0</v>
      </c>
      <c r="GR315" s="324">
        <f>GP315-GQ315</f>
        <v>23.07692307692308</v>
      </c>
      <c r="GS315" s="304">
        <f>IF(GP315&lt;=0,3,0)+IF(GP315&gt;0,GP315+1,0)*3+IF(GP315&gt;12,GP315-12,0)*3+IF(GP315&gt;13,GP315-13,0)*3+IF(GP315&gt;14,GP315-14,0)*3+IF(GP315&gt;15,GP315-15,0)*3+IF(GP315&gt;16,GP315-16,0)*3+IF(GP315&gt;17,GP315-17,0)*3+IF(GP315&gt;18,GP315-18,0)*3+IF(GP315&gt;19,GP315-19,0)*3+IF(GP315&gt;20,GP315-20,0)*3</f>
        <v>263.30769230769232</v>
      </c>
      <c r="GT315" s="335">
        <f>IF(GQ315&lt;=0,3,0)+IF(GQ315&gt;0,GQ315+1,0)*3+IF(GQ315&gt;12,GQ315-12,0)*3+IF(GQ315&gt;13,GQ315-13,0)*3+IF(GQ315&gt;14,GQ315-14,0)*3+IF(GQ315&gt;15,GQ315-15,0)*3+IF(GQ315&gt;16,GQ315-16,0)*3+IF(GQ315&gt;17,GQ315-17,0)*3+IF(GQ315&gt;18,GQ315-18,0)*3+IF(GQ315&gt;19,GQ315-19,0)*3+IF(GQ315&gt;20,GQ315-20,0)*3</f>
        <v>3</v>
      </c>
      <c r="GU315" s="243">
        <f>IF((GS315-GT315)&gt;0,GS315-GT315,0)</f>
        <v>260.30769230769232</v>
      </c>
      <c r="GV315" s="218">
        <f>IF((GT315-GS315)&gt;0,GT315-GS315,0)</f>
        <v>0</v>
      </c>
      <c r="GW315" s="248"/>
      <c r="GX315" s="303" t="s">
        <v>464</v>
      </c>
      <c r="GY315" s="218" t="s">
        <v>472</v>
      </c>
      <c r="GZ315" s="304" t="s">
        <v>135</v>
      </c>
      <c r="HA315" s="210"/>
      <c r="HB315" s="211"/>
      <c r="HC315" s="211"/>
      <c r="HD315" s="113">
        <f>Konvention_1slave-CHslave</f>
        <v>12</v>
      </c>
      <c r="HE315" s="211"/>
      <c r="HF315" s="211"/>
      <c r="HG315" s="117">
        <f>Konvention_1slave-KOslave</f>
        <v>12</v>
      </c>
      <c r="HH315" s="119">
        <f>Konvention_1slave-KKslave</f>
        <v>12</v>
      </c>
      <c r="HI315" s="223">
        <f>(HA315+HB315+HC315+HD315+HE315+HF315+HG315+HH315)/3</f>
        <v>12</v>
      </c>
      <c r="HJ315" s="223">
        <f>2*HI315</f>
        <v>24</v>
      </c>
      <c r="HK315" s="224">
        <f>3*HI315</f>
        <v>36</v>
      </c>
      <c r="HL315" s="237">
        <f>HA315*POWER(KLslave,SIGN(HB315))*POWER(INslave,SIGN(HC315))*POWER(CHslave,SIGN(HD315))*POWER(FFslave,SIGN(HE315))*POWER(GEslave,SIGN(HF315))*POWER(KOslave,SIGN(HG315))*POWER(KKslave,SIGN(HH315))+HB315*POWER(MUslave,SIGN(HA315))*POWER(INslave,SIGN(HC315))*POWER(CHslave,SIGN(HD315))*POWER(FFslave,SIGN(HE315))*POWER(GEslave,SIGN(HF315))*POWER(KOslave,SIGN(HG315))*POWER(KKslave,SIGN(HH315))+HC315*POWER(MUslave,SIGN(HA315))*POWER(KLslave,SIGN(HB315))*POWER(CHslave,SIGN(HD315))*POWER(FFslave,SIGN(HE315))*POWER(GEslave,SIGN(HF315))*POWER(KOslave,SIGN(HG315))*POWER(KKslave,SIGN(HH315))+HD315*POWER(MUslave,SIGN(HA315))*POWER(KLslave,SIGN(HB315))*POWER(INslave,SIGN(HC315))*POWER(FFslave,SIGN(HE315))*POWER(GEslave,SIGN(HF315))*POWER(KOslave,SIGN(HG315))*POWER(KKslave,SIGN(HH315))+HE315*POWER(MUslave,SIGN(HA315))*POWER(KLslave,SIGN(HB315))*POWER(INslave,SIGN(HC315))*POWER(CHslave,SIGN(HD315))*POWER(GEslave,SIGN(HF315))*POWER(KOslave,SIGN(HG315))*POWER(KKslave,SIGN(HH315))+HF315*POWER(MUslave,SIGN(HA315))*POWER(KLslave,SIGN(HB315))*POWER(INslave,SIGN(HC315))*POWER(CHslave,SIGN(HD315))*POWER(FFslave,SIGN(HE315))*POWER(KOslave,SIGN(HG315))*POWER(KKslave,SIGN(HH315))+HG315*POWER(MUslave,SIGN(HA315))*POWER(KLslave,SIGN(HB315))*POWER(INslave,SIGN(HC315))*POWER(CHslave,SIGN(HD315))*POWER(FFslave,SIGN(HE315))*POWER(GEslave,SIGN(HF315))*POWER(KKslave,SIGN(HH315))+HH315*POWER(MUslave,SIGN(HA315))*POWER(KLslave,SIGN(HB315))*POWER(INslave,SIGN(HC315))*POWER(CHslave,SIGN(HD315))*POWER(FFslave,SIGN(HE315))*POWER(GEslave,SIGN(HF315))*POWER(KOslave,SIGN(HG315))</f>
        <v>2304</v>
      </c>
      <c r="HM315" s="234">
        <f>HD315*HG315*KKslave+HD315*KOslave*HH315+CHslave*HG315*HH315</f>
        <v>3456</v>
      </c>
      <c r="HN315" s="224">
        <f>IFERROR(HA315^SIGN(HA315),1)*IFERROR(HB315^SIGN(HB315),1)*IFERROR(HC315^SIGN(HC315),1)*IFERROR(HD315^SIGN(HD315),1)*IFERROR(HE315^SIGN(HE315),1)*IFERROR(HF315^SIGN(HF315),1)*IFERROR(HG315^SIGN(HG315),1)*IFERROR(HH315^SIGN(HH315),1)</f>
        <v>1728</v>
      </c>
      <c r="HO315" s="224">
        <f t="shared" ref="HO315" si="2466">SUM(HL315:HN315)</f>
        <v>7488</v>
      </c>
      <c r="HP315" s="222">
        <f>HI315*HL315/HO315</f>
        <v>3.6923076923076925</v>
      </c>
      <c r="HQ315" s="223">
        <f>HJ315*HM315/HO315</f>
        <v>11.076923076923077</v>
      </c>
      <c r="HR315" s="243">
        <f>HK315*HN315/HO315</f>
        <v>8.3076923076923084</v>
      </c>
      <c r="HS315" s="243">
        <f>SUM(HP315:HR315)</f>
        <v>23.07692307692308</v>
      </c>
      <c r="HT315" s="252">
        <f t="shared" si="1908"/>
        <v>0</v>
      </c>
      <c r="HU315" s="324">
        <f>HS315-HT315</f>
        <v>23.07692307692308</v>
      </c>
      <c r="HV315" s="304">
        <f>IF(HS315&lt;=0,3,0)+IF(HS315&gt;0,HS315+1,0)*3+IF(HS315&gt;12,HS315-12,0)*3+IF(HS315&gt;13,HS315-13,0)*3+IF(HS315&gt;14,HS315-14,0)*3+IF(HS315&gt;15,HS315-15,0)*3+IF(HS315&gt;16,HS315-16,0)*3+IF(HS315&gt;17,HS315-17,0)*3+IF(HS315&gt;18,HS315-18,0)*3+IF(HS315&gt;19,HS315-19,0)*3+IF(HS315&gt;20,HS315-20,0)*3</f>
        <v>263.30769230769232</v>
      </c>
      <c r="HW315" s="335">
        <f>IF(HT315&lt;=0,3,0)+IF(HT315&gt;0,HT315+1,0)*3+IF(HT315&gt;12,HT315-12,0)*3+IF(HT315&gt;13,HT315-13,0)*3+IF(HT315&gt;14,HT315-14,0)*3+IF(HT315&gt;15,HT315-15,0)*3+IF(HT315&gt;16,HT315-16,0)*3+IF(HT315&gt;17,HT315-17,0)*3+IF(HT315&gt;18,HT315-18,0)*3+IF(HT315&gt;19,HT315-19,0)*3+IF(HT315&gt;20,HT315-20,0)*3</f>
        <v>3</v>
      </c>
      <c r="HX315" s="243">
        <f>IF((HV315-HW315)&gt;0,HV315-HW315,0)</f>
        <v>260.30769230769232</v>
      </c>
      <c r="HY315" s="218">
        <f>IF((HW315-HV315)&gt;0,HW315-HV315,0)</f>
        <v>0</v>
      </c>
      <c r="HZ315" s="248"/>
      <c r="IA315" s="303" t="s">
        <v>464</v>
      </c>
      <c r="IB315" s="218" t="s">
        <v>472</v>
      </c>
      <c r="IC315" s="304" t="s">
        <v>135</v>
      </c>
      <c r="ID315" s="210"/>
      <c r="IE315" s="211"/>
      <c r="IF315" s="211"/>
      <c r="IG315" s="113">
        <f>Konvention_1slave-CHslave</f>
        <v>12</v>
      </c>
      <c r="IH315" s="211"/>
      <c r="II315" s="211"/>
      <c r="IJ315" s="117">
        <f>Konvention_1slave-KOslave</f>
        <v>12</v>
      </c>
      <c r="IK315" s="119">
        <f>Konvention_1slave-KKslave</f>
        <v>12</v>
      </c>
      <c r="IL315" s="223">
        <f>(ID315+IE315+IF315+IG315+IH315+II315+IJ315+IK315)/3</f>
        <v>12</v>
      </c>
      <c r="IM315" s="223">
        <f>2*IL315</f>
        <v>24</v>
      </c>
      <c r="IN315" s="224">
        <f>3*IL315</f>
        <v>36</v>
      </c>
      <c r="IO315" s="237">
        <f>ID315*POWER(KLslave,SIGN(IE315))*POWER(INslave,SIGN(IF315))*POWER(CHslave,SIGN(IG315))*POWER(FFslave,SIGN(IH315))*POWER(GEslave,SIGN(II315))*POWER(KOslave,SIGN(IJ315))*POWER(KKslave,SIGN(IK315))+IE315*POWER(MUslave,SIGN(ID315))*POWER(INslave,SIGN(IF315))*POWER(CHslave,SIGN(IG315))*POWER(FFslave,SIGN(IH315))*POWER(GEslave,SIGN(II315))*POWER(KOslave,SIGN(IJ315))*POWER(KKslave,SIGN(IK315))+IF315*POWER(MUslave,SIGN(ID315))*POWER(KLslave,SIGN(IE315))*POWER(CHslave,SIGN(IG315))*POWER(FFslave,SIGN(IH315))*POWER(GEslave,SIGN(II315))*POWER(KOslave,SIGN(IJ315))*POWER(KKslave,SIGN(IK315))+IG315*POWER(MUslave,SIGN(ID315))*POWER(KLslave,SIGN(IE315))*POWER(INslave,SIGN(IF315))*POWER(FFslave,SIGN(IH315))*POWER(GEslave,SIGN(II315))*POWER(KOslave,SIGN(IJ315))*POWER(KKslave,SIGN(IK315))+IH315*POWER(MUslave,SIGN(ID315))*POWER(KLslave,SIGN(IE315))*POWER(INslave,SIGN(IF315))*POWER(CHslave,SIGN(IG315))*POWER(GEslave,SIGN(II315))*POWER(KOslave,SIGN(IJ315))*POWER(KKslave,SIGN(IK315))+II315*POWER(MUslave,SIGN(ID315))*POWER(KLslave,SIGN(IE315))*POWER(INslave,SIGN(IF315))*POWER(CHslave,SIGN(IG315))*POWER(FFslave,SIGN(IH315))*POWER(KOslave,SIGN(IJ315))*POWER(KKslave,SIGN(IK315))+IJ315*POWER(MUslave,SIGN(ID315))*POWER(KLslave,SIGN(IE315))*POWER(INslave,SIGN(IF315))*POWER(CHslave,SIGN(IG315))*POWER(FFslave,SIGN(IH315))*POWER(GEslave,SIGN(II315))*POWER(KKslave,SIGN(IK315))+IK315*POWER(MUslave,SIGN(ID315))*POWER(KLslave,SIGN(IE315))*POWER(INslave,SIGN(IF315))*POWER(CHslave,SIGN(IG315))*POWER(FFslave,SIGN(IH315))*POWER(GEslave,SIGN(II315))*POWER(KOslave,SIGN(IJ315))</f>
        <v>2304</v>
      </c>
      <c r="IP315" s="234">
        <f>IG315*IJ315*KKslave+IG315*KOslave*IK315+CHslave*IJ315*IK315</f>
        <v>3456</v>
      </c>
      <c r="IQ315" s="224">
        <f>IFERROR(ID315^SIGN(ID315),1)*IFERROR(IE315^SIGN(IE315),1)*IFERROR(IF315^SIGN(IF315),1)*IFERROR(IG315^SIGN(IG315),1)*IFERROR(IH315^SIGN(IH315),1)*IFERROR(II315^SIGN(II315),1)*IFERROR(IJ315^SIGN(IJ315),1)*IFERROR(IK315^SIGN(IK315),1)</f>
        <v>1728</v>
      </c>
      <c r="IR315" s="224">
        <f t="shared" ref="IR315" si="2467">SUM(IO315:IQ315)</f>
        <v>7488</v>
      </c>
      <c r="IS315" s="222">
        <f>IL315*IO315/IR315</f>
        <v>3.6923076923076925</v>
      </c>
      <c r="IT315" s="223">
        <f>IM315*IP315/IR315</f>
        <v>11.076923076923077</v>
      </c>
      <c r="IU315" s="243">
        <f>IN315*IQ315/IR315</f>
        <v>8.3076923076923084</v>
      </c>
      <c r="IV315" s="243">
        <f>SUM(IS315:IU315)</f>
        <v>23.07692307692308</v>
      </c>
      <c r="IW315" s="252">
        <f t="shared" si="1923"/>
        <v>0</v>
      </c>
      <c r="IX315" s="324">
        <f>IV315-IW315</f>
        <v>23.07692307692308</v>
      </c>
      <c r="IY315" s="304">
        <f>IF(IV315&lt;=0,3,0)+IF(IV315&gt;0,IV315+1,0)*3+IF(IV315&gt;12,IV315-12,0)*3+IF(IV315&gt;13,IV315-13,0)*3+IF(IV315&gt;14,IV315-14,0)*3+IF(IV315&gt;15,IV315-15,0)*3+IF(IV315&gt;16,IV315-16,0)*3+IF(IV315&gt;17,IV315-17,0)*3+IF(IV315&gt;18,IV315-18,0)*3+IF(IV315&gt;19,IV315-19,0)*3+IF(IV315&gt;20,IV315-20,0)*3</f>
        <v>263.30769230769232</v>
      </c>
      <c r="IZ315" s="335">
        <f>IF(IW315&lt;=0,3,0)+IF(IW315&gt;0,IW315+1,0)*3+IF(IW315&gt;12,IW315-12,0)*3+IF(IW315&gt;13,IW315-13,0)*3+IF(IW315&gt;14,IW315-14,0)*3+IF(IW315&gt;15,IW315-15,0)*3+IF(IW315&gt;16,IW315-16,0)*3+IF(IW315&gt;17,IW315-17,0)*3+IF(IW315&gt;18,IW315-18,0)*3+IF(IW315&gt;19,IW315-19,0)*3+IF(IW315&gt;20,IW315-20,0)*3</f>
        <v>3</v>
      </c>
      <c r="JA315" s="243">
        <f>IF((IY315-IZ315)&gt;0,IY315-IZ315,0)</f>
        <v>260.30769230769232</v>
      </c>
      <c r="JB315" s="218">
        <f>IF((IZ315-IY315)&gt;0,IZ315-IY315,0)</f>
        <v>0</v>
      </c>
    </row>
    <row r="316" spans="1:265" ht="15" hidden="1" customHeight="1" outlineLevel="2">
      <c r="A316" s="185"/>
      <c r="B316" s="217">
        <v>19</v>
      </c>
      <c r="C316" s="303" t="e">
        <f>VLOOKUP(AF316,Attribute!C:T,1,FALSE)</f>
        <v>#N/A</v>
      </c>
      <c r="D316" s="218" t="s">
        <v>86</v>
      </c>
      <c r="E316" s="304" t="s">
        <v>135</v>
      </c>
      <c r="F316" s="114">
        <f>Konvention_1master-MUmaster</f>
        <v>12</v>
      </c>
      <c r="G316" s="113"/>
      <c r="H316" s="113">
        <f>Konvention_1master-INmaster</f>
        <v>12</v>
      </c>
      <c r="I316" s="113">
        <f>Konvention_1master-CHmaster</f>
        <v>12</v>
      </c>
      <c r="J316" s="113"/>
      <c r="K316" s="113"/>
      <c r="L316" s="113"/>
      <c r="M316" s="119"/>
      <c r="N316" s="223">
        <f t="shared" ref="N316" si="2468">(F316+G316+H316+I316+J316+K316+L316+M316)/3</f>
        <v>12</v>
      </c>
      <c r="O316" s="223">
        <f t="shared" ref="O316" si="2469">2*N316</f>
        <v>24</v>
      </c>
      <c r="P316" s="224">
        <f t="shared" ref="P316" si="2470">3*N316</f>
        <v>36</v>
      </c>
      <c r="Q316" s="237">
        <f t="shared" ref="Q316" si="2471">F316*POWER(KLmaster,SIGN(G316))*POWER(INmaster,SIGN(H316))*POWER(CHmaster,SIGN(I316))*POWER(FFmaster,SIGN(J316))*POWER(GEmaster,SIGN(K316))*POWER(KOmaster,SIGN(L316))*POWER(KKmaster,SIGN(M316))+G316*POWER(MUmaster,SIGN(F316))*POWER(INmaster,SIGN(H316))*POWER(CHmaster,SIGN(I316))*POWER(FFmaster,SIGN(J316))*POWER(GEmaster,SIGN(K316))*POWER(KOmaster,SIGN(L316))*POWER(KKmaster,SIGN(M316))+H316*POWER(MUmaster,SIGN(F316))*POWER(KLmaster,SIGN(G316))*POWER(CHmaster,SIGN(I316))*POWER(FFmaster,SIGN(J316))*POWER(GEmaster,SIGN(K316))*POWER(KOmaster,SIGN(L316))*POWER(KKmaster,SIGN(M316))+I316*POWER(MUmaster,SIGN(F316))*POWER(KLmaster,SIGN(G316))*POWER(INmaster,SIGN(H316))*POWER(FFmaster,SIGN(J316))*POWER(GEmaster,SIGN(K316))*POWER(KOmaster,SIGN(L316))*POWER(KKmaster,SIGN(M316))+J316*POWER(MUmaster,SIGN(F316))*POWER(KLmaster,SIGN(G316))*POWER(INmaster,SIGN(H316))*POWER(CHmaster,SIGN(I316))*POWER(GEmaster,SIGN(K316))*POWER(KOmaster,SIGN(L316))*POWER(KKmaster,SIGN(M316))+K316*POWER(MUmaster,SIGN(F316))*POWER(KLmaster,SIGN(G316))*POWER(INmaster,SIGN(H316))*POWER(CHmaster,SIGN(I316))*POWER(FFmaster,SIGN(J316))*POWER(KOmaster,SIGN(L316))*POWER(KKmaster,SIGN(M316))+L316*POWER(MUmaster,SIGN(F316))*POWER(KLmaster,SIGN(G316))*POWER(INmaster,SIGN(H316))*POWER(CHmaster,SIGN(I316))*POWER(FFmaster,SIGN(J316))*POWER(GEmaster,SIGN(K316))*POWER(KKmaster,SIGN(M316))+M316*POWER(MUmaster,SIGN(F316))*POWER(KLmaster,SIGN(G316))*POWER(INmaster,SIGN(H316))*POWER(CHmaster,SIGN(I316))*POWER(FFmaster,SIGN(J316))*POWER(GEmaster,SIGN(K316))*POWER(KOmaster,SIGN(L316))</f>
        <v>2304</v>
      </c>
      <c r="R316" s="113">
        <f>F316*H316*CHmaster+F316*INmaster*I316+MUmaster*H316*I316</f>
        <v>3456</v>
      </c>
      <c r="S316" s="224">
        <f t="shared" ref="S316" si="2472">IFERROR(F316^SIGN(F316),1)*IFERROR(G316^SIGN(G316),1)*IFERROR(H316^SIGN(H316),1)*IFERROR(I316^SIGN(I316),1)*IFERROR(J316^SIGN(J316),1)*IFERROR(K316^SIGN(K316),1)*IFERROR(L316^SIGN(L316),1)*IFERROR(M316^SIGN(M316),1)</f>
        <v>1728</v>
      </c>
      <c r="T316" s="224">
        <f t="shared" ref="T316" si="2473">SUM(Q316:S316)</f>
        <v>7488</v>
      </c>
      <c r="U316" s="222">
        <f t="shared" ref="U316" si="2474">N316*Q316/T316</f>
        <v>3.6923076923076925</v>
      </c>
      <c r="V316" s="223">
        <f t="shared" ref="V316" si="2475">O316*R316/T316</f>
        <v>11.076923076923077</v>
      </c>
      <c r="W316" s="243">
        <f t="shared" ref="W316" si="2476">P316*S316/T316</f>
        <v>8.3076923076923084</v>
      </c>
      <c r="X316" s="243">
        <f t="shared" ref="X316" si="2477">SUM(U316:W316)</f>
        <v>23.07692307692308</v>
      </c>
      <c r="Y316" s="252">
        <v>0</v>
      </c>
      <c r="Z316" s="324">
        <f t="shared" ref="Z316" si="2478">X316-Y316</f>
        <v>23.07692307692308</v>
      </c>
      <c r="AA316" s="304">
        <f>IF(X316&lt;=0,3,0)+IF(X316&gt;0,X316+1,0)*3+IF(X316&gt;12,X316-12,0)*3+IF(X316&gt;13,X316-13,0)*3+IF(X316&gt;14,X316-14,0)*3+IF(X316&gt;15,X316-15,0)*3+IF(X316&gt;16,X316-16,0)*3+IF(X316&gt;17,X316-17,0)*3+IF(X316&gt;18,X316-18,0)*3+IF(X316&gt;19,X316-19,0)*3+IF(X316&gt;20,X316-20,0)*3</f>
        <v>263.30769230769232</v>
      </c>
      <c r="AB316" s="335">
        <f>IF(Y316&lt;=0,3,0)+IF(Y316&gt;0,Y316+1,0)*3+IF(Y316&gt;12,Y316-12,0)*3+IF(Y316&gt;13,Y316-13,0)*3+IF(Y316&gt;14,Y316-14,0)*3+IF(Y316&gt;15,Y316-15,0)*3+IF(Y316&gt;16,Y316-16,0)*3+IF(Y316&gt;17,Y316-17,0)*3+IF(Y316&gt;18,Y316-18,0)*3+IF(Y316&gt;19,Y316-19,0)*3+IF(Y316&gt;20,Y316-20,0)*3</f>
        <v>3</v>
      </c>
      <c r="AC316" s="243">
        <f t="shared" ref="AC316" si="2479">IF((AA316-AB316)&gt;0,AA316-AB316,0)</f>
        <v>260.30769230769232</v>
      </c>
      <c r="AD316" s="218">
        <f t="shared" ref="AD316" si="2480">IF((AB316-AA316)&gt;0,AB316-AA316,0)</f>
        <v>0</v>
      </c>
      <c r="AE316" s="140"/>
      <c r="AF316" s="303" t="s">
        <v>465</v>
      </c>
      <c r="AG316" s="218" t="s">
        <v>86</v>
      </c>
      <c r="AH316" s="304" t="s">
        <v>135</v>
      </c>
      <c r="AI316" s="114">
        <f>Konvention_1slave-MUslave_MU</f>
        <v>11</v>
      </c>
      <c r="AJ316" s="113"/>
      <c r="AK316" s="113">
        <f>Konvention_1slave-INslave</f>
        <v>12</v>
      </c>
      <c r="AL316" s="113">
        <f>Konvention_1slave-CHslave</f>
        <v>12</v>
      </c>
      <c r="AM316" s="113"/>
      <c r="AN316" s="113"/>
      <c r="AO316" s="113"/>
      <c r="AP316" s="119"/>
      <c r="AQ316" s="223">
        <f t="shared" ref="AQ316" si="2481">(AI316+AJ316+AK316+AL316+AM316+AN316+AO316+AP316)/3</f>
        <v>11.666666666666666</v>
      </c>
      <c r="AR316" s="223">
        <f t="shared" ref="AR316" si="2482">2*AQ316</f>
        <v>23.333333333333332</v>
      </c>
      <c r="AS316" s="224">
        <f t="shared" ref="AS316" si="2483">3*AQ316</f>
        <v>35</v>
      </c>
      <c r="AT316" s="237">
        <f t="shared" ref="AT316" si="2484">AI316*POWER(KLslave,SIGN(AJ316))*POWER(INslave,SIGN(AK316))*POWER(CHslave,SIGN(AL316))*POWER(FFslave,SIGN(AM316))*POWER(GEslave,SIGN(AN316))*POWER(KOslave,SIGN(AO316))*POWER(KKslave,SIGN(AP316))+AJ316*POWER(MUslave_MU,SIGN(AI316))*POWER(INslave,SIGN(AK316))*POWER(CHslave,SIGN(AL316))*POWER(FFslave,SIGN(AM316))*POWER(GEslave,SIGN(AN316))*POWER(KOslave,SIGN(AO316))*POWER(KKslave,SIGN(AP316))+AK316*POWER(MUslave_MU,SIGN(AI316))*POWER(KLslave,SIGN(AJ316))*POWER(CHslave,SIGN(AL316))*POWER(FFslave,SIGN(AM316))*POWER(GEslave,SIGN(AN316))*POWER(KOslave,SIGN(AO316))*POWER(KKslave,SIGN(AP316))+AL316*POWER(MUslave_MU,SIGN(AI316))*POWER(KLslave,SIGN(AJ316))*POWER(INslave,SIGN(AK316))*POWER(FFslave,SIGN(AM316))*POWER(GEslave,SIGN(AN316))*POWER(KOslave,SIGN(AO316))*POWER(KKslave,SIGN(AP316))+AM316*POWER(MUslave_MU,SIGN(AI316))*POWER(KLslave,SIGN(AJ316))*POWER(INslave,SIGN(AK316))*POWER(CHslave,SIGN(AL316))*POWER(GEslave,SIGN(AN316))*POWER(KOslave,SIGN(AO316))*POWER(KKslave,SIGN(AP316))+AN316*POWER(MUslave_MU,SIGN(AI316))*POWER(KLslave,SIGN(AJ316))*POWER(INslave,SIGN(AK316))*POWER(CHslave,SIGN(AL316))*POWER(FFslave,SIGN(AM316))*POWER(KOslave,SIGN(AO316))*POWER(KKslave,SIGN(AP316))+AO316*POWER(MUslave_MU,SIGN(AI316))*POWER(KLslave,SIGN(AJ316))*POWER(INslave,SIGN(AK316))*POWER(CHslave,SIGN(AL316))*POWER(FFslave,SIGN(AM316))*POWER(GEslave,SIGN(AN316))*POWER(KKslave,SIGN(AP316))+AP316*POWER(MUslave_MU,SIGN(AI316))*POWER(KLslave,SIGN(AJ316))*POWER(INslave,SIGN(AK316))*POWER(CHslave,SIGN(AL316))*POWER(FFslave,SIGN(AM316))*POWER(GEslave,SIGN(AN316))*POWER(KOslave,SIGN(AO316))</f>
        <v>2432</v>
      </c>
      <c r="AU316" s="113">
        <f>AI316*AK316*CHslave+AI316*INslave*AL316+MUslave_MU*AK316*AL316</f>
        <v>3408</v>
      </c>
      <c r="AV316" s="224">
        <f t="shared" ref="AV316" si="2485">IFERROR(AI316^SIGN(AI316),1)*IFERROR(AJ316^SIGN(AJ316),1)*IFERROR(AK316^SIGN(AK316),1)*IFERROR(AL316^SIGN(AL316),1)*IFERROR(AM316^SIGN(AM316),1)*IFERROR(AN316^SIGN(AN316),1)*IFERROR(AO316^SIGN(AO316),1)*IFERROR(AP316^SIGN(AP316),1)</f>
        <v>1584</v>
      </c>
      <c r="AW316" s="224">
        <f t="shared" ref="AW316" si="2486">SUM(AT316:AV316)</f>
        <v>7424</v>
      </c>
      <c r="AX316" s="222">
        <f t="shared" ref="AX316" si="2487">AQ316*AT316/AW316</f>
        <v>3.8218390804597702</v>
      </c>
      <c r="AY316" s="223">
        <f t="shared" ref="AY316" si="2488">AR316*AU316/AW316</f>
        <v>10.711206896551724</v>
      </c>
      <c r="AZ316" s="243">
        <f t="shared" ref="AZ316" si="2489">AS316*AV316/AW316</f>
        <v>7.4676724137931032</v>
      </c>
      <c r="BA316" s="243">
        <f t="shared" ref="BA316" si="2490">SUM(AX316:AZ316)</f>
        <v>22.000718390804597</v>
      </c>
      <c r="BB316" s="252">
        <f t="shared" si="2034"/>
        <v>0</v>
      </c>
      <c r="BC316" s="324">
        <f t="shared" ref="BC316" si="2491">BA316-BB316</f>
        <v>22.000718390804597</v>
      </c>
      <c r="BD316" s="304">
        <f>IF(BA316&lt;=0,3,0)+IF(BA316&gt;0,BA316+1,0)*3+IF(BA316&gt;12,BA316-12,0)*3+IF(BA316&gt;13,BA316-13,0)*3+IF(BA316&gt;14,BA316-14,0)*3+IF(BA316&gt;15,BA316-15,0)*3+IF(BA316&gt;16,BA316-16,0)*3+IF(BA316&gt;17,BA316-17,0)*3+IF(BA316&gt;18,BA316-18,0)*3+IF(BA316&gt;19,BA316-19,0)*3+IF(BA316&gt;20,BA316-20,0)*3</f>
        <v>231.02155172413785</v>
      </c>
      <c r="BE316" s="335">
        <f>IF(BB316&lt;=0,3,0)+IF(BB316&gt;0,BB316+1,0)*3+IF(BB316&gt;12,BB316-12,0)*3+IF(BB316&gt;13,BB316-13,0)*3+IF(BB316&gt;14,BB316-14,0)*3+IF(BB316&gt;15,BB316-15,0)*3+IF(BB316&gt;16,BB316-16,0)*3+IF(BB316&gt;17,BB316-17,0)*3+IF(BB316&gt;18,BB316-18,0)*3+IF(BB316&gt;19,BB316-19,0)*3+IF(BB316&gt;20,BB316-20,0)*3</f>
        <v>3</v>
      </c>
      <c r="BF316" s="243">
        <f t="shared" ref="BF316" si="2492">IF((BD316-BE316)&gt;0,BD316-BE316,0)</f>
        <v>228.02155172413785</v>
      </c>
      <c r="BG316" s="218">
        <f t="shared" ref="BG316" si="2493">IF((BE316-BD316)&gt;0,BE316-BD316,0)</f>
        <v>0</v>
      </c>
      <c r="BH316" s="248"/>
      <c r="BI316" s="303" t="s">
        <v>465</v>
      </c>
      <c r="BJ316" s="218" t="s">
        <v>86</v>
      </c>
      <c r="BK316" s="304" t="s">
        <v>135</v>
      </c>
      <c r="BL316" s="114">
        <f>Konvention_1slave-MUslave</f>
        <v>12</v>
      </c>
      <c r="BM316" s="113"/>
      <c r="BN316" s="113">
        <f>Konvention_1slave-INslave</f>
        <v>12</v>
      </c>
      <c r="BO316" s="113">
        <f>Konvention_1slave-CHslave</f>
        <v>12</v>
      </c>
      <c r="BP316" s="113"/>
      <c r="BQ316" s="113"/>
      <c r="BR316" s="113"/>
      <c r="BS316" s="119"/>
      <c r="BT316" s="223">
        <f t="shared" ref="BT316" si="2494">(BL316+BM316+BN316+BO316+BP316+BQ316+BR316+BS316)/3</f>
        <v>12</v>
      </c>
      <c r="BU316" s="223">
        <f t="shared" ref="BU316" si="2495">2*BT316</f>
        <v>24</v>
      </c>
      <c r="BV316" s="224">
        <f t="shared" ref="BV316" si="2496">3*BT316</f>
        <v>36</v>
      </c>
      <c r="BW316" s="237">
        <f t="shared" ref="BW316" si="2497">BL316*POWER(KLslave_KL,SIGN(BM316))*POWER(INslave,SIGN(BN316))*POWER(CHslave,SIGN(BO316))*POWER(FFslave,SIGN(BP316))*POWER(GEslave,SIGN(BQ316))*POWER(KOslave,SIGN(BR316))*POWER(KKslave,SIGN(BS316))+BM316*POWER(MUslave,SIGN(BL316))*POWER(INslave,SIGN(BN316))*POWER(CHslave,SIGN(BO316))*POWER(FFslave,SIGN(BP316))*POWER(GEslave,SIGN(BQ316))*POWER(KOslave,SIGN(BR316))*POWER(KKslave,SIGN(BS316))+BN316*POWER(MUslave,SIGN(BL316))*POWER(KLslave_KL,SIGN(BM316))*POWER(CHslave,SIGN(BO316))*POWER(FFslave,SIGN(BP316))*POWER(GEslave,SIGN(BQ316))*POWER(KOslave,SIGN(BR316))*POWER(KKslave,SIGN(BS316))+BO316*POWER(MUslave,SIGN(BL316))*POWER(KLslave_KL,SIGN(BM316))*POWER(INslave,SIGN(BN316))*POWER(FFslave,SIGN(BP316))*POWER(GEslave,SIGN(BQ316))*POWER(KOslave,SIGN(BR316))*POWER(KKslave,SIGN(BS316))+BP316*POWER(MUslave,SIGN(BL316))*POWER(KLslave_KL,SIGN(BM316))*POWER(INslave,SIGN(BN316))*POWER(CHslave,SIGN(BO316))*POWER(GEslave,SIGN(BQ316))*POWER(KOslave,SIGN(BR316))*POWER(KKslave,SIGN(BS316))+BQ316*POWER(MUslave,SIGN(BL316))*POWER(KLslave_KL,SIGN(BM316))*POWER(INslave,SIGN(BN316))*POWER(CHslave,SIGN(BO316))*POWER(FFslave,SIGN(BP316))*POWER(KOslave,SIGN(BR316))*POWER(KKslave,SIGN(BS316))+BR316*POWER(MUslave,SIGN(BL316))*POWER(KLslave_KL,SIGN(BM316))*POWER(INslave,SIGN(BN316))*POWER(CHslave,SIGN(BO316))*POWER(FFslave,SIGN(BP316))*POWER(GEslave,SIGN(BQ316))*POWER(KKslave,SIGN(BS316))+BS316*POWER(MUslave,SIGN(BL316))*POWER(KLslave_KL,SIGN(BM316))*POWER(INslave,SIGN(BN316))*POWER(CHslave,SIGN(BO316))*POWER(FFslave,SIGN(BP316))*POWER(GEslave,SIGN(BQ316))*POWER(KOslave,SIGN(BR316))</f>
        <v>2304</v>
      </c>
      <c r="BX316" s="113">
        <f>BL316*BN316*CHslave+BL316*INslave*BO316+MUslave*BN316*BO316</f>
        <v>3456</v>
      </c>
      <c r="BY316" s="224">
        <f t="shared" ref="BY316" si="2498">IFERROR(BL316^SIGN(BL316),1)*IFERROR(BM316^SIGN(BM316),1)*IFERROR(BN316^SIGN(BN316),1)*IFERROR(BO316^SIGN(BO316),1)*IFERROR(BP316^SIGN(BP316),1)*IFERROR(BQ316^SIGN(BQ316),1)*IFERROR(BR316^SIGN(BR316),1)*IFERROR(BS316^SIGN(BS316),1)</f>
        <v>1728</v>
      </c>
      <c r="BZ316" s="224">
        <f t="shared" ref="BZ316" si="2499">SUM(BW316:BY316)</f>
        <v>7488</v>
      </c>
      <c r="CA316" s="222">
        <f t="shared" ref="CA316" si="2500">BT316*BW316/BZ316</f>
        <v>3.6923076923076925</v>
      </c>
      <c r="CB316" s="223">
        <f t="shared" ref="CB316" si="2501">BU316*BX316/BZ316</f>
        <v>11.076923076923077</v>
      </c>
      <c r="CC316" s="243">
        <f t="shared" ref="CC316" si="2502">BV316*BY316/BZ316</f>
        <v>8.3076923076923084</v>
      </c>
      <c r="CD316" s="243">
        <f t="shared" ref="CD316" si="2503">SUM(CA316:CC316)</f>
        <v>23.07692307692308</v>
      </c>
      <c r="CE316" s="252">
        <f t="shared" si="1833"/>
        <v>0</v>
      </c>
      <c r="CF316" s="324">
        <f t="shared" ref="CF316" si="2504">CD316-CE316</f>
        <v>23.07692307692308</v>
      </c>
      <c r="CG316" s="304">
        <f>IF(CD316&lt;=0,3,0)+IF(CD316&gt;0,CD316+1,0)*3+IF(CD316&gt;12,CD316-12,0)*3+IF(CD316&gt;13,CD316-13,0)*3+IF(CD316&gt;14,CD316-14,0)*3+IF(CD316&gt;15,CD316-15,0)*3+IF(CD316&gt;16,CD316-16,0)*3+IF(CD316&gt;17,CD316-17,0)*3+IF(CD316&gt;18,CD316-18,0)*3+IF(CD316&gt;19,CD316-19,0)*3+IF(CD316&gt;20,CD316-20,0)*3</f>
        <v>263.30769230769232</v>
      </c>
      <c r="CH316" s="335">
        <f>IF(CE316&lt;=0,3,0)+IF(CE316&gt;0,CE316+1,0)*3+IF(CE316&gt;12,CE316-12,0)*3+IF(CE316&gt;13,CE316-13,0)*3+IF(CE316&gt;14,CE316-14,0)*3+IF(CE316&gt;15,CE316-15,0)*3+IF(CE316&gt;16,CE316-16,0)*3+IF(CE316&gt;17,CE316-17,0)*3+IF(CE316&gt;18,CE316-18,0)*3+IF(CE316&gt;19,CE316-19,0)*3+IF(CE316&gt;20,CE316-20,0)*3</f>
        <v>3</v>
      </c>
      <c r="CI316" s="243">
        <f t="shared" ref="CI316" si="2505">IF((CG316-CH316)&gt;0,CG316-CH316,0)</f>
        <v>260.30769230769232</v>
      </c>
      <c r="CJ316" s="218">
        <f t="shared" ref="CJ316" si="2506">IF((CH316-CG316)&gt;0,CH316-CG316,0)</f>
        <v>0</v>
      </c>
      <c r="CK316" s="248"/>
      <c r="CL316" s="303" t="s">
        <v>465</v>
      </c>
      <c r="CM316" s="218" t="s">
        <v>86</v>
      </c>
      <c r="CN316" s="304" t="s">
        <v>135</v>
      </c>
      <c r="CO316" s="114">
        <f>Konvention_1slave-MUslave</f>
        <v>12</v>
      </c>
      <c r="CP316" s="113"/>
      <c r="CQ316" s="113">
        <f>Konvention_1slave-INslave_IN</f>
        <v>11</v>
      </c>
      <c r="CR316" s="113">
        <f>Konvention_1slave-CHslave</f>
        <v>12</v>
      </c>
      <c r="CS316" s="113"/>
      <c r="CT316" s="113"/>
      <c r="CU316" s="113"/>
      <c r="CV316" s="119"/>
      <c r="CW316" s="223">
        <f t="shared" ref="CW316" si="2507">(CO316+CP316+CQ316+CR316+CS316+CT316+CU316+CV316)/3</f>
        <v>11.666666666666666</v>
      </c>
      <c r="CX316" s="223">
        <f t="shared" ref="CX316" si="2508">2*CW316</f>
        <v>23.333333333333332</v>
      </c>
      <c r="CY316" s="224">
        <f t="shared" ref="CY316" si="2509">3*CW316</f>
        <v>35</v>
      </c>
      <c r="CZ316" s="237">
        <f t="shared" ref="CZ316" si="2510">CO316*POWER(KLslave,SIGN(CP316))*POWER(INslave_IN,SIGN(CQ316))*POWER(CHslave,SIGN(CR316))*POWER(FFslave,SIGN(CS316))*POWER(GEslave,SIGN(CT316))*POWER(KOslave,SIGN(CU316))*POWER(KKslave,SIGN(CV316))+CP316*POWER(MUslave,SIGN(CO316))*POWER(INslave_IN,SIGN(CQ316))*POWER(CHslave,SIGN(CR316))*POWER(FFslave,SIGN(CS316))*POWER(GEslave,SIGN(CT316))*POWER(KOslave,SIGN(CU316))*POWER(KKslave,SIGN(CV316))+CQ316*POWER(MUslave,SIGN(CO316))*POWER(KLslave,SIGN(CP316))*POWER(CHslave,SIGN(CR316))*POWER(FFslave,SIGN(CS316))*POWER(GEslave,SIGN(CT316))*POWER(KOslave,SIGN(CU316))*POWER(KKslave,SIGN(CV316))+CR316*POWER(MUslave,SIGN(CO316))*POWER(KLslave,SIGN(CP316))*POWER(INslave_IN,SIGN(CQ316))*POWER(FFslave,SIGN(CS316))*POWER(GEslave,SIGN(CT316))*POWER(KOslave,SIGN(CU316))*POWER(KKslave,SIGN(CV316))+CS316*POWER(MUslave,SIGN(CO316))*POWER(KLslave,SIGN(CP316))*POWER(INslave_IN,SIGN(CQ316))*POWER(CHslave,SIGN(CR316))*POWER(GEslave,SIGN(CT316))*POWER(KOslave,SIGN(CU316))*POWER(KKslave,SIGN(CV316))+CT316*POWER(MUslave,SIGN(CO316))*POWER(KLslave,SIGN(CP316))*POWER(INslave_IN,SIGN(CQ316))*POWER(CHslave,SIGN(CR316))*POWER(FFslave,SIGN(CS316))*POWER(KOslave,SIGN(CU316))*POWER(KKslave,SIGN(CV316))+CU316*POWER(MUslave,SIGN(CO316))*POWER(KLslave,SIGN(CP316))*POWER(INslave_IN,SIGN(CQ316))*POWER(CHslave,SIGN(CR316))*POWER(FFslave,SIGN(CS316))*POWER(GEslave,SIGN(CT316))*POWER(KKslave,SIGN(CV316))+CV316*POWER(MUslave,SIGN(CO316))*POWER(KLslave,SIGN(CP316))*POWER(INslave_IN,SIGN(CQ316))*POWER(CHslave,SIGN(CR316))*POWER(FFslave,SIGN(CS316))*POWER(GEslave,SIGN(CT316))*POWER(KOslave,SIGN(CU316))</f>
        <v>2432</v>
      </c>
      <c r="DA316" s="113">
        <f>CO316*CQ316*CHslave+CO316*INslave_IN*CR316+MUslave*CQ316*CR316</f>
        <v>3408</v>
      </c>
      <c r="DB316" s="224">
        <f t="shared" ref="DB316" si="2511">IFERROR(CO316^SIGN(CO316),1)*IFERROR(CP316^SIGN(CP316),1)*IFERROR(CQ316^SIGN(CQ316),1)*IFERROR(CR316^SIGN(CR316),1)*IFERROR(CS316^SIGN(CS316),1)*IFERROR(CT316^SIGN(CT316),1)*IFERROR(CU316^SIGN(CU316),1)*IFERROR(CV316^SIGN(CV316),1)</f>
        <v>1584</v>
      </c>
      <c r="DC316" s="224">
        <f t="shared" ref="DC316" si="2512">SUM(CZ316:DB316)</f>
        <v>7424</v>
      </c>
      <c r="DD316" s="222">
        <f t="shared" ref="DD316" si="2513">CW316*CZ316/DC316</f>
        <v>3.8218390804597702</v>
      </c>
      <c r="DE316" s="223">
        <f t="shared" ref="DE316" si="2514">CX316*DA316/DC316</f>
        <v>10.711206896551724</v>
      </c>
      <c r="DF316" s="243">
        <f t="shared" ref="DF316" si="2515">CY316*DB316/DC316</f>
        <v>7.4676724137931032</v>
      </c>
      <c r="DG316" s="243">
        <f t="shared" ref="DG316" si="2516">SUM(DD316:DF316)</f>
        <v>22.000718390804597</v>
      </c>
      <c r="DH316" s="252">
        <f t="shared" si="1848"/>
        <v>0</v>
      </c>
      <c r="DI316" s="324">
        <f t="shared" ref="DI316" si="2517">DG316-DH316</f>
        <v>22.000718390804597</v>
      </c>
      <c r="DJ316" s="304">
        <f>IF(DG316&lt;=0,3,0)+IF(DG316&gt;0,DG316+1,0)*3+IF(DG316&gt;12,DG316-12,0)*3+IF(DG316&gt;13,DG316-13,0)*3+IF(DG316&gt;14,DG316-14,0)*3+IF(DG316&gt;15,DG316-15,0)*3+IF(DG316&gt;16,DG316-16,0)*3+IF(DG316&gt;17,DG316-17,0)*3+IF(DG316&gt;18,DG316-18,0)*3+IF(DG316&gt;19,DG316-19,0)*3+IF(DG316&gt;20,DG316-20,0)*3</f>
        <v>231.02155172413785</v>
      </c>
      <c r="DK316" s="335">
        <f>IF(DH316&lt;=0,3,0)+IF(DH316&gt;0,DH316+1,0)*3+IF(DH316&gt;12,DH316-12,0)*3+IF(DH316&gt;13,DH316-13,0)*3+IF(DH316&gt;14,DH316-14,0)*3+IF(DH316&gt;15,DH316-15,0)*3+IF(DH316&gt;16,DH316-16,0)*3+IF(DH316&gt;17,DH316-17,0)*3+IF(DH316&gt;18,DH316-18,0)*3+IF(DH316&gt;19,DH316-19,0)*3+IF(DH316&gt;20,DH316-20,0)*3</f>
        <v>3</v>
      </c>
      <c r="DL316" s="243">
        <f t="shared" ref="DL316" si="2518">IF((DJ316-DK316)&gt;0,DJ316-DK316,0)</f>
        <v>228.02155172413785</v>
      </c>
      <c r="DM316" s="218">
        <f t="shared" ref="DM316" si="2519">IF((DK316-DJ316)&gt;0,DK316-DJ316,0)</f>
        <v>0</v>
      </c>
      <c r="DN316" s="248"/>
      <c r="DO316" s="303" t="s">
        <v>465</v>
      </c>
      <c r="DP316" s="218" t="s">
        <v>86</v>
      </c>
      <c r="DQ316" s="304" t="s">
        <v>135</v>
      </c>
      <c r="DR316" s="114">
        <f>Konvention_1slave-MUslave</f>
        <v>12</v>
      </c>
      <c r="DS316" s="113"/>
      <c r="DT316" s="113">
        <f>Konvention_1slave-INslave</f>
        <v>12</v>
      </c>
      <c r="DU316" s="113">
        <f>Konvention_1slave-CHslave_CH</f>
        <v>11</v>
      </c>
      <c r="DV316" s="113"/>
      <c r="DW316" s="113"/>
      <c r="DX316" s="113"/>
      <c r="DY316" s="119"/>
      <c r="DZ316" s="223">
        <f t="shared" ref="DZ316" si="2520">(DR316+DS316+DT316+DU316+DV316+DW316+DX316+DY316)/3</f>
        <v>11.666666666666666</v>
      </c>
      <c r="EA316" s="223">
        <f t="shared" ref="EA316" si="2521">2*DZ316</f>
        <v>23.333333333333332</v>
      </c>
      <c r="EB316" s="224">
        <f t="shared" ref="EB316" si="2522">3*DZ316</f>
        <v>35</v>
      </c>
      <c r="EC316" s="237">
        <f t="shared" ref="EC316" si="2523">DR316*POWER(KLslave,SIGN(DS316))*POWER(INslave,SIGN(DT316))*POWER(CHslave_CH,SIGN(DU316))*POWER(FFslave,SIGN(DV316))*POWER(GEslave,SIGN(DW316))*POWER(KOslave,SIGN(DX316))*POWER(KKslave,SIGN(DY316))+DS316*POWER(MUslave,SIGN(DR316))*POWER(INslave,SIGN(DT316))*POWER(CHslave_CH,SIGN(DU316))*POWER(FFslave,SIGN(DV316))*POWER(GEslave,SIGN(DW316))*POWER(KOslave,SIGN(DX316))*POWER(KKslave,SIGN(DY316))+DT316*POWER(MUslave,SIGN(DR316))*POWER(KLslave,SIGN(DS316))*POWER(CHslave_CH,SIGN(DU316))*POWER(FFslave,SIGN(DV316))*POWER(GEslave,SIGN(DW316))*POWER(KOslave,SIGN(DX316))*POWER(KKslave,SIGN(DY316))+DU316*POWER(MUslave,SIGN(DR316))*POWER(KLslave,SIGN(DS316))*POWER(INslave,SIGN(DT316))*POWER(FFslave,SIGN(DV316))*POWER(GEslave,SIGN(DW316))*POWER(KOslave,SIGN(DX316))*POWER(KKslave,SIGN(DY316))+DV316*POWER(MUslave,SIGN(DR316))*POWER(KLslave,SIGN(DS316))*POWER(INslave,SIGN(DT316))*POWER(CHslave_CH,SIGN(DU316))*POWER(GEslave,SIGN(DW316))*POWER(KOslave,SIGN(DX316))*POWER(KKslave,SIGN(DY316))+DW316*POWER(MUslave,SIGN(DR316))*POWER(KLslave,SIGN(DS316))*POWER(INslave,SIGN(DT316))*POWER(CHslave_CH,SIGN(DU316))*POWER(FFslave,SIGN(DV316))*POWER(KOslave,SIGN(DX316))*POWER(KKslave,SIGN(DY316))+DX316*POWER(MUslave,SIGN(DR316))*POWER(KLslave,SIGN(DS316))*POWER(INslave,SIGN(DT316))*POWER(CHslave_CH,SIGN(DU316))*POWER(FFslave,SIGN(DV316))*POWER(GEslave,SIGN(DW316))*POWER(KKslave,SIGN(DY316))+DY316*POWER(MUslave,SIGN(DR316))*POWER(KLslave,SIGN(DS316))*POWER(INslave,SIGN(DT316))*POWER(CHslave_CH,SIGN(DU316))*POWER(FFslave,SIGN(DV316))*POWER(GEslave,SIGN(DW316))*POWER(KOslave,SIGN(DX316))</f>
        <v>2432</v>
      </c>
      <c r="ED316" s="113">
        <f>DR316*DT316*CHslave_CH+DR316*INslave*DU316+MUslave*DT316*DU316</f>
        <v>3408</v>
      </c>
      <c r="EE316" s="224">
        <f t="shared" ref="EE316" si="2524">IFERROR(DR316^SIGN(DR316),1)*IFERROR(DS316^SIGN(DS316),1)*IFERROR(DT316^SIGN(DT316),1)*IFERROR(DU316^SIGN(DU316),1)*IFERROR(DV316^SIGN(DV316),1)*IFERROR(DW316^SIGN(DW316),1)*IFERROR(DX316^SIGN(DX316),1)*IFERROR(DY316^SIGN(DY316),1)</f>
        <v>1584</v>
      </c>
      <c r="EF316" s="224">
        <f t="shared" ref="EF316" si="2525">SUM(EC316:EE316)</f>
        <v>7424</v>
      </c>
      <c r="EG316" s="222">
        <f t="shared" ref="EG316" si="2526">DZ316*EC316/EF316</f>
        <v>3.8218390804597702</v>
      </c>
      <c r="EH316" s="223">
        <f t="shared" ref="EH316" si="2527">EA316*ED316/EF316</f>
        <v>10.711206896551724</v>
      </c>
      <c r="EI316" s="243">
        <f t="shared" ref="EI316" si="2528">EB316*EE316/EF316</f>
        <v>7.4676724137931032</v>
      </c>
      <c r="EJ316" s="243">
        <f t="shared" ref="EJ316" si="2529">SUM(EG316:EI316)</f>
        <v>22.000718390804597</v>
      </c>
      <c r="EK316" s="252">
        <f t="shared" si="1863"/>
        <v>0</v>
      </c>
      <c r="EL316" s="324">
        <f t="shared" ref="EL316" si="2530">EJ316-EK316</f>
        <v>22.000718390804597</v>
      </c>
      <c r="EM316" s="304">
        <f>IF(EJ316&lt;=0,3,0)+IF(EJ316&gt;0,EJ316+1,0)*3+IF(EJ316&gt;12,EJ316-12,0)*3+IF(EJ316&gt;13,EJ316-13,0)*3+IF(EJ316&gt;14,EJ316-14,0)*3+IF(EJ316&gt;15,EJ316-15,0)*3+IF(EJ316&gt;16,EJ316-16,0)*3+IF(EJ316&gt;17,EJ316-17,0)*3+IF(EJ316&gt;18,EJ316-18,0)*3+IF(EJ316&gt;19,EJ316-19,0)*3+IF(EJ316&gt;20,EJ316-20,0)*3</f>
        <v>231.02155172413785</v>
      </c>
      <c r="EN316" s="335">
        <f>IF(EK316&lt;=0,3,0)+IF(EK316&gt;0,EK316+1,0)*3+IF(EK316&gt;12,EK316-12,0)*3+IF(EK316&gt;13,EK316-13,0)*3+IF(EK316&gt;14,EK316-14,0)*3+IF(EK316&gt;15,EK316-15,0)*3+IF(EK316&gt;16,EK316-16,0)*3+IF(EK316&gt;17,EK316-17,0)*3+IF(EK316&gt;18,EK316-18,0)*3+IF(EK316&gt;19,EK316-19,0)*3+IF(EK316&gt;20,EK316-20,0)*3</f>
        <v>3</v>
      </c>
      <c r="EO316" s="243">
        <f t="shared" ref="EO316" si="2531">IF((EM316-EN316)&gt;0,EM316-EN316,0)</f>
        <v>228.02155172413785</v>
      </c>
      <c r="EP316" s="218">
        <f t="shared" ref="EP316" si="2532">IF((EN316-EM316)&gt;0,EN316-EM316,0)</f>
        <v>0</v>
      </c>
      <c r="EQ316" s="248"/>
      <c r="ER316" s="303" t="s">
        <v>465</v>
      </c>
      <c r="ES316" s="218" t="s">
        <v>86</v>
      </c>
      <c r="ET316" s="304" t="s">
        <v>135</v>
      </c>
      <c r="EU316" s="114">
        <f>Konvention_1slave-MUslave</f>
        <v>12</v>
      </c>
      <c r="EV316" s="113"/>
      <c r="EW316" s="113">
        <f>Konvention_1slave-INslave</f>
        <v>12</v>
      </c>
      <c r="EX316" s="113">
        <f>Konvention_1slave-CHslave</f>
        <v>12</v>
      </c>
      <c r="EY316" s="113"/>
      <c r="EZ316" s="113"/>
      <c r="FA316" s="113"/>
      <c r="FB316" s="119"/>
      <c r="FC316" s="223">
        <f t="shared" ref="FC316" si="2533">(EU316+EV316+EW316+EX316+EY316+EZ316+FA316+FB316)/3</f>
        <v>12</v>
      </c>
      <c r="FD316" s="223">
        <f t="shared" ref="FD316" si="2534">2*FC316</f>
        <v>24</v>
      </c>
      <c r="FE316" s="224">
        <f t="shared" ref="FE316" si="2535">3*FC316</f>
        <v>36</v>
      </c>
      <c r="FF316" s="237">
        <f t="shared" ref="FF316" si="2536">EU316*POWER(KLslave,SIGN(EV316))*POWER(INslave,SIGN(EW316))*POWER(CHslave,SIGN(EX316))*POWER(FFslave_FF,SIGN(EY316))*POWER(GEslave,SIGN(EZ316))*POWER(KOslave,SIGN(FA316))*POWER(KKslave,SIGN(FB316))+EV316*POWER(MUslave,SIGN(EU316))*POWER(INslave,SIGN(EW316))*POWER(CHslave,SIGN(EX316))*POWER(FFslave_FF,SIGN(EY316))*POWER(GEslave,SIGN(EZ316))*POWER(KOslave,SIGN(FA316))*POWER(KKslave,SIGN(FB316))+EW316*POWER(MUslave,SIGN(EU316))*POWER(KLslave,SIGN(EV316))*POWER(CHslave,SIGN(EX316))*POWER(FFslave_FF,SIGN(EY316))*POWER(GEslave,SIGN(EZ316))*POWER(KOslave,SIGN(FA316))*POWER(KKslave,SIGN(FB316))+EX316*POWER(MUslave,SIGN(EU316))*POWER(KLslave,SIGN(EV316))*POWER(INslave,SIGN(EW316))*POWER(FFslave_FF,SIGN(EY316))*POWER(GEslave,SIGN(EZ316))*POWER(KOslave,SIGN(FA316))*POWER(KKslave,SIGN(FB316))+EY316*POWER(MUslave,SIGN(EU316))*POWER(KLslave,SIGN(EV316))*POWER(INslave,SIGN(EW316))*POWER(CHslave,SIGN(EX316))*POWER(GEslave,SIGN(EZ316))*POWER(KOslave,SIGN(FA316))*POWER(KKslave,SIGN(FB316))+EZ316*POWER(MUslave,SIGN(EU316))*POWER(KLslave,SIGN(EV316))*POWER(INslave,SIGN(EW316))*POWER(CHslave,SIGN(EX316))*POWER(FFslave_FF,SIGN(EY316))*POWER(KOslave,SIGN(FA316))*POWER(KKslave,SIGN(FB316))+FA316*POWER(MUslave,SIGN(EU316))*POWER(KLslave,SIGN(EV316))*POWER(INslave,SIGN(EW316))*POWER(CHslave,SIGN(EX316))*POWER(FFslave_FF,SIGN(EY316))*POWER(GEslave,SIGN(EZ316))*POWER(KKslave,SIGN(FB316))+FB316*POWER(MUslave,SIGN(EU316))*POWER(KLslave,SIGN(EV316))*POWER(INslave,SIGN(EW316))*POWER(CHslave,SIGN(EX316))*POWER(FFslave_FF,SIGN(EY316))*POWER(GEslave,SIGN(EZ316))*POWER(KOslave,SIGN(FA316))</f>
        <v>2304</v>
      </c>
      <c r="FG316" s="113">
        <f>EU316*EW316*CHslave+EU316*INslave*EX316+MUslave*EW316*EX316</f>
        <v>3456</v>
      </c>
      <c r="FH316" s="224">
        <f t="shared" ref="FH316" si="2537">IFERROR(EU316^SIGN(EU316),1)*IFERROR(EV316^SIGN(EV316),1)*IFERROR(EW316^SIGN(EW316),1)*IFERROR(EX316^SIGN(EX316),1)*IFERROR(EY316^SIGN(EY316),1)*IFERROR(EZ316^SIGN(EZ316),1)*IFERROR(FA316^SIGN(FA316),1)*IFERROR(FB316^SIGN(FB316),1)</f>
        <v>1728</v>
      </c>
      <c r="FI316" s="224">
        <f t="shared" ref="FI316" si="2538">SUM(FF316:FH316)</f>
        <v>7488</v>
      </c>
      <c r="FJ316" s="222">
        <f t="shared" ref="FJ316" si="2539">FC316*FF316/FI316</f>
        <v>3.6923076923076925</v>
      </c>
      <c r="FK316" s="223">
        <f t="shared" ref="FK316" si="2540">FD316*FG316/FI316</f>
        <v>11.076923076923077</v>
      </c>
      <c r="FL316" s="243">
        <f t="shared" ref="FL316" si="2541">FE316*FH316/FI316</f>
        <v>8.3076923076923084</v>
      </c>
      <c r="FM316" s="243">
        <f t="shared" ref="FM316" si="2542">SUM(FJ316:FL316)</f>
        <v>23.07692307692308</v>
      </c>
      <c r="FN316" s="252">
        <f t="shared" si="1878"/>
        <v>0</v>
      </c>
      <c r="FO316" s="324">
        <f t="shared" ref="FO316" si="2543">FM316-FN316</f>
        <v>23.07692307692308</v>
      </c>
      <c r="FP316" s="304">
        <f>IF(FM316&lt;=0,3,0)+IF(FM316&gt;0,FM316+1,0)*3+IF(FM316&gt;12,FM316-12,0)*3+IF(FM316&gt;13,FM316-13,0)*3+IF(FM316&gt;14,FM316-14,0)*3+IF(FM316&gt;15,FM316-15,0)*3+IF(FM316&gt;16,FM316-16,0)*3+IF(FM316&gt;17,FM316-17,0)*3+IF(FM316&gt;18,FM316-18,0)*3+IF(FM316&gt;19,FM316-19,0)*3+IF(FM316&gt;20,FM316-20,0)*3</f>
        <v>263.30769230769232</v>
      </c>
      <c r="FQ316" s="335">
        <f>IF(FN316&lt;=0,3,0)+IF(FN316&gt;0,FN316+1,0)*3+IF(FN316&gt;12,FN316-12,0)*3+IF(FN316&gt;13,FN316-13,0)*3+IF(FN316&gt;14,FN316-14,0)*3+IF(FN316&gt;15,FN316-15,0)*3+IF(FN316&gt;16,FN316-16,0)*3+IF(FN316&gt;17,FN316-17,0)*3+IF(FN316&gt;18,FN316-18,0)*3+IF(FN316&gt;19,FN316-19,0)*3+IF(FN316&gt;20,FN316-20,0)*3</f>
        <v>3</v>
      </c>
      <c r="FR316" s="243">
        <f t="shared" ref="FR316" si="2544">IF((FP316-FQ316)&gt;0,FP316-FQ316,0)</f>
        <v>260.30769230769232</v>
      </c>
      <c r="FS316" s="218">
        <f t="shared" ref="FS316" si="2545">IF((FQ316-FP316)&gt;0,FQ316-FP316,0)</f>
        <v>0</v>
      </c>
      <c r="FT316" s="248"/>
      <c r="FU316" s="303" t="s">
        <v>465</v>
      </c>
      <c r="FV316" s="218" t="s">
        <v>86</v>
      </c>
      <c r="FW316" s="304" t="s">
        <v>135</v>
      </c>
      <c r="FX316" s="114">
        <f>Konvention_1slave-MUslave</f>
        <v>12</v>
      </c>
      <c r="FY316" s="113"/>
      <c r="FZ316" s="113">
        <f>Konvention_1slave-INslave</f>
        <v>12</v>
      </c>
      <c r="GA316" s="113">
        <f>Konvention_1slave-CHslave</f>
        <v>12</v>
      </c>
      <c r="GB316" s="113"/>
      <c r="GC316" s="113"/>
      <c r="GD316" s="113"/>
      <c r="GE316" s="119"/>
      <c r="GF316" s="223">
        <f t="shared" ref="GF316" si="2546">(FX316+FY316+FZ316+GA316+GB316+GC316+GD316+GE316)/3</f>
        <v>12</v>
      </c>
      <c r="GG316" s="223">
        <f t="shared" ref="GG316" si="2547">2*GF316</f>
        <v>24</v>
      </c>
      <c r="GH316" s="224">
        <f t="shared" ref="GH316" si="2548">3*GF316</f>
        <v>36</v>
      </c>
      <c r="GI316" s="237">
        <f t="shared" ref="GI316" si="2549">FX316*POWER(KLslave,SIGN(FY316))*POWER(INslave,SIGN(FZ316))*POWER(CHslave,SIGN(GA316))*POWER(FFslave,SIGN(GB316))*POWER(GEslave_GE,SIGN(GC316))*POWER(KOslave,SIGN(GD316))*POWER(KKslave,SIGN(GE316))+FY316*POWER(MUslave,SIGN(FX316))*POWER(INslave,SIGN(FZ316))*POWER(CHslave,SIGN(GA316))*POWER(FFslave,SIGN(GB316))*POWER(GEslave_GE,SIGN(GC316))*POWER(KOslave,SIGN(GD316))*POWER(KKslave,SIGN(GE316))+FZ316*POWER(MUslave,SIGN(FX316))*POWER(KLslave,SIGN(FY316))*POWER(CHslave,SIGN(GA316))*POWER(FFslave,SIGN(GB316))*POWER(GEslave_GE,SIGN(GC316))*POWER(KOslave,SIGN(GD316))*POWER(KKslave,SIGN(GE316))+GA316*POWER(MUslave,SIGN(FX316))*POWER(KLslave,SIGN(FY316))*POWER(INslave,SIGN(FZ316))*POWER(FFslave,SIGN(GB316))*POWER(GEslave_GE,SIGN(GC316))*POWER(KOslave,SIGN(GD316))*POWER(KKslave,SIGN(GE316))+GB316*POWER(MUslave,SIGN(FX316))*POWER(KLslave,SIGN(FY316))*POWER(INslave,SIGN(FZ316))*POWER(CHslave,SIGN(GA316))*POWER(GEslave_GE,SIGN(GC316))*POWER(KOslave,SIGN(GD316))*POWER(KKslave,SIGN(GE316))+GC316*POWER(MUslave,SIGN(FX316))*POWER(KLslave,SIGN(FY316))*POWER(INslave,SIGN(FZ316))*POWER(CHslave,SIGN(GA316))*POWER(FFslave,SIGN(GB316))*POWER(KOslave,SIGN(GD316))*POWER(KKslave,SIGN(GE316))+GD316*POWER(MUslave,SIGN(FX316))*POWER(KLslave,SIGN(FY316))*POWER(INslave,SIGN(FZ316))*POWER(CHslave,SIGN(GA316))*POWER(FFslave,SIGN(GB316))*POWER(GEslave_GE,SIGN(GC316))*POWER(KKslave,SIGN(GE316))+GE316*POWER(MUslave,SIGN(FX316))*POWER(KLslave,SIGN(FY316))*POWER(INslave,SIGN(FZ316))*POWER(CHslave,SIGN(GA316))*POWER(FFslave,SIGN(GB316))*POWER(GEslave_GE,SIGN(GC316))*POWER(KOslave,SIGN(GD316))</f>
        <v>2304</v>
      </c>
      <c r="GJ316" s="113">
        <f>FX316*FZ316*CHslave+FX316*INslave*GA316+MUslave*FZ316*GA316</f>
        <v>3456</v>
      </c>
      <c r="GK316" s="224">
        <f t="shared" ref="GK316" si="2550">IFERROR(FX316^SIGN(FX316),1)*IFERROR(FY316^SIGN(FY316),1)*IFERROR(FZ316^SIGN(FZ316),1)*IFERROR(GA316^SIGN(GA316),1)*IFERROR(GB316^SIGN(GB316),1)*IFERROR(GC316^SIGN(GC316),1)*IFERROR(GD316^SIGN(GD316),1)*IFERROR(GE316^SIGN(GE316),1)</f>
        <v>1728</v>
      </c>
      <c r="GL316" s="224">
        <f t="shared" ref="GL316" si="2551">SUM(GI316:GK316)</f>
        <v>7488</v>
      </c>
      <c r="GM316" s="222">
        <f t="shared" ref="GM316" si="2552">GF316*GI316/GL316</f>
        <v>3.6923076923076925</v>
      </c>
      <c r="GN316" s="223">
        <f t="shared" ref="GN316" si="2553">GG316*GJ316/GL316</f>
        <v>11.076923076923077</v>
      </c>
      <c r="GO316" s="243">
        <f t="shared" ref="GO316" si="2554">GH316*GK316/GL316</f>
        <v>8.3076923076923084</v>
      </c>
      <c r="GP316" s="243">
        <f t="shared" ref="GP316" si="2555">SUM(GM316:GO316)</f>
        <v>23.07692307692308</v>
      </c>
      <c r="GQ316" s="252">
        <f t="shared" si="1893"/>
        <v>0</v>
      </c>
      <c r="GR316" s="324">
        <f t="shared" ref="GR316" si="2556">GP316-GQ316</f>
        <v>23.07692307692308</v>
      </c>
      <c r="GS316" s="304">
        <f>IF(GP316&lt;=0,3,0)+IF(GP316&gt;0,GP316+1,0)*3+IF(GP316&gt;12,GP316-12,0)*3+IF(GP316&gt;13,GP316-13,0)*3+IF(GP316&gt;14,GP316-14,0)*3+IF(GP316&gt;15,GP316-15,0)*3+IF(GP316&gt;16,GP316-16,0)*3+IF(GP316&gt;17,GP316-17,0)*3+IF(GP316&gt;18,GP316-18,0)*3+IF(GP316&gt;19,GP316-19,0)*3+IF(GP316&gt;20,GP316-20,0)*3</f>
        <v>263.30769230769232</v>
      </c>
      <c r="GT316" s="335">
        <f>IF(GQ316&lt;=0,3,0)+IF(GQ316&gt;0,GQ316+1,0)*3+IF(GQ316&gt;12,GQ316-12,0)*3+IF(GQ316&gt;13,GQ316-13,0)*3+IF(GQ316&gt;14,GQ316-14,0)*3+IF(GQ316&gt;15,GQ316-15,0)*3+IF(GQ316&gt;16,GQ316-16,0)*3+IF(GQ316&gt;17,GQ316-17,0)*3+IF(GQ316&gt;18,GQ316-18,0)*3+IF(GQ316&gt;19,GQ316-19,0)*3+IF(GQ316&gt;20,GQ316-20,0)*3</f>
        <v>3</v>
      </c>
      <c r="GU316" s="243">
        <f t="shared" ref="GU316" si="2557">IF((GS316-GT316)&gt;0,GS316-GT316,0)</f>
        <v>260.30769230769232</v>
      </c>
      <c r="GV316" s="218">
        <f t="shared" ref="GV316" si="2558">IF((GT316-GS316)&gt;0,GT316-GS316,0)</f>
        <v>0</v>
      </c>
      <c r="GW316" s="248"/>
      <c r="GX316" s="303" t="s">
        <v>465</v>
      </c>
      <c r="GY316" s="218" t="s">
        <v>86</v>
      </c>
      <c r="GZ316" s="304" t="s">
        <v>135</v>
      </c>
      <c r="HA316" s="114">
        <f>Konvention_1slave-MUslave</f>
        <v>12</v>
      </c>
      <c r="HB316" s="113"/>
      <c r="HC316" s="113">
        <f>Konvention_1slave-INslave</f>
        <v>12</v>
      </c>
      <c r="HD316" s="113">
        <f>Konvention_1slave-CHslave</f>
        <v>12</v>
      </c>
      <c r="HE316" s="113"/>
      <c r="HF316" s="113"/>
      <c r="HG316" s="113"/>
      <c r="HH316" s="119"/>
      <c r="HI316" s="223">
        <f t="shared" ref="HI316" si="2559">(HA316+HB316+HC316+HD316+HE316+HF316+HG316+HH316)/3</f>
        <v>12</v>
      </c>
      <c r="HJ316" s="223">
        <f t="shared" ref="HJ316" si="2560">2*HI316</f>
        <v>24</v>
      </c>
      <c r="HK316" s="224">
        <f t="shared" ref="HK316" si="2561">3*HI316</f>
        <v>36</v>
      </c>
      <c r="HL316" s="237">
        <f t="shared" ref="HL316" si="2562">HA316*POWER(KLslave,SIGN(HB316))*POWER(INslave,SIGN(HC316))*POWER(CHslave,SIGN(HD316))*POWER(FFslave,SIGN(HE316))*POWER(GEslave,SIGN(HF316))*POWER(KOslave_KO,SIGN(HG316))*POWER(KKslave,SIGN(HH316))+HB316*POWER(MUslave,SIGN(HA316))*POWER(INslave,SIGN(HC316))*POWER(CHslave,SIGN(HD316))*POWER(FFslave,SIGN(HE316))*POWER(GEslave,SIGN(HF316))*POWER(KOslave_KO,SIGN(HG316))*POWER(KKslave,SIGN(HH316))+HC316*POWER(MUslave,SIGN(HA316))*POWER(KLslave,SIGN(HB316))*POWER(CHslave,SIGN(HD316))*POWER(FFslave,SIGN(HE316))*POWER(GEslave,SIGN(HF316))*POWER(KOslave_KO,SIGN(HG316))*POWER(KKslave,SIGN(HH316))+HD316*POWER(MUslave,SIGN(HA316))*POWER(KLslave,SIGN(HB316))*POWER(INslave,SIGN(HC316))*POWER(FFslave,SIGN(HE316))*POWER(GEslave,SIGN(HF316))*POWER(KOslave_KO,SIGN(HG316))*POWER(KKslave,SIGN(HH316))+HE316*POWER(MUslave,SIGN(HA316))*POWER(KLslave,SIGN(HB316))*POWER(INslave,SIGN(HC316))*POWER(CHslave,SIGN(HD316))*POWER(GEslave,SIGN(HF316))*POWER(KOslave_KO,SIGN(HG316))*POWER(KKslave,SIGN(HH316))+HF316*POWER(MUslave,SIGN(HA316))*POWER(KLslave,SIGN(HB316))*POWER(INslave,SIGN(HC316))*POWER(CHslave,SIGN(HD316))*POWER(FFslave,SIGN(HE316))*POWER(KOslave_KO,SIGN(HG316))*POWER(KKslave,SIGN(HH316))+HG316*POWER(MUslave,SIGN(HA316))*POWER(KLslave,SIGN(HB316))*POWER(INslave,SIGN(HC316))*POWER(CHslave,SIGN(HD316))*POWER(FFslave,SIGN(HE316))*POWER(GEslave,SIGN(HF316))*POWER(KKslave,SIGN(HH316))+HH316*POWER(MUslave,SIGN(HA316))*POWER(KLslave,SIGN(HB316))*POWER(INslave,SIGN(HC316))*POWER(CHslave,SIGN(HD316))*POWER(FFslave,SIGN(HE316))*POWER(GEslave,SIGN(HF316))*POWER(KOslave_KO,SIGN(HG316))</f>
        <v>2304</v>
      </c>
      <c r="HM316" s="113">
        <f>HA316*HC316*CHslave+HA316*INslave*HD316+MUslave*HC316*HD316</f>
        <v>3456</v>
      </c>
      <c r="HN316" s="224">
        <f t="shared" ref="HN316" si="2563">IFERROR(HA316^SIGN(HA316),1)*IFERROR(HB316^SIGN(HB316),1)*IFERROR(HC316^SIGN(HC316),1)*IFERROR(HD316^SIGN(HD316),1)*IFERROR(HE316^SIGN(HE316),1)*IFERROR(HF316^SIGN(HF316),1)*IFERROR(HG316^SIGN(HG316),1)*IFERROR(HH316^SIGN(HH316),1)</f>
        <v>1728</v>
      </c>
      <c r="HO316" s="224">
        <f t="shared" ref="HO316" si="2564">SUM(HL316:HN316)</f>
        <v>7488</v>
      </c>
      <c r="HP316" s="222">
        <f t="shared" ref="HP316" si="2565">HI316*HL316/HO316</f>
        <v>3.6923076923076925</v>
      </c>
      <c r="HQ316" s="223">
        <f t="shared" ref="HQ316" si="2566">HJ316*HM316/HO316</f>
        <v>11.076923076923077</v>
      </c>
      <c r="HR316" s="243">
        <f t="shared" ref="HR316" si="2567">HK316*HN316/HO316</f>
        <v>8.3076923076923084</v>
      </c>
      <c r="HS316" s="243">
        <f t="shared" ref="HS316" si="2568">SUM(HP316:HR316)</f>
        <v>23.07692307692308</v>
      </c>
      <c r="HT316" s="252">
        <f t="shared" si="1908"/>
        <v>0</v>
      </c>
      <c r="HU316" s="324">
        <f t="shared" ref="HU316" si="2569">HS316-HT316</f>
        <v>23.07692307692308</v>
      </c>
      <c r="HV316" s="304">
        <f>IF(HS316&lt;=0,3,0)+IF(HS316&gt;0,HS316+1,0)*3+IF(HS316&gt;12,HS316-12,0)*3+IF(HS316&gt;13,HS316-13,0)*3+IF(HS316&gt;14,HS316-14,0)*3+IF(HS316&gt;15,HS316-15,0)*3+IF(HS316&gt;16,HS316-16,0)*3+IF(HS316&gt;17,HS316-17,0)*3+IF(HS316&gt;18,HS316-18,0)*3+IF(HS316&gt;19,HS316-19,0)*3+IF(HS316&gt;20,HS316-20,0)*3</f>
        <v>263.30769230769232</v>
      </c>
      <c r="HW316" s="335">
        <f>IF(HT316&lt;=0,3,0)+IF(HT316&gt;0,HT316+1,0)*3+IF(HT316&gt;12,HT316-12,0)*3+IF(HT316&gt;13,HT316-13,0)*3+IF(HT316&gt;14,HT316-14,0)*3+IF(HT316&gt;15,HT316-15,0)*3+IF(HT316&gt;16,HT316-16,0)*3+IF(HT316&gt;17,HT316-17,0)*3+IF(HT316&gt;18,HT316-18,0)*3+IF(HT316&gt;19,HT316-19,0)*3+IF(HT316&gt;20,HT316-20,0)*3</f>
        <v>3</v>
      </c>
      <c r="HX316" s="243">
        <f t="shared" ref="HX316" si="2570">IF((HV316-HW316)&gt;0,HV316-HW316,0)</f>
        <v>260.30769230769232</v>
      </c>
      <c r="HY316" s="218">
        <f t="shared" ref="HY316" si="2571">IF((HW316-HV316)&gt;0,HW316-HV316,0)</f>
        <v>0</v>
      </c>
      <c r="HZ316" s="248"/>
      <c r="IA316" s="303" t="s">
        <v>465</v>
      </c>
      <c r="IB316" s="218" t="s">
        <v>86</v>
      </c>
      <c r="IC316" s="304" t="s">
        <v>135</v>
      </c>
      <c r="ID316" s="114">
        <f>Konvention_1slave-MUslave</f>
        <v>12</v>
      </c>
      <c r="IE316" s="113"/>
      <c r="IF316" s="113">
        <f>Konvention_1slave-INslave</f>
        <v>12</v>
      </c>
      <c r="IG316" s="113">
        <f>Konvention_1slave-CHslave</f>
        <v>12</v>
      </c>
      <c r="IH316" s="113"/>
      <c r="II316" s="113"/>
      <c r="IJ316" s="113"/>
      <c r="IK316" s="119"/>
      <c r="IL316" s="223">
        <f t="shared" ref="IL316" si="2572">(ID316+IE316+IF316+IG316+IH316+II316+IJ316+IK316)/3</f>
        <v>12</v>
      </c>
      <c r="IM316" s="223">
        <f t="shared" ref="IM316" si="2573">2*IL316</f>
        <v>24</v>
      </c>
      <c r="IN316" s="224">
        <f t="shared" ref="IN316" si="2574">3*IL316</f>
        <v>36</v>
      </c>
      <c r="IO316" s="237">
        <f t="shared" ref="IO316" si="2575">ID316*POWER(KLslave,SIGN(IE316))*POWER(INslave,SIGN(IF316))*POWER(CHslave,SIGN(IG316))*POWER(FFslave,SIGN(IH316))*POWER(GEslave,SIGN(II316))*POWER(KOslave,SIGN(IJ316))*POWER(KKslave_KK,SIGN(IK316))+IE316*POWER(MUslave,SIGN(ID316))*POWER(INslave,SIGN(IF316))*POWER(CHslave,SIGN(IG316))*POWER(FFslave,SIGN(IH316))*POWER(GEslave,SIGN(II316))*POWER(KOslave,SIGN(IJ316))*POWER(KKslave_KK,SIGN(IK316))+IF316*POWER(MUslave,SIGN(ID316))*POWER(KLslave,SIGN(IE316))*POWER(CHslave,SIGN(IG316))*POWER(FFslave,SIGN(IH316))*POWER(GEslave,SIGN(II316))*POWER(KOslave,SIGN(IJ316))*POWER(KKslave_KK,SIGN(IK316))+IG316*POWER(MUslave,SIGN(ID316))*POWER(KLslave,SIGN(IE316))*POWER(INslave,SIGN(IF316))*POWER(FFslave,SIGN(IH316))*POWER(GEslave,SIGN(II316))*POWER(KOslave,SIGN(IJ316))*POWER(KKslave_KK,SIGN(IK316))+IH316*POWER(MUslave,SIGN(ID316))*POWER(KLslave,SIGN(IE316))*POWER(INslave,SIGN(IF316))*POWER(CHslave,SIGN(IG316))*POWER(GEslave,SIGN(II316))*POWER(KOslave,SIGN(IJ316))*POWER(KKslave_KK,SIGN(IK316))+II316*POWER(MUslave,SIGN(ID316))*POWER(KLslave,SIGN(IE316))*POWER(INslave,SIGN(IF316))*POWER(CHslave,SIGN(IG316))*POWER(FFslave,SIGN(IH316))*POWER(KOslave,SIGN(IJ316))*POWER(KKslave_KK,SIGN(IK316))+IJ316*POWER(MUslave,SIGN(ID316))*POWER(KLslave,SIGN(IE316))*POWER(INslave,SIGN(IF316))*POWER(CHslave,SIGN(IG316))*POWER(FFslave,SIGN(IH316))*POWER(GEslave,SIGN(II316))*POWER(KKslave_KK,SIGN(IK316))+IK316*POWER(MUslave,SIGN(ID316))*POWER(KLslave,SIGN(IE316))*POWER(INslave,SIGN(IF316))*POWER(CHslave,SIGN(IG316))*POWER(FFslave,SIGN(IH316))*POWER(GEslave,SIGN(II316))*POWER(KOslave,SIGN(IJ316))</f>
        <v>2304</v>
      </c>
      <c r="IP316" s="113">
        <f>ID316*IF316*CHslave+ID316*INslave*IG316+MUslave*IF316*IG316</f>
        <v>3456</v>
      </c>
      <c r="IQ316" s="224">
        <f t="shared" ref="IQ316" si="2576">IFERROR(ID316^SIGN(ID316),1)*IFERROR(IE316^SIGN(IE316),1)*IFERROR(IF316^SIGN(IF316),1)*IFERROR(IG316^SIGN(IG316),1)*IFERROR(IH316^SIGN(IH316),1)*IFERROR(II316^SIGN(II316),1)*IFERROR(IJ316^SIGN(IJ316),1)*IFERROR(IK316^SIGN(IK316),1)</f>
        <v>1728</v>
      </c>
      <c r="IR316" s="224">
        <f t="shared" ref="IR316" si="2577">SUM(IO316:IQ316)</f>
        <v>7488</v>
      </c>
      <c r="IS316" s="222">
        <f t="shared" ref="IS316" si="2578">IL316*IO316/IR316</f>
        <v>3.6923076923076925</v>
      </c>
      <c r="IT316" s="223">
        <f t="shared" ref="IT316" si="2579">IM316*IP316/IR316</f>
        <v>11.076923076923077</v>
      </c>
      <c r="IU316" s="243">
        <f t="shared" ref="IU316" si="2580">IN316*IQ316/IR316</f>
        <v>8.3076923076923084</v>
      </c>
      <c r="IV316" s="243">
        <f t="shared" ref="IV316" si="2581">SUM(IS316:IU316)</f>
        <v>23.07692307692308</v>
      </c>
      <c r="IW316" s="252">
        <f t="shared" si="1923"/>
        <v>0</v>
      </c>
      <c r="IX316" s="324">
        <f t="shared" ref="IX316" si="2582">IV316-IW316</f>
        <v>23.07692307692308</v>
      </c>
      <c r="IY316" s="304">
        <f>IF(IV316&lt;=0,3,0)+IF(IV316&gt;0,IV316+1,0)*3+IF(IV316&gt;12,IV316-12,0)*3+IF(IV316&gt;13,IV316-13,0)*3+IF(IV316&gt;14,IV316-14,0)*3+IF(IV316&gt;15,IV316-15,0)*3+IF(IV316&gt;16,IV316-16,0)*3+IF(IV316&gt;17,IV316-17,0)*3+IF(IV316&gt;18,IV316-18,0)*3+IF(IV316&gt;19,IV316-19,0)*3+IF(IV316&gt;20,IV316-20,0)*3</f>
        <v>263.30769230769232</v>
      </c>
      <c r="IZ316" s="335">
        <f>IF(IW316&lt;=0,3,0)+IF(IW316&gt;0,IW316+1,0)*3+IF(IW316&gt;12,IW316-12,0)*3+IF(IW316&gt;13,IW316-13,0)*3+IF(IW316&gt;14,IW316-14,0)*3+IF(IW316&gt;15,IW316-15,0)*3+IF(IW316&gt;16,IW316-16,0)*3+IF(IW316&gt;17,IW316-17,0)*3+IF(IW316&gt;18,IW316-18,0)*3+IF(IW316&gt;19,IW316-19,0)*3+IF(IW316&gt;20,IW316-20,0)*3</f>
        <v>3</v>
      </c>
      <c r="JA316" s="243">
        <f t="shared" ref="JA316" si="2583">IF((IY316-IZ316)&gt;0,IY316-IZ316,0)</f>
        <v>260.30769230769232</v>
      </c>
      <c r="JB316" s="218">
        <f t="shared" ref="JB316" si="2584">IF((IZ316-IY316)&gt;0,IZ316-IY316,0)</f>
        <v>0</v>
      </c>
      <c r="JE316" s="148"/>
    </row>
    <row r="317" spans="1:265" hidden="1" outlineLevel="2">
      <c r="A317" s="185"/>
      <c r="B317" s="148">
        <v>20</v>
      </c>
      <c r="C317" s="303" t="e">
        <f>VLOOKUP(AF317,Attribute!C:T,1,FALSE)</f>
        <v>#N/A</v>
      </c>
      <c r="D317" s="218" t="s">
        <v>439</v>
      </c>
      <c r="E317" s="304" t="s">
        <v>133</v>
      </c>
      <c r="F317" s="120"/>
      <c r="G317" s="117">
        <f>Konvention_1master-KLmaster</f>
        <v>12</v>
      </c>
      <c r="H317" s="117">
        <f t="shared" ref="H317" si="2585">Konvention_1master-INmaster</f>
        <v>12</v>
      </c>
      <c r="I317" s="117"/>
      <c r="J317" s="117"/>
      <c r="K317" s="117">
        <f>Konvention_1master-GEmaster</f>
        <v>12</v>
      </c>
      <c r="L317" s="117"/>
      <c r="M317" s="121"/>
      <c r="N317" s="223">
        <f t="shared" ref="N317" si="2586">(F317+G317+H317+I317+J317+K317+L317+M317)/3</f>
        <v>12</v>
      </c>
      <c r="O317" s="223">
        <f t="shared" ref="O317" si="2587">2*N317</f>
        <v>24</v>
      </c>
      <c r="P317" s="224">
        <f t="shared" ref="P317" si="2588">3*N317</f>
        <v>36</v>
      </c>
      <c r="Q317" s="237">
        <f t="shared" ref="Q317" si="2589">F317*POWER(KLmaster,SIGN(G317))*POWER(INmaster,SIGN(H317))*POWER(CHmaster,SIGN(I317))*POWER(FFmaster,SIGN(J317))*POWER(GEmaster,SIGN(K317))*POWER(KOmaster,SIGN(L317))*POWER(KKmaster,SIGN(M317))+G317*POWER(MUmaster,SIGN(F317))*POWER(INmaster,SIGN(H317))*POWER(CHmaster,SIGN(I317))*POWER(FFmaster,SIGN(J317))*POWER(GEmaster,SIGN(K317))*POWER(KOmaster,SIGN(L317))*POWER(KKmaster,SIGN(M317))+H317*POWER(MUmaster,SIGN(F317))*POWER(KLmaster,SIGN(G317))*POWER(CHmaster,SIGN(I317))*POWER(FFmaster,SIGN(J317))*POWER(GEmaster,SIGN(K317))*POWER(KOmaster,SIGN(L317))*POWER(KKmaster,SIGN(M317))+I317*POWER(MUmaster,SIGN(F317))*POWER(KLmaster,SIGN(G317))*POWER(INmaster,SIGN(H317))*POWER(FFmaster,SIGN(J317))*POWER(GEmaster,SIGN(K317))*POWER(KOmaster,SIGN(L317))*POWER(KKmaster,SIGN(M317))+J317*POWER(MUmaster,SIGN(F317))*POWER(KLmaster,SIGN(G317))*POWER(INmaster,SIGN(H317))*POWER(CHmaster,SIGN(I317))*POWER(GEmaster,SIGN(K317))*POWER(KOmaster,SIGN(L317))*POWER(KKmaster,SIGN(M317))+K317*POWER(MUmaster,SIGN(F317))*POWER(KLmaster,SIGN(G317))*POWER(INmaster,SIGN(H317))*POWER(CHmaster,SIGN(I317))*POWER(FFmaster,SIGN(J317))*POWER(KOmaster,SIGN(L317))*POWER(KKmaster,SIGN(M317))+L317*POWER(MUmaster,SIGN(F317))*POWER(KLmaster,SIGN(G317))*POWER(INmaster,SIGN(H317))*POWER(CHmaster,SIGN(I317))*POWER(FFmaster,SIGN(J317))*POWER(GEmaster,SIGN(K317))*POWER(KKmaster,SIGN(M317))+M317*POWER(MUmaster,SIGN(F317))*POWER(KLmaster,SIGN(G317))*POWER(INmaster,SIGN(H317))*POWER(CHmaster,SIGN(I317))*POWER(FFmaster,SIGN(J317))*POWER(GEmaster,SIGN(K317))*POWER(KOmaster,SIGN(L317))</f>
        <v>2304</v>
      </c>
      <c r="R317" s="117">
        <f>G317*H317*GEmaster+G317*INmaster*K317+KLmaster*H317*K317</f>
        <v>3456</v>
      </c>
      <c r="S317" s="224">
        <f t="shared" ref="S317" si="2590">IFERROR(F317^SIGN(F317),1)*IFERROR(G317^SIGN(G317),1)*IFERROR(H317^SIGN(H317),1)*IFERROR(I317^SIGN(I317),1)*IFERROR(J317^SIGN(J317),1)*IFERROR(K317^SIGN(K317),1)*IFERROR(L317^SIGN(L317),1)*IFERROR(M317^SIGN(M317),1)</f>
        <v>1728</v>
      </c>
      <c r="T317" s="224">
        <f t="shared" si="2015"/>
        <v>7488</v>
      </c>
      <c r="U317" s="222">
        <f t="shared" ref="U317" si="2591">N317*Q317/T317</f>
        <v>3.6923076923076925</v>
      </c>
      <c r="V317" s="223">
        <f t="shared" ref="V317" si="2592">O317*R317/T317</f>
        <v>11.076923076923077</v>
      </c>
      <c r="W317" s="243">
        <f t="shared" ref="W317" si="2593">P317*S317/T317</f>
        <v>8.3076923076923084</v>
      </c>
      <c r="X317" s="243">
        <f t="shared" ref="X317" si="2594">SUM(U317:W317)</f>
        <v>23.07692307692308</v>
      </c>
      <c r="Y317" s="252">
        <v>0</v>
      </c>
      <c r="Z317" s="324">
        <f t="shared" ref="Z317" si="2595">X317-Y317</f>
        <v>23.07692307692308</v>
      </c>
      <c r="AA317" s="304">
        <f>IF(X317&lt;=0,1,0)+IF(X317&gt;0,X317+1,0)*1+IF(X317&gt;12,X317-12,0)*1+IF(X317&gt;13,X317-13,0)*1+IF(X317&gt;14,X317-14,0)*1+IF(X317&gt;15,X317-15,0)*1+IF(X317&gt;16,X317-16,0)*1+IF(X317&gt;17,X317-17,0)*1+IF(X317&gt;18,X317-18,0)*1+IF(X317&gt;19,X317-19,0)*1+IF(X317&gt;20,X317-20,0)*1</f>
        <v>87.769230769230802</v>
      </c>
      <c r="AB317" s="335">
        <f>IF(Y317&lt;=0,1,0)+IF(Y317&gt;0,Y317+1,0)*1+IF(Y317&gt;12,Y317-12,0)*1+IF(Y317&gt;13,Y317-13,0)*1+IF(Y317&gt;14,Y317-14,0)*1+IF(Y317&gt;15,Y317-15,0)*1+IF(Y317&gt;16,Y317-16,0)*1+IF(Y317&gt;17,Y317-17,0)*1+IF(Y317&gt;18,Y317-18,0)*1+IF(Y317&gt;19,Y317-19,0)*1+IF(Y317&gt;20,Y317-20,0)*1</f>
        <v>1</v>
      </c>
      <c r="AC317" s="243">
        <f t="shared" ref="AC317" si="2596">IF((AA317-AB317)&gt;0,AA317-AB317,0)</f>
        <v>86.769230769230802</v>
      </c>
      <c r="AD317" s="218">
        <f t="shared" ref="AD317" si="2597">IF((AB317-AA317)&gt;0,AB317-AA317,0)</f>
        <v>0</v>
      </c>
      <c r="AE317" s="140"/>
      <c r="AF317" s="303" t="s">
        <v>466</v>
      </c>
      <c r="AG317" s="218" t="s">
        <v>439</v>
      </c>
      <c r="AH317" s="304" t="s">
        <v>133</v>
      </c>
      <c r="AI317" s="120"/>
      <c r="AJ317" s="117">
        <f>Konvention_1slave-KLslave</f>
        <v>12</v>
      </c>
      <c r="AK317" s="117">
        <f>Konvention_1slave-INslave</f>
        <v>12</v>
      </c>
      <c r="AL317" s="117"/>
      <c r="AM317" s="117"/>
      <c r="AN317" s="117">
        <f>Konvention_1slave-GEslave</f>
        <v>12</v>
      </c>
      <c r="AO317" s="117"/>
      <c r="AP317" s="121"/>
      <c r="AQ317" s="223">
        <f t="shared" ref="AQ317" si="2598">(AI317+AJ317+AK317+AL317+AM317+AN317+AO317+AP317)/3</f>
        <v>12</v>
      </c>
      <c r="AR317" s="223">
        <f t="shared" ref="AR317" si="2599">2*AQ317</f>
        <v>24</v>
      </c>
      <c r="AS317" s="224">
        <f t="shared" ref="AS317" si="2600">3*AQ317</f>
        <v>36</v>
      </c>
      <c r="AT317" s="237">
        <f t="shared" si="2236"/>
        <v>2304</v>
      </c>
      <c r="AU317" s="117">
        <f>AJ317*AK317*GEslave+AJ317*INslave*AN317+KLslave*AK317*AN317</f>
        <v>3456</v>
      </c>
      <c r="AV317" s="224">
        <f t="shared" ref="AV317" si="2601">IFERROR(AI317^SIGN(AI317),1)*IFERROR(AJ317^SIGN(AJ317),1)*IFERROR(AK317^SIGN(AK317),1)*IFERROR(AL317^SIGN(AL317),1)*IFERROR(AM317^SIGN(AM317),1)*IFERROR(AN317^SIGN(AN317),1)*IFERROR(AO317^SIGN(AO317),1)*IFERROR(AP317^SIGN(AP317),1)</f>
        <v>1728</v>
      </c>
      <c r="AW317" s="224">
        <f t="shared" si="2158"/>
        <v>7488</v>
      </c>
      <c r="AX317" s="222">
        <f t="shared" ref="AX317" si="2602">AQ317*AT317/AW317</f>
        <v>3.6923076923076925</v>
      </c>
      <c r="AY317" s="223">
        <f t="shared" ref="AY317" si="2603">AR317*AU317/AW317</f>
        <v>11.076923076923077</v>
      </c>
      <c r="AZ317" s="243">
        <f t="shared" ref="AZ317" si="2604">AS317*AV317/AW317</f>
        <v>8.3076923076923084</v>
      </c>
      <c r="BA317" s="243">
        <f t="shared" ref="BA317" si="2605">SUM(AX317:AZ317)</f>
        <v>23.07692307692308</v>
      </c>
      <c r="BB317" s="252">
        <f t="shared" si="2034"/>
        <v>0</v>
      </c>
      <c r="BC317" s="324">
        <f t="shared" ref="BC317" si="2606">BA317-BB317</f>
        <v>23.07692307692308</v>
      </c>
      <c r="BD317" s="304">
        <f>IF(BA317&lt;=0,1,0)+IF(BA317&gt;0,BA317+1,0)*1+IF(BA317&gt;12,BA317-12,0)*1+IF(BA317&gt;13,BA317-13,0)*1+IF(BA317&gt;14,BA317-14,0)*1+IF(BA317&gt;15,BA317-15,0)*1+IF(BA317&gt;16,BA317-16,0)*1+IF(BA317&gt;17,BA317-17,0)*1+IF(BA317&gt;18,BA317-18,0)*1+IF(BA317&gt;19,BA317-19,0)*1+IF(BA317&gt;20,BA317-20,0)*1</f>
        <v>87.769230769230802</v>
      </c>
      <c r="BE317" s="335">
        <f>IF(BB317&lt;=0,1,0)+IF(BB317&gt;0,BB317+1,0)*1+IF(BB317&gt;12,BB317-12,0)*1+IF(BB317&gt;13,BB317-13,0)*1+IF(BB317&gt;14,BB317-14,0)*1+IF(BB317&gt;15,BB317-15,0)*1+IF(BB317&gt;16,BB317-16,0)*1+IF(BB317&gt;17,BB317-17,0)*1+IF(BB317&gt;18,BB317-18,0)*1+IF(BB317&gt;19,BB317-19,0)*1+IF(BB317&gt;20,BB317-20,0)*1</f>
        <v>1</v>
      </c>
      <c r="BF317" s="243">
        <f t="shared" ref="BF317" si="2607">IF((BD317-BE317)&gt;0,BD317-BE317,0)</f>
        <v>86.769230769230802</v>
      </c>
      <c r="BG317" s="218">
        <f t="shared" ref="BG317" si="2608">IF((BE317-BD317)&gt;0,BE317-BD317,0)</f>
        <v>0</v>
      </c>
      <c r="BH317" s="248"/>
      <c r="BI317" s="303" t="s">
        <v>466</v>
      </c>
      <c r="BJ317" s="218" t="s">
        <v>439</v>
      </c>
      <c r="BK317" s="304" t="s">
        <v>133</v>
      </c>
      <c r="BL317" s="120"/>
      <c r="BM317" s="117">
        <f>Konvention_1slave-KLslave_KL</f>
        <v>11</v>
      </c>
      <c r="BN317" s="117">
        <f t="shared" ref="BN317" si="2609">Konvention_1slave-INslave</f>
        <v>12</v>
      </c>
      <c r="BO317" s="117"/>
      <c r="BP317" s="117"/>
      <c r="BQ317" s="117">
        <f>Konvention_1slave-GEslave</f>
        <v>12</v>
      </c>
      <c r="BR317" s="117"/>
      <c r="BS317" s="121"/>
      <c r="BT317" s="223">
        <f t="shared" ref="BT317" si="2610">(BL317+BM317+BN317+BO317+BP317+BQ317+BR317+BS317)/3</f>
        <v>11.666666666666666</v>
      </c>
      <c r="BU317" s="223">
        <f t="shared" ref="BU317" si="2611">2*BT317</f>
        <v>23.333333333333332</v>
      </c>
      <c r="BV317" s="224">
        <f t="shared" ref="BV317" si="2612">3*BT317</f>
        <v>35</v>
      </c>
      <c r="BW317" s="237">
        <f t="shared" si="2238"/>
        <v>2432</v>
      </c>
      <c r="BX317" s="117">
        <f>BM317*BN317*GEslave+BM317*INslave*BQ317+KLslave_KL*BN317*BQ317</f>
        <v>3408</v>
      </c>
      <c r="BY317" s="224">
        <f t="shared" ref="BY317" si="2613">IFERROR(BL317^SIGN(BL317),1)*IFERROR(BM317^SIGN(BM317),1)*IFERROR(BN317^SIGN(BN317),1)*IFERROR(BO317^SIGN(BO317),1)*IFERROR(BP317^SIGN(BP317),1)*IFERROR(BQ317^SIGN(BQ317),1)*IFERROR(BR317^SIGN(BR317),1)*IFERROR(BS317^SIGN(BS317),1)</f>
        <v>1584</v>
      </c>
      <c r="BZ317" s="224">
        <f t="shared" si="2160"/>
        <v>7424</v>
      </c>
      <c r="CA317" s="222">
        <f t="shared" ref="CA317" si="2614">BT317*BW317/BZ317</f>
        <v>3.8218390804597702</v>
      </c>
      <c r="CB317" s="223">
        <f t="shared" ref="CB317" si="2615">BU317*BX317/BZ317</f>
        <v>10.711206896551724</v>
      </c>
      <c r="CC317" s="243">
        <f t="shared" ref="CC317" si="2616">BV317*BY317/BZ317</f>
        <v>7.4676724137931032</v>
      </c>
      <c r="CD317" s="243">
        <f t="shared" ref="CD317" si="2617">SUM(CA317:CC317)</f>
        <v>22.000718390804597</v>
      </c>
      <c r="CE317" s="252">
        <f t="shared" si="1833"/>
        <v>0</v>
      </c>
      <c r="CF317" s="324">
        <f t="shared" ref="CF317" si="2618">CD317-CE317</f>
        <v>22.000718390804597</v>
      </c>
      <c r="CG317" s="304">
        <f>IF(CD317&lt;=0,1,0)+IF(CD317&gt;0,CD317+1,0)*1+IF(CD317&gt;12,CD317-12,0)*1+IF(CD317&gt;13,CD317-13,0)*1+IF(CD317&gt;14,CD317-14,0)*1+IF(CD317&gt;15,CD317-15,0)*1+IF(CD317&gt;16,CD317-16,0)*1+IF(CD317&gt;17,CD317-17,0)*1+IF(CD317&gt;18,CD317-18,0)*1+IF(CD317&gt;19,CD317-19,0)*1+IF(CD317&gt;20,CD317-20,0)*1</f>
        <v>77.007183908045945</v>
      </c>
      <c r="CH317" s="335">
        <f>IF(CE317&lt;=0,1,0)+IF(CE317&gt;0,CE317+1,0)*1+IF(CE317&gt;12,CE317-12,0)*1+IF(CE317&gt;13,CE317-13,0)*1+IF(CE317&gt;14,CE317-14,0)*1+IF(CE317&gt;15,CE317-15,0)*1+IF(CE317&gt;16,CE317-16,0)*1+IF(CE317&gt;17,CE317-17,0)*1+IF(CE317&gt;18,CE317-18,0)*1+IF(CE317&gt;19,CE317-19,0)*1+IF(CE317&gt;20,CE317-20,0)*1</f>
        <v>1</v>
      </c>
      <c r="CI317" s="243">
        <f t="shared" ref="CI317" si="2619">IF((CG317-CH317)&gt;0,CG317-CH317,0)</f>
        <v>76.007183908045945</v>
      </c>
      <c r="CJ317" s="218">
        <f t="shared" ref="CJ317" si="2620">IF((CH317-CG317)&gt;0,CH317-CG317,0)</f>
        <v>0</v>
      </c>
      <c r="CK317" s="248"/>
      <c r="CL317" s="303" t="s">
        <v>466</v>
      </c>
      <c r="CM317" s="218" t="s">
        <v>439</v>
      </c>
      <c r="CN317" s="304" t="s">
        <v>133</v>
      </c>
      <c r="CO317" s="120"/>
      <c r="CP317" s="117">
        <f>Konvention_1slave-KLslave</f>
        <v>12</v>
      </c>
      <c r="CQ317" s="117">
        <f t="shared" ref="CQ317" si="2621">Konvention_1slave-INslave_IN</f>
        <v>11</v>
      </c>
      <c r="CR317" s="117"/>
      <c r="CS317" s="117"/>
      <c r="CT317" s="117">
        <f>Konvention_1slave-GEslave</f>
        <v>12</v>
      </c>
      <c r="CU317" s="117"/>
      <c r="CV317" s="121"/>
      <c r="CW317" s="223">
        <f t="shared" ref="CW317" si="2622">(CO317+CP317+CQ317+CR317+CS317+CT317+CU317+CV317)/3</f>
        <v>11.666666666666666</v>
      </c>
      <c r="CX317" s="223">
        <f t="shared" ref="CX317" si="2623">2*CW317</f>
        <v>23.333333333333332</v>
      </c>
      <c r="CY317" s="224">
        <f t="shared" ref="CY317" si="2624">3*CW317</f>
        <v>35</v>
      </c>
      <c r="CZ317" s="237">
        <f t="shared" si="2240"/>
        <v>2432</v>
      </c>
      <c r="DA317" s="117">
        <f>CP317*CQ317*GEslave+CP317*INslave_IN*CT317+KLslave*CQ317*CT317</f>
        <v>3408</v>
      </c>
      <c r="DB317" s="224">
        <f t="shared" ref="DB317" si="2625">IFERROR(CO317^SIGN(CO317),1)*IFERROR(CP317^SIGN(CP317),1)*IFERROR(CQ317^SIGN(CQ317),1)*IFERROR(CR317^SIGN(CR317),1)*IFERROR(CS317^SIGN(CS317),1)*IFERROR(CT317^SIGN(CT317),1)*IFERROR(CU317^SIGN(CU317),1)*IFERROR(CV317^SIGN(CV317),1)</f>
        <v>1584</v>
      </c>
      <c r="DC317" s="224">
        <f t="shared" si="2162"/>
        <v>7424</v>
      </c>
      <c r="DD317" s="222">
        <f t="shared" ref="DD317" si="2626">CW317*CZ317/DC317</f>
        <v>3.8218390804597702</v>
      </c>
      <c r="DE317" s="223">
        <f t="shared" ref="DE317" si="2627">CX317*DA317/DC317</f>
        <v>10.711206896551724</v>
      </c>
      <c r="DF317" s="243">
        <f t="shared" ref="DF317" si="2628">CY317*DB317/DC317</f>
        <v>7.4676724137931032</v>
      </c>
      <c r="DG317" s="243">
        <f t="shared" ref="DG317" si="2629">SUM(DD317:DF317)</f>
        <v>22.000718390804597</v>
      </c>
      <c r="DH317" s="252">
        <f t="shared" si="1848"/>
        <v>0</v>
      </c>
      <c r="DI317" s="324">
        <f t="shared" ref="DI317" si="2630">DG317-DH317</f>
        <v>22.000718390804597</v>
      </c>
      <c r="DJ317" s="304">
        <f>IF(DG317&lt;=0,1,0)+IF(DG317&gt;0,DG317+1,0)*1+IF(DG317&gt;12,DG317-12,0)*1+IF(DG317&gt;13,DG317-13,0)*1+IF(DG317&gt;14,DG317-14,0)*1+IF(DG317&gt;15,DG317-15,0)*1+IF(DG317&gt;16,DG317-16,0)*1+IF(DG317&gt;17,DG317-17,0)*1+IF(DG317&gt;18,DG317-18,0)*1+IF(DG317&gt;19,DG317-19,0)*1+IF(DG317&gt;20,DG317-20,0)*1</f>
        <v>77.007183908045945</v>
      </c>
      <c r="DK317" s="335">
        <f>IF(DH317&lt;=0,1,0)+IF(DH317&gt;0,DH317+1,0)*1+IF(DH317&gt;12,DH317-12,0)*1+IF(DH317&gt;13,DH317-13,0)*1+IF(DH317&gt;14,DH317-14,0)*1+IF(DH317&gt;15,DH317-15,0)*1+IF(DH317&gt;16,DH317-16,0)*1+IF(DH317&gt;17,DH317-17,0)*1+IF(DH317&gt;18,DH317-18,0)*1+IF(DH317&gt;19,DH317-19,0)*1+IF(DH317&gt;20,DH317-20,0)*1</f>
        <v>1</v>
      </c>
      <c r="DL317" s="243">
        <f t="shared" ref="DL317" si="2631">IF((DJ317-DK317)&gt;0,DJ317-DK317,0)</f>
        <v>76.007183908045945</v>
      </c>
      <c r="DM317" s="218">
        <f t="shared" ref="DM317" si="2632">IF((DK317-DJ317)&gt;0,DK317-DJ317,0)</f>
        <v>0</v>
      </c>
      <c r="DN317" s="248"/>
      <c r="DO317" s="303" t="s">
        <v>466</v>
      </c>
      <c r="DP317" s="218" t="s">
        <v>439</v>
      </c>
      <c r="DQ317" s="304" t="s">
        <v>133</v>
      </c>
      <c r="DR317" s="120"/>
      <c r="DS317" s="117">
        <f>Konvention_1slave-KLslave</f>
        <v>12</v>
      </c>
      <c r="DT317" s="117">
        <f t="shared" ref="DT317" si="2633">Konvention_1slave-INslave</f>
        <v>12</v>
      </c>
      <c r="DU317" s="117"/>
      <c r="DV317" s="117"/>
      <c r="DW317" s="117">
        <f>Konvention_1slave-GEslave</f>
        <v>12</v>
      </c>
      <c r="DX317" s="117"/>
      <c r="DY317" s="121"/>
      <c r="DZ317" s="223">
        <f t="shared" ref="DZ317" si="2634">(DR317+DS317+DT317+DU317+DV317+DW317+DX317+DY317)/3</f>
        <v>12</v>
      </c>
      <c r="EA317" s="223">
        <f t="shared" ref="EA317" si="2635">2*DZ317</f>
        <v>24</v>
      </c>
      <c r="EB317" s="224">
        <f t="shared" ref="EB317" si="2636">3*DZ317</f>
        <v>36</v>
      </c>
      <c r="EC317" s="237">
        <f t="shared" si="2242"/>
        <v>2304</v>
      </c>
      <c r="ED317" s="117">
        <f>DS317*DT317*GEslave+DS317*INslave*DW317+KLslave*DT317*DW317</f>
        <v>3456</v>
      </c>
      <c r="EE317" s="224">
        <f t="shared" ref="EE317" si="2637">IFERROR(DR317^SIGN(DR317),1)*IFERROR(DS317^SIGN(DS317),1)*IFERROR(DT317^SIGN(DT317),1)*IFERROR(DU317^SIGN(DU317),1)*IFERROR(DV317^SIGN(DV317),1)*IFERROR(DW317^SIGN(DW317),1)*IFERROR(DX317^SIGN(DX317),1)*IFERROR(DY317^SIGN(DY317),1)</f>
        <v>1728</v>
      </c>
      <c r="EF317" s="224">
        <f t="shared" si="2164"/>
        <v>7488</v>
      </c>
      <c r="EG317" s="222">
        <f t="shared" ref="EG317" si="2638">DZ317*EC317/EF317</f>
        <v>3.6923076923076925</v>
      </c>
      <c r="EH317" s="223">
        <f t="shared" ref="EH317" si="2639">EA317*ED317/EF317</f>
        <v>11.076923076923077</v>
      </c>
      <c r="EI317" s="243">
        <f t="shared" ref="EI317" si="2640">EB317*EE317/EF317</f>
        <v>8.3076923076923084</v>
      </c>
      <c r="EJ317" s="243">
        <f t="shared" ref="EJ317" si="2641">SUM(EG317:EI317)</f>
        <v>23.07692307692308</v>
      </c>
      <c r="EK317" s="252">
        <f t="shared" si="1863"/>
        <v>0</v>
      </c>
      <c r="EL317" s="324">
        <f t="shared" ref="EL317" si="2642">EJ317-EK317</f>
        <v>23.07692307692308</v>
      </c>
      <c r="EM317" s="304">
        <f>IF(EJ317&lt;=0,1,0)+IF(EJ317&gt;0,EJ317+1,0)*1+IF(EJ317&gt;12,EJ317-12,0)*1+IF(EJ317&gt;13,EJ317-13,0)*1+IF(EJ317&gt;14,EJ317-14,0)*1+IF(EJ317&gt;15,EJ317-15,0)*1+IF(EJ317&gt;16,EJ317-16,0)*1+IF(EJ317&gt;17,EJ317-17,0)*1+IF(EJ317&gt;18,EJ317-18,0)*1+IF(EJ317&gt;19,EJ317-19,0)*1+IF(EJ317&gt;20,EJ317-20,0)*1</f>
        <v>87.769230769230802</v>
      </c>
      <c r="EN317" s="335">
        <f>IF(EK317&lt;=0,1,0)+IF(EK317&gt;0,EK317+1,0)*1+IF(EK317&gt;12,EK317-12,0)*1+IF(EK317&gt;13,EK317-13,0)*1+IF(EK317&gt;14,EK317-14,0)*1+IF(EK317&gt;15,EK317-15,0)*1+IF(EK317&gt;16,EK317-16,0)*1+IF(EK317&gt;17,EK317-17,0)*1+IF(EK317&gt;18,EK317-18,0)*1+IF(EK317&gt;19,EK317-19,0)*1+IF(EK317&gt;20,EK317-20,0)*1</f>
        <v>1</v>
      </c>
      <c r="EO317" s="243">
        <f t="shared" ref="EO317" si="2643">IF((EM317-EN317)&gt;0,EM317-EN317,0)</f>
        <v>86.769230769230802</v>
      </c>
      <c r="EP317" s="218">
        <f t="shared" ref="EP317" si="2644">IF((EN317-EM317)&gt;0,EN317-EM317,0)</f>
        <v>0</v>
      </c>
      <c r="EQ317" s="248"/>
      <c r="ER317" s="303" t="s">
        <v>466</v>
      </c>
      <c r="ES317" s="218" t="s">
        <v>439</v>
      </c>
      <c r="ET317" s="304" t="s">
        <v>133</v>
      </c>
      <c r="EU317" s="120"/>
      <c r="EV317" s="117">
        <f>Konvention_1slave-KLslave</f>
        <v>12</v>
      </c>
      <c r="EW317" s="117">
        <f t="shared" ref="EW317" si="2645">Konvention_1slave-INslave</f>
        <v>12</v>
      </c>
      <c r="EX317" s="117"/>
      <c r="EY317" s="117"/>
      <c r="EZ317" s="117">
        <f>Konvention_1slave-GEslave</f>
        <v>12</v>
      </c>
      <c r="FA317" s="117"/>
      <c r="FB317" s="121"/>
      <c r="FC317" s="223">
        <f t="shared" ref="FC317" si="2646">(EU317+EV317+EW317+EX317+EY317+EZ317+FA317+FB317)/3</f>
        <v>12</v>
      </c>
      <c r="FD317" s="223">
        <f t="shared" ref="FD317" si="2647">2*FC317</f>
        <v>24</v>
      </c>
      <c r="FE317" s="224">
        <f t="shared" ref="FE317" si="2648">3*FC317</f>
        <v>36</v>
      </c>
      <c r="FF317" s="237">
        <f t="shared" si="2244"/>
        <v>2304</v>
      </c>
      <c r="FG317" s="117">
        <f>EV317*EW317*GEslave+EV317*INslave*EZ317+KLslave*EW317*EZ317</f>
        <v>3456</v>
      </c>
      <c r="FH317" s="224">
        <f t="shared" ref="FH317" si="2649">IFERROR(EU317^SIGN(EU317),1)*IFERROR(EV317^SIGN(EV317),1)*IFERROR(EW317^SIGN(EW317),1)*IFERROR(EX317^SIGN(EX317),1)*IFERROR(EY317^SIGN(EY317),1)*IFERROR(EZ317^SIGN(EZ317),1)*IFERROR(FA317^SIGN(FA317),1)*IFERROR(FB317^SIGN(FB317),1)</f>
        <v>1728</v>
      </c>
      <c r="FI317" s="224">
        <f t="shared" si="2166"/>
        <v>7488</v>
      </c>
      <c r="FJ317" s="222">
        <f t="shared" ref="FJ317" si="2650">FC317*FF317/FI317</f>
        <v>3.6923076923076925</v>
      </c>
      <c r="FK317" s="223">
        <f t="shared" ref="FK317" si="2651">FD317*FG317/FI317</f>
        <v>11.076923076923077</v>
      </c>
      <c r="FL317" s="243">
        <f t="shared" ref="FL317" si="2652">FE317*FH317/FI317</f>
        <v>8.3076923076923084</v>
      </c>
      <c r="FM317" s="243">
        <f t="shared" ref="FM317" si="2653">SUM(FJ317:FL317)</f>
        <v>23.07692307692308</v>
      </c>
      <c r="FN317" s="252">
        <f t="shared" si="1878"/>
        <v>0</v>
      </c>
      <c r="FO317" s="324">
        <f t="shared" ref="FO317" si="2654">FM317-FN317</f>
        <v>23.07692307692308</v>
      </c>
      <c r="FP317" s="304">
        <f>IF(FM317&lt;=0,1,0)+IF(FM317&gt;0,FM317+1,0)*1+IF(FM317&gt;12,FM317-12,0)*1+IF(FM317&gt;13,FM317-13,0)*1+IF(FM317&gt;14,FM317-14,0)*1+IF(FM317&gt;15,FM317-15,0)*1+IF(FM317&gt;16,FM317-16,0)*1+IF(FM317&gt;17,FM317-17,0)*1+IF(FM317&gt;18,FM317-18,0)*1+IF(FM317&gt;19,FM317-19,0)*1+IF(FM317&gt;20,FM317-20,0)*1</f>
        <v>87.769230769230802</v>
      </c>
      <c r="FQ317" s="335">
        <f>IF(FN317&lt;=0,1,0)+IF(FN317&gt;0,FN317+1,0)*1+IF(FN317&gt;12,FN317-12,0)*1+IF(FN317&gt;13,FN317-13,0)*1+IF(FN317&gt;14,FN317-14,0)*1+IF(FN317&gt;15,FN317-15,0)*1+IF(FN317&gt;16,FN317-16,0)*1+IF(FN317&gt;17,FN317-17,0)*1+IF(FN317&gt;18,FN317-18,0)*1+IF(FN317&gt;19,FN317-19,0)*1+IF(FN317&gt;20,FN317-20,0)*1</f>
        <v>1</v>
      </c>
      <c r="FR317" s="243">
        <f t="shared" ref="FR317" si="2655">IF((FP317-FQ317)&gt;0,FP317-FQ317,0)</f>
        <v>86.769230769230802</v>
      </c>
      <c r="FS317" s="218">
        <f t="shared" ref="FS317" si="2656">IF((FQ317-FP317)&gt;0,FQ317-FP317,0)</f>
        <v>0</v>
      </c>
      <c r="FT317" s="248"/>
      <c r="FU317" s="303" t="s">
        <v>466</v>
      </c>
      <c r="FV317" s="218" t="s">
        <v>439</v>
      </c>
      <c r="FW317" s="304" t="s">
        <v>133</v>
      </c>
      <c r="FX317" s="120"/>
      <c r="FY317" s="117">
        <f>Konvention_1slave-KLslave</f>
        <v>12</v>
      </c>
      <c r="FZ317" s="117">
        <f t="shared" ref="FZ317" si="2657">Konvention_1slave-INslave</f>
        <v>12</v>
      </c>
      <c r="GA317" s="117"/>
      <c r="GB317" s="117"/>
      <c r="GC317" s="117">
        <f>Konvention_1slave-GEslave_GE</f>
        <v>11</v>
      </c>
      <c r="GD317" s="117"/>
      <c r="GE317" s="121"/>
      <c r="GF317" s="223">
        <f t="shared" ref="GF317" si="2658">(FX317+FY317+FZ317+GA317+GB317+GC317+GD317+GE317)/3</f>
        <v>11.666666666666666</v>
      </c>
      <c r="GG317" s="223">
        <f t="shared" ref="GG317" si="2659">2*GF317</f>
        <v>23.333333333333332</v>
      </c>
      <c r="GH317" s="224">
        <f t="shared" ref="GH317" si="2660">3*GF317</f>
        <v>35</v>
      </c>
      <c r="GI317" s="237">
        <f t="shared" si="2246"/>
        <v>2432</v>
      </c>
      <c r="GJ317" s="117">
        <f>FY317*FZ317*GEslave_GE+FY317*INslave*GC317+KLslave*FZ317*GC317</f>
        <v>3408</v>
      </c>
      <c r="GK317" s="224">
        <f t="shared" ref="GK317" si="2661">IFERROR(FX317^SIGN(FX317),1)*IFERROR(FY317^SIGN(FY317),1)*IFERROR(FZ317^SIGN(FZ317),1)*IFERROR(GA317^SIGN(GA317),1)*IFERROR(GB317^SIGN(GB317),1)*IFERROR(GC317^SIGN(GC317),1)*IFERROR(GD317^SIGN(GD317),1)*IFERROR(GE317^SIGN(GE317),1)</f>
        <v>1584</v>
      </c>
      <c r="GL317" s="224">
        <f t="shared" si="2168"/>
        <v>7424</v>
      </c>
      <c r="GM317" s="222">
        <f t="shared" ref="GM317" si="2662">GF317*GI317/GL317</f>
        <v>3.8218390804597702</v>
      </c>
      <c r="GN317" s="223">
        <f t="shared" ref="GN317" si="2663">GG317*GJ317/GL317</f>
        <v>10.711206896551724</v>
      </c>
      <c r="GO317" s="243">
        <f t="shared" ref="GO317" si="2664">GH317*GK317/GL317</f>
        <v>7.4676724137931032</v>
      </c>
      <c r="GP317" s="243">
        <f t="shared" ref="GP317" si="2665">SUM(GM317:GO317)</f>
        <v>22.000718390804597</v>
      </c>
      <c r="GQ317" s="252">
        <f t="shared" si="1893"/>
        <v>0</v>
      </c>
      <c r="GR317" s="324">
        <f t="shared" ref="GR317" si="2666">GP317-GQ317</f>
        <v>22.000718390804597</v>
      </c>
      <c r="GS317" s="304">
        <f>IF(GP317&lt;=0,1,0)+IF(GP317&gt;0,GP317+1,0)*1+IF(GP317&gt;12,GP317-12,0)*1+IF(GP317&gt;13,GP317-13,0)*1+IF(GP317&gt;14,GP317-14,0)*1+IF(GP317&gt;15,GP317-15,0)*1+IF(GP317&gt;16,GP317-16,0)*1+IF(GP317&gt;17,GP317-17,0)*1+IF(GP317&gt;18,GP317-18,0)*1+IF(GP317&gt;19,GP317-19,0)*1+IF(GP317&gt;20,GP317-20,0)*1</f>
        <v>77.007183908045945</v>
      </c>
      <c r="GT317" s="335">
        <f>IF(GQ317&lt;=0,1,0)+IF(GQ317&gt;0,GQ317+1,0)*1+IF(GQ317&gt;12,GQ317-12,0)*1+IF(GQ317&gt;13,GQ317-13,0)*1+IF(GQ317&gt;14,GQ317-14,0)*1+IF(GQ317&gt;15,GQ317-15,0)*1+IF(GQ317&gt;16,GQ317-16,0)*1+IF(GQ317&gt;17,GQ317-17,0)*1+IF(GQ317&gt;18,GQ317-18,0)*1+IF(GQ317&gt;19,GQ317-19,0)*1+IF(GQ317&gt;20,GQ317-20,0)*1</f>
        <v>1</v>
      </c>
      <c r="GU317" s="243">
        <f t="shared" ref="GU317" si="2667">IF((GS317-GT317)&gt;0,GS317-GT317,0)</f>
        <v>76.007183908045945</v>
      </c>
      <c r="GV317" s="218">
        <f t="shared" ref="GV317" si="2668">IF((GT317-GS317)&gt;0,GT317-GS317,0)</f>
        <v>0</v>
      </c>
      <c r="GW317" s="248"/>
      <c r="GX317" s="303" t="s">
        <v>466</v>
      </c>
      <c r="GY317" s="218" t="s">
        <v>439</v>
      </c>
      <c r="GZ317" s="304" t="s">
        <v>133</v>
      </c>
      <c r="HA317" s="120"/>
      <c r="HB317" s="117">
        <f>Konvention_1slave-KLslave</f>
        <v>12</v>
      </c>
      <c r="HC317" s="117">
        <f t="shared" ref="HC317" si="2669">Konvention_1slave-INslave</f>
        <v>12</v>
      </c>
      <c r="HD317" s="117"/>
      <c r="HE317" s="117"/>
      <c r="HF317" s="117">
        <f>Konvention_1slave-GEslave</f>
        <v>12</v>
      </c>
      <c r="HG317" s="117"/>
      <c r="HH317" s="121"/>
      <c r="HI317" s="223">
        <f t="shared" ref="HI317" si="2670">(HA317+HB317+HC317+HD317+HE317+HF317+HG317+HH317)/3</f>
        <v>12</v>
      </c>
      <c r="HJ317" s="223">
        <f t="shared" ref="HJ317" si="2671">2*HI317</f>
        <v>24</v>
      </c>
      <c r="HK317" s="224">
        <f t="shared" ref="HK317" si="2672">3*HI317</f>
        <v>36</v>
      </c>
      <c r="HL317" s="237">
        <f t="shared" si="2248"/>
        <v>2304</v>
      </c>
      <c r="HM317" s="117">
        <f>HB317*HC317*GEslave+HB317*INslave*HF317+KLslave*HC317*HF317</f>
        <v>3456</v>
      </c>
      <c r="HN317" s="224">
        <f t="shared" ref="HN317" si="2673">IFERROR(HA317^SIGN(HA317),1)*IFERROR(HB317^SIGN(HB317),1)*IFERROR(HC317^SIGN(HC317),1)*IFERROR(HD317^SIGN(HD317),1)*IFERROR(HE317^SIGN(HE317),1)*IFERROR(HF317^SIGN(HF317),1)*IFERROR(HG317^SIGN(HG317),1)*IFERROR(HH317^SIGN(HH317),1)</f>
        <v>1728</v>
      </c>
      <c r="HO317" s="224">
        <f t="shared" si="2170"/>
        <v>7488</v>
      </c>
      <c r="HP317" s="222">
        <f t="shared" ref="HP317" si="2674">HI317*HL317/HO317</f>
        <v>3.6923076923076925</v>
      </c>
      <c r="HQ317" s="223">
        <f t="shared" ref="HQ317" si="2675">HJ317*HM317/HO317</f>
        <v>11.076923076923077</v>
      </c>
      <c r="HR317" s="243">
        <f t="shared" ref="HR317" si="2676">HK317*HN317/HO317</f>
        <v>8.3076923076923084</v>
      </c>
      <c r="HS317" s="243">
        <f t="shared" ref="HS317" si="2677">SUM(HP317:HR317)</f>
        <v>23.07692307692308</v>
      </c>
      <c r="HT317" s="252">
        <f t="shared" si="1908"/>
        <v>0</v>
      </c>
      <c r="HU317" s="324">
        <f t="shared" ref="HU317" si="2678">HS317-HT317</f>
        <v>23.07692307692308</v>
      </c>
      <c r="HV317" s="304">
        <f>IF(HS317&lt;=0,1,0)+IF(HS317&gt;0,HS317+1,0)*1+IF(HS317&gt;12,HS317-12,0)*1+IF(HS317&gt;13,HS317-13,0)*1+IF(HS317&gt;14,HS317-14,0)*1+IF(HS317&gt;15,HS317-15,0)*1+IF(HS317&gt;16,HS317-16,0)*1+IF(HS317&gt;17,HS317-17,0)*1+IF(HS317&gt;18,HS317-18,0)*1+IF(HS317&gt;19,HS317-19,0)*1+IF(HS317&gt;20,HS317-20,0)*1</f>
        <v>87.769230769230802</v>
      </c>
      <c r="HW317" s="335">
        <f>IF(HT317&lt;=0,1,0)+IF(HT317&gt;0,HT317+1,0)*1+IF(HT317&gt;12,HT317-12,0)*1+IF(HT317&gt;13,HT317-13,0)*1+IF(HT317&gt;14,HT317-14,0)*1+IF(HT317&gt;15,HT317-15,0)*1+IF(HT317&gt;16,HT317-16,0)*1+IF(HT317&gt;17,HT317-17,0)*1+IF(HT317&gt;18,HT317-18,0)*1+IF(HT317&gt;19,HT317-19,0)*1+IF(HT317&gt;20,HT317-20,0)*1</f>
        <v>1</v>
      </c>
      <c r="HX317" s="243">
        <f t="shared" ref="HX317" si="2679">IF((HV317-HW317)&gt;0,HV317-HW317,0)</f>
        <v>86.769230769230802</v>
      </c>
      <c r="HY317" s="218">
        <f t="shared" ref="HY317" si="2680">IF((HW317-HV317)&gt;0,HW317-HV317,0)</f>
        <v>0</v>
      </c>
      <c r="HZ317" s="248"/>
      <c r="IA317" s="303" t="s">
        <v>466</v>
      </c>
      <c r="IB317" s="218" t="s">
        <v>439</v>
      </c>
      <c r="IC317" s="304" t="s">
        <v>133</v>
      </c>
      <c r="ID317" s="120"/>
      <c r="IE317" s="117">
        <f>Konvention_1slave-KLslave</f>
        <v>12</v>
      </c>
      <c r="IF317" s="117">
        <f t="shared" ref="IF317" si="2681">Konvention_1slave-INslave</f>
        <v>12</v>
      </c>
      <c r="IG317" s="117"/>
      <c r="IH317" s="117"/>
      <c r="II317" s="117">
        <f>Konvention_1slave-GEslave</f>
        <v>12</v>
      </c>
      <c r="IJ317" s="117"/>
      <c r="IK317" s="121"/>
      <c r="IL317" s="223">
        <f t="shared" ref="IL317" si="2682">(ID317+IE317+IF317+IG317+IH317+II317+IJ317+IK317)/3</f>
        <v>12</v>
      </c>
      <c r="IM317" s="223">
        <f t="shared" ref="IM317" si="2683">2*IL317</f>
        <v>24</v>
      </c>
      <c r="IN317" s="224">
        <f t="shared" ref="IN317" si="2684">3*IL317</f>
        <v>36</v>
      </c>
      <c r="IO317" s="237">
        <f t="shared" si="2250"/>
        <v>2304</v>
      </c>
      <c r="IP317" s="117">
        <f>IE317*IF317*GEslave+IE317*INslave*II317+KLslave*IF317*II317</f>
        <v>3456</v>
      </c>
      <c r="IQ317" s="224">
        <f t="shared" ref="IQ317" si="2685">IFERROR(ID317^SIGN(ID317),1)*IFERROR(IE317^SIGN(IE317),1)*IFERROR(IF317^SIGN(IF317),1)*IFERROR(IG317^SIGN(IG317),1)*IFERROR(IH317^SIGN(IH317),1)*IFERROR(II317^SIGN(II317),1)*IFERROR(IJ317^SIGN(IJ317),1)*IFERROR(IK317^SIGN(IK317),1)</f>
        <v>1728</v>
      </c>
      <c r="IR317" s="224">
        <f t="shared" si="2172"/>
        <v>7488</v>
      </c>
      <c r="IS317" s="222">
        <f t="shared" ref="IS317" si="2686">IL317*IO317/IR317</f>
        <v>3.6923076923076925</v>
      </c>
      <c r="IT317" s="223">
        <f t="shared" ref="IT317" si="2687">IM317*IP317/IR317</f>
        <v>11.076923076923077</v>
      </c>
      <c r="IU317" s="243">
        <f t="shared" ref="IU317" si="2688">IN317*IQ317/IR317</f>
        <v>8.3076923076923084</v>
      </c>
      <c r="IV317" s="243">
        <f t="shared" ref="IV317" si="2689">SUM(IS317:IU317)</f>
        <v>23.07692307692308</v>
      </c>
      <c r="IW317" s="252">
        <f t="shared" si="1923"/>
        <v>0</v>
      </c>
      <c r="IX317" s="324">
        <f t="shared" ref="IX317" si="2690">IV317-IW317</f>
        <v>23.07692307692308</v>
      </c>
      <c r="IY317" s="304">
        <f>IF(IV317&lt;=0,1,0)+IF(IV317&gt;0,IV317+1,0)*1+IF(IV317&gt;12,IV317-12,0)*1+IF(IV317&gt;13,IV317-13,0)*1+IF(IV317&gt;14,IV317-14,0)*1+IF(IV317&gt;15,IV317-15,0)*1+IF(IV317&gt;16,IV317-16,0)*1+IF(IV317&gt;17,IV317-17,0)*1+IF(IV317&gt;18,IV317-18,0)*1+IF(IV317&gt;19,IV317-19,0)*1+IF(IV317&gt;20,IV317-20,0)*1</f>
        <v>87.769230769230802</v>
      </c>
      <c r="IZ317" s="335">
        <f>IF(IW317&lt;=0,1,0)+IF(IW317&gt;0,IW317+1,0)*1+IF(IW317&gt;12,IW317-12,0)*1+IF(IW317&gt;13,IW317-13,0)*1+IF(IW317&gt;14,IW317-14,0)*1+IF(IW317&gt;15,IW317-15,0)*1+IF(IW317&gt;16,IW317-16,0)*1+IF(IW317&gt;17,IW317-17,0)*1+IF(IW317&gt;18,IW317-18,0)*1+IF(IW317&gt;19,IW317-19,0)*1+IF(IW317&gt;20,IW317-20,0)*1</f>
        <v>1</v>
      </c>
      <c r="JA317" s="243">
        <f t="shared" ref="JA317" si="2691">IF((IY317-IZ317)&gt;0,IY317-IZ317,0)</f>
        <v>86.769230769230802</v>
      </c>
      <c r="JB317" s="218">
        <f t="shared" ref="JB317" si="2692">IF((IZ317-IY317)&gt;0,IZ317-IY317,0)</f>
        <v>0</v>
      </c>
      <c r="JE317" s="148"/>
    </row>
    <row r="318" spans="1:265" s="205" customFormat="1" ht="15" hidden="1" customHeight="1" outlineLevel="2">
      <c r="A318" s="185"/>
      <c r="B318" s="217">
        <v>21</v>
      </c>
      <c r="C318" s="303" t="e">
        <f>VLOOKUP(AF318,Attribute!C:T,1,FALSE)</f>
        <v>#N/A</v>
      </c>
      <c r="D318" s="218" t="s">
        <v>471</v>
      </c>
      <c r="E318" s="304" t="s">
        <v>135</v>
      </c>
      <c r="F318" s="210"/>
      <c r="G318" s="211"/>
      <c r="H318" s="211"/>
      <c r="I318" s="113">
        <f>Konvention_1master-CHmaster</f>
        <v>12</v>
      </c>
      <c r="J318" s="211"/>
      <c r="K318" s="113">
        <f>Konvention_1master-GEmaster</f>
        <v>12</v>
      </c>
      <c r="L318" s="117">
        <f>Konvention_1master-KOmaster</f>
        <v>12</v>
      </c>
      <c r="M318" s="212"/>
      <c r="N318" s="223">
        <f>(F318+G318+H318+I318+J318+K318+L318+M318)/3</f>
        <v>12</v>
      </c>
      <c r="O318" s="223">
        <f>2*N318</f>
        <v>24</v>
      </c>
      <c r="P318" s="224">
        <f>3*N318</f>
        <v>36</v>
      </c>
      <c r="Q318" s="237">
        <f>F318*POWER(KLmaster,SIGN(G318))*POWER(INmaster,SIGN(H318))*POWER(CHmaster,SIGN(I318))*POWER(FFmaster,SIGN(J318))*POWER(GEmaster,SIGN(K318))*POWER(KOmaster,SIGN(L318))*POWER(KKmaster,SIGN(M318))+G318*POWER(MUmaster,SIGN(F318))*POWER(INmaster,SIGN(H318))*POWER(CHmaster,SIGN(I318))*POWER(FFmaster,SIGN(J318))*POWER(GEmaster,SIGN(K318))*POWER(KOmaster,SIGN(L318))*POWER(KKmaster,SIGN(M318))+H318*POWER(MUmaster,SIGN(F318))*POWER(KLmaster,SIGN(G318))*POWER(CHmaster,SIGN(I318))*POWER(FFmaster,SIGN(J318))*POWER(GEmaster,SIGN(K318))*POWER(KOmaster,SIGN(L318))*POWER(KKmaster,SIGN(M318))+I318*POWER(MUmaster,SIGN(F318))*POWER(KLmaster,SIGN(G318))*POWER(INmaster,SIGN(H318))*POWER(FFmaster,SIGN(J318))*POWER(GEmaster,SIGN(K318))*POWER(KOmaster,SIGN(L318))*POWER(KKmaster,SIGN(M318))+J318*POWER(MUmaster,SIGN(F318))*POWER(KLmaster,SIGN(G318))*POWER(INmaster,SIGN(H318))*POWER(CHmaster,SIGN(I318))*POWER(GEmaster,SIGN(K318))*POWER(KOmaster,SIGN(L318))*POWER(KKmaster,SIGN(M318))+K318*POWER(MUmaster,SIGN(F318))*POWER(KLmaster,SIGN(G318))*POWER(INmaster,SIGN(H318))*POWER(CHmaster,SIGN(I318))*POWER(FFmaster,SIGN(J318))*POWER(KOmaster,SIGN(L318))*POWER(KKmaster,SIGN(M318))+L318*POWER(MUmaster,SIGN(F318))*POWER(KLmaster,SIGN(G318))*POWER(INmaster,SIGN(H318))*POWER(CHmaster,SIGN(I318))*POWER(FFmaster,SIGN(J318))*POWER(GEmaster,SIGN(K318))*POWER(KKmaster,SIGN(M318))+M318*POWER(MUmaster,SIGN(F318))*POWER(KLmaster,SIGN(G318))*POWER(INmaster,SIGN(H318))*POWER(CHmaster,SIGN(I318))*POWER(FFmaster,SIGN(J318))*POWER(GEmaster,SIGN(K318))*POWER(KOmaster,SIGN(L318))</f>
        <v>2304</v>
      </c>
      <c r="R318" s="234">
        <f>I318*K318*KOmaster+I318*GEmaster*L318+CHmaster*K318*L318</f>
        <v>3456</v>
      </c>
      <c r="S318" s="224">
        <f>IFERROR(F318^SIGN(F318),1)*IFERROR(G318^SIGN(G318),1)*IFERROR(H318^SIGN(H318),1)*IFERROR(I318^SIGN(I318),1)*IFERROR(J318^SIGN(J318),1)*IFERROR(K318^SIGN(K318),1)*IFERROR(L318^SIGN(L318),1)*IFERROR(M318^SIGN(M318),1)</f>
        <v>1728</v>
      </c>
      <c r="T318" s="224">
        <f t="shared" ref="T318:T321" si="2693">SUM(Q318:S318)</f>
        <v>7488</v>
      </c>
      <c r="U318" s="222">
        <f>N318*Q318/T318</f>
        <v>3.6923076923076925</v>
      </c>
      <c r="V318" s="223">
        <f>O318*R318/T318</f>
        <v>11.076923076923077</v>
      </c>
      <c r="W318" s="243">
        <f>P318*S318/T318</f>
        <v>8.3076923076923084</v>
      </c>
      <c r="X318" s="243">
        <f>SUM(U318:W318)</f>
        <v>23.07692307692308</v>
      </c>
      <c r="Y318" s="252">
        <v>0</v>
      </c>
      <c r="Z318" s="324">
        <f>X318-Y318</f>
        <v>23.07692307692308</v>
      </c>
      <c r="AA318" s="304">
        <f>IF(X318&lt;=0,3,0)+IF(X318&gt;0,X318+1,0)*3+IF(X318&gt;12,X318-12,0)*3+IF(X318&gt;13,X318-13,0)*3+IF(X318&gt;14,X318-14,0)*3+IF(X318&gt;15,X318-15,0)*3+IF(X318&gt;16,X318-16,0)*3+IF(X318&gt;17,X318-17,0)*3+IF(X318&gt;18,X318-18,0)*3+IF(X318&gt;19,X318-19,0)*3+IF(X318&gt;20,X318-20,0)*3</f>
        <v>263.30769230769232</v>
      </c>
      <c r="AB318" s="335">
        <f>IF(Y318&lt;=0,3,0)+IF(Y318&gt;0,Y318+1,0)*3+IF(Y318&gt;12,Y318-12,0)*3+IF(Y318&gt;13,Y318-13,0)*3+IF(Y318&gt;14,Y318-14,0)*3+IF(Y318&gt;15,Y318-15,0)*3+IF(Y318&gt;16,Y318-16,0)*3+IF(Y318&gt;17,Y318-17,0)*3+IF(Y318&gt;18,Y318-18,0)*3+IF(Y318&gt;19,Y318-19,0)*3+IF(Y318&gt;20,Y318-20,0)*3</f>
        <v>3</v>
      </c>
      <c r="AC318" s="243">
        <f>IF((AA318-AB318)&gt;0,AA318-AB318,0)</f>
        <v>260.30769230769232</v>
      </c>
      <c r="AD318" s="218">
        <f>IF((AB318-AA318)&gt;0,AB318-AA318,0)</f>
        <v>0</v>
      </c>
      <c r="AE318" s="299"/>
      <c r="AF318" s="303" t="s">
        <v>467</v>
      </c>
      <c r="AG318" s="218" t="s">
        <v>471</v>
      </c>
      <c r="AH318" s="304" t="s">
        <v>135</v>
      </c>
      <c r="AI318" s="210"/>
      <c r="AJ318" s="211"/>
      <c r="AK318" s="211"/>
      <c r="AL318" s="113">
        <f>Konvention_1slave-CHslave</f>
        <v>12</v>
      </c>
      <c r="AM318" s="211"/>
      <c r="AN318" s="113">
        <f>Konvention_1slave-GEslave</f>
        <v>12</v>
      </c>
      <c r="AO318" s="117">
        <f>Konvention_1slave-KOslave</f>
        <v>12</v>
      </c>
      <c r="AP318" s="212"/>
      <c r="AQ318" s="223">
        <f>(AI318+AJ318+AK318+AL318+AM318+AN318+AO318+AP318)/3</f>
        <v>12</v>
      </c>
      <c r="AR318" s="223">
        <f>2*AQ318</f>
        <v>24</v>
      </c>
      <c r="AS318" s="224">
        <f>3*AQ318</f>
        <v>36</v>
      </c>
      <c r="AT318" s="237">
        <f>AI318*POWER(KLslave,SIGN(AJ318))*POWER(INslave,SIGN(AK318))*POWER(CHslave,SIGN(AL318))*POWER(FFslave,SIGN(AM318))*POWER(GEslave,SIGN(AN318))*POWER(KOslave,SIGN(AO318))*POWER(KKslave,SIGN(AP318))+AJ318*POWER(MUslave,SIGN(AI318))*POWER(INslave,SIGN(AK318))*POWER(CHslave,SIGN(AL318))*POWER(FFslave,SIGN(AM318))*POWER(GEslave,SIGN(AN318))*POWER(KOslave,SIGN(AO318))*POWER(KKslave,SIGN(AP318))+AK318*POWER(MUslave,SIGN(AI318))*POWER(KLslave,SIGN(AJ318))*POWER(CHslave,SIGN(AL318))*POWER(FFslave,SIGN(AM318))*POWER(GEslave,SIGN(AN318))*POWER(KOslave,SIGN(AO318))*POWER(KKslave,SIGN(AP318))+AL318*POWER(MUslave,SIGN(AI318))*POWER(KLslave,SIGN(AJ318))*POWER(INslave,SIGN(AK318))*POWER(FFslave,SIGN(AM318))*POWER(GEslave,SIGN(AN318))*POWER(KOslave,SIGN(AO318))*POWER(KKslave,SIGN(AP318))+AM318*POWER(MUslave,SIGN(AI318))*POWER(KLslave,SIGN(AJ318))*POWER(INslave,SIGN(AK318))*POWER(CHslave,SIGN(AL318))*POWER(GEslave,SIGN(AN318))*POWER(KOslave,SIGN(AO318))*POWER(KKslave,SIGN(AP318))+AN318*POWER(MUslave,SIGN(AI318))*POWER(KLslave,SIGN(AJ318))*POWER(INslave,SIGN(AK318))*POWER(CHslave,SIGN(AL318))*POWER(FFslave,SIGN(AM318))*POWER(KOslave,SIGN(AO318))*POWER(KKslave,SIGN(AP318))+AO318*POWER(MUslave,SIGN(AI318))*POWER(KLslave,SIGN(AJ318))*POWER(INslave,SIGN(AK318))*POWER(CHslave,SIGN(AL318))*POWER(FFslave,SIGN(AM318))*POWER(GEslave,SIGN(AN318))*POWER(KKslave,SIGN(AP318))+AP318*POWER(MUslave,SIGN(AI318))*POWER(KLslave,SIGN(AJ318))*POWER(INslave,SIGN(AK318))*POWER(CHslave,SIGN(AL318))*POWER(FFslave,SIGN(AM318))*POWER(GEslave,SIGN(AN318))*POWER(KOslave,SIGN(AO318))</f>
        <v>2304</v>
      </c>
      <c r="AU318" s="234">
        <f>AL318*AN318*KOslave+AL318*GEslave*AO318+CHslave*AN318*AO318</f>
        <v>3456</v>
      </c>
      <c r="AV318" s="224">
        <f>IFERROR(AI318^SIGN(AI318),1)*IFERROR(AJ318^SIGN(AJ318),1)*IFERROR(AK318^SIGN(AK318),1)*IFERROR(AL318^SIGN(AL318),1)*IFERROR(AM318^SIGN(AM318),1)*IFERROR(AN318^SIGN(AN318),1)*IFERROR(AO318^SIGN(AO318),1)*IFERROR(AP318^SIGN(AP318),1)</f>
        <v>1728</v>
      </c>
      <c r="AW318" s="224">
        <f t="shared" si="2158"/>
        <v>7488</v>
      </c>
      <c r="AX318" s="222">
        <f>AQ318*AT318/AW318</f>
        <v>3.6923076923076925</v>
      </c>
      <c r="AY318" s="223">
        <f>AR318*AU318/AW318</f>
        <v>11.076923076923077</v>
      </c>
      <c r="AZ318" s="243">
        <f>AS318*AV318/AW318</f>
        <v>8.3076923076923084</v>
      </c>
      <c r="BA318" s="243">
        <f>SUM(AX318:AZ318)</f>
        <v>23.07692307692308</v>
      </c>
      <c r="BB318" s="252">
        <f t="shared" si="2034"/>
        <v>0</v>
      </c>
      <c r="BC318" s="324">
        <f>BA318-BB318</f>
        <v>23.07692307692308</v>
      </c>
      <c r="BD318" s="304">
        <f>IF(BA318&lt;=0,3,0)+IF(BA318&gt;0,BA318+1,0)*3+IF(BA318&gt;12,BA318-12,0)*3+IF(BA318&gt;13,BA318-13,0)*3+IF(BA318&gt;14,BA318-14,0)*3+IF(BA318&gt;15,BA318-15,0)*3+IF(BA318&gt;16,BA318-16,0)*3+IF(BA318&gt;17,BA318-17,0)*3+IF(BA318&gt;18,BA318-18,0)*3+IF(BA318&gt;19,BA318-19,0)*3+IF(BA318&gt;20,BA318-20,0)*3</f>
        <v>263.30769230769232</v>
      </c>
      <c r="BE318" s="335">
        <f>IF(BB318&lt;=0,3,0)+IF(BB318&gt;0,BB318+1,0)*3+IF(BB318&gt;12,BB318-12,0)*3+IF(BB318&gt;13,BB318-13,0)*3+IF(BB318&gt;14,BB318-14,0)*3+IF(BB318&gt;15,BB318-15,0)*3+IF(BB318&gt;16,BB318-16,0)*3+IF(BB318&gt;17,BB318-17,0)*3+IF(BB318&gt;18,BB318-18,0)*3+IF(BB318&gt;19,BB318-19,0)*3+IF(BB318&gt;20,BB318-20,0)*3</f>
        <v>3</v>
      </c>
      <c r="BF318" s="243">
        <f>IF((BD318-BE318)&gt;0,BD318-BE318,0)</f>
        <v>260.30769230769232</v>
      </c>
      <c r="BG318" s="218">
        <f>IF((BE318-BD318)&gt;0,BE318-BD318,0)</f>
        <v>0</v>
      </c>
      <c r="BH318" s="248"/>
      <c r="BI318" s="303" t="s">
        <v>467</v>
      </c>
      <c r="BJ318" s="218" t="s">
        <v>471</v>
      </c>
      <c r="BK318" s="304" t="s">
        <v>135</v>
      </c>
      <c r="BL318" s="210"/>
      <c r="BM318" s="211"/>
      <c r="BN318" s="211"/>
      <c r="BO318" s="113">
        <f>Konvention_1slave-CHslave</f>
        <v>12</v>
      </c>
      <c r="BP318" s="211"/>
      <c r="BQ318" s="113">
        <f>Konvention_1slave-GEslave</f>
        <v>12</v>
      </c>
      <c r="BR318" s="117">
        <f>Konvention_1slave-KOslave</f>
        <v>12</v>
      </c>
      <c r="BS318" s="212"/>
      <c r="BT318" s="223">
        <f>(BL318+BM318+BN318+BO318+BP318+BQ318+BR318+BS318)/3</f>
        <v>12</v>
      </c>
      <c r="BU318" s="223">
        <f>2*BT318</f>
        <v>24</v>
      </c>
      <c r="BV318" s="224">
        <f>3*BT318</f>
        <v>36</v>
      </c>
      <c r="BW318" s="237">
        <f>BL318*POWER(KLslave,SIGN(BM318))*POWER(INslave,SIGN(BN318))*POWER(CHslave,SIGN(BO318))*POWER(FFslave,SIGN(BP318))*POWER(GEslave,SIGN(BQ318))*POWER(KOslave,SIGN(BR318))*POWER(KKslave,SIGN(BS318))+BM318*POWER(MUslave,SIGN(BL318))*POWER(INslave,SIGN(BN318))*POWER(CHslave,SIGN(BO318))*POWER(FFslave,SIGN(BP318))*POWER(GEslave,SIGN(BQ318))*POWER(KOslave,SIGN(BR318))*POWER(KKslave,SIGN(BS318))+BN318*POWER(MUslave,SIGN(BL318))*POWER(KLslave,SIGN(BM318))*POWER(CHslave,SIGN(BO318))*POWER(FFslave,SIGN(BP318))*POWER(GEslave,SIGN(BQ318))*POWER(KOslave,SIGN(BR318))*POWER(KKslave,SIGN(BS318))+BO318*POWER(MUslave,SIGN(BL318))*POWER(KLslave,SIGN(BM318))*POWER(INslave,SIGN(BN318))*POWER(FFslave,SIGN(BP318))*POWER(GEslave,SIGN(BQ318))*POWER(KOslave,SIGN(BR318))*POWER(KKslave,SIGN(BS318))+BP318*POWER(MUslave,SIGN(BL318))*POWER(KLslave,SIGN(BM318))*POWER(INslave,SIGN(BN318))*POWER(CHslave,SIGN(BO318))*POWER(GEslave,SIGN(BQ318))*POWER(KOslave,SIGN(BR318))*POWER(KKslave,SIGN(BS318))+BQ318*POWER(MUslave,SIGN(BL318))*POWER(KLslave,SIGN(BM318))*POWER(INslave,SIGN(BN318))*POWER(CHslave,SIGN(BO318))*POWER(FFslave,SIGN(BP318))*POWER(KOslave,SIGN(BR318))*POWER(KKslave,SIGN(BS318))+BR318*POWER(MUslave,SIGN(BL318))*POWER(KLslave,SIGN(BM318))*POWER(INslave,SIGN(BN318))*POWER(CHslave,SIGN(BO318))*POWER(FFslave,SIGN(BP318))*POWER(GEslave,SIGN(BQ318))*POWER(KKslave,SIGN(BS318))+BS318*POWER(MUslave,SIGN(BL318))*POWER(KLslave,SIGN(BM318))*POWER(INslave,SIGN(BN318))*POWER(CHslave,SIGN(BO318))*POWER(FFslave,SIGN(BP318))*POWER(GEslave,SIGN(BQ318))*POWER(KOslave,SIGN(BR318))</f>
        <v>2304</v>
      </c>
      <c r="BX318" s="234">
        <f>BO318*BQ318*KOslave+BO318*GEslave*BR318+CHslave*BQ318*BR318</f>
        <v>3456</v>
      </c>
      <c r="BY318" s="224">
        <f>IFERROR(BL318^SIGN(BL318),1)*IFERROR(BM318^SIGN(BM318),1)*IFERROR(BN318^SIGN(BN318),1)*IFERROR(BO318^SIGN(BO318),1)*IFERROR(BP318^SIGN(BP318),1)*IFERROR(BQ318^SIGN(BQ318),1)*IFERROR(BR318^SIGN(BR318),1)*IFERROR(BS318^SIGN(BS318),1)</f>
        <v>1728</v>
      </c>
      <c r="BZ318" s="224">
        <f t="shared" si="2160"/>
        <v>7488</v>
      </c>
      <c r="CA318" s="222">
        <f>BT318*BW318/BZ318</f>
        <v>3.6923076923076925</v>
      </c>
      <c r="CB318" s="223">
        <f>BU318*BX318/BZ318</f>
        <v>11.076923076923077</v>
      </c>
      <c r="CC318" s="243">
        <f>BV318*BY318/BZ318</f>
        <v>8.3076923076923084</v>
      </c>
      <c r="CD318" s="243">
        <f>SUM(CA318:CC318)</f>
        <v>23.07692307692308</v>
      </c>
      <c r="CE318" s="252">
        <f t="shared" si="1833"/>
        <v>0</v>
      </c>
      <c r="CF318" s="324">
        <f>CD318-CE318</f>
        <v>23.07692307692308</v>
      </c>
      <c r="CG318" s="304">
        <f>IF(CD318&lt;=0,3,0)+IF(CD318&gt;0,CD318+1,0)*3+IF(CD318&gt;12,CD318-12,0)*3+IF(CD318&gt;13,CD318-13,0)*3+IF(CD318&gt;14,CD318-14,0)*3+IF(CD318&gt;15,CD318-15,0)*3+IF(CD318&gt;16,CD318-16,0)*3+IF(CD318&gt;17,CD318-17,0)*3+IF(CD318&gt;18,CD318-18,0)*3+IF(CD318&gt;19,CD318-19,0)*3+IF(CD318&gt;20,CD318-20,0)*3</f>
        <v>263.30769230769232</v>
      </c>
      <c r="CH318" s="335">
        <f>IF(CE318&lt;=0,3,0)+IF(CE318&gt;0,CE318+1,0)*3+IF(CE318&gt;12,CE318-12,0)*3+IF(CE318&gt;13,CE318-13,0)*3+IF(CE318&gt;14,CE318-14,0)*3+IF(CE318&gt;15,CE318-15,0)*3+IF(CE318&gt;16,CE318-16,0)*3+IF(CE318&gt;17,CE318-17,0)*3+IF(CE318&gt;18,CE318-18,0)*3+IF(CE318&gt;19,CE318-19,0)*3+IF(CE318&gt;20,CE318-20,0)*3</f>
        <v>3</v>
      </c>
      <c r="CI318" s="243">
        <f>IF((CG318-CH318)&gt;0,CG318-CH318,0)</f>
        <v>260.30769230769232</v>
      </c>
      <c r="CJ318" s="218">
        <f>IF((CH318-CG318)&gt;0,CH318-CG318,0)</f>
        <v>0</v>
      </c>
      <c r="CK318" s="248"/>
      <c r="CL318" s="303" t="s">
        <v>467</v>
      </c>
      <c r="CM318" s="218" t="s">
        <v>471</v>
      </c>
      <c r="CN318" s="304" t="s">
        <v>135</v>
      </c>
      <c r="CO318" s="210"/>
      <c r="CP318" s="211"/>
      <c r="CQ318" s="211"/>
      <c r="CR318" s="113">
        <f>Konvention_1slave-CHslave</f>
        <v>12</v>
      </c>
      <c r="CS318" s="211"/>
      <c r="CT318" s="113">
        <f>Konvention_1slave-GEslave</f>
        <v>12</v>
      </c>
      <c r="CU318" s="117">
        <f>Konvention_1slave-KOslave</f>
        <v>12</v>
      </c>
      <c r="CV318" s="212"/>
      <c r="CW318" s="223">
        <f>(CO318+CP318+CQ318+CR318+CS318+CT318+CU318+CV318)/3</f>
        <v>12</v>
      </c>
      <c r="CX318" s="223">
        <f>2*CW318</f>
        <v>24</v>
      </c>
      <c r="CY318" s="224">
        <f>3*CW318</f>
        <v>36</v>
      </c>
      <c r="CZ318" s="237">
        <f>CO318*POWER(KLslave,SIGN(CP318))*POWER(INslave,SIGN(CQ318))*POWER(CHslave,SIGN(CR318))*POWER(FFslave,SIGN(CS318))*POWER(GEslave,SIGN(CT318))*POWER(KOslave,SIGN(CU318))*POWER(KKslave,SIGN(CV318))+CP318*POWER(MUslave,SIGN(CO318))*POWER(INslave,SIGN(CQ318))*POWER(CHslave,SIGN(CR318))*POWER(FFslave,SIGN(CS318))*POWER(GEslave,SIGN(CT318))*POWER(KOslave,SIGN(CU318))*POWER(KKslave,SIGN(CV318))+CQ318*POWER(MUslave,SIGN(CO318))*POWER(KLslave,SIGN(CP318))*POWER(CHslave,SIGN(CR318))*POWER(FFslave,SIGN(CS318))*POWER(GEslave,SIGN(CT318))*POWER(KOslave,SIGN(CU318))*POWER(KKslave,SIGN(CV318))+CR318*POWER(MUslave,SIGN(CO318))*POWER(KLslave,SIGN(CP318))*POWER(INslave,SIGN(CQ318))*POWER(FFslave,SIGN(CS318))*POWER(GEslave,SIGN(CT318))*POWER(KOslave,SIGN(CU318))*POWER(KKslave,SIGN(CV318))+CS318*POWER(MUslave,SIGN(CO318))*POWER(KLslave,SIGN(CP318))*POWER(INslave,SIGN(CQ318))*POWER(CHslave,SIGN(CR318))*POWER(GEslave,SIGN(CT318))*POWER(KOslave,SIGN(CU318))*POWER(KKslave,SIGN(CV318))+CT318*POWER(MUslave,SIGN(CO318))*POWER(KLslave,SIGN(CP318))*POWER(INslave,SIGN(CQ318))*POWER(CHslave,SIGN(CR318))*POWER(FFslave,SIGN(CS318))*POWER(KOslave,SIGN(CU318))*POWER(KKslave,SIGN(CV318))+CU318*POWER(MUslave,SIGN(CO318))*POWER(KLslave,SIGN(CP318))*POWER(INslave,SIGN(CQ318))*POWER(CHslave,SIGN(CR318))*POWER(FFslave,SIGN(CS318))*POWER(GEslave,SIGN(CT318))*POWER(KKslave,SIGN(CV318))+CV318*POWER(MUslave,SIGN(CO318))*POWER(KLslave,SIGN(CP318))*POWER(INslave,SIGN(CQ318))*POWER(CHslave,SIGN(CR318))*POWER(FFslave,SIGN(CS318))*POWER(GEslave,SIGN(CT318))*POWER(KOslave,SIGN(CU318))</f>
        <v>2304</v>
      </c>
      <c r="DA318" s="234">
        <f>CR318*CT318*KOslave+CR318*GEslave*CU318+CHslave*CT318*CU318</f>
        <v>3456</v>
      </c>
      <c r="DB318" s="224">
        <f>IFERROR(CO318^SIGN(CO318),1)*IFERROR(CP318^SIGN(CP318),1)*IFERROR(CQ318^SIGN(CQ318),1)*IFERROR(CR318^SIGN(CR318),1)*IFERROR(CS318^SIGN(CS318),1)*IFERROR(CT318^SIGN(CT318),1)*IFERROR(CU318^SIGN(CU318),1)*IFERROR(CV318^SIGN(CV318),1)</f>
        <v>1728</v>
      </c>
      <c r="DC318" s="224">
        <f t="shared" si="2162"/>
        <v>7488</v>
      </c>
      <c r="DD318" s="222">
        <f>CW318*CZ318/DC318</f>
        <v>3.6923076923076925</v>
      </c>
      <c r="DE318" s="223">
        <f>CX318*DA318/DC318</f>
        <v>11.076923076923077</v>
      </c>
      <c r="DF318" s="243">
        <f>CY318*DB318/DC318</f>
        <v>8.3076923076923084</v>
      </c>
      <c r="DG318" s="243">
        <f>SUM(DD318:DF318)</f>
        <v>23.07692307692308</v>
      </c>
      <c r="DH318" s="252">
        <f t="shared" si="1848"/>
        <v>0</v>
      </c>
      <c r="DI318" s="324">
        <f>DG318-DH318</f>
        <v>23.07692307692308</v>
      </c>
      <c r="DJ318" s="304">
        <f>IF(DG318&lt;=0,3,0)+IF(DG318&gt;0,DG318+1,0)*3+IF(DG318&gt;12,DG318-12,0)*3+IF(DG318&gt;13,DG318-13,0)*3+IF(DG318&gt;14,DG318-14,0)*3+IF(DG318&gt;15,DG318-15,0)*3+IF(DG318&gt;16,DG318-16,0)*3+IF(DG318&gt;17,DG318-17,0)*3+IF(DG318&gt;18,DG318-18,0)*3+IF(DG318&gt;19,DG318-19,0)*3+IF(DG318&gt;20,DG318-20,0)*3</f>
        <v>263.30769230769232</v>
      </c>
      <c r="DK318" s="335">
        <f>IF(DH318&lt;=0,3,0)+IF(DH318&gt;0,DH318+1,0)*3+IF(DH318&gt;12,DH318-12,0)*3+IF(DH318&gt;13,DH318-13,0)*3+IF(DH318&gt;14,DH318-14,0)*3+IF(DH318&gt;15,DH318-15,0)*3+IF(DH318&gt;16,DH318-16,0)*3+IF(DH318&gt;17,DH318-17,0)*3+IF(DH318&gt;18,DH318-18,0)*3+IF(DH318&gt;19,DH318-19,0)*3+IF(DH318&gt;20,DH318-20,0)*3</f>
        <v>3</v>
      </c>
      <c r="DL318" s="243">
        <f>IF((DJ318-DK318)&gt;0,DJ318-DK318,0)</f>
        <v>260.30769230769232</v>
      </c>
      <c r="DM318" s="218">
        <f>IF((DK318-DJ318)&gt;0,DK318-DJ318,0)</f>
        <v>0</v>
      </c>
      <c r="DN318" s="248"/>
      <c r="DO318" s="303" t="s">
        <v>467</v>
      </c>
      <c r="DP318" s="218" t="s">
        <v>471</v>
      </c>
      <c r="DQ318" s="304" t="s">
        <v>135</v>
      </c>
      <c r="DR318" s="210"/>
      <c r="DS318" s="211"/>
      <c r="DT318" s="211"/>
      <c r="DU318" s="113">
        <f>Konvention_1slave-CHslave</f>
        <v>12</v>
      </c>
      <c r="DV318" s="211"/>
      <c r="DW318" s="113">
        <f>Konvention_1slave-GEslave</f>
        <v>12</v>
      </c>
      <c r="DX318" s="117">
        <f>Konvention_1slave-KOslave</f>
        <v>12</v>
      </c>
      <c r="DY318" s="212"/>
      <c r="DZ318" s="223">
        <f>(DR318+DS318+DT318+DU318+DV318+DW318+DX318+DY318)/3</f>
        <v>12</v>
      </c>
      <c r="EA318" s="223">
        <f>2*DZ318</f>
        <v>24</v>
      </c>
      <c r="EB318" s="224">
        <f>3*DZ318</f>
        <v>36</v>
      </c>
      <c r="EC318" s="237">
        <f>DR318*POWER(KLslave,SIGN(DS318))*POWER(INslave,SIGN(DT318))*POWER(CHslave,SIGN(DU318))*POWER(FFslave,SIGN(DV318))*POWER(GEslave,SIGN(DW318))*POWER(KOslave,SIGN(DX318))*POWER(KKslave,SIGN(DY318))+DS318*POWER(MUslave,SIGN(DR318))*POWER(INslave,SIGN(DT318))*POWER(CHslave,SIGN(DU318))*POWER(FFslave,SIGN(DV318))*POWER(GEslave,SIGN(DW318))*POWER(KOslave,SIGN(DX318))*POWER(KKslave,SIGN(DY318))+DT318*POWER(MUslave,SIGN(DR318))*POWER(KLslave,SIGN(DS318))*POWER(CHslave,SIGN(DU318))*POWER(FFslave,SIGN(DV318))*POWER(GEslave,SIGN(DW318))*POWER(KOslave,SIGN(DX318))*POWER(KKslave,SIGN(DY318))+DU318*POWER(MUslave,SIGN(DR318))*POWER(KLslave,SIGN(DS318))*POWER(INslave,SIGN(DT318))*POWER(FFslave,SIGN(DV318))*POWER(GEslave,SIGN(DW318))*POWER(KOslave,SIGN(DX318))*POWER(KKslave,SIGN(DY318))+DV318*POWER(MUslave,SIGN(DR318))*POWER(KLslave,SIGN(DS318))*POWER(INslave,SIGN(DT318))*POWER(CHslave,SIGN(DU318))*POWER(GEslave,SIGN(DW318))*POWER(KOslave,SIGN(DX318))*POWER(KKslave,SIGN(DY318))+DW318*POWER(MUslave,SIGN(DR318))*POWER(KLslave,SIGN(DS318))*POWER(INslave,SIGN(DT318))*POWER(CHslave,SIGN(DU318))*POWER(FFslave,SIGN(DV318))*POWER(KOslave,SIGN(DX318))*POWER(KKslave,SIGN(DY318))+DX318*POWER(MUslave,SIGN(DR318))*POWER(KLslave,SIGN(DS318))*POWER(INslave,SIGN(DT318))*POWER(CHslave,SIGN(DU318))*POWER(FFslave,SIGN(DV318))*POWER(GEslave,SIGN(DW318))*POWER(KKslave,SIGN(DY318))+DY318*POWER(MUslave,SIGN(DR318))*POWER(KLslave,SIGN(DS318))*POWER(INslave,SIGN(DT318))*POWER(CHslave,SIGN(DU318))*POWER(FFslave,SIGN(DV318))*POWER(GEslave,SIGN(DW318))*POWER(KOslave,SIGN(DX318))</f>
        <v>2304</v>
      </c>
      <c r="ED318" s="234">
        <f>DU318*DW318*KOslave+DU318*GEslave*DX318+CHslave*DW318*DX318</f>
        <v>3456</v>
      </c>
      <c r="EE318" s="224">
        <f>IFERROR(DR318^SIGN(DR318),1)*IFERROR(DS318^SIGN(DS318),1)*IFERROR(DT318^SIGN(DT318),1)*IFERROR(DU318^SIGN(DU318),1)*IFERROR(DV318^SIGN(DV318),1)*IFERROR(DW318^SIGN(DW318),1)*IFERROR(DX318^SIGN(DX318),1)*IFERROR(DY318^SIGN(DY318),1)</f>
        <v>1728</v>
      </c>
      <c r="EF318" s="224">
        <f t="shared" si="2164"/>
        <v>7488</v>
      </c>
      <c r="EG318" s="222">
        <f>DZ318*EC318/EF318</f>
        <v>3.6923076923076925</v>
      </c>
      <c r="EH318" s="223">
        <f>EA318*ED318/EF318</f>
        <v>11.076923076923077</v>
      </c>
      <c r="EI318" s="243">
        <f>EB318*EE318/EF318</f>
        <v>8.3076923076923084</v>
      </c>
      <c r="EJ318" s="243">
        <f>SUM(EG318:EI318)</f>
        <v>23.07692307692308</v>
      </c>
      <c r="EK318" s="252">
        <f t="shared" si="1863"/>
        <v>0</v>
      </c>
      <c r="EL318" s="324">
        <f>EJ318-EK318</f>
        <v>23.07692307692308</v>
      </c>
      <c r="EM318" s="304">
        <f>IF(EJ318&lt;=0,3,0)+IF(EJ318&gt;0,EJ318+1,0)*3+IF(EJ318&gt;12,EJ318-12,0)*3+IF(EJ318&gt;13,EJ318-13,0)*3+IF(EJ318&gt;14,EJ318-14,0)*3+IF(EJ318&gt;15,EJ318-15,0)*3+IF(EJ318&gt;16,EJ318-16,0)*3+IF(EJ318&gt;17,EJ318-17,0)*3+IF(EJ318&gt;18,EJ318-18,0)*3+IF(EJ318&gt;19,EJ318-19,0)*3+IF(EJ318&gt;20,EJ318-20,0)*3</f>
        <v>263.30769230769232</v>
      </c>
      <c r="EN318" s="335">
        <f>IF(EK318&lt;=0,3,0)+IF(EK318&gt;0,EK318+1,0)*3+IF(EK318&gt;12,EK318-12,0)*3+IF(EK318&gt;13,EK318-13,0)*3+IF(EK318&gt;14,EK318-14,0)*3+IF(EK318&gt;15,EK318-15,0)*3+IF(EK318&gt;16,EK318-16,0)*3+IF(EK318&gt;17,EK318-17,0)*3+IF(EK318&gt;18,EK318-18,0)*3+IF(EK318&gt;19,EK318-19,0)*3+IF(EK318&gt;20,EK318-20,0)*3</f>
        <v>3</v>
      </c>
      <c r="EO318" s="243">
        <f>IF((EM318-EN318)&gt;0,EM318-EN318,0)</f>
        <v>260.30769230769232</v>
      </c>
      <c r="EP318" s="218">
        <f>IF((EN318-EM318)&gt;0,EN318-EM318,0)</f>
        <v>0</v>
      </c>
      <c r="EQ318" s="248"/>
      <c r="ER318" s="303" t="s">
        <v>467</v>
      </c>
      <c r="ES318" s="218" t="s">
        <v>471</v>
      </c>
      <c r="ET318" s="304" t="s">
        <v>135</v>
      </c>
      <c r="EU318" s="210"/>
      <c r="EV318" s="211"/>
      <c r="EW318" s="211"/>
      <c r="EX318" s="113">
        <f>Konvention_1slave-CHslave</f>
        <v>12</v>
      </c>
      <c r="EY318" s="211"/>
      <c r="EZ318" s="113">
        <f>Konvention_1slave-GEslave</f>
        <v>12</v>
      </c>
      <c r="FA318" s="117">
        <f>Konvention_1slave-KOslave</f>
        <v>12</v>
      </c>
      <c r="FB318" s="212"/>
      <c r="FC318" s="223">
        <f>(EU318+EV318+EW318+EX318+EY318+EZ318+FA318+FB318)/3</f>
        <v>12</v>
      </c>
      <c r="FD318" s="223">
        <f>2*FC318</f>
        <v>24</v>
      </c>
      <c r="FE318" s="224">
        <f>3*FC318</f>
        <v>36</v>
      </c>
      <c r="FF318" s="237">
        <f>EU318*POWER(KLslave,SIGN(EV318))*POWER(INslave,SIGN(EW318))*POWER(CHslave,SIGN(EX318))*POWER(FFslave,SIGN(EY318))*POWER(GEslave,SIGN(EZ318))*POWER(KOslave,SIGN(FA318))*POWER(KKslave,SIGN(FB318))+EV318*POWER(MUslave,SIGN(EU318))*POWER(INslave,SIGN(EW318))*POWER(CHslave,SIGN(EX318))*POWER(FFslave,SIGN(EY318))*POWER(GEslave,SIGN(EZ318))*POWER(KOslave,SIGN(FA318))*POWER(KKslave,SIGN(FB318))+EW318*POWER(MUslave,SIGN(EU318))*POWER(KLslave,SIGN(EV318))*POWER(CHslave,SIGN(EX318))*POWER(FFslave,SIGN(EY318))*POWER(GEslave,SIGN(EZ318))*POWER(KOslave,SIGN(FA318))*POWER(KKslave,SIGN(FB318))+EX318*POWER(MUslave,SIGN(EU318))*POWER(KLslave,SIGN(EV318))*POWER(INslave,SIGN(EW318))*POWER(FFslave,SIGN(EY318))*POWER(GEslave,SIGN(EZ318))*POWER(KOslave,SIGN(FA318))*POWER(KKslave,SIGN(FB318))+EY318*POWER(MUslave,SIGN(EU318))*POWER(KLslave,SIGN(EV318))*POWER(INslave,SIGN(EW318))*POWER(CHslave,SIGN(EX318))*POWER(GEslave,SIGN(EZ318))*POWER(KOslave,SIGN(FA318))*POWER(KKslave,SIGN(FB318))+EZ318*POWER(MUslave,SIGN(EU318))*POWER(KLslave,SIGN(EV318))*POWER(INslave,SIGN(EW318))*POWER(CHslave,SIGN(EX318))*POWER(FFslave,SIGN(EY318))*POWER(KOslave,SIGN(FA318))*POWER(KKslave,SIGN(FB318))+FA318*POWER(MUslave,SIGN(EU318))*POWER(KLslave,SIGN(EV318))*POWER(INslave,SIGN(EW318))*POWER(CHslave,SIGN(EX318))*POWER(FFslave,SIGN(EY318))*POWER(GEslave,SIGN(EZ318))*POWER(KKslave,SIGN(FB318))+FB318*POWER(MUslave,SIGN(EU318))*POWER(KLslave,SIGN(EV318))*POWER(INslave,SIGN(EW318))*POWER(CHslave,SIGN(EX318))*POWER(FFslave,SIGN(EY318))*POWER(GEslave,SIGN(EZ318))*POWER(KOslave,SIGN(FA318))</f>
        <v>2304</v>
      </c>
      <c r="FG318" s="234">
        <f>EX318*EZ318*KOslave+EX318*GEslave*FA318+CHslave*EZ318*FA318</f>
        <v>3456</v>
      </c>
      <c r="FH318" s="224">
        <f>IFERROR(EU318^SIGN(EU318),1)*IFERROR(EV318^SIGN(EV318),1)*IFERROR(EW318^SIGN(EW318),1)*IFERROR(EX318^SIGN(EX318),1)*IFERROR(EY318^SIGN(EY318),1)*IFERROR(EZ318^SIGN(EZ318),1)*IFERROR(FA318^SIGN(FA318),1)*IFERROR(FB318^SIGN(FB318),1)</f>
        <v>1728</v>
      </c>
      <c r="FI318" s="224">
        <f t="shared" si="2166"/>
        <v>7488</v>
      </c>
      <c r="FJ318" s="222">
        <f>FC318*FF318/FI318</f>
        <v>3.6923076923076925</v>
      </c>
      <c r="FK318" s="223">
        <f>FD318*FG318/FI318</f>
        <v>11.076923076923077</v>
      </c>
      <c r="FL318" s="243">
        <f>FE318*FH318/FI318</f>
        <v>8.3076923076923084</v>
      </c>
      <c r="FM318" s="243">
        <f>SUM(FJ318:FL318)</f>
        <v>23.07692307692308</v>
      </c>
      <c r="FN318" s="252">
        <f t="shared" si="1878"/>
        <v>0</v>
      </c>
      <c r="FO318" s="324">
        <f>FM318-FN318</f>
        <v>23.07692307692308</v>
      </c>
      <c r="FP318" s="304">
        <f>IF(FM318&lt;=0,3,0)+IF(FM318&gt;0,FM318+1,0)*3+IF(FM318&gt;12,FM318-12,0)*3+IF(FM318&gt;13,FM318-13,0)*3+IF(FM318&gt;14,FM318-14,0)*3+IF(FM318&gt;15,FM318-15,0)*3+IF(FM318&gt;16,FM318-16,0)*3+IF(FM318&gt;17,FM318-17,0)*3+IF(FM318&gt;18,FM318-18,0)*3+IF(FM318&gt;19,FM318-19,0)*3+IF(FM318&gt;20,FM318-20,0)*3</f>
        <v>263.30769230769232</v>
      </c>
      <c r="FQ318" s="335">
        <f>IF(FN318&lt;=0,3,0)+IF(FN318&gt;0,FN318+1,0)*3+IF(FN318&gt;12,FN318-12,0)*3+IF(FN318&gt;13,FN318-13,0)*3+IF(FN318&gt;14,FN318-14,0)*3+IF(FN318&gt;15,FN318-15,0)*3+IF(FN318&gt;16,FN318-16,0)*3+IF(FN318&gt;17,FN318-17,0)*3+IF(FN318&gt;18,FN318-18,0)*3+IF(FN318&gt;19,FN318-19,0)*3+IF(FN318&gt;20,FN318-20,0)*3</f>
        <v>3</v>
      </c>
      <c r="FR318" s="243">
        <f>IF((FP318-FQ318)&gt;0,FP318-FQ318,0)</f>
        <v>260.30769230769232</v>
      </c>
      <c r="FS318" s="218">
        <f>IF((FQ318-FP318)&gt;0,FQ318-FP318,0)</f>
        <v>0</v>
      </c>
      <c r="FT318" s="248"/>
      <c r="FU318" s="303" t="s">
        <v>467</v>
      </c>
      <c r="FV318" s="218" t="s">
        <v>471</v>
      </c>
      <c r="FW318" s="304" t="s">
        <v>135</v>
      </c>
      <c r="FX318" s="210"/>
      <c r="FY318" s="211"/>
      <c r="FZ318" s="211"/>
      <c r="GA318" s="113">
        <f>Konvention_1slave-CHslave</f>
        <v>12</v>
      </c>
      <c r="GB318" s="211"/>
      <c r="GC318" s="113">
        <f>Konvention_1slave-GEslave</f>
        <v>12</v>
      </c>
      <c r="GD318" s="117">
        <f>Konvention_1slave-KOslave</f>
        <v>12</v>
      </c>
      <c r="GE318" s="212"/>
      <c r="GF318" s="223">
        <f>(FX318+FY318+FZ318+GA318+GB318+GC318+GD318+GE318)/3</f>
        <v>12</v>
      </c>
      <c r="GG318" s="223">
        <f>2*GF318</f>
        <v>24</v>
      </c>
      <c r="GH318" s="224">
        <f>3*GF318</f>
        <v>36</v>
      </c>
      <c r="GI318" s="237">
        <f>FX318*POWER(KLslave,SIGN(FY318))*POWER(INslave,SIGN(FZ318))*POWER(CHslave,SIGN(GA318))*POWER(FFslave,SIGN(GB318))*POWER(GEslave,SIGN(GC318))*POWER(KOslave,SIGN(GD318))*POWER(KKslave,SIGN(GE318))+FY318*POWER(MUslave,SIGN(FX318))*POWER(INslave,SIGN(FZ318))*POWER(CHslave,SIGN(GA318))*POWER(FFslave,SIGN(GB318))*POWER(GEslave,SIGN(GC318))*POWER(KOslave,SIGN(GD318))*POWER(KKslave,SIGN(GE318))+FZ318*POWER(MUslave,SIGN(FX318))*POWER(KLslave,SIGN(FY318))*POWER(CHslave,SIGN(GA318))*POWER(FFslave,SIGN(GB318))*POWER(GEslave,SIGN(GC318))*POWER(KOslave,SIGN(GD318))*POWER(KKslave,SIGN(GE318))+GA318*POWER(MUslave,SIGN(FX318))*POWER(KLslave,SIGN(FY318))*POWER(INslave,SIGN(FZ318))*POWER(FFslave,SIGN(GB318))*POWER(GEslave,SIGN(GC318))*POWER(KOslave,SIGN(GD318))*POWER(KKslave,SIGN(GE318))+GB318*POWER(MUslave,SIGN(FX318))*POWER(KLslave,SIGN(FY318))*POWER(INslave,SIGN(FZ318))*POWER(CHslave,SIGN(GA318))*POWER(GEslave,SIGN(GC318))*POWER(KOslave,SIGN(GD318))*POWER(KKslave,SIGN(GE318))+GC318*POWER(MUslave,SIGN(FX318))*POWER(KLslave,SIGN(FY318))*POWER(INslave,SIGN(FZ318))*POWER(CHslave,SIGN(GA318))*POWER(FFslave,SIGN(GB318))*POWER(KOslave,SIGN(GD318))*POWER(KKslave,SIGN(GE318))+GD318*POWER(MUslave,SIGN(FX318))*POWER(KLslave,SIGN(FY318))*POWER(INslave,SIGN(FZ318))*POWER(CHslave,SIGN(GA318))*POWER(FFslave,SIGN(GB318))*POWER(GEslave,SIGN(GC318))*POWER(KKslave,SIGN(GE318))+GE318*POWER(MUslave,SIGN(FX318))*POWER(KLslave,SIGN(FY318))*POWER(INslave,SIGN(FZ318))*POWER(CHslave,SIGN(GA318))*POWER(FFslave,SIGN(GB318))*POWER(GEslave,SIGN(GC318))*POWER(KOslave,SIGN(GD318))</f>
        <v>2304</v>
      </c>
      <c r="GJ318" s="234">
        <f>GA318*GC318*KOslave+GA318*GEslave*GD318+CHslave*GC318*GD318</f>
        <v>3456</v>
      </c>
      <c r="GK318" s="224">
        <f>IFERROR(FX318^SIGN(FX318),1)*IFERROR(FY318^SIGN(FY318),1)*IFERROR(FZ318^SIGN(FZ318),1)*IFERROR(GA318^SIGN(GA318),1)*IFERROR(GB318^SIGN(GB318),1)*IFERROR(GC318^SIGN(GC318),1)*IFERROR(GD318^SIGN(GD318),1)*IFERROR(GE318^SIGN(GE318),1)</f>
        <v>1728</v>
      </c>
      <c r="GL318" s="224">
        <f t="shared" si="2168"/>
        <v>7488</v>
      </c>
      <c r="GM318" s="222">
        <f>GF318*GI318/GL318</f>
        <v>3.6923076923076925</v>
      </c>
      <c r="GN318" s="223">
        <f>GG318*GJ318/GL318</f>
        <v>11.076923076923077</v>
      </c>
      <c r="GO318" s="243">
        <f>GH318*GK318/GL318</f>
        <v>8.3076923076923084</v>
      </c>
      <c r="GP318" s="243">
        <f>SUM(GM318:GO318)</f>
        <v>23.07692307692308</v>
      </c>
      <c r="GQ318" s="252">
        <f t="shared" si="1893"/>
        <v>0</v>
      </c>
      <c r="GR318" s="324">
        <f>GP318-GQ318</f>
        <v>23.07692307692308</v>
      </c>
      <c r="GS318" s="304">
        <f>IF(GP318&lt;=0,3,0)+IF(GP318&gt;0,GP318+1,0)*3+IF(GP318&gt;12,GP318-12,0)*3+IF(GP318&gt;13,GP318-13,0)*3+IF(GP318&gt;14,GP318-14,0)*3+IF(GP318&gt;15,GP318-15,0)*3+IF(GP318&gt;16,GP318-16,0)*3+IF(GP318&gt;17,GP318-17,0)*3+IF(GP318&gt;18,GP318-18,0)*3+IF(GP318&gt;19,GP318-19,0)*3+IF(GP318&gt;20,GP318-20,0)*3</f>
        <v>263.30769230769232</v>
      </c>
      <c r="GT318" s="335">
        <f>IF(GQ318&lt;=0,3,0)+IF(GQ318&gt;0,GQ318+1,0)*3+IF(GQ318&gt;12,GQ318-12,0)*3+IF(GQ318&gt;13,GQ318-13,0)*3+IF(GQ318&gt;14,GQ318-14,0)*3+IF(GQ318&gt;15,GQ318-15,0)*3+IF(GQ318&gt;16,GQ318-16,0)*3+IF(GQ318&gt;17,GQ318-17,0)*3+IF(GQ318&gt;18,GQ318-18,0)*3+IF(GQ318&gt;19,GQ318-19,0)*3+IF(GQ318&gt;20,GQ318-20,0)*3</f>
        <v>3</v>
      </c>
      <c r="GU318" s="243">
        <f>IF((GS318-GT318)&gt;0,GS318-GT318,0)</f>
        <v>260.30769230769232</v>
      </c>
      <c r="GV318" s="218">
        <f>IF((GT318-GS318)&gt;0,GT318-GS318,0)</f>
        <v>0</v>
      </c>
      <c r="GW318" s="248"/>
      <c r="GX318" s="303" t="s">
        <v>467</v>
      </c>
      <c r="GY318" s="218" t="s">
        <v>471</v>
      </c>
      <c r="GZ318" s="304" t="s">
        <v>135</v>
      </c>
      <c r="HA318" s="210"/>
      <c r="HB318" s="211"/>
      <c r="HC318" s="211"/>
      <c r="HD318" s="113">
        <f>Konvention_1slave-CHslave</f>
        <v>12</v>
      </c>
      <c r="HE318" s="211"/>
      <c r="HF318" s="113">
        <f>Konvention_1slave-GEslave</f>
        <v>12</v>
      </c>
      <c r="HG318" s="117">
        <f>Konvention_1slave-KOslave</f>
        <v>12</v>
      </c>
      <c r="HH318" s="212"/>
      <c r="HI318" s="223">
        <f>(HA318+HB318+HC318+HD318+HE318+HF318+HG318+HH318)/3</f>
        <v>12</v>
      </c>
      <c r="HJ318" s="223">
        <f>2*HI318</f>
        <v>24</v>
      </c>
      <c r="HK318" s="224">
        <f>3*HI318</f>
        <v>36</v>
      </c>
      <c r="HL318" s="237">
        <f>HA318*POWER(KLslave,SIGN(HB318))*POWER(INslave,SIGN(HC318))*POWER(CHslave,SIGN(HD318))*POWER(FFslave,SIGN(HE318))*POWER(GEslave,SIGN(HF318))*POWER(KOslave,SIGN(HG318))*POWER(KKslave,SIGN(HH318))+HB318*POWER(MUslave,SIGN(HA318))*POWER(INslave,SIGN(HC318))*POWER(CHslave,SIGN(HD318))*POWER(FFslave,SIGN(HE318))*POWER(GEslave,SIGN(HF318))*POWER(KOslave,SIGN(HG318))*POWER(KKslave,SIGN(HH318))+HC318*POWER(MUslave,SIGN(HA318))*POWER(KLslave,SIGN(HB318))*POWER(CHslave,SIGN(HD318))*POWER(FFslave,SIGN(HE318))*POWER(GEslave,SIGN(HF318))*POWER(KOslave,SIGN(HG318))*POWER(KKslave,SIGN(HH318))+HD318*POWER(MUslave,SIGN(HA318))*POWER(KLslave,SIGN(HB318))*POWER(INslave,SIGN(HC318))*POWER(FFslave,SIGN(HE318))*POWER(GEslave,SIGN(HF318))*POWER(KOslave,SIGN(HG318))*POWER(KKslave,SIGN(HH318))+HE318*POWER(MUslave,SIGN(HA318))*POWER(KLslave,SIGN(HB318))*POWER(INslave,SIGN(HC318))*POWER(CHslave,SIGN(HD318))*POWER(GEslave,SIGN(HF318))*POWER(KOslave,SIGN(HG318))*POWER(KKslave,SIGN(HH318))+HF318*POWER(MUslave,SIGN(HA318))*POWER(KLslave,SIGN(HB318))*POWER(INslave,SIGN(HC318))*POWER(CHslave,SIGN(HD318))*POWER(FFslave,SIGN(HE318))*POWER(KOslave,SIGN(HG318))*POWER(KKslave,SIGN(HH318))+HG318*POWER(MUslave,SIGN(HA318))*POWER(KLslave,SIGN(HB318))*POWER(INslave,SIGN(HC318))*POWER(CHslave,SIGN(HD318))*POWER(FFslave,SIGN(HE318))*POWER(GEslave,SIGN(HF318))*POWER(KKslave,SIGN(HH318))+HH318*POWER(MUslave,SIGN(HA318))*POWER(KLslave,SIGN(HB318))*POWER(INslave,SIGN(HC318))*POWER(CHslave,SIGN(HD318))*POWER(FFslave,SIGN(HE318))*POWER(GEslave,SIGN(HF318))*POWER(KOslave,SIGN(HG318))</f>
        <v>2304</v>
      </c>
      <c r="HM318" s="234">
        <f>HD318*HF318*KOslave+HD318*GEslave*HG318+CHslave*HF318*HG318</f>
        <v>3456</v>
      </c>
      <c r="HN318" s="224">
        <f>IFERROR(HA318^SIGN(HA318),1)*IFERROR(HB318^SIGN(HB318),1)*IFERROR(HC318^SIGN(HC318),1)*IFERROR(HD318^SIGN(HD318),1)*IFERROR(HE318^SIGN(HE318),1)*IFERROR(HF318^SIGN(HF318),1)*IFERROR(HG318^SIGN(HG318),1)*IFERROR(HH318^SIGN(HH318),1)</f>
        <v>1728</v>
      </c>
      <c r="HO318" s="224">
        <f t="shared" si="2170"/>
        <v>7488</v>
      </c>
      <c r="HP318" s="222">
        <f>HI318*HL318/HO318</f>
        <v>3.6923076923076925</v>
      </c>
      <c r="HQ318" s="223">
        <f>HJ318*HM318/HO318</f>
        <v>11.076923076923077</v>
      </c>
      <c r="HR318" s="243">
        <f>HK318*HN318/HO318</f>
        <v>8.3076923076923084</v>
      </c>
      <c r="HS318" s="243">
        <f>SUM(HP318:HR318)</f>
        <v>23.07692307692308</v>
      </c>
      <c r="HT318" s="252">
        <f t="shared" si="1908"/>
        <v>0</v>
      </c>
      <c r="HU318" s="324">
        <f>HS318-HT318</f>
        <v>23.07692307692308</v>
      </c>
      <c r="HV318" s="304">
        <f>IF(HS318&lt;=0,3,0)+IF(HS318&gt;0,HS318+1,0)*3+IF(HS318&gt;12,HS318-12,0)*3+IF(HS318&gt;13,HS318-13,0)*3+IF(HS318&gt;14,HS318-14,0)*3+IF(HS318&gt;15,HS318-15,0)*3+IF(HS318&gt;16,HS318-16,0)*3+IF(HS318&gt;17,HS318-17,0)*3+IF(HS318&gt;18,HS318-18,0)*3+IF(HS318&gt;19,HS318-19,0)*3+IF(HS318&gt;20,HS318-20,0)*3</f>
        <v>263.30769230769232</v>
      </c>
      <c r="HW318" s="335">
        <f>IF(HT318&lt;=0,3,0)+IF(HT318&gt;0,HT318+1,0)*3+IF(HT318&gt;12,HT318-12,0)*3+IF(HT318&gt;13,HT318-13,0)*3+IF(HT318&gt;14,HT318-14,0)*3+IF(HT318&gt;15,HT318-15,0)*3+IF(HT318&gt;16,HT318-16,0)*3+IF(HT318&gt;17,HT318-17,0)*3+IF(HT318&gt;18,HT318-18,0)*3+IF(HT318&gt;19,HT318-19,0)*3+IF(HT318&gt;20,HT318-20,0)*3</f>
        <v>3</v>
      </c>
      <c r="HX318" s="243">
        <f>IF((HV318-HW318)&gt;0,HV318-HW318,0)</f>
        <v>260.30769230769232</v>
      </c>
      <c r="HY318" s="218">
        <f>IF((HW318-HV318)&gt;0,HW318-HV318,0)</f>
        <v>0</v>
      </c>
      <c r="HZ318" s="248"/>
      <c r="IA318" s="303" t="s">
        <v>467</v>
      </c>
      <c r="IB318" s="218" t="s">
        <v>471</v>
      </c>
      <c r="IC318" s="304" t="s">
        <v>135</v>
      </c>
      <c r="ID318" s="210"/>
      <c r="IE318" s="211"/>
      <c r="IF318" s="211"/>
      <c r="IG318" s="113">
        <f>Konvention_1slave-CHslave</f>
        <v>12</v>
      </c>
      <c r="IH318" s="211"/>
      <c r="II318" s="113">
        <f>Konvention_1slave-GEslave</f>
        <v>12</v>
      </c>
      <c r="IJ318" s="117">
        <f>Konvention_1slave-KOslave</f>
        <v>12</v>
      </c>
      <c r="IK318" s="212"/>
      <c r="IL318" s="223">
        <f>(ID318+IE318+IF318+IG318+IH318+II318+IJ318+IK318)/3</f>
        <v>12</v>
      </c>
      <c r="IM318" s="223">
        <f>2*IL318</f>
        <v>24</v>
      </c>
      <c r="IN318" s="224">
        <f>3*IL318</f>
        <v>36</v>
      </c>
      <c r="IO318" s="237">
        <f>ID318*POWER(KLslave,SIGN(IE318))*POWER(INslave,SIGN(IF318))*POWER(CHslave,SIGN(IG318))*POWER(FFslave,SIGN(IH318))*POWER(GEslave,SIGN(II318))*POWER(KOslave,SIGN(IJ318))*POWER(KKslave,SIGN(IK318))+IE318*POWER(MUslave,SIGN(ID318))*POWER(INslave,SIGN(IF318))*POWER(CHslave,SIGN(IG318))*POWER(FFslave,SIGN(IH318))*POWER(GEslave,SIGN(II318))*POWER(KOslave,SIGN(IJ318))*POWER(KKslave,SIGN(IK318))+IF318*POWER(MUslave,SIGN(ID318))*POWER(KLslave,SIGN(IE318))*POWER(CHslave,SIGN(IG318))*POWER(FFslave,SIGN(IH318))*POWER(GEslave,SIGN(II318))*POWER(KOslave,SIGN(IJ318))*POWER(KKslave,SIGN(IK318))+IG318*POWER(MUslave,SIGN(ID318))*POWER(KLslave,SIGN(IE318))*POWER(INslave,SIGN(IF318))*POWER(FFslave,SIGN(IH318))*POWER(GEslave,SIGN(II318))*POWER(KOslave,SIGN(IJ318))*POWER(KKslave,SIGN(IK318))+IH318*POWER(MUslave,SIGN(ID318))*POWER(KLslave,SIGN(IE318))*POWER(INslave,SIGN(IF318))*POWER(CHslave,SIGN(IG318))*POWER(GEslave,SIGN(II318))*POWER(KOslave,SIGN(IJ318))*POWER(KKslave,SIGN(IK318))+II318*POWER(MUslave,SIGN(ID318))*POWER(KLslave,SIGN(IE318))*POWER(INslave,SIGN(IF318))*POWER(CHslave,SIGN(IG318))*POWER(FFslave,SIGN(IH318))*POWER(KOslave,SIGN(IJ318))*POWER(KKslave,SIGN(IK318))+IJ318*POWER(MUslave,SIGN(ID318))*POWER(KLslave,SIGN(IE318))*POWER(INslave,SIGN(IF318))*POWER(CHslave,SIGN(IG318))*POWER(FFslave,SIGN(IH318))*POWER(GEslave,SIGN(II318))*POWER(KKslave,SIGN(IK318))+IK318*POWER(MUslave,SIGN(ID318))*POWER(KLslave,SIGN(IE318))*POWER(INslave,SIGN(IF318))*POWER(CHslave,SIGN(IG318))*POWER(FFslave,SIGN(IH318))*POWER(GEslave,SIGN(II318))*POWER(KOslave,SIGN(IJ318))</f>
        <v>2304</v>
      </c>
      <c r="IP318" s="234">
        <f>IG318*II318*KOslave+IG318*GEslave*IJ318+CHslave*II318*IJ318</f>
        <v>3456</v>
      </c>
      <c r="IQ318" s="224">
        <f>IFERROR(ID318^SIGN(ID318),1)*IFERROR(IE318^SIGN(IE318),1)*IFERROR(IF318^SIGN(IF318),1)*IFERROR(IG318^SIGN(IG318),1)*IFERROR(IH318^SIGN(IH318),1)*IFERROR(II318^SIGN(II318),1)*IFERROR(IJ318^SIGN(IJ318),1)*IFERROR(IK318^SIGN(IK318),1)</f>
        <v>1728</v>
      </c>
      <c r="IR318" s="224">
        <f t="shared" si="2172"/>
        <v>7488</v>
      </c>
      <c r="IS318" s="222">
        <f>IL318*IO318/IR318</f>
        <v>3.6923076923076925</v>
      </c>
      <c r="IT318" s="223">
        <f>IM318*IP318/IR318</f>
        <v>11.076923076923077</v>
      </c>
      <c r="IU318" s="243">
        <f>IN318*IQ318/IR318</f>
        <v>8.3076923076923084</v>
      </c>
      <c r="IV318" s="243">
        <f>SUM(IS318:IU318)</f>
        <v>23.07692307692308</v>
      </c>
      <c r="IW318" s="252">
        <f t="shared" si="1923"/>
        <v>0</v>
      </c>
      <c r="IX318" s="324">
        <f>IV318-IW318</f>
        <v>23.07692307692308</v>
      </c>
      <c r="IY318" s="304">
        <f>IF(IV318&lt;=0,3,0)+IF(IV318&gt;0,IV318+1,0)*3+IF(IV318&gt;12,IV318-12,0)*3+IF(IV318&gt;13,IV318-13,0)*3+IF(IV318&gt;14,IV318-14,0)*3+IF(IV318&gt;15,IV318-15,0)*3+IF(IV318&gt;16,IV318-16,0)*3+IF(IV318&gt;17,IV318-17,0)*3+IF(IV318&gt;18,IV318-18,0)*3+IF(IV318&gt;19,IV318-19,0)*3+IF(IV318&gt;20,IV318-20,0)*3</f>
        <v>263.30769230769232</v>
      </c>
      <c r="IZ318" s="335">
        <f>IF(IW318&lt;=0,3,0)+IF(IW318&gt;0,IW318+1,0)*3+IF(IW318&gt;12,IW318-12,0)*3+IF(IW318&gt;13,IW318-13,0)*3+IF(IW318&gt;14,IW318-14,0)*3+IF(IW318&gt;15,IW318-15,0)*3+IF(IW318&gt;16,IW318-16,0)*3+IF(IW318&gt;17,IW318-17,0)*3+IF(IW318&gt;18,IW318-18,0)*3+IF(IW318&gt;19,IW318-19,0)*3+IF(IW318&gt;20,IW318-20,0)*3</f>
        <v>3</v>
      </c>
      <c r="JA318" s="243">
        <f>IF((IY318-IZ318)&gt;0,IY318-IZ318,0)</f>
        <v>260.30769230769232</v>
      </c>
      <c r="JB318" s="218">
        <f>IF((IZ318-IY318)&gt;0,IZ318-IY318,0)</f>
        <v>0</v>
      </c>
    </row>
    <row r="319" spans="1:265" s="205" customFormat="1" ht="15" hidden="1" customHeight="1" outlineLevel="2">
      <c r="A319" s="185"/>
      <c r="B319" s="148">
        <v>22</v>
      </c>
      <c r="C319" s="303" t="e">
        <f>VLOOKUP(AF319,Attribute!C:T,1,FALSE)</f>
        <v>#N/A</v>
      </c>
      <c r="D319" s="218" t="s">
        <v>471</v>
      </c>
      <c r="E319" s="304" t="s">
        <v>132</v>
      </c>
      <c r="F319" s="210"/>
      <c r="G319" s="211"/>
      <c r="H319" s="211"/>
      <c r="I319" s="113">
        <f>Konvention_1master-CHmaster</f>
        <v>12</v>
      </c>
      <c r="J319" s="211"/>
      <c r="K319" s="113">
        <f>Konvention_1master-GEmaster</f>
        <v>12</v>
      </c>
      <c r="L319" s="117">
        <f>Konvention_1master-KOmaster</f>
        <v>12</v>
      </c>
      <c r="M319" s="212"/>
      <c r="N319" s="223">
        <f>(F319+G319+H319+I319+J319+K319+L319+M319)/3</f>
        <v>12</v>
      </c>
      <c r="O319" s="223">
        <f>2*N319</f>
        <v>24</v>
      </c>
      <c r="P319" s="224">
        <f>3*N319</f>
        <v>36</v>
      </c>
      <c r="Q319" s="237">
        <f>F319*POWER(KLmaster,SIGN(G319))*POWER(INmaster,SIGN(H319))*POWER(CHmaster,SIGN(I319))*POWER(FFmaster,SIGN(J319))*POWER(GEmaster,SIGN(K319))*POWER(KOmaster,SIGN(L319))*POWER(KKmaster,SIGN(M319))+G319*POWER(MUmaster,SIGN(F319))*POWER(INmaster,SIGN(H319))*POWER(CHmaster,SIGN(I319))*POWER(FFmaster,SIGN(J319))*POWER(GEmaster,SIGN(K319))*POWER(KOmaster,SIGN(L319))*POWER(KKmaster,SIGN(M319))+H319*POWER(MUmaster,SIGN(F319))*POWER(KLmaster,SIGN(G319))*POWER(CHmaster,SIGN(I319))*POWER(FFmaster,SIGN(J319))*POWER(GEmaster,SIGN(K319))*POWER(KOmaster,SIGN(L319))*POWER(KKmaster,SIGN(M319))+I319*POWER(MUmaster,SIGN(F319))*POWER(KLmaster,SIGN(G319))*POWER(INmaster,SIGN(H319))*POWER(FFmaster,SIGN(J319))*POWER(GEmaster,SIGN(K319))*POWER(KOmaster,SIGN(L319))*POWER(KKmaster,SIGN(M319))+J319*POWER(MUmaster,SIGN(F319))*POWER(KLmaster,SIGN(G319))*POWER(INmaster,SIGN(H319))*POWER(CHmaster,SIGN(I319))*POWER(GEmaster,SIGN(K319))*POWER(KOmaster,SIGN(L319))*POWER(KKmaster,SIGN(M319))+K319*POWER(MUmaster,SIGN(F319))*POWER(KLmaster,SIGN(G319))*POWER(INmaster,SIGN(H319))*POWER(CHmaster,SIGN(I319))*POWER(FFmaster,SIGN(J319))*POWER(KOmaster,SIGN(L319))*POWER(KKmaster,SIGN(M319))+L319*POWER(MUmaster,SIGN(F319))*POWER(KLmaster,SIGN(G319))*POWER(INmaster,SIGN(H319))*POWER(CHmaster,SIGN(I319))*POWER(FFmaster,SIGN(J319))*POWER(GEmaster,SIGN(K319))*POWER(KKmaster,SIGN(M319))+M319*POWER(MUmaster,SIGN(F319))*POWER(KLmaster,SIGN(G319))*POWER(INmaster,SIGN(H319))*POWER(CHmaster,SIGN(I319))*POWER(FFmaster,SIGN(J319))*POWER(GEmaster,SIGN(K319))*POWER(KOmaster,SIGN(L319))</f>
        <v>2304</v>
      </c>
      <c r="R319" s="234">
        <f>I319*K319*KOmaster+I319*GEmaster*L319+CHmaster*K319*L319</f>
        <v>3456</v>
      </c>
      <c r="S319" s="224">
        <f>IFERROR(F319^SIGN(F319),1)*IFERROR(G319^SIGN(G319),1)*IFERROR(H319^SIGN(H319),1)*IFERROR(I319^SIGN(I319),1)*IFERROR(J319^SIGN(J319),1)*IFERROR(K319^SIGN(K319),1)*IFERROR(L319^SIGN(L319),1)*IFERROR(M319^SIGN(M319),1)</f>
        <v>1728</v>
      </c>
      <c r="T319" s="224">
        <f t="shared" si="2693"/>
        <v>7488</v>
      </c>
      <c r="U319" s="222">
        <f>N319*Q319/T319</f>
        <v>3.6923076923076925</v>
      </c>
      <c r="V319" s="223">
        <f>O319*R319/T319</f>
        <v>11.076923076923077</v>
      </c>
      <c r="W319" s="243">
        <f>P319*S319/T319</f>
        <v>8.3076923076923084</v>
      </c>
      <c r="X319" s="243">
        <f>SUM(U319:W319)</f>
        <v>23.07692307692308</v>
      </c>
      <c r="Y319" s="252">
        <v>0</v>
      </c>
      <c r="Z319" s="324">
        <f>X319-Y319</f>
        <v>23.07692307692308</v>
      </c>
      <c r="AA319" s="304">
        <f t="shared" ref="AA319:AA320" si="2694">IF(X319&lt;=0,2,0)+IF(X319&gt;0,X319+1,0)*2+IF(X319&gt;12,X319-12,0)*2+IF(X319&gt;13,X319-13,0)*2+IF(X319&gt;14,X319-14,0)*2+IF(X319&gt;15,X319-15,0)*2+IF(X319&gt;16,X319-16,0)*2+IF(X319&gt;17,X319-17,0)*2+IF(X319&gt;18,X319-18,0)*2+IF(X319&gt;19,X319-19,0)*2+IF(X319&gt;20,X319-20,0)*2</f>
        <v>175.5384615384616</v>
      </c>
      <c r="AB319" s="335">
        <f t="shared" ref="AB319:AB320" si="2695">IF(Y319&lt;=0,2,0)+IF(Y319&gt;0,Y319+1,0)*2+IF(Y319&gt;12,Y319-12,0)*2+IF(Y319&gt;13,Y319-13,0)*2+IF(Y319&gt;14,Y319-14,0)*2+IF(Y319&gt;15,Y319-15,0)*2+IF(Y319&gt;16,Y319-16,0)*2+IF(Y319&gt;17,Y319-17,0)*2+IF(Y319&gt;18,Y319-18,0)*2+IF(Y319&gt;19,Y319-19,0)*2+IF(Y319&gt;20,Y319-20,0)*2</f>
        <v>2</v>
      </c>
      <c r="AC319" s="243">
        <f>IF((AA319-AB319)&gt;0,AA319-AB319,0)</f>
        <v>173.5384615384616</v>
      </c>
      <c r="AD319" s="218">
        <f>IF((AB319-AA319)&gt;0,AB319-AA319,0)</f>
        <v>0</v>
      </c>
      <c r="AE319" s="299"/>
      <c r="AF319" s="303" t="s">
        <v>468</v>
      </c>
      <c r="AG319" s="218" t="s">
        <v>471</v>
      </c>
      <c r="AH319" s="304" t="s">
        <v>132</v>
      </c>
      <c r="AI319" s="210"/>
      <c r="AJ319" s="211"/>
      <c r="AK319" s="211"/>
      <c r="AL319" s="113">
        <f>Konvention_1slave-CHslave</f>
        <v>12</v>
      </c>
      <c r="AM319" s="211"/>
      <c r="AN319" s="113">
        <f>Konvention_1slave-GEslave</f>
        <v>12</v>
      </c>
      <c r="AO319" s="117">
        <f>Konvention_1slave-KOslave</f>
        <v>12</v>
      </c>
      <c r="AP319" s="212"/>
      <c r="AQ319" s="223">
        <f>(AI319+AJ319+AK319+AL319+AM319+AN319+AO319+AP319)/3</f>
        <v>12</v>
      </c>
      <c r="AR319" s="223">
        <f>2*AQ319</f>
        <v>24</v>
      </c>
      <c r="AS319" s="224">
        <f>3*AQ319</f>
        <v>36</v>
      </c>
      <c r="AT319" s="237">
        <f>AI319*POWER(KLslave,SIGN(AJ319))*POWER(INslave,SIGN(AK319))*POWER(CHslave,SIGN(AL319))*POWER(FFslave,SIGN(AM319))*POWER(GEslave,SIGN(AN319))*POWER(KOslave,SIGN(AO319))*POWER(KKslave,SIGN(AP319))+AJ319*POWER(MUslave,SIGN(AI319))*POWER(INslave,SIGN(AK319))*POWER(CHslave,SIGN(AL319))*POWER(FFslave,SIGN(AM319))*POWER(GEslave,SIGN(AN319))*POWER(KOslave,SIGN(AO319))*POWER(KKslave,SIGN(AP319))+AK319*POWER(MUslave,SIGN(AI319))*POWER(KLslave,SIGN(AJ319))*POWER(CHslave,SIGN(AL319))*POWER(FFslave,SIGN(AM319))*POWER(GEslave,SIGN(AN319))*POWER(KOslave,SIGN(AO319))*POWER(KKslave,SIGN(AP319))+AL319*POWER(MUslave,SIGN(AI319))*POWER(KLslave,SIGN(AJ319))*POWER(INslave,SIGN(AK319))*POWER(FFslave,SIGN(AM319))*POWER(GEslave,SIGN(AN319))*POWER(KOslave,SIGN(AO319))*POWER(KKslave,SIGN(AP319))+AM319*POWER(MUslave,SIGN(AI319))*POWER(KLslave,SIGN(AJ319))*POWER(INslave,SIGN(AK319))*POWER(CHslave,SIGN(AL319))*POWER(GEslave,SIGN(AN319))*POWER(KOslave,SIGN(AO319))*POWER(KKslave,SIGN(AP319))+AN319*POWER(MUslave,SIGN(AI319))*POWER(KLslave,SIGN(AJ319))*POWER(INslave,SIGN(AK319))*POWER(CHslave,SIGN(AL319))*POWER(FFslave,SIGN(AM319))*POWER(KOslave,SIGN(AO319))*POWER(KKslave,SIGN(AP319))+AO319*POWER(MUslave,SIGN(AI319))*POWER(KLslave,SIGN(AJ319))*POWER(INslave,SIGN(AK319))*POWER(CHslave,SIGN(AL319))*POWER(FFslave,SIGN(AM319))*POWER(GEslave,SIGN(AN319))*POWER(KKslave,SIGN(AP319))+AP319*POWER(MUslave,SIGN(AI319))*POWER(KLslave,SIGN(AJ319))*POWER(INslave,SIGN(AK319))*POWER(CHslave,SIGN(AL319))*POWER(FFslave,SIGN(AM319))*POWER(GEslave,SIGN(AN319))*POWER(KOslave,SIGN(AO319))</f>
        <v>2304</v>
      </c>
      <c r="AU319" s="234">
        <f>AL319*AN319*KOslave+AL319*GEslave*AO319+CHslave*AN319*AO319</f>
        <v>3456</v>
      </c>
      <c r="AV319" s="224">
        <f>IFERROR(AI319^SIGN(AI319),1)*IFERROR(AJ319^SIGN(AJ319),1)*IFERROR(AK319^SIGN(AK319),1)*IFERROR(AL319^SIGN(AL319),1)*IFERROR(AM319^SIGN(AM319),1)*IFERROR(AN319^SIGN(AN319),1)*IFERROR(AO319^SIGN(AO319),1)*IFERROR(AP319^SIGN(AP319),1)</f>
        <v>1728</v>
      </c>
      <c r="AW319" s="224">
        <f t="shared" si="2158"/>
        <v>7488</v>
      </c>
      <c r="AX319" s="222">
        <f>AQ319*AT319/AW319</f>
        <v>3.6923076923076925</v>
      </c>
      <c r="AY319" s="223">
        <f>AR319*AU319/AW319</f>
        <v>11.076923076923077</v>
      </c>
      <c r="AZ319" s="243">
        <f>AS319*AV319/AW319</f>
        <v>8.3076923076923084</v>
      </c>
      <c r="BA319" s="243">
        <f>SUM(AX319:AZ319)</f>
        <v>23.07692307692308</v>
      </c>
      <c r="BB319" s="252">
        <f t="shared" si="2034"/>
        <v>0</v>
      </c>
      <c r="BC319" s="324">
        <f>BA319-BB319</f>
        <v>23.07692307692308</v>
      </c>
      <c r="BD319" s="304">
        <f t="shared" ref="BD319:BE320" si="2696">IF(BA319&lt;=0,2,0)+IF(BA319&gt;0,BA319+1,0)*2+IF(BA319&gt;12,BA319-12,0)*2+IF(BA319&gt;13,BA319-13,0)*2+IF(BA319&gt;14,BA319-14,0)*2+IF(BA319&gt;15,BA319-15,0)*2+IF(BA319&gt;16,BA319-16,0)*2+IF(BA319&gt;17,BA319-17,0)*2+IF(BA319&gt;18,BA319-18,0)*2+IF(BA319&gt;19,BA319-19,0)*2+IF(BA319&gt;20,BA319-20,0)*2</f>
        <v>175.5384615384616</v>
      </c>
      <c r="BE319" s="335">
        <f t="shared" si="2696"/>
        <v>2</v>
      </c>
      <c r="BF319" s="243">
        <f>IF((BD319-BE319)&gt;0,BD319-BE319,0)</f>
        <v>173.5384615384616</v>
      </c>
      <c r="BG319" s="218">
        <f>IF((BE319-BD319)&gt;0,BE319-BD319,0)</f>
        <v>0</v>
      </c>
      <c r="BH319" s="248"/>
      <c r="BI319" s="303" t="s">
        <v>468</v>
      </c>
      <c r="BJ319" s="218" t="s">
        <v>471</v>
      </c>
      <c r="BK319" s="304" t="s">
        <v>132</v>
      </c>
      <c r="BL319" s="210"/>
      <c r="BM319" s="211"/>
      <c r="BN319" s="211"/>
      <c r="BO319" s="113">
        <f>Konvention_1slave-CHslave</f>
        <v>12</v>
      </c>
      <c r="BP319" s="211"/>
      <c r="BQ319" s="113">
        <f>Konvention_1slave-GEslave</f>
        <v>12</v>
      </c>
      <c r="BR319" s="117">
        <f>Konvention_1slave-KOslave</f>
        <v>12</v>
      </c>
      <c r="BS319" s="212"/>
      <c r="BT319" s="223">
        <f>(BL319+BM319+BN319+BO319+BP319+BQ319+BR319+BS319)/3</f>
        <v>12</v>
      </c>
      <c r="BU319" s="223">
        <f>2*BT319</f>
        <v>24</v>
      </c>
      <c r="BV319" s="224">
        <f>3*BT319</f>
        <v>36</v>
      </c>
      <c r="BW319" s="237">
        <f>BL319*POWER(KLslave,SIGN(BM319))*POWER(INslave,SIGN(BN319))*POWER(CHslave,SIGN(BO319))*POWER(FFslave,SIGN(BP319))*POWER(GEslave,SIGN(BQ319))*POWER(KOslave,SIGN(BR319))*POWER(KKslave,SIGN(BS319))+BM319*POWER(MUslave,SIGN(BL319))*POWER(INslave,SIGN(BN319))*POWER(CHslave,SIGN(BO319))*POWER(FFslave,SIGN(BP319))*POWER(GEslave,SIGN(BQ319))*POWER(KOslave,SIGN(BR319))*POWER(KKslave,SIGN(BS319))+BN319*POWER(MUslave,SIGN(BL319))*POWER(KLslave,SIGN(BM319))*POWER(CHslave,SIGN(BO319))*POWER(FFslave,SIGN(BP319))*POWER(GEslave,SIGN(BQ319))*POWER(KOslave,SIGN(BR319))*POWER(KKslave,SIGN(BS319))+BO319*POWER(MUslave,SIGN(BL319))*POWER(KLslave,SIGN(BM319))*POWER(INslave,SIGN(BN319))*POWER(FFslave,SIGN(BP319))*POWER(GEslave,SIGN(BQ319))*POWER(KOslave,SIGN(BR319))*POWER(KKslave,SIGN(BS319))+BP319*POWER(MUslave,SIGN(BL319))*POWER(KLslave,SIGN(BM319))*POWER(INslave,SIGN(BN319))*POWER(CHslave,SIGN(BO319))*POWER(GEslave,SIGN(BQ319))*POWER(KOslave,SIGN(BR319))*POWER(KKslave,SIGN(BS319))+BQ319*POWER(MUslave,SIGN(BL319))*POWER(KLslave,SIGN(BM319))*POWER(INslave,SIGN(BN319))*POWER(CHslave,SIGN(BO319))*POWER(FFslave,SIGN(BP319))*POWER(KOslave,SIGN(BR319))*POWER(KKslave,SIGN(BS319))+BR319*POWER(MUslave,SIGN(BL319))*POWER(KLslave,SIGN(BM319))*POWER(INslave,SIGN(BN319))*POWER(CHslave,SIGN(BO319))*POWER(FFslave,SIGN(BP319))*POWER(GEslave,SIGN(BQ319))*POWER(KKslave,SIGN(BS319))+BS319*POWER(MUslave,SIGN(BL319))*POWER(KLslave,SIGN(BM319))*POWER(INslave,SIGN(BN319))*POWER(CHslave,SIGN(BO319))*POWER(FFslave,SIGN(BP319))*POWER(GEslave,SIGN(BQ319))*POWER(KOslave,SIGN(BR319))</f>
        <v>2304</v>
      </c>
      <c r="BX319" s="234">
        <f>BO319*BQ319*KOslave+BO319*GEslave*BR319+CHslave*BQ319*BR319</f>
        <v>3456</v>
      </c>
      <c r="BY319" s="224">
        <f>IFERROR(BL319^SIGN(BL319),1)*IFERROR(BM319^SIGN(BM319),1)*IFERROR(BN319^SIGN(BN319),1)*IFERROR(BO319^SIGN(BO319),1)*IFERROR(BP319^SIGN(BP319),1)*IFERROR(BQ319^SIGN(BQ319),1)*IFERROR(BR319^SIGN(BR319),1)*IFERROR(BS319^SIGN(BS319),1)</f>
        <v>1728</v>
      </c>
      <c r="BZ319" s="224">
        <f t="shared" si="2160"/>
        <v>7488</v>
      </c>
      <c r="CA319" s="222">
        <f>BT319*BW319/BZ319</f>
        <v>3.6923076923076925</v>
      </c>
      <c r="CB319" s="223">
        <f>BU319*BX319/BZ319</f>
        <v>11.076923076923077</v>
      </c>
      <c r="CC319" s="243">
        <f>BV319*BY319/BZ319</f>
        <v>8.3076923076923084</v>
      </c>
      <c r="CD319" s="243">
        <f>SUM(CA319:CC319)</f>
        <v>23.07692307692308</v>
      </c>
      <c r="CE319" s="252">
        <f t="shared" si="1833"/>
        <v>0</v>
      </c>
      <c r="CF319" s="324">
        <f>CD319-CE319</f>
        <v>23.07692307692308</v>
      </c>
      <c r="CG319" s="304">
        <f t="shared" ref="CG319:CH320" si="2697">IF(CD319&lt;=0,2,0)+IF(CD319&gt;0,CD319+1,0)*2+IF(CD319&gt;12,CD319-12,0)*2+IF(CD319&gt;13,CD319-13,0)*2+IF(CD319&gt;14,CD319-14,0)*2+IF(CD319&gt;15,CD319-15,0)*2+IF(CD319&gt;16,CD319-16,0)*2+IF(CD319&gt;17,CD319-17,0)*2+IF(CD319&gt;18,CD319-18,0)*2+IF(CD319&gt;19,CD319-19,0)*2+IF(CD319&gt;20,CD319-20,0)*2</f>
        <v>175.5384615384616</v>
      </c>
      <c r="CH319" s="335">
        <f t="shared" si="2697"/>
        <v>2</v>
      </c>
      <c r="CI319" s="243">
        <f>IF((CG319-CH319)&gt;0,CG319-CH319,0)</f>
        <v>173.5384615384616</v>
      </c>
      <c r="CJ319" s="218">
        <f>IF((CH319-CG319)&gt;0,CH319-CG319,0)</f>
        <v>0</v>
      </c>
      <c r="CK319" s="248"/>
      <c r="CL319" s="303" t="s">
        <v>468</v>
      </c>
      <c r="CM319" s="218" t="s">
        <v>471</v>
      </c>
      <c r="CN319" s="304" t="s">
        <v>132</v>
      </c>
      <c r="CO319" s="210"/>
      <c r="CP319" s="211"/>
      <c r="CQ319" s="211"/>
      <c r="CR319" s="113">
        <f>Konvention_1slave-CHslave</f>
        <v>12</v>
      </c>
      <c r="CS319" s="211"/>
      <c r="CT319" s="113">
        <f>Konvention_1slave-GEslave</f>
        <v>12</v>
      </c>
      <c r="CU319" s="117">
        <f>Konvention_1slave-KOslave</f>
        <v>12</v>
      </c>
      <c r="CV319" s="212"/>
      <c r="CW319" s="223">
        <f>(CO319+CP319+CQ319+CR319+CS319+CT319+CU319+CV319)/3</f>
        <v>12</v>
      </c>
      <c r="CX319" s="223">
        <f>2*CW319</f>
        <v>24</v>
      </c>
      <c r="CY319" s="224">
        <f>3*CW319</f>
        <v>36</v>
      </c>
      <c r="CZ319" s="237">
        <f>CO319*POWER(KLslave,SIGN(CP319))*POWER(INslave,SIGN(CQ319))*POWER(CHslave,SIGN(CR319))*POWER(FFslave,SIGN(CS319))*POWER(GEslave,SIGN(CT319))*POWER(KOslave,SIGN(CU319))*POWER(KKslave,SIGN(CV319))+CP319*POWER(MUslave,SIGN(CO319))*POWER(INslave,SIGN(CQ319))*POWER(CHslave,SIGN(CR319))*POWER(FFslave,SIGN(CS319))*POWER(GEslave,SIGN(CT319))*POWER(KOslave,SIGN(CU319))*POWER(KKslave,SIGN(CV319))+CQ319*POWER(MUslave,SIGN(CO319))*POWER(KLslave,SIGN(CP319))*POWER(CHslave,SIGN(CR319))*POWER(FFslave,SIGN(CS319))*POWER(GEslave,SIGN(CT319))*POWER(KOslave,SIGN(CU319))*POWER(KKslave,SIGN(CV319))+CR319*POWER(MUslave,SIGN(CO319))*POWER(KLslave,SIGN(CP319))*POWER(INslave,SIGN(CQ319))*POWER(FFslave,SIGN(CS319))*POWER(GEslave,SIGN(CT319))*POWER(KOslave,SIGN(CU319))*POWER(KKslave,SIGN(CV319))+CS319*POWER(MUslave,SIGN(CO319))*POWER(KLslave,SIGN(CP319))*POWER(INslave,SIGN(CQ319))*POWER(CHslave,SIGN(CR319))*POWER(GEslave,SIGN(CT319))*POWER(KOslave,SIGN(CU319))*POWER(KKslave,SIGN(CV319))+CT319*POWER(MUslave,SIGN(CO319))*POWER(KLslave,SIGN(CP319))*POWER(INslave,SIGN(CQ319))*POWER(CHslave,SIGN(CR319))*POWER(FFslave,SIGN(CS319))*POWER(KOslave,SIGN(CU319))*POWER(KKslave,SIGN(CV319))+CU319*POWER(MUslave,SIGN(CO319))*POWER(KLslave,SIGN(CP319))*POWER(INslave,SIGN(CQ319))*POWER(CHslave,SIGN(CR319))*POWER(FFslave,SIGN(CS319))*POWER(GEslave,SIGN(CT319))*POWER(KKslave,SIGN(CV319))+CV319*POWER(MUslave,SIGN(CO319))*POWER(KLslave,SIGN(CP319))*POWER(INslave,SIGN(CQ319))*POWER(CHslave,SIGN(CR319))*POWER(FFslave,SIGN(CS319))*POWER(GEslave,SIGN(CT319))*POWER(KOslave,SIGN(CU319))</f>
        <v>2304</v>
      </c>
      <c r="DA319" s="234">
        <f>CR319*CT319*KOslave+CR319*GEslave*CU319+CHslave*CT319*CU319</f>
        <v>3456</v>
      </c>
      <c r="DB319" s="224">
        <f>IFERROR(CO319^SIGN(CO319),1)*IFERROR(CP319^SIGN(CP319),1)*IFERROR(CQ319^SIGN(CQ319),1)*IFERROR(CR319^SIGN(CR319),1)*IFERROR(CS319^SIGN(CS319),1)*IFERROR(CT319^SIGN(CT319),1)*IFERROR(CU319^SIGN(CU319),1)*IFERROR(CV319^SIGN(CV319),1)</f>
        <v>1728</v>
      </c>
      <c r="DC319" s="224">
        <f t="shared" si="2162"/>
        <v>7488</v>
      </c>
      <c r="DD319" s="222">
        <f>CW319*CZ319/DC319</f>
        <v>3.6923076923076925</v>
      </c>
      <c r="DE319" s="223">
        <f>CX319*DA319/DC319</f>
        <v>11.076923076923077</v>
      </c>
      <c r="DF319" s="243">
        <f>CY319*DB319/DC319</f>
        <v>8.3076923076923084</v>
      </c>
      <c r="DG319" s="243">
        <f>SUM(DD319:DF319)</f>
        <v>23.07692307692308</v>
      </c>
      <c r="DH319" s="252">
        <f t="shared" si="1848"/>
        <v>0</v>
      </c>
      <c r="DI319" s="324">
        <f>DG319-DH319</f>
        <v>23.07692307692308</v>
      </c>
      <c r="DJ319" s="304">
        <f t="shared" ref="DJ319:DK320" si="2698">IF(DG319&lt;=0,2,0)+IF(DG319&gt;0,DG319+1,0)*2+IF(DG319&gt;12,DG319-12,0)*2+IF(DG319&gt;13,DG319-13,0)*2+IF(DG319&gt;14,DG319-14,0)*2+IF(DG319&gt;15,DG319-15,0)*2+IF(DG319&gt;16,DG319-16,0)*2+IF(DG319&gt;17,DG319-17,0)*2+IF(DG319&gt;18,DG319-18,0)*2+IF(DG319&gt;19,DG319-19,0)*2+IF(DG319&gt;20,DG319-20,0)*2</f>
        <v>175.5384615384616</v>
      </c>
      <c r="DK319" s="335">
        <f t="shared" si="2698"/>
        <v>2</v>
      </c>
      <c r="DL319" s="243">
        <f>IF((DJ319-DK319)&gt;0,DJ319-DK319,0)</f>
        <v>173.5384615384616</v>
      </c>
      <c r="DM319" s="218">
        <f>IF((DK319-DJ319)&gt;0,DK319-DJ319,0)</f>
        <v>0</v>
      </c>
      <c r="DN319" s="248"/>
      <c r="DO319" s="303" t="s">
        <v>468</v>
      </c>
      <c r="DP319" s="218" t="s">
        <v>471</v>
      </c>
      <c r="DQ319" s="304" t="s">
        <v>132</v>
      </c>
      <c r="DR319" s="210"/>
      <c r="DS319" s="211"/>
      <c r="DT319" s="211"/>
      <c r="DU319" s="113">
        <f>Konvention_1slave-CHslave</f>
        <v>12</v>
      </c>
      <c r="DV319" s="211"/>
      <c r="DW319" s="113">
        <f>Konvention_1slave-GEslave</f>
        <v>12</v>
      </c>
      <c r="DX319" s="117">
        <f>Konvention_1slave-KOslave</f>
        <v>12</v>
      </c>
      <c r="DY319" s="212"/>
      <c r="DZ319" s="223">
        <f>(DR319+DS319+DT319+DU319+DV319+DW319+DX319+DY319)/3</f>
        <v>12</v>
      </c>
      <c r="EA319" s="223">
        <f>2*DZ319</f>
        <v>24</v>
      </c>
      <c r="EB319" s="224">
        <f>3*DZ319</f>
        <v>36</v>
      </c>
      <c r="EC319" s="237">
        <f>DR319*POWER(KLslave,SIGN(DS319))*POWER(INslave,SIGN(DT319))*POWER(CHslave,SIGN(DU319))*POWER(FFslave,SIGN(DV319))*POWER(GEslave,SIGN(DW319))*POWER(KOslave,SIGN(DX319))*POWER(KKslave,SIGN(DY319))+DS319*POWER(MUslave,SIGN(DR319))*POWER(INslave,SIGN(DT319))*POWER(CHslave,SIGN(DU319))*POWER(FFslave,SIGN(DV319))*POWER(GEslave,SIGN(DW319))*POWER(KOslave,SIGN(DX319))*POWER(KKslave,SIGN(DY319))+DT319*POWER(MUslave,SIGN(DR319))*POWER(KLslave,SIGN(DS319))*POWER(CHslave,SIGN(DU319))*POWER(FFslave,SIGN(DV319))*POWER(GEslave,SIGN(DW319))*POWER(KOslave,SIGN(DX319))*POWER(KKslave,SIGN(DY319))+DU319*POWER(MUslave,SIGN(DR319))*POWER(KLslave,SIGN(DS319))*POWER(INslave,SIGN(DT319))*POWER(FFslave,SIGN(DV319))*POWER(GEslave,SIGN(DW319))*POWER(KOslave,SIGN(DX319))*POWER(KKslave,SIGN(DY319))+DV319*POWER(MUslave,SIGN(DR319))*POWER(KLslave,SIGN(DS319))*POWER(INslave,SIGN(DT319))*POWER(CHslave,SIGN(DU319))*POWER(GEslave,SIGN(DW319))*POWER(KOslave,SIGN(DX319))*POWER(KKslave,SIGN(DY319))+DW319*POWER(MUslave,SIGN(DR319))*POWER(KLslave,SIGN(DS319))*POWER(INslave,SIGN(DT319))*POWER(CHslave,SIGN(DU319))*POWER(FFslave,SIGN(DV319))*POWER(KOslave,SIGN(DX319))*POWER(KKslave,SIGN(DY319))+DX319*POWER(MUslave,SIGN(DR319))*POWER(KLslave,SIGN(DS319))*POWER(INslave,SIGN(DT319))*POWER(CHslave,SIGN(DU319))*POWER(FFslave,SIGN(DV319))*POWER(GEslave,SIGN(DW319))*POWER(KKslave,SIGN(DY319))+DY319*POWER(MUslave,SIGN(DR319))*POWER(KLslave,SIGN(DS319))*POWER(INslave,SIGN(DT319))*POWER(CHslave,SIGN(DU319))*POWER(FFslave,SIGN(DV319))*POWER(GEslave,SIGN(DW319))*POWER(KOslave,SIGN(DX319))</f>
        <v>2304</v>
      </c>
      <c r="ED319" s="234">
        <f>DU319*DW319*KOslave+DU319*GEslave*DX319+CHslave*DW319*DX319</f>
        <v>3456</v>
      </c>
      <c r="EE319" s="224">
        <f>IFERROR(DR319^SIGN(DR319),1)*IFERROR(DS319^SIGN(DS319),1)*IFERROR(DT319^SIGN(DT319),1)*IFERROR(DU319^SIGN(DU319),1)*IFERROR(DV319^SIGN(DV319),1)*IFERROR(DW319^SIGN(DW319),1)*IFERROR(DX319^SIGN(DX319),1)*IFERROR(DY319^SIGN(DY319),1)</f>
        <v>1728</v>
      </c>
      <c r="EF319" s="224">
        <f t="shared" si="2164"/>
        <v>7488</v>
      </c>
      <c r="EG319" s="222">
        <f>DZ319*EC319/EF319</f>
        <v>3.6923076923076925</v>
      </c>
      <c r="EH319" s="223">
        <f>EA319*ED319/EF319</f>
        <v>11.076923076923077</v>
      </c>
      <c r="EI319" s="243">
        <f>EB319*EE319/EF319</f>
        <v>8.3076923076923084</v>
      </c>
      <c r="EJ319" s="243">
        <f>SUM(EG319:EI319)</f>
        <v>23.07692307692308</v>
      </c>
      <c r="EK319" s="252">
        <f t="shared" si="1863"/>
        <v>0</v>
      </c>
      <c r="EL319" s="324">
        <f>EJ319-EK319</f>
        <v>23.07692307692308</v>
      </c>
      <c r="EM319" s="304">
        <f t="shared" ref="EM319:EN320" si="2699">IF(EJ319&lt;=0,2,0)+IF(EJ319&gt;0,EJ319+1,0)*2+IF(EJ319&gt;12,EJ319-12,0)*2+IF(EJ319&gt;13,EJ319-13,0)*2+IF(EJ319&gt;14,EJ319-14,0)*2+IF(EJ319&gt;15,EJ319-15,0)*2+IF(EJ319&gt;16,EJ319-16,0)*2+IF(EJ319&gt;17,EJ319-17,0)*2+IF(EJ319&gt;18,EJ319-18,0)*2+IF(EJ319&gt;19,EJ319-19,0)*2+IF(EJ319&gt;20,EJ319-20,0)*2</f>
        <v>175.5384615384616</v>
      </c>
      <c r="EN319" s="335">
        <f t="shared" si="2699"/>
        <v>2</v>
      </c>
      <c r="EO319" s="243">
        <f>IF((EM319-EN319)&gt;0,EM319-EN319,0)</f>
        <v>173.5384615384616</v>
      </c>
      <c r="EP319" s="218">
        <f>IF((EN319-EM319)&gt;0,EN319-EM319,0)</f>
        <v>0</v>
      </c>
      <c r="EQ319" s="248"/>
      <c r="ER319" s="303" t="s">
        <v>468</v>
      </c>
      <c r="ES319" s="218" t="s">
        <v>471</v>
      </c>
      <c r="ET319" s="304" t="s">
        <v>132</v>
      </c>
      <c r="EU319" s="210"/>
      <c r="EV319" s="211"/>
      <c r="EW319" s="211"/>
      <c r="EX319" s="113">
        <f>Konvention_1slave-CHslave</f>
        <v>12</v>
      </c>
      <c r="EY319" s="211"/>
      <c r="EZ319" s="113">
        <f>Konvention_1slave-GEslave</f>
        <v>12</v>
      </c>
      <c r="FA319" s="117">
        <f>Konvention_1slave-KOslave</f>
        <v>12</v>
      </c>
      <c r="FB319" s="212"/>
      <c r="FC319" s="223">
        <f>(EU319+EV319+EW319+EX319+EY319+EZ319+FA319+FB319)/3</f>
        <v>12</v>
      </c>
      <c r="FD319" s="223">
        <f>2*FC319</f>
        <v>24</v>
      </c>
      <c r="FE319" s="224">
        <f>3*FC319</f>
        <v>36</v>
      </c>
      <c r="FF319" s="237">
        <f>EU319*POWER(KLslave,SIGN(EV319))*POWER(INslave,SIGN(EW319))*POWER(CHslave,SIGN(EX319))*POWER(FFslave,SIGN(EY319))*POWER(GEslave,SIGN(EZ319))*POWER(KOslave,SIGN(FA319))*POWER(KKslave,SIGN(FB319))+EV319*POWER(MUslave,SIGN(EU319))*POWER(INslave,SIGN(EW319))*POWER(CHslave,SIGN(EX319))*POWER(FFslave,SIGN(EY319))*POWER(GEslave,SIGN(EZ319))*POWER(KOslave,SIGN(FA319))*POWER(KKslave,SIGN(FB319))+EW319*POWER(MUslave,SIGN(EU319))*POWER(KLslave,SIGN(EV319))*POWER(CHslave,SIGN(EX319))*POWER(FFslave,SIGN(EY319))*POWER(GEslave,SIGN(EZ319))*POWER(KOslave,SIGN(FA319))*POWER(KKslave,SIGN(FB319))+EX319*POWER(MUslave,SIGN(EU319))*POWER(KLslave,SIGN(EV319))*POWER(INslave,SIGN(EW319))*POWER(FFslave,SIGN(EY319))*POWER(GEslave,SIGN(EZ319))*POWER(KOslave,SIGN(FA319))*POWER(KKslave,SIGN(FB319))+EY319*POWER(MUslave,SIGN(EU319))*POWER(KLslave,SIGN(EV319))*POWER(INslave,SIGN(EW319))*POWER(CHslave,SIGN(EX319))*POWER(GEslave,SIGN(EZ319))*POWER(KOslave,SIGN(FA319))*POWER(KKslave,SIGN(FB319))+EZ319*POWER(MUslave,SIGN(EU319))*POWER(KLslave,SIGN(EV319))*POWER(INslave,SIGN(EW319))*POWER(CHslave,SIGN(EX319))*POWER(FFslave,SIGN(EY319))*POWER(KOslave,SIGN(FA319))*POWER(KKslave,SIGN(FB319))+FA319*POWER(MUslave,SIGN(EU319))*POWER(KLslave,SIGN(EV319))*POWER(INslave,SIGN(EW319))*POWER(CHslave,SIGN(EX319))*POWER(FFslave,SIGN(EY319))*POWER(GEslave,SIGN(EZ319))*POWER(KKslave,SIGN(FB319))+FB319*POWER(MUslave,SIGN(EU319))*POWER(KLslave,SIGN(EV319))*POWER(INslave,SIGN(EW319))*POWER(CHslave,SIGN(EX319))*POWER(FFslave,SIGN(EY319))*POWER(GEslave,SIGN(EZ319))*POWER(KOslave,SIGN(FA319))</f>
        <v>2304</v>
      </c>
      <c r="FG319" s="234">
        <f>EX319*EZ319*KOslave+EX319*GEslave*FA319+CHslave*EZ319*FA319</f>
        <v>3456</v>
      </c>
      <c r="FH319" s="224">
        <f>IFERROR(EU319^SIGN(EU319),1)*IFERROR(EV319^SIGN(EV319),1)*IFERROR(EW319^SIGN(EW319),1)*IFERROR(EX319^SIGN(EX319),1)*IFERROR(EY319^SIGN(EY319),1)*IFERROR(EZ319^SIGN(EZ319),1)*IFERROR(FA319^SIGN(FA319),1)*IFERROR(FB319^SIGN(FB319),1)</f>
        <v>1728</v>
      </c>
      <c r="FI319" s="224">
        <f t="shared" si="2166"/>
        <v>7488</v>
      </c>
      <c r="FJ319" s="222">
        <f>FC319*FF319/FI319</f>
        <v>3.6923076923076925</v>
      </c>
      <c r="FK319" s="223">
        <f>FD319*FG319/FI319</f>
        <v>11.076923076923077</v>
      </c>
      <c r="FL319" s="243">
        <f>FE319*FH319/FI319</f>
        <v>8.3076923076923084</v>
      </c>
      <c r="FM319" s="243">
        <f>SUM(FJ319:FL319)</f>
        <v>23.07692307692308</v>
      </c>
      <c r="FN319" s="252">
        <f t="shared" si="1878"/>
        <v>0</v>
      </c>
      <c r="FO319" s="324">
        <f>FM319-FN319</f>
        <v>23.07692307692308</v>
      </c>
      <c r="FP319" s="304">
        <f t="shared" ref="FP319:FQ320" si="2700">IF(FM319&lt;=0,2,0)+IF(FM319&gt;0,FM319+1,0)*2+IF(FM319&gt;12,FM319-12,0)*2+IF(FM319&gt;13,FM319-13,0)*2+IF(FM319&gt;14,FM319-14,0)*2+IF(FM319&gt;15,FM319-15,0)*2+IF(FM319&gt;16,FM319-16,0)*2+IF(FM319&gt;17,FM319-17,0)*2+IF(FM319&gt;18,FM319-18,0)*2+IF(FM319&gt;19,FM319-19,0)*2+IF(FM319&gt;20,FM319-20,0)*2</f>
        <v>175.5384615384616</v>
      </c>
      <c r="FQ319" s="335">
        <f t="shared" si="2700"/>
        <v>2</v>
      </c>
      <c r="FR319" s="243">
        <f>IF((FP319-FQ319)&gt;0,FP319-FQ319,0)</f>
        <v>173.5384615384616</v>
      </c>
      <c r="FS319" s="218">
        <f>IF((FQ319-FP319)&gt;0,FQ319-FP319,0)</f>
        <v>0</v>
      </c>
      <c r="FT319" s="248"/>
      <c r="FU319" s="303" t="s">
        <v>468</v>
      </c>
      <c r="FV319" s="218" t="s">
        <v>471</v>
      </c>
      <c r="FW319" s="304" t="s">
        <v>132</v>
      </c>
      <c r="FX319" s="210"/>
      <c r="FY319" s="211"/>
      <c r="FZ319" s="211"/>
      <c r="GA319" s="113">
        <f>Konvention_1slave-CHslave</f>
        <v>12</v>
      </c>
      <c r="GB319" s="211"/>
      <c r="GC319" s="113">
        <f>Konvention_1slave-GEslave</f>
        <v>12</v>
      </c>
      <c r="GD319" s="117">
        <f>Konvention_1slave-KOslave</f>
        <v>12</v>
      </c>
      <c r="GE319" s="212"/>
      <c r="GF319" s="223">
        <f>(FX319+FY319+FZ319+GA319+GB319+GC319+GD319+GE319)/3</f>
        <v>12</v>
      </c>
      <c r="GG319" s="223">
        <f>2*GF319</f>
        <v>24</v>
      </c>
      <c r="GH319" s="224">
        <f>3*GF319</f>
        <v>36</v>
      </c>
      <c r="GI319" s="237">
        <f>FX319*POWER(KLslave,SIGN(FY319))*POWER(INslave,SIGN(FZ319))*POWER(CHslave,SIGN(GA319))*POWER(FFslave,SIGN(GB319))*POWER(GEslave,SIGN(GC319))*POWER(KOslave,SIGN(GD319))*POWER(KKslave,SIGN(GE319))+FY319*POWER(MUslave,SIGN(FX319))*POWER(INslave,SIGN(FZ319))*POWER(CHslave,SIGN(GA319))*POWER(FFslave,SIGN(GB319))*POWER(GEslave,SIGN(GC319))*POWER(KOslave,SIGN(GD319))*POWER(KKslave,SIGN(GE319))+FZ319*POWER(MUslave,SIGN(FX319))*POWER(KLslave,SIGN(FY319))*POWER(CHslave,SIGN(GA319))*POWER(FFslave,SIGN(GB319))*POWER(GEslave,SIGN(GC319))*POWER(KOslave,SIGN(GD319))*POWER(KKslave,SIGN(GE319))+GA319*POWER(MUslave,SIGN(FX319))*POWER(KLslave,SIGN(FY319))*POWER(INslave,SIGN(FZ319))*POWER(FFslave,SIGN(GB319))*POWER(GEslave,SIGN(GC319))*POWER(KOslave,SIGN(GD319))*POWER(KKslave,SIGN(GE319))+GB319*POWER(MUslave,SIGN(FX319))*POWER(KLslave,SIGN(FY319))*POWER(INslave,SIGN(FZ319))*POWER(CHslave,SIGN(GA319))*POWER(GEslave,SIGN(GC319))*POWER(KOslave,SIGN(GD319))*POWER(KKslave,SIGN(GE319))+GC319*POWER(MUslave,SIGN(FX319))*POWER(KLslave,SIGN(FY319))*POWER(INslave,SIGN(FZ319))*POWER(CHslave,SIGN(GA319))*POWER(FFslave,SIGN(GB319))*POWER(KOslave,SIGN(GD319))*POWER(KKslave,SIGN(GE319))+GD319*POWER(MUslave,SIGN(FX319))*POWER(KLslave,SIGN(FY319))*POWER(INslave,SIGN(FZ319))*POWER(CHslave,SIGN(GA319))*POWER(FFslave,SIGN(GB319))*POWER(GEslave,SIGN(GC319))*POWER(KKslave,SIGN(GE319))+GE319*POWER(MUslave,SIGN(FX319))*POWER(KLslave,SIGN(FY319))*POWER(INslave,SIGN(FZ319))*POWER(CHslave,SIGN(GA319))*POWER(FFslave,SIGN(GB319))*POWER(GEslave,SIGN(GC319))*POWER(KOslave,SIGN(GD319))</f>
        <v>2304</v>
      </c>
      <c r="GJ319" s="234">
        <f>GA319*GC319*KOslave+GA319*GEslave*GD319+CHslave*GC319*GD319</f>
        <v>3456</v>
      </c>
      <c r="GK319" s="224">
        <f>IFERROR(FX319^SIGN(FX319),1)*IFERROR(FY319^SIGN(FY319),1)*IFERROR(FZ319^SIGN(FZ319),1)*IFERROR(GA319^SIGN(GA319),1)*IFERROR(GB319^SIGN(GB319),1)*IFERROR(GC319^SIGN(GC319),1)*IFERROR(GD319^SIGN(GD319),1)*IFERROR(GE319^SIGN(GE319),1)</f>
        <v>1728</v>
      </c>
      <c r="GL319" s="224">
        <f t="shared" si="2168"/>
        <v>7488</v>
      </c>
      <c r="GM319" s="222">
        <f>GF319*GI319/GL319</f>
        <v>3.6923076923076925</v>
      </c>
      <c r="GN319" s="223">
        <f>GG319*GJ319/GL319</f>
        <v>11.076923076923077</v>
      </c>
      <c r="GO319" s="243">
        <f>GH319*GK319/GL319</f>
        <v>8.3076923076923084</v>
      </c>
      <c r="GP319" s="243">
        <f>SUM(GM319:GO319)</f>
        <v>23.07692307692308</v>
      </c>
      <c r="GQ319" s="252">
        <f t="shared" si="1893"/>
        <v>0</v>
      </c>
      <c r="GR319" s="324">
        <f>GP319-GQ319</f>
        <v>23.07692307692308</v>
      </c>
      <c r="GS319" s="304">
        <f t="shared" ref="GS319:GT320" si="2701">IF(GP319&lt;=0,2,0)+IF(GP319&gt;0,GP319+1,0)*2+IF(GP319&gt;12,GP319-12,0)*2+IF(GP319&gt;13,GP319-13,0)*2+IF(GP319&gt;14,GP319-14,0)*2+IF(GP319&gt;15,GP319-15,0)*2+IF(GP319&gt;16,GP319-16,0)*2+IF(GP319&gt;17,GP319-17,0)*2+IF(GP319&gt;18,GP319-18,0)*2+IF(GP319&gt;19,GP319-19,0)*2+IF(GP319&gt;20,GP319-20,0)*2</f>
        <v>175.5384615384616</v>
      </c>
      <c r="GT319" s="335">
        <f t="shared" si="2701"/>
        <v>2</v>
      </c>
      <c r="GU319" s="243">
        <f>IF((GS319-GT319)&gt;0,GS319-GT319,0)</f>
        <v>173.5384615384616</v>
      </c>
      <c r="GV319" s="218">
        <f>IF((GT319-GS319)&gt;0,GT319-GS319,0)</f>
        <v>0</v>
      </c>
      <c r="GW319" s="248"/>
      <c r="GX319" s="303" t="s">
        <v>468</v>
      </c>
      <c r="GY319" s="218" t="s">
        <v>471</v>
      </c>
      <c r="GZ319" s="304" t="s">
        <v>132</v>
      </c>
      <c r="HA319" s="210"/>
      <c r="HB319" s="211"/>
      <c r="HC319" s="211"/>
      <c r="HD319" s="113">
        <f>Konvention_1slave-CHslave</f>
        <v>12</v>
      </c>
      <c r="HE319" s="211"/>
      <c r="HF319" s="113">
        <f>Konvention_1slave-GEslave</f>
        <v>12</v>
      </c>
      <c r="HG319" s="117">
        <f>Konvention_1slave-KOslave</f>
        <v>12</v>
      </c>
      <c r="HH319" s="212"/>
      <c r="HI319" s="223">
        <f>(HA319+HB319+HC319+HD319+HE319+HF319+HG319+HH319)/3</f>
        <v>12</v>
      </c>
      <c r="HJ319" s="223">
        <f>2*HI319</f>
        <v>24</v>
      </c>
      <c r="HK319" s="224">
        <f>3*HI319</f>
        <v>36</v>
      </c>
      <c r="HL319" s="237">
        <f>HA319*POWER(KLslave,SIGN(HB319))*POWER(INslave,SIGN(HC319))*POWER(CHslave,SIGN(HD319))*POWER(FFslave,SIGN(HE319))*POWER(GEslave,SIGN(HF319))*POWER(KOslave,SIGN(HG319))*POWER(KKslave,SIGN(HH319))+HB319*POWER(MUslave,SIGN(HA319))*POWER(INslave,SIGN(HC319))*POWER(CHslave,SIGN(HD319))*POWER(FFslave,SIGN(HE319))*POWER(GEslave,SIGN(HF319))*POWER(KOslave,SIGN(HG319))*POWER(KKslave,SIGN(HH319))+HC319*POWER(MUslave,SIGN(HA319))*POWER(KLslave,SIGN(HB319))*POWER(CHslave,SIGN(HD319))*POWER(FFslave,SIGN(HE319))*POWER(GEslave,SIGN(HF319))*POWER(KOslave,SIGN(HG319))*POWER(KKslave,SIGN(HH319))+HD319*POWER(MUslave,SIGN(HA319))*POWER(KLslave,SIGN(HB319))*POWER(INslave,SIGN(HC319))*POWER(FFslave,SIGN(HE319))*POWER(GEslave,SIGN(HF319))*POWER(KOslave,SIGN(HG319))*POWER(KKslave,SIGN(HH319))+HE319*POWER(MUslave,SIGN(HA319))*POWER(KLslave,SIGN(HB319))*POWER(INslave,SIGN(HC319))*POWER(CHslave,SIGN(HD319))*POWER(GEslave,SIGN(HF319))*POWER(KOslave,SIGN(HG319))*POWER(KKslave,SIGN(HH319))+HF319*POWER(MUslave,SIGN(HA319))*POWER(KLslave,SIGN(HB319))*POWER(INslave,SIGN(HC319))*POWER(CHslave,SIGN(HD319))*POWER(FFslave,SIGN(HE319))*POWER(KOslave,SIGN(HG319))*POWER(KKslave,SIGN(HH319))+HG319*POWER(MUslave,SIGN(HA319))*POWER(KLslave,SIGN(HB319))*POWER(INslave,SIGN(HC319))*POWER(CHslave,SIGN(HD319))*POWER(FFslave,SIGN(HE319))*POWER(GEslave,SIGN(HF319))*POWER(KKslave,SIGN(HH319))+HH319*POWER(MUslave,SIGN(HA319))*POWER(KLslave,SIGN(HB319))*POWER(INslave,SIGN(HC319))*POWER(CHslave,SIGN(HD319))*POWER(FFslave,SIGN(HE319))*POWER(GEslave,SIGN(HF319))*POWER(KOslave,SIGN(HG319))</f>
        <v>2304</v>
      </c>
      <c r="HM319" s="234">
        <f>HD319*HF319*KOslave+HD319*GEslave*HG319+CHslave*HF319*HG319</f>
        <v>3456</v>
      </c>
      <c r="HN319" s="224">
        <f>IFERROR(HA319^SIGN(HA319),1)*IFERROR(HB319^SIGN(HB319),1)*IFERROR(HC319^SIGN(HC319),1)*IFERROR(HD319^SIGN(HD319),1)*IFERROR(HE319^SIGN(HE319),1)*IFERROR(HF319^SIGN(HF319),1)*IFERROR(HG319^SIGN(HG319),1)*IFERROR(HH319^SIGN(HH319),1)</f>
        <v>1728</v>
      </c>
      <c r="HO319" s="224">
        <f t="shared" si="2170"/>
        <v>7488</v>
      </c>
      <c r="HP319" s="222">
        <f>HI319*HL319/HO319</f>
        <v>3.6923076923076925</v>
      </c>
      <c r="HQ319" s="223">
        <f>HJ319*HM319/HO319</f>
        <v>11.076923076923077</v>
      </c>
      <c r="HR319" s="243">
        <f>HK319*HN319/HO319</f>
        <v>8.3076923076923084</v>
      </c>
      <c r="HS319" s="243">
        <f>SUM(HP319:HR319)</f>
        <v>23.07692307692308</v>
      </c>
      <c r="HT319" s="252">
        <f t="shared" si="1908"/>
        <v>0</v>
      </c>
      <c r="HU319" s="324">
        <f>HS319-HT319</f>
        <v>23.07692307692308</v>
      </c>
      <c r="HV319" s="304">
        <f t="shared" ref="HV319:HW320" si="2702">IF(HS319&lt;=0,2,0)+IF(HS319&gt;0,HS319+1,0)*2+IF(HS319&gt;12,HS319-12,0)*2+IF(HS319&gt;13,HS319-13,0)*2+IF(HS319&gt;14,HS319-14,0)*2+IF(HS319&gt;15,HS319-15,0)*2+IF(HS319&gt;16,HS319-16,0)*2+IF(HS319&gt;17,HS319-17,0)*2+IF(HS319&gt;18,HS319-18,0)*2+IF(HS319&gt;19,HS319-19,0)*2+IF(HS319&gt;20,HS319-20,0)*2</f>
        <v>175.5384615384616</v>
      </c>
      <c r="HW319" s="335">
        <f t="shared" si="2702"/>
        <v>2</v>
      </c>
      <c r="HX319" s="243">
        <f>IF((HV319-HW319)&gt;0,HV319-HW319,0)</f>
        <v>173.5384615384616</v>
      </c>
      <c r="HY319" s="218">
        <f>IF((HW319-HV319)&gt;0,HW319-HV319,0)</f>
        <v>0</v>
      </c>
      <c r="HZ319" s="248"/>
      <c r="IA319" s="303" t="s">
        <v>468</v>
      </c>
      <c r="IB319" s="218" t="s">
        <v>471</v>
      </c>
      <c r="IC319" s="304" t="s">
        <v>132</v>
      </c>
      <c r="ID319" s="210"/>
      <c r="IE319" s="211"/>
      <c r="IF319" s="211"/>
      <c r="IG319" s="113">
        <f>Konvention_1slave-CHslave</f>
        <v>12</v>
      </c>
      <c r="IH319" s="211"/>
      <c r="II319" s="113">
        <f>Konvention_1slave-GEslave</f>
        <v>12</v>
      </c>
      <c r="IJ319" s="117">
        <f>Konvention_1slave-KOslave</f>
        <v>12</v>
      </c>
      <c r="IK319" s="212"/>
      <c r="IL319" s="223">
        <f>(ID319+IE319+IF319+IG319+IH319+II319+IJ319+IK319)/3</f>
        <v>12</v>
      </c>
      <c r="IM319" s="223">
        <f>2*IL319</f>
        <v>24</v>
      </c>
      <c r="IN319" s="224">
        <f>3*IL319</f>
        <v>36</v>
      </c>
      <c r="IO319" s="237">
        <f>ID319*POWER(KLslave,SIGN(IE319))*POWER(INslave,SIGN(IF319))*POWER(CHslave,SIGN(IG319))*POWER(FFslave,SIGN(IH319))*POWER(GEslave,SIGN(II319))*POWER(KOslave,SIGN(IJ319))*POWER(KKslave,SIGN(IK319))+IE319*POWER(MUslave,SIGN(ID319))*POWER(INslave,SIGN(IF319))*POWER(CHslave,SIGN(IG319))*POWER(FFslave,SIGN(IH319))*POWER(GEslave,SIGN(II319))*POWER(KOslave,SIGN(IJ319))*POWER(KKslave,SIGN(IK319))+IF319*POWER(MUslave,SIGN(ID319))*POWER(KLslave,SIGN(IE319))*POWER(CHslave,SIGN(IG319))*POWER(FFslave,SIGN(IH319))*POWER(GEslave,SIGN(II319))*POWER(KOslave,SIGN(IJ319))*POWER(KKslave,SIGN(IK319))+IG319*POWER(MUslave,SIGN(ID319))*POWER(KLslave,SIGN(IE319))*POWER(INslave,SIGN(IF319))*POWER(FFslave,SIGN(IH319))*POWER(GEslave,SIGN(II319))*POWER(KOslave,SIGN(IJ319))*POWER(KKslave,SIGN(IK319))+IH319*POWER(MUslave,SIGN(ID319))*POWER(KLslave,SIGN(IE319))*POWER(INslave,SIGN(IF319))*POWER(CHslave,SIGN(IG319))*POWER(GEslave,SIGN(II319))*POWER(KOslave,SIGN(IJ319))*POWER(KKslave,SIGN(IK319))+II319*POWER(MUslave,SIGN(ID319))*POWER(KLslave,SIGN(IE319))*POWER(INslave,SIGN(IF319))*POWER(CHslave,SIGN(IG319))*POWER(FFslave,SIGN(IH319))*POWER(KOslave,SIGN(IJ319))*POWER(KKslave,SIGN(IK319))+IJ319*POWER(MUslave,SIGN(ID319))*POWER(KLslave,SIGN(IE319))*POWER(INslave,SIGN(IF319))*POWER(CHslave,SIGN(IG319))*POWER(FFslave,SIGN(IH319))*POWER(GEslave,SIGN(II319))*POWER(KKslave,SIGN(IK319))+IK319*POWER(MUslave,SIGN(ID319))*POWER(KLslave,SIGN(IE319))*POWER(INslave,SIGN(IF319))*POWER(CHslave,SIGN(IG319))*POWER(FFslave,SIGN(IH319))*POWER(GEslave,SIGN(II319))*POWER(KOslave,SIGN(IJ319))</f>
        <v>2304</v>
      </c>
      <c r="IP319" s="234">
        <f>IG319*II319*KOslave+IG319*GEslave*IJ319+CHslave*II319*IJ319</f>
        <v>3456</v>
      </c>
      <c r="IQ319" s="224">
        <f>IFERROR(ID319^SIGN(ID319),1)*IFERROR(IE319^SIGN(IE319),1)*IFERROR(IF319^SIGN(IF319),1)*IFERROR(IG319^SIGN(IG319),1)*IFERROR(IH319^SIGN(IH319),1)*IFERROR(II319^SIGN(II319),1)*IFERROR(IJ319^SIGN(IJ319),1)*IFERROR(IK319^SIGN(IK319),1)</f>
        <v>1728</v>
      </c>
      <c r="IR319" s="224">
        <f t="shared" si="2172"/>
        <v>7488</v>
      </c>
      <c r="IS319" s="222">
        <f>IL319*IO319/IR319</f>
        <v>3.6923076923076925</v>
      </c>
      <c r="IT319" s="223">
        <f>IM319*IP319/IR319</f>
        <v>11.076923076923077</v>
      </c>
      <c r="IU319" s="243">
        <f>IN319*IQ319/IR319</f>
        <v>8.3076923076923084</v>
      </c>
      <c r="IV319" s="243">
        <f>SUM(IS319:IU319)</f>
        <v>23.07692307692308</v>
      </c>
      <c r="IW319" s="252">
        <f t="shared" si="1923"/>
        <v>0</v>
      </c>
      <c r="IX319" s="324">
        <f>IV319-IW319</f>
        <v>23.07692307692308</v>
      </c>
      <c r="IY319" s="304">
        <f t="shared" ref="IY319:IZ320" si="2703">IF(IV319&lt;=0,2,0)+IF(IV319&gt;0,IV319+1,0)*2+IF(IV319&gt;12,IV319-12,0)*2+IF(IV319&gt;13,IV319-13,0)*2+IF(IV319&gt;14,IV319-14,0)*2+IF(IV319&gt;15,IV319-15,0)*2+IF(IV319&gt;16,IV319-16,0)*2+IF(IV319&gt;17,IV319-17,0)*2+IF(IV319&gt;18,IV319-18,0)*2+IF(IV319&gt;19,IV319-19,0)*2+IF(IV319&gt;20,IV319-20,0)*2</f>
        <v>175.5384615384616</v>
      </c>
      <c r="IZ319" s="335">
        <f t="shared" si="2703"/>
        <v>2</v>
      </c>
      <c r="JA319" s="243">
        <f>IF((IY319-IZ319)&gt;0,IY319-IZ319,0)</f>
        <v>173.5384615384616</v>
      </c>
      <c r="JB319" s="218">
        <f>IF((IZ319-IY319)&gt;0,IZ319-IY319,0)</f>
        <v>0</v>
      </c>
    </row>
    <row r="320" spans="1:265" s="205" customFormat="1" ht="15" hidden="1" customHeight="1" outlineLevel="2">
      <c r="A320" s="185"/>
      <c r="B320" s="217">
        <v>23</v>
      </c>
      <c r="C320" s="303" t="e">
        <f>VLOOKUP(AF320,Attribute!C:T,1,FALSE)</f>
        <v>#N/A</v>
      </c>
      <c r="D320" s="218" t="s">
        <v>474</v>
      </c>
      <c r="E320" s="304" t="s">
        <v>132</v>
      </c>
      <c r="F320" s="114">
        <f>Konvention_1master-MUmaster</f>
        <v>12</v>
      </c>
      <c r="G320" s="113"/>
      <c r="H320" s="113">
        <f>Konvention_1master-INmaster</f>
        <v>12</v>
      </c>
      <c r="I320" s="113"/>
      <c r="J320" s="214"/>
      <c r="K320" s="113"/>
      <c r="L320" s="214"/>
      <c r="M320" s="215"/>
      <c r="N320" s="223">
        <f>(H320+F320+F320)/3</f>
        <v>12</v>
      </c>
      <c r="O320" s="223">
        <f t="shared" ref="O320:O321" si="2704">2*N320</f>
        <v>24</v>
      </c>
      <c r="P320" s="224">
        <f t="shared" ref="P320:P321" si="2705">3*N320</f>
        <v>36</v>
      </c>
      <c r="Q320" s="237">
        <f>F320*POWER(INmaster,SIGN(H320))*POWER(KLmaster,SIGN(F320))+F320*POWER(INmaster,SIGN(H320))*POWER(KLmaster,SIGN(F320))+H320*POWER(KLmaster,SIGN(F320))*POWER(KLmaster,SIGN(F320))</f>
        <v>2304</v>
      </c>
      <c r="R320" s="117">
        <f>F320*F320*KLmaster+F320*CHmaster*H320+CHmaster*F320*H320</f>
        <v>3456</v>
      </c>
      <c r="S320" s="224">
        <f>F320*F320*H320</f>
        <v>1728</v>
      </c>
      <c r="T320" s="224">
        <f t="shared" si="2693"/>
        <v>7488</v>
      </c>
      <c r="U320" s="222">
        <f t="shared" ref="U320:U321" si="2706">N320*Q320/T320</f>
        <v>3.6923076923076925</v>
      </c>
      <c r="V320" s="223">
        <f t="shared" ref="V320:V321" si="2707">O320*R320/T320</f>
        <v>11.076923076923077</v>
      </c>
      <c r="W320" s="243">
        <f t="shared" ref="W320:W321" si="2708">P320*S320/T320</f>
        <v>8.3076923076923084</v>
      </c>
      <c r="X320" s="243">
        <f t="shared" ref="X320:X321" si="2709">SUM(U320:W320)</f>
        <v>23.07692307692308</v>
      </c>
      <c r="Y320" s="252">
        <v>0</v>
      </c>
      <c r="Z320" s="324">
        <f t="shared" ref="Z320:Z321" si="2710">X320-Y320</f>
        <v>23.07692307692308</v>
      </c>
      <c r="AA320" s="304">
        <f t="shared" si="2694"/>
        <v>175.5384615384616</v>
      </c>
      <c r="AB320" s="335">
        <f t="shared" si="2695"/>
        <v>2</v>
      </c>
      <c r="AC320" s="243">
        <f t="shared" ref="AC320:AC321" si="2711">IF((AA320-AB320)&gt;0,AA320-AB320,0)</f>
        <v>173.5384615384616</v>
      </c>
      <c r="AD320" s="218">
        <f t="shared" ref="AD320:AD321" si="2712">IF((AB320-AA320)&gt;0,AB320-AA320,0)</f>
        <v>0</v>
      </c>
      <c r="AE320" s="299"/>
      <c r="AF320" s="303" t="s">
        <v>469</v>
      </c>
      <c r="AG320" s="218" t="s">
        <v>474</v>
      </c>
      <c r="AH320" s="304" t="s">
        <v>132</v>
      </c>
      <c r="AI320" s="114">
        <f>Konvention_1slave-MUslave</f>
        <v>12</v>
      </c>
      <c r="AJ320" s="113"/>
      <c r="AK320" s="113">
        <f>Konvention_1slave-INslave</f>
        <v>12</v>
      </c>
      <c r="AL320" s="113"/>
      <c r="AM320" s="214"/>
      <c r="AN320" s="113"/>
      <c r="AO320" s="214"/>
      <c r="AP320" s="215"/>
      <c r="AQ320" s="223">
        <f>(AK320+AI320+AI320)/3</f>
        <v>12</v>
      </c>
      <c r="AR320" s="223">
        <f t="shared" ref="AR320:AR321" si="2713">2*AQ320</f>
        <v>24</v>
      </c>
      <c r="AS320" s="224">
        <f t="shared" ref="AS320:AS321" si="2714">3*AQ320</f>
        <v>36</v>
      </c>
      <c r="AT320" s="237">
        <f>AI320*POWER(INslave,SIGN(AK320))*POWER(KLslave,SIGN(AI320))+AI320*POWER(INslave,SIGN(AK320))*POWER(KLslave,SIGN(AI320))+AK320*POWER(KLslave,SIGN(AI320))*POWER(KLslave,SIGN(AI320))</f>
        <v>2304</v>
      </c>
      <c r="AU320" s="117">
        <f>AI320*AI320*KLslave+AI320*CHslave*AK320+CHslave*AI320*AK320</f>
        <v>3456</v>
      </c>
      <c r="AV320" s="224">
        <f>AI320*AI320*AK320</f>
        <v>1728</v>
      </c>
      <c r="AW320" s="224">
        <f t="shared" si="2158"/>
        <v>7488</v>
      </c>
      <c r="AX320" s="222">
        <f t="shared" ref="AX320:AX321" si="2715">AQ320*AT320/AW320</f>
        <v>3.6923076923076925</v>
      </c>
      <c r="AY320" s="223">
        <f t="shared" ref="AY320:AY321" si="2716">AR320*AU320/AW320</f>
        <v>11.076923076923077</v>
      </c>
      <c r="AZ320" s="243">
        <f t="shared" ref="AZ320:AZ321" si="2717">AS320*AV320/AW320</f>
        <v>8.3076923076923084</v>
      </c>
      <c r="BA320" s="243">
        <f t="shared" ref="BA320:BA321" si="2718">SUM(AX320:AZ320)</f>
        <v>23.07692307692308</v>
      </c>
      <c r="BB320" s="252">
        <f t="shared" si="2034"/>
        <v>0</v>
      </c>
      <c r="BC320" s="324">
        <f t="shared" ref="BC320:BC321" si="2719">BA320-BB320</f>
        <v>23.07692307692308</v>
      </c>
      <c r="BD320" s="304">
        <f t="shared" si="2696"/>
        <v>175.5384615384616</v>
      </c>
      <c r="BE320" s="335">
        <f t="shared" si="2696"/>
        <v>2</v>
      </c>
      <c r="BF320" s="243">
        <f t="shared" ref="BF320:BF321" si="2720">IF((BD320-BE320)&gt;0,BD320-BE320,0)</f>
        <v>173.5384615384616</v>
      </c>
      <c r="BG320" s="218">
        <f t="shared" ref="BG320:BG321" si="2721">IF((BE320-BD320)&gt;0,BE320-BD320,0)</f>
        <v>0</v>
      </c>
      <c r="BH320" s="248"/>
      <c r="BI320" s="303" t="s">
        <v>469</v>
      </c>
      <c r="BJ320" s="218" t="s">
        <v>474</v>
      </c>
      <c r="BK320" s="304" t="s">
        <v>132</v>
      </c>
      <c r="BL320" s="114">
        <f>Konvention_1slave-MUslave</f>
        <v>12</v>
      </c>
      <c r="BM320" s="113"/>
      <c r="BN320" s="113">
        <f>Konvention_1slave-INslave</f>
        <v>12</v>
      </c>
      <c r="BO320" s="113"/>
      <c r="BP320" s="214"/>
      <c r="BQ320" s="113"/>
      <c r="BR320" s="214"/>
      <c r="BS320" s="215"/>
      <c r="BT320" s="223">
        <f>(BN320+BL320+BL320)/3</f>
        <v>12</v>
      </c>
      <c r="BU320" s="223">
        <f t="shared" ref="BU320:BU321" si="2722">2*BT320</f>
        <v>24</v>
      </c>
      <c r="BV320" s="224">
        <f t="shared" ref="BV320:BV321" si="2723">3*BT320</f>
        <v>36</v>
      </c>
      <c r="BW320" s="237">
        <f>BL320*POWER(INslave,SIGN(BN320))*POWER(KLslave,SIGN(BL320))+BL320*POWER(INslave,SIGN(BN320))*POWER(KLslave,SIGN(BL320))+BN320*POWER(KLslave,SIGN(BL320))*POWER(KLslave,SIGN(BL320))</f>
        <v>2304</v>
      </c>
      <c r="BX320" s="117">
        <f>BL320*BL320*KLslave+BL320*CHslave*BN320+CHslave*BL320*BN320</f>
        <v>3456</v>
      </c>
      <c r="BY320" s="224">
        <f>BL320*BL320*BN320</f>
        <v>1728</v>
      </c>
      <c r="BZ320" s="224">
        <f t="shared" si="2160"/>
        <v>7488</v>
      </c>
      <c r="CA320" s="222">
        <f t="shared" ref="CA320:CA321" si="2724">BT320*BW320/BZ320</f>
        <v>3.6923076923076925</v>
      </c>
      <c r="CB320" s="223">
        <f t="shared" ref="CB320:CB321" si="2725">BU320*BX320/BZ320</f>
        <v>11.076923076923077</v>
      </c>
      <c r="CC320" s="243">
        <f t="shared" ref="CC320:CC321" si="2726">BV320*BY320/BZ320</f>
        <v>8.3076923076923084</v>
      </c>
      <c r="CD320" s="243">
        <f t="shared" ref="CD320:CD321" si="2727">SUM(CA320:CC320)</f>
        <v>23.07692307692308</v>
      </c>
      <c r="CE320" s="252">
        <f t="shared" si="1833"/>
        <v>0</v>
      </c>
      <c r="CF320" s="324">
        <f t="shared" ref="CF320:CF321" si="2728">CD320-CE320</f>
        <v>23.07692307692308</v>
      </c>
      <c r="CG320" s="304">
        <f t="shared" si="2697"/>
        <v>175.5384615384616</v>
      </c>
      <c r="CH320" s="335">
        <f t="shared" si="2697"/>
        <v>2</v>
      </c>
      <c r="CI320" s="243">
        <f t="shared" ref="CI320:CI321" si="2729">IF((CG320-CH320)&gt;0,CG320-CH320,0)</f>
        <v>173.5384615384616</v>
      </c>
      <c r="CJ320" s="218">
        <f t="shared" ref="CJ320:CJ321" si="2730">IF((CH320-CG320)&gt;0,CH320-CG320,0)</f>
        <v>0</v>
      </c>
      <c r="CK320" s="248"/>
      <c r="CL320" s="303" t="s">
        <v>469</v>
      </c>
      <c r="CM320" s="218" t="s">
        <v>474</v>
      </c>
      <c r="CN320" s="304" t="s">
        <v>132</v>
      </c>
      <c r="CO320" s="114">
        <f>Konvention_1slave-MUslave</f>
        <v>12</v>
      </c>
      <c r="CP320" s="113"/>
      <c r="CQ320" s="113">
        <f>Konvention_1slave-INslave</f>
        <v>12</v>
      </c>
      <c r="CR320" s="113"/>
      <c r="CS320" s="214"/>
      <c r="CT320" s="113"/>
      <c r="CU320" s="214"/>
      <c r="CV320" s="215"/>
      <c r="CW320" s="223">
        <f>(CQ320+CO320+CO320)/3</f>
        <v>12</v>
      </c>
      <c r="CX320" s="223">
        <f t="shared" ref="CX320:CX321" si="2731">2*CW320</f>
        <v>24</v>
      </c>
      <c r="CY320" s="224">
        <f t="shared" ref="CY320:CY321" si="2732">3*CW320</f>
        <v>36</v>
      </c>
      <c r="CZ320" s="237">
        <f>CO320*POWER(INslave,SIGN(CQ320))*POWER(KLslave,SIGN(CO320))+CO320*POWER(INslave,SIGN(CQ320))*POWER(KLslave,SIGN(CO320))+CQ320*POWER(KLslave,SIGN(CO320))*POWER(KLslave,SIGN(CO320))</f>
        <v>2304</v>
      </c>
      <c r="DA320" s="117">
        <f>CO320*CO320*KLslave+CO320*CHslave*CQ320+CHslave*CO320*CQ320</f>
        <v>3456</v>
      </c>
      <c r="DB320" s="224">
        <f>CO320*CO320*CQ320</f>
        <v>1728</v>
      </c>
      <c r="DC320" s="224">
        <f t="shared" si="2162"/>
        <v>7488</v>
      </c>
      <c r="DD320" s="222">
        <f t="shared" ref="DD320:DD321" si="2733">CW320*CZ320/DC320</f>
        <v>3.6923076923076925</v>
      </c>
      <c r="DE320" s="223">
        <f t="shared" ref="DE320:DE321" si="2734">CX320*DA320/DC320</f>
        <v>11.076923076923077</v>
      </c>
      <c r="DF320" s="243">
        <f t="shared" ref="DF320:DF321" si="2735">CY320*DB320/DC320</f>
        <v>8.3076923076923084</v>
      </c>
      <c r="DG320" s="243">
        <f t="shared" ref="DG320:DG321" si="2736">SUM(DD320:DF320)</f>
        <v>23.07692307692308</v>
      </c>
      <c r="DH320" s="252">
        <f t="shared" si="1848"/>
        <v>0</v>
      </c>
      <c r="DI320" s="324">
        <f t="shared" ref="DI320:DI321" si="2737">DG320-DH320</f>
        <v>23.07692307692308</v>
      </c>
      <c r="DJ320" s="304">
        <f t="shared" si="2698"/>
        <v>175.5384615384616</v>
      </c>
      <c r="DK320" s="335">
        <f t="shared" si="2698"/>
        <v>2</v>
      </c>
      <c r="DL320" s="243">
        <f t="shared" ref="DL320:DL321" si="2738">IF((DJ320-DK320)&gt;0,DJ320-DK320,0)</f>
        <v>173.5384615384616</v>
      </c>
      <c r="DM320" s="218">
        <f t="shared" ref="DM320:DM321" si="2739">IF((DK320-DJ320)&gt;0,DK320-DJ320,0)</f>
        <v>0</v>
      </c>
      <c r="DN320" s="248"/>
      <c r="DO320" s="303" t="s">
        <v>469</v>
      </c>
      <c r="DP320" s="218" t="s">
        <v>474</v>
      </c>
      <c r="DQ320" s="304" t="s">
        <v>132</v>
      </c>
      <c r="DR320" s="114">
        <f>Konvention_1slave-MUslave</f>
        <v>12</v>
      </c>
      <c r="DS320" s="113"/>
      <c r="DT320" s="113">
        <f>Konvention_1slave-INslave</f>
        <v>12</v>
      </c>
      <c r="DU320" s="113"/>
      <c r="DV320" s="214"/>
      <c r="DW320" s="113"/>
      <c r="DX320" s="214"/>
      <c r="DY320" s="215"/>
      <c r="DZ320" s="223">
        <f>(DT320+DR320+DR320)/3</f>
        <v>12</v>
      </c>
      <c r="EA320" s="223">
        <f t="shared" ref="EA320:EA321" si="2740">2*DZ320</f>
        <v>24</v>
      </c>
      <c r="EB320" s="224">
        <f t="shared" ref="EB320:EB321" si="2741">3*DZ320</f>
        <v>36</v>
      </c>
      <c r="EC320" s="237">
        <f>DR320*POWER(INslave,SIGN(DT320))*POWER(KLslave,SIGN(DR320))+DR320*POWER(INslave,SIGN(DT320))*POWER(KLslave,SIGN(DR320))+DT320*POWER(KLslave,SIGN(DR320))*POWER(KLslave,SIGN(DR320))</f>
        <v>2304</v>
      </c>
      <c r="ED320" s="117">
        <f>DR320*DR320*KLslave+DR320*CHslave*DT320+CHslave*DR320*DT320</f>
        <v>3456</v>
      </c>
      <c r="EE320" s="224">
        <f>DR320*DR320*DT320</f>
        <v>1728</v>
      </c>
      <c r="EF320" s="224">
        <f t="shared" si="2164"/>
        <v>7488</v>
      </c>
      <c r="EG320" s="222">
        <f t="shared" ref="EG320:EG321" si="2742">DZ320*EC320/EF320</f>
        <v>3.6923076923076925</v>
      </c>
      <c r="EH320" s="223">
        <f t="shared" ref="EH320:EH321" si="2743">EA320*ED320/EF320</f>
        <v>11.076923076923077</v>
      </c>
      <c r="EI320" s="243">
        <f t="shared" ref="EI320:EI321" si="2744">EB320*EE320/EF320</f>
        <v>8.3076923076923084</v>
      </c>
      <c r="EJ320" s="243">
        <f t="shared" ref="EJ320:EJ321" si="2745">SUM(EG320:EI320)</f>
        <v>23.07692307692308</v>
      </c>
      <c r="EK320" s="252">
        <f t="shared" si="1863"/>
        <v>0</v>
      </c>
      <c r="EL320" s="324">
        <f t="shared" ref="EL320:EL321" si="2746">EJ320-EK320</f>
        <v>23.07692307692308</v>
      </c>
      <c r="EM320" s="304">
        <f t="shared" si="2699"/>
        <v>175.5384615384616</v>
      </c>
      <c r="EN320" s="335">
        <f t="shared" si="2699"/>
        <v>2</v>
      </c>
      <c r="EO320" s="243">
        <f t="shared" ref="EO320:EO321" si="2747">IF((EM320-EN320)&gt;0,EM320-EN320,0)</f>
        <v>173.5384615384616</v>
      </c>
      <c r="EP320" s="218">
        <f t="shared" ref="EP320:EP321" si="2748">IF((EN320-EM320)&gt;0,EN320-EM320,0)</f>
        <v>0</v>
      </c>
      <c r="EQ320" s="248"/>
      <c r="ER320" s="303" t="s">
        <v>469</v>
      </c>
      <c r="ES320" s="218" t="s">
        <v>474</v>
      </c>
      <c r="ET320" s="304" t="s">
        <v>132</v>
      </c>
      <c r="EU320" s="114">
        <f>Konvention_1slave-MUslave</f>
        <v>12</v>
      </c>
      <c r="EV320" s="113"/>
      <c r="EW320" s="113">
        <f>Konvention_1slave-INslave</f>
        <v>12</v>
      </c>
      <c r="EX320" s="113"/>
      <c r="EY320" s="214"/>
      <c r="EZ320" s="113"/>
      <c r="FA320" s="214"/>
      <c r="FB320" s="215"/>
      <c r="FC320" s="223">
        <f>(EW320+EU320+EU320)/3</f>
        <v>12</v>
      </c>
      <c r="FD320" s="223">
        <f t="shared" ref="FD320:FD321" si="2749">2*FC320</f>
        <v>24</v>
      </c>
      <c r="FE320" s="224">
        <f t="shared" ref="FE320:FE321" si="2750">3*FC320</f>
        <v>36</v>
      </c>
      <c r="FF320" s="237">
        <f>EU320*POWER(INslave,SIGN(EW320))*POWER(KLslave,SIGN(EU320))+EU320*POWER(INslave,SIGN(EW320))*POWER(KLslave,SIGN(EU320))+EW320*POWER(KLslave,SIGN(EU320))*POWER(KLslave,SIGN(EU320))</f>
        <v>2304</v>
      </c>
      <c r="FG320" s="117">
        <f>EU320*EU320*KLslave+EU320*CHslave*EW320+CHslave*EU320*EW320</f>
        <v>3456</v>
      </c>
      <c r="FH320" s="224">
        <f>EU320*EU320*EW320</f>
        <v>1728</v>
      </c>
      <c r="FI320" s="224">
        <f t="shared" si="2166"/>
        <v>7488</v>
      </c>
      <c r="FJ320" s="222">
        <f t="shared" ref="FJ320:FJ321" si="2751">FC320*FF320/FI320</f>
        <v>3.6923076923076925</v>
      </c>
      <c r="FK320" s="223">
        <f t="shared" ref="FK320:FK321" si="2752">FD320*FG320/FI320</f>
        <v>11.076923076923077</v>
      </c>
      <c r="FL320" s="243">
        <f t="shared" ref="FL320:FL321" si="2753">FE320*FH320/FI320</f>
        <v>8.3076923076923084</v>
      </c>
      <c r="FM320" s="243">
        <f t="shared" ref="FM320:FM321" si="2754">SUM(FJ320:FL320)</f>
        <v>23.07692307692308</v>
      </c>
      <c r="FN320" s="252">
        <f t="shared" si="1878"/>
        <v>0</v>
      </c>
      <c r="FO320" s="324">
        <f t="shared" ref="FO320:FO321" si="2755">FM320-FN320</f>
        <v>23.07692307692308</v>
      </c>
      <c r="FP320" s="304">
        <f t="shared" si="2700"/>
        <v>175.5384615384616</v>
      </c>
      <c r="FQ320" s="335">
        <f t="shared" si="2700"/>
        <v>2</v>
      </c>
      <c r="FR320" s="243">
        <f t="shared" ref="FR320:FR321" si="2756">IF((FP320-FQ320)&gt;0,FP320-FQ320,0)</f>
        <v>173.5384615384616</v>
      </c>
      <c r="FS320" s="218">
        <f t="shared" ref="FS320:FS321" si="2757">IF((FQ320-FP320)&gt;0,FQ320-FP320,0)</f>
        <v>0</v>
      </c>
      <c r="FT320" s="248"/>
      <c r="FU320" s="303" t="s">
        <v>469</v>
      </c>
      <c r="FV320" s="218" t="s">
        <v>474</v>
      </c>
      <c r="FW320" s="304" t="s">
        <v>132</v>
      </c>
      <c r="FX320" s="114">
        <f>Konvention_1slave-MUslave</f>
        <v>12</v>
      </c>
      <c r="FY320" s="113"/>
      <c r="FZ320" s="113">
        <f>Konvention_1slave-INslave</f>
        <v>12</v>
      </c>
      <c r="GA320" s="113"/>
      <c r="GB320" s="214"/>
      <c r="GC320" s="113"/>
      <c r="GD320" s="214"/>
      <c r="GE320" s="215"/>
      <c r="GF320" s="223">
        <f>(FZ320+FX320+FX320)/3</f>
        <v>12</v>
      </c>
      <c r="GG320" s="223">
        <f t="shared" ref="GG320:GG321" si="2758">2*GF320</f>
        <v>24</v>
      </c>
      <c r="GH320" s="224">
        <f t="shared" ref="GH320:GH321" si="2759">3*GF320</f>
        <v>36</v>
      </c>
      <c r="GI320" s="237">
        <f>FX320*POWER(INslave,SIGN(FZ320))*POWER(KLslave,SIGN(FX320))+FX320*POWER(INslave,SIGN(FZ320))*POWER(KLslave,SIGN(FX320))+FZ320*POWER(KLslave,SIGN(FX320))*POWER(KLslave,SIGN(FX320))</f>
        <v>2304</v>
      </c>
      <c r="GJ320" s="117">
        <f>FX320*FX320*KLslave+FX320*CHslave*FZ320+CHslave*FX320*FZ320</f>
        <v>3456</v>
      </c>
      <c r="GK320" s="224">
        <f>FX320*FX320*FZ320</f>
        <v>1728</v>
      </c>
      <c r="GL320" s="224">
        <f t="shared" si="2168"/>
        <v>7488</v>
      </c>
      <c r="GM320" s="222">
        <f t="shared" ref="GM320:GM321" si="2760">GF320*GI320/GL320</f>
        <v>3.6923076923076925</v>
      </c>
      <c r="GN320" s="223">
        <f t="shared" ref="GN320:GN321" si="2761">GG320*GJ320/GL320</f>
        <v>11.076923076923077</v>
      </c>
      <c r="GO320" s="243">
        <f t="shared" ref="GO320:GO321" si="2762">GH320*GK320/GL320</f>
        <v>8.3076923076923084</v>
      </c>
      <c r="GP320" s="243">
        <f t="shared" ref="GP320:GP321" si="2763">SUM(GM320:GO320)</f>
        <v>23.07692307692308</v>
      </c>
      <c r="GQ320" s="252">
        <f t="shared" si="1893"/>
        <v>0</v>
      </c>
      <c r="GR320" s="324">
        <f t="shared" ref="GR320:GR321" si="2764">GP320-GQ320</f>
        <v>23.07692307692308</v>
      </c>
      <c r="GS320" s="304">
        <f t="shared" si="2701"/>
        <v>175.5384615384616</v>
      </c>
      <c r="GT320" s="335">
        <f t="shared" si="2701"/>
        <v>2</v>
      </c>
      <c r="GU320" s="243">
        <f t="shared" ref="GU320:GU321" si="2765">IF((GS320-GT320)&gt;0,GS320-GT320,0)</f>
        <v>173.5384615384616</v>
      </c>
      <c r="GV320" s="218">
        <f t="shared" ref="GV320:GV321" si="2766">IF((GT320-GS320)&gt;0,GT320-GS320,0)</f>
        <v>0</v>
      </c>
      <c r="GW320" s="248"/>
      <c r="GX320" s="303" t="s">
        <v>469</v>
      </c>
      <c r="GY320" s="218" t="s">
        <v>474</v>
      </c>
      <c r="GZ320" s="304" t="s">
        <v>132</v>
      </c>
      <c r="HA320" s="114">
        <f>Konvention_1slave-MUslave</f>
        <v>12</v>
      </c>
      <c r="HB320" s="113"/>
      <c r="HC320" s="113">
        <f>Konvention_1slave-INslave</f>
        <v>12</v>
      </c>
      <c r="HD320" s="113"/>
      <c r="HE320" s="214"/>
      <c r="HF320" s="113"/>
      <c r="HG320" s="214"/>
      <c r="HH320" s="215"/>
      <c r="HI320" s="223">
        <f>(HC320+HA320+HA320)/3</f>
        <v>12</v>
      </c>
      <c r="HJ320" s="223">
        <f t="shared" ref="HJ320:HJ321" si="2767">2*HI320</f>
        <v>24</v>
      </c>
      <c r="HK320" s="224">
        <f t="shared" ref="HK320:HK321" si="2768">3*HI320</f>
        <v>36</v>
      </c>
      <c r="HL320" s="237">
        <f>HA320*POWER(INslave,SIGN(HC320))*POWER(KLslave,SIGN(HA320))+HA320*POWER(INslave,SIGN(HC320))*POWER(KLslave,SIGN(HA320))+HC320*POWER(KLslave,SIGN(HA320))*POWER(KLslave,SIGN(HA320))</f>
        <v>2304</v>
      </c>
      <c r="HM320" s="117">
        <f>HA320*HA320*KLslave+HA320*CHslave*HC320+CHslave*HA320*HC320</f>
        <v>3456</v>
      </c>
      <c r="HN320" s="224">
        <f>HA320*HA320*HC320</f>
        <v>1728</v>
      </c>
      <c r="HO320" s="224">
        <f t="shared" si="2170"/>
        <v>7488</v>
      </c>
      <c r="HP320" s="222">
        <f t="shared" ref="HP320:HP321" si="2769">HI320*HL320/HO320</f>
        <v>3.6923076923076925</v>
      </c>
      <c r="HQ320" s="223">
        <f t="shared" ref="HQ320:HQ321" si="2770">HJ320*HM320/HO320</f>
        <v>11.076923076923077</v>
      </c>
      <c r="HR320" s="243">
        <f t="shared" ref="HR320:HR321" si="2771">HK320*HN320/HO320</f>
        <v>8.3076923076923084</v>
      </c>
      <c r="HS320" s="243">
        <f t="shared" ref="HS320:HS321" si="2772">SUM(HP320:HR320)</f>
        <v>23.07692307692308</v>
      </c>
      <c r="HT320" s="252">
        <f t="shared" si="1908"/>
        <v>0</v>
      </c>
      <c r="HU320" s="324">
        <f t="shared" ref="HU320:HU321" si="2773">HS320-HT320</f>
        <v>23.07692307692308</v>
      </c>
      <c r="HV320" s="304">
        <f t="shared" si="2702"/>
        <v>175.5384615384616</v>
      </c>
      <c r="HW320" s="335">
        <f t="shared" si="2702"/>
        <v>2</v>
      </c>
      <c r="HX320" s="243">
        <f t="shared" ref="HX320:HX321" si="2774">IF((HV320-HW320)&gt;0,HV320-HW320,0)</f>
        <v>173.5384615384616</v>
      </c>
      <c r="HY320" s="218">
        <f t="shared" ref="HY320:HY321" si="2775">IF((HW320-HV320)&gt;0,HW320-HV320,0)</f>
        <v>0</v>
      </c>
      <c r="HZ320" s="248"/>
      <c r="IA320" s="303" t="s">
        <v>469</v>
      </c>
      <c r="IB320" s="218" t="s">
        <v>474</v>
      </c>
      <c r="IC320" s="304" t="s">
        <v>132</v>
      </c>
      <c r="ID320" s="114">
        <f>Konvention_1slave-MUslave</f>
        <v>12</v>
      </c>
      <c r="IE320" s="113"/>
      <c r="IF320" s="113">
        <f>Konvention_1slave-INslave</f>
        <v>12</v>
      </c>
      <c r="IG320" s="113"/>
      <c r="IH320" s="214"/>
      <c r="II320" s="113"/>
      <c r="IJ320" s="214"/>
      <c r="IK320" s="215"/>
      <c r="IL320" s="223">
        <f>(IF320+ID320+ID320)/3</f>
        <v>12</v>
      </c>
      <c r="IM320" s="223">
        <f t="shared" ref="IM320:IM321" si="2776">2*IL320</f>
        <v>24</v>
      </c>
      <c r="IN320" s="224">
        <f t="shared" ref="IN320:IN321" si="2777">3*IL320</f>
        <v>36</v>
      </c>
      <c r="IO320" s="237">
        <f>ID320*POWER(INslave,SIGN(IF320))*POWER(KLslave,SIGN(ID320))+ID320*POWER(INslave,SIGN(IF320))*POWER(KLslave,SIGN(ID320))+IF320*POWER(KLslave,SIGN(ID320))*POWER(KLslave,SIGN(ID320))</f>
        <v>2304</v>
      </c>
      <c r="IP320" s="117">
        <f>ID320*ID320*KLslave+ID320*CHslave*IF320+CHslave*ID320*IF320</f>
        <v>3456</v>
      </c>
      <c r="IQ320" s="224">
        <f>ID320*ID320*IF320</f>
        <v>1728</v>
      </c>
      <c r="IR320" s="224">
        <f t="shared" si="2172"/>
        <v>7488</v>
      </c>
      <c r="IS320" s="222">
        <f t="shared" ref="IS320:IS321" si="2778">IL320*IO320/IR320</f>
        <v>3.6923076923076925</v>
      </c>
      <c r="IT320" s="223">
        <f t="shared" ref="IT320:IT321" si="2779">IM320*IP320/IR320</f>
        <v>11.076923076923077</v>
      </c>
      <c r="IU320" s="243">
        <f t="shared" ref="IU320:IU321" si="2780">IN320*IQ320/IR320</f>
        <v>8.3076923076923084</v>
      </c>
      <c r="IV320" s="243">
        <f t="shared" ref="IV320:IV321" si="2781">SUM(IS320:IU320)</f>
        <v>23.07692307692308</v>
      </c>
      <c r="IW320" s="252">
        <f t="shared" si="1923"/>
        <v>0</v>
      </c>
      <c r="IX320" s="324">
        <f t="shared" ref="IX320:IX321" si="2782">IV320-IW320</f>
        <v>23.07692307692308</v>
      </c>
      <c r="IY320" s="304">
        <f t="shared" si="2703"/>
        <v>175.5384615384616</v>
      </c>
      <c r="IZ320" s="335">
        <f t="shared" si="2703"/>
        <v>2</v>
      </c>
      <c r="JA320" s="243">
        <f t="shared" ref="JA320:JA321" si="2783">IF((IY320-IZ320)&gt;0,IY320-IZ320,0)</f>
        <v>173.5384615384616</v>
      </c>
      <c r="JB320" s="218">
        <f t="shared" ref="JB320:JB321" si="2784">IF((IZ320-IY320)&gt;0,IZ320-IY320,0)</f>
        <v>0</v>
      </c>
    </row>
    <row r="321" spans="1:265" hidden="1" outlineLevel="2">
      <c r="A321" s="185"/>
      <c r="B321" s="148">
        <v>24</v>
      </c>
      <c r="C321" s="306" t="e">
        <f>VLOOKUP(AF321,Attribute!C:T,1,FALSE)</f>
        <v>#N/A</v>
      </c>
      <c r="D321" s="246" t="s">
        <v>92</v>
      </c>
      <c r="E321" s="314" t="s">
        <v>134</v>
      </c>
      <c r="F321" s="115">
        <f>Konvention_1master-MUmaster</f>
        <v>12</v>
      </c>
      <c r="G321" s="122"/>
      <c r="H321" s="122"/>
      <c r="I321" s="122">
        <f>Konvention_1master-CHmaster</f>
        <v>12</v>
      </c>
      <c r="J321" s="122"/>
      <c r="K321" s="122"/>
      <c r="L321" s="122"/>
      <c r="M321" s="123"/>
      <c r="N321" s="226">
        <f>(F321+F321+I321)/3</f>
        <v>12</v>
      </c>
      <c r="O321" s="226">
        <f t="shared" si="2704"/>
        <v>24</v>
      </c>
      <c r="P321" s="227">
        <f t="shared" si="2705"/>
        <v>36</v>
      </c>
      <c r="Q321" s="238">
        <f>F321*POWER(CHmaster,SIGN(I321))*POWER(MUmaster,SIGN(F321))+F321*POWER(CHmaster,SIGN(I321))*POWER(MUmaster,SIGN(F321))+I321*POWER(MUmaster,SIGN(F321))*POWER(MUmaster,SIGN(F321))</f>
        <v>2304</v>
      </c>
      <c r="R321" s="122">
        <f>F321*F321*CHmaster+F321*MUmaster*I321+MUmaster*F321*I321</f>
        <v>3456</v>
      </c>
      <c r="S321" s="227">
        <f>F321*F321*I321</f>
        <v>1728</v>
      </c>
      <c r="T321" s="227">
        <f t="shared" si="2693"/>
        <v>7488</v>
      </c>
      <c r="U321" s="225">
        <f t="shared" si="2706"/>
        <v>3.6923076923076925</v>
      </c>
      <c r="V321" s="226">
        <f t="shared" si="2707"/>
        <v>11.076923076923077</v>
      </c>
      <c r="W321" s="245">
        <f t="shared" si="2708"/>
        <v>8.3076923076923084</v>
      </c>
      <c r="X321" s="245">
        <f t="shared" si="2709"/>
        <v>23.07692307692308</v>
      </c>
      <c r="Y321" s="252">
        <v>0</v>
      </c>
      <c r="Z321" s="324">
        <f t="shared" si="2710"/>
        <v>23.07692307692308</v>
      </c>
      <c r="AA321" s="314">
        <f>IF(X321&lt;=0,4,0)+IF(X321&gt;0,X321+1,0)*4+IF(X321&gt;12,X321-12,0)*4+IF(X321&gt;13,X321-13,0)*4+IF(X321&gt;14,X321-14,0)*4+IF(X321&gt;15,X321-15,0)*4+IF(X321&gt;16,X321-16,0)*4+IF(X321&gt;17,X321-17,0)*4+IF(X321&gt;18,X321-18,0)*4+IF(X321&gt;19,X321-19,0)*4+IF(X321&gt;20,X321-20,0)*4</f>
        <v>351.07692307692321</v>
      </c>
      <c r="AB321" s="336">
        <f>IF(Y321&lt;=0,4,0)+IF(Y321&gt;0,Y321+1,0)*4+IF(Y321&gt;12,Y321-12,0)*4+IF(Y321&gt;13,Y321-13,0)*4+IF(Y321&gt;14,Y321-14,0)*4+IF(Y321&gt;15,Y321-15,0)*4+IF(Y321&gt;16,Y321-16,0)*4+IF(Y321&gt;17,Y321-17,0)*4+IF(Y321&gt;18,Y321-18,0)*4+IF(Y321&gt;19,Y321-19,0)*4+IF(Y321&gt;20,Y321-20,0)*4</f>
        <v>4</v>
      </c>
      <c r="AC321" s="245">
        <f t="shared" si="2711"/>
        <v>347.07692307692321</v>
      </c>
      <c r="AD321" s="246">
        <f t="shared" si="2712"/>
        <v>0</v>
      </c>
      <c r="AE321" s="140"/>
      <c r="AF321" s="306" t="s">
        <v>470</v>
      </c>
      <c r="AG321" s="246" t="s">
        <v>92</v>
      </c>
      <c r="AH321" s="314" t="s">
        <v>134</v>
      </c>
      <c r="AI321" s="115">
        <f>Konvention_1slave-MUslave_MU</f>
        <v>11</v>
      </c>
      <c r="AJ321" s="122"/>
      <c r="AK321" s="122"/>
      <c r="AL321" s="122">
        <f>Konvention_1slave-CHslave</f>
        <v>12</v>
      </c>
      <c r="AM321" s="122"/>
      <c r="AN321" s="122"/>
      <c r="AO321" s="122"/>
      <c r="AP321" s="123"/>
      <c r="AQ321" s="226">
        <f>(AI321+AI321+AL321)/3</f>
        <v>11.333333333333334</v>
      </c>
      <c r="AR321" s="226">
        <f t="shared" si="2713"/>
        <v>22.666666666666668</v>
      </c>
      <c r="AS321" s="227">
        <f t="shared" si="2714"/>
        <v>34</v>
      </c>
      <c r="AT321" s="238">
        <f>AI321*POWER(CHslave,SIGN(AL321))*POWER(MUslave_MU,SIGN(AI321))+AI321*POWER(CHslave,SIGN(AL321))*POWER(MUslave_MU,SIGN(AI321))+AL321*POWER(MUslave_MU,SIGN(AI321))*POWER(MUslave_MU,SIGN(AI321))</f>
        <v>2556</v>
      </c>
      <c r="AU321" s="122">
        <f>AI321*AI321*CHslave+AI321*MUslave_MU*AL321+MUslave_MU*AI321*AL321</f>
        <v>3344</v>
      </c>
      <c r="AV321" s="227">
        <f>AI321*AI321*AL321</f>
        <v>1452</v>
      </c>
      <c r="AW321" s="227">
        <f t="shared" ref="AW321" si="2785">SUM(AT321:AV321)</f>
        <v>7352</v>
      </c>
      <c r="AX321" s="225">
        <f t="shared" si="2715"/>
        <v>3.940152339499456</v>
      </c>
      <c r="AY321" s="226">
        <f t="shared" si="2716"/>
        <v>10.309756982227059</v>
      </c>
      <c r="AZ321" s="245">
        <f t="shared" si="2717"/>
        <v>6.714907508161045</v>
      </c>
      <c r="BA321" s="245">
        <f t="shared" si="2718"/>
        <v>20.96481682988756</v>
      </c>
      <c r="BB321" s="252">
        <f t="shared" si="2034"/>
        <v>0</v>
      </c>
      <c r="BC321" s="324">
        <f t="shared" si="2719"/>
        <v>20.96481682988756</v>
      </c>
      <c r="BD321" s="314">
        <f>IF(BA321&lt;=0,4,0)+IF(BA321&gt;0,BA321+1,0)*4+IF(BA321&gt;12,BA321-12,0)*4+IF(BA321&gt;13,BA321-13,0)*4+IF(BA321&gt;14,BA321-14,0)*4+IF(BA321&gt;15,BA321-15,0)*4+IF(BA321&gt;16,BA321-16,0)*4+IF(BA321&gt;17,BA321-17,0)*4+IF(BA321&gt;18,BA321-18,0)*4+IF(BA321&gt;19,BA321-19,0)*4+IF(BA321&gt;20,BA321-20,0)*4</f>
        <v>266.59267319550236</v>
      </c>
      <c r="BE321" s="336">
        <f>IF(BB321&lt;=0,4,0)+IF(BB321&gt;0,BB321+1,0)*4+IF(BB321&gt;12,BB321-12,0)*4+IF(BB321&gt;13,BB321-13,0)*4+IF(BB321&gt;14,BB321-14,0)*4+IF(BB321&gt;15,BB321-15,0)*4+IF(BB321&gt;16,BB321-16,0)*4+IF(BB321&gt;17,BB321-17,0)*4+IF(BB321&gt;18,BB321-18,0)*4+IF(BB321&gt;19,BB321-19,0)*4+IF(BB321&gt;20,BB321-20,0)*4</f>
        <v>4</v>
      </c>
      <c r="BF321" s="245">
        <f t="shared" si="2720"/>
        <v>262.59267319550236</v>
      </c>
      <c r="BG321" s="246">
        <f t="shared" si="2721"/>
        <v>0</v>
      </c>
      <c r="BH321" s="248"/>
      <c r="BI321" s="306" t="s">
        <v>470</v>
      </c>
      <c r="BJ321" s="246" t="s">
        <v>92</v>
      </c>
      <c r="BK321" s="314" t="s">
        <v>134</v>
      </c>
      <c r="BL321" s="115">
        <f>Konvention_1slave-MUslave</f>
        <v>12</v>
      </c>
      <c r="BM321" s="122"/>
      <c r="BN321" s="122"/>
      <c r="BO321" s="122">
        <f>Konvention_1slave-CHslave</f>
        <v>12</v>
      </c>
      <c r="BP321" s="122"/>
      <c r="BQ321" s="122"/>
      <c r="BR321" s="122"/>
      <c r="BS321" s="123"/>
      <c r="BT321" s="226">
        <f>(BL321+BL321+BO321)/3</f>
        <v>12</v>
      </c>
      <c r="BU321" s="226">
        <f t="shared" si="2722"/>
        <v>24</v>
      </c>
      <c r="BV321" s="227">
        <f t="shared" si="2723"/>
        <v>36</v>
      </c>
      <c r="BW321" s="238">
        <f>BL321*POWER(CHslave,SIGN(BO321))*POWER(MUslave,SIGN(BL321))+BL321*POWER(CHslave,SIGN(BO321))*POWER(MUslave,SIGN(BL321))+BO321*POWER(MUslave,SIGN(BL321))*POWER(MUslave,SIGN(BL321))</f>
        <v>2304</v>
      </c>
      <c r="BX321" s="122">
        <f>BL321*BL321*CHslave+BL321*MUslave*BO321+MUslave*BL321*BO321</f>
        <v>3456</v>
      </c>
      <c r="BY321" s="227">
        <f>BL321*BL321*BO321</f>
        <v>1728</v>
      </c>
      <c r="BZ321" s="227">
        <f t="shared" ref="BZ321" si="2786">SUM(BW321:BY321)</f>
        <v>7488</v>
      </c>
      <c r="CA321" s="225">
        <f t="shared" si="2724"/>
        <v>3.6923076923076925</v>
      </c>
      <c r="CB321" s="226">
        <f t="shared" si="2725"/>
        <v>11.076923076923077</v>
      </c>
      <c r="CC321" s="245">
        <f t="shared" si="2726"/>
        <v>8.3076923076923084</v>
      </c>
      <c r="CD321" s="245">
        <f t="shared" si="2727"/>
        <v>23.07692307692308</v>
      </c>
      <c r="CE321" s="252">
        <f t="shared" si="1833"/>
        <v>0</v>
      </c>
      <c r="CF321" s="324">
        <f t="shared" si="2728"/>
        <v>23.07692307692308</v>
      </c>
      <c r="CG321" s="314">
        <f>IF(CD321&lt;=0,4,0)+IF(CD321&gt;0,CD321+1,0)*4+IF(CD321&gt;12,CD321-12,0)*4+IF(CD321&gt;13,CD321-13,0)*4+IF(CD321&gt;14,CD321-14,0)*4+IF(CD321&gt;15,CD321-15,0)*4+IF(CD321&gt;16,CD321-16,0)*4+IF(CD321&gt;17,CD321-17,0)*4+IF(CD321&gt;18,CD321-18,0)*4+IF(CD321&gt;19,CD321-19,0)*4+IF(CD321&gt;20,CD321-20,0)*4</f>
        <v>351.07692307692321</v>
      </c>
      <c r="CH321" s="336">
        <f>IF(CE321&lt;=0,4,0)+IF(CE321&gt;0,CE321+1,0)*4+IF(CE321&gt;12,CE321-12,0)*4+IF(CE321&gt;13,CE321-13,0)*4+IF(CE321&gt;14,CE321-14,0)*4+IF(CE321&gt;15,CE321-15,0)*4+IF(CE321&gt;16,CE321-16,0)*4+IF(CE321&gt;17,CE321-17,0)*4+IF(CE321&gt;18,CE321-18,0)*4+IF(CE321&gt;19,CE321-19,0)*4+IF(CE321&gt;20,CE321-20,0)*4</f>
        <v>4</v>
      </c>
      <c r="CI321" s="245">
        <f t="shared" si="2729"/>
        <v>347.07692307692321</v>
      </c>
      <c r="CJ321" s="246">
        <f t="shared" si="2730"/>
        <v>0</v>
      </c>
      <c r="CK321" s="248"/>
      <c r="CL321" s="306" t="s">
        <v>470</v>
      </c>
      <c r="CM321" s="246" t="s">
        <v>92</v>
      </c>
      <c r="CN321" s="314" t="s">
        <v>134</v>
      </c>
      <c r="CO321" s="115">
        <f>Konvention_1slave-MUslave</f>
        <v>12</v>
      </c>
      <c r="CP321" s="122"/>
      <c r="CQ321" s="122"/>
      <c r="CR321" s="122">
        <f>Konvention_1slave-CHslave</f>
        <v>12</v>
      </c>
      <c r="CS321" s="122"/>
      <c r="CT321" s="122"/>
      <c r="CU321" s="122"/>
      <c r="CV321" s="123"/>
      <c r="CW321" s="226">
        <f>(CO321+CO321+CR321)/3</f>
        <v>12</v>
      </c>
      <c r="CX321" s="226">
        <f t="shared" si="2731"/>
        <v>24</v>
      </c>
      <c r="CY321" s="227">
        <f t="shared" si="2732"/>
        <v>36</v>
      </c>
      <c r="CZ321" s="238">
        <f>CO321*POWER(CHslave,SIGN(CR321))*POWER(MUslave,SIGN(CO321))+CO321*POWER(CHslave,SIGN(CR321))*POWER(MUslave,SIGN(CO321))+CR321*POWER(MUslave,SIGN(CO321))*POWER(MUslave,SIGN(CO321))</f>
        <v>2304</v>
      </c>
      <c r="DA321" s="122">
        <f>CO321*CO321*CHslave+CO321*MUslave*CR321+MUslave*CO321*CR321</f>
        <v>3456</v>
      </c>
      <c r="DB321" s="227">
        <f>CO321*CO321*CR321</f>
        <v>1728</v>
      </c>
      <c r="DC321" s="227">
        <f t="shared" ref="DC321" si="2787">SUM(CZ321:DB321)</f>
        <v>7488</v>
      </c>
      <c r="DD321" s="225">
        <f t="shared" si="2733"/>
        <v>3.6923076923076925</v>
      </c>
      <c r="DE321" s="226">
        <f t="shared" si="2734"/>
        <v>11.076923076923077</v>
      </c>
      <c r="DF321" s="245">
        <f t="shared" si="2735"/>
        <v>8.3076923076923084</v>
      </c>
      <c r="DG321" s="245">
        <f t="shared" si="2736"/>
        <v>23.07692307692308</v>
      </c>
      <c r="DH321" s="252">
        <f t="shared" si="1848"/>
        <v>0</v>
      </c>
      <c r="DI321" s="324">
        <f t="shared" si="2737"/>
        <v>23.07692307692308</v>
      </c>
      <c r="DJ321" s="314">
        <f>IF(DG321&lt;=0,4,0)+IF(DG321&gt;0,DG321+1,0)*4+IF(DG321&gt;12,DG321-12,0)*4+IF(DG321&gt;13,DG321-13,0)*4+IF(DG321&gt;14,DG321-14,0)*4+IF(DG321&gt;15,DG321-15,0)*4+IF(DG321&gt;16,DG321-16,0)*4+IF(DG321&gt;17,DG321-17,0)*4+IF(DG321&gt;18,DG321-18,0)*4+IF(DG321&gt;19,DG321-19,0)*4+IF(DG321&gt;20,DG321-20,0)*4</f>
        <v>351.07692307692321</v>
      </c>
      <c r="DK321" s="336">
        <f>IF(DH321&lt;=0,4,0)+IF(DH321&gt;0,DH321+1,0)*4+IF(DH321&gt;12,DH321-12,0)*4+IF(DH321&gt;13,DH321-13,0)*4+IF(DH321&gt;14,DH321-14,0)*4+IF(DH321&gt;15,DH321-15,0)*4+IF(DH321&gt;16,DH321-16,0)*4+IF(DH321&gt;17,DH321-17,0)*4+IF(DH321&gt;18,DH321-18,0)*4+IF(DH321&gt;19,DH321-19,0)*4+IF(DH321&gt;20,DH321-20,0)*4</f>
        <v>4</v>
      </c>
      <c r="DL321" s="245">
        <f t="shared" si="2738"/>
        <v>347.07692307692321</v>
      </c>
      <c r="DM321" s="246">
        <f t="shared" si="2739"/>
        <v>0</v>
      </c>
      <c r="DN321" s="248"/>
      <c r="DO321" s="306" t="s">
        <v>470</v>
      </c>
      <c r="DP321" s="246" t="s">
        <v>92</v>
      </c>
      <c r="DQ321" s="314" t="s">
        <v>134</v>
      </c>
      <c r="DR321" s="115">
        <f>Konvention_1slave-MUslave</f>
        <v>12</v>
      </c>
      <c r="DS321" s="122"/>
      <c r="DT321" s="122"/>
      <c r="DU321" s="122">
        <f>Konvention_1slave-CHslave_CH</f>
        <v>11</v>
      </c>
      <c r="DV321" s="122"/>
      <c r="DW321" s="122"/>
      <c r="DX321" s="122"/>
      <c r="DY321" s="123"/>
      <c r="DZ321" s="226">
        <f>(DR321+DR321+DU321)/3</f>
        <v>11.666666666666666</v>
      </c>
      <c r="EA321" s="226">
        <f t="shared" si="2740"/>
        <v>23.333333333333332</v>
      </c>
      <c r="EB321" s="227">
        <f t="shared" si="2741"/>
        <v>35</v>
      </c>
      <c r="EC321" s="238">
        <f>DR321*POWER(CHslave_CH,SIGN(DU321))*POWER(MUslave,SIGN(DR321))+DR321*POWER(CHslave_CH,SIGN(DU321))*POWER(MUslave,SIGN(DR321))+DU321*POWER(MUslave,SIGN(DR321))*POWER(MUslave,SIGN(DR321))</f>
        <v>2432</v>
      </c>
      <c r="ED321" s="122">
        <f>DR321*DR321*CHslave_CH+DR321*MUslave*DU321+MUslave*DR321*DU321</f>
        <v>3408</v>
      </c>
      <c r="EE321" s="227">
        <f>DR321*DR321*DU321</f>
        <v>1584</v>
      </c>
      <c r="EF321" s="227">
        <f t="shared" ref="EF321" si="2788">SUM(EC321:EE321)</f>
        <v>7424</v>
      </c>
      <c r="EG321" s="225">
        <f t="shared" si="2742"/>
        <v>3.8218390804597702</v>
      </c>
      <c r="EH321" s="226">
        <f t="shared" si="2743"/>
        <v>10.711206896551724</v>
      </c>
      <c r="EI321" s="245">
        <f t="shared" si="2744"/>
        <v>7.4676724137931032</v>
      </c>
      <c r="EJ321" s="245">
        <f t="shared" si="2745"/>
        <v>22.000718390804597</v>
      </c>
      <c r="EK321" s="252">
        <f t="shared" si="1863"/>
        <v>0</v>
      </c>
      <c r="EL321" s="324">
        <f t="shared" si="2746"/>
        <v>22.000718390804597</v>
      </c>
      <c r="EM321" s="314">
        <f>IF(EJ321&lt;=0,4,0)+IF(EJ321&gt;0,EJ321+1,0)*4+IF(EJ321&gt;12,EJ321-12,0)*4+IF(EJ321&gt;13,EJ321-13,0)*4+IF(EJ321&gt;14,EJ321-14,0)*4+IF(EJ321&gt;15,EJ321-15,0)*4+IF(EJ321&gt;16,EJ321-16,0)*4+IF(EJ321&gt;17,EJ321-17,0)*4+IF(EJ321&gt;18,EJ321-18,0)*4+IF(EJ321&gt;19,EJ321-19,0)*4+IF(EJ321&gt;20,EJ321-20,0)*4</f>
        <v>308.02873563218378</v>
      </c>
      <c r="EN321" s="336">
        <f>IF(EK321&lt;=0,4,0)+IF(EK321&gt;0,EK321+1,0)*4+IF(EK321&gt;12,EK321-12,0)*4+IF(EK321&gt;13,EK321-13,0)*4+IF(EK321&gt;14,EK321-14,0)*4+IF(EK321&gt;15,EK321-15,0)*4+IF(EK321&gt;16,EK321-16,0)*4+IF(EK321&gt;17,EK321-17,0)*4+IF(EK321&gt;18,EK321-18,0)*4+IF(EK321&gt;19,EK321-19,0)*4+IF(EK321&gt;20,EK321-20,0)*4</f>
        <v>4</v>
      </c>
      <c r="EO321" s="245">
        <f t="shared" si="2747"/>
        <v>304.02873563218378</v>
      </c>
      <c r="EP321" s="246">
        <f t="shared" si="2748"/>
        <v>0</v>
      </c>
      <c r="EQ321" s="248"/>
      <c r="ER321" s="306" t="s">
        <v>470</v>
      </c>
      <c r="ES321" s="246" t="s">
        <v>92</v>
      </c>
      <c r="ET321" s="314" t="s">
        <v>134</v>
      </c>
      <c r="EU321" s="115">
        <f>Konvention_1slave-MUslave</f>
        <v>12</v>
      </c>
      <c r="EV321" s="122"/>
      <c r="EW321" s="122"/>
      <c r="EX321" s="122">
        <f>Konvention_1slave-CHslave</f>
        <v>12</v>
      </c>
      <c r="EY321" s="122"/>
      <c r="EZ321" s="122"/>
      <c r="FA321" s="122"/>
      <c r="FB321" s="123"/>
      <c r="FC321" s="226">
        <f>(EU321+EU321+EX321)/3</f>
        <v>12</v>
      </c>
      <c r="FD321" s="226">
        <f t="shared" si="2749"/>
        <v>24</v>
      </c>
      <c r="FE321" s="227">
        <f t="shared" si="2750"/>
        <v>36</v>
      </c>
      <c r="FF321" s="238">
        <f>EU321*POWER(CHslave,SIGN(EX321))*POWER(MUslave,SIGN(EU321))+EU321*POWER(CHslave,SIGN(EX321))*POWER(MUslave,SIGN(EU321))+EX321*POWER(MUslave,SIGN(EU321))*POWER(MUslave,SIGN(EU321))</f>
        <v>2304</v>
      </c>
      <c r="FG321" s="122">
        <f>EU321*EU321*CHslave+EU321*MUslave*EX321+MUslave*EU321*EX321</f>
        <v>3456</v>
      </c>
      <c r="FH321" s="227">
        <f>EU321*EU321*EX321</f>
        <v>1728</v>
      </c>
      <c r="FI321" s="227">
        <f t="shared" ref="FI321" si="2789">SUM(FF321:FH321)</f>
        <v>7488</v>
      </c>
      <c r="FJ321" s="225">
        <f t="shared" si="2751"/>
        <v>3.6923076923076925</v>
      </c>
      <c r="FK321" s="226">
        <f t="shared" si="2752"/>
        <v>11.076923076923077</v>
      </c>
      <c r="FL321" s="245">
        <f t="shared" si="2753"/>
        <v>8.3076923076923084</v>
      </c>
      <c r="FM321" s="245">
        <f t="shared" si="2754"/>
        <v>23.07692307692308</v>
      </c>
      <c r="FN321" s="252">
        <f t="shared" si="1878"/>
        <v>0</v>
      </c>
      <c r="FO321" s="324">
        <f t="shared" si="2755"/>
        <v>23.07692307692308</v>
      </c>
      <c r="FP321" s="314">
        <f>IF(FM321&lt;=0,4,0)+IF(FM321&gt;0,FM321+1,0)*4+IF(FM321&gt;12,FM321-12,0)*4+IF(FM321&gt;13,FM321-13,0)*4+IF(FM321&gt;14,FM321-14,0)*4+IF(FM321&gt;15,FM321-15,0)*4+IF(FM321&gt;16,FM321-16,0)*4+IF(FM321&gt;17,FM321-17,0)*4+IF(FM321&gt;18,FM321-18,0)*4+IF(FM321&gt;19,FM321-19,0)*4+IF(FM321&gt;20,FM321-20,0)*4</f>
        <v>351.07692307692321</v>
      </c>
      <c r="FQ321" s="336">
        <f>IF(FN321&lt;=0,4,0)+IF(FN321&gt;0,FN321+1,0)*4+IF(FN321&gt;12,FN321-12,0)*4+IF(FN321&gt;13,FN321-13,0)*4+IF(FN321&gt;14,FN321-14,0)*4+IF(FN321&gt;15,FN321-15,0)*4+IF(FN321&gt;16,FN321-16,0)*4+IF(FN321&gt;17,FN321-17,0)*4+IF(FN321&gt;18,FN321-18,0)*4+IF(FN321&gt;19,FN321-19,0)*4+IF(FN321&gt;20,FN321-20,0)*4</f>
        <v>4</v>
      </c>
      <c r="FR321" s="245">
        <f t="shared" si="2756"/>
        <v>347.07692307692321</v>
      </c>
      <c r="FS321" s="246">
        <f t="shared" si="2757"/>
        <v>0</v>
      </c>
      <c r="FT321" s="248"/>
      <c r="FU321" s="306" t="s">
        <v>470</v>
      </c>
      <c r="FV321" s="246" t="s">
        <v>92</v>
      </c>
      <c r="FW321" s="314" t="s">
        <v>134</v>
      </c>
      <c r="FX321" s="115">
        <f>Konvention_1slave-MUslave</f>
        <v>12</v>
      </c>
      <c r="FY321" s="122"/>
      <c r="FZ321" s="122"/>
      <c r="GA321" s="122">
        <f>Konvention_1slave-CHslave</f>
        <v>12</v>
      </c>
      <c r="GB321" s="122"/>
      <c r="GC321" s="122"/>
      <c r="GD321" s="122"/>
      <c r="GE321" s="123"/>
      <c r="GF321" s="226">
        <f>(FX321+FX321+GA321)/3</f>
        <v>12</v>
      </c>
      <c r="GG321" s="226">
        <f t="shared" si="2758"/>
        <v>24</v>
      </c>
      <c r="GH321" s="227">
        <f t="shared" si="2759"/>
        <v>36</v>
      </c>
      <c r="GI321" s="238">
        <f>FX321*POWER(CHslave,SIGN(GA321))*POWER(MUslave,SIGN(FX321))+FX321*POWER(CHslave,SIGN(GA321))*POWER(MUslave,SIGN(FX321))+GA321*POWER(MUslave,SIGN(FX321))*POWER(MUslave,SIGN(FX321))</f>
        <v>2304</v>
      </c>
      <c r="GJ321" s="122">
        <f>FX321*FX321*CHslave+FX321*MUslave*GA321+MUslave*FX321*GA321</f>
        <v>3456</v>
      </c>
      <c r="GK321" s="227">
        <f>FX321*FX321*GA321</f>
        <v>1728</v>
      </c>
      <c r="GL321" s="227">
        <f t="shared" ref="GL321" si="2790">SUM(GI321:GK321)</f>
        <v>7488</v>
      </c>
      <c r="GM321" s="225">
        <f t="shared" si="2760"/>
        <v>3.6923076923076925</v>
      </c>
      <c r="GN321" s="226">
        <f t="shared" si="2761"/>
        <v>11.076923076923077</v>
      </c>
      <c r="GO321" s="245">
        <f t="shared" si="2762"/>
        <v>8.3076923076923084</v>
      </c>
      <c r="GP321" s="245">
        <f t="shared" si="2763"/>
        <v>23.07692307692308</v>
      </c>
      <c r="GQ321" s="252">
        <f t="shared" si="1893"/>
        <v>0</v>
      </c>
      <c r="GR321" s="324">
        <f t="shared" si="2764"/>
        <v>23.07692307692308</v>
      </c>
      <c r="GS321" s="314">
        <f>IF(GP321&lt;=0,4,0)+IF(GP321&gt;0,GP321+1,0)*4+IF(GP321&gt;12,GP321-12,0)*4+IF(GP321&gt;13,GP321-13,0)*4+IF(GP321&gt;14,GP321-14,0)*4+IF(GP321&gt;15,GP321-15,0)*4+IF(GP321&gt;16,GP321-16,0)*4+IF(GP321&gt;17,GP321-17,0)*4+IF(GP321&gt;18,GP321-18,0)*4+IF(GP321&gt;19,GP321-19,0)*4+IF(GP321&gt;20,GP321-20,0)*4</f>
        <v>351.07692307692321</v>
      </c>
      <c r="GT321" s="336">
        <f>IF(GQ321&lt;=0,4,0)+IF(GQ321&gt;0,GQ321+1,0)*4+IF(GQ321&gt;12,GQ321-12,0)*4+IF(GQ321&gt;13,GQ321-13,0)*4+IF(GQ321&gt;14,GQ321-14,0)*4+IF(GQ321&gt;15,GQ321-15,0)*4+IF(GQ321&gt;16,GQ321-16,0)*4+IF(GQ321&gt;17,GQ321-17,0)*4+IF(GQ321&gt;18,GQ321-18,0)*4+IF(GQ321&gt;19,GQ321-19,0)*4+IF(GQ321&gt;20,GQ321-20,0)*4</f>
        <v>4</v>
      </c>
      <c r="GU321" s="245">
        <f t="shared" si="2765"/>
        <v>347.07692307692321</v>
      </c>
      <c r="GV321" s="246">
        <f t="shared" si="2766"/>
        <v>0</v>
      </c>
      <c r="GW321" s="248"/>
      <c r="GX321" s="306" t="s">
        <v>470</v>
      </c>
      <c r="GY321" s="246" t="s">
        <v>92</v>
      </c>
      <c r="GZ321" s="314" t="s">
        <v>134</v>
      </c>
      <c r="HA321" s="115">
        <f>Konvention_1slave-MUslave</f>
        <v>12</v>
      </c>
      <c r="HB321" s="122"/>
      <c r="HC321" s="122"/>
      <c r="HD321" s="122">
        <f>Konvention_1slave-CHslave</f>
        <v>12</v>
      </c>
      <c r="HE321" s="122"/>
      <c r="HF321" s="122"/>
      <c r="HG321" s="122"/>
      <c r="HH321" s="123"/>
      <c r="HI321" s="226">
        <f>(HA321+HA321+HD321)/3</f>
        <v>12</v>
      </c>
      <c r="HJ321" s="226">
        <f t="shared" si="2767"/>
        <v>24</v>
      </c>
      <c r="HK321" s="227">
        <f t="shared" si="2768"/>
        <v>36</v>
      </c>
      <c r="HL321" s="238">
        <f>HA321*POWER(CHslave,SIGN(HD321))*POWER(MUslave,SIGN(HA321))+HA321*POWER(CHslave,SIGN(HD321))*POWER(MUslave,SIGN(HA321))+HD321*POWER(MUslave,SIGN(HA321))*POWER(MUslave,SIGN(HA321))</f>
        <v>2304</v>
      </c>
      <c r="HM321" s="122">
        <f>HA321*HA321*CHslave+HA321*MUslave*HD321+MUslave*HA321*HD321</f>
        <v>3456</v>
      </c>
      <c r="HN321" s="227">
        <f>HA321*HA321*HD321</f>
        <v>1728</v>
      </c>
      <c r="HO321" s="227">
        <f t="shared" ref="HO321" si="2791">SUM(HL321:HN321)</f>
        <v>7488</v>
      </c>
      <c r="HP321" s="225">
        <f t="shared" si="2769"/>
        <v>3.6923076923076925</v>
      </c>
      <c r="HQ321" s="226">
        <f t="shared" si="2770"/>
        <v>11.076923076923077</v>
      </c>
      <c r="HR321" s="245">
        <f t="shared" si="2771"/>
        <v>8.3076923076923084</v>
      </c>
      <c r="HS321" s="245">
        <f t="shared" si="2772"/>
        <v>23.07692307692308</v>
      </c>
      <c r="HT321" s="252">
        <f t="shared" si="1908"/>
        <v>0</v>
      </c>
      <c r="HU321" s="324">
        <f t="shared" si="2773"/>
        <v>23.07692307692308</v>
      </c>
      <c r="HV321" s="314">
        <f>IF(HS321&lt;=0,4,0)+IF(HS321&gt;0,HS321+1,0)*4+IF(HS321&gt;12,HS321-12,0)*4+IF(HS321&gt;13,HS321-13,0)*4+IF(HS321&gt;14,HS321-14,0)*4+IF(HS321&gt;15,HS321-15,0)*4+IF(HS321&gt;16,HS321-16,0)*4+IF(HS321&gt;17,HS321-17,0)*4+IF(HS321&gt;18,HS321-18,0)*4+IF(HS321&gt;19,HS321-19,0)*4+IF(HS321&gt;20,HS321-20,0)*4</f>
        <v>351.07692307692321</v>
      </c>
      <c r="HW321" s="336">
        <f>IF(HT321&lt;=0,4,0)+IF(HT321&gt;0,HT321+1,0)*4+IF(HT321&gt;12,HT321-12,0)*4+IF(HT321&gt;13,HT321-13,0)*4+IF(HT321&gt;14,HT321-14,0)*4+IF(HT321&gt;15,HT321-15,0)*4+IF(HT321&gt;16,HT321-16,0)*4+IF(HT321&gt;17,HT321-17,0)*4+IF(HT321&gt;18,HT321-18,0)*4+IF(HT321&gt;19,HT321-19,0)*4+IF(HT321&gt;20,HT321-20,0)*4</f>
        <v>4</v>
      </c>
      <c r="HX321" s="245">
        <f t="shared" si="2774"/>
        <v>347.07692307692321</v>
      </c>
      <c r="HY321" s="246">
        <f t="shared" si="2775"/>
        <v>0</v>
      </c>
      <c r="HZ321" s="248"/>
      <c r="IA321" s="306" t="s">
        <v>470</v>
      </c>
      <c r="IB321" s="246" t="s">
        <v>92</v>
      </c>
      <c r="IC321" s="314" t="s">
        <v>134</v>
      </c>
      <c r="ID321" s="115">
        <f>Konvention_1slave-MUslave</f>
        <v>12</v>
      </c>
      <c r="IE321" s="122"/>
      <c r="IF321" s="122"/>
      <c r="IG321" s="122">
        <f>Konvention_1slave-CHslave</f>
        <v>12</v>
      </c>
      <c r="IH321" s="122"/>
      <c r="II321" s="122"/>
      <c r="IJ321" s="122"/>
      <c r="IK321" s="123"/>
      <c r="IL321" s="226">
        <f>(ID321+ID321+IG321)/3</f>
        <v>12</v>
      </c>
      <c r="IM321" s="226">
        <f t="shared" si="2776"/>
        <v>24</v>
      </c>
      <c r="IN321" s="227">
        <f t="shared" si="2777"/>
        <v>36</v>
      </c>
      <c r="IO321" s="238">
        <f>ID321*POWER(CHslave,SIGN(IG321))*POWER(MUslave,SIGN(ID321))+ID321*POWER(CHslave,SIGN(IG321))*POWER(MUslave,SIGN(ID321))+IG321*POWER(MUslave,SIGN(ID321))*POWER(MUslave,SIGN(ID321))</f>
        <v>2304</v>
      </c>
      <c r="IP321" s="122">
        <f>ID321*ID321*CHslave+ID321*MUslave*IG321+MUslave*ID321*IG321</f>
        <v>3456</v>
      </c>
      <c r="IQ321" s="227">
        <f>ID321*ID321*IG321</f>
        <v>1728</v>
      </c>
      <c r="IR321" s="227">
        <f t="shared" ref="IR321" si="2792">SUM(IO321:IQ321)</f>
        <v>7488</v>
      </c>
      <c r="IS321" s="225">
        <f t="shared" si="2778"/>
        <v>3.6923076923076925</v>
      </c>
      <c r="IT321" s="226">
        <f t="shared" si="2779"/>
        <v>11.076923076923077</v>
      </c>
      <c r="IU321" s="245">
        <f t="shared" si="2780"/>
        <v>8.3076923076923084</v>
      </c>
      <c r="IV321" s="245">
        <f t="shared" si="2781"/>
        <v>23.07692307692308</v>
      </c>
      <c r="IW321" s="252">
        <f t="shared" si="1923"/>
        <v>0</v>
      </c>
      <c r="IX321" s="324">
        <f t="shared" si="2782"/>
        <v>23.07692307692308</v>
      </c>
      <c r="IY321" s="314">
        <f>IF(IV321&lt;=0,4,0)+IF(IV321&gt;0,IV321+1,0)*4+IF(IV321&gt;12,IV321-12,0)*4+IF(IV321&gt;13,IV321-13,0)*4+IF(IV321&gt;14,IV321-14,0)*4+IF(IV321&gt;15,IV321-15,0)*4+IF(IV321&gt;16,IV321-16,0)*4+IF(IV321&gt;17,IV321-17,0)*4+IF(IV321&gt;18,IV321-18,0)*4+IF(IV321&gt;19,IV321-19,0)*4+IF(IV321&gt;20,IV321-20,0)*4</f>
        <v>351.07692307692321</v>
      </c>
      <c r="IZ321" s="336">
        <f>IF(IW321&lt;=0,4,0)+IF(IW321&gt;0,IW321+1,0)*4+IF(IW321&gt;12,IW321-12,0)*4+IF(IW321&gt;13,IW321-13,0)*4+IF(IW321&gt;14,IW321-14,0)*4+IF(IW321&gt;15,IW321-15,0)*4+IF(IW321&gt;16,IW321-16,0)*4+IF(IW321&gt;17,IW321-17,0)*4+IF(IW321&gt;18,IW321-18,0)*4+IF(IW321&gt;19,IW321-19,0)*4+IF(IW321&gt;20,IW321-20,0)*4</f>
        <v>4</v>
      </c>
      <c r="JA321" s="245">
        <f t="shared" si="2783"/>
        <v>347.07692307692321</v>
      </c>
      <c r="JB321" s="246">
        <f t="shared" si="2784"/>
        <v>0</v>
      </c>
      <c r="JE321" s="148"/>
    </row>
    <row r="322" spans="1:265" s="205" customFormat="1" hidden="1" outlineLevel="1" collapsed="1">
      <c r="A322" s="185"/>
      <c r="B322" s="216" t="s">
        <v>446</v>
      </c>
      <c r="C322" s="328" t="s">
        <v>281</v>
      </c>
      <c r="D322" s="329" t="s">
        <v>279</v>
      </c>
      <c r="E322" s="330" t="s">
        <v>280</v>
      </c>
      <c r="F322" s="299"/>
      <c r="G322" s="299"/>
      <c r="H322" s="299"/>
      <c r="I322" s="299"/>
      <c r="J322" s="299"/>
      <c r="K322" s="299"/>
      <c r="L322" s="299"/>
      <c r="M322" s="299"/>
      <c r="N322" s="248"/>
      <c r="O322" s="248"/>
      <c r="P322" s="248"/>
      <c r="Q322" s="248"/>
      <c r="R322" s="299"/>
      <c r="S322" s="248"/>
      <c r="T322" s="248"/>
      <c r="U322" s="248"/>
      <c r="V322" s="248"/>
      <c r="W322" s="248"/>
      <c r="X322" s="248"/>
      <c r="Y322" s="331"/>
      <c r="Z322" s="331"/>
      <c r="AA322" s="330"/>
      <c r="AB322" s="332"/>
      <c r="AC322" s="248"/>
      <c r="AD322" s="248"/>
      <c r="AE322" s="299"/>
      <c r="AF322" s="333" t="s">
        <v>281</v>
      </c>
      <c r="AG322" s="329" t="s">
        <v>279</v>
      </c>
      <c r="AH322" s="330" t="s">
        <v>280</v>
      </c>
      <c r="AI322" s="299"/>
      <c r="AJ322" s="299"/>
      <c r="AK322" s="299"/>
      <c r="AL322" s="299"/>
      <c r="AM322" s="299"/>
      <c r="AN322" s="299"/>
      <c r="AO322" s="299"/>
      <c r="AP322" s="299"/>
      <c r="AQ322" s="248"/>
      <c r="AR322" s="248"/>
      <c r="AS322" s="248"/>
      <c r="AT322" s="248"/>
      <c r="AU322" s="299"/>
      <c r="AV322" s="248"/>
      <c r="AW322" s="248"/>
      <c r="AX322" s="248"/>
      <c r="AY322" s="248"/>
      <c r="AZ322" s="248"/>
      <c r="BA322" s="248"/>
      <c r="BB322" s="331"/>
      <c r="BC322" s="331"/>
      <c r="BD322" s="330"/>
      <c r="BE322" s="332"/>
      <c r="BF322" s="248"/>
      <c r="BG322" s="248"/>
      <c r="BH322" s="248"/>
      <c r="BI322" s="333" t="s">
        <v>281</v>
      </c>
      <c r="BJ322" s="329" t="s">
        <v>279</v>
      </c>
      <c r="BK322" s="330" t="s">
        <v>280</v>
      </c>
      <c r="BL322" s="299"/>
      <c r="BM322" s="299"/>
      <c r="BN322" s="299"/>
      <c r="BO322" s="299"/>
      <c r="BP322" s="299"/>
      <c r="BQ322" s="299"/>
      <c r="BR322" s="299"/>
      <c r="BS322" s="299"/>
      <c r="BT322" s="248"/>
      <c r="BU322" s="248"/>
      <c r="BV322" s="248"/>
      <c r="BW322" s="248"/>
      <c r="BX322" s="299"/>
      <c r="BY322" s="248"/>
      <c r="BZ322" s="248"/>
      <c r="CA322" s="248"/>
      <c r="CB322" s="248"/>
      <c r="CC322" s="248"/>
      <c r="CD322" s="248"/>
      <c r="CE322" s="331"/>
      <c r="CF322" s="331"/>
      <c r="CG322" s="330"/>
      <c r="CH322" s="332"/>
      <c r="CI322" s="248"/>
      <c r="CJ322" s="248"/>
      <c r="CK322" s="248"/>
      <c r="CL322" s="333" t="s">
        <v>281</v>
      </c>
      <c r="CM322" s="329" t="s">
        <v>279</v>
      </c>
      <c r="CN322" s="330" t="s">
        <v>280</v>
      </c>
      <c r="CO322" s="299"/>
      <c r="CP322" s="299"/>
      <c r="CQ322" s="299"/>
      <c r="CR322" s="299"/>
      <c r="CS322" s="299"/>
      <c r="CT322" s="299"/>
      <c r="CU322" s="299"/>
      <c r="CV322" s="299"/>
      <c r="CW322" s="248"/>
      <c r="CX322" s="248"/>
      <c r="CY322" s="248"/>
      <c r="CZ322" s="248"/>
      <c r="DA322" s="299"/>
      <c r="DB322" s="248"/>
      <c r="DC322" s="248"/>
      <c r="DD322" s="248"/>
      <c r="DE322" s="248"/>
      <c r="DF322" s="248"/>
      <c r="DG322" s="248"/>
      <c r="DH322" s="331"/>
      <c r="DI322" s="331"/>
      <c r="DJ322" s="330"/>
      <c r="DK322" s="332"/>
      <c r="DL322" s="248"/>
      <c r="DM322" s="248"/>
      <c r="DN322" s="248"/>
      <c r="DO322" s="333" t="s">
        <v>281</v>
      </c>
      <c r="DP322" s="329" t="s">
        <v>279</v>
      </c>
      <c r="DQ322" s="330" t="s">
        <v>280</v>
      </c>
      <c r="DR322" s="299"/>
      <c r="DS322" s="299"/>
      <c r="DT322" s="299"/>
      <c r="DU322" s="299"/>
      <c r="DV322" s="299"/>
      <c r="DW322" s="299"/>
      <c r="DX322" s="299"/>
      <c r="DY322" s="299"/>
      <c r="DZ322" s="248"/>
      <c r="EA322" s="248"/>
      <c r="EB322" s="248"/>
      <c r="EC322" s="248"/>
      <c r="ED322" s="299"/>
      <c r="EE322" s="248"/>
      <c r="EF322" s="248"/>
      <c r="EG322" s="248"/>
      <c r="EH322" s="248"/>
      <c r="EI322" s="248"/>
      <c r="EJ322" s="248"/>
      <c r="EK322" s="331"/>
      <c r="EL322" s="331"/>
      <c r="EM322" s="330"/>
      <c r="EN322" s="332"/>
      <c r="EO322" s="248"/>
      <c r="EP322" s="248"/>
      <c r="EQ322" s="248"/>
      <c r="ER322" s="333" t="s">
        <v>281</v>
      </c>
      <c r="ES322" s="329" t="s">
        <v>279</v>
      </c>
      <c r="ET322" s="330" t="s">
        <v>280</v>
      </c>
      <c r="EU322" s="299"/>
      <c r="EV322" s="299"/>
      <c r="EW322" s="299"/>
      <c r="EX322" s="299"/>
      <c r="EY322" s="299"/>
      <c r="EZ322" s="299"/>
      <c r="FA322" s="299"/>
      <c r="FB322" s="299"/>
      <c r="FC322" s="248"/>
      <c r="FD322" s="248"/>
      <c r="FE322" s="248"/>
      <c r="FF322" s="248"/>
      <c r="FG322" s="299"/>
      <c r="FH322" s="248"/>
      <c r="FI322" s="248"/>
      <c r="FJ322" s="248"/>
      <c r="FK322" s="248"/>
      <c r="FL322" s="248"/>
      <c r="FM322" s="248"/>
      <c r="FN322" s="331"/>
      <c r="FO322" s="331"/>
      <c r="FP322" s="330"/>
      <c r="FQ322" s="332"/>
      <c r="FR322" s="248"/>
      <c r="FS322" s="248"/>
      <c r="FT322" s="248"/>
      <c r="FU322" s="333" t="s">
        <v>281</v>
      </c>
      <c r="FV322" s="329" t="s">
        <v>279</v>
      </c>
      <c r="FW322" s="330" t="s">
        <v>280</v>
      </c>
      <c r="FX322" s="299"/>
      <c r="FY322" s="299"/>
      <c r="FZ322" s="299"/>
      <c r="GA322" s="299"/>
      <c r="GB322" s="299"/>
      <c r="GC322" s="299"/>
      <c r="GD322" s="299"/>
      <c r="GE322" s="299"/>
      <c r="GF322" s="248"/>
      <c r="GG322" s="248"/>
      <c r="GH322" s="248"/>
      <c r="GI322" s="248"/>
      <c r="GJ322" s="299"/>
      <c r="GK322" s="248"/>
      <c r="GL322" s="248"/>
      <c r="GM322" s="248"/>
      <c r="GN322" s="248"/>
      <c r="GO322" s="248"/>
      <c r="GP322" s="248"/>
      <c r="GQ322" s="331"/>
      <c r="GR322" s="331"/>
      <c r="GS322" s="330"/>
      <c r="GT322" s="332"/>
      <c r="GU322" s="248"/>
      <c r="GV322" s="248"/>
      <c r="GW322" s="248"/>
      <c r="GX322" s="333" t="s">
        <v>281</v>
      </c>
      <c r="GY322" s="329" t="s">
        <v>279</v>
      </c>
      <c r="GZ322" s="330" t="s">
        <v>280</v>
      </c>
      <c r="HA322" s="299"/>
      <c r="HB322" s="299"/>
      <c r="HC322" s="299"/>
      <c r="HD322" s="299"/>
      <c r="HE322" s="299"/>
      <c r="HF322" s="299"/>
      <c r="HG322" s="299"/>
      <c r="HH322" s="299"/>
      <c r="HI322" s="248"/>
      <c r="HJ322" s="248"/>
      <c r="HK322" s="248"/>
      <c r="HL322" s="248"/>
      <c r="HM322" s="299"/>
      <c r="HN322" s="248"/>
      <c r="HO322" s="248"/>
      <c r="HP322" s="248"/>
      <c r="HQ322" s="248"/>
      <c r="HR322" s="248"/>
      <c r="HS322" s="248"/>
      <c r="HT322" s="331"/>
      <c r="HU322" s="331"/>
      <c r="HV322" s="330"/>
      <c r="HW322" s="332"/>
      <c r="HX322" s="248"/>
      <c r="HY322" s="248"/>
      <c r="HZ322" s="248"/>
      <c r="IA322" s="333" t="s">
        <v>281</v>
      </c>
      <c r="IB322" s="329" t="s">
        <v>279</v>
      </c>
      <c r="IC322" s="330" t="s">
        <v>280</v>
      </c>
      <c r="ID322" s="299"/>
      <c r="IE322" s="299"/>
      <c r="IF322" s="299"/>
      <c r="IG322" s="299"/>
      <c r="IH322" s="299"/>
      <c r="II322" s="299"/>
      <c r="IJ322" s="299"/>
      <c r="IK322" s="299"/>
      <c r="IL322" s="248"/>
      <c r="IM322" s="248"/>
      <c r="IN322" s="248"/>
      <c r="IO322" s="248"/>
      <c r="IP322" s="299"/>
      <c r="IQ322" s="248"/>
      <c r="IR322" s="248"/>
      <c r="IS322" s="248"/>
      <c r="IT322" s="248"/>
      <c r="IU322" s="248"/>
      <c r="IV322" s="248"/>
      <c r="IW322" s="331"/>
      <c r="IX322" s="331"/>
      <c r="IY322" s="330"/>
      <c r="IZ322" s="332"/>
      <c r="JA322" s="248"/>
      <c r="JB322" s="248"/>
    </row>
    <row r="323" spans="1:265" s="205" customFormat="1" ht="15" hidden="1" customHeight="1" outlineLevel="2">
      <c r="A323" s="185"/>
      <c r="B323" s="217">
        <v>1</v>
      </c>
      <c r="C323" s="302" t="e">
        <f>VLOOKUP(AF323,Attribute!C:T,1,FALSE)</f>
        <v>#N/A</v>
      </c>
      <c r="D323" s="43" t="s">
        <v>471</v>
      </c>
      <c r="E323" s="43" t="s">
        <v>135</v>
      </c>
      <c r="F323" s="207"/>
      <c r="G323" s="208"/>
      <c r="H323" s="208"/>
      <c r="I323" s="118">
        <f>Konvention_1master-CHmaster</f>
        <v>12</v>
      </c>
      <c r="J323" s="208"/>
      <c r="K323" s="118">
        <f>Konvention_1master-GEmaster</f>
        <v>12</v>
      </c>
      <c r="L323" s="170">
        <f>Konvention_1master-KOmaster</f>
        <v>12</v>
      </c>
      <c r="M323" s="209"/>
      <c r="N323" s="220">
        <f>(F323+G323+H323+I323+J323+K323+L323+M323)/3</f>
        <v>12</v>
      </c>
      <c r="O323" s="220">
        <f>2*N323</f>
        <v>24</v>
      </c>
      <c r="P323" s="221">
        <f>3*N323</f>
        <v>36</v>
      </c>
      <c r="Q323" s="236">
        <f>F323*POWER(KLmaster,SIGN(G323))*POWER(INmaster,SIGN(H323))*POWER(CHmaster,SIGN(I323))*POWER(FFmaster,SIGN(J323))*POWER(GEmaster,SIGN(K323))*POWER(KOmaster,SIGN(L323))*POWER(KKmaster,SIGN(M323))+G323*POWER(MUmaster,SIGN(F323))*POWER(INmaster,SIGN(H323))*POWER(CHmaster,SIGN(I323))*POWER(FFmaster,SIGN(J323))*POWER(GEmaster,SIGN(K323))*POWER(KOmaster,SIGN(L323))*POWER(KKmaster,SIGN(M323))+H323*POWER(MUmaster,SIGN(F323))*POWER(KLmaster,SIGN(G323))*POWER(CHmaster,SIGN(I323))*POWER(FFmaster,SIGN(J323))*POWER(GEmaster,SIGN(K323))*POWER(KOmaster,SIGN(L323))*POWER(KKmaster,SIGN(M323))+I323*POWER(MUmaster,SIGN(F323))*POWER(KLmaster,SIGN(G323))*POWER(INmaster,SIGN(H323))*POWER(FFmaster,SIGN(J323))*POWER(GEmaster,SIGN(K323))*POWER(KOmaster,SIGN(L323))*POWER(KKmaster,SIGN(M323))+J323*POWER(MUmaster,SIGN(F323))*POWER(KLmaster,SIGN(G323))*POWER(INmaster,SIGN(H323))*POWER(CHmaster,SIGN(I323))*POWER(GEmaster,SIGN(K323))*POWER(KOmaster,SIGN(L323))*POWER(KKmaster,SIGN(M323))+K323*POWER(MUmaster,SIGN(F323))*POWER(KLmaster,SIGN(G323))*POWER(INmaster,SIGN(H323))*POWER(CHmaster,SIGN(I323))*POWER(FFmaster,SIGN(J323))*POWER(KOmaster,SIGN(L323))*POWER(KKmaster,SIGN(M323))+L323*POWER(MUmaster,SIGN(F323))*POWER(KLmaster,SIGN(G323))*POWER(INmaster,SIGN(H323))*POWER(CHmaster,SIGN(I323))*POWER(FFmaster,SIGN(J323))*POWER(GEmaster,SIGN(K323))*POWER(KKmaster,SIGN(M323))+M323*POWER(MUmaster,SIGN(F323))*POWER(KLmaster,SIGN(G323))*POWER(INmaster,SIGN(H323))*POWER(CHmaster,SIGN(I323))*POWER(FFmaster,SIGN(J323))*POWER(GEmaster,SIGN(K323))*POWER(KOmaster,SIGN(L323))</f>
        <v>2304</v>
      </c>
      <c r="R323" s="233">
        <f>I323*K323*KOmaster+I323*GEmaster*L323+CHmaster*K323*L323</f>
        <v>3456</v>
      </c>
      <c r="S323" s="221">
        <f>IFERROR(F323^SIGN(F323),1)*IFERROR(G323^SIGN(G323),1)*IFERROR(H323^SIGN(H323),1)*IFERROR(I323^SIGN(I323),1)*IFERROR(J323^SIGN(J323),1)*IFERROR(K323^SIGN(K323),1)*IFERROR(L323^SIGN(L323),1)*IFERROR(M323^SIGN(M323),1)</f>
        <v>1728</v>
      </c>
      <c r="T323" s="221">
        <f t="shared" ref="T323:T325" si="2793">SUM(Q323:S323)</f>
        <v>7488</v>
      </c>
      <c r="U323" s="219">
        <f>N323*Q323/T323</f>
        <v>3.6923076923076925</v>
      </c>
      <c r="V323" s="220">
        <f>O323*R323/T323</f>
        <v>11.076923076923077</v>
      </c>
      <c r="W323" s="241">
        <f>P323*S323/T323</f>
        <v>8.3076923076923084</v>
      </c>
      <c r="X323" s="241">
        <f>SUM(U323:W323)</f>
        <v>23.07692307692308</v>
      </c>
      <c r="Y323" s="252">
        <v>0</v>
      </c>
      <c r="Z323" s="324">
        <f>X323-Y323</f>
        <v>23.07692307692308</v>
      </c>
      <c r="AA323" s="43">
        <f>IF(X323&lt;=0,3,0)+IF(X323&gt;0,X323+1,0)*3+IF(X323&gt;12,X323-12,0)*3+IF(X323&gt;13,X323-13,0)*3+IF(X323&gt;14,X323-14,0)*3+IF(X323&gt;15,X323-15,0)*3+IF(X323&gt;16,X323-16,0)*3+IF(X323&gt;17,X323-17,0)*3+IF(X323&gt;18,X323-18,0)*3+IF(X323&gt;19,X323-19,0)*3+IF(X323&gt;20,X323-20,0)*3</f>
        <v>263.30769230769232</v>
      </c>
      <c r="AB323" s="334">
        <f>IF(Y323&lt;=0,3,0)+IF(Y323&gt;0,Y323+1,0)*3+IF(Y323&gt;12,Y323-12,0)*3+IF(Y323&gt;13,Y323-13,0)*3+IF(Y323&gt;14,Y323-14,0)*3+IF(Y323&gt;15,Y323-15,0)*3+IF(Y323&gt;16,Y323-16,0)*3+IF(Y323&gt;17,Y323-17,0)*3+IF(Y323&gt;18,Y323-18,0)*3+IF(Y323&gt;19,Y323-19,0)*3+IF(Y323&gt;20,Y323-20,0)*3</f>
        <v>3</v>
      </c>
      <c r="AC323" s="241">
        <f>IF((AA323-AB323)&gt;0,AA323-AB323,0)</f>
        <v>260.30769230769232</v>
      </c>
      <c r="AD323" s="42">
        <f>IF((AB323-AA323)&gt;0,AB323-AA323,0)</f>
        <v>0</v>
      </c>
      <c r="AE323" s="299"/>
      <c r="AF323" s="302" t="s">
        <v>475</v>
      </c>
      <c r="AG323" s="43" t="s">
        <v>471</v>
      </c>
      <c r="AH323" s="43" t="s">
        <v>135</v>
      </c>
      <c r="AI323" s="207"/>
      <c r="AJ323" s="208"/>
      <c r="AK323" s="208"/>
      <c r="AL323" s="118">
        <f>Konvention_1slave-CHslave</f>
        <v>12</v>
      </c>
      <c r="AM323" s="208"/>
      <c r="AN323" s="118">
        <f>Konvention_1slave-GEslave</f>
        <v>12</v>
      </c>
      <c r="AO323" s="170">
        <f>Konvention_1slave-KOslave</f>
        <v>12</v>
      </c>
      <c r="AP323" s="209"/>
      <c r="AQ323" s="220">
        <f>(AI323+AJ323+AK323+AL323+AM323+AN323+AO323+AP323)/3</f>
        <v>12</v>
      </c>
      <c r="AR323" s="220">
        <f>2*AQ323</f>
        <v>24</v>
      </c>
      <c r="AS323" s="221">
        <f>3*AQ323</f>
        <v>36</v>
      </c>
      <c r="AT323" s="236">
        <f>AI323*POWER(KLslave,SIGN(AJ323))*POWER(INslave,SIGN(AK323))*POWER(CHslave,SIGN(AL323))*POWER(FFslave,SIGN(AM323))*POWER(GEslave,SIGN(AN323))*POWER(KOslave,SIGN(AO323))*POWER(KKslave,SIGN(AP323))+AJ323*POWER(MUslave,SIGN(AI323))*POWER(INslave,SIGN(AK323))*POWER(CHslave,SIGN(AL323))*POWER(FFslave,SIGN(AM323))*POWER(GEslave,SIGN(AN323))*POWER(KOslave,SIGN(AO323))*POWER(KKslave,SIGN(AP323))+AK323*POWER(MUslave,SIGN(AI323))*POWER(KLslave,SIGN(AJ323))*POWER(CHslave,SIGN(AL323))*POWER(FFslave,SIGN(AM323))*POWER(GEslave,SIGN(AN323))*POWER(KOslave,SIGN(AO323))*POWER(KKslave,SIGN(AP323))+AL323*POWER(MUslave,SIGN(AI323))*POWER(KLslave,SIGN(AJ323))*POWER(INslave,SIGN(AK323))*POWER(FFslave,SIGN(AM323))*POWER(GEslave,SIGN(AN323))*POWER(KOslave,SIGN(AO323))*POWER(KKslave,SIGN(AP323))+AM323*POWER(MUslave,SIGN(AI323))*POWER(KLslave,SIGN(AJ323))*POWER(INslave,SIGN(AK323))*POWER(CHslave,SIGN(AL323))*POWER(GEslave,SIGN(AN323))*POWER(KOslave,SIGN(AO323))*POWER(KKslave,SIGN(AP323))+AN323*POWER(MUslave,SIGN(AI323))*POWER(KLslave,SIGN(AJ323))*POWER(INslave,SIGN(AK323))*POWER(CHslave,SIGN(AL323))*POWER(FFslave,SIGN(AM323))*POWER(KOslave,SIGN(AO323))*POWER(KKslave,SIGN(AP323))+AO323*POWER(MUslave,SIGN(AI323))*POWER(KLslave,SIGN(AJ323))*POWER(INslave,SIGN(AK323))*POWER(CHslave,SIGN(AL323))*POWER(FFslave,SIGN(AM323))*POWER(GEslave,SIGN(AN323))*POWER(KKslave,SIGN(AP323))+AP323*POWER(MUslave,SIGN(AI323))*POWER(KLslave,SIGN(AJ323))*POWER(INslave,SIGN(AK323))*POWER(CHslave,SIGN(AL323))*POWER(FFslave,SIGN(AM323))*POWER(GEslave,SIGN(AN323))*POWER(KOslave,SIGN(AO323))</f>
        <v>2304</v>
      </c>
      <c r="AU323" s="233">
        <f>AL323*AN323*KOslave+AL323*GEslave*AO323+CHslave*AN323*AO323</f>
        <v>3456</v>
      </c>
      <c r="AV323" s="221">
        <f>IFERROR(AI323^SIGN(AI323),1)*IFERROR(AJ323^SIGN(AJ323),1)*IFERROR(AK323^SIGN(AK323),1)*IFERROR(AL323^SIGN(AL323),1)*IFERROR(AM323^SIGN(AM323),1)*IFERROR(AN323^SIGN(AN323),1)*IFERROR(AO323^SIGN(AO323),1)*IFERROR(AP323^SIGN(AP323),1)</f>
        <v>1728</v>
      </c>
      <c r="AW323" s="221">
        <f t="shared" ref="AW323:AW325" si="2794">SUM(AT323:AV323)</f>
        <v>7488</v>
      </c>
      <c r="AX323" s="219">
        <f>AQ323*AT323/AW323</f>
        <v>3.6923076923076925</v>
      </c>
      <c r="AY323" s="220">
        <f>AR323*AU323/AW323</f>
        <v>11.076923076923077</v>
      </c>
      <c r="AZ323" s="241">
        <f>AS323*AV323/AW323</f>
        <v>8.3076923076923084</v>
      </c>
      <c r="BA323" s="241">
        <f>SUM(AX323:AZ323)</f>
        <v>23.07692307692308</v>
      </c>
      <c r="BB323" s="252">
        <f t="shared" si="2034"/>
        <v>0</v>
      </c>
      <c r="BC323" s="324">
        <f>BA323-BB323</f>
        <v>23.07692307692308</v>
      </c>
      <c r="BD323" s="43">
        <f>IF(BA323&lt;=0,3,0)+IF(BA323&gt;0,BA323+1,0)*3+IF(BA323&gt;12,BA323-12,0)*3+IF(BA323&gt;13,BA323-13,0)*3+IF(BA323&gt;14,BA323-14,0)*3+IF(BA323&gt;15,BA323-15,0)*3+IF(BA323&gt;16,BA323-16,0)*3+IF(BA323&gt;17,BA323-17,0)*3+IF(BA323&gt;18,BA323-18,0)*3+IF(BA323&gt;19,BA323-19,0)*3+IF(BA323&gt;20,BA323-20,0)*3</f>
        <v>263.30769230769232</v>
      </c>
      <c r="BE323" s="334">
        <f>IF(BB323&lt;=0,3,0)+IF(BB323&gt;0,BB323+1,0)*3+IF(BB323&gt;12,BB323-12,0)*3+IF(BB323&gt;13,BB323-13,0)*3+IF(BB323&gt;14,BB323-14,0)*3+IF(BB323&gt;15,BB323-15,0)*3+IF(BB323&gt;16,BB323-16,0)*3+IF(BB323&gt;17,BB323-17,0)*3+IF(BB323&gt;18,BB323-18,0)*3+IF(BB323&gt;19,BB323-19,0)*3+IF(BB323&gt;20,BB323-20,0)*3</f>
        <v>3</v>
      </c>
      <c r="BF323" s="241">
        <f>IF((BD323-BE323)&gt;0,BD323-BE323,0)</f>
        <v>260.30769230769232</v>
      </c>
      <c r="BG323" s="42">
        <f>IF((BE323-BD323)&gt;0,BE323-BD323,0)</f>
        <v>0</v>
      </c>
      <c r="BH323" s="248"/>
      <c r="BI323" s="302" t="s">
        <v>475</v>
      </c>
      <c r="BJ323" s="43" t="s">
        <v>471</v>
      </c>
      <c r="BK323" s="43" t="s">
        <v>135</v>
      </c>
      <c r="BL323" s="207"/>
      <c r="BM323" s="208"/>
      <c r="BN323" s="208"/>
      <c r="BO323" s="118">
        <f>Konvention_1slave-CHslave</f>
        <v>12</v>
      </c>
      <c r="BP323" s="208"/>
      <c r="BQ323" s="118">
        <f>Konvention_1slave-GEslave</f>
        <v>12</v>
      </c>
      <c r="BR323" s="170">
        <f>Konvention_1slave-KOslave</f>
        <v>12</v>
      </c>
      <c r="BS323" s="209"/>
      <c r="BT323" s="220">
        <f>(BL323+BM323+BN323+BO323+BP323+BQ323+BR323+BS323)/3</f>
        <v>12</v>
      </c>
      <c r="BU323" s="220">
        <f>2*BT323</f>
        <v>24</v>
      </c>
      <c r="BV323" s="221">
        <f>3*BT323</f>
        <v>36</v>
      </c>
      <c r="BW323" s="236">
        <f>BL323*POWER(KLslave,SIGN(BM323))*POWER(INslave,SIGN(BN323))*POWER(CHslave,SIGN(BO323))*POWER(FFslave,SIGN(BP323))*POWER(GEslave,SIGN(BQ323))*POWER(KOslave,SIGN(BR323))*POWER(KKslave,SIGN(BS323))+BM323*POWER(MUslave,SIGN(BL323))*POWER(INslave,SIGN(BN323))*POWER(CHslave,SIGN(BO323))*POWER(FFslave,SIGN(BP323))*POWER(GEslave,SIGN(BQ323))*POWER(KOslave,SIGN(BR323))*POWER(KKslave,SIGN(BS323))+BN323*POWER(MUslave,SIGN(BL323))*POWER(KLslave,SIGN(BM323))*POWER(CHslave,SIGN(BO323))*POWER(FFslave,SIGN(BP323))*POWER(GEslave,SIGN(BQ323))*POWER(KOslave,SIGN(BR323))*POWER(KKslave,SIGN(BS323))+BO323*POWER(MUslave,SIGN(BL323))*POWER(KLslave,SIGN(BM323))*POWER(INslave,SIGN(BN323))*POWER(FFslave,SIGN(BP323))*POWER(GEslave,SIGN(BQ323))*POWER(KOslave,SIGN(BR323))*POWER(KKslave,SIGN(BS323))+BP323*POWER(MUslave,SIGN(BL323))*POWER(KLslave,SIGN(BM323))*POWER(INslave,SIGN(BN323))*POWER(CHslave,SIGN(BO323))*POWER(GEslave,SIGN(BQ323))*POWER(KOslave,SIGN(BR323))*POWER(KKslave,SIGN(BS323))+BQ323*POWER(MUslave,SIGN(BL323))*POWER(KLslave,SIGN(BM323))*POWER(INslave,SIGN(BN323))*POWER(CHslave,SIGN(BO323))*POWER(FFslave,SIGN(BP323))*POWER(KOslave,SIGN(BR323))*POWER(KKslave,SIGN(BS323))+BR323*POWER(MUslave,SIGN(BL323))*POWER(KLslave,SIGN(BM323))*POWER(INslave,SIGN(BN323))*POWER(CHslave,SIGN(BO323))*POWER(FFslave,SIGN(BP323))*POWER(GEslave,SIGN(BQ323))*POWER(KKslave,SIGN(BS323))+BS323*POWER(MUslave,SIGN(BL323))*POWER(KLslave,SIGN(BM323))*POWER(INslave,SIGN(BN323))*POWER(CHslave,SIGN(BO323))*POWER(FFslave,SIGN(BP323))*POWER(GEslave,SIGN(BQ323))*POWER(KOslave,SIGN(BR323))</f>
        <v>2304</v>
      </c>
      <c r="BX323" s="233">
        <f>BO323*BQ323*KOslave+BO323*GEslave*BR323+CHslave*BQ323*BR323</f>
        <v>3456</v>
      </c>
      <c r="BY323" s="221">
        <f>IFERROR(BL323^SIGN(BL323),1)*IFERROR(BM323^SIGN(BM323),1)*IFERROR(BN323^SIGN(BN323),1)*IFERROR(BO323^SIGN(BO323),1)*IFERROR(BP323^SIGN(BP323),1)*IFERROR(BQ323^SIGN(BQ323),1)*IFERROR(BR323^SIGN(BR323),1)*IFERROR(BS323^SIGN(BS323),1)</f>
        <v>1728</v>
      </c>
      <c r="BZ323" s="221">
        <f t="shared" ref="BZ323:BZ325" si="2795">SUM(BW323:BY323)</f>
        <v>7488</v>
      </c>
      <c r="CA323" s="219">
        <f>BT323*BW323/BZ323</f>
        <v>3.6923076923076925</v>
      </c>
      <c r="CB323" s="220">
        <f>BU323*BX323/BZ323</f>
        <v>11.076923076923077</v>
      </c>
      <c r="CC323" s="241">
        <f>BV323*BY323/BZ323</f>
        <v>8.3076923076923084</v>
      </c>
      <c r="CD323" s="241">
        <f>SUM(CA323:CC323)</f>
        <v>23.07692307692308</v>
      </c>
      <c r="CE323" s="252">
        <f t="shared" si="1833"/>
        <v>0</v>
      </c>
      <c r="CF323" s="324">
        <f>CD323-CE323</f>
        <v>23.07692307692308</v>
      </c>
      <c r="CG323" s="43">
        <f>IF(CD323&lt;=0,3,0)+IF(CD323&gt;0,CD323+1,0)*3+IF(CD323&gt;12,CD323-12,0)*3+IF(CD323&gt;13,CD323-13,0)*3+IF(CD323&gt;14,CD323-14,0)*3+IF(CD323&gt;15,CD323-15,0)*3+IF(CD323&gt;16,CD323-16,0)*3+IF(CD323&gt;17,CD323-17,0)*3+IF(CD323&gt;18,CD323-18,0)*3+IF(CD323&gt;19,CD323-19,0)*3+IF(CD323&gt;20,CD323-20,0)*3</f>
        <v>263.30769230769232</v>
      </c>
      <c r="CH323" s="334">
        <f>IF(CE323&lt;=0,3,0)+IF(CE323&gt;0,CE323+1,0)*3+IF(CE323&gt;12,CE323-12,0)*3+IF(CE323&gt;13,CE323-13,0)*3+IF(CE323&gt;14,CE323-14,0)*3+IF(CE323&gt;15,CE323-15,0)*3+IF(CE323&gt;16,CE323-16,0)*3+IF(CE323&gt;17,CE323-17,0)*3+IF(CE323&gt;18,CE323-18,0)*3+IF(CE323&gt;19,CE323-19,0)*3+IF(CE323&gt;20,CE323-20,0)*3</f>
        <v>3</v>
      </c>
      <c r="CI323" s="241">
        <f>IF((CG323-CH323)&gt;0,CG323-CH323,0)</f>
        <v>260.30769230769232</v>
      </c>
      <c r="CJ323" s="42">
        <f>IF((CH323-CG323)&gt;0,CH323-CG323,0)</f>
        <v>0</v>
      </c>
      <c r="CK323" s="248"/>
      <c r="CL323" s="302" t="s">
        <v>475</v>
      </c>
      <c r="CM323" s="43" t="s">
        <v>471</v>
      </c>
      <c r="CN323" s="43" t="s">
        <v>135</v>
      </c>
      <c r="CO323" s="207"/>
      <c r="CP323" s="208"/>
      <c r="CQ323" s="208"/>
      <c r="CR323" s="118">
        <f>Konvention_1slave-CHslave</f>
        <v>12</v>
      </c>
      <c r="CS323" s="208"/>
      <c r="CT323" s="118">
        <f>Konvention_1slave-GEslave</f>
        <v>12</v>
      </c>
      <c r="CU323" s="170">
        <f>Konvention_1slave-KOslave</f>
        <v>12</v>
      </c>
      <c r="CV323" s="209"/>
      <c r="CW323" s="220">
        <f>(CO323+CP323+CQ323+CR323+CS323+CT323+CU323+CV323)/3</f>
        <v>12</v>
      </c>
      <c r="CX323" s="220">
        <f>2*CW323</f>
        <v>24</v>
      </c>
      <c r="CY323" s="221">
        <f>3*CW323</f>
        <v>36</v>
      </c>
      <c r="CZ323" s="236">
        <f>CO323*POWER(KLslave,SIGN(CP323))*POWER(INslave,SIGN(CQ323))*POWER(CHslave,SIGN(CR323))*POWER(FFslave,SIGN(CS323))*POWER(GEslave,SIGN(CT323))*POWER(KOslave,SIGN(CU323))*POWER(KKslave,SIGN(CV323))+CP323*POWER(MUslave,SIGN(CO323))*POWER(INslave,SIGN(CQ323))*POWER(CHslave,SIGN(CR323))*POWER(FFslave,SIGN(CS323))*POWER(GEslave,SIGN(CT323))*POWER(KOslave,SIGN(CU323))*POWER(KKslave,SIGN(CV323))+CQ323*POWER(MUslave,SIGN(CO323))*POWER(KLslave,SIGN(CP323))*POWER(CHslave,SIGN(CR323))*POWER(FFslave,SIGN(CS323))*POWER(GEslave,SIGN(CT323))*POWER(KOslave,SIGN(CU323))*POWER(KKslave,SIGN(CV323))+CR323*POWER(MUslave,SIGN(CO323))*POWER(KLslave,SIGN(CP323))*POWER(INslave,SIGN(CQ323))*POWER(FFslave,SIGN(CS323))*POWER(GEslave,SIGN(CT323))*POWER(KOslave,SIGN(CU323))*POWER(KKslave,SIGN(CV323))+CS323*POWER(MUslave,SIGN(CO323))*POWER(KLslave,SIGN(CP323))*POWER(INslave,SIGN(CQ323))*POWER(CHslave,SIGN(CR323))*POWER(GEslave,SIGN(CT323))*POWER(KOslave,SIGN(CU323))*POWER(KKslave,SIGN(CV323))+CT323*POWER(MUslave,SIGN(CO323))*POWER(KLslave,SIGN(CP323))*POWER(INslave,SIGN(CQ323))*POWER(CHslave,SIGN(CR323))*POWER(FFslave,SIGN(CS323))*POWER(KOslave,SIGN(CU323))*POWER(KKslave,SIGN(CV323))+CU323*POWER(MUslave,SIGN(CO323))*POWER(KLslave,SIGN(CP323))*POWER(INslave,SIGN(CQ323))*POWER(CHslave,SIGN(CR323))*POWER(FFslave,SIGN(CS323))*POWER(GEslave,SIGN(CT323))*POWER(KKslave,SIGN(CV323))+CV323*POWER(MUslave,SIGN(CO323))*POWER(KLslave,SIGN(CP323))*POWER(INslave,SIGN(CQ323))*POWER(CHslave,SIGN(CR323))*POWER(FFslave,SIGN(CS323))*POWER(GEslave,SIGN(CT323))*POWER(KOslave,SIGN(CU323))</f>
        <v>2304</v>
      </c>
      <c r="DA323" s="233">
        <f>CR323*CT323*KOslave+CR323*GEslave*CU323+CHslave*CT323*CU323</f>
        <v>3456</v>
      </c>
      <c r="DB323" s="221">
        <f>IFERROR(CO323^SIGN(CO323),1)*IFERROR(CP323^SIGN(CP323),1)*IFERROR(CQ323^SIGN(CQ323),1)*IFERROR(CR323^SIGN(CR323),1)*IFERROR(CS323^SIGN(CS323),1)*IFERROR(CT323^SIGN(CT323),1)*IFERROR(CU323^SIGN(CU323),1)*IFERROR(CV323^SIGN(CV323),1)</f>
        <v>1728</v>
      </c>
      <c r="DC323" s="221">
        <f t="shared" ref="DC323:DC325" si="2796">SUM(CZ323:DB323)</f>
        <v>7488</v>
      </c>
      <c r="DD323" s="219">
        <f>CW323*CZ323/DC323</f>
        <v>3.6923076923076925</v>
      </c>
      <c r="DE323" s="220">
        <f>CX323*DA323/DC323</f>
        <v>11.076923076923077</v>
      </c>
      <c r="DF323" s="241">
        <f>CY323*DB323/DC323</f>
        <v>8.3076923076923084</v>
      </c>
      <c r="DG323" s="241">
        <f>SUM(DD323:DF323)</f>
        <v>23.07692307692308</v>
      </c>
      <c r="DH323" s="252">
        <f t="shared" si="1848"/>
        <v>0</v>
      </c>
      <c r="DI323" s="324">
        <f>DG323-DH323</f>
        <v>23.07692307692308</v>
      </c>
      <c r="DJ323" s="43">
        <f>IF(DG323&lt;=0,3,0)+IF(DG323&gt;0,DG323+1,0)*3+IF(DG323&gt;12,DG323-12,0)*3+IF(DG323&gt;13,DG323-13,0)*3+IF(DG323&gt;14,DG323-14,0)*3+IF(DG323&gt;15,DG323-15,0)*3+IF(DG323&gt;16,DG323-16,0)*3+IF(DG323&gt;17,DG323-17,0)*3+IF(DG323&gt;18,DG323-18,0)*3+IF(DG323&gt;19,DG323-19,0)*3+IF(DG323&gt;20,DG323-20,0)*3</f>
        <v>263.30769230769232</v>
      </c>
      <c r="DK323" s="334">
        <f>IF(DH323&lt;=0,3,0)+IF(DH323&gt;0,DH323+1,0)*3+IF(DH323&gt;12,DH323-12,0)*3+IF(DH323&gt;13,DH323-13,0)*3+IF(DH323&gt;14,DH323-14,0)*3+IF(DH323&gt;15,DH323-15,0)*3+IF(DH323&gt;16,DH323-16,0)*3+IF(DH323&gt;17,DH323-17,0)*3+IF(DH323&gt;18,DH323-18,0)*3+IF(DH323&gt;19,DH323-19,0)*3+IF(DH323&gt;20,DH323-20,0)*3</f>
        <v>3</v>
      </c>
      <c r="DL323" s="241">
        <f>IF((DJ323-DK323)&gt;0,DJ323-DK323,0)</f>
        <v>260.30769230769232</v>
      </c>
      <c r="DM323" s="42">
        <f>IF((DK323-DJ323)&gt;0,DK323-DJ323,0)</f>
        <v>0</v>
      </c>
      <c r="DN323" s="248"/>
      <c r="DO323" s="302" t="s">
        <v>475</v>
      </c>
      <c r="DP323" s="43" t="s">
        <v>471</v>
      </c>
      <c r="DQ323" s="43" t="s">
        <v>135</v>
      </c>
      <c r="DR323" s="207"/>
      <c r="DS323" s="208"/>
      <c r="DT323" s="208"/>
      <c r="DU323" s="118">
        <f>Konvention_1slave-CHslave</f>
        <v>12</v>
      </c>
      <c r="DV323" s="208"/>
      <c r="DW323" s="118">
        <f>Konvention_1slave-GEslave</f>
        <v>12</v>
      </c>
      <c r="DX323" s="170">
        <f>Konvention_1slave-KOslave</f>
        <v>12</v>
      </c>
      <c r="DY323" s="209"/>
      <c r="DZ323" s="220">
        <f>(DR323+DS323+DT323+DU323+DV323+DW323+DX323+DY323)/3</f>
        <v>12</v>
      </c>
      <c r="EA323" s="220">
        <f>2*DZ323</f>
        <v>24</v>
      </c>
      <c r="EB323" s="221">
        <f>3*DZ323</f>
        <v>36</v>
      </c>
      <c r="EC323" s="236">
        <f>DR323*POWER(KLslave,SIGN(DS323))*POWER(INslave,SIGN(DT323))*POWER(CHslave,SIGN(DU323))*POWER(FFslave,SIGN(DV323))*POWER(GEslave,SIGN(DW323))*POWER(KOslave,SIGN(DX323))*POWER(KKslave,SIGN(DY323))+DS323*POWER(MUslave,SIGN(DR323))*POWER(INslave,SIGN(DT323))*POWER(CHslave,SIGN(DU323))*POWER(FFslave,SIGN(DV323))*POWER(GEslave,SIGN(DW323))*POWER(KOslave,SIGN(DX323))*POWER(KKslave,SIGN(DY323))+DT323*POWER(MUslave,SIGN(DR323))*POWER(KLslave,SIGN(DS323))*POWER(CHslave,SIGN(DU323))*POWER(FFslave,SIGN(DV323))*POWER(GEslave,SIGN(DW323))*POWER(KOslave,SIGN(DX323))*POWER(KKslave,SIGN(DY323))+DU323*POWER(MUslave,SIGN(DR323))*POWER(KLslave,SIGN(DS323))*POWER(INslave,SIGN(DT323))*POWER(FFslave,SIGN(DV323))*POWER(GEslave,SIGN(DW323))*POWER(KOslave,SIGN(DX323))*POWER(KKslave,SIGN(DY323))+DV323*POWER(MUslave,SIGN(DR323))*POWER(KLslave,SIGN(DS323))*POWER(INslave,SIGN(DT323))*POWER(CHslave,SIGN(DU323))*POWER(GEslave,SIGN(DW323))*POWER(KOslave,SIGN(DX323))*POWER(KKslave,SIGN(DY323))+DW323*POWER(MUslave,SIGN(DR323))*POWER(KLslave,SIGN(DS323))*POWER(INslave,SIGN(DT323))*POWER(CHslave,SIGN(DU323))*POWER(FFslave,SIGN(DV323))*POWER(KOslave,SIGN(DX323))*POWER(KKslave,SIGN(DY323))+DX323*POWER(MUslave,SIGN(DR323))*POWER(KLslave,SIGN(DS323))*POWER(INslave,SIGN(DT323))*POWER(CHslave,SIGN(DU323))*POWER(FFslave,SIGN(DV323))*POWER(GEslave,SIGN(DW323))*POWER(KKslave,SIGN(DY323))+DY323*POWER(MUslave,SIGN(DR323))*POWER(KLslave,SIGN(DS323))*POWER(INslave,SIGN(DT323))*POWER(CHslave,SIGN(DU323))*POWER(FFslave,SIGN(DV323))*POWER(GEslave,SIGN(DW323))*POWER(KOslave,SIGN(DX323))</f>
        <v>2304</v>
      </c>
      <c r="ED323" s="233">
        <f>DU323*DW323*KOslave+DU323*GEslave*DX323+CHslave*DW323*DX323</f>
        <v>3456</v>
      </c>
      <c r="EE323" s="221">
        <f>IFERROR(DR323^SIGN(DR323),1)*IFERROR(DS323^SIGN(DS323),1)*IFERROR(DT323^SIGN(DT323),1)*IFERROR(DU323^SIGN(DU323),1)*IFERROR(DV323^SIGN(DV323),1)*IFERROR(DW323^SIGN(DW323),1)*IFERROR(DX323^SIGN(DX323),1)*IFERROR(DY323^SIGN(DY323),1)</f>
        <v>1728</v>
      </c>
      <c r="EF323" s="221">
        <f t="shared" ref="EF323:EF325" si="2797">SUM(EC323:EE323)</f>
        <v>7488</v>
      </c>
      <c r="EG323" s="219">
        <f>DZ323*EC323/EF323</f>
        <v>3.6923076923076925</v>
      </c>
      <c r="EH323" s="220">
        <f>EA323*ED323/EF323</f>
        <v>11.076923076923077</v>
      </c>
      <c r="EI323" s="241">
        <f>EB323*EE323/EF323</f>
        <v>8.3076923076923084</v>
      </c>
      <c r="EJ323" s="241">
        <f>SUM(EG323:EI323)</f>
        <v>23.07692307692308</v>
      </c>
      <c r="EK323" s="252">
        <f t="shared" si="1863"/>
        <v>0</v>
      </c>
      <c r="EL323" s="324">
        <f>EJ323-EK323</f>
        <v>23.07692307692308</v>
      </c>
      <c r="EM323" s="43">
        <f>IF(EJ323&lt;=0,3,0)+IF(EJ323&gt;0,EJ323+1,0)*3+IF(EJ323&gt;12,EJ323-12,0)*3+IF(EJ323&gt;13,EJ323-13,0)*3+IF(EJ323&gt;14,EJ323-14,0)*3+IF(EJ323&gt;15,EJ323-15,0)*3+IF(EJ323&gt;16,EJ323-16,0)*3+IF(EJ323&gt;17,EJ323-17,0)*3+IF(EJ323&gt;18,EJ323-18,0)*3+IF(EJ323&gt;19,EJ323-19,0)*3+IF(EJ323&gt;20,EJ323-20,0)*3</f>
        <v>263.30769230769232</v>
      </c>
      <c r="EN323" s="334">
        <f>IF(EK323&lt;=0,3,0)+IF(EK323&gt;0,EK323+1,0)*3+IF(EK323&gt;12,EK323-12,0)*3+IF(EK323&gt;13,EK323-13,0)*3+IF(EK323&gt;14,EK323-14,0)*3+IF(EK323&gt;15,EK323-15,0)*3+IF(EK323&gt;16,EK323-16,0)*3+IF(EK323&gt;17,EK323-17,0)*3+IF(EK323&gt;18,EK323-18,0)*3+IF(EK323&gt;19,EK323-19,0)*3+IF(EK323&gt;20,EK323-20,0)*3</f>
        <v>3</v>
      </c>
      <c r="EO323" s="241">
        <f>IF((EM323-EN323)&gt;0,EM323-EN323,0)</f>
        <v>260.30769230769232</v>
      </c>
      <c r="EP323" s="42">
        <f>IF((EN323-EM323)&gt;0,EN323-EM323,0)</f>
        <v>0</v>
      </c>
      <c r="EQ323" s="248"/>
      <c r="ER323" s="302" t="s">
        <v>475</v>
      </c>
      <c r="ES323" s="43" t="s">
        <v>471</v>
      </c>
      <c r="ET323" s="43" t="s">
        <v>135</v>
      </c>
      <c r="EU323" s="207"/>
      <c r="EV323" s="208"/>
      <c r="EW323" s="208"/>
      <c r="EX323" s="118">
        <f>Konvention_1slave-CHslave</f>
        <v>12</v>
      </c>
      <c r="EY323" s="208"/>
      <c r="EZ323" s="118">
        <f>Konvention_1slave-GEslave</f>
        <v>12</v>
      </c>
      <c r="FA323" s="170">
        <f>Konvention_1slave-KOslave</f>
        <v>12</v>
      </c>
      <c r="FB323" s="209"/>
      <c r="FC323" s="220">
        <f>(EU323+EV323+EW323+EX323+EY323+EZ323+FA323+FB323)/3</f>
        <v>12</v>
      </c>
      <c r="FD323" s="220">
        <f>2*FC323</f>
        <v>24</v>
      </c>
      <c r="FE323" s="221">
        <f>3*FC323</f>
        <v>36</v>
      </c>
      <c r="FF323" s="236">
        <f>EU323*POWER(KLslave,SIGN(EV323))*POWER(INslave,SIGN(EW323))*POWER(CHslave,SIGN(EX323))*POWER(FFslave,SIGN(EY323))*POWER(GEslave,SIGN(EZ323))*POWER(KOslave,SIGN(FA323))*POWER(KKslave,SIGN(FB323))+EV323*POWER(MUslave,SIGN(EU323))*POWER(INslave,SIGN(EW323))*POWER(CHslave,SIGN(EX323))*POWER(FFslave,SIGN(EY323))*POWER(GEslave,SIGN(EZ323))*POWER(KOslave,SIGN(FA323))*POWER(KKslave,SIGN(FB323))+EW323*POWER(MUslave,SIGN(EU323))*POWER(KLslave,SIGN(EV323))*POWER(CHslave,SIGN(EX323))*POWER(FFslave,SIGN(EY323))*POWER(GEslave,SIGN(EZ323))*POWER(KOslave,SIGN(FA323))*POWER(KKslave,SIGN(FB323))+EX323*POWER(MUslave,SIGN(EU323))*POWER(KLslave,SIGN(EV323))*POWER(INslave,SIGN(EW323))*POWER(FFslave,SIGN(EY323))*POWER(GEslave,SIGN(EZ323))*POWER(KOslave,SIGN(FA323))*POWER(KKslave,SIGN(FB323))+EY323*POWER(MUslave,SIGN(EU323))*POWER(KLslave,SIGN(EV323))*POWER(INslave,SIGN(EW323))*POWER(CHslave,SIGN(EX323))*POWER(GEslave,SIGN(EZ323))*POWER(KOslave,SIGN(FA323))*POWER(KKslave,SIGN(FB323))+EZ323*POWER(MUslave,SIGN(EU323))*POWER(KLslave,SIGN(EV323))*POWER(INslave,SIGN(EW323))*POWER(CHslave,SIGN(EX323))*POWER(FFslave,SIGN(EY323))*POWER(KOslave,SIGN(FA323))*POWER(KKslave,SIGN(FB323))+FA323*POWER(MUslave,SIGN(EU323))*POWER(KLslave,SIGN(EV323))*POWER(INslave,SIGN(EW323))*POWER(CHslave,SIGN(EX323))*POWER(FFslave,SIGN(EY323))*POWER(GEslave,SIGN(EZ323))*POWER(KKslave,SIGN(FB323))+FB323*POWER(MUslave,SIGN(EU323))*POWER(KLslave,SIGN(EV323))*POWER(INslave,SIGN(EW323))*POWER(CHslave,SIGN(EX323))*POWER(FFslave,SIGN(EY323))*POWER(GEslave,SIGN(EZ323))*POWER(KOslave,SIGN(FA323))</f>
        <v>2304</v>
      </c>
      <c r="FG323" s="233">
        <f>EX323*EZ323*KOslave+EX323*GEslave*FA323+CHslave*EZ323*FA323</f>
        <v>3456</v>
      </c>
      <c r="FH323" s="221">
        <f>IFERROR(EU323^SIGN(EU323),1)*IFERROR(EV323^SIGN(EV323),1)*IFERROR(EW323^SIGN(EW323),1)*IFERROR(EX323^SIGN(EX323),1)*IFERROR(EY323^SIGN(EY323),1)*IFERROR(EZ323^SIGN(EZ323),1)*IFERROR(FA323^SIGN(FA323),1)*IFERROR(FB323^SIGN(FB323),1)</f>
        <v>1728</v>
      </c>
      <c r="FI323" s="221">
        <f t="shared" ref="FI323:FI325" si="2798">SUM(FF323:FH323)</f>
        <v>7488</v>
      </c>
      <c r="FJ323" s="219">
        <f>FC323*FF323/FI323</f>
        <v>3.6923076923076925</v>
      </c>
      <c r="FK323" s="220">
        <f>FD323*FG323/FI323</f>
        <v>11.076923076923077</v>
      </c>
      <c r="FL323" s="241">
        <f>FE323*FH323/FI323</f>
        <v>8.3076923076923084</v>
      </c>
      <c r="FM323" s="241">
        <f>SUM(FJ323:FL323)</f>
        <v>23.07692307692308</v>
      </c>
      <c r="FN323" s="252">
        <f t="shared" si="1878"/>
        <v>0</v>
      </c>
      <c r="FO323" s="324">
        <f>FM323-FN323</f>
        <v>23.07692307692308</v>
      </c>
      <c r="FP323" s="43">
        <f>IF(FM323&lt;=0,3,0)+IF(FM323&gt;0,FM323+1,0)*3+IF(FM323&gt;12,FM323-12,0)*3+IF(FM323&gt;13,FM323-13,0)*3+IF(FM323&gt;14,FM323-14,0)*3+IF(FM323&gt;15,FM323-15,0)*3+IF(FM323&gt;16,FM323-16,0)*3+IF(FM323&gt;17,FM323-17,0)*3+IF(FM323&gt;18,FM323-18,0)*3+IF(FM323&gt;19,FM323-19,0)*3+IF(FM323&gt;20,FM323-20,0)*3</f>
        <v>263.30769230769232</v>
      </c>
      <c r="FQ323" s="334">
        <f>IF(FN323&lt;=0,3,0)+IF(FN323&gt;0,FN323+1,0)*3+IF(FN323&gt;12,FN323-12,0)*3+IF(FN323&gt;13,FN323-13,0)*3+IF(FN323&gt;14,FN323-14,0)*3+IF(FN323&gt;15,FN323-15,0)*3+IF(FN323&gt;16,FN323-16,0)*3+IF(FN323&gt;17,FN323-17,0)*3+IF(FN323&gt;18,FN323-18,0)*3+IF(FN323&gt;19,FN323-19,0)*3+IF(FN323&gt;20,FN323-20,0)*3</f>
        <v>3</v>
      </c>
      <c r="FR323" s="241">
        <f>IF((FP323-FQ323)&gt;0,FP323-FQ323,0)</f>
        <v>260.30769230769232</v>
      </c>
      <c r="FS323" s="42">
        <f>IF((FQ323-FP323)&gt;0,FQ323-FP323,0)</f>
        <v>0</v>
      </c>
      <c r="FT323" s="248"/>
      <c r="FU323" s="302" t="s">
        <v>475</v>
      </c>
      <c r="FV323" s="43" t="s">
        <v>471</v>
      </c>
      <c r="FW323" s="43" t="s">
        <v>135</v>
      </c>
      <c r="FX323" s="207"/>
      <c r="FY323" s="208"/>
      <c r="FZ323" s="208"/>
      <c r="GA323" s="118">
        <f>Konvention_1slave-CHslave</f>
        <v>12</v>
      </c>
      <c r="GB323" s="208"/>
      <c r="GC323" s="118">
        <f>Konvention_1slave-GEslave</f>
        <v>12</v>
      </c>
      <c r="GD323" s="170">
        <f>Konvention_1slave-KOslave</f>
        <v>12</v>
      </c>
      <c r="GE323" s="209"/>
      <c r="GF323" s="220">
        <f>(FX323+FY323+FZ323+GA323+GB323+GC323+GD323+GE323)/3</f>
        <v>12</v>
      </c>
      <c r="GG323" s="220">
        <f>2*GF323</f>
        <v>24</v>
      </c>
      <c r="GH323" s="221">
        <f>3*GF323</f>
        <v>36</v>
      </c>
      <c r="GI323" s="236">
        <f>FX323*POWER(KLslave,SIGN(FY323))*POWER(INslave,SIGN(FZ323))*POWER(CHslave,SIGN(GA323))*POWER(FFslave,SIGN(GB323))*POWER(GEslave,SIGN(GC323))*POWER(KOslave,SIGN(GD323))*POWER(KKslave,SIGN(GE323))+FY323*POWER(MUslave,SIGN(FX323))*POWER(INslave,SIGN(FZ323))*POWER(CHslave,SIGN(GA323))*POWER(FFslave,SIGN(GB323))*POWER(GEslave,SIGN(GC323))*POWER(KOslave,SIGN(GD323))*POWER(KKslave,SIGN(GE323))+FZ323*POWER(MUslave,SIGN(FX323))*POWER(KLslave,SIGN(FY323))*POWER(CHslave,SIGN(GA323))*POWER(FFslave,SIGN(GB323))*POWER(GEslave,SIGN(GC323))*POWER(KOslave,SIGN(GD323))*POWER(KKslave,SIGN(GE323))+GA323*POWER(MUslave,SIGN(FX323))*POWER(KLslave,SIGN(FY323))*POWER(INslave,SIGN(FZ323))*POWER(FFslave,SIGN(GB323))*POWER(GEslave,SIGN(GC323))*POWER(KOslave,SIGN(GD323))*POWER(KKslave,SIGN(GE323))+GB323*POWER(MUslave,SIGN(FX323))*POWER(KLslave,SIGN(FY323))*POWER(INslave,SIGN(FZ323))*POWER(CHslave,SIGN(GA323))*POWER(GEslave,SIGN(GC323))*POWER(KOslave,SIGN(GD323))*POWER(KKslave,SIGN(GE323))+GC323*POWER(MUslave,SIGN(FX323))*POWER(KLslave,SIGN(FY323))*POWER(INslave,SIGN(FZ323))*POWER(CHslave,SIGN(GA323))*POWER(FFslave,SIGN(GB323))*POWER(KOslave,SIGN(GD323))*POWER(KKslave,SIGN(GE323))+GD323*POWER(MUslave,SIGN(FX323))*POWER(KLslave,SIGN(FY323))*POWER(INslave,SIGN(FZ323))*POWER(CHslave,SIGN(GA323))*POWER(FFslave,SIGN(GB323))*POWER(GEslave,SIGN(GC323))*POWER(KKslave,SIGN(GE323))+GE323*POWER(MUslave,SIGN(FX323))*POWER(KLslave,SIGN(FY323))*POWER(INslave,SIGN(FZ323))*POWER(CHslave,SIGN(GA323))*POWER(FFslave,SIGN(GB323))*POWER(GEslave,SIGN(GC323))*POWER(KOslave,SIGN(GD323))</f>
        <v>2304</v>
      </c>
      <c r="GJ323" s="233">
        <f>GA323*GC323*KOslave+GA323*GEslave*GD323+CHslave*GC323*GD323</f>
        <v>3456</v>
      </c>
      <c r="GK323" s="221">
        <f>IFERROR(FX323^SIGN(FX323),1)*IFERROR(FY323^SIGN(FY323),1)*IFERROR(FZ323^SIGN(FZ323),1)*IFERROR(GA323^SIGN(GA323),1)*IFERROR(GB323^SIGN(GB323),1)*IFERROR(GC323^SIGN(GC323),1)*IFERROR(GD323^SIGN(GD323),1)*IFERROR(GE323^SIGN(GE323),1)</f>
        <v>1728</v>
      </c>
      <c r="GL323" s="221">
        <f t="shared" ref="GL323:GL325" si="2799">SUM(GI323:GK323)</f>
        <v>7488</v>
      </c>
      <c r="GM323" s="219">
        <f>GF323*GI323/GL323</f>
        <v>3.6923076923076925</v>
      </c>
      <c r="GN323" s="220">
        <f>GG323*GJ323/GL323</f>
        <v>11.076923076923077</v>
      </c>
      <c r="GO323" s="241">
        <f>GH323*GK323/GL323</f>
        <v>8.3076923076923084</v>
      </c>
      <c r="GP323" s="241">
        <f>SUM(GM323:GO323)</f>
        <v>23.07692307692308</v>
      </c>
      <c r="GQ323" s="252">
        <f t="shared" si="1893"/>
        <v>0</v>
      </c>
      <c r="GR323" s="324">
        <f>GP323-GQ323</f>
        <v>23.07692307692308</v>
      </c>
      <c r="GS323" s="43">
        <f>IF(GP323&lt;=0,3,0)+IF(GP323&gt;0,GP323+1,0)*3+IF(GP323&gt;12,GP323-12,0)*3+IF(GP323&gt;13,GP323-13,0)*3+IF(GP323&gt;14,GP323-14,0)*3+IF(GP323&gt;15,GP323-15,0)*3+IF(GP323&gt;16,GP323-16,0)*3+IF(GP323&gt;17,GP323-17,0)*3+IF(GP323&gt;18,GP323-18,0)*3+IF(GP323&gt;19,GP323-19,0)*3+IF(GP323&gt;20,GP323-20,0)*3</f>
        <v>263.30769230769232</v>
      </c>
      <c r="GT323" s="334">
        <f>IF(GQ323&lt;=0,3,0)+IF(GQ323&gt;0,GQ323+1,0)*3+IF(GQ323&gt;12,GQ323-12,0)*3+IF(GQ323&gt;13,GQ323-13,0)*3+IF(GQ323&gt;14,GQ323-14,0)*3+IF(GQ323&gt;15,GQ323-15,0)*3+IF(GQ323&gt;16,GQ323-16,0)*3+IF(GQ323&gt;17,GQ323-17,0)*3+IF(GQ323&gt;18,GQ323-18,0)*3+IF(GQ323&gt;19,GQ323-19,0)*3+IF(GQ323&gt;20,GQ323-20,0)*3</f>
        <v>3</v>
      </c>
      <c r="GU323" s="241">
        <f>IF((GS323-GT323)&gt;0,GS323-GT323,0)</f>
        <v>260.30769230769232</v>
      </c>
      <c r="GV323" s="42">
        <f>IF((GT323-GS323)&gt;0,GT323-GS323,0)</f>
        <v>0</v>
      </c>
      <c r="GW323" s="248"/>
      <c r="GX323" s="302" t="s">
        <v>475</v>
      </c>
      <c r="GY323" s="43" t="s">
        <v>471</v>
      </c>
      <c r="GZ323" s="43" t="s">
        <v>135</v>
      </c>
      <c r="HA323" s="207"/>
      <c r="HB323" s="208"/>
      <c r="HC323" s="208"/>
      <c r="HD323" s="118">
        <f>Konvention_1slave-CHslave</f>
        <v>12</v>
      </c>
      <c r="HE323" s="208"/>
      <c r="HF323" s="118">
        <f>Konvention_1slave-GEslave</f>
        <v>12</v>
      </c>
      <c r="HG323" s="170">
        <f>Konvention_1slave-KOslave</f>
        <v>12</v>
      </c>
      <c r="HH323" s="209"/>
      <c r="HI323" s="220">
        <f>(HA323+HB323+HC323+HD323+HE323+HF323+HG323+HH323)/3</f>
        <v>12</v>
      </c>
      <c r="HJ323" s="220">
        <f>2*HI323</f>
        <v>24</v>
      </c>
      <c r="HK323" s="221">
        <f>3*HI323</f>
        <v>36</v>
      </c>
      <c r="HL323" s="236">
        <f>HA323*POWER(KLslave,SIGN(HB323))*POWER(INslave,SIGN(HC323))*POWER(CHslave,SIGN(HD323))*POWER(FFslave,SIGN(HE323))*POWER(GEslave,SIGN(HF323))*POWER(KOslave,SIGN(HG323))*POWER(KKslave,SIGN(HH323))+HB323*POWER(MUslave,SIGN(HA323))*POWER(INslave,SIGN(HC323))*POWER(CHslave,SIGN(HD323))*POWER(FFslave,SIGN(HE323))*POWER(GEslave,SIGN(HF323))*POWER(KOslave,SIGN(HG323))*POWER(KKslave,SIGN(HH323))+HC323*POWER(MUslave,SIGN(HA323))*POWER(KLslave,SIGN(HB323))*POWER(CHslave,SIGN(HD323))*POWER(FFslave,SIGN(HE323))*POWER(GEslave,SIGN(HF323))*POWER(KOslave,SIGN(HG323))*POWER(KKslave,SIGN(HH323))+HD323*POWER(MUslave,SIGN(HA323))*POWER(KLslave,SIGN(HB323))*POWER(INslave,SIGN(HC323))*POWER(FFslave,SIGN(HE323))*POWER(GEslave,SIGN(HF323))*POWER(KOslave,SIGN(HG323))*POWER(KKslave,SIGN(HH323))+HE323*POWER(MUslave,SIGN(HA323))*POWER(KLslave,SIGN(HB323))*POWER(INslave,SIGN(HC323))*POWER(CHslave,SIGN(HD323))*POWER(GEslave,SIGN(HF323))*POWER(KOslave,SIGN(HG323))*POWER(KKslave,SIGN(HH323))+HF323*POWER(MUslave,SIGN(HA323))*POWER(KLslave,SIGN(HB323))*POWER(INslave,SIGN(HC323))*POWER(CHslave,SIGN(HD323))*POWER(FFslave,SIGN(HE323))*POWER(KOslave,SIGN(HG323))*POWER(KKslave,SIGN(HH323))+HG323*POWER(MUslave,SIGN(HA323))*POWER(KLslave,SIGN(HB323))*POWER(INslave,SIGN(HC323))*POWER(CHslave,SIGN(HD323))*POWER(FFslave,SIGN(HE323))*POWER(GEslave,SIGN(HF323))*POWER(KKslave,SIGN(HH323))+HH323*POWER(MUslave,SIGN(HA323))*POWER(KLslave,SIGN(HB323))*POWER(INslave,SIGN(HC323))*POWER(CHslave,SIGN(HD323))*POWER(FFslave,SIGN(HE323))*POWER(GEslave,SIGN(HF323))*POWER(KOslave,SIGN(HG323))</f>
        <v>2304</v>
      </c>
      <c r="HM323" s="233">
        <f>HD323*HF323*KOslave+HD323*GEslave*HG323+CHslave*HF323*HG323</f>
        <v>3456</v>
      </c>
      <c r="HN323" s="221">
        <f>IFERROR(HA323^SIGN(HA323),1)*IFERROR(HB323^SIGN(HB323),1)*IFERROR(HC323^SIGN(HC323),1)*IFERROR(HD323^SIGN(HD323),1)*IFERROR(HE323^SIGN(HE323),1)*IFERROR(HF323^SIGN(HF323),1)*IFERROR(HG323^SIGN(HG323),1)*IFERROR(HH323^SIGN(HH323),1)</f>
        <v>1728</v>
      </c>
      <c r="HO323" s="221">
        <f t="shared" ref="HO323:HO325" si="2800">SUM(HL323:HN323)</f>
        <v>7488</v>
      </c>
      <c r="HP323" s="219">
        <f>HI323*HL323/HO323</f>
        <v>3.6923076923076925</v>
      </c>
      <c r="HQ323" s="220">
        <f>HJ323*HM323/HO323</f>
        <v>11.076923076923077</v>
      </c>
      <c r="HR323" s="241">
        <f>HK323*HN323/HO323</f>
        <v>8.3076923076923084</v>
      </c>
      <c r="HS323" s="241">
        <f>SUM(HP323:HR323)</f>
        <v>23.07692307692308</v>
      </c>
      <c r="HT323" s="252">
        <f t="shared" si="1908"/>
        <v>0</v>
      </c>
      <c r="HU323" s="324">
        <f>HS323-HT323</f>
        <v>23.07692307692308</v>
      </c>
      <c r="HV323" s="43">
        <f>IF(HS323&lt;=0,3,0)+IF(HS323&gt;0,HS323+1,0)*3+IF(HS323&gt;12,HS323-12,0)*3+IF(HS323&gt;13,HS323-13,0)*3+IF(HS323&gt;14,HS323-14,0)*3+IF(HS323&gt;15,HS323-15,0)*3+IF(HS323&gt;16,HS323-16,0)*3+IF(HS323&gt;17,HS323-17,0)*3+IF(HS323&gt;18,HS323-18,0)*3+IF(HS323&gt;19,HS323-19,0)*3+IF(HS323&gt;20,HS323-20,0)*3</f>
        <v>263.30769230769232</v>
      </c>
      <c r="HW323" s="334">
        <f>IF(HT323&lt;=0,3,0)+IF(HT323&gt;0,HT323+1,0)*3+IF(HT323&gt;12,HT323-12,0)*3+IF(HT323&gt;13,HT323-13,0)*3+IF(HT323&gt;14,HT323-14,0)*3+IF(HT323&gt;15,HT323-15,0)*3+IF(HT323&gt;16,HT323-16,0)*3+IF(HT323&gt;17,HT323-17,0)*3+IF(HT323&gt;18,HT323-18,0)*3+IF(HT323&gt;19,HT323-19,0)*3+IF(HT323&gt;20,HT323-20,0)*3</f>
        <v>3</v>
      </c>
      <c r="HX323" s="241">
        <f>IF((HV323-HW323)&gt;0,HV323-HW323,0)</f>
        <v>260.30769230769232</v>
      </c>
      <c r="HY323" s="42">
        <f>IF((HW323-HV323)&gt;0,HW323-HV323,0)</f>
        <v>0</v>
      </c>
      <c r="HZ323" s="248"/>
      <c r="IA323" s="302" t="s">
        <v>475</v>
      </c>
      <c r="IB323" s="43" t="s">
        <v>471</v>
      </c>
      <c r="IC323" s="43" t="s">
        <v>135</v>
      </c>
      <c r="ID323" s="207"/>
      <c r="IE323" s="208"/>
      <c r="IF323" s="208"/>
      <c r="IG323" s="118">
        <f>Konvention_1slave-CHslave</f>
        <v>12</v>
      </c>
      <c r="IH323" s="208"/>
      <c r="II323" s="118">
        <f>Konvention_1slave-GEslave</f>
        <v>12</v>
      </c>
      <c r="IJ323" s="170">
        <f>Konvention_1slave-KOslave</f>
        <v>12</v>
      </c>
      <c r="IK323" s="209"/>
      <c r="IL323" s="220">
        <f>(ID323+IE323+IF323+IG323+IH323+II323+IJ323+IK323)/3</f>
        <v>12</v>
      </c>
      <c r="IM323" s="220">
        <f>2*IL323</f>
        <v>24</v>
      </c>
      <c r="IN323" s="221">
        <f>3*IL323</f>
        <v>36</v>
      </c>
      <c r="IO323" s="236">
        <f>ID323*POWER(KLslave,SIGN(IE323))*POWER(INslave,SIGN(IF323))*POWER(CHslave,SIGN(IG323))*POWER(FFslave,SIGN(IH323))*POWER(GEslave,SIGN(II323))*POWER(KOslave,SIGN(IJ323))*POWER(KKslave,SIGN(IK323))+IE323*POWER(MUslave,SIGN(ID323))*POWER(INslave,SIGN(IF323))*POWER(CHslave,SIGN(IG323))*POWER(FFslave,SIGN(IH323))*POWER(GEslave,SIGN(II323))*POWER(KOslave,SIGN(IJ323))*POWER(KKslave,SIGN(IK323))+IF323*POWER(MUslave,SIGN(ID323))*POWER(KLslave,SIGN(IE323))*POWER(CHslave,SIGN(IG323))*POWER(FFslave,SIGN(IH323))*POWER(GEslave,SIGN(II323))*POWER(KOslave,SIGN(IJ323))*POWER(KKslave,SIGN(IK323))+IG323*POWER(MUslave,SIGN(ID323))*POWER(KLslave,SIGN(IE323))*POWER(INslave,SIGN(IF323))*POWER(FFslave,SIGN(IH323))*POWER(GEslave,SIGN(II323))*POWER(KOslave,SIGN(IJ323))*POWER(KKslave,SIGN(IK323))+IH323*POWER(MUslave,SIGN(ID323))*POWER(KLslave,SIGN(IE323))*POWER(INslave,SIGN(IF323))*POWER(CHslave,SIGN(IG323))*POWER(GEslave,SIGN(II323))*POWER(KOslave,SIGN(IJ323))*POWER(KKslave,SIGN(IK323))+II323*POWER(MUslave,SIGN(ID323))*POWER(KLslave,SIGN(IE323))*POWER(INslave,SIGN(IF323))*POWER(CHslave,SIGN(IG323))*POWER(FFslave,SIGN(IH323))*POWER(KOslave,SIGN(IJ323))*POWER(KKslave,SIGN(IK323))+IJ323*POWER(MUslave,SIGN(ID323))*POWER(KLslave,SIGN(IE323))*POWER(INslave,SIGN(IF323))*POWER(CHslave,SIGN(IG323))*POWER(FFslave,SIGN(IH323))*POWER(GEslave,SIGN(II323))*POWER(KKslave,SIGN(IK323))+IK323*POWER(MUslave,SIGN(ID323))*POWER(KLslave,SIGN(IE323))*POWER(INslave,SIGN(IF323))*POWER(CHslave,SIGN(IG323))*POWER(FFslave,SIGN(IH323))*POWER(GEslave,SIGN(II323))*POWER(KOslave,SIGN(IJ323))</f>
        <v>2304</v>
      </c>
      <c r="IP323" s="233">
        <f>IG323*II323*KOslave+IG323*GEslave*IJ323+CHslave*II323*IJ323</f>
        <v>3456</v>
      </c>
      <c r="IQ323" s="221">
        <f>IFERROR(ID323^SIGN(ID323),1)*IFERROR(IE323^SIGN(IE323),1)*IFERROR(IF323^SIGN(IF323),1)*IFERROR(IG323^SIGN(IG323),1)*IFERROR(IH323^SIGN(IH323),1)*IFERROR(II323^SIGN(II323),1)*IFERROR(IJ323^SIGN(IJ323),1)*IFERROR(IK323^SIGN(IK323),1)</f>
        <v>1728</v>
      </c>
      <c r="IR323" s="221">
        <f t="shared" ref="IR323:IR325" si="2801">SUM(IO323:IQ323)</f>
        <v>7488</v>
      </c>
      <c r="IS323" s="219">
        <f>IL323*IO323/IR323</f>
        <v>3.6923076923076925</v>
      </c>
      <c r="IT323" s="220">
        <f>IM323*IP323/IR323</f>
        <v>11.076923076923077</v>
      </c>
      <c r="IU323" s="241">
        <f>IN323*IQ323/IR323</f>
        <v>8.3076923076923084</v>
      </c>
      <c r="IV323" s="241">
        <f>SUM(IS323:IU323)</f>
        <v>23.07692307692308</v>
      </c>
      <c r="IW323" s="252">
        <f t="shared" si="1923"/>
        <v>0</v>
      </c>
      <c r="IX323" s="324">
        <f>IV323-IW323</f>
        <v>23.07692307692308</v>
      </c>
      <c r="IY323" s="43">
        <f>IF(IV323&lt;=0,3,0)+IF(IV323&gt;0,IV323+1,0)*3+IF(IV323&gt;12,IV323-12,0)*3+IF(IV323&gt;13,IV323-13,0)*3+IF(IV323&gt;14,IV323-14,0)*3+IF(IV323&gt;15,IV323-15,0)*3+IF(IV323&gt;16,IV323-16,0)*3+IF(IV323&gt;17,IV323-17,0)*3+IF(IV323&gt;18,IV323-18,0)*3+IF(IV323&gt;19,IV323-19,0)*3+IF(IV323&gt;20,IV323-20,0)*3</f>
        <v>263.30769230769232</v>
      </c>
      <c r="IZ323" s="334">
        <f>IF(IW323&lt;=0,3,0)+IF(IW323&gt;0,IW323+1,0)*3+IF(IW323&gt;12,IW323-12,0)*3+IF(IW323&gt;13,IW323-13,0)*3+IF(IW323&gt;14,IW323-14,0)*3+IF(IW323&gt;15,IW323-15,0)*3+IF(IW323&gt;16,IW323-16,0)*3+IF(IW323&gt;17,IW323-17,0)*3+IF(IW323&gt;18,IW323-18,0)*3+IF(IW323&gt;19,IW323-19,0)*3+IF(IW323&gt;20,IW323-20,0)*3</f>
        <v>3</v>
      </c>
      <c r="JA323" s="241">
        <f>IF((IY323-IZ323)&gt;0,IY323-IZ323,0)</f>
        <v>260.30769230769232</v>
      </c>
      <c r="JB323" s="42">
        <f>IF((IZ323-IY323)&gt;0,IZ323-IY323,0)</f>
        <v>0</v>
      </c>
    </row>
    <row r="324" spans="1:265" hidden="1" outlineLevel="2">
      <c r="A324" s="185"/>
      <c r="B324" s="148">
        <v>2</v>
      </c>
      <c r="C324" s="303" t="e">
        <f>VLOOKUP(AF324,Attribute!C:T,1,FALSE)</f>
        <v>#N/A</v>
      </c>
      <c r="D324" s="304" t="s">
        <v>439</v>
      </c>
      <c r="E324" s="304" t="s">
        <v>132</v>
      </c>
      <c r="F324" s="120"/>
      <c r="G324" s="117">
        <f>Konvention_1master-KLmaster</f>
        <v>12</v>
      </c>
      <c r="H324" s="117">
        <f t="shared" ref="H324:H325" si="2802">Konvention_1master-INmaster</f>
        <v>12</v>
      </c>
      <c r="I324" s="117"/>
      <c r="J324" s="117"/>
      <c r="K324" s="117">
        <f>Konvention_1master-GEmaster</f>
        <v>12</v>
      </c>
      <c r="L324" s="117"/>
      <c r="M324" s="121"/>
      <c r="N324" s="223">
        <f t="shared" ref="N324:N325" si="2803">(F324+G324+H324+I324+J324+K324+L324+M324)/3</f>
        <v>12</v>
      </c>
      <c r="O324" s="223">
        <f t="shared" ref="O324:O325" si="2804">2*N324</f>
        <v>24</v>
      </c>
      <c r="P324" s="224">
        <f t="shared" ref="P324:P325" si="2805">3*N324</f>
        <v>36</v>
      </c>
      <c r="Q324" s="237">
        <f t="shared" ref="Q324:Q325" si="2806">F324*POWER(KLmaster,SIGN(G324))*POWER(INmaster,SIGN(H324))*POWER(CHmaster,SIGN(I324))*POWER(FFmaster,SIGN(J324))*POWER(GEmaster,SIGN(K324))*POWER(KOmaster,SIGN(L324))*POWER(KKmaster,SIGN(M324))+G324*POWER(MUmaster,SIGN(F324))*POWER(INmaster,SIGN(H324))*POWER(CHmaster,SIGN(I324))*POWER(FFmaster,SIGN(J324))*POWER(GEmaster,SIGN(K324))*POWER(KOmaster,SIGN(L324))*POWER(KKmaster,SIGN(M324))+H324*POWER(MUmaster,SIGN(F324))*POWER(KLmaster,SIGN(G324))*POWER(CHmaster,SIGN(I324))*POWER(FFmaster,SIGN(J324))*POWER(GEmaster,SIGN(K324))*POWER(KOmaster,SIGN(L324))*POWER(KKmaster,SIGN(M324))+I324*POWER(MUmaster,SIGN(F324))*POWER(KLmaster,SIGN(G324))*POWER(INmaster,SIGN(H324))*POWER(FFmaster,SIGN(J324))*POWER(GEmaster,SIGN(K324))*POWER(KOmaster,SIGN(L324))*POWER(KKmaster,SIGN(M324))+J324*POWER(MUmaster,SIGN(F324))*POWER(KLmaster,SIGN(G324))*POWER(INmaster,SIGN(H324))*POWER(CHmaster,SIGN(I324))*POWER(GEmaster,SIGN(K324))*POWER(KOmaster,SIGN(L324))*POWER(KKmaster,SIGN(M324))+K324*POWER(MUmaster,SIGN(F324))*POWER(KLmaster,SIGN(G324))*POWER(INmaster,SIGN(H324))*POWER(CHmaster,SIGN(I324))*POWER(FFmaster,SIGN(J324))*POWER(KOmaster,SIGN(L324))*POWER(KKmaster,SIGN(M324))+L324*POWER(MUmaster,SIGN(F324))*POWER(KLmaster,SIGN(G324))*POWER(INmaster,SIGN(H324))*POWER(CHmaster,SIGN(I324))*POWER(FFmaster,SIGN(J324))*POWER(GEmaster,SIGN(K324))*POWER(KKmaster,SIGN(M324))+M324*POWER(MUmaster,SIGN(F324))*POWER(KLmaster,SIGN(G324))*POWER(INmaster,SIGN(H324))*POWER(CHmaster,SIGN(I324))*POWER(FFmaster,SIGN(J324))*POWER(GEmaster,SIGN(K324))*POWER(KOmaster,SIGN(L324))</f>
        <v>2304</v>
      </c>
      <c r="R324" s="117">
        <f>G324*H324*GEmaster+G324*INmaster*K324+KLmaster*H324*K324</f>
        <v>3456</v>
      </c>
      <c r="S324" s="224">
        <f t="shared" ref="S324:S325" si="2807">IFERROR(F324^SIGN(F324),1)*IFERROR(G324^SIGN(G324),1)*IFERROR(H324^SIGN(H324),1)*IFERROR(I324^SIGN(I324),1)*IFERROR(J324^SIGN(J324),1)*IFERROR(K324^SIGN(K324),1)*IFERROR(L324^SIGN(L324),1)*IFERROR(M324^SIGN(M324),1)</f>
        <v>1728</v>
      </c>
      <c r="T324" s="224">
        <f t="shared" si="2793"/>
        <v>7488</v>
      </c>
      <c r="U324" s="222">
        <f t="shared" ref="U324:U325" si="2808">N324*Q324/T324</f>
        <v>3.6923076923076925</v>
      </c>
      <c r="V324" s="223">
        <f t="shared" ref="V324:V325" si="2809">O324*R324/T324</f>
        <v>11.076923076923077</v>
      </c>
      <c r="W324" s="243">
        <f t="shared" ref="W324:W325" si="2810">P324*S324/T324</f>
        <v>8.3076923076923084</v>
      </c>
      <c r="X324" s="243">
        <f t="shared" ref="X324:X325" si="2811">SUM(U324:W324)</f>
        <v>23.07692307692308</v>
      </c>
      <c r="Y324" s="252">
        <v>0</v>
      </c>
      <c r="Z324" s="324">
        <f t="shared" ref="Z324:Z325" si="2812">X324-Y324</f>
        <v>23.07692307692308</v>
      </c>
      <c r="AA324" s="304">
        <f>IF(X324&lt;=0,2,0)+IF(X324&gt;0,X324+1,0)*2+IF(X324&gt;12,X324-12,0)*2+IF(X324&gt;13,X324-13,0)*2+IF(X324&gt;14,X324-14,0)*2+IF(X324&gt;15,X324-15,0)*2+IF(X324&gt;16,X324-16,0)*2+IF(X324&gt;17,X324-17,0)*2+IF(X324&gt;18,X324-18,0)*2+IF(X324&gt;19,X324-19,0)*2+IF(X324&gt;20,X324-20,0)*2</f>
        <v>175.5384615384616</v>
      </c>
      <c r="AB324" s="335">
        <f>IF(Y324&lt;=0,2,0)+IF(Y324&gt;0,Y324+1,0)*2+IF(Y324&gt;12,Y324-12,0)*2+IF(Y324&gt;13,Y324-13,0)*2+IF(Y324&gt;14,Y324-14,0)*2+IF(Y324&gt;15,Y324-15,0)*2+IF(Y324&gt;16,Y324-16,0)*2+IF(Y324&gt;17,Y324-17,0)*2+IF(Y324&gt;18,Y324-18,0)*2+IF(Y324&gt;19,Y324-19,0)*2+IF(Y324&gt;20,Y324-20,0)*2</f>
        <v>2</v>
      </c>
      <c r="AC324" s="243">
        <f t="shared" ref="AC324:AC325" si="2813">IF((AA324-AB324)&gt;0,AA324-AB324,0)</f>
        <v>173.5384615384616</v>
      </c>
      <c r="AD324" s="218">
        <f t="shared" ref="AD324:AD325" si="2814">IF((AB324-AA324)&gt;0,AB324-AA324,0)</f>
        <v>0</v>
      </c>
      <c r="AE324" s="140"/>
      <c r="AF324" s="303" t="s">
        <v>476</v>
      </c>
      <c r="AG324" s="304" t="s">
        <v>439</v>
      </c>
      <c r="AH324" s="304" t="s">
        <v>132</v>
      </c>
      <c r="AI324" s="120"/>
      <c r="AJ324" s="117">
        <f>Konvention_1slave-KLslave</f>
        <v>12</v>
      </c>
      <c r="AK324" s="117">
        <f>Konvention_1slave-INslave</f>
        <v>12</v>
      </c>
      <c r="AL324" s="117"/>
      <c r="AM324" s="117"/>
      <c r="AN324" s="117">
        <f>Konvention_1slave-GEslave</f>
        <v>12</v>
      </c>
      <c r="AO324" s="117"/>
      <c r="AP324" s="121"/>
      <c r="AQ324" s="223">
        <f t="shared" ref="AQ324:AQ325" si="2815">(AI324+AJ324+AK324+AL324+AM324+AN324+AO324+AP324)/3</f>
        <v>12</v>
      </c>
      <c r="AR324" s="223">
        <f t="shared" ref="AR324:AR325" si="2816">2*AQ324</f>
        <v>24</v>
      </c>
      <c r="AS324" s="224">
        <f t="shared" ref="AS324:AS325" si="2817">3*AQ324</f>
        <v>36</v>
      </c>
      <c r="AT324" s="237">
        <f t="shared" ref="AT324:AT325" si="2818">AI324*POWER(KLslave,SIGN(AJ324))*POWER(INslave,SIGN(AK324))*POWER(CHslave,SIGN(AL324))*POWER(FFslave,SIGN(AM324))*POWER(GEslave,SIGN(AN324))*POWER(KOslave,SIGN(AO324))*POWER(KKslave,SIGN(AP324))+AJ324*POWER(MUslave_MU,SIGN(AI324))*POWER(INslave,SIGN(AK324))*POWER(CHslave,SIGN(AL324))*POWER(FFslave,SIGN(AM324))*POWER(GEslave,SIGN(AN324))*POWER(KOslave,SIGN(AO324))*POWER(KKslave,SIGN(AP324))+AK324*POWER(MUslave_MU,SIGN(AI324))*POWER(KLslave,SIGN(AJ324))*POWER(CHslave,SIGN(AL324))*POWER(FFslave,SIGN(AM324))*POWER(GEslave,SIGN(AN324))*POWER(KOslave,SIGN(AO324))*POWER(KKslave,SIGN(AP324))+AL324*POWER(MUslave_MU,SIGN(AI324))*POWER(KLslave,SIGN(AJ324))*POWER(INslave,SIGN(AK324))*POWER(FFslave,SIGN(AM324))*POWER(GEslave,SIGN(AN324))*POWER(KOslave,SIGN(AO324))*POWER(KKslave,SIGN(AP324))+AM324*POWER(MUslave_MU,SIGN(AI324))*POWER(KLslave,SIGN(AJ324))*POWER(INslave,SIGN(AK324))*POWER(CHslave,SIGN(AL324))*POWER(GEslave,SIGN(AN324))*POWER(KOslave,SIGN(AO324))*POWER(KKslave,SIGN(AP324))+AN324*POWER(MUslave_MU,SIGN(AI324))*POWER(KLslave,SIGN(AJ324))*POWER(INslave,SIGN(AK324))*POWER(CHslave,SIGN(AL324))*POWER(FFslave,SIGN(AM324))*POWER(KOslave,SIGN(AO324))*POWER(KKslave,SIGN(AP324))+AO324*POWER(MUslave_MU,SIGN(AI324))*POWER(KLslave,SIGN(AJ324))*POWER(INslave,SIGN(AK324))*POWER(CHslave,SIGN(AL324))*POWER(FFslave,SIGN(AM324))*POWER(GEslave,SIGN(AN324))*POWER(KKslave,SIGN(AP324))+AP324*POWER(MUslave_MU,SIGN(AI324))*POWER(KLslave,SIGN(AJ324))*POWER(INslave,SIGN(AK324))*POWER(CHslave,SIGN(AL324))*POWER(FFslave,SIGN(AM324))*POWER(GEslave,SIGN(AN324))*POWER(KOslave,SIGN(AO324))</f>
        <v>2304</v>
      </c>
      <c r="AU324" s="117">
        <f>AJ324*AK324*GEslave+AJ324*INslave*AN324+KLslave*AK324*AN324</f>
        <v>3456</v>
      </c>
      <c r="AV324" s="224">
        <f t="shared" ref="AV324:AV325" si="2819">IFERROR(AI324^SIGN(AI324),1)*IFERROR(AJ324^SIGN(AJ324),1)*IFERROR(AK324^SIGN(AK324),1)*IFERROR(AL324^SIGN(AL324),1)*IFERROR(AM324^SIGN(AM324),1)*IFERROR(AN324^SIGN(AN324),1)*IFERROR(AO324^SIGN(AO324),1)*IFERROR(AP324^SIGN(AP324),1)</f>
        <v>1728</v>
      </c>
      <c r="AW324" s="224">
        <f t="shared" si="2794"/>
        <v>7488</v>
      </c>
      <c r="AX324" s="222">
        <f t="shared" ref="AX324:AX325" si="2820">AQ324*AT324/AW324</f>
        <v>3.6923076923076925</v>
      </c>
      <c r="AY324" s="223">
        <f t="shared" ref="AY324:AY325" si="2821">AR324*AU324/AW324</f>
        <v>11.076923076923077</v>
      </c>
      <c r="AZ324" s="243">
        <f t="shared" ref="AZ324:AZ325" si="2822">AS324*AV324/AW324</f>
        <v>8.3076923076923084</v>
      </c>
      <c r="BA324" s="243">
        <f t="shared" ref="BA324:BA325" si="2823">SUM(AX324:AZ324)</f>
        <v>23.07692307692308</v>
      </c>
      <c r="BB324" s="252">
        <f t="shared" si="2034"/>
        <v>0</v>
      </c>
      <c r="BC324" s="324">
        <f t="shared" ref="BC324:BC325" si="2824">BA324-BB324</f>
        <v>23.07692307692308</v>
      </c>
      <c r="BD324" s="304">
        <f>IF(BA324&lt;=0,2,0)+IF(BA324&gt;0,BA324+1,0)*2+IF(BA324&gt;12,BA324-12,0)*2+IF(BA324&gt;13,BA324-13,0)*2+IF(BA324&gt;14,BA324-14,0)*2+IF(BA324&gt;15,BA324-15,0)*2+IF(BA324&gt;16,BA324-16,0)*2+IF(BA324&gt;17,BA324-17,0)*2+IF(BA324&gt;18,BA324-18,0)*2+IF(BA324&gt;19,BA324-19,0)*2+IF(BA324&gt;20,BA324-20,0)*2</f>
        <v>175.5384615384616</v>
      </c>
      <c r="BE324" s="335">
        <f>IF(BB324&lt;=0,2,0)+IF(BB324&gt;0,BB324+1,0)*2+IF(BB324&gt;12,BB324-12,0)*2+IF(BB324&gt;13,BB324-13,0)*2+IF(BB324&gt;14,BB324-14,0)*2+IF(BB324&gt;15,BB324-15,0)*2+IF(BB324&gt;16,BB324-16,0)*2+IF(BB324&gt;17,BB324-17,0)*2+IF(BB324&gt;18,BB324-18,0)*2+IF(BB324&gt;19,BB324-19,0)*2+IF(BB324&gt;20,BB324-20,0)*2</f>
        <v>2</v>
      </c>
      <c r="BF324" s="243">
        <f t="shared" ref="BF324:BF325" si="2825">IF((BD324-BE324)&gt;0,BD324-BE324,0)</f>
        <v>173.5384615384616</v>
      </c>
      <c r="BG324" s="218">
        <f t="shared" ref="BG324:BG325" si="2826">IF((BE324-BD324)&gt;0,BE324-BD324,0)</f>
        <v>0</v>
      </c>
      <c r="BH324" s="248"/>
      <c r="BI324" s="303" t="s">
        <v>476</v>
      </c>
      <c r="BJ324" s="304" t="s">
        <v>439</v>
      </c>
      <c r="BK324" s="304" t="s">
        <v>132</v>
      </c>
      <c r="BL324" s="120"/>
      <c r="BM324" s="117">
        <f>Konvention_1slave-KLslave_KL</f>
        <v>11</v>
      </c>
      <c r="BN324" s="117">
        <f t="shared" ref="BN324:BN325" si="2827">Konvention_1slave-INslave</f>
        <v>12</v>
      </c>
      <c r="BO324" s="117"/>
      <c r="BP324" s="117"/>
      <c r="BQ324" s="117">
        <f>Konvention_1slave-GEslave</f>
        <v>12</v>
      </c>
      <c r="BR324" s="117"/>
      <c r="BS324" s="121"/>
      <c r="BT324" s="223">
        <f t="shared" ref="BT324:BT325" si="2828">(BL324+BM324+BN324+BO324+BP324+BQ324+BR324+BS324)/3</f>
        <v>11.666666666666666</v>
      </c>
      <c r="BU324" s="223">
        <f t="shared" ref="BU324:BU325" si="2829">2*BT324</f>
        <v>23.333333333333332</v>
      </c>
      <c r="BV324" s="224">
        <f t="shared" ref="BV324:BV325" si="2830">3*BT324</f>
        <v>35</v>
      </c>
      <c r="BW324" s="237">
        <f t="shared" ref="BW324:BW325" si="2831">BL324*POWER(KLslave_KL,SIGN(BM324))*POWER(INslave,SIGN(BN324))*POWER(CHslave,SIGN(BO324))*POWER(FFslave,SIGN(BP324))*POWER(GEslave,SIGN(BQ324))*POWER(KOslave,SIGN(BR324))*POWER(KKslave,SIGN(BS324))+BM324*POWER(MUslave,SIGN(BL324))*POWER(INslave,SIGN(BN324))*POWER(CHslave,SIGN(BO324))*POWER(FFslave,SIGN(BP324))*POWER(GEslave,SIGN(BQ324))*POWER(KOslave,SIGN(BR324))*POWER(KKslave,SIGN(BS324))+BN324*POWER(MUslave,SIGN(BL324))*POWER(KLslave_KL,SIGN(BM324))*POWER(CHslave,SIGN(BO324))*POWER(FFslave,SIGN(BP324))*POWER(GEslave,SIGN(BQ324))*POWER(KOslave,SIGN(BR324))*POWER(KKslave,SIGN(BS324))+BO324*POWER(MUslave,SIGN(BL324))*POWER(KLslave_KL,SIGN(BM324))*POWER(INslave,SIGN(BN324))*POWER(FFslave,SIGN(BP324))*POWER(GEslave,SIGN(BQ324))*POWER(KOslave,SIGN(BR324))*POWER(KKslave,SIGN(BS324))+BP324*POWER(MUslave,SIGN(BL324))*POWER(KLslave_KL,SIGN(BM324))*POWER(INslave,SIGN(BN324))*POWER(CHslave,SIGN(BO324))*POWER(GEslave,SIGN(BQ324))*POWER(KOslave,SIGN(BR324))*POWER(KKslave,SIGN(BS324))+BQ324*POWER(MUslave,SIGN(BL324))*POWER(KLslave_KL,SIGN(BM324))*POWER(INslave,SIGN(BN324))*POWER(CHslave,SIGN(BO324))*POWER(FFslave,SIGN(BP324))*POWER(KOslave,SIGN(BR324))*POWER(KKslave,SIGN(BS324))+BR324*POWER(MUslave,SIGN(BL324))*POWER(KLslave_KL,SIGN(BM324))*POWER(INslave,SIGN(BN324))*POWER(CHslave,SIGN(BO324))*POWER(FFslave,SIGN(BP324))*POWER(GEslave,SIGN(BQ324))*POWER(KKslave,SIGN(BS324))+BS324*POWER(MUslave,SIGN(BL324))*POWER(KLslave_KL,SIGN(BM324))*POWER(INslave,SIGN(BN324))*POWER(CHslave,SIGN(BO324))*POWER(FFslave,SIGN(BP324))*POWER(GEslave,SIGN(BQ324))*POWER(KOslave,SIGN(BR324))</f>
        <v>2432</v>
      </c>
      <c r="BX324" s="117">
        <f>BM324*BN324*GEslave+BM324*INslave*BQ324+KLslave_KL*BN324*BQ324</f>
        <v>3408</v>
      </c>
      <c r="BY324" s="224">
        <f t="shared" ref="BY324:BY325" si="2832">IFERROR(BL324^SIGN(BL324),1)*IFERROR(BM324^SIGN(BM324),1)*IFERROR(BN324^SIGN(BN324),1)*IFERROR(BO324^SIGN(BO324),1)*IFERROR(BP324^SIGN(BP324),1)*IFERROR(BQ324^SIGN(BQ324),1)*IFERROR(BR324^SIGN(BR324),1)*IFERROR(BS324^SIGN(BS324),1)</f>
        <v>1584</v>
      </c>
      <c r="BZ324" s="224">
        <f t="shared" si="2795"/>
        <v>7424</v>
      </c>
      <c r="CA324" s="222">
        <f t="shared" ref="CA324:CA325" si="2833">BT324*BW324/BZ324</f>
        <v>3.8218390804597702</v>
      </c>
      <c r="CB324" s="223">
        <f t="shared" ref="CB324:CB325" si="2834">BU324*BX324/BZ324</f>
        <v>10.711206896551724</v>
      </c>
      <c r="CC324" s="243">
        <f t="shared" ref="CC324:CC325" si="2835">BV324*BY324/BZ324</f>
        <v>7.4676724137931032</v>
      </c>
      <c r="CD324" s="243">
        <f t="shared" ref="CD324:CD325" si="2836">SUM(CA324:CC324)</f>
        <v>22.000718390804597</v>
      </c>
      <c r="CE324" s="252">
        <f t="shared" si="1833"/>
        <v>0</v>
      </c>
      <c r="CF324" s="324">
        <f t="shared" ref="CF324:CF325" si="2837">CD324-CE324</f>
        <v>22.000718390804597</v>
      </c>
      <c r="CG324" s="304">
        <f>IF(CD324&lt;=0,2,0)+IF(CD324&gt;0,CD324+1,0)*2+IF(CD324&gt;12,CD324-12,0)*2+IF(CD324&gt;13,CD324-13,0)*2+IF(CD324&gt;14,CD324-14,0)*2+IF(CD324&gt;15,CD324-15,0)*2+IF(CD324&gt;16,CD324-16,0)*2+IF(CD324&gt;17,CD324-17,0)*2+IF(CD324&gt;18,CD324-18,0)*2+IF(CD324&gt;19,CD324-19,0)*2+IF(CD324&gt;20,CD324-20,0)*2</f>
        <v>154.01436781609189</v>
      </c>
      <c r="CH324" s="335">
        <f>IF(CE324&lt;=0,2,0)+IF(CE324&gt;0,CE324+1,0)*2+IF(CE324&gt;12,CE324-12,0)*2+IF(CE324&gt;13,CE324-13,0)*2+IF(CE324&gt;14,CE324-14,0)*2+IF(CE324&gt;15,CE324-15,0)*2+IF(CE324&gt;16,CE324-16,0)*2+IF(CE324&gt;17,CE324-17,0)*2+IF(CE324&gt;18,CE324-18,0)*2+IF(CE324&gt;19,CE324-19,0)*2+IF(CE324&gt;20,CE324-20,0)*2</f>
        <v>2</v>
      </c>
      <c r="CI324" s="243">
        <f t="shared" ref="CI324:CI325" si="2838">IF((CG324-CH324)&gt;0,CG324-CH324,0)</f>
        <v>152.01436781609189</v>
      </c>
      <c r="CJ324" s="218">
        <f t="shared" ref="CJ324:CJ325" si="2839">IF((CH324-CG324)&gt;0,CH324-CG324,0)</f>
        <v>0</v>
      </c>
      <c r="CK324" s="248"/>
      <c r="CL324" s="303" t="s">
        <v>476</v>
      </c>
      <c r="CM324" s="304" t="s">
        <v>439</v>
      </c>
      <c r="CN324" s="304" t="s">
        <v>132</v>
      </c>
      <c r="CO324" s="120"/>
      <c r="CP324" s="117">
        <f>Konvention_1slave-KLslave</f>
        <v>12</v>
      </c>
      <c r="CQ324" s="117">
        <f t="shared" ref="CQ324:CQ325" si="2840">Konvention_1slave-INslave_IN</f>
        <v>11</v>
      </c>
      <c r="CR324" s="117"/>
      <c r="CS324" s="117"/>
      <c r="CT324" s="117">
        <f>Konvention_1slave-GEslave</f>
        <v>12</v>
      </c>
      <c r="CU324" s="117"/>
      <c r="CV324" s="121"/>
      <c r="CW324" s="223">
        <f t="shared" ref="CW324:CW325" si="2841">(CO324+CP324+CQ324+CR324+CS324+CT324+CU324+CV324)/3</f>
        <v>11.666666666666666</v>
      </c>
      <c r="CX324" s="223">
        <f t="shared" ref="CX324:CX325" si="2842">2*CW324</f>
        <v>23.333333333333332</v>
      </c>
      <c r="CY324" s="224">
        <f t="shared" ref="CY324:CY325" si="2843">3*CW324</f>
        <v>35</v>
      </c>
      <c r="CZ324" s="237">
        <f t="shared" ref="CZ324:CZ325" si="2844">CO324*POWER(KLslave,SIGN(CP324))*POWER(INslave_IN,SIGN(CQ324))*POWER(CHslave,SIGN(CR324))*POWER(FFslave,SIGN(CS324))*POWER(GEslave,SIGN(CT324))*POWER(KOslave,SIGN(CU324))*POWER(KKslave,SIGN(CV324))+CP324*POWER(MUslave,SIGN(CO324))*POWER(INslave_IN,SIGN(CQ324))*POWER(CHslave,SIGN(CR324))*POWER(FFslave,SIGN(CS324))*POWER(GEslave,SIGN(CT324))*POWER(KOslave,SIGN(CU324))*POWER(KKslave,SIGN(CV324))+CQ324*POWER(MUslave,SIGN(CO324))*POWER(KLslave,SIGN(CP324))*POWER(CHslave,SIGN(CR324))*POWER(FFslave,SIGN(CS324))*POWER(GEslave,SIGN(CT324))*POWER(KOslave,SIGN(CU324))*POWER(KKslave,SIGN(CV324))+CR324*POWER(MUslave,SIGN(CO324))*POWER(KLslave,SIGN(CP324))*POWER(INslave_IN,SIGN(CQ324))*POWER(FFslave,SIGN(CS324))*POWER(GEslave,SIGN(CT324))*POWER(KOslave,SIGN(CU324))*POWER(KKslave,SIGN(CV324))+CS324*POWER(MUslave,SIGN(CO324))*POWER(KLslave,SIGN(CP324))*POWER(INslave_IN,SIGN(CQ324))*POWER(CHslave,SIGN(CR324))*POWER(GEslave,SIGN(CT324))*POWER(KOslave,SIGN(CU324))*POWER(KKslave,SIGN(CV324))+CT324*POWER(MUslave,SIGN(CO324))*POWER(KLslave,SIGN(CP324))*POWER(INslave_IN,SIGN(CQ324))*POWER(CHslave,SIGN(CR324))*POWER(FFslave,SIGN(CS324))*POWER(KOslave,SIGN(CU324))*POWER(KKslave,SIGN(CV324))+CU324*POWER(MUslave,SIGN(CO324))*POWER(KLslave,SIGN(CP324))*POWER(INslave_IN,SIGN(CQ324))*POWER(CHslave,SIGN(CR324))*POWER(FFslave,SIGN(CS324))*POWER(GEslave,SIGN(CT324))*POWER(KKslave,SIGN(CV324))+CV324*POWER(MUslave,SIGN(CO324))*POWER(KLslave,SIGN(CP324))*POWER(INslave_IN,SIGN(CQ324))*POWER(CHslave,SIGN(CR324))*POWER(FFslave,SIGN(CS324))*POWER(GEslave,SIGN(CT324))*POWER(KOslave,SIGN(CU324))</f>
        <v>2432</v>
      </c>
      <c r="DA324" s="117">
        <f>CP324*CQ324*GEslave+CP324*INslave_IN*CT324+KLslave*CQ324*CT324</f>
        <v>3408</v>
      </c>
      <c r="DB324" s="224">
        <f t="shared" ref="DB324:DB325" si="2845">IFERROR(CO324^SIGN(CO324),1)*IFERROR(CP324^SIGN(CP324),1)*IFERROR(CQ324^SIGN(CQ324),1)*IFERROR(CR324^SIGN(CR324),1)*IFERROR(CS324^SIGN(CS324),1)*IFERROR(CT324^SIGN(CT324),1)*IFERROR(CU324^SIGN(CU324),1)*IFERROR(CV324^SIGN(CV324),1)</f>
        <v>1584</v>
      </c>
      <c r="DC324" s="224">
        <f t="shared" si="2796"/>
        <v>7424</v>
      </c>
      <c r="DD324" s="222">
        <f t="shared" ref="DD324:DD325" si="2846">CW324*CZ324/DC324</f>
        <v>3.8218390804597702</v>
      </c>
      <c r="DE324" s="223">
        <f t="shared" ref="DE324:DE325" si="2847">CX324*DA324/DC324</f>
        <v>10.711206896551724</v>
      </c>
      <c r="DF324" s="243">
        <f t="shared" ref="DF324:DF325" si="2848">CY324*DB324/DC324</f>
        <v>7.4676724137931032</v>
      </c>
      <c r="DG324" s="243">
        <f t="shared" ref="DG324:DG325" si="2849">SUM(DD324:DF324)</f>
        <v>22.000718390804597</v>
      </c>
      <c r="DH324" s="252">
        <f t="shared" si="1848"/>
        <v>0</v>
      </c>
      <c r="DI324" s="324">
        <f t="shared" ref="DI324:DI325" si="2850">DG324-DH324</f>
        <v>22.000718390804597</v>
      </c>
      <c r="DJ324" s="304">
        <f>IF(DG324&lt;=0,2,0)+IF(DG324&gt;0,DG324+1,0)*2+IF(DG324&gt;12,DG324-12,0)*2+IF(DG324&gt;13,DG324-13,0)*2+IF(DG324&gt;14,DG324-14,0)*2+IF(DG324&gt;15,DG324-15,0)*2+IF(DG324&gt;16,DG324-16,0)*2+IF(DG324&gt;17,DG324-17,0)*2+IF(DG324&gt;18,DG324-18,0)*2+IF(DG324&gt;19,DG324-19,0)*2+IF(DG324&gt;20,DG324-20,0)*2</f>
        <v>154.01436781609189</v>
      </c>
      <c r="DK324" s="335">
        <f>IF(DH324&lt;=0,2,0)+IF(DH324&gt;0,DH324+1,0)*2+IF(DH324&gt;12,DH324-12,0)*2+IF(DH324&gt;13,DH324-13,0)*2+IF(DH324&gt;14,DH324-14,0)*2+IF(DH324&gt;15,DH324-15,0)*2+IF(DH324&gt;16,DH324-16,0)*2+IF(DH324&gt;17,DH324-17,0)*2+IF(DH324&gt;18,DH324-18,0)*2+IF(DH324&gt;19,DH324-19,0)*2+IF(DH324&gt;20,DH324-20,0)*2</f>
        <v>2</v>
      </c>
      <c r="DL324" s="243">
        <f t="shared" ref="DL324:DL325" si="2851">IF((DJ324-DK324)&gt;0,DJ324-DK324,0)</f>
        <v>152.01436781609189</v>
      </c>
      <c r="DM324" s="218">
        <f t="shared" ref="DM324:DM325" si="2852">IF((DK324-DJ324)&gt;0,DK324-DJ324,0)</f>
        <v>0</v>
      </c>
      <c r="DN324" s="248"/>
      <c r="DO324" s="303" t="s">
        <v>476</v>
      </c>
      <c r="DP324" s="304" t="s">
        <v>439</v>
      </c>
      <c r="DQ324" s="304" t="s">
        <v>132</v>
      </c>
      <c r="DR324" s="120"/>
      <c r="DS324" s="117">
        <f>Konvention_1slave-KLslave</f>
        <v>12</v>
      </c>
      <c r="DT324" s="117">
        <f t="shared" ref="DT324:DT325" si="2853">Konvention_1slave-INslave</f>
        <v>12</v>
      </c>
      <c r="DU324" s="117"/>
      <c r="DV324" s="117"/>
      <c r="DW324" s="117">
        <f>Konvention_1slave-GEslave</f>
        <v>12</v>
      </c>
      <c r="DX324" s="117"/>
      <c r="DY324" s="121"/>
      <c r="DZ324" s="223">
        <f t="shared" ref="DZ324:DZ325" si="2854">(DR324+DS324+DT324+DU324+DV324+DW324+DX324+DY324)/3</f>
        <v>12</v>
      </c>
      <c r="EA324" s="223">
        <f t="shared" ref="EA324:EA325" si="2855">2*DZ324</f>
        <v>24</v>
      </c>
      <c r="EB324" s="224">
        <f t="shared" ref="EB324:EB325" si="2856">3*DZ324</f>
        <v>36</v>
      </c>
      <c r="EC324" s="237">
        <f t="shared" ref="EC324:EC325" si="2857">DR324*POWER(KLslave,SIGN(DS324))*POWER(INslave,SIGN(DT324))*POWER(CHslave_CH,SIGN(DU324))*POWER(FFslave,SIGN(DV324))*POWER(GEslave,SIGN(DW324))*POWER(KOslave,SIGN(DX324))*POWER(KKslave,SIGN(DY324))+DS324*POWER(MUslave,SIGN(DR324))*POWER(INslave,SIGN(DT324))*POWER(CHslave_CH,SIGN(DU324))*POWER(FFslave,SIGN(DV324))*POWER(GEslave,SIGN(DW324))*POWER(KOslave,SIGN(DX324))*POWER(KKslave,SIGN(DY324))+DT324*POWER(MUslave,SIGN(DR324))*POWER(KLslave,SIGN(DS324))*POWER(CHslave_CH,SIGN(DU324))*POWER(FFslave,SIGN(DV324))*POWER(GEslave,SIGN(DW324))*POWER(KOslave,SIGN(DX324))*POWER(KKslave,SIGN(DY324))+DU324*POWER(MUslave,SIGN(DR324))*POWER(KLslave,SIGN(DS324))*POWER(INslave,SIGN(DT324))*POWER(FFslave,SIGN(DV324))*POWER(GEslave,SIGN(DW324))*POWER(KOslave,SIGN(DX324))*POWER(KKslave,SIGN(DY324))+DV324*POWER(MUslave,SIGN(DR324))*POWER(KLslave,SIGN(DS324))*POWER(INslave,SIGN(DT324))*POWER(CHslave_CH,SIGN(DU324))*POWER(GEslave,SIGN(DW324))*POWER(KOslave,SIGN(DX324))*POWER(KKslave,SIGN(DY324))+DW324*POWER(MUslave,SIGN(DR324))*POWER(KLslave,SIGN(DS324))*POWER(INslave,SIGN(DT324))*POWER(CHslave_CH,SIGN(DU324))*POWER(FFslave,SIGN(DV324))*POWER(KOslave,SIGN(DX324))*POWER(KKslave,SIGN(DY324))+DX324*POWER(MUslave,SIGN(DR324))*POWER(KLslave,SIGN(DS324))*POWER(INslave,SIGN(DT324))*POWER(CHslave_CH,SIGN(DU324))*POWER(FFslave,SIGN(DV324))*POWER(GEslave,SIGN(DW324))*POWER(KKslave,SIGN(DY324))+DY324*POWER(MUslave,SIGN(DR324))*POWER(KLslave,SIGN(DS324))*POWER(INslave,SIGN(DT324))*POWER(CHslave_CH,SIGN(DU324))*POWER(FFslave,SIGN(DV324))*POWER(GEslave,SIGN(DW324))*POWER(KOslave,SIGN(DX324))</f>
        <v>2304</v>
      </c>
      <c r="ED324" s="117">
        <f>DS324*DT324*GEslave+DS324*INslave*DW324+KLslave*DT324*DW324</f>
        <v>3456</v>
      </c>
      <c r="EE324" s="224">
        <f t="shared" ref="EE324:EE325" si="2858">IFERROR(DR324^SIGN(DR324),1)*IFERROR(DS324^SIGN(DS324),1)*IFERROR(DT324^SIGN(DT324),1)*IFERROR(DU324^SIGN(DU324),1)*IFERROR(DV324^SIGN(DV324),1)*IFERROR(DW324^SIGN(DW324),1)*IFERROR(DX324^SIGN(DX324),1)*IFERROR(DY324^SIGN(DY324),1)</f>
        <v>1728</v>
      </c>
      <c r="EF324" s="224">
        <f t="shared" si="2797"/>
        <v>7488</v>
      </c>
      <c r="EG324" s="222">
        <f t="shared" ref="EG324:EG325" si="2859">DZ324*EC324/EF324</f>
        <v>3.6923076923076925</v>
      </c>
      <c r="EH324" s="223">
        <f t="shared" ref="EH324:EH325" si="2860">EA324*ED324/EF324</f>
        <v>11.076923076923077</v>
      </c>
      <c r="EI324" s="243">
        <f t="shared" ref="EI324:EI325" si="2861">EB324*EE324/EF324</f>
        <v>8.3076923076923084</v>
      </c>
      <c r="EJ324" s="243">
        <f t="shared" ref="EJ324:EJ325" si="2862">SUM(EG324:EI324)</f>
        <v>23.07692307692308</v>
      </c>
      <c r="EK324" s="252">
        <f t="shared" si="1863"/>
        <v>0</v>
      </c>
      <c r="EL324" s="324">
        <f t="shared" ref="EL324:EL325" si="2863">EJ324-EK324</f>
        <v>23.07692307692308</v>
      </c>
      <c r="EM324" s="304">
        <f>IF(EJ324&lt;=0,2,0)+IF(EJ324&gt;0,EJ324+1,0)*2+IF(EJ324&gt;12,EJ324-12,0)*2+IF(EJ324&gt;13,EJ324-13,0)*2+IF(EJ324&gt;14,EJ324-14,0)*2+IF(EJ324&gt;15,EJ324-15,0)*2+IF(EJ324&gt;16,EJ324-16,0)*2+IF(EJ324&gt;17,EJ324-17,0)*2+IF(EJ324&gt;18,EJ324-18,0)*2+IF(EJ324&gt;19,EJ324-19,0)*2+IF(EJ324&gt;20,EJ324-20,0)*2</f>
        <v>175.5384615384616</v>
      </c>
      <c r="EN324" s="335">
        <f>IF(EK324&lt;=0,2,0)+IF(EK324&gt;0,EK324+1,0)*2+IF(EK324&gt;12,EK324-12,0)*2+IF(EK324&gt;13,EK324-13,0)*2+IF(EK324&gt;14,EK324-14,0)*2+IF(EK324&gt;15,EK324-15,0)*2+IF(EK324&gt;16,EK324-16,0)*2+IF(EK324&gt;17,EK324-17,0)*2+IF(EK324&gt;18,EK324-18,0)*2+IF(EK324&gt;19,EK324-19,0)*2+IF(EK324&gt;20,EK324-20,0)*2</f>
        <v>2</v>
      </c>
      <c r="EO324" s="243">
        <f t="shared" ref="EO324:EO325" si="2864">IF((EM324-EN324)&gt;0,EM324-EN324,0)</f>
        <v>173.5384615384616</v>
      </c>
      <c r="EP324" s="218">
        <f t="shared" ref="EP324:EP325" si="2865">IF((EN324-EM324)&gt;0,EN324-EM324,0)</f>
        <v>0</v>
      </c>
      <c r="EQ324" s="248"/>
      <c r="ER324" s="303" t="s">
        <v>476</v>
      </c>
      <c r="ES324" s="304" t="s">
        <v>439</v>
      </c>
      <c r="ET324" s="304" t="s">
        <v>132</v>
      </c>
      <c r="EU324" s="120"/>
      <c r="EV324" s="117">
        <f>Konvention_1slave-KLslave</f>
        <v>12</v>
      </c>
      <c r="EW324" s="117">
        <f t="shared" ref="EW324:EW325" si="2866">Konvention_1slave-INslave</f>
        <v>12</v>
      </c>
      <c r="EX324" s="117"/>
      <c r="EY324" s="117"/>
      <c r="EZ324" s="117">
        <f>Konvention_1slave-GEslave</f>
        <v>12</v>
      </c>
      <c r="FA324" s="117"/>
      <c r="FB324" s="121"/>
      <c r="FC324" s="223">
        <f t="shared" ref="FC324:FC325" si="2867">(EU324+EV324+EW324+EX324+EY324+EZ324+FA324+FB324)/3</f>
        <v>12</v>
      </c>
      <c r="FD324" s="223">
        <f t="shared" ref="FD324:FD325" si="2868">2*FC324</f>
        <v>24</v>
      </c>
      <c r="FE324" s="224">
        <f t="shared" ref="FE324:FE325" si="2869">3*FC324</f>
        <v>36</v>
      </c>
      <c r="FF324" s="237">
        <f t="shared" ref="FF324:FF325" si="2870">EU324*POWER(KLslave,SIGN(EV324))*POWER(INslave,SIGN(EW324))*POWER(CHslave,SIGN(EX324))*POWER(FFslave_FF,SIGN(EY324))*POWER(GEslave,SIGN(EZ324))*POWER(KOslave,SIGN(FA324))*POWER(KKslave,SIGN(FB324))+EV324*POWER(MUslave,SIGN(EU324))*POWER(INslave,SIGN(EW324))*POWER(CHslave,SIGN(EX324))*POWER(FFslave_FF,SIGN(EY324))*POWER(GEslave,SIGN(EZ324))*POWER(KOslave,SIGN(FA324))*POWER(KKslave,SIGN(FB324))+EW324*POWER(MUslave,SIGN(EU324))*POWER(KLslave,SIGN(EV324))*POWER(CHslave,SIGN(EX324))*POWER(FFslave_FF,SIGN(EY324))*POWER(GEslave,SIGN(EZ324))*POWER(KOslave,SIGN(FA324))*POWER(KKslave,SIGN(FB324))+EX324*POWER(MUslave,SIGN(EU324))*POWER(KLslave,SIGN(EV324))*POWER(INslave,SIGN(EW324))*POWER(FFslave_FF,SIGN(EY324))*POWER(GEslave,SIGN(EZ324))*POWER(KOslave,SIGN(FA324))*POWER(KKslave,SIGN(FB324))+EY324*POWER(MUslave,SIGN(EU324))*POWER(KLslave,SIGN(EV324))*POWER(INslave,SIGN(EW324))*POWER(CHslave,SIGN(EX324))*POWER(GEslave,SIGN(EZ324))*POWER(KOslave,SIGN(FA324))*POWER(KKslave,SIGN(FB324))+EZ324*POWER(MUslave,SIGN(EU324))*POWER(KLslave,SIGN(EV324))*POWER(INslave,SIGN(EW324))*POWER(CHslave,SIGN(EX324))*POWER(FFslave_FF,SIGN(EY324))*POWER(KOslave,SIGN(FA324))*POWER(KKslave,SIGN(FB324))+FA324*POWER(MUslave,SIGN(EU324))*POWER(KLslave,SIGN(EV324))*POWER(INslave,SIGN(EW324))*POWER(CHslave,SIGN(EX324))*POWER(FFslave_FF,SIGN(EY324))*POWER(GEslave,SIGN(EZ324))*POWER(KKslave,SIGN(FB324))+FB324*POWER(MUslave,SIGN(EU324))*POWER(KLslave,SIGN(EV324))*POWER(INslave,SIGN(EW324))*POWER(CHslave,SIGN(EX324))*POWER(FFslave_FF,SIGN(EY324))*POWER(GEslave,SIGN(EZ324))*POWER(KOslave,SIGN(FA324))</f>
        <v>2304</v>
      </c>
      <c r="FG324" s="117">
        <f>EV324*EW324*GEslave+EV324*INslave*EZ324+KLslave*EW324*EZ324</f>
        <v>3456</v>
      </c>
      <c r="FH324" s="224">
        <f t="shared" ref="FH324:FH325" si="2871">IFERROR(EU324^SIGN(EU324),1)*IFERROR(EV324^SIGN(EV324),1)*IFERROR(EW324^SIGN(EW324),1)*IFERROR(EX324^SIGN(EX324),1)*IFERROR(EY324^SIGN(EY324),1)*IFERROR(EZ324^SIGN(EZ324),1)*IFERROR(FA324^SIGN(FA324),1)*IFERROR(FB324^SIGN(FB324),1)</f>
        <v>1728</v>
      </c>
      <c r="FI324" s="224">
        <f t="shared" si="2798"/>
        <v>7488</v>
      </c>
      <c r="FJ324" s="222">
        <f t="shared" ref="FJ324:FJ325" si="2872">FC324*FF324/FI324</f>
        <v>3.6923076923076925</v>
      </c>
      <c r="FK324" s="223">
        <f t="shared" ref="FK324:FK325" si="2873">FD324*FG324/FI324</f>
        <v>11.076923076923077</v>
      </c>
      <c r="FL324" s="243">
        <f t="shared" ref="FL324:FL325" si="2874">FE324*FH324/FI324</f>
        <v>8.3076923076923084</v>
      </c>
      <c r="FM324" s="243">
        <f t="shared" ref="FM324:FM325" si="2875">SUM(FJ324:FL324)</f>
        <v>23.07692307692308</v>
      </c>
      <c r="FN324" s="252">
        <f t="shared" si="1878"/>
        <v>0</v>
      </c>
      <c r="FO324" s="324">
        <f t="shared" ref="FO324:FO325" si="2876">FM324-FN324</f>
        <v>23.07692307692308</v>
      </c>
      <c r="FP324" s="304">
        <f>IF(FM324&lt;=0,2,0)+IF(FM324&gt;0,FM324+1,0)*2+IF(FM324&gt;12,FM324-12,0)*2+IF(FM324&gt;13,FM324-13,0)*2+IF(FM324&gt;14,FM324-14,0)*2+IF(FM324&gt;15,FM324-15,0)*2+IF(FM324&gt;16,FM324-16,0)*2+IF(FM324&gt;17,FM324-17,0)*2+IF(FM324&gt;18,FM324-18,0)*2+IF(FM324&gt;19,FM324-19,0)*2+IF(FM324&gt;20,FM324-20,0)*2</f>
        <v>175.5384615384616</v>
      </c>
      <c r="FQ324" s="335">
        <f>IF(FN324&lt;=0,2,0)+IF(FN324&gt;0,FN324+1,0)*2+IF(FN324&gt;12,FN324-12,0)*2+IF(FN324&gt;13,FN324-13,0)*2+IF(FN324&gt;14,FN324-14,0)*2+IF(FN324&gt;15,FN324-15,0)*2+IF(FN324&gt;16,FN324-16,0)*2+IF(FN324&gt;17,FN324-17,0)*2+IF(FN324&gt;18,FN324-18,0)*2+IF(FN324&gt;19,FN324-19,0)*2+IF(FN324&gt;20,FN324-20,0)*2</f>
        <v>2</v>
      </c>
      <c r="FR324" s="243">
        <f t="shared" ref="FR324:FR325" si="2877">IF((FP324-FQ324)&gt;0,FP324-FQ324,0)</f>
        <v>173.5384615384616</v>
      </c>
      <c r="FS324" s="218">
        <f t="shared" ref="FS324:FS325" si="2878">IF((FQ324-FP324)&gt;0,FQ324-FP324,0)</f>
        <v>0</v>
      </c>
      <c r="FT324" s="248"/>
      <c r="FU324" s="303" t="s">
        <v>476</v>
      </c>
      <c r="FV324" s="304" t="s">
        <v>439</v>
      </c>
      <c r="FW324" s="304" t="s">
        <v>132</v>
      </c>
      <c r="FX324" s="120"/>
      <c r="FY324" s="117">
        <f>Konvention_1slave-KLslave</f>
        <v>12</v>
      </c>
      <c r="FZ324" s="117">
        <f t="shared" ref="FZ324:FZ325" si="2879">Konvention_1slave-INslave</f>
        <v>12</v>
      </c>
      <c r="GA324" s="117"/>
      <c r="GB324" s="117"/>
      <c r="GC324" s="117">
        <f>Konvention_1slave-GEslave_GE</f>
        <v>11</v>
      </c>
      <c r="GD324" s="117"/>
      <c r="GE324" s="121"/>
      <c r="GF324" s="223">
        <f t="shared" ref="GF324:GF325" si="2880">(FX324+FY324+FZ324+GA324+GB324+GC324+GD324+GE324)/3</f>
        <v>11.666666666666666</v>
      </c>
      <c r="GG324" s="223">
        <f t="shared" ref="GG324:GG325" si="2881">2*GF324</f>
        <v>23.333333333333332</v>
      </c>
      <c r="GH324" s="224">
        <f t="shared" ref="GH324:GH325" si="2882">3*GF324</f>
        <v>35</v>
      </c>
      <c r="GI324" s="237">
        <f t="shared" ref="GI324:GI325" si="2883">FX324*POWER(KLslave,SIGN(FY324))*POWER(INslave,SIGN(FZ324))*POWER(CHslave,SIGN(GA324))*POWER(FFslave,SIGN(GB324))*POWER(GEslave_GE,SIGN(GC324))*POWER(KOslave,SIGN(GD324))*POWER(KKslave,SIGN(GE324))+FY324*POWER(MUslave,SIGN(FX324))*POWER(INslave,SIGN(FZ324))*POWER(CHslave,SIGN(GA324))*POWER(FFslave,SIGN(GB324))*POWER(GEslave_GE,SIGN(GC324))*POWER(KOslave,SIGN(GD324))*POWER(KKslave,SIGN(GE324))+FZ324*POWER(MUslave,SIGN(FX324))*POWER(KLslave,SIGN(FY324))*POWER(CHslave,SIGN(GA324))*POWER(FFslave,SIGN(GB324))*POWER(GEslave_GE,SIGN(GC324))*POWER(KOslave,SIGN(GD324))*POWER(KKslave,SIGN(GE324))+GA324*POWER(MUslave,SIGN(FX324))*POWER(KLslave,SIGN(FY324))*POWER(INslave,SIGN(FZ324))*POWER(FFslave,SIGN(GB324))*POWER(GEslave_GE,SIGN(GC324))*POWER(KOslave,SIGN(GD324))*POWER(KKslave,SIGN(GE324))+GB324*POWER(MUslave,SIGN(FX324))*POWER(KLslave,SIGN(FY324))*POWER(INslave,SIGN(FZ324))*POWER(CHslave,SIGN(GA324))*POWER(GEslave_GE,SIGN(GC324))*POWER(KOslave,SIGN(GD324))*POWER(KKslave,SIGN(GE324))+GC324*POWER(MUslave,SIGN(FX324))*POWER(KLslave,SIGN(FY324))*POWER(INslave,SIGN(FZ324))*POWER(CHslave,SIGN(GA324))*POWER(FFslave,SIGN(GB324))*POWER(KOslave,SIGN(GD324))*POWER(KKslave,SIGN(GE324))+GD324*POWER(MUslave,SIGN(FX324))*POWER(KLslave,SIGN(FY324))*POWER(INslave,SIGN(FZ324))*POWER(CHslave,SIGN(GA324))*POWER(FFslave,SIGN(GB324))*POWER(GEslave_GE,SIGN(GC324))*POWER(KKslave,SIGN(GE324))+GE324*POWER(MUslave,SIGN(FX324))*POWER(KLslave,SIGN(FY324))*POWER(INslave,SIGN(FZ324))*POWER(CHslave,SIGN(GA324))*POWER(FFslave,SIGN(GB324))*POWER(GEslave_GE,SIGN(GC324))*POWER(KOslave,SIGN(GD324))</f>
        <v>2432</v>
      </c>
      <c r="GJ324" s="117">
        <f>FY324*FZ324*GEslave_GE+FY324*INslave*GC324+KLslave*FZ324*GC324</f>
        <v>3408</v>
      </c>
      <c r="GK324" s="224">
        <f t="shared" ref="GK324:GK325" si="2884">IFERROR(FX324^SIGN(FX324),1)*IFERROR(FY324^SIGN(FY324),1)*IFERROR(FZ324^SIGN(FZ324),1)*IFERROR(GA324^SIGN(GA324),1)*IFERROR(GB324^SIGN(GB324),1)*IFERROR(GC324^SIGN(GC324),1)*IFERROR(GD324^SIGN(GD324),1)*IFERROR(GE324^SIGN(GE324),1)</f>
        <v>1584</v>
      </c>
      <c r="GL324" s="224">
        <f t="shared" si="2799"/>
        <v>7424</v>
      </c>
      <c r="GM324" s="222">
        <f t="shared" ref="GM324:GM325" si="2885">GF324*GI324/GL324</f>
        <v>3.8218390804597702</v>
      </c>
      <c r="GN324" s="223">
        <f t="shared" ref="GN324:GN325" si="2886">GG324*GJ324/GL324</f>
        <v>10.711206896551724</v>
      </c>
      <c r="GO324" s="243">
        <f t="shared" ref="GO324:GO325" si="2887">GH324*GK324/GL324</f>
        <v>7.4676724137931032</v>
      </c>
      <c r="GP324" s="243">
        <f t="shared" ref="GP324:GP325" si="2888">SUM(GM324:GO324)</f>
        <v>22.000718390804597</v>
      </c>
      <c r="GQ324" s="252">
        <f t="shared" si="1893"/>
        <v>0</v>
      </c>
      <c r="GR324" s="324">
        <f t="shared" ref="GR324:GR325" si="2889">GP324-GQ324</f>
        <v>22.000718390804597</v>
      </c>
      <c r="GS324" s="304">
        <f>IF(GP324&lt;=0,2,0)+IF(GP324&gt;0,GP324+1,0)*2+IF(GP324&gt;12,GP324-12,0)*2+IF(GP324&gt;13,GP324-13,0)*2+IF(GP324&gt;14,GP324-14,0)*2+IF(GP324&gt;15,GP324-15,0)*2+IF(GP324&gt;16,GP324-16,0)*2+IF(GP324&gt;17,GP324-17,0)*2+IF(GP324&gt;18,GP324-18,0)*2+IF(GP324&gt;19,GP324-19,0)*2+IF(GP324&gt;20,GP324-20,0)*2</f>
        <v>154.01436781609189</v>
      </c>
      <c r="GT324" s="335">
        <f>IF(GQ324&lt;=0,2,0)+IF(GQ324&gt;0,GQ324+1,0)*2+IF(GQ324&gt;12,GQ324-12,0)*2+IF(GQ324&gt;13,GQ324-13,0)*2+IF(GQ324&gt;14,GQ324-14,0)*2+IF(GQ324&gt;15,GQ324-15,0)*2+IF(GQ324&gt;16,GQ324-16,0)*2+IF(GQ324&gt;17,GQ324-17,0)*2+IF(GQ324&gt;18,GQ324-18,0)*2+IF(GQ324&gt;19,GQ324-19,0)*2+IF(GQ324&gt;20,GQ324-20,0)*2</f>
        <v>2</v>
      </c>
      <c r="GU324" s="243">
        <f t="shared" ref="GU324:GU325" si="2890">IF((GS324-GT324)&gt;0,GS324-GT324,0)</f>
        <v>152.01436781609189</v>
      </c>
      <c r="GV324" s="218">
        <f t="shared" ref="GV324:GV325" si="2891">IF((GT324-GS324)&gt;0,GT324-GS324,0)</f>
        <v>0</v>
      </c>
      <c r="GW324" s="248"/>
      <c r="GX324" s="303" t="s">
        <v>476</v>
      </c>
      <c r="GY324" s="304" t="s">
        <v>439</v>
      </c>
      <c r="GZ324" s="304" t="s">
        <v>132</v>
      </c>
      <c r="HA324" s="120"/>
      <c r="HB324" s="117">
        <f>Konvention_1slave-KLslave</f>
        <v>12</v>
      </c>
      <c r="HC324" s="117">
        <f t="shared" ref="HC324:HC325" si="2892">Konvention_1slave-INslave</f>
        <v>12</v>
      </c>
      <c r="HD324" s="117"/>
      <c r="HE324" s="117"/>
      <c r="HF324" s="117">
        <f>Konvention_1slave-GEslave</f>
        <v>12</v>
      </c>
      <c r="HG324" s="117"/>
      <c r="HH324" s="121"/>
      <c r="HI324" s="223">
        <f t="shared" ref="HI324:HI325" si="2893">(HA324+HB324+HC324+HD324+HE324+HF324+HG324+HH324)/3</f>
        <v>12</v>
      </c>
      <c r="HJ324" s="223">
        <f t="shared" ref="HJ324:HJ325" si="2894">2*HI324</f>
        <v>24</v>
      </c>
      <c r="HK324" s="224">
        <f t="shared" ref="HK324:HK325" si="2895">3*HI324</f>
        <v>36</v>
      </c>
      <c r="HL324" s="237">
        <f t="shared" ref="HL324:HL325" si="2896">HA324*POWER(KLslave,SIGN(HB324))*POWER(INslave,SIGN(HC324))*POWER(CHslave,SIGN(HD324))*POWER(FFslave,SIGN(HE324))*POWER(GEslave,SIGN(HF324))*POWER(KOslave_KO,SIGN(HG324))*POWER(KKslave,SIGN(HH324))+HB324*POWER(MUslave,SIGN(HA324))*POWER(INslave,SIGN(HC324))*POWER(CHslave,SIGN(HD324))*POWER(FFslave,SIGN(HE324))*POWER(GEslave,SIGN(HF324))*POWER(KOslave_KO,SIGN(HG324))*POWER(KKslave,SIGN(HH324))+HC324*POWER(MUslave,SIGN(HA324))*POWER(KLslave,SIGN(HB324))*POWER(CHslave,SIGN(HD324))*POWER(FFslave,SIGN(HE324))*POWER(GEslave,SIGN(HF324))*POWER(KOslave_KO,SIGN(HG324))*POWER(KKslave,SIGN(HH324))+HD324*POWER(MUslave,SIGN(HA324))*POWER(KLslave,SIGN(HB324))*POWER(INslave,SIGN(HC324))*POWER(FFslave,SIGN(HE324))*POWER(GEslave,SIGN(HF324))*POWER(KOslave_KO,SIGN(HG324))*POWER(KKslave,SIGN(HH324))+HE324*POWER(MUslave,SIGN(HA324))*POWER(KLslave,SIGN(HB324))*POWER(INslave,SIGN(HC324))*POWER(CHslave,SIGN(HD324))*POWER(GEslave,SIGN(HF324))*POWER(KOslave_KO,SIGN(HG324))*POWER(KKslave,SIGN(HH324))+HF324*POWER(MUslave,SIGN(HA324))*POWER(KLslave,SIGN(HB324))*POWER(INslave,SIGN(HC324))*POWER(CHslave,SIGN(HD324))*POWER(FFslave,SIGN(HE324))*POWER(KOslave_KO,SIGN(HG324))*POWER(KKslave,SIGN(HH324))+HG324*POWER(MUslave,SIGN(HA324))*POWER(KLslave,SIGN(HB324))*POWER(INslave,SIGN(HC324))*POWER(CHslave,SIGN(HD324))*POWER(FFslave,SIGN(HE324))*POWER(GEslave,SIGN(HF324))*POWER(KKslave,SIGN(HH324))+HH324*POWER(MUslave,SIGN(HA324))*POWER(KLslave,SIGN(HB324))*POWER(INslave,SIGN(HC324))*POWER(CHslave,SIGN(HD324))*POWER(FFslave,SIGN(HE324))*POWER(GEslave,SIGN(HF324))*POWER(KOslave_KO,SIGN(HG324))</f>
        <v>2304</v>
      </c>
      <c r="HM324" s="117">
        <f>HB324*HC324*GEslave+HB324*INslave*HF324+KLslave*HC324*HF324</f>
        <v>3456</v>
      </c>
      <c r="HN324" s="224">
        <f t="shared" ref="HN324:HN325" si="2897">IFERROR(HA324^SIGN(HA324),1)*IFERROR(HB324^SIGN(HB324),1)*IFERROR(HC324^SIGN(HC324),1)*IFERROR(HD324^SIGN(HD324),1)*IFERROR(HE324^SIGN(HE324),1)*IFERROR(HF324^SIGN(HF324),1)*IFERROR(HG324^SIGN(HG324),1)*IFERROR(HH324^SIGN(HH324),1)</f>
        <v>1728</v>
      </c>
      <c r="HO324" s="224">
        <f t="shared" si="2800"/>
        <v>7488</v>
      </c>
      <c r="HP324" s="222">
        <f t="shared" ref="HP324:HP325" si="2898">HI324*HL324/HO324</f>
        <v>3.6923076923076925</v>
      </c>
      <c r="HQ324" s="223">
        <f t="shared" ref="HQ324:HQ325" si="2899">HJ324*HM324/HO324</f>
        <v>11.076923076923077</v>
      </c>
      <c r="HR324" s="243">
        <f t="shared" ref="HR324:HR325" si="2900">HK324*HN324/HO324</f>
        <v>8.3076923076923084</v>
      </c>
      <c r="HS324" s="243">
        <f t="shared" ref="HS324:HS325" si="2901">SUM(HP324:HR324)</f>
        <v>23.07692307692308</v>
      </c>
      <c r="HT324" s="252">
        <f t="shared" si="1908"/>
        <v>0</v>
      </c>
      <c r="HU324" s="324">
        <f t="shared" ref="HU324:HU325" si="2902">HS324-HT324</f>
        <v>23.07692307692308</v>
      </c>
      <c r="HV324" s="304">
        <f>IF(HS324&lt;=0,2,0)+IF(HS324&gt;0,HS324+1,0)*2+IF(HS324&gt;12,HS324-12,0)*2+IF(HS324&gt;13,HS324-13,0)*2+IF(HS324&gt;14,HS324-14,0)*2+IF(HS324&gt;15,HS324-15,0)*2+IF(HS324&gt;16,HS324-16,0)*2+IF(HS324&gt;17,HS324-17,0)*2+IF(HS324&gt;18,HS324-18,0)*2+IF(HS324&gt;19,HS324-19,0)*2+IF(HS324&gt;20,HS324-20,0)*2</f>
        <v>175.5384615384616</v>
      </c>
      <c r="HW324" s="335">
        <f>IF(HT324&lt;=0,2,0)+IF(HT324&gt;0,HT324+1,0)*2+IF(HT324&gt;12,HT324-12,0)*2+IF(HT324&gt;13,HT324-13,0)*2+IF(HT324&gt;14,HT324-14,0)*2+IF(HT324&gt;15,HT324-15,0)*2+IF(HT324&gt;16,HT324-16,0)*2+IF(HT324&gt;17,HT324-17,0)*2+IF(HT324&gt;18,HT324-18,0)*2+IF(HT324&gt;19,HT324-19,0)*2+IF(HT324&gt;20,HT324-20,0)*2</f>
        <v>2</v>
      </c>
      <c r="HX324" s="243">
        <f t="shared" ref="HX324:HX325" si="2903">IF((HV324-HW324)&gt;0,HV324-HW324,0)</f>
        <v>173.5384615384616</v>
      </c>
      <c r="HY324" s="218">
        <f t="shared" ref="HY324:HY325" si="2904">IF((HW324-HV324)&gt;0,HW324-HV324,0)</f>
        <v>0</v>
      </c>
      <c r="HZ324" s="248"/>
      <c r="IA324" s="303" t="s">
        <v>476</v>
      </c>
      <c r="IB324" s="304" t="s">
        <v>439</v>
      </c>
      <c r="IC324" s="304" t="s">
        <v>132</v>
      </c>
      <c r="ID324" s="120"/>
      <c r="IE324" s="117">
        <f>Konvention_1slave-KLslave</f>
        <v>12</v>
      </c>
      <c r="IF324" s="117">
        <f t="shared" ref="IF324:IF325" si="2905">Konvention_1slave-INslave</f>
        <v>12</v>
      </c>
      <c r="IG324" s="117"/>
      <c r="IH324" s="117"/>
      <c r="II324" s="117">
        <f>Konvention_1slave-GEslave</f>
        <v>12</v>
      </c>
      <c r="IJ324" s="117"/>
      <c r="IK324" s="121"/>
      <c r="IL324" s="223">
        <f t="shared" ref="IL324:IL325" si="2906">(ID324+IE324+IF324+IG324+IH324+II324+IJ324+IK324)/3</f>
        <v>12</v>
      </c>
      <c r="IM324" s="223">
        <f t="shared" ref="IM324:IM325" si="2907">2*IL324</f>
        <v>24</v>
      </c>
      <c r="IN324" s="224">
        <f t="shared" ref="IN324:IN325" si="2908">3*IL324</f>
        <v>36</v>
      </c>
      <c r="IO324" s="237">
        <f t="shared" ref="IO324:IO325" si="2909">ID324*POWER(KLslave,SIGN(IE324))*POWER(INslave,SIGN(IF324))*POWER(CHslave,SIGN(IG324))*POWER(FFslave,SIGN(IH324))*POWER(GEslave,SIGN(II324))*POWER(KOslave,SIGN(IJ324))*POWER(KKslave_KK,SIGN(IK324))+IE324*POWER(MUslave,SIGN(ID324))*POWER(INslave,SIGN(IF324))*POWER(CHslave,SIGN(IG324))*POWER(FFslave,SIGN(IH324))*POWER(GEslave,SIGN(II324))*POWER(KOslave,SIGN(IJ324))*POWER(KKslave_KK,SIGN(IK324))+IF324*POWER(MUslave,SIGN(ID324))*POWER(KLslave,SIGN(IE324))*POWER(CHslave,SIGN(IG324))*POWER(FFslave,SIGN(IH324))*POWER(GEslave,SIGN(II324))*POWER(KOslave,SIGN(IJ324))*POWER(KKslave_KK,SIGN(IK324))+IG324*POWER(MUslave,SIGN(ID324))*POWER(KLslave,SIGN(IE324))*POWER(INslave,SIGN(IF324))*POWER(FFslave,SIGN(IH324))*POWER(GEslave,SIGN(II324))*POWER(KOslave,SIGN(IJ324))*POWER(KKslave_KK,SIGN(IK324))+IH324*POWER(MUslave,SIGN(ID324))*POWER(KLslave,SIGN(IE324))*POWER(INslave,SIGN(IF324))*POWER(CHslave,SIGN(IG324))*POWER(GEslave,SIGN(II324))*POWER(KOslave,SIGN(IJ324))*POWER(KKslave_KK,SIGN(IK324))+II324*POWER(MUslave,SIGN(ID324))*POWER(KLslave,SIGN(IE324))*POWER(INslave,SIGN(IF324))*POWER(CHslave,SIGN(IG324))*POWER(FFslave,SIGN(IH324))*POWER(KOslave,SIGN(IJ324))*POWER(KKslave_KK,SIGN(IK324))+IJ324*POWER(MUslave,SIGN(ID324))*POWER(KLslave,SIGN(IE324))*POWER(INslave,SIGN(IF324))*POWER(CHslave,SIGN(IG324))*POWER(FFslave,SIGN(IH324))*POWER(GEslave,SIGN(II324))*POWER(KKslave_KK,SIGN(IK324))+IK324*POWER(MUslave,SIGN(ID324))*POWER(KLslave,SIGN(IE324))*POWER(INslave,SIGN(IF324))*POWER(CHslave,SIGN(IG324))*POWER(FFslave,SIGN(IH324))*POWER(GEslave,SIGN(II324))*POWER(KOslave,SIGN(IJ324))</f>
        <v>2304</v>
      </c>
      <c r="IP324" s="117">
        <f>IE324*IF324*GEslave+IE324*INslave*II324+KLslave*IF324*II324</f>
        <v>3456</v>
      </c>
      <c r="IQ324" s="224">
        <f t="shared" ref="IQ324:IQ325" si="2910">IFERROR(ID324^SIGN(ID324),1)*IFERROR(IE324^SIGN(IE324),1)*IFERROR(IF324^SIGN(IF324),1)*IFERROR(IG324^SIGN(IG324),1)*IFERROR(IH324^SIGN(IH324),1)*IFERROR(II324^SIGN(II324),1)*IFERROR(IJ324^SIGN(IJ324),1)*IFERROR(IK324^SIGN(IK324),1)</f>
        <v>1728</v>
      </c>
      <c r="IR324" s="224">
        <f t="shared" si="2801"/>
        <v>7488</v>
      </c>
      <c r="IS324" s="222">
        <f t="shared" ref="IS324:IS325" si="2911">IL324*IO324/IR324</f>
        <v>3.6923076923076925</v>
      </c>
      <c r="IT324" s="223">
        <f t="shared" ref="IT324:IT325" si="2912">IM324*IP324/IR324</f>
        <v>11.076923076923077</v>
      </c>
      <c r="IU324" s="243">
        <f t="shared" ref="IU324:IU325" si="2913">IN324*IQ324/IR324</f>
        <v>8.3076923076923084</v>
      </c>
      <c r="IV324" s="243">
        <f t="shared" ref="IV324:IV325" si="2914">SUM(IS324:IU324)</f>
        <v>23.07692307692308</v>
      </c>
      <c r="IW324" s="252">
        <f t="shared" si="1923"/>
        <v>0</v>
      </c>
      <c r="IX324" s="324">
        <f t="shared" ref="IX324:IX325" si="2915">IV324-IW324</f>
        <v>23.07692307692308</v>
      </c>
      <c r="IY324" s="304">
        <f>IF(IV324&lt;=0,2,0)+IF(IV324&gt;0,IV324+1,0)*2+IF(IV324&gt;12,IV324-12,0)*2+IF(IV324&gt;13,IV324-13,0)*2+IF(IV324&gt;14,IV324-14,0)*2+IF(IV324&gt;15,IV324-15,0)*2+IF(IV324&gt;16,IV324-16,0)*2+IF(IV324&gt;17,IV324-17,0)*2+IF(IV324&gt;18,IV324-18,0)*2+IF(IV324&gt;19,IV324-19,0)*2+IF(IV324&gt;20,IV324-20,0)*2</f>
        <v>175.5384615384616</v>
      </c>
      <c r="IZ324" s="335">
        <f>IF(IW324&lt;=0,2,0)+IF(IW324&gt;0,IW324+1,0)*2+IF(IW324&gt;12,IW324-12,0)*2+IF(IW324&gt;13,IW324-13,0)*2+IF(IW324&gt;14,IW324-14,0)*2+IF(IW324&gt;15,IW324-15,0)*2+IF(IW324&gt;16,IW324-16,0)*2+IF(IW324&gt;17,IW324-17,0)*2+IF(IW324&gt;18,IW324-18,0)*2+IF(IW324&gt;19,IW324-19,0)*2+IF(IW324&gt;20,IW324-20,0)*2</f>
        <v>2</v>
      </c>
      <c r="JA324" s="243">
        <f t="shared" ref="JA324:JA325" si="2916">IF((IY324-IZ324)&gt;0,IY324-IZ324,0)</f>
        <v>173.5384615384616</v>
      </c>
      <c r="JB324" s="218">
        <f t="shared" ref="JB324:JB325" si="2917">IF((IZ324-IY324)&gt;0,IZ324-IY324,0)</f>
        <v>0</v>
      </c>
      <c r="JE324" s="148"/>
    </row>
    <row r="325" spans="1:265" hidden="1" outlineLevel="2">
      <c r="A325" s="185"/>
      <c r="B325" s="217">
        <v>3</v>
      </c>
      <c r="C325" s="303" t="e">
        <f>VLOOKUP(AF325,Attribute!C:T,1,FALSE)</f>
        <v>#N/A</v>
      </c>
      <c r="D325" s="304" t="s">
        <v>88</v>
      </c>
      <c r="E325" s="304" t="s">
        <v>133</v>
      </c>
      <c r="F325" s="120"/>
      <c r="G325" s="117"/>
      <c r="H325" s="117">
        <f t="shared" si="2802"/>
        <v>12</v>
      </c>
      <c r="I325" s="117">
        <f t="shared" ref="I325" si="2918">Konvention_1master-CHmaster</f>
        <v>12</v>
      </c>
      <c r="J325" s="117"/>
      <c r="K325" s="117">
        <f>Konvention_1master-GEmaster</f>
        <v>12</v>
      </c>
      <c r="L325" s="117"/>
      <c r="M325" s="121"/>
      <c r="N325" s="223">
        <f t="shared" si="2803"/>
        <v>12</v>
      </c>
      <c r="O325" s="223">
        <f t="shared" si="2804"/>
        <v>24</v>
      </c>
      <c r="P325" s="224">
        <f t="shared" si="2805"/>
        <v>36</v>
      </c>
      <c r="Q325" s="237">
        <f t="shared" si="2806"/>
        <v>2304</v>
      </c>
      <c r="R325" s="117">
        <f>H325*I325*GEmaster+H325*CHmaster*K325+INmaster*I325*K325</f>
        <v>3456</v>
      </c>
      <c r="S325" s="224">
        <f t="shared" si="2807"/>
        <v>1728</v>
      </c>
      <c r="T325" s="224">
        <f t="shared" si="2793"/>
        <v>7488</v>
      </c>
      <c r="U325" s="222">
        <f t="shared" si="2808"/>
        <v>3.6923076923076925</v>
      </c>
      <c r="V325" s="223">
        <f t="shared" si="2809"/>
        <v>11.076923076923077</v>
      </c>
      <c r="W325" s="243">
        <f t="shared" si="2810"/>
        <v>8.3076923076923084</v>
      </c>
      <c r="X325" s="243">
        <f t="shared" si="2811"/>
        <v>23.07692307692308</v>
      </c>
      <c r="Y325" s="252">
        <v>0</v>
      </c>
      <c r="Z325" s="324">
        <f t="shared" si="2812"/>
        <v>23.07692307692308</v>
      </c>
      <c r="AA325" s="304">
        <f t="shared" ref="AA325" si="2919">IF(X325&lt;=0,1,0)+IF(X325&gt;0,X325+1,0)*1+IF(X325&gt;12,X325-12,0)*1+IF(X325&gt;13,X325-13,0)*1+IF(X325&gt;14,X325-14,0)*1+IF(X325&gt;15,X325-15,0)*1+IF(X325&gt;16,X325-16,0)*1+IF(X325&gt;17,X325-17,0)*1+IF(X325&gt;18,X325-18,0)*1+IF(X325&gt;19,X325-19,0)*1+IF(X325&gt;20,X325-20,0)*1</f>
        <v>87.769230769230802</v>
      </c>
      <c r="AB325" s="335">
        <f t="shared" ref="AB325" si="2920">IF(Y325&lt;=0,1,0)+IF(Y325&gt;0,Y325+1,0)*1+IF(Y325&gt;12,Y325-12,0)*1+IF(Y325&gt;13,Y325-13,0)*1+IF(Y325&gt;14,Y325-14,0)*1+IF(Y325&gt;15,Y325-15,0)*1+IF(Y325&gt;16,Y325-16,0)*1+IF(Y325&gt;17,Y325-17,0)*1+IF(Y325&gt;18,Y325-18,0)*1+IF(Y325&gt;19,Y325-19,0)*1+IF(Y325&gt;20,Y325-20,0)*1</f>
        <v>1</v>
      </c>
      <c r="AC325" s="243">
        <f t="shared" si="2813"/>
        <v>86.769230769230802</v>
      </c>
      <c r="AD325" s="218">
        <f t="shared" si="2814"/>
        <v>0</v>
      </c>
      <c r="AE325" s="140"/>
      <c r="AF325" s="303" t="s">
        <v>477</v>
      </c>
      <c r="AG325" s="304" t="s">
        <v>88</v>
      </c>
      <c r="AH325" s="304" t="s">
        <v>133</v>
      </c>
      <c r="AI325" s="120"/>
      <c r="AJ325" s="117"/>
      <c r="AK325" s="117">
        <f t="shared" ref="AK325" si="2921">Konvention_1slave-INslave</f>
        <v>12</v>
      </c>
      <c r="AL325" s="117">
        <f t="shared" ref="AL325" si="2922">Konvention_1slave-CHslave</f>
        <v>12</v>
      </c>
      <c r="AM325" s="117"/>
      <c r="AN325" s="117">
        <f>Konvention_1slave-GEslave</f>
        <v>12</v>
      </c>
      <c r="AO325" s="117"/>
      <c r="AP325" s="121"/>
      <c r="AQ325" s="223">
        <f t="shared" si="2815"/>
        <v>12</v>
      </c>
      <c r="AR325" s="223">
        <f t="shared" si="2816"/>
        <v>24</v>
      </c>
      <c r="AS325" s="224">
        <f t="shared" si="2817"/>
        <v>36</v>
      </c>
      <c r="AT325" s="237">
        <f t="shared" si="2818"/>
        <v>2304</v>
      </c>
      <c r="AU325" s="117">
        <f>AK325*AL325*GEslave+AK325*CHslave*AN325+INslave*AL325*AN325</f>
        <v>3456</v>
      </c>
      <c r="AV325" s="224">
        <f t="shared" si="2819"/>
        <v>1728</v>
      </c>
      <c r="AW325" s="224">
        <f t="shared" si="2794"/>
        <v>7488</v>
      </c>
      <c r="AX325" s="222">
        <f t="shared" si="2820"/>
        <v>3.6923076923076925</v>
      </c>
      <c r="AY325" s="223">
        <f t="shared" si="2821"/>
        <v>11.076923076923077</v>
      </c>
      <c r="AZ325" s="243">
        <f t="shared" si="2822"/>
        <v>8.3076923076923084</v>
      </c>
      <c r="BA325" s="243">
        <f t="shared" si="2823"/>
        <v>23.07692307692308</v>
      </c>
      <c r="BB325" s="252">
        <f t="shared" si="2034"/>
        <v>0</v>
      </c>
      <c r="BC325" s="324">
        <f t="shared" si="2824"/>
        <v>23.07692307692308</v>
      </c>
      <c r="BD325" s="304">
        <f t="shared" ref="BD325:BE325" si="2923">IF(BA325&lt;=0,1,0)+IF(BA325&gt;0,BA325+1,0)*1+IF(BA325&gt;12,BA325-12,0)*1+IF(BA325&gt;13,BA325-13,0)*1+IF(BA325&gt;14,BA325-14,0)*1+IF(BA325&gt;15,BA325-15,0)*1+IF(BA325&gt;16,BA325-16,0)*1+IF(BA325&gt;17,BA325-17,0)*1+IF(BA325&gt;18,BA325-18,0)*1+IF(BA325&gt;19,BA325-19,0)*1+IF(BA325&gt;20,BA325-20,0)*1</f>
        <v>87.769230769230802</v>
      </c>
      <c r="BE325" s="335">
        <f t="shared" si="2923"/>
        <v>1</v>
      </c>
      <c r="BF325" s="243">
        <f t="shared" si="2825"/>
        <v>86.769230769230802</v>
      </c>
      <c r="BG325" s="218">
        <f t="shared" si="2826"/>
        <v>0</v>
      </c>
      <c r="BH325" s="248"/>
      <c r="BI325" s="303" t="s">
        <v>477</v>
      </c>
      <c r="BJ325" s="304" t="s">
        <v>88</v>
      </c>
      <c r="BK325" s="304" t="s">
        <v>133</v>
      </c>
      <c r="BL325" s="120"/>
      <c r="BM325" s="117"/>
      <c r="BN325" s="117">
        <f t="shared" si="2827"/>
        <v>12</v>
      </c>
      <c r="BO325" s="117">
        <f t="shared" ref="BO325" si="2924">Konvention_1slave-CHslave</f>
        <v>12</v>
      </c>
      <c r="BP325" s="117"/>
      <c r="BQ325" s="117">
        <f>Konvention_1slave-GEslave</f>
        <v>12</v>
      </c>
      <c r="BR325" s="117"/>
      <c r="BS325" s="121"/>
      <c r="BT325" s="223">
        <f t="shared" si="2828"/>
        <v>12</v>
      </c>
      <c r="BU325" s="223">
        <f t="shared" si="2829"/>
        <v>24</v>
      </c>
      <c r="BV325" s="224">
        <f t="shared" si="2830"/>
        <v>36</v>
      </c>
      <c r="BW325" s="237">
        <f t="shared" si="2831"/>
        <v>2304</v>
      </c>
      <c r="BX325" s="117">
        <f>BN325*BO325*GEslave+BN325*CHslave*BQ325+INslave*BO325*BQ325</f>
        <v>3456</v>
      </c>
      <c r="BY325" s="224">
        <f t="shared" si="2832"/>
        <v>1728</v>
      </c>
      <c r="BZ325" s="224">
        <f t="shared" si="2795"/>
        <v>7488</v>
      </c>
      <c r="CA325" s="222">
        <f t="shared" si="2833"/>
        <v>3.6923076923076925</v>
      </c>
      <c r="CB325" s="223">
        <f t="shared" si="2834"/>
        <v>11.076923076923077</v>
      </c>
      <c r="CC325" s="243">
        <f t="shared" si="2835"/>
        <v>8.3076923076923084</v>
      </c>
      <c r="CD325" s="243">
        <f t="shared" si="2836"/>
        <v>23.07692307692308</v>
      </c>
      <c r="CE325" s="252">
        <f t="shared" ref="CE325:CE348" si="2925">BB325</f>
        <v>0</v>
      </c>
      <c r="CF325" s="324">
        <f t="shared" si="2837"/>
        <v>23.07692307692308</v>
      </c>
      <c r="CG325" s="304">
        <f t="shared" ref="CG325:CH325" si="2926">IF(CD325&lt;=0,1,0)+IF(CD325&gt;0,CD325+1,0)*1+IF(CD325&gt;12,CD325-12,0)*1+IF(CD325&gt;13,CD325-13,0)*1+IF(CD325&gt;14,CD325-14,0)*1+IF(CD325&gt;15,CD325-15,0)*1+IF(CD325&gt;16,CD325-16,0)*1+IF(CD325&gt;17,CD325-17,0)*1+IF(CD325&gt;18,CD325-18,0)*1+IF(CD325&gt;19,CD325-19,0)*1+IF(CD325&gt;20,CD325-20,0)*1</f>
        <v>87.769230769230802</v>
      </c>
      <c r="CH325" s="335">
        <f t="shared" si="2926"/>
        <v>1</v>
      </c>
      <c r="CI325" s="243">
        <f t="shared" si="2838"/>
        <v>86.769230769230802</v>
      </c>
      <c r="CJ325" s="218">
        <f t="shared" si="2839"/>
        <v>0</v>
      </c>
      <c r="CK325" s="248"/>
      <c r="CL325" s="303" t="s">
        <v>477</v>
      </c>
      <c r="CM325" s="304" t="s">
        <v>88</v>
      </c>
      <c r="CN325" s="304" t="s">
        <v>133</v>
      </c>
      <c r="CO325" s="120"/>
      <c r="CP325" s="117"/>
      <c r="CQ325" s="117">
        <f t="shared" si="2840"/>
        <v>11</v>
      </c>
      <c r="CR325" s="117">
        <f t="shared" ref="CR325" si="2927">Konvention_1slave-CHslave</f>
        <v>12</v>
      </c>
      <c r="CS325" s="117"/>
      <c r="CT325" s="117">
        <f>Konvention_1slave-GEslave</f>
        <v>12</v>
      </c>
      <c r="CU325" s="117"/>
      <c r="CV325" s="121"/>
      <c r="CW325" s="223">
        <f t="shared" si="2841"/>
        <v>11.666666666666666</v>
      </c>
      <c r="CX325" s="223">
        <f t="shared" si="2842"/>
        <v>23.333333333333332</v>
      </c>
      <c r="CY325" s="224">
        <f t="shared" si="2843"/>
        <v>35</v>
      </c>
      <c r="CZ325" s="237">
        <f t="shared" si="2844"/>
        <v>2432</v>
      </c>
      <c r="DA325" s="117">
        <f>CQ325*CR325*GEslave+CQ325*CHslave*CT325+INslave_IN*CR325*CT325</f>
        <v>3408</v>
      </c>
      <c r="DB325" s="224">
        <f t="shared" si="2845"/>
        <v>1584</v>
      </c>
      <c r="DC325" s="224">
        <f t="shared" si="2796"/>
        <v>7424</v>
      </c>
      <c r="DD325" s="222">
        <f t="shared" si="2846"/>
        <v>3.8218390804597702</v>
      </c>
      <c r="DE325" s="223">
        <f t="shared" si="2847"/>
        <v>10.711206896551724</v>
      </c>
      <c r="DF325" s="243">
        <f t="shared" si="2848"/>
        <v>7.4676724137931032</v>
      </c>
      <c r="DG325" s="243">
        <f t="shared" si="2849"/>
        <v>22.000718390804597</v>
      </c>
      <c r="DH325" s="252">
        <f t="shared" ref="DH325:DH348" si="2928">CE325</f>
        <v>0</v>
      </c>
      <c r="DI325" s="324">
        <f t="shared" si="2850"/>
        <v>22.000718390804597</v>
      </c>
      <c r="DJ325" s="304">
        <f t="shared" ref="DJ325:DK325" si="2929">IF(DG325&lt;=0,1,0)+IF(DG325&gt;0,DG325+1,0)*1+IF(DG325&gt;12,DG325-12,0)*1+IF(DG325&gt;13,DG325-13,0)*1+IF(DG325&gt;14,DG325-14,0)*1+IF(DG325&gt;15,DG325-15,0)*1+IF(DG325&gt;16,DG325-16,0)*1+IF(DG325&gt;17,DG325-17,0)*1+IF(DG325&gt;18,DG325-18,0)*1+IF(DG325&gt;19,DG325-19,0)*1+IF(DG325&gt;20,DG325-20,0)*1</f>
        <v>77.007183908045945</v>
      </c>
      <c r="DK325" s="335">
        <f t="shared" si="2929"/>
        <v>1</v>
      </c>
      <c r="DL325" s="243">
        <f t="shared" si="2851"/>
        <v>76.007183908045945</v>
      </c>
      <c r="DM325" s="218">
        <f t="shared" si="2852"/>
        <v>0</v>
      </c>
      <c r="DN325" s="248"/>
      <c r="DO325" s="303" t="s">
        <v>477</v>
      </c>
      <c r="DP325" s="304" t="s">
        <v>88</v>
      </c>
      <c r="DQ325" s="304" t="s">
        <v>133</v>
      </c>
      <c r="DR325" s="120"/>
      <c r="DS325" s="117"/>
      <c r="DT325" s="117">
        <f t="shared" si="2853"/>
        <v>12</v>
      </c>
      <c r="DU325" s="117">
        <f t="shared" ref="DU325" si="2930">Konvention_1slave-CHslave_CH</f>
        <v>11</v>
      </c>
      <c r="DV325" s="117"/>
      <c r="DW325" s="117">
        <f>Konvention_1slave-GEslave</f>
        <v>12</v>
      </c>
      <c r="DX325" s="117"/>
      <c r="DY325" s="121"/>
      <c r="DZ325" s="223">
        <f t="shared" si="2854"/>
        <v>11.666666666666666</v>
      </c>
      <c r="EA325" s="223">
        <f t="shared" si="2855"/>
        <v>23.333333333333332</v>
      </c>
      <c r="EB325" s="224">
        <f t="shared" si="2856"/>
        <v>35</v>
      </c>
      <c r="EC325" s="237">
        <f t="shared" si="2857"/>
        <v>2432</v>
      </c>
      <c r="ED325" s="117">
        <f>DT325*DU325*GEslave+DT325*CHslave_CH*DW325+INslave*DU325*DW325</f>
        <v>3408</v>
      </c>
      <c r="EE325" s="224">
        <f t="shared" si="2858"/>
        <v>1584</v>
      </c>
      <c r="EF325" s="224">
        <f t="shared" si="2797"/>
        <v>7424</v>
      </c>
      <c r="EG325" s="222">
        <f t="shared" si="2859"/>
        <v>3.8218390804597702</v>
      </c>
      <c r="EH325" s="223">
        <f t="shared" si="2860"/>
        <v>10.711206896551724</v>
      </c>
      <c r="EI325" s="243">
        <f t="shared" si="2861"/>
        <v>7.4676724137931032</v>
      </c>
      <c r="EJ325" s="243">
        <f t="shared" si="2862"/>
        <v>22.000718390804597</v>
      </c>
      <c r="EK325" s="252">
        <f t="shared" ref="EK325:EK348" si="2931">DH325</f>
        <v>0</v>
      </c>
      <c r="EL325" s="324">
        <f t="shared" si="2863"/>
        <v>22.000718390804597</v>
      </c>
      <c r="EM325" s="304">
        <f t="shared" ref="EM325:EN325" si="2932">IF(EJ325&lt;=0,1,0)+IF(EJ325&gt;0,EJ325+1,0)*1+IF(EJ325&gt;12,EJ325-12,0)*1+IF(EJ325&gt;13,EJ325-13,0)*1+IF(EJ325&gt;14,EJ325-14,0)*1+IF(EJ325&gt;15,EJ325-15,0)*1+IF(EJ325&gt;16,EJ325-16,0)*1+IF(EJ325&gt;17,EJ325-17,0)*1+IF(EJ325&gt;18,EJ325-18,0)*1+IF(EJ325&gt;19,EJ325-19,0)*1+IF(EJ325&gt;20,EJ325-20,0)*1</f>
        <v>77.007183908045945</v>
      </c>
      <c r="EN325" s="335">
        <f t="shared" si="2932"/>
        <v>1</v>
      </c>
      <c r="EO325" s="243">
        <f t="shared" si="2864"/>
        <v>76.007183908045945</v>
      </c>
      <c r="EP325" s="218">
        <f t="shared" si="2865"/>
        <v>0</v>
      </c>
      <c r="EQ325" s="248"/>
      <c r="ER325" s="303" t="s">
        <v>477</v>
      </c>
      <c r="ES325" s="304" t="s">
        <v>88</v>
      </c>
      <c r="ET325" s="304" t="s">
        <v>133</v>
      </c>
      <c r="EU325" s="120"/>
      <c r="EV325" s="117"/>
      <c r="EW325" s="117">
        <f t="shared" si="2866"/>
        <v>12</v>
      </c>
      <c r="EX325" s="117">
        <f t="shared" ref="EX325" si="2933">Konvention_1slave-CHslave</f>
        <v>12</v>
      </c>
      <c r="EY325" s="117"/>
      <c r="EZ325" s="117">
        <f>Konvention_1slave-GEslave</f>
        <v>12</v>
      </c>
      <c r="FA325" s="117"/>
      <c r="FB325" s="121"/>
      <c r="FC325" s="223">
        <f t="shared" si="2867"/>
        <v>12</v>
      </c>
      <c r="FD325" s="223">
        <f t="shared" si="2868"/>
        <v>24</v>
      </c>
      <c r="FE325" s="224">
        <f t="shared" si="2869"/>
        <v>36</v>
      </c>
      <c r="FF325" s="237">
        <f t="shared" si="2870"/>
        <v>2304</v>
      </c>
      <c r="FG325" s="117">
        <f>EW325*EX325*GEslave+EW325*CHslave*EZ325+INslave*EX325*EZ325</f>
        <v>3456</v>
      </c>
      <c r="FH325" s="224">
        <f t="shared" si="2871"/>
        <v>1728</v>
      </c>
      <c r="FI325" s="224">
        <f t="shared" si="2798"/>
        <v>7488</v>
      </c>
      <c r="FJ325" s="222">
        <f t="shared" si="2872"/>
        <v>3.6923076923076925</v>
      </c>
      <c r="FK325" s="223">
        <f t="shared" si="2873"/>
        <v>11.076923076923077</v>
      </c>
      <c r="FL325" s="243">
        <f t="shared" si="2874"/>
        <v>8.3076923076923084</v>
      </c>
      <c r="FM325" s="243">
        <f t="shared" si="2875"/>
        <v>23.07692307692308</v>
      </c>
      <c r="FN325" s="252">
        <f t="shared" ref="FN325:FN348" si="2934">EK325</f>
        <v>0</v>
      </c>
      <c r="FO325" s="324">
        <f t="shared" si="2876"/>
        <v>23.07692307692308</v>
      </c>
      <c r="FP325" s="304">
        <f t="shared" ref="FP325:FQ325" si="2935">IF(FM325&lt;=0,1,0)+IF(FM325&gt;0,FM325+1,0)*1+IF(FM325&gt;12,FM325-12,0)*1+IF(FM325&gt;13,FM325-13,0)*1+IF(FM325&gt;14,FM325-14,0)*1+IF(FM325&gt;15,FM325-15,0)*1+IF(FM325&gt;16,FM325-16,0)*1+IF(FM325&gt;17,FM325-17,0)*1+IF(FM325&gt;18,FM325-18,0)*1+IF(FM325&gt;19,FM325-19,0)*1+IF(FM325&gt;20,FM325-20,0)*1</f>
        <v>87.769230769230802</v>
      </c>
      <c r="FQ325" s="335">
        <f t="shared" si="2935"/>
        <v>1</v>
      </c>
      <c r="FR325" s="243">
        <f t="shared" si="2877"/>
        <v>86.769230769230802</v>
      </c>
      <c r="FS325" s="218">
        <f t="shared" si="2878"/>
        <v>0</v>
      </c>
      <c r="FT325" s="248"/>
      <c r="FU325" s="303" t="s">
        <v>477</v>
      </c>
      <c r="FV325" s="304" t="s">
        <v>88</v>
      </c>
      <c r="FW325" s="304" t="s">
        <v>133</v>
      </c>
      <c r="FX325" s="120"/>
      <c r="FY325" s="117"/>
      <c r="FZ325" s="117">
        <f t="shared" si="2879"/>
        <v>12</v>
      </c>
      <c r="GA325" s="117">
        <f t="shared" ref="GA325" si="2936">Konvention_1slave-CHslave</f>
        <v>12</v>
      </c>
      <c r="GB325" s="117"/>
      <c r="GC325" s="117">
        <f>Konvention_1slave-GEslave_GE</f>
        <v>11</v>
      </c>
      <c r="GD325" s="117"/>
      <c r="GE325" s="121"/>
      <c r="GF325" s="223">
        <f t="shared" si="2880"/>
        <v>11.666666666666666</v>
      </c>
      <c r="GG325" s="223">
        <f t="shared" si="2881"/>
        <v>23.333333333333332</v>
      </c>
      <c r="GH325" s="224">
        <f t="shared" si="2882"/>
        <v>35</v>
      </c>
      <c r="GI325" s="237">
        <f t="shared" si="2883"/>
        <v>2432</v>
      </c>
      <c r="GJ325" s="117">
        <f>FZ325*GA325*GEslave_GE+FZ325*CHslave*GC325+INslave*GA325*GC325</f>
        <v>3408</v>
      </c>
      <c r="GK325" s="224">
        <f t="shared" si="2884"/>
        <v>1584</v>
      </c>
      <c r="GL325" s="224">
        <f t="shared" si="2799"/>
        <v>7424</v>
      </c>
      <c r="GM325" s="222">
        <f t="shared" si="2885"/>
        <v>3.8218390804597702</v>
      </c>
      <c r="GN325" s="223">
        <f t="shared" si="2886"/>
        <v>10.711206896551724</v>
      </c>
      <c r="GO325" s="243">
        <f t="shared" si="2887"/>
        <v>7.4676724137931032</v>
      </c>
      <c r="GP325" s="243">
        <f t="shared" si="2888"/>
        <v>22.000718390804597</v>
      </c>
      <c r="GQ325" s="252">
        <f t="shared" ref="GQ325:GQ348" si="2937">FN325</f>
        <v>0</v>
      </c>
      <c r="GR325" s="324">
        <f t="shared" si="2889"/>
        <v>22.000718390804597</v>
      </c>
      <c r="GS325" s="304">
        <f t="shared" ref="GS325:GT325" si="2938">IF(GP325&lt;=0,1,0)+IF(GP325&gt;0,GP325+1,0)*1+IF(GP325&gt;12,GP325-12,0)*1+IF(GP325&gt;13,GP325-13,0)*1+IF(GP325&gt;14,GP325-14,0)*1+IF(GP325&gt;15,GP325-15,0)*1+IF(GP325&gt;16,GP325-16,0)*1+IF(GP325&gt;17,GP325-17,0)*1+IF(GP325&gt;18,GP325-18,0)*1+IF(GP325&gt;19,GP325-19,0)*1+IF(GP325&gt;20,GP325-20,0)*1</f>
        <v>77.007183908045945</v>
      </c>
      <c r="GT325" s="335">
        <f t="shared" si="2938"/>
        <v>1</v>
      </c>
      <c r="GU325" s="243">
        <f t="shared" si="2890"/>
        <v>76.007183908045945</v>
      </c>
      <c r="GV325" s="218">
        <f t="shared" si="2891"/>
        <v>0</v>
      </c>
      <c r="GW325" s="248"/>
      <c r="GX325" s="303" t="s">
        <v>477</v>
      </c>
      <c r="GY325" s="304" t="s">
        <v>88</v>
      </c>
      <c r="GZ325" s="304" t="s">
        <v>133</v>
      </c>
      <c r="HA325" s="120"/>
      <c r="HB325" s="117"/>
      <c r="HC325" s="117">
        <f t="shared" si="2892"/>
        <v>12</v>
      </c>
      <c r="HD325" s="117">
        <f t="shared" ref="HD325" si="2939">Konvention_1slave-CHslave</f>
        <v>12</v>
      </c>
      <c r="HE325" s="117"/>
      <c r="HF325" s="117">
        <f>Konvention_1slave-GEslave</f>
        <v>12</v>
      </c>
      <c r="HG325" s="117"/>
      <c r="HH325" s="121"/>
      <c r="HI325" s="223">
        <f t="shared" si="2893"/>
        <v>12</v>
      </c>
      <c r="HJ325" s="223">
        <f t="shared" si="2894"/>
        <v>24</v>
      </c>
      <c r="HK325" s="224">
        <f t="shared" si="2895"/>
        <v>36</v>
      </c>
      <c r="HL325" s="237">
        <f t="shared" si="2896"/>
        <v>2304</v>
      </c>
      <c r="HM325" s="117">
        <f>HC325*HD325*GEslave+HC325*CHslave*HF325+INslave*HD325*HF325</f>
        <v>3456</v>
      </c>
      <c r="HN325" s="224">
        <f t="shared" si="2897"/>
        <v>1728</v>
      </c>
      <c r="HO325" s="224">
        <f t="shared" si="2800"/>
        <v>7488</v>
      </c>
      <c r="HP325" s="222">
        <f t="shared" si="2898"/>
        <v>3.6923076923076925</v>
      </c>
      <c r="HQ325" s="223">
        <f t="shared" si="2899"/>
        <v>11.076923076923077</v>
      </c>
      <c r="HR325" s="243">
        <f t="shared" si="2900"/>
        <v>8.3076923076923084</v>
      </c>
      <c r="HS325" s="243">
        <f t="shared" si="2901"/>
        <v>23.07692307692308</v>
      </c>
      <c r="HT325" s="252">
        <f t="shared" ref="HT325:HT348" si="2940">GQ325</f>
        <v>0</v>
      </c>
      <c r="HU325" s="324">
        <f t="shared" si="2902"/>
        <v>23.07692307692308</v>
      </c>
      <c r="HV325" s="304">
        <f t="shared" ref="HV325:HW325" si="2941">IF(HS325&lt;=0,1,0)+IF(HS325&gt;0,HS325+1,0)*1+IF(HS325&gt;12,HS325-12,0)*1+IF(HS325&gt;13,HS325-13,0)*1+IF(HS325&gt;14,HS325-14,0)*1+IF(HS325&gt;15,HS325-15,0)*1+IF(HS325&gt;16,HS325-16,0)*1+IF(HS325&gt;17,HS325-17,0)*1+IF(HS325&gt;18,HS325-18,0)*1+IF(HS325&gt;19,HS325-19,0)*1+IF(HS325&gt;20,HS325-20,0)*1</f>
        <v>87.769230769230802</v>
      </c>
      <c r="HW325" s="335">
        <f t="shared" si="2941"/>
        <v>1</v>
      </c>
      <c r="HX325" s="243">
        <f t="shared" si="2903"/>
        <v>86.769230769230802</v>
      </c>
      <c r="HY325" s="218">
        <f t="shared" si="2904"/>
        <v>0</v>
      </c>
      <c r="HZ325" s="248"/>
      <c r="IA325" s="303" t="s">
        <v>477</v>
      </c>
      <c r="IB325" s="304" t="s">
        <v>88</v>
      </c>
      <c r="IC325" s="304" t="s">
        <v>133</v>
      </c>
      <c r="ID325" s="120"/>
      <c r="IE325" s="117"/>
      <c r="IF325" s="117">
        <f t="shared" si="2905"/>
        <v>12</v>
      </c>
      <c r="IG325" s="117">
        <f t="shared" ref="IG325" si="2942">Konvention_1slave-CHslave</f>
        <v>12</v>
      </c>
      <c r="IH325" s="117"/>
      <c r="II325" s="117">
        <f>Konvention_1slave-GEslave</f>
        <v>12</v>
      </c>
      <c r="IJ325" s="117"/>
      <c r="IK325" s="121"/>
      <c r="IL325" s="223">
        <f t="shared" si="2906"/>
        <v>12</v>
      </c>
      <c r="IM325" s="223">
        <f t="shared" si="2907"/>
        <v>24</v>
      </c>
      <c r="IN325" s="224">
        <f t="shared" si="2908"/>
        <v>36</v>
      </c>
      <c r="IO325" s="237">
        <f t="shared" si="2909"/>
        <v>2304</v>
      </c>
      <c r="IP325" s="117">
        <f>IF325*IG325*GEslave+IF325*CHslave*II325+INslave*IG325*II325</f>
        <v>3456</v>
      </c>
      <c r="IQ325" s="224">
        <f t="shared" si="2910"/>
        <v>1728</v>
      </c>
      <c r="IR325" s="224">
        <f t="shared" si="2801"/>
        <v>7488</v>
      </c>
      <c r="IS325" s="222">
        <f t="shared" si="2911"/>
        <v>3.6923076923076925</v>
      </c>
      <c r="IT325" s="223">
        <f t="shared" si="2912"/>
        <v>11.076923076923077</v>
      </c>
      <c r="IU325" s="243">
        <f t="shared" si="2913"/>
        <v>8.3076923076923084</v>
      </c>
      <c r="IV325" s="243">
        <f t="shared" si="2914"/>
        <v>23.07692307692308</v>
      </c>
      <c r="IW325" s="252">
        <f t="shared" ref="IW325:IW348" si="2943">HT325</f>
        <v>0</v>
      </c>
      <c r="IX325" s="324">
        <f t="shared" si="2915"/>
        <v>23.07692307692308</v>
      </c>
      <c r="IY325" s="304">
        <f t="shared" ref="IY325:IZ325" si="2944">IF(IV325&lt;=0,1,0)+IF(IV325&gt;0,IV325+1,0)*1+IF(IV325&gt;12,IV325-12,0)*1+IF(IV325&gt;13,IV325-13,0)*1+IF(IV325&gt;14,IV325-14,0)*1+IF(IV325&gt;15,IV325-15,0)*1+IF(IV325&gt;16,IV325-16,0)*1+IF(IV325&gt;17,IV325-17,0)*1+IF(IV325&gt;18,IV325-18,0)*1+IF(IV325&gt;19,IV325-19,0)*1+IF(IV325&gt;20,IV325-20,0)*1</f>
        <v>87.769230769230802</v>
      </c>
      <c r="IZ325" s="335">
        <f t="shared" si="2944"/>
        <v>1</v>
      </c>
      <c r="JA325" s="243">
        <f t="shared" si="2916"/>
        <v>86.769230769230802</v>
      </c>
      <c r="JB325" s="218">
        <f t="shared" si="2917"/>
        <v>0</v>
      </c>
      <c r="JE325" s="148"/>
    </row>
    <row r="326" spans="1:265" ht="15" hidden="1" customHeight="1" outlineLevel="2">
      <c r="A326" s="185"/>
      <c r="B326" s="148">
        <v>4</v>
      </c>
      <c r="C326" s="303" t="e">
        <f>VLOOKUP(AF326,Attribute!C:T,1,FALSE)</f>
        <v>#N/A</v>
      </c>
      <c r="D326" s="304" t="s">
        <v>172</v>
      </c>
      <c r="E326" s="304" t="s">
        <v>135</v>
      </c>
      <c r="F326" s="120">
        <f>Konvention_1master-MUmaster</f>
        <v>12</v>
      </c>
      <c r="G326" s="117"/>
      <c r="H326" s="117"/>
      <c r="I326" s="117">
        <f>Konvention_1master-CHmaster</f>
        <v>12</v>
      </c>
      <c r="J326" s="117"/>
      <c r="K326" s="117">
        <f>Konvention_1master-GEmaster</f>
        <v>12</v>
      </c>
      <c r="L326" s="117"/>
      <c r="M326" s="121"/>
      <c r="N326" s="223">
        <f>(F326+G326+H326+I326+J326+K326+L326+M326)/3</f>
        <v>12</v>
      </c>
      <c r="O326" s="223">
        <f t="shared" ref="O324:O344" si="2945">2*N326</f>
        <v>24</v>
      </c>
      <c r="P326" s="224">
        <f t="shared" ref="P324:P344" si="2946">3*N326</f>
        <v>36</v>
      </c>
      <c r="Q326" s="237">
        <f>F326*POWER(KLmaster,SIGN(G326))*POWER(INmaster,SIGN(H326))*POWER(CHmaster,SIGN(I326))*POWER(FFmaster,SIGN(J326))*POWER(GEmaster,SIGN(K326))*POWER(KOmaster,SIGN(L326))*POWER(KKmaster,SIGN(M326))+G326*POWER(MUmaster,SIGN(F326))*POWER(INmaster,SIGN(H326))*POWER(CHmaster,SIGN(I326))*POWER(FFmaster,SIGN(J326))*POWER(GEmaster,SIGN(K326))*POWER(KOmaster,SIGN(L326))*POWER(KKmaster,SIGN(M326))+H326*POWER(MUmaster,SIGN(F326))*POWER(KLmaster,SIGN(G326))*POWER(CHmaster,SIGN(I326))*POWER(FFmaster,SIGN(J326))*POWER(GEmaster,SIGN(K326))*POWER(KOmaster,SIGN(L326))*POWER(KKmaster,SIGN(M326))+I326*POWER(MUmaster,SIGN(F326))*POWER(KLmaster,SIGN(G326))*POWER(INmaster,SIGN(H326))*POWER(FFmaster,SIGN(J326))*POWER(GEmaster,SIGN(K326))*POWER(KOmaster,SIGN(L326))*POWER(KKmaster,SIGN(M326))+J326*POWER(MUmaster,SIGN(F326))*POWER(KLmaster,SIGN(G326))*POWER(INmaster,SIGN(H326))*POWER(CHmaster,SIGN(I326))*POWER(GEmaster,SIGN(K326))*POWER(KOmaster,SIGN(L326))*POWER(KKmaster,SIGN(M326))+K326*POWER(MUmaster,SIGN(F326))*POWER(KLmaster,SIGN(G326))*POWER(INmaster,SIGN(H326))*POWER(CHmaster,SIGN(I326))*POWER(FFmaster,SIGN(J326))*POWER(KOmaster,SIGN(L326))*POWER(KKmaster,SIGN(M326))+L326*POWER(MUmaster,SIGN(F326))*POWER(KLmaster,SIGN(G326))*POWER(INmaster,SIGN(H326))*POWER(CHmaster,SIGN(I326))*POWER(FFmaster,SIGN(J326))*POWER(GEmaster,SIGN(K326))*POWER(KKmaster,SIGN(M326))+M326*POWER(MUmaster,SIGN(F326))*POWER(KLmaster,SIGN(G326))*POWER(INmaster,SIGN(H326))*POWER(CHmaster,SIGN(I326))*POWER(FFmaster,SIGN(J326))*POWER(GEmaster,SIGN(K326))*POWER(KOmaster,SIGN(L326))</f>
        <v>2304</v>
      </c>
      <c r="R326" s="117">
        <f>F326*I326*GEmaster+F326*CHmaster*K326+MUmaster*I326*K326</f>
        <v>3456</v>
      </c>
      <c r="S326" s="224">
        <f>IFERROR(F326^SIGN(F326),1)*IFERROR(G326^SIGN(G326),1)*IFERROR(H326^SIGN(H326),1)*IFERROR(I326^SIGN(I326),1)*IFERROR(J326^SIGN(J326),1)*IFERROR(K326^SIGN(K326),1)*IFERROR(L326^SIGN(L326),1)*IFERROR(M326^SIGN(M326),1)</f>
        <v>1728</v>
      </c>
      <c r="T326" s="224">
        <f t="shared" ref="T324:T330" si="2947">SUM(Q326:S326)</f>
        <v>7488</v>
      </c>
      <c r="U326" s="222">
        <f t="shared" ref="U324:U335" si="2948">N326*Q326/T326</f>
        <v>3.6923076923076925</v>
      </c>
      <c r="V326" s="223">
        <f t="shared" ref="V324:V335" si="2949">O326*R326/T326</f>
        <v>11.076923076923077</v>
      </c>
      <c r="W326" s="243">
        <f t="shared" ref="W324:W335" si="2950">P326*S326/T326</f>
        <v>8.3076923076923084</v>
      </c>
      <c r="X326" s="243">
        <f t="shared" ref="X324:X335" si="2951">SUM(U326:W326)</f>
        <v>23.07692307692308</v>
      </c>
      <c r="Y326" s="252">
        <v>0</v>
      </c>
      <c r="Z326" s="324">
        <f t="shared" ref="Z324:Z335" si="2952">X326-Y326</f>
        <v>23.07692307692308</v>
      </c>
      <c r="AA326" s="304">
        <f t="shared" ref="AA326:AA327" si="2953">IF(X326&lt;=0,3,0)+IF(X326&gt;0,X326+1,0)*3+IF(X326&gt;12,X326-12,0)*3+IF(X326&gt;13,X326-13,0)*3+IF(X326&gt;14,X326-14,0)*3+IF(X326&gt;15,X326-15,0)*3+IF(X326&gt;16,X326-16,0)*3+IF(X326&gt;17,X326-17,0)*3+IF(X326&gt;18,X326-18,0)*3+IF(X326&gt;19,X326-19,0)*3+IF(X326&gt;20,X326-20,0)*3</f>
        <v>263.30769230769232</v>
      </c>
      <c r="AB326" s="335">
        <f t="shared" ref="AB326:AB327" si="2954">IF(Y326&lt;=0,3,0)+IF(Y326&gt;0,Y326+1,0)*3+IF(Y326&gt;12,Y326-12,0)*3+IF(Y326&gt;13,Y326-13,0)*3+IF(Y326&gt;14,Y326-14,0)*3+IF(Y326&gt;15,Y326-15,0)*3+IF(Y326&gt;16,Y326-16,0)*3+IF(Y326&gt;17,Y326-17,0)*3+IF(Y326&gt;18,Y326-18,0)*3+IF(Y326&gt;19,Y326-19,0)*3+IF(Y326&gt;20,Y326-20,0)*3</f>
        <v>3</v>
      </c>
      <c r="AC326" s="243">
        <f t="shared" ref="AC324:AC344" si="2955">IF((AA326-AB326)&gt;0,AA326-AB326,0)</f>
        <v>260.30769230769232</v>
      </c>
      <c r="AD326" s="218">
        <f t="shared" ref="AD324:AD344" si="2956">IF((AB326-AA326)&gt;0,AB326-AA326,0)</f>
        <v>0</v>
      </c>
      <c r="AE326" s="140"/>
      <c r="AF326" s="303" t="s">
        <v>478</v>
      </c>
      <c r="AG326" s="304" t="s">
        <v>172</v>
      </c>
      <c r="AH326" s="304" t="s">
        <v>135</v>
      </c>
      <c r="AI326" s="120">
        <f>Konvention_1slave-MUslave_MU</f>
        <v>11</v>
      </c>
      <c r="AJ326" s="117"/>
      <c r="AK326" s="117"/>
      <c r="AL326" s="117">
        <f>Konvention_1slave-CHslave</f>
        <v>12</v>
      </c>
      <c r="AM326" s="117"/>
      <c r="AN326" s="117">
        <f>Konvention_1slave-GEslave</f>
        <v>12</v>
      </c>
      <c r="AO326" s="117"/>
      <c r="AP326" s="121"/>
      <c r="AQ326" s="223">
        <f>(AI326+AJ326+AK326+AL326+AM326+AN326+AO326+AP326)/3</f>
        <v>11.666666666666666</v>
      </c>
      <c r="AR326" s="223">
        <f t="shared" ref="AR324:AR344" si="2957">2*AQ326</f>
        <v>23.333333333333332</v>
      </c>
      <c r="AS326" s="224">
        <f t="shared" ref="AS324:AS344" si="2958">3*AQ326</f>
        <v>35</v>
      </c>
      <c r="AT326" s="237">
        <f>AI326*POWER(KLslave,SIGN(AJ326))*POWER(INslave,SIGN(AK326))*POWER(CHslave,SIGN(AL326))*POWER(FFslave,SIGN(AM326))*POWER(GEslave,SIGN(AN326))*POWER(KOslave,SIGN(AO326))*POWER(KKslave,SIGN(AP326))+AJ326*POWER(MUslave_MU,SIGN(AI326))*POWER(INslave,SIGN(AK326))*POWER(CHslave,SIGN(AL326))*POWER(FFslave,SIGN(AM326))*POWER(GEslave,SIGN(AN326))*POWER(KOslave,SIGN(AO326))*POWER(KKslave,SIGN(AP326))+AK326*POWER(MUslave_MU,SIGN(AI326))*POWER(KLslave,SIGN(AJ326))*POWER(CHslave,SIGN(AL326))*POWER(FFslave,SIGN(AM326))*POWER(GEslave,SIGN(AN326))*POWER(KOslave,SIGN(AO326))*POWER(KKslave,SIGN(AP326))+AL326*POWER(MUslave_MU,SIGN(AI326))*POWER(KLslave,SIGN(AJ326))*POWER(INslave,SIGN(AK326))*POWER(FFslave,SIGN(AM326))*POWER(GEslave,SIGN(AN326))*POWER(KOslave,SIGN(AO326))*POWER(KKslave,SIGN(AP326))+AM326*POWER(MUslave_MU,SIGN(AI326))*POWER(KLslave,SIGN(AJ326))*POWER(INslave,SIGN(AK326))*POWER(CHslave,SIGN(AL326))*POWER(GEslave,SIGN(AN326))*POWER(KOslave,SIGN(AO326))*POWER(KKslave,SIGN(AP326))+AN326*POWER(MUslave_MU,SIGN(AI326))*POWER(KLslave,SIGN(AJ326))*POWER(INslave,SIGN(AK326))*POWER(CHslave,SIGN(AL326))*POWER(FFslave,SIGN(AM326))*POWER(KOslave,SIGN(AO326))*POWER(KKslave,SIGN(AP326))+AO326*POWER(MUslave_MU,SIGN(AI326))*POWER(KLslave,SIGN(AJ326))*POWER(INslave,SIGN(AK326))*POWER(CHslave,SIGN(AL326))*POWER(FFslave,SIGN(AM326))*POWER(GEslave,SIGN(AN326))*POWER(KKslave,SIGN(AP326))+AP326*POWER(MUslave_MU,SIGN(AI326))*POWER(KLslave,SIGN(AJ326))*POWER(INslave,SIGN(AK326))*POWER(CHslave,SIGN(AL326))*POWER(FFslave,SIGN(AM326))*POWER(GEslave,SIGN(AN326))*POWER(KOslave,SIGN(AO326))</f>
        <v>2432</v>
      </c>
      <c r="AU326" s="117">
        <f>AI326*AL326*GEslave+AI326*CHslave*AN326+MUslave_MU*AL326*AN326</f>
        <v>3408</v>
      </c>
      <c r="AV326" s="224">
        <f>IFERROR(AI326^SIGN(AI326),1)*IFERROR(AJ326^SIGN(AJ326),1)*IFERROR(AK326^SIGN(AK326),1)*IFERROR(AL326^SIGN(AL326),1)*IFERROR(AM326^SIGN(AM326),1)*IFERROR(AN326^SIGN(AN326),1)*IFERROR(AO326^SIGN(AO326),1)*IFERROR(AP326^SIGN(AP326),1)</f>
        <v>1584</v>
      </c>
      <c r="AW326" s="224">
        <f t="shared" ref="AW324:AW331" si="2959">SUM(AT326:AV326)</f>
        <v>7424</v>
      </c>
      <c r="AX326" s="222">
        <f t="shared" ref="AX324:AX335" si="2960">AQ326*AT326/AW326</f>
        <v>3.8218390804597702</v>
      </c>
      <c r="AY326" s="223">
        <f t="shared" ref="AY324:AY335" si="2961">AR326*AU326/AW326</f>
        <v>10.711206896551724</v>
      </c>
      <c r="AZ326" s="243">
        <f t="shared" ref="AZ324:AZ335" si="2962">AS326*AV326/AW326</f>
        <v>7.4676724137931032</v>
      </c>
      <c r="BA326" s="243">
        <f t="shared" ref="BA324:BA335" si="2963">SUM(AX326:AZ326)</f>
        <v>22.000718390804597</v>
      </c>
      <c r="BB326" s="252">
        <f t="shared" si="2034"/>
        <v>0</v>
      </c>
      <c r="BC326" s="324">
        <f t="shared" ref="BC324:BC344" si="2964">BA326-BB326</f>
        <v>22.000718390804597</v>
      </c>
      <c r="BD326" s="304">
        <f t="shared" ref="BD326:BE327" si="2965">IF(BA326&lt;=0,3,0)+IF(BA326&gt;0,BA326+1,0)*3+IF(BA326&gt;12,BA326-12,0)*3+IF(BA326&gt;13,BA326-13,0)*3+IF(BA326&gt;14,BA326-14,0)*3+IF(BA326&gt;15,BA326-15,0)*3+IF(BA326&gt;16,BA326-16,0)*3+IF(BA326&gt;17,BA326-17,0)*3+IF(BA326&gt;18,BA326-18,0)*3+IF(BA326&gt;19,BA326-19,0)*3+IF(BA326&gt;20,BA326-20,0)*3</f>
        <v>231.02155172413785</v>
      </c>
      <c r="BE326" s="335">
        <f t="shared" si="2965"/>
        <v>3</v>
      </c>
      <c r="BF326" s="243">
        <f t="shared" ref="BF324:BF344" si="2966">IF((BD326-BE326)&gt;0,BD326-BE326,0)</f>
        <v>228.02155172413785</v>
      </c>
      <c r="BG326" s="218">
        <f t="shared" ref="BG324:BG344" si="2967">IF((BE326-BD326)&gt;0,BE326-BD326,0)</f>
        <v>0</v>
      </c>
      <c r="BH326" s="248"/>
      <c r="BI326" s="303" t="s">
        <v>478</v>
      </c>
      <c r="BJ326" s="304" t="s">
        <v>172</v>
      </c>
      <c r="BK326" s="304" t="s">
        <v>135</v>
      </c>
      <c r="BL326" s="120">
        <f>Konvention_1slave-MUslave</f>
        <v>12</v>
      </c>
      <c r="BM326" s="117"/>
      <c r="BN326" s="117"/>
      <c r="BO326" s="117">
        <f>Konvention_1slave-CHslave</f>
        <v>12</v>
      </c>
      <c r="BP326" s="117"/>
      <c r="BQ326" s="117">
        <f>Konvention_1slave-GEslave</f>
        <v>12</v>
      </c>
      <c r="BR326" s="117"/>
      <c r="BS326" s="121"/>
      <c r="BT326" s="223">
        <f>(BL326+BM326+BN326+BO326+BP326+BQ326+BR326+BS326)/3</f>
        <v>12</v>
      </c>
      <c r="BU326" s="223">
        <f t="shared" ref="BU324:BU344" si="2968">2*BT326</f>
        <v>24</v>
      </c>
      <c r="BV326" s="224">
        <f t="shared" ref="BV324:BV344" si="2969">3*BT326</f>
        <v>36</v>
      </c>
      <c r="BW326" s="237">
        <f>BL326*POWER(KLslave_KL,SIGN(BM326))*POWER(INslave,SIGN(BN326))*POWER(CHslave,SIGN(BO326))*POWER(FFslave,SIGN(BP326))*POWER(GEslave,SIGN(BQ326))*POWER(KOslave,SIGN(BR326))*POWER(KKslave,SIGN(BS326))+BM326*POWER(MUslave,SIGN(BL326))*POWER(INslave,SIGN(BN326))*POWER(CHslave,SIGN(BO326))*POWER(FFslave,SIGN(BP326))*POWER(GEslave,SIGN(BQ326))*POWER(KOslave,SIGN(BR326))*POWER(KKslave,SIGN(BS326))+BN326*POWER(MUslave,SIGN(BL326))*POWER(KLslave_KL,SIGN(BM326))*POWER(CHslave,SIGN(BO326))*POWER(FFslave,SIGN(BP326))*POWER(GEslave,SIGN(BQ326))*POWER(KOslave,SIGN(BR326))*POWER(KKslave,SIGN(BS326))+BO326*POWER(MUslave,SIGN(BL326))*POWER(KLslave_KL,SIGN(BM326))*POWER(INslave,SIGN(BN326))*POWER(FFslave,SIGN(BP326))*POWER(GEslave,SIGN(BQ326))*POWER(KOslave,SIGN(BR326))*POWER(KKslave,SIGN(BS326))+BP326*POWER(MUslave,SIGN(BL326))*POWER(KLslave_KL,SIGN(BM326))*POWER(INslave,SIGN(BN326))*POWER(CHslave,SIGN(BO326))*POWER(GEslave,SIGN(BQ326))*POWER(KOslave,SIGN(BR326))*POWER(KKslave,SIGN(BS326))+BQ326*POWER(MUslave,SIGN(BL326))*POWER(KLslave_KL,SIGN(BM326))*POWER(INslave,SIGN(BN326))*POWER(CHslave,SIGN(BO326))*POWER(FFslave,SIGN(BP326))*POWER(KOslave,SIGN(BR326))*POWER(KKslave,SIGN(BS326))+BR326*POWER(MUslave,SIGN(BL326))*POWER(KLslave_KL,SIGN(BM326))*POWER(INslave,SIGN(BN326))*POWER(CHslave,SIGN(BO326))*POWER(FFslave,SIGN(BP326))*POWER(GEslave,SIGN(BQ326))*POWER(KKslave,SIGN(BS326))+BS326*POWER(MUslave,SIGN(BL326))*POWER(KLslave_KL,SIGN(BM326))*POWER(INslave,SIGN(BN326))*POWER(CHslave,SIGN(BO326))*POWER(FFslave,SIGN(BP326))*POWER(GEslave,SIGN(BQ326))*POWER(KOslave,SIGN(BR326))</f>
        <v>2304</v>
      </c>
      <c r="BX326" s="117">
        <f>BL326*BO326*GEslave+BL326*CHslave*BQ326+MUslave*BO326*BQ326</f>
        <v>3456</v>
      </c>
      <c r="BY326" s="224">
        <f>IFERROR(BL326^SIGN(BL326),1)*IFERROR(BM326^SIGN(BM326),1)*IFERROR(BN326^SIGN(BN326),1)*IFERROR(BO326^SIGN(BO326),1)*IFERROR(BP326^SIGN(BP326),1)*IFERROR(BQ326^SIGN(BQ326),1)*IFERROR(BR326^SIGN(BR326),1)*IFERROR(BS326^SIGN(BS326),1)</f>
        <v>1728</v>
      </c>
      <c r="BZ326" s="224">
        <f t="shared" ref="BZ324:BZ331" si="2970">SUM(BW326:BY326)</f>
        <v>7488</v>
      </c>
      <c r="CA326" s="222">
        <f t="shared" ref="CA324:CA335" si="2971">BT326*BW326/BZ326</f>
        <v>3.6923076923076925</v>
      </c>
      <c r="CB326" s="223">
        <f t="shared" ref="CB324:CB335" si="2972">BU326*BX326/BZ326</f>
        <v>11.076923076923077</v>
      </c>
      <c r="CC326" s="243">
        <f t="shared" ref="CC324:CC335" si="2973">BV326*BY326/BZ326</f>
        <v>8.3076923076923084</v>
      </c>
      <c r="CD326" s="243">
        <f t="shared" ref="CD324:CD335" si="2974">SUM(CA326:CC326)</f>
        <v>23.07692307692308</v>
      </c>
      <c r="CE326" s="252">
        <f t="shared" si="2925"/>
        <v>0</v>
      </c>
      <c r="CF326" s="324">
        <f t="shared" ref="CF324:CF344" si="2975">CD326-CE326</f>
        <v>23.07692307692308</v>
      </c>
      <c r="CG326" s="304">
        <f t="shared" ref="CG326:CH327" si="2976">IF(CD326&lt;=0,3,0)+IF(CD326&gt;0,CD326+1,0)*3+IF(CD326&gt;12,CD326-12,0)*3+IF(CD326&gt;13,CD326-13,0)*3+IF(CD326&gt;14,CD326-14,0)*3+IF(CD326&gt;15,CD326-15,0)*3+IF(CD326&gt;16,CD326-16,0)*3+IF(CD326&gt;17,CD326-17,0)*3+IF(CD326&gt;18,CD326-18,0)*3+IF(CD326&gt;19,CD326-19,0)*3+IF(CD326&gt;20,CD326-20,0)*3</f>
        <v>263.30769230769232</v>
      </c>
      <c r="CH326" s="335">
        <f t="shared" si="2976"/>
        <v>3</v>
      </c>
      <c r="CI326" s="243">
        <f t="shared" ref="CI324:CI344" si="2977">IF((CG326-CH326)&gt;0,CG326-CH326,0)</f>
        <v>260.30769230769232</v>
      </c>
      <c r="CJ326" s="218">
        <f t="shared" ref="CJ324:CJ344" si="2978">IF((CH326-CG326)&gt;0,CH326-CG326,0)</f>
        <v>0</v>
      </c>
      <c r="CK326" s="248"/>
      <c r="CL326" s="303" t="s">
        <v>478</v>
      </c>
      <c r="CM326" s="304" t="s">
        <v>172</v>
      </c>
      <c r="CN326" s="304" t="s">
        <v>135</v>
      </c>
      <c r="CO326" s="120">
        <f>Konvention_1slave-MUslave</f>
        <v>12</v>
      </c>
      <c r="CP326" s="117"/>
      <c r="CQ326" s="117"/>
      <c r="CR326" s="117">
        <f>Konvention_1slave-CHslave</f>
        <v>12</v>
      </c>
      <c r="CS326" s="117"/>
      <c r="CT326" s="117">
        <f>Konvention_1slave-GEslave</f>
        <v>12</v>
      </c>
      <c r="CU326" s="117"/>
      <c r="CV326" s="121"/>
      <c r="CW326" s="223">
        <f>(CO326+CP326+CQ326+CR326+CS326+CT326+CU326+CV326)/3</f>
        <v>12</v>
      </c>
      <c r="CX326" s="223">
        <f t="shared" ref="CX324:CX344" si="2979">2*CW326</f>
        <v>24</v>
      </c>
      <c r="CY326" s="224">
        <f t="shared" ref="CY324:CY344" si="2980">3*CW326</f>
        <v>36</v>
      </c>
      <c r="CZ326" s="237">
        <f>CO326*POWER(KLslave,SIGN(CP326))*POWER(INslave_IN,SIGN(CQ326))*POWER(CHslave,SIGN(CR326))*POWER(FFslave,SIGN(CS326))*POWER(GEslave,SIGN(CT326))*POWER(KOslave,SIGN(CU326))*POWER(KKslave,SIGN(CV326))+CP326*POWER(MUslave,SIGN(CO326))*POWER(INslave_IN,SIGN(CQ326))*POWER(CHslave,SIGN(CR326))*POWER(FFslave,SIGN(CS326))*POWER(GEslave,SIGN(CT326))*POWER(KOslave,SIGN(CU326))*POWER(KKslave,SIGN(CV326))+CQ326*POWER(MUslave,SIGN(CO326))*POWER(KLslave,SIGN(CP326))*POWER(CHslave,SIGN(CR326))*POWER(FFslave,SIGN(CS326))*POWER(GEslave,SIGN(CT326))*POWER(KOslave,SIGN(CU326))*POWER(KKslave,SIGN(CV326))+CR326*POWER(MUslave,SIGN(CO326))*POWER(KLslave,SIGN(CP326))*POWER(INslave_IN,SIGN(CQ326))*POWER(FFslave,SIGN(CS326))*POWER(GEslave,SIGN(CT326))*POWER(KOslave,SIGN(CU326))*POWER(KKslave,SIGN(CV326))+CS326*POWER(MUslave,SIGN(CO326))*POWER(KLslave,SIGN(CP326))*POWER(INslave_IN,SIGN(CQ326))*POWER(CHslave,SIGN(CR326))*POWER(GEslave,SIGN(CT326))*POWER(KOslave,SIGN(CU326))*POWER(KKslave,SIGN(CV326))+CT326*POWER(MUslave,SIGN(CO326))*POWER(KLslave,SIGN(CP326))*POWER(INslave_IN,SIGN(CQ326))*POWER(CHslave,SIGN(CR326))*POWER(FFslave,SIGN(CS326))*POWER(KOslave,SIGN(CU326))*POWER(KKslave,SIGN(CV326))+CU326*POWER(MUslave,SIGN(CO326))*POWER(KLslave,SIGN(CP326))*POWER(INslave_IN,SIGN(CQ326))*POWER(CHslave,SIGN(CR326))*POWER(FFslave,SIGN(CS326))*POWER(GEslave,SIGN(CT326))*POWER(KKslave,SIGN(CV326))+CV326*POWER(MUslave,SIGN(CO326))*POWER(KLslave,SIGN(CP326))*POWER(INslave_IN,SIGN(CQ326))*POWER(CHslave,SIGN(CR326))*POWER(FFslave,SIGN(CS326))*POWER(GEslave,SIGN(CT326))*POWER(KOslave,SIGN(CU326))</f>
        <v>2304</v>
      </c>
      <c r="DA326" s="117">
        <f>CO326*CR326*GEslave+CO326*CHslave*CT326+MUslave*CR326*CT326</f>
        <v>3456</v>
      </c>
      <c r="DB326" s="224">
        <f>IFERROR(CO326^SIGN(CO326),1)*IFERROR(CP326^SIGN(CP326),1)*IFERROR(CQ326^SIGN(CQ326),1)*IFERROR(CR326^SIGN(CR326),1)*IFERROR(CS326^SIGN(CS326),1)*IFERROR(CT326^SIGN(CT326),1)*IFERROR(CU326^SIGN(CU326),1)*IFERROR(CV326^SIGN(CV326),1)</f>
        <v>1728</v>
      </c>
      <c r="DC326" s="224">
        <f t="shared" ref="DC324:DC331" si="2981">SUM(CZ326:DB326)</f>
        <v>7488</v>
      </c>
      <c r="DD326" s="222">
        <f t="shared" ref="DD324:DD335" si="2982">CW326*CZ326/DC326</f>
        <v>3.6923076923076925</v>
      </c>
      <c r="DE326" s="223">
        <f t="shared" ref="DE324:DE335" si="2983">CX326*DA326/DC326</f>
        <v>11.076923076923077</v>
      </c>
      <c r="DF326" s="243">
        <f t="shared" ref="DF324:DF335" si="2984">CY326*DB326/DC326</f>
        <v>8.3076923076923084</v>
      </c>
      <c r="DG326" s="243">
        <f t="shared" ref="DG324:DG335" si="2985">SUM(DD326:DF326)</f>
        <v>23.07692307692308</v>
      </c>
      <c r="DH326" s="252">
        <f t="shared" si="2928"/>
        <v>0</v>
      </c>
      <c r="DI326" s="324">
        <f t="shared" ref="DI324:DI344" si="2986">DG326-DH326</f>
        <v>23.07692307692308</v>
      </c>
      <c r="DJ326" s="304">
        <f t="shared" ref="DJ326:DK327" si="2987">IF(DG326&lt;=0,3,0)+IF(DG326&gt;0,DG326+1,0)*3+IF(DG326&gt;12,DG326-12,0)*3+IF(DG326&gt;13,DG326-13,0)*3+IF(DG326&gt;14,DG326-14,0)*3+IF(DG326&gt;15,DG326-15,0)*3+IF(DG326&gt;16,DG326-16,0)*3+IF(DG326&gt;17,DG326-17,0)*3+IF(DG326&gt;18,DG326-18,0)*3+IF(DG326&gt;19,DG326-19,0)*3+IF(DG326&gt;20,DG326-20,0)*3</f>
        <v>263.30769230769232</v>
      </c>
      <c r="DK326" s="335">
        <f t="shared" si="2987"/>
        <v>3</v>
      </c>
      <c r="DL326" s="243">
        <f t="shared" ref="DL324:DL344" si="2988">IF((DJ326-DK326)&gt;0,DJ326-DK326,0)</f>
        <v>260.30769230769232</v>
      </c>
      <c r="DM326" s="218">
        <f t="shared" ref="DM324:DM344" si="2989">IF((DK326-DJ326)&gt;0,DK326-DJ326,0)</f>
        <v>0</v>
      </c>
      <c r="DN326" s="248"/>
      <c r="DO326" s="303" t="s">
        <v>478</v>
      </c>
      <c r="DP326" s="304" t="s">
        <v>172</v>
      </c>
      <c r="DQ326" s="304" t="s">
        <v>135</v>
      </c>
      <c r="DR326" s="120">
        <f>Konvention_1slave-MUslave</f>
        <v>12</v>
      </c>
      <c r="DS326" s="117"/>
      <c r="DT326" s="117"/>
      <c r="DU326" s="117">
        <f>Konvention_1slave-CHslave_CH</f>
        <v>11</v>
      </c>
      <c r="DV326" s="117"/>
      <c r="DW326" s="117">
        <f>Konvention_1slave-GEslave</f>
        <v>12</v>
      </c>
      <c r="DX326" s="117"/>
      <c r="DY326" s="121"/>
      <c r="DZ326" s="223">
        <f>(DR326+DS326+DT326+DU326+DV326+DW326+DX326+DY326)/3</f>
        <v>11.666666666666666</v>
      </c>
      <c r="EA326" s="223">
        <f t="shared" ref="EA324:EA344" si="2990">2*DZ326</f>
        <v>23.333333333333332</v>
      </c>
      <c r="EB326" s="224">
        <f t="shared" ref="EB324:EB344" si="2991">3*DZ326</f>
        <v>35</v>
      </c>
      <c r="EC326" s="237">
        <f>DR326*POWER(KLslave,SIGN(DS326))*POWER(INslave,SIGN(DT326))*POWER(CHslave_CH,SIGN(DU326))*POWER(FFslave,SIGN(DV326))*POWER(GEslave,SIGN(DW326))*POWER(KOslave,SIGN(DX326))*POWER(KKslave,SIGN(DY326))+DS326*POWER(MUslave,SIGN(DR326))*POWER(INslave,SIGN(DT326))*POWER(CHslave_CH,SIGN(DU326))*POWER(FFslave,SIGN(DV326))*POWER(GEslave,SIGN(DW326))*POWER(KOslave,SIGN(DX326))*POWER(KKslave,SIGN(DY326))+DT326*POWER(MUslave,SIGN(DR326))*POWER(KLslave,SIGN(DS326))*POWER(CHslave_CH,SIGN(DU326))*POWER(FFslave,SIGN(DV326))*POWER(GEslave,SIGN(DW326))*POWER(KOslave,SIGN(DX326))*POWER(KKslave,SIGN(DY326))+DU326*POWER(MUslave,SIGN(DR326))*POWER(KLslave,SIGN(DS326))*POWER(INslave,SIGN(DT326))*POWER(FFslave,SIGN(DV326))*POWER(GEslave,SIGN(DW326))*POWER(KOslave,SIGN(DX326))*POWER(KKslave,SIGN(DY326))+DV326*POWER(MUslave,SIGN(DR326))*POWER(KLslave,SIGN(DS326))*POWER(INslave,SIGN(DT326))*POWER(CHslave_CH,SIGN(DU326))*POWER(GEslave,SIGN(DW326))*POWER(KOslave,SIGN(DX326))*POWER(KKslave,SIGN(DY326))+DW326*POWER(MUslave,SIGN(DR326))*POWER(KLslave,SIGN(DS326))*POWER(INslave,SIGN(DT326))*POWER(CHslave_CH,SIGN(DU326))*POWER(FFslave,SIGN(DV326))*POWER(KOslave,SIGN(DX326))*POWER(KKslave,SIGN(DY326))+DX326*POWER(MUslave,SIGN(DR326))*POWER(KLslave,SIGN(DS326))*POWER(INslave,SIGN(DT326))*POWER(CHslave_CH,SIGN(DU326))*POWER(FFslave,SIGN(DV326))*POWER(GEslave,SIGN(DW326))*POWER(KKslave,SIGN(DY326))+DY326*POWER(MUslave,SIGN(DR326))*POWER(KLslave,SIGN(DS326))*POWER(INslave,SIGN(DT326))*POWER(CHslave_CH,SIGN(DU326))*POWER(FFslave,SIGN(DV326))*POWER(GEslave,SIGN(DW326))*POWER(KOslave,SIGN(DX326))</f>
        <v>2432</v>
      </c>
      <c r="ED326" s="117">
        <f>DR326*DU326*GEslave+DR326*CHslave_CH*DW326+MUslave*DU326*DW326</f>
        <v>3408</v>
      </c>
      <c r="EE326" s="224">
        <f>IFERROR(DR326^SIGN(DR326),1)*IFERROR(DS326^SIGN(DS326),1)*IFERROR(DT326^SIGN(DT326),1)*IFERROR(DU326^SIGN(DU326),1)*IFERROR(DV326^SIGN(DV326),1)*IFERROR(DW326^SIGN(DW326),1)*IFERROR(DX326^SIGN(DX326),1)*IFERROR(DY326^SIGN(DY326),1)</f>
        <v>1584</v>
      </c>
      <c r="EF326" s="224">
        <f t="shared" ref="EF324:EF331" si="2992">SUM(EC326:EE326)</f>
        <v>7424</v>
      </c>
      <c r="EG326" s="222">
        <f t="shared" ref="EG324:EG335" si="2993">DZ326*EC326/EF326</f>
        <v>3.8218390804597702</v>
      </c>
      <c r="EH326" s="223">
        <f t="shared" ref="EH324:EH335" si="2994">EA326*ED326/EF326</f>
        <v>10.711206896551724</v>
      </c>
      <c r="EI326" s="243">
        <f t="shared" ref="EI324:EI335" si="2995">EB326*EE326/EF326</f>
        <v>7.4676724137931032</v>
      </c>
      <c r="EJ326" s="243">
        <f t="shared" ref="EJ324:EJ335" si="2996">SUM(EG326:EI326)</f>
        <v>22.000718390804597</v>
      </c>
      <c r="EK326" s="252">
        <f t="shared" si="2931"/>
        <v>0</v>
      </c>
      <c r="EL326" s="324">
        <f t="shared" ref="EL324:EL344" si="2997">EJ326-EK326</f>
        <v>22.000718390804597</v>
      </c>
      <c r="EM326" s="304">
        <f t="shared" ref="EM326:EN327" si="2998">IF(EJ326&lt;=0,3,0)+IF(EJ326&gt;0,EJ326+1,0)*3+IF(EJ326&gt;12,EJ326-12,0)*3+IF(EJ326&gt;13,EJ326-13,0)*3+IF(EJ326&gt;14,EJ326-14,0)*3+IF(EJ326&gt;15,EJ326-15,0)*3+IF(EJ326&gt;16,EJ326-16,0)*3+IF(EJ326&gt;17,EJ326-17,0)*3+IF(EJ326&gt;18,EJ326-18,0)*3+IF(EJ326&gt;19,EJ326-19,0)*3+IF(EJ326&gt;20,EJ326-20,0)*3</f>
        <v>231.02155172413785</v>
      </c>
      <c r="EN326" s="335">
        <f t="shared" si="2998"/>
        <v>3</v>
      </c>
      <c r="EO326" s="243">
        <f t="shared" ref="EO324:EO344" si="2999">IF((EM326-EN326)&gt;0,EM326-EN326,0)</f>
        <v>228.02155172413785</v>
      </c>
      <c r="EP326" s="218">
        <f t="shared" ref="EP324:EP344" si="3000">IF((EN326-EM326)&gt;0,EN326-EM326,0)</f>
        <v>0</v>
      </c>
      <c r="EQ326" s="248"/>
      <c r="ER326" s="303" t="s">
        <v>478</v>
      </c>
      <c r="ES326" s="304" t="s">
        <v>172</v>
      </c>
      <c r="ET326" s="304" t="s">
        <v>135</v>
      </c>
      <c r="EU326" s="120">
        <f>Konvention_1slave-MUslave</f>
        <v>12</v>
      </c>
      <c r="EV326" s="117"/>
      <c r="EW326" s="117"/>
      <c r="EX326" s="117">
        <f>Konvention_1slave-CHslave</f>
        <v>12</v>
      </c>
      <c r="EY326" s="117"/>
      <c r="EZ326" s="117">
        <f>Konvention_1slave-GEslave</f>
        <v>12</v>
      </c>
      <c r="FA326" s="117"/>
      <c r="FB326" s="121"/>
      <c r="FC326" s="223">
        <f>(EU326+EV326+EW326+EX326+EY326+EZ326+FA326+FB326)/3</f>
        <v>12</v>
      </c>
      <c r="FD326" s="223">
        <f t="shared" ref="FD324:FD344" si="3001">2*FC326</f>
        <v>24</v>
      </c>
      <c r="FE326" s="224">
        <f t="shared" ref="FE324:FE344" si="3002">3*FC326</f>
        <v>36</v>
      </c>
      <c r="FF326" s="237">
        <f>EU326*POWER(KLslave,SIGN(EV326))*POWER(INslave,SIGN(EW326))*POWER(CHslave,SIGN(EX326))*POWER(FFslave_FF,SIGN(EY326))*POWER(GEslave,SIGN(EZ326))*POWER(KOslave,SIGN(FA326))*POWER(KKslave,SIGN(FB326))+EV326*POWER(MUslave,SIGN(EU326))*POWER(INslave,SIGN(EW326))*POWER(CHslave,SIGN(EX326))*POWER(FFslave_FF,SIGN(EY326))*POWER(GEslave,SIGN(EZ326))*POWER(KOslave,SIGN(FA326))*POWER(KKslave,SIGN(FB326))+EW326*POWER(MUslave,SIGN(EU326))*POWER(KLslave,SIGN(EV326))*POWER(CHslave,SIGN(EX326))*POWER(FFslave_FF,SIGN(EY326))*POWER(GEslave,SIGN(EZ326))*POWER(KOslave,SIGN(FA326))*POWER(KKslave,SIGN(FB326))+EX326*POWER(MUslave,SIGN(EU326))*POWER(KLslave,SIGN(EV326))*POWER(INslave,SIGN(EW326))*POWER(FFslave_FF,SIGN(EY326))*POWER(GEslave,SIGN(EZ326))*POWER(KOslave,SIGN(FA326))*POWER(KKslave,SIGN(FB326))+EY326*POWER(MUslave,SIGN(EU326))*POWER(KLslave,SIGN(EV326))*POWER(INslave,SIGN(EW326))*POWER(CHslave,SIGN(EX326))*POWER(GEslave,SIGN(EZ326))*POWER(KOslave,SIGN(FA326))*POWER(KKslave,SIGN(FB326))+EZ326*POWER(MUslave,SIGN(EU326))*POWER(KLslave,SIGN(EV326))*POWER(INslave,SIGN(EW326))*POWER(CHslave,SIGN(EX326))*POWER(FFslave_FF,SIGN(EY326))*POWER(KOslave,SIGN(FA326))*POWER(KKslave,SIGN(FB326))+FA326*POWER(MUslave,SIGN(EU326))*POWER(KLslave,SIGN(EV326))*POWER(INslave,SIGN(EW326))*POWER(CHslave,SIGN(EX326))*POWER(FFslave_FF,SIGN(EY326))*POWER(GEslave,SIGN(EZ326))*POWER(KKslave,SIGN(FB326))+FB326*POWER(MUslave,SIGN(EU326))*POWER(KLslave,SIGN(EV326))*POWER(INslave,SIGN(EW326))*POWER(CHslave,SIGN(EX326))*POWER(FFslave_FF,SIGN(EY326))*POWER(GEslave,SIGN(EZ326))*POWER(KOslave,SIGN(FA326))</f>
        <v>2304</v>
      </c>
      <c r="FG326" s="117">
        <f>EU326*EX326*GEslave+EU326*CHslave*EZ326+MUslave*EX326*EZ326</f>
        <v>3456</v>
      </c>
      <c r="FH326" s="224">
        <f>IFERROR(EU326^SIGN(EU326),1)*IFERROR(EV326^SIGN(EV326),1)*IFERROR(EW326^SIGN(EW326),1)*IFERROR(EX326^SIGN(EX326),1)*IFERROR(EY326^SIGN(EY326),1)*IFERROR(EZ326^SIGN(EZ326),1)*IFERROR(FA326^SIGN(FA326),1)*IFERROR(FB326^SIGN(FB326),1)</f>
        <v>1728</v>
      </c>
      <c r="FI326" s="224">
        <f t="shared" ref="FI324:FI331" si="3003">SUM(FF326:FH326)</f>
        <v>7488</v>
      </c>
      <c r="FJ326" s="222">
        <f t="shared" ref="FJ324:FJ335" si="3004">FC326*FF326/FI326</f>
        <v>3.6923076923076925</v>
      </c>
      <c r="FK326" s="223">
        <f t="shared" ref="FK324:FK335" si="3005">FD326*FG326/FI326</f>
        <v>11.076923076923077</v>
      </c>
      <c r="FL326" s="243">
        <f t="shared" ref="FL324:FL335" si="3006">FE326*FH326/FI326</f>
        <v>8.3076923076923084</v>
      </c>
      <c r="FM326" s="243">
        <f t="shared" ref="FM324:FM335" si="3007">SUM(FJ326:FL326)</f>
        <v>23.07692307692308</v>
      </c>
      <c r="FN326" s="252">
        <f t="shared" si="2934"/>
        <v>0</v>
      </c>
      <c r="FO326" s="324">
        <f t="shared" ref="FO324:FO344" si="3008">FM326-FN326</f>
        <v>23.07692307692308</v>
      </c>
      <c r="FP326" s="304">
        <f t="shared" ref="FP326:FQ327" si="3009">IF(FM326&lt;=0,3,0)+IF(FM326&gt;0,FM326+1,0)*3+IF(FM326&gt;12,FM326-12,0)*3+IF(FM326&gt;13,FM326-13,0)*3+IF(FM326&gt;14,FM326-14,0)*3+IF(FM326&gt;15,FM326-15,0)*3+IF(FM326&gt;16,FM326-16,0)*3+IF(FM326&gt;17,FM326-17,0)*3+IF(FM326&gt;18,FM326-18,0)*3+IF(FM326&gt;19,FM326-19,0)*3+IF(FM326&gt;20,FM326-20,0)*3</f>
        <v>263.30769230769232</v>
      </c>
      <c r="FQ326" s="335">
        <f t="shared" si="3009"/>
        <v>3</v>
      </c>
      <c r="FR326" s="243">
        <f t="shared" ref="FR324:FR344" si="3010">IF((FP326-FQ326)&gt;0,FP326-FQ326,0)</f>
        <v>260.30769230769232</v>
      </c>
      <c r="FS326" s="218">
        <f t="shared" ref="FS324:FS344" si="3011">IF((FQ326-FP326)&gt;0,FQ326-FP326,0)</f>
        <v>0</v>
      </c>
      <c r="FT326" s="248"/>
      <c r="FU326" s="303" t="s">
        <v>478</v>
      </c>
      <c r="FV326" s="304" t="s">
        <v>172</v>
      </c>
      <c r="FW326" s="304" t="s">
        <v>135</v>
      </c>
      <c r="FX326" s="120">
        <f>Konvention_1slave-MUslave</f>
        <v>12</v>
      </c>
      <c r="FY326" s="117"/>
      <c r="FZ326" s="117"/>
      <c r="GA326" s="117">
        <f>Konvention_1slave-CHslave</f>
        <v>12</v>
      </c>
      <c r="GB326" s="117"/>
      <c r="GC326" s="117">
        <f>Konvention_1slave-GEslave_GE</f>
        <v>11</v>
      </c>
      <c r="GD326" s="117"/>
      <c r="GE326" s="121"/>
      <c r="GF326" s="223">
        <f>(FX326+FY326+FZ326+GA326+GB326+GC326+GD326+GE326)/3</f>
        <v>11.666666666666666</v>
      </c>
      <c r="GG326" s="223">
        <f t="shared" ref="GG324:GG344" si="3012">2*GF326</f>
        <v>23.333333333333332</v>
      </c>
      <c r="GH326" s="224">
        <f t="shared" ref="GH324:GH344" si="3013">3*GF326</f>
        <v>35</v>
      </c>
      <c r="GI326" s="237">
        <f>FX326*POWER(KLslave,SIGN(FY326))*POWER(INslave,SIGN(FZ326))*POWER(CHslave,SIGN(GA326))*POWER(FFslave,SIGN(GB326))*POWER(GEslave_GE,SIGN(GC326))*POWER(KOslave,SIGN(GD326))*POWER(KKslave,SIGN(GE326))+FY326*POWER(MUslave,SIGN(FX326))*POWER(INslave,SIGN(FZ326))*POWER(CHslave,SIGN(GA326))*POWER(FFslave,SIGN(GB326))*POWER(GEslave_GE,SIGN(GC326))*POWER(KOslave,SIGN(GD326))*POWER(KKslave,SIGN(GE326))+FZ326*POWER(MUslave,SIGN(FX326))*POWER(KLslave,SIGN(FY326))*POWER(CHslave,SIGN(GA326))*POWER(FFslave,SIGN(GB326))*POWER(GEslave_GE,SIGN(GC326))*POWER(KOslave,SIGN(GD326))*POWER(KKslave,SIGN(GE326))+GA326*POWER(MUslave,SIGN(FX326))*POWER(KLslave,SIGN(FY326))*POWER(INslave,SIGN(FZ326))*POWER(FFslave,SIGN(GB326))*POWER(GEslave_GE,SIGN(GC326))*POWER(KOslave,SIGN(GD326))*POWER(KKslave,SIGN(GE326))+GB326*POWER(MUslave,SIGN(FX326))*POWER(KLslave,SIGN(FY326))*POWER(INslave,SIGN(FZ326))*POWER(CHslave,SIGN(GA326))*POWER(GEslave_GE,SIGN(GC326))*POWER(KOslave,SIGN(GD326))*POWER(KKslave,SIGN(GE326))+GC326*POWER(MUslave,SIGN(FX326))*POWER(KLslave,SIGN(FY326))*POWER(INslave,SIGN(FZ326))*POWER(CHslave,SIGN(GA326))*POWER(FFslave,SIGN(GB326))*POWER(KOslave,SIGN(GD326))*POWER(KKslave,SIGN(GE326))+GD326*POWER(MUslave,SIGN(FX326))*POWER(KLslave,SIGN(FY326))*POWER(INslave,SIGN(FZ326))*POWER(CHslave,SIGN(GA326))*POWER(FFslave,SIGN(GB326))*POWER(GEslave_GE,SIGN(GC326))*POWER(KKslave,SIGN(GE326))+GE326*POWER(MUslave,SIGN(FX326))*POWER(KLslave,SIGN(FY326))*POWER(INslave,SIGN(FZ326))*POWER(CHslave,SIGN(GA326))*POWER(FFslave,SIGN(GB326))*POWER(GEslave_GE,SIGN(GC326))*POWER(KOslave,SIGN(GD326))</f>
        <v>2432</v>
      </c>
      <c r="GJ326" s="117">
        <f>FX326*GA326*GEslave_GE+FX326*CHslave*GC326+MUslave*GA326*GC326</f>
        <v>3408</v>
      </c>
      <c r="GK326" s="224">
        <f>IFERROR(FX326^SIGN(FX326),1)*IFERROR(FY326^SIGN(FY326),1)*IFERROR(FZ326^SIGN(FZ326),1)*IFERROR(GA326^SIGN(GA326),1)*IFERROR(GB326^SIGN(GB326),1)*IFERROR(GC326^SIGN(GC326),1)*IFERROR(GD326^SIGN(GD326),1)*IFERROR(GE326^SIGN(GE326),1)</f>
        <v>1584</v>
      </c>
      <c r="GL326" s="224">
        <f t="shared" ref="GL324:GL331" si="3014">SUM(GI326:GK326)</f>
        <v>7424</v>
      </c>
      <c r="GM326" s="222">
        <f t="shared" ref="GM324:GM335" si="3015">GF326*GI326/GL326</f>
        <v>3.8218390804597702</v>
      </c>
      <c r="GN326" s="223">
        <f t="shared" ref="GN324:GN335" si="3016">GG326*GJ326/GL326</f>
        <v>10.711206896551724</v>
      </c>
      <c r="GO326" s="243">
        <f t="shared" ref="GO324:GO335" si="3017">GH326*GK326/GL326</f>
        <v>7.4676724137931032</v>
      </c>
      <c r="GP326" s="243">
        <f t="shared" ref="GP324:GP335" si="3018">SUM(GM326:GO326)</f>
        <v>22.000718390804597</v>
      </c>
      <c r="GQ326" s="252">
        <f t="shared" si="2937"/>
        <v>0</v>
      </c>
      <c r="GR326" s="324">
        <f t="shared" ref="GR324:GR344" si="3019">GP326-GQ326</f>
        <v>22.000718390804597</v>
      </c>
      <c r="GS326" s="304">
        <f t="shared" ref="GS326:GT327" si="3020">IF(GP326&lt;=0,3,0)+IF(GP326&gt;0,GP326+1,0)*3+IF(GP326&gt;12,GP326-12,0)*3+IF(GP326&gt;13,GP326-13,0)*3+IF(GP326&gt;14,GP326-14,0)*3+IF(GP326&gt;15,GP326-15,0)*3+IF(GP326&gt;16,GP326-16,0)*3+IF(GP326&gt;17,GP326-17,0)*3+IF(GP326&gt;18,GP326-18,0)*3+IF(GP326&gt;19,GP326-19,0)*3+IF(GP326&gt;20,GP326-20,0)*3</f>
        <v>231.02155172413785</v>
      </c>
      <c r="GT326" s="335">
        <f t="shared" si="3020"/>
        <v>3</v>
      </c>
      <c r="GU326" s="243">
        <f t="shared" ref="GU324:GU344" si="3021">IF((GS326-GT326)&gt;0,GS326-GT326,0)</f>
        <v>228.02155172413785</v>
      </c>
      <c r="GV326" s="218">
        <f t="shared" ref="GV324:GV344" si="3022">IF((GT326-GS326)&gt;0,GT326-GS326,0)</f>
        <v>0</v>
      </c>
      <c r="GW326" s="248"/>
      <c r="GX326" s="303" t="s">
        <v>478</v>
      </c>
      <c r="GY326" s="304" t="s">
        <v>172</v>
      </c>
      <c r="GZ326" s="304" t="s">
        <v>135</v>
      </c>
      <c r="HA326" s="120">
        <f>Konvention_1slave-MUslave</f>
        <v>12</v>
      </c>
      <c r="HB326" s="117"/>
      <c r="HC326" s="117"/>
      <c r="HD326" s="117">
        <f>Konvention_1slave-CHslave</f>
        <v>12</v>
      </c>
      <c r="HE326" s="117"/>
      <c r="HF326" s="117">
        <f>Konvention_1slave-GEslave</f>
        <v>12</v>
      </c>
      <c r="HG326" s="117"/>
      <c r="HH326" s="121"/>
      <c r="HI326" s="223">
        <f>(HA326+HB326+HC326+HD326+HE326+HF326+HG326+HH326)/3</f>
        <v>12</v>
      </c>
      <c r="HJ326" s="223">
        <f t="shared" ref="HJ324:HJ344" si="3023">2*HI326</f>
        <v>24</v>
      </c>
      <c r="HK326" s="224">
        <f t="shared" ref="HK324:HK344" si="3024">3*HI326</f>
        <v>36</v>
      </c>
      <c r="HL326" s="237">
        <f>HA326*POWER(KLslave,SIGN(HB326))*POWER(INslave,SIGN(HC326))*POWER(CHslave,SIGN(HD326))*POWER(FFslave,SIGN(HE326))*POWER(GEslave,SIGN(HF326))*POWER(KOslave_KO,SIGN(HG326))*POWER(KKslave,SIGN(HH326))+HB326*POWER(MUslave,SIGN(HA326))*POWER(INslave,SIGN(HC326))*POWER(CHslave,SIGN(HD326))*POWER(FFslave,SIGN(HE326))*POWER(GEslave,SIGN(HF326))*POWER(KOslave_KO,SIGN(HG326))*POWER(KKslave,SIGN(HH326))+HC326*POWER(MUslave,SIGN(HA326))*POWER(KLslave,SIGN(HB326))*POWER(CHslave,SIGN(HD326))*POWER(FFslave,SIGN(HE326))*POWER(GEslave,SIGN(HF326))*POWER(KOslave_KO,SIGN(HG326))*POWER(KKslave,SIGN(HH326))+HD326*POWER(MUslave,SIGN(HA326))*POWER(KLslave,SIGN(HB326))*POWER(INslave,SIGN(HC326))*POWER(FFslave,SIGN(HE326))*POWER(GEslave,SIGN(HF326))*POWER(KOslave_KO,SIGN(HG326))*POWER(KKslave,SIGN(HH326))+HE326*POWER(MUslave,SIGN(HA326))*POWER(KLslave,SIGN(HB326))*POWER(INslave,SIGN(HC326))*POWER(CHslave,SIGN(HD326))*POWER(GEslave,SIGN(HF326))*POWER(KOslave_KO,SIGN(HG326))*POWER(KKslave,SIGN(HH326))+HF326*POWER(MUslave,SIGN(HA326))*POWER(KLslave,SIGN(HB326))*POWER(INslave,SIGN(HC326))*POWER(CHslave,SIGN(HD326))*POWER(FFslave,SIGN(HE326))*POWER(KOslave_KO,SIGN(HG326))*POWER(KKslave,SIGN(HH326))+HG326*POWER(MUslave,SIGN(HA326))*POWER(KLslave,SIGN(HB326))*POWER(INslave,SIGN(HC326))*POWER(CHslave,SIGN(HD326))*POWER(FFslave,SIGN(HE326))*POWER(GEslave,SIGN(HF326))*POWER(KKslave,SIGN(HH326))+HH326*POWER(MUslave,SIGN(HA326))*POWER(KLslave,SIGN(HB326))*POWER(INslave,SIGN(HC326))*POWER(CHslave,SIGN(HD326))*POWER(FFslave,SIGN(HE326))*POWER(GEslave,SIGN(HF326))*POWER(KOslave_KO,SIGN(HG326))</f>
        <v>2304</v>
      </c>
      <c r="HM326" s="117">
        <f>HA326*HD326*GEslave+HA326*CHslave*HF326+MUslave*HD326*HF326</f>
        <v>3456</v>
      </c>
      <c r="HN326" s="224">
        <f>IFERROR(HA326^SIGN(HA326),1)*IFERROR(HB326^SIGN(HB326),1)*IFERROR(HC326^SIGN(HC326),1)*IFERROR(HD326^SIGN(HD326),1)*IFERROR(HE326^SIGN(HE326),1)*IFERROR(HF326^SIGN(HF326),1)*IFERROR(HG326^SIGN(HG326),1)*IFERROR(HH326^SIGN(HH326),1)</f>
        <v>1728</v>
      </c>
      <c r="HO326" s="224">
        <f t="shared" ref="HO324:HO331" si="3025">SUM(HL326:HN326)</f>
        <v>7488</v>
      </c>
      <c r="HP326" s="222">
        <f t="shared" ref="HP324:HP335" si="3026">HI326*HL326/HO326</f>
        <v>3.6923076923076925</v>
      </c>
      <c r="HQ326" s="223">
        <f t="shared" ref="HQ324:HQ335" si="3027">HJ326*HM326/HO326</f>
        <v>11.076923076923077</v>
      </c>
      <c r="HR326" s="243">
        <f t="shared" ref="HR324:HR335" si="3028">HK326*HN326/HO326</f>
        <v>8.3076923076923084</v>
      </c>
      <c r="HS326" s="243">
        <f t="shared" ref="HS324:HS335" si="3029">SUM(HP326:HR326)</f>
        <v>23.07692307692308</v>
      </c>
      <c r="HT326" s="252">
        <f t="shared" si="2940"/>
        <v>0</v>
      </c>
      <c r="HU326" s="324">
        <f t="shared" ref="HU324:HU344" si="3030">HS326-HT326</f>
        <v>23.07692307692308</v>
      </c>
      <c r="HV326" s="304">
        <f t="shared" ref="HV326:HW327" si="3031">IF(HS326&lt;=0,3,0)+IF(HS326&gt;0,HS326+1,0)*3+IF(HS326&gt;12,HS326-12,0)*3+IF(HS326&gt;13,HS326-13,0)*3+IF(HS326&gt;14,HS326-14,0)*3+IF(HS326&gt;15,HS326-15,0)*3+IF(HS326&gt;16,HS326-16,0)*3+IF(HS326&gt;17,HS326-17,0)*3+IF(HS326&gt;18,HS326-18,0)*3+IF(HS326&gt;19,HS326-19,0)*3+IF(HS326&gt;20,HS326-20,0)*3</f>
        <v>263.30769230769232</v>
      </c>
      <c r="HW326" s="335">
        <f t="shared" si="3031"/>
        <v>3</v>
      </c>
      <c r="HX326" s="243">
        <f t="shared" ref="HX324:HX344" si="3032">IF((HV326-HW326)&gt;0,HV326-HW326,0)</f>
        <v>260.30769230769232</v>
      </c>
      <c r="HY326" s="218">
        <f t="shared" ref="HY324:HY344" si="3033">IF((HW326-HV326)&gt;0,HW326-HV326,0)</f>
        <v>0</v>
      </c>
      <c r="HZ326" s="248"/>
      <c r="IA326" s="303" t="s">
        <v>478</v>
      </c>
      <c r="IB326" s="304" t="s">
        <v>172</v>
      </c>
      <c r="IC326" s="304" t="s">
        <v>135</v>
      </c>
      <c r="ID326" s="120">
        <f>Konvention_1slave-MUslave</f>
        <v>12</v>
      </c>
      <c r="IE326" s="117"/>
      <c r="IF326" s="117"/>
      <c r="IG326" s="117">
        <f>Konvention_1slave-CHslave</f>
        <v>12</v>
      </c>
      <c r="IH326" s="117"/>
      <c r="II326" s="117">
        <f>Konvention_1slave-GEslave</f>
        <v>12</v>
      </c>
      <c r="IJ326" s="117"/>
      <c r="IK326" s="121"/>
      <c r="IL326" s="223">
        <f>(ID326+IE326+IF326+IG326+IH326+II326+IJ326+IK326)/3</f>
        <v>12</v>
      </c>
      <c r="IM326" s="223">
        <f t="shared" ref="IM324:IM344" si="3034">2*IL326</f>
        <v>24</v>
      </c>
      <c r="IN326" s="224">
        <f t="shared" ref="IN324:IN344" si="3035">3*IL326</f>
        <v>36</v>
      </c>
      <c r="IO326" s="237">
        <f>ID326*POWER(KLslave,SIGN(IE326))*POWER(INslave,SIGN(IF326))*POWER(CHslave,SIGN(IG326))*POWER(FFslave,SIGN(IH326))*POWER(GEslave,SIGN(II326))*POWER(KOslave,SIGN(IJ326))*POWER(KKslave_KK,SIGN(IK326))+IE326*POWER(MUslave,SIGN(ID326))*POWER(INslave,SIGN(IF326))*POWER(CHslave,SIGN(IG326))*POWER(FFslave,SIGN(IH326))*POWER(GEslave,SIGN(II326))*POWER(KOslave,SIGN(IJ326))*POWER(KKslave_KK,SIGN(IK326))+IF326*POWER(MUslave,SIGN(ID326))*POWER(KLslave,SIGN(IE326))*POWER(CHslave,SIGN(IG326))*POWER(FFslave,SIGN(IH326))*POWER(GEslave,SIGN(II326))*POWER(KOslave,SIGN(IJ326))*POWER(KKslave_KK,SIGN(IK326))+IG326*POWER(MUslave,SIGN(ID326))*POWER(KLslave,SIGN(IE326))*POWER(INslave,SIGN(IF326))*POWER(FFslave,SIGN(IH326))*POWER(GEslave,SIGN(II326))*POWER(KOslave,SIGN(IJ326))*POWER(KKslave_KK,SIGN(IK326))+IH326*POWER(MUslave,SIGN(ID326))*POWER(KLslave,SIGN(IE326))*POWER(INslave,SIGN(IF326))*POWER(CHslave,SIGN(IG326))*POWER(GEslave,SIGN(II326))*POWER(KOslave,SIGN(IJ326))*POWER(KKslave_KK,SIGN(IK326))+II326*POWER(MUslave,SIGN(ID326))*POWER(KLslave,SIGN(IE326))*POWER(INslave,SIGN(IF326))*POWER(CHslave,SIGN(IG326))*POWER(FFslave,SIGN(IH326))*POWER(KOslave,SIGN(IJ326))*POWER(KKslave_KK,SIGN(IK326))+IJ326*POWER(MUslave,SIGN(ID326))*POWER(KLslave,SIGN(IE326))*POWER(INslave,SIGN(IF326))*POWER(CHslave,SIGN(IG326))*POWER(FFslave,SIGN(IH326))*POWER(GEslave,SIGN(II326))*POWER(KKslave_KK,SIGN(IK326))+IK326*POWER(MUslave,SIGN(ID326))*POWER(KLslave,SIGN(IE326))*POWER(INslave,SIGN(IF326))*POWER(CHslave,SIGN(IG326))*POWER(FFslave,SIGN(IH326))*POWER(GEslave,SIGN(II326))*POWER(KOslave,SIGN(IJ326))</f>
        <v>2304</v>
      </c>
      <c r="IP326" s="117">
        <f>ID326*IG326*GEslave+ID326*CHslave*II326+MUslave*IG326*II326</f>
        <v>3456</v>
      </c>
      <c r="IQ326" s="224">
        <f>IFERROR(ID326^SIGN(ID326),1)*IFERROR(IE326^SIGN(IE326),1)*IFERROR(IF326^SIGN(IF326),1)*IFERROR(IG326^SIGN(IG326),1)*IFERROR(IH326^SIGN(IH326),1)*IFERROR(II326^SIGN(II326),1)*IFERROR(IJ326^SIGN(IJ326),1)*IFERROR(IK326^SIGN(IK326),1)</f>
        <v>1728</v>
      </c>
      <c r="IR326" s="224">
        <f t="shared" ref="IR324:IR331" si="3036">SUM(IO326:IQ326)</f>
        <v>7488</v>
      </c>
      <c r="IS326" s="222">
        <f t="shared" ref="IS324:IS335" si="3037">IL326*IO326/IR326</f>
        <v>3.6923076923076925</v>
      </c>
      <c r="IT326" s="223">
        <f t="shared" ref="IT324:IT335" si="3038">IM326*IP326/IR326</f>
        <v>11.076923076923077</v>
      </c>
      <c r="IU326" s="243">
        <f t="shared" ref="IU324:IU335" si="3039">IN326*IQ326/IR326</f>
        <v>8.3076923076923084</v>
      </c>
      <c r="IV326" s="243">
        <f t="shared" ref="IV324:IV335" si="3040">SUM(IS326:IU326)</f>
        <v>23.07692307692308</v>
      </c>
      <c r="IW326" s="252">
        <f t="shared" si="2943"/>
        <v>0</v>
      </c>
      <c r="IX326" s="324">
        <f t="shared" ref="IX324:IX344" si="3041">IV326-IW326</f>
        <v>23.07692307692308</v>
      </c>
      <c r="IY326" s="304">
        <f t="shared" ref="IY326:IZ327" si="3042">IF(IV326&lt;=0,3,0)+IF(IV326&gt;0,IV326+1,0)*3+IF(IV326&gt;12,IV326-12,0)*3+IF(IV326&gt;13,IV326-13,0)*3+IF(IV326&gt;14,IV326-14,0)*3+IF(IV326&gt;15,IV326-15,0)*3+IF(IV326&gt;16,IV326-16,0)*3+IF(IV326&gt;17,IV326-17,0)*3+IF(IV326&gt;18,IV326-18,0)*3+IF(IV326&gt;19,IV326-19,0)*3+IF(IV326&gt;20,IV326-20,0)*3</f>
        <v>263.30769230769232</v>
      </c>
      <c r="IZ326" s="335">
        <f t="shared" si="3042"/>
        <v>3</v>
      </c>
      <c r="JA326" s="243">
        <f t="shared" ref="JA324:JA344" si="3043">IF((IY326-IZ326)&gt;0,IY326-IZ326,0)</f>
        <v>260.30769230769232</v>
      </c>
      <c r="JB326" s="218">
        <f t="shared" ref="JB324:JB344" si="3044">IF((IZ326-IY326)&gt;0,IZ326-IY326,0)</f>
        <v>0</v>
      </c>
      <c r="JE326" s="148"/>
    </row>
    <row r="327" spans="1:265" hidden="1" outlineLevel="2">
      <c r="A327" s="185"/>
      <c r="B327" s="217">
        <v>5</v>
      </c>
      <c r="C327" s="303" t="e">
        <f>VLOOKUP(AF327,Attribute!C:T,1,FALSE)</f>
        <v>#N/A</v>
      </c>
      <c r="D327" s="304" t="s">
        <v>8</v>
      </c>
      <c r="E327" s="304" t="s">
        <v>135</v>
      </c>
      <c r="F327" s="114">
        <f>Konvention_1master-MUmaster</f>
        <v>12</v>
      </c>
      <c r="G327" s="113"/>
      <c r="H327" s="113">
        <f>Konvention_1master-INmaster</f>
        <v>12</v>
      </c>
      <c r="I327" s="113"/>
      <c r="J327" s="113"/>
      <c r="K327" s="113">
        <f>Konvention_1master-GEmaster</f>
        <v>12</v>
      </c>
      <c r="L327" s="113"/>
      <c r="M327" s="119"/>
      <c r="N327" s="223">
        <f>(F327+G327+H327+I327+J327+K327+L327+M327)/3</f>
        <v>12</v>
      </c>
      <c r="O327" s="223">
        <f>2*N327</f>
        <v>24</v>
      </c>
      <c r="P327" s="224">
        <f>3*N327</f>
        <v>36</v>
      </c>
      <c r="Q327" s="237">
        <f>F327*POWER(KLmaster,SIGN(G327))*POWER(INmaster,SIGN(H327))*POWER(CHmaster,SIGN(I327))*POWER(FFmaster,SIGN(J327))*POWER(GEmaster,SIGN(K327))*POWER(KOmaster,SIGN(L327))*POWER(KKmaster,SIGN(M327))+G327*POWER(MUmaster,SIGN(F327))*POWER(INmaster,SIGN(H327))*POWER(CHmaster,SIGN(I327))*POWER(FFmaster,SIGN(J327))*POWER(GEmaster,SIGN(K327))*POWER(KOmaster,SIGN(L327))*POWER(KKmaster,SIGN(M327))+H327*POWER(MUmaster,SIGN(F327))*POWER(KLmaster,SIGN(G327))*POWER(CHmaster,SIGN(I327))*POWER(FFmaster,SIGN(J327))*POWER(GEmaster,SIGN(K327))*POWER(KOmaster,SIGN(L327))*POWER(KKmaster,SIGN(M327))+I327*POWER(MUmaster,SIGN(F327))*POWER(KLmaster,SIGN(G327))*POWER(INmaster,SIGN(H327))*POWER(FFmaster,SIGN(J327))*POWER(GEmaster,SIGN(K327))*POWER(KOmaster,SIGN(L327))*POWER(KKmaster,SIGN(M327))+J327*POWER(MUmaster,SIGN(F327))*POWER(KLmaster,SIGN(G327))*POWER(INmaster,SIGN(H327))*POWER(CHmaster,SIGN(I327))*POWER(GEmaster,SIGN(K327))*POWER(KOmaster,SIGN(L327))*POWER(KKmaster,SIGN(M327))+K327*POWER(MUmaster,SIGN(F327))*POWER(KLmaster,SIGN(G327))*POWER(INmaster,SIGN(H327))*POWER(CHmaster,SIGN(I327))*POWER(FFmaster,SIGN(J327))*POWER(KOmaster,SIGN(L327))*POWER(KKmaster,SIGN(M327))+L327*POWER(MUmaster,SIGN(F327))*POWER(KLmaster,SIGN(G327))*POWER(INmaster,SIGN(H327))*POWER(CHmaster,SIGN(I327))*POWER(FFmaster,SIGN(J327))*POWER(GEmaster,SIGN(K327))*POWER(KKmaster,SIGN(M327))+M327*POWER(MUmaster,SIGN(F327))*POWER(KLmaster,SIGN(G327))*POWER(INmaster,SIGN(H327))*POWER(CHmaster,SIGN(I327))*POWER(FFmaster,SIGN(J327))*POWER(GEmaster,SIGN(K327))*POWER(KOmaster,SIGN(L327))</f>
        <v>2304</v>
      </c>
      <c r="R327" s="113">
        <f>F327*H327*GEmaster+F327*INmaster*K327+MUmaster*H327*K327</f>
        <v>3456</v>
      </c>
      <c r="S327" s="224">
        <f>IFERROR(F327^SIGN(F327),1)*IFERROR(G327^SIGN(G327),1)*IFERROR(H327^SIGN(H327),1)*IFERROR(I327^SIGN(I327),1)*IFERROR(J327^SIGN(J327),1)*IFERROR(K327^SIGN(K327),1)*IFERROR(L327^SIGN(L327),1)*IFERROR(M327^SIGN(M327),1)</f>
        <v>1728</v>
      </c>
      <c r="T327" s="224">
        <f>SUM(Q327:S327)</f>
        <v>7488</v>
      </c>
      <c r="U327" s="222">
        <f>N327*Q327/T327</f>
        <v>3.6923076923076925</v>
      </c>
      <c r="V327" s="223">
        <f>O327*R327/T327</f>
        <v>11.076923076923077</v>
      </c>
      <c r="W327" s="243">
        <f>P327*S327/T327</f>
        <v>8.3076923076923084</v>
      </c>
      <c r="X327" s="243">
        <f>SUM(U327:W327)</f>
        <v>23.07692307692308</v>
      </c>
      <c r="Y327" s="252">
        <v>0</v>
      </c>
      <c r="Z327" s="324">
        <f>X327-Y327</f>
        <v>23.07692307692308</v>
      </c>
      <c r="AA327" s="304">
        <f t="shared" si="2953"/>
        <v>263.30769230769232</v>
      </c>
      <c r="AB327" s="335">
        <f t="shared" si="2954"/>
        <v>3</v>
      </c>
      <c r="AC327" s="243">
        <f t="shared" si="2955"/>
        <v>260.30769230769232</v>
      </c>
      <c r="AD327" s="218">
        <f>IF((AB327-AA327)&gt;0,AB327-AA327,0)</f>
        <v>0</v>
      </c>
      <c r="AE327" s="140"/>
      <c r="AF327" s="303" t="s">
        <v>479</v>
      </c>
      <c r="AG327" s="304" t="s">
        <v>8</v>
      </c>
      <c r="AH327" s="304" t="s">
        <v>135</v>
      </c>
      <c r="AI327" s="114">
        <f t="shared" ref="AI327" si="3045">Konvention_1slave-MUslave_MU</f>
        <v>11</v>
      </c>
      <c r="AJ327" s="113"/>
      <c r="AK327" s="113">
        <f>Konvention_1slave-INslave</f>
        <v>12</v>
      </c>
      <c r="AL327" s="113"/>
      <c r="AM327" s="113"/>
      <c r="AN327" s="113">
        <f>Konvention_1slave-GEslave</f>
        <v>12</v>
      </c>
      <c r="AO327" s="113"/>
      <c r="AP327" s="119"/>
      <c r="AQ327" s="223">
        <f>(AI327+AJ327+AK327+AL327+AM327+AN327+AO327+AP327)/3</f>
        <v>11.666666666666666</v>
      </c>
      <c r="AR327" s="223">
        <f>2*AQ327</f>
        <v>23.333333333333332</v>
      </c>
      <c r="AS327" s="224">
        <f>3*AQ327</f>
        <v>35</v>
      </c>
      <c r="AT327" s="237">
        <f t="shared" ref="AT327:AT328" si="3046">AI327*POWER(KLslave,SIGN(AJ327))*POWER(INslave,SIGN(AK327))*POWER(CHslave,SIGN(AL327))*POWER(FFslave,SIGN(AM327))*POWER(GEslave,SIGN(AN327))*POWER(KOslave,SIGN(AO327))*POWER(KKslave,SIGN(AP327))+AJ327*POWER(MUslave_MU,SIGN(AI327))*POWER(INslave,SIGN(AK327))*POWER(CHslave,SIGN(AL327))*POWER(FFslave,SIGN(AM327))*POWER(GEslave,SIGN(AN327))*POWER(KOslave,SIGN(AO327))*POWER(KKslave,SIGN(AP327))+AK327*POWER(MUslave_MU,SIGN(AI327))*POWER(KLslave,SIGN(AJ327))*POWER(CHslave,SIGN(AL327))*POWER(FFslave,SIGN(AM327))*POWER(GEslave,SIGN(AN327))*POWER(KOslave,SIGN(AO327))*POWER(KKslave,SIGN(AP327))+AL327*POWER(MUslave_MU,SIGN(AI327))*POWER(KLslave,SIGN(AJ327))*POWER(INslave,SIGN(AK327))*POWER(FFslave,SIGN(AM327))*POWER(GEslave,SIGN(AN327))*POWER(KOslave,SIGN(AO327))*POWER(KKslave,SIGN(AP327))+AM327*POWER(MUslave_MU,SIGN(AI327))*POWER(KLslave,SIGN(AJ327))*POWER(INslave,SIGN(AK327))*POWER(CHslave,SIGN(AL327))*POWER(GEslave,SIGN(AN327))*POWER(KOslave,SIGN(AO327))*POWER(KKslave,SIGN(AP327))+AN327*POWER(MUslave_MU,SIGN(AI327))*POWER(KLslave,SIGN(AJ327))*POWER(INslave,SIGN(AK327))*POWER(CHslave,SIGN(AL327))*POWER(FFslave,SIGN(AM327))*POWER(KOslave,SIGN(AO327))*POWER(KKslave,SIGN(AP327))+AO327*POWER(MUslave_MU,SIGN(AI327))*POWER(KLslave,SIGN(AJ327))*POWER(INslave,SIGN(AK327))*POWER(CHslave,SIGN(AL327))*POWER(FFslave,SIGN(AM327))*POWER(GEslave,SIGN(AN327))*POWER(KKslave,SIGN(AP327))+AP327*POWER(MUslave_MU,SIGN(AI327))*POWER(KLslave,SIGN(AJ327))*POWER(INslave,SIGN(AK327))*POWER(CHslave,SIGN(AL327))*POWER(FFslave,SIGN(AM327))*POWER(GEslave,SIGN(AN327))*POWER(KOslave,SIGN(AO327))</f>
        <v>2432</v>
      </c>
      <c r="AU327" s="113">
        <f>AI327*AK327*GEslave+AI327*INslave*AN327+MUslave_MU*AK327*AN327</f>
        <v>3408</v>
      </c>
      <c r="AV327" s="224">
        <f>IFERROR(AI327^SIGN(AI327),1)*IFERROR(AJ327^SIGN(AJ327),1)*IFERROR(AK327^SIGN(AK327),1)*IFERROR(AL327^SIGN(AL327),1)*IFERROR(AM327^SIGN(AM327),1)*IFERROR(AN327^SIGN(AN327),1)*IFERROR(AO327^SIGN(AO327),1)*IFERROR(AP327^SIGN(AP327),1)</f>
        <v>1584</v>
      </c>
      <c r="AW327" s="224">
        <f>SUM(AT327:AV327)</f>
        <v>7424</v>
      </c>
      <c r="AX327" s="222">
        <f>AQ327*AT327/AW327</f>
        <v>3.8218390804597702</v>
      </c>
      <c r="AY327" s="223">
        <f>AR327*AU327/AW327</f>
        <v>10.711206896551724</v>
      </c>
      <c r="AZ327" s="243">
        <f>AS327*AV327/AW327</f>
        <v>7.4676724137931032</v>
      </c>
      <c r="BA327" s="243">
        <f>SUM(AX327:AZ327)</f>
        <v>22.000718390804597</v>
      </c>
      <c r="BB327" s="252">
        <f t="shared" si="2034"/>
        <v>0</v>
      </c>
      <c r="BC327" s="324">
        <f>BA327-BB327</f>
        <v>22.000718390804597</v>
      </c>
      <c r="BD327" s="304">
        <f t="shared" si="2965"/>
        <v>231.02155172413785</v>
      </c>
      <c r="BE327" s="335">
        <f t="shared" si="2965"/>
        <v>3</v>
      </c>
      <c r="BF327" s="243">
        <f t="shared" si="2966"/>
        <v>228.02155172413785</v>
      </c>
      <c r="BG327" s="218">
        <f>IF((BE327-BD327)&gt;0,BE327-BD327,0)</f>
        <v>0</v>
      </c>
      <c r="BH327" s="248"/>
      <c r="BI327" s="303" t="s">
        <v>479</v>
      </c>
      <c r="BJ327" s="304" t="s">
        <v>8</v>
      </c>
      <c r="BK327" s="304" t="s">
        <v>135</v>
      </c>
      <c r="BL327" s="114">
        <f t="shared" ref="BL327" si="3047">Konvention_1slave-MUslave</f>
        <v>12</v>
      </c>
      <c r="BM327" s="113"/>
      <c r="BN327" s="113">
        <f>Konvention_1slave-INslave</f>
        <v>12</v>
      </c>
      <c r="BO327" s="113"/>
      <c r="BP327" s="113"/>
      <c r="BQ327" s="113">
        <f>Konvention_1slave-GEslave</f>
        <v>12</v>
      </c>
      <c r="BR327" s="113"/>
      <c r="BS327" s="119"/>
      <c r="BT327" s="223">
        <f>(BL327+BM327+BN327+BO327+BP327+BQ327+BR327+BS327)/3</f>
        <v>12</v>
      </c>
      <c r="BU327" s="223">
        <f>2*BT327</f>
        <v>24</v>
      </c>
      <c r="BV327" s="224">
        <f>3*BT327</f>
        <v>36</v>
      </c>
      <c r="BW327" s="237">
        <f t="shared" ref="BW327:BW328" si="3048">BL327*POWER(KLslave_KL,SIGN(BM327))*POWER(INslave,SIGN(BN327))*POWER(CHslave,SIGN(BO327))*POWER(FFslave,SIGN(BP327))*POWER(GEslave,SIGN(BQ327))*POWER(KOslave,SIGN(BR327))*POWER(KKslave,SIGN(BS327))+BM327*POWER(MUslave,SIGN(BL327))*POWER(INslave,SIGN(BN327))*POWER(CHslave,SIGN(BO327))*POWER(FFslave,SIGN(BP327))*POWER(GEslave,SIGN(BQ327))*POWER(KOslave,SIGN(BR327))*POWER(KKslave,SIGN(BS327))+BN327*POWER(MUslave,SIGN(BL327))*POWER(KLslave_KL,SIGN(BM327))*POWER(CHslave,SIGN(BO327))*POWER(FFslave,SIGN(BP327))*POWER(GEslave,SIGN(BQ327))*POWER(KOslave,SIGN(BR327))*POWER(KKslave,SIGN(BS327))+BO327*POWER(MUslave,SIGN(BL327))*POWER(KLslave_KL,SIGN(BM327))*POWER(INslave,SIGN(BN327))*POWER(FFslave,SIGN(BP327))*POWER(GEslave,SIGN(BQ327))*POWER(KOslave,SIGN(BR327))*POWER(KKslave,SIGN(BS327))+BP327*POWER(MUslave,SIGN(BL327))*POWER(KLslave_KL,SIGN(BM327))*POWER(INslave,SIGN(BN327))*POWER(CHslave,SIGN(BO327))*POWER(GEslave,SIGN(BQ327))*POWER(KOslave,SIGN(BR327))*POWER(KKslave,SIGN(BS327))+BQ327*POWER(MUslave,SIGN(BL327))*POWER(KLslave_KL,SIGN(BM327))*POWER(INslave,SIGN(BN327))*POWER(CHslave,SIGN(BO327))*POWER(FFslave,SIGN(BP327))*POWER(KOslave,SIGN(BR327))*POWER(KKslave,SIGN(BS327))+BR327*POWER(MUslave,SIGN(BL327))*POWER(KLslave_KL,SIGN(BM327))*POWER(INslave,SIGN(BN327))*POWER(CHslave,SIGN(BO327))*POWER(FFslave,SIGN(BP327))*POWER(GEslave,SIGN(BQ327))*POWER(KKslave,SIGN(BS327))+BS327*POWER(MUslave,SIGN(BL327))*POWER(KLslave_KL,SIGN(BM327))*POWER(INslave,SIGN(BN327))*POWER(CHslave,SIGN(BO327))*POWER(FFslave,SIGN(BP327))*POWER(GEslave,SIGN(BQ327))*POWER(KOslave,SIGN(BR327))</f>
        <v>2304</v>
      </c>
      <c r="BX327" s="113">
        <f>BL327*BN327*GEslave+BL327*INslave*BQ327+MUslave*BN327*BQ327</f>
        <v>3456</v>
      </c>
      <c r="BY327" s="224">
        <f>IFERROR(BL327^SIGN(BL327),1)*IFERROR(BM327^SIGN(BM327),1)*IFERROR(BN327^SIGN(BN327),1)*IFERROR(BO327^SIGN(BO327),1)*IFERROR(BP327^SIGN(BP327),1)*IFERROR(BQ327^SIGN(BQ327),1)*IFERROR(BR327^SIGN(BR327),1)*IFERROR(BS327^SIGN(BS327),1)</f>
        <v>1728</v>
      </c>
      <c r="BZ327" s="224">
        <f>SUM(BW327:BY327)</f>
        <v>7488</v>
      </c>
      <c r="CA327" s="222">
        <f>BT327*BW327/BZ327</f>
        <v>3.6923076923076925</v>
      </c>
      <c r="CB327" s="223">
        <f>BU327*BX327/BZ327</f>
        <v>11.076923076923077</v>
      </c>
      <c r="CC327" s="243">
        <f>BV327*BY327/BZ327</f>
        <v>8.3076923076923084</v>
      </c>
      <c r="CD327" s="243">
        <f>SUM(CA327:CC327)</f>
        <v>23.07692307692308</v>
      </c>
      <c r="CE327" s="252">
        <f t="shared" si="2925"/>
        <v>0</v>
      </c>
      <c r="CF327" s="324">
        <f>CD327-CE327</f>
        <v>23.07692307692308</v>
      </c>
      <c r="CG327" s="304">
        <f t="shared" si="2976"/>
        <v>263.30769230769232</v>
      </c>
      <c r="CH327" s="335">
        <f t="shared" si="2976"/>
        <v>3</v>
      </c>
      <c r="CI327" s="243">
        <f t="shared" si="2977"/>
        <v>260.30769230769232</v>
      </c>
      <c r="CJ327" s="218">
        <f>IF((CH327-CG327)&gt;0,CH327-CG327,0)</f>
        <v>0</v>
      </c>
      <c r="CK327" s="248"/>
      <c r="CL327" s="303" t="s">
        <v>479</v>
      </c>
      <c r="CM327" s="304" t="s">
        <v>8</v>
      </c>
      <c r="CN327" s="304" t="s">
        <v>135</v>
      </c>
      <c r="CO327" s="114">
        <f t="shared" ref="CO327" si="3049">Konvention_1slave-MUslave</f>
        <v>12</v>
      </c>
      <c r="CP327" s="113"/>
      <c r="CQ327" s="113">
        <f>Konvention_1slave-INslave_IN</f>
        <v>11</v>
      </c>
      <c r="CR327" s="113"/>
      <c r="CS327" s="113"/>
      <c r="CT327" s="113">
        <f>Konvention_1slave-GEslave</f>
        <v>12</v>
      </c>
      <c r="CU327" s="113"/>
      <c r="CV327" s="119"/>
      <c r="CW327" s="223">
        <f>(CO327+CP327+CQ327+CR327+CS327+CT327+CU327+CV327)/3</f>
        <v>11.666666666666666</v>
      </c>
      <c r="CX327" s="223">
        <f>2*CW327</f>
        <v>23.333333333333332</v>
      </c>
      <c r="CY327" s="224">
        <f>3*CW327</f>
        <v>35</v>
      </c>
      <c r="CZ327" s="237">
        <f t="shared" ref="CZ327:CZ328" si="3050">CO327*POWER(KLslave,SIGN(CP327))*POWER(INslave_IN,SIGN(CQ327))*POWER(CHslave,SIGN(CR327))*POWER(FFslave,SIGN(CS327))*POWER(GEslave,SIGN(CT327))*POWER(KOslave,SIGN(CU327))*POWER(KKslave,SIGN(CV327))+CP327*POWER(MUslave,SIGN(CO327))*POWER(INslave_IN,SIGN(CQ327))*POWER(CHslave,SIGN(CR327))*POWER(FFslave,SIGN(CS327))*POWER(GEslave,SIGN(CT327))*POWER(KOslave,SIGN(CU327))*POWER(KKslave,SIGN(CV327))+CQ327*POWER(MUslave,SIGN(CO327))*POWER(KLslave,SIGN(CP327))*POWER(CHslave,SIGN(CR327))*POWER(FFslave,SIGN(CS327))*POWER(GEslave,SIGN(CT327))*POWER(KOslave,SIGN(CU327))*POWER(KKslave,SIGN(CV327))+CR327*POWER(MUslave,SIGN(CO327))*POWER(KLslave,SIGN(CP327))*POWER(INslave_IN,SIGN(CQ327))*POWER(FFslave,SIGN(CS327))*POWER(GEslave,SIGN(CT327))*POWER(KOslave,SIGN(CU327))*POWER(KKslave,SIGN(CV327))+CS327*POWER(MUslave,SIGN(CO327))*POWER(KLslave,SIGN(CP327))*POWER(INslave_IN,SIGN(CQ327))*POWER(CHslave,SIGN(CR327))*POWER(GEslave,SIGN(CT327))*POWER(KOslave,SIGN(CU327))*POWER(KKslave,SIGN(CV327))+CT327*POWER(MUslave,SIGN(CO327))*POWER(KLslave,SIGN(CP327))*POWER(INslave_IN,SIGN(CQ327))*POWER(CHslave,SIGN(CR327))*POWER(FFslave,SIGN(CS327))*POWER(KOslave,SIGN(CU327))*POWER(KKslave,SIGN(CV327))+CU327*POWER(MUslave,SIGN(CO327))*POWER(KLslave,SIGN(CP327))*POWER(INslave_IN,SIGN(CQ327))*POWER(CHslave,SIGN(CR327))*POWER(FFslave,SIGN(CS327))*POWER(GEslave,SIGN(CT327))*POWER(KKslave,SIGN(CV327))+CV327*POWER(MUslave,SIGN(CO327))*POWER(KLslave,SIGN(CP327))*POWER(INslave_IN,SIGN(CQ327))*POWER(CHslave,SIGN(CR327))*POWER(FFslave,SIGN(CS327))*POWER(GEslave,SIGN(CT327))*POWER(KOslave,SIGN(CU327))</f>
        <v>2432</v>
      </c>
      <c r="DA327" s="113">
        <f>CO327*CQ327*GEslave+CO327*INslave_IN*CT327+MUslave*CQ327*CT327</f>
        <v>3408</v>
      </c>
      <c r="DB327" s="224">
        <f>IFERROR(CO327^SIGN(CO327),1)*IFERROR(CP327^SIGN(CP327),1)*IFERROR(CQ327^SIGN(CQ327),1)*IFERROR(CR327^SIGN(CR327),1)*IFERROR(CS327^SIGN(CS327),1)*IFERROR(CT327^SIGN(CT327),1)*IFERROR(CU327^SIGN(CU327),1)*IFERROR(CV327^SIGN(CV327),1)</f>
        <v>1584</v>
      </c>
      <c r="DC327" s="224">
        <f>SUM(CZ327:DB327)</f>
        <v>7424</v>
      </c>
      <c r="DD327" s="222">
        <f>CW327*CZ327/DC327</f>
        <v>3.8218390804597702</v>
      </c>
      <c r="DE327" s="223">
        <f>CX327*DA327/DC327</f>
        <v>10.711206896551724</v>
      </c>
      <c r="DF327" s="243">
        <f>CY327*DB327/DC327</f>
        <v>7.4676724137931032</v>
      </c>
      <c r="DG327" s="243">
        <f>SUM(DD327:DF327)</f>
        <v>22.000718390804597</v>
      </c>
      <c r="DH327" s="252">
        <f t="shared" si="2928"/>
        <v>0</v>
      </c>
      <c r="DI327" s="324">
        <f>DG327-DH327</f>
        <v>22.000718390804597</v>
      </c>
      <c r="DJ327" s="304">
        <f t="shared" si="2987"/>
        <v>231.02155172413785</v>
      </c>
      <c r="DK327" s="335">
        <f t="shared" si="2987"/>
        <v>3</v>
      </c>
      <c r="DL327" s="243">
        <f t="shared" si="2988"/>
        <v>228.02155172413785</v>
      </c>
      <c r="DM327" s="218">
        <f>IF((DK327-DJ327)&gt;0,DK327-DJ327,0)</f>
        <v>0</v>
      </c>
      <c r="DN327" s="248"/>
      <c r="DO327" s="303" t="s">
        <v>479</v>
      </c>
      <c r="DP327" s="304" t="s">
        <v>8</v>
      </c>
      <c r="DQ327" s="304" t="s">
        <v>135</v>
      </c>
      <c r="DR327" s="114">
        <f t="shared" ref="DR327" si="3051">Konvention_1slave-MUslave</f>
        <v>12</v>
      </c>
      <c r="DS327" s="113"/>
      <c r="DT327" s="113">
        <f>Konvention_1slave-INslave</f>
        <v>12</v>
      </c>
      <c r="DU327" s="113"/>
      <c r="DV327" s="113"/>
      <c r="DW327" s="113">
        <f>Konvention_1slave-GEslave</f>
        <v>12</v>
      </c>
      <c r="DX327" s="113"/>
      <c r="DY327" s="119"/>
      <c r="DZ327" s="223">
        <f>(DR327+DS327+DT327+DU327+DV327+DW327+DX327+DY327)/3</f>
        <v>12</v>
      </c>
      <c r="EA327" s="223">
        <f>2*DZ327</f>
        <v>24</v>
      </c>
      <c r="EB327" s="224">
        <f>3*DZ327</f>
        <v>36</v>
      </c>
      <c r="EC327" s="237">
        <f t="shared" ref="EC327:EC328" si="3052">DR327*POWER(KLslave,SIGN(DS327))*POWER(INslave,SIGN(DT327))*POWER(CHslave_CH,SIGN(DU327))*POWER(FFslave,SIGN(DV327))*POWER(GEslave,SIGN(DW327))*POWER(KOslave,SIGN(DX327))*POWER(KKslave,SIGN(DY327))+DS327*POWER(MUslave,SIGN(DR327))*POWER(INslave,SIGN(DT327))*POWER(CHslave_CH,SIGN(DU327))*POWER(FFslave,SIGN(DV327))*POWER(GEslave,SIGN(DW327))*POWER(KOslave,SIGN(DX327))*POWER(KKslave,SIGN(DY327))+DT327*POWER(MUslave,SIGN(DR327))*POWER(KLslave,SIGN(DS327))*POWER(CHslave_CH,SIGN(DU327))*POWER(FFslave,SIGN(DV327))*POWER(GEslave,SIGN(DW327))*POWER(KOslave,SIGN(DX327))*POWER(KKslave,SIGN(DY327))+DU327*POWER(MUslave,SIGN(DR327))*POWER(KLslave,SIGN(DS327))*POWER(INslave,SIGN(DT327))*POWER(FFslave,SIGN(DV327))*POWER(GEslave,SIGN(DW327))*POWER(KOslave,SIGN(DX327))*POWER(KKslave,SIGN(DY327))+DV327*POWER(MUslave,SIGN(DR327))*POWER(KLslave,SIGN(DS327))*POWER(INslave,SIGN(DT327))*POWER(CHslave_CH,SIGN(DU327))*POWER(GEslave,SIGN(DW327))*POWER(KOslave,SIGN(DX327))*POWER(KKslave,SIGN(DY327))+DW327*POWER(MUslave,SIGN(DR327))*POWER(KLslave,SIGN(DS327))*POWER(INslave,SIGN(DT327))*POWER(CHslave_CH,SIGN(DU327))*POWER(FFslave,SIGN(DV327))*POWER(KOslave,SIGN(DX327))*POWER(KKslave,SIGN(DY327))+DX327*POWER(MUslave,SIGN(DR327))*POWER(KLslave,SIGN(DS327))*POWER(INslave,SIGN(DT327))*POWER(CHslave_CH,SIGN(DU327))*POWER(FFslave,SIGN(DV327))*POWER(GEslave,SIGN(DW327))*POWER(KKslave,SIGN(DY327))+DY327*POWER(MUslave,SIGN(DR327))*POWER(KLslave,SIGN(DS327))*POWER(INslave,SIGN(DT327))*POWER(CHslave_CH,SIGN(DU327))*POWER(FFslave,SIGN(DV327))*POWER(GEslave,SIGN(DW327))*POWER(KOslave,SIGN(DX327))</f>
        <v>2304</v>
      </c>
      <c r="ED327" s="113">
        <f>DR327*DT327*GEslave+DR327*INslave*DW327+MUslave*DT327*DW327</f>
        <v>3456</v>
      </c>
      <c r="EE327" s="224">
        <f>IFERROR(DR327^SIGN(DR327),1)*IFERROR(DS327^SIGN(DS327),1)*IFERROR(DT327^SIGN(DT327),1)*IFERROR(DU327^SIGN(DU327),1)*IFERROR(DV327^SIGN(DV327),1)*IFERROR(DW327^SIGN(DW327),1)*IFERROR(DX327^SIGN(DX327),1)*IFERROR(DY327^SIGN(DY327),1)</f>
        <v>1728</v>
      </c>
      <c r="EF327" s="224">
        <f>SUM(EC327:EE327)</f>
        <v>7488</v>
      </c>
      <c r="EG327" s="222">
        <f>DZ327*EC327/EF327</f>
        <v>3.6923076923076925</v>
      </c>
      <c r="EH327" s="223">
        <f>EA327*ED327/EF327</f>
        <v>11.076923076923077</v>
      </c>
      <c r="EI327" s="243">
        <f>EB327*EE327/EF327</f>
        <v>8.3076923076923084</v>
      </c>
      <c r="EJ327" s="243">
        <f>SUM(EG327:EI327)</f>
        <v>23.07692307692308</v>
      </c>
      <c r="EK327" s="252">
        <f t="shared" si="2931"/>
        <v>0</v>
      </c>
      <c r="EL327" s="324">
        <f>EJ327-EK327</f>
        <v>23.07692307692308</v>
      </c>
      <c r="EM327" s="304">
        <f t="shared" si="2998"/>
        <v>263.30769230769232</v>
      </c>
      <c r="EN327" s="335">
        <f t="shared" si="2998"/>
        <v>3</v>
      </c>
      <c r="EO327" s="243">
        <f t="shared" si="2999"/>
        <v>260.30769230769232</v>
      </c>
      <c r="EP327" s="218">
        <f>IF((EN327-EM327)&gt;0,EN327-EM327,0)</f>
        <v>0</v>
      </c>
      <c r="EQ327" s="248"/>
      <c r="ER327" s="303" t="s">
        <v>479</v>
      </c>
      <c r="ES327" s="304" t="s">
        <v>8</v>
      </c>
      <c r="ET327" s="304" t="s">
        <v>135</v>
      </c>
      <c r="EU327" s="114">
        <f t="shared" ref="EU327" si="3053">Konvention_1slave-MUslave</f>
        <v>12</v>
      </c>
      <c r="EV327" s="113"/>
      <c r="EW327" s="113">
        <f>Konvention_1slave-INslave</f>
        <v>12</v>
      </c>
      <c r="EX327" s="113"/>
      <c r="EY327" s="113"/>
      <c r="EZ327" s="113">
        <f>Konvention_1slave-GEslave</f>
        <v>12</v>
      </c>
      <c r="FA327" s="113"/>
      <c r="FB327" s="119"/>
      <c r="FC327" s="223">
        <f>(EU327+EV327+EW327+EX327+EY327+EZ327+FA327+FB327)/3</f>
        <v>12</v>
      </c>
      <c r="FD327" s="223">
        <f>2*FC327</f>
        <v>24</v>
      </c>
      <c r="FE327" s="224">
        <f>3*FC327</f>
        <v>36</v>
      </c>
      <c r="FF327" s="237">
        <f t="shared" ref="FF327:FF328" si="3054">EU327*POWER(KLslave,SIGN(EV327))*POWER(INslave,SIGN(EW327))*POWER(CHslave,SIGN(EX327))*POWER(FFslave_FF,SIGN(EY327))*POWER(GEslave,SIGN(EZ327))*POWER(KOslave,SIGN(FA327))*POWER(KKslave,SIGN(FB327))+EV327*POWER(MUslave,SIGN(EU327))*POWER(INslave,SIGN(EW327))*POWER(CHslave,SIGN(EX327))*POWER(FFslave_FF,SIGN(EY327))*POWER(GEslave,SIGN(EZ327))*POWER(KOslave,SIGN(FA327))*POWER(KKslave,SIGN(FB327))+EW327*POWER(MUslave,SIGN(EU327))*POWER(KLslave,SIGN(EV327))*POWER(CHslave,SIGN(EX327))*POWER(FFslave_FF,SIGN(EY327))*POWER(GEslave,SIGN(EZ327))*POWER(KOslave,SIGN(FA327))*POWER(KKslave,SIGN(FB327))+EX327*POWER(MUslave,SIGN(EU327))*POWER(KLslave,SIGN(EV327))*POWER(INslave,SIGN(EW327))*POWER(FFslave_FF,SIGN(EY327))*POWER(GEslave,SIGN(EZ327))*POWER(KOslave,SIGN(FA327))*POWER(KKslave,SIGN(FB327))+EY327*POWER(MUslave,SIGN(EU327))*POWER(KLslave,SIGN(EV327))*POWER(INslave,SIGN(EW327))*POWER(CHslave,SIGN(EX327))*POWER(GEslave,SIGN(EZ327))*POWER(KOslave,SIGN(FA327))*POWER(KKslave,SIGN(FB327))+EZ327*POWER(MUslave,SIGN(EU327))*POWER(KLslave,SIGN(EV327))*POWER(INslave,SIGN(EW327))*POWER(CHslave,SIGN(EX327))*POWER(FFslave_FF,SIGN(EY327))*POWER(KOslave,SIGN(FA327))*POWER(KKslave,SIGN(FB327))+FA327*POWER(MUslave,SIGN(EU327))*POWER(KLslave,SIGN(EV327))*POWER(INslave,SIGN(EW327))*POWER(CHslave,SIGN(EX327))*POWER(FFslave_FF,SIGN(EY327))*POWER(GEslave,SIGN(EZ327))*POWER(KKslave,SIGN(FB327))+FB327*POWER(MUslave,SIGN(EU327))*POWER(KLslave,SIGN(EV327))*POWER(INslave,SIGN(EW327))*POWER(CHslave,SIGN(EX327))*POWER(FFslave_FF,SIGN(EY327))*POWER(GEslave,SIGN(EZ327))*POWER(KOslave,SIGN(FA327))</f>
        <v>2304</v>
      </c>
      <c r="FG327" s="113">
        <f>EU327*EW327*GEslave+EU327*INslave*EZ327+MUslave*EW327*EZ327</f>
        <v>3456</v>
      </c>
      <c r="FH327" s="224">
        <f>IFERROR(EU327^SIGN(EU327),1)*IFERROR(EV327^SIGN(EV327),1)*IFERROR(EW327^SIGN(EW327),1)*IFERROR(EX327^SIGN(EX327),1)*IFERROR(EY327^SIGN(EY327),1)*IFERROR(EZ327^SIGN(EZ327),1)*IFERROR(FA327^SIGN(FA327),1)*IFERROR(FB327^SIGN(FB327),1)</f>
        <v>1728</v>
      </c>
      <c r="FI327" s="224">
        <f>SUM(FF327:FH327)</f>
        <v>7488</v>
      </c>
      <c r="FJ327" s="222">
        <f>FC327*FF327/FI327</f>
        <v>3.6923076923076925</v>
      </c>
      <c r="FK327" s="223">
        <f>FD327*FG327/FI327</f>
        <v>11.076923076923077</v>
      </c>
      <c r="FL327" s="243">
        <f>FE327*FH327/FI327</f>
        <v>8.3076923076923084</v>
      </c>
      <c r="FM327" s="243">
        <f>SUM(FJ327:FL327)</f>
        <v>23.07692307692308</v>
      </c>
      <c r="FN327" s="252">
        <f t="shared" si="2934"/>
        <v>0</v>
      </c>
      <c r="FO327" s="324">
        <f>FM327-FN327</f>
        <v>23.07692307692308</v>
      </c>
      <c r="FP327" s="304">
        <f t="shared" si="3009"/>
        <v>263.30769230769232</v>
      </c>
      <c r="FQ327" s="335">
        <f t="shared" si="3009"/>
        <v>3</v>
      </c>
      <c r="FR327" s="243">
        <f t="shared" si="3010"/>
        <v>260.30769230769232</v>
      </c>
      <c r="FS327" s="218">
        <f>IF((FQ327-FP327)&gt;0,FQ327-FP327,0)</f>
        <v>0</v>
      </c>
      <c r="FT327" s="248"/>
      <c r="FU327" s="303" t="s">
        <v>479</v>
      </c>
      <c r="FV327" s="304" t="s">
        <v>8</v>
      </c>
      <c r="FW327" s="304" t="s">
        <v>135</v>
      </c>
      <c r="FX327" s="114">
        <f t="shared" ref="FX327" si="3055">Konvention_1slave-MUslave</f>
        <v>12</v>
      </c>
      <c r="FY327" s="113"/>
      <c r="FZ327" s="113">
        <f>Konvention_1slave-INslave</f>
        <v>12</v>
      </c>
      <c r="GA327" s="113"/>
      <c r="GB327" s="113"/>
      <c r="GC327" s="113">
        <f>Konvention_1slave-GEslave_GE</f>
        <v>11</v>
      </c>
      <c r="GD327" s="113"/>
      <c r="GE327" s="119"/>
      <c r="GF327" s="223">
        <f>(FX327+FY327+FZ327+GA327+GB327+GC327+GD327+GE327)/3</f>
        <v>11.666666666666666</v>
      </c>
      <c r="GG327" s="223">
        <f>2*GF327</f>
        <v>23.333333333333332</v>
      </c>
      <c r="GH327" s="224">
        <f>3*GF327</f>
        <v>35</v>
      </c>
      <c r="GI327" s="237">
        <f t="shared" ref="GI327:GI328" si="3056">FX327*POWER(KLslave,SIGN(FY327))*POWER(INslave,SIGN(FZ327))*POWER(CHslave,SIGN(GA327))*POWER(FFslave,SIGN(GB327))*POWER(GEslave_GE,SIGN(GC327))*POWER(KOslave,SIGN(GD327))*POWER(KKslave,SIGN(GE327))+FY327*POWER(MUslave,SIGN(FX327))*POWER(INslave,SIGN(FZ327))*POWER(CHslave,SIGN(GA327))*POWER(FFslave,SIGN(GB327))*POWER(GEslave_GE,SIGN(GC327))*POWER(KOslave,SIGN(GD327))*POWER(KKslave,SIGN(GE327))+FZ327*POWER(MUslave,SIGN(FX327))*POWER(KLslave,SIGN(FY327))*POWER(CHslave,SIGN(GA327))*POWER(FFslave,SIGN(GB327))*POWER(GEslave_GE,SIGN(GC327))*POWER(KOslave,SIGN(GD327))*POWER(KKslave,SIGN(GE327))+GA327*POWER(MUslave,SIGN(FX327))*POWER(KLslave,SIGN(FY327))*POWER(INslave,SIGN(FZ327))*POWER(FFslave,SIGN(GB327))*POWER(GEslave_GE,SIGN(GC327))*POWER(KOslave,SIGN(GD327))*POWER(KKslave,SIGN(GE327))+GB327*POWER(MUslave,SIGN(FX327))*POWER(KLslave,SIGN(FY327))*POWER(INslave,SIGN(FZ327))*POWER(CHslave,SIGN(GA327))*POWER(GEslave_GE,SIGN(GC327))*POWER(KOslave,SIGN(GD327))*POWER(KKslave,SIGN(GE327))+GC327*POWER(MUslave,SIGN(FX327))*POWER(KLslave,SIGN(FY327))*POWER(INslave,SIGN(FZ327))*POWER(CHslave,SIGN(GA327))*POWER(FFslave,SIGN(GB327))*POWER(KOslave,SIGN(GD327))*POWER(KKslave,SIGN(GE327))+GD327*POWER(MUslave,SIGN(FX327))*POWER(KLslave,SIGN(FY327))*POWER(INslave,SIGN(FZ327))*POWER(CHslave,SIGN(GA327))*POWER(FFslave,SIGN(GB327))*POWER(GEslave_GE,SIGN(GC327))*POWER(KKslave,SIGN(GE327))+GE327*POWER(MUslave,SIGN(FX327))*POWER(KLslave,SIGN(FY327))*POWER(INslave,SIGN(FZ327))*POWER(CHslave,SIGN(GA327))*POWER(FFslave,SIGN(GB327))*POWER(GEslave_GE,SIGN(GC327))*POWER(KOslave,SIGN(GD327))</f>
        <v>2432</v>
      </c>
      <c r="GJ327" s="113">
        <f>FX327*FZ327*GEslave_GE+FX327*INslave*GC327+MUslave*FZ327*GC327</f>
        <v>3408</v>
      </c>
      <c r="GK327" s="224">
        <f>IFERROR(FX327^SIGN(FX327),1)*IFERROR(FY327^SIGN(FY327),1)*IFERROR(FZ327^SIGN(FZ327),1)*IFERROR(GA327^SIGN(GA327),1)*IFERROR(GB327^SIGN(GB327),1)*IFERROR(GC327^SIGN(GC327),1)*IFERROR(GD327^SIGN(GD327),1)*IFERROR(GE327^SIGN(GE327),1)</f>
        <v>1584</v>
      </c>
      <c r="GL327" s="224">
        <f>SUM(GI327:GK327)</f>
        <v>7424</v>
      </c>
      <c r="GM327" s="222">
        <f>GF327*GI327/GL327</f>
        <v>3.8218390804597702</v>
      </c>
      <c r="GN327" s="223">
        <f>GG327*GJ327/GL327</f>
        <v>10.711206896551724</v>
      </c>
      <c r="GO327" s="243">
        <f>GH327*GK327/GL327</f>
        <v>7.4676724137931032</v>
      </c>
      <c r="GP327" s="243">
        <f>SUM(GM327:GO327)</f>
        <v>22.000718390804597</v>
      </c>
      <c r="GQ327" s="252">
        <f t="shared" si="2937"/>
        <v>0</v>
      </c>
      <c r="GR327" s="324">
        <f>GP327-GQ327</f>
        <v>22.000718390804597</v>
      </c>
      <c r="GS327" s="304">
        <f t="shared" si="3020"/>
        <v>231.02155172413785</v>
      </c>
      <c r="GT327" s="335">
        <f t="shared" si="3020"/>
        <v>3</v>
      </c>
      <c r="GU327" s="243">
        <f t="shared" si="3021"/>
        <v>228.02155172413785</v>
      </c>
      <c r="GV327" s="218">
        <f>IF((GT327-GS327)&gt;0,GT327-GS327,0)</f>
        <v>0</v>
      </c>
      <c r="GW327" s="248"/>
      <c r="GX327" s="303" t="s">
        <v>479</v>
      </c>
      <c r="GY327" s="304" t="s">
        <v>8</v>
      </c>
      <c r="GZ327" s="304" t="s">
        <v>135</v>
      </c>
      <c r="HA327" s="114">
        <f t="shared" ref="HA327" si="3057">Konvention_1slave-MUslave</f>
        <v>12</v>
      </c>
      <c r="HB327" s="113"/>
      <c r="HC327" s="113">
        <f>Konvention_1slave-INslave</f>
        <v>12</v>
      </c>
      <c r="HD327" s="113"/>
      <c r="HE327" s="113"/>
      <c r="HF327" s="113">
        <f>Konvention_1slave-GEslave</f>
        <v>12</v>
      </c>
      <c r="HG327" s="113"/>
      <c r="HH327" s="119"/>
      <c r="HI327" s="223">
        <f>(HA327+HB327+HC327+HD327+HE327+HF327+HG327+HH327)/3</f>
        <v>12</v>
      </c>
      <c r="HJ327" s="223">
        <f>2*HI327</f>
        <v>24</v>
      </c>
      <c r="HK327" s="224">
        <f>3*HI327</f>
        <v>36</v>
      </c>
      <c r="HL327" s="237">
        <f t="shared" ref="HL327:HL328" si="3058">HA327*POWER(KLslave,SIGN(HB327))*POWER(INslave,SIGN(HC327))*POWER(CHslave,SIGN(HD327))*POWER(FFslave,SIGN(HE327))*POWER(GEslave,SIGN(HF327))*POWER(KOslave_KO,SIGN(HG327))*POWER(KKslave,SIGN(HH327))+HB327*POWER(MUslave,SIGN(HA327))*POWER(INslave,SIGN(HC327))*POWER(CHslave,SIGN(HD327))*POWER(FFslave,SIGN(HE327))*POWER(GEslave,SIGN(HF327))*POWER(KOslave_KO,SIGN(HG327))*POWER(KKslave,SIGN(HH327))+HC327*POWER(MUslave,SIGN(HA327))*POWER(KLslave,SIGN(HB327))*POWER(CHslave,SIGN(HD327))*POWER(FFslave,SIGN(HE327))*POWER(GEslave,SIGN(HF327))*POWER(KOslave_KO,SIGN(HG327))*POWER(KKslave,SIGN(HH327))+HD327*POWER(MUslave,SIGN(HA327))*POWER(KLslave,SIGN(HB327))*POWER(INslave,SIGN(HC327))*POWER(FFslave,SIGN(HE327))*POWER(GEslave,SIGN(HF327))*POWER(KOslave_KO,SIGN(HG327))*POWER(KKslave,SIGN(HH327))+HE327*POWER(MUslave,SIGN(HA327))*POWER(KLslave,SIGN(HB327))*POWER(INslave,SIGN(HC327))*POWER(CHslave,SIGN(HD327))*POWER(GEslave,SIGN(HF327))*POWER(KOslave_KO,SIGN(HG327))*POWER(KKslave,SIGN(HH327))+HF327*POWER(MUslave,SIGN(HA327))*POWER(KLslave,SIGN(HB327))*POWER(INslave,SIGN(HC327))*POWER(CHslave,SIGN(HD327))*POWER(FFslave,SIGN(HE327))*POWER(KOslave_KO,SIGN(HG327))*POWER(KKslave,SIGN(HH327))+HG327*POWER(MUslave,SIGN(HA327))*POWER(KLslave,SIGN(HB327))*POWER(INslave,SIGN(HC327))*POWER(CHslave,SIGN(HD327))*POWER(FFslave,SIGN(HE327))*POWER(GEslave,SIGN(HF327))*POWER(KKslave,SIGN(HH327))+HH327*POWER(MUslave,SIGN(HA327))*POWER(KLslave,SIGN(HB327))*POWER(INslave,SIGN(HC327))*POWER(CHslave,SIGN(HD327))*POWER(FFslave,SIGN(HE327))*POWER(GEslave,SIGN(HF327))*POWER(KOslave_KO,SIGN(HG327))</f>
        <v>2304</v>
      </c>
      <c r="HM327" s="113">
        <f>HA327*HC327*GEslave+HA327*INslave*HF327+MUslave*HC327*HF327</f>
        <v>3456</v>
      </c>
      <c r="HN327" s="224">
        <f>IFERROR(HA327^SIGN(HA327),1)*IFERROR(HB327^SIGN(HB327),1)*IFERROR(HC327^SIGN(HC327),1)*IFERROR(HD327^SIGN(HD327),1)*IFERROR(HE327^SIGN(HE327),1)*IFERROR(HF327^SIGN(HF327),1)*IFERROR(HG327^SIGN(HG327),1)*IFERROR(HH327^SIGN(HH327),1)</f>
        <v>1728</v>
      </c>
      <c r="HO327" s="224">
        <f>SUM(HL327:HN327)</f>
        <v>7488</v>
      </c>
      <c r="HP327" s="222">
        <f>HI327*HL327/HO327</f>
        <v>3.6923076923076925</v>
      </c>
      <c r="HQ327" s="223">
        <f>HJ327*HM327/HO327</f>
        <v>11.076923076923077</v>
      </c>
      <c r="HR327" s="243">
        <f>HK327*HN327/HO327</f>
        <v>8.3076923076923084</v>
      </c>
      <c r="HS327" s="243">
        <f>SUM(HP327:HR327)</f>
        <v>23.07692307692308</v>
      </c>
      <c r="HT327" s="252">
        <f t="shared" si="2940"/>
        <v>0</v>
      </c>
      <c r="HU327" s="324">
        <f>HS327-HT327</f>
        <v>23.07692307692308</v>
      </c>
      <c r="HV327" s="304">
        <f t="shared" si="3031"/>
        <v>263.30769230769232</v>
      </c>
      <c r="HW327" s="335">
        <f t="shared" si="3031"/>
        <v>3</v>
      </c>
      <c r="HX327" s="243">
        <f t="shared" si="3032"/>
        <v>260.30769230769232</v>
      </c>
      <c r="HY327" s="218">
        <f>IF((HW327-HV327)&gt;0,HW327-HV327,0)</f>
        <v>0</v>
      </c>
      <c r="HZ327" s="248"/>
      <c r="IA327" s="303" t="s">
        <v>479</v>
      </c>
      <c r="IB327" s="304" t="s">
        <v>8</v>
      </c>
      <c r="IC327" s="304" t="s">
        <v>135</v>
      </c>
      <c r="ID327" s="114">
        <f t="shared" ref="ID327" si="3059">Konvention_1slave-MUslave</f>
        <v>12</v>
      </c>
      <c r="IE327" s="113"/>
      <c r="IF327" s="113">
        <f>Konvention_1slave-INslave</f>
        <v>12</v>
      </c>
      <c r="IG327" s="113"/>
      <c r="IH327" s="113"/>
      <c r="II327" s="113">
        <f>Konvention_1slave-GEslave</f>
        <v>12</v>
      </c>
      <c r="IJ327" s="113"/>
      <c r="IK327" s="119"/>
      <c r="IL327" s="223">
        <f>(ID327+IE327+IF327+IG327+IH327+II327+IJ327+IK327)/3</f>
        <v>12</v>
      </c>
      <c r="IM327" s="223">
        <f>2*IL327</f>
        <v>24</v>
      </c>
      <c r="IN327" s="224">
        <f>3*IL327</f>
        <v>36</v>
      </c>
      <c r="IO327" s="237">
        <f t="shared" ref="IO327:IO328" si="3060">ID327*POWER(KLslave,SIGN(IE327))*POWER(INslave,SIGN(IF327))*POWER(CHslave,SIGN(IG327))*POWER(FFslave,SIGN(IH327))*POWER(GEslave,SIGN(II327))*POWER(KOslave,SIGN(IJ327))*POWER(KKslave_KK,SIGN(IK327))+IE327*POWER(MUslave,SIGN(ID327))*POWER(INslave,SIGN(IF327))*POWER(CHslave,SIGN(IG327))*POWER(FFslave,SIGN(IH327))*POWER(GEslave,SIGN(II327))*POWER(KOslave,SIGN(IJ327))*POWER(KKslave_KK,SIGN(IK327))+IF327*POWER(MUslave,SIGN(ID327))*POWER(KLslave,SIGN(IE327))*POWER(CHslave,SIGN(IG327))*POWER(FFslave,SIGN(IH327))*POWER(GEslave,SIGN(II327))*POWER(KOslave,SIGN(IJ327))*POWER(KKslave_KK,SIGN(IK327))+IG327*POWER(MUslave,SIGN(ID327))*POWER(KLslave,SIGN(IE327))*POWER(INslave,SIGN(IF327))*POWER(FFslave,SIGN(IH327))*POWER(GEslave,SIGN(II327))*POWER(KOslave,SIGN(IJ327))*POWER(KKslave_KK,SIGN(IK327))+IH327*POWER(MUslave,SIGN(ID327))*POWER(KLslave,SIGN(IE327))*POWER(INslave,SIGN(IF327))*POWER(CHslave,SIGN(IG327))*POWER(GEslave,SIGN(II327))*POWER(KOslave,SIGN(IJ327))*POWER(KKslave_KK,SIGN(IK327))+II327*POWER(MUslave,SIGN(ID327))*POWER(KLslave,SIGN(IE327))*POWER(INslave,SIGN(IF327))*POWER(CHslave,SIGN(IG327))*POWER(FFslave,SIGN(IH327))*POWER(KOslave,SIGN(IJ327))*POWER(KKslave_KK,SIGN(IK327))+IJ327*POWER(MUslave,SIGN(ID327))*POWER(KLslave,SIGN(IE327))*POWER(INslave,SIGN(IF327))*POWER(CHslave,SIGN(IG327))*POWER(FFslave,SIGN(IH327))*POWER(GEslave,SIGN(II327))*POWER(KKslave_KK,SIGN(IK327))+IK327*POWER(MUslave,SIGN(ID327))*POWER(KLslave,SIGN(IE327))*POWER(INslave,SIGN(IF327))*POWER(CHslave,SIGN(IG327))*POWER(FFslave,SIGN(IH327))*POWER(GEslave,SIGN(II327))*POWER(KOslave,SIGN(IJ327))</f>
        <v>2304</v>
      </c>
      <c r="IP327" s="113">
        <f>ID327*IF327*GEslave+ID327*INslave*II327+MUslave*IF327*II327</f>
        <v>3456</v>
      </c>
      <c r="IQ327" s="224">
        <f>IFERROR(ID327^SIGN(ID327),1)*IFERROR(IE327^SIGN(IE327),1)*IFERROR(IF327^SIGN(IF327),1)*IFERROR(IG327^SIGN(IG327),1)*IFERROR(IH327^SIGN(IH327),1)*IFERROR(II327^SIGN(II327),1)*IFERROR(IJ327^SIGN(IJ327),1)*IFERROR(IK327^SIGN(IK327),1)</f>
        <v>1728</v>
      </c>
      <c r="IR327" s="224">
        <f>SUM(IO327:IQ327)</f>
        <v>7488</v>
      </c>
      <c r="IS327" s="222">
        <f>IL327*IO327/IR327</f>
        <v>3.6923076923076925</v>
      </c>
      <c r="IT327" s="223">
        <f>IM327*IP327/IR327</f>
        <v>11.076923076923077</v>
      </c>
      <c r="IU327" s="243">
        <f>IN327*IQ327/IR327</f>
        <v>8.3076923076923084</v>
      </c>
      <c r="IV327" s="243">
        <f>SUM(IS327:IU327)</f>
        <v>23.07692307692308</v>
      </c>
      <c r="IW327" s="252">
        <f t="shared" si="2943"/>
        <v>0</v>
      </c>
      <c r="IX327" s="324">
        <f>IV327-IW327</f>
        <v>23.07692307692308</v>
      </c>
      <c r="IY327" s="304">
        <f t="shared" si="3042"/>
        <v>263.30769230769232</v>
      </c>
      <c r="IZ327" s="335">
        <f t="shared" si="3042"/>
        <v>3</v>
      </c>
      <c r="JA327" s="243">
        <f t="shared" si="3043"/>
        <v>260.30769230769232</v>
      </c>
      <c r="JB327" s="218">
        <f>IF((IZ327-IY327)&gt;0,IZ327-IY327,0)</f>
        <v>0</v>
      </c>
      <c r="JE327" s="148"/>
    </row>
    <row r="328" spans="1:265" hidden="1" outlineLevel="2">
      <c r="A328" s="185"/>
      <c r="B328" s="148">
        <v>6</v>
      </c>
      <c r="C328" s="303" t="e">
        <f>VLOOKUP(AF328,Attribute!C:T,1,FALSE)</f>
        <v>#N/A</v>
      </c>
      <c r="D328" s="304" t="s">
        <v>88</v>
      </c>
      <c r="E328" s="304" t="s">
        <v>132</v>
      </c>
      <c r="F328" s="120"/>
      <c r="G328" s="117"/>
      <c r="H328" s="117">
        <f t="shared" ref="H328" si="3061">Konvention_1master-INmaster</f>
        <v>12</v>
      </c>
      <c r="I328" s="117">
        <f t="shared" ref="I328" si="3062">Konvention_1master-CHmaster</f>
        <v>12</v>
      </c>
      <c r="J328" s="117"/>
      <c r="K328" s="117">
        <f>Konvention_1master-GEmaster</f>
        <v>12</v>
      </c>
      <c r="L328" s="117"/>
      <c r="M328" s="121"/>
      <c r="N328" s="223">
        <f t="shared" ref="N328" si="3063">(F328+G328+H328+I328+J328+K328+L328+M328)/3</f>
        <v>12</v>
      </c>
      <c r="O328" s="223">
        <f t="shared" ref="O328" si="3064">2*N328</f>
        <v>24</v>
      </c>
      <c r="P328" s="224">
        <f t="shared" ref="P328" si="3065">3*N328</f>
        <v>36</v>
      </c>
      <c r="Q328" s="237">
        <f t="shared" ref="Q328" si="3066">F328*POWER(KLmaster,SIGN(G328))*POWER(INmaster,SIGN(H328))*POWER(CHmaster,SIGN(I328))*POWER(FFmaster,SIGN(J328))*POWER(GEmaster,SIGN(K328))*POWER(KOmaster,SIGN(L328))*POWER(KKmaster,SIGN(M328))+G328*POWER(MUmaster,SIGN(F328))*POWER(INmaster,SIGN(H328))*POWER(CHmaster,SIGN(I328))*POWER(FFmaster,SIGN(J328))*POWER(GEmaster,SIGN(K328))*POWER(KOmaster,SIGN(L328))*POWER(KKmaster,SIGN(M328))+H328*POWER(MUmaster,SIGN(F328))*POWER(KLmaster,SIGN(G328))*POWER(CHmaster,SIGN(I328))*POWER(FFmaster,SIGN(J328))*POWER(GEmaster,SIGN(K328))*POWER(KOmaster,SIGN(L328))*POWER(KKmaster,SIGN(M328))+I328*POWER(MUmaster,SIGN(F328))*POWER(KLmaster,SIGN(G328))*POWER(INmaster,SIGN(H328))*POWER(FFmaster,SIGN(J328))*POWER(GEmaster,SIGN(K328))*POWER(KOmaster,SIGN(L328))*POWER(KKmaster,SIGN(M328))+J328*POWER(MUmaster,SIGN(F328))*POWER(KLmaster,SIGN(G328))*POWER(INmaster,SIGN(H328))*POWER(CHmaster,SIGN(I328))*POWER(GEmaster,SIGN(K328))*POWER(KOmaster,SIGN(L328))*POWER(KKmaster,SIGN(M328))+K328*POWER(MUmaster,SIGN(F328))*POWER(KLmaster,SIGN(G328))*POWER(INmaster,SIGN(H328))*POWER(CHmaster,SIGN(I328))*POWER(FFmaster,SIGN(J328))*POWER(KOmaster,SIGN(L328))*POWER(KKmaster,SIGN(M328))+L328*POWER(MUmaster,SIGN(F328))*POWER(KLmaster,SIGN(G328))*POWER(INmaster,SIGN(H328))*POWER(CHmaster,SIGN(I328))*POWER(FFmaster,SIGN(J328))*POWER(GEmaster,SIGN(K328))*POWER(KKmaster,SIGN(M328))+M328*POWER(MUmaster,SIGN(F328))*POWER(KLmaster,SIGN(G328))*POWER(INmaster,SIGN(H328))*POWER(CHmaster,SIGN(I328))*POWER(FFmaster,SIGN(J328))*POWER(GEmaster,SIGN(K328))*POWER(KOmaster,SIGN(L328))</f>
        <v>2304</v>
      </c>
      <c r="R328" s="117">
        <f>H328*I328*GEmaster+H328*CHmaster*K328+INmaster*I328*K328</f>
        <v>3456</v>
      </c>
      <c r="S328" s="224">
        <f t="shared" ref="S328" si="3067">IFERROR(F328^SIGN(F328),1)*IFERROR(G328^SIGN(G328),1)*IFERROR(H328^SIGN(H328),1)*IFERROR(I328^SIGN(I328),1)*IFERROR(J328^SIGN(J328),1)*IFERROR(K328^SIGN(K328),1)*IFERROR(L328^SIGN(L328),1)*IFERROR(M328^SIGN(M328),1)</f>
        <v>1728</v>
      </c>
      <c r="T328" s="224">
        <f t="shared" ref="T328" si="3068">SUM(Q328:S328)</f>
        <v>7488</v>
      </c>
      <c r="U328" s="222">
        <f t="shared" ref="U328" si="3069">N328*Q328/T328</f>
        <v>3.6923076923076925</v>
      </c>
      <c r="V328" s="223">
        <f t="shared" ref="V328" si="3070">O328*R328/T328</f>
        <v>11.076923076923077</v>
      </c>
      <c r="W328" s="243">
        <f t="shared" ref="W328" si="3071">P328*S328/T328</f>
        <v>8.3076923076923084</v>
      </c>
      <c r="X328" s="243">
        <f t="shared" ref="X328" si="3072">SUM(U328:W328)</f>
        <v>23.07692307692308</v>
      </c>
      <c r="Y328" s="252">
        <v>0</v>
      </c>
      <c r="Z328" s="324">
        <f t="shared" ref="Z328" si="3073">X328-Y328</f>
        <v>23.07692307692308</v>
      </c>
      <c r="AA328" s="304">
        <f t="shared" ref="AA328:AA329" si="3074">IF(X328&lt;=0,2,0)+IF(X328&gt;0,X328+1,0)*2+IF(X328&gt;12,X328-12,0)*2+IF(X328&gt;13,X328-13,0)*2+IF(X328&gt;14,X328-14,0)*2+IF(X328&gt;15,X328-15,0)*2+IF(X328&gt;16,X328-16,0)*2+IF(X328&gt;17,X328-17,0)*2+IF(X328&gt;18,X328-18,0)*2+IF(X328&gt;19,X328-19,0)*2+IF(X328&gt;20,X328-20,0)*2</f>
        <v>175.5384615384616</v>
      </c>
      <c r="AB328" s="335">
        <f t="shared" ref="AB328:AB329" si="3075">IF(Y328&lt;=0,2,0)+IF(Y328&gt;0,Y328+1,0)*2+IF(Y328&gt;12,Y328-12,0)*2+IF(Y328&gt;13,Y328-13,0)*2+IF(Y328&gt;14,Y328-14,0)*2+IF(Y328&gt;15,Y328-15,0)*2+IF(Y328&gt;16,Y328-16,0)*2+IF(Y328&gt;17,Y328-17,0)*2+IF(Y328&gt;18,Y328-18,0)*2+IF(Y328&gt;19,Y328-19,0)*2+IF(Y328&gt;20,Y328-20,0)*2</f>
        <v>2</v>
      </c>
      <c r="AC328" s="243">
        <f t="shared" si="2955"/>
        <v>173.5384615384616</v>
      </c>
      <c r="AD328" s="218">
        <f t="shared" ref="AD328" si="3076">IF((AB328-AA328)&gt;0,AB328-AA328,0)</f>
        <v>0</v>
      </c>
      <c r="AE328" s="140"/>
      <c r="AF328" s="303" t="s">
        <v>480</v>
      </c>
      <c r="AG328" s="304" t="s">
        <v>88</v>
      </c>
      <c r="AH328" s="304" t="s">
        <v>132</v>
      </c>
      <c r="AI328" s="120"/>
      <c r="AJ328" s="117"/>
      <c r="AK328" s="117">
        <f t="shared" ref="AK328" si="3077">Konvention_1slave-INslave</f>
        <v>12</v>
      </c>
      <c r="AL328" s="117">
        <f t="shared" ref="AL328" si="3078">Konvention_1slave-CHslave</f>
        <v>12</v>
      </c>
      <c r="AM328" s="117"/>
      <c r="AN328" s="117">
        <f>Konvention_1slave-GEslave</f>
        <v>12</v>
      </c>
      <c r="AO328" s="117"/>
      <c r="AP328" s="121"/>
      <c r="AQ328" s="223">
        <f t="shared" ref="AQ328" si="3079">(AI328+AJ328+AK328+AL328+AM328+AN328+AO328+AP328)/3</f>
        <v>12</v>
      </c>
      <c r="AR328" s="223">
        <f t="shared" ref="AR328" si="3080">2*AQ328</f>
        <v>24</v>
      </c>
      <c r="AS328" s="224">
        <f t="shared" ref="AS328" si="3081">3*AQ328</f>
        <v>36</v>
      </c>
      <c r="AT328" s="237">
        <f t="shared" si="3046"/>
        <v>2304</v>
      </c>
      <c r="AU328" s="117">
        <f>AK328*AL328*GEslave+AK328*CHslave*AN328+INslave*AL328*AN328</f>
        <v>3456</v>
      </c>
      <c r="AV328" s="224">
        <f t="shared" ref="AV328" si="3082">IFERROR(AI328^SIGN(AI328),1)*IFERROR(AJ328^SIGN(AJ328),1)*IFERROR(AK328^SIGN(AK328),1)*IFERROR(AL328^SIGN(AL328),1)*IFERROR(AM328^SIGN(AM328),1)*IFERROR(AN328^SIGN(AN328),1)*IFERROR(AO328^SIGN(AO328),1)*IFERROR(AP328^SIGN(AP328),1)</f>
        <v>1728</v>
      </c>
      <c r="AW328" s="224">
        <f t="shared" ref="AW328" si="3083">SUM(AT328:AV328)</f>
        <v>7488</v>
      </c>
      <c r="AX328" s="222">
        <f t="shared" ref="AX328" si="3084">AQ328*AT328/AW328</f>
        <v>3.6923076923076925</v>
      </c>
      <c r="AY328" s="223">
        <f t="shared" ref="AY328" si="3085">AR328*AU328/AW328</f>
        <v>11.076923076923077</v>
      </c>
      <c r="AZ328" s="243">
        <f t="shared" ref="AZ328" si="3086">AS328*AV328/AW328</f>
        <v>8.3076923076923084</v>
      </c>
      <c r="BA328" s="243">
        <f t="shared" ref="BA328" si="3087">SUM(AX328:AZ328)</f>
        <v>23.07692307692308</v>
      </c>
      <c r="BB328" s="252">
        <f t="shared" si="2034"/>
        <v>0</v>
      </c>
      <c r="BC328" s="324">
        <f t="shared" ref="BC328" si="3088">BA328-BB328</f>
        <v>23.07692307692308</v>
      </c>
      <c r="BD328" s="304">
        <f t="shared" ref="BD328:BE329" si="3089">IF(BA328&lt;=0,2,0)+IF(BA328&gt;0,BA328+1,0)*2+IF(BA328&gt;12,BA328-12,0)*2+IF(BA328&gt;13,BA328-13,0)*2+IF(BA328&gt;14,BA328-14,0)*2+IF(BA328&gt;15,BA328-15,0)*2+IF(BA328&gt;16,BA328-16,0)*2+IF(BA328&gt;17,BA328-17,0)*2+IF(BA328&gt;18,BA328-18,0)*2+IF(BA328&gt;19,BA328-19,0)*2+IF(BA328&gt;20,BA328-20,0)*2</f>
        <v>175.5384615384616</v>
      </c>
      <c r="BE328" s="335">
        <f t="shared" si="3089"/>
        <v>2</v>
      </c>
      <c r="BF328" s="243">
        <f t="shared" si="2966"/>
        <v>173.5384615384616</v>
      </c>
      <c r="BG328" s="218">
        <f t="shared" ref="BG328" si="3090">IF((BE328-BD328)&gt;0,BE328-BD328,0)</f>
        <v>0</v>
      </c>
      <c r="BH328" s="248"/>
      <c r="BI328" s="303" t="s">
        <v>480</v>
      </c>
      <c r="BJ328" s="304" t="s">
        <v>88</v>
      </c>
      <c r="BK328" s="304" t="s">
        <v>132</v>
      </c>
      <c r="BL328" s="120"/>
      <c r="BM328" s="117"/>
      <c r="BN328" s="117">
        <f t="shared" ref="BN328" si="3091">Konvention_1slave-INslave</f>
        <v>12</v>
      </c>
      <c r="BO328" s="117">
        <f t="shared" ref="BO328" si="3092">Konvention_1slave-CHslave</f>
        <v>12</v>
      </c>
      <c r="BP328" s="117"/>
      <c r="BQ328" s="117">
        <f>Konvention_1slave-GEslave</f>
        <v>12</v>
      </c>
      <c r="BR328" s="117"/>
      <c r="BS328" s="121"/>
      <c r="BT328" s="223">
        <f t="shared" ref="BT328" si="3093">(BL328+BM328+BN328+BO328+BP328+BQ328+BR328+BS328)/3</f>
        <v>12</v>
      </c>
      <c r="BU328" s="223">
        <f t="shared" ref="BU328" si="3094">2*BT328</f>
        <v>24</v>
      </c>
      <c r="BV328" s="224">
        <f t="shared" ref="BV328" si="3095">3*BT328</f>
        <v>36</v>
      </c>
      <c r="BW328" s="237">
        <f t="shared" si="3048"/>
        <v>2304</v>
      </c>
      <c r="BX328" s="117">
        <f>BN328*BO328*GEslave+BN328*CHslave*BQ328+INslave*BO328*BQ328</f>
        <v>3456</v>
      </c>
      <c r="BY328" s="224">
        <f t="shared" ref="BY328" si="3096">IFERROR(BL328^SIGN(BL328),1)*IFERROR(BM328^SIGN(BM328),1)*IFERROR(BN328^SIGN(BN328),1)*IFERROR(BO328^SIGN(BO328),1)*IFERROR(BP328^SIGN(BP328),1)*IFERROR(BQ328^SIGN(BQ328),1)*IFERROR(BR328^SIGN(BR328),1)*IFERROR(BS328^SIGN(BS328),1)</f>
        <v>1728</v>
      </c>
      <c r="BZ328" s="224">
        <f t="shared" ref="BZ328" si="3097">SUM(BW328:BY328)</f>
        <v>7488</v>
      </c>
      <c r="CA328" s="222">
        <f t="shared" ref="CA328" si="3098">BT328*BW328/BZ328</f>
        <v>3.6923076923076925</v>
      </c>
      <c r="CB328" s="223">
        <f t="shared" ref="CB328" si="3099">BU328*BX328/BZ328</f>
        <v>11.076923076923077</v>
      </c>
      <c r="CC328" s="243">
        <f t="shared" ref="CC328" si="3100">BV328*BY328/BZ328</f>
        <v>8.3076923076923084</v>
      </c>
      <c r="CD328" s="243">
        <f t="shared" ref="CD328" si="3101">SUM(CA328:CC328)</f>
        <v>23.07692307692308</v>
      </c>
      <c r="CE328" s="252">
        <f t="shared" si="2925"/>
        <v>0</v>
      </c>
      <c r="CF328" s="324">
        <f t="shared" ref="CF328" si="3102">CD328-CE328</f>
        <v>23.07692307692308</v>
      </c>
      <c r="CG328" s="304">
        <f t="shared" ref="CG328:CH329" si="3103">IF(CD328&lt;=0,2,0)+IF(CD328&gt;0,CD328+1,0)*2+IF(CD328&gt;12,CD328-12,0)*2+IF(CD328&gt;13,CD328-13,0)*2+IF(CD328&gt;14,CD328-14,0)*2+IF(CD328&gt;15,CD328-15,0)*2+IF(CD328&gt;16,CD328-16,0)*2+IF(CD328&gt;17,CD328-17,0)*2+IF(CD328&gt;18,CD328-18,0)*2+IF(CD328&gt;19,CD328-19,0)*2+IF(CD328&gt;20,CD328-20,0)*2</f>
        <v>175.5384615384616</v>
      </c>
      <c r="CH328" s="335">
        <f t="shared" si="3103"/>
        <v>2</v>
      </c>
      <c r="CI328" s="243">
        <f t="shared" si="2977"/>
        <v>173.5384615384616</v>
      </c>
      <c r="CJ328" s="218">
        <f t="shared" ref="CJ328" si="3104">IF((CH328-CG328)&gt;0,CH328-CG328,0)</f>
        <v>0</v>
      </c>
      <c r="CK328" s="248"/>
      <c r="CL328" s="303" t="s">
        <v>480</v>
      </c>
      <c r="CM328" s="304" t="s">
        <v>88</v>
      </c>
      <c r="CN328" s="304" t="s">
        <v>132</v>
      </c>
      <c r="CO328" s="120"/>
      <c r="CP328" s="117"/>
      <c r="CQ328" s="117">
        <f t="shared" ref="CQ328" si="3105">Konvention_1slave-INslave_IN</f>
        <v>11</v>
      </c>
      <c r="CR328" s="117">
        <f t="shared" ref="CR328" si="3106">Konvention_1slave-CHslave</f>
        <v>12</v>
      </c>
      <c r="CS328" s="117"/>
      <c r="CT328" s="117">
        <f>Konvention_1slave-GEslave</f>
        <v>12</v>
      </c>
      <c r="CU328" s="117"/>
      <c r="CV328" s="121"/>
      <c r="CW328" s="223">
        <f t="shared" ref="CW328" si="3107">(CO328+CP328+CQ328+CR328+CS328+CT328+CU328+CV328)/3</f>
        <v>11.666666666666666</v>
      </c>
      <c r="CX328" s="223">
        <f t="shared" ref="CX328" si="3108">2*CW328</f>
        <v>23.333333333333332</v>
      </c>
      <c r="CY328" s="224">
        <f t="shared" ref="CY328" si="3109">3*CW328</f>
        <v>35</v>
      </c>
      <c r="CZ328" s="237">
        <f t="shared" si="3050"/>
        <v>2432</v>
      </c>
      <c r="DA328" s="117">
        <f>CQ328*CR328*GEslave+CQ328*CHslave*CT328+INslave_IN*CR328*CT328</f>
        <v>3408</v>
      </c>
      <c r="DB328" s="224">
        <f t="shared" ref="DB328" si="3110">IFERROR(CO328^SIGN(CO328),1)*IFERROR(CP328^SIGN(CP328),1)*IFERROR(CQ328^SIGN(CQ328),1)*IFERROR(CR328^SIGN(CR328),1)*IFERROR(CS328^SIGN(CS328),1)*IFERROR(CT328^SIGN(CT328),1)*IFERROR(CU328^SIGN(CU328),1)*IFERROR(CV328^SIGN(CV328),1)</f>
        <v>1584</v>
      </c>
      <c r="DC328" s="224">
        <f t="shared" ref="DC328" si="3111">SUM(CZ328:DB328)</f>
        <v>7424</v>
      </c>
      <c r="DD328" s="222">
        <f t="shared" ref="DD328" si="3112">CW328*CZ328/DC328</f>
        <v>3.8218390804597702</v>
      </c>
      <c r="DE328" s="223">
        <f t="shared" ref="DE328" si="3113">CX328*DA328/DC328</f>
        <v>10.711206896551724</v>
      </c>
      <c r="DF328" s="243">
        <f t="shared" ref="DF328" si="3114">CY328*DB328/DC328</f>
        <v>7.4676724137931032</v>
      </c>
      <c r="DG328" s="243">
        <f t="shared" ref="DG328" si="3115">SUM(DD328:DF328)</f>
        <v>22.000718390804597</v>
      </c>
      <c r="DH328" s="252">
        <f t="shared" si="2928"/>
        <v>0</v>
      </c>
      <c r="DI328" s="324">
        <f t="shared" ref="DI328" si="3116">DG328-DH328</f>
        <v>22.000718390804597</v>
      </c>
      <c r="DJ328" s="304">
        <f t="shared" ref="DJ328:DK329" si="3117">IF(DG328&lt;=0,2,0)+IF(DG328&gt;0,DG328+1,0)*2+IF(DG328&gt;12,DG328-12,0)*2+IF(DG328&gt;13,DG328-13,0)*2+IF(DG328&gt;14,DG328-14,0)*2+IF(DG328&gt;15,DG328-15,0)*2+IF(DG328&gt;16,DG328-16,0)*2+IF(DG328&gt;17,DG328-17,0)*2+IF(DG328&gt;18,DG328-18,0)*2+IF(DG328&gt;19,DG328-19,0)*2+IF(DG328&gt;20,DG328-20,0)*2</f>
        <v>154.01436781609189</v>
      </c>
      <c r="DK328" s="335">
        <f t="shared" si="3117"/>
        <v>2</v>
      </c>
      <c r="DL328" s="243">
        <f t="shared" si="2988"/>
        <v>152.01436781609189</v>
      </c>
      <c r="DM328" s="218">
        <f t="shared" ref="DM328" si="3118">IF((DK328-DJ328)&gt;0,DK328-DJ328,0)</f>
        <v>0</v>
      </c>
      <c r="DN328" s="248"/>
      <c r="DO328" s="303" t="s">
        <v>480</v>
      </c>
      <c r="DP328" s="304" t="s">
        <v>88</v>
      </c>
      <c r="DQ328" s="304" t="s">
        <v>132</v>
      </c>
      <c r="DR328" s="120"/>
      <c r="DS328" s="117"/>
      <c r="DT328" s="117">
        <f t="shared" ref="DT328" si="3119">Konvention_1slave-INslave</f>
        <v>12</v>
      </c>
      <c r="DU328" s="117">
        <f t="shared" ref="DU328" si="3120">Konvention_1slave-CHslave_CH</f>
        <v>11</v>
      </c>
      <c r="DV328" s="117"/>
      <c r="DW328" s="117">
        <f>Konvention_1slave-GEslave</f>
        <v>12</v>
      </c>
      <c r="DX328" s="117"/>
      <c r="DY328" s="121"/>
      <c r="DZ328" s="223">
        <f t="shared" ref="DZ328" si="3121">(DR328+DS328+DT328+DU328+DV328+DW328+DX328+DY328)/3</f>
        <v>11.666666666666666</v>
      </c>
      <c r="EA328" s="223">
        <f t="shared" ref="EA328" si="3122">2*DZ328</f>
        <v>23.333333333333332</v>
      </c>
      <c r="EB328" s="224">
        <f t="shared" ref="EB328" si="3123">3*DZ328</f>
        <v>35</v>
      </c>
      <c r="EC328" s="237">
        <f t="shared" si="3052"/>
        <v>2432</v>
      </c>
      <c r="ED328" s="117">
        <f>DT328*DU328*GEslave+DT328*CHslave_CH*DW328+INslave*DU328*DW328</f>
        <v>3408</v>
      </c>
      <c r="EE328" s="224">
        <f t="shared" ref="EE328" si="3124">IFERROR(DR328^SIGN(DR328),1)*IFERROR(DS328^SIGN(DS328),1)*IFERROR(DT328^SIGN(DT328),1)*IFERROR(DU328^SIGN(DU328),1)*IFERROR(DV328^SIGN(DV328),1)*IFERROR(DW328^SIGN(DW328),1)*IFERROR(DX328^SIGN(DX328),1)*IFERROR(DY328^SIGN(DY328),1)</f>
        <v>1584</v>
      </c>
      <c r="EF328" s="224">
        <f t="shared" ref="EF328" si="3125">SUM(EC328:EE328)</f>
        <v>7424</v>
      </c>
      <c r="EG328" s="222">
        <f t="shared" ref="EG328" si="3126">DZ328*EC328/EF328</f>
        <v>3.8218390804597702</v>
      </c>
      <c r="EH328" s="223">
        <f t="shared" ref="EH328" si="3127">EA328*ED328/EF328</f>
        <v>10.711206896551724</v>
      </c>
      <c r="EI328" s="243">
        <f t="shared" ref="EI328" si="3128">EB328*EE328/EF328</f>
        <v>7.4676724137931032</v>
      </c>
      <c r="EJ328" s="243">
        <f t="shared" ref="EJ328" si="3129">SUM(EG328:EI328)</f>
        <v>22.000718390804597</v>
      </c>
      <c r="EK328" s="252">
        <f t="shared" si="2931"/>
        <v>0</v>
      </c>
      <c r="EL328" s="324">
        <f t="shared" ref="EL328" si="3130">EJ328-EK328</f>
        <v>22.000718390804597</v>
      </c>
      <c r="EM328" s="304">
        <f t="shared" ref="EM328:EN329" si="3131">IF(EJ328&lt;=0,2,0)+IF(EJ328&gt;0,EJ328+1,0)*2+IF(EJ328&gt;12,EJ328-12,0)*2+IF(EJ328&gt;13,EJ328-13,0)*2+IF(EJ328&gt;14,EJ328-14,0)*2+IF(EJ328&gt;15,EJ328-15,0)*2+IF(EJ328&gt;16,EJ328-16,0)*2+IF(EJ328&gt;17,EJ328-17,0)*2+IF(EJ328&gt;18,EJ328-18,0)*2+IF(EJ328&gt;19,EJ328-19,0)*2+IF(EJ328&gt;20,EJ328-20,0)*2</f>
        <v>154.01436781609189</v>
      </c>
      <c r="EN328" s="335">
        <f t="shared" si="3131"/>
        <v>2</v>
      </c>
      <c r="EO328" s="243">
        <f t="shared" si="2999"/>
        <v>152.01436781609189</v>
      </c>
      <c r="EP328" s="218">
        <f t="shared" ref="EP328" si="3132">IF((EN328-EM328)&gt;0,EN328-EM328,0)</f>
        <v>0</v>
      </c>
      <c r="EQ328" s="248"/>
      <c r="ER328" s="303" t="s">
        <v>480</v>
      </c>
      <c r="ES328" s="304" t="s">
        <v>88</v>
      </c>
      <c r="ET328" s="304" t="s">
        <v>132</v>
      </c>
      <c r="EU328" s="120"/>
      <c r="EV328" s="117"/>
      <c r="EW328" s="117">
        <f t="shared" ref="EW328" si="3133">Konvention_1slave-INslave</f>
        <v>12</v>
      </c>
      <c r="EX328" s="117">
        <f t="shared" ref="EX328" si="3134">Konvention_1slave-CHslave</f>
        <v>12</v>
      </c>
      <c r="EY328" s="117"/>
      <c r="EZ328" s="117">
        <f>Konvention_1slave-GEslave</f>
        <v>12</v>
      </c>
      <c r="FA328" s="117"/>
      <c r="FB328" s="121"/>
      <c r="FC328" s="223">
        <f t="shared" ref="FC328" si="3135">(EU328+EV328+EW328+EX328+EY328+EZ328+FA328+FB328)/3</f>
        <v>12</v>
      </c>
      <c r="FD328" s="223">
        <f t="shared" ref="FD328" si="3136">2*FC328</f>
        <v>24</v>
      </c>
      <c r="FE328" s="224">
        <f t="shared" ref="FE328" si="3137">3*FC328</f>
        <v>36</v>
      </c>
      <c r="FF328" s="237">
        <f t="shared" si="3054"/>
        <v>2304</v>
      </c>
      <c r="FG328" s="117">
        <f>EW328*EX328*GEslave+EW328*CHslave*EZ328+INslave*EX328*EZ328</f>
        <v>3456</v>
      </c>
      <c r="FH328" s="224">
        <f t="shared" ref="FH328" si="3138">IFERROR(EU328^SIGN(EU328),1)*IFERROR(EV328^SIGN(EV328),1)*IFERROR(EW328^SIGN(EW328),1)*IFERROR(EX328^SIGN(EX328),1)*IFERROR(EY328^SIGN(EY328),1)*IFERROR(EZ328^SIGN(EZ328),1)*IFERROR(FA328^SIGN(FA328),1)*IFERROR(FB328^SIGN(FB328),1)</f>
        <v>1728</v>
      </c>
      <c r="FI328" s="224">
        <f t="shared" ref="FI328" si="3139">SUM(FF328:FH328)</f>
        <v>7488</v>
      </c>
      <c r="FJ328" s="222">
        <f t="shared" ref="FJ328" si="3140">FC328*FF328/FI328</f>
        <v>3.6923076923076925</v>
      </c>
      <c r="FK328" s="223">
        <f t="shared" ref="FK328" si="3141">FD328*FG328/FI328</f>
        <v>11.076923076923077</v>
      </c>
      <c r="FL328" s="243">
        <f t="shared" ref="FL328" si="3142">FE328*FH328/FI328</f>
        <v>8.3076923076923084</v>
      </c>
      <c r="FM328" s="243">
        <f t="shared" ref="FM328" si="3143">SUM(FJ328:FL328)</f>
        <v>23.07692307692308</v>
      </c>
      <c r="FN328" s="252">
        <f t="shared" si="2934"/>
        <v>0</v>
      </c>
      <c r="FO328" s="324">
        <f t="shared" ref="FO328" si="3144">FM328-FN328</f>
        <v>23.07692307692308</v>
      </c>
      <c r="FP328" s="304">
        <f t="shared" ref="FP328:FQ329" si="3145">IF(FM328&lt;=0,2,0)+IF(FM328&gt;0,FM328+1,0)*2+IF(FM328&gt;12,FM328-12,0)*2+IF(FM328&gt;13,FM328-13,0)*2+IF(FM328&gt;14,FM328-14,0)*2+IF(FM328&gt;15,FM328-15,0)*2+IF(FM328&gt;16,FM328-16,0)*2+IF(FM328&gt;17,FM328-17,0)*2+IF(FM328&gt;18,FM328-18,0)*2+IF(FM328&gt;19,FM328-19,0)*2+IF(FM328&gt;20,FM328-20,0)*2</f>
        <v>175.5384615384616</v>
      </c>
      <c r="FQ328" s="335">
        <f t="shared" si="3145"/>
        <v>2</v>
      </c>
      <c r="FR328" s="243">
        <f t="shared" si="3010"/>
        <v>173.5384615384616</v>
      </c>
      <c r="FS328" s="218">
        <f t="shared" ref="FS328" si="3146">IF((FQ328-FP328)&gt;0,FQ328-FP328,0)</f>
        <v>0</v>
      </c>
      <c r="FT328" s="248"/>
      <c r="FU328" s="303" t="s">
        <v>480</v>
      </c>
      <c r="FV328" s="304" t="s">
        <v>88</v>
      </c>
      <c r="FW328" s="304" t="s">
        <v>132</v>
      </c>
      <c r="FX328" s="120"/>
      <c r="FY328" s="117"/>
      <c r="FZ328" s="117">
        <f t="shared" ref="FZ328" si="3147">Konvention_1slave-INslave</f>
        <v>12</v>
      </c>
      <c r="GA328" s="117">
        <f t="shared" ref="GA328" si="3148">Konvention_1slave-CHslave</f>
        <v>12</v>
      </c>
      <c r="GB328" s="117"/>
      <c r="GC328" s="117">
        <f>Konvention_1slave-GEslave_GE</f>
        <v>11</v>
      </c>
      <c r="GD328" s="117"/>
      <c r="GE328" s="121"/>
      <c r="GF328" s="223">
        <f t="shared" ref="GF328" si="3149">(FX328+FY328+FZ328+GA328+GB328+GC328+GD328+GE328)/3</f>
        <v>11.666666666666666</v>
      </c>
      <c r="GG328" s="223">
        <f t="shared" ref="GG328" si="3150">2*GF328</f>
        <v>23.333333333333332</v>
      </c>
      <c r="GH328" s="224">
        <f t="shared" ref="GH328" si="3151">3*GF328</f>
        <v>35</v>
      </c>
      <c r="GI328" s="237">
        <f t="shared" si="3056"/>
        <v>2432</v>
      </c>
      <c r="GJ328" s="117">
        <f>FZ328*GA328*GEslave_GE+FZ328*CHslave*GC328+INslave*GA328*GC328</f>
        <v>3408</v>
      </c>
      <c r="GK328" s="224">
        <f t="shared" ref="GK328" si="3152">IFERROR(FX328^SIGN(FX328),1)*IFERROR(FY328^SIGN(FY328),1)*IFERROR(FZ328^SIGN(FZ328),1)*IFERROR(GA328^SIGN(GA328),1)*IFERROR(GB328^SIGN(GB328),1)*IFERROR(GC328^SIGN(GC328),1)*IFERROR(GD328^SIGN(GD328),1)*IFERROR(GE328^SIGN(GE328),1)</f>
        <v>1584</v>
      </c>
      <c r="GL328" s="224">
        <f t="shared" ref="GL328" si="3153">SUM(GI328:GK328)</f>
        <v>7424</v>
      </c>
      <c r="GM328" s="222">
        <f t="shared" ref="GM328" si="3154">GF328*GI328/GL328</f>
        <v>3.8218390804597702</v>
      </c>
      <c r="GN328" s="223">
        <f t="shared" ref="GN328" si="3155">GG328*GJ328/GL328</f>
        <v>10.711206896551724</v>
      </c>
      <c r="GO328" s="243">
        <f t="shared" ref="GO328" si="3156">GH328*GK328/GL328</f>
        <v>7.4676724137931032</v>
      </c>
      <c r="GP328" s="243">
        <f t="shared" ref="GP328" si="3157">SUM(GM328:GO328)</f>
        <v>22.000718390804597</v>
      </c>
      <c r="GQ328" s="252">
        <f t="shared" si="2937"/>
        <v>0</v>
      </c>
      <c r="GR328" s="324">
        <f t="shared" ref="GR328" si="3158">GP328-GQ328</f>
        <v>22.000718390804597</v>
      </c>
      <c r="GS328" s="304">
        <f t="shared" ref="GS328:GT329" si="3159">IF(GP328&lt;=0,2,0)+IF(GP328&gt;0,GP328+1,0)*2+IF(GP328&gt;12,GP328-12,0)*2+IF(GP328&gt;13,GP328-13,0)*2+IF(GP328&gt;14,GP328-14,0)*2+IF(GP328&gt;15,GP328-15,0)*2+IF(GP328&gt;16,GP328-16,0)*2+IF(GP328&gt;17,GP328-17,0)*2+IF(GP328&gt;18,GP328-18,0)*2+IF(GP328&gt;19,GP328-19,0)*2+IF(GP328&gt;20,GP328-20,0)*2</f>
        <v>154.01436781609189</v>
      </c>
      <c r="GT328" s="335">
        <f t="shared" si="3159"/>
        <v>2</v>
      </c>
      <c r="GU328" s="243">
        <f t="shared" si="3021"/>
        <v>152.01436781609189</v>
      </c>
      <c r="GV328" s="218">
        <f t="shared" ref="GV328" si="3160">IF((GT328-GS328)&gt;0,GT328-GS328,0)</f>
        <v>0</v>
      </c>
      <c r="GW328" s="248"/>
      <c r="GX328" s="303" t="s">
        <v>480</v>
      </c>
      <c r="GY328" s="304" t="s">
        <v>88</v>
      </c>
      <c r="GZ328" s="304" t="s">
        <v>132</v>
      </c>
      <c r="HA328" s="120"/>
      <c r="HB328" s="117"/>
      <c r="HC328" s="117">
        <f t="shared" ref="HC328" si="3161">Konvention_1slave-INslave</f>
        <v>12</v>
      </c>
      <c r="HD328" s="117">
        <f t="shared" ref="HD328" si="3162">Konvention_1slave-CHslave</f>
        <v>12</v>
      </c>
      <c r="HE328" s="117"/>
      <c r="HF328" s="117">
        <f>Konvention_1slave-GEslave</f>
        <v>12</v>
      </c>
      <c r="HG328" s="117"/>
      <c r="HH328" s="121"/>
      <c r="HI328" s="223">
        <f t="shared" ref="HI328" si="3163">(HA328+HB328+HC328+HD328+HE328+HF328+HG328+HH328)/3</f>
        <v>12</v>
      </c>
      <c r="HJ328" s="223">
        <f t="shared" ref="HJ328" si="3164">2*HI328</f>
        <v>24</v>
      </c>
      <c r="HK328" s="224">
        <f t="shared" ref="HK328" si="3165">3*HI328</f>
        <v>36</v>
      </c>
      <c r="HL328" s="237">
        <f t="shared" si="3058"/>
        <v>2304</v>
      </c>
      <c r="HM328" s="117">
        <f>HC328*HD328*GEslave+HC328*CHslave*HF328+INslave*HD328*HF328</f>
        <v>3456</v>
      </c>
      <c r="HN328" s="224">
        <f t="shared" ref="HN328" si="3166">IFERROR(HA328^SIGN(HA328),1)*IFERROR(HB328^SIGN(HB328),1)*IFERROR(HC328^SIGN(HC328),1)*IFERROR(HD328^SIGN(HD328),1)*IFERROR(HE328^SIGN(HE328),1)*IFERROR(HF328^SIGN(HF328),1)*IFERROR(HG328^SIGN(HG328),1)*IFERROR(HH328^SIGN(HH328),1)</f>
        <v>1728</v>
      </c>
      <c r="HO328" s="224">
        <f t="shared" ref="HO328" si="3167">SUM(HL328:HN328)</f>
        <v>7488</v>
      </c>
      <c r="HP328" s="222">
        <f t="shared" ref="HP328" si="3168">HI328*HL328/HO328</f>
        <v>3.6923076923076925</v>
      </c>
      <c r="HQ328" s="223">
        <f t="shared" ref="HQ328" si="3169">HJ328*HM328/HO328</f>
        <v>11.076923076923077</v>
      </c>
      <c r="HR328" s="243">
        <f t="shared" ref="HR328" si="3170">HK328*HN328/HO328</f>
        <v>8.3076923076923084</v>
      </c>
      <c r="HS328" s="243">
        <f t="shared" ref="HS328" si="3171">SUM(HP328:HR328)</f>
        <v>23.07692307692308</v>
      </c>
      <c r="HT328" s="252">
        <f t="shared" si="2940"/>
        <v>0</v>
      </c>
      <c r="HU328" s="324">
        <f t="shared" ref="HU328" si="3172">HS328-HT328</f>
        <v>23.07692307692308</v>
      </c>
      <c r="HV328" s="304">
        <f t="shared" ref="HV328:HW329" si="3173">IF(HS328&lt;=0,2,0)+IF(HS328&gt;0,HS328+1,0)*2+IF(HS328&gt;12,HS328-12,0)*2+IF(HS328&gt;13,HS328-13,0)*2+IF(HS328&gt;14,HS328-14,0)*2+IF(HS328&gt;15,HS328-15,0)*2+IF(HS328&gt;16,HS328-16,0)*2+IF(HS328&gt;17,HS328-17,0)*2+IF(HS328&gt;18,HS328-18,0)*2+IF(HS328&gt;19,HS328-19,0)*2+IF(HS328&gt;20,HS328-20,0)*2</f>
        <v>175.5384615384616</v>
      </c>
      <c r="HW328" s="335">
        <f t="shared" si="3173"/>
        <v>2</v>
      </c>
      <c r="HX328" s="243">
        <f t="shared" si="3032"/>
        <v>173.5384615384616</v>
      </c>
      <c r="HY328" s="218">
        <f t="shared" ref="HY328" si="3174">IF((HW328-HV328)&gt;0,HW328-HV328,0)</f>
        <v>0</v>
      </c>
      <c r="HZ328" s="248"/>
      <c r="IA328" s="303" t="s">
        <v>480</v>
      </c>
      <c r="IB328" s="304" t="s">
        <v>88</v>
      </c>
      <c r="IC328" s="304" t="s">
        <v>132</v>
      </c>
      <c r="ID328" s="120"/>
      <c r="IE328" s="117"/>
      <c r="IF328" s="117">
        <f t="shared" ref="IF328" si="3175">Konvention_1slave-INslave</f>
        <v>12</v>
      </c>
      <c r="IG328" s="117">
        <f t="shared" ref="IG328" si="3176">Konvention_1slave-CHslave</f>
        <v>12</v>
      </c>
      <c r="IH328" s="117"/>
      <c r="II328" s="117">
        <f>Konvention_1slave-GEslave</f>
        <v>12</v>
      </c>
      <c r="IJ328" s="117"/>
      <c r="IK328" s="121"/>
      <c r="IL328" s="223">
        <f t="shared" ref="IL328" si="3177">(ID328+IE328+IF328+IG328+IH328+II328+IJ328+IK328)/3</f>
        <v>12</v>
      </c>
      <c r="IM328" s="223">
        <f t="shared" ref="IM328" si="3178">2*IL328</f>
        <v>24</v>
      </c>
      <c r="IN328" s="224">
        <f t="shared" ref="IN328" si="3179">3*IL328</f>
        <v>36</v>
      </c>
      <c r="IO328" s="237">
        <f t="shared" si="3060"/>
        <v>2304</v>
      </c>
      <c r="IP328" s="117">
        <f>IF328*IG328*GEslave+IF328*CHslave*II328+INslave*IG328*II328</f>
        <v>3456</v>
      </c>
      <c r="IQ328" s="224">
        <f t="shared" ref="IQ328" si="3180">IFERROR(ID328^SIGN(ID328),1)*IFERROR(IE328^SIGN(IE328),1)*IFERROR(IF328^SIGN(IF328),1)*IFERROR(IG328^SIGN(IG328),1)*IFERROR(IH328^SIGN(IH328),1)*IFERROR(II328^SIGN(II328),1)*IFERROR(IJ328^SIGN(IJ328),1)*IFERROR(IK328^SIGN(IK328),1)</f>
        <v>1728</v>
      </c>
      <c r="IR328" s="224">
        <f t="shared" ref="IR328" si="3181">SUM(IO328:IQ328)</f>
        <v>7488</v>
      </c>
      <c r="IS328" s="222">
        <f t="shared" ref="IS328" si="3182">IL328*IO328/IR328</f>
        <v>3.6923076923076925</v>
      </c>
      <c r="IT328" s="223">
        <f t="shared" ref="IT328" si="3183">IM328*IP328/IR328</f>
        <v>11.076923076923077</v>
      </c>
      <c r="IU328" s="243">
        <f t="shared" ref="IU328" si="3184">IN328*IQ328/IR328</f>
        <v>8.3076923076923084</v>
      </c>
      <c r="IV328" s="243">
        <f t="shared" ref="IV328" si="3185">SUM(IS328:IU328)</f>
        <v>23.07692307692308</v>
      </c>
      <c r="IW328" s="252">
        <f t="shared" si="2943"/>
        <v>0</v>
      </c>
      <c r="IX328" s="324">
        <f t="shared" ref="IX328" si="3186">IV328-IW328</f>
        <v>23.07692307692308</v>
      </c>
      <c r="IY328" s="304">
        <f t="shared" ref="IY328:IZ329" si="3187">IF(IV328&lt;=0,2,0)+IF(IV328&gt;0,IV328+1,0)*2+IF(IV328&gt;12,IV328-12,0)*2+IF(IV328&gt;13,IV328-13,0)*2+IF(IV328&gt;14,IV328-14,0)*2+IF(IV328&gt;15,IV328-15,0)*2+IF(IV328&gt;16,IV328-16,0)*2+IF(IV328&gt;17,IV328-17,0)*2+IF(IV328&gt;18,IV328-18,0)*2+IF(IV328&gt;19,IV328-19,0)*2+IF(IV328&gt;20,IV328-20,0)*2</f>
        <v>175.5384615384616</v>
      </c>
      <c r="IZ328" s="335">
        <f t="shared" si="3187"/>
        <v>2</v>
      </c>
      <c r="JA328" s="243">
        <f t="shared" si="3043"/>
        <v>173.5384615384616</v>
      </c>
      <c r="JB328" s="218">
        <f t="shared" ref="JB328" si="3188">IF((IZ328-IY328)&gt;0,IZ328-IY328,0)</f>
        <v>0</v>
      </c>
      <c r="JE328" s="148"/>
    </row>
    <row r="329" spans="1:265" s="205" customFormat="1" ht="15" hidden="1" customHeight="1" outlineLevel="2">
      <c r="A329" s="185"/>
      <c r="B329" s="217">
        <v>7</v>
      </c>
      <c r="C329" s="303" t="e">
        <f>VLOOKUP(AF329,Attribute!C:T,1,FALSE)</f>
        <v>#N/A</v>
      </c>
      <c r="D329" s="304" t="s">
        <v>501</v>
      </c>
      <c r="E329" s="304" t="s">
        <v>132</v>
      </c>
      <c r="F329" s="213"/>
      <c r="G329" s="214"/>
      <c r="H329" s="214"/>
      <c r="I329" s="113">
        <f>Konvention_1master-CHmaster</f>
        <v>12</v>
      </c>
      <c r="J329" s="214"/>
      <c r="K329" s="113">
        <f>Konvention_1master-GEmaster</f>
        <v>12</v>
      </c>
      <c r="L329" s="214"/>
      <c r="M329" s="215"/>
      <c r="N329" s="223">
        <f>(I329+I329+K329)/3</f>
        <v>12</v>
      </c>
      <c r="O329" s="223">
        <f t="shared" si="2945"/>
        <v>24</v>
      </c>
      <c r="P329" s="224">
        <f t="shared" si="2946"/>
        <v>36</v>
      </c>
      <c r="Q329" s="237">
        <f>I329*POWER(INmaster,SIGN(K329))*POWER(KLmaster,SIGN(I329))+I329*POWER(INmaster,SIGN(K329))*POWER(KLmaster,SIGN(I329))+K329*POWER(KLmaster,SIGN(I329))*POWER(KLmaster,SIGN(I329))</f>
        <v>2304</v>
      </c>
      <c r="R329" s="117">
        <f>I329*I329*GEmaster+I329*CHmaster*K329+CHmaster*I329*K329</f>
        <v>3456</v>
      </c>
      <c r="S329" s="224">
        <f>I329*I329*K329</f>
        <v>1728</v>
      </c>
      <c r="T329" s="224">
        <f t="shared" si="2947"/>
        <v>7488</v>
      </c>
      <c r="U329" s="222">
        <f t="shared" si="2948"/>
        <v>3.6923076923076925</v>
      </c>
      <c r="V329" s="223">
        <f t="shared" si="2949"/>
        <v>11.076923076923077</v>
      </c>
      <c r="W329" s="243">
        <f t="shared" si="2950"/>
        <v>8.3076923076923084</v>
      </c>
      <c r="X329" s="243">
        <f t="shared" si="2951"/>
        <v>23.07692307692308</v>
      </c>
      <c r="Y329" s="252">
        <v>0</v>
      </c>
      <c r="Z329" s="324">
        <f t="shared" si="2952"/>
        <v>23.07692307692308</v>
      </c>
      <c r="AA329" s="304">
        <f t="shared" si="3074"/>
        <v>175.5384615384616</v>
      </c>
      <c r="AB329" s="335">
        <f t="shared" si="3075"/>
        <v>2</v>
      </c>
      <c r="AC329" s="243">
        <f t="shared" si="2955"/>
        <v>173.5384615384616</v>
      </c>
      <c r="AD329" s="218">
        <f t="shared" si="2956"/>
        <v>0</v>
      </c>
      <c r="AE329" s="299"/>
      <c r="AF329" s="303" t="s">
        <v>481</v>
      </c>
      <c r="AG329" s="304" t="s">
        <v>501</v>
      </c>
      <c r="AH329" s="304" t="s">
        <v>132</v>
      </c>
      <c r="AI329" s="213"/>
      <c r="AJ329" s="214"/>
      <c r="AK329" s="214"/>
      <c r="AL329" s="113">
        <f>Konvention_1slave-CHslave</f>
        <v>12</v>
      </c>
      <c r="AM329" s="214"/>
      <c r="AN329" s="113">
        <f>Konvention_1slave-GEslave</f>
        <v>12</v>
      </c>
      <c r="AO329" s="214"/>
      <c r="AP329" s="215"/>
      <c r="AQ329" s="223">
        <f>(AL329+AL329+AN329)/3</f>
        <v>12</v>
      </c>
      <c r="AR329" s="223">
        <f t="shared" si="2957"/>
        <v>24</v>
      </c>
      <c r="AS329" s="224">
        <f t="shared" si="2958"/>
        <v>36</v>
      </c>
      <c r="AT329" s="237">
        <f>AL329*POWER(INslave,SIGN(AN329))*POWER(KLslave,SIGN(AL329))+AL329*POWER(INslave,SIGN(AN329))*POWER(KLslave,SIGN(AL329))+AN329*POWER(KLslave,SIGN(AL329))*POWER(KLslave,SIGN(AL329))</f>
        <v>2304</v>
      </c>
      <c r="AU329" s="117">
        <f>AL329*AL329*GEslave+AL329*CHslave*AN329+CHslave*AL329*AN329</f>
        <v>3456</v>
      </c>
      <c r="AV329" s="224">
        <f>AL329*AL329*AN329</f>
        <v>1728</v>
      </c>
      <c r="AW329" s="224">
        <f t="shared" si="2959"/>
        <v>7488</v>
      </c>
      <c r="AX329" s="222">
        <f t="shared" si="2960"/>
        <v>3.6923076923076925</v>
      </c>
      <c r="AY329" s="223">
        <f t="shared" si="2961"/>
        <v>11.076923076923077</v>
      </c>
      <c r="AZ329" s="243">
        <f t="shared" si="2962"/>
        <v>8.3076923076923084</v>
      </c>
      <c r="BA329" s="243">
        <f t="shared" si="2963"/>
        <v>23.07692307692308</v>
      </c>
      <c r="BB329" s="252">
        <f t="shared" si="2034"/>
        <v>0</v>
      </c>
      <c r="BC329" s="324">
        <f t="shared" si="2964"/>
        <v>23.07692307692308</v>
      </c>
      <c r="BD329" s="304">
        <f t="shared" si="3089"/>
        <v>175.5384615384616</v>
      </c>
      <c r="BE329" s="335">
        <f t="shared" si="3089"/>
        <v>2</v>
      </c>
      <c r="BF329" s="243">
        <f t="shared" si="2966"/>
        <v>173.5384615384616</v>
      </c>
      <c r="BG329" s="218">
        <f t="shared" si="2967"/>
        <v>0</v>
      </c>
      <c r="BH329" s="248"/>
      <c r="BI329" s="303" t="s">
        <v>481</v>
      </c>
      <c r="BJ329" s="304" t="s">
        <v>501</v>
      </c>
      <c r="BK329" s="304" t="s">
        <v>132</v>
      </c>
      <c r="BL329" s="213"/>
      <c r="BM329" s="214"/>
      <c r="BN329" s="214"/>
      <c r="BO329" s="113">
        <f>Konvention_1slave-CHslave</f>
        <v>12</v>
      </c>
      <c r="BP329" s="214"/>
      <c r="BQ329" s="113">
        <f>Konvention_1slave-GEslave</f>
        <v>12</v>
      </c>
      <c r="BR329" s="214"/>
      <c r="BS329" s="215"/>
      <c r="BT329" s="223">
        <f>(BO329+BO329+BQ329)/3</f>
        <v>12</v>
      </c>
      <c r="BU329" s="223">
        <f t="shared" si="2968"/>
        <v>24</v>
      </c>
      <c r="BV329" s="224">
        <f t="shared" si="2969"/>
        <v>36</v>
      </c>
      <c r="BW329" s="237">
        <f>BO329*POWER(INslave,SIGN(BQ329))*POWER(KLslave,SIGN(BO329))+BO329*POWER(INslave,SIGN(BQ329))*POWER(KLslave,SIGN(BO329))+BQ329*POWER(KLslave,SIGN(BO329))*POWER(KLslave,SIGN(BO329))</f>
        <v>2304</v>
      </c>
      <c r="BX329" s="117">
        <f>BO329*BO329*GEslave+BO329*CHslave*BQ329+CHslave*BO329*BQ329</f>
        <v>3456</v>
      </c>
      <c r="BY329" s="224">
        <f>BO329*BO329*BQ329</f>
        <v>1728</v>
      </c>
      <c r="BZ329" s="224">
        <f t="shared" si="2970"/>
        <v>7488</v>
      </c>
      <c r="CA329" s="222">
        <f t="shared" si="2971"/>
        <v>3.6923076923076925</v>
      </c>
      <c r="CB329" s="223">
        <f t="shared" si="2972"/>
        <v>11.076923076923077</v>
      </c>
      <c r="CC329" s="243">
        <f t="shared" si="2973"/>
        <v>8.3076923076923084</v>
      </c>
      <c r="CD329" s="243">
        <f t="shared" si="2974"/>
        <v>23.07692307692308</v>
      </c>
      <c r="CE329" s="252">
        <f t="shared" si="2925"/>
        <v>0</v>
      </c>
      <c r="CF329" s="324">
        <f t="shared" si="2975"/>
        <v>23.07692307692308</v>
      </c>
      <c r="CG329" s="304">
        <f t="shared" si="3103"/>
        <v>175.5384615384616</v>
      </c>
      <c r="CH329" s="335">
        <f t="shared" si="3103"/>
        <v>2</v>
      </c>
      <c r="CI329" s="243">
        <f t="shared" si="2977"/>
        <v>173.5384615384616</v>
      </c>
      <c r="CJ329" s="218">
        <f t="shared" si="2978"/>
        <v>0</v>
      </c>
      <c r="CK329" s="248"/>
      <c r="CL329" s="303" t="s">
        <v>481</v>
      </c>
      <c r="CM329" s="304" t="s">
        <v>501</v>
      </c>
      <c r="CN329" s="304" t="s">
        <v>132</v>
      </c>
      <c r="CO329" s="213"/>
      <c r="CP329" s="214"/>
      <c r="CQ329" s="214"/>
      <c r="CR329" s="113">
        <f>Konvention_1slave-CHslave</f>
        <v>12</v>
      </c>
      <c r="CS329" s="214"/>
      <c r="CT329" s="113">
        <f>Konvention_1slave-GEslave</f>
        <v>12</v>
      </c>
      <c r="CU329" s="214"/>
      <c r="CV329" s="215"/>
      <c r="CW329" s="223">
        <f>(CR329+CR329+CT329)/3</f>
        <v>12</v>
      </c>
      <c r="CX329" s="223">
        <f t="shared" si="2979"/>
        <v>24</v>
      </c>
      <c r="CY329" s="224">
        <f t="shared" si="2980"/>
        <v>36</v>
      </c>
      <c r="CZ329" s="237">
        <f>CR329*POWER(INslave,SIGN(CT329))*POWER(KLslave,SIGN(CR329))+CR329*POWER(INslave,SIGN(CT329))*POWER(KLslave,SIGN(CR329))+CT329*POWER(KLslave,SIGN(CR329))*POWER(KLslave,SIGN(CR329))</f>
        <v>2304</v>
      </c>
      <c r="DA329" s="117">
        <f>CR329*CR329*GEslave+CR329*CHslave*CT329+CHslave*CR329*CT329</f>
        <v>3456</v>
      </c>
      <c r="DB329" s="224">
        <f>CR329*CR329*CT329</f>
        <v>1728</v>
      </c>
      <c r="DC329" s="224">
        <f t="shared" si="2981"/>
        <v>7488</v>
      </c>
      <c r="DD329" s="222">
        <f t="shared" si="2982"/>
        <v>3.6923076923076925</v>
      </c>
      <c r="DE329" s="223">
        <f t="shared" si="2983"/>
        <v>11.076923076923077</v>
      </c>
      <c r="DF329" s="243">
        <f t="shared" si="2984"/>
        <v>8.3076923076923084</v>
      </c>
      <c r="DG329" s="243">
        <f t="shared" si="2985"/>
        <v>23.07692307692308</v>
      </c>
      <c r="DH329" s="252">
        <f t="shared" si="2928"/>
        <v>0</v>
      </c>
      <c r="DI329" s="324">
        <f t="shared" si="2986"/>
        <v>23.07692307692308</v>
      </c>
      <c r="DJ329" s="304">
        <f t="shared" si="3117"/>
        <v>175.5384615384616</v>
      </c>
      <c r="DK329" s="335">
        <f t="shared" si="3117"/>
        <v>2</v>
      </c>
      <c r="DL329" s="243">
        <f t="shared" si="2988"/>
        <v>173.5384615384616</v>
      </c>
      <c r="DM329" s="218">
        <f t="shared" si="2989"/>
        <v>0</v>
      </c>
      <c r="DN329" s="248"/>
      <c r="DO329" s="303" t="s">
        <v>481</v>
      </c>
      <c r="DP329" s="304" t="s">
        <v>501</v>
      </c>
      <c r="DQ329" s="304" t="s">
        <v>132</v>
      </c>
      <c r="DR329" s="213"/>
      <c r="DS329" s="214"/>
      <c r="DT329" s="214"/>
      <c r="DU329" s="113">
        <f>Konvention_1slave-CHslave</f>
        <v>12</v>
      </c>
      <c r="DV329" s="214"/>
      <c r="DW329" s="113">
        <f>Konvention_1slave-GEslave</f>
        <v>12</v>
      </c>
      <c r="DX329" s="214"/>
      <c r="DY329" s="215"/>
      <c r="DZ329" s="223">
        <f>(DU329+DU329+DW329)/3</f>
        <v>12</v>
      </c>
      <c r="EA329" s="223">
        <f t="shared" si="2990"/>
        <v>24</v>
      </c>
      <c r="EB329" s="224">
        <f t="shared" si="2991"/>
        <v>36</v>
      </c>
      <c r="EC329" s="237">
        <f>DU329*POWER(INslave,SIGN(DW329))*POWER(KLslave,SIGN(DU329))+DU329*POWER(INslave,SIGN(DW329))*POWER(KLslave,SIGN(DU329))+DW329*POWER(KLslave,SIGN(DU329))*POWER(KLslave,SIGN(DU329))</f>
        <v>2304</v>
      </c>
      <c r="ED329" s="117">
        <f>DU329*DU329*GEslave+DU329*CHslave*DW329+CHslave*DU329*DW329</f>
        <v>3456</v>
      </c>
      <c r="EE329" s="224">
        <f>DU329*DU329*DW329</f>
        <v>1728</v>
      </c>
      <c r="EF329" s="224">
        <f t="shared" si="2992"/>
        <v>7488</v>
      </c>
      <c r="EG329" s="222">
        <f t="shared" si="2993"/>
        <v>3.6923076923076925</v>
      </c>
      <c r="EH329" s="223">
        <f t="shared" si="2994"/>
        <v>11.076923076923077</v>
      </c>
      <c r="EI329" s="243">
        <f t="shared" si="2995"/>
        <v>8.3076923076923084</v>
      </c>
      <c r="EJ329" s="243">
        <f t="shared" si="2996"/>
        <v>23.07692307692308</v>
      </c>
      <c r="EK329" s="252">
        <f t="shared" si="2931"/>
        <v>0</v>
      </c>
      <c r="EL329" s="324">
        <f t="shared" si="2997"/>
        <v>23.07692307692308</v>
      </c>
      <c r="EM329" s="304">
        <f t="shared" si="3131"/>
        <v>175.5384615384616</v>
      </c>
      <c r="EN329" s="335">
        <f t="shared" si="3131"/>
        <v>2</v>
      </c>
      <c r="EO329" s="243">
        <f t="shared" si="2999"/>
        <v>173.5384615384616</v>
      </c>
      <c r="EP329" s="218">
        <f t="shared" si="3000"/>
        <v>0</v>
      </c>
      <c r="EQ329" s="248"/>
      <c r="ER329" s="303" t="s">
        <v>481</v>
      </c>
      <c r="ES329" s="304" t="s">
        <v>501</v>
      </c>
      <c r="ET329" s="304" t="s">
        <v>132</v>
      </c>
      <c r="EU329" s="213"/>
      <c r="EV329" s="214"/>
      <c r="EW329" s="214"/>
      <c r="EX329" s="113">
        <f>Konvention_1slave-CHslave</f>
        <v>12</v>
      </c>
      <c r="EY329" s="214"/>
      <c r="EZ329" s="113">
        <f>Konvention_1slave-GEslave</f>
        <v>12</v>
      </c>
      <c r="FA329" s="214"/>
      <c r="FB329" s="215"/>
      <c r="FC329" s="223">
        <f>(EX329+EX329+EZ329)/3</f>
        <v>12</v>
      </c>
      <c r="FD329" s="223">
        <f t="shared" si="3001"/>
        <v>24</v>
      </c>
      <c r="FE329" s="224">
        <f t="shared" si="3002"/>
        <v>36</v>
      </c>
      <c r="FF329" s="237">
        <f>EX329*POWER(INslave,SIGN(EZ329))*POWER(KLslave,SIGN(EX329))+EX329*POWER(INslave,SIGN(EZ329))*POWER(KLslave,SIGN(EX329))+EZ329*POWER(KLslave,SIGN(EX329))*POWER(KLslave,SIGN(EX329))</f>
        <v>2304</v>
      </c>
      <c r="FG329" s="117">
        <f>EX329*EX329*GEslave+EX329*CHslave*EZ329+CHslave*EX329*EZ329</f>
        <v>3456</v>
      </c>
      <c r="FH329" s="224">
        <f>EX329*EX329*EZ329</f>
        <v>1728</v>
      </c>
      <c r="FI329" s="224">
        <f t="shared" si="3003"/>
        <v>7488</v>
      </c>
      <c r="FJ329" s="222">
        <f t="shared" si="3004"/>
        <v>3.6923076923076925</v>
      </c>
      <c r="FK329" s="223">
        <f t="shared" si="3005"/>
        <v>11.076923076923077</v>
      </c>
      <c r="FL329" s="243">
        <f t="shared" si="3006"/>
        <v>8.3076923076923084</v>
      </c>
      <c r="FM329" s="243">
        <f t="shared" si="3007"/>
        <v>23.07692307692308</v>
      </c>
      <c r="FN329" s="252">
        <f t="shared" si="2934"/>
        <v>0</v>
      </c>
      <c r="FO329" s="324">
        <f t="shared" si="3008"/>
        <v>23.07692307692308</v>
      </c>
      <c r="FP329" s="304">
        <f t="shared" si="3145"/>
        <v>175.5384615384616</v>
      </c>
      <c r="FQ329" s="335">
        <f t="shared" si="3145"/>
        <v>2</v>
      </c>
      <c r="FR329" s="243">
        <f t="shared" si="3010"/>
        <v>173.5384615384616</v>
      </c>
      <c r="FS329" s="218">
        <f t="shared" si="3011"/>
        <v>0</v>
      </c>
      <c r="FT329" s="248"/>
      <c r="FU329" s="303" t="s">
        <v>481</v>
      </c>
      <c r="FV329" s="304" t="s">
        <v>501</v>
      </c>
      <c r="FW329" s="304" t="s">
        <v>132</v>
      </c>
      <c r="FX329" s="213"/>
      <c r="FY329" s="214"/>
      <c r="FZ329" s="214"/>
      <c r="GA329" s="113">
        <f>Konvention_1slave-CHslave</f>
        <v>12</v>
      </c>
      <c r="GB329" s="214"/>
      <c r="GC329" s="113">
        <f>Konvention_1slave-GEslave</f>
        <v>12</v>
      </c>
      <c r="GD329" s="214"/>
      <c r="GE329" s="215"/>
      <c r="GF329" s="223">
        <f>(GA329+GA329+GC329)/3</f>
        <v>12</v>
      </c>
      <c r="GG329" s="223">
        <f t="shared" si="3012"/>
        <v>24</v>
      </c>
      <c r="GH329" s="224">
        <f t="shared" si="3013"/>
        <v>36</v>
      </c>
      <c r="GI329" s="237">
        <f>GA329*POWER(INslave,SIGN(GC329))*POWER(KLslave,SIGN(GA329))+GA329*POWER(INslave,SIGN(GC329))*POWER(KLslave,SIGN(GA329))+GC329*POWER(KLslave,SIGN(GA329))*POWER(KLslave,SIGN(GA329))</f>
        <v>2304</v>
      </c>
      <c r="GJ329" s="117">
        <f>GA329*GA329*GEslave+GA329*CHslave*GC329+CHslave*GA329*GC329</f>
        <v>3456</v>
      </c>
      <c r="GK329" s="224">
        <f>GA329*GA329*GC329</f>
        <v>1728</v>
      </c>
      <c r="GL329" s="224">
        <f t="shared" si="3014"/>
        <v>7488</v>
      </c>
      <c r="GM329" s="222">
        <f t="shared" si="3015"/>
        <v>3.6923076923076925</v>
      </c>
      <c r="GN329" s="223">
        <f t="shared" si="3016"/>
        <v>11.076923076923077</v>
      </c>
      <c r="GO329" s="243">
        <f t="shared" si="3017"/>
        <v>8.3076923076923084</v>
      </c>
      <c r="GP329" s="243">
        <f t="shared" si="3018"/>
        <v>23.07692307692308</v>
      </c>
      <c r="GQ329" s="252">
        <f t="shared" si="2937"/>
        <v>0</v>
      </c>
      <c r="GR329" s="324">
        <f t="shared" si="3019"/>
        <v>23.07692307692308</v>
      </c>
      <c r="GS329" s="304">
        <f t="shared" si="3159"/>
        <v>175.5384615384616</v>
      </c>
      <c r="GT329" s="335">
        <f t="shared" si="3159"/>
        <v>2</v>
      </c>
      <c r="GU329" s="243">
        <f t="shared" si="3021"/>
        <v>173.5384615384616</v>
      </c>
      <c r="GV329" s="218">
        <f t="shared" si="3022"/>
        <v>0</v>
      </c>
      <c r="GW329" s="248"/>
      <c r="GX329" s="303" t="s">
        <v>481</v>
      </c>
      <c r="GY329" s="304" t="s">
        <v>501</v>
      </c>
      <c r="GZ329" s="304" t="s">
        <v>132</v>
      </c>
      <c r="HA329" s="213"/>
      <c r="HB329" s="214"/>
      <c r="HC329" s="214"/>
      <c r="HD329" s="113">
        <f>Konvention_1slave-CHslave</f>
        <v>12</v>
      </c>
      <c r="HE329" s="214"/>
      <c r="HF329" s="113">
        <f>Konvention_1slave-GEslave</f>
        <v>12</v>
      </c>
      <c r="HG329" s="214"/>
      <c r="HH329" s="215"/>
      <c r="HI329" s="223">
        <f>(HD329+HD329+HF329)/3</f>
        <v>12</v>
      </c>
      <c r="HJ329" s="223">
        <f t="shared" si="3023"/>
        <v>24</v>
      </c>
      <c r="HK329" s="224">
        <f t="shared" si="3024"/>
        <v>36</v>
      </c>
      <c r="HL329" s="237">
        <f>HD329*POWER(INslave,SIGN(HF329))*POWER(KLslave,SIGN(HD329))+HD329*POWER(INslave,SIGN(HF329))*POWER(KLslave,SIGN(HD329))+HF329*POWER(KLslave,SIGN(HD329))*POWER(KLslave,SIGN(HD329))</f>
        <v>2304</v>
      </c>
      <c r="HM329" s="117">
        <f>HD329*HD329*GEslave+HD329*CHslave*HF329+CHslave*HD329*HF329</f>
        <v>3456</v>
      </c>
      <c r="HN329" s="224">
        <f>HD329*HD329*HF329</f>
        <v>1728</v>
      </c>
      <c r="HO329" s="224">
        <f t="shared" si="3025"/>
        <v>7488</v>
      </c>
      <c r="HP329" s="222">
        <f t="shared" si="3026"/>
        <v>3.6923076923076925</v>
      </c>
      <c r="HQ329" s="223">
        <f t="shared" si="3027"/>
        <v>11.076923076923077</v>
      </c>
      <c r="HR329" s="243">
        <f t="shared" si="3028"/>
        <v>8.3076923076923084</v>
      </c>
      <c r="HS329" s="243">
        <f t="shared" si="3029"/>
        <v>23.07692307692308</v>
      </c>
      <c r="HT329" s="252">
        <f t="shared" si="2940"/>
        <v>0</v>
      </c>
      <c r="HU329" s="324">
        <f t="shared" si="3030"/>
        <v>23.07692307692308</v>
      </c>
      <c r="HV329" s="304">
        <f t="shared" si="3173"/>
        <v>175.5384615384616</v>
      </c>
      <c r="HW329" s="335">
        <f t="shared" si="3173"/>
        <v>2</v>
      </c>
      <c r="HX329" s="243">
        <f t="shared" si="3032"/>
        <v>173.5384615384616</v>
      </c>
      <c r="HY329" s="218">
        <f t="shared" si="3033"/>
        <v>0</v>
      </c>
      <c r="HZ329" s="248"/>
      <c r="IA329" s="303" t="s">
        <v>481</v>
      </c>
      <c r="IB329" s="304" t="s">
        <v>501</v>
      </c>
      <c r="IC329" s="304" t="s">
        <v>132</v>
      </c>
      <c r="ID329" s="213"/>
      <c r="IE329" s="214"/>
      <c r="IF329" s="214"/>
      <c r="IG329" s="113">
        <f>Konvention_1slave-CHslave</f>
        <v>12</v>
      </c>
      <c r="IH329" s="214"/>
      <c r="II329" s="113">
        <f>Konvention_1slave-GEslave</f>
        <v>12</v>
      </c>
      <c r="IJ329" s="214"/>
      <c r="IK329" s="215"/>
      <c r="IL329" s="223">
        <f>(IG329+IG329+II329)/3</f>
        <v>12</v>
      </c>
      <c r="IM329" s="223">
        <f t="shared" si="3034"/>
        <v>24</v>
      </c>
      <c r="IN329" s="224">
        <f t="shared" si="3035"/>
        <v>36</v>
      </c>
      <c r="IO329" s="237">
        <f>IG329*POWER(INslave,SIGN(II329))*POWER(KLslave,SIGN(IG329))+IG329*POWER(INslave,SIGN(II329))*POWER(KLslave,SIGN(IG329))+II329*POWER(KLslave,SIGN(IG329))*POWER(KLslave,SIGN(IG329))</f>
        <v>2304</v>
      </c>
      <c r="IP329" s="117">
        <f>IG329*IG329*GEslave+IG329*CHslave*II329+CHslave*IG329*II329</f>
        <v>3456</v>
      </c>
      <c r="IQ329" s="224">
        <f>IG329*IG329*II329</f>
        <v>1728</v>
      </c>
      <c r="IR329" s="224">
        <f t="shared" si="3036"/>
        <v>7488</v>
      </c>
      <c r="IS329" s="222">
        <f t="shared" si="3037"/>
        <v>3.6923076923076925</v>
      </c>
      <c r="IT329" s="223">
        <f t="shared" si="3038"/>
        <v>11.076923076923077</v>
      </c>
      <c r="IU329" s="243">
        <f t="shared" si="3039"/>
        <v>8.3076923076923084</v>
      </c>
      <c r="IV329" s="243">
        <f t="shared" si="3040"/>
        <v>23.07692307692308</v>
      </c>
      <c r="IW329" s="252">
        <f t="shared" si="2943"/>
        <v>0</v>
      </c>
      <c r="IX329" s="324">
        <f t="shared" si="3041"/>
        <v>23.07692307692308</v>
      </c>
      <c r="IY329" s="304">
        <f t="shared" si="3187"/>
        <v>175.5384615384616</v>
      </c>
      <c r="IZ329" s="335">
        <f t="shared" si="3187"/>
        <v>2</v>
      </c>
      <c r="JA329" s="243">
        <f t="shared" si="3043"/>
        <v>173.5384615384616</v>
      </c>
      <c r="JB329" s="218">
        <f t="shared" si="3044"/>
        <v>0</v>
      </c>
    </row>
    <row r="330" spans="1:265" hidden="1" outlineLevel="2">
      <c r="A330" s="185"/>
      <c r="B330" s="148">
        <v>8</v>
      </c>
      <c r="C330" s="303" t="e">
        <f>VLOOKUP(AF330,Attribute!C:T,1,FALSE)</f>
        <v>#N/A</v>
      </c>
      <c r="D330" s="304" t="s">
        <v>88</v>
      </c>
      <c r="E330" s="304" t="s">
        <v>133</v>
      </c>
      <c r="F330" s="120"/>
      <c r="G330" s="117"/>
      <c r="H330" s="117">
        <f t="shared" ref="H330" si="3189">Konvention_1master-INmaster</f>
        <v>12</v>
      </c>
      <c r="I330" s="117">
        <f t="shared" ref="I330" si="3190">Konvention_1master-CHmaster</f>
        <v>12</v>
      </c>
      <c r="J330" s="117"/>
      <c r="K330" s="117">
        <f>Konvention_1master-GEmaster</f>
        <v>12</v>
      </c>
      <c r="L330" s="117"/>
      <c r="M330" s="121"/>
      <c r="N330" s="223">
        <f t="shared" ref="N330" si="3191">(F330+G330+H330+I330+J330+K330+L330+M330)/3</f>
        <v>12</v>
      </c>
      <c r="O330" s="223">
        <f t="shared" si="2945"/>
        <v>24</v>
      </c>
      <c r="P330" s="224">
        <f t="shared" si="2946"/>
        <v>36</v>
      </c>
      <c r="Q330" s="237">
        <f t="shared" ref="Q330" si="3192">F330*POWER(KLmaster,SIGN(G330))*POWER(INmaster,SIGN(H330))*POWER(CHmaster,SIGN(I330))*POWER(FFmaster,SIGN(J330))*POWER(GEmaster,SIGN(K330))*POWER(KOmaster,SIGN(L330))*POWER(KKmaster,SIGN(M330))+G330*POWER(MUmaster,SIGN(F330))*POWER(INmaster,SIGN(H330))*POWER(CHmaster,SIGN(I330))*POWER(FFmaster,SIGN(J330))*POWER(GEmaster,SIGN(K330))*POWER(KOmaster,SIGN(L330))*POWER(KKmaster,SIGN(M330))+H330*POWER(MUmaster,SIGN(F330))*POWER(KLmaster,SIGN(G330))*POWER(CHmaster,SIGN(I330))*POWER(FFmaster,SIGN(J330))*POWER(GEmaster,SIGN(K330))*POWER(KOmaster,SIGN(L330))*POWER(KKmaster,SIGN(M330))+I330*POWER(MUmaster,SIGN(F330))*POWER(KLmaster,SIGN(G330))*POWER(INmaster,SIGN(H330))*POWER(FFmaster,SIGN(J330))*POWER(GEmaster,SIGN(K330))*POWER(KOmaster,SIGN(L330))*POWER(KKmaster,SIGN(M330))+J330*POWER(MUmaster,SIGN(F330))*POWER(KLmaster,SIGN(G330))*POWER(INmaster,SIGN(H330))*POWER(CHmaster,SIGN(I330))*POWER(GEmaster,SIGN(K330))*POWER(KOmaster,SIGN(L330))*POWER(KKmaster,SIGN(M330))+K330*POWER(MUmaster,SIGN(F330))*POWER(KLmaster,SIGN(G330))*POWER(INmaster,SIGN(H330))*POWER(CHmaster,SIGN(I330))*POWER(FFmaster,SIGN(J330))*POWER(KOmaster,SIGN(L330))*POWER(KKmaster,SIGN(M330))+L330*POWER(MUmaster,SIGN(F330))*POWER(KLmaster,SIGN(G330))*POWER(INmaster,SIGN(H330))*POWER(CHmaster,SIGN(I330))*POWER(FFmaster,SIGN(J330))*POWER(GEmaster,SIGN(K330))*POWER(KKmaster,SIGN(M330))+M330*POWER(MUmaster,SIGN(F330))*POWER(KLmaster,SIGN(G330))*POWER(INmaster,SIGN(H330))*POWER(CHmaster,SIGN(I330))*POWER(FFmaster,SIGN(J330))*POWER(GEmaster,SIGN(K330))*POWER(KOmaster,SIGN(L330))</f>
        <v>2304</v>
      </c>
      <c r="R330" s="117">
        <f>H330*I330*GEmaster+H330*CHmaster*K330+INmaster*I330*K330</f>
        <v>3456</v>
      </c>
      <c r="S330" s="224">
        <f t="shared" ref="S330" si="3193">IFERROR(F330^SIGN(F330),1)*IFERROR(G330^SIGN(G330),1)*IFERROR(H330^SIGN(H330),1)*IFERROR(I330^SIGN(I330),1)*IFERROR(J330^SIGN(J330),1)*IFERROR(K330^SIGN(K330),1)*IFERROR(L330^SIGN(L330),1)*IFERROR(M330^SIGN(M330),1)</f>
        <v>1728</v>
      </c>
      <c r="T330" s="224">
        <f t="shared" si="2947"/>
        <v>7488</v>
      </c>
      <c r="U330" s="222">
        <f t="shared" si="2948"/>
        <v>3.6923076923076925</v>
      </c>
      <c r="V330" s="223">
        <f t="shared" si="2949"/>
        <v>11.076923076923077</v>
      </c>
      <c r="W330" s="243">
        <f t="shared" si="2950"/>
        <v>8.3076923076923084</v>
      </c>
      <c r="X330" s="243">
        <f t="shared" si="2951"/>
        <v>23.07692307692308</v>
      </c>
      <c r="Y330" s="252">
        <v>0</v>
      </c>
      <c r="Z330" s="324">
        <f t="shared" si="2952"/>
        <v>23.07692307692308</v>
      </c>
      <c r="AA330" s="304">
        <f t="shared" ref="AA330" si="3194">IF(X330&lt;=0,1,0)+IF(X330&gt;0,X330+1,0)*1+IF(X330&gt;12,X330-12,0)*1+IF(X330&gt;13,X330-13,0)*1+IF(X330&gt;14,X330-14,0)*1+IF(X330&gt;15,X330-15,0)*1+IF(X330&gt;16,X330-16,0)*1+IF(X330&gt;17,X330-17,0)*1+IF(X330&gt;18,X330-18,0)*1+IF(X330&gt;19,X330-19,0)*1+IF(X330&gt;20,X330-20,0)*1</f>
        <v>87.769230769230802</v>
      </c>
      <c r="AB330" s="335">
        <f t="shared" ref="AB330" si="3195">IF(Y330&lt;=0,1,0)+IF(Y330&gt;0,Y330+1,0)*1+IF(Y330&gt;12,Y330-12,0)*1+IF(Y330&gt;13,Y330-13,0)*1+IF(Y330&gt;14,Y330-14,0)*1+IF(Y330&gt;15,Y330-15,0)*1+IF(Y330&gt;16,Y330-16,0)*1+IF(Y330&gt;17,Y330-17,0)*1+IF(Y330&gt;18,Y330-18,0)*1+IF(Y330&gt;19,Y330-19,0)*1+IF(Y330&gt;20,Y330-20,0)*1</f>
        <v>1</v>
      </c>
      <c r="AC330" s="243">
        <f t="shared" si="2955"/>
        <v>86.769230769230802</v>
      </c>
      <c r="AD330" s="218">
        <f t="shared" si="2956"/>
        <v>0</v>
      </c>
      <c r="AE330" s="140"/>
      <c r="AF330" s="303" t="s">
        <v>482</v>
      </c>
      <c r="AG330" s="304" t="s">
        <v>88</v>
      </c>
      <c r="AH330" s="304" t="s">
        <v>133</v>
      </c>
      <c r="AI330" s="120"/>
      <c r="AJ330" s="117"/>
      <c r="AK330" s="117">
        <f t="shared" ref="AK330" si="3196">Konvention_1slave-INslave</f>
        <v>12</v>
      </c>
      <c r="AL330" s="117">
        <f t="shared" ref="AL330" si="3197">Konvention_1slave-CHslave</f>
        <v>12</v>
      </c>
      <c r="AM330" s="117"/>
      <c r="AN330" s="117">
        <f>Konvention_1slave-GEslave</f>
        <v>12</v>
      </c>
      <c r="AO330" s="117"/>
      <c r="AP330" s="121"/>
      <c r="AQ330" s="223">
        <f t="shared" ref="AQ330" si="3198">(AI330+AJ330+AK330+AL330+AM330+AN330+AO330+AP330)/3</f>
        <v>12</v>
      </c>
      <c r="AR330" s="223">
        <f t="shared" si="2957"/>
        <v>24</v>
      </c>
      <c r="AS330" s="224">
        <f t="shared" si="2958"/>
        <v>36</v>
      </c>
      <c r="AT330" s="237">
        <f t="shared" ref="AT330" si="3199">AI330*POWER(KLslave,SIGN(AJ330))*POWER(INslave,SIGN(AK330))*POWER(CHslave,SIGN(AL330))*POWER(FFslave,SIGN(AM330))*POWER(GEslave,SIGN(AN330))*POWER(KOslave,SIGN(AO330))*POWER(KKslave,SIGN(AP330))+AJ330*POWER(MUslave_MU,SIGN(AI330))*POWER(INslave,SIGN(AK330))*POWER(CHslave,SIGN(AL330))*POWER(FFslave,SIGN(AM330))*POWER(GEslave,SIGN(AN330))*POWER(KOslave,SIGN(AO330))*POWER(KKslave,SIGN(AP330))+AK330*POWER(MUslave_MU,SIGN(AI330))*POWER(KLslave,SIGN(AJ330))*POWER(CHslave,SIGN(AL330))*POWER(FFslave,SIGN(AM330))*POWER(GEslave,SIGN(AN330))*POWER(KOslave,SIGN(AO330))*POWER(KKslave,SIGN(AP330))+AL330*POWER(MUslave_MU,SIGN(AI330))*POWER(KLslave,SIGN(AJ330))*POWER(INslave,SIGN(AK330))*POWER(FFslave,SIGN(AM330))*POWER(GEslave,SIGN(AN330))*POWER(KOslave,SIGN(AO330))*POWER(KKslave,SIGN(AP330))+AM330*POWER(MUslave_MU,SIGN(AI330))*POWER(KLslave,SIGN(AJ330))*POWER(INslave,SIGN(AK330))*POWER(CHslave,SIGN(AL330))*POWER(GEslave,SIGN(AN330))*POWER(KOslave,SIGN(AO330))*POWER(KKslave,SIGN(AP330))+AN330*POWER(MUslave_MU,SIGN(AI330))*POWER(KLslave,SIGN(AJ330))*POWER(INslave,SIGN(AK330))*POWER(CHslave,SIGN(AL330))*POWER(FFslave,SIGN(AM330))*POWER(KOslave,SIGN(AO330))*POWER(KKslave,SIGN(AP330))+AO330*POWER(MUslave_MU,SIGN(AI330))*POWER(KLslave,SIGN(AJ330))*POWER(INslave,SIGN(AK330))*POWER(CHslave,SIGN(AL330))*POWER(FFslave,SIGN(AM330))*POWER(GEslave,SIGN(AN330))*POWER(KKslave,SIGN(AP330))+AP330*POWER(MUslave_MU,SIGN(AI330))*POWER(KLslave,SIGN(AJ330))*POWER(INslave,SIGN(AK330))*POWER(CHslave,SIGN(AL330))*POWER(FFslave,SIGN(AM330))*POWER(GEslave,SIGN(AN330))*POWER(KOslave,SIGN(AO330))</f>
        <v>2304</v>
      </c>
      <c r="AU330" s="117">
        <f>AK330*AL330*GEslave+AK330*CHslave*AN330+INslave*AL330*AN330</f>
        <v>3456</v>
      </c>
      <c r="AV330" s="224">
        <f t="shared" ref="AV330" si="3200">IFERROR(AI330^SIGN(AI330),1)*IFERROR(AJ330^SIGN(AJ330),1)*IFERROR(AK330^SIGN(AK330),1)*IFERROR(AL330^SIGN(AL330),1)*IFERROR(AM330^SIGN(AM330),1)*IFERROR(AN330^SIGN(AN330),1)*IFERROR(AO330^SIGN(AO330),1)*IFERROR(AP330^SIGN(AP330),1)</f>
        <v>1728</v>
      </c>
      <c r="AW330" s="224">
        <f t="shared" si="2959"/>
        <v>7488</v>
      </c>
      <c r="AX330" s="222">
        <f t="shared" si="2960"/>
        <v>3.6923076923076925</v>
      </c>
      <c r="AY330" s="223">
        <f t="shared" si="2961"/>
        <v>11.076923076923077</v>
      </c>
      <c r="AZ330" s="243">
        <f t="shared" si="2962"/>
        <v>8.3076923076923084</v>
      </c>
      <c r="BA330" s="243">
        <f t="shared" si="2963"/>
        <v>23.07692307692308</v>
      </c>
      <c r="BB330" s="252">
        <f t="shared" si="2034"/>
        <v>0</v>
      </c>
      <c r="BC330" s="324">
        <f t="shared" si="2964"/>
        <v>23.07692307692308</v>
      </c>
      <c r="BD330" s="304">
        <f t="shared" ref="BD330:BE330" si="3201">IF(BA330&lt;=0,1,0)+IF(BA330&gt;0,BA330+1,0)*1+IF(BA330&gt;12,BA330-12,0)*1+IF(BA330&gt;13,BA330-13,0)*1+IF(BA330&gt;14,BA330-14,0)*1+IF(BA330&gt;15,BA330-15,0)*1+IF(BA330&gt;16,BA330-16,0)*1+IF(BA330&gt;17,BA330-17,0)*1+IF(BA330&gt;18,BA330-18,0)*1+IF(BA330&gt;19,BA330-19,0)*1+IF(BA330&gt;20,BA330-20,0)*1</f>
        <v>87.769230769230802</v>
      </c>
      <c r="BE330" s="335">
        <f t="shared" si="3201"/>
        <v>1</v>
      </c>
      <c r="BF330" s="243">
        <f t="shared" si="2966"/>
        <v>86.769230769230802</v>
      </c>
      <c r="BG330" s="218">
        <f t="shared" si="2967"/>
        <v>0</v>
      </c>
      <c r="BH330" s="248"/>
      <c r="BI330" s="303" t="s">
        <v>482</v>
      </c>
      <c r="BJ330" s="304" t="s">
        <v>88</v>
      </c>
      <c r="BK330" s="304" t="s">
        <v>133</v>
      </c>
      <c r="BL330" s="120"/>
      <c r="BM330" s="117"/>
      <c r="BN330" s="117">
        <f t="shared" ref="BN330" si="3202">Konvention_1slave-INslave</f>
        <v>12</v>
      </c>
      <c r="BO330" s="117">
        <f t="shared" ref="BO330" si="3203">Konvention_1slave-CHslave</f>
        <v>12</v>
      </c>
      <c r="BP330" s="117"/>
      <c r="BQ330" s="117">
        <f>Konvention_1slave-GEslave</f>
        <v>12</v>
      </c>
      <c r="BR330" s="117"/>
      <c r="BS330" s="121"/>
      <c r="BT330" s="223">
        <f t="shared" ref="BT330" si="3204">(BL330+BM330+BN330+BO330+BP330+BQ330+BR330+BS330)/3</f>
        <v>12</v>
      </c>
      <c r="BU330" s="223">
        <f t="shared" si="2968"/>
        <v>24</v>
      </c>
      <c r="BV330" s="224">
        <f t="shared" si="2969"/>
        <v>36</v>
      </c>
      <c r="BW330" s="237">
        <f t="shared" ref="BW330" si="3205">BL330*POWER(KLslave_KL,SIGN(BM330))*POWER(INslave,SIGN(BN330))*POWER(CHslave,SIGN(BO330))*POWER(FFslave,SIGN(BP330))*POWER(GEslave,SIGN(BQ330))*POWER(KOslave,SIGN(BR330))*POWER(KKslave,SIGN(BS330))+BM330*POWER(MUslave,SIGN(BL330))*POWER(INslave,SIGN(BN330))*POWER(CHslave,SIGN(BO330))*POWER(FFslave,SIGN(BP330))*POWER(GEslave,SIGN(BQ330))*POWER(KOslave,SIGN(BR330))*POWER(KKslave,SIGN(BS330))+BN330*POWER(MUslave,SIGN(BL330))*POWER(KLslave_KL,SIGN(BM330))*POWER(CHslave,SIGN(BO330))*POWER(FFslave,SIGN(BP330))*POWER(GEslave,SIGN(BQ330))*POWER(KOslave,SIGN(BR330))*POWER(KKslave,SIGN(BS330))+BO330*POWER(MUslave,SIGN(BL330))*POWER(KLslave_KL,SIGN(BM330))*POWER(INslave,SIGN(BN330))*POWER(FFslave,SIGN(BP330))*POWER(GEslave,SIGN(BQ330))*POWER(KOslave,SIGN(BR330))*POWER(KKslave,SIGN(BS330))+BP330*POWER(MUslave,SIGN(BL330))*POWER(KLslave_KL,SIGN(BM330))*POWER(INslave,SIGN(BN330))*POWER(CHslave,SIGN(BO330))*POWER(GEslave,SIGN(BQ330))*POWER(KOslave,SIGN(BR330))*POWER(KKslave,SIGN(BS330))+BQ330*POWER(MUslave,SIGN(BL330))*POWER(KLslave_KL,SIGN(BM330))*POWER(INslave,SIGN(BN330))*POWER(CHslave,SIGN(BO330))*POWER(FFslave,SIGN(BP330))*POWER(KOslave,SIGN(BR330))*POWER(KKslave,SIGN(BS330))+BR330*POWER(MUslave,SIGN(BL330))*POWER(KLslave_KL,SIGN(BM330))*POWER(INslave,SIGN(BN330))*POWER(CHslave,SIGN(BO330))*POWER(FFslave,SIGN(BP330))*POWER(GEslave,SIGN(BQ330))*POWER(KKslave,SIGN(BS330))+BS330*POWER(MUslave,SIGN(BL330))*POWER(KLslave_KL,SIGN(BM330))*POWER(INslave,SIGN(BN330))*POWER(CHslave,SIGN(BO330))*POWER(FFslave,SIGN(BP330))*POWER(GEslave,SIGN(BQ330))*POWER(KOslave,SIGN(BR330))</f>
        <v>2304</v>
      </c>
      <c r="BX330" s="117">
        <f>BN330*BO330*GEslave+BN330*CHslave*BQ330+INslave*BO330*BQ330</f>
        <v>3456</v>
      </c>
      <c r="BY330" s="224">
        <f t="shared" ref="BY330" si="3206">IFERROR(BL330^SIGN(BL330),1)*IFERROR(BM330^SIGN(BM330),1)*IFERROR(BN330^SIGN(BN330),1)*IFERROR(BO330^SIGN(BO330),1)*IFERROR(BP330^SIGN(BP330),1)*IFERROR(BQ330^SIGN(BQ330),1)*IFERROR(BR330^SIGN(BR330),1)*IFERROR(BS330^SIGN(BS330),1)</f>
        <v>1728</v>
      </c>
      <c r="BZ330" s="224">
        <f t="shared" si="2970"/>
        <v>7488</v>
      </c>
      <c r="CA330" s="222">
        <f t="shared" si="2971"/>
        <v>3.6923076923076925</v>
      </c>
      <c r="CB330" s="223">
        <f t="shared" si="2972"/>
        <v>11.076923076923077</v>
      </c>
      <c r="CC330" s="243">
        <f t="shared" si="2973"/>
        <v>8.3076923076923084</v>
      </c>
      <c r="CD330" s="243">
        <f t="shared" si="2974"/>
        <v>23.07692307692308</v>
      </c>
      <c r="CE330" s="252">
        <f t="shared" si="2925"/>
        <v>0</v>
      </c>
      <c r="CF330" s="324">
        <f t="shared" si="2975"/>
        <v>23.07692307692308</v>
      </c>
      <c r="CG330" s="304">
        <f t="shared" ref="CG330:CH330" si="3207">IF(CD330&lt;=0,1,0)+IF(CD330&gt;0,CD330+1,0)*1+IF(CD330&gt;12,CD330-12,0)*1+IF(CD330&gt;13,CD330-13,0)*1+IF(CD330&gt;14,CD330-14,0)*1+IF(CD330&gt;15,CD330-15,0)*1+IF(CD330&gt;16,CD330-16,0)*1+IF(CD330&gt;17,CD330-17,0)*1+IF(CD330&gt;18,CD330-18,0)*1+IF(CD330&gt;19,CD330-19,0)*1+IF(CD330&gt;20,CD330-20,0)*1</f>
        <v>87.769230769230802</v>
      </c>
      <c r="CH330" s="335">
        <f t="shared" si="3207"/>
        <v>1</v>
      </c>
      <c r="CI330" s="243">
        <f t="shared" si="2977"/>
        <v>86.769230769230802</v>
      </c>
      <c r="CJ330" s="218">
        <f t="shared" si="2978"/>
        <v>0</v>
      </c>
      <c r="CK330" s="248"/>
      <c r="CL330" s="303" t="s">
        <v>482</v>
      </c>
      <c r="CM330" s="304" t="s">
        <v>88</v>
      </c>
      <c r="CN330" s="304" t="s">
        <v>133</v>
      </c>
      <c r="CO330" s="120"/>
      <c r="CP330" s="117"/>
      <c r="CQ330" s="117">
        <f t="shared" ref="CQ330" si="3208">Konvention_1slave-INslave_IN</f>
        <v>11</v>
      </c>
      <c r="CR330" s="117">
        <f t="shared" ref="CR330" si="3209">Konvention_1slave-CHslave</f>
        <v>12</v>
      </c>
      <c r="CS330" s="117"/>
      <c r="CT330" s="117">
        <f>Konvention_1slave-GEslave</f>
        <v>12</v>
      </c>
      <c r="CU330" s="117"/>
      <c r="CV330" s="121"/>
      <c r="CW330" s="223">
        <f t="shared" ref="CW330" si="3210">(CO330+CP330+CQ330+CR330+CS330+CT330+CU330+CV330)/3</f>
        <v>11.666666666666666</v>
      </c>
      <c r="CX330" s="223">
        <f t="shared" si="2979"/>
        <v>23.333333333333332</v>
      </c>
      <c r="CY330" s="224">
        <f t="shared" si="2980"/>
        <v>35</v>
      </c>
      <c r="CZ330" s="237">
        <f t="shared" ref="CZ330" si="3211">CO330*POWER(KLslave,SIGN(CP330))*POWER(INslave_IN,SIGN(CQ330))*POWER(CHslave,SIGN(CR330))*POWER(FFslave,SIGN(CS330))*POWER(GEslave,SIGN(CT330))*POWER(KOslave,SIGN(CU330))*POWER(KKslave,SIGN(CV330))+CP330*POWER(MUslave,SIGN(CO330))*POWER(INslave_IN,SIGN(CQ330))*POWER(CHslave,SIGN(CR330))*POWER(FFslave,SIGN(CS330))*POWER(GEslave,SIGN(CT330))*POWER(KOslave,SIGN(CU330))*POWER(KKslave,SIGN(CV330))+CQ330*POWER(MUslave,SIGN(CO330))*POWER(KLslave,SIGN(CP330))*POWER(CHslave,SIGN(CR330))*POWER(FFslave,SIGN(CS330))*POWER(GEslave,SIGN(CT330))*POWER(KOslave,SIGN(CU330))*POWER(KKslave,SIGN(CV330))+CR330*POWER(MUslave,SIGN(CO330))*POWER(KLslave,SIGN(CP330))*POWER(INslave_IN,SIGN(CQ330))*POWER(FFslave,SIGN(CS330))*POWER(GEslave,SIGN(CT330))*POWER(KOslave,SIGN(CU330))*POWER(KKslave,SIGN(CV330))+CS330*POWER(MUslave,SIGN(CO330))*POWER(KLslave,SIGN(CP330))*POWER(INslave_IN,SIGN(CQ330))*POWER(CHslave,SIGN(CR330))*POWER(GEslave,SIGN(CT330))*POWER(KOslave,SIGN(CU330))*POWER(KKslave,SIGN(CV330))+CT330*POWER(MUslave,SIGN(CO330))*POWER(KLslave,SIGN(CP330))*POWER(INslave_IN,SIGN(CQ330))*POWER(CHslave,SIGN(CR330))*POWER(FFslave,SIGN(CS330))*POWER(KOslave,SIGN(CU330))*POWER(KKslave,SIGN(CV330))+CU330*POWER(MUslave,SIGN(CO330))*POWER(KLslave,SIGN(CP330))*POWER(INslave_IN,SIGN(CQ330))*POWER(CHslave,SIGN(CR330))*POWER(FFslave,SIGN(CS330))*POWER(GEslave,SIGN(CT330))*POWER(KKslave,SIGN(CV330))+CV330*POWER(MUslave,SIGN(CO330))*POWER(KLslave,SIGN(CP330))*POWER(INslave_IN,SIGN(CQ330))*POWER(CHslave,SIGN(CR330))*POWER(FFslave,SIGN(CS330))*POWER(GEslave,SIGN(CT330))*POWER(KOslave,SIGN(CU330))</f>
        <v>2432</v>
      </c>
      <c r="DA330" s="117">
        <f>CQ330*CR330*GEslave+CQ330*CHslave*CT330+INslave_IN*CR330*CT330</f>
        <v>3408</v>
      </c>
      <c r="DB330" s="224">
        <f t="shared" ref="DB330" si="3212">IFERROR(CO330^SIGN(CO330),1)*IFERROR(CP330^SIGN(CP330),1)*IFERROR(CQ330^SIGN(CQ330),1)*IFERROR(CR330^SIGN(CR330),1)*IFERROR(CS330^SIGN(CS330),1)*IFERROR(CT330^SIGN(CT330),1)*IFERROR(CU330^SIGN(CU330),1)*IFERROR(CV330^SIGN(CV330),1)</f>
        <v>1584</v>
      </c>
      <c r="DC330" s="224">
        <f t="shared" si="2981"/>
        <v>7424</v>
      </c>
      <c r="DD330" s="222">
        <f t="shared" si="2982"/>
        <v>3.8218390804597702</v>
      </c>
      <c r="DE330" s="223">
        <f t="shared" si="2983"/>
        <v>10.711206896551724</v>
      </c>
      <c r="DF330" s="243">
        <f t="shared" si="2984"/>
        <v>7.4676724137931032</v>
      </c>
      <c r="DG330" s="243">
        <f t="shared" si="2985"/>
        <v>22.000718390804597</v>
      </c>
      <c r="DH330" s="252">
        <f t="shared" si="2928"/>
        <v>0</v>
      </c>
      <c r="DI330" s="324">
        <f t="shared" si="2986"/>
        <v>22.000718390804597</v>
      </c>
      <c r="DJ330" s="304">
        <f t="shared" ref="DJ330:DK330" si="3213">IF(DG330&lt;=0,1,0)+IF(DG330&gt;0,DG330+1,0)*1+IF(DG330&gt;12,DG330-12,0)*1+IF(DG330&gt;13,DG330-13,0)*1+IF(DG330&gt;14,DG330-14,0)*1+IF(DG330&gt;15,DG330-15,0)*1+IF(DG330&gt;16,DG330-16,0)*1+IF(DG330&gt;17,DG330-17,0)*1+IF(DG330&gt;18,DG330-18,0)*1+IF(DG330&gt;19,DG330-19,0)*1+IF(DG330&gt;20,DG330-20,0)*1</f>
        <v>77.007183908045945</v>
      </c>
      <c r="DK330" s="335">
        <f t="shared" si="3213"/>
        <v>1</v>
      </c>
      <c r="DL330" s="243">
        <f t="shared" si="2988"/>
        <v>76.007183908045945</v>
      </c>
      <c r="DM330" s="218">
        <f t="shared" si="2989"/>
        <v>0</v>
      </c>
      <c r="DN330" s="248"/>
      <c r="DO330" s="303" t="s">
        <v>482</v>
      </c>
      <c r="DP330" s="304" t="s">
        <v>88</v>
      </c>
      <c r="DQ330" s="304" t="s">
        <v>133</v>
      </c>
      <c r="DR330" s="120"/>
      <c r="DS330" s="117"/>
      <c r="DT330" s="117">
        <f t="shared" ref="DT330" si="3214">Konvention_1slave-INslave</f>
        <v>12</v>
      </c>
      <c r="DU330" s="117">
        <f t="shared" ref="DU330" si="3215">Konvention_1slave-CHslave_CH</f>
        <v>11</v>
      </c>
      <c r="DV330" s="117"/>
      <c r="DW330" s="117">
        <f>Konvention_1slave-GEslave</f>
        <v>12</v>
      </c>
      <c r="DX330" s="117"/>
      <c r="DY330" s="121"/>
      <c r="DZ330" s="223">
        <f t="shared" ref="DZ330" si="3216">(DR330+DS330+DT330+DU330+DV330+DW330+DX330+DY330)/3</f>
        <v>11.666666666666666</v>
      </c>
      <c r="EA330" s="223">
        <f t="shared" si="2990"/>
        <v>23.333333333333332</v>
      </c>
      <c r="EB330" s="224">
        <f t="shared" si="2991"/>
        <v>35</v>
      </c>
      <c r="EC330" s="237">
        <f t="shared" ref="EC330" si="3217">DR330*POWER(KLslave,SIGN(DS330))*POWER(INslave,SIGN(DT330))*POWER(CHslave_CH,SIGN(DU330))*POWER(FFslave,SIGN(DV330))*POWER(GEslave,SIGN(DW330))*POWER(KOslave,SIGN(DX330))*POWER(KKslave,SIGN(DY330))+DS330*POWER(MUslave,SIGN(DR330))*POWER(INslave,SIGN(DT330))*POWER(CHslave_CH,SIGN(DU330))*POWER(FFslave,SIGN(DV330))*POWER(GEslave,SIGN(DW330))*POWER(KOslave,SIGN(DX330))*POWER(KKslave,SIGN(DY330))+DT330*POWER(MUslave,SIGN(DR330))*POWER(KLslave,SIGN(DS330))*POWER(CHslave_CH,SIGN(DU330))*POWER(FFslave,SIGN(DV330))*POWER(GEslave,SIGN(DW330))*POWER(KOslave,SIGN(DX330))*POWER(KKslave,SIGN(DY330))+DU330*POWER(MUslave,SIGN(DR330))*POWER(KLslave,SIGN(DS330))*POWER(INslave,SIGN(DT330))*POWER(FFslave,SIGN(DV330))*POWER(GEslave,SIGN(DW330))*POWER(KOslave,SIGN(DX330))*POWER(KKslave,SIGN(DY330))+DV330*POWER(MUslave,SIGN(DR330))*POWER(KLslave,SIGN(DS330))*POWER(INslave,SIGN(DT330))*POWER(CHslave_CH,SIGN(DU330))*POWER(GEslave,SIGN(DW330))*POWER(KOslave,SIGN(DX330))*POWER(KKslave,SIGN(DY330))+DW330*POWER(MUslave,SIGN(DR330))*POWER(KLslave,SIGN(DS330))*POWER(INslave,SIGN(DT330))*POWER(CHslave_CH,SIGN(DU330))*POWER(FFslave,SIGN(DV330))*POWER(KOslave,SIGN(DX330))*POWER(KKslave,SIGN(DY330))+DX330*POWER(MUslave,SIGN(DR330))*POWER(KLslave,SIGN(DS330))*POWER(INslave,SIGN(DT330))*POWER(CHslave_CH,SIGN(DU330))*POWER(FFslave,SIGN(DV330))*POWER(GEslave,SIGN(DW330))*POWER(KKslave,SIGN(DY330))+DY330*POWER(MUslave,SIGN(DR330))*POWER(KLslave,SIGN(DS330))*POWER(INslave,SIGN(DT330))*POWER(CHslave_CH,SIGN(DU330))*POWER(FFslave,SIGN(DV330))*POWER(GEslave,SIGN(DW330))*POWER(KOslave,SIGN(DX330))</f>
        <v>2432</v>
      </c>
      <c r="ED330" s="117">
        <f>DT330*DU330*GEslave+DT330*CHslave_CH*DW330+INslave*DU330*DW330</f>
        <v>3408</v>
      </c>
      <c r="EE330" s="224">
        <f t="shared" ref="EE330" si="3218">IFERROR(DR330^SIGN(DR330),1)*IFERROR(DS330^SIGN(DS330),1)*IFERROR(DT330^SIGN(DT330),1)*IFERROR(DU330^SIGN(DU330),1)*IFERROR(DV330^SIGN(DV330),1)*IFERROR(DW330^SIGN(DW330),1)*IFERROR(DX330^SIGN(DX330),1)*IFERROR(DY330^SIGN(DY330),1)</f>
        <v>1584</v>
      </c>
      <c r="EF330" s="224">
        <f t="shared" si="2992"/>
        <v>7424</v>
      </c>
      <c r="EG330" s="222">
        <f t="shared" si="2993"/>
        <v>3.8218390804597702</v>
      </c>
      <c r="EH330" s="223">
        <f t="shared" si="2994"/>
        <v>10.711206896551724</v>
      </c>
      <c r="EI330" s="243">
        <f t="shared" si="2995"/>
        <v>7.4676724137931032</v>
      </c>
      <c r="EJ330" s="243">
        <f t="shared" si="2996"/>
        <v>22.000718390804597</v>
      </c>
      <c r="EK330" s="252">
        <f t="shared" si="2931"/>
        <v>0</v>
      </c>
      <c r="EL330" s="324">
        <f t="shared" si="2997"/>
        <v>22.000718390804597</v>
      </c>
      <c r="EM330" s="304">
        <f t="shared" ref="EM330:EN330" si="3219">IF(EJ330&lt;=0,1,0)+IF(EJ330&gt;0,EJ330+1,0)*1+IF(EJ330&gt;12,EJ330-12,0)*1+IF(EJ330&gt;13,EJ330-13,0)*1+IF(EJ330&gt;14,EJ330-14,0)*1+IF(EJ330&gt;15,EJ330-15,0)*1+IF(EJ330&gt;16,EJ330-16,0)*1+IF(EJ330&gt;17,EJ330-17,0)*1+IF(EJ330&gt;18,EJ330-18,0)*1+IF(EJ330&gt;19,EJ330-19,0)*1+IF(EJ330&gt;20,EJ330-20,0)*1</f>
        <v>77.007183908045945</v>
      </c>
      <c r="EN330" s="335">
        <f t="shared" si="3219"/>
        <v>1</v>
      </c>
      <c r="EO330" s="243">
        <f t="shared" si="2999"/>
        <v>76.007183908045945</v>
      </c>
      <c r="EP330" s="218">
        <f t="shared" si="3000"/>
        <v>0</v>
      </c>
      <c r="EQ330" s="248"/>
      <c r="ER330" s="303" t="s">
        <v>482</v>
      </c>
      <c r="ES330" s="304" t="s">
        <v>88</v>
      </c>
      <c r="ET330" s="304" t="s">
        <v>133</v>
      </c>
      <c r="EU330" s="120"/>
      <c r="EV330" s="117"/>
      <c r="EW330" s="117">
        <f t="shared" ref="EW330" si="3220">Konvention_1slave-INslave</f>
        <v>12</v>
      </c>
      <c r="EX330" s="117">
        <f t="shared" ref="EX330" si="3221">Konvention_1slave-CHslave</f>
        <v>12</v>
      </c>
      <c r="EY330" s="117"/>
      <c r="EZ330" s="117">
        <f>Konvention_1slave-GEslave</f>
        <v>12</v>
      </c>
      <c r="FA330" s="117"/>
      <c r="FB330" s="121"/>
      <c r="FC330" s="223">
        <f t="shared" ref="FC330" si="3222">(EU330+EV330+EW330+EX330+EY330+EZ330+FA330+FB330)/3</f>
        <v>12</v>
      </c>
      <c r="FD330" s="223">
        <f t="shared" si="3001"/>
        <v>24</v>
      </c>
      <c r="FE330" s="224">
        <f t="shared" si="3002"/>
        <v>36</v>
      </c>
      <c r="FF330" s="237">
        <f t="shared" ref="FF330" si="3223">EU330*POWER(KLslave,SIGN(EV330))*POWER(INslave,SIGN(EW330))*POWER(CHslave,SIGN(EX330))*POWER(FFslave_FF,SIGN(EY330))*POWER(GEslave,SIGN(EZ330))*POWER(KOslave,SIGN(FA330))*POWER(KKslave,SIGN(FB330))+EV330*POWER(MUslave,SIGN(EU330))*POWER(INslave,SIGN(EW330))*POWER(CHslave,SIGN(EX330))*POWER(FFslave_FF,SIGN(EY330))*POWER(GEslave,SIGN(EZ330))*POWER(KOslave,SIGN(FA330))*POWER(KKslave,SIGN(FB330))+EW330*POWER(MUslave,SIGN(EU330))*POWER(KLslave,SIGN(EV330))*POWER(CHslave,SIGN(EX330))*POWER(FFslave_FF,SIGN(EY330))*POWER(GEslave,SIGN(EZ330))*POWER(KOslave,SIGN(FA330))*POWER(KKslave,SIGN(FB330))+EX330*POWER(MUslave,SIGN(EU330))*POWER(KLslave,SIGN(EV330))*POWER(INslave,SIGN(EW330))*POWER(FFslave_FF,SIGN(EY330))*POWER(GEslave,SIGN(EZ330))*POWER(KOslave,SIGN(FA330))*POWER(KKslave,SIGN(FB330))+EY330*POWER(MUslave,SIGN(EU330))*POWER(KLslave,SIGN(EV330))*POWER(INslave,SIGN(EW330))*POWER(CHslave,SIGN(EX330))*POWER(GEslave,SIGN(EZ330))*POWER(KOslave,SIGN(FA330))*POWER(KKslave,SIGN(FB330))+EZ330*POWER(MUslave,SIGN(EU330))*POWER(KLslave,SIGN(EV330))*POWER(INslave,SIGN(EW330))*POWER(CHslave,SIGN(EX330))*POWER(FFslave_FF,SIGN(EY330))*POWER(KOslave,SIGN(FA330))*POWER(KKslave,SIGN(FB330))+FA330*POWER(MUslave,SIGN(EU330))*POWER(KLslave,SIGN(EV330))*POWER(INslave,SIGN(EW330))*POWER(CHslave,SIGN(EX330))*POWER(FFslave_FF,SIGN(EY330))*POWER(GEslave,SIGN(EZ330))*POWER(KKslave,SIGN(FB330))+FB330*POWER(MUslave,SIGN(EU330))*POWER(KLslave,SIGN(EV330))*POWER(INslave,SIGN(EW330))*POWER(CHslave,SIGN(EX330))*POWER(FFslave_FF,SIGN(EY330))*POWER(GEslave,SIGN(EZ330))*POWER(KOslave,SIGN(FA330))</f>
        <v>2304</v>
      </c>
      <c r="FG330" s="117">
        <f>EW330*EX330*GEslave+EW330*CHslave*EZ330+INslave*EX330*EZ330</f>
        <v>3456</v>
      </c>
      <c r="FH330" s="224">
        <f t="shared" ref="FH330" si="3224">IFERROR(EU330^SIGN(EU330),1)*IFERROR(EV330^SIGN(EV330),1)*IFERROR(EW330^SIGN(EW330),1)*IFERROR(EX330^SIGN(EX330),1)*IFERROR(EY330^SIGN(EY330),1)*IFERROR(EZ330^SIGN(EZ330),1)*IFERROR(FA330^SIGN(FA330),1)*IFERROR(FB330^SIGN(FB330),1)</f>
        <v>1728</v>
      </c>
      <c r="FI330" s="224">
        <f t="shared" si="3003"/>
        <v>7488</v>
      </c>
      <c r="FJ330" s="222">
        <f t="shared" si="3004"/>
        <v>3.6923076923076925</v>
      </c>
      <c r="FK330" s="223">
        <f t="shared" si="3005"/>
        <v>11.076923076923077</v>
      </c>
      <c r="FL330" s="243">
        <f t="shared" si="3006"/>
        <v>8.3076923076923084</v>
      </c>
      <c r="FM330" s="243">
        <f t="shared" si="3007"/>
        <v>23.07692307692308</v>
      </c>
      <c r="FN330" s="252">
        <f t="shared" si="2934"/>
        <v>0</v>
      </c>
      <c r="FO330" s="324">
        <f t="shared" si="3008"/>
        <v>23.07692307692308</v>
      </c>
      <c r="FP330" s="304">
        <f t="shared" ref="FP330:FQ330" si="3225">IF(FM330&lt;=0,1,0)+IF(FM330&gt;0,FM330+1,0)*1+IF(FM330&gt;12,FM330-12,0)*1+IF(FM330&gt;13,FM330-13,0)*1+IF(FM330&gt;14,FM330-14,0)*1+IF(FM330&gt;15,FM330-15,0)*1+IF(FM330&gt;16,FM330-16,0)*1+IF(FM330&gt;17,FM330-17,0)*1+IF(FM330&gt;18,FM330-18,0)*1+IF(FM330&gt;19,FM330-19,0)*1+IF(FM330&gt;20,FM330-20,0)*1</f>
        <v>87.769230769230802</v>
      </c>
      <c r="FQ330" s="335">
        <f t="shared" si="3225"/>
        <v>1</v>
      </c>
      <c r="FR330" s="243">
        <f t="shared" si="3010"/>
        <v>86.769230769230802</v>
      </c>
      <c r="FS330" s="218">
        <f t="shared" si="3011"/>
        <v>0</v>
      </c>
      <c r="FT330" s="248"/>
      <c r="FU330" s="303" t="s">
        <v>482</v>
      </c>
      <c r="FV330" s="304" t="s">
        <v>88</v>
      </c>
      <c r="FW330" s="304" t="s">
        <v>133</v>
      </c>
      <c r="FX330" s="120"/>
      <c r="FY330" s="117"/>
      <c r="FZ330" s="117">
        <f t="shared" ref="FZ330" si="3226">Konvention_1slave-INslave</f>
        <v>12</v>
      </c>
      <c r="GA330" s="117">
        <f t="shared" ref="GA330" si="3227">Konvention_1slave-CHslave</f>
        <v>12</v>
      </c>
      <c r="GB330" s="117"/>
      <c r="GC330" s="117">
        <f>Konvention_1slave-GEslave_GE</f>
        <v>11</v>
      </c>
      <c r="GD330" s="117"/>
      <c r="GE330" s="121"/>
      <c r="GF330" s="223">
        <f t="shared" ref="GF330" si="3228">(FX330+FY330+FZ330+GA330+GB330+GC330+GD330+GE330)/3</f>
        <v>11.666666666666666</v>
      </c>
      <c r="GG330" s="223">
        <f t="shared" si="3012"/>
        <v>23.333333333333332</v>
      </c>
      <c r="GH330" s="224">
        <f t="shared" si="3013"/>
        <v>35</v>
      </c>
      <c r="GI330" s="237">
        <f t="shared" ref="GI330" si="3229">FX330*POWER(KLslave,SIGN(FY330))*POWER(INslave,SIGN(FZ330))*POWER(CHslave,SIGN(GA330))*POWER(FFslave,SIGN(GB330))*POWER(GEslave_GE,SIGN(GC330))*POWER(KOslave,SIGN(GD330))*POWER(KKslave,SIGN(GE330))+FY330*POWER(MUslave,SIGN(FX330))*POWER(INslave,SIGN(FZ330))*POWER(CHslave,SIGN(GA330))*POWER(FFslave,SIGN(GB330))*POWER(GEslave_GE,SIGN(GC330))*POWER(KOslave,SIGN(GD330))*POWER(KKslave,SIGN(GE330))+FZ330*POWER(MUslave,SIGN(FX330))*POWER(KLslave,SIGN(FY330))*POWER(CHslave,SIGN(GA330))*POWER(FFslave,SIGN(GB330))*POWER(GEslave_GE,SIGN(GC330))*POWER(KOslave,SIGN(GD330))*POWER(KKslave,SIGN(GE330))+GA330*POWER(MUslave,SIGN(FX330))*POWER(KLslave,SIGN(FY330))*POWER(INslave,SIGN(FZ330))*POWER(FFslave,SIGN(GB330))*POWER(GEslave_GE,SIGN(GC330))*POWER(KOslave,SIGN(GD330))*POWER(KKslave,SIGN(GE330))+GB330*POWER(MUslave,SIGN(FX330))*POWER(KLslave,SIGN(FY330))*POWER(INslave,SIGN(FZ330))*POWER(CHslave,SIGN(GA330))*POWER(GEslave_GE,SIGN(GC330))*POWER(KOslave,SIGN(GD330))*POWER(KKslave,SIGN(GE330))+GC330*POWER(MUslave,SIGN(FX330))*POWER(KLslave,SIGN(FY330))*POWER(INslave,SIGN(FZ330))*POWER(CHslave,SIGN(GA330))*POWER(FFslave,SIGN(GB330))*POWER(KOslave,SIGN(GD330))*POWER(KKslave,SIGN(GE330))+GD330*POWER(MUslave,SIGN(FX330))*POWER(KLslave,SIGN(FY330))*POWER(INslave,SIGN(FZ330))*POWER(CHslave,SIGN(GA330))*POWER(FFslave,SIGN(GB330))*POWER(GEslave_GE,SIGN(GC330))*POWER(KKslave,SIGN(GE330))+GE330*POWER(MUslave,SIGN(FX330))*POWER(KLslave,SIGN(FY330))*POWER(INslave,SIGN(FZ330))*POWER(CHslave,SIGN(GA330))*POWER(FFslave,SIGN(GB330))*POWER(GEslave_GE,SIGN(GC330))*POWER(KOslave,SIGN(GD330))</f>
        <v>2432</v>
      </c>
      <c r="GJ330" s="117">
        <f>FZ330*GA330*GEslave_GE+FZ330*CHslave*GC330+INslave*GA330*GC330</f>
        <v>3408</v>
      </c>
      <c r="GK330" s="224">
        <f t="shared" ref="GK330" si="3230">IFERROR(FX330^SIGN(FX330),1)*IFERROR(FY330^SIGN(FY330),1)*IFERROR(FZ330^SIGN(FZ330),1)*IFERROR(GA330^SIGN(GA330),1)*IFERROR(GB330^SIGN(GB330),1)*IFERROR(GC330^SIGN(GC330),1)*IFERROR(GD330^SIGN(GD330),1)*IFERROR(GE330^SIGN(GE330),1)</f>
        <v>1584</v>
      </c>
      <c r="GL330" s="224">
        <f t="shared" si="3014"/>
        <v>7424</v>
      </c>
      <c r="GM330" s="222">
        <f t="shared" si="3015"/>
        <v>3.8218390804597702</v>
      </c>
      <c r="GN330" s="223">
        <f t="shared" si="3016"/>
        <v>10.711206896551724</v>
      </c>
      <c r="GO330" s="243">
        <f t="shared" si="3017"/>
        <v>7.4676724137931032</v>
      </c>
      <c r="GP330" s="243">
        <f t="shared" si="3018"/>
        <v>22.000718390804597</v>
      </c>
      <c r="GQ330" s="252">
        <f t="shared" si="2937"/>
        <v>0</v>
      </c>
      <c r="GR330" s="324">
        <f t="shared" si="3019"/>
        <v>22.000718390804597</v>
      </c>
      <c r="GS330" s="304">
        <f t="shared" ref="GS330:GT330" si="3231">IF(GP330&lt;=0,1,0)+IF(GP330&gt;0,GP330+1,0)*1+IF(GP330&gt;12,GP330-12,0)*1+IF(GP330&gt;13,GP330-13,0)*1+IF(GP330&gt;14,GP330-14,0)*1+IF(GP330&gt;15,GP330-15,0)*1+IF(GP330&gt;16,GP330-16,0)*1+IF(GP330&gt;17,GP330-17,0)*1+IF(GP330&gt;18,GP330-18,0)*1+IF(GP330&gt;19,GP330-19,0)*1+IF(GP330&gt;20,GP330-20,0)*1</f>
        <v>77.007183908045945</v>
      </c>
      <c r="GT330" s="335">
        <f t="shared" si="3231"/>
        <v>1</v>
      </c>
      <c r="GU330" s="243">
        <f t="shared" si="3021"/>
        <v>76.007183908045945</v>
      </c>
      <c r="GV330" s="218">
        <f t="shared" si="3022"/>
        <v>0</v>
      </c>
      <c r="GW330" s="248"/>
      <c r="GX330" s="303" t="s">
        <v>482</v>
      </c>
      <c r="GY330" s="304" t="s">
        <v>88</v>
      </c>
      <c r="GZ330" s="304" t="s">
        <v>133</v>
      </c>
      <c r="HA330" s="120"/>
      <c r="HB330" s="117"/>
      <c r="HC330" s="117">
        <f t="shared" ref="HC330" si="3232">Konvention_1slave-INslave</f>
        <v>12</v>
      </c>
      <c r="HD330" s="117">
        <f t="shared" ref="HD330" si="3233">Konvention_1slave-CHslave</f>
        <v>12</v>
      </c>
      <c r="HE330" s="117"/>
      <c r="HF330" s="117">
        <f>Konvention_1slave-GEslave</f>
        <v>12</v>
      </c>
      <c r="HG330" s="117"/>
      <c r="HH330" s="121"/>
      <c r="HI330" s="223">
        <f t="shared" ref="HI330" si="3234">(HA330+HB330+HC330+HD330+HE330+HF330+HG330+HH330)/3</f>
        <v>12</v>
      </c>
      <c r="HJ330" s="223">
        <f t="shared" si="3023"/>
        <v>24</v>
      </c>
      <c r="HK330" s="224">
        <f t="shared" si="3024"/>
        <v>36</v>
      </c>
      <c r="HL330" s="237">
        <f t="shared" ref="HL330" si="3235">HA330*POWER(KLslave,SIGN(HB330))*POWER(INslave,SIGN(HC330))*POWER(CHslave,SIGN(HD330))*POWER(FFslave,SIGN(HE330))*POWER(GEslave,SIGN(HF330))*POWER(KOslave_KO,SIGN(HG330))*POWER(KKslave,SIGN(HH330))+HB330*POWER(MUslave,SIGN(HA330))*POWER(INslave,SIGN(HC330))*POWER(CHslave,SIGN(HD330))*POWER(FFslave,SIGN(HE330))*POWER(GEslave,SIGN(HF330))*POWER(KOslave_KO,SIGN(HG330))*POWER(KKslave,SIGN(HH330))+HC330*POWER(MUslave,SIGN(HA330))*POWER(KLslave,SIGN(HB330))*POWER(CHslave,SIGN(HD330))*POWER(FFslave,SIGN(HE330))*POWER(GEslave,SIGN(HF330))*POWER(KOslave_KO,SIGN(HG330))*POWER(KKslave,SIGN(HH330))+HD330*POWER(MUslave,SIGN(HA330))*POWER(KLslave,SIGN(HB330))*POWER(INslave,SIGN(HC330))*POWER(FFslave,SIGN(HE330))*POWER(GEslave,SIGN(HF330))*POWER(KOslave_KO,SIGN(HG330))*POWER(KKslave,SIGN(HH330))+HE330*POWER(MUslave,SIGN(HA330))*POWER(KLslave,SIGN(HB330))*POWER(INslave,SIGN(HC330))*POWER(CHslave,SIGN(HD330))*POWER(GEslave,SIGN(HF330))*POWER(KOslave_KO,SIGN(HG330))*POWER(KKslave,SIGN(HH330))+HF330*POWER(MUslave,SIGN(HA330))*POWER(KLslave,SIGN(HB330))*POWER(INslave,SIGN(HC330))*POWER(CHslave,SIGN(HD330))*POWER(FFslave,SIGN(HE330))*POWER(KOslave_KO,SIGN(HG330))*POWER(KKslave,SIGN(HH330))+HG330*POWER(MUslave,SIGN(HA330))*POWER(KLslave,SIGN(HB330))*POWER(INslave,SIGN(HC330))*POWER(CHslave,SIGN(HD330))*POWER(FFslave,SIGN(HE330))*POWER(GEslave,SIGN(HF330))*POWER(KKslave,SIGN(HH330))+HH330*POWER(MUslave,SIGN(HA330))*POWER(KLslave,SIGN(HB330))*POWER(INslave,SIGN(HC330))*POWER(CHslave,SIGN(HD330))*POWER(FFslave,SIGN(HE330))*POWER(GEslave,SIGN(HF330))*POWER(KOslave_KO,SIGN(HG330))</f>
        <v>2304</v>
      </c>
      <c r="HM330" s="117">
        <f>HC330*HD330*GEslave+HC330*CHslave*HF330+INslave*HD330*HF330</f>
        <v>3456</v>
      </c>
      <c r="HN330" s="224">
        <f t="shared" ref="HN330" si="3236">IFERROR(HA330^SIGN(HA330),1)*IFERROR(HB330^SIGN(HB330),1)*IFERROR(HC330^SIGN(HC330),1)*IFERROR(HD330^SIGN(HD330),1)*IFERROR(HE330^SIGN(HE330),1)*IFERROR(HF330^SIGN(HF330),1)*IFERROR(HG330^SIGN(HG330),1)*IFERROR(HH330^SIGN(HH330),1)</f>
        <v>1728</v>
      </c>
      <c r="HO330" s="224">
        <f t="shared" si="3025"/>
        <v>7488</v>
      </c>
      <c r="HP330" s="222">
        <f t="shared" si="3026"/>
        <v>3.6923076923076925</v>
      </c>
      <c r="HQ330" s="223">
        <f t="shared" si="3027"/>
        <v>11.076923076923077</v>
      </c>
      <c r="HR330" s="243">
        <f t="shared" si="3028"/>
        <v>8.3076923076923084</v>
      </c>
      <c r="HS330" s="243">
        <f t="shared" si="3029"/>
        <v>23.07692307692308</v>
      </c>
      <c r="HT330" s="252">
        <f t="shared" si="2940"/>
        <v>0</v>
      </c>
      <c r="HU330" s="324">
        <f t="shared" si="3030"/>
        <v>23.07692307692308</v>
      </c>
      <c r="HV330" s="304">
        <f t="shared" ref="HV330:HW330" si="3237">IF(HS330&lt;=0,1,0)+IF(HS330&gt;0,HS330+1,0)*1+IF(HS330&gt;12,HS330-12,0)*1+IF(HS330&gt;13,HS330-13,0)*1+IF(HS330&gt;14,HS330-14,0)*1+IF(HS330&gt;15,HS330-15,0)*1+IF(HS330&gt;16,HS330-16,0)*1+IF(HS330&gt;17,HS330-17,0)*1+IF(HS330&gt;18,HS330-18,0)*1+IF(HS330&gt;19,HS330-19,0)*1+IF(HS330&gt;20,HS330-20,0)*1</f>
        <v>87.769230769230802</v>
      </c>
      <c r="HW330" s="335">
        <f t="shared" si="3237"/>
        <v>1</v>
      </c>
      <c r="HX330" s="243">
        <f t="shared" si="3032"/>
        <v>86.769230769230802</v>
      </c>
      <c r="HY330" s="218">
        <f t="shared" si="3033"/>
        <v>0</v>
      </c>
      <c r="HZ330" s="248"/>
      <c r="IA330" s="303" t="s">
        <v>482</v>
      </c>
      <c r="IB330" s="304" t="s">
        <v>88</v>
      </c>
      <c r="IC330" s="304" t="s">
        <v>133</v>
      </c>
      <c r="ID330" s="120"/>
      <c r="IE330" s="117"/>
      <c r="IF330" s="117">
        <f t="shared" ref="IF330" si="3238">Konvention_1slave-INslave</f>
        <v>12</v>
      </c>
      <c r="IG330" s="117">
        <f t="shared" ref="IG330" si="3239">Konvention_1slave-CHslave</f>
        <v>12</v>
      </c>
      <c r="IH330" s="117"/>
      <c r="II330" s="117">
        <f>Konvention_1slave-GEslave</f>
        <v>12</v>
      </c>
      <c r="IJ330" s="117"/>
      <c r="IK330" s="121"/>
      <c r="IL330" s="223">
        <f t="shared" ref="IL330" si="3240">(ID330+IE330+IF330+IG330+IH330+II330+IJ330+IK330)/3</f>
        <v>12</v>
      </c>
      <c r="IM330" s="223">
        <f t="shared" si="3034"/>
        <v>24</v>
      </c>
      <c r="IN330" s="224">
        <f t="shared" si="3035"/>
        <v>36</v>
      </c>
      <c r="IO330" s="237">
        <f t="shared" ref="IO330" si="3241">ID330*POWER(KLslave,SIGN(IE330))*POWER(INslave,SIGN(IF330))*POWER(CHslave,SIGN(IG330))*POWER(FFslave,SIGN(IH330))*POWER(GEslave,SIGN(II330))*POWER(KOslave,SIGN(IJ330))*POWER(KKslave_KK,SIGN(IK330))+IE330*POWER(MUslave,SIGN(ID330))*POWER(INslave,SIGN(IF330))*POWER(CHslave,SIGN(IG330))*POWER(FFslave,SIGN(IH330))*POWER(GEslave,SIGN(II330))*POWER(KOslave,SIGN(IJ330))*POWER(KKslave_KK,SIGN(IK330))+IF330*POWER(MUslave,SIGN(ID330))*POWER(KLslave,SIGN(IE330))*POWER(CHslave,SIGN(IG330))*POWER(FFslave,SIGN(IH330))*POWER(GEslave,SIGN(II330))*POWER(KOslave,SIGN(IJ330))*POWER(KKslave_KK,SIGN(IK330))+IG330*POWER(MUslave,SIGN(ID330))*POWER(KLslave,SIGN(IE330))*POWER(INslave,SIGN(IF330))*POWER(FFslave,SIGN(IH330))*POWER(GEslave,SIGN(II330))*POWER(KOslave,SIGN(IJ330))*POWER(KKslave_KK,SIGN(IK330))+IH330*POWER(MUslave,SIGN(ID330))*POWER(KLslave,SIGN(IE330))*POWER(INslave,SIGN(IF330))*POWER(CHslave,SIGN(IG330))*POWER(GEslave,SIGN(II330))*POWER(KOslave,SIGN(IJ330))*POWER(KKslave_KK,SIGN(IK330))+II330*POWER(MUslave,SIGN(ID330))*POWER(KLslave,SIGN(IE330))*POWER(INslave,SIGN(IF330))*POWER(CHslave,SIGN(IG330))*POWER(FFslave,SIGN(IH330))*POWER(KOslave,SIGN(IJ330))*POWER(KKslave_KK,SIGN(IK330))+IJ330*POWER(MUslave,SIGN(ID330))*POWER(KLslave,SIGN(IE330))*POWER(INslave,SIGN(IF330))*POWER(CHslave,SIGN(IG330))*POWER(FFslave,SIGN(IH330))*POWER(GEslave,SIGN(II330))*POWER(KKslave_KK,SIGN(IK330))+IK330*POWER(MUslave,SIGN(ID330))*POWER(KLslave,SIGN(IE330))*POWER(INslave,SIGN(IF330))*POWER(CHslave,SIGN(IG330))*POWER(FFslave,SIGN(IH330))*POWER(GEslave,SIGN(II330))*POWER(KOslave,SIGN(IJ330))</f>
        <v>2304</v>
      </c>
      <c r="IP330" s="117">
        <f>IF330*IG330*GEslave+IF330*CHslave*II330+INslave*IG330*II330</f>
        <v>3456</v>
      </c>
      <c r="IQ330" s="224">
        <f t="shared" ref="IQ330" si="3242">IFERROR(ID330^SIGN(ID330),1)*IFERROR(IE330^SIGN(IE330),1)*IFERROR(IF330^SIGN(IF330),1)*IFERROR(IG330^SIGN(IG330),1)*IFERROR(IH330^SIGN(IH330),1)*IFERROR(II330^SIGN(II330),1)*IFERROR(IJ330^SIGN(IJ330),1)*IFERROR(IK330^SIGN(IK330),1)</f>
        <v>1728</v>
      </c>
      <c r="IR330" s="224">
        <f t="shared" si="3036"/>
        <v>7488</v>
      </c>
      <c r="IS330" s="222">
        <f t="shared" si="3037"/>
        <v>3.6923076923076925</v>
      </c>
      <c r="IT330" s="223">
        <f t="shared" si="3038"/>
        <v>11.076923076923077</v>
      </c>
      <c r="IU330" s="243">
        <f t="shared" si="3039"/>
        <v>8.3076923076923084</v>
      </c>
      <c r="IV330" s="243">
        <f t="shared" si="3040"/>
        <v>23.07692307692308</v>
      </c>
      <c r="IW330" s="252">
        <f t="shared" si="2943"/>
        <v>0</v>
      </c>
      <c r="IX330" s="324">
        <f t="shared" si="3041"/>
        <v>23.07692307692308</v>
      </c>
      <c r="IY330" s="304">
        <f t="shared" ref="IY330:IZ330" si="3243">IF(IV330&lt;=0,1,0)+IF(IV330&gt;0,IV330+1,0)*1+IF(IV330&gt;12,IV330-12,0)*1+IF(IV330&gt;13,IV330-13,0)*1+IF(IV330&gt;14,IV330-14,0)*1+IF(IV330&gt;15,IV330-15,0)*1+IF(IV330&gt;16,IV330-16,0)*1+IF(IV330&gt;17,IV330-17,0)*1+IF(IV330&gt;18,IV330-18,0)*1+IF(IV330&gt;19,IV330-19,0)*1+IF(IV330&gt;20,IV330-20,0)*1</f>
        <v>87.769230769230802</v>
      </c>
      <c r="IZ330" s="335">
        <f t="shared" si="3243"/>
        <v>1</v>
      </c>
      <c r="JA330" s="243">
        <f t="shared" si="3043"/>
        <v>86.769230769230802</v>
      </c>
      <c r="JB330" s="218">
        <f t="shared" si="3044"/>
        <v>0</v>
      </c>
      <c r="JE330" s="148"/>
    </row>
    <row r="331" spans="1:265" hidden="1" outlineLevel="2">
      <c r="A331" s="185"/>
      <c r="B331" s="217">
        <v>9</v>
      </c>
      <c r="C331" s="303" t="e">
        <f>VLOOKUP(AF331,Attribute!C:T,1,FALSE)</f>
        <v>#N/A</v>
      </c>
      <c r="D331" s="304" t="s">
        <v>81</v>
      </c>
      <c r="E331" s="304" t="s">
        <v>132</v>
      </c>
      <c r="F331" s="120"/>
      <c r="G331" s="117">
        <f>Konvention_1master-KLmaster</f>
        <v>12</v>
      </c>
      <c r="H331" s="117"/>
      <c r="I331" s="117">
        <f t="shared" ref="I331" si="3244">Konvention_1master-CHmaster</f>
        <v>12</v>
      </c>
      <c r="J331" s="117"/>
      <c r="K331" s="117">
        <f>Konvention_1master-GEmaster</f>
        <v>12</v>
      </c>
      <c r="L331" s="117"/>
      <c r="M331" s="121"/>
      <c r="N331" s="223">
        <f>(F331+G331+H331+I331+J331+K331+L331+M331)/3</f>
        <v>12</v>
      </c>
      <c r="O331" s="223">
        <f t="shared" si="2945"/>
        <v>24</v>
      </c>
      <c r="P331" s="224">
        <f t="shared" si="2946"/>
        <v>36</v>
      </c>
      <c r="Q331" s="237">
        <f t="shared" ref="Q331" si="3245">F331*POWER(KLmaster,SIGN(G331))*POWER(INmaster,SIGN(H331))*POWER(CHmaster,SIGN(I331))*POWER(FFmaster,SIGN(J331))*POWER(GEmaster,SIGN(K331))*POWER(KOmaster,SIGN(L331))*POWER(KKmaster,SIGN(M331))+G331*POWER(MUmaster,SIGN(F331))*POWER(INmaster,SIGN(H331))*POWER(CHmaster,SIGN(I331))*POWER(FFmaster,SIGN(J331))*POWER(GEmaster,SIGN(K331))*POWER(KOmaster,SIGN(L331))*POWER(KKmaster,SIGN(M331))+H331*POWER(MUmaster,SIGN(F331))*POWER(KLmaster,SIGN(G331))*POWER(CHmaster,SIGN(I331))*POWER(FFmaster,SIGN(J331))*POWER(GEmaster,SIGN(K331))*POWER(KOmaster,SIGN(L331))*POWER(KKmaster,SIGN(M331))+I331*POWER(MUmaster,SIGN(F331))*POWER(KLmaster,SIGN(G331))*POWER(INmaster,SIGN(H331))*POWER(FFmaster,SIGN(J331))*POWER(GEmaster,SIGN(K331))*POWER(KOmaster,SIGN(L331))*POWER(KKmaster,SIGN(M331))+J331*POWER(MUmaster,SIGN(F331))*POWER(KLmaster,SIGN(G331))*POWER(INmaster,SIGN(H331))*POWER(CHmaster,SIGN(I331))*POWER(GEmaster,SIGN(K331))*POWER(KOmaster,SIGN(L331))*POWER(KKmaster,SIGN(M331))+K331*POWER(MUmaster,SIGN(F331))*POWER(KLmaster,SIGN(G331))*POWER(INmaster,SIGN(H331))*POWER(CHmaster,SIGN(I331))*POWER(FFmaster,SIGN(J331))*POWER(KOmaster,SIGN(L331))*POWER(KKmaster,SIGN(M331))+L331*POWER(MUmaster,SIGN(F331))*POWER(KLmaster,SIGN(G331))*POWER(INmaster,SIGN(H331))*POWER(CHmaster,SIGN(I331))*POWER(FFmaster,SIGN(J331))*POWER(GEmaster,SIGN(K331))*POWER(KKmaster,SIGN(M331))+M331*POWER(MUmaster,SIGN(F331))*POWER(KLmaster,SIGN(G331))*POWER(INmaster,SIGN(H331))*POWER(CHmaster,SIGN(I331))*POWER(FFmaster,SIGN(J331))*POWER(GEmaster,SIGN(K331))*POWER(KOmaster,SIGN(L331))</f>
        <v>2304</v>
      </c>
      <c r="R331" s="117">
        <f>G331*I331*GEmaster+G331*CHmaster*K331+KLmaster*I331*K331</f>
        <v>3456</v>
      </c>
      <c r="S331" s="224">
        <f t="shared" ref="S331:S340" si="3246">IFERROR(F331^SIGN(F331),1)*IFERROR(G331^SIGN(G331),1)*IFERROR(H331^SIGN(H331),1)*IFERROR(I331^SIGN(I331),1)*IFERROR(J331^SIGN(J331),1)*IFERROR(K331^SIGN(K331),1)*IFERROR(L331^SIGN(L331),1)*IFERROR(M331^SIGN(M331),1)</f>
        <v>1728</v>
      </c>
      <c r="T331" s="224">
        <f>SUM(Q331:S331)</f>
        <v>7488</v>
      </c>
      <c r="U331" s="222">
        <f t="shared" si="2948"/>
        <v>3.6923076923076925</v>
      </c>
      <c r="V331" s="223">
        <f t="shared" si="2949"/>
        <v>11.076923076923077</v>
      </c>
      <c r="W331" s="243">
        <f t="shared" si="2950"/>
        <v>8.3076923076923084</v>
      </c>
      <c r="X331" s="243">
        <f t="shared" si="2951"/>
        <v>23.07692307692308</v>
      </c>
      <c r="Y331" s="252">
        <v>0</v>
      </c>
      <c r="Z331" s="324">
        <f t="shared" si="2952"/>
        <v>23.07692307692308</v>
      </c>
      <c r="AA331" s="304">
        <f t="shared" ref="AA331:AA332" si="3247">IF(X331&lt;=0,2,0)+IF(X331&gt;0,X331+1,0)*2+IF(X331&gt;12,X331-12,0)*2+IF(X331&gt;13,X331-13,0)*2+IF(X331&gt;14,X331-14,0)*2+IF(X331&gt;15,X331-15,0)*2+IF(X331&gt;16,X331-16,0)*2+IF(X331&gt;17,X331-17,0)*2+IF(X331&gt;18,X331-18,0)*2+IF(X331&gt;19,X331-19,0)*2+IF(X331&gt;20,X331-20,0)*2</f>
        <v>175.5384615384616</v>
      </c>
      <c r="AB331" s="335">
        <f t="shared" ref="AB331:AB332" si="3248">IF(Y331&lt;=0,2,0)+IF(Y331&gt;0,Y331+1,0)*2+IF(Y331&gt;12,Y331-12,0)*2+IF(Y331&gt;13,Y331-13,0)*2+IF(Y331&gt;14,Y331-14,0)*2+IF(Y331&gt;15,Y331-15,0)*2+IF(Y331&gt;16,Y331-16,0)*2+IF(Y331&gt;17,Y331-17,0)*2+IF(Y331&gt;18,Y331-18,0)*2+IF(Y331&gt;19,Y331-19,0)*2+IF(Y331&gt;20,Y331-20,0)*2</f>
        <v>2</v>
      </c>
      <c r="AC331" s="243">
        <f t="shared" si="2955"/>
        <v>173.5384615384616</v>
      </c>
      <c r="AD331" s="218">
        <f t="shared" si="2956"/>
        <v>0</v>
      </c>
      <c r="AE331" s="140"/>
      <c r="AF331" s="303" t="s">
        <v>483</v>
      </c>
      <c r="AG331" s="304" t="s">
        <v>81</v>
      </c>
      <c r="AH331" s="304" t="s">
        <v>132</v>
      </c>
      <c r="AI331" s="120"/>
      <c r="AJ331" s="117">
        <f>Konvention_1slave-KLslave</f>
        <v>12</v>
      </c>
      <c r="AK331" s="117"/>
      <c r="AL331" s="117">
        <f>Konvention_1slave-CHslave</f>
        <v>12</v>
      </c>
      <c r="AM331" s="117"/>
      <c r="AN331" s="117">
        <f>Konvention_1slave-GEslave</f>
        <v>12</v>
      </c>
      <c r="AO331" s="117"/>
      <c r="AP331" s="121"/>
      <c r="AQ331" s="223">
        <f>(AI331+AJ331+AK331+AL331+AM331+AN331+AO331+AP331)/3</f>
        <v>12</v>
      </c>
      <c r="AR331" s="223">
        <f t="shared" si="2957"/>
        <v>24</v>
      </c>
      <c r="AS331" s="224">
        <f t="shared" si="2958"/>
        <v>36</v>
      </c>
      <c r="AT331" s="237">
        <f t="shared" ref="AT329:AT348" si="3249">AI331*POWER(KLslave,SIGN(AJ331))*POWER(INslave,SIGN(AK331))*POWER(CHslave,SIGN(AL331))*POWER(FFslave,SIGN(AM331))*POWER(GEslave,SIGN(AN331))*POWER(KOslave,SIGN(AO331))*POWER(KKslave,SIGN(AP331))+AJ331*POWER(MUslave_MU,SIGN(AI331))*POWER(INslave,SIGN(AK331))*POWER(CHslave,SIGN(AL331))*POWER(FFslave,SIGN(AM331))*POWER(GEslave,SIGN(AN331))*POWER(KOslave,SIGN(AO331))*POWER(KKslave,SIGN(AP331))+AK331*POWER(MUslave_MU,SIGN(AI331))*POWER(KLslave,SIGN(AJ331))*POWER(CHslave,SIGN(AL331))*POWER(FFslave,SIGN(AM331))*POWER(GEslave,SIGN(AN331))*POWER(KOslave,SIGN(AO331))*POWER(KKslave,SIGN(AP331))+AL331*POWER(MUslave_MU,SIGN(AI331))*POWER(KLslave,SIGN(AJ331))*POWER(INslave,SIGN(AK331))*POWER(FFslave,SIGN(AM331))*POWER(GEslave,SIGN(AN331))*POWER(KOslave,SIGN(AO331))*POWER(KKslave,SIGN(AP331))+AM331*POWER(MUslave_MU,SIGN(AI331))*POWER(KLslave,SIGN(AJ331))*POWER(INslave,SIGN(AK331))*POWER(CHslave,SIGN(AL331))*POWER(GEslave,SIGN(AN331))*POWER(KOslave,SIGN(AO331))*POWER(KKslave,SIGN(AP331))+AN331*POWER(MUslave_MU,SIGN(AI331))*POWER(KLslave,SIGN(AJ331))*POWER(INslave,SIGN(AK331))*POWER(CHslave,SIGN(AL331))*POWER(FFslave,SIGN(AM331))*POWER(KOslave,SIGN(AO331))*POWER(KKslave,SIGN(AP331))+AO331*POWER(MUslave_MU,SIGN(AI331))*POWER(KLslave,SIGN(AJ331))*POWER(INslave,SIGN(AK331))*POWER(CHslave,SIGN(AL331))*POWER(FFslave,SIGN(AM331))*POWER(GEslave,SIGN(AN331))*POWER(KKslave,SIGN(AP331))+AP331*POWER(MUslave_MU,SIGN(AI331))*POWER(KLslave,SIGN(AJ331))*POWER(INslave,SIGN(AK331))*POWER(CHslave,SIGN(AL331))*POWER(FFslave,SIGN(AM331))*POWER(GEslave,SIGN(AN331))*POWER(KOslave,SIGN(AO331))</f>
        <v>2304</v>
      </c>
      <c r="AU331" s="117">
        <f>AJ331*AL331*GEslave+AJ331*CHslave*AN331+KLslave*AL331*AN331</f>
        <v>3456</v>
      </c>
      <c r="AV331" s="224">
        <f t="shared" ref="AV331:AV340" si="3250">IFERROR(AI331^SIGN(AI331),1)*IFERROR(AJ331^SIGN(AJ331),1)*IFERROR(AK331^SIGN(AK331),1)*IFERROR(AL331^SIGN(AL331),1)*IFERROR(AM331^SIGN(AM331),1)*IFERROR(AN331^SIGN(AN331),1)*IFERROR(AO331^SIGN(AO331),1)*IFERROR(AP331^SIGN(AP331),1)</f>
        <v>1728</v>
      </c>
      <c r="AW331" s="224">
        <f t="shared" si="2959"/>
        <v>7488</v>
      </c>
      <c r="AX331" s="222">
        <f t="shared" si="2960"/>
        <v>3.6923076923076925</v>
      </c>
      <c r="AY331" s="223">
        <f t="shared" si="2961"/>
        <v>11.076923076923077</v>
      </c>
      <c r="AZ331" s="243">
        <f t="shared" si="2962"/>
        <v>8.3076923076923084</v>
      </c>
      <c r="BA331" s="243">
        <f t="shared" si="2963"/>
        <v>23.07692307692308</v>
      </c>
      <c r="BB331" s="252">
        <f t="shared" si="2034"/>
        <v>0</v>
      </c>
      <c r="BC331" s="324">
        <f t="shared" si="2964"/>
        <v>23.07692307692308</v>
      </c>
      <c r="BD331" s="304">
        <f t="shared" ref="BD331:BE332" si="3251">IF(BA331&lt;=0,2,0)+IF(BA331&gt;0,BA331+1,0)*2+IF(BA331&gt;12,BA331-12,0)*2+IF(BA331&gt;13,BA331-13,0)*2+IF(BA331&gt;14,BA331-14,0)*2+IF(BA331&gt;15,BA331-15,0)*2+IF(BA331&gt;16,BA331-16,0)*2+IF(BA331&gt;17,BA331-17,0)*2+IF(BA331&gt;18,BA331-18,0)*2+IF(BA331&gt;19,BA331-19,0)*2+IF(BA331&gt;20,BA331-20,0)*2</f>
        <v>175.5384615384616</v>
      </c>
      <c r="BE331" s="335">
        <f t="shared" si="3251"/>
        <v>2</v>
      </c>
      <c r="BF331" s="243">
        <f t="shared" si="2966"/>
        <v>173.5384615384616</v>
      </c>
      <c r="BG331" s="218">
        <f t="shared" si="2967"/>
        <v>0</v>
      </c>
      <c r="BH331" s="248"/>
      <c r="BI331" s="303" t="s">
        <v>483</v>
      </c>
      <c r="BJ331" s="304" t="s">
        <v>81</v>
      </c>
      <c r="BK331" s="304" t="s">
        <v>132</v>
      </c>
      <c r="BL331" s="120"/>
      <c r="BM331" s="117">
        <f>Konvention_1slave-KLslave_KL</f>
        <v>11</v>
      </c>
      <c r="BN331" s="117"/>
      <c r="BO331" s="117">
        <f t="shared" ref="BO331" si="3252">Konvention_1slave-CHslave</f>
        <v>12</v>
      </c>
      <c r="BP331" s="117"/>
      <c r="BQ331" s="117">
        <f>Konvention_1slave-GEslave</f>
        <v>12</v>
      </c>
      <c r="BR331" s="117"/>
      <c r="BS331" s="121"/>
      <c r="BT331" s="223">
        <f>(BL331+BM331+BN331+BO331+BP331+BQ331+BR331+BS331)/3</f>
        <v>11.666666666666666</v>
      </c>
      <c r="BU331" s="223">
        <f t="shared" si="2968"/>
        <v>23.333333333333332</v>
      </c>
      <c r="BV331" s="224">
        <f t="shared" si="2969"/>
        <v>35</v>
      </c>
      <c r="BW331" s="237">
        <f t="shared" ref="BW329:BW348" si="3253">BL331*POWER(KLslave_KL,SIGN(BM331))*POWER(INslave,SIGN(BN331))*POWER(CHslave,SIGN(BO331))*POWER(FFslave,SIGN(BP331))*POWER(GEslave,SIGN(BQ331))*POWER(KOslave,SIGN(BR331))*POWER(KKslave,SIGN(BS331))+BM331*POWER(MUslave,SIGN(BL331))*POWER(INslave,SIGN(BN331))*POWER(CHslave,SIGN(BO331))*POWER(FFslave,SIGN(BP331))*POWER(GEslave,SIGN(BQ331))*POWER(KOslave,SIGN(BR331))*POWER(KKslave,SIGN(BS331))+BN331*POWER(MUslave,SIGN(BL331))*POWER(KLslave_KL,SIGN(BM331))*POWER(CHslave,SIGN(BO331))*POWER(FFslave,SIGN(BP331))*POWER(GEslave,SIGN(BQ331))*POWER(KOslave,SIGN(BR331))*POWER(KKslave,SIGN(BS331))+BO331*POWER(MUslave,SIGN(BL331))*POWER(KLslave_KL,SIGN(BM331))*POWER(INslave,SIGN(BN331))*POWER(FFslave,SIGN(BP331))*POWER(GEslave,SIGN(BQ331))*POWER(KOslave,SIGN(BR331))*POWER(KKslave,SIGN(BS331))+BP331*POWER(MUslave,SIGN(BL331))*POWER(KLslave_KL,SIGN(BM331))*POWER(INslave,SIGN(BN331))*POWER(CHslave,SIGN(BO331))*POWER(GEslave,SIGN(BQ331))*POWER(KOslave,SIGN(BR331))*POWER(KKslave,SIGN(BS331))+BQ331*POWER(MUslave,SIGN(BL331))*POWER(KLslave_KL,SIGN(BM331))*POWER(INslave,SIGN(BN331))*POWER(CHslave,SIGN(BO331))*POWER(FFslave,SIGN(BP331))*POWER(KOslave,SIGN(BR331))*POWER(KKslave,SIGN(BS331))+BR331*POWER(MUslave,SIGN(BL331))*POWER(KLslave_KL,SIGN(BM331))*POWER(INslave,SIGN(BN331))*POWER(CHslave,SIGN(BO331))*POWER(FFslave,SIGN(BP331))*POWER(GEslave,SIGN(BQ331))*POWER(KKslave,SIGN(BS331))+BS331*POWER(MUslave,SIGN(BL331))*POWER(KLslave_KL,SIGN(BM331))*POWER(INslave,SIGN(BN331))*POWER(CHslave,SIGN(BO331))*POWER(FFslave,SIGN(BP331))*POWER(GEslave,SIGN(BQ331))*POWER(KOslave,SIGN(BR331))</f>
        <v>2432</v>
      </c>
      <c r="BX331" s="117">
        <f>BM331*BO331*GEslave+BM331*CHslave*BQ331+KLslave_KL*BO331*BQ331</f>
        <v>3408</v>
      </c>
      <c r="BY331" s="224">
        <f t="shared" ref="BY331:BY340" si="3254">IFERROR(BL331^SIGN(BL331),1)*IFERROR(BM331^SIGN(BM331),1)*IFERROR(BN331^SIGN(BN331),1)*IFERROR(BO331^SIGN(BO331),1)*IFERROR(BP331^SIGN(BP331),1)*IFERROR(BQ331^SIGN(BQ331),1)*IFERROR(BR331^SIGN(BR331),1)*IFERROR(BS331^SIGN(BS331),1)</f>
        <v>1584</v>
      </c>
      <c r="BZ331" s="224">
        <f t="shared" si="2970"/>
        <v>7424</v>
      </c>
      <c r="CA331" s="222">
        <f t="shared" si="2971"/>
        <v>3.8218390804597702</v>
      </c>
      <c r="CB331" s="223">
        <f t="shared" si="2972"/>
        <v>10.711206896551724</v>
      </c>
      <c r="CC331" s="243">
        <f t="shared" si="2973"/>
        <v>7.4676724137931032</v>
      </c>
      <c r="CD331" s="243">
        <f t="shared" si="2974"/>
        <v>22.000718390804597</v>
      </c>
      <c r="CE331" s="252">
        <f t="shared" si="2925"/>
        <v>0</v>
      </c>
      <c r="CF331" s="324">
        <f t="shared" si="2975"/>
        <v>22.000718390804597</v>
      </c>
      <c r="CG331" s="304">
        <f t="shared" ref="CG331:CH332" si="3255">IF(CD331&lt;=0,2,0)+IF(CD331&gt;0,CD331+1,0)*2+IF(CD331&gt;12,CD331-12,0)*2+IF(CD331&gt;13,CD331-13,0)*2+IF(CD331&gt;14,CD331-14,0)*2+IF(CD331&gt;15,CD331-15,0)*2+IF(CD331&gt;16,CD331-16,0)*2+IF(CD331&gt;17,CD331-17,0)*2+IF(CD331&gt;18,CD331-18,0)*2+IF(CD331&gt;19,CD331-19,0)*2+IF(CD331&gt;20,CD331-20,0)*2</f>
        <v>154.01436781609189</v>
      </c>
      <c r="CH331" s="335">
        <f t="shared" si="3255"/>
        <v>2</v>
      </c>
      <c r="CI331" s="243">
        <f t="shared" si="2977"/>
        <v>152.01436781609189</v>
      </c>
      <c r="CJ331" s="218">
        <f t="shared" si="2978"/>
        <v>0</v>
      </c>
      <c r="CK331" s="248"/>
      <c r="CL331" s="303" t="s">
        <v>483</v>
      </c>
      <c r="CM331" s="304" t="s">
        <v>81</v>
      </c>
      <c r="CN331" s="304" t="s">
        <v>132</v>
      </c>
      <c r="CO331" s="120"/>
      <c r="CP331" s="117">
        <f>Konvention_1slave-KLslave</f>
        <v>12</v>
      </c>
      <c r="CQ331" s="117"/>
      <c r="CR331" s="117">
        <f t="shared" ref="CR331" si="3256">Konvention_1slave-CHslave</f>
        <v>12</v>
      </c>
      <c r="CS331" s="117"/>
      <c r="CT331" s="117">
        <f>Konvention_1slave-GEslave</f>
        <v>12</v>
      </c>
      <c r="CU331" s="117"/>
      <c r="CV331" s="121"/>
      <c r="CW331" s="223">
        <f>(CO331+CP331+CQ331+CR331+CS331+CT331+CU331+CV331)/3</f>
        <v>12</v>
      </c>
      <c r="CX331" s="223">
        <f t="shared" si="2979"/>
        <v>24</v>
      </c>
      <c r="CY331" s="224">
        <f t="shared" si="2980"/>
        <v>36</v>
      </c>
      <c r="CZ331" s="237">
        <f t="shared" ref="CZ329:CZ348" si="3257">CO331*POWER(KLslave,SIGN(CP331))*POWER(INslave_IN,SIGN(CQ331))*POWER(CHslave,SIGN(CR331))*POWER(FFslave,SIGN(CS331))*POWER(GEslave,SIGN(CT331))*POWER(KOslave,SIGN(CU331))*POWER(KKslave,SIGN(CV331))+CP331*POWER(MUslave,SIGN(CO331))*POWER(INslave_IN,SIGN(CQ331))*POWER(CHslave,SIGN(CR331))*POWER(FFslave,SIGN(CS331))*POWER(GEslave,SIGN(CT331))*POWER(KOslave,SIGN(CU331))*POWER(KKslave,SIGN(CV331))+CQ331*POWER(MUslave,SIGN(CO331))*POWER(KLslave,SIGN(CP331))*POWER(CHslave,SIGN(CR331))*POWER(FFslave,SIGN(CS331))*POWER(GEslave,SIGN(CT331))*POWER(KOslave,SIGN(CU331))*POWER(KKslave,SIGN(CV331))+CR331*POWER(MUslave,SIGN(CO331))*POWER(KLslave,SIGN(CP331))*POWER(INslave_IN,SIGN(CQ331))*POWER(FFslave,SIGN(CS331))*POWER(GEslave,SIGN(CT331))*POWER(KOslave,SIGN(CU331))*POWER(KKslave,SIGN(CV331))+CS331*POWER(MUslave,SIGN(CO331))*POWER(KLslave,SIGN(CP331))*POWER(INslave_IN,SIGN(CQ331))*POWER(CHslave,SIGN(CR331))*POWER(GEslave,SIGN(CT331))*POWER(KOslave,SIGN(CU331))*POWER(KKslave,SIGN(CV331))+CT331*POWER(MUslave,SIGN(CO331))*POWER(KLslave,SIGN(CP331))*POWER(INslave_IN,SIGN(CQ331))*POWER(CHslave,SIGN(CR331))*POWER(FFslave,SIGN(CS331))*POWER(KOslave,SIGN(CU331))*POWER(KKslave,SIGN(CV331))+CU331*POWER(MUslave,SIGN(CO331))*POWER(KLslave,SIGN(CP331))*POWER(INslave_IN,SIGN(CQ331))*POWER(CHslave,SIGN(CR331))*POWER(FFslave,SIGN(CS331))*POWER(GEslave,SIGN(CT331))*POWER(KKslave,SIGN(CV331))+CV331*POWER(MUslave,SIGN(CO331))*POWER(KLslave,SIGN(CP331))*POWER(INslave_IN,SIGN(CQ331))*POWER(CHslave,SIGN(CR331))*POWER(FFslave,SIGN(CS331))*POWER(GEslave,SIGN(CT331))*POWER(KOslave,SIGN(CU331))</f>
        <v>2304</v>
      </c>
      <c r="DA331" s="117">
        <f>CP331*CR331*GEslave+CP331*CHslave*CT331+KLslave*CR331*CT331</f>
        <v>3456</v>
      </c>
      <c r="DB331" s="224">
        <f t="shared" ref="DB331:DB340" si="3258">IFERROR(CO331^SIGN(CO331),1)*IFERROR(CP331^SIGN(CP331),1)*IFERROR(CQ331^SIGN(CQ331),1)*IFERROR(CR331^SIGN(CR331),1)*IFERROR(CS331^SIGN(CS331),1)*IFERROR(CT331^SIGN(CT331),1)*IFERROR(CU331^SIGN(CU331),1)*IFERROR(CV331^SIGN(CV331),1)</f>
        <v>1728</v>
      </c>
      <c r="DC331" s="224">
        <f t="shared" si="2981"/>
        <v>7488</v>
      </c>
      <c r="DD331" s="222">
        <f t="shared" si="2982"/>
        <v>3.6923076923076925</v>
      </c>
      <c r="DE331" s="223">
        <f t="shared" si="2983"/>
        <v>11.076923076923077</v>
      </c>
      <c r="DF331" s="243">
        <f t="shared" si="2984"/>
        <v>8.3076923076923084</v>
      </c>
      <c r="DG331" s="243">
        <f t="shared" si="2985"/>
        <v>23.07692307692308</v>
      </c>
      <c r="DH331" s="252">
        <f t="shared" si="2928"/>
        <v>0</v>
      </c>
      <c r="DI331" s="324">
        <f t="shared" si="2986"/>
        <v>23.07692307692308</v>
      </c>
      <c r="DJ331" s="304">
        <f t="shared" ref="DJ331:DK332" si="3259">IF(DG331&lt;=0,2,0)+IF(DG331&gt;0,DG331+1,0)*2+IF(DG331&gt;12,DG331-12,0)*2+IF(DG331&gt;13,DG331-13,0)*2+IF(DG331&gt;14,DG331-14,0)*2+IF(DG331&gt;15,DG331-15,0)*2+IF(DG331&gt;16,DG331-16,0)*2+IF(DG331&gt;17,DG331-17,0)*2+IF(DG331&gt;18,DG331-18,0)*2+IF(DG331&gt;19,DG331-19,0)*2+IF(DG331&gt;20,DG331-20,0)*2</f>
        <v>175.5384615384616</v>
      </c>
      <c r="DK331" s="335">
        <f t="shared" si="3259"/>
        <v>2</v>
      </c>
      <c r="DL331" s="243">
        <f t="shared" si="2988"/>
        <v>173.5384615384616</v>
      </c>
      <c r="DM331" s="218">
        <f t="shared" si="2989"/>
        <v>0</v>
      </c>
      <c r="DN331" s="248"/>
      <c r="DO331" s="303" t="s">
        <v>483</v>
      </c>
      <c r="DP331" s="304" t="s">
        <v>81</v>
      </c>
      <c r="DQ331" s="304" t="s">
        <v>132</v>
      </c>
      <c r="DR331" s="120"/>
      <c r="DS331" s="117">
        <f>Konvention_1slave-KLslave</f>
        <v>12</v>
      </c>
      <c r="DT331" s="117"/>
      <c r="DU331" s="117">
        <f t="shared" ref="DU331" si="3260">Konvention_1slave-CHslave_CH</f>
        <v>11</v>
      </c>
      <c r="DV331" s="117"/>
      <c r="DW331" s="117">
        <f>Konvention_1slave-GEslave</f>
        <v>12</v>
      </c>
      <c r="DX331" s="117"/>
      <c r="DY331" s="121"/>
      <c r="DZ331" s="223">
        <f>(DR331+DS331+DT331+DU331+DV331+DW331+DX331+DY331)/3</f>
        <v>11.666666666666666</v>
      </c>
      <c r="EA331" s="223">
        <f t="shared" si="2990"/>
        <v>23.333333333333332</v>
      </c>
      <c r="EB331" s="224">
        <f t="shared" si="2991"/>
        <v>35</v>
      </c>
      <c r="EC331" s="237">
        <f t="shared" ref="EC329:EC348" si="3261">DR331*POWER(KLslave,SIGN(DS331))*POWER(INslave,SIGN(DT331))*POWER(CHslave_CH,SIGN(DU331))*POWER(FFslave,SIGN(DV331))*POWER(GEslave,SIGN(DW331))*POWER(KOslave,SIGN(DX331))*POWER(KKslave,SIGN(DY331))+DS331*POWER(MUslave,SIGN(DR331))*POWER(INslave,SIGN(DT331))*POWER(CHslave_CH,SIGN(DU331))*POWER(FFslave,SIGN(DV331))*POWER(GEslave,SIGN(DW331))*POWER(KOslave,SIGN(DX331))*POWER(KKslave,SIGN(DY331))+DT331*POWER(MUslave,SIGN(DR331))*POWER(KLslave,SIGN(DS331))*POWER(CHslave_CH,SIGN(DU331))*POWER(FFslave,SIGN(DV331))*POWER(GEslave,SIGN(DW331))*POWER(KOslave,SIGN(DX331))*POWER(KKslave,SIGN(DY331))+DU331*POWER(MUslave,SIGN(DR331))*POWER(KLslave,SIGN(DS331))*POWER(INslave,SIGN(DT331))*POWER(FFslave,SIGN(DV331))*POWER(GEslave,SIGN(DW331))*POWER(KOslave,SIGN(DX331))*POWER(KKslave,SIGN(DY331))+DV331*POWER(MUslave,SIGN(DR331))*POWER(KLslave,SIGN(DS331))*POWER(INslave,SIGN(DT331))*POWER(CHslave_CH,SIGN(DU331))*POWER(GEslave,SIGN(DW331))*POWER(KOslave,SIGN(DX331))*POWER(KKslave,SIGN(DY331))+DW331*POWER(MUslave,SIGN(DR331))*POWER(KLslave,SIGN(DS331))*POWER(INslave,SIGN(DT331))*POWER(CHslave_CH,SIGN(DU331))*POWER(FFslave,SIGN(DV331))*POWER(KOslave,SIGN(DX331))*POWER(KKslave,SIGN(DY331))+DX331*POWER(MUslave,SIGN(DR331))*POWER(KLslave,SIGN(DS331))*POWER(INslave,SIGN(DT331))*POWER(CHslave_CH,SIGN(DU331))*POWER(FFslave,SIGN(DV331))*POWER(GEslave,SIGN(DW331))*POWER(KKslave,SIGN(DY331))+DY331*POWER(MUslave,SIGN(DR331))*POWER(KLslave,SIGN(DS331))*POWER(INslave,SIGN(DT331))*POWER(CHslave_CH,SIGN(DU331))*POWER(FFslave,SIGN(DV331))*POWER(GEslave,SIGN(DW331))*POWER(KOslave,SIGN(DX331))</f>
        <v>2432</v>
      </c>
      <c r="ED331" s="117">
        <f>DS331*DU331*GEslave+DS331*CHslave_CH*DW331+KLslave*DU331*DW331</f>
        <v>3408</v>
      </c>
      <c r="EE331" s="224">
        <f t="shared" ref="EE331:EE340" si="3262">IFERROR(DR331^SIGN(DR331),1)*IFERROR(DS331^SIGN(DS331),1)*IFERROR(DT331^SIGN(DT331),1)*IFERROR(DU331^SIGN(DU331),1)*IFERROR(DV331^SIGN(DV331),1)*IFERROR(DW331^SIGN(DW331),1)*IFERROR(DX331^SIGN(DX331),1)*IFERROR(DY331^SIGN(DY331),1)</f>
        <v>1584</v>
      </c>
      <c r="EF331" s="224">
        <f t="shared" si="2992"/>
        <v>7424</v>
      </c>
      <c r="EG331" s="222">
        <f t="shared" si="2993"/>
        <v>3.8218390804597702</v>
      </c>
      <c r="EH331" s="223">
        <f t="shared" si="2994"/>
        <v>10.711206896551724</v>
      </c>
      <c r="EI331" s="243">
        <f t="shared" si="2995"/>
        <v>7.4676724137931032</v>
      </c>
      <c r="EJ331" s="243">
        <f t="shared" si="2996"/>
        <v>22.000718390804597</v>
      </c>
      <c r="EK331" s="252">
        <f t="shared" si="2931"/>
        <v>0</v>
      </c>
      <c r="EL331" s="324">
        <f t="shared" si="2997"/>
        <v>22.000718390804597</v>
      </c>
      <c r="EM331" s="304">
        <f t="shared" ref="EM331:EN332" si="3263">IF(EJ331&lt;=0,2,0)+IF(EJ331&gt;0,EJ331+1,0)*2+IF(EJ331&gt;12,EJ331-12,0)*2+IF(EJ331&gt;13,EJ331-13,0)*2+IF(EJ331&gt;14,EJ331-14,0)*2+IF(EJ331&gt;15,EJ331-15,0)*2+IF(EJ331&gt;16,EJ331-16,0)*2+IF(EJ331&gt;17,EJ331-17,0)*2+IF(EJ331&gt;18,EJ331-18,0)*2+IF(EJ331&gt;19,EJ331-19,0)*2+IF(EJ331&gt;20,EJ331-20,0)*2</f>
        <v>154.01436781609189</v>
      </c>
      <c r="EN331" s="335">
        <f t="shared" si="3263"/>
        <v>2</v>
      </c>
      <c r="EO331" s="243">
        <f t="shared" si="2999"/>
        <v>152.01436781609189</v>
      </c>
      <c r="EP331" s="218">
        <f t="shared" si="3000"/>
        <v>0</v>
      </c>
      <c r="EQ331" s="248"/>
      <c r="ER331" s="303" t="s">
        <v>483</v>
      </c>
      <c r="ES331" s="304" t="s">
        <v>81</v>
      </c>
      <c r="ET331" s="304" t="s">
        <v>132</v>
      </c>
      <c r="EU331" s="120"/>
      <c r="EV331" s="117">
        <f>Konvention_1slave-KLslave</f>
        <v>12</v>
      </c>
      <c r="EW331" s="117"/>
      <c r="EX331" s="117">
        <f t="shared" ref="EX331" si="3264">Konvention_1slave-CHslave</f>
        <v>12</v>
      </c>
      <c r="EY331" s="117"/>
      <c r="EZ331" s="117">
        <f>Konvention_1slave-GEslave</f>
        <v>12</v>
      </c>
      <c r="FA331" s="117"/>
      <c r="FB331" s="121"/>
      <c r="FC331" s="223">
        <f>(EU331+EV331+EW331+EX331+EY331+EZ331+FA331+FB331)/3</f>
        <v>12</v>
      </c>
      <c r="FD331" s="223">
        <f t="shared" si="3001"/>
        <v>24</v>
      </c>
      <c r="FE331" s="224">
        <f t="shared" si="3002"/>
        <v>36</v>
      </c>
      <c r="FF331" s="237">
        <f t="shared" ref="FF329:FF348" si="3265">EU331*POWER(KLslave,SIGN(EV331))*POWER(INslave,SIGN(EW331))*POWER(CHslave,SIGN(EX331))*POWER(FFslave_FF,SIGN(EY331))*POWER(GEslave,SIGN(EZ331))*POWER(KOslave,SIGN(FA331))*POWER(KKslave,SIGN(FB331))+EV331*POWER(MUslave,SIGN(EU331))*POWER(INslave,SIGN(EW331))*POWER(CHslave,SIGN(EX331))*POWER(FFslave_FF,SIGN(EY331))*POWER(GEslave,SIGN(EZ331))*POWER(KOslave,SIGN(FA331))*POWER(KKslave,SIGN(FB331))+EW331*POWER(MUslave,SIGN(EU331))*POWER(KLslave,SIGN(EV331))*POWER(CHslave,SIGN(EX331))*POWER(FFslave_FF,SIGN(EY331))*POWER(GEslave,SIGN(EZ331))*POWER(KOslave,SIGN(FA331))*POWER(KKslave,SIGN(FB331))+EX331*POWER(MUslave,SIGN(EU331))*POWER(KLslave,SIGN(EV331))*POWER(INslave,SIGN(EW331))*POWER(FFslave_FF,SIGN(EY331))*POWER(GEslave,SIGN(EZ331))*POWER(KOslave,SIGN(FA331))*POWER(KKslave,SIGN(FB331))+EY331*POWER(MUslave,SIGN(EU331))*POWER(KLslave,SIGN(EV331))*POWER(INslave,SIGN(EW331))*POWER(CHslave,SIGN(EX331))*POWER(GEslave,SIGN(EZ331))*POWER(KOslave,SIGN(FA331))*POWER(KKslave,SIGN(FB331))+EZ331*POWER(MUslave,SIGN(EU331))*POWER(KLslave,SIGN(EV331))*POWER(INslave,SIGN(EW331))*POWER(CHslave,SIGN(EX331))*POWER(FFslave_FF,SIGN(EY331))*POWER(KOslave,SIGN(FA331))*POWER(KKslave,SIGN(FB331))+FA331*POWER(MUslave,SIGN(EU331))*POWER(KLslave,SIGN(EV331))*POWER(INslave,SIGN(EW331))*POWER(CHslave,SIGN(EX331))*POWER(FFslave_FF,SIGN(EY331))*POWER(GEslave,SIGN(EZ331))*POWER(KKslave,SIGN(FB331))+FB331*POWER(MUslave,SIGN(EU331))*POWER(KLslave,SIGN(EV331))*POWER(INslave,SIGN(EW331))*POWER(CHslave,SIGN(EX331))*POWER(FFslave_FF,SIGN(EY331))*POWER(GEslave,SIGN(EZ331))*POWER(KOslave,SIGN(FA331))</f>
        <v>2304</v>
      </c>
      <c r="FG331" s="117">
        <f>EV331*EX331*GEslave+EV331*CHslave*EZ331+KLslave*EX331*EZ331</f>
        <v>3456</v>
      </c>
      <c r="FH331" s="224">
        <f t="shared" ref="FH331:FH340" si="3266">IFERROR(EU331^SIGN(EU331),1)*IFERROR(EV331^SIGN(EV331),1)*IFERROR(EW331^SIGN(EW331),1)*IFERROR(EX331^SIGN(EX331),1)*IFERROR(EY331^SIGN(EY331),1)*IFERROR(EZ331^SIGN(EZ331),1)*IFERROR(FA331^SIGN(FA331),1)*IFERROR(FB331^SIGN(FB331),1)</f>
        <v>1728</v>
      </c>
      <c r="FI331" s="224">
        <f t="shared" si="3003"/>
        <v>7488</v>
      </c>
      <c r="FJ331" s="222">
        <f t="shared" si="3004"/>
        <v>3.6923076923076925</v>
      </c>
      <c r="FK331" s="223">
        <f t="shared" si="3005"/>
        <v>11.076923076923077</v>
      </c>
      <c r="FL331" s="243">
        <f t="shared" si="3006"/>
        <v>8.3076923076923084</v>
      </c>
      <c r="FM331" s="243">
        <f t="shared" si="3007"/>
        <v>23.07692307692308</v>
      </c>
      <c r="FN331" s="252">
        <f t="shared" si="2934"/>
        <v>0</v>
      </c>
      <c r="FO331" s="324">
        <f t="shared" si="3008"/>
        <v>23.07692307692308</v>
      </c>
      <c r="FP331" s="304">
        <f t="shared" ref="FP331:FQ332" si="3267">IF(FM331&lt;=0,2,0)+IF(FM331&gt;0,FM331+1,0)*2+IF(FM331&gt;12,FM331-12,0)*2+IF(FM331&gt;13,FM331-13,0)*2+IF(FM331&gt;14,FM331-14,0)*2+IF(FM331&gt;15,FM331-15,0)*2+IF(FM331&gt;16,FM331-16,0)*2+IF(FM331&gt;17,FM331-17,0)*2+IF(FM331&gt;18,FM331-18,0)*2+IF(FM331&gt;19,FM331-19,0)*2+IF(FM331&gt;20,FM331-20,0)*2</f>
        <v>175.5384615384616</v>
      </c>
      <c r="FQ331" s="335">
        <f t="shared" si="3267"/>
        <v>2</v>
      </c>
      <c r="FR331" s="243">
        <f t="shared" si="3010"/>
        <v>173.5384615384616</v>
      </c>
      <c r="FS331" s="218">
        <f t="shared" si="3011"/>
        <v>0</v>
      </c>
      <c r="FT331" s="248"/>
      <c r="FU331" s="303" t="s">
        <v>483</v>
      </c>
      <c r="FV331" s="304" t="s">
        <v>81</v>
      </c>
      <c r="FW331" s="304" t="s">
        <v>132</v>
      </c>
      <c r="FX331" s="120"/>
      <c r="FY331" s="117">
        <f>Konvention_1slave-KLslave</f>
        <v>12</v>
      </c>
      <c r="FZ331" s="117"/>
      <c r="GA331" s="117">
        <f t="shared" ref="GA331" si="3268">Konvention_1slave-CHslave</f>
        <v>12</v>
      </c>
      <c r="GB331" s="117"/>
      <c r="GC331" s="117">
        <f>Konvention_1slave-GEslave_GE</f>
        <v>11</v>
      </c>
      <c r="GD331" s="117"/>
      <c r="GE331" s="121"/>
      <c r="GF331" s="223">
        <f>(FX331+FY331+FZ331+GA331+GB331+GC331+GD331+GE331)/3</f>
        <v>11.666666666666666</v>
      </c>
      <c r="GG331" s="223">
        <f t="shared" si="3012"/>
        <v>23.333333333333332</v>
      </c>
      <c r="GH331" s="224">
        <f t="shared" si="3013"/>
        <v>35</v>
      </c>
      <c r="GI331" s="237">
        <f t="shared" ref="GI329:GI348" si="3269">FX331*POWER(KLslave,SIGN(FY331))*POWER(INslave,SIGN(FZ331))*POWER(CHslave,SIGN(GA331))*POWER(FFslave,SIGN(GB331))*POWER(GEslave_GE,SIGN(GC331))*POWER(KOslave,SIGN(GD331))*POWER(KKslave,SIGN(GE331))+FY331*POWER(MUslave,SIGN(FX331))*POWER(INslave,SIGN(FZ331))*POWER(CHslave,SIGN(GA331))*POWER(FFslave,SIGN(GB331))*POWER(GEslave_GE,SIGN(GC331))*POWER(KOslave,SIGN(GD331))*POWER(KKslave,SIGN(GE331))+FZ331*POWER(MUslave,SIGN(FX331))*POWER(KLslave,SIGN(FY331))*POWER(CHslave,SIGN(GA331))*POWER(FFslave,SIGN(GB331))*POWER(GEslave_GE,SIGN(GC331))*POWER(KOslave,SIGN(GD331))*POWER(KKslave,SIGN(GE331))+GA331*POWER(MUslave,SIGN(FX331))*POWER(KLslave,SIGN(FY331))*POWER(INslave,SIGN(FZ331))*POWER(FFslave,SIGN(GB331))*POWER(GEslave_GE,SIGN(GC331))*POWER(KOslave,SIGN(GD331))*POWER(KKslave,SIGN(GE331))+GB331*POWER(MUslave,SIGN(FX331))*POWER(KLslave,SIGN(FY331))*POWER(INslave,SIGN(FZ331))*POWER(CHslave,SIGN(GA331))*POWER(GEslave_GE,SIGN(GC331))*POWER(KOslave,SIGN(GD331))*POWER(KKslave,SIGN(GE331))+GC331*POWER(MUslave,SIGN(FX331))*POWER(KLslave,SIGN(FY331))*POWER(INslave,SIGN(FZ331))*POWER(CHslave,SIGN(GA331))*POWER(FFslave,SIGN(GB331))*POWER(KOslave,SIGN(GD331))*POWER(KKslave,SIGN(GE331))+GD331*POWER(MUslave,SIGN(FX331))*POWER(KLslave,SIGN(FY331))*POWER(INslave,SIGN(FZ331))*POWER(CHslave,SIGN(GA331))*POWER(FFslave,SIGN(GB331))*POWER(GEslave_GE,SIGN(GC331))*POWER(KKslave,SIGN(GE331))+GE331*POWER(MUslave,SIGN(FX331))*POWER(KLslave,SIGN(FY331))*POWER(INslave,SIGN(FZ331))*POWER(CHslave,SIGN(GA331))*POWER(FFslave,SIGN(GB331))*POWER(GEslave_GE,SIGN(GC331))*POWER(KOslave,SIGN(GD331))</f>
        <v>2432</v>
      </c>
      <c r="GJ331" s="117">
        <f>FY331*GA331*GEslave_GE+FY331*CHslave*GC331+KLslave*GA331*GC331</f>
        <v>3408</v>
      </c>
      <c r="GK331" s="224">
        <f t="shared" ref="GK331:GK340" si="3270">IFERROR(FX331^SIGN(FX331),1)*IFERROR(FY331^SIGN(FY331),1)*IFERROR(FZ331^SIGN(FZ331),1)*IFERROR(GA331^SIGN(GA331),1)*IFERROR(GB331^SIGN(GB331),1)*IFERROR(GC331^SIGN(GC331),1)*IFERROR(GD331^SIGN(GD331),1)*IFERROR(GE331^SIGN(GE331),1)</f>
        <v>1584</v>
      </c>
      <c r="GL331" s="224">
        <f t="shared" si="3014"/>
        <v>7424</v>
      </c>
      <c r="GM331" s="222">
        <f t="shared" si="3015"/>
        <v>3.8218390804597702</v>
      </c>
      <c r="GN331" s="223">
        <f t="shared" si="3016"/>
        <v>10.711206896551724</v>
      </c>
      <c r="GO331" s="243">
        <f t="shared" si="3017"/>
        <v>7.4676724137931032</v>
      </c>
      <c r="GP331" s="243">
        <f t="shared" si="3018"/>
        <v>22.000718390804597</v>
      </c>
      <c r="GQ331" s="252">
        <f t="shared" si="2937"/>
        <v>0</v>
      </c>
      <c r="GR331" s="324">
        <f t="shared" si="3019"/>
        <v>22.000718390804597</v>
      </c>
      <c r="GS331" s="304">
        <f t="shared" ref="GS331:GT332" si="3271">IF(GP331&lt;=0,2,0)+IF(GP331&gt;0,GP331+1,0)*2+IF(GP331&gt;12,GP331-12,0)*2+IF(GP331&gt;13,GP331-13,0)*2+IF(GP331&gt;14,GP331-14,0)*2+IF(GP331&gt;15,GP331-15,0)*2+IF(GP331&gt;16,GP331-16,0)*2+IF(GP331&gt;17,GP331-17,0)*2+IF(GP331&gt;18,GP331-18,0)*2+IF(GP331&gt;19,GP331-19,0)*2+IF(GP331&gt;20,GP331-20,0)*2</f>
        <v>154.01436781609189</v>
      </c>
      <c r="GT331" s="335">
        <f t="shared" si="3271"/>
        <v>2</v>
      </c>
      <c r="GU331" s="243">
        <f t="shared" si="3021"/>
        <v>152.01436781609189</v>
      </c>
      <c r="GV331" s="218">
        <f t="shared" si="3022"/>
        <v>0</v>
      </c>
      <c r="GW331" s="248"/>
      <c r="GX331" s="303" t="s">
        <v>483</v>
      </c>
      <c r="GY331" s="304" t="s">
        <v>81</v>
      </c>
      <c r="GZ331" s="304" t="s">
        <v>132</v>
      </c>
      <c r="HA331" s="120"/>
      <c r="HB331" s="117">
        <f>Konvention_1slave-KLslave</f>
        <v>12</v>
      </c>
      <c r="HC331" s="117"/>
      <c r="HD331" s="117">
        <f t="shared" ref="HD331" si="3272">Konvention_1slave-CHslave</f>
        <v>12</v>
      </c>
      <c r="HE331" s="117"/>
      <c r="HF331" s="117">
        <f>Konvention_1slave-GEslave</f>
        <v>12</v>
      </c>
      <c r="HG331" s="117"/>
      <c r="HH331" s="121"/>
      <c r="HI331" s="223">
        <f>(HA331+HB331+HC331+HD331+HE331+HF331+HG331+HH331)/3</f>
        <v>12</v>
      </c>
      <c r="HJ331" s="223">
        <f t="shared" si="3023"/>
        <v>24</v>
      </c>
      <c r="HK331" s="224">
        <f t="shared" si="3024"/>
        <v>36</v>
      </c>
      <c r="HL331" s="237">
        <f t="shared" ref="HL329:HL348" si="3273">HA331*POWER(KLslave,SIGN(HB331))*POWER(INslave,SIGN(HC331))*POWER(CHslave,SIGN(HD331))*POWER(FFslave,SIGN(HE331))*POWER(GEslave,SIGN(HF331))*POWER(KOslave_KO,SIGN(HG331))*POWER(KKslave,SIGN(HH331))+HB331*POWER(MUslave,SIGN(HA331))*POWER(INslave,SIGN(HC331))*POWER(CHslave,SIGN(HD331))*POWER(FFslave,SIGN(HE331))*POWER(GEslave,SIGN(HF331))*POWER(KOslave_KO,SIGN(HG331))*POWER(KKslave,SIGN(HH331))+HC331*POWER(MUslave,SIGN(HA331))*POWER(KLslave,SIGN(HB331))*POWER(CHslave,SIGN(HD331))*POWER(FFslave,SIGN(HE331))*POWER(GEslave,SIGN(HF331))*POWER(KOslave_KO,SIGN(HG331))*POWER(KKslave,SIGN(HH331))+HD331*POWER(MUslave,SIGN(HA331))*POWER(KLslave,SIGN(HB331))*POWER(INslave,SIGN(HC331))*POWER(FFslave,SIGN(HE331))*POWER(GEslave,SIGN(HF331))*POWER(KOslave_KO,SIGN(HG331))*POWER(KKslave,SIGN(HH331))+HE331*POWER(MUslave,SIGN(HA331))*POWER(KLslave,SIGN(HB331))*POWER(INslave,SIGN(HC331))*POWER(CHslave,SIGN(HD331))*POWER(GEslave,SIGN(HF331))*POWER(KOslave_KO,SIGN(HG331))*POWER(KKslave,SIGN(HH331))+HF331*POWER(MUslave,SIGN(HA331))*POWER(KLslave,SIGN(HB331))*POWER(INslave,SIGN(HC331))*POWER(CHslave,SIGN(HD331))*POWER(FFslave,SIGN(HE331))*POWER(KOslave_KO,SIGN(HG331))*POWER(KKslave,SIGN(HH331))+HG331*POWER(MUslave,SIGN(HA331))*POWER(KLslave,SIGN(HB331))*POWER(INslave,SIGN(HC331))*POWER(CHslave,SIGN(HD331))*POWER(FFslave,SIGN(HE331))*POWER(GEslave,SIGN(HF331))*POWER(KKslave,SIGN(HH331))+HH331*POWER(MUslave,SIGN(HA331))*POWER(KLslave,SIGN(HB331))*POWER(INslave,SIGN(HC331))*POWER(CHslave,SIGN(HD331))*POWER(FFslave,SIGN(HE331))*POWER(GEslave,SIGN(HF331))*POWER(KOslave_KO,SIGN(HG331))</f>
        <v>2304</v>
      </c>
      <c r="HM331" s="117">
        <f>HB331*HD331*GEslave+HB331*CHslave*HF331+KLslave*HD331*HF331</f>
        <v>3456</v>
      </c>
      <c r="HN331" s="224">
        <f t="shared" ref="HN331:HN340" si="3274">IFERROR(HA331^SIGN(HA331),1)*IFERROR(HB331^SIGN(HB331),1)*IFERROR(HC331^SIGN(HC331),1)*IFERROR(HD331^SIGN(HD331),1)*IFERROR(HE331^SIGN(HE331),1)*IFERROR(HF331^SIGN(HF331),1)*IFERROR(HG331^SIGN(HG331),1)*IFERROR(HH331^SIGN(HH331),1)</f>
        <v>1728</v>
      </c>
      <c r="HO331" s="224">
        <f t="shared" si="3025"/>
        <v>7488</v>
      </c>
      <c r="HP331" s="222">
        <f t="shared" si="3026"/>
        <v>3.6923076923076925</v>
      </c>
      <c r="HQ331" s="223">
        <f t="shared" si="3027"/>
        <v>11.076923076923077</v>
      </c>
      <c r="HR331" s="243">
        <f t="shared" si="3028"/>
        <v>8.3076923076923084</v>
      </c>
      <c r="HS331" s="243">
        <f t="shared" si="3029"/>
        <v>23.07692307692308</v>
      </c>
      <c r="HT331" s="252">
        <f t="shared" si="2940"/>
        <v>0</v>
      </c>
      <c r="HU331" s="324">
        <f t="shared" si="3030"/>
        <v>23.07692307692308</v>
      </c>
      <c r="HV331" s="304">
        <f t="shared" ref="HV331:HW332" si="3275">IF(HS331&lt;=0,2,0)+IF(HS331&gt;0,HS331+1,0)*2+IF(HS331&gt;12,HS331-12,0)*2+IF(HS331&gt;13,HS331-13,0)*2+IF(HS331&gt;14,HS331-14,0)*2+IF(HS331&gt;15,HS331-15,0)*2+IF(HS331&gt;16,HS331-16,0)*2+IF(HS331&gt;17,HS331-17,0)*2+IF(HS331&gt;18,HS331-18,0)*2+IF(HS331&gt;19,HS331-19,0)*2+IF(HS331&gt;20,HS331-20,0)*2</f>
        <v>175.5384615384616</v>
      </c>
      <c r="HW331" s="335">
        <f t="shared" si="3275"/>
        <v>2</v>
      </c>
      <c r="HX331" s="243">
        <f t="shared" si="3032"/>
        <v>173.5384615384616</v>
      </c>
      <c r="HY331" s="218">
        <f t="shared" si="3033"/>
        <v>0</v>
      </c>
      <c r="HZ331" s="248"/>
      <c r="IA331" s="303" t="s">
        <v>483</v>
      </c>
      <c r="IB331" s="304" t="s">
        <v>81</v>
      </c>
      <c r="IC331" s="304" t="s">
        <v>132</v>
      </c>
      <c r="ID331" s="120"/>
      <c r="IE331" s="117">
        <f>Konvention_1slave-KLslave</f>
        <v>12</v>
      </c>
      <c r="IF331" s="117"/>
      <c r="IG331" s="117">
        <f t="shared" ref="IG331" si="3276">Konvention_1slave-CHslave</f>
        <v>12</v>
      </c>
      <c r="IH331" s="117"/>
      <c r="II331" s="117">
        <f>Konvention_1slave-GEslave</f>
        <v>12</v>
      </c>
      <c r="IJ331" s="117"/>
      <c r="IK331" s="121"/>
      <c r="IL331" s="223">
        <f>(ID331+IE331+IF331+IG331+IH331+II331+IJ331+IK331)/3</f>
        <v>12</v>
      </c>
      <c r="IM331" s="223">
        <f t="shared" si="3034"/>
        <v>24</v>
      </c>
      <c r="IN331" s="224">
        <f t="shared" si="3035"/>
        <v>36</v>
      </c>
      <c r="IO331" s="237">
        <f t="shared" ref="IO329:IO348" si="3277">ID331*POWER(KLslave,SIGN(IE331))*POWER(INslave,SIGN(IF331))*POWER(CHslave,SIGN(IG331))*POWER(FFslave,SIGN(IH331))*POWER(GEslave,SIGN(II331))*POWER(KOslave,SIGN(IJ331))*POWER(KKslave_KK,SIGN(IK331))+IE331*POWER(MUslave,SIGN(ID331))*POWER(INslave,SIGN(IF331))*POWER(CHslave,SIGN(IG331))*POWER(FFslave,SIGN(IH331))*POWER(GEslave,SIGN(II331))*POWER(KOslave,SIGN(IJ331))*POWER(KKslave_KK,SIGN(IK331))+IF331*POWER(MUslave,SIGN(ID331))*POWER(KLslave,SIGN(IE331))*POWER(CHslave,SIGN(IG331))*POWER(FFslave,SIGN(IH331))*POWER(GEslave,SIGN(II331))*POWER(KOslave,SIGN(IJ331))*POWER(KKslave_KK,SIGN(IK331))+IG331*POWER(MUslave,SIGN(ID331))*POWER(KLslave,SIGN(IE331))*POWER(INslave,SIGN(IF331))*POWER(FFslave,SIGN(IH331))*POWER(GEslave,SIGN(II331))*POWER(KOslave,SIGN(IJ331))*POWER(KKslave_KK,SIGN(IK331))+IH331*POWER(MUslave,SIGN(ID331))*POWER(KLslave,SIGN(IE331))*POWER(INslave,SIGN(IF331))*POWER(CHslave,SIGN(IG331))*POWER(GEslave,SIGN(II331))*POWER(KOslave,SIGN(IJ331))*POWER(KKslave_KK,SIGN(IK331))+II331*POWER(MUslave,SIGN(ID331))*POWER(KLslave,SIGN(IE331))*POWER(INslave,SIGN(IF331))*POWER(CHslave,SIGN(IG331))*POWER(FFslave,SIGN(IH331))*POWER(KOslave,SIGN(IJ331))*POWER(KKslave_KK,SIGN(IK331))+IJ331*POWER(MUslave,SIGN(ID331))*POWER(KLslave,SIGN(IE331))*POWER(INslave,SIGN(IF331))*POWER(CHslave,SIGN(IG331))*POWER(FFslave,SIGN(IH331))*POWER(GEslave,SIGN(II331))*POWER(KKslave_KK,SIGN(IK331))+IK331*POWER(MUslave,SIGN(ID331))*POWER(KLslave,SIGN(IE331))*POWER(INslave,SIGN(IF331))*POWER(CHslave,SIGN(IG331))*POWER(FFslave,SIGN(IH331))*POWER(GEslave,SIGN(II331))*POWER(KOslave,SIGN(IJ331))</f>
        <v>2304</v>
      </c>
      <c r="IP331" s="117">
        <f>IE331*IG331*GEslave+IE331*CHslave*II331+KLslave*IG331*II331</f>
        <v>3456</v>
      </c>
      <c r="IQ331" s="224">
        <f t="shared" ref="IQ331:IQ340" si="3278">IFERROR(ID331^SIGN(ID331),1)*IFERROR(IE331^SIGN(IE331),1)*IFERROR(IF331^SIGN(IF331),1)*IFERROR(IG331^SIGN(IG331),1)*IFERROR(IH331^SIGN(IH331),1)*IFERROR(II331^SIGN(II331),1)*IFERROR(IJ331^SIGN(IJ331),1)*IFERROR(IK331^SIGN(IK331),1)</f>
        <v>1728</v>
      </c>
      <c r="IR331" s="224">
        <f t="shared" si="3036"/>
        <v>7488</v>
      </c>
      <c r="IS331" s="222">
        <f t="shared" si="3037"/>
        <v>3.6923076923076925</v>
      </c>
      <c r="IT331" s="223">
        <f t="shared" si="3038"/>
        <v>11.076923076923077</v>
      </c>
      <c r="IU331" s="243">
        <f t="shared" si="3039"/>
        <v>8.3076923076923084</v>
      </c>
      <c r="IV331" s="243">
        <f t="shared" si="3040"/>
        <v>23.07692307692308</v>
      </c>
      <c r="IW331" s="252">
        <f t="shared" si="2943"/>
        <v>0</v>
      </c>
      <c r="IX331" s="324">
        <f t="shared" si="3041"/>
        <v>23.07692307692308</v>
      </c>
      <c r="IY331" s="304">
        <f t="shared" ref="IY331:IZ332" si="3279">IF(IV331&lt;=0,2,0)+IF(IV331&gt;0,IV331+1,0)*2+IF(IV331&gt;12,IV331-12,0)*2+IF(IV331&gt;13,IV331-13,0)*2+IF(IV331&gt;14,IV331-14,0)*2+IF(IV331&gt;15,IV331-15,0)*2+IF(IV331&gt;16,IV331-16,0)*2+IF(IV331&gt;17,IV331-17,0)*2+IF(IV331&gt;18,IV331-18,0)*2+IF(IV331&gt;19,IV331-19,0)*2+IF(IV331&gt;20,IV331-20,0)*2</f>
        <v>175.5384615384616</v>
      </c>
      <c r="IZ331" s="335">
        <f t="shared" si="3279"/>
        <v>2</v>
      </c>
      <c r="JA331" s="243">
        <f t="shared" si="3043"/>
        <v>173.5384615384616</v>
      </c>
      <c r="JB331" s="218">
        <f t="shared" si="3044"/>
        <v>0</v>
      </c>
      <c r="JE331" s="148"/>
    </row>
    <row r="332" spans="1:265" hidden="1" outlineLevel="2">
      <c r="A332" s="185"/>
      <c r="B332" s="148">
        <v>10</v>
      </c>
      <c r="C332" s="303" t="e">
        <f>VLOOKUP(AF332,Attribute!C:T,1,FALSE)</f>
        <v>#N/A</v>
      </c>
      <c r="D332" s="304" t="s">
        <v>8</v>
      </c>
      <c r="E332" s="304" t="s">
        <v>132</v>
      </c>
      <c r="F332" s="114">
        <f>Konvention_1master-MUmaster</f>
        <v>12</v>
      </c>
      <c r="G332" s="113"/>
      <c r="H332" s="113">
        <f>Konvention_1master-INmaster</f>
        <v>12</v>
      </c>
      <c r="I332" s="113"/>
      <c r="J332" s="113"/>
      <c r="K332" s="113">
        <f>Konvention_1master-GEmaster</f>
        <v>12</v>
      </c>
      <c r="L332" s="113"/>
      <c r="M332" s="119"/>
      <c r="N332" s="223">
        <f>(F332+G332+H332+I332+J332+K332+L332+M332)/3</f>
        <v>12</v>
      </c>
      <c r="O332" s="223">
        <f>2*N332</f>
        <v>24</v>
      </c>
      <c r="P332" s="224">
        <f>3*N332</f>
        <v>36</v>
      </c>
      <c r="Q332" s="237">
        <f>F332*POWER(KLmaster,SIGN(G332))*POWER(INmaster,SIGN(H332))*POWER(CHmaster,SIGN(I332))*POWER(FFmaster,SIGN(J332))*POWER(GEmaster,SIGN(K332))*POWER(KOmaster,SIGN(L332))*POWER(KKmaster,SIGN(M332))+G332*POWER(MUmaster,SIGN(F332))*POWER(INmaster,SIGN(H332))*POWER(CHmaster,SIGN(I332))*POWER(FFmaster,SIGN(J332))*POWER(GEmaster,SIGN(K332))*POWER(KOmaster,SIGN(L332))*POWER(KKmaster,SIGN(M332))+H332*POWER(MUmaster,SIGN(F332))*POWER(KLmaster,SIGN(G332))*POWER(CHmaster,SIGN(I332))*POWER(FFmaster,SIGN(J332))*POWER(GEmaster,SIGN(K332))*POWER(KOmaster,SIGN(L332))*POWER(KKmaster,SIGN(M332))+I332*POWER(MUmaster,SIGN(F332))*POWER(KLmaster,SIGN(G332))*POWER(INmaster,SIGN(H332))*POWER(FFmaster,SIGN(J332))*POWER(GEmaster,SIGN(K332))*POWER(KOmaster,SIGN(L332))*POWER(KKmaster,SIGN(M332))+J332*POWER(MUmaster,SIGN(F332))*POWER(KLmaster,SIGN(G332))*POWER(INmaster,SIGN(H332))*POWER(CHmaster,SIGN(I332))*POWER(GEmaster,SIGN(K332))*POWER(KOmaster,SIGN(L332))*POWER(KKmaster,SIGN(M332))+K332*POWER(MUmaster,SIGN(F332))*POWER(KLmaster,SIGN(G332))*POWER(INmaster,SIGN(H332))*POWER(CHmaster,SIGN(I332))*POWER(FFmaster,SIGN(J332))*POWER(KOmaster,SIGN(L332))*POWER(KKmaster,SIGN(M332))+L332*POWER(MUmaster,SIGN(F332))*POWER(KLmaster,SIGN(G332))*POWER(INmaster,SIGN(H332))*POWER(CHmaster,SIGN(I332))*POWER(FFmaster,SIGN(J332))*POWER(GEmaster,SIGN(K332))*POWER(KKmaster,SIGN(M332))+M332*POWER(MUmaster,SIGN(F332))*POWER(KLmaster,SIGN(G332))*POWER(INmaster,SIGN(H332))*POWER(CHmaster,SIGN(I332))*POWER(FFmaster,SIGN(J332))*POWER(GEmaster,SIGN(K332))*POWER(KOmaster,SIGN(L332))</f>
        <v>2304</v>
      </c>
      <c r="R332" s="113">
        <f>F332*H332*GEmaster+F332*INmaster*K332+MUmaster*H332*K332</f>
        <v>3456</v>
      </c>
      <c r="S332" s="224">
        <f>IFERROR(F332^SIGN(F332),1)*IFERROR(G332^SIGN(G332),1)*IFERROR(H332^SIGN(H332),1)*IFERROR(I332^SIGN(I332),1)*IFERROR(J332^SIGN(J332),1)*IFERROR(K332^SIGN(K332),1)*IFERROR(L332^SIGN(L332),1)*IFERROR(M332^SIGN(M332),1)</f>
        <v>1728</v>
      </c>
      <c r="T332" s="224">
        <f>SUM(Q332:S332)</f>
        <v>7488</v>
      </c>
      <c r="U332" s="222">
        <f>N332*Q332/T332</f>
        <v>3.6923076923076925</v>
      </c>
      <c r="V332" s="223">
        <f>O332*R332/T332</f>
        <v>11.076923076923077</v>
      </c>
      <c r="W332" s="243">
        <f>P332*S332/T332</f>
        <v>8.3076923076923084</v>
      </c>
      <c r="X332" s="243">
        <f>SUM(U332:W332)</f>
        <v>23.07692307692308</v>
      </c>
      <c r="Y332" s="252">
        <v>0</v>
      </c>
      <c r="Z332" s="324">
        <f>X332-Y332</f>
        <v>23.07692307692308</v>
      </c>
      <c r="AA332" s="304">
        <f t="shared" si="3247"/>
        <v>175.5384615384616</v>
      </c>
      <c r="AB332" s="335">
        <f t="shared" si="3248"/>
        <v>2</v>
      </c>
      <c r="AC332" s="243">
        <f t="shared" si="2955"/>
        <v>173.5384615384616</v>
      </c>
      <c r="AD332" s="218">
        <f>IF((AB332-AA332)&gt;0,AB332-AA332,0)</f>
        <v>0</v>
      </c>
      <c r="AE332" s="140"/>
      <c r="AF332" s="303" t="s">
        <v>484</v>
      </c>
      <c r="AG332" s="304" t="s">
        <v>8</v>
      </c>
      <c r="AH332" s="304" t="s">
        <v>132</v>
      </c>
      <c r="AI332" s="114">
        <f t="shared" ref="AI332" si="3280">Konvention_1slave-MUslave_MU</f>
        <v>11</v>
      </c>
      <c r="AJ332" s="113"/>
      <c r="AK332" s="113">
        <f>Konvention_1slave-INslave</f>
        <v>12</v>
      </c>
      <c r="AL332" s="113"/>
      <c r="AM332" s="113"/>
      <c r="AN332" s="113">
        <f>Konvention_1slave-GEslave</f>
        <v>12</v>
      </c>
      <c r="AO332" s="113"/>
      <c r="AP332" s="119"/>
      <c r="AQ332" s="223">
        <f>(AI332+AJ332+AK332+AL332+AM332+AN332+AO332+AP332)/3</f>
        <v>11.666666666666666</v>
      </c>
      <c r="AR332" s="223">
        <f>2*AQ332</f>
        <v>23.333333333333332</v>
      </c>
      <c r="AS332" s="224">
        <f>3*AQ332</f>
        <v>35</v>
      </c>
      <c r="AT332" s="237">
        <f t="shared" si="3249"/>
        <v>2432</v>
      </c>
      <c r="AU332" s="113">
        <f>AI332*AK332*GEslave+AI332*INslave*AN332+MUslave_MU*AK332*AN332</f>
        <v>3408</v>
      </c>
      <c r="AV332" s="224">
        <f>IFERROR(AI332^SIGN(AI332),1)*IFERROR(AJ332^SIGN(AJ332),1)*IFERROR(AK332^SIGN(AK332),1)*IFERROR(AL332^SIGN(AL332),1)*IFERROR(AM332^SIGN(AM332),1)*IFERROR(AN332^SIGN(AN332),1)*IFERROR(AO332^SIGN(AO332),1)*IFERROR(AP332^SIGN(AP332),1)</f>
        <v>1584</v>
      </c>
      <c r="AW332" s="224">
        <f>SUM(AT332:AV332)</f>
        <v>7424</v>
      </c>
      <c r="AX332" s="222">
        <f>AQ332*AT332/AW332</f>
        <v>3.8218390804597702</v>
      </c>
      <c r="AY332" s="223">
        <f>AR332*AU332/AW332</f>
        <v>10.711206896551724</v>
      </c>
      <c r="AZ332" s="243">
        <f>AS332*AV332/AW332</f>
        <v>7.4676724137931032</v>
      </c>
      <c r="BA332" s="243">
        <f>SUM(AX332:AZ332)</f>
        <v>22.000718390804597</v>
      </c>
      <c r="BB332" s="252">
        <f t="shared" si="2034"/>
        <v>0</v>
      </c>
      <c r="BC332" s="324">
        <f>BA332-BB332</f>
        <v>22.000718390804597</v>
      </c>
      <c r="BD332" s="304">
        <f t="shared" si="3251"/>
        <v>154.01436781609189</v>
      </c>
      <c r="BE332" s="335">
        <f t="shared" si="3251"/>
        <v>2</v>
      </c>
      <c r="BF332" s="243">
        <f t="shared" si="2966"/>
        <v>152.01436781609189</v>
      </c>
      <c r="BG332" s="218">
        <f>IF((BE332-BD332)&gt;0,BE332-BD332,0)</f>
        <v>0</v>
      </c>
      <c r="BH332" s="248"/>
      <c r="BI332" s="303" t="s">
        <v>484</v>
      </c>
      <c r="BJ332" s="304" t="s">
        <v>8</v>
      </c>
      <c r="BK332" s="304" t="s">
        <v>132</v>
      </c>
      <c r="BL332" s="114">
        <f t="shared" ref="BL332" si="3281">Konvention_1slave-MUslave</f>
        <v>12</v>
      </c>
      <c r="BM332" s="113"/>
      <c r="BN332" s="113">
        <f>Konvention_1slave-INslave</f>
        <v>12</v>
      </c>
      <c r="BO332" s="113"/>
      <c r="BP332" s="113"/>
      <c r="BQ332" s="113">
        <f>Konvention_1slave-GEslave</f>
        <v>12</v>
      </c>
      <c r="BR332" s="113"/>
      <c r="BS332" s="119"/>
      <c r="BT332" s="223">
        <f>(BL332+BM332+BN332+BO332+BP332+BQ332+BR332+BS332)/3</f>
        <v>12</v>
      </c>
      <c r="BU332" s="223">
        <f>2*BT332</f>
        <v>24</v>
      </c>
      <c r="BV332" s="224">
        <f>3*BT332</f>
        <v>36</v>
      </c>
      <c r="BW332" s="237">
        <f t="shared" si="3253"/>
        <v>2304</v>
      </c>
      <c r="BX332" s="113">
        <f>BL332*BN332*GEslave+BL332*INslave*BQ332+MUslave*BN332*BQ332</f>
        <v>3456</v>
      </c>
      <c r="BY332" s="224">
        <f>IFERROR(BL332^SIGN(BL332),1)*IFERROR(BM332^SIGN(BM332),1)*IFERROR(BN332^SIGN(BN332),1)*IFERROR(BO332^SIGN(BO332),1)*IFERROR(BP332^SIGN(BP332),1)*IFERROR(BQ332^SIGN(BQ332),1)*IFERROR(BR332^SIGN(BR332),1)*IFERROR(BS332^SIGN(BS332),1)</f>
        <v>1728</v>
      </c>
      <c r="BZ332" s="224">
        <f>SUM(BW332:BY332)</f>
        <v>7488</v>
      </c>
      <c r="CA332" s="222">
        <f>BT332*BW332/BZ332</f>
        <v>3.6923076923076925</v>
      </c>
      <c r="CB332" s="223">
        <f>BU332*BX332/BZ332</f>
        <v>11.076923076923077</v>
      </c>
      <c r="CC332" s="243">
        <f>BV332*BY332/BZ332</f>
        <v>8.3076923076923084</v>
      </c>
      <c r="CD332" s="243">
        <f>SUM(CA332:CC332)</f>
        <v>23.07692307692308</v>
      </c>
      <c r="CE332" s="252">
        <f t="shared" si="2925"/>
        <v>0</v>
      </c>
      <c r="CF332" s="324">
        <f>CD332-CE332</f>
        <v>23.07692307692308</v>
      </c>
      <c r="CG332" s="304">
        <f t="shared" si="3255"/>
        <v>175.5384615384616</v>
      </c>
      <c r="CH332" s="335">
        <f t="shared" si="3255"/>
        <v>2</v>
      </c>
      <c r="CI332" s="243">
        <f t="shared" si="2977"/>
        <v>173.5384615384616</v>
      </c>
      <c r="CJ332" s="218">
        <f>IF((CH332-CG332)&gt;0,CH332-CG332,0)</f>
        <v>0</v>
      </c>
      <c r="CK332" s="248"/>
      <c r="CL332" s="303" t="s">
        <v>484</v>
      </c>
      <c r="CM332" s="304" t="s">
        <v>8</v>
      </c>
      <c r="CN332" s="304" t="s">
        <v>132</v>
      </c>
      <c r="CO332" s="114">
        <f t="shared" ref="CO332" si="3282">Konvention_1slave-MUslave</f>
        <v>12</v>
      </c>
      <c r="CP332" s="113"/>
      <c r="CQ332" s="113">
        <f>Konvention_1slave-INslave_IN</f>
        <v>11</v>
      </c>
      <c r="CR332" s="113"/>
      <c r="CS332" s="113"/>
      <c r="CT332" s="113">
        <f>Konvention_1slave-GEslave</f>
        <v>12</v>
      </c>
      <c r="CU332" s="113"/>
      <c r="CV332" s="119"/>
      <c r="CW332" s="223">
        <f>(CO332+CP332+CQ332+CR332+CS332+CT332+CU332+CV332)/3</f>
        <v>11.666666666666666</v>
      </c>
      <c r="CX332" s="223">
        <f>2*CW332</f>
        <v>23.333333333333332</v>
      </c>
      <c r="CY332" s="224">
        <f>3*CW332</f>
        <v>35</v>
      </c>
      <c r="CZ332" s="237">
        <f t="shared" si="3257"/>
        <v>2432</v>
      </c>
      <c r="DA332" s="113">
        <f>CO332*CQ332*GEslave+CO332*INslave_IN*CT332+MUslave*CQ332*CT332</f>
        <v>3408</v>
      </c>
      <c r="DB332" s="224">
        <f>IFERROR(CO332^SIGN(CO332),1)*IFERROR(CP332^SIGN(CP332),1)*IFERROR(CQ332^SIGN(CQ332),1)*IFERROR(CR332^SIGN(CR332),1)*IFERROR(CS332^SIGN(CS332),1)*IFERROR(CT332^SIGN(CT332),1)*IFERROR(CU332^SIGN(CU332),1)*IFERROR(CV332^SIGN(CV332),1)</f>
        <v>1584</v>
      </c>
      <c r="DC332" s="224">
        <f>SUM(CZ332:DB332)</f>
        <v>7424</v>
      </c>
      <c r="DD332" s="222">
        <f>CW332*CZ332/DC332</f>
        <v>3.8218390804597702</v>
      </c>
      <c r="DE332" s="223">
        <f>CX332*DA332/DC332</f>
        <v>10.711206896551724</v>
      </c>
      <c r="DF332" s="243">
        <f>CY332*DB332/DC332</f>
        <v>7.4676724137931032</v>
      </c>
      <c r="DG332" s="243">
        <f>SUM(DD332:DF332)</f>
        <v>22.000718390804597</v>
      </c>
      <c r="DH332" s="252">
        <f t="shared" si="2928"/>
        <v>0</v>
      </c>
      <c r="DI332" s="324">
        <f>DG332-DH332</f>
        <v>22.000718390804597</v>
      </c>
      <c r="DJ332" s="304">
        <f t="shared" si="3259"/>
        <v>154.01436781609189</v>
      </c>
      <c r="DK332" s="335">
        <f t="shared" si="3259"/>
        <v>2</v>
      </c>
      <c r="DL332" s="243">
        <f t="shared" si="2988"/>
        <v>152.01436781609189</v>
      </c>
      <c r="DM332" s="218">
        <f>IF((DK332-DJ332)&gt;0,DK332-DJ332,0)</f>
        <v>0</v>
      </c>
      <c r="DN332" s="248"/>
      <c r="DO332" s="303" t="s">
        <v>484</v>
      </c>
      <c r="DP332" s="304" t="s">
        <v>8</v>
      </c>
      <c r="DQ332" s="304" t="s">
        <v>132</v>
      </c>
      <c r="DR332" s="114">
        <f t="shared" ref="DR332" si="3283">Konvention_1slave-MUslave</f>
        <v>12</v>
      </c>
      <c r="DS332" s="113"/>
      <c r="DT332" s="113">
        <f>Konvention_1slave-INslave</f>
        <v>12</v>
      </c>
      <c r="DU332" s="113"/>
      <c r="DV332" s="113"/>
      <c r="DW332" s="113">
        <f>Konvention_1slave-GEslave</f>
        <v>12</v>
      </c>
      <c r="DX332" s="113"/>
      <c r="DY332" s="119"/>
      <c r="DZ332" s="223">
        <f>(DR332+DS332+DT332+DU332+DV332+DW332+DX332+DY332)/3</f>
        <v>12</v>
      </c>
      <c r="EA332" s="223">
        <f>2*DZ332</f>
        <v>24</v>
      </c>
      <c r="EB332" s="224">
        <f>3*DZ332</f>
        <v>36</v>
      </c>
      <c r="EC332" s="237">
        <f t="shared" si="3261"/>
        <v>2304</v>
      </c>
      <c r="ED332" s="113">
        <f>DR332*DT332*GEslave+DR332*INslave*DW332+MUslave*DT332*DW332</f>
        <v>3456</v>
      </c>
      <c r="EE332" s="224">
        <f>IFERROR(DR332^SIGN(DR332),1)*IFERROR(DS332^SIGN(DS332),1)*IFERROR(DT332^SIGN(DT332),1)*IFERROR(DU332^SIGN(DU332),1)*IFERROR(DV332^SIGN(DV332),1)*IFERROR(DW332^SIGN(DW332),1)*IFERROR(DX332^SIGN(DX332),1)*IFERROR(DY332^SIGN(DY332),1)</f>
        <v>1728</v>
      </c>
      <c r="EF332" s="224">
        <f>SUM(EC332:EE332)</f>
        <v>7488</v>
      </c>
      <c r="EG332" s="222">
        <f>DZ332*EC332/EF332</f>
        <v>3.6923076923076925</v>
      </c>
      <c r="EH332" s="223">
        <f>EA332*ED332/EF332</f>
        <v>11.076923076923077</v>
      </c>
      <c r="EI332" s="243">
        <f>EB332*EE332/EF332</f>
        <v>8.3076923076923084</v>
      </c>
      <c r="EJ332" s="243">
        <f>SUM(EG332:EI332)</f>
        <v>23.07692307692308</v>
      </c>
      <c r="EK332" s="252">
        <f t="shared" si="2931"/>
        <v>0</v>
      </c>
      <c r="EL332" s="324">
        <f>EJ332-EK332</f>
        <v>23.07692307692308</v>
      </c>
      <c r="EM332" s="304">
        <f t="shared" si="3263"/>
        <v>175.5384615384616</v>
      </c>
      <c r="EN332" s="335">
        <f t="shared" si="3263"/>
        <v>2</v>
      </c>
      <c r="EO332" s="243">
        <f t="shared" si="2999"/>
        <v>173.5384615384616</v>
      </c>
      <c r="EP332" s="218">
        <f>IF((EN332-EM332)&gt;0,EN332-EM332,0)</f>
        <v>0</v>
      </c>
      <c r="EQ332" s="248"/>
      <c r="ER332" s="303" t="s">
        <v>484</v>
      </c>
      <c r="ES332" s="304" t="s">
        <v>8</v>
      </c>
      <c r="ET332" s="304" t="s">
        <v>132</v>
      </c>
      <c r="EU332" s="114">
        <f t="shared" ref="EU332" si="3284">Konvention_1slave-MUslave</f>
        <v>12</v>
      </c>
      <c r="EV332" s="113"/>
      <c r="EW332" s="113">
        <f>Konvention_1slave-INslave</f>
        <v>12</v>
      </c>
      <c r="EX332" s="113"/>
      <c r="EY332" s="113"/>
      <c r="EZ332" s="113">
        <f>Konvention_1slave-GEslave</f>
        <v>12</v>
      </c>
      <c r="FA332" s="113"/>
      <c r="FB332" s="119"/>
      <c r="FC332" s="223">
        <f>(EU332+EV332+EW332+EX332+EY332+EZ332+FA332+FB332)/3</f>
        <v>12</v>
      </c>
      <c r="FD332" s="223">
        <f>2*FC332</f>
        <v>24</v>
      </c>
      <c r="FE332" s="224">
        <f>3*FC332</f>
        <v>36</v>
      </c>
      <c r="FF332" s="237">
        <f t="shared" si="3265"/>
        <v>2304</v>
      </c>
      <c r="FG332" s="113">
        <f>EU332*EW332*GEslave+EU332*INslave*EZ332+MUslave*EW332*EZ332</f>
        <v>3456</v>
      </c>
      <c r="FH332" s="224">
        <f>IFERROR(EU332^SIGN(EU332),1)*IFERROR(EV332^SIGN(EV332),1)*IFERROR(EW332^SIGN(EW332),1)*IFERROR(EX332^SIGN(EX332),1)*IFERROR(EY332^SIGN(EY332),1)*IFERROR(EZ332^SIGN(EZ332),1)*IFERROR(FA332^SIGN(FA332),1)*IFERROR(FB332^SIGN(FB332),1)</f>
        <v>1728</v>
      </c>
      <c r="FI332" s="224">
        <f>SUM(FF332:FH332)</f>
        <v>7488</v>
      </c>
      <c r="FJ332" s="222">
        <f>FC332*FF332/FI332</f>
        <v>3.6923076923076925</v>
      </c>
      <c r="FK332" s="223">
        <f>FD332*FG332/FI332</f>
        <v>11.076923076923077</v>
      </c>
      <c r="FL332" s="243">
        <f>FE332*FH332/FI332</f>
        <v>8.3076923076923084</v>
      </c>
      <c r="FM332" s="243">
        <f>SUM(FJ332:FL332)</f>
        <v>23.07692307692308</v>
      </c>
      <c r="FN332" s="252">
        <f t="shared" si="2934"/>
        <v>0</v>
      </c>
      <c r="FO332" s="324">
        <f>FM332-FN332</f>
        <v>23.07692307692308</v>
      </c>
      <c r="FP332" s="304">
        <f t="shared" si="3267"/>
        <v>175.5384615384616</v>
      </c>
      <c r="FQ332" s="335">
        <f t="shared" si="3267"/>
        <v>2</v>
      </c>
      <c r="FR332" s="243">
        <f t="shared" si="3010"/>
        <v>173.5384615384616</v>
      </c>
      <c r="FS332" s="218">
        <f>IF((FQ332-FP332)&gt;0,FQ332-FP332,0)</f>
        <v>0</v>
      </c>
      <c r="FT332" s="248"/>
      <c r="FU332" s="303" t="s">
        <v>484</v>
      </c>
      <c r="FV332" s="304" t="s">
        <v>8</v>
      </c>
      <c r="FW332" s="304" t="s">
        <v>132</v>
      </c>
      <c r="FX332" s="114">
        <f t="shared" ref="FX332" si="3285">Konvention_1slave-MUslave</f>
        <v>12</v>
      </c>
      <c r="FY332" s="113"/>
      <c r="FZ332" s="113">
        <f>Konvention_1slave-INslave</f>
        <v>12</v>
      </c>
      <c r="GA332" s="113"/>
      <c r="GB332" s="113"/>
      <c r="GC332" s="113">
        <f>Konvention_1slave-GEslave_GE</f>
        <v>11</v>
      </c>
      <c r="GD332" s="113"/>
      <c r="GE332" s="119"/>
      <c r="GF332" s="223">
        <f>(FX332+FY332+FZ332+GA332+GB332+GC332+GD332+GE332)/3</f>
        <v>11.666666666666666</v>
      </c>
      <c r="GG332" s="223">
        <f>2*GF332</f>
        <v>23.333333333333332</v>
      </c>
      <c r="GH332" s="224">
        <f>3*GF332</f>
        <v>35</v>
      </c>
      <c r="GI332" s="237">
        <f t="shared" si="3269"/>
        <v>2432</v>
      </c>
      <c r="GJ332" s="113">
        <f>FX332*FZ332*GEslave_GE+FX332*INslave*GC332+MUslave*FZ332*GC332</f>
        <v>3408</v>
      </c>
      <c r="GK332" s="224">
        <f>IFERROR(FX332^SIGN(FX332),1)*IFERROR(FY332^SIGN(FY332),1)*IFERROR(FZ332^SIGN(FZ332),1)*IFERROR(GA332^SIGN(GA332),1)*IFERROR(GB332^SIGN(GB332),1)*IFERROR(GC332^SIGN(GC332),1)*IFERROR(GD332^SIGN(GD332),1)*IFERROR(GE332^SIGN(GE332),1)</f>
        <v>1584</v>
      </c>
      <c r="GL332" s="224">
        <f>SUM(GI332:GK332)</f>
        <v>7424</v>
      </c>
      <c r="GM332" s="222">
        <f>GF332*GI332/GL332</f>
        <v>3.8218390804597702</v>
      </c>
      <c r="GN332" s="223">
        <f>GG332*GJ332/GL332</f>
        <v>10.711206896551724</v>
      </c>
      <c r="GO332" s="243">
        <f>GH332*GK332/GL332</f>
        <v>7.4676724137931032</v>
      </c>
      <c r="GP332" s="243">
        <f>SUM(GM332:GO332)</f>
        <v>22.000718390804597</v>
      </c>
      <c r="GQ332" s="252">
        <f t="shared" si="2937"/>
        <v>0</v>
      </c>
      <c r="GR332" s="324">
        <f>GP332-GQ332</f>
        <v>22.000718390804597</v>
      </c>
      <c r="GS332" s="304">
        <f t="shared" si="3271"/>
        <v>154.01436781609189</v>
      </c>
      <c r="GT332" s="335">
        <f t="shared" si="3271"/>
        <v>2</v>
      </c>
      <c r="GU332" s="243">
        <f t="shared" si="3021"/>
        <v>152.01436781609189</v>
      </c>
      <c r="GV332" s="218">
        <f>IF((GT332-GS332)&gt;0,GT332-GS332,0)</f>
        <v>0</v>
      </c>
      <c r="GW332" s="248"/>
      <c r="GX332" s="303" t="s">
        <v>484</v>
      </c>
      <c r="GY332" s="304" t="s">
        <v>8</v>
      </c>
      <c r="GZ332" s="304" t="s">
        <v>132</v>
      </c>
      <c r="HA332" s="114">
        <f t="shared" ref="HA332" si="3286">Konvention_1slave-MUslave</f>
        <v>12</v>
      </c>
      <c r="HB332" s="113"/>
      <c r="HC332" s="113">
        <f>Konvention_1slave-INslave</f>
        <v>12</v>
      </c>
      <c r="HD332" s="113"/>
      <c r="HE332" s="113"/>
      <c r="HF332" s="113">
        <f>Konvention_1slave-GEslave</f>
        <v>12</v>
      </c>
      <c r="HG332" s="113"/>
      <c r="HH332" s="119"/>
      <c r="HI332" s="223">
        <f>(HA332+HB332+HC332+HD332+HE332+HF332+HG332+HH332)/3</f>
        <v>12</v>
      </c>
      <c r="HJ332" s="223">
        <f>2*HI332</f>
        <v>24</v>
      </c>
      <c r="HK332" s="224">
        <f>3*HI332</f>
        <v>36</v>
      </c>
      <c r="HL332" s="237">
        <f t="shared" si="3273"/>
        <v>2304</v>
      </c>
      <c r="HM332" s="113">
        <f>HA332*HC332*GEslave+HA332*INslave*HF332+MUslave*HC332*HF332</f>
        <v>3456</v>
      </c>
      <c r="HN332" s="224">
        <f>IFERROR(HA332^SIGN(HA332),1)*IFERROR(HB332^SIGN(HB332),1)*IFERROR(HC332^SIGN(HC332),1)*IFERROR(HD332^SIGN(HD332),1)*IFERROR(HE332^SIGN(HE332),1)*IFERROR(HF332^SIGN(HF332),1)*IFERROR(HG332^SIGN(HG332),1)*IFERROR(HH332^SIGN(HH332),1)</f>
        <v>1728</v>
      </c>
      <c r="HO332" s="224">
        <f>SUM(HL332:HN332)</f>
        <v>7488</v>
      </c>
      <c r="HP332" s="222">
        <f>HI332*HL332/HO332</f>
        <v>3.6923076923076925</v>
      </c>
      <c r="HQ332" s="223">
        <f>HJ332*HM332/HO332</f>
        <v>11.076923076923077</v>
      </c>
      <c r="HR332" s="243">
        <f>HK332*HN332/HO332</f>
        <v>8.3076923076923084</v>
      </c>
      <c r="HS332" s="243">
        <f>SUM(HP332:HR332)</f>
        <v>23.07692307692308</v>
      </c>
      <c r="HT332" s="252">
        <f t="shared" si="2940"/>
        <v>0</v>
      </c>
      <c r="HU332" s="324">
        <f>HS332-HT332</f>
        <v>23.07692307692308</v>
      </c>
      <c r="HV332" s="304">
        <f t="shared" si="3275"/>
        <v>175.5384615384616</v>
      </c>
      <c r="HW332" s="335">
        <f t="shared" si="3275"/>
        <v>2</v>
      </c>
      <c r="HX332" s="243">
        <f t="shared" si="3032"/>
        <v>173.5384615384616</v>
      </c>
      <c r="HY332" s="218">
        <f>IF((HW332-HV332)&gt;0,HW332-HV332,0)</f>
        <v>0</v>
      </c>
      <c r="HZ332" s="248"/>
      <c r="IA332" s="303" t="s">
        <v>484</v>
      </c>
      <c r="IB332" s="304" t="s">
        <v>8</v>
      </c>
      <c r="IC332" s="304" t="s">
        <v>132</v>
      </c>
      <c r="ID332" s="114">
        <f t="shared" ref="ID332" si="3287">Konvention_1slave-MUslave</f>
        <v>12</v>
      </c>
      <c r="IE332" s="113"/>
      <c r="IF332" s="113">
        <f>Konvention_1slave-INslave</f>
        <v>12</v>
      </c>
      <c r="IG332" s="113"/>
      <c r="IH332" s="113"/>
      <c r="II332" s="113">
        <f>Konvention_1slave-GEslave</f>
        <v>12</v>
      </c>
      <c r="IJ332" s="113"/>
      <c r="IK332" s="119"/>
      <c r="IL332" s="223">
        <f>(ID332+IE332+IF332+IG332+IH332+II332+IJ332+IK332)/3</f>
        <v>12</v>
      </c>
      <c r="IM332" s="223">
        <f>2*IL332</f>
        <v>24</v>
      </c>
      <c r="IN332" s="224">
        <f>3*IL332</f>
        <v>36</v>
      </c>
      <c r="IO332" s="237">
        <f t="shared" si="3277"/>
        <v>2304</v>
      </c>
      <c r="IP332" s="113">
        <f>ID332*IF332*GEslave+ID332*INslave*II332+MUslave*IF332*II332</f>
        <v>3456</v>
      </c>
      <c r="IQ332" s="224">
        <f>IFERROR(ID332^SIGN(ID332),1)*IFERROR(IE332^SIGN(IE332),1)*IFERROR(IF332^SIGN(IF332),1)*IFERROR(IG332^SIGN(IG332),1)*IFERROR(IH332^SIGN(IH332),1)*IFERROR(II332^SIGN(II332),1)*IFERROR(IJ332^SIGN(IJ332),1)*IFERROR(IK332^SIGN(IK332),1)</f>
        <v>1728</v>
      </c>
      <c r="IR332" s="224">
        <f>SUM(IO332:IQ332)</f>
        <v>7488</v>
      </c>
      <c r="IS332" s="222">
        <f>IL332*IO332/IR332</f>
        <v>3.6923076923076925</v>
      </c>
      <c r="IT332" s="223">
        <f>IM332*IP332/IR332</f>
        <v>11.076923076923077</v>
      </c>
      <c r="IU332" s="243">
        <f>IN332*IQ332/IR332</f>
        <v>8.3076923076923084</v>
      </c>
      <c r="IV332" s="243">
        <f>SUM(IS332:IU332)</f>
        <v>23.07692307692308</v>
      </c>
      <c r="IW332" s="252">
        <f t="shared" si="2943"/>
        <v>0</v>
      </c>
      <c r="IX332" s="324">
        <f>IV332-IW332</f>
        <v>23.07692307692308</v>
      </c>
      <c r="IY332" s="304">
        <f t="shared" si="3279"/>
        <v>175.5384615384616</v>
      </c>
      <c r="IZ332" s="335">
        <f t="shared" si="3279"/>
        <v>2</v>
      </c>
      <c r="JA332" s="243">
        <f t="shared" si="3043"/>
        <v>173.5384615384616</v>
      </c>
      <c r="JB332" s="218">
        <f>IF((IZ332-IY332)&gt;0,IZ332-IY332,0)</f>
        <v>0</v>
      </c>
      <c r="JE332" s="148"/>
    </row>
    <row r="333" spans="1:265" ht="15" hidden="1" customHeight="1" outlineLevel="2">
      <c r="A333" s="185"/>
      <c r="B333" s="217">
        <v>11</v>
      </c>
      <c r="C333" s="303" t="e">
        <f>VLOOKUP(AF333,Attribute!C:T,1,FALSE)</f>
        <v>#N/A</v>
      </c>
      <c r="D333" s="304" t="s">
        <v>172</v>
      </c>
      <c r="E333" s="304" t="s">
        <v>133</v>
      </c>
      <c r="F333" s="120">
        <f>Konvention_1master-MUmaster</f>
        <v>12</v>
      </c>
      <c r="G333" s="117"/>
      <c r="H333" s="117"/>
      <c r="I333" s="117">
        <f>Konvention_1master-CHmaster</f>
        <v>12</v>
      </c>
      <c r="J333" s="117"/>
      <c r="K333" s="117">
        <f>Konvention_1master-GEmaster</f>
        <v>12</v>
      </c>
      <c r="L333" s="117"/>
      <c r="M333" s="121"/>
      <c r="N333" s="223">
        <f>(F333+G333+H333+I333+J333+K333+L333+M333)/3</f>
        <v>12</v>
      </c>
      <c r="O333" s="223">
        <f t="shared" si="2945"/>
        <v>24</v>
      </c>
      <c r="P333" s="224">
        <f t="shared" si="2946"/>
        <v>36</v>
      </c>
      <c r="Q333" s="237">
        <f>F333*POWER(KLmaster,SIGN(G333))*POWER(INmaster,SIGN(H333))*POWER(CHmaster,SIGN(I333))*POWER(FFmaster,SIGN(J333))*POWER(GEmaster,SIGN(K333))*POWER(KOmaster,SIGN(L333))*POWER(KKmaster,SIGN(M333))+G333*POWER(MUmaster,SIGN(F333))*POWER(INmaster,SIGN(H333))*POWER(CHmaster,SIGN(I333))*POWER(FFmaster,SIGN(J333))*POWER(GEmaster,SIGN(K333))*POWER(KOmaster,SIGN(L333))*POWER(KKmaster,SIGN(M333))+H333*POWER(MUmaster,SIGN(F333))*POWER(KLmaster,SIGN(G333))*POWER(CHmaster,SIGN(I333))*POWER(FFmaster,SIGN(J333))*POWER(GEmaster,SIGN(K333))*POWER(KOmaster,SIGN(L333))*POWER(KKmaster,SIGN(M333))+I333*POWER(MUmaster,SIGN(F333))*POWER(KLmaster,SIGN(G333))*POWER(INmaster,SIGN(H333))*POWER(FFmaster,SIGN(J333))*POWER(GEmaster,SIGN(K333))*POWER(KOmaster,SIGN(L333))*POWER(KKmaster,SIGN(M333))+J333*POWER(MUmaster,SIGN(F333))*POWER(KLmaster,SIGN(G333))*POWER(INmaster,SIGN(H333))*POWER(CHmaster,SIGN(I333))*POWER(GEmaster,SIGN(K333))*POWER(KOmaster,SIGN(L333))*POWER(KKmaster,SIGN(M333))+K333*POWER(MUmaster,SIGN(F333))*POWER(KLmaster,SIGN(G333))*POWER(INmaster,SIGN(H333))*POWER(CHmaster,SIGN(I333))*POWER(FFmaster,SIGN(J333))*POWER(KOmaster,SIGN(L333))*POWER(KKmaster,SIGN(M333))+L333*POWER(MUmaster,SIGN(F333))*POWER(KLmaster,SIGN(G333))*POWER(INmaster,SIGN(H333))*POWER(CHmaster,SIGN(I333))*POWER(FFmaster,SIGN(J333))*POWER(GEmaster,SIGN(K333))*POWER(KKmaster,SIGN(M333))+M333*POWER(MUmaster,SIGN(F333))*POWER(KLmaster,SIGN(G333))*POWER(INmaster,SIGN(H333))*POWER(CHmaster,SIGN(I333))*POWER(FFmaster,SIGN(J333))*POWER(GEmaster,SIGN(K333))*POWER(KOmaster,SIGN(L333))</f>
        <v>2304</v>
      </c>
      <c r="R333" s="117">
        <f>F333*I333*GEmaster+F333*CHmaster*K333+MUmaster*I333*K333</f>
        <v>3456</v>
      </c>
      <c r="S333" s="224">
        <f>IFERROR(F333^SIGN(F333),1)*IFERROR(G333^SIGN(G333),1)*IFERROR(H333^SIGN(H333),1)*IFERROR(I333^SIGN(I333),1)*IFERROR(J333^SIGN(J333),1)*IFERROR(K333^SIGN(K333),1)*IFERROR(L333^SIGN(L333),1)*IFERROR(M333^SIGN(M333),1)</f>
        <v>1728</v>
      </c>
      <c r="T333" s="224">
        <f t="shared" ref="T333" si="3288">SUM(Q333:S333)</f>
        <v>7488</v>
      </c>
      <c r="U333" s="222">
        <f t="shared" si="2948"/>
        <v>3.6923076923076925</v>
      </c>
      <c r="V333" s="223">
        <f t="shared" si="2949"/>
        <v>11.076923076923077</v>
      </c>
      <c r="W333" s="243">
        <f t="shared" si="2950"/>
        <v>8.3076923076923084</v>
      </c>
      <c r="X333" s="243">
        <f t="shared" si="2951"/>
        <v>23.07692307692308</v>
      </c>
      <c r="Y333" s="252">
        <v>0</v>
      </c>
      <c r="Z333" s="324">
        <f t="shared" si="2952"/>
        <v>23.07692307692308</v>
      </c>
      <c r="AA333" s="304">
        <f>IF(X333&lt;=0,1,0)+IF(X333&gt;0,X333+1,0)*1+IF(X333&gt;12,X333-12,0)*1+IF(X333&gt;13,X333-13,0)*1+IF(X333&gt;14,X333-14,0)*1+IF(X333&gt;15,X333-15,0)*1+IF(X333&gt;16,X333-16,0)*1+IF(X333&gt;17,X333-17,0)*1+IF(X333&gt;18,X333-18,0)*1+IF(X333&gt;19,X333-19,0)*1+IF(X333&gt;20,X333-20,0)*1</f>
        <v>87.769230769230802</v>
      </c>
      <c r="AB333" s="335">
        <f>IF(Y333&lt;=0,1,0)+IF(Y333&gt;0,Y333+1,0)*1+IF(Y333&gt;12,Y333-12,0)*1+IF(Y333&gt;13,Y333-13,0)*1+IF(Y333&gt;14,Y333-14,0)*1+IF(Y333&gt;15,Y333-15,0)*1+IF(Y333&gt;16,Y333-16,0)*1+IF(Y333&gt;17,Y333-17,0)*1+IF(Y333&gt;18,Y333-18,0)*1+IF(Y333&gt;19,Y333-19,0)*1+IF(Y333&gt;20,Y333-20,0)*1</f>
        <v>1</v>
      </c>
      <c r="AC333" s="243">
        <f t="shared" si="2955"/>
        <v>86.769230769230802</v>
      </c>
      <c r="AD333" s="218">
        <f t="shared" si="2956"/>
        <v>0</v>
      </c>
      <c r="AE333" s="140"/>
      <c r="AF333" s="303" t="s">
        <v>485</v>
      </c>
      <c r="AG333" s="304" t="s">
        <v>172</v>
      </c>
      <c r="AH333" s="304" t="s">
        <v>133</v>
      </c>
      <c r="AI333" s="120">
        <f>Konvention_1slave-MUslave_MU</f>
        <v>11</v>
      </c>
      <c r="AJ333" s="117"/>
      <c r="AK333" s="117"/>
      <c r="AL333" s="117">
        <f>Konvention_1slave-CHslave</f>
        <v>12</v>
      </c>
      <c r="AM333" s="117"/>
      <c r="AN333" s="117">
        <f>Konvention_1slave-GEslave</f>
        <v>12</v>
      </c>
      <c r="AO333" s="117"/>
      <c r="AP333" s="121"/>
      <c r="AQ333" s="223">
        <f>(AI333+AJ333+AK333+AL333+AM333+AN333+AO333+AP333)/3</f>
        <v>11.666666666666666</v>
      </c>
      <c r="AR333" s="223">
        <f t="shared" si="2957"/>
        <v>23.333333333333332</v>
      </c>
      <c r="AS333" s="224">
        <f t="shared" si="2958"/>
        <v>35</v>
      </c>
      <c r="AT333" s="237">
        <f>AI333*POWER(KLslave,SIGN(AJ333))*POWER(INslave,SIGN(AK333))*POWER(CHslave,SIGN(AL333))*POWER(FFslave,SIGN(AM333))*POWER(GEslave,SIGN(AN333))*POWER(KOslave,SIGN(AO333))*POWER(KKslave,SIGN(AP333))+AJ333*POWER(MUslave_MU,SIGN(AI333))*POWER(INslave,SIGN(AK333))*POWER(CHslave,SIGN(AL333))*POWER(FFslave,SIGN(AM333))*POWER(GEslave,SIGN(AN333))*POWER(KOslave,SIGN(AO333))*POWER(KKslave,SIGN(AP333))+AK333*POWER(MUslave_MU,SIGN(AI333))*POWER(KLslave,SIGN(AJ333))*POWER(CHslave,SIGN(AL333))*POWER(FFslave,SIGN(AM333))*POWER(GEslave,SIGN(AN333))*POWER(KOslave,SIGN(AO333))*POWER(KKslave,SIGN(AP333))+AL333*POWER(MUslave_MU,SIGN(AI333))*POWER(KLslave,SIGN(AJ333))*POWER(INslave,SIGN(AK333))*POWER(FFslave,SIGN(AM333))*POWER(GEslave,SIGN(AN333))*POWER(KOslave,SIGN(AO333))*POWER(KKslave,SIGN(AP333))+AM333*POWER(MUslave_MU,SIGN(AI333))*POWER(KLslave,SIGN(AJ333))*POWER(INslave,SIGN(AK333))*POWER(CHslave,SIGN(AL333))*POWER(GEslave,SIGN(AN333))*POWER(KOslave,SIGN(AO333))*POWER(KKslave,SIGN(AP333))+AN333*POWER(MUslave_MU,SIGN(AI333))*POWER(KLslave,SIGN(AJ333))*POWER(INslave,SIGN(AK333))*POWER(CHslave,SIGN(AL333))*POWER(FFslave,SIGN(AM333))*POWER(KOslave,SIGN(AO333))*POWER(KKslave,SIGN(AP333))+AO333*POWER(MUslave_MU,SIGN(AI333))*POWER(KLslave,SIGN(AJ333))*POWER(INslave,SIGN(AK333))*POWER(CHslave,SIGN(AL333))*POWER(FFslave,SIGN(AM333))*POWER(GEslave,SIGN(AN333))*POWER(KKslave,SIGN(AP333))+AP333*POWER(MUslave_MU,SIGN(AI333))*POWER(KLslave,SIGN(AJ333))*POWER(INslave,SIGN(AK333))*POWER(CHslave,SIGN(AL333))*POWER(FFslave,SIGN(AM333))*POWER(GEslave,SIGN(AN333))*POWER(KOslave,SIGN(AO333))</f>
        <v>2432</v>
      </c>
      <c r="AU333" s="117">
        <f>AI333*AL333*GEslave+AI333*CHslave*AN333+MUslave_MU*AL333*AN333</f>
        <v>3408</v>
      </c>
      <c r="AV333" s="224">
        <f>IFERROR(AI333^SIGN(AI333),1)*IFERROR(AJ333^SIGN(AJ333),1)*IFERROR(AK333^SIGN(AK333),1)*IFERROR(AL333^SIGN(AL333),1)*IFERROR(AM333^SIGN(AM333),1)*IFERROR(AN333^SIGN(AN333),1)*IFERROR(AO333^SIGN(AO333),1)*IFERROR(AP333^SIGN(AP333),1)</f>
        <v>1584</v>
      </c>
      <c r="AW333" s="224">
        <f t="shared" ref="AW333" si="3289">SUM(AT333:AV333)</f>
        <v>7424</v>
      </c>
      <c r="AX333" s="222">
        <f t="shared" si="2960"/>
        <v>3.8218390804597702</v>
      </c>
      <c r="AY333" s="223">
        <f t="shared" si="2961"/>
        <v>10.711206896551724</v>
      </c>
      <c r="AZ333" s="243">
        <f t="shared" si="2962"/>
        <v>7.4676724137931032</v>
      </c>
      <c r="BA333" s="243">
        <f t="shared" si="2963"/>
        <v>22.000718390804597</v>
      </c>
      <c r="BB333" s="252">
        <f t="shared" si="2034"/>
        <v>0</v>
      </c>
      <c r="BC333" s="324">
        <f t="shared" si="2964"/>
        <v>22.000718390804597</v>
      </c>
      <c r="BD333" s="304">
        <f>IF(BA333&lt;=0,1,0)+IF(BA333&gt;0,BA333+1,0)*1+IF(BA333&gt;12,BA333-12,0)*1+IF(BA333&gt;13,BA333-13,0)*1+IF(BA333&gt;14,BA333-14,0)*1+IF(BA333&gt;15,BA333-15,0)*1+IF(BA333&gt;16,BA333-16,0)*1+IF(BA333&gt;17,BA333-17,0)*1+IF(BA333&gt;18,BA333-18,0)*1+IF(BA333&gt;19,BA333-19,0)*1+IF(BA333&gt;20,BA333-20,0)*1</f>
        <v>77.007183908045945</v>
      </c>
      <c r="BE333" s="335">
        <f>IF(BB333&lt;=0,1,0)+IF(BB333&gt;0,BB333+1,0)*1+IF(BB333&gt;12,BB333-12,0)*1+IF(BB333&gt;13,BB333-13,0)*1+IF(BB333&gt;14,BB333-14,0)*1+IF(BB333&gt;15,BB333-15,0)*1+IF(BB333&gt;16,BB333-16,0)*1+IF(BB333&gt;17,BB333-17,0)*1+IF(BB333&gt;18,BB333-18,0)*1+IF(BB333&gt;19,BB333-19,0)*1+IF(BB333&gt;20,BB333-20,0)*1</f>
        <v>1</v>
      </c>
      <c r="BF333" s="243">
        <f t="shared" si="2966"/>
        <v>76.007183908045945</v>
      </c>
      <c r="BG333" s="218">
        <f t="shared" si="2967"/>
        <v>0</v>
      </c>
      <c r="BH333" s="248"/>
      <c r="BI333" s="303" t="s">
        <v>485</v>
      </c>
      <c r="BJ333" s="304" t="s">
        <v>172</v>
      </c>
      <c r="BK333" s="304" t="s">
        <v>133</v>
      </c>
      <c r="BL333" s="120">
        <f>Konvention_1slave-MUslave</f>
        <v>12</v>
      </c>
      <c r="BM333" s="117"/>
      <c r="BN333" s="117"/>
      <c r="BO333" s="117">
        <f>Konvention_1slave-CHslave</f>
        <v>12</v>
      </c>
      <c r="BP333" s="117"/>
      <c r="BQ333" s="117">
        <f>Konvention_1slave-GEslave</f>
        <v>12</v>
      </c>
      <c r="BR333" s="117"/>
      <c r="BS333" s="121"/>
      <c r="BT333" s="223">
        <f>(BL333+BM333+BN333+BO333+BP333+BQ333+BR333+BS333)/3</f>
        <v>12</v>
      </c>
      <c r="BU333" s="223">
        <f t="shared" si="2968"/>
        <v>24</v>
      </c>
      <c r="BV333" s="224">
        <f t="shared" si="2969"/>
        <v>36</v>
      </c>
      <c r="BW333" s="237">
        <f>BL333*POWER(KLslave_KL,SIGN(BM333))*POWER(INslave,SIGN(BN333))*POWER(CHslave,SIGN(BO333))*POWER(FFslave,SIGN(BP333))*POWER(GEslave,SIGN(BQ333))*POWER(KOslave,SIGN(BR333))*POWER(KKslave,SIGN(BS333))+BM333*POWER(MUslave,SIGN(BL333))*POWER(INslave,SIGN(BN333))*POWER(CHslave,SIGN(BO333))*POWER(FFslave,SIGN(BP333))*POWER(GEslave,SIGN(BQ333))*POWER(KOslave,SIGN(BR333))*POWER(KKslave,SIGN(BS333))+BN333*POWER(MUslave,SIGN(BL333))*POWER(KLslave_KL,SIGN(BM333))*POWER(CHslave,SIGN(BO333))*POWER(FFslave,SIGN(BP333))*POWER(GEslave,SIGN(BQ333))*POWER(KOslave,SIGN(BR333))*POWER(KKslave,SIGN(BS333))+BO333*POWER(MUslave,SIGN(BL333))*POWER(KLslave_KL,SIGN(BM333))*POWER(INslave,SIGN(BN333))*POWER(FFslave,SIGN(BP333))*POWER(GEslave,SIGN(BQ333))*POWER(KOslave,SIGN(BR333))*POWER(KKslave,SIGN(BS333))+BP333*POWER(MUslave,SIGN(BL333))*POWER(KLslave_KL,SIGN(BM333))*POWER(INslave,SIGN(BN333))*POWER(CHslave,SIGN(BO333))*POWER(GEslave,SIGN(BQ333))*POWER(KOslave,SIGN(BR333))*POWER(KKslave,SIGN(BS333))+BQ333*POWER(MUslave,SIGN(BL333))*POWER(KLslave_KL,SIGN(BM333))*POWER(INslave,SIGN(BN333))*POWER(CHslave,SIGN(BO333))*POWER(FFslave,SIGN(BP333))*POWER(KOslave,SIGN(BR333))*POWER(KKslave,SIGN(BS333))+BR333*POWER(MUslave,SIGN(BL333))*POWER(KLslave_KL,SIGN(BM333))*POWER(INslave,SIGN(BN333))*POWER(CHslave,SIGN(BO333))*POWER(FFslave,SIGN(BP333))*POWER(GEslave,SIGN(BQ333))*POWER(KKslave,SIGN(BS333))+BS333*POWER(MUslave,SIGN(BL333))*POWER(KLslave_KL,SIGN(BM333))*POWER(INslave,SIGN(BN333))*POWER(CHslave,SIGN(BO333))*POWER(FFslave,SIGN(BP333))*POWER(GEslave,SIGN(BQ333))*POWER(KOslave,SIGN(BR333))</f>
        <v>2304</v>
      </c>
      <c r="BX333" s="117">
        <f>BL333*BO333*GEslave+BL333*CHslave*BQ333+MUslave*BO333*BQ333</f>
        <v>3456</v>
      </c>
      <c r="BY333" s="224">
        <f>IFERROR(BL333^SIGN(BL333),1)*IFERROR(BM333^SIGN(BM333),1)*IFERROR(BN333^SIGN(BN333),1)*IFERROR(BO333^SIGN(BO333),1)*IFERROR(BP333^SIGN(BP333),1)*IFERROR(BQ333^SIGN(BQ333),1)*IFERROR(BR333^SIGN(BR333),1)*IFERROR(BS333^SIGN(BS333),1)</f>
        <v>1728</v>
      </c>
      <c r="BZ333" s="224">
        <f t="shared" ref="BZ333" si="3290">SUM(BW333:BY333)</f>
        <v>7488</v>
      </c>
      <c r="CA333" s="222">
        <f t="shared" si="2971"/>
        <v>3.6923076923076925</v>
      </c>
      <c r="CB333" s="223">
        <f t="shared" si="2972"/>
        <v>11.076923076923077</v>
      </c>
      <c r="CC333" s="243">
        <f t="shared" si="2973"/>
        <v>8.3076923076923084</v>
      </c>
      <c r="CD333" s="243">
        <f t="shared" si="2974"/>
        <v>23.07692307692308</v>
      </c>
      <c r="CE333" s="252">
        <f t="shared" si="2925"/>
        <v>0</v>
      </c>
      <c r="CF333" s="324">
        <f t="shared" si="2975"/>
        <v>23.07692307692308</v>
      </c>
      <c r="CG333" s="304">
        <f>IF(CD333&lt;=0,1,0)+IF(CD333&gt;0,CD333+1,0)*1+IF(CD333&gt;12,CD333-12,0)*1+IF(CD333&gt;13,CD333-13,0)*1+IF(CD333&gt;14,CD333-14,0)*1+IF(CD333&gt;15,CD333-15,0)*1+IF(CD333&gt;16,CD333-16,0)*1+IF(CD333&gt;17,CD333-17,0)*1+IF(CD333&gt;18,CD333-18,0)*1+IF(CD333&gt;19,CD333-19,0)*1+IF(CD333&gt;20,CD333-20,0)*1</f>
        <v>87.769230769230802</v>
      </c>
      <c r="CH333" s="335">
        <f>IF(CE333&lt;=0,1,0)+IF(CE333&gt;0,CE333+1,0)*1+IF(CE333&gt;12,CE333-12,0)*1+IF(CE333&gt;13,CE333-13,0)*1+IF(CE333&gt;14,CE333-14,0)*1+IF(CE333&gt;15,CE333-15,0)*1+IF(CE333&gt;16,CE333-16,0)*1+IF(CE333&gt;17,CE333-17,0)*1+IF(CE333&gt;18,CE333-18,0)*1+IF(CE333&gt;19,CE333-19,0)*1+IF(CE333&gt;20,CE333-20,0)*1</f>
        <v>1</v>
      </c>
      <c r="CI333" s="243">
        <f t="shared" si="2977"/>
        <v>86.769230769230802</v>
      </c>
      <c r="CJ333" s="218">
        <f t="shared" si="2978"/>
        <v>0</v>
      </c>
      <c r="CK333" s="248"/>
      <c r="CL333" s="303" t="s">
        <v>485</v>
      </c>
      <c r="CM333" s="304" t="s">
        <v>172</v>
      </c>
      <c r="CN333" s="304" t="s">
        <v>133</v>
      </c>
      <c r="CO333" s="120">
        <f>Konvention_1slave-MUslave</f>
        <v>12</v>
      </c>
      <c r="CP333" s="117"/>
      <c r="CQ333" s="117"/>
      <c r="CR333" s="117">
        <f>Konvention_1slave-CHslave</f>
        <v>12</v>
      </c>
      <c r="CS333" s="117"/>
      <c r="CT333" s="117">
        <f>Konvention_1slave-GEslave</f>
        <v>12</v>
      </c>
      <c r="CU333" s="117"/>
      <c r="CV333" s="121"/>
      <c r="CW333" s="223">
        <f>(CO333+CP333+CQ333+CR333+CS333+CT333+CU333+CV333)/3</f>
        <v>12</v>
      </c>
      <c r="CX333" s="223">
        <f t="shared" si="2979"/>
        <v>24</v>
      </c>
      <c r="CY333" s="224">
        <f t="shared" si="2980"/>
        <v>36</v>
      </c>
      <c r="CZ333" s="237">
        <f>CO333*POWER(KLslave,SIGN(CP333))*POWER(INslave_IN,SIGN(CQ333))*POWER(CHslave,SIGN(CR333))*POWER(FFslave,SIGN(CS333))*POWER(GEslave,SIGN(CT333))*POWER(KOslave,SIGN(CU333))*POWER(KKslave,SIGN(CV333))+CP333*POWER(MUslave,SIGN(CO333))*POWER(INslave_IN,SIGN(CQ333))*POWER(CHslave,SIGN(CR333))*POWER(FFslave,SIGN(CS333))*POWER(GEslave,SIGN(CT333))*POWER(KOslave,SIGN(CU333))*POWER(KKslave,SIGN(CV333))+CQ333*POWER(MUslave,SIGN(CO333))*POWER(KLslave,SIGN(CP333))*POWER(CHslave,SIGN(CR333))*POWER(FFslave,SIGN(CS333))*POWER(GEslave,SIGN(CT333))*POWER(KOslave,SIGN(CU333))*POWER(KKslave,SIGN(CV333))+CR333*POWER(MUslave,SIGN(CO333))*POWER(KLslave,SIGN(CP333))*POWER(INslave_IN,SIGN(CQ333))*POWER(FFslave,SIGN(CS333))*POWER(GEslave,SIGN(CT333))*POWER(KOslave,SIGN(CU333))*POWER(KKslave,SIGN(CV333))+CS333*POWER(MUslave,SIGN(CO333))*POWER(KLslave,SIGN(CP333))*POWER(INslave_IN,SIGN(CQ333))*POWER(CHslave,SIGN(CR333))*POWER(GEslave,SIGN(CT333))*POWER(KOslave,SIGN(CU333))*POWER(KKslave,SIGN(CV333))+CT333*POWER(MUslave,SIGN(CO333))*POWER(KLslave,SIGN(CP333))*POWER(INslave_IN,SIGN(CQ333))*POWER(CHslave,SIGN(CR333))*POWER(FFslave,SIGN(CS333))*POWER(KOslave,SIGN(CU333))*POWER(KKslave,SIGN(CV333))+CU333*POWER(MUslave,SIGN(CO333))*POWER(KLslave,SIGN(CP333))*POWER(INslave_IN,SIGN(CQ333))*POWER(CHslave,SIGN(CR333))*POWER(FFslave,SIGN(CS333))*POWER(GEslave,SIGN(CT333))*POWER(KKslave,SIGN(CV333))+CV333*POWER(MUslave,SIGN(CO333))*POWER(KLslave,SIGN(CP333))*POWER(INslave_IN,SIGN(CQ333))*POWER(CHslave,SIGN(CR333))*POWER(FFslave,SIGN(CS333))*POWER(GEslave,SIGN(CT333))*POWER(KOslave,SIGN(CU333))</f>
        <v>2304</v>
      </c>
      <c r="DA333" s="117">
        <f>CO333*CR333*GEslave+CO333*CHslave*CT333+MUslave*CR333*CT333</f>
        <v>3456</v>
      </c>
      <c r="DB333" s="224">
        <f>IFERROR(CO333^SIGN(CO333),1)*IFERROR(CP333^SIGN(CP333),1)*IFERROR(CQ333^SIGN(CQ333),1)*IFERROR(CR333^SIGN(CR333),1)*IFERROR(CS333^SIGN(CS333),1)*IFERROR(CT333^SIGN(CT333),1)*IFERROR(CU333^SIGN(CU333),1)*IFERROR(CV333^SIGN(CV333),1)</f>
        <v>1728</v>
      </c>
      <c r="DC333" s="224">
        <f t="shared" ref="DC333" si="3291">SUM(CZ333:DB333)</f>
        <v>7488</v>
      </c>
      <c r="DD333" s="222">
        <f t="shared" si="2982"/>
        <v>3.6923076923076925</v>
      </c>
      <c r="DE333" s="223">
        <f t="shared" si="2983"/>
        <v>11.076923076923077</v>
      </c>
      <c r="DF333" s="243">
        <f t="shared" si="2984"/>
        <v>8.3076923076923084</v>
      </c>
      <c r="DG333" s="243">
        <f t="shared" si="2985"/>
        <v>23.07692307692308</v>
      </c>
      <c r="DH333" s="252">
        <f t="shared" si="2928"/>
        <v>0</v>
      </c>
      <c r="DI333" s="324">
        <f t="shared" si="2986"/>
        <v>23.07692307692308</v>
      </c>
      <c r="DJ333" s="304">
        <f>IF(DG333&lt;=0,1,0)+IF(DG333&gt;0,DG333+1,0)*1+IF(DG333&gt;12,DG333-12,0)*1+IF(DG333&gt;13,DG333-13,0)*1+IF(DG333&gt;14,DG333-14,0)*1+IF(DG333&gt;15,DG333-15,0)*1+IF(DG333&gt;16,DG333-16,0)*1+IF(DG333&gt;17,DG333-17,0)*1+IF(DG333&gt;18,DG333-18,0)*1+IF(DG333&gt;19,DG333-19,0)*1+IF(DG333&gt;20,DG333-20,0)*1</f>
        <v>87.769230769230802</v>
      </c>
      <c r="DK333" s="335">
        <f>IF(DH333&lt;=0,1,0)+IF(DH333&gt;0,DH333+1,0)*1+IF(DH333&gt;12,DH333-12,0)*1+IF(DH333&gt;13,DH333-13,0)*1+IF(DH333&gt;14,DH333-14,0)*1+IF(DH333&gt;15,DH333-15,0)*1+IF(DH333&gt;16,DH333-16,0)*1+IF(DH333&gt;17,DH333-17,0)*1+IF(DH333&gt;18,DH333-18,0)*1+IF(DH333&gt;19,DH333-19,0)*1+IF(DH333&gt;20,DH333-20,0)*1</f>
        <v>1</v>
      </c>
      <c r="DL333" s="243">
        <f t="shared" si="2988"/>
        <v>86.769230769230802</v>
      </c>
      <c r="DM333" s="218">
        <f t="shared" si="2989"/>
        <v>0</v>
      </c>
      <c r="DN333" s="248"/>
      <c r="DO333" s="303" t="s">
        <v>485</v>
      </c>
      <c r="DP333" s="304" t="s">
        <v>172</v>
      </c>
      <c r="DQ333" s="304" t="s">
        <v>133</v>
      </c>
      <c r="DR333" s="120">
        <f>Konvention_1slave-MUslave</f>
        <v>12</v>
      </c>
      <c r="DS333" s="117"/>
      <c r="DT333" s="117"/>
      <c r="DU333" s="117">
        <f>Konvention_1slave-CHslave_CH</f>
        <v>11</v>
      </c>
      <c r="DV333" s="117"/>
      <c r="DW333" s="117">
        <f>Konvention_1slave-GEslave</f>
        <v>12</v>
      </c>
      <c r="DX333" s="117"/>
      <c r="DY333" s="121"/>
      <c r="DZ333" s="223">
        <f>(DR333+DS333+DT333+DU333+DV333+DW333+DX333+DY333)/3</f>
        <v>11.666666666666666</v>
      </c>
      <c r="EA333" s="223">
        <f t="shared" si="2990"/>
        <v>23.333333333333332</v>
      </c>
      <c r="EB333" s="224">
        <f t="shared" si="2991"/>
        <v>35</v>
      </c>
      <c r="EC333" s="237">
        <f>DR333*POWER(KLslave,SIGN(DS333))*POWER(INslave,SIGN(DT333))*POWER(CHslave_CH,SIGN(DU333))*POWER(FFslave,SIGN(DV333))*POWER(GEslave,SIGN(DW333))*POWER(KOslave,SIGN(DX333))*POWER(KKslave,SIGN(DY333))+DS333*POWER(MUslave,SIGN(DR333))*POWER(INslave,SIGN(DT333))*POWER(CHslave_CH,SIGN(DU333))*POWER(FFslave,SIGN(DV333))*POWER(GEslave,SIGN(DW333))*POWER(KOslave,SIGN(DX333))*POWER(KKslave,SIGN(DY333))+DT333*POWER(MUslave,SIGN(DR333))*POWER(KLslave,SIGN(DS333))*POWER(CHslave_CH,SIGN(DU333))*POWER(FFslave,SIGN(DV333))*POWER(GEslave,SIGN(DW333))*POWER(KOslave,SIGN(DX333))*POWER(KKslave,SIGN(DY333))+DU333*POWER(MUslave,SIGN(DR333))*POWER(KLslave,SIGN(DS333))*POWER(INslave,SIGN(DT333))*POWER(FFslave,SIGN(DV333))*POWER(GEslave,SIGN(DW333))*POWER(KOslave,SIGN(DX333))*POWER(KKslave,SIGN(DY333))+DV333*POWER(MUslave,SIGN(DR333))*POWER(KLslave,SIGN(DS333))*POWER(INslave,SIGN(DT333))*POWER(CHslave_CH,SIGN(DU333))*POWER(GEslave,SIGN(DW333))*POWER(KOslave,SIGN(DX333))*POWER(KKslave,SIGN(DY333))+DW333*POWER(MUslave,SIGN(DR333))*POWER(KLslave,SIGN(DS333))*POWER(INslave,SIGN(DT333))*POWER(CHslave_CH,SIGN(DU333))*POWER(FFslave,SIGN(DV333))*POWER(KOslave,SIGN(DX333))*POWER(KKslave,SIGN(DY333))+DX333*POWER(MUslave,SIGN(DR333))*POWER(KLslave,SIGN(DS333))*POWER(INslave,SIGN(DT333))*POWER(CHslave_CH,SIGN(DU333))*POWER(FFslave,SIGN(DV333))*POWER(GEslave,SIGN(DW333))*POWER(KKslave,SIGN(DY333))+DY333*POWER(MUslave,SIGN(DR333))*POWER(KLslave,SIGN(DS333))*POWER(INslave,SIGN(DT333))*POWER(CHslave_CH,SIGN(DU333))*POWER(FFslave,SIGN(DV333))*POWER(GEslave,SIGN(DW333))*POWER(KOslave,SIGN(DX333))</f>
        <v>2432</v>
      </c>
      <c r="ED333" s="117">
        <f>DR333*DU333*GEslave+DR333*CHslave_CH*DW333+MUslave*DU333*DW333</f>
        <v>3408</v>
      </c>
      <c r="EE333" s="224">
        <f>IFERROR(DR333^SIGN(DR333),1)*IFERROR(DS333^SIGN(DS333),1)*IFERROR(DT333^SIGN(DT333),1)*IFERROR(DU333^SIGN(DU333),1)*IFERROR(DV333^SIGN(DV333),1)*IFERROR(DW333^SIGN(DW333),1)*IFERROR(DX333^SIGN(DX333),1)*IFERROR(DY333^SIGN(DY333),1)</f>
        <v>1584</v>
      </c>
      <c r="EF333" s="224">
        <f t="shared" ref="EF333" si="3292">SUM(EC333:EE333)</f>
        <v>7424</v>
      </c>
      <c r="EG333" s="222">
        <f t="shared" si="2993"/>
        <v>3.8218390804597702</v>
      </c>
      <c r="EH333" s="223">
        <f t="shared" si="2994"/>
        <v>10.711206896551724</v>
      </c>
      <c r="EI333" s="243">
        <f t="shared" si="2995"/>
        <v>7.4676724137931032</v>
      </c>
      <c r="EJ333" s="243">
        <f t="shared" si="2996"/>
        <v>22.000718390804597</v>
      </c>
      <c r="EK333" s="252">
        <f t="shared" si="2931"/>
        <v>0</v>
      </c>
      <c r="EL333" s="324">
        <f t="shared" si="2997"/>
        <v>22.000718390804597</v>
      </c>
      <c r="EM333" s="304">
        <f>IF(EJ333&lt;=0,1,0)+IF(EJ333&gt;0,EJ333+1,0)*1+IF(EJ333&gt;12,EJ333-12,0)*1+IF(EJ333&gt;13,EJ333-13,0)*1+IF(EJ333&gt;14,EJ333-14,0)*1+IF(EJ333&gt;15,EJ333-15,0)*1+IF(EJ333&gt;16,EJ333-16,0)*1+IF(EJ333&gt;17,EJ333-17,0)*1+IF(EJ333&gt;18,EJ333-18,0)*1+IF(EJ333&gt;19,EJ333-19,0)*1+IF(EJ333&gt;20,EJ333-20,0)*1</f>
        <v>77.007183908045945</v>
      </c>
      <c r="EN333" s="335">
        <f>IF(EK333&lt;=0,1,0)+IF(EK333&gt;0,EK333+1,0)*1+IF(EK333&gt;12,EK333-12,0)*1+IF(EK333&gt;13,EK333-13,0)*1+IF(EK333&gt;14,EK333-14,0)*1+IF(EK333&gt;15,EK333-15,0)*1+IF(EK333&gt;16,EK333-16,0)*1+IF(EK333&gt;17,EK333-17,0)*1+IF(EK333&gt;18,EK333-18,0)*1+IF(EK333&gt;19,EK333-19,0)*1+IF(EK333&gt;20,EK333-20,0)*1</f>
        <v>1</v>
      </c>
      <c r="EO333" s="243">
        <f t="shared" si="2999"/>
        <v>76.007183908045945</v>
      </c>
      <c r="EP333" s="218">
        <f t="shared" si="3000"/>
        <v>0</v>
      </c>
      <c r="EQ333" s="248"/>
      <c r="ER333" s="303" t="s">
        <v>485</v>
      </c>
      <c r="ES333" s="304" t="s">
        <v>172</v>
      </c>
      <c r="ET333" s="304" t="s">
        <v>133</v>
      </c>
      <c r="EU333" s="120">
        <f>Konvention_1slave-MUslave</f>
        <v>12</v>
      </c>
      <c r="EV333" s="117"/>
      <c r="EW333" s="117"/>
      <c r="EX333" s="117">
        <f>Konvention_1slave-CHslave</f>
        <v>12</v>
      </c>
      <c r="EY333" s="117"/>
      <c r="EZ333" s="117">
        <f>Konvention_1slave-GEslave</f>
        <v>12</v>
      </c>
      <c r="FA333" s="117"/>
      <c r="FB333" s="121"/>
      <c r="FC333" s="223">
        <f>(EU333+EV333+EW333+EX333+EY333+EZ333+FA333+FB333)/3</f>
        <v>12</v>
      </c>
      <c r="FD333" s="223">
        <f t="shared" si="3001"/>
        <v>24</v>
      </c>
      <c r="FE333" s="224">
        <f t="shared" si="3002"/>
        <v>36</v>
      </c>
      <c r="FF333" s="237">
        <f>EU333*POWER(KLslave,SIGN(EV333))*POWER(INslave,SIGN(EW333))*POWER(CHslave,SIGN(EX333))*POWER(FFslave_FF,SIGN(EY333))*POWER(GEslave,SIGN(EZ333))*POWER(KOslave,SIGN(FA333))*POWER(KKslave,SIGN(FB333))+EV333*POWER(MUslave,SIGN(EU333))*POWER(INslave,SIGN(EW333))*POWER(CHslave,SIGN(EX333))*POWER(FFslave_FF,SIGN(EY333))*POWER(GEslave,SIGN(EZ333))*POWER(KOslave,SIGN(FA333))*POWER(KKslave,SIGN(FB333))+EW333*POWER(MUslave,SIGN(EU333))*POWER(KLslave,SIGN(EV333))*POWER(CHslave,SIGN(EX333))*POWER(FFslave_FF,SIGN(EY333))*POWER(GEslave,SIGN(EZ333))*POWER(KOslave,SIGN(FA333))*POWER(KKslave,SIGN(FB333))+EX333*POWER(MUslave,SIGN(EU333))*POWER(KLslave,SIGN(EV333))*POWER(INslave,SIGN(EW333))*POWER(FFslave_FF,SIGN(EY333))*POWER(GEslave,SIGN(EZ333))*POWER(KOslave,SIGN(FA333))*POWER(KKslave,SIGN(FB333))+EY333*POWER(MUslave,SIGN(EU333))*POWER(KLslave,SIGN(EV333))*POWER(INslave,SIGN(EW333))*POWER(CHslave,SIGN(EX333))*POWER(GEslave,SIGN(EZ333))*POWER(KOslave,SIGN(FA333))*POWER(KKslave,SIGN(FB333))+EZ333*POWER(MUslave,SIGN(EU333))*POWER(KLslave,SIGN(EV333))*POWER(INslave,SIGN(EW333))*POWER(CHslave,SIGN(EX333))*POWER(FFslave_FF,SIGN(EY333))*POWER(KOslave,SIGN(FA333))*POWER(KKslave,SIGN(FB333))+FA333*POWER(MUslave,SIGN(EU333))*POWER(KLslave,SIGN(EV333))*POWER(INslave,SIGN(EW333))*POWER(CHslave,SIGN(EX333))*POWER(FFslave_FF,SIGN(EY333))*POWER(GEslave,SIGN(EZ333))*POWER(KKslave,SIGN(FB333))+FB333*POWER(MUslave,SIGN(EU333))*POWER(KLslave,SIGN(EV333))*POWER(INslave,SIGN(EW333))*POWER(CHslave,SIGN(EX333))*POWER(FFslave_FF,SIGN(EY333))*POWER(GEslave,SIGN(EZ333))*POWER(KOslave,SIGN(FA333))</f>
        <v>2304</v>
      </c>
      <c r="FG333" s="117">
        <f>EU333*EX333*GEslave+EU333*CHslave*EZ333+MUslave*EX333*EZ333</f>
        <v>3456</v>
      </c>
      <c r="FH333" s="224">
        <f>IFERROR(EU333^SIGN(EU333),1)*IFERROR(EV333^SIGN(EV333),1)*IFERROR(EW333^SIGN(EW333),1)*IFERROR(EX333^SIGN(EX333),1)*IFERROR(EY333^SIGN(EY333),1)*IFERROR(EZ333^SIGN(EZ333),1)*IFERROR(FA333^SIGN(FA333),1)*IFERROR(FB333^SIGN(FB333),1)</f>
        <v>1728</v>
      </c>
      <c r="FI333" s="224">
        <f t="shared" ref="FI333" si="3293">SUM(FF333:FH333)</f>
        <v>7488</v>
      </c>
      <c r="FJ333" s="222">
        <f t="shared" si="3004"/>
        <v>3.6923076923076925</v>
      </c>
      <c r="FK333" s="223">
        <f t="shared" si="3005"/>
        <v>11.076923076923077</v>
      </c>
      <c r="FL333" s="243">
        <f t="shared" si="3006"/>
        <v>8.3076923076923084</v>
      </c>
      <c r="FM333" s="243">
        <f t="shared" si="3007"/>
        <v>23.07692307692308</v>
      </c>
      <c r="FN333" s="252">
        <f t="shared" si="2934"/>
        <v>0</v>
      </c>
      <c r="FO333" s="324">
        <f t="shared" si="3008"/>
        <v>23.07692307692308</v>
      </c>
      <c r="FP333" s="304">
        <f>IF(FM333&lt;=0,1,0)+IF(FM333&gt;0,FM333+1,0)*1+IF(FM333&gt;12,FM333-12,0)*1+IF(FM333&gt;13,FM333-13,0)*1+IF(FM333&gt;14,FM333-14,0)*1+IF(FM333&gt;15,FM333-15,0)*1+IF(FM333&gt;16,FM333-16,0)*1+IF(FM333&gt;17,FM333-17,0)*1+IF(FM333&gt;18,FM333-18,0)*1+IF(FM333&gt;19,FM333-19,0)*1+IF(FM333&gt;20,FM333-20,0)*1</f>
        <v>87.769230769230802</v>
      </c>
      <c r="FQ333" s="335">
        <f>IF(FN333&lt;=0,1,0)+IF(FN333&gt;0,FN333+1,0)*1+IF(FN333&gt;12,FN333-12,0)*1+IF(FN333&gt;13,FN333-13,0)*1+IF(FN333&gt;14,FN333-14,0)*1+IF(FN333&gt;15,FN333-15,0)*1+IF(FN333&gt;16,FN333-16,0)*1+IF(FN333&gt;17,FN333-17,0)*1+IF(FN333&gt;18,FN333-18,0)*1+IF(FN333&gt;19,FN333-19,0)*1+IF(FN333&gt;20,FN333-20,0)*1</f>
        <v>1</v>
      </c>
      <c r="FR333" s="243">
        <f t="shared" si="3010"/>
        <v>86.769230769230802</v>
      </c>
      <c r="FS333" s="218">
        <f t="shared" si="3011"/>
        <v>0</v>
      </c>
      <c r="FT333" s="248"/>
      <c r="FU333" s="303" t="s">
        <v>485</v>
      </c>
      <c r="FV333" s="304" t="s">
        <v>172</v>
      </c>
      <c r="FW333" s="304" t="s">
        <v>133</v>
      </c>
      <c r="FX333" s="120">
        <f>Konvention_1slave-MUslave</f>
        <v>12</v>
      </c>
      <c r="FY333" s="117"/>
      <c r="FZ333" s="117"/>
      <c r="GA333" s="117">
        <f>Konvention_1slave-CHslave</f>
        <v>12</v>
      </c>
      <c r="GB333" s="117"/>
      <c r="GC333" s="117">
        <f>Konvention_1slave-GEslave_GE</f>
        <v>11</v>
      </c>
      <c r="GD333" s="117"/>
      <c r="GE333" s="121"/>
      <c r="GF333" s="223">
        <f>(FX333+FY333+FZ333+GA333+GB333+GC333+GD333+GE333)/3</f>
        <v>11.666666666666666</v>
      </c>
      <c r="GG333" s="223">
        <f t="shared" si="3012"/>
        <v>23.333333333333332</v>
      </c>
      <c r="GH333" s="224">
        <f t="shared" si="3013"/>
        <v>35</v>
      </c>
      <c r="GI333" s="237">
        <f>FX333*POWER(KLslave,SIGN(FY333))*POWER(INslave,SIGN(FZ333))*POWER(CHslave,SIGN(GA333))*POWER(FFslave,SIGN(GB333))*POWER(GEslave_GE,SIGN(GC333))*POWER(KOslave,SIGN(GD333))*POWER(KKslave,SIGN(GE333))+FY333*POWER(MUslave,SIGN(FX333))*POWER(INslave,SIGN(FZ333))*POWER(CHslave,SIGN(GA333))*POWER(FFslave,SIGN(GB333))*POWER(GEslave_GE,SIGN(GC333))*POWER(KOslave,SIGN(GD333))*POWER(KKslave,SIGN(GE333))+FZ333*POWER(MUslave,SIGN(FX333))*POWER(KLslave,SIGN(FY333))*POWER(CHslave,SIGN(GA333))*POWER(FFslave,SIGN(GB333))*POWER(GEslave_GE,SIGN(GC333))*POWER(KOslave,SIGN(GD333))*POWER(KKslave,SIGN(GE333))+GA333*POWER(MUslave,SIGN(FX333))*POWER(KLslave,SIGN(FY333))*POWER(INslave,SIGN(FZ333))*POWER(FFslave,SIGN(GB333))*POWER(GEslave_GE,SIGN(GC333))*POWER(KOslave,SIGN(GD333))*POWER(KKslave,SIGN(GE333))+GB333*POWER(MUslave,SIGN(FX333))*POWER(KLslave,SIGN(FY333))*POWER(INslave,SIGN(FZ333))*POWER(CHslave,SIGN(GA333))*POWER(GEslave_GE,SIGN(GC333))*POWER(KOslave,SIGN(GD333))*POWER(KKslave,SIGN(GE333))+GC333*POWER(MUslave,SIGN(FX333))*POWER(KLslave,SIGN(FY333))*POWER(INslave,SIGN(FZ333))*POWER(CHslave,SIGN(GA333))*POWER(FFslave,SIGN(GB333))*POWER(KOslave,SIGN(GD333))*POWER(KKslave,SIGN(GE333))+GD333*POWER(MUslave,SIGN(FX333))*POWER(KLslave,SIGN(FY333))*POWER(INslave,SIGN(FZ333))*POWER(CHslave,SIGN(GA333))*POWER(FFslave,SIGN(GB333))*POWER(GEslave_GE,SIGN(GC333))*POWER(KKslave,SIGN(GE333))+GE333*POWER(MUslave,SIGN(FX333))*POWER(KLslave,SIGN(FY333))*POWER(INslave,SIGN(FZ333))*POWER(CHslave,SIGN(GA333))*POWER(FFslave,SIGN(GB333))*POWER(GEslave_GE,SIGN(GC333))*POWER(KOslave,SIGN(GD333))</f>
        <v>2432</v>
      </c>
      <c r="GJ333" s="117">
        <f>FX333*GA333*GEslave_GE+FX333*CHslave*GC333+MUslave*GA333*GC333</f>
        <v>3408</v>
      </c>
      <c r="GK333" s="224">
        <f>IFERROR(FX333^SIGN(FX333),1)*IFERROR(FY333^SIGN(FY333),1)*IFERROR(FZ333^SIGN(FZ333),1)*IFERROR(GA333^SIGN(GA333),1)*IFERROR(GB333^SIGN(GB333),1)*IFERROR(GC333^SIGN(GC333),1)*IFERROR(GD333^SIGN(GD333),1)*IFERROR(GE333^SIGN(GE333),1)</f>
        <v>1584</v>
      </c>
      <c r="GL333" s="224">
        <f t="shared" ref="GL333" si="3294">SUM(GI333:GK333)</f>
        <v>7424</v>
      </c>
      <c r="GM333" s="222">
        <f t="shared" si="3015"/>
        <v>3.8218390804597702</v>
      </c>
      <c r="GN333" s="223">
        <f t="shared" si="3016"/>
        <v>10.711206896551724</v>
      </c>
      <c r="GO333" s="243">
        <f t="shared" si="3017"/>
        <v>7.4676724137931032</v>
      </c>
      <c r="GP333" s="243">
        <f t="shared" si="3018"/>
        <v>22.000718390804597</v>
      </c>
      <c r="GQ333" s="252">
        <f t="shared" si="2937"/>
        <v>0</v>
      </c>
      <c r="GR333" s="324">
        <f t="shared" si="3019"/>
        <v>22.000718390804597</v>
      </c>
      <c r="GS333" s="304">
        <f>IF(GP333&lt;=0,1,0)+IF(GP333&gt;0,GP333+1,0)*1+IF(GP333&gt;12,GP333-12,0)*1+IF(GP333&gt;13,GP333-13,0)*1+IF(GP333&gt;14,GP333-14,0)*1+IF(GP333&gt;15,GP333-15,0)*1+IF(GP333&gt;16,GP333-16,0)*1+IF(GP333&gt;17,GP333-17,0)*1+IF(GP333&gt;18,GP333-18,0)*1+IF(GP333&gt;19,GP333-19,0)*1+IF(GP333&gt;20,GP333-20,0)*1</f>
        <v>77.007183908045945</v>
      </c>
      <c r="GT333" s="335">
        <f>IF(GQ333&lt;=0,1,0)+IF(GQ333&gt;0,GQ333+1,0)*1+IF(GQ333&gt;12,GQ333-12,0)*1+IF(GQ333&gt;13,GQ333-13,0)*1+IF(GQ333&gt;14,GQ333-14,0)*1+IF(GQ333&gt;15,GQ333-15,0)*1+IF(GQ333&gt;16,GQ333-16,0)*1+IF(GQ333&gt;17,GQ333-17,0)*1+IF(GQ333&gt;18,GQ333-18,0)*1+IF(GQ333&gt;19,GQ333-19,0)*1+IF(GQ333&gt;20,GQ333-20,0)*1</f>
        <v>1</v>
      </c>
      <c r="GU333" s="243">
        <f t="shared" si="3021"/>
        <v>76.007183908045945</v>
      </c>
      <c r="GV333" s="218">
        <f t="shared" si="3022"/>
        <v>0</v>
      </c>
      <c r="GW333" s="248"/>
      <c r="GX333" s="303" t="s">
        <v>485</v>
      </c>
      <c r="GY333" s="304" t="s">
        <v>172</v>
      </c>
      <c r="GZ333" s="304" t="s">
        <v>133</v>
      </c>
      <c r="HA333" s="120">
        <f>Konvention_1slave-MUslave</f>
        <v>12</v>
      </c>
      <c r="HB333" s="117"/>
      <c r="HC333" s="117"/>
      <c r="HD333" s="117">
        <f>Konvention_1slave-CHslave</f>
        <v>12</v>
      </c>
      <c r="HE333" s="117"/>
      <c r="HF333" s="117">
        <f>Konvention_1slave-GEslave</f>
        <v>12</v>
      </c>
      <c r="HG333" s="117"/>
      <c r="HH333" s="121"/>
      <c r="HI333" s="223">
        <f>(HA333+HB333+HC333+HD333+HE333+HF333+HG333+HH333)/3</f>
        <v>12</v>
      </c>
      <c r="HJ333" s="223">
        <f t="shared" si="3023"/>
        <v>24</v>
      </c>
      <c r="HK333" s="224">
        <f t="shared" si="3024"/>
        <v>36</v>
      </c>
      <c r="HL333" s="237">
        <f>HA333*POWER(KLslave,SIGN(HB333))*POWER(INslave,SIGN(HC333))*POWER(CHslave,SIGN(HD333))*POWER(FFslave,SIGN(HE333))*POWER(GEslave,SIGN(HF333))*POWER(KOslave_KO,SIGN(HG333))*POWER(KKslave,SIGN(HH333))+HB333*POWER(MUslave,SIGN(HA333))*POWER(INslave,SIGN(HC333))*POWER(CHslave,SIGN(HD333))*POWER(FFslave,SIGN(HE333))*POWER(GEslave,SIGN(HF333))*POWER(KOslave_KO,SIGN(HG333))*POWER(KKslave,SIGN(HH333))+HC333*POWER(MUslave,SIGN(HA333))*POWER(KLslave,SIGN(HB333))*POWER(CHslave,SIGN(HD333))*POWER(FFslave,SIGN(HE333))*POWER(GEslave,SIGN(HF333))*POWER(KOslave_KO,SIGN(HG333))*POWER(KKslave,SIGN(HH333))+HD333*POWER(MUslave,SIGN(HA333))*POWER(KLslave,SIGN(HB333))*POWER(INslave,SIGN(HC333))*POWER(FFslave,SIGN(HE333))*POWER(GEslave,SIGN(HF333))*POWER(KOslave_KO,SIGN(HG333))*POWER(KKslave,SIGN(HH333))+HE333*POWER(MUslave,SIGN(HA333))*POWER(KLslave,SIGN(HB333))*POWER(INslave,SIGN(HC333))*POWER(CHslave,SIGN(HD333))*POWER(GEslave,SIGN(HF333))*POWER(KOslave_KO,SIGN(HG333))*POWER(KKslave,SIGN(HH333))+HF333*POWER(MUslave,SIGN(HA333))*POWER(KLslave,SIGN(HB333))*POWER(INslave,SIGN(HC333))*POWER(CHslave,SIGN(HD333))*POWER(FFslave,SIGN(HE333))*POWER(KOslave_KO,SIGN(HG333))*POWER(KKslave,SIGN(HH333))+HG333*POWER(MUslave,SIGN(HA333))*POWER(KLslave,SIGN(HB333))*POWER(INslave,SIGN(HC333))*POWER(CHslave,SIGN(HD333))*POWER(FFslave,SIGN(HE333))*POWER(GEslave,SIGN(HF333))*POWER(KKslave,SIGN(HH333))+HH333*POWER(MUslave,SIGN(HA333))*POWER(KLslave,SIGN(HB333))*POWER(INslave,SIGN(HC333))*POWER(CHslave,SIGN(HD333))*POWER(FFslave,SIGN(HE333))*POWER(GEslave,SIGN(HF333))*POWER(KOslave_KO,SIGN(HG333))</f>
        <v>2304</v>
      </c>
      <c r="HM333" s="117">
        <f>HA333*HD333*GEslave+HA333*CHslave*HF333+MUslave*HD333*HF333</f>
        <v>3456</v>
      </c>
      <c r="HN333" s="224">
        <f>IFERROR(HA333^SIGN(HA333),1)*IFERROR(HB333^SIGN(HB333),1)*IFERROR(HC333^SIGN(HC333),1)*IFERROR(HD333^SIGN(HD333),1)*IFERROR(HE333^SIGN(HE333),1)*IFERROR(HF333^SIGN(HF333),1)*IFERROR(HG333^SIGN(HG333),1)*IFERROR(HH333^SIGN(HH333),1)</f>
        <v>1728</v>
      </c>
      <c r="HO333" s="224">
        <f t="shared" ref="HO333" si="3295">SUM(HL333:HN333)</f>
        <v>7488</v>
      </c>
      <c r="HP333" s="222">
        <f t="shared" si="3026"/>
        <v>3.6923076923076925</v>
      </c>
      <c r="HQ333" s="223">
        <f t="shared" si="3027"/>
        <v>11.076923076923077</v>
      </c>
      <c r="HR333" s="243">
        <f t="shared" si="3028"/>
        <v>8.3076923076923084</v>
      </c>
      <c r="HS333" s="243">
        <f t="shared" si="3029"/>
        <v>23.07692307692308</v>
      </c>
      <c r="HT333" s="252">
        <f t="shared" si="2940"/>
        <v>0</v>
      </c>
      <c r="HU333" s="324">
        <f t="shared" si="3030"/>
        <v>23.07692307692308</v>
      </c>
      <c r="HV333" s="304">
        <f>IF(HS333&lt;=0,1,0)+IF(HS333&gt;0,HS333+1,0)*1+IF(HS333&gt;12,HS333-12,0)*1+IF(HS333&gt;13,HS333-13,0)*1+IF(HS333&gt;14,HS333-14,0)*1+IF(HS333&gt;15,HS333-15,0)*1+IF(HS333&gt;16,HS333-16,0)*1+IF(HS333&gt;17,HS333-17,0)*1+IF(HS333&gt;18,HS333-18,0)*1+IF(HS333&gt;19,HS333-19,0)*1+IF(HS333&gt;20,HS333-20,0)*1</f>
        <v>87.769230769230802</v>
      </c>
      <c r="HW333" s="335">
        <f>IF(HT333&lt;=0,1,0)+IF(HT333&gt;0,HT333+1,0)*1+IF(HT333&gt;12,HT333-12,0)*1+IF(HT333&gt;13,HT333-13,0)*1+IF(HT333&gt;14,HT333-14,0)*1+IF(HT333&gt;15,HT333-15,0)*1+IF(HT333&gt;16,HT333-16,0)*1+IF(HT333&gt;17,HT333-17,0)*1+IF(HT333&gt;18,HT333-18,0)*1+IF(HT333&gt;19,HT333-19,0)*1+IF(HT333&gt;20,HT333-20,0)*1</f>
        <v>1</v>
      </c>
      <c r="HX333" s="243">
        <f t="shared" si="3032"/>
        <v>86.769230769230802</v>
      </c>
      <c r="HY333" s="218">
        <f t="shared" si="3033"/>
        <v>0</v>
      </c>
      <c r="HZ333" s="248"/>
      <c r="IA333" s="303" t="s">
        <v>485</v>
      </c>
      <c r="IB333" s="304" t="s">
        <v>172</v>
      </c>
      <c r="IC333" s="304" t="s">
        <v>133</v>
      </c>
      <c r="ID333" s="120">
        <f>Konvention_1slave-MUslave</f>
        <v>12</v>
      </c>
      <c r="IE333" s="117"/>
      <c r="IF333" s="117"/>
      <c r="IG333" s="117">
        <f>Konvention_1slave-CHslave</f>
        <v>12</v>
      </c>
      <c r="IH333" s="117"/>
      <c r="II333" s="117">
        <f>Konvention_1slave-GEslave</f>
        <v>12</v>
      </c>
      <c r="IJ333" s="117"/>
      <c r="IK333" s="121"/>
      <c r="IL333" s="223">
        <f>(ID333+IE333+IF333+IG333+IH333+II333+IJ333+IK333)/3</f>
        <v>12</v>
      </c>
      <c r="IM333" s="223">
        <f t="shared" si="3034"/>
        <v>24</v>
      </c>
      <c r="IN333" s="224">
        <f t="shared" si="3035"/>
        <v>36</v>
      </c>
      <c r="IO333" s="237">
        <f>ID333*POWER(KLslave,SIGN(IE333))*POWER(INslave,SIGN(IF333))*POWER(CHslave,SIGN(IG333))*POWER(FFslave,SIGN(IH333))*POWER(GEslave,SIGN(II333))*POWER(KOslave,SIGN(IJ333))*POWER(KKslave_KK,SIGN(IK333))+IE333*POWER(MUslave,SIGN(ID333))*POWER(INslave,SIGN(IF333))*POWER(CHslave,SIGN(IG333))*POWER(FFslave,SIGN(IH333))*POWER(GEslave,SIGN(II333))*POWER(KOslave,SIGN(IJ333))*POWER(KKslave_KK,SIGN(IK333))+IF333*POWER(MUslave,SIGN(ID333))*POWER(KLslave,SIGN(IE333))*POWER(CHslave,SIGN(IG333))*POWER(FFslave,SIGN(IH333))*POWER(GEslave,SIGN(II333))*POWER(KOslave,SIGN(IJ333))*POWER(KKslave_KK,SIGN(IK333))+IG333*POWER(MUslave,SIGN(ID333))*POWER(KLslave,SIGN(IE333))*POWER(INslave,SIGN(IF333))*POWER(FFslave,SIGN(IH333))*POWER(GEslave,SIGN(II333))*POWER(KOslave,SIGN(IJ333))*POWER(KKslave_KK,SIGN(IK333))+IH333*POWER(MUslave,SIGN(ID333))*POWER(KLslave,SIGN(IE333))*POWER(INslave,SIGN(IF333))*POWER(CHslave,SIGN(IG333))*POWER(GEslave,SIGN(II333))*POWER(KOslave,SIGN(IJ333))*POWER(KKslave_KK,SIGN(IK333))+II333*POWER(MUslave,SIGN(ID333))*POWER(KLslave,SIGN(IE333))*POWER(INslave,SIGN(IF333))*POWER(CHslave,SIGN(IG333))*POWER(FFslave,SIGN(IH333))*POWER(KOslave,SIGN(IJ333))*POWER(KKslave_KK,SIGN(IK333))+IJ333*POWER(MUslave,SIGN(ID333))*POWER(KLslave,SIGN(IE333))*POWER(INslave,SIGN(IF333))*POWER(CHslave,SIGN(IG333))*POWER(FFslave,SIGN(IH333))*POWER(GEslave,SIGN(II333))*POWER(KKslave_KK,SIGN(IK333))+IK333*POWER(MUslave,SIGN(ID333))*POWER(KLslave,SIGN(IE333))*POWER(INslave,SIGN(IF333))*POWER(CHslave,SIGN(IG333))*POWER(FFslave,SIGN(IH333))*POWER(GEslave,SIGN(II333))*POWER(KOslave,SIGN(IJ333))</f>
        <v>2304</v>
      </c>
      <c r="IP333" s="117">
        <f>ID333*IG333*GEslave+ID333*CHslave*II333+MUslave*IG333*II333</f>
        <v>3456</v>
      </c>
      <c r="IQ333" s="224">
        <f>IFERROR(ID333^SIGN(ID333),1)*IFERROR(IE333^SIGN(IE333),1)*IFERROR(IF333^SIGN(IF333),1)*IFERROR(IG333^SIGN(IG333),1)*IFERROR(IH333^SIGN(IH333),1)*IFERROR(II333^SIGN(II333),1)*IFERROR(IJ333^SIGN(IJ333),1)*IFERROR(IK333^SIGN(IK333),1)</f>
        <v>1728</v>
      </c>
      <c r="IR333" s="224">
        <f t="shared" ref="IR333" si="3296">SUM(IO333:IQ333)</f>
        <v>7488</v>
      </c>
      <c r="IS333" s="222">
        <f t="shared" si="3037"/>
        <v>3.6923076923076925</v>
      </c>
      <c r="IT333" s="223">
        <f t="shared" si="3038"/>
        <v>11.076923076923077</v>
      </c>
      <c r="IU333" s="243">
        <f t="shared" si="3039"/>
        <v>8.3076923076923084</v>
      </c>
      <c r="IV333" s="243">
        <f t="shared" si="3040"/>
        <v>23.07692307692308</v>
      </c>
      <c r="IW333" s="252">
        <f t="shared" si="2943"/>
        <v>0</v>
      </c>
      <c r="IX333" s="324">
        <f t="shared" si="3041"/>
        <v>23.07692307692308</v>
      </c>
      <c r="IY333" s="304">
        <f>IF(IV333&lt;=0,1,0)+IF(IV333&gt;0,IV333+1,0)*1+IF(IV333&gt;12,IV333-12,0)*1+IF(IV333&gt;13,IV333-13,0)*1+IF(IV333&gt;14,IV333-14,0)*1+IF(IV333&gt;15,IV333-15,0)*1+IF(IV333&gt;16,IV333-16,0)*1+IF(IV333&gt;17,IV333-17,0)*1+IF(IV333&gt;18,IV333-18,0)*1+IF(IV333&gt;19,IV333-19,0)*1+IF(IV333&gt;20,IV333-20,0)*1</f>
        <v>87.769230769230802</v>
      </c>
      <c r="IZ333" s="335">
        <f>IF(IW333&lt;=0,1,0)+IF(IW333&gt;0,IW333+1,0)*1+IF(IW333&gt;12,IW333-12,0)*1+IF(IW333&gt;13,IW333-13,0)*1+IF(IW333&gt;14,IW333-14,0)*1+IF(IW333&gt;15,IW333-15,0)*1+IF(IW333&gt;16,IW333-16,0)*1+IF(IW333&gt;17,IW333-17,0)*1+IF(IW333&gt;18,IW333-18,0)*1+IF(IW333&gt;19,IW333-19,0)*1+IF(IW333&gt;20,IW333-20,0)*1</f>
        <v>1</v>
      </c>
      <c r="JA333" s="243">
        <f t="shared" si="3043"/>
        <v>86.769230769230802</v>
      </c>
      <c r="JB333" s="218">
        <f t="shared" si="3044"/>
        <v>0</v>
      </c>
      <c r="JE333" s="148"/>
    </row>
    <row r="334" spans="1:265" hidden="1" outlineLevel="2">
      <c r="A334" s="185"/>
      <c r="B334" s="148">
        <v>12</v>
      </c>
      <c r="C334" s="303" t="e">
        <f>VLOOKUP(AF334,Attribute!C:T,1,FALSE)</f>
        <v>#N/A</v>
      </c>
      <c r="D334" s="304" t="s">
        <v>77</v>
      </c>
      <c r="E334" s="304" t="s">
        <v>132</v>
      </c>
      <c r="F334" s="114"/>
      <c r="G334" s="113"/>
      <c r="H334" s="113"/>
      <c r="I334" s="113"/>
      <c r="J334" s="113"/>
      <c r="K334" s="113">
        <f>Konvention_1master-GEmaster</f>
        <v>12</v>
      </c>
      <c r="L334" s="113">
        <f>Konvention_1master-KOmaster</f>
        <v>12</v>
      </c>
      <c r="M334" s="119">
        <f>Konvention_1master-KKmaster</f>
        <v>12</v>
      </c>
      <c r="N334" s="223">
        <f>(F334+G334+H334+I334+J334+K334+L334+M334)/3</f>
        <v>12</v>
      </c>
      <c r="O334" s="223">
        <f t="shared" si="2945"/>
        <v>24</v>
      </c>
      <c r="P334" s="224">
        <f t="shared" si="2946"/>
        <v>36</v>
      </c>
      <c r="Q334" s="237">
        <f>F334*POWER(KLmaster,SIGN(G334))*POWER(INmaster,SIGN(H334))*POWER(CHmaster,SIGN(I334))*POWER(FFmaster,SIGN(J334))*POWER(GEmaster,SIGN(K334))*POWER(KOmaster,SIGN(L334))*POWER(KKmaster,SIGN(M334))+G334*POWER(MUmaster,SIGN(F334))*POWER(INmaster,SIGN(H334))*POWER(CHmaster,SIGN(I334))*POWER(FFmaster,SIGN(J334))*POWER(GEmaster,SIGN(K334))*POWER(KOmaster,SIGN(L334))*POWER(KKmaster,SIGN(M334))+H334*POWER(MUmaster,SIGN(F334))*POWER(KLmaster,SIGN(G334))*POWER(CHmaster,SIGN(I334))*POWER(FFmaster,SIGN(J334))*POWER(GEmaster,SIGN(K334))*POWER(KOmaster,SIGN(L334))*POWER(KKmaster,SIGN(M334))+I334*POWER(MUmaster,SIGN(F334))*POWER(KLmaster,SIGN(G334))*POWER(INmaster,SIGN(H334))*POWER(FFmaster,SIGN(J334))*POWER(GEmaster,SIGN(K334))*POWER(KOmaster,SIGN(L334))*POWER(KKmaster,SIGN(M334))+J334*POWER(MUmaster,SIGN(F334))*POWER(KLmaster,SIGN(G334))*POWER(INmaster,SIGN(H334))*POWER(CHmaster,SIGN(I334))*POWER(GEmaster,SIGN(K334))*POWER(KOmaster,SIGN(L334))*POWER(KKmaster,SIGN(M334))+K334*POWER(MUmaster,SIGN(F334))*POWER(KLmaster,SIGN(G334))*POWER(INmaster,SIGN(H334))*POWER(CHmaster,SIGN(I334))*POWER(FFmaster,SIGN(J334))*POWER(KOmaster,SIGN(L334))*POWER(KKmaster,SIGN(M334))+L334*POWER(MUmaster,SIGN(F334))*POWER(KLmaster,SIGN(G334))*POWER(INmaster,SIGN(H334))*POWER(CHmaster,SIGN(I334))*POWER(FFmaster,SIGN(J334))*POWER(GEmaster,SIGN(K334))*POWER(KKmaster,SIGN(M334))+M334*POWER(MUmaster,SIGN(F334))*POWER(KLmaster,SIGN(G334))*POWER(INmaster,SIGN(H334))*POWER(CHmaster,SIGN(I334))*POWER(FFmaster,SIGN(J334))*POWER(GEmaster,SIGN(K334))*POWER(KOmaster,SIGN(L334))</f>
        <v>2304</v>
      </c>
      <c r="R334" s="113">
        <f>K334*L334*KKmaster+K334*KOmaster*M334+GEmaster*L334*M334</f>
        <v>3456</v>
      </c>
      <c r="S334" s="224">
        <f t="shared" ref="S334:S335" si="3297">IFERROR(F334^SIGN(F334),1)*IFERROR(G334^SIGN(G334),1)*IFERROR(H334^SIGN(H334),1)*IFERROR(I334^SIGN(I334),1)*IFERROR(J334^SIGN(J334),1)*IFERROR(K334^SIGN(K334),1)*IFERROR(L334^SIGN(L334),1)*IFERROR(M334^SIGN(M334),1)</f>
        <v>1728</v>
      </c>
      <c r="T334" s="224">
        <f t="shared" ref="T334:T335" si="3298">SUM(Q334:S334)</f>
        <v>7488</v>
      </c>
      <c r="U334" s="222">
        <f t="shared" si="2948"/>
        <v>3.6923076923076925</v>
      </c>
      <c r="V334" s="223">
        <f t="shared" si="2949"/>
        <v>11.076923076923077</v>
      </c>
      <c r="W334" s="243">
        <f t="shared" si="2950"/>
        <v>8.3076923076923084</v>
      </c>
      <c r="X334" s="243">
        <f t="shared" si="2951"/>
        <v>23.07692307692308</v>
      </c>
      <c r="Y334" s="252">
        <v>0</v>
      </c>
      <c r="Z334" s="324">
        <f t="shared" si="2952"/>
        <v>23.07692307692308</v>
      </c>
      <c r="AA334" s="304">
        <f t="shared" ref="AA334:AA336" si="3299">IF(X334&lt;=0,2,0)+IF(X334&gt;0,X334+1,0)*2+IF(X334&gt;12,X334-12,0)*2+IF(X334&gt;13,X334-13,0)*2+IF(X334&gt;14,X334-14,0)*2+IF(X334&gt;15,X334-15,0)*2+IF(X334&gt;16,X334-16,0)*2+IF(X334&gt;17,X334-17,0)*2+IF(X334&gt;18,X334-18,0)*2+IF(X334&gt;19,X334-19,0)*2+IF(X334&gt;20,X334-20,0)*2</f>
        <v>175.5384615384616</v>
      </c>
      <c r="AB334" s="335">
        <f t="shared" ref="AB334:AB336" si="3300">IF(Y334&lt;=0,2,0)+IF(Y334&gt;0,Y334+1,0)*2+IF(Y334&gt;12,Y334-12,0)*2+IF(Y334&gt;13,Y334-13,0)*2+IF(Y334&gt;14,Y334-14,0)*2+IF(Y334&gt;15,Y334-15,0)*2+IF(Y334&gt;16,Y334-16,0)*2+IF(Y334&gt;17,Y334-17,0)*2+IF(Y334&gt;18,Y334-18,0)*2+IF(Y334&gt;19,Y334-19,0)*2+IF(Y334&gt;20,Y334-20,0)*2</f>
        <v>2</v>
      </c>
      <c r="AC334" s="243">
        <f t="shared" si="2955"/>
        <v>173.5384615384616</v>
      </c>
      <c r="AD334" s="218">
        <f t="shared" si="2956"/>
        <v>0</v>
      </c>
      <c r="AE334" s="140"/>
      <c r="AF334" s="303" t="s">
        <v>486</v>
      </c>
      <c r="AG334" s="304" t="s">
        <v>77</v>
      </c>
      <c r="AH334" s="304" t="s">
        <v>132</v>
      </c>
      <c r="AI334" s="114"/>
      <c r="AJ334" s="113"/>
      <c r="AK334" s="113"/>
      <c r="AL334" s="113"/>
      <c r="AM334" s="113"/>
      <c r="AN334" s="113">
        <f>Konvention_1slave-GEslave</f>
        <v>12</v>
      </c>
      <c r="AO334" s="113">
        <f>Konvention_1slave-KOslave</f>
        <v>12</v>
      </c>
      <c r="AP334" s="119">
        <f>Konvention_1slave-KKslave</f>
        <v>12</v>
      </c>
      <c r="AQ334" s="223">
        <f>(AI334+AJ334+AK334+AL334+AM334+AN334+AO334+AP334)/3</f>
        <v>12</v>
      </c>
      <c r="AR334" s="223">
        <f t="shared" si="2957"/>
        <v>24</v>
      </c>
      <c r="AS334" s="224">
        <f t="shared" si="2958"/>
        <v>36</v>
      </c>
      <c r="AT334" s="237">
        <f>AI334*POWER(KLslave,SIGN(AJ334))*POWER(INslave,SIGN(AK334))*POWER(CHslave,SIGN(AL334))*POWER(FFslave,SIGN(AM334))*POWER(GEslave,SIGN(AN334))*POWER(KOslave,SIGN(AO334))*POWER(KKslave,SIGN(AP334))+AJ334*POWER(MUslave_MU,SIGN(AI334))*POWER(INslave,SIGN(AK334))*POWER(CHslave,SIGN(AL334))*POWER(FFslave,SIGN(AM334))*POWER(GEslave,SIGN(AN334))*POWER(KOslave,SIGN(AO334))*POWER(KKslave,SIGN(AP334))+AK334*POWER(MUslave_MU,SIGN(AI334))*POWER(KLslave,SIGN(AJ334))*POWER(CHslave,SIGN(AL334))*POWER(FFslave,SIGN(AM334))*POWER(GEslave,SIGN(AN334))*POWER(KOslave,SIGN(AO334))*POWER(KKslave,SIGN(AP334))+AL334*POWER(MUslave_MU,SIGN(AI334))*POWER(KLslave,SIGN(AJ334))*POWER(INslave,SIGN(AK334))*POWER(FFslave,SIGN(AM334))*POWER(GEslave,SIGN(AN334))*POWER(KOslave,SIGN(AO334))*POWER(KKslave,SIGN(AP334))+AM334*POWER(MUslave_MU,SIGN(AI334))*POWER(KLslave,SIGN(AJ334))*POWER(INslave,SIGN(AK334))*POWER(CHslave,SIGN(AL334))*POWER(GEslave,SIGN(AN334))*POWER(KOslave,SIGN(AO334))*POWER(KKslave,SIGN(AP334))+AN334*POWER(MUslave_MU,SIGN(AI334))*POWER(KLslave,SIGN(AJ334))*POWER(INslave,SIGN(AK334))*POWER(CHslave,SIGN(AL334))*POWER(FFslave,SIGN(AM334))*POWER(KOslave,SIGN(AO334))*POWER(KKslave,SIGN(AP334))+AO334*POWER(MUslave_MU,SIGN(AI334))*POWER(KLslave,SIGN(AJ334))*POWER(INslave,SIGN(AK334))*POWER(CHslave,SIGN(AL334))*POWER(FFslave,SIGN(AM334))*POWER(GEslave,SIGN(AN334))*POWER(KKslave,SIGN(AP334))+AP334*POWER(MUslave_MU,SIGN(AI334))*POWER(KLslave,SIGN(AJ334))*POWER(INslave,SIGN(AK334))*POWER(CHslave,SIGN(AL334))*POWER(FFslave,SIGN(AM334))*POWER(GEslave,SIGN(AN334))*POWER(KOslave,SIGN(AO334))</f>
        <v>2304</v>
      </c>
      <c r="AU334" s="113">
        <f>AN334*AO334*KKslave+AN334*KOslave*AP334+GEslave*AO334*AP334</f>
        <v>3456</v>
      </c>
      <c r="AV334" s="224">
        <f t="shared" ref="AV334:AV335" si="3301">IFERROR(AI334^SIGN(AI334),1)*IFERROR(AJ334^SIGN(AJ334),1)*IFERROR(AK334^SIGN(AK334),1)*IFERROR(AL334^SIGN(AL334),1)*IFERROR(AM334^SIGN(AM334),1)*IFERROR(AN334^SIGN(AN334),1)*IFERROR(AO334^SIGN(AO334),1)*IFERROR(AP334^SIGN(AP334),1)</f>
        <v>1728</v>
      </c>
      <c r="AW334" s="224">
        <f t="shared" ref="AW334:AW335" si="3302">SUM(AT334:AV334)</f>
        <v>7488</v>
      </c>
      <c r="AX334" s="222">
        <f t="shared" si="2960"/>
        <v>3.6923076923076925</v>
      </c>
      <c r="AY334" s="223">
        <f t="shared" si="2961"/>
        <v>11.076923076923077</v>
      </c>
      <c r="AZ334" s="243">
        <f t="shared" si="2962"/>
        <v>8.3076923076923084</v>
      </c>
      <c r="BA334" s="243">
        <f t="shared" si="2963"/>
        <v>23.07692307692308</v>
      </c>
      <c r="BB334" s="252">
        <f t="shared" si="2034"/>
        <v>0</v>
      </c>
      <c r="BC334" s="324">
        <f t="shared" si="2964"/>
        <v>23.07692307692308</v>
      </c>
      <c r="BD334" s="304">
        <f t="shared" ref="BD334:BE336" si="3303">IF(BA334&lt;=0,2,0)+IF(BA334&gt;0,BA334+1,0)*2+IF(BA334&gt;12,BA334-12,0)*2+IF(BA334&gt;13,BA334-13,0)*2+IF(BA334&gt;14,BA334-14,0)*2+IF(BA334&gt;15,BA334-15,0)*2+IF(BA334&gt;16,BA334-16,0)*2+IF(BA334&gt;17,BA334-17,0)*2+IF(BA334&gt;18,BA334-18,0)*2+IF(BA334&gt;19,BA334-19,0)*2+IF(BA334&gt;20,BA334-20,0)*2</f>
        <v>175.5384615384616</v>
      </c>
      <c r="BE334" s="335">
        <f t="shared" si="3303"/>
        <v>2</v>
      </c>
      <c r="BF334" s="243">
        <f t="shared" si="2966"/>
        <v>173.5384615384616</v>
      </c>
      <c r="BG334" s="218">
        <f t="shared" si="2967"/>
        <v>0</v>
      </c>
      <c r="BH334" s="248"/>
      <c r="BI334" s="303" t="s">
        <v>486</v>
      </c>
      <c r="BJ334" s="304" t="s">
        <v>77</v>
      </c>
      <c r="BK334" s="304" t="s">
        <v>132</v>
      </c>
      <c r="BL334" s="114"/>
      <c r="BM334" s="113"/>
      <c r="BN334" s="113"/>
      <c r="BO334" s="113"/>
      <c r="BP334" s="113"/>
      <c r="BQ334" s="113">
        <f>Konvention_1slave-GEslave</f>
        <v>12</v>
      </c>
      <c r="BR334" s="113">
        <f>Konvention_1slave-KOslave</f>
        <v>12</v>
      </c>
      <c r="BS334" s="119">
        <f>Konvention_1slave-KKslave</f>
        <v>12</v>
      </c>
      <c r="BT334" s="223">
        <f>(BL334+BM334+BN334+BO334+BP334+BQ334+BR334+BS334)/3</f>
        <v>12</v>
      </c>
      <c r="BU334" s="223">
        <f t="shared" si="2968"/>
        <v>24</v>
      </c>
      <c r="BV334" s="224">
        <f t="shared" si="2969"/>
        <v>36</v>
      </c>
      <c r="BW334" s="237">
        <f>BL334*POWER(KLslave_KL,SIGN(BM334))*POWER(INslave,SIGN(BN334))*POWER(CHslave,SIGN(BO334))*POWER(FFslave,SIGN(BP334))*POWER(GEslave,SIGN(BQ334))*POWER(KOslave,SIGN(BR334))*POWER(KKslave,SIGN(BS334))+BM334*POWER(MUslave,SIGN(BL334))*POWER(INslave,SIGN(BN334))*POWER(CHslave,SIGN(BO334))*POWER(FFslave,SIGN(BP334))*POWER(GEslave,SIGN(BQ334))*POWER(KOslave,SIGN(BR334))*POWER(KKslave,SIGN(BS334))+BN334*POWER(MUslave,SIGN(BL334))*POWER(KLslave_KL,SIGN(BM334))*POWER(CHslave,SIGN(BO334))*POWER(FFslave,SIGN(BP334))*POWER(GEslave,SIGN(BQ334))*POWER(KOslave,SIGN(BR334))*POWER(KKslave,SIGN(BS334))+BO334*POWER(MUslave,SIGN(BL334))*POWER(KLslave_KL,SIGN(BM334))*POWER(INslave,SIGN(BN334))*POWER(FFslave,SIGN(BP334))*POWER(GEslave,SIGN(BQ334))*POWER(KOslave,SIGN(BR334))*POWER(KKslave,SIGN(BS334))+BP334*POWER(MUslave,SIGN(BL334))*POWER(KLslave_KL,SIGN(BM334))*POWER(INslave,SIGN(BN334))*POWER(CHslave,SIGN(BO334))*POWER(GEslave,SIGN(BQ334))*POWER(KOslave,SIGN(BR334))*POWER(KKslave,SIGN(BS334))+BQ334*POWER(MUslave,SIGN(BL334))*POWER(KLslave_KL,SIGN(BM334))*POWER(INslave,SIGN(BN334))*POWER(CHslave,SIGN(BO334))*POWER(FFslave,SIGN(BP334))*POWER(KOslave,SIGN(BR334))*POWER(KKslave,SIGN(BS334))+BR334*POWER(MUslave,SIGN(BL334))*POWER(KLslave_KL,SIGN(BM334))*POWER(INslave,SIGN(BN334))*POWER(CHslave,SIGN(BO334))*POWER(FFslave,SIGN(BP334))*POWER(GEslave,SIGN(BQ334))*POWER(KKslave,SIGN(BS334))+BS334*POWER(MUslave,SIGN(BL334))*POWER(KLslave_KL,SIGN(BM334))*POWER(INslave,SIGN(BN334))*POWER(CHslave,SIGN(BO334))*POWER(FFslave,SIGN(BP334))*POWER(GEslave,SIGN(BQ334))*POWER(KOslave,SIGN(BR334))</f>
        <v>2304</v>
      </c>
      <c r="BX334" s="113">
        <f>BQ334*BR334*KKslave+BQ334*KOslave*BS334+GEslave*BR334*BS334</f>
        <v>3456</v>
      </c>
      <c r="BY334" s="224">
        <f t="shared" ref="BY334:BY335" si="3304">IFERROR(BL334^SIGN(BL334),1)*IFERROR(BM334^SIGN(BM334),1)*IFERROR(BN334^SIGN(BN334),1)*IFERROR(BO334^SIGN(BO334),1)*IFERROR(BP334^SIGN(BP334),1)*IFERROR(BQ334^SIGN(BQ334),1)*IFERROR(BR334^SIGN(BR334),1)*IFERROR(BS334^SIGN(BS334),1)</f>
        <v>1728</v>
      </c>
      <c r="BZ334" s="224">
        <f t="shared" ref="BZ334:BZ335" si="3305">SUM(BW334:BY334)</f>
        <v>7488</v>
      </c>
      <c r="CA334" s="222">
        <f t="shared" si="2971"/>
        <v>3.6923076923076925</v>
      </c>
      <c r="CB334" s="223">
        <f t="shared" si="2972"/>
        <v>11.076923076923077</v>
      </c>
      <c r="CC334" s="243">
        <f t="shared" si="2973"/>
        <v>8.3076923076923084</v>
      </c>
      <c r="CD334" s="243">
        <f t="shared" si="2974"/>
        <v>23.07692307692308</v>
      </c>
      <c r="CE334" s="252">
        <f t="shared" si="2925"/>
        <v>0</v>
      </c>
      <c r="CF334" s="324">
        <f t="shared" si="2975"/>
        <v>23.07692307692308</v>
      </c>
      <c r="CG334" s="304">
        <f t="shared" ref="CG334:CH336" si="3306">IF(CD334&lt;=0,2,0)+IF(CD334&gt;0,CD334+1,0)*2+IF(CD334&gt;12,CD334-12,0)*2+IF(CD334&gt;13,CD334-13,0)*2+IF(CD334&gt;14,CD334-14,0)*2+IF(CD334&gt;15,CD334-15,0)*2+IF(CD334&gt;16,CD334-16,0)*2+IF(CD334&gt;17,CD334-17,0)*2+IF(CD334&gt;18,CD334-18,0)*2+IF(CD334&gt;19,CD334-19,0)*2+IF(CD334&gt;20,CD334-20,0)*2</f>
        <v>175.5384615384616</v>
      </c>
      <c r="CH334" s="335">
        <f t="shared" si="3306"/>
        <v>2</v>
      </c>
      <c r="CI334" s="243">
        <f t="shared" si="2977"/>
        <v>173.5384615384616</v>
      </c>
      <c r="CJ334" s="218">
        <f t="shared" si="2978"/>
        <v>0</v>
      </c>
      <c r="CK334" s="248"/>
      <c r="CL334" s="303" t="s">
        <v>486</v>
      </c>
      <c r="CM334" s="304" t="s">
        <v>77</v>
      </c>
      <c r="CN334" s="304" t="s">
        <v>132</v>
      </c>
      <c r="CO334" s="114"/>
      <c r="CP334" s="113"/>
      <c r="CQ334" s="113"/>
      <c r="CR334" s="113"/>
      <c r="CS334" s="113"/>
      <c r="CT334" s="113">
        <f>Konvention_1slave-GEslave</f>
        <v>12</v>
      </c>
      <c r="CU334" s="113">
        <f>Konvention_1slave-KOslave</f>
        <v>12</v>
      </c>
      <c r="CV334" s="119">
        <f>Konvention_1slave-KKslave</f>
        <v>12</v>
      </c>
      <c r="CW334" s="223">
        <f>(CO334+CP334+CQ334+CR334+CS334+CT334+CU334+CV334)/3</f>
        <v>12</v>
      </c>
      <c r="CX334" s="223">
        <f t="shared" si="2979"/>
        <v>24</v>
      </c>
      <c r="CY334" s="224">
        <f t="shared" si="2980"/>
        <v>36</v>
      </c>
      <c r="CZ334" s="237">
        <f>CO334*POWER(KLslave,SIGN(CP334))*POWER(INslave_IN,SIGN(CQ334))*POWER(CHslave,SIGN(CR334))*POWER(FFslave,SIGN(CS334))*POWER(GEslave,SIGN(CT334))*POWER(KOslave,SIGN(CU334))*POWER(KKslave,SIGN(CV334))+CP334*POWER(MUslave,SIGN(CO334))*POWER(INslave_IN,SIGN(CQ334))*POWER(CHslave,SIGN(CR334))*POWER(FFslave,SIGN(CS334))*POWER(GEslave,SIGN(CT334))*POWER(KOslave,SIGN(CU334))*POWER(KKslave,SIGN(CV334))+CQ334*POWER(MUslave,SIGN(CO334))*POWER(KLslave,SIGN(CP334))*POWER(CHslave,SIGN(CR334))*POWER(FFslave,SIGN(CS334))*POWER(GEslave,SIGN(CT334))*POWER(KOslave,SIGN(CU334))*POWER(KKslave,SIGN(CV334))+CR334*POWER(MUslave,SIGN(CO334))*POWER(KLslave,SIGN(CP334))*POWER(INslave_IN,SIGN(CQ334))*POWER(FFslave,SIGN(CS334))*POWER(GEslave,SIGN(CT334))*POWER(KOslave,SIGN(CU334))*POWER(KKslave,SIGN(CV334))+CS334*POWER(MUslave,SIGN(CO334))*POWER(KLslave,SIGN(CP334))*POWER(INslave_IN,SIGN(CQ334))*POWER(CHslave,SIGN(CR334))*POWER(GEslave,SIGN(CT334))*POWER(KOslave,SIGN(CU334))*POWER(KKslave,SIGN(CV334))+CT334*POWER(MUslave,SIGN(CO334))*POWER(KLslave,SIGN(CP334))*POWER(INslave_IN,SIGN(CQ334))*POWER(CHslave,SIGN(CR334))*POWER(FFslave,SIGN(CS334))*POWER(KOslave,SIGN(CU334))*POWER(KKslave,SIGN(CV334))+CU334*POWER(MUslave,SIGN(CO334))*POWER(KLslave,SIGN(CP334))*POWER(INslave_IN,SIGN(CQ334))*POWER(CHslave,SIGN(CR334))*POWER(FFslave,SIGN(CS334))*POWER(GEslave,SIGN(CT334))*POWER(KKslave,SIGN(CV334))+CV334*POWER(MUslave,SIGN(CO334))*POWER(KLslave,SIGN(CP334))*POWER(INslave_IN,SIGN(CQ334))*POWER(CHslave,SIGN(CR334))*POWER(FFslave,SIGN(CS334))*POWER(GEslave,SIGN(CT334))*POWER(KOslave,SIGN(CU334))</f>
        <v>2304</v>
      </c>
      <c r="DA334" s="113">
        <f>CT334*CU334*KKslave+CT334*KOslave*CV334+GEslave*CU334*CV334</f>
        <v>3456</v>
      </c>
      <c r="DB334" s="224">
        <f t="shared" ref="DB334:DB335" si="3307">IFERROR(CO334^SIGN(CO334),1)*IFERROR(CP334^SIGN(CP334),1)*IFERROR(CQ334^SIGN(CQ334),1)*IFERROR(CR334^SIGN(CR334),1)*IFERROR(CS334^SIGN(CS334),1)*IFERROR(CT334^SIGN(CT334),1)*IFERROR(CU334^SIGN(CU334),1)*IFERROR(CV334^SIGN(CV334),1)</f>
        <v>1728</v>
      </c>
      <c r="DC334" s="224">
        <f t="shared" ref="DC334:DC335" si="3308">SUM(CZ334:DB334)</f>
        <v>7488</v>
      </c>
      <c r="DD334" s="222">
        <f t="shared" si="2982"/>
        <v>3.6923076923076925</v>
      </c>
      <c r="DE334" s="223">
        <f t="shared" si="2983"/>
        <v>11.076923076923077</v>
      </c>
      <c r="DF334" s="243">
        <f t="shared" si="2984"/>
        <v>8.3076923076923084</v>
      </c>
      <c r="DG334" s="243">
        <f t="shared" si="2985"/>
        <v>23.07692307692308</v>
      </c>
      <c r="DH334" s="252">
        <f t="shared" si="2928"/>
        <v>0</v>
      </c>
      <c r="DI334" s="324">
        <f t="shared" si="2986"/>
        <v>23.07692307692308</v>
      </c>
      <c r="DJ334" s="304">
        <f t="shared" ref="DJ334:DK336" si="3309">IF(DG334&lt;=0,2,0)+IF(DG334&gt;0,DG334+1,0)*2+IF(DG334&gt;12,DG334-12,0)*2+IF(DG334&gt;13,DG334-13,0)*2+IF(DG334&gt;14,DG334-14,0)*2+IF(DG334&gt;15,DG334-15,0)*2+IF(DG334&gt;16,DG334-16,0)*2+IF(DG334&gt;17,DG334-17,0)*2+IF(DG334&gt;18,DG334-18,0)*2+IF(DG334&gt;19,DG334-19,0)*2+IF(DG334&gt;20,DG334-20,0)*2</f>
        <v>175.5384615384616</v>
      </c>
      <c r="DK334" s="335">
        <f t="shared" si="3309"/>
        <v>2</v>
      </c>
      <c r="DL334" s="243">
        <f t="shared" si="2988"/>
        <v>173.5384615384616</v>
      </c>
      <c r="DM334" s="218">
        <f t="shared" si="2989"/>
        <v>0</v>
      </c>
      <c r="DN334" s="248"/>
      <c r="DO334" s="303" t="s">
        <v>486</v>
      </c>
      <c r="DP334" s="304" t="s">
        <v>77</v>
      </c>
      <c r="DQ334" s="304" t="s">
        <v>132</v>
      </c>
      <c r="DR334" s="114"/>
      <c r="DS334" s="113"/>
      <c r="DT334" s="113"/>
      <c r="DU334" s="113"/>
      <c r="DV334" s="113"/>
      <c r="DW334" s="113">
        <f>Konvention_1slave-GEslave</f>
        <v>12</v>
      </c>
      <c r="DX334" s="113">
        <f>Konvention_1slave-KOslave</f>
        <v>12</v>
      </c>
      <c r="DY334" s="119">
        <f>Konvention_1slave-KKslave</f>
        <v>12</v>
      </c>
      <c r="DZ334" s="223">
        <f>(DR334+DS334+DT334+DU334+DV334+DW334+DX334+DY334)/3</f>
        <v>12</v>
      </c>
      <c r="EA334" s="223">
        <f t="shared" si="2990"/>
        <v>24</v>
      </c>
      <c r="EB334" s="224">
        <f t="shared" si="2991"/>
        <v>36</v>
      </c>
      <c r="EC334" s="237">
        <f>DR334*POWER(KLslave,SIGN(DS334))*POWER(INslave,SIGN(DT334))*POWER(CHslave_CH,SIGN(DU334))*POWER(FFslave,SIGN(DV334))*POWER(GEslave,SIGN(DW334))*POWER(KOslave,SIGN(DX334))*POWER(KKslave,SIGN(DY334))+DS334*POWER(MUslave,SIGN(DR334))*POWER(INslave,SIGN(DT334))*POWER(CHslave_CH,SIGN(DU334))*POWER(FFslave,SIGN(DV334))*POWER(GEslave,SIGN(DW334))*POWER(KOslave,SIGN(DX334))*POWER(KKslave,SIGN(DY334))+DT334*POWER(MUslave,SIGN(DR334))*POWER(KLslave,SIGN(DS334))*POWER(CHslave_CH,SIGN(DU334))*POWER(FFslave,SIGN(DV334))*POWER(GEslave,SIGN(DW334))*POWER(KOslave,SIGN(DX334))*POWER(KKslave,SIGN(DY334))+DU334*POWER(MUslave,SIGN(DR334))*POWER(KLslave,SIGN(DS334))*POWER(INslave,SIGN(DT334))*POWER(FFslave,SIGN(DV334))*POWER(GEslave,SIGN(DW334))*POWER(KOslave,SIGN(DX334))*POWER(KKslave,SIGN(DY334))+DV334*POWER(MUslave,SIGN(DR334))*POWER(KLslave,SIGN(DS334))*POWER(INslave,SIGN(DT334))*POWER(CHslave_CH,SIGN(DU334))*POWER(GEslave,SIGN(DW334))*POWER(KOslave,SIGN(DX334))*POWER(KKslave,SIGN(DY334))+DW334*POWER(MUslave,SIGN(DR334))*POWER(KLslave,SIGN(DS334))*POWER(INslave,SIGN(DT334))*POWER(CHslave_CH,SIGN(DU334))*POWER(FFslave,SIGN(DV334))*POWER(KOslave,SIGN(DX334))*POWER(KKslave,SIGN(DY334))+DX334*POWER(MUslave,SIGN(DR334))*POWER(KLslave,SIGN(DS334))*POWER(INslave,SIGN(DT334))*POWER(CHslave_CH,SIGN(DU334))*POWER(FFslave,SIGN(DV334))*POWER(GEslave,SIGN(DW334))*POWER(KKslave,SIGN(DY334))+DY334*POWER(MUslave,SIGN(DR334))*POWER(KLslave,SIGN(DS334))*POWER(INslave,SIGN(DT334))*POWER(CHslave_CH,SIGN(DU334))*POWER(FFslave,SIGN(DV334))*POWER(GEslave,SIGN(DW334))*POWER(KOslave,SIGN(DX334))</f>
        <v>2304</v>
      </c>
      <c r="ED334" s="113">
        <f>DW334*DX334*KKslave+DW334*KOslave*DY334+GEslave*DX334*DY334</f>
        <v>3456</v>
      </c>
      <c r="EE334" s="224">
        <f t="shared" ref="EE334:EE335" si="3310">IFERROR(DR334^SIGN(DR334),1)*IFERROR(DS334^SIGN(DS334),1)*IFERROR(DT334^SIGN(DT334),1)*IFERROR(DU334^SIGN(DU334),1)*IFERROR(DV334^SIGN(DV334),1)*IFERROR(DW334^SIGN(DW334),1)*IFERROR(DX334^SIGN(DX334),1)*IFERROR(DY334^SIGN(DY334),1)</f>
        <v>1728</v>
      </c>
      <c r="EF334" s="224">
        <f t="shared" ref="EF334:EF335" si="3311">SUM(EC334:EE334)</f>
        <v>7488</v>
      </c>
      <c r="EG334" s="222">
        <f t="shared" si="2993"/>
        <v>3.6923076923076925</v>
      </c>
      <c r="EH334" s="223">
        <f t="shared" si="2994"/>
        <v>11.076923076923077</v>
      </c>
      <c r="EI334" s="243">
        <f t="shared" si="2995"/>
        <v>8.3076923076923084</v>
      </c>
      <c r="EJ334" s="243">
        <f t="shared" si="2996"/>
        <v>23.07692307692308</v>
      </c>
      <c r="EK334" s="252">
        <f t="shared" si="2931"/>
        <v>0</v>
      </c>
      <c r="EL334" s="324">
        <f t="shared" si="2997"/>
        <v>23.07692307692308</v>
      </c>
      <c r="EM334" s="304">
        <f t="shared" ref="EM334:EN336" si="3312">IF(EJ334&lt;=0,2,0)+IF(EJ334&gt;0,EJ334+1,0)*2+IF(EJ334&gt;12,EJ334-12,0)*2+IF(EJ334&gt;13,EJ334-13,0)*2+IF(EJ334&gt;14,EJ334-14,0)*2+IF(EJ334&gt;15,EJ334-15,0)*2+IF(EJ334&gt;16,EJ334-16,0)*2+IF(EJ334&gt;17,EJ334-17,0)*2+IF(EJ334&gt;18,EJ334-18,0)*2+IF(EJ334&gt;19,EJ334-19,0)*2+IF(EJ334&gt;20,EJ334-20,0)*2</f>
        <v>175.5384615384616</v>
      </c>
      <c r="EN334" s="335">
        <f t="shared" si="3312"/>
        <v>2</v>
      </c>
      <c r="EO334" s="243">
        <f t="shared" si="2999"/>
        <v>173.5384615384616</v>
      </c>
      <c r="EP334" s="218">
        <f t="shared" si="3000"/>
        <v>0</v>
      </c>
      <c r="EQ334" s="248"/>
      <c r="ER334" s="303" t="s">
        <v>486</v>
      </c>
      <c r="ES334" s="304" t="s">
        <v>77</v>
      </c>
      <c r="ET334" s="304" t="s">
        <v>132</v>
      </c>
      <c r="EU334" s="114"/>
      <c r="EV334" s="113"/>
      <c r="EW334" s="113"/>
      <c r="EX334" s="113"/>
      <c r="EY334" s="113"/>
      <c r="EZ334" s="113">
        <f>Konvention_1slave-GEslave</f>
        <v>12</v>
      </c>
      <c r="FA334" s="113">
        <f>Konvention_1slave-KOslave</f>
        <v>12</v>
      </c>
      <c r="FB334" s="119">
        <f>Konvention_1slave-KKslave</f>
        <v>12</v>
      </c>
      <c r="FC334" s="223">
        <f>(EU334+EV334+EW334+EX334+EY334+EZ334+FA334+FB334)/3</f>
        <v>12</v>
      </c>
      <c r="FD334" s="223">
        <f t="shared" si="3001"/>
        <v>24</v>
      </c>
      <c r="FE334" s="224">
        <f t="shared" si="3002"/>
        <v>36</v>
      </c>
      <c r="FF334" s="237">
        <f>EU334*POWER(KLslave,SIGN(EV334))*POWER(INslave,SIGN(EW334))*POWER(CHslave,SIGN(EX334))*POWER(FFslave_FF,SIGN(EY334))*POWER(GEslave,SIGN(EZ334))*POWER(KOslave,SIGN(FA334))*POWER(KKslave,SIGN(FB334))+EV334*POWER(MUslave,SIGN(EU334))*POWER(INslave,SIGN(EW334))*POWER(CHslave,SIGN(EX334))*POWER(FFslave_FF,SIGN(EY334))*POWER(GEslave,SIGN(EZ334))*POWER(KOslave,SIGN(FA334))*POWER(KKslave,SIGN(FB334))+EW334*POWER(MUslave,SIGN(EU334))*POWER(KLslave,SIGN(EV334))*POWER(CHslave,SIGN(EX334))*POWER(FFslave_FF,SIGN(EY334))*POWER(GEslave,SIGN(EZ334))*POWER(KOslave,SIGN(FA334))*POWER(KKslave,SIGN(FB334))+EX334*POWER(MUslave,SIGN(EU334))*POWER(KLslave,SIGN(EV334))*POWER(INslave,SIGN(EW334))*POWER(FFslave_FF,SIGN(EY334))*POWER(GEslave,SIGN(EZ334))*POWER(KOslave,SIGN(FA334))*POWER(KKslave,SIGN(FB334))+EY334*POWER(MUslave,SIGN(EU334))*POWER(KLslave,SIGN(EV334))*POWER(INslave,SIGN(EW334))*POWER(CHslave,SIGN(EX334))*POWER(GEslave,SIGN(EZ334))*POWER(KOslave,SIGN(FA334))*POWER(KKslave,SIGN(FB334))+EZ334*POWER(MUslave,SIGN(EU334))*POWER(KLslave,SIGN(EV334))*POWER(INslave,SIGN(EW334))*POWER(CHslave,SIGN(EX334))*POWER(FFslave_FF,SIGN(EY334))*POWER(KOslave,SIGN(FA334))*POWER(KKslave,SIGN(FB334))+FA334*POWER(MUslave,SIGN(EU334))*POWER(KLslave,SIGN(EV334))*POWER(INslave,SIGN(EW334))*POWER(CHslave,SIGN(EX334))*POWER(FFslave_FF,SIGN(EY334))*POWER(GEslave,SIGN(EZ334))*POWER(KKslave,SIGN(FB334))+FB334*POWER(MUslave,SIGN(EU334))*POWER(KLslave,SIGN(EV334))*POWER(INslave,SIGN(EW334))*POWER(CHslave,SIGN(EX334))*POWER(FFslave_FF,SIGN(EY334))*POWER(GEslave,SIGN(EZ334))*POWER(KOslave,SIGN(FA334))</f>
        <v>2304</v>
      </c>
      <c r="FG334" s="113">
        <f>EZ334*FA334*KKslave+EZ334*KOslave*FB334+GEslave*FA334*FB334</f>
        <v>3456</v>
      </c>
      <c r="FH334" s="224">
        <f t="shared" ref="FH334:FH335" si="3313">IFERROR(EU334^SIGN(EU334),1)*IFERROR(EV334^SIGN(EV334),1)*IFERROR(EW334^SIGN(EW334),1)*IFERROR(EX334^SIGN(EX334),1)*IFERROR(EY334^SIGN(EY334),1)*IFERROR(EZ334^SIGN(EZ334),1)*IFERROR(FA334^SIGN(FA334),1)*IFERROR(FB334^SIGN(FB334),1)</f>
        <v>1728</v>
      </c>
      <c r="FI334" s="224">
        <f t="shared" ref="FI334:FI335" si="3314">SUM(FF334:FH334)</f>
        <v>7488</v>
      </c>
      <c r="FJ334" s="222">
        <f t="shared" si="3004"/>
        <v>3.6923076923076925</v>
      </c>
      <c r="FK334" s="223">
        <f t="shared" si="3005"/>
        <v>11.076923076923077</v>
      </c>
      <c r="FL334" s="243">
        <f t="shared" si="3006"/>
        <v>8.3076923076923084</v>
      </c>
      <c r="FM334" s="243">
        <f t="shared" si="3007"/>
        <v>23.07692307692308</v>
      </c>
      <c r="FN334" s="252">
        <f t="shared" si="2934"/>
        <v>0</v>
      </c>
      <c r="FO334" s="324">
        <f t="shared" si="3008"/>
        <v>23.07692307692308</v>
      </c>
      <c r="FP334" s="304">
        <f t="shared" ref="FP334:FQ336" si="3315">IF(FM334&lt;=0,2,0)+IF(FM334&gt;0,FM334+1,0)*2+IF(FM334&gt;12,FM334-12,0)*2+IF(FM334&gt;13,FM334-13,0)*2+IF(FM334&gt;14,FM334-14,0)*2+IF(FM334&gt;15,FM334-15,0)*2+IF(FM334&gt;16,FM334-16,0)*2+IF(FM334&gt;17,FM334-17,0)*2+IF(FM334&gt;18,FM334-18,0)*2+IF(FM334&gt;19,FM334-19,0)*2+IF(FM334&gt;20,FM334-20,0)*2</f>
        <v>175.5384615384616</v>
      </c>
      <c r="FQ334" s="335">
        <f t="shared" si="3315"/>
        <v>2</v>
      </c>
      <c r="FR334" s="243">
        <f t="shared" si="3010"/>
        <v>173.5384615384616</v>
      </c>
      <c r="FS334" s="218">
        <f t="shared" si="3011"/>
        <v>0</v>
      </c>
      <c r="FT334" s="248"/>
      <c r="FU334" s="303" t="s">
        <v>486</v>
      </c>
      <c r="FV334" s="304" t="s">
        <v>77</v>
      </c>
      <c r="FW334" s="304" t="s">
        <v>132</v>
      </c>
      <c r="FX334" s="114"/>
      <c r="FY334" s="113"/>
      <c r="FZ334" s="113"/>
      <c r="GA334" s="113"/>
      <c r="GB334" s="113"/>
      <c r="GC334" s="113">
        <f>Konvention_1slave-GEslave_GE</f>
        <v>11</v>
      </c>
      <c r="GD334" s="113">
        <f>Konvention_1slave-KOslave</f>
        <v>12</v>
      </c>
      <c r="GE334" s="119">
        <f>Konvention_1slave-KKslave</f>
        <v>12</v>
      </c>
      <c r="GF334" s="223">
        <f>(FX334+FY334+FZ334+GA334+GB334+GC334+GD334+GE334)/3</f>
        <v>11.666666666666666</v>
      </c>
      <c r="GG334" s="223">
        <f t="shared" si="3012"/>
        <v>23.333333333333332</v>
      </c>
      <c r="GH334" s="224">
        <f t="shared" si="3013"/>
        <v>35</v>
      </c>
      <c r="GI334" s="237">
        <f>FX334*POWER(KLslave,SIGN(FY334))*POWER(INslave,SIGN(FZ334))*POWER(CHslave,SIGN(GA334))*POWER(FFslave,SIGN(GB334))*POWER(GEslave_GE,SIGN(GC334))*POWER(KOslave,SIGN(GD334))*POWER(KKslave,SIGN(GE334))+FY334*POWER(MUslave,SIGN(FX334))*POWER(INslave,SIGN(FZ334))*POWER(CHslave,SIGN(GA334))*POWER(FFslave,SIGN(GB334))*POWER(GEslave_GE,SIGN(GC334))*POWER(KOslave,SIGN(GD334))*POWER(KKslave,SIGN(GE334))+FZ334*POWER(MUslave,SIGN(FX334))*POWER(KLslave,SIGN(FY334))*POWER(CHslave,SIGN(GA334))*POWER(FFslave,SIGN(GB334))*POWER(GEslave_GE,SIGN(GC334))*POWER(KOslave,SIGN(GD334))*POWER(KKslave,SIGN(GE334))+GA334*POWER(MUslave,SIGN(FX334))*POWER(KLslave,SIGN(FY334))*POWER(INslave,SIGN(FZ334))*POWER(FFslave,SIGN(GB334))*POWER(GEslave_GE,SIGN(GC334))*POWER(KOslave,SIGN(GD334))*POWER(KKslave,SIGN(GE334))+GB334*POWER(MUslave,SIGN(FX334))*POWER(KLslave,SIGN(FY334))*POWER(INslave,SIGN(FZ334))*POWER(CHslave,SIGN(GA334))*POWER(GEslave_GE,SIGN(GC334))*POWER(KOslave,SIGN(GD334))*POWER(KKslave,SIGN(GE334))+GC334*POWER(MUslave,SIGN(FX334))*POWER(KLslave,SIGN(FY334))*POWER(INslave,SIGN(FZ334))*POWER(CHslave,SIGN(GA334))*POWER(FFslave,SIGN(GB334))*POWER(KOslave,SIGN(GD334))*POWER(KKslave,SIGN(GE334))+GD334*POWER(MUslave,SIGN(FX334))*POWER(KLslave,SIGN(FY334))*POWER(INslave,SIGN(FZ334))*POWER(CHslave,SIGN(GA334))*POWER(FFslave,SIGN(GB334))*POWER(GEslave_GE,SIGN(GC334))*POWER(KKslave,SIGN(GE334))+GE334*POWER(MUslave,SIGN(FX334))*POWER(KLslave,SIGN(FY334))*POWER(INslave,SIGN(FZ334))*POWER(CHslave,SIGN(GA334))*POWER(FFslave,SIGN(GB334))*POWER(GEslave_GE,SIGN(GC334))*POWER(KOslave,SIGN(GD334))</f>
        <v>2432</v>
      </c>
      <c r="GJ334" s="113">
        <f>GC334*GD334*KKslave+GC334*KOslave*GE334+GEslave_GE*GD334*GE334</f>
        <v>3408</v>
      </c>
      <c r="GK334" s="224">
        <f t="shared" ref="GK334:GK335" si="3316">IFERROR(FX334^SIGN(FX334),1)*IFERROR(FY334^SIGN(FY334),1)*IFERROR(FZ334^SIGN(FZ334),1)*IFERROR(GA334^SIGN(GA334),1)*IFERROR(GB334^SIGN(GB334),1)*IFERROR(GC334^SIGN(GC334),1)*IFERROR(GD334^SIGN(GD334),1)*IFERROR(GE334^SIGN(GE334),1)</f>
        <v>1584</v>
      </c>
      <c r="GL334" s="224">
        <f t="shared" ref="GL334:GL335" si="3317">SUM(GI334:GK334)</f>
        <v>7424</v>
      </c>
      <c r="GM334" s="222">
        <f t="shared" si="3015"/>
        <v>3.8218390804597702</v>
      </c>
      <c r="GN334" s="223">
        <f t="shared" si="3016"/>
        <v>10.711206896551724</v>
      </c>
      <c r="GO334" s="243">
        <f t="shared" si="3017"/>
        <v>7.4676724137931032</v>
      </c>
      <c r="GP334" s="243">
        <f t="shared" si="3018"/>
        <v>22.000718390804597</v>
      </c>
      <c r="GQ334" s="252">
        <f t="shared" si="2937"/>
        <v>0</v>
      </c>
      <c r="GR334" s="324">
        <f t="shared" si="3019"/>
        <v>22.000718390804597</v>
      </c>
      <c r="GS334" s="304">
        <f t="shared" ref="GS334:GT336" si="3318">IF(GP334&lt;=0,2,0)+IF(GP334&gt;0,GP334+1,0)*2+IF(GP334&gt;12,GP334-12,0)*2+IF(GP334&gt;13,GP334-13,0)*2+IF(GP334&gt;14,GP334-14,0)*2+IF(GP334&gt;15,GP334-15,0)*2+IF(GP334&gt;16,GP334-16,0)*2+IF(GP334&gt;17,GP334-17,0)*2+IF(GP334&gt;18,GP334-18,0)*2+IF(GP334&gt;19,GP334-19,0)*2+IF(GP334&gt;20,GP334-20,0)*2</f>
        <v>154.01436781609189</v>
      </c>
      <c r="GT334" s="335">
        <f t="shared" si="3318"/>
        <v>2</v>
      </c>
      <c r="GU334" s="243">
        <f t="shared" si="3021"/>
        <v>152.01436781609189</v>
      </c>
      <c r="GV334" s="218">
        <f t="shared" si="3022"/>
        <v>0</v>
      </c>
      <c r="GW334" s="248"/>
      <c r="GX334" s="303" t="s">
        <v>486</v>
      </c>
      <c r="GY334" s="304" t="s">
        <v>77</v>
      </c>
      <c r="GZ334" s="304" t="s">
        <v>132</v>
      </c>
      <c r="HA334" s="114"/>
      <c r="HB334" s="113"/>
      <c r="HC334" s="113"/>
      <c r="HD334" s="113"/>
      <c r="HE334" s="113"/>
      <c r="HF334" s="113">
        <f>Konvention_1slave-GEslave</f>
        <v>12</v>
      </c>
      <c r="HG334" s="113">
        <f>Konvention_1slave-KOslave_KO</f>
        <v>11</v>
      </c>
      <c r="HH334" s="119">
        <f>Konvention_1slave-KKslave</f>
        <v>12</v>
      </c>
      <c r="HI334" s="223">
        <f>(HA334+HB334+HC334+HD334+HE334+HF334+HG334+HH334)/3</f>
        <v>11.666666666666666</v>
      </c>
      <c r="HJ334" s="223">
        <f t="shared" si="3023"/>
        <v>23.333333333333332</v>
      </c>
      <c r="HK334" s="224">
        <f t="shared" si="3024"/>
        <v>35</v>
      </c>
      <c r="HL334" s="237">
        <f>HA334*POWER(KLslave,SIGN(HB334))*POWER(INslave,SIGN(HC334))*POWER(CHslave,SIGN(HD334))*POWER(FFslave,SIGN(HE334))*POWER(GEslave,SIGN(HF334))*POWER(KOslave_KO,SIGN(HG334))*POWER(KKslave,SIGN(HH334))+HB334*POWER(MUslave,SIGN(HA334))*POWER(INslave,SIGN(HC334))*POWER(CHslave,SIGN(HD334))*POWER(FFslave,SIGN(HE334))*POWER(GEslave,SIGN(HF334))*POWER(KOslave_KO,SIGN(HG334))*POWER(KKslave,SIGN(HH334))+HC334*POWER(MUslave,SIGN(HA334))*POWER(KLslave,SIGN(HB334))*POWER(CHslave,SIGN(HD334))*POWER(FFslave,SIGN(HE334))*POWER(GEslave,SIGN(HF334))*POWER(KOslave_KO,SIGN(HG334))*POWER(KKslave,SIGN(HH334))+HD334*POWER(MUslave,SIGN(HA334))*POWER(KLslave,SIGN(HB334))*POWER(INslave,SIGN(HC334))*POWER(FFslave,SIGN(HE334))*POWER(GEslave,SIGN(HF334))*POWER(KOslave_KO,SIGN(HG334))*POWER(KKslave,SIGN(HH334))+HE334*POWER(MUslave,SIGN(HA334))*POWER(KLslave,SIGN(HB334))*POWER(INslave,SIGN(HC334))*POWER(CHslave,SIGN(HD334))*POWER(GEslave,SIGN(HF334))*POWER(KOslave_KO,SIGN(HG334))*POWER(KKslave,SIGN(HH334))+HF334*POWER(MUslave,SIGN(HA334))*POWER(KLslave,SIGN(HB334))*POWER(INslave,SIGN(HC334))*POWER(CHslave,SIGN(HD334))*POWER(FFslave,SIGN(HE334))*POWER(KOslave_KO,SIGN(HG334))*POWER(KKslave,SIGN(HH334))+HG334*POWER(MUslave,SIGN(HA334))*POWER(KLslave,SIGN(HB334))*POWER(INslave,SIGN(HC334))*POWER(CHslave,SIGN(HD334))*POWER(FFslave,SIGN(HE334))*POWER(GEslave,SIGN(HF334))*POWER(KKslave,SIGN(HH334))+HH334*POWER(MUslave,SIGN(HA334))*POWER(KLslave,SIGN(HB334))*POWER(INslave,SIGN(HC334))*POWER(CHslave,SIGN(HD334))*POWER(FFslave,SIGN(HE334))*POWER(GEslave,SIGN(HF334))*POWER(KOslave_KO,SIGN(HG334))</f>
        <v>2432</v>
      </c>
      <c r="HM334" s="113">
        <f>HF334*HG334*KKslave+HF334*KOslave_KO*HH334+GEslave*HG334*HH334</f>
        <v>3408</v>
      </c>
      <c r="HN334" s="224">
        <f t="shared" ref="HN334:HN335" si="3319">IFERROR(HA334^SIGN(HA334),1)*IFERROR(HB334^SIGN(HB334),1)*IFERROR(HC334^SIGN(HC334),1)*IFERROR(HD334^SIGN(HD334),1)*IFERROR(HE334^SIGN(HE334),1)*IFERROR(HF334^SIGN(HF334),1)*IFERROR(HG334^SIGN(HG334),1)*IFERROR(HH334^SIGN(HH334),1)</f>
        <v>1584</v>
      </c>
      <c r="HO334" s="224">
        <f t="shared" ref="HO334:HO335" si="3320">SUM(HL334:HN334)</f>
        <v>7424</v>
      </c>
      <c r="HP334" s="222">
        <f t="shared" si="3026"/>
        <v>3.8218390804597702</v>
      </c>
      <c r="HQ334" s="223">
        <f t="shared" si="3027"/>
        <v>10.711206896551724</v>
      </c>
      <c r="HR334" s="243">
        <f t="shared" si="3028"/>
        <v>7.4676724137931032</v>
      </c>
      <c r="HS334" s="243">
        <f t="shared" si="3029"/>
        <v>22.000718390804597</v>
      </c>
      <c r="HT334" s="252">
        <f t="shared" si="2940"/>
        <v>0</v>
      </c>
      <c r="HU334" s="324">
        <f t="shared" si="3030"/>
        <v>22.000718390804597</v>
      </c>
      <c r="HV334" s="304">
        <f t="shared" ref="HV334:HW336" si="3321">IF(HS334&lt;=0,2,0)+IF(HS334&gt;0,HS334+1,0)*2+IF(HS334&gt;12,HS334-12,0)*2+IF(HS334&gt;13,HS334-13,0)*2+IF(HS334&gt;14,HS334-14,0)*2+IF(HS334&gt;15,HS334-15,0)*2+IF(HS334&gt;16,HS334-16,0)*2+IF(HS334&gt;17,HS334-17,0)*2+IF(HS334&gt;18,HS334-18,0)*2+IF(HS334&gt;19,HS334-19,0)*2+IF(HS334&gt;20,HS334-20,0)*2</f>
        <v>154.01436781609189</v>
      </c>
      <c r="HW334" s="335">
        <f t="shared" si="3321"/>
        <v>2</v>
      </c>
      <c r="HX334" s="243">
        <f t="shared" si="3032"/>
        <v>152.01436781609189</v>
      </c>
      <c r="HY334" s="218">
        <f t="shared" si="3033"/>
        <v>0</v>
      </c>
      <c r="HZ334" s="248"/>
      <c r="IA334" s="303" t="s">
        <v>486</v>
      </c>
      <c r="IB334" s="304" t="s">
        <v>77</v>
      </c>
      <c r="IC334" s="304" t="s">
        <v>132</v>
      </c>
      <c r="ID334" s="114"/>
      <c r="IE334" s="113"/>
      <c r="IF334" s="113"/>
      <c r="IG334" s="113"/>
      <c r="IH334" s="113"/>
      <c r="II334" s="113">
        <f>Konvention_1slave-GEslave</f>
        <v>12</v>
      </c>
      <c r="IJ334" s="113">
        <f>Konvention_1slave-KOslave</f>
        <v>12</v>
      </c>
      <c r="IK334" s="119">
        <f>Konvention_1slave-KKslave_KK</f>
        <v>11</v>
      </c>
      <c r="IL334" s="223">
        <f>(ID334+IE334+IF334+IG334+IH334+II334+IJ334+IK334)/3</f>
        <v>11.666666666666666</v>
      </c>
      <c r="IM334" s="223">
        <f t="shared" si="3034"/>
        <v>23.333333333333332</v>
      </c>
      <c r="IN334" s="224">
        <f t="shared" si="3035"/>
        <v>35</v>
      </c>
      <c r="IO334" s="237">
        <f>ID334*POWER(KLslave,SIGN(IE334))*POWER(INslave,SIGN(IF334))*POWER(CHslave,SIGN(IG334))*POWER(FFslave,SIGN(IH334))*POWER(GEslave,SIGN(II334))*POWER(KOslave,SIGN(IJ334))*POWER(KKslave_KK,SIGN(IK334))+IE334*POWER(MUslave,SIGN(ID334))*POWER(INslave,SIGN(IF334))*POWER(CHslave,SIGN(IG334))*POWER(FFslave,SIGN(IH334))*POWER(GEslave,SIGN(II334))*POWER(KOslave,SIGN(IJ334))*POWER(KKslave_KK,SIGN(IK334))+IF334*POWER(MUslave,SIGN(ID334))*POWER(KLslave,SIGN(IE334))*POWER(CHslave,SIGN(IG334))*POWER(FFslave,SIGN(IH334))*POWER(GEslave,SIGN(II334))*POWER(KOslave,SIGN(IJ334))*POWER(KKslave_KK,SIGN(IK334))+IG334*POWER(MUslave,SIGN(ID334))*POWER(KLslave,SIGN(IE334))*POWER(INslave,SIGN(IF334))*POWER(FFslave,SIGN(IH334))*POWER(GEslave,SIGN(II334))*POWER(KOslave,SIGN(IJ334))*POWER(KKslave_KK,SIGN(IK334))+IH334*POWER(MUslave,SIGN(ID334))*POWER(KLslave,SIGN(IE334))*POWER(INslave,SIGN(IF334))*POWER(CHslave,SIGN(IG334))*POWER(GEslave,SIGN(II334))*POWER(KOslave,SIGN(IJ334))*POWER(KKslave_KK,SIGN(IK334))+II334*POWER(MUslave,SIGN(ID334))*POWER(KLslave,SIGN(IE334))*POWER(INslave,SIGN(IF334))*POWER(CHslave,SIGN(IG334))*POWER(FFslave,SIGN(IH334))*POWER(KOslave,SIGN(IJ334))*POWER(KKslave_KK,SIGN(IK334))+IJ334*POWER(MUslave,SIGN(ID334))*POWER(KLslave,SIGN(IE334))*POWER(INslave,SIGN(IF334))*POWER(CHslave,SIGN(IG334))*POWER(FFslave,SIGN(IH334))*POWER(GEslave,SIGN(II334))*POWER(KKslave_KK,SIGN(IK334))+IK334*POWER(MUslave,SIGN(ID334))*POWER(KLslave,SIGN(IE334))*POWER(INslave,SIGN(IF334))*POWER(CHslave,SIGN(IG334))*POWER(FFslave,SIGN(IH334))*POWER(GEslave,SIGN(II334))*POWER(KOslave,SIGN(IJ334))</f>
        <v>2432</v>
      </c>
      <c r="IP334" s="113">
        <f>II334*IJ334*KKslave_KK+II334*KOslave*IK334+GEslave*IJ334*IK334</f>
        <v>3408</v>
      </c>
      <c r="IQ334" s="224">
        <f t="shared" ref="IQ334:IQ335" si="3322">IFERROR(ID334^SIGN(ID334),1)*IFERROR(IE334^SIGN(IE334),1)*IFERROR(IF334^SIGN(IF334),1)*IFERROR(IG334^SIGN(IG334),1)*IFERROR(IH334^SIGN(IH334),1)*IFERROR(II334^SIGN(II334),1)*IFERROR(IJ334^SIGN(IJ334),1)*IFERROR(IK334^SIGN(IK334),1)</f>
        <v>1584</v>
      </c>
      <c r="IR334" s="224">
        <f t="shared" ref="IR334:IR335" si="3323">SUM(IO334:IQ334)</f>
        <v>7424</v>
      </c>
      <c r="IS334" s="222">
        <f t="shared" si="3037"/>
        <v>3.8218390804597702</v>
      </c>
      <c r="IT334" s="223">
        <f t="shared" si="3038"/>
        <v>10.711206896551724</v>
      </c>
      <c r="IU334" s="243">
        <f t="shared" si="3039"/>
        <v>7.4676724137931032</v>
      </c>
      <c r="IV334" s="243">
        <f t="shared" si="3040"/>
        <v>22.000718390804597</v>
      </c>
      <c r="IW334" s="252">
        <f t="shared" si="2943"/>
        <v>0</v>
      </c>
      <c r="IX334" s="324">
        <f t="shared" si="3041"/>
        <v>22.000718390804597</v>
      </c>
      <c r="IY334" s="304">
        <f t="shared" ref="IY334:IZ336" si="3324">IF(IV334&lt;=0,2,0)+IF(IV334&gt;0,IV334+1,0)*2+IF(IV334&gt;12,IV334-12,0)*2+IF(IV334&gt;13,IV334-13,0)*2+IF(IV334&gt;14,IV334-14,0)*2+IF(IV334&gt;15,IV334-15,0)*2+IF(IV334&gt;16,IV334-16,0)*2+IF(IV334&gt;17,IV334-17,0)*2+IF(IV334&gt;18,IV334-18,0)*2+IF(IV334&gt;19,IV334-19,0)*2+IF(IV334&gt;20,IV334-20,0)*2</f>
        <v>154.01436781609189</v>
      </c>
      <c r="IZ334" s="335">
        <f t="shared" si="3324"/>
        <v>2</v>
      </c>
      <c r="JA334" s="243">
        <f t="shared" si="3043"/>
        <v>152.01436781609189</v>
      </c>
      <c r="JB334" s="218">
        <f t="shared" si="3044"/>
        <v>0</v>
      </c>
      <c r="JE334" s="148"/>
    </row>
    <row r="335" spans="1:265" hidden="1" outlineLevel="2">
      <c r="A335" s="185"/>
      <c r="B335" s="217">
        <v>13</v>
      </c>
      <c r="C335" s="303" t="e">
        <f>VLOOKUP(AF335,Attribute!C:T,1,FALSE)</f>
        <v>#N/A</v>
      </c>
      <c r="D335" s="304" t="s">
        <v>77</v>
      </c>
      <c r="E335" s="304" t="s">
        <v>132</v>
      </c>
      <c r="F335" s="114"/>
      <c r="G335" s="113"/>
      <c r="H335" s="113"/>
      <c r="I335" s="113"/>
      <c r="J335" s="113"/>
      <c r="K335" s="113">
        <f>Konvention_1master-GEmaster</f>
        <v>12</v>
      </c>
      <c r="L335" s="113">
        <f>Konvention_1master-KOmaster</f>
        <v>12</v>
      </c>
      <c r="M335" s="119">
        <f>Konvention_1master-KKmaster</f>
        <v>12</v>
      </c>
      <c r="N335" s="223">
        <f>(F335+G335+H335+I335+J335+K335+L335+M335)/3</f>
        <v>12</v>
      </c>
      <c r="O335" s="223">
        <f t="shared" si="2945"/>
        <v>24</v>
      </c>
      <c r="P335" s="224">
        <f t="shared" si="2946"/>
        <v>36</v>
      </c>
      <c r="Q335" s="237">
        <f>F335*POWER(KLmaster,SIGN(G335))*POWER(INmaster,SIGN(H335))*POWER(CHmaster,SIGN(I335))*POWER(FFmaster,SIGN(J335))*POWER(GEmaster,SIGN(K335))*POWER(KOmaster,SIGN(L335))*POWER(KKmaster,SIGN(M335))+G335*POWER(MUmaster,SIGN(F335))*POWER(INmaster,SIGN(H335))*POWER(CHmaster,SIGN(I335))*POWER(FFmaster,SIGN(J335))*POWER(GEmaster,SIGN(K335))*POWER(KOmaster,SIGN(L335))*POWER(KKmaster,SIGN(M335))+H335*POWER(MUmaster,SIGN(F335))*POWER(KLmaster,SIGN(G335))*POWER(CHmaster,SIGN(I335))*POWER(FFmaster,SIGN(J335))*POWER(GEmaster,SIGN(K335))*POWER(KOmaster,SIGN(L335))*POWER(KKmaster,SIGN(M335))+I335*POWER(MUmaster,SIGN(F335))*POWER(KLmaster,SIGN(G335))*POWER(INmaster,SIGN(H335))*POWER(FFmaster,SIGN(J335))*POWER(GEmaster,SIGN(K335))*POWER(KOmaster,SIGN(L335))*POWER(KKmaster,SIGN(M335))+J335*POWER(MUmaster,SIGN(F335))*POWER(KLmaster,SIGN(G335))*POWER(INmaster,SIGN(H335))*POWER(CHmaster,SIGN(I335))*POWER(GEmaster,SIGN(K335))*POWER(KOmaster,SIGN(L335))*POWER(KKmaster,SIGN(M335))+K335*POWER(MUmaster,SIGN(F335))*POWER(KLmaster,SIGN(G335))*POWER(INmaster,SIGN(H335))*POWER(CHmaster,SIGN(I335))*POWER(FFmaster,SIGN(J335))*POWER(KOmaster,SIGN(L335))*POWER(KKmaster,SIGN(M335))+L335*POWER(MUmaster,SIGN(F335))*POWER(KLmaster,SIGN(G335))*POWER(INmaster,SIGN(H335))*POWER(CHmaster,SIGN(I335))*POWER(FFmaster,SIGN(J335))*POWER(GEmaster,SIGN(K335))*POWER(KKmaster,SIGN(M335))+M335*POWER(MUmaster,SIGN(F335))*POWER(KLmaster,SIGN(G335))*POWER(INmaster,SIGN(H335))*POWER(CHmaster,SIGN(I335))*POWER(FFmaster,SIGN(J335))*POWER(GEmaster,SIGN(K335))*POWER(KOmaster,SIGN(L335))</f>
        <v>2304</v>
      </c>
      <c r="R335" s="113">
        <f>K335*L335*KKmaster+K335*KOmaster*M335+GEmaster*L335*M335</f>
        <v>3456</v>
      </c>
      <c r="S335" s="224">
        <f t="shared" si="3297"/>
        <v>1728</v>
      </c>
      <c r="T335" s="224">
        <f t="shared" si="3298"/>
        <v>7488</v>
      </c>
      <c r="U335" s="222">
        <f t="shared" si="2948"/>
        <v>3.6923076923076925</v>
      </c>
      <c r="V335" s="223">
        <f t="shared" si="2949"/>
        <v>11.076923076923077</v>
      </c>
      <c r="W335" s="243">
        <f t="shared" si="2950"/>
        <v>8.3076923076923084</v>
      </c>
      <c r="X335" s="243">
        <f t="shared" si="2951"/>
        <v>23.07692307692308</v>
      </c>
      <c r="Y335" s="252">
        <v>0</v>
      </c>
      <c r="Z335" s="324">
        <f t="shared" si="2952"/>
        <v>23.07692307692308</v>
      </c>
      <c r="AA335" s="304">
        <f t="shared" si="3299"/>
        <v>175.5384615384616</v>
      </c>
      <c r="AB335" s="335">
        <f t="shared" si="3300"/>
        <v>2</v>
      </c>
      <c r="AC335" s="243">
        <f t="shared" si="2955"/>
        <v>173.5384615384616</v>
      </c>
      <c r="AD335" s="218">
        <f t="shared" si="2956"/>
        <v>0</v>
      </c>
      <c r="AE335" s="140"/>
      <c r="AF335" s="303" t="s">
        <v>487</v>
      </c>
      <c r="AG335" s="304" t="s">
        <v>77</v>
      </c>
      <c r="AH335" s="304" t="s">
        <v>132</v>
      </c>
      <c r="AI335" s="114"/>
      <c r="AJ335" s="113"/>
      <c r="AK335" s="113"/>
      <c r="AL335" s="113"/>
      <c r="AM335" s="113"/>
      <c r="AN335" s="113">
        <f>Konvention_1slave-GEslave</f>
        <v>12</v>
      </c>
      <c r="AO335" s="113">
        <f>Konvention_1slave-KOslave</f>
        <v>12</v>
      </c>
      <c r="AP335" s="119">
        <f>Konvention_1slave-KKslave</f>
        <v>12</v>
      </c>
      <c r="AQ335" s="223">
        <f>(AI335+AJ335+AK335+AL335+AM335+AN335+AO335+AP335)/3</f>
        <v>12</v>
      </c>
      <c r="AR335" s="223">
        <f t="shared" si="2957"/>
        <v>24</v>
      </c>
      <c r="AS335" s="224">
        <f t="shared" si="2958"/>
        <v>36</v>
      </c>
      <c r="AT335" s="237">
        <f>AI335*POWER(KLslave,SIGN(AJ335))*POWER(INslave,SIGN(AK335))*POWER(CHslave,SIGN(AL335))*POWER(FFslave,SIGN(AM335))*POWER(GEslave,SIGN(AN335))*POWER(KOslave,SIGN(AO335))*POWER(KKslave,SIGN(AP335))+AJ335*POWER(MUslave_MU,SIGN(AI335))*POWER(INslave,SIGN(AK335))*POWER(CHslave,SIGN(AL335))*POWER(FFslave,SIGN(AM335))*POWER(GEslave,SIGN(AN335))*POWER(KOslave,SIGN(AO335))*POWER(KKslave,SIGN(AP335))+AK335*POWER(MUslave_MU,SIGN(AI335))*POWER(KLslave,SIGN(AJ335))*POWER(CHslave,SIGN(AL335))*POWER(FFslave,SIGN(AM335))*POWER(GEslave,SIGN(AN335))*POWER(KOslave,SIGN(AO335))*POWER(KKslave,SIGN(AP335))+AL335*POWER(MUslave_MU,SIGN(AI335))*POWER(KLslave,SIGN(AJ335))*POWER(INslave,SIGN(AK335))*POWER(FFslave,SIGN(AM335))*POWER(GEslave,SIGN(AN335))*POWER(KOslave,SIGN(AO335))*POWER(KKslave,SIGN(AP335))+AM335*POWER(MUslave_MU,SIGN(AI335))*POWER(KLslave,SIGN(AJ335))*POWER(INslave,SIGN(AK335))*POWER(CHslave,SIGN(AL335))*POWER(GEslave,SIGN(AN335))*POWER(KOslave,SIGN(AO335))*POWER(KKslave,SIGN(AP335))+AN335*POWER(MUslave_MU,SIGN(AI335))*POWER(KLslave,SIGN(AJ335))*POWER(INslave,SIGN(AK335))*POWER(CHslave,SIGN(AL335))*POWER(FFslave,SIGN(AM335))*POWER(KOslave,SIGN(AO335))*POWER(KKslave,SIGN(AP335))+AO335*POWER(MUslave_MU,SIGN(AI335))*POWER(KLslave,SIGN(AJ335))*POWER(INslave,SIGN(AK335))*POWER(CHslave,SIGN(AL335))*POWER(FFslave,SIGN(AM335))*POWER(GEslave,SIGN(AN335))*POWER(KKslave,SIGN(AP335))+AP335*POWER(MUslave_MU,SIGN(AI335))*POWER(KLslave,SIGN(AJ335))*POWER(INslave,SIGN(AK335))*POWER(CHslave,SIGN(AL335))*POWER(FFslave,SIGN(AM335))*POWER(GEslave,SIGN(AN335))*POWER(KOslave,SIGN(AO335))</f>
        <v>2304</v>
      </c>
      <c r="AU335" s="113">
        <f>AN335*AO335*KKslave+AN335*KOslave*AP335+GEslave*AO335*AP335</f>
        <v>3456</v>
      </c>
      <c r="AV335" s="224">
        <f t="shared" si="3301"/>
        <v>1728</v>
      </c>
      <c r="AW335" s="224">
        <f t="shared" si="3302"/>
        <v>7488</v>
      </c>
      <c r="AX335" s="222">
        <f t="shared" si="2960"/>
        <v>3.6923076923076925</v>
      </c>
      <c r="AY335" s="223">
        <f t="shared" si="2961"/>
        <v>11.076923076923077</v>
      </c>
      <c r="AZ335" s="243">
        <f t="shared" si="2962"/>
        <v>8.3076923076923084</v>
      </c>
      <c r="BA335" s="243">
        <f t="shared" si="2963"/>
        <v>23.07692307692308</v>
      </c>
      <c r="BB335" s="252">
        <f t="shared" si="2034"/>
        <v>0</v>
      </c>
      <c r="BC335" s="324">
        <f t="shared" si="2964"/>
        <v>23.07692307692308</v>
      </c>
      <c r="BD335" s="304">
        <f t="shared" si="3303"/>
        <v>175.5384615384616</v>
      </c>
      <c r="BE335" s="335">
        <f t="shared" si="3303"/>
        <v>2</v>
      </c>
      <c r="BF335" s="243">
        <f t="shared" si="2966"/>
        <v>173.5384615384616</v>
      </c>
      <c r="BG335" s="218">
        <f t="shared" si="2967"/>
        <v>0</v>
      </c>
      <c r="BH335" s="248"/>
      <c r="BI335" s="303" t="s">
        <v>487</v>
      </c>
      <c r="BJ335" s="304" t="s">
        <v>77</v>
      </c>
      <c r="BK335" s="304" t="s">
        <v>132</v>
      </c>
      <c r="BL335" s="114"/>
      <c r="BM335" s="113"/>
      <c r="BN335" s="113"/>
      <c r="BO335" s="113"/>
      <c r="BP335" s="113"/>
      <c r="BQ335" s="113">
        <f>Konvention_1slave-GEslave</f>
        <v>12</v>
      </c>
      <c r="BR335" s="113">
        <f>Konvention_1slave-KOslave</f>
        <v>12</v>
      </c>
      <c r="BS335" s="119">
        <f>Konvention_1slave-KKslave</f>
        <v>12</v>
      </c>
      <c r="BT335" s="223">
        <f>(BL335+BM335+BN335+BO335+BP335+BQ335+BR335+BS335)/3</f>
        <v>12</v>
      </c>
      <c r="BU335" s="223">
        <f t="shared" si="2968"/>
        <v>24</v>
      </c>
      <c r="BV335" s="224">
        <f t="shared" si="2969"/>
        <v>36</v>
      </c>
      <c r="BW335" s="237">
        <f>BL335*POWER(KLslave_KL,SIGN(BM335))*POWER(INslave,SIGN(BN335))*POWER(CHslave,SIGN(BO335))*POWER(FFslave,SIGN(BP335))*POWER(GEslave,SIGN(BQ335))*POWER(KOslave,SIGN(BR335))*POWER(KKslave,SIGN(BS335))+BM335*POWER(MUslave,SIGN(BL335))*POWER(INslave,SIGN(BN335))*POWER(CHslave,SIGN(BO335))*POWER(FFslave,SIGN(BP335))*POWER(GEslave,SIGN(BQ335))*POWER(KOslave,SIGN(BR335))*POWER(KKslave,SIGN(BS335))+BN335*POWER(MUslave,SIGN(BL335))*POWER(KLslave_KL,SIGN(BM335))*POWER(CHslave,SIGN(BO335))*POWER(FFslave,SIGN(BP335))*POWER(GEslave,SIGN(BQ335))*POWER(KOslave,SIGN(BR335))*POWER(KKslave,SIGN(BS335))+BO335*POWER(MUslave,SIGN(BL335))*POWER(KLslave_KL,SIGN(BM335))*POWER(INslave,SIGN(BN335))*POWER(FFslave,SIGN(BP335))*POWER(GEslave,SIGN(BQ335))*POWER(KOslave,SIGN(BR335))*POWER(KKslave,SIGN(BS335))+BP335*POWER(MUslave,SIGN(BL335))*POWER(KLslave_KL,SIGN(BM335))*POWER(INslave,SIGN(BN335))*POWER(CHslave,SIGN(BO335))*POWER(GEslave,SIGN(BQ335))*POWER(KOslave,SIGN(BR335))*POWER(KKslave,SIGN(BS335))+BQ335*POWER(MUslave,SIGN(BL335))*POWER(KLslave_KL,SIGN(BM335))*POWER(INslave,SIGN(BN335))*POWER(CHslave,SIGN(BO335))*POWER(FFslave,SIGN(BP335))*POWER(KOslave,SIGN(BR335))*POWER(KKslave,SIGN(BS335))+BR335*POWER(MUslave,SIGN(BL335))*POWER(KLslave_KL,SIGN(BM335))*POWER(INslave,SIGN(BN335))*POWER(CHslave,SIGN(BO335))*POWER(FFslave,SIGN(BP335))*POWER(GEslave,SIGN(BQ335))*POWER(KKslave,SIGN(BS335))+BS335*POWER(MUslave,SIGN(BL335))*POWER(KLslave_KL,SIGN(BM335))*POWER(INslave,SIGN(BN335))*POWER(CHslave,SIGN(BO335))*POWER(FFslave,SIGN(BP335))*POWER(GEslave,SIGN(BQ335))*POWER(KOslave,SIGN(BR335))</f>
        <v>2304</v>
      </c>
      <c r="BX335" s="113">
        <f>BQ335*BR335*KKslave+BQ335*KOslave*BS335+GEslave*BR335*BS335</f>
        <v>3456</v>
      </c>
      <c r="BY335" s="224">
        <f t="shared" si="3304"/>
        <v>1728</v>
      </c>
      <c r="BZ335" s="224">
        <f t="shared" si="3305"/>
        <v>7488</v>
      </c>
      <c r="CA335" s="222">
        <f t="shared" si="2971"/>
        <v>3.6923076923076925</v>
      </c>
      <c r="CB335" s="223">
        <f t="shared" si="2972"/>
        <v>11.076923076923077</v>
      </c>
      <c r="CC335" s="243">
        <f t="shared" si="2973"/>
        <v>8.3076923076923084</v>
      </c>
      <c r="CD335" s="243">
        <f t="shared" si="2974"/>
        <v>23.07692307692308</v>
      </c>
      <c r="CE335" s="252">
        <f t="shared" si="2925"/>
        <v>0</v>
      </c>
      <c r="CF335" s="324">
        <f t="shared" si="2975"/>
        <v>23.07692307692308</v>
      </c>
      <c r="CG335" s="304">
        <f t="shared" si="3306"/>
        <v>175.5384615384616</v>
      </c>
      <c r="CH335" s="335">
        <f t="shared" si="3306"/>
        <v>2</v>
      </c>
      <c r="CI335" s="243">
        <f t="shared" si="2977"/>
        <v>173.5384615384616</v>
      </c>
      <c r="CJ335" s="218">
        <f t="shared" si="2978"/>
        <v>0</v>
      </c>
      <c r="CK335" s="248"/>
      <c r="CL335" s="303" t="s">
        <v>487</v>
      </c>
      <c r="CM335" s="304" t="s">
        <v>77</v>
      </c>
      <c r="CN335" s="304" t="s">
        <v>132</v>
      </c>
      <c r="CO335" s="114"/>
      <c r="CP335" s="113"/>
      <c r="CQ335" s="113"/>
      <c r="CR335" s="113"/>
      <c r="CS335" s="113"/>
      <c r="CT335" s="113">
        <f>Konvention_1slave-GEslave</f>
        <v>12</v>
      </c>
      <c r="CU335" s="113">
        <f>Konvention_1slave-KOslave</f>
        <v>12</v>
      </c>
      <c r="CV335" s="119">
        <f>Konvention_1slave-KKslave</f>
        <v>12</v>
      </c>
      <c r="CW335" s="223">
        <f>(CO335+CP335+CQ335+CR335+CS335+CT335+CU335+CV335)/3</f>
        <v>12</v>
      </c>
      <c r="CX335" s="223">
        <f t="shared" si="2979"/>
        <v>24</v>
      </c>
      <c r="CY335" s="224">
        <f t="shared" si="2980"/>
        <v>36</v>
      </c>
      <c r="CZ335" s="237">
        <f>CO335*POWER(KLslave,SIGN(CP335))*POWER(INslave_IN,SIGN(CQ335))*POWER(CHslave,SIGN(CR335))*POWER(FFslave,SIGN(CS335))*POWER(GEslave,SIGN(CT335))*POWER(KOslave,SIGN(CU335))*POWER(KKslave,SIGN(CV335))+CP335*POWER(MUslave,SIGN(CO335))*POWER(INslave_IN,SIGN(CQ335))*POWER(CHslave,SIGN(CR335))*POWER(FFslave,SIGN(CS335))*POWER(GEslave,SIGN(CT335))*POWER(KOslave,SIGN(CU335))*POWER(KKslave,SIGN(CV335))+CQ335*POWER(MUslave,SIGN(CO335))*POWER(KLslave,SIGN(CP335))*POWER(CHslave,SIGN(CR335))*POWER(FFslave,SIGN(CS335))*POWER(GEslave,SIGN(CT335))*POWER(KOslave,SIGN(CU335))*POWER(KKslave,SIGN(CV335))+CR335*POWER(MUslave,SIGN(CO335))*POWER(KLslave,SIGN(CP335))*POWER(INslave_IN,SIGN(CQ335))*POWER(FFslave,SIGN(CS335))*POWER(GEslave,SIGN(CT335))*POWER(KOslave,SIGN(CU335))*POWER(KKslave,SIGN(CV335))+CS335*POWER(MUslave,SIGN(CO335))*POWER(KLslave,SIGN(CP335))*POWER(INslave_IN,SIGN(CQ335))*POWER(CHslave,SIGN(CR335))*POWER(GEslave,SIGN(CT335))*POWER(KOslave,SIGN(CU335))*POWER(KKslave,SIGN(CV335))+CT335*POWER(MUslave,SIGN(CO335))*POWER(KLslave,SIGN(CP335))*POWER(INslave_IN,SIGN(CQ335))*POWER(CHslave,SIGN(CR335))*POWER(FFslave,SIGN(CS335))*POWER(KOslave,SIGN(CU335))*POWER(KKslave,SIGN(CV335))+CU335*POWER(MUslave,SIGN(CO335))*POWER(KLslave,SIGN(CP335))*POWER(INslave_IN,SIGN(CQ335))*POWER(CHslave,SIGN(CR335))*POWER(FFslave,SIGN(CS335))*POWER(GEslave,SIGN(CT335))*POWER(KKslave,SIGN(CV335))+CV335*POWER(MUslave,SIGN(CO335))*POWER(KLslave,SIGN(CP335))*POWER(INslave_IN,SIGN(CQ335))*POWER(CHslave,SIGN(CR335))*POWER(FFslave,SIGN(CS335))*POWER(GEslave,SIGN(CT335))*POWER(KOslave,SIGN(CU335))</f>
        <v>2304</v>
      </c>
      <c r="DA335" s="113">
        <f>CT335*CU335*KKslave+CT335*KOslave*CV335+GEslave*CU335*CV335</f>
        <v>3456</v>
      </c>
      <c r="DB335" s="224">
        <f t="shared" si="3307"/>
        <v>1728</v>
      </c>
      <c r="DC335" s="224">
        <f t="shared" si="3308"/>
        <v>7488</v>
      </c>
      <c r="DD335" s="222">
        <f t="shared" si="2982"/>
        <v>3.6923076923076925</v>
      </c>
      <c r="DE335" s="223">
        <f t="shared" si="2983"/>
        <v>11.076923076923077</v>
      </c>
      <c r="DF335" s="243">
        <f t="shared" si="2984"/>
        <v>8.3076923076923084</v>
      </c>
      <c r="DG335" s="243">
        <f t="shared" si="2985"/>
        <v>23.07692307692308</v>
      </c>
      <c r="DH335" s="252">
        <f t="shared" si="2928"/>
        <v>0</v>
      </c>
      <c r="DI335" s="324">
        <f t="shared" si="2986"/>
        <v>23.07692307692308</v>
      </c>
      <c r="DJ335" s="304">
        <f t="shared" si="3309"/>
        <v>175.5384615384616</v>
      </c>
      <c r="DK335" s="335">
        <f t="shared" si="3309"/>
        <v>2</v>
      </c>
      <c r="DL335" s="243">
        <f t="shared" si="2988"/>
        <v>173.5384615384616</v>
      </c>
      <c r="DM335" s="218">
        <f t="shared" si="2989"/>
        <v>0</v>
      </c>
      <c r="DN335" s="248"/>
      <c r="DO335" s="303" t="s">
        <v>487</v>
      </c>
      <c r="DP335" s="304" t="s">
        <v>77</v>
      </c>
      <c r="DQ335" s="304" t="s">
        <v>132</v>
      </c>
      <c r="DR335" s="114"/>
      <c r="DS335" s="113"/>
      <c r="DT335" s="113"/>
      <c r="DU335" s="113"/>
      <c r="DV335" s="113"/>
      <c r="DW335" s="113">
        <f>Konvention_1slave-GEslave</f>
        <v>12</v>
      </c>
      <c r="DX335" s="113">
        <f>Konvention_1slave-KOslave</f>
        <v>12</v>
      </c>
      <c r="DY335" s="119">
        <f>Konvention_1slave-KKslave</f>
        <v>12</v>
      </c>
      <c r="DZ335" s="223">
        <f>(DR335+DS335+DT335+DU335+DV335+DW335+DX335+DY335)/3</f>
        <v>12</v>
      </c>
      <c r="EA335" s="223">
        <f t="shared" si="2990"/>
        <v>24</v>
      </c>
      <c r="EB335" s="224">
        <f t="shared" si="2991"/>
        <v>36</v>
      </c>
      <c r="EC335" s="237">
        <f>DR335*POWER(KLslave,SIGN(DS335))*POWER(INslave,SIGN(DT335))*POWER(CHslave_CH,SIGN(DU335))*POWER(FFslave,SIGN(DV335))*POWER(GEslave,SIGN(DW335))*POWER(KOslave,SIGN(DX335))*POWER(KKslave,SIGN(DY335))+DS335*POWER(MUslave,SIGN(DR335))*POWER(INslave,SIGN(DT335))*POWER(CHslave_CH,SIGN(DU335))*POWER(FFslave,SIGN(DV335))*POWER(GEslave,SIGN(DW335))*POWER(KOslave,SIGN(DX335))*POWER(KKslave,SIGN(DY335))+DT335*POWER(MUslave,SIGN(DR335))*POWER(KLslave,SIGN(DS335))*POWER(CHslave_CH,SIGN(DU335))*POWER(FFslave,SIGN(DV335))*POWER(GEslave,SIGN(DW335))*POWER(KOslave,SIGN(DX335))*POWER(KKslave,SIGN(DY335))+DU335*POWER(MUslave,SIGN(DR335))*POWER(KLslave,SIGN(DS335))*POWER(INslave,SIGN(DT335))*POWER(FFslave,SIGN(DV335))*POWER(GEslave,SIGN(DW335))*POWER(KOslave,SIGN(DX335))*POWER(KKslave,SIGN(DY335))+DV335*POWER(MUslave,SIGN(DR335))*POWER(KLslave,SIGN(DS335))*POWER(INslave,SIGN(DT335))*POWER(CHslave_CH,SIGN(DU335))*POWER(GEslave,SIGN(DW335))*POWER(KOslave,SIGN(DX335))*POWER(KKslave,SIGN(DY335))+DW335*POWER(MUslave,SIGN(DR335))*POWER(KLslave,SIGN(DS335))*POWER(INslave,SIGN(DT335))*POWER(CHslave_CH,SIGN(DU335))*POWER(FFslave,SIGN(DV335))*POWER(KOslave,SIGN(DX335))*POWER(KKslave,SIGN(DY335))+DX335*POWER(MUslave,SIGN(DR335))*POWER(KLslave,SIGN(DS335))*POWER(INslave,SIGN(DT335))*POWER(CHslave_CH,SIGN(DU335))*POWER(FFslave,SIGN(DV335))*POWER(GEslave,SIGN(DW335))*POWER(KKslave,SIGN(DY335))+DY335*POWER(MUslave,SIGN(DR335))*POWER(KLslave,SIGN(DS335))*POWER(INslave,SIGN(DT335))*POWER(CHslave_CH,SIGN(DU335))*POWER(FFslave,SIGN(DV335))*POWER(GEslave,SIGN(DW335))*POWER(KOslave,SIGN(DX335))</f>
        <v>2304</v>
      </c>
      <c r="ED335" s="113">
        <f>DW335*DX335*KKslave+DW335*KOslave*DY335+GEslave*DX335*DY335</f>
        <v>3456</v>
      </c>
      <c r="EE335" s="224">
        <f t="shared" si="3310"/>
        <v>1728</v>
      </c>
      <c r="EF335" s="224">
        <f t="shared" si="3311"/>
        <v>7488</v>
      </c>
      <c r="EG335" s="222">
        <f t="shared" si="2993"/>
        <v>3.6923076923076925</v>
      </c>
      <c r="EH335" s="223">
        <f t="shared" si="2994"/>
        <v>11.076923076923077</v>
      </c>
      <c r="EI335" s="243">
        <f t="shared" si="2995"/>
        <v>8.3076923076923084</v>
      </c>
      <c r="EJ335" s="243">
        <f t="shared" si="2996"/>
        <v>23.07692307692308</v>
      </c>
      <c r="EK335" s="252">
        <f t="shared" si="2931"/>
        <v>0</v>
      </c>
      <c r="EL335" s="324">
        <f t="shared" si="2997"/>
        <v>23.07692307692308</v>
      </c>
      <c r="EM335" s="304">
        <f t="shared" si="3312"/>
        <v>175.5384615384616</v>
      </c>
      <c r="EN335" s="335">
        <f t="shared" si="3312"/>
        <v>2</v>
      </c>
      <c r="EO335" s="243">
        <f t="shared" si="2999"/>
        <v>173.5384615384616</v>
      </c>
      <c r="EP335" s="218">
        <f t="shared" si="3000"/>
        <v>0</v>
      </c>
      <c r="EQ335" s="248"/>
      <c r="ER335" s="303" t="s">
        <v>487</v>
      </c>
      <c r="ES335" s="304" t="s">
        <v>77</v>
      </c>
      <c r="ET335" s="304" t="s">
        <v>132</v>
      </c>
      <c r="EU335" s="114"/>
      <c r="EV335" s="113"/>
      <c r="EW335" s="113"/>
      <c r="EX335" s="113"/>
      <c r="EY335" s="113"/>
      <c r="EZ335" s="113">
        <f>Konvention_1slave-GEslave</f>
        <v>12</v>
      </c>
      <c r="FA335" s="113">
        <f>Konvention_1slave-KOslave</f>
        <v>12</v>
      </c>
      <c r="FB335" s="119">
        <f>Konvention_1slave-KKslave</f>
        <v>12</v>
      </c>
      <c r="FC335" s="223">
        <f>(EU335+EV335+EW335+EX335+EY335+EZ335+FA335+FB335)/3</f>
        <v>12</v>
      </c>
      <c r="FD335" s="223">
        <f t="shared" si="3001"/>
        <v>24</v>
      </c>
      <c r="FE335" s="224">
        <f t="shared" si="3002"/>
        <v>36</v>
      </c>
      <c r="FF335" s="237">
        <f>EU335*POWER(KLslave,SIGN(EV335))*POWER(INslave,SIGN(EW335))*POWER(CHslave,SIGN(EX335))*POWER(FFslave_FF,SIGN(EY335))*POWER(GEslave,SIGN(EZ335))*POWER(KOslave,SIGN(FA335))*POWER(KKslave,SIGN(FB335))+EV335*POWER(MUslave,SIGN(EU335))*POWER(INslave,SIGN(EW335))*POWER(CHslave,SIGN(EX335))*POWER(FFslave_FF,SIGN(EY335))*POWER(GEslave,SIGN(EZ335))*POWER(KOslave,SIGN(FA335))*POWER(KKslave,SIGN(FB335))+EW335*POWER(MUslave,SIGN(EU335))*POWER(KLslave,SIGN(EV335))*POWER(CHslave,SIGN(EX335))*POWER(FFslave_FF,SIGN(EY335))*POWER(GEslave,SIGN(EZ335))*POWER(KOslave,SIGN(FA335))*POWER(KKslave,SIGN(FB335))+EX335*POWER(MUslave,SIGN(EU335))*POWER(KLslave,SIGN(EV335))*POWER(INslave,SIGN(EW335))*POWER(FFslave_FF,SIGN(EY335))*POWER(GEslave,SIGN(EZ335))*POWER(KOslave,SIGN(FA335))*POWER(KKslave,SIGN(FB335))+EY335*POWER(MUslave,SIGN(EU335))*POWER(KLslave,SIGN(EV335))*POWER(INslave,SIGN(EW335))*POWER(CHslave,SIGN(EX335))*POWER(GEslave,SIGN(EZ335))*POWER(KOslave,SIGN(FA335))*POWER(KKslave,SIGN(FB335))+EZ335*POWER(MUslave,SIGN(EU335))*POWER(KLslave,SIGN(EV335))*POWER(INslave,SIGN(EW335))*POWER(CHslave,SIGN(EX335))*POWER(FFslave_FF,SIGN(EY335))*POWER(KOslave,SIGN(FA335))*POWER(KKslave,SIGN(FB335))+FA335*POWER(MUslave,SIGN(EU335))*POWER(KLslave,SIGN(EV335))*POWER(INslave,SIGN(EW335))*POWER(CHslave,SIGN(EX335))*POWER(FFslave_FF,SIGN(EY335))*POWER(GEslave,SIGN(EZ335))*POWER(KKslave,SIGN(FB335))+FB335*POWER(MUslave,SIGN(EU335))*POWER(KLslave,SIGN(EV335))*POWER(INslave,SIGN(EW335))*POWER(CHslave,SIGN(EX335))*POWER(FFslave_FF,SIGN(EY335))*POWER(GEslave,SIGN(EZ335))*POWER(KOslave,SIGN(FA335))</f>
        <v>2304</v>
      </c>
      <c r="FG335" s="113">
        <f>EZ335*FA335*KKslave+EZ335*KOslave*FB335+GEslave*FA335*FB335</f>
        <v>3456</v>
      </c>
      <c r="FH335" s="224">
        <f t="shared" si="3313"/>
        <v>1728</v>
      </c>
      <c r="FI335" s="224">
        <f t="shared" si="3314"/>
        <v>7488</v>
      </c>
      <c r="FJ335" s="222">
        <f t="shared" si="3004"/>
        <v>3.6923076923076925</v>
      </c>
      <c r="FK335" s="223">
        <f t="shared" si="3005"/>
        <v>11.076923076923077</v>
      </c>
      <c r="FL335" s="243">
        <f t="shared" si="3006"/>
        <v>8.3076923076923084</v>
      </c>
      <c r="FM335" s="243">
        <f t="shared" si="3007"/>
        <v>23.07692307692308</v>
      </c>
      <c r="FN335" s="252">
        <f t="shared" si="2934"/>
        <v>0</v>
      </c>
      <c r="FO335" s="324">
        <f t="shared" si="3008"/>
        <v>23.07692307692308</v>
      </c>
      <c r="FP335" s="304">
        <f t="shared" si="3315"/>
        <v>175.5384615384616</v>
      </c>
      <c r="FQ335" s="335">
        <f t="shared" si="3315"/>
        <v>2</v>
      </c>
      <c r="FR335" s="243">
        <f t="shared" si="3010"/>
        <v>173.5384615384616</v>
      </c>
      <c r="FS335" s="218">
        <f t="shared" si="3011"/>
        <v>0</v>
      </c>
      <c r="FT335" s="248"/>
      <c r="FU335" s="303" t="s">
        <v>487</v>
      </c>
      <c r="FV335" s="304" t="s">
        <v>77</v>
      </c>
      <c r="FW335" s="304" t="s">
        <v>132</v>
      </c>
      <c r="FX335" s="114"/>
      <c r="FY335" s="113"/>
      <c r="FZ335" s="113"/>
      <c r="GA335" s="113"/>
      <c r="GB335" s="113"/>
      <c r="GC335" s="113">
        <f>Konvention_1slave-GEslave_GE</f>
        <v>11</v>
      </c>
      <c r="GD335" s="113">
        <f>Konvention_1slave-KOslave</f>
        <v>12</v>
      </c>
      <c r="GE335" s="119">
        <f>Konvention_1slave-KKslave</f>
        <v>12</v>
      </c>
      <c r="GF335" s="223">
        <f>(FX335+FY335+FZ335+GA335+GB335+GC335+GD335+GE335)/3</f>
        <v>11.666666666666666</v>
      </c>
      <c r="GG335" s="223">
        <f t="shared" si="3012"/>
        <v>23.333333333333332</v>
      </c>
      <c r="GH335" s="224">
        <f t="shared" si="3013"/>
        <v>35</v>
      </c>
      <c r="GI335" s="237">
        <f>FX335*POWER(KLslave,SIGN(FY335))*POWER(INslave,SIGN(FZ335))*POWER(CHslave,SIGN(GA335))*POWER(FFslave,SIGN(GB335))*POWER(GEslave_GE,SIGN(GC335))*POWER(KOslave,SIGN(GD335))*POWER(KKslave,SIGN(GE335))+FY335*POWER(MUslave,SIGN(FX335))*POWER(INslave,SIGN(FZ335))*POWER(CHslave,SIGN(GA335))*POWER(FFslave,SIGN(GB335))*POWER(GEslave_GE,SIGN(GC335))*POWER(KOslave,SIGN(GD335))*POWER(KKslave,SIGN(GE335))+FZ335*POWER(MUslave,SIGN(FX335))*POWER(KLslave,SIGN(FY335))*POWER(CHslave,SIGN(GA335))*POWER(FFslave,SIGN(GB335))*POWER(GEslave_GE,SIGN(GC335))*POWER(KOslave,SIGN(GD335))*POWER(KKslave,SIGN(GE335))+GA335*POWER(MUslave,SIGN(FX335))*POWER(KLslave,SIGN(FY335))*POWER(INslave,SIGN(FZ335))*POWER(FFslave,SIGN(GB335))*POWER(GEslave_GE,SIGN(GC335))*POWER(KOslave,SIGN(GD335))*POWER(KKslave,SIGN(GE335))+GB335*POWER(MUslave,SIGN(FX335))*POWER(KLslave,SIGN(FY335))*POWER(INslave,SIGN(FZ335))*POWER(CHslave,SIGN(GA335))*POWER(GEslave_GE,SIGN(GC335))*POWER(KOslave,SIGN(GD335))*POWER(KKslave,SIGN(GE335))+GC335*POWER(MUslave,SIGN(FX335))*POWER(KLslave,SIGN(FY335))*POWER(INslave,SIGN(FZ335))*POWER(CHslave,SIGN(GA335))*POWER(FFslave,SIGN(GB335))*POWER(KOslave,SIGN(GD335))*POWER(KKslave,SIGN(GE335))+GD335*POWER(MUslave,SIGN(FX335))*POWER(KLslave,SIGN(FY335))*POWER(INslave,SIGN(FZ335))*POWER(CHslave,SIGN(GA335))*POWER(FFslave,SIGN(GB335))*POWER(GEslave_GE,SIGN(GC335))*POWER(KKslave,SIGN(GE335))+GE335*POWER(MUslave,SIGN(FX335))*POWER(KLslave,SIGN(FY335))*POWER(INslave,SIGN(FZ335))*POWER(CHslave,SIGN(GA335))*POWER(FFslave,SIGN(GB335))*POWER(GEslave_GE,SIGN(GC335))*POWER(KOslave,SIGN(GD335))</f>
        <v>2432</v>
      </c>
      <c r="GJ335" s="113">
        <f>GC335*GD335*KKslave+GC335*KOslave*GE335+GEslave_GE*GD335*GE335</f>
        <v>3408</v>
      </c>
      <c r="GK335" s="224">
        <f t="shared" si="3316"/>
        <v>1584</v>
      </c>
      <c r="GL335" s="224">
        <f t="shared" si="3317"/>
        <v>7424</v>
      </c>
      <c r="GM335" s="222">
        <f t="shared" si="3015"/>
        <v>3.8218390804597702</v>
      </c>
      <c r="GN335" s="223">
        <f t="shared" si="3016"/>
        <v>10.711206896551724</v>
      </c>
      <c r="GO335" s="243">
        <f t="shared" si="3017"/>
        <v>7.4676724137931032</v>
      </c>
      <c r="GP335" s="243">
        <f t="shared" si="3018"/>
        <v>22.000718390804597</v>
      </c>
      <c r="GQ335" s="252">
        <f t="shared" si="2937"/>
        <v>0</v>
      </c>
      <c r="GR335" s="324">
        <f t="shared" si="3019"/>
        <v>22.000718390804597</v>
      </c>
      <c r="GS335" s="304">
        <f t="shared" si="3318"/>
        <v>154.01436781609189</v>
      </c>
      <c r="GT335" s="335">
        <f t="shared" si="3318"/>
        <v>2</v>
      </c>
      <c r="GU335" s="243">
        <f t="shared" si="3021"/>
        <v>152.01436781609189</v>
      </c>
      <c r="GV335" s="218">
        <f t="shared" si="3022"/>
        <v>0</v>
      </c>
      <c r="GW335" s="248"/>
      <c r="GX335" s="303" t="s">
        <v>487</v>
      </c>
      <c r="GY335" s="304" t="s">
        <v>77</v>
      </c>
      <c r="GZ335" s="304" t="s">
        <v>132</v>
      </c>
      <c r="HA335" s="114"/>
      <c r="HB335" s="113"/>
      <c r="HC335" s="113"/>
      <c r="HD335" s="113"/>
      <c r="HE335" s="113"/>
      <c r="HF335" s="113">
        <f>Konvention_1slave-GEslave</f>
        <v>12</v>
      </c>
      <c r="HG335" s="113">
        <f>Konvention_1slave-KOslave_KO</f>
        <v>11</v>
      </c>
      <c r="HH335" s="119">
        <f>Konvention_1slave-KKslave</f>
        <v>12</v>
      </c>
      <c r="HI335" s="223">
        <f>(HA335+HB335+HC335+HD335+HE335+HF335+HG335+HH335)/3</f>
        <v>11.666666666666666</v>
      </c>
      <c r="HJ335" s="223">
        <f t="shared" si="3023"/>
        <v>23.333333333333332</v>
      </c>
      <c r="HK335" s="224">
        <f t="shared" si="3024"/>
        <v>35</v>
      </c>
      <c r="HL335" s="237">
        <f>HA335*POWER(KLslave,SIGN(HB335))*POWER(INslave,SIGN(HC335))*POWER(CHslave,SIGN(HD335))*POWER(FFslave,SIGN(HE335))*POWER(GEslave,SIGN(HF335))*POWER(KOslave_KO,SIGN(HG335))*POWER(KKslave,SIGN(HH335))+HB335*POWER(MUslave,SIGN(HA335))*POWER(INslave,SIGN(HC335))*POWER(CHslave,SIGN(HD335))*POWER(FFslave,SIGN(HE335))*POWER(GEslave,SIGN(HF335))*POWER(KOslave_KO,SIGN(HG335))*POWER(KKslave,SIGN(HH335))+HC335*POWER(MUslave,SIGN(HA335))*POWER(KLslave,SIGN(HB335))*POWER(CHslave,SIGN(HD335))*POWER(FFslave,SIGN(HE335))*POWER(GEslave,SIGN(HF335))*POWER(KOslave_KO,SIGN(HG335))*POWER(KKslave,SIGN(HH335))+HD335*POWER(MUslave,SIGN(HA335))*POWER(KLslave,SIGN(HB335))*POWER(INslave,SIGN(HC335))*POWER(FFslave,SIGN(HE335))*POWER(GEslave,SIGN(HF335))*POWER(KOslave_KO,SIGN(HG335))*POWER(KKslave,SIGN(HH335))+HE335*POWER(MUslave,SIGN(HA335))*POWER(KLslave,SIGN(HB335))*POWER(INslave,SIGN(HC335))*POWER(CHslave,SIGN(HD335))*POWER(GEslave,SIGN(HF335))*POWER(KOslave_KO,SIGN(HG335))*POWER(KKslave,SIGN(HH335))+HF335*POWER(MUslave,SIGN(HA335))*POWER(KLslave,SIGN(HB335))*POWER(INslave,SIGN(HC335))*POWER(CHslave,SIGN(HD335))*POWER(FFslave,SIGN(HE335))*POWER(KOslave_KO,SIGN(HG335))*POWER(KKslave,SIGN(HH335))+HG335*POWER(MUslave,SIGN(HA335))*POWER(KLslave,SIGN(HB335))*POWER(INslave,SIGN(HC335))*POWER(CHslave,SIGN(HD335))*POWER(FFslave,SIGN(HE335))*POWER(GEslave,SIGN(HF335))*POWER(KKslave,SIGN(HH335))+HH335*POWER(MUslave,SIGN(HA335))*POWER(KLslave,SIGN(HB335))*POWER(INslave,SIGN(HC335))*POWER(CHslave,SIGN(HD335))*POWER(FFslave,SIGN(HE335))*POWER(GEslave,SIGN(HF335))*POWER(KOslave_KO,SIGN(HG335))</f>
        <v>2432</v>
      </c>
      <c r="HM335" s="113">
        <f>HF335*HG335*KKslave+HF335*KOslave_KO*HH335+GEslave*HG335*HH335</f>
        <v>3408</v>
      </c>
      <c r="HN335" s="224">
        <f t="shared" si="3319"/>
        <v>1584</v>
      </c>
      <c r="HO335" s="224">
        <f t="shared" si="3320"/>
        <v>7424</v>
      </c>
      <c r="HP335" s="222">
        <f t="shared" si="3026"/>
        <v>3.8218390804597702</v>
      </c>
      <c r="HQ335" s="223">
        <f t="shared" si="3027"/>
        <v>10.711206896551724</v>
      </c>
      <c r="HR335" s="243">
        <f t="shared" si="3028"/>
        <v>7.4676724137931032</v>
      </c>
      <c r="HS335" s="243">
        <f t="shared" si="3029"/>
        <v>22.000718390804597</v>
      </c>
      <c r="HT335" s="252">
        <f t="shared" si="2940"/>
        <v>0</v>
      </c>
      <c r="HU335" s="324">
        <f t="shared" si="3030"/>
        <v>22.000718390804597</v>
      </c>
      <c r="HV335" s="304">
        <f t="shared" si="3321"/>
        <v>154.01436781609189</v>
      </c>
      <c r="HW335" s="335">
        <f t="shared" si="3321"/>
        <v>2</v>
      </c>
      <c r="HX335" s="243">
        <f t="shared" si="3032"/>
        <v>152.01436781609189</v>
      </c>
      <c r="HY335" s="218">
        <f t="shared" si="3033"/>
        <v>0</v>
      </c>
      <c r="HZ335" s="248"/>
      <c r="IA335" s="303" t="s">
        <v>487</v>
      </c>
      <c r="IB335" s="304" t="s">
        <v>77</v>
      </c>
      <c r="IC335" s="304" t="s">
        <v>132</v>
      </c>
      <c r="ID335" s="114"/>
      <c r="IE335" s="113"/>
      <c r="IF335" s="113"/>
      <c r="IG335" s="113"/>
      <c r="IH335" s="113"/>
      <c r="II335" s="113">
        <f>Konvention_1slave-GEslave</f>
        <v>12</v>
      </c>
      <c r="IJ335" s="113">
        <f>Konvention_1slave-KOslave</f>
        <v>12</v>
      </c>
      <c r="IK335" s="119">
        <f>Konvention_1slave-KKslave_KK</f>
        <v>11</v>
      </c>
      <c r="IL335" s="223">
        <f>(ID335+IE335+IF335+IG335+IH335+II335+IJ335+IK335)/3</f>
        <v>11.666666666666666</v>
      </c>
      <c r="IM335" s="223">
        <f t="shared" si="3034"/>
        <v>23.333333333333332</v>
      </c>
      <c r="IN335" s="224">
        <f t="shared" si="3035"/>
        <v>35</v>
      </c>
      <c r="IO335" s="237">
        <f>ID335*POWER(KLslave,SIGN(IE335))*POWER(INslave,SIGN(IF335))*POWER(CHslave,SIGN(IG335))*POWER(FFslave,SIGN(IH335))*POWER(GEslave,SIGN(II335))*POWER(KOslave,SIGN(IJ335))*POWER(KKslave_KK,SIGN(IK335))+IE335*POWER(MUslave,SIGN(ID335))*POWER(INslave,SIGN(IF335))*POWER(CHslave,SIGN(IG335))*POWER(FFslave,SIGN(IH335))*POWER(GEslave,SIGN(II335))*POWER(KOslave,SIGN(IJ335))*POWER(KKslave_KK,SIGN(IK335))+IF335*POWER(MUslave,SIGN(ID335))*POWER(KLslave,SIGN(IE335))*POWER(CHslave,SIGN(IG335))*POWER(FFslave,SIGN(IH335))*POWER(GEslave,SIGN(II335))*POWER(KOslave,SIGN(IJ335))*POWER(KKslave_KK,SIGN(IK335))+IG335*POWER(MUslave,SIGN(ID335))*POWER(KLslave,SIGN(IE335))*POWER(INslave,SIGN(IF335))*POWER(FFslave,SIGN(IH335))*POWER(GEslave,SIGN(II335))*POWER(KOslave,SIGN(IJ335))*POWER(KKslave_KK,SIGN(IK335))+IH335*POWER(MUslave,SIGN(ID335))*POWER(KLslave,SIGN(IE335))*POWER(INslave,SIGN(IF335))*POWER(CHslave,SIGN(IG335))*POWER(GEslave,SIGN(II335))*POWER(KOslave,SIGN(IJ335))*POWER(KKslave_KK,SIGN(IK335))+II335*POWER(MUslave,SIGN(ID335))*POWER(KLslave,SIGN(IE335))*POWER(INslave,SIGN(IF335))*POWER(CHslave,SIGN(IG335))*POWER(FFslave,SIGN(IH335))*POWER(KOslave,SIGN(IJ335))*POWER(KKslave_KK,SIGN(IK335))+IJ335*POWER(MUslave,SIGN(ID335))*POWER(KLslave,SIGN(IE335))*POWER(INslave,SIGN(IF335))*POWER(CHslave,SIGN(IG335))*POWER(FFslave,SIGN(IH335))*POWER(GEslave,SIGN(II335))*POWER(KKslave_KK,SIGN(IK335))+IK335*POWER(MUslave,SIGN(ID335))*POWER(KLslave,SIGN(IE335))*POWER(INslave,SIGN(IF335))*POWER(CHslave,SIGN(IG335))*POWER(FFslave,SIGN(IH335))*POWER(GEslave,SIGN(II335))*POWER(KOslave,SIGN(IJ335))</f>
        <v>2432</v>
      </c>
      <c r="IP335" s="113">
        <f>II335*IJ335*KKslave_KK+II335*KOslave*IK335+GEslave*IJ335*IK335</f>
        <v>3408</v>
      </c>
      <c r="IQ335" s="224">
        <f t="shared" si="3322"/>
        <v>1584</v>
      </c>
      <c r="IR335" s="224">
        <f t="shared" si="3323"/>
        <v>7424</v>
      </c>
      <c r="IS335" s="222">
        <f t="shared" si="3037"/>
        <v>3.8218390804597702</v>
      </c>
      <c r="IT335" s="223">
        <f t="shared" si="3038"/>
        <v>10.711206896551724</v>
      </c>
      <c r="IU335" s="243">
        <f t="shared" si="3039"/>
        <v>7.4676724137931032</v>
      </c>
      <c r="IV335" s="243">
        <f t="shared" si="3040"/>
        <v>22.000718390804597</v>
      </c>
      <c r="IW335" s="252">
        <f t="shared" si="2943"/>
        <v>0</v>
      </c>
      <c r="IX335" s="324">
        <f t="shared" si="3041"/>
        <v>22.000718390804597</v>
      </c>
      <c r="IY335" s="304">
        <f t="shared" si="3324"/>
        <v>154.01436781609189</v>
      </c>
      <c r="IZ335" s="335">
        <f t="shared" si="3324"/>
        <v>2</v>
      </c>
      <c r="JA335" s="243">
        <f t="shared" si="3043"/>
        <v>152.01436781609189</v>
      </c>
      <c r="JB335" s="218">
        <f t="shared" si="3044"/>
        <v>0</v>
      </c>
      <c r="JE335" s="148"/>
    </row>
    <row r="336" spans="1:265" s="205" customFormat="1" hidden="1" outlineLevel="2">
      <c r="A336" s="185"/>
      <c r="B336" s="148">
        <v>14</v>
      </c>
      <c r="C336" s="303" t="e">
        <f>VLOOKUP(AF336,Attribute!C:T,1,FALSE)</f>
        <v>#N/A</v>
      </c>
      <c r="D336" s="304" t="s">
        <v>502</v>
      </c>
      <c r="E336" s="304" t="s">
        <v>132</v>
      </c>
      <c r="F336" s="213"/>
      <c r="G336" s="214"/>
      <c r="H336" s="113">
        <f>Konvention_1master-INmaster</f>
        <v>12</v>
      </c>
      <c r="I336" s="113"/>
      <c r="J336" s="214"/>
      <c r="K336" s="113">
        <f>Konvention_1master-GEmaster</f>
        <v>12</v>
      </c>
      <c r="L336" s="214"/>
      <c r="M336" s="215"/>
      <c r="N336" s="223">
        <f>(K336+K336+H336)/3</f>
        <v>12</v>
      </c>
      <c r="O336" s="223">
        <f t="shared" ref="O336:O337" si="3325">2*N336</f>
        <v>24</v>
      </c>
      <c r="P336" s="224">
        <f t="shared" ref="P336:P337" si="3326">3*N336</f>
        <v>36</v>
      </c>
      <c r="Q336" s="237">
        <f>K336*POWER(INmaster,SIGN(H336))*POWER(KLmaster,SIGN(K336))+K336*POWER(INmaster,SIGN(H336))*POWER(KLmaster,SIGN(K336))+H336*POWER(KLmaster,SIGN(K336))*POWER(KLmaster,SIGN(K336))</f>
        <v>2304</v>
      </c>
      <c r="R336" s="117">
        <f>K336*K336*GEmaster+K336*CHmaster*H336+CHmaster*K336*H336</f>
        <v>3456</v>
      </c>
      <c r="S336" s="224">
        <f>K336*K336*H336</f>
        <v>1728</v>
      </c>
      <c r="T336" s="224">
        <f t="shared" ref="T336:T337" si="3327">SUM(Q336:S336)</f>
        <v>7488</v>
      </c>
      <c r="U336" s="222">
        <f t="shared" ref="U334:U340" si="3328">N336*Q336/T336</f>
        <v>3.6923076923076925</v>
      </c>
      <c r="V336" s="223">
        <f t="shared" ref="V334:V340" si="3329">O336*R336/T336</f>
        <v>11.076923076923077</v>
      </c>
      <c r="W336" s="243">
        <f t="shared" ref="W334:W340" si="3330">P336*S336/T336</f>
        <v>8.3076923076923084</v>
      </c>
      <c r="X336" s="243">
        <f t="shared" ref="X334:X340" si="3331">SUM(U336:W336)</f>
        <v>23.07692307692308</v>
      </c>
      <c r="Y336" s="252">
        <v>0</v>
      </c>
      <c r="Z336" s="324">
        <f t="shared" ref="Z334:Z340" si="3332">X336-Y336</f>
        <v>23.07692307692308</v>
      </c>
      <c r="AA336" s="304">
        <f t="shared" si="3299"/>
        <v>175.5384615384616</v>
      </c>
      <c r="AB336" s="335">
        <f t="shared" si="3300"/>
        <v>2</v>
      </c>
      <c r="AC336" s="243">
        <f t="shared" ref="AC336:AC337" si="3333">IF((AA336-AB336)&gt;0,AA336-AB336,0)</f>
        <v>173.5384615384616</v>
      </c>
      <c r="AD336" s="218">
        <f t="shared" ref="AD336:AD337" si="3334">IF((AB336-AA336)&gt;0,AB336-AA336,0)</f>
        <v>0</v>
      </c>
      <c r="AE336" s="299"/>
      <c r="AF336" s="303" t="s">
        <v>488</v>
      </c>
      <c r="AG336" s="304" t="s">
        <v>502</v>
      </c>
      <c r="AH336" s="304" t="s">
        <v>132</v>
      </c>
      <c r="AI336" s="213"/>
      <c r="AJ336" s="214"/>
      <c r="AK336" s="113">
        <f>Konvention_1slave-INslave</f>
        <v>12</v>
      </c>
      <c r="AL336" s="113"/>
      <c r="AM336" s="214"/>
      <c r="AN336" s="113">
        <f>Konvention_1slave-GEslave</f>
        <v>12</v>
      </c>
      <c r="AO336" s="214"/>
      <c r="AP336" s="215"/>
      <c r="AQ336" s="223">
        <f>(AN336+AN336+AK336)/3</f>
        <v>12</v>
      </c>
      <c r="AR336" s="223">
        <f t="shared" si="2957"/>
        <v>24</v>
      </c>
      <c r="AS336" s="224">
        <f t="shared" si="2958"/>
        <v>36</v>
      </c>
      <c r="AT336" s="237">
        <f>AN336*POWER(INslave,SIGN(AK336))*POWER(KLslave,SIGN(AN336))+AN336*POWER(INslave,SIGN(AK336))*POWER(KLslave,SIGN(AN336))+AK336*POWER(KLslave,SIGN(AN336))*POWER(KLslave,SIGN(AN336))</f>
        <v>2304</v>
      </c>
      <c r="AU336" s="117">
        <f>AN336*AN336*GEslave+AN336*CHslave*AK336+CHslave*AN336*AK336</f>
        <v>3456</v>
      </c>
      <c r="AV336" s="224">
        <f>AN336*AN336*AK336</f>
        <v>1728</v>
      </c>
      <c r="AW336" s="224">
        <f t="shared" ref="AW336:AW337" si="3335">SUM(AT336:AV336)</f>
        <v>7488</v>
      </c>
      <c r="AX336" s="222">
        <f t="shared" ref="AX334:AX340" si="3336">AQ336*AT336/AW336</f>
        <v>3.6923076923076925</v>
      </c>
      <c r="AY336" s="223">
        <f t="shared" ref="AY334:AY340" si="3337">AR336*AU336/AW336</f>
        <v>11.076923076923077</v>
      </c>
      <c r="AZ336" s="243">
        <f t="shared" ref="AZ334:AZ340" si="3338">AS336*AV336/AW336</f>
        <v>8.3076923076923084</v>
      </c>
      <c r="BA336" s="243">
        <f t="shared" ref="BA334:BA340" si="3339">SUM(AX336:AZ336)</f>
        <v>23.07692307692308</v>
      </c>
      <c r="BB336" s="252">
        <f t="shared" si="2034"/>
        <v>0</v>
      </c>
      <c r="BC336" s="324">
        <f t="shared" si="2964"/>
        <v>23.07692307692308</v>
      </c>
      <c r="BD336" s="304">
        <f t="shared" si="3303"/>
        <v>175.5384615384616</v>
      </c>
      <c r="BE336" s="335">
        <f t="shared" si="3303"/>
        <v>2</v>
      </c>
      <c r="BF336" s="243">
        <f t="shared" si="2966"/>
        <v>173.5384615384616</v>
      </c>
      <c r="BG336" s="218">
        <f t="shared" si="2967"/>
        <v>0</v>
      </c>
      <c r="BH336" s="248"/>
      <c r="BI336" s="303" t="s">
        <v>488</v>
      </c>
      <c r="BJ336" s="304" t="s">
        <v>502</v>
      </c>
      <c r="BK336" s="304" t="s">
        <v>132</v>
      </c>
      <c r="BL336" s="213"/>
      <c r="BM336" s="214"/>
      <c r="BN336" s="113">
        <f>Konvention_1slave-INslave</f>
        <v>12</v>
      </c>
      <c r="BO336" s="113"/>
      <c r="BP336" s="214"/>
      <c r="BQ336" s="113">
        <f>Konvention_1slave-GEslave</f>
        <v>12</v>
      </c>
      <c r="BR336" s="214"/>
      <c r="BS336" s="215"/>
      <c r="BT336" s="223">
        <f>(BQ336+BQ336+BN336)/3</f>
        <v>12</v>
      </c>
      <c r="BU336" s="223">
        <f t="shared" si="2968"/>
        <v>24</v>
      </c>
      <c r="BV336" s="224">
        <f t="shared" si="2969"/>
        <v>36</v>
      </c>
      <c r="BW336" s="237">
        <f>BQ336*POWER(INslave,SIGN(BN336))*POWER(KLslave,SIGN(BQ336))+BQ336*POWER(INslave,SIGN(BN336))*POWER(KLslave,SIGN(BQ336))+BN336*POWER(KLslave,SIGN(BQ336))*POWER(KLslave,SIGN(BQ336))</f>
        <v>2304</v>
      </c>
      <c r="BX336" s="117">
        <f>BQ336*BQ336*GEslave+BQ336*CHslave*BN336+CHslave*BQ336*BN336</f>
        <v>3456</v>
      </c>
      <c r="BY336" s="224">
        <f>BQ336*BQ336*BN336</f>
        <v>1728</v>
      </c>
      <c r="BZ336" s="224">
        <f t="shared" ref="BZ336:BZ337" si="3340">SUM(BW336:BY336)</f>
        <v>7488</v>
      </c>
      <c r="CA336" s="222">
        <f t="shared" ref="CA334:CA340" si="3341">BT336*BW336/BZ336</f>
        <v>3.6923076923076925</v>
      </c>
      <c r="CB336" s="223">
        <f t="shared" ref="CB334:CB340" si="3342">BU336*BX336/BZ336</f>
        <v>11.076923076923077</v>
      </c>
      <c r="CC336" s="243">
        <f t="shared" ref="CC334:CC340" si="3343">BV336*BY336/BZ336</f>
        <v>8.3076923076923084</v>
      </c>
      <c r="CD336" s="243">
        <f t="shared" ref="CD334:CD340" si="3344">SUM(CA336:CC336)</f>
        <v>23.07692307692308</v>
      </c>
      <c r="CE336" s="252">
        <f t="shared" si="2925"/>
        <v>0</v>
      </c>
      <c r="CF336" s="324">
        <f t="shared" si="2975"/>
        <v>23.07692307692308</v>
      </c>
      <c r="CG336" s="304">
        <f t="shared" si="3306"/>
        <v>175.5384615384616</v>
      </c>
      <c r="CH336" s="335">
        <f t="shared" si="3306"/>
        <v>2</v>
      </c>
      <c r="CI336" s="243">
        <f t="shared" si="2977"/>
        <v>173.5384615384616</v>
      </c>
      <c r="CJ336" s="218">
        <f t="shared" si="2978"/>
        <v>0</v>
      </c>
      <c r="CK336" s="248"/>
      <c r="CL336" s="303" t="s">
        <v>488</v>
      </c>
      <c r="CM336" s="304" t="s">
        <v>502</v>
      </c>
      <c r="CN336" s="304" t="s">
        <v>132</v>
      </c>
      <c r="CO336" s="213"/>
      <c r="CP336" s="214"/>
      <c r="CQ336" s="113">
        <f>Konvention_1slave-INslave</f>
        <v>12</v>
      </c>
      <c r="CR336" s="113"/>
      <c r="CS336" s="214"/>
      <c r="CT336" s="113">
        <f>Konvention_1slave-GEslave</f>
        <v>12</v>
      </c>
      <c r="CU336" s="214"/>
      <c r="CV336" s="215"/>
      <c r="CW336" s="223">
        <f>(CT336+CT336+CQ336)/3</f>
        <v>12</v>
      </c>
      <c r="CX336" s="223">
        <f t="shared" si="2979"/>
        <v>24</v>
      </c>
      <c r="CY336" s="224">
        <f t="shared" si="2980"/>
        <v>36</v>
      </c>
      <c r="CZ336" s="237">
        <f>CT336*POWER(INslave,SIGN(CQ336))*POWER(KLslave,SIGN(CT336))+CT336*POWER(INslave,SIGN(CQ336))*POWER(KLslave,SIGN(CT336))+CQ336*POWER(KLslave,SIGN(CT336))*POWER(KLslave,SIGN(CT336))</f>
        <v>2304</v>
      </c>
      <c r="DA336" s="117">
        <f>CT336*CT336*GEslave+CT336*CHslave*CQ336+CHslave*CT336*CQ336</f>
        <v>3456</v>
      </c>
      <c r="DB336" s="224">
        <f>CT336*CT336*CQ336</f>
        <v>1728</v>
      </c>
      <c r="DC336" s="224">
        <f t="shared" ref="DC336:DC337" si="3345">SUM(CZ336:DB336)</f>
        <v>7488</v>
      </c>
      <c r="DD336" s="222">
        <f t="shared" ref="DD334:DD340" si="3346">CW336*CZ336/DC336</f>
        <v>3.6923076923076925</v>
      </c>
      <c r="DE336" s="223">
        <f t="shared" ref="DE334:DE340" si="3347">CX336*DA336/DC336</f>
        <v>11.076923076923077</v>
      </c>
      <c r="DF336" s="243">
        <f t="shared" ref="DF334:DF340" si="3348">CY336*DB336/DC336</f>
        <v>8.3076923076923084</v>
      </c>
      <c r="DG336" s="243">
        <f t="shared" ref="DG334:DG340" si="3349">SUM(DD336:DF336)</f>
        <v>23.07692307692308</v>
      </c>
      <c r="DH336" s="252">
        <f t="shared" si="2928"/>
        <v>0</v>
      </c>
      <c r="DI336" s="324">
        <f t="shared" si="2986"/>
        <v>23.07692307692308</v>
      </c>
      <c r="DJ336" s="304">
        <f t="shared" si="3309"/>
        <v>175.5384615384616</v>
      </c>
      <c r="DK336" s="335">
        <f t="shared" si="3309"/>
        <v>2</v>
      </c>
      <c r="DL336" s="243">
        <f t="shared" si="2988"/>
        <v>173.5384615384616</v>
      </c>
      <c r="DM336" s="218">
        <f t="shared" si="2989"/>
        <v>0</v>
      </c>
      <c r="DN336" s="248"/>
      <c r="DO336" s="303" t="s">
        <v>488</v>
      </c>
      <c r="DP336" s="304" t="s">
        <v>502</v>
      </c>
      <c r="DQ336" s="304" t="s">
        <v>132</v>
      </c>
      <c r="DR336" s="213"/>
      <c r="DS336" s="214"/>
      <c r="DT336" s="113">
        <f>Konvention_1slave-INslave</f>
        <v>12</v>
      </c>
      <c r="DU336" s="113"/>
      <c r="DV336" s="214"/>
      <c r="DW336" s="113">
        <f>Konvention_1slave-GEslave</f>
        <v>12</v>
      </c>
      <c r="DX336" s="214"/>
      <c r="DY336" s="215"/>
      <c r="DZ336" s="223">
        <f>(DW336+DW336+DT336)/3</f>
        <v>12</v>
      </c>
      <c r="EA336" s="223">
        <f t="shared" si="2990"/>
        <v>24</v>
      </c>
      <c r="EB336" s="224">
        <f t="shared" si="2991"/>
        <v>36</v>
      </c>
      <c r="EC336" s="237">
        <f>DW336*POWER(INslave,SIGN(DT336))*POWER(KLslave,SIGN(DW336))+DW336*POWER(INslave,SIGN(DT336))*POWER(KLslave,SIGN(DW336))+DT336*POWER(KLslave,SIGN(DW336))*POWER(KLslave,SIGN(DW336))</f>
        <v>2304</v>
      </c>
      <c r="ED336" s="117">
        <f>DW336*DW336*GEslave+DW336*CHslave*DT336+CHslave*DW336*DT336</f>
        <v>3456</v>
      </c>
      <c r="EE336" s="224">
        <f>DW336*DW336*DT336</f>
        <v>1728</v>
      </c>
      <c r="EF336" s="224">
        <f t="shared" ref="EF336:EF337" si="3350">SUM(EC336:EE336)</f>
        <v>7488</v>
      </c>
      <c r="EG336" s="222">
        <f t="shared" ref="EG334:EG340" si="3351">DZ336*EC336/EF336</f>
        <v>3.6923076923076925</v>
      </c>
      <c r="EH336" s="223">
        <f t="shared" ref="EH334:EH340" si="3352">EA336*ED336/EF336</f>
        <v>11.076923076923077</v>
      </c>
      <c r="EI336" s="243">
        <f t="shared" ref="EI334:EI340" si="3353">EB336*EE336/EF336</f>
        <v>8.3076923076923084</v>
      </c>
      <c r="EJ336" s="243">
        <f t="shared" ref="EJ334:EJ340" si="3354">SUM(EG336:EI336)</f>
        <v>23.07692307692308</v>
      </c>
      <c r="EK336" s="252">
        <f t="shared" si="2931"/>
        <v>0</v>
      </c>
      <c r="EL336" s="324">
        <f t="shared" si="2997"/>
        <v>23.07692307692308</v>
      </c>
      <c r="EM336" s="304">
        <f t="shared" si="3312"/>
        <v>175.5384615384616</v>
      </c>
      <c r="EN336" s="335">
        <f t="shared" si="3312"/>
        <v>2</v>
      </c>
      <c r="EO336" s="243">
        <f t="shared" si="2999"/>
        <v>173.5384615384616</v>
      </c>
      <c r="EP336" s="218">
        <f t="shared" si="3000"/>
        <v>0</v>
      </c>
      <c r="EQ336" s="248"/>
      <c r="ER336" s="303" t="s">
        <v>488</v>
      </c>
      <c r="ES336" s="304" t="s">
        <v>502</v>
      </c>
      <c r="ET336" s="304" t="s">
        <v>132</v>
      </c>
      <c r="EU336" s="213"/>
      <c r="EV336" s="214"/>
      <c r="EW336" s="113">
        <f>Konvention_1slave-INslave</f>
        <v>12</v>
      </c>
      <c r="EX336" s="113"/>
      <c r="EY336" s="214"/>
      <c r="EZ336" s="113">
        <f>Konvention_1slave-GEslave</f>
        <v>12</v>
      </c>
      <c r="FA336" s="214"/>
      <c r="FB336" s="215"/>
      <c r="FC336" s="223">
        <f>(EZ336+EZ336+EW336)/3</f>
        <v>12</v>
      </c>
      <c r="FD336" s="223">
        <f t="shared" si="3001"/>
        <v>24</v>
      </c>
      <c r="FE336" s="224">
        <f t="shared" si="3002"/>
        <v>36</v>
      </c>
      <c r="FF336" s="237">
        <f>EZ336*POWER(INslave,SIGN(EW336))*POWER(KLslave,SIGN(EZ336))+EZ336*POWER(INslave,SIGN(EW336))*POWER(KLslave,SIGN(EZ336))+EW336*POWER(KLslave,SIGN(EZ336))*POWER(KLslave,SIGN(EZ336))</f>
        <v>2304</v>
      </c>
      <c r="FG336" s="117">
        <f>EZ336*EZ336*GEslave+EZ336*CHslave*EW336+CHslave*EZ336*EW336</f>
        <v>3456</v>
      </c>
      <c r="FH336" s="224">
        <f>EZ336*EZ336*EW336</f>
        <v>1728</v>
      </c>
      <c r="FI336" s="224">
        <f t="shared" ref="FI336:FI337" si="3355">SUM(FF336:FH336)</f>
        <v>7488</v>
      </c>
      <c r="FJ336" s="222">
        <f t="shared" ref="FJ334:FJ340" si="3356">FC336*FF336/FI336</f>
        <v>3.6923076923076925</v>
      </c>
      <c r="FK336" s="223">
        <f t="shared" ref="FK334:FK340" si="3357">FD336*FG336/FI336</f>
        <v>11.076923076923077</v>
      </c>
      <c r="FL336" s="243">
        <f t="shared" ref="FL334:FL340" si="3358">FE336*FH336/FI336</f>
        <v>8.3076923076923084</v>
      </c>
      <c r="FM336" s="243">
        <f t="shared" ref="FM334:FM340" si="3359">SUM(FJ336:FL336)</f>
        <v>23.07692307692308</v>
      </c>
      <c r="FN336" s="252">
        <f t="shared" si="2934"/>
        <v>0</v>
      </c>
      <c r="FO336" s="324">
        <f t="shared" si="3008"/>
        <v>23.07692307692308</v>
      </c>
      <c r="FP336" s="304">
        <f t="shared" si="3315"/>
        <v>175.5384615384616</v>
      </c>
      <c r="FQ336" s="335">
        <f t="shared" si="3315"/>
        <v>2</v>
      </c>
      <c r="FR336" s="243">
        <f t="shared" si="3010"/>
        <v>173.5384615384616</v>
      </c>
      <c r="FS336" s="218">
        <f t="shared" si="3011"/>
        <v>0</v>
      </c>
      <c r="FT336" s="248"/>
      <c r="FU336" s="303" t="s">
        <v>488</v>
      </c>
      <c r="FV336" s="304" t="s">
        <v>502</v>
      </c>
      <c r="FW336" s="304" t="s">
        <v>132</v>
      </c>
      <c r="FX336" s="213"/>
      <c r="FY336" s="214"/>
      <c r="FZ336" s="113">
        <f>Konvention_1slave-INslave</f>
        <v>12</v>
      </c>
      <c r="GA336" s="113"/>
      <c r="GB336" s="214"/>
      <c r="GC336" s="113">
        <f>Konvention_1slave-GEslave</f>
        <v>12</v>
      </c>
      <c r="GD336" s="214"/>
      <c r="GE336" s="215"/>
      <c r="GF336" s="223">
        <f>(GC336+GC336+FZ336)/3</f>
        <v>12</v>
      </c>
      <c r="GG336" s="223">
        <f t="shared" si="3012"/>
        <v>24</v>
      </c>
      <c r="GH336" s="224">
        <f t="shared" si="3013"/>
        <v>36</v>
      </c>
      <c r="GI336" s="237">
        <f>GC336*POWER(INslave,SIGN(FZ336))*POWER(KLslave,SIGN(GC336))+GC336*POWER(INslave,SIGN(FZ336))*POWER(KLslave,SIGN(GC336))+FZ336*POWER(KLslave,SIGN(GC336))*POWER(KLslave,SIGN(GC336))</f>
        <v>2304</v>
      </c>
      <c r="GJ336" s="117">
        <f>GC336*GC336*GEslave+GC336*CHslave*FZ336+CHslave*GC336*FZ336</f>
        <v>3456</v>
      </c>
      <c r="GK336" s="224">
        <f>GC336*GC336*FZ336</f>
        <v>1728</v>
      </c>
      <c r="GL336" s="224">
        <f t="shared" ref="GL336:GL337" si="3360">SUM(GI336:GK336)</f>
        <v>7488</v>
      </c>
      <c r="GM336" s="222">
        <f t="shared" ref="GM334:GM340" si="3361">GF336*GI336/GL336</f>
        <v>3.6923076923076925</v>
      </c>
      <c r="GN336" s="223">
        <f t="shared" ref="GN334:GN340" si="3362">GG336*GJ336/GL336</f>
        <v>11.076923076923077</v>
      </c>
      <c r="GO336" s="243">
        <f t="shared" ref="GO334:GO340" si="3363">GH336*GK336/GL336</f>
        <v>8.3076923076923084</v>
      </c>
      <c r="GP336" s="243">
        <f t="shared" ref="GP334:GP340" si="3364">SUM(GM336:GO336)</f>
        <v>23.07692307692308</v>
      </c>
      <c r="GQ336" s="252">
        <f t="shared" si="2937"/>
        <v>0</v>
      </c>
      <c r="GR336" s="324">
        <f t="shared" si="3019"/>
        <v>23.07692307692308</v>
      </c>
      <c r="GS336" s="304">
        <f t="shared" si="3318"/>
        <v>175.5384615384616</v>
      </c>
      <c r="GT336" s="335">
        <f t="shared" si="3318"/>
        <v>2</v>
      </c>
      <c r="GU336" s="243">
        <f t="shared" si="3021"/>
        <v>173.5384615384616</v>
      </c>
      <c r="GV336" s="218">
        <f t="shared" si="3022"/>
        <v>0</v>
      </c>
      <c r="GW336" s="248"/>
      <c r="GX336" s="303" t="s">
        <v>488</v>
      </c>
      <c r="GY336" s="304" t="s">
        <v>502</v>
      </c>
      <c r="GZ336" s="304" t="s">
        <v>132</v>
      </c>
      <c r="HA336" s="213"/>
      <c r="HB336" s="214"/>
      <c r="HC336" s="113">
        <f>Konvention_1slave-INslave</f>
        <v>12</v>
      </c>
      <c r="HD336" s="113"/>
      <c r="HE336" s="214"/>
      <c r="HF336" s="113">
        <f>Konvention_1slave-GEslave</f>
        <v>12</v>
      </c>
      <c r="HG336" s="214"/>
      <c r="HH336" s="215"/>
      <c r="HI336" s="223">
        <f>(HF336+HF336+HC336)/3</f>
        <v>12</v>
      </c>
      <c r="HJ336" s="223">
        <f t="shared" si="3023"/>
        <v>24</v>
      </c>
      <c r="HK336" s="224">
        <f t="shared" si="3024"/>
        <v>36</v>
      </c>
      <c r="HL336" s="237">
        <f>HF336*POWER(INslave,SIGN(HC336))*POWER(KLslave,SIGN(HF336))+HF336*POWER(INslave,SIGN(HC336))*POWER(KLslave,SIGN(HF336))+HC336*POWER(KLslave,SIGN(HF336))*POWER(KLslave,SIGN(HF336))</f>
        <v>2304</v>
      </c>
      <c r="HM336" s="117">
        <f>HF336*HF336*GEslave+HF336*CHslave*HC336+CHslave*HF336*HC336</f>
        <v>3456</v>
      </c>
      <c r="HN336" s="224">
        <f>HF336*HF336*HC336</f>
        <v>1728</v>
      </c>
      <c r="HO336" s="224">
        <f t="shared" ref="HO336:HO337" si="3365">SUM(HL336:HN336)</f>
        <v>7488</v>
      </c>
      <c r="HP336" s="222">
        <f t="shared" ref="HP334:HP340" si="3366">HI336*HL336/HO336</f>
        <v>3.6923076923076925</v>
      </c>
      <c r="HQ336" s="223">
        <f t="shared" ref="HQ334:HQ340" si="3367">HJ336*HM336/HO336</f>
        <v>11.076923076923077</v>
      </c>
      <c r="HR336" s="243">
        <f t="shared" ref="HR334:HR340" si="3368">HK336*HN336/HO336</f>
        <v>8.3076923076923084</v>
      </c>
      <c r="HS336" s="243">
        <f t="shared" ref="HS334:HS340" si="3369">SUM(HP336:HR336)</f>
        <v>23.07692307692308</v>
      </c>
      <c r="HT336" s="252">
        <f t="shared" si="2940"/>
        <v>0</v>
      </c>
      <c r="HU336" s="324">
        <f t="shared" si="3030"/>
        <v>23.07692307692308</v>
      </c>
      <c r="HV336" s="304">
        <f t="shared" si="3321"/>
        <v>175.5384615384616</v>
      </c>
      <c r="HW336" s="335">
        <f t="shared" si="3321"/>
        <v>2</v>
      </c>
      <c r="HX336" s="243">
        <f t="shared" si="3032"/>
        <v>173.5384615384616</v>
      </c>
      <c r="HY336" s="218">
        <f t="shared" si="3033"/>
        <v>0</v>
      </c>
      <c r="HZ336" s="248"/>
      <c r="IA336" s="303" t="s">
        <v>488</v>
      </c>
      <c r="IB336" s="304" t="s">
        <v>502</v>
      </c>
      <c r="IC336" s="304" t="s">
        <v>132</v>
      </c>
      <c r="ID336" s="213"/>
      <c r="IE336" s="214"/>
      <c r="IF336" s="113">
        <f>Konvention_1slave-INslave</f>
        <v>12</v>
      </c>
      <c r="IG336" s="113"/>
      <c r="IH336" s="214"/>
      <c r="II336" s="113">
        <f>Konvention_1slave-GEslave</f>
        <v>12</v>
      </c>
      <c r="IJ336" s="214"/>
      <c r="IK336" s="215"/>
      <c r="IL336" s="223">
        <f>(II336+II336+IF336)/3</f>
        <v>12</v>
      </c>
      <c r="IM336" s="223">
        <f t="shared" si="3034"/>
        <v>24</v>
      </c>
      <c r="IN336" s="224">
        <f t="shared" si="3035"/>
        <v>36</v>
      </c>
      <c r="IO336" s="237">
        <f>II336*POWER(INslave,SIGN(IF336))*POWER(KLslave,SIGN(II336))+II336*POWER(INslave,SIGN(IF336))*POWER(KLslave,SIGN(II336))+IF336*POWER(KLslave,SIGN(II336))*POWER(KLslave,SIGN(II336))</f>
        <v>2304</v>
      </c>
      <c r="IP336" s="117">
        <f>II336*II336*GEslave+II336*CHslave*IF336+CHslave*II336*IF336</f>
        <v>3456</v>
      </c>
      <c r="IQ336" s="224">
        <f>II336*II336*IF336</f>
        <v>1728</v>
      </c>
      <c r="IR336" s="224">
        <f t="shared" ref="IR336:IR337" si="3370">SUM(IO336:IQ336)</f>
        <v>7488</v>
      </c>
      <c r="IS336" s="222">
        <f t="shared" ref="IS334:IS340" si="3371">IL336*IO336/IR336</f>
        <v>3.6923076923076925</v>
      </c>
      <c r="IT336" s="223">
        <f t="shared" ref="IT334:IT340" si="3372">IM336*IP336/IR336</f>
        <v>11.076923076923077</v>
      </c>
      <c r="IU336" s="243">
        <f t="shared" ref="IU334:IU340" si="3373">IN336*IQ336/IR336</f>
        <v>8.3076923076923084</v>
      </c>
      <c r="IV336" s="243">
        <f t="shared" ref="IV334:IV340" si="3374">SUM(IS336:IU336)</f>
        <v>23.07692307692308</v>
      </c>
      <c r="IW336" s="252">
        <f t="shared" si="2943"/>
        <v>0</v>
      </c>
      <c r="IX336" s="324">
        <f t="shared" si="3041"/>
        <v>23.07692307692308</v>
      </c>
      <c r="IY336" s="304">
        <f t="shared" si="3324"/>
        <v>175.5384615384616</v>
      </c>
      <c r="IZ336" s="335">
        <f t="shared" si="3324"/>
        <v>2</v>
      </c>
      <c r="JA336" s="243">
        <f t="shared" si="3043"/>
        <v>173.5384615384616</v>
      </c>
      <c r="JB336" s="218">
        <f t="shared" si="3044"/>
        <v>0</v>
      </c>
    </row>
    <row r="337" spans="1:265" hidden="1" outlineLevel="2">
      <c r="A337" s="185"/>
      <c r="B337" s="217">
        <v>15</v>
      </c>
      <c r="C337" s="303" t="e">
        <f>VLOOKUP(AF337,Attribute!C:T,1,FALSE)</f>
        <v>#N/A</v>
      </c>
      <c r="D337" s="304" t="s">
        <v>439</v>
      </c>
      <c r="E337" s="304" t="s">
        <v>135</v>
      </c>
      <c r="F337" s="120"/>
      <c r="G337" s="117">
        <f>Konvention_1master-KLmaster</f>
        <v>12</v>
      </c>
      <c r="H337" s="117">
        <f t="shared" ref="H337" si="3375">Konvention_1master-INmaster</f>
        <v>12</v>
      </c>
      <c r="I337" s="117"/>
      <c r="J337" s="117"/>
      <c r="K337" s="117">
        <f>Konvention_1master-GEmaster</f>
        <v>12</v>
      </c>
      <c r="L337" s="117"/>
      <c r="M337" s="121"/>
      <c r="N337" s="223">
        <f t="shared" ref="N337" si="3376">(F337+G337+H337+I337+J337+K337+L337+M337)/3</f>
        <v>12</v>
      </c>
      <c r="O337" s="223">
        <f t="shared" si="3325"/>
        <v>24</v>
      </c>
      <c r="P337" s="224">
        <f t="shared" si="3326"/>
        <v>36</v>
      </c>
      <c r="Q337" s="237">
        <f t="shared" ref="Q337" si="3377">F337*POWER(KLmaster,SIGN(G337))*POWER(INmaster,SIGN(H337))*POWER(CHmaster,SIGN(I337))*POWER(FFmaster,SIGN(J337))*POWER(GEmaster,SIGN(K337))*POWER(KOmaster,SIGN(L337))*POWER(KKmaster,SIGN(M337))+G337*POWER(MUmaster,SIGN(F337))*POWER(INmaster,SIGN(H337))*POWER(CHmaster,SIGN(I337))*POWER(FFmaster,SIGN(J337))*POWER(GEmaster,SIGN(K337))*POWER(KOmaster,SIGN(L337))*POWER(KKmaster,SIGN(M337))+H337*POWER(MUmaster,SIGN(F337))*POWER(KLmaster,SIGN(G337))*POWER(CHmaster,SIGN(I337))*POWER(FFmaster,SIGN(J337))*POWER(GEmaster,SIGN(K337))*POWER(KOmaster,SIGN(L337))*POWER(KKmaster,SIGN(M337))+I337*POWER(MUmaster,SIGN(F337))*POWER(KLmaster,SIGN(G337))*POWER(INmaster,SIGN(H337))*POWER(FFmaster,SIGN(J337))*POWER(GEmaster,SIGN(K337))*POWER(KOmaster,SIGN(L337))*POWER(KKmaster,SIGN(M337))+J337*POWER(MUmaster,SIGN(F337))*POWER(KLmaster,SIGN(G337))*POWER(INmaster,SIGN(H337))*POWER(CHmaster,SIGN(I337))*POWER(GEmaster,SIGN(K337))*POWER(KOmaster,SIGN(L337))*POWER(KKmaster,SIGN(M337))+K337*POWER(MUmaster,SIGN(F337))*POWER(KLmaster,SIGN(G337))*POWER(INmaster,SIGN(H337))*POWER(CHmaster,SIGN(I337))*POWER(FFmaster,SIGN(J337))*POWER(KOmaster,SIGN(L337))*POWER(KKmaster,SIGN(M337))+L337*POWER(MUmaster,SIGN(F337))*POWER(KLmaster,SIGN(G337))*POWER(INmaster,SIGN(H337))*POWER(CHmaster,SIGN(I337))*POWER(FFmaster,SIGN(J337))*POWER(GEmaster,SIGN(K337))*POWER(KKmaster,SIGN(M337))+M337*POWER(MUmaster,SIGN(F337))*POWER(KLmaster,SIGN(G337))*POWER(INmaster,SIGN(H337))*POWER(CHmaster,SIGN(I337))*POWER(FFmaster,SIGN(J337))*POWER(GEmaster,SIGN(K337))*POWER(KOmaster,SIGN(L337))</f>
        <v>2304</v>
      </c>
      <c r="R337" s="117">
        <f>G337*H337*GEmaster+G337*INmaster*K337+KLmaster*H337*K337</f>
        <v>3456</v>
      </c>
      <c r="S337" s="224">
        <f t="shared" ref="S337" si="3378">IFERROR(F337^SIGN(F337),1)*IFERROR(G337^SIGN(G337),1)*IFERROR(H337^SIGN(H337),1)*IFERROR(I337^SIGN(I337),1)*IFERROR(J337^SIGN(J337),1)*IFERROR(K337^SIGN(K337),1)*IFERROR(L337^SIGN(L337),1)*IFERROR(M337^SIGN(M337),1)</f>
        <v>1728</v>
      </c>
      <c r="T337" s="224">
        <f t="shared" si="3327"/>
        <v>7488</v>
      </c>
      <c r="U337" s="222">
        <f t="shared" si="3328"/>
        <v>3.6923076923076925</v>
      </c>
      <c r="V337" s="223">
        <f t="shared" si="3329"/>
        <v>11.076923076923077</v>
      </c>
      <c r="W337" s="243">
        <f t="shared" si="3330"/>
        <v>8.3076923076923084</v>
      </c>
      <c r="X337" s="243">
        <f t="shared" si="3331"/>
        <v>23.07692307692308</v>
      </c>
      <c r="Y337" s="252">
        <v>0</v>
      </c>
      <c r="Z337" s="324">
        <f t="shared" si="3332"/>
        <v>23.07692307692308</v>
      </c>
      <c r="AA337" s="304">
        <f>IF(X337&lt;=0,3,0)+IF(X337&gt;0,X337+1,0)*3+IF(X337&gt;12,X337-12,0)*3+IF(X337&gt;13,X337-13,0)*3+IF(X337&gt;14,X337-14,0)*3+IF(X337&gt;15,X337-15,0)*3+IF(X337&gt;16,X337-16,0)*3+IF(X337&gt;17,X337-17,0)*3+IF(X337&gt;18,X337-18,0)*3+IF(X337&gt;19,X337-19,0)*3+IF(X337&gt;20,X337-20,0)*3</f>
        <v>263.30769230769232</v>
      </c>
      <c r="AB337" s="335">
        <f>IF(Y337&lt;=0,3,0)+IF(Y337&gt;0,Y337+1,0)*3+IF(Y337&gt;12,Y337-12,0)*3+IF(Y337&gt;13,Y337-13,0)*3+IF(Y337&gt;14,Y337-14,0)*3+IF(Y337&gt;15,Y337-15,0)*3+IF(Y337&gt;16,Y337-16,0)*3+IF(Y337&gt;17,Y337-17,0)*3+IF(Y337&gt;18,Y337-18,0)*3+IF(Y337&gt;19,Y337-19,0)*3+IF(Y337&gt;20,Y337-20,0)*3</f>
        <v>3</v>
      </c>
      <c r="AC337" s="243">
        <f t="shared" si="3333"/>
        <v>260.30769230769232</v>
      </c>
      <c r="AD337" s="218">
        <f t="shared" si="3334"/>
        <v>0</v>
      </c>
      <c r="AE337" s="140"/>
      <c r="AF337" s="303" t="s">
        <v>489</v>
      </c>
      <c r="AG337" s="304" t="s">
        <v>439</v>
      </c>
      <c r="AH337" s="304" t="s">
        <v>135</v>
      </c>
      <c r="AI337" s="120"/>
      <c r="AJ337" s="117">
        <f>Konvention_1slave-KLslave</f>
        <v>12</v>
      </c>
      <c r="AK337" s="117">
        <f>Konvention_1slave-INslave</f>
        <v>12</v>
      </c>
      <c r="AL337" s="117"/>
      <c r="AM337" s="117"/>
      <c r="AN337" s="117">
        <f>Konvention_1slave-GEslave</f>
        <v>12</v>
      </c>
      <c r="AO337" s="117"/>
      <c r="AP337" s="121"/>
      <c r="AQ337" s="223">
        <f t="shared" ref="AQ337" si="3379">(AI337+AJ337+AK337+AL337+AM337+AN337+AO337+AP337)/3</f>
        <v>12</v>
      </c>
      <c r="AR337" s="223">
        <f t="shared" si="2957"/>
        <v>24</v>
      </c>
      <c r="AS337" s="224">
        <f t="shared" si="2958"/>
        <v>36</v>
      </c>
      <c r="AT337" s="237">
        <f t="shared" ref="AT337" si="3380">AI337*POWER(KLslave,SIGN(AJ337))*POWER(INslave,SIGN(AK337))*POWER(CHslave,SIGN(AL337))*POWER(FFslave,SIGN(AM337))*POWER(GEslave,SIGN(AN337))*POWER(KOslave,SIGN(AO337))*POWER(KKslave,SIGN(AP337))+AJ337*POWER(MUslave_MU,SIGN(AI337))*POWER(INslave,SIGN(AK337))*POWER(CHslave,SIGN(AL337))*POWER(FFslave,SIGN(AM337))*POWER(GEslave,SIGN(AN337))*POWER(KOslave,SIGN(AO337))*POWER(KKslave,SIGN(AP337))+AK337*POWER(MUslave_MU,SIGN(AI337))*POWER(KLslave,SIGN(AJ337))*POWER(CHslave,SIGN(AL337))*POWER(FFslave,SIGN(AM337))*POWER(GEslave,SIGN(AN337))*POWER(KOslave,SIGN(AO337))*POWER(KKslave,SIGN(AP337))+AL337*POWER(MUslave_MU,SIGN(AI337))*POWER(KLslave,SIGN(AJ337))*POWER(INslave,SIGN(AK337))*POWER(FFslave,SIGN(AM337))*POWER(GEslave,SIGN(AN337))*POWER(KOslave,SIGN(AO337))*POWER(KKslave,SIGN(AP337))+AM337*POWER(MUslave_MU,SIGN(AI337))*POWER(KLslave,SIGN(AJ337))*POWER(INslave,SIGN(AK337))*POWER(CHslave,SIGN(AL337))*POWER(GEslave,SIGN(AN337))*POWER(KOslave,SIGN(AO337))*POWER(KKslave,SIGN(AP337))+AN337*POWER(MUslave_MU,SIGN(AI337))*POWER(KLslave,SIGN(AJ337))*POWER(INslave,SIGN(AK337))*POWER(CHslave,SIGN(AL337))*POWER(FFslave,SIGN(AM337))*POWER(KOslave,SIGN(AO337))*POWER(KKslave,SIGN(AP337))+AO337*POWER(MUslave_MU,SIGN(AI337))*POWER(KLslave,SIGN(AJ337))*POWER(INslave,SIGN(AK337))*POWER(CHslave,SIGN(AL337))*POWER(FFslave,SIGN(AM337))*POWER(GEslave,SIGN(AN337))*POWER(KKslave,SIGN(AP337))+AP337*POWER(MUslave_MU,SIGN(AI337))*POWER(KLslave,SIGN(AJ337))*POWER(INslave,SIGN(AK337))*POWER(CHslave,SIGN(AL337))*POWER(FFslave,SIGN(AM337))*POWER(GEslave,SIGN(AN337))*POWER(KOslave,SIGN(AO337))</f>
        <v>2304</v>
      </c>
      <c r="AU337" s="117">
        <f>AJ337*AK337*GEslave+AJ337*INslave*AN337+KLslave*AK337*AN337</f>
        <v>3456</v>
      </c>
      <c r="AV337" s="224">
        <f t="shared" ref="AV337" si="3381">IFERROR(AI337^SIGN(AI337),1)*IFERROR(AJ337^SIGN(AJ337),1)*IFERROR(AK337^SIGN(AK337),1)*IFERROR(AL337^SIGN(AL337),1)*IFERROR(AM337^SIGN(AM337),1)*IFERROR(AN337^SIGN(AN337),1)*IFERROR(AO337^SIGN(AO337),1)*IFERROR(AP337^SIGN(AP337),1)</f>
        <v>1728</v>
      </c>
      <c r="AW337" s="224">
        <f t="shared" si="3335"/>
        <v>7488</v>
      </c>
      <c r="AX337" s="222">
        <f t="shared" si="3336"/>
        <v>3.6923076923076925</v>
      </c>
      <c r="AY337" s="223">
        <f t="shared" si="3337"/>
        <v>11.076923076923077</v>
      </c>
      <c r="AZ337" s="243">
        <f t="shared" si="3338"/>
        <v>8.3076923076923084</v>
      </c>
      <c r="BA337" s="243">
        <f t="shared" si="3339"/>
        <v>23.07692307692308</v>
      </c>
      <c r="BB337" s="252">
        <f t="shared" si="2034"/>
        <v>0</v>
      </c>
      <c r="BC337" s="324">
        <f t="shared" si="2964"/>
        <v>23.07692307692308</v>
      </c>
      <c r="BD337" s="304">
        <f>IF(BA337&lt;=0,3,0)+IF(BA337&gt;0,BA337+1,0)*3+IF(BA337&gt;12,BA337-12,0)*3+IF(BA337&gt;13,BA337-13,0)*3+IF(BA337&gt;14,BA337-14,0)*3+IF(BA337&gt;15,BA337-15,0)*3+IF(BA337&gt;16,BA337-16,0)*3+IF(BA337&gt;17,BA337-17,0)*3+IF(BA337&gt;18,BA337-18,0)*3+IF(BA337&gt;19,BA337-19,0)*3+IF(BA337&gt;20,BA337-20,0)*3</f>
        <v>263.30769230769232</v>
      </c>
      <c r="BE337" s="335">
        <f>IF(BB337&lt;=0,3,0)+IF(BB337&gt;0,BB337+1,0)*3+IF(BB337&gt;12,BB337-12,0)*3+IF(BB337&gt;13,BB337-13,0)*3+IF(BB337&gt;14,BB337-14,0)*3+IF(BB337&gt;15,BB337-15,0)*3+IF(BB337&gt;16,BB337-16,0)*3+IF(BB337&gt;17,BB337-17,0)*3+IF(BB337&gt;18,BB337-18,0)*3+IF(BB337&gt;19,BB337-19,0)*3+IF(BB337&gt;20,BB337-20,0)*3</f>
        <v>3</v>
      </c>
      <c r="BF337" s="243">
        <f t="shared" si="2966"/>
        <v>260.30769230769232</v>
      </c>
      <c r="BG337" s="218">
        <f t="shared" si="2967"/>
        <v>0</v>
      </c>
      <c r="BH337" s="248"/>
      <c r="BI337" s="303" t="s">
        <v>489</v>
      </c>
      <c r="BJ337" s="304" t="s">
        <v>439</v>
      </c>
      <c r="BK337" s="304" t="s">
        <v>135</v>
      </c>
      <c r="BL337" s="120"/>
      <c r="BM337" s="117">
        <f>Konvention_1slave-KLslave_KL</f>
        <v>11</v>
      </c>
      <c r="BN337" s="117">
        <f t="shared" ref="BN337" si="3382">Konvention_1slave-INslave</f>
        <v>12</v>
      </c>
      <c r="BO337" s="117"/>
      <c r="BP337" s="117"/>
      <c r="BQ337" s="117">
        <f>Konvention_1slave-GEslave</f>
        <v>12</v>
      </c>
      <c r="BR337" s="117"/>
      <c r="BS337" s="121"/>
      <c r="BT337" s="223">
        <f t="shared" ref="BT337" si="3383">(BL337+BM337+BN337+BO337+BP337+BQ337+BR337+BS337)/3</f>
        <v>11.666666666666666</v>
      </c>
      <c r="BU337" s="223">
        <f t="shared" si="2968"/>
        <v>23.333333333333332</v>
      </c>
      <c r="BV337" s="224">
        <f t="shared" si="2969"/>
        <v>35</v>
      </c>
      <c r="BW337" s="237">
        <f t="shared" ref="BW337" si="3384">BL337*POWER(KLslave_KL,SIGN(BM337))*POWER(INslave,SIGN(BN337))*POWER(CHslave,SIGN(BO337))*POWER(FFslave,SIGN(BP337))*POWER(GEslave,SIGN(BQ337))*POWER(KOslave,SIGN(BR337))*POWER(KKslave,SIGN(BS337))+BM337*POWER(MUslave,SIGN(BL337))*POWER(INslave,SIGN(BN337))*POWER(CHslave,SIGN(BO337))*POWER(FFslave,SIGN(BP337))*POWER(GEslave,SIGN(BQ337))*POWER(KOslave,SIGN(BR337))*POWER(KKslave,SIGN(BS337))+BN337*POWER(MUslave,SIGN(BL337))*POWER(KLslave_KL,SIGN(BM337))*POWER(CHslave,SIGN(BO337))*POWER(FFslave,SIGN(BP337))*POWER(GEslave,SIGN(BQ337))*POWER(KOslave,SIGN(BR337))*POWER(KKslave,SIGN(BS337))+BO337*POWER(MUslave,SIGN(BL337))*POWER(KLslave_KL,SIGN(BM337))*POWER(INslave,SIGN(BN337))*POWER(FFslave,SIGN(BP337))*POWER(GEslave,SIGN(BQ337))*POWER(KOslave,SIGN(BR337))*POWER(KKslave,SIGN(BS337))+BP337*POWER(MUslave,SIGN(BL337))*POWER(KLslave_KL,SIGN(BM337))*POWER(INslave,SIGN(BN337))*POWER(CHslave,SIGN(BO337))*POWER(GEslave,SIGN(BQ337))*POWER(KOslave,SIGN(BR337))*POWER(KKslave,SIGN(BS337))+BQ337*POWER(MUslave,SIGN(BL337))*POWER(KLslave_KL,SIGN(BM337))*POWER(INslave,SIGN(BN337))*POWER(CHslave,SIGN(BO337))*POWER(FFslave,SIGN(BP337))*POWER(KOslave,SIGN(BR337))*POWER(KKslave,SIGN(BS337))+BR337*POWER(MUslave,SIGN(BL337))*POWER(KLslave_KL,SIGN(BM337))*POWER(INslave,SIGN(BN337))*POWER(CHslave,SIGN(BO337))*POWER(FFslave,SIGN(BP337))*POWER(GEslave,SIGN(BQ337))*POWER(KKslave,SIGN(BS337))+BS337*POWER(MUslave,SIGN(BL337))*POWER(KLslave_KL,SIGN(BM337))*POWER(INslave,SIGN(BN337))*POWER(CHslave,SIGN(BO337))*POWER(FFslave,SIGN(BP337))*POWER(GEslave,SIGN(BQ337))*POWER(KOslave,SIGN(BR337))</f>
        <v>2432</v>
      </c>
      <c r="BX337" s="117">
        <f>BM337*BN337*GEslave+BM337*INslave*BQ337+KLslave_KL*BN337*BQ337</f>
        <v>3408</v>
      </c>
      <c r="BY337" s="224">
        <f t="shared" ref="BY337" si="3385">IFERROR(BL337^SIGN(BL337),1)*IFERROR(BM337^SIGN(BM337),1)*IFERROR(BN337^SIGN(BN337),1)*IFERROR(BO337^SIGN(BO337),1)*IFERROR(BP337^SIGN(BP337),1)*IFERROR(BQ337^SIGN(BQ337),1)*IFERROR(BR337^SIGN(BR337),1)*IFERROR(BS337^SIGN(BS337),1)</f>
        <v>1584</v>
      </c>
      <c r="BZ337" s="224">
        <f t="shared" si="3340"/>
        <v>7424</v>
      </c>
      <c r="CA337" s="222">
        <f t="shared" si="3341"/>
        <v>3.8218390804597702</v>
      </c>
      <c r="CB337" s="223">
        <f t="shared" si="3342"/>
        <v>10.711206896551724</v>
      </c>
      <c r="CC337" s="243">
        <f t="shared" si="3343"/>
        <v>7.4676724137931032</v>
      </c>
      <c r="CD337" s="243">
        <f t="shared" si="3344"/>
        <v>22.000718390804597</v>
      </c>
      <c r="CE337" s="252">
        <f t="shared" si="2925"/>
        <v>0</v>
      </c>
      <c r="CF337" s="324">
        <f t="shared" si="2975"/>
        <v>22.000718390804597</v>
      </c>
      <c r="CG337" s="304">
        <f>IF(CD337&lt;=0,3,0)+IF(CD337&gt;0,CD337+1,0)*3+IF(CD337&gt;12,CD337-12,0)*3+IF(CD337&gt;13,CD337-13,0)*3+IF(CD337&gt;14,CD337-14,0)*3+IF(CD337&gt;15,CD337-15,0)*3+IF(CD337&gt;16,CD337-16,0)*3+IF(CD337&gt;17,CD337-17,0)*3+IF(CD337&gt;18,CD337-18,0)*3+IF(CD337&gt;19,CD337-19,0)*3+IF(CD337&gt;20,CD337-20,0)*3</f>
        <v>231.02155172413785</v>
      </c>
      <c r="CH337" s="335">
        <f>IF(CE337&lt;=0,3,0)+IF(CE337&gt;0,CE337+1,0)*3+IF(CE337&gt;12,CE337-12,0)*3+IF(CE337&gt;13,CE337-13,0)*3+IF(CE337&gt;14,CE337-14,0)*3+IF(CE337&gt;15,CE337-15,0)*3+IF(CE337&gt;16,CE337-16,0)*3+IF(CE337&gt;17,CE337-17,0)*3+IF(CE337&gt;18,CE337-18,0)*3+IF(CE337&gt;19,CE337-19,0)*3+IF(CE337&gt;20,CE337-20,0)*3</f>
        <v>3</v>
      </c>
      <c r="CI337" s="243">
        <f t="shared" si="2977"/>
        <v>228.02155172413785</v>
      </c>
      <c r="CJ337" s="218">
        <f t="shared" si="2978"/>
        <v>0</v>
      </c>
      <c r="CK337" s="248"/>
      <c r="CL337" s="303" t="s">
        <v>489</v>
      </c>
      <c r="CM337" s="304" t="s">
        <v>439</v>
      </c>
      <c r="CN337" s="304" t="s">
        <v>135</v>
      </c>
      <c r="CO337" s="120"/>
      <c r="CP337" s="117">
        <f>Konvention_1slave-KLslave</f>
        <v>12</v>
      </c>
      <c r="CQ337" s="117">
        <f t="shared" ref="CQ337" si="3386">Konvention_1slave-INslave_IN</f>
        <v>11</v>
      </c>
      <c r="CR337" s="117"/>
      <c r="CS337" s="117"/>
      <c r="CT337" s="117">
        <f>Konvention_1slave-GEslave</f>
        <v>12</v>
      </c>
      <c r="CU337" s="117"/>
      <c r="CV337" s="121"/>
      <c r="CW337" s="223">
        <f t="shared" ref="CW337" si="3387">(CO337+CP337+CQ337+CR337+CS337+CT337+CU337+CV337)/3</f>
        <v>11.666666666666666</v>
      </c>
      <c r="CX337" s="223">
        <f t="shared" si="2979"/>
        <v>23.333333333333332</v>
      </c>
      <c r="CY337" s="224">
        <f t="shared" si="2980"/>
        <v>35</v>
      </c>
      <c r="CZ337" s="237">
        <f t="shared" ref="CZ337" si="3388">CO337*POWER(KLslave,SIGN(CP337))*POWER(INslave_IN,SIGN(CQ337))*POWER(CHslave,SIGN(CR337))*POWER(FFslave,SIGN(CS337))*POWER(GEslave,SIGN(CT337))*POWER(KOslave,SIGN(CU337))*POWER(KKslave,SIGN(CV337))+CP337*POWER(MUslave,SIGN(CO337))*POWER(INslave_IN,SIGN(CQ337))*POWER(CHslave,SIGN(CR337))*POWER(FFslave,SIGN(CS337))*POWER(GEslave,SIGN(CT337))*POWER(KOslave,SIGN(CU337))*POWER(KKslave,SIGN(CV337))+CQ337*POWER(MUslave,SIGN(CO337))*POWER(KLslave,SIGN(CP337))*POWER(CHslave,SIGN(CR337))*POWER(FFslave,SIGN(CS337))*POWER(GEslave,SIGN(CT337))*POWER(KOslave,SIGN(CU337))*POWER(KKslave,SIGN(CV337))+CR337*POWER(MUslave,SIGN(CO337))*POWER(KLslave,SIGN(CP337))*POWER(INslave_IN,SIGN(CQ337))*POWER(FFslave,SIGN(CS337))*POWER(GEslave,SIGN(CT337))*POWER(KOslave,SIGN(CU337))*POWER(KKslave,SIGN(CV337))+CS337*POWER(MUslave,SIGN(CO337))*POWER(KLslave,SIGN(CP337))*POWER(INslave_IN,SIGN(CQ337))*POWER(CHslave,SIGN(CR337))*POWER(GEslave,SIGN(CT337))*POWER(KOslave,SIGN(CU337))*POWER(KKslave,SIGN(CV337))+CT337*POWER(MUslave,SIGN(CO337))*POWER(KLslave,SIGN(CP337))*POWER(INslave_IN,SIGN(CQ337))*POWER(CHslave,SIGN(CR337))*POWER(FFslave,SIGN(CS337))*POWER(KOslave,SIGN(CU337))*POWER(KKslave,SIGN(CV337))+CU337*POWER(MUslave,SIGN(CO337))*POWER(KLslave,SIGN(CP337))*POWER(INslave_IN,SIGN(CQ337))*POWER(CHslave,SIGN(CR337))*POWER(FFslave,SIGN(CS337))*POWER(GEslave,SIGN(CT337))*POWER(KKslave,SIGN(CV337))+CV337*POWER(MUslave,SIGN(CO337))*POWER(KLslave,SIGN(CP337))*POWER(INslave_IN,SIGN(CQ337))*POWER(CHslave,SIGN(CR337))*POWER(FFslave,SIGN(CS337))*POWER(GEslave,SIGN(CT337))*POWER(KOslave,SIGN(CU337))</f>
        <v>2432</v>
      </c>
      <c r="DA337" s="117">
        <f>CP337*CQ337*GEslave+CP337*INslave_IN*CT337+KLslave*CQ337*CT337</f>
        <v>3408</v>
      </c>
      <c r="DB337" s="224">
        <f t="shared" ref="DB337" si="3389">IFERROR(CO337^SIGN(CO337),1)*IFERROR(CP337^SIGN(CP337),1)*IFERROR(CQ337^SIGN(CQ337),1)*IFERROR(CR337^SIGN(CR337),1)*IFERROR(CS337^SIGN(CS337),1)*IFERROR(CT337^SIGN(CT337),1)*IFERROR(CU337^SIGN(CU337),1)*IFERROR(CV337^SIGN(CV337),1)</f>
        <v>1584</v>
      </c>
      <c r="DC337" s="224">
        <f t="shared" si="3345"/>
        <v>7424</v>
      </c>
      <c r="DD337" s="222">
        <f t="shared" si="3346"/>
        <v>3.8218390804597702</v>
      </c>
      <c r="DE337" s="223">
        <f t="shared" si="3347"/>
        <v>10.711206896551724</v>
      </c>
      <c r="DF337" s="243">
        <f t="shared" si="3348"/>
        <v>7.4676724137931032</v>
      </c>
      <c r="DG337" s="243">
        <f t="shared" si="3349"/>
        <v>22.000718390804597</v>
      </c>
      <c r="DH337" s="252">
        <f t="shared" si="2928"/>
        <v>0</v>
      </c>
      <c r="DI337" s="324">
        <f t="shared" si="2986"/>
        <v>22.000718390804597</v>
      </c>
      <c r="DJ337" s="304">
        <f>IF(DG337&lt;=0,3,0)+IF(DG337&gt;0,DG337+1,0)*3+IF(DG337&gt;12,DG337-12,0)*3+IF(DG337&gt;13,DG337-13,0)*3+IF(DG337&gt;14,DG337-14,0)*3+IF(DG337&gt;15,DG337-15,0)*3+IF(DG337&gt;16,DG337-16,0)*3+IF(DG337&gt;17,DG337-17,0)*3+IF(DG337&gt;18,DG337-18,0)*3+IF(DG337&gt;19,DG337-19,0)*3+IF(DG337&gt;20,DG337-20,0)*3</f>
        <v>231.02155172413785</v>
      </c>
      <c r="DK337" s="335">
        <f>IF(DH337&lt;=0,3,0)+IF(DH337&gt;0,DH337+1,0)*3+IF(DH337&gt;12,DH337-12,0)*3+IF(DH337&gt;13,DH337-13,0)*3+IF(DH337&gt;14,DH337-14,0)*3+IF(DH337&gt;15,DH337-15,0)*3+IF(DH337&gt;16,DH337-16,0)*3+IF(DH337&gt;17,DH337-17,0)*3+IF(DH337&gt;18,DH337-18,0)*3+IF(DH337&gt;19,DH337-19,0)*3+IF(DH337&gt;20,DH337-20,0)*3</f>
        <v>3</v>
      </c>
      <c r="DL337" s="243">
        <f t="shared" si="2988"/>
        <v>228.02155172413785</v>
      </c>
      <c r="DM337" s="218">
        <f t="shared" si="2989"/>
        <v>0</v>
      </c>
      <c r="DN337" s="248"/>
      <c r="DO337" s="303" t="s">
        <v>489</v>
      </c>
      <c r="DP337" s="304" t="s">
        <v>439</v>
      </c>
      <c r="DQ337" s="304" t="s">
        <v>135</v>
      </c>
      <c r="DR337" s="120"/>
      <c r="DS337" s="117">
        <f>Konvention_1slave-KLslave</f>
        <v>12</v>
      </c>
      <c r="DT337" s="117">
        <f t="shared" ref="DT337" si="3390">Konvention_1slave-INslave</f>
        <v>12</v>
      </c>
      <c r="DU337" s="117"/>
      <c r="DV337" s="117"/>
      <c r="DW337" s="117">
        <f>Konvention_1slave-GEslave</f>
        <v>12</v>
      </c>
      <c r="DX337" s="117"/>
      <c r="DY337" s="121"/>
      <c r="DZ337" s="223">
        <f t="shared" ref="DZ337" si="3391">(DR337+DS337+DT337+DU337+DV337+DW337+DX337+DY337)/3</f>
        <v>12</v>
      </c>
      <c r="EA337" s="223">
        <f t="shared" si="2990"/>
        <v>24</v>
      </c>
      <c r="EB337" s="224">
        <f t="shared" si="2991"/>
        <v>36</v>
      </c>
      <c r="EC337" s="237">
        <f t="shared" ref="EC337" si="3392">DR337*POWER(KLslave,SIGN(DS337))*POWER(INslave,SIGN(DT337))*POWER(CHslave_CH,SIGN(DU337))*POWER(FFslave,SIGN(DV337))*POWER(GEslave,SIGN(DW337))*POWER(KOslave,SIGN(DX337))*POWER(KKslave,SIGN(DY337))+DS337*POWER(MUslave,SIGN(DR337))*POWER(INslave,SIGN(DT337))*POWER(CHslave_CH,SIGN(DU337))*POWER(FFslave,SIGN(DV337))*POWER(GEslave,SIGN(DW337))*POWER(KOslave,SIGN(DX337))*POWER(KKslave,SIGN(DY337))+DT337*POWER(MUslave,SIGN(DR337))*POWER(KLslave,SIGN(DS337))*POWER(CHslave_CH,SIGN(DU337))*POWER(FFslave,SIGN(DV337))*POWER(GEslave,SIGN(DW337))*POWER(KOslave,SIGN(DX337))*POWER(KKslave,SIGN(DY337))+DU337*POWER(MUslave,SIGN(DR337))*POWER(KLslave,SIGN(DS337))*POWER(INslave,SIGN(DT337))*POWER(FFslave,SIGN(DV337))*POWER(GEslave,SIGN(DW337))*POWER(KOslave,SIGN(DX337))*POWER(KKslave,SIGN(DY337))+DV337*POWER(MUslave,SIGN(DR337))*POWER(KLslave,SIGN(DS337))*POWER(INslave,SIGN(DT337))*POWER(CHslave_CH,SIGN(DU337))*POWER(GEslave,SIGN(DW337))*POWER(KOslave,SIGN(DX337))*POWER(KKslave,SIGN(DY337))+DW337*POWER(MUslave,SIGN(DR337))*POWER(KLslave,SIGN(DS337))*POWER(INslave,SIGN(DT337))*POWER(CHslave_CH,SIGN(DU337))*POWER(FFslave,SIGN(DV337))*POWER(KOslave,SIGN(DX337))*POWER(KKslave,SIGN(DY337))+DX337*POWER(MUslave,SIGN(DR337))*POWER(KLslave,SIGN(DS337))*POWER(INslave,SIGN(DT337))*POWER(CHslave_CH,SIGN(DU337))*POWER(FFslave,SIGN(DV337))*POWER(GEslave,SIGN(DW337))*POWER(KKslave,SIGN(DY337))+DY337*POWER(MUslave,SIGN(DR337))*POWER(KLslave,SIGN(DS337))*POWER(INslave,SIGN(DT337))*POWER(CHslave_CH,SIGN(DU337))*POWER(FFslave,SIGN(DV337))*POWER(GEslave,SIGN(DW337))*POWER(KOslave,SIGN(DX337))</f>
        <v>2304</v>
      </c>
      <c r="ED337" s="117">
        <f>DS337*DT337*GEslave+DS337*INslave*DW337+KLslave*DT337*DW337</f>
        <v>3456</v>
      </c>
      <c r="EE337" s="224">
        <f t="shared" ref="EE337" si="3393">IFERROR(DR337^SIGN(DR337),1)*IFERROR(DS337^SIGN(DS337),1)*IFERROR(DT337^SIGN(DT337),1)*IFERROR(DU337^SIGN(DU337),1)*IFERROR(DV337^SIGN(DV337),1)*IFERROR(DW337^SIGN(DW337),1)*IFERROR(DX337^SIGN(DX337),1)*IFERROR(DY337^SIGN(DY337),1)</f>
        <v>1728</v>
      </c>
      <c r="EF337" s="224">
        <f t="shared" si="3350"/>
        <v>7488</v>
      </c>
      <c r="EG337" s="222">
        <f t="shared" si="3351"/>
        <v>3.6923076923076925</v>
      </c>
      <c r="EH337" s="223">
        <f t="shared" si="3352"/>
        <v>11.076923076923077</v>
      </c>
      <c r="EI337" s="243">
        <f t="shared" si="3353"/>
        <v>8.3076923076923084</v>
      </c>
      <c r="EJ337" s="243">
        <f t="shared" si="3354"/>
        <v>23.07692307692308</v>
      </c>
      <c r="EK337" s="252">
        <f t="shared" si="2931"/>
        <v>0</v>
      </c>
      <c r="EL337" s="324">
        <f t="shared" si="2997"/>
        <v>23.07692307692308</v>
      </c>
      <c r="EM337" s="304">
        <f>IF(EJ337&lt;=0,3,0)+IF(EJ337&gt;0,EJ337+1,0)*3+IF(EJ337&gt;12,EJ337-12,0)*3+IF(EJ337&gt;13,EJ337-13,0)*3+IF(EJ337&gt;14,EJ337-14,0)*3+IF(EJ337&gt;15,EJ337-15,0)*3+IF(EJ337&gt;16,EJ337-16,0)*3+IF(EJ337&gt;17,EJ337-17,0)*3+IF(EJ337&gt;18,EJ337-18,0)*3+IF(EJ337&gt;19,EJ337-19,0)*3+IF(EJ337&gt;20,EJ337-20,0)*3</f>
        <v>263.30769230769232</v>
      </c>
      <c r="EN337" s="335">
        <f>IF(EK337&lt;=0,3,0)+IF(EK337&gt;0,EK337+1,0)*3+IF(EK337&gt;12,EK337-12,0)*3+IF(EK337&gt;13,EK337-13,0)*3+IF(EK337&gt;14,EK337-14,0)*3+IF(EK337&gt;15,EK337-15,0)*3+IF(EK337&gt;16,EK337-16,0)*3+IF(EK337&gt;17,EK337-17,0)*3+IF(EK337&gt;18,EK337-18,0)*3+IF(EK337&gt;19,EK337-19,0)*3+IF(EK337&gt;20,EK337-20,0)*3</f>
        <v>3</v>
      </c>
      <c r="EO337" s="243">
        <f t="shared" si="2999"/>
        <v>260.30769230769232</v>
      </c>
      <c r="EP337" s="218">
        <f t="shared" si="3000"/>
        <v>0</v>
      </c>
      <c r="EQ337" s="248"/>
      <c r="ER337" s="303" t="s">
        <v>489</v>
      </c>
      <c r="ES337" s="304" t="s">
        <v>439</v>
      </c>
      <c r="ET337" s="304" t="s">
        <v>135</v>
      </c>
      <c r="EU337" s="120"/>
      <c r="EV337" s="117">
        <f>Konvention_1slave-KLslave</f>
        <v>12</v>
      </c>
      <c r="EW337" s="117">
        <f t="shared" ref="EW337" si="3394">Konvention_1slave-INslave</f>
        <v>12</v>
      </c>
      <c r="EX337" s="117"/>
      <c r="EY337" s="117"/>
      <c r="EZ337" s="117">
        <f>Konvention_1slave-GEslave</f>
        <v>12</v>
      </c>
      <c r="FA337" s="117"/>
      <c r="FB337" s="121"/>
      <c r="FC337" s="223">
        <f t="shared" ref="FC337" si="3395">(EU337+EV337+EW337+EX337+EY337+EZ337+FA337+FB337)/3</f>
        <v>12</v>
      </c>
      <c r="FD337" s="223">
        <f t="shared" si="3001"/>
        <v>24</v>
      </c>
      <c r="FE337" s="224">
        <f t="shared" si="3002"/>
        <v>36</v>
      </c>
      <c r="FF337" s="237">
        <f t="shared" ref="FF337" si="3396">EU337*POWER(KLslave,SIGN(EV337))*POWER(INslave,SIGN(EW337))*POWER(CHslave,SIGN(EX337))*POWER(FFslave_FF,SIGN(EY337))*POWER(GEslave,SIGN(EZ337))*POWER(KOslave,SIGN(FA337))*POWER(KKslave,SIGN(FB337))+EV337*POWER(MUslave,SIGN(EU337))*POWER(INslave,SIGN(EW337))*POWER(CHslave,SIGN(EX337))*POWER(FFslave_FF,SIGN(EY337))*POWER(GEslave,SIGN(EZ337))*POWER(KOslave,SIGN(FA337))*POWER(KKslave,SIGN(FB337))+EW337*POWER(MUslave,SIGN(EU337))*POWER(KLslave,SIGN(EV337))*POWER(CHslave,SIGN(EX337))*POWER(FFslave_FF,SIGN(EY337))*POWER(GEslave,SIGN(EZ337))*POWER(KOslave,SIGN(FA337))*POWER(KKslave,SIGN(FB337))+EX337*POWER(MUslave,SIGN(EU337))*POWER(KLslave,SIGN(EV337))*POWER(INslave,SIGN(EW337))*POWER(FFslave_FF,SIGN(EY337))*POWER(GEslave,SIGN(EZ337))*POWER(KOslave,SIGN(FA337))*POWER(KKslave,SIGN(FB337))+EY337*POWER(MUslave,SIGN(EU337))*POWER(KLslave,SIGN(EV337))*POWER(INslave,SIGN(EW337))*POWER(CHslave,SIGN(EX337))*POWER(GEslave,SIGN(EZ337))*POWER(KOslave,SIGN(FA337))*POWER(KKslave,SIGN(FB337))+EZ337*POWER(MUslave,SIGN(EU337))*POWER(KLslave,SIGN(EV337))*POWER(INslave,SIGN(EW337))*POWER(CHslave,SIGN(EX337))*POWER(FFslave_FF,SIGN(EY337))*POWER(KOslave,SIGN(FA337))*POWER(KKslave,SIGN(FB337))+FA337*POWER(MUslave,SIGN(EU337))*POWER(KLslave,SIGN(EV337))*POWER(INslave,SIGN(EW337))*POWER(CHslave,SIGN(EX337))*POWER(FFslave_FF,SIGN(EY337))*POWER(GEslave,SIGN(EZ337))*POWER(KKslave,SIGN(FB337))+FB337*POWER(MUslave,SIGN(EU337))*POWER(KLslave,SIGN(EV337))*POWER(INslave,SIGN(EW337))*POWER(CHslave,SIGN(EX337))*POWER(FFslave_FF,SIGN(EY337))*POWER(GEslave,SIGN(EZ337))*POWER(KOslave,SIGN(FA337))</f>
        <v>2304</v>
      </c>
      <c r="FG337" s="117">
        <f>EV337*EW337*GEslave+EV337*INslave*EZ337+KLslave*EW337*EZ337</f>
        <v>3456</v>
      </c>
      <c r="FH337" s="224">
        <f t="shared" ref="FH337" si="3397">IFERROR(EU337^SIGN(EU337),1)*IFERROR(EV337^SIGN(EV337),1)*IFERROR(EW337^SIGN(EW337),1)*IFERROR(EX337^SIGN(EX337),1)*IFERROR(EY337^SIGN(EY337),1)*IFERROR(EZ337^SIGN(EZ337),1)*IFERROR(FA337^SIGN(FA337),1)*IFERROR(FB337^SIGN(FB337),1)</f>
        <v>1728</v>
      </c>
      <c r="FI337" s="224">
        <f t="shared" si="3355"/>
        <v>7488</v>
      </c>
      <c r="FJ337" s="222">
        <f t="shared" si="3356"/>
        <v>3.6923076923076925</v>
      </c>
      <c r="FK337" s="223">
        <f t="shared" si="3357"/>
        <v>11.076923076923077</v>
      </c>
      <c r="FL337" s="243">
        <f t="shared" si="3358"/>
        <v>8.3076923076923084</v>
      </c>
      <c r="FM337" s="243">
        <f t="shared" si="3359"/>
        <v>23.07692307692308</v>
      </c>
      <c r="FN337" s="252">
        <f t="shared" si="2934"/>
        <v>0</v>
      </c>
      <c r="FO337" s="324">
        <f t="shared" si="3008"/>
        <v>23.07692307692308</v>
      </c>
      <c r="FP337" s="304">
        <f>IF(FM337&lt;=0,3,0)+IF(FM337&gt;0,FM337+1,0)*3+IF(FM337&gt;12,FM337-12,0)*3+IF(FM337&gt;13,FM337-13,0)*3+IF(FM337&gt;14,FM337-14,0)*3+IF(FM337&gt;15,FM337-15,0)*3+IF(FM337&gt;16,FM337-16,0)*3+IF(FM337&gt;17,FM337-17,0)*3+IF(FM337&gt;18,FM337-18,0)*3+IF(FM337&gt;19,FM337-19,0)*3+IF(FM337&gt;20,FM337-20,0)*3</f>
        <v>263.30769230769232</v>
      </c>
      <c r="FQ337" s="335">
        <f>IF(FN337&lt;=0,3,0)+IF(FN337&gt;0,FN337+1,0)*3+IF(FN337&gt;12,FN337-12,0)*3+IF(FN337&gt;13,FN337-13,0)*3+IF(FN337&gt;14,FN337-14,0)*3+IF(FN337&gt;15,FN337-15,0)*3+IF(FN337&gt;16,FN337-16,0)*3+IF(FN337&gt;17,FN337-17,0)*3+IF(FN337&gt;18,FN337-18,0)*3+IF(FN337&gt;19,FN337-19,0)*3+IF(FN337&gt;20,FN337-20,0)*3</f>
        <v>3</v>
      </c>
      <c r="FR337" s="243">
        <f t="shared" si="3010"/>
        <v>260.30769230769232</v>
      </c>
      <c r="FS337" s="218">
        <f t="shared" si="3011"/>
        <v>0</v>
      </c>
      <c r="FT337" s="248"/>
      <c r="FU337" s="303" t="s">
        <v>489</v>
      </c>
      <c r="FV337" s="304" t="s">
        <v>439</v>
      </c>
      <c r="FW337" s="304" t="s">
        <v>135</v>
      </c>
      <c r="FX337" s="120"/>
      <c r="FY337" s="117">
        <f>Konvention_1slave-KLslave</f>
        <v>12</v>
      </c>
      <c r="FZ337" s="117">
        <f t="shared" ref="FZ337" si="3398">Konvention_1slave-INslave</f>
        <v>12</v>
      </c>
      <c r="GA337" s="117"/>
      <c r="GB337" s="117"/>
      <c r="GC337" s="117">
        <f>Konvention_1slave-GEslave_GE</f>
        <v>11</v>
      </c>
      <c r="GD337" s="117"/>
      <c r="GE337" s="121"/>
      <c r="GF337" s="223">
        <f t="shared" ref="GF337" si="3399">(FX337+FY337+FZ337+GA337+GB337+GC337+GD337+GE337)/3</f>
        <v>11.666666666666666</v>
      </c>
      <c r="GG337" s="223">
        <f t="shared" si="3012"/>
        <v>23.333333333333332</v>
      </c>
      <c r="GH337" s="224">
        <f t="shared" si="3013"/>
        <v>35</v>
      </c>
      <c r="GI337" s="237">
        <f t="shared" ref="GI337" si="3400">FX337*POWER(KLslave,SIGN(FY337))*POWER(INslave,SIGN(FZ337))*POWER(CHslave,SIGN(GA337))*POWER(FFslave,SIGN(GB337))*POWER(GEslave_GE,SIGN(GC337))*POWER(KOslave,SIGN(GD337))*POWER(KKslave,SIGN(GE337))+FY337*POWER(MUslave,SIGN(FX337))*POWER(INslave,SIGN(FZ337))*POWER(CHslave,SIGN(GA337))*POWER(FFslave,SIGN(GB337))*POWER(GEslave_GE,SIGN(GC337))*POWER(KOslave,SIGN(GD337))*POWER(KKslave,SIGN(GE337))+FZ337*POWER(MUslave,SIGN(FX337))*POWER(KLslave,SIGN(FY337))*POWER(CHslave,SIGN(GA337))*POWER(FFslave,SIGN(GB337))*POWER(GEslave_GE,SIGN(GC337))*POWER(KOslave,SIGN(GD337))*POWER(KKslave,SIGN(GE337))+GA337*POWER(MUslave,SIGN(FX337))*POWER(KLslave,SIGN(FY337))*POWER(INslave,SIGN(FZ337))*POWER(FFslave,SIGN(GB337))*POWER(GEslave_GE,SIGN(GC337))*POWER(KOslave,SIGN(GD337))*POWER(KKslave,SIGN(GE337))+GB337*POWER(MUslave,SIGN(FX337))*POWER(KLslave,SIGN(FY337))*POWER(INslave,SIGN(FZ337))*POWER(CHslave,SIGN(GA337))*POWER(GEslave_GE,SIGN(GC337))*POWER(KOslave,SIGN(GD337))*POWER(KKslave,SIGN(GE337))+GC337*POWER(MUslave,SIGN(FX337))*POWER(KLslave,SIGN(FY337))*POWER(INslave,SIGN(FZ337))*POWER(CHslave,SIGN(GA337))*POWER(FFslave,SIGN(GB337))*POWER(KOslave,SIGN(GD337))*POWER(KKslave,SIGN(GE337))+GD337*POWER(MUslave,SIGN(FX337))*POWER(KLslave,SIGN(FY337))*POWER(INslave,SIGN(FZ337))*POWER(CHslave,SIGN(GA337))*POWER(FFslave,SIGN(GB337))*POWER(GEslave_GE,SIGN(GC337))*POWER(KKslave,SIGN(GE337))+GE337*POWER(MUslave,SIGN(FX337))*POWER(KLslave,SIGN(FY337))*POWER(INslave,SIGN(FZ337))*POWER(CHslave,SIGN(GA337))*POWER(FFslave,SIGN(GB337))*POWER(GEslave_GE,SIGN(GC337))*POWER(KOslave,SIGN(GD337))</f>
        <v>2432</v>
      </c>
      <c r="GJ337" s="117">
        <f>FY337*FZ337*GEslave_GE+FY337*INslave*GC337+KLslave*FZ337*GC337</f>
        <v>3408</v>
      </c>
      <c r="GK337" s="224">
        <f t="shared" ref="GK337" si="3401">IFERROR(FX337^SIGN(FX337),1)*IFERROR(FY337^SIGN(FY337),1)*IFERROR(FZ337^SIGN(FZ337),1)*IFERROR(GA337^SIGN(GA337),1)*IFERROR(GB337^SIGN(GB337),1)*IFERROR(GC337^SIGN(GC337),1)*IFERROR(GD337^SIGN(GD337),1)*IFERROR(GE337^SIGN(GE337),1)</f>
        <v>1584</v>
      </c>
      <c r="GL337" s="224">
        <f t="shared" si="3360"/>
        <v>7424</v>
      </c>
      <c r="GM337" s="222">
        <f t="shared" si="3361"/>
        <v>3.8218390804597702</v>
      </c>
      <c r="GN337" s="223">
        <f t="shared" si="3362"/>
        <v>10.711206896551724</v>
      </c>
      <c r="GO337" s="243">
        <f t="shared" si="3363"/>
        <v>7.4676724137931032</v>
      </c>
      <c r="GP337" s="243">
        <f t="shared" si="3364"/>
        <v>22.000718390804597</v>
      </c>
      <c r="GQ337" s="252">
        <f t="shared" si="2937"/>
        <v>0</v>
      </c>
      <c r="GR337" s="324">
        <f t="shared" si="3019"/>
        <v>22.000718390804597</v>
      </c>
      <c r="GS337" s="304">
        <f>IF(GP337&lt;=0,3,0)+IF(GP337&gt;0,GP337+1,0)*3+IF(GP337&gt;12,GP337-12,0)*3+IF(GP337&gt;13,GP337-13,0)*3+IF(GP337&gt;14,GP337-14,0)*3+IF(GP337&gt;15,GP337-15,0)*3+IF(GP337&gt;16,GP337-16,0)*3+IF(GP337&gt;17,GP337-17,0)*3+IF(GP337&gt;18,GP337-18,0)*3+IF(GP337&gt;19,GP337-19,0)*3+IF(GP337&gt;20,GP337-20,0)*3</f>
        <v>231.02155172413785</v>
      </c>
      <c r="GT337" s="335">
        <f>IF(GQ337&lt;=0,3,0)+IF(GQ337&gt;0,GQ337+1,0)*3+IF(GQ337&gt;12,GQ337-12,0)*3+IF(GQ337&gt;13,GQ337-13,0)*3+IF(GQ337&gt;14,GQ337-14,0)*3+IF(GQ337&gt;15,GQ337-15,0)*3+IF(GQ337&gt;16,GQ337-16,0)*3+IF(GQ337&gt;17,GQ337-17,0)*3+IF(GQ337&gt;18,GQ337-18,0)*3+IF(GQ337&gt;19,GQ337-19,0)*3+IF(GQ337&gt;20,GQ337-20,0)*3</f>
        <v>3</v>
      </c>
      <c r="GU337" s="243">
        <f t="shared" si="3021"/>
        <v>228.02155172413785</v>
      </c>
      <c r="GV337" s="218">
        <f t="shared" si="3022"/>
        <v>0</v>
      </c>
      <c r="GW337" s="248"/>
      <c r="GX337" s="303" t="s">
        <v>489</v>
      </c>
      <c r="GY337" s="304" t="s">
        <v>439</v>
      </c>
      <c r="GZ337" s="304" t="s">
        <v>135</v>
      </c>
      <c r="HA337" s="120"/>
      <c r="HB337" s="117">
        <f>Konvention_1slave-KLslave</f>
        <v>12</v>
      </c>
      <c r="HC337" s="117">
        <f t="shared" ref="HC337" si="3402">Konvention_1slave-INslave</f>
        <v>12</v>
      </c>
      <c r="HD337" s="117"/>
      <c r="HE337" s="117"/>
      <c r="HF337" s="117">
        <f>Konvention_1slave-GEslave</f>
        <v>12</v>
      </c>
      <c r="HG337" s="117"/>
      <c r="HH337" s="121"/>
      <c r="HI337" s="223">
        <f t="shared" ref="HI337" si="3403">(HA337+HB337+HC337+HD337+HE337+HF337+HG337+HH337)/3</f>
        <v>12</v>
      </c>
      <c r="HJ337" s="223">
        <f t="shared" si="3023"/>
        <v>24</v>
      </c>
      <c r="HK337" s="224">
        <f t="shared" si="3024"/>
        <v>36</v>
      </c>
      <c r="HL337" s="237">
        <f t="shared" ref="HL337" si="3404">HA337*POWER(KLslave,SIGN(HB337))*POWER(INslave,SIGN(HC337))*POWER(CHslave,SIGN(HD337))*POWER(FFslave,SIGN(HE337))*POWER(GEslave,SIGN(HF337))*POWER(KOslave_KO,SIGN(HG337))*POWER(KKslave,SIGN(HH337))+HB337*POWER(MUslave,SIGN(HA337))*POWER(INslave,SIGN(HC337))*POWER(CHslave,SIGN(HD337))*POWER(FFslave,SIGN(HE337))*POWER(GEslave,SIGN(HF337))*POWER(KOslave_KO,SIGN(HG337))*POWER(KKslave,SIGN(HH337))+HC337*POWER(MUslave,SIGN(HA337))*POWER(KLslave,SIGN(HB337))*POWER(CHslave,SIGN(HD337))*POWER(FFslave,SIGN(HE337))*POWER(GEslave,SIGN(HF337))*POWER(KOslave_KO,SIGN(HG337))*POWER(KKslave,SIGN(HH337))+HD337*POWER(MUslave,SIGN(HA337))*POWER(KLslave,SIGN(HB337))*POWER(INslave,SIGN(HC337))*POWER(FFslave,SIGN(HE337))*POWER(GEslave,SIGN(HF337))*POWER(KOslave_KO,SIGN(HG337))*POWER(KKslave,SIGN(HH337))+HE337*POWER(MUslave,SIGN(HA337))*POWER(KLslave,SIGN(HB337))*POWER(INslave,SIGN(HC337))*POWER(CHslave,SIGN(HD337))*POWER(GEslave,SIGN(HF337))*POWER(KOslave_KO,SIGN(HG337))*POWER(KKslave,SIGN(HH337))+HF337*POWER(MUslave,SIGN(HA337))*POWER(KLslave,SIGN(HB337))*POWER(INslave,SIGN(HC337))*POWER(CHslave,SIGN(HD337))*POWER(FFslave,SIGN(HE337))*POWER(KOslave_KO,SIGN(HG337))*POWER(KKslave,SIGN(HH337))+HG337*POWER(MUslave,SIGN(HA337))*POWER(KLslave,SIGN(HB337))*POWER(INslave,SIGN(HC337))*POWER(CHslave,SIGN(HD337))*POWER(FFslave,SIGN(HE337))*POWER(GEslave,SIGN(HF337))*POWER(KKslave,SIGN(HH337))+HH337*POWER(MUslave,SIGN(HA337))*POWER(KLslave,SIGN(HB337))*POWER(INslave,SIGN(HC337))*POWER(CHslave,SIGN(HD337))*POWER(FFslave,SIGN(HE337))*POWER(GEslave,SIGN(HF337))*POWER(KOslave_KO,SIGN(HG337))</f>
        <v>2304</v>
      </c>
      <c r="HM337" s="117">
        <f>HB337*HC337*GEslave+HB337*INslave*HF337+KLslave*HC337*HF337</f>
        <v>3456</v>
      </c>
      <c r="HN337" s="224">
        <f t="shared" ref="HN337" si="3405">IFERROR(HA337^SIGN(HA337),1)*IFERROR(HB337^SIGN(HB337),1)*IFERROR(HC337^SIGN(HC337),1)*IFERROR(HD337^SIGN(HD337),1)*IFERROR(HE337^SIGN(HE337),1)*IFERROR(HF337^SIGN(HF337),1)*IFERROR(HG337^SIGN(HG337),1)*IFERROR(HH337^SIGN(HH337),1)</f>
        <v>1728</v>
      </c>
      <c r="HO337" s="224">
        <f t="shared" si="3365"/>
        <v>7488</v>
      </c>
      <c r="HP337" s="222">
        <f t="shared" si="3366"/>
        <v>3.6923076923076925</v>
      </c>
      <c r="HQ337" s="223">
        <f t="shared" si="3367"/>
        <v>11.076923076923077</v>
      </c>
      <c r="HR337" s="243">
        <f t="shared" si="3368"/>
        <v>8.3076923076923084</v>
      </c>
      <c r="HS337" s="243">
        <f t="shared" si="3369"/>
        <v>23.07692307692308</v>
      </c>
      <c r="HT337" s="252">
        <f t="shared" si="2940"/>
        <v>0</v>
      </c>
      <c r="HU337" s="324">
        <f t="shared" si="3030"/>
        <v>23.07692307692308</v>
      </c>
      <c r="HV337" s="304">
        <f>IF(HS337&lt;=0,3,0)+IF(HS337&gt;0,HS337+1,0)*3+IF(HS337&gt;12,HS337-12,0)*3+IF(HS337&gt;13,HS337-13,0)*3+IF(HS337&gt;14,HS337-14,0)*3+IF(HS337&gt;15,HS337-15,0)*3+IF(HS337&gt;16,HS337-16,0)*3+IF(HS337&gt;17,HS337-17,0)*3+IF(HS337&gt;18,HS337-18,0)*3+IF(HS337&gt;19,HS337-19,0)*3+IF(HS337&gt;20,HS337-20,0)*3</f>
        <v>263.30769230769232</v>
      </c>
      <c r="HW337" s="335">
        <f>IF(HT337&lt;=0,3,0)+IF(HT337&gt;0,HT337+1,0)*3+IF(HT337&gt;12,HT337-12,0)*3+IF(HT337&gt;13,HT337-13,0)*3+IF(HT337&gt;14,HT337-14,0)*3+IF(HT337&gt;15,HT337-15,0)*3+IF(HT337&gt;16,HT337-16,0)*3+IF(HT337&gt;17,HT337-17,0)*3+IF(HT337&gt;18,HT337-18,0)*3+IF(HT337&gt;19,HT337-19,0)*3+IF(HT337&gt;20,HT337-20,0)*3</f>
        <v>3</v>
      </c>
      <c r="HX337" s="243">
        <f t="shared" si="3032"/>
        <v>260.30769230769232</v>
      </c>
      <c r="HY337" s="218">
        <f t="shared" si="3033"/>
        <v>0</v>
      </c>
      <c r="HZ337" s="248"/>
      <c r="IA337" s="303" t="s">
        <v>489</v>
      </c>
      <c r="IB337" s="304" t="s">
        <v>439</v>
      </c>
      <c r="IC337" s="304" t="s">
        <v>135</v>
      </c>
      <c r="ID337" s="120"/>
      <c r="IE337" s="117">
        <f>Konvention_1slave-KLslave</f>
        <v>12</v>
      </c>
      <c r="IF337" s="117">
        <f t="shared" ref="IF337" si="3406">Konvention_1slave-INslave</f>
        <v>12</v>
      </c>
      <c r="IG337" s="117"/>
      <c r="IH337" s="117"/>
      <c r="II337" s="117">
        <f>Konvention_1slave-GEslave</f>
        <v>12</v>
      </c>
      <c r="IJ337" s="117"/>
      <c r="IK337" s="121"/>
      <c r="IL337" s="223">
        <f t="shared" ref="IL337" si="3407">(ID337+IE337+IF337+IG337+IH337+II337+IJ337+IK337)/3</f>
        <v>12</v>
      </c>
      <c r="IM337" s="223">
        <f t="shared" si="3034"/>
        <v>24</v>
      </c>
      <c r="IN337" s="224">
        <f t="shared" si="3035"/>
        <v>36</v>
      </c>
      <c r="IO337" s="237">
        <f t="shared" ref="IO337" si="3408">ID337*POWER(KLslave,SIGN(IE337))*POWER(INslave,SIGN(IF337))*POWER(CHslave,SIGN(IG337))*POWER(FFslave,SIGN(IH337))*POWER(GEslave,SIGN(II337))*POWER(KOslave,SIGN(IJ337))*POWER(KKslave_KK,SIGN(IK337))+IE337*POWER(MUslave,SIGN(ID337))*POWER(INslave,SIGN(IF337))*POWER(CHslave,SIGN(IG337))*POWER(FFslave,SIGN(IH337))*POWER(GEslave,SIGN(II337))*POWER(KOslave,SIGN(IJ337))*POWER(KKslave_KK,SIGN(IK337))+IF337*POWER(MUslave,SIGN(ID337))*POWER(KLslave,SIGN(IE337))*POWER(CHslave,SIGN(IG337))*POWER(FFslave,SIGN(IH337))*POWER(GEslave,SIGN(II337))*POWER(KOslave,SIGN(IJ337))*POWER(KKslave_KK,SIGN(IK337))+IG337*POWER(MUslave,SIGN(ID337))*POWER(KLslave,SIGN(IE337))*POWER(INslave,SIGN(IF337))*POWER(FFslave,SIGN(IH337))*POWER(GEslave,SIGN(II337))*POWER(KOslave,SIGN(IJ337))*POWER(KKslave_KK,SIGN(IK337))+IH337*POWER(MUslave,SIGN(ID337))*POWER(KLslave,SIGN(IE337))*POWER(INslave,SIGN(IF337))*POWER(CHslave,SIGN(IG337))*POWER(GEslave,SIGN(II337))*POWER(KOslave,SIGN(IJ337))*POWER(KKslave_KK,SIGN(IK337))+II337*POWER(MUslave,SIGN(ID337))*POWER(KLslave,SIGN(IE337))*POWER(INslave,SIGN(IF337))*POWER(CHslave,SIGN(IG337))*POWER(FFslave,SIGN(IH337))*POWER(KOslave,SIGN(IJ337))*POWER(KKslave_KK,SIGN(IK337))+IJ337*POWER(MUslave,SIGN(ID337))*POWER(KLslave,SIGN(IE337))*POWER(INslave,SIGN(IF337))*POWER(CHslave,SIGN(IG337))*POWER(FFslave,SIGN(IH337))*POWER(GEslave,SIGN(II337))*POWER(KKslave_KK,SIGN(IK337))+IK337*POWER(MUslave,SIGN(ID337))*POWER(KLslave,SIGN(IE337))*POWER(INslave,SIGN(IF337))*POWER(CHslave,SIGN(IG337))*POWER(FFslave,SIGN(IH337))*POWER(GEslave,SIGN(II337))*POWER(KOslave,SIGN(IJ337))</f>
        <v>2304</v>
      </c>
      <c r="IP337" s="117">
        <f>IE337*IF337*GEslave+IE337*INslave*II337+KLslave*IF337*II337</f>
        <v>3456</v>
      </c>
      <c r="IQ337" s="224">
        <f t="shared" ref="IQ337" si="3409">IFERROR(ID337^SIGN(ID337),1)*IFERROR(IE337^SIGN(IE337),1)*IFERROR(IF337^SIGN(IF337),1)*IFERROR(IG337^SIGN(IG337),1)*IFERROR(IH337^SIGN(IH337),1)*IFERROR(II337^SIGN(II337),1)*IFERROR(IJ337^SIGN(IJ337),1)*IFERROR(IK337^SIGN(IK337),1)</f>
        <v>1728</v>
      </c>
      <c r="IR337" s="224">
        <f t="shared" si="3370"/>
        <v>7488</v>
      </c>
      <c r="IS337" s="222">
        <f t="shared" si="3371"/>
        <v>3.6923076923076925</v>
      </c>
      <c r="IT337" s="223">
        <f t="shared" si="3372"/>
        <v>11.076923076923077</v>
      </c>
      <c r="IU337" s="243">
        <f t="shared" si="3373"/>
        <v>8.3076923076923084</v>
      </c>
      <c r="IV337" s="243">
        <f t="shared" si="3374"/>
        <v>23.07692307692308</v>
      </c>
      <c r="IW337" s="252">
        <f t="shared" si="2943"/>
        <v>0</v>
      </c>
      <c r="IX337" s="324">
        <f t="shared" si="3041"/>
        <v>23.07692307692308</v>
      </c>
      <c r="IY337" s="304">
        <f>IF(IV337&lt;=0,3,0)+IF(IV337&gt;0,IV337+1,0)*3+IF(IV337&gt;12,IV337-12,0)*3+IF(IV337&gt;13,IV337-13,0)*3+IF(IV337&gt;14,IV337-14,0)*3+IF(IV337&gt;15,IV337-15,0)*3+IF(IV337&gt;16,IV337-16,0)*3+IF(IV337&gt;17,IV337-17,0)*3+IF(IV337&gt;18,IV337-18,0)*3+IF(IV337&gt;19,IV337-19,0)*3+IF(IV337&gt;20,IV337-20,0)*3</f>
        <v>263.30769230769232</v>
      </c>
      <c r="IZ337" s="335">
        <f>IF(IW337&lt;=0,3,0)+IF(IW337&gt;0,IW337+1,0)*3+IF(IW337&gt;12,IW337-12,0)*3+IF(IW337&gt;13,IW337-13,0)*3+IF(IW337&gt;14,IW337-14,0)*3+IF(IW337&gt;15,IW337-15,0)*3+IF(IW337&gt;16,IW337-16,0)*3+IF(IW337&gt;17,IW337-17,0)*3+IF(IW337&gt;18,IW337-18,0)*3+IF(IW337&gt;19,IW337-19,0)*3+IF(IW337&gt;20,IW337-20,0)*3</f>
        <v>3</v>
      </c>
      <c r="JA337" s="243">
        <f t="shared" si="3043"/>
        <v>260.30769230769232</v>
      </c>
      <c r="JB337" s="218">
        <f t="shared" si="3044"/>
        <v>0</v>
      </c>
      <c r="JE337" s="148"/>
    </row>
    <row r="338" spans="1:265" hidden="1" outlineLevel="2">
      <c r="A338" s="185"/>
      <c r="B338" s="148">
        <v>16</v>
      </c>
      <c r="C338" s="303" t="e">
        <f>VLOOKUP(AF338,Attribute!C:T,1,FALSE)</f>
        <v>#N/A</v>
      </c>
      <c r="D338" s="304" t="s">
        <v>8</v>
      </c>
      <c r="E338" s="304" t="s">
        <v>132</v>
      </c>
      <c r="F338" s="114">
        <f>Konvention_1master-MUmaster</f>
        <v>12</v>
      </c>
      <c r="G338" s="113"/>
      <c r="H338" s="113">
        <f>Konvention_1master-INmaster</f>
        <v>12</v>
      </c>
      <c r="I338" s="113"/>
      <c r="J338" s="113"/>
      <c r="K338" s="113">
        <f>Konvention_1master-GEmaster</f>
        <v>12</v>
      </c>
      <c r="L338" s="113"/>
      <c r="M338" s="119"/>
      <c r="N338" s="223">
        <f>(F338+G338+H338+I338+J338+K338+L338+M338)/3</f>
        <v>12</v>
      </c>
      <c r="O338" s="223">
        <f>2*N338</f>
        <v>24</v>
      </c>
      <c r="P338" s="224">
        <f>3*N338</f>
        <v>36</v>
      </c>
      <c r="Q338" s="237">
        <f>F338*POWER(KLmaster,SIGN(G338))*POWER(INmaster,SIGN(H338))*POWER(CHmaster,SIGN(I338))*POWER(FFmaster,SIGN(J338))*POWER(GEmaster,SIGN(K338))*POWER(KOmaster,SIGN(L338))*POWER(KKmaster,SIGN(M338))+G338*POWER(MUmaster,SIGN(F338))*POWER(INmaster,SIGN(H338))*POWER(CHmaster,SIGN(I338))*POWER(FFmaster,SIGN(J338))*POWER(GEmaster,SIGN(K338))*POWER(KOmaster,SIGN(L338))*POWER(KKmaster,SIGN(M338))+H338*POWER(MUmaster,SIGN(F338))*POWER(KLmaster,SIGN(G338))*POWER(CHmaster,SIGN(I338))*POWER(FFmaster,SIGN(J338))*POWER(GEmaster,SIGN(K338))*POWER(KOmaster,SIGN(L338))*POWER(KKmaster,SIGN(M338))+I338*POWER(MUmaster,SIGN(F338))*POWER(KLmaster,SIGN(G338))*POWER(INmaster,SIGN(H338))*POWER(FFmaster,SIGN(J338))*POWER(GEmaster,SIGN(K338))*POWER(KOmaster,SIGN(L338))*POWER(KKmaster,SIGN(M338))+J338*POWER(MUmaster,SIGN(F338))*POWER(KLmaster,SIGN(G338))*POWER(INmaster,SIGN(H338))*POWER(CHmaster,SIGN(I338))*POWER(GEmaster,SIGN(K338))*POWER(KOmaster,SIGN(L338))*POWER(KKmaster,SIGN(M338))+K338*POWER(MUmaster,SIGN(F338))*POWER(KLmaster,SIGN(G338))*POWER(INmaster,SIGN(H338))*POWER(CHmaster,SIGN(I338))*POWER(FFmaster,SIGN(J338))*POWER(KOmaster,SIGN(L338))*POWER(KKmaster,SIGN(M338))+L338*POWER(MUmaster,SIGN(F338))*POWER(KLmaster,SIGN(G338))*POWER(INmaster,SIGN(H338))*POWER(CHmaster,SIGN(I338))*POWER(FFmaster,SIGN(J338))*POWER(GEmaster,SIGN(K338))*POWER(KKmaster,SIGN(M338))+M338*POWER(MUmaster,SIGN(F338))*POWER(KLmaster,SIGN(G338))*POWER(INmaster,SIGN(H338))*POWER(CHmaster,SIGN(I338))*POWER(FFmaster,SIGN(J338))*POWER(GEmaster,SIGN(K338))*POWER(KOmaster,SIGN(L338))</f>
        <v>2304</v>
      </c>
      <c r="R338" s="113">
        <f>F338*H338*GEmaster+F338*INmaster*K338+MUmaster*H338*K338</f>
        <v>3456</v>
      </c>
      <c r="S338" s="224">
        <f>IFERROR(F338^SIGN(F338),1)*IFERROR(G338^SIGN(G338),1)*IFERROR(H338^SIGN(H338),1)*IFERROR(I338^SIGN(I338),1)*IFERROR(J338^SIGN(J338),1)*IFERROR(K338^SIGN(K338),1)*IFERROR(L338^SIGN(L338),1)*IFERROR(M338^SIGN(M338),1)</f>
        <v>1728</v>
      </c>
      <c r="T338" s="224">
        <f>SUM(Q338:S338)</f>
        <v>7488</v>
      </c>
      <c r="U338" s="222">
        <f>N338*Q338/T338</f>
        <v>3.6923076923076925</v>
      </c>
      <c r="V338" s="223">
        <f>O338*R338/T338</f>
        <v>11.076923076923077</v>
      </c>
      <c r="W338" s="243">
        <f>P338*S338/T338</f>
        <v>8.3076923076923084</v>
      </c>
      <c r="X338" s="243">
        <f>SUM(U338:W338)</f>
        <v>23.07692307692308</v>
      </c>
      <c r="Y338" s="252">
        <v>0</v>
      </c>
      <c r="Z338" s="324">
        <f>X338-Y338</f>
        <v>23.07692307692308</v>
      </c>
      <c r="AA338" s="304">
        <f>IF(X338&lt;=0,2,0)+IF(X338&gt;0,X338+1,0)*2+IF(X338&gt;12,X338-12,0)*2+IF(X338&gt;13,X338-13,0)*2+IF(X338&gt;14,X338-14,0)*2+IF(X338&gt;15,X338-15,0)*2+IF(X338&gt;16,X338-16,0)*2+IF(X338&gt;17,X338-17,0)*2+IF(X338&gt;18,X338-18,0)*2+IF(X338&gt;19,X338-19,0)*2+IF(X338&gt;20,X338-20,0)*2</f>
        <v>175.5384615384616</v>
      </c>
      <c r="AB338" s="335">
        <f>IF(Y338&lt;=0,2,0)+IF(Y338&gt;0,Y338+1,0)*2+IF(Y338&gt;12,Y338-12,0)*2+IF(Y338&gt;13,Y338-13,0)*2+IF(Y338&gt;14,Y338-14,0)*2+IF(Y338&gt;15,Y338-15,0)*2+IF(Y338&gt;16,Y338-16,0)*2+IF(Y338&gt;17,Y338-17,0)*2+IF(Y338&gt;18,Y338-18,0)*2+IF(Y338&gt;19,Y338-19,0)*2+IF(Y338&gt;20,Y338-20,0)*2</f>
        <v>2</v>
      </c>
      <c r="AC338" s="243">
        <f t="shared" si="2955"/>
        <v>173.5384615384616</v>
      </c>
      <c r="AD338" s="218">
        <f>IF((AB338-AA338)&gt;0,AB338-AA338,0)</f>
        <v>0</v>
      </c>
      <c r="AE338" s="140"/>
      <c r="AF338" s="303" t="s">
        <v>490</v>
      </c>
      <c r="AG338" s="304" t="s">
        <v>8</v>
      </c>
      <c r="AH338" s="304" t="s">
        <v>132</v>
      </c>
      <c r="AI338" s="114">
        <f t="shared" ref="AI338" si="3410">Konvention_1slave-MUslave_MU</f>
        <v>11</v>
      </c>
      <c r="AJ338" s="113"/>
      <c r="AK338" s="113">
        <f>Konvention_1slave-INslave</f>
        <v>12</v>
      </c>
      <c r="AL338" s="113"/>
      <c r="AM338" s="113"/>
      <c r="AN338" s="113">
        <f>Konvention_1slave-GEslave</f>
        <v>12</v>
      </c>
      <c r="AO338" s="113"/>
      <c r="AP338" s="119"/>
      <c r="AQ338" s="223">
        <f>(AI338+AJ338+AK338+AL338+AM338+AN338+AO338+AP338)/3</f>
        <v>11.666666666666666</v>
      </c>
      <c r="AR338" s="223">
        <f>2*AQ338</f>
        <v>23.333333333333332</v>
      </c>
      <c r="AS338" s="224">
        <f>3*AQ338</f>
        <v>35</v>
      </c>
      <c r="AT338" s="237">
        <f t="shared" si="3249"/>
        <v>2432</v>
      </c>
      <c r="AU338" s="113">
        <f>AI338*AK338*GEslave+AI338*INslave*AN338+MUslave_MU*AK338*AN338</f>
        <v>3408</v>
      </c>
      <c r="AV338" s="224">
        <f>IFERROR(AI338^SIGN(AI338),1)*IFERROR(AJ338^SIGN(AJ338),1)*IFERROR(AK338^SIGN(AK338),1)*IFERROR(AL338^SIGN(AL338),1)*IFERROR(AM338^SIGN(AM338),1)*IFERROR(AN338^SIGN(AN338),1)*IFERROR(AO338^SIGN(AO338),1)*IFERROR(AP338^SIGN(AP338),1)</f>
        <v>1584</v>
      </c>
      <c r="AW338" s="224">
        <f>SUM(AT338:AV338)</f>
        <v>7424</v>
      </c>
      <c r="AX338" s="222">
        <f>AQ338*AT338/AW338</f>
        <v>3.8218390804597702</v>
      </c>
      <c r="AY338" s="223">
        <f>AR338*AU338/AW338</f>
        <v>10.711206896551724</v>
      </c>
      <c r="AZ338" s="243">
        <f>AS338*AV338/AW338</f>
        <v>7.4676724137931032</v>
      </c>
      <c r="BA338" s="243">
        <f>SUM(AX338:AZ338)</f>
        <v>22.000718390804597</v>
      </c>
      <c r="BB338" s="252">
        <f t="shared" si="2034"/>
        <v>0</v>
      </c>
      <c r="BC338" s="324">
        <f>BA338-BB338</f>
        <v>22.000718390804597</v>
      </c>
      <c r="BD338" s="304">
        <f>IF(BA338&lt;=0,2,0)+IF(BA338&gt;0,BA338+1,0)*2+IF(BA338&gt;12,BA338-12,0)*2+IF(BA338&gt;13,BA338-13,0)*2+IF(BA338&gt;14,BA338-14,0)*2+IF(BA338&gt;15,BA338-15,0)*2+IF(BA338&gt;16,BA338-16,0)*2+IF(BA338&gt;17,BA338-17,0)*2+IF(BA338&gt;18,BA338-18,0)*2+IF(BA338&gt;19,BA338-19,0)*2+IF(BA338&gt;20,BA338-20,0)*2</f>
        <v>154.01436781609189</v>
      </c>
      <c r="BE338" s="335">
        <f>IF(BB338&lt;=0,2,0)+IF(BB338&gt;0,BB338+1,0)*2+IF(BB338&gt;12,BB338-12,0)*2+IF(BB338&gt;13,BB338-13,0)*2+IF(BB338&gt;14,BB338-14,0)*2+IF(BB338&gt;15,BB338-15,0)*2+IF(BB338&gt;16,BB338-16,0)*2+IF(BB338&gt;17,BB338-17,0)*2+IF(BB338&gt;18,BB338-18,0)*2+IF(BB338&gt;19,BB338-19,0)*2+IF(BB338&gt;20,BB338-20,0)*2</f>
        <v>2</v>
      </c>
      <c r="BF338" s="243">
        <f t="shared" si="2966"/>
        <v>152.01436781609189</v>
      </c>
      <c r="BG338" s="218">
        <f>IF((BE338-BD338)&gt;0,BE338-BD338,0)</f>
        <v>0</v>
      </c>
      <c r="BH338" s="248"/>
      <c r="BI338" s="303" t="s">
        <v>490</v>
      </c>
      <c r="BJ338" s="304" t="s">
        <v>8</v>
      </c>
      <c r="BK338" s="304" t="s">
        <v>132</v>
      </c>
      <c r="BL338" s="114">
        <f t="shared" ref="BL338" si="3411">Konvention_1slave-MUslave</f>
        <v>12</v>
      </c>
      <c r="BM338" s="113"/>
      <c r="BN338" s="113">
        <f>Konvention_1slave-INslave</f>
        <v>12</v>
      </c>
      <c r="BO338" s="113"/>
      <c r="BP338" s="113"/>
      <c r="BQ338" s="113">
        <f>Konvention_1slave-GEslave</f>
        <v>12</v>
      </c>
      <c r="BR338" s="113"/>
      <c r="BS338" s="119"/>
      <c r="BT338" s="223">
        <f>(BL338+BM338+BN338+BO338+BP338+BQ338+BR338+BS338)/3</f>
        <v>12</v>
      </c>
      <c r="BU338" s="223">
        <f>2*BT338</f>
        <v>24</v>
      </c>
      <c r="BV338" s="224">
        <f>3*BT338</f>
        <v>36</v>
      </c>
      <c r="BW338" s="237">
        <f t="shared" si="3253"/>
        <v>2304</v>
      </c>
      <c r="BX338" s="113">
        <f>BL338*BN338*GEslave+BL338*INslave*BQ338+MUslave*BN338*BQ338</f>
        <v>3456</v>
      </c>
      <c r="BY338" s="224">
        <f>IFERROR(BL338^SIGN(BL338),1)*IFERROR(BM338^SIGN(BM338),1)*IFERROR(BN338^SIGN(BN338),1)*IFERROR(BO338^SIGN(BO338),1)*IFERROR(BP338^SIGN(BP338),1)*IFERROR(BQ338^SIGN(BQ338),1)*IFERROR(BR338^SIGN(BR338),1)*IFERROR(BS338^SIGN(BS338),1)</f>
        <v>1728</v>
      </c>
      <c r="BZ338" s="224">
        <f>SUM(BW338:BY338)</f>
        <v>7488</v>
      </c>
      <c r="CA338" s="222">
        <f>BT338*BW338/BZ338</f>
        <v>3.6923076923076925</v>
      </c>
      <c r="CB338" s="223">
        <f>BU338*BX338/BZ338</f>
        <v>11.076923076923077</v>
      </c>
      <c r="CC338" s="243">
        <f>BV338*BY338/BZ338</f>
        <v>8.3076923076923084</v>
      </c>
      <c r="CD338" s="243">
        <f>SUM(CA338:CC338)</f>
        <v>23.07692307692308</v>
      </c>
      <c r="CE338" s="252">
        <f t="shared" si="2925"/>
        <v>0</v>
      </c>
      <c r="CF338" s="324">
        <f>CD338-CE338</f>
        <v>23.07692307692308</v>
      </c>
      <c r="CG338" s="304">
        <f>IF(CD338&lt;=0,2,0)+IF(CD338&gt;0,CD338+1,0)*2+IF(CD338&gt;12,CD338-12,0)*2+IF(CD338&gt;13,CD338-13,0)*2+IF(CD338&gt;14,CD338-14,0)*2+IF(CD338&gt;15,CD338-15,0)*2+IF(CD338&gt;16,CD338-16,0)*2+IF(CD338&gt;17,CD338-17,0)*2+IF(CD338&gt;18,CD338-18,0)*2+IF(CD338&gt;19,CD338-19,0)*2+IF(CD338&gt;20,CD338-20,0)*2</f>
        <v>175.5384615384616</v>
      </c>
      <c r="CH338" s="335">
        <f>IF(CE338&lt;=0,2,0)+IF(CE338&gt;0,CE338+1,0)*2+IF(CE338&gt;12,CE338-12,0)*2+IF(CE338&gt;13,CE338-13,0)*2+IF(CE338&gt;14,CE338-14,0)*2+IF(CE338&gt;15,CE338-15,0)*2+IF(CE338&gt;16,CE338-16,0)*2+IF(CE338&gt;17,CE338-17,0)*2+IF(CE338&gt;18,CE338-18,0)*2+IF(CE338&gt;19,CE338-19,0)*2+IF(CE338&gt;20,CE338-20,0)*2</f>
        <v>2</v>
      </c>
      <c r="CI338" s="243">
        <f t="shared" si="2977"/>
        <v>173.5384615384616</v>
      </c>
      <c r="CJ338" s="218">
        <f>IF((CH338-CG338)&gt;0,CH338-CG338,0)</f>
        <v>0</v>
      </c>
      <c r="CK338" s="248"/>
      <c r="CL338" s="303" t="s">
        <v>490</v>
      </c>
      <c r="CM338" s="304" t="s">
        <v>8</v>
      </c>
      <c r="CN338" s="304" t="s">
        <v>132</v>
      </c>
      <c r="CO338" s="114">
        <f t="shared" ref="CO338" si="3412">Konvention_1slave-MUslave</f>
        <v>12</v>
      </c>
      <c r="CP338" s="113"/>
      <c r="CQ338" s="113">
        <f>Konvention_1slave-INslave_IN</f>
        <v>11</v>
      </c>
      <c r="CR338" s="113"/>
      <c r="CS338" s="113"/>
      <c r="CT338" s="113">
        <f>Konvention_1slave-GEslave</f>
        <v>12</v>
      </c>
      <c r="CU338" s="113"/>
      <c r="CV338" s="119"/>
      <c r="CW338" s="223">
        <f>(CO338+CP338+CQ338+CR338+CS338+CT338+CU338+CV338)/3</f>
        <v>11.666666666666666</v>
      </c>
      <c r="CX338" s="223">
        <f>2*CW338</f>
        <v>23.333333333333332</v>
      </c>
      <c r="CY338" s="224">
        <f>3*CW338</f>
        <v>35</v>
      </c>
      <c r="CZ338" s="237">
        <f t="shared" si="3257"/>
        <v>2432</v>
      </c>
      <c r="DA338" s="113">
        <f>CO338*CQ338*GEslave+CO338*INslave_IN*CT338+MUslave*CQ338*CT338</f>
        <v>3408</v>
      </c>
      <c r="DB338" s="224">
        <f>IFERROR(CO338^SIGN(CO338),1)*IFERROR(CP338^SIGN(CP338),1)*IFERROR(CQ338^SIGN(CQ338),1)*IFERROR(CR338^SIGN(CR338),1)*IFERROR(CS338^SIGN(CS338),1)*IFERROR(CT338^SIGN(CT338),1)*IFERROR(CU338^SIGN(CU338),1)*IFERROR(CV338^SIGN(CV338),1)</f>
        <v>1584</v>
      </c>
      <c r="DC338" s="224">
        <f>SUM(CZ338:DB338)</f>
        <v>7424</v>
      </c>
      <c r="DD338" s="222">
        <f>CW338*CZ338/DC338</f>
        <v>3.8218390804597702</v>
      </c>
      <c r="DE338" s="223">
        <f>CX338*DA338/DC338</f>
        <v>10.711206896551724</v>
      </c>
      <c r="DF338" s="243">
        <f>CY338*DB338/DC338</f>
        <v>7.4676724137931032</v>
      </c>
      <c r="DG338" s="243">
        <f>SUM(DD338:DF338)</f>
        <v>22.000718390804597</v>
      </c>
      <c r="DH338" s="252">
        <f t="shared" si="2928"/>
        <v>0</v>
      </c>
      <c r="DI338" s="324">
        <f>DG338-DH338</f>
        <v>22.000718390804597</v>
      </c>
      <c r="DJ338" s="304">
        <f>IF(DG338&lt;=0,2,0)+IF(DG338&gt;0,DG338+1,0)*2+IF(DG338&gt;12,DG338-12,0)*2+IF(DG338&gt;13,DG338-13,0)*2+IF(DG338&gt;14,DG338-14,0)*2+IF(DG338&gt;15,DG338-15,0)*2+IF(DG338&gt;16,DG338-16,0)*2+IF(DG338&gt;17,DG338-17,0)*2+IF(DG338&gt;18,DG338-18,0)*2+IF(DG338&gt;19,DG338-19,0)*2+IF(DG338&gt;20,DG338-20,0)*2</f>
        <v>154.01436781609189</v>
      </c>
      <c r="DK338" s="335">
        <f>IF(DH338&lt;=0,2,0)+IF(DH338&gt;0,DH338+1,0)*2+IF(DH338&gt;12,DH338-12,0)*2+IF(DH338&gt;13,DH338-13,0)*2+IF(DH338&gt;14,DH338-14,0)*2+IF(DH338&gt;15,DH338-15,0)*2+IF(DH338&gt;16,DH338-16,0)*2+IF(DH338&gt;17,DH338-17,0)*2+IF(DH338&gt;18,DH338-18,0)*2+IF(DH338&gt;19,DH338-19,0)*2+IF(DH338&gt;20,DH338-20,0)*2</f>
        <v>2</v>
      </c>
      <c r="DL338" s="243">
        <f t="shared" si="2988"/>
        <v>152.01436781609189</v>
      </c>
      <c r="DM338" s="218">
        <f>IF((DK338-DJ338)&gt;0,DK338-DJ338,0)</f>
        <v>0</v>
      </c>
      <c r="DN338" s="248"/>
      <c r="DO338" s="303" t="s">
        <v>490</v>
      </c>
      <c r="DP338" s="304" t="s">
        <v>8</v>
      </c>
      <c r="DQ338" s="304" t="s">
        <v>132</v>
      </c>
      <c r="DR338" s="114">
        <f t="shared" ref="DR338" si="3413">Konvention_1slave-MUslave</f>
        <v>12</v>
      </c>
      <c r="DS338" s="113"/>
      <c r="DT338" s="113">
        <f>Konvention_1slave-INslave</f>
        <v>12</v>
      </c>
      <c r="DU338" s="113"/>
      <c r="DV338" s="113"/>
      <c r="DW338" s="113">
        <f>Konvention_1slave-GEslave</f>
        <v>12</v>
      </c>
      <c r="DX338" s="113"/>
      <c r="DY338" s="119"/>
      <c r="DZ338" s="223">
        <f>(DR338+DS338+DT338+DU338+DV338+DW338+DX338+DY338)/3</f>
        <v>12</v>
      </c>
      <c r="EA338" s="223">
        <f>2*DZ338</f>
        <v>24</v>
      </c>
      <c r="EB338" s="224">
        <f>3*DZ338</f>
        <v>36</v>
      </c>
      <c r="EC338" s="237">
        <f t="shared" si="3261"/>
        <v>2304</v>
      </c>
      <c r="ED338" s="113">
        <f>DR338*DT338*GEslave+DR338*INslave*DW338+MUslave*DT338*DW338</f>
        <v>3456</v>
      </c>
      <c r="EE338" s="224">
        <f>IFERROR(DR338^SIGN(DR338),1)*IFERROR(DS338^SIGN(DS338),1)*IFERROR(DT338^SIGN(DT338),1)*IFERROR(DU338^SIGN(DU338),1)*IFERROR(DV338^SIGN(DV338),1)*IFERROR(DW338^SIGN(DW338),1)*IFERROR(DX338^SIGN(DX338),1)*IFERROR(DY338^SIGN(DY338),1)</f>
        <v>1728</v>
      </c>
      <c r="EF338" s="224">
        <f>SUM(EC338:EE338)</f>
        <v>7488</v>
      </c>
      <c r="EG338" s="222">
        <f>DZ338*EC338/EF338</f>
        <v>3.6923076923076925</v>
      </c>
      <c r="EH338" s="223">
        <f>EA338*ED338/EF338</f>
        <v>11.076923076923077</v>
      </c>
      <c r="EI338" s="243">
        <f>EB338*EE338/EF338</f>
        <v>8.3076923076923084</v>
      </c>
      <c r="EJ338" s="243">
        <f>SUM(EG338:EI338)</f>
        <v>23.07692307692308</v>
      </c>
      <c r="EK338" s="252">
        <f t="shared" si="2931"/>
        <v>0</v>
      </c>
      <c r="EL338" s="324">
        <f>EJ338-EK338</f>
        <v>23.07692307692308</v>
      </c>
      <c r="EM338" s="304">
        <f>IF(EJ338&lt;=0,2,0)+IF(EJ338&gt;0,EJ338+1,0)*2+IF(EJ338&gt;12,EJ338-12,0)*2+IF(EJ338&gt;13,EJ338-13,0)*2+IF(EJ338&gt;14,EJ338-14,0)*2+IF(EJ338&gt;15,EJ338-15,0)*2+IF(EJ338&gt;16,EJ338-16,0)*2+IF(EJ338&gt;17,EJ338-17,0)*2+IF(EJ338&gt;18,EJ338-18,0)*2+IF(EJ338&gt;19,EJ338-19,0)*2+IF(EJ338&gt;20,EJ338-20,0)*2</f>
        <v>175.5384615384616</v>
      </c>
      <c r="EN338" s="335">
        <f>IF(EK338&lt;=0,2,0)+IF(EK338&gt;0,EK338+1,0)*2+IF(EK338&gt;12,EK338-12,0)*2+IF(EK338&gt;13,EK338-13,0)*2+IF(EK338&gt;14,EK338-14,0)*2+IF(EK338&gt;15,EK338-15,0)*2+IF(EK338&gt;16,EK338-16,0)*2+IF(EK338&gt;17,EK338-17,0)*2+IF(EK338&gt;18,EK338-18,0)*2+IF(EK338&gt;19,EK338-19,0)*2+IF(EK338&gt;20,EK338-20,0)*2</f>
        <v>2</v>
      </c>
      <c r="EO338" s="243">
        <f t="shared" si="2999"/>
        <v>173.5384615384616</v>
      </c>
      <c r="EP338" s="218">
        <f>IF((EN338-EM338)&gt;0,EN338-EM338,0)</f>
        <v>0</v>
      </c>
      <c r="EQ338" s="248"/>
      <c r="ER338" s="303" t="s">
        <v>490</v>
      </c>
      <c r="ES338" s="304" t="s">
        <v>8</v>
      </c>
      <c r="ET338" s="304" t="s">
        <v>132</v>
      </c>
      <c r="EU338" s="114">
        <f t="shared" ref="EU338" si="3414">Konvention_1slave-MUslave</f>
        <v>12</v>
      </c>
      <c r="EV338" s="113"/>
      <c r="EW338" s="113">
        <f>Konvention_1slave-INslave</f>
        <v>12</v>
      </c>
      <c r="EX338" s="113"/>
      <c r="EY338" s="113"/>
      <c r="EZ338" s="113">
        <f>Konvention_1slave-GEslave</f>
        <v>12</v>
      </c>
      <c r="FA338" s="113"/>
      <c r="FB338" s="119"/>
      <c r="FC338" s="223">
        <f>(EU338+EV338+EW338+EX338+EY338+EZ338+FA338+FB338)/3</f>
        <v>12</v>
      </c>
      <c r="FD338" s="223">
        <f>2*FC338</f>
        <v>24</v>
      </c>
      <c r="FE338" s="224">
        <f>3*FC338</f>
        <v>36</v>
      </c>
      <c r="FF338" s="237">
        <f t="shared" si="3265"/>
        <v>2304</v>
      </c>
      <c r="FG338" s="113">
        <f>EU338*EW338*GEslave+EU338*INslave*EZ338+MUslave*EW338*EZ338</f>
        <v>3456</v>
      </c>
      <c r="FH338" s="224">
        <f>IFERROR(EU338^SIGN(EU338),1)*IFERROR(EV338^SIGN(EV338),1)*IFERROR(EW338^SIGN(EW338),1)*IFERROR(EX338^SIGN(EX338),1)*IFERROR(EY338^SIGN(EY338),1)*IFERROR(EZ338^SIGN(EZ338),1)*IFERROR(FA338^SIGN(FA338),1)*IFERROR(FB338^SIGN(FB338),1)</f>
        <v>1728</v>
      </c>
      <c r="FI338" s="224">
        <f>SUM(FF338:FH338)</f>
        <v>7488</v>
      </c>
      <c r="FJ338" s="222">
        <f>FC338*FF338/FI338</f>
        <v>3.6923076923076925</v>
      </c>
      <c r="FK338" s="223">
        <f>FD338*FG338/FI338</f>
        <v>11.076923076923077</v>
      </c>
      <c r="FL338" s="243">
        <f>FE338*FH338/FI338</f>
        <v>8.3076923076923084</v>
      </c>
      <c r="FM338" s="243">
        <f>SUM(FJ338:FL338)</f>
        <v>23.07692307692308</v>
      </c>
      <c r="FN338" s="252">
        <f t="shared" si="2934"/>
        <v>0</v>
      </c>
      <c r="FO338" s="324">
        <f>FM338-FN338</f>
        <v>23.07692307692308</v>
      </c>
      <c r="FP338" s="304">
        <f>IF(FM338&lt;=0,2,0)+IF(FM338&gt;0,FM338+1,0)*2+IF(FM338&gt;12,FM338-12,0)*2+IF(FM338&gt;13,FM338-13,0)*2+IF(FM338&gt;14,FM338-14,0)*2+IF(FM338&gt;15,FM338-15,0)*2+IF(FM338&gt;16,FM338-16,0)*2+IF(FM338&gt;17,FM338-17,0)*2+IF(FM338&gt;18,FM338-18,0)*2+IF(FM338&gt;19,FM338-19,0)*2+IF(FM338&gt;20,FM338-20,0)*2</f>
        <v>175.5384615384616</v>
      </c>
      <c r="FQ338" s="335">
        <f>IF(FN338&lt;=0,2,0)+IF(FN338&gt;0,FN338+1,0)*2+IF(FN338&gt;12,FN338-12,0)*2+IF(FN338&gt;13,FN338-13,0)*2+IF(FN338&gt;14,FN338-14,0)*2+IF(FN338&gt;15,FN338-15,0)*2+IF(FN338&gt;16,FN338-16,0)*2+IF(FN338&gt;17,FN338-17,0)*2+IF(FN338&gt;18,FN338-18,0)*2+IF(FN338&gt;19,FN338-19,0)*2+IF(FN338&gt;20,FN338-20,0)*2</f>
        <v>2</v>
      </c>
      <c r="FR338" s="243">
        <f t="shared" si="3010"/>
        <v>173.5384615384616</v>
      </c>
      <c r="FS338" s="218">
        <f>IF((FQ338-FP338)&gt;0,FQ338-FP338,0)</f>
        <v>0</v>
      </c>
      <c r="FT338" s="248"/>
      <c r="FU338" s="303" t="s">
        <v>490</v>
      </c>
      <c r="FV338" s="304" t="s">
        <v>8</v>
      </c>
      <c r="FW338" s="304" t="s">
        <v>132</v>
      </c>
      <c r="FX338" s="114">
        <f t="shared" ref="FX338" si="3415">Konvention_1slave-MUslave</f>
        <v>12</v>
      </c>
      <c r="FY338" s="113"/>
      <c r="FZ338" s="113">
        <f>Konvention_1slave-INslave</f>
        <v>12</v>
      </c>
      <c r="GA338" s="113"/>
      <c r="GB338" s="113"/>
      <c r="GC338" s="113">
        <f>Konvention_1slave-GEslave_GE</f>
        <v>11</v>
      </c>
      <c r="GD338" s="113"/>
      <c r="GE338" s="119"/>
      <c r="GF338" s="223">
        <f>(FX338+FY338+FZ338+GA338+GB338+GC338+GD338+GE338)/3</f>
        <v>11.666666666666666</v>
      </c>
      <c r="GG338" s="223">
        <f>2*GF338</f>
        <v>23.333333333333332</v>
      </c>
      <c r="GH338" s="224">
        <f>3*GF338</f>
        <v>35</v>
      </c>
      <c r="GI338" s="237">
        <f t="shared" si="3269"/>
        <v>2432</v>
      </c>
      <c r="GJ338" s="113">
        <f>FX338*FZ338*GEslave_GE+FX338*INslave*GC338+MUslave*FZ338*GC338</f>
        <v>3408</v>
      </c>
      <c r="GK338" s="224">
        <f>IFERROR(FX338^SIGN(FX338),1)*IFERROR(FY338^SIGN(FY338),1)*IFERROR(FZ338^SIGN(FZ338),1)*IFERROR(GA338^SIGN(GA338),1)*IFERROR(GB338^SIGN(GB338),1)*IFERROR(GC338^SIGN(GC338),1)*IFERROR(GD338^SIGN(GD338),1)*IFERROR(GE338^SIGN(GE338),1)</f>
        <v>1584</v>
      </c>
      <c r="GL338" s="224">
        <f>SUM(GI338:GK338)</f>
        <v>7424</v>
      </c>
      <c r="GM338" s="222">
        <f>GF338*GI338/GL338</f>
        <v>3.8218390804597702</v>
      </c>
      <c r="GN338" s="223">
        <f>GG338*GJ338/GL338</f>
        <v>10.711206896551724</v>
      </c>
      <c r="GO338" s="243">
        <f>GH338*GK338/GL338</f>
        <v>7.4676724137931032</v>
      </c>
      <c r="GP338" s="243">
        <f>SUM(GM338:GO338)</f>
        <v>22.000718390804597</v>
      </c>
      <c r="GQ338" s="252">
        <f t="shared" si="2937"/>
        <v>0</v>
      </c>
      <c r="GR338" s="324">
        <f>GP338-GQ338</f>
        <v>22.000718390804597</v>
      </c>
      <c r="GS338" s="304">
        <f>IF(GP338&lt;=0,2,0)+IF(GP338&gt;0,GP338+1,0)*2+IF(GP338&gt;12,GP338-12,0)*2+IF(GP338&gt;13,GP338-13,0)*2+IF(GP338&gt;14,GP338-14,0)*2+IF(GP338&gt;15,GP338-15,0)*2+IF(GP338&gt;16,GP338-16,0)*2+IF(GP338&gt;17,GP338-17,0)*2+IF(GP338&gt;18,GP338-18,0)*2+IF(GP338&gt;19,GP338-19,0)*2+IF(GP338&gt;20,GP338-20,0)*2</f>
        <v>154.01436781609189</v>
      </c>
      <c r="GT338" s="335">
        <f>IF(GQ338&lt;=0,2,0)+IF(GQ338&gt;0,GQ338+1,0)*2+IF(GQ338&gt;12,GQ338-12,0)*2+IF(GQ338&gt;13,GQ338-13,0)*2+IF(GQ338&gt;14,GQ338-14,0)*2+IF(GQ338&gt;15,GQ338-15,0)*2+IF(GQ338&gt;16,GQ338-16,0)*2+IF(GQ338&gt;17,GQ338-17,0)*2+IF(GQ338&gt;18,GQ338-18,0)*2+IF(GQ338&gt;19,GQ338-19,0)*2+IF(GQ338&gt;20,GQ338-20,0)*2</f>
        <v>2</v>
      </c>
      <c r="GU338" s="243">
        <f t="shared" si="3021"/>
        <v>152.01436781609189</v>
      </c>
      <c r="GV338" s="218">
        <f>IF((GT338-GS338)&gt;0,GT338-GS338,0)</f>
        <v>0</v>
      </c>
      <c r="GW338" s="248"/>
      <c r="GX338" s="303" t="s">
        <v>490</v>
      </c>
      <c r="GY338" s="304" t="s">
        <v>8</v>
      </c>
      <c r="GZ338" s="304" t="s">
        <v>132</v>
      </c>
      <c r="HA338" s="114">
        <f t="shared" ref="HA338" si="3416">Konvention_1slave-MUslave</f>
        <v>12</v>
      </c>
      <c r="HB338" s="113"/>
      <c r="HC338" s="113">
        <f>Konvention_1slave-INslave</f>
        <v>12</v>
      </c>
      <c r="HD338" s="113"/>
      <c r="HE338" s="113"/>
      <c r="HF338" s="113">
        <f>Konvention_1slave-GEslave</f>
        <v>12</v>
      </c>
      <c r="HG338" s="113"/>
      <c r="HH338" s="119"/>
      <c r="HI338" s="223">
        <f>(HA338+HB338+HC338+HD338+HE338+HF338+HG338+HH338)/3</f>
        <v>12</v>
      </c>
      <c r="HJ338" s="223">
        <f>2*HI338</f>
        <v>24</v>
      </c>
      <c r="HK338" s="224">
        <f>3*HI338</f>
        <v>36</v>
      </c>
      <c r="HL338" s="237">
        <f t="shared" si="3273"/>
        <v>2304</v>
      </c>
      <c r="HM338" s="113">
        <f>HA338*HC338*GEslave+HA338*INslave*HF338+MUslave*HC338*HF338</f>
        <v>3456</v>
      </c>
      <c r="HN338" s="224">
        <f>IFERROR(HA338^SIGN(HA338),1)*IFERROR(HB338^SIGN(HB338),1)*IFERROR(HC338^SIGN(HC338),1)*IFERROR(HD338^SIGN(HD338),1)*IFERROR(HE338^SIGN(HE338),1)*IFERROR(HF338^SIGN(HF338),1)*IFERROR(HG338^SIGN(HG338),1)*IFERROR(HH338^SIGN(HH338),1)</f>
        <v>1728</v>
      </c>
      <c r="HO338" s="224">
        <f>SUM(HL338:HN338)</f>
        <v>7488</v>
      </c>
      <c r="HP338" s="222">
        <f>HI338*HL338/HO338</f>
        <v>3.6923076923076925</v>
      </c>
      <c r="HQ338" s="223">
        <f>HJ338*HM338/HO338</f>
        <v>11.076923076923077</v>
      </c>
      <c r="HR338" s="243">
        <f>HK338*HN338/HO338</f>
        <v>8.3076923076923084</v>
      </c>
      <c r="HS338" s="243">
        <f>SUM(HP338:HR338)</f>
        <v>23.07692307692308</v>
      </c>
      <c r="HT338" s="252">
        <f t="shared" si="2940"/>
        <v>0</v>
      </c>
      <c r="HU338" s="324">
        <f>HS338-HT338</f>
        <v>23.07692307692308</v>
      </c>
      <c r="HV338" s="304">
        <f>IF(HS338&lt;=0,2,0)+IF(HS338&gt;0,HS338+1,0)*2+IF(HS338&gt;12,HS338-12,0)*2+IF(HS338&gt;13,HS338-13,0)*2+IF(HS338&gt;14,HS338-14,0)*2+IF(HS338&gt;15,HS338-15,0)*2+IF(HS338&gt;16,HS338-16,0)*2+IF(HS338&gt;17,HS338-17,0)*2+IF(HS338&gt;18,HS338-18,0)*2+IF(HS338&gt;19,HS338-19,0)*2+IF(HS338&gt;20,HS338-20,0)*2</f>
        <v>175.5384615384616</v>
      </c>
      <c r="HW338" s="335">
        <f>IF(HT338&lt;=0,2,0)+IF(HT338&gt;0,HT338+1,0)*2+IF(HT338&gt;12,HT338-12,0)*2+IF(HT338&gt;13,HT338-13,0)*2+IF(HT338&gt;14,HT338-14,0)*2+IF(HT338&gt;15,HT338-15,0)*2+IF(HT338&gt;16,HT338-16,0)*2+IF(HT338&gt;17,HT338-17,0)*2+IF(HT338&gt;18,HT338-18,0)*2+IF(HT338&gt;19,HT338-19,0)*2+IF(HT338&gt;20,HT338-20,0)*2</f>
        <v>2</v>
      </c>
      <c r="HX338" s="243">
        <f t="shared" si="3032"/>
        <v>173.5384615384616</v>
      </c>
      <c r="HY338" s="218">
        <f>IF((HW338-HV338)&gt;0,HW338-HV338,0)</f>
        <v>0</v>
      </c>
      <c r="HZ338" s="248"/>
      <c r="IA338" s="303" t="s">
        <v>490</v>
      </c>
      <c r="IB338" s="304" t="s">
        <v>8</v>
      </c>
      <c r="IC338" s="304" t="s">
        <v>132</v>
      </c>
      <c r="ID338" s="114">
        <f t="shared" ref="ID338" si="3417">Konvention_1slave-MUslave</f>
        <v>12</v>
      </c>
      <c r="IE338" s="113"/>
      <c r="IF338" s="113">
        <f>Konvention_1slave-INslave</f>
        <v>12</v>
      </c>
      <c r="IG338" s="113"/>
      <c r="IH338" s="113"/>
      <c r="II338" s="113">
        <f>Konvention_1slave-GEslave</f>
        <v>12</v>
      </c>
      <c r="IJ338" s="113"/>
      <c r="IK338" s="119"/>
      <c r="IL338" s="223">
        <f>(ID338+IE338+IF338+IG338+IH338+II338+IJ338+IK338)/3</f>
        <v>12</v>
      </c>
      <c r="IM338" s="223">
        <f>2*IL338</f>
        <v>24</v>
      </c>
      <c r="IN338" s="224">
        <f>3*IL338</f>
        <v>36</v>
      </c>
      <c r="IO338" s="237">
        <f t="shared" si="3277"/>
        <v>2304</v>
      </c>
      <c r="IP338" s="113">
        <f>ID338*IF338*GEslave+ID338*INslave*II338+MUslave*IF338*II338</f>
        <v>3456</v>
      </c>
      <c r="IQ338" s="224">
        <f>IFERROR(ID338^SIGN(ID338),1)*IFERROR(IE338^SIGN(IE338),1)*IFERROR(IF338^SIGN(IF338),1)*IFERROR(IG338^SIGN(IG338),1)*IFERROR(IH338^SIGN(IH338),1)*IFERROR(II338^SIGN(II338),1)*IFERROR(IJ338^SIGN(IJ338),1)*IFERROR(IK338^SIGN(IK338),1)</f>
        <v>1728</v>
      </c>
      <c r="IR338" s="224">
        <f>SUM(IO338:IQ338)</f>
        <v>7488</v>
      </c>
      <c r="IS338" s="222">
        <f>IL338*IO338/IR338</f>
        <v>3.6923076923076925</v>
      </c>
      <c r="IT338" s="223">
        <f>IM338*IP338/IR338</f>
        <v>11.076923076923077</v>
      </c>
      <c r="IU338" s="243">
        <f>IN338*IQ338/IR338</f>
        <v>8.3076923076923084</v>
      </c>
      <c r="IV338" s="243">
        <f>SUM(IS338:IU338)</f>
        <v>23.07692307692308</v>
      </c>
      <c r="IW338" s="252">
        <f t="shared" si="2943"/>
        <v>0</v>
      </c>
      <c r="IX338" s="324">
        <f>IV338-IW338</f>
        <v>23.07692307692308</v>
      </c>
      <c r="IY338" s="304">
        <f>IF(IV338&lt;=0,2,0)+IF(IV338&gt;0,IV338+1,0)*2+IF(IV338&gt;12,IV338-12,0)*2+IF(IV338&gt;13,IV338-13,0)*2+IF(IV338&gt;14,IV338-14,0)*2+IF(IV338&gt;15,IV338-15,0)*2+IF(IV338&gt;16,IV338-16,0)*2+IF(IV338&gt;17,IV338-17,0)*2+IF(IV338&gt;18,IV338-18,0)*2+IF(IV338&gt;19,IV338-19,0)*2+IF(IV338&gt;20,IV338-20,0)*2</f>
        <v>175.5384615384616</v>
      </c>
      <c r="IZ338" s="335">
        <f>IF(IW338&lt;=0,2,0)+IF(IW338&gt;0,IW338+1,0)*2+IF(IW338&gt;12,IW338-12,0)*2+IF(IW338&gt;13,IW338-13,0)*2+IF(IW338&gt;14,IW338-14,0)*2+IF(IW338&gt;15,IW338-15,0)*2+IF(IW338&gt;16,IW338-16,0)*2+IF(IW338&gt;17,IW338-17,0)*2+IF(IW338&gt;18,IW338-18,0)*2+IF(IW338&gt;19,IW338-19,0)*2+IF(IW338&gt;20,IW338-20,0)*2</f>
        <v>2</v>
      </c>
      <c r="JA338" s="243">
        <f t="shared" si="3043"/>
        <v>173.5384615384616</v>
      </c>
      <c r="JB338" s="218">
        <f>IF((IZ338-IY338)&gt;0,IZ338-IY338,0)</f>
        <v>0</v>
      </c>
      <c r="JE338" s="148"/>
    </row>
    <row r="339" spans="1:265" hidden="1" outlineLevel="2">
      <c r="A339" s="185"/>
      <c r="B339" s="217">
        <v>17</v>
      </c>
      <c r="C339" s="303" t="e">
        <f>VLOOKUP(AF339,Attribute!C:T,1,FALSE)</f>
        <v>#N/A</v>
      </c>
      <c r="D339" s="304" t="s">
        <v>88</v>
      </c>
      <c r="E339" s="304" t="s">
        <v>135</v>
      </c>
      <c r="F339" s="120"/>
      <c r="G339" s="117"/>
      <c r="H339" s="117">
        <f t="shared" ref="H339" si="3418">Konvention_1master-INmaster</f>
        <v>12</v>
      </c>
      <c r="I339" s="117">
        <f t="shared" ref="I339" si="3419">Konvention_1master-CHmaster</f>
        <v>12</v>
      </c>
      <c r="J339" s="117"/>
      <c r="K339" s="117">
        <f>Konvention_1master-GEmaster</f>
        <v>12</v>
      </c>
      <c r="L339" s="117"/>
      <c r="M339" s="121"/>
      <c r="N339" s="223">
        <f t="shared" ref="N339" si="3420">(F339+G339+H339+I339+J339+K339+L339+M339)/3</f>
        <v>12</v>
      </c>
      <c r="O339" s="223">
        <f t="shared" ref="O339" si="3421">2*N339</f>
        <v>24</v>
      </c>
      <c r="P339" s="224">
        <f t="shared" ref="P339" si="3422">3*N339</f>
        <v>36</v>
      </c>
      <c r="Q339" s="237">
        <f t="shared" ref="Q339" si="3423">F339*POWER(KLmaster,SIGN(G339))*POWER(INmaster,SIGN(H339))*POWER(CHmaster,SIGN(I339))*POWER(FFmaster,SIGN(J339))*POWER(GEmaster,SIGN(K339))*POWER(KOmaster,SIGN(L339))*POWER(KKmaster,SIGN(M339))+G339*POWER(MUmaster,SIGN(F339))*POWER(INmaster,SIGN(H339))*POWER(CHmaster,SIGN(I339))*POWER(FFmaster,SIGN(J339))*POWER(GEmaster,SIGN(K339))*POWER(KOmaster,SIGN(L339))*POWER(KKmaster,SIGN(M339))+H339*POWER(MUmaster,SIGN(F339))*POWER(KLmaster,SIGN(G339))*POWER(CHmaster,SIGN(I339))*POWER(FFmaster,SIGN(J339))*POWER(GEmaster,SIGN(K339))*POWER(KOmaster,SIGN(L339))*POWER(KKmaster,SIGN(M339))+I339*POWER(MUmaster,SIGN(F339))*POWER(KLmaster,SIGN(G339))*POWER(INmaster,SIGN(H339))*POWER(FFmaster,SIGN(J339))*POWER(GEmaster,SIGN(K339))*POWER(KOmaster,SIGN(L339))*POWER(KKmaster,SIGN(M339))+J339*POWER(MUmaster,SIGN(F339))*POWER(KLmaster,SIGN(G339))*POWER(INmaster,SIGN(H339))*POWER(CHmaster,SIGN(I339))*POWER(GEmaster,SIGN(K339))*POWER(KOmaster,SIGN(L339))*POWER(KKmaster,SIGN(M339))+K339*POWER(MUmaster,SIGN(F339))*POWER(KLmaster,SIGN(G339))*POWER(INmaster,SIGN(H339))*POWER(CHmaster,SIGN(I339))*POWER(FFmaster,SIGN(J339))*POWER(KOmaster,SIGN(L339))*POWER(KKmaster,SIGN(M339))+L339*POWER(MUmaster,SIGN(F339))*POWER(KLmaster,SIGN(G339))*POWER(INmaster,SIGN(H339))*POWER(CHmaster,SIGN(I339))*POWER(FFmaster,SIGN(J339))*POWER(GEmaster,SIGN(K339))*POWER(KKmaster,SIGN(M339))+M339*POWER(MUmaster,SIGN(F339))*POWER(KLmaster,SIGN(G339))*POWER(INmaster,SIGN(H339))*POWER(CHmaster,SIGN(I339))*POWER(FFmaster,SIGN(J339))*POWER(GEmaster,SIGN(K339))*POWER(KOmaster,SIGN(L339))</f>
        <v>2304</v>
      </c>
      <c r="R339" s="117">
        <f>H339*I339*GEmaster+H339*CHmaster*K339+INmaster*I339*K339</f>
        <v>3456</v>
      </c>
      <c r="S339" s="224">
        <f t="shared" ref="S339" si="3424">IFERROR(F339^SIGN(F339),1)*IFERROR(G339^SIGN(G339),1)*IFERROR(H339^SIGN(H339),1)*IFERROR(I339^SIGN(I339),1)*IFERROR(J339^SIGN(J339),1)*IFERROR(K339^SIGN(K339),1)*IFERROR(L339^SIGN(L339),1)*IFERROR(M339^SIGN(M339),1)</f>
        <v>1728</v>
      </c>
      <c r="T339" s="224">
        <f t="shared" ref="T339" si="3425">SUM(Q339:S339)</f>
        <v>7488</v>
      </c>
      <c r="U339" s="222">
        <f t="shared" ref="U339" si="3426">N339*Q339/T339</f>
        <v>3.6923076923076925</v>
      </c>
      <c r="V339" s="223">
        <f t="shared" ref="V339" si="3427">O339*R339/T339</f>
        <v>11.076923076923077</v>
      </c>
      <c r="W339" s="243">
        <f t="shared" ref="W339" si="3428">P339*S339/T339</f>
        <v>8.3076923076923084</v>
      </c>
      <c r="X339" s="243">
        <f t="shared" ref="X339" si="3429">SUM(U339:W339)</f>
        <v>23.07692307692308</v>
      </c>
      <c r="Y339" s="252">
        <v>0</v>
      </c>
      <c r="Z339" s="324">
        <f t="shared" ref="Z339" si="3430">X339-Y339</f>
        <v>23.07692307692308</v>
      </c>
      <c r="AA339" s="304">
        <f t="shared" ref="AA339:AA340" si="3431">IF(X339&lt;=0,3,0)+IF(X339&gt;0,X339+1,0)*3+IF(X339&gt;12,X339-12,0)*3+IF(X339&gt;13,X339-13,0)*3+IF(X339&gt;14,X339-14,0)*3+IF(X339&gt;15,X339-15,0)*3+IF(X339&gt;16,X339-16,0)*3+IF(X339&gt;17,X339-17,0)*3+IF(X339&gt;18,X339-18,0)*3+IF(X339&gt;19,X339-19,0)*3+IF(X339&gt;20,X339-20,0)*3</f>
        <v>263.30769230769232</v>
      </c>
      <c r="AB339" s="335">
        <f t="shared" ref="AB339:AB340" si="3432">IF(Y339&lt;=0,3,0)+IF(Y339&gt;0,Y339+1,0)*3+IF(Y339&gt;12,Y339-12,0)*3+IF(Y339&gt;13,Y339-13,0)*3+IF(Y339&gt;14,Y339-14,0)*3+IF(Y339&gt;15,Y339-15,0)*3+IF(Y339&gt;16,Y339-16,0)*3+IF(Y339&gt;17,Y339-17,0)*3+IF(Y339&gt;18,Y339-18,0)*3+IF(Y339&gt;19,Y339-19,0)*3+IF(Y339&gt;20,Y339-20,0)*3</f>
        <v>3</v>
      </c>
      <c r="AC339" s="243">
        <f t="shared" si="2955"/>
        <v>260.30769230769232</v>
      </c>
      <c r="AD339" s="218">
        <f t="shared" ref="AD339" si="3433">IF((AB339-AA339)&gt;0,AB339-AA339,0)</f>
        <v>0</v>
      </c>
      <c r="AE339" s="140"/>
      <c r="AF339" s="303" t="s">
        <v>491</v>
      </c>
      <c r="AG339" s="304" t="s">
        <v>88</v>
      </c>
      <c r="AH339" s="304" t="s">
        <v>135</v>
      </c>
      <c r="AI339" s="120"/>
      <c r="AJ339" s="117"/>
      <c r="AK339" s="117">
        <f t="shared" ref="AK339" si="3434">Konvention_1slave-INslave</f>
        <v>12</v>
      </c>
      <c r="AL339" s="117">
        <f t="shared" ref="AL339" si="3435">Konvention_1slave-CHslave</f>
        <v>12</v>
      </c>
      <c r="AM339" s="117"/>
      <c r="AN339" s="117">
        <f>Konvention_1slave-GEslave</f>
        <v>12</v>
      </c>
      <c r="AO339" s="117"/>
      <c r="AP339" s="121"/>
      <c r="AQ339" s="223">
        <f t="shared" ref="AQ339" si="3436">(AI339+AJ339+AK339+AL339+AM339+AN339+AO339+AP339)/3</f>
        <v>12</v>
      </c>
      <c r="AR339" s="223">
        <f t="shared" ref="AR339" si="3437">2*AQ339</f>
        <v>24</v>
      </c>
      <c r="AS339" s="224">
        <f t="shared" ref="AS339" si="3438">3*AQ339</f>
        <v>36</v>
      </c>
      <c r="AT339" s="237">
        <f t="shared" si="3249"/>
        <v>2304</v>
      </c>
      <c r="AU339" s="117">
        <f>AK339*AL339*GEslave+AK339*CHslave*AN339+INslave*AL339*AN339</f>
        <v>3456</v>
      </c>
      <c r="AV339" s="224">
        <f t="shared" ref="AV339" si="3439">IFERROR(AI339^SIGN(AI339),1)*IFERROR(AJ339^SIGN(AJ339),1)*IFERROR(AK339^SIGN(AK339),1)*IFERROR(AL339^SIGN(AL339),1)*IFERROR(AM339^SIGN(AM339),1)*IFERROR(AN339^SIGN(AN339),1)*IFERROR(AO339^SIGN(AO339),1)*IFERROR(AP339^SIGN(AP339),1)</f>
        <v>1728</v>
      </c>
      <c r="AW339" s="224">
        <f t="shared" ref="AW339" si="3440">SUM(AT339:AV339)</f>
        <v>7488</v>
      </c>
      <c r="AX339" s="222">
        <f t="shared" ref="AX339" si="3441">AQ339*AT339/AW339</f>
        <v>3.6923076923076925</v>
      </c>
      <c r="AY339" s="223">
        <f t="shared" ref="AY339" si="3442">AR339*AU339/AW339</f>
        <v>11.076923076923077</v>
      </c>
      <c r="AZ339" s="243">
        <f t="shared" ref="AZ339" si="3443">AS339*AV339/AW339</f>
        <v>8.3076923076923084</v>
      </c>
      <c r="BA339" s="243">
        <f t="shared" ref="BA339" si="3444">SUM(AX339:AZ339)</f>
        <v>23.07692307692308</v>
      </c>
      <c r="BB339" s="252">
        <f t="shared" si="2034"/>
        <v>0</v>
      </c>
      <c r="BC339" s="324">
        <f t="shared" ref="BC339" si="3445">BA339-BB339</f>
        <v>23.07692307692308</v>
      </c>
      <c r="BD339" s="304">
        <f t="shared" ref="BD339:BE340" si="3446">IF(BA339&lt;=0,3,0)+IF(BA339&gt;0,BA339+1,0)*3+IF(BA339&gt;12,BA339-12,0)*3+IF(BA339&gt;13,BA339-13,0)*3+IF(BA339&gt;14,BA339-14,0)*3+IF(BA339&gt;15,BA339-15,0)*3+IF(BA339&gt;16,BA339-16,0)*3+IF(BA339&gt;17,BA339-17,0)*3+IF(BA339&gt;18,BA339-18,0)*3+IF(BA339&gt;19,BA339-19,0)*3+IF(BA339&gt;20,BA339-20,0)*3</f>
        <v>263.30769230769232</v>
      </c>
      <c r="BE339" s="335">
        <f t="shared" si="3446"/>
        <v>3</v>
      </c>
      <c r="BF339" s="243">
        <f t="shared" si="2966"/>
        <v>260.30769230769232</v>
      </c>
      <c r="BG339" s="218">
        <f t="shared" ref="BG339" si="3447">IF((BE339-BD339)&gt;0,BE339-BD339,0)</f>
        <v>0</v>
      </c>
      <c r="BH339" s="248"/>
      <c r="BI339" s="303" t="s">
        <v>491</v>
      </c>
      <c r="BJ339" s="304" t="s">
        <v>88</v>
      </c>
      <c r="BK339" s="304" t="s">
        <v>135</v>
      </c>
      <c r="BL339" s="120"/>
      <c r="BM339" s="117"/>
      <c r="BN339" s="117">
        <f t="shared" ref="BN339" si="3448">Konvention_1slave-INslave</f>
        <v>12</v>
      </c>
      <c r="BO339" s="117">
        <f t="shared" ref="BO339" si="3449">Konvention_1slave-CHslave</f>
        <v>12</v>
      </c>
      <c r="BP339" s="117"/>
      <c r="BQ339" s="117">
        <f>Konvention_1slave-GEslave</f>
        <v>12</v>
      </c>
      <c r="BR339" s="117"/>
      <c r="BS339" s="121"/>
      <c r="BT339" s="223">
        <f t="shared" ref="BT339" si="3450">(BL339+BM339+BN339+BO339+BP339+BQ339+BR339+BS339)/3</f>
        <v>12</v>
      </c>
      <c r="BU339" s="223">
        <f t="shared" ref="BU339" si="3451">2*BT339</f>
        <v>24</v>
      </c>
      <c r="BV339" s="224">
        <f t="shared" ref="BV339" si="3452">3*BT339</f>
        <v>36</v>
      </c>
      <c r="BW339" s="237">
        <f t="shared" si="3253"/>
        <v>2304</v>
      </c>
      <c r="BX339" s="117">
        <f>BN339*BO339*GEslave+BN339*CHslave*BQ339+INslave*BO339*BQ339</f>
        <v>3456</v>
      </c>
      <c r="BY339" s="224">
        <f t="shared" ref="BY339" si="3453">IFERROR(BL339^SIGN(BL339),1)*IFERROR(BM339^SIGN(BM339),1)*IFERROR(BN339^SIGN(BN339),1)*IFERROR(BO339^SIGN(BO339),1)*IFERROR(BP339^SIGN(BP339),1)*IFERROR(BQ339^SIGN(BQ339),1)*IFERROR(BR339^SIGN(BR339),1)*IFERROR(BS339^SIGN(BS339),1)</f>
        <v>1728</v>
      </c>
      <c r="BZ339" s="224">
        <f t="shared" ref="BZ339" si="3454">SUM(BW339:BY339)</f>
        <v>7488</v>
      </c>
      <c r="CA339" s="222">
        <f t="shared" ref="CA339" si="3455">BT339*BW339/BZ339</f>
        <v>3.6923076923076925</v>
      </c>
      <c r="CB339" s="223">
        <f t="shared" ref="CB339" si="3456">BU339*BX339/BZ339</f>
        <v>11.076923076923077</v>
      </c>
      <c r="CC339" s="243">
        <f t="shared" ref="CC339" si="3457">BV339*BY339/BZ339</f>
        <v>8.3076923076923084</v>
      </c>
      <c r="CD339" s="243">
        <f t="shared" ref="CD339" si="3458">SUM(CA339:CC339)</f>
        <v>23.07692307692308</v>
      </c>
      <c r="CE339" s="252">
        <f t="shared" si="2925"/>
        <v>0</v>
      </c>
      <c r="CF339" s="324">
        <f t="shared" ref="CF339" si="3459">CD339-CE339</f>
        <v>23.07692307692308</v>
      </c>
      <c r="CG339" s="304">
        <f t="shared" ref="CG339:CH340" si="3460">IF(CD339&lt;=0,3,0)+IF(CD339&gt;0,CD339+1,0)*3+IF(CD339&gt;12,CD339-12,0)*3+IF(CD339&gt;13,CD339-13,0)*3+IF(CD339&gt;14,CD339-14,0)*3+IF(CD339&gt;15,CD339-15,0)*3+IF(CD339&gt;16,CD339-16,0)*3+IF(CD339&gt;17,CD339-17,0)*3+IF(CD339&gt;18,CD339-18,0)*3+IF(CD339&gt;19,CD339-19,0)*3+IF(CD339&gt;20,CD339-20,0)*3</f>
        <v>263.30769230769232</v>
      </c>
      <c r="CH339" s="335">
        <f t="shared" si="3460"/>
        <v>3</v>
      </c>
      <c r="CI339" s="243">
        <f t="shared" si="2977"/>
        <v>260.30769230769232</v>
      </c>
      <c r="CJ339" s="218">
        <f t="shared" ref="CJ339" si="3461">IF((CH339-CG339)&gt;0,CH339-CG339,0)</f>
        <v>0</v>
      </c>
      <c r="CK339" s="248"/>
      <c r="CL339" s="303" t="s">
        <v>491</v>
      </c>
      <c r="CM339" s="304" t="s">
        <v>88</v>
      </c>
      <c r="CN339" s="304" t="s">
        <v>135</v>
      </c>
      <c r="CO339" s="120"/>
      <c r="CP339" s="117"/>
      <c r="CQ339" s="117">
        <f t="shared" ref="CQ339" si="3462">Konvention_1slave-INslave_IN</f>
        <v>11</v>
      </c>
      <c r="CR339" s="117">
        <f t="shared" ref="CR339" si="3463">Konvention_1slave-CHslave</f>
        <v>12</v>
      </c>
      <c r="CS339" s="117"/>
      <c r="CT339" s="117">
        <f>Konvention_1slave-GEslave</f>
        <v>12</v>
      </c>
      <c r="CU339" s="117"/>
      <c r="CV339" s="121"/>
      <c r="CW339" s="223">
        <f t="shared" ref="CW339" si="3464">(CO339+CP339+CQ339+CR339+CS339+CT339+CU339+CV339)/3</f>
        <v>11.666666666666666</v>
      </c>
      <c r="CX339" s="223">
        <f t="shared" ref="CX339" si="3465">2*CW339</f>
        <v>23.333333333333332</v>
      </c>
      <c r="CY339" s="224">
        <f t="shared" ref="CY339" si="3466">3*CW339</f>
        <v>35</v>
      </c>
      <c r="CZ339" s="237">
        <f t="shared" si="3257"/>
        <v>2432</v>
      </c>
      <c r="DA339" s="117">
        <f>CQ339*CR339*GEslave+CQ339*CHslave*CT339+INslave_IN*CR339*CT339</f>
        <v>3408</v>
      </c>
      <c r="DB339" s="224">
        <f t="shared" ref="DB339" si="3467">IFERROR(CO339^SIGN(CO339),1)*IFERROR(CP339^SIGN(CP339),1)*IFERROR(CQ339^SIGN(CQ339),1)*IFERROR(CR339^SIGN(CR339),1)*IFERROR(CS339^SIGN(CS339),1)*IFERROR(CT339^SIGN(CT339),1)*IFERROR(CU339^SIGN(CU339),1)*IFERROR(CV339^SIGN(CV339),1)</f>
        <v>1584</v>
      </c>
      <c r="DC339" s="224">
        <f t="shared" ref="DC339" si="3468">SUM(CZ339:DB339)</f>
        <v>7424</v>
      </c>
      <c r="DD339" s="222">
        <f t="shared" ref="DD339" si="3469">CW339*CZ339/DC339</f>
        <v>3.8218390804597702</v>
      </c>
      <c r="DE339" s="223">
        <f t="shared" ref="DE339" si="3470">CX339*DA339/DC339</f>
        <v>10.711206896551724</v>
      </c>
      <c r="DF339" s="243">
        <f t="shared" ref="DF339" si="3471">CY339*DB339/DC339</f>
        <v>7.4676724137931032</v>
      </c>
      <c r="DG339" s="243">
        <f t="shared" ref="DG339" si="3472">SUM(DD339:DF339)</f>
        <v>22.000718390804597</v>
      </c>
      <c r="DH339" s="252">
        <f t="shared" si="2928"/>
        <v>0</v>
      </c>
      <c r="DI339" s="324">
        <f t="shared" ref="DI339" si="3473">DG339-DH339</f>
        <v>22.000718390804597</v>
      </c>
      <c r="DJ339" s="304">
        <f t="shared" ref="DJ339:DK340" si="3474">IF(DG339&lt;=0,3,0)+IF(DG339&gt;0,DG339+1,0)*3+IF(DG339&gt;12,DG339-12,0)*3+IF(DG339&gt;13,DG339-13,0)*3+IF(DG339&gt;14,DG339-14,0)*3+IF(DG339&gt;15,DG339-15,0)*3+IF(DG339&gt;16,DG339-16,0)*3+IF(DG339&gt;17,DG339-17,0)*3+IF(DG339&gt;18,DG339-18,0)*3+IF(DG339&gt;19,DG339-19,0)*3+IF(DG339&gt;20,DG339-20,0)*3</f>
        <v>231.02155172413785</v>
      </c>
      <c r="DK339" s="335">
        <f t="shared" si="3474"/>
        <v>3</v>
      </c>
      <c r="DL339" s="243">
        <f t="shared" si="2988"/>
        <v>228.02155172413785</v>
      </c>
      <c r="DM339" s="218">
        <f t="shared" ref="DM339" si="3475">IF((DK339-DJ339)&gt;0,DK339-DJ339,0)</f>
        <v>0</v>
      </c>
      <c r="DN339" s="248"/>
      <c r="DO339" s="303" t="s">
        <v>491</v>
      </c>
      <c r="DP339" s="304" t="s">
        <v>88</v>
      </c>
      <c r="DQ339" s="304" t="s">
        <v>135</v>
      </c>
      <c r="DR339" s="120"/>
      <c r="DS339" s="117"/>
      <c r="DT339" s="117">
        <f t="shared" ref="DT339" si="3476">Konvention_1slave-INslave</f>
        <v>12</v>
      </c>
      <c r="DU339" s="117">
        <f t="shared" ref="DU339" si="3477">Konvention_1slave-CHslave_CH</f>
        <v>11</v>
      </c>
      <c r="DV339" s="117"/>
      <c r="DW339" s="117">
        <f>Konvention_1slave-GEslave</f>
        <v>12</v>
      </c>
      <c r="DX339" s="117"/>
      <c r="DY339" s="121"/>
      <c r="DZ339" s="223">
        <f t="shared" ref="DZ339" si="3478">(DR339+DS339+DT339+DU339+DV339+DW339+DX339+DY339)/3</f>
        <v>11.666666666666666</v>
      </c>
      <c r="EA339" s="223">
        <f t="shared" ref="EA339" si="3479">2*DZ339</f>
        <v>23.333333333333332</v>
      </c>
      <c r="EB339" s="224">
        <f t="shared" ref="EB339" si="3480">3*DZ339</f>
        <v>35</v>
      </c>
      <c r="EC339" s="237">
        <f t="shared" si="3261"/>
        <v>2432</v>
      </c>
      <c r="ED339" s="117">
        <f>DT339*DU339*GEslave+DT339*CHslave_CH*DW339+INslave*DU339*DW339</f>
        <v>3408</v>
      </c>
      <c r="EE339" s="224">
        <f t="shared" ref="EE339" si="3481">IFERROR(DR339^SIGN(DR339),1)*IFERROR(DS339^SIGN(DS339),1)*IFERROR(DT339^SIGN(DT339),1)*IFERROR(DU339^SIGN(DU339),1)*IFERROR(DV339^SIGN(DV339),1)*IFERROR(DW339^SIGN(DW339),1)*IFERROR(DX339^SIGN(DX339),1)*IFERROR(DY339^SIGN(DY339),1)</f>
        <v>1584</v>
      </c>
      <c r="EF339" s="224">
        <f t="shared" ref="EF339" si="3482">SUM(EC339:EE339)</f>
        <v>7424</v>
      </c>
      <c r="EG339" s="222">
        <f t="shared" ref="EG339" si="3483">DZ339*EC339/EF339</f>
        <v>3.8218390804597702</v>
      </c>
      <c r="EH339" s="223">
        <f t="shared" ref="EH339" si="3484">EA339*ED339/EF339</f>
        <v>10.711206896551724</v>
      </c>
      <c r="EI339" s="243">
        <f t="shared" ref="EI339" si="3485">EB339*EE339/EF339</f>
        <v>7.4676724137931032</v>
      </c>
      <c r="EJ339" s="243">
        <f t="shared" ref="EJ339" si="3486">SUM(EG339:EI339)</f>
        <v>22.000718390804597</v>
      </c>
      <c r="EK339" s="252">
        <f t="shared" si="2931"/>
        <v>0</v>
      </c>
      <c r="EL339" s="324">
        <f t="shared" ref="EL339" si="3487">EJ339-EK339</f>
        <v>22.000718390804597</v>
      </c>
      <c r="EM339" s="304">
        <f t="shared" ref="EM339:EN340" si="3488">IF(EJ339&lt;=0,3,0)+IF(EJ339&gt;0,EJ339+1,0)*3+IF(EJ339&gt;12,EJ339-12,0)*3+IF(EJ339&gt;13,EJ339-13,0)*3+IF(EJ339&gt;14,EJ339-14,0)*3+IF(EJ339&gt;15,EJ339-15,0)*3+IF(EJ339&gt;16,EJ339-16,0)*3+IF(EJ339&gt;17,EJ339-17,0)*3+IF(EJ339&gt;18,EJ339-18,0)*3+IF(EJ339&gt;19,EJ339-19,0)*3+IF(EJ339&gt;20,EJ339-20,0)*3</f>
        <v>231.02155172413785</v>
      </c>
      <c r="EN339" s="335">
        <f t="shared" si="3488"/>
        <v>3</v>
      </c>
      <c r="EO339" s="243">
        <f t="shared" si="2999"/>
        <v>228.02155172413785</v>
      </c>
      <c r="EP339" s="218">
        <f t="shared" ref="EP339" si="3489">IF((EN339-EM339)&gt;0,EN339-EM339,0)</f>
        <v>0</v>
      </c>
      <c r="EQ339" s="248"/>
      <c r="ER339" s="303" t="s">
        <v>491</v>
      </c>
      <c r="ES339" s="304" t="s">
        <v>88</v>
      </c>
      <c r="ET339" s="304" t="s">
        <v>135</v>
      </c>
      <c r="EU339" s="120"/>
      <c r="EV339" s="117"/>
      <c r="EW339" s="117">
        <f t="shared" ref="EW339" si="3490">Konvention_1slave-INslave</f>
        <v>12</v>
      </c>
      <c r="EX339" s="117">
        <f t="shared" ref="EX339" si="3491">Konvention_1slave-CHslave</f>
        <v>12</v>
      </c>
      <c r="EY339" s="117"/>
      <c r="EZ339" s="117">
        <f>Konvention_1slave-GEslave</f>
        <v>12</v>
      </c>
      <c r="FA339" s="117"/>
      <c r="FB339" s="121"/>
      <c r="FC339" s="223">
        <f t="shared" ref="FC339" si="3492">(EU339+EV339+EW339+EX339+EY339+EZ339+FA339+FB339)/3</f>
        <v>12</v>
      </c>
      <c r="FD339" s="223">
        <f t="shared" ref="FD339" si="3493">2*FC339</f>
        <v>24</v>
      </c>
      <c r="FE339" s="224">
        <f t="shared" ref="FE339" si="3494">3*FC339</f>
        <v>36</v>
      </c>
      <c r="FF339" s="237">
        <f t="shared" si="3265"/>
        <v>2304</v>
      </c>
      <c r="FG339" s="117">
        <f>EW339*EX339*GEslave+EW339*CHslave*EZ339+INslave*EX339*EZ339</f>
        <v>3456</v>
      </c>
      <c r="FH339" s="224">
        <f t="shared" ref="FH339" si="3495">IFERROR(EU339^SIGN(EU339),1)*IFERROR(EV339^SIGN(EV339),1)*IFERROR(EW339^SIGN(EW339),1)*IFERROR(EX339^SIGN(EX339),1)*IFERROR(EY339^SIGN(EY339),1)*IFERROR(EZ339^SIGN(EZ339),1)*IFERROR(FA339^SIGN(FA339),1)*IFERROR(FB339^SIGN(FB339),1)</f>
        <v>1728</v>
      </c>
      <c r="FI339" s="224">
        <f t="shared" ref="FI339" si="3496">SUM(FF339:FH339)</f>
        <v>7488</v>
      </c>
      <c r="FJ339" s="222">
        <f t="shared" ref="FJ339" si="3497">FC339*FF339/FI339</f>
        <v>3.6923076923076925</v>
      </c>
      <c r="FK339" s="223">
        <f t="shared" ref="FK339" si="3498">FD339*FG339/FI339</f>
        <v>11.076923076923077</v>
      </c>
      <c r="FL339" s="243">
        <f t="shared" ref="FL339" si="3499">FE339*FH339/FI339</f>
        <v>8.3076923076923084</v>
      </c>
      <c r="FM339" s="243">
        <f t="shared" ref="FM339" si="3500">SUM(FJ339:FL339)</f>
        <v>23.07692307692308</v>
      </c>
      <c r="FN339" s="252">
        <f t="shared" si="2934"/>
        <v>0</v>
      </c>
      <c r="FO339" s="324">
        <f t="shared" ref="FO339" si="3501">FM339-FN339</f>
        <v>23.07692307692308</v>
      </c>
      <c r="FP339" s="304">
        <f t="shared" ref="FP339:FQ340" si="3502">IF(FM339&lt;=0,3,0)+IF(FM339&gt;0,FM339+1,0)*3+IF(FM339&gt;12,FM339-12,0)*3+IF(FM339&gt;13,FM339-13,0)*3+IF(FM339&gt;14,FM339-14,0)*3+IF(FM339&gt;15,FM339-15,0)*3+IF(FM339&gt;16,FM339-16,0)*3+IF(FM339&gt;17,FM339-17,0)*3+IF(FM339&gt;18,FM339-18,0)*3+IF(FM339&gt;19,FM339-19,0)*3+IF(FM339&gt;20,FM339-20,0)*3</f>
        <v>263.30769230769232</v>
      </c>
      <c r="FQ339" s="335">
        <f t="shared" si="3502"/>
        <v>3</v>
      </c>
      <c r="FR339" s="243">
        <f t="shared" si="3010"/>
        <v>260.30769230769232</v>
      </c>
      <c r="FS339" s="218">
        <f t="shared" ref="FS339" si="3503">IF((FQ339-FP339)&gt;0,FQ339-FP339,0)</f>
        <v>0</v>
      </c>
      <c r="FT339" s="248"/>
      <c r="FU339" s="303" t="s">
        <v>491</v>
      </c>
      <c r="FV339" s="304" t="s">
        <v>88</v>
      </c>
      <c r="FW339" s="304" t="s">
        <v>135</v>
      </c>
      <c r="FX339" s="120"/>
      <c r="FY339" s="117"/>
      <c r="FZ339" s="117">
        <f t="shared" ref="FZ339" si="3504">Konvention_1slave-INslave</f>
        <v>12</v>
      </c>
      <c r="GA339" s="117">
        <f t="shared" ref="GA339" si="3505">Konvention_1slave-CHslave</f>
        <v>12</v>
      </c>
      <c r="GB339" s="117"/>
      <c r="GC339" s="117">
        <f>Konvention_1slave-GEslave_GE</f>
        <v>11</v>
      </c>
      <c r="GD339" s="117"/>
      <c r="GE339" s="121"/>
      <c r="GF339" s="223">
        <f t="shared" ref="GF339" si="3506">(FX339+FY339+FZ339+GA339+GB339+GC339+GD339+GE339)/3</f>
        <v>11.666666666666666</v>
      </c>
      <c r="GG339" s="223">
        <f t="shared" ref="GG339" si="3507">2*GF339</f>
        <v>23.333333333333332</v>
      </c>
      <c r="GH339" s="224">
        <f t="shared" ref="GH339" si="3508">3*GF339</f>
        <v>35</v>
      </c>
      <c r="GI339" s="237">
        <f t="shared" si="3269"/>
        <v>2432</v>
      </c>
      <c r="GJ339" s="117">
        <f>FZ339*GA339*GEslave_GE+FZ339*CHslave*GC339+INslave*GA339*GC339</f>
        <v>3408</v>
      </c>
      <c r="GK339" s="224">
        <f t="shared" ref="GK339" si="3509">IFERROR(FX339^SIGN(FX339),1)*IFERROR(FY339^SIGN(FY339),1)*IFERROR(FZ339^SIGN(FZ339),1)*IFERROR(GA339^SIGN(GA339),1)*IFERROR(GB339^SIGN(GB339),1)*IFERROR(GC339^SIGN(GC339),1)*IFERROR(GD339^SIGN(GD339),1)*IFERROR(GE339^SIGN(GE339),1)</f>
        <v>1584</v>
      </c>
      <c r="GL339" s="224">
        <f t="shared" ref="GL339" si="3510">SUM(GI339:GK339)</f>
        <v>7424</v>
      </c>
      <c r="GM339" s="222">
        <f t="shared" ref="GM339" si="3511">GF339*GI339/GL339</f>
        <v>3.8218390804597702</v>
      </c>
      <c r="GN339" s="223">
        <f t="shared" ref="GN339" si="3512">GG339*GJ339/GL339</f>
        <v>10.711206896551724</v>
      </c>
      <c r="GO339" s="243">
        <f t="shared" ref="GO339" si="3513">GH339*GK339/GL339</f>
        <v>7.4676724137931032</v>
      </c>
      <c r="GP339" s="243">
        <f t="shared" ref="GP339" si="3514">SUM(GM339:GO339)</f>
        <v>22.000718390804597</v>
      </c>
      <c r="GQ339" s="252">
        <f t="shared" si="2937"/>
        <v>0</v>
      </c>
      <c r="GR339" s="324">
        <f t="shared" ref="GR339" si="3515">GP339-GQ339</f>
        <v>22.000718390804597</v>
      </c>
      <c r="GS339" s="304">
        <f t="shared" ref="GS339:GT340" si="3516">IF(GP339&lt;=0,3,0)+IF(GP339&gt;0,GP339+1,0)*3+IF(GP339&gt;12,GP339-12,0)*3+IF(GP339&gt;13,GP339-13,0)*3+IF(GP339&gt;14,GP339-14,0)*3+IF(GP339&gt;15,GP339-15,0)*3+IF(GP339&gt;16,GP339-16,0)*3+IF(GP339&gt;17,GP339-17,0)*3+IF(GP339&gt;18,GP339-18,0)*3+IF(GP339&gt;19,GP339-19,0)*3+IF(GP339&gt;20,GP339-20,0)*3</f>
        <v>231.02155172413785</v>
      </c>
      <c r="GT339" s="335">
        <f t="shared" si="3516"/>
        <v>3</v>
      </c>
      <c r="GU339" s="243">
        <f t="shared" si="3021"/>
        <v>228.02155172413785</v>
      </c>
      <c r="GV339" s="218">
        <f t="shared" ref="GV339" si="3517">IF((GT339-GS339)&gt;0,GT339-GS339,0)</f>
        <v>0</v>
      </c>
      <c r="GW339" s="248"/>
      <c r="GX339" s="303" t="s">
        <v>491</v>
      </c>
      <c r="GY339" s="304" t="s">
        <v>88</v>
      </c>
      <c r="GZ339" s="304" t="s">
        <v>135</v>
      </c>
      <c r="HA339" s="120"/>
      <c r="HB339" s="117"/>
      <c r="HC339" s="117">
        <f t="shared" ref="HC339" si="3518">Konvention_1slave-INslave</f>
        <v>12</v>
      </c>
      <c r="HD339" s="117">
        <f t="shared" ref="HD339" si="3519">Konvention_1slave-CHslave</f>
        <v>12</v>
      </c>
      <c r="HE339" s="117"/>
      <c r="HF339" s="117">
        <f>Konvention_1slave-GEslave</f>
        <v>12</v>
      </c>
      <c r="HG339" s="117"/>
      <c r="HH339" s="121"/>
      <c r="HI339" s="223">
        <f t="shared" ref="HI339" si="3520">(HA339+HB339+HC339+HD339+HE339+HF339+HG339+HH339)/3</f>
        <v>12</v>
      </c>
      <c r="HJ339" s="223">
        <f t="shared" ref="HJ339" si="3521">2*HI339</f>
        <v>24</v>
      </c>
      <c r="HK339" s="224">
        <f t="shared" ref="HK339" si="3522">3*HI339</f>
        <v>36</v>
      </c>
      <c r="HL339" s="237">
        <f t="shared" si="3273"/>
        <v>2304</v>
      </c>
      <c r="HM339" s="117">
        <f>HC339*HD339*GEslave+HC339*CHslave*HF339+INslave*HD339*HF339</f>
        <v>3456</v>
      </c>
      <c r="HN339" s="224">
        <f t="shared" ref="HN339" si="3523">IFERROR(HA339^SIGN(HA339),1)*IFERROR(HB339^SIGN(HB339),1)*IFERROR(HC339^SIGN(HC339),1)*IFERROR(HD339^SIGN(HD339),1)*IFERROR(HE339^SIGN(HE339),1)*IFERROR(HF339^SIGN(HF339),1)*IFERROR(HG339^SIGN(HG339),1)*IFERROR(HH339^SIGN(HH339),1)</f>
        <v>1728</v>
      </c>
      <c r="HO339" s="224">
        <f t="shared" ref="HO339" si="3524">SUM(HL339:HN339)</f>
        <v>7488</v>
      </c>
      <c r="HP339" s="222">
        <f t="shared" ref="HP339" si="3525">HI339*HL339/HO339</f>
        <v>3.6923076923076925</v>
      </c>
      <c r="HQ339" s="223">
        <f t="shared" ref="HQ339" si="3526">HJ339*HM339/HO339</f>
        <v>11.076923076923077</v>
      </c>
      <c r="HR339" s="243">
        <f t="shared" ref="HR339" si="3527">HK339*HN339/HO339</f>
        <v>8.3076923076923084</v>
      </c>
      <c r="HS339" s="243">
        <f t="shared" ref="HS339" si="3528">SUM(HP339:HR339)</f>
        <v>23.07692307692308</v>
      </c>
      <c r="HT339" s="252">
        <f t="shared" si="2940"/>
        <v>0</v>
      </c>
      <c r="HU339" s="324">
        <f t="shared" ref="HU339" si="3529">HS339-HT339</f>
        <v>23.07692307692308</v>
      </c>
      <c r="HV339" s="304">
        <f t="shared" ref="HV339:HW340" si="3530">IF(HS339&lt;=0,3,0)+IF(HS339&gt;0,HS339+1,0)*3+IF(HS339&gt;12,HS339-12,0)*3+IF(HS339&gt;13,HS339-13,0)*3+IF(HS339&gt;14,HS339-14,0)*3+IF(HS339&gt;15,HS339-15,0)*3+IF(HS339&gt;16,HS339-16,0)*3+IF(HS339&gt;17,HS339-17,0)*3+IF(HS339&gt;18,HS339-18,0)*3+IF(HS339&gt;19,HS339-19,0)*3+IF(HS339&gt;20,HS339-20,0)*3</f>
        <v>263.30769230769232</v>
      </c>
      <c r="HW339" s="335">
        <f t="shared" si="3530"/>
        <v>3</v>
      </c>
      <c r="HX339" s="243">
        <f t="shared" si="3032"/>
        <v>260.30769230769232</v>
      </c>
      <c r="HY339" s="218">
        <f t="shared" ref="HY339" si="3531">IF((HW339-HV339)&gt;0,HW339-HV339,0)</f>
        <v>0</v>
      </c>
      <c r="HZ339" s="248"/>
      <c r="IA339" s="303" t="s">
        <v>491</v>
      </c>
      <c r="IB339" s="304" t="s">
        <v>88</v>
      </c>
      <c r="IC339" s="304" t="s">
        <v>135</v>
      </c>
      <c r="ID339" s="120"/>
      <c r="IE339" s="117"/>
      <c r="IF339" s="117">
        <f t="shared" ref="IF339" si="3532">Konvention_1slave-INslave</f>
        <v>12</v>
      </c>
      <c r="IG339" s="117">
        <f t="shared" ref="IG339" si="3533">Konvention_1slave-CHslave</f>
        <v>12</v>
      </c>
      <c r="IH339" s="117"/>
      <c r="II339" s="117">
        <f>Konvention_1slave-GEslave</f>
        <v>12</v>
      </c>
      <c r="IJ339" s="117"/>
      <c r="IK339" s="121"/>
      <c r="IL339" s="223">
        <f t="shared" ref="IL339" si="3534">(ID339+IE339+IF339+IG339+IH339+II339+IJ339+IK339)/3</f>
        <v>12</v>
      </c>
      <c r="IM339" s="223">
        <f t="shared" ref="IM339" si="3535">2*IL339</f>
        <v>24</v>
      </c>
      <c r="IN339" s="224">
        <f t="shared" ref="IN339" si="3536">3*IL339</f>
        <v>36</v>
      </c>
      <c r="IO339" s="237">
        <f t="shared" si="3277"/>
        <v>2304</v>
      </c>
      <c r="IP339" s="117">
        <f>IF339*IG339*GEslave+IF339*CHslave*II339+INslave*IG339*II339</f>
        <v>3456</v>
      </c>
      <c r="IQ339" s="224">
        <f t="shared" ref="IQ339" si="3537">IFERROR(ID339^SIGN(ID339),1)*IFERROR(IE339^SIGN(IE339),1)*IFERROR(IF339^SIGN(IF339),1)*IFERROR(IG339^SIGN(IG339),1)*IFERROR(IH339^SIGN(IH339),1)*IFERROR(II339^SIGN(II339),1)*IFERROR(IJ339^SIGN(IJ339),1)*IFERROR(IK339^SIGN(IK339),1)</f>
        <v>1728</v>
      </c>
      <c r="IR339" s="224">
        <f t="shared" ref="IR339" si="3538">SUM(IO339:IQ339)</f>
        <v>7488</v>
      </c>
      <c r="IS339" s="222">
        <f t="shared" ref="IS339" si="3539">IL339*IO339/IR339</f>
        <v>3.6923076923076925</v>
      </c>
      <c r="IT339" s="223">
        <f t="shared" ref="IT339" si="3540">IM339*IP339/IR339</f>
        <v>11.076923076923077</v>
      </c>
      <c r="IU339" s="243">
        <f t="shared" ref="IU339" si="3541">IN339*IQ339/IR339</f>
        <v>8.3076923076923084</v>
      </c>
      <c r="IV339" s="243">
        <f t="shared" ref="IV339" si="3542">SUM(IS339:IU339)</f>
        <v>23.07692307692308</v>
      </c>
      <c r="IW339" s="252">
        <f t="shared" si="2943"/>
        <v>0</v>
      </c>
      <c r="IX339" s="324">
        <f t="shared" ref="IX339" si="3543">IV339-IW339</f>
        <v>23.07692307692308</v>
      </c>
      <c r="IY339" s="304">
        <f t="shared" ref="IY339:IZ340" si="3544">IF(IV339&lt;=0,3,0)+IF(IV339&gt;0,IV339+1,0)*3+IF(IV339&gt;12,IV339-12,0)*3+IF(IV339&gt;13,IV339-13,0)*3+IF(IV339&gt;14,IV339-14,0)*3+IF(IV339&gt;15,IV339-15,0)*3+IF(IV339&gt;16,IV339-16,0)*3+IF(IV339&gt;17,IV339-17,0)*3+IF(IV339&gt;18,IV339-18,0)*3+IF(IV339&gt;19,IV339-19,0)*3+IF(IV339&gt;20,IV339-20,0)*3</f>
        <v>263.30769230769232</v>
      </c>
      <c r="IZ339" s="335">
        <f t="shared" si="3544"/>
        <v>3</v>
      </c>
      <c r="JA339" s="243">
        <f t="shared" si="3043"/>
        <v>260.30769230769232</v>
      </c>
      <c r="JB339" s="218">
        <f t="shared" ref="JB339" si="3545">IF((IZ339-IY339)&gt;0,IZ339-IY339,0)</f>
        <v>0</v>
      </c>
      <c r="JE339" s="148"/>
    </row>
    <row r="340" spans="1:265" hidden="1" outlineLevel="2">
      <c r="A340" s="185"/>
      <c r="B340" s="148">
        <v>18</v>
      </c>
      <c r="C340" s="303" t="e">
        <f>VLOOKUP(AF340,Attribute!C:T,1,FALSE)</f>
        <v>#N/A</v>
      </c>
      <c r="D340" s="304" t="s">
        <v>81</v>
      </c>
      <c r="E340" s="304" t="s">
        <v>135</v>
      </c>
      <c r="F340" s="120"/>
      <c r="G340" s="117">
        <f>Konvention_1master-KLmaster</f>
        <v>12</v>
      </c>
      <c r="H340" s="117"/>
      <c r="I340" s="117">
        <f t="shared" ref="I340" si="3546">Konvention_1master-CHmaster</f>
        <v>12</v>
      </c>
      <c r="J340" s="117"/>
      <c r="K340" s="117">
        <f>Konvention_1master-GEmaster</f>
        <v>12</v>
      </c>
      <c r="L340" s="117"/>
      <c r="M340" s="121"/>
      <c r="N340" s="223">
        <f>(F340+G340+H340+I340+J340+K340+L340+M340)/3</f>
        <v>12</v>
      </c>
      <c r="O340" s="223">
        <f t="shared" si="2945"/>
        <v>24</v>
      </c>
      <c r="P340" s="224">
        <f t="shared" si="2946"/>
        <v>36</v>
      </c>
      <c r="Q340" s="237">
        <f t="shared" ref="Q340" si="3547">F340*POWER(KLmaster,SIGN(G340))*POWER(INmaster,SIGN(H340))*POWER(CHmaster,SIGN(I340))*POWER(FFmaster,SIGN(J340))*POWER(GEmaster,SIGN(K340))*POWER(KOmaster,SIGN(L340))*POWER(KKmaster,SIGN(M340))+G340*POWER(MUmaster,SIGN(F340))*POWER(INmaster,SIGN(H340))*POWER(CHmaster,SIGN(I340))*POWER(FFmaster,SIGN(J340))*POWER(GEmaster,SIGN(K340))*POWER(KOmaster,SIGN(L340))*POWER(KKmaster,SIGN(M340))+H340*POWER(MUmaster,SIGN(F340))*POWER(KLmaster,SIGN(G340))*POWER(CHmaster,SIGN(I340))*POWER(FFmaster,SIGN(J340))*POWER(GEmaster,SIGN(K340))*POWER(KOmaster,SIGN(L340))*POWER(KKmaster,SIGN(M340))+I340*POWER(MUmaster,SIGN(F340))*POWER(KLmaster,SIGN(G340))*POWER(INmaster,SIGN(H340))*POWER(FFmaster,SIGN(J340))*POWER(GEmaster,SIGN(K340))*POWER(KOmaster,SIGN(L340))*POWER(KKmaster,SIGN(M340))+J340*POWER(MUmaster,SIGN(F340))*POWER(KLmaster,SIGN(G340))*POWER(INmaster,SIGN(H340))*POWER(CHmaster,SIGN(I340))*POWER(GEmaster,SIGN(K340))*POWER(KOmaster,SIGN(L340))*POWER(KKmaster,SIGN(M340))+K340*POWER(MUmaster,SIGN(F340))*POWER(KLmaster,SIGN(G340))*POWER(INmaster,SIGN(H340))*POWER(CHmaster,SIGN(I340))*POWER(FFmaster,SIGN(J340))*POWER(KOmaster,SIGN(L340))*POWER(KKmaster,SIGN(M340))+L340*POWER(MUmaster,SIGN(F340))*POWER(KLmaster,SIGN(G340))*POWER(INmaster,SIGN(H340))*POWER(CHmaster,SIGN(I340))*POWER(FFmaster,SIGN(J340))*POWER(GEmaster,SIGN(K340))*POWER(KKmaster,SIGN(M340))+M340*POWER(MUmaster,SIGN(F340))*POWER(KLmaster,SIGN(G340))*POWER(INmaster,SIGN(H340))*POWER(CHmaster,SIGN(I340))*POWER(FFmaster,SIGN(J340))*POWER(GEmaster,SIGN(K340))*POWER(KOmaster,SIGN(L340))</f>
        <v>2304</v>
      </c>
      <c r="R340" s="117">
        <f>G340*I340*GEmaster+G340*CHmaster*K340+KLmaster*I340*K340</f>
        <v>3456</v>
      </c>
      <c r="S340" s="224">
        <f t="shared" si="3246"/>
        <v>1728</v>
      </c>
      <c r="T340" s="224">
        <f>SUM(Q340:S340)</f>
        <v>7488</v>
      </c>
      <c r="U340" s="222">
        <f t="shared" si="3328"/>
        <v>3.6923076923076925</v>
      </c>
      <c r="V340" s="223">
        <f t="shared" si="3329"/>
        <v>11.076923076923077</v>
      </c>
      <c r="W340" s="243">
        <f t="shared" si="3330"/>
        <v>8.3076923076923084</v>
      </c>
      <c r="X340" s="243">
        <f t="shared" si="3331"/>
        <v>23.07692307692308</v>
      </c>
      <c r="Y340" s="252">
        <v>0</v>
      </c>
      <c r="Z340" s="324">
        <f t="shared" si="3332"/>
        <v>23.07692307692308</v>
      </c>
      <c r="AA340" s="304">
        <f t="shared" si="3431"/>
        <v>263.30769230769232</v>
      </c>
      <c r="AB340" s="335">
        <f t="shared" si="3432"/>
        <v>3</v>
      </c>
      <c r="AC340" s="243">
        <f t="shared" si="2955"/>
        <v>260.30769230769232</v>
      </c>
      <c r="AD340" s="218">
        <f t="shared" si="2956"/>
        <v>0</v>
      </c>
      <c r="AE340" s="140"/>
      <c r="AF340" s="303" t="s">
        <v>492</v>
      </c>
      <c r="AG340" s="304" t="s">
        <v>81</v>
      </c>
      <c r="AH340" s="304" t="s">
        <v>135</v>
      </c>
      <c r="AI340" s="120"/>
      <c r="AJ340" s="117">
        <f>Konvention_1slave-KLslave</f>
        <v>12</v>
      </c>
      <c r="AK340" s="117"/>
      <c r="AL340" s="117">
        <f>Konvention_1slave-CHslave</f>
        <v>12</v>
      </c>
      <c r="AM340" s="117"/>
      <c r="AN340" s="117">
        <f>Konvention_1slave-GEslave</f>
        <v>12</v>
      </c>
      <c r="AO340" s="117"/>
      <c r="AP340" s="121"/>
      <c r="AQ340" s="223">
        <f>(AI340+AJ340+AK340+AL340+AM340+AN340+AO340+AP340)/3</f>
        <v>12</v>
      </c>
      <c r="AR340" s="223">
        <f t="shared" si="2957"/>
        <v>24</v>
      </c>
      <c r="AS340" s="224">
        <f t="shared" si="2958"/>
        <v>36</v>
      </c>
      <c r="AT340" s="237">
        <f t="shared" si="3249"/>
        <v>2304</v>
      </c>
      <c r="AU340" s="117">
        <f>AJ340*AL340*GEslave+AJ340*CHslave*AN340+KLslave*AL340*AN340</f>
        <v>3456</v>
      </c>
      <c r="AV340" s="224">
        <f t="shared" si="3250"/>
        <v>1728</v>
      </c>
      <c r="AW340" s="224">
        <f t="shared" ref="AW340" si="3548">SUM(AT340:AV340)</f>
        <v>7488</v>
      </c>
      <c r="AX340" s="222">
        <f t="shared" si="3336"/>
        <v>3.6923076923076925</v>
      </c>
      <c r="AY340" s="223">
        <f t="shared" si="3337"/>
        <v>11.076923076923077</v>
      </c>
      <c r="AZ340" s="243">
        <f t="shared" si="3338"/>
        <v>8.3076923076923084</v>
      </c>
      <c r="BA340" s="243">
        <f t="shared" si="3339"/>
        <v>23.07692307692308</v>
      </c>
      <c r="BB340" s="252">
        <f t="shared" si="2034"/>
        <v>0</v>
      </c>
      <c r="BC340" s="324">
        <f t="shared" si="2964"/>
        <v>23.07692307692308</v>
      </c>
      <c r="BD340" s="304">
        <f t="shared" si="3446"/>
        <v>263.30769230769232</v>
      </c>
      <c r="BE340" s="335">
        <f t="shared" si="3446"/>
        <v>3</v>
      </c>
      <c r="BF340" s="243">
        <f t="shared" si="2966"/>
        <v>260.30769230769232</v>
      </c>
      <c r="BG340" s="218">
        <f t="shared" si="2967"/>
        <v>0</v>
      </c>
      <c r="BH340" s="248"/>
      <c r="BI340" s="303" t="s">
        <v>492</v>
      </c>
      <c r="BJ340" s="304" t="s">
        <v>81</v>
      </c>
      <c r="BK340" s="304" t="s">
        <v>135</v>
      </c>
      <c r="BL340" s="120"/>
      <c r="BM340" s="117">
        <f>Konvention_1slave-KLslave_KL</f>
        <v>11</v>
      </c>
      <c r="BN340" s="117"/>
      <c r="BO340" s="117">
        <f t="shared" ref="BO340" si="3549">Konvention_1slave-CHslave</f>
        <v>12</v>
      </c>
      <c r="BP340" s="117"/>
      <c r="BQ340" s="117">
        <f>Konvention_1slave-GEslave</f>
        <v>12</v>
      </c>
      <c r="BR340" s="117"/>
      <c r="BS340" s="121"/>
      <c r="BT340" s="223">
        <f>(BL340+BM340+BN340+BO340+BP340+BQ340+BR340+BS340)/3</f>
        <v>11.666666666666666</v>
      </c>
      <c r="BU340" s="223">
        <f t="shared" si="2968"/>
        <v>23.333333333333332</v>
      </c>
      <c r="BV340" s="224">
        <f t="shared" si="2969"/>
        <v>35</v>
      </c>
      <c r="BW340" s="237">
        <f t="shared" si="3253"/>
        <v>2432</v>
      </c>
      <c r="BX340" s="117">
        <f>BM340*BO340*GEslave+BM340*CHslave*BQ340+KLslave_KL*BO340*BQ340</f>
        <v>3408</v>
      </c>
      <c r="BY340" s="224">
        <f t="shared" si="3254"/>
        <v>1584</v>
      </c>
      <c r="BZ340" s="224">
        <f t="shared" ref="BZ340" si="3550">SUM(BW340:BY340)</f>
        <v>7424</v>
      </c>
      <c r="CA340" s="222">
        <f t="shared" si="3341"/>
        <v>3.8218390804597702</v>
      </c>
      <c r="CB340" s="223">
        <f t="shared" si="3342"/>
        <v>10.711206896551724</v>
      </c>
      <c r="CC340" s="243">
        <f t="shared" si="3343"/>
        <v>7.4676724137931032</v>
      </c>
      <c r="CD340" s="243">
        <f t="shared" si="3344"/>
        <v>22.000718390804597</v>
      </c>
      <c r="CE340" s="252">
        <f t="shared" si="2925"/>
        <v>0</v>
      </c>
      <c r="CF340" s="324">
        <f t="shared" si="2975"/>
        <v>22.000718390804597</v>
      </c>
      <c r="CG340" s="304">
        <f t="shared" si="3460"/>
        <v>231.02155172413785</v>
      </c>
      <c r="CH340" s="335">
        <f t="shared" si="3460"/>
        <v>3</v>
      </c>
      <c r="CI340" s="243">
        <f t="shared" si="2977"/>
        <v>228.02155172413785</v>
      </c>
      <c r="CJ340" s="218">
        <f t="shared" si="2978"/>
        <v>0</v>
      </c>
      <c r="CK340" s="248"/>
      <c r="CL340" s="303" t="s">
        <v>492</v>
      </c>
      <c r="CM340" s="304" t="s">
        <v>81</v>
      </c>
      <c r="CN340" s="304" t="s">
        <v>135</v>
      </c>
      <c r="CO340" s="120"/>
      <c r="CP340" s="117">
        <f>Konvention_1slave-KLslave</f>
        <v>12</v>
      </c>
      <c r="CQ340" s="117"/>
      <c r="CR340" s="117">
        <f t="shared" ref="CR340" si="3551">Konvention_1slave-CHslave</f>
        <v>12</v>
      </c>
      <c r="CS340" s="117"/>
      <c r="CT340" s="117">
        <f>Konvention_1slave-GEslave</f>
        <v>12</v>
      </c>
      <c r="CU340" s="117"/>
      <c r="CV340" s="121"/>
      <c r="CW340" s="223">
        <f>(CO340+CP340+CQ340+CR340+CS340+CT340+CU340+CV340)/3</f>
        <v>12</v>
      </c>
      <c r="CX340" s="223">
        <f t="shared" si="2979"/>
        <v>24</v>
      </c>
      <c r="CY340" s="224">
        <f t="shared" si="2980"/>
        <v>36</v>
      </c>
      <c r="CZ340" s="237">
        <f t="shared" si="3257"/>
        <v>2304</v>
      </c>
      <c r="DA340" s="117">
        <f>CP340*CR340*GEslave+CP340*CHslave*CT340+KLslave*CR340*CT340</f>
        <v>3456</v>
      </c>
      <c r="DB340" s="224">
        <f t="shared" si="3258"/>
        <v>1728</v>
      </c>
      <c r="DC340" s="224">
        <f t="shared" ref="DC340" si="3552">SUM(CZ340:DB340)</f>
        <v>7488</v>
      </c>
      <c r="DD340" s="222">
        <f t="shared" si="3346"/>
        <v>3.6923076923076925</v>
      </c>
      <c r="DE340" s="223">
        <f t="shared" si="3347"/>
        <v>11.076923076923077</v>
      </c>
      <c r="DF340" s="243">
        <f t="shared" si="3348"/>
        <v>8.3076923076923084</v>
      </c>
      <c r="DG340" s="243">
        <f t="shared" si="3349"/>
        <v>23.07692307692308</v>
      </c>
      <c r="DH340" s="252">
        <f t="shared" si="2928"/>
        <v>0</v>
      </c>
      <c r="DI340" s="324">
        <f t="shared" si="2986"/>
        <v>23.07692307692308</v>
      </c>
      <c r="DJ340" s="304">
        <f t="shared" si="3474"/>
        <v>263.30769230769232</v>
      </c>
      <c r="DK340" s="335">
        <f t="shared" si="3474"/>
        <v>3</v>
      </c>
      <c r="DL340" s="243">
        <f t="shared" si="2988"/>
        <v>260.30769230769232</v>
      </c>
      <c r="DM340" s="218">
        <f t="shared" si="2989"/>
        <v>0</v>
      </c>
      <c r="DN340" s="248"/>
      <c r="DO340" s="303" t="s">
        <v>492</v>
      </c>
      <c r="DP340" s="304" t="s">
        <v>81</v>
      </c>
      <c r="DQ340" s="304" t="s">
        <v>135</v>
      </c>
      <c r="DR340" s="120"/>
      <c r="DS340" s="117">
        <f>Konvention_1slave-KLslave</f>
        <v>12</v>
      </c>
      <c r="DT340" s="117"/>
      <c r="DU340" s="117">
        <f t="shared" ref="DU340" si="3553">Konvention_1slave-CHslave_CH</f>
        <v>11</v>
      </c>
      <c r="DV340" s="117"/>
      <c r="DW340" s="117">
        <f>Konvention_1slave-GEslave</f>
        <v>12</v>
      </c>
      <c r="DX340" s="117"/>
      <c r="DY340" s="121"/>
      <c r="DZ340" s="223">
        <f>(DR340+DS340+DT340+DU340+DV340+DW340+DX340+DY340)/3</f>
        <v>11.666666666666666</v>
      </c>
      <c r="EA340" s="223">
        <f t="shared" si="2990"/>
        <v>23.333333333333332</v>
      </c>
      <c r="EB340" s="224">
        <f t="shared" si="2991"/>
        <v>35</v>
      </c>
      <c r="EC340" s="237">
        <f t="shared" si="3261"/>
        <v>2432</v>
      </c>
      <c r="ED340" s="117">
        <f>DS340*DU340*GEslave+DS340*CHslave_CH*DW340+KLslave*DU340*DW340</f>
        <v>3408</v>
      </c>
      <c r="EE340" s="224">
        <f t="shared" si="3262"/>
        <v>1584</v>
      </c>
      <c r="EF340" s="224">
        <f t="shared" ref="EF340" si="3554">SUM(EC340:EE340)</f>
        <v>7424</v>
      </c>
      <c r="EG340" s="222">
        <f t="shared" si="3351"/>
        <v>3.8218390804597702</v>
      </c>
      <c r="EH340" s="223">
        <f t="shared" si="3352"/>
        <v>10.711206896551724</v>
      </c>
      <c r="EI340" s="243">
        <f t="shared" si="3353"/>
        <v>7.4676724137931032</v>
      </c>
      <c r="EJ340" s="243">
        <f t="shared" si="3354"/>
        <v>22.000718390804597</v>
      </c>
      <c r="EK340" s="252">
        <f t="shared" si="2931"/>
        <v>0</v>
      </c>
      <c r="EL340" s="324">
        <f t="shared" si="2997"/>
        <v>22.000718390804597</v>
      </c>
      <c r="EM340" s="304">
        <f t="shared" si="3488"/>
        <v>231.02155172413785</v>
      </c>
      <c r="EN340" s="335">
        <f t="shared" si="3488"/>
        <v>3</v>
      </c>
      <c r="EO340" s="243">
        <f t="shared" si="2999"/>
        <v>228.02155172413785</v>
      </c>
      <c r="EP340" s="218">
        <f t="shared" si="3000"/>
        <v>0</v>
      </c>
      <c r="EQ340" s="248"/>
      <c r="ER340" s="303" t="s">
        <v>492</v>
      </c>
      <c r="ES340" s="304" t="s">
        <v>81</v>
      </c>
      <c r="ET340" s="304" t="s">
        <v>135</v>
      </c>
      <c r="EU340" s="120"/>
      <c r="EV340" s="117">
        <f>Konvention_1slave-KLslave</f>
        <v>12</v>
      </c>
      <c r="EW340" s="117"/>
      <c r="EX340" s="117">
        <f t="shared" ref="EX340" si="3555">Konvention_1slave-CHslave</f>
        <v>12</v>
      </c>
      <c r="EY340" s="117"/>
      <c r="EZ340" s="117">
        <f>Konvention_1slave-GEslave</f>
        <v>12</v>
      </c>
      <c r="FA340" s="117"/>
      <c r="FB340" s="121"/>
      <c r="FC340" s="223">
        <f>(EU340+EV340+EW340+EX340+EY340+EZ340+FA340+FB340)/3</f>
        <v>12</v>
      </c>
      <c r="FD340" s="223">
        <f t="shared" si="3001"/>
        <v>24</v>
      </c>
      <c r="FE340" s="224">
        <f t="shared" si="3002"/>
        <v>36</v>
      </c>
      <c r="FF340" s="237">
        <f t="shared" si="3265"/>
        <v>2304</v>
      </c>
      <c r="FG340" s="117">
        <f>EV340*EX340*GEslave+EV340*CHslave*EZ340+KLslave*EX340*EZ340</f>
        <v>3456</v>
      </c>
      <c r="FH340" s="224">
        <f t="shared" si="3266"/>
        <v>1728</v>
      </c>
      <c r="FI340" s="224">
        <f t="shared" ref="FI340" si="3556">SUM(FF340:FH340)</f>
        <v>7488</v>
      </c>
      <c r="FJ340" s="222">
        <f t="shared" si="3356"/>
        <v>3.6923076923076925</v>
      </c>
      <c r="FK340" s="223">
        <f t="shared" si="3357"/>
        <v>11.076923076923077</v>
      </c>
      <c r="FL340" s="243">
        <f t="shared" si="3358"/>
        <v>8.3076923076923084</v>
      </c>
      <c r="FM340" s="243">
        <f t="shared" si="3359"/>
        <v>23.07692307692308</v>
      </c>
      <c r="FN340" s="252">
        <f t="shared" si="2934"/>
        <v>0</v>
      </c>
      <c r="FO340" s="324">
        <f t="shared" si="3008"/>
        <v>23.07692307692308</v>
      </c>
      <c r="FP340" s="304">
        <f t="shared" si="3502"/>
        <v>263.30769230769232</v>
      </c>
      <c r="FQ340" s="335">
        <f t="shared" si="3502"/>
        <v>3</v>
      </c>
      <c r="FR340" s="243">
        <f t="shared" si="3010"/>
        <v>260.30769230769232</v>
      </c>
      <c r="FS340" s="218">
        <f t="shared" si="3011"/>
        <v>0</v>
      </c>
      <c r="FT340" s="248"/>
      <c r="FU340" s="303" t="s">
        <v>492</v>
      </c>
      <c r="FV340" s="304" t="s">
        <v>81</v>
      </c>
      <c r="FW340" s="304" t="s">
        <v>135</v>
      </c>
      <c r="FX340" s="120"/>
      <c r="FY340" s="117">
        <f>Konvention_1slave-KLslave</f>
        <v>12</v>
      </c>
      <c r="FZ340" s="117"/>
      <c r="GA340" s="117">
        <f t="shared" ref="GA340" si="3557">Konvention_1slave-CHslave</f>
        <v>12</v>
      </c>
      <c r="GB340" s="117"/>
      <c r="GC340" s="117">
        <f>Konvention_1slave-GEslave_GE</f>
        <v>11</v>
      </c>
      <c r="GD340" s="117"/>
      <c r="GE340" s="121"/>
      <c r="GF340" s="223">
        <f>(FX340+FY340+FZ340+GA340+GB340+GC340+GD340+GE340)/3</f>
        <v>11.666666666666666</v>
      </c>
      <c r="GG340" s="223">
        <f t="shared" si="3012"/>
        <v>23.333333333333332</v>
      </c>
      <c r="GH340" s="224">
        <f t="shared" si="3013"/>
        <v>35</v>
      </c>
      <c r="GI340" s="237">
        <f t="shared" si="3269"/>
        <v>2432</v>
      </c>
      <c r="GJ340" s="117">
        <f>FY340*GA340*GEslave_GE+FY340*CHslave*GC340+KLslave*GA340*GC340</f>
        <v>3408</v>
      </c>
      <c r="GK340" s="224">
        <f t="shared" si="3270"/>
        <v>1584</v>
      </c>
      <c r="GL340" s="224">
        <f t="shared" ref="GL340" si="3558">SUM(GI340:GK340)</f>
        <v>7424</v>
      </c>
      <c r="GM340" s="222">
        <f t="shared" si="3361"/>
        <v>3.8218390804597702</v>
      </c>
      <c r="GN340" s="223">
        <f t="shared" si="3362"/>
        <v>10.711206896551724</v>
      </c>
      <c r="GO340" s="243">
        <f t="shared" si="3363"/>
        <v>7.4676724137931032</v>
      </c>
      <c r="GP340" s="243">
        <f t="shared" si="3364"/>
        <v>22.000718390804597</v>
      </c>
      <c r="GQ340" s="252">
        <f t="shared" si="2937"/>
        <v>0</v>
      </c>
      <c r="GR340" s="324">
        <f t="shared" si="3019"/>
        <v>22.000718390804597</v>
      </c>
      <c r="GS340" s="304">
        <f t="shared" si="3516"/>
        <v>231.02155172413785</v>
      </c>
      <c r="GT340" s="335">
        <f t="shared" si="3516"/>
        <v>3</v>
      </c>
      <c r="GU340" s="243">
        <f t="shared" si="3021"/>
        <v>228.02155172413785</v>
      </c>
      <c r="GV340" s="218">
        <f t="shared" si="3022"/>
        <v>0</v>
      </c>
      <c r="GW340" s="248"/>
      <c r="GX340" s="303" t="s">
        <v>492</v>
      </c>
      <c r="GY340" s="304" t="s">
        <v>81</v>
      </c>
      <c r="GZ340" s="304" t="s">
        <v>135</v>
      </c>
      <c r="HA340" s="120"/>
      <c r="HB340" s="117">
        <f>Konvention_1slave-KLslave</f>
        <v>12</v>
      </c>
      <c r="HC340" s="117"/>
      <c r="HD340" s="117">
        <f t="shared" ref="HD340" si="3559">Konvention_1slave-CHslave</f>
        <v>12</v>
      </c>
      <c r="HE340" s="117"/>
      <c r="HF340" s="117">
        <f>Konvention_1slave-GEslave</f>
        <v>12</v>
      </c>
      <c r="HG340" s="117"/>
      <c r="HH340" s="121"/>
      <c r="HI340" s="223">
        <f>(HA340+HB340+HC340+HD340+HE340+HF340+HG340+HH340)/3</f>
        <v>12</v>
      </c>
      <c r="HJ340" s="223">
        <f t="shared" si="3023"/>
        <v>24</v>
      </c>
      <c r="HK340" s="224">
        <f t="shared" si="3024"/>
        <v>36</v>
      </c>
      <c r="HL340" s="237">
        <f t="shared" si="3273"/>
        <v>2304</v>
      </c>
      <c r="HM340" s="117">
        <f>HB340*HD340*GEslave+HB340*CHslave*HF340+KLslave*HD340*HF340</f>
        <v>3456</v>
      </c>
      <c r="HN340" s="224">
        <f t="shared" si="3274"/>
        <v>1728</v>
      </c>
      <c r="HO340" s="224">
        <f t="shared" ref="HO340" si="3560">SUM(HL340:HN340)</f>
        <v>7488</v>
      </c>
      <c r="HP340" s="222">
        <f t="shared" si="3366"/>
        <v>3.6923076923076925</v>
      </c>
      <c r="HQ340" s="223">
        <f t="shared" si="3367"/>
        <v>11.076923076923077</v>
      </c>
      <c r="HR340" s="243">
        <f t="shared" si="3368"/>
        <v>8.3076923076923084</v>
      </c>
      <c r="HS340" s="243">
        <f t="shared" si="3369"/>
        <v>23.07692307692308</v>
      </c>
      <c r="HT340" s="252">
        <f t="shared" si="2940"/>
        <v>0</v>
      </c>
      <c r="HU340" s="324">
        <f t="shared" si="3030"/>
        <v>23.07692307692308</v>
      </c>
      <c r="HV340" s="304">
        <f t="shared" si="3530"/>
        <v>263.30769230769232</v>
      </c>
      <c r="HW340" s="335">
        <f t="shared" si="3530"/>
        <v>3</v>
      </c>
      <c r="HX340" s="243">
        <f t="shared" si="3032"/>
        <v>260.30769230769232</v>
      </c>
      <c r="HY340" s="218">
        <f t="shared" si="3033"/>
        <v>0</v>
      </c>
      <c r="HZ340" s="248"/>
      <c r="IA340" s="303" t="s">
        <v>492</v>
      </c>
      <c r="IB340" s="304" t="s">
        <v>81</v>
      </c>
      <c r="IC340" s="304" t="s">
        <v>135</v>
      </c>
      <c r="ID340" s="120"/>
      <c r="IE340" s="117">
        <f>Konvention_1slave-KLslave</f>
        <v>12</v>
      </c>
      <c r="IF340" s="117"/>
      <c r="IG340" s="117">
        <f t="shared" ref="IG340" si="3561">Konvention_1slave-CHslave</f>
        <v>12</v>
      </c>
      <c r="IH340" s="117"/>
      <c r="II340" s="117">
        <f>Konvention_1slave-GEslave</f>
        <v>12</v>
      </c>
      <c r="IJ340" s="117"/>
      <c r="IK340" s="121"/>
      <c r="IL340" s="223">
        <f>(ID340+IE340+IF340+IG340+IH340+II340+IJ340+IK340)/3</f>
        <v>12</v>
      </c>
      <c r="IM340" s="223">
        <f t="shared" si="3034"/>
        <v>24</v>
      </c>
      <c r="IN340" s="224">
        <f t="shared" si="3035"/>
        <v>36</v>
      </c>
      <c r="IO340" s="237">
        <f t="shared" si="3277"/>
        <v>2304</v>
      </c>
      <c r="IP340" s="117">
        <f>IE340*IG340*GEslave+IE340*CHslave*II340+KLslave*IG340*II340</f>
        <v>3456</v>
      </c>
      <c r="IQ340" s="224">
        <f t="shared" si="3278"/>
        <v>1728</v>
      </c>
      <c r="IR340" s="224">
        <f t="shared" ref="IR340" si="3562">SUM(IO340:IQ340)</f>
        <v>7488</v>
      </c>
      <c r="IS340" s="222">
        <f t="shared" si="3371"/>
        <v>3.6923076923076925</v>
      </c>
      <c r="IT340" s="223">
        <f t="shared" si="3372"/>
        <v>11.076923076923077</v>
      </c>
      <c r="IU340" s="243">
        <f t="shared" si="3373"/>
        <v>8.3076923076923084</v>
      </c>
      <c r="IV340" s="243">
        <f t="shared" si="3374"/>
        <v>23.07692307692308</v>
      </c>
      <c r="IW340" s="252">
        <f t="shared" si="2943"/>
        <v>0</v>
      </c>
      <c r="IX340" s="324">
        <f t="shared" si="3041"/>
        <v>23.07692307692308</v>
      </c>
      <c r="IY340" s="304">
        <f t="shared" si="3544"/>
        <v>263.30769230769232</v>
      </c>
      <c r="IZ340" s="335">
        <f t="shared" si="3544"/>
        <v>3</v>
      </c>
      <c r="JA340" s="243">
        <f t="shared" si="3043"/>
        <v>260.30769230769232</v>
      </c>
      <c r="JB340" s="218">
        <f t="shared" si="3044"/>
        <v>0</v>
      </c>
      <c r="JE340" s="148"/>
    </row>
    <row r="341" spans="1:265" s="205" customFormat="1" ht="15" hidden="1" customHeight="1" outlineLevel="2">
      <c r="A341" s="185"/>
      <c r="B341" s="217">
        <v>19</v>
      </c>
      <c r="C341" s="303" t="e">
        <f>VLOOKUP(AF341,Attribute!C:T,1,FALSE)</f>
        <v>#N/A</v>
      </c>
      <c r="D341" s="304" t="s">
        <v>501</v>
      </c>
      <c r="E341" s="304" t="s">
        <v>132</v>
      </c>
      <c r="F341" s="213"/>
      <c r="G341" s="214"/>
      <c r="H341" s="214"/>
      <c r="I341" s="113">
        <f>Konvention_1master-CHmaster</f>
        <v>12</v>
      </c>
      <c r="J341" s="214"/>
      <c r="K341" s="113">
        <f>Konvention_1master-GEmaster</f>
        <v>12</v>
      </c>
      <c r="L341" s="214"/>
      <c r="M341" s="215"/>
      <c r="N341" s="223">
        <f>(I341+I341+K341)/3</f>
        <v>12</v>
      </c>
      <c r="O341" s="223">
        <f t="shared" ref="O341" si="3563">2*N341</f>
        <v>24</v>
      </c>
      <c r="P341" s="224">
        <f t="shared" ref="P341" si="3564">3*N341</f>
        <v>36</v>
      </c>
      <c r="Q341" s="237">
        <f>I341*POWER(INmaster,SIGN(K341))*POWER(KLmaster,SIGN(I341))+I341*POWER(INmaster,SIGN(K341))*POWER(KLmaster,SIGN(I341))+K341*POWER(KLmaster,SIGN(I341))*POWER(KLmaster,SIGN(I341))</f>
        <v>2304</v>
      </c>
      <c r="R341" s="117">
        <f>I341*I341*GEmaster+I341*CHmaster*K341+CHmaster*I341*K341</f>
        <v>3456</v>
      </c>
      <c r="S341" s="224">
        <f>I341*I341*K341</f>
        <v>1728</v>
      </c>
      <c r="T341" s="224">
        <f t="shared" ref="T341" si="3565">SUM(Q341:S341)</f>
        <v>7488</v>
      </c>
      <c r="U341" s="222">
        <f t="shared" ref="U341" si="3566">N341*Q341/T341</f>
        <v>3.6923076923076925</v>
      </c>
      <c r="V341" s="223">
        <f t="shared" ref="V341" si="3567">O341*R341/T341</f>
        <v>11.076923076923077</v>
      </c>
      <c r="W341" s="243">
        <f t="shared" ref="W341" si="3568">P341*S341/T341</f>
        <v>8.3076923076923084</v>
      </c>
      <c r="X341" s="243">
        <f t="shared" ref="X341" si="3569">SUM(U341:W341)</f>
        <v>23.07692307692308</v>
      </c>
      <c r="Y341" s="252">
        <v>0</v>
      </c>
      <c r="Z341" s="324">
        <f t="shared" ref="Z341" si="3570">X341-Y341</f>
        <v>23.07692307692308</v>
      </c>
      <c r="AA341" s="304">
        <f>IF(X341&lt;=0,2,0)+IF(X341&gt;0,X341+1,0)*2+IF(X341&gt;12,X341-12,0)*2+IF(X341&gt;13,X341-13,0)*2+IF(X341&gt;14,X341-14,0)*2+IF(X341&gt;15,X341-15,0)*2+IF(X341&gt;16,X341-16,0)*2+IF(X341&gt;17,X341-17,0)*2+IF(X341&gt;18,X341-18,0)*2+IF(X341&gt;19,X341-19,0)*2+IF(X341&gt;20,X341-20,0)*2</f>
        <v>175.5384615384616</v>
      </c>
      <c r="AB341" s="335">
        <f>IF(Y341&lt;=0,2,0)+IF(Y341&gt;0,Y341+1,0)*2+IF(Y341&gt;12,Y341-12,0)*2+IF(Y341&gt;13,Y341-13,0)*2+IF(Y341&gt;14,Y341-14,0)*2+IF(Y341&gt;15,Y341-15,0)*2+IF(Y341&gt;16,Y341-16,0)*2+IF(Y341&gt;17,Y341-17,0)*2+IF(Y341&gt;18,Y341-18,0)*2+IF(Y341&gt;19,Y341-19,0)*2+IF(Y341&gt;20,Y341-20,0)*2</f>
        <v>2</v>
      </c>
      <c r="AC341" s="243">
        <f t="shared" ref="AC341:AC344" si="3571">IF((AA341-AB341)&gt;0,AA341-AB341,0)</f>
        <v>173.5384615384616</v>
      </c>
      <c r="AD341" s="218">
        <f t="shared" ref="AD341" si="3572">IF((AB341-AA341)&gt;0,AB341-AA341,0)</f>
        <v>0</v>
      </c>
      <c r="AE341" s="299"/>
      <c r="AF341" s="303" t="s">
        <v>493</v>
      </c>
      <c r="AG341" s="304" t="s">
        <v>501</v>
      </c>
      <c r="AH341" s="304" t="s">
        <v>132</v>
      </c>
      <c r="AI341" s="213"/>
      <c r="AJ341" s="214"/>
      <c r="AK341" s="214"/>
      <c r="AL341" s="113">
        <f>Konvention_1slave-CHslave</f>
        <v>12</v>
      </c>
      <c r="AM341" s="214"/>
      <c r="AN341" s="113">
        <f>Konvention_1slave-GEslave</f>
        <v>12</v>
      </c>
      <c r="AO341" s="214"/>
      <c r="AP341" s="215"/>
      <c r="AQ341" s="223">
        <f>(AL341+AL341+AN341)/3</f>
        <v>12</v>
      </c>
      <c r="AR341" s="223">
        <f t="shared" ref="AR341" si="3573">2*AQ341</f>
        <v>24</v>
      </c>
      <c r="AS341" s="224">
        <f t="shared" ref="AS341" si="3574">3*AQ341</f>
        <v>36</v>
      </c>
      <c r="AT341" s="237">
        <f>AL341*POWER(INslave,SIGN(AN341))*POWER(KLslave,SIGN(AL341))+AL341*POWER(INslave,SIGN(AN341))*POWER(KLslave,SIGN(AL341))+AN341*POWER(KLslave,SIGN(AL341))*POWER(KLslave,SIGN(AL341))</f>
        <v>2304</v>
      </c>
      <c r="AU341" s="117">
        <f>AL341*AL341*GEslave+AL341*CHslave*AN341+CHslave*AL341*AN341</f>
        <v>3456</v>
      </c>
      <c r="AV341" s="224">
        <f>AL341*AL341*AN341</f>
        <v>1728</v>
      </c>
      <c r="AW341" s="224">
        <f t="shared" ref="AW341" si="3575">SUM(AT341:AV341)</f>
        <v>7488</v>
      </c>
      <c r="AX341" s="222">
        <f t="shared" ref="AX341" si="3576">AQ341*AT341/AW341</f>
        <v>3.6923076923076925</v>
      </c>
      <c r="AY341" s="223">
        <f t="shared" ref="AY341" si="3577">AR341*AU341/AW341</f>
        <v>11.076923076923077</v>
      </c>
      <c r="AZ341" s="243">
        <f t="shared" ref="AZ341" si="3578">AS341*AV341/AW341</f>
        <v>8.3076923076923084</v>
      </c>
      <c r="BA341" s="243">
        <f t="shared" ref="BA341" si="3579">SUM(AX341:AZ341)</f>
        <v>23.07692307692308</v>
      </c>
      <c r="BB341" s="252">
        <f t="shared" si="2034"/>
        <v>0</v>
      </c>
      <c r="BC341" s="324">
        <f t="shared" ref="BC341" si="3580">BA341-BB341</f>
        <v>23.07692307692308</v>
      </c>
      <c r="BD341" s="304">
        <f>IF(BA341&lt;=0,2,0)+IF(BA341&gt;0,BA341+1,0)*2+IF(BA341&gt;12,BA341-12,0)*2+IF(BA341&gt;13,BA341-13,0)*2+IF(BA341&gt;14,BA341-14,0)*2+IF(BA341&gt;15,BA341-15,0)*2+IF(BA341&gt;16,BA341-16,0)*2+IF(BA341&gt;17,BA341-17,0)*2+IF(BA341&gt;18,BA341-18,0)*2+IF(BA341&gt;19,BA341-19,0)*2+IF(BA341&gt;20,BA341-20,0)*2</f>
        <v>175.5384615384616</v>
      </c>
      <c r="BE341" s="335">
        <f>IF(BB341&lt;=0,2,0)+IF(BB341&gt;0,BB341+1,0)*2+IF(BB341&gt;12,BB341-12,0)*2+IF(BB341&gt;13,BB341-13,0)*2+IF(BB341&gt;14,BB341-14,0)*2+IF(BB341&gt;15,BB341-15,0)*2+IF(BB341&gt;16,BB341-16,0)*2+IF(BB341&gt;17,BB341-17,0)*2+IF(BB341&gt;18,BB341-18,0)*2+IF(BB341&gt;19,BB341-19,0)*2+IF(BB341&gt;20,BB341-20,0)*2</f>
        <v>2</v>
      </c>
      <c r="BF341" s="243">
        <f t="shared" ref="BF341:BF344" si="3581">IF((BD341-BE341)&gt;0,BD341-BE341,0)</f>
        <v>173.5384615384616</v>
      </c>
      <c r="BG341" s="218">
        <f t="shared" ref="BG341" si="3582">IF((BE341-BD341)&gt;0,BE341-BD341,0)</f>
        <v>0</v>
      </c>
      <c r="BH341" s="248"/>
      <c r="BI341" s="303" t="s">
        <v>493</v>
      </c>
      <c r="BJ341" s="304" t="s">
        <v>501</v>
      </c>
      <c r="BK341" s="304" t="s">
        <v>132</v>
      </c>
      <c r="BL341" s="213"/>
      <c r="BM341" s="214"/>
      <c r="BN341" s="214"/>
      <c r="BO341" s="113">
        <f>Konvention_1slave-CHslave</f>
        <v>12</v>
      </c>
      <c r="BP341" s="214"/>
      <c r="BQ341" s="113">
        <f>Konvention_1slave-GEslave</f>
        <v>12</v>
      </c>
      <c r="BR341" s="214"/>
      <c r="BS341" s="215"/>
      <c r="BT341" s="223">
        <f>(BO341+BO341+BQ341)/3</f>
        <v>12</v>
      </c>
      <c r="BU341" s="223">
        <f t="shared" ref="BU341" si="3583">2*BT341</f>
        <v>24</v>
      </c>
      <c r="BV341" s="224">
        <f t="shared" ref="BV341" si="3584">3*BT341</f>
        <v>36</v>
      </c>
      <c r="BW341" s="237">
        <f>BO341*POWER(INslave,SIGN(BQ341))*POWER(KLslave,SIGN(BO341))+BO341*POWER(INslave,SIGN(BQ341))*POWER(KLslave,SIGN(BO341))+BQ341*POWER(KLslave,SIGN(BO341))*POWER(KLslave,SIGN(BO341))</f>
        <v>2304</v>
      </c>
      <c r="BX341" s="117">
        <f>BO341*BO341*GEslave+BO341*CHslave*BQ341+CHslave*BO341*BQ341</f>
        <v>3456</v>
      </c>
      <c r="BY341" s="224">
        <f>BO341*BO341*BQ341</f>
        <v>1728</v>
      </c>
      <c r="BZ341" s="224">
        <f t="shared" ref="BZ341" si="3585">SUM(BW341:BY341)</f>
        <v>7488</v>
      </c>
      <c r="CA341" s="222">
        <f t="shared" ref="CA341" si="3586">BT341*BW341/BZ341</f>
        <v>3.6923076923076925</v>
      </c>
      <c r="CB341" s="223">
        <f t="shared" ref="CB341" si="3587">BU341*BX341/BZ341</f>
        <v>11.076923076923077</v>
      </c>
      <c r="CC341" s="243">
        <f t="shared" ref="CC341" si="3588">BV341*BY341/BZ341</f>
        <v>8.3076923076923084</v>
      </c>
      <c r="CD341" s="243">
        <f t="shared" ref="CD341" si="3589">SUM(CA341:CC341)</f>
        <v>23.07692307692308</v>
      </c>
      <c r="CE341" s="252">
        <f t="shared" si="2925"/>
        <v>0</v>
      </c>
      <c r="CF341" s="324">
        <f t="shared" ref="CF341" si="3590">CD341-CE341</f>
        <v>23.07692307692308</v>
      </c>
      <c r="CG341" s="304">
        <f>IF(CD341&lt;=0,2,0)+IF(CD341&gt;0,CD341+1,0)*2+IF(CD341&gt;12,CD341-12,0)*2+IF(CD341&gt;13,CD341-13,0)*2+IF(CD341&gt;14,CD341-14,0)*2+IF(CD341&gt;15,CD341-15,0)*2+IF(CD341&gt;16,CD341-16,0)*2+IF(CD341&gt;17,CD341-17,0)*2+IF(CD341&gt;18,CD341-18,0)*2+IF(CD341&gt;19,CD341-19,0)*2+IF(CD341&gt;20,CD341-20,0)*2</f>
        <v>175.5384615384616</v>
      </c>
      <c r="CH341" s="335">
        <f>IF(CE341&lt;=0,2,0)+IF(CE341&gt;0,CE341+1,0)*2+IF(CE341&gt;12,CE341-12,0)*2+IF(CE341&gt;13,CE341-13,0)*2+IF(CE341&gt;14,CE341-14,0)*2+IF(CE341&gt;15,CE341-15,0)*2+IF(CE341&gt;16,CE341-16,0)*2+IF(CE341&gt;17,CE341-17,0)*2+IF(CE341&gt;18,CE341-18,0)*2+IF(CE341&gt;19,CE341-19,0)*2+IF(CE341&gt;20,CE341-20,0)*2</f>
        <v>2</v>
      </c>
      <c r="CI341" s="243">
        <f t="shared" ref="CI341:CI344" si="3591">IF((CG341-CH341)&gt;0,CG341-CH341,0)</f>
        <v>173.5384615384616</v>
      </c>
      <c r="CJ341" s="218">
        <f t="shared" ref="CJ341" si="3592">IF((CH341-CG341)&gt;0,CH341-CG341,0)</f>
        <v>0</v>
      </c>
      <c r="CK341" s="248"/>
      <c r="CL341" s="303" t="s">
        <v>493</v>
      </c>
      <c r="CM341" s="304" t="s">
        <v>501</v>
      </c>
      <c r="CN341" s="304" t="s">
        <v>132</v>
      </c>
      <c r="CO341" s="213"/>
      <c r="CP341" s="214"/>
      <c r="CQ341" s="214"/>
      <c r="CR341" s="113">
        <f>Konvention_1slave-CHslave</f>
        <v>12</v>
      </c>
      <c r="CS341" s="214"/>
      <c r="CT341" s="113">
        <f>Konvention_1slave-GEslave</f>
        <v>12</v>
      </c>
      <c r="CU341" s="214"/>
      <c r="CV341" s="215"/>
      <c r="CW341" s="223">
        <f>(CR341+CR341+CT341)/3</f>
        <v>12</v>
      </c>
      <c r="CX341" s="223">
        <f t="shared" ref="CX341" si="3593">2*CW341</f>
        <v>24</v>
      </c>
      <c r="CY341" s="224">
        <f t="shared" ref="CY341" si="3594">3*CW341</f>
        <v>36</v>
      </c>
      <c r="CZ341" s="237">
        <f>CR341*POWER(INslave,SIGN(CT341))*POWER(KLslave,SIGN(CR341))+CR341*POWER(INslave,SIGN(CT341))*POWER(KLslave,SIGN(CR341))+CT341*POWER(KLslave,SIGN(CR341))*POWER(KLslave,SIGN(CR341))</f>
        <v>2304</v>
      </c>
      <c r="DA341" s="117">
        <f>CR341*CR341*GEslave+CR341*CHslave*CT341+CHslave*CR341*CT341</f>
        <v>3456</v>
      </c>
      <c r="DB341" s="224">
        <f>CR341*CR341*CT341</f>
        <v>1728</v>
      </c>
      <c r="DC341" s="224">
        <f t="shared" ref="DC341" si="3595">SUM(CZ341:DB341)</f>
        <v>7488</v>
      </c>
      <c r="DD341" s="222">
        <f t="shared" ref="DD341" si="3596">CW341*CZ341/DC341</f>
        <v>3.6923076923076925</v>
      </c>
      <c r="DE341" s="223">
        <f t="shared" ref="DE341" si="3597">CX341*DA341/DC341</f>
        <v>11.076923076923077</v>
      </c>
      <c r="DF341" s="243">
        <f t="shared" ref="DF341" si="3598">CY341*DB341/DC341</f>
        <v>8.3076923076923084</v>
      </c>
      <c r="DG341" s="243">
        <f t="shared" ref="DG341" si="3599">SUM(DD341:DF341)</f>
        <v>23.07692307692308</v>
      </c>
      <c r="DH341" s="252">
        <f t="shared" si="2928"/>
        <v>0</v>
      </c>
      <c r="DI341" s="324">
        <f t="shared" ref="DI341" si="3600">DG341-DH341</f>
        <v>23.07692307692308</v>
      </c>
      <c r="DJ341" s="304">
        <f>IF(DG341&lt;=0,2,0)+IF(DG341&gt;0,DG341+1,0)*2+IF(DG341&gt;12,DG341-12,0)*2+IF(DG341&gt;13,DG341-13,0)*2+IF(DG341&gt;14,DG341-14,0)*2+IF(DG341&gt;15,DG341-15,0)*2+IF(DG341&gt;16,DG341-16,0)*2+IF(DG341&gt;17,DG341-17,0)*2+IF(DG341&gt;18,DG341-18,0)*2+IF(DG341&gt;19,DG341-19,0)*2+IF(DG341&gt;20,DG341-20,0)*2</f>
        <v>175.5384615384616</v>
      </c>
      <c r="DK341" s="335">
        <f>IF(DH341&lt;=0,2,0)+IF(DH341&gt;0,DH341+1,0)*2+IF(DH341&gt;12,DH341-12,0)*2+IF(DH341&gt;13,DH341-13,0)*2+IF(DH341&gt;14,DH341-14,0)*2+IF(DH341&gt;15,DH341-15,0)*2+IF(DH341&gt;16,DH341-16,0)*2+IF(DH341&gt;17,DH341-17,0)*2+IF(DH341&gt;18,DH341-18,0)*2+IF(DH341&gt;19,DH341-19,0)*2+IF(DH341&gt;20,DH341-20,0)*2</f>
        <v>2</v>
      </c>
      <c r="DL341" s="243">
        <f t="shared" ref="DL341:DL344" si="3601">IF((DJ341-DK341)&gt;0,DJ341-DK341,0)</f>
        <v>173.5384615384616</v>
      </c>
      <c r="DM341" s="218">
        <f t="shared" ref="DM341" si="3602">IF((DK341-DJ341)&gt;0,DK341-DJ341,0)</f>
        <v>0</v>
      </c>
      <c r="DN341" s="248"/>
      <c r="DO341" s="303" t="s">
        <v>493</v>
      </c>
      <c r="DP341" s="304" t="s">
        <v>501</v>
      </c>
      <c r="DQ341" s="304" t="s">
        <v>132</v>
      </c>
      <c r="DR341" s="213"/>
      <c r="DS341" s="214"/>
      <c r="DT341" s="214"/>
      <c r="DU341" s="113">
        <f>Konvention_1slave-CHslave</f>
        <v>12</v>
      </c>
      <c r="DV341" s="214"/>
      <c r="DW341" s="113">
        <f>Konvention_1slave-GEslave</f>
        <v>12</v>
      </c>
      <c r="DX341" s="214"/>
      <c r="DY341" s="215"/>
      <c r="DZ341" s="223">
        <f>(DU341+DU341+DW341)/3</f>
        <v>12</v>
      </c>
      <c r="EA341" s="223">
        <f t="shared" ref="EA341" si="3603">2*DZ341</f>
        <v>24</v>
      </c>
      <c r="EB341" s="224">
        <f t="shared" ref="EB341" si="3604">3*DZ341</f>
        <v>36</v>
      </c>
      <c r="EC341" s="237">
        <f>DU341*POWER(INslave,SIGN(DW341))*POWER(KLslave,SIGN(DU341))+DU341*POWER(INslave,SIGN(DW341))*POWER(KLslave,SIGN(DU341))+DW341*POWER(KLslave,SIGN(DU341))*POWER(KLslave,SIGN(DU341))</f>
        <v>2304</v>
      </c>
      <c r="ED341" s="117">
        <f>DU341*DU341*GEslave+DU341*CHslave*DW341+CHslave*DU341*DW341</f>
        <v>3456</v>
      </c>
      <c r="EE341" s="224">
        <f>DU341*DU341*DW341</f>
        <v>1728</v>
      </c>
      <c r="EF341" s="224">
        <f t="shared" ref="EF341" si="3605">SUM(EC341:EE341)</f>
        <v>7488</v>
      </c>
      <c r="EG341" s="222">
        <f t="shared" ref="EG341" si="3606">DZ341*EC341/EF341</f>
        <v>3.6923076923076925</v>
      </c>
      <c r="EH341" s="223">
        <f t="shared" ref="EH341" si="3607">EA341*ED341/EF341</f>
        <v>11.076923076923077</v>
      </c>
      <c r="EI341" s="243">
        <f t="shared" ref="EI341" si="3608">EB341*EE341/EF341</f>
        <v>8.3076923076923084</v>
      </c>
      <c r="EJ341" s="243">
        <f t="shared" ref="EJ341" si="3609">SUM(EG341:EI341)</f>
        <v>23.07692307692308</v>
      </c>
      <c r="EK341" s="252">
        <f t="shared" si="2931"/>
        <v>0</v>
      </c>
      <c r="EL341" s="324">
        <f t="shared" ref="EL341" si="3610">EJ341-EK341</f>
        <v>23.07692307692308</v>
      </c>
      <c r="EM341" s="304">
        <f>IF(EJ341&lt;=0,2,0)+IF(EJ341&gt;0,EJ341+1,0)*2+IF(EJ341&gt;12,EJ341-12,0)*2+IF(EJ341&gt;13,EJ341-13,0)*2+IF(EJ341&gt;14,EJ341-14,0)*2+IF(EJ341&gt;15,EJ341-15,0)*2+IF(EJ341&gt;16,EJ341-16,0)*2+IF(EJ341&gt;17,EJ341-17,0)*2+IF(EJ341&gt;18,EJ341-18,0)*2+IF(EJ341&gt;19,EJ341-19,0)*2+IF(EJ341&gt;20,EJ341-20,0)*2</f>
        <v>175.5384615384616</v>
      </c>
      <c r="EN341" s="335">
        <f>IF(EK341&lt;=0,2,0)+IF(EK341&gt;0,EK341+1,0)*2+IF(EK341&gt;12,EK341-12,0)*2+IF(EK341&gt;13,EK341-13,0)*2+IF(EK341&gt;14,EK341-14,0)*2+IF(EK341&gt;15,EK341-15,0)*2+IF(EK341&gt;16,EK341-16,0)*2+IF(EK341&gt;17,EK341-17,0)*2+IF(EK341&gt;18,EK341-18,0)*2+IF(EK341&gt;19,EK341-19,0)*2+IF(EK341&gt;20,EK341-20,0)*2</f>
        <v>2</v>
      </c>
      <c r="EO341" s="243">
        <f t="shared" ref="EO341:EO344" si="3611">IF((EM341-EN341)&gt;0,EM341-EN341,0)</f>
        <v>173.5384615384616</v>
      </c>
      <c r="EP341" s="218">
        <f t="shared" ref="EP341" si="3612">IF((EN341-EM341)&gt;0,EN341-EM341,0)</f>
        <v>0</v>
      </c>
      <c r="EQ341" s="248"/>
      <c r="ER341" s="303" t="s">
        <v>493</v>
      </c>
      <c r="ES341" s="304" t="s">
        <v>501</v>
      </c>
      <c r="ET341" s="304" t="s">
        <v>132</v>
      </c>
      <c r="EU341" s="213"/>
      <c r="EV341" s="214"/>
      <c r="EW341" s="214"/>
      <c r="EX341" s="113">
        <f>Konvention_1slave-CHslave</f>
        <v>12</v>
      </c>
      <c r="EY341" s="214"/>
      <c r="EZ341" s="113">
        <f>Konvention_1slave-GEslave</f>
        <v>12</v>
      </c>
      <c r="FA341" s="214"/>
      <c r="FB341" s="215"/>
      <c r="FC341" s="223">
        <f>(EX341+EX341+EZ341)/3</f>
        <v>12</v>
      </c>
      <c r="FD341" s="223">
        <f t="shared" ref="FD341" si="3613">2*FC341</f>
        <v>24</v>
      </c>
      <c r="FE341" s="224">
        <f t="shared" ref="FE341" si="3614">3*FC341</f>
        <v>36</v>
      </c>
      <c r="FF341" s="237">
        <f>EX341*POWER(INslave,SIGN(EZ341))*POWER(KLslave,SIGN(EX341))+EX341*POWER(INslave,SIGN(EZ341))*POWER(KLslave,SIGN(EX341))+EZ341*POWER(KLslave,SIGN(EX341))*POWER(KLslave,SIGN(EX341))</f>
        <v>2304</v>
      </c>
      <c r="FG341" s="117">
        <f>EX341*EX341*GEslave+EX341*CHslave*EZ341+CHslave*EX341*EZ341</f>
        <v>3456</v>
      </c>
      <c r="FH341" s="224">
        <f>EX341*EX341*EZ341</f>
        <v>1728</v>
      </c>
      <c r="FI341" s="224">
        <f t="shared" ref="FI341" si="3615">SUM(FF341:FH341)</f>
        <v>7488</v>
      </c>
      <c r="FJ341" s="222">
        <f t="shared" ref="FJ341" si="3616">FC341*FF341/FI341</f>
        <v>3.6923076923076925</v>
      </c>
      <c r="FK341" s="223">
        <f t="shared" ref="FK341" si="3617">FD341*FG341/FI341</f>
        <v>11.076923076923077</v>
      </c>
      <c r="FL341" s="243">
        <f t="shared" ref="FL341" si="3618">FE341*FH341/FI341</f>
        <v>8.3076923076923084</v>
      </c>
      <c r="FM341" s="243">
        <f t="shared" ref="FM341" si="3619">SUM(FJ341:FL341)</f>
        <v>23.07692307692308</v>
      </c>
      <c r="FN341" s="252">
        <f t="shared" si="2934"/>
        <v>0</v>
      </c>
      <c r="FO341" s="324">
        <f t="shared" ref="FO341" si="3620">FM341-FN341</f>
        <v>23.07692307692308</v>
      </c>
      <c r="FP341" s="304">
        <f>IF(FM341&lt;=0,2,0)+IF(FM341&gt;0,FM341+1,0)*2+IF(FM341&gt;12,FM341-12,0)*2+IF(FM341&gt;13,FM341-13,0)*2+IF(FM341&gt;14,FM341-14,0)*2+IF(FM341&gt;15,FM341-15,0)*2+IF(FM341&gt;16,FM341-16,0)*2+IF(FM341&gt;17,FM341-17,0)*2+IF(FM341&gt;18,FM341-18,0)*2+IF(FM341&gt;19,FM341-19,0)*2+IF(FM341&gt;20,FM341-20,0)*2</f>
        <v>175.5384615384616</v>
      </c>
      <c r="FQ341" s="335">
        <f>IF(FN341&lt;=0,2,0)+IF(FN341&gt;0,FN341+1,0)*2+IF(FN341&gt;12,FN341-12,0)*2+IF(FN341&gt;13,FN341-13,0)*2+IF(FN341&gt;14,FN341-14,0)*2+IF(FN341&gt;15,FN341-15,0)*2+IF(FN341&gt;16,FN341-16,0)*2+IF(FN341&gt;17,FN341-17,0)*2+IF(FN341&gt;18,FN341-18,0)*2+IF(FN341&gt;19,FN341-19,0)*2+IF(FN341&gt;20,FN341-20,0)*2</f>
        <v>2</v>
      </c>
      <c r="FR341" s="243">
        <f t="shared" ref="FR341:FR344" si="3621">IF((FP341-FQ341)&gt;0,FP341-FQ341,0)</f>
        <v>173.5384615384616</v>
      </c>
      <c r="FS341" s="218">
        <f t="shared" ref="FS341" si="3622">IF((FQ341-FP341)&gt;0,FQ341-FP341,0)</f>
        <v>0</v>
      </c>
      <c r="FT341" s="248"/>
      <c r="FU341" s="303" t="s">
        <v>493</v>
      </c>
      <c r="FV341" s="304" t="s">
        <v>501</v>
      </c>
      <c r="FW341" s="304" t="s">
        <v>132</v>
      </c>
      <c r="FX341" s="213"/>
      <c r="FY341" s="214"/>
      <c r="FZ341" s="214"/>
      <c r="GA341" s="113">
        <f>Konvention_1slave-CHslave</f>
        <v>12</v>
      </c>
      <c r="GB341" s="214"/>
      <c r="GC341" s="113">
        <f>Konvention_1slave-GEslave</f>
        <v>12</v>
      </c>
      <c r="GD341" s="214"/>
      <c r="GE341" s="215"/>
      <c r="GF341" s="223">
        <f>(GA341+GA341+GC341)/3</f>
        <v>12</v>
      </c>
      <c r="GG341" s="223">
        <f t="shared" ref="GG341" si="3623">2*GF341</f>
        <v>24</v>
      </c>
      <c r="GH341" s="224">
        <f t="shared" ref="GH341" si="3624">3*GF341</f>
        <v>36</v>
      </c>
      <c r="GI341" s="237">
        <f>GA341*POWER(INslave,SIGN(GC341))*POWER(KLslave,SIGN(GA341))+GA341*POWER(INslave,SIGN(GC341))*POWER(KLslave,SIGN(GA341))+GC341*POWER(KLslave,SIGN(GA341))*POWER(KLslave,SIGN(GA341))</f>
        <v>2304</v>
      </c>
      <c r="GJ341" s="117">
        <f>GA341*GA341*GEslave+GA341*CHslave*GC341+CHslave*GA341*GC341</f>
        <v>3456</v>
      </c>
      <c r="GK341" s="224">
        <f>GA341*GA341*GC341</f>
        <v>1728</v>
      </c>
      <c r="GL341" s="224">
        <f t="shared" ref="GL341" si="3625">SUM(GI341:GK341)</f>
        <v>7488</v>
      </c>
      <c r="GM341" s="222">
        <f t="shared" ref="GM341" si="3626">GF341*GI341/GL341</f>
        <v>3.6923076923076925</v>
      </c>
      <c r="GN341" s="223">
        <f t="shared" ref="GN341" si="3627">GG341*GJ341/GL341</f>
        <v>11.076923076923077</v>
      </c>
      <c r="GO341" s="243">
        <f t="shared" ref="GO341" si="3628">GH341*GK341/GL341</f>
        <v>8.3076923076923084</v>
      </c>
      <c r="GP341" s="243">
        <f t="shared" ref="GP341" si="3629">SUM(GM341:GO341)</f>
        <v>23.07692307692308</v>
      </c>
      <c r="GQ341" s="252">
        <f t="shared" si="2937"/>
        <v>0</v>
      </c>
      <c r="GR341" s="324">
        <f t="shared" ref="GR341" si="3630">GP341-GQ341</f>
        <v>23.07692307692308</v>
      </c>
      <c r="GS341" s="304">
        <f>IF(GP341&lt;=0,2,0)+IF(GP341&gt;0,GP341+1,0)*2+IF(GP341&gt;12,GP341-12,0)*2+IF(GP341&gt;13,GP341-13,0)*2+IF(GP341&gt;14,GP341-14,0)*2+IF(GP341&gt;15,GP341-15,0)*2+IF(GP341&gt;16,GP341-16,0)*2+IF(GP341&gt;17,GP341-17,0)*2+IF(GP341&gt;18,GP341-18,0)*2+IF(GP341&gt;19,GP341-19,0)*2+IF(GP341&gt;20,GP341-20,0)*2</f>
        <v>175.5384615384616</v>
      </c>
      <c r="GT341" s="335">
        <f>IF(GQ341&lt;=0,2,0)+IF(GQ341&gt;0,GQ341+1,0)*2+IF(GQ341&gt;12,GQ341-12,0)*2+IF(GQ341&gt;13,GQ341-13,0)*2+IF(GQ341&gt;14,GQ341-14,0)*2+IF(GQ341&gt;15,GQ341-15,0)*2+IF(GQ341&gt;16,GQ341-16,0)*2+IF(GQ341&gt;17,GQ341-17,0)*2+IF(GQ341&gt;18,GQ341-18,0)*2+IF(GQ341&gt;19,GQ341-19,0)*2+IF(GQ341&gt;20,GQ341-20,0)*2</f>
        <v>2</v>
      </c>
      <c r="GU341" s="243">
        <f t="shared" ref="GU341:GU344" si="3631">IF((GS341-GT341)&gt;0,GS341-GT341,0)</f>
        <v>173.5384615384616</v>
      </c>
      <c r="GV341" s="218">
        <f t="shared" ref="GV341" si="3632">IF((GT341-GS341)&gt;0,GT341-GS341,0)</f>
        <v>0</v>
      </c>
      <c r="GW341" s="248"/>
      <c r="GX341" s="303" t="s">
        <v>493</v>
      </c>
      <c r="GY341" s="304" t="s">
        <v>501</v>
      </c>
      <c r="GZ341" s="304" t="s">
        <v>132</v>
      </c>
      <c r="HA341" s="213"/>
      <c r="HB341" s="214"/>
      <c r="HC341" s="214"/>
      <c r="HD341" s="113">
        <f>Konvention_1slave-CHslave</f>
        <v>12</v>
      </c>
      <c r="HE341" s="214"/>
      <c r="HF341" s="113">
        <f>Konvention_1slave-GEslave</f>
        <v>12</v>
      </c>
      <c r="HG341" s="214"/>
      <c r="HH341" s="215"/>
      <c r="HI341" s="223">
        <f>(HD341+HD341+HF341)/3</f>
        <v>12</v>
      </c>
      <c r="HJ341" s="223">
        <f t="shared" ref="HJ341" si="3633">2*HI341</f>
        <v>24</v>
      </c>
      <c r="HK341" s="224">
        <f t="shared" ref="HK341" si="3634">3*HI341</f>
        <v>36</v>
      </c>
      <c r="HL341" s="237">
        <f>HD341*POWER(INslave,SIGN(HF341))*POWER(KLslave,SIGN(HD341))+HD341*POWER(INslave,SIGN(HF341))*POWER(KLslave,SIGN(HD341))+HF341*POWER(KLslave,SIGN(HD341))*POWER(KLslave,SIGN(HD341))</f>
        <v>2304</v>
      </c>
      <c r="HM341" s="117">
        <f>HD341*HD341*GEslave+HD341*CHslave*HF341+CHslave*HD341*HF341</f>
        <v>3456</v>
      </c>
      <c r="HN341" s="224">
        <f>HD341*HD341*HF341</f>
        <v>1728</v>
      </c>
      <c r="HO341" s="224">
        <f t="shared" ref="HO341" si="3635">SUM(HL341:HN341)</f>
        <v>7488</v>
      </c>
      <c r="HP341" s="222">
        <f t="shared" ref="HP341" si="3636">HI341*HL341/HO341</f>
        <v>3.6923076923076925</v>
      </c>
      <c r="HQ341" s="223">
        <f t="shared" ref="HQ341" si="3637">HJ341*HM341/HO341</f>
        <v>11.076923076923077</v>
      </c>
      <c r="HR341" s="243">
        <f t="shared" ref="HR341" si="3638">HK341*HN341/HO341</f>
        <v>8.3076923076923084</v>
      </c>
      <c r="HS341" s="243">
        <f t="shared" ref="HS341" si="3639">SUM(HP341:HR341)</f>
        <v>23.07692307692308</v>
      </c>
      <c r="HT341" s="252">
        <f t="shared" si="2940"/>
        <v>0</v>
      </c>
      <c r="HU341" s="324">
        <f t="shared" ref="HU341" si="3640">HS341-HT341</f>
        <v>23.07692307692308</v>
      </c>
      <c r="HV341" s="304">
        <f>IF(HS341&lt;=0,2,0)+IF(HS341&gt;0,HS341+1,0)*2+IF(HS341&gt;12,HS341-12,0)*2+IF(HS341&gt;13,HS341-13,0)*2+IF(HS341&gt;14,HS341-14,0)*2+IF(HS341&gt;15,HS341-15,0)*2+IF(HS341&gt;16,HS341-16,0)*2+IF(HS341&gt;17,HS341-17,0)*2+IF(HS341&gt;18,HS341-18,0)*2+IF(HS341&gt;19,HS341-19,0)*2+IF(HS341&gt;20,HS341-20,0)*2</f>
        <v>175.5384615384616</v>
      </c>
      <c r="HW341" s="335">
        <f>IF(HT341&lt;=0,2,0)+IF(HT341&gt;0,HT341+1,0)*2+IF(HT341&gt;12,HT341-12,0)*2+IF(HT341&gt;13,HT341-13,0)*2+IF(HT341&gt;14,HT341-14,0)*2+IF(HT341&gt;15,HT341-15,0)*2+IF(HT341&gt;16,HT341-16,0)*2+IF(HT341&gt;17,HT341-17,0)*2+IF(HT341&gt;18,HT341-18,0)*2+IF(HT341&gt;19,HT341-19,0)*2+IF(HT341&gt;20,HT341-20,0)*2</f>
        <v>2</v>
      </c>
      <c r="HX341" s="243">
        <f t="shared" ref="HX341:HX344" si="3641">IF((HV341-HW341)&gt;0,HV341-HW341,0)</f>
        <v>173.5384615384616</v>
      </c>
      <c r="HY341" s="218">
        <f t="shared" ref="HY341" si="3642">IF((HW341-HV341)&gt;0,HW341-HV341,0)</f>
        <v>0</v>
      </c>
      <c r="HZ341" s="248"/>
      <c r="IA341" s="303" t="s">
        <v>493</v>
      </c>
      <c r="IB341" s="304" t="s">
        <v>501</v>
      </c>
      <c r="IC341" s="304" t="s">
        <v>132</v>
      </c>
      <c r="ID341" s="213"/>
      <c r="IE341" s="214"/>
      <c r="IF341" s="214"/>
      <c r="IG341" s="113">
        <f>Konvention_1slave-CHslave</f>
        <v>12</v>
      </c>
      <c r="IH341" s="214"/>
      <c r="II341" s="113">
        <f>Konvention_1slave-GEslave</f>
        <v>12</v>
      </c>
      <c r="IJ341" s="214"/>
      <c r="IK341" s="215"/>
      <c r="IL341" s="223">
        <f>(IG341+IG341+II341)/3</f>
        <v>12</v>
      </c>
      <c r="IM341" s="223">
        <f t="shared" ref="IM341" si="3643">2*IL341</f>
        <v>24</v>
      </c>
      <c r="IN341" s="224">
        <f t="shared" ref="IN341" si="3644">3*IL341</f>
        <v>36</v>
      </c>
      <c r="IO341" s="237">
        <f>IG341*POWER(INslave,SIGN(II341))*POWER(KLslave,SIGN(IG341))+IG341*POWER(INslave,SIGN(II341))*POWER(KLslave,SIGN(IG341))+II341*POWER(KLslave,SIGN(IG341))*POWER(KLslave,SIGN(IG341))</f>
        <v>2304</v>
      </c>
      <c r="IP341" s="117">
        <f>IG341*IG341*GEslave+IG341*CHslave*II341+CHslave*IG341*II341</f>
        <v>3456</v>
      </c>
      <c r="IQ341" s="224">
        <f>IG341*IG341*II341</f>
        <v>1728</v>
      </c>
      <c r="IR341" s="224">
        <f t="shared" ref="IR341" si="3645">SUM(IO341:IQ341)</f>
        <v>7488</v>
      </c>
      <c r="IS341" s="222">
        <f t="shared" ref="IS341" si="3646">IL341*IO341/IR341</f>
        <v>3.6923076923076925</v>
      </c>
      <c r="IT341" s="223">
        <f t="shared" ref="IT341" si="3647">IM341*IP341/IR341</f>
        <v>11.076923076923077</v>
      </c>
      <c r="IU341" s="243">
        <f t="shared" ref="IU341" si="3648">IN341*IQ341/IR341</f>
        <v>8.3076923076923084</v>
      </c>
      <c r="IV341" s="243">
        <f t="shared" ref="IV341" si="3649">SUM(IS341:IU341)</f>
        <v>23.07692307692308</v>
      </c>
      <c r="IW341" s="252">
        <f t="shared" si="2943"/>
        <v>0</v>
      </c>
      <c r="IX341" s="324">
        <f t="shared" ref="IX341" si="3650">IV341-IW341</f>
        <v>23.07692307692308</v>
      </c>
      <c r="IY341" s="304">
        <f>IF(IV341&lt;=0,2,0)+IF(IV341&gt;0,IV341+1,0)*2+IF(IV341&gt;12,IV341-12,0)*2+IF(IV341&gt;13,IV341-13,0)*2+IF(IV341&gt;14,IV341-14,0)*2+IF(IV341&gt;15,IV341-15,0)*2+IF(IV341&gt;16,IV341-16,0)*2+IF(IV341&gt;17,IV341-17,0)*2+IF(IV341&gt;18,IV341-18,0)*2+IF(IV341&gt;19,IV341-19,0)*2+IF(IV341&gt;20,IV341-20,0)*2</f>
        <v>175.5384615384616</v>
      </c>
      <c r="IZ341" s="335">
        <f>IF(IW341&lt;=0,2,0)+IF(IW341&gt;0,IW341+1,0)*2+IF(IW341&gt;12,IW341-12,0)*2+IF(IW341&gt;13,IW341-13,0)*2+IF(IW341&gt;14,IW341-14,0)*2+IF(IW341&gt;15,IW341-15,0)*2+IF(IW341&gt;16,IW341-16,0)*2+IF(IW341&gt;17,IW341-17,0)*2+IF(IW341&gt;18,IW341-18,0)*2+IF(IW341&gt;19,IW341-19,0)*2+IF(IW341&gt;20,IW341-20,0)*2</f>
        <v>2</v>
      </c>
      <c r="JA341" s="243">
        <f t="shared" ref="JA341:JA344" si="3651">IF((IY341-IZ341)&gt;0,IY341-IZ341,0)</f>
        <v>173.5384615384616</v>
      </c>
      <c r="JB341" s="218">
        <f t="shared" ref="JB341" si="3652">IF((IZ341-IY341)&gt;0,IZ341-IY341,0)</f>
        <v>0</v>
      </c>
    </row>
    <row r="342" spans="1:265" hidden="1" outlineLevel="2">
      <c r="A342" s="185"/>
      <c r="B342" s="148">
        <v>20</v>
      </c>
      <c r="C342" s="303" t="e">
        <f>VLOOKUP(AF342,Attribute!C:T,1,FALSE)</f>
        <v>#N/A</v>
      </c>
      <c r="D342" s="304" t="s">
        <v>8</v>
      </c>
      <c r="E342" s="304" t="s">
        <v>134</v>
      </c>
      <c r="F342" s="114">
        <f>Konvention_1master-MUmaster</f>
        <v>12</v>
      </c>
      <c r="G342" s="113"/>
      <c r="H342" s="113">
        <f>Konvention_1master-INmaster</f>
        <v>12</v>
      </c>
      <c r="I342" s="113"/>
      <c r="J342" s="113"/>
      <c r="K342" s="113">
        <f>Konvention_1master-GEmaster</f>
        <v>12</v>
      </c>
      <c r="L342" s="113"/>
      <c r="M342" s="119"/>
      <c r="N342" s="223">
        <f>(F342+G342+H342+I342+J342+K342+L342+M342)/3</f>
        <v>12</v>
      </c>
      <c r="O342" s="223">
        <f>2*N342</f>
        <v>24</v>
      </c>
      <c r="P342" s="224">
        <f>3*N342</f>
        <v>36</v>
      </c>
      <c r="Q342" s="237">
        <f>F342*POWER(KLmaster,SIGN(G342))*POWER(INmaster,SIGN(H342))*POWER(CHmaster,SIGN(I342))*POWER(FFmaster,SIGN(J342))*POWER(GEmaster,SIGN(K342))*POWER(KOmaster,SIGN(L342))*POWER(KKmaster,SIGN(M342))+G342*POWER(MUmaster,SIGN(F342))*POWER(INmaster,SIGN(H342))*POWER(CHmaster,SIGN(I342))*POWER(FFmaster,SIGN(J342))*POWER(GEmaster,SIGN(K342))*POWER(KOmaster,SIGN(L342))*POWER(KKmaster,SIGN(M342))+H342*POWER(MUmaster,SIGN(F342))*POWER(KLmaster,SIGN(G342))*POWER(CHmaster,SIGN(I342))*POWER(FFmaster,SIGN(J342))*POWER(GEmaster,SIGN(K342))*POWER(KOmaster,SIGN(L342))*POWER(KKmaster,SIGN(M342))+I342*POWER(MUmaster,SIGN(F342))*POWER(KLmaster,SIGN(G342))*POWER(INmaster,SIGN(H342))*POWER(FFmaster,SIGN(J342))*POWER(GEmaster,SIGN(K342))*POWER(KOmaster,SIGN(L342))*POWER(KKmaster,SIGN(M342))+J342*POWER(MUmaster,SIGN(F342))*POWER(KLmaster,SIGN(G342))*POWER(INmaster,SIGN(H342))*POWER(CHmaster,SIGN(I342))*POWER(GEmaster,SIGN(K342))*POWER(KOmaster,SIGN(L342))*POWER(KKmaster,SIGN(M342))+K342*POWER(MUmaster,SIGN(F342))*POWER(KLmaster,SIGN(G342))*POWER(INmaster,SIGN(H342))*POWER(CHmaster,SIGN(I342))*POWER(FFmaster,SIGN(J342))*POWER(KOmaster,SIGN(L342))*POWER(KKmaster,SIGN(M342))+L342*POWER(MUmaster,SIGN(F342))*POWER(KLmaster,SIGN(G342))*POWER(INmaster,SIGN(H342))*POWER(CHmaster,SIGN(I342))*POWER(FFmaster,SIGN(J342))*POWER(GEmaster,SIGN(K342))*POWER(KKmaster,SIGN(M342))+M342*POWER(MUmaster,SIGN(F342))*POWER(KLmaster,SIGN(G342))*POWER(INmaster,SIGN(H342))*POWER(CHmaster,SIGN(I342))*POWER(FFmaster,SIGN(J342))*POWER(GEmaster,SIGN(K342))*POWER(KOmaster,SIGN(L342))</f>
        <v>2304</v>
      </c>
      <c r="R342" s="113">
        <f>F342*H342*GEmaster+F342*INmaster*K342+MUmaster*H342*K342</f>
        <v>3456</v>
      </c>
      <c r="S342" s="224">
        <f>IFERROR(F342^SIGN(F342),1)*IFERROR(G342^SIGN(G342),1)*IFERROR(H342^SIGN(H342),1)*IFERROR(I342^SIGN(I342),1)*IFERROR(J342^SIGN(J342),1)*IFERROR(K342^SIGN(K342),1)*IFERROR(L342^SIGN(L342),1)*IFERROR(M342^SIGN(M342),1)</f>
        <v>1728</v>
      </c>
      <c r="T342" s="224">
        <f>SUM(Q342:S342)</f>
        <v>7488</v>
      </c>
      <c r="U342" s="222">
        <f>N342*Q342/T342</f>
        <v>3.6923076923076925</v>
      </c>
      <c r="V342" s="223">
        <f>O342*R342/T342</f>
        <v>11.076923076923077</v>
      </c>
      <c r="W342" s="243">
        <f>P342*S342/T342</f>
        <v>8.3076923076923084</v>
      </c>
      <c r="X342" s="243">
        <f>SUM(U342:W342)</f>
        <v>23.07692307692308</v>
      </c>
      <c r="Y342" s="252">
        <v>0</v>
      </c>
      <c r="Z342" s="324">
        <f>X342-Y342</f>
        <v>23.07692307692308</v>
      </c>
      <c r="AA342" s="304">
        <f>IF(X342&lt;=0,4,0)+IF(X342&gt;0,X342+1,0)*4+IF(X342&gt;12,X342-12,0)*4+IF(X342&gt;13,X342-13,0)*4+IF(X342&gt;14,X342-14,0)*4+IF(X342&gt;15,X342-15,0)*4+IF(X342&gt;16,X342-16,0)*4+IF(X342&gt;17,X342-17,0)*4+IF(X342&gt;18,X342-18,0)*4+IF(X342&gt;19,X342-19,0)*4+IF(X342&gt;20,X342-20,0)*4</f>
        <v>351.07692307692321</v>
      </c>
      <c r="AB342" s="335">
        <f>IF(Y342&lt;=0,4,0)+IF(Y342&gt;0,Y342+1,0)*4+IF(Y342&gt;12,Y342-12,0)*4+IF(Y342&gt;13,Y342-13,0)*4+IF(Y342&gt;14,Y342-14,0)*4+IF(Y342&gt;15,Y342-15,0)*4+IF(Y342&gt;16,Y342-16,0)*4+IF(Y342&gt;17,Y342-17,0)*4+IF(Y342&gt;18,Y342-18,0)*4+IF(Y342&gt;19,Y342-19,0)*4+IF(Y342&gt;20,Y342-20,0)*4</f>
        <v>4</v>
      </c>
      <c r="AC342" s="243">
        <f t="shared" si="3571"/>
        <v>347.07692307692321</v>
      </c>
      <c r="AD342" s="218">
        <f>IF((AB342-AA342)&gt;0,AB342-AA342,0)</f>
        <v>0</v>
      </c>
      <c r="AE342" s="140"/>
      <c r="AF342" s="303" t="s">
        <v>494</v>
      </c>
      <c r="AG342" s="304" t="s">
        <v>8</v>
      </c>
      <c r="AH342" s="304" t="s">
        <v>134</v>
      </c>
      <c r="AI342" s="114">
        <f t="shared" ref="AI342:AI343" si="3653">Konvention_1slave-MUslave_MU</f>
        <v>11</v>
      </c>
      <c r="AJ342" s="113"/>
      <c r="AK342" s="113">
        <f>Konvention_1slave-INslave</f>
        <v>12</v>
      </c>
      <c r="AL342" s="113"/>
      <c r="AM342" s="113"/>
      <c r="AN342" s="113">
        <f>Konvention_1slave-GEslave</f>
        <v>12</v>
      </c>
      <c r="AO342" s="113"/>
      <c r="AP342" s="119"/>
      <c r="AQ342" s="223">
        <f>(AI342+AJ342+AK342+AL342+AM342+AN342+AO342+AP342)/3</f>
        <v>11.666666666666666</v>
      </c>
      <c r="AR342" s="223">
        <f>2*AQ342</f>
        <v>23.333333333333332</v>
      </c>
      <c r="AS342" s="224">
        <f>3*AQ342</f>
        <v>35</v>
      </c>
      <c r="AT342" s="237">
        <f t="shared" ref="AT342:AT344" si="3654">AI342*POWER(KLslave,SIGN(AJ342))*POWER(INslave,SIGN(AK342))*POWER(CHslave,SIGN(AL342))*POWER(FFslave,SIGN(AM342))*POWER(GEslave,SIGN(AN342))*POWER(KOslave,SIGN(AO342))*POWER(KKslave,SIGN(AP342))+AJ342*POWER(MUslave_MU,SIGN(AI342))*POWER(INslave,SIGN(AK342))*POWER(CHslave,SIGN(AL342))*POWER(FFslave,SIGN(AM342))*POWER(GEslave,SIGN(AN342))*POWER(KOslave,SIGN(AO342))*POWER(KKslave,SIGN(AP342))+AK342*POWER(MUslave_MU,SIGN(AI342))*POWER(KLslave,SIGN(AJ342))*POWER(CHslave,SIGN(AL342))*POWER(FFslave,SIGN(AM342))*POWER(GEslave,SIGN(AN342))*POWER(KOslave,SIGN(AO342))*POWER(KKslave,SIGN(AP342))+AL342*POWER(MUslave_MU,SIGN(AI342))*POWER(KLslave,SIGN(AJ342))*POWER(INslave,SIGN(AK342))*POWER(FFslave,SIGN(AM342))*POWER(GEslave,SIGN(AN342))*POWER(KOslave,SIGN(AO342))*POWER(KKslave,SIGN(AP342))+AM342*POWER(MUslave_MU,SIGN(AI342))*POWER(KLslave,SIGN(AJ342))*POWER(INslave,SIGN(AK342))*POWER(CHslave,SIGN(AL342))*POWER(GEslave,SIGN(AN342))*POWER(KOslave,SIGN(AO342))*POWER(KKslave,SIGN(AP342))+AN342*POWER(MUslave_MU,SIGN(AI342))*POWER(KLslave,SIGN(AJ342))*POWER(INslave,SIGN(AK342))*POWER(CHslave,SIGN(AL342))*POWER(FFslave,SIGN(AM342))*POWER(KOslave,SIGN(AO342))*POWER(KKslave,SIGN(AP342))+AO342*POWER(MUslave_MU,SIGN(AI342))*POWER(KLslave,SIGN(AJ342))*POWER(INslave,SIGN(AK342))*POWER(CHslave,SIGN(AL342))*POWER(FFslave,SIGN(AM342))*POWER(GEslave,SIGN(AN342))*POWER(KKslave,SIGN(AP342))+AP342*POWER(MUslave_MU,SIGN(AI342))*POWER(KLslave,SIGN(AJ342))*POWER(INslave,SIGN(AK342))*POWER(CHslave,SIGN(AL342))*POWER(FFslave,SIGN(AM342))*POWER(GEslave,SIGN(AN342))*POWER(KOslave,SIGN(AO342))</f>
        <v>2432</v>
      </c>
      <c r="AU342" s="113">
        <f>AI342*AK342*GEslave+AI342*INslave*AN342+MUslave_MU*AK342*AN342</f>
        <v>3408</v>
      </c>
      <c r="AV342" s="224">
        <f>IFERROR(AI342^SIGN(AI342),1)*IFERROR(AJ342^SIGN(AJ342),1)*IFERROR(AK342^SIGN(AK342),1)*IFERROR(AL342^SIGN(AL342),1)*IFERROR(AM342^SIGN(AM342),1)*IFERROR(AN342^SIGN(AN342),1)*IFERROR(AO342^SIGN(AO342),1)*IFERROR(AP342^SIGN(AP342),1)</f>
        <v>1584</v>
      </c>
      <c r="AW342" s="224">
        <f>SUM(AT342:AV342)</f>
        <v>7424</v>
      </c>
      <c r="AX342" s="222">
        <f>AQ342*AT342/AW342</f>
        <v>3.8218390804597702</v>
      </c>
      <c r="AY342" s="223">
        <f>AR342*AU342/AW342</f>
        <v>10.711206896551724</v>
      </c>
      <c r="AZ342" s="243">
        <f>AS342*AV342/AW342</f>
        <v>7.4676724137931032</v>
      </c>
      <c r="BA342" s="243">
        <f>SUM(AX342:AZ342)</f>
        <v>22.000718390804597</v>
      </c>
      <c r="BB342" s="252">
        <f t="shared" si="2034"/>
        <v>0</v>
      </c>
      <c r="BC342" s="324">
        <f>BA342-BB342</f>
        <v>22.000718390804597</v>
      </c>
      <c r="BD342" s="304">
        <f>IF(BA342&lt;=0,4,0)+IF(BA342&gt;0,BA342+1,0)*4+IF(BA342&gt;12,BA342-12,0)*4+IF(BA342&gt;13,BA342-13,0)*4+IF(BA342&gt;14,BA342-14,0)*4+IF(BA342&gt;15,BA342-15,0)*4+IF(BA342&gt;16,BA342-16,0)*4+IF(BA342&gt;17,BA342-17,0)*4+IF(BA342&gt;18,BA342-18,0)*4+IF(BA342&gt;19,BA342-19,0)*4+IF(BA342&gt;20,BA342-20,0)*4</f>
        <v>308.02873563218378</v>
      </c>
      <c r="BE342" s="335">
        <f>IF(BB342&lt;=0,4,0)+IF(BB342&gt;0,BB342+1,0)*4+IF(BB342&gt;12,BB342-12,0)*4+IF(BB342&gt;13,BB342-13,0)*4+IF(BB342&gt;14,BB342-14,0)*4+IF(BB342&gt;15,BB342-15,0)*4+IF(BB342&gt;16,BB342-16,0)*4+IF(BB342&gt;17,BB342-17,0)*4+IF(BB342&gt;18,BB342-18,0)*4+IF(BB342&gt;19,BB342-19,0)*4+IF(BB342&gt;20,BB342-20,0)*4</f>
        <v>4</v>
      </c>
      <c r="BF342" s="243">
        <f t="shared" si="3581"/>
        <v>304.02873563218378</v>
      </c>
      <c r="BG342" s="218">
        <f>IF((BE342-BD342)&gt;0,BE342-BD342,0)</f>
        <v>0</v>
      </c>
      <c r="BH342" s="248"/>
      <c r="BI342" s="303" t="s">
        <v>494</v>
      </c>
      <c r="BJ342" s="304" t="s">
        <v>8</v>
      </c>
      <c r="BK342" s="304" t="s">
        <v>134</v>
      </c>
      <c r="BL342" s="114">
        <f t="shared" ref="BL342:BL343" si="3655">Konvention_1slave-MUslave</f>
        <v>12</v>
      </c>
      <c r="BM342" s="113"/>
      <c r="BN342" s="113">
        <f>Konvention_1slave-INslave</f>
        <v>12</v>
      </c>
      <c r="BO342" s="113"/>
      <c r="BP342" s="113"/>
      <c r="BQ342" s="113">
        <f>Konvention_1slave-GEslave</f>
        <v>12</v>
      </c>
      <c r="BR342" s="113"/>
      <c r="BS342" s="119"/>
      <c r="BT342" s="223">
        <f>(BL342+BM342+BN342+BO342+BP342+BQ342+BR342+BS342)/3</f>
        <v>12</v>
      </c>
      <c r="BU342" s="223">
        <f>2*BT342</f>
        <v>24</v>
      </c>
      <c r="BV342" s="224">
        <f>3*BT342</f>
        <v>36</v>
      </c>
      <c r="BW342" s="237">
        <f t="shared" ref="BW342:BW344" si="3656">BL342*POWER(KLslave_KL,SIGN(BM342))*POWER(INslave,SIGN(BN342))*POWER(CHslave,SIGN(BO342))*POWER(FFslave,SIGN(BP342))*POWER(GEslave,SIGN(BQ342))*POWER(KOslave,SIGN(BR342))*POWER(KKslave,SIGN(BS342))+BM342*POWER(MUslave,SIGN(BL342))*POWER(INslave,SIGN(BN342))*POWER(CHslave,SIGN(BO342))*POWER(FFslave,SIGN(BP342))*POWER(GEslave,SIGN(BQ342))*POWER(KOslave,SIGN(BR342))*POWER(KKslave,SIGN(BS342))+BN342*POWER(MUslave,SIGN(BL342))*POWER(KLslave_KL,SIGN(BM342))*POWER(CHslave,SIGN(BO342))*POWER(FFslave,SIGN(BP342))*POWER(GEslave,SIGN(BQ342))*POWER(KOslave,SIGN(BR342))*POWER(KKslave,SIGN(BS342))+BO342*POWER(MUslave,SIGN(BL342))*POWER(KLslave_KL,SIGN(BM342))*POWER(INslave,SIGN(BN342))*POWER(FFslave,SIGN(BP342))*POWER(GEslave,SIGN(BQ342))*POWER(KOslave,SIGN(BR342))*POWER(KKslave,SIGN(BS342))+BP342*POWER(MUslave,SIGN(BL342))*POWER(KLslave_KL,SIGN(BM342))*POWER(INslave,SIGN(BN342))*POWER(CHslave,SIGN(BO342))*POWER(GEslave,SIGN(BQ342))*POWER(KOslave,SIGN(BR342))*POWER(KKslave,SIGN(BS342))+BQ342*POWER(MUslave,SIGN(BL342))*POWER(KLslave_KL,SIGN(BM342))*POWER(INslave,SIGN(BN342))*POWER(CHslave,SIGN(BO342))*POWER(FFslave,SIGN(BP342))*POWER(KOslave,SIGN(BR342))*POWER(KKslave,SIGN(BS342))+BR342*POWER(MUslave,SIGN(BL342))*POWER(KLslave_KL,SIGN(BM342))*POWER(INslave,SIGN(BN342))*POWER(CHslave,SIGN(BO342))*POWER(FFslave,SIGN(BP342))*POWER(GEslave,SIGN(BQ342))*POWER(KKslave,SIGN(BS342))+BS342*POWER(MUslave,SIGN(BL342))*POWER(KLslave_KL,SIGN(BM342))*POWER(INslave,SIGN(BN342))*POWER(CHslave,SIGN(BO342))*POWER(FFslave,SIGN(BP342))*POWER(GEslave,SIGN(BQ342))*POWER(KOslave,SIGN(BR342))</f>
        <v>2304</v>
      </c>
      <c r="BX342" s="113">
        <f>BL342*BN342*GEslave+BL342*INslave*BQ342+MUslave*BN342*BQ342</f>
        <v>3456</v>
      </c>
      <c r="BY342" s="224">
        <f>IFERROR(BL342^SIGN(BL342),1)*IFERROR(BM342^SIGN(BM342),1)*IFERROR(BN342^SIGN(BN342),1)*IFERROR(BO342^SIGN(BO342),1)*IFERROR(BP342^SIGN(BP342),1)*IFERROR(BQ342^SIGN(BQ342),1)*IFERROR(BR342^SIGN(BR342),1)*IFERROR(BS342^SIGN(BS342),1)</f>
        <v>1728</v>
      </c>
      <c r="BZ342" s="224">
        <f>SUM(BW342:BY342)</f>
        <v>7488</v>
      </c>
      <c r="CA342" s="222">
        <f>BT342*BW342/BZ342</f>
        <v>3.6923076923076925</v>
      </c>
      <c r="CB342" s="223">
        <f>BU342*BX342/BZ342</f>
        <v>11.076923076923077</v>
      </c>
      <c r="CC342" s="243">
        <f>BV342*BY342/BZ342</f>
        <v>8.3076923076923084</v>
      </c>
      <c r="CD342" s="243">
        <f>SUM(CA342:CC342)</f>
        <v>23.07692307692308</v>
      </c>
      <c r="CE342" s="252">
        <f t="shared" si="2925"/>
        <v>0</v>
      </c>
      <c r="CF342" s="324">
        <f>CD342-CE342</f>
        <v>23.07692307692308</v>
      </c>
      <c r="CG342" s="304">
        <f>IF(CD342&lt;=0,4,0)+IF(CD342&gt;0,CD342+1,0)*4+IF(CD342&gt;12,CD342-12,0)*4+IF(CD342&gt;13,CD342-13,0)*4+IF(CD342&gt;14,CD342-14,0)*4+IF(CD342&gt;15,CD342-15,0)*4+IF(CD342&gt;16,CD342-16,0)*4+IF(CD342&gt;17,CD342-17,0)*4+IF(CD342&gt;18,CD342-18,0)*4+IF(CD342&gt;19,CD342-19,0)*4+IF(CD342&gt;20,CD342-20,0)*4</f>
        <v>351.07692307692321</v>
      </c>
      <c r="CH342" s="335">
        <f>IF(CE342&lt;=0,4,0)+IF(CE342&gt;0,CE342+1,0)*4+IF(CE342&gt;12,CE342-12,0)*4+IF(CE342&gt;13,CE342-13,0)*4+IF(CE342&gt;14,CE342-14,0)*4+IF(CE342&gt;15,CE342-15,0)*4+IF(CE342&gt;16,CE342-16,0)*4+IF(CE342&gt;17,CE342-17,0)*4+IF(CE342&gt;18,CE342-18,0)*4+IF(CE342&gt;19,CE342-19,0)*4+IF(CE342&gt;20,CE342-20,0)*4</f>
        <v>4</v>
      </c>
      <c r="CI342" s="243">
        <f t="shared" si="3591"/>
        <v>347.07692307692321</v>
      </c>
      <c r="CJ342" s="218">
        <f>IF((CH342-CG342)&gt;0,CH342-CG342,0)</f>
        <v>0</v>
      </c>
      <c r="CK342" s="248"/>
      <c r="CL342" s="303" t="s">
        <v>494</v>
      </c>
      <c r="CM342" s="304" t="s">
        <v>8</v>
      </c>
      <c r="CN342" s="304" t="s">
        <v>134</v>
      </c>
      <c r="CO342" s="114">
        <f t="shared" ref="CO342:CO343" si="3657">Konvention_1slave-MUslave</f>
        <v>12</v>
      </c>
      <c r="CP342" s="113"/>
      <c r="CQ342" s="113">
        <f>Konvention_1slave-INslave_IN</f>
        <v>11</v>
      </c>
      <c r="CR342" s="113"/>
      <c r="CS342" s="113"/>
      <c r="CT342" s="113">
        <f>Konvention_1slave-GEslave</f>
        <v>12</v>
      </c>
      <c r="CU342" s="113"/>
      <c r="CV342" s="119"/>
      <c r="CW342" s="223">
        <f>(CO342+CP342+CQ342+CR342+CS342+CT342+CU342+CV342)/3</f>
        <v>11.666666666666666</v>
      </c>
      <c r="CX342" s="223">
        <f>2*CW342</f>
        <v>23.333333333333332</v>
      </c>
      <c r="CY342" s="224">
        <f>3*CW342</f>
        <v>35</v>
      </c>
      <c r="CZ342" s="237">
        <f t="shared" ref="CZ342:CZ344" si="3658">CO342*POWER(KLslave,SIGN(CP342))*POWER(INslave_IN,SIGN(CQ342))*POWER(CHslave,SIGN(CR342))*POWER(FFslave,SIGN(CS342))*POWER(GEslave,SIGN(CT342))*POWER(KOslave,SIGN(CU342))*POWER(KKslave,SIGN(CV342))+CP342*POWER(MUslave,SIGN(CO342))*POWER(INslave_IN,SIGN(CQ342))*POWER(CHslave,SIGN(CR342))*POWER(FFslave,SIGN(CS342))*POWER(GEslave,SIGN(CT342))*POWER(KOslave,SIGN(CU342))*POWER(KKslave,SIGN(CV342))+CQ342*POWER(MUslave,SIGN(CO342))*POWER(KLslave,SIGN(CP342))*POWER(CHslave,SIGN(CR342))*POWER(FFslave,SIGN(CS342))*POWER(GEslave,SIGN(CT342))*POWER(KOslave,SIGN(CU342))*POWER(KKslave,SIGN(CV342))+CR342*POWER(MUslave,SIGN(CO342))*POWER(KLslave,SIGN(CP342))*POWER(INslave_IN,SIGN(CQ342))*POWER(FFslave,SIGN(CS342))*POWER(GEslave,SIGN(CT342))*POWER(KOslave,SIGN(CU342))*POWER(KKslave,SIGN(CV342))+CS342*POWER(MUslave,SIGN(CO342))*POWER(KLslave,SIGN(CP342))*POWER(INslave_IN,SIGN(CQ342))*POWER(CHslave,SIGN(CR342))*POWER(GEslave,SIGN(CT342))*POWER(KOslave,SIGN(CU342))*POWER(KKslave,SIGN(CV342))+CT342*POWER(MUslave,SIGN(CO342))*POWER(KLslave,SIGN(CP342))*POWER(INslave_IN,SIGN(CQ342))*POWER(CHslave,SIGN(CR342))*POWER(FFslave,SIGN(CS342))*POWER(KOslave,SIGN(CU342))*POWER(KKslave,SIGN(CV342))+CU342*POWER(MUslave,SIGN(CO342))*POWER(KLslave,SIGN(CP342))*POWER(INslave_IN,SIGN(CQ342))*POWER(CHslave,SIGN(CR342))*POWER(FFslave,SIGN(CS342))*POWER(GEslave,SIGN(CT342))*POWER(KKslave,SIGN(CV342))+CV342*POWER(MUslave,SIGN(CO342))*POWER(KLslave,SIGN(CP342))*POWER(INslave_IN,SIGN(CQ342))*POWER(CHslave,SIGN(CR342))*POWER(FFslave,SIGN(CS342))*POWER(GEslave,SIGN(CT342))*POWER(KOslave,SIGN(CU342))</f>
        <v>2432</v>
      </c>
      <c r="DA342" s="113">
        <f>CO342*CQ342*GEslave+CO342*INslave_IN*CT342+MUslave*CQ342*CT342</f>
        <v>3408</v>
      </c>
      <c r="DB342" s="224">
        <f>IFERROR(CO342^SIGN(CO342),1)*IFERROR(CP342^SIGN(CP342),1)*IFERROR(CQ342^SIGN(CQ342),1)*IFERROR(CR342^SIGN(CR342),1)*IFERROR(CS342^SIGN(CS342),1)*IFERROR(CT342^SIGN(CT342),1)*IFERROR(CU342^SIGN(CU342),1)*IFERROR(CV342^SIGN(CV342),1)</f>
        <v>1584</v>
      </c>
      <c r="DC342" s="224">
        <f>SUM(CZ342:DB342)</f>
        <v>7424</v>
      </c>
      <c r="DD342" s="222">
        <f>CW342*CZ342/DC342</f>
        <v>3.8218390804597702</v>
      </c>
      <c r="DE342" s="223">
        <f>CX342*DA342/DC342</f>
        <v>10.711206896551724</v>
      </c>
      <c r="DF342" s="243">
        <f>CY342*DB342/DC342</f>
        <v>7.4676724137931032</v>
      </c>
      <c r="DG342" s="243">
        <f>SUM(DD342:DF342)</f>
        <v>22.000718390804597</v>
      </c>
      <c r="DH342" s="252">
        <f t="shared" si="2928"/>
        <v>0</v>
      </c>
      <c r="DI342" s="324">
        <f>DG342-DH342</f>
        <v>22.000718390804597</v>
      </c>
      <c r="DJ342" s="304">
        <f>IF(DG342&lt;=0,4,0)+IF(DG342&gt;0,DG342+1,0)*4+IF(DG342&gt;12,DG342-12,0)*4+IF(DG342&gt;13,DG342-13,0)*4+IF(DG342&gt;14,DG342-14,0)*4+IF(DG342&gt;15,DG342-15,0)*4+IF(DG342&gt;16,DG342-16,0)*4+IF(DG342&gt;17,DG342-17,0)*4+IF(DG342&gt;18,DG342-18,0)*4+IF(DG342&gt;19,DG342-19,0)*4+IF(DG342&gt;20,DG342-20,0)*4</f>
        <v>308.02873563218378</v>
      </c>
      <c r="DK342" s="335">
        <f>IF(DH342&lt;=0,4,0)+IF(DH342&gt;0,DH342+1,0)*4+IF(DH342&gt;12,DH342-12,0)*4+IF(DH342&gt;13,DH342-13,0)*4+IF(DH342&gt;14,DH342-14,0)*4+IF(DH342&gt;15,DH342-15,0)*4+IF(DH342&gt;16,DH342-16,0)*4+IF(DH342&gt;17,DH342-17,0)*4+IF(DH342&gt;18,DH342-18,0)*4+IF(DH342&gt;19,DH342-19,0)*4+IF(DH342&gt;20,DH342-20,0)*4</f>
        <v>4</v>
      </c>
      <c r="DL342" s="243">
        <f t="shared" si="3601"/>
        <v>304.02873563218378</v>
      </c>
      <c r="DM342" s="218">
        <f>IF((DK342-DJ342)&gt;0,DK342-DJ342,0)</f>
        <v>0</v>
      </c>
      <c r="DN342" s="248"/>
      <c r="DO342" s="303" t="s">
        <v>494</v>
      </c>
      <c r="DP342" s="304" t="s">
        <v>8</v>
      </c>
      <c r="DQ342" s="304" t="s">
        <v>134</v>
      </c>
      <c r="DR342" s="114">
        <f t="shared" ref="DR342:DR343" si="3659">Konvention_1slave-MUslave</f>
        <v>12</v>
      </c>
      <c r="DS342" s="113"/>
      <c r="DT342" s="113">
        <f>Konvention_1slave-INslave</f>
        <v>12</v>
      </c>
      <c r="DU342" s="113"/>
      <c r="DV342" s="113"/>
      <c r="DW342" s="113">
        <f>Konvention_1slave-GEslave</f>
        <v>12</v>
      </c>
      <c r="DX342" s="113"/>
      <c r="DY342" s="119"/>
      <c r="DZ342" s="223">
        <f>(DR342+DS342+DT342+DU342+DV342+DW342+DX342+DY342)/3</f>
        <v>12</v>
      </c>
      <c r="EA342" s="223">
        <f>2*DZ342</f>
        <v>24</v>
      </c>
      <c r="EB342" s="224">
        <f>3*DZ342</f>
        <v>36</v>
      </c>
      <c r="EC342" s="237">
        <f t="shared" ref="EC342:EC344" si="3660">DR342*POWER(KLslave,SIGN(DS342))*POWER(INslave,SIGN(DT342))*POWER(CHslave_CH,SIGN(DU342))*POWER(FFslave,SIGN(DV342))*POWER(GEslave,SIGN(DW342))*POWER(KOslave,SIGN(DX342))*POWER(KKslave,SIGN(DY342))+DS342*POWER(MUslave,SIGN(DR342))*POWER(INslave,SIGN(DT342))*POWER(CHslave_CH,SIGN(DU342))*POWER(FFslave,SIGN(DV342))*POWER(GEslave,SIGN(DW342))*POWER(KOslave,SIGN(DX342))*POWER(KKslave,SIGN(DY342))+DT342*POWER(MUslave,SIGN(DR342))*POWER(KLslave,SIGN(DS342))*POWER(CHslave_CH,SIGN(DU342))*POWER(FFslave,SIGN(DV342))*POWER(GEslave,SIGN(DW342))*POWER(KOslave,SIGN(DX342))*POWER(KKslave,SIGN(DY342))+DU342*POWER(MUslave,SIGN(DR342))*POWER(KLslave,SIGN(DS342))*POWER(INslave,SIGN(DT342))*POWER(FFslave,SIGN(DV342))*POWER(GEslave,SIGN(DW342))*POWER(KOslave,SIGN(DX342))*POWER(KKslave,SIGN(DY342))+DV342*POWER(MUslave,SIGN(DR342))*POWER(KLslave,SIGN(DS342))*POWER(INslave,SIGN(DT342))*POWER(CHslave_CH,SIGN(DU342))*POWER(GEslave,SIGN(DW342))*POWER(KOslave,SIGN(DX342))*POWER(KKslave,SIGN(DY342))+DW342*POWER(MUslave,SIGN(DR342))*POWER(KLslave,SIGN(DS342))*POWER(INslave,SIGN(DT342))*POWER(CHslave_CH,SIGN(DU342))*POWER(FFslave,SIGN(DV342))*POWER(KOslave,SIGN(DX342))*POWER(KKslave,SIGN(DY342))+DX342*POWER(MUslave,SIGN(DR342))*POWER(KLslave,SIGN(DS342))*POWER(INslave,SIGN(DT342))*POWER(CHslave_CH,SIGN(DU342))*POWER(FFslave,SIGN(DV342))*POWER(GEslave,SIGN(DW342))*POWER(KKslave,SIGN(DY342))+DY342*POWER(MUslave,SIGN(DR342))*POWER(KLslave,SIGN(DS342))*POWER(INslave,SIGN(DT342))*POWER(CHslave_CH,SIGN(DU342))*POWER(FFslave,SIGN(DV342))*POWER(GEslave,SIGN(DW342))*POWER(KOslave,SIGN(DX342))</f>
        <v>2304</v>
      </c>
      <c r="ED342" s="113">
        <f>DR342*DT342*GEslave+DR342*INslave*DW342+MUslave*DT342*DW342</f>
        <v>3456</v>
      </c>
      <c r="EE342" s="224">
        <f>IFERROR(DR342^SIGN(DR342),1)*IFERROR(DS342^SIGN(DS342),1)*IFERROR(DT342^SIGN(DT342),1)*IFERROR(DU342^SIGN(DU342),1)*IFERROR(DV342^SIGN(DV342),1)*IFERROR(DW342^SIGN(DW342),1)*IFERROR(DX342^SIGN(DX342),1)*IFERROR(DY342^SIGN(DY342),1)</f>
        <v>1728</v>
      </c>
      <c r="EF342" s="224">
        <f>SUM(EC342:EE342)</f>
        <v>7488</v>
      </c>
      <c r="EG342" s="222">
        <f>DZ342*EC342/EF342</f>
        <v>3.6923076923076925</v>
      </c>
      <c r="EH342" s="223">
        <f>EA342*ED342/EF342</f>
        <v>11.076923076923077</v>
      </c>
      <c r="EI342" s="243">
        <f>EB342*EE342/EF342</f>
        <v>8.3076923076923084</v>
      </c>
      <c r="EJ342" s="243">
        <f>SUM(EG342:EI342)</f>
        <v>23.07692307692308</v>
      </c>
      <c r="EK342" s="252">
        <f t="shared" si="2931"/>
        <v>0</v>
      </c>
      <c r="EL342" s="324">
        <f>EJ342-EK342</f>
        <v>23.07692307692308</v>
      </c>
      <c r="EM342" s="304">
        <f>IF(EJ342&lt;=0,4,0)+IF(EJ342&gt;0,EJ342+1,0)*4+IF(EJ342&gt;12,EJ342-12,0)*4+IF(EJ342&gt;13,EJ342-13,0)*4+IF(EJ342&gt;14,EJ342-14,0)*4+IF(EJ342&gt;15,EJ342-15,0)*4+IF(EJ342&gt;16,EJ342-16,0)*4+IF(EJ342&gt;17,EJ342-17,0)*4+IF(EJ342&gt;18,EJ342-18,0)*4+IF(EJ342&gt;19,EJ342-19,0)*4+IF(EJ342&gt;20,EJ342-20,0)*4</f>
        <v>351.07692307692321</v>
      </c>
      <c r="EN342" s="335">
        <f>IF(EK342&lt;=0,4,0)+IF(EK342&gt;0,EK342+1,0)*4+IF(EK342&gt;12,EK342-12,0)*4+IF(EK342&gt;13,EK342-13,0)*4+IF(EK342&gt;14,EK342-14,0)*4+IF(EK342&gt;15,EK342-15,0)*4+IF(EK342&gt;16,EK342-16,0)*4+IF(EK342&gt;17,EK342-17,0)*4+IF(EK342&gt;18,EK342-18,0)*4+IF(EK342&gt;19,EK342-19,0)*4+IF(EK342&gt;20,EK342-20,0)*4</f>
        <v>4</v>
      </c>
      <c r="EO342" s="243">
        <f t="shared" si="3611"/>
        <v>347.07692307692321</v>
      </c>
      <c r="EP342" s="218">
        <f>IF((EN342-EM342)&gt;0,EN342-EM342,0)</f>
        <v>0</v>
      </c>
      <c r="EQ342" s="248"/>
      <c r="ER342" s="303" t="s">
        <v>494</v>
      </c>
      <c r="ES342" s="304" t="s">
        <v>8</v>
      </c>
      <c r="ET342" s="304" t="s">
        <v>134</v>
      </c>
      <c r="EU342" s="114">
        <f t="shared" ref="EU342:EU343" si="3661">Konvention_1slave-MUslave</f>
        <v>12</v>
      </c>
      <c r="EV342" s="113"/>
      <c r="EW342" s="113">
        <f>Konvention_1slave-INslave</f>
        <v>12</v>
      </c>
      <c r="EX342" s="113"/>
      <c r="EY342" s="113"/>
      <c r="EZ342" s="113">
        <f>Konvention_1slave-GEslave</f>
        <v>12</v>
      </c>
      <c r="FA342" s="113"/>
      <c r="FB342" s="119"/>
      <c r="FC342" s="223">
        <f>(EU342+EV342+EW342+EX342+EY342+EZ342+FA342+FB342)/3</f>
        <v>12</v>
      </c>
      <c r="FD342" s="223">
        <f>2*FC342</f>
        <v>24</v>
      </c>
      <c r="FE342" s="224">
        <f>3*FC342</f>
        <v>36</v>
      </c>
      <c r="FF342" s="237">
        <f t="shared" ref="FF342:FF344" si="3662">EU342*POWER(KLslave,SIGN(EV342))*POWER(INslave,SIGN(EW342))*POWER(CHslave,SIGN(EX342))*POWER(FFslave_FF,SIGN(EY342))*POWER(GEslave,SIGN(EZ342))*POWER(KOslave,SIGN(FA342))*POWER(KKslave,SIGN(FB342))+EV342*POWER(MUslave,SIGN(EU342))*POWER(INslave,SIGN(EW342))*POWER(CHslave,SIGN(EX342))*POWER(FFslave_FF,SIGN(EY342))*POWER(GEslave,SIGN(EZ342))*POWER(KOslave,SIGN(FA342))*POWER(KKslave,SIGN(FB342))+EW342*POWER(MUslave,SIGN(EU342))*POWER(KLslave,SIGN(EV342))*POWER(CHslave,SIGN(EX342))*POWER(FFslave_FF,SIGN(EY342))*POWER(GEslave,SIGN(EZ342))*POWER(KOslave,SIGN(FA342))*POWER(KKslave,SIGN(FB342))+EX342*POWER(MUslave,SIGN(EU342))*POWER(KLslave,SIGN(EV342))*POWER(INslave,SIGN(EW342))*POWER(FFslave_FF,SIGN(EY342))*POWER(GEslave,SIGN(EZ342))*POWER(KOslave,SIGN(FA342))*POWER(KKslave,SIGN(FB342))+EY342*POWER(MUslave,SIGN(EU342))*POWER(KLslave,SIGN(EV342))*POWER(INslave,SIGN(EW342))*POWER(CHslave,SIGN(EX342))*POWER(GEslave,SIGN(EZ342))*POWER(KOslave,SIGN(FA342))*POWER(KKslave,SIGN(FB342))+EZ342*POWER(MUslave,SIGN(EU342))*POWER(KLslave,SIGN(EV342))*POWER(INslave,SIGN(EW342))*POWER(CHslave,SIGN(EX342))*POWER(FFslave_FF,SIGN(EY342))*POWER(KOslave,SIGN(FA342))*POWER(KKslave,SIGN(FB342))+FA342*POWER(MUslave,SIGN(EU342))*POWER(KLslave,SIGN(EV342))*POWER(INslave,SIGN(EW342))*POWER(CHslave,SIGN(EX342))*POWER(FFslave_FF,SIGN(EY342))*POWER(GEslave,SIGN(EZ342))*POWER(KKslave,SIGN(FB342))+FB342*POWER(MUslave,SIGN(EU342))*POWER(KLslave,SIGN(EV342))*POWER(INslave,SIGN(EW342))*POWER(CHslave,SIGN(EX342))*POWER(FFslave_FF,SIGN(EY342))*POWER(GEslave,SIGN(EZ342))*POWER(KOslave,SIGN(FA342))</f>
        <v>2304</v>
      </c>
      <c r="FG342" s="113">
        <f>EU342*EW342*GEslave+EU342*INslave*EZ342+MUslave*EW342*EZ342</f>
        <v>3456</v>
      </c>
      <c r="FH342" s="224">
        <f>IFERROR(EU342^SIGN(EU342),1)*IFERROR(EV342^SIGN(EV342),1)*IFERROR(EW342^SIGN(EW342),1)*IFERROR(EX342^SIGN(EX342),1)*IFERROR(EY342^SIGN(EY342),1)*IFERROR(EZ342^SIGN(EZ342),1)*IFERROR(FA342^SIGN(FA342),1)*IFERROR(FB342^SIGN(FB342),1)</f>
        <v>1728</v>
      </c>
      <c r="FI342" s="224">
        <f>SUM(FF342:FH342)</f>
        <v>7488</v>
      </c>
      <c r="FJ342" s="222">
        <f>FC342*FF342/FI342</f>
        <v>3.6923076923076925</v>
      </c>
      <c r="FK342" s="223">
        <f>FD342*FG342/FI342</f>
        <v>11.076923076923077</v>
      </c>
      <c r="FL342" s="243">
        <f>FE342*FH342/FI342</f>
        <v>8.3076923076923084</v>
      </c>
      <c r="FM342" s="243">
        <f>SUM(FJ342:FL342)</f>
        <v>23.07692307692308</v>
      </c>
      <c r="FN342" s="252">
        <f t="shared" si="2934"/>
        <v>0</v>
      </c>
      <c r="FO342" s="324">
        <f>FM342-FN342</f>
        <v>23.07692307692308</v>
      </c>
      <c r="FP342" s="304">
        <f>IF(FM342&lt;=0,4,0)+IF(FM342&gt;0,FM342+1,0)*4+IF(FM342&gt;12,FM342-12,0)*4+IF(FM342&gt;13,FM342-13,0)*4+IF(FM342&gt;14,FM342-14,0)*4+IF(FM342&gt;15,FM342-15,0)*4+IF(FM342&gt;16,FM342-16,0)*4+IF(FM342&gt;17,FM342-17,0)*4+IF(FM342&gt;18,FM342-18,0)*4+IF(FM342&gt;19,FM342-19,0)*4+IF(FM342&gt;20,FM342-20,0)*4</f>
        <v>351.07692307692321</v>
      </c>
      <c r="FQ342" s="335">
        <f>IF(FN342&lt;=0,4,0)+IF(FN342&gt;0,FN342+1,0)*4+IF(FN342&gt;12,FN342-12,0)*4+IF(FN342&gt;13,FN342-13,0)*4+IF(FN342&gt;14,FN342-14,0)*4+IF(FN342&gt;15,FN342-15,0)*4+IF(FN342&gt;16,FN342-16,0)*4+IF(FN342&gt;17,FN342-17,0)*4+IF(FN342&gt;18,FN342-18,0)*4+IF(FN342&gt;19,FN342-19,0)*4+IF(FN342&gt;20,FN342-20,0)*4</f>
        <v>4</v>
      </c>
      <c r="FR342" s="243">
        <f t="shared" si="3621"/>
        <v>347.07692307692321</v>
      </c>
      <c r="FS342" s="218">
        <f>IF((FQ342-FP342)&gt;0,FQ342-FP342,0)</f>
        <v>0</v>
      </c>
      <c r="FT342" s="248"/>
      <c r="FU342" s="303" t="s">
        <v>494</v>
      </c>
      <c r="FV342" s="304" t="s">
        <v>8</v>
      </c>
      <c r="FW342" s="304" t="s">
        <v>134</v>
      </c>
      <c r="FX342" s="114">
        <f t="shared" ref="FX342:FX343" si="3663">Konvention_1slave-MUslave</f>
        <v>12</v>
      </c>
      <c r="FY342" s="113"/>
      <c r="FZ342" s="113">
        <f>Konvention_1slave-INslave</f>
        <v>12</v>
      </c>
      <c r="GA342" s="113"/>
      <c r="GB342" s="113"/>
      <c r="GC342" s="113">
        <f>Konvention_1slave-GEslave_GE</f>
        <v>11</v>
      </c>
      <c r="GD342" s="113"/>
      <c r="GE342" s="119"/>
      <c r="GF342" s="223">
        <f>(FX342+FY342+FZ342+GA342+GB342+GC342+GD342+GE342)/3</f>
        <v>11.666666666666666</v>
      </c>
      <c r="GG342" s="223">
        <f>2*GF342</f>
        <v>23.333333333333332</v>
      </c>
      <c r="GH342" s="224">
        <f>3*GF342</f>
        <v>35</v>
      </c>
      <c r="GI342" s="237">
        <f t="shared" ref="GI342:GI344" si="3664">FX342*POWER(KLslave,SIGN(FY342))*POWER(INslave,SIGN(FZ342))*POWER(CHslave,SIGN(GA342))*POWER(FFslave,SIGN(GB342))*POWER(GEslave_GE,SIGN(GC342))*POWER(KOslave,SIGN(GD342))*POWER(KKslave,SIGN(GE342))+FY342*POWER(MUslave,SIGN(FX342))*POWER(INslave,SIGN(FZ342))*POWER(CHslave,SIGN(GA342))*POWER(FFslave,SIGN(GB342))*POWER(GEslave_GE,SIGN(GC342))*POWER(KOslave,SIGN(GD342))*POWER(KKslave,SIGN(GE342))+FZ342*POWER(MUslave,SIGN(FX342))*POWER(KLslave,SIGN(FY342))*POWER(CHslave,SIGN(GA342))*POWER(FFslave,SIGN(GB342))*POWER(GEslave_GE,SIGN(GC342))*POWER(KOslave,SIGN(GD342))*POWER(KKslave,SIGN(GE342))+GA342*POWER(MUslave,SIGN(FX342))*POWER(KLslave,SIGN(FY342))*POWER(INslave,SIGN(FZ342))*POWER(FFslave,SIGN(GB342))*POWER(GEslave_GE,SIGN(GC342))*POWER(KOslave,SIGN(GD342))*POWER(KKslave,SIGN(GE342))+GB342*POWER(MUslave,SIGN(FX342))*POWER(KLslave,SIGN(FY342))*POWER(INslave,SIGN(FZ342))*POWER(CHslave,SIGN(GA342))*POWER(GEslave_GE,SIGN(GC342))*POWER(KOslave,SIGN(GD342))*POWER(KKslave,SIGN(GE342))+GC342*POWER(MUslave,SIGN(FX342))*POWER(KLslave,SIGN(FY342))*POWER(INslave,SIGN(FZ342))*POWER(CHslave,SIGN(GA342))*POWER(FFslave,SIGN(GB342))*POWER(KOslave,SIGN(GD342))*POWER(KKslave,SIGN(GE342))+GD342*POWER(MUslave,SIGN(FX342))*POWER(KLslave,SIGN(FY342))*POWER(INslave,SIGN(FZ342))*POWER(CHslave,SIGN(GA342))*POWER(FFslave,SIGN(GB342))*POWER(GEslave_GE,SIGN(GC342))*POWER(KKslave,SIGN(GE342))+GE342*POWER(MUslave,SIGN(FX342))*POWER(KLslave,SIGN(FY342))*POWER(INslave,SIGN(FZ342))*POWER(CHslave,SIGN(GA342))*POWER(FFslave,SIGN(GB342))*POWER(GEslave_GE,SIGN(GC342))*POWER(KOslave,SIGN(GD342))</f>
        <v>2432</v>
      </c>
      <c r="GJ342" s="113">
        <f>FX342*FZ342*GEslave_GE+FX342*INslave*GC342+MUslave*FZ342*GC342</f>
        <v>3408</v>
      </c>
      <c r="GK342" s="224">
        <f>IFERROR(FX342^SIGN(FX342),1)*IFERROR(FY342^SIGN(FY342),1)*IFERROR(FZ342^SIGN(FZ342),1)*IFERROR(GA342^SIGN(GA342),1)*IFERROR(GB342^SIGN(GB342),1)*IFERROR(GC342^SIGN(GC342),1)*IFERROR(GD342^SIGN(GD342),1)*IFERROR(GE342^SIGN(GE342),1)</f>
        <v>1584</v>
      </c>
      <c r="GL342" s="224">
        <f>SUM(GI342:GK342)</f>
        <v>7424</v>
      </c>
      <c r="GM342" s="222">
        <f>GF342*GI342/GL342</f>
        <v>3.8218390804597702</v>
      </c>
      <c r="GN342" s="223">
        <f>GG342*GJ342/GL342</f>
        <v>10.711206896551724</v>
      </c>
      <c r="GO342" s="243">
        <f>GH342*GK342/GL342</f>
        <v>7.4676724137931032</v>
      </c>
      <c r="GP342" s="243">
        <f>SUM(GM342:GO342)</f>
        <v>22.000718390804597</v>
      </c>
      <c r="GQ342" s="252">
        <f t="shared" si="2937"/>
        <v>0</v>
      </c>
      <c r="GR342" s="324">
        <f>GP342-GQ342</f>
        <v>22.000718390804597</v>
      </c>
      <c r="GS342" s="304">
        <f>IF(GP342&lt;=0,4,0)+IF(GP342&gt;0,GP342+1,0)*4+IF(GP342&gt;12,GP342-12,0)*4+IF(GP342&gt;13,GP342-13,0)*4+IF(GP342&gt;14,GP342-14,0)*4+IF(GP342&gt;15,GP342-15,0)*4+IF(GP342&gt;16,GP342-16,0)*4+IF(GP342&gt;17,GP342-17,0)*4+IF(GP342&gt;18,GP342-18,0)*4+IF(GP342&gt;19,GP342-19,0)*4+IF(GP342&gt;20,GP342-20,0)*4</f>
        <v>308.02873563218378</v>
      </c>
      <c r="GT342" s="335">
        <f>IF(GQ342&lt;=0,4,0)+IF(GQ342&gt;0,GQ342+1,0)*4+IF(GQ342&gt;12,GQ342-12,0)*4+IF(GQ342&gt;13,GQ342-13,0)*4+IF(GQ342&gt;14,GQ342-14,0)*4+IF(GQ342&gt;15,GQ342-15,0)*4+IF(GQ342&gt;16,GQ342-16,0)*4+IF(GQ342&gt;17,GQ342-17,0)*4+IF(GQ342&gt;18,GQ342-18,0)*4+IF(GQ342&gt;19,GQ342-19,0)*4+IF(GQ342&gt;20,GQ342-20,0)*4</f>
        <v>4</v>
      </c>
      <c r="GU342" s="243">
        <f t="shared" si="3631"/>
        <v>304.02873563218378</v>
      </c>
      <c r="GV342" s="218">
        <f>IF((GT342-GS342)&gt;0,GT342-GS342,0)</f>
        <v>0</v>
      </c>
      <c r="GW342" s="248"/>
      <c r="GX342" s="303" t="s">
        <v>494</v>
      </c>
      <c r="GY342" s="304" t="s">
        <v>8</v>
      </c>
      <c r="GZ342" s="304" t="s">
        <v>134</v>
      </c>
      <c r="HA342" s="114">
        <f t="shared" ref="HA342:HA343" si="3665">Konvention_1slave-MUslave</f>
        <v>12</v>
      </c>
      <c r="HB342" s="113"/>
      <c r="HC342" s="113">
        <f>Konvention_1slave-INslave</f>
        <v>12</v>
      </c>
      <c r="HD342" s="113"/>
      <c r="HE342" s="113"/>
      <c r="HF342" s="113">
        <f>Konvention_1slave-GEslave</f>
        <v>12</v>
      </c>
      <c r="HG342" s="113"/>
      <c r="HH342" s="119"/>
      <c r="HI342" s="223">
        <f>(HA342+HB342+HC342+HD342+HE342+HF342+HG342+HH342)/3</f>
        <v>12</v>
      </c>
      <c r="HJ342" s="223">
        <f>2*HI342</f>
        <v>24</v>
      </c>
      <c r="HK342" s="224">
        <f>3*HI342</f>
        <v>36</v>
      </c>
      <c r="HL342" s="237">
        <f t="shared" ref="HL342:HL344" si="3666">HA342*POWER(KLslave,SIGN(HB342))*POWER(INslave,SIGN(HC342))*POWER(CHslave,SIGN(HD342))*POWER(FFslave,SIGN(HE342))*POWER(GEslave,SIGN(HF342))*POWER(KOslave_KO,SIGN(HG342))*POWER(KKslave,SIGN(HH342))+HB342*POWER(MUslave,SIGN(HA342))*POWER(INslave,SIGN(HC342))*POWER(CHslave,SIGN(HD342))*POWER(FFslave,SIGN(HE342))*POWER(GEslave,SIGN(HF342))*POWER(KOslave_KO,SIGN(HG342))*POWER(KKslave,SIGN(HH342))+HC342*POWER(MUslave,SIGN(HA342))*POWER(KLslave,SIGN(HB342))*POWER(CHslave,SIGN(HD342))*POWER(FFslave,SIGN(HE342))*POWER(GEslave,SIGN(HF342))*POWER(KOslave_KO,SIGN(HG342))*POWER(KKslave,SIGN(HH342))+HD342*POWER(MUslave,SIGN(HA342))*POWER(KLslave,SIGN(HB342))*POWER(INslave,SIGN(HC342))*POWER(FFslave,SIGN(HE342))*POWER(GEslave,SIGN(HF342))*POWER(KOslave_KO,SIGN(HG342))*POWER(KKslave,SIGN(HH342))+HE342*POWER(MUslave,SIGN(HA342))*POWER(KLslave,SIGN(HB342))*POWER(INslave,SIGN(HC342))*POWER(CHslave,SIGN(HD342))*POWER(GEslave,SIGN(HF342))*POWER(KOslave_KO,SIGN(HG342))*POWER(KKslave,SIGN(HH342))+HF342*POWER(MUslave,SIGN(HA342))*POWER(KLslave,SIGN(HB342))*POWER(INslave,SIGN(HC342))*POWER(CHslave,SIGN(HD342))*POWER(FFslave,SIGN(HE342))*POWER(KOslave_KO,SIGN(HG342))*POWER(KKslave,SIGN(HH342))+HG342*POWER(MUslave,SIGN(HA342))*POWER(KLslave,SIGN(HB342))*POWER(INslave,SIGN(HC342))*POWER(CHslave,SIGN(HD342))*POWER(FFslave,SIGN(HE342))*POWER(GEslave,SIGN(HF342))*POWER(KKslave,SIGN(HH342))+HH342*POWER(MUslave,SIGN(HA342))*POWER(KLslave,SIGN(HB342))*POWER(INslave,SIGN(HC342))*POWER(CHslave,SIGN(HD342))*POWER(FFslave,SIGN(HE342))*POWER(GEslave,SIGN(HF342))*POWER(KOslave_KO,SIGN(HG342))</f>
        <v>2304</v>
      </c>
      <c r="HM342" s="113">
        <f>HA342*HC342*GEslave+HA342*INslave*HF342+MUslave*HC342*HF342</f>
        <v>3456</v>
      </c>
      <c r="HN342" s="224">
        <f>IFERROR(HA342^SIGN(HA342),1)*IFERROR(HB342^SIGN(HB342),1)*IFERROR(HC342^SIGN(HC342),1)*IFERROR(HD342^SIGN(HD342),1)*IFERROR(HE342^SIGN(HE342),1)*IFERROR(HF342^SIGN(HF342),1)*IFERROR(HG342^SIGN(HG342),1)*IFERROR(HH342^SIGN(HH342),1)</f>
        <v>1728</v>
      </c>
      <c r="HO342" s="224">
        <f>SUM(HL342:HN342)</f>
        <v>7488</v>
      </c>
      <c r="HP342" s="222">
        <f>HI342*HL342/HO342</f>
        <v>3.6923076923076925</v>
      </c>
      <c r="HQ342" s="223">
        <f>HJ342*HM342/HO342</f>
        <v>11.076923076923077</v>
      </c>
      <c r="HR342" s="243">
        <f>HK342*HN342/HO342</f>
        <v>8.3076923076923084</v>
      </c>
      <c r="HS342" s="243">
        <f>SUM(HP342:HR342)</f>
        <v>23.07692307692308</v>
      </c>
      <c r="HT342" s="252">
        <f t="shared" si="2940"/>
        <v>0</v>
      </c>
      <c r="HU342" s="324">
        <f>HS342-HT342</f>
        <v>23.07692307692308</v>
      </c>
      <c r="HV342" s="304">
        <f>IF(HS342&lt;=0,4,0)+IF(HS342&gt;0,HS342+1,0)*4+IF(HS342&gt;12,HS342-12,0)*4+IF(HS342&gt;13,HS342-13,0)*4+IF(HS342&gt;14,HS342-14,0)*4+IF(HS342&gt;15,HS342-15,0)*4+IF(HS342&gt;16,HS342-16,0)*4+IF(HS342&gt;17,HS342-17,0)*4+IF(HS342&gt;18,HS342-18,0)*4+IF(HS342&gt;19,HS342-19,0)*4+IF(HS342&gt;20,HS342-20,0)*4</f>
        <v>351.07692307692321</v>
      </c>
      <c r="HW342" s="335">
        <f>IF(HT342&lt;=0,4,0)+IF(HT342&gt;0,HT342+1,0)*4+IF(HT342&gt;12,HT342-12,0)*4+IF(HT342&gt;13,HT342-13,0)*4+IF(HT342&gt;14,HT342-14,0)*4+IF(HT342&gt;15,HT342-15,0)*4+IF(HT342&gt;16,HT342-16,0)*4+IF(HT342&gt;17,HT342-17,0)*4+IF(HT342&gt;18,HT342-18,0)*4+IF(HT342&gt;19,HT342-19,0)*4+IF(HT342&gt;20,HT342-20,0)*4</f>
        <v>4</v>
      </c>
      <c r="HX342" s="243">
        <f t="shared" si="3641"/>
        <v>347.07692307692321</v>
      </c>
      <c r="HY342" s="218">
        <f>IF((HW342-HV342)&gt;0,HW342-HV342,0)</f>
        <v>0</v>
      </c>
      <c r="HZ342" s="248"/>
      <c r="IA342" s="303" t="s">
        <v>494</v>
      </c>
      <c r="IB342" s="304" t="s">
        <v>8</v>
      </c>
      <c r="IC342" s="304" t="s">
        <v>134</v>
      </c>
      <c r="ID342" s="114">
        <f t="shared" ref="ID342:ID343" si="3667">Konvention_1slave-MUslave</f>
        <v>12</v>
      </c>
      <c r="IE342" s="113"/>
      <c r="IF342" s="113">
        <f>Konvention_1slave-INslave</f>
        <v>12</v>
      </c>
      <c r="IG342" s="113"/>
      <c r="IH342" s="113"/>
      <c r="II342" s="113">
        <f>Konvention_1slave-GEslave</f>
        <v>12</v>
      </c>
      <c r="IJ342" s="113"/>
      <c r="IK342" s="119"/>
      <c r="IL342" s="223">
        <f>(ID342+IE342+IF342+IG342+IH342+II342+IJ342+IK342)/3</f>
        <v>12</v>
      </c>
      <c r="IM342" s="223">
        <f>2*IL342</f>
        <v>24</v>
      </c>
      <c r="IN342" s="224">
        <f>3*IL342</f>
        <v>36</v>
      </c>
      <c r="IO342" s="237">
        <f t="shared" ref="IO342:IO344" si="3668">ID342*POWER(KLslave,SIGN(IE342))*POWER(INslave,SIGN(IF342))*POWER(CHslave,SIGN(IG342))*POWER(FFslave,SIGN(IH342))*POWER(GEslave,SIGN(II342))*POWER(KOslave,SIGN(IJ342))*POWER(KKslave_KK,SIGN(IK342))+IE342*POWER(MUslave,SIGN(ID342))*POWER(INslave,SIGN(IF342))*POWER(CHslave,SIGN(IG342))*POWER(FFslave,SIGN(IH342))*POWER(GEslave,SIGN(II342))*POWER(KOslave,SIGN(IJ342))*POWER(KKslave_KK,SIGN(IK342))+IF342*POWER(MUslave,SIGN(ID342))*POWER(KLslave,SIGN(IE342))*POWER(CHslave,SIGN(IG342))*POWER(FFslave,SIGN(IH342))*POWER(GEslave,SIGN(II342))*POWER(KOslave,SIGN(IJ342))*POWER(KKslave_KK,SIGN(IK342))+IG342*POWER(MUslave,SIGN(ID342))*POWER(KLslave,SIGN(IE342))*POWER(INslave,SIGN(IF342))*POWER(FFslave,SIGN(IH342))*POWER(GEslave,SIGN(II342))*POWER(KOslave,SIGN(IJ342))*POWER(KKslave_KK,SIGN(IK342))+IH342*POWER(MUslave,SIGN(ID342))*POWER(KLslave,SIGN(IE342))*POWER(INslave,SIGN(IF342))*POWER(CHslave,SIGN(IG342))*POWER(GEslave,SIGN(II342))*POWER(KOslave,SIGN(IJ342))*POWER(KKslave_KK,SIGN(IK342))+II342*POWER(MUslave,SIGN(ID342))*POWER(KLslave,SIGN(IE342))*POWER(INslave,SIGN(IF342))*POWER(CHslave,SIGN(IG342))*POWER(FFslave,SIGN(IH342))*POWER(KOslave,SIGN(IJ342))*POWER(KKslave_KK,SIGN(IK342))+IJ342*POWER(MUslave,SIGN(ID342))*POWER(KLslave,SIGN(IE342))*POWER(INslave,SIGN(IF342))*POWER(CHslave,SIGN(IG342))*POWER(FFslave,SIGN(IH342))*POWER(GEslave,SIGN(II342))*POWER(KKslave_KK,SIGN(IK342))+IK342*POWER(MUslave,SIGN(ID342))*POWER(KLslave,SIGN(IE342))*POWER(INslave,SIGN(IF342))*POWER(CHslave,SIGN(IG342))*POWER(FFslave,SIGN(IH342))*POWER(GEslave,SIGN(II342))*POWER(KOslave,SIGN(IJ342))</f>
        <v>2304</v>
      </c>
      <c r="IP342" s="113">
        <f>ID342*IF342*GEslave+ID342*INslave*II342+MUslave*IF342*II342</f>
        <v>3456</v>
      </c>
      <c r="IQ342" s="224">
        <f>IFERROR(ID342^SIGN(ID342),1)*IFERROR(IE342^SIGN(IE342),1)*IFERROR(IF342^SIGN(IF342),1)*IFERROR(IG342^SIGN(IG342),1)*IFERROR(IH342^SIGN(IH342),1)*IFERROR(II342^SIGN(II342),1)*IFERROR(IJ342^SIGN(IJ342),1)*IFERROR(IK342^SIGN(IK342),1)</f>
        <v>1728</v>
      </c>
      <c r="IR342" s="224">
        <f>SUM(IO342:IQ342)</f>
        <v>7488</v>
      </c>
      <c r="IS342" s="222">
        <f>IL342*IO342/IR342</f>
        <v>3.6923076923076925</v>
      </c>
      <c r="IT342" s="223">
        <f>IM342*IP342/IR342</f>
        <v>11.076923076923077</v>
      </c>
      <c r="IU342" s="243">
        <f>IN342*IQ342/IR342</f>
        <v>8.3076923076923084</v>
      </c>
      <c r="IV342" s="243">
        <f>SUM(IS342:IU342)</f>
        <v>23.07692307692308</v>
      </c>
      <c r="IW342" s="252">
        <f t="shared" si="2943"/>
        <v>0</v>
      </c>
      <c r="IX342" s="324">
        <f>IV342-IW342</f>
        <v>23.07692307692308</v>
      </c>
      <c r="IY342" s="304">
        <f>IF(IV342&lt;=0,4,0)+IF(IV342&gt;0,IV342+1,0)*4+IF(IV342&gt;12,IV342-12,0)*4+IF(IV342&gt;13,IV342-13,0)*4+IF(IV342&gt;14,IV342-14,0)*4+IF(IV342&gt;15,IV342-15,0)*4+IF(IV342&gt;16,IV342-16,0)*4+IF(IV342&gt;17,IV342-17,0)*4+IF(IV342&gt;18,IV342-18,0)*4+IF(IV342&gt;19,IV342-19,0)*4+IF(IV342&gt;20,IV342-20,0)*4</f>
        <v>351.07692307692321</v>
      </c>
      <c r="IZ342" s="335">
        <f>IF(IW342&lt;=0,4,0)+IF(IW342&gt;0,IW342+1,0)*4+IF(IW342&gt;12,IW342-12,0)*4+IF(IW342&gt;13,IW342-13,0)*4+IF(IW342&gt;14,IW342-14,0)*4+IF(IW342&gt;15,IW342-15,0)*4+IF(IW342&gt;16,IW342-16,0)*4+IF(IW342&gt;17,IW342-17,0)*4+IF(IW342&gt;18,IW342-18,0)*4+IF(IW342&gt;19,IW342-19,0)*4+IF(IW342&gt;20,IW342-20,0)*4</f>
        <v>4</v>
      </c>
      <c r="JA342" s="243">
        <f t="shared" si="3651"/>
        <v>347.07692307692321</v>
      </c>
      <c r="JB342" s="218">
        <f>IF((IZ342-IY342)&gt;0,IZ342-IY342,0)</f>
        <v>0</v>
      </c>
      <c r="JE342" s="148"/>
    </row>
    <row r="343" spans="1:265" hidden="1" outlineLevel="2">
      <c r="A343" s="185"/>
      <c r="B343" s="217">
        <v>21</v>
      </c>
      <c r="C343" s="303" t="e">
        <f>VLOOKUP(AF343,Attribute!C:T,1,FALSE)</f>
        <v>#N/A</v>
      </c>
      <c r="D343" s="304" t="s">
        <v>8</v>
      </c>
      <c r="E343" s="304" t="s">
        <v>132</v>
      </c>
      <c r="F343" s="114">
        <f>Konvention_1master-MUmaster</f>
        <v>12</v>
      </c>
      <c r="G343" s="113"/>
      <c r="H343" s="113">
        <f>Konvention_1master-INmaster</f>
        <v>12</v>
      </c>
      <c r="I343" s="113"/>
      <c r="J343" s="113"/>
      <c r="K343" s="113">
        <f>Konvention_1master-GEmaster</f>
        <v>12</v>
      </c>
      <c r="L343" s="113"/>
      <c r="M343" s="119"/>
      <c r="N343" s="223">
        <f>(F343+G343+H343+I343+J343+K343+L343+M343)/3</f>
        <v>12</v>
      </c>
      <c r="O343" s="223">
        <f>2*N343</f>
        <v>24</v>
      </c>
      <c r="P343" s="224">
        <f>3*N343</f>
        <v>36</v>
      </c>
      <c r="Q343" s="237">
        <f>F343*POWER(KLmaster,SIGN(G343))*POWER(INmaster,SIGN(H343))*POWER(CHmaster,SIGN(I343))*POWER(FFmaster,SIGN(J343))*POWER(GEmaster,SIGN(K343))*POWER(KOmaster,SIGN(L343))*POWER(KKmaster,SIGN(M343))+G343*POWER(MUmaster,SIGN(F343))*POWER(INmaster,SIGN(H343))*POWER(CHmaster,SIGN(I343))*POWER(FFmaster,SIGN(J343))*POWER(GEmaster,SIGN(K343))*POWER(KOmaster,SIGN(L343))*POWER(KKmaster,SIGN(M343))+H343*POWER(MUmaster,SIGN(F343))*POWER(KLmaster,SIGN(G343))*POWER(CHmaster,SIGN(I343))*POWER(FFmaster,SIGN(J343))*POWER(GEmaster,SIGN(K343))*POWER(KOmaster,SIGN(L343))*POWER(KKmaster,SIGN(M343))+I343*POWER(MUmaster,SIGN(F343))*POWER(KLmaster,SIGN(G343))*POWER(INmaster,SIGN(H343))*POWER(FFmaster,SIGN(J343))*POWER(GEmaster,SIGN(K343))*POWER(KOmaster,SIGN(L343))*POWER(KKmaster,SIGN(M343))+J343*POWER(MUmaster,SIGN(F343))*POWER(KLmaster,SIGN(G343))*POWER(INmaster,SIGN(H343))*POWER(CHmaster,SIGN(I343))*POWER(GEmaster,SIGN(K343))*POWER(KOmaster,SIGN(L343))*POWER(KKmaster,SIGN(M343))+K343*POWER(MUmaster,SIGN(F343))*POWER(KLmaster,SIGN(G343))*POWER(INmaster,SIGN(H343))*POWER(CHmaster,SIGN(I343))*POWER(FFmaster,SIGN(J343))*POWER(KOmaster,SIGN(L343))*POWER(KKmaster,SIGN(M343))+L343*POWER(MUmaster,SIGN(F343))*POWER(KLmaster,SIGN(G343))*POWER(INmaster,SIGN(H343))*POWER(CHmaster,SIGN(I343))*POWER(FFmaster,SIGN(J343))*POWER(GEmaster,SIGN(K343))*POWER(KKmaster,SIGN(M343))+M343*POWER(MUmaster,SIGN(F343))*POWER(KLmaster,SIGN(G343))*POWER(INmaster,SIGN(H343))*POWER(CHmaster,SIGN(I343))*POWER(FFmaster,SIGN(J343))*POWER(GEmaster,SIGN(K343))*POWER(KOmaster,SIGN(L343))</f>
        <v>2304</v>
      </c>
      <c r="R343" s="113">
        <f>F343*H343*GEmaster+F343*INmaster*K343+MUmaster*H343*K343</f>
        <v>3456</v>
      </c>
      <c r="S343" s="224">
        <f>IFERROR(F343^SIGN(F343),1)*IFERROR(G343^SIGN(G343),1)*IFERROR(H343^SIGN(H343),1)*IFERROR(I343^SIGN(I343),1)*IFERROR(J343^SIGN(J343),1)*IFERROR(K343^SIGN(K343),1)*IFERROR(L343^SIGN(L343),1)*IFERROR(M343^SIGN(M343),1)</f>
        <v>1728</v>
      </c>
      <c r="T343" s="224">
        <f>SUM(Q343:S343)</f>
        <v>7488</v>
      </c>
      <c r="U343" s="222">
        <f>N343*Q343/T343</f>
        <v>3.6923076923076925</v>
      </c>
      <c r="V343" s="223">
        <f>O343*R343/T343</f>
        <v>11.076923076923077</v>
      </c>
      <c r="W343" s="243">
        <f>P343*S343/T343</f>
        <v>8.3076923076923084</v>
      </c>
      <c r="X343" s="243">
        <f>SUM(U343:W343)</f>
        <v>23.07692307692308</v>
      </c>
      <c r="Y343" s="252">
        <v>0</v>
      </c>
      <c r="Z343" s="324">
        <f>X343-Y343</f>
        <v>23.07692307692308</v>
      </c>
      <c r="AA343" s="304">
        <f t="shared" ref="AA343:AA345" si="3669">IF(X343&lt;=0,2,0)+IF(X343&gt;0,X343+1,0)*2+IF(X343&gt;12,X343-12,0)*2+IF(X343&gt;13,X343-13,0)*2+IF(X343&gt;14,X343-14,0)*2+IF(X343&gt;15,X343-15,0)*2+IF(X343&gt;16,X343-16,0)*2+IF(X343&gt;17,X343-17,0)*2+IF(X343&gt;18,X343-18,0)*2+IF(X343&gt;19,X343-19,0)*2+IF(X343&gt;20,X343-20,0)*2</f>
        <v>175.5384615384616</v>
      </c>
      <c r="AB343" s="335">
        <f t="shared" ref="AB343:AB345" si="3670">IF(Y343&lt;=0,2,0)+IF(Y343&gt;0,Y343+1,0)*2+IF(Y343&gt;12,Y343-12,0)*2+IF(Y343&gt;13,Y343-13,0)*2+IF(Y343&gt;14,Y343-14,0)*2+IF(Y343&gt;15,Y343-15,0)*2+IF(Y343&gt;16,Y343-16,0)*2+IF(Y343&gt;17,Y343-17,0)*2+IF(Y343&gt;18,Y343-18,0)*2+IF(Y343&gt;19,Y343-19,0)*2+IF(Y343&gt;20,Y343-20,0)*2</f>
        <v>2</v>
      </c>
      <c r="AC343" s="243">
        <f t="shared" si="3571"/>
        <v>173.5384615384616</v>
      </c>
      <c r="AD343" s="218">
        <f>IF((AB343-AA343)&gt;0,AB343-AA343,0)</f>
        <v>0</v>
      </c>
      <c r="AE343" s="140"/>
      <c r="AF343" s="303" t="s">
        <v>495</v>
      </c>
      <c r="AG343" s="304" t="s">
        <v>8</v>
      </c>
      <c r="AH343" s="304" t="s">
        <v>132</v>
      </c>
      <c r="AI343" s="114">
        <f t="shared" si="3653"/>
        <v>11</v>
      </c>
      <c r="AJ343" s="113"/>
      <c r="AK343" s="113">
        <f>Konvention_1slave-INslave</f>
        <v>12</v>
      </c>
      <c r="AL343" s="113"/>
      <c r="AM343" s="113"/>
      <c r="AN343" s="113">
        <f>Konvention_1slave-GEslave</f>
        <v>12</v>
      </c>
      <c r="AO343" s="113"/>
      <c r="AP343" s="119"/>
      <c r="AQ343" s="223">
        <f>(AI343+AJ343+AK343+AL343+AM343+AN343+AO343+AP343)/3</f>
        <v>11.666666666666666</v>
      </c>
      <c r="AR343" s="223">
        <f>2*AQ343</f>
        <v>23.333333333333332</v>
      </c>
      <c r="AS343" s="224">
        <f>3*AQ343</f>
        <v>35</v>
      </c>
      <c r="AT343" s="237">
        <f t="shared" si="3654"/>
        <v>2432</v>
      </c>
      <c r="AU343" s="113">
        <f>AI343*AK343*GEslave+AI343*INslave*AN343+MUslave_MU*AK343*AN343</f>
        <v>3408</v>
      </c>
      <c r="AV343" s="224">
        <f>IFERROR(AI343^SIGN(AI343),1)*IFERROR(AJ343^SIGN(AJ343),1)*IFERROR(AK343^SIGN(AK343),1)*IFERROR(AL343^SIGN(AL343),1)*IFERROR(AM343^SIGN(AM343),1)*IFERROR(AN343^SIGN(AN343),1)*IFERROR(AO343^SIGN(AO343),1)*IFERROR(AP343^SIGN(AP343),1)</f>
        <v>1584</v>
      </c>
      <c r="AW343" s="224">
        <f>SUM(AT343:AV343)</f>
        <v>7424</v>
      </c>
      <c r="AX343" s="222">
        <f>AQ343*AT343/AW343</f>
        <v>3.8218390804597702</v>
      </c>
      <c r="AY343" s="223">
        <f>AR343*AU343/AW343</f>
        <v>10.711206896551724</v>
      </c>
      <c r="AZ343" s="243">
        <f>AS343*AV343/AW343</f>
        <v>7.4676724137931032</v>
      </c>
      <c r="BA343" s="243">
        <f>SUM(AX343:AZ343)</f>
        <v>22.000718390804597</v>
      </c>
      <c r="BB343" s="252">
        <f t="shared" si="2034"/>
        <v>0</v>
      </c>
      <c r="BC343" s="324">
        <f>BA343-BB343</f>
        <v>22.000718390804597</v>
      </c>
      <c r="BD343" s="304">
        <f t="shared" ref="BD343:BE345" si="3671">IF(BA343&lt;=0,2,0)+IF(BA343&gt;0,BA343+1,0)*2+IF(BA343&gt;12,BA343-12,0)*2+IF(BA343&gt;13,BA343-13,0)*2+IF(BA343&gt;14,BA343-14,0)*2+IF(BA343&gt;15,BA343-15,0)*2+IF(BA343&gt;16,BA343-16,0)*2+IF(BA343&gt;17,BA343-17,0)*2+IF(BA343&gt;18,BA343-18,0)*2+IF(BA343&gt;19,BA343-19,0)*2+IF(BA343&gt;20,BA343-20,0)*2</f>
        <v>154.01436781609189</v>
      </c>
      <c r="BE343" s="335">
        <f t="shared" si="3671"/>
        <v>2</v>
      </c>
      <c r="BF343" s="243">
        <f t="shared" si="3581"/>
        <v>152.01436781609189</v>
      </c>
      <c r="BG343" s="218">
        <f>IF((BE343-BD343)&gt;0,BE343-BD343,0)</f>
        <v>0</v>
      </c>
      <c r="BH343" s="248"/>
      <c r="BI343" s="303" t="s">
        <v>495</v>
      </c>
      <c r="BJ343" s="304" t="s">
        <v>8</v>
      </c>
      <c r="BK343" s="304" t="s">
        <v>132</v>
      </c>
      <c r="BL343" s="114">
        <f t="shared" si="3655"/>
        <v>12</v>
      </c>
      <c r="BM343" s="113"/>
      <c r="BN343" s="113">
        <f>Konvention_1slave-INslave</f>
        <v>12</v>
      </c>
      <c r="BO343" s="113"/>
      <c r="BP343" s="113"/>
      <c r="BQ343" s="113">
        <f>Konvention_1slave-GEslave</f>
        <v>12</v>
      </c>
      <c r="BR343" s="113"/>
      <c r="BS343" s="119"/>
      <c r="BT343" s="223">
        <f>(BL343+BM343+BN343+BO343+BP343+BQ343+BR343+BS343)/3</f>
        <v>12</v>
      </c>
      <c r="BU343" s="223">
        <f>2*BT343</f>
        <v>24</v>
      </c>
      <c r="BV343" s="224">
        <f>3*BT343</f>
        <v>36</v>
      </c>
      <c r="BW343" s="237">
        <f t="shared" si="3656"/>
        <v>2304</v>
      </c>
      <c r="BX343" s="113">
        <f>BL343*BN343*GEslave+BL343*INslave*BQ343+MUslave*BN343*BQ343</f>
        <v>3456</v>
      </c>
      <c r="BY343" s="224">
        <f>IFERROR(BL343^SIGN(BL343),1)*IFERROR(BM343^SIGN(BM343),1)*IFERROR(BN343^SIGN(BN343),1)*IFERROR(BO343^SIGN(BO343),1)*IFERROR(BP343^SIGN(BP343),1)*IFERROR(BQ343^SIGN(BQ343),1)*IFERROR(BR343^SIGN(BR343),1)*IFERROR(BS343^SIGN(BS343),1)</f>
        <v>1728</v>
      </c>
      <c r="BZ343" s="224">
        <f>SUM(BW343:BY343)</f>
        <v>7488</v>
      </c>
      <c r="CA343" s="222">
        <f>BT343*BW343/BZ343</f>
        <v>3.6923076923076925</v>
      </c>
      <c r="CB343" s="223">
        <f>BU343*BX343/BZ343</f>
        <v>11.076923076923077</v>
      </c>
      <c r="CC343" s="243">
        <f>BV343*BY343/BZ343</f>
        <v>8.3076923076923084</v>
      </c>
      <c r="CD343" s="243">
        <f>SUM(CA343:CC343)</f>
        <v>23.07692307692308</v>
      </c>
      <c r="CE343" s="252">
        <f t="shared" si="2925"/>
        <v>0</v>
      </c>
      <c r="CF343" s="324">
        <f>CD343-CE343</f>
        <v>23.07692307692308</v>
      </c>
      <c r="CG343" s="304">
        <f t="shared" ref="CG343:CH345" si="3672">IF(CD343&lt;=0,2,0)+IF(CD343&gt;0,CD343+1,0)*2+IF(CD343&gt;12,CD343-12,0)*2+IF(CD343&gt;13,CD343-13,0)*2+IF(CD343&gt;14,CD343-14,0)*2+IF(CD343&gt;15,CD343-15,0)*2+IF(CD343&gt;16,CD343-16,0)*2+IF(CD343&gt;17,CD343-17,0)*2+IF(CD343&gt;18,CD343-18,0)*2+IF(CD343&gt;19,CD343-19,0)*2+IF(CD343&gt;20,CD343-20,0)*2</f>
        <v>175.5384615384616</v>
      </c>
      <c r="CH343" s="335">
        <f t="shared" si="3672"/>
        <v>2</v>
      </c>
      <c r="CI343" s="243">
        <f t="shared" si="3591"/>
        <v>173.5384615384616</v>
      </c>
      <c r="CJ343" s="218">
        <f>IF((CH343-CG343)&gt;0,CH343-CG343,0)</f>
        <v>0</v>
      </c>
      <c r="CK343" s="248"/>
      <c r="CL343" s="303" t="s">
        <v>495</v>
      </c>
      <c r="CM343" s="304" t="s">
        <v>8</v>
      </c>
      <c r="CN343" s="304" t="s">
        <v>132</v>
      </c>
      <c r="CO343" s="114">
        <f t="shared" si="3657"/>
        <v>12</v>
      </c>
      <c r="CP343" s="113"/>
      <c r="CQ343" s="113">
        <f>Konvention_1slave-INslave_IN</f>
        <v>11</v>
      </c>
      <c r="CR343" s="113"/>
      <c r="CS343" s="113"/>
      <c r="CT343" s="113">
        <f>Konvention_1slave-GEslave</f>
        <v>12</v>
      </c>
      <c r="CU343" s="113"/>
      <c r="CV343" s="119"/>
      <c r="CW343" s="223">
        <f>(CO343+CP343+CQ343+CR343+CS343+CT343+CU343+CV343)/3</f>
        <v>11.666666666666666</v>
      </c>
      <c r="CX343" s="223">
        <f>2*CW343</f>
        <v>23.333333333333332</v>
      </c>
      <c r="CY343" s="224">
        <f>3*CW343</f>
        <v>35</v>
      </c>
      <c r="CZ343" s="237">
        <f t="shared" si="3658"/>
        <v>2432</v>
      </c>
      <c r="DA343" s="113">
        <f>CO343*CQ343*GEslave+CO343*INslave_IN*CT343+MUslave*CQ343*CT343</f>
        <v>3408</v>
      </c>
      <c r="DB343" s="224">
        <f>IFERROR(CO343^SIGN(CO343),1)*IFERROR(CP343^SIGN(CP343),1)*IFERROR(CQ343^SIGN(CQ343),1)*IFERROR(CR343^SIGN(CR343),1)*IFERROR(CS343^SIGN(CS343),1)*IFERROR(CT343^SIGN(CT343),1)*IFERROR(CU343^SIGN(CU343),1)*IFERROR(CV343^SIGN(CV343),1)</f>
        <v>1584</v>
      </c>
      <c r="DC343" s="224">
        <f>SUM(CZ343:DB343)</f>
        <v>7424</v>
      </c>
      <c r="DD343" s="222">
        <f>CW343*CZ343/DC343</f>
        <v>3.8218390804597702</v>
      </c>
      <c r="DE343" s="223">
        <f>CX343*DA343/DC343</f>
        <v>10.711206896551724</v>
      </c>
      <c r="DF343" s="243">
        <f>CY343*DB343/DC343</f>
        <v>7.4676724137931032</v>
      </c>
      <c r="DG343" s="243">
        <f>SUM(DD343:DF343)</f>
        <v>22.000718390804597</v>
      </c>
      <c r="DH343" s="252">
        <f t="shared" si="2928"/>
        <v>0</v>
      </c>
      <c r="DI343" s="324">
        <f>DG343-DH343</f>
        <v>22.000718390804597</v>
      </c>
      <c r="DJ343" s="304">
        <f t="shared" ref="DJ343:DK345" si="3673">IF(DG343&lt;=0,2,0)+IF(DG343&gt;0,DG343+1,0)*2+IF(DG343&gt;12,DG343-12,0)*2+IF(DG343&gt;13,DG343-13,0)*2+IF(DG343&gt;14,DG343-14,0)*2+IF(DG343&gt;15,DG343-15,0)*2+IF(DG343&gt;16,DG343-16,0)*2+IF(DG343&gt;17,DG343-17,0)*2+IF(DG343&gt;18,DG343-18,0)*2+IF(DG343&gt;19,DG343-19,0)*2+IF(DG343&gt;20,DG343-20,0)*2</f>
        <v>154.01436781609189</v>
      </c>
      <c r="DK343" s="335">
        <f t="shared" si="3673"/>
        <v>2</v>
      </c>
      <c r="DL343" s="243">
        <f t="shared" si="3601"/>
        <v>152.01436781609189</v>
      </c>
      <c r="DM343" s="218">
        <f>IF((DK343-DJ343)&gt;0,DK343-DJ343,0)</f>
        <v>0</v>
      </c>
      <c r="DN343" s="248"/>
      <c r="DO343" s="303" t="s">
        <v>495</v>
      </c>
      <c r="DP343" s="304" t="s">
        <v>8</v>
      </c>
      <c r="DQ343" s="304" t="s">
        <v>132</v>
      </c>
      <c r="DR343" s="114">
        <f t="shared" si="3659"/>
        <v>12</v>
      </c>
      <c r="DS343" s="113"/>
      <c r="DT343" s="113">
        <f>Konvention_1slave-INslave</f>
        <v>12</v>
      </c>
      <c r="DU343" s="113"/>
      <c r="DV343" s="113"/>
      <c r="DW343" s="113">
        <f>Konvention_1slave-GEslave</f>
        <v>12</v>
      </c>
      <c r="DX343" s="113"/>
      <c r="DY343" s="119"/>
      <c r="DZ343" s="223">
        <f>(DR343+DS343+DT343+DU343+DV343+DW343+DX343+DY343)/3</f>
        <v>12</v>
      </c>
      <c r="EA343" s="223">
        <f>2*DZ343</f>
        <v>24</v>
      </c>
      <c r="EB343" s="224">
        <f>3*DZ343</f>
        <v>36</v>
      </c>
      <c r="EC343" s="237">
        <f t="shared" si="3660"/>
        <v>2304</v>
      </c>
      <c r="ED343" s="113">
        <f>DR343*DT343*GEslave+DR343*INslave*DW343+MUslave*DT343*DW343</f>
        <v>3456</v>
      </c>
      <c r="EE343" s="224">
        <f>IFERROR(DR343^SIGN(DR343),1)*IFERROR(DS343^SIGN(DS343),1)*IFERROR(DT343^SIGN(DT343),1)*IFERROR(DU343^SIGN(DU343),1)*IFERROR(DV343^SIGN(DV343),1)*IFERROR(DW343^SIGN(DW343),1)*IFERROR(DX343^SIGN(DX343),1)*IFERROR(DY343^SIGN(DY343),1)</f>
        <v>1728</v>
      </c>
      <c r="EF343" s="224">
        <f>SUM(EC343:EE343)</f>
        <v>7488</v>
      </c>
      <c r="EG343" s="222">
        <f>DZ343*EC343/EF343</f>
        <v>3.6923076923076925</v>
      </c>
      <c r="EH343" s="223">
        <f>EA343*ED343/EF343</f>
        <v>11.076923076923077</v>
      </c>
      <c r="EI343" s="243">
        <f>EB343*EE343/EF343</f>
        <v>8.3076923076923084</v>
      </c>
      <c r="EJ343" s="243">
        <f>SUM(EG343:EI343)</f>
        <v>23.07692307692308</v>
      </c>
      <c r="EK343" s="252">
        <f t="shared" si="2931"/>
        <v>0</v>
      </c>
      <c r="EL343" s="324">
        <f>EJ343-EK343</f>
        <v>23.07692307692308</v>
      </c>
      <c r="EM343" s="304">
        <f t="shared" ref="EM343:EN345" si="3674">IF(EJ343&lt;=0,2,0)+IF(EJ343&gt;0,EJ343+1,0)*2+IF(EJ343&gt;12,EJ343-12,0)*2+IF(EJ343&gt;13,EJ343-13,0)*2+IF(EJ343&gt;14,EJ343-14,0)*2+IF(EJ343&gt;15,EJ343-15,0)*2+IF(EJ343&gt;16,EJ343-16,0)*2+IF(EJ343&gt;17,EJ343-17,0)*2+IF(EJ343&gt;18,EJ343-18,0)*2+IF(EJ343&gt;19,EJ343-19,0)*2+IF(EJ343&gt;20,EJ343-20,0)*2</f>
        <v>175.5384615384616</v>
      </c>
      <c r="EN343" s="335">
        <f t="shared" si="3674"/>
        <v>2</v>
      </c>
      <c r="EO343" s="243">
        <f t="shared" si="3611"/>
        <v>173.5384615384616</v>
      </c>
      <c r="EP343" s="218">
        <f>IF((EN343-EM343)&gt;0,EN343-EM343,0)</f>
        <v>0</v>
      </c>
      <c r="EQ343" s="248"/>
      <c r="ER343" s="303" t="s">
        <v>495</v>
      </c>
      <c r="ES343" s="304" t="s">
        <v>8</v>
      </c>
      <c r="ET343" s="304" t="s">
        <v>132</v>
      </c>
      <c r="EU343" s="114">
        <f t="shared" si="3661"/>
        <v>12</v>
      </c>
      <c r="EV343" s="113"/>
      <c r="EW343" s="113">
        <f>Konvention_1slave-INslave</f>
        <v>12</v>
      </c>
      <c r="EX343" s="113"/>
      <c r="EY343" s="113"/>
      <c r="EZ343" s="113">
        <f>Konvention_1slave-GEslave</f>
        <v>12</v>
      </c>
      <c r="FA343" s="113"/>
      <c r="FB343" s="119"/>
      <c r="FC343" s="223">
        <f>(EU343+EV343+EW343+EX343+EY343+EZ343+FA343+FB343)/3</f>
        <v>12</v>
      </c>
      <c r="FD343" s="223">
        <f>2*FC343</f>
        <v>24</v>
      </c>
      <c r="FE343" s="224">
        <f>3*FC343</f>
        <v>36</v>
      </c>
      <c r="FF343" s="237">
        <f t="shared" si="3662"/>
        <v>2304</v>
      </c>
      <c r="FG343" s="113">
        <f>EU343*EW343*GEslave+EU343*INslave*EZ343+MUslave*EW343*EZ343</f>
        <v>3456</v>
      </c>
      <c r="FH343" s="224">
        <f>IFERROR(EU343^SIGN(EU343),1)*IFERROR(EV343^SIGN(EV343),1)*IFERROR(EW343^SIGN(EW343),1)*IFERROR(EX343^SIGN(EX343),1)*IFERROR(EY343^SIGN(EY343),1)*IFERROR(EZ343^SIGN(EZ343),1)*IFERROR(FA343^SIGN(FA343),1)*IFERROR(FB343^SIGN(FB343),1)</f>
        <v>1728</v>
      </c>
      <c r="FI343" s="224">
        <f>SUM(FF343:FH343)</f>
        <v>7488</v>
      </c>
      <c r="FJ343" s="222">
        <f>FC343*FF343/FI343</f>
        <v>3.6923076923076925</v>
      </c>
      <c r="FK343" s="223">
        <f>FD343*FG343/FI343</f>
        <v>11.076923076923077</v>
      </c>
      <c r="FL343" s="243">
        <f>FE343*FH343/FI343</f>
        <v>8.3076923076923084</v>
      </c>
      <c r="FM343" s="243">
        <f>SUM(FJ343:FL343)</f>
        <v>23.07692307692308</v>
      </c>
      <c r="FN343" s="252">
        <f t="shared" si="2934"/>
        <v>0</v>
      </c>
      <c r="FO343" s="324">
        <f>FM343-FN343</f>
        <v>23.07692307692308</v>
      </c>
      <c r="FP343" s="304">
        <f t="shared" ref="FP343:FQ345" si="3675">IF(FM343&lt;=0,2,0)+IF(FM343&gt;0,FM343+1,0)*2+IF(FM343&gt;12,FM343-12,0)*2+IF(FM343&gt;13,FM343-13,0)*2+IF(FM343&gt;14,FM343-14,0)*2+IF(FM343&gt;15,FM343-15,0)*2+IF(FM343&gt;16,FM343-16,0)*2+IF(FM343&gt;17,FM343-17,0)*2+IF(FM343&gt;18,FM343-18,0)*2+IF(FM343&gt;19,FM343-19,0)*2+IF(FM343&gt;20,FM343-20,0)*2</f>
        <v>175.5384615384616</v>
      </c>
      <c r="FQ343" s="335">
        <f t="shared" si="3675"/>
        <v>2</v>
      </c>
      <c r="FR343" s="243">
        <f t="shared" si="3621"/>
        <v>173.5384615384616</v>
      </c>
      <c r="FS343" s="218">
        <f>IF((FQ343-FP343)&gt;0,FQ343-FP343,0)</f>
        <v>0</v>
      </c>
      <c r="FT343" s="248"/>
      <c r="FU343" s="303" t="s">
        <v>495</v>
      </c>
      <c r="FV343" s="304" t="s">
        <v>8</v>
      </c>
      <c r="FW343" s="304" t="s">
        <v>132</v>
      </c>
      <c r="FX343" s="114">
        <f t="shared" si="3663"/>
        <v>12</v>
      </c>
      <c r="FY343" s="113"/>
      <c r="FZ343" s="113">
        <f>Konvention_1slave-INslave</f>
        <v>12</v>
      </c>
      <c r="GA343" s="113"/>
      <c r="GB343" s="113"/>
      <c r="GC343" s="113">
        <f>Konvention_1slave-GEslave_GE</f>
        <v>11</v>
      </c>
      <c r="GD343" s="113"/>
      <c r="GE343" s="119"/>
      <c r="GF343" s="223">
        <f>(FX343+FY343+FZ343+GA343+GB343+GC343+GD343+GE343)/3</f>
        <v>11.666666666666666</v>
      </c>
      <c r="GG343" s="223">
        <f>2*GF343</f>
        <v>23.333333333333332</v>
      </c>
      <c r="GH343" s="224">
        <f>3*GF343</f>
        <v>35</v>
      </c>
      <c r="GI343" s="237">
        <f t="shared" si="3664"/>
        <v>2432</v>
      </c>
      <c r="GJ343" s="113">
        <f>FX343*FZ343*GEslave_GE+FX343*INslave*GC343+MUslave*FZ343*GC343</f>
        <v>3408</v>
      </c>
      <c r="GK343" s="224">
        <f>IFERROR(FX343^SIGN(FX343),1)*IFERROR(FY343^SIGN(FY343),1)*IFERROR(FZ343^SIGN(FZ343),1)*IFERROR(GA343^SIGN(GA343),1)*IFERROR(GB343^SIGN(GB343),1)*IFERROR(GC343^SIGN(GC343),1)*IFERROR(GD343^SIGN(GD343),1)*IFERROR(GE343^SIGN(GE343),1)</f>
        <v>1584</v>
      </c>
      <c r="GL343" s="224">
        <f>SUM(GI343:GK343)</f>
        <v>7424</v>
      </c>
      <c r="GM343" s="222">
        <f>GF343*GI343/GL343</f>
        <v>3.8218390804597702</v>
      </c>
      <c r="GN343" s="223">
        <f>GG343*GJ343/GL343</f>
        <v>10.711206896551724</v>
      </c>
      <c r="GO343" s="243">
        <f>GH343*GK343/GL343</f>
        <v>7.4676724137931032</v>
      </c>
      <c r="GP343" s="243">
        <f>SUM(GM343:GO343)</f>
        <v>22.000718390804597</v>
      </c>
      <c r="GQ343" s="252">
        <f t="shared" si="2937"/>
        <v>0</v>
      </c>
      <c r="GR343" s="324">
        <f>GP343-GQ343</f>
        <v>22.000718390804597</v>
      </c>
      <c r="GS343" s="304">
        <f t="shared" ref="GS343:GT345" si="3676">IF(GP343&lt;=0,2,0)+IF(GP343&gt;0,GP343+1,0)*2+IF(GP343&gt;12,GP343-12,0)*2+IF(GP343&gt;13,GP343-13,0)*2+IF(GP343&gt;14,GP343-14,0)*2+IF(GP343&gt;15,GP343-15,0)*2+IF(GP343&gt;16,GP343-16,0)*2+IF(GP343&gt;17,GP343-17,0)*2+IF(GP343&gt;18,GP343-18,0)*2+IF(GP343&gt;19,GP343-19,0)*2+IF(GP343&gt;20,GP343-20,0)*2</f>
        <v>154.01436781609189</v>
      </c>
      <c r="GT343" s="335">
        <f t="shared" si="3676"/>
        <v>2</v>
      </c>
      <c r="GU343" s="243">
        <f t="shared" si="3631"/>
        <v>152.01436781609189</v>
      </c>
      <c r="GV343" s="218">
        <f>IF((GT343-GS343)&gt;0,GT343-GS343,0)</f>
        <v>0</v>
      </c>
      <c r="GW343" s="248"/>
      <c r="GX343" s="303" t="s">
        <v>495</v>
      </c>
      <c r="GY343" s="304" t="s">
        <v>8</v>
      </c>
      <c r="GZ343" s="304" t="s">
        <v>132</v>
      </c>
      <c r="HA343" s="114">
        <f t="shared" si="3665"/>
        <v>12</v>
      </c>
      <c r="HB343" s="113"/>
      <c r="HC343" s="113">
        <f>Konvention_1slave-INslave</f>
        <v>12</v>
      </c>
      <c r="HD343" s="113"/>
      <c r="HE343" s="113"/>
      <c r="HF343" s="113">
        <f>Konvention_1slave-GEslave</f>
        <v>12</v>
      </c>
      <c r="HG343" s="113"/>
      <c r="HH343" s="119"/>
      <c r="HI343" s="223">
        <f>(HA343+HB343+HC343+HD343+HE343+HF343+HG343+HH343)/3</f>
        <v>12</v>
      </c>
      <c r="HJ343" s="223">
        <f>2*HI343</f>
        <v>24</v>
      </c>
      <c r="HK343" s="224">
        <f>3*HI343</f>
        <v>36</v>
      </c>
      <c r="HL343" s="237">
        <f t="shared" si="3666"/>
        <v>2304</v>
      </c>
      <c r="HM343" s="113">
        <f>HA343*HC343*GEslave+HA343*INslave*HF343+MUslave*HC343*HF343</f>
        <v>3456</v>
      </c>
      <c r="HN343" s="224">
        <f>IFERROR(HA343^SIGN(HA343),1)*IFERROR(HB343^SIGN(HB343),1)*IFERROR(HC343^SIGN(HC343),1)*IFERROR(HD343^SIGN(HD343),1)*IFERROR(HE343^SIGN(HE343),1)*IFERROR(HF343^SIGN(HF343),1)*IFERROR(HG343^SIGN(HG343),1)*IFERROR(HH343^SIGN(HH343),1)</f>
        <v>1728</v>
      </c>
      <c r="HO343" s="224">
        <f>SUM(HL343:HN343)</f>
        <v>7488</v>
      </c>
      <c r="HP343" s="222">
        <f>HI343*HL343/HO343</f>
        <v>3.6923076923076925</v>
      </c>
      <c r="HQ343" s="223">
        <f>HJ343*HM343/HO343</f>
        <v>11.076923076923077</v>
      </c>
      <c r="HR343" s="243">
        <f>HK343*HN343/HO343</f>
        <v>8.3076923076923084</v>
      </c>
      <c r="HS343" s="243">
        <f>SUM(HP343:HR343)</f>
        <v>23.07692307692308</v>
      </c>
      <c r="HT343" s="252">
        <f t="shared" si="2940"/>
        <v>0</v>
      </c>
      <c r="HU343" s="324">
        <f>HS343-HT343</f>
        <v>23.07692307692308</v>
      </c>
      <c r="HV343" s="304">
        <f t="shared" ref="HV343:HW345" si="3677">IF(HS343&lt;=0,2,0)+IF(HS343&gt;0,HS343+1,0)*2+IF(HS343&gt;12,HS343-12,0)*2+IF(HS343&gt;13,HS343-13,0)*2+IF(HS343&gt;14,HS343-14,0)*2+IF(HS343&gt;15,HS343-15,0)*2+IF(HS343&gt;16,HS343-16,0)*2+IF(HS343&gt;17,HS343-17,0)*2+IF(HS343&gt;18,HS343-18,0)*2+IF(HS343&gt;19,HS343-19,0)*2+IF(HS343&gt;20,HS343-20,0)*2</f>
        <v>175.5384615384616</v>
      </c>
      <c r="HW343" s="335">
        <f t="shared" si="3677"/>
        <v>2</v>
      </c>
      <c r="HX343" s="243">
        <f t="shared" si="3641"/>
        <v>173.5384615384616</v>
      </c>
      <c r="HY343" s="218">
        <f>IF((HW343-HV343)&gt;0,HW343-HV343,0)</f>
        <v>0</v>
      </c>
      <c r="HZ343" s="248"/>
      <c r="IA343" s="303" t="s">
        <v>495</v>
      </c>
      <c r="IB343" s="304" t="s">
        <v>8</v>
      </c>
      <c r="IC343" s="304" t="s">
        <v>132</v>
      </c>
      <c r="ID343" s="114">
        <f t="shared" si="3667"/>
        <v>12</v>
      </c>
      <c r="IE343" s="113"/>
      <c r="IF343" s="113">
        <f>Konvention_1slave-INslave</f>
        <v>12</v>
      </c>
      <c r="IG343" s="113"/>
      <c r="IH343" s="113"/>
      <c r="II343" s="113">
        <f>Konvention_1slave-GEslave</f>
        <v>12</v>
      </c>
      <c r="IJ343" s="113"/>
      <c r="IK343" s="119"/>
      <c r="IL343" s="223">
        <f>(ID343+IE343+IF343+IG343+IH343+II343+IJ343+IK343)/3</f>
        <v>12</v>
      </c>
      <c r="IM343" s="223">
        <f>2*IL343</f>
        <v>24</v>
      </c>
      <c r="IN343" s="224">
        <f>3*IL343</f>
        <v>36</v>
      </c>
      <c r="IO343" s="237">
        <f t="shared" si="3668"/>
        <v>2304</v>
      </c>
      <c r="IP343" s="113">
        <f>ID343*IF343*GEslave+ID343*INslave*II343+MUslave*IF343*II343</f>
        <v>3456</v>
      </c>
      <c r="IQ343" s="224">
        <f>IFERROR(ID343^SIGN(ID343),1)*IFERROR(IE343^SIGN(IE343),1)*IFERROR(IF343^SIGN(IF343),1)*IFERROR(IG343^SIGN(IG343),1)*IFERROR(IH343^SIGN(IH343),1)*IFERROR(II343^SIGN(II343),1)*IFERROR(IJ343^SIGN(IJ343),1)*IFERROR(IK343^SIGN(IK343),1)</f>
        <v>1728</v>
      </c>
      <c r="IR343" s="224">
        <f>SUM(IO343:IQ343)</f>
        <v>7488</v>
      </c>
      <c r="IS343" s="222">
        <f>IL343*IO343/IR343</f>
        <v>3.6923076923076925</v>
      </c>
      <c r="IT343" s="223">
        <f>IM343*IP343/IR343</f>
        <v>11.076923076923077</v>
      </c>
      <c r="IU343" s="243">
        <f>IN343*IQ343/IR343</f>
        <v>8.3076923076923084</v>
      </c>
      <c r="IV343" s="243">
        <f>SUM(IS343:IU343)</f>
        <v>23.07692307692308</v>
      </c>
      <c r="IW343" s="252">
        <f t="shared" si="2943"/>
        <v>0</v>
      </c>
      <c r="IX343" s="324">
        <f>IV343-IW343</f>
        <v>23.07692307692308</v>
      </c>
      <c r="IY343" s="304">
        <f t="shared" ref="IY343:IZ345" si="3678">IF(IV343&lt;=0,2,0)+IF(IV343&gt;0,IV343+1,0)*2+IF(IV343&gt;12,IV343-12,0)*2+IF(IV343&gt;13,IV343-13,0)*2+IF(IV343&gt;14,IV343-14,0)*2+IF(IV343&gt;15,IV343-15,0)*2+IF(IV343&gt;16,IV343-16,0)*2+IF(IV343&gt;17,IV343-17,0)*2+IF(IV343&gt;18,IV343-18,0)*2+IF(IV343&gt;19,IV343-19,0)*2+IF(IV343&gt;20,IV343-20,0)*2</f>
        <v>175.5384615384616</v>
      </c>
      <c r="IZ343" s="335">
        <f t="shared" si="3678"/>
        <v>2</v>
      </c>
      <c r="JA343" s="243">
        <f t="shared" si="3651"/>
        <v>173.5384615384616</v>
      </c>
      <c r="JB343" s="218">
        <f>IF((IZ343-IY343)&gt;0,IZ343-IY343,0)</f>
        <v>0</v>
      </c>
      <c r="JE343" s="148"/>
    </row>
    <row r="344" spans="1:265" hidden="1" outlineLevel="2">
      <c r="A344" s="185"/>
      <c r="B344" s="148">
        <v>22</v>
      </c>
      <c r="C344" s="303" t="e">
        <f>VLOOKUP(AF344,Attribute!C:T,1,FALSE)</f>
        <v>#N/A</v>
      </c>
      <c r="D344" s="304" t="s">
        <v>439</v>
      </c>
      <c r="E344" s="304" t="s">
        <v>132</v>
      </c>
      <c r="F344" s="120"/>
      <c r="G344" s="117">
        <f>Konvention_1master-KLmaster</f>
        <v>12</v>
      </c>
      <c r="H344" s="117">
        <f t="shared" ref="H344" si="3679">Konvention_1master-INmaster</f>
        <v>12</v>
      </c>
      <c r="I344" s="117"/>
      <c r="J344" s="117"/>
      <c r="K344" s="117">
        <f>Konvention_1master-GEmaster</f>
        <v>12</v>
      </c>
      <c r="L344" s="117"/>
      <c r="M344" s="121"/>
      <c r="N344" s="223">
        <f t="shared" ref="N344" si="3680">(F344+G344+H344+I344+J344+K344+L344+M344)/3</f>
        <v>12</v>
      </c>
      <c r="O344" s="223">
        <f t="shared" ref="O344" si="3681">2*N344</f>
        <v>24</v>
      </c>
      <c r="P344" s="224">
        <f t="shared" ref="P344" si="3682">3*N344</f>
        <v>36</v>
      </c>
      <c r="Q344" s="237">
        <f t="shared" ref="Q344" si="3683">F344*POWER(KLmaster,SIGN(G344))*POWER(INmaster,SIGN(H344))*POWER(CHmaster,SIGN(I344))*POWER(FFmaster,SIGN(J344))*POWER(GEmaster,SIGN(K344))*POWER(KOmaster,SIGN(L344))*POWER(KKmaster,SIGN(M344))+G344*POWER(MUmaster,SIGN(F344))*POWER(INmaster,SIGN(H344))*POWER(CHmaster,SIGN(I344))*POWER(FFmaster,SIGN(J344))*POWER(GEmaster,SIGN(K344))*POWER(KOmaster,SIGN(L344))*POWER(KKmaster,SIGN(M344))+H344*POWER(MUmaster,SIGN(F344))*POWER(KLmaster,SIGN(G344))*POWER(CHmaster,SIGN(I344))*POWER(FFmaster,SIGN(J344))*POWER(GEmaster,SIGN(K344))*POWER(KOmaster,SIGN(L344))*POWER(KKmaster,SIGN(M344))+I344*POWER(MUmaster,SIGN(F344))*POWER(KLmaster,SIGN(G344))*POWER(INmaster,SIGN(H344))*POWER(FFmaster,SIGN(J344))*POWER(GEmaster,SIGN(K344))*POWER(KOmaster,SIGN(L344))*POWER(KKmaster,SIGN(M344))+J344*POWER(MUmaster,SIGN(F344))*POWER(KLmaster,SIGN(G344))*POWER(INmaster,SIGN(H344))*POWER(CHmaster,SIGN(I344))*POWER(GEmaster,SIGN(K344))*POWER(KOmaster,SIGN(L344))*POWER(KKmaster,SIGN(M344))+K344*POWER(MUmaster,SIGN(F344))*POWER(KLmaster,SIGN(G344))*POWER(INmaster,SIGN(H344))*POWER(CHmaster,SIGN(I344))*POWER(FFmaster,SIGN(J344))*POWER(KOmaster,SIGN(L344))*POWER(KKmaster,SIGN(M344))+L344*POWER(MUmaster,SIGN(F344))*POWER(KLmaster,SIGN(G344))*POWER(INmaster,SIGN(H344))*POWER(CHmaster,SIGN(I344))*POWER(FFmaster,SIGN(J344))*POWER(GEmaster,SIGN(K344))*POWER(KKmaster,SIGN(M344))+M344*POWER(MUmaster,SIGN(F344))*POWER(KLmaster,SIGN(G344))*POWER(INmaster,SIGN(H344))*POWER(CHmaster,SIGN(I344))*POWER(FFmaster,SIGN(J344))*POWER(GEmaster,SIGN(K344))*POWER(KOmaster,SIGN(L344))</f>
        <v>2304</v>
      </c>
      <c r="R344" s="117">
        <f>G344*H344*GEmaster+G344*INmaster*K344+KLmaster*H344*K344</f>
        <v>3456</v>
      </c>
      <c r="S344" s="224">
        <f t="shared" ref="S344" si="3684">IFERROR(F344^SIGN(F344),1)*IFERROR(G344^SIGN(G344),1)*IFERROR(H344^SIGN(H344),1)*IFERROR(I344^SIGN(I344),1)*IFERROR(J344^SIGN(J344),1)*IFERROR(K344^SIGN(K344),1)*IFERROR(L344^SIGN(L344),1)*IFERROR(M344^SIGN(M344),1)</f>
        <v>1728</v>
      </c>
      <c r="T344" s="224">
        <f t="shared" ref="T344" si="3685">SUM(Q344:S344)</f>
        <v>7488</v>
      </c>
      <c r="U344" s="222">
        <f t="shared" ref="U344" si="3686">N344*Q344/T344</f>
        <v>3.6923076923076925</v>
      </c>
      <c r="V344" s="223">
        <f t="shared" ref="V344" si="3687">O344*R344/T344</f>
        <v>11.076923076923077</v>
      </c>
      <c r="W344" s="243">
        <f t="shared" ref="W344" si="3688">P344*S344/T344</f>
        <v>8.3076923076923084</v>
      </c>
      <c r="X344" s="243">
        <f t="shared" ref="X344" si="3689">SUM(U344:W344)</f>
        <v>23.07692307692308</v>
      </c>
      <c r="Y344" s="252">
        <v>0</v>
      </c>
      <c r="Z344" s="324">
        <f t="shared" ref="Z344" si="3690">X344-Y344</f>
        <v>23.07692307692308</v>
      </c>
      <c r="AA344" s="304">
        <f t="shared" si="3669"/>
        <v>175.5384615384616</v>
      </c>
      <c r="AB344" s="335">
        <f t="shared" si="3670"/>
        <v>2</v>
      </c>
      <c r="AC344" s="243">
        <f t="shared" si="3571"/>
        <v>173.5384615384616</v>
      </c>
      <c r="AD344" s="218">
        <f t="shared" ref="AD344" si="3691">IF((AB344-AA344)&gt;0,AB344-AA344,0)</f>
        <v>0</v>
      </c>
      <c r="AE344" s="140"/>
      <c r="AF344" s="303" t="s">
        <v>496</v>
      </c>
      <c r="AG344" s="304" t="s">
        <v>439</v>
      </c>
      <c r="AH344" s="304" t="s">
        <v>132</v>
      </c>
      <c r="AI344" s="120"/>
      <c r="AJ344" s="117">
        <f>Konvention_1slave-KLslave</f>
        <v>12</v>
      </c>
      <c r="AK344" s="117">
        <f>Konvention_1slave-INslave</f>
        <v>12</v>
      </c>
      <c r="AL344" s="117"/>
      <c r="AM344" s="117"/>
      <c r="AN344" s="117">
        <f>Konvention_1slave-GEslave</f>
        <v>12</v>
      </c>
      <c r="AO344" s="117"/>
      <c r="AP344" s="121"/>
      <c r="AQ344" s="223">
        <f t="shared" ref="AQ344" si="3692">(AI344+AJ344+AK344+AL344+AM344+AN344+AO344+AP344)/3</f>
        <v>12</v>
      </c>
      <c r="AR344" s="223">
        <f t="shared" ref="AR344" si="3693">2*AQ344</f>
        <v>24</v>
      </c>
      <c r="AS344" s="224">
        <f t="shared" ref="AS344" si="3694">3*AQ344</f>
        <v>36</v>
      </c>
      <c r="AT344" s="237">
        <f t="shared" si="3654"/>
        <v>2304</v>
      </c>
      <c r="AU344" s="117">
        <f>AJ344*AK344*GEslave+AJ344*INslave*AN344+KLslave*AK344*AN344</f>
        <v>3456</v>
      </c>
      <c r="AV344" s="224">
        <f t="shared" ref="AV344" si="3695">IFERROR(AI344^SIGN(AI344),1)*IFERROR(AJ344^SIGN(AJ344),1)*IFERROR(AK344^SIGN(AK344),1)*IFERROR(AL344^SIGN(AL344),1)*IFERROR(AM344^SIGN(AM344),1)*IFERROR(AN344^SIGN(AN344),1)*IFERROR(AO344^SIGN(AO344),1)*IFERROR(AP344^SIGN(AP344),1)</f>
        <v>1728</v>
      </c>
      <c r="AW344" s="224">
        <f t="shared" ref="AW344" si="3696">SUM(AT344:AV344)</f>
        <v>7488</v>
      </c>
      <c r="AX344" s="222">
        <f t="shared" ref="AX344" si="3697">AQ344*AT344/AW344</f>
        <v>3.6923076923076925</v>
      </c>
      <c r="AY344" s="223">
        <f t="shared" ref="AY344" si="3698">AR344*AU344/AW344</f>
        <v>11.076923076923077</v>
      </c>
      <c r="AZ344" s="243">
        <f t="shared" ref="AZ344" si="3699">AS344*AV344/AW344</f>
        <v>8.3076923076923084</v>
      </c>
      <c r="BA344" s="243">
        <f t="shared" ref="BA344" si="3700">SUM(AX344:AZ344)</f>
        <v>23.07692307692308</v>
      </c>
      <c r="BB344" s="252">
        <f t="shared" si="2034"/>
        <v>0</v>
      </c>
      <c r="BC344" s="324">
        <f t="shared" ref="BC344" si="3701">BA344-BB344</f>
        <v>23.07692307692308</v>
      </c>
      <c r="BD344" s="304">
        <f t="shared" si="3671"/>
        <v>175.5384615384616</v>
      </c>
      <c r="BE344" s="335">
        <f t="shared" si="3671"/>
        <v>2</v>
      </c>
      <c r="BF344" s="243">
        <f t="shared" si="3581"/>
        <v>173.5384615384616</v>
      </c>
      <c r="BG344" s="218">
        <f t="shared" ref="BG344" si="3702">IF((BE344-BD344)&gt;0,BE344-BD344,0)</f>
        <v>0</v>
      </c>
      <c r="BH344" s="248"/>
      <c r="BI344" s="303" t="s">
        <v>496</v>
      </c>
      <c r="BJ344" s="304" t="s">
        <v>439</v>
      </c>
      <c r="BK344" s="304" t="s">
        <v>132</v>
      </c>
      <c r="BL344" s="120"/>
      <c r="BM344" s="117">
        <f>Konvention_1slave-KLslave_KL</f>
        <v>11</v>
      </c>
      <c r="BN344" s="117">
        <f t="shared" ref="BN344" si="3703">Konvention_1slave-INslave</f>
        <v>12</v>
      </c>
      <c r="BO344" s="117"/>
      <c r="BP344" s="117"/>
      <c r="BQ344" s="117">
        <f>Konvention_1slave-GEslave</f>
        <v>12</v>
      </c>
      <c r="BR344" s="117"/>
      <c r="BS344" s="121"/>
      <c r="BT344" s="223">
        <f t="shared" ref="BT344" si="3704">(BL344+BM344+BN344+BO344+BP344+BQ344+BR344+BS344)/3</f>
        <v>11.666666666666666</v>
      </c>
      <c r="BU344" s="223">
        <f t="shared" ref="BU344" si="3705">2*BT344</f>
        <v>23.333333333333332</v>
      </c>
      <c r="BV344" s="224">
        <f t="shared" ref="BV344" si="3706">3*BT344</f>
        <v>35</v>
      </c>
      <c r="BW344" s="237">
        <f t="shared" si="3656"/>
        <v>2432</v>
      </c>
      <c r="BX344" s="117">
        <f>BM344*BN344*GEslave+BM344*INslave*BQ344+KLslave_KL*BN344*BQ344</f>
        <v>3408</v>
      </c>
      <c r="BY344" s="224">
        <f t="shared" ref="BY344" si="3707">IFERROR(BL344^SIGN(BL344),1)*IFERROR(BM344^SIGN(BM344),1)*IFERROR(BN344^SIGN(BN344),1)*IFERROR(BO344^SIGN(BO344),1)*IFERROR(BP344^SIGN(BP344),1)*IFERROR(BQ344^SIGN(BQ344),1)*IFERROR(BR344^SIGN(BR344),1)*IFERROR(BS344^SIGN(BS344),1)</f>
        <v>1584</v>
      </c>
      <c r="BZ344" s="224">
        <f t="shared" ref="BZ344" si="3708">SUM(BW344:BY344)</f>
        <v>7424</v>
      </c>
      <c r="CA344" s="222">
        <f t="shared" ref="CA344" si="3709">BT344*BW344/BZ344</f>
        <v>3.8218390804597702</v>
      </c>
      <c r="CB344" s="223">
        <f t="shared" ref="CB344" si="3710">BU344*BX344/BZ344</f>
        <v>10.711206896551724</v>
      </c>
      <c r="CC344" s="243">
        <f t="shared" ref="CC344" si="3711">BV344*BY344/BZ344</f>
        <v>7.4676724137931032</v>
      </c>
      <c r="CD344" s="243">
        <f t="shared" ref="CD344" si="3712">SUM(CA344:CC344)</f>
        <v>22.000718390804597</v>
      </c>
      <c r="CE344" s="252">
        <f t="shared" si="2925"/>
        <v>0</v>
      </c>
      <c r="CF344" s="324">
        <f t="shared" ref="CF344" si="3713">CD344-CE344</f>
        <v>22.000718390804597</v>
      </c>
      <c r="CG344" s="304">
        <f t="shared" si="3672"/>
        <v>154.01436781609189</v>
      </c>
      <c r="CH344" s="335">
        <f t="shared" si="3672"/>
        <v>2</v>
      </c>
      <c r="CI344" s="243">
        <f t="shared" si="3591"/>
        <v>152.01436781609189</v>
      </c>
      <c r="CJ344" s="218">
        <f t="shared" ref="CJ344" si="3714">IF((CH344-CG344)&gt;0,CH344-CG344,0)</f>
        <v>0</v>
      </c>
      <c r="CK344" s="248"/>
      <c r="CL344" s="303" t="s">
        <v>496</v>
      </c>
      <c r="CM344" s="304" t="s">
        <v>439</v>
      </c>
      <c r="CN344" s="304" t="s">
        <v>132</v>
      </c>
      <c r="CO344" s="120"/>
      <c r="CP344" s="117">
        <f>Konvention_1slave-KLslave</f>
        <v>12</v>
      </c>
      <c r="CQ344" s="117">
        <f t="shared" ref="CQ344" si="3715">Konvention_1slave-INslave_IN</f>
        <v>11</v>
      </c>
      <c r="CR344" s="117"/>
      <c r="CS344" s="117"/>
      <c r="CT344" s="117">
        <f>Konvention_1slave-GEslave</f>
        <v>12</v>
      </c>
      <c r="CU344" s="117"/>
      <c r="CV344" s="121"/>
      <c r="CW344" s="223">
        <f t="shared" ref="CW344" si="3716">(CO344+CP344+CQ344+CR344+CS344+CT344+CU344+CV344)/3</f>
        <v>11.666666666666666</v>
      </c>
      <c r="CX344" s="223">
        <f t="shared" ref="CX344" si="3717">2*CW344</f>
        <v>23.333333333333332</v>
      </c>
      <c r="CY344" s="224">
        <f t="shared" ref="CY344" si="3718">3*CW344</f>
        <v>35</v>
      </c>
      <c r="CZ344" s="237">
        <f t="shared" si="3658"/>
        <v>2432</v>
      </c>
      <c r="DA344" s="117">
        <f>CP344*CQ344*GEslave+CP344*INslave_IN*CT344+KLslave*CQ344*CT344</f>
        <v>3408</v>
      </c>
      <c r="DB344" s="224">
        <f t="shared" ref="DB344" si="3719">IFERROR(CO344^SIGN(CO344),1)*IFERROR(CP344^SIGN(CP344),1)*IFERROR(CQ344^SIGN(CQ344),1)*IFERROR(CR344^SIGN(CR344),1)*IFERROR(CS344^SIGN(CS344),1)*IFERROR(CT344^SIGN(CT344),1)*IFERROR(CU344^SIGN(CU344),1)*IFERROR(CV344^SIGN(CV344),1)</f>
        <v>1584</v>
      </c>
      <c r="DC344" s="224">
        <f t="shared" ref="DC344" si="3720">SUM(CZ344:DB344)</f>
        <v>7424</v>
      </c>
      <c r="DD344" s="222">
        <f t="shared" ref="DD344" si="3721">CW344*CZ344/DC344</f>
        <v>3.8218390804597702</v>
      </c>
      <c r="DE344" s="223">
        <f t="shared" ref="DE344" si="3722">CX344*DA344/DC344</f>
        <v>10.711206896551724</v>
      </c>
      <c r="DF344" s="243">
        <f t="shared" ref="DF344" si="3723">CY344*DB344/DC344</f>
        <v>7.4676724137931032</v>
      </c>
      <c r="DG344" s="243">
        <f t="shared" ref="DG344" si="3724">SUM(DD344:DF344)</f>
        <v>22.000718390804597</v>
      </c>
      <c r="DH344" s="252">
        <f t="shared" si="2928"/>
        <v>0</v>
      </c>
      <c r="DI344" s="324">
        <f t="shared" ref="DI344" si="3725">DG344-DH344</f>
        <v>22.000718390804597</v>
      </c>
      <c r="DJ344" s="304">
        <f t="shared" si="3673"/>
        <v>154.01436781609189</v>
      </c>
      <c r="DK344" s="335">
        <f t="shared" si="3673"/>
        <v>2</v>
      </c>
      <c r="DL344" s="243">
        <f t="shared" si="3601"/>
        <v>152.01436781609189</v>
      </c>
      <c r="DM344" s="218">
        <f t="shared" ref="DM344" si="3726">IF((DK344-DJ344)&gt;0,DK344-DJ344,0)</f>
        <v>0</v>
      </c>
      <c r="DN344" s="248"/>
      <c r="DO344" s="303" t="s">
        <v>496</v>
      </c>
      <c r="DP344" s="304" t="s">
        <v>439</v>
      </c>
      <c r="DQ344" s="304" t="s">
        <v>132</v>
      </c>
      <c r="DR344" s="120"/>
      <c r="DS344" s="117">
        <f>Konvention_1slave-KLslave</f>
        <v>12</v>
      </c>
      <c r="DT344" s="117">
        <f t="shared" ref="DT344" si="3727">Konvention_1slave-INslave</f>
        <v>12</v>
      </c>
      <c r="DU344" s="117"/>
      <c r="DV344" s="117"/>
      <c r="DW344" s="117">
        <f>Konvention_1slave-GEslave</f>
        <v>12</v>
      </c>
      <c r="DX344" s="117"/>
      <c r="DY344" s="121"/>
      <c r="DZ344" s="223">
        <f t="shared" ref="DZ344" si="3728">(DR344+DS344+DT344+DU344+DV344+DW344+DX344+DY344)/3</f>
        <v>12</v>
      </c>
      <c r="EA344" s="223">
        <f t="shared" ref="EA344" si="3729">2*DZ344</f>
        <v>24</v>
      </c>
      <c r="EB344" s="224">
        <f t="shared" ref="EB344" si="3730">3*DZ344</f>
        <v>36</v>
      </c>
      <c r="EC344" s="237">
        <f t="shared" si="3660"/>
        <v>2304</v>
      </c>
      <c r="ED344" s="117">
        <f>DS344*DT344*GEslave+DS344*INslave*DW344+KLslave*DT344*DW344</f>
        <v>3456</v>
      </c>
      <c r="EE344" s="224">
        <f t="shared" ref="EE344" si="3731">IFERROR(DR344^SIGN(DR344),1)*IFERROR(DS344^SIGN(DS344),1)*IFERROR(DT344^SIGN(DT344),1)*IFERROR(DU344^SIGN(DU344),1)*IFERROR(DV344^SIGN(DV344),1)*IFERROR(DW344^SIGN(DW344),1)*IFERROR(DX344^SIGN(DX344),1)*IFERROR(DY344^SIGN(DY344),1)</f>
        <v>1728</v>
      </c>
      <c r="EF344" s="224">
        <f t="shared" ref="EF344" si="3732">SUM(EC344:EE344)</f>
        <v>7488</v>
      </c>
      <c r="EG344" s="222">
        <f t="shared" ref="EG344" si="3733">DZ344*EC344/EF344</f>
        <v>3.6923076923076925</v>
      </c>
      <c r="EH344" s="223">
        <f t="shared" ref="EH344" si="3734">EA344*ED344/EF344</f>
        <v>11.076923076923077</v>
      </c>
      <c r="EI344" s="243">
        <f t="shared" ref="EI344" si="3735">EB344*EE344/EF344</f>
        <v>8.3076923076923084</v>
      </c>
      <c r="EJ344" s="243">
        <f t="shared" ref="EJ344" si="3736">SUM(EG344:EI344)</f>
        <v>23.07692307692308</v>
      </c>
      <c r="EK344" s="252">
        <f t="shared" si="2931"/>
        <v>0</v>
      </c>
      <c r="EL344" s="324">
        <f t="shared" ref="EL344" si="3737">EJ344-EK344</f>
        <v>23.07692307692308</v>
      </c>
      <c r="EM344" s="304">
        <f t="shared" si="3674"/>
        <v>175.5384615384616</v>
      </c>
      <c r="EN344" s="335">
        <f t="shared" si="3674"/>
        <v>2</v>
      </c>
      <c r="EO344" s="243">
        <f t="shared" si="3611"/>
        <v>173.5384615384616</v>
      </c>
      <c r="EP344" s="218">
        <f t="shared" ref="EP344" si="3738">IF((EN344-EM344)&gt;0,EN344-EM344,0)</f>
        <v>0</v>
      </c>
      <c r="EQ344" s="248"/>
      <c r="ER344" s="303" t="s">
        <v>496</v>
      </c>
      <c r="ES344" s="304" t="s">
        <v>439</v>
      </c>
      <c r="ET344" s="304" t="s">
        <v>132</v>
      </c>
      <c r="EU344" s="120"/>
      <c r="EV344" s="117">
        <f>Konvention_1slave-KLslave</f>
        <v>12</v>
      </c>
      <c r="EW344" s="117">
        <f t="shared" ref="EW344" si="3739">Konvention_1slave-INslave</f>
        <v>12</v>
      </c>
      <c r="EX344" s="117"/>
      <c r="EY344" s="117"/>
      <c r="EZ344" s="117">
        <f>Konvention_1slave-GEslave</f>
        <v>12</v>
      </c>
      <c r="FA344" s="117"/>
      <c r="FB344" s="121"/>
      <c r="FC344" s="223">
        <f t="shared" ref="FC344" si="3740">(EU344+EV344+EW344+EX344+EY344+EZ344+FA344+FB344)/3</f>
        <v>12</v>
      </c>
      <c r="FD344" s="223">
        <f t="shared" ref="FD344" si="3741">2*FC344</f>
        <v>24</v>
      </c>
      <c r="FE344" s="224">
        <f t="shared" ref="FE344" si="3742">3*FC344</f>
        <v>36</v>
      </c>
      <c r="FF344" s="237">
        <f t="shared" si="3662"/>
        <v>2304</v>
      </c>
      <c r="FG344" s="117">
        <f>EV344*EW344*GEslave+EV344*INslave*EZ344+KLslave*EW344*EZ344</f>
        <v>3456</v>
      </c>
      <c r="FH344" s="224">
        <f t="shared" ref="FH344" si="3743">IFERROR(EU344^SIGN(EU344),1)*IFERROR(EV344^SIGN(EV344),1)*IFERROR(EW344^SIGN(EW344),1)*IFERROR(EX344^SIGN(EX344),1)*IFERROR(EY344^SIGN(EY344),1)*IFERROR(EZ344^SIGN(EZ344),1)*IFERROR(FA344^SIGN(FA344),1)*IFERROR(FB344^SIGN(FB344),1)</f>
        <v>1728</v>
      </c>
      <c r="FI344" s="224">
        <f t="shared" ref="FI344" si="3744">SUM(FF344:FH344)</f>
        <v>7488</v>
      </c>
      <c r="FJ344" s="222">
        <f t="shared" ref="FJ344" si="3745">FC344*FF344/FI344</f>
        <v>3.6923076923076925</v>
      </c>
      <c r="FK344" s="223">
        <f t="shared" ref="FK344" si="3746">FD344*FG344/FI344</f>
        <v>11.076923076923077</v>
      </c>
      <c r="FL344" s="243">
        <f t="shared" ref="FL344" si="3747">FE344*FH344/FI344</f>
        <v>8.3076923076923084</v>
      </c>
      <c r="FM344" s="243">
        <f t="shared" ref="FM344" si="3748">SUM(FJ344:FL344)</f>
        <v>23.07692307692308</v>
      </c>
      <c r="FN344" s="252">
        <f t="shared" si="2934"/>
        <v>0</v>
      </c>
      <c r="FO344" s="324">
        <f t="shared" ref="FO344" si="3749">FM344-FN344</f>
        <v>23.07692307692308</v>
      </c>
      <c r="FP344" s="304">
        <f t="shared" si="3675"/>
        <v>175.5384615384616</v>
      </c>
      <c r="FQ344" s="335">
        <f t="shared" si="3675"/>
        <v>2</v>
      </c>
      <c r="FR344" s="243">
        <f t="shared" si="3621"/>
        <v>173.5384615384616</v>
      </c>
      <c r="FS344" s="218">
        <f t="shared" ref="FS344" si="3750">IF((FQ344-FP344)&gt;0,FQ344-FP344,0)</f>
        <v>0</v>
      </c>
      <c r="FT344" s="248"/>
      <c r="FU344" s="303" t="s">
        <v>496</v>
      </c>
      <c r="FV344" s="304" t="s">
        <v>439</v>
      </c>
      <c r="FW344" s="304" t="s">
        <v>132</v>
      </c>
      <c r="FX344" s="120"/>
      <c r="FY344" s="117">
        <f>Konvention_1slave-KLslave</f>
        <v>12</v>
      </c>
      <c r="FZ344" s="117">
        <f t="shared" ref="FZ344" si="3751">Konvention_1slave-INslave</f>
        <v>12</v>
      </c>
      <c r="GA344" s="117"/>
      <c r="GB344" s="117"/>
      <c r="GC344" s="117">
        <f>Konvention_1slave-GEslave_GE</f>
        <v>11</v>
      </c>
      <c r="GD344" s="117"/>
      <c r="GE344" s="121"/>
      <c r="GF344" s="223">
        <f t="shared" ref="GF344" si="3752">(FX344+FY344+FZ344+GA344+GB344+GC344+GD344+GE344)/3</f>
        <v>11.666666666666666</v>
      </c>
      <c r="GG344" s="223">
        <f t="shared" ref="GG344" si="3753">2*GF344</f>
        <v>23.333333333333332</v>
      </c>
      <c r="GH344" s="224">
        <f t="shared" ref="GH344" si="3754">3*GF344</f>
        <v>35</v>
      </c>
      <c r="GI344" s="237">
        <f t="shared" si="3664"/>
        <v>2432</v>
      </c>
      <c r="GJ344" s="117">
        <f>FY344*FZ344*GEslave_GE+FY344*INslave*GC344+KLslave*FZ344*GC344</f>
        <v>3408</v>
      </c>
      <c r="GK344" s="224">
        <f t="shared" ref="GK344" si="3755">IFERROR(FX344^SIGN(FX344),1)*IFERROR(FY344^SIGN(FY344),1)*IFERROR(FZ344^SIGN(FZ344),1)*IFERROR(GA344^SIGN(GA344),1)*IFERROR(GB344^SIGN(GB344),1)*IFERROR(GC344^SIGN(GC344),1)*IFERROR(GD344^SIGN(GD344),1)*IFERROR(GE344^SIGN(GE344),1)</f>
        <v>1584</v>
      </c>
      <c r="GL344" s="224">
        <f t="shared" ref="GL344" si="3756">SUM(GI344:GK344)</f>
        <v>7424</v>
      </c>
      <c r="GM344" s="222">
        <f t="shared" ref="GM344" si="3757">GF344*GI344/GL344</f>
        <v>3.8218390804597702</v>
      </c>
      <c r="GN344" s="223">
        <f t="shared" ref="GN344" si="3758">GG344*GJ344/GL344</f>
        <v>10.711206896551724</v>
      </c>
      <c r="GO344" s="243">
        <f t="shared" ref="GO344" si="3759">GH344*GK344/GL344</f>
        <v>7.4676724137931032</v>
      </c>
      <c r="GP344" s="243">
        <f t="shared" ref="GP344" si="3760">SUM(GM344:GO344)</f>
        <v>22.000718390804597</v>
      </c>
      <c r="GQ344" s="252">
        <f t="shared" si="2937"/>
        <v>0</v>
      </c>
      <c r="GR344" s="324">
        <f t="shared" ref="GR344" si="3761">GP344-GQ344</f>
        <v>22.000718390804597</v>
      </c>
      <c r="GS344" s="304">
        <f t="shared" si="3676"/>
        <v>154.01436781609189</v>
      </c>
      <c r="GT344" s="335">
        <f t="shared" si="3676"/>
        <v>2</v>
      </c>
      <c r="GU344" s="243">
        <f t="shared" si="3631"/>
        <v>152.01436781609189</v>
      </c>
      <c r="GV344" s="218">
        <f t="shared" ref="GV344" si="3762">IF((GT344-GS344)&gt;0,GT344-GS344,0)</f>
        <v>0</v>
      </c>
      <c r="GW344" s="248"/>
      <c r="GX344" s="303" t="s">
        <v>496</v>
      </c>
      <c r="GY344" s="304" t="s">
        <v>439</v>
      </c>
      <c r="GZ344" s="304" t="s">
        <v>132</v>
      </c>
      <c r="HA344" s="120"/>
      <c r="HB344" s="117">
        <f>Konvention_1slave-KLslave</f>
        <v>12</v>
      </c>
      <c r="HC344" s="117">
        <f t="shared" ref="HC344" si="3763">Konvention_1slave-INslave</f>
        <v>12</v>
      </c>
      <c r="HD344" s="117"/>
      <c r="HE344" s="117"/>
      <c r="HF344" s="117">
        <f>Konvention_1slave-GEslave</f>
        <v>12</v>
      </c>
      <c r="HG344" s="117"/>
      <c r="HH344" s="121"/>
      <c r="HI344" s="223">
        <f t="shared" ref="HI344" si="3764">(HA344+HB344+HC344+HD344+HE344+HF344+HG344+HH344)/3</f>
        <v>12</v>
      </c>
      <c r="HJ344" s="223">
        <f t="shared" ref="HJ344" si="3765">2*HI344</f>
        <v>24</v>
      </c>
      <c r="HK344" s="224">
        <f t="shared" ref="HK344" si="3766">3*HI344</f>
        <v>36</v>
      </c>
      <c r="HL344" s="237">
        <f t="shared" si="3666"/>
        <v>2304</v>
      </c>
      <c r="HM344" s="117">
        <f>HB344*HC344*GEslave+HB344*INslave*HF344+KLslave*HC344*HF344</f>
        <v>3456</v>
      </c>
      <c r="HN344" s="224">
        <f t="shared" ref="HN344" si="3767">IFERROR(HA344^SIGN(HA344),1)*IFERROR(HB344^SIGN(HB344),1)*IFERROR(HC344^SIGN(HC344),1)*IFERROR(HD344^SIGN(HD344),1)*IFERROR(HE344^SIGN(HE344),1)*IFERROR(HF344^SIGN(HF344),1)*IFERROR(HG344^SIGN(HG344),1)*IFERROR(HH344^SIGN(HH344),1)</f>
        <v>1728</v>
      </c>
      <c r="HO344" s="224">
        <f t="shared" ref="HO344" si="3768">SUM(HL344:HN344)</f>
        <v>7488</v>
      </c>
      <c r="HP344" s="222">
        <f t="shared" ref="HP344" si="3769">HI344*HL344/HO344</f>
        <v>3.6923076923076925</v>
      </c>
      <c r="HQ344" s="223">
        <f t="shared" ref="HQ344" si="3770">HJ344*HM344/HO344</f>
        <v>11.076923076923077</v>
      </c>
      <c r="HR344" s="243">
        <f t="shared" ref="HR344" si="3771">HK344*HN344/HO344</f>
        <v>8.3076923076923084</v>
      </c>
      <c r="HS344" s="243">
        <f t="shared" ref="HS344" si="3772">SUM(HP344:HR344)</f>
        <v>23.07692307692308</v>
      </c>
      <c r="HT344" s="252">
        <f t="shared" si="2940"/>
        <v>0</v>
      </c>
      <c r="HU344" s="324">
        <f t="shared" ref="HU344" si="3773">HS344-HT344</f>
        <v>23.07692307692308</v>
      </c>
      <c r="HV344" s="304">
        <f t="shared" si="3677"/>
        <v>175.5384615384616</v>
      </c>
      <c r="HW344" s="335">
        <f t="shared" si="3677"/>
        <v>2</v>
      </c>
      <c r="HX344" s="243">
        <f t="shared" si="3641"/>
        <v>173.5384615384616</v>
      </c>
      <c r="HY344" s="218">
        <f t="shared" ref="HY344" si="3774">IF((HW344-HV344)&gt;0,HW344-HV344,0)</f>
        <v>0</v>
      </c>
      <c r="HZ344" s="248"/>
      <c r="IA344" s="303" t="s">
        <v>496</v>
      </c>
      <c r="IB344" s="304" t="s">
        <v>439</v>
      </c>
      <c r="IC344" s="304" t="s">
        <v>132</v>
      </c>
      <c r="ID344" s="120"/>
      <c r="IE344" s="117">
        <f>Konvention_1slave-KLslave</f>
        <v>12</v>
      </c>
      <c r="IF344" s="117">
        <f t="shared" ref="IF344" si="3775">Konvention_1slave-INslave</f>
        <v>12</v>
      </c>
      <c r="IG344" s="117"/>
      <c r="IH344" s="117"/>
      <c r="II344" s="117">
        <f>Konvention_1slave-GEslave</f>
        <v>12</v>
      </c>
      <c r="IJ344" s="117"/>
      <c r="IK344" s="121"/>
      <c r="IL344" s="223">
        <f t="shared" ref="IL344" si="3776">(ID344+IE344+IF344+IG344+IH344+II344+IJ344+IK344)/3</f>
        <v>12</v>
      </c>
      <c r="IM344" s="223">
        <f t="shared" ref="IM344" si="3777">2*IL344</f>
        <v>24</v>
      </c>
      <c r="IN344" s="224">
        <f t="shared" ref="IN344" si="3778">3*IL344</f>
        <v>36</v>
      </c>
      <c r="IO344" s="237">
        <f t="shared" si="3668"/>
        <v>2304</v>
      </c>
      <c r="IP344" s="117">
        <f>IE344*IF344*GEslave+IE344*INslave*II344+KLslave*IF344*II344</f>
        <v>3456</v>
      </c>
      <c r="IQ344" s="224">
        <f t="shared" ref="IQ344" si="3779">IFERROR(ID344^SIGN(ID344),1)*IFERROR(IE344^SIGN(IE344),1)*IFERROR(IF344^SIGN(IF344),1)*IFERROR(IG344^SIGN(IG344),1)*IFERROR(IH344^SIGN(IH344),1)*IFERROR(II344^SIGN(II344),1)*IFERROR(IJ344^SIGN(IJ344),1)*IFERROR(IK344^SIGN(IK344),1)</f>
        <v>1728</v>
      </c>
      <c r="IR344" s="224">
        <f t="shared" ref="IR344" si="3780">SUM(IO344:IQ344)</f>
        <v>7488</v>
      </c>
      <c r="IS344" s="222">
        <f t="shared" ref="IS344" si="3781">IL344*IO344/IR344</f>
        <v>3.6923076923076925</v>
      </c>
      <c r="IT344" s="223">
        <f t="shared" ref="IT344" si="3782">IM344*IP344/IR344</f>
        <v>11.076923076923077</v>
      </c>
      <c r="IU344" s="243">
        <f t="shared" ref="IU344" si="3783">IN344*IQ344/IR344</f>
        <v>8.3076923076923084</v>
      </c>
      <c r="IV344" s="243">
        <f t="shared" ref="IV344" si="3784">SUM(IS344:IU344)</f>
        <v>23.07692307692308</v>
      </c>
      <c r="IW344" s="252">
        <f t="shared" si="2943"/>
        <v>0</v>
      </c>
      <c r="IX344" s="324">
        <f t="shared" ref="IX344" si="3785">IV344-IW344</f>
        <v>23.07692307692308</v>
      </c>
      <c r="IY344" s="304">
        <f t="shared" si="3678"/>
        <v>175.5384615384616</v>
      </c>
      <c r="IZ344" s="335">
        <f t="shared" si="3678"/>
        <v>2</v>
      </c>
      <c r="JA344" s="243">
        <f t="shared" si="3651"/>
        <v>173.5384615384616</v>
      </c>
      <c r="JB344" s="218">
        <f t="shared" ref="JB344" si="3786">IF((IZ344-IY344)&gt;0,IZ344-IY344,0)</f>
        <v>0</v>
      </c>
      <c r="JE344" s="148"/>
    </row>
    <row r="345" spans="1:265" s="205" customFormat="1" ht="15" hidden="1" customHeight="1" outlineLevel="2">
      <c r="A345" s="185"/>
      <c r="B345" s="217">
        <v>23</v>
      </c>
      <c r="C345" s="303" t="e">
        <f>VLOOKUP(AF345,Attribute!C:T,1,FALSE)</f>
        <v>#N/A</v>
      </c>
      <c r="D345" s="304" t="s">
        <v>471</v>
      </c>
      <c r="E345" s="304" t="s">
        <v>132</v>
      </c>
      <c r="F345" s="210"/>
      <c r="G345" s="211"/>
      <c r="H345" s="211"/>
      <c r="I345" s="113">
        <f>Konvention_1master-CHmaster</f>
        <v>12</v>
      </c>
      <c r="J345" s="211"/>
      <c r="K345" s="113">
        <f>Konvention_1master-GEmaster</f>
        <v>12</v>
      </c>
      <c r="L345" s="117">
        <f>Konvention_1master-KOmaster</f>
        <v>12</v>
      </c>
      <c r="M345" s="212"/>
      <c r="N345" s="223">
        <f>(F345+G345+H345+I345+J345+K345+L345+M345)/3</f>
        <v>12</v>
      </c>
      <c r="O345" s="223">
        <f>2*N345</f>
        <v>24</v>
      </c>
      <c r="P345" s="224">
        <f>3*N345</f>
        <v>36</v>
      </c>
      <c r="Q345" s="237">
        <f>F345*POWER(KLmaster,SIGN(G345))*POWER(INmaster,SIGN(H345))*POWER(CHmaster,SIGN(I345))*POWER(FFmaster,SIGN(J345))*POWER(GEmaster,SIGN(K345))*POWER(KOmaster,SIGN(L345))*POWER(KKmaster,SIGN(M345))+G345*POWER(MUmaster,SIGN(F345))*POWER(INmaster,SIGN(H345))*POWER(CHmaster,SIGN(I345))*POWER(FFmaster,SIGN(J345))*POWER(GEmaster,SIGN(K345))*POWER(KOmaster,SIGN(L345))*POWER(KKmaster,SIGN(M345))+H345*POWER(MUmaster,SIGN(F345))*POWER(KLmaster,SIGN(G345))*POWER(CHmaster,SIGN(I345))*POWER(FFmaster,SIGN(J345))*POWER(GEmaster,SIGN(K345))*POWER(KOmaster,SIGN(L345))*POWER(KKmaster,SIGN(M345))+I345*POWER(MUmaster,SIGN(F345))*POWER(KLmaster,SIGN(G345))*POWER(INmaster,SIGN(H345))*POWER(FFmaster,SIGN(J345))*POWER(GEmaster,SIGN(K345))*POWER(KOmaster,SIGN(L345))*POWER(KKmaster,SIGN(M345))+J345*POWER(MUmaster,SIGN(F345))*POWER(KLmaster,SIGN(G345))*POWER(INmaster,SIGN(H345))*POWER(CHmaster,SIGN(I345))*POWER(GEmaster,SIGN(K345))*POWER(KOmaster,SIGN(L345))*POWER(KKmaster,SIGN(M345))+K345*POWER(MUmaster,SIGN(F345))*POWER(KLmaster,SIGN(G345))*POWER(INmaster,SIGN(H345))*POWER(CHmaster,SIGN(I345))*POWER(FFmaster,SIGN(J345))*POWER(KOmaster,SIGN(L345))*POWER(KKmaster,SIGN(M345))+L345*POWER(MUmaster,SIGN(F345))*POWER(KLmaster,SIGN(G345))*POWER(INmaster,SIGN(H345))*POWER(CHmaster,SIGN(I345))*POWER(FFmaster,SIGN(J345))*POWER(GEmaster,SIGN(K345))*POWER(KKmaster,SIGN(M345))+M345*POWER(MUmaster,SIGN(F345))*POWER(KLmaster,SIGN(G345))*POWER(INmaster,SIGN(H345))*POWER(CHmaster,SIGN(I345))*POWER(FFmaster,SIGN(J345))*POWER(GEmaster,SIGN(K345))*POWER(KOmaster,SIGN(L345))</f>
        <v>2304</v>
      </c>
      <c r="R345" s="234">
        <f>I345*K345*KOmaster+I345*GEmaster*L345+CHmaster*K345*L345</f>
        <v>3456</v>
      </c>
      <c r="S345" s="224">
        <f>IFERROR(F345^SIGN(F345),1)*IFERROR(G345^SIGN(G345),1)*IFERROR(H345^SIGN(H345),1)*IFERROR(I345^SIGN(I345),1)*IFERROR(J345^SIGN(J345),1)*IFERROR(K345^SIGN(K345),1)*IFERROR(L345^SIGN(L345),1)*IFERROR(M345^SIGN(M345),1)</f>
        <v>1728</v>
      </c>
      <c r="T345" s="224">
        <f t="shared" ref="T345:T346" si="3787">SUM(Q345:S345)</f>
        <v>7488</v>
      </c>
      <c r="U345" s="222">
        <f>N345*Q345/T345</f>
        <v>3.6923076923076925</v>
      </c>
      <c r="V345" s="223">
        <f>O345*R345/T345</f>
        <v>11.076923076923077</v>
      </c>
      <c r="W345" s="243">
        <f>P345*S345/T345</f>
        <v>8.3076923076923084</v>
      </c>
      <c r="X345" s="243">
        <f>SUM(U345:W345)</f>
        <v>23.07692307692308</v>
      </c>
      <c r="Y345" s="252">
        <v>0</v>
      </c>
      <c r="Z345" s="324">
        <f>X345-Y345</f>
        <v>23.07692307692308</v>
      </c>
      <c r="AA345" s="304">
        <f t="shared" si="3669"/>
        <v>175.5384615384616</v>
      </c>
      <c r="AB345" s="335">
        <f t="shared" si="3670"/>
        <v>2</v>
      </c>
      <c r="AC345" s="243">
        <f>IF((AA345-AB345)&gt;0,AA345-AB345,0)</f>
        <v>173.5384615384616</v>
      </c>
      <c r="AD345" s="218">
        <f>IF((AB345-AA345)&gt;0,AB345-AA345,0)</f>
        <v>0</v>
      </c>
      <c r="AE345" s="299"/>
      <c r="AF345" s="303" t="s">
        <v>497</v>
      </c>
      <c r="AG345" s="304" t="s">
        <v>471</v>
      </c>
      <c r="AH345" s="304" t="s">
        <v>132</v>
      </c>
      <c r="AI345" s="210"/>
      <c r="AJ345" s="211"/>
      <c r="AK345" s="211"/>
      <c r="AL345" s="113">
        <f>Konvention_1slave-CHslave</f>
        <v>12</v>
      </c>
      <c r="AM345" s="211"/>
      <c r="AN345" s="113">
        <f>Konvention_1slave-GEslave</f>
        <v>12</v>
      </c>
      <c r="AO345" s="117">
        <f>Konvention_1slave-KOslave</f>
        <v>12</v>
      </c>
      <c r="AP345" s="212"/>
      <c r="AQ345" s="223">
        <f>(AI345+AJ345+AK345+AL345+AM345+AN345+AO345+AP345)/3</f>
        <v>12</v>
      </c>
      <c r="AR345" s="223">
        <f>2*AQ345</f>
        <v>24</v>
      </c>
      <c r="AS345" s="224">
        <f>3*AQ345</f>
        <v>36</v>
      </c>
      <c r="AT345" s="237">
        <f>AI345*POWER(KLslave,SIGN(AJ345))*POWER(INslave,SIGN(AK345))*POWER(CHslave,SIGN(AL345))*POWER(FFslave,SIGN(AM345))*POWER(GEslave,SIGN(AN345))*POWER(KOslave,SIGN(AO345))*POWER(KKslave,SIGN(AP345))+AJ345*POWER(MUslave,SIGN(AI345))*POWER(INslave,SIGN(AK345))*POWER(CHslave,SIGN(AL345))*POWER(FFslave,SIGN(AM345))*POWER(GEslave,SIGN(AN345))*POWER(KOslave,SIGN(AO345))*POWER(KKslave,SIGN(AP345))+AK345*POWER(MUslave,SIGN(AI345))*POWER(KLslave,SIGN(AJ345))*POWER(CHslave,SIGN(AL345))*POWER(FFslave,SIGN(AM345))*POWER(GEslave,SIGN(AN345))*POWER(KOslave,SIGN(AO345))*POWER(KKslave,SIGN(AP345))+AL345*POWER(MUslave,SIGN(AI345))*POWER(KLslave,SIGN(AJ345))*POWER(INslave,SIGN(AK345))*POWER(FFslave,SIGN(AM345))*POWER(GEslave,SIGN(AN345))*POWER(KOslave,SIGN(AO345))*POWER(KKslave,SIGN(AP345))+AM345*POWER(MUslave,SIGN(AI345))*POWER(KLslave,SIGN(AJ345))*POWER(INslave,SIGN(AK345))*POWER(CHslave,SIGN(AL345))*POWER(GEslave,SIGN(AN345))*POWER(KOslave,SIGN(AO345))*POWER(KKslave,SIGN(AP345))+AN345*POWER(MUslave,SIGN(AI345))*POWER(KLslave,SIGN(AJ345))*POWER(INslave,SIGN(AK345))*POWER(CHslave,SIGN(AL345))*POWER(FFslave,SIGN(AM345))*POWER(KOslave,SIGN(AO345))*POWER(KKslave,SIGN(AP345))+AO345*POWER(MUslave,SIGN(AI345))*POWER(KLslave,SIGN(AJ345))*POWER(INslave,SIGN(AK345))*POWER(CHslave,SIGN(AL345))*POWER(FFslave,SIGN(AM345))*POWER(GEslave,SIGN(AN345))*POWER(KKslave,SIGN(AP345))+AP345*POWER(MUslave,SIGN(AI345))*POWER(KLslave,SIGN(AJ345))*POWER(INslave,SIGN(AK345))*POWER(CHslave,SIGN(AL345))*POWER(FFslave,SIGN(AM345))*POWER(GEslave,SIGN(AN345))*POWER(KOslave,SIGN(AO345))</f>
        <v>2304</v>
      </c>
      <c r="AU345" s="234">
        <f>AL345*AN345*KOslave+AL345*GEslave*AO345+CHslave*AN345*AO345</f>
        <v>3456</v>
      </c>
      <c r="AV345" s="224">
        <f>IFERROR(AI345^SIGN(AI345),1)*IFERROR(AJ345^SIGN(AJ345),1)*IFERROR(AK345^SIGN(AK345),1)*IFERROR(AL345^SIGN(AL345),1)*IFERROR(AM345^SIGN(AM345),1)*IFERROR(AN345^SIGN(AN345),1)*IFERROR(AO345^SIGN(AO345),1)*IFERROR(AP345^SIGN(AP345),1)</f>
        <v>1728</v>
      </c>
      <c r="AW345" s="224">
        <f t="shared" ref="AW345:AW346" si="3788">SUM(AT345:AV345)</f>
        <v>7488</v>
      </c>
      <c r="AX345" s="222">
        <f>AQ345*AT345/AW345</f>
        <v>3.6923076923076925</v>
      </c>
      <c r="AY345" s="223">
        <f>AR345*AU345/AW345</f>
        <v>11.076923076923077</v>
      </c>
      <c r="AZ345" s="243">
        <f>AS345*AV345/AW345</f>
        <v>8.3076923076923084</v>
      </c>
      <c r="BA345" s="243">
        <f>SUM(AX345:AZ345)</f>
        <v>23.07692307692308</v>
      </c>
      <c r="BB345" s="252">
        <f t="shared" si="2034"/>
        <v>0</v>
      </c>
      <c r="BC345" s="324">
        <f>BA345-BB345</f>
        <v>23.07692307692308</v>
      </c>
      <c r="BD345" s="304">
        <f t="shared" si="3671"/>
        <v>175.5384615384616</v>
      </c>
      <c r="BE345" s="335">
        <f t="shared" si="3671"/>
        <v>2</v>
      </c>
      <c r="BF345" s="243">
        <f>IF((BD345-BE345)&gt;0,BD345-BE345,0)</f>
        <v>173.5384615384616</v>
      </c>
      <c r="BG345" s="218">
        <f>IF((BE345-BD345)&gt;0,BE345-BD345,0)</f>
        <v>0</v>
      </c>
      <c r="BH345" s="248"/>
      <c r="BI345" s="303" t="s">
        <v>497</v>
      </c>
      <c r="BJ345" s="304" t="s">
        <v>471</v>
      </c>
      <c r="BK345" s="304" t="s">
        <v>132</v>
      </c>
      <c r="BL345" s="210"/>
      <c r="BM345" s="211"/>
      <c r="BN345" s="211"/>
      <c r="BO345" s="113">
        <f>Konvention_1slave-CHslave</f>
        <v>12</v>
      </c>
      <c r="BP345" s="211"/>
      <c r="BQ345" s="113">
        <f>Konvention_1slave-GEslave</f>
        <v>12</v>
      </c>
      <c r="BR345" s="117">
        <f>Konvention_1slave-KOslave</f>
        <v>12</v>
      </c>
      <c r="BS345" s="212"/>
      <c r="BT345" s="223">
        <f>(BL345+BM345+BN345+BO345+BP345+BQ345+BR345+BS345)/3</f>
        <v>12</v>
      </c>
      <c r="BU345" s="223">
        <f>2*BT345</f>
        <v>24</v>
      </c>
      <c r="BV345" s="224">
        <f>3*BT345</f>
        <v>36</v>
      </c>
      <c r="BW345" s="237">
        <f>BL345*POWER(KLslave,SIGN(BM345))*POWER(INslave,SIGN(BN345))*POWER(CHslave,SIGN(BO345))*POWER(FFslave,SIGN(BP345))*POWER(GEslave,SIGN(BQ345))*POWER(KOslave,SIGN(BR345))*POWER(KKslave,SIGN(BS345))+BM345*POWER(MUslave,SIGN(BL345))*POWER(INslave,SIGN(BN345))*POWER(CHslave,SIGN(BO345))*POWER(FFslave,SIGN(BP345))*POWER(GEslave,SIGN(BQ345))*POWER(KOslave,SIGN(BR345))*POWER(KKslave,SIGN(BS345))+BN345*POWER(MUslave,SIGN(BL345))*POWER(KLslave,SIGN(BM345))*POWER(CHslave,SIGN(BO345))*POWER(FFslave,SIGN(BP345))*POWER(GEslave,SIGN(BQ345))*POWER(KOslave,SIGN(BR345))*POWER(KKslave,SIGN(BS345))+BO345*POWER(MUslave,SIGN(BL345))*POWER(KLslave,SIGN(BM345))*POWER(INslave,SIGN(BN345))*POWER(FFslave,SIGN(BP345))*POWER(GEslave,SIGN(BQ345))*POWER(KOslave,SIGN(BR345))*POWER(KKslave,SIGN(BS345))+BP345*POWER(MUslave,SIGN(BL345))*POWER(KLslave,SIGN(BM345))*POWER(INslave,SIGN(BN345))*POWER(CHslave,SIGN(BO345))*POWER(GEslave,SIGN(BQ345))*POWER(KOslave,SIGN(BR345))*POWER(KKslave,SIGN(BS345))+BQ345*POWER(MUslave,SIGN(BL345))*POWER(KLslave,SIGN(BM345))*POWER(INslave,SIGN(BN345))*POWER(CHslave,SIGN(BO345))*POWER(FFslave,SIGN(BP345))*POWER(KOslave,SIGN(BR345))*POWER(KKslave,SIGN(BS345))+BR345*POWER(MUslave,SIGN(BL345))*POWER(KLslave,SIGN(BM345))*POWER(INslave,SIGN(BN345))*POWER(CHslave,SIGN(BO345))*POWER(FFslave,SIGN(BP345))*POWER(GEslave,SIGN(BQ345))*POWER(KKslave,SIGN(BS345))+BS345*POWER(MUslave,SIGN(BL345))*POWER(KLslave,SIGN(BM345))*POWER(INslave,SIGN(BN345))*POWER(CHslave,SIGN(BO345))*POWER(FFslave,SIGN(BP345))*POWER(GEslave,SIGN(BQ345))*POWER(KOslave,SIGN(BR345))</f>
        <v>2304</v>
      </c>
      <c r="BX345" s="234">
        <f>BO345*BQ345*KOslave+BO345*GEslave*BR345+CHslave*BQ345*BR345</f>
        <v>3456</v>
      </c>
      <c r="BY345" s="224">
        <f>IFERROR(BL345^SIGN(BL345),1)*IFERROR(BM345^SIGN(BM345),1)*IFERROR(BN345^SIGN(BN345),1)*IFERROR(BO345^SIGN(BO345),1)*IFERROR(BP345^SIGN(BP345),1)*IFERROR(BQ345^SIGN(BQ345),1)*IFERROR(BR345^SIGN(BR345),1)*IFERROR(BS345^SIGN(BS345),1)</f>
        <v>1728</v>
      </c>
      <c r="BZ345" s="224">
        <f t="shared" ref="BZ345:BZ346" si="3789">SUM(BW345:BY345)</f>
        <v>7488</v>
      </c>
      <c r="CA345" s="222">
        <f>BT345*BW345/BZ345</f>
        <v>3.6923076923076925</v>
      </c>
      <c r="CB345" s="223">
        <f>BU345*BX345/BZ345</f>
        <v>11.076923076923077</v>
      </c>
      <c r="CC345" s="243">
        <f>BV345*BY345/BZ345</f>
        <v>8.3076923076923084</v>
      </c>
      <c r="CD345" s="243">
        <f>SUM(CA345:CC345)</f>
        <v>23.07692307692308</v>
      </c>
      <c r="CE345" s="252">
        <f t="shared" si="2925"/>
        <v>0</v>
      </c>
      <c r="CF345" s="324">
        <f>CD345-CE345</f>
        <v>23.07692307692308</v>
      </c>
      <c r="CG345" s="304">
        <f t="shared" si="3672"/>
        <v>175.5384615384616</v>
      </c>
      <c r="CH345" s="335">
        <f t="shared" si="3672"/>
        <v>2</v>
      </c>
      <c r="CI345" s="243">
        <f>IF((CG345-CH345)&gt;0,CG345-CH345,0)</f>
        <v>173.5384615384616</v>
      </c>
      <c r="CJ345" s="218">
        <f>IF((CH345-CG345)&gt;0,CH345-CG345,0)</f>
        <v>0</v>
      </c>
      <c r="CK345" s="248"/>
      <c r="CL345" s="303" t="s">
        <v>497</v>
      </c>
      <c r="CM345" s="304" t="s">
        <v>471</v>
      </c>
      <c r="CN345" s="304" t="s">
        <v>132</v>
      </c>
      <c r="CO345" s="210"/>
      <c r="CP345" s="211"/>
      <c r="CQ345" s="211"/>
      <c r="CR345" s="113">
        <f>Konvention_1slave-CHslave</f>
        <v>12</v>
      </c>
      <c r="CS345" s="211"/>
      <c r="CT345" s="113">
        <f>Konvention_1slave-GEslave</f>
        <v>12</v>
      </c>
      <c r="CU345" s="117">
        <f>Konvention_1slave-KOslave</f>
        <v>12</v>
      </c>
      <c r="CV345" s="212"/>
      <c r="CW345" s="223">
        <f>(CO345+CP345+CQ345+CR345+CS345+CT345+CU345+CV345)/3</f>
        <v>12</v>
      </c>
      <c r="CX345" s="223">
        <f>2*CW345</f>
        <v>24</v>
      </c>
      <c r="CY345" s="224">
        <f>3*CW345</f>
        <v>36</v>
      </c>
      <c r="CZ345" s="237">
        <f>CO345*POWER(KLslave,SIGN(CP345))*POWER(INslave,SIGN(CQ345))*POWER(CHslave,SIGN(CR345))*POWER(FFslave,SIGN(CS345))*POWER(GEslave,SIGN(CT345))*POWER(KOslave,SIGN(CU345))*POWER(KKslave,SIGN(CV345))+CP345*POWER(MUslave,SIGN(CO345))*POWER(INslave,SIGN(CQ345))*POWER(CHslave,SIGN(CR345))*POWER(FFslave,SIGN(CS345))*POWER(GEslave,SIGN(CT345))*POWER(KOslave,SIGN(CU345))*POWER(KKslave,SIGN(CV345))+CQ345*POWER(MUslave,SIGN(CO345))*POWER(KLslave,SIGN(CP345))*POWER(CHslave,SIGN(CR345))*POWER(FFslave,SIGN(CS345))*POWER(GEslave,SIGN(CT345))*POWER(KOslave,SIGN(CU345))*POWER(KKslave,SIGN(CV345))+CR345*POWER(MUslave,SIGN(CO345))*POWER(KLslave,SIGN(CP345))*POWER(INslave,SIGN(CQ345))*POWER(FFslave,SIGN(CS345))*POWER(GEslave,SIGN(CT345))*POWER(KOslave,SIGN(CU345))*POWER(KKslave,SIGN(CV345))+CS345*POWER(MUslave,SIGN(CO345))*POWER(KLslave,SIGN(CP345))*POWER(INslave,SIGN(CQ345))*POWER(CHslave,SIGN(CR345))*POWER(GEslave,SIGN(CT345))*POWER(KOslave,SIGN(CU345))*POWER(KKslave,SIGN(CV345))+CT345*POWER(MUslave,SIGN(CO345))*POWER(KLslave,SIGN(CP345))*POWER(INslave,SIGN(CQ345))*POWER(CHslave,SIGN(CR345))*POWER(FFslave,SIGN(CS345))*POWER(KOslave,SIGN(CU345))*POWER(KKslave,SIGN(CV345))+CU345*POWER(MUslave,SIGN(CO345))*POWER(KLslave,SIGN(CP345))*POWER(INslave,SIGN(CQ345))*POWER(CHslave,SIGN(CR345))*POWER(FFslave,SIGN(CS345))*POWER(GEslave,SIGN(CT345))*POWER(KKslave,SIGN(CV345))+CV345*POWER(MUslave,SIGN(CO345))*POWER(KLslave,SIGN(CP345))*POWER(INslave,SIGN(CQ345))*POWER(CHslave,SIGN(CR345))*POWER(FFslave,SIGN(CS345))*POWER(GEslave,SIGN(CT345))*POWER(KOslave,SIGN(CU345))</f>
        <v>2304</v>
      </c>
      <c r="DA345" s="234">
        <f>CR345*CT345*KOslave+CR345*GEslave*CU345+CHslave*CT345*CU345</f>
        <v>3456</v>
      </c>
      <c r="DB345" s="224">
        <f>IFERROR(CO345^SIGN(CO345),1)*IFERROR(CP345^SIGN(CP345),1)*IFERROR(CQ345^SIGN(CQ345),1)*IFERROR(CR345^SIGN(CR345),1)*IFERROR(CS345^SIGN(CS345),1)*IFERROR(CT345^SIGN(CT345),1)*IFERROR(CU345^SIGN(CU345),1)*IFERROR(CV345^SIGN(CV345),1)</f>
        <v>1728</v>
      </c>
      <c r="DC345" s="224">
        <f t="shared" ref="DC345:DC346" si="3790">SUM(CZ345:DB345)</f>
        <v>7488</v>
      </c>
      <c r="DD345" s="222">
        <f>CW345*CZ345/DC345</f>
        <v>3.6923076923076925</v>
      </c>
      <c r="DE345" s="223">
        <f>CX345*DA345/DC345</f>
        <v>11.076923076923077</v>
      </c>
      <c r="DF345" s="243">
        <f>CY345*DB345/DC345</f>
        <v>8.3076923076923084</v>
      </c>
      <c r="DG345" s="243">
        <f>SUM(DD345:DF345)</f>
        <v>23.07692307692308</v>
      </c>
      <c r="DH345" s="252">
        <f t="shared" si="2928"/>
        <v>0</v>
      </c>
      <c r="DI345" s="324">
        <f>DG345-DH345</f>
        <v>23.07692307692308</v>
      </c>
      <c r="DJ345" s="304">
        <f t="shared" si="3673"/>
        <v>175.5384615384616</v>
      </c>
      <c r="DK345" s="335">
        <f t="shared" si="3673"/>
        <v>2</v>
      </c>
      <c r="DL345" s="243">
        <f>IF((DJ345-DK345)&gt;0,DJ345-DK345,0)</f>
        <v>173.5384615384616</v>
      </c>
      <c r="DM345" s="218">
        <f>IF((DK345-DJ345)&gt;0,DK345-DJ345,0)</f>
        <v>0</v>
      </c>
      <c r="DN345" s="248"/>
      <c r="DO345" s="303" t="s">
        <v>497</v>
      </c>
      <c r="DP345" s="304" t="s">
        <v>471</v>
      </c>
      <c r="DQ345" s="304" t="s">
        <v>132</v>
      </c>
      <c r="DR345" s="210"/>
      <c r="DS345" s="211"/>
      <c r="DT345" s="211"/>
      <c r="DU345" s="113">
        <f>Konvention_1slave-CHslave</f>
        <v>12</v>
      </c>
      <c r="DV345" s="211"/>
      <c r="DW345" s="113">
        <f>Konvention_1slave-GEslave</f>
        <v>12</v>
      </c>
      <c r="DX345" s="117">
        <f>Konvention_1slave-KOslave</f>
        <v>12</v>
      </c>
      <c r="DY345" s="212"/>
      <c r="DZ345" s="223">
        <f>(DR345+DS345+DT345+DU345+DV345+DW345+DX345+DY345)/3</f>
        <v>12</v>
      </c>
      <c r="EA345" s="223">
        <f>2*DZ345</f>
        <v>24</v>
      </c>
      <c r="EB345" s="224">
        <f>3*DZ345</f>
        <v>36</v>
      </c>
      <c r="EC345" s="237">
        <f>DR345*POWER(KLslave,SIGN(DS345))*POWER(INslave,SIGN(DT345))*POWER(CHslave,SIGN(DU345))*POWER(FFslave,SIGN(DV345))*POWER(GEslave,SIGN(DW345))*POWER(KOslave,SIGN(DX345))*POWER(KKslave,SIGN(DY345))+DS345*POWER(MUslave,SIGN(DR345))*POWER(INslave,SIGN(DT345))*POWER(CHslave,SIGN(DU345))*POWER(FFslave,SIGN(DV345))*POWER(GEslave,SIGN(DW345))*POWER(KOslave,SIGN(DX345))*POWER(KKslave,SIGN(DY345))+DT345*POWER(MUslave,SIGN(DR345))*POWER(KLslave,SIGN(DS345))*POWER(CHslave,SIGN(DU345))*POWER(FFslave,SIGN(DV345))*POWER(GEslave,SIGN(DW345))*POWER(KOslave,SIGN(DX345))*POWER(KKslave,SIGN(DY345))+DU345*POWER(MUslave,SIGN(DR345))*POWER(KLslave,SIGN(DS345))*POWER(INslave,SIGN(DT345))*POWER(FFslave,SIGN(DV345))*POWER(GEslave,SIGN(DW345))*POWER(KOslave,SIGN(DX345))*POWER(KKslave,SIGN(DY345))+DV345*POWER(MUslave,SIGN(DR345))*POWER(KLslave,SIGN(DS345))*POWER(INslave,SIGN(DT345))*POWER(CHslave,SIGN(DU345))*POWER(GEslave,SIGN(DW345))*POWER(KOslave,SIGN(DX345))*POWER(KKslave,SIGN(DY345))+DW345*POWER(MUslave,SIGN(DR345))*POWER(KLslave,SIGN(DS345))*POWER(INslave,SIGN(DT345))*POWER(CHslave,SIGN(DU345))*POWER(FFslave,SIGN(DV345))*POWER(KOslave,SIGN(DX345))*POWER(KKslave,SIGN(DY345))+DX345*POWER(MUslave,SIGN(DR345))*POWER(KLslave,SIGN(DS345))*POWER(INslave,SIGN(DT345))*POWER(CHslave,SIGN(DU345))*POWER(FFslave,SIGN(DV345))*POWER(GEslave,SIGN(DW345))*POWER(KKslave,SIGN(DY345))+DY345*POWER(MUslave,SIGN(DR345))*POWER(KLslave,SIGN(DS345))*POWER(INslave,SIGN(DT345))*POWER(CHslave,SIGN(DU345))*POWER(FFslave,SIGN(DV345))*POWER(GEslave,SIGN(DW345))*POWER(KOslave,SIGN(DX345))</f>
        <v>2304</v>
      </c>
      <c r="ED345" s="234">
        <f>DU345*DW345*KOslave+DU345*GEslave*DX345+CHslave*DW345*DX345</f>
        <v>3456</v>
      </c>
      <c r="EE345" s="224">
        <f>IFERROR(DR345^SIGN(DR345),1)*IFERROR(DS345^SIGN(DS345),1)*IFERROR(DT345^SIGN(DT345),1)*IFERROR(DU345^SIGN(DU345),1)*IFERROR(DV345^SIGN(DV345),1)*IFERROR(DW345^SIGN(DW345),1)*IFERROR(DX345^SIGN(DX345),1)*IFERROR(DY345^SIGN(DY345),1)</f>
        <v>1728</v>
      </c>
      <c r="EF345" s="224">
        <f t="shared" ref="EF345:EF346" si="3791">SUM(EC345:EE345)</f>
        <v>7488</v>
      </c>
      <c r="EG345" s="222">
        <f>DZ345*EC345/EF345</f>
        <v>3.6923076923076925</v>
      </c>
      <c r="EH345" s="223">
        <f>EA345*ED345/EF345</f>
        <v>11.076923076923077</v>
      </c>
      <c r="EI345" s="243">
        <f>EB345*EE345/EF345</f>
        <v>8.3076923076923084</v>
      </c>
      <c r="EJ345" s="243">
        <f>SUM(EG345:EI345)</f>
        <v>23.07692307692308</v>
      </c>
      <c r="EK345" s="252">
        <f t="shared" si="2931"/>
        <v>0</v>
      </c>
      <c r="EL345" s="324">
        <f>EJ345-EK345</f>
        <v>23.07692307692308</v>
      </c>
      <c r="EM345" s="304">
        <f t="shared" si="3674"/>
        <v>175.5384615384616</v>
      </c>
      <c r="EN345" s="335">
        <f t="shared" si="3674"/>
        <v>2</v>
      </c>
      <c r="EO345" s="243">
        <f>IF((EM345-EN345)&gt;0,EM345-EN345,0)</f>
        <v>173.5384615384616</v>
      </c>
      <c r="EP345" s="218">
        <f>IF((EN345-EM345)&gt;0,EN345-EM345,0)</f>
        <v>0</v>
      </c>
      <c r="EQ345" s="248"/>
      <c r="ER345" s="303" t="s">
        <v>497</v>
      </c>
      <c r="ES345" s="304" t="s">
        <v>471</v>
      </c>
      <c r="ET345" s="304" t="s">
        <v>132</v>
      </c>
      <c r="EU345" s="210"/>
      <c r="EV345" s="211"/>
      <c r="EW345" s="211"/>
      <c r="EX345" s="113">
        <f>Konvention_1slave-CHslave</f>
        <v>12</v>
      </c>
      <c r="EY345" s="211"/>
      <c r="EZ345" s="113">
        <f>Konvention_1slave-GEslave</f>
        <v>12</v>
      </c>
      <c r="FA345" s="117">
        <f>Konvention_1slave-KOslave</f>
        <v>12</v>
      </c>
      <c r="FB345" s="212"/>
      <c r="FC345" s="223">
        <f>(EU345+EV345+EW345+EX345+EY345+EZ345+FA345+FB345)/3</f>
        <v>12</v>
      </c>
      <c r="FD345" s="223">
        <f>2*FC345</f>
        <v>24</v>
      </c>
      <c r="FE345" s="224">
        <f>3*FC345</f>
        <v>36</v>
      </c>
      <c r="FF345" s="237">
        <f>EU345*POWER(KLslave,SIGN(EV345))*POWER(INslave,SIGN(EW345))*POWER(CHslave,SIGN(EX345))*POWER(FFslave,SIGN(EY345))*POWER(GEslave,SIGN(EZ345))*POWER(KOslave,SIGN(FA345))*POWER(KKslave,SIGN(FB345))+EV345*POWER(MUslave,SIGN(EU345))*POWER(INslave,SIGN(EW345))*POWER(CHslave,SIGN(EX345))*POWER(FFslave,SIGN(EY345))*POWER(GEslave,SIGN(EZ345))*POWER(KOslave,SIGN(FA345))*POWER(KKslave,SIGN(FB345))+EW345*POWER(MUslave,SIGN(EU345))*POWER(KLslave,SIGN(EV345))*POWER(CHslave,SIGN(EX345))*POWER(FFslave,SIGN(EY345))*POWER(GEslave,SIGN(EZ345))*POWER(KOslave,SIGN(FA345))*POWER(KKslave,SIGN(FB345))+EX345*POWER(MUslave,SIGN(EU345))*POWER(KLslave,SIGN(EV345))*POWER(INslave,SIGN(EW345))*POWER(FFslave,SIGN(EY345))*POWER(GEslave,SIGN(EZ345))*POWER(KOslave,SIGN(FA345))*POWER(KKslave,SIGN(FB345))+EY345*POWER(MUslave,SIGN(EU345))*POWER(KLslave,SIGN(EV345))*POWER(INslave,SIGN(EW345))*POWER(CHslave,SIGN(EX345))*POWER(GEslave,SIGN(EZ345))*POWER(KOslave,SIGN(FA345))*POWER(KKslave,SIGN(FB345))+EZ345*POWER(MUslave,SIGN(EU345))*POWER(KLslave,SIGN(EV345))*POWER(INslave,SIGN(EW345))*POWER(CHslave,SIGN(EX345))*POWER(FFslave,SIGN(EY345))*POWER(KOslave,SIGN(FA345))*POWER(KKslave,SIGN(FB345))+FA345*POWER(MUslave,SIGN(EU345))*POWER(KLslave,SIGN(EV345))*POWER(INslave,SIGN(EW345))*POWER(CHslave,SIGN(EX345))*POWER(FFslave,SIGN(EY345))*POWER(GEslave,SIGN(EZ345))*POWER(KKslave,SIGN(FB345))+FB345*POWER(MUslave,SIGN(EU345))*POWER(KLslave,SIGN(EV345))*POWER(INslave,SIGN(EW345))*POWER(CHslave,SIGN(EX345))*POWER(FFslave,SIGN(EY345))*POWER(GEslave,SIGN(EZ345))*POWER(KOslave,SIGN(FA345))</f>
        <v>2304</v>
      </c>
      <c r="FG345" s="234">
        <f>EX345*EZ345*KOslave+EX345*GEslave*FA345+CHslave*EZ345*FA345</f>
        <v>3456</v>
      </c>
      <c r="FH345" s="224">
        <f>IFERROR(EU345^SIGN(EU345),1)*IFERROR(EV345^SIGN(EV345),1)*IFERROR(EW345^SIGN(EW345),1)*IFERROR(EX345^SIGN(EX345),1)*IFERROR(EY345^SIGN(EY345),1)*IFERROR(EZ345^SIGN(EZ345),1)*IFERROR(FA345^SIGN(FA345),1)*IFERROR(FB345^SIGN(FB345),1)</f>
        <v>1728</v>
      </c>
      <c r="FI345" s="224">
        <f t="shared" ref="FI345:FI346" si="3792">SUM(FF345:FH345)</f>
        <v>7488</v>
      </c>
      <c r="FJ345" s="222">
        <f>FC345*FF345/FI345</f>
        <v>3.6923076923076925</v>
      </c>
      <c r="FK345" s="223">
        <f>FD345*FG345/FI345</f>
        <v>11.076923076923077</v>
      </c>
      <c r="FL345" s="243">
        <f>FE345*FH345/FI345</f>
        <v>8.3076923076923084</v>
      </c>
      <c r="FM345" s="243">
        <f>SUM(FJ345:FL345)</f>
        <v>23.07692307692308</v>
      </c>
      <c r="FN345" s="252">
        <f t="shared" si="2934"/>
        <v>0</v>
      </c>
      <c r="FO345" s="324">
        <f>FM345-FN345</f>
        <v>23.07692307692308</v>
      </c>
      <c r="FP345" s="304">
        <f t="shared" si="3675"/>
        <v>175.5384615384616</v>
      </c>
      <c r="FQ345" s="335">
        <f t="shared" si="3675"/>
        <v>2</v>
      </c>
      <c r="FR345" s="243">
        <f>IF((FP345-FQ345)&gt;0,FP345-FQ345,0)</f>
        <v>173.5384615384616</v>
      </c>
      <c r="FS345" s="218">
        <f>IF((FQ345-FP345)&gt;0,FQ345-FP345,0)</f>
        <v>0</v>
      </c>
      <c r="FT345" s="248"/>
      <c r="FU345" s="303" t="s">
        <v>497</v>
      </c>
      <c r="FV345" s="304" t="s">
        <v>471</v>
      </c>
      <c r="FW345" s="304" t="s">
        <v>132</v>
      </c>
      <c r="FX345" s="210"/>
      <c r="FY345" s="211"/>
      <c r="FZ345" s="211"/>
      <c r="GA345" s="113">
        <f>Konvention_1slave-CHslave</f>
        <v>12</v>
      </c>
      <c r="GB345" s="211"/>
      <c r="GC345" s="113">
        <f>Konvention_1slave-GEslave</f>
        <v>12</v>
      </c>
      <c r="GD345" s="117">
        <f>Konvention_1slave-KOslave</f>
        <v>12</v>
      </c>
      <c r="GE345" s="212"/>
      <c r="GF345" s="223">
        <f>(FX345+FY345+FZ345+GA345+GB345+GC345+GD345+GE345)/3</f>
        <v>12</v>
      </c>
      <c r="GG345" s="223">
        <f>2*GF345</f>
        <v>24</v>
      </c>
      <c r="GH345" s="224">
        <f>3*GF345</f>
        <v>36</v>
      </c>
      <c r="GI345" s="237">
        <f>FX345*POWER(KLslave,SIGN(FY345))*POWER(INslave,SIGN(FZ345))*POWER(CHslave,SIGN(GA345))*POWER(FFslave,SIGN(GB345))*POWER(GEslave,SIGN(GC345))*POWER(KOslave,SIGN(GD345))*POWER(KKslave,SIGN(GE345))+FY345*POWER(MUslave,SIGN(FX345))*POWER(INslave,SIGN(FZ345))*POWER(CHslave,SIGN(GA345))*POWER(FFslave,SIGN(GB345))*POWER(GEslave,SIGN(GC345))*POWER(KOslave,SIGN(GD345))*POWER(KKslave,SIGN(GE345))+FZ345*POWER(MUslave,SIGN(FX345))*POWER(KLslave,SIGN(FY345))*POWER(CHslave,SIGN(GA345))*POWER(FFslave,SIGN(GB345))*POWER(GEslave,SIGN(GC345))*POWER(KOslave,SIGN(GD345))*POWER(KKslave,SIGN(GE345))+GA345*POWER(MUslave,SIGN(FX345))*POWER(KLslave,SIGN(FY345))*POWER(INslave,SIGN(FZ345))*POWER(FFslave,SIGN(GB345))*POWER(GEslave,SIGN(GC345))*POWER(KOslave,SIGN(GD345))*POWER(KKslave,SIGN(GE345))+GB345*POWER(MUslave,SIGN(FX345))*POWER(KLslave,SIGN(FY345))*POWER(INslave,SIGN(FZ345))*POWER(CHslave,SIGN(GA345))*POWER(GEslave,SIGN(GC345))*POWER(KOslave,SIGN(GD345))*POWER(KKslave,SIGN(GE345))+GC345*POWER(MUslave,SIGN(FX345))*POWER(KLslave,SIGN(FY345))*POWER(INslave,SIGN(FZ345))*POWER(CHslave,SIGN(GA345))*POWER(FFslave,SIGN(GB345))*POWER(KOslave,SIGN(GD345))*POWER(KKslave,SIGN(GE345))+GD345*POWER(MUslave,SIGN(FX345))*POWER(KLslave,SIGN(FY345))*POWER(INslave,SIGN(FZ345))*POWER(CHslave,SIGN(GA345))*POWER(FFslave,SIGN(GB345))*POWER(GEslave,SIGN(GC345))*POWER(KKslave,SIGN(GE345))+GE345*POWER(MUslave,SIGN(FX345))*POWER(KLslave,SIGN(FY345))*POWER(INslave,SIGN(FZ345))*POWER(CHslave,SIGN(GA345))*POWER(FFslave,SIGN(GB345))*POWER(GEslave,SIGN(GC345))*POWER(KOslave,SIGN(GD345))</f>
        <v>2304</v>
      </c>
      <c r="GJ345" s="234">
        <f>GA345*GC345*KOslave+GA345*GEslave*GD345+CHslave*GC345*GD345</f>
        <v>3456</v>
      </c>
      <c r="GK345" s="224">
        <f>IFERROR(FX345^SIGN(FX345),1)*IFERROR(FY345^SIGN(FY345),1)*IFERROR(FZ345^SIGN(FZ345),1)*IFERROR(GA345^SIGN(GA345),1)*IFERROR(GB345^SIGN(GB345),1)*IFERROR(GC345^SIGN(GC345),1)*IFERROR(GD345^SIGN(GD345),1)*IFERROR(GE345^SIGN(GE345),1)</f>
        <v>1728</v>
      </c>
      <c r="GL345" s="224">
        <f t="shared" ref="GL345:GL346" si="3793">SUM(GI345:GK345)</f>
        <v>7488</v>
      </c>
      <c r="GM345" s="222">
        <f>GF345*GI345/GL345</f>
        <v>3.6923076923076925</v>
      </c>
      <c r="GN345" s="223">
        <f>GG345*GJ345/GL345</f>
        <v>11.076923076923077</v>
      </c>
      <c r="GO345" s="243">
        <f>GH345*GK345/GL345</f>
        <v>8.3076923076923084</v>
      </c>
      <c r="GP345" s="243">
        <f>SUM(GM345:GO345)</f>
        <v>23.07692307692308</v>
      </c>
      <c r="GQ345" s="252">
        <f t="shared" si="2937"/>
        <v>0</v>
      </c>
      <c r="GR345" s="324">
        <f>GP345-GQ345</f>
        <v>23.07692307692308</v>
      </c>
      <c r="GS345" s="304">
        <f t="shared" si="3676"/>
        <v>175.5384615384616</v>
      </c>
      <c r="GT345" s="335">
        <f t="shared" si="3676"/>
        <v>2</v>
      </c>
      <c r="GU345" s="243">
        <f>IF((GS345-GT345)&gt;0,GS345-GT345,0)</f>
        <v>173.5384615384616</v>
      </c>
      <c r="GV345" s="218">
        <f>IF((GT345-GS345)&gt;0,GT345-GS345,0)</f>
        <v>0</v>
      </c>
      <c r="GW345" s="248"/>
      <c r="GX345" s="303" t="s">
        <v>497</v>
      </c>
      <c r="GY345" s="304" t="s">
        <v>471</v>
      </c>
      <c r="GZ345" s="304" t="s">
        <v>132</v>
      </c>
      <c r="HA345" s="210"/>
      <c r="HB345" s="211"/>
      <c r="HC345" s="211"/>
      <c r="HD345" s="113">
        <f>Konvention_1slave-CHslave</f>
        <v>12</v>
      </c>
      <c r="HE345" s="211"/>
      <c r="HF345" s="113">
        <f>Konvention_1slave-GEslave</f>
        <v>12</v>
      </c>
      <c r="HG345" s="117">
        <f>Konvention_1slave-KOslave</f>
        <v>12</v>
      </c>
      <c r="HH345" s="212"/>
      <c r="HI345" s="223">
        <f>(HA345+HB345+HC345+HD345+HE345+HF345+HG345+HH345)/3</f>
        <v>12</v>
      </c>
      <c r="HJ345" s="223">
        <f>2*HI345</f>
        <v>24</v>
      </c>
      <c r="HK345" s="224">
        <f>3*HI345</f>
        <v>36</v>
      </c>
      <c r="HL345" s="237">
        <f>HA345*POWER(KLslave,SIGN(HB345))*POWER(INslave,SIGN(HC345))*POWER(CHslave,SIGN(HD345))*POWER(FFslave,SIGN(HE345))*POWER(GEslave,SIGN(HF345))*POWER(KOslave,SIGN(HG345))*POWER(KKslave,SIGN(HH345))+HB345*POWER(MUslave,SIGN(HA345))*POWER(INslave,SIGN(HC345))*POWER(CHslave,SIGN(HD345))*POWER(FFslave,SIGN(HE345))*POWER(GEslave,SIGN(HF345))*POWER(KOslave,SIGN(HG345))*POWER(KKslave,SIGN(HH345))+HC345*POWER(MUslave,SIGN(HA345))*POWER(KLslave,SIGN(HB345))*POWER(CHslave,SIGN(HD345))*POWER(FFslave,SIGN(HE345))*POWER(GEslave,SIGN(HF345))*POWER(KOslave,SIGN(HG345))*POWER(KKslave,SIGN(HH345))+HD345*POWER(MUslave,SIGN(HA345))*POWER(KLslave,SIGN(HB345))*POWER(INslave,SIGN(HC345))*POWER(FFslave,SIGN(HE345))*POWER(GEslave,SIGN(HF345))*POWER(KOslave,SIGN(HG345))*POWER(KKslave,SIGN(HH345))+HE345*POWER(MUslave,SIGN(HA345))*POWER(KLslave,SIGN(HB345))*POWER(INslave,SIGN(HC345))*POWER(CHslave,SIGN(HD345))*POWER(GEslave,SIGN(HF345))*POWER(KOslave,SIGN(HG345))*POWER(KKslave,SIGN(HH345))+HF345*POWER(MUslave,SIGN(HA345))*POWER(KLslave,SIGN(HB345))*POWER(INslave,SIGN(HC345))*POWER(CHslave,SIGN(HD345))*POWER(FFslave,SIGN(HE345))*POWER(KOslave,SIGN(HG345))*POWER(KKslave,SIGN(HH345))+HG345*POWER(MUslave,SIGN(HA345))*POWER(KLslave,SIGN(HB345))*POWER(INslave,SIGN(HC345))*POWER(CHslave,SIGN(HD345))*POWER(FFslave,SIGN(HE345))*POWER(GEslave,SIGN(HF345))*POWER(KKslave,SIGN(HH345))+HH345*POWER(MUslave,SIGN(HA345))*POWER(KLslave,SIGN(HB345))*POWER(INslave,SIGN(HC345))*POWER(CHslave,SIGN(HD345))*POWER(FFslave,SIGN(HE345))*POWER(GEslave,SIGN(HF345))*POWER(KOslave,SIGN(HG345))</f>
        <v>2304</v>
      </c>
      <c r="HM345" s="234">
        <f>HD345*HF345*KOslave+HD345*GEslave*HG345+CHslave*HF345*HG345</f>
        <v>3456</v>
      </c>
      <c r="HN345" s="224">
        <f>IFERROR(HA345^SIGN(HA345),1)*IFERROR(HB345^SIGN(HB345),1)*IFERROR(HC345^SIGN(HC345),1)*IFERROR(HD345^SIGN(HD345),1)*IFERROR(HE345^SIGN(HE345),1)*IFERROR(HF345^SIGN(HF345),1)*IFERROR(HG345^SIGN(HG345),1)*IFERROR(HH345^SIGN(HH345),1)</f>
        <v>1728</v>
      </c>
      <c r="HO345" s="224">
        <f t="shared" ref="HO345:HO346" si="3794">SUM(HL345:HN345)</f>
        <v>7488</v>
      </c>
      <c r="HP345" s="222">
        <f>HI345*HL345/HO345</f>
        <v>3.6923076923076925</v>
      </c>
      <c r="HQ345" s="223">
        <f>HJ345*HM345/HO345</f>
        <v>11.076923076923077</v>
      </c>
      <c r="HR345" s="243">
        <f>HK345*HN345/HO345</f>
        <v>8.3076923076923084</v>
      </c>
      <c r="HS345" s="243">
        <f>SUM(HP345:HR345)</f>
        <v>23.07692307692308</v>
      </c>
      <c r="HT345" s="252">
        <f t="shared" si="2940"/>
        <v>0</v>
      </c>
      <c r="HU345" s="324">
        <f>HS345-HT345</f>
        <v>23.07692307692308</v>
      </c>
      <c r="HV345" s="304">
        <f t="shared" si="3677"/>
        <v>175.5384615384616</v>
      </c>
      <c r="HW345" s="335">
        <f t="shared" si="3677"/>
        <v>2</v>
      </c>
      <c r="HX345" s="243">
        <f>IF((HV345-HW345)&gt;0,HV345-HW345,0)</f>
        <v>173.5384615384616</v>
      </c>
      <c r="HY345" s="218">
        <f>IF((HW345-HV345)&gt;0,HW345-HV345,0)</f>
        <v>0</v>
      </c>
      <c r="HZ345" s="248"/>
      <c r="IA345" s="303" t="s">
        <v>497</v>
      </c>
      <c r="IB345" s="304" t="s">
        <v>471</v>
      </c>
      <c r="IC345" s="304" t="s">
        <v>132</v>
      </c>
      <c r="ID345" s="210"/>
      <c r="IE345" s="211"/>
      <c r="IF345" s="211"/>
      <c r="IG345" s="113">
        <f>Konvention_1slave-CHslave</f>
        <v>12</v>
      </c>
      <c r="IH345" s="211"/>
      <c r="II345" s="113">
        <f>Konvention_1slave-GEslave</f>
        <v>12</v>
      </c>
      <c r="IJ345" s="117">
        <f>Konvention_1slave-KOslave</f>
        <v>12</v>
      </c>
      <c r="IK345" s="212"/>
      <c r="IL345" s="223">
        <f>(ID345+IE345+IF345+IG345+IH345+II345+IJ345+IK345)/3</f>
        <v>12</v>
      </c>
      <c r="IM345" s="223">
        <f>2*IL345</f>
        <v>24</v>
      </c>
      <c r="IN345" s="224">
        <f>3*IL345</f>
        <v>36</v>
      </c>
      <c r="IO345" s="237">
        <f>ID345*POWER(KLslave,SIGN(IE345))*POWER(INslave,SIGN(IF345))*POWER(CHslave,SIGN(IG345))*POWER(FFslave,SIGN(IH345))*POWER(GEslave,SIGN(II345))*POWER(KOslave,SIGN(IJ345))*POWER(KKslave,SIGN(IK345))+IE345*POWER(MUslave,SIGN(ID345))*POWER(INslave,SIGN(IF345))*POWER(CHslave,SIGN(IG345))*POWER(FFslave,SIGN(IH345))*POWER(GEslave,SIGN(II345))*POWER(KOslave,SIGN(IJ345))*POWER(KKslave,SIGN(IK345))+IF345*POWER(MUslave,SIGN(ID345))*POWER(KLslave,SIGN(IE345))*POWER(CHslave,SIGN(IG345))*POWER(FFslave,SIGN(IH345))*POWER(GEslave,SIGN(II345))*POWER(KOslave,SIGN(IJ345))*POWER(KKslave,SIGN(IK345))+IG345*POWER(MUslave,SIGN(ID345))*POWER(KLslave,SIGN(IE345))*POWER(INslave,SIGN(IF345))*POWER(FFslave,SIGN(IH345))*POWER(GEslave,SIGN(II345))*POWER(KOslave,SIGN(IJ345))*POWER(KKslave,SIGN(IK345))+IH345*POWER(MUslave,SIGN(ID345))*POWER(KLslave,SIGN(IE345))*POWER(INslave,SIGN(IF345))*POWER(CHslave,SIGN(IG345))*POWER(GEslave,SIGN(II345))*POWER(KOslave,SIGN(IJ345))*POWER(KKslave,SIGN(IK345))+II345*POWER(MUslave,SIGN(ID345))*POWER(KLslave,SIGN(IE345))*POWER(INslave,SIGN(IF345))*POWER(CHslave,SIGN(IG345))*POWER(FFslave,SIGN(IH345))*POWER(KOslave,SIGN(IJ345))*POWER(KKslave,SIGN(IK345))+IJ345*POWER(MUslave,SIGN(ID345))*POWER(KLslave,SIGN(IE345))*POWER(INslave,SIGN(IF345))*POWER(CHslave,SIGN(IG345))*POWER(FFslave,SIGN(IH345))*POWER(GEslave,SIGN(II345))*POWER(KKslave,SIGN(IK345))+IK345*POWER(MUslave,SIGN(ID345))*POWER(KLslave,SIGN(IE345))*POWER(INslave,SIGN(IF345))*POWER(CHslave,SIGN(IG345))*POWER(FFslave,SIGN(IH345))*POWER(GEslave,SIGN(II345))*POWER(KOslave,SIGN(IJ345))</f>
        <v>2304</v>
      </c>
      <c r="IP345" s="234">
        <f>IG345*II345*KOslave+IG345*GEslave*IJ345+CHslave*II345*IJ345</f>
        <v>3456</v>
      </c>
      <c r="IQ345" s="224">
        <f>IFERROR(ID345^SIGN(ID345),1)*IFERROR(IE345^SIGN(IE345),1)*IFERROR(IF345^SIGN(IF345),1)*IFERROR(IG345^SIGN(IG345),1)*IFERROR(IH345^SIGN(IH345),1)*IFERROR(II345^SIGN(II345),1)*IFERROR(IJ345^SIGN(IJ345),1)*IFERROR(IK345^SIGN(IK345),1)</f>
        <v>1728</v>
      </c>
      <c r="IR345" s="224">
        <f t="shared" ref="IR345:IR346" si="3795">SUM(IO345:IQ345)</f>
        <v>7488</v>
      </c>
      <c r="IS345" s="222">
        <f>IL345*IO345/IR345</f>
        <v>3.6923076923076925</v>
      </c>
      <c r="IT345" s="223">
        <f>IM345*IP345/IR345</f>
        <v>11.076923076923077</v>
      </c>
      <c r="IU345" s="243">
        <f>IN345*IQ345/IR345</f>
        <v>8.3076923076923084</v>
      </c>
      <c r="IV345" s="243">
        <f>SUM(IS345:IU345)</f>
        <v>23.07692307692308</v>
      </c>
      <c r="IW345" s="252">
        <f t="shared" si="2943"/>
        <v>0</v>
      </c>
      <c r="IX345" s="324">
        <f>IV345-IW345</f>
        <v>23.07692307692308</v>
      </c>
      <c r="IY345" s="304">
        <f t="shared" si="3678"/>
        <v>175.5384615384616</v>
      </c>
      <c r="IZ345" s="335">
        <f t="shared" si="3678"/>
        <v>2</v>
      </c>
      <c r="JA345" s="243">
        <f>IF((IY345-IZ345)&gt;0,IY345-IZ345,0)</f>
        <v>173.5384615384616</v>
      </c>
      <c r="JB345" s="218">
        <f>IF((IZ345-IY345)&gt;0,IZ345-IY345,0)</f>
        <v>0</v>
      </c>
    </row>
    <row r="346" spans="1:265" s="205" customFormat="1" ht="15" hidden="1" customHeight="1" outlineLevel="2">
      <c r="A346" s="185"/>
      <c r="B346" s="148">
        <v>24</v>
      </c>
      <c r="C346" s="303" t="e">
        <f>VLOOKUP(AF346,Attribute!C:T,1,FALSE)</f>
        <v>#N/A</v>
      </c>
      <c r="D346" s="304" t="s">
        <v>471</v>
      </c>
      <c r="E346" s="304" t="s">
        <v>133</v>
      </c>
      <c r="F346" s="210"/>
      <c r="G346" s="211"/>
      <c r="H346" s="211"/>
      <c r="I346" s="113">
        <f>Konvention_1master-CHmaster</f>
        <v>12</v>
      </c>
      <c r="J346" s="211"/>
      <c r="K346" s="113">
        <f>Konvention_1master-GEmaster</f>
        <v>12</v>
      </c>
      <c r="L346" s="117">
        <f>Konvention_1master-KOmaster</f>
        <v>12</v>
      </c>
      <c r="M346" s="212"/>
      <c r="N346" s="223">
        <f>(F346+G346+H346+I346+J346+K346+L346+M346)/3</f>
        <v>12</v>
      </c>
      <c r="O346" s="223">
        <f>2*N346</f>
        <v>24</v>
      </c>
      <c r="P346" s="224">
        <f>3*N346</f>
        <v>36</v>
      </c>
      <c r="Q346" s="237">
        <f>F346*POWER(KLmaster,SIGN(G346))*POWER(INmaster,SIGN(H346))*POWER(CHmaster,SIGN(I346))*POWER(FFmaster,SIGN(J346))*POWER(GEmaster,SIGN(K346))*POWER(KOmaster,SIGN(L346))*POWER(KKmaster,SIGN(M346))+G346*POWER(MUmaster,SIGN(F346))*POWER(INmaster,SIGN(H346))*POWER(CHmaster,SIGN(I346))*POWER(FFmaster,SIGN(J346))*POWER(GEmaster,SIGN(K346))*POWER(KOmaster,SIGN(L346))*POWER(KKmaster,SIGN(M346))+H346*POWER(MUmaster,SIGN(F346))*POWER(KLmaster,SIGN(G346))*POWER(CHmaster,SIGN(I346))*POWER(FFmaster,SIGN(J346))*POWER(GEmaster,SIGN(K346))*POWER(KOmaster,SIGN(L346))*POWER(KKmaster,SIGN(M346))+I346*POWER(MUmaster,SIGN(F346))*POWER(KLmaster,SIGN(G346))*POWER(INmaster,SIGN(H346))*POWER(FFmaster,SIGN(J346))*POWER(GEmaster,SIGN(K346))*POWER(KOmaster,SIGN(L346))*POWER(KKmaster,SIGN(M346))+J346*POWER(MUmaster,SIGN(F346))*POWER(KLmaster,SIGN(G346))*POWER(INmaster,SIGN(H346))*POWER(CHmaster,SIGN(I346))*POWER(GEmaster,SIGN(K346))*POWER(KOmaster,SIGN(L346))*POWER(KKmaster,SIGN(M346))+K346*POWER(MUmaster,SIGN(F346))*POWER(KLmaster,SIGN(G346))*POWER(INmaster,SIGN(H346))*POWER(CHmaster,SIGN(I346))*POWER(FFmaster,SIGN(J346))*POWER(KOmaster,SIGN(L346))*POWER(KKmaster,SIGN(M346))+L346*POWER(MUmaster,SIGN(F346))*POWER(KLmaster,SIGN(G346))*POWER(INmaster,SIGN(H346))*POWER(CHmaster,SIGN(I346))*POWER(FFmaster,SIGN(J346))*POWER(GEmaster,SIGN(K346))*POWER(KKmaster,SIGN(M346))+M346*POWER(MUmaster,SIGN(F346))*POWER(KLmaster,SIGN(G346))*POWER(INmaster,SIGN(H346))*POWER(CHmaster,SIGN(I346))*POWER(FFmaster,SIGN(J346))*POWER(GEmaster,SIGN(K346))*POWER(KOmaster,SIGN(L346))</f>
        <v>2304</v>
      </c>
      <c r="R346" s="234">
        <f>I346*K346*KOmaster+I346*GEmaster*L346+CHmaster*K346*L346</f>
        <v>3456</v>
      </c>
      <c r="S346" s="224">
        <f>IFERROR(F346^SIGN(F346),1)*IFERROR(G346^SIGN(G346),1)*IFERROR(H346^SIGN(H346),1)*IFERROR(I346^SIGN(I346),1)*IFERROR(J346^SIGN(J346),1)*IFERROR(K346^SIGN(K346),1)*IFERROR(L346^SIGN(L346),1)*IFERROR(M346^SIGN(M346),1)</f>
        <v>1728</v>
      </c>
      <c r="T346" s="224">
        <f t="shared" si="3787"/>
        <v>7488</v>
      </c>
      <c r="U346" s="222">
        <f>N346*Q346/T346</f>
        <v>3.6923076923076925</v>
      </c>
      <c r="V346" s="223">
        <f>O346*R346/T346</f>
        <v>11.076923076923077</v>
      </c>
      <c r="W346" s="243">
        <f>P346*S346/T346</f>
        <v>8.3076923076923084</v>
      </c>
      <c r="X346" s="243">
        <f>SUM(U346:W346)</f>
        <v>23.07692307692308</v>
      </c>
      <c r="Y346" s="252">
        <v>0</v>
      </c>
      <c r="Z346" s="324">
        <f>X346-Y346</f>
        <v>23.07692307692308</v>
      </c>
      <c r="AA346" s="304">
        <f>IF(X346&lt;=0,1,0)+IF(X346&gt;0,X346+1,0)*1+IF(X346&gt;12,X346-12,0)*1+IF(X346&gt;13,X346-13,0)*1+IF(X346&gt;14,X346-14,0)*1+IF(X346&gt;15,X346-15,0)*1+IF(X346&gt;16,X346-16,0)*1+IF(X346&gt;17,X346-17,0)*1+IF(X346&gt;18,X346-18,0)*1+IF(X346&gt;19,X346-19,0)*1+IF(X346&gt;20,X346-20,0)*1</f>
        <v>87.769230769230802</v>
      </c>
      <c r="AB346" s="335">
        <f>IF(Y346&lt;=0,1,0)+IF(Y346&gt;0,Y346+1,0)*1+IF(Y346&gt;12,Y346-12,0)*1+IF(Y346&gt;13,Y346-13,0)*1+IF(Y346&gt;14,Y346-14,0)*1+IF(Y346&gt;15,Y346-15,0)*1+IF(Y346&gt;16,Y346-16,0)*1+IF(Y346&gt;17,Y346-17,0)*1+IF(Y346&gt;18,Y346-18,0)*1+IF(Y346&gt;19,Y346-19,0)*1+IF(Y346&gt;20,Y346-20,0)*1</f>
        <v>1</v>
      </c>
      <c r="AC346" s="243">
        <f>IF((AA346-AB346)&gt;0,AA346-AB346,0)</f>
        <v>86.769230769230802</v>
      </c>
      <c r="AD346" s="218">
        <f>IF((AB346-AA346)&gt;0,AB346-AA346,0)</f>
        <v>0</v>
      </c>
      <c r="AE346" s="299"/>
      <c r="AF346" s="303" t="s">
        <v>498</v>
      </c>
      <c r="AG346" s="304" t="s">
        <v>471</v>
      </c>
      <c r="AH346" s="304" t="s">
        <v>133</v>
      </c>
      <c r="AI346" s="210"/>
      <c r="AJ346" s="211"/>
      <c r="AK346" s="211"/>
      <c r="AL346" s="113">
        <f>Konvention_1slave-CHslave</f>
        <v>12</v>
      </c>
      <c r="AM346" s="211"/>
      <c r="AN346" s="113">
        <f>Konvention_1slave-GEslave</f>
        <v>12</v>
      </c>
      <c r="AO346" s="117">
        <f>Konvention_1slave-KOslave</f>
        <v>12</v>
      </c>
      <c r="AP346" s="212"/>
      <c r="AQ346" s="223">
        <f>(AI346+AJ346+AK346+AL346+AM346+AN346+AO346+AP346)/3</f>
        <v>12</v>
      </c>
      <c r="AR346" s="223">
        <f>2*AQ346</f>
        <v>24</v>
      </c>
      <c r="AS346" s="224">
        <f>3*AQ346</f>
        <v>36</v>
      </c>
      <c r="AT346" s="237">
        <f>AI346*POWER(KLslave,SIGN(AJ346))*POWER(INslave,SIGN(AK346))*POWER(CHslave,SIGN(AL346))*POWER(FFslave,SIGN(AM346))*POWER(GEslave,SIGN(AN346))*POWER(KOslave,SIGN(AO346))*POWER(KKslave,SIGN(AP346))+AJ346*POWER(MUslave,SIGN(AI346))*POWER(INslave,SIGN(AK346))*POWER(CHslave,SIGN(AL346))*POWER(FFslave,SIGN(AM346))*POWER(GEslave,SIGN(AN346))*POWER(KOslave,SIGN(AO346))*POWER(KKslave,SIGN(AP346))+AK346*POWER(MUslave,SIGN(AI346))*POWER(KLslave,SIGN(AJ346))*POWER(CHslave,SIGN(AL346))*POWER(FFslave,SIGN(AM346))*POWER(GEslave,SIGN(AN346))*POWER(KOslave,SIGN(AO346))*POWER(KKslave,SIGN(AP346))+AL346*POWER(MUslave,SIGN(AI346))*POWER(KLslave,SIGN(AJ346))*POWER(INslave,SIGN(AK346))*POWER(FFslave,SIGN(AM346))*POWER(GEslave,SIGN(AN346))*POWER(KOslave,SIGN(AO346))*POWER(KKslave,SIGN(AP346))+AM346*POWER(MUslave,SIGN(AI346))*POWER(KLslave,SIGN(AJ346))*POWER(INslave,SIGN(AK346))*POWER(CHslave,SIGN(AL346))*POWER(GEslave,SIGN(AN346))*POWER(KOslave,SIGN(AO346))*POWER(KKslave,SIGN(AP346))+AN346*POWER(MUslave,SIGN(AI346))*POWER(KLslave,SIGN(AJ346))*POWER(INslave,SIGN(AK346))*POWER(CHslave,SIGN(AL346))*POWER(FFslave,SIGN(AM346))*POWER(KOslave,SIGN(AO346))*POWER(KKslave,SIGN(AP346))+AO346*POWER(MUslave,SIGN(AI346))*POWER(KLslave,SIGN(AJ346))*POWER(INslave,SIGN(AK346))*POWER(CHslave,SIGN(AL346))*POWER(FFslave,SIGN(AM346))*POWER(GEslave,SIGN(AN346))*POWER(KKslave,SIGN(AP346))+AP346*POWER(MUslave,SIGN(AI346))*POWER(KLslave,SIGN(AJ346))*POWER(INslave,SIGN(AK346))*POWER(CHslave,SIGN(AL346))*POWER(FFslave,SIGN(AM346))*POWER(GEslave,SIGN(AN346))*POWER(KOslave,SIGN(AO346))</f>
        <v>2304</v>
      </c>
      <c r="AU346" s="234">
        <f>AL346*AN346*KOslave+AL346*GEslave*AO346+CHslave*AN346*AO346</f>
        <v>3456</v>
      </c>
      <c r="AV346" s="224">
        <f>IFERROR(AI346^SIGN(AI346),1)*IFERROR(AJ346^SIGN(AJ346),1)*IFERROR(AK346^SIGN(AK346),1)*IFERROR(AL346^SIGN(AL346),1)*IFERROR(AM346^SIGN(AM346),1)*IFERROR(AN346^SIGN(AN346),1)*IFERROR(AO346^SIGN(AO346),1)*IFERROR(AP346^SIGN(AP346),1)</f>
        <v>1728</v>
      </c>
      <c r="AW346" s="224">
        <f t="shared" si="3788"/>
        <v>7488</v>
      </c>
      <c r="AX346" s="222">
        <f>AQ346*AT346/AW346</f>
        <v>3.6923076923076925</v>
      </c>
      <c r="AY346" s="223">
        <f>AR346*AU346/AW346</f>
        <v>11.076923076923077</v>
      </c>
      <c r="AZ346" s="243">
        <f>AS346*AV346/AW346</f>
        <v>8.3076923076923084</v>
      </c>
      <c r="BA346" s="243">
        <f>SUM(AX346:AZ346)</f>
        <v>23.07692307692308</v>
      </c>
      <c r="BB346" s="252">
        <f t="shared" si="2034"/>
        <v>0</v>
      </c>
      <c r="BC346" s="324">
        <f>BA346-BB346</f>
        <v>23.07692307692308</v>
      </c>
      <c r="BD346" s="304">
        <f>IF(BA346&lt;=0,1,0)+IF(BA346&gt;0,BA346+1,0)*1+IF(BA346&gt;12,BA346-12,0)*1+IF(BA346&gt;13,BA346-13,0)*1+IF(BA346&gt;14,BA346-14,0)*1+IF(BA346&gt;15,BA346-15,0)*1+IF(BA346&gt;16,BA346-16,0)*1+IF(BA346&gt;17,BA346-17,0)*1+IF(BA346&gt;18,BA346-18,0)*1+IF(BA346&gt;19,BA346-19,0)*1+IF(BA346&gt;20,BA346-20,0)*1</f>
        <v>87.769230769230802</v>
      </c>
      <c r="BE346" s="335">
        <f>IF(BB346&lt;=0,1,0)+IF(BB346&gt;0,BB346+1,0)*1+IF(BB346&gt;12,BB346-12,0)*1+IF(BB346&gt;13,BB346-13,0)*1+IF(BB346&gt;14,BB346-14,0)*1+IF(BB346&gt;15,BB346-15,0)*1+IF(BB346&gt;16,BB346-16,0)*1+IF(BB346&gt;17,BB346-17,0)*1+IF(BB346&gt;18,BB346-18,0)*1+IF(BB346&gt;19,BB346-19,0)*1+IF(BB346&gt;20,BB346-20,0)*1</f>
        <v>1</v>
      </c>
      <c r="BF346" s="243">
        <f>IF((BD346-BE346)&gt;0,BD346-BE346,0)</f>
        <v>86.769230769230802</v>
      </c>
      <c r="BG346" s="218">
        <f>IF((BE346-BD346)&gt;0,BE346-BD346,0)</f>
        <v>0</v>
      </c>
      <c r="BH346" s="248"/>
      <c r="BI346" s="303" t="s">
        <v>498</v>
      </c>
      <c r="BJ346" s="304" t="s">
        <v>471</v>
      </c>
      <c r="BK346" s="304" t="s">
        <v>133</v>
      </c>
      <c r="BL346" s="210"/>
      <c r="BM346" s="211"/>
      <c r="BN346" s="211"/>
      <c r="BO346" s="113">
        <f>Konvention_1slave-CHslave</f>
        <v>12</v>
      </c>
      <c r="BP346" s="211"/>
      <c r="BQ346" s="113">
        <f>Konvention_1slave-GEslave</f>
        <v>12</v>
      </c>
      <c r="BR346" s="117">
        <f>Konvention_1slave-KOslave</f>
        <v>12</v>
      </c>
      <c r="BS346" s="212"/>
      <c r="BT346" s="223">
        <f>(BL346+BM346+BN346+BO346+BP346+BQ346+BR346+BS346)/3</f>
        <v>12</v>
      </c>
      <c r="BU346" s="223">
        <f>2*BT346</f>
        <v>24</v>
      </c>
      <c r="BV346" s="224">
        <f>3*BT346</f>
        <v>36</v>
      </c>
      <c r="BW346" s="237">
        <f>BL346*POWER(KLslave,SIGN(BM346))*POWER(INslave,SIGN(BN346))*POWER(CHslave,SIGN(BO346))*POWER(FFslave,SIGN(BP346))*POWER(GEslave,SIGN(BQ346))*POWER(KOslave,SIGN(BR346))*POWER(KKslave,SIGN(BS346))+BM346*POWER(MUslave,SIGN(BL346))*POWER(INslave,SIGN(BN346))*POWER(CHslave,SIGN(BO346))*POWER(FFslave,SIGN(BP346))*POWER(GEslave,SIGN(BQ346))*POWER(KOslave,SIGN(BR346))*POWER(KKslave,SIGN(BS346))+BN346*POWER(MUslave,SIGN(BL346))*POWER(KLslave,SIGN(BM346))*POWER(CHslave,SIGN(BO346))*POWER(FFslave,SIGN(BP346))*POWER(GEslave,SIGN(BQ346))*POWER(KOslave,SIGN(BR346))*POWER(KKslave,SIGN(BS346))+BO346*POWER(MUslave,SIGN(BL346))*POWER(KLslave,SIGN(BM346))*POWER(INslave,SIGN(BN346))*POWER(FFslave,SIGN(BP346))*POWER(GEslave,SIGN(BQ346))*POWER(KOslave,SIGN(BR346))*POWER(KKslave,SIGN(BS346))+BP346*POWER(MUslave,SIGN(BL346))*POWER(KLslave,SIGN(BM346))*POWER(INslave,SIGN(BN346))*POWER(CHslave,SIGN(BO346))*POWER(GEslave,SIGN(BQ346))*POWER(KOslave,SIGN(BR346))*POWER(KKslave,SIGN(BS346))+BQ346*POWER(MUslave,SIGN(BL346))*POWER(KLslave,SIGN(BM346))*POWER(INslave,SIGN(BN346))*POWER(CHslave,SIGN(BO346))*POWER(FFslave,SIGN(BP346))*POWER(KOslave,SIGN(BR346))*POWER(KKslave,SIGN(BS346))+BR346*POWER(MUslave,SIGN(BL346))*POWER(KLslave,SIGN(BM346))*POWER(INslave,SIGN(BN346))*POWER(CHslave,SIGN(BO346))*POWER(FFslave,SIGN(BP346))*POWER(GEslave,SIGN(BQ346))*POWER(KKslave,SIGN(BS346))+BS346*POWER(MUslave,SIGN(BL346))*POWER(KLslave,SIGN(BM346))*POWER(INslave,SIGN(BN346))*POWER(CHslave,SIGN(BO346))*POWER(FFslave,SIGN(BP346))*POWER(GEslave,SIGN(BQ346))*POWER(KOslave,SIGN(BR346))</f>
        <v>2304</v>
      </c>
      <c r="BX346" s="234">
        <f>BO346*BQ346*KOslave+BO346*GEslave*BR346+CHslave*BQ346*BR346</f>
        <v>3456</v>
      </c>
      <c r="BY346" s="224">
        <f>IFERROR(BL346^SIGN(BL346),1)*IFERROR(BM346^SIGN(BM346),1)*IFERROR(BN346^SIGN(BN346),1)*IFERROR(BO346^SIGN(BO346),1)*IFERROR(BP346^SIGN(BP346),1)*IFERROR(BQ346^SIGN(BQ346),1)*IFERROR(BR346^SIGN(BR346),1)*IFERROR(BS346^SIGN(BS346),1)</f>
        <v>1728</v>
      </c>
      <c r="BZ346" s="224">
        <f t="shared" si="3789"/>
        <v>7488</v>
      </c>
      <c r="CA346" s="222">
        <f>BT346*BW346/BZ346</f>
        <v>3.6923076923076925</v>
      </c>
      <c r="CB346" s="223">
        <f>BU346*BX346/BZ346</f>
        <v>11.076923076923077</v>
      </c>
      <c r="CC346" s="243">
        <f>BV346*BY346/BZ346</f>
        <v>8.3076923076923084</v>
      </c>
      <c r="CD346" s="243">
        <f>SUM(CA346:CC346)</f>
        <v>23.07692307692308</v>
      </c>
      <c r="CE346" s="252">
        <f t="shared" si="2925"/>
        <v>0</v>
      </c>
      <c r="CF346" s="324">
        <f>CD346-CE346</f>
        <v>23.07692307692308</v>
      </c>
      <c r="CG346" s="304">
        <f>IF(CD346&lt;=0,1,0)+IF(CD346&gt;0,CD346+1,0)*1+IF(CD346&gt;12,CD346-12,0)*1+IF(CD346&gt;13,CD346-13,0)*1+IF(CD346&gt;14,CD346-14,0)*1+IF(CD346&gt;15,CD346-15,0)*1+IF(CD346&gt;16,CD346-16,0)*1+IF(CD346&gt;17,CD346-17,0)*1+IF(CD346&gt;18,CD346-18,0)*1+IF(CD346&gt;19,CD346-19,0)*1+IF(CD346&gt;20,CD346-20,0)*1</f>
        <v>87.769230769230802</v>
      </c>
      <c r="CH346" s="335">
        <f>IF(CE346&lt;=0,1,0)+IF(CE346&gt;0,CE346+1,0)*1+IF(CE346&gt;12,CE346-12,0)*1+IF(CE346&gt;13,CE346-13,0)*1+IF(CE346&gt;14,CE346-14,0)*1+IF(CE346&gt;15,CE346-15,0)*1+IF(CE346&gt;16,CE346-16,0)*1+IF(CE346&gt;17,CE346-17,0)*1+IF(CE346&gt;18,CE346-18,0)*1+IF(CE346&gt;19,CE346-19,0)*1+IF(CE346&gt;20,CE346-20,0)*1</f>
        <v>1</v>
      </c>
      <c r="CI346" s="243">
        <f>IF((CG346-CH346)&gt;0,CG346-CH346,0)</f>
        <v>86.769230769230802</v>
      </c>
      <c r="CJ346" s="218">
        <f>IF((CH346-CG346)&gt;0,CH346-CG346,0)</f>
        <v>0</v>
      </c>
      <c r="CK346" s="248"/>
      <c r="CL346" s="303" t="s">
        <v>498</v>
      </c>
      <c r="CM346" s="304" t="s">
        <v>471</v>
      </c>
      <c r="CN346" s="304" t="s">
        <v>133</v>
      </c>
      <c r="CO346" s="210"/>
      <c r="CP346" s="211"/>
      <c r="CQ346" s="211"/>
      <c r="CR346" s="113">
        <f>Konvention_1slave-CHslave</f>
        <v>12</v>
      </c>
      <c r="CS346" s="211"/>
      <c r="CT346" s="113">
        <f>Konvention_1slave-GEslave</f>
        <v>12</v>
      </c>
      <c r="CU346" s="117">
        <f>Konvention_1slave-KOslave</f>
        <v>12</v>
      </c>
      <c r="CV346" s="212"/>
      <c r="CW346" s="223">
        <f>(CO346+CP346+CQ346+CR346+CS346+CT346+CU346+CV346)/3</f>
        <v>12</v>
      </c>
      <c r="CX346" s="223">
        <f>2*CW346</f>
        <v>24</v>
      </c>
      <c r="CY346" s="224">
        <f>3*CW346</f>
        <v>36</v>
      </c>
      <c r="CZ346" s="237">
        <f>CO346*POWER(KLslave,SIGN(CP346))*POWER(INslave,SIGN(CQ346))*POWER(CHslave,SIGN(CR346))*POWER(FFslave,SIGN(CS346))*POWER(GEslave,SIGN(CT346))*POWER(KOslave,SIGN(CU346))*POWER(KKslave,SIGN(CV346))+CP346*POWER(MUslave,SIGN(CO346))*POWER(INslave,SIGN(CQ346))*POWER(CHslave,SIGN(CR346))*POWER(FFslave,SIGN(CS346))*POWER(GEslave,SIGN(CT346))*POWER(KOslave,SIGN(CU346))*POWER(KKslave,SIGN(CV346))+CQ346*POWER(MUslave,SIGN(CO346))*POWER(KLslave,SIGN(CP346))*POWER(CHslave,SIGN(CR346))*POWER(FFslave,SIGN(CS346))*POWER(GEslave,SIGN(CT346))*POWER(KOslave,SIGN(CU346))*POWER(KKslave,SIGN(CV346))+CR346*POWER(MUslave,SIGN(CO346))*POWER(KLslave,SIGN(CP346))*POWER(INslave,SIGN(CQ346))*POWER(FFslave,SIGN(CS346))*POWER(GEslave,SIGN(CT346))*POWER(KOslave,SIGN(CU346))*POWER(KKslave,SIGN(CV346))+CS346*POWER(MUslave,SIGN(CO346))*POWER(KLslave,SIGN(CP346))*POWER(INslave,SIGN(CQ346))*POWER(CHslave,SIGN(CR346))*POWER(GEslave,SIGN(CT346))*POWER(KOslave,SIGN(CU346))*POWER(KKslave,SIGN(CV346))+CT346*POWER(MUslave,SIGN(CO346))*POWER(KLslave,SIGN(CP346))*POWER(INslave,SIGN(CQ346))*POWER(CHslave,SIGN(CR346))*POWER(FFslave,SIGN(CS346))*POWER(KOslave,SIGN(CU346))*POWER(KKslave,SIGN(CV346))+CU346*POWER(MUslave,SIGN(CO346))*POWER(KLslave,SIGN(CP346))*POWER(INslave,SIGN(CQ346))*POWER(CHslave,SIGN(CR346))*POWER(FFslave,SIGN(CS346))*POWER(GEslave,SIGN(CT346))*POWER(KKslave,SIGN(CV346))+CV346*POWER(MUslave,SIGN(CO346))*POWER(KLslave,SIGN(CP346))*POWER(INslave,SIGN(CQ346))*POWER(CHslave,SIGN(CR346))*POWER(FFslave,SIGN(CS346))*POWER(GEslave,SIGN(CT346))*POWER(KOslave,SIGN(CU346))</f>
        <v>2304</v>
      </c>
      <c r="DA346" s="234">
        <f>CR346*CT346*KOslave+CR346*GEslave*CU346+CHslave*CT346*CU346</f>
        <v>3456</v>
      </c>
      <c r="DB346" s="224">
        <f>IFERROR(CO346^SIGN(CO346),1)*IFERROR(CP346^SIGN(CP346),1)*IFERROR(CQ346^SIGN(CQ346),1)*IFERROR(CR346^SIGN(CR346),1)*IFERROR(CS346^SIGN(CS346),1)*IFERROR(CT346^SIGN(CT346),1)*IFERROR(CU346^SIGN(CU346),1)*IFERROR(CV346^SIGN(CV346),1)</f>
        <v>1728</v>
      </c>
      <c r="DC346" s="224">
        <f t="shared" si="3790"/>
        <v>7488</v>
      </c>
      <c r="DD346" s="222">
        <f>CW346*CZ346/DC346</f>
        <v>3.6923076923076925</v>
      </c>
      <c r="DE346" s="223">
        <f>CX346*DA346/DC346</f>
        <v>11.076923076923077</v>
      </c>
      <c r="DF346" s="243">
        <f>CY346*DB346/DC346</f>
        <v>8.3076923076923084</v>
      </c>
      <c r="DG346" s="243">
        <f>SUM(DD346:DF346)</f>
        <v>23.07692307692308</v>
      </c>
      <c r="DH346" s="252">
        <f t="shared" si="2928"/>
        <v>0</v>
      </c>
      <c r="DI346" s="324">
        <f>DG346-DH346</f>
        <v>23.07692307692308</v>
      </c>
      <c r="DJ346" s="304">
        <f>IF(DG346&lt;=0,1,0)+IF(DG346&gt;0,DG346+1,0)*1+IF(DG346&gt;12,DG346-12,0)*1+IF(DG346&gt;13,DG346-13,0)*1+IF(DG346&gt;14,DG346-14,0)*1+IF(DG346&gt;15,DG346-15,0)*1+IF(DG346&gt;16,DG346-16,0)*1+IF(DG346&gt;17,DG346-17,0)*1+IF(DG346&gt;18,DG346-18,0)*1+IF(DG346&gt;19,DG346-19,0)*1+IF(DG346&gt;20,DG346-20,0)*1</f>
        <v>87.769230769230802</v>
      </c>
      <c r="DK346" s="335">
        <f>IF(DH346&lt;=0,1,0)+IF(DH346&gt;0,DH346+1,0)*1+IF(DH346&gt;12,DH346-12,0)*1+IF(DH346&gt;13,DH346-13,0)*1+IF(DH346&gt;14,DH346-14,0)*1+IF(DH346&gt;15,DH346-15,0)*1+IF(DH346&gt;16,DH346-16,0)*1+IF(DH346&gt;17,DH346-17,0)*1+IF(DH346&gt;18,DH346-18,0)*1+IF(DH346&gt;19,DH346-19,0)*1+IF(DH346&gt;20,DH346-20,0)*1</f>
        <v>1</v>
      </c>
      <c r="DL346" s="243">
        <f>IF((DJ346-DK346)&gt;0,DJ346-DK346,0)</f>
        <v>86.769230769230802</v>
      </c>
      <c r="DM346" s="218">
        <f>IF((DK346-DJ346)&gt;0,DK346-DJ346,0)</f>
        <v>0</v>
      </c>
      <c r="DN346" s="248"/>
      <c r="DO346" s="303" t="s">
        <v>498</v>
      </c>
      <c r="DP346" s="304" t="s">
        <v>471</v>
      </c>
      <c r="DQ346" s="304" t="s">
        <v>133</v>
      </c>
      <c r="DR346" s="210"/>
      <c r="DS346" s="211"/>
      <c r="DT346" s="211"/>
      <c r="DU346" s="113">
        <f>Konvention_1slave-CHslave</f>
        <v>12</v>
      </c>
      <c r="DV346" s="211"/>
      <c r="DW346" s="113">
        <f>Konvention_1slave-GEslave</f>
        <v>12</v>
      </c>
      <c r="DX346" s="117">
        <f>Konvention_1slave-KOslave</f>
        <v>12</v>
      </c>
      <c r="DY346" s="212"/>
      <c r="DZ346" s="223">
        <f>(DR346+DS346+DT346+DU346+DV346+DW346+DX346+DY346)/3</f>
        <v>12</v>
      </c>
      <c r="EA346" s="223">
        <f>2*DZ346</f>
        <v>24</v>
      </c>
      <c r="EB346" s="224">
        <f>3*DZ346</f>
        <v>36</v>
      </c>
      <c r="EC346" s="237">
        <f>DR346*POWER(KLslave,SIGN(DS346))*POWER(INslave,SIGN(DT346))*POWER(CHslave,SIGN(DU346))*POWER(FFslave,SIGN(DV346))*POWER(GEslave,SIGN(DW346))*POWER(KOslave,SIGN(DX346))*POWER(KKslave,SIGN(DY346))+DS346*POWER(MUslave,SIGN(DR346))*POWER(INslave,SIGN(DT346))*POWER(CHslave,SIGN(DU346))*POWER(FFslave,SIGN(DV346))*POWER(GEslave,SIGN(DW346))*POWER(KOslave,SIGN(DX346))*POWER(KKslave,SIGN(DY346))+DT346*POWER(MUslave,SIGN(DR346))*POWER(KLslave,SIGN(DS346))*POWER(CHslave,SIGN(DU346))*POWER(FFslave,SIGN(DV346))*POWER(GEslave,SIGN(DW346))*POWER(KOslave,SIGN(DX346))*POWER(KKslave,SIGN(DY346))+DU346*POWER(MUslave,SIGN(DR346))*POWER(KLslave,SIGN(DS346))*POWER(INslave,SIGN(DT346))*POWER(FFslave,SIGN(DV346))*POWER(GEslave,SIGN(DW346))*POWER(KOslave,SIGN(DX346))*POWER(KKslave,SIGN(DY346))+DV346*POWER(MUslave,SIGN(DR346))*POWER(KLslave,SIGN(DS346))*POWER(INslave,SIGN(DT346))*POWER(CHslave,SIGN(DU346))*POWER(GEslave,SIGN(DW346))*POWER(KOslave,SIGN(DX346))*POWER(KKslave,SIGN(DY346))+DW346*POWER(MUslave,SIGN(DR346))*POWER(KLslave,SIGN(DS346))*POWER(INslave,SIGN(DT346))*POWER(CHslave,SIGN(DU346))*POWER(FFslave,SIGN(DV346))*POWER(KOslave,SIGN(DX346))*POWER(KKslave,SIGN(DY346))+DX346*POWER(MUslave,SIGN(DR346))*POWER(KLslave,SIGN(DS346))*POWER(INslave,SIGN(DT346))*POWER(CHslave,SIGN(DU346))*POWER(FFslave,SIGN(DV346))*POWER(GEslave,SIGN(DW346))*POWER(KKslave,SIGN(DY346))+DY346*POWER(MUslave,SIGN(DR346))*POWER(KLslave,SIGN(DS346))*POWER(INslave,SIGN(DT346))*POWER(CHslave,SIGN(DU346))*POWER(FFslave,SIGN(DV346))*POWER(GEslave,SIGN(DW346))*POWER(KOslave,SIGN(DX346))</f>
        <v>2304</v>
      </c>
      <c r="ED346" s="234">
        <f>DU346*DW346*KOslave+DU346*GEslave*DX346+CHslave*DW346*DX346</f>
        <v>3456</v>
      </c>
      <c r="EE346" s="224">
        <f>IFERROR(DR346^SIGN(DR346),1)*IFERROR(DS346^SIGN(DS346),1)*IFERROR(DT346^SIGN(DT346),1)*IFERROR(DU346^SIGN(DU346),1)*IFERROR(DV346^SIGN(DV346),1)*IFERROR(DW346^SIGN(DW346),1)*IFERROR(DX346^SIGN(DX346),1)*IFERROR(DY346^SIGN(DY346),1)</f>
        <v>1728</v>
      </c>
      <c r="EF346" s="224">
        <f t="shared" si="3791"/>
        <v>7488</v>
      </c>
      <c r="EG346" s="222">
        <f>DZ346*EC346/EF346</f>
        <v>3.6923076923076925</v>
      </c>
      <c r="EH346" s="223">
        <f>EA346*ED346/EF346</f>
        <v>11.076923076923077</v>
      </c>
      <c r="EI346" s="243">
        <f>EB346*EE346/EF346</f>
        <v>8.3076923076923084</v>
      </c>
      <c r="EJ346" s="243">
        <f>SUM(EG346:EI346)</f>
        <v>23.07692307692308</v>
      </c>
      <c r="EK346" s="252">
        <f t="shared" si="2931"/>
        <v>0</v>
      </c>
      <c r="EL346" s="324">
        <f>EJ346-EK346</f>
        <v>23.07692307692308</v>
      </c>
      <c r="EM346" s="304">
        <f>IF(EJ346&lt;=0,1,0)+IF(EJ346&gt;0,EJ346+1,0)*1+IF(EJ346&gt;12,EJ346-12,0)*1+IF(EJ346&gt;13,EJ346-13,0)*1+IF(EJ346&gt;14,EJ346-14,0)*1+IF(EJ346&gt;15,EJ346-15,0)*1+IF(EJ346&gt;16,EJ346-16,0)*1+IF(EJ346&gt;17,EJ346-17,0)*1+IF(EJ346&gt;18,EJ346-18,0)*1+IF(EJ346&gt;19,EJ346-19,0)*1+IF(EJ346&gt;20,EJ346-20,0)*1</f>
        <v>87.769230769230802</v>
      </c>
      <c r="EN346" s="335">
        <f>IF(EK346&lt;=0,1,0)+IF(EK346&gt;0,EK346+1,0)*1+IF(EK346&gt;12,EK346-12,0)*1+IF(EK346&gt;13,EK346-13,0)*1+IF(EK346&gt;14,EK346-14,0)*1+IF(EK346&gt;15,EK346-15,0)*1+IF(EK346&gt;16,EK346-16,0)*1+IF(EK346&gt;17,EK346-17,0)*1+IF(EK346&gt;18,EK346-18,0)*1+IF(EK346&gt;19,EK346-19,0)*1+IF(EK346&gt;20,EK346-20,0)*1</f>
        <v>1</v>
      </c>
      <c r="EO346" s="243">
        <f>IF((EM346-EN346)&gt;0,EM346-EN346,0)</f>
        <v>86.769230769230802</v>
      </c>
      <c r="EP346" s="218">
        <f>IF((EN346-EM346)&gt;0,EN346-EM346,0)</f>
        <v>0</v>
      </c>
      <c r="EQ346" s="248"/>
      <c r="ER346" s="303" t="s">
        <v>498</v>
      </c>
      <c r="ES346" s="304" t="s">
        <v>471</v>
      </c>
      <c r="ET346" s="304" t="s">
        <v>133</v>
      </c>
      <c r="EU346" s="210"/>
      <c r="EV346" s="211"/>
      <c r="EW346" s="211"/>
      <c r="EX346" s="113">
        <f>Konvention_1slave-CHslave</f>
        <v>12</v>
      </c>
      <c r="EY346" s="211"/>
      <c r="EZ346" s="113">
        <f>Konvention_1slave-GEslave</f>
        <v>12</v>
      </c>
      <c r="FA346" s="117">
        <f>Konvention_1slave-KOslave</f>
        <v>12</v>
      </c>
      <c r="FB346" s="212"/>
      <c r="FC346" s="223">
        <f>(EU346+EV346+EW346+EX346+EY346+EZ346+FA346+FB346)/3</f>
        <v>12</v>
      </c>
      <c r="FD346" s="223">
        <f>2*FC346</f>
        <v>24</v>
      </c>
      <c r="FE346" s="224">
        <f>3*FC346</f>
        <v>36</v>
      </c>
      <c r="FF346" s="237">
        <f>EU346*POWER(KLslave,SIGN(EV346))*POWER(INslave,SIGN(EW346))*POWER(CHslave,SIGN(EX346))*POWER(FFslave,SIGN(EY346))*POWER(GEslave,SIGN(EZ346))*POWER(KOslave,SIGN(FA346))*POWER(KKslave,SIGN(FB346))+EV346*POWER(MUslave,SIGN(EU346))*POWER(INslave,SIGN(EW346))*POWER(CHslave,SIGN(EX346))*POWER(FFslave,SIGN(EY346))*POWER(GEslave,SIGN(EZ346))*POWER(KOslave,SIGN(FA346))*POWER(KKslave,SIGN(FB346))+EW346*POWER(MUslave,SIGN(EU346))*POWER(KLslave,SIGN(EV346))*POWER(CHslave,SIGN(EX346))*POWER(FFslave,SIGN(EY346))*POWER(GEslave,SIGN(EZ346))*POWER(KOslave,SIGN(FA346))*POWER(KKslave,SIGN(FB346))+EX346*POWER(MUslave,SIGN(EU346))*POWER(KLslave,SIGN(EV346))*POWER(INslave,SIGN(EW346))*POWER(FFslave,SIGN(EY346))*POWER(GEslave,SIGN(EZ346))*POWER(KOslave,SIGN(FA346))*POWER(KKslave,SIGN(FB346))+EY346*POWER(MUslave,SIGN(EU346))*POWER(KLslave,SIGN(EV346))*POWER(INslave,SIGN(EW346))*POWER(CHslave,SIGN(EX346))*POWER(GEslave,SIGN(EZ346))*POWER(KOslave,SIGN(FA346))*POWER(KKslave,SIGN(FB346))+EZ346*POWER(MUslave,SIGN(EU346))*POWER(KLslave,SIGN(EV346))*POWER(INslave,SIGN(EW346))*POWER(CHslave,SIGN(EX346))*POWER(FFslave,SIGN(EY346))*POWER(KOslave,SIGN(FA346))*POWER(KKslave,SIGN(FB346))+FA346*POWER(MUslave,SIGN(EU346))*POWER(KLslave,SIGN(EV346))*POWER(INslave,SIGN(EW346))*POWER(CHslave,SIGN(EX346))*POWER(FFslave,SIGN(EY346))*POWER(GEslave,SIGN(EZ346))*POWER(KKslave,SIGN(FB346))+FB346*POWER(MUslave,SIGN(EU346))*POWER(KLslave,SIGN(EV346))*POWER(INslave,SIGN(EW346))*POWER(CHslave,SIGN(EX346))*POWER(FFslave,SIGN(EY346))*POWER(GEslave,SIGN(EZ346))*POWER(KOslave,SIGN(FA346))</f>
        <v>2304</v>
      </c>
      <c r="FG346" s="234">
        <f>EX346*EZ346*KOslave+EX346*GEslave*FA346+CHslave*EZ346*FA346</f>
        <v>3456</v>
      </c>
      <c r="FH346" s="224">
        <f>IFERROR(EU346^SIGN(EU346),1)*IFERROR(EV346^SIGN(EV346),1)*IFERROR(EW346^SIGN(EW346),1)*IFERROR(EX346^SIGN(EX346),1)*IFERROR(EY346^SIGN(EY346),1)*IFERROR(EZ346^SIGN(EZ346),1)*IFERROR(FA346^SIGN(FA346),1)*IFERROR(FB346^SIGN(FB346),1)</f>
        <v>1728</v>
      </c>
      <c r="FI346" s="224">
        <f t="shared" si="3792"/>
        <v>7488</v>
      </c>
      <c r="FJ346" s="222">
        <f>FC346*FF346/FI346</f>
        <v>3.6923076923076925</v>
      </c>
      <c r="FK346" s="223">
        <f>FD346*FG346/FI346</f>
        <v>11.076923076923077</v>
      </c>
      <c r="FL346" s="243">
        <f>FE346*FH346/FI346</f>
        <v>8.3076923076923084</v>
      </c>
      <c r="FM346" s="243">
        <f>SUM(FJ346:FL346)</f>
        <v>23.07692307692308</v>
      </c>
      <c r="FN346" s="252">
        <f t="shared" si="2934"/>
        <v>0</v>
      </c>
      <c r="FO346" s="324">
        <f>FM346-FN346</f>
        <v>23.07692307692308</v>
      </c>
      <c r="FP346" s="304">
        <f>IF(FM346&lt;=0,1,0)+IF(FM346&gt;0,FM346+1,0)*1+IF(FM346&gt;12,FM346-12,0)*1+IF(FM346&gt;13,FM346-13,0)*1+IF(FM346&gt;14,FM346-14,0)*1+IF(FM346&gt;15,FM346-15,0)*1+IF(FM346&gt;16,FM346-16,0)*1+IF(FM346&gt;17,FM346-17,0)*1+IF(FM346&gt;18,FM346-18,0)*1+IF(FM346&gt;19,FM346-19,0)*1+IF(FM346&gt;20,FM346-20,0)*1</f>
        <v>87.769230769230802</v>
      </c>
      <c r="FQ346" s="335">
        <f>IF(FN346&lt;=0,1,0)+IF(FN346&gt;0,FN346+1,0)*1+IF(FN346&gt;12,FN346-12,0)*1+IF(FN346&gt;13,FN346-13,0)*1+IF(FN346&gt;14,FN346-14,0)*1+IF(FN346&gt;15,FN346-15,0)*1+IF(FN346&gt;16,FN346-16,0)*1+IF(FN346&gt;17,FN346-17,0)*1+IF(FN346&gt;18,FN346-18,0)*1+IF(FN346&gt;19,FN346-19,0)*1+IF(FN346&gt;20,FN346-20,0)*1</f>
        <v>1</v>
      </c>
      <c r="FR346" s="243">
        <f>IF((FP346-FQ346)&gt;0,FP346-FQ346,0)</f>
        <v>86.769230769230802</v>
      </c>
      <c r="FS346" s="218">
        <f>IF((FQ346-FP346)&gt;0,FQ346-FP346,0)</f>
        <v>0</v>
      </c>
      <c r="FT346" s="248"/>
      <c r="FU346" s="303" t="s">
        <v>498</v>
      </c>
      <c r="FV346" s="304" t="s">
        <v>471</v>
      </c>
      <c r="FW346" s="304" t="s">
        <v>133</v>
      </c>
      <c r="FX346" s="210"/>
      <c r="FY346" s="211"/>
      <c r="FZ346" s="211"/>
      <c r="GA346" s="113">
        <f>Konvention_1slave-CHslave</f>
        <v>12</v>
      </c>
      <c r="GB346" s="211"/>
      <c r="GC346" s="113">
        <f>Konvention_1slave-GEslave</f>
        <v>12</v>
      </c>
      <c r="GD346" s="117">
        <f>Konvention_1slave-KOslave</f>
        <v>12</v>
      </c>
      <c r="GE346" s="212"/>
      <c r="GF346" s="223">
        <f>(FX346+FY346+FZ346+GA346+GB346+GC346+GD346+GE346)/3</f>
        <v>12</v>
      </c>
      <c r="GG346" s="223">
        <f>2*GF346</f>
        <v>24</v>
      </c>
      <c r="GH346" s="224">
        <f>3*GF346</f>
        <v>36</v>
      </c>
      <c r="GI346" s="237">
        <f>FX346*POWER(KLslave,SIGN(FY346))*POWER(INslave,SIGN(FZ346))*POWER(CHslave,SIGN(GA346))*POWER(FFslave,SIGN(GB346))*POWER(GEslave,SIGN(GC346))*POWER(KOslave,SIGN(GD346))*POWER(KKslave,SIGN(GE346))+FY346*POWER(MUslave,SIGN(FX346))*POWER(INslave,SIGN(FZ346))*POWER(CHslave,SIGN(GA346))*POWER(FFslave,SIGN(GB346))*POWER(GEslave,SIGN(GC346))*POWER(KOslave,SIGN(GD346))*POWER(KKslave,SIGN(GE346))+FZ346*POWER(MUslave,SIGN(FX346))*POWER(KLslave,SIGN(FY346))*POWER(CHslave,SIGN(GA346))*POWER(FFslave,SIGN(GB346))*POWER(GEslave,SIGN(GC346))*POWER(KOslave,SIGN(GD346))*POWER(KKslave,SIGN(GE346))+GA346*POWER(MUslave,SIGN(FX346))*POWER(KLslave,SIGN(FY346))*POWER(INslave,SIGN(FZ346))*POWER(FFslave,SIGN(GB346))*POWER(GEslave,SIGN(GC346))*POWER(KOslave,SIGN(GD346))*POWER(KKslave,SIGN(GE346))+GB346*POWER(MUslave,SIGN(FX346))*POWER(KLslave,SIGN(FY346))*POWER(INslave,SIGN(FZ346))*POWER(CHslave,SIGN(GA346))*POWER(GEslave,SIGN(GC346))*POWER(KOslave,SIGN(GD346))*POWER(KKslave,SIGN(GE346))+GC346*POWER(MUslave,SIGN(FX346))*POWER(KLslave,SIGN(FY346))*POWER(INslave,SIGN(FZ346))*POWER(CHslave,SIGN(GA346))*POWER(FFslave,SIGN(GB346))*POWER(KOslave,SIGN(GD346))*POWER(KKslave,SIGN(GE346))+GD346*POWER(MUslave,SIGN(FX346))*POWER(KLslave,SIGN(FY346))*POWER(INslave,SIGN(FZ346))*POWER(CHslave,SIGN(GA346))*POWER(FFslave,SIGN(GB346))*POWER(GEslave,SIGN(GC346))*POWER(KKslave,SIGN(GE346))+GE346*POWER(MUslave,SIGN(FX346))*POWER(KLslave,SIGN(FY346))*POWER(INslave,SIGN(FZ346))*POWER(CHslave,SIGN(GA346))*POWER(FFslave,SIGN(GB346))*POWER(GEslave,SIGN(GC346))*POWER(KOslave,SIGN(GD346))</f>
        <v>2304</v>
      </c>
      <c r="GJ346" s="234">
        <f>GA346*GC346*KOslave+GA346*GEslave*GD346+CHslave*GC346*GD346</f>
        <v>3456</v>
      </c>
      <c r="GK346" s="224">
        <f>IFERROR(FX346^SIGN(FX346),1)*IFERROR(FY346^SIGN(FY346),1)*IFERROR(FZ346^SIGN(FZ346),1)*IFERROR(GA346^SIGN(GA346),1)*IFERROR(GB346^SIGN(GB346),1)*IFERROR(GC346^SIGN(GC346),1)*IFERROR(GD346^SIGN(GD346),1)*IFERROR(GE346^SIGN(GE346),1)</f>
        <v>1728</v>
      </c>
      <c r="GL346" s="224">
        <f t="shared" si="3793"/>
        <v>7488</v>
      </c>
      <c r="GM346" s="222">
        <f>GF346*GI346/GL346</f>
        <v>3.6923076923076925</v>
      </c>
      <c r="GN346" s="223">
        <f>GG346*GJ346/GL346</f>
        <v>11.076923076923077</v>
      </c>
      <c r="GO346" s="243">
        <f>GH346*GK346/GL346</f>
        <v>8.3076923076923084</v>
      </c>
      <c r="GP346" s="243">
        <f>SUM(GM346:GO346)</f>
        <v>23.07692307692308</v>
      </c>
      <c r="GQ346" s="252">
        <f t="shared" si="2937"/>
        <v>0</v>
      </c>
      <c r="GR346" s="324">
        <f>GP346-GQ346</f>
        <v>23.07692307692308</v>
      </c>
      <c r="GS346" s="304">
        <f>IF(GP346&lt;=0,1,0)+IF(GP346&gt;0,GP346+1,0)*1+IF(GP346&gt;12,GP346-12,0)*1+IF(GP346&gt;13,GP346-13,0)*1+IF(GP346&gt;14,GP346-14,0)*1+IF(GP346&gt;15,GP346-15,0)*1+IF(GP346&gt;16,GP346-16,0)*1+IF(GP346&gt;17,GP346-17,0)*1+IF(GP346&gt;18,GP346-18,0)*1+IF(GP346&gt;19,GP346-19,0)*1+IF(GP346&gt;20,GP346-20,0)*1</f>
        <v>87.769230769230802</v>
      </c>
      <c r="GT346" s="335">
        <f>IF(GQ346&lt;=0,1,0)+IF(GQ346&gt;0,GQ346+1,0)*1+IF(GQ346&gt;12,GQ346-12,0)*1+IF(GQ346&gt;13,GQ346-13,0)*1+IF(GQ346&gt;14,GQ346-14,0)*1+IF(GQ346&gt;15,GQ346-15,0)*1+IF(GQ346&gt;16,GQ346-16,0)*1+IF(GQ346&gt;17,GQ346-17,0)*1+IF(GQ346&gt;18,GQ346-18,0)*1+IF(GQ346&gt;19,GQ346-19,0)*1+IF(GQ346&gt;20,GQ346-20,0)*1</f>
        <v>1</v>
      </c>
      <c r="GU346" s="243">
        <f>IF((GS346-GT346)&gt;0,GS346-GT346,0)</f>
        <v>86.769230769230802</v>
      </c>
      <c r="GV346" s="218">
        <f>IF((GT346-GS346)&gt;0,GT346-GS346,0)</f>
        <v>0</v>
      </c>
      <c r="GW346" s="248"/>
      <c r="GX346" s="303" t="s">
        <v>498</v>
      </c>
      <c r="GY346" s="304" t="s">
        <v>471</v>
      </c>
      <c r="GZ346" s="304" t="s">
        <v>133</v>
      </c>
      <c r="HA346" s="210"/>
      <c r="HB346" s="211"/>
      <c r="HC346" s="211"/>
      <c r="HD346" s="113">
        <f>Konvention_1slave-CHslave</f>
        <v>12</v>
      </c>
      <c r="HE346" s="211"/>
      <c r="HF346" s="113">
        <f>Konvention_1slave-GEslave</f>
        <v>12</v>
      </c>
      <c r="HG346" s="117">
        <f>Konvention_1slave-KOslave</f>
        <v>12</v>
      </c>
      <c r="HH346" s="212"/>
      <c r="HI346" s="223">
        <f>(HA346+HB346+HC346+HD346+HE346+HF346+HG346+HH346)/3</f>
        <v>12</v>
      </c>
      <c r="HJ346" s="223">
        <f>2*HI346</f>
        <v>24</v>
      </c>
      <c r="HK346" s="224">
        <f>3*HI346</f>
        <v>36</v>
      </c>
      <c r="HL346" s="237">
        <f>HA346*POWER(KLslave,SIGN(HB346))*POWER(INslave,SIGN(HC346))*POWER(CHslave,SIGN(HD346))*POWER(FFslave,SIGN(HE346))*POWER(GEslave,SIGN(HF346))*POWER(KOslave,SIGN(HG346))*POWER(KKslave,SIGN(HH346))+HB346*POWER(MUslave,SIGN(HA346))*POWER(INslave,SIGN(HC346))*POWER(CHslave,SIGN(HD346))*POWER(FFslave,SIGN(HE346))*POWER(GEslave,SIGN(HF346))*POWER(KOslave,SIGN(HG346))*POWER(KKslave,SIGN(HH346))+HC346*POWER(MUslave,SIGN(HA346))*POWER(KLslave,SIGN(HB346))*POWER(CHslave,SIGN(HD346))*POWER(FFslave,SIGN(HE346))*POWER(GEslave,SIGN(HF346))*POWER(KOslave,SIGN(HG346))*POWER(KKslave,SIGN(HH346))+HD346*POWER(MUslave,SIGN(HA346))*POWER(KLslave,SIGN(HB346))*POWER(INslave,SIGN(HC346))*POWER(FFslave,SIGN(HE346))*POWER(GEslave,SIGN(HF346))*POWER(KOslave,SIGN(HG346))*POWER(KKslave,SIGN(HH346))+HE346*POWER(MUslave,SIGN(HA346))*POWER(KLslave,SIGN(HB346))*POWER(INslave,SIGN(HC346))*POWER(CHslave,SIGN(HD346))*POWER(GEslave,SIGN(HF346))*POWER(KOslave,SIGN(HG346))*POWER(KKslave,SIGN(HH346))+HF346*POWER(MUslave,SIGN(HA346))*POWER(KLslave,SIGN(HB346))*POWER(INslave,SIGN(HC346))*POWER(CHslave,SIGN(HD346))*POWER(FFslave,SIGN(HE346))*POWER(KOslave,SIGN(HG346))*POWER(KKslave,SIGN(HH346))+HG346*POWER(MUslave,SIGN(HA346))*POWER(KLslave,SIGN(HB346))*POWER(INslave,SIGN(HC346))*POWER(CHslave,SIGN(HD346))*POWER(FFslave,SIGN(HE346))*POWER(GEslave,SIGN(HF346))*POWER(KKslave,SIGN(HH346))+HH346*POWER(MUslave,SIGN(HA346))*POWER(KLslave,SIGN(HB346))*POWER(INslave,SIGN(HC346))*POWER(CHslave,SIGN(HD346))*POWER(FFslave,SIGN(HE346))*POWER(GEslave,SIGN(HF346))*POWER(KOslave,SIGN(HG346))</f>
        <v>2304</v>
      </c>
      <c r="HM346" s="234">
        <f>HD346*HF346*KOslave+HD346*GEslave*HG346+CHslave*HF346*HG346</f>
        <v>3456</v>
      </c>
      <c r="HN346" s="224">
        <f>IFERROR(HA346^SIGN(HA346),1)*IFERROR(HB346^SIGN(HB346),1)*IFERROR(HC346^SIGN(HC346),1)*IFERROR(HD346^SIGN(HD346),1)*IFERROR(HE346^SIGN(HE346),1)*IFERROR(HF346^SIGN(HF346),1)*IFERROR(HG346^SIGN(HG346),1)*IFERROR(HH346^SIGN(HH346),1)</f>
        <v>1728</v>
      </c>
      <c r="HO346" s="224">
        <f t="shared" si="3794"/>
        <v>7488</v>
      </c>
      <c r="HP346" s="222">
        <f>HI346*HL346/HO346</f>
        <v>3.6923076923076925</v>
      </c>
      <c r="HQ346" s="223">
        <f>HJ346*HM346/HO346</f>
        <v>11.076923076923077</v>
      </c>
      <c r="HR346" s="243">
        <f>HK346*HN346/HO346</f>
        <v>8.3076923076923084</v>
      </c>
      <c r="HS346" s="243">
        <f>SUM(HP346:HR346)</f>
        <v>23.07692307692308</v>
      </c>
      <c r="HT346" s="252">
        <f t="shared" si="2940"/>
        <v>0</v>
      </c>
      <c r="HU346" s="324">
        <f>HS346-HT346</f>
        <v>23.07692307692308</v>
      </c>
      <c r="HV346" s="304">
        <f>IF(HS346&lt;=0,1,0)+IF(HS346&gt;0,HS346+1,0)*1+IF(HS346&gt;12,HS346-12,0)*1+IF(HS346&gt;13,HS346-13,0)*1+IF(HS346&gt;14,HS346-14,0)*1+IF(HS346&gt;15,HS346-15,0)*1+IF(HS346&gt;16,HS346-16,0)*1+IF(HS346&gt;17,HS346-17,0)*1+IF(HS346&gt;18,HS346-18,0)*1+IF(HS346&gt;19,HS346-19,0)*1+IF(HS346&gt;20,HS346-20,0)*1</f>
        <v>87.769230769230802</v>
      </c>
      <c r="HW346" s="335">
        <f>IF(HT346&lt;=0,1,0)+IF(HT346&gt;0,HT346+1,0)*1+IF(HT346&gt;12,HT346-12,0)*1+IF(HT346&gt;13,HT346-13,0)*1+IF(HT346&gt;14,HT346-14,0)*1+IF(HT346&gt;15,HT346-15,0)*1+IF(HT346&gt;16,HT346-16,0)*1+IF(HT346&gt;17,HT346-17,0)*1+IF(HT346&gt;18,HT346-18,0)*1+IF(HT346&gt;19,HT346-19,0)*1+IF(HT346&gt;20,HT346-20,0)*1</f>
        <v>1</v>
      </c>
      <c r="HX346" s="243">
        <f>IF((HV346-HW346)&gt;0,HV346-HW346,0)</f>
        <v>86.769230769230802</v>
      </c>
      <c r="HY346" s="218">
        <f>IF((HW346-HV346)&gt;0,HW346-HV346,0)</f>
        <v>0</v>
      </c>
      <c r="HZ346" s="248"/>
      <c r="IA346" s="303" t="s">
        <v>498</v>
      </c>
      <c r="IB346" s="304" t="s">
        <v>471</v>
      </c>
      <c r="IC346" s="304" t="s">
        <v>133</v>
      </c>
      <c r="ID346" s="210"/>
      <c r="IE346" s="211"/>
      <c r="IF346" s="211"/>
      <c r="IG346" s="113">
        <f>Konvention_1slave-CHslave</f>
        <v>12</v>
      </c>
      <c r="IH346" s="211"/>
      <c r="II346" s="113">
        <f>Konvention_1slave-GEslave</f>
        <v>12</v>
      </c>
      <c r="IJ346" s="117">
        <f>Konvention_1slave-KOslave</f>
        <v>12</v>
      </c>
      <c r="IK346" s="212"/>
      <c r="IL346" s="223">
        <f>(ID346+IE346+IF346+IG346+IH346+II346+IJ346+IK346)/3</f>
        <v>12</v>
      </c>
      <c r="IM346" s="223">
        <f>2*IL346</f>
        <v>24</v>
      </c>
      <c r="IN346" s="224">
        <f>3*IL346</f>
        <v>36</v>
      </c>
      <c r="IO346" s="237">
        <f>ID346*POWER(KLslave,SIGN(IE346))*POWER(INslave,SIGN(IF346))*POWER(CHslave,SIGN(IG346))*POWER(FFslave,SIGN(IH346))*POWER(GEslave,SIGN(II346))*POWER(KOslave,SIGN(IJ346))*POWER(KKslave,SIGN(IK346))+IE346*POWER(MUslave,SIGN(ID346))*POWER(INslave,SIGN(IF346))*POWER(CHslave,SIGN(IG346))*POWER(FFslave,SIGN(IH346))*POWER(GEslave,SIGN(II346))*POWER(KOslave,SIGN(IJ346))*POWER(KKslave,SIGN(IK346))+IF346*POWER(MUslave,SIGN(ID346))*POWER(KLslave,SIGN(IE346))*POWER(CHslave,SIGN(IG346))*POWER(FFslave,SIGN(IH346))*POWER(GEslave,SIGN(II346))*POWER(KOslave,SIGN(IJ346))*POWER(KKslave,SIGN(IK346))+IG346*POWER(MUslave,SIGN(ID346))*POWER(KLslave,SIGN(IE346))*POWER(INslave,SIGN(IF346))*POWER(FFslave,SIGN(IH346))*POWER(GEslave,SIGN(II346))*POWER(KOslave,SIGN(IJ346))*POWER(KKslave,SIGN(IK346))+IH346*POWER(MUslave,SIGN(ID346))*POWER(KLslave,SIGN(IE346))*POWER(INslave,SIGN(IF346))*POWER(CHslave,SIGN(IG346))*POWER(GEslave,SIGN(II346))*POWER(KOslave,SIGN(IJ346))*POWER(KKslave,SIGN(IK346))+II346*POWER(MUslave,SIGN(ID346))*POWER(KLslave,SIGN(IE346))*POWER(INslave,SIGN(IF346))*POWER(CHslave,SIGN(IG346))*POWER(FFslave,SIGN(IH346))*POWER(KOslave,SIGN(IJ346))*POWER(KKslave,SIGN(IK346))+IJ346*POWER(MUslave,SIGN(ID346))*POWER(KLslave,SIGN(IE346))*POWER(INslave,SIGN(IF346))*POWER(CHslave,SIGN(IG346))*POWER(FFslave,SIGN(IH346))*POWER(GEslave,SIGN(II346))*POWER(KKslave,SIGN(IK346))+IK346*POWER(MUslave,SIGN(ID346))*POWER(KLslave,SIGN(IE346))*POWER(INslave,SIGN(IF346))*POWER(CHslave,SIGN(IG346))*POWER(FFslave,SIGN(IH346))*POWER(GEslave,SIGN(II346))*POWER(KOslave,SIGN(IJ346))</f>
        <v>2304</v>
      </c>
      <c r="IP346" s="234">
        <f>IG346*II346*KOslave+IG346*GEslave*IJ346+CHslave*II346*IJ346</f>
        <v>3456</v>
      </c>
      <c r="IQ346" s="224">
        <f>IFERROR(ID346^SIGN(ID346),1)*IFERROR(IE346^SIGN(IE346),1)*IFERROR(IF346^SIGN(IF346),1)*IFERROR(IG346^SIGN(IG346),1)*IFERROR(IH346^SIGN(IH346),1)*IFERROR(II346^SIGN(II346),1)*IFERROR(IJ346^SIGN(IJ346),1)*IFERROR(IK346^SIGN(IK346),1)</f>
        <v>1728</v>
      </c>
      <c r="IR346" s="224">
        <f t="shared" si="3795"/>
        <v>7488</v>
      </c>
      <c r="IS346" s="222">
        <f>IL346*IO346/IR346</f>
        <v>3.6923076923076925</v>
      </c>
      <c r="IT346" s="223">
        <f>IM346*IP346/IR346</f>
        <v>11.076923076923077</v>
      </c>
      <c r="IU346" s="243">
        <f>IN346*IQ346/IR346</f>
        <v>8.3076923076923084</v>
      </c>
      <c r="IV346" s="243">
        <f>SUM(IS346:IU346)</f>
        <v>23.07692307692308</v>
      </c>
      <c r="IW346" s="252">
        <f t="shared" si="2943"/>
        <v>0</v>
      </c>
      <c r="IX346" s="324">
        <f>IV346-IW346</f>
        <v>23.07692307692308</v>
      </c>
      <c r="IY346" s="304">
        <f>IF(IV346&lt;=0,1,0)+IF(IV346&gt;0,IV346+1,0)*1+IF(IV346&gt;12,IV346-12,0)*1+IF(IV346&gt;13,IV346-13,0)*1+IF(IV346&gt;14,IV346-14,0)*1+IF(IV346&gt;15,IV346-15,0)*1+IF(IV346&gt;16,IV346-16,0)*1+IF(IV346&gt;17,IV346-17,0)*1+IF(IV346&gt;18,IV346-18,0)*1+IF(IV346&gt;19,IV346-19,0)*1+IF(IV346&gt;20,IV346-20,0)*1</f>
        <v>87.769230769230802</v>
      </c>
      <c r="IZ346" s="335">
        <f>IF(IW346&lt;=0,1,0)+IF(IW346&gt;0,IW346+1,0)*1+IF(IW346&gt;12,IW346-12,0)*1+IF(IW346&gt;13,IW346-13,0)*1+IF(IW346&gt;14,IW346-14,0)*1+IF(IW346&gt;15,IW346-15,0)*1+IF(IW346&gt;16,IW346-16,0)*1+IF(IW346&gt;17,IW346-17,0)*1+IF(IW346&gt;18,IW346-18,0)*1+IF(IW346&gt;19,IW346-19,0)*1+IF(IW346&gt;20,IW346-20,0)*1</f>
        <v>1</v>
      </c>
      <c r="JA346" s="243">
        <f>IF((IY346-IZ346)&gt;0,IY346-IZ346,0)</f>
        <v>86.769230769230802</v>
      </c>
      <c r="JB346" s="218">
        <f>IF((IZ346-IY346)&gt;0,IZ346-IY346,0)</f>
        <v>0</v>
      </c>
    </row>
    <row r="347" spans="1:265" s="205" customFormat="1" ht="15" hidden="1" customHeight="1" outlineLevel="2">
      <c r="A347" s="185"/>
      <c r="B347" s="217">
        <v>25</v>
      </c>
      <c r="C347" s="303" t="e">
        <f>VLOOKUP(AF347,Attribute!C:T,1,FALSE)</f>
        <v>#N/A</v>
      </c>
      <c r="D347" s="304" t="s">
        <v>503</v>
      </c>
      <c r="E347" s="304" t="s">
        <v>132</v>
      </c>
      <c r="F347" s="114">
        <f>Konvention_1master-MUmaster</f>
        <v>12</v>
      </c>
      <c r="G347" s="113">
        <f>Konvention_1master-KLmaster</f>
        <v>12</v>
      </c>
      <c r="H347" s="211"/>
      <c r="I347" s="211"/>
      <c r="J347" s="211"/>
      <c r="K347" s="113">
        <f>Konvention_1master-GEmaster</f>
        <v>12</v>
      </c>
      <c r="L347" s="211"/>
      <c r="M347" s="212"/>
      <c r="N347" s="223">
        <f t="shared" ref="N347:N348" si="3796">(F347+G347+H347+I347+J347+K347+L347+M347)/3</f>
        <v>12</v>
      </c>
      <c r="O347" s="223">
        <f t="shared" ref="O347:O348" si="3797">2*N347</f>
        <v>24</v>
      </c>
      <c r="P347" s="224">
        <f t="shared" ref="P347:P348" si="3798">3*N347</f>
        <v>36</v>
      </c>
      <c r="Q347" s="237">
        <f>F347*POWER(KLmaster,SIGN(G347))*POWER(INmaster,SIGN(H347))*POWER(CHmaster,SIGN(I347))*POWER(FFmaster,SIGN(J347))*POWER(GEmaster,SIGN(K347))*POWER(KOmaster,SIGN(L347))*POWER(KKmaster,SIGN(M347))+G347*POWER(MUmaster,SIGN(F347))*POWER(INmaster,SIGN(H347))*POWER(CHmaster,SIGN(I347))*POWER(FFmaster,SIGN(J347))*POWER(GEmaster,SIGN(K347))*POWER(KOmaster,SIGN(L347))*POWER(KKmaster,SIGN(M347))+H347*POWER(MUmaster,SIGN(F347))*POWER(KLmaster,SIGN(G347))*POWER(CHmaster,SIGN(I347))*POWER(FFmaster,SIGN(J347))*POWER(GEmaster,SIGN(K347))*POWER(KOmaster,SIGN(L347))*POWER(KKmaster,SIGN(M347))+I347*POWER(MUmaster,SIGN(F347))*POWER(KLmaster,SIGN(G347))*POWER(INmaster,SIGN(H347))*POWER(FFmaster,SIGN(J347))*POWER(GEmaster,SIGN(K347))*POWER(KOmaster,SIGN(L347))*POWER(KKmaster,SIGN(M347))+J347*POWER(MUmaster,SIGN(F347))*POWER(KLmaster,SIGN(G347))*POWER(INmaster,SIGN(H347))*POWER(CHmaster,SIGN(I347))*POWER(GEmaster,SIGN(K347))*POWER(KOmaster,SIGN(L347))*POWER(KKmaster,SIGN(M347))+K347*POWER(MUmaster,SIGN(F347))*POWER(KLmaster,SIGN(G347))*POWER(INmaster,SIGN(H347))*POWER(CHmaster,SIGN(I347))*POWER(FFmaster,SIGN(J347))*POWER(KOmaster,SIGN(L347))*POWER(KKmaster,SIGN(M347))+L347*POWER(MUmaster,SIGN(F347))*POWER(KLmaster,SIGN(G347))*POWER(INmaster,SIGN(H347))*POWER(CHmaster,SIGN(I347))*POWER(FFmaster,SIGN(J347))*POWER(GEmaster,SIGN(K347))*POWER(KKmaster,SIGN(M347))+M347*POWER(MUmaster,SIGN(F347))*POWER(KLmaster,SIGN(G347))*POWER(INmaster,SIGN(H347))*POWER(CHmaster,SIGN(I347))*POWER(FFmaster,SIGN(J347))*POWER(GEmaster,SIGN(K347))*POWER(KOmaster,SIGN(L347))</f>
        <v>2304</v>
      </c>
      <c r="R347" s="254">
        <f>F347*G347*GEmaster+F347*KLmaster*K347+MUmaster*G347*K347</f>
        <v>3456</v>
      </c>
      <c r="S347" s="224">
        <f t="shared" ref="S347" si="3799">IFERROR(F347^SIGN(F347),1)*IFERROR(G347^SIGN(G347),1)*IFERROR(H347^SIGN(H347),1)*IFERROR(I347^SIGN(I347),1)*IFERROR(J347^SIGN(J347),1)*IFERROR(K347^SIGN(K347),1)*IFERROR(L347^SIGN(L347),1)*IFERROR(M347^SIGN(M347),1)</f>
        <v>1728</v>
      </c>
      <c r="T347" s="224">
        <f t="shared" ref="T347:T348" si="3800">SUM(Q347:S347)</f>
        <v>7488</v>
      </c>
      <c r="U347" s="222">
        <f t="shared" ref="U347:U348" si="3801">N347*Q347/T347</f>
        <v>3.6923076923076925</v>
      </c>
      <c r="V347" s="223">
        <f t="shared" ref="V347:V348" si="3802">O347*R347/T347</f>
        <v>11.076923076923077</v>
      </c>
      <c r="W347" s="243">
        <f t="shared" ref="W347:W348" si="3803">P347*S347/T347</f>
        <v>8.3076923076923084</v>
      </c>
      <c r="X347" s="243">
        <f t="shared" ref="X347:X348" si="3804">SUM(U347:W347)</f>
        <v>23.07692307692308</v>
      </c>
      <c r="Y347" s="252">
        <v>0</v>
      </c>
      <c r="Z347" s="324">
        <f t="shared" ref="Z347:Z348" si="3805">X347-Y347</f>
        <v>23.07692307692308</v>
      </c>
      <c r="AA347" s="304">
        <f>IF(X347&lt;=0,2,0)+IF(X347&gt;0,X347+1,0)*2+IF(X347&gt;12,X347-12,0)*2+IF(X347&gt;13,X347-13,0)*2+IF(X347&gt;14,X347-14,0)*2+IF(X347&gt;15,X347-15,0)*2+IF(X347&gt;16,X347-16,0)*2+IF(X347&gt;17,X347-17,0)*2+IF(X347&gt;18,X347-18,0)*2+IF(X347&gt;19,X347-19,0)*2+IF(X347&gt;20,X347-20,0)*2</f>
        <v>175.5384615384616</v>
      </c>
      <c r="AB347" s="335">
        <f>IF(Y347&lt;=0,2,0)+IF(Y347&gt;0,Y347+1,0)*2+IF(Y347&gt;12,Y347-12,0)*2+IF(Y347&gt;13,Y347-13,0)*2+IF(Y347&gt;14,Y347-14,0)*2+IF(Y347&gt;15,Y347-15,0)*2+IF(Y347&gt;16,Y347-16,0)*2+IF(Y347&gt;17,Y347-17,0)*2+IF(Y347&gt;18,Y347-18,0)*2+IF(Y347&gt;19,Y347-19,0)*2+IF(Y347&gt;20,Y347-20,0)*2</f>
        <v>2</v>
      </c>
      <c r="AC347" s="243">
        <f t="shared" ref="AC347:AC348" si="3806">IF((AA347-AB347)&gt;0,AA347-AB347,0)</f>
        <v>173.5384615384616</v>
      </c>
      <c r="AD347" s="218">
        <f t="shared" ref="AD347:AD348" si="3807">IF((AB347-AA347)&gt;0,AB347-AA347,0)</f>
        <v>0</v>
      </c>
      <c r="AE347" s="299"/>
      <c r="AF347" s="303" t="s">
        <v>499</v>
      </c>
      <c r="AG347" s="304" t="s">
        <v>503</v>
      </c>
      <c r="AH347" s="304" t="s">
        <v>132</v>
      </c>
      <c r="AI347" s="114">
        <f>Konvention_1slave-MUslave</f>
        <v>12</v>
      </c>
      <c r="AJ347" s="113">
        <f>Konvention_1slave-KLslave</f>
        <v>12</v>
      </c>
      <c r="AK347" s="211"/>
      <c r="AL347" s="211"/>
      <c r="AM347" s="211"/>
      <c r="AN347" s="113">
        <f>Konvention_1slave-GEslave</f>
        <v>12</v>
      </c>
      <c r="AO347" s="211"/>
      <c r="AP347" s="212"/>
      <c r="AQ347" s="223">
        <f t="shared" ref="AQ347" si="3808">(AI347+AJ347+AK347+AL347+AM347+AN347+AO347+AP347)/3</f>
        <v>12</v>
      </c>
      <c r="AR347" s="223">
        <f t="shared" ref="AR347:AR348" si="3809">2*AQ347</f>
        <v>24</v>
      </c>
      <c r="AS347" s="224">
        <f t="shared" ref="AS347:AS348" si="3810">3*AQ347</f>
        <v>36</v>
      </c>
      <c r="AT347" s="237">
        <f>AI347*POWER(KLslave,SIGN(AJ347))*POWER(INslave,SIGN(AK347))*POWER(CHslave,SIGN(AL347))*POWER(FFslave,SIGN(AM347))*POWER(GEslave,SIGN(AN347))*POWER(KOslave,SIGN(AO347))*POWER(KKslave,SIGN(AP347))+AJ347*POWER(MUslave,SIGN(AI347))*POWER(INslave,SIGN(AK347))*POWER(CHslave,SIGN(AL347))*POWER(FFslave,SIGN(AM347))*POWER(GEslave,SIGN(AN347))*POWER(KOslave,SIGN(AO347))*POWER(KKslave,SIGN(AP347))+AK347*POWER(MUslave,SIGN(AI347))*POWER(KLslave,SIGN(AJ347))*POWER(CHslave,SIGN(AL347))*POWER(FFslave,SIGN(AM347))*POWER(GEslave,SIGN(AN347))*POWER(KOslave,SIGN(AO347))*POWER(KKslave,SIGN(AP347))+AL347*POWER(MUslave,SIGN(AI347))*POWER(KLslave,SIGN(AJ347))*POWER(INslave,SIGN(AK347))*POWER(FFslave,SIGN(AM347))*POWER(GEslave,SIGN(AN347))*POWER(KOslave,SIGN(AO347))*POWER(KKslave,SIGN(AP347))+AM347*POWER(MUslave,SIGN(AI347))*POWER(KLslave,SIGN(AJ347))*POWER(INslave,SIGN(AK347))*POWER(CHslave,SIGN(AL347))*POWER(GEslave,SIGN(AN347))*POWER(KOslave,SIGN(AO347))*POWER(KKslave,SIGN(AP347))+AN347*POWER(MUslave,SIGN(AI347))*POWER(KLslave,SIGN(AJ347))*POWER(INslave,SIGN(AK347))*POWER(CHslave,SIGN(AL347))*POWER(FFslave,SIGN(AM347))*POWER(KOslave,SIGN(AO347))*POWER(KKslave,SIGN(AP347))+AO347*POWER(MUslave,SIGN(AI347))*POWER(KLslave,SIGN(AJ347))*POWER(INslave,SIGN(AK347))*POWER(CHslave,SIGN(AL347))*POWER(FFslave,SIGN(AM347))*POWER(GEslave,SIGN(AN347))*POWER(KKslave,SIGN(AP347))+AP347*POWER(MUslave,SIGN(AI347))*POWER(KLslave,SIGN(AJ347))*POWER(INslave,SIGN(AK347))*POWER(CHslave,SIGN(AL347))*POWER(FFslave,SIGN(AM347))*POWER(GEslave,SIGN(AN347))*POWER(KOslave,SIGN(AO347))</f>
        <v>2304</v>
      </c>
      <c r="AU347" s="254">
        <f>AI347*AJ347*GEslave+AI347*KLslave*AN347+MUslave*AJ347*AN347</f>
        <v>3456</v>
      </c>
      <c r="AV347" s="224">
        <f t="shared" ref="AV347" si="3811">IFERROR(AI347^SIGN(AI347),1)*IFERROR(AJ347^SIGN(AJ347),1)*IFERROR(AK347^SIGN(AK347),1)*IFERROR(AL347^SIGN(AL347),1)*IFERROR(AM347^SIGN(AM347),1)*IFERROR(AN347^SIGN(AN347),1)*IFERROR(AO347^SIGN(AO347),1)*IFERROR(AP347^SIGN(AP347),1)</f>
        <v>1728</v>
      </c>
      <c r="AW347" s="224">
        <f t="shared" ref="AW347:AW348" si="3812">SUM(AT347:AV347)</f>
        <v>7488</v>
      </c>
      <c r="AX347" s="222">
        <f t="shared" ref="AX347:AX348" si="3813">AQ347*AT347/AW347</f>
        <v>3.6923076923076925</v>
      </c>
      <c r="AY347" s="223">
        <f t="shared" ref="AY347:AY348" si="3814">AR347*AU347/AW347</f>
        <v>11.076923076923077</v>
      </c>
      <c r="AZ347" s="243">
        <f t="shared" ref="AZ347:AZ348" si="3815">AS347*AV347/AW347</f>
        <v>8.3076923076923084</v>
      </c>
      <c r="BA347" s="243">
        <f t="shared" ref="BA347:BA348" si="3816">SUM(AX347:AZ347)</f>
        <v>23.07692307692308</v>
      </c>
      <c r="BB347" s="252">
        <f t="shared" si="2034"/>
        <v>0</v>
      </c>
      <c r="BC347" s="324">
        <f t="shared" ref="BC347:BC348" si="3817">BA347-BB347</f>
        <v>23.07692307692308</v>
      </c>
      <c r="BD347" s="304">
        <f>IF(BA347&lt;=0,2,0)+IF(BA347&gt;0,BA347+1,0)*2+IF(BA347&gt;12,BA347-12,0)*2+IF(BA347&gt;13,BA347-13,0)*2+IF(BA347&gt;14,BA347-14,0)*2+IF(BA347&gt;15,BA347-15,0)*2+IF(BA347&gt;16,BA347-16,0)*2+IF(BA347&gt;17,BA347-17,0)*2+IF(BA347&gt;18,BA347-18,0)*2+IF(BA347&gt;19,BA347-19,0)*2+IF(BA347&gt;20,BA347-20,0)*2</f>
        <v>175.5384615384616</v>
      </c>
      <c r="BE347" s="335">
        <f>IF(BB347&lt;=0,2,0)+IF(BB347&gt;0,BB347+1,0)*2+IF(BB347&gt;12,BB347-12,0)*2+IF(BB347&gt;13,BB347-13,0)*2+IF(BB347&gt;14,BB347-14,0)*2+IF(BB347&gt;15,BB347-15,0)*2+IF(BB347&gt;16,BB347-16,0)*2+IF(BB347&gt;17,BB347-17,0)*2+IF(BB347&gt;18,BB347-18,0)*2+IF(BB347&gt;19,BB347-19,0)*2+IF(BB347&gt;20,BB347-20,0)*2</f>
        <v>2</v>
      </c>
      <c r="BF347" s="243">
        <f t="shared" ref="BF347:BF348" si="3818">IF((BD347-BE347)&gt;0,BD347-BE347,0)</f>
        <v>173.5384615384616</v>
      </c>
      <c r="BG347" s="218">
        <f t="shared" ref="BG347:BG348" si="3819">IF((BE347-BD347)&gt;0,BE347-BD347,0)</f>
        <v>0</v>
      </c>
      <c r="BH347" s="248"/>
      <c r="BI347" s="303" t="s">
        <v>499</v>
      </c>
      <c r="BJ347" s="304" t="s">
        <v>503</v>
      </c>
      <c r="BK347" s="304" t="s">
        <v>132</v>
      </c>
      <c r="BL347" s="114">
        <f>Konvention_1slave-MUslave</f>
        <v>12</v>
      </c>
      <c r="BM347" s="113">
        <f>Konvention_1slave-KLslave</f>
        <v>12</v>
      </c>
      <c r="BN347" s="211"/>
      <c r="BO347" s="211"/>
      <c r="BP347" s="211"/>
      <c r="BQ347" s="113">
        <f>Konvention_1slave-GEslave</f>
        <v>12</v>
      </c>
      <c r="BR347" s="211"/>
      <c r="BS347" s="212"/>
      <c r="BT347" s="223">
        <f t="shared" ref="BT347" si="3820">(BL347+BM347+BN347+BO347+BP347+BQ347+BR347+BS347)/3</f>
        <v>12</v>
      </c>
      <c r="BU347" s="223">
        <f t="shared" ref="BU347:BU348" si="3821">2*BT347</f>
        <v>24</v>
      </c>
      <c r="BV347" s="224">
        <f t="shared" ref="BV347:BV348" si="3822">3*BT347</f>
        <v>36</v>
      </c>
      <c r="BW347" s="237">
        <f>BL347*POWER(KLslave,SIGN(BM347))*POWER(INslave,SIGN(BN347))*POWER(CHslave,SIGN(BO347))*POWER(FFslave,SIGN(BP347))*POWER(GEslave,SIGN(BQ347))*POWER(KOslave,SIGN(BR347))*POWER(KKslave,SIGN(BS347))+BM347*POWER(MUslave,SIGN(BL347))*POWER(INslave,SIGN(BN347))*POWER(CHslave,SIGN(BO347))*POWER(FFslave,SIGN(BP347))*POWER(GEslave,SIGN(BQ347))*POWER(KOslave,SIGN(BR347))*POWER(KKslave,SIGN(BS347))+BN347*POWER(MUslave,SIGN(BL347))*POWER(KLslave,SIGN(BM347))*POWER(CHslave,SIGN(BO347))*POWER(FFslave,SIGN(BP347))*POWER(GEslave,SIGN(BQ347))*POWER(KOslave,SIGN(BR347))*POWER(KKslave,SIGN(BS347))+BO347*POWER(MUslave,SIGN(BL347))*POWER(KLslave,SIGN(BM347))*POWER(INslave,SIGN(BN347))*POWER(FFslave,SIGN(BP347))*POWER(GEslave,SIGN(BQ347))*POWER(KOslave,SIGN(BR347))*POWER(KKslave,SIGN(BS347))+BP347*POWER(MUslave,SIGN(BL347))*POWER(KLslave,SIGN(BM347))*POWER(INslave,SIGN(BN347))*POWER(CHslave,SIGN(BO347))*POWER(GEslave,SIGN(BQ347))*POWER(KOslave,SIGN(BR347))*POWER(KKslave,SIGN(BS347))+BQ347*POWER(MUslave,SIGN(BL347))*POWER(KLslave,SIGN(BM347))*POWER(INslave,SIGN(BN347))*POWER(CHslave,SIGN(BO347))*POWER(FFslave,SIGN(BP347))*POWER(KOslave,SIGN(BR347))*POWER(KKslave,SIGN(BS347))+BR347*POWER(MUslave,SIGN(BL347))*POWER(KLslave,SIGN(BM347))*POWER(INslave,SIGN(BN347))*POWER(CHslave,SIGN(BO347))*POWER(FFslave,SIGN(BP347))*POWER(GEslave,SIGN(BQ347))*POWER(KKslave,SIGN(BS347))+BS347*POWER(MUslave,SIGN(BL347))*POWER(KLslave,SIGN(BM347))*POWER(INslave,SIGN(BN347))*POWER(CHslave,SIGN(BO347))*POWER(FFslave,SIGN(BP347))*POWER(GEslave,SIGN(BQ347))*POWER(KOslave,SIGN(BR347))</f>
        <v>2304</v>
      </c>
      <c r="BX347" s="254">
        <f>BL347*BM347*GEslave+BL347*KLslave*BQ347+MUslave*BM347*BQ347</f>
        <v>3456</v>
      </c>
      <c r="BY347" s="224">
        <f t="shared" ref="BY347" si="3823">IFERROR(BL347^SIGN(BL347),1)*IFERROR(BM347^SIGN(BM347),1)*IFERROR(BN347^SIGN(BN347),1)*IFERROR(BO347^SIGN(BO347),1)*IFERROR(BP347^SIGN(BP347),1)*IFERROR(BQ347^SIGN(BQ347),1)*IFERROR(BR347^SIGN(BR347),1)*IFERROR(BS347^SIGN(BS347),1)</f>
        <v>1728</v>
      </c>
      <c r="BZ347" s="224">
        <f t="shared" ref="BZ347:BZ348" si="3824">SUM(BW347:BY347)</f>
        <v>7488</v>
      </c>
      <c r="CA347" s="222">
        <f t="shared" ref="CA347:CA348" si="3825">BT347*BW347/BZ347</f>
        <v>3.6923076923076925</v>
      </c>
      <c r="CB347" s="223">
        <f t="shared" ref="CB347:CB348" si="3826">BU347*BX347/BZ347</f>
        <v>11.076923076923077</v>
      </c>
      <c r="CC347" s="243">
        <f t="shared" ref="CC347:CC348" si="3827">BV347*BY347/BZ347</f>
        <v>8.3076923076923084</v>
      </c>
      <c r="CD347" s="243">
        <f t="shared" ref="CD347:CD348" si="3828">SUM(CA347:CC347)</f>
        <v>23.07692307692308</v>
      </c>
      <c r="CE347" s="252">
        <f t="shared" si="2925"/>
        <v>0</v>
      </c>
      <c r="CF347" s="324">
        <f t="shared" ref="CF347:CF348" si="3829">CD347-CE347</f>
        <v>23.07692307692308</v>
      </c>
      <c r="CG347" s="304">
        <f>IF(CD347&lt;=0,2,0)+IF(CD347&gt;0,CD347+1,0)*2+IF(CD347&gt;12,CD347-12,0)*2+IF(CD347&gt;13,CD347-13,0)*2+IF(CD347&gt;14,CD347-14,0)*2+IF(CD347&gt;15,CD347-15,0)*2+IF(CD347&gt;16,CD347-16,0)*2+IF(CD347&gt;17,CD347-17,0)*2+IF(CD347&gt;18,CD347-18,0)*2+IF(CD347&gt;19,CD347-19,0)*2+IF(CD347&gt;20,CD347-20,0)*2</f>
        <v>175.5384615384616</v>
      </c>
      <c r="CH347" s="335">
        <f>IF(CE347&lt;=0,2,0)+IF(CE347&gt;0,CE347+1,0)*2+IF(CE347&gt;12,CE347-12,0)*2+IF(CE347&gt;13,CE347-13,0)*2+IF(CE347&gt;14,CE347-14,0)*2+IF(CE347&gt;15,CE347-15,0)*2+IF(CE347&gt;16,CE347-16,0)*2+IF(CE347&gt;17,CE347-17,0)*2+IF(CE347&gt;18,CE347-18,0)*2+IF(CE347&gt;19,CE347-19,0)*2+IF(CE347&gt;20,CE347-20,0)*2</f>
        <v>2</v>
      </c>
      <c r="CI347" s="243">
        <f t="shared" ref="CI347:CI348" si="3830">IF((CG347-CH347)&gt;0,CG347-CH347,0)</f>
        <v>173.5384615384616</v>
      </c>
      <c r="CJ347" s="218">
        <f t="shared" ref="CJ347:CJ348" si="3831">IF((CH347-CG347)&gt;0,CH347-CG347,0)</f>
        <v>0</v>
      </c>
      <c r="CK347" s="248"/>
      <c r="CL347" s="303" t="s">
        <v>499</v>
      </c>
      <c r="CM347" s="304" t="s">
        <v>503</v>
      </c>
      <c r="CN347" s="304" t="s">
        <v>132</v>
      </c>
      <c r="CO347" s="114">
        <f>Konvention_1slave-MUslave</f>
        <v>12</v>
      </c>
      <c r="CP347" s="113">
        <f>Konvention_1slave-KLslave</f>
        <v>12</v>
      </c>
      <c r="CQ347" s="211"/>
      <c r="CR347" s="211"/>
      <c r="CS347" s="211"/>
      <c r="CT347" s="113">
        <f>Konvention_1slave-GEslave</f>
        <v>12</v>
      </c>
      <c r="CU347" s="211"/>
      <c r="CV347" s="212"/>
      <c r="CW347" s="223">
        <f t="shared" ref="CW347" si="3832">(CO347+CP347+CQ347+CR347+CS347+CT347+CU347+CV347)/3</f>
        <v>12</v>
      </c>
      <c r="CX347" s="223">
        <f t="shared" ref="CX347:CX348" si="3833">2*CW347</f>
        <v>24</v>
      </c>
      <c r="CY347" s="224">
        <f t="shared" ref="CY347:CY348" si="3834">3*CW347</f>
        <v>36</v>
      </c>
      <c r="CZ347" s="237">
        <f>CO347*POWER(KLslave,SIGN(CP347))*POWER(INslave,SIGN(CQ347))*POWER(CHslave,SIGN(CR347))*POWER(FFslave,SIGN(CS347))*POWER(GEslave,SIGN(CT347))*POWER(KOslave,SIGN(CU347))*POWER(KKslave,SIGN(CV347))+CP347*POWER(MUslave,SIGN(CO347))*POWER(INslave,SIGN(CQ347))*POWER(CHslave,SIGN(CR347))*POWER(FFslave,SIGN(CS347))*POWER(GEslave,SIGN(CT347))*POWER(KOslave,SIGN(CU347))*POWER(KKslave,SIGN(CV347))+CQ347*POWER(MUslave,SIGN(CO347))*POWER(KLslave,SIGN(CP347))*POWER(CHslave,SIGN(CR347))*POWER(FFslave,SIGN(CS347))*POWER(GEslave,SIGN(CT347))*POWER(KOslave,SIGN(CU347))*POWER(KKslave,SIGN(CV347))+CR347*POWER(MUslave,SIGN(CO347))*POWER(KLslave,SIGN(CP347))*POWER(INslave,SIGN(CQ347))*POWER(FFslave,SIGN(CS347))*POWER(GEslave,SIGN(CT347))*POWER(KOslave,SIGN(CU347))*POWER(KKslave,SIGN(CV347))+CS347*POWER(MUslave,SIGN(CO347))*POWER(KLslave,SIGN(CP347))*POWER(INslave,SIGN(CQ347))*POWER(CHslave,SIGN(CR347))*POWER(GEslave,SIGN(CT347))*POWER(KOslave,SIGN(CU347))*POWER(KKslave,SIGN(CV347))+CT347*POWER(MUslave,SIGN(CO347))*POWER(KLslave,SIGN(CP347))*POWER(INslave,SIGN(CQ347))*POWER(CHslave,SIGN(CR347))*POWER(FFslave,SIGN(CS347))*POWER(KOslave,SIGN(CU347))*POWER(KKslave,SIGN(CV347))+CU347*POWER(MUslave,SIGN(CO347))*POWER(KLslave,SIGN(CP347))*POWER(INslave,SIGN(CQ347))*POWER(CHslave,SIGN(CR347))*POWER(FFslave,SIGN(CS347))*POWER(GEslave,SIGN(CT347))*POWER(KKslave,SIGN(CV347))+CV347*POWER(MUslave,SIGN(CO347))*POWER(KLslave,SIGN(CP347))*POWER(INslave,SIGN(CQ347))*POWER(CHslave,SIGN(CR347))*POWER(FFslave,SIGN(CS347))*POWER(GEslave,SIGN(CT347))*POWER(KOslave,SIGN(CU347))</f>
        <v>2304</v>
      </c>
      <c r="DA347" s="254">
        <f>CO347*CP347*GEslave+CO347*KLslave*CT347+MUslave*CP347*CT347</f>
        <v>3456</v>
      </c>
      <c r="DB347" s="224">
        <f t="shared" ref="DB347" si="3835">IFERROR(CO347^SIGN(CO347),1)*IFERROR(CP347^SIGN(CP347),1)*IFERROR(CQ347^SIGN(CQ347),1)*IFERROR(CR347^SIGN(CR347),1)*IFERROR(CS347^SIGN(CS347),1)*IFERROR(CT347^SIGN(CT347),1)*IFERROR(CU347^SIGN(CU347),1)*IFERROR(CV347^SIGN(CV347),1)</f>
        <v>1728</v>
      </c>
      <c r="DC347" s="224">
        <f t="shared" ref="DC347:DC348" si="3836">SUM(CZ347:DB347)</f>
        <v>7488</v>
      </c>
      <c r="DD347" s="222">
        <f t="shared" ref="DD347:DD348" si="3837">CW347*CZ347/DC347</f>
        <v>3.6923076923076925</v>
      </c>
      <c r="DE347" s="223">
        <f t="shared" ref="DE347:DE348" si="3838">CX347*DA347/DC347</f>
        <v>11.076923076923077</v>
      </c>
      <c r="DF347" s="243">
        <f t="shared" ref="DF347:DF348" si="3839">CY347*DB347/DC347</f>
        <v>8.3076923076923084</v>
      </c>
      <c r="DG347" s="243">
        <f t="shared" ref="DG347:DG348" si="3840">SUM(DD347:DF347)</f>
        <v>23.07692307692308</v>
      </c>
      <c r="DH347" s="252">
        <f t="shared" si="2928"/>
        <v>0</v>
      </c>
      <c r="DI347" s="324">
        <f t="shared" ref="DI347:DI348" si="3841">DG347-DH347</f>
        <v>23.07692307692308</v>
      </c>
      <c r="DJ347" s="304">
        <f>IF(DG347&lt;=0,2,0)+IF(DG347&gt;0,DG347+1,0)*2+IF(DG347&gt;12,DG347-12,0)*2+IF(DG347&gt;13,DG347-13,0)*2+IF(DG347&gt;14,DG347-14,0)*2+IF(DG347&gt;15,DG347-15,0)*2+IF(DG347&gt;16,DG347-16,0)*2+IF(DG347&gt;17,DG347-17,0)*2+IF(DG347&gt;18,DG347-18,0)*2+IF(DG347&gt;19,DG347-19,0)*2+IF(DG347&gt;20,DG347-20,0)*2</f>
        <v>175.5384615384616</v>
      </c>
      <c r="DK347" s="335">
        <f>IF(DH347&lt;=0,2,0)+IF(DH347&gt;0,DH347+1,0)*2+IF(DH347&gt;12,DH347-12,0)*2+IF(DH347&gt;13,DH347-13,0)*2+IF(DH347&gt;14,DH347-14,0)*2+IF(DH347&gt;15,DH347-15,0)*2+IF(DH347&gt;16,DH347-16,0)*2+IF(DH347&gt;17,DH347-17,0)*2+IF(DH347&gt;18,DH347-18,0)*2+IF(DH347&gt;19,DH347-19,0)*2+IF(DH347&gt;20,DH347-20,0)*2</f>
        <v>2</v>
      </c>
      <c r="DL347" s="243">
        <f t="shared" ref="DL347:DL348" si="3842">IF((DJ347-DK347)&gt;0,DJ347-DK347,0)</f>
        <v>173.5384615384616</v>
      </c>
      <c r="DM347" s="218">
        <f t="shared" ref="DM347:DM348" si="3843">IF((DK347-DJ347)&gt;0,DK347-DJ347,0)</f>
        <v>0</v>
      </c>
      <c r="DN347" s="248"/>
      <c r="DO347" s="303" t="s">
        <v>499</v>
      </c>
      <c r="DP347" s="304" t="s">
        <v>503</v>
      </c>
      <c r="DQ347" s="304" t="s">
        <v>132</v>
      </c>
      <c r="DR347" s="114">
        <f>Konvention_1slave-MUslave</f>
        <v>12</v>
      </c>
      <c r="DS347" s="113">
        <f>Konvention_1slave-KLslave</f>
        <v>12</v>
      </c>
      <c r="DT347" s="211"/>
      <c r="DU347" s="211"/>
      <c r="DV347" s="211"/>
      <c r="DW347" s="113">
        <f>Konvention_1slave-GEslave</f>
        <v>12</v>
      </c>
      <c r="DX347" s="211"/>
      <c r="DY347" s="212"/>
      <c r="DZ347" s="223">
        <f t="shared" ref="DZ347" si="3844">(DR347+DS347+DT347+DU347+DV347+DW347+DX347+DY347)/3</f>
        <v>12</v>
      </c>
      <c r="EA347" s="223">
        <f t="shared" ref="EA347:EA348" si="3845">2*DZ347</f>
        <v>24</v>
      </c>
      <c r="EB347" s="224">
        <f t="shared" ref="EB347:EB348" si="3846">3*DZ347</f>
        <v>36</v>
      </c>
      <c r="EC347" s="237">
        <f>DR347*POWER(KLslave,SIGN(DS347))*POWER(INslave,SIGN(DT347))*POWER(CHslave,SIGN(DU347))*POWER(FFslave,SIGN(DV347))*POWER(GEslave,SIGN(DW347))*POWER(KOslave,SIGN(DX347))*POWER(KKslave,SIGN(DY347))+DS347*POWER(MUslave,SIGN(DR347))*POWER(INslave,SIGN(DT347))*POWER(CHslave,SIGN(DU347))*POWER(FFslave,SIGN(DV347))*POWER(GEslave,SIGN(DW347))*POWER(KOslave,SIGN(DX347))*POWER(KKslave,SIGN(DY347))+DT347*POWER(MUslave,SIGN(DR347))*POWER(KLslave,SIGN(DS347))*POWER(CHslave,SIGN(DU347))*POWER(FFslave,SIGN(DV347))*POWER(GEslave,SIGN(DW347))*POWER(KOslave,SIGN(DX347))*POWER(KKslave,SIGN(DY347))+DU347*POWER(MUslave,SIGN(DR347))*POWER(KLslave,SIGN(DS347))*POWER(INslave,SIGN(DT347))*POWER(FFslave,SIGN(DV347))*POWER(GEslave,SIGN(DW347))*POWER(KOslave,SIGN(DX347))*POWER(KKslave,SIGN(DY347))+DV347*POWER(MUslave,SIGN(DR347))*POWER(KLslave,SIGN(DS347))*POWER(INslave,SIGN(DT347))*POWER(CHslave,SIGN(DU347))*POWER(GEslave,SIGN(DW347))*POWER(KOslave,SIGN(DX347))*POWER(KKslave,SIGN(DY347))+DW347*POWER(MUslave,SIGN(DR347))*POWER(KLslave,SIGN(DS347))*POWER(INslave,SIGN(DT347))*POWER(CHslave,SIGN(DU347))*POWER(FFslave,SIGN(DV347))*POWER(KOslave,SIGN(DX347))*POWER(KKslave,SIGN(DY347))+DX347*POWER(MUslave,SIGN(DR347))*POWER(KLslave,SIGN(DS347))*POWER(INslave,SIGN(DT347))*POWER(CHslave,SIGN(DU347))*POWER(FFslave,SIGN(DV347))*POWER(GEslave,SIGN(DW347))*POWER(KKslave,SIGN(DY347))+DY347*POWER(MUslave,SIGN(DR347))*POWER(KLslave,SIGN(DS347))*POWER(INslave,SIGN(DT347))*POWER(CHslave,SIGN(DU347))*POWER(FFslave,SIGN(DV347))*POWER(GEslave,SIGN(DW347))*POWER(KOslave,SIGN(DX347))</f>
        <v>2304</v>
      </c>
      <c r="ED347" s="254">
        <f>DR347*DS347*GEslave+DR347*KLslave*DW347+MUslave*DS347*DW347</f>
        <v>3456</v>
      </c>
      <c r="EE347" s="224">
        <f t="shared" ref="EE347" si="3847">IFERROR(DR347^SIGN(DR347),1)*IFERROR(DS347^SIGN(DS347),1)*IFERROR(DT347^SIGN(DT347),1)*IFERROR(DU347^SIGN(DU347),1)*IFERROR(DV347^SIGN(DV347),1)*IFERROR(DW347^SIGN(DW347),1)*IFERROR(DX347^SIGN(DX347),1)*IFERROR(DY347^SIGN(DY347),1)</f>
        <v>1728</v>
      </c>
      <c r="EF347" s="224">
        <f t="shared" ref="EF347:EF348" si="3848">SUM(EC347:EE347)</f>
        <v>7488</v>
      </c>
      <c r="EG347" s="222">
        <f t="shared" ref="EG347:EG348" si="3849">DZ347*EC347/EF347</f>
        <v>3.6923076923076925</v>
      </c>
      <c r="EH347" s="223">
        <f t="shared" ref="EH347:EH348" si="3850">EA347*ED347/EF347</f>
        <v>11.076923076923077</v>
      </c>
      <c r="EI347" s="243">
        <f t="shared" ref="EI347:EI348" si="3851">EB347*EE347/EF347</f>
        <v>8.3076923076923084</v>
      </c>
      <c r="EJ347" s="243">
        <f t="shared" ref="EJ347:EJ348" si="3852">SUM(EG347:EI347)</f>
        <v>23.07692307692308</v>
      </c>
      <c r="EK347" s="252">
        <f t="shared" si="2931"/>
        <v>0</v>
      </c>
      <c r="EL347" s="324">
        <f t="shared" ref="EL347:EL348" si="3853">EJ347-EK347</f>
        <v>23.07692307692308</v>
      </c>
      <c r="EM347" s="304">
        <f>IF(EJ347&lt;=0,2,0)+IF(EJ347&gt;0,EJ347+1,0)*2+IF(EJ347&gt;12,EJ347-12,0)*2+IF(EJ347&gt;13,EJ347-13,0)*2+IF(EJ347&gt;14,EJ347-14,0)*2+IF(EJ347&gt;15,EJ347-15,0)*2+IF(EJ347&gt;16,EJ347-16,0)*2+IF(EJ347&gt;17,EJ347-17,0)*2+IF(EJ347&gt;18,EJ347-18,0)*2+IF(EJ347&gt;19,EJ347-19,0)*2+IF(EJ347&gt;20,EJ347-20,0)*2</f>
        <v>175.5384615384616</v>
      </c>
      <c r="EN347" s="335">
        <f>IF(EK347&lt;=0,2,0)+IF(EK347&gt;0,EK347+1,0)*2+IF(EK347&gt;12,EK347-12,0)*2+IF(EK347&gt;13,EK347-13,0)*2+IF(EK347&gt;14,EK347-14,0)*2+IF(EK347&gt;15,EK347-15,0)*2+IF(EK347&gt;16,EK347-16,0)*2+IF(EK347&gt;17,EK347-17,0)*2+IF(EK347&gt;18,EK347-18,0)*2+IF(EK347&gt;19,EK347-19,0)*2+IF(EK347&gt;20,EK347-20,0)*2</f>
        <v>2</v>
      </c>
      <c r="EO347" s="243">
        <f t="shared" ref="EO347:EO348" si="3854">IF((EM347-EN347)&gt;0,EM347-EN347,0)</f>
        <v>173.5384615384616</v>
      </c>
      <c r="EP347" s="218">
        <f t="shared" ref="EP347:EP348" si="3855">IF((EN347-EM347)&gt;0,EN347-EM347,0)</f>
        <v>0</v>
      </c>
      <c r="EQ347" s="248"/>
      <c r="ER347" s="303" t="s">
        <v>499</v>
      </c>
      <c r="ES347" s="304" t="s">
        <v>503</v>
      </c>
      <c r="ET347" s="304" t="s">
        <v>132</v>
      </c>
      <c r="EU347" s="114">
        <f>Konvention_1slave-MUslave</f>
        <v>12</v>
      </c>
      <c r="EV347" s="113">
        <f>Konvention_1slave-KLslave</f>
        <v>12</v>
      </c>
      <c r="EW347" s="211"/>
      <c r="EX347" s="211"/>
      <c r="EY347" s="211"/>
      <c r="EZ347" s="113">
        <f>Konvention_1slave-GEslave</f>
        <v>12</v>
      </c>
      <c r="FA347" s="211"/>
      <c r="FB347" s="212"/>
      <c r="FC347" s="223">
        <f t="shared" ref="FC347" si="3856">(EU347+EV347+EW347+EX347+EY347+EZ347+FA347+FB347)/3</f>
        <v>12</v>
      </c>
      <c r="FD347" s="223">
        <f t="shared" ref="FD347:FD348" si="3857">2*FC347</f>
        <v>24</v>
      </c>
      <c r="FE347" s="224">
        <f t="shared" ref="FE347:FE348" si="3858">3*FC347</f>
        <v>36</v>
      </c>
      <c r="FF347" s="237">
        <f>EU347*POWER(KLslave,SIGN(EV347))*POWER(INslave,SIGN(EW347))*POWER(CHslave,SIGN(EX347))*POWER(FFslave,SIGN(EY347))*POWER(GEslave,SIGN(EZ347))*POWER(KOslave,SIGN(FA347))*POWER(KKslave,SIGN(FB347))+EV347*POWER(MUslave,SIGN(EU347))*POWER(INslave,SIGN(EW347))*POWER(CHslave,SIGN(EX347))*POWER(FFslave,SIGN(EY347))*POWER(GEslave,SIGN(EZ347))*POWER(KOslave,SIGN(FA347))*POWER(KKslave,SIGN(FB347))+EW347*POWER(MUslave,SIGN(EU347))*POWER(KLslave,SIGN(EV347))*POWER(CHslave,SIGN(EX347))*POWER(FFslave,SIGN(EY347))*POWER(GEslave,SIGN(EZ347))*POWER(KOslave,SIGN(FA347))*POWER(KKslave,SIGN(FB347))+EX347*POWER(MUslave,SIGN(EU347))*POWER(KLslave,SIGN(EV347))*POWER(INslave,SIGN(EW347))*POWER(FFslave,SIGN(EY347))*POWER(GEslave,SIGN(EZ347))*POWER(KOslave,SIGN(FA347))*POWER(KKslave,SIGN(FB347))+EY347*POWER(MUslave,SIGN(EU347))*POWER(KLslave,SIGN(EV347))*POWER(INslave,SIGN(EW347))*POWER(CHslave,SIGN(EX347))*POWER(GEslave,SIGN(EZ347))*POWER(KOslave,SIGN(FA347))*POWER(KKslave,SIGN(FB347))+EZ347*POWER(MUslave,SIGN(EU347))*POWER(KLslave,SIGN(EV347))*POWER(INslave,SIGN(EW347))*POWER(CHslave,SIGN(EX347))*POWER(FFslave,SIGN(EY347))*POWER(KOslave,SIGN(FA347))*POWER(KKslave,SIGN(FB347))+FA347*POWER(MUslave,SIGN(EU347))*POWER(KLslave,SIGN(EV347))*POWER(INslave,SIGN(EW347))*POWER(CHslave,SIGN(EX347))*POWER(FFslave,SIGN(EY347))*POWER(GEslave,SIGN(EZ347))*POWER(KKslave,SIGN(FB347))+FB347*POWER(MUslave,SIGN(EU347))*POWER(KLslave,SIGN(EV347))*POWER(INslave,SIGN(EW347))*POWER(CHslave,SIGN(EX347))*POWER(FFslave,SIGN(EY347))*POWER(GEslave,SIGN(EZ347))*POWER(KOslave,SIGN(FA347))</f>
        <v>2304</v>
      </c>
      <c r="FG347" s="254">
        <f>EU347*EV347*GEslave+EU347*KLslave*EZ347+MUslave*EV347*EZ347</f>
        <v>3456</v>
      </c>
      <c r="FH347" s="224">
        <f t="shared" ref="FH347" si="3859">IFERROR(EU347^SIGN(EU347),1)*IFERROR(EV347^SIGN(EV347),1)*IFERROR(EW347^SIGN(EW347),1)*IFERROR(EX347^SIGN(EX347),1)*IFERROR(EY347^SIGN(EY347),1)*IFERROR(EZ347^SIGN(EZ347),1)*IFERROR(FA347^SIGN(FA347),1)*IFERROR(FB347^SIGN(FB347),1)</f>
        <v>1728</v>
      </c>
      <c r="FI347" s="224">
        <f t="shared" ref="FI347:FI348" si="3860">SUM(FF347:FH347)</f>
        <v>7488</v>
      </c>
      <c r="FJ347" s="222">
        <f t="shared" ref="FJ347:FJ348" si="3861">FC347*FF347/FI347</f>
        <v>3.6923076923076925</v>
      </c>
      <c r="FK347" s="223">
        <f t="shared" ref="FK347:FK348" si="3862">FD347*FG347/FI347</f>
        <v>11.076923076923077</v>
      </c>
      <c r="FL347" s="243">
        <f t="shared" ref="FL347:FL348" si="3863">FE347*FH347/FI347</f>
        <v>8.3076923076923084</v>
      </c>
      <c r="FM347" s="243">
        <f t="shared" ref="FM347:FM348" si="3864">SUM(FJ347:FL347)</f>
        <v>23.07692307692308</v>
      </c>
      <c r="FN347" s="252">
        <f t="shared" si="2934"/>
        <v>0</v>
      </c>
      <c r="FO347" s="324">
        <f t="shared" ref="FO347:FO348" si="3865">FM347-FN347</f>
        <v>23.07692307692308</v>
      </c>
      <c r="FP347" s="304">
        <f>IF(FM347&lt;=0,2,0)+IF(FM347&gt;0,FM347+1,0)*2+IF(FM347&gt;12,FM347-12,0)*2+IF(FM347&gt;13,FM347-13,0)*2+IF(FM347&gt;14,FM347-14,0)*2+IF(FM347&gt;15,FM347-15,0)*2+IF(FM347&gt;16,FM347-16,0)*2+IF(FM347&gt;17,FM347-17,0)*2+IF(FM347&gt;18,FM347-18,0)*2+IF(FM347&gt;19,FM347-19,0)*2+IF(FM347&gt;20,FM347-20,0)*2</f>
        <v>175.5384615384616</v>
      </c>
      <c r="FQ347" s="335">
        <f>IF(FN347&lt;=0,2,0)+IF(FN347&gt;0,FN347+1,0)*2+IF(FN347&gt;12,FN347-12,0)*2+IF(FN347&gt;13,FN347-13,0)*2+IF(FN347&gt;14,FN347-14,0)*2+IF(FN347&gt;15,FN347-15,0)*2+IF(FN347&gt;16,FN347-16,0)*2+IF(FN347&gt;17,FN347-17,0)*2+IF(FN347&gt;18,FN347-18,0)*2+IF(FN347&gt;19,FN347-19,0)*2+IF(FN347&gt;20,FN347-20,0)*2</f>
        <v>2</v>
      </c>
      <c r="FR347" s="243">
        <f t="shared" ref="FR347:FR348" si="3866">IF((FP347-FQ347)&gt;0,FP347-FQ347,0)</f>
        <v>173.5384615384616</v>
      </c>
      <c r="FS347" s="218">
        <f t="shared" ref="FS347:FS348" si="3867">IF((FQ347-FP347)&gt;0,FQ347-FP347,0)</f>
        <v>0</v>
      </c>
      <c r="FT347" s="248"/>
      <c r="FU347" s="303" t="s">
        <v>499</v>
      </c>
      <c r="FV347" s="304" t="s">
        <v>503</v>
      </c>
      <c r="FW347" s="304" t="s">
        <v>132</v>
      </c>
      <c r="FX347" s="114">
        <f>Konvention_1slave-MUslave</f>
        <v>12</v>
      </c>
      <c r="FY347" s="113">
        <f>Konvention_1slave-KLslave</f>
        <v>12</v>
      </c>
      <c r="FZ347" s="211"/>
      <c r="GA347" s="211"/>
      <c r="GB347" s="211"/>
      <c r="GC347" s="113">
        <f>Konvention_1slave-GEslave</f>
        <v>12</v>
      </c>
      <c r="GD347" s="211"/>
      <c r="GE347" s="212"/>
      <c r="GF347" s="223">
        <f t="shared" ref="GF347" si="3868">(FX347+FY347+FZ347+GA347+GB347+GC347+GD347+GE347)/3</f>
        <v>12</v>
      </c>
      <c r="GG347" s="223">
        <f t="shared" ref="GG347:GG348" si="3869">2*GF347</f>
        <v>24</v>
      </c>
      <c r="GH347" s="224">
        <f t="shared" ref="GH347:GH348" si="3870">3*GF347</f>
        <v>36</v>
      </c>
      <c r="GI347" s="237">
        <f>FX347*POWER(KLslave,SIGN(FY347))*POWER(INslave,SIGN(FZ347))*POWER(CHslave,SIGN(GA347))*POWER(FFslave,SIGN(GB347))*POWER(GEslave,SIGN(GC347))*POWER(KOslave,SIGN(GD347))*POWER(KKslave,SIGN(GE347))+FY347*POWER(MUslave,SIGN(FX347))*POWER(INslave,SIGN(FZ347))*POWER(CHslave,SIGN(GA347))*POWER(FFslave,SIGN(GB347))*POWER(GEslave,SIGN(GC347))*POWER(KOslave,SIGN(GD347))*POWER(KKslave,SIGN(GE347))+FZ347*POWER(MUslave,SIGN(FX347))*POWER(KLslave,SIGN(FY347))*POWER(CHslave,SIGN(GA347))*POWER(FFslave,SIGN(GB347))*POWER(GEslave,SIGN(GC347))*POWER(KOslave,SIGN(GD347))*POWER(KKslave,SIGN(GE347))+GA347*POWER(MUslave,SIGN(FX347))*POWER(KLslave,SIGN(FY347))*POWER(INslave,SIGN(FZ347))*POWER(FFslave,SIGN(GB347))*POWER(GEslave,SIGN(GC347))*POWER(KOslave,SIGN(GD347))*POWER(KKslave,SIGN(GE347))+GB347*POWER(MUslave,SIGN(FX347))*POWER(KLslave,SIGN(FY347))*POWER(INslave,SIGN(FZ347))*POWER(CHslave,SIGN(GA347))*POWER(GEslave,SIGN(GC347))*POWER(KOslave,SIGN(GD347))*POWER(KKslave,SIGN(GE347))+GC347*POWER(MUslave,SIGN(FX347))*POWER(KLslave,SIGN(FY347))*POWER(INslave,SIGN(FZ347))*POWER(CHslave,SIGN(GA347))*POWER(FFslave,SIGN(GB347))*POWER(KOslave,SIGN(GD347))*POWER(KKslave,SIGN(GE347))+GD347*POWER(MUslave,SIGN(FX347))*POWER(KLslave,SIGN(FY347))*POWER(INslave,SIGN(FZ347))*POWER(CHslave,SIGN(GA347))*POWER(FFslave,SIGN(GB347))*POWER(GEslave,SIGN(GC347))*POWER(KKslave,SIGN(GE347))+GE347*POWER(MUslave,SIGN(FX347))*POWER(KLslave,SIGN(FY347))*POWER(INslave,SIGN(FZ347))*POWER(CHslave,SIGN(GA347))*POWER(FFslave,SIGN(GB347))*POWER(GEslave,SIGN(GC347))*POWER(KOslave,SIGN(GD347))</f>
        <v>2304</v>
      </c>
      <c r="GJ347" s="254">
        <f>FX347*FY347*GEslave+FX347*KLslave*GC347+MUslave*FY347*GC347</f>
        <v>3456</v>
      </c>
      <c r="GK347" s="224">
        <f t="shared" ref="GK347" si="3871">IFERROR(FX347^SIGN(FX347),1)*IFERROR(FY347^SIGN(FY347),1)*IFERROR(FZ347^SIGN(FZ347),1)*IFERROR(GA347^SIGN(GA347),1)*IFERROR(GB347^SIGN(GB347),1)*IFERROR(GC347^SIGN(GC347),1)*IFERROR(GD347^SIGN(GD347),1)*IFERROR(GE347^SIGN(GE347),1)</f>
        <v>1728</v>
      </c>
      <c r="GL347" s="224">
        <f t="shared" ref="GL347:GL348" si="3872">SUM(GI347:GK347)</f>
        <v>7488</v>
      </c>
      <c r="GM347" s="222">
        <f t="shared" ref="GM347:GM348" si="3873">GF347*GI347/GL347</f>
        <v>3.6923076923076925</v>
      </c>
      <c r="GN347" s="223">
        <f t="shared" ref="GN347:GN348" si="3874">GG347*GJ347/GL347</f>
        <v>11.076923076923077</v>
      </c>
      <c r="GO347" s="243">
        <f t="shared" ref="GO347:GO348" si="3875">GH347*GK347/GL347</f>
        <v>8.3076923076923084</v>
      </c>
      <c r="GP347" s="243">
        <f t="shared" ref="GP347:GP348" si="3876">SUM(GM347:GO347)</f>
        <v>23.07692307692308</v>
      </c>
      <c r="GQ347" s="252">
        <f t="shared" si="2937"/>
        <v>0</v>
      </c>
      <c r="GR347" s="324">
        <f t="shared" ref="GR347:GR348" si="3877">GP347-GQ347</f>
        <v>23.07692307692308</v>
      </c>
      <c r="GS347" s="304">
        <f>IF(GP347&lt;=0,2,0)+IF(GP347&gt;0,GP347+1,0)*2+IF(GP347&gt;12,GP347-12,0)*2+IF(GP347&gt;13,GP347-13,0)*2+IF(GP347&gt;14,GP347-14,0)*2+IF(GP347&gt;15,GP347-15,0)*2+IF(GP347&gt;16,GP347-16,0)*2+IF(GP347&gt;17,GP347-17,0)*2+IF(GP347&gt;18,GP347-18,0)*2+IF(GP347&gt;19,GP347-19,0)*2+IF(GP347&gt;20,GP347-20,0)*2</f>
        <v>175.5384615384616</v>
      </c>
      <c r="GT347" s="335">
        <f>IF(GQ347&lt;=0,2,0)+IF(GQ347&gt;0,GQ347+1,0)*2+IF(GQ347&gt;12,GQ347-12,0)*2+IF(GQ347&gt;13,GQ347-13,0)*2+IF(GQ347&gt;14,GQ347-14,0)*2+IF(GQ347&gt;15,GQ347-15,0)*2+IF(GQ347&gt;16,GQ347-16,0)*2+IF(GQ347&gt;17,GQ347-17,0)*2+IF(GQ347&gt;18,GQ347-18,0)*2+IF(GQ347&gt;19,GQ347-19,0)*2+IF(GQ347&gt;20,GQ347-20,0)*2</f>
        <v>2</v>
      </c>
      <c r="GU347" s="243">
        <f t="shared" ref="GU347:GU348" si="3878">IF((GS347-GT347)&gt;0,GS347-GT347,0)</f>
        <v>173.5384615384616</v>
      </c>
      <c r="GV347" s="218">
        <f t="shared" ref="GV347:GV348" si="3879">IF((GT347-GS347)&gt;0,GT347-GS347,0)</f>
        <v>0</v>
      </c>
      <c r="GW347" s="248"/>
      <c r="GX347" s="303" t="s">
        <v>499</v>
      </c>
      <c r="GY347" s="304" t="s">
        <v>503</v>
      </c>
      <c r="GZ347" s="304" t="s">
        <v>132</v>
      </c>
      <c r="HA347" s="114">
        <f>Konvention_1slave-MUslave</f>
        <v>12</v>
      </c>
      <c r="HB347" s="113">
        <f>Konvention_1slave-KLslave</f>
        <v>12</v>
      </c>
      <c r="HC347" s="211"/>
      <c r="HD347" s="211"/>
      <c r="HE347" s="211"/>
      <c r="HF347" s="113">
        <f>Konvention_1slave-GEslave</f>
        <v>12</v>
      </c>
      <c r="HG347" s="211"/>
      <c r="HH347" s="212"/>
      <c r="HI347" s="223">
        <f t="shared" ref="HI347" si="3880">(HA347+HB347+HC347+HD347+HE347+HF347+HG347+HH347)/3</f>
        <v>12</v>
      </c>
      <c r="HJ347" s="223">
        <f t="shared" ref="HJ347:HJ348" si="3881">2*HI347</f>
        <v>24</v>
      </c>
      <c r="HK347" s="224">
        <f t="shared" ref="HK347:HK348" si="3882">3*HI347</f>
        <v>36</v>
      </c>
      <c r="HL347" s="237">
        <f>HA347*POWER(KLslave,SIGN(HB347))*POWER(INslave,SIGN(HC347))*POWER(CHslave,SIGN(HD347))*POWER(FFslave,SIGN(HE347))*POWER(GEslave,SIGN(HF347))*POWER(KOslave,SIGN(HG347))*POWER(KKslave,SIGN(HH347))+HB347*POWER(MUslave,SIGN(HA347))*POWER(INslave,SIGN(HC347))*POWER(CHslave,SIGN(HD347))*POWER(FFslave,SIGN(HE347))*POWER(GEslave,SIGN(HF347))*POWER(KOslave,SIGN(HG347))*POWER(KKslave,SIGN(HH347))+HC347*POWER(MUslave,SIGN(HA347))*POWER(KLslave,SIGN(HB347))*POWER(CHslave,SIGN(HD347))*POWER(FFslave,SIGN(HE347))*POWER(GEslave,SIGN(HF347))*POWER(KOslave,SIGN(HG347))*POWER(KKslave,SIGN(HH347))+HD347*POWER(MUslave,SIGN(HA347))*POWER(KLslave,SIGN(HB347))*POWER(INslave,SIGN(HC347))*POWER(FFslave,SIGN(HE347))*POWER(GEslave,SIGN(HF347))*POWER(KOslave,SIGN(HG347))*POWER(KKslave,SIGN(HH347))+HE347*POWER(MUslave,SIGN(HA347))*POWER(KLslave,SIGN(HB347))*POWER(INslave,SIGN(HC347))*POWER(CHslave,SIGN(HD347))*POWER(GEslave,SIGN(HF347))*POWER(KOslave,SIGN(HG347))*POWER(KKslave,SIGN(HH347))+HF347*POWER(MUslave,SIGN(HA347))*POWER(KLslave,SIGN(HB347))*POWER(INslave,SIGN(HC347))*POWER(CHslave,SIGN(HD347))*POWER(FFslave,SIGN(HE347))*POWER(KOslave,SIGN(HG347))*POWER(KKslave,SIGN(HH347))+HG347*POWER(MUslave,SIGN(HA347))*POWER(KLslave,SIGN(HB347))*POWER(INslave,SIGN(HC347))*POWER(CHslave,SIGN(HD347))*POWER(FFslave,SIGN(HE347))*POWER(GEslave,SIGN(HF347))*POWER(KKslave,SIGN(HH347))+HH347*POWER(MUslave,SIGN(HA347))*POWER(KLslave,SIGN(HB347))*POWER(INslave,SIGN(HC347))*POWER(CHslave,SIGN(HD347))*POWER(FFslave,SIGN(HE347))*POWER(GEslave,SIGN(HF347))*POWER(KOslave,SIGN(HG347))</f>
        <v>2304</v>
      </c>
      <c r="HM347" s="254">
        <f>HA347*HB347*GEslave+HA347*KLslave*HF347+MUslave*HB347*HF347</f>
        <v>3456</v>
      </c>
      <c r="HN347" s="224">
        <f t="shared" ref="HN347" si="3883">IFERROR(HA347^SIGN(HA347),1)*IFERROR(HB347^SIGN(HB347),1)*IFERROR(HC347^SIGN(HC347),1)*IFERROR(HD347^SIGN(HD347),1)*IFERROR(HE347^SIGN(HE347),1)*IFERROR(HF347^SIGN(HF347),1)*IFERROR(HG347^SIGN(HG347),1)*IFERROR(HH347^SIGN(HH347),1)</f>
        <v>1728</v>
      </c>
      <c r="HO347" s="224">
        <f t="shared" ref="HO347:HO348" si="3884">SUM(HL347:HN347)</f>
        <v>7488</v>
      </c>
      <c r="HP347" s="222">
        <f t="shared" ref="HP347:HP348" si="3885">HI347*HL347/HO347</f>
        <v>3.6923076923076925</v>
      </c>
      <c r="HQ347" s="223">
        <f t="shared" ref="HQ347:HQ348" si="3886">HJ347*HM347/HO347</f>
        <v>11.076923076923077</v>
      </c>
      <c r="HR347" s="243">
        <f t="shared" ref="HR347:HR348" si="3887">HK347*HN347/HO347</f>
        <v>8.3076923076923084</v>
      </c>
      <c r="HS347" s="243">
        <f t="shared" ref="HS347:HS348" si="3888">SUM(HP347:HR347)</f>
        <v>23.07692307692308</v>
      </c>
      <c r="HT347" s="252">
        <f t="shared" si="2940"/>
        <v>0</v>
      </c>
      <c r="HU347" s="324">
        <f t="shared" ref="HU347:HU348" si="3889">HS347-HT347</f>
        <v>23.07692307692308</v>
      </c>
      <c r="HV347" s="304">
        <f>IF(HS347&lt;=0,2,0)+IF(HS347&gt;0,HS347+1,0)*2+IF(HS347&gt;12,HS347-12,0)*2+IF(HS347&gt;13,HS347-13,0)*2+IF(HS347&gt;14,HS347-14,0)*2+IF(HS347&gt;15,HS347-15,0)*2+IF(HS347&gt;16,HS347-16,0)*2+IF(HS347&gt;17,HS347-17,0)*2+IF(HS347&gt;18,HS347-18,0)*2+IF(HS347&gt;19,HS347-19,0)*2+IF(HS347&gt;20,HS347-20,0)*2</f>
        <v>175.5384615384616</v>
      </c>
      <c r="HW347" s="335">
        <f>IF(HT347&lt;=0,2,0)+IF(HT347&gt;0,HT347+1,0)*2+IF(HT347&gt;12,HT347-12,0)*2+IF(HT347&gt;13,HT347-13,0)*2+IF(HT347&gt;14,HT347-14,0)*2+IF(HT347&gt;15,HT347-15,0)*2+IF(HT347&gt;16,HT347-16,0)*2+IF(HT347&gt;17,HT347-17,0)*2+IF(HT347&gt;18,HT347-18,0)*2+IF(HT347&gt;19,HT347-19,0)*2+IF(HT347&gt;20,HT347-20,0)*2</f>
        <v>2</v>
      </c>
      <c r="HX347" s="243">
        <f t="shared" ref="HX347:HX348" si="3890">IF((HV347-HW347)&gt;0,HV347-HW347,0)</f>
        <v>173.5384615384616</v>
      </c>
      <c r="HY347" s="218">
        <f t="shared" ref="HY347:HY348" si="3891">IF((HW347-HV347)&gt;0,HW347-HV347,0)</f>
        <v>0</v>
      </c>
      <c r="HZ347" s="248"/>
      <c r="IA347" s="303" t="s">
        <v>499</v>
      </c>
      <c r="IB347" s="304" t="s">
        <v>503</v>
      </c>
      <c r="IC347" s="304" t="s">
        <v>132</v>
      </c>
      <c r="ID347" s="114">
        <f>Konvention_1slave-MUslave</f>
        <v>12</v>
      </c>
      <c r="IE347" s="113">
        <f>Konvention_1slave-KLslave</f>
        <v>12</v>
      </c>
      <c r="IF347" s="211"/>
      <c r="IG347" s="211"/>
      <c r="IH347" s="211"/>
      <c r="II347" s="113">
        <f>Konvention_1slave-GEslave</f>
        <v>12</v>
      </c>
      <c r="IJ347" s="211"/>
      <c r="IK347" s="212"/>
      <c r="IL347" s="223">
        <f t="shared" ref="IL347" si="3892">(ID347+IE347+IF347+IG347+IH347+II347+IJ347+IK347)/3</f>
        <v>12</v>
      </c>
      <c r="IM347" s="223">
        <f t="shared" ref="IM347:IM348" si="3893">2*IL347</f>
        <v>24</v>
      </c>
      <c r="IN347" s="224">
        <f t="shared" ref="IN347:IN348" si="3894">3*IL347</f>
        <v>36</v>
      </c>
      <c r="IO347" s="237">
        <f>ID347*POWER(KLslave,SIGN(IE347))*POWER(INslave,SIGN(IF347))*POWER(CHslave,SIGN(IG347))*POWER(FFslave,SIGN(IH347))*POWER(GEslave,SIGN(II347))*POWER(KOslave,SIGN(IJ347))*POWER(KKslave,SIGN(IK347))+IE347*POWER(MUslave,SIGN(ID347))*POWER(INslave,SIGN(IF347))*POWER(CHslave,SIGN(IG347))*POWER(FFslave,SIGN(IH347))*POWER(GEslave,SIGN(II347))*POWER(KOslave,SIGN(IJ347))*POWER(KKslave,SIGN(IK347))+IF347*POWER(MUslave,SIGN(ID347))*POWER(KLslave,SIGN(IE347))*POWER(CHslave,SIGN(IG347))*POWER(FFslave,SIGN(IH347))*POWER(GEslave,SIGN(II347))*POWER(KOslave,SIGN(IJ347))*POWER(KKslave,SIGN(IK347))+IG347*POWER(MUslave,SIGN(ID347))*POWER(KLslave,SIGN(IE347))*POWER(INslave,SIGN(IF347))*POWER(FFslave,SIGN(IH347))*POWER(GEslave,SIGN(II347))*POWER(KOslave,SIGN(IJ347))*POWER(KKslave,SIGN(IK347))+IH347*POWER(MUslave,SIGN(ID347))*POWER(KLslave,SIGN(IE347))*POWER(INslave,SIGN(IF347))*POWER(CHslave,SIGN(IG347))*POWER(GEslave,SIGN(II347))*POWER(KOslave,SIGN(IJ347))*POWER(KKslave,SIGN(IK347))+II347*POWER(MUslave,SIGN(ID347))*POWER(KLslave,SIGN(IE347))*POWER(INslave,SIGN(IF347))*POWER(CHslave,SIGN(IG347))*POWER(FFslave,SIGN(IH347))*POWER(KOslave,SIGN(IJ347))*POWER(KKslave,SIGN(IK347))+IJ347*POWER(MUslave,SIGN(ID347))*POWER(KLslave,SIGN(IE347))*POWER(INslave,SIGN(IF347))*POWER(CHslave,SIGN(IG347))*POWER(FFslave,SIGN(IH347))*POWER(GEslave,SIGN(II347))*POWER(KKslave,SIGN(IK347))+IK347*POWER(MUslave,SIGN(ID347))*POWER(KLslave,SIGN(IE347))*POWER(INslave,SIGN(IF347))*POWER(CHslave,SIGN(IG347))*POWER(FFslave,SIGN(IH347))*POWER(GEslave,SIGN(II347))*POWER(KOslave,SIGN(IJ347))</f>
        <v>2304</v>
      </c>
      <c r="IP347" s="254">
        <f>ID347*IE347*GEslave+ID347*KLslave*II347+MUslave*IE347*II347</f>
        <v>3456</v>
      </c>
      <c r="IQ347" s="224">
        <f t="shared" ref="IQ347" si="3895">IFERROR(ID347^SIGN(ID347),1)*IFERROR(IE347^SIGN(IE347),1)*IFERROR(IF347^SIGN(IF347),1)*IFERROR(IG347^SIGN(IG347),1)*IFERROR(IH347^SIGN(IH347),1)*IFERROR(II347^SIGN(II347),1)*IFERROR(IJ347^SIGN(IJ347),1)*IFERROR(IK347^SIGN(IK347),1)</f>
        <v>1728</v>
      </c>
      <c r="IR347" s="224">
        <f t="shared" ref="IR347:IR348" si="3896">SUM(IO347:IQ347)</f>
        <v>7488</v>
      </c>
      <c r="IS347" s="222">
        <f t="shared" ref="IS347:IS348" si="3897">IL347*IO347/IR347</f>
        <v>3.6923076923076925</v>
      </c>
      <c r="IT347" s="223">
        <f t="shared" ref="IT347:IT348" si="3898">IM347*IP347/IR347</f>
        <v>11.076923076923077</v>
      </c>
      <c r="IU347" s="243">
        <f t="shared" ref="IU347:IU348" si="3899">IN347*IQ347/IR347</f>
        <v>8.3076923076923084</v>
      </c>
      <c r="IV347" s="243">
        <f t="shared" ref="IV347:IV348" si="3900">SUM(IS347:IU347)</f>
        <v>23.07692307692308</v>
      </c>
      <c r="IW347" s="252">
        <f t="shared" si="2943"/>
        <v>0</v>
      </c>
      <c r="IX347" s="324">
        <f t="shared" ref="IX347:IX348" si="3901">IV347-IW347</f>
        <v>23.07692307692308</v>
      </c>
      <c r="IY347" s="304">
        <f>IF(IV347&lt;=0,2,0)+IF(IV347&gt;0,IV347+1,0)*2+IF(IV347&gt;12,IV347-12,0)*2+IF(IV347&gt;13,IV347-13,0)*2+IF(IV347&gt;14,IV347-14,0)*2+IF(IV347&gt;15,IV347-15,0)*2+IF(IV347&gt;16,IV347-16,0)*2+IF(IV347&gt;17,IV347-17,0)*2+IF(IV347&gt;18,IV347-18,0)*2+IF(IV347&gt;19,IV347-19,0)*2+IF(IV347&gt;20,IV347-20,0)*2</f>
        <v>175.5384615384616</v>
      </c>
      <c r="IZ347" s="335">
        <f>IF(IW347&lt;=0,2,0)+IF(IW347&gt;0,IW347+1,0)*2+IF(IW347&gt;12,IW347-12,0)*2+IF(IW347&gt;13,IW347-13,0)*2+IF(IW347&gt;14,IW347-14,0)*2+IF(IW347&gt;15,IW347-15,0)*2+IF(IW347&gt;16,IW347-16,0)*2+IF(IW347&gt;17,IW347-17,0)*2+IF(IW347&gt;18,IW347-18,0)*2+IF(IW347&gt;19,IW347-19,0)*2+IF(IW347&gt;20,IW347-20,0)*2</f>
        <v>2</v>
      </c>
      <c r="JA347" s="243">
        <f t="shared" ref="JA347:JA348" si="3902">IF((IY347-IZ347)&gt;0,IY347-IZ347,0)</f>
        <v>173.5384615384616</v>
      </c>
      <c r="JB347" s="218">
        <f t="shared" ref="JB347:JB348" si="3903">IF((IZ347-IY347)&gt;0,IZ347-IY347,0)</f>
        <v>0</v>
      </c>
    </row>
    <row r="348" spans="1:265" ht="15" hidden="1" customHeight="1" outlineLevel="2">
      <c r="A348" s="185"/>
      <c r="B348" s="148">
        <v>26</v>
      </c>
      <c r="C348" s="306" t="e">
        <f>VLOOKUP(AF348,Attribute!C:T,1,FALSE)</f>
        <v>#N/A</v>
      </c>
      <c r="D348" s="314" t="s">
        <v>172</v>
      </c>
      <c r="E348" s="314" t="s">
        <v>134</v>
      </c>
      <c r="F348" s="300">
        <f>Konvention_1master-MUmaster</f>
        <v>12</v>
      </c>
      <c r="G348" s="169"/>
      <c r="H348" s="169"/>
      <c r="I348" s="169">
        <f>Konvention_1master-CHmaster</f>
        <v>12</v>
      </c>
      <c r="J348" s="169"/>
      <c r="K348" s="169">
        <f>Konvention_1master-GEmaster</f>
        <v>12</v>
      </c>
      <c r="L348" s="169"/>
      <c r="M348" s="301"/>
      <c r="N348" s="226">
        <f>(F348+G348+H348+I348+J348+K348+L348+M348)/3</f>
        <v>12</v>
      </c>
      <c r="O348" s="226">
        <f t="shared" si="3797"/>
        <v>24</v>
      </c>
      <c r="P348" s="227">
        <f t="shared" si="3798"/>
        <v>36</v>
      </c>
      <c r="Q348" s="238">
        <f>F348*POWER(KLmaster,SIGN(G348))*POWER(INmaster,SIGN(H348))*POWER(CHmaster,SIGN(I348))*POWER(FFmaster,SIGN(J348))*POWER(GEmaster,SIGN(K348))*POWER(KOmaster,SIGN(L348))*POWER(KKmaster,SIGN(M348))+G348*POWER(MUmaster,SIGN(F348))*POWER(INmaster,SIGN(H348))*POWER(CHmaster,SIGN(I348))*POWER(FFmaster,SIGN(J348))*POWER(GEmaster,SIGN(K348))*POWER(KOmaster,SIGN(L348))*POWER(KKmaster,SIGN(M348))+H348*POWER(MUmaster,SIGN(F348))*POWER(KLmaster,SIGN(G348))*POWER(CHmaster,SIGN(I348))*POWER(FFmaster,SIGN(J348))*POWER(GEmaster,SIGN(K348))*POWER(KOmaster,SIGN(L348))*POWER(KKmaster,SIGN(M348))+I348*POWER(MUmaster,SIGN(F348))*POWER(KLmaster,SIGN(G348))*POWER(INmaster,SIGN(H348))*POWER(FFmaster,SIGN(J348))*POWER(GEmaster,SIGN(K348))*POWER(KOmaster,SIGN(L348))*POWER(KKmaster,SIGN(M348))+J348*POWER(MUmaster,SIGN(F348))*POWER(KLmaster,SIGN(G348))*POWER(INmaster,SIGN(H348))*POWER(CHmaster,SIGN(I348))*POWER(GEmaster,SIGN(K348))*POWER(KOmaster,SIGN(L348))*POWER(KKmaster,SIGN(M348))+K348*POWER(MUmaster,SIGN(F348))*POWER(KLmaster,SIGN(G348))*POWER(INmaster,SIGN(H348))*POWER(CHmaster,SIGN(I348))*POWER(FFmaster,SIGN(J348))*POWER(KOmaster,SIGN(L348))*POWER(KKmaster,SIGN(M348))+L348*POWER(MUmaster,SIGN(F348))*POWER(KLmaster,SIGN(G348))*POWER(INmaster,SIGN(H348))*POWER(CHmaster,SIGN(I348))*POWER(FFmaster,SIGN(J348))*POWER(GEmaster,SIGN(K348))*POWER(KKmaster,SIGN(M348))+M348*POWER(MUmaster,SIGN(F348))*POWER(KLmaster,SIGN(G348))*POWER(INmaster,SIGN(H348))*POWER(CHmaster,SIGN(I348))*POWER(FFmaster,SIGN(J348))*POWER(GEmaster,SIGN(K348))*POWER(KOmaster,SIGN(L348))</f>
        <v>2304</v>
      </c>
      <c r="R348" s="169">
        <f>F348*I348*GEmaster+F348*CHmaster*K348+MUmaster*I348*K348</f>
        <v>3456</v>
      </c>
      <c r="S348" s="227">
        <f>IFERROR(F348^SIGN(F348),1)*IFERROR(G348^SIGN(G348),1)*IFERROR(H348^SIGN(H348),1)*IFERROR(I348^SIGN(I348),1)*IFERROR(J348^SIGN(J348),1)*IFERROR(K348^SIGN(K348),1)*IFERROR(L348^SIGN(L348),1)*IFERROR(M348^SIGN(M348),1)</f>
        <v>1728</v>
      </c>
      <c r="T348" s="227">
        <f t="shared" si="3800"/>
        <v>7488</v>
      </c>
      <c r="U348" s="225">
        <f t="shared" si="3801"/>
        <v>3.6923076923076925</v>
      </c>
      <c r="V348" s="226">
        <f t="shared" si="3802"/>
        <v>11.076923076923077</v>
      </c>
      <c r="W348" s="245">
        <f t="shared" si="3803"/>
        <v>8.3076923076923084</v>
      </c>
      <c r="X348" s="245">
        <f t="shared" si="3804"/>
        <v>23.07692307692308</v>
      </c>
      <c r="Y348" s="252">
        <v>0</v>
      </c>
      <c r="Z348" s="324">
        <f t="shared" si="3805"/>
        <v>23.07692307692308</v>
      </c>
      <c r="AA348" s="314">
        <f>IF(X348&lt;=0,4,0)+IF(X348&gt;0,X348+1,0)*4+IF(X348&gt;12,X348-12,0)*4+IF(X348&gt;13,X348-13,0)*4+IF(X348&gt;14,X348-14,0)*4+IF(X348&gt;15,X348-15,0)*4+IF(X348&gt;16,X348-16,0)*4+IF(X348&gt;17,X348-17,0)*4+IF(X348&gt;18,X348-18,0)*4+IF(X348&gt;19,X348-19,0)*4+IF(X348&gt;20,X348-20,0)*4</f>
        <v>351.07692307692321</v>
      </c>
      <c r="AB348" s="336">
        <f>IF(Y348&lt;=0,4,0)+IF(Y348&gt;0,Y348+1,0)*4+IF(Y348&gt;12,Y348-12,0)*4+IF(Y348&gt;13,Y348-13,0)*4+IF(Y348&gt;14,Y348-14,0)*4+IF(Y348&gt;15,Y348-15,0)*4+IF(Y348&gt;16,Y348-16,0)*4+IF(Y348&gt;17,Y348-17,0)*4+IF(Y348&gt;18,Y348-18,0)*4+IF(Y348&gt;19,Y348-19,0)*4+IF(Y348&gt;20,Y348-20,0)*4</f>
        <v>4</v>
      </c>
      <c r="AC348" s="245">
        <f t="shared" si="3806"/>
        <v>347.07692307692321</v>
      </c>
      <c r="AD348" s="246">
        <f t="shared" si="3807"/>
        <v>0</v>
      </c>
      <c r="AE348" s="140"/>
      <c r="AF348" s="306" t="s">
        <v>500</v>
      </c>
      <c r="AG348" s="314" t="s">
        <v>172</v>
      </c>
      <c r="AH348" s="314" t="s">
        <v>134</v>
      </c>
      <c r="AI348" s="300">
        <f>Konvention_1slave-MUslave_MU</f>
        <v>11</v>
      </c>
      <c r="AJ348" s="169"/>
      <c r="AK348" s="169"/>
      <c r="AL348" s="169">
        <f>Konvention_1slave-CHslave</f>
        <v>12</v>
      </c>
      <c r="AM348" s="169"/>
      <c r="AN348" s="169">
        <f>Konvention_1slave-GEslave</f>
        <v>12</v>
      </c>
      <c r="AO348" s="169"/>
      <c r="AP348" s="301"/>
      <c r="AQ348" s="226">
        <f>(AI348+AJ348+AK348+AL348+AM348+AN348+AO348+AP348)/3</f>
        <v>11.666666666666666</v>
      </c>
      <c r="AR348" s="226">
        <f t="shared" si="3809"/>
        <v>23.333333333333332</v>
      </c>
      <c r="AS348" s="227">
        <f t="shared" si="3810"/>
        <v>35</v>
      </c>
      <c r="AT348" s="238">
        <f>AI348*POWER(KLslave,SIGN(AJ348))*POWER(INslave,SIGN(AK348))*POWER(CHslave,SIGN(AL348))*POWER(FFslave,SIGN(AM348))*POWER(GEslave,SIGN(AN348))*POWER(KOslave,SIGN(AO348))*POWER(KKslave,SIGN(AP348))+AJ348*POWER(MUslave_MU,SIGN(AI348))*POWER(INslave,SIGN(AK348))*POWER(CHslave,SIGN(AL348))*POWER(FFslave,SIGN(AM348))*POWER(GEslave,SIGN(AN348))*POWER(KOslave,SIGN(AO348))*POWER(KKslave,SIGN(AP348))+AK348*POWER(MUslave_MU,SIGN(AI348))*POWER(KLslave,SIGN(AJ348))*POWER(CHslave,SIGN(AL348))*POWER(FFslave,SIGN(AM348))*POWER(GEslave,SIGN(AN348))*POWER(KOslave,SIGN(AO348))*POWER(KKslave,SIGN(AP348))+AL348*POWER(MUslave_MU,SIGN(AI348))*POWER(KLslave,SIGN(AJ348))*POWER(INslave,SIGN(AK348))*POWER(FFslave,SIGN(AM348))*POWER(GEslave,SIGN(AN348))*POWER(KOslave,SIGN(AO348))*POWER(KKslave,SIGN(AP348))+AM348*POWER(MUslave_MU,SIGN(AI348))*POWER(KLslave,SIGN(AJ348))*POWER(INslave,SIGN(AK348))*POWER(CHslave,SIGN(AL348))*POWER(GEslave,SIGN(AN348))*POWER(KOslave,SIGN(AO348))*POWER(KKslave,SIGN(AP348))+AN348*POWER(MUslave_MU,SIGN(AI348))*POWER(KLslave,SIGN(AJ348))*POWER(INslave,SIGN(AK348))*POWER(CHslave,SIGN(AL348))*POWER(FFslave,SIGN(AM348))*POWER(KOslave,SIGN(AO348))*POWER(KKslave,SIGN(AP348))+AO348*POWER(MUslave_MU,SIGN(AI348))*POWER(KLslave,SIGN(AJ348))*POWER(INslave,SIGN(AK348))*POWER(CHslave,SIGN(AL348))*POWER(FFslave,SIGN(AM348))*POWER(GEslave,SIGN(AN348))*POWER(KKslave,SIGN(AP348))+AP348*POWER(MUslave_MU,SIGN(AI348))*POWER(KLslave,SIGN(AJ348))*POWER(INslave,SIGN(AK348))*POWER(CHslave,SIGN(AL348))*POWER(FFslave,SIGN(AM348))*POWER(GEslave,SIGN(AN348))*POWER(KOslave,SIGN(AO348))</f>
        <v>2432</v>
      </c>
      <c r="AU348" s="169">
        <f>AI348*AL348*GEslave+AI348*CHslave*AN348+MUslave_MU*AL348*AN348</f>
        <v>3408</v>
      </c>
      <c r="AV348" s="227">
        <f>IFERROR(AI348^SIGN(AI348),1)*IFERROR(AJ348^SIGN(AJ348),1)*IFERROR(AK348^SIGN(AK348),1)*IFERROR(AL348^SIGN(AL348),1)*IFERROR(AM348^SIGN(AM348),1)*IFERROR(AN348^SIGN(AN348),1)*IFERROR(AO348^SIGN(AO348),1)*IFERROR(AP348^SIGN(AP348),1)</f>
        <v>1584</v>
      </c>
      <c r="AW348" s="227">
        <f t="shared" si="3812"/>
        <v>7424</v>
      </c>
      <c r="AX348" s="225">
        <f t="shared" si="3813"/>
        <v>3.8218390804597702</v>
      </c>
      <c r="AY348" s="226">
        <f t="shared" si="3814"/>
        <v>10.711206896551724</v>
      </c>
      <c r="AZ348" s="245">
        <f t="shared" si="3815"/>
        <v>7.4676724137931032</v>
      </c>
      <c r="BA348" s="245">
        <f t="shared" si="3816"/>
        <v>22.000718390804597</v>
      </c>
      <c r="BB348" s="252">
        <f t="shared" si="2034"/>
        <v>0</v>
      </c>
      <c r="BC348" s="324">
        <f t="shared" si="3817"/>
        <v>22.000718390804597</v>
      </c>
      <c r="BD348" s="314">
        <f>IF(BA348&lt;=0,4,0)+IF(BA348&gt;0,BA348+1,0)*4+IF(BA348&gt;12,BA348-12,0)*4+IF(BA348&gt;13,BA348-13,0)*4+IF(BA348&gt;14,BA348-14,0)*4+IF(BA348&gt;15,BA348-15,0)*4+IF(BA348&gt;16,BA348-16,0)*4+IF(BA348&gt;17,BA348-17,0)*4+IF(BA348&gt;18,BA348-18,0)*4+IF(BA348&gt;19,BA348-19,0)*4+IF(BA348&gt;20,BA348-20,0)*4</f>
        <v>308.02873563218378</v>
      </c>
      <c r="BE348" s="336">
        <f>IF(BB348&lt;=0,4,0)+IF(BB348&gt;0,BB348+1,0)*4+IF(BB348&gt;12,BB348-12,0)*4+IF(BB348&gt;13,BB348-13,0)*4+IF(BB348&gt;14,BB348-14,0)*4+IF(BB348&gt;15,BB348-15,0)*4+IF(BB348&gt;16,BB348-16,0)*4+IF(BB348&gt;17,BB348-17,0)*4+IF(BB348&gt;18,BB348-18,0)*4+IF(BB348&gt;19,BB348-19,0)*4+IF(BB348&gt;20,BB348-20,0)*4</f>
        <v>4</v>
      </c>
      <c r="BF348" s="245">
        <f t="shared" si="3818"/>
        <v>304.02873563218378</v>
      </c>
      <c r="BG348" s="246">
        <f t="shared" si="3819"/>
        <v>0</v>
      </c>
      <c r="BH348" s="248"/>
      <c r="BI348" s="306" t="s">
        <v>500</v>
      </c>
      <c r="BJ348" s="314" t="s">
        <v>172</v>
      </c>
      <c r="BK348" s="314" t="s">
        <v>134</v>
      </c>
      <c r="BL348" s="300">
        <f>Konvention_1slave-MUslave</f>
        <v>12</v>
      </c>
      <c r="BM348" s="169"/>
      <c r="BN348" s="169"/>
      <c r="BO348" s="169">
        <f>Konvention_1slave-CHslave</f>
        <v>12</v>
      </c>
      <c r="BP348" s="169"/>
      <c r="BQ348" s="169">
        <f>Konvention_1slave-GEslave</f>
        <v>12</v>
      </c>
      <c r="BR348" s="169"/>
      <c r="BS348" s="301"/>
      <c r="BT348" s="226">
        <f>(BL348+BM348+BN348+BO348+BP348+BQ348+BR348+BS348)/3</f>
        <v>12</v>
      </c>
      <c r="BU348" s="226">
        <f t="shared" si="3821"/>
        <v>24</v>
      </c>
      <c r="BV348" s="227">
        <f t="shared" si="3822"/>
        <v>36</v>
      </c>
      <c r="BW348" s="238">
        <f>BL348*POWER(KLslave_KL,SIGN(BM348))*POWER(INslave,SIGN(BN348))*POWER(CHslave,SIGN(BO348))*POWER(FFslave,SIGN(BP348))*POWER(GEslave,SIGN(BQ348))*POWER(KOslave,SIGN(BR348))*POWER(KKslave,SIGN(BS348))+BM348*POWER(MUslave,SIGN(BL348))*POWER(INslave,SIGN(BN348))*POWER(CHslave,SIGN(BO348))*POWER(FFslave,SIGN(BP348))*POWER(GEslave,SIGN(BQ348))*POWER(KOslave,SIGN(BR348))*POWER(KKslave,SIGN(BS348))+BN348*POWER(MUslave,SIGN(BL348))*POWER(KLslave_KL,SIGN(BM348))*POWER(CHslave,SIGN(BO348))*POWER(FFslave,SIGN(BP348))*POWER(GEslave,SIGN(BQ348))*POWER(KOslave,SIGN(BR348))*POWER(KKslave,SIGN(BS348))+BO348*POWER(MUslave,SIGN(BL348))*POWER(KLslave_KL,SIGN(BM348))*POWER(INslave,SIGN(BN348))*POWER(FFslave,SIGN(BP348))*POWER(GEslave,SIGN(BQ348))*POWER(KOslave,SIGN(BR348))*POWER(KKslave,SIGN(BS348))+BP348*POWER(MUslave,SIGN(BL348))*POWER(KLslave_KL,SIGN(BM348))*POWER(INslave,SIGN(BN348))*POWER(CHslave,SIGN(BO348))*POWER(GEslave,SIGN(BQ348))*POWER(KOslave,SIGN(BR348))*POWER(KKslave,SIGN(BS348))+BQ348*POWER(MUslave,SIGN(BL348))*POWER(KLslave_KL,SIGN(BM348))*POWER(INslave,SIGN(BN348))*POWER(CHslave,SIGN(BO348))*POWER(FFslave,SIGN(BP348))*POWER(KOslave,SIGN(BR348))*POWER(KKslave,SIGN(BS348))+BR348*POWER(MUslave,SIGN(BL348))*POWER(KLslave_KL,SIGN(BM348))*POWER(INslave,SIGN(BN348))*POWER(CHslave,SIGN(BO348))*POWER(FFslave,SIGN(BP348))*POWER(GEslave,SIGN(BQ348))*POWER(KKslave,SIGN(BS348))+BS348*POWER(MUslave,SIGN(BL348))*POWER(KLslave_KL,SIGN(BM348))*POWER(INslave,SIGN(BN348))*POWER(CHslave,SIGN(BO348))*POWER(FFslave,SIGN(BP348))*POWER(GEslave,SIGN(BQ348))*POWER(KOslave,SIGN(BR348))</f>
        <v>2304</v>
      </c>
      <c r="BX348" s="169">
        <f>BL348*BO348*GEslave+BL348*CHslave*BQ348+MUslave*BO348*BQ348</f>
        <v>3456</v>
      </c>
      <c r="BY348" s="227">
        <f>IFERROR(BL348^SIGN(BL348),1)*IFERROR(BM348^SIGN(BM348),1)*IFERROR(BN348^SIGN(BN348),1)*IFERROR(BO348^SIGN(BO348),1)*IFERROR(BP348^SIGN(BP348),1)*IFERROR(BQ348^SIGN(BQ348),1)*IFERROR(BR348^SIGN(BR348),1)*IFERROR(BS348^SIGN(BS348),1)</f>
        <v>1728</v>
      </c>
      <c r="BZ348" s="227">
        <f t="shared" si="3824"/>
        <v>7488</v>
      </c>
      <c r="CA348" s="225">
        <f t="shared" si="3825"/>
        <v>3.6923076923076925</v>
      </c>
      <c r="CB348" s="226">
        <f t="shared" si="3826"/>
        <v>11.076923076923077</v>
      </c>
      <c r="CC348" s="245">
        <f t="shared" si="3827"/>
        <v>8.3076923076923084</v>
      </c>
      <c r="CD348" s="245">
        <f t="shared" si="3828"/>
        <v>23.07692307692308</v>
      </c>
      <c r="CE348" s="252">
        <f t="shared" si="2925"/>
        <v>0</v>
      </c>
      <c r="CF348" s="324">
        <f t="shared" si="3829"/>
        <v>23.07692307692308</v>
      </c>
      <c r="CG348" s="314">
        <f>IF(CD348&lt;=0,4,0)+IF(CD348&gt;0,CD348+1,0)*4+IF(CD348&gt;12,CD348-12,0)*4+IF(CD348&gt;13,CD348-13,0)*4+IF(CD348&gt;14,CD348-14,0)*4+IF(CD348&gt;15,CD348-15,0)*4+IF(CD348&gt;16,CD348-16,0)*4+IF(CD348&gt;17,CD348-17,0)*4+IF(CD348&gt;18,CD348-18,0)*4+IF(CD348&gt;19,CD348-19,0)*4+IF(CD348&gt;20,CD348-20,0)*4</f>
        <v>351.07692307692321</v>
      </c>
      <c r="CH348" s="336">
        <f>IF(CE348&lt;=0,4,0)+IF(CE348&gt;0,CE348+1,0)*4+IF(CE348&gt;12,CE348-12,0)*4+IF(CE348&gt;13,CE348-13,0)*4+IF(CE348&gt;14,CE348-14,0)*4+IF(CE348&gt;15,CE348-15,0)*4+IF(CE348&gt;16,CE348-16,0)*4+IF(CE348&gt;17,CE348-17,0)*4+IF(CE348&gt;18,CE348-18,0)*4+IF(CE348&gt;19,CE348-19,0)*4+IF(CE348&gt;20,CE348-20,0)*4</f>
        <v>4</v>
      </c>
      <c r="CI348" s="245">
        <f t="shared" si="3830"/>
        <v>347.07692307692321</v>
      </c>
      <c r="CJ348" s="246">
        <f t="shared" si="3831"/>
        <v>0</v>
      </c>
      <c r="CK348" s="248"/>
      <c r="CL348" s="306" t="s">
        <v>500</v>
      </c>
      <c r="CM348" s="314" t="s">
        <v>172</v>
      </c>
      <c r="CN348" s="314" t="s">
        <v>134</v>
      </c>
      <c r="CO348" s="300">
        <f>Konvention_1slave-MUslave</f>
        <v>12</v>
      </c>
      <c r="CP348" s="169"/>
      <c r="CQ348" s="169"/>
      <c r="CR348" s="169">
        <f>Konvention_1slave-CHslave</f>
        <v>12</v>
      </c>
      <c r="CS348" s="169"/>
      <c r="CT348" s="169">
        <f>Konvention_1slave-GEslave</f>
        <v>12</v>
      </c>
      <c r="CU348" s="169"/>
      <c r="CV348" s="301"/>
      <c r="CW348" s="226">
        <f>(CO348+CP348+CQ348+CR348+CS348+CT348+CU348+CV348)/3</f>
        <v>12</v>
      </c>
      <c r="CX348" s="226">
        <f t="shared" si="3833"/>
        <v>24</v>
      </c>
      <c r="CY348" s="227">
        <f t="shared" si="3834"/>
        <v>36</v>
      </c>
      <c r="CZ348" s="238">
        <f>CO348*POWER(KLslave,SIGN(CP348))*POWER(INslave_IN,SIGN(CQ348))*POWER(CHslave,SIGN(CR348))*POWER(FFslave,SIGN(CS348))*POWER(GEslave,SIGN(CT348))*POWER(KOslave,SIGN(CU348))*POWER(KKslave,SIGN(CV348))+CP348*POWER(MUslave,SIGN(CO348))*POWER(INslave_IN,SIGN(CQ348))*POWER(CHslave,SIGN(CR348))*POWER(FFslave,SIGN(CS348))*POWER(GEslave,SIGN(CT348))*POWER(KOslave,SIGN(CU348))*POWER(KKslave,SIGN(CV348))+CQ348*POWER(MUslave,SIGN(CO348))*POWER(KLslave,SIGN(CP348))*POWER(CHslave,SIGN(CR348))*POWER(FFslave,SIGN(CS348))*POWER(GEslave,SIGN(CT348))*POWER(KOslave,SIGN(CU348))*POWER(KKslave,SIGN(CV348))+CR348*POWER(MUslave,SIGN(CO348))*POWER(KLslave,SIGN(CP348))*POWER(INslave_IN,SIGN(CQ348))*POWER(FFslave,SIGN(CS348))*POWER(GEslave,SIGN(CT348))*POWER(KOslave,SIGN(CU348))*POWER(KKslave,SIGN(CV348))+CS348*POWER(MUslave,SIGN(CO348))*POWER(KLslave,SIGN(CP348))*POWER(INslave_IN,SIGN(CQ348))*POWER(CHslave,SIGN(CR348))*POWER(GEslave,SIGN(CT348))*POWER(KOslave,SIGN(CU348))*POWER(KKslave,SIGN(CV348))+CT348*POWER(MUslave,SIGN(CO348))*POWER(KLslave,SIGN(CP348))*POWER(INslave_IN,SIGN(CQ348))*POWER(CHslave,SIGN(CR348))*POWER(FFslave,SIGN(CS348))*POWER(KOslave,SIGN(CU348))*POWER(KKslave,SIGN(CV348))+CU348*POWER(MUslave,SIGN(CO348))*POWER(KLslave,SIGN(CP348))*POWER(INslave_IN,SIGN(CQ348))*POWER(CHslave,SIGN(CR348))*POWER(FFslave,SIGN(CS348))*POWER(GEslave,SIGN(CT348))*POWER(KKslave,SIGN(CV348))+CV348*POWER(MUslave,SIGN(CO348))*POWER(KLslave,SIGN(CP348))*POWER(INslave_IN,SIGN(CQ348))*POWER(CHslave,SIGN(CR348))*POWER(FFslave,SIGN(CS348))*POWER(GEslave,SIGN(CT348))*POWER(KOslave,SIGN(CU348))</f>
        <v>2304</v>
      </c>
      <c r="DA348" s="169">
        <f>CO348*CR348*GEslave+CO348*CHslave*CT348+MUslave*CR348*CT348</f>
        <v>3456</v>
      </c>
      <c r="DB348" s="227">
        <f>IFERROR(CO348^SIGN(CO348),1)*IFERROR(CP348^SIGN(CP348),1)*IFERROR(CQ348^SIGN(CQ348),1)*IFERROR(CR348^SIGN(CR348),1)*IFERROR(CS348^SIGN(CS348),1)*IFERROR(CT348^SIGN(CT348),1)*IFERROR(CU348^SIGN(CU348),1)*IFERROR(CV348^SIGN(CV348),1)</f>
        <v>1728</v>
      </c>
      <c r="DC348" s="227">
        <f t="shared" si="3836"/>
        <v>7488</v>
      </c>
      <c r="DD348" s="225">
        <f t="shared" si="3837"/>
        <v>3.6923076923076925</v>
      </c>
      <c r="DE348" s="226">
        <f t="shared" si="3838"/>
        <v>11.076923076923077</v>
      </c>
      <c r="DF348" s="245">
        <f t="shared" si="3839"/>
        <v>8.3076923076923084</v>
      </c>
      <c r="DG348" s="245">
        <f t="shared" si="3840"/>
        <v>23.07692307692308</v>
      </c>
      <c r="DH348" s="252">
        <f t="shared" si="2928"/>
        <v>0</v>
      </c>
      <c r="DI348" s="324">
        <f t="shared" si="3841"/>
        <v>23.07692307692308</v>
      </c>
      <c r="DJ348" s="314">
        <f>IF(DG348&lt;=0,4,0)+IF(DG348&gt;0,DG348+1,0)*4+IF(DG348&gt;12,DG348-12,0)*4+IF(DG348&gt;13,DG348-13,0)*4+IF(DG348&gt;14,DG348-14,0)*4+IF(DG348&gt;15,DG348-15,0)*4+IF(DG348&gt;16,DG348-16,0)*4+IF(DG348&gt;17,DG348-17,0)*4+IF(DG348&gt;18,DG348-18,0)*4+IF(DG348&gt;19,DG348-19,0)*4+IF(DG348&gt;20,DG348-20,0)*4</f>
        <v>351.07692307692321</v>
      </c>
      <c r="DK348" s="336">
        <f>IF(DH348&lt;=0,4,0)+IF(DH348&gt;0,DH348+1,0)*4+IF(DH348&gt;12,DH348-12,0)*4+IF(DH348&gt;13,DH348-13,0)*4+IF(DH348&gt;14,DH348-14,0)*4+IF(DH348&gt;15,DH348-15,0)*4+IF(DH348&gt;16,DH348-16,0)*4+IF(DH348&gt;17,DH348-17,0)*4+IF(DH348&gt;18,DH348-18,0)*4+IF(DH348&gt;19,DH348-19,0)*4+IF(DH348&gt;20,DH348-20,0)*4</f>
        <v>4</v>
      </c>
      <c r="DL348" s="245">
        <f t="shared" si="3842"/>
        <v>347.07692307692321</v>
      </c>
      <c r="DM348" s="246">
        <f t="shared" si="3843"/>
        <v>0</v>
      </c>
      <c r="DN348" s="248"/>
      <c r="DO348" s="306" t="s">
        <v>500</v>
      </c>
      <c r="DP348" s="314" t="s">
        <v>172</v>
      </c>
      <c r="DQ348" s="314" t="s">
        <v>134</v>
      </c>
      <c r="DR348" s="300">
        <f>Konvention_1slave-MUslave</f>
        <v>12</v>
      </c>
      <c r="DS348" s="169"/>
      <c r="DT348" s="169"/>
      <c r="DU348" s="169">
        <f>Konvention_1slave-CHslave_CH</f>
        <v>11</v>
      </c>
      <c r="DV348" s="169"/>
      <c r="DW348" s="169">
        <f>Konvention_1slave-GEslave</f>
        <v>12</v>
      </c>
      <c r="DX348" s="169"/>
      <c r="DY348" s="301"/>
      <c r="DZ348" s="226">
        <f>(DR348+DS348+DT348+DU348+DV348+DW348+DX348+DY348)/3</f>
        <v>11.666666666666666</v>
      </c>
      <c r="EA348" s="226">
        <f t="shared" si="3845"/>
        <v>23.333333333333332</v>
      </c>
      <c r="EB348" s="227">
        <f t="shared" si="3846"/>
        <v>35</v>
      </c>
      <c r="EC348" s="238">
        <f>DR348*POWER(KLslave,SIGN(DS348))*POWER(INslave,SIGN(DT348))*POWER(CHslave_CH,SIGN(DU348))*POWER(FFslave,SIGN(DV348))*POWER(GEslave,SIGN(DW348))*POWER(KOslave,SIGN(DX348))*POWER(KKslave,SIGN(DY348))+DS348*POWER(MUslave,SIGN(DR348))*POWER(INslave,SIGN(DT348))*POWER(CHslave_CH,SIGN(DU348))*POWER(FFslave,SIGN(DV348))*POWER(GEslave,SIGN(DW348))*POWER(KOslave,SIGN(DX348))*POWER(KKslave,SIGN(DY348))+DT348*POWER(MUslave,SIGN(DR348))*POWER(KLslave,SIGN(DS348))*POWER(CHslave_CH,SIGN(DU348))*POWER(FFslave,SIGN(DV348))*POWER(GEslave,SIGN(DW348))*POWER(KOslave,SIGN(DX348))*POWER(KKslave,SIGN(DY348))+DU348*POWER(MUslave,SIGN(DR348))*POWER(KLslave,SIGN(DS348))*POWER(INslave,SIGN(DT348))*POWER(FFslave,SIGN(DV348))*POWER(GEslave,SIGN(DW348))*POWER(KOslave,SIGN(DX348))*POWER(KKslave,SIGN(DY348))+DV348*POWER(MUslave,SIGN(DR348))*POWER(KLslave,SIGN(DS348))*POWER(INslave,SIGN(DT348))*POWER(CHslave_CH,SIGN(DU348))*POWER(GEslave,SIGN(DW348))*POWER(KOslave,SIGN(DX348))*POWER(KKslave,SIGN(DY348))+DW348*POWER(MUslave,SIGN(DR348))*POWER(KLslave,SIGN(DS348))*POWER(INslave,SIGN(DT348))*POWER(CHslave_CH,SIGN(DU348))*POWER(FFslave,SIGN(DV348))*POWER(KOslave,SIGN(DX348))*POWER(KKslave,SIGN(DY348))+DX348*POWER(MUslave,SIGN(DR348))*POWER(KLslave,SIGN(DS348))*POWER(INslave,SIGN(DT348))*POWER(CHslave_CH,SIGN(DU348))*POWER(FFslave,SIGN(DV348))*POWER(GEslave,SIGN(DW348))*POWER(KKslave,SIGN(DY348))+DY348*POWER(MUslave,SIGN(DR348))*POWER(KLslave,SIGN(DS348))*POWER(INslave,SIGN(DT348))*POWER(CHslave_CH,SIGN(DU348))*POWER(FFslave,SIGN(DV348))*POWER(GEslave,SIGN(DW348))*POWER(KOslave,SIGN(DX348))</f>
        <v>2432</v>
      </c>
      <c r="ED348" s="169">
        <f>DR348*DU348*GEslave+DR348*CHslave_CH*DW348+MUslave*DU348*DW348</f>
        <v>3408</v>
      </c>
      <c r="EE348" s="227">
        <f>IFERROR(DR348^SIGN(DR348),1)*IFERROR(DS348^SIGN(DS348),1)*IFERROR(DT348^SIGN(DT348),1)*IFERROR(DU348^SIGN(DU348),1)*IFERROR(DV348^SIGN(DV348),1)*IFERROR(DW348^SIGN(DW348),1)*IFERROR(DX348^SIGN(DX348),1)*IFERROR(DY348^SIGN(DY348),1)</f>
        <v>1584</v>
      </c>
      <c r="EF348" s="227">
        <f t="shared" si="3848"/>
        <v>7424</v>
      </c>
      <c r="EG348" s="225">
        <f t="shared" si="3849"/>
        <v>3.8218390804597702</v>
      </c>
      <c r="EH348" s="226">
        <f t="shared" si="3850"/>
        <v>10.711206896551724</v>
      </c>
      <c r="EI348" s="245">
        <f t="shared" si="3851"/>
        <v>7.4676724137931032</v>
      </c>
      <c r="EJ348" s="245">
        <f t="shared" si="3852"/>
        <v>22.000718390804597</v>
      </c>
      <c r="EK348" s="252">
        <f t="shared" si="2931"/>
        <v>0</v>
      </c>
      <c r="EL348" s="324">
        <f t="shared" si="3853"/>
        <v>22.000718390804597</v>
      </c>
      <c r="EM348" s="314">
        <f>IF(EJ348&lt;=0,4,0)+IF(EJ348&gt;0,EJ348+1,0)*4+IF(EJ348&gt;12,EJ348-12,0)*4+IF(EJ348&gt;13,EJ348-13,0)*4+IF(EJ348&gt;14,EJ348-14,0)*4+IF(EJ348&gt;15,EJ348-15,0)*4+IF(EJ348&gt;16,EJ348-16,0)*4+IF(EJ348&gt;17,EJ348-17,0)*4+IF(EJ348&gt;18,EJ348-18,0)*4+IF(EJ348&gt;19,EJ348-19,0)*4+IF(EJ348&gt;20,EJ348-20,0)*4</f>
        <v>308.02873563218378</v>
      </c>
      <c r="EN348" s="336">
        <f>IF(EK348&lt;=0,4,0)+IF(EK348&gt;0,EK348+1,0)*4+IF(EK348&gt;12,EK348-12,0)*4+IF(EK348&gt;13,EK348-13,0)*4+IF(EK348&gt;14,EK348-14,0)*4+IF(EK348&gt;15,EK348-15,0)*4+IF(EK348&gt;16,EK348-16,0)*4+IF(EK348&gt;17,EK348-17,0)*4+IF(EK348&gt;18,EK348-18,0)*4+IF(EK348&gt;19,EK348-19,0)*4+IF(EK348&gt;20,EK348-20,0)*4</f>
        <v>4</v>
      </c>
      <c r="EO348" s="245">
        <f t="shared" si="3854"/>
        <v>304.02873563218378</v>
      </c>
      <c r="EP348" s="246">
        <f t="shared" si="3855"/>
        <v>0</v>
      </c>
      <c r="EQ348" s="248"/>
      <c r="ER348" s="306" t="s">
        <v>500</v>
      </c>
      <c r="ES348" s="314" t="s">
        <v>172</v>
      </c>
      <c r="ET348" s="314" t="s">
        <v>134</v>
      </c>
      <c r="EU348" s="300">
        <f>Konvention_1slave-MUslave</f>
        <v>12</v>
      </c>
      <c r="EV348" s="169"/>
      <c r="EW348" s="169"/>
      <c r="EX348" s="169">
        <f>Konvention_1slave-CHslave</f>
        <v>12</v>
      </c>
      <c r="EY348" s="169"/>
      <c r="EZ348" s="169">
        <f>Konvention_1slave-GEslave</f>
        <v>12</v>
      </c>
      <c r="FA348" s="169"/>
      <c r="FB348" s="301"/>
      <c r="FC348" s="226">
        <f>(EU348+EV348+EW348+EX348+EY348+EZ348+FA348+FB348)/3</f>
        <v>12</v>
      </c>
      <c r="FD348" s="226">
        <f t="shared" si="3857"/>
        <v>24</v>
      </c>
      <c r="FE348" s="227">
        <f t="shared" si="3858"/>
        <v>36</v>
      </c>
      <c r="FF348" s="238">
        <f>EU348*POWER(KLslave,SIGN(EV348))*POWER(INslave,SIGN(EW348))*POWER(CHslave,SIGN(EX348))*POWER(FFslave_FF,SIGN(EY348))*POWER(GEslave,SIGN(EZ348))*POWER(KOslave,SIGN(FA348))*POWER(KKslave,SIGN(FB348))+EV348*POWER(MUslave,SIGN(EU348))*POWER(INslave,SIGN(EW348))*POWER(CHslave,SIGN(EX348))*POWER(FFslave_FF,SIGN(EY348))*POWER(GEslave,SIGN(EZ348))*POWER(KOslave,SIGN(FA348))*POWER(KKslave,SIGN(FB348))+EW348*POWER(MUslave,SIGN(EU348))*POWER(KLslave,SIGN(EV348))*POWER(CHslave,SIGN(EX348))*POWER(FFslave_FF,SIGN(EY348))*POWER(GEslave,SIGN(EZ348))*POWER(KOslave,SIGN(FA348))*POWER(KKslave,SIGN(FB348))+EX348*POWER(MUslave,SIGN(EU348))*POWER(KLslave,SIGN(EV348))*POWER(INslave,SIGN(EW348))*POWER(FFslave_FF,SIGN(EY348))*POWER(GEslave,SIGN(EZ348))*POWER(KOslave,SIGN(FA348))*POWER(KKslave,SIGN(FB348))+EY348*POWER(MUslave,SIGN(EU348))*POWER(KLslave,SIGN(EV348))*POWER(INslave,SIGN(EW348))*POWER(CHslave,SIGN(EX348))*POWER(GEslave,SIGN(EZ348))*POWER(KOslave,SIGN(FA348))*POWER(KKslave,SIGN(FB348))+EZ348*POWER(MUslave,SIGN(EU348))*POWER(KLslave,SIGN(EV348))*POWER(INslave,SIGN(EW348))*POWER(CHslave,SIGN(EX348))*POWER(FFslave_FF,SIGN(EY348))*POWER(KOslave,SIGN(FA348))*POWER(KKslave,SIGN(FB348))+FA348*POWER(MUslave,SIGN(EU348))*POWER(KLslave,SIGN(EV348))*POWER(INslave,SIGN(EW348))*POWER(CHslave,SIGN(EX348))*POWER(FFslave_FF,SIGN(EY348))*POWER(GEslave,SIGN(EZ348))*POWER(KKslave,SIGN(FB348))+FB348*POWER(MUslave,SIGN(EU348))*POWER(KLslave,SIGN(EV348))*POWER(INslave,SIGN(EW348))*POWER(CHslave,SIGN(EX348))*POWER(FFslave_FF,SIGN(EY348))*POWER(GEslave,SIGN(EZ348))*POWER(KOslave,SIGN(FA348))</f>
        <v>2304</v>
      </c>
      <c r="FG348" s="169">
        <f>EU348*EX348*GEslave+EU348*CHslave*EZ348+MUslave*EX348*EZ348</f>
        <v>3456</v>
      </c>
      <c r="FH348" s="227">
        <f>IFERROR(EU348^SIGN(EU348),1)*IFERROR(EV348^SIGN(EV348),1)*IFERROR(EW348^SIGN(EW348),1)*IFERROR(EX348^SIGN(EX348),1)*IFERROR(EY348^SIGN(EY348),1)*IFERROR(EZ348^SIGN(EZ348),1)*IFERROR(FA348^SIGN(FA348),1)*IFERROR(FB348^SIGN(FB348),1)</f>
        <v>1728</v>
      </c>
      <c r="FI348" s="227">
        <f t="shared" si="3860"/>
        <v>7488</v>
      </c>
      <c r="FJ348" s="225">
        <f t="shared" si="3861"/>
        <v>3.6923076923076925</v>
      </c>
      <c r="FK348" s="226">
        <f t="shared" si="3862"/>
        <v>11.076923076923077</v>
      </c>
      <c r="FL348" s="245">
        <f t="shared" si="3863"/>
        <v>8.3076923076923084</v>
      </c>
      <c r="FM348" s="245">
        <f t="shared" si="3864"/>
        <v>23.07692307692308</v>
      </c>
      <c r="FN348" s="252">
        <f t="shared" si="2934"/>
        <v>0</v>
      </c>
      <c r="FO348" s="324">
        <f t="shared" si="3865"/>
        <v>23.07692307692308</v>
      </c>
      <c r="FP348" s="314">
        <f>IF(FM348&lt;=0,4,0)+IF(FM348&gt;0,FM348+1,0)*4+IF(FM348&gt;12,FM348-12,0)*4+IF(FM348&gt;13,FM348-13,0)*4+IF(FM348&gt;14,FM348-14,0)*4+IF(FM348&gt;15,FM348-15,0)*4+IF(FM348&gt;16,FM348-16,0)*4+IF(FM348&gt;17,FM348-17,0)*4+IF(FM348&gt;18,FM348-18,0)*4+IF(FM348&gt;19,FM348-19,0)*4+IF(FM348&gt;20,FM348-20,0)*4</f>
        <v>351.07692307692321</v>
      </c>
      <c r="FQ348" s="336">
        <f>IF(FN348&lt;=0,4,0)+IF(FN348&gt;0,FN348+1,0)*4+IF(FN348&gt;12,FN348-12,0)*4+IF(FN348&gt;13,FN348-13,0)*4+IF(FN348&gt;14,FN348-14,0)*4+IF(FN348&gt;15,FN348-15,0)*4+IF(FN348&gt;16,FN348-16,0)*4+IF(FN348&gt;17,FN348-17,0)*4+IF(FN348&gt;18,FN348-18,0)*4+IF(FN348&gt;19,FN348-19,0)*4+IF(FN348&gt;20,FN348-20,0)*4</f>
        <v>4</v>
      </c>
      <c r="FR348" s="245">
        <f t="shared" si="3866"/>
        <v>347.07692307692321</v>
      </c>
      <c r="FS348" s="246">
        <f t="shared" si="3867"/>
        <v>0</v>
      </c>
      <c r="FT348" s="248"/>
      <c r="FU348" s="306" t="s">
        <v>500</v>
      </c>
      <c r="FV348" s="314" t="s">
        <v>172</v>
      </c>
      <c r="FW348" s="314" t="s">
        <v>134</v>
      </c>
      <c r="FX348" s="300">
        <f>Konvention_1slave-MUslave</f>
        <v>12</v>
      </c>
      <c r="FY348" s="169"/>
      <c r="FZ348" s="169"/>
      <c r="GA348" s="169">
        <f>Konvention_1slave-CHslave</f>
        <v>12</v>
      </c>
      <c r="GB348" s="169"/>
      <c r="GC348" s="169">
        <f>Konvention_1slave-GEslave_GE</f>
        <v>11</v>
      </c>
      <c r="GD348" s="169"/>
      <c r="GE348" s="301"/>
      <c r="GF348" s="226">
        <f>(FX348+FY348+FZ348+GA348+GB348+GC348+GD348+GE348)/3</f>
        <v>11.666666666666666</v>
      </c>
      <c r="GG348" s="226">
        <f t="shared" si="3869"/>
        <v>23.333333333333332</v>
      </c>
      <c r="GH348" s="227">
        <f t="shared" si="3870"/>
        <v>35</v>
      </c>
      <c r="GI348" s="238">
        <f>FX348*POWER(KLslave,SIGN(FY348))*POWER(INslave,SIGN(FZ348))*POWER(CHslave,SIGN(GA348))*POWER(FFslave,SIGN(GB348))*POWER(GEslave_GE,SIGN(GC348))*POWER(KOslave,SIGN(GD348))*POWER(KKslave,SIGN(GE348))+FY348*POWER(MUslave,SIGN(FX348))*POWER(INslave,SIGN(FZ348))*POWER(CHslave,SIGN(GA348))*POWER(FFslave,SIGN(GB348))*POWER(GEslave_GE,SIGN(GC348))*POWER(KOslave,SIGN(GD348))*POWER(KKslave,SIGN(GE348))+FZ348*POWER(MUslave,SIGN(FX348))*POWER(KLslave,SIGN(FY348))*POWER(CHslave,SIGN(GA348))*POWER(FFslave,SIGN(GB348))*POWER(GEslave_GE,SIGN(GC348))*POWER(KOslave,SIGN(GD348))*POWER(KKslave,SIGN(GE348))+GA348*POWER(MUslave,SIGN(FX348))*POWER(KLslave,SIGN(FY348))*POWER(INslave,SIGN(FZ348))*POWER(FFslave,SIGN(GB348))*POWER(GEslave_GE,SIGN(GC348))*POWER(KOslave,SIGN(GD348))*POWER(KKslave,SIGN(GE348))+GB348*POWER(MUslave,SIGN(FX348))*POWER(KLslave,SIGN(FY348))*POWER(INslave,SIGN(FZ348))*POWER(CHslave,SIGN(GA348))*POWER(GEslave_GE,SIGN(GC348))*POWER(KOslave,SIGN(GD348))*POWER(KKslave,SIGN(GE348))+GC348*POWER(MUslave,SIGN(FX348))*POWER(KLslave,SIGN(FY348))*POWER(INslave,SIGN(FZ348))*POWER(CHslave,SIGN(GA348))*POWER(FFslave,SIGN(GB348))*POWER(KOslave,SIGN(GD348))*POWER(KKslave,SIGN(GE348))+GD348*POWER(MUslave,SIGN(FX348))*POWER(KLslave,SIGN(FY348))*POWER(INslave,SIGN(FZ348))*POWER(CHslave,SIGN(GA348))*POWER(FFslave,SIGN(GB348))*POWER(GEslave_GE,SIGN(GC348))*POWER(KKslave,SIGN(GE348))+GE348*POWER(MUslave,SIGN(FX348))*POWER(KLslave,SIGN(FY348))*POWER(INslave,SIGN(FZ348))*POWER(CHslave,SIGN(GA348))*POWER(FFslave,SIGN(GB348))*POWER(GEslave_GE,SIGN(GC348))*POWER(KOslave,SIGN(GD348))</f>
        <v>2432</v>
      </c>
      <c r="GJ348" s="169">
        <f>FX348*GA348*GEslave_GE+FX348*CHslave*GC348+MUslave*GA348*GC348</f>
        <v>3408</v>
      </c>
      <c r="GK348" s="227">
        <f>IFERROR(FX348^SIGN(FX348),1)*IFERROR(FY348^SIGN(FY348),1)*IFERROR(FZ348^SIGN(FZ348),1)*IFERROR(GA348^SIGN(GA348),1)*IFERROR(GB348^SIGN(GB348),1)*IFERROR(GC348^SIGN(GC348),1)*IFERROR(GD348^SIGN(GD348),1)*IFERROR(GE348^SIGN(GE348),1)</f>
        <v>1584</v>
      </c>
      <c r="GL348" s="227">
        <f t="shared" si="3872"/>
        <v>7424</v>
      </c>
      <c r="GM348" s="225">
        <f t="shared" si="3873"/>
        <v>3.8218390804597702</v>
      </c>
      <c r="GN348" s="226">
        <f t="shared" si="3874"/>
        <v>10.711206896551724</v>
      </c>
      <c r="GO348" s="245">
        <f t="shared" si="3875"/>
        <v>7.4676724137931032</v>
      </c>
      <c r="GP348" s="245">
        <f t="shared" si="3876"/>
        <v>22.000718390804597</v>
      </c>
      <c r="GQ348" s="252">
        <f t="shared" si="2937"/>
        <v>0</v>
      </c>
      <c r="GR348" s="324">
        <f t="shared" si="3877"/>
        <v>22.000718390804597</v>
      </c>
      <c r="GS348" s="314">
        <f>IF(GP348&lt;=0,4,0)+IF(GP348&gt;0,GP348+1,0)*4+IF(GP348&gt;12,GP348-12,0)*4+IF(GP348&gt;13,GP348-13,0)*4+IF(GP348&gt;14,GP348-14,0)*4+IF(GP348&gt;15,GP348-15,0)*4+IF(GP348&gt;16,GP348-16,0)*4+IF(GP348&gt;17,GP348-17,0)*4+IF(GP348&gt;18,GP348-18,0)*4+IF(GP348&gt;19,GP348-19,0)*4+IF(GP348&gt;20,GP348-20,0)*4</f>
        <v>308.02873563218378</v>
      </c>
      <c r="GT348" s="336">
        <f>IF(GQ348&lt;=0,4,0)+IF(GQ348&gt;0,GQ348+1,0)*4+IF(GQ348&gt;12,GQ348-12,0)*4+IF(GQ348&gt;13,GQ348-13,0)*4+IF(GQ348&gt;14,GQ348-14,0)*4+IF(GQ348&gt;15,GQ348-15,0)*4+IF(GQ348&gt;16,GQ348-16,0)*4+IF(GQ348&gt;17,GQ348-17,0)*4+IF(GQ348&gt;18,GQ348-18,0)*4+IF(GQ348&gt;19,GQ348-19,0)*4+IF(GQ348&gt;20,GQ348-20,0)*4</f>
        <v>4</v>
      </c>
      <c r="GU348" s="245">
        <f t="shared" si="3878"/>
        <v>304.02873563218378</v>
      </c>
      <c r="GV348" s="246">
        <f t="shared" si="3879"/>
        <v>0</v>
      </c>
      <c r="GW348" s="248"/>
      <c r="GX348" s="306" t="s">
        <v>500</v>
      </c>
      <c r="GY348" s="314" t="s">
        <v>172</v>
      </c>
      <c r="GZ348" s="314" t="s">
        <v>134</v>
      </c>
      <c r="HA348" s="300">
        <f>Konvention_1slave-MUslave</f>
        <v>12</v>
      </c>
      <c r="HB348" s="169"/>
      <c r="HC348" s="169"/>
      <c r="HD348" s="169">
        <f>Konvention_1slave-CHslave</f>
        <v>12</v>
      </c>
      <c r="HE348" s="169"/>
      <c r="HF348" s="169">
        <f>Konvention_1slave-GEslave</f>
        <v>12</v>
      </c>
      <c r="HG348" s="169"/>
      <c r="HH348" s="301"/>
      <c r="HI348" s="226">
        <f>(HA348+HB348+HC348+HD348+HE348+HF348+HG348+HH348)/3</f>
        <v>12</v>
      </c>
      <c r="HJ348" s="226">
        <f t="shared" si="3881"/>
        <v>24</v>
      </c>
      <c r="HK348" s="227">
        <f t="shared" si="3882"/>
        <v>36</v>
      </c>
      <c r="HL348" s="238">
        <f>HA348*POWER(KLslave,SIGN(HB348))*POWER(INslave,SIGN(HC348))*POWER(CHslave,SIGN(HD348))*POWER(FFslave,SIGN(HE348))*POWER(GEslave,SIGN(HF348))*POWER(KOslave_KO,SIGN(HG348))*POWER(KKslave,SIGN(HH348))+HB348*POWER(MUslave,SIGN(HA348))*POWER(INslave,SIGN(HC348))*POWER(CHslave,SIGN(HD348))*POWER(FFslave,SIGN(HE348))*POWER(GEslave,SIGN(HF348))*POWER(KOslave_KO,SIGN(HG348))*POWER(KKslave,SIGN(HH348))+HC348*POWER(MUslave,SIGN(HA348))*POWER(KLslave,SIGN(HB348))*POWER(CHslave,SIGN(HD348))*POWER(FFslave,SIGN(HE348))*POWER(GEslave,SIGN(HF348))*POWER(KOslave_KO,SIGN(HG348))*POWER(KKslave,SIGN(HH348))+HD348*POWER(MUslave,SIGN(HA348))*POWER(KLslave,SIGN(HB348))*POWER(INslave,SIGN(HC348))*POWER(FFslave,SIGN(HE348))*POWER(GEslave,SIGN(HF348))*POWER(KOslave_KO,SIGN(HG348))*POWER(KKslave,SIGN(HH348))+HE348*POWER(MUslave,SIGN(HA348))*POWER(KLslave,SIGN(HB348))*POWER(INslave,SIGN(HC348))*POWER(CHslave,SIGN(HD348))*POWER(GEslave,SIGN(HF348))*POWER(KOslave_KO,SIGN(HG348))*POWER(KKslave,SIGN(HH348))+HF348*POWER(MUslave,SIGN(HA348))*POWER(KLslave,SIGN(HB348))*POWER(INslave,SIGN(HC348))*POWER(CHslave,SIGN(HD348))*POWER(FFslave,SIGN(HE348))*POWER(KOslave_KO,SIGN(HG348))*POWER(KKslave,SIGN(HH348))+HG348*POWER(MUslave,SIGN(HA348))*POWER(KLslave,SIGN(HB348))*POWER(INslave,SIGN(HC348))*POWER(CHslave,SIGN(HD348))*POWER(FFslave,SIGN(HE348))*POWER(GEslave,SIGN(HF348))*POWER(KKslave,SIGN(HH348))+HH348*POWER(MUslave,SIGN(HA348))*POWER(KLslave,SIGN(HB348))*POWER(INslave,SIGN(HC348))*POWER(CHslave,SIGN(HD348))*POWER(FFslave,SIGN(HE348))*POWER(GEslave,SIGN(HF348))*POWER(KOslave_KO,SIGN(HG348))</f>
        <v>2304</v>
      </c>
      <c r="HM348" s="169">
        <f>HA348*HD348*GEslave+HA348*CHslave*HF348+MUslave*HD348*HF348</f>
        <v>3456</v>
      </c>
      <c r="HN348" s="227">
        <f>IFERROR(HA348^SIGN(HA348),1)*IFERROR(HB348^SIGN(HB348),1)*IFERROR(HC348^SIGN(HC348),1)*IFERROR(HD348^SIGN(HD348),1)*IFERROR(HE348^SIGN(HE348),1)*IFERROR(HF348^SIGN(HF348),1)*IFERROR(HG348^SIGN(HG348),1)*IFERROR(HH348^SIGN(HH348),1)</f>
        <v>1728</v>
      </c>
      <c r="HO348" s="227">
        <f t="shared" si="3884"/>
        <v>7488</v>
      </c>
      <c r="HP348" s="225">
        <f t="shared" si="3885"/>
        <v>3.6923076923076925</v>
      </c>
      <c r="HQ348" s="226">
        <f t="shared" si="3886"/>
        <v>11.076923076923077</v>
      </c>
      <c r="HR348" s="245">
        <f t="shared" si="3887"/>
        <v>8.3076923076923084</v>
      </c>
      <c r="HS348" s="245">
        <f t="shared" si="3888"/>
        <v>23.07692307692308</v>
      </c>
      <c r="HT348" s="252">
        <f t="shared" si="2940"/>
        <v>0</v>
      </c>
      <c r="HU348" s="324">
        <f t="shared" si="3889"/>
        <v>23.07692307692308</v>
      </c>
      <c r="HV348" s="314">
        <f>IF(HS348&lt;=0,4,0)+IF(HS348&gt;0,HS348+1,0)*4+IF(HS348&gt;12,HS348-12,0)*4+IF(HS348&gt;13,HS348-13,0)*4+IF(HS348&gt;14,HS348-14,0)*4+IF(HS348&gt;15,HS348-15,0)*4+IF(HS348&gt;16,HS348-16,0)*4+IF(HS348&gt;17,HS348-17,0)*4+IF(HS348&gt;18,HS348-18,0)*4+IF(HS348&gt;19,HS348-19,0)*4+IF(HS348&gt;20,HS348-20,0)*4</f>
        <v>351.07692307692321</v>
      </c>
      <c r="HW348" s="336">
        <f>IF(HT348&lt;=0,4,0)+IF(HT348&gt;0,HT348+1,0)*4+IF(HT348&gt;12,HT348-12,0)*4+IF(HT348&gt;13,HT348-13,0)*4+IF(HT348&gt;14,HT348-14,0)*4+IF(HT348&gt;15,HT348-15,0)*4+IF(HT348&gt;16,HT348-16,0)*4+IF(HT348&gt;17,HT348-17,0)*4+IF(HT348&gt;18,HT348-18,0)*4+IF(HT348&gt;19,HT348-19,0)*4+IF(HT348&gt;20,HT348-20,0)*4</f>
        <v>4</v>
      </c>
      <c r="HX348" s="245">
        <f t="shared" si="3890"/>
        <v>347.07692307692321</v>
      </c>
      <c r="HY348" s="246">
        <f t="shared" si="3891"/>
        <v>0</v>
      </c>
      <c r="HZ348" s="248"/>
      <c r="IA348" s="306" t="s">
        <v>500</v>
      </c>
      <c r="IB348" s="314" t="s">
        <v>172</v>
      </c>
      <c r="IC348" s="314" t="s">
        <v>134</v>
      </c>
      <c r="ID348" s="300">
        <f>Konvention_1slave-MUslave</f>
        <v>12</v>
      </c>
      <c r="IE348" s="169"/>
      <c r="IF348" s="169"/>
      <c r="IG348" s="169">
        <f>Konvention_1slave-CHslave</f>
        <v>12</v>
      </c>
      <c r="IH348" s="169"/>
      <c r="II348" s="169">
        <f>Konvention_1slave-GEslave</f>
        <v>12</v>
      </c>
      <c r="IJ348" s="169"/>
      <c r="IK348" s="301"/>
      <c r="IL348" s="226">
        <f>(ID348+IE348+IF348+IG348+IH348+II348+IJ348+IK348)/3</f>
        <v>12</v>
      </c>
      <c r="IM348" s="226">
        <f t="shared" si="3893"/>
        <v>24</v>
      </c>
      <c r="IN348" s="227">
        <f t="shared" si="3894"/>
        <v>36</v>
      </c>
      <c r="IO348" s="238">
        <f>ID348*POWER(KLslave,SIGN(IE348))*POWER(INslave,SIGN(IF348))*POWER(CHslave,SIGN(IG348))*POWER(FFslave,SIGN(IH348))*POWER(GEslave,SIGN(II348))*POWER(KOslave,SIGN(IJ348))*POWER(KKslave_KK,SIGN(IK348))+IE348*POWER(MUslave,SIGN(ID348))*POWER(INslave,SIGN(IF348))*POWER(CHslave,SIGN(IG348))*POWER(FFslave,SIGN(IH348))*POWER(GEslave,SIGN(II348))*POWER(KOslave,SIGN(IJ348))*POWER(KKslave_KK,SIGN(IK348))+IF348*POWER(MUslave,SIGN(ID348))*POWER(KLslave,SIGN(IE348))*POWER(CHslave,SIGN(IG348))*POWER(FFslave,SIGN(IH348))*POWER(GEslave,SIGN(II348))*POWER(KOslave,SIGN(IJ348))*POWER(KKslave_KK,SIGN(IK348))+IG348*POWER(MUslave,SIGN(ID348))*POWER(KLslave,SIGN(IE348))*POWER(INslave,SIGN(IF348))*POWER(FFslave,SIGN(IH348))*POWER(GEslave,SIGN(II348))*POWER(KOslave,SIGN(IJ348))*POWER(KKslave_KK,SIGN(IK348))+IH348*POWER(MUslave,SIGN(ID348))*POWER(KLslave,SIGN(IE348))*POWER(INslave,SIGN(IF348))*POWER(CHslave,SIGN(IG348))*POWER(GEslave,SIGN(II348))*POWER(KOslave,SIGN(IJ348))*POWER(KKslave_KK,SIGN(IK348))+II348*POWER(MUslave,SIGN(ID348))*POWER(KLslave,SIGN(IE348))*POWER(INslave,SIGN(IF348))*POWER(CHslave,SIGN(IG348))*POWER(FFslave,SIGN(IH348))*POWER(KOslave,SIGN(IJ348))*POWER(KKslave_KK,SIGN(IK348))+IJ348*POWER(MUslave,SIGN(ID348))*POWER(KLslave,SIGN(IE348))*POWER(INslave,SIGN(IF348))*POWER(CHslave,SIGN(IG348))*POWER(FFslave,SIGN(IH348))*POWER(GEslave,SIGN(II348))*POWER(KKslave_KK,SIGN(IK348))+IK348*POWER(MUslave,SIGN(ID348))*POWER(KLslave,SIGN(IE348))*POWER(INslave,SIGN(IF348))*POWER(CHslave,SIGN(IG348))*POWER(FFslave,SIGN(IH348))*POWER(GEslave,SIGN(II348))*POWER(KOslave,SIGN(IJ348))</f>
        <v>2304</v>
      </c>
      <c r="IP348" s="169">
        <f>ID348*IG348*GEslave+ID348*CHslave*II348+MUslave*IG348*II348</f>
        <v>3456</v>
      </c>
      <c r="IQ348" s="227">
        <f>IFERROR(ID348^SIGN(ID348),1)*IFERROR(IE348^SIGN(IE348),1)*IFERROR(IF348^SIGN(IF348),1)*IFERROR(IG348^SIGN(IG348),1)*IFERROR(IH348^SIGN(IH348),1)*IFERROR(II348^SIGN(II348),1)*IFERROR(IJ348^SIGN(IJ348),1)*IFERROR(IK348^SIGN(IK348),1)</f>
        <v>1728</v>
      </c>
      <c r="IR348" s="227">
        <f t="shared" si="3896"/>
        <v>7488</v>
      </c>
      <c r="IS348" s="225">
        <f t="shared" si="3897"/>
        <v>3.6923076923076925</v>
      </c>
      <c r="IT348" s="226">
        <f t="shared" si="3898"/>
        <v>11.076923076923077</v>
      </c>
      <c r="IU348" s="245">
        <f t="shared" si="3899"/>
        <v>8.3076923076923084</v>
      </c>
      <c r="IV348" s="245">
        <f t="shared" si="3900"/>
        <v>23.07692307692308</v>
      </c>
      <c r="IW348" s="252">
        <f t="shared" si="2943"/>
        <v>0</v>
      </c>
      <c r="IX348" s="324">
        <f t="shared" si="3901"/>
        <v>23.07692307692308</v>
      </c>
      <c r="IY348" s="314">
        <f>IF(IV348&lt;=0,4,0)+IF(IV348&gt;0,IV348+1,0)*4+IF(IV348&gt;12,IV348-12,0)*4+IF(IV348&gt;13,IV348-13,0)*4+IF(IV348&gt;14,IV348-14,0)*4+IF(IV348&gt;15,IV348-15,0)*4+IF(IV348&gt;16,IV348-16,0)*4+IF(IV348&gt;17,IV348-17,0)*4+IF(IV348&gt;18,IV348-18,0)*4+IF(IV348&gt;19,IV348-19,0)*4+IF(IV348&gt;20,IV348-20,0)*4</f>
        <v>351.07692307692321</v>
      </c>
      <c r="IZ348" s="336">
        <f>IF(IW348&lt;=0,4,0)+IF(IW348&gt;0,IW348+1,0)*4+IF(IW348&gt;12,IW348-12,0)*4+IF(IW348&gt;13,IW348-13,0)*4+IF(IW348&gt;14,IW348-14,0)*4+IF(IW348&gt;15,IW348-15,0)*4+IF(IW348&gt;16,IW348-16,0)*4+IF(IW348&gt;17,IW348-17,0)*4+IF(IW348&gt;18,IW348-18,0)*4+IF(IW348&gt;19,IW348-19,0)*4+IF(IW348&gt;20,IW348-20,0)*4</f>
        <v>4</v>
      </c>
      <c r="JA348" s="245">
        <f t="shared" si="3902"/>
        <v>347.07692307692321</v>
      </c>
      <c r="JB348" s="246">
        <f t="shared" si="3903"/>
        <v>0</v>
      </c>
      <c r="JE348" s="148"/>
    </row>
    <row r="349" spans="1:265" ht="15.75" hidden="1" outlineLevel="1" collapsed="1" thickBot="1">
      <c r="A349" s="185"/>
      <c r="C349" s="248"/>
      <c r="Y349" s="251"/>
      <c r="Z349" s="197"/>
      <c r="AF349" s="140"/>
      <c r="BB349" s="197"/>
      <c r="BC349" s="197"/>
      <c r="BI349" s="248"/>
      <c r="CE349" s="251"/>
      <c r="CF349" s="251"/>
      <c r="CL349" s="248"/>
      <c r="DH349" s="251"/>
      <c r="DI349" s="251"/>
      <c r="DO349" s="248"/>
      <c r="EK349" s="251"/>
      <c r="EL349" s="251"/>
      <c r="ER349" s="248"/>
      <c r="FN349" s="251"/>
      <c r="FO349" s="251"/>
      <c r="FU349" s="248"/>
      <c r="GQ349" s="251"/>
      <c r="GR349" s="251"/>
      <c r="GX349" s="248"/>
      <c r="HT349" s="251"/>
      <c r="HU349" s="251"/>
      <c r="IA349" s="248"/>
      <c r="IW349" s="251"/>
      <c r="IX349" s="251"/>
      <c r="JE349" s="148"/>
    </row>
    <row r="350" spans="1:265" ht="15.75" collapsed="1" thickBot="1">
      <c r="A350" s="135" t="s">
        <v>311</v>
      </c>
      <c r="C350" s="248"/>
      <c r="Y350" s="251"/>
      <c r="Z350" s="197"/>
      <c r="AF350" s="140"/>
      <c r="BB350" s="197"/>
      <c r="BC350" s="197"/>
      <c r="BI350" s="248"/>
      <c r="CE350" s="251"/>
      <c r="CF350" s="251"/>
      <c r="CL350" s="248"/>
      <c r="DH350" s="251"/>
      <c r="DI350" s="251"/>
      <c r="DO350" s="248"/>
      <c r="EK350" s="251"/>
      <c r="EL350" s="251"/>
      <c r="ER350" s="248"/>
      <c r="FN350" s="251"/>
      <c r="FO350" s="251"/>
      <c r="FU350" s="248"/>
      <c r="GQ350" s="251"/>
      <c r="GR350" s="251"/>
      <c r="GX350" s="248"/>
      <c r="HT350" s="251"/>
      <c r="HU350" s="251"/>
      <c r="IA350" s="248"/>
      <c r="IW350" s="251"/>
      <c r="IX350" s="251"/>
      <c r="JE350" s="148"/>
    </row>
    <row r="351" spans="1:265" hidden="1" outlineLevel="1">
      <c r="B351" s="134" t="s">
        <v>327</v>
      </c>
      <c r="C351" s="248" t="s">
        <v>281</v>
      </c>
      <c r="D351" s="201" t="s">
        <v>279</v>
      </c>
      <c r="E351" s="201" t="s">
        <v>280</v>
      </c>
      <c r="Y351" s="251"/>
      <c r="Z351" s="197"/>
      <c r="AF351" s="140" t="s">
        <v>281</v>
      </c>
      <c r="AG351" s="148" t="s">
        <v>279</v>
      </c>
      <c r="AH351" s="148" t="s">
        <v>280</v>
      </c>
      <c r="BB351" s="197"/>
      <c r="BC351" s="197"/>
      <c r="BI351" s="248" t="s">
        <v>281</v>
      </c>
      <c r="BJ351" s="217" t="s">
        <v>279</v>
      </c>
      <c r="BK351" s="217" t="s">
        <v>280</v>
      </c>
      <c r="CE351" s="251"/>
      <c r="CF351" s="251"/>
      <c r="CL351" s="248" t="s">
        <v>281</v>
      </c>
      <c r="CM351" s="217" t="s">
        <v>279</v>
      </c>
      <c r="CN351" s="217" t="s">
        <v>280</v>
      </c>
      <c r="DH351" s="251"/>
      <c r="DI351" s="251"/>
      <c r="DO351" s="248" t="s">
        <v>281</v>
      </c>
      <c r="DP351" s="217" t="s">
        <v>279</v>
      </c>
      <c r="DQ351" s="217" t="s">
        <v>280</v>
      </c>
      <c r="EK351" s="251"/>
      <c r="EL351" s="251"/>
      <c r="ER351" s="248" t="s">
        <v>281</v>
      </c>
      <c r="ES351" s="217" t="s">
        <v>279</v>
      </c>
      <c r="ET351" s="217" t="s">
        <v>280</v>
      </c>
      <c r="FN351" s="251"/>
      <c r="FO351" s="251"/>
      <c r="FU351" s="248" t="s">
        <v>281</v>
      </c>
      <c r="FV351" s="217" t="s">
        <v>279</v>
      </c>
      <c r="FW351" s="217" t="s">
        <v>280</v>
      </c>
      <c r="GQ351" s="251"/>
      <c r="GR351" s="251"/>
      <c r="GX351" s="248" t="s">
        <v>281</v>
      </c>
      <c r="GY351" s="217" t="s">
        <v>279</v>
      </c>
      <c r="GZ351" s="217" t="s">
        <v>280</v>
      </c>
      <c r="HT351" s="251"/>
      <c r="HU351" s="251"/>
      <c r="IA351" s="248" t="s">
        <v>281</v>
      </c>
      <c r="IB351" s="217" t="s">
        <v>279</v>
      </c>
      <c r="IC351" s="217" t="s">
        <v>280</v>
      </c>
      <c r="IW351" s="251"/>
      <c r="IX351" s="251"/>
      <c r="JE351" s="148"/>
    </row>
    <row r="352" spans="1:265" hidden="1" outlineLevel="2">
      <c r="B352" s="148">
        <v>1</v>
      </c>
      <c r="C352" s="302" t="e">
        <f>VLOOKUP(AF352,Attribute!C:T,1,FALSE)</f>
        <v>#N/A</v>
      </c>
      <c r="D352" s="85" t="s">
        <v>170</v>
      </c>
      <c r="E352" s="158" t="s">
        <v>134</v>
      </c>
      <c r="F352" s="118"/>
      <c r="G352" s="118">
        <f>Konvention_1master-KLmaster</f>
        <v>12</v>
      </c>
      <c r="H352" s="118">
        <f>Konvention_1master-INmaster</f>
        <v>12</v>
      </c>
      <c r="I352" s="118"/>
      <c r="J352" s="118">
        <f>Konvention_1master-FFmaster</f>
        <v>12</v>
      </c>
      <c r="K352" s="118"/>
      <c r="L352" s="118"/>
      <c r="M352" s="118"/>
      <c r="N352" s="219">
        <f>(F352+G352+H352+I352+J352+K352+L352+M352)/3</f>
        <v>12</v>
      </c>
      <c r="O352" s="220">
        <f>2*N352</f>
        <v>24</v>
      </c>
      <c r="P352" s="221">
        <f>3*N352</f>
        <v>36</v>
      </c>
      <c r="Q352" s="233">
        <f>F352*POWER(KLmaster,SIGN(G352))*POWER(INmaster,SIGN(H352))*POWER(CHmaster,SIGN(I352))*POWER(FFmaster,SIGN(J352))*POWER(GEmaster,SIGN(K352))*POWER(KOmaster,SIGN(L352))*POWER(KKmaster,SIGN(M352))+G352*POWER(MUmaster,SIGN(F352))*POWER(INmaster,SIGN(H352))*POWER(CHmaster,SIGN(I352))*POWER(FFmaster,SIGN(J352))*POWER(GEmaster,SIGN(K352))*POWER(KOmaster,SIGN(L352))*POWER(KKmaster,SIGN(M352))+H352*POWER(MUmaster,SIGN(F352))*POWER(KLmaster,SIGN(G352))*POWER(CHmaster,SIGN(I352))*POWER(FFmaster,SIGN(J352))*POWER(GEmaster,SIGN(K352))*POWER(KOmaster,SIGN(L352))*POWER(KKmaster,SIGN(M352))+I352*POWER(MUmaster,SIGN(F352))*POWER(KLmaster,SIGN(G352))*POWER(INmaster,SIGN(H352))*POWER(FFmaster,SIGN(J352))*POWER(GEmaster,SIGN(K352))*POWER(KOmaster,SIGN(L352))*POWER(KKmaster,SIGN(M352))+J352*POWER(MUmaster,SIGN(F352))*POWER(KLmaster,SIGN(G352))*POWER(INmaster,SIGN(H352))*POWER(CHmaster,SIGN(I352))*POWER(GEmaster,SIGN(K352))*POWER(KOmaster,SIGN(L352))*POWER(KKmaster,SIGN(M352))+K352*POWER(MUmaster,SIGN(F352))*POWER(KLmaster,SIGN(G352))*POWER(INmaster,SIGN(H352))*POWER(CHmaster,SIGN(I352))*POWER(FFmaster,SIGN(J352))*POWER(KOmaster,SIGN(L352))*POWER(KKmaster,SIGN(M352))+L352*POWER(MUmaster,SIGN(F352))*POWER(KLmaster,SIGN(G352))*POWER(INmaster,SIGN(H352))*POWER(CHmaster,SIGN(I352))*POWER(FFmaster,SIGN(J352))*POWER(GEmaster,SIGN(K352))*POWER(KKmaster,SIGN(M352))+M352*POWER(MUmaster,SIGN(F352))*POWER(KLmaster,SIGN(G352))*POWER(INmaster,SIGN(H352))*POWER(CHmaster,SIGN(I352))*POWER(FFmaster,SIGN(J352))*POWER(GEmaster,SIGN(K352))*POWER(KOmaster,SIGN(L352))</f>
        <v>2304</v>
      </c>
      <c r="R352" s="118">
        <f>G352*H352*FFmaster+G352*INmaster*J352+KLmaster*H352*J352</f>
        <v>3456</v>
      </c>
      <c r="S352" s="233">
        <f>IFERROR(F352^SIGN(F352),1)*IFERROR(G352^SIGN(G352),1)*IFERROR(H352^SIGN(H352),1)*IFERROR(I352^SIGN(I352),1)*IFERROR(J352^SIGN(J352),1)*IFERROR(K352^SIGN(K352),1)*IFERROR(L352^SIGN(L352),1)*IFERROR(M352^SIGN(M352),1)</f>
        <v>1728</v>
      </c>
      <c r="T352" s="78">
        <f>SUM(Q352:S352)</f>
        <v>7488</v>
      </c>
      <c r="U352" s="220">
        <f>N352*Q352/T352</f>
        <v>3.6923076923076925</v>
      </c>
      <c r="V352" s="220">
        <f>O352*R352/T352</f>
        <v>11.076923076923077</v>
      </c>
      <c r="W352" s="220">
        <f>P352*S352/T352</f>
        <v>8.3076923076923084</v>
      </c>
      <c r="X352" s="42">
        <f>SUM(U352:W352)</f>
        <v>23.07692307692308</v>
      </c>
      <c r="Y352" s="252">
        <v>0</v>
      </c>
      <c r="Z352" s="198">
        <f>X352-Y352</f>
        <v>23.07692307692308</v>
      </c>
      <c r="AA352" s="158">
        <f>IF(X352&lt;=0,4,0)+IF(X352&gt;0,X352+1,0)*4+IF(X352&gt;12,X352-12,0)*4+IF(X352&gt;13,X352-13,0)*4+IF(X352&gt;14,X352-14,0)*4+IF(X352&gt;15,X352-15,0)*4+IF(X352&gt;16,X352-16,0)*4+IF(X352&gt;17,X352-17,0)*4+IF(X352&gt;18,X352-18,0)*4+IF(X352&gt;19,X352-19,0)*4+IF(X352&gt;20,X352-20,0)*4</f>
        <v>351.07692307692321</v>
      </c>
      <c r="AB352" s="91">
        <f>IF(Y352&lt;=0,4,0)+IF(Y352&gt;0,Y352+1,0)*4+IF(Y352&gt;12,Y352-12,0)*4+IF(Y352&gt;13,Y352-13,0)*4+IF(Y352&gt;14,Y352-14,0)*4+IF(Y352&gt;15,Y352-15,0)*4+IF(Y352&gt;16,Y352-16,0)*4+IF(Y352&gt;17,Y352-17,0)*4+IF(Y352&gt;18,Y352-18,0)*4+IF(Y352&gt;19,Y352-19,0)*4+IF(Y352&gt;20,Y352-20,0)*4</f>
        <v>4</v>
      </c>
      <c r="AC352" s="126">
        <f>IF((AA352-AB352)&gt;0,AA352-AB352,0)</f>
        <v>347.07692307692321</v>
      </c>
      <c r="AD352" s="158">
        <f>IF((AB352-AA352)&gt;0,AB352-AA352,0)</f>
        <v>0</v>
      </c>
      <c r="AF352" s="162" t="s">
        <v>228</v>
      </c>
      <c r="AG352" s="85" t="s">
        <v>170</v>
      </c>
      <c r="AH352" s="158" t="s">
        <v>134</v>
      </c>
      <c r="AI352" s="118"/>
      <c r="AJ352" s="118">
        <f>Konvention_1slave-KLslave</f>
        <v>12</v>
      </c>
      <c r="AK352" s="118">
        <f>Konvention_1slave-INslave</f>
        <v>12</v>
      </c>
      <c r="AL352" s="118"/>
      <c r="AM352" s="118">
        <f>Konvention_1slave-FFslave</f>
        <v>12</v>
      </c>
      <c r="AN352" s="118"/>
      <c r="AO352" s="118"/>
      <c r="AP352" s="118"/>
      <c r="AQ352" s="193">
        <f>(AI352+AJ352+AK352+AL352+AM352+AN352+AO352+AP352)/3</f>
        <v>12</v>
      </c>
      <c r="AR352" s="116">
        <f>2*AQ352</f>
        <v>24</v>
      </c>
      <c r="AS352" s="92">
        <f>3*AQ352</f>
        <v>36</v>
      </c>
      <c r="AT352" s="118">
        <f>AI352*POWER(KLslave,SIGN(AJ352))*POWER(INslave,SIGN(AK352))*POWER(CHslave,SIGN(AL352))*POWER(FFslave,SIGN(AM352))*POWER(GEslave,SIGN(AN352))*POWER(KOslave,SIGN(AO352))*POWER(KKslave,SIGN(AP352))+AJ352*POWER(MUslave_MU,SIGN(AI352))*POWER(INslave,SIGN(AK352))*POWER(CHslave,SIGN(AL352))*POWER(FFslave,SIGN(AM352))*POWER(GEslave,SIGN(AN352))*POWER(KOslave,SIGN(AO352))*POWER(KKslave,SIGN(AP352))+AK352*POWER(MUslave_MU,SIGN(AI352))*POWER(KLslave,SIGN(AJ352))*POWER(CHslave,SIGN(AL352))*POWER(FFslave,SIGN(AM352))*POWER(GEslave,SIGN(AN352))*POWER(KOslave,SIGN(AO352))*POWER(KKslave,SIGN(AP352))+AL352*POWER(MUslave_MU,SIGN(AI352))*POWER(KLslave,SIGN(AJ352))*POWER(INslave,SIGN(AK352))*POWER(FFslave,SIGN(AM352))*POWER(GEslave,SIGN(AN352))*POWER(KOslave,SIGN(AO352))*POWER(KKslave,SIGN(AP352))+AM352*POWER(MUslave_MU,SIGN(AI352))*POWER(KLslave,SIGN(AJ352))*POWER(INslave,SIGN(AK352))*POWER(CHslave,SIGN(AL352))*POWER(GEslave,SIGN(AN352))*POWER(KOslave,SIGN(AO352))*POWER(KKslave,SIGN(AP352))+AN352*POWER(MUslave_MU,SIGN(AI352))*POWER(KLslave,SIGN(AJ352))*POWER(INslave,SIGN(AK352))*POWER(CHslave,SIGN(AL352))*POWER(FFslave,SIGN(AM352))*POWER(KOslave,SIGN(AO352))*POWER(KKslave,SIGN(AP352))+AO352*POWER(MUslave_MU,SIGN(AI352))*POWER(KLslave,SIGN(AJ352))*POWER(INslave,SIGN(AK352))*POWER(CHslave,SIGN(AL352))*POWER(FFslave,SIGN(AM352))*POWER(GEslave,SIGN(AN352))*POWER(KKslave,SIGN(AP352))+AP352*POWER(MUslave_MU,SIGN(AI352))*POWER(KLslave,SIGN(AJ352))*POWER(INslave,SIGN(AK352))*POWER(CHslave,SIGN(AL352))*POWER(FFslave,SIGN(AM352))*POWER(GEslave,SIGN(AN352))*POWER(KOslave,SIGN(AO352))</f>
        <v>2304</v>
      </c>
      <c r="AU352" s="118">
        <f>AJ352*AK352*FFslave+AJ352*INslave*AM352+KLslave*AK352*AM352</f>
        <v>3456</v>
      </c>
      <c r="AV352" s="118">
        <f>IFERROR(AI352^SIGN(AI352),1)*IFERROR(AJ352^SIGN(AJ352),1)*IFERROR(AK352^SIGN(AK352),1)*IFERROR(AL352^SIGN(AL352),1)*IFERROR(AM352^SIGN(AM352),1)*IFERROR(AN352^SIGN(AN352),1)*IFERROR(AO352^SIGN(AO352),1)*IFERROR(AP352^SIGN(AP352),1)</f>
        <v>1728</v>
      </c>
      <c r="AW352" s="91">
        <f>SUM(AT352:AV352)</f>
        <v>7488</v>
      </c>
      <c r="AX352" s="116">
        <f>AQ352*AT352/AW352</f>
        <v>3.6923076923076925</v>
      </c>
      <c r="AY352" s="116">
        <f>AR352*AU352/AW352</f>
        <v>11.076923076923077</v>
      </c>
      <c r="AZ352" s="116">
        <f>AS352*AV352/AW352</f>
        <v>8.3076923076923084</v>
      </c>
      <c r="BA352" s="158">
        <f>SUM(AX352:AZ352)</f>
        <v>23.07692307692308</v>
      </c>
      <c r="BB352" s="165">
        <f t="shared" ref="BB352:BB355" si="3904">Y352</f>
        <v>0</v>
      </c>
      <c r="BC352" s="198">
        <f>BA352-BB352</f>
        <v>23.07692307692308</v>
      </c>
      <c r="BD352" s="158">
        <f>IF(BA352&lt;=0,4,0)+IF(BA352&gt;0,BA352+1,0)*4+IF(BA352&gt;12,BA352-12,0)*4+IF(BA352&gt;13,BA352-13,0)*4+IF(BA352&gt;14,BA352-14,0)*4+IF(BA352&gt;15,BA352-15,0)*4+IF(BA352&gt;16,BA352-16,0)*4+IF(BA352&gt;17,BA352-17,0)*4+IF(BA352&gt;18,BA352-18,0)*4+IF(BA352&gt;19,BA352-19,0)*4+IF(BA352&gt;20,BA352-20,0)*4</f>
        <v>351.07692307692321</v>
      </c>
      <c r="BE352" s="91">
        <f>IF(BB352&lt;=0,4,0)+IF(BB352&gt;0,BB352+1,0)*4+IF(BB352&gt;12,BB352-12,0)*4+IF(BB352&gt;13,BB352-13,0)*4+IF(BB352&gt;14,BB352-14,0)*4+IF(BB352&gt;15,BB352-15,0)*4+IF(BB352&gt;16,BB352-16,0)*4+IF(BB352&gt;17,BB352-17,0)*4+IF(BB352&gt;18,BB352-18,0)*4+IF(BB352&gt;19,BB352-19,0)*4+IF(BB352&gt;20,BB352-20,0)*4</f>
        <v>4</v>
      </c>
      <c r="BF352" s="241">
        <f>IF((BD352-BE352)&gt;0,BD352-BE352,0)</f>
        <v>347.07692307692321</v>
      </c>
      <c r="BG352" s="42">
        <f>IF((BE352-BD352)&gt;0,BE352-BD352,0)</f>
        <v>0</v>
      </c>
      <c r="BI352" s="302" t="s">
        <v>228</v>
      </c>
      <c r="BJ352" s="43" t="s">
        <v>170</v>
      </c>
      <c r="BK352" s="42" t="s">
        <v>134</v>
      </c>
      <c r="BL352" s="233"/>
      <c r="BM352" s="233">
        <f>Konvention_1slave-KLslave_KL</f>
        <v>11</v>
      </c>
      <c r="BN352" s="233">
        <f>Konvention_1slave-INslave</f>
        <v>12</v>
      </c>
      <c r="BO352" s="233"/>
      <c r="BP352" s="233">
        <f>Konvention_1slave-FFslave</f>
        <v>12</v>
      </c>
      <c r="BQ352" s="233"/>
      <c r="BR352" s="233"/>
      <c r="BS352" s="233"/>
      <c r="BT352" s="219">
        <f>(BL352+BM352+BN352+BO352+BP352+BQ352+BR352+BS352)/3</f>
        <v>11.666666666666666</v>
      </c>
      <c r="BU352" s="220">
        <f>2*BT352</f>
        <v>23.333333333333332</v>
      </c>
      <c r="BV352" s="221">
        <f>3*BT352</f>
        <v>35</v>
      </c>
      <c r="BW352" s="233">
        <f>BL352*POWER(KLslave_KL,SIGN(BM352))*POWER(INslave,SIGN(BN352))*POWER(CHslave,SIGN(BO352))*POWER(FFslave,SIGN(BP352))*POWER(GEslave,SIGN(BQ352))*POWER(KOslave,SIGN(BR352))*POWER(KKslave,SIGN(BS352))+BM352*POWER(MUslave,SIGN(BL352))*POWER(INslave,SIGN(BN352))*POWER(CHslave,SIGN(BO352))*POWER(FFslave,SIGN(BP352))*POWER(GEslave,SIGN(BQ352))*POWER(KOslave,SIGN(BR352))*POWER(KKslave,SIGN(BS352))+BN352*POWER(MUslave,SIGN(BL352))*POWER(KLslave_KL,SIGN(BM352))*POWER(CHslave,SIGN(BO352))*POWER(FFslave,SIGN(BP352))*POWER(GEslave,SIGN(BQ352))*POWER(KOslave,SIGN(BR352))*POWER(KKslave,SIGN(BS352))+BO352*POWER(MUslave,SIGN(BL352))*POWER(KLslave_KL,SIGN(BM352))*POWER(INslave,SIGN(BN352))*POWER(FFslave,SIGN(BP352))*POWER(GEslave,SIGN(BQ352))*POWER(KOslave,SIGN(BR352))*POWER(KKslave,SIGN(BS352))+BP352*POWER(MUslave,SIGN(BL352))*POWER(KLslave_KL,SIGN(BM352))*POWER(INslave,SIGN(BN352))*POWER(CHslave,SIGN(BO352))*POWER(GEslave,SIGN(BQ352))*POWER(KOslave,SIGN(BR352))*POWER(KKslave,SIGN(BS352))+BQ352*POWER(MUslave,SIGN(BL352))*POWER(KLslave_KL,SIGN(BM352))*POWER(INslave,SIGN(BN352))*POWER(CHslave,SIGN(BO352))*POWER(FFslave,SIGN(BP352))*POWER(KOslave,SIGN(BR352))*POWER(KKslave,SIGN(BS352))+BR352*POWER(MUslave,SIGN(BL352))*POWER(KLslave_KL,SIGN(BM352))*POWER(INslave,SIGN(BN352))*POWER(CHslave,SIGN(BO352))*POWER(FFslave,SIGN(BP352))*POWER(GEslave,SIGN(BQ352))*POWER(KKslave,SIGN(BS352))+BS352*POWER(MUslave,SIGN(BL352))*POWER(KLslave_KL,SIGN(BM352))*POWER(INslave,SIGN(BN352))*POWER(CHslave,SIGN(BO352))*POWER(FFslave,SIGN(BP352))*POWER(GEslave,SIGN(BQ352))*POWER(KOslave,SIGN(BR352))</f>
        <v>2432</v>
      </c>
      <c r="BX352" s="233">
        <f>BM352*BN352*FFslave+BM352*INslave*BP352+KLslave_KL*BN352*BP352</f>
        <v>3408</v>
      </c>
      <c r="BY352" s="233">
        <f>IFERROR(BL352^SIGN(BL352),1)*IFERROR(BM352^SIGN(BM352),1)*IFERROR(BN352^SIGN(BN352),1)*IFERROR(BO352^SIGN(BO352),1)*IFERROR(BP352^SIGN(BP352),1)*IFERROR(BQ352^SIGN(BQ352),1)*IFERROR(BR352^SIGN(BR352),1)*IFERROR(BS352^SIGN(BS352),1)</f>
        <v>1584</v>
      </c>
      <c r="BZ352" s="78">
        <f>SUM(BW352:BY352)</f>
        <v>7424</v>
      </c>
      <c r="CA352" s="220">
        <f>BT352*BW352/BZ352</f>
        <v>3.8218390804597702</v>
      </c>
      <c r="CB352" s="220">
        <f>BU352*BX352/BZ352</f>
        <v>10.711206896551724</v>
      </c>
      <c r="CC352" s="220">
        <f>BV352*BY352/BZ352</f>
        <v>7.4676724137931032</v>
      </c>
      <c r="CD352" s="42">
        <f>SUM(CA352:CC352)</f>
        <v>22.000718390804597</v>
      </c>
      <c r="CE352" s="252">
        <f t="shared" ref="CE352:CE355" si="3905">BB352</f>
        <v>0</v>
      </c>
      <c r="CF352" s="309">
        <f>CD352-CE352</f>
        <v>22.000718390804597</v>
      </c>
      <c r="CG352" s="42">
        <f>IF(CD352&lt;=0,4,0)+IF(CD352&gt;0,CD352+1,0)*4+IF(CD352&gt;12,CD352-12,0)*4+IF(CD352&gt;13,CD352-13,0)*4+IF(CD352&gt;14,CD352-14,0)*4+IF(CD352&gt;15,CD352-15,0)*4+IF(CD352&gt;16,CD352-16,0)*4+IF(CD352&gt;17,CD352-17,0)*4+IF(CD352&gt;18,CD352-18,0)*4+IF(CD352&gt;19,CD352-19,0)*4+IF(CD352&gt;20,CD352-20,0)*4</f>
        <v>308.02873563218378</v>
      </c>
      <c r="CH352" s="78">
        <f>IF(CE352&lt;=0,4,0)+IF(CE352&gt;0,CE352+1,0)*4+IF(CE352&gt;12,CE352-12,0)*4+IF(CE352&gt;13,CE352-13,0)*4+IF(CE352&gt;14,CE352-14,0)*4+IF(CE352&gt;15,CE352-15,0)*4+IF(CE352&gt;16,CE352-16,0)*4+IF(CE352&gt;17,CE352-17,0)*4+IF(CE352&gt;18,CE352-18,0)*4+IF(CE352&gt;19,CE352-19,0)*4+IF(CE352&gt;20,CE352-20,0)*4</f>
        <v>4</v>
      </c>
      <c r="CI352" s="241">
        <f>IF((CG352-CH352)&gt;0,CG352-CH352,0)</f>
        <v>304.02873563218378</v>
      </c>
      <c r="CJ352" s="42">
        <f>IF((CH352-CG352)&gt;0,CH352-CG352,0)</f>
        <v>0</v>
      </c>
      <c r="CL352" s="302" t="s">
        <v>228</v>
      </c>
      <c r="CM352" s="43" t="s">
        <v>170</v>
      </c>
      <c r="CN352" s="42" t="s">
        <v>134</v>
      </c>
      <c r="CO352" s="233"/>
      <c r="CP352" s="233">
        <f>Konvention_1slave-KLslave</f>
        <v>12</v>
      </c>
      <c r="CQ352" s="233">
        <f>Konvention_1slave-INslave_IN</f>
        <v>11</v>
      </c>
      <c r="CR352" s="233"/>
      <c r="CS352" s="233">
        <f>Konvention_1slave-FFslave</f>
        <v>12</v>
      </c>
      <c r="CT352" s="233"/>
      <c r="CU352" s="233"/>
      <c r="CV352" s="233"/>
      <c r="CW352" s="219">
        <f>(CO352+CP352+CQ352+CR352+CS352+CT352+CU352+CV352)/3</f>
        <v>11.666666666666666</v>
      </c>
      <c r="CX352" s="220">
        <f>2*CW352</f>
        <v>23.333333333333332</v>
      </c>
      <c r="CY352" s="221">
        <f>3*CW352</f>
        <v>35</v>
      </c>
      <c r="CZ352" s="233">
        <f>CO352*POWER(KLslave,SIGN(CP352))*POWER(INslave_IN,SIGN(CQ352))*POWER(CHslave,SIGN(CR352))*POWER(FFslave,SIGN(CS352))*POWER(GEslave,SIGN(CT352))*POWER(KOslave,SIGN(CU352))*POWER(KKslave,SIGN(CV352))+CP352*POWER(MUslave,SIGN(CO352))*POWER(INslave_IN,SIGN(CQ352))*POWER(CHslave,SIGN(CR352))*POWER(FFslave,SIGN(CS352))*POWER(GEslave,SIGN(CT352))*POWER(KOslave,SIGN(CU352))*POWER(KKslave,SIGN(CV352))+CQ352*POWER(MUslave,SIGN(CO352))*POWER(KLslave,SIGN(CP352))*POWER(CHslave,SIGN(CR352))*POWER(FFslave,SIGN(CS352))*POWER(GEslave,SIGN(CT352))*POWER(KOslave,SIGN(CU352))*POWER(KKslave,SIGN(CV352))+CR352*POWER(MUslave,SIGN(CO352))*POWER(KLslave,SIGN(CP352))*POWER(INslave_IN,SIGN(CQ352))*POWER(FFslave,SIGN(CS352))*POWER(GEslave,SIGN(CT352))*POWER(KOslave,SIGN(CU352))*POWER(KKslave,SIGN(CV352))+CS352*POWER(MUslave,SIGN(CO352))*POWER(KLslave,SIGN(CP352))*POWER(INslave_IN,SIGN(CQ352))*POWER(CHslave,SIGN(CR352))*POWER(GEslave,SIGN(CT352))*POWER(KOslave,SIGN(CU352))*POWER(KKslave,SIGN(CV352))+CT352*POWER(MUslave,SIGN(CO352))*POWER(KLslave,SIGN(CP352))*POWER(INslave_IN,SIGN(CQ352))*POWER(CHslave,SIGN(CR352))*POWER(FFslave,SIGN(CS352))*POWER(KOslave,SIGN(CU352))*POWER(KKslave,SIGN(CV352))+CU352*POWER(MUslave,SIGN(CO352))*POWER(KLslave,SIGN(CP352))*POWER(INslave_IN,SIGN(CQ352))*POWER(CHslave,SIGN(CR352))*POWER(FFslave,SIGN(CS352))*POWER(GEslave,SIGN(CT352))*POWER(KKslave,SIGN(CV352))+CV352*POWER(MUslave,SIGN(CO352))*POWER(KLslave,SIGN(CP352))*POWER(INslave_IN,SIGN(CQ352))*POWER(CHslave,SIGN(CR352))*POWER(FFslave,SIGN(CS352))*POWER(GEslave,SIGN(CT352))*POWER(KOslave,SIGN(CU352))</f>
        <v>2432</v>
      </c>
      <c r="DA352" s="233">
        <f>CP352*CQ352*FFslave+CP352*INslave_IN*CS352+KLslave*CQ352*CS352</f>
        <v>3408</v>
      </c>
      <c r="DB352" s="233">
        <f>IFERROR(CO352^SIGN(CO352),1)*IFERROR(CP352^SIGN(CP352),1)*IFERROR(CQ352^SIGN(CQ352),1)*IFERROR(CR352^SIGN(CR352),1)*IFERROR(CS352^SIGN(CS352),1)*IFERROR(CT352^SIGN(CT352),1)*IFERROR(CU352^SIGN(CU352),1)*IFERROR(CV352^SIGN(CV352),1)</f>
        <v>1584</v>
      </c>
      <c r="DC352" s="78">
        <f>SUM(CZ352:DB352)</f>
        <v>7424</v>
      </c>
      <c r="DD352" s="220">
        <f>CW352*CZ352/DC352</f>
        <v>3.8218390804597702</v>
      </c>
      <c r="DE352" s="220">
        <f>CX352*DA352/DC352</f>
        <v>10.711206896551724</v>
      </c>
      <c r="DF352" s="220">
        <f>CY352*DB352/DC352</f>
        <v>7.4676724137931032</v>
      </c>
      <c r="DG352" s="42">
        <f>SUM(DD352:DF352)</f>
        <v>22.000718390804597</v>
      </c>
      <c r="DH352" s="252">
        <f t="shared" ref="DH352:DH355" si="3906">CE352</f>
        <v>0</v>
      </c>
      <c r="DI352" s="309">
        <f>DG352-DH352</f>
        <v>22.000718390804597</v>
      </c>
      <c r="DJ352" s="42">
        <f>IF(DG352&lt;=0,4,0)+IF(DG352&gt;0,DG352+1,0)*4+IF(DG352&gt;12,DG352-12,0)*4+IF(DG352&gt;13,DG352-13,0)*4+IF(DG352&gt;14,DG352-14,0)*4+IF(DG352&gt;15,DG352-15,0)*4+IF(DG352&gt;16,DG352-16,0)*4+IF(DG352&gt;17,DG352-17,0)*4+IF(DG352&gt;18,DG352-18,0)*4+IF(DG352&gt;19,DG352-19,0)*4+IF(DG352&gt;20,DG352-20,0)*4</f>
        <v>308.02873563218378</v>
      </c>
      <c r="DK352" s="78">
        <f>IF(DH352&lt;=0,4,0)+IF(DH352&gt;0,DH352+1,0)*4+IF(DH352&gt;12,DH352-12,0)*4+IF(DH352&gt;13,DH352-13,0)*4+IF(DH352&gt;14,DH352-14,0)*4+IF(DH352&gt;15,DH352-15,0)*4+IF(DH352&gt;16,DH352-16,0)*4+IF(DH352&gt;17,DH352-17,0)*4+IF(DH352&gt;18,DH352-18,0)*4+IF(DH352&gt;19,DH352-19,0)*4+IF(DH352&gt;20,DH352-20,0)*4</f>
        <v>4</v>
      </c>
      <c r="DL352" s="241">
        <f>IF((DJ352-DK352)&gt;0,DJ352-DK352,0)</f>
        <v>304.02873563218378</v>
      </c>
      <c r="DM352" s="42">
        <f>IF((DK352-DJ352)&gt;0,DK352-DJ352,0)</f>
        <v>0</v>
      </c>
      <c r="DO352" s="302" t="s">
        <v>228</v>
      </c>
      <c r="DP352" s="43" t="s">
        <v>170</v>
      </c>
      <c r="DQ352" s="42" t="s">
        <v>134</v>
      </c>
      <c r="DR352" s="233"/>
      <c r="DS352" s="233">
        <f>Konvention_1slave-KLslave</f>
        <v>12</v>
      </c>
      <c r="DT352" s="233">
        <f>Konvention_1slave-INslave</f>
        <v>12</v>
      </c>
      <c r="DU352" s="233"/>
      <c r="DV352" s="233">
        <f>Konvention_1slave-FFslave</f>
        <v>12</v>
      </c>
      <c r="DW352" s="233"/>
      <c r="DX352" s="233"/>
      <c r="DY352" s="233"/>
      <c r="DZ352" s="219">
        <f>(DR352+DS352+DT352+DU352+DV352+DW352+DX352+DY352)/3</f>
        <v>12</v>
      </c>
      <c r="EA352" s="220">
        <f>2*DZ352</f>
        <v>24</v>
      </c>
      <c r="EB352" s="221">
        <f>3*DZ352</f>
        <v>36</v>
      </c>
      <c r="EC352" s="233">
        <f>DR352*POWER(KLslave,SIGN(DS352))*POWER(INslave,SIGN(DT352))*POWER(CHslave_CH,SIGN(DU352))*POWER(FFslave,SIGN(DV352))*POWER(GEslave,SIGN(DW352))*POWER(KOslave,SIGN(DX352))*POWER(KKslave,SIGN(DY352))+DS352*POWER(MUslave,SIGN(DR352))*POWER(INslave,SIGN(DT352))*POWER(CHslave_CH,SIGN(DU352))*POWER(FFslave,SIGN(DV352))*POWER(GEslave,SIGN(DW352))*POWER(KOslave,SIGN(DX352))*POWER(KKslave,SIGN(DY352))+DT352*POWER(MUslave,SIGN(DR352))*POWER(KLslave,SIGN(DS352))*POWER(CHslave_CH,SIGN(DU352))*POWER(FFslave,SIGN(DV352))*POWER(GEslave,SIGN(DW352))*POWER(KOslave,SIGN(DX352))*POWER(KKslave,SIGN(DY352))+DU352*POWER(MUslave,SIGN(DR352))*POWER(KLslave,SIGN(DS352))*POWER(INslave,SIGN(DT352))*POWER(FFslave,SIGN(DV352))*POWER(GEslave,SIGN(DW352))*POWER(KOslave,SIGN(DX352))*POWER(KKslave,SIGN(DY352))+DV352*POWER(MUslave,SIGN(DR352))*POWER(KLslave,SIGN(DS352))*POWER(INslave,SIGN(DT352))*POWER(CHslave_CH,SIGN(DU352))*POWER(GEslave,SIGN(DW352))*POWER(KOslave,SIGN(DX352))*POWER(KKslave,SIGN(DY352))+DW352*POWER(MUslave,SIGN(DR352))*POWER(KLslave,SIGN(DS352))*POWER(INslave,SIGN(DT352))*POWER(CHslave_CH,SIGN(DU352))*POWER(FFslave,SIGN(DV352))*POWER(KOslave,SIGN(DX352))*POWER(KKslave,SIGN(DY352))+DX352*POWER(MUslave,SIGN(DR352))*POWER(KLslave,SIGN(DS352))*POWER(INslave,SIGN(DT352))*POWER(CHslave_CH,SIGN(DU352))*POWER(FFslave,SIGN(DV352))*POWER(GEslave,SIGN(DW352))*POWER(KKslave,SIGN(DY352))+DY352*POWER(MUslave,SIGN(DR352))*POWER(KLslave,SIGN(DS352))*POWER(INslave,SIGN(DT352))*POWER(CHslave_CH,SIGN(DU352))*POWER(FFslave,SIGN(DV352))*POWER(GEslave,SIGN(DW352))*POWER(KOslave,SIGN(DX352))</f>
        <v>2304</v>
      </c>
      <c r="ED352" s="233">
        <f>DS352*DT352*FFslave+DS352*INslave*DV352+KLslave*DT352*DV352</f>
        <v>3456</v>
      </c>
      <c r="EE352" s="233">
        <f>IFERROR(DR352^SIGN(DR352),1)*IFERROR(DS352^SIGN(DS352),1)*IFERROR(DT352^SIGN(DT352),1)*IFERROR(DU352^SIGN(DU352),1)*IFERROR(DV352^SIGN(DV352),1)*IFERROR(DW352^SIGN(DW352),1)*IFERROR(DX352^SIGN(DX352),1)*IFERROR(DY352^SIGN(DY352),1)</f>
        <v>1728</v>
      </c>
      <c r="EF352" s="78">
        <f>SUM(EC352:EE352)</f>
        <v>7488</v>
      </c>
      <c r="EG352" s="220">
        <f>DZ352*EC352/EF352</f>
        <v>3.6923076923076925</v>
      </c>
      <c r="EH352" s="220">
        <f>EA352*ED352/EF352</f>
        <v>11.076923076923077</v>
      </c>
      <c r="EI352" s="220">
        <f>EB352*EE352/EF352</f>
        <v>8.3076923076923084</v>
      </c>
      <c r="EJ352" s="42">
        <f>SUM(EG352:EI352)</f>
        <v>23.07692307692308</v>
      </c>
      <c r="EK352" s="252">
        <f t="shared" ref="EK352:EK355" si="3907">DH352</f>
        <v>0</v>
      </c>
      <c r="EL352" s="309">
        <f>EJ352-EK352</f>
        <v>23.07692307692308</v>
      </c>
      <c r="EM352" s="42">
        <f>IF(EJ352&lt;=0,4,0)+IF(EJ352&gt;0,EJ352+1,0)*4+IF(EJ352&gt;12,EJ352-12,0)*4+IF(EJ352&gt;13,EJ352-13,0)*4+IF(EJ352&gt;14,EJ352-14,0)*4+IF(EJ352&gt;15,EJ352-15,0)*4+IF(EJ352&gt;16,EJ352-16,0)*4+IF(EJ352&gt;17,EJ352-17,0)*4+IF(EJ352&gt;18,EJ352-18,0)*4+IF(EJ352&gt;19,EJ352-19,0)*4+IF(EJ352&gt;20,EJ352-20,0)*4</f>
        <v>351.07692307692321</v>
      </c>
      <c r="EN352" s="78">
        <f>IF(EK352&lt;=0,4,0)+IF(EK352&gt;0,EK352+1,0)*4+IF(EK352&gt;12,EK352-12,0)*4+IF(EK352&gt;13,EK352-13,0)*4+IF(EK352&gt;14,EK352-14,0)*4+IF(EK352&gt;15,EK352-15,0)*4+IF(EK352&gt;16,EK352-16,0)*4+IF(EK352&gt;17,EK352-17,0)*4+IF(EK352&gt;18,EK352-18,0)*4+IF(EK352&gt;19,EK352-19,0)*4+IF(EK352&gt;20,EK352-20,0)*4</f>
        <v>4</v>
      </c>
      <c r="EO352" s="241">
        <f>IF((EM352-EN352)&gt;0,EM352-EN352,0)</f>
        <v>347.07692307692321</v>
      </c>
      <c r="EP352" s="42">
        <f>IF((EN352-EM352)&gt;0,EN352-EM352,0)</f>
        <v>0</v>
      </c>
      <c r="ER352" s="302" t="s">
        <v>228</v>
      </c>
      <c r="ES352" s="43" t="s">
        <v>170</v>
      </c>
      <c r="ET352" s="42" t="s">
        <v>134</v>
      </c>
      <c r="EU352" s="233"/>
      <c r="EV352" s="233">
        <f>Konvention_1slave-KLslave</f>
        <v>12</v>
      </c>
      <c r="EW352" s="233">
        <f>Konvention_1slave-INslave</f>
        <v>12</v>
      </c>
      <c r="EX352" s="233"/>
      <c r="EY352" s="233">
        <f>Konvention_1slave-FFslave_FF</f>
        <v>11</v>
      </c>
      <c r="EZ352" s="233"/>
      <c r="FA352" s="233"/>
      <c r="FB352" s="233"/>
      <c r="FC352" s="219">
        <f>(EU352+EV352+EW352+EX352+EY352+EZ352+FA352+FB352)/3</f>
        <v>11.666666666666666</v>
      </c>
      <c r="FD352" s="220">
        <f>2*FC352</f>
        <v>23.333333333333332</v>
      </c>
      <c r="FE352" s="221">
        <f>3*FC352</f>
        <v>35</v>
      </c>
      <c r="FF352" s="233">
        <f>EU352*POWER(KLslave,SIGN(EV352))*POWER(INslave,SIGN(EW352))*POWER(CHslave,SIGN(EX352))*POWER(FFslave_FF,SIGN(EY352))*POWER(GEslave,SIGN(EZ352))*POWER(KOslave,SIGN(FA352))*POWER(KKslave,SIGN(FB352))+EV352*POWER(MUslave,SIGN(EU352))*POWER(INslave,SIGN(EW352))*POWER(CHslave,SIGN(EX352))*POWER(FFslave_FF,SIGN(EY352))*POWER(GEslave,SIGN(EZ352))*POWER(KOslave,SIGN(FA352))*POWER(KKslave,SIGN(FB352))+EW352*POWER(MUslave,SIGN(EU352))*POWER(KLslave,SIGN(EV352))*POWER(CHslave,SIGN(EX352))*POWER(FFslave_FF,SIGN(EY352))*POWER(GEslave,SIGN(EZ352))*POWER(KOslave,SIGN(FA352))*POWER(KKslave,SIGN(FB352))+EX352*POWER(MUslave,SIGN(EU352))*POWER(KLslave,SIGN(EV352))*POWER(INslave,SIGN(EW352))*POWER(FFslave_FF,SIGN(EY352))*POWER(GEslave,SIGN(EZ352))*POWER(KOslave,SIGN(FA352))*POWER(KKslave,SIGN(FB352))+EY352*POWER(MUslave,SIGN(EU352))*POWER(KLslave,SIGN(EV352))*POWER(INslave,SIGN(EW352))*POWER(CHslave,SIGN(EX352))*POWER(GEslave,SIGN(EZ352))*POWER(KOslave,SIGN(FA352))*POWER(KKslave,SIGN(FB352))+EZ352*POWER(MUslave,SIGN(EU352))*POWER(KLslave,SIGN(EV352))*POWER(INslave,SIGN(EW352))*POWER(CHslave,SIGN(EX352))*POWER(FFslave_FF,SIGN(EY352))*POWER(KOslave,SIGN(FA352))*POWER(KKslave,SIGN(FB352))+FA352*POWER(MUslave,SIGN(EU352))*POWER(KLslave,SIGN(EV352))*POWER(INslave,SIGN(EW352))*POWER(CHslave,SIGN(EX352))*POWER(FFslave_FF,SIGN(EY352))*POWER(GEslave,SIGN(EZ352))*POWER(KKslave,SIGN(FB352))+FB352*POWER(MUslave,SIGN(EU352))*POWER(KLslave,SIGN(EV352))*POWER(INslave,SIGN(EW352))*POWER(CHslave,SIGN(EX352))*POWER(FFslave_FF,SIGN(EY352))*POWER(GEslave,SIGN(EZ352))*POWER(KOslave,SIGN(FA352))</f>
        <v>2432</v>
      </c>
      <c r="FG352" s="233">
        <f>EV352*EW352*FFslave_FF+EV352*INslave*EY352+KLslave*EW352*EY352</f>
        <v>3408</v>
      </c>
      <c r="FH352" s="233">
        <f>IFERROR(EU352^SIGN(EU352),1)*IFERROR(EV352^SIGN(EV352),1)*IFERROR(EW352^SIGN(EW352),1)*IFERROR(EX352^SIGN(EX352),1)*IFERROR(EY352^SIGN(EY352),1)*IFERROR(EZ352^SIGN(EZ352),1)*IFERROR(FA352^SIGN(FA352),1)*IFERROR(FB352^SIGN(FB352),1)</f>
        <v>1584</v>
      </c>
      <c r="FI352" s="78">
        <f>SUM(FF352:FH352)</f>
        <v>7424</v>
      </c>
      <c r="FJ352" s="220">
        <f>FC352*FF352/FI352</f>
        <v>3.8218390804597702</v>
      </c>
      <c r="FK352" s="220">
        <f>FD352*FG352/FI352</f>
        <v>10.711206896551724</v>
      </c>
      <c r="FL352" s="220">
        <f>FE352*FH352/FI352</f>
        <v>7.4676724137931032</v>
      </c>
      <c r="FM352" s="42">
        <f>SUM(FJ352:FL352)</f>
        <v>22.000718390804597</v>
      </c>
      <c r="FN352" s="252">
        <f t="shared" ref="FN352:FN355" si="3908">EK352</f>
        <v>0</v>
      </c>
      <c r="FO352" s="309">
        <f>FM352-FN352</f>
        <v>22.000718390804597</v>
      </c>
      <c r="FP352" s="42">
        <f>IF(FM352&lt;=0,4,0)+IF(FM352&gt;0,FM352+1,0)*4+IF(FM352&gt;12,FM352-12,0)*4+IF(FM352&gt;13,FM352-13,0)*4+IF(FM352&gt;14,FM352-14,0)*4+IF(FM352&gt;15,FM352-15,0)*4+IF(FM352&gt;16,FM352-16,0)*4+IF(FM352&gt;17,FM352-17,0)*4+IF(FM352&gt;18,FM352-18,0)*4+IF(FM352&gt;19,FM352-19,0)*4+IF(FM352&gt;20,FM352-20,0)*4</f>
        <v>308.02873563218378</v>
      </c>
      <c r="FQ352" s="78">
        <f>IF(FN352&lt;=0,4,0)+IF(FN352&gt;0,FN352+1,0)*4+IF(FN352&gt;12,FN352-12,0)*4+IF(FN352&gt;13,FN352-13,0)*4+IF(FN352&gt;14,FN352-14,0)*4+IF(FN352&gt;15,FN352-15,0)*4+IF(FN352&gt;16,FN352-16,0)*4+IF(FN352&gt;17,FN352-17,0)*4+IF(FN352&gt;18,FN352-18,0)*4+IF(FN352&gt;19,FN352-19,0)*4+IF(FN352&gt;20,FN352-20,0)*4</f>
        <v>4</v>
      </c>
      <c r="FR352" s="241">
        <f>IF((FP352-FQ352)&gt;0,FP352-FQ352,0)</f>
        <v>304.02873563218378</v>
      </c>
      <c r="FS352" s="42">
        <f>IF((FQ352-FP352)&gt;0,FQ352-FP352,0)</f>
        <v>0</v>
      </c>
      <c r="FU352" s="302" t="s">
        <v>228</v>
      </c>
      <c r="FV352" s="43" t="s">
        <v>170</v>
      </c>
      <c r="FW352" s="42" t="s">
        <v>134</v>
      </c>
      <c r="FX352" s="233"/>
      <c r="FY352" s="233">
        <f>Konvention_1slave-KLslave</f>
        <v>12</v>
      </c>
      <c r="FZ352" s="233">
        <f>Konvention_1slave-INslave</f>
        <v>12</v>
      </c>
      <c r="GA352" s="233"/>
      <c r="GB352" s="233">
        <f>Konvention_1slave-FFslave</f>
        <v>12</v>
      </c>
      <c r="GC352" s="233"/>
      <c r="GD352" s="233"/>
      <c r="GE352" s="233"/>
      <c r="GF352" s="219">
        <f>(FX352+FY352+FZ352+GA352+GB352+GC352+GD352+GE352)/3</f>
        <v>12</v>
      </c>
      <c r="GG352" s="220">
        <f>2*GF352</f>
        <v>24</v>
      </c>
      <c r="GH352" s="221">
        <f>3*GF352</f>
        <v>36</v>
      </c>
      <c r="GI352" s="233">
        <f>FX352*POWER(KLslave,SIGN(FY352))*POWER(INslave,SIGN(FZ352))*POWER(CHslave,SIGN(GA352))*POWER(FFslave,SIGN(GB352))*POWER(GEslave_GE,SIGN(GC352))*POWER(KOslave,SIGN(GD352))*POWER(KKslave,SIGN(GE352))+FY352*POWER(MUslave,SIGN(FX352))*POWER(INslave,SIGN(FZ352))*POWER(CHslave,SIGN(GA352))*POWER(FFslave,SIGN(GB352))*POWER(GEslave_GE,SIGN(GC352))*POWER(KOslave,SIGN(GD352))*POWER(KKslave,SIGN(GE352))+FZ352*POWER(MUslave,SIGN(FX352))*POWER(KLslave,SIGN(FY352))*POWER(CHslave,SIGN(GA352))*POWER(FFslave,SIGN(GB352))*POWER(GEslave_GE,SIGN(GC352))*POWER(KOslave,SIGN(GD352))*POWER(KKslave,SIGN(GE352))+GA352*POWER(MUslave,SIGN(FX352))*POWER(KLslave,SIGN(FY352))*POWER(INslave,SIGN(FZ352))*POWER(FFslave,SIGN(GB352))*POWER(GEslave_GE,SIGN(GC352))*POWER(KOslave,SIGN(GD352))*POWER(KKslave,SIGN(GE352))+GB352*POWER(MUslave,SIGN(FX352))*POWER(KLslave,SIGN(FY352))*POWER(INslave,SIGN(FZ352))*POWER(CHslave,SIGN(GA352))*POWER(GEslave_GE,SIGN(GC352))*POWER(KOslave,SIGN(GD352))*POWER(KKslave,SIGN(GE352))+GC352*POWER(MUslave,SIGN(FX352))*POWER(KLslave,SIGN(FY352))*POWER(INslave,SIGN(FZ352))*POWER(CHslave,SIGN(GA352))*POWER(FFslave,SIGN(GB352))*POWER(KOslave,SIGN(GD352))*POWER(KKslave,SIGN(GE352))+GD352*POWER(MUslave,SIGN(FX352))*POWER(KLslave,SIGN(FY352))*POWER(INslave,SIGN(FZ352))*POWER(CHslave,SIGN(GA352))*POWER(FFslave,SIGN(GB352))*POWER(GEslave_GE,SIGN(GC352))*POWER(KKslave,SIGN(GE352))+GE352*POWER(MUslave,SIGN(FX352))*POWER(KLslave,SIGN(FY352))*POWER(INslave,SIGN(FZ352))*POWER(CHslave,SIGN(GA352))*POWER(FFslave,SIGN(GB352))*POWER(GEslave_GE,SIGN(GC352))*POWER(KOslave,SIGN(GD352))</f>
        <v>2304</v>
      </c>
      <c r="GJ352" s="233">
        <f>FY352*FZ352*FFslave+FY352*INslave*GB352+KLslave*FZ352*GB352</f>
        <v>3456</v>
      </c>
      <c r="GK352" s="233">
        <f>IFERROR(FX352^SIGN(FX352),1)*IFERROR(FY352^SIGN(FY352),1)*IFERROR(FZ352^SIGN(FZ352),1)*IFERROR(GA352^SIGN(GA352),1)*IFERROR(GB352^SIGN(GB352),1)*IFERROR(GC352^SIGN(GC352),1)*IFERROR(GD352^SIGN(GD352),1)*IFERROR(GE352^SIGN(GE352),1)</f>
        <v>1728</v>
      </c>
      <c r="GL352" s="78">
        <f>SUM(GI352:GK352)</f>
        <v>7488</v>
      </c>
      <c r="GM352" s="220">
        <f>GF352*GI352/GL352</f>
        <v>3.6923076923076925</v>
      </c>
      <c r="GN352" s="220">
        <f>GG352*GJ352/GL352</f>
        <v>11.076923076923077</v>
      </c>
      <c r="GO352" s="220">
        <f>GH352*GK352/GL352</f>
        <v>8.3076923076923084</v>
      </c>
      <c r="GP352" s="42">
        <f>SUM(GM352:GO352)</f>
        <v>23.07692307692308</v>
      </c>
      <c r="GQ352" s="252">
        <f t="shared" ref="GQ352:GQ355" si="3909">FN352</f>
        <v>0</v>
      </c>
      <c r="GR352" s="309">
        <f>GP352-GQ352</f>
        <v>23.07692307692308</v>
      </c>
      <c r="GS352" s="42">
        <f>IF(GP352&lt;=0,4,0)+IF(GP352&gt;0,GP352+1,0)*4+IF(GP352&gt;12,GP352-12,0)*4+IF(GP352&gt;13,GP352-13,0)*4+IF(GP352&gt;14,GP352-14,0)*4+IF(GP352&gt;15,GP352-15,0)*4+IF(GP352&gt;16,GP352-16,0)*4+IF(GP352&gt;17,GP352-17,0)*4+IF(GP352&gt;18,GP352-18,0)*4+IF(GP352&gt;19,GP352-19,0)*4+IF(GP352&gt;20,GP352-20,0)*4</f>
        <v>351.07692307692321</v>
      </c>
      <c r="GT352" s="78">
        <f>IF(GQ352&lt;=0,4,0)+IF(GQ352&gt;0,GQ352+1,0)*4+IF(GQ352&gt;12,GQ352-12,0)*4+IF(GQ352&gt;13,GQ352-13,0)*4+IF(GQ352&gt;14,GQ352-14,0)*4+IF(GQ352&gt;15,GQ352-15,0)*4+IF(GQ352&gt;16,GQ352-16,0)*4+IF(GQ352&gt;17,GQ352-17,0)*4+IF(GQ352&gt;18,GQ352-18,0)*4+IF(GQ352&gt;19,GQ352-19,0)*4+IF(GQ352&gt;20,GQ352-20,0)*4</f>
        <v>4</v>
      </c>
      <c r="GU352" s="241">
        <f>IF((GS352-GT352)&gt;0,GS352-GT352,0)</f>
        <v>347.07692307692321</v>
      </c>
      <c r="GV352" s="42">
        <f>IF((GT352-GS352)&gt;0,GT352-GS352,0)</f>
        <v>0</v>
      </c>
      <c r="GX352" s="302" t="s">
        <v>228</v>
      </c>
      <c r="GY352" s="43" t="s">
        <v>170</v>
      </c>
      <c r="GZ352" s="42" t="s">
        <v>134</v>
      </c>
      <c r="HA352" s="233"/>
      <c r="HB352" s="233">
        <f>Konvention_1slave-KLslave</f>
        <v>12</v>
      </c>
      <c r="HC352" s="233">
        <f>Konvention_1slave-INslave</f>
        <v>12</v>
      </c>
      <c r="HD352" s="233"/>
      <c r="HE352" s="233">
        <f>Konvention_1slave-FFslave</f>
        <v>12</v>
      </c>
      <c r="HF352" s="233"/>
      <c r="HG352" s="233"/>
      <c r="HH352" s="233"/>
      <c r="HI352" s="219">
        <f>(HA352+HB352+HC352+HD352+HE352+HF352+HG352+HH352)/3</f>
        <v>12</v>
      </c>
      <c r="HJ352" s="220">
        <f>2*HI352</f>
        <v>24</v>
      </c>
      <c r="HK352" s="221">
        <f>3*HI352</f>
        <v>36</v>
      </c>
      <c r="HL352" s="233">
        <f>HA352*POWER(KLslave,SIGN(HB352))*POWER(INslave,SIGN(HC352))*POWER(CHslave,SIGN(HD352))*POWER(FFslave,SIGN(HE352))*POWER(GEslave,SIGN(HF352))*POWER(KOslave_KO,SIGN(HG352))*POWER(KKslave,SIGN(HH352))+HB352*POWER(MUslave,SIGN(HA352))*POWER(INslave,SIGN(HC352))*POWER(CHslave,SIGN(HD352))*POWER(FFslave,SIGN(HE352))*POWER(GEslave,SIGN(HF352))*POWER(KOslave_KO,SIGN(HG352))*POWER(KKslave,SIGN(HH352))+HC352*POWER(MUslave,SIGN(HA352))*POWER(KLslave,SIGN(HB352))*POWER(CHslave,SIGN(HD352))*POWER(FFslave,SIGN(HE352))*POWER(GEslave,SIGN(HF352))*POWER(KOslave_KO,SIGN(HG352))*POWER(KKslave,SIGN(HH352))+HD352*POWER(MUslave,SIGN(HA352))*POWER(KLslave,SIGN(HB352))*POWER(INslave,SIGN(HC352))*POWER(FFslave,SIGN(HE352))*POWER(GEslave,SIGN(HF352))*POWER(KOslave_KO,SIGN(HG352))*POWER(KKslave,SIGN(HH352))+HE352*POWER(MUslave,SIGN(HA352))*POWER(KLslave,SIGN(HB352))*POWER(INslave,SIGN(HC352))*POWER(CHslave,SIGN(HD352))*POWER(GEslave,SIGN(HF352))*POWER(KOslave_KO,SIGN(HG352))*POWER(KKslave,SIGN(HH352))+HF352*POWER(MUslave,SIGN(HA352))*POWER(KLslave,SIGN(HB352))*POWER(INslave,SIGN(HC352))*POWER(CHslave,SIGN(HD352))*POWER(FFslave,SIGN(HE352))*POWER(KOslave_KO,SIGN(HG352))*POWER(KKslave,SIGN(HH352))+HG352*POWER(MUslave,SIGN(HA352))*POWER(KLslave,SIGN(HB352))*POWER(INslave,SIGN(HC352))*POWER(CHslave,SIGN(HD352))*POWER(FFslave,SIGN(HE352))*POWER(GEslave,SIGN(HF352))*POWER(KKslave,SIGN(HH352))+HH352*POWER(MUslave,SIGN(HA352))*POWER(KLslave,SIGN(HB352))*POWER(INslave,SIGN(HC352))*POWER(CHslave,SIGN(HD352))*POWER(FFslave,SIGN(HE352))*POWER(GEslave,SIGN(HF352))*POWER(KOslave_KO,SIGN(HG352))</f>
        <v>2304</v>
      </c>
      <c r="HM352" s="233">
        <f>HB352*HC352*FFslave+HB352*INslave*HE352+KLslave*HC352*HE352</f>
        <v>3456</v>
      </c>
      <c r="HN352" s="233">
        <f>IFERROR(HA352^SIGN(HA352),1)*IFERROR(HB352^SIGN(HB352),1)*IFERROR(HC352^SIGN(HC352),1)*IFERROR(HD352^SIGN(HD352),1)*IFERROR(HE352^SIGN(HE352),1)*IFERROR(HF352^SIGN(HF352),1)*IFERROR(HG352^SIGN(HG352),1)*IFERROR(HH352^SIGN(HH352),1)</f>
        <v>1728</v>
      </c>
      <c r="HO352" s="78">
        <f>SUM(HL352:HN352)</f>
        <v>7488</v>
      </c>
      <c r="HP352" s="220">
        <f>HI352*HL352/HO352</f>
        <v>3.6923076923076925</v>
      </c>
      <c r="HQ352" s="220">
        <f>HJ352*HM352/HO352</f>
        <v>11.076923076923077</v>
      </c>
      <c r="HR352" s="220">
        <f>HK352*HN352/HO352</f>
        <v>8.3076923076923084</v>
      </c>
      <c r="HS352" s="42">
        <f>SUM(HP352:HR352)</f>
        <v>23.07692307692308</v>
      </c>
      <c r="HT352" s="252">
        <f t="shared" ref="HT352:HT355" si="3910">GQ352</f>
        <v>0</v>
      </c>
      <c r="HU352" s="309">
        <f>HS352-HT352</f>
        <v>23.07692307692308</v>
      </c>
      <c r="HV352" s="42">
        <f>IF(HS352&lt;=0,4,0)+IF(HS352&gt;0,HS352+1,0)*4+IF(HS352&gt;12,HS352-12,0)*4+IF(HS352&gt;13,HS352-13,0)*4+IF(HS352&gt;14,HS352-14,0)*4+IF(HS352&gt;15,HS352-15,0)*4+IF(HS352&gt;16,HS352-16,0)*4+IF(HS352&gt;17,HS352-17,0)*4+IF(HS352&gt;18,HS352-18,0)*4+IF(HS352&gt;19,HS352-19,0)*4+IF(HS352&gt;20,HS352-20,0)*4</f>
        <v>351.07692307692321</v>
      </c>
      <c r="HW352" s="78">
        <f>IF(HT352&lt;=0,4,0)+IF(HT352&gt;0,HT352+1,0)*4+IF(HT352&gt;12,HT352-12,0)*4+IF(HT352&gt;13,HT352-13,0)*4+IF(HT352&gt;14,HT352-14,0)*4+IF(HT352&gt;15,HT352-15,0)*4+IF(HT352&gt;16,HT352-16,0)*4+IF(HT352&gt;17,HT352-17,0)*4+IF(HT352&gt;18,HT352-18,0)*4+IF(HT352&gt;19,HT352-19,0)*4+IF(HT352&gt;20,HT352-20,0)*4</f>
        <v>4</v>
      </c>
      <c r="HX352" s="241">
        <f>IF((HV352-HW352)&gt;0,HV352-HW352,0)</f>
        <v>347.07692307692321</v>
      </c>
      <c r="HY352" s="42">
        <f>IF((HW352-HV352)&gt;0,HW352-HV352,0)</f>
        <v>0</v>
      </c>
      <c r="IA352" s="302" t="s">
        <v>228</v>
      </c>
      <c r="IB352" s="43" t="s">
        <v>170</v>
      </c>
      <c r="IC352" s="42" t="s">
        <v>134</v>
      </c>
      <c r="ID352" s="233"/>
      <c r="IE352" s="233">
        <f>Konvention_1slave-KLslave</f>
        <v>12</v>
      </c>
      <c r="IF352" s="233">
        <f>Konvention_1slave-INslave</f>
        <v>12</v>
      </c>
      <c r="IG352" s="233"/>
      <c r="IH352" s="233">
        <f>Konvention_1slave-FFslave</f>
        <v>12</v>
      </c>
      <c r="II352" s="233"/>
      <c r="IJ352" s="233"/>
      <c r="IK352" s="233"/>
      <c r="IL352" s="219">
        <f>(ID352+IE352+IF352+IG352+IH352+II352+IJ352+IK352)/3</f>
        <v>12</v>
      </c>
      <c r="IM352" s="220">
        <f>2*IL352</f>
        <v>24</v>
      </c>
      <c r="IN352" s="221">
        <f>3*IL352</f>
        <v>36</v>
      </c>
      <c r="IO352" s="233">
        <f>ID352*POWER(KLslave,SIGN(IE352))*POWER(INslave,SIGN(IF352))*POWER(CHslave,SIGN(IG352))*POWER(FFslave,SIGN(IH352))*POWER(GEslave,SIGN(II352))*POWER(KOslave,SIGN(IJ352))*POWER(KKslave_KK,SIGN(IK352))+IE352*POWER(MUslave,SIGN(ID352))*POWER(INslave,SIGN(IF352))*POWER(CHslave,SIGN(IG352))*POWER(FFslave,SIGN(IH352))*POWER(GEslave,SIGN(II352))*POWER(KOslave,SIGN(IJ352))*POWER(KKslave_KK,SIGN(IK352))+IF352*POWER(MUslave,SIGN(ID352))*POWER(KLslave,SIGN(IE352))*POWER(CHslave,SIGN(IG352))*POWER(FFslave,SIGN(IH352))*POWER(GEslave,SIGN(II352))*POWER(KOslave,SIGN(IJ352))*POWER(KKslave_KK,SIGN(IK352))+IG352*POWER(MUslave,SIGN(ID352))*POWER(KLslave,SIGN(IE352))*POWER(INslave,SIGN(IF352))*POWER(FFslave,SIGN(IH352))*POWER(GEslave,SIGN(II352))*POWER(KOslave,SIGN(IJ352))*POWER(KKslave_KK,SIGN(IK352))+IH352*POWER(MUslave,SIGN(ID352))*POWER(KLslave,SIGN(IE352))*POWER(INslave,SIGN(IF352))*POWER(CHslave,SIGN(IG352))*POWER(GEslave,SIGN(II352))*POWER(KOslave,SIGN(IJ352))*POWER(KKslave_KK,SIGN(IK352))+II352*POWER(MUslave,SIGN(ID352))*POWER(KLslave,SIGN(IE352))*POWER(INslave,SIGN(IF352))*POWER(CHslave,SIGN(IG352))*POWER(FFslave,SIGN(IH352))*POWER(KOslave,SIGN(IJ352))*POWER(KKslave_KK,SIGN(IK352))+IJ352*POWER(MUslave,SIGN(ID352))*POWER(KLslave,SIGN(IE352))*POWER(INslave,SIGN(IF352))*POWER(CHslave,SIGN(IG352))*POWER(FFslave,SIGN(IH352))*POWER(GEslave,SIGN(II352))*POWER(KKslave_KK,SIGN(IK352))+IK352*POWER(MUslave,SIGN(ID352))*POWER(KLslave,SIGN(IE352))*POWER(INslave,SIGN(IF352))*POWER(CHslave,SIGN(IG352))*POWER(FFslave,SIGN(IH352))*POWER(GEslave,SIGN(II352))*POWER(KOslave,SIGN(IJ352))</f>
        <v>2304</v>
      </c>
      <c r="IP352" s="233">
        <f>IE352*IF352*FFslave+IE352*INslave*IH352+KLslave*IF352*IH352</f>
        <v>3456</v>
      </c>
      <c r="IQ352" s="233">
        <f>IFERROR(ID352^SIGN(ID352),1)*IFERROR(IE352^SIGN(IE352),1)*IFERROR(IF352^SIGN(IF352),1)*IFERROR(IG352^SIGN(IG352),1)*IFERROR(IH352^SIGN(IH352),1)*IFERROR(II352^SIGN(II352),1)*IFERROR(IJ352^SIGN(IJ352),1)*IFERROR(IK352^SIGN(IK352),1)</f>
        <v>1728</v>
      </c>
      <c r="IR352" s="78">
        <f>SUM(IO352:IQ352)</f>
        <v>7488</v>
      </c>
      <c r="IS352" s="220">
        <f>IL352*IO352/IR352</f>
        <v>3.6923076923076925</v>
      </c>
      <c r="IT352" s="220">
        <f>IM352*IP352/IR352</f>
        <v>11.076923076923077</v>
      </c>
      <c r="IU352" s="220">
        <f>IN352*IQ352/IR352</f>
        <v>8.3076923076923084</v>
      </c>
      <c r="IV352" s="42">
        <f>SUM(IS352:IU352)</f>
        <v>23.07692307692308</v>
      </c>
      <c r="IW352" s="252">
        <f t="shared" ref="IW352:IW355" si="3911">HT352</f>
        <v>0</v>
      </c>
      <c r="IX352" s="309">
        <f>IV352-IW352</f>
        <v>23.07692307692308</v>
      </c>
      <c r="IY352" s="42">
        <f>IF(IV352&lt;=0,4,0)+IF(IV352&gt;0,IV352+1,0)*4+IF(IV352&gt;12,IV352-12,0)*4+IF(IV352&gt;13,IV352-13,0)*4+IF(IV352&gt;14,IV352-14,0)*4+IF(IV352&gt;15,IV352-15,0)*4+IF(IV352&gt;16,IV352-16,0)*4+IF(IV352&gt;17,IV352-17,0)*4+IF(IV352&gt;18,IV352-18,0)*4+IF(IV352&gt;19,IV352-19,0)*4+IF(IV352&gt;20,IV352-20,0)*4</f>
        <v>351.07692307692321</v>
      </c>
      <c r="IZ352" s="78">
        <f>IF(IW352&lt;=0,4,0)+IF(IW352&gt;0,IW352+1,0)*4+IF(IW352&gt;12,IW352-12,0)*4+IF(IW352&gt;13,IW352-13,0)*4+IF(IW352&gt;14,IW352-14,0)*4+IF(IW352&gt;15,IW352-15,0)*4+IF(IW352&gt;16,IW352-16,0)*4+IF(IW352&gt;17,IW352-17,0)*4+IF(IW352&gt;18,IW352-18,0)*4+IF(IW352&gt;19,IW352-19,0)*4+IF(IW352&gt;20,IW352-20,0)*4</f>
        <v>4</v>
      </c>
      <c r="JA352" s="241">
        <f>IF((IY352-IZ352)&gt;0,IY352-IZ352,0)</f>
        <v>347.07692307692321</v>
      </c>
      <c r="JB352" s="42">
        <f>IF((IZ352-IY352)&gt;0,IZ352-IY352,0)</f>
        <v>0</v>
      </c>
      <c r="JE352" s="148"/>
    </row>
    <row r="353" spans="2:265" hidden="1" outlineLevel="2">
      <c r="B353" s="148">
        <v>2</v>
      </c>
      <c r="C353" s="303" t="e">
        <f>VLOOKUP(AF353,Attribute!C:T,1,FALSE)</f>
        <v>#N/A</v>
      </c>
      <c r="D353" s="86" t="s">
        <v>226</v>
      </c>
      <c r="E353" s="125" t="s">
        <v>132</v>
      </c>
      <c r="F353" s="113"/>
      <c r="G353" s="113">
        <f>Konvention_1master-KLmaster</f>
        <v>12</v>
      </c>
      <c r="H353" s="113">
        <f>Konvention_1master-INmaster</f>
        <v>12</v>
      </c>
      <c r="I353" s="113"/>
      <c r="J353" s="113"/>
      <c r="K353" s="113"/>
      <c r="L353" s="113">
        <f>Konvention_1master-KOmaster</f>
        <v>12</v>
      </c>
      <c r="M353" s="113"/>
      <c r="N353" s="222">
        <f>(F353+G353+H353+I353+J353+K353+L353+M353)/3</f>
        <v>12</v>
      </c>
      <c r="O353" s="223">
        <f>2*N353</f>
        <v>24</v>
      </c>
      <c r="P353" s="224">
        <f>3*N353</f>
        <v>36</v>
      </c>
      <c r="Q353" s="234">
        <f>F353*POWER(KLmaster,SIGN(G353))*POWER(INmaster,SIGN(H353))*POWER(CHmaster,SIGN(I353))*POWER(FFmaster,SIGN(J353))*POWER(GEmaster,SIGN(K353))*POWER(KOmaster,SIGN(L353))*POWER(KKmaster,SIGN(M353))+G353*POWER(MUmaster,SIGN(F353))*POWER(INmaster,SIGN(H353))*POWER(CHmaster,SIGN(I353))*POWER(FFmaster,SIGN(J353))*POWER(GEmaster,SIGN(K353))*POWER(KOmaster,SIGN(L353))*POWER(KKmaster,SIGN(M353))+H353*POWER(MUmaster,SIGN(F353))*POWER(KLmaster,SIGN(G353))*POWER(CHmaster,SIGN(I353))*POWER(FFmaster,SIGN(J353))*POWER(GEmaster,SIGN(K353))*POWER(KOmaster,SIGN(L353))*POWER(KKmaster,SIGN(M353))+I353*POWER(MUmaster,SIGN(F353))*POWER(KLmaster,SIGN(G353))*POWER(INmaster,SIGN(H353))*POWER(FFmaster,SIGN(J353))*POWER(GEmaster,SIGN(K353))*POWER(KOmaster,SIGN(L353))*POWER(KKmaster,SIGN(M353))+J353*POWER(MUmaster,SIGN(F353))*POWER(KLmaster,SIGN(G353))*POWER(INmaster,SIGN(H353))*POWER(CHmaster,SIGN(I353))*POWER(GEmaster,SIGN(K353))*POWER(KOmaster,SIGN(L353))*POWER(KKmaster,SIGN(M353))+K353*POWER(MUmaster,SIGN(F353))*POWER(KLmaster,SIGN(G353))*POWER(INmaster,SIGN(H353))*POWER(CHmaster,SIGN(I353))*POWER(FFmaster,SIGN(J353))*POWER(KOmaster,SIGN(L353))*POWER(KKmaster,SIGN(M353))+L353*POWER(MUmaster,SIGN(F353))*POWER(KLmaster,SIGN(G353))*POWER(INmaster,SIGN(H353))*POWER(CHmaster,SIGN(I353))*POWER(FFmaster,SIGN(J353))*POWER(GEmaster,SIGN(K353))*POWER(KKmaster,SIGN(M353))+M353*POWER(MUmaster,SIGN(F353))*POWER(KLmaster,SIGN(G353))*POWER(INmaster,SIGN(H353))*POWER(CHmaster,SIGN(I353))*POWER(FFmaster,SIGN(J353))*POWER(GEmaster,SIGN(K353))*POWER(KOmaster,SIGN(L353))</f>
        <v>2304</v>
      </c>
      <c r="R353" s="113">
        <f>G353*H353*KOmaster+G353*INmaster*L353+KLmaster*H353*L353</f>
        <v>3456</v>
      </c>
      <c r="S353" s="234">
        <f>IFERROR(F353^SIGN(F353),1)*IFERROR(G353^SIGN(G353),1)*IFERROR(H353^SIGN(H353),1)*IFERROR(I353^SIGN(I353),1)*IFERROR(J353^SIGN(J353),1)*IFERROR(K353^SIGN(K353),1)*IFERROR(L353^SIGN(L353),1)*IFERROR(M353^SIGN(M353),1)</f>
        <v>1728</v>
      </c>
      <c r="T353" s="242">
        <f>SUM(Q353:S353)</f>
        <v>7488</v>
      </c>
      <c r="U353" s="223">
        <f>N353*Q353/T353</f>
        <v>3.6923076923076925</v>
      </c>
      <c r="V353" s="223">
        <f>O353*R353/T353</f>
        <v>11.076923076923077</v>
      </c>
      <c r="W353" s="223">
        <f>P353*S353/T353</f>
        <v>8.3076923076923084</v>
      </c>
      <c r="X353" s="218">
        <f>SUM(U353:W353)</f>
        <v>23.07692307692308</v>
      </c>
      <c r="Y353" s="252">
        <v>0</v>
      </c>
      <c r="Z353" s="198">
        <f>X353-Y353</f>
        <v>23.07692307692308</v>
      </c>
      <c r="AA353" s="125">
        <f>IF(X353&lt;=0,2,0)+IF(X353&gt;0,X353+1,0)*2+IF(X353&gt;12,X353-12,0)*2+IF(X353&gt;13,X353-13,0)*2+IF(X353&gt;14,X353-14,0)*2+IF(X353&gt;15,X353-15,0)*2+IF(X353&gt;16,X353-16,0)*2+IF(X353&gt;17,X353-17,0)*2+IF(X353&gt;18,X353-18,0)*2+IF(X353&gt;19,X353-19,0)*2+IF(X353&gt;20,X353-20,0)*2</f>
        <v>175.5384615384616</v>
      </c>
      <c r="AB353" s="160">
        <f>IF(Y353&lt;=0,2,0)+IF(Y353&gt;0,Y353+1,0)*2+IF(Y353&gt;12,Y353-12,0)*2+IF(Y353&gt;13,Y353-13,0)*2+IF(Y353&gt;14,Y353-14,0)*2+IF(Y353&gt;15,Y353-15,0)*2+IF(Y353&gt;16,Y353-16,0)*2+IF(Y353&gt;17,Y353-17,0)*2+IF(Y353&gt;18,Y353-18,0)*2+IF(Y353&gt;19,Y353-19,0)*2+IF(Y353&gt;20,Y353-20,0)*2</f>
        <v>2</v>
      </c>
      <c r="AC353" s="127">
        <f>IF((AA353-AB353)&gt;0,AA353-AB353,0)</f>
        <v>173.5384615384616</v>
      </c>
      <c r="AD353" s="125">
        <f>IF((AB353-AA353)&gt;0,AB353-AA353,0)</f>
        <v>0</v>
      </c>
      <c r="AF353" s="163" t="s">
        <v>313</v>
      </c>
      <c r="AG353" s="86" t="s">
        <v>226</v>
      </c>
      <c r="AH353" s="125" t="s">
        <v>132</v>
      </c>
      <c r="AI353" s="113"/>
      <c r="AJ353" s="113">
        <f>Konvention_1slave-KLslave</f>
        <v>12</v>
      </c>
      <c r="AK353" s="113">
        <f>Konvention_1slave-INslave</f>
        <v>12</v>
      </c>
      <c r="AL353" s="113"/>
      <c r="AM353" s="113"/>
      <c r="AN353" s="113"/>
      <c r="AO353" s="113">
        <f>Konvention_1slave-KOslave</f>
        <v>12</v>
      </c>
      <c r="AP353" s="113"/>
      <c r="AQ353" s="89">
        <f>(AI353+AJ353+AK353+AL353+AM353+AN353+AO353+AP353)/3</f>
        <v>12</v>
      </c>
      <c r="AR353" s="47">
        <f>2*AQ353</f>
        <v>24</v>
      </c>
      <c r="AS353" s="119">
        <f>3*AQ353</f>
        <v>36</v>
      </c>
      <c r="AT353" s="113">
        <f>AI353*POWER(KLslave,SIGN(AJ353))*POWER(INslave,SIGN(AK353))*POWER(CHslave,SIGN(AL353))*POWER(FFslave,SIGN(AM353))*POWER(GEslave,SIGN(AN353))*POWER(KOslave,SIGN(AO353))*POWER(KKslave,SIGN(AP353))+AJ353*POWER(MUslave_MU,SIGN(AI353))*POWER(INslave,SIGN(AK353))*POWER(CHslave,SIGN(AL353))*POWER(FFslave,SIGN(AM353))*POWER(GEslave,SIGN(AN353))*POWER(KOslave,SIGN(AO353))*POWER(KKslave,SIGN(AP353))+AK353*POWER(MUslave_MU,SIGN(AI353))*POWER(KLslave,SIGN(AJ353))*POWER(CHslave,SIGN(AL353))*POWER(FFslave,SIGN(AM353))*POWER(GEslave,SIGN(AN353))*POWER(KOslave,SIGN(AO353))*POWER(KKslave,SIGN(AP353))+AL353*POWER(MUslave_MU,SIGN(AI353))*POWER(KLslave,SIGN(AJ353))*POWER(INslave,SIGN(AK353))*POWER(FFslave,SIGN(AM353))*POWER(GEslave,SIGN(AN353))*POWER(KOslave,SIGN(AO353))*POWER(KKslave,SIGN(AP353))+AM353*POWER(MUslave_MU,SIGN(AI353))*POWER(KLslave,SIGN(AJ353))*POWER(INslave,SIGN(AK353))*POWER(CHslave,SIGN(AL353))*POWER(GEslave,SIGN(AN353))*POWER(KOslave,SIGN(AO353))*POWER(KKslave,SIGN(AP353))+AN353*POWER(MUslave_MU,SIGN(AI353))*POWER(KLslave,SIGN(AJ353))*POWER(INslave,SIGN(AK353))*POWER(CHslave,SIGN(AL353))*POWER(FFslave,SIGN(AM353))*POWER(KOslave,SIGN(AO353))*POWER(KKslave,SIGN(AP353))+AO353*POWER(MUslave_MU,SIGN(AI353))*POWER(KLslave,SIGN(AJ353))*POWER(INslave,SIGN(AK353))*POWER(CHslave,SIGN(AL353))*POWER(FFslave,SIGN(AM353))*POWER(GEslave,SIGN(AN353))*POWER(KKslave,SIGN(AP353))+AP353*POWER(MUslave_MU,SIGN(AI353))*POWER(KLslave,SIGN(AJ353))*POWER(INslave,SIGN(AK353))*POWER(CHslave,SIGN(AL353))*POWER(FFslave,SIGN(AM353))*POWER(GEslave,SIGN(AN353))*POWER(KOslave,SIGN(AO353))</f>
        <v>2304</v>
      </c>
      <c r="AU353" s="113">
        <f>AJ353*AK353*KOslave+AJ353*INslave*AO353+KLslave*AK353*AO353</f>
        <v>3456</v>
      </c>
      <c r="AV353" s="113">
        <f>IFERROR(AI353^SIGN(AI353),1)*IFERROR(AJ353^SIGN(AJ353),1)*IFERROR(AK353^SIGN(AK353),1)*IFERROR(AL353^SIGN(AL353),1)*IFERROR(AM353^SIGN(AM353),1)*IFERROR(AN353^SIGN(AN353),1)*IFERROR(AO353^SIGN(AO353),1)*IFERROR(AP353^SIGN(AP353),1)</f>
        <v>1728</v>
      </c>
      <c r="AW353" s="160">
        <f>SUM(AT353:AV353)</f>
        <v>7488</v>
      </c>
      <c r="AX353" s="47">
        <f>AQ353*AT353/AW353</f>
        <v>3.6923076923076925</v>
      </c>
      <c r="AY353" s="47">
        <f>AR353*AU353/AW353</f>
        <v>11.076923076923077</v>
      </c>
      <c r="AZ353" s="47">
        <f>AS353*AV353/AW353</f>
        <v>8.3076923076923084</v>
      </c>
      <c r="BA353" s="125">
        <f>SUM(AX353:AZ353)</f>
        <v>23.07692307692308</v>
      </c>
      <c r="BB353" s="165">
        <f t="shared" si="3904"/>
        <v>0</v>
      </c>
      <c r="BC353" s="198">
        <f>BA353-BB353</f>
        <v>23.07692307692308</v>
      </c>
      <c r="BD353" s="125">
        <f>IF(BA353&lt;=0,2,0)+IF(BA353&gt;0,BA353+1,0)*2+IF(BA353&gt;12,BA353-12,0)*2+IF(BA353&gt;13,BA353-13,0)*2+IF(BA353&gt;14,BA353-14,0)*2+IF(BA353&gt;15,BA353-15,0)*2+IF(BA353&gt;16,BA353-16,0)*2+IF(BA353&gt;17,BA353-17,0)*2+IF(BA353&gt;18,BA353-18,0)*2+IF(BA353&gt;19,BA353-19,0)*2+IF(BA353&gt;20,BA353-20,0)*2</f>
        <v>175.5384615384616</v>
      </c>
      <c r="BE353" s="160">
        <f>IF(BB353&lt;=0,2,0)+IF(BB353&gt;0,BB353+1,0)*2+IF(BB353&gt;12,BB353-12,0)*2+IF(BB353&gt;13,BB353-13,0)*2+IF(BB353&gt;14,BB353-14,0)*2+IF(BB353&gt;15,BB353-15,0)*2+IF(BB353&gt;16,BB353-16,0)*2+IF(BB353&gt;17,BB353-17,0)*2+IF(BB353&gt;18,BB353-18,0)*2+IF(BB353&gt;19,BB353-19,0)*2+IF(BB353&gt;20,BB353-20,0)*2</f>
        <v>2</v>
      </c>
      <c r="BF353" s="243">
        <f>IF((BD353-BE353)&gt;0,BD353-BE353,0)</f>
        <v>173.5384615384616</v>
      </c>
      <c r="BG353" s="218">
        <f>IF((BE353-BD353)&gt;0,BE353-BD353,0)</f>
        <v>0</v>
      </c>
      <c r="BI353" s="303" t="s">
        <v>313</v>
      </c>
      <c r="BJ353" s="304" t="s">
        <v>226</v>
      </c>
      <c r="BK353" s="218" t="s">
        <v>132</v>
      </c>
      <c r="BL353" s="234"/>
      <c r="BM353" s="234">
        <f>Konvention_1slave-KLslave_KL</f>
        <v>11</v>
      </c>
      <c r="BN353" s="234">
        <f>Konvention_1slave-INslave</f>
        <v>12</v>
      </c>
      <c r="BO353" s="234"/>
      <c r="BP353" s="234"/>
      <c r="BQ353" s="234"/>
      <c r="BR353" s="234">
        <f>Konvention_1slave-KOslave</f>
        <v>12</v>
      </c>
      <c r="BS353" s="234"/>
      <c r="BT353" s="222">
        <f>(BL353+BM353+BN353+BO353+BP353+BQ353+BR353+BS353)/3</f>
        <v>11.666666666666666</v>
      </c>
      <c r="BU353" s="223">
        <f>2*BT353</f>
        <v>23.333333333333332</v>
      </c>
      <c r="BV353" s="224">
        <f>3*BT353</f>
        <v>35</v>
      </c>
      <c r="BW353" s="234">
        <f>BL353*POWER(KLslave_KL,SIGN(BM353))*POWER(INslave,SIGN(BN353))*POWER(CHslave,SIGN(BO353))*POWER(FFslave,SIGN(BP353))*POWER(GEslave,SIGN(BQ353))*POWER(KOslave,SIGN(BR353))*POWER(KKslave,SIGN(BS353))+BM353*POWER(MUslave,SIGN(BL353))*POWER(INslave,SIGN(BN353))*POWER(CHslave,SIGN(BO353))*POWER(FFslave,SIGN(BP353))*POWER(GEslave,SIGN(BQ353))*POWER(KOslave,SIGN(BR353))*POWER(KKslave,SIGN(BS353))+BN353*POWER(MUslave,SIGN(BL353))*POWER(KLslave_KL,SIGN(BM353))*POWER(CHslave,SIGN(BO353))*POWER(FFslave,SIGN(BP353))*POWER(GEslave,SIGN(BQ353))*POWER(KOslave,SIGN(BR353))*POWER(KKslave,SIGN(BS353))+BO353*POWER(MUslave,SIGN(BL353))*POWER(KLslave_KL,SIGN(BM353))*POWER(INslave,SIGN(BN353))*POWER(FFslave,SIGN(BP353))*POWER(GEslave,SIGN(BQ353))*POWER(KOslave,SIGN(BR353))*POWER(KKslave,SIGN(BS353))+BP353*POWER(MUslave,SIGN(BL353))*POWER(KLslave_KL,SIGN(BM353))*POWER(INslave,SIGN(BN353))*POWER(CHslave,SIGN(BO353))*POWER(GEslave,SIGN(BQ353))*POWER(KOslave,SIGN(BR353))*POWER(KKslave,SIGN(BS353))+BQ353*POWER(MUslave,SIGN(BL353))*POWER(KLslave_KL,SIGN(BM353))*POWER(INslave,SIGN(BN353))*POWER(CHslave,SIGN(BO353))*POWER(FFslave,SIGN(BP353))*POWER(KOslave,SIGN(BR353))*POWER(KKslave,SIGN(BS353))+BR353*POWER(MUslave,SIGN(BL353))*POWER(KLslave_KL,SIGN(BM353))*POWER(INslave,SIGN(BN353))*POWER(CHslave,SIGN(BO353))*POWER(FFslave,SIGN(BP353))*POWER(GEslave,SIGN(BQ353))*POWER(KKslave,SIGN(BS353))+BS353*POWER(MUslave,SIGN(BL353))*POWER(KLslave_KL,SIGN(BM353))*POWER(INslave,SIGN(BN353))*POWER(CHslave,SIGN(BO353))*POWER(FFslave,SIGN(BP353))*POWER(GEslave,SIGN(BQ353))*POWER(KOslave,SIGN(BR353))</f>
        <v>2432</v>
      </c>
      <c r="BX353" s="234">
        <f>BM353*BN353*KOslave+BM353*INslave*BR353+KLslave_KL*BN353*BR353</f>
        <v>3408</v>
      </c>
      <c r="BY353" s="234">
        <f>IFERROR(BL353^SIGN(BL353),1)*IFERROR(BM353^SIGN(BM353),1)*IFERROR(BN353^SIGN(BN353),1)*IFERROR(BO353^SIGN(BO353),1)*IFERROR(BP353^SIGN(BP353),1)*IFERROR(BQ353^SIGN(BQ353),1)*IFERROR(BR353^SIGN(BR353),1)*IFERROR(BS353^SIGN(BS353),1)</f>
        <v>1584</v>
      </c>
      <c r="BZ353" s="242">
        <f>SUM(BW353:BY353)</f>
        <v>7424</v>
      </c>
      <c r="CA353" s="223">
        <f>BT353*BW353/BZ353</f>
        <v>3.8218390804597702</v>
      </c>
      <c r="CB353" s="223">
        <f>BU353*BX353/BZ353</f>
        <v>10.711206896551724</v>
      </c>
      <c r="CC353" s="223">
        <f>BV353*BY353/BZ353</f>
        <v>7.4676724137931032</v>
      </c>
      <c r="CD353" s="218">
        <f>SUM(CA353:CC353)</f>
        <v>22.000718390804597</v>
      </c>
      <c r="CE353" s="252">
        <f t="shared" si="3905"/>
        <v>0</v>
      </c>
      <c r="CF353" s="309">
        <f>CD353-CE353</f>
        <v>22.000718390804597</v>
      </c>
      <c r="CG353" s="218">
        <f>IF(CD353&lt;=0,2,0)+IF(CD353&gt;0,CD353+1,0)*2+IF(CD353&gt;12,CD353-12,0)*2+IF(CD353&gt;13,CD353-13,0)*2+IF(CD353&gt;14,CD353-14,0)*2+IF(CD353&gt;15,CD353-15,0)*2+IF(CD353&gt;16,CD353-16,0)*2+IF(CD353&gt;17,CD353-17,0)*2+IF(CD353&gt;18,CD353-18,0)*2+IF(CD353&gt;19,CD353-19,0)*2+IF(CD353&gt;20,CD353-20,0)*2</f>
        <v>154.01436781609189</v>
      </c>
      <c r="CH353" s="242">
        <f>IF(CE353&lt;=0,2,0)+IF(CE353&gt;0,CE353+1,0)*2+IF(CE353&gt;12,CE353-12,0)*2+IF(CE353&gt;13,CE353-13,0)*2+IF(CE353&gt;14,CE353-14,0)*2+IF(CE353&gt;15,CE353-15,0)*2+IF(CE353&gt;16,CE353-16,0)*2+IF(CE353&gt;17,CE353-17,0)*2+IF(CE353&gt;18,CE353-18,0)*2+IF(CE353&gt;19,CE353-19,0)*2+IF(CE353&gt;20,CE353-20,0)*2</f>
        <v>2</v>
      </c>
      <c r="CI353" s="243">
        <f>IF((CG353-CH353)&gt;0,CG353-CH353,0)</f>
        <v>152.01436781609189</v>
      </c>
      <c r="CJ353" s="218">
        <f>IF((CH353-CG353)&gt;0,CH353-CG353,0)</f>
        <v>0</v>
      </c>
      <c r="CL353" s="303" t="s">
        <v>313</v>
      </c>
      <c r="CM353" s="304" t="s">
        <v>226</v>
      </c>
      <c r="CN353" s="218" t="s">
        <v>132</v>
      </c>
      <c r="CO353" s="234"/>
      <c r="CP353" s="234">
        <f>Konvention_1slave-KLslave</f>
        <v>12</v>
      </c>
      <c r="CQ353" s="234">
        <f>Konvention_1slave-INslave_IN</f>
        <v>11</v>
      </c>
      <c r="CR353" s="234"/>
      <c r="CS353" s="234"/>
      <c r="CT353" s="234"/>
      <c r="CU353" s="234">
        <f>Konvention_1slave-KOslave</f>
        <v>12</v>
      </c>
      <c r="CV353" s="234"/>
      <c r="CW353" s="222">
        <f>(CO353+CP353+CQ353+CR353+CS353+CT353+CU353+CV353)/3</f>
        <v>11.666666666666666</v>
      </c>
      <c r="CX353" s="223">
        <f>2*CW353</f>
        <v>23.333333333333332</v>
      </c>
      <c r="CY353" s="224">
        <f>3*CW353</f>
        <v>35</v>
      </c>
      <c r="CZ353" s="234">
        <f>CO353*POWER(KLslave,SIGN(CP353))*POWER(INslave_IN,SIGN(CQ353))*POWER(CHslave,SIGN(CR353))*POWER(FFslave,SIGN(CS353))*POWER(GEslave,SIGN(CT353))*POWER(KOslave,SIGN(CU353))*POWER(KKslave,SIGN(CV353))+CP353*POWER(MUslave,SIGN(CO353))*POWER(INslave_IN,SIGN(CQ353))*POWER(CHslave,SIGN(CR353))*POWER(FFslave,SIGN(CS353))*POWER(GEslave,SIGN(CT353))*POWER(KOslave,SIGN(CU353))*POWER(KKslave,SIGN(CV353))+CQ353*POWER(MUslave,SIGN(CO353))*POWER(KLslave,SIGN(CP353))*POWER(CHslave,SIGN(CR353))*POWER(FFslave,SIGN(CS353))*POWER(GEslave,SIGN(CT353))*POWER(KOslave,SIGN(CU353))*POWER(KKslave,SIGN(CV353))+CR353*POWER(MUslave,SIGN(CO353))*POWER(KLslave,SIGN(CP353))*POWER(INslave_IN,SIGN(CQ353))*POWER(FFslave,SIGN(CS353))*POWER(GEslave,SIGN(CT353))*POWER(KOslave,SIGN(CU353))*POWER(KKslave,SIGN(CV353))+CS353*POWER(MUslave,SIGN(CO353))*POWER(KLslave,SIGN(CP353))*POWER(INslave_IN,SIGN(CQ353))*POWER(CHslave,SIGN(CR353))*POWER(GEslave,SIGN(CT353))*POWER(KOslave,SIGN(CU353))*POWER(KKslave,SIGN(CV353))+CT353*POWER(MUslave,SIGN(CO353))*POWER(KLslave,SIGN(CP353))*POWER(INslave_IN,SIGN(CQ353))*POWER(CHslave,SIGN(CR353))*POWER(FFslave,SIGN(CS353))*POWER(KOslave,SIGN(CU353))*POWER(KKslave,SIGN(CV353))+CU353*POWER(MUslave,SIGN(CO353))*POWER(KLslave,SIGN(CP353))*POWER(INslave_IN,SIGN(CQ353))*POWER(CHslave,SIGN(CR353))*POWER(FFslave,SIGN(CS353))*POWER(GEslave,SIGN(CT353))*POWER(KKslave,SIGN(CV353))+CV353*POWER(MUslave,SIGN(CO353))*POWER(KLslave,SIGN(CP353))*POWER(INslave_IN,SIGN(CQ353))*POWER(CHslave,SIGN(CR353))*POWER(FFslave,SIGN(CS353))*POWER(GEslave,SIGN(CT353))*POWER(KOslave,SIGN(CU353))</f>
        <v>2432</v>
      </c>
      <c r="DA353" s="234">
        <f>CP353*CQ353*KOslave+CP353*INslave_IN*CU353+KLslave*CQ353*CU353</f>
        <v>3408</v>
      </c>
      <c r="DB353" s="234">
        <f>IFERROR(CO353^SIGN(CO353),1)*IFERROR(CP353^SIGN(CP353),1)*IFERROR(CQ353^SIGN(CQ353),1)*IFERROR(CR353^SIGN(CR353),1)*IFERROR(CS353^SIGN(CS353),1)*IFERROR(CT353^SIGN(CT353),1)*IFERROR(CU353^SIGN(CU353),1)*IFERROR(CV353^SIGN(CV353),1)</f>
        <v>1584</v>
      </c>
      <c r="DC353" s="242">
        <f>SUM(CZ353:DB353)</f>
        <v>7424</v>
      </c>
      <c r="DD353" s="223">
        <f>CW353*CZ353/DC353</f>
        <v>3.8218390804597702</v>
      </c>
      <c r="DE353" s="223">
        <f>CX353*DA353/DC353</f>
        <v>10.711206896551724</v>
      </c>
      <c r="DF353" s="223">
        <f>CY353*DB353/DC353</f>
        <v>7.4676724137931032</v>
      </c>
      <c r="DG353" s="218">
        <f>SUM(DD353:DF353)</f>
        <v>22.000718390804597</v>
      </c>
      <c r="DH353" s="252">
        <f t="shared" si="3906"/>
        <v>0</v>
      </c>
      <c r="DI353" s="309">
        <f>DG353-DH353</f>
        <v>22.000718390804597</v>
      </c>
      <c r="DJ353" s="218">
        <f>IF(DG353&lt;=0,2,0)+IF(DG353&gt;0,DG353+1,0)*2+IF(DG353&gt;12,DG353-12,0)*2+IF(DG353&gt;13,DG353-13,0)*2+IF(DG353&gt;14,DG353-14,0)*2+IF(DG353&gt;15,DG353-15,0)*2+IF(DG353&gt;16,DG353-16,0)*2+IF(DG353&gt;17,DG353-17,0)*2+IF(DG353&gt;18,DG353-18,0)*2+IF(DG353&gt;19,DG353-19,0)*2+IF(DG353&gt;20,DG353-20,0)*2</f>
        <v>154.01436781609189</v>
      </c>
      <c r="DK353" s="242">
        <f>IF(DH353&lt;=0,2,0)+IF(DH353&gt;0,DH353+1,0)*2+IF(DH353&gt;12,DH353-12,0)*2+IF(DH353&gt;13,DH353-13,0)*2+IF(DH353&gt;14,DH353-14,0)*2+IF(DH353&gt;15,DH353-15,0)*2+IF(DH353&gt;16,DH353-16,0)*2+IF(DH353&gt;17,DH353-17,0)*2+IF(DH353&gt;18,DH353-18,0)*2+IF(DH353&gt;19,DH353-19,0)*2+IF(DH353&gt;20,DH353-20,0)*2</f>
        <v>2</v>
      </c>
      <c r="DL353" s="243">
        <f>IF((DJ353-DK353)&gt;0,DJ353-DK353,0)</f>
        <v>152.01436781609189</v>
      </c>
      <c r="DM353" s="218">
        <f>IF((DK353-DJ353)&gt;0,DK353-DJ353,0)</f>
        <v>0</v>
      </c>
      <c r="DO353" s="303" t="s">
        <v>313</v>
      </c>
      <c r="DP353" s="304" t="s">
        <v>226</v>
      </c>
      <c r="DQ353" s="218" t="s">
        <v>132</v>
      </c>
      <c r="DR353" s="234"/>
      <c r="DS353" s="234">
        <f>Konvention_1slave-KLslave</f>
        <v>12</v>
      </c>
      <c r="DT353" s="234">
        <f>Konvention_1slave-INslave</f>
        <v>12</v>
      </c>
      <c r="DU353" s="234"/>
      <c r="DV353" s="234"/>
      <c r="DW353" s="234"/>
      <c r="DX353" s="234">
        <f>Konvention_1slave-KOslave</f>
        <v>12</v>
      </c>
      <c r="DY353" s="234"/>
      <c r="DZ353" s="222">
        <f>(DR353+DS353+DT353+DU353+DV353+DW353+DX353+DY353)/3</f>
        <v>12</v>
      </c>
      <c r="EA353" s="223">
        <f>2*DZ353</f>
        <v>24</v>
      </c>
      <c r="EB353" s="224">
        <f>3*DZ353</f>
        <v>36</v>
      </c>
      <c r="EC353" s="234">
        <f>DR353*POWER(KLslave,SIGN(DS353))*POWER(INslave,SIGN(DT353))*POWER(CHslave_CH,SIGN(DU353))*POWER(FFslave,SIGN(DV353))*POWER(GEslave,SIGN(DW353))*POWER(KOslave,SIGN(DX353))*POWER(KKslave,SIGN(DY353))+DS353*POWER(MUslave,SIGN(DR353))*POWER(INslave,SIGN(DT353))*POWER(CHslave_CH,SIGN(DU353))*POWER(FFslave,SIGN(DV353))*POWER(GEslave,SIGN(DW353))*POWER(KOslave,SIGN(DX353))*POWER(KKslave,SIGN(DY353))+DT353*POWER(MUslave,SIGN(DR353))*POWER(KLslave,SIGN(DS353))*POWER(CHslave_CH,SIGN(DU353))*POWER(FFslave,SIGN(DV353))*POWER(GEslave,SIGN(DW353))*POWER(KOslave,SIGN(DX353))*POWER(KKslave,SIGN(DY353))+DU353*POWER(MUslave,SIGN(DR353))*POWER(KLslave,SIGN(DS353))*POWER(INslave,SIGN(DT353))*POWER(FFslave,SIGN(DV353))*POWER(GEslave,SIGN(DW353))*POWER(KOslave,SIGN(DX353))*POWER(KKslave,SIGN(DY353))+DV353*POWER(MUslave,SIGN(DR353))*POWER(KLslave,SIGN(DS353))*POWER(INslave,SIGN(DT353))*POWER(CHslave_CH,SIGN(DU353))*POWER(GEslave,SIGN(DW353))*POWER(KOslave,SIGN(DX353))*POWER(KKslave,SIGN(DY353))+DW353*POWER(MUslave,SIGN(DR353))*POWER(KLslave,SIGN(DS353))*POWER(INslave,SIGN(DT353))*POWER(CHslave_CH,SIGN(DU353))*POWER(FFslave,SIGN(DV353))*POWER(KOslave,SIGN(DX353))*POWER(KKslave,SIGN(DY353))+DX353*POWER(MUslave,SIGN(DR353))*POWER(KLslave,SIGN(DS353))*POWER(INslave,SIGN(DT353))*POWER(CHslave_CH,SIGN(DU353))*POWER(FFslave,SIGN(DV353))*POWER(GEslave,SIGN(DW353))*POWER(KKslave,SIGN(DY353))+DY353*POWER(MUslave,SIGN(DR353))*POWER(KLslave,SIGN(DS353))*POWER(INslave,SIGN(DT353))*POWER(CHslave_CH,SIGN(DU353))*POWER(FFslave,SIGN(DV353))*POWER(GEslave,SIGN(DW353))*POWER(KOslave,SIGN(DX353))</f>
        <v>2304</v>
      </c>
      <c r="ED353" s="234">
        <f>DS353*DT353*KOslave+DS353*INslave*DX353+KLslave*DT353*DX353</f>
        <v>3456</v>
      </c>
      <c r="EE353" s="234">
        <f>IFERROR(DR353^SIGN(DR353),1)*IFERROR(DS353^SIGN(DS353),1)*IFERROR(DT353^SIGN(DT353),1)*IFERROR(DU353^SIGN(DU353),1)*IFERROR(DV353^SIGN(DV353),1)*IFERROR(DW353^SIGN(DW353),1)*IFERROR(DX353^SIGN(DX353),1)*IFERROR(DY353^SIGN(DY353),1)</f>
        <v>1728</v>
      </c>
      <c r="EF353" s="242">
        <f>SUM(EC353:EE353)</f>
        <v>7488</v>
      </c>
      <c r="EG353" s="223">
        <f>DZ353*EC353/EF353</f>
        <v>3.6923076923076925</v>
      </c>
      <c r="EH353" s="223">
        <f>EA353*ED353/EF353</f>
        <v>11.076923076923077</v>
      </c>
      <c r="EI353" s="223">
        <f>EB353*EE353/EF353</f>
        <v>8.3076923076923084</v>
      </c>
      <c r="EJ353" s="218">
        <f>SUM(EG353:EI353)</f>
        <v>23.07692307692308</v>
      </c>
      <c r="EK353" s="252">
        <f t="shared" si="3907"/>
        <v>0</v>
      </c>
      <c r="EL353" s="309">
        <f>EJ353-EK353</f>
        <v>23.07692307692308</v>
      </c>
      <c r="EM353" s="218">
        <f>IF(EJ353&lt;=0,2,0)+IF(EJ353&gt;0,EJ353+1,0)*2+IF(EJ353&gt;12,EJ353-12,0)*2+IF(EJ353&gt;13,EJ353-13,0)*2+IF(EJ353&gt;14,EJ353-14,0)*2+IF(EJ353&gt;15,EJ353-15,0)*2+IF(EJ353&gt;16,EJ353-16,0)*2+IF(EJ353&gt;17,EJ353-17,0)*2+IF(EJ353&gt;18,EJ353-18,0)*2+IF(EJ353&gt;19,EJ353-19,0)*2+IF(EJ353&gt;20,EJ353-20,0)*2</f>
        <v>175.5384615384616</v>
      </c>
      <c r="EN353" s="242">
        <f>IF(EK353&lt;=0,2,0)+IF(EK353&gt;0,EK353+1,0)*2+IF(EK353&gt;12,EK353-12,0)*2+IF(EK353&gt;13,EK353-13,0)*2+IF(EK353&gt;14,EK353-14,0)*2+IF(EK353&gt;15,EK353-15,0)*2+IF(EK353&gt;16,EK353-16,0)*2+IF(EK353&gt;17,EK353-17,0)*2+IF(EK353&gt;18,EK353-18,0)*2+IF(EK353&gt;19,EK353-19,0)*2+IF(EK353&gt;20,EK353-20,0)*2</f>
        <v>2</v>
      </c>
      <c r="EO353" s="243">
        <f>IF((EM353-EN353)&gt;0,EM353-EN353,0)</f>
        <v>173.5384615384616</v>
      </c>
      <c r="EP353" s="218">
        <f>IF((EN353-EM353)&gt;0,EN353-EM353,0)</f>
        <v>0</v>
      </c>
      <c r="ER353" s="303" t="s">
        <v>313</v>
      </c>
      <c r="ES353" s="304" t="s">
        <v>226</v>
      </c>
      <c r="ET353" s="218" t="s">
        <v>132</v>
      </c>
      <c r="EU353" s="234"/>
      <c r="EV353" s="234">
        <f>Konvention_1slave-KLslave</f>
        <v>12</v>
      </c>
      <c r="EW353" s="234">
        <f>Konvention_1slave-INslave</f>
        <v>12</v>
      </c>
      <c r="EX353" s="234"/>
      <c r="EY353" s="234"/>
      <c r="EZ353" s="234"/>
      <c r="FA353" s="234">
        <f>Konvention_1slave-KOslave</f>
        <v>12</v>
      </c>
      <c r="FB353" s="234"/>
      <c r="FC353" s="222">
        <f>(EU353+EV353+EW353+EX353+EY353+EZ353+FA353+FB353)/3</f>
        <v>12</v>
      </c>
      <c r="FD353" s="223">
        <f>2*FC353</f>
        <v>24</v>
      </c>
      <c r="FE353" s="224">
        <f>3*FC353</f>
        <v>36</v>
      </c>
      <c r="FF353" s="234">
        <f>EU353*POWER(KLslave,SIGN(EV353))*POWER(INslave,SIGN(EW353))*POWER(CHslave,SIGN(EX353))*POWER(FFslave_FF,SIGN(EY353))*POWER(GEslave,SIGN(EZ353))*POWER(KOslave,SIGN(FA353))*POWER(KKslave,SIGN(FB353))+EV353*POWER(MUslave,SIGN(EU353))*POWER(INslave,SIGN(EW353))*POWER(CHslave,SIGN(EX353))*POWER(FFslave_FF,SIGN(EY353))*POWER(GEslave,SIGN(EZ353))*POWER(KOslave,SIGN(FA353))*POWER(KKslave,SIGN(FB353))+EW353*POWER(MUslave,SIGN(EU353))*POWER(KLslave,SIGN(EV353))*POWER(CHslave,SIGN(EX353))*POWER(FFslave_FF,SIGN(EY353))*POWER(GEslave,SIGN(EZ353))*POWER(KOslave,SIGN(FA353))*POWER(KKslave,SIGN(FB353))+EX353*POWER(MUslave,SIGN(EU353))*POWER(KLslave,SIGN(EV353))*POWER(INslave,SIGN(EW353))*POWER(FFslave_FF,SIGN(EY353))*POWER(GEslave,SIGN(EZ353))*POWER(KOslave,SIGN(FA353))*POWER(KKslave,SIGN(FB353))+EY353*POWER(MUslave,SIGN(EU353))*POWER(KLslave,SIGN(EV353))*POWER(INslave,SIGN(EW353))*POWER(CHslave,SIGN(EX353))*POWER(GEslave,SIGN(EZ353))*POWER(KOslave,SIGN(FA353))*POWER(KKslave,SIGN(FB353))+EZ353*POWER(MUslave,SIGN(EU353))*POWER(KLslave,SIGN(EV353))*POWER(INslave,SIGN(EW353))*POWER(CHslave,SIGN(EX353))*POWER(FFslave_FF,SIGN(EY353))*POWER(KOslave,SIGN(FA353))*POWER(KKslave,SIGN(FB353))+FA353*POWER(MUslave,SIGN(EU353))*POWER(KLslave,SIGN(EV353))*POWER(INslave,SIGN(EW353))*POWER(CHslave,SIGN(EX353))*POWER(FFslave_FF,SIGN(EY353))*POWER(GEslave,SIGN(EZ353))*POWER(KKslave,SIGN(FB353))+FB353*POWER(MUslave,SIGN(EU353))*POWER(KLslave,SIGN(EV353))*POWER(INslave,SIGN(EW353))*POWER(CHslave,SIGN(EX353))*POWER(FFslave_FF,SIGN(EY353))*POWER(GEslave,SIGN(EZ353))*POWER(KOslave,SIGN(FA353))</f>
        <v>2304</v>
      </c>
      <c r="FG353" s="234">
        <f>EV353*EW353*KOslave+EV353*INslave*FA353+KLslave*EW353*FA353</f>
        <v>3456</v>
      </c>
      <c r="FH353" s="234">
        <f>IFERROR(EU353^SIGN(EU353),1)*IFERROR(EV353^SIGN(EV353),1)*IFERROR(EW353^SIGN(EW353),1)*IFERROR(EX353^SIGN(EX353),1)*IFERROR(EY353^SIGN(EY353),1)*IFERROR(EZ353^SIGN(EZ353),1)*IFERROR(FA353^SIGN(FA353),1)*IFERROR(FB353^SIGN(FB353),1)</f>
        <v>1728</v>
      </c>
      <c r="FI353" s="242">
        <f>SUM(FF353:FH353)</f>
        <v>7488</v>
      </c>
      <c r="FJ353" s="223">
        <f>FC353*FF353/FI353</f>
        <v>3.6923076923076925</v>
      </c>
      <c r="FK353" s="223">
        <f>FD353*FG353/FI353</f>
        <v>11.076923076923077</v>
      </c>
      <c r="FL353" s="223">
        <f>FE353*FH353/FI353</f>
        <v>8.3076923076923084</v>
      </c>
      <c r="FM353" s="218">
        <f>SUM(FJ353:FL353)</f>
        <v>23.07692307692308</v>
      </c>
      <c r="FN353" s="252">
        <f t="shared" si="3908"/>
        <v>0</v>
      </c>
      <c r="FO353" s="309">
        <f>FM353-FN353</f>
        <v>23.07692307692308</v>
      </c>
      <c r="FP353" s="218">
        <f>IF(FM353&lt;=0,2,0)+IF(FM353&gt;0,FM353+1,0)*2+IF(FM353&gt;12,FM353-12,0)*2+IF(FM353&gt;13,FM353-13,0)*2+IF(FM353&gt;14,FM353-14,0)*2+IF(FM353&gt;15,FM353-15,0)*2+IF(FM353&gt;16,FM353-16,0)*2+IF(FM353&gt;17,FM353-17,0)*2+IF(FM353&gt;18,FM353-18,0)*2+IF(FM353&gt;19,FM353-19,0)*2+IF(FM353&gt;20,FM353-20,0)*2</f>
        <v>175.5384615384616</v>
      </c>
      <c r="FQ353" s="242">
        <f>IF(FN353&lt;=0,2,0)+IF(FN353&gt;0,FN353+1,0)*2+IF(FN353&gt;12,FN353-12,0)*2+IF(FN353&gt;13,FN353-13,0)*2+IF(FN353&gt;14,FN353-14,0)*2+IF(FN353&gt;15,FN353-15,0)*2+IF(FN353&gt;16,FN353-16,0)*2+IF(FN353&gt;17,FN353-17,0)*2+IF(FN353&gt;18,FN353-18,0)*2+IF(FN353&gt;19,FN353-19,0)*2+IF(FN353&gt;20,FN353-20,0)*2</f>
        <v>2</v>
      </c>
      <c r="FR353" s="243">
        <f>IF((FP353-FQ353)&gt;0,FP353-FQ353,0)</f>
        <v>173.5384615384616</v>
      </c>
      <c r="FS353" s="218">
        <f>IF((FQ353-FP353)&gt;0,FQ353-FP353,0)</f>
        <v>0</v>
      </c>
      <c r="FU353" s="303" t="s">
        <v>313</v>
      </c>
      <c r="FV353" s="304" t="s">
        <v>226</v>
      </c>
      <c r="FW353" s="218" t="s">
        <v>132</v>
      </c>
      <c r="FX353" s="234"/>
      <c r="FY353" s="234">
        <f>Konvention_1slave-KLslave</f>
        <v>12</v>
      </c>
      <c r="FZ353" s="234">
        <f>Konvention_1slave-INslave</f>
        <v>12</v>
      </c>
      <c r="GA353" s="234"/>
      <c r="GB353" s="234"/>
      <c r="GC353" s="234"/>
      <c r="GD353" s="234">
        <f>Konvention_1slave-KOslave</f>
        <v>12</v>
      </c>
      <c r="GE353" s="234"/>
      <c r="GF353" s="222">
        <f>(FX353+FY353+FZ353+GA353+GB353+GC353+GD353+GE353)/3</f>
        <v>12</v>
      </c>
      <c r="GG353" s="223">
        <f>2*GF353</f>
        <v>24</v>
      </c>
      <c r="GH353" s="224">
        <f>3*GF353</f>
        <v>36</v>
      </c>
      <c r="GI353" s="234">
        <f>FX353*POWER(KLslave,SIGN(FY353))*POWER(INslave,SIGN(FZ353))*POWER(CHslave,SIGN(GA353))*POWER(FFslave,SIGN(GB353))*POWER(GEslave_GE,SIGN(GC353))*POWER(KOslave,SIGN(GD353))*POWER(KKslave,SIGN(GE353))+FY353*POWER(MUslave,SIGN(FX353))*POWER(INslave,SIGN(FZ353))*POWER(CHslave,SIGN(GA353))*POWER(FFslave,SIGN(GB353))*POWER(GEslave_GE,SIGN(GC353))*POWER(KOslave,SIGN(GD353))*POWER(KKslave,SIGN(GE353))+FZ353*POWER(MUslave,SIGN(FX353))*POWER(KLslave,SIGN(FY353))*POWER(CHslave,SIGN(GA353))*POWER(FFslave,SIGN(GB353))*POWER(GEslave_GE,SIGN(GC353))*POWER(KOslave,SIGN(GD353))*POWER(KKslave,SIGN(GE353))+GA353*POWER(MUslave,SIGN(FX353))*POWER(KLslave,SIGN(FY353))*POWER(INslave,SIGN(FZ353))*POWER(FFslave,SIGN(GB353))*POWER(GEslave_GE,SIGN(GC353))*POWER(KOslave,SIGN(GD353))*POWER(KKslave,SIGN(GE353))+GB353*POWER(MUslave,SIGN(FX353))*POWER(KLslave,SIGN(FY353))*POWER(INslave,SIGN(FZ353))*POWER(CHslave,SIGN(GA353))*POWER(GEslave_GE,SIGN(GC353))*POWER(KOslave,SIGN(GD353))*POWER(KKslave,SIGN(GE353))+GC353*POWER(MUslave,SIGN(FX353))*POWER(KLslave,SIGN(FY353))*POWER(INslave,SIGN(FZ353))*POWER(CHslave,SIGN(GA353))*POWER(FFslave,SIGN(GB353))*POWER(KOslave,SIGN(GD353))*POWER(KKslave,SIGN(GE353))+GD353*POWER(MUslave,SIGN(FX353))*POWER(KLslave,SIGN(FY353))*POWER(INslave,SIGN(FZ353))*POWER(CHslave,SIGN(GA353))*POWER(FFslave,SIGN(GB353))*POWER(GEslave_GE,SIGN(GC353))*POWER(KKslave,SIGN(GE353))+GE353*POWER(MUslave,SIGN(FX353))*POWER(KLslave,SIGN(FY353))*POWER(INslave,SIGN(FZ353))*POWER(CHslave,SIGN(GA353))*POWER(FFslave,SIGN(GB353))*POWER(GEslave_GE,SIGN(GC353))*POWER(KOslave,SIGN(GD353))</f>
        <v>2304</v>
      </c>
      <c r="GJ353" s="234">
        <f>FY353*FZ353*KOslave+FY353*INslave*GD353+KLslave*FZ353*GD353</f>
        <v>3456</v>
      </c>
      <c r="GK353" s="234">
        <f>IFERROR(FX353^SIGN(FX353),1)*IFERROR(FY353^SIGN(FY353),1)*IFERROR(FZ353^SIGN(FZ353),1)*IFERROR(GA353^SIGN(GA353),1)*IFERROR(GB353^SIGN(GB353),1)*IFERROR(GC353^SIGN(GC353),1)*IFERROR(GD353^SIGN(GD353),1)*IFERROR(GE353^SIGN(GE353),1)</f>
        <v>1728</v>
      </c>
      <c r="GL353" s="242">
        <f>SUM(GI353:GK353)</f>
        <v>7488</v>
      </c>
      <c r="GM353" s="223">
        <f>GF353*GI353/GL353</f>
        <v>3.6923076923076925</v>
      </c>
      <c r="GN353" s="223">
        <f>GG353*GJ353/GL353</f>
        <v>11.076923076923077</v>
      </c>
      <c r="GO353" s="223">
        <f>GH353*GK353/GL353</f>
        <v>8.3076923076923084</v>
      </c>
      <c r="GP353" s="218">
        <f>SUM(GM353:GO353)</f>
        <v>23.07692307692308</v>
      </c>
      <c r="GQ353" s="252">
        <f t="shared" si="3909"/>
        <v>0</v>
      </c>
      <c r="GR353" s="309">
        <f>GP353-GQ353</f>
        <v>23.07692307692308</v>
      </c>
      <c r="GS353" s="218">
        <f>IF(GP353&lt;=0,2,0)+IF(GP353&gt;0,GP353+1,0)*2+IF(GP353&gt;12,GP353-12,0)*2+IF(GP353&gt;13,GP353-13,0)*2+IF(GP353&gt;14,GP353-14,0)*2+IF(GP353&gt;15,GP353-15,0)*2+IF(GP353&gt;16,GP353-16,0)*2+IF(GP353&gt;17,GP353-17,0)*2+IF(GP353&gt;18,GP353-18,0)*2+IF(GP353&gt;19,GP353-19,0)*2+IF(GP353&gt;20,GP353-20,0)*2</f>
        <v>175.5384615384616</v>
      </c>
      <c r="GT353" s="242">
        <f>IF(GQ353&lt;=0,2,0)+IF(GQ353&gt;0,GQ353+1,0)*2+IF(GQ353&gt;12,GQ353-12,0)*2+IF(GQ353&gt;13,GQ353-13,0)*2+IF(GQ353&gt;14,GQ353-14,0)*2+IF(GQ353&gt;15,GQ353-15,0)*2+IF(GQ353&gt;16,GQ353-16,0)*2+IF(GQ353&gt;17,GQ353-17,0)*2+IF(GQ353&gt;18,GQ353-18,0)*2+IF(GQ353&gt;19,GQ353-19,0)*2+IF(GQ353&gt;20,GQ353-20,0)*2</f>
        <v>2</v>
      </c>
      <c r="GU353" s="243">
        <f>IF((GS353-GT353)&gt;0,GS353-GT353,0)</f>
        <v>173.5384615384616</v>
      </c>
      <c r="GV353" s="218">
        <f>IF((GT353-GS353)&gt;0,GT353-GS353,0)</f>
        <v>0</v>
      </c>
      <c r="GX353" s="303" t="s">
        <v>313</v>
      </c>
      <c r="GY353" s="304" t="s">
        <v>226</v>
      </c>
      <c r="GZ353" s="218" t="s">
        <v>132</v>
      </c>
      <c r="HA353" s="234"/>
      <c r="HB353" s="234">
        <f>Konvention_1slave-KLslave</f>
        <v>12</v>
      </c>
      <c r="HC353" s="234">
        <f>Konvention_1slave-INslave</f>
        <v>12</v>
      </c>
      <c r="HD353" s="234"/>
      <c r="HE353" s="234"/>
      <c r="HF353" s="234"/>
      <c r="HG353" s="234">
        <f>Konvention_1slave-KOslave_KO</f>
        <v>11</v>
      </c>
      <c r="HH353" s="234"/>
      <c r="HI353" s="222">
        <f>(HA353+HB353+HC353+HD353+HE353+HF353+HG353+HH353)/3</f>
        <v>11.666666666666666</v>
      </c>
      <c r="HJ353" s="223">
        <f>2*HI353</f>
        <v>23.333333333333332</v>
      </c>
      <c r="HK353" s="224">
        <f>3*HI353</f>
        <v>35</v>
      </c>
      <c r="HL353" s="234">
        <f>HA353*POWER(KLslave,SIGN(HB353))*POWER(INslave,SIGN(HC353))*POWER(CHslave,SIGN(HD353))*POWER(FFslave,SIGN(HE353))*POWER(GEslave,SIGN(HF353))*POWER(KOslave_KO,SIGN(HG353))*POWER(KKslave,SIGN(HH353))+HB353*POWER(MUslave,SIGN(HA353))*POWER(INslave,SIGN(HC353))*POWER(CHslave,SIGN(HD353))*POWER(FFslave,SIGN(HE353))*POWER(GEslave,SIGN(HF353))*POWER(KOslave_KO,SIGN(HG353))*POWER(KKslave,SIGN(HH353))+HC353*POWER(MUslave,SIGN(HA353))*POWER(KLslave,SIGN(HB353))*POWER(CHslave,SIGN(HD353))*POWER(FFslave,SIGN(HE353))*POWER(GEslave,SIGN(HF353))*POWER(KOslave_KO,SIGN(HG353))*POWER(KKslave,SIGN(HH353))+HD353*POWER(MUslave,SIGN(HA353))*POWER(KLslave,SIGN(HB353))*POWER(INslave,SIGN(HC353))*POWER(FFslave,SIGN(HE353))*POWER(GEslave,SIGN(HF353))*POWER(KOslave_KO,SIGN(HG353))*POWER(KKslave,SIGN(HH353))+HE353*POWER(MUslave,SIGN(HA353))*POWER(KLslave,SIGN(HB353))*POWER(INslave,SIGN(HC353))*POWER(CHslave,SIGN(HD353))*POWER(GEslave,SIGN(HF353))*POWER(KOslave_KO,SIGN(HG353))*POWER(KKslave,SIGN(HH353))+HF353*POWER(MUslave,SIGN(HA353))*POWER(KLslave,SIGN(HB353))*POWER(INslave,SIGN(HC353))*POWER(CHslave,SIGN(HD353))*POWER(FFslave,SIGN(HE353))*POWER(KOslave_KO,SIGN(HG353))*POWER(KKslave,SIGN(HH353))+HG353*POWER(MUslave,SIGN(HA353))*POWER(KLslave,SIGN(HB353))*POWER(INslave,SIGN(HC353))*POWER(CHslave,SIGN(HD353))*POWER(FFslave,SIGN(HE353))*POWER(GEslave,SIGN(HF353))*POWER(KKslave,SIGN(HH353))+HH353*POWER(MUslave,SIGN(HA353))*POWER(KLslave,SIGN(HB353))*POWER(INslave,SIGN(HC353))*POWER(CHslave,SIGN(HD353))*POWER(FFslave,SIGN(HE353))*POWER(GEslave,SIGN(HF353))*POWER(KOslave_KO,SIGN(HG353))</f>
        <v>2432</v>
      </c>
      <c r="HM353" s="234">
        <f>HB353*HC353*KOslave_KO+HB353*INslave*HG353+KLslave*HC353*HG353</f>
        <v>3408</v>
      </c>
      <c r="HN353" s="234">
        <f>IFERROR(HA353^SIGN(HA353),1)*IFERROR(HB353^SIGN(HB353),1)*IFERROR(HC353^SIGN(HC353),1)*IFERROR(HD353^SIGN(HD353),1)*IFERROR(HE353^SIGN(HE353),1)*IFERROR(HF353^SIGN(HF353),1)*IFERROR(HG353^SIGN(HG353),1)*IFERROR(HH353^SIGN(HH353),1)</f>
        <v>1584</v>
      </c>
      <c r="HO353" s="242">
        <f>SUM(HL353:HN353)</f>
        <v>7424</v>
      </c>
      <c r="HP353" s="223">
        <f>HI353*HL353/HO353</f>
        <v>3.8218390804597702</v>
      </c>
      <c r="HQ353" s="223">
        <f>HJ353*HM353/HO353</f>
        <v>10.711206896551724</v>
      </c>
      <c r="HR353" s="223">
        <f>HK353*HN353/HO353</f>
        <v>7.4676724137931032</v>
      </c>
      <c r="HS353" s="218">
        <f>SUM(HP353:HR353)</f>
        <v>22.000718390804597</v>
      </c>
      <c r="HT353" s="252">
        <f t="shared" si="3910"/>
        <v>0</v>
      </c>
      <c r="HU353" s="309">
        <f>HS353-HT353</f>
        <v>22.000718390804597</v>
      </c>
      <c r="HV353" s="218">
        <f>IF(HS353&lt;=0,2,0)+IF(HS353&gt;0,HS353+1,0)*2+IF(HS353&gt;12,HS353-12,0)*2+IF(HS353&gt;13,HS353-13,0)*2+IF(HS353&gt;14,HS353-14,0)*2+IF(HS353&gt;15,HS353-15,0)*2+IF(HS353&gt;16,HS353-16,0)*2+IF(HS353&gt;17,HS353-17,0)*2+IF(HS353&gt;18,HS353-18,0)*2+IF(HS353&gt;19,HS353-19,0)*2+IF(HS353&gt;20,HS353-20,0)*2</f>
        <v>154.01436781609189</v>
      </c>
      <c r="HW353" s="242">
        <f>IF(HT353&lt;=0,2,0)+IF(HT353&gt;0,HT353+1,0)*2+IF(HT353&gt;12,HT353-12,0)*2+IF(HT353&gt;13,HT353-13,0)*2+IF(HT353&gt;14,HT353-14,0)*2+IF(HT353&gt;15,HT353-15,0)*2+IF(HT353&gt;16,HT353-16,0)*2+IF(HT353&gt;17,HT353-17,0)*2+IF(HT353&gt;18,HT353-18,0)*2+IF(HT353&gt;19,HT353-19,0)*2+IF(HT353&gt;20,HT353-20,0)*2</f>
        <v>2</v>
      </c>
      <c r="HX353" s="243">
        <f>IF((HV353-HW353)&gt;0,HV353-HW353,0)</f>
        <v>152.01436781609189</v>
      </c>
      <c r="HY353" s="218">
        <f>IF((HW353-HV353)&gt;0,HW353-HV353,0)</f>
        <v>0</v>
      </c>
      <c r="IA353" s="303" t="s">
        <v>313</v>
      </c>
      <c r="IB353" s="304" t="s">
        <v>226</v>
      </c>
      <c r="IC353" s="218" t="s">
        <v>132</v>
      </c>
      <c r="ID353" s="234"/>
      <c r="IE353" s="234">
        <f>Konvention_1slave-KLslave</f>
        <v>12</v>
      </c>
      <c r="IF353" s="234">
        <f>Konvention_1slave-INslave</f>
        <v>12</v>
      </c>
      <c r="IG353" s="234"/>
      <c r="IH353" s="234"/>
      <c r="II353" s="234"/>
      <c r="IJ353" s="234">
        <f>Konvention_1slave-KOslave</f>
        <v>12</v>
      </c>
      <c r="IK353" s="234"/>
      <c r="IL353" s="222">
        <f>(ID353+IE353+IF353+IG353+IH353+II353+IJ353+IK353)/3</f>
        <v>12</v>
      </c>
      <c r="IM353" s="223">
        <f>2*IL353</f>
        <v>24</v>
      </c>
      <c r="IN353" s="224">
        <f>3*IL353</f>
        <v>36</v>
      </c>
      <c r="IO353" s="234">
        <f>ID353*POWER(KLslave,SIGN(IE353))*POWER(INslave,SIGN(IF353))*POWER(CHslave,SIGN(IG353))*POWER(FFslave,SIGN(IH353))*POWER(GEslave,SIGN(II353))*POWER(KOslave,SIGN(IJ353))*POWER(KKslave_KK,SIGN(IK353))+IE353*POWER(MUslave,SIGN(ID353))*POWER(INslave,SIGN(IF353))*POWER(CHslave,SIGN(IG353))*POWER(FFslave,SIGN(IH353))*POWER(GEslave,SIGN(II353))*POWER(KOslave,SIGN(IJ353))*POWER(KKslave_KK,SIGN(IK353))+IF353*POWER(MUslave,SIGN(ID353))*POWER(KLslave,SIGN(IE353))*POWER(CHslave,SIGN(IG353))*POWER(FFslave,SIGN(IH353))*POWER(GEslave,SIGN(II353))*POWER(KOslave,SIGN(IJ353))*POWER(KKslave_KK,SIGN(IK353))+IG353*POWER(MUslave,SIGN(ID353))*POWER(KLslave,SIGN(IE353))*POWER(INslave,SIGN(IF353))*POWER(FFslave,SIGN(IH353))*POWER(GEslave,SIGN(II353))*POWER(KOslave,SIGN(IJ353))*POWER(KKslave_KK,SIGN(IK353))+IH353*POWER(MUslave,SIGN(ID353))*POWER(KLslave,SIGN(IE353))*POWER(INslave,SIGN(IF353))*POWER(CHslave,SIGN(IG353))*POWER(GEslave,SIGN(II353))*POWER(KOslave,SIGN(IJ353))*POWER(KKslave_KK,SIGN(IK353))+II353*POWER(MUslave,SIGN(ID353))*POWER(KLslave,SIGN(IE353))*POWER(INslave,SIGN(IF353))*POWER(CHslave,SIGN(IG353))*POWER(FFslave,SIGN(IH353))*POWER(KOslave,SIGN(IJ353))*POWER(KKslave_KK,SIGN(IK353))+IJ353*POWER(MUslave,SIGN(ID353))*POWER(KLslave,SIGN(IE353))*POWER(INslave,SIGN(IF353))*POWER(CHslave,SIGN(IG353))*POWER(FFslave,SIGN(IH353))*POWER(GEslave,SIGN(II353))*POWER(KKslave_KK,SIGN(IK353))+IK353*POWER(MUslave,SIGN(ID353))*POWER(KLslave,SIGN(IE353))*POWER(INslave,SIGN(IF353))*POWER(CHslave,SIGN(IG353))*POWER(FFslave,SIGN(IH353))*POWER(GEslave,SIGN(II353))*POWER(KOslave,SIGN(IJ353))</f>
        <v>2304</v>
      </c>
      <c r="IP353" s="234">
        <f>IE353*IF353*KOslave+IE353*INslave*IJ353+KLslave*IF353*IJ353</f>
        <v>3456</v>
      </c>
      <c r="IQ353" s="234">
        <f>IFERROR(ID353^SIGN(ID353),1)*IFERROR(IE353^SIGN(IE353),1)*IFERROR(IF353^SIGN(IF353),1)*IFERROR(IG353^SIGN(IG353),1)*IFERROR(IH353^SIGN(IH353),1)*IFERROR(II353^SIGN(II353),1)*IFERROR(IJ353^SIGN(IJ353),1)*IFERROR(IK353^SIGN(IK353),1)</f>
        <v>1728</v>
      </c>
      <c r="IR353" s="242">
        <f>SUM(IO353:IQ353)</f>
        <v>7488</v>
      </c>
      <c r="IS353" s="223">
        <f>IL353*IO353/IR353</f>
        <v>3.6923076923076925</v>
      </c>
      <c r="IT353" s="223">
        <f>IM353*IP353/IR353</f>
        <v>11.076923076923077</v>
      </c>
      <c r="IU353" s="223">
        <f>IN353*IQ353/IR353</f>
        <v>8.3076923076923084</v>
      </c>
      <c r="IV353" s="218">
        <f>SUM(IS353:IU353)</f>
        <v>23.07692307692308</v>
      </c>
      <c r="IW353" s="252">
        <f t="shared" si="3911"/>
        <v>0</v>
      </c>
      <c r="IX353" s="309">
        <f>IV353-IW353</f>
        <v>23.07692307692308</v>
      </c>
      <c r="IY353" s="218">
        <f>IF(IV353&lt;=0,2,0)+IF(IV353&gt;0,IV353+1,0)*2+IF(IV353&gt;12,IV353-12,0)*2+IF(IV353&gt;13,IV353-13,0)*2+IF(IV353&gt;14,IV353-14,0)*2+IF(IV353&gt;15,IV353-15,0)*2+IF(IV353&gt;16,IV353-16,0)*2+IF(IV353&gt;17,IV353-17,0)*2+IF(IV353&gt;18,IV353-18,0)*2+IF(IV353&gt;19,IV353-19,0)*2+IF(IV353&gt;20,IV353-20,0)*2</f>
        <v>175.5384615384616</v>
      </c>
      <c r="IZ353" s="242">
        <f>IF(IW353&lt;=0,2,0)+IF(IW353&gt;0,IW353+1,0)*2+IF(IW353&gt;12,IW353-12,0)*2+IF(IW353&gt;13,IW353-13,0)*2+IF(IW353&gt;14,IW353-14,0)*2+IF(IW353&gt;15,IW353-15,0)*2+IF(IW353&gt;16,IW353-16,0)*2+IF(IW353&gt;17,IW353-17,0)*2+IF(IW353&gt;18,IW353-18,0)*2+IF(IW353&gt;19,IW353-19,0)*2+IF(IW353&gt;20,IW353-20,0)*2</f>
        <v>2</v>
      </c>
      <c r="JA353" s="243">
        <f>IF((IY353-IZ353)&gt;0,IY353-IZ353,0)</f>
        <v>173.5384615384616</v>
      </c>
      <c r="JB353" s="218">
        <f>IF((IZ353-IY353)&gt;0,IZ353-IY353,0)</f>
        <v>0</v>
      </c>
      <c r="JE353" s="148"/>
    </row>
    <row r="354" spans="2:265" hidden="1" outlineLevel="2">
      <c r="B354" s="148">
        <v>3</v>
      </c>
      <c r="C354" s="303" t="e">
        <f>VLOOKUP(AF354,Attribute!C:T,1,FALSE)</f>
        <v>#N/A</v>
      </c>
      <c r="D354" s="86" t="s">
        <v>89</v>
      </c>
      <c r="E354" s="125" t="s">
        <v>132</v>
      </c>
      <c r="F354" s="113"/>
      <c r="G354" s="113">
        <f>Konvention_1master-KLmaster</f>
        <v>12</v>
      </c>
      <c r="H354" s="113"/>
      <c r="I354" s="113"/>
      <c r="J354" s="113">
        <f>Konvention_1master-FFmaster</f>
        <v>12</v>
      </c>
      <c r="K354" s="113"/>
      <c r="L354" s="113"/>
      <c r="M354" s="113">
        <f>Konvention_1master-KKmaster</f>
        <v>12</v>
      </c>
      <c r="N354" s="222">
        <f>(F354+G354+H354+I354+J354+K354+L354+M354)/3</f>
        <v>12</v>
      </c>
      <c r="O354" s="223">
        <f>2*N354</f>
        <v>24</v>
      </c>
      <c r="P354" s="224">
        <f>3*N354</f>
        <v>36</v>
      </c>
      <c r="Q354" s="234">
        <f>F354*POWER(KLmaster,SIGN(G354))*POWER(INmaster,SIGN(H354))*POWER(CHmaster,SIGN(I354))*POWER(FFmaster,SIGN(J354))*POWER(GEmaster,SIGN(K354))*POWER(KOmaster,SIGN(L354))*POWER(KKmaster,SIGN(M354))+G354*POWER(MUmaster,SIGN(F354))*POWER(INmaster,SIGN(H354))*POWER(CHmaster,SIGN(I354))*POWER(FFmaster,SIGN(J354))*POWER(GEmaster,SIGN(K354))*POWER(KOmaster,SIGN(L354))*POWER(KKmaster,SIGN(M354))+H354*POWER(MUmaster,SIGN(F354))*POWER(KLmaster,SIGN(G354))*POWER(CHmaster,SIGN(I354))*POWER(FFmaster,SIGN(J354))*POWER(GEmaster,SIGN(K354))*POWER(KOmaster,SIGN(L354))*POWER(KKmaster,SIGN(M354))+I354*POWER(MUmaster,SIGN(F354))*POWER(KLmaster,SIGN(G354))*POWER(INmaster,SIGN(H354))*POWER(FFmaster,SIGN(J354))*POWER(GEmaster,SIGN(K354))*POWER(KOmaster,SIGN(L354))*POWER(KKmaster,SIGN(M354))+J354*POWER(MUmaster,SIGN(F354))*POWER(KLmaster,SIGN(G354))*POWER(INmaster,SIGN(H354))*POWER(CHmaster,SIGN(I354))*POWER(GEmaster,SIGN(K354))*POWER(KOmaster,SIGN(L354))*POWER(KKmaster,SIGN(M354))+K354*POWER(MUmaster,SIGN(F354))*POWER(KLmaster,SIGN(G354))*POWER(INmaster,SIGN(H354))*POWER(CHmaster,SIGN(I354))*POWER(FFmaster,SIGN(J354))*POWER(KOmaster,SIGN(L354))*POWER(KKmaster,SIGN(M354))+L354*POWER(MUmaster,SIGN(F354))*POWER(KLmaster,SIGN(G354))*POWER(INmaster,SIGN(H354))*POWER(CHmaster,SIGN(I354))*POWER(FFmaster,SIGN(J354))*POWER(GEmaster,SIGN(K354))*POWER(KKmaster,SIGN(M354))+M354*POWER(MUmaster,SIGN(F354))*POWER(KLmaster,SIGN(G354))*POWER(INmaster,SIGN(H354))*POWER(CHmaster,SIGN(I354))*POWER(FFmaster,SIGN(J354))*POWER(GEmaster,SIGN(K354))*POWER(KOmaster,SIGN(L354))</f>
        <v>2304</v>
      </c>
      <c r="R354" s="113">
        <f>G354*J354*KKmaster+G354*FFmaster*M354+KLmaster*J354*M354</f>
        <v>3456</v>
      </c>
      <c r="S354" s="234">
        <f>IFERROR(F354^SIGN(F354),1)*IFERROR(G354^SIGN(G354),1)*IFERROR(H354^SIGN(H354),1)*IFERROR(I354^SIGN(I354),1)*IFERROR(J354^SIGN(J354),1)*IFERROR(K354^SIGN(K354),1)*IFERROR(L354^SIGN(L354),1)*IFERROR(M354^SIGN(M354),1)</f>
        <v>1728</v>
      </c>
      <c r="T354" s="242">
        <f>SUM(Q354:S354)</f>
        <v>7488</v>
      </c>
      <c r="U354" s="223">
        <f>N354*Q354/T354</f>
        <v>3.6923076923076925</v>
      </c>
      <c r="V354" s="223">
        <f>O354*R354/T354</f>
        <v>11.076923076923077</v>
      </c>
      <c r="W354" s="223">
        <f>P354*S354/T354</f>
        <v>8.3076923076923084</v>
      </c>
      <c r="X354" s="218">
        <f>SUM(U354:W354)</f>
        <v>23.07692307692308</v>
      </c>
      <c r="Y354" s="252">
        <v>0</v>
      </c>
      <c r="Z354" s="198">
        <f>X354-Y354</f>
        <v>23.07692307692308</v>
      </c>
      <c r="AA354" s="125">
        <f>IF(X354&lt;=0,2,0)+IF(X354&gt;0,X354+1,0)*2+IF(X354&gt;12,X354-12,0)*2+IF(X354&gt;13,X354-13,0)*2+IF(X354&gt;14,X354-14,0)*2+IF(X354&gt;15,X354-15,0)*2+IF(X354&gt;16,X354-16,0)*2+IF(X354&gt;17,X354-17,0)*2+IF(X354&gt;18,X354-18,0)*2+IF(X354&gt;19,X354-19,0)*2+IF(X354&gt;20,X354-20,0)*2</f>
        <v>175.5384615384616</v>
      </c>
      <c r="AB354" s="160">
        <f>IF(Y354&lt;=0,2,0)+IF(Y354&gt;0,Y354+1,0)*2+IF(Y354&gt;12,Y354-12,0)*2+IF(Y354&gt;13,Y354-13,0)*2+IF(Y354&gt;14,Y354-14,0)*2+IF(Y354&gt;15,Y354-15,0)*2+IF(Y354&gt;16,Y354-16,0)*2+IF(Y354&gt;17,Y354-17,0)*2+IF(Y354&gt;18,Y354-18,0)*2+IF(Y354&gt;19,Y354-19,0)*2+IF(Y354&gt;20,Y354-20,0)*2</f>
        <v>2</v>
      </c>
      <c r="AC354" s="127">
        <f>IF((AA354-AB354)&gt;0,AA354-AB354,0)</f>
        <v>173.5384615384616</v>
      </c>
      <c r="AD354" s="125">
        <f>IF((AB354-AA354)&gt;0,AB354-AA354,0)</f>
        <v>0</v>
      </c>
      <c r="AF354" s="163" t="s">
        <v>424</v>
      </c>
      <c r="AG354" s="86" t="s">
        <v>89</v>
      </c>
      <c r="AH354" s="125" t="s">
        <v>132</v>
      </c>
      <c r="AI354" s="113"/>
      <c r="AJ354" s="113">
        <f>Konvention_1slave-KLslave</f>
        <v>12</v>
      </c>
      <c r="AK354" s="113"/>
      <c r="AL354" s="113"/>
      <c r="AM354" s="113">
        <f>Konvention_1slave-FFslave</f>
        <v>12</v>
      </c>
      <c r="AN354" s="113"/>
      <c r="AO354" s="113"/>
      <c r="AP354" s="113">
        <f>Konvention_1slave-KKslave</f>
        <v>12</v>
      </c>
      <c r="AQ354" s="89">
        <f>(AI354+AJ354+AK354+AL354+AM354+AN354+AO354+AP354)/3</f>
        <v>12</v>
      </c>
      <c r="AR354" s="47">
        <f>2*AQ354</f>
        <v>24</v>
      </c>
      <c r="AS354" s="119">
        <f>3*AQ354</f>
        <v>36</v>
      </c>
      <c r="AT354" s="113">
        <f>AI354*POWER(KLslave,SIGN(AJ354))*POWER(INslave,SIGN(AK354))*POWER(CHslave,SIGN(AL354))*POWER(FFslave,SIGN(AM354))*POWER(GEslave,SIGN(AN354))*POWER(KOslave,SIGN(AO354))*POWER(KKslave,SIGN(AP354))+AJ354*POWER(MUslave_MU,SIGN(AI354))*POWER(INslave,SIGN(AK354))*POWER(CHslave,SIGN(AL354))*POWER(FFslave,SIGN(AM354))*POWER(GEslave,SIGN(AN354))*POWER(KOslave,SIGN(AO354))*POWER(KKslave,SIGN(AP354))+AK354*POWER(MUslave_MU,SIGN(AI354))*POWER(KLslave,SIGN(AJ354))*POWER(CHslave,SIGN(AL354))*POWER(FFslave,SIGN(AM354))*POWER(GEslave,SIGN(AN354))*POWER(KOslave,SIGN(AO354))*POWER(KKslave,SIGN(AP354))+AL354*POWER(MUslave_MU,SIGN(AI354))*POWER(KLslave,SIGN(AJ354))*POWER(INslave,SIGN(AK354))*POWER(FFslave,SIGN(AM354))*POWER(GEslave,SIGN(AN354))*POWER(KOslave,SIGN(AO354))*POWER(KKslave,SIGN(AP354))+AM354*POWER(MUslave_MU,SIGN(AI354))*POWER(KLslave,SIGN(AJ354))*POWER(INslave,SIGN(AK354))*POWER(CHslave,SIGN(AL354))*POWER(GEslave,SIGN(AN354))*POWER(KOslave,SIGN(AO354))*POWER(KKslave,SIGN(AP354))+AN354*POWER(MUslave_MU,SIGN(AI354))*POWER(KLslave,SIGN(AJ354))*POWER(INslave,SIGN(AK354))*POWER(CHslave,SIGN(AL354))*POWER(FFslave,SIGN(AM354))*POWER(KOslave,SIGN(AO354))*POWER(KKslave,SIGN(AP354))+AO354*POWER(MUslave_MU,SIGN(AI354))*POWER(KLslave,SIGN(AJ354))*POWER(INslave,SIGN(AK354))*POWER(CHslave,SIGN(AL354))*POWER(FFslave,SIGN(AM354))*POWER(GEslave,SIGN(AN354))*POWER(KKslave,SIGN(AP354))+AP354*POWER(MUslave_MU,SIGN(AI354))*POWER(KLslave,SIGN(AJ354))*POWER(INslave,SIGN(AK354))*POWER(CHslave,SIGN(AL354))*POWER(FFslave,SIGN(AM354))*POWER(GEslave,SIGN(AN354))*POWER(KOslave,SIGN(AO354))</f>
        <v>2304</v>
      </c>
      <c r="AU354" s="113">
        <f>AJ354*AM354*KKslave+AJ354*FFslave*AP354+KLslave*AM354*AP354</f>
        <v>3456</v>
      </c>
      <c r="AV354" s="113">
        <f>IFERROR(AI354^SIGN(AI354),1)*IFERROR(AJ354^SIGN(AJ354),1)*IFERROR(AK354^SIGN(AK354),1)*IFERROR(AL354^SIGN(AL354),1)*IFERROR(AM354^SIGN(AM354),1)*IFERROR(AN354^SIGN(AN354),1)*IFERROR(AO354^SIGN(AO354),1)*IFERROR(AP354^SIGN(AP354),1)</f>
        <v>1728</v>
      </c>
      <c r="AW354" s="160">
        <f>SUM(AT354:AV354)</f>
        <v>7488</v>
      </c>
      <c r="AX354" s="47">
        <f>AQ354*AT354/AW354</f>
        <v>3.6923076923076925</v>
      </c>
      <c r="AY354" s="47">
        <f>AR354*AU354/AW354</f>
        <v>11.076923076923077</v>
      </c>
      <c r="AZ354" s="47">
        <f>AS354*AV354/AW354</f>
        <v>8.3076923076923084</v>
      </c>
      <c r="BA354" s="125">
        <f>SUM(AX354:AZ354)</f>
        <v>23.07692307692308</v>
      </c>
      <c r="BB354" s="165">
        <f t="shared" si="3904"/>
        <v>0</v>
      </c>
      <c r="BC354" s="198">
        <f>BA354-BB354</f>
        <v>23.07692307692308</v>
      </c>
      <c r="BD354" s="125">
        <f>IF(BA354&lt;=0,2,0)+IF(BA354&gt;0,BA354+1,0)*2+IF(BA354&gt;12,BA354-12,0)*2+IF(BA354&gt;13,BA354-13,0)*2+IF(BA354&gt;14,BA354-14,0)*2+IF(BA354&gt;15,BA354-15,0)*2+IF(BA354&gt;16,BA354-16,0)*2+IF(BA354&gt;17,BA354-17,0)*2+IF(BA354&gt;18,BA354-18,0)*2+IF(BA354&gt;19,BA354-19,0)*2+IF(BA354&gt;20,BA354-20,0)*2</f>
        <v>175.5384615384616</v>
      </c>
      <c r="BE354" s="160">
        <f>IF(BB354&lt;=0,2,0)+IF(BB354&gt;0,BB354+1,0)*2+IF(BB354&gt;12,BB354-12,0)*2+IF(BB354&gt;13,BB354-13,0)*2+IF(BB354&gt;14,BB354-14,0)*2+IF(BB354&gt;15,BB354-15,0)*2+IF(BB354&gt;16,BB354-16,0)*2+IF(BB354&gt;17,BB354-17,0)*2+IF(BB354&gt;18,BB354-18,0)*2+IF(BB354&gt;19,BB354-19,0)*2+IF(BB354&gt;20,BB354-20,0)*2</f>
        <v>2</v>
      </c>
      <c r="BF354" s="243">
        <f>IF((BD354-BE354)&gt;0,BD354-BE354,0)</f>
        <v>173.5384615384616</v>
      </c>
      <c r="BG354" s="218">
        <f>IF((BE354-BD354)&gt;0,BE354-BD354,0)</f>
        <v>0</v>
      </c>
      <c r="BI354" s="303" t="s">
        <v>424</v>
      </c>
      <c r="BJ354" s="304" t="s">
        <v>89</v>
      </c>
      <c r="BK354" s="218" t="s">
        <v>132</v>
      </c>
      <c r="BL354" s="234"/>
      <c r="BM354" s="234">
        <f>Konvention_1slave-KLslave_KL</f>
        <v>11</v>
      </c>
      <c r="BN354" s="234"/>
      <c r="BO354" s="234"/>
      <c r="BP354" s="234">
        <f>Konvention_1slave-FFslave</f>
        <v>12</v>
      </c>
      <c r="BQ354" s="234"/>
      <c r="BR354" s="234"/>
      <c r="BS354" s="234">
        <f>Konvention_1slave-KKslave</f>
        <v>12</v>
      </c>
      <c r="BT354" s="222">
        <f>(BL354+BM354+BN354+BO354+BP354+BQ354+BR354+BS354)/3</f>
        <v>11.666666666666666</v>
      </c>
      <c r="BU354" s="223">
        <f>2*BT354</f>
        <v>23.333333333333332</v>
      </c>
      <c r="BV354" s="224">
        <f>3*BT354</f>
        <v>35</v>
      </c>
      <c r="BW354" s="234">
        <f>BL354*POWER(KLslave_KL,SIGN(BM354))*POWER(INslave,SIGN(BN354))*POWER(CHslave,SIGN(BO354))*POWER(FFslave,SIGN(BP354))*POWER(GEslave,SIGN(BQ354))*POWER(KOslave,SIGN(BR354))*POWER(KKslave,SIGN(BS354))+BM354*POWER(MUslave,SIGN(BL354))*POWER(INslave,SIGN(BN354))*POWER(CHslave,SIGN(BO354))*POWER(FFslave,SIGN(BP354))*POWER(GEslave,SIGN(BQ354))*POWER(KOslave,SIGN(BR354))*POWER(KKslave,SIGN(BS354))+BN354*POWER(MUslave,SIGN(BL354))*POWER(KLslave_KL,SIGN(BM354))*POWER(CHslave,SIGN(BO354))*POWER(FFslave,SIGN(BP354))*POWER(GEslave,SIGN(BQ354))*POWER(KOslave,SIGN(BR354))*POWER(KKslave,SIGN(BS354))+BO354*POWER(MUslave,SIGN(BL354))*POWER(KLslave_KL,SIGN(BM354))*POWER(INslave,SIGN(BN354))*POWER(FFslave,SIGN(BP354))*POWER(GEslave,SIGN(BQ354))*POWER(KOslave,SIGN(BR354))*POWER(KKslave,SIGN(BS354))+BP354*POWER(MUslave,SIGN(BL354))*POWER(KLslave_KL,SIGN(BM354))*POWER(INslave,SIGN(BN354))*POWER(CHslave,SIGN(BO354))*POWER(GEslave,SIGN(BQ354))*POWER(KOslave,SIGN(BR354))*POWER(KKslave,SIGN(BS354))+BQ354*POWER(MUslave,SIGN(BL354))*POWER(KLslave_KL,SIGN(BM354))*POWER(INslave,SIGN(BN354))*POWER(CHslave,SIGN(BO354))*POWER(FFslave,SIGN(BP354))*POWER(KOslave,SIGN(BR354))*POWER(KKslave,SIGN(BS354))+BR354*POWER(MUslave,SIGN(BL354))*POWER(KLslave_KL,SIGN(BM354))*POWER(INslave,SIGN(BN354))*POWER(CHslave,SIGN(BO354))*POWER(FFslave,SIGN(BP354))*POWER(GEslave,SIGN(BQ354))*POWER(KKslave,SIGN(BS354))+BS354*POWER(MUslave,SIGN(BL354))*POWER(KLslave_KL,SIGN(BM354))*POWER(INslave,SIGN(BN354))*POWER(CHslave,SIGN(BO354))*POWER(FFslave,SIGN(BP354))*POWER(GEslave,SIGN(BQ354))*POWER(KOslave,SIGN(BR354))</f>
        <v>2432</v>
      </c>
      <c r="BX354" s="234">
        <f>BM354*BP354*KKslave+BM354*FFslave*BS354+KLslave_KL*BP354*BS354</f>
        <v>3408</v>
      </c>
      <c r="BY354" s="234">
        <f>IFERROR(BL354^SIGN(BL354),1)*IFERROR(BM354^SIGN(BM354),1)*IFERROR(BN354^SIGN(BN354),1)*IFERROR(BO354^SIGN(BO354),1)*IFERROR(BP354^SIGN(BP354),1)*IFERROR(BQ354^SIGN(BQ354),1)*IFERROR(BR354^SIGN(BR354),1)*IFERROR(BS354^SIGN(BS354),1)</f>
        <v>1584</v>
      </c>
      <c r="BZ354" s="242">
        <f>SUM(BW354:BY354)</f>
        <v>7424</v>
      </c>
      <c r="CA354" s="223">
        <f>BT354*BW354/BZ354</f>
        <v>3.8218390804597702</v>
      </c>
      <c r="CB354" s="223">
        <f>BU354*BX354/BZ354</f>
        <v>10.711206896551724</v>
      </c>
      <c r="CC354" s="223">
        <f>BV354*BY354/BZ354</f>
        <v>7.4676724137931032</v>
      </c>
      <c r="CD354" s="218">
        <f>SUM(CA354:CC354)</f>
        <v>22.000718390804597</v>
      </c>
      <c r="CE354" s="252">
        <f t="shared" si="3905"/>
        <v>0</v>
      </c>
      <c r="CF354" s="309">
        <f>CD354-CE354</f>
        <v>22.000718390804597</v>
      </c>
      <c r="CG354" s="218">
        <f>IF(CD354&lt;=0,2,0)+IF(CD354&gt;0,CD354+1,0)*2+IF(CD354&gt;12,CD354-12,0)*2+IF(CD354&gt;13,CD354-13,0)*2+IF(CD354&gt;14,CD354-14,0)*2+IF(CD354&gt;15,CD354-15,0)*2+IF(CD354&gt;16,CD354-16,0)*2+IF(CD354&gt;17,CD354-17,0)*2+IF(CD354&gt;18,CD354-18,0)*2+IF(CD354&gt;19,CD354-19,0)*2+IF(CD354&gt;20,CD354-20,0)*2</f>
        <v>154.01436781609189</v>
      </c>
      <c r="CH354" s="242">
        <f>IF(CE354&lt;=0,2,0)+IF(CE354&gt;0,CE354+1,0)*2+IF(CE354&gt;12,CE354-12,0)*2+IF(CE354&gt;13,CE354-13,0)*2+IF(CE354&gt;14,CE354-14,0)*2+IF(CE354&gt;15,CE354-15,0)*2+IF(CE354&gt;16,CE354-16,0)*2+IF(CE354&gt;17,CE354-17,0)*2+IF(CE354&gt;18,CE354-18,0)*2+IF(CE354&gt;19,CE354-19,0)*2+IF(CE354&gt;20,CE354-20,0)*2</f>
        <v>2</v>
      </c>
      <c r="CI354" s="243">
        <f>IF((CG354-CH354)&gt;0,CG354-CH354,0)</f>
        <v>152.01436781609189</v>
      </c>
      <c r="CJ354" s="218">
        <f>IF((CH354-CG354)&gt;0,CH354-CG354,0)</f>
        <v>0</v>
      </c>
      <c r="CL354" s="303" t="s">
        <v>424</v>
      </c>
      <c r="CM354" s="304" t="s">
        <v>89</v>
      </c>
      <c r="CN354" s="218" t="s">
        <v>132</v>
      </c>
      <c r="CO354" s="234"/>
      <c r="CP354" s="234">
        <f>Konvention_1slave-KLslave</f>
        <v>12</v>
      </c>
      <c r="CQ354" s="234"/>
      <c r="CR354" s="234"/>
      <c r="CS354" s="234">
        <f>Konvention_1slave-FFslave</f>
        <v>12</v>
      </c>
      <c r="CT354" s="234"/>
      <c r="CU354" s="234"/>
      <c r="CV354" s="234">
        <f>Konvention_1slave-KKslave</f>
        <v>12</v>
      </c>
      <c r="CW354" s="222">
        <f>(CO354+CP354+CQ354+CR354+CS354+CT354+CU354+CV354)/3</f>
        <v>12</v>
      </c>
      <c r="CX354" s="223">
        <f>2*CW354</f>
        <v>24</v>
      </c>
      <c r="CY354" s="224">
        <f>3*CW354</f>
        <v>36</v>
      </c>
      <c r="CZ354" s="234">
        <f>CO354*POWER(KLslave,SIGN(CP354))*POWER(INslave_IN,SIGN(CQ354))*POWER(CHslave,SIGN(CR354))*POWER(FFslave,SIGN(CS354))*POWER(GEslave,SIGN(CT354))*POWER(KOslave,SIGN(CU354))*POWER(KKslave,SIGN(CV354))+CP354*POWER(MUslave,SIGN(CO354))*POWER(INslave_IN,SIGN(CQ354))*POWER(CHslave,SIGN(CR354))*POWER(FFslave,SIGN(CS354))*POWER(GEslave,SIGN(CT354))*POWER(KOslave,SIGN(CU354))*POWER(KKslave,SIGN(CV354))+CQ354*POWER(MUslave,SIGN(CO354))*POWER(KLslave,SIGN(CP354))*POWER(CHslave,SIGN(CR354))*POWER(FFslave,SIGN(CS354))*POWER(GEslave,SIGN(CT354))*POWER(KOslave,SIGN(CU354))*POWER(KKslave,SIGN(CV354))+CR354*POWER(MUslave,SIGN(CO354))*POWER(KLslave,SIGN(CP354))*POWER(INslave_IN,SIGN(CQ354))*POWER(FFslave,SIGN(CS354))*POWER(GEslave,SIGN(CT354))*POWER(KOslave,SIGN(CU354))*POWER(KKslave,SIGN(CV354))+CS354*POWER(MUslave,SIGN(CO354))*POWER(KLslave,SIGN(CP354))*POWER(INslave_IN,SIGN(CQ354))*POWER(CHslave,SIGN(CR354))*POWER(GEslave,SIGN(CT354))*POWER(KOslave,SIGN(CU354))*POWER(KKslave,SIGN(CV354))+CT354*POWER(MUslave,SIGN(CO354))*POWER(KLslave,SIGN(CP354))*POWER(INslave_IN,SIGN(CQ354))*POWER(CHslave,SIGN(CR354))*POWER(FFslave,SIGN(CS354))*POWER(KOslave,SIGN(CU354))*POWER(KKslave,SIGN(CV354))+CU354*POWER(MUslave,SIGN(CO354))*POWER(KLslave,SIGN(CP354))*POWER(INslave_IN,SIGN(CQ354))*POWER(CHslave,SIGN(CR354))*POWER(FFslave,SIGN(CS354))*POWER(GEslave,SIGN(CT354))*POWER(KKslave,SIGN(CV354))+CV354*POWER(MUslave,SIGN(CO354))*POWER(KLslave,SIGN(CP354))*POWER(INslave_IN,SIGN(CQ354))*POWER(CHslave,SIGN(CR354))*POWER(FFslave,SIGN(CS354))*POWER(GEslave,SIGN(CT354))*POWER(KOslave,SIGN(CU354))</f>
        <v>2304</v>
      </c>
      <c r="DA354" s="234">
        <f>CP354*CS354*KKslave+CP354*FFslave*CV354+KLslave*CS354*CV354</f>
        <v>3456</v>
      </c>
      <c r="DB354" s="234">
        <f>IFERROR(CO354^SIGN(CO354),1)*IFERROR(CP354^SIGN(CP354),1)*IFERROR(CQ354^SIGN(CQ354),1)*IFERROR(CR354^SIGN(CR354),1)*IFERROR(CS354^SIGN(CS354),1)*IFERROR(CT354^SIGN(CT354),1)*IFERROR(CU354^SIGN(CU354),1)*IFERROR(CV354^SIGN(CV354),1)</f>
        <v>1728</v>
      </c>
      <c r="DC354" s="242">
        <f>SUM(CZ354:DB354)</f>
        <v>7488</v>
      </c>
      <c r="DD354" s="223">
        <f>CW354*CZ354/DC354</f>
        <v>3.6923076923076925</v>
      </c>
      <c r="DE354" s="223">
        <f>CX354*DA354/DC354</f>
        <v>11.076923076923077</v>
      </c>
      <c r="DF354" s="223">
        <f>CY354*DB354/DC354</f>
        <v>8.3076923076923084</v>
      </c>
      <c r="DG354" s="218">
        <f>SUM(DD354:DF354)</f>
        <v>23.07692307692308</v>
      </c>
      <c r="DH354" s="252">
        <f t="shared" si="3906"/>
        <v>0</v>
      </c>
      <c r="DI354" s="309">
        <f>DG354-DH354</f>
        <v>23.07692307692308</v>
      </c>
      <c r="DJ354" s="218">
        <f>IF(DG354&lt;=0,2,0)+IF(DG354&gt;0,DG354+1,0)*2+IF(DG354&gt;12,DG354-12,0)*2+IF(DG354&gt;13,DG354-13,0)*2+IF(DG354&gt;14,DG354-14,0)*2+IF(DG354&gt;15,DG354-15,0)*2+IF(DG354&gt;16,DG354-16,0)*2+IF(DG354&gt;17,DG354-17,0)*2+IF(DG354&gt;18,DG354-18,0)*2+IF(DG354&gt;19,DG354-19,0)*2+IF(DG354&gt;20,DG354-20,0)*2</f>
        <v>175.5384615384616</v>
      </c>
      <c r="DK354" s="242">
        <f>IF(DH354&lt;=0,2,0)+IF(DH354&gt;0,DH354+1,0)*2+IF(DH354&gt;12,DH354-12,0)*2+IF(DH354&gt;13,DH354-13,0)*2+IF(DH354&gt;14,DH354-14,0)*2+IF(DH354&gt;15,DH354-15,0)*2+IF(DH354&gt;16,DH354-16,0)*2+IF(DH354&gt;17,DH354-17,0)*2+IF(DH354&gt;18,DH354-18,0)*2+IF(DH354&gt;19,DH354-19,0)*2+IF(DH354&gt;20,DH354-20,0)*2</f>
        <v>2</v>
      </c>
      <c r="DL354" s="243">
        <f>IF((DJ354-DK354)&gt;0,DJ354-DK354,0)</f>
        <v>173.5384615384616</v>
      </c>
      <c r="DM354" s="218">
        <f>IF((DK354-DJ354)&gt;0,DK354-DJ354,0)</f>
        <v>0</v>
      </c>
      <c r="DO354" s="303" t="s">
        <v>424</v>
      </c>
      <c r="DP354" s="304" t="s">
        <v>89</v>
      </c>
      <c r="DQ354" s="218" t="s">
        <v>132</v>
      </c>
      <c r="DR354" s="234"/>
      <c r="DS354" s="234">
        <f>Konvention_1slave-KLslave</f>
        <v>12</v>
      </c>
      <c r="DT354" s="234"/>
      <c r="DU354" s="234"/>
      <c r="DV354" s="234">
        <f>Konvention_1slave-FFslave</f>
        <v>12</v>
      </c>
      <c r="DW354" s="234"/>
      <c r="DX354" s="234"/>
      <c r="DY354" s="234">
        <f>Konvention_1slave-KKslave</f>
        <v>12</v>
      </c>
      <c r="DZ354" s="222">
        <f>(DR354+DS354+DT354+DU354+DV354+DW354+DX354+DY354)/3</f>
        <v>12</v>
      </c>
      <c r="EA354" s="223">
        <f>2*DZ354</f>
        <v>24</v>
      </c>
      <c r="EB354" s="224">
        <f>3*DZ354</f>
        <v>36</v>
      </c>
      <c r="EC354" s="234">
        <f>DR354*POWER(KLslave,SIGN(DS354))*POWER(INslave,SIGN(DT354))*POWER(CHslave_CH,SIGN(DU354))*POWER(FFslave,SIGN(DV354))*POWER(GEslave,SIGN(DW354))*POWER(KOslave,SIGN(DX354))*POWER(KKslave,SIGN(DY354))+DS354*POWER(MUslave,SIGN(DR354))*POWER(INslave,SIGN(DT354))*POWER(CHslave_CH,SIGN(DU354))*POWER(FFslave,SIGN(DV354))*POWER(GEslave,SIGN(DW354))*POWER(KOslave,SIGN(DX354))*POWER(KKslave,SIGN(DY354))+DT354*POWER(MUslave,SIGN(DR354))*POWER(KLslave,SIGN(DS354))*POWER(CHslave_CH,SIGN(DU354))*POWER(FFslave,SIGN(DV354))*POWER(GEslave,SIGN(DW354))*POWER(KOslave,SIGN(DX354))*POWER(KKslave,SIGN(DY354))+DU354*POWER(MUslave,SIGN(DR354))*POWER(KLslave,SIGN(DS354))*POWER(INslave,SIGN(DT354))*POWER(FFslave,SIGN(DV354))*POWER(GEslave,SIGN(DW354))*POWER(KOslave,SIGN(DX354))*POWER(KKslave,SIGN(DY354))+DV354*POWER(MUslave,SIGN(DR354))*POWER(KLslave,SIGN(DS354))*POWER(INslave,SIGN(DT354))*POWER(CHslave_CH,SIGN(DU354))*POWER(GEslave,SIGN(DW354))*POWER(KOslave,SIGN(DX354))*POWER(KKslave,SIGN(DY354))+DW354*POWER(MUslave,SIGN(DR354))*POWER(KLslave,SIGN(DS354))*POWER(INslave,SIGN(DT354))*POWER(CHslave_CH,SIGN(DU354))*POWER(FFslave,SIGN(DV354))*POWER(KOslave,SIGN(DX354))*POWER(KKslave,SIGN(DY354))+DX354*POWER(MUslave,SIGN(DR354))*POWER(KLslave,SIGN(DS354))*POWER(INslave,SIGN(DT354))*POWER(CHslave_CH,SIGN(DU354))*POWER(FFslave,SIGN(DV354))*POWER(GEslave,SIGN(DW354))*POWER(KKslave,SIGN(DY354))+DY354*POWER(MUslave,SIGN(DR354))*POWER(KLslave,SIGN(DS354))*POWER(INslave,SIGN(DT354))*POWER(CHslave_CH,SIGN(DU354))*POWER(FFslave,SIGN(DV354))*POWER(GEslave,SIGN(DW354))*POWER(KOslave,SIGN(DX354))</f>
        <v>2304</v>
      </c>
      <c r="ED354" s="234">
        <f>DS354*DV354*KKslave+DS354*FFslave*DY354+KLslave*DV354*DY354</f>
        <v>3456</v>
      </c>
      <c r="EE354" s="234">
        <f>IFERROR(DR354^SIGN(DR354),1)*IFERROR(DS354^SIGN(DS354),1)*IFERROR(DT354^SIGN(DT354),1)*IFERROR(DU354^SIGN(DU354),1)*IFERROR(DV354^SIGN(DV354),1)*IFERROR(DW354^SIGN(DW354),1)*IFERROR(DX354^SIGN(DX354),1)*IFERROR(DY354^SIGN(DY354),1)</f>
        <v>1728</v>
      </c>
      <c r="EF354" s="242">
        <f>SUM(EC354:EE354)</f>
        <v>7488</v>
      </c>
      <c r="EG354" s="223">
        <f>DZ354*EC354/EF354</f>
        <v>3.6923076923076925</v>
      </c>
      <c r="EH354" s="223">
        <f>EA354*ED354/EF354</f>
        <v>11.076923076923077</v>
      </c>
      <c r="EI354" s="223">
        <f>EB354*EE354/EF354</f>
        <v>8.3076923076923084</v>
      </c>
      <c r="EJ354" s="218">
        <f>SUM(EG354:EI354)</f>
        <v>23.07692307692308</v>
      </c>
      <c r="EK354" s="252">
        <f t="shared" si="3907"/>
        <v>0</v>
      </c>
      <c r="EL354" s="309">
        <f>EJ354-EK354</f>
        <v>23.07692307692308</v>
      </c>
      <c r="EM354" s="218">
        <f>IF(EJ354&lt;=0,2,0)+IF(EJ354&gt;0,EJ354+1,0)*2+IF(EJ354&gt;12,EJ354-12,0)*2+IF(EJ354&gt;13,EJ354-13,0)*2+IF(EJ354&gt;14,EJ354-14,0)*2+IF(EJ354&gt;15,EJ354-15,0)*2+IF(EJ354&gt;16,EJ354-16,0)*2+IF(EJ354&gt;17,EJ354-17,0)*2+IF(EJ354&gt;18,EJ354-18,0)*2+IF(EJ354&gt;19,EJ354-19,0)*2+IF(EJ354&gt;20,EJ354-20,0)*2</f>
        <v>175.5384615384616</v>
      </c>
      <c r="EN354" s="242">
        <f>IF(EK354&lt;=0,2,0)+IF(EK354&gt;0,EK354+1,0)*2+IF(EK354&gt;12,EK354-12,0)*2+IF(EK354&gt;13,EK354-13,0)*2+IF(EK354&gt;14,EK354-14,0)*2+IF(EK354&gt;15,EK354-15,0)*2+IF(EK354&gt;16,EK354-16,0)*2+IF(EK354&gt;17,EK354-17,0)*2+IF(EK354&gt;18,EK354-18,0)*2+IF(EK354&gt;19,EK354-19,0)*2+IF(EK354&gt;20,EK354-20,0)*2</f>
        <v>2</v>
      </c>
      <c r="EO354" s="243">
        <f>IF((EM354-EN354)&gt;0,EM354-EN354,0)</f>
        <v>173.5384615384616</v>
      </c>
      <c r="EP354" s="218">
        <f>IF((EN354-EM354)&gt;0,EN354-EM354,0)</f>
        <v>0</v>
      </c>
      <c r="ER354" s="303" t="s">
        <v>424</v>
      </c>
      <c r="ES354" s="304" t="s">
        <v>89</v>
      </c>
      <c r="ET354" s="218" t="s">
        <v>132</v>
      </c>
      <c r="EU354" s="234"/>
      <c r="EV354" s="234">
        <f>Konvention_1slave-KLslave</f>
        <v>12</v>
      </c>
      <c r="EW354" s="234"/>
      <c r="EX354" s="234"/>
      <c r="EY354" s="234">
        <f>Konvention_1slave-FFslave_FF</f>
        <v>11</v>
      </c>
      <c r="EZ354" s="234"/>
      <c r="FA354" s="234"/>
      <c r="FB354" s="234">
        <f>Konvention_1slave-KKslave</f>
        <v>12</v>
      </c>
      <c r="FC354" s="222">
        <f>(EU354+EV354+EW354+EX354+EY354+EZ354+FA354+FB354)/3</f>
        <v>11.666666666666666</v>
      </c>
      <c r="FD354" s="223">
        <f>2*FC354</f>
        <v>23.333333333333332</v>
      </c>
      <c r="FE354" s="224">
        <f>3*FC354</f>
        <v>35</v>
      </c>
      <c r="FF354" s="234">
        <f>EU354*POWER(KLslave,SIGN(EV354))*POWER(INslave,SIGN(EW354))*POWER(CHslave,SIGN(EX354))*POWER(FFslave_FF,SIGN(EY354))*POWER(GEslave,SIGN(EZ354))*POWER(KOslave,SIGN(FA354))*POWER(KKslave,SIGN(FB354))+EV354*POWER(MUslave,SIGN(EU354))*POWER(INslave,SIGN(EW354))*POWER(CHslave,SIGN(EX354))*POWER(FFslave_FF,SIGN(EY354))*POWER(GEslave,SIGN(EZ354))*POWER(KOslave,SIGN(FA354))*POWER(KKslave,SIGN(FB354))+EW354*POWER(MUslave,SIGN(EU354))*POWER(KLslave,SIGN(EV354))*POWER(CHslave,SIGN(EX354))*POWER(FFslave_FF,SIGN(EY354))*POWER(GEslave,SIGN(EZ354))*POWER(KOslave,SIGN(FA354))*POWER(KKslave,SIGN(FB354))+EX354*POWER(MUslave,SIGN(EU354))*POWER(KLslave,SIGN(EV354))*POWER(INslave,SIGN(EW354))*POWER(FFslave_FF,SIGN(EY354))*POWER(GEslave,SIGN(EZ354))*POWER(KOslave,SIGN(FA354))*POWER(KKslave,SIGN(FB354))+EY354*POWER(MUslave,SIGN(EU354))*POWER(KLslave,SIGN(EV354))*POWER(INslave,SIGN(EW354))*POWER(CHslave,SIGN(EX354))*POWER(GEslave,SIGN(EZ354))*POWER(KOslave,SIGN(FA354))*POWER(KKslave,SIGN(FB354))+EZ354*POWER(MUslave,SIGN(EU354))*POWER(KLslave,SIGN(EV354))*POWER(INslave,SIGN(EW354))*POWER(CHslave,SIGN(EX354))*POWER(FFslave_FF,SIGN(EY354))*POWER(KOslave,SIGN(FA354))*POWER(KKslave,SIGN(FB354))+FA354*POWER(MUslave,SIGN(EU354))*POWER(KLslave,SIGN(EV354))*POWER(INslave,SIGN(EW354))*POWER(CHslave,SIGN(EX354))*POWER(FFslave_FF,SIGN(EY354))*POWER(GEslave,SIGN(EZ354))*POWER(KKslave,SIGN(FB354))+FB354*POWER(MUslave,SIGN(EU354))*POWER(KLslave,SIGN(EV354))*POWER(INslave,SIGN(EW354))*POWER(CHslave,SIGN(EX354))*POWER(FFslave_FF,SIGN(EY354))*POWER(GEslave,SIGN(EZ354))*POWER(KOslave,SIGN(FA354))</f>
        <v>2432</v>
      </c>
      <c r="FG354" s="234">
        <f>EV354*EY354*KKslave+EV354*FFslave_FF*FB354+KLslave*EY354*FB354</f>
        <v>3408</v>
      </c>
      <c r="FH354" s="234">
        <f>IFERROR(EU354^SIGN(EU354),1)*IFERROR(EV354^SIGN(EV354),1)*IFERROR(EW354^SIGN(EW354),1)*IFERROR(EX354^SIGN(EX354),1)*IFERROR(EY354^SIGN(EY354),1)*IFERROR(EZ354^SIGN(EZ354),1)*IFERROR(FA354^SIGN(FA354),1)*IFERROR(FB354^SIGN(FB354),1)</f>
        <v>1584</v>
      </c>
      <c r="FI354" s="242">
        <f>SUM(FF354:FH354)</f>
        <v>7424</v>
      </c>
      <c r="FJ354" s="223">
        <f>FC354*FF354/FI354</f>
        <v>3.8218390804597702</v>
      </c>
      <c r="FK354" s="223">
        <f>FD354*FG354/FI354</f>
        <v>10.711206896551724</v>
      </c>
      <c r="FL354" s="223">
        <f>FE354*FH354/FI354</f>
        <v>7.4676724137931032</v>
      </c>
      <c r="FM354" s="218">
        <f>SUM(FJ354:FL354)</f>
        <v>22.000718390804597</v>
      </c>
      <c r="FN354" s="252">
        <f t="shared" si="3908"/>
        <v>0</v>
      </c>
      <c r="FO354" s="309">
        <f>FM354-FN354</f>
        <v>22.000718390804597</v>
      </c>
      <c r="FP354" s="218">
        <f>IF(FM354&lt;=0,2,0)+IF(FM354&gt;0,FM354+1,0)*2+IF(FM354&gt;12,FM354-12,0)*2+IF(FM354&gt;13,FM354-13,0)*2+IF(FM354&gt;14,FM354-14,0)*2+IF(FM354&gt;15,FM354-15,0)*2+IF(FM354&gt;16,FM354-16,0)*2+IF(FM354&gt;17,FM354-17,0)*2+IF(FM354&gt;18,FM354-18,0)*2+IF(FM354&gt;19,FM354-19,0)*2+IF(FM354&gt;20,FM354-20,0)*2</f>
        <v>154.01436781609189</v>
      </c>
      <c r="FQ354" s="242">
        <f>IF(FN354&lt;=0,2,0)+IF(FN354&gt;0,FN354+1,0)*2+IF(FN354&gt;12,FN354-12,0)*2+IF(FN354&gt;13,FN354-13,0)*2+IF(FN354&gt;14,FN354-14,0)*2+IF(FN354&gt;15,FN354-15,0)*2+IF(FN354&gt;16,FN354-16,0)*2+IF(FN354&gt;17,FN354-17,0)*2+IF(FN354&gt;18,FN354-18,0)*2+IF(FN354&gt;19,FN354-19,0)*2+IF(FN354&gt;20,FN354-20,0)*2</f>
        <v>2</v>
      </c>
      <c r="FR354" s="243">
        <f>IF((FP354-FQ354)&gt;0,FP354-FQ354,0)</f>
        <v>152.01436781609189</v>
      </c>
      <c r="FS354" s="218">
        <f>IF((FQ354-FP354)&gt;0,FQ354-FP354,0)</f>
        <v>0</v>
      </c>
      <c r="FU354" s="303" t="s">
        <v>424</v>
      </c>
      <c r="FV354" s="304" t="s">
        <v>89</v>
      </c>
      <c r="FW354" s="218" t="s">
        <v>132</v>
      </c>
      <c r="FX354" s="234"/>
      <c r="FY354" s="234">
        <f>Konvention_1slave-KLslave</f>
        <v>12</v>
      </c>
      <c r="FZ354" s="234"/>
      <c r="GA354" s="234"/>
      <c r="GB354" s="234">
        <f>Konvention_1slave-FFslave</f>
        <v>12</v>
      </c>
      <c r="GC354" s="234"/>
      <c r="GD354" s="234"/>
      <c r="GE354" s="234">
        <f>Konvention_1slave-KKslave</f>
        <v>12</v>
      </c>
      <c r="GF354" s="222">
        <f>(FX354+FY354+FZ354+GA354+GB354+GC354+GD354+GE354)/3</f>
        <v>12</v>
      </c>
      <c r="GG354" s="223">
        <f>2*GF354</f>
        <v>24</v>
      </c>
      <c r="GH354" s="224">
        <f>3*GF354</f>
        <v>36</v>
      </c>
      <c r="GI354" s="234">
        <f>FX354*POWER(KLslave,SIGN(FY354))*POWER(INslave,SIGN(FZ354))*POWER(CHslave,SIGN(GA354))*POWER(FFslave,SIGN(GB354))*POWER(GEslave_GE,SIGN(GC354))*POWER(KOslave,SIGN(GD354))*POWER(KKslave,SIGN(GE354))+FY354*POWER(MUslave,SIGN(FX354))*POWER(INslave,SIGN(FZ354))*POWER(CHslave,SIGN(GA354))*POWER(FFslave,SIGN(GB354))*POWER(GEslave_GE,SIGN(GC354))*POWER(KOslave,SIGN(GD354))*POWER(KKslave,SIGN(GE354))+FZ354*POWER(MUslave,SIGN(FX354))*POWER(KLslave,SIGN(FY354))*POWER(CHslave,SIGN(GA354))*POWER(FFslave,SIGN(GB354))*POWER(GEslave_GE,SIGN(GC354))*POWER(KOslave,SIGN(GD354))*POWER(KKslave,SIGN(GE354))+GA354*POWER(MUslave,SIGN(FX354))*POWER(KLslave,SIGN(FY354))*POWER(INslave,SIGN(FZ354))*POWER(FFslave,SIGN(GB354))*POWER(GEslave_GE,SIGN(GC354))*POWER(KOslave,SIGN(GD354))*POWER(KKslave,SIGN(GE354))+GB354*POWER(MUslave,SIGN(FX354))*POWER(KLslave,SIGN(FY354))*POWER(INslave,SIGN(FZ354))*POWER(CHslave,SIGN(GA354))*POWER(GEslave_GE,SIGN(GC354))*POWER(KOslave,SIGN(GD354))*POWER(KKslave,SIGN(GE354))+GC354*POWER(MUslave,SIGN(FX354))*POWER(KLslave,SIGN(FY354))*POWER(INslave,SIGN(FZ354))*POWER(CHslave,SIGN(GA354))*POWER(FFslave,SIGN(GB354))*POWER(KOslave,SIGN(GD354))*POWER(KKslave,SIGN(GE354))+GD354*POWER(MUslave,SIGN(FX354))*POWER(KLslave,SIGN(FY354))*POWER(INslave,SIGN(FZ354))*POWER(CHslave,SIGN(GA354))*POWER(FFslave,SIGN(GB354))*POWER(GEslave_GE,SIGN(GC354))*POWER(KKslave,SIGN(GE354))+GE354*POWER(MUslave,SIGN(FX354))*POWER(KLslave,SIGN(FY354))*POWER(INslave,SIGN(FZ354))*POWER(CHslave,SIGN(GA354))*POWER(FFslave,SIGN(GB354))*POWER(GEslave_GE,SIGN(GC354))*POWER(KOslave,SIGN(GD354))</f>
        <v>2304</v>
      </c>
      <c r="GJ354" s="234">
        <f>FY354*GB354*KKslave+FY354*FFslave*GE354+KLslave*GB354*GE354</f>
        <v>3456</v>
      </c>
      <c r="GK354" s="234">
        <f>IFERROR(FX354^SIGN(FX354),1)*IFERROR(FY354^SIGN(FY354),1)*IFERROR(FZ354^SIGN(FZ354),1)*IFERROR(GA354^SIGN(GA354),1)*IFERROR(GB354^SIGN(GB354),1)*IFERROR(GC354^SIGN(GC354),1)*IFERROR(GD354^SIGN(GD354),1)*IFERROR(GE354^SIGN(GE354),1)</f>
        <v>1728</v>
      </c>
      <c r="GL354" s="242">
        <f>SUM(GI354:GK354)</f>
        <v>7488</v>
      </c>
      <c r="GM354" s="223">
        <f>GF354*GI354/GL354</f>
        <v>3.6923076923076925</v>
      </c>
      <c r="GN354" s="223">
        <f>GG354*GJ354/GL354</f>
        <v>11.076923076923077</v>
      </c>
      <c r="GO354" s="223">
        <f>GH354*GK354/GL354</f>
        <v>8.3076923076923084</v>
      </c>
      <c r="GP354" s="218">
        <f>SUM(GM354:GO354)</f>
        <v>23.07692307692308</v>
      </c>
      <c r="GQ354" s="252">
        <f t="shared" si="3909"/>
        <v>0</v>
      </c>
      <c r="GR354" s="309">
        <f>GP354-GQ354</f>
        <v>23.07692307692308</v>
      </c>
      <c r="GS354" s="218">
        <f>IF(GP354&lt;=0,2,0)+IF(GP354&gt;0,GP354+1,0)*2+IF(GP354&gt;12,GP354-12,0)*2+IF(GP354&gt;13,GP354-13,0)*2+IF(GP354&gt;14,GP354-14,0)*2+IF(GP354&gt;15,GP354-15,0)*2+IF(GP354&gt;16,GP354-16,0)*2+IF(GP354&gt;17,GP354-17,0)*2+IF(GP354&gt;18,GP354-18,0)*2+IF(GP354&gt;19,GP354-19,0)*2+IF(GP354&gt;20,GP354-20,0)*2</f>
        <v>175.5384615384616</v>
      </c>
      <c r="GT354" s="242">
        <f>IF(GQ354&lt;=0,2,0)+IF(GQ354&gt;0,GQ354+1,0)*2+IF(GQ354&gt;12,GQ354-12,0)*2+IF(GQ354&gt;13,GQ354-13,0)*2+IF(GQ354&gt;14,GQ354-14,0)*2+IF(GQ354&gt;15,GQ354-15,0)*2+IF(GQ354&gt;16,GQ354-16,0)*2+IF(GQ354&gt;17,GQ354-17,0)*2+IF(GQ354&gt;18,GQ354-18,0)*2+IF(GQ354&gt;19,GQ354-19,0)*2+IF(GQ354&gt;20,GQ354-20,0)*2</f>
        <v>2</v>
      </c>
      <c r="GU354" s="243">
        <f>IF((GS354-GT354)&gt;0,GS354-GT354,0)</f>
        <v>173.5384615384616</v>
      </c>
      <c r="GV354" s="218">
        <f>IF((GT354-GS354)&gt;0,GT354-GS354,0)</f>
        <v>0</v>
      </c>
      <c r="GX354" s="303" t="s">
        <v>424</v>
      </c>
      <c r="GY354" s="304" t="s">
        <v>89</v>
      </c>
      <c r="GZ354" s="218" t="s">
        <v>132</v>
      </c>
      <c r="HA354" s="234"/>
      <c r="HB354" s="234">
        <f>Konvention_1slave-KLslave</f>
        <v>12</v>
      </c>
      <c r="HC354" s="234"/>
      <c r="HD354" s="234"/>
      <c r="HE354" s="234">
        <f>Konvention_1slave-FFslave</f>
        <v>12</v>
      </c>
      <c r="HF354" s="234"/>
      <c r="HG354" s="234"/>
      <c r="HH354" s="234">
        <f>Konvention_1slave-KKslave</f>
        <v>12</v>
      </c>
      <c r="HI354" s="222">
        <f>(HA354+HB354+HC354+HD354+HE354+HF354+HG354+HH354)/3</f>
        <v>12</v>
      </c>
      <c r="HJ354" s="223">
        <f>2*HI354</f>
        <v>24</v>
      </c>
      <c r="HK354" s="224">
        <f>3*HI354</f>
        <v>36</v>
      </c>
      <c r="HL354" s="234">
        <f>HA354*POWER(KLslave,SIGN(HB354))*POWER(INslave,SIGN(HC354))*POWER(CHslave,SIGN(HD354))*POWER(FFslave,SIGN(HE354))*POWER(GEslave,SIGN(HF354))*POWER(KOslave_KO,SIGN(HG354))*POWER(KKslave,SIGN(HH354))+HB354*POWER(MUslave,SIGN(HA354))*POWER(INslave,SIGN(HC354))*POWER(CHslave,SIGN(HD354))*POWER(FFslave,SIGN(HE354))*POWER(GEslave,SIGN(HF354))*POWER(KOslave_KO,SIGN(HG354))*POWER(KKslave,SIGN(HH354))+HC354*POWER(MUslave,SIGN(HA354))*POWER(KLslave,SIGN(HB354))*POWER(CHslave,SIGN(HD354))*POWER(FFslave,SIGN(HE354))*POWER(GEslave,SIGN(HF354))*POWER(KOslave_KO,SIGN(HG354))*POWER(KKslave,SIGN(HH354))+HD354*POWER(MUslave,SIGN(HA354))*POWER(KLslave,SIGN(HB354))*POWER(INslave,SIGN(HC354))*POWER(FFslave,SIGN(HE354))*POWER(GEslave,SIGN(HF354))*POWER(KOslave_KO,SIGN(HG354))*POWER(KKslave,SIGN(HH354))+HE354*POWER(MUslave,SIGN(HA354))*POWER(KLslave,SIGN(HB354))*POWER(INslave,SIGN(HC354))*POWER(CHslave,SIGN(HD354))*POWER(GEslave,SIGN(HF354))*POWER(KOslave_KO,SIGN(HG354))*POWER(KKslave,SIGN(HH354))+HF354*POWER(MUslave,SIGN(HA354))*POWER(KLslave,SIGN(HB354))*POWER(INslave,SIGN(HC354))*POWER(CHslave,SIGN(HD354))*POWER(FFslave,SIGN(HE354))*POWER(KOslave_KO,SIGN(HG354))*POWER(KKslave,SIGN(HH354))+HG354*POWER(MUslave,SIGN(HA354))*POWER(KLslave,SIGN(HB354))*POWER(INslave,SIGN(HC354))*POWER(CHslave,SIGN(HD354))*POWER(FFslave,SIGN(HE354))*POWER(GEslave,SIGN(HF354))*POWER(KKslave,SIGN(HH354))+HH354*POWER(MUslave,SIGN(HA354))*POWER(KLslave,SIGN(HB354))*POWER(INslave,SIGN(HC354))*POWER(CHslave,SIGN(HD354))*POWER(FFslave,SIGN(HE354))*POWER(GEslave,SIGN(HF354))*POWER(KOslave_KO,SIGN(HG354))</f>
        <v>2304</v>
      </c>
      <c r="HM354" s="234">
        <f>HB354*HE354*KKslave+HB354*FFslave*HH354+KLslave*HE354*HH354</f>
        <v>3456</v>
      </c>
      <c r="HN354" s="234">
        <f>IFERROR(HA354^SIGN(HA354),1)*IFERROR(HB354^SIGN(HB354),1)*IFERROR(HC354^SIGN(HC354),1)*IFERROR(HD354^SIGN(HD354),1)*IFERROR(HE354^SIGN(HE354),1)*IFERROR(HF354^SIGN(HF354),1)*IFERROR(HG354^SIGN(HG354),1)*IFERROR(HH354^SIGN(HH354),1)</f>
        <v>1728</v>
      </c>
      <c r="HO354" s="242">
        <f>SUM(HL354:HN354)</f>
        <v>7488</v>
      </c>
      <c r="HP354" s="223">
        <f>HI354*HL354/HO354</f>
        <v>3.6923076923076925</v>
      </c>
      <c r="HQ354" s="223">
        <f>HJ354*HM354/HO354</f>
        <v>11.076923076923077</v>
      </c>
      <c r="HR354" s="223">
        <f>HK354*HN354/HO354</f>
        <v>8.3076923076923084</v>
      </c>
      <c r="HS354" s="218">
        <f>SUM(HP354:HR354)</f>
        <v>23.07692307692308</v>
      </c>
      <c r="HT354" s="252">
        <f t="shared" si="3910"/>
        <v>0</v>
      </c>
      <c r="HU354" s="309">
        <f>HS354-HT354</f>
        <v>23.07692307692308</v>
      </c>
      <c r="HV354" s="218">
        <f>IF(HS354&lt;=0,2,0)+IF(HS354&gt;0,HS354+1,0)*2+IF(HS354&gt;12,HS354-12,0)*2+IF(HS354&gt;13,HS354-13,0)*2+IF(HS354&gt;14,HS354-14,0)*2+IF(HS354&gt;15,HS354-15,0)*2+IF(HS354&gt;16,HS354-16,0)*2+IF(HS354&gt;17,HS354-17,0)*2+IF(HS354&gt;18,HS354-18,0)*2+IF(HS354&gt;19,HS354-19,0)*2+IF(HS354&gt;20,HS354-20,0)*2</f>
        <v>175.5384615384616</v>
      </c>
      <c r="HW354" s="242">
        <f>IF(HT354&lt;=0,2,0)+IF(HT354&gt;0,HT354+1,0)*2+IF(HT354&gt;12,HT354-12,0)*2+IF(HT354&gt;13,HT354-13,0)*2+IF(HT354&gt;14,HT354-14,0)*2+IF(HT354&gt;15,HT354-15,0)*2+IF(HT354&gt;16,HT354-16,0)*2+IF(HT354&gt;17,HT354-17,0)*2+IF(HT354&gt;18,HT354-18,0)*2+IF(HT354&gt;19,HT354-19,0)*2+IF(HT354&gt;20,HT354-20,0)*2</f>
        <v>2</v>
      </c>
      <c r="HX354" s="243">
        <f>IF((HV354-HW354)&gt;0,HV354-HW354,0)</f>
        <v>173.5384615384616</v>
      </c>
      <c r="HY354" s="218">
        <f>IF((HW354-HV354)&gt;0,HW354-HV354,0)</f>
        <v>0</v>
      </c>
      <c r="IA354" s="303" t="s">
        <v>424</v>
      </c>
      <c r="IB354" s="304" t="s">
        <v>89</v>
      </c>
      <c r="IC354" s="218" t="s">
        <v>132</v>
      </c>
      <c r="ID354" s="234"/>
      <c r="IE354" s="234">
        <f>Konvention_1slave-KLslave</f>
        <v>12</v>
      </c>
      <c r="IF354" s="234"/>
      <c r="IG354" s="234"/>
      <c r="IH354" s="234">
        <f>Konvention_1slave-FFslave</f>
        <v>12</v>
      </c>
      <c r="II354" s="234"/>
      <c r="IJ354" s="234"/>
      <c r="IK354" s="234">
        <f>Konvention_1slave-KKslave_KK</f>
        <v>11</v>
      </c>
      <c r="IL354" s="222">
        <f>(ID354+IE354+IF354+IG354+IH354+II354+IJ354+IK354)/3</f>
        <v>11.666666666666666</v>
      </c>
      <c r="IM354" s="223">
        <f>2*IL354</f>
        <v>23.333333333333332</v>
      </c>
      <c r="IN354" s="224">
        <f>3*IL354</f>
        <v>35</v>
      </c>
      <c r="IO354" s="234">
        <f>ID354*POWER(KLslave,SIGN(IE354))*POWER(INslave,SIGN(IF354))*POWER(CHslave,SIGN(IG354))*POWER(FFslave,SIGN(IH354))*POWER(GEslave,SIGN(II354))*POWER(KOslave,SIGN(IJ354))*POWER(KKslave_KK,SIGN(IK354))+IE354*POWER(MUslave,SIGN(ID354))*POWER(INslave,SIGN(IF354))*POWER(CHslave,SIGN(IG354))*POWER(FFslave,SIGN(IH354))*POWER(GEslave,SIGN(II354))*POWER(KOslave,SIGN(IJ354))*POWER(KKslave_KK,SIGN(IK354))+IF354*POWER(MUslave,SIGN(ID354))*POWER(KLslave,SIGN(IE354))*POWER(CHslave,SIGN(IG354))*POWER(FFslave,SIGN(IH354))*POWER(GEslave,SIGN(II354))*POWER(KOslave,SIGN(IJ354))*POWER(KKslave_KK,SIGN(IK354))+IG354*POWER(MUslave,SIGN(ID354))*POWER(KLslave,SIGN(IE354))*POWER(INslave,SIGN(IF354))*POWER(FFslave,SIGN(IH354))*POWER(GEslave,SIGN(II354))*POWER(KOslave,SIGN(IJ354))*POWER(KKslave_KK,SIGN(IK354))+IH354*POWER(MUslave,SIGN(ID354))*POWER(KLslave,SIGN(IE354))*POWER(INslave,SIGN(IF354))*POWER(CHslave,SIGN(IG354))*POWER(GEslave,SIGN(II354))*POWER(KOslave,SIGN(IJ354))*POWER(KKslave_KK,SIGN(IK354))+II354*POWER(MUslave,SIGN(ID354))*POWER(KLslave,SIGN(IE354))*POWER(INslave,SIGN(IF354))*POWER(CHslave,SIGN(IG354))*POWER(FFslave,SIGN(IH354))*POWER(KOslave,SIGN(IJ354))*POWER(KKslave_KK,SIGN(IK354))+IJ354*POWER(MUslave,SIGN(ID354))*POWER(KLslave,SIGN(IE354))*POWER(INslave,SIGN(IF354))*POWER(CHslave,SIGN(IG354))*POWER(FFslave,SIGN(IH354))*POWER(GEslave,SIGN(II354))*POWER(KKslave_KK,SIGN(IK354))+IK354*POWER(MUslave,SIGN(ID354))*POWER(KLslave,SIGN(IE354))*POWER(INslave,SIGN(IF354))*POWER(CHslave,SIGN(IG354))*POWER(FFslave,SIGN(IH354))*POWER(GEslave,SIGN(II354))*POWER(KOslave,SIGN(IJ354))</f>
        <v>2432</v>
      </c>
      <c r="IP354" s="234">
        <f>IE354*IH354*KKslave_KK+IE354*FFslave*IK354+KLslave*IH354*IK354</f>
        <v>3408</v>
      </c>
      <c r="IQ354" s="234">
        <f>IFERROR(ID354^SIGN(ID354),1)*IFERROR(IE354^SIGN(IE354),1)*IFERROR(IF354^SIGN(IF354),1)*IFERROR(IG354^SIGN(IG354),1)*IFERROR(IH354^SIGN(IH354),1)*IFERROR(II354^SIGN(II354),1)*IFERROR(IJ354^SIGN(IJ354),1)*IFERROR(IK354^SIGN(IK354),1)</f>
        <v>1584</v>
      </c>
      <c r="IR354" s="242">
        <f>SUM(IO354:IQ354)</f>
        <v>7424</v>
      </c>
      <c r="IS354" s="223">
        <f>IL354*IO354/IR354</f>
        <v>3.8218390804597702</v>
      </c>
      <c r="IT354" s="223">
        <f>IM354*IP354/IR354</f>
        <v>10.711206896551724</v>
      </c>
      <c r="IU354" s="223">
        <f>IN354*IQ354/IR354</f>
        <v>7.4676724137931032</v>
      </c>
      <c r="IV354" s="218">
        <f>SUM(IS354:IU354)</f>
        <v>22.000718390804597</v>
      </c>
      <c r="IW354" s="252">
        <f t="shared" si="3911"/>
        <v>0</v>
      </c>
      <c r="IX354" s="309">
        <f>IV354-IW354</f>
        <v>22.000718390804597</v>
      </c>
      <c r="IY354" s="218">
        <f>IF(IV354&lt;=0,2,0)+IF(IV354&gt;0,IV354+1,0)*2+IF(IV354&gt;12,IV354-12,0)*2+IF(IV354&gt;13,IV354-13,0)*2+IF(IV354&gt;14,IV354-14,0)*2+IF(IV354&gt;15,IV354-15,0)*2+IF(IV354&gt;16,IV354-16,0)*2+IF(IV354&gt;17,IV354-17,0)*2+IF(IV354&gt;18,IV354-18,0)*2+IF(IV354&gt;19,IV354-19,0)*2+IF(IV354&gt;20,IV354-20,0)*2</f>
        <v>154.01436781609189</v>
      </c>
      <c r="IZ354" s="242">
        <f>IF(IW354&lt;=0,2,0)+IF(IW354&gt;0,IW354+1,0)*2+IF(IW354&gt;12,IW354-12,0)*2+IF(IW354&gt;13,IW354-13,0)*2+IF(IW354&gt;14,IW354-14,0)*2+IF(IW354&gt;15,IW354-15,0)*2+IF(IW354&gt;16,IW354-16,0)*2+IF(IW354&gt;17,IW354-17,0)*2+IF(IW354&gt;18,IW354-18,0)*2+IF(IW354&gt;19,IW354-19,0)*2+IF(IW354&gt;20,IW354-20,0)*2</f>
        <v>2</v>
      </c>
      <c r="JA354" s="243">
        <f>IF((IY354-IZ354)&gt;0,IY354-IZ354,0)</f>
        <v>152.01436781609189</v>
      </c>
      <c r="JB354" s="218">
        <f>IF((IZ354-IY354)&gt;0,IZ354-IY354,0)</f>
        <v>0</v>
      </c>
      <c r="JE354" s="148"/>
    </row>
    <row r="355" spans="2:265" hidden="1" outlineLevel="2">
      <c r="B355" s="148">
        <v>4</v>
      </c>
      <c r="C355" s="306" t="e">
        <f>VLOOKUP(AF355,Attribute!C:T,1,FALSE)</f>
        <v>#N/A</v>
      </c>
      <c r="D355" s="23" t="s">
        <v>170</v>
      </c>
      <c r="E355" s="159" t="s">
        <v>135</v>
      </c>
      <c r="F355" s="122"/>
      <c r="G355" s="122">
        <f>Konvention_1master-KLmaster</f>
        <v>12</v>
      </c>
      <c r="H355" s="122">
        <f>Konvention_1master-INmaster</f>
        <v>12</v>
      </c>
      <c r="I355" s="122"/>
      <c r="J355" s="122">
        <f>Konvention_1master-FFmaster</f>
        <v>12</v>
      </c>
      <c r="K355" s="122"/>
      <c r="L355" s="122"/>
      <c r="M355" s="122"/>
      <c r="N355" s="225">
        <f>(F355+G355+H355+I355+J355+K355+L355+M355)/3</f>
        <v>12</v>
      </c>
      <c r="O355" s="226">
        <f>2*N355</f>
        <v>24</v>
      </c>
      <c r="P355" s="227">
        <f>3*N355</f>
        <v>36</v>
      </c>
      <c r="Q355" s="235">
        <f>F355*POWER(KLmaster,SIGN(G355))*POWER(INmaster,SIGN(H355))*POWER(CHmaster,SIGN(I355))*POWER(FFmaster,SIGN(J355))*POWER(GEmaster,SIGN(K355))*POWER(KOmaster,SIGN(L355))*POWER(KKmaster,SIGN(M355))+G355*POWER(MUmaster,SIGN(F355))*POWER(INmaster,SIGN(H355))*POWER(CHmaster,SIGN(I355))*POWER(FFmaster,SIGN(J355))*POWER(GEmaster,SIGN(K355))*POWER(KOmaster,SIGN(L355))*POWER(KKmaster,SIGN(M355))+H355*POWER(MUmaster,SIGN(F355))*POWER(KLmaster,SIGN(G355))*POWER(CHmaster,SIGN(I355))*POWER(FFmaster,SIGN(J355))*POWER(GEmaster,SIGN(K355))*POWER(KOmaster,SIGN(L355))*POWER(KKmaster,SIGN(M355))+I355*POWER(MUmaster,SIGN(F355))*POWER(KLmaster,SIGN(G355))*POWER(INmaster,SIGN(H355))*POWER(FFmaster,SIGN(J355))*POWER(GEmaster,SIGN(K355))*POWER(KOmaster,SIGN(L355))*POWER(KKmaster,SIGN(M355))+J355*POWER(MUmaster,SIGN(F355))*POWER(KLmaster,SIGN(G355))*POWER(INmaster,SIGN(H355))*POWER(CHmaster,SIGN(I355))*POWER(GEmaster,SIGN(K355))*POWER(KOmaster,SIGN(L355))*POWER(KKmaster,SIGN(M355))+K355*POWER(MUmaster,SIGN(F355))*POWER(KLmaster,SIGN(G355))*POWER(INmaster,SIGN(H355))*POWER(CHmaster,SIGN(I355))*POWER(FFmaster,SIGN(J355))*POWER(KOmaster,SIGN(L355))*POWER(KKmaster,SIGN(M355))+L355*POWER(MUmaster,SIGN(F355))*POWER(KLmaster,SIGN(G355))*POWER(INmaster,SIGN(H355))*POWER(CHmaster,SIGN(I355))*POWER(FFmaster,SIGN(J355))*POWER(GEmaster,SIGN(K355))*POWER(KKmaster,SIGN(M355))+M355*POWER(MUmaster,SIGN(F355))*POWER(KLmaster,SIGN(G355))*POWER(INmaster,SIGN(H355))*POWER(CHmaster,SIGN(I355))*POWER(FFmaster,SIGN(J355))*POWER(GEmaster,SIGN(K355))*POWER(KOmaster,SIGN(L355))</f>
        <v>2304</v>
      </c>
      <c r="R355" s="122">
        <f>G355*H355*FFmaster+G355*INmaster*J355+KLmaster*H355*J355</f>
        <v>3456</v>
      </c>
      <c r="S355" s="235">
        <f>IFERROR(F355^SIGN(F355),1)*IFERROR(G355^SIGN(G355),1)*IFERROR(H355^SIGN(H355),1)*IFERROR(I355^SIGN(I355),1)*IFERROR(J355^SIGN(J355),1)*IFERROR(K355^SIGN(K355),1)*IFERROR(L355^SIGN(L355),1)*IFERROR(M355^SIGN(M355),1)</f>
        <v>1728</v>
      </c>
      <c r="T355" s="244">
        <f>SUM(Q355:S355)</f>
        <v>7488</v>
      </c>
      <c r="U355" s="226">
        <f>N355*Q355/T355</f>
        <v>3.6923076923076925</v>
      </c>
      <c r="V355" s="226">
        <f>O355*R355/T355</f>
        <v>11.076923076923077</v>
      </c>
      <c r="W355" s="226">
        <f>P355*S355/T355</f>
        <v>8.3076923076923084</v>
      </c>
      <c r="X355" s="246">
        <f>SUM(U355:W355)</f>
        <v>23.07692307692308</v>
      </c>
      <c r="Y355" s="252">
        <v>0</v>
      </c>
      <c r="Z355" s="198">
        <f>X355-Y355</f>
        <v>23.07692307692308</v>
      </c>
      <c r="AA355" s="159">
        <f>IF(X355&lt;=0,3,0)+IF(X355&gt;0,X355+1,0)*3+IF(X355&gt;12,X355-12,0)*3+IF(X355&gt;13,X355-13,0)*3+IF(X355&gt;14,X355-14,0)*3+IF(X355&gt;15,X355-15,0)*3+IF(X355&gt;16,X355-16,0)*3+IF(X355&gt;17,X355-17,0)*3+IF(X355&gt;18,X355-18,0)*3+IF(X355&gt;19,X355-19,0)*3+IF(X355&gt;20,X355-20,0)*3</f>
        <v>263.30769230769232</v>
      </c>
      <c r="AB355" s="161">
        <f>IF(Y355&lt;=0,3,0)+IF(Y355&gt;0,Y355+1,0)*3+IF(Y355&gt;12,Y355-12,0)*3+IF(Y355&gt;13,Y355-13,0)*3+IF(Y355&gt;14,Y355-14,0)*3+IF(Y355&gt;15,Y355-15,0)*3+IF(Y355&gt;16,Y355-16,0)*3+IF(Y355&gt;17,Y355-17,0)*3+IF(Y355&gt;18,Y355-18,0)*3+IF(Y355&gt;19,Y355-19,0)*3+IF(Y355&gt;20,Y355-20,0)*3</f>
        <v>3</v>
      </c>
      <c r="AC355" s="128">
        <f>IF((AA355-AB355)&gt;0,AA355-AB355,0)</f>
        <v>260.30769230769232</v>
      </c>
      <c r="AD355" s="159">
        <f>IF((AB355-AA355)&gt;0,AB355-AA355,0)</f>
        <v>0</v>
      </c>
      <c r="AF355" s="164" t="s">
        <v>233</v>
      </c>
      <c r="AG355" s="23" t="s">
        <v>170</v>
      </c>
      <c r="AH355" s="159" t="s">
        <v>135</v>
      </c>
      <c r="AI355" s="122"/>
      <c r="AJ355" s="122">
        <f>Konvention_1slave-KLslave</f>
        <v>12</v>
      </c>
      <c r="AK355" s="122">
        <f>Konvention_1slave-INslave</f>
        <v>12</v>
      </c>
      <c r="AL355" s="122"/>
      <c r="AM355" s="122">
        <f>Konvention_1slave-FFslave</f>
        <v>12</v>
      </c>
      <c r="AN355" s="122"/>
      <c r="AO355" s="122"/>
      <c r="AP355" s="122"/>
      <c r="AQ355" s="90">
        <f>(AI355+AJ355+AK355+AL355+AM355+AN355+AO355+AP355)/3</f>
        <v>12</v>
      </c>
      <c r="AR355" s="88">
        <f>2*AQ355</f>
        <v>24</v>
      </c>
      <c r="AS355" s="123">
        <f>3*AQ355</f>
        <v>36</v>
      </c>
      <c r="AT355" s="122">
        <f>AI355*POWER(KLslave,SIGN(AJ355))*POWER(INslave,SIGN(AK355))*POWER(CHslave,SIGN(AL355))*POWER(FFslave,SIGN(AM355))*POWER(GEslave,SIGN(AN355))*POWER(KOslave,SIGN(AO355))*POWER(KKslave,SIGN(AP355))+AJ355*POWER(MUslave_MU,SIGN(AI355))*POWER(INslave,SIGN(AK355))*POWER(CHslave,SIGN(AL355))*POWER(FFslave,SIGN(AM355))*POWER(GEslave,SIGN(AN355))*POWER(KOslave,SIGN(AO355))*POWER(KKslave,SIGN(AP355))+AK355*POWER(MUslave_MU,SIGN(AI355))*POWER(KLslave,SIGN(AJ355))*POWER(CHslave,SIGN(AL355))*POWER(FFslave,SIGN(AM355))*POWER(GEslave,SIGN(AN355))*POWER(KOslave,SIGN(AO355))*POWER(KKslave,SIGN(AP355))+AL355*POWER(MUslave_MU,SIGN(AI355))*POWER(KLslave,SIGN(AJ355))*POWER(INslave,SIGN(AK355))*POWER(FFslave,SIGN(AM355))*POWER(GEslave,SIGN(AN355))*POWER(KOslave,SIGN(AO355))*POWER(KKslave,SIGN(AP355))+AM355*POWER(MUslave_MU,SIGN(AI355))*POWER(KLslave,SIGN(AJ355))*POWER(INslave,SIGN(AK355))*POWER(CHslave,SIGN(AL355))*POWER(GEslave,SIGN(AN355))*POWER(KOslave,SIGN(AO355))*POWER(KKslave,SIGN(AP355))+AN355*POWER(MUslave_MU,SIGN(AI355))*POWER(KLslave,SIGN(AJ355))*POWER(INslave,SIGN(AK355))*POWER(CHslave,SIGN(AL355))*POWER(FFslave,SIGN(AM355))*POWER(KOslave,SIGN(AO355))*POWER(KKslave,SIGN(AP355))+AO355*POWER(MUslave_MU,SIGN(AI355))*POWER(KLslave,SIGN(AJ355))*POWER(INslave,SIGN(AK355))*POWER(CHslave,SIGN(AL355))*POWER(FFslave,SIGN(AM355))*POWER(GEslave,SIGN(AN355))*POWER(KKslave,SIGN(AP355))+AP355*POWER(MUslave_MU,SIGN(AI355))*POWER(KLslave,SIGN(AJ355))*POWER(INslave,SIGN(AK355))*POWER(CHslave,SIGN(AL355))*POWER(FFslave,SIGN(AM355))*POWER(GEslave,SIGN(AN355))*POWER(KOslave,SIGN(AO355))</f>
        <v>2304</v>
      </c>
      <c r="AU355" s="122">
        <f>AJ355*AK355*FFslave+AJ355*INslave*AM355+KLslave*AK355*AM355</f>
        <v>3456</v>
      </c>
      <c r="AV355" s="122">
        <f>IFERROR(AI355^SIGN(AI355),1)*IFERROR(AJ355^SIGN(AJ355),1)*IFERROR(AK355^SIGN(AK355),1)*IFERROR(AL355^SIGN(AL355),1)*IFERROR(AM355^SIGN(AM355),1)*IFERROR(AN355^SIGN(AN355),1)*IFERROR(AO355^SIGN(AO355),1)*IFERROR(AP355^SIGN(AP355),1)</f>
        <v>1728</v>
      </c>
      <c r="AW355" s="161">
        <f>SUM(AT355:AV355)</f>
        <v>7488</v>
      </c>
      <c r="AX355" s="88">
        <f>AQ355*AT355/AW355</f>
        <v>3.6923076923076925</v>
      </c>
      <c r="AY355" s="88">
        <f>AR355*AU355/AW355</f>
        <v>11.076923076923077</v>
      </c>
      <c r="AZ355" s="88">
        <f>AS355*AV355/AW355</f>
        <v>8.3076923076923084</v>
      </c>
      <c r="BA355" s="159">
        <f>SUM(AX355:AZ355)</f>
        <v>23.07692307692308</v>
      </c>
      <c r="BB355" s="165">
        <f t="shared" si="3904"/>
        <v>0</v>
      </c>
      <c r="BC355" s="198">
        <f>BA355-BB355</f>
        <v>23.07692307692308</v>
      </c>
      <c r="BD355" s="159">
        <f>IF(BA355&lt;=0,3,0)+IF(BA355&gt;0,BA355+1,0)*3+IF(BA355&gt;12,BA355-12,0)*3+IF(BA355&gt;13,BA355-13,0)*3+IF(BA355&gt;14,BA355-14,0)*3+IF(BA355&gt;15,BA355-15,0)*3+IF(BA355&gt;16,BA355-16,0)*3+IF(BA355&gt;17,BA355-17,0)*3+IF(BA355&gt;18,BA355-18,0)*3+IF(BA355&gt;19,BA355-19,0)*3+IF(BA355&gt;20,BA355-20,0)*3</f>
        <v>263.30769230769232</v>
      </c>
      <c r="BE355" s="161">
        <f>IF(BB355&lt;=0,3,0)+IF(BB355&gt;0,BB355+1,0)*3+IF(BB355&gt;12,BB355-12,0)*3+IF(BB355&gt;13,BB355-13,0)*3+IF(BB355&gt;14,BB355-14,0)*3+IF(BB355&gt;15,BB355-15,0)*3+IF(BB355&gt;16,BB355-16,0)*3+IF(BB355&gt;17,BB355-17,0)*3+IF(BB355&gt;18,BB355-18,0)*3+IF(BB355&gt;19,BB355-19,0)*3+IF(BB355&gt;20,BB355-20,0)*3</f>
        <v>3</v>
      </c>
      <c r="BF355" s="245">
        <f>IF((BD355-BE355)&gt;0,BD355-BE355,0)</f>
        <v>260.30769230769232</v>
      </c>
      <c r="BG355" s="246">
        <f>IF((BE355-BD355)&gt;0,BE355-BD355,0)</f>
        <v>0</v>
      </c>
      <c r="BI355" s="306" t="s">
        <v>233</v>
      </c>
      <c r="BJ355" s="314" t="s">
        <v>170</v>
      </c>
      <c r="BK355" s="246" t="s">
        <v>135</v>
      </c>
      <c r="BL355" s="235"/>
      <c r="BM355" s="235">
        <f>Konvention_1slave-KLslave_KL</f>
        <v>11</v>
      </c>
      <c r="BN355" s="235">
        <f>Konvention_1slave-INslave</f>
        <v>12</v>
      </c>
      <c r="BO355" s="235"/>
      <c r="BP355" s="235">
        <f>Konvention_1slave-FFslave</f>
        <v>12</v>
      </c>
      <c r="BQ355" s="235"/>
      <c r="BR355" s="235"/>
      <c r="BS355" s="235"/>
      <c r="BT355" s="225">
        <f>(BL355+BM355+BN355+BO355+BP355+BQ355+BR355+BS355)/3</f>
        <v>11.666666666666666</v>
      </c>
      <c r="BU355" s="226">
        <f>2*BT355</f>
        <v>23.333333333333332</v>
      </c>
      <c r="BV355" s="227">
        <f>3*BT355</f>
        <v>35</v>
      </c>
      <c r="BW355" s="235">
        <f>BL355*POWER(KLslave_KL,SIGN(BM355))*POWER(INslave,SIGN(BN355))*POWER(CHslave,SIGN(BO355))*POWER(FFslave,SIGN(BP355))*POWER(GEslave,SIGN(BQ355))*POWER(KOslave,SIGN(BR355))*POWER(KKslave,SIGN(BS355))+BM355*POWER(MUslave,SIGN(BL355))*POWER(INslave,SIGN(BN355))*POWER(CHslave,SIGN(BO355))*POWER(FFslave,SIGN(BP355))*POWER(GEslave,SIGN(BQ355))*POWER(KOslave,SIGN(BR355))*POWER(KKslave,SIGN(BS355))+BN355*POWER(MUslave,SIGN(BL355))*POWER(KLslave_KL,SIGN(BM355))*POWER(CHslave,SIGN(BO355))*POWER(FFslave,SIGN(BP355))*POWER(GEslave,SIGN(BQ355))*POWER(KOslave,SIGN(BR355))*POWER(KKslave,SIGN(BS355))+BO355*POWER(MUslave,SIGN(BL355))*POWER(KLslave_KL,SIGN(BM355))*POWER(INslave,SIGN(BN355))*POWER(FFslave,SIGN(BP355))*POWER(GEslave,SIGN(BQ355))*POWER(KOslave,SIGN(BR355))*POWER(KKslave,SIGN(BS355))+BP355*POWER(MUslave,SIGN(BL355))*POWER(KLslave_KL,SIGN(BM355))*POWER(INslave,SIGN(BN355))*POWER(CHslave,SIGN(BO355))*POWER(GEslave,SIGN(BQ355))*POWER(KOslave,SIGN(BR355))*POWER(KKslave,SIGN(BS355))+BQ355*POWER(MUslave,SIGN(BL355))*POWER(KLslave_KL,SIGN(BM355))*POWER(INslave,SIGN(BN355))*POWER(CHslave,SIGN(BO355))*POWER(FFslave,SIGN(BP355))*POWER(KOslave,SIGN(BR355))*POWER(KKslave,SIGN(BS355))+BR355*POWER(MUslave,SIGN(BL355))*POWER(KLslave_KL,SIGN(BM355))*POWER(INslave,SIGN(BN355))*POWER(CHslave,SIGN(BO355))*POWER(FFslave,SIGN(BP355))*POWER(GEslave,SIGN(BQ355))*POWER(KKslave,SIGN(BS355))+BS355*POWER(MUslave,SIGN(BL355))*POWER(KLslave_KL,SIGN(BM355))*POWER(INslave,SIGN(BN355))*POWER(CHslave,SIGN(BO355))*POWER(FFslave,SIGN(BP355))*POWER(GEslave,SIGN(BQ355))*POWER(KOslave,SIGN(BR355))</f>
        <v>2432</v>
      </c>
      <c r="BX355" s="235">
        <f>BM355*BN355*FFslave+BM355*INslave*BP355+KLslave_KL*BN355*BP355</f>
        <v>3408</v>
      </c>
      <c r="BY355" s="235">
        <f>IFERROR(BL355^SIGN(BL355),1)*IFERROR(BM355^SIGN(BM355),1)*IFERROR(BN355^SIGN(BN355),1)*IFERROR(BO355^SIGN(BO355),1)*IFERROR(BP355^SIGN(BP355),1)*IFERROR(BQ355^SIGN(BQ355),1)*IFERROR(BR355^SIGN(BR355),1)*IFERROR(BS355^SIGN(BS355),1)</f>
        <v>1584</v>
      </c>
      <c r="BZ355" s="244">
        <f>SUM(BW355:BY355)</f>
        <v>7424</v>
      </c>
      <c r="CA355" s="226">
        <f>BT355*BW355/BZ355</f>
        <v>3.8218390804597702</v>
      </c>
      <c r="CB355" s="226">
        <f>BU355*BX355/BZ355</f>
        <v>10.711206896551724</v>
      </c>
      <c r="CC355" s="226">
        <f>BV355*BY355/BZ355</f>
        <v>7.4676724137931032</v>
      </c>
      <c r="CD355" s="246">
        <f>SUM(CA355:CC355)</f>
        <v>22.000718390804597</v>
      </c>
      <c r="CE355" s="252">
        <f t="shared" si="3905"/>
        <v>0</v>
      </c>
      <c r="CF355" s="309">
        <f>CD355-CE355</f>
        <v>22.000718390804597</v>
      </c>
      <c r="CG355" s="246">
        <f>IF(CD355&lt;=0,3,0)+IF(CD355&gt;0,CD355+1,0)*3+IF(CD355&gt;12,CD355-12,0)*3+IF(CD355&gt;13,CD355-13,0)*3+IF(CD355&gt;14,CD355-14,0)*3+IF(CD355&gt;15,CD355-15,0)*3+IF(CD355&gt;16,CD355-16,0)*3+IF(CD355&gt;17,CD355-17,0)*3+IF(CD355&gt;18,CD355-18,0)*3+IF(CD355&gt;19,CD355-19,0)*3+IF(CD355&gt;20,CD355-20,0)*3</f>
        <v>231.02155172413785</v>
      </c>
      <c r="CH355" s="244">
        <f>IF(CE355&lt;=0,3,0)+IF(CE355&gt;0,CE355+1,0)*3+IF(CE355&gt;12,CE355-12,0)*3+IF(CE355&gt;13,CE355-13,0)*3+IF(CE355&gt;14,CE355-14,0)*3+IF(CE355&gt;15,CE355-15,0)*3+IF(CE355&gt;16,CE355-16,0)*3+IF(CE355&gt;17,CE355-17,0)*3+IF(CE355&gt;18,CE355-18,0)*3+IF(CE355&gt;19,CE355-19,0)*3+IF(CE355&gt;20,CE355-20,0)*3</f>
        <v>3</v>
      </c>
      <c r="CI355" s="245">
        <f>IF((CG355-CH355)&gt;0,CG355-CH355,0)</f>
        <v>228.02155172413785</v>
      </c>
      <c r="CJ355" s="246">
        <f>IF((CH355-CG355)&gt;0,CH355-CG355,0)</f>
        <v>0</v>
      </c>
      <c r="CL355" s="306" t="s">
        <v>233</v>
      </c>
      <c r="CM355" s="314" t="s">
        <v>170</v>
      </c>
      <c r="CN355" s="246" t="s">
        <v>135</v>
      </c>
      <c r="CO355" s="235"/>
      <c r="CP355" s="235">
        <f>Konvention_1slave-KLslave</f>
        <v>12</v>
      </c>
      <c r="CQ355" s="235">
        <f>Konvention_1slave-INslave_IN</f>
        <v>11</v>
      </c>
      <c r="CR355" s="235"/>
      <c r="CS355" s="235">
        <f>Konvention_1slave-FFslave</f>
        <v>12</v>
      </c>
      <c r="CT355" s="235"/>
      <c r="CU355" s="235"/>
      <c r="CV355" s="235"/>
      <c r="CW355" s="225">
        <f>(CO355+CP355+CQ355+CR355+CS355+CT355+CU355+CV355)/3</f>
        <v>11.666666666666666</v>
      </c>
      <c r="CX355" s="226">
        <f>2*CW355</f>
        <v>23.333333333333332</v>
      </c>
      <c r="CY355" s="227">
        <f>3*CW355</f>
        <v>35</v>
      </c>
      <c r="CZ355" s="235">
        <f>CO355*POWER(KLslave,SIGN(CP355))*POWER(INslave_IN,SIGN(CQ355))*POWER(CHslave,SIGN(CR355))*POWER(FFslave,SIGN(CS355))*POWER(GEslave,SIGN(CT355))*POWER(KOslave,SIGN(CU355))*POWER(KKslave,SIGN(CV355))+CP355*POWER(MUslave,SIGN(CO355))*POWER(INslave_IN,SIGN(CQ355))*POWER(CHslave,SIGN(CR355))*POWER(FFslave,SIGN(CS355))*POWER(GEslave,SIGN(CT355))*POWER(KOslave,SIGN(CU355))*POWER(KKslave,SIGN(CV355))+CQ355*POWER(MUslave,SIGN(CO355))*POWER(KLslave,SIGN(CP355))*POWER(CHslave,SIGN(CR355))*POWER(FFslave,SIGN(CS355))*POWER(GEslave,SIGN(CT355))*POWER(KOslave,SIGN(CU355))*POWER(KKslave,SIGN(CV355))+CR355*POWER(MUslave,SIGN(CO355))*POWER(KLslave,SIGN(CP355))*POWER(INslave_IN,SIGN(CQ355))*POWER(FFslave,SIGN(CS355))*POWER(GEslave,SIGN(CT355))*POWER(KOslave,SIGN(CU355))*POWER(KKslave,SIGN(CV355))+CS355*POWER(MUslave,SIGN(CO355))*POWER(KLslave,SIGN(CP355))*POWER(INslave_IN,SIGN(CQ355))*POWER(CHslave,SIGN(CR355))*POWER(GEslave,SIGN(CT355))*POWER(KOslave,SIGN(CU355))*POWER(KKslave,SIGN(CV355))+CT355*POWER(MUslave,SIGN(CO355))*POWER(KLslave,SIGN(CP355))*POWER(INslave_IN,SIGN(CQ355))*POWER(CHslave,SIGN(CR355))*POWER(FFslave,SIGN(CS355))*POWER(KOslave,SIGN(CU355))*POWER(KKslave,SIGN(CV355))+CU355*POWER(MUslave,SIGN(CO355))*POWER(KLslave,SIGN(CP355))*POWER(INslave_IN,SIGN(CQ355))*POWER(CHslave,SIGN(CR355))*POWER(FFslave,SIGN(CS355))*POWER(GEslave,SIGN(CT355))*POWER(KKslave,SIGN(CV355))+CV355*POWER(MUslave,SIGN(CO355))*POWER(KLslave,SIGN(CP355))*POWER(INslave_IN,SIGN(CQ355))*POWER(CHslave,SIGN(CR355))*POWER(FFslave,SIGN(CS355))*POWER(GEslave,SIGN(CT355))*POWER(KOslave,SIGN(CU355))</f>
        <v>2432</v>
      </c>
      <c r="DA355" s="235">
        <f>CP355*CQ355*FFslave+CP355*INslave_IN*CS355+KLslave*CQ355*CS355</f>
        <v>3408</v>
      </c>
      <c r="DB355" s="235">
        <f>IFERROR(CO355^SIGN(CO355),1)*IFERROR(CP355^SIGN(CP355),1)*IFERROR(CQ355^SIGN(CQ355),1)*IFERROR(CR355^SIGN(CR355),1)*IFERROR(CS355^SIGN(CS355),1)*IFERROR(CT355^SIGN(CT355),1)*IFERROR(CU355^SIGN(CU355),1)*IFERROR(CV355^SIGN(CV355),1)</f>
        <v>1584</v>
      </c>
      <c r="DC355" s="244">
        <f>SUM(CZ355:DB355)</f>
        <v>7424</v>
      </c>
      <c r="DD355" s="226">
        <f>CW355*CZ355/DC355</f>
        <v>3.8218390804597702</v>
      </c>
      <c r="DE355" s="226">
        <f>CX355*DA355/DC355</f>
        <v>10.711206896551724</v>
      </c>
      <c r="DF355" s="226">
        <f>CY355*DB355/DC355</f>
        <v>7.4676724137931032</v>
      </c>
      <c r="DG355" s="246">
        <f>SUM(DD355:DF355)</f>
        <v>22.000718390804597</v>
      </c>
      <c r="DH355" s="252">
        <f t="shared" si="3906"/>
        <v>0</v>
      </c>
      <c r="DI355" s="309">
        <f>DG355-DH355</f>
        <v>22.000718390804597</v>
      </c>
      <c r="DJ355" s="246">
        <f>IF(DG355&lt;=0,3,0)+IF(DG355&gt;0,DG355+1,0)*3+IF(DG355&gt;12,DG355-12,0)*3+IF(DG355&gt;13,DG355-13,0)*3+IF(DG355&gt;14,DG355-14,0)*3+IF(DG355&gt;15,DG355-15,0)*3+IF(DG355&gt;16,DG355-16,0)*3+IF(DG355&gt;17,DG355-17,0)*3+IF(DG355&gt;18,DG355-18,0)*3+IF(DG355&gt;19,DG355-19,0)*3+IF(DG355&gt;20,DG355-20,0)*3</f>
        <v>231.02155172413785</v>
      </c>
      <c r="DK355" s="244">
        <f>IF(DH355&lt;=0,3,0)+IF(DH355&gt;0,DH355+1,0)*3+IF(DH355&gt;12,DH355-12,0)*3+IF(DH355&gt;13,DH355-13,0)*3+IF(DH355&gt;14,DH355-14,0)*3+IF(DH355&gt;15,DH355-15,0)*3+IF(DH355&gt;16,DH355-16,0)*3+IF(DH355&gt;17,DH355-17,0)*3+IF(DH355&gt;18,DH355-18,0)*3+IF(DH355&gt;19,DH355-19,0)*3+IF(DH355&gt;20,DH355-20,0)*3</f>
        <v>3</v>
      </c>
      <c r="DL355" s="245">
        <f>IF((DJ355-DK355)&gt;0,DJ355-DK355,0)</f>
        <v>228.02155172413785</v>
      </c>
      <c r="DM355" s="246">
        <f>IF((DK355-DJ355)&gt;0,DK355-DJ355,0)</f>
        <v>0</v>
      </c>
      <c r="DO355" s="306" t="s">
        <v>233</v>
      </c>
      <c r="DP355" s="314" t="s">
        <v>170</v>
      </c>
      <c r="DQ355" s="246" t="s">
        <v>135</v>
      </c>
      <c r="DR355" s="235"/>
      <c r="DS355" s="235">
        <f>Konvention_1slave-KLslave</f>
        <v>12</v>
      </c>
      <c r="DT355" s="235">
        <f>Konvention_1slave-INslave</f>
        <v>12</v>
      </c>
      <c r="DU355" s="235"/>
      <c r="DV355" s="235">
        <f>Konvention_1slave-FFslave</f>
        <v>12</v>
      </c>
      <c r="DW355" s="235"/>
      <c r="DX355" s="235"/>
      <c r="DY355" s="235"/>
      <c r="DZ355" s="225">
        <f>(DR355+DS355+DT355+DU355+DV355+DW355+DX355+DY355)/3</f>
        <v>12</v>
      </c>
      <c r="EA355" s="226">
        <f>2*DZ355</f>
        <v>24</v>
      </c>
      <c r="EB355" s="227">
        <f>3*DZ355</f>
        <v>36</v>
      </c>
      <c r="EC355" s="235">
        <f>DR355*POWER(KLslave,SIGN(DS355))*POWER(INslave,SIGN(DT355))*POWER(CHslave_CH,SIGN(DU355))*POWER(FFslave,SIGN(DV355))*POWER(GEslave,SIGN(DW355))*POWER(KOslave,SIGN(DX355))*POWER(KKslave,SIGN(DY355))+DS355*POWER(MUslave,SIGN(DR355))*POWER(INslave,SIGN(DT355))*POWER(CHslave_CH,SIGN(DU355))*POWER(FFslave,SIGN(DV355))*POWER(GEslave,SIGN(DW355))*POWER(KOslave,SIGN(DX355))*POWER(KKslave,SIGN(DY355))+DT355*POWER(MUslave,SIGN(DR355))*POWER(KLslave,SIGN(DS355))*POWER(CHslave_CH,SIGN(DU355))*POWER(FFslave,SIGN(DV355))*POWER(GEslave,SIGN(DW355))*POWER(KOslave,SIGN(DX355))*POWER(KKslave,SIGN(DY355))+DU355*POWER(MUslave,SIGN(DR355))*POWER(KLslave,SIGN(DS355))*POWER(INslave,SIGN(DT355))*POWER(FFslave,SIGN(DV355))*POWER(GEslave,SIGN(DW355))*POWER(KOslave,SIGN(DX355))*POWER(KKslave,SIGN(DY355))+DV355*POWER(MUslave,SIGN(DR355))*POWER(KLslave,SIGN(DS355))*POWER(INslave,SIGN(DT355))*POWER(CHslave_CH,SIGN(DU355))*POWER(GEslave,SIGN(DW355))*POWER(KOslave,SIGN(DX355))*POWER(KKslave,SIGN(DY355))+DW355*POWER(MUslave,SIGN(DR355))*POWER(KLslave,SIGN(DS355))*POWER(INslave,SIGN(DT355))*POWER(CHslave_CH,SIGN(DU355))*POWER(FFslave,SIGN(DV355))*POWER(KOslave,SIGN(DX355))*POWER(KKslave,SIGN(DY355))+DX355*POWER(MUslave,SIGN(DR355))*POWER(KLslave,SIGN(DS355))*POWER(INslave,SIGN(DT355))*POWER(CHslave_CH,SIGN(DU355))*POWER(FFslave,SIGN(DV355))*POWER(GEslave,SIGN(DW355))*POWER(KKslave,SIGN(DY355))+DY355*POWER(MUslave,SIGN(DR355))*POWER(KLslave,SIGN(DS355))*POWER(INslave,SIGN(DT355))*POWER(CHslave_CH,SIGN(DU355))*POWER(FFslave,SIGN(DV355))*POWER(GEslave,SIGN(DW355))*POWER(KOslave,SIGN(DX355))</f>
        <v>2304</v>
      </c>
      <c r="ED355" s="235">
        <f>DS355*DT355*FFslave+DS355*INslave*DV355+KLslave*DT355*DV355</f>
        <v>3456</v>
      </c>
      <c r="EE355" s="235">
        <f>IFERROR(DR355^SIGN(DR355),1)*IFERROR(DS355^SIGN(DS355),1)*IFERROR(DT355^SIGN(DT355),1)*IFERROR(DU355^SIGN(DU355),1)*IFERROR(DV355^SIGN(DV355),1)*IFERROR(DW355^SIGN(DW355),1)*IFERROR(DX355^SIGN(DX355),1)*IFERROR(DY355^SIGN(DY355),1)</f>
        <v>1728</v>
      </c>
      <c r="EF355" s="244">
        <f>SUM(EC355:EE355)</f>
        <v>7488</v>
      </c>
      <c r="EG355" s="226">
        <f>DZ355*EC355/EF355</f>
        <v>3.6923076923076925</v>
      </c>
      <c r="EH355" s="226">
        <f>EA355*ED355/EF355</f>
        <v>11.076923076923077</v>
      </c>
      <c r="EI355" s="226">
        <f>EB355*EE355/EF355</f>
        <v>8.3076923076923084</v>
      </c>
      <c r="EJ355" s="246">
        <f>SUM(EG355:EI355)</f>
        <v>23.07692307692308</v>
      </c>
      <c r="EK355" s="252">
        <f t="shared" si="3907"/>
        <v>0</v>
      </c>
      <c r="EL355" s="309">
        <f>EJ355-EK355</f>
        <v>23.07692307692308</v>
      </c>
      <c r="EM355" s="246">
        <f>IF(EJ355&lt;=0,3,0)+IF(EJ355&gt;0,EJ355+1,0)*3+IF(EJ355&gt;12,EJ355-12,0)*3+IF(EJ355&gt;13,EJ355-13,0)*3+IF(EJ355&gt;14,EJ355-14,0)*3+IF(EJ355&gt;15,EJ355-15,0)*3+IF(EJ355&gt;16,EJ355-16,0)*3+IF(EJ355&gt;17,EJ355-17,0)*3+IF(EJ355&gt;18,EJ355-18,0)*3+IF(EJ355&gt;19,EJ355-19,0)*3+IF(EJ355&gt;20,EJ355-20,0)*3</f>
        <v>263.30769230769232</v>
      </c>
      <c r="EN355" s="244">
        <f>IF(EK355&lt;=0,3,0)+IF(EK355&gt;0,EK355+1,0)*3+IF(EK355&gt;12,EK355-12,0)*3+IF(EK355&gt;13,EK355-13,0)*3+IF(EK355&gt;14,EK355-14,0)*3+IF(EK355&gt;15,EK355-15,0)*3+IF(EK355&gt;16,EK355-16,0)*3+IF(EK355&gt;17,EK355-17,0)*3+IF(EK355&gt;18,EK355-18,0)*3+IF(EK355&gt;19,EK355-19,0)*3+IF(EK355&gt;20,EK355-20,0)*3</f>
        <v>3</v>
      </c>
      <c r="EO355" s="245">
        <f>IF((EM355-EN355)&gt;0,EM355-EN355,0)</f>
        <v>260.30769230769232</v>
      </c>
      <c r="EP355" s="246">
        <f>IF((EN355-EM355)&gt;0,EN355-EM355,0)</f>
        <v>0</v>
      </c>
      <c r="ER355" s="306" t="s">
        <v>233</v>
      </c>
      <c r="ES355" s="314" t="s">
        <v>170</v>
      </c>
      <c r="ET355" s="246" t="s">
        <v>135</v>
      </c>
      <c r="EU355" s="235"/>
      <c r="EV355" s="235">
        <f>Konvention_1slave-KLslave</f>
        <v>12</v>
      </c>
      <c r="EW355" s="235">
        <f>Konvention_1slave-INslave</f>
        <v>12</v>
      </c>
      <c r="EX355" s="235"/>
      <c r="EY355" s="235">
        <f>Konvention_1slave-FFslave_FF</f>
        <v>11</v>
      </c>
      <c r="EZ355" s="235"/>
      <c r="FA355" s="235"/>
      <c r="FB355" s="235"/>
      <c r="FC355" s="225">
        <f>(EU355+EV355+EW355+EX355+EY355+EZ355+FA355+FB355)/3</f>
        <v>11.666666666666666</v>
      </c>
      <c r="FD355" s="226">
        <f>2*FC355</f>
        <v>23.333333333333332</v>
      </c>
      <c r="FE355" s="227">
        <f>3*FC355</f>
        <v>35</v>
      </c>
      <c r="FF355" s="235">
        <f>EU355*POWER(KLslave,SIGN(EV355))*POWER(INslave,SIGN(EW355))*POWER(CHslave,SIGN(EX355))*POWER(FFslave_FF,SIGN(EY355))*POWER(GEslave,SIGN(EZ355))*POWER(KOslave,SIGN(FA355))*POWER(KKslave,SIGN(FB355))+EV355*POWER(MUslave,SIGN(EU355))*POWER(INslave,SIGN(EW355))*POWER(CHslave,SIGN(EX355))*POWER(FFslave_FF,SIGN(EY355))*POWER(GEslave,SIGN(EZ355))*POWER(KOslave,SIGN(FA355))*POWER(KKslave,SIGN(FB355))+EW355*POWER(MUslave,SIGN(EU355))*POWER(KLslave,SIGN(EV355))*POWER(CHslave,SIGN(EX355))*POWER(FFslave_FF,SIGN(EY355))*POWER(GEslave,SIGN(EZ355))*POWER(KOslave,SIGN(FA355))*POWER(KKslave,SIGN(FB355))+EX355*POWER(MUslave,SIGN(EU355))*POWER(KLslave,SIGN(EV355))*POWER(INslave,SIGN(EW355))*POWER(FFslave_FF,SIGN(EY355))*POWER(GEslave,SIGN(EZ355))*POWER(KOslave,SIGN(FA355))*POWER(KKslave,SIGN(FB355))+EY355*POWER(MUslave,SIGN(EU355))*POWER(KLslave,SIGN(EV355))*POWER(INslave,SIGN(EW355))*POWER(CHslave,SIGN(EX355))*POWER(GEslave,SIGN(EZ355))*POWER(KOslave,SIGN(FA355))*POWER(KKslave,SIGN(FB355))+EZ355*POWER(MUslave,SIGN(EU355))*POWER(KLslave,SIGN(EV355))*POWER(INslave,SIGN(EW355))*POWER(CHslave,SIGN(EX355))*POWER(FFslave_FF,SIGN(EY355))*POWER(KOslave,SIGN(FA355))*POWER(KKslave,SIGN(FB355))+FA355*POWER(MUslave,SIGN(EU355))*POWER(KLslave,SIGN(EV355))*POWER(INslave,SIGN(EW355))*POWER(CHslave,SIGN(EX355))*POWER(FFslave_FF,SIGN(EY355))*POWER(GEslave,SIGN(EZ355))*POWER(KKslave,SIGN(FB355))+FB355*POWER(MUslave,SIGN(EU355))*POWER(KLslave,SIGN(EV355))*POWER(INslave,SIGN(EW355))*POWER(CHslave,SIGN(EX355))*POWER(FFslave_FF,SIGN(EY355))*POWER(GEslave,SIGN(EZ355))*POWER(KOslave,SIGN(FA355))</f>
        <v>2432</v>
      </c>
      <c r="FG355" s="235">
        <f>EV355*EW355*FFslave_FF+EV355*INslave*EY355+KLslave*EW355*EY355</f>
        <v>3408</v>
      </c>
      <c r="FH355" s="235">
        <f>IFERROR(EU355^SIGN(EU355),1)*IFERROR(EV355^SIGN(EV355),1)*IFERROR(EW355^SIGN(EW355),1)*IFERROR(EX355^SIGN(EX355),1)*IFERROR(EY355^SIGN(EY355),1)*IFERROR(EZ355^SIGN(EZ355),1)*IFERROR(FA355^SIGN(FA355),1)*IFERROR(FB355^SIGN(FB355),1)</f>
        <v>1584</v>
      </c>
      <c r="FI355" s="244">
        <f>SUM(FF355:FH355)</f>
        <v>7424</v>
      </c>
      <c r="FJ355" s="226">
        <f>FC355*FF355/FI355</f>
        <v>3.8218390804597702</v>
      </c>
      <c r="FK355" s="226">
        <f>FD355*FG355/FI355</f>
        <v>10.711206896551724</v>
      </c>
      <c r="FL355" s="226">
        <f>FE355*FH355/FI355</f>
        <v>7.4676724137931032</v>
      </c>
      <c r="FM355" s="246">
        <f>SUM(FJ355:FL355)</f>
        <v>22.000718390804597</v>
      </c>
      <c r="FN355" s="252">
        <f t="shared" si="3908"/>
        <v>0</v>
      </c>
      <c r="FO355" s="309">
        <f>FM355-FN355</f>
        <v>22.000718390804597</v>
      </c>
      <c r="FP355" s="246">
        <f>IF(FM355&lt;=0,3,0)+IF(FM355&gt;0,FM355+1,0)*3+IF(FM355&gt;12,FM355-12,0)*3+IF(FM355&gt;13,FM355-13,0)*3+IF(FM355&gt;14,FM355-14,0)*3+IF(FM355&gt;15,FM355-15,0)*3+IF(FM355&gt;16,FM355-16,0)*3+IF(FM355&gt;17,FM355-17,0)*3+IF(FM355&gt;18,FM355-18,0)*3+IF(FM355&gt;19,FM355-19,0)*3+IF(FM355&gt;20,FM355-20,0)*3</f>
        <v>231.02155172413785</v>
      </c>
      <c r="FQ355" s="244">
        <f>IF(FN355&lt;=0,3,0)+IF(FN355&gt;0,FN355+1,0)*3+IF(FN355&gt;12,FN355-12,0)*3+IF(FN355&gt;13,FN355-13,0)*3+IF(FN355&gt;14,FN355-14,0)*3+IF(FN355&gt;15,FN355-15,0)*3+IF(FN355&gt;16,FN355-16,0)*3+IF(FN355&gt;17,FN355-17,0)*3+IF(FN355&gt;18,FN355-18,0)*3+IF(FN355&gt;19,FN355-19,0)*3+IF(FN355&gt;20,FN355-20,0)*3</f>
        <v>3</v>
      </c>
      <c r="FR355" s="245">
        <f>IF((FP355-FQ355)&gt;0,FP355-FQ355,0)</f>
        <v>228.02155172413785</v>
      </c>
      <c r="FS355" s="246">
        <f>IF((FQ355-FP355)&gt;0,FQ355-FP355,0)</f>
        <v>0</v>
      </c>
      <c r="FU355" s="306" t="s">
        <v>233</v>
      </c>
      <c r="FV355" s="314" t="s">
        <v>170</v>
      </c>
      <c r="FW355" s="246" t="s">
        <v>135</v>
      </c>
      <c r="FX355" s="235"/>
      <c r="FY355" s="235">
        <f>Konvention_1slave-KLslave</f>
        <v>12</v>
      </c>
      <c r="FZ355" s="235">
        <f>Konvention_1slave-INslave</f>
        <v>12</v>
      </c>
      <c r="GA355" s="235"/>
      <c r="GB355" s="235">
        <f>Konvention_1slave-FFslave</f>
        <v>12</v>
      </c>
      <c r="GC355" s="235"/>
      <c r="GD355" s="235"/>
      <c r="GE355" s="235"/>
      <c r="GF355" s="225">
        <f>(FX355+FY355+FZ355+GA355+GB355+GC355+GD355+GE355)/3</f>
        <v>12</v>
      </c>
      <c r="GG355" s="226">
        <f>2*GF355</f>
        <v>24</v>
      </c>
      <c r="GH355" s="227">
        <f>3*GF355</f>
        <v>36</v>
      </c>
      <c r="GI355" s="235">
        <f>FX355*POWER(KLslave,SIGN(FY355))*POWER(INslave,SIGN(FZ355))*POWER(CHslave,SIGN(GA355))*POWER(FFslave,SIGN(GB355))*POWER(GEslave_GE,SIGN(GC355))*POWER(KOslave,SIGN(GD355))*POWER(KKslave,SIGN(GE355))+FY355*POWER(MUslave,SIGN(FX355))*POWER(INslave,SIGN(FZ355))*POWER(CHslave,SIGN(GA355))*POWER(FFslave,SIGN(GB355))*POWER(GEslave_GE,SIGN(GC355))*POWER(KOslave,SIGN(GD355))*POWER(KKslave,SIGN(GE355))+FZ355*POWER(MUslave,SIGN(FX355))*POWER(KLslave,SIGN(FY355))*POWER(CHslave,SIGN(GA355))*POWER(FFslave,SIGN(GB355))*POWER(GEslave_GE,SIGN(GC355))*POWER(KOslave,SIGN(GD355))*POWER(KKslave,SIGN(GE355))+GA355*POWER(MUslave,SIGN(FX355))*POWER(KLslave,SIGN(FY355))*POWER(INslave,SIGN(FZ355))*POWER(FFslave,SIGN(GB355))*POWER(GEslave_GE,SIGN(GC355))*POWER(KOslave,SIGN(GD355))*POWER(KKslave,SIGN(GE355))+GB355*POWER(MUslave,SIGN(FX355))*POWER(KLslave,SIGN(FY355))*POWER(INslave,SIGN(FZ355))*POWER(CHslave,SIGN(GA355))*POWER(GEslave_GE,SIGN(GC355))*POWER(KOslave,SIGN(GD355))*POWER(KKslave,SIGN(GE355))+GC355*POWER(MUslave,SIGN(FX355))*POWER(KLslave,SIGN(FY355))*POWER(INslave,SIGN(FZ355))*POWER(CHslave,SIGN(GA355))*POWER(FFslave,SIGN(GB355))*POWER(KOslave,SIGN(GD355))*POWER(KKslave,SIGN(GE355))+GD355*POWER(MUslave,SIGN(FX355))*POWER(KLslave,SIGN(FY355))*POWER(INslave,SIGN(FZ355))*POWER(CHslave,SIGN(GA355))*POWER(FFslave,SIGN(GB355))*POWER(GEslave_GE,SIGN(GC355))*POWER(KKslave,SIGN(GE355))+GE355*POWER(MUslave,SIGN(FX355))*POWER(KLslave,SIGN(FY355))*POWER(INslave,SIGN(FZ355))*POWER(CHslave,SIGN(GA355))*POWER(FFslave,SIGN(GB355))*POWER(GEslave_GE,SIGN(GC355))*POWER(KOslave,SIGN(GD355))</f>
        <v>2304</v>
      </c>
      <c r="GJ355" s="235">
        <f>FY355*FZ355*FFslave+FY355*INslave*GB355+KLslave*FZ355*GB355</f>
        <v>3456</v>
      </c>
      <c r="GK355" s="235">
        <f>IFERROR(FX355^SIGN(FX355),1)*IFERROR(FY355^SIGN(FY355),1)*IFERROR(FZ355^SIGN(FZ355),1)*IFERROR(GA355^SIGN(GA355),1)*IFERROR(GB355^SIGN(GB355),1)*IFERROR(GC355^SIGN(GC355),1)*IFERROR(GD355^SIGN(GD355),1)*IFERROR(GE355^SIGN(GE355),1)</f>
        <v>1728</v>
      </c>
      <c r="GL355" s="244">
        <f>SUM(GI355:GK355)</f>
        <v>7488</v>
      </c>
      <c r="GM355" s="226">
        <f>GF355*GI355/GL355</f>
        <v>3.6923076923076925</v>
      </c>
      <c r="GN355" s="226">
        <f>GG355*GJ355/GL355</f>
        <v>11.076923076923077</v>
      </c>
      <c r="GO355" s="226">
        <f>GH355*GK355/GL355</f>
        <v>8.3076923076923084</v>
      </c>
      <c r="GP355" s="246">
        <f>SUM(GM355:GO355)</f>
        <v>23.07692307692308</v>
      </c>
      <c r="GQ355" s="252">
        <f t="shared" si="3909"/>
        <v>0</v>
      </c>
      <c r="GR355" s="309">
        <f>GP355-GQ355</f>
        <v>23.07692307692308</v>
      </c>
      <c r="GS355" s="246">
        <f>IF(GP355&lt;=0,3,0)+IF(GP355&gt;0,GP355+1,0)*3+IF(GP355&gt;12,GP355-12,0)*3+IF(GP355&gt;13,GP355-13,0)*3+IF(GP355&gt;14,GP355-14,0)*3+IF(GP355&gt;15,GP355-15,0)*3+IF(GP355&gt;16,GP355-16,0)*3+IF(GP355&gt;17,GP355-17,0)*3+IF(GP355&gt;18,GP355-18,0)*3+IF(GP355&gt;19,GP355-19,0)*3+IF(GP355&gt;20,GP355-20,0)*3</f>
        <v>263.30769230769232</v>
      </c>
      <c r="GT355" s="244">
        <f>IF(GQ355&lt;=0,3,0)+IF(GQ355&gt;0,GQ355+1,0)*3+IF(GQ355&gt;12,GQ355-12,0)*3+IF(GQ355&gt;13,GQ355-13,0)*3+IF(GQ355&gt;14,GQ355-14,0)*3+IF(GQ355&gt;15,GQ355-15,0)*3+IF(GQ355&gt;16,GQ355-16,0)*3+IF(GQ355&gt;17,GQ355-17,0)*3+IF(GQ355&gt;18,GQ355-18,0)*3+IF(GQ355&gt;19,GQ355-19,0)*3+IF(GQ355&gt;20,GQ355-20,0)*3</f>
        <v>3</v>
      </c>
      <c r="GU355" s="245">
        <f>IF((GS355-GT355)&gt;0,GS355-GT355,0)</f>
        <v>260.30769230769232</v>
      </c>
      <c r="GV355" s="246">
        <f>IF((GT355-GS355)&gt;0,GT355-GS355,0)</f>
        <v>0</v>
      </c>
      <c r="GX355" s="306" t="s">
        <v>233</v>
      </c>
      <c r="GY355" s="314" t="s">
        <v>170</v>
      </c>
      <c r="GZ355" s="246" t="s">
        <v>135</v>
      </c>
      <c r="HA355" s="235"/>
      <c r="HB355" s="235">
        <f>Konvention_1slave-KLslave</f>
        <v>12</v>
      </c>
      <c r="HC355" s="235">
        <f>Konvention_1slave-INslave</f>
        <v>12</v>
      </c>
      <c r="HD355" s="235"/>
      <c r="HE355" s="235">
        <f>Konvention_1slave-FFslave</f>
        <v>12</v>
      </c>
      <c r="HF355" s="235"/>
      <c r="HG355" s="235"/>
      <c r="HH355" s="235"/>
      <c r="HI355" s="225">
        <f>(HA355+HB355+HC355+HD355+HE355+HF355+HG355+HH355)/3</f>
        <v>12</v>
      </c>
      <c r="HJ355" s="226">
        <f>2*HI355</f>
        <v>24</v>
      </c>
      <c r="HK355" s="227">
        <f>3*HI355</f>
        <v>36</v>
      </c>
      <c r="HL355" s="235">
        <f>HA355*POWER(KLslave,SIGN(HB355))*POWER(INslave,SIGN(HC355))*POWER(CHslave,SIGN(HD355))*POWER(FFslave,SIGN(HE355))*POWER(GEslave,SIGN(HF355))*POWER(KOslave_KO,SIGN(HG355))*POWER(KKslave,SIGN(HH355))+HB355*POWER(MUslave,SIGN(HA355))*POWER(INslave,SIGN(HC355))*POWER(CHslave,SIGN(HD355))*POWER(FFslave,SIGN(HE355))*POWER(GEslave,SIGN(HF355))*POWER(KOslave_KO,SIGN(HG355))*POWER(KKslave,SIGN(HH355))+HC355*POWER(MUslave,SIGN(HA355))*POWER(KLslave,SIGN(HB355))*POWER(CHslave,SIGN(HD355))*POWER(FFslave,SIGN(HE355))*POWER(GEslave,SIGN(HF355))*POWER(KOslave_KO,SIGN(HG355))*POWER(KKslave,SIGN(HH355))+HD355*POWER(MUslave,SIGN(HA355))*POWER(KLslave,SIGN(HB355))*POWER(INslave,SIGN(HC355))*POWER(FFslave,SIGN(HE355))*POWER(GEslave,SIGN(HF355))*POWER(KOslave_KO,SIGN(HG355))*POWER(KKslave,SIGN(HH355))+HE355*POWER(MUslave,SIGN(HA355))*POWER(KLslave,SIGN(HB355))*POWER(INslave,SIGN(HC355))*POWER(CHslave,SIGN(HD355))*POWER(GEslave,SIGN(HF355))*POWER(KOslave_KO,SIGN(HG355))*POWER(KKslave,SIGN(HH355))+HF355*POWER(MUslave,SIGN(HA355))*POWER(KLslave,SIGN(HB355))*POWER(INslave,SIGN(HC355))*POWER(CHslave,SIGN(HD355))*POWER(FFslave,SIGN(HE355))*POWER(KOslave_KO,SIGN(HG355))*POWER(KKslave,SIGN(HH355))+HG355*POWER(MUslave,SIGN(HA355))*POWER(KLslave,SIGN(HB355))*POWER(INslave,SIGN(HC355))*POWER(CHslave,SIGN(HD355))*POWER(FFslave,SIGN(HE355))*POWER(GEslave,SIGN(HF355))*POWER(KKslave,SIGN(HH355))+HH355*POWER(MUslave,SIGN(HA355))*POWER(KLslave,SIGN(HB355))*POWER(INslave,SIGN(HC355))*POWER(CHslave,SIGN(HD355))*POWER(FFslave,SIGN(HE355))*POWER(GEslave,SIGN(HF355))*POWER(KOslave_KO,SIGN(HG355))</f>
        <v>2304</v>
      </c>
      <c r="HM355" s="235">
        <f>HB355*HC355*FFslave+HB355*INslave*HE355+KLslave*HC355*HE355</f>
        <v>3456</v>
      </c>
      <c r="HN355" s="235">
        <f>IFERROR(HA355^SIGN(HA355),1)*IFERROR(HB355^SIGN(HB355),1)*IFERROR(HC355^SIGN(HC355),1)*IFERROR(HD355^SIGN(HD355),1)*IFERROR(HE355^SIGN(HE355),1)*IFERROR(HF355^SIGN(HF355),1)*IFERROR(HG355^SIGN(HG355),1)*IFERROR(HH355^SIGN(HH355),1)</f>
        <v>1728</v>
      </c>
      <c r="HO355" s="244">
        <f>SUM(HL355:HN355)</f>
        <v>7488</v>
      </c>
      <c r="HP355" s="226">
        <f>HI355*HL355/HO355</f>
        <v>3.6923076923076925</v>
      </c>
      <c r="HQ355" s="226">
        <f>HJ355*HM355/HO355</f>
        <v>11.076923076923077</v>
      </c>
      <c r="HR355" s="226">
        <f>HK355*HN355/HO355</f>
        <v>8.3076923076923084</v>
      </c>
      <c r="HS355" s="246">
        <f>SUM(HP355:HR355)</f>
        <v>23.07692307692308</v>
      </c>
      <c r="HT355" s="252">
        <f t="shared" si="3910"/>
        <v>0</v>
      </c>
      <c r="HU355" s="309">
        <f>HS355-HT355</f>
        <v>23.07692307692308</v>
      </c>
      <c r="HV355" s="246">
        <f>IF(HS355&lt;=0,3,0)+IF(HS355&gt;0,HS355+1,0)*3+IF(HS355&gt;12,HS355-12,0)*3+IF(HS355&gt;13,HS355-13,0)*3+IF(HS355&gt;14,HS355-14,0)*3+IF(HS355&gt;15,HS355-15,0)*3+IF(HS355&gt;16,HS355-16,0)*3+IF(HS355&gt;17,HS355-17,0)*3+IF(HS355&gt;18,HS355-18,0)*3+IF(HS355&gt;19,HS355-19,0)*3+IF(HS355&gt;20,HS355-20,0)*3</f>
        <v>263.30769230769232</v>
      </c>
      <c r="HW355" s="244">
        <f>IF(HT355&lt;=0,3,0)+IF(HT355&gt;0,HT355+1,0)*3+IF(HT355&gt;12,HT355-12,0)*3+IF(HT355&gt;13,HT355-13,0)*3+IF(HT355&gt;14,HT355-14,0)*3+IF(HT355&gt;15,HT355-15,0)*3+IF(HT355&gt;16,HT355-16,0)*3+IF(HT355&gt;17,HT355-17,0)*3+IF(HT355&gt;18,HT355-18,0)*3+IF(HT355&gt;19,HT355-19,0)*3+IF(HT355&gt;20,HT355-20,0)*3</f>
        <v>3</v>
      </c>
      <c r="HX355" s="245">
        <f>IF((HV355-HW355)&gt;0,HV355-HW355,0)</f>
        <v>260.30769230769232</v>
      </c>
      <c r="HY355" s="246">
        <f>IF((HW355-HV355)&gt;0,HW355-HV355,0)</f>
        <v>0</v>
      </c>
      <c r="IA355" s="306" t="s">
        <v>233</v>
      </c>
      <c r="IB355" s="314" t="s">
        <v>170</v>
      </c>
      <c r="IC355" s="246" t="s">
        <v>135</v>
      </c>
      <c r="ID355" s="235"/>
      <c r="IE355" s="235">
        <f>Konvention_1slave-KLslave</f>
        <v>12</v>
      </c>
      <c r="IF355" s="235">
        <f>Konvention_1slave-INslave</f>
        <v>12</v>
      </c>
      <c r="IG355" s="235"/>
      <c r="IH355" s="235">
        <f>Konvention_1slave-FFslave</f>
        <v>12</v>
      </c>
      <c r="II355" s="235"/>
      <c r="IJ355" s="235"/>
      <c r="IK355" s="235"/>
      <c r="IL355" s="225">
        <f>(ID355+IE355+IF355+IG355+IH355+II355+IJ355+IK355)/3</f>
        <v>12</v>
      </c>
      <c r="IM355" s="226">
        <f>2*IL355</f>
        <v>24</v>
      </c>
      <c r="IN355" s="227">
        <f>3*IL355</f>
        <v>36</v>
      </c>
      <c r="IO355" s="235">
        <f>ID355*POWER(KLslave,SIGN(IE355))*POWER(INslave,SIGN(IF355))*POWER(CHslave,SIGN(IG355))*POWER(FFslave,SIGN(IH355))*POWER(GEslave,SIGN(II355))*POWER(KOslave,SIGN(IJ355))*POWER(KKslave_KK,SIGN(IK355))+IE355*POWER(MUslave,SIGN(ID355))*POWER(INslave,SIGN(IF355))*POWER(CHslave,SIGN(IG355))*POWER(FFslave,SIGN(IH355))*POWER(GEslave,SIGN(II355))*POWER(KOslave,SIGN(IJ355))*POWER(KKslave_KK,SIGN(IK355))+IF355*POWER(MUslave,SIGN(ID355))*POWER(KLslave,SIGN(IE355))*POWER(CHslave,SIGN(IG355))*POWER(FFslave,SIGN(IH355))*POWER(GEslave,SIGN(II355))*POWER(KOslave,SIGN(IJ355))*POWER(KKslave_KK,SIGN(IK355))+IG355*POWER(MUslave,SIGN(ID355))*POWER(KLslave,SIGN(IE355))*POWER(INslave,SIGN(IF355))*POWER(FFslave,SIGN(IH355))*POWER(GEslave,SIGN(II355))*POWER(KOslave,SIGN(IJ355))*POWER(KKslave_KK,SIGN(IK355))+IH355*POWER(MUslave,SIGN(ID355))*POWER(KLslave,SIGN(IE355))*POWER(INslave,SIGN(IF355))*POWER(CHslave,SIGN(IG355))*POWER(GEslave,SIGN(II355))*POWER(KOslave,SIGN(IJ355))*POWER(KKslave_KK,SIGN(IK355))+II355*POWER(MUslave,SIGN(ID355))*POWER(KLslave,SIGN(IE355))*POWER(INslave,SIGN(IF355))*POWER(CHslave,SIGN(IG355))*POWER(FFslave,SIGN(IH355))*POWER(KOslave,SIGN(IJ355))*POWER(KKslave_KK,SIGN(IK355))+IJ355*POWER(MUslave,SIGN(ID355))*POWER(KLslave,SIGN(IE355))*POWER(INslave,SIGN(IF355))*POWER(CHslave,SIGN(IG355))*POWER(FFslave,SIGN(IH355))*POWER(GEslave,SIGN(II355))*POWER(KKslave_KK,SIGN(IK355))+IK355*POWER(MUslave,SIGN(ID355))*POWER(KLslave,SIGN(IE355))*POWER(INslave,SIGN(IF355))*POWER(CHslave,SIGN(IG355))*POWER(FFslave,SIGN(IH355))*POWER(GEslave,SIGN(II355))*POWER(KOslave,SIGN(IJ355))</f>
        <v>2304</v>
      </c>
      <c r="IP355" s="235">
        <f>IE355*IF355*FFslave+IE355*INslave*IH355+KLslave*IF355*IH355</f>
        <v>3456</v>
      </c>
      <c r="IQ355" s="235">
        <f>IFERROR(ID355^SIGN(ID355),1)*IFERROR(IE355^SIGN(IE355),1)*IFERROR(IF355^SIGN(IF355),1)*IFERROR(IG355^SIGN(IG355),1)*IFERROR(IH355^SIGN(IH355),1)*IFERROR(II355^SIGN(II355),1)*IFERROR(IJ355^SIGN(IJ355),1)*IFERROR(IK355^SIGN(IK355),1)</f>
        <v>1728</v>
      </c>
      <c r="IR355" s="244">
        <f>SUM(IO355:IQ355)</f>
        <v>7488</v>
      </c>
      <c r="IS355" s="226">
        <f>IL355*IO355/IR355</f>
        <v>3.6923076923076925</v>
      </c>
      <c r="IT355" s="226">
        <f>IM355*IP355/IR355</f>
        <v>11.076923076923077</v>
      </c>
      <c r="IU355" s="226">
        <f>IN355*IQ355/IR355</f>
        <v>8.3076923076923084</v>
      </c>
      <c r="IV355" s="246">
        <f>SUM(IS355:IU355)</f>
        <v>23.07692307692308</v>
      </c>
      <c r="IW355" s="252">
        <f t="shared" si="3911"/>
        <v>0</v>
      </c>
      <c r="IX355" s="309">
        <f>IV355-IW355</f>
        <v>23.07692307692308</v>
      </c>
      <c r="IY355" s="246">
        <f>IF(IV355&lt;=0,3,0)+IF(IV355&gt;0,IV355+1,0)*3+IF(IV355&gt;12,IV355-12,0)*3+IF(IV355&gt;13,IV355-13,0)*3+IF(IV355&gt;14,IV355-14,0)*3+IF(IV355&gt;15,IV355-15,0)*3+IF(IV355&gt;16,IV355-16,0)*3+IF(IV355&gt;17,IV355-17,0)*3+IF(IV355&gt;18,IV355-18,0)*3+IF(IV355&gt;19,IV355-19,0)*3+IF(IV355&gt;20,IV355-20,0)*3</f>
        <v>263.30769230769232</v>
      </c>
      <c r="IZ355" s="244">
        <f>IF(IW355&lt;=0,3,0)+IF(IW355&gt;0,IW355+1,0)*3+IF(IW355&gt;12,IW355-12,0)*3+IF(IW355&gt;13,IW355-13,0)*3+IF(IW355&gt;14,IW355-14,0)*3+IF(IW355&gt;15,IW355-15,0)*3+IF(IW355&gt;16,IW355-16,0)*3+IF(IW355&gt;17,IW355-17,0)*3+IF(IW355&gt;18,IW355-18,0)*3+IF(IW355&gt;19,IW355-19,0)*3+IF(IW355&gt;20,IW355-20,0)*3</f>
        <v>3</v>
      </c>
      <c r="JA355" s="245">
        <f>IF((IY355-IZ355)&gt;0,IY355-IZ355,0)</f>
        <v>260.30769230769232</v>
      </c>
      <c r="JB355" s="246">
        <f>IF((IZ355-IY355)&gt;0,IZ355-IY355,0)</f>
        <v>0</v>
      </c>
      <c r="JE355" s="148"/>
    </row>
    <row r="356" spans="2:265" hidden="1" outlineLevel="1" collapsed="1">
      <c r="B356" s="134" t="s">
        <v>331</v>
      </c>
      <c r="C356" s="307" t="s">
        <v>281</v>
      </c>
      <c r="D356" s="84" t="s">
        <v>279</v>
      </c>
      <c r="E356" s="84" t="s">
        <v>280</v>
      </c>
      <c r="Y356" s="251"/>
      <c r="Z356" s="197"/>
      <c r="AF356" s="83" t="s">
        <v>281</v>
      </c>
      <c r="AG356" s="84" t="s">
        <v>279</v>
      </c>
      <c r="AH356" s="84" t="s">
        <v>280</v>
      </c>
      <c r="BB356" s="197"/>
      <c r="BC356" s="197"/>
      <c r="BI356" s="307" t="s">
        <v>281</v>
      </c>
      <c r="BJ356" s="308" t="s">
        <v>279</v>
      </c>
      <c r="BK356" s="308" t="s">
        <v>280</v>
      </c>
      <c r="CE356" s="251"/>
      <c r="CF356" s="251"/>
      <c r="CL356" s="307" t="s">
        <v>281</v>
      </c>
      <c r="CM356" s="308" t="s">
        <v>279</v>
      </c>
      <c r="CN356" s="308" t="s">
        <v>280</v>
      </c>
      <c r="DH356" s="251"/>
      <c r="DI356" s="251"/>
      <c r="DO356" s="307" t="s">
        <v>281</v>
      </c>
      <c r="DP356" s="308" t="s">
        <v>279</v>
      </c>
      <c r="DQ356" s="308" t="s">
        <v>280</v>
      </c>
      <c r="EK356" s="251"/>
      <c r="EL356" s="251"/>
      <c r="ER356" s="307" t="s">
        <v>281</v>
      </c>
      <c r="ES356" s="308" t="s">
        <v>279</v>
      </c>
      <c r="ET356" s="308" t="s">
        <v>280</v>
      </c>
      <c r="FN356" s="251"/>
      <c r="FO356" s="251"/>
      <c r="FU356" s="307" t="s">
        <v>281</v>
      </c>
      <c r="FV356" s="308" t="s">
        <v>279</v>
      </c>
      <c r="FW356" s="308" t="s">
        <v>280</v>
      </c>
      <c r="GQ356" s="251"/>
      <c r="GR356" s="251"/>
      <c r="GX356" s="307" t="s">
        <v>281</v>
      </c>
      <c r="GY356" s="308" t="s">
        <v>279</v>
      </c>
      <c r="GZ356" s="308" t="s">
        <v>280</v>
      </c>
      <c r="HT356" s="251"/>
      <c r="HU356" s="251"/>
      <c r="IA356" s="307" t="s">
        <v>281</v>
      </c>
      <c r="IB356" s="308" t="s">
        <v>279</v>
      </c>
      <c r="IC356" s="308" t="s">
        <v>280</v>
      </c>
      <c r="IW356" s="251"/>
      <c r="IX356" s="251"/>
      <c r="JE356" s="148"/>
    </row>
    <row r="357" spans="2:265" hidden="1" outlineLevel="2">
      <c r="B357" s="148">
        <v>1</v>
      </c>
      <c r="C357" s="302" t="e">
        <f>VLOOKUP(AF357,Attribute!C:T,1,FALSE)</f>
        <v>#N/A</v>
      </c>
      <c r="D357" s="85" t="s">
        <v>86</v>
      </c>
      <c r="E357" s="158" t="s">
        <v>132</v>
      </c>
      <c r="F357" s="118">
        <f>Konvention_1master-MUmaster</f>
        <v>12</v>
      </c>
      <c r="G357" s="118"/>
      <c r="H357" s="118">
        <f>Konvention_1master-INmaster</f>
        <v>12</v>
      </c>
      <c r="I357" s="118">
        <f t="shared" ref="I357:I362" si="3912">Konvention_1master-CHmaster</f>
        <v>12</v>
      </c>
      <c r="J357" s="118"/>
      <c r="K357" s="118"/>
      <c r="L357" s="118"/>
      <c r="M357" s="118"/>
      <c r="N357" s="219">
        <f t="shared" ref="N357:N362" si="3913">(F357+G357+H357+I357+J357+K357+L357+M357)/3</f>
        <v>12</v>
      </c>
      <c r="O357" s="220">
        <f t="shared" ref="O357:O362" si="3914">2*N357</f>
        <v>24</v>
      </c>
      <c r="P357" s="221">
        <f t="shared" ref="P357:P362" si="3915">3*N357</f>
        <v>36</v>
      </c>
      <c r="Q357" s="233">
        <f t="shared" ref="Q357:Q362" si="3916">F357*POWER(KLmaster,SIGN(G357))*POWER(INmaster,SIGN(H357))*POWER(CHmaster,SIGN(I357))*POWER(FFmaster,SIGN(J357))*POWER(GEmaster,SIGN(K357))*POWER(KOmaster,SIGN(L357))*POWER(KKmaster,SIGN(M357))+G357*POWER(MUmaster,SIGN(F357))*POWER(INmaster,SIGN(H357))*POWER(CHmaster,SIGN(I357))*POWER(FFmaster,SIGN(J357))*POWER(GEmaster,SIGN(K357))*POWER(KOmaster,SIGN(L357))*POWER(KKmaster,SIGN(M357))+H357*POWER(MUmaster,SIGN(F357))*POWER(KLmaster,SIGN(G357))*POWER(CHmaster,SIGN(I357))*POWER(FFmaster,SIGN(J357))*POWER(GEmaster,SIGN(K357))*POWER(KOmaster,SIGN(L357))*POWER(KKmaster,SIGN(M357))+I357*POWER(MUmaster,SIGN(F357))*POWER(KLmaster,SIGN(G357))*POWER(INmaster,SIGN(H357))*POWER(FFmaster,SIGN(J357))*POWER(GEmaster,SIGN(K357))*POWER(KOmaster,SIGN(L357))*POWER(KKmaster,SIGN(M357))+J357*POWER(MUmaster,SIGN(F357))*POWER(KLmaster,SIGN(G357))*POWER(INmaster,SIGN(H357))*POWER(CHmaster,SIGN(I357))*POWER(GEmaster,SIGN(K357))*POWER(KOmaster,SIGN(L357))*POWER(KKmaster,SIGN(M357))+K357*POWER(MUmaster,SIGN(F357))*POWER(KLmaster,SIGN(G357))*POWER(INmaster,SIGN(H357))*POWER(CHmaster,SIGN(I357))*POWER(FFmaster,SIGN(J357))*POWER(KOmaster,SIGN(L357))*POWER(KKmaster,SIGN(M357))+L357*POWER(MUmaster,SIGN(F357))*POWER(KLmaster,SIGN(G357))*POWER(INmaster,SIGN(H357))*POWER(CHmaster,SIGN(I357))*POWER(FFmaster,SIGN(J357))*POWER(GEmaster,SIGN(K357))*POWER(KKmaster,SIGN(M357))+M357*POWER(MUmaster,SIGN(F357))*POWER(KLmaster,SIGN(G357))*POWER(INmaster,SIGN(H357))*POWER(CHmaster,SIGN(I357))*POWER(FFmaster,SIGN(J357))*POWER(GEmaster,SIGN(K357))*POWER(KOmaster,SIGN(L357))</f>
        <v>2304</v>
      </c>
      <c r="R357" s="118">
        <f>F357*H357*CHmaster+F357*INmaster*I357+MUmaster*H357*I357</f>
        <v>3456</v>
      </c>
      <c r="S357" s="233">
        <f t="shared" ref="S357:S362" si="3917">IFERROR(F357^SIGN(F357),1)*IFERROR(G357^SIGN(G357),1)*IFERROR(H357^SIGN(H357),1)*IFERROR(I357^SIGN(I357),1)*IFERROR(J357^SIGN(J357),1)*IFERROR(K357^SIGN(K357),1)*IFERROR(L357^SIGN(L357),1)*IFERROR(M357^SIGN(M357),1)</f>
        <v>1728</v>
      </c>
      <c r="T357" s="78">
        <f t="shared" ref="T357:T365" si="3918">SUM(Q357:S357)</f>
        <v>7488</v>
      </c>
      <c r="U357" s="220">
        <f t="shared" ref="U357:U362" si="3919">N357*Q357/T357</f>
        <v>3.6923076923076925</v>
      </c>
      <c r="V357" s="220">
        <f t="shared" ref="V357:V362" si="3920">O357*R357/T357</f>
        <v>11.076923076923077</v>
      </c>
      <c r="W357" s="220">
        <f t="shared" ref="W357:W362" si="3921">P357*S357/T357</f>
        <v>8.3076923076923084</v>
      </c>
      <c r="X357" s="42">
        <f t="shared" ref="X357:X362" si="3922">SUM(U357:W357)</f>
        <v>23.07692307692308</v>
      </c>
      <c r="Y357" s="252">
        <v>0</v>
      </c>
      <c r="Z357" s="198">
        <f t="shared" ref="Z357:Z362" si="3923">X357-Y357</f>
        <v>23.07692307692308</v>
      </c>
      <c r="AA357" s="158">
        <f t="shared" ref="AA357:AB361" si="3924">IF(X357&lt;=0,2,0)+IF(X357&gt;0,X357+1,0)*2+IF(X357&gt;12,X357-12,0)*2+IF(X357&gt;13,X357-13,0)*2+IF(X357&gt;14,X357-14,0)*2+IF(X357&gt;15,X357-15,0)*2+IF(X357&gt;16,X357-16,0)*2+IF(X357&gt;17,X357-17,0)*2+IF(X357&gt;18,X357-18,0)*2+IF(X357&gt;19,X357-19,0)*2+IF(X357&gt;20,X357-20,0)*2</f>
        <v>175.5384615384616</v>
      </c>
      <c r="AB357" s="91">
        <f t="shared" si="3924"/>
        <v>2</v>
      </c>
      <c r="AC357" s="126">
        <f t="shared" ref="AC357:AC362" si="3925">IF((AA357-AB357)&gt;0,AA357-AB357,0)</f>
        <v>173.5384615384616</v>
      </c>
      <c r="AD357" s="158">
        <f t="shared" ref="AD357:AD362" si="3926">IF((AB357-AA357)&gt;0,AB357-AA357,0)</f>
        <v>0</v>
      </c>
      <c r="AF357" s="162" t="s">
        <v>314</v>
      </c>
      <c r="AG357" s="85" t="s">
        <v>86</v>
      </c>
      <c r="AH357" s="158" t="s">
        <v>132</v>
      </c>
      <c r="AI357" s="118">
        <f>Konvention_1slave-MUslave_MU</f>
        <v>11</v>
      </c>
      <c r="AJ357" s="118"/>
      <c r="AK357" s="118">
        <f>Konvention_1slave-INslave</f>
        <v>12</v>
      </c>
      <c r="AL357" s="118">
        <f t="shared" ref="AL357:AL362" si="3927">Konvention_1slave-CHslave</f>
        <v>12</v>
      </c>
      <c r="AM357" s="118"/>
      <c r="AN357" s="118"/>
      <c r="AO357" s="118"/>
      <c r="AP357" s="118"/>
      <c r="AQ357" s="193">
        <f t="shared" ref="AQ357:AQ362" si="3928">(AI357+AJ357+AK357+AL357+AM357+AN357+AO357+AP357)/3</f>
        <v>11.666666666666666</v>
      </c>
      <c r="AR357" s="116">
        <f t="shared" ref="AR357:AR362" si="3929">2*AQ357</f>
        <v>23.333333333333332</v>
      </c>
      <c r="AS357" s="92">
        <f t="shared" ref="AS357:AS362" si="3930">3*AQ357</f>
        <v>35</v>
      </c>
      <c r="AT357" s="118">
        <f t="shared" ref="AT357:AT365" si="3931">AI357*POWER(KLslave,SIGN(AJ357))*POWER(INslave,SIGN(AK357))*POWER(CHslave,SIGN(AL357))*POWER(FFslave,SIGN(AM357))*POWER(GEslave,SIGN(AN357))*POWER(KOslave,SIGN(AO357))*POWER(KKslave,SIGN(AP357))+AJ357*POWER(MUslave_MU,SIGN(AI357))*POWER(INslave,SIGN(AK357))*POWER(CHslave,SIGN(AL357))*POWER(FFslave,SIGN(AM357))*POWER(GEslave,SIGN(AN357))*POWER(KOslave,SIGN(AO357))*POWER(KKslave,SIGN(AP357))+AK357*POWER(MUslave_MU,SIGN(AI357))*POWER(KLslave,SIGN(AJ357))*POWER(CHslave,SIGN(AL357))*POWER(FFslave,SIGN(AM357))*POWER(GEslave,SIGN(AN357))*POWER(KOslave,SIGN(AO357))*POWER(KKslave,SIGN(AP357))+AL357*POWER(MUslave_MU,SIGN(AI357))*POWER(KLslave,SIGN(AJ357))*POWER(INslave,SIGN(AK357))*POWER(FFslave,SIGN(AM357))*POWER(GEslave,SIGN(AN357))*POWER(KOslave,SIGN(AO357))*POWER(KKslave,SIGN(AP357))+AM357*POWER(MUslave_MU,SIGN(AI357))*POWER(KLslave,SIGN(AJ357))*POWER(INslave,SIGN(AK357))*POWER(CHslave,SIGN(AL357))*POWER(GEslave,SIGN(AN357))*POWER(KOslave,SIGN(AO357))*POWER(KKslave,SIGN(AP357))+AN357*POWER(MUslave_MU,SIGN(AI357))*POWER(KLslave,SIGN(AJ357))*POWER(INslave,SIGN(AK357))*POWER(CHslave,SIGN(AL357))*POWER(FFslave,SIGN(AM357))*POWER(KOslave,SIGN(AO357))*POWER(KKslave,SIGN(AP357))+AO357*POWER(MUslave_MU,SIGN(AI357))*POWER(KLslave,SIGN(AJ357))*POWER(INslave,SIGN(AK357))*POWER(CHslave,SIGN(AL357))*POWER(FFslave,SIGN(AM357))*POWER(GEslave,SIGN(AN357))*POWER(KKslave,SIGN(AP357))+AP357*POWER(MUslave_MU,SIGN(AI357))*POWER(KLslave,SIGN(AJ357))*POWER(INslave,SIGN(AK357))*POWER(CHslave,SIGN(AL357))*POWER(FFslave,SIGN(AM357))*POWER(GEslave,SIGN(AN357))*POWER(KOslave,SIGN(AO357))</f>
        <v>2432</v>
      </c>
      <c r="AU357" s="118">
        <f>AI357*AK357*CHslave+AI357*INslave*AL357+MUslave_MU*AK357*AL357</f>
        <v>3408</v>
      </c>
      <c r="AV357" s="118">
        <f t="shared" ref="AV357:AV362" si="3932">IFERROR(AI357^SIGN(AI357),1)*IFERROR(AJ357^SIGN(AJ357),1)*IFERROR(AK357^SIGN(AK357),1)*IFERROR(AL357^SIGN(AL357),1)*IFERROR(AM357^SIGN(AM357),1)*IFERROR(AN357^SIGN(AN357),1)*IFERROR(AO357^SIGN(AO357),1)*IFERROR(AP357^SIGN(AP357),1)</f>
        <v>1584</v>
      </c>
      <c r="AW357" s="91">
        <f t="shared" ref="AW357:AW362" si="3933">SUM(AT357:AV357)</f>
        <v>7424</v>
      </c>
      <c r="AX357" s="116">
        <f t="shared" ref="AX357:AX362" si="3934">AQ357*AT357/AW357</f>
        <v>3.8218390804597702</v>
      </c>
      <c r="AY357" s="116">
        <f t="shared" ref="AY357:AY362" si="3935">AR357*AU357/AW357</f>
        <v>10.711206896551724</v>
      </c>
      <c r="AZ357" s="116">
        <f t="shared" ref="AZ357:AZ362" si="3936">AS357*AV357/AW357</f>
        <v>7.4676724137931032</v>
      </c>
      <c r="BA357" s="158">
        <f t="shared" ref="BA357:BA362" si="3937">SUM(AX357:AZ357)</f>
        <v>22.000718390804597</v>
      </c>
      <c r="BB357" s="165">
        <f t="shared" ref="BB357:BB395" si="3938">Y357</f>
        <v>0</v>
      </c>
      <c r="BC357" s="198">
        <f t="shared" ref="BC357:BC362" si="3939">BA357-BB357</f>
        <v>22.000718390804597</v>
      </c>
      <c r="BD357" s="158">
        <f t="shared" ref="BD357:BE361" si="3940">IF(BA357&lt;=0,2,0)+IF(BA357&gt;0,BA357+1,0)*2+IF(BA357&gt;12,BA357-12,0)*2+IF(BA357&gt;13,BA357-13,0)*2+IF(BA357&gt;14,BA357-14,0)*2+IF(BA357&gt;15,BA357-15,0)*2+IF(BA357&gt;16,BA357-16,0)*2+IF(BA357&gt;17,BA357-17,0)*2+IF(BA357&gt;18,BA357-18,0)*2+IF(BA357&gt;19,BA357-19,0)*2+IF(BA357&gt;20,BA357-20,0)*2</f>
        <v>154.01436781609189</v>
      </c>
      <c r="BE357" s="91">
        <f t="shared" si="3940"/>
        <v>2</v>
      </c>
      <c r="BF357" s="241">
        <f t="shared" ref="BF357:BF362" si="3941">IF((BD357-BE357)&gt;0,BD357-BE357,0)</f>
        <v>152.01436781609189</v>
      </c>
      <c r="BG357" s="42">
        <f t="shared" ref="BG357:BG362" si="3942">IF((BE357-BD357)&gt;0,BE357-BD357,0)</f>
        <v>0</v>
      </c>
      <c r="BI357" s="302" t="s">
        <v>314</v>
      </c>
      <c r="BJ357" s="43" t="s">
        <v>86</v>
      </c>
      <c r="BK357" s="42" t="s">
        <v>132</v>
      </c>
      <c r="BL357" s="233">
        <f>Konvention_1slave-MUslave</f>
        <v>12</v>
      </c>
      <c r="BM357" s="233"/>
      <c r="BN357" s="233">
        <f>Konvention_1slave-INslave</f>
        <v>12</v>
      </c>
      <c r="BO357" s="233">
        <f t="shared" ref="BO357:BO362" si="3943">Konvention_1slave-CHslave</f>
        <v>12</v>
      </c>
      <c r="BP357" s="233"/>
      <c r="BQ357" s="233"/>
      <c r="BR357" s="233"/>
      <c r="BS357" s="233"/>
      <c r="BT357" s="219">
        <f t="shared" ref="BT357:BT362" si="3944">(BL357+BM357+BN357+BO357+BP357+BQ357+BR357+BS357)/3</f>
        <v>12</v>
      </c>
      <c r="BU357" s="220">
        <f t="shared" ref="BU357:BU362" si="3945">2*BT357</f>
        <v>24</v>
      </c>
      <c r="BV357" s="221">
        <f t="shared" ref="BV357:BV362" si="3946">3*BT357</f>
        <v>36</v>
      </c>
      <c r="BW357" s="233">
        <f t="shared" ref="BW357:BW365" si="3947">BL357*POWER(KLslave_KL,SIGN(BM357))*POWER(INslave,SIGN(BN357))*POWER(CHslave,SIGN(BO357))*POWER(FFslave,SIGN(BP357))*POWER(GEslave,SIGN(BQ357))*POWER(KOslave,SIGN(BR357))*POWER(KKslave,SIGN(BS357))+BM357*POWER(MUslave,SIGN(BL357))*POWER(INslave,SIGN(BN357))*POWER(CHslave,SIGN(BO357))*POWER(FFslave,SIGN(BP357))*POWER(GEslave,SIGN(BQ357))*POWER(KOslave,SIGN(BR357))*POWER(KKslave,SIGN(BS357))+BN357*POWER(MUslave,SIGN(BL357))*POWER(KLslave_KL,SIGN(BM357))*POWER(CHslave,SIGN(BO357))*POWER(FFslave,SIGN(BP357))*POWER(GEslave,SIGN(BQ357))*POWER(KOslave,SIGN(BR357))*POWER(KKslave,SIGN(BS357))+BO357*POWER(MUslave,SIGN(BL357))*POWER(KLslave_KL,SIGN(BM357))*POWER(INslave,SIGN(BN357))*POWER(FFslave,SIGN(BP357))*POWER(GEslave,SIGN(BQ357))*POWER(KOslave,SIGN(BR357))*POWER(KKslave,SIGN(BS357))+BP357*POWER(MUslave,SIGN(BL357))*POWER(KLslave_KL,SIGN(BM357))*POWER(INslave,SIGN(BN357))*POWER(CHslave,SIGN(BO357))*POWER(GEslave,SIGN(BQ357))*POWER(KOslave,SIGN(BR357))*POWER(KKslave,SIGN(BS357))+BQ357*POWER(MUslave,SIGN(BL357))*POWER(KLslave_KL,SIGN(BM357))*POWER(INslave,SIGN(BN357))*POWER(CHslave,SIGN(BO357))*POWER(FFslave,SIGN(BP357))*POWER(KOslave,SIGN(BR357))*POWER(KKslave,SIGN(BS357))+BR357*POWER(MUslave,SIGN(BL357))*POWER(KLslave_KL,SIGN(BM357))*POWER(INslave,SIGN(BN357))*POWER(CHslave,SIGN(BO357))*POWER(FFslave,SIGN(BP357))*POWER(GEslave,SIGN(BQ357))*POWER(KKslave,SIGN(BS357))+BS357*POWER(MUslave,SIGN(BL357))*POWER(KLslave_KL,SIGN(BM357))*POWER(INslave,SIGN(BN357))*POWER(CHslave,SIGN(BO357))*POWER(FFslave,SIGN(BP357))*POWER(GEslave,SIGN(BQ357))*POWER(KOslave,SIGN(BR357))</f>
        <v>2304</v>
      </c>
      <c r="BX357" s="233">
        <f>BL357*BN357*CHslave+BL357*INslave*BO357+MUslave*BN357*BO357</f>
        <v>3456</v>
      </c>
      <c r="BY357" s="233">
        <f t="shared" ref="BY357:BY362" si="3948">IFERROR(BL357^SIGN(BL357),1)*IFERROR(BM357^SIGN(BM357),1)*IFERROR(BN357^SIGN(BN357),1)*IFERROR(BO357^SIGN(BO357),1)*IFERROR(BP357^SIGN(BP357),1)*IFERROR(BQ357^SIGN(BQ357),1)*IFERROR(BR357^SIGN(BR357),1)*IFERROR(BS357^SIGN(BS357),1)</f>
        <v>1728</v>
      </c>
      <c r="BZ357" s="78">
        <f t="shared" ref="BZ357:BZ362" si="3949">SUM(BW357:BY357)</f>
        <v>7488</v>
      </c>
      <c r="CA357" s="220">
        <f t="shared" ref="CA357:CA362" si="3950">BT357*BW357/BZ357</f>
        <v>3.6923076923076925</v>
      </c>
      <c r="CB357" s="220">
        <f t="shared" ref="CB357:CB362" si="3951">BU357*BX357/BZ357</f>
        <v>11.076923076923077</v>
      </c>
      <c r="CC357" s="220">
        <f t="shared" ref="CC357:CC362" si="3952">BV357*BY357/BZ357</f>
        <v>8.3076923076923084</v>
      </c>
      <c r="CD357" s="42">
        <f t="shared" ref="CD357:CD362" si="3953">SUM(CA357:CC357)</f>
        <v>23.07692307692308</v>
      </c>
      <c r="CE357" s="252">
        <f t="shared" ref="CE357:CE395" si="3954">BB357</f>
        <v>0</v>
      </c>
      <c r="CF357" s="309">
        <f t="shared" ref="CF357:CF362" si="3955">CD357-CE357</f>
        <v>23.07692307692308</v>
      </c>
      <c r="CG357" s="42">
        <f t="shared" ref="CG357:CH361" si="3956">IF(CD357&lt;=0,2,0)+IF(CD357&gt;0,CD357+1,0)*2+IF(CD357&gt;12,CD357-12,0)*2+IF(CD357&gt;13,CD357-13,0)*2+IF(CD357&gt;14,CD357-14,0)*2+IF(CD357&gt;15,CD357-15,0)*2+IF(CD357&gt;16,CD357-16,0)*2+IF(CD357&gt;17,CD357-17,0)*2+IF(CD357&gt;18,CD357-18,0)*2+IF(CD357&gt;19,CD357-19,0)*2+IF(CD357&gt;20,CD357-20,0)*2</f>
        <v>175.5384615384616</v>
      </c>
      <c r="CH357" s="78">
        <f t="shared" si="3956"/>
        <v>2</v>
      </c>
      <c r="CI357" s="241">
        <f t="shared" ref="CI357:CI362" si="3957">IF((CG357-CH357)&gt;0,CG357-CH357,0)</f>
        <v>173.5384615384616</v>
      </c>
      <c r="CJ357" s="42">
        <f t="shared" ref="CJ357:CJ362" si="3958">IF((CH357-CG357)&gt;0,CH357-CG357,0)</f>
        <v>0</v>
      </c>
      <c r="CL357" s="302" t="s">
        <v>314</v>
      </c>
      <c r="CM357" s="43" t="s">
        <v>86</v>
      </c>
      <c r="CN357" s="42" t="s">
        <v>132</v>
      </c>
      <c r="CO357" s="233">
        <f>Konvention_1slave-MUslave</f>
        <v>12</v>
      </c>
      <c r="CP357" s="233"/>
      <c r="CQ357" s="233">
        <f>Konvention_1slave-INslave_IN</f>
        <v>11</v>
      </c>
      <c r="CR357" s="233">
        <f t="shared" ref="CR357:CR362" si="3959">Konvention_1slave-CHslave</f>
        <v>12</v>
      </c>
      <c r="CS357" s="233"/>
      <c r="CT357" s="233"/>
      <c r="CU357" s="233"/>
      <c r="CV357" s="233"/>
      <c r="CW357" s="219">
        <f t="shared" ref="CW357:CW362" si="3960">(CO357+CP357+CQ357+CR357+CS357+CT357+CU357+CV357)/3</f>
        <v>11.666666666666666</v>
      </c>
      <c r="CX357" s="220">
        <f t="shared" ref="CX357:CX362" si="3961">2*CW357</f>
        <v>23.333333333333332</v>
      </c>
      <c r="CY357" s="221">
        <f t="shared" ref="CY357:CY362" si="3962">3*CW357</f>
        <v>35</v>
      </c>
      <c r="CZ357" s="233">
        <f t="shared" ref="CZ357:CZ365" si="3963">CO357*POWER(KLslave,SIGN(CP357))*POWER(INslave_IN,SIGN(CQ357))*POWER(CHslave,SIGN(CR357))*POWER(FFslave,SIGN(CS357))*POWER(GEslave,SIGN(CT357))*POWER(KOslave,SIGN(CU357))*POWER(KKslave,SIGN(CV357))+CP357*POWER(MUslave,SIGN(CO357))*POWER(INslave_IN,SIGN(CQ357))*POWER(CHslave,SIGN(CR357))*POWER(FFslave,SIGN(CS357))*POWER(GEslave,SIGN(CT357))*POWER(KOslave,SIGN(CU357))*POWER(KKslave,SIGN(CV357))+CQ357*POWER(MUslave,SIGN(CO357))*POWER(KLslave,SIGN(CP357))*POWER(CHslave,SIGN(CR357))*POWER(FFslave,SIGN(CS357))*POWER(GEslave,SIGN(CT357))*POWER(KOslave,SIGN(CU357))*POWER(KKslave,SIGN(CV357))+CR357*POWER(MUslave,SIGN(CO357))*POWER(KLslave,SIGN(CP357))*POWER(INslave_IN,SIGN(CQ357))*POWER(FFslave,SIGN(CS357))*POWER(GEslave,SIGN(CT357))*POWER(KOslave,SIGN(CU357))*POWER(KKslave,SIGN(CV357))+CS357*POWER(MUslave,SIGN(CO357))*POWER(KLslave,SIGN(CP357))*POWER(INslave_IN,SIGN(CQ357))*POWER(CHslave,SIGN(CR357))*POWER(GEslave,SIGN(CT357))*POWER(KOslave,SIGN(CU357))*POWER(KKslave,SIGN(CV357))+CT357*POWER(MUslave,SIGN(CO357))*POWER(KLslave,SIGN(CP357))*POWER(INslave_IN,SIGN(CQ357))*POWER(CHslave,SIGN(CR357))*POWER(FFslave,SIGN(CS357))*POWER(KOslave,SIGN(CU357))*POWER(KKslave,SIGN(CV357))+CU357*POWER(MUslave,SIGN(CO357))*POWER(KLslave,SIGN(CP357))*POWER(INslave_IN,SIGN(CQ357))*POWER(CHslave,SIGN(CR357))*POWER(FFslave,SIGN(CS357))*POWER(GEslave,SIGN(CT357))*POWER(KKslave,SIGN(CV357))+CV357*POWER(MUslave,SIGN(CO357))*POWER(KLslave,SIGN(CP357))*POWER(INslave_IN,SIGN(CQ357))*POWER(CHslave,SIGN(CR357))*POWER(FFslave,SIGN(CS357))*POWER(GEslave,SIGN(CT357))*POWER(KOslave,SIGN(CU357))</f>
        <v>2432</v>
      </c>
      <c r="DA357" s="233">
        <f>CO357*CQ357*CHslave+CO357*INslave_IN*CR357+MUslave*CQ357*CR357</f>
        <v>3408</v>
      </c>
      <c r="DB357" s="233">
        <f t="shared" ref="DB357:DB362" si="3964">IFERROR(CO357^SIGN(CO357),1)*IFERROR(CP357^SIGN(CP357),1)*IFERROR(CQ357^SIGN(CQ357),1)*IFERROR(CR357^SIGN(CR357),1)*IFERROR(CS357^SIGN(CS357),1)*IFERROR(CT357^SIGN(CT357),1)*IFERROR(CU357^SIGN(CU357),1)*IFERROR(CV357^SIGN(CV357),1)</f>
        <v>1584</v>
      </c>
      <c r="DC357" s="78">
        <f t="shared" ref="DC357:DC362" si="3965">SUM(CZ357:DB357)</f>
        <v>7424</v>
      </c>
      <c r="DD357" s="220">
        <f t="shared" ref="DD357:DD362" si="3966">CW357*CZ357/DC357</f>
        <v>3.8218390804597702</v>
      </c>
      <c r="DE357" s="220">
        <f t="shared" ref="DE357:DE362" si="3967">CX357*DA357/DC357</f>
        <v>10.711206896551724</v>
      </c>
      <c r="DF357" s="220">
        <f t="shared" ref="DF357:DF362" si="3968">CY357*DB357/DC357</f>
        <v>7.4676724137931032</v>
      </c>
      <c r="DG357" s="42">
        <f t="shared" ref="DG357:DG362" si="3969">SUM(DD357:DF357)</f>
        <v>22.000718390804597</v>
      </c>
      <c r="DH357" s="252">
        <f t="shared" ref="DH357:DH395" si="3970">CE357</f>
        <v>0</v>
      </c>
      <c r="DI357" s="309">
        <f t="shared" ref="DI357:DI362" si="3971">DG357-DH357</f>
        <v>22.000718390804597</v>
      </c>
      <c r="DJ357" s="42">
        <f t="shared" ref="DJ357:DK361" si="3972">IF(DG357&lt;=0,2,0)+IF(DG357&gt;0,DG357+1,0)*2+IF(DG357&gt;12,DG357-12,0)*2+IF(DG357&gt;13,DG357-13,0)*2+IF(DG357&gt;14,DG357-14,0)*2+IF(DG357&gt;15,DG357-15,0)*2+IF(DG357&gt;16,DG357-16,0)*2+IF(DG357&gt;17,DG357-17,0)*2+IF(DG357&gt;18,DG357-18,0)*2+IF(DG357&gt;19,DG357-19,0)*2+IF(DG357&gt;20,DG357-20,0)*2</f>
        <v>154.01436781609189</v>
      </c>
      <c r="DK357" s="78">
        <f t="shared" si="3972"/>
        <v>2</v>
      </c>
      <c r="DL357" s="241">
        <f t="shared" ref="DL357:DL362" si="3973">IF((DJ357-DK357)&gt;0,DJ357-DK357,0)</f>
        <v>152.01436781609189</v>
      </c>
      <c r="DM357" s="42">
        <f t="shared" ref="DM357:DM362" si="3974">IF((DK357-DJ357)&gt;0,DK357-DJ357,0)</f>
        <v>0</v>
      </c>
      <c r="DO357" s="302" t="s">
        <v>314</v>
      </c>
      <c r="DP357" s="43" t="s">
        <v>86</v>
      </c>
      <c r="DQ357" s="42" t="s">
        <v>132</v>
      </c>
      <c r="DR357" s="233">
        <f>Konvention_1slave-MUslave</f>
        <v>12</v>
      </c>
      <c r="DS357" s="233"/>
      <c r="DT357" s="233">
        <f>Konvention_1slave-INslave</f>
        <v>12</v>
      </c>
      <c r="DU357" s="233">
        <f t="shared" ref="DU357:DU362" si="3975">Konvention_1slave-CHslave_CH</f>
        <v>11</v>
      </c>
      <c r="DV357" s="233"/>
      <c r="DW357" s="233"/>
      <c r="DX357" s="233"/>
      <c r="DY357" s="233"/>
      <c r="DZ357" s="219">
        <f t="shared" ref="DZ357:DZ362" si="3976">(DR357+DS357+DT357+DU357+DV357+DW357+DX357+DY357)/3</f>
        <v>11.666666666666666</v>
      </c>
      <c r="EA357" s="220">
        <f t="shared" ref="EA357:EA362" si="3977">2*DZ357</f>
        <v>23.333333333333332</v>
      </c>
      <c r="EB357" s="221">
        <f t="shared" ref="EB357:EB362" si="3978">3*DZ357</f>
        <v>35</v>
      </c>
      <c r="EC357" s="233">
        <f t="shared" ref="EC357:EC365" si="3979">DR357*POWER(KLslave,SIGN(DS357))*POWER(INslave,SIGN(DT357))*POWER(CHslave_CH,SIGN(DU357))*POWER(FFslave,SIGN(DV357))*POWER(GEslave,SIGN(DW357))*POWER(KOslave,SIGN(DX357))*POWER(KKslave,SIGN(DY357))+DS357*POWER(MUslave,SIGN(DR357))*POWER(INslave,SIGN(DT357))*POWER(CHslave_CH,SIGN(DU357))*POWER(FFslave,SIGN(DV357))*POWER(GEslave,SIGN(DW357))*POWER(KOslave,SIGN(DX357))*POWER(KKslave,SIGN(DY357))+DT357*POWER(MUslave,SIGN(DR357))*POWER(KLslave,SIGN(DS357))*POWER(CHslave_CH,SIGN(DU357))*POWER(FFslave,SIGN(DV357))*POWER(GEslave,SIGN(DW357))*POWER(KOslave,SIGN(DX357))*POWER(KKslave,SIGN(DY357))+DU357*POWER(MUslave,SIGN(DR357))*POWER(KLslave,SIGN(DS357))*POWER(INslave,SIGN(DT357))*POWER(FFslave,SIGN(DV357))*POWER(GEslave,SIGN(DW357))*POWER(KOslave,SIGN(DX357))*POWER(KKslave,SIGN(DY357))+DV357*POWER(MUslave,SIGN(DR357))*POWER(KLslave,SIGN(DS357))*POWER(INslave,SIGN(DT357))*POWER(CHslave_CH,SIGN(DU357))*POWER(GEslave,SIGN(DW357))*POWER(KOslave,SIGN(DX357))*POWER(KKslave,SIGN(DY357))+DW357*POWER(MUslave,SIGN(DR357))*POWER(KLslave,SIGN(DS357))*POWER(INslave,SIGN(DT357))*POWER(CHslave_CH,SIGN(DU357))*POWER(FFslave,SIGN(DV357))*POWER(KOslave,SIGN(DX357))*POWER(KKslave,SIGN(DY357))+DX357*POWER(MUslave,SIGN(DR357))*POWER(KLslave,SIGN(DS357))*POWER(INslave,SIGN(DT357))*POWER(CHslave_CH,SIGN(DU357))*POWER(FFslave,SIGN(DV357))*POWER(GEslave,SIGN(DW357))*POWER(KKslave,SIGN(DY357))+DY357*POWER(MUslave,SIGN(DR357))*POWER(KLslave,SIGN(DS357))*POWER(INslave,SIGN(DT357))*POWER(CHslave_CH,SIGN(DU357))*POWER(FFslave,SIGN(DV357))*POWER(GEslave,SIGN(DW357))*POWER(KOslave,SIGN(DX357))</f>
        <v>2432</v>
      </c>
      <c r="ED357" s="233">
        <f>DR357*DT357*CHslave_CH+DR357*INslave*DU357+MUslave*DT357*DU357</f>
        <v>3408</v>
      </c>
      <c r="EE357" s="233">
        <f t="shared" ref="EE357:EE362" si="3980">IFERROR(DR357^SIGN(DR357),1)*IFERROR(DS357^SIGN(DS357),1)*IFERROR(DT357^SIGN(DT357),1)*IFERROR(DU357^SIGN(DU357),1)*IFERROR(DV357^SIGN(DV357),1)*IFERROR(DW357^SIGN(DW357),1)*IFERROR(DX357^SIGN(DX357),1)*IFERROR(DY357^SIGN(DY357),1)</f>
        <v>1584</v>
      </c>
      <c r="EF357" s="78">
        <f t="shared" ref="EF357:EF362" si="3981">SUM(EC357:EE357)</f>
        <v>7424</v>
      </c>
      <c r="EG357" s="220">
        <f t="shared" ref="EG357:EG362" si="3982">DZ357*EC357/EF357</f>
        <v>3.8218390804597702</v>
      </c>
      <c r="EH357" s="220">
        <f t="shared" ref="EH357:EH362" si="3983">EA357*ED357/EF357</f>
        <v>10.711206896551724</v>
      </c>
      <c r="EI357" s="220">
        <f t="shared" ref="EI357:EI362" si="3984">EB357*EE357/EF357</f>
        <v>7.4676724137931032</v>
      </c>
      <c r="EJ357" s="42">
        <f t="shared" ref="EJ357:EJ362" si="3985">SUM(EG357:EI357)</f>
        <v>22.000718390804597</v>
      </c>
      <c r="EK357" s="252">
        <f t="shared" ref="EK357:EK395" si="3986">DH357</f>
        <v>0</v>
      </c>
      <c r="EL357" s="309">
        <f t="shared" ref="EL357:EL362" si="3987">EJ357-EK357</f>
        <v>22.000718390804597</v>
      </c>
      <c r="EM357" s="42">
        <f t="shared" ref="EM357:EN361" si="3988">IF(EJ357&lt;=0,2,0)+IF(EJ357&gt;0,EJ357+1,0)*2+IF(EJ357&gt;12,EJ357-12,0)*2+IF(EJ357&gt;13,EJ357-13,0)*2+IF(EJ357&gt;14,EJ357-14,0)*2+IF(EJ357&gt;15,EJ357-15,0)*2+IF(EJ357&gt;16,EJ357-16,0)*2+IF(EJ357&gt;17,EJ357-17,0)*2+IF(EJ357&gt;18,EJ357-18,0)*2+IF(EJ357&gt;19,EJ357-19,0)*2+IF(EJ357&gt;20,EJ357-20,0)*2</f>
        <v>154.01436781609189</v>
      </c>
      <c r="EN357" s="78">
        <f t="shared" si="3988"/>
        <v>2</v>
      </c>
      <c r="EO357" s="241">
        <f t="shared" ref="EO357:EO362" si="3989">IF((EM357-EN357)&gt;0,EM357-EN357,0)</f>
        <v>152.01436781609189</v>
      </c>
      <c r="EP357" s="42">
        <f t="shared" ref="EP357:EP362" si="3990">IF((EN357-EM357)&gt;0,EN357-EM357,0)</f>
        <v>0</v>
      </c>
      <c r="ER357" s="302" t="s">
        <v>314</v>
      </c>
      <c r="ES357" s="43" t="s">
        <v>86</v>
      </c>
      <c r="ET357" s="42" t="s">
        <v>132</v>
      </c>
      <c r="EU357" s="233">
        <f>Konvention_1slave-MUslave</f>
        <v>12</v>
      </c>
      <c r="EV357" s="233"/>
      <c r="EW357" s="233">
        <f>Konvention_1slave-INslave</f>
        <v>12</v>
      </c>
      <c r="EX357" s="233">
        <f t="shared" ref="EX357:EX362" si="3991">Konvention_1slave-CHslave</f>
        <v>12</v>
      </c>
      <c r="EY357" s="233"/>
      <c r="EZ357" s="233"/>
      <c r="FA357" s="233"/>
      <c r="FB357" s="233"/>
      <c r="FC357" s="219">
        <f t="shared" ref="FC357:FC362" si="3992">(EU357+EV357+EW357+EX357+EY357+EZ357+FA357+FB357)/3</f>
        <v>12</v>
      </c>
      <c r="FD357" s="220">
        <f t="shared" ref="FD357:FD362" si="3993">2*FC357</f>
        <v>24</v>
      </c>
      <c r="FE357" s="221">
        <f t="shared" ref="FE357:FE362" si="3994">3*FC357</f>
        <v>36</v>
      </c>
      <c r="FF357" s="233">
        <f t="shared" ref="FF357:FF365" si="3995">EU357*POWER(KLslave,SIGN(EV357))*POWER(INslave,SIGN(EW357))*POWER(CHslave,SIGN(EX357))*POWER(FFslave_FF,SIGN(EY357))*POWER(GEslave,SIGN(EZ357))*POWER(KOslave,SIGN(FA357))*POWER(KKslave,SIGN(FB357))+EV357*POWER(MUslave,SIGN(EU357))*POWER(INslave,SIGN(EW357))*POWER(CHslave,SIGN(EX357))*POWER(FFslave_FF,SIGN(EY357))*POWER(GEslave,SIGN(EZ357))*POWER(KOslave,SIGN(FA357))*POWER(KKslave,SIGN(FB357))+EW357*POWER(MUslave,SIGN(EU357))*POWER(KLslave,SIGN(EV357))*POWER(CHslave,SIGN(EX357))*POWER(FFslave_FF,SIGN(EY357))*POWER(GEslave,SIGN(EZ357))*POWER(KOslave,SIGN(FA357))*POWER(KKslave,SIGN(FB357))+EX357*POWER(MUslave,SIGN(EU357))*POWER(KLslave,SIGN(EV357))*POWER(INslave,SIGN(EW357))*POWER(FFslave_FF,SIGN(EY357))*POWER(GEslave,SIGN(EZ357))*POWER(KOslave,SIGN(FA357))*POWER(KKslave,SIGN(FB357))+EY357*POWER(MUslave,SIGN(EU357))*POWER(KLslave,SIGN(EV357))*POWER(INslave,SIGN(EW357))*POWER(CHslave,SIGN(EX357))*POWER(GEslave,SIGN(EZ357))*POWER(KOslave,SIGN(FA357))*POWER(KKslave,SIGN(FB357))+EZ357*POWER(MUslave,SIGN(EU357))*POWER(KLslave,SIGN(EV357))*POWER(INslave,SIGN(EW357))*POWER(CHslave,SIGN(EX357))*POWER(FFslave_FF,SIGN(EY357))*POWER(KOslave,SIGN(FA357))*POWER(KKslave,SIGN(FB357))+FA357*POWER(MUslave,SIGN(EU357))*POWER(KLslave,SIGN(EV357))*POWER(INslave,SIGN(EW357))*POWER(CHslave,SIGN(EX357))*POWER(FFslave_FF,SIGN(EY357))*POWER(GEslave,SIGN(EZ357))*POWER(KKslave,SIGN(FB357))+FB357*POWER(MUslave,SIGN(EU357))*POWER(KLslave,SIGN(EV357))*POWER(INslave,SIGN(EW357))*POWER(CHslave,SIGN(EX357))*POWER(FFslave_FF,SIGN(EY357))*POWER(GEslave,SIGN(EZ357))*POWER(KOslave,SIGN(FA357))</f>
        <v>2304</v>
      </c>
      <c r="FG357" s="233">
        <f>EU357*EW357*CHslave+EU357*INslave*EX357+MUslave*EW357*EX357</f>
        <v>3456</v>
      </c>
      <c r="FH357" s="233">
        <f t="shared" ref="FH357:FH362" si="3996">IFERROR(EU357^SIGN(EU357),1)*IFERROR(EV357^SIGN(EV357),1)*IFERROR(EW357^SIGN(EW357),1)*IFERROR(EX357^SIGN(EX357),1)*IFERROR(EY357^SIGN(EY357),1)*IFERROR(EZ357^SIGN(EZ357),1)*IFERROR(FA357^SIGN(FA357),1)*IFERROR(FB357^SIGN(FB357),1)</f>
        <v>1728</v>
      </c>
      <c r="FI357" s="78">
        <f t="shared" ref="FI357:FI362" si="3997">SUM(FF357:FH357)</f>
        <v>7488</v>
      </c>
      <c r="FJ357" s="220">
        <f t="shared" ref="FJ357:FJ362" si="3998">FC357*FF357/FI357</f>
        <v>3.6923076923076925</v>
      </c>
      <c r="FK357" s="220">
        <f t="shared" ref="FK357:FK362" si="3999">FD357*FG357/FI357</f>
        <v>11.076923076923077</v>
      </c>
      <c r="FL357" s="220">
        <f t="shared" ref="FL357:FL362" si="4000">FE357*FH357/FI357</f>
        <v>8.3076923076923084</v>
      </c>
      <c r="FM357" s="42">
        <f t="shared" ref="FM357:FM362" si="4001">SUM(FJ357:FL357)</f>
        <v>23.07692307692308</v>
      </c>
      <c r="FN357" s="252">
        <f t="shared" ref="FN357:FN395" si="4002">EK357</f>
        <v>0</v>
      </c>
      <c r="FO357" s="309">
        <f t="shared" ref="FO357:FO362" si="4003">FM357-FN357</f>
        <v>23.07692307692308</v>
      </c>
      <c r="FP357" s="42">
        <f t="shared" ref="FP357:FQ361" si="4004">IF(FM357&lt;=0,2,0)+IF(FM357&gt;0,FM357+1,0)*2+IF(FM357&gt;12,FM357-12,0)*2+IF(FM357&gt;13,FM357-13,0)*2+IF(FM357&gt;14,FM357-14,0)*2+IF(FM357&gt;15,FM357-15,0)*2+IF(FM357&gt;16,FM357-16,0)*2+IF(FM357&gt;17,FM357-17,0)*2+IF(FM357&gt;18,FM357-18,0)*2+IF(FM357&gt;19,FM357-19,0)*2+IF(FM357&gt;20,FM357-20,0)*2</f>
        <v>175.5384615384616</v>
      </c>
      <c r="FQ357" s="78">
        <f t="shared" si="4004"/>
        <v>2</v>
      </c>
      <c r="FR357" s="241">
        <f t="shared" ref="FR357:FR362" si="4005">IF((FP357-FQ357)&gt;0,FP357-FQ357,0)</f>
        <v>173.5384615384616</v>
      </c>
      <c r="FS357" s="42">
        <f t="shared" ref="FS357:FS362" si="4006">IF((FQ357-FP357)&gt;0,FQ357-FP357,0)</f>
        <v>0</v>
      </c>
      <c r="FU357" s="302" t="s">
        <v>314</v>
      </c>
      <c r="FV357" s="43" t="s">
        <v>86</v>
      </c>
      <c r="FW357" s="42" t="s">
        <v>132</v>
      </c>
      <c r="FX357" s="233">
        <f>Konvention_1slave-MUslave</f>
        <v>12</v>
      </c>
      <c r="FY357" s="233"/>
      <c r="FZ357" s="233">
        <f>Konvention_1slave-INslave</f>
        <v>12</v>
      </c>
      <c r="GA357" s="233">
        <f t="shared" ref="GA357:GA362" si="4007">Konvention_1slave-CHslave</f>
        <v>12</v>
      </c>
      <c r="GB357" s="233"/>
      <c r="GC357" s="233"/>
      <c r="GD357" s="233"/>
      <c r="GE357" s="233"/>
      <c r="GF357" s="219">
        <f t="shared" ref="GF357:GF362" si="4008">(FX357+FY357+FZ357+GA357+GB357+GC357+GD357+GE357)/3</f>
        <v>12</v>
      </c>
      <c r="GG357" s="220">
        <f t="shared" ref="GG357:GG362" si="4009">2*GF357</f>
        <v>24</v>
      </c>
      <c r="GH357" s="221">
        <f t="shared" ref="GH357:GH362" si="4010">3*GF357</f>
        <v>36</v>
      </c>
      <c r="GI357" s="233">
        <f t="shared" ref="GI357:GI365" si="4011">FX357*POWER(KLslave,SIGN(FY357))*POWER(INslave,SIGN(FZ357))*POWER(CHslave,SIGN(GA357))*POWER(FFslave,SIGN(GB357))*POWER(GEslave_GE,SIGN(GC357))*POWER(KOslave,SIGN(GD357))*POWER(KKslave,SIGN(GE357))+FY357*POWER(MUslave,SIGN(FX357))*POWER(INslave,SIGN(FZ357))*POWER(CHslave,SIGN(GA357))*POWER(FFslave,SIGN(GB357))*POWER(GEslave_GE,SIGN(GC357))*POWER(KOslave,SIGN(GD357))*POWER(KKslave,SIGN(GE357))+FZ357*POWER(MUslave,SIGN(FX357))*POWER(KLslave,SIGN(FY357))*POWER(CHslave,SIGN(GA357))*POWER(FFslave,SIGN(GB357))*POWER(GEslave_GE,SIGN(GC357))*POWER(KOslave,SIGN(GD357))*POWER(KKslave,SIGN(GE357))+GA357*POWER(MUslave,SIGN(FX357))*POWER(KLslave,SIGN(FY357))*POWER(INslave,SIGN(FZ357))*POWER(FFslave,SIGN(GB357))*POWER(GEslave_GE,SIGN(GC357))*POWER(KOslave,SIGN(GD357))*POWER(KKslave,SIGN(GE357))+GB357*POWER(MUslave,SIGN(FX357))*POWER(KLslave,SIGN(FY357))*POWER(INslave,SIGN(FZ357))*POWER(CHslave,SIGN(GA357))*POWER(GEslave_GE,SIGN(GC357))*POWER(KOslave,SIGN(GD357))*POWER(KKslave,SIGN(GE357))+GC357*POWER(MUslave,SIGN(FX357))*POWER(KLslave,SIGN(FY357))*POWER(INslave,SIGN(FZ357))*POWER(CHslave,SIGN(GA357))*POWER(FFslave,SIGN(GB357))*POWER(KOslave,SIGN(GD357))*POWER(KKslave,SIGN(GE357))+GD357*POWER(MUslave,SIGN(FX357))*POWER(KLslave,SIGN(FY357))*POWER(INslave,SIGN(FZ357))*POWER(CHslave,SIGN(GA357))*POWER(FFslave,SIGN(GB357))*POWER(GEslave_GE,SIGN(GC357))*POWER(KKslave,SIGN(GE357))+GE357*POWER(MUslave,SIGN(FX357))*POWER(KLslave,SIGN(FY357))*POWER(INslave,SIGN(FZ357))*POWER(CHslave,SIGN(GA357))*POWER(FFslave,SIGN(GB357))*POWER(GEslave_GE,SIGN(GC357))*POWER(KOslave,SIGN(GD357))</f>
        <v>2304</v>
      </c>
      <c r="GJ357" s="233">
        <f>FX357*FZ357*CHslave+FX357*INslave*GA357+MUslave*FZ357*GA357</f>
        <v>3456</v>
      </c>
      <c r="GK357" s="233">
        <f t="shared" ref="GK357:GK362" si="4012">IFERROR(FX357^SIGN(FX357),1)*IFERROR(FY357^SIGN(FY357),1)*IFERROR(FZ357^SIGN(FZ357),1)*IFERROR(GA357^SIGN(GA357),1)*IFERROR(GB357^SIGN(GB357),1)*IFERROR(GC357^SIGN(GC357),1)*IFERROR(GD357^SIGN(GD357),1)*IFERROR(GE357^SIGN(GE357),1)</f>
        <v>1728</v>
      </c>
      <c r="GL357" s="78">
        <f t="shared" ref="GL357:GL362" si="4013">SUM(GI357:GK357)</f>
        <v>7488</v>
      </c>
      <c r="GM357" s="220">
        <f t="shared" ref="GM357:GM362" si="4014">GF357*GI357/GL357</f>
        <v>3.6923076923076925</v>
      </c>
      <c r="GN357" s="220">
        <f t="shared" ref="GN357:GN362" si="4015">GG357*GJ357/GL357</f>
        <v>11.076923076923077</v>
      </c>
      <c r="GO357" s="220">
        <f t="shared" ref="GO357:GO362" si="4016">GH357*GK357/GL357</f>
        <v>8.3076923076923084</v>
      </c>
      <c r="GP357" s="42">
        <f t="shared" ref="GP357:GP362" si="4017">SUM(GM357:GO357)</f>
        <v>23.07692307692308</v>
      </c>
      <c r="GQ357" s="252">
        <f t="shared" ref="GQ357:GQ395" si="4018">FN357</f>
        <v>0</v>
      </c>
      <c r="GR357" s="309">
        <f t="shared" ref="GR357:GR362" si="4019">GP357-GQ357</f>
        <v>23.07692307692308</v>
      </c>
      <c r="GS357" s="42">
        <f t="shared" ref="GS357:GT361" si="4020">IF(GP357&lt;=0,2,0)+IF(GP357&gt;0,GP357+1,0)*2+IF(GP357&gt;12,GP357-12,0)*2+IF(GP357&gt;13,GP357-13,0)*2+IF(GP357&gt;14,GP357-14,0)*2+IF(GP357&gt;15,GP357-15,0)*2+IF(GP357&gt;16,GP357-16,0)*2+IF(GP357&gt;17,GP357-17,0)*2+IF(GP357&gt;18,GP357-18,0)*2+IF(GP357&gt;19,GP357-19,0)*2+IF(GP357&gt;20,GP357-20,0)*2</f>
        <v>175.5384615384616</v>
      </c>
      <c r="GT357" s="78">
        <f t="shared" si="4020"/>
        <v>2</v>
      </c>
      <c r="GU357" s="241">
        <f t="shared" ref="GU357:GU362" si="4021">IF((GS357-GT357)&gt;0,GS357-GT357,0)</f>
        <v>173.5384615384616</v>
      </c>
      <c r="GV357" s="42">
        <f t="shared" ref="GV357:GV362" si="4022">IF((GT357-GS357)&gt;0,GT357-GS357,0)</f>
        <v>0</v>
      </c>
      <c r="GX357" s="302" t="s">
        <v>314</v>
      </c>
      <c r="GY357" s="43" t="s">
        <v>86</v>
      </c>
      <c r="GZ357" s="42" t="s">
        <v>132</v>
      </c>
      <c r="HA357" s="233">
        <f>Konvention_1slave-MUslave</f>
        <v>12</v>
      </c>
      <c r="HB357" s="233"/>
      <c r="HC357" s="233">
        <f>Konvention_1slave-INslave</f>
        <v>12</v>
      </c>
      <c r="HD357" s="233">
        <f t="shared" ref="HD357:HD362" si="4023">Konvention_1slave-CHslave</f>
        <v>12</v>
      </c>
      <c r="HE357" s="233"/>
      <c r="HF357" s="233"/>
      <c r="HG357" s="233"/>
      <c r="HH357" s="233"/>
      <c r="HI357" s="219">
        <f t="shared" ref="HI357:HI362" si="4024">(HA357+HB357+HC357+HD357+HE357+HF357+HG357+HH357)/3</f>
        <v>12</v>
      </c>
      <c r="HJ357" s="220">
        <f t="shared" ref="HJ357:HJ362" si="4025">2*HI357</f>
        <v>24</v>
      </c>
      <c r="HK357" s="221">
        <f t="shared" ref="HK357:HK362" si="4026">3*HI357</f>
        <v>36</v>
      </c>
      <c r="HL357" s="233">
        <f t="shared" ref="HL357:HL365" si="4027">HA357*POWER(KLslave,SIGN(HB357))*POWER(INslave,SIGN(HC357))*POWER(CHslave,SIGN(HD357))*POWER(FFslave,SIGN(HE357))*POWER(GEslave,SIGN(HF357))*POWER(KOslave_KO,SIGN(HG357))*POWER(KKslave,SIGN(HH357))+HB357*POWER(MUslave,SIGN(HA357))*POWER(INslave,SIGN(HC357))*POWER(CHslave,SIGN(HD357))*POWER(FFslave,SIGN(HE357))*POWER(GEslave,SIGN(HF357))*POWER(KOslave_KO,SIGN(HG357))*POWER(KKslave,SIGN(HH357))+HC357*POWER(MUslave,SIGN(HA357))*POWER(KLslave,SIGN(HB357))*POWER(CHslave,SIGN(HD357))*POWER(FFslave,SIGN(HE357))*POWER(GEslave,SIGN(HF357))*POWER(KOslave_KO,SIGN(HG357))*POWER(KKslave,SIGN(HH357))+HD357*POWER(MUslave,SIGN(HA357))*POWER(KLslave,SIGN(HB357))*POWER(INslave,SIGN(HC357))*POWER(FFslave,SIGN(HE357))*POWER(GEslave,SIGN(HF357))*POWER(KOslave_KO,SIGN(HG357))*POWER(KKslave,SIGN(HH357))+HE357*POWER(MUslave,SIGN(HA357))*POWER(KLslave,SIGN(HB357))*POWER(INslave,SIGN(HC357))*POWER(CHslave,SIGN(HD357))*POWER(GEslave,SIGN(HF357))*POWER(KOslave_KO,SIGN(HG357))*POWER(KKslave,SIGN(HH357))+HF357*POWER(MUslave,SIGN(HA357))*POWER(KLslave,SIGN(HB357))*POWER(INslave,SIGN(HC357))*POWER(CHslave,SIGN(HD357))*POWER(FFslave,SIGN(HE357))*POWER(KOslave_KO,SIGN(HG357))*POWER(KKslave,SIGN(HH357))+HG357*POWER(MUslave,SIGN(HA357))*POWER(KLslave,SIGN(HB357))*POWER(INslave,SIGN(HC357))*POWER(CHslave,SIGN(HD357))*POWER(FFslave,SIGN(HE357))*POWER(GEslave,SIGN(HF357))*POWER(KKslave,SIGN(HH357))+HH357*POWER(MUslave,SIGN(HA357))*POWER(KLslave,SIGN(HB357))*POWER(INslave,SIGN(HC357))*POWER(CHslave,SIGN(HD357))*POWER(FFslave,SIGN(HE357))*POWER(GEslave,SIGN(HF357))*POWER(KOslave_KO,SIGN(HG357))</f>
        <v>2304</v>
      </c>
      <c r="HM357" s="233">
        <f>HA357*HC357*CHslave+HA357*INslave*HD357+MUslave*HC357*HD357</f>
        <v>3456</v>
      </c>
      <c r="HN357" s="233">
        <f t="shared" ref="HN357:HN362" si="4028">IFERROR(HA357^SIGN(HA357),1)*IFERROR(HB357^SIGN(HB357),1)*IFERROR(HC357^SIGN(HC357),1)*IFERROR(HD357^SIGN(HD357),1)*IFERROR(HE357^SIGN(HE357),1)*IFERROR(HF357^SIGN(HF357),1)*IFERROR(HG357^SIGN(HG357),1)*IFERROR(HH357^SIGN(HH357),1)</f>
        <v>1728</v>
      </c>
      <c r="HO357" s="78">
        <f t="shared" ref="HO357:HO362" si="4029">SUM(HL357:HN357)</f>
        <v>7488</v>
      </c>
      <c r="HP357" s="220">
        <f t="shared" ref="HP357:HP362" si="4030">HI357*HL357/HO357</f>
        <v>3.6923076923076925</v>
      </c>
      <c r="HQ357" s="220">
        <f t="shared" ref="HQ357:HQ362" si="4031">HJ357*HM357/HO357</f>
        <v>11.076923076923077</v>
      </c>
      <c r="HR357" s="220">
        <f t="shared" ref="HR357:HR362" si="4032">HK357*HN357/HO357</f>
        <v>8.3076923076923084</v>
      </c>
      <c r="HS357" s="42">
        <f t="shared" ref="HS357:HS362" si="4033">SUM(HP357:HR357)</f>
        <v>23.07692307692308</v>
      </c>
      <c r="HT357" s="252">
        <f t="shared" ref="HT357:HT395" si="4034">GQ357</f>
        <v>0</v>
      </c>
      <c r="HU357" s="309">
        <f t="shared" ref="HU357:HU362" si="4035">HS357-HT357</f>
        <v>23.07692307692308</v>
      </c>
      <c r="HV357" s="42">
        <f t="shared" ref="HV357:HW361" si="4036">IF(HS357&lt;=0,2,0)+IF(HS357&gt;0,HS357+1,0)*2+IF(HS357&gt;12,HS357-12,0)*2+IF(HS357&gt;13,HS357-13,0)*2+IF(HS357&gt;14,HS357-14,0)*2+IF(HS357&gt;15,HS357-15,0)*2+IF(HS357&gt;16,HS357-16,0)*2+IF(HS357&gt;17,HS357-17,0)*2+IF(HS357&gt;18,HS357-18,0)*2+IF(HS357&gt;19,HS357-19,0)*2+IF(HS357&gt;20,HS357-20,0)*2</f>
        <v>175.5384615384616</v>
      </c>
      <c r="HW357" s="78">
        <f t="shared" si="4036"/>
        <v>2</v>
      </c>
      <c r="HX357" s="241">
        <f t="shared" ref="HX357:HX362" si="4037">IF((HV357-HW357)&gt;0,HV357-HW357,0)</f>
        <v>173.5384615384616</v>
      </c>
      <c r="HY357" s="42">
        <f t="shared" ref="HY357:HY362" si="4038">IF((HW357-HV357)&gt;0,HW357-HV357,0)</f>
        <v>0</v>
      </c>
      <c r="IA357" s="302" t="s">
        <v>314</v>
      </c>
      <c r="IB357" s="43" t="s">
        <v>86</v>
      </c>
      <c r="IC357" s="42" t="s">
        <v>132</v>
      </c>
      <c r="ID357" s="233">
        <f>Konvention_1slave-MUslave</f>
        <v>12</v>
      </c>
      <c r="IE357" s="233"/>
      <c r="IF357" s="233">
        <f>Konvention_1slave-INslave</f>
        <v>12</v>
      </c>
      <c r="IG357" s="233">
        <f t="shared" ref="IG357:IG362" si="4039">Konvention_1slave-CHslave</f>
        <v>12</v>
      </c>
      <c r="IH357" s="233"/>
      <c r="II357" s="233"/>
      <c r="IJ357" s="233"/>
      <c r="IK357" s="233"/>
      <c r="IL357" s="219">
        <f t="shared" ref="IL357:IL362" si="4040">(ID357+IE357+IF357+IG357+IH357+II357+IJ357+IK357)/3</f>
        <v>12</v>
      </c>
      <c r="IM357" s="220">
        <f t="shared" ref="IM357:IM362" si="4041">2*IL357</f>
        <v>24</v>
      </c>
      <c r="IN357" s="221">
        <f t="shared" ref="IN357:IN362" si="4042">3*IL357</f>
        <v>36</v>
      </c>
      <c r="IO357" s="233">
        <f t="shared" ref="IO357:IO365" si="4043">ID357*POWER(KLslave,SIGN(IE357))*POWER(INslave,SIGN(IF357))*POWER(CHslave,SIGN(IG357))*POWER(FFslave,SIGN(IH357))*POWER(GEslave,SIGN(II357))*POWER(KOslave,SIGN(IJ357))*POWER(KKslave_KK,SIGN(IK357))+IE357*POWER(MUslave,SIGN(ID357))*POWER(INslave,SIGN(IF357))*POWER(CHslave,SIGN(IG357))*POWER(FFslave,SIGN(IH357))*POWER(GEslave,SIGN(II357))*POWER(KOslave,SIGN(IJ357))*POWER(KKslave_KK,SIGN(IK357))+IF357*POWER(MUslave,SIGN(ID357))*POWER(KLslave,SIGN(IE357))*POWER(CHslave,SIGN(IG357))*POWER(FFslave,SIGN(IH357))*POWER(GEslave,SIGN(II357))*POWER(KOslave,SIGN(IJ357))*POWER(KKslave_KK,SIGN(IK357))+IG357*POWER(MUslave,SIGN(ID357))*POWER(KLslave,SIGN(IE357))*POWER(INslave,SIGN(IF357))*POWER(FFslave,SIGN(IH357))*POWER(GEslave,SIGN(II357))*POWER(KOslave,SIGN(IJ357))*POWER(KKslave_KK,SIGN(IK357))+IH357*POWER(MUslave,SIGN(ID357))*POWER(KLslave,SIGN(IE357))*POWER(INslave,SIGN(IF357))*POWER(CHslave,SIGN(IG357))*POWER(GEslave,SIGN(II357))*POWER(KOslave,SIGN(IJ357))*POWER(KKslave_KK,SIGN(IK357))+II357*POWER(MUslave,SIGN(ID357))*POWER(KLslave,SIGN(IE357))*POWER(INslave,SIGN(IF357))*POWER(CHslave,SIGN(IG357))*POWER(FFslave,SIGN(IH357))*POWER(KOslave,SIGN(IJ357))*POWER(KKslave_KK,SIGN(IK357))+IJ357*POWER(MUslave,SIGN(ID357))*POWER(KLslave,SIGN(IE357))*POWER(INslave,SIGN(IF357))*POWER(CHslave,SIGN(IG357))*POWER(FFslave,SIGN(IH357))*POWER(GEslave,SIGN(II357))*POWER(KKslave_KK,SIGN(IK357))+IK357*POWER(MUslave,SIGN(ID357))*POWER(KLslave,SIGN(IE357))*POWER(INslave,SIGN(IF357))*POWER(CHslave,SIGN(IG357))*POWER(FFslave,SIGN(IH357))*POWER(GEslave,SIGN(II357))*POWER(KOslave,SIGN(IJ357))</f>
        <v>2304</v>
      </c>
      <c r="IP357" s="233">
        <f>ID357*IF357*CHslave+ID357*INslave*IG357+MUslave*IF357*IG357</f>
        <v>3456</v>
      </c>
      <c r="IQ357" s="233">
        <f t="shared" ref="IQ357:IQ362" si="4044">IFERROR(ID357^SIGN(ID357),1)*IFERROR(IE357^SIGN(IE357),1)*IFERROR(IF357^SIGN(IF357),1)*IFERROR(IG357^SIGN(IG357),1)*IFERROR(IH357^SIGN(IH357),1)*IFERROR(II357^SIGN(II357),1)*IFERROR(IJ357^SIGN(IJ357),1)*IFERROR(IK357^SIGN(IK357),1)</f>
        <v>1728</v>
      </c>
      <c r="IR357" s="78">
        <f t="shared" ref="IR357:IR362" si="4045">SUM(IO357:IQ357)</f>
        <v>7488</v>
      </c>
      <c r="IS357" s="220">
        <f t="shared" ref="IS357:IS362" si="4046">IL357*IO357/IR357</f>
        <v>3.6923076923076925</v>
      </c>
      <c r="IT357" s="220">
        <f t="shared" ref="IT357:IT362" si="4047">IM357*IP357/IR357</f>
        <v>11.076923076923077</v>
      </c>
      <c r="IU357" s="220">
        <f t="shared" ref="IU357:IU362" si="4048">IN357*IQ357/IR357</f>
        <v>8.3076923076923084</v>
      </c>
      <c r="IV357" s="42">
        <f t="shared" ref="IV357:IV362" si="4049">SUM(IS357:IU357)</f>
        <v>23.07692307692308</v>
      </c>
      <c r="IW357" s="252">
        <f t="shared" ref="IW357:IW395" si="4050">HT357</f>
        <v>0</v>
      </c>
      <c r="IX357" s="309">
        <f t="shared" ref="IX357:IX362" si="4051">IV357-IW357</f>
        <v>23.07692307692308</v>
      </c>
      <c r="IY357" s="42">
        <f t="shared" ref="IY357:IZ361" si="4052">IF(IV357&lt;=0,2,0)+IF(IV357&gt;0,IV357+1,0)*2+IF(IV357&gt;12,IV357-12,0)*2+IF(IV357&gt;13,IV357-13,0)*2+IF(IV357&gt;14,IV357-14,0)*2+IF(IV357&gt;15,IV357-15,0)*2+IF(IV357&gt;16,IV357-16,0)*2+IF(IV357&gt;17,IV357-17,0)*2+IF(IV357&gt;18,IV357-18,0)*2+IF(IV357&gt;19,IV357-19,0)*2+IF(IV357&gt;20,IV357-20,0)*2</f>
        <v>175.5384615384616</v>
      </c>
      <c r="IZ357" s="78">
        <f t="shared" si="4052"/>
        <v>2</v>
      </c>
      <c r="JA357" s="241">
        <f t="shared" ref="JA357:JA362" si="4053">IF((IY357-IZ357)&gt;0,IY357-IZ357,0)</f>
        <v>173.5384615384616</v>
      </c>
      <c r="JB357" s="42">
        <f t="shared" ref="JB357:JB362" si="4054">IF((IZ357-IY357)&gt;0,IZ357-IY357,0)</f>
        <v>0</v>
      </c>
      <c r="JE357" s="148"/>
    </row>
    <row r="358" spans="2:265" hidden="1" outlineLevel="2">
      <c r="B358" s="148">
        <v>2</v>
      </c>
      <c r="C358" s="303" t="e">
        <f>VLOOKUP(AF358,Attribute!C:T,1,FALSE)</f>
        <v>#N/A</v>
      </c>
      <c r="D358" s="86" t="s">
        <v>101</v>
      </c>
      <c r="E358" s="125" t="s">
        <v>132</v>
      </c>
      <c r="F358" s="113"/>
      <c r="G358" s="113"/>
      <c r="H358" s="113">
        <f>Konvention_1master-INmaster</f>
        <v>12</v>
      </c>
      <c r="I358" s="113">
        <f t="shared" si="3912"/>
        <v>12</v>
      </c>
      <c r="J358" s="113"/>
      <c r="K358" s="113"/>
      <c r="L358" s="113">
        <f>Konvention_1master-KOmaster</f>
        <v>12</v>
      </c>
      <c r="M358" s="113"/>
      <c r="N358" s="222">
        <f t="shared" si="3913"/>
        <v>12</v>
      </c>
      <c r="O358" s="223">
        <f t="shared" si="3914"/>
        <v>24</v>
      </c>
      <c r="P358" s="224">
        <f t="shared" si="3915"/>
        <v>36</v>
      </c>
      <c r="Q358" s="234">
        <f t="shared" si="3916"/>
        <v>2304</v>
      </c>
      <c r="R358" s="113">
        <f>H358*I358*KOmaster+H358*CHmaster*L358+INmaster*I358*L358</f>
        <v>3456</v>
      </c>
      <c r="S358" s="234">
        <f t="shared" si="3917"/>
        <v>1728</v>
      </c>
      <c r="T358" s="242">
        <f t="shared" si="3918"/>
        <v>7488</v>
      </c>
      <c r="U358" s="223">
        <f t="shared" si="3919"/>
        <v>3.6923076923076925</v>
      </c>
      <c r="V358" s="223">
        <f t="shared" si="3920"/>
        <v>11.076923076923077</v>
      </c>
      <c r="W358" s="223">
        <f t="shared" si="3921"/>
        <v>8.3076923076923084</v>
      </c>
      <c r="X358" s="218">
        <f t="shared" si="3922"/>
        <v>23.07692307692308</v>
      </c>
      <c r="Y358" s="252">
        <v>0</v>
      </c>
      <c r="Z358" s="198">
        <f t="shared" si="3923"/>
        <v>23.07692307692308</v>
      </c>
      <c r="AA358" s="125">
        <f t="shared" si="3924"/>
        <v>175.5384615384616</v>
      </c>
      <c r="AB358" s="160">
        <f t="shared" si="3924"/>
        <v>2</v>
      </c>
      <c r="AC358" s="127">
        <f t="shared" si="3925"/>
        <v>173.5384615384616</v>
      </c>
      <c r="AD358" s="125">
        <f t="shared" si="3926"/>
        <v>0</v>
      </c>
      <c r="AF358" s="163" t="s">
        <v>312</v>
      </c>
      <c r="AG358" s="86" t="s">
        <v>101</v>
      </c>
      <c r="AH358" s="125" t="s">
        <v>132</v>
      </c>
      <c r="AI358" s="113"/>
      <c r="AJ358" s="113"/>
      <c r="AK358" s="113">
        <f>Konvention_1slave-INslave</f>
        <v>12</v>
      </c>
      <c r="AL358" s="113">
        <f t="shared" si="3927"/>
        <v>12</v>
      </c>
      <c r="AM358" s="113"/>
      <c r="AN358" s="113"/>
      <c r="AO358" s="113">
        <f>Konvention_1slave-KOslave</f>
        <v>12</v>
      </c>
      <c r="AP358" s="113"/>
      <c r="AQ358" s="89">
        <f t="shared" si="3928"/>
        <v>12</v>
      </c>
      <c r="AR358" s="47">
        <f t="shared" si="3929"/>
        <v>24</v>
      </c>
      <c r="AS358" s="119">
        <f t="shared" si="3930"/>
        <v>36</v>
      </c>
      <c r="AT358" s="113">
        <f t="shared" si="3931"/>
        <v>2304</v>
      </c>
      <c r="AU358" s="113">
        <f>AK358*AL358*KOslave+AK358*CHslave*AO358+INslave*AL358*AO358</f>
        <v>3456</v>
      </c>
      <c r="AV358" s="113">
        <f t="shared" si="3932"/>
        <v>1728</v>
      </c>
      <c r="AW358" s="160">
        <f t="shared" si="3933"/>
        <v>7488</v>
      </c>
      <c r="AX358" s="47">
        <f t="shared" si="3934"/>
        <v>3.6923076923076925</v>
      </c>
      <c r="AY358" s="47">
        <f t="shared" si="3935"/>
        <v>11.076923076923077</v>
      </c>
      <c r="AZ358" s="47">
        <f t="shared" si="3936"/>
        <v>8.3076923076923084</v>
      </c>
      <c r="BA358" s="125">
        <f t="shared" si="3937"/>
        <v>23.07692307692308</v>
      </c>
      <c r="BB358" s="165">
        <f t="shared" si="3938"/>
        <v>0</v>
      </c>
      <c r="BC358" s="198">
        <f t="shared" si="3939"/>
        <v>23.07692307692308</v>
      </c>
      <c r="BD358" s="125">
        <f t="shared" si="3940"/>
        <v>175.5384615384616</v>
      </c>
      <c r="BE358" s="160">
        <f t="shared" si="3940"/>
        <v>2</v>
      </c>
      <c r="BF358" s="243">
        <f t="shared" si="3941"/>
        <v>173.5384615384616</v>
      </c>
      <c r="BG358" s="218">
        <f t="shared" si="3942"/>
        <v>0</v>
      </c>
      <c r="BI358" s="303" t="s">
        <v>312</v>
      </c>
      <c r="BJ358" s="304" t="s">
        <v>101</v>
      </c>
      <c r="BK358" s="218" t="s">
        <v>132</v>
      </c>
      <c r="BL358" s="234"/>
      <c r="BM358" s="234"/>
      <c r="BN358" s="234">
        <f>Konvention_1slave-INslave</f>
        <v>12</v>
      </c>
      <c r="BO358" s="234">
        <f t="shared" si="3943"/>
        <v>12</v>
      </c>
      <c r="BP358" s="234"/>
      <c r="BQ358" s="234"/>
      <c r="BR358" s="234">
        <f>Konvention_1slave-KOslave</f>
        <v>12</v>
      </c>
      <c r="BS358" s="234"/>
      <c r="BT358" s="222">
        <f t="shared" si="3944"/>
        <v>12</v>
      </c>
      <c r="BU358" s="223">
        <f t="shared" si="3945"/>
        <v>24</v>
      </c>
      <c r="BV358" s="224">
        <f t="shared" si="3946"/>
        <v>36</v>
      </c>
      <c r="BW358" s="234">
        <f t="shared" si="3947"/>
        <v>2304</v>
      </c>
      <c r="BX358" s="234">
        <f>BN358*BO358*KOslave+BN358*CHslave*BR358+INslave*BO358*BR358</f>
        <v>3456</v>
      </c>
      <c r="BY358" s="234">
        <f t="shared" si="3948"/>
        <v>1728</v>
      </c>
      <c r="BZ358" s="242">
        <f t="shared" si="3949"/>
        <v>7488</v>
      </c>
      <c r="CA358" s="223">
        <f t="shared" si="3950"/>
        <v>3.6923076923076925</v>
      </c>
      <c r="CB358" s="223">
        <f t="shared" si="3951"/>
        <v>11.076923076923077</v>
      </c>
      <c r="CC358" s="223">
        <f t="shared" si="3952"/>
        <v>8.3076923076923084</v>
      </c>
      <c r="CD358" s="218">
        <f t="shared" si="3953"/>
        <v>23.07692307692308</v>
      </c>
      <c r="CE358" s="252">
        <f t="shared" si="3954"/>
        <v>0</v>
      </c>
      <c r="CF358" s="309">
        <f t="shared" si="3955"/>
        <v>23.07692307692308</v>
      </c>
      <c r="CG358" s="218">
        <f t="shared" si="3956"/>
        <v>175.5384615384616</v>
      </c>
      <c r="CH358" s="242">
        <f t="shared" si="3956"/>
        <v>2</v>
      </c>
      <c r="CI358" s="243">
        <f t="shared" si="3957"/>
        <v>173.5384615384616</v>
      </c>
      <c r="CJ358" s="218">
        <f t="shared" si="3958"/>
        <v>0</v>
      </c>
      <c r="CL358" s="303" t="s">
        <v>312</v>
      </c>
      <c r="CM358" s="304" t="s">
        <v>101</v>
      </c>
      <c r="CN358" s="218" t="s">
        <v>132</v>
      </c>
      <c r="CO358" s="234"/>
      <c r="CP358" s="234"/>
      <c r="CQ358" s="234">
        <f>Konvention_1slave-INslave_IN</f>
        <v>11</v>
      </c>
      <c r="CR358" s="234">
        <f t="shared" si="3959"/>
        <v>12</v>
      </c>
      <c r="CS358" s="234"/>
      <c r="CT358" s="234"/>
      <c r="CU358" s="234">
        <f>Konvention_1slave-KOslave</f>
        <v>12</v>
      </c>
      <c r="CV358" s="234"/>
      <c r="CW358" s="222">
        <f t="shared" si="3960"/>
        <v>11.666666666666666</v>
      </c>
      <c r="CX358" s="223">
        <f t="shared" si="3961"/>
        <v>23.333333333333332</v>
      </c>
      <c r="CY358" s="224">
        <f t="shared" si="3962"/>
        <v>35</v>
      </c>
      <c r="CZ358" s="234">
        <f t="shared" si="3963"/>
        <v>2432</v>
      </c>
      <c r="DA358" s="234">
        <f>CQ358*CR358*KOslave+CQ358*CHslave*CU358+INslave_IN*CR358*CU358</f>
        <v>3408</v>
      </c>
      <c r="DB358" s="234">
        <f t="shared" si="3964"/>
        <v>1584</v>
      </c>
      <c r="DC358" s="242">
        <f t="shared" si="3965"/>
        <v>7424</v>
      </c>
      <c r="DD358" s="223">
        <f t="shared" si="3966"/>
        <v>3.8218390804597702</v>
      </c>
      <c r="DE358" s="223">
        <f t="shared" si="3967"/>
        <v>10.711206896551724</v>
      </c>
      <c r="DF358" s="223">
        <f t="shared" si="3968"/>
        <v>7.4676724137931032</v>
      </c>
      <c r="DG358" s="218">
        <f t="shared" si="3969"/>
        <v>22.000718390804597</v>
      </c>
      <c r="DH358" s="252">
        <f t="shared" si="3970"/>
        <v>0</v>
      </c>
      <c r="DI358" s="309">
        <f t="shared" si="3971"/>
        <v>22.000718390804597</v>
      </c>
      <c r="DJ358" s="218">
        <f t="shared" si="3972"/>
        <v>154.01436781609189</v>
      </c>
      <c r="DK358" s="242">
        <f t="shared" si="3972"/>
        <v>2</v>
      </c>
      <c r="DL358" s="243">
        <f t="shared" si="3973"/>
        <v>152.01436781609189</v>
      </c>
      <c r="DM358" s="218">
        <f t="shared" si="3974"/>
        <v>0</v>
      </c>
      <c r="DO358" s="303" t="s">
        <v>312</v>
      </c>
      <c r="DP358" s="304" t="s">
        <v>101</v>
      </c>
      <c r="DQ358" s="218" t="s">
        <v>132</v>
      </c>
      <c r="DR358" s="234"/>
      <c r="DS358" s="234"/>
      <c r="DT358" s="234">
        <f>Konvention_1slave-INslave</f>
        <v>12</v>
      </c>
      <c r="DU358" s="234">
        <f t="shared" si="3975"/>
        <v>11</v>
      </c>
      <c r="DV358" s="234"/>
      <c r="DW358" s="234"/>
      <c r="DX358" s="234">
        <f>Konvention_1slave-KOslave</f>
        <v>12</v>
      </c>
      <c r="DY358" s="234"/>
      <c r="DZ358" s="222">
        <f t="shared" si="3976"/>
        <v>11.666666666666666</v>
      </c>
      <c r="EA358" s="223">
        <f t="shared" si="3977"/>
        <v>23.333333333333332</v>
      </c>
      <c r="EB358" s="224">
        <f t="shared" si="3978"/>
        <v>35</v>
      </c>
      <c r="EC358" s="234">
        <f t="shared" si="3979"/>
        <v>2432</v>
      </c>
      <c r="ED358" s="234">
        <f>DT358*DU358*KOslave+DT358*CHslave_CH*DX358+INslave*DU358*DX358</f>
        <v>3408</v>
      </c>
      <c r="EE358" s="234">
        <f t="shared" si="3980"/>
        <v>1584</v>
      </c>
      <c r="EF358" s="242">
        <f t="shared" si="3981"/>
        <v>7424</v>
      </c>
      <c r="EG358" s="223">
        <f t="shared" si="3982"/>
        <v>3.8218390804597702</v>
      </c>
      <c r="EH358" s="223">
        <f t="shared" si="3983"/>
        <v>10.711206896551724</v>
      </c>
      <c r="EI358" s="223">
        <f t="shared" si="3984"/>
        <v>7.4676724137931032</v>
      </c>
      <c r="EJ358" s="218">
        <f t="shared" si="3985"/>
        <v>22.000718390804597</v>
      </c>
      <c r="EK358" s="252">
        <f t="shared" si="3986"/>
        <v>0</v>
      </c>
      <c r="EL358" s="309">
        <f t="shared" si="3987"/>
        <v>22.000718390804597</v>
      </c>
      <c r="EM358" s="218">
        <f t="shared" si="3988"/>
        <v>154.01436781609189</v>
      </c>
      <c r="EN358" s="242">
        <f t="shared" si="3988"/>
        <v>2</v>
      </c>
      <c r="EO358" s="243">
        <f t="shared" si="3989"/>
        <v>152.01436781609189</v>
      </c>
      <c r="EP358" s="218">
        <f t="shared" si="3990"/>
        <v>0</v>
      </c>
      <c r="ER358" s="303" t="s">
        <v>312</v>
      </c>
      <c r="ES358" s="304" t="s">
        <v>101</v>
      </c>
      <c r="ET358" s="218" t="s">
        <v>132</v>
      </c>
      <c r="EU358" s="234"/>
      <c r="EV358" s="234"/>
      <c r="EW358" s="234">
        <f>Konvention_1slave-INslave</f>
        <v>12</v>
      </c>
      <c r="EX358" s="234">
        <f t="shared" si="3991"/>
        <v>12</v>
      </c>
      <c r="EY358" s="234"/>
      <c r="EZ358" s="234"/>
      <c r="FA358" s="234">
        <f>Konvention_1slave-KOslave</f>
        <v>12</v>
      </c>
      <c r="FB358" s="234"/>
      <c r="FC358" s="222">
        <f t="shared" si="3992"/>
        <v>12</v>
      </c>
      <c r="FD358" s="223">
        <f t="shared" si="3993"/>
        <v>24</v>
      </c>
      <c r="FE358" s="224">
        <f t="shared" si="3994"/>
        <v>36</v>
      </c>
      <c r="FF358" s="234">
        <f t="shared" si="3995"/>
        <v>2304</v>
      </c>
      <c r="FG358" s="234">
        <f>EW358*EX358*KOslave+EW358*CHslave*FA358+INslave*EX358*FA358</f>
        <v>3456</v>
      </c>
      <c r="FH358" s="234">
        <f t="shared" si="3996"/>
        <v>1728</v>
      </c>
      <c r="FI358" s="242">
        <f t="shared" si="3997"/>
        <v>7488</v>
      </c>
      <c r="FJ358" s="223">
        <f t="shared" si="3998"/>
        <v>3.6923076923076925</v>
      </c>
      <c r="FK358" s="223">
        <f t="shared" si="3999"/>
        <v>11.076923076923077</v>
      </c>
      <c r="FL358" s="223">
        <f t="shared" si="4000"/>
        <v>8.3076923076923084</v>
      </c>
      <c r="FM358" s="218">
        <f t="shared" si="4001"/>
        <v>23.07692307692308</v>
      </c>
      <c r="FN358" s="252">
        <f t="shared" si="4002"/>
        <v>0</v>
      </c>
      <c r="FO358" s="309">
        <f t="shared" si="4003"/>
        <v>23.07692307692308</v>
      </c>
      <c r="FP358" s="218">
        <f t="shared" si="4004"/>
        <v>175.5384615384616</v>
      </c>
      <c r="FQ358" s="242">
        <f t="shared" si="4004"/>
        <v>2</v>
      </c>
      <c r="FR358" s="243">
        <f t="shared" si="4005"/>
        <v>173.5384615384616</v>
      </c>
      <c r="FS358" s="218">
        <f t="shared" si="4006"/>
        <v>0</v>
      </c>
      <c r="FU358" s="303" t="s">
        <v>312</v>
      </c>
      <c r="FV358" s="304" t="s">
        <v>101</v>
      </c>
      <c r="FW358" s="218" t="s">
        <v>132</v>
      </c>
      <c r="FX358" s="234"/>
      <c r="FY358" s="234"/>
      <c r="FZ358" s="234">
        <f>Konvention_1slave-INslave</f>
        <v>12</v>
      </c>
      <c r="GA358" s="234">
        <f t="shared" si="4007"/>
        <v>12</v>
      </c>
      <c r="GB358" s="234"/>
      <c r="GC358" s="234"/>
      <c r="GD358" s="234">
        <f>Konvention_1slave-KOslave</f>
        <v>12</v>
      </c>
      <c r="GE358" s="234"/>
      <c r="GF358" s="222">
        <f t="shared" si="4008"/>
        <v>12</v>
      </c>
      <c r="GG358" s="223">
        <f t="shared" si="4009"/>
        <v>24</v>
      </c>
      <c r="GH358" s="224">
        <f t="shared" si="4010"/>
        <v>36</v>
      </c>
      <c r="GI358" s="234">
        <f t="shared" si="4011"/>
        <v>2304</v>
      </c>
      <c r="GJ358" s="234">
        <f>FZ358*GA358*KOslave+FZ358*CHslave*GD358+INslave*GA358*GD358</f>
        <v>3456</v>
      </c>
      <c r="GK358" s="234">
        <f t="shared" si="4012"/>
        <v>1728</v>
      </c>
      <c r="GL358" s="242">
        <f t="shared" si="4013"/>
        <v>7488</v>
      </c>
      <c r="GM358" s="223">
        <f t="shared" si="4014"/>
        <v>3.6923076923076925</v>
      </c>
      <c r="GN358" s="223">
        <f t="shared" si="4015"/>
        <v>11.076923076923077</v>
      </c>
      <c r="GO358" s="223">
        <f t="shared" si="4016"/>
        <v>8.3076923076923084</v>
      </c>
      <c r="GP358" s="218">
        <f t="shared" si="4017"/>
        <v>23.07692307692308</v>
      </c>
      <c r="GQ358" s="252">
        <f t="shared" si="4018"/>
        <v>0</v>
      </c>
      <c r="GR358" s="309">
        <f t="shared" si="4019"/>
        <v>23.07692307692308</v>
      </c>
      <c r="GS358" s="218">
        <f t="shared" si="4020"/>
        <v>175.5384615384616</v>
      </c>
      <c r="GT358" s="242">
        <f t="shared" si="4020"/>
        <v>2</v>
      </c>
      <c r="GU358" s="243">
        <f t="shared" si="4021"/>
        <v>173.5384615384616</v>
      </c>
      <c r="GV358" s="218">
        <f t="shared" si="4022"/>
        <v>0</v>
      </c>
      <c r="GX358" s="303" t="s">
        <v>312</v>
      </c>
      <c r="GY358" s="304" t="s">
        <v>101</v>
      </c>
      <c r="GZ358" s="218" t="s">
        <v>132</v>
      </c>
      <c r="HA358" s="234"/>
      <c r="HB358" s="234"/>
      <c r="HC358" s="234">
        <f>Konvention_1slave-INslave</f>
        <v>12</v>
      </c>
      <c r="HD358" s="234">
        <f t="shared" si="4023"/>
        <v>12</v>
      </c>
      <c r="HE358" s="234"/>
      <c r="HF358" s="234"/>
      <c r="HG358" s="234">
        <f>Konvention_1slave-KOslave_KO</f>
        <v>11</v>
      </c>
      <c r="HH358" s="234"/>
      <c r="HI358" s="222">
        <f t="shared" si="4024"/>
        <v>11.666666666666666</v>
      </c>
      <c r="HJ358" s="223">
        <f t="shared" si="4025"/>
        <v>23.333333333333332</v>
      </c>
      <c r="HK358" s="224">
        <f t="shared" si="4026"/>
        <v>35</v>
      </c>
      <c r="HL358" s="234">
        <f t="shared" si="4027"/>
        <v>2432</v>
      </c>
      <c r="HM358" s="234">
        <f>HC358*HD358*KOslave_KO+HC358*CHslave*HG358+INslave*HD358*HG358</f>
        <v>3408</v>
      </c>
      <c r="HN358" s="234">
        <f t="shared" si="4028"/>
        <v>1584</v>
      </c>
      <c r="HO358" s="242">
        <f t="shared" si="4029"/>
        <v>7424</v>
      </c>
      <c r="HP358" s="223">
        <f t="shared" si="4030"/>
        <v>3.8218390804597702</v>
      </c>
      <c r="HQ358" s="223">
        <f t="shared" si="4031"/>
        <v>10.711206896551724</v>
      </c>
      <c r="HR358" s="223">
        <f t="shared" si="4032"/>
        <v>7.4676724137931032</v>
      </c>
      <c r="HS358" s="218">
        <f t="shared" si="4033"/>
        <v>22.000718390804597</v>
      </c>
      <c r="HT358" s="252">
        <f t="shared" si="4034"/>
        <v>0</v>
      </c>
      <c r="HU358" s="309">
        <f t="shared" si="4035"/>
        <v>22.000718390804597</v>
      </c>
      <c r="HV358" s="218">
        <f t="shared" si="4036"/>
        <v>154.01436781609189</v>
      </c>
      <c r="HW358" s="242">
        <f t="shared" si="4036"/>
        <v>2</v>
      </c>
      <c r="HX358" s="243">
        <f t="shared" si="4037"/>
        <v>152.01436781609189</v>
      </c>
      <c r="HY358" s="218">
        <f t="shared" si="4038"/>
        <v>0</v>
      </c>
      <c r="IA358" s="303" t="s">
        <v>312</v>
      </c>
      <c r="IB358" s="304" t="s">
        <v>101</v>
      </c>
      <c r="IC358" s="218" t="s">
        <v>132</v>
      </c>
      <c r="ID358" s="234"/>
      <c r="IE358" s="234"/>
      <c r="IF358" s="234">
        <f>Konvention_1slave-INslave</f>
        <v>12</v>
      </c>
      <c r="IG358" s="234">
        <f t="shared" si="4039"/>
        <v>12</v>
      </c>
      <c r="IH358" s="234"/>
      <c r="II358" s="234"/>
      <c r="IJ358" s="234">
        <f>Konvention_1slave-KOslave</f>
        <v>12</v>
      </c>
      <c r="IK358" s="234"/>
      <c r="IL358" s="222">
        <f t="shared" si="4040"/>
        <v>12</v>
      </c>
      <c r="IM358" s="223">
        <f t="shared" si="4041"/>
        <v>24</v>
      </c>
      <c r="IN358" s="224">
        <f t="shared" si="4042"/>
        <v>36</v>
      </c>
      <c r="IO358" s="234">
        <f t="shared" si="4043"/>
        <v>2304</v>
      </c>
      <c r="IP358" s="234">
        <f>IF358*IG358*KOslave+IF358*CHslave*IJ358+INslave*IG358*IJ358</f>
        <v>3456</v>
      </c>
      <c r="IQ358" s="234">
        <f t="shared" si="4044"/>
        <v>1728</v>
      </c>
      <c r="IR358" s="242">
        <f t="shared" si="4045"/>
        <v>7488</v>
      </c>
      <c r="IS358" s="223">
        <f t="shared" si="4046"/>
        <v>3.6923076923076925</v>
      </c>
      <c r="IT358" s="223">
        <f t="shared" si="4047"/>
        <v>11.076923076923077</v>
      </c>
      <c r="IU358" s="223">
        <f t="shared" si="4048"/>
        <v>8.3076923076923084</v>
      </c>
      <c r="IV358" s="218">
        <f t="shared" si="4049"/>
        <v>23.07692307692308</v>
      </c>
      <c r="IW358" s="252">
        <f t="shared" si="4050"/>
        <v>0</v>
      </c>
      <c r="IX358" s="309">
        <f t="shared" si="4051"/>
        <v>23.07692307692308</v>
      </c>
      <c r="IY358" s="218">
        <f t="shared" si="4052"/>
        <v>175.5384615384616</v>
      </c>
      <c r="IZ358" s="242">
        <f t="shared" si="4052"/>
        <v>2</v>
      </c>
      <c r="JA358" s="243">
        <f t="shared" si="4053"/>
        <v>173.5384615384616</v>
      </c>
      <c r="JB358" s="218">
        <f t="shared" si="4054"/>
        <v>0</v>
      </c>
      <c r="JE358" s="148"/>
    </row>
    <row r="359" spans="2:265" hidden="1" outlineLevel="2">
      <c r="B359" s="148">
        <v>3</v>
      </c>
      <c r="C359" s="303" t="e">
        <f>VLOOKUP(AF359,Attribute!C:T,1,FALSE)</f>
        <v>#N/A</v>
      </c>
      <c r="D359" s="86" t="s">
        <v>86</v>
      </c>
      <c r="E359" s="125" t="s">
        <v>132</v>
      </c>
      <c r="F359" s="113">
        <f>Konvention_1master-MUmaster</f>
        <v>12</v>
      </c>
      <c r="G359" s="113"/>
      <c r="H359" s="113">
        <f>Konvention_1master-INmaster</f>
        <v>12</v>
      </c>
      <c r="I359" s="113">
        <f t="shared" si="3912"/>
        <v>12</v>
      </c>
      <c r="J359" s="113"/>
      <c r="K359" s="113"/>
      <c r="L359" s="113"/>
      <c r="M359" s="113"/>
      <c r="N359" s="222">
        <f t="shared" si="3913"/>
        <v>12</v>
      </c>
      <c r="O359" s="223">
        <f t="shared" si="3914"/>
        <v>24</v>
      </c>
      <c r="P359" s="224">
        <f t="shared" si="3915"/>
        <v>36</v>
      </c>
      <c r="Q359" s="234">
        <f t="shared" si="3916"/>
        <v>2304</v>
      </c>
      <c r="R359" s="113">
        <f>F359*H359*CHmaster+F359*INmaster*I359+MUmaster*H359*I359</f>
        <v>3456</v>
      </c>
      <c r="S359" s="234">
        <f t="shared" si="3917"/>
        <v>1728</v>
      </c>
      <c r="T359" s="242">
        <f t="shared" si="3918"/>
        <v>7488</v>
      </c>
      <c r="U359" s="223">
        <f t="shared" si="3919"/>
        <v>3.6923076923076925</v>
      </c>
      <c r="V359" s="223">
        <f t="shared" si="3920"/>
        <v>11.076923076923077</v>
      </c>
      <c r="W359" s="223">
        <f t="shared" si="3921"/>
        <v>8.3076923076923084</v>
      </c>
      <c r="X359" s="218">
        <f t="shared" si="3922"/>
        <v>23.07692307692308</v>
      </c>
      <c r="Y359" s="252">
        <v>0</v>
      </c>
      <c r="Z359" s="198">
        <f t="shared" si="3923"/>
        <v>23.07692307692308</v>
      </c>
      <c r="AA359" s="125">
        <f t="shared" si="3924"/>
        <v>175.5384615384616</v>
      </c>
      <c r="AB359" s="160">
        <f t="shared" si="3924"/>
        <v>2</v>
      </c>
      <c r="AC359" s="127">
        <f t="shared" si="3925"/>
        <v>173.5384615384616</v>
      </c>
      <c r="AD359" s="125">
        <f t="shared" si="3926"/>
        <v>0</v>
      </c>
      <c r="AF359" s="163" t="s">
        <v>315</v>
      </c>
      <c r="AG359" s="86" t="s">
        <v>86</v>
      </c>
      <c r="AH359" s="125" t="s">
        <v>132</v>
      </c>
      <c r="AI359" s="113">
        <f>Konvention_1slave-MUslave_MU</f>
        <v>11</v>
      </c>
      <c r="AJ359" s="113"/>
      <c r="AK359" s="113">
        <f>Konvention_1slave-INslave</f>
        <v>12</v>
      </c>
      <c r="AL359" s="113">
        <f t="shared" si="3927"/>
        <v>12</v>
      </c>
      <c r="AM359" s="113"/>
      <c r="AN359" s="113"/>
      <c r="AO359" s="113"/>
      <c r="AP359" s="113"/>
      <c r="AQ359" s="89">
        <f t="shared" si="3928"/>
        <v>11.666666666666666</v>
      </c>
      <c r="AR359" s="47">
        <f t="shared" si="3929"/>
        <v>23.333333333333332</v>
      </c>
      <c r="AS359" s="119">
        <f t="shared" si="3930"/>
        <v>35</v>
      </c>
      <c r="AT359" s="113">
        <f t="shared" si="3931"/>
        <v>2432</v>
      </c>
      <c r="AU359" s="113">
        <f>AI359*AK359*CHslave+AI359*INslave*AL359+MUslave_MU*AK359*AL359</f>
        <v>3408</v>
      </c>
      <c r="AV359" s="113">
        <f t="shared" si="3932"/>
        <v>1584</v>
      </c>
      <c r="AW359" s="160">
        <f t="shared" si="3933"/>
        <v>7424</v>
      </c>
      <c r="AX359" s="47">
        <f t="shared" si="3934"/>
        <v>3.8218390804597702</v>
      </c>
      <c r="AY359" s="47">
        <f t="shared" si="3935"/>
        <v>10.711206896551724</v>
      </c>
      <c r="AZ359" s="47">
        <f t="shared" si="3936"/>
        <v>7.4676724137931032</v>
      </c>
      <c r="BA359" s="125">
        <f t="shared" si="3937"/>
        <v>22.000718390804597</v>
      </c>
      <c r="BB359" s="165">
        <f t="shared" si="3938"/>
        <v>0</v>
      </c>
      <c r="BC359" s="198">
        <f t="shared" si="3939"/>
        <v>22.000718390804597</v>
      </c>
      <c r="BD359" s="125">
        <f t="shared" si="3940"/>
        <v>154.01436781609189</v>
      </c>
      <c r="BE359" s="160">
        <f t="shared" si="3940"/>
        <v>2</v>
      </c>
      <c r="BF359" s="243">
        <f t="shared" si="3941"/>
        <v>152.01436781609189</v>
      </c>
      <c r="BG359" s="218">
        <f t="shared" si="3942"/>
        <v>0</v>
      </c>
      <c r="BI359" s="303" t="s">
        <v>315</v>
      </c>
      <c r="BJ359" s="304" t="s">
        <v>86</v>
      </c>
      <c r="BK359" s="218" t="s">
        <v>132</v>
      </c>
      <c r="BL359" s="234">
        <f>Konvention_1slave-MUslave</f>
        <v>12</v>
      </c>
      <c r="BM359" s="234"/>
      <c r="BN359" s="234">
        <f>Konvention_1slave-INslave</f>
        <v>12</v>
      </c>
      <c r="BO359" s="234">
        <f t="shared" si="3943"/>
        <v>12</v>
      </c>
      <c r="BP359" s="234"/>
      <c r="BQ359" s="234"/>
      <c r="BR359" s="234"/>
      <c r="BS359" s="234"/>
      <c r="BT359" s="222">
        <f t="shared" si="3944"/>
        <v>12</v>
      </c>
      <c r="BU359" s="223">
        <f t="shared" si="3945"/>
        <v>24</v>
      </c>
      <c r="BV359" s="224">
        <f t="shared" si="3946"/>
        <v>36</v>
      </c>
      <c r="BW359" s="234">
        <f t="shared" si="3947"/>
        <v>2304</v>
      </c>
      <c r="BX359" s="234">
        <f>BL359*BN359*CHslave+BL359*INslave*BO359+MUslave*BN359*BO359</f>
        <v>3456</v>
      </c>
      <c r="BY359" s="234">
        <f t="shared" si="3948"/>
        <v>1728</v>
      </c>
      <c r="BZ359" s="242">
        <f t="shared" si="3949"/>
        <v>7488</v>
      </c>
      <c r="CA359" s="223">
        <f t="shared" si="3950"/>
        <v>3.6923076923076925</v>
      </c>
      <c r="CB359" s="223">
        <f t="shared" si="3951"/>
        <v>11.076923076923077</v>
      </c>
      <c r="CC359" s="223">
        <f t="shared" si="3952"/>
        <v>8.3076923076923084</v>
      </c>
      <c r="CD359" s="218">
        <f t="shared" si="3953"/>
        <v>23.07692307692308</v>
      </c>
      <c r="CE359" s="252">
        <f t="shared" si="3954"/>
        <v>0</v>
      </c>
      <c r="CF359" s="309">
        <f t="shared" si="3955"/>
        <v>23.07692307692308</v>
      </c>
      <c r="CG359" s="218">
        <f t="shared" si="3956"/>
        <v>175.5384615384616</v>
      </c>
      <c r="CH359" s="242">
        <f t="shared" si="3956"/>
        <v>2</v>
      </c>
      <c r="CI359" s="243">
        <f t="shared" si="3957"/>
        <v>173.5384615384616</v>
      </c>
      <c r="CJ359" s="218">
        <f t="shared" si="3958"/>
        <v>0</v>
      </c>
      <c r="CL359" s="303" t="s">
        <v>315</v>
      </c>
      <c r="CM359" s="304" t="s">
        <v>86</v>
      </c>
      <c r="CN359" s="218" t="s">
        <v>132</v>
      </c>
      <c r="CO359" s="234">
        <f>Konvention_1slave-MUslave</f>
        <v>12</v>
      </c>
      <c r="CP359" s="234"/>
      <c r="CQ359" s="234">
        <f>Konvention_1slave-INslave_IN</f>
        <v>11</v>
      </c>
      <c r="CR359" s="234">
        <f t="shared" si="3959"/>
        <v>12</v>
      </c>
      <c r="CS359" s="234"/>
      <c r="CT359" s="234"/>
      <c r="CU359" s="234"/>
      <c r="CV359" s="234"/>
      <c r="CW359" s="222">
        <f t="shared" si="3960"/>
        <v>11.666666666666666</v>
      </c>
      <c r="CX359" s="223">
        <f t="shared" si="3961"/>
        <v>23.333333333333332</v>
      </c>
      <c r="CY359" s="224">
        <f t="shared" si="3962"/>
        <v>35</v>
      </c>
      <c r="CZ359" s="234">
        <f t="shared" si="3963"/>
        <v>2432</v>
      </c>
      <c r="DA359" s="234">
        <f>CO359*CQ359*CHslave+CO359*INslave_IN*CR359+MUslave*CQ359*CR359</f>
        <v>3408</v>
      </c>
      <c r="DB359" s="234">
        <f t="shared" si="3964"/>
        <v>1584</v>
      </c>
      <c r="DC359" s="242">
        <f t="shared" si="3965"/>
        <v>7424</v>
      </c>
      <c r="DD359" s="223">
        <f t="shared" si="3966"/>
        <v>3.8218390804597702</v>
      </c>
      <c r="DE359" s="223">
        <f t="shared" si="3967"/>
        <v>10.711206896551724</v>
      </c>
      <c r="DF359" s="223">
        <f t="shared" si="3968"/>
        <v>7.4676724137931032</v>
      </c>
      <c r="DG359" s="218">
        <f t="shared" si="3969"/>
        <v>22.000718390804597</v>
      </c>
      <c r="DH359" s="252">
        <f t="shared" si="3970"/>
        <v>0</v>
      </c>
      <c r="DI359" s="309">
        <f t="shared" si="3971"/>
        <v>22.000718390804597</v>
      </c>
      <c r="DJ359" s="218">
        <f t="shared" si="3972"/>
        <v>154.01436781609189</v>
      </c>
      <c r="DK359" s="242">
        <f t="shared" si="3972"/>
        <v>2</v>
      </c>
      <c r="DL359" s="243">
        <f t="shared" si="3973"/>
        <v>152.01436781609189</v>
      </c>
      <c r="DM359" s="218">
        <f t="shared" si="3974"/>
        <v>0</v>
      </c>
      <c r="DO359" s="303" t="s">
        <v>315</v>
      </c>
      <c r="DP359" s="304" t="s">
        <v>86</v>
      </c>
      <c r="DQ359" s="218" t="s">
        <v>132</v>
      </c>
      <c r="DR359" s="234">
        <f>Konvention_1slave-MUslave</f>
        <v>12</v>
      </c>
      <c r="DS359" s="234"/>
      <c r="DT359" s="234">
        <f>Konvention_1slave-INslave</f>
        <v>12</v>
      </c>
      <c r="DU359" s="234">
        <f t="shared" si="3975"/>
        <v>11</v>
      </c>
      <c r="DV359" s="234"/>
      <c r="DW359" s="234"/>
      <c r="DX359" s="234"/>
      <c r="DY359" s="234"/>
      <c r="DZ359" s="222">
        <f t="shared" si="3976"/>
        <v>11.666666666666666</v>
      </c>
      <c r="EA359" s="223">
        <f t="shared" si="3977"/>
        <v>23.333333333333332</v>
      </c>
      <c r="EB359" s="224">
        <f t="shared" si="3978"/>
        <v>35</v>
      </c>
      <c r="EC359" s="234">
        <f t="shared" si="3979"/>
        <v>2432</v>
      </c>
      <c r="ED359" s="234">
        <f>DR359*DT359*CHslave_CH+DR359*INslave*DU359+MUslave*DT359*DU359</f>
        <v>3408</v>
      </c>
      <c r="EE359" s="234">
        <f t="shared" si="3980"/>
        <v>1584</v>
      </c>
      <c r="EF359" s="242">
        <f t="shared" si="3981"/>
        <v>7424</v>
      </c>
      <c r="EG359" s="223">
        <f t="shared" si="3982"/>
        <v>3.8218390804597702</v>
      </c>
      <c r="EH359" s="223">
        <f t="shared" si="3983"/>
        <v>10.711206896551724</v>
      </c>
      <c r="EI359" s="223">
        <f t="shared" si="3984"/>
        <v>7.4676724137931032</v>
      </c>
      <c r="EJ359" s="218">
        <f t="shared" si="3985"/>
        <v>22.000718390804597</v>
      </c>
      <c r="EK359" s="252">
        <f t="shared" si="3986"/>
        <v>0</v>
      </c>
      <c r="EL359" s="309">
        <f t="shared" si="3987"/>
        <v>22.000718390804597</v>
      </c>
      <c r="EM359" s="218">
        <f t="shared" si="3988"/>
        <v>154.01436781609189</v>
      </c>
      <c r="EN359" s="242">
        <f t="shared" si="3988"/>
        <v>2</v>
      </c>
      <c r="EO359" s="243">
        <f t="shared" si="3989"/>
        <v>152.01436781609189</v>
      </c>
      <c r="EP359" s="218">
        <f t="shared" si="3990"/>
        <v>0</v>
      </c>
      <c r="ER359" s="303" t="s">
        <v>315</v>
      </c>
      <c r="ES359" s="304" t="s">
        <v>86</v>
      </c>
      <c r="ET359" s="218" t="s">
        <v>132</v>
      </c>
      <c r="EU359" s="234">
        <f>Konvention_1slave-MUslave</f>
        <v>12</v>
      </c>
      <c r="EV359" s="234"/>
      <c r="EW359" s="234">
        <f>Konvention_1slave-INslave</f>
        <v>12</v>
      </c>
      <c r="EX359" s="234">
        <f t="shared" si="3991"/>
        <v>12</v>
      </c>
      <c r="EY359" s="234"/>
      <c r="EZ359" s="234"/>
      <c r="FA359" s="234"/>
      <c r="FB359" s="234"/>
      <c r="FC359" s="222">
        <f t="shared" si="3992"/>
        <v>12</v>
      </c>
      <c r="FD359" s="223">
        <f t="shared" si="3993"/>
        <v>24</v>
      </c>
      <c r="FE359" s="224">
        <f t="shared" si="3994"/>
        <v>36</v>
      </c>
      <c r="FF359" s="234">
        <f t="shared" si="3995"/>
        <v>2304</v>
      </c>
      <c r="FG359" s="234">
        <f>EU359*EW359*CHslave+EU359*INslave*EX359+MUslave*EW359*EX359</f>
        <v>3456</v>
      </c>
      <c r="FH359" s="234">
        <f t="shared" si="3996"/>
        <v>1728</v>
      </c>
      <c r="FI359" s="242">
        <f t="shared" si="3997"/>
        <v>7488</v>
      </c>
      <c r="FJ359" s="223">
        <f t="shared" si="3998"/>
        <v>3.6923076923076925</v>
      </c>
      <c r="FK359" s="223">
        <f t="shared" si="3999"/>
        <v>11.076923076923077</v>
      </c>
      <c r="FL359" s="223">
        <f t="shared" si="4000"/>
        <v>8.3076923076923084</v>
      </c>
      <c r="FM359" s="218">
        <f t="shared" si="4001"/>
        <v>23.07692307692308</v>
      </c>
      <c r="FN359" s="252">
        <f t="shared" si="4002"/>
        <v>0</v>
      </c>
      <c r="FO359" s="309">
        <f t="shared" si="4003"/>
        <v>23.07692307692308</v>
      </c>
      <c r="FP359" s="218">
        <f t="shared" si="4004"/>
        <v>175.5384615384616</v>
      </c>
      <c r="FQ359" s="242">
        <f t="shared" si="4004"/>
        <v>2</v>
      </c>
      <c r="FR359" s="243">
        <f t="shared" si="4005"/>
        <v>173.5384615384616</v>
      </c>
      <c r="FS359" s="218">
        <f t="shared" si="4006"/>
        <v>0</v>
      </c>
      <c r="FU359" s="303" t="s">
        <v>315</v>
      </c>
      <c r="FV359" s="304" t="s">
        <v>86</v>
      </c>
      <c r="FW359" s="218" t="s">
        <v>132</v>
      </c>
      <c r="FX359" s="234">
        <f>Konvention_1slave-MUslave</f>
        <v>12</v>
      </c>
      <c r="FY359" s="234"/>
      <c r="FZ359" s="234">
        <f>Konvention_1slave-INslave</f>
        <v>12</v>
      </c>
      <c r="GA359" s="234">
        <f t="shared" si="4007"/>
        <v>12</v>
      </c>
      <c r="GB359" s="234"/>
      <c r="GC359" s="234"/>
      <c r="GD359" s="234"/>
      <c r="GE359" s="234"/>
      <c r="GF359" s="222">
        <f t="shared" si="4008"/>
        <v>12</v>
      </c>
      <c r="GG359" s="223">
        <f t="shared" si="4009"/>
        <v>24</v>
      </c>
      <c r="GH359" s="224">
        <f t="shared" si="4010"/>
        <v>36</v>
      </c>
      <c r="GI359" s="234">
        <f t="shared" si="4011"/>
        <v>2304</v>
      </c>
      <c r="GJ359" s="234">
        <f>FX359*FZ359*CHslave+FX359*INslave*GA359+MUslave*FZ359*GA359</f>
        <v>3456</v>
      </c>
      <c r="GK359" s="234">
        <f t="shared" si="4012"/>
        <v>1728</v>
      </c>
      <c r="GL359" s="242">
        <f t="shared" si="4013"/>
        <v>7488</v>
      </c>
      <c r="GM359" s="223">
        <f t="shared" si="4014"/>
        <v>3.6923076923076925</v>
      </c>
      <c r="GN359" s="223">
        <f t="shared" si="4015"/>
        <v>11.076923076923077</v>
      </c>
      <c r="GO359" s="223">
        <f t="shared" si="4016"/>
        <v>8.3076923076923084</v>
      </c>
      <c r="GP359" s="218">
        <f t="shared" si="4017"/>
        <v>23.07692307692308</v>
      </c>
      <c r="GQ359" s="252">
        <f t="shared" si="4018"/>
        <v>0</v>
      </c>
      <c r="GR359" s="309">
        <f t="shared" si="4019"/>
        <v>23.07692307692308</v>
      </c>
      <c r="GS359" s="218">
        <f t="shared" si="4020"/>
        <v>175.5384615384616</v>
      </c>
      <c r="GT359" s="242">
        <f t="shared" si="4020"/>
        <v>2</v>
      </c>
      <c r="GU359" s="243">
        <f t="shared" si="4021"/>
        <v>173.5384615384616</v>
      </c>
      <c r="GV359" s="218">
        <f t="shared" si="4022"/>
        <v>0</v>
      </c>
      <c r="GX359" s="303" t="s">
        <v>315</v>
      </c>
      <c r="GY359" s="304" t="s">
        <v>86</v>
      </c>
      <c r="GZ359" s="218" t="s">
        <v>132</v>
      </c>
      <c r="HA359" s="234">
        <f>Konvention_1slave-MUslave</f>
        <v>12</v>
      </c>
      <c r="HB359" s="234"/>
      <c r="HC359" s="234">
        <f>Konvention_1slave-INslave</f>
        <v>12</v>
      </c>
      <c r="HD359" s="234">
        <f t="shared" si="4023"/>
        <v>12</v>
      </c>
      <c r="HE359" s="234"/>
      <c r="HF359" s="234"/>
      <c r="HG359" s="234"/>
      <c r="HH359" s="234"/>
      <c r="HI359" s="222">
        <f t="shared" si="4024"/>
        <v>12</v>
      </c>
      <c r="HJ359" s="223">
        <f t="shared" si="4025"/>
        <v>24</v>
      </c>
      <c r="HK359" s="224">
        <f t="shared" si="4026"/>
        <v>36</v>
      </c>
      <c r="HL359" s="234">
        <f t="shared" si="4027"/>
        <v>2304</v>
      </c>
      <c r="HM359" s="234">
        <f>HA359*HC359*CHslave+HA359*INslave*HD359+MUslave*HC359*HD359</f>
        <v>3456</v>
      </c>
      <c r="HN359" s="234">
        <f t="shared" si="4028"/>
        <v>1728</v>
      </c>
      <c r="HO359" s="242">
        <f t="shared" si="4029"/>
        <v>7488</v>
      </c>
      <c r="HP359" s="223">
        <f t="shared" si="4030"/>
        <v>3.6923076923076925</v>
      </c>
      <c r="HQ359" s="223">
        <f t="shared" si="4031"/>
        <v>11.076923076923077</v>
      </c>
      <c r="HR359" s="223">
        <f t="shared" si="4032"/>
        <v>8.3076923076923084</v>
      </c>
      <c r="HS359" s="218">
        <f t="shared" si="4033"/>
        <v>23.07692307692308</v>
      </c>
      <c r="HT359" s="252">
        <f t="shared" si="4034"/>
        <v>0</v>
      </c>
      <c r="HU359" s="309">
        <f t="shared" si="4035"/>
        <v>23.07692307692308</v>
      </c>
      <c r="HV359" s="218">
        <f t="shared" si="4036"/>
        <v>175.5384615384616</v>
      </c>
      <c r="HW359" s="242">
        <f t="shared" si="4036"/>
        <v>2</v>
      </c>
      <c r="HX359" s="243">
        <f t="shared" si="4037"/>
        <v>173.5384615384616</v>
      </c>
      <c r="HY359" s="218">
        <f t="shared" si="4038"/>
        <v>0</v>
      </c>
      <c r="IA359" s="303" t="s">
        <v>315</v>
      </c>
      <c r="IB359" s="304" t="s">
        <v>86</v>
      </c>
      <c r="IC359" s="218" t="s">
        <v>132</v>
      </c>
      <c r="ID359" s="234">
        <f>Konvention_1slave-MUslave</f>
        <v>12</v>
      </c>
      <c r="IE359" s="234"/>
      <c r="IF359" s="234">
        <f>Konvention_1slave-INslave</f>
        <v>12</v>
      </c>
      <c r="IG359" s="234">
        <f t="shared" si="4039"/>
        <v>12</v>
      </c>
      <c r="IH359" s="234"/>
      <c r="II359" s="234"/>
      <c r="IJ359" s="234"/>
      <c r="IK359" s="234"/>
      <c r="IL359" s="222">
        <f t="shared" si="4040"/>
        <v>12</v>
      </c>
      <c r="IM359" s="223">
        <f t="shared" si="4041"/>
        <v>24</v>
      </c>
      <c r="IN359" s="224">
        <f t="shared" si="4042"/>
        <v>36</v>
      </c>
      <c r="IO359" s="234">
        <f t="shared" si="4043"/>
        <v>2304</v>
      </c>
      <c r="IP359" s="234">
        <f>ID359*IF359*CHslave+ID359*INslave*IG359+MUslave*IF359*IG359</f>
        <v>3456</v>
      </c>
      <c r="IQ359" s="234">
        <f t="shared" si="4044"/>
        <v>1728</v>
      </c>
      <c r="IR359" s="242">
        <f t="shared" si="4045"/>
        <v>7488</v>
      </c>
      <c r="IS359" s="223">
        <f t="shared" si="4046"/>
        <v>3.6923076923076925</v>
      </c>
      <c r="IT359" s="223">
        <f t="shared" si="4047"/>
        <v>11.076923076923077</v>
      </c>
      <c r="IU359" s="223">
        <f t="shared" si="4048"/>
        <v>8.3076923076923084</v>
      </c>
      <c r="IV359" s="218">
        <f t="shared" si="4049"/>
        <v>23.07692307692308</v>
      </c>
      <c r="IW359" s="252">
        <f t="shared" si="4050"/>
        <v>0</v>
      </c>
      <c r="IX359" s="309">
        <f t="shared" si="4051"/>
        <v>23.07692307692308</v>
      </c>
      <c r="IY359" s="218">
        <f t="shared" si="4052"/>
        <v>175.5384615384616</v>
      </c>
      <c r="IZ359" s="242">
        <f t="shared" si="4052"/>
        <v>2</v>
      </c>
      <c r="JA359" s="243">
        <f t="shared" si="4053"/>
        <v>173.5384615384616</v>
      </c>
      <c r="JB359" s="218">
        <f t="shared" si="4054"/>
        <v>0</v>
      </c>
      <c r="JE359" s="148"/>
    </row>
    <row r="360" spans="2:265" hidden="1" outlineLevel="2">
      <c r="B360" s="148">
        <v>4</v>
      </c>
      <c r="C360" s="303" t="e">
        <f>VLOOKUP(AF360,Attribute!C:T,1,FALSE)</f>
        <v>#N/A</v>
      </c>
      <c r="D360" s="86" t="s">
        <v>84</v>
      </c>
      <c r="E360" s="125" t="s">
        <v>132</v>
      </c>
      <c r="F360" s="113">
        <f>Konvention_1master-MUmaster</f>
        <v>12</v>
      </c>
      <c r="G360" s="113">
        <f>Konvention_1master-KLmaster</f>
        <v>12</v>
      </c>
      <c r="H360" s="113"/>
      <c r="I360" s="113">
        <f t="shared" si="3912"/>
        <v>12</v>
      </c>
      <c r="J360" s="113"/>
      <c r="K360" s="113"/>
      <c r="L360" s="113"/>
      <c r="M360" s="113"/>
      <c r="N360" s="222">
        <f t="shared" si="3913"/>
        <v>12</v>
      </c>
      <c r="O360" s="223">
        <f t="shared" si="3914"/>
        <v>24</v>
      </c>
      <c r="P360" s="224">
        <f t="shared" si="3915"/>
        <v>36</v>
      </c>
      <c r="Q360" s="234">
        <f t="shared" si="3916"/>
        <v>2304</v>
      </c>
      <c r="R360" s="113">
        <f>F360*G360*CHmaster+F360*KLmaster*I360+MUmaster*G360*I360</f>
        <v>3456</v>
      </c>
      <c r="S360" s="234">
        <f t="shared" si="3917"/>
        <v>1728</v>
      </c>
      <c r="T360" s="242">
        <f t="shared" si="3918"/>
        <v>7488</v>
      </c>
      <c r="U360" s="223">
        <f t="shared" si="3919"/>
        <v>3.6923076923076925</v>
      </c>
      <c r="V360" s="223">
        <f t="shared" si="3920"/>
        <v>11.076923076923077</v>
      </c>
      <c r="W360" s="223">
        <f t="shared" si="3921"/>
        <v>8.3076923076923084</v>
      </c>
      <c r="X360" s="218">
        <f t="shared" si="3922"/>
        <v>23.07692307692308</v>
      </c>
      <c r="Y360" s="252">
        <v>0</v>
      </c>
      <c r="Z360" s="198">
        <f t="shared" si="3923"/>
        <v>23.07692307692308</v>
      </c>
      <c r="AA360" s="125">
        <f t="shared" si="3924"/>
        <v>175.5384615384616</v>
      </c>
      <c r="AB360" s="160">
        <f t="shared" si="3924"/>
        <v>2</v>
      </c>
      <c r="AC360" s="127">
        <f t="shared" si="3925"/>
        <v>173.5384615384616</v>
      </c>
      <c r="AD360" s="125">
        <f t="shared" si="3926"/>
        <v>0</v>
      </c>
      <c r="AF360" s="163" t="s">
        <v>316</v>
      </c>
      <c r="AG360" s="86" t="s">
        <v>84</v>
      </c>
      <c r="AH360" s="125" t="s">
        <v>132</v>
      </c>
      <c r="AI360" s="113">
        <f>Konvention_1slave-MUslave_MU</f>
        <v>11</v>
      </c>
      <c r="AJ360" s="113">
        <f>Konvention_1slave-KLslave</f>
        <v>12</v>
      </c>
      <c r="AK360" s="113"/>
      <c r="AL360" s="113">
        <f t="shared" si="3927"/>
        <v>12</v>
      </c>
      <c r="AM360" s="113"/>
      <c r="AN360" s="113"/>
      <c r="AO360" s="113"/>
      <c r="AP360" s="113"/>
      <c r="AQ360" s="89">
        <f t="shared" si="3928"/>
        <v>11.666666666666666</v>
      </c>
      <c r="AR360" s="47">
        <f t="shared" si="3929"/>
        <v>23.333333333333332</v>
      </c>
      <c r="AS360" s="119">
        <f t="shared" si="3930"/>
        <v>35</v>
      </c>
      <c r="AT360" s="113">
        <f t="shared" si="3931"/>
        <v>2432</v>
      </c>
      <c r="AU360" s="113">
        <f>AI360*AJ360*CHslave+AI360*KLslave*AL360+MUslave_MU*AJ360*AL360</f>
        <v>3408</v>
      </c>
      <c r="AV360" s="113">
        <f t="shared" si="3932"/>
        <v>1584</v>
      </c>
      <c r="AW360" s="160">
        <f t="shared" si="3933"/>
        <v>7424</v>
      </c>
      <c r="AX360" s="47">
        <f t="shared" si="3934"/>
        <v>3.8218390804597702</v>
      </c>
      <c r="AY360" s="47">
        <f t="shared" si="3935"/>
        <v>10.711206896551724</v>
      </c>
      <c r="AZ360" s="47">
        <f t="shared" si="3936"/>
        <v>7.4676724137931032</v>
      </c>
      <c r="BA360" s="125">
        <f t="shared" si="3937"/>
        <v>22.000718390804597</v>
      </c>
      <c r="BB360" s="165">
        <f t="shared" si="3938"/>
        <v>0</v>
      </c>
      <c r="BC360" s="198">
        <f t="shared" si="3939"/>
        <v>22.000718390804597</v>
      </c>
      <c r="BD360" s="125">
        <f t="shared" si="3940"/>
        <v>154.01436781609189</v>
      </c>
      <c r="BE360" s="160">
        <f t="shared" si="3940"/>
        <v>2</v>
      </c>
      <c r="BF360" s="243">
        <f t="shared" si="3941"/>
        <v>152.01436781609189</v>
      </c>
      <c r="BG360" s="218">
        <f t="shared" si="3942"/>
        <v>0</v>
      </c>
      <c r="BI360" s="303" t="s">
        <v>316</v>
      </c>
      <c r="BJ360" s="304" t="s">
        <v>84</v>
      </c>
      <c r="BK360" s="218" t="s">
        <v>132</v>
      </c>
      <c r="BL360" s="234">
        <f>Konvention_1slave-MUslave</f>
        <v>12</v>
      </c>
      <c r="BM360" s="234">
        <f>Konvention_1slave-KLslave_KL</f>
        <v>11</v>
      </c>
      <c r="BN360" s="234"/>
      <c r="BO360" s="234">
        <f t="shared" si="3943"/>
        <v>12</v>
      </c>
      <c r="BP360" s="234"/>
      <c r="BQ360" s="234"/>
      <c r="BR360" s="234"/>
      <c r="BS360" s="234"/>
      <c r="BT360" s="222">
        <f t="shared" si="3944"/>
        <v>11.666666666666666</v>
      </c>
      <c r="BU360" s="223">
        <f t="shared" si="3945"/>
        <v>23.333333333333332</v>
      </c>
      <c r="BV360" s="224">
        <f t="shared" si="3946"/>
        <v>35</v>
      </c>
      <c r="BW360" s="234">
        <f t="shared" si="3947"/>
        <v>2432</v>
      </c>
      <c r="BX360" s="234">
        <f>BL360*BM360*CHslave+BL360*KLslave_KL*BO360+MUslave*BM360*BO360</f>
        <v>3408</v>
      </c>
      <c r="BY360" s="234">
        <f t="shared" si="3948"/>
        <v>1584</v>
      </c>
      <c r="BZ360" s="242">
        <f t="shared" si="3949"/>
        <v>7424</v>
      </c>
      <c r="CA360" s="223">
        <f t="shared" si="3950"/>
        <v>3.8218390804597702</v>
      </c>
      <c r="CB360" s="223">
        <f t="shared" si="3951"/>
        <v>10.711206896551724</v>
      </c>
      <c r="CC360" s="223">
        <f t="shared" si="3952"/>
        <v>7.4676724137931032</v>
      </c>
      <c r="CD360" s="218">
        <f t="shared" si="3953"/>
        <v>22.000718390804597</v>
      </c>
      <c r="CE360" s="252">
        <f t="shared" si="3954"/>
        <v>0</v>
      </c>
      <c r="CF360" s="309">
        <f t="shared" si="3955"/>
        <v>22.000718390804597</v>
      </c>
      <c r="CG360" s="218">
        <f t="shared" si="3956"/>
        <v>154.01436781609189</v>
      </c>
      <c r="CH360" s="242">
        <f t="shared" si="3956"/>
        <v>2</v>
      </c>
      <c r="CI360" s="243">
        <f t="shared" si="3957"/>
        <v>152.01436781609189</v>
      </c>
      <c r="CJ360" s="218">
        <f t="shared" si="3958"/>
        <v>0</v>
      </c>
      <c r="CL360" s="303" t="s">
        <v>316</v>
      </c>
      <c r="CM360" s="304" t="s">
        <v>84</v>
      </c>
      <c r="CN360" s="218" t="s">
        <v>132</v>
      </c>
      <c r="CO360" s="234">
        <f>Konvention_1slave-MUslave</f>
        <v>12</v>
      </c>
      <c r="CP360" s="234">
        <f>Konvention_1slave-KLslave</f>
        <v>12</v>
      </c>
      <c r="CQ360" s="234"/>
      <c r="CR360" s="234">
        <f t="shared" si="3959"/>
        <v>12</v>
      </c>
      <c r="CS360" s="234"/>
      <c r="CT360" s="234"/>
      <c r="CU360" s="234"/>
      <c r="CV360" s="234"/>
      <c r="CW360" s="222">
        <f t="shared" si="3960"/>
        <v>12</v>
      </c>
      <c r="CX360" s="223">
        <f t="shared" si="3961"/>
        <v>24</v>
      </c>
      <c r="CY360" s="224">
        <f t="shared" si="3962"/>
        <v>36</v>
      </c>
      <c r="CZ360" s="234">
        <f t="shared" si="3963"/>
        <v>2304</v>
      </c>
      <c r="DA360" s="234">
        <f>CO360*CP360*CHslave+CO360*KLslave*CR360+MUslave*CP360*CR360</f>
        <v>3456</v>
      </c>
      <c r="DB360" s="234">
        <f t="shared" si="3964"/>
        <v>1728</v>
      </c>
      <c r="DC360" s="242">
        <f t="shared" si="3965"/>
        <v>7488</v>
      </c>
      <c r="DD360" s="223">
        <f t="shared" si="3966"/>
        <v>3.6923076923076925</v>
      </c>
      <c r="DE360" s="223">
        <f t="shared" si="3967"/>
        <v>11.076923076923077</v>
      </c>
      <c r="DF360" s="223">
        <f t="shared" si="3968"/>
        <v>8.3076923076923084</v>
      </c>
      <c r="DG360" s="218">
        <f t="shared" si="3969"/>
        <v>23.07692307692308</v>
      </c>
      <c r="DH360" s="252">
        <f t="shared" si="3970"/>
        <v>0</v>
      </c>
      <c r="DI360" s="309">
        <f t="shared" si="3971"/>
        <v>23.07692307692308</v>
      </c>
      <c r="DJ360" s="218">
        <f t="shared" si="3972"/>
        <v>175.5384615384616</v>
      </c>
      <c r="DK360" s="242">
        <f t="shared" si="3972"/>
        <v>2</v>
      </c>
      <c r="DL360" s="243">
        <f t="shared" si="3973"/>
        <v>173.5384615384616</v>
      </c>
      <c r="DM360" s="218">
        <f t="shared" si="3974"/>
        <v>0</v>
      </c>
      <c r="DO360" s="303" t="s">
        <v>316</v>
      </c>
      <c r="DP360" s="304" t="s">
        <v>84</v>
      </c>
      <c r="DQ360" s="218" t="s">
        <v>132</v>
      </c>
      <c r="DR360" s="234">
        <f>Konvention_1slave-MUslave</f>
        <v>12</v>
      </c>
      <c r="DS360" s="234">
        <f>Konvention_1slave-KLslave</f>
        <v>12</v>
      </c>
      <c r="DT360" s="234"/>
      <c r="DU360" s="234">
        <f t="shared" si="3975"/>
        <v>11</v>
      </c>
      <c r="DV360" s="234"/>
      <c r="DW360" s="234"/>
      <c r="DX360" s="234"/>
      <c r="DY360" s="234"/>
      <c r="DZ360" s="222">
        <f t="shared" si="3976"/>
        <v>11.666666666666666</v>
      </c>
      <c r="EA360" s="223">
        <f t="shared" si="3977"/>
        <v>23.333333333333332</v>
      </c>
      <c r="EB360" s="224">
        <f t="shared" si="3978"/>
        <v>35</v>
      </c>
      <c r="EC360" s="234">
        <f t="shared" si="3979"/>
        <v>2432</v>
      </c>
      <c r="ED360" s="234">
        <f>DR360*DS360*CHslave_CH+DR360*KLslave*DU360+MUslave*DS360*DU360</f>
        <v>3408</v>
      </c>
      <c r="EE360" s="234">
        <f t="shared" si="3980"/>
        <v>1584</v>
      </c>
      <c r="EF360" s="242">
        <f t="shared" si="3981"/>
        <v>7424</v>
      </c>
      <c r="EG360" s="223">
        <f t="shared" si="3982"/>
        <v>3.8218390804597702</v>
      </c>
      <c r="EH360" s="223">
        <f t="shared" si="3983"/>
        <v>10.711206896551724</v>
      </c>
      <c r="EI360" s="223">
        <f t="shared" si="3984"/>
        <v>7.4676724137931032</v>
      </c>
      <c r="EJ360" s="218">
        <f t="shared" si="3985"/>
        <v>22.000718390804597</v>
      </c>
      <c r="EK360" s="252">
        <f t="shared" si="3986"/>
        <v>0</v>
      </c>
      <c r="EL360" s="309">
        <f t="shared" si="3987"/>
        <v>22.000718390804597</v>
      </c>
      <c r="EM360" s="218">
        <f t="shared" si="3988"/>
        <v>154.01436781609189</v>
      </c>
      <c r="EN360" s="242">
        <f t="shared" si="3988"/>
        <v>2</v>
      </c>
      <c r="EO360" s="243">
        <f t="shared" si="3989"/>
        <v>152.01436781609189</v>
      </c>
      <c r="EP360" s="218">
        <f t="shared" si="3990"/>
        <v>0</v>
      </c>
      <c r="ER360" s="303" t="s">
        <v>316</v>
      </c>
      <c r="ES360" s="304" t="s">
        <v>84</v>
      </c>
      <c r="ET360" s="218" t="s">
        <v>132</v>
      </c>
      <c r="EU360" s="234">
        <f>Konvention_1slave-MUslave</f>
        <v>12</v>
      </c>
      <c r="EV360" s="234">
        <f>Konvention_1slave-KLslave</f>
        <v>12</v>
      </c>
      <c r="EW360" s="234"/>
      <c r="EX360" s="234">
        <f t="shared" si="3991"/>
        <v>12</v>
      </c>
      <c r="EY360" s="234"/>
      <c r="EZ360" s="234"/>
      <c r="FA360" s="234"/>
      <c r="FB360" s="234"/>
      <c r="FC360" s="222">
        <f t="shared" si="3992"/>
        <v>12</v>
      </c>
      <c r="FD360" s="223">
        <f t="shared" si="3993"/>
        <v>24</v>
      </c>
      <c r="FE360" s="224">
        <f t="shared" si="3994"/>
        <v>36</v>
      </c>
      <c r="FF360" s="234">
        <f t="shared" si="3995"/>
        <v>2304</v>
      </c>
      <c r="FG360" s="234">
        <f>EU360*EV360*CHslave+EU360*KLslave*EX360+MUslave*EV360*EX360</f>
        <v>3456</v>
      </c>
      <c r="FH360" s="234">
        <f t="shared" si="3996"/>
        <v>1728</v>
      </c>
      <c r="FI360" s="242">
        <f t="shared" si="3997"/>
        <v>7488</v>
      </c>
      <c r="FJ360" s="223">
        <f t="shared" si="3998"/>
        <v>3.6923076923076925</v>
      </c>
      <c r="FK360" s="223">
        <f t="shared" si="3999"/>
        <v>11.076923076923077</v>
      </c>
      <c r="FL360" s="223">
        <f t="shared" si="4000"/>
        <v>8.3076923076923084</v>
      </c>
      <c r="FM360" s="218">
        <f t="shared" si="4001"/>
        <v>23.07692307692308</v>
      </c>
      <c r="FN360" s="252">
        <f t="shared" si="4002"/>
        <v>0</v>
      </c>
      <c r="FO360" s="309">
        <f t="shared" si="4003"/>
        <v>23.07692307692308</v>
      </c>
      <c r="FP360" s="218">
        <f t="shared" si="4004"/>
        <v>175.5384615384616</v>
      </c>
      <c r="FQ360" s="242">
        <f t="shared" si="4004"/>
        <v>2</v>
      </c>
      <c r="FR360" s="243">
        <f t="shared" si="4005"/>
        <v>173.5384615384616</v>
      </c>
      <c r="FS360" s="218">
        <f t="shared" si="4006"/>
        <v>0</v>
      </c>
      <c r="FU360" s="303" t="s">
        <v>316</v>
      </c>
      <c r="FV360" s="304" t="s">
        <v>84</v>
      </c>
      <c r="FW360" s="218" t="s">
        <v>132</v>
      </c>
      <c r="FX360" s="234">
        <f>Konvention_1slave-MUslave</f>
        <v>12</v>
      </c>
      <c r="FY360" s="234">
        <f>Konvention_1slave-KLslave</f>
        <v>12</v>
      </c>
      <c r="FZ360" s="234"/>
      <c r="GA360" s="234">
        <f t="shared" si="4007"/>
        <v>12</v>
      </c>
      <c r="GB360" s="234"/>
      <c r="GC360" s="234"/>
      <c r="GD360" s="234"/>
      <c r="GE360" s="234"/>
      <c r="GF360" s="222">
        <f t="shared" si="4008"/>
        <v>12</v>
      </c>
      <c r="GG360" s="223">
        <f t="shared" si="4009"/>
        <v>24</v>
      </c>
      <c r="GH360" s="224">
        <f t="shared" si="4010"/>
        <v>36</v>
      </c>
      <c r="GI360" s="234">
        <f t="shared" si="4011"/>
        <v>2304</v>
      </c>
      <c r="GJ360" s="234">
        <f>FX360*FY360*CHslave+FX360*KLslave*GA360+MUslave*FY360*GA360</f>
        <v>3456</v>
      </c>
      <c r="GK360" s="234">
        <f t="shared" si="4012"/>
        <v>1728</v>
      </c>
      <c r="GL360" s="242">
        <f t="shared" si="4013"/>
        <v>7488</v>
      </c>
      <c r="GM360" s="223">
        <f t="shared" si="4014"/>
        <v>3.6923076923076925</v>
      </c>
      <c r="GN360" s="223">
        <f t="shared" si="4015"/>
        <v>11.076923076923077</v>
      </c>
      <c r="GO360" s="223">
        <f t="shared" si="4016"/>
        <v>8.3076923076923084</v>
      </c>
      <c r="GP360" s="218">
        <f t="shared" si="4017"/>
        <v>23.07692307692308</v>
      </c>
      <c r="GQ360" s="252">
        <f t="shared" si="4018"/>
        <v>0</v>
      </c>
      <c r="GR360" s="309">
        <f t="shared" si="4019"/>
        <v>23.07692307692308</v>
      </c>
      <c r="GS360" s="218">
        <f t="shared" si="4020"/>
        <v>175.5384615384616</v>
      </c>
      <c r="GT360" s="242">
        <f t="shared" si="4020"/>
        <v>2</v>
      </c>
      <c r="GU360" s="243">
        <f t="shared" si="4021"/>
        <v>173.5384615384616</v>
      </c>
      <c r="GV360" s="218">
        <f t="shared" si="4022"/>
        <v>0</v>
      </c>
      <c r="GX360" s="303" t="s">
        <v>316</v>
      </c>
      <c r="GY360" s="304" t="s">
        <v>84</v>
      </c>
      <c r="GZ360" s="218" t="s">
        <v>132</v>
      </c>
      <c r="HA360" s="234">
        <f>Konvention_1slave-MUslave</f>
        <v>12</v>
      </c>
      <c r="HB360" s="234">
        <f>Konvention_1slave-KLslave</f>
        <v>12</v>
      </c>
      <c r="HC360" s="234"/>
      <c r="HD360" s="234">
        <f t="shared" si="4023"/>
        <v>12</v>
      </c>
      <c r="HE360" s="234"/>
      <c r="HF360" s="234"/>
      <c r="HG360" s="234"/>
      <c r="HH360" s="234"/>
      <c r="HI360" s="222">
        <f t="shared" si="4024"/>
        <v>12</v>
      </c>
      <c r="HJ360" s="223">
        <f t="shared" si="4025"/>
        <v>24</v>
      </c>
      <c r="HK360" s="224">
        <f t="shared" si="4026"/>
        <v>36</v>
      </c>
      <c r="HL360" s="234">
        <f t="shared" si="4027"/>
        <v>2304</v>
      </c>
      <c r="HM360" s="234">
        <f>HA360*HB360*CHslave+HA360*KLslave*HD360+MUslave*HB360*HD360</f>
        <v>3456</v>
      </c>
      <c r="HN360" s="234">
        <f t="shared" si="4028"/>
        <v>1728</v>
      </c>
      <c r="HO360" s="242">
        <f t="shared" si="4029"/>
        <v>7488</v>
      </c>
      <c r="HP360" s="223">
        <f t="shared" si="4030"/>
        <v>3.6923076923076925</v>
      </c>
      <c r="HQ360" s="223">
        <f t="shared" si="4031"/>
        <v>11.076923076923077</v>
      </c>
      <c r="HR360" s="223">
        <f t="shared" si="4032"/>
        <v>8.3076923076923084</v>
      </c>
      <c r="HS360" s="218">
        <f t="shared" si="4033"/>
        <v>23.07692307692308</v>
      </c>
      <c r="HT360" s="252">
        <f t="shared" si="4034"/>
        <v>0</v>
      </c>
      <c r="HU360" s="309">
        <f t="shared" si="4035"/>
        <v>23.07692307692308</v>
      </c>
      <c r="HV360" s="218">
        <f t="shared" si="4036"/>
        <v>175.5384615384616</v>
      </c>
      <c r="HW360" s="242">
        <f t="shared" si="4036"/>
        <v>2</v>
      </c>
      <c r="HX360" s="243">
        <f t="shared" si="4037"/>
        <v>173.5384615384616</v>
      </c>
      <c r="HY360" s="218">
        <f t="shared" si="4038"/>
        <v>0</v>
      </c>
      <c r="IA360" s="303" t="s">
        <v>316</v>
      </c>
      <c r="IB360" s="304" t="s">
        <v>84</v>
      </c>
      <c r="IC360" s="218" t="s">
        <v>132</v>
      </c>
      <c r="ID360" s="234">
        <f>Konvention_1slave-MUslave</f>
        <v>12</v>
      </c>
      <c r="IE360" s="234">
        <f>Konvention_1slave-KLslave</f>
        <v>12</v>
      </c>
      <c r="IF360" s="234"/>
      <c r="IG360" s="234">
        <f t="shared" si="4039"/>
        <v>12</v>
      </c>
      <c r="IH360" s="234"/>
      <c r="II360" s="234"/>
      <c r="IJ360" s="234"/>
      <c r="IK360" s="234"/>
      <c r="IL360" s="222">
        <f t="shared" si="4040"/>
        <v>12</v>
      </c>
      <c r="IM360" s="223">
        <f t="shared" si="4041"/>
        <v>24</v>
      </c>
      <c r="IN360" s="224">
        <f t="shared" si="4042"/>
        <v>36</v>
      </c>
      <c r="IO360" s="234">
        <f t="shared" si="4043"/>
        <v>2304</v>
      </c>
      <c r="IP360" s="234">
        <f>ID360*IE360*CHslave+ID360*KLslave*IG360+MUslave*IE360*IG360</f>
        <v>3456</v>
      </c>
      <c r="IQ360" s="234">
        <f t="shared" si="4044"/>
        <v>1728</v>
      </c>
      <c r="IR360" s="242">
        <f t="shared" si="4045"/>
        <v>7488</v>
      </c>
      <c r="IS360" s="223">
        <f t="shared" si="4046"/>
        <v>3.6923076923076925</v>
      </c>
      <c r="IT360" s="223">
        <f t="shared" si="4047"/>
        <v>11.076923076923077</v>
      </c>
      <c r="IU360" s="223">
        <f t="shared" si="4048"/>
        <v>8.3076923076923084</v>
      </c>
      <c r="IV360" s="218">
        <f t="shared" si="4049"/>
        <v>23.07692307692308</v>
      </c>
      <c r="IW360" s="252">
        <f t="shared" si="4050"/>
        <v>0</v>
      </c>
      <c r="IX360" s="309">
        <f t="shared" si="4051"/>
        <v>23.07692307692308</v>
      </c>
      <c r="IY360" s="218">
        <f t="shared" si="4052"/>
        <v>175.5384615384616</v>
      </c>
      <c r="IZ360" s="242">
        <f t="shared" si="4052"/>
        <v>2</v>
      </c>
      <c r="JA360" s="243">
        <f t="shared" si="4053"/>
        <v>173.5384615384616</v>
      </c>
      <c r="JB360" s="218">
        <f t="shared" si="4054"/>
        <v>0</v>
      </c>
      <c r="JE360" s="148"/>
    </row>
    <row r="361" spans="2:265" hidden="1" outlineLevel="2">
      <c r="B361" s="148">
        <v>5</v>
      </c>
      <c r="C361" s="303" t="e">
        <f>VLOOKUP(AF361,Attribute!C:T,1,FALSE)</f>
        <v>#N/A</v>
      </c>
      <c r="D361" s="86" t="s">
        <v>87</v>
      </c>
      <c r="E361" s="125" t="s">
        <v>132</v>
      </c>
      <c r="F361" s="113"/>
      <c r="G361" s="113">
        <f>Konvention_1master-KLmaster</f>
        <v>12</v>
      </c>
      <c r="H361" s="113">
        <f>Konvention_1master-INmaster</f>
        <v>12</v>
      </c>
      <c r="I361" s="113">
        <f t="shared" si="3912"/>
        <v>12</v>
      </c>
      <c r="J361" s="113"/>
      <c r="K361" s="113"/>
      <c r="L361" s="113"/>
      <c r="M361" s="113"/>
      <c r="N361" s="222">
        <f t="shared" si="3913"/>
        <v>12</v>
      </c>
      <c r="O361" s="223">
        <f t="shared" si="3914"/>
        <v>24</v>
      </c>
      <c r="P361" s="224">
        <f t="shared" si="3915"/>
        <v>36</v>
      </c>
      <c r="Q361" s="234">
        <f t="shared" si="3916"/>
        <v>2304</v>
      </c>
      <c r="R361" s="113">
        <f>G361*H361*CHmaster+G361*INmaster*I361+KLmaster*H361*I361</f>
        <v>3456</v>
      </c>
      <c r="S361" s="234">
        <f t="shared" si="3917"/>
        <v>1728</v>
      </c>
      <c r="T361" s="242">
        <f t="shared" si="3918"/>
        <v>7488</v>
      </c>
      <c r="U361" s="223">
        <f t="shared" si="3919"/>
        <v>3.6923076923076925</v>
      </c>
      <c r="V361" s="223">
        <f t="shared" si="3920"/>
        <v>11.076923076923077</v>
      </c>
      <c r="W361" s="223">
        <f t="shared" si="3921"/>
        <v>8.3076923076923084</v>
      </c>
      <c r="X361" s="218">
        <f t="shared" si="3922"/>
        <v>23.07692307692308</v>
      </c>
      <c r="Y361" s="252">
        <v>0</v>
      </c>
      <c r="Z361" s="198">
        <f t="shared" si="3923"/>
        <v>23.07692307692308</v>
      </c>
      <c r="AA361" s="125">
        <f t="shared" si="3924"/>
        <v>175.5384615384616</v>
      </c>
      <c r="AB361" s="160">
        <f t="shared" si="3924"/>
        <v>2</v>
      </c>
      <c r="AC361" s="127">
        <f t="shared" si="3925"/>
        <v>173.5384615384616</v>
      </c>
      <c r="AD361" s="125">
        <f t="shared" si="3926"/>
        <v>0</v>
      </c>
      <c r="AF361" s="163" t="s">
        <v>317</v>
      </c>
      <c r="AG361" s="86" t="s">
        <v>87</v>
      </c>
      <c r="AH361" s="125" t="s">
        <v>132</v>
      </c>
      <c r="AI361" s="113"/>
      <c r="AJ361" s="113">
        <f>Konvention_1slave-KLslave</f>
        <v>12</v>
      </c>
      <c r="AK361" s="113">
        <f>Konvention_1slave-INslave</f>
        <v>12</v>
      </c>
      <c r="AL361" s="113">
        <f t="shared" si="3927"/>
        <v>12</v>
      </c>
      <c r="AM361" s="113"/>
      <c r="AN361" s="113"/>
      <c r="AO361" s="113"/>
      <c r="AP361" s="113"/>
      <c r="AQ361" s="89">
        <f t="shared" si="3928"/>
        <v>12</v>
      </c>
      <c r="AR361" s="47">
        <f t="shared" si="3929"/>
        <v>24</v>
      </c>
      <c r="AS361" s="119">
        <f t="shared" si="3930"/>
        <v>36</v>
      </c>
      <c r="AT361" s="113">
        <f t="shared" si="3931"/>
        <v>2304</v>
      </c>
      <c r="AU361" s="113">
        <f>AJ361*AK361*CHslave+AJ361*INslave*AL361+KLslave*AK361*AL361</f>
        <v>3456</v>
      </c>
      <c r="AV361" s="113">
        <f t="shared" si="3932"/>
        <v>1728</v>
      </c>
      <c r="AW361" s="160">
        <f t="shared" si="3933"/>
        <v>7488</v>
      </c>
      <c r="AX361" s="47">
        <f t="shared" si="3934"/>
        <v>3.6923076923076925</v>
      </c>
      <c r="AY361" s="47">
        <f t="shared" si="3935"/>
        <v>11.076923076923077</v>
      </c>
      <c r="AZ361" s="47">
        <f t="shared" si="3936"/>
        <v>8.3076923076923084</v>
      </c>
      <c r="BA361" s="125">
        <f t="shared" si="3937"/>
        <v>23.07692307692308</v>
      </c>
      <c r="BB361" s="165">
        <f t="shared" si="3938"/>
        <v>0</v>
      </c>
      <c r="BC361" s="198">
        <f t="shared" si="3939"/>
        <v>23.07692307692308</v>
      </c>
      <c r="BD361" s="125">
        <f t="shared" si="3940"/>
        <v>175.5384615384616</v>
      </c>
      <c r="BE361" s="160">
        <f t="shared" si="3940"/>
        <v>2</v>
      </c>
      <c r="BF361" s="243">
        <f t="shared" si="3941"/>
        <v>173.5384615384616</v>
      </c>
      <c r="BG361" s="218">
        <f t="shared" si="3942"/>
        <v>0</v>
      </c>
      <c r="BI361" s="303" t="s">
        <v>317</v>
      </c>
      <c r="BJ361" s="304" t="s">
        <v>87</v>
      </c>
      <c r="BK361" s="218" t="s">
        <v>132</v>
      </c>
      <c r="BL361" s="234"/>
      <c r="BM361" s="234">
        <f>Konvention_1slave-KLslave_KL</f>
        <v>11</v>
      </c>
      <c r="BN361" s="234">
        <f>Konvention_1slave-INslave</f>
        <v>12</v>
      </c>
      <c r="BO361" s="234">
        <f t="shared" si="3943"/>
        <v>12</v>
      </c>
      <c r="BP361" s="234"/>
      <c r="BQ361" s="234"/>
      <c r="BR361" s="234"/>
      <c r="BS361" s="234"/>
      <c r="BT361" s="222">
        <f t="shared" si="3944"/>
        <v>11.666666666666666</v>
      </c>
      <c r="BU361" s="223">
        <f t="shared" si="3945"/>
        <v>23.333333333333332</v>
      </c>
      <c r="BV361" s="224">
        <f t="shared" si="3946"/>
        <v>35</v>
      </c>
      <c r="BW361" s="234">
        <f t="shared" si="3947"/>
        <v>2432</v>
      </c>
      <c r="BX361" s="234">
        <f>BM361*BN361*CHslave+BM361*INslave*BO361+KLslave_KL*BN361*BO361</f>
        <v>3408</v>
      </c>
      <c r="BY361" s="234">
        <f t="shared" si="3948"/>
        <v>1584</v>
      </c>
      <c r="BZ361" s="242">
        <f t="shared" si="3949"/>
        <v>7424</v>
      </c>
      <c r="CA361" s="223">
        <f t="shared" si="3950"/>
        <v>3.8218390804597702</v>
      </c>
      <c r="CB361" s="223">
        <f t="shared" si="3951"/>
        <v>10.711206896551724</v>
      </c>
      <c r="CC361" s="223">
        <f t="shared" si="3952"/>
        <v>7.4676724137931032</v>
      </c>
      <c r="CD361" s="218">
        <f t="shared" si="3953"/>
        <v>22.000718390804597</v>
      </c>
      <c r="CE361" s="252">
        <f t="shared" si="3954"/>
        <v>0</v>
      </c>
      <c r="CF361" s="309">
        <f t="shared" si="3955"/>
        <v>22.000718390804597</v>
      </c>
      <c r="CG361" s="218">
        <f t="shared" si="3956"/>
        <v>154.01436781609189</v>
      </c>
      <c r="CH361" s="242">
        <f t="shared" si="3956"/>
        <v>2</v>
      </c>
      <c r="CI361" s="243">
        <f t="shared" si="3957"/>
        <v>152.01436781609189</v>
      </c>
      <c r="CJ361" s="218">
        <f t="shared" si="3958"/>
        <v>0</v>
      </c>
      <c r="CL361" s="303" t="s">
        <v>317</v>
      </c>
      <c r="CM361" s="304" t="s">
        <v>87</v>
      </c>
      <c r="CN361" s="218" t="s">
        <v>132</v>
      </c>
      <c r="CO361" s="234"/>
      <c r="CP361" s="234">
        <f>Konvention_1slave-KLslave</f>
        <v>12</v>
      </c>
      <c r="CQ361" s="234">
        <f>Konvention_1slave-INslave_IN</f>
        <v>11</v>
      </c>
      <c r="CR361" s="234">
        <f t="shared" si="3959"/>
        <v>12</v>
      </c>
      <c r="CS361" s="234"/>
      <c r="CT361" s="234"/>
      <c r="CU361" s="234"/>
      <c r="CV361" s="234"/>
      <c r="CW361" s="222">
        <f t="shared" si="3960"/>
        <v>11.666666666666666</v>
      </c>
      <c r="CX361" s="223">
        <f t="shared" si="3961"/>
        <v>23.333333333333332</v>
      </c>
      <c r="CY361" s="224">
        <f t="shared" si="3962"/>
        <v>35</v>
      </c>
      <c r="CZ361" s="234">
        <f t="shared" si="3963"/>
        <v>2432</v>
      </c>
      <c r="DA361" s="234">
        <f>CP361*CQ361*CHslave+CP361*INslave_IN*CR361+KLslave*CQ361*CR361</f>
        <v>3408</v>
      </c>
      <c r="DB361" s="234">
        <f t="shared" si="3964"/>
        <v>1584</v>
      </c>
      <c r="DC361" s="242">
        <f t="shared" si="3965"/>
        <v>7424</v>
      </c>
      <c r="DD361" s="223">
        <f t="shared" si="3966"/>
        <v>3.8218390804597702</v>
      </c>
      <c r="DE361" s="223">
        <f t="shared" si="3967"/>
        <v>10.711206896551724</v>
      </c>
      <c r="DF361" s="223">
        <f t="shared" si="3968"/>
        <v>7.4676724137931032</v>
      </c>
      <c r="DG361" s="218">
        <f t="shared" si="3969"/>
        <v>22.000718390804597</v>
      </c>
      <c r="DH361" s="252">
        <f t="shared" si="3970"/>
        <v>0</v>
      </c>
      <c r="DI361" s="309">
        <f t="shared" si="3971"/>
        <v>22.000718390804597</v>
      </c>
      <c r="DJ361" s="218">
        <f t="shared" si="3972"/>
        <v>154.01436781609189</v>
      </c>
      <c r="DK361" s="242">
        <f t="shared" si="3972"/>
        <v>2</v>
      </c>
      <c r="DL361" s="243">
        <f t="shared" si="3973"/>
        <v>152.01436781609189</v>
      </c>
      <c r="DM361" s="218">
        <f t="shared" si="3974"/>
        <v>0</v>
      </c>
      <c r="DO361" s="303" t="s">
        <v>317</v>
      </c>
      <c r="DP361" s="304" t="s">
        <v>87</v>
      </c>
      <c r="DQ361" s="218" t="s">
        <v>132</v>
      </c>
      <c r="DR361" s="234"/>
      <c r="DS361" s="234">
        <f>Konvention_1slave-KLslave</f>
        <v>12</v>
      </c>
      <c r="DT361" s="234">
        <f>Konvention_1slave-INslave</f>
        <v>12</v>
      </c>
      <c r="DU361" s="234">
        <f t="shared" si="3975"/>
        <v>11</v>
      </c>
      <c r="DV361" s="234"/>
      <c r="DW361" s="234"/>
      <c r="DX361" s="234"/>
      <c r="DY361" s="234"/>
      <c r="DZ361" s="222">
        <f t="shared" si="3976"/>
        <v>11.666666666666666</v>
      </c>
      <c r="EA361" s="223">
        <f t="shared" si="3977"/>
        <v>23.333333333333332</v>
      </c>
      <c r="EB361" s="224">
        <f t="shared" si="3978"/>
        <v>35</v>
      </c>
      <c r="EC361" s="234">
        <f t="shared" si="3979"/>
        <v>2432</v>
      </c>
      <c r="ED361" s="234">
        <f>DS361*DT361*CHslave_CH+DS361*INslave*DU361+KLslave*DT361*DU361</f>
        <v>3408</v>
      </c>
      <c r="EE361" s="234">
        <f t="shared" si="3980"/>
        <v>1584</v>
      </c>
      <c r="EF361" s="242">
        <f t="shared" si="3981"/>
        <v>7424</v>
      </c>
      <c r="EG361" s="223">
        <f t="shared" si="3982"/>
        <v>3.8218390804597702</v>
      </c>
      <c r="EH361" s="223">
        <f t="shared" si="3983"/>
        <v>10.711206896551724</v>
      </c>
      <c r="EI361" s="223">
        <f t="shared" si="3984"/>
        <v>7.4676724137931032</v>
      </c>
      <c r="EJ361" s="218">
        <f t="shared" si="3985"/>
        <v>22.000718390804597</v>
      </c>
      <c r="EK361" s="252">
        <f t="shared" si="3986"/>
        <v>0</v>
      </c>
      <c r="EL361" s="309">
        <f t="shared" si="3987"/>
        <v>22.000718390804597</v>
      </c>
      <c r="EM361" s="218">
        <f t="shared" si="3988"/>
        <v>154.01436781609189</v>
      </c>
      <c r="EN361" s="242">
        <f t="shared" si="3988"/>
        <v>2</v>
      </c>
      <c r="EO361" s="243">
        <f t="shared" si="3989"/>
        <v>152.01436781609189</v>
      </c>
      <c r="EP361" s="218">
        <f t="shared" si="3990"/>
        <v>0</v>
      </c>
      <c r="ER361" s="303" t="s">
        <v>317</v>
      </c>
      <c r="ES361" s="304" t="s">
        <v>87</v>
      </c>
      <c r="ET361" s="218" t="s">
        <v>132</v>
      </c>
      <c r="EU361" s="234"/>
      <c r="EV361" s="234">
        <f>Konvention_1slave-KLslave</f>
        <v>12</v>
      </c>
      <c r="EW361" s="234">
        <f>Konvention_1slave-INslave</f>
        <v>12</v>
      </c>
      <c r="EX361" s="234">
        <f t="shared" si="3991"/>
        <v>12</v>
      </c>
      <c r="EY361" s="234"/>
      <c r="EZ361" s="234"/>
      <c r="FA361" s="234"/>
      <c r="FB361" s="234"/>
      <c r="FC361" s="222">
        <f t="shared" si="3992"/>
        <v>12</v>
      </c>
      <c r="FD361" s="223">
        <f t="shared" si="3993"/>
        <v>24</v>
      </c>
      <c r="FE361" s="224">
        <f t="shared" si="3994"/>
        <v>36</v>
      </c>
      <c r="FF361" s="234">
        <f t="shared" si="3995"/>
        <v>2304</v>
      </c>
      <c r="FG361" s="234">
        <f>EV361*EW361*CHslave+EV361*INslave*EX361+KLslave*EW361*EX361</f>
        <v>3456</v>
      </c>
      <c r="FH361" s="234">
        <f t="shared" si="3996"/>
        <v>1728</v>
      </c>
      <c r="FI361" s="242">
        <f t="shared" si="3997"/>
        <v>7488</v>
      </c>
      <c r="FJ361" s="223">
        <f t="shared" si="3998"/>
        <v>3.6923076923076925</v>
      </c>
      <c r="FK361" s="223">
        <f t="shared" si="3999"/>
        <v>11.076923076923077</v>
      </c>
      <c r="FL361" s="223">
        <f t="shared" si="4000"/>
        <v>8.3076923076923084</v>
      </c>
      <c r="FM361" s="218">
        <f t="shared" si="4001"/>
        <v>23.07692307692308</v>
      </c>
      <c r="FN361" s="252">
        <f t="shared" si="4002"/>
        <v>0</v>
      </c>
      <c r="FO361" s="309">
        <f t="shared" si="4003"/>
        <v>23.07692307692308</v>
      </c>
      <c r="FP361" s="218">
        <f t="shared" si="4004"/>
        <v>175.5384615384616</v>
      </c>
      <c r="FQ361" s="242">
        <f t="shared" si="4004"/>
        <v>2</v>
      </c>
      <c r="FR361" s="243">
        <f t="shared" si="4005"/>
        <v>173.5384615384616</v>
      </c>
      <c r="FS361" s="218">
        <f t="shared" si="4006"/>
        <v>0</v>
      </c>
      <c r="FU361" s="303" t="s">
        <v>317</v>
      </c>
      <c r="FV361" s="304" t="s">
        <v>87</v>
      </c>
      <c r="FW361" s="218" t="s">
        <v>132</v>
      </c>
      <c r="FX361" s="234"/>
      <c r="FY361" s="234">
        <f>Konvention_1slave-KLslave</f>
        <v>12</v>
      </c>
      <c r="FZ361" s="234">
        <f>Konvention_1slave-INslave</f>
        <v>12</v>
      </c>
      <c r="GA361" s="234">
        <f t="shared" si="4007"/>
        <v>12</v>
      </c>
      <c r="GB361" s="234"/>
      <c r="GC361" s="234"/>
      <c r="GD361" s="234"/>
      <c r="GE361" s="234"/>
      <c r="GF361" s="222">
        <f t="shared" si="4008"/>
        <v>12</v>
      </c>
      <c r="GG361" s="223">
        <f t="shared" si="4009"/>
        <v>24</v>
      </c>
      <c r="GH361" s="224">
        <f t="shared" si="4010"/>
        <v>36</v>
      </c>
      <c r="GI361" s="234">
        <f t="shared" si="4011"/>
        <v>2304</v>
      </c>
      <c r="GJ361" s="234">
        <f>FY361*FZ361*CHslave+FY361*INslave*GA361+KLslave*FZ361*GA361</f>
        <v>3456</v>
      </c>
      <c r="GK361" s="234">
        <f t="shared" si="4012"/>
        <v>1728</v>
      </c>
      <c r="GL361" s="242">
        <f t="shared" si="4013"/>
        <v>7488</v>
      </c>
      <c r="GM361" s="223">
        <f t="shared" si="4014"/>
        <v>3.6923076923076925</v>
      </c>
      <c r="GN361" s="223">
        <f t="shared" si="4015"/>
        <v>11.076923076923077</v>
      </c>
      <c r="GO361" s="223">
        <f t="shared" si="4016"/>
        <v>8.3076923076923084</v>
      </c>
      <c r="GP361" s="218">
        <f t="shared" si="4017"/>
        <v>23.07692307692308</v>
      </c>
      <c r="GQ361" s="252">
        <f t="shared" si="4018"/>
        <v>0</v>
      </c>
      <c r="GR361" s="309">
        <f t="shared" si="4019"/>
        <v>23.07692307692308</v>
      </c>
      <c r="GS361" s="218">
        <f t="shared" si="4020"/>
        <v>175.5384615384616</v>
      </c>
      <c r="GT361" s="242">
        <f t="shared" si="4020"/>
        <v>2</v>
      </c>
      <c r="GU361" s="243">
        <f t="shared" si="4021"/>
        <v>173.5384615384616</v>
      </c>
      <c r="GV361" s="218">
        <f t="shared" si="4022"/>
        <v>0</v>
      </c>
      <c r="GX361" s="303" t="s">
        <v>317</v>
      </c>
      <c r="GY361" s="304" t="s">
        <v>87</v>
      </c>
      <c r="GZ361" s="218" t="s">
        <v>132</v>
      </c>
      <c r="HA361" s="234"/>
      <c r="HB361" s="234">
        <f>Konvention_1slave-KLslave</f>
        <v>12</v>
      </c>
      <c r="HC361" s="234">
        <f>Konvention_1slave-INslave</f>
        <v>12</v>
      </c>
      <c r="HD361" s="234">
        <f t="shared" si="4023"/>
        <v>12</v>
      </c>
      <c r="HE361" s="234"/>
      <c r="HF361" s="234"/>
      <c r="HG361" s="234"/>
      <c r="HH361" s="234"/>
      <c r="HI361" s="222">
        <f t="shared" si="4024"/>
        <v>12</v>
      </c>
      <c r="HJ361" s="223">
        <f t="shared" si="4025"/>
        <v>24</v>
      </c>
      <c r="HK361" s="224">
        <f t="shared" si="4026"/>
        <v>36</v>
      </c>
      <c r="HL361" s="234">
        <f t="shared" si="4027"/>
        <v>2304</v>
      </c>
      <c r="HM361" s="234">
        <f>HB361*HC361*CHslave+HB361*INslave*HD361+KLslave*HC361*HD361</f>
        <v>3456</v>
      </c>
      <c r="HN361" s="234">
        <f t="shared" si="4028"/>
        <v>1728</v>
      </c>
      <c r="HO361" s="242">
        <f t="shared" si="4029"/>
        <v>7488</v>
      </c>
      <c r="HP361" s="223">
        <f t="shared" si="4030"/>
        <v>3.6923076923076925</v>
      </c>
      <c r="HQ361" s="223">
        <f t="shared" si="4031"/>
        <v>11.076923076923077</v>
      </c>
      <c r="HR361" s="223">
        <f t="shared" si="4032"/>
        <v>8.3076923076923084</v>
      </c>
      <c r="HS361" s="218">
        <f t="shared" si="4033"/>
        <v>23.07692307692308</v>
      </c>
      <c r="HT361" s="252">
        <f t="shared" si="4034"/>
        <v>0</v>
      </c>
      <c r="HU361" s="309">
        <f t="shared" si="4035"/>
        <v>23.07692307692308</v>
      </c>
      <c r="HV361" s="218">
        <f t="shared" si="4036"/>
        <v>175.5384615384616</v>
      </c>
      <c r="HW361" s="242">
        <f t="shared" si="4036"/>
        <v>2</v>
      </c>
      <c r="HX361" s="243">
        <f t="shared" si="4037"/>
        <v>173.5384615384616</v>
      </c>
      <c r="HY361" s="218">
        <f t="shared" si="4038"/>
        <v>0</v>
      </c>
      <c r="IA361" s="303" t="s">
        <v>317</v>
      </c>
      <c r="IB361" s="304" t="s">
        <v>87</v>
      </c>
      <c r="IC361" s="218" t="s">
        <v>132</v>
      </c>
      <c r="ID361" s="234"/>
      <c r="IE361" s="234">
        <f>Konvention_1slave-KLslave</f>
        <v>12</v>
      </c>
      <c r="IF361" s="234">
        <f>Konvention_1slave-INslave</f>
        <v>12</v>
      </c>
      <c r="IG361" s="234">
        <f t="shared" si="4039"/>
        <v>12</v>
      </c>
      <c r="IH361" s="234"/>
      <c r="II361" s="234"/>
      <c r="IJ361" s="234"/>
      <c r="IK361" s="234"/>
      <c r="IL361" s="222">
        <f t="shared" si="4040"/>
        <v>12</v>
      </c>
      <c r="IM361" s="223">
        <f t="shared" si="4041"/>
        <v>24</v>
      </c>
      <c r="IN361" s="224">
        <f t="shared" si="4042"/>
        <v>36</v>
      </c>
      <c r="IO361" s="234">
        <f t="shared" si="4043"/>
        <v>2304</v>
      </c>
      <c r="IP361" s="234">
        <f>IE361*IF361*CHslave+IE361*INslave*IG361+KLslave*IF361*IG361</f>
        <v>3456</v>
      </c>
      <c r="IQ361" s="234">
        <f t="shared" si="4044"/>
        <v>1728</v>
      </c>
      <c r="IR361" s="242">
        <f t="shared" si="4045"/>
        <v>7488</v>
      </c>
      <c r="IS361" s="223">
        <f t="shared" si="4046"/>
        <v>3.6923076923076925</v>
      </c>
      <c r="IT361" s="223">
        <f t="shared" si="4047"/>
        <v>11.076923076923077</v>
      </c>
      <c r="IU361" s="223">
        <f t="shared" si="4048"/>
        <v>8.3076923076923084</v>
      </c>
      <c r="IV361" s="218">
        <f t="shared" si="4049"/>
        <v>23.07692307692308</v>
      </c>
      <c r="IW361" s="252">
        <f t="shared" si="4050"/>
        <v>0</v>
      </c>
      <c r="IX361" s="309">
        <f t="shared" si="4051"/>
        <v>23.07692307692308</v>
      </c>
      <c r="IY361" s="218">
        <f t="shared" si="4052"/>
        <v>175.5384615384616</v>
      </c>
      <c r="IZ361" s="242">
        <f t="shared" si="4052"/>
        <v>2</v>
      </c>
      <c r="JA361" s="243">
        <f t="shared" si="4053"/>
        <v>173.5384615384616</v>
      </c>
      <c r="JB361" s="218">
        <f t="shared" si="4054"/>
        <v>0</v>
      </c>
      <c r="JE361" s="148"/>
    </row>
    <row r="362" spans="2:265" ht="15" hidden="1" customHeight="1" outlineLevel="2">
      <c r="B362" s="148">
        <v>6</v>
      </c>
      <c r="C362" s="303" t="e">
        <f>VLOOKUP(AF362,Attribute!C:T,1,FALSE)</f>
        <v>#N/A</v>
      </c>
      <c r="D362" s="86" t="s">
        <v>227</v>
      </c>
      <c r="E362" s="125" t="s">
        <v>134</v>
      </c>
      <c r="F362" s="113">
        <f>Konvention_1master-MUmaster</f>
        <v>12</v>
      </c>
      <c r="G362" s="113"/>
      <c r="H362" s="113"/>
      <c r="I362" s="113">
        <f t="shared" si="3912"/>
        <v>12</v>
      </c>
      <c r="J362" s="113"/>
      <c r="K362" s="113"/>
      <c r="L362" s="113">
        <f>Konvention_1master-KOmaster</f>
        <v>12</v>
      </c>
      <c r="M362" s="113"/>
      <c r="N362" s="222">
        <f t="shared" si="3913"/>
        <v>12</v>
      </c>
      <c r="O362" s="223">
        <f t="shared" si="3914"/>
        <v>24</v>
      </c>
      <c r="P362" s="224">
        <f t="shared" si="3915"/>
        <v>36</v>
      </c>
      <c r="Q362" s="234">
        <f t="shared" si="3916"/>
        <v>2304</v>
      </c>
      <c r="R362" s="113">
        <f>F362*I362*KOmaster+F362*CHmaster*L362+MUmaster*I362*L362</f>
        <v>3456</v>
      </c>
      <c r="S362" s="234">
        <f t="shared" si="3917"/>
        <v>1728</v>
      </c>
      <c r="T362" s="242">
        <f t="shared" si="3918"/>
        <v>7488</v>
      </c>
      <c r="U362" s="223">
        <f t="shared" si="3919"/>
        <v>3.6923076923076925</v>
      </c>
      <c r="V362" s="223">
        <f t="shared" si="3920"/>
        <v>11.076923076923077</v>
      </c>
      <c r="W362" s="223">
        <f t="shared" si="3921"/>
        <v>8.3076923076923084</v>
      </c>
      <c r="X362" s="218">
        <f t="shared" si="3922"/>
        <v>23.07692307692308</v>
      </c>
      <c r="Y362" s="252">
        <v>0</v>
      </c>
      <c r="Z362" s="198">
        <f t="shared" si="3923"/>
        <v>23.07692307692308</v>
      </c>
      <c r="AA362" s="125">
        <f>IF(X362&lt;=0,4,0)+IF(X362&gt;0,X362+1,0)*4+IF(X362&gt;12,X362-12,0)*4+IF(X362&gt;13,X362-13,0)*4+IF(X362&gt;14,X362-14,0)*4+IF(X362&gt;15,X362-15,0)*4+IF(X362&gt;16,X362-16,0)*4+IF(X362&gt;17,X362-17,0)*4+IF(X362&gt;18,X362-18,0)*4+IF(X362&gt;19,X362-19,0)*4+IF(X362&gt;20,X362-20,0)*4</f>
        <v>351.07692307692321</v>
      </c>
      <c r="AB362" s="160">
        <f>IF(Y362&lt;=0,4,0)+IF(Y362&gt;0,Y362+1,0)*4+IF(Y362&gt;12,Y362-12,0)*4+IF(Y362&gt;13,Y362-13,0)*4+IF(Y362&gt;14,Y362-14,0)*4+IF(Y362&gt;15,Y362-15,0)*4+IF(Y362&gt;16,Y362-16,0)*4+IF(Y362&gt;17,Y362-17,0)*4+IF(Y362&gt;18,Y362-18,0)*4+IF(Y362&gt;19,Y362-19,0)*4+IF(Y362&gt;20,Y362-20,0)*4</f>
        <v>4</v>
      </c>
      <c r="AC362" s="127">
        <f t="shared" si="3925"/>
        <v>347.07692307692321</v>
      </c>
      <c r="AD362" s="125">
        <f t="shared" si="3926"/>
        <v>0</v>
      </c>
      <c r="AF362" s="163" t="s">
        <v>425</v>
      </c>
      <c r="AG362" s="86" t="s">
        <v>227</v>
      </c>
      <c r="AH362" s="125" t="s">
        <v>134</v>
      </c>
      <c r="AI362" s="113">
        <f>Konvention_1slave-MUslave_MU</f>
        <v>11</v>
      </c>
      <c r="AJ362" s="113"/>
      <c r="AK362" s="113"/>
      <c r="AL362" s="113">
        <f t="shared" si="3927"/>
        <v>12</v>
      </c>
      <c r="AM362" s="113"/>
      <c r="AN362" s="113"/>
      <c r="AO362" s="113">
        <f>Konvention_1slave-KOslave</f>
        <v>12</v>
      </c>
      <c r="AP362" s="113"/>
      <c r="AQ362" s="89">
        <f t="shared" si="3928"/>
        <v>11.666666666666666</v>
      </c>
      <c r="AR362" s="47">
        <f t="shared" si="3929"/>
        <v>23.333333333333332</v>
      </c>
      <c r="AS362" s="119">
        <f t="shared" si="3930"/>
        <v>35</v>
      </c>
      <c r="AT362" s="113">
        <f t="shared" si="3931"/>
        <v>2432</v>
      </c>
      <c r="AU362" s="113">
        <f>AI362*AL362*KOslave+AI362*CHslave*AO362+MUslave_MU*AL362*AO362</f>
        <v>3408</v>
      </c>
      <c r="AV362" s="113">
        <f t="shared" si="3932"/>
        <v>1584</v>
      </c>
      <c r="AW362" s="160">
        <f t="shared" si="3933"/>
        <v>7424</v>
      </c>
      <c r="AX362" s="47">
        <f t="shared" si="3934"/>
        <v>3.8218390804597702</v>
      </c>
      <c r="AY362" s="47">
        <f t="shared" si="3935"/>
        <v>10.711206896551724</v>
      </c>
      <c r="AZ362" s="47">
        <f t="shared" si="3936"/>
        <v>7.4676724137931032</v>
      </c>
      <c r="BA362" s="125">
        <f t="shared" si="3937"/>
        <v>22.000718390804597</v>
      </c>
      <c r="BB362" s="165">
        <f t="shared" si="3938"/>
        <v>0</v>
      </c>
      <c r="BC362" s="198">
        <f t="shared" si="3939"/>
        <v>22.000718390804597</v>
      </c>
      <c r="BD362" s="125">
        <f>IF(BA362&lt;=0,4,0)+IF(BA362&gt;0,BA362+1,0)*4+IF(BA362&gt;12,BA362-12,0)*4+IF(BA362&gt;13,BA362-13,0)*4+IF(BA362&gt;14,BA362-14,0)*4+IF(BA362&gt;15,BA362-15,0)*4+IF(BA362&gt;16,BA362-16,0)*4+IF(BA362&gt;17,BA362-17,0)*4+IF(BA362&gt;18,BA362-18,0)*4+IF(BA362&gt;19,BA362-19,0)*4+IF(BA362&gt;20,BA362-20,0)*4</f>
        <v>308.02873563218378</v>
      </c>
      <c r="BE362" s="160">
        <f>IF(BB362&lt;=0,4,0)+IF(BB362&gt;0,BB362+1,0)*4+IF(BB362&gt;12,BB362-12,0)*4+IF(BB362&gt;13,BB362-13,0)*4+IF(BB362&gt;14,BB362-14,0)*4+IF(BB362&gt;15,BB362-15,0)*4+IF(BB362&gt;16,BB362-16,0)*4+IF(BB362&gt;17,BB362-17,0)*4+IF(BB362&gt;18,BB362-18,0)*4+IF(BB362&gt;19,BB362-19,0)*4+IF(BB362&gt;20,BB362-20,0)*4</f>
        <v>4</v>
      </c>
      <c r="BF362" s="243">
        <f t="shared" si="3941"/>
        <v>304.02873563218378</v>
      </c>
      <c r="BG362" s="218">
        <f t="shared" si="3942"/>
        <v>0</v>
      </c>
      <c r="BI362" s="303" t="s">
        <v>425</v>
      </c>
      <c r="BJ362" s="304" t="s">
        <v>227</v>
      </c>
      <c r="BK362" s="218" t="s">
        <v>134</v>
      </c>
      <c r="BL362" s="234">
        <f>Konvention_1slave-MUslave</f>
        <v>12</v>
      </c>
      <c r="BM362" s="234"/>
      <c r="BN362" s="234"/>
      <c r="BO362" s="234">
        <f t="shared" si="3943"/>
        <v>12</v>
      </c>
      <c r="BP362" s="234"/>
      <c r="BQ362" s="234"/>
      <c r="BR362" s="234">
        <f>Konvention_1slave-KOslave</f>
        <v>12</v>
      </c>
      <c r="BS362" s="234"/>
      <c r="BT362" s="222">
        <f t="shared" si="3944"/>
        <v>12</v>
      </c>
      <c r="BU362" s="223">
        <f t="shared" si="3945"/>
        <v>24</v>
      </c>
      <c r="BV362" s="224">
        <f t="shared" si="3946"/>
        <v>36</v>
      </c>
      <c r="BW362" s="234">
        <f t="shared" si="3947"/>
        <v>2304</v>
      </c>
      <c r="BX362" s="234">
        <f>BL362*BO362*KOslave+BL362*CHslave*BR362+MUslave*BO362*BR362</f>
        <v>3456</v>
      </c>
      <c r="BY362" s="234">
        <f t="shared" si="3948"/>
        <v>1728</v>
      </c>
      <c r="BZ362" s="242">
        <f t="shared" si="3949"/>
        <v>7488</v>
      </c>
      <c r="CA362" s="223">
        <f t="shared" si="3950"/>
        <v>3.6923076923076925</v>
      </c>
      <c r="CB362" s="223">
        <f t="shared" si="3951"/>
        <v>11.076923076923077</v>
      </c>
      <c r="CC362" s="223">
        <f t="shared" si="3952"/>
        <v>8.3076923076923084</v>
      </c>
      <c r="CD362" s="218">
        <f t="shared" si="3953"/>
        <v>23.07692307692308</v>
      </c>
      <c r="CE362" s="252">
        <f t="shared" si="3954"/>
        <v>0</v>
      </c>
      <c r="CF362" s="309">
        <f t="shared" si="3955"/>
        <v>23.07692307692308</v>
      </c>
      <c r="CG362" s="218">
        <f>IF(CD362&lt;=0,4,0)+IF(CD362&gt;0,CD362+1,0)*4+IF(CD362&gt;12,CD362-12,0)*4+IF(CD362&gt;13,CD362-13,0)*4+IF(CD362&gt;14,CD362-14,0)*4+IF(CD362&gt;15,CD362-15,0)*4+IF(CD362&gt;16,CD362-16,0)*4+IF(CD362&gt;17,CD362-17,0)*4+IF(CD362&gt;18,CD362-18,0)*4+IF(CD362&gt;19,CD362-19,0)*4+IF(CD362&gt;20,CD362-20,0)*4</f>
        <v>351.07692307692321</v>
      </c>
      <c r="CH362" s="242">
        <f>IF(CE362&lt;=0,4,0)+IF(CE362&gt;0,CE362+1,0)*4+IF(CE362&gt;12,CE362-12,0)*4+IF(CE362&gt;13,CE362-13,0)*4+IF(CE362&gt;14,CE362-14,0)*4+IF(CE362&gt;15,CE362-15,0)*4+IF(CE362&gt;16,CE362-16,0)*4+IF(CE362&gt;17,CE362-17,0)*4+IF(CE362&gt;18,CE362-18,0)*4+IF(CE362&gt;19,CE362-19,0)*4+IF(CE362&gt;20,CE362-20,0)*4</f>
        <v>4</v>
      </c>
      <c r="CI362" s="243">
        <f t="shared" si="3957"/>
        <v>347.07692307692321</v>
      </c>
      <c r="CJ362" s="218">
        <f t="shared" si="3958"/>
        <v>0</v>
      </c>
      <c r="CL362" s="303" t="s">
        <v>425</v>
      </c>
      <c r="CM362" s="304" t="s">
        <v>227</v>
      </c>
      <c r="CN362" s="218" t="s">
        <v>134</v>
      </c>
      <c r="CO362" s="234">
        <f>Konvention_1slave-MUslave</f>
        <v>12</v>
      </c>
      <c r="CP362" s="234"/>
      <c r="CQ362" s="234"/>
      <c r="CR362" s="234">
        <f t="shared" si="3959"/>
        <v>12</v>
      </c>
      <c r="CS362" s="234"/>
      <c r="CT362" s="234"/>
      <c r="CU362" s="234">
        <f>Konvention_1slave-KOslave</f>
        <v>12</v>
      </c>
      <c r="CV362" s="234"/>
      <c r="CW362" s="222">
        <f t="shared" si="3960"/>
        <v>12</v>
      </c>
      <c r="CX362" s="223">
        <f t="shared" si="3961"/>
        <v>24</v>
      </c>
      <c r="CY362" s="224">
        <f t="shared" si="3962"/>
        <v>36</v>
      </c>
      <c r="CZ362" s="234">
        <f t="shared" si="3963"/>
        <v>2304</v>
      </c>
      <c r="DA362" s="234">
        <f>CO362*CR362*KOslave+CO362*CHslave*CU362+MUslave*CR362*CU362</f>
        <v>3456</v>
      </c>
      <c r="DB362" s="234">
        <f t="shared" si="3964"/>
        <v>1728</v>
      </c>
      <c r="DC362" s="242">
        <f t="shared" si="3965"/>
        <v>7488</v>
      </c>
      <c r="DD362" s="223">
        <f t="shared" si="3966"/>
        <v>3.6923076923076925</v>
      </c>
      <c r="DE362" s="223">
        <f t="shared" si="3967"/>
        <v>11.076923076923077</v>
      </c>
      <c r="DF362" s="223">
        <f t="shared" si="3968"/>
        <v>8.3076923076923084</v>
      </c>
      <c r="DG362" s="218">
        <f t="shared" si="3969"/>
        <v>23.07692307692308</v>
      </c>
      <c r="DH362" s="252">
        <f t="shared" si="3970"/>
        <v>0</v>
      </c>
      <c r="DI362" s="309">
        <f t="shared" si="3971"/>
        <v>23.07692307692308</v>
      </c>
      <c r="DJ362" s="218">
        <f>IF(DG362&lt;=0,4,0)+IF(DG362&gt;0,DG362+1,0)*4+IF(DG362&gt;12,DG362-12,0)*4+IF(DG362&gt;13,DG362-13,0)*4+IF(DG362&gt;14,DG362-14,0)*4+IF(DG362&gt;15,DG362-15,0)*4+IF(DG362&gt;16,DG362-16,0)*4+IF(DG362&gt;17,DG362-17,0)*4+IF(DG362&gt;18,DG362-18,0)*4+IF(DG362&gt;19,DG362-19,0)*4+IF(DG362&gt;20,DG362-20,0)*4</f>
        <v>351.07692307692321</v>
      </c>
      <c r="DK362" s="242">
        <f>IF(DH362&lt;=0,4,0)+IF(DH362&gt;0,DH362+1,0)*4+IF(DH362&gt;12,DH362-12,0)*4+IF(DH362&gt;13,DH362-13,0)*4+IF(DH362&gt;14,DH362-14,0)*4+IF(DH362&gt;15,DH362-15,0)*4+IF(DH362&gt;16,DH362-16,0)*4+IF(DH362&gt;17,DH362-17,0)*4+IF(DH362&gt;18,DH362-18,0)*4+IF(DH362&gt;19,DH362-19,0)*4+IF(DH362&gt;20,DH362-20,0)*4</f>
        <v>4</v>
      </c>
      <c r="DL362" s="243">
        <f t="shared" si="3973"/>
        <v>347.07692307692321</v>
      </c>
      <c r="DM362" s="218">
        <f t="shared" si="3974"/>
        <v>0</v>
      </c>
      <c r="DO362" s="303" t="s">
        <v>425</v>
      </c>
      <c r="DP362" s="304" t="s">
        <v>227</v>
      </c>
      <c r="DQ362" s="218" t="s">
        <v>134</v>
      </c>
      <c r="DR362" s="234">
        <f>Konvention_1slave-MUslave</f>
        <v>12</v>
      </c>
      <c r="DS362" s="234"/>
      <c r="DT362" s="234"/>
      <c r="DU362" s="234">
        <f t="shared" si="3975"/>
        <v>11</v>
      </c>
      <c r="DV362" s="234"/>
      <c r="DW362" s="234"/>
      <c r="DX362" s="234">
        <f>Konvention_1slave-KOslave</f>
        <v>12</v>
      </c>
      <c r="DY362" s="234"/>
      <c r="DZ362" s="222">
        <f t="shared" si="3976"/>
        <v>11.666666666666666</v>
      </c>
      <c r="EA362" s="223">
        <f t="shared" si="3977"/>
        <v>23.333333333333332</v>
      </c>
      <c r="EB362" s="224">
        <f t="shared" si="3978"/>
        <v>35</v>
      </c>
      <c r="EC362" s="234">
        <f t="shared" si="3979"/>
        <v>2432</v>
      </c>
      <c r="ED362" s="234">
        <f>DR362*DU362*KOslave+DR362*CHslave_CH*DX362+MUslave*DU362*DX362</f>
        <v>3408</v>
      </c>
      <c r="EE362" s="234">
        <f t="shared" si="3980"/>
        <v>1584</v>
      </c>
      <c r="EF362" s="242">
        <f t="shared" si="3981"/>
        <v>7424</v>
      </c>
      <c r="EG362" s="223">
        <f t="shared" si="3982"/>
        <v>3.8218390804597702</v>
      </c>
      <c r="EH362" s="223">
        <f t="shared" si="3983"/>
        <v>10.711206896551724</v>
      </c>
      <c r="EI362" s="223">
        <f t="shared" si="3984"/>
        <v>7.4676724137931032</v>
      </c>
      <c r="EJ362" s="218">
        <f t="shared" si="3985"/>
        <v>22.000718390804597</v>
      </c>
      <c r="EK362" s="252">
        <f t="shared" si="3986"/>
        <v>0</v>
      </c>
      <c r="EL362" s="309">
        <f t="shared" si="3987"/>
        <v>22.000718390804597</v>
      </c>
      <c r="EM362" s="218">
        <f>IF(EJ362&lt;=0,4,0)+IF(EJ362&gt;0,EJ362+1,0)*4+IF(EJ362&gt;12,EJ362-12,0)*4+IF(EJ362&gt;13,EJ362-13,0)*4+IF(EJ362&gt;14,EJ362-14,0)*4+IF(EJ362&gt;15,EJ362-15,0)*4+IF(EJ362&gt;16,EJ362-16,0)*4+IF(EJ362&gt;17,EJ362-17,0)*4+IF(EJ362&gt;18,EJ362-18,0)*4+IF(EJ362&gt;19,EJ362-19,0)*4+IF(EJ362&gt;20,EJ362-20,0)*4</f>
        <v>308.02873563218378</v>
      </c>
      <c r="EN362" s="242">
        <f>IF(EK362&lt;=0,4,0)+IF(EK362&gt;0,EK362+1,0)*4+IF(EK362&gt;12,EK362-12,0)*4+IF(EK362&gt;13,EK362-13,0)*4+IF(EK362&gt;14,EK362-14,0)*4+IF(EK362&gt;15,EK362-15,0)*4+IF(EK362&gt;16,EK362-16,0)*4+IF(EK362&gt;17,EK362-17,0)*4+IF(EK362&gt;18,EK362-18,0)*4+IF(EK362&gt;19,EK362-19,0)*4+IF(EK362&gt;20,EK362-20,0)*4</f>
        <v>4</v>
      </c>
      <c r="EO362" s="243">
        <f t="shared" si="3989"/>
        <v>304.02873563218378</v>
      </c>
      <c r="EP362" s="218">
        <f t="shared" si="3990"/>
        <v>0</v>
      </c>
      <c r="ER362" s="303" t="s">
        <v>425</v>
      </c>
      <c r="ES362" s="304" t="s">
        <v>227</v>
      </c>
      <c r="ET362" s="218" t="s">
        <v>134</v>
      </c>
      <c r="EU362" s="234">
        <f>Konvention_1slave-MUslave</f>
        <v>12</v>
      </c>
      <c r="EV362" s="234"/>
      <c r="EW362" s="234"/>
      <c r="EX362" s="234">
        <f t="shared" si="3991"/>
        <v>12</v>
      </c>
      <c r="EY362" s="234"/>
      <c r="EZ362" s="234"/>
      <c r="FA362" s="234">
        <f>Konvention_1slave-KOslave</f>
        <v>12</v>
      </c>
      <c r="FB362" s="234"/>
      <c r="FC362" s="222">
        <f t="shared" si="3992"/>
        <v>12</v>
      </c>
      <c r="FD362" s="223">
        <f t="shared" si="3993"/>
        <v>24</v>
      </c>
      <c r="FE362" s="224">
        <f t="shared" si="3994"/>
        <v>36</v>
      </c>
      <c r="FF362" s="234">
        <f t="shared" si="3995"/>
        <v>2304</v>
      </c>
      <c r="FG362" s="234">
        <f>EU362*EX362*KOslave+EU362*CHslave*FA362+MUslave*EX362*FA362</f>
        <v>3456</v>
      </c>
      <c r="FH362" s="234">
        <f t="shared" si="3996"/>
        <v>1728</v>
      </c>
      <c r="FI362" s="242">
        <f t="shared" si="3997"/>
        <v>7488</v>
      </c>
      <c r="FJ362" s="223">
        <f t="shared" si="3998"/>
        <v>3.6923076923076925</v>
      </c>
      <c r="FK362" s="223">
        <f t="shared" si="3999"/>
        <v>11.076923076923077</v>
      </c>
      <c r="FL362" s="223">
        <f t="shared" si="4000"/>
        <v>8.3076923076923084</v>
      </c>
      <c r="FM362" s="218">
        <f t="shared" si="4001"/>
        <v>23.07692307692308</v>
      </c>
      <c r="FN362" s="252">
        <f t="shared" si="4002"/>
        <v>0</v>
      </c>
      <c r="FO362" s="309">
        <f t="shared" si="4003"/>
        <v>23.07692307692308</v>
      </c>
      <c r="FP362" s="218">
        <f>IF(FM362&lt;=0,4,0)+IF(FM362&gt;0,FM362+1,0)*4+IF(FM362&gt;12,FM362-12,0)*4+IF(FM362&gt;13,FM362-13,0)*4+IF(FM362&gt;14,FM362-14,0)*4+IF(FM362&gt;15,FM362-15,0)*4+IF(FM362&gt;16,FM362-16,0)*4+IF(FM362&gt;17,FM362-17,0)*4+IF(FM362&gt;18,FM362-18,0)*4+IF(FM362&gt;19,FM362-19,0)*4+IF(FM362&gt;20,FM362-20,0)*4</f>
        <v>351.07692307692321</v>
      </c>
      <c r="FQ362" s="242">
        <f>IF(FN362&lt;=0,4,0)+IF(FN362&gt;0,FN362+1,0)*4+IF(FN362&gt;12,FN362-12,0)*4+IF(FN362&gt;13,FN362-13,0)*4+IF(FN362&gt;14,FN362-14,0)*4+IF(FN362&gt;15,FN362-15,0)*4+IF(FN362&gt;16,FN362-16,0)*4+IF(FN362&gt;17,FN362-17,0)*4+IF(FN362&gt;18,FN362-18,0)*4+IF(FN362&gt;19,FN362-19,0)*4+IF(FN362&gt;20,FN362-20,0)*4</f>
        <v>4</v>
      </c>
      <c r="FR362" s="243">
        <f t="shared" si="4005"/>
        <v>347.07692307692321</v>
      </c>
      <c r="FS362" s="218">
        <f t="shared" si="4006"/>
        <v>0</v>
      </c>
      <c r="FU362" s="303" t="s">
        <v>425</v>
      </c>
      <c r="FV362" s="304" t="s">
        <v>227</v>
      </c>
      <c r="FW362" s="218" t="s">
        <v>134</v>
      </c>
      <c r="FX362" s="234">
        <f>Konvention_1slave-MUslave</f>
        <v>12</v>
      </c>
      <c r="FY362" s="234"/>
      <c r="FZ362" s="234"/>
      <c r="GA362" s="234">
        <f t="shared" si="4007"/>
        <v>12</v>
      </c>
      <c r="GB362" s="234"/>
      <c r="GC362" s="234"/>
      <c r="GD362" s="234">
        <f>Konvention_1slave-KOslave</f>
        <v>12</v>
      </c>
      <c r="GE362" s="234"/>
      <c r="GF362" s="222">
        <f t="shared" si="4008"/>
        <v>12</v>
      </c>
      <c r="GG362" s="223">
        <f t="shared" si="4009"/>
        <v>24</v>
      </c>
      <c r="GH362" s="224">
        <f t="shared" si="4010"/>
        <v>36</v>
      </c>
      <c r="GI362" s="234">
        <f t="shared" si="4011"/>
        <v>2304</v>
      </c>
      <c r="GJ362" s="234">
        <f>FX362*GA362*KOslave+FX362*CHslave*GD362+MUslave*GA362*GD362</f>
        <v>3456</v>
      </c>
      <c r="GK362" s="234">
        <f t="shared" si="4012"/>
        <v>1728</v>
      </c>
      <c r="GL362" s="242">
        <f t="shared" si="4013"/>
        <v>7488</v>
      </c>
      <c r="GM362" s="223">
        <f t="shared" si="4014"/>
        <v>3.6923076923076925</v>
      </c>
      <c r="GN362" s="223">
        <f t="shared" si="4015"/>
        <v>11.076923076923077</v>
      </c>
      <c r="GO362" s="223">
        <f t="shared" si="4016"/>
        <v>8.3076923076923084</v>
      </c>
      <c r="GP362" s="218">
        <f t="shared" si="4017"/>
        <v>23.07692307692308</v>
      </c>
      <c r="GQ362" s="252">
        <f t="shared" si="4018"/>
        <v>0</v>
      </c>
      <c r="GR362" s="309">
        <f t="shared" si="4019"/>
        <v>23.07692307692308</v>
      </c>
      <c r="GS362" s="218">
        <f>IF(GP362&lt;=0,4,0)+IF(GP362&gt;0,GP362+1,0)*4+IF(GP362&gt;12,GP362-12,0)*4+IF(GP362&gt;13,GP362-13,0)*4+IF(GP362&gt;14,GP362-14,0)*4+IF(GP362&gt;15,GP362-15,0)*4+IF(GP362&gt;16,GP362-16,0)*4+IF(GP362&gt;17,GP362-17,0)*4+IF(GP362&gt;18,GP362-18,0)*4+IF(GP362&gt;19,GP362-19,0)*4+IF(GP362&gt;20,GP362-20,0)*4</f>
        <v>351.07692307692321</v>
      </c>
      <c r="GT362" s="242">
        <f>IF(GQ362&lt;=0,4,0)+IF(GQ362&gt;0,GQ362+1,0)*4+IF(GQ362&gt;12,GQ362-12,0)*4+IF(GQ362&gt;13,GQ362-13,0)*4+IF(GQ362&gt;14,GQ362-14,0)*4+IF(GQ362&gt;15,GQ362-15,0)*4+IF(GQ362&gt;16,GQ362-16,0)*4+IF(GQ362&gt;17,GQ362-17,0)*4+IF(GQ362&gt;18,GQ362-18,0)*4+IF(GQ362&gt;19,GQ362-19,0)*4+IF(GQ362&gt;20,GQ362-20,0)*4</f>
        <v>4</v>
      </c>
      <c r="GU362" s="243">
        <f t="shared" si="4021"/>
        <v>347.07692307692321</v>
      </c>
      <c r="GV362" s="218">
        <f t="shared" si="4022"/>
        <v>0</v>
      </c>
      <c r="GX362" s="303" t="s">
        <v>425</v>
      </c>
      <c r="GY362" s="304" t="s">
        <v>227</v>
      </c>
      <c r="GZ362" s="218" t="s">
        <v>134</v>
      </c>
      <c r="HA362" s="234">
        <f>Konvention_1slave-MUslave</f>
        <v>12</v>
      </c>
      <c r="HB362" s="234"/>
      <c r="HC362" s="234"/>
      <c r="HD362" s="234">
        <f t="shared" si="4023"/>
        <v>12</v>
      </c>
      <c r="HE362" s="234"/>
      <c r="HF362" s="234"/>
      <c r="HG362" s="234">
        <f>Konvention_1slave-KOslave_KO</f>
        <v>11</v>
      </c>
      <c r="HH362" s="234"/>
      <c r="HI362" s="222">
        <f t="shared" si="4024"/>
        <v>11.666666666666666</v>
      </c>
      <c r="HJ362" s="223">
        <f t="shared" si="4025"/>
        <v>23.333333333333332</v>
      </c>
      <c r="HK362" s="224">
        <f t="shared" si="4026"/>
        <v>35</v>
      </c>
      <c r="HL362" s="234">
        <f t="shared" si="4027"/>
        <v>2432</v>
      </c>
      <c r="HM362" s="234">
        <f>HA362*HD362*KOslave_KO+HA362*CHslave*HG362+MUslave*HD362*HG362</f>
        <v>3408</v>
      </c>
      <c r="HN362" s="234">
        <f t="shared" si="4028"/>
        <v>1584</v>
      </c>
      <c r="HO362" s="242">
        <f t="shared" si="4029"/>
        <v>7424</v>
      </c>
      <c r="HP362" s="223">
        <f t="shared" si="4030"/>
        <v>3.8218390804597702</v>
      </c>
      <c r="HQ362" s="223">
        <f t="shared" si="4031"/>
        <v>10.711206896551724</v>
      </c>
      <c r="HR362" s="223">
        <f t="shared" si="4032"/>
        <v>7.4676724137931032</v>
      </c>
      <c r="HS362" s="218">
        <f t="shared" si="4033"/>
        <v>22.000718390804597</v>
      </c>
      <c r="HT362" s="252">
        <f t="shared" si="4034"/>
        <v>0</v>
      </c>
      <c r="HU362" s="309">
        <f t="shared" si="4035"/>
        <v>22.000718390804597</v>
      </c>
      <c r="HV362" s="218">
        <f>IF(HS362&lt;=0,4,0)+IF(HS362&gt;0,HS362+1,0)*4+IF(HS362&gt;12,HS362-12,0)*4+IF(HS362&gt;13,HS362-13,0)*4+IF(HS362&gt;14,HS362-14,0)*4+IF(HS362&gt;15,HS362-15,0)*4+IF(HS362&gt;16,HS362-16,0)*4+IF(HS362&gt;17,HS362-17,0)*4+IF(HS362&gt;18,HS362-18,0)*4+IF(HS362&gt;19,HS362-19,0)*4+IF(HS362&gt;20,HS362-20,0)*4</f>
        <v>308.02873563218378</v>
      </c>
      <c r="HW362" s="242">
        <f>IF(HT362&lt;=0,4,0)+IF(HT362&gt;0,HT362+1,0)*4+IF(HT362&gt;12,HT362-12,0)*4+IF(HT362&gt;13,HT362-13,0)*4+IF(HT362&gt;14,HT362-14,0)*4+IF(HT362&gt;15,HT362-15,0)*4+IF(HT362&gt;16,HT362-16,0)*4+IF(HT362&gt;17,HT362-17,0)*4+IF(HT362&gt;18,HT362-18,0)*4+IF(HT362&gt;19,HT362-19,0)*4+IF(HT362&gt;20,HT362-20,0)*4</f>
        <v>4</v>
      </c>
      <c r="HX362" s="243">
        <f t="shared" si="4037"/>
        <v>304.02873563218378</v>
      </c>
      <c r="HY362" s="218">
        <f t="shared" si="4038"/>
        <v>0</v>
      </c>
      <c r="IA362" s="303" t="s">
        <v>425</v>
      </c>
      <c r="IB362" s="304" t="s">
        <v>227</v>
      </c>
      <c r="IC362" s="218" t="s">
        <v>134</v>
      </c>
      <c r="ID362" s="234">
        <f>Konvention_1slave-MUslave</f>
        <v>12</v>
      </c>
      <c r="IE362" s="234"/>
      <c r="IF362" s="234"/>
      <c r="IG362" s="234">
        <f t="shared" si="4039"/>
        <v>12</v>
      </c>
      <c r="IH362" s="234"/>
      <c r="II362" s="234"/>
      <c r="IJ362" s="234">
        <f>Konvention_1slave-KOslave</f>
        <v>12</v>
      </c>
      <c r="IK362" s="234"/>
      <c r="IL362" s="222">
        <f t="shared" si="4040"/>
        <v>12</v>
      </c>
      <c r="IM362" s="223">
        <f t="shared" si="4041"/>
        <v>24</v>
      </c>
      <c r="IN362" s="224">
        <f t="shared" si="4042"/>
        <v>36</v>
      </c>
      <c r="IO362" s="234">
        <f t="shared" si="4043"/>
        <v>2304</v>
      </c>
      <c r="IP362" s="234">
        <f>ID362*IG362*KOslave+ID362*CHslave*IJ362+MUslave*IG362*IJ362</f>
        <v>3456</v>
      </c>
      <c r="IQ362" s="234">
        <f t="shared" si="4044"/>
        <v>1728</v>
      </c>
      <c r="IR362" s="242">
        <f t="shared" si="4045"/>
        <v>7488</v>
      </c>
      <c r="IS362" s="223">
        <f t="shared" si="4046"/>
        <v>3.6923076923076925</v>
      </c>
      <c r="IT362" s="223">
        <f t="shared" si="4047"/>
        <v>11.076923076923077</v>
      </c>
      <c r="IU362" s="223">
        <f t="shared" si="4048"/>
        <v>8.3076923076923084</v>
      </c>
      <c r="IV362" s="218">
        <f t="shared" si="4049"/>
        <v>23.07692307692308</v>
      </c>
      <c r="IW362" s="252">
        <f t="shared" si="4050"/>
        <v>0</v>
      </c>
      <c r="IX362" s="309">
        <f t="shared" si="4051"/>
        <v>23.07692307692308</v>
      </c>
      <c r="IY362" s="218">
        <f>IF(IV362&lt;=0,4,0)+IF(IV362&gt;0,IV362+1,0)*4+IF(IV362&gt;12,IV362-12,0)*4+IF(IV362&gt;13,IV362-13,0)*4+IF(IV362&gt;14,IV362-14,0)*4+IF(IV362&gt;15,IV362-15,0)*4+IF(IV362&gt;16,IV362-16,0)*4+IF(IV362&gt;17,IV362-17,0)*4+IF(IV362&gt;18,IV362-18,0)*4+IF(IV362&gt;19,IV362-19,0)*4+IF(IV362&gt;20,IV362-20,0)*4</f>
        <v>351.07692307692321</v>
      </c>
      <c r="IZ362" s="242">
        <f>IF(IW362&lt;=0,4,0)+IF(IW362&gt;0,IW362+1,0)*4+IF(IW362&gt;12,IW362-12,0)*4+IF(IW362&gt;13,IW362-13,0)*4+IF(IW362&gt;14,IW362-14,0)*4+IF(IW362&gt;15,IW362-15,0)*4+IF(IW362&gt;16,IW362-16,0)*4+IF(IW362&gt;17,IW362-17,0)*4+IF(IW362&gt;18,IW362-18,0)*4+IF(IW362&gt;19,IW362-19,0)*4+IF(IW362&gt;20,IW362-20,0)*4</f>
        <v>4</v>
      </c>
      <c r="JA362" s="243">
        <f t="shared" si="4053"/>
        <v>347.07692307692321</v>
      </c>
      <c r="JB362" s="218">
        <f t="shared" si="4054"/>
        <v>0</v>
      </c>
      <c r="JE362" s="148"/>
    </row>
    <row r="363" spans="2:265" hidden="1" outlineLevel="2">
      <c r="B363" s="148">
        <v>7</v>
      </c>
      <c r="C363" s="303" t="e">
        <f>VLOOKUP(AF363,Attribute!C:T,1,FALSE)</f>
        <v>#N/A</v>
      </c>
      <c r="D363" s="86" t="s">
        <v>319</v>
      </c>
      <c r="E363" s="125" t="s">
        <v>132</v>
      </c>
      <c r="F363" s="113">
        <f>Konvention_1master-MUmaster</f>
        <v>12</v>
      </c>
      <c r="G363" s="113">
        <f>Konvention_1master-KLmaster</f>
        <v>12</v>
      </c>
      <c r="H363" s="113">
        <f>Konvention_1master-INmaster</f>
        <v>12</v>
      </c>
      <c r="I363" s="113"/>
      <c r="J363" s="113"/>
      <c r="K363" s="113"/>
      <c r="L363" s="113"/>
      <c r="M363" s="113"/>
      <c r="N363" s="222">
        <f>(F363+G363+H363+I363+J363+K363+L363+M363)/3</f>
        <v>12</v>
      </c>
      <c r="O363" s="223">
        <f>2*N363</f>
        <v>24</v>
      </c>
      <c r="P363" s="224">
        <f>3*N363</f>
        <v>36</v>
      </c>
      <c r="Q363" s="234">
        <f>F363*POWER(KLmaster,SIGN(G363))*POWER(INmaster,SIGN(H363))*POWER(CHmaster,SIGN(I363))*POWER(FFmaster,SIGN(J363))*POWER(GEmaster,SIGN(K363))*POWER(KOmaster,SIGN(L363))*POWER(KKmaster,SIGN(M363))+G363*POWER(MUmaster,SIGN(F363))*POWER(INmaster,SIGN(H363))*POWER(CHmaster,SIGN(I363))*POWER(FFmaster,SIGN(J363))*POWER(GEmaster,SIGN(K363))*POWER(KOmaster,SIGN(L363))*POWER(KKmaster,SIGN(M363))+H363*POWER(MUmaster,SIGN(F363))*POWER(KLmaster,SIGN(G363))*POWER(CHmaster,SIGN(I363))*POWER(FFmaster,SIGN(J363))*POWER(GEmaster,SIGN(K363))*POWER(KOmaster,SIGN(L363))*POWER(KKmaster,SIGN(M363))+I363*POWER(MUmaster,SIGN(F363))*POWER(KLmaster,SIGN(G363))*POWER(INmaster,SIGN(H363))*POWER(FFmaster,SIGN(J363))*POWER(GEmaster,SIGN(K363))*POWER(KOmaster,SIGN(L363))*POWER(KKmaster,SIGN(M363))+J363*POWER(MUmaster,SIGN(F363))*POWER(KLmaster,SIGN(G363))*POWER(INmaster,SIGN(H363))*POWER(CHmaster,SIGN(I363))*POWER(GEmaster,SIGN(K363))*POWER(KOmaster,SIGN(L363))*POWER(KKmaster,SIGN(M363))+K363*POWER(MUmaster,SIGN(F363))*POWER(KLmaster,SIGN(G363))*POWER(INmaster,SIGN(H363))*POWER(CHmaster,SIGN(I363))*POWER(FFmaster,SIGN(J363))*POWER(KOmaster,SIGN(L363))*POWER(KKmaster,SIGN(M363))+L363*POWER(MUmaster,SIGN(F363))*POWER(KLmaster,SIGN(G363))*POWER(INmaster,SIGN(H363))*POWER(CHmaster,SIGN(I363))*POWER(FFmaster,SIGN(J363))*POWER(GEmaster,SIGN(K363))*POWER(KKmaster,SIGN(M363))+M363*POWER(MUmaster,SIGN(F363))*POWER(KLmaster,SIGN(G363))*POWER(INmaster,SIGN(H363))*POWER(CHmaster,SIGN(I363))*POWER(FFmaster,SIGN(J363))*POWER(GEmaster,SIGN(K363))*POWER(KOmaster,SIGN(L363))</f>
        <v>2304</v>
      </c>
      <c r="R363" s="113">
        <f>F363*G363*INmaster+F363*KLmaster*H363+MUmaster*G363*H363</f>
        <v>3456</v>
      </c>
      <c r="S363" s="234">
        <f>IFERROR(F363^SIGN(F363),1)*IFERROR(G363^SIGN(G363),1)*IFERROR(H363^SIGN(H363),1)*IFERROR(I363^SIGN(I363),1)*IFERROR(J363^SIGN(J363),1)*IFERROR(K363^SIGN(K363),1)*IFERROR(L363^SIGN(L363),1)*IFERROR(M363^SIGN(M363),1)</f>
        <v>1728</v>
      </c>
      <c r="T363" s="242">
        <f t="shared" si="3918"/>
        <v>7488</v>
      </c>
      <c r="U363" s="223">
        <f>N363*Q363/T363</f>
        <v>3.6923076923076925</v>
      </c>
      <c r="V363" s="223">
        <f>O363*R363/T363</f>
        <v>11.076923076923077</v>
      </c>
      <c r="W363" s="223">
        <f>P363*S363/T363</f>
        <v>8.3076923076923084</v>
      </c>
      <c r="X363" s="218">
        <f>SUM(U363:W363)</f>
        <v>23.07692307692308</v>
      </c>
      <c r="Y363" s="252">
        <v>0</v>
      </c>
      <c r="Z363" s="198">
        <f>X363-Y363</f>
        <v>23.07692307692308</v>
      </c>
      <c r="AA363" s="125">
        <f>IF(X363&lt;=0,2,0)+IF(X363&gt;0,X363+1,0)*2+IF(X363&gt;12,X363-12,0)*2+IF(X363&gt;13,X363-13,0)*2+IF(X363&gt;14,X363-14,0)*2+IF(X363&gt;15,X363-15,0)*2+IF(X363&gt;16,X363-16,0)*2+IF(X363&gt;17,X363-17,0)*2+IF(X363&gt;18,X363-18,0)*2+IF(X363&gt;19,X363-19,0)*2+IF(X363&gt;20,X363-20,0)*2</f>
        <v>175.5384615384616</v>
      </c>
      <c r="AB363" s="160">
        <f>IF(Y363&lt;=0,2,0)+IF(Y363&gt;0,Y363+1,0)*2+IF(Y363&gt;12,Y363-12,0)*2+IF(Y363&gt;13,Y363-13,0)*2+IF(Y363&gt;14,Y363-14,0)*2+IF(Y363&gt;15,Y363-15,0)*2+IF(Y363&gt;16,Y363-16,0)*2+IF(Y363&gt;17,Y363-17,0)*2+IF(Y363&gt;18,Y363-18,0)*2+IF(Y363&gt;19,Y363-19,0)*2+IF(Y363&gt;20,Y363-20,0)*2</f>
        <v>2</v>
      </c>
      <c r="AC363" s="127">
        <f>IF((AA363-AB363)&gt;0,AA363-AB363,0)</f>
        <v>173.5384615384616</v>
      </c>
      <c r="AD363" s="125">
        <f>IF((AB363-AA363)&gt;0,AB363-AA363,0)</f>
        <v>0</v>
      </c>
      <c r="AF363" s="163" t="s">
        <v>318</v>
      </c>
      <c r="AG363" s="86" t="s">
        <v>319</v>
      </c>
      <c r="AH363" s="125" t="s">
        <v>132</v>
      </c>
      <c r="AI363" s="113">
        <f>Konvention_1slave-MUslave_MU</f>
        <v>11</v>
      </c>
      <c r="AJ363" s="113">
        <f>Konvention_1slave-KLslave</f>
        <v>12</v>
      </c>
      <c r="AK363" s="113">
        <f>Konvention_1slave-INslave</f>
        <v>12</v>
      </c>
      <c r="AL363" s="113"/>
      <c r="AM363" s="113"/>
      <c r="AN363" s="113"/>
      <c r="AO363" s="113"/>
      <c r="AP363" s="113"/>
      <c r="AQ363" s="89">
        <f>(AI363+AJ363+AK363+AL363+AM363+AN363+AO363+AP363)/3</f>
        <v>11.666666666666666</v>
      </c>
      <c r="AR363" s="47">
        <f>2*AQ363</f>
        <v>23.333333333333332</v>
      </c>
      <c r="AS363" s="119">
        <f>3*AQ363</f>
        <v>35</v>
      </c>
      <c r="AT363" s="113">
        <f t="shared" si="3931"/>
        <v>2432</v>
      </c>
      <c r="AU363" s="113">
        <f>AI363*AJ363*INslave+AI363*KLslave*AK363+MUslave_MU*AJ363*AK363</f>
        <v>3408</v>
      </c>
      <c r="AV363" s="113">
        <f>IFERROR(AI363^SIGN(AI363),1)*IFERROR(AJ363^SIGN(AJ363),1)*IFERROR(AK363^SIGN(AK363),1)*IFERROR(AL363^SIGN(AL363),1)*IFERROR(AM363^SIGN(AM363),1)*IFERROR(AN363^SIGN(AN363),1)*IFERROR(AO363^SIGN(AO363),1)*IFERROR(AP363^SIGN(AP363),1)</f>
        <v>1584</v>
      </c>
      <c r="AW363" s="160">
        <f>SUM(AT363:AV363)</f>
        <v>7424</v>
      </c>
      <c r="AX363" s="47">
        <f>AQ363*AT363/AW363</f>
        <v>3.8218390804597702</v>
      </c>
      <c r="AY363" s="47">
        <f>AR363*AU363/AW363</f>
        <v>10.711206896551724</v>
      </c>
      <c r="AZ363" s="47">
        <f>AS363*AV363/AW363</f>
        <v>7.4676724137931032</v>
      </c>
      <c r="BA363" s="125">
        <f>SUM(AX363:AZ363)</f>
        <v>22.000718390804597</v>
      </c>
      <c r="BB363" s="165">
        <f t="shared" si="3938"/>
        <v>0</v>
      </c>
      <c r="BC363" s="198">
        <f>BA363-BB363</f>
        <v>22.000718390804597</v>
      </c>
      <c r="BD363" s="125">
        <f>IF(BA363&lt;=0,2,0)+IF(BA363&gt;0,BA363+1,0)*2+IF(BA363&gt;12,BA363-12,0)*2+IF(BA363&gt;13,BA363-13,0)*2+IF(BA363&gt;14,BA363-14,0)*2+IF(BA363&gt;15,BA363-15,0)*2+IF(BA363&gt;16,BA363-16,0)*2+IF(BA363&gt;17,BA363-17,0)*2+IF(BA363&gt;18,BA363-18,0)*2+IF(BA363&gt;19,BA363-19,0)*2+IF(BA363&gt;20,BA363-20,0)*2</f>
        <v>154.01436781609189</v>
      </c>
      <c r="BE363" s="160">
        <f>IF(BB363&lt;=0,2,0)+IF(BB363&gt;0,BB363+1,0)*2+IF(BB363&gt;12,BB363-12,0)*2+IF(BB363&gt;13,BB363-13,0)*2+IF(BB363&gt;14,BB363-14,0)*2+IF(BB363&gt;15,BB363-15,0)*2+IF(BB363&gt;16,BB363-16,0)*2+IF(BB363&gt;17,BB363-17,0)*2+IF(BB363&gt;18,BB363-18,0)*2+IF(BB363&gt;19,BB363-19,0)*2+IF(BB363&gt;20,BB363-20,0)*2</f>
        <v>2</v>
      </c>
      <c r="BF363" s="243">
        <f>IF((BD363-BE363)&gt;0,BD363-BE363,0)</f>
        <v>152.01436781609189</v>
      </c>
      <c r="BG363" s="218">
        <f>IF((BE363-BD363)&gt;0,BE363-BD363,0)</f>
        <v>0</v>
      </c>
      <c r="BI363" s="303" t="s">
        <v>318</v>
      </c>
      <c r="BJ363" s="304" t="s">
        <v>319</v>
      </c>
      <c r="BK363" s="218" t="s">
        <v>132</v>
      </c>
      <c r="BL363" s="234">
        <f>Konvention_1slave-MUslave</f>
        <v>12</v>
      </c>
      <c r="BM363" s="234">
        <f>Konvention_1slave-KLslave_KL</f>
        <v>11</v>
      </c>
      <c r="BN363" s="234">
        <f>Konvention_1slave-INslave</f>
        <v>12</v>
      </c>
      <c r="BO363" s="234"/>
      <c r="BP363" s="234"/>
      <c r="BQ363" s="234"/>
      <c r="BR363" s="234"/>
      <c r="BS363" s="234"/>
      <c r="BT363" s="222">
        <f>(BL363+BM363+BN363+BO363+BP363+BQ363+BR363+BS363)/3</f>
        <v>11.666666666666666</v>
      </c>
      <c r="BU363" s="223">
        <f>2*BT363</f>
        <v>23.333333333333332</v>
      </c>
      <c r="BV363" s="224">
        <f>3*BT363</f>
        <v>35</v>
      </c>
      <c r="BW363" s="234">
        <f t="shared" si="3947"/>
        <v>2432</v>
      </c>
      <c r="BX363" s="234">
        <f>BL363*BM363*INslave+BL363*KLslave_KL*BN363+MUslave*BM363*BN363</f>
        <v>3408</v>
      </c>
      <c r="BY363" s="234">
        <f>IFERROR(BL363^SIGN(BL363),1)*IFERROR(BM363^SIGN(BM363),1)*IFERROR(BN363^SIGN(BN363),1)*IFERROR(BO363^SIGN(BO363),1)*IFERROR(BP363^SIGN(BP363),1)*IFERROR(BQ363^SIGN(BQ363),1)*IFERROR(BR363^SIGN(BR363),1)*IFERROR(BS363^SIGN(BS363),1)</f>
        <v>1584</v>
      </c>
      <c r="BZ363" s="242">
        <f>SUM(BW363:BY363)</f>
        <v>7424</v>
      </c>
      <c r="CA363" s="223">
        <f>BT363*BW363/BZ363</f>
        <v>3.8218390804597702</v>
      </c>
      <c r="CB363" s="223">
        <f>BU363*BX363/BZ363</f>
        <v>10.711206896551724</v>
      </c>
      <c r="CC363" s="223">
        <f>BV363*BY363/BZ363</f>
        <v>7.4676724137931032</v>
      </c>
      <c r="CD363" s="218">
        <f>SUM(CA363:CC363)</f>
        <v>22.000718390804597</v>
      </c>
      <c r="CE363" s="252">
        <f t="shared" si="3954"/>
        <v>0</v>
      </c>
      <c r="CF363" s="309">
        <f>CD363-CE363</f>
        <v>22.000718390804597</v>
      </c>
      <c r="CG363" s="218">
        <f>IF(CD363&lt;=0,2,0)+IF(CD363&gt;0,CD363+1,0)*2+IF(CD363&gt;12,CD363-12,0)*2+IF(CD363&gt;13,CD363-13,0)*2+IF(CD363&gt;14,CD363-14,0)*2+IF(CD363&gt;15,CD363-15,0)*2+IF(CD363&gt;16,CD363-16,0)*2+IF(CD363&gt;17,CD363-17,0)*2+IF(CD363&gt;18,CD363-18,0)*2+IF(CD363&gt;19,CD363-19,0)*2+IF(CD363&gt;20,CD363-20,0)*2</f>
        <v>154.01436781609189</v>
      </c>
      <c r="CH363" s="242">
        <f>IF(CE363&lt;=0,2,0)+IF(CE363&gt;0,CE363+1,0)*2+IF(CE363&gt;12,CE363-12,0)*2+IF(CE363&gt;13,CE363-13,0)*2+IF(CE363&gt;14,CE363-14,0)*2+IF(CE363&gt;15,CE363-15,0)*2+IF(CE363&gt;16,CE363-16,0)*2+IF(CE363&gt;17,CE363-17,0)*2+IF(CE363&gt;18,CE363-18,0)*2+IF(CE363&gt;19,CE363-19,0)*2+IF(CE363&gt;20,CE363-20,0)*2</f>
        <v>2</v>
      </c>
      <c r="CI363" s="243">
        <f>IF((CG363-CH363)&gt;0,CG363-CH363,0)</f>
        <v>152.01436781609189</v>
      </c>
      <c r="CJ363" s="218">
        <f>IF((CH363-CG363)&gt;0,CH363-CG363,0)</f>
        <v>0</v>
      </c>
      <c r="CL363" s="303" t="s">
        <v>318</v>
      </c>
      <c r="CM363" s="304" t="s">
        <v>319</v>
      </c>
      <c r="CN363" s="218" t="s">
        <v>132</v>
      </c>
      <c r="CO363" s="234">
        <f>Konvention_1slave-MUslave</f>
        <v>12</v>
      </c>
      <c r="CP363" s="234">
        <f>Konvention_1slave-KLslave</f>
        <v>12</v>
      </c>
      <c r="CQ363" s="234">
        <f>Konvention_1slave-INslave_IN</f>
        <v>11</v>
      </c>
      <c r="CR363" s="234"/>
      <c r="CS363" s="234"/>
      <c r="CT363" s="234"/>
      <c r="CU363" s="234"/>
      <c r="CV363" s="234"/>
      <c r="CW363" s="222">
        <f>(CO363+CP363+CQ363+CR363+CS363+CT363+CU363+CV363)/3</f>
        <v>11.666666666666666</v>
      </c>
      <c r="CX363" s="223">
        <f>2*CW363</f>
        <v>23.333333333333332</v>
      </c>
      <c r="CY363" s="224">
        <f>3*CW363</f>
        <v>35</v>
      </c>
      <c r="CZ363" s="234">
        <f t="shared" si="3963"/>
        <v>2432</v>
      </c>
      <c r="DA363" s="234">
        <f>CO363*CP363*INslave_IN+CO363*KLslave*CQ363+MUslave*CP363*CQ363</f>
        <v>3408</v>
      </c>
      <c r="DB363" s="234">
        <f>IFERROR(CO363^SIGN(CO363),1)*IFERROR(CP363^SIGN(CP363),1)*IFERROR(CQ363^SIGN(CQ363),1)*IFERROR(CR363^SIGN(CR363),1)*IFERROR(CS363^SIGN(CS363),1)*IFERROR(CT363^SIGN(CT363),1)*IFERROR(CU363^SIGN(CU363),1)*IFERROR(CV363^SIGN(CV363),1)</f>
        <v>1584</v>
      </c>
      <c r="DC363" s="242">
        <f>SUM(CZ363:DB363)</f>
        <v>7424</v>
      </c>
      <c r="DD363" s="223">
        <f>CW363*CZ363/DC363</f>
        <v>3.8218390804597702</v>
      </c>
      <c r="DE363" s="223">
        <f>CX363*DA363/DC363</f>
        <v>10.711206896551724</v>
      </c>
      <c r="DF363" s="223">
        <f>CY363*DB363/DC363</f>
        <v>7.4676724137931032</v>
      </c>
      <c r="DG363" s="218">
        <f>SUM(DD363:DF363)</f>
        <v>22.000718390804597</v>
      </c>
      <c r="DH363" s="252">
        <f t="shared" si="3970"/>
        <v>0</v>
      </c>
      <c r="DI363" s="309">
        <f>DG363-DH363</f>
        <v>22.000718390804597</v>
      </c>
      <c r="DJ363" s="218">
        <f>IF(DG363&lt;=0,2,0)+IF(DG363&gt;0,DG363+1,0)*2+IF(DG363&gt;12,DG363-12,0)*2+IF(DG363&gt;13,DG363-13,0)*2+IF(DG363&gt;14,DG363-14,0)*2+IF(DG363&gt;15,DG363-15,0)*2+IF(DG363&gt;16,DG363-16,0)*2+IF(DG363&gt;17,DG363-17,0)*2+IF(DG363&gt;18,DG363-18,0)*2+IF(DG363&gt;19,DG363-19,0)*2+IF(DG363&gt;20,DG363-20,0)*2</f>
        <v>154.01436781609189</v>
      </c>
      <c r="DK363" s="242">
        <f>IF(DH363&lt;=0,2,0)+IF(DH363&gt;0,DH363+1,0)*2+IF(DH363&gt;12,DH363-12,0)*2+IF(DH363&gt;13,DH363-13,0)*2+IF(DH363&gt;14,DH363-14,0)*2+IF(DH363&gt;15,DH363-15,0)*2+IF(DH363&gt;16,DH363-16,0)*2+IF(DH363&gt;17,DH363-17,0)*2+IF(DH363&gt;18,DH363-18,0)*2+IF(DH363&gt;19,DH363-19,0)*2+IF(DH363&gt;20,DH363-20,0)*2</f>
        <v>2</v>
      </c>
      <c r="DL363" s="243">
        <f>IF((DJ363-DK363)&gt;0,DJ363-DK363,0)</f>
        <v>152.01436781609189</v>
      </c>
      <c r="DM363" s="218">
        <f>IF((DK363-DJ363)&gt;0,DK363-DJ363,0)</f>
        <v>0</v>
      </c>
      <c r="DO363" s="303" t="s">
        <v>318</v>
      </c>
      <c r="DP363" s="304" t="s">
        <v>319</v>
      </c>
      <c r="DQ363" s="218" t="s">
        <v>132</v>
      </c>
      <c r="DR363" s="234">
        <f>Konvention_1slave-MUslave</f>
        <v>12</v>
      </c>
      <c r="DS363" s="234">
        <f>Konvention_1slave-KLslave</f>
        <v>12</v>
      </c>
      <c r="DT363" s="234">
        <f>Konvention_1slave-INslave</f>
        <v>12</v>
      </c>
      <c r="DU363" s="234"/>
      <c r="DV363" s="234"/>
      <c r="DW363" s="234"/>
      <c r="DX363" s="234"/>
      <c r="DY363" s="234"/>
      <c r="DZ363" s="222">
        <f>(DR363+DS363+DT363+DU363+DV363+DW363+DX363+DY363)/3</f>
        <v>12</v>
      </c>
      <c r="EA363" s="223">
        <f>2*DZ363</f>
        <v>24</v>
      </c>
      <c r="EB363" s="224">
        <f>3*DZ363</f>
        <v>36</v>
      </c>
      <c r="EC363" s="234">
        <f t="shared" si="3979"/>
        <v>2304</v>
      </c>
      <c r="ED363" s="234">
        <f>DR363*DS363*INslave+DR363*KLslave*DT363+MUslave*DS363*DT363</f>
        <v>3456</v>
      </c>
      <c r="EE363" s="234">
        <f>IFERROR(DR363^SIGN(DR363),1)*IFERROR(DS363^SIGN(DS363),1)*IFERROR(DT363^SIGN(DT363),1)*IFERROR(DU363^SIGN(DU363),1)*IFERROR(DV363^SIGN(DV363),1)*IFERROR(DW363^SIGN(DW363),1)*IFERROR(DX363^SIGN(DX363),1)*IFERROR(DY363^SIGN(DY363),1)</f>
        <v>1728</v>
      </c>
      <c r="EF363" s="242">
        <f>SUM(EC363:EE363)</f>
        <v>7488</v>
      </c>
      <c r="EG363" s="223">
        <f>DZ363*EC363/EF363</f>
        <v>3.6923076923076925</v>
      </c>
      <c r="EH363" s="223">
        <f>EA363*ED363/EF363</f>
        <v>11.076923076923077</v>
      </c>
      <c r="EI363" s="223">
        <f>EB363*EE363/EF363</f>
        <v>8.3076923076923084</v>
      </c>
      <c r="EJ363" s="218">
        <f>SUM(EG363:EI363)</f>
        <v>23.07692307692308</v>
      </c>
      <c r="EK363" s="252">
        <f t="shared" si="3986"/>
        <v>0</v>
      </c>
      <c r="EL363" s="309">
        <f>EJ363-EK363</f>
        <v>23.07692307692308</v>
      </c>
      <c r="EM363" s="218">
        <f>IF(EJ363&lt;=0,2,0)+IF(EJ363&gt;0,EJ363+1,0)*2+IF(EJ363&gt;12,EJ363-12,0)*2+IF(EJ363&gt;13,EJ363-13,0)*2+IF(EJ363&gt;14,EJ363-14,0)*2+IF(EJ363&gt;15,EJ363-15,0)*2+IF(EJ363&gt;16,EJ363-16,0)*2+IF(EJ363&gt;17,EJ363-17,0)*2+IF(EJ363&gt;18,EJ363-18,0)*2+IF(EJ363&gt;19,EJ363-19,0)*2+IF(EJ363&gt;20,EJ363-20,0)*2</f>
        <v>175.5384615384616</v>
      </c>
      <c r="EN363" s="242">
        <f>IF(EK363&lt;=0,2,0)+IF(EK363&gt;0,EK363+1,0)*2+IF(EK363&gt;12,EK363-12,0)*2+IF(EK363&gt;13,EK363-13,0)*2+IF(EK363&gt;14,EK363-14,0)*2+IF(EK363&gt;15,EK363-15,0)*2+IF(EK363&gt;16,EK363-16,0)*2+IF(EK363&gt;17,EK363-17,0)*2+IF(EK363&gt;18,EK363-18,0)*2+IF(EK363&gt;19,EK363-19,0)*2+IF(EK363&gt;20,EK363-20,0)*2</f>
        <v>2</v>
      </c>
      <c r="EO363" s="243">
        <f>IF((EM363-EN363)&gt;0,EM363-EN363,0)</f>
        <v>173.5384615384616</v>
      </c>
      <c r="EP363" s="218">
        <f>IF((EN363-EM363)&gt;0,EN363-EM363,0)</f>
        <v>0</v>
      </c>
      <c r="ER363" s="303" t="s">
        <v>318</v>
      </c>
      <c r="ES363" s="304" t="s">
        <v>319</v>
      </c>
      <c r="ET363" s="218" t="s">
        <v>132</v>
      </c>
      <c r="EU363" s="234">
        <f>Konvention_1slave-MUslave</f>
        <v>12</v>
      </c>
      <c r="EV363" s="234">
        <f>Konvention_1slave-KLslave</f>
        <v>12</v>
      </c>
      <c r="EW363" s="234">
        <f>Konvention_1slave-INslave</f>
        <v>12</v>
      </c>
      <c r="EX363" s="234"/>
      <c r="EY363" s="234"/>
      <c r="EZ363" s="234"/>
      <c r="FA363" s="234"/>
      <c r="FB363" s="234"/>
      <c r="FC363" s="222">
        <f>(EU363+EV363+EW363+EX363+EY363+EZ363+FA363+FB363)/3</f>
        <v>12</v>
      </c>
      <c r="FD363" s="223">
        <f>2*FC363</f>
        <v>24</v>
      </c>
      <c r="FE363" s="224">
        <f>3*FC363</f>
        <v>36</v>
      </c>
      <c r="FF363" s="234">
        <f t="shared" si="3995"/>
        <v>2304</v>
      </c>
      <c r="FG363" s="234">
        <f>EU363*EV363*INslave+EU363*KLslave*EW363+MUslave*EV363*EW363</f>
        <v>3456</v>
      </c>
      <c r="FH363" s="234">
        <f>IFERROR(EU363^SIGN(EU363),1)*IFERROR(EV363^SIGN(EV363),1)*IFERROR(EW363^SIGN(EW363),1)*IFERROR(EX363^SIGN(EX363),1)*IFERROR(EY363^SIGN(EY363),1)*IFERROR(EZ363^SIGN(EZ363),1)*IFERROR(FA363^SIGN(FA363),1)*IFERROR(FB363^SIGN(FB363),1)</f>
        <v>1728</v>
      </c>
      <c r="FI363" s="242">
        <f>SUM(FF363:FH363)</f>
        <v>7488</v>
      </c>
      <c r="FJ363" s="223">
        <f>FC363*FF363/FI363</f>
        <v>3.6923076923076925</v>
      </c>
      <c r="FK363" s="223">
        <f>FD363*FG363/FI363</f>
        <v>11.076923076923077</v>
      </c>
      <c r="FL363" s="223">
        <f>FE363*FH363/FI363</f>
        <v>8.3076923076923084</v>
      </c>
      <c r="FM363" s="218">
        <f>SUM(FJ363:FL363)</f>
        <v>23.07692307692308</v>
      </c>
      <c r="FN363" s="252">
        <f t="shared" si="4002"/>
        <v>0</v>
      </c>
      <c r="FO363" s="309">
        <f>FM363-FN363</f>
        <v>23.07692307692308</v>
      </c>
      <c r="FP363" s="218">
        <f>IF(FM363&lt;=0,2,0)+IF(FM363&gt;0,FM363+1,0)*2+IF(FM363&gt;12,FM363-12,0)*2+IF(FM363&gt;13,FM363-13,0)*2+IF(FM363&gt;14,FM363-14,0)*2+IF(FM363&gt;15,FM363-15,0)*2+IF(FM363&gt;16,FM363-16,0)*2+IF(FM363&gt;17,FM363-17,0)*2+IF(FM363&gt;18,FM363-18,0)*2+IF(FM363&gt;19,FM363-19,0)*2+IF(FM363&gt;20,FM363-20,0)*2</f>
        <v>175.5384615384616</v>
      </c>
      <c r="FQ363" s="242">
        <f>IF(FN363&lt;=0,2,0)+IF(FN363&gt;0,FN363+1,0)*2+IF(FN363&gt;12,FN363-12,0)*2+IF(FN363&gt;13,FN363-13,0)*2+IF(FN363&gt;14,FN363-14,0)*2+IF(FN363&gt;15,FN363-15,0)*2+IF(FN363&gt;16,FN363-16,0)*2+IF(FN363&gt;17,FN363-17,0)*2+IF(FN363&gt;18,FN363-18,0)*2+IF(FN363&gt;19,FN363-19,0)*2+IF(FN363&gt;20,FN363-20,0)*2</f>
        <v>2</v>
      </c>
      <c r="FR363" s="243">
        <f>IF((FP363-FQ363)&gt;0,FP363-FQ363,0)</f>
        <v>173.5384615384616</v>
      </c>
      <c r="FS363" s="218">
        <f>IF((FQ363-FP363)&gt;0,FQ363-FP363,0)</f>
        <v>0</v>
      </c>
      <c r="FU363" s="303" t="s">
        <v>318</v>
      </c>
      <c r="FV363" s="304" t="s">
        <v>319</v>
      </c>
      <c r="FW363" s="218" t="s">
        <v>132</v>
      </c>
      <c r="FX363" s="234">
        <f>Konvention_1slave-MUslave</f>
        <v>12</v>
      </c>
      <c r="FY363" s="234">
        <f>Konvention_1slave-KLslave</f>
        <v>12</v>
      </c>
      <c r="FZ363" s="234">
        <f>Konvention_1slave-INslave</f>
        <v>12</v>
      </c>
      <c r="GA363" s="234"/>
      <c r="GB363" s="234"/>
      <c r="GC363" s="234"/>
      <c r="GD363" s="234"/>
      <c r="GE363" s="234"/>
      <c r="GF363" s="222">
        <f>(FX363+FY363+FZ363+GA363+GB363+GC363+GD363+GE363)/3</f>
        <v>12</v>
      </c>
      <c r="GG363" s="223">
        <f>2*GF363</f>
        <v>24</v>
      </c>
      <c r="GH363" s="224">
        <f>3*GF363</f>
        <v>36</v>
      </c>
      <c r="GI363" s="234">
        <f t="shared" si="4011"/>
        <v>2304</v>
      </c>
      <c r="GJ363" s="234">
        <f>FX363*FY363*INslave+FX363*KLslave*FZ363+MUslave*FY363*FZ363</f>
        <v>3456</v>
      </c>
      <c r="GK363" s="234">
        <f>IFERROR(FX363^SIGN(FX363),1)*IFERROR(FY363^SIGN(FY363),1)*IFERROR(FZ363^SIGN(FZ363),1)*IFERROR(GA363^SIGN(GA363),1)*IFERROR(GB363^SIGN(GB363),1)*IFERROR(GC363^SIGN(GC363),1)*IFERROR(GD363^SIGN(GD363),1)*IFERROR(GE363^SIGN(GE363),1)</f>
        <v>1728</v>
      </c>
      <c r="GL363" s="242">
        <f>SUM(GI363:GK363)</f>
        <v>7488</v>
      </c>
      <c r="GM363" s="223">
        <f>GF363*GI363/GL363</f>
        <v>3.6923076923076925</v>
      </c>
      <c r="GN363" s="223">
        <f>GG363*GJ363/GL363</f>
        <v>11.076923076923077</v>
      </c>
      <c r="GO363" s="223">
        <f>GH363*GK363/GL363</f>
        <v>8.3076923076923084</v>
      </c>
      <c r="GP363" s="218">
        <f>SUM(GM363:GO363)</f>
        <v>23.07692307692308</v>
      </c>
      <c r="GQ363" s="252">
        <f t="shared" si="4018"/>
        <v>0</v>
      </c>
      <c r="GR363" s="309">
        <f>GP363-GQ363</f>
        <v>23.07692307692308</v>
      </c>
      <c r="GS363" s="218">
        <f>IF(GP363&lt;=0,2,0)+IF(GP363&gt;0,GP363+1,0)*2+IF(GP363&gt;12,GP363-12,0)*2+IF(GP363&gt;13,GP363-13,0)*2+IF(GP363&gt;14,GP363-14,0)*2+IF(GP363&gt;15,GP363-15,0)*2+IF(GP363&gt;16,GP363-16,0)*2+IF(GP363&gt;17,GP363-17,0)*2+IF(GP363&gt;18,GP363-18,0)*2+IF(GP363&gt;19,GP363-19,0)*2+IF(GP363&gt;20,GP363-20,0)*2</f>
        <v>175.5384615384616</v>
      </c>
      <c r="GT363" s="242">
        <f>IF(GQ363&lt;=0,2,0)+IF(GQ363&gt;0,GQ363+1,0)*2+IF(GQ363&gt;12,GQ363-12,0)*2+IF(GQ363&gt;13,GQ363-13,0)*2+IF(GQ363&gt;14,GQ363-14,0)*2+IF(GQ363&gt;15,GQ363-15,0)*2+IF(GQ363&gt;16,GQ363-16,0)*2+IF(GQ363&gt;17,GQ363-17,0)*2+IF(GQ363&gt;18,GQ363-18,0)*2+IF(GQ363&gt;19,GQ363-19,0)*2+IF(GQ363&gt;20,GQ363-20,0)*2</f>
        <v>2</v>
      </c>
      <c r="GU363" s="243">
        <f>IF((GS363-GT363)&gt;0,GS363-GT363,0)</f>
        <v>173.5384615384616</v>
      </c>
      <c r="GV363" s="218">
        <f>IF((GT363-GS363)&gt;0,GT363-GS363,0)</f>
        <v>0</v>
      </c>
      <c r="GX363" s="303" t="s">
        <v>318</v>
      </c>
      <c r="GY363" s="304" t="s">
        <v>319</v>
      </c>
      <c r="GZ363" s="218" t="s">
        <v>132</v>
      </c>
      <c r="HA363" s="234">
        <f>Konvention_1slave-MUslave</f>
        <v>12</v>
      </c>
      <c r="HB363" s="234">
        <f>Konvention_1slave-KLslave</f>
        <v>12</v>
      </c>
      <c r="HC363" s="234">
        <f>Konvention_1slave-INslave</f>
        <v>12</v>
      </c>
      <c r="HD363" s="234"/>
      <c r="HE363" s="234"/>
      <c r="HF363" s="234"/>
      <c r="HG363" s="234"/>
      <c r="HH363" s="234"/>
      <c r="HI363" s="222">
        <f>(HA363+HB363+HC363+HD363+HE363+HF363+HG363+HH363)/3</f>
        <v>12</v>
      </c>
      <c r="HJ363" s="223">
        <f>2*HI363</f>
        <v>24</v>
      </c>
      <c r="HK363" s="224">
        <f>3*HI363</f>
        <v>36</v>
      </c>
      <c r="HL363" s="234">
        <f t="shared" si="4027"/>
        <v>2304</v>
      </c>
      <c r="HM363" s="234">
        <f>HA363*HB363*INslave+HA363*KLslave*HC363+MUslave*HB363*HC363</f>
        <v>3456</v>
      </c>
      <c r="HN363" s="234">
        <f>IFERROR(HA363^SIGN(HA363),1)*IFERROR(HB363^SIGN(HB363),1)*IFERROR(HC363^SIGN(HC363),1)*IFERROR(HD363^SIGN(HD363),1)*IFERROR(HE363^SIGN(HE363),1)*IFERROR(HF363^SIGN(HF363),1)*IFERROR(HG363^SIGN(HG363),1)*IFERROR(HH363^SIGN(HH363),1)</f>
        <v>1728</v>
      </c>
      <c r="HO363" s="242">
        <f>SUM(HL363:HN363)</f>
        <v>7488</v>
      </c>
      <c r="HP363" s="223">
        <f>HI363*HL363/HO363</f>
        <v>3.6923076923076925</v>
      </c>
      <c r="HQ363" s="223">
        <f>HJ363*HM363/HO363</f>
        <v>11.076923076923077</v>
      </c>
      <c r="HR363" s="223">
        <f>HK363*HN363/HO363</f>
        <v>8.3076923076923084</v>
      </c>
      <c r="HS363" s="218">
        <f>SUM(HP363:HR363)</f>
        <v>23.07692307692308</v>
      </c>
      <c r="HT363" s="252">
        <f t="shared" si="4034"/>
        <v>0</v>
      </c>
      <c r="HU363" s="309">
        <f>HS363-HT363</f>
        <v>23.07692307692308</v>
      </c>
      <c r="HV363" s="218">
        <f>IF(HS363&lt;=0,2,0)+IF(HS363&gt;0,HS363+1,0)*2+IF(HS363&gt;12,HS363-12,0)*2+IF(HS363&gt;13,HS363-13,0)*2+IF(HS363&gt;14,HS363-14,0)*2+IF(HS363&gt;15,HS363-15,0)*2+IF(HS363&gt;16,HS363-16,0)*2+IF(HS363&gt;17,HS363-17,0)*2+IF(HS363&gt;18,HS363-18,0)*2+IF(HS363&gt;19,HS363-19,0)*2+IF(HS363&gt;20,HS363-20,0)*2</f>
        <v>175.5384615384616</v>
      </c>
      <c r="HW363" s="242">
        <f>IF(HT363&lt;=0,2,0)+IF(HT363&gt;0,HT363+1,0)*2+IF(HT363&gt;12,HT363-12,0)*2+IF(HT363&gt;13,HT363-13,0)*2+IF(HT363&gt;14,HT363-14,0)*2+IF(HT363&gt;15,HT363-15,0)*2+IF(HT363&gt;16,HT363-16,0)*2+IF(HT363&gt;17,HT363-17,0)*2+IF(HT363&gt;18,HT363-18,0)*2+IF(HT363&gt;19,HT363-19,0)*2+IF(HT363&gt;20,HT363-20,0)*2</f>
        <v>2</v>
      </c>
      <c r="HX363" s="243">
        <f>IF((HV363-HW363)&gt;0,HV363-HW363,0)</f>
        <v>173.5384615384616</v>
      </c>
      <c r="HY363" s="218">
        <f>IF((HW363-HV363)&gt;0,HW363-HV363,0)</f>
        <v>0</v>
      </c>
      <c r="IA363" s="303" t="s">
        <v>318</v>
      </c>
      <c r="IB363" s="304" t="s">
        <v>319</v>
      </c>
      <c r="IC363" s="218" t="s">
        <v>132</v>
      </c>
      <c r="ID363" s="234">
        <f>Konvention_1slave-MUslave</f>
        <v>12</v>
      </c>
      <c r="IE363" s="234">
        <f>Konvention_1slave-KLslave</f>
        <v>12</v>
      </c>
      <c r="IF363" s="234">
        <f>Konvention_1slave-INslave</f>
        <v>12</v>
      </c>
      <c r="IG363" s="234"/>
      <c r="IH363" s="234"/>
      <c r="II363" s="234"/>
      <c r="IJ363" s="234"/>
      <c r="IK363" s="234"/>
      <c r="IL363" s="222">
        <f>(ID363+IE363+IF363+IG363+IH363+II363+IJ363+IK363)/3</f>
        <v>12</v>
      </c>
      <c r="IM363" s="223">
        <f>2*IL363</f>
        <v>24</v>
      </c>
      <c r="IN363" s="224">
        <f>3*IL363</f>
        <v>36</v>
      </c>
      <c r="IO363" s="234">
        <f t="shared" si="4043"/>
        <v>2304</v>
      </c>
      <c r="IP363" s="234">
        <f>ID363*IE363*INslave+ID363*KLslave*IF363+MUslave*IE363*IF363</f>
        <v>3456</v>
      </c>
      <c r="IQ363" s="234">
        <f>IFERROR(ID363^SIGN(ID363),1)*IFERROR(IE363^SIGN(IE363),1)*IFERROR(IF363^SIGN(IF363),1)*IFERROR(IG363^SIGN(IG363),1)*IFERROR(IH363^SIGN(IH363),1)*IFERROR(II363^SIGN(II363),1)*IFERROR(IJ363^SIGN(IJ363),1)*IFERROR(IK363^SIGN(IK363),1)</f>
        <v>1728</v>
      </c>
      <c r="IR363" s="242">
        <f>SUM(IO363:IQ363)</f>
        <v>7488</v>
      </c>
      <c r="IS363" s="223">
        <f>IL363*IO363/IR363</f>
        <v>3.6923076923076925</v>
      </c>
      <c r="IT363" s="223">
        <f>IM363*IP363/IR363</f>
        <v>11.076923076923077</v>
      </c>
      <c r="IU363" s="223">
        <f>IN363*IQ363/IR363</f>
        <v>8.3076923076923084</v>
      </c>
      <c r="IV363" s="218">
        <f>SUM(IS363:IU363)</f>
        <v>23.07692307692308</v>
      </c>
      <c r="IW363" s="252">
        <f t="shared" si="4050"/>
        <v>0</v>
      </c>
      <c r="IX363" s="309">
        <f>IV363-IW363</f>
        <v>23.07692307692308</v>
      </c>
      <c r="IY363" s="218">
        <f>IF(IV363&lt;=0,2,0)+IF(IV363&gt;0,IV363+1,0)*2+IF(IV363&gt;12,IV363-12,0)*2+IF(IV363&gt;13,IV363-13,0)*2+IF(IV363&gt;14,IV363-14,0)*2+IF(IV363&gt;15,IV363-15,0)*2+IF(IV363&gt;16,IV363-16,0)*2+IF(IV363&gt;17,IV363-17,0)*2+IF(IV363&gt;18,IV363-18,0)*2+IF(IV363&gt;19,IV363-19,0)*2+IF(IV363&gt;20,IV363-20,0)*2</f>
        <v>175.5384615384616</v>
      </c>
      <c r="IZ363" s="242">
        <f>IF(IW363&lt;=0,2,0)+IF(IW363&gt;0,IW363+1,0)*2+IF(IW363&gt;12,IW363-12,0)*2+IF(IW363&gt;13,IW363-13,0)*2+IF(IW363&gt;14,IW363-14,0)*2+IF(IW363&gt;15,IW363-15,0)*2+IF(IW363&gt;16,IW363-16,0)*2+IF(IW363&gt;17,IW363-17,0)*2+IF(IW363&gt;18,IW363-18,0)*2+IF(IW363&gt;19,IW363-19,0)*2+IF(IW363&gt;20,IW363-20,0)*2</f>
        <v>2</v>
      </c>
      <c r="JA363" s="243">
        <f>IF((IY363-IZ363)&gt;0,IY363-IZ363,0)</f>
        <v>173.5384615384616</v>
      </c>
      <c r="JB363" s="218">
        <f>IF((IZ363-IY363)&gt;0,IZ363-IY363,0)</f>
        <v>0</v>
      </c>
      <c r="JE363" s="148"/>
    </row>
    <row r="364" spans="2:265" ht="15" hidden="1" customHeight="1" outlineLevel="2">
      <c r="B364" s="148">
        <v>8</v>
      </c>
      <c r="C364" s="303" t="e">
        <f>VLOOKUP(AF364,Attribute!C:T,1,FALSE)</f>
        <v>#N/A</v>
      </c>
      <c r="D364" s="86" t="s">
        <v>308</v>
      </c>
      <c r="E364" s="125" t="s">
        <v>135</v>
      </c>
      <c r="F364" s="113">
        <f>Konvention_1master-MUmaster</f>
        <v>12</v>
      </c>
      <c r="G364" s="113">
        <f>Konvention_1master-KLmaster</f>
        <v>12</v>
      </c>
      <c r="H364" s="113"/>
      <c r="I364" s="113"/>
      <c r="J364" s="113"/>
      <c r="K364" s="113"/>
      <c r="L364" s="113">
        <f>Konvention_1master-KOmaster</f>
        <v>12</v>
      </c>
      <c r="M364" s="113"/>
      <c r="N364" s="222">
        <f>(F364+G364+H364+I364+J364+K364+L364+M364)/3</f>
        <v>12</v>
      </c>
      <c r="O364" s="223">
        <f>2*N364</f>
        <v>24</v>
      </c>
      <c r="P364" s="224">
        <f>3*N364</f>
        <v>36</v>
      </c>
      <c r="Q364" s="234">
        <f>F364*POWER(KLmaster,SIGN(G364))*POWER(INmaster,SIGN(H364))*POWER(CHmaster,SIGN(I364))*POWER(FFmaster,SIGN(J364))*POWER(GEmaster,SIGN(K364))*POWER(KOmaster,SIGN(L364))*POWER(KKmaster,SIGN(M364))+G364*POWER(MUmaster,SIGN(F364))*POWER(INmaster,SIGN(H364))*POWER(CHmaster,SIGN(I364))*POWER(FFmaster,SIGN(J364))*POWER(GEmaster,SIGN(K364))*POWER(KOmaster,SIGN(L364))*POWER(KKmaster,SIGN(M364))+H364*POWER(MUmaster,SIGN(F364))*POWER(KLmaster,SIGN(G364))*POWER(CHmaster,SIGN(I364))*POWER(FFmaster,SIGN(J364))*POWER(GEmaster,SIGN(K364))*POWER(KOmaster,SIGN(L364))*POWER(KKmaster,SIGN(M364))+I364*POWER(MUmaster,SIGN(F364))*POWER(KLmaster,SIGN(G364))*POWER(INmaster,SIGN(H364))*POWER(FFmaster,SIGN(J364))*POWER(GEmaster,SIGN(K364))*POWER(KOmaster,SIGN(L364))*POWER(KKmaster,SIGN(M364))+J364*POWER(MUmaster,SIGN(F364))*POWER(KLmaster,SIGN(G364))*POWER(INmaster,SIGN(H364))*POWER(CHmaster,SIGN(I364))*POWER(GEmaster,SIGN(K364))*POWER(KOmaster,SIGN(L364))*POWER(KKmaster,SIGN(M364))+K364*POWER(MUmaster,SIGN(F364))*POWER(KLmaster,SIGN(G364))*POWER(INmaster,SIGN(H364))*POWER(CHmaster,SIGN(I364))*POWER(FFmaster,SIGN(J364))*POWER(KOmaster,SIGN(L364))*POWER(KKmaster,SIGN(M364))+L364*POWER(MUmaster,SIGN(F364))*POWER(KLmaster,SIGN(G364))*POWER(INmaster,SIGN(H364))*POWER(CHmaster,SIGN(I364))*POWER(FFmaster,SIGN(J364))*POWER(GEmaster,SIGN(K364))*POWER(KKmaster,SIGN(M364))+M364*POWER(MUmaster,SIGN(F364))*POWER(KLmaster,SIGN(G364))*POWER(INmaster,SIGN(H364))*POWER(CHmaster,SIGN(I364))*POWER(FFmaster,SIGN(J364))*POWER(GEmaster,SIGN(K364))*POWER(KOmaster,SIGN(L364))</f>
        <v>2304</v>
      </c>
      <c r="R364" s="113">
        <f>F364*G364*KOmaster+F364*KLmaster*L364+MUmaster*G364*L364</f>
        <v>3456</v>
      </c>
      <c r="S364" s="234">
        <f>IFERROR(F364^SIGN(F364),1)*IFERROR(G364^SIGN(G364),1)*IFERROR(H364^SIGN(H364),1)*IFERROR(I364^SIGN(I364),1)*IFERROR(J364^SIGN(J364),1)*IFERROR(K364^SIGN(K364),1)*IFERROR(L364^SIGN(L364),1)*IFERROR(M364^SIGN(M364),1)</f>
        <v>1728</v>
      </c>
      <c r="T364" s="242">
        <f t="shared" si="3918"/>
        <v>7488</v>
      </c>
      <c r="U364" s="223">
        <f>N364*Q364/T364</f>
        <v>3.6923076923076925</v>
      </c>
      <c r="V364" s="223">
        <f>O364*R364/T364</f>
        <v>11.076923076923077</v>
      </c>
      <c r="W364" s="223">
        <f>P364*S364/T364</f>
        <v>8.3076923076923084</v>
      </c>
      <c r="X364" s="218">
        <f>SUM(U364:W364)</f>
        <v>23.07692307692308</v>
      </c>
      <c r="Y364" s="252">
        <v>0</v>
      </c>
      <c r="Z364" s="198">
        <f>X364-Y364</f>
        <v>23.07692307692308</v>
      </c>
      <c r="AA364" s="125">
        <f>IF(X364&lt;=0,3,0)+IF(X364&gt;0,X364+1,0)*3+IF(X364&gt;12,X364-12,0)*3+IF(X364&gt;13,X364-13,0)*3+IF(X364&gt;14,X364-14,0)*3+IF(X364&gt;15,X364-15,0)*3+IF(X364&gt;16,X364-16,0)*3+IF(X364&gt;17,X364-17,0)*3+IF(X364&gt;18,X364-18,0)*3+IF(X364&gt;19,X364-19,0)*3+IF(X364&gt;20,X364-20,0)*3</f>
        <v>263.30769230769232</v>
      </c>
      <c r="AB364" s="160">
        <f>IF(Y364&lt;=0,3,0)+IF(Y364&gt;0,Y364+1,0)*3+IF(Y364&gt;12,Y364-12,0)*3+IF(Y364&gt;13,Y364-13,0)*3+IF(Y364&gt;14,Y364-14,0)*3+IF(Y364&gt;15,Y364-15,0)*3+IF(Y364&gt;16,Y364-16,0)*3+IF(Y364&gt;17,Y364-17,0)*3+IF(Y364&gt;18,Y364-18,0)*3+IF(Y364&gt;19,Y364-19,0)*3+IF(Y364&gt;20,Y364-20,0)*3</f>
        <v>3</v>
      </c>
      <c r="AC364" s="127">
        <f>IF((AA364-AB364)&gt;0,AA364-AB364,0)</f>
        <v>260.30769230769232</v>
      </c>
      <c r="AD364" s="125">
        <f>IF((AB364-AA364)&gt;0,AB364-AA364,0)</f>
        <v>0</v>
      </c>
      <c r="AF364" s="163" t="s">
        <v>426</v>
      </c>
      <c r="AG364" s="86" t="s">
        <v>308</v>
      </c>
      <c r="AH364" s="125" t="s">
        <v>135</v>
      </c>
      <c r="AI364" s="113">
        <f>Konvention_1slave-MUslave_MU</f>
        <v>11</v>
      </c>
      <c r="AJ364" s="113">
        <f>Konvention_1slave-KLslave</f>
        <v>12</v>
      </c>
      <c r="AK364" s="113"/>
      <c r="AL364" s="113"/>
      <c r="AM364" s="113"/>
      <c r="AN364" s="113"/>
      <c r="AO364" s="113">
        <f>Konvention_1slave-KOslave</f>
        <v>12</v>
      </c>
      <c r="AP364" s="113"/>
      <c r="AQ364" s="89">
        <f>(AI364+AJ364+AK364+AL364+AM364+AN364+AO364+AP364)/3</f>
        <v>11.666666666666666</v>
      </c>
      <c r="AR364" s="47">
        <f>2*AQ364</f>
        <v>23.333333333333332</v>
      </c>
      <c r="AS364" s="119">
        <f>3*AQ364</f>
        <v>35</v>
      </c>
      <c r="AT364" s="113">
        <f t="shared" si="3931"/>
        <v>2432</v>
      </c>
      <c r="AU364" s="113">
        <f>AI364*AJ364*KOslave+AI364*KLslave*AO364+MUslave_MU*AJ364*AO364</f>
        <v>3408</v>
      </c>
      <c r="AV364" s="113">
        <f>IFERROR(AI364^SIGN(AI364),1)*IFERROR(AJ364^SIGN(AJ364),1)*IFERROR(AK364^SIGN(AK364),1)*IFERROR(AL364^SIGN(AL364),1)*IFERROR(AM364^SIGN(AM364),1)*IFERROR(AN364^SIGN(AN364),1)*IFERROR(AO364^SIGN(AO364),1)*IFERROR(AP364^SIGN(AP364),1)</f>
        <v>1584</v>
      </c>
      <c r="AW364" s="160">
        <f>SUM(AT364:AV364)</f>
        <v>7424</v>
      </c>
      <c r="AX364" s="47">
        <f>AQ364*AT364/AW364</f>
        <v>3.8218390804597702</v>
      </c>
      <c r="AY364" s="47">
        <f>AR364*AU364/AW364</f>
        <v>10.711206896551724</v>
      </c>
      <c r="AZ364" s="47">
        <f>AS364*AV364/AW364</f>
        <v>7.4676724137931032</v>
      </c>
      <c r="BA364" s="125">
        <f>SUM(AX364:AZ364)</f>
        <v>22.000718390804597</v>
      </c>
      <c r="BB364" s="165">
        <f t="shared" si="3938"/>
        <v>0</v>
      </c>
      <c r="BC364" s="198">
        <f>BA364-BB364</f>
        <v>22.000718390804597</v>
      </c>
      <c r="BD364" s="125">
        <f>IF(BA364&lt;=0,3,0)+IF(BA364&gt;0,BA364+1,0)*3+IF(BA364&gt;12,BA364-12,0)*3+IF(BA364&gt;13,BA364-13,0)*3+IF(BA364&gt;14,BA364-14,0)*3+IF(BA364&gt;15,BA364-15,0)*3+IF(BA364&gt;16,BA364-16,0)*3+IF(BA364&gt;17,BA364-17,0)*3+IF(BA364&gt;18,BA364-18,0)*3+IF(BA364&gt;19,BA364-19,0)*3+IF(BA364&gt;20,BA364-20,0)*3</f>
        <v>231.02155172413785</v>
      </c>
      <c r="BE364" s="160">
        <f>IF(BB364&lt;=0,3,0)+IF(BB364&gt;0,BB364+1,0)*3+IF(BB364&gt;12,BB364-12,0)*3+IF(BB364&gt;13,BB364-13,0)*3+IF(BB364&gt;14,BB364-14,0)*3+IF(BB364&gt;15,BB364-15,0)*3+IF(BB364&gt;16,BB364-16,0)*3+IF(BB364&gt;17,BB364-17,0)*3+IF(BB364&gt;18,BB364-18,0)*3+IF(BB364&gt;19,BB364-19,0)*3+IF(BB364&gt;20,BB364-20,0)*3</f>
        <v>3</v>
      </c>
      <c r="BF364" s="243">
        <f>IF((BD364-BE364)&gt;0,BD364-BE364,0)</f>
        <v>228.02155172413785</v>
      </c>
      <c r="BG364" s="218">
        <f>IF((BE364-BD364)&gt;0,BE364-BD364,0)</f>
        <v>0</v>
      </c>
      <c r="BI364" s="303" t="s">
        <v>426</v>
      </c>
      <c r="BJ364" s="304" t="s">
        <v>308</v>
      </c>
      <c r="BK364" s="218" t="s">
        <v>135</v>
      </c>
      <c r="BL364" s="234">
        <f>Konvention_1slave-MUslave</f>
        <v>12</v>
      </c>
      <c r="BM364" s="234">
        <f>Konvention_1slave-KLslave_KL</f>
        <v>11</v>
      </c>
      <c r="BN364" s="234"/>
      <c r="BO364" s="234"/>
      <c r="BP364" s="234"/>
      <c r="BQ364" s="234"/>
      <c r="BR364" s="234">
        <f>Konvention_1slave-KOslave</f>
        <v>12</v>
      </c>
      <c r="BS364" s="234"/>
      <c r="BT364" s="222">
        <f>(BL364+BM364+BN364+BO364+BP364+BQ364+BR364+BS364)/3</f>
        <v>11.666666666666666</v>
      </c>
      <c r="BU364" s="223">
        <f>2*BT364</f>
        <v>23.333333333333332</v>
      </c>
      <c r="BV364" s="224">
        <f>3*BT364</f>
        <v>35</v>
      </c>
      <c r="BW364" s="234">
        <f t="shared" si="3947"/>
        <v>2432</v>
      </c>
      <c r="BX364" s="234">
        <f>BL364*BM364*KOslave+BL364*KLslave_KL*BR364+MUslave*BM364*BR364</f>
        <v>3408</v>
      </c>
      <c r="BY364" s="234">
        <f>IFERROR(BL364^SIGN(BL364),1)*IFERROR(BM364^SIGN(BM364),1)*IFERROR(BN364^SIGN(BN364),1)*IFERROR(BO364^SIGN(BO364),1)*IFERROR(BP364^SIGN(BP364),1)*IFERROR(BQ364^SIGN(BQ364),1)*IFERROR(BR364^SIGN(BR364),1)*IFERROR(BS364^SIGN(BS364),1)</f>
        <v>1584</v>
      </c>
      <c r="BZ364" s="242">
        <f>SUM(BW364:BY364)</f>
        <v>7424</v>
      </c>
      <c r="CA364" s="223">
        <f>BT364*BW364/BZ364</f>
        <v>3.8218390804597702</v>
      </c>
      <c r="CB364" s="223">
        <f>BU364*BX364/BZ364</f>
        <v>10.711206896551724</v>
      </c>
      <c r="CC364" s="223">
        <f>BV364*BY364/BZ364</f>
        <v>7.4676724137931032</v>
      </c>
      <c r="CD364" s="218">
        <f>SUM(CA364:CC364)</f>
        <v>22.000718390804597</v>
      </c>
      <c r="CE364" s="252">
        <f t="shared" si="3954"/>
        <v>0</v>
      </c>
      <c r="CF364" s="309">
        <f>CD364-CE364</f>
        <v>22.000718390804597</v>
      </c>
      <c r="CG364" s="218">
        <f>IF(CD364&lt;=0,3,0)+IF(CD364&gt;0,CD364+1,0)*3+IF(CD364&gt;12,CD364-12,0)*3+IF(CD364&gt;13,CD364-13,0)*3+IF(CD364&gt;14,CD364-14,0)*3+IF(CD364&gt;15,CD364-15,0)*3+IF(CD364&gt;16,CD364-16,0)*3+IF(CD364&gt;17,CD364-17,0)*3+IF(CD364&gt;18,CD364-18,0)*3+IF(CD364&gt;19,CD364-19,0)*3+IF(CD364&gt;20,CD364-20,0)*3</f>
        <v>231.02155172413785</v>
      </c>
      <c r="CH364" s="242">
        <f>IF(CE364&lt;=0,3,0)+IF(CE364&gt;0,CE364+1,0)*3+IF(CE364&gt;12,CE364-12,0)*3+IF(CE364&gt;13,CE364-13,0)*3+IF(CE364&gt;14,CE364-14,0)*3+IF(CE364&gt;15,CE364-15,0)*3+IF(CE364&gt;16,CE364-16,0)*3+IF(CE364&gt;17,CE364-17,0)*3+IF(CE364&gt;18,CE364-18,0)*3+IF(CE364&gt;19,CE364-19,0)*3+IF(CE364&gt;20,CE364-20,0)*3</f>
        <v>3</v>
      </c>
      <c r="CI364" s="243">
        <f>IF((CG364-CH364)&gt;0,CG364-CH364,0)</f>
        <v>228.02155172413785</v>
      </c>
      <c r="CJ364" s="218">
        <f>IF((CH364-CG364)&gt;0,CH364-CG364,0)</f>
        <v>0</v>
      </c>
      <c r="CL364" s="303" t="s">
        <v>426</v>
      </c>
      <c r="CM364" s="304" t="s">
        <v>308</v>
      </c>
      <c r="CN364" s="218" t="s">
        <v>135</v>
      </c>
      <c r="CO364" s="234">
        <f>Konvention_1slave-MUslave</f>
        <v>12</v>
      </c>
      <c r="CP364" s="234">
        <f>Konvention_1slave-KLslave</f>
        <v>12</v>
      </c>
      <c r="CQ364" s="234"/>
      <c r="CR364" s="234"/>
      <c r="CS364" s="234"/>
      <c r="CT364" s="234"/>
      <c r="CU364" s="234">
        <f>Konvention_1slave-KOslave</f>
        <v>12</v>
      </c>
      <c r="CV364" s="234"/>
      <c r="CW364" s="222">
        <f>(CO364+CP364+CQ364+CR364+CS364+CT364+CU364+CV364)/3</f>
        <v>12</v>
      </c>
      <c r="CX364" s="223">
        <f>2*CW364</f>
        <v>24</v>
      </c>
      <c r="CY364" s="224">
        <f>3*CW364</f>
        <v>36</v>
      </c>
      <c r="CZ364" s="234">
        <f t="shared" si="3963"/>
        <v>2304</v>
      </c>
      <c r="DA364" s="234">
        <f>CO364*CP364*KOslave+CO364*KLslave*CU364+MUslave*CP364*CU364</f>
        <v>3456</v>
      </c>
      <c r="DB364" s="234">
        <f>IFERROR(CO364^SIGN(CO364),1)*IFERROR(CP364^SIGN(CP364),1)*IFERROR(CQ364^SIGN(CQ364),1)*IFERROR(CR364^SIGN(CR364),1)*IFERROR(CS364^SIGN(CS364),1)*IFERROR(CT364^SIGN(CT364),1)*IFERROR(CU364^SIGN(CU364),1)*IFERROR(CV364^SIGN(CV364),1)</f>
        <v>1728</v>
      </c>
      <c r="DC364" s="242">
        <f>SUM(CZ364:DB364)</f>
        <v>7488</v>
      </c>
      <c r="DD364" s="223">
        <f>CW364*CZ364/DC364</f>
        <v>3.6923076923076925</v>
      </c>
      <c r="DE364" s="223">
        <f>CX364*DA364/DC364</f>
        <v>11.076923076923077</v>
      </c>
      <c r="DF364" s="223">
        <f>CY364*DB364/DC364</f>
        <v>8.3076923076923084</v>
      </c>
      <c r="DG364" s="218">
        <f>SUM(DD364:DF364)</f>
        <v>23.07692307692308</v>
      </c>
      <c r="DH364" s="252">
        <f t="shared" si="3970"/>
        <v>0</v>
      </c>
      <c r="DI364" s="309">
        <f>DG364-DH364</f>
        <v>23.07692307692308</v>
      </c>
      <c r="DJ364" s="218">
        <f>IF(DG364&lt;=0,3,0)+IF(DG364&gt;0,DG364+1,0)*3+IF(DG364&gt;12,DG364-12,0)*3+IF(DG364&gt;13,DG364-13,0)*3+IF(DG364&gt;14,DG364-14,0)*3+IF(DG364&gt;15,DG364-15,0)*3+IF(DG364&gt;16,DG364-16,0)*3+IF(DG364&gt;17,DG364-17,0)*3+IF(DG364&gt;18,DG364-18,0)*3+IF(DG364&gt;19,DG364-19,0)*3+IF(DG364&gt;20,DG364-20,0)*3</f>
        <v>263.30769230769232</v>
      </c>
      <c r="DK364" s="242">
        <f>IF(DH364&lt;=0,3,0)+IF(DH364&gt;0,DH364+1,0)*3+IF(DH364&gt;12,DH364-12,0)*3+IF(DH364&gt;13,DH364-13,0)*3+IF(DH364&gt;14,DH364-14,0)*3+IF(DH364&gt;15,DH364-15,0)*3+IF(DH364&gt;16,DH364-16,0)*3+IF(DH364&gt;17,DH364-17,0)*3+IF(DH364&gt;18,DH364-18,0)*3+IF(DH364&gt;19,DH364-19,0)*3+IF(DH364&gt;20,DH364-20,0)*3</f>
        <v>3</v>
      </c>
      <c r="DL364" s="243">
        <f>IF((DJ364-DK364)&gt;0,DJ364-DK364,0)</f>
        <v>260.30769230769232</v>
      </c>
      <c r="DM364" s="218">
        <f>IF((DK364-DJ364)&gt;0,DK364-DJ364,0)</f>
        <v>0</v>
      </c>
      <c r="DO364" s="303" t="s">
        <v>426</v>
      </c>
      <c r="DP364" s="304" t="s">
        <v>308</v>
      </c>
      <c r="DQ364" s="218" t="s">
        <v>135</v>
      </c>
      <c r="DR364" s="234">
        <f>Konvention_1slave-MUslave</f>
        <v>12</v>
      </c>
      <c r="DS364" s="234">
        <f>Konvention_1slave-KLslave</f>
        <v>12</v>
      </c>
      <c r="DT364" s="234"/>
      <c r="DU364" s="234"/>
      <c r="DV364" s="234"/>
      <c r="DW364" s="234"/>
      <c r="DX364" s="234">
        <f>Konvention_1slave-KOslave</f>
        <v>12</v>
      </c>
      <c r="DY364" s="234"/>
      <c r="DZ364" s="222">
        <f>(DR364+DS364+DT364+DU364+DV364+DW364+DX364+DY364)/3</f>
        <v>12</v>
      </c>
      <c r="EA364" s="223">
        <f>2*DZ364</f>
        <v>24</v>
      </c>
      <c r="EB364" s="224">
        <f>3*DZ364</f>
        <v>36</v>
      </c>
      <c r="EC364" s="234">
        <f t="shared" si="3979"/>
        <v>2304</v>
      </c>
      <c r="ED364" s="234">
        <f>DR364*DS364*KOslave+DR364*KLslave*DX364+MUslave*DS364*DX364</f>
        <v>3456</v>
      </c>
      <c r="EE364" s="234">
        <f>IFERROR(DR364^SIGN(DR364),1)*IFERROR(DS364^SIGN(DS364),1)*IFERROR(DT364^SIGN(DT364),1)*IFERROR(DU364^SIGN(DU364),1)*IFERROR(DV364^SIGN(DV364),1)*IFERROR(DW364^SIGN(DW364),1)*IFERROR(DX364^SIGN(DX364),1)*IFERROR(DY364^SIGN(DY364),1)</f>
        <v>1728</v>
      </c>
      <c r="EF364" s="242">
        <f>SUM(EC364:EE364)</f>
        <v>7488</v>
      </c>
      <c r="EG364" s="223">
        <f>DZ364*EC364/EF364</f>
        <v>3.6923076923076925</v>
      </c>
      <c r="EH364" s="223">
        <f>EA364*ED364/EF364</f>
        <v>11.076923076923077</v>
      </c>
      <c r="EI364" s="223">
        <f>EB364*EE364/EF364</f>
        <v>8.3076923076923084</v>
      </c>
      <c r="EJ364" s="218">
        <f>SUM(EG364:EI364)</f>
        <v>23.07692307692308</v>
      </c>
      <c r="EK364" s="252">
        <f t="shared" si="3986"/>
        <v>0</v>
      </c>
      <c r="EL364" s="309">
        <f>EJ364-EK364</f>
        <v>23.07692307692308</v>
      </c>
      <c r="EM364" s="218">
        <f>IF(EJ364&lt;=0,3,0)+IF(EJ364&gt;0,EJ364+1,0)*3+IF(EJ364&gt;12,EJ364-12,0)*3+IF(EJ364&gt;13,EJ364-13,0)*3+IF(EJ364&gt;14,EJ364-14,0)*3+IF(EJ364&gt;15,EJ364-15,0)*3+IF(EJ364&gt;16,EJ364-16,0)*3+IF(EJ364&gt;17,EJ364-17,0)*3+IF(EJ364&gt;18,EJ364-18,0)*3+IF(EJ364&gt;19,EJ364-19,0)*3+IF(EJ364&gt;20,EJ364-20,0)*3</f>
        <v>263.30769230769232</v>
      </c>
      <c r="EN364" s="242">
        <f>IF(EK364&lt;=0,3,0)+IF(EK364&gt;0,EK364+1,0)*3+IF(EK364&gt;12,EK364-12,0)*3+IF(EK364&gt;13,EK364-13,0)*3+IF(EK364&gt;14,EK364-14,0)*3+IF(EK364&gt;15,EK364-15,0)*3+IF(EK364&gt;16,EK364-16,0)*3+IF(EK364&gt;17,EK364-17,0)*3+IF(EK364&gt;18,EK364-18,0)*3+IF(EK364&gt;19,EK364-19,0)*3+IF(EK364&gt;20,EK364-20,0)*3</f>
        <v>3</v>
      </c>
      <c r="EO364" s="243">
        <f>IF((EM364-EN364)&gt;0,EM364-EN364,0)</f>
        <v>260.30769230769232</v>
      </c>
      <c r="EP364" s="218">
        <f>IF((EN364-EM364)&gt;0,EN364-EM364,0)</f>
        <v>0</v>
      </c>
      <c r="ER364" s="303" t="s">
        <v>426</v>
      </c>
      <c r="ES364" s="304" t="s">
        <v>308</v>
      </c>
      <c r="ET364" s="218" t="s">
        <v>135</v>
      </c>
      <c r="EU364" s="234">
        <f>Konvention_1slave-MUslave</f>
        <v>12</v>
      </c>
      <c r="EV364" s="234">
        <f>Konvention_1slave-KLslave</f>
        <v>12</v>
      </c>
      <c r="EW364" s="234"/>
      <c r="EX364" s="234"/>
      <c r="EY364" s="234"/>
      <c r="EZ364" s="234"/>
      <c r="FA364" s="234">
        <f>Konvention_1slave-KOslave</f>
        <v>12</v>
      </c>
      <c r="FB364" s="234"/>
      <c r="FC364" s="222">
        <f>(EU364+EV364+EW364+EX364+EY364+EZ364+FA364+FB364)/3</f>
        <v>12</v>
      </c>
      <c r="FD364" s="223">
        <f>2*FC364</f>
        <v>24</v>
      </c>
      <c r="FE364" s="224">
        <f>3*FC364</f>
        <v>36</v>
      </c>
      <c r="FF364" s="234">
        <f t="shared" si="3995"/>
        <v>2304</v>
      </c>
      <c r="FG364" s="234">
        <f>EU364*EV364*KOslave+EU364*KLslave*FA364+MUslave*EV364*FA364</f>
        <v>3456</v>
      </c>
      <c r="FH364" s="234">
        <f>IFERROR(EU364^SIGN(EU364),1)*IFERROR(EV364^SIGN(EV364),1)*IFERROR(EW364^SIGN(EW364),1)*IFERROR(EX364^SIGN(EX364),1)*IFERROR(EY364^SIGN(EY364),1)*IFERROR(EZ364^SIGN(EZ364),1)*IFERROR(FA364^SIGN(FA364),1)*IFERROR(FB364^SIGN(FB364),1)</f>
        <v>1728</v>
      </c>
      <c r="FI364" s="242">
        <f>SUM(FF364:FH364)</f>
        <v>7488</v>
      </c>
      <c r="FJ364" s="223">
        <f>FC364*FF364/FI364</f>
        <v>3.6923076923076925</v>
      </c>
      <c r="FK364" s="223">
        <f>FD364*FG364/FI364</f>
        <v>11.076923076923077</v>
      </c>
      <c r="FL364" s="223">
        <f>FE364*FH364/FI364</f>
        <v>8.3076923076923084</v>
      </c>
      <c r="FM364" s="218">
        <f>SUM(FJ364:FL364)</f>
        <v>23.07692307692308</v>
      </c>
      <c r="FN364" s="252">
        <f t="shared" si="4002"/>
        <v>0</v>
      </c>
      <c r="FO364" s="309">
        <f>FM364-FN364</f>
        <v>23.07692307692308</v>
      </c>
      <c r="FP364" s="218">
        <f>IF(FM364&lt;=0,3,0)+IF(FM364&gt;0,FM364+1,0)*3+IF(FM364&gt;12,FM364-12,0)*3+IF(FM364&gt;13,FM364-13,0)*3+IF(FM364&gt;14,FM364-14,0)*3+IF(FM364&gt;15,FM364-15,0)*3+IF(FM364&gt;16,FM364-16,0)*3+IF(FM364&gt;17,FM364-17,0)*3+IF(FM364&gt;18,FM364-18,0)*3+IF(FM364&gt;19,FM364-19,0)*3+IF(FM364&gt;20,FM364-20,0)*3</f>
        <v>263.30769230769232</v>
      </c>
      <c r="FQ364" s="242">
        <f>IF(FN364&lt;=0,3,0)+IF(FN364&gt;0,FN364+1,0)*3+IF(FN364&gt;12,FN364-12,0)*3+IF(FN364&gt;13,FN364-13,0)*3+IF(FN364&gt;14,FN364-14,0)*3+IF(FN364&gt;15,FN364-15,0)*3+IF(FN364&gt;16,FN364-16,0)*3+IF(FN364&gt;17,FN364-17,0)*3+IF(FN364&gt;18,FN364-18,0)*3+IF(FN364&gt;19,FN364-19,0)*3+IF(FN364&gt;20,FN364-20,0)*3</f>
        <v>3</v>
      </c>
      <c r="FR364" s="243">
        <f>IF((FP364-FQ364)&gt;0,FP364-FQ364,0)</f>
        <v>260.30769230769232</v>
      </c>
      <c r="FS364" s="218">
        <f>IF((FQ364-FP364)&gt;0,FQ364-FP364,0)</f>
        <v>0</v>
      </c>
      <c r="FU364" s="303" t="s">
        <v>426</v>
      </c>
      <c r="FV364" s="304" t="s">
        <v>308</v>
      </c>
      <c r="FW364" s="218" t="s">
        <v>135</v>
      </c>
      <c r="FX364" s="234">
        <f>Konvention_1slave-MUslave</f>
        <v>12</v>
      </c>
      <c r="FY364" s="234">
        <f>Konvention_1slave-KLslave</f>
        <v>12</v>
      </c>
      <c r="FZ364" s="234"/>
      <c r="GA364" s="234"/>
      <c r="GB364" s="234"/>
      <c r="GC364" s="234"/>
      <c r="GD364" s="234">
        <f>Konvention_1slave-KOslave</f>
        <v>12</v>
      </c>
      <c r="GE364" s="234"/>
      <c r="GF364" s="222">
        <f>(FX364+FY364+FZ364+GA364+GB364+GC364+GD364+GE364)/3</f>
        <v>12</v>
      </c>
      <c r="GG364" s="223">
        <f>2*GF364</f>
        <v>24</v>
      </c>
      <c r="GH364" s="224">
        <f>3*GF364</f>
        <v>36</v>
      </c>
      <c r="GI364" s="234">
        <f t="shared" si="4011"/>
        <v>2304</v>
      </c>
      <c r="GJ364" s="234">
        <f>FX364*FY364*KOslave+FX364*KLslave*GD364+MUslave*FY364*GD364</f>
        <v>3456</v>
      </c>
      <c r="GK364" s="234">
        <f>IFERROR(FX364^SIGN(FX364),1)*IFERROR(FY364^SIGN(FY364),1)*IFERROR(FZ364^SIGN(FZ364),1)*IFERROR(GA364^SIGN(GA364),1)*IFERROR(GB364^SIGN(GB364),1)*IFERROR(GC364^SIGN(GC364),1)*IFERROR(GD364^SIGN(GD364),1)*IFERROR(GE364^SIGN(GE364),1)</f>
        <v>1728</v>
      </c>
      <c r="GL364" s="242">
        <f>SUM(GI364:GK364)</f>
        <v>7488</v>
      </c>
      <c r="GM364" s="223">
        <f>GF364*GI364/GL364</f>
        <v>3.6923076923076925</v>
      </c>
      <c r="GN364" s="223">
        <f>GG364*GJ364/GL364</f>
        <v>11.076923076923077</v>
      </c>
      <c r="GO364" s="223">
        <f>GH364*GK364/GL364</f>
        <v>8.3076923076923084</v>
      </c>
      <c r="GP364" s="218">
        <f>SUM(GM364:GO364)</f>
        <v>23.07692307692308</v>
      </c>
      <c r="GQ364" s="252">
        <f t="shared" si="4018"/>
        <v>0</v>
      </c>
      <c r="GR364" s="309">
        <f>GP364-GQ364</f>
        <v>23.07692307692308</v>
      </c>
      <c r="GS364" s="218">
        <f>IF(GP364&lt;=0,3,0)+IF(GP364&gt;0,GP364+1,0)*3+IF(GP364&gt;12,GP364-12,0)*3+IF(GP364&gt;13,GP364-13,0)*3+IF(GP364&gt;14,GP364-14,0)*3+IF(GP364&gt;15,GP364-15,0)*3+IF(GP364&gt;16,GP364-16,0)*3+IF(GP364&gt;17,GP364-17,0)*3+IF(GP364&gt;18,GP364-18,0)*3+IF(GP364&gt;19,GP364-19,0)*3+IF(GP364&gt;20,GP364-20,0)*3</f>
        <v>263.30769230769232</v>
      </c>
      <c r="GT364" s="242">
        <f>IF(GQ364&lt;=0,3,0)+IF(GQ364&gt;0,GQ364+1,0)*3+IF(GQ364&gt;12,GQ364-12,0)*3+IF(GQ364&gt;13,GQ364-13,0)*3+IF(GQ364&gt;14,GQ364-14,0)*3+IF(GQ364&gt;15,GQ364-15,0)*3+IF(GQ364&gt;16,GQ364-16,0)*3+IF(GQ364&gt;17,GQ364-17,0)*3+IF(GQ364&gt;18,GQ364-18,0)*3+IF(GQ364&gt;19,GQ364-19,0)*3+IF(GQ364&gt;20,GQ364-20,0)*3</f>
        <v>3</v>
      </c>
      <c r="GU364" s="243">
        <f>IF((GS364-GT364)&gt;0,GS364-GT364,0)</f>
        <v>260.30769230769232</v>
      </c>
      <c r="GV364" s="218">
        <f>IF((GT364-GS364)&gt;0,GT364-GS364,0)</f>
        <v>0</v>
      </c>
      <c r="GX364" s="303" t="s">
        <v>426</v>
      </c>
      <c r="GY364" s="304" t="s">
        <v>308</v>
      </c>
      <c r="GZ364" s="218" t="s">
        <v>135</v>
      </c>
      <c r="HA364" s="234">
        <f>Konvention_1slave-MUslave</f>
        <v>12</v>
      </c>
      <c r="HB364" s="234">
        <f>Konvention_1slave-KLslave</f>
        <v>12</v>
      </c>
      <c r="HC364" s="234"/>
      <c r="HD364" s="234"/>
      <c r="HE364" s="234"/>
      <c r="HF364" s="234"/>
      <c r="HG364" s="234">
        <f>Konvention_1slave-KOslave_KO</f>
        <v>11</v>
      </c>
      <c r="HH364" s="234"/>
      <c r="HI364" s="222">
        <f>(HA364+HB364+HC364+HD364+HE364+HF364+HG364+HH364)/3</f>
        <v>11.666666666666666</v>
      </c>
      <c r="HJ364" s="223">
        <f>2*HI364</f>
        <v>23.333333333333332</v>
      </c>
      <c r="HK364" s="224">
        <f>3*HI364</f>
        <v>35</v>
      </c>
      <c r="HL364" s="234">
        <f t="shared" si="4027"/>
        <v>2432</v>
      </c>
      <c r="HM364" s="234">
        <f>HA364*HB364*KOslave_KO+HA364*KLslave*HG364+MUslave*HB364*HG364</f>
        <v>3408</v>
      </c>
      <c r="HN364" s="234">
        <f>IFERROR(HA364^SIGN(HA364),1)*IFERROR(HB364^SIGN(HB364),1)*IFERROR(HC364^SIGN(HC364),1)*IFERROR(HD364^SIGN(HD364),1)*IFERROR(HE364^SIGN(HE364),1)*IFERROR(HF364^SIGN(HF364),1)*IFERROR(HG364^SIGN(HG364),1)*IFERROR(HH364^SIGN(HH364),1)</f>
        <v>1584</v>
      </c>
      <c r="HO364" s="242">
        <f>SUM(HL364:HN364)</f>
        <v>7424</v>
      </c>
      <c r="HP364" s="223">
        <f>HI364*HL364/HO364</f>
        <v>3.8218390804597702</v>
      </c>
      <c r="HQ364" s="223">
        <f>HJ364*HM364/HO364</f>
        <v>10.711206896551724</v>
      </c>
      <c r="HR364" s="223">
        <f>HK364*HN364/HO364</f>
        <v>7.4676724137931032</v>
      </c>
      <c r="HS364" s="218">
        <f>SUM(HP364:HR364)</f>
        <v>22.000718390804597</v>
      </c>
      <c r="HT364" s="252">
        <f t="shared" si="4034"/>
        <v>0</v>
      </c>
      <c r="HU364" s="309">
        <f>HS364-HT364</f>
        <v>22.000718390804597</v>
      </c>
      <c r="HV364" s="218">
        <f>IF(HS364&lt;=0,3,0)+IF(HS364&gt;0,HS364+1,0)*3+IF(HS364&gt;12,HS364-12,0)*3+IF(HS364&gt;13,HS364-13,0)*3+IF(HS364&gt;14,HS364-14,0)*3+IF(HS364&gt;15,HS364-15,0)*3+IF(HS364&gt;16,HS364-16,0)*3+IF(HS364&gt;17,HS364-17,0)*3+IF(HS364&gt;18,HS364-18,0)*3+IF(HS364&gt;19,HS364-19,0)*3+IF(HS364&gt;20,HS364-20,0)*3</f>
        <v>231.02155172413785</v>
      </c>
      <c r="HW364" s="242">
        <f>IF(HT364&lt;=0,3,0)+IF(HT364&gt;0,HT364+1,0)*3+IF(HT364&gt;12,HT364-12,0)*3+IF(HT364&gt;13,HT364-13,0)*3+IF(HT364&gt;14,HT364-14,0)*3+IF(HT364&gt;15,HT364-15,0)*3+IF(HT364&gt;16,HT364-16,0)*3+IF(HT364&gt;17,HT364-17,0)*3+IF(HT364&gt;18,HT364-18,0)*3+IF(HT364&gt;19,HT364-19,0)*3+IF(HT364&gt;20,HT364-20,0)*3</f>
        <v>3</v>
      </c>
      <c r="HX364" s="243">
        <f>IF((HV364-HW364)&gt;0,HV364-HW364,0)</f>
        <v>228.02155172413785</v>
      </c>
      <c r="HY364" s="218">
        <f>IF((HW364-HV364)&gt;0,HW364-HV364,0)</f>
        <v>0</v>
      </c>
      <c r="IA364" s="303" t="s">
        <v>426</v>
      </c>
      <c r="IB364" s="304" t="s">
        <v>308</v>
      </c>
      <c r="IC364" s="218" t="s">
        <v>135</v>
      </c>
      <c r="ID364" s="234">
        <f>Konvention_1slave-MUslave</f>
        <v>12</v>
      </c>
      <c r="IE364" s="234">
        <f>Konvention_1slave-KLslave</f>
        <v>12</v>
      </c>
      <c r="IF364" s="234"/>
      <c r="IG364" s="234"/>
      <c r="IH364" s="234"/>
      <c r="II364" s="234"/>
      <c r="IJ364" s="234">
        <f>Konvention_1slave-KOslave</f>
        <v>12</v>
      </c>
      <c r="IK364" s="234"/>
      <c r="IL364" s="222">
        <f>(ID364+IE364+IF364+IG364+IH364+II364+IJ364+IK364)/3</f>
        <v>12</v>
      </c>
      <c r="IM364" s="223">
        <f>2*IL364</f>
        <v>24</v>
      </c>
      <c r="IN364" s="224">
        <f>3*IL364</f>
        <v>36</v>
      </c>
      <c r="IO364" s="234">
        <f t="shared" si="4043"/>
        <v>2304</v>
      </c>
      <c r="IP364" s="234">
        <f>ID364*IE364*KOslave+ID364*KLslave*IJ364+MUslave*IE364*IJ364</f>
        <v>3456</v>
      </c>
      <c r="IQ364" s="234">
        <f>IFERROR(ID364^SIGN(ID364),1)*IFERROR(IE364^SIGN(IE364),1)*IFERROR(IF364^SIGN(IF364),1)*IFERROR(IG364^SIGN(IG364),1)*IFERROR(IH364^SIGN(IH364),1)*IFERROR(II364^SIGN(II364),1)*IFERROR(IJ364^SIGN(IJ364),1)*IFERROR(IK364^SIGN(IK364),1)</f>
        <v>1728</v>
      </c>
      <c r="IR364" s="242">
        <f>SUM(IO364:IQ364)</f>
        <v>7488</v>
      </c>
      <c r="IS364" s="223">
        <f>IL364*IO364/IR364</f>
        <v>3.6923076923076925</v>
      </c>
      <c r="IT364" s="223">
        <f>IM364*IP364/IR364</f>
        <v>11.076923076923077</v>
      </c>
      <c r="IU364" s="223">
        <f>IN364*IQ364/IR364</f>
        <v>8.3076923076923084</v>
      </c>
      <c r="IV364" s="218">
        <f>SUM(IS364:IU364)</f>
        <v>23.07692307692308</v>
      </c>
      <c r="IW364" s="252">
        <f t="shared" si="4050"/>
        <v>0</v>
      </c>
      <c r="IX364" s="309">
        <f>IV364-IW364</f>
        <v>23.07692307692308</v>
      </c>
      <c r="IY364" s="218">
        <f>IF(IV364&lt;=0,3,0)+IF(IV364&gt;0,IV364+1,0)*3+IF(IV364&gt;12,IV364-12,0)*3+IF(IV364&gt;13,IV364-13,0)*3+IF(IV364&gt;14,IV364-14,0)*3+IF(IV364&gt;15,IV364-15,0)*3+IF(IV364&gt;16,IV364-16,0)*3+IF(IV364&gt;17,IV364-17,0)*3+IF(IV364&gt;18,IV364-18,0)*3+IF(IV364&gt;19,IV364-19,0)*3+IF(IV364&gt;20,IV364-20,0)*3</f>
        <v>263.30769230769232</v>
      </c>
      <c r="IZ364" s="242">
        <f>IF(IW364&lt;=0,3,0)+IF(IW364&gt;0,IW364+1,0)*3+IF(IW364&gt;12,IW364-12,0)*3+IF(IW364&gt;13,IW364-13,0)*3+IF(IW364&gt;14,IW364-14,0)*3+IF(IW364&gt;15,IW364-15,0)*3+IF(IW364&gt;16,IW364-16,0)*3+IF(IW364&gt;17,IW364-17,0)*3+IF(IW364&gt;18,IW364-18,0)*3+IF(IW364&gt;19,IW364-19,0)*3+IF(IW364&gt;20,IW364-20,0)*3</f>
        <v>3</v>
      </c>
      <c r="JA364" s="243">
        <f>IF((IY364-IZ364)&gt;0,IY364-IZ364,0)</f>
        <v>260.30769230769232</v>
      </c>
      <c r="JB364" s="218">
        <f>IF((IZ364-IY364)&gt;0,IZ364-IY364,0)</f>
        <v>0</v>
      </c>
      <c r="JE364" s="148"/>
    </row>
    <row r="365" spans="2:265" hidden="1" outlineLevel="2">
      <c r="B365" s="148">
        <v>9</v>
      </c>
      <c r="C365" s="306" t="e">
        <f>VLOOKUP(AF365,Attribute!C:T,1,FALSE)</f>
        <v>#N/A</v>
      </c>
      <c r="D365" s="87" t="s">
        <v>87</v>
      </c>
      <c r="E365" s="159" t="s">
        <v>135</v>
      </c>
      <c r="F365" s="122"/>
      <c r="G365" s="122">
        <f>Konvention_1master-KLmaster</f>
        <v>12</v>
      </c>
      <c r="H365" s="122">
        <f>Konvention_1master-INmaster</f>
        <v>12</v>
      </c>
      <c r="I365" s="122">
        <f>Konvention_1master-CHmaster</f>
        <v>12</v>
      </c>
      <c r="J365" s="122"/>
      <c r="K365" s="122"/>
      <c r="L365" s="122"/>
      <c r="M365" s="122"/>
      <c r="N365" s="225">
        <f>(F365+G365+H365+I365+J365+K365+L365+M365)/3</f>
        <v>12</v>
      </c>
      <c r="O365" s="226">
        <f>2*N365</f>
        <v>24</v>
      </c>
      <c r="P365" s="227">
        <f>3*N365</f>
        <v>36</v>
      </c>
      <c r="Q365" s="235">
        <f>F365*POWER(KLmaster,SIGN(G365))*POWER(INmaster,SIGN(H365))*POWER(CHmaster,SIGN(I365))*POWER(FFmaster,SIGN(J365))*POWER(GEmaster,SIGN(K365))*POWER(KOmaster,SIGN(L365))*POWER(KKmaster,SIGN(M365))+G365*POWER(MUmaster,SIGN(F365))*POWER(INmaster,SIGN(H365))*POWER(CHmaster,SIGN(I365))*POWER(FFmaster,SIGN(J365))*POWER(GEmaster,SIGN(K365))*POWER(KOmaster,SIGN(L365))*POWER(KKmaster,SIGN(M365))+H365*POWER(MUmaster,SIGN(F365))*POWER(KLmaster,SIGN(G365))*POWER(CHmaster,SIGN(I365))*POWER(FFmaster,SIGN(J365))*POWER(GEmaster,SIGN(K365))*POWER(KOmaster,SIGN(L365))*POWER(KKmaster,SIGN(M365))+I365*POWER(MUmaster,SIGN(F365))*POWER(KLmaster,SIGN(G365))*POWER(INmaster,SIGN(H365))*POWER(FFmaster,SIGN(J365))*POWER(GEmaster,SIGN(K365))*POWER(KOmaster,SIGN(L365))*POWER(KKmaster,SIGN(M365))+J365*POWER(MUmaster,SIGN(F365))*POWER(KLmaster,SIGN(G365))*POWER(INmaster,SIGN(H365))*POWER(CHmaster,SIGN(I365))*POWER(GEmaster,SIGN(K365))*POWER(KOmaster,SIGN(L365))*POWER(KKmaster,SIGN(M365))+K365*POWER(MUmaster,SIGN(F365))*POWER(KLmaster,SIGN(G365))*POWER(INmaster,SIGN(H365))*POWER(CHmaster,SIGN(I365))*POWER(FFmaster,SIGN(J365))*POWER(KOmaster,SIGN(L365))*POWER(KKmaster,SIGN(M365))+L365*POWER(MUmaster,SIGN(F365))*POWER(KLmaster,SIGN(G365))*POWER(INmaster,SIGN(H365))*POWER(CHmaster,SIGN(I365))*POWER(FFmaster,SIGN(J365))*POWER(GEmaster,SIGN(K365))*POWER(KKmaster,SIGN(M365))+M365*POWER(MUmaster,SIGN(F365))*POWER(KLmaster,SIGN(G365))*POWER(INmaster,SIGN(H365))*POWER(CHmaster,SIGN(I365))*POWER(FFmaster,SIGN(J365))*POWER(GEmaster,SIGN(K365))*POWER(KOmaster,SIGN(L365))</f>
        <v>2304</v>
      </c>
      <c r="R365" s="122">
        <f>G365*H365*CHmaster+G365*INmaster*I365+KLmaster*H365*I365</f>
        <v>3456</v>
      </c>
      <c r="S365" s="235">
        <f>IFERROR(F365^SIGN(F365),1)*IFERROR(G365^SIGN(G365),1)*IFERROR(H365^SIGN(H365),1)*IFERROR(I365^SIGN(I365),1)*IFERROR(J365^SIGN(J365),1)*IFERROR(K365^SIGN(K365),1)*IFERROR(L365^SIGN(L365),1)*IFERROR(M365^SIGN(M365),1)</f>
        <v>1728</v>
      </c>
      <c r="T365" s="244">
        <f t="shared" si="3918"/>
        <v>7488</v>
      </c>
      <c r="U365" s="226">
        <f>N365*Q365/T365</f>
        <v>3.6923076923076925</v>
      </c>
      <c r="V365" s="226">
        <f>O365*R365/T365</f>
        <v>11.076923076923077</v>
      </c>
      <c r="W365" s="226">
        <f>P365*S365/T365</f>
        <v>8.3076923076923084</v>
      </c>
      <c r="X365" s="246">
        <f>SUM(U365:W365)</f>
        <v>23.07692307692308</v>
      </c>
      <c r="Y365" s="252">
        <v>0</v>
      </c>
      <c r="Z365" s="198">
        <f>X365-Y365</f>
        <v>23.07692307692308</v>
      </c>
      <c r="AA365" s="159">
        <f>IF(X365&lt;=0,3,0)+IF(X365&gt;0,X365+1,0)*3+IF(X365&gt;12,X365-12,0)*3+IF(X365&gt;13,X365-13,0)*3+IF(X365&gt;14,X365-14,0)*3+IF(X365&gt;15,X365-15,0)*3+IF(X365&gt;16,X365-16,0)*3+IF(X365&gt;17,X365-17,0)*3+IF(X365&gt;18,X365-18,0)*3+IF(X365&gt;19,X365-19,0)*3+IF(X365&gt;20,X365-20,0)*3</f>
        <v>263.30769230769232</v>
      </c>
      <c r="AB365" s="161">
        <f>IF(Y365&lt;=0,3,0)+IF(Y365&gt;0,Y365+1,0)*3+IF(Y365&gt;12,Y365-12,0)*3+IF(Y365&gt;13,Y365-13,0)*3+IF(Y365&gt;14,Y365-14,0)*3+IF(Y365&gt;15,Y365-15,0)*3+IF(Y365&gt;16,Y365-16,0)*3+IF(Y365&gt;17,Y365-17,0)*3+IF(Y365&gt;18,Y365-18,0)*3+IF(Y365&gt;19,Y365-19,0)*3+IF(Y365&gt;20,Y365-20,0)*3</f>
        <v>3</v>
      </c>
      <c r="AC365" s="128">
        <f>IF((AA365-AB365)&gt;0,AA365-AB365,0)</f>
        <v>260.30769230769232</v>
      </c>
      <c r="AD365" s="159">
        <f>IF((AB365-AA365)&gt;0,AB365-AA365,0)</f>
        <v>0</v>
      </c>
      <c r="AF365" s="164" t="s">
        <v>427</v>
      </c>
      <c r="AG365" s="87" t="s">
        <v>87</v>
      </c>
      <c r="AH365" s="159" t="s">
        <v>135</v>
      </c>
      <c r="AI365" s="122"/>
      <c r="AJ365" s="122">
        <f>Konvention_1slave-KLslave</f>
        <v>12</v>
      </c>
      <c r="AK365" s="122">
        <f>Konvention_1slave-INslave</f>
        <v>12</v>
      </c>
      <c r="AL365" s="122">
        <f>Konvention_1slave-CHslave</f>
        <v>12</v>
      </c>
      <c r="AM365" s="122"/>
      <c r="AN365" s="122"/>
      <c r="AO365" s="122"/>
      <c r="AP365" s="122"/>
      <c r="AQ365" s="90">
        <f>(AI365+AJ365+AK365+AL365+AM365+AN365+AO365+AP365)/3</f>
        <v>12</v>
      </c>
      <c r="AR365" s="88">
        <f>2*AQ365</f>
        <v>24</v>
      </c>
      <c r="AS365" s="123">
        <f>3*AQ365</f>
        <v>36</v>
      </c>
      <c r="AT365" s="122">
        <f t="shared" si="3931"/>
        <v>2304</v>
      </c>
      <c r="AU365" s="122">
        <f>AJ365*AK365*CHslave+AJ365*INslave*AL365+KLslave*AK365*AL365</f>
        <v>3456</v>
      </c>
      <c r="AV365" s="122">
        <f>IFERROR(AI365^SIGN(AI365),1)*IFERROR(AJ365^SIGN(AJ365),1)*IFERROR(AK365^SIGN(AK365),1)*IFERROR(AL365^SIGN(AL365),1)*IFERROR(AM365^SIGN(AM365),1)*IFERROR(AN365^SIGN(AN365),1)*IFERROR(AO365^SIGN(AO365),1)*IFERROR(AP365^SIGN(AP365),1)</f>
        <v>1728</v>
      </c>
      <c r="AW365" s="161">
        <f>SUM(AT365:AV365)</f>
        <v>7488</v>
      </c>
      <c r="AX365" s="88">
        <f>AQ365*AT365/AW365</f>
        <v>3.6923076923076925</v>
      </c>
      <c r="AY365" s="88">
        <f>AR365*AU365/AW365</f>
        <v>11.076923076923077</v>
      </c>
      <c r="AZ365" s="88">
        <f>AS365*AV365/AW365</f>
        <v>8.3076923076923084</v>
      </c>
      <c r="BA365" s="159">
        <f>SUM(AX365:AZ365)</f>
        <v>23.07692307692308</v>
      </c>
      <c r="BB365" s="165">
        <f t="shared" si="3938"/>
        <v>0</v>
      </c>
      <c r="BC365" s="198">
        <f>BA365-BB365</f>
        <v>23.07692307692308</v>
      </c>
      <c r="BD365" s="159">
        <f>IF(BA365&lt;=0,3,0)+IF(BA365&gt;0,BA365+1,0)*3+IF(BA365&gt;12,BA365-12,0)*3+IF(BA365&gt;13,BA365-13,0)*3+IF(BA365&gt;14,BA365-14,0)*3+IF(BA365&gt;15,BA365-15,0)*3+IF(BA365&gt;16,BA365-16,0)*3+IF(BA365&gt;17,BA365-17,0)*3+IF(BA365&gt;18,BA365-18,0)*3+IF(BA365&gt;19,BA365-19,0)*3+IF(BA365&gt;20,BA365-20,0)*3</f>
        <v>263.30769230769232</v>
      </c>
      <c r="BE365" s="161">
        <f>IF(BB365&lt;=0,3,0)+IF(BB365&gt;0,BB365+1,0)*3+IF(BB365&gt;12,BB365-12,0)*3+IF(BB365&gt;13,BB365-13,0)*3+IF(BB365&gt;14,BB365-14,0)*3+IF(BB365&gt;15,BB365-15,0)*3+IF(BB365&gt;16,BB365-16,0)*3+IF(BB365&gt;17,BB365-17,0)*3+IF(BB365&gt;18,BB365-18,0)*3+IF(BB365&gt;19,BB365-19,0)*3+IF(BB365&gt;20,BB365-20,0)*3</f>
        <v>3</v>
      </c>
      <c r="BF365" s="245">
        <f>IF((BD365-BE365)&gt;0,BD365-BE365,0)</f>
        <v>260.30769230769232</v>
      </c>
      <c r="BG365" s="246">
        <f>IF((BE365-BD365)&gt;0,BE365-BD365,0)</f>
        <v>0</v>
      </c>
      <c r="BI365" s="306" t="s">
        <v>427</v>
      </c>
      <c r="BJ365" s="314" t="s">
        <v>87</v>
      </c>
      <c r="BK365" s="246" t="s">
        <v>135</v>
      </c>
      <c r="BL365" s="235"/>
      <c r="BM365" s="235">
        <f>Konvention_1slave-KLslave_KL</f>
        <v>11</v>
      </c>
      <c r="BN365" s="235">
        <f>Konvention_1slave-INslave</f>
        <v>12</v>
      </c>
      <c r="BO365" s="235">
        <f>Konvention_1slave-CHslave</f>
        <v>12</v>
      </c>
      <c r="BP365" s="235"/>
      <c r="BQ365" s="235"/>
      <c r="BR365" s="235"/>
      <c r="BS365" s="235"/>
      <c r="BT365" s="225">
        <f>(BL365+BM365+BN365+BO365+BP365+BQ365+BR365+BS365)/3</f>
        <v>11.666666666666666</v>
      </c>
      <c r="BU365" s="226">
        <f>2*BT365</f>
        <v>23.333333333333332</v>
      </c>
      <c r="BV365" s="227">
        <f>3*BT365</f>
        <v>35</v>
      </c>
      <c r="BW365" s="235">
        <f t="shared" si="3947"/>
        <v>2432</v>
      </c>
      <c r="BX365" s="235">
        <f>BM365*BN365*CHslave+BM365*INslave*BO365+KLslave_KL*BN365*BO365</f>
        <v>3408</v>
      </c>
      <c r="BY365" s="235">
        <f>IFERROR(BL365^SIGN(BL365),1)*IFERROR(BM365^SIGN(BM365),1)*IFERROR(BN365^SIGN(BN365),1)*IFERROR(BO365^SIGN(BO365),1)*IFERROR(BP365^SIGN(BP365),1)*IFERROR(BQ365^SIGN(BQ365),1)*IFERROR(BR365^SIGN(BR365),1)*IFERROR(BS365^SIGN(BS365),1)</f>
        <v>1584</v>
      </c>
      <c r="BZ365" s="244">
        <f>SUM(BW365:BY365)</f>
        <v>7424</v>
      </c>
      <c r="CA365" s="226">
        <f>BT365*BW365/BZ365</f>
        <v>3.8218390804597702</v>
      </c>
      <c r="CB365" s="226">
        <f>BU365*BX365/BZ365</f>
        <v>10.711206896551724</v>
      </c>
      <c r="CC365" s="226">
        <f>BV365*BY365/BZ365</f>
        <v>7.4676724137931032</v>
      </c>
      <c r="CD365" s="246">
        <f>SUM(CA365:CC365)</f>
        <v>22.000718390804597</v>
      </c>
      <c r="CE365" s="252">
        <f t="shared" si="3954"/>
        <v>0</v>
      </c>
      <c r="CF365" s="309">
        <f>CD365-CE365</f>
        <v>22.000718390804597</v>
      </c>
      <c r="CG365" s="246">
        <f>IF(CD365&lt;=0,3,0)+IF(CD365&gt;0,CD365+1,0)*3+IF(CD365&gt;12,CD365-12,0)*3+IF(CD365&gt;13,CD365-13,0)*3+IF(CD365&gt;14,CD365-14,0)*3+IF(CD365&gt;15,CD365-15,0)*3+IF(CD365&gt;16,CD365-16,0)*3+IF(CD365&gt;17,CD365-17,0)*3+IF(CD365&gt;18,CD365-18,0)*3+IF(CD365&gt;19,CD365-19,0)*3+IF(CD365&gt;20,CD365-20,0)*3</f>
        <v>231.02155172413785</v>
      </c>
      <c r="CH365" s="244">
        <f>IF(CE365&lt;=0,3,0)+IF(CE365&gt;0,CE365+1,0)*3+IF(CE365&gt;12,CE365-12,0)*3+IF(CE365&gt;13,CE365-13,0)*3+IF(CE365&gt;14,CE365-14,0)*3+IF(CE365&gt;15,CE365-15,0)*3+IF(CE365&gt;16,CE365-16,0)*3+IF(CE365&gt;17,CE365-17,0)*3+IF(CE365&gt;18,CE365-18,0)*3+IF(CE365&gt;19,CE365-19,0)*3+IF(CE365&gt;20,CE365-20,0)*3</f>
        <v>3</v>
      </c>
      <c r="CI365" s="245">
        <f>IF((CG365-CH365)&gt;0,CG365-CH365,0)</f>
        <v>228.02155172413785</v>
      </c>
      <c r="CJ365" s="246">
        <f>IF((CH365-CG365)&gt;0,CH365-CG365,0)</f>
        <v>0</v>
      </c>
      <c r="CL365" s="306" t="s">
        <v>427</v>
      </c>
      <c r="CM365" s="314" t="s">
        <v>87</v>
      </c>
      <c r="CN365" s="246" t="s">
        <v>135</v>
      </c>
      <c r="CO365" s="235"/>
      <c r="CP365" s="235">
        <f>Konvention_1slave-KLslave</f>
        <v>12</v>
      </c>
      <c r="CQ365" s="235">
        <f>Konvention_1slave-INslave_IN</f>
        <v>11</v>
      </c>
      <c r="CR365" s="235">
        <f>Konvention_1slave-CHslave</f>
        <v>12</v>
      </c>
      <c r="CS365" s="235"/>
      <c r="CT365" s="235"/>
      <c r="CU365" s="235"/>
      <c r="CV365" s="235"/>
      <c r="CW365" s="225">
        <f>(CO365+CP365+CQ365+CR365+CS365+CT365+CU365+CV365)/3</f>
        <v>11.666666666666666</v>
      </c>
      <c r="CX365" s="226">
        <f>2*CW365</f>
        <v>23.333333333333332</v>
      </c>
      <c r="CY365" s="227">
        <f>3*CW365</f>
        <v>35</v>
      </c>
      <c r="CZ365" s="235">
        <f t="shared" si="3963"/>
        <v>2432</v>
      </c>
      <c r="DA365" s="235">
        <f>CP365*CQ365*CHslave+CP365*INslave_IN*CR365+KLslave*CQ365*CR365</f>
        <v>3408</v>
      </c>
      <c r="DB365" s="235">
        <f>IFERROR(CO365^SIGN(CO365),1)*IFERROR(CP365^SIGN(CP365),1)*IFERROR(CQ365^SIGN(CQ365),1)*IFERROR(CR365^SIGN(CR365),1)*IFERROR(CS365^SIGN(CS365),1)*IFERROR(CT365^SIGN(CT365),1)*IFERROR(CU365^SIGN(CU365),1)*IFERROR(CV365^SIGN(CV365),1)</f>
        <v>1584</v>
      </c>
      <c r="DC365" s="244">
        <f>SUM(CZ365:DB365)</f>
        <v>7424</v>
      </c>
      <c r="DD365" s="226">
        <f>CW365*CZ365/DC365</f>
        <v>3.8218390804597702</v>
      </c>
      <c r="DE365" s="226">
        <f>CX365*DA365/DC365</f>
        <v>10.711206896551724</v>
      </c>
      <c r="DF365" s="226">
        <f>CY365*DB365/DC365</f>
        <v>7.4676724137931032</v>
      </c>
      <c r="DG365" s="246">
        <f>SUM(DD365:DF365)</f>
        <v>22.000718390804597</v>
      </c>
      <c r="DH365" s="252">
        <f t="shared" si="3970"/>
        <v>0</v>
      </c>
      <c r="DI365" s="309">
        <f>DG365-DH365</f>
        <v>22.000718390804597</v>
      </c>
      <c r="DJ365" s="246">
        <f>IF(DG365&lt;=0,3,0)+IF(DG365&gt;0,DG365+1,0)*3+IF(DG365&gt;12,DG365-12,0)*3+IF(DG365&gt;13,DG365-13,0)*3+IF(DG365&gt;14,DG365-14,0)*3+IF(DG365&gt;15,DG365-15,0)*3+IF(DG365&gt;16,DG365-16,0)*3+IF(DG365&gt;17,DG365-17,0)*3+IF(DG365&gt;18,DG365-18,0)*3+IF(DG365&gt;19,DG365-19,0)*3+IF(DG365&gt;20,DG365-20,0)*3</f>
        <v>231.02155172413785</v>
      </c>
      <c r="DK365" s="244">
        <f>IF(DH365&lt;=0,3,0)+IF(DH365&gt;0,DH365+1,0)*3+IF(DH365&gt;12,DH365-12,0)*3+IF(DH365&gt;13,DH365-13,0)*3+IF(DH365&gt;14,DH365-14,0)*3+IF(DH365&gt;15,DH365-15,0)*3+IF(DH365&gt;16,DH365-16,0)*3+IF(DH365&gt;17,DH365-17,0)*3+IF(DH365&gt;18,DH365-18,0)*3+IF(DH365&gt;19,DH365-19,0)*3+IF(DH365&gt;20,DH365-20,0)*3</f>
        <v>3</v>
      </c>
      <c r="DL365" s="245">
        <f>IF((DJ365-DK365)&gt;0,DJ365-DK365,0)</f>
        <v>228.02155172413785</v>
      </c>
      <c r="DM365" s="246">
        <f>IF((DK365-DJ365)&gt;0,DK365-DJ365,0)</f>
        <v>0</v>
      </c>
      <c r="DO365" s="306" t="s">
        <v>427</v>
      </c>
      <c r="DP365" s="314" t="s">
        <v>87</v>
      </c>
      <c r="DQ365" s="246" t="s">
        <v>135</v>
      </c>
      <c r="DR365" s="235"/>
      <c r="DS365" s="235">
        <f>Konvention_1slave-KLslave</f>
        <v>12</v>
      </c>
      <c r="DT365" s="235">
        <f>Konvention_1slave-INslave</f>
        <v>12</v>
      </c>
      <c r="DU365" s="235">
        <f>Konvention_1slave-CHslave_CH</f>
        <v>11</v>
      </c>
      <c r="DV365" s="235"/>
      <c r="DW365" s="235"/>
      <c r="DX365" s="235"/>
      <c r="DY365" s="235"/>
      <c r="DZ365" s="225">
        <f>(DR365+DS365+DT365+DU365+DV365+DW365+DX365+DY365)/3</f>
        <v>11.666666666666666</v>
      </c>
      <c r="EA365" s="226">
        <f>2*DZ365</f>
        <v>23.333333333333332</v>
      </c>
      <c r="EB365" s="227">
        <f>3*DZ365</f>
        <v>35</v>
      </c>
      <c r="EC365" s="235">
        <f t="shared" si="3979"/>
        <v>2432</v>
      </c>
      <c r="ED365" s="235">
        <f>DS365*DT365*CHslave_CH+DS365*INslave*DU365+KLslave*DT365*DU365</f>
        <v>3408</v>
      </c>
      <c r="EE365" s="235">
        <f>IFERROR(DR365^SIGN(DR365),1)*IFERROR(DS365^SIGN(DS365),1)*IFERROR(DT365^SIGN(DT365),1)*IFERROR(DU365^SIGN(DU365),1)*IFERROR(DV365^SIGN(DV365),1)*IFERROR(DW365^SIGN(DW365),1)*IFERROR(DX365^SIGN(DX365),1)*IFERROR(DY365^SIGN(DY365),1)</f>
        <v>1584</v>
      </c>
      <c r="EF365" s="244">
        <f>SUM(EC365:EE365)</f>
        <v>7424</v>
      </c>
      <c r="EG365" s="226">
        <f>DZ365*EC365/EF365</f>
        <v>3.8218390804597702</v>
      </c>
      <c r="EH365" s="226">
        <f>EA365*ED365/EF365</f>
        <v>10.711206896551724</v>
      </c>
      <c r="EI365" s="226">
        <f>EB365*EE365/EF365</f>
        <v>7.4676724137931032</v>
      </c>
      <c r="EJ365" s="246">
        <f>SUM(EG365:EI365)</f>
        <v>22.000718390804597</v>
      </c>
      <c r="EK365" s="252">
        <f t="shared" si="3986"/>
        <v>0</v>
      </c>
      <c r="EL365" s="309">
        <f>EJ365-EK365</f>
        <v>22.000718390804597</v>
      </c>
      <c r="EM365" s="246">
        <f>IF(EJ365&lt;=0,3,0)+IF(EJ365&gt;0,EJ365+1,0)*3+IF(EJ365&gt;12,EJ365-12,0)*3+IF(EJ365&gt;13,EJ365-13,0)*3+IF(EJ365&gt;14,EJ365-14,0)*3+IF(EJ365&gt;15,EJ365-15,0)*3+IF(EJ365&gt;16,EJ365-16,0)*3+IF(EJ365&gt;17,EJ365-17,0)*3+IF(EJ365&gt;18,EJ365-18,0)*3+IF(EJ365&gt;19,EJ365-19,0)*3+IF(EJ365&gt;20,EJ365-20,0)*3</f>
        <v>231.02155172413785</v>
      </c>
      <c r="EN365" s="244">
        <f>IF(EK365&lt;=0,3,0)+IF(EK365&gt;0,EK365+1,0)*3+IF(EK365&gt;12,EK365-12,0)*3+IF(EK365&gt;13,EK365-13,0)*3+IF(EK365&gt;14,EK365-14,0)*3+IF(EK365&gt;15,EK365-15,0)*3+IF(EK365&gt;16,EK365-16,0)*3+IF(EK365&gt;17,EK365-17,0)*3+IF(EK365&gt;18,EK365-18,0)*3+IF(EK365&gt;19,EK365-19,0)*3+IF(EK365&gt;20,EK365-20,0)*3</f>
        <v>3</v>
      </c>
      <c r="EO365" s="245">
        <f>IF((EM365-EN365)&gt;0,EM365-EN365,0)</f>
        <v>228.02155172413785</v>
      </c>
      <c r="EP365" s="246">
        <f>IF((EN365-EM365)&gt;0,EN365-EM365,0)</f>
        <v>0</v>
      </c>
      <c r="ER365" s="306" t="s">
        <v>427</v>
      </c>
      <c r="ES365" s="314" t="s">
        <v>87</v>
      </c>
      <c r="ET365" s="246" t="s">
        <v>135</v>
      </c>
      <c r="EU365" s="235"/>
      <c r="EV365" s="235">
        <f>Konvention_1slave-KLslave</f>
        <v>12</v>
      </c>
      <c r="EW365" s="235">
        <f>Konvention_1slave-INslave</f>
        <v>12</v>
      </c>
      <c r="EX365" s="235">
        <f>Konvention_1slave-CHslave</f>
        <v>12</v>
      </c>
      <c r="EY365" s="235"/>
      <c r="EZ365" s="235"/>
      <c r="FA365" s="235"/>
      <c r="FB365" s="235"/>
      <c r="FC365" s="225">
        <f>(EU365+EV365+EW365+EX365+EY365+EZ365+FA365+FB365)/3</f>
        <v>12</v>
      </c>
      <c r="FD365" s="226">
        <f>2*FC365</f>
        <v>24</v>
      </c>
      <c r="FE365" s="227">
        <f>3*FC365</f>
        <v>36</v>
      </c>
      <c r="FF365" s="235">
        <f t="shared" si="3995"/>
        <v>2304</v>
      </c>
      <c r="FG365" s="235">
        <f>EV365*EW365*CHslave+EV365*INslave*EX365+KLslave*EW365*EX365</f>
        <v>3456</v>
      </c>
      <c r="FH365" s="235">
        <f>IFERROR(EU365^SIGN(EU365),1)*IFERROR(EV365^SIGN(EV365),1)*IFERROR(EW365^SIGN(EW365),1)*IFERROR(EX365^SIGN(EX365),1)*IFERROR(EY365^SIGN(EY365),1)*IFERROR(EZ365^SIGN(EZ365),1)*IFERROR(FA365^SIGN(FA365),1)*IFERROR(FB365^SIGN(FB365),1)</f>
        <v>1728</v>
      </c>
      <c r="FI365" s="244">
        <f>SUM(FF365:FH365)</f>
        <v>7488</v>
      </c>
      <c r="FJ365" s="226">
        <f>FC365*FF365/FI365</f>
        <v>3.6923076923076925</v>
      </c>
      <c r="FK365" s="226">
        <f>FD365*FG365/FI365</f>
        <v>11.076923076923077</v>
      </c>
      <c r="FL365" s="226">
        <f>FE365*FH365/FI365</f>
        <v>8.3076923076923084</v>
      </c>
      <c r="FM365" s="246">
        <f>SUM(FJ365:FL365)</f>
        <v>23.07692307692308</v>
      </c>
      <c r="FN365" s="252">
        <f t="shared" si="4002"/>
        <v>0</v>
      </c>
      <c r="FO365" s="309">
        <f>FM365-FN365</f>
        <v>23.07692307692308</v>
      </c>
      <c r="FP365" s="246">
        <f>IF(FM365&lt;=0,3,0)+IF(FM365&gt;0,FM365+1,0)*3+IF(FM365&gt;12,FM365-12,0)*3+IF(FM365&gt;13,FM365-13,0)*3+IF(FM365&gt;14,FM365-14,0)*3+IF(FM365&gt;15,FM365-15,0)*3+IF(FM365&gt;16,FM365-16,0)*3+IF(FM365&gt;17,FM365-17,0)*3+IF(FM365&gt;18,FM365-18,0)*3+IF(FM365&gt;19,FM365-19,0)*3+IF(FM365&gt;20,FM365-20,0)*3</f>
        <v>263.30769230769232</v>
      </c>
      <c r="FQ365" s="244">
        <f>IF(FN365&lt;=0,3,0)+IF(FN365&gt;0,FN365+1,0)*3+IF(FN365&gt;12,FN365-12,0)*3+IF(FN365&gt;13,FN365-13,0)*3+IF(FN365&gt;14,FN365-14,0)*3+IF(FN365&gt;15,FN365-15,0)*3+IF(FN365&gt;16,FN365-16,0)*3+IF(FN365&gt;17,FN365-17,0)*3+IF(FN365&gt;18,FN365-18,0)*3+IF(FN365&gt;19,FN365-19,0)*3+IF(FN365&gt;20,FN365-20,0)*3</f>
        <v>3</v>
      </c>
      <c r="FR365" s="245">
        <f>IF((FP365-FQ365)&gt;0,FP365-FQ365,0)</f>
        <v>260.30769230769232</v>
      </c>
      <c r="FS365" s="246">
        <f>IF((FQ365-FP365)&gt;0,FQ365-FP365,0)</f>
        <v>0</v>
      </c>
      <c r="FU365" s="306" t="s">
        <v>427</v>
      </c>
      <c r="FV365" s="314" t="s">
        <v>87</v>
      </c>
      <c r="FW365" s="246" t="s">
        <v>135</v>
      </c>
      <c r="FX365" s="235"/>
      <c r="FY365" s="235">
        <f>Konvention_1slave-KLslave</f>
        <v>12</v>
      </c>
      <c r="FZ365" s="235">
        <f>Konvention_1slave-INslave</f>
        <v>12</v>
      </c>
      <c r="GA365" s="235">
        <f>Konvention_1slave-CHslave</f>
        <v>12</v>
      </c>
      <c r="GB365" s="235"/>
      <c r="GC365" s="235"/>
      <c r="GD365" s="235"/>
      <c r="GE365" s="235"/>
      <c r="GF365" s="225">
        <f>(FX365+FY365+FZ365+GA365+GB365+GC365+GD365+GE365)/3</f>
        <v>12</v>
      </c>
      <c r="GG365" s="226">
        <f>2*GF365</f>
        <v>24</v>
      </c>
      <c r="GH365" s="227">
        <f>3*GF365</f>
        <v>36</v>
      </c>
      <c r="GI365" s="235">
        <f t="shared" si="4011"/>
        <v>2304</v>
      </c>
      <c r="GJ365" s="235">
        <f>FY365*FZ365*CHslave+FY365*INslave*GA365+KLslave*FZ365*GA365</f>
        <v>3456</v>
      </c>
      <c r="GK365" s="235">
        <f>IFERROR(FX365^SIGN(FX365),1)*IFERROR(FY365^SIGN(FY365),1)*IFERROR(FZ365^SIGN(FZ365),1)*IFERROR(GA365^SIGN(GA365),1)*IFERROR(GB365^SIGN(GB365),1)*IFERROR(GC365^SIGN(GC365),1)*IFERROR(GD365^SIGN(GD365),1)*IFERROR(GE365^SIGN(GE365),1)</f>
        <v>1728</v>
      </c>
      <c r="GL365" s="244">
        <f>SUM(GI365:GK365)</f>
        <v>7488</v>
      </c>
      <c r="GM365" s="226">
        <f>GF365*GI365/GL365</f>
        <v>3.6923076923076925</v>
      </c>
      <c r="GN365" s="226">
        <f>GG365*GJ365/GL365</f>
        <v>11.076923076923077</v>
      </c>
      <c r="GO365" s="226">
        <f>GH365*GK365/GL365</f>
        <v>8.3076923076923084</v>
      </c>
      <c r="GP365" s="246">
        <f>SUM(GM365:GO365)</f>
        <v>23.07692307692308</v>
      </c>
      <c r="GQ365" s="252">
        <f t="shared" si="4018"/>
        <v>0</v>
      </c>
      <c r="GR365" s="309">
        <f>GP365-GQ365</f>
        <v>23.07692307692308</v>
      </c>
      <c r="GS365" s="246">
        <f>IF(GP365&lt;=0,3,0)+IF(GP365&gt;0,GP365+1,0)*3+IF(GP365&gt;12,GP365-12,0)*3+IF(GP365&gt;13,GP365-13,0)*3+IF(GP365&gt;14,GP365-14,0)*3+IF(GP365&gt;15,GP365-15,0)*3+IF(GP365&gt;16,GP365-16,0)*3+IF(GP365&gt;17,GP365-17,0)*3+IF(GP365&gt;18,GP365-18,0)*3+IF(GP365&gt;19,GP365-19,0)*3+IF(GP365&gt;20,GP365-20,0)*3</f>
        <v>263.30769230769232</v>
      </c>
      <c r="GT365" s="244">
        <f>IF(GQ365&lt;=0,3,0)+IF(GQ365&gt;0,GQ365+1,0)*3+IF(GQ365&gt;12,GQ365-12,0)*3+IF(GQ365&gt;13,GQ365-13,0)*3+IF(GQ365&gt;14,GQ365-14,0)*3+IF(GQ365&gt;15,GQ365-15,0)*3+IF(GQ365&gt;16,GQ365-16,0)*3+IF(GQ365&gt;17,GQ365-17,0)*3+IF(GQ365&gt;18,GQ365-18,0)*3+IF(GQ365&gt;19,GQ365-19,0)*3+IF(GQ365&gt;20,GQ365-20,0)*3</f>
        <v>3</v>
      </c>
      <c r="GU365" s="245">
        <f>IF((GS365-GT365)&gt;0,GS365-GT365,0)</f>
        <v>260.30769230769232</v>
      </c>
      <c r="GV365" s="246">
        <f>IF((GT365-GS365)&gt;0,GT365-GS365,0)</f>
        <v>0</v>
      </c>
      <c r="GX365" s="306" t="s">
        <v>427</v>
      </c>
      <c r="GY365" s="314" t="s">
        <v>87</v>
      </c>
      <c r="GZ365" s="246" t="s">
        <v>135</v>
      </c>
      <c r="HA365" s="235"/>
      <c r="HB365" s="235">
        <f>Konvention_1slave-KLslave</f>
        <v>12</v>
      </c>
      <c r="HC365" s="235">
        <f>Konvention_1slave-INslave</f>
        <v>12</v>
      </c>
      <c r="HD365" s="235">
        <f>Konvention_1slave-CHslave</f>
        <v>12</v>
      </c>
      <c r="HE365" s="235"/>
      <c r="HF365" s="235"/>
      <c r="HG365" s="235"/>
      <c r="HH365" s="235"/>
      <c r="HI365" s="225">
        <f>(HA365+HB365+HC365+HD365+HE365+HF365+HG365+HH365)/3</f>
        <v>12</v>
      </c>
      <c r="HJ365" s="226">
        <f>2*HI365</f>
        <v>24</v>
      </c>
      <c r="HK365" s="227">
        <f>3*HI365</f>
        <v>36</v>
      </c>
      <c r="HL365" s="235">
        <f t="shared" si="4027"/>
        <v>2304</v>
      </c>
      <c r="HM365" s="235">
        <f>HB365*HC365*CHslave+HB365*INslave*HD365+KLslave*HC365*HD365</f>
        <v>3456</v>
      </c>
      <c r="HN365" s="235">
        <f>IFERROR(HA365^SIGN(HA365),1)*IFERROR(HB365^SIGN(HB365),1)*IFERROR(HC365^SIGN(HC365),1)*IFERROR(HD365^SIGN(HD365),1)*IFERROR(HE365^SIGN(HE365),1)*IFERROR(HF365^SIGN(HF365),1)*IFERROR(HG365^SIGN(HG365),1)*IFERROR(HH365^SIGN(HH365),1)</f>
        <v>1728</v>
      </c>
      <c r="HO365" s="244">
        <f>SUM(HL365:HN365)</f>
        <v>7488</v>
      </c>
      <c r="HP365" s="226">
        <f>HI365*HL365/HO365</f>
        <v>3.6923076923076925</v>
      </c>
      <c r="HQ365" s="226">
        <f>HJ365*HM365/HO365</f>
        <v>11.076923076923077</v>
      </c>
      <c r="HR365" s="226">
        <f>HK365*HN365/HO365</f>
        <v>8.3076923076923084</v>
      </c>
      <c r="HS365" s="246">
        <f>SUM(HP365:HR365)</f>
        <v>23.07692307692308</v>
      </c>
      <c r="HT365" s="252">
        <f t="shared" si="4034"/>
        <v>0</v>
      </c>
      <c r="HU365" s="309">
        <f>HS365-HT365</f>
        <v>23.07692307692308</v>
      </c>
      <c r="HV365" s="246">
        <f>IF(HS365&lt;=0,3,0)+IF(HS365&gt;0,HS365+1,0)*3+IF(HS365&gt;12,HS365-12,0)*3+IF(HS365&gt;13,HS365-13,0)*3+IF(HS365&gt;14,HS365-14,0)*3+IF(HS365&gt;15,HS365-15,0)*3+IF(HS365&gt;16,HS365-16,0)*3+IF(HS365&gt;17,HS365-17,0)*3+IF(HS365&gt;18,HS365-18,0)*3+IF(HS365&gt;19,HS365-19,0)*3+IF(HS365&gt;20,HS365-20,0)*3</f>
        <v>263.30769230769232</v>
      </c>
      <c r="HW365" s="244">
        <f>IF(HT365&lt;=0,3,0)+IF(HT365&gt;0,HT365+1,0)*3+IF(HT365&gt;12,HT365-12,0)*3+IF(HT365&gt;13,HT365-13,0)*3+IF(HT365&gt;14,HT365-14,0)*3+IF(HT365&gt;15,HT365-15,0)*3+IF(HT365&gt;16,HT365-16,0)*3+IF(HT365&gt;17,HT365-17,0)*3+IF(HT365&gt;18,HT365-18,0)*3+IF(HT365&gt;19,HT365-19,0)*3+IF(HT365&gt;20,HT365-20,0)*3</f>
        <v>3</v>
      </c>
      <c r="HX365" s="245">
        <f>IF((HV365-HW365)&gt;0,HV365-HW365,0)</f>
        <v>260.30769230769232</v>
      </c>
      <c r="HY365" s="246">
        <f>IF((HW365-HV365)&gt;0,HW365-HV365,0)</f>
        <v>0</v>
      </c>
      <c r="IA365" s="306" t="s">
        <v>427</v>
      </c>
      <c r="IB365" s="314" t="s">
        <v>87</v>
      </c>
      <c r="IC365" s="246" t="s">
        <v>135</v>
      </c>
      <c r="ID365" s="235"/>
      <c r="IE365" s="235">
        <f>Konvention_1slave-KLslave</f>
        <v>12</v>
      </c>
      <c r="IF365" s="235">
        <f>Konvention_1slave-INslave</f>
        <v>12</v>
      </c>
      <c r="IG365" s="235">
        <f>Konvention_1slave-CHslave</f>
        <v>12</v>
      </c>
      <c r="IH365" s="235"/>
      <c r="II365" s="235"/>
      <c r="IJ365" s="235"/>
      <c r="IK365" s="235"/>
      <c r="IL365" s="225">
        <f>(ID365+IE365+IF365+IG365+IH365+II365+IJ365+IK365)/3</f>
        <v>12</v>
      </c>
      <c r="IM365" s="226">
        <f>2*IL365</f>
        <v>24</v>
      </c>
      <c r="IN365" s="227">
        <f>3*IL365</f>
        <v>36</v>
      </c>
      <c r="IO365" s="235">
        <f t="shared" si="4043"/>
        <v>2304</v>
      </c>
      <c r="IP365" s="235">
        <f>IE365*IF365*CHslave+IE365*INslave*IG365+KLslave*IF365*IG365</f>
        <v>3456</v>
      </c>
      <c r="IQ365" s="235">
        <f>IFERROR(ID365^SIGN(ID365),1)*IFERROR(IE365^SIGN(IE365),1)*IFERROR(IF365^SIGN(IF365),1)*IFERROR(IG365^SIGN(IG365),1)*IFERROR(IH365^SIGN(IH365),1)*IFERROR(II365^SIGN(II365),1)*IFERROR(IJ365^SIGN(IJ365),1)*IFERROR(IK365^SIGN(IK365),1)</f>
        <v>1728</v>
      </c>
      <c r="IR365" s="244">
        <f>SUM(IO365:IQ365)</f>
        <v>7488</v>
      </c>
      <c r="IS365" s="226">
        <f>IL365*IO365/IR365</f>
        <v>3.6923076923076925</v>
      </c>
      <c r="IT365" s="226">
        <f>IM365*IP365/IR365</f>
        <v>11.076923076923077</v>
      </c>
      <c r="IU365" s="226">
        <f>IN365*IQ365/IR365</f>
        <v>8.3076923076923084</v>
      </c>
      <c r="IV365" s="246">
        <f>SUM(IS365:IU365)</f>
        <v>23.07692307692308</v>
      </c>
      <c r="IW365" s="252">
        <f t="shared" si="4050"/>
        <v>0</v>
      </c>
      <c r="IX365" s="309">
        <f>IV365-IW365</f>
        <v>23.07692307692308</v>
      </c>
      <c r="IY365" s="246">
        <f>IF(IV365&lt;=0,3,0)+IF(IV365&gt;0,IV365+1,0)*3+IF(IV365&gt;12,IV365-12,0)*3+IF(IV365&gt;13,IV365-13,0)*3+IF(IV365&gt;14,IV365-14,0)*3+IF(IV365&gt;15,IV365-15,0)*3+IF(IV365&gt;16,IV365-16,0)*3+IF(IV365&gt;17,IV365-17,0)*3+IF(IV365&gt;18,IV365-18,0)*3+IF(IV365&gt;19,IV365-19,0)*3+IF(IV365&gt;20,IV365-20,0)*3</f>
        <v>263.30769230769232</v>
      </c>
      <c r="IZ365" s="244">
        <f>IF(IW365&lt;=0,3,0)+IF(IW365&gt;0,IW365+1,0)*3+IF(IW365&gt;12,IW365-12,0)*3+IF(IW365&gt;13,IW365-13,0)*3+IF(IW365&gt;14,IW365-14,0)*3+IF(IW365&gt;15,IW365-15,0)*3+IF(IW365&gt;16,IW365-16,0)*3+IF(IW365&gt;17,IW365-17,0)*3+IF(IW365&gt;18,IW365-18,0)*3+IF(IW365&gt;19,IW365-19,0)*3+IF(IW365&gt;20,IW365-20,0)*3</f>
        <v>3</v>
      </c>
      <c r="JA365" s="245">
        <f>IF((IY365-IZ365)&gt;0,IY365-IZ365,0)</f>
        <v>260.30769230769232</v>
      </c>
      <c r="JB365" s="246">
        <f>IF((IZ365-IY365)&gt;0,IZ365-IY365,0)</f>
        <v>0</v>
      </c>
      <c r="JE365" s="148"/>
    </row>
    <row r="366" spans="2:265" hidden="1" outlineLevel="1" collapsed="1">
      <c r="B366" s="134" t="s">
        <v>330</v>
      </c>
      <c r="C366" s="307" t="s">
        <v>281</v>
      </c>
      <c r="D366" s="84" t="s">
        <v>279</v>
      </c>
      <c r="E366" s="84" t="s">
        <v>280</v>
      </c>
      <c r="Y366" s="251"/>
      <c r="Z366" s="197"/>
      <c r="AF366" s="83" t="s">
        <v>281</v>
      </c>
      <c r="AG366" s="84" t="s">
        <v>279</v>
      </c>
      <c r="AH366" s="84" t="s">
        <v>280</v>
      </c>
      <c r="BB366" s="197"/>
      <c r="BC366" s="197"/>
      <c r="BI366" s="307" t="s">
        <v>281</v>
      </c>
      <c r="BJ366" s="308" t="s">
        <v>279</v>
      </c>
      <c r="BK366" s="308" t="s">
        <v>280</v>
      </c>
      <c r="CE366" s="251"/>
      <c r="CF366" s="251"/>
      <c r="CL366" s="307" t="s">
        <v>281</v>
      </c>
      <c r="CM366" s="308" t="s">
        <v>279</v>
      </c>
      <c r="CN366" s="308" t="s">
        <v>280</v>
      </c>
      <c r="DH366" s="251"/>
      <c r="DI366" s="251"/>
      <c r="DO366" s="307" t="s">
        <v>281</v>
      </c>
      <c r="DP366" s="308" t="s">
        <v>279</v>
      </c>
      <c r="DQ366" s="308" t="s">
        <v>280</v>
      </c>
      <c r="EK366" s="251"/>
      <c r="EL366" s="251"/>
      <c r="ER366" s="307" t="s">
        <v>281</v>
      </c>
      <c r="ES366" s="308" t="s">
        <v>279</v>
      </c>
      <c r="ET366" s="308" t="s">
        <v>280</v>
      </c>
      <c r="FN366" s="251"/>
      <c r="FO366" s="251"/>
      <c r="FU366" s="307" t="s">
        <v>281</v>
      </c>
      <c r="FV366" s="308" t="s">
        <v>279</v>
      </c>
      <c r="FW366" s="308" t="s">
        <v>280</v>
      </c>
      <c r="GQ366" s="251"/>
      <c r="GR366" s="251"/>
      <c r="GX366" s="307" t="s">
        <v>281</v>
      </c>
      <c r="GY366" s="308" t="s">
        <v>279</v>
      </c>
      <c r="GZ366" s="308" t="s">
        <v>280</v>
      </c>
      <c r="HT366" s="251"/>
      <c r="HU366" s="251"/>
      <c r="IA366" s="307" t="s">
        <v>281</v>
      </c>
      <c r="IB366" s="308" t="s">
        <v>279</v>
      </c>
      <c r="IC366" s="308" t="s">
        <v>280</v>
      </c>
      <c r="IW366" s="251"/>
      <c r="IX366" s="251"/>
      <c r="JE366" s="148"/>
    </row>
    <row r="367" spans="2:265" hidden="1" outlineLevel="2">
      <c r="B367" s="148">
        <v>1</v>
      </c>
      <c r="C367" s="302" t="e">
        <f>VLOOKUP(AF367,Attribute!C:T,1,FALSE)</f>
        <v>#N/A</v>
      </c>
      <c r="D367" s="158" t="s">
        <v>80</v>
      </c>
      <c r="E367" s="158" t="s">
        <v>133</v>
      </c>
      <c r="F367" s="118"/>
      <c r="G367" s="118">
        <f>Konvention_1master-KLmaster</f>
        <v>12</v>
      </c>
      <c r="H367" s="118">
        <f t="shared" ref="H367:H374" si="4055">Konvention_1master-INmaster</f>
        <v>12</v>
      </c>
      <c r="I367" s="118"/>
      <c r="J367" s="118"/>
      <c r="K367" s="118"/>
      <c r="L367" s="118"/>
      <c r="M367" s="118"/>
      <c r="N367" s="219">
        <f>(G367+H367+H367)/3</f>
        <v>12</v>
      </c>
      <c r="O367" s="220">
        <f t="shared" ref="O367:O374" si="4056">2*N367</f>
        <v>24</v>
      </c>
      <c r="P367" s="221">
        <f t="shared" ref="P367:P374" si="4057">3*N367</f>
        <v>36</v>
      </c>
      <c r="Q367" s="233">
        <f>H367*POWER(KLmaster,SIGN(G367))*POWER(INmaster,SIGN(H367))+H367*POWER(KLmaster,SIGN(G367))*POWER(INmaster,SIGN(H367))+G367*POWER(INmaster,SIGN(H367))*POWER(INmaster,SIGN(H367))</f>
        <v>2304</v>
      </c>
      <c r="R367" s="118">
        <f>G367*H367*INmaster+G367*INmaster*H367+KLmaster*H367*H367</f>
        <v>3456</v>
      </c>
      <c r="S367" s="233">
        <f>G367*H367*H367</f>
        <v>1728</v>
      </c>
      <c r="T367" s="78">
        <f t="shared" ref="T367:T374" si="4058">SUM(Q367:S367)</f>
        <v>7488</v>
      </c>
      <c r="U367" s="220">
        <f t="shared" ref="U367:U374" si="4059">N367*Q367/T367</f>
        <v>3.6923076923076925</v>
      </c>
      <c r="V367" s="220">
        <f t="shared" ref="V367:V374" si="4060">O367*R367/T367</f>
        <v>11.076923076923077</v>
      </c>
      <c r="W367" s="220">
        <f t="shared" ref="W367:W374" si="4061">P367*S367/T367</f>
        <v>8.3076923076923084</v>
      </c>
      <c r="X367" s="42">
        <f t="shared" ref="X367:X374" si="4062">SUM(U367:W367)</f>
        <v>23.07692307692308</v>
      </c>
      <c r="Y367" s="252">
        <v>0</v>
      </c>
      <c r="Z367" s="198">
        <f t="shared" ref="Z367:Z374" si="4063">X367-Y367</f>
        <v>23.07692307692308</v>
      </c>
      <c r="AA367" s="158">
        <f t="shared" ref="AA367:AB369" si="4064">IF(X367&lt;=0,1,0)+IF(X367&gt;0,X367+1,0)*1+IF(X367&gt;12,X367-12,0)*1+IF(X367&gt;13,X367-13,0)*1+IF(X367&gt;14,X367-14,0)*1+IF(X367&gt;15,X367-15,0)*1+IF(X367&gt;16,X367-16,0)*1+IF(X367&gt;17,X367-17,0)*1+IF(X367&gt;18,X367-18,0)*1+IF(X367&gt;19,X367-19,0)*1+IF(X367&gt;20,X367-20,0)*1</f>
        <v>87.769230769230802</v>
      </c>
      <c r="AB367" s="91">
        <f t="shared" si="4064"/>
        <v>1</v>
      </c>
      <c r="AC367" s="126">
        <f t="shared" ref="AC367:AC374" si="4065">IF((AA367-AB367)&gt;0,AA367-AB367,0)</f>
        <v>86.769230769230802</v>
      </c>
      <c r="AD367" s="158">
        <f t="shared" ref="AD367:AD374" si="4066">IF((AB367-AA367)&gt;0,AB367-AA367,0)</f>
        <v>0</v>
      </c>
      <c r="AF367" s="162" t="s">
        <v>173</v>
      </c>
      <c r="AG367" s="158" t="s">
        <v>80</v>
      </c>
      <c r="AH367" s="158" t="s">
        <v>133</v>
      </c>
      <c r="AI367" s="118"/>
      <c r="AJ367" s="118">
        <f>Konvention_1slave-KLslave</f>
        <v>12</v>
      </c>
      <c r="AK367" s="118">
        <f t="shared" ref="AK367:AK374" si="4067">Konvention_1slave-INslave</f>
        <v>12</v>
      </c>
      <c r="AL367" s="118"/>
      <c r="AM367" s="118"/>
      <c r="AN367" s="118"/>
      <c r="AO367" s="118"/>
      <c r="AP367" s="118"/>
      <c r="AQ367" s="193">
        <f>(AJ367+AK367+AK367)/3</f>
        <v>12</v>
      </c>
      <c r="AR367" s="116">
        <f t="shared" ref="AR367:AR374" si="4068">2*AQ367</f>
        <v>24</v>
      </c>
      <c r="AS367" s="92">
        <f t="shared" ref="AS367:AS374" si="4069">3*AQ367</f>
        <v>36</v>
      </c>
      <c r="AT367" s="118">
        <f>AK367*POWER(KLslave,SIGN(AJ367))*POWER(INslave,SIGN(AK367))+AK367*POWER(KLslave,SIGN(AJ367))*POWER(INslave,SIGN(AK367))+AJ367*POWER(INslave,SIGN(AK367))*POWER(INslave,SIGN(AK367))</f>
        <v>2304</v>
      </c>
      <c r="AU367" s="118">
        <f>AJ367*AK367*INslave+AJ367*INslave*AK367+KLslave*AK367*AK367</f>
        <v>3456</v>
      </c>
      <c r="AV367" s="118">
        <f>AJ367*AK367*AK367</f>
        <v>1728</v>
      </c>
      <c r="AW367" s="91">
        <f t="shared" ref="AW367:AW374" si="4070">SUM(AT367:AV367)</f>
        <v>7488</v>
      </c>
      <c r="AX367" s="116">
        <f t="shared" ref="AX367:AX374" si="4071">AQ367*AT367/AW367</f>
        <v>3.6923076923076925</v>
      </c>
      <c r="AY367" s="116">
        <f t="shared" ref="AY367:AY374" si="4072">AR367*AU367/AW367</f>
        <v>11.076923076923077</v>
      </c>
      <c r="AZ367" s="116">
        <f t="shared" ref="AZ367:AZ374" si="4073">AS367*AV367/AW367</f>
        <v>8.3076923076923084</v>
      </c>
      <c r="BA367" s="158">
        <f t="shared" ref="BA367:BA374" si="4074">SUM(AX367:AZ367)</f>
        <v>23.07692307692308</v>
      </c>
      <c r="BB367" s="165">
        <f t="shared" si="3938"/>
        <v>0</v>
      </c>
      <c r="BC367" s="198">
        <f t="shared" ref="BC367:BC374" si="4075">BA367-BB367</f>
        <v>23.07692307692308</v>
      </c>
      <c r="BD367" s="158">
        <f t="shared" ref="BD367:BE369" si="4076">IF(BA367&lt;=0,1,0)+IF(BA367&gt;0,BA367+1,0)*1+IF(BA367&gt;12,BA367-12,0)*1+IF(BA367&gt;13,BA367-13,0)*1+IF(BA367&gt;14,BA367-14,0)*1+IF(BA367&gt;15,BA367-15,0)*1+IF(BA367&gt;16,BA367-16,0)*1+IF(BA367&gt;17,BA367-17,0)*1+IF(BA367&gt;18,BA367-18,0)*1+IF(BA367&gt;19,BA367-19,0)*1+IF(BA367&gt;20,BA367-20,0)*1</f>
        <v>87.769230769230802</v>
      </c>
      <c r="BE367" s="91">
        <f t="shared" si="4076"/>
        <v>1</v>
      </c>
      <c r="BF367" s="241">
        <f t="shared" ref="BF367:BF374" si="4077">IF((BD367-BE367)&gt;0,BD367-BE367,0)</f>
        <v>86.769230769230802</v>
      </c>
      <c r="BG367" s="42">
        <f t="shared" ref="BG367:BG374" si="4078">IF((BE367-BD367)&gt;0,BE367-BD367,0)</f>
        <v>0</v>
      </c>
      <c r="BI367" s="302" t="s">
        <v>173</v>
      </c>
      <c r="BJ367" s="42" t="s">
        <v>80</v>
      </c>
      <c r="BK367" s="42" t="s">
        <v>133</v>
      </c>
      <c r="BL367" s="233"/>
      <c r="BM367" s="233">
        <f>Konvention_1slave-KLslave_KL</f>
        <v>11</v>
      </c>
      <c r="BN367" s="233">
        <f t="shared" ref="BN367:BN374" si="4079">Konvention_1slave-INslave</f>
        <v>12</v>
      </c>
      <c r="BO367" s="233"/>
      <c r="BP367" s="233"/>
      <c r="BQ367" s="233"/>
      <c r="BR367" s="233"/>
      <c r="BS367" s="233"/>
      <c r="BT367" s="219">
        <f>(BM367+BN367+BN367)/3</f>
        <v>11.666666666666666</v>
      </c>
      <c r="BU367" s="220">
        <f t="shared" ref="BU367:BU374" si="4080">2*BT367</f>
        <v>23.333333333333332</v>
      </c>
      <c r="BV367" s="221">
        <f t="shared" ref="BV367:BV374" si="4081">3*BT367</f>
        <v>35</v>
      </c>
      <c r="BW367" s="233">
        <f>BN367*POWER(KLslave_KL,SIGN(BM367))*POWER(INslave,SIGN(BN367))+BN367*POWER(KLslave_KL,SIGN(BM367))*POWER(INslave,SIGN(BN367))+BM367*POWER(INslave,SIGN(BN367))*POWER(INslave,SIGN(BN367))</f>
        <v>2432</v>
      </c>
      <c r="BX367" s="233">
        <f>BM367*BN367*INslave+BM367*INslave*BN367+KLslave_KL*BN367*BN367</f>
        <v>3408</v>
      </c>
      <c r="BY367" s="233">
        <f>BM367*BN367*BN367</f>
        <v>1584</v>
      </c>
      <c r="BZ367" s="78">
        <f t="shared" ref="BZ367:BZ374" si="4082">SUM(BW367:BY367)</f>
        <v>7424</v>
      </c>
      <c r="CA367" s="220">
        <f t="shared" ref="CA367:CA374" si="4083">BT367*BW367/BZ367</f>
        <v>3.8218390804597702</v>
      </c>
      <c r="CB367" s="220">
        <f t="shared" ref="CB367:CB374" si="4084">BU367*BX367/BZ367</f>
        <v>10.711206896551724</v>
      </c>
      <c r="CC367" s="220">
        <f t="shared" ref="CC367:CC374" si="4085">BV367*BY367/BZ367</f>
        <v>7.4676724137931032</v>
      </c>
      <c r="CD367" s="42">
        <f t="shared" ref="CD367:CD374" si="4086">SUM(CA367:CC367)</f>
        <v>22.000718390804597</v>
      </c>
      <c r="CE367" s="252">
        <f t="shared" si="3954"/>
        <v>0</v>
      </c>
      <c r="CF367" s="309">
        <f t="shared" ref="CF367:CF374" si="4087">CD367-CE367</f>
        <v>22.000718390804597</v>
      </c>
      <c r="CG367" s="42">
        <f t="shared" ref="CG367:CH369" si="4088">IF(CD367&lt;=0,1,0)+IF(CD367&gt;0,CD367+1,0)*1+IF(CD367&gt;12,CD367-12,0)*1+IF(CD367&gt;13,CD367-13,0)*1+IF(CD367&gt;14,CD367-14,0)*1+IF(CD367&gt;15,CD367-15,0)*1+IF(CD367&gt;16,CD367-16,0)*1+IF(CD367&gt;17,CD367-17,0)*1+IF(CD367&gt;18,CD367-18,0)*1+IF(CD367&gt;19,CD367-19,0)*1+IF(CD367&gt;20,CD367-20,0)*1</f>
        <v>77.007183908045945</v>
      </c>
      <c r="CH367" s="78">
        <f t="shared" si="4088"/>
        <v>1</v>
      </c>
      <c r="CI367" s="241">
        <f t="shared" ref="CI367:CI374" si="4089">IF((CG367-CH367)&gt;0,CG367-CH367,0)</f>
        <v>76.007183908045945</v>
      </c>
      <c r="CJ367" s="42">
        <f t="shared" ref="CJ367:CJ374" si="4090">IF((CH367-CG367)&gt;0,CH367-CG367,0)</f>
        <v>0</v>
      </c>
      <c r="CL367" s="302" t="s">
        <v>173</v>
      </c>
      <c r="CM367" s="42" t="s">
        <v>80</v>
      </c>
      <c r="CN367" s="42" t="s">
        <v>133</v>
      </c>
      <c r="CO367" s="233"/>
      <c r="CP367" s="233">
        <f>Konvention_1slave-KLslave</f>
        <v>12</v>
      </c>
      <c r="CQ367" s="233">
        <f>Konvention_1slave-INslave_IN</f>
        <v>11</v>
      </c>
      <c r="CR367" s="233"/>
      <c r="CS367" s="233"/>
      <c r="CT367" s="233"/>
      <c r="CU367" s="233"/>
      <c r="CV367" s="233"/>
      <c r="CW367" s="219">
        <f>(CP367+CQ367+CQ367)/3</f>
        <v>11.333333333333334</v>
      </c>
      <c r="CX367" s="220">
        <f t="shared" ref="CX367:CX374" si="4091">2*CW367</f>
        <v>22.666666666666668</v>
      </c>
      <c r="CY367" s="221">
        <f t="shared" ref="CY367:CY374" si="4092">3*CW367</f>
        <v>34</v>
      </c>
      <c r="CZ367" s="233">
        <f>CQ367*POWER(KLslave,SIGN(CP367))*POWER(INslave_IN,SIGN(CQ367))+CQ367*POWER(KLslave,SIGN(CP367))*POWER(INslave_IN,SIGN(CQ367))+CP367*POWER(INslave_IN,SIGN(CQ367))*POWER(INslave_IN,SIGN(CQ367))</f>
        <v>2556</v>
      </c>
      <c r="DA367" s="233">
        <f>CP367*CQ367*INslave_IN+CP367*INslave_IN*CQ367+KLslave*CQ367*CQ367</f>
        <v>3344</v>
      </c>
      <c r="DB367" s="233">
        <f>CP367*CQ367*CQ367</f>
        <v>1452</v>
      </c>
      <c r="DC367" s="78">
        <f t="shared" ref="DC367:DC374" si="4093">SUM(CZ367:DB367)</f>
        <v>7352</v>
      </c>
      <c r="DD367" s="220">
        <f t="shared" ref="DD367:DD374" si="4094">CW367*CZ367/DC367</f>
        <v>3.940152339499456</v>
      </c>
      <c r="DE367" s="220">
        <f t="shared" ref="DE367:DE374" si="4095">CX367*DA367/DC367</f>
        <v>10.309756982227059</v>
      </c>
      <c r="DF367" s="220">
        <f t="shared" ref="DF367:DF374" si="4096">CY367*DB367/DC367</f>
        <v>6.714907508161045</v>
      </c>
      <c r="DG367" s="42">
        <f t="shared" ref="DG367:DG374" si="4097">SUM(DD367:DF367)</f>
        <v>20.96481682988756</v>
      </c>
      <c r="DH367" s="252">
        <f t="shared" si="3970"/>
        <v>0</v>
      </c>
      <c r="DI367" s="309">
        <f t="shared" ref="DI367:DI374" si="4098">DG367-DH367</f>
        <v>20.96481682988756</v>
      </c>
      <c r="DJ367" s="42">
        <f t="shared" ref="DJ367:DK369" si="4099">IF(DG367&lt;=0,1,0)+IF(DG367&gt;0,DG367+1,0)*1+IF(DG367&gt;12,DG367-12,0)*1+IF(DG367&gt;13,DG367-13,0)*1+IF(DG367&gt;14,DG367-14,0)*1+IF(DG367&gt;15,DG367-15,0)*1+IF(DG367&gt;16,DG367-16,0)*1+IF(DG367&gt;17,DG367-17,0)*1+IF(DG367&gt;18,DG367-18,0)*1+IF(DG367&gt;19,DG367-19,0)*1+IF(DG367&gt;20,DG367-20,0)*1</f>
        <v>66.648168298875589</v>
      </c>
      <c r="DK367" s="78">
        <f t="shared" si="4099"/>
        <v>1</v>
      </c>
      <c r="DL367" s="241">
        <f t="shared" ref="DL367:DL374" si="4100">IF((DJ367-DK367)&gt;0,DJ367-DK367,0)</f>
        <v>65.648168298875589</v>
      </c>
      <c r="DM367" s="42">
        <f t="shared" ref="DM367:DM374" si="4101">IF((DK367-DJ367)&gt;0,DK367-DJ367,0)</f>
        <v>0</v>
      </c>
      <c r="DO367" s="302" t="s">
        <v>173</v>
      </c>
      <c r="DP367" s="42" t="s">
        <v>80</v>
      </c>
      <c r="DQ367" s="42" t="s">
        <v>133</v>
      </c>
      <c r="DR367" s="233"/>
      <c r="DS367" s="233">
        <f>Konvention_1slave-KLslave</f>
        <v>12</v>
      </c>
      <c r="DT367" s="233">
        <f t="shared" ref="DT367:DT374" si="4102">Konvention_1slave-INslave</f>
        <v>12</v>
      </c>
      <c r="DU367" s="233"/>
      <c r="DV367" s="233"/>
      <c r="DW367" s="233"/>
      <c r="DX367" s="233"/>
      <c r="DY367" s="233"/>
      <c r="DZ367" s="219">
        <f>(DS367+DT367+DT367)/3</f>
        <v>12</v>
      </c>
      <c r="EA367" s="220">
        <f t="shared" ref="EA367:EA374" si="4103">2*DZ367</f>
        <v>24</v>
      </c>
      <c r="EB367" s="221">
        <f t="shared" ref="EB367:EB374" si="4104">3*DZ367</f>
        <v>36</v>
      </c>
      <c r="EC367" s="233">
        <f>DT367*POWER(KLslave,SIGN(DS367))*POWER(INslave,SIGN(DT367))+DT367*POWER(KLslave,SIGN(DS367))*POWER(INslave,SIGN(DT367))+DS367*POWER(INslave,SIGN(DT367))*POWER(INslave,SIGN(DT367))</f>
        <v>2304</v>
      </c>
      <c r="ED367" s="233">
        <f>DS367*DT367*INslave+DS367*INslave*DT367+KLslave*DT367*DT367</f>
        <v>3456</v>
      </c>
      <c r="EE367" s="233">
        <f>DS367*DT367*DT367</f>
        <v>1728</v>
      </c>
      <c r="EF367" s="78">
        <f t="shared" ref="EF367:EF374" si="4105">SUM(EC367:EE367)</f>
        <v>7488</v>
      </c>
      <c r="EG367" s="220">
        <f t="shared" ref="EG367:EG374" si="4106">DZ367*EC367/EF367</f>
        <v>3.6923076923076925</v>
      </c>
      <c r="EH367" s="220">
        <f t="shared" ref="EH367:EH374" si="4107">EA367*ED367/EF367</f>
        <v>11.076923076923077</v>
      </c>
      <c r="EI367" s="220">
        <f t="shared" ref="EI367:EI374" si="4108">EB367*EE367/EF367</f>
        <v>8.3076923076923084</v>
      </c>
      <c r="EJ367" s="42">
        <f t="shared" ref="EJ367:EJ374" si="4109">SUM(EG367:EI367)</f>
        <v>23.07692307692308</v>
      </c>
      <c r="EK367" s="252">
        <f t="shared" si="3986"/>
        <v>0</v>
      </c>
      <c r="EL367" s="309">
        <f t="shared" ref="EL367:EL374" si="4110">EJ367-EK367</f>
        <v>23.07692307692308</v>
      </c>
      <c r="EM367" s="42">
        <f t="shared" ref="EM367:EN369" si="4111">IF(EJ367&lt;=0,1,0)+IF(EJ367&gt;0,EJ367+1,0)*1+IF(EJ367&gt;12,EJ367-12,0)*1+IF(EJ367&gt;13,EJ367-13,0)*1+IF(EJ367&gt;14,EJ367-14,0)*1+IF(EJ367&gt;15,EJ367-15,0)*1+IF(EJ367&gt;16,EJ367-16,0)*1+IF(EJ367&gt;17,EJ367-17,0)*1+IF(EJ367&gt;18,EJ367-18,0)*1+IF(EJ367&gt;19,EJ367-19,0)*1+IF(EJ367&gt;20,EJ367-20,0)*1</f>
        <v>87.769230769230802</v>
      </c>
      <c r="EN367" s="78">
        <f t="shared" si="4111"/>
        <v>1</v>
      </c>
      <c r="EO367" s="241">
        <f t="shared" ref="EO367:EO374" si="4112">IF((EM367-EN367)&gt;0,EM367-EN367,0)</f>
        <v>86.769230769230802</v>
      </c>
      <c r="EP367" s="42">
        <f t="shared" ref="EP367:EP374" si="4113">IF((EN367-EM367)&gt;0,EN367-EM367,0)</f>
        <v>0</v>
      </c>
      <c r="ER367" s="302" t="s">
        <v>173</v>
      </c>
      <c r="ES367" s="42" t="s">
        <v>80</v>
      </c>
      <c r="ET367" s="42" t="s">
        <v>133</v>
      </c>
      <c r="EU367" s="233"/>
      <c r="EV367" s="233">
        <f>Konvention_1slave-KLslave</f>
        <v>12</v>
      </c>
      <c r="EW367" s="233">
        <f t="shared" ref="EW367:EW374" si="4114">Konvention_1slave-INslave</f>
        <v>12</v>
      </c>
      <c r="EX367" s="233"/>
      <c r="EY367" s="233"/>
      <c r="EZ367" s="233"/>
      <c r="FA367" s="233"/>
      <c r="FB367" s="233"/>
      <c r="FC367" s="219">
        <f>(EV367+EW367+EW367)/3</f>
        <v>12</v>
      </c>
      <c r="FD367" s="220">
        <f t="shared" ref="FD367:FD374" si="4115">2*FC367</f>
        <v>24</v>
      </c>
      <c r="FE367" s="221">
        <f t="shared" ref="FE367:FE374" si="4116">3*FC367</f>
        <v>36</v>
      </c>
      <c r="FF367" s="233">
        <f>EW367*POWER(KLslave,SIGN(EV367))*POWER(INslave,SIGN(EW367))+EW367*POWER(KLslave,SIGN(EV367))*POWER(INslave,SIGN(EW367))+EV367*POWER(INslave,SIGN(EW367))*POWER(INslave,SIGN(EW367))</f>
        <v>2304</v>
      </c>
      <c r="FG367" s="233">
        <f>EV367*EW367*INslave+EV367*INslave*EW367+KLslave*EW367*EW367</f>
        <v>3456</v>
      </c>
      <c r="FH367" s="233">
        <f>EV367*EW367*EW367</f>
        <v>1728</v>
      </c>
      <c r="FI367" s="78">
        <f t="shared" ref="FI367:FI374" si="4117">SUM(FF367:FH367)</f>
        <v>7488</v>
      </c>
      <c r="FJ367" s="220">
        <f t="shared" ref="FJ367:FJ374" si="4118">FC367*FF367/FI367</f>
        <v>3.6923076923076925</v>
      </c>
      <c r="FK367" s="220">
        <f t="shared" ref="FK367:FK374" si="4119">FD367*FG367/FI367</f>
        <v>11.076923076923077</v>
      </c>
      <c r="FL367" s="220">
        <f t="shared" ref="FL367:FL374" si="4120">FE367*FH367/FI367</f>
        <v>8.3076923076923084</v>
      </c>
      <c r="FM367" s="42">
        <f t="shared" ref="FM367:FM374" si="4121">SUM(FJ367:FL367)</f>
        <v>23.07692307692308</v>
      </c>
      <c r="FN367" s="252">
        <f t="shared" si="4002"/>
        <v>0</v>
      </c>
      <c r="FO367" s="309">
        <f t="shared" ref="FO367:FO374" si="4122">FM367-FN367</f>
        <v>23.07692307692308</v>
      </c>
      <c r="FP367" s="42">
        <f t="shared" ref="FP367:FQ369" si="4123">IF(FM367&lt;=0,1,0)+IF(FM367&gt;0,FM367+1,0)*1+IF(FM367&gt;12,FM367-12,0)*1+IF(FM367&gt;13,FM367-13,0)*1+IF(FM367&gt;14,FM367-14,0)*1+IF(FM367&gt;15,FM367-15,0)*1+IF(FM367&gt;16,FM367-16,0)*1+IF(FM367&gt;17,FM367-17,0)*1+IF(FM367&gt;18,FM367-18,0)*1+IF(FM367&gt;19,FM367-19,0)*1+IF(FM367&gt;20,FM367-20,0)*1</f>
        <v>87.769230769230802</v>
      </c>
      <c r="FQ367" s="78">
        <f t="shared" si="4123"/>
        <v>1</v>
      </c>
      <c r="FR367" s="241">
        <f t="shared" ref="FR367:FR374" si="4124">IF((FP367-FQ367)&gt;0,FP367-FQ367,0)</f>
        <v>86.769230769230802</v>
      </c>
      <c r="FS367" s="42">
        <f t="shared" ref="FS367:FS374" si="4125">IF((FQ367-FP367)&gt;0,FQ367-FP367,0)</f>
        <v>0</v>
      </c>
      <c r="FU367" s="302" t="s">
        <v>173</v>
      </c>
      <c r="FV367" s="42" t="s">
        <v>80</v>
      </c>
      <c r="FW367" s="42" t="s">
        <v>133</v>
      </c>
      <c r="FX367" s="233"/>
      <c r="FY367" s="233">
        <f>Konvention_1slave-KLslave</f>
        <v>12</v>
      </c>
      <c r="FZ367" s="233">
        <f t="shared" ref="FZ367:FZ374" si="4126">Konvention_1slave-INslave</f>
        <v>12</v>
      </c>
      <c r="GA367" s="233"/>
      <c r="GB367" s="233"/>
      <c r="GC367" s="233"/>
      <c r="GD367" s="233"/>
      <c r="GE367" s="233"/>
      <c r="GF367" s="219">
        <f>(FY367+FZ367+FZ367)/3</f>
        <v>12</v>
      </c>
      <c r="GG367" s="220">
        <f t="shared" ref="GG367:GG374" si="4127">2*GF367</f>
        <v>24</v>
      </c>
      <c r="GH367" s="221">
        <f t="shared" ref="GH367:GH374" si="4128">3*GF367</f>
        <v>36</v>
      </c>
      <c r="GI367" s="233">
        <f>FZ367*POWER(KLslave,SIGN(FY367))*POWER(INslave,SIGN(FZ367))+FZ367*POWER(KLslave,SIGN(FY367))*POWER(INslave,SIGN(FZ367))+FY367*POWER(INslave,SIGN(FZ367))*POWER(INslave,SIGN(FZ367))</f>
        <v>2304</v>
      </c>
      <c r="GJ367" s="233">
        <f>FY367*FZ367*INslave+FY367*INslave*FZ367+KLslave*FZ367*FZ367</f>
        <v>3456</v>
      </c>
      <c r="GK367" s="233">
        <f>FY367*FZ367*FZ367</f>
        <v>1728</v>
      </c>
      <c r="GL367" s="78">
        <f t="shared" ref="GL367:GL374" si="4129">SUM(GI367:GK367)</f>
        <v>7488</v>
      </c>
      <c r="GM367" s="220">
        <f t="shared" ref="GM367:GM374" si="4130">GF367*GI367/GL367</f>
        <v>3.6923076923076925</v>
      </c>
      <c r="GN367" s="220">
        <f t="shared" ref="GN367:GN374" si="4131">GG367*GJ367/GL367</f>
        <v>11.076923076923077</v>
      </c>
      <c r="GO367" s="220">
        <f t="shared" ref="GO367:GO374" si="4132">GH367*GK367/GL367</f>
        <v>8.3076923076923084</v>
      </c>
      <c r="GP367" s="42">
        <f t="shared" ref="GP367:GP374" si="4133">SUM(GM367:GO367)</f>
        <v>23.07692307692308</v>
      </c>
      <c r="GQ367" s="252">
        <f t="shared" si="4018"/>
        <v>0</v>
      </c>
      <c r="GR367" s="309">
        <f t="shared" ref="GR367:GR374" si="4134">GP367-GQ367</f>
        <v>23.07692307692308</v>
      </c>
      <c r="GS367" s="42">
        <f t="shared" ref="GS367:GT369" si="4135">IF(GP367&lt;=0,1,0)+IF(GP367&gt;0,GP367+1,0)*1+IF(GP367&gt;12,GP367-12,0)*1+IF(GP367&gt;13,GP367-13,0)*1+IF(GP367&gt;14,GP367-14,0)*1+IF(GP367&gt;15,GP367-15,0)*1+IF(GP367&gt;16,GP367-16,0)*1+IF(GP367&gt;17,GP367-17,0)*1+IF(GP367&gt;18,GP367-18,0)*1+IF(GP367&gt;19,GP367-19,0)*1+IF(GP367&gt;20,GP367-20,0)*1</f>
        <v>87.769230769230802</v>
      </c>
      <c r="GT367" s="78">
        <f t="shared" si="4135"/>
        <v>1</v>
      </c>
      <c r="GU367" s="241">
        <f t="shared" ref="GU367:GU374" si="4136">IF((GS367-GT367)&gt;0,GS367-GT367,0)</f>
        <v>86.769230769230802</v>
      </c>
      <c r="GV367" s="42">
        <f t="shared" ref="GV367:GV374" si="4137">IF((GT367-GS367)&gt;0,GT367-GS367,0)</f>
        <v>0</v>
      </c>
      <c r="GX367" s="302" t="s">
        <v>173</v>
      </c>
      <c r="GY367" s="42" t="s">
        <v>80</v>
      </c>
      <c r="GZ367" s="42" t="s">
        <v>133</v>
      </c>
      <c r="HA367" s="233"/>
      <c r="HB367" s="233">
        <f>Konvention_1slave-KLslave</f>
        <v>12</v>
      </c>
      <c r="HC367" s="233">
        <f t="shared" ref="HC367:HC374" si="4138">Konvention_1slave-INslave</f>
        <v>12</v>
      </c>
      <c r="HD367" s="233"/>
      <c r="HE367" s="233"/>
      <c r="HF367" s="233"/>
      <c r="HG367" s="233"/>
      <c r="HH367" s="233"/>
      <c r="HI367" s="219">
        <f>(HB367+HC367+HC367)/3</f>
        <v>12</v>
      </c>
      <c r="HJ367" s="220">
        <f t="shared" ref="HJ367:HJ374" si="4139">2*HI367</f>
        <v>24</v>
      </c>
      <c r="HK367" s="221">
        <f t="shared" ref="HK367:HK374" si="4140">3*HI367</f>
        <v>36</v>
      </c>
      <c r="HL367" s="233">
        <f>HC367*POWER(KLslave,SIGN(HB367))*POWER(INslave,SIGN(HC367))+HC367*POWER(KLslave,SIGN(HB367))*POWER(INslave,SIGN(HC367))+HB367*POWER(INslave,SIGN(HC367))*POWER(INslave,SIGN(HC367))</f>
        <v>2304</v>
      </c>
      <c r="HM367" s="233">
        <f>HB367*HC367*INslave+HB367*INslave*HC367+KLslave*HC367*HC367</f>
        <v>3456</v>
      </c>
      <c r="HN367" s="233">
        <f>HB367*HC367*HC367</f>
        <v>1728</v>
      </c>
      <c r="HO367" s="78">
        <f t="shared" ref="HO367:HO374" si="4141">SUM(HL367:HN367)</f>
        <v>7488</v>
      </c>
      <c r="HP367" s="220">
        <f t="shared" ref="HP367:HP374" si="4142">HI367*HL367/HO367</f>
        <v>3.6923076923076925</v>
      </c>
      <c r="HQ367" s="220">
        <f t="shared" ref="HQ367:HQ374" si="4143">HJ367*HM367/HO367</f>
        <v>11.076923076923077</v>
      </c>
      <c r="HR367" s="220">
        <f t="shared" ref="HR367:HR374" si="4144">HK367*HN367/HO367</f>
        <v>8.3076923076923084</v>
      </c>
      <c r="HS367" s="42">
        <f t="shared" ref="HS367:HS374" si="4145">SUM(HP367:HR367)</f>
        <v>23.07692307692308</v>
      </c>
      <c r="HT367" s="252">
        <f t="shared" si="4034"/>
        <v>0</v>
      </c>
      <c r="HU367" s="309">
        <f t="shared" ref="HU367:HU374" si="4146">HS367-HT367</f>
        <v>23.07692307692308</v>
      </c>
      <c r="HV367" s="42">
        <f t="shared" ref="HV367:HW369" si="4147">IF(HS367&lt;=0,1,0)+IF(HS367&gt;0,HS367+1,0)*1+IF(HS367&gt;12,HS367-12,0)*1+IF(HS367&gt;13,HS367-13,0)*1+IF(HS367&gt;14,HS367-14,0)*1+IF(HS367&gt;15,HS367-15,0)*1+IF(HS367&gt;16,HS367-16,0)*1+IF(HS367&gt;17,HS367-17,0)*1+IF(HS367&gt;18,HS367-18,0)*1+IF(HS367&gt;19,HS367-19,0)*1+IF(HS367&gt;20,HS367-20,0)*1</f>
        <v>87.769230769230802</v>
      </c>
      <c r="HW367" s="78">
        <f t="shared" si="4147"/>
        <v>1</v>
      </c>
      <c r="HX367" s="241">
        <f t="shared" ref="HX367:HX374" si="4148">IF((HV367-HW367)&gt;0,HV367-HW367,0)</f>
        <v>86.769230769230802</v>
      </c>
      <c r="HY367" s="42">
        <f t="shared" ref="HY367:HY374" si="4149">IF((HW367-HV367)&gt;0,HW367-HV367,0)</f>
        <v>0</v>
      </c>
      <c r="IA367" s="302" t="s">
        <v>173</v>
      </c>
      <c r="IB367" s="42" t="s">
        <v>80</v>
      </c>
      <c r="IC367" s="42" t="s">
        <v>133</v>
      </c>
      <c r="ID367" s="233"/>
      <c r="IE367" s="233">
        <f>Konvention_1slave-KLslave</f>
        <v>12</v>
      </c>
      <c r="IF367" s="233">
        <f t="shared" ref="IF367:IF374" si="4150">Konvention_1slave-INslave</f>
        <v>12</v>
      </c>
      <c r="IG367" s="233"/>
      <c r="IH367" s="233"/>
      <c r="II367" s="233"/>
      <c r="IJ367" s="233"/>
      <c r="IK367" s="233"/>
      <c r="IL367" s="219">
        <f>(IE367+IF367+IF367)/3</f>
        <v>12</v>
      </c>
      <c r="IM367" s="220">
        <f t="shared" ref="IM367:IM374" si="4151">2*IL367</f>
        <v>24</v>
      </c>
      <c r="IN367" s="221">
        <f t="shared" ref="IN367:IN374" si="4152">3*IL367</f>
        <v>36</v>
      </c>
      <c r="IO367" s="233">
        <f>IF367*POWER(KLslave,SIGN(IE367))*POWER(INslave,SIGN(IF367))+IF367*POWER(KLslave,SIGN(IE367))*POWER(INslave,SIGN(IF367))+IE367*POWER(INslave,SIGN(IF367))*POWER(INslave,SIGN(IF367))</f>
        <v>2304</v>
      </c>
      <c r="IP367" s="233">
        <f>IE367*IF367*INslave+IE367*INslave*IF367+KLslave*IF367*IF367</f>
        <v>3456</v>
      </c>
      <c r="IQ367" s="233">
        <f>IE367*IF367*IF367</f>
        <v>1728</v>
      </c>
      <c r="IR367" s="78">
        <f t="shared" ref="IR367:IR374" si="4153">SUM(IO367:IQ367)</f>
        <v>7488</v>
      </c>
      <c r="IS367" s="220">
        <f t="shared" ref="IS367:IS374" si="4154">IL367*IO367/IR367</f>
        <v>3.6923076923076925</v>
      </c>
      <c r="IT367" s="220">
        <f t="shared" ref="IT367:IT374" si="4155">IM367*IP367/IR367</f>
        <v>11.076923076923077</v>
      </c>
      <c r="IU367" s="220">
        <f t="shared" ref="IU367:IU374" si="4156">IN367*IQ367/IR367</f>
        <v>8.3076923076923084</v>
      </c>
      <c r="IV367" s="42">
        <f t="shared" ref="IV367:IV374" si="4157">SUM(IS367:IU367)</f>
        <v>23.07692307692308</v>
      </c>
      <c r="IW367" s="252">
        <f t="shared" si="4050"/>
        <v>0</v>
      </c>
      <c r="IX367" s="309">
        <f t="shared" ref="IX367:IX374" si="4158">IV367-IW367</f>
        <v>23.07692307692308</v>
      </c>
      <c r="IY367" s="42">
        <f t="shared" ref="IY367:IZ369" si="4159">IF(IV367&lt;=0,1,0)+IF(IV367&gt;0,IV367+1,0)*1+IF(IV367&gt;12,IV367-12,0)*1+IF(IV367&gt;13,IV367-13,0)*1+IF(IV367&gt;14,IV367-14,0)*1+IF(IV367&gt;15,IV367-15,0)*1+IF(IV367&gt;16,IV367-16,0)*1+IF(IV367&gt;17,IV367-17,0)*1+IF(IV367&gt;18,IV367-18,0)*1+IF(IV367&gt;19,IV367-19,0)*1+IF(IV367&gt;20,IV367-20,0)*1</f>
        <v>87.769230769230802</v>
      </c>
      <c r="IZ367" s="78">
        <f t="shared" si="4159"/>
        <v>1</v>
      </c>
      <c r="JA367" s="241">
        <f t="shared" ref="JA367:JA374" si="4160">IF((IY367-IZ367)&gt;0,IY367-IZ367,0)</f>
        <v>86.769230769230802</v>
      </c>
      <c r="JB367" s="42">
        <f t="shared" ref="JB367:JB374" si="4161">IF((IZ367-IY367)&gt;0,IZ367-IY367,0)</f>
        <v>0</v>
      </c>
      <c r="JE367" s="148"/>
    </row>
    <row r="368" spans="2:265" hidden="1" outlineLevel="2">
      <c r="B368" s="148">
        <v>2</v>
      </c>
      <c r="C368" s="303" t="e">
        <f>VLOOKUP(AF368,Attribute!C:T,1,FALSE)</f>
        <v>#N/A</v>
      </c>
      <c r="D368" s="86" t="s">
        <v>179</v>
      </c>
      <c r="E368" s="125" t="s">
        <v>133</v>
      </c>
      <c r="F368" s="113"/>
      <c r="G368" s="113"/>
      <c r="H368" s="113">
        <f t="shared" si="4055"/>
        <v>12</v>
      </c>
      <c r="I368" s="113">
        <f>Konvention_1master-CHmaster</f>
        <v>12</v>
      </c>
      <c r="J368" s="113"/>
      <c r="K368" s="113"/>
      <c r="L368" s="113"/>
      <c r="M368" s="113"/>
      <c r="N368" s="222">
        <f>(H368+I368+I368)/3</f>
        <v>12</v>
      </c>
      <c r="O368" s="223">
        <f t="shared" si="4056"/>
        <v>24</v>
      </c>
      <c r="P368" s="224">
        <f t="shared" si="4057"/>
        <v>36</v>
      </c>
      <c r="Q368" s="234">
        <f>I368*POWER(INmaster,SIGN(H368))*POWER(CHmaster,SIGN(I368))+I368*POWER(INmaster,SIGN(H368))*POWER(CHmaster,SIGN(I368))+H368*POWER(CHmaster,SIGN(I368))*POWER(CHmaster,SIGN(I368))</f>
        <v>2304</v>
      </c>
      <c r="R368" s="113">
        <f>H368*I368*CHmaster+H368*CHmaster*I368+INmaster*I368*I368</f>
        <v>3456</v>
      </c>
      <c r="S368" s="234">
        <f>H368*I368*I368</f>
        <v>1728</v>
      </c>
      <c r="T368" s="242">
        <f t="shared" si="4058"/>
        <v>7488</v>
      </c>
      <c r="U368" s="223">
        <f t="shared" si="4059"/>
        <v>3.6923076923076925</v>
      </c>
      <c r="V368" s="223">
        <f t="shared" si="4060"/>
        <v>11.076923076923077</v>
      </c>
      <c r="W368" s="223">
        <f t="shared" si="4061"/>
        <v>8.3076923076923084</v>
      </c>
      <c r="X368" s="218">
        <f t="shared" si="4062"/>
        <v>23.07692307692308</v>
      </c>
      <c r="Y368" s="252">
        <v>0</v>
      </c>
      <c r="Z368" s="198">
        <f t="shared" si="4063"/>
        <v>23.07692307692308</v>
      </c>
      <c r="AA368" s="125">
        <f t="shared" si="4064"/>
        <v>87.769230769230802</v>
      </c>
      <c r="AB368" s="160">
        <f t="shared" si="4064"/>
        <v>1</v>
      </c>
      <c r="AC368" s="127">
        <f t="shared" si="4065"/>
        <v>86.769230769230802</v>
      </c>
      <c r="AD368" s="125">
        <f t="shared" si="4066"/>
        <v>0</v>
      </c>
      <c r="AF368" s="163" t="s">
        <v>175</v>
      </c>
      <c r="AG368" s="125" t="s">
        <v>179</v>
      </c>
      <c r="AH368" s="125" t="s">
        <v>133</v>
      </c>
      <c r="AI368" s="113"/>
      <c r="AJ368" s="113"/>
      <c r="AK368" s="113">
        <f t="shared" si="4067"/>
        <v>12</v>
      </c>
      <c r="AL368" s="113">
        <f>Konvention_1slave-CHslave</f>
        <v>12</v>
      </c>
      <c r="AM368" s="113"/>
      <c r="AN368" s="113"/>
      <c r="AO368" s="113"/>
      <c r="AP368" s="113"/>
      <c r="AQ368" s="89">
        <f>(AK368+AL368+AL368)/3</f>
        <v>12</v>
      </c>
      <c r="AR368" s="47">
        <f t="shared" si="4068"/>
        <v>24</v>
      </c>
      <c r="AS368" s="119">
        <f t="shared" si="4069"/>
        <v>36</v>
      </c>
      <c r="AT368" s="113">
        <f>AL368*POWER(INslave,SIGN(AK368))*POWER(CHslave,SIGN(AL368))+AL368*POWER(INslave,SIGN(AK368))*POWER(CHslave,SIGN(AL368))+AK368*POWER(CHslave,SIGN(AL368))*POWER(CHslave,SIGN(AL368))</f>
        <v>2304</v>
      </c>
      <c r="AU368" s="113">
        <f>AK368*AL368*CHslave+AK368*CHslave*AL368+INslave*AL368*AL368</f>
        <v>3456</v>
      </c>
      <c r="AV368" s="113">
        <f>AK368*AL368*AL368</f>
        <v>1728</v>
      </c>
      <c r="AW368" s="160">
        <f t="shared" si="4070"/>
        <v>7488</v>
      </c>
      <c r="AX368" s="47">
        <f t="shared" si="4071"/>
        <v>3.6923076923076925</v>
      </c>
      <c r="AY368" s="47">
        <f t="shared" si="4072"/>
        <v>11.076923076923077</v>
      </c>
      <c r="AZ368" s="47">
        <f t="shared" si="4073"/>
        <v>8.3076923076923084</v>
      </c>
      <c r="BA368" s="125">
        <f t="shared" si="4074"/>
        <v>23.07692307692308</v>
      </c>
      <c r="BB368" s="165">
        <f t="shared" si="3938"/>
        <v>0</v>
      </c>
      <c r="BC368" s="198">
        <f t="shared" si="4075"/>
        <v>23.07692307692308</v>
      </c>
      <c r="BD368" s="125">
        <f t="shared" si="4076"/>
        <v>87.769230769230802</v>
      </c>
      <c r="BE368" s="160">
        <f t="shared" si="4076"/>
        <v>1</v>
      </c>
      <c r="BF368" s="243">
        <f t="shared" si="4077"/>
        <v>86.769230769230802</v>
      </c>
      <c r="BG368" s="218">
        <f t="shared" si="4078"/>
        <v>0</v>
      </c>
      <c r="BI368" s="303" t="s">
        <v>175</v>
      </c>
      <c r="BJ368" s="218" t="s">
        <v>179</v>
      </c>
      <c r="BK368" s="218" t="s">
        <v>133</v>
      </c>
      <c r="BL368" s="234"/>
      <c r="BM368" s="234"/>
      <c r="BN368" s="234">
        <f t="shared" si="4079"/>
        <v>12</v>
      </c>
      <c r="BO368" s="234">
        <f>Konvention_1slave-CHslave</f>
        <v>12</v>
      </c>
      <c r="BP368" s="234"/>
      <c r="BQ368" s="234"/>
      <c r="BR368" s="234"/>
      <c r="BS368" s="234"/>
      <c r="BT368" s="222">
        <f>(BN368+BO368+BO368)/3</f>
        <v>12</v>
      </c>
      <c r="BU368" s="223">
        <f t="shared" si="4080"/>
        <v>24</v>
      </c>
      <c r="BV368" s="224">
        <f t="shared" si="4081"/>
        <v>36</v>
      </c>
      <c r="BW368" s="234">
        <f>BO368*POWER(INslave,SIGN(BN368))*POWER(CHslave,SIGN(BO368))+BO368*POWER(INslave,SIGN(BN368))*POWER(CHslave,SIGN(BO368))+BN368*POWER(CHslave,SIGN(BO368))*POWER(CHslave,SIGN(BO368))</f>
        <v>2304</v>
      </c>
      <c r="BX368" s="234">
        <f>BN368*BO368*CHslave+BN368*CHslave*BO368+INslave*BO368*BO368</f>
        <v>3456</v>
      </c>
      <c r="BY368" s="234">
        <f>BN368*BO368*BO368</f>
        <v>1728</v>
      </c>
      <c r="BZ368" s="242">
        <f t="shared" si="4082"/>
        <v>7488</v>
      </c>
      <c r="CA368" s="223">
        <f t="shared" si="4083"/>
        <v>3.6923076923076925</v>
      </c>
      <c r="CB368" s="223">
        <f t="shared" si="4084"/>
        <v>11.076923076923077</v>
      </c>
      <c r="CC368" s="223">
        <f t="shared" si="4085"/>
        <v>8.3076923076923084</v>
      </c>
      <c r="CD368" s="218">
        <f t="shared" si="4086"/>
        <v>23.07692307692308</v>
      </c>
      <c r="CE368" s="252">
        <f t="shared" si="3954"/>
        <v>0</v>
      </c>
      <c r="CF368" s="309">
        <f t="shared" si="4087"/>
        <v>23.07692307692308</v>
      </c>
      <c r="CG368" s="218">
        <f t="shared" si="4088"/>
        <v>87.769230769230802</v>
      </c>
      <c r="CH368" s="242">
        <f t="shared" si="4088"/>
        <v>1</v>
      </c>
      <c r="CI368" s="243">
        <f t="shared" si="4089"/>
        <v>86.769230769230802</v>
      </c>
      <c r="CJ368" s="218">
        <f t="shared" si="4090"/>
        <v>0</v>
      </c>
      <c r="CL368" s="303" t="s">
        <v>175</v>
      </c>
      <c r="CM368" s="218" t="s">
        <v>179</v>
      </c>
      <c r="CN368" s="218" t="s">
        <v>133</v>
      </c>
      <c r="CO368" s="234"/>
      <c r="CP368" s="234"/>
      <c r="CQ368" s="234">
        <f>Konvention_1slave-INslave_IN</f>
        <v>11</v>
      </c>
      <c r="CR368" s="234">
        <f>Konvention_1slave-CHslave</f>
        <v>12</v>
      </c>
      <c r="CS368" s="234"/>
      <c r="CT368" s="234"/>
      <c r="CU368" s="234"/>
      <c r="CV368" s="234"/>
      <c r="CW368" s="222">
        <f>(CQ368+CR368+CR368)/3</f>
        <v>11.666666666666666</v>
      </c>
      <c r="CX368" s="223">
        <f t="shared" si="4091"/>
        <v>23.333333333333332</v>
      </c>
      <c r="CY368" s="224">
        <f t="shared" si="4092"/>
        <v>35</v>
      </c>
      <c r="CZ368" s="234">
        <f>CR368*POWER(INslave_IN,SIGN(CQ368))*POWER(CHslave,SIGN(CR368))+CR368*POWER(INslave_IN,SIGN(CQ368))*POWER(CHslave,SIGN(CR368))+CQ368*POWER(CHslave,SIGN(CR368))*POWER(CHslave,SIGN(CR368))</f>
        <v>2432</v>
      </c>
      <c r="DA368" s="234">
        <f>CQ368*CR368*CHslave+CQ368*CHslave*CR368+INslave_IN*CR368*CR368</f>
        <v>3408</v>
      </c>
      <c r="DB368" s="234">
        <f>CQ368*CR368*CR368</f>
        <v>1584</v>
      </c>
      <c r="DC368" s="242">
        <f t="shared" si="4093"/>
        <v>7424</v>
      </c>
      <c r="DD368" s="223">
        <f t="shared" si="4094"/>
        <v>3.8218390804597702</v>
      </c>
      <c r="DE368" s="223">
        <f t="shared" si="4095"/>
        <v>10.711206896551724</v>
      </c>
      <c r="DF368" s="223">
        <f t="shared" si="4096"/>
        <v>7.4676724137931032</v>
      </c>
      <c r="DG368" s="218">
        <f t="shared" si="4097"/>
        <v>22.000718390804597</v>
      </c>
      <c r="DH368" s="252">
        <f t="shared" si="3970"/>
        <v>0</v>
      </c>
      <c r="DI368" s="309">
        <f t="shared" si="4098"/>
        <v>22.000718390804597</v>
      </c>
      <c r="DJ368" s="218">
        <f t="shared" si="4099"/>
        <v>77.007183908045945</v>
      </c>
      <c r="DK368" s="242">
        <f t="shared" si="4099"/>
        <v>1</v>
      </c>
      <c r="DL368" s="243">
        <f t="shared" si="4100"/>
        <v>76.007183908045945</v>
      </c>
      <c r="DM368" s="218">
        <f t="shared" si="4101"/>
        <v>0</v>
      </c>
      <c r="DO368" s="303" t="s">
        <v>175</v>
      </c>
      <c r="DP368" s="218" t="s">
        <v>179</v>
      </c>
      <c r="DQ368" s="218" t="s">
        <v>133</v>
      </c>
      <c r="DR368" s="234"/>
      <c r="DS368" s="234"/>
      <c r="DT368" s="234">
        <f t="shared" si="4102"/>
        <v>12</v>
      </c>
      <c r="DU368" s="234">
        <f>Konvention_1slave-CHslave_CH</f>
        <v>11</v>
      </c>
      <c r="DV368" s="234"/>
      <c r="DW368" s="234"/>
      <c r="DX368" s="234"/>
      <c r="DY368" s="234"/>
      <c r="DZ368" s="222">
        <f>(DT368+DU368+DU368)/3</f>
        <v>11.333333333333334</v>
      </c>
      <c r="EA368" s="223">
        <f t="shared" si="4103"/>
        <v>22.666666666666668</v>
      </c>
      <c r="EB368" s="224">
        <f t="shared" si="4104"/>
        <v>34</v>
      </c>
      <c r="EC368" s="234">
        <f>DU368*POWER(INslave,SIGN(DT368))*POWER(CHslave_CH,SIGN(DU368))+DU368*POWER(INslave,SIGN(DT368))*POWER(CHslave_CH,SIGN(DU368))+DT368*POWER(CHslave_CH,SIGN(DU368))*POWER(CHslave_CH,SIGN(DU368))</f>
        <v>2556</v>
      </c>
      <c r="ED368" s="234">
        <f>DT368*DU368*CHslave_CH+DT368*CHslave_CH*DU368+INslave*DU368*DU368</f>
        <v>3344</v>
      </c>
      <c r="EE368" s="234">
        <f>DT368*DU368*DU368</f>
        <v>1452</v>
      </c>
      <c r="EF368" s="242">
        <f t="shared" si="4105"/>
        <v>7352</v>
      </c>
      <c r="EG368" s="223">
        <f t="shared" si="4106"/>
        <v>3.940152339499456</v>
      </c>
      <c r="EH368" s="223">
        <f t="shared" si="4107"/>
        <v>10.309756982227059</v>
      </c>
      <c r="EI368" s="223">
        <f t="shared" si="4108"/>
        <v>6.714907508161045</v>
      </c>
      <c r="EJ368" s="218">
        <f t="shared" si="4109"/>
        <v>20.96481682988756</v>
      </c>
      <c r="EK368" s="252">
        <f t="shared" si="3986"/>
        <v>0</v>
      </c>
      <c r="EL368" s="309">
        <f t="shared" si="4110"/>
        <v>20.96481682988756</v>
      </c>
      <c r="EM368" s="218">
        <f t="shared" si="4111"/>
        <v>66.648168298875589</v>
      </c>
      <c r="EN368" s="242">
        <f t="shared" si="4111"/>
        <v>1</v>
      </c>
      <c r="EO368" s="243">
        <f t="shared" si="4112"/>
        <v>65.648168298875589</v>
      </c>
      <c r="EP368" s="218">
        <f t="shared" si="4113"/>
        <v>0</v>
      </c>
      <c r="ER368" s="303" t="s">
        <v>175</v>
      </c>
      <c r="ES368" s="218" t="s">
        <v>179</v>
      </c>
      <c r="ET368" s="218" t="s">
        <v>133</v>
      </c>
      <c r="EU368" s="234"/>
      <c r="EV368" s="234"/>
      <c r="EW368" s="234">
        <f t="shared" si="4114"/>
        <v>12</v>
      </c>
      <c r="EX368" s="234">
        <f>Konvention_1slave-CHslave</f>
        <v>12</v>
      </c>
      <c r="EY368" s="234"/>
      <c r="EZ368" s="234"/>
      <c r="FA368" s="234"/>
      <c r="FB368" s="234"/>
      <c r="FC368" s="222">
        <f>(EW368+EX368+EX368)/3</f>
        <v>12</v>
      </c>
      <c r="FD368" s="223">
        <f t="shared" si="4115"/>
        <v>24</v>
      </c>
      <c r="FE368" s="224">
        <f t="shared" si="4116"/>
        <v>36</v>
      </c>
      <c r="FF368" s="234">
        <f>EX368*POWER(INslave,SIGN(EW368))*POWER(CHslave,SIGN(EX368))+EX368*POWER(INslave,SIGN(EW368))*POWER(CHslave,SIGN(EX368))+EW368*POWER(CHslave,SIGN(EX368))*POWER(CHslave,SIGN(EX368))</f>
        <v>2304</v>
      </c>
      <c r="FG368" s="234">
        <f>EW368*EX368*CHslave+EW368*CHslave*EX368+INslave*EX368*EX368</f>
        <v>3456</v>
      </c>
      <c r="FH368" s="234">
        <f>EW368*EX368*EX368</f>
        <v>1728</v>
      </c>
      <c r="FI368" s="242">
        <f t="shared" si="4117"/>
        <v>7488</v>
      </c>
      <c r="FJ368" s="223">
        <f t="shared" si="4118"/>
        <v>3.6923076923076925</v>
      </c>
      <c r="FK368" s="223">
        <f t="shared" si="4119"/>
        <v>11.076923076923077</v>
      </c>
      <c r="FL368" s="223">
        <f t="shared" si="4120"/>
        <v>8.3076923076923084</v>
      </c>
      <c r="FM368" s="218">
        <f t="shared" si="4121"/>
        <v>23.07692307692308</v>
      </c>
      <c r="FN368" s="252">
        <f t="shared" si="4002"/>
        <v>0</v>
      </c>
      <c r="FO368" s="309">
        <f t="shared" si="4122"/>
        <v>23.07692307692308</v>
      </c>
      <c r="FP368" s="218">
        <f t="shared" si="4123"/>
        <v>87.769230769230802</v>
      </c>
      <c r="FQ368" s="242">
        <f t="shared" si="4123"/>
        <v>1</v>
      </c>
      <c r="FR368" s="243">
        <f t="shared" si="4124"/>
        <v>86.769230769230802</v>
      </c>
      <c r="FS368" s="218">
        <f t="shared" si="4125"/>
        <v>0</v>
      </c>
      <c r="FU368" s="303" t="s">
        <v>175</v>
      </c>
      <c r="FV368" s="218" t="s">
        <v>179</v>
      </c>
      <c r="FW368" s="218" t="s">
        <v>133</v>
      </c>
      <c r="FX368" s="234"/>
      <c r="FY368" s="234"/>
      <c r="FZ368" s="234">
        <f t="shared" si="4126"/>
        <v>12</v>
      </c>
      <c r="GA368" s="234">
        <f>Konvention_1slave-CHslave</f>
        <v>12</v>
      </c>
      <c r="GB368" s="234"/>
      <c r="GC368" s="234"/>
      <c r="GD368" s="234"/>
      <c r="GE368" s="234"/>
      <c r="GF368" s="222">
        <f>(FZ368+GA368+GA368)/3</f>
        <v>12</v>
      </c>
      <c r="GG368" s="223">
        <f t="shared" si="4127"/>
        <v>24</v>
      </c>
      <c r="GH368" s="224">
        <f t="shared" si="4128"/>
        <v>36</v>
      </c>
      <c r="GI368" s="234">
        <f>GA368*POWER(INslave,SIGN(FZ368))*POWER(CHslave,SIGN(GA368))+GA368*POWER(INslave,SIGN(FZ368))*POWER(CHslave,SIGN(GA368))+FZ368*POWER(CHslave,SIGN(GA368))*POWER(CHslave,SIGN(GA368))</f>
        <v>2304</v>
      </c>
      <c r="GJ368" s="234">
        <f>FZ368*GA368*CHslave+FZ368*CHslave*GA368+INslave*GA368*GA368</f>
        <v>3456</v>
      </c>
      <c r="GK368" s="234">
        <f>FZ368*GA368*GA368</f>
        <v>1728</v>
      </c>
      <c r="GL368" s="242">
        <f t="shared" si="4129"/>
        <v>7488</v>
      </c>
      <c r="GM368" s="223">
        <f t="shared" si="4130"/>
        <v>3.6923076923076925</v>
      </c>
      <c r="GN368" s="223">
        <f t="shared" si="4131"/>
        <v>11.076923076923077</v>
      </c>
      <c r="GO368" s="223">
        <f t="shared" si="4132"/>
        <v>8.3076923076923084</v>
      </c>
      <c r="GP368" s="218">
        <f t="shared" si="4133"/>
        <v>23.07692307692308</v>
      </c>
      <c r="GQ368" s="252">
        <f t="shared" si="4018"/>
        <v>0</v>
      </c>
      <c r="GR368" s="309">
        <f t="shared" si="4134"/>
        <v>23.07692307692308</v>
      </c>
      <c r="GS368" s="218">
        <f t="shared" si="4135"/>
        <v>87.769230769230802</v>
      </c>
      <c r="GT368" s="242">
        <f t="shared" si="4135"/>
        <v>1</v>
      </c>
      <c r="GU368" s="243">
        <f t="shared" si="4136"/>
        <v>86.769230769230802</v>
      </c>
      <c r="GV368" s="218">
        <f t="shared" si="4137"/>
        <v>0</v>
      </c>
      <c r="GX368" s="303" t="s">
        <v>175</v>
      </c>
      <c r="GY368" s="218" t="s">
        <v>179</v>
      </c>
      <c r="GZ368" s="218" t="s">
        <v>133</v>
      </c>
      <c r="HA368" s="234"/>
      <c r="HB368" s="234"/>
      <c r="HC368" s="234">
        <f t="shared" si="4138"/>
        <v>12</v>
      </c>
      <c r="HD368" s="234">
        <f>Konvention_1slave-CHslave</f>
        <v>12</v>
      </c>
      <c r="HE368" s="234"/>
      <c r="HF368" s="234"/>
      <c r="HG368" s="234"/>
      <c r="HH368" s="234"/>
      <c r="HI368" s="222">
        <f>(HC368+HD368+HD368)/3</f>
        <v>12</v>
      </c>
      <c r="HJ368" s="223">
        <f t="shared" si="4139"/>
        <v>24</v>
      </c>
      <c r="HK368" s="224">
        <f t="shared" si="4140"/>
        <v>36</v>
      </c>
      <c r="HL368" s="234">
        <f>HD368*POWER(INslave,SIGN(HC368))*POWER(CHslave,SIGN(HD368))+HD368*POWER(INslave,SIGN(HC368))*POWER(CHslave,SIGN(HD368))+HC368*POWER(CHslave,SIGN(HD368))*POWER(CHslave,SIGN(HD368))</f>
        <v>2304</v>
      </c>
      <c r="HM368" s="234">
        <f>HC368*HD368*CHslave+HC368*CHslave*HD368+INslave*HD368*HD368</f>
        <v>3456</v>
      </c>
      <c r="HN368" s="234">
        <f>HC368*HD368*HD368</f>
        <v>1728</v>
      </c>
      <c r="HO368" s="242">
        <f t="shared" si="4141"/>
        <v>7488</v>
      </c>
      <c r="HP368" s="223">
        <f t="shared" si="4142"/>
        <v>3.6923076923076925</v>
      </c>
      <c r="HQ368" s="223">
        <f t="shared" si="4143"/>
        <v>11.076923076923077</v>
      </c>
      <c r="HR368" s="223">
        <f t="shared" si="4144"/>
        <v>8.3076923076923084</v>
      </c>
      <c r="HS368" s="218">
        <f t="shared" si="4145"/>
        <v>23.07692307692308</v>
      </c>
      <c r="HT368" s="252">
        <f t="shared" si="4034"/>
        <v>0</v>
      </c>
      <c r="HU368" s="309">
        <f t="shared" si="4146"/>
        <v>23.07692307692308</v>
      </c>
      <c r="HV368" s="218">
        <f t="shared" si="4147"/>
        <v>87.769230769230802</v>
      </c>
      <c r="HW368" s="242">
        <f t="shared" si="4147"/>
        <v>1</v>
      </c>
      <c r="HX368" s="243">
        <f t="shared" si="4148"/>
        <v>86.769230769230802</v>
      </c>
      <c r="HY368" s="218">
        <f t="shared" si="4149"/>
        <v>0</v>
      </c>
      <c r="IA368" s="303" t="s">
        <v>175</v>
      </c>
      <c r="IB368" s="218" t="s">
        <v>179</v>
      </c>
      <c r="IC368" s="218" t="s">
        <v>133</v>
      </c>
      <c r="ID368" s="234"/>
      <c r="IE368" s="234"/>
      <c r="IF368" s="234">
        <f t="shared" si="4150"/>
        <v>12</v>
      </c>
      <c r="IG368" s="234">
        <f>Konvention_1slave-CHslave</f>
        <v>12</v>
      </c>
      <c r="IH368" s="234"/>
      <c r="II368" s="234"/>
      <c r="IJ368" s="234"/>
      <c r="IK368" s="234"/>
      <c r="IL368" s="222">
        <f>(IF368+IG368+IG368)/3</f>
        <v>12</v>
      </c>
      <c r="IM368" s="223">
        <f t="shared" si="4151"/>
        <v>24</v>
      </c>
      <c r="IN368" s="224">
        <f t="shared" si="4152"/>
        <v>36</v>
      </c>
      <c r="IO368" s="234">
        <f>IG368*POWER(INslave,SIGN(IF368))*POWER(CHslave,SIGN(IG368))+IG368*POWER(INslave,SIGN(IF368))*POWER(CHslave,SIGN(IG368))+IF368*POWER(CHslave,SIGN(IG368))*POWER(CHslave,SIGN(IG368))</f>
        <v>2304</v>
      </c>
      <c r="IP368" s="234">
        <f>IF368*IG368*CHslave+IF368*CHslave*IG368+INslave*IG368*IG368</f>
        <v>3456</v>
      </c>
      <c r="IQ368" s="234">
        <f>IF368*IG368*IG368</f>
        <v>1728</v>
      </c>
      <c r="IR368" s="242">
        <f t="shared" si="4153"/>
        <v>7488</v>
      </c>
      <c r="IS368" s="223">
        <f t="shared" si="4154"/>
        <v>3.6923076923076925</v>
      </c>
      <c r="IT368" s="223">
        <f t="shared" si="4155"/>
        <v>11.076923076923077</v>
      </c>
      <c r="IU368" s="223">
        <f t="shared" si="4156"/>
        <v>8.3076923076923084</v>
      </c>
      <c r="IV368" s="218">
        <f t="shared" si="4157"/>
        <v>23.07692307692308</v>
      </c>
      <c r="IW368" s="252">
        <f t="shared" si="4050"/>
        <v>0</v>
      </c>
      <c r="IX368" s="309">
        <f t="shared" si="4158"/>
        <v>23.07692307692308</v>
      </c>
      <c r="IY368" s="218">
        <f t="shared" si="4159"/>
        <v>87.769230769230802</v>
      </c>
      <c r="IZ368" s="242">
        <f t="shared" si="4159"/>
        <v>1</v>
      </c>
      <c r="JA368" s="243">
        <f t="shared" si="4160"/>
        <v>86.769230769230802</v>
      </c>
      <c r="JB368" s="218">
        <f t="shared" si="4161"/>
        <v>0</v>
      </c>
      <c r="JE368" s="148"/>
    </row>
    <row r="369" spans="2:265" hidden="1" outlineLevel="2">
      <c r="B369" s="148">
        <v>3</v>
      </c>
      <c r="C369" s="303" t="e">
        <f>VLOOKUP(AF369,Attribute!C:T,1,FALSE)</f>
        <v>#N/A</v>
      </c>
      <c r="D369" s="86" t="s">
        <v>86</v>
      </c>
      <c r="E369" s="125" t="s">
        <v>133</v>
      </c>
      <c r="F369" s="113">
        <f>Konvention_1master-MUmaster</f>
        <v>12</v>
      </c>
      <c r="G369" s="113"/>
      <c r="H369" s="113">
        <f t="shared" si="4055"/>
        <v>12</v>
      </c>
      <c r="I369" s="113">
        <f>Konvention_1master-CHmaster</f>
        <v>12</v>
      </c>
      <c r="J369" s="113"/>
      <c r="K369" s="113"/>
      <c r="L369" s="113"/>
      <c r="M369" s="113"/>
      <c r="N369" s="222">
        <f>(F369+G369+H369+I369+J369+K369+L369+M369)/3</f>
        <v>12</v>
      </c>
      <c r="O369" s="223">
        <f t="shared" si="4056"/>
        <v>24</v>
      </c>
      <c r="P369" s="224">
        <f t="shared" si="4057"/>
        <v>36</v>
      </c>
      <c r="Q369" s="234">
        <f>F369*POWER(KLmaster,SIGN(G369))*POWER(INmaster,SIGN(H369))*POWER(CHmaster,SIGN(I369))*POWER(FFmaster,SIGN(J369))*POWER(GEmaster,SIGN(K369))*POWER(KOmaster,SIGN(L369))*POWER(KKmaster,SIGN(M369))+G369*POWER(MUmaster,SIGN(F369))*POWER(INmaster,SIGN(H369))*POWER(CHmaster,SIGN(I369))*POWER(FFmaster,SIGN(J369))*POWER(GEmaster,SIGN(K369))*POWER(KOmaster,SIGN(L369))*POWER(KKmaster,SIGN(M369))+H369*POWER(MUmaster,SIGN(F369))*POWER(KLmaster,SIGN(G369))*POWER(CHmaster,SIGN(I369))*POWER(FFmaster,SIGN(J369))*POWER(GEmaster,SIGN(K369))*POWER(KOmaster,SIGN(L369))*POWER(KKmaster,SIGN(M369))+I369*POWER(MUmaster,SIGN(F369))*POWER(KLmaster,SIGN(G369))*POWER(INmaster,SIGN(H369))*POWER(FFmaster,SIGN(J369))*POWER(GEmaster,SIGN(K369))*POWER(KOmaster,SIGN(L369))*POWER(KKmaster,SIGN(M369))+J369*POWER(MUmaster,SIGN(F369))*POWER(KLmaster,SIGN(G369))*POWER(INmaster,SIGN(H369))*POWER(CHmaster,SIGN(I369))*POWER(GEmaster,SIGN(K369))*POWER(KOmaster,SIGN(L369))*POWER(KKmaster,SIGN(M369))+K369*POWER(MUmaster,SIGN(F369))*POWER(KLmaster,SIGN(G369))*POWER(INmaster,SIGN(H369))*POWER(CHmaster,SIGN(I369))*POWER(FFmaster,SIGN(J369))*POWER(KOmaster,SIGN(L369))*POWER(KKmaster,SIGN(M369))+L369*POWER(MUmaster,SIGN(F369))*POWER(KLmaster,SIGN(G369))*POWER(INmaster,SIGN(H369))*POWER(CHmaster,SIGN(I369))*POWER(FFmaster,SIGN(J369))*POWER(GEmaster,SIGN(K369))*POWER(KKmaster,SIGN(M369))+M369*POWER(MUmaster,SIGN(F369))*POWER(KLmaster,SIGN(G369))*POWER(INmaster,SIGN(H369))*POWER(CHmaster,SIGN(I369))*POWER(FFmaster,SIGN(J369))*POWER(GEmaster,SIGN(K369))*POWER(KOmaster,SIGN(L369))</f>
        <v>2304</v>
      </c>
      <c r="R369" s="113">
        <f>F369*H369*CHmaster+F369*INmaster*I369+MUmaster*H369*I369</f>
        <v>3456</v>
      </c>
      <c r="S369" s="234">
        <f>IFERROR(F369^SIGN(F369),1)*IFERROR(G369^SIGN(G369),1)*IFERROR(H369^SIGN(H369),1)*IFERROR(I369^SIGN(I369),1)*IFERROR(J369^SIGN(J369),1)*IFERROR(K369^SIGN(K369),1)*IFERROR(L369^SIGN(L369),1)*IFERROR(M369^SIGN(M369),1)</f>
        <v>1728</v>
      </c>
      <c r="T369" s="242">
        <f t="shared" si="4058"/>
        <v>7488</v>
      </c>
      <c r="U369" s="223">
        <f t="shared" si="4059"/>
        <v>3.6923076923076925</v>
      </c>
      <c r="V369" s="223">
        <f t="shared" si="4060"/>
        <v>11.076923076923077</v>
      </c>
      <c r="W369" s="223">
        <f t="shared" si="4061"/>
        <v>8.3076923076923084</v>
      </c>
      <c r="X369" s="218">
        <f t="shared" si="4062"/>
        <v>23.07692307692308</v>
      </c>
      <c r="Y369" s="252">
        <v>0</v>
      </c>
      <c r="Z369" s="198">
        <f t="shared" si="4063"/>
        <v>23.07692307692308</v>
      </c>
      <c r="AA369" s="125">
        <f t="shared" si="4064"/>
        <v>87.769230769230802</v>
      </c>
      <c r="AB369" s="160">
        <f t="shared" si="4064"/>
        <v>1</v>
      </c>
      <c r="AC369" s="127">
        <f t="shared" si="4065"/>
        <v>86.769230769230802</v>
      </c>
      <c r="AD369" s="125">
        <f t="shared" si="4066"/>
        <v>0</v>
      </c>
      <c r="AF369" s="163" t="s">
        <v>174</v>
      </c>
      <c r="AG369" s="125" t="s">
        <v>86</v>
      </c>
      <c r="AH369" s="125" t="s">
        <v>133</v>
      </c>
      <c r="AI369" s="113">
        <f>Konvention_1slave-MUslave_MU</f>
        <v>11</v>
      </c>
      <c r="AJ369" s="113"/>
      <c r="AK369" s="113">
        <f t="shared" si="4067"/>
        <v>12</v>
      </c>
      <c r="AL369" s="113">
        <f>Konvention_1slave-CHslave</f>
        <v>12</v>
      </c>
      <c r="AM369" s="113"/>
      <c r="AN369" s="113"/>
      <c r="AO369" s="113"/>
      <c r="AP369" s="113"/>
      <c r="AQ369" s="89">
        <f>(AI369+AJ369+AK369+AL369+AM369+AN369+AO369+AP369)/3</f>
        <v>11.666666666666666</v>
      </c>
      <c r="AR369" s="47">
        <f t="shared" si="4068"/>
        <v>23.333333333333332</v>
      </c>
      <c r="AS369" s="119">
        <f t="shared" si="4069"/>
        <v>35</v>
      </c>
      <c r="AT369" s="113">
        <f>AI369*POWER(KLslave,SIGN(AJ369))*POWER(INslave,SIGN(AK369))*POWER(CHslave,SIGN(AL369))*POWER(FFslave,SIGN(AM369))*POWER(GEslave,SIGN(AN369))*POWER(KOslave,SIGN(AO369))*POWER(KKslave,SIGN(AP369))+AJ369*POWER(MUslave_MU,SIGN(AI369))*POWER(INslave,SIGN(AK369))*POWER(CHslave,SIGN(AL369))*POWER(FFslave,SIGN(AM369))*POWER(GEslave,SIGN(AN369))*POWER(KOslave,SIGN(AO369))*POWER(KKslave,SIGN(AP369))+AK369*POWER(MUslave_MU,SIGN(AI369))*POWER(KLslave,SIGN(AJ369))*POWER(CHslave,SIGN(AL369))*POWER(FFslave,SIGN(AM369))*POWER(GEslave,SIGN(AN369))*POWER(KOslave,SIGN(AO369))*POWER(KKslave,SIGN(AP369))+AL369*POWER(MUslave_MU,SIGN(AI369))*POWER(KLslave,SIGN(AJ369))*POWER(INslave,SIGN(AK369))*POWER(FFslave,SIGN(AM369))*POWER(GEslave,SIGN(AN369))*POWER(KOslave,SIGN(AO369))*POWER(KKslave,SIGN(AP369))+AM369*POWER(MUslave_MU,SIGN(AI369))*POWER(KLslave,SIGN(AJ369))*POWER(INslave,SIGN(AK369))*POWER(CHslave,SIGN(AL369))*POWER(GEslave,SIGN(AN369))*POWER(KOslave,SIGN(AO369))*POWER(KKslave,SIGN(AP369))+AN369*POWER(MUslave_MU,SIGN(AI369))*POWER(KLslave,SIGN(AJ369))*POWER(INslave,SIGN(AK369))*POWER(CHslave,SIGN(AL369))*POWER(FFslave,SIGN(AM369))*POWER(KOslave,SIGN(AO369))*POWER(KKslave,SIGN(AP369))+AO369*POWER(MUslave_MU,SIGN(AI369))*POWER(KLslave,SIGN(AJ369))*POWER(INslave,SIGN(AK369))*POWER(CHslave,SIGN(AL369))*POWER(FFslave,SIGN(AM369))*POWER(GEslave,SIGN(AN369))*POWER(KKslave,SIGN(AP369))+AP369*POWER(MUslave_MU,SIGN(AI369))*POWER(KLslave,SIGN(AJ369))*POWER(INslave,SIGN(AK369))*POWER(CHslave,SIGN(AL369))*POWER(FFslave,SIGN(AM369))*POWER(GEslave,SIGN(AN369))*POWER(KOslave,SIGN(AO369))</f>
        <v>2432</v>
      </c>
      <c r="AU369" s="113">
        <f>AI369*AK369*CHslave+AI369*INslave*AL369+MUslave_MU*AK369*AL369</f>
        <v>3408</v>
      </c>
      <c r="AV369" s="113">
        <f>IFERROR(AI369^SIGN(AI369),1)*IFERROR(AJ369^SIGN(AJ369),1)*IFERROR(AK369^SIGN(AK369),1)*IFERROR(AL369^SIGN(AL369),1)*IFERROR(AM369^SIGN(AM369),1)*IFERROR(AN369^SIGN(AN369),1)*IFERROR(AO369^SIGN(AO369),1)*IFERROR(AP369^SIGN(AP369),1)</f>
        <v>1584</v>
      </c>
      <c r="AW369" s="160">
        <f t="shared" si="4070"/>
        <v>7424</v>
      </c>
      <c r="AX369" s="47">
        <f t="shared" si="4071"/>
        <v>3.8218390804597702</v>
      </c>
      <c r="AY369" s="47">
        <f t="shared" si="4072"/>
        <v>10.711206896551724</v>
      </c>
      <c r="AZ369" s="47">
        <f t="shared" si="4073"/>
        <v>7.4676724137931032</v>
      </c>
      <c r="BA369" s="125">
        <f t="shared" si="4074"/>
        <v>22.000718390804597</v>
      </c>
      <c r="BB369" s="165">
        <f t="shared" si="3938"/>
        <v>0</v>
      </c>
      <c r="BC369" s="198">
        <f t="shared" si="4075"/>
        <v>22.000718390804597</v>
      </c>
      <c r="BD369" s="125">
        <f t="shared" si="4076"/>
        <v>77.007183908045945</v>
      </c>
      <c r="BE369" s="160">
        <f t="shared" si="4076"/>
        <v>1</v>
      </c>
      <c r="BF369" s="243">
        <f t="shared" si="4077"/>
        <v>76.007183908045945</v>
      </c>
      <c r="BG369" s="218">
        <f t="shared" si="4078"/>
        <v>0</v>
      </c>
      <c r="BI369" s="303" t="s">
        <v>174</v>
      </c>
      <c r="BJ369" s="218" t="s">
        <v>86</v>
      </c>
      <c r="BK369" s="218" t="s">
        <v>133</v>
      </c>
      <c r="BL369" s="234">
        <f>Konvention_1slave-MUslave</f>
        <v>12</v>
      </c>
      <c r="BM369" s="234"/>
      <c r="BN369" s="234">
        <f t="shared" si="4079"/>
        <v>12</v>
      </c>
      <c r="BO369" s="234">
        <f>Konvention_1slave-CHslave</f>
        <v>12</v>
      </c>
      <c r="BP369" s="234"/>
      <c r="BQ369" s="234"/>
      <c r="BR369" s="234"/>
      <c r="BS369" s="234"/>
      <c r="BT369" s="222">
        <f>(BL369+BM369+BN369+BO369+BP369+BQ369+BR369+BS369)/3</f>
        <v>12</v>
      </c>
      <c r="BU369" s="223">
        <f t="shared" si="4080"/>
        <v>24</v>
      </c>
      <c r="BV369" s="224">
        <f t="shared" si="4081"/>
        <v>36</v>
      </c>
      <c r="BW369" s="234">
        <f>BL369*POWER(KLslave_KL,SIGN(BM369))*POWER(INslave,SIGN(BN369))*POWER(CHslave,SIGN(BO369))*POWER(FFslave,SIGN(BP369))*POWER(GEslave,SIGN(BQ369))*POWER(KOslave,SIGN(BR369))*POWER(KKslave,SIGN(BS369))+BM369*POWER(MUslave,SIGN(BL369))*POWER(INslave,SIGN(BN369))*POWER(CHslave,SIGN(BO369))*POWER(FFslave,SIGN(BP369))*POWER(GEslave,SIGN(BQ369))*POWER(KOslave,SIGN(BR369))*POWER(KKslave,SIGN(BS369))+BN369*POWER(MUslave,SIGN(BL369))*POWER(KLslave_KL,SIGN(BM369))*POWER(CHslave,SIGN(BO369))*POWER(FFslave,SIGN(BP369))*POWER(GEslave,SIGN(BQ369))*POWER(KOslave,SIGN(BR369))*POWER(KKslave,SIGN(BS369))+BO369*POWER(MUslave,SIGN(BL369))*POWER(KLslave_KL,SIGN(BM369))*POWER(INslave,SIGN(BN369))*POWER(FFslave,SIGN(BP369))*POWER(GEslave,SIGN(BQ369))*POWER(KOslave,SIGN(BR369))*POWER(KKslave,SIGN(BS369))+BP369*POWER(MUslave,SIGN(BL369))*POWER(KLslave_KL,SIGN(BM369))*POWER(INslave,SIGN(BN369))*POWER(CHslave,SIGN(BO369))*POWER(GEslave,SIGN(BQ369))*POWER(KOslave,SIGN(BR369))*POWER(KKslave,SIGN(BS369))+BQ369*POWER(MUslave,SIGN(BL369))*POWER(KLslave_KL,SIGN(BM369))*POWER(INslave,SIGN(BN369))*POWER(CHslave,SIGN(BO369))*POWER(FFslave,SIGN(BP369))*POWER(KOslave,SIGN(BR369))*POWER(KKslave,SIGN(BS369))+BR369*POWER(MUslave,SIGN(BL369))*POWER(KLslave_KL,SIGN(BM369))*POWER(INslave,SIGN(BN369))*POWER(CHslave,SIGN(BO369))*POWER(FFslave,SIGN(BP369))*POWER(GEslave,SIGN(BQ369))*POWER(KKslave,SIGN(BS369))+BS369*POWER(MUslave,SIGN(BL369))*POWER(KLslave_KL,SIGN(BM369))*POWER(INslave,SIGN(BN369))*POWER(CHslave,SIGN(BO369))*POWER(FFslave,SIGN(BP369))*POWER(GEslave,SIGN(BQ369))*POWER(KOslave,SIGN(BR369))</f>
        <v>2304</v>
      </c>
      <c r="BX369" s="234">
        <f>BL369*BN369*CHslave+BL369*INslave*BO369+MUslave*BN369*BO369</f>
        <v>3456</v>
      </c>
      <c r="BY369" s="234">
        <f>IFERROR(BL369^SIGN(BL369),1)*IFERROR(BM369^SIGN(BM369),1)*IFERROR(BN369^SIGN(BN369),1)*IFERROR(BO369^SIGN(BO369),1)*IFERROR(BP369^SIGN(BP369),1)*IFERROR(BQ369^SIGN(BQ369),1)*IFERROR(BR369^SIGN(BR369),1)*IFERROR(BS369^SIGN(BS369),1)</f>
        <v>1728</v>
      </c>
      <c r="BZ369" s="242">
        <f t="shared" si="4082"/>
        <v>7488</v>
      </c>
      <c r="CA369" s="223">
        <f t="shared" si="4083"/>
        <v>3.6923076923076925</v>
      </c>
      <c r="CB369" s="223">
        <f t="shared" si="4084"/>
        <v>11.076923076923077</v>
      </c>
      <c r="CC369" s="223">
        <f t="shared" si="4085"/>
        <v>8.3076923076923084</v>
      </c>
      <c r="CD369" s="218">
        <f t="shared" si="4086"/>
        <v>23.07692307692308</v>
      </c>
      <c r="CE369" s="252">
        <f t="shared" si="3954"/>
        <v>0</v>
      </c>
      <c r="CF369" s="309">
        <f t="shared" si="4087"/>
        <v>23.07692307692308</v>
      </c>
      <c r="CG369" s="218">
        <f t="shared" si="4088"/>
        <v>87.769230769230802</v>
      </c>
      <c r="CH369" s="242">
        <f t="shared" si="4088"/>
        <v>1</v>
      </c>
      <c r="CI369" s="243">
        <f t="shared" si="4089"/>
        <v>86.769230769230802</v>
      </c>
      <c r="CJ369" s="218">
        <f t="shared" si="4090"/>
        <v>0</v>
      </c>
      <c r="CL369" s="303" t="s">
        <v>174</v>
      </c>
      <c r="CM369" s="218" t="s">
        <v>86</v>
      </c>
      <c r="CN369" s="218" t="s">
        <v>133</v>
      </c>
      <c r="CO369" s="234">
        <f>Konvention_1slave-MUslave</f>
        <v>12</v>
      </c>
      <c r="CP369" s="234"/>
      <c r="CQ369" s="234">
        <f>Konvention_1slave-INslave_IN</f>
        <v>11</v>
      </c>
      <c r="CR369" s="234">
        <f>Konvention_1slave-CHslave</f>
        <v>12</v>
      </c>
      <c r="CS369" s="234"/>
      <c r="CT369" s="234"/>
      <c r="CU369" s="234"/>
      <c r="CV369" s="234"/>
      <c r="CW369" s="222">
        <f>(CO369+CP369+CQ369+CR369+CS369+CT369+CU369+CV369)/3</f>
        <v>11.666666666666666</v>
      </c>
      <c r="CX369" s="223">
        <f t="shared" si="4091"/>
        <v>23.333333333333332</v>
      </c>
      <c r="CY369" s="224">
        <f t="shared" si="4092"/>
        <v>35</v>
      </c>
      <c r="CZ369" s="234">
        <f>CO369*POWER(KLslave,SIGN(CP369))*POWER(INslave_IN,SIGN(CQ369))*POWER(CHslave,SIGN(CR369))*POWER(FFslave,SIGN(CS369))*POWER(GEslave,SIGN(CT369))*POWER(KOslave,SIGN(CU369))*POWER(KKslave,SIGN(CV369))+CP369*POWER(MUslave,SIGN(CO369))*POWER(INslave_IN,SIGN(CQ369))*POWER(CHslave,SIGN(CR369))*POWER(FFslave,SIGN(CS369))*POWER(GEslave,SIGN(CT369))*POWER(KOslave,SIGN(CU369))*POWER(KKslave,SIGN(CV369))+CQ369*POWER(MUslave,SIGN(CO369))*POWER(KLslave,SIGN(CP369))*POWER(CHslave,SIGN(CR369))*POWER(FFslave,SIGN(CS369))*POWER(GEslave,SIGN(CT369))*POWER(KOslave,SIGN(CU369))*POWER(KKslave,SIGN(CV369))+CR369*POWER(MUslave,SIGN(CO369))*POWER(KLslave,SIGN(CP369))*POWER(INslave_IN,SIGN(CQ369))*POWER(FFslave,SIGN(CS369))*POWER(GEslave,SIGN(CT369))*POWER(KOslave,SIGN(CU369))*POWER(KKslave,SIGN(CV369))+CS369*POWER(MUslave,SIGN(CO369))*POWER(KLslave,SIGN(CP369))*POWER(INslave_IN,SIGN(CQ369))*POWER(CHslave,SIGN(CR369))*POWER(GEslave,SIGN(CT369))*POWER(KOslave,SIGN(CU369))*POWER(KKslave,SIGN(CV369))+CT369*POWER(MUslave,SIGN(CO369))*POWER(KLslave,SIGN(CP369))*POWER(INslave_IN,SIGN(CQ369))*POWER(CHslave,SIGN(CR369))*POWER(FFslave,SIGN(CS369))*POWER(KOslave,SIGN(CU369))*POWER(KKslave,SIGN(CV369))+CU369*POWER(MUslave,SIGN(CO369))*POWER(KLslave,SIGN(CP369))*POWER(INslave_IN,SIGN(CQ369))*POWER(CHslave,SIGN(CR369))*POWER(FFslave,SIGN(CS369))*POWER(GEslave,SIGN(CT369))*POWER(KKslave,SIGN(CV369))+CV369*POWER(MUslave,SIGN(CO369))*POWER(KLslave,SIGN(CP369))*POWER(INslave_IN,SIGN(CQ369))*POWER(CHslave,SIGN(CR369))*POWER(FFslave,SIGN(CS369))*POWER(GEslave,SIGN(CT369))*POWER(KOslave,SIGN(CU369))</f>
        <v>2432</v>
      </c>
      <c r="DA369" s="234">
        <f>CO369*CQ369*CHslave+CO369*INslave_IN*CR369+MUslave*CQ369*CR369</f>
        <v>3408</v>
      </c>
      <c r="DB369" s="234">
        <f>IFERROR(CO369^SIGN(CO369),1)*IFERROR(CP369^SIGN(CP369),1)*IFERROR(CQ369^SIGN(CQ369),1)*IFERROR(CR369^SIGN(CR369),1)*IFERROR(CS369^SIGN(CS369),1)*IFERROR(CT369^SIGN(CT369),1)*IFERROR(CU369^SIGN(CU369),1)*IFERROR(CV369^SIGN(CV369),1)</f>
        <v>1584</v>
      </c>
      <c r="DC369" s="242">
        <f t="shared" si="4093"/>
        <v>7424</v>
      </c>
      <c r="DD369" s="223">
        <f t="shared" si="4094"/>
        <v>3.8218390804597702</v>
      </c>
      <c r="DE369" s="223">
        <f t="shared" si="4095"/>
        <v>10.711206896551724</v>
      </c>
      <c r="DF369" s="223">
        <f t="shared" si="4096"/>
        <v>7.4676724137931032</v>
      </c>
      <c r="DG369" s="218">
        <f t="shared" si="4097"/>
        <v>22.000718390804597</v>
      </c>
      <c r="DH369" s="252">
        <f t="shared" si="3970"/>
        <v>0</v>
      </c>
      <c r="DI369" s="309">
        <f t="shared" si="4098"/>
        <v>22.000718390804597</v>
      </c>
      <c r="DJ369" s="218">
        <f t="shared" si="4099"/>
        <v>77.007183908045945</v>
      </c>
      <c r="DK369" s="242">
        <f t="shared" si="4099"/>
        <v>1</v>
      </c>
      <c r="DL369" s="243">
        <f t="shared" si="4100"/>
        <v>76.007183908045945</v>
      </c>
      <c r="DM369" s="218">
        <f t="shared" si="4101"/>
        <v>0</v>
      </c>
      <c r="DO369" s="303" t="s">
        <v>174</v>
      </c>
      <c r="DP369" s="218" t="s">
        <v>86</v>
      </c>
      <c r="DQ369" s="218" t="s">
        <v>133</v>
      </c>
      <c r="DR369" s="234">
        <f>Konvention_1slave-MUslave</f>
        <v>12</v>
      </c>
      <c r="DS369" s="234"/>
      <c r="DT369" s="234">
        <f t="shared" si="4102"/>
        <v>12</v>
      </c>
      <c r="DU369" s="234">
        <f>Konvention_1slave-CHslave_CH</f>
        <v>11</v>
      </c>
      <c r="DV369" s="234"/>
      <c r="DW369" s="234"/>
      <c r="DX369" s="234"/>
      <c r="DY369" s="234"/>
      <c r="DZ369" s="222">
        <f>(DR369+DS369+DT369+DU369+DV369+DW369+DX369+DY369)/3</f>
        <v>11.666666666666666</v>
      </c>
      <c r="EA369" s="223">
        <f t="shared" si="4103"/>
        <v>23.333333333333332</v>
      </c>
      <c r="EB369" s="224">
        <f t="shared" si="4104"/>
        <v>35</v>
      </c>
      <c r="EC369" s="234">
        <f>DR369*POWER(KLslave,SIGN(DS369))*POWER(INslave,SIGN(DT369))*POWER(CHslave_CH,SIGN(DU369))*POWER(FFslave,SIGN(DV369))*POWER(GEslave,SIGN(DW369))*POWER(KOslave,SIGN(DX369))*POWER(KKslave,SIGN(DY369))+DS369*POWER(MUslave,SIGN(DR369))*POWER(INslave,SIGN(DT369))*POWER(CHslave_CH,SIGN(DU369))*POWER(FFslave,SIGN(DV369))*POWER(GEslave,SIGN(DW369))*POWER(KOslave,SIGN(DX369))*POWER(KKslave,SIGN(DY369))+DT369*POWER(MUslave,SIGN(DR369))*POWER(KLslave,SIGN(DS369))*POWER(CHslave_CH,SIGN(DU369))*POWER(FFslave,SIGN(DV369))*POWER(GEslave,SIGN(DW369))*POWER(KOslave,SIGN(DX369))*POWER(KKslave,SIGN(DY369))+DU369*POWER(MUslave,SIGN(DR369))*POWER(KLslave,SIGN(DS369))*POWER(INslave,SIGN(DT369))*POWER(FFslave,SIGN(DV369))*POWER(GEslave,SIGN(DW369))*POWER(KOslave,SIGN(DX369))*POWER(KKslave,SIGN(DY369))+DV369*POWER(MUslave,SIGN(DR369))*POWER(KLslave,SIGN(DS369))*POWER(INslave,SIGN(DT369))*POWER(CHslave_CH,SIGN(DU369))*POWER(GEslave,SIGN(DW369))*POWER(KOslave,SIGN(DX369))*POWER(KKslave,SIGN(DY369))+DW369*POWER(MUslave,SIGN(DR369))*POWER(KLslave,SIGN(DS369))*POWER(INslave,SIGN(DT369))*POWER(CHslave_CH,SIGN(DU369))*POWER(FFslave,SIGN(DV369))*POWER(KOslave,SIGN(DX369))*POWER(KKslave,SIGN(DY369))+DX369*POWER(MUslave,SIGN(DR369))*POWER(KLslave,SIGN(DS369))*POWER(INslave,SIGN(DT369))*POWER(CHslave_CH,SIGN(DU369))*POWER(FFslave,SIGN(DV369))*POWER(GEslave,SIGN(DW369))*POWER(KKslave,SIGN(DY369))+DY369*POWER(MUslave,SIGN(DR369))*POWER(KLslave,SIGN(DS369))*POWER(INslave,SIGN(DT369))*POWER(CHslave_CH,SIGN(DU369))*POWER(FFslave,SIGN(DV369))*POWER(GEslave,SIGN(DW369))*POWER(KOslave,SIGN(DX369))</f>
        <v>2432</v>
      </c>
      <c r="ED369" s="234">
        <f>DR369*DT369*CHslave_CH+DR369*INslave*DU369+MUslave*DT369*DU369</f>
        <v>3408</v>
      </c>
      <c r="EE369" s="234">
        <f>IFERROR(DR369^SIGN(DR369),1)*IFERROR(DS369^SIGN(DS369),1)*IFERROR(DT369^SIGN(DT369),1)*IFERROR(DU369^SIGN(DU369),1)*IFERROR(DV369^SIGN(DV369),1)*IFERROR(DW369^SIGN(DW369),1)*IFERROR(DX369^SIGN(DX369),1)*IFERROR(DY369^SIGN(DY369),1)</f>
        <v>1584</v>
      </c>
      <c r="EF369" s="242">
        <f t="shared" si="4105"/>
        <v>7424</v>
      </c>
      <c r="EG369" s="223">
        <f t="shared" si="4106"/>
        <v>3.8218390804597702</v>
      </c>
      <c r="EH369" s="223">
        <f t="shared" si="4107"/>
        <v>10.711206896551724</v>
      </c>
      <c r="EI369" s="223">
        <f t="shared" si="4108"/>
        <v>7.4676724137931032</v>
      </c>
      <c r="EJ369" s="218">
        <f t="shared" si="4109"/>
        <v>22.000718390804597</v>
      </c>
      <c r="EK369" s="252">
        <f t="shared" si="3986"/>
        <v>0</v>
      </c>
      <c r="EL369" s="309">
        <f t="shared" si="4110"/>
        <v>22.000718390804597</v>
      </c>
      <c r="EM369" s="218">
        <f t="shared" si="4111"/>
        <v>77.007183908045945</v>
      </c>
      <c r="EN369" s="242">
        <f t="shared" si="4111"/>
        <v>1</v>
      </c>
      <c r="EO369" s="243">
        <f t="shared" si="4112"/>
        <v>76.007183908045945</v>
      </c>
      <c r="EP369" s="218">
        <f t="shared" si="4113"/>
        <v>0</v>
      </c>
      <c r="ER369" s="303" t="s">
        <v>174</v>
      </c>
      <c r="ES369" s="218" t="s">
        <v>86</v>
      </c>
      <c r="ET369" s="218" t="s">
        <v>133</v>
      </c>
      <c r="EU369" s="234">
        <f>Konvention_1slave-MUslave</f>
        <v>12</v>
      </c>
      <c r="EV369" s="234"/>
      <c r="EW369" s="234">
        <f t="shared" si="4114"/>
        <v>12</v>
      </c>
      <c r="EX369" s="234">
        <f>Konvention_1slave-CHslave</f>
        <v>12</v>
      </c>
      <c r="EY369" s="234"/>
      <c r="EZ369" s="234"/>
      <c r="FA369" s="234"/>
      <c r="FB369" s="234"/>
      <c r="FC369" s="222">
        <f>(EU369+EV369+EW369+EX369+EY369+EZ369+FA369+FB369)/3</f>
        <v>12</v>
      </c>
      <c r="FD369" s="223">
        <f t="shared" si="4115"/>
        <v>24</v>
      </c>
      <c r="FE369" s="224">
        <f t="shared" si="4116"/>
        <v>36</v>
      </c>
      <c r="FF369" s="234">
        <f>EU369*POWER(KLslave,SIGN(EV369))*POWER(INslave,SIGN(EW369))*POWER(CHslave,SIGN(EX369))*POWER(FFslave_FF,SIGN(EY369))*POWER(GEslave,SIGN(EZ369))*POWER(KOslave,SIGN(FA369))*POWER(KKslave,SIGN(FB369))+EV369*POWER(MUslave,SIGN(EU369))*POWER(INslave,SIGN(EW369))*POWER(CHslave,SIGN(EX369))*POWER(FFslave_FF,SIGN(EY369))*POWER(GEslave,SIGN(EZ369))*POWER(KOslave,SIGN(FA369))*POWER(KKslave,SIGN(FB369))+EW369*POWER(MUslave,SIGN(EU369))*POWER(KLslave,SIGN(EV369))*POWER(CHslave,SIGN(EX369))*POWER(FFslave_FF,SIGN(EY369))*POWER(GEslave,SIGN(EZ369))*POWER(KOslave,SIGN(FA369))*POWER(KKslave,SIGN(FB369))+EX369*POWER(MUslave,SIGN(EU369))*POWER(KLslave,SIGN(EV369))*POWER(INslave,SIGN(EW369))*POWER(FFslave_FF,SIGN(EY369))*POWER(GEslave,SIGN(EZ369))*POWER(KOslave,SIGN(FA369))*POWER(KKslave,SIGN(FB369))+EY369*POWER(MUslave,SIGN(EU369))*POWER(KLslave,SIGN(EV369))*POWER(INslave,SIGN(EW369))*POWER(CHslave,SIGN(EX369))*POWER(GEslave,SIGN(EZ369))*POWER(KOslave,SIGN(FA369))*POWER(KKslave,SIGN(FB369))+EZ369*POWER(MUslave,SIGN(EU369))*POWER(KLslave,SIGN(EV369))*POWER(INslave,SIGN(EW369))*POWER(CHslave,SIGN(EX369))*POWER(FFslave_FF,SIGN(EY369))*POWER(KOslave,SIGN(FA369))*POWER(KKslave,SIGN(FB369))+FA369*POWER(MUslave,SIGN(EU369))*POWER(KLslave,SIGN(EV369))*POWER(INslave,SIGN(EW369))*POWER(CHslave,SIGN(EX369))*POWER(FFslave_FF,SIGN(EY369))*POWER(GEslave,SIGN(EZ369))*POWER(KKslave,SIGN(FB369))+FB369*POWER(MUslave,SIGN(EU369))*POWER(KLslave,SIGN(EV369))*POWER(INslave,SIGN(EW369))*POWER(CHslave,SIGN(EX369))*POWER(FFslave_FF,SIGN(EY369))*POWER(GEslave,SIGN(EZ369))*POWER(KOslave,SIGN(FA369))</f>
        <v>2304</v>
      </c>
      <c r="FG369" s="234">
        <f>EU369*EW369*CHslave+EU369*INslave*EX369+MUslave*EW369*EX369</f>
        <v>3456</v>
      </c>
      <c r="FH369" s="234">
        <f>IFERROR(EU369^SIGN(EU369),1)*IFERROR(EV369^SIGN(EV369),1)*IFERROR(EW369^SIGN(EW369),1)*IFERROR(EX369^SIGN(EX369),1)*IFERROR(EY369^SIGN(EY369),1)*IFERROR(EZ369^SIGN(EZ369),1)*IFERROR(FA369^SIGN(FA369),1)*IFERROR(FB369^SIGN(FB369),1)</f>
        <v>1728</v>
      </c>
      <c r="FI369" s="242">
        <f t="shared" si="4117"/>
        <v>7488</v>
      </c>
      <c r="FJ369" s="223">
        <f t="shared" si="4118"/>
        <v>3.6923076923076925</v>
      </c>
      <c r="FK369" s="223">
        <f t="shared" si="4119"/>
        <v>11.076923076923077</v>
      </c>
      <c r="FL369" s="223">
        <f t="shared" si="4120"/>
        <v>8.3076923076923084</v>
      </c>
      <c r="FM369" s="218">
        <f t="shared" si="4121"/>
        <v>23.07692307692308</v>
      </c>
      <c r="FN369" s="252">
        <f t="shared" si="4002"/>
        <v>0</v>
      </c>
      <c r="FO369" s="309">
        <f t="shared" si="4122"/>
        <v>23.07692307692308</v>
      </c>
      <c r="FP369" s="218">
        <f t="shared" si="4123"/>
        <v>87.769230769230802</v>
      </c>
      <c r="FQ369" s="242">
        <f t="shared" si="4123"/>
        <v>1</v>
      </c>
      <c r="FR369" s="243">
        <f t="shared" si="4124"/>
        <v>86.769230769230802</v>
      </c>
      <c r="FS369" s="218">
        <f t="shared" si="4125"/>
        <v>0</v>
      </c>
      <c r="FU369" s="303" t="s">
        <v>174</v>
      </c>
      <c r="FV369" s="218" t="s">
        <v>86</v>
      </c>
      <c r="FW369" s="218" t="s">
        <v>133</v>
      </c>
      <c r="FX369" s="234">
        <f>Konvention_1slave-MUslave</f>
        <v>12</v>
      </c>
      <c r="FY369" s="234"/>
      <c r="FZ369" s="234">
        <f t="shared" si="4126"/>
        <v>12</v>
      </c>
      <c r="GA369" s="234">
        <f>Konvention_1slave-CHslave</f>
        <v>12</v>
      </c>
      <c r="GB369" s="234"/>
      <c r="GC369" s="234"/>
      <c r="GD369" s="234"/>
      <c r="GE369" s="234"/>
      <c r="GF369" s="222">
        <f>(FX369+FY369+FZ369+GA369+GB369+GC369+GD369+GE369)/3</f>
        <v>12</v>
      </c>
      <c r="GG369" s="223">
        <f t="shared" si="4127"/>
        <v>24</v>
      </c>
      <c r="GH369" s="224">
        <f t="shared" si="4128"/>
        <v>36</v>
      </c>
      <c r="GI369" s="234">
        <f>FX369*POWER(KLslave,SIGN(FY369))*POWER(INslave,SIGN(FZ369))*POWER(CHslave,SIGN(GA369))*POWER(FFslave,SIGN(GB369))*POWER(GEslave_GE,SIGN(GC369))*POWER(KOslave,SIGN(GD369))*POWER(KKslave,SIGN(GE369))+FY369*POWER(MUslave,SIGN(FX369))*POWER(INslave,SIGN(FZ369))*POWER(CHslave,SIGN(GA369))*POWER(FFslave,SIGN(GB369))*POWER(GEslave_GE,SIGN(GC369))*POWER(KOslave,SIGN(GD369))*POWER(KKslave,SIGN(GE369))+FZ369*POWER(MUslave,SIGN(FX369))*POWER(KLslave,SIGN(FY369))*POWER(CHslave,SIGN(GA369))*POWER(FFslave,SIGN(GB369))*POWER(GEslave_GE,SIGN(GC369))*POWER(KOslave,SIGN(GD369))*POWER(KKslave,SIGN(GE369))+GA369*POWER(MUslave,SIGN(FX369))*POWER(KLslave,SIGN(FY369))*POWER(INslave,SIGN(FZ369))*POWER(FFslave,SIGN(GB369))*POWER(GEslave_GE,SIGN(GC369))*POWER(KOslave,SIGN(GD369))*POWER(KKslave,SIGN(GE369))+GB369*POWER(MUslave,SIGN(FX369))*POWER(KLslave,SIGN(FY369))*POWER(INslave,SIGN(FZ369))*POWER(CHslave,SIGN(GA369))*POWER(GEslave_GE,SIGN(GC369))*POWER(KOslave,SIGN(GD369))*POWER(KKslave,SIGN(GE369))+GC369*POWER(MUslave,SIGN(FX369))*POWER(KLslave,SIGN(FY369))*POWER(INslave,SIGN(FZ369))*POWER(CHslave,SIGN(GA369))*POWER(FFslave,SIGN(GB369))*POWER(KOslave,SIGN(GD369))*POWER(KKslave,SIGN(GE369))+GD369*POWER(MUslave,SIGN(FX369))*POWER(KLslave,SIGN(FY369))*POWER(INslave,SIGN(FZ369))*POWER(CHslave,SIGN(GA369))*POWER(FFslave,SIGN(GB369))*POWER(GEslave_GE,SIGN(GC369))*POWER(KKslave,SIGN(GE369))+GE369*POWER(MUslave,SIGN(FX369))*POWER(KLslave,SIGN(FY369))*POWER(INslave,SIGN(FZ369))*POWER(CHslave,SIGN(GA369))*POWER(FFslave,SIGN(GB369))*POWER(GEslave_GE,SIGN(GC369))*POWER(KOslave,SIGN(GD369))</f>
        <v>2304</v>
      </c>
      <c r="GJ369" s="234">
        <f>FX369*FZ369*CHslave+FX369*INslave*GA369+MUslave*FZ369*GA369</f>
        <v>3456</v>
      </c>
      <c r="GK369" s="234">
        <f>IFERROR(FX369^SIGN(FX369),1)*IFERROR(FY369^SIGN(FY369),1)*IFERROR(FZ369^SIGN(FZ369),1)*IFERROR(GA369^SIGN(GA369),1)*IFERROR(GB369^SIGN(GB369),1)*IFERROR(GC369^SIGN(GC369),1)*IFERROR(GD369^SIGN(GD369),1)*IFERROR(GE369^SIGN(GE369),1)</f>
        <v>1728</v>
      </c>
      <c r="GL369" s="242">
        <f t="shared" si="4129"/>
        <v>7488</v>
      </c>
      <c r="GM369" s="223">
        <f t="shared" si="4130"/>
        <v>3.6923076923076925</v>
      </c>
      <c r="GN369" s="223">
        <f t="shared" si="4131"/>
        <v>11.076923076923077</v>
      </c>
      <c r="GO369" s="223">
        <f t="shared" si="4132"/>
        <v>8.3076923076923084</v>
      </c>
      <c r="GP369" s="218">
        <f t="shared" si="4133"/>
        <v>23.07692307692308</v>
      </c>
      <c r="GQ369" s="252">
        <f t="shared" si="4018"/>
        <v>0</v>
      </c>
      <c r="GR369" s="309">
        <f t="shared" si="4134"/>
        <v>23.07692307692308</v>
      </c>
      <c r="GS369" s="218">
        <f t="shared" si="4135"/>
        <v>87.769230769230802</v>
      </c>
      <c r="GT369" s="242">
        <f t="shared" si="4135"/>
        <v>1</v>
      </c>
      <c r="GU369" s="243">
        <f t="shared" si="4136"/>
        <v>86.769230769230802</v>
      </c>
      <c r="GV369" s="218">
        <f t="shared" si="4137"/>
        <v>0</v>
      </c>
      <c r="GX369" s="303" t="s">
        <v>174</v>
      </c>
      <c r="GY369" s="218" t="s">
        <v>86</v>
      </c>
      <c r="GZ369" s="218" t="s">
        <v>133</v>
      </c>
      <c r="HA369" s="234">
        <f>Konvention_1slave-MUslave</f>
        <v>12</v>
      </c>
      <c r="HB369" s="234"/>
      <c r="HC369" s="234">
        <f t="shared" si="4138"/>
        <v>12</v>
      </c>
      <c r="HD369" s="234">
        <f>Konvention_1slave-CHslave</f>
        <v>12</v>
      </c>
      <c r="HE369" s="234"/>
      <c r="HF369" s="234"/>
      <c r="HG369" s="234"/>
      <c r="HH369" s="234"/>
      <c r="HI369" s="222">
        <f>(HA369+HB369+HC369+HD369+HE369+HF369+HG369+HH369)/3</f>
        <v>12</v>
      </c>
      <c r="HJ369" s="223">
        <f t="shared" si="4139"/>
        <v>24</v>
      </c>
      <c r="HK369" s="224">
        <f t="shared" si="4140"/>
        <v>36</v>
      </c>
      <c r="HL369" s="234">
        <f>HA369*POWER(KLslave,SIGN(HB369))*POWER(INslave,SIGN(HC369))*POWER(CHslave,SIGN(HD369))*POWER(FFslave,SIGN(HE369))*POWER(GEslave,SIGN(HF369))*POWER(KOslave_KO,SIGN(HG369))*POWER(KKslave,SIGN(HH369))+HB369*POWER(MUslave,SIGN(HA369))*POWER(INslave,SIGN(HC369))*POWER(CHslave,SIGN(HD369))*POWER(FFslave,SIGN(HE369))*POWER(GEslave,SIGN(HF369))*POWER(KOslave_KO,SIGN(HG369))*POWER(KKslave,SIGN(HH369))+HC369*POWER(MUslave,SIGN(HA369))*POWER(KLslave,SIGN(HB369))*POWER(CHslave,SIGN(HD369))*POWER(FFslave,SIGN(HE369))*POWER(GEslave,SIGN(HF369))*POWER(KOslave_KO,SIGN(HG369))*POWER(KKslave,SIGN(HH369))+HD369*POWER(MUslave,SIGN(HA369))*POWER(KLslave,SIGN(HB369))*POWER(INslave,SIGN(HC369))*POWER(FFslave,SIGN(HE369))*POWER(GEslave,SIGN(HF369))*POWER(KOslave_KO,SIGN(HG369))*POWER(KKslave,SIGN(HH369))+HE369*POWER(MUslave,SIGN(HA369))*POWER(KLslave,SIGN(HB369))*POWER(INslave,SIGN(HC369))*POWER(CHslave,SIGN(HD369))*POWER(GEslave,SIGN(HF369))*POWER(KOslave_KO,SIGN(HG369))*POWER(KKslave,SIGN(HH369))+HF369*POWER(MUslave,SIGN(HA369))*POWER(KLslave,SIGN(HB369))*POWER(INslave,SIGN(HC369))*POWER(CHslave,SIGN(HD369))*POWER(FFslave,SIGN(HE369))*POWER(KOslave_KO,SIGN(HG369))*POWER(KKslave,SIGN(HH369))+HG369*POWER(MUslave,SIGN(HA369))*POWER(KLslave,SIGN(HB369))*POWER(INslave,SIGN(HC369))*POWER(CHslave,SIGN(HD369))*POWER(FFslave,SIGN(HE369))*POWER(GEslave,SIGN(HF369))*POWER(KKslave,SIGN(HH369))+HH369*POWER(MUslave,SIGN(HA369))*POWER(KLslave,SIGN(HB369))*POWER(INslave,SIGN(HC369))*POWER(CHslave,SIGN(HD369))*POWER(FFslave,SIGN(HE369))*POWER(GEslave,SIGN(HF369))*POWER(KOslave_KO,SIGN(HG369))</f>
        <v>2304</v>
      </c>
      <c r="HM369" s="234">
        <f>HA369*HC369*CHslave+HA369*INslave*HD369+MUslave*HC369*HD369</f>
        <v>3456</v>
      </c>
      <c r="HN369" s="234">
        <f>IFERROR(HA369^SIGN(HA369),1)*IFERROR(HB369^SIGN(HB369),1)*IFERROR(HC369^SIGN(HC369),1)*IFERROR(HD369^SIGN(HD369),1)*IFERROR(HE369^SIGN(HE369),1)*IFERROR(HF369^SIGN(HF369),1)*IFERROR(HG369^SIGN(HG369),1)*IFERROR(HH369^SIGN(HH369),1)</f>
        <v>1728</v>
      </c>
      <c r="HO369" s="242">
        <f t="shared" si="4141"/>
        <v>7488</v>
      </c>
      <c r="HP369" s="223">
        <f t="shared" si="4142"/>
        <v>3.6923076923076925</v>
      </c>
      <c r="HQ369" s="223">
        <f t="shared" si="4143"/>
        <v>11.076923076923077</v>
      </c>
      <c r="HR369" s="223">
        <f t="shared" si="4144"/>
        <v>8.3076923076923084</v>
      </c>
      <c r="HS369" s="218">
        <f t="shared" si="4145"/>
        <v>23.07692307692308</v>
      </c>
      <c r="HT369" s="252">
        <f t="shared" si="4034"/>
        <v>0</v>
      </c>
      <c r="HU369" s="309">
        <f t="shared" si="4146"/>
        <v>23.07692307692308</v>
      </c>
      <c r="HV369" s="218">
        <f t="shared" si="4147"/>
        <v>87.769230769230802</v>
      </c>
      <c r="HW369" s="242">
        <f t="shared" si="4147"/>
        <v>1</v>
      </c>
      <c r="HX369" s="243">
        <f t="shared" si="4148"/>
        <v>86.769230769230802</v>
      </c>
      <c r="HY369" s="218">
        <f t="shared" si="4149"/>
        <v>0</v>
      </c>
      <c r="IA369" s="303" t="s">
        <v>174</v>
      </c>
      <c r="IB369" s="218" t="s">
        <v>86</v>
      </c>
      <c r="IC369" s="218" t="s">
        <v>133</v>
      </c>
      <c r="ID369" s="234">
        <f>Konvention_1slave-MUslave</f>
        <v>12</v>
      </c>
      <c r="IE369" s="234"/>
      <c r="IF369" s="234">
        <f t="shared" si="4150"/>
        <v>12</v>
      </c>
      <c r="IG369" s="234">
        <f>Konvention_1slave-CHslave</f>
        <v>12</v>
      </c>
      <c r="IH369" s="234"/>
      <c r="II369" s="234"/>
      <c r="IJ369" s="234"/>
      <c r="IK369" s="234"/>
      <c r="IL369" s="222">
        <f>(ID369+IE369+IF369+IG369+IH369+II369+IJ369+IK369)/3</f>
        <v>12</v>
      </c>
      <c r="IM369" s="223">
        <f t="shared" si="4151"/>
        <v>24</v>
      </c>
      <c r="IN369" s="224">
        <f t="shared" si="4152"/>
        <v>36</v>
      </c>
      <c r="IO369" s="234">
        <f>ID369*POWER(KLslave,SIGN(IE369))*POWER(INslave,SIGN(IF369))*POWER(CHslave,SIGN(IG369))*POWER(FFslave,SIGN(IH369))*POWER(GEslave,SIGN(II369))*POWER(KOslave,SIGN(IJ369))*POWER(KKslave_KK,SIGN(IK369))+IE369*POWER(MUslave,SIGN(ID369))*POWER(INslave,SIGN(IF369))*POWER(CHslave,SIGN(IG369))*POWER(FFslave,SIGN(IH369))*POWER(GEslave,SIGN(II369))*POWER(KOslave,SIGN(IJ369))*POWER(KKslave_KK,SIGN(IK369))+IF369*POWER(MUslave,SIGN(ID369))*POWER(KLslave,SIGN(IE369))*POWER(CHslave,SIGN(IG369))*POWER(FFslave,SIGN(IH369))*POWER(GEslave,SIGN(II369))*POWER(KOslave,SIGN(IJ369))*POWER(KKslave_KK,SIGN(IK369))+IG369*POWER(MUslave,SIGN(ID369))*POWER(KLslave,SIGN(IE369))*POWER(INslave,SIGN(IF369))*POWER(FFslave,SIGN(IH369))*POWER(GEslave,SIGN(II369))*POWER(KOslave,SIGN(IJ369))*POWER(KKslave_KK,SIGN(IK369))+IH369*POWER(MUslave,SIGN(ID369))*POWER(KLslave,SIGN(IE369))*POWER(INslave,SIGN(IF369))*POWER(CHslave,SIGN(IG369))*POWER(GEslave,SIGN(II369))*POWER(KOslave,SIGN(IJ369))*POWER(KKslave_KK,SIGN(IK369))+II369*POWER(MUslave,SIGN(ID369))*POWER(KLslave,SIGN(IE369))*POWER(INslave,SIGN(IF369))*POWER(CHslave,SIGN(IG369))*POWER(FFslave,SIGN(IH369))*POWER(KOslave,SIGN(IJ369))*POWER(KKslave_KK,SIGN(IK369))+IJ369*POWER(MUslave,SIGN(ID369))*POWER(KLslave,SIGN(IE369))*POWER(INslave,SIGN(IF369))*POWER(CHslave,SIGN(IG369))*POWER(FFslave,SIGN(IH369))*POWER(GEslave,SIGN(II369))*POWER(KKslave_KK,SIGN(IK369))+IK369*POWER(MUslave,SIGN(ID369))*POWER(KLslave,SIGN(IE369))*POWER(INslave,SIGN(IF369))*POWER(CHslave,SIGN(IG369))*POWER(FFslave,SIGN(IH369))*POWER(GEslave,SIGN(II369))*POWER(KOslave,SIGN(IJ369))</f>
        <v>2304</v>
      </c>
      <c r="IP369" s="234">
        <f>ID369*IF369*CHslave+ID369*INslave*IG369+MUslave*IF369*IG369</f>
        <v>3456</v>
      </c>
      <c r="IQ369" s="234">
        <f>IFERROR(ID369^SIGN(ID369),1)*IFERROR(IE369^SIGN(IE369),1)*IFERROR(IF369^SIGN(IF369),1)*IFERROR(IG369^SIGN(IG369),1)*IFERROR(IH369^SIGN(IH369),1)*IFERROR(II369^SIGN(II369),1)*IFERROR(IJ369^SIGN(IJ369),1)*IFERROR(IK369^SIGN(IK369),1)</f>
        <v>1728</v>
      </c>
      <c r="IR369" s="242">
        <f t="shared" si="4153"/>
        <v>7488</v>
      </c>
      <c r="IS369" s="223">
        <f t="shared" si="4154"/>
        <v>3.6923076923076925</v>
      </c>
      <c r="IT369" s="223">
        <f t="shared" si="4155"/>
        <v>11.076923076923077</v>
      </c>
      <c r="IU369" s="223">
        <f t="shared" si="4156"/>
        <v>8.3076923076923084</v>
      </c>
      <c r="IV369" s="218">
        <f t="shared" si="4157"/>
        <v>23.07692307692308</v>
      </c>
      <c r="IW369" s="252">
        <f t="shared" si="4050"/>
        <v>0</v>
      </c>
      <c r="IX369" s="309">
        <f t="shared" si="4158"/>
        <v>23.07692307692308</v>
      </c>
      <c r="IY369" s="218">
        <f t="shared" si="4159"/>
        <v>87.769230769230802</v>
      </c>
      <c r="IZ369" s="242">
        <f t="shared" si="4159"/>
        <v>1</v>
      </c>
      <c r="JA369" s="243">
        <f t="shared" si="4160"/>
        <v>86.769230769230802</v>
      </c>
      <c r="JB369" s="218">
        <f t="shared" si="4161"/>
        <v>0</v>
      </c>
      <c r="JE369" s="148"/>
    </row>
    <row r="370" spans="2:265" hidden="1" outlineLevel="2">
      <c r="B370" s="148">
        <v>4</v>
      </c>
      <c r="C370" s="303" t="e">
        <f>VLOOKUP(AF370,Attribute!C:T,1,FALSE)</f>
        <v>#N/A</v>
      </c>
      <c r="D370" s="86" t="s">
        <v>180</v>
      </c>
      <c r="E370" s="125" t="s">
        <v>132</v>
      </c>
      <c r="F370" s="113"/>
      <c r="G370" s="113"/>
      <c r="H370" s="113">
        <f t="shared" si="4055"/>
        <v>12</v>
      </c>
      <c r="I370" s="113">
        <f>Konvention_1master-CHmaster</f>
        <v>12</v>
      </c>
      <c r="J370" s="113"/>
      <c r="K370" s="113"/>
      <c r="L370" s="113"/>
      <c r="M370" s="113"/>
      <c r="N370" s="222">
        <f>(H370+H370+I370)/3</f>
        <v>12</v>
      </c>
      <c r="O370" s="223">
        <f t="shared" si="4056"/>
        <v>24</v>
      </c>
      <c r="P370" s="224">
        <f t="shared" si="4057"/>
        <v>36</v>
      </c>
      <c r="Q370" s="234">
        <f>H370*POWER(CHmaster,SIGN(I370))*POWER(INmaster,SIGN(H370))+H370*POWER(CHmaster,SIGN(I370))*POWER(INmaster,SIGN(H370))+I370*POWER(INmaster,SIGN(H370))*POWER(INmaster,SIGN(H370))</f>
        <v>2304</v>
      </c>
      <c r="R370" s="113">
        <f>H370*H370*CHmaster+H370*INmaster*I370+INmaster*H370*I370</f>
        <v>3456</v>
      </c>
      <c r="S370" s="234">
        <f>H370*H370*I370</f>
        <v>1728</v>
      </c>
      <c r="T370" s="242">
        <f t="shared" si="4058"/>
        <v>7488</v>
      </c>
      <c r="U370" s="223">
        <f t="shared" si="4059"/>
        <v>3.6923076923076925</v>
      </c>
      <c r="V370" s="223">
        <f t="shared" si="4060"/>
        <v>11.076923076923077</v>
      </c>
      <c r="W370" s="223">
        <f t="shared" si="4061"/>
        <v>8.3076923076923084</v>
      </c>
      <c r="X370" s="218">
        <f t="shared" si="4062"/>
        <v>23.07692307692308</v>
      </c>
      <c r="Y370" s="252">
        <v>0</v>
      </c>
      <c r="Z370" s="198">
        <f t="shared" si="4063"/>
        <v>23.07692307692308</v>
      </c>
      <c r="AA370" s="125">
        <f>IF(X370&lt;=0,2,0)+IF(X370&gt;0,X370+1,0)*2+IF(X370&gt;12,X370-12,0)*2+IF(X370&gt;13,X370-13,0)*2+IF(X370&gt;14,X370-14,0)*2+IF(X370&gt;15,X370-15,0)*2+IF(X370&gt;16,X370-16,0)*2+IF(X370&gt;17,X370-17,0)*2+IF(X370&gt;18,X370-18,0)*2+IF(X370&gt;19,X370-19,0)*2+IF(X370&gt;20,X370-20,0)*2</f>
        <v>175.5384615384616</v>
      </c>
      <c r="AB370" s="160">
        <f>IF(Y370&lt;=0,2,0)+IF(Y370&gt;0,Y370+1,0)*2+IF(Y370&gt;12,Y370-12,0)*2+IF(Y370&gt;13,Y370-13,0)*2+IF(Y370&gt;14,Y370-14,0)*2+IF(Y370&gt;15,Y370-15,0)*2+IF(Y370&gt;16,Y370-16,0)*2+IF(Y370&gt;17,Y370-17,0)*2+IF(Y370&gt;18,Y370-18,0)*2+IF(Y370&gt;19,Y370-19,0)*2+IF(Y370&gt;20,Y370-20,0)*2</f>
        <v>2</v>
      </c>
      <c r="AC370" s="127">
        <f t="shared" si="4065"/>
        <v>173.5384615384616</v>
      </c>
      <c r="AD370" s="125">
        <f t="shared" si="4066"/>
        <v>0</v>
      </c>
      <c r="AF370" s="163" t="s">
        <v>176</v>
      </c>
      <c r="AG370" s="125" t="s">
        <v>180</v>
      </c>
      <c r="AH370" s="125" t="s">
        <v>132</v>
      </c>
      <c r="AI370" s="113"/>
      <c r="AJ370" s="113"/>
      <c r="AK370" s="113">
        <f t="shared" si="4067"/>
        <v>12</v>
      </c>
      <c r="AL370" s="113">
        <f>Konvention_1slave-CHslave</f>
        <v>12</v>
      </c>
      <c r="AM370" s="113"/>
      <c r="AN370" s="113"/>
      <c r="AO370" s="113"/>
      <c r="AP370" s="113"/>
      <c r="AQ370" s="89">
        <f>(AK370+AK370+AL370)/3</f>
        <v>12</v>
      </c>
      <c r="AR370" s="47">
        <f t="shared" si="4068"/>
        <v>24</v>
      </c>
      <c r="AS370" s="119">
        <f t="shared" si="4069"/>
        <v>36</v>
      </c>
      <c r="AT370" s="113">
        <f>AK370*POWER(CHslave,SIGN(AL370))*POWER(INslave,SIGN(AK370))+AK370*POWER(CHslave,SIGN(AL370))*POWER(INslave,SIGN(AK370))+AL370*POWER(INslave,SIGN(AK370))*POWER(INslave,SIGN(AK370))</f>
        <v>2304</v>
      </c>
      <c r="AU370" s="113">
        <f>AK370*AK370*CHslave+AK370*INslave*AL370+INslave*AK370*AL370</f>
        <v>3456</v>
      </c>
      <c r="AV370" s="113">
        <f>AK370*AK370*AL370</f>
        <v>1728</v>
      </c>
      <c r="AW370" s="160">
        <f t="shared" si="4070"/>
        <v>7488</v>
      </c>
      <c r="AX370" s="47">
        <f t="shared" si="4071"/>
        <v>3.6923076923076925</v>
      </c>
      <c r="AY370" s="47">
        <f t="shared" si="4072"/>
        <v>11.076923076923077</v>
      </c>
      <c r="AZ370" s="47">
        <f t="shared" si="4073"/>
        <v>8.3076923076923084</v>
      </c>
      <c r="BA370" s="125">
        <f t="shared" si="4074"/>
        <v>23.07692307692308</v>
      </c>
      <c r="BB370" s="165">
        <f t="shared" si="3938"/>
        <v>0</v>
      </c>
      <c r="BC370" s="198">
        <f t="shared" si="4075"/>
        <v>23.07692307692308</v>
      </c>
      <c r="BD370" s="125">
        <f>IF(BA370&lt;=0,2,0)+IF(BA370&gt;0,BA370+1,0)*2+IF(BA370&gt;12,BA370-12,0)*2+IF(BA370&gt;13,BA370-13,0)*2+IF(BA370&gt;14,BA370-14,0)*2+IF(BA370&gt;15,BA370-15,0)*2+IF(BA370&gt;16,BA370-16,0)*2+IF(BA370&gt;17,BA370-17,0)*2+IF(BA370&gt;18,BA370-18,0)*2+IF(BA370&gt;19,BA370-19,0)*2+IF(BA370&gt;20,BA370-20,0)*2</f>
        <v>175.5384615384616</v>
      </c>
      <c r="BE370" s="160">
        <f>IF(BB370&lt;=0,2,0)+IF(BB370&gt;0,BB370+1,0)*2+IF(BB370&gt;12,BB370-12,0)*2+IF(BB370&gt;13,BB370-13,0)*2+IF(BB370&gt;14,BB370-14,0)*2+IF(BB370&gt;15,BB370-15,0)*2+IF(BB370&gt;16,BB370-16,0)*2+IF(BB370&gt;17,BB370-17,0)*2+IF(BB370&gt;18,BB370-18,0)*2+IF(BB370&gt;19,BB370-19,0)*2+IF(BB370&gt;20,BB370-20,0)*2</f>
        <v>2</v>
      </c>
      <c r="BF370" s="243">
        <f t="shared" si="4077"/>
        <v>173.5384615384616</v>
      </c>
      <c r="BG370" s="218">
        <f t="shared" si="4078"/>
        <v>0</v>
      </c>
      <c r="BI370" s="303" t="s">
        <v>176</v>
      </c>
      <c r="BJ370" s="218" t="s">
        <v>180</v>
      </c>
      <c r="BK370" s="218" t="s">
        <v>132</v>
      </c>
      <c r="BL370" s="234"/>
      <c r="BM370" s="234"/>
      <c r="BN370" s="234">
        <f t="shared" si="4079"/>
        <v>12</v>
      </c>
      <c r="BO370" s="234">
        <f>Konvention_1slave-CHslave</f>
        <v>12</v>
      </c>
      <c r="BP370" s="234"/>
      <c r="BQ370" s="234"/>
      <c r="BR370" s="234"/>
      <c r="BS370" s="234"/>
      <c r="BT370" s="222">
        <f>(BN370+BN370+BO370)/3</f>
        <v>12</v>
      </c>
      <c r="BU370" s="223">
        <f t="shared" si="4080"/>
        <v>24</v>
      </c>
      <c r="BV370" s="224">
        <f t="shared" si="4081"/>
        <v>36</v>
      </c>
      <c r="BW370" s="234">
        <f>BN370*POWER(CHslave,SIGN(BO370))*POWER(INslave,SIGN(BN370))+BN370*POWER(CHslave,SIGN(BO370))*POWER(INslave,SIGN(BN370))+BO370*POWER(INslave,SIGN(BN370))*POWER(INslave,SIGN(BN370))</f>
        <v>2304</v>
      </c>
      <c r="BX370" s="234">
        <f>BN370*BN370*CHslave+BN370*INslave*BO370+INslave*BN370*BO370</f>
        <v>3456</v>
      </c>
      <c r="BY370" s="234">
        <f>BN370*BN370*BO370</f>
        <v>1728</v>
      </c>
      <c r="BZ370" s="242">
        <f t="shared" si="4082"/>
        <v>7488</v>
      </c>
      <c r="CA370" s="223">
        <f t="shared" si="4083"/>
        <v>3.6923076923076925</v>
      </c>
      <c r="CB370" s="223">
        <f t="shared" si="4084"/>
        <v>11.076923076923077</v>
      </c>
      <c r="CC370" s="223">
        <f t="shared" si="4085"/>
        <v>8.3076923076923084</v>
      </c>
      <c r="CD370" s="218">
        <f t="shared" si="4086"/>
        <v>23.07692307692308</v>
      </c>
      <c r="CE370" s="252">
        <f t="shared" si="3954"/>
        <v>0</v>
      </c>
      <c r="CF370" s="309">
        <f t="shared" si="4087"/>
        <v>23.07692307692308</v>
      </c>
      <c r="CG370" s="218">
        <f>IF(CD370&lt;=0,2,0)+IF(CD370&gt;0,CD370+1,0)*2+IF(CD370&gt;12,CD370-12,0)*2+IF(CD370&gt;13,CD370-13,0)*2+IF(CD370&gt;14,CD370-14,0)*2+IF(CD370&gt;15,CD370-15,0)*2+IF(CD370&gt;16,CD370-16,0)*2+IF(CD370&gt;17,CD370-17,0)*2+IF(CD370&gt;18,CD370-18,0)*2+IF(CD370&gt;19,CD370-19,0)*2+IF(CD370&gt;20,CD370-20,0)*2</f>
        <v>175.5384615384616</v>
      </c>
      <c r="CH370" s="242">
        <f>IF(CE370&lt;=0,2,0)+IF(CE370&gt;0,CE370+1,0)*2+IF(CE370&gt;12,CE370-12,0)*2+IF(CE370&gt;13,CE370-13,0)*2+IF(CE370&gt;14,CE370-14,0)*2+IF(CE370&gt;15,CE370-15,0)*2+IF(CE370&gt;16,CE370-16,0)*2+IF(CE370&gt;17,CE370-17,0)*2+IF(CE370&gt;18,CE370-18,0)*2+IF(CE370&gt;19,CE370-19,0)*2+IF(CE370&gt;20,CE370-20,0)*2</f>
        <v>2</v>
      </c>
      <c r="CI370" s="243">
        <f t="shared" si="4089"/>
        <v>173.5384615384616</v>
      </c>
      <c r="CJ370" s="218">
        <f t="shared" si="4090"/>
        <v>0</v>
      </c>
      <c r="CL370" s="303" t="s">
        <v>176</v>
      </c>
      <c r="CM370" s="218" t="s">
        <v>180</v>
      </c>
      <c r="CN370" s="218" t="s">
        <v>132</v>
      </c>
      <c r="CO370" s="234"/>
      <c r="CP370" s="234"/>
      <c r="CQ370" s="234">
        <f>Konvention_1slave-INslave_IN</f>
        <v>11</v>
      </c>
      <c r="CR370" s="234">
        <f>Konvention_1slave-CHslave</f>
        <v>12</v>
      </c>
      <c r="CS370" s="234"/>
      <c r="CT370" s="234"/>
      <c r="CU370" s="234"/>
      <c r="CV370" s="234"/>
      <c r="CW370" s="222">
        <f>(CQ370+CQ370+CR370)/3</f>
        <v>11.333333333333334</v>
      </c>
      <c r="CX370" s="223">
        <f t="shared" si="4091"/>
        <v>22.666666666666668</v>
      </c>
      <c r="CY370" s="224">
        <f t="shared" si="4092"/>
        <v>34</v>
      </c>
      <c r="CZ370" s="234">
        <f>CQ370*POWER(CHslave,SIGN(CR370))*POWER(INslave_IN,SIGN(CQ370))+CQ370*POWER(CHslave,SIGN(CR370))*POWER(INslave_IN,SIGN(CQ370))+CR370*POWER(INslave_IN,SIGN(CQ370))*POWER(INslave_IN,SIGN(CQ370))</f>
        <v>2556</v>
      </c>
      <c r="DA370" s="234">
        <f>CQ370*CQ370*CHslave+CQ370*INslave_IN*CR370+INslave_IN*CQ370*CR370</f>
        <v>3344</v>
      </c>
      <c r="DB370" s="234">
        <f>CQ370*CQ370*CR370</f>
        <v>1452</v>
      </c>
      <c r="DC370" s="242">
        <f t="shared" si="4093"/>
        <v>7352</v>
      </c>
      <c r="DD370" s="223">
        <f t="shared" si="4094"/>
        <v>3.940152339499456</v>
      </c>
      <c r="DE370" s="223">
        <f t="shared" si="4095"/>
        <v>10.309756982227059</v>
      </c>
      <c r="DF370" s="223">
        <f t="shared" si="4096"/>
        <v>6.714907508161045</v>
      </c>
      <c r="DG370" s="218">
        <f t="shared" si="4097"/>
        <v>20.96481682988756</v>
      </c>
      <c r="DH370" s="252">
        <f t="shared" si="3970"/>
        <v>0</v>
      </c>
      <c r="DI370" s="309">
        <f t="shared" si="4098"/>
        <v>20.96481682988756</v>
      </c>
      <c r="DJ370" s="218">
        <f>IF(DG370&lt;=0,2,0)+IF(DG370&gt;0,DG370+1,0)*2+IF(DG370&gt;12,DG370-12,0)*2+IF(DG370&gt;13,DG370-13,0)*2+IF(DG370&gt;14,DG370-14,0)*2+IF(DG370&gt;15,DG370-15,0)*2+IF(DG370&gt;16,DG370-16,0)*2+IF(DG370&gt;17,DG370-17,0)*2+IF(DG370&gt;18,DG370-18,0)*2+IF(DG370&gt;19,DG370-19,0)*2+IF(DG370&gt;20,DG370-20,0)*2</f>
        <v>133.29633659775118</v>
      </c>
      <c r="DK370" s="242">
        <f>IF(DH370&lt;=0,2,0)+IF(DH370&gt;0,DH370+1,0)*2+IF(DH370&gt;12,DH370-12,0)*2+IF(DH370&gt;13,DH370-13,0)*2+IF(DH370&gt;14,DH370-14,0)*2+IF(DH370&gt;15,DH370-15,0)*2+IF(DH370&gt;16,DH370-16,0)*2+IF(DH370&gt;17,DH370-17,0)*2+IF(DH370&gt;18,DH370-18,0)*2+IF(DH370&gt;19,DH370-19,0)*2+IF(DH370&gt;20,DH370-20,0)*2</f>
        <v>2</v>
      </c>
      <c r="DL370" s="243">
        <f t="shared" si="4100"/>
        <v>131.29633659775118</v>
      </c>
      <c r="DM370" s="218">
        <f t="shared" si="4101"/>
        <v>0</v>
      </c>
      <c r="DO370" s="303" t="s">
        <v>176</v>
      </c>
      <c r="DP370" s="218" t="s">
        <v>180</v>
      </c>
      <c r="DQ370" s="218" t="s">
        <v>132</v>
      </c>
      <c r="DR370" s="234"/>
      <c r="DS370" s="234"/>
      <c r="DT370" s="234">
        <f t="shared" si="4102"/>
        <v>12</v>
      </c>
      <c r="DU370" s="234">
        <f>Konvention_1slave-CHslave_CH</f>
        <v>11</v>
      </c>
      <c r="DV370" s="234"/>
      <c r="DW370" s="234"/>
      <c r="DX370" s="234"/>
      <c r="DY370" s="234"/>
      <c r="DZ370" s="222">
        <f>(DT370+DT370+DU370)/3</f>
        <v>11.666666666666666</v>
      </c>
      <c r="EA370" s="223">
        <f t="shared" si="4103"/>
        <v>23.333333333333332</v>
      </c>
      <c r="EB370" s="224">
        <f t="shared" si="4104"/>
        <v>35</v>
      </c>
      <c r="EC370" s="234">
        <f>DT370*POWER(CHslave_CH,SIGN(DU370))*POWER(INslave,SIGN(DT370))+DT370*POWER(CHslave_CH,SIGN(DU370))*POWER(INslave,SIGN(DT370))+DU370*POWER(INslave,SIGN(DT370))*POWER(INslave,SIGN(DT370))</f>
        <v>2432</v>
      </c>
      <c r="ED370" s="234">
        <f>DT370*DT370*CHslave_CH+DT370*INslave*DU370+INslave*DT370*DU370</f>
        <v>3408</v>
      </c>
      <c r="EE370" s="234">
        <f>DT370*DT370*DU370</f>
        <v>1584</v>
      </c>
      <c r="EF370" s="242">
        <f t="shared" si="4105"/>
        <v>7424</v>
      </c>
      <c r="EG370" s="223">
        <f t="shared" si="4106"/>
        <v>3.8218390804597702</v>
      </c>
      <c r="EH370" s="223">
        <f t="shared" si="4107"/>
        <v>10.711206896551724</v>
      </c>
      <c r="EI370" s="223">
        <f t="shared" si="4108"/>
        <v>7.4676724137931032</v>
      </c>
      <c r="EJ370" s="218">
        <f t="shared" si="4109"/>
        <v>22.000718390804597</v>
      </c>
      <c r="EK370" s="252">
        <f t="shared" si="3986"/>
        <v>0</v>
      </c>
      <c r="EL370" s="309">
        <f t="shared" si="4110"/>
        <v>22.000718390804597</v>
      </c>
      <c r="EM370" s="218">
        <f>IF(EJ370&lt;=0,2,0)+IF(EJ370&gt;0,EJ370+1,0)*2+IF(EJ370&gt;12,EJ370-12,0)*2+IF(EJ370&gt;13,EJ370-13,0)*2+IF(EJ370&gt;14,EJ370-14,0)*2+IF(EJ370&gt;15,EJ370-15,0)*2+IF(EJ370&gt;16,EJ370-16,0)*2+IF(EJ370&gt;17,EJ370-17,0)*2+IF(EJ370&gt;18,EJ370-18,0)*2+IF(EJ370&gt;19,EJ370-19,0)*2+IF(EJ370&gt;20,EJ370-20,0)*2</f>
        <v>154.01436781609189</v>
      </c>
      <c r="EN370" s="242">
        <f>IF(EK370&lt;=0,2,0)+IF(EK370&gt;0,EK370+1,0)*2+IF(EK370&gt;12,EK370-12,0)*2+IF(EK370&gt;13,EK370-13,0)*2+IF(EK370&gt;14,EK370-14,0)*2+IF(EK370&gt;15,EK370-15,0)*2+IF(EK370&gt;16,EK370-16,0)*2+IF(EK370&gt;17,EK370-17,0)*2+IF(EK370&gt;18,EK370-18,0)*2+IF(EK370&gt;19,EK370-19,0)*2+IF(EK370&gt;20,EK370-20,0)*2</f>
        <v>2</v>
      </c>
      <c r="EO370" s="243">
        <f t="shared" si="4112"/>
        <v>152.01436781609189</v>
      </c>
      <c r="EP370" s="218">
        <f t="shared" si="4113"/>
        <v>0</v>
      </c>
      <c r="ER370" s="303" t="s">
        <v>176</v>
      </c>
      <c r="ES370" s="218" t="s">
        <v>180</v>
      </c>
      <c r="ET370" s="218" t="s">
        <v>132</v>
      </c>
      <c r="EU370" s="234"/>
      <c r="EV370" s="234"/>
      <c r="EW370" s="234">
        <f t="shared" si="4114"/>
        <v>12</v>
      </c>
      <c r="EX370" s="234">
        <f>Konvention_1slave-CHslave</f>
        <v>12</v>
      </c>
      <c r="EY370" s="234"/>
      <c r="EZ370" s="234"/>
      <c r="FA370" s="234"/>
      <c r="FB370" s="234"/>
      <c r="FC370" s="222">
        <f>(EW370+EW370+EX370)/3</f>
        <v>12</v>
      </c>
      <c r="FD370" s="223">
        <f t="shared" si="4115"/>
        <v>24</v>
      </c>
      <c r="FE370" s="224">
        <f t="shared" si="4116"/>
        <v>36</v>
      </c>
      <c r="FF370" s="234">
        <f>EW370*POWER(CHslave,SIGN(EX370))*POWER(INslave,SIGN(EW370))+EW370*POWER(CHslave,SIGN(EX370))*POWER(INslave,SIGN(EW370))+EX370*POWER(INslave,SIGN(EW370))*POWER(INslave,SIGN(EW370))</f>
        <v>2304</v>
      </c>
      <c r="FG370" s="234">
        <f>EW370*EW370*CHslave+EW370*INslave*EX370+INslave*EW370*EX370</f>
        <v>3456</v>
      </c>
      <c r="FH370" s="234">
        <f>EW370*EW370*EX370</f>
        <v>1728</v>
      </c>
      <c r="FI370" s="242">
        <f t="shared" si="4117"/>
        <v>7488</v>
      </c>
      <c r="FJ370" s="223">
        <f t="shared" si="4118"/>
        <v>3.6923076923076925</v>
      </c>
      <c r="FK370" s="223">
        <f t="shared" si="4119"/>
        <v>11.076923076923077</v>
      </c>
      <c r="FL370" s="223">
        <f t="shared" si="4120"/>
        <v>8.3076923076923084</v>
      </c>
      <c r="FM370" s="218">
        <f t="shared" si="4121"/>
        <v>23.07692307692308</v>
      </c>
      <c r="FN370" s="252">
        <f t="shared" si="4002"/>
        <v>0</v>
      </c>
      <c r="FO370" s="309">
        <f t="shared" si="4122"/>
        <v>23.07692307692308</v>
      </c>
      <c r="FP370" s="218">
        <f>IF(FM370&lt;=0,2,0)+IF(FM370&gt;0,FM370+1,0)*2+IF(FM370&gt;12,FM370-12,0)*2+IF(FM370&gt;13,FM370-13,0)*2+IF(FM370&gt;14,FM370-14,0)*2+IF(FM370&gt;15,FM370-15,0)*2+IF(FM370&gt;16,FM370-16,0)*2+IF(FM370&gt;17,FM370-17,0)*2+IF(FM370&gt;18,FM370-18,0)*2+IF(FM370&gt;19,FM370-19,0)*2+IF(FM370&gt;20,FM370-20,0)*2</f>
        <v>175.5384615384616</v>
      </c>
      <c r="FQ370" s="242">
        <f>IF(FN370&lt;=0,2,0)+IF(FN370&gt;0,FN370+1,0)*2+IF(FN370&gt;12,FN370-12,0)*2+IF(FN370&gt;13,FN370-13,0)*2+IF(FN370&gt;14,FN370-14,0)*2+IF(FN370&gt;15,FN370-15,0)*2+IF(FN370&gt;16,FN370-16,0)*2+IF(FN370&gt;17,FN370-17,0)*2+IF(FN370&gt;18,FN370-18,0)*2+IF(FN370&gt;19,FN370-19,0)*2+IF(FN370&gt;20,FN370-20,0)*2</f>
        <v>2</v>
      </c>
      <c r="FR370" s="243">
        <f t="shared" si="4124"/>
        <v>173.5384615384616</v>
      </c>
      <c r="FS370" s="218">
        <f t="shared" si="4125"/>
        <v>0</v>
      </c>
      <c r="FU370" s="303" t="s">
        <v>176</v>
      </c>
      <c r="FV370" s="218" t="s">
        <v>180</v>
      </c>
      <c r="FW370" s="218" t="s">
        <v>132</v>
      </c>
      <c r="FX370" s="234"/>
      <c r="FY370" s="234"/>
      <c r="FZ370" s="234">
        <f t="shared" si="4126"/>
        <v>12</v>
      </c>
      <c r="GA370" s="234">
        <f>Konvention_1slave-CHslave</f>
        <v>12</v>
      </c>
      <c r="GB370" s="234"/>
      <c r="GC370" s="234"/>
      <c r="GD370" s="234"/>
      <c r="GE370" s="234"/>
      <c r="GF370" s="222">
        <f>(FZ370+FZ370+GA370)/3</f>
        <v>12</v>
      </c>
      <c r="GG370" s="223">
        <f t="shared" si="4127"/>
        <v>24</v>
      </c>
      <c r="GH370" s="224">
        <f t="shared" si="4128"/>
        <v>36</v>
      </c>
      <c r="GI370" s="234">
        <f>FZ370*POWER(CHslave,SIGN(GA370))*POWER(INslave,SIGN(FZ370))+FZ370*POWER(CHslave,SIGN(GA370))*POWER(INslave,SIGN(FZ370))+GA370*POWER(INslave,SIGN(FZ370))*POWER(INslave,SIGN(FZ370))</f>
        <v>2304</v>
      </c>
      <c r="GJ370" s="234">
        <f>FZ370*FZ370*CHslave+FZ370*INslave*GA370+INslave*FZ370*GA370</f>
        <v>3456</v>
      </c>
      <c r="GK370" s="234">
        <f>FZ370*FZ370*GA370</f>
        <v>1728</v>
      </c>
      <c r="GL370" s="242">
        <f t="shared" si="4129"/>
        <v>7488</v>
      </c>
      <c r="GM370" s="223">
        <f t="shared" si="4130"/>
        <v>3.6923076923076925</v>
      </c>
      <c r="GN370" s="223">
        <f t="shared" si="4131"/>
        <v>11.076923076923077</v>
      </c>
      <c r="GO370" s="223">
        <f t="shared" si="4132"/>
        <v>8.3076923076923084</v>
      </c>
      <c r="GP370" s="218">
        <f t="shared" si="4133"/>
        <v>23.07692307692308</v>
      </c>
      <c r="GQ370" s="252">
        <f t="shared" si="4018"/>
        <v>0</v>
      </c>
      <c r="GR370" s="309">
        <f t="shared" si="4134"/>
        <v>23.07692307692308</v>
      </c>
      <c r="GS370" s="218">
        <f>IF(GP370&lt;=0,2,0)+IF(GP370&gt;0,GP370+1,0)*2+IF(GP370&gt;12,GP370-12,0)*2+IF(GP370&gt;13,GP370-13,0)*2+IF(GP370&gt;14,GP370-14,0)*2+IF(GP370&gt;15,GP370-15,0)*2+IF(GP370&gt;16,GP370-16,0)*2+IF(GP370&gt;17,GP370-17,0)*2+IF(GP370&gt;18,GP370-18,0)*2+IF(GP370&gt;19,GP370-19,0)*2+IF(GP370&gt;20,GP370-20,0)*2</f>
        <v>175.5384615384616</v>
      </c>
      <c r="GT370" s="242">
        <f>IF(GQ370&lt;=0,2,0)+IF(GQ370&gt;0,GQ370+1,0)*2+IF(GQ370&gt;12,GQ370-12,0)*2+IF(GQ370&gt;13,GQ370-13,0)*2+IF(GQ370&gt;14,GQ370-14,0)*2+IF(GQ370&gt;15,GQ370-15,0)*2+IF(GQ370&gt;16,GQ370-16,0)*2+IF(GQ370&gt;17,GQ370-17,0)*2+IF(GQ370&gt;18,GQ370-18,0)*2+IF(GQ370&gt;19,GQ370-19,0)*2+IF(GQ370&gt;20,GQ370-20,0)*2</f>
        <v>2</v>
      </c>
      <c r="GU370" s="243">
        <f t="shared" si="4136"/>
        <v>173.5384615384616</v>
      </c>
      <c r="GV370" s="218">
        <f t="shared" si="4137"/>
        <v>0</v>
      </c>
      <c r="GX370" s="303" t="s">
        <v>176</v>
      </c>
      <c r="GY370" s="218" t="s">
        <v>180</v>
      </c>
      <c r="GZ370" s="218" t="s">
        <v>132</v>
      </c>
      <c r="HA370" s="234"/>
      <c r="HB370" s="234"/>
      <c r="HC370" s="234">
        <f t="shared" si="4138"/>
        <v>12</v>
      </c>
      <c r="HD370" s="234">
        <f>Konvention_1slave-CHslave</f>
        <v>12</v>
      </c>
      <c r="HE370" s="234"/>
      <c r="HF370" s="234"/>
      <c r="HG370" s="234"/>
      <c r="HH370" s="234"/>
      <c r="HI370" s="222">
        <f>(HC370+HC370+HD370)/3</f>
        <v>12</v>
      </c>
      <c r="HJ370" s="223">
        <f t="shared" si="4139"/>
        <v>24</v>
      </c>
      <c r="HK370" s="224">
        <f t="shared" si="4140"/>
        <v>36</v>
      </c>
      <c r="HL370" s="234">
        <f>HC370*POWER(CHslave,SIGN(HD370))*POWER(INslave,SIGN(HC370))+HC370*POWER(CHslave,SIGN(HD370))*POWER(INslave,SIGN(HC370))+HD370*POWER(INslave,SIGN(HC370))*POWER(INslave,SIGN(HC370))</f>
        <v>2304</v>
      </c>
      <c r="HM370" s="234">
        <f>HC370*HC370*CHslave+HC370*INslave*HD370+INslave*HC370*HD370</f>
        <v>3456</v>
      </c>
      <c r="HN370" s="234">
        <f>HC370*HC370*HD370</f>
        <v>1728</v>
      </c>
      <c r="HO370" s="242">
        <f t="shared" si="4141"/>
        <v>7488</v>
      </c>
      <c r="HP370" s="223">
        <f t="shared" si="4142"/>
        <v>3.6923076923076925</v>
      </c>
      <c r="HQ370" s="223">
        <f t="shared" si="4143"/>
        <v>11.076923076923077</v>
      </c>
      <c r="HR370" s="223">
        <f t="shared" si="4144"/>
        <v>8.3076923076923084</v>
      </c>
      <c r="HS370" s="218">
        <f t="shared" si="4145"/>
        <v>23.07692307692308</v>
      </c>
      <c r="HT370" s="252">
        <f t="shared" si="4034"/>
        <v>0</v>
      </c>
      <c r="HU370" s="309">
        <f t="shared" si="4146"/>
        <v>23.07692307692308</v>
      </c>
      <c r="HV370" s="218">
        <f>IF(HS370&lt;=0,2,0)+IF(HS370&gt;0,HS370+1,0)*2+IF(HS370&gt;12,HS370-12,0)*2+IF(HS370&gt;13,HS370-13,0)*2+IF(HS370&gt;14,HS370-14,0)*2+IF(HS370&gt;15,HS370-15,0)*2+IF(HS370&gt;16,HS370-16,0)*2+IF(HS370&gt;17,HS370-17,0)*2+IF(HS370&gt;18,HS370-18,0)*2+IF(HS370&gt;19,HS370-19,0)*2+IF(HS370&gt;20,HS370-20,0)*2</f>
        <v>175.5384615384616</v>
      </c>
      <c r="HW370" s="242">
        <f>IF(HT370&lt;=0,2,0)+IF(HT370&gt;0,HT370+1,0)*2+IF(HT370&gt;12,HT370-12,0)*2+IF(HT370&gt;13,HT370-13,0)*2+IF(HT370&gt;14,HT370-14,0)*2+IF(HT370&gt;15,HT370-15,0)*2+IF(HT370&gt;16,HT370-16,0)*2+IF(HT370&gt;17,HT370-17,0)*2+IF(HT370&gt;18,HT370-18,0)*2+IF(HT370&gt;19,HT370-19,0)*2+IF(HT370&gt;20,HT370-20,0)*2</f>
        <v>2</v>
      </c>
      <c r="HX370" s="243">
        <f t="shared" si="4148"/>
        <v>173.5384615384616</v>
      </c>
      <c r="HY370" s="218">
        <f t="shared" si="4149"/>
        <v>0</v>
      </c>
      <c r="IA370" s="303" t="s">
        <v>176</v>
      </c>
      <c r="IB370" s="218" t="s">
        <v>180</v>
      </c>
      <c r="IC370" s="218" t="s">
        <v>132</v>
      </c>
      <c r="ID370" s="234"/>
      <c r="IE370" s="234"/>
      <c r="IF370" s="234">
        <f t="shared" si="4150"/>
        <v>12</v>
      </c>
      <c r="IG370" s="234">
        <f>Konvention_1slave-CHslave</f>
        <v>12</v>
      </c>
      <c r="IH370" s="234"/>
      <c r="II370" s="234"/>
      <c r="IJ370" s="234"/>
      <c r="IK370" s="234"/>
      <c r="IL370" s="222">
        <f>(IF370+IF370+IG370)/3</f>
        <v>12</v>
      </c>
      <c r="IM370" s="223">
        <f t="shared" si="4151"/>
        <v>24</v>
      </c>
      <c r="IN370" s="224">
        <f t="shared" si="4152"/>
        <v>36</v>
      </c>
      <c r="IO370" s="234">
        <f>IF370*POWER(CHslave,SIGN(IG370))*POWER(INslave,SIGN(IF370))+IF370*POWER(CHslave,SIGN(IG370))*POWER(INslave,SIGN(IF370))+IG370*POWER(INslave,SIGN(IF370))*POWER(INslave,SIGN(IF370))</f>
        <v>2304</v>
      </c>
      <c r="IP370" s="234">
        <f>IF370*IF370*CHslave+IF370*INslave*IG370+INslave*IF370*IG370</f>
        <v>3456</v>
      </c>
      <c r="IQ370" s="234">
        <f>IF370*IF370*IG370</f>
        <v>1728</v>
      </c>
      <c r="IR370" s="242">
        <f t="shared" si="4153"/>
        <v>7488</v>
      </c>
      <c r="IS370" s="223">
        <f t="shared" si="4154"/>
        <v>3.6923076923076925</v>
      </c>
      <c r="IT370" s="223">
        <f t="shared" si="4155"/>
        <v>11.076923076923077</v>
      </c>
      <c r="IU370" s="223">
        <f t="shared" si="4156"/>
        <v>8.3076923076923084</v>
      </c>
      <c r="IV370" s="218">
        <f t="shared" si="4157"/>
        <v>23.07692307692308</v>
      </c>
      <c r="IW370" s="252">
        <f t="shared" si="4050"/>
        <v>0</v>
      </c>
      <c r="IX370" s="309">
        <f t="shared" si="4158"/>
        <v>23.07692307692308</v>
      </c>
      <c r="IY370" s="218">
        <f>IF(IV370&lt;=0,2,0)+IF(IV370&gt;0,IV370+1,0)*2+IF(IV370&gt;12,IV370-12,0)*2+IF(IV370&gt;13,IV370-13,0)*2+IF(IV370&gt;14,IV370-14,0)*2+IF(IV370&gt;15,IV370-15,0)*2+IF(IV370&gt;16,IV370-16,0)*2+IF(IV370&gt;17,IV370-17,0)*2+IF(IV370&gt;18,IV370-18,0)*2+IF(IV370&gt;19,IV370-19,0)*2+IF(IV370&gt;20,IV370-20,0)*2</f>
        <v>175.5384615384616</v>
      </c>
      <c r="IZ370" s="242">
        <f>IF(IW370&lt;=0,2,0)+IF(IW370&gt;0,IW370+1,0)*2+IF(IW370&gt;12,IW370-12,0)*2+IF(IW370&gt;13,IW370-13,0)*2+IF(IW370&gt;14,IW370-14,0)*2+IF(IW370&gt;15,IW370-15,0)*2+IF(IW370&gt;16,IW370-16,0)*2+IF(IW370&gt;17,IW370-17,0)*2+IF(IW370&gt;18,IW370-18,0)*2+IF(IW370&gt;19,IW370-19,0)*2+IF(IW370&gt;20,IW370-20,0)*2</f>
        <v>2</v>
      </c>
      <c r="JA370" s="243">
        <f t="shared" si="4160"/>
        <v>173.5384615384616</v>
      </c>
      <c r="JB370" s="218">
        <f t="shared" si="4161"/>
        <v>0</v>
      </c>
      <c r="JE370" s="148"/>
    </row>
    <row r="371" spans="2:265" hidden="1" outlineLevel="2">
      <c r="B371" s="148">
        <v>5</v>
      </c>
      <c r="C371" s="303" t="e">
        <f>VLOOKUP(AF371,Attribute!C:T,1,FALSE)</f>
        <v>#N/A</v>
      </c>
      <c r="D371" s="125" t="s">
        <v>100</v>
      </c>
      <c r="E371" s="125" t="s">
        <v>133</v>
      </c>
      <c r="F371" s="113">
        <f>Konvention_1master-MUmaster</f>
        <v>12</v>
      </c>
      <c r="G371" s="113"/>
      <c r="H371" s="113">
        <f>Konvention_1master-INmaster</f>
        <v>12</v>
      </c>
      <c r="I371" s="113"/>
      <c r="J371" s="113"/>
      <c r="K371" s="113"/>
      <c r="L371" s="113">
        <f>Konvention_1master-KOmaster</f>
        <v>12</v>
      </c>
      <c r="M371" s="113"/>
      <c r="N371" s="222">
        <f>(F371+G371+H371+I371+J371+K371+L371+M371)/3</f>
        <v>12</v>
      </c>
      <c r="O371" s="223">
        <f t="shared" si="4056"/>
        <v>24</v>
      </c>
      <c r="P371" s="224">
        <f t="shared" si="4057"/>
        <v>36</v>
      </c>
      <c r="Q371" s="234">
        <f>F371*POWER(KLmaster,SIGN(G371))*POWER(INmaster,SIGN(H371))*POWER(CHmaster,SIGN(I371))*POWER(FFmaster,SIGN(J371))*POWER(GEmaster,SIGN(K371))*POWER(KOmaster,SIGN(L371))*POWER(KKmaster,SIGN(M371))+G371*POWER(MUmaster,SIGN(F371))*POWER(INmaster,SIGN(H371))*POWER(CHmaster,SIGN(I371))*POWER(FFmaster,SIGN(J371))*POWER(GEmaster,SIGN(K371))*POWER(KOmaster,SIGN(L371))*POWER(KKmaster,SIGN(M371))+H371*POWER(MUmaster,SIGN(F371))*POWER(KLmaster,SIGN(G371))*POWER(CHmaster,SIGN(I371))*POWER(FFmaster,SIGN(J371))*POWER(GEmaster,SIGN(K371))*POWER(KOmaster,SIGN(L371))*POWER(KKmaster,SIGN(M371))+I371*POWER(MUmaster,SIGN(F371))*POWER(KLmaster,SIGN(G371))*POWER(INmaster,SIGN(H371))*POWER(FFmaster,SIGN(J371))*POWER(GEmaster,SIGN(K371))*POWER(KOmaster,SIGN(L371))*POWER(KKmaster,SIGN(M371))+J371*POWER(MUmaster,SIGN(F371))*POWER(KLmaster,SIGN(G371))*POWER(INmaster,SIGN(H371))*POWER(CHmaster,SIGN(I371))*POWER(GEmaster,SIGN(K371))*POWER(KOmaster,SIGN(L371))*POWER(KKmaster,SIGN(M371))+K371*POWER(MUmaster,SIGN(F371))*POWER(KLmaster,SIGN(G371))*POWER(INmaster,SIGN(H371))*POWER(CHmaster,SIGN(I371))*POWER(FFmaster,SIGN(J371))*POWER(KOmaster,SIGN(L371))*POWER(KKmaster,SIGN(M371))+L371*POWER(MUmaster,SIGN(F371))*POWER(KLmaster,SIGN(G371))*POWER(INmaster,SIGN(H371))*POWER(CHmaster,SIGN(I371))*POWER(FFmaster,SIGN(J371))*POWER(GEmaster,SIGN(K371))*POWER(KKmaster,SIGN(M371))+M371*POWER(MUmaster,SIGN(F371))*POWER(KLmaster,SIGN(G371))*POWER(INmaster,SIGN(H371))*POWER(CHmaster,SIGN(I371))*POWER(FFmaster,SIGN(J371))*POWER(GEmaster,SIGN(K371))*POWER(KOmaster,SIGN(L371))</f>
        <v>2304</v>
      </c>
      <c r="R371" s="113">
        <f>F371*H371*KOmaster+F371*INmaster*L371+MUmaster*H371*L371</f>
        <v>3456</v>
      </c>
      <c r="S371" s="234">
        <f>IFERROR(F371^SIGN(F371),1)*IFERROR(G371^SIGN(G371),1)*IFERROR(H371^SIGN(H371),1)*IFERROR(I371^SIGN(I371),1)*IFERROR(J371^SIGN(J371),1)*IFERROR(K371^SIGN(K371),1)*IFERROR(L371^SIGN(L371),1)*IFERROR(M371^SIGN(M371),1)</f>
        <v>1728</v>
      </c>
      <c r="T371" s="242">
        <f>SUM(Q371:S371)</f>
        <v>7488</v>
      </c>
      <c r="U371" s="223">
        <f t="shared" si="4059"/>
        <v>3.6923076923076925</v>
      </c>
      <c r="V371" s="223">
        <f t="shared" si="4060"/>
        <v>11.076923076923077</v>
      </c>
      <c r="W371" s="223">
        <f t="shared" si="4061"/>
        <v>8.3076923076923084</v>
      </c>
      <c r="X371" s="218">
        <f t="shared" si="4062"/>
        <v>23.07692307692308</v>
      </c>
      <c r="Y371" s="252">
        <v>0</v>
      </c>
      <c r="Z371" s="198">
        <f t="shared" si="4063"/>
        <v>23.07692307692308</v>
      </c>
      <c r="AA371" s="125">
        <f>IF(X371&lt;=0,1,0)+IF(X371&gt;0,X371+1,0)*1+IF(X371&gt;12,X371-12,0)*1+IF(X371&gt;13,X371-13,0)*1+IF(X371&gt;14,X371-14,0)*1+IF(X371&gt;15,X371-15,0)*1+IF(X371&gt;16,X371-16,0)*1+IF(X371&gt;17,X371-17,0)*1+IF(X371&gt;18,X371-18,0)*1+IF(X371&gt;19,X371-19,0)*1+IF(X371&gt;20,X371-20,0)*1</f>
        <v>87.769230769230802</v>
      </c>
      <c r="AB371" s="160">
        <f>IF(Y371&lt;=0,1,0)+IF(Y371&gt;0,Y371+1,0)*1+IF(Y371&gt;12,Y371-12,0)*1+IF(Y371&gt;13,Y371-13,0)*1+IF(Y371&gt;14,Y371-14,0)*1+IF(Y371&gt;15,Y371-15,0)*1+IF(Y371&gt;16,Y371-16,0)*1+IF(Y371&gt;17,Y371-17,0)*1+IF(Y371&gt;18,Y371-18,0)*1+IF(Y371&gt;19,Y371-19,0)*1+IF(Y371&gt;20,Y371-20,0)*1</f>
        <v>1</v>
      </c>
      <c r="AC371" s="127">
        <f t="shared" si="4065"/>
        <v>86.769230769230802</v>
      </c>
      <c r="AD371" s="125">
        <f t="shared" si="4066"/>
        <v>0</v>
      </c>
      <c r="AF371" s="163" t="s">
        <v>428</v>
      </c>
      <c r="AG371" s="125" t="s">
        <v>100</v>
      </c>
      <c r="AH371" s="125" t="s">
        <v>133</v>
      </c>
      <c r="AI371" s="113">
        <f>Konvention_1slave-MUslave_MU</f>
        <v>11</v>
      </c>
      <c r="AJ371" s="113"/>
      <c r="AK371" s="113">
        <f>Konvention_1slave-INslave</f>
        <v>12</v>
      </c>
      <c r="AL371" s="113"/>
      <c r="AM371" s="113"/>
      <c r="AN371" s="113"/>
      <c r="AO371" s="113">
        <f>Konvention_1slave-KOslave</f>
        <v>12</v>
      </c>
      <c r="AP371" s="113"/>
      <c r="AQ371" s="89">
        <f>(AI371+AJ371+AK371+AL371+AM371+AN371+AO371+AP371)/3</f>
        <v>11.666666666666666</v>
      </c>
      <c r="AR371" s="47">
        <f t="shared" si="4068"/>
        <v>23.333333333333332</v>
      </c>
      <c r="AS371" s="119">
        <f t="shared" si="4069"/>
        <v>35</v>
      </c>
      <c r="AT371" s="113">
        <f>AI371*POWER(KLslave,SIGN(AJ371))*POWER(INslave,SIGN(AK371))*POWER(CHslave,SIGN(AL371))*POWER(FFslave,SIGN(AM371))*POWER(GEslave,SIGN(AN371))*POWER(KOslave,SIGN(AO371))*POWER(KKslave,SIGN(AP371))+AJ371*POWER(MUslave_MU,SIGN(AI371))*POWER(INslave,SIGN(AK371))*POWER(CHslave,SIGN(AL371))*POWER(FFslave,SIGN(AM371))*POWER(GEslave,SIGN(AN371))*POWER(KOslave,SIGN(AO371))*POWER(KKslave,SIGN(AP371))+AK371*POWER(MUslave_MU,SIGN(AI371))*POWER(KLslave,SIGN(AJ371))*POWER(CHslave,SIGN(AL371))*POWER(FFslave,SIGN(AM371))*POWER(GEslave,SIGN(AN371))*POWER(KOslave,SIGN(AO371))*POWER(KKslave,SIGN(AP371))+AL371*POWER(MUslave_MU,SIGN(AI371))*POWER(KLslave,SIGN(AJ371))*POWER(INslave,SIGN(AK371))*POWER(FFslave,SIGN(AM371))*POWER(GEslave,SIGN(AN371))*POWER(KOslave,SIGN(AO371))*POWER(KKslave,SIGN(AP371))+AM371*POWER(MUslave_MU,SIGN(AI371))*POWER(KLslave,SIGN(AJ371))*POWER(INslave,SIGN(AK371))*POWER(CHslave,SIGN(AL371))*POWER(GEslave,SIGN(AN371))*POWER(KOslave,SIGN(AO371))*POWER(KKslave,SIGN(AP371))+AN371*POWER(MUslave_MU,SIGN(AI371))*POWER(KLslave,SIGN(AJ371))*POWER(INslave,SIGN(AK371))*POWER(CHslave,SIGN(AL371))*POWER(FFslave,SIGN(AM371))*POWER(KOslave,SIGN(AO371))*POWER(KKslave,SIGN(AP371))+AO371*POWER(MUslave_MU,SIGN(AI371))*POWER(KLslave,SIGN(AJ371))*POWER(INslave,SIGN(AK371))*POWER(CHslave,SIGN(AL371))*POWER(FFslave,SIGN(AM371))*POWER(GEslave,SIGN(AN371))*POWER(KKslave,SIGN(AP371))+AP371*POWER(MUslave_MU,SIGN(AI371))*POWER(KLslave,SIGN(AJ371))*POWER(INslave,SIGN(AK371))*POWER(CHslave,SIGN(AL371))*POWER(FFslave,SIGN(AM371))*POWER(GEslave,SIGN(AN371))*POWER(KOslave,SIGN(AO371))</f>
        <v>2432</v>
      </c>
      <c r="AU371" s="113">
        <f>AI371*AK371*KOslave+AI371*INslave*AO371+MUslave_MU*AK371*AO371</f>
        <v>3408</v>
      </c>
      <c r="AV371" s="113">
        <f>IFERROR(AI371^SIGN(AI371),1)*IFERROR(AJ371^SIGN(AJ371),1)*IFERROR(AK371^SIGN(AK371),1)*IFERROR(AL371^SIGN(AL371),1)*IFERROR(AM371^SIGN(AM371),1)*IFERROR(AN371^SIGN(AN371),1)*IFERROR(AO371^SIGN(AO371),1)*IFERROR(AP371^SIGN(AP371),1)</f>
        <v>1584</v>
      </c>
      <c r="AW371" s="160">
        <f>SUM(AT371:AV371)</f>
        <v>7424</v>
      </c>
      <c r="AX371" s="47">
        <f t="shared" si="4071"/>
        <v>3.8218390804597702</v>
      </c>
      <c r="AY371" s="47">
        <f t="shared" si="4072"/>
        <v>10.711206896551724</v>
      </c>
      <c r="AZ371" s="47">
        <f t="shared" si="4073"/>
        <v>7.4676724137931032</v>
      </c>
      <c r="BA371" s="125">
        <f t="shared" si="4074"/>
        <v>22.000718390804597</v>
      </c>
      <c r="BB371" s="165">
        <f t="shared" si="3938"/>
        <v>0</v>
      </c>
      <c r="BC371" s="198">
        <f t="shared" si="4075"/>
        <v>22.000718390804597</v>
      </c>
      <c r="BD371" s="125">
        <f>IF(BA371&lt;=0,1,0)+IF(BA371&gt;0,BA371+1,0)*1+IF(BA371&gt;12,BA371-12,0)*1+IF(BA371&gt;13,BA371-13,0)*1+IF(BA371&gt;14,BA371-14,0)*1+IF(BA371&gt;15,BA371-15,0)*1+IF(BA371&gt;16,BA371-16,0)*1+IF(BA371&gt;17,BA371-17,0)*1+IF(BA371&gt;18,BA371-18,0)*1+IF(BA371&gt;19,BA371-19,0)*1+IF(BA371&gt;20,BA371-20,0)*1</f>
        <v>77.007183908045945</v>
      </c>
      <c r="BE371" s="160">
        <f>IF(BB371&lt;=0,1,0)+IF(BB371&gt;0,BB371+1,0)*1+IF(BB371&gt;12,BB371-12,0)*1+IF(BB371&gt;13,BB371-13,0)*1+IF(BB371&gt;14,BB371-14,0)*1+IF(BB371&gt;15,BB371-15,0)*1+IF(BB371&gt;16,BB371-16,0)*1+IF(BB371&gt;17,BB371-17,0)*1+IF(BB371&gt;18,BB371-18,0)*1+IF(BB371&gt;19,BB371-19,0)*1+IF(BB371&gt;20,BB371-20,0)*1</f>
        <v>1</v>
      </c>
      <c r="BF371" s="243">
        <f t="shared" si="4077"/>
        <v>76.007183908045945</v>
      </c>
      <c r="BG371" s="218">
        <f t="shared" si="4078"/>
        <v>0</v>
      </c>
      <c r="BI371" s="303" t="s">
        <v>428</v>
      </c>
      <c r="BJ371" s="218" t="s">
        <v>100</v>
      </c>
      <c r="BK371" s="218" t="s">
        <v>133</v>
      </c>
      <c r="BL371" s="234">
        <f>Konvention_1slave-MUslave</f>
        <v>12</v>
      </c>
      <c r="BM371" s="234"/>
      <c r="BN371" s="234">
        <f>Konvention_1slave-INslave</f>
        <v>12</v>
      </c>
      <c r="BO371" s="234"/>
      <c r="BP371" s="234"/>
      <c r="BQ371" s="234"/>
      <c r="BR371" s="234">
        <f>Konvention_1slave-KOslave</f>
        <v>12</v>
      </c>
      <c r="BS371" s="234"/>
      <c r="BT371" s="222">
        <f>(BL371+BM371+BN371+BO371+BP371+BQ371+BR371+BS371)/3</f>
        <v>12</v>
      </c>
      <c r="BU371" s="223">
        <f t="shared" si="4080"/>
        <v>24</v>
      </c>
      <c r="BV371" s="224">
        <f t="shared" si="4081"/>
        <v>36</v>
      </c>
      <c r="BW371" s="234">
        <f>BL371*POWER(KLslave_KL,SIGN(BM371))*POWER(INslave,SIGN(BN371))*POWER(CHslave,SIGN(BO371))*POWER(FFslave,SIGN(BP371))*POWER(GEslave,SIGN(BQ371))*POWER(KOslave,SIGN(BR371))*POWER(KKslave,SIGN(BS371))+BM371*POWER(MUslave,SIGN(BL371))*POWER(INslave,SIGN(BN371))*POWER(CHslave,SIGN(BO371))*POWER(FFslave,SIGN(BP371))*POWER(GEslave,SIGN(BQ371))*POWER(KOslave,SIGN(BR371))*POWER(KKslave,SIGN(BS371))+BN371*POWER(MUslave,SIGN(BL371))*POWER(KLslave_KL,SIGN(BM371))*POWER(CHslave,SIGN(BO371))*POWER(FFslave,SIGN(BP371))*POWER(GEslave,SIGN(BQ371))*POWER(KOslave,SIGN(BR371))*POWER(KKslave,SIGN(BS371))+BO371*POWER(MUslave,SIGN(BL371))*POWER(KLslave_KL,SIGN(BM371))*POWER(INslave,SIGN(BN371))*POWER(FFslave,SIGN(BP371))*POWER(GEslave,SIGN(BQ371))*POWER(KOslave,SIGN(BR371))*POWER(KKslave,SIGN(BS371))+BP371*POWER(MUslave,SIGN(BL371))*POWER(KLslave_KL,SIGN(BM371))*POWER(INslave,SIGN(BN371))*POWER(CHslave,SIGN(BO371))*POWER(GEslave,SIGN(BQ371))*POWER(KOslave,SIGN(BR371))*POWER(KKslave,SIGN(BS371))+BQ371*POWER(MUslave,SIGN(BL371))*POWER(KLslave_KL,SIGN(BM371))*POWER(INslave,SIGN(BN371))*POWER(CHslave,SIGN(BO371))*POWER(FFslave,SIGN(BP371))*POWER(KOslave,SIGN(BR371))*POWER(KKslave,SIGN(BS371))+BR371*POWER(MUslave,SIGN(BL371))*POWER(KLslave_KL,SIGN(BM371))*POWER(INslave,SIGN(BN371))*POWER(CHslave,SIGN(BO371))*POWER(FFslave,SIGN(BP371))*POWER(GEslave,SIGN(BQ371))*POWER(KKslave,SIGN(BS371))+BS371*POWER(MUslave,SIGN(BL371))*POWER(KLslave_KL,SIGN(BM371))*POWER(INslave,SIGN(BN371))*POWER(CHslave,SIGN(BO371))*POWER(FFslave,SIGN(BP371))*POWER(GEslave,SIGN(BQ371))*POWER(KOslave,SIGN(BR371))</f>
        <v>2304</v>
      </c>
      <c r="BX371" s="234">
        <f>BL371*BN371*KOslave+BL371*INslave*BR371+MUslave*BN371*BR371</f>
        <v>3456</v>
      </c>
      <c r="BY371" s="234">
        <f>IFERROR(BL371^SIGN(BL371),1)*IFERROR(BM371^SIGN(BM371),1)*IFERROR(BN371^SIGN(BN371),1)*IFERROR(BO371^SIGN(BO371),1)*IFERROR(BP371^SIGN(BP371),1)*IFERROR(BQ371^SIGN(BQ371),1)*IFERROR(BR371^SIGN(BR371),1)*IFERROR(BS371^SIGN(BS371),1)</f>
        <v>1728</v>
      </c>
      <c r="BZ371" s="242">
        <f>SUM(BW371:BY371)</f>
        <v>7488</v>
      </c>
      <c r="CA371" s="223">
        <f t="shared" si="4083"/>
        <v>3.6923076923076925</v>
      </c>
      <c r="CB371" s="223">
        <f t="shared" si="4084"/>
        <v>11.076923076923077</v>
      </c>
      <c r="CC371" s="223">
        <f t="shared" si="4085"/>
        <v>8.3076923076923084</v>
      </c>
      <c r="CD371" s="218">
        <f t="shared" si="4086"/>
        <v>23.07692307692308</v>
      </c>
      <c r="CE371" s="252">
        <f t="shared" si="3954"/>
        <v>0</v>
      </c>
      <c r="CF371" s="309">
        <f t="shared" si="4087"/>
        <v>23.07692307692308</v>
      </c>
      <c r="CG371" s="218">
        <f>IF(CD371&lt;=0,1,0)+IF(CD371&gt;0,CD371+1,0)*1+IF(CD371&gt;12,CD371-12,0)*1+IF(CD371&gt;13,CD371-13,0)*1+IF(CD371&gt;14,CD371-14,0)*1+IF(CD371&gt;15,CD371-15,0)*1+IF(CD371&gt;16,CD371-16,0)*1+IF(CD371&gt;17,CD371-17,0)*1+IF(CD371&gt;18,CD371-18,0)*1+IF(CD371&gt;19,CD371-19,0)*1+IF(CD371&gt;20,CD371-20,0)*1</f>
        <v>87.769230769230802</v>
      </c>
      <c r="CH371" s="242">
        <f>IF(CE371&lt;=0,1,0)+IF(CE371&gt;0,CE371+1,0)*1+IF(CE371&gt;12,CE371-12,0)*1+IF(CE371&gt;13,CE371-13,0)*1+IF(CE371&gt;14,CE371-14,0)*1+IF(CE371&gt;15,CE371-15,0)*1+IF(CE371&gt;16,CE371-16,0)*1+IF(CE371&gt;17,CE371-17,0)*1+IF(CE371&gt;18,CE371-18,0)*1+IF(CE371&gt;19,CE371-19,0)*1+IF(CE371&gt;20,CE371-20,0)*1</f>
        <v>1</v>
      </c>
      <c r="CI371" s="243">
        <f t="shared" si="4089"/>
        <v>86.769230769230802</v>
      </c>
      <c r="CJ371" s="218">
        <f t="shared" si="4090"/>
        <v>0</v>
      </c>
      <c r="CL371" s="303" t="s">
        <v>428</v>
      </c>
      <c r="CM371" s="218" t="s">
        <v>100</v>
      </c>
      <c r="CN371" s="218" t="s">
        <v>133</v>
      </c>
      <c r="CO371" s="234">
        <f>Konvention_1slave-MUslave</f>
        <v>12</v>
      </c>
      <c r="CP371" s="234"/>
      <c r="CQ371" s="234">
        <f>Konvention_1slave-INslave_IN</f>
        <v>11</v>
      </c>
      <c r="CR371" s="234"/>
      <c r="CS371" s="234"/>
      <c r="CT371" s="234"/>
      <c r="CU371" s="234">
        <f>Konvention_1slave-KOslave</f>
        <v>12</v>
      </c>
      <c r="CV371" s="234"/>
      <c r="CW371" s="222">
        <f>(CO371+CP371+CQ371+CR371+CS371+CT371+CU371+CV371)/3</f>
        <v>11.666666666666666</v>
      </c>
      <c r="CX371" s="223">
        <f t="shared" si="4091"/>
        <v>23.333333333333332</v>
      </c>
      <c r="CY371" s="224">
        <f t="shared" si="4092"/>
        <v>35</v>
      </c>
      <c r="CZ371" s="234">
        <f>CO371*POWER(KLslave,SIGN(CP371))*POWER(INslave_IN,SIGN(CQ371))*POWER(CHslave,SIGN(CR371))*POWER(FFslave,SIGN(CS371))*POWER(GEslave,SIGN(CT371))*POWER(KOslave,SIGN(CU371))*POWER(KKslave,SIGN(CV371))+CP371*POWER(MUslave,SIGN(CO371))*POWER(INslave_IN,SIGN(CQ371))*POWER(CHslave,SIGN(CR371))*POWER(FFslave,SIGN(CS371))*POWER(GEslave,SIGN(CT371))*POWER(KOslave,SIGN(CU371))*POWER(KKslave,SIGN(CV371))+CQ371*POWER(MUslave,SIGN(CO371))*POWER(KLslave,SIGN(CP371))*POWER(CHslave,SIGN(CR371))*POWER(FFslave,SIGN(CS371))*POWER(GEslave,SIGN(CT371))*POWER(KOslave,SIGN(CU371))*POWER(KKslave,SIGN(CV371))+CR371*POWER(MUslave,SIGN(CO371))*POWER(KLslave,SIGN(CP371))*POWER(INslave_IN,SIGN(CQ371))*POWER(FFslave,SIGN(CS371))*POWER(GEslave,SIGN(CT371))*POWER(KOslave,SIGN(CU371))*POWER(KKslave,SIGN(CV371))+CS371*POWER(MUslave,SIGN(CO371))*POWER(KLslave,SIGN(CP371))*POWER(INslave_IN,SIGN(CQ371))*POWER(CHslave,SIGN(CR371))*POWER(GEslave,SIGN(CT371))*POWER(KOslave,SIGN(CU371))*POWER(KKslave,SIGN(CV371))+CT371*POWER(MUslave,SIGN(CO371))*POWER(KLslave,SIGN(CP371))*POWER(INslave_IN,SIGN(CQ371))*POWER(CHslave,SIGN(CR371))*POWER(FFslave,SIGN(CS371))*POWER(KOslave,SIGN(CU371))*POWER(KKslave,SIGN(CV371))+CU371*POWER(MUslave,SIGN(CO371))*POWER(KLslave,SIGN(CP371))*POWER(INslave_IN,SIGN(CQ371))*POWER(CHslave,SIGN(CR371))*POWER(FFslave,SIGN(CS371))*POWER(GEslave,SIGN(CT371))*POWER(KKslave,SIGN(CV371))+CV371*POWER(MUslave,SIGN(CO371))*POWER(KLslave,SIGN(CP371))*POWER(INslave_IN,SIGN(CQ371))*POWER(CHslave,SIGN(CR371))*POWER(FFslave,SIGN(CS371))*POWER(GEslave,SIGN(CT371))*POWER(KOslave,SIGN(CU371))</f>
        <v>2432</v>
      </c>
      <c r="DA371" s="234">
        <f>CO371*CQ371*KOslave+CO371*INslave_IN*CU371+MUslave*CQ371*CU371</f>
        <v>3408</v>
      </c>
      <c r="DB371" s="234">
        <f>IFERROR(CO371^SIGN(CO371),1)*IFERROR(CP371^SIGN(CP371),1)*IFERROR(CQ371^SIGN(CQ371),1)*IFERROR(CR371^SIGN(CR371),1)*IFERROR(CS371^SIGN(CS371),1)*IFERROR(CT371^SIGN(CT371),1)*IFERROR(CU371^SIGN(CU371),1)*IFERROR(CV371^SIGN(CV371),1)</f>
        <v>1584</v>
      </c>
      <c r="DC371" s="242">
        <f>SUM(CZ371:DB371)</f>
        <v>7424</v>
      </c>
      <c r="DD371" s="223">
        <f t="shared" si="4094"/>
        <v>3.8218390804597702</v>
      </c>
      <c r="DE371" s="223">
        <f t="shared" si="4095"/>
        <v>10.711206896551724</v>
      </c>
      <c r="DF371" s="223">
        <f t="shared" si="4096"/>
        <v>7.4676724137931032</v>
      </c>
      <c r="DG371" s="218">
        <f t="shared" si="4097"/>
        <v>22.000718390804597</v>
      </c>
      <c r="DH371" s="252">
        <f t="shared" si="3970"/>
        <v>0</v>
      </c>
      <c r="DI371" s="309">
        <f t="shared" si="4098"/>
        <v>22.000718390804597</v>
      </c>
      <c r="DJ371" s="218">
        <f>IF(DG371&lt;=0,1,0)+IF(DG371&gt;0,DG371+1,0)*1+IF(DG371&gt;12,DG371-12,0)*1+IF(DG371&gt;13,DG371-13,0)*1+IF(DG371&gt;14,DG371-14,0)*1+IF(DG371&gt;15,DG371-15,0)*1+IF(DG371&gt;16,DG371-16,0)*1+IF(DG371&gt;17,DG371-17,0)*1+IF(DG371&gt;18,DG371-18,0)*1+IF(DG371&gt;19,DG371-19,0)*1+IF(DG371&gt;20,DG371-20,0)*1</f>
        <v>77.007183908045945</v>
      </c>
      <c r="DK371" s="242">
        <f>IF(DH371&lt;=0,1,0)+IF(DH371&gt;0,DH371+1,0)*1+IF(DH371&gt;12,DH371-12,0)*1+IF(DH371&gt;13,DH371-13,0)*1+IF(DH371&gt;14,DH371-14,0)*1+IF(DH371&gt;15,DH371-15,0)*1+IF(DH371&gt;16,DH371-16,0)*1+IF(DH371&gt;17,DH371-17,0)*1+IF(DH371&gt;18,DH371-18,0)*1+IF(DH371&gt;19,DH371-19,0)*1+IF(DH371&gt;20,DH371-20,0)*1</f>
        <v>1</v>
      </c>
      <c r="DL371" s="243">
        <f t="shared" si="4100"/>
        <v>76.007183908045945</v>
      </c>
      <c r="DM371" s="218">
        <f t="shared" si="4101"/>
        <v>0</v>
      </c>
      <c r="DO371" s="303" t="s">
        <v>428</v>
      </c>
      <c r="DP371" s="218" t="s">
        <v>100</v>
      </c>
      <c r="DQ371" s="218" t="s">
        <v>133</v>
      </c>
      <c r="DR371" s="234">
        <f>Konvention_1slave-MUslave</f>
        <v>12</v>
      </c>
      <c r="DS371" s="234"/>
      <c r="DT371" s="234">
        <f>Konvention_1slave-INslave</f>
        <v>12</v>
      </c>
      <c r="DU371" s="234"/>
      <c r="DV371" s="234"/>
      <c r="DW371" s="234"/>
      <c r="DX371" s="234">
        <f>Konvention_1slave-KOslave</f>
        <v>12</v>
      </c>
      <c r="DY371" s="234"/>
      <c r="DZ371" s="222">
        <f>(DR371+DS371+DT371+DU371+DV371+DW371+DX371+DY371)/3</f>
        <v>12</v>
      </c>
      <c r="EA371" s="223">
        <f t="shared" si="4103"/>
        <v>24</v>
      </c>
      <c r="EB371" s="224">
        <f t="shared" si="4104"/>
        <v>36</v>
      </c>
      <c r="EC371" s="234">
        <f>DR371*POWER(KLslave,SIGN(DS371))*POWER(INslave,SIGN(DT371))*POWER(CHslave_CH,SIGN(DU371))*POWER(FFslave,SIGN(DV371))*POWER(GEslave,SIGN(DW371))*POWER(KOslave,SIGN(DX371))*POWER(KKslave,SIGN(DY371))+DS371*POWER(MUslave,SIGN(DR371))*POWER(INslave,SIGN(DT371))*POWER(CHslave_CH,SIGN(DU371))*POWER(FFslave,SIGN(DV371))*POWER(GEslave,SIGN(DW371))*POWER(KOslave,SIGN(DX371))*POWER(KKslave,SIGN(DY371))+DT371*POWER(MUslave,SIGN(DR371))*POWER(KLslave,SIGN(DS371))*POWER(CHslave_CH,SIGN(DU371))*POWER(FFslave,SIGN(DV371))*POWER(GEslave,SIGN(DW371))*POWER(KOslave,SIGN(DX371))*POWER(KKslave,SIGN(DY371))+DU371*POWER(MUslave,SIGN(DR371))*POWER(KLslave,SIGN(DS371))*POWER(INslave,SIGN(DT371))*POWER(FFslave,SIGN(DV371))*POWER(GEslave,SIGN(DW371))*POWER(KOslave,SIGN(DX371))*POWER(KKslave,SIGN(DY371))+DV371*POWER(MUslave,SIGN(DR371))*POWER(KLslave,SIGN(DS371))*POWER(INslave,SIGN(DT371))*POWER(CHslave_CH,SIGN(DU371))*POWER(GEslave,SIGN(DW371))*POWER(KOslave,SIGN(DX371))*POWER(KKslave,SIGN(DY371))+DW371*POWER(MUslave,SIGN(DR371))*POWER(KLslave,SIGN(DS371))*POWER(INslave,SIGN(DT371))*POWER(CHslave_CH,SIGN(DU371))*POWER(FFslave,SIGN(DV371))*POWER(KOslave,SIGN(DX371))*POWER(KKslave,SIGN(DY371))+DX371*POWER(MUslave,SIGN(DR371))*POWER(KLslave,SIGN(DS371))*POWER(INslave,SIGN(DT371))*POWER(CHslave_CH,SIGN(DU371))*POWER(FFslave,SIGN(DV371))*POWER(GEslave,SIGN(DW371))*POWER(KKslave,SIGN(DY371))+DY371*POWER(MUslave,SIGN(DR371))*POWER(KLslave,SIGN(DS371))*POWER(INslave,SIGN(DT371))*POWER(CHslave_CH,SIGN(DU371))*POWER(FFslave,SIGN(DV371))*POWER(GEslave,SIGN(DW371))*POWER(KOslave,SIGN(DX371))</f>
        <v>2304</v>
      </c>
      <c r="ED371" s="234">
        <f>DR371*DT371*KOslave+DR371*INslave*DX371+MUslave*DT371*DX371</f>
        <v>3456</v>
      </c>
      <c r="EE371" s="234">
        <f>IFERROR(DR371^SIGN(DR371),1)*IFERROR(DS371^SIGN(DS371),1)*IFERROR(DT371^SIGN(DT371),1)*IFERROR(DU371^SIGN(DU371),1)*IFERROR(DV371^SIGN(DV371),1)*IFERROR(DW371^SIGN(DW371),1)*IFERROR(DX371^SIGN(DX371),1)*IFERROR(DY371^SIGN(DY371),1)</f>
        <v>1728</v>
      </c>
      <c r="EF371" s="242">
        <f>SUM(EC371:EE371)</f>
        <v>7488</v>
      </c>
      <c r="EG371" s="223">
        <f t="shared" si="4106"/>
        <v>3.6923076923076925</v>
      </c>
      <c r="EH371" s="223">
        <f t="shared" si="4107"/>
        <v>11.076923076923077</v>
      </c>
      <c r="EI371" s="223">
        <f t="shared" si="4108"/>
        <v>8.3076923076923084</v>
      </c>
      <c r="EJ371" s="218">
        <f t="shared" si="4109"/>
        <v>23.07692307692308</v>
      </c>
      <c r="EK371" s="252">
        <f t="shared" si="3986"/>
        <v>0</v>
      </c>
      <c r="EL371" s="309">
        <f t="shared" si="4110"/>
        <v>23.07692307692308</v>
      </c>
      <c r="EM371" s="218">
        <f>IF(EJ371&lt;=0,1,0)+IF(EJ371&gt;0,EJ371+1,0)*1+IF(EJ371&gt;12,EJ371-12,0)*1+IF(EJ371&gt;13,EJ371-13,0)*1+IF(EJ371&gt;14,EJ371-14,0)*1+IF(EJ371&gt;15,EJ371-15,0)*1+IF(EJ371&gt;16,EJ371-16,0)*1+IF(EJ371&gt;17,EJ371-17,0)*1+IF(EJ371&gt;18,EJ371-18,0)*1+IF(EJ371&gt;19,EJ371-19,0)*1+IF(EJ371&gt;20,EJ371-20,0)*1</f>
        <v>87.769230769230802</v>
      </c>
      <c r="EN371" s="242">
        <f>IF(EK371&lt;=0,1,0)+IF(EK371&gt;0,EK371+1,0)*1+IF(EK371&gt;12,EK371-12,0)*1+IF(EK371&gt;13,EK371-13,0)*1+IF(EK371&gt;14,EK371-14,0)*1+IF(EK371&gt;15,EK371-15,0)*1+IF(EK371&gt;16,EK371-16,0)*1+IF(EK371&gt;17,EK371-17,0)*1+IF(EK371&gt;18,EK371-18,0)*1+IF(EK371&gt;19,EK371-19,0)*1+IF(EK371&gt;20,EK371-20,0)*1</f>
        <v>1</v>
      </c>
      <c r="EO371" s="243">
        <f t="shared" si="4112"/>
        <v>86.769230769230802</v>
      </c>
      <c r="EP371" s="218">
        <f t="shared" si="4113"/>
        <v>0</v>
      </c>
      <c r="ER371" s="303" t="s">
        <v>428</v>
      </c>
      <c r="ES371" s="218" t="s">
        <v>100</v>
      </c>
      <c r="ET371" s="218" t="s">
        <v>133</v>
      </c>
      <c r="EU371" s="234">
        <f>Konvention_1slave-MUslave</f>
        <v>12</v>
      </c>
      <c r="EV371" s="234"/>
      <c r="EW371" s="234">
        <f>Konvention_1slave-INslave</f>
        <v>12</v>
      </c>
      <c r="EX371" s="234"/>
      <c r="EY371" s="234"/>
      <c r="EZ371" s="234"/>
      <c r="FA371" s="234">
        <f>Konvention_1slave-KOslave</f>
        <v>12</v>
      </c>
      <c r="FB371" s="234"/>
      <c r="FC371" s="222">
        <f>(EU371+EV371+EW371+EX371+EY371+EZ371+FA371+FB371)/3</f>
        <v>12</v>
      </c>
      <c r="FD371" s="223">
        <f t="shared" si="4115"/>
        <v>24</v>
      </c>
      <c r="FE371" s="224">
        <f t="shared" si="4116"/>
        <v>36</v>
      </c>
      <c r="FF371" s="234">
        <f>EU371*POWER(KLslave,SIGN(EV371))*POWER(INslave,SIGN(EW371))*POWER(CHslave,SIGN(EX371))*POWER(FFslave_FF,SIGN(EY371))*POWER(GEslave,SIGN(EZ371))*POWER(KOslave,SIGN(FA371))*POWER(KKslave,SIGN(FB371))+EV371*POWER(MUslave,SIGN(EU371))*POWER(INslave,SIGN(EW371))*POWER(CHslave,SIGN(EX371))*POWER(FFslave_FF,SIGN(EY371))*POWER(GEslave,SIGN(EZ371))*POWER(KOslave,SIGN(FA371))*POWER(KKslave,SIGN(FB371))+EW371*POWER(MUslave,SIGN(EU371))*POWER(KLslave,SIGN(EV371))*POWER(CHslave,SIGN(EX371))*POWER(FFslave_FF,SIGN(EY371))*POWER(GEslave,SIGN(EZ371))*POWER(KOslave,SIGN(FA371))*POWER(KKslave,SIGN(FB371))+EX371*POWER(MUslave,SIGN(EU371))*POWER(KLslave,SIGN(EV371))*POWER(INslave,SIGN(EW371))*POWER(FFslave_FF,SIGN(EY371))*POWER(GEslave,SIGN(EZ371))*POWER(KOslave,SIGN(FA371))*POWER(KKslave,SIGN(FB371))+EY371*POWER(MUslave,SIGN(EU371))*POWER(KLslave,SIGN(EV371))*POWER(INslave,SIGN(EW371))*POWER(CHslave,SIGN(EX371))*POWER(GEslave,SIGN(EZ371))*POWER(KOslave,SIGN(FA371))*POWER(KKslave,SIGN(FB371))+EZ371*POWER(MUslave,SIGN(EU371))*POWER(KLslave,SIGN(EV371))*POWER(INslave,SIGN(EW371))*POWER(CHslave,SIGN(EX371))*POWER(FFslave_FF,SIGN(EY371))*POWER(KOslave,SIGN(FA371))*POWER(KKslave,SIGN(FB371))+FA371*POWER(MUslave,SIGN(EU371))*POWER(KLslave,SIGN(EV371))*POWER(INslave,SIGN(EW371))*POWER(CHslave,SIGN(EX371))*POWER(FFslave_FF,SIGN(EY371))*POWER(GEslave,SIGN(EZ371))*POWER(KKslave,SIGN(FB371))+FB371*POWER(MUslave,SIGN(EU371))*POWER(KLslave,SIGN(EV371))*POWER(INslave,SIGN(EW371))*POWER(CHslave,SIGN(EX371))*POWER(FFslave_FF,SIGN(EY371))*POWER(GEslave,SIGN(EZ371))*POWER(KOslave,SIGN(FA371))</f>
        <v>2304</v>
      </c>
      <c r="FG371" s="234">
        <f>EU371*EW371*KOslave+EU371*INslave*FA371+MUslave*EW371*FA371</f>
        <v>3456</v>
      </c>
      <c r="FH371" s="234">
        <f>IFERROR(EU371^SIGN(EU371),1)*IFERROR(EV371^SIGN(EV371),1)*IFERROR(EW371^SIGN(EW371),1)*IFERROR(EX371^SIGN(EX371),1)*IFERROR(EY371^SIGN(EY371),1)*IFERROR(EZ371^SIGN(EZ371),1)*IFERROR(FA371^SIGN(FA371),1)*IFERROR(FB371^SIGN(FB371),1)</f>
        <v>1728</v>
      </c>
      <c r="FI371" s="242">
        <f>SUM(FF371:FH371)</f>
        <v>7488</v>
      </c>
      <c r="FJ371" s="223">
        <f t="shared" si="4118"/>
        <v>3.6923076923076925</v>
      </c>
      <c r="FK371" s="223">
        <f t="shared" si="4119"/>
        <v>11.076923076923077</v>
      </c>
      <c r="FL371" s="223">
        <f t="shared" si="4120"/>
        <v>8.3076923076923084</v>
      </c>
      <c r="FM371" s="218">
        <f t="shared" si="4121"/>
        <v>23.07692307692308</v>
      </c>
      <c r="FN371" s="252">
        <f t="shared" si="4002"/>
        <v>0</v>
      </c>
      <c r="FO371" s="309">
        <f t="shared" si="4122"/>
        <v>23.07692307692308</v>
      </c>
      <c r="FP371" s="218">
        <f>IF(FM371&lt;=0,1,0)+IF(FM371&gt;0,FM371+1,0)*1+IF(FM371&gt;12,FM371-12,0)*1+IF(FM371&gt;13,FM371-13,0)*1+IF(FM371&gt;14,FM371-14,0)*1+IF(FM371&gt;15,FM371-15,0)*1+IF(FM371&gt;16,FM371-16,0)*1+IF(FM371&gt;17,FM371-17,0)*1+IF(FM371&gt;18,FM371-18,0)*1+IF(FM371&gt;19,FM371-19,0)*1+IF(FM371&gt;20,FM371-20,0)*1</f>
        <v>87.769230769230802</v>
      </c>
      <c r="FQ371" s="242">
        <f>IF(FN371&lt;=0,1,0)+IF(FN371&gt;0,FN371+1,0)*1+IF(FN371&gt;12,FN371-12,0)*1+IF(FN371&gt;13,FN371-13,0)*1+IF(FN371&gt;14,FN371-14,0)*1+IF(FN371&gt;15,FN371-15,0)*1+IF(FN371&gt;16,FN371-16,0)*1+IF(FN371&gt;17,FN371-17,0)*1+IF(FN371&gt;18,FN371-18,0)*1+IF(FN371&gt;19,FN371-19,0)*1+IF(FN371&gt;20,FN371-20,0)*1</f>
        <v>1</v>
      </c>
      <c r="FR371" s="243">
        <f t="shared" si="4124"/>
        <v>86.769230769230802</v>
      </c>
      <c r="FS371" s="218">
        <f t="shared" si="4125"/>
        <v>0</v>
      </c>
      <c r="FU371" s="303" t="s">
        <v>428</v>
      </c>
      <c r="FV371" s="218" t="s">
        <v>100</v>
      </c>
      <c r="FW371" s="218" t="s">
        <v>133</v>
      </c>
      <c r="FX371" s="234">
        <f>Konvention_1slave-MUslave</f>
        <v>12</v>
      </c>
      <c r="FY371" s="234"/>
      <c r="FZ371" s="234">
        <f>Konvention_1slave-INslave</f>
        <v>12</v>
      </c>
      <c r="GA371" s="234"/>
      <c r="GB371" s="234"/>
      <c r="GC371" s="234"/>
      <c r="GD371" s="234">
        <f>Konvention_1slave-KOslave</f>
        <v>12</v>
      </c>
      <c r="GE371" s="234"/>
      <c r="GF371" s="222">
        <f>(FX371+FY371+FZ371+GA371+GB371+GC371+GD371+GE371)/3</f>
        <v>12</v>
      </c>
      <c r="GG371" s="223">
        <f t="shared" si="4127"/>
        <v>24</v>
      </c>
      <c r="GH371" s="224">
        <f t="shared" si="4128"/>
        <v>36</v>
      </c>
      <c r="GI371" s="234">
        <f>FX371*POWER(KLslave,SIGN(FY371))*POWER(INslave,SIGN(FZ371))*POWER(CHslave,SIGN(GA371))*POWER(FFslave,SIGN(GB371))*POWER(GEslave_GE,SIGN(GC371))*POWER(KOslave,SIGN(GD371))*POWER(KKslave,SIGN(GE371))+FY371*POWER(MUslave,SIGN(FX371))*POWER(INslave,SIGN(FZ371))*POWER(CHslave,SIGN(GA371))*POWER(FFslave,SIGN(GB371))*POWER(GEslave_GE,SIGN(GC371))*POWER(KOslave,SIGN(GD371))*POWER(KKslave,SIGN(GE371))+FZ371*POWER(MUslave,SIGN(FX371))*POWER(KLslave,SIGN(FY371))*POWER(CHslave,SIGN(GA371))*POWER(FFslave,SIGN(GB371))*POWER(GEslave_GE,SIGN(GC371))*POWER(KOslave,SIGN(GD371))*POWER(KKslave,SIGN(GE371))+GA371*POWER(MUslave,SIGN(FX371))*POWER(KLslave,SIGN(FY371))*POWER(INslave,SIGN(FZ371))*POWER(FFslave,SIGN(GB371))*POWER(GEslave_GE,SIGN(GC371))*POWER(KOslave,SIGN(GD371))*POWER(KKslave,SIGN(GE371))+GB371*POWER(MUslave,SIGN(FX371))*POWER(KLslave,SIGN(FY371))*POWER(INslave,SIGN(FZ371))*POWER(CHslave,SIGN(GA371))*POWER(GEslave_GE,SIGN(GC371))*POWER(KOslave,SIGN(GD371))*POWER(KKslave,SIGN(GE371))+GC371*POWER(MUslave,SIGN(FX371))*POWER(KLslave,SIGN(FY371))*POWER(INslave,SIGN(FZ371))*POWER(CHslave,SIGN(GA371))*POWER(FFslave,SIGN(GB371))*POWER(KOslave,SIGN(GD371))*POWER(KKslave,SIGN(GE371))+GD371*POWER(MUslave,SIGN(FX371))*POWER(KLslave,SIGN(FY371))*POWER(INslave,SIGN(FZ371))*POWER(CHslave,SIGN(GA371))*POWER(FFslave,SIGN(GB371))*POWER(GEslave_GE,SIGN(GC371))*POWER(KKslave,SIGN(GE371))+GE371*POWER(MUslave,SIGN(FX371))*POWER(KLslave,SIGN(FY371))*POWER(INslave,SIGN(FZ371))*POWER(CHslave,SIGN(GA371))*POWER(FFslave,SIGN(GB371))*POWER(GEslave_GE,SIGN(GC371))*POWER(KOslave,SIGN(GD371))</f>
        <v>2304</v>
      </c>
      <c r="GJ371" s="234">
        <f>FX371*FZ371*KOslave+FX371*INslave*GD371+MUslave*FZ371*GD371</f>
        <v>3456</v>
      </c>
      <c r="GK371" s="234">
        <f>IFERROR(FX371^SIGN(FX371),1)*IFERROR(FY371^SIGN(FY371),1)*IFERROR(FZ371^SIGN(FZ371),1)*IFERROR(GA371^SIGN(GA371),1)*IFERROR(GB371^SIGN(GB371),1)*IFERROR(GC371^SIGN(GC371),1)*IFERROR(GD371^SIGN(GD371),1)*IFERROR(GE371^SIGN(GE371),1)</f>
        <v>1728</v>
      </c>
      <c r="GL371" s="242">
        <f>SUM(GI371:GK371)</f>
        <v>7488</v>
      </c>
      <c r="GM371" s="223">
        <f t="shared" si="4130"/>
        <v>3.6923076923076925</v>
      </c>
      <c r="GN371" s="223">
        <f t="shared" si="4131"/>
        <v>11.076923076923077</v>
      </c>
      <c r="GO371" s="223">
        <f t="shared" si="4132"/>
        <v>8.3076923076923084</v>
      </c>
      <c r="GP371" s="218">
        <f t="shared" si="4133"/>
        <v>23.07692307692308</v>
      </c>
      <c r="GQ371" s="252">
        <f t="shared" si="4018"/>
        <v>0</v>
      </c>
      <c r="GR371" s="309">
        <f t="shared" si="4134"/>
        <v>23.07692307692308</v>
      </c>
      <c r="GS371" s="218">
        <f>IF(GP371&lt;=0,1,0)+IF(GP371&gt;0,GP371+1,0)*1+IF(GP371&gt;12,GP371-12,0)*1+IF(GP371&gt;13,GP371-13,0)*1+IF(GP371&gt;14,GP371-14,0)*1+IF(GP371&gt;15,GP371-15,0)*1+IF(GP371&gt;16,GP371-16,0)*1+IF(GP371&gt;17,GP371-17,0)*1+IF(GP371&gt;18,GP371-18,0)*1+IF(GP371&gt;19,GP371-19,0)*1+IF(GP371&gt;20,GP371-20,0)*1</f>
        <v>87.769230769230802</v>
      </c>
      <c r="GT371" s="242">
        <f>IF(GQ371&lt;=0,1,0)+IF(GQ371&gt;0,GQ371+1,0)*1+IF(GQ371&gt;12,GQ371-12,0)*1+IF(GQ371&gt;13,GQ371-13,0)*1+IF(GQ371&gt;14,GQ371-14,0)*1+IF(GQ371&gt;15,GQ371-15,0)*1+IF(GQ371&gt;16,GQ371-16,0)*1+IF(GQ371&gt;17,GQ371-17,0)*1+IF(GQ371&gt;18,GQ371-18,0)*1+IF(GQ371&gt;19,GQ371-19,0)*1+IF(GQ371&gt;20,GQ371-20,0)*1</f>
        <v>1</v>
      </c>
      <c r="GU371" s="243">
        <f t="shared" si="4136"/>
        <v>86.769230769230802</v>
      </c>
      <c r="GV371" s="218">
        <f t="shared" si="4137"/>
        <v>0</v>
      </c>
      <c r="GX371" s="303" t="s">
        <v>428</v>
      </c>
      <c r="GY371" s="218" t="s">
        <v>100</v>
      </c>
      <c r="GZ371" s="218" t="s">
        <v>133</v>
      </c>
      <c r="HA371" s="234">
        <f>Konvention_1slave-MUslave</f>
        <v>12</v>
      </c>
      <c r="HB371" s="234"/>
      <c r="HC371" s="234">
        <f>Konvention_1slave-INslave</f>
        <v>12</v>
      </c>
      <c r="HD371" s="234"/>
      <c r="HE371" s="234"/>
      <c r="HF371" s="234"/>
      <c r="HG371" s="234">
        <f>Konvention_1slave-KOslave_KO</f>
        <v>11</v>
      </c>
      <c r="HH371" s="234"/>
      <c r="HI371" s="222">
        <f>(HA371+HB371+HC371+HD371+HE371+HF371+HG371+HH371)/3</f>
        <v>11.666666666666666</v>
      </c>
      <c r="HJ371" s="223">
        <f t="shared" si="4139"/>
        <v>23.333333333333332</v>
      </c>
      <c r="HK371" s="224">
        <f t="shared" si="4140"/>
        <v>35</v>
      </c>
      <c r="HL371" s="234">
        <f>HA371*POWER(KLslave,SIGN(HB371))*POWER(INslave,SIGN(HC371))*POWER(CHslave,SIGN(HD371))*POWER(FFslave,SIGN(HE371))*POWER(GEslave,SIGN(HF371))*POWER(KOslave_KO,SIGN(HG371))*POWER(KKslave,SIGN(HH371))+HB371*POWER(MUslave,SIGN(HA371))*POWER(INslave,SIGN(HC371))*POWER(CHslave,SIGN(HD371))*POWER(FFslave,SIGN(HE371))*POWER(GEslave,SIGN(HF371))*POWER(KOslave_KO,SIGN(HG371))*POWER(KKslave,SIGN(HH371))+HC371*POWER(MUslave,SIGN(HA371))*POWER(KLslave,SIGN(HB371))*POWER(CHslave,SIGN(HD371))*POWER(FFslave,SIGN(HE371))*POWER(GEslave,SIGN(HF371))*POWER(KOslave_KO,SIGN(HG371))*POWER(KKslave,SIGN(HH371))+HD371*POWER(MUslave,SIGN(HA371))*POWER(KLslave,SIGN(HB371))*POWER(INslave,SIGN(HC371))*POWER(FFslave,SIGN(HE371))*POWER(GEslave,SIGN(HF371))*POWER(KOslave_KO,SIGN(HG371))*POWER(KKslave,SIGN(HH371))+HE371*POWER(MUslave,SIGN(HA371))*POWER(KLslave,SIGN(HB371))*POWER(INslave,SIGN(HC371))*POWER(CHslave,SIGN(HD371))*POWER(GEslave,SIGN(HF371))*POWER(KOslave_KO,SIGN(HG371))*POWER(KKslave,SIGN(HH371))+HF371*POWER(MUslave,SIGN(HA371))*POWER(KLslave,SIGN(HB371))*POWER(INslave,SIGN(HC371))*POWER(CHslave,SIGN(HD371))*POWER(FFslave,SIGN(HE371))*POWER(KOslave_KO,SIGN(HG371))*POWER(KKslave,SIGN(HH371))+HG371*POWER(MUslave,SIGN(HA371))*POWER(KLslave,SIGN(HB371))*POWER(INslave,SIGN(HC371))*POWER(CHslave,SIGN(HD371))*POWER(FFslave,SIGN(HE371))*POWER(GEslave,SIGN(HF371))*POWER(KKslave,SIGN(HH371))+HH371*POWER(MUslave,SIGN(HA371))*POWER(KLslave,SIGN(HB371))*POWER(INslave,SIGN(HC371))*POWER(CHslave,SIGN(HD371))*POWER(FFslave,SIGN(HE371))*POWER(GEslave,SIGN(HF371))*POWER(KOslave_KO,SIGN(HG371))</f>
        <v>2432</v>
      </c>
      <c r="HM371" s="234">
        <f>HA371*HC371*KOslave_KO+HA371*INslave*HG371+MUslave*HC371*HG371</f>
        <v>3408</v>
      </c>
      <c r="HN371" s="234">
        <f>IFERROR(HA371^SIGN(HA371),1)*IFERROR(HB371^SIGN(HB371),1)*IFERROR(HC371^SIGN(HC371),1)*IFERROR(HD371^SIGN(HD371),1)*IFERROR(HE371^SIGN(HE371),1)*IFERROR(HF371^SIGN(HF371),1)*IFERROR(HG371^SIGN(HG371),1)*IFERROR(HH371^SIGN(HH371),1)</f>
        <v>1584</v>
      </c>
      <c r="HO371" s="242">
        <f>SUM(HL371:HN371)</f>
        <v>7424</v>
      </c>
      <c r="HP371" s="223">
        <f t="shared" si="4142"/>
        <v>3.8218390804597702</v>
      </c>
      <c r="HQ371" s="223">
        <f t="shared" si="4143"/>
        <v>10.711206896551724</v>
      </c>
      <c r="HR371" s="223">
        <f t="shared" si="4144"/>
        <v>7.4676724137931032</v>
      </c>
      <c r="HS371" s="218">
        <f t="shared" si="4145"/>
        <v>22.000718390804597</v>
      </c>
      <c r="HT371" s="252">
        <f t="shared" si="4034"/>
        <v>0</v>
      </c>
      <c r="HU371" s="309">
        <f t="shared" si="4146"/>
        <v>22.000718390804597</v>
      </c>
      <c r="HV371" s="218">
        <f>IF(HS371&lt;=0,1,0)+IF(HS371&gt;0,HS371+1,0)*1+IF(HS371&gt;12,HS371-12,0)*1+IF(HS371&gt;13,HS371-13,0)*1+IF(HS371&gt;14,HS371-14,0)*1+IF(HS371&gt;15,HS371-15,0)*1+IF(HS371&gt;16,HS371-16,0)*1+IF(HS371&gt;17,HS371-17,0)*1+IF(HS371&gt;18,HS371-18,0)*1+IF(HS371&gt;19,HS371-19,0)*1+IF(HS371&gt;20,HS371-20,0)*1</f>
        <v>77.007183908045945</v>
      </c>
      <c r="HW371" s="242">
        <f>IF(HT371&lt;=0,1,0)+IF(HT371&gt;0,HT371+1,0)*1+IF(HT371&gt;12,HT371-12,0)*1+IF(HT371&gt;13,HT371-13,0)*1+IF(HT371&gt;14,HT371-14,0)*1+IF(HT371&gt;15,HT371-15,0)*1+IF(HT371&gt;16,HT371-16,0)*1+IF(HT371&gt;17,HT371-17,0)*1+IF(HT371&gt;18,HT371-18,0)*1+IF(HT371&gt;19,HT371-19,0)*1+IF(HT371&gt;20,HT371-20,0)*1</f>
        <v>1</v>
      </c>
      <c r="HX371" s="243">
        <f t="shared" si="4148"/>
        <v>76.007183908045945</v>
      </c>
      <c r="HY371" s="218">
        <f t="shared" si="4149"/>
        <v>0</v>
      </c>
      <c r="IA371" s="303" t="s">
        <v>428</v>
      </c>
      <c r="IB371" s="218" t="s">
        <v>100</v>
      </c>
      <c r="IC371" s="218" t="s">
        <v>133</v>
      </c>
      <c r="ID371" s="234">
        <f>Konvention_1slave-MUslave</f>
        <v>12</v>
      </c>
      <c r="IE371" s="234"/>
      <c r="IF371" s="234">
        <f>Konvention_1slave-INslave</f>
        <v>12</v>
      </c>
      <c r="IG371" s="234"/>
      <c r="IH371" s="234"/>
      <c r="II371" s="234"/>
      <c r="IJ371" s="234">
        <f>Konvention_1slave-KOslave</f>
        <v>12</v>
      </c>
      <c r="IK371" s="234"/>
      <c r="IL371" s="222">
        <f>(ID371+IE371+IF371+IG371+IH371+II371+IJ371+IK371)/3</f>
        <v>12</v>
      </c>
      <c r="IM371" s="223">
        <f t="shared" si="4151"/>
        <v>24</v>
      </c>
      <c r="IN371" s="224">
        <f t="shared" si="4152"/>
        <v>36</v>
      </c>
      <c r="IO371" s="234">
        <f>ID371*POWER(KLslave,SIGN(IE371))*POWER(INslave,SIGN(IF371))*POWER(CHslave,SIGN(IG371))*POWER(FFslave,SIGN(IH371))*POWER(GEslave,SIGN(II371))*POWER(KOslave,SIGN(IJ371))*POWER(KKslave_KK,SIGN(IK371))+IE371*POWER(MUslave,SIGN(ID371))*POWER(INslave,SIGN(IF371))*POWER(CHslave,SIGN(IG371))*POWER(FFslave,SIGN(IH371))*POWER(GEslave,SIGN(II371))*POWER(KOslave,SIGN(IJ371))*POWER(KKslave_KK,SIGN(IK371))+IF371*POWER(MUslave,SIGN(ID371))*POWER(KLslave,SIGN(IE371))*POWER(CHslave,SIGN(IG371))*POWER(FFslave,SIGN(IH371))*POWER(GEslave,SIGN(II371))*POWER(KOslave,SIGN(IJ371))*POWER(KKslave_KK,SIGN(IK371))+IG371*POWER(MUslave,SIGN(ID371))*POWER(KLslave,SIGN(IE371))*POWER(INslave,SIGN(IF371))*POWER(FFslave,SIGN(IH371))*POWER(GEslave,SIGN(II371))*POWER(KOslave,SIGN(IJ371))*POWER(KKslave_KK,SIGN(IK371))+IH371*POWER(MUslave,SIGN(ID371))*POWER(KLslave,SIGN(IE371))*POWER(INslave,SIGN(IF371))*POWER(CHslave,SIGN(IG371))*POWER(GEslave,SIGN(II371))*POWER(KOslave,SIGN(IJ371))*POWER(KKslave_KK,SIGN(IK371))+II371*POWER(MUslave,SIGN(ID371))*POWER(KLslave,SIGN(IE371))*POWER(INslave,SIGN(IF371))*POWER(CHslave,SIGN(IG371))*POWER(FFslave,SIGN(IH371))*POWER(KOslave,SIGN(IJ371))*POWER(KKslave_KK,SIGN(IK371))+IJ371*POWER(MUslave,SIGN(ID371))*POWER(KLslave,SIGN(IE371))*POWER(INslave,SIGN(IF371))*POWER(CHslave,SIGN(IG371))*POWER(FFslave,SIGN(IH371))*POWER(GEslave,SIGN(II371))*POWER(KKslave_KK,SIGN(IK371))+IK371*POWER(MUslave,SIGN(ID371))*POWER(KLslave,SIGN(IE371))*POWER(INslave,SIGN(IF371))*POWER(CHslave,SIGN(IG371))*POWER(FFslave,SIGN(IH371))*POWER(GEslave,SIGN(II371))*POWER(KOslave,SIGN(IJ371))</f>
        <v>2304</v>
      </c>
      <c r="IP371" s="234">
        <f>ID371*IF371*KOslave+ID371*INslave*IJ371+MUslave*IF371*IJ371</f>
        <v>3456</v>
      </c>
      <c r="IQ371" s="234">
        <f>IFERROR(ID371^SIGN(ID371),1)*IFERROR(IE371^SIGN(IE371),1)*IFERROR(IF371^SIGN(IF371),1)*IFERROR(IG371^SIGN(IG371),1)*IFERROR(IH371^SIGN(IH371),1)*IFERROR(II371^SIGN(II371),1)*IFERROR(IJ371^SIGN(IJ371),1)*IFERROR(IK371^SIGN(IK371),1)</f>
        <v>1728</v>
      </c>
      <c r="IR371" s="242">
        <f>SUM(IO371:IQ371)</f>
        <v>7488</v>
      </c>
      <c r="IS371" s="223">
        <f t="shared" si="4154"/>
        <v>3.6923076923076925</v>
      </c>
      <c r="IT371" s="223">
        <f t="shared" si="4155"/>
        <v>11.076923076923077</v>
      </c>
      <c r="IU371" s="223">
        <f t="shared" si="4156"/>
        <v>8.3076923076923084</v>
      </c>
      <c r="IV371" s="218">
        <f t="shared" si="4157"/>
        <v>23.07692307692308</v>
      </c>
      <c r="IW371" s="252">
        <f t="shared" si="4050"/>
        <v>0</v>
      </c>
      <c r="IX371" s="309">
        <f t="shared" si="4158"/>
        <v>23.07692307692308</v>
      </c>
      <c r="IY371" s="218">
        <f>IF(IV371&lt;=0,1,0)+IF(IV371&gt;0,IV371+1,0)*1+IF(IV371&gt;12,IV371-12,0)*1+IF(IV371&gt;13,IV371-13,0)*1+IF(IV371&gt;14,IV371-14,0)*1+IF(IV371&gt;15,IV371-15,0)*1+IF(IV371&gt;16,IV371-16,0)*1+IF(IV371&gt;17,IV371-17,0)*1+IF(IV371&gt;18,IV371-18,0)*1+IF(IV371&gt;19,IV371-19,0)*1+IF(IV371&gt;20,IV371-20,0)*1</f>
        <v>87.769230769230802</v>
      </c>
      <c r="IZ371" s="242">
        <f>IF(IW371&lt;=0,1,0)+IF(IW371&gt;0,IW371+1,0)*1+IF(IW371&gt;12,IW371-12,0)*1+IF(IW371&gt;13,IW371-13,0)*1+IF(IW371&gt;14,IW371-14,0)*1+IF(IW371&gt;15,IW371-15,0)*1+IF(IW371&gt;16,IW371-16,0)*1+IF(IW371&gt;17,IW371-17,0)*1+IF(IW371&gt;18,IW371-18,0)*1+IF(IW371&gt;19,IW371-19,0)*1+IF(IW371&gt;20,IW371-20,0)*1</f>
        <v>1</v>
      </c>
      <c r="JA371" s="243">
        <f t="shared" si="4160"/>
        <v>86.769230769230802</v>
      </c>
      <c r="JB371" s="218">
        <f t="shared" si="4161"/>
        <v>0</v>
      </c>
      <c r="JE371" s="148"/>
    </row>
    <row r="372" spans="2:265" hidden="1" outlineLevel="2">
      <c r="B372" s="148">
        <v>6</v>
      </c>
      <c r="C372" s="303" t="e">
        <f>VLOOKUP(AF372,Attribute!C:T,1,FALSE)</f>
        <v>#N/A</v>
      </c>
      <c r="D372" s="125" t="s">
        <v>79</v>
      </c>
      <c r="E372" s="125" t="s">
        <v>132</v>
      </c>
      <c r="F372" s="113"/>
      <c r="G372" s="113">
        <f>Konvention_1master-KLmaster</f>
        <v>12</v>
      </c>
      <c r="H372" s="113"/>
      <c r="I372" s="113">
        <f>Konvention_1master-CHmaster</f>
        <v>12</v>
      </c>
      <c r="J372" s="113"/>
      <c r="K372" s="113"/>
      <c r="L372" s="113">
        <f>Konvention_1master-KOmaster</f>
        <v>12</v>
      </c>
      <c r="M372" s="113"/>
      <c r="N372" s="222">
        <f>(F372+G372+H372+I372+J372+K372+L372+M372)/3</f>
        <v>12</v>
      </c>
      <c r="O372" s="223">
        <f>2*N372</f>
        <v>24</v>
      </c>
      <c r="P372" s="224">
        <f>3*N372</f>
        <v>36</v>
      </c>
      <c r="Q372" s="234">
        <f>F372*POWER(KLmaster,SIGN(G372))*POWER(INmaster,SIGN(H372))*POWER(CHmaster,SIGN(I372))*POWER(FFmaster,SIGN(J372))*POWER(GEmaster,SIGN(K372))*POWER(KOmaster,SIGN(L372))*POWER(KKmaster,SIGN(M372))+G372*POWER(MUmaster,SIGN(F372))*POWER(INmaster,SIGN(H372))*POWER(CHmaster,SIGN(I372))*POWER(FFmaster,SIGN(J372))*POWER(GEmaster,SIGN(K372))*POWER(KOmaster,SIGN(L372))*POWER(KKmaster,SIGN(M372))+H372*POWER(MUmaster,SIGN(F372))*POWER(KLmaster,SIGN(G372))*POWER(CHmaster,SIGN(I372))*POWER(FFmaster,SIGN(J372))*POWER(GEmaster,SIGN(K372))*POWER(KOmaster,SIGN(L372))*POWER(KKmaster,SIGN(M372))+I372*POWER(MUmaster,SIGN(F372))*POWER(KLmaster,SIGN(G372))*POWER(INmaster,SIGN(H372))*POWER(FFmaster,SIGN(J372))*POWER(GEmaster,SIGN(K372))*POWER(KOmaster,SIGN(L372))*POWER(KKmaster,SIGN(M372))+J372*POWER(MUmaster,SIGN(F372))*POWER(KLmaster,SIGN(G372))*POWER(INmaster,SIGN(H372))*POWER(CHmaster,SIGN(I372))*POWER(GEmaster,SIGN(K372))*POWER(KOmaster,SIGN(L372))*POWER(KKmaster,SIGN(M372))+K372*POWER(MUmaster,SIGN(F372))*POWER(KLmaster,SIGN(G372))*POWER(INmaster,SIGN(H372))*POWER(CHmaster,SIGN(I372))*POWER(FFmaster,SIGN(J372))*POWER(KOmaster,SIGN(L372))*POWER(KKmaster,SIGN(M372))+L372*POWER(MUmaster,SIGN(F372))*POWER(KLmaster,SIGN(G372))*POWER(INmaster,SIGN(H372))*POWER(CHmaster,SIGN(I372))*POWER(FFmaster,SIGN(J372))*POWER(GEmaster,SIGN(K372))*POWER(KKmaster,SIGN(M372))+M372*POWER(MUmaster,SIGN(F372))*POWER(KLmaster,SIGN(G372))*POWER(INmaster,SIGN(H372))*POWER(CHmaster,SIGN(I372))*POWER(FFmaster,SIGN(J372))*POWER(GEmaster,SIGN(K372))*POWER(KOmaster,SIGN(L372))</f>
        <v>2304</v>
      </c>
      <c r="R372" s="113">
        <f>G372*I372*KOmaster+G372*CHmaster*L372+KLmaster*I372*L372</f>
        <v>3456</v>
      </c>
      <c r="S372" s="234">
        <f>IFERROR(F372^SIGN(F372),1)*IFERROR(G372^SIGN(G372),1)*IFERROR(H372^SIGN(H372),1)*IFERROR(I372^SIGN(I372),1)*IFERROR(J372^SIGN(J372),1)*IFERROR(K372^SIGN(K372),1)*IFERROR(L372^SIGN(L372),1)*IFERROR(M372^SIGN(M372),1)</f>
        <v>1728</v>
      </c>
      <c r="T372" s="242">
        <f>SUM(Q372:S372)</f>
        <v>7488</v>
      </c>
      <c r="U372" s="223">
        <f>N372*Q372/T372</f>
        <v>3.6923076923076925</v>
      </c>
      <c r="V372" s="223">
        <f>O372*R372/T372</f>
        <v>11.076923076923077</v>
      </c>
      <c r="W372" s="223">
        <f>P372*S372/T372</f>
        <v>8.3076923076923084</v>
      </c>
      <c r="X372" s="218">
        <f>SUM(U372:W372)</f>
        <v>23.07692307692308</v>
      </c>
      <c r="Y372" s="252">
        <v>0</v>
      </c>
      <c r="Z372" s="198">
        <f>X372-Y372</f>
        <v>23.07692307692308</v>
      </c>
      <c r="AA372" s="125">
        <f>IF(X372&lt;=0,2,0)+IF(X372&gt;0,X372+1,0)*2+IF(X372&gt;12,X372-12,0)*2+IF(X372&gt;13,X372-13,0)*2+IF(X372&gt;14,X372-14,0)*2+IF(X372&gt;15,X372-15,0)*2+IF(X372&gt;16,X372-16,0)*2+IF(X372&gt;17,X372-17,0)*2+IF(X372&gt;18,X372-18,0)*2+IF(X372&gt;19,X372-19,0)*2+IF(X372&gt;20,X372-20,0)*2</f>
        <v>175.5384615384616</v>
      </c>
      <c r="AB372" s="160">
        <f>IF(Y372&lt;=0,2,0)+IF(Y372&gt;0,Y372+1,0)*2+IF(Y372&gt;12,Y372-12,0)*2+IF(Y372&gt;13,Y372-13,0)*2+IF(Y372&gt;14,Y372-14,0)*2+IF(Y372&gt;15,Y372-15,0)*2+IF(Y372&gt;16,Y372-16,0)*2+IF(Y372&gt;17,Y372-17,0)*2+IF(Y372&gt;18,Y372-18,0)*2+IF(Y372&gt;19,Y372-19,0)*2+IF(Y372&gt;20,Y372-20,0)*2</f>
        <v>2</v>
      </c>
      <c r="AC372" s="127">
        <f>IF((AA372-AB372)&gt;0,AA372-AB372,0)</f>
        <v>173.5384615384616</v>
      </c>
      <c r="AD372" s="125">
        <f>IF((AB372-AA372)&gt;0,AB372-AA372,0)</f>
        <v>0</v>
      </c>
      <c r="AF372" s="163" t="s">
        <v>429</v>
      </c>
      <c r="AG372" s="125" t="s">
        <v>79</v>
      </c>
      <c r="AH372" s="125" t="s">
        <v>132</v>
      </c>
      <c r="AI372" s="113"/>
      <c r="AJ372" s="113">
        <f>Konvention_1slave-KLslave</f>
        <v>12</v>
      </c>
      <c r="AK372" s="113"/>
      <c r="AL372" s="113">
        <f>Konvention_1slave-CHslave</f>
        <v>12</v>
      </c>
      <c r="AM372" s="113"/>
      <c r="AN372" s="113"/>
      <c r="AO372" s="113">
        <f>Konvention_1slave-KOslave</f>
        <v>12</v>
      </c>
      <c r="AP372" s="113"/>
      <c r="AQ372" s="89">
        <f>(AI372+AJ372+AK372+AL372+AM372+AN372+AO372+AP372)/3</f>
        <v>12</v>
      </c>
      <c r="AR372" s="47">
        <f>2*AQ372</f>
        <v>24</v>
      </c>
      <c r="AS372" s="119">
        <f>3*AQ372</f>
        <v>36</v>
      </c>
      <c r="AT372" s="113">
        <f>AI372*POWER(KLslave,SIGN(AJ372))*POWER(INslave,SIGN(AK372))*POWER(CHslave,SIGN(AL372))*POWER(FFslave,SIGN(AM372))*POWER(GEslave,SIGN(AN372))*POWER(KOslave,SIGN(AO372))*POWER(KKslave,SIGN(AP372))+AJ372*POWER(MUslave_MU,SIGN(AI372))*POWER(INslave,SIGN(AK372))*POWER(CHslave,SIGN(AL372))*POWER(FFslave,SIGN(AM372))*POWER(GEslave,SIGN(AN372))*POWER(KOslave,SIGN(AO372))*POWER(KKslave,SIGN(AP372))+AK372*POWER(MUslave_MU,SIGN(AI372))*POWER(KLslave,SIGN(AJ372))*POWER(CHslave,SIGN(AL372))*POWER(FFslave,SIGN(AM372))*POWER(GEslave,SIGN(AN372))*POWER(KOslave,SIGN(AO372))*POWER(KKslave,SIGN(AP372))+AL372*POWER(MUslave_MU,SIGN(AI372))*POWER(KLslave,SIGN(AJ372))*POWER(INslave,SIGN(AK372))*POWER(FFslave,SIGN(AM372))*POWER(GEslave,SIGN(AN372))*POWER(KOslave,SIGN(AO372))*POWER(KKslave,SIGN(AP372))+AM372*POWER(MUslave_MU,SIGN(AI372))*POWER(KLslave,SIGN(AJ372))*POWER(INslave,SIGN(AK372))*POWER(CHslave,SIGN(AL372))*POWER(GEslave,SIGN(AN372))*POWER(KOslave,SIGN(AO372))*POWER(KKslave,SIGN(AP372))+AN372*POWER(MUslave_MU,SIGN(AI372))*POWER(KLslave,SIGN(AJ372))*POWER(INslave,SIGN(AK372))*POWER(CHslave,SIGN(AL372))*POWER(FFslave,SIGN(AM372))*POWER(KOslave,SIGN(AO372))*POWER(KKslave,SIGN(AP372))+AO372*POWER(MUslave_MU,SIGN(AI372))*POWER(KLslave,SIGN(AJ372))*POWER(INslave,SIGN(AK372))*POWER(CHslave,SIGN(AL372))*POWER(FFslave,SIGN(AM372))*POWER(GEslave,SIGN(AN372))*POWER(KKslave,SIGN(AP372))+AP372*POWER(MUslave_MU,SIGN(AI372))*POWER(KLslave,SIGN(AJ372))*POWER(INslave,SIGN(AK372))*POWER(CHslave,SIGN(AL372))*POWER(FFslave,SIGN(AM372))*POWER(GEslave,SIGN(AN372))*POWER(KOslave,SIGN(AO372))</f>
        <v>2304</v>
      </c>
      <c r="AU372" s="113">
        <f>AJ372*AL372*KOslave+AJ372*CHslave*AO372+KLslave*AL372*AO372</f>
        <v>3456</v>
      </c>
      <c r="AV372" s="113">
        <f>IFERROR(AI372^SIGN(AI372),1)*IFERROR(AJ372^SIGN(AJ372),1)*IFERROR(AK372^SIGN(AK372),1)*IFERROR(AL372^SIGN(AL372),1)*IFERROR(AM372^SIGN(AM372),1)*IFERROR(AN372^SIGN(AN372),1)*IFERROR(AO372^SIGN(AO372),1)*IFERROR(AP372^SIGN(AP372),1)</f>
        <v>1728</v>
      </c>
      <c r="AW372" s="160">
        <f>SUM(AT372:AV372)</f>
        <v>7488</v>
      </c>
      <c r="AX372" s="47">
        <f>AQ372*AT372/AW372</f>
        <v>3.6923076923076925</v>
      </c>
      <c r="AY372" s="47">
        <f>AR372*AU372/AW372</f>
        <v>11.076923076923077</v>
      </c>
      <c r="AZ372" s="47">
        <f>AS372*AV372/AW372</f>
        <v>8.3076923076923084</v>
      </c>
      <c r="BA372" s="125">
        <f>SUM(AX372:AZ372)</f>
        <v>23.07692307692308</v>
      </c>
      <c r="BB372" s="165">
        <f t="shared" si="3938"/>
        <v>0</v>
      </c>
      <c r="BC372" s="198">
        <f>BA372-BB372</f>
        <v>23.07692307692308</v>
      </c>
      <c r="BD372" s="125">
        <f>IF(BA372&lt;=0,2,0)+IF(BA372&gt;0,BA372+1,0)*2+IF(BA372&gt;12,BA372-12,0)*2+IF(BA372&gt;13,BA372-13,0)*2+IF(BA372&gt;14,BA372-14,0)*2+IF(BA372&gt;15,BA372-15,0)*2+IF(BA372&gt;16,BA372-16,0)*2+IF(BA372&gt;17,BA372-17,0)*2+IF(BA372&gt;18,BA372-18,0)*2+IF(BA372&gt;19,BA372-19,0)*2+IF(BA372&gt;20,BA372-20,0)*2</f>
        <v>175.5384615384616</v>
      </c>
      <c r="BE372" s="160">
        <f>IF(BB372&lt;=0,2,0)+IF(BB372&gt;0,BB372+1,0)*2+IF(BB372&gt;12,BB372-12,0)*2+IF(BB372&gt;13,BB372-13,0)*2+IF(BB372&gt;14,BB372-14,0)*2+IF(BB372&gt;15,BB372-15,0)*2+IF(BB372&gt;16,BB372-16,0)*2+IF(BB372&gt;17,BB372-17,0)*2+IF(BB372&gt;18,BB372-18,0)*2+IF(BB372&gt;19,BB372-19,0)*2+IF(BB372&gt;20,BB372-20,0)*2</f>
        <v>2</v>
      </c>
      <c r="BF372" s="243">
        <f>IF((BD372-BE372)&gt;0,BD372-BE372,0)</f>
        <v>173.5384615384616</v>
      </c>
      <c r="BG372" s="218">
        <f>IF((BE372-BD372)&gt;0,BE372-BD372,0)</f>
        <v>0</v>
      </c>
      <c r="BI372" s="303" t="s">
        <v>429</v>
      </c>
      <c r="BJ372" s="218" t="s">
        <v>79</v>
      </c>
      <c r="BK372" s="218" t="s">
        <v>132</v>
      </c>
      <c r="BL372" s="234"/>
      <c r="BM372" s="234">
        <f>Konvention_1slave-KLslave_KL</f>
        <v>11</v>
      </c>
      <c r="BN372" s="234"/>
      <c r="BO372" s="234">
        <f>Konvention_1slave-CHslave</f>
        <v>12</v>
      </c>
      <c r="BP372" s="234"/>
      <c r="BQ372" s="234"/>
      <c r="BR372" s="234">
        <f>Konvention_1slave-KOslave</f>
        <v>12</v>
      </c>
      <c r="BS372" s="234"/>
      <c r="BT372" s="222">
        <f>(BL372+BM372+BN372+BO372+BP372+BQ372+BR372+BS372)/3</f>
        <v>11.666666666666666</v>
      </c>
      <c r="BU372" s="223">
        <f>2*BT372</f>
        <v>23.333333333333332</v>
      </c>
      <c r="BV372" s="224">
        <f>3*BT372</f>
        <v>35</v>
      </c>
      <c r="BW372" s="234">
        <f>BL372*POWER(KLslave_KL,SIGN(BM372))*POWER(INslave,SIGN(BN372))*POWER(CHslave,SIGN(BO372))*POWER(FFslave,SIGN(BP372))*POWER(GEslave,SIGN(BQ372))*POWER(KOslave,SIGN(BR372))*POWER(KKslave,SIGN(BS372))+BM372*POWER(MUslave,SIGN(BL372))*POWER(INslave,SIGN(BN372))*POWER(CHslave,SIGN(BO372))*POWER(FFslave,SIGN(BP372))*POWER(GEslave,SIGN(BQ372))*POWER(KOslave,SIGN(BR372))*POWER(KKslave,SIGN(BS372))+BN372*POWER(MUslave,SIGN(BL372))*POWER(KLslave_KL,SIGN(BM372))*POWER(CHslave,SIGN(BO372))*POWER(FFslave,SIGN(BP372))*POWER(GEslave,SIGN(BQ372))*POWER(KOslave,SIGN(BR372))*POWER(KKslave,SIGN(BS372))+BO372*POWER(MUslave,SIGN(BL372))*POWER(KLslave_KL,SIGN(BM372))*POWER(INslave,SIGN(BN372))*POWER(FFslave,SIGN(BP372))*POWER(GEslave,SIGN(BQ372))*POWER(KOslave,SIGN(BR372))*POWER(KKslave,SIGN(BS372))+BP372*POWER(MUslave,SIGN(BL372))*POWER(KLslave_KL,SIGN(BM372))*POWER(INslave,SIGN(BN372))*POWER(CHslave,SIGN(BO372))*POWER(GEslave,SIGN(BQ372))*POWER(KOslave,SIGN(BR372))*POWER(KKslave,SIGN(BS372))+BQ372*POWER(MUslave,SIGN(BL372))*POWER(KLslave_KL,SIGN(BM372))*POWER(INslave,SIGN(BN372))*POWER(CHslave,SIGN(BO372))*POWER(FFslave,SIGN(BP372))*POWER(KOslave,SIGN(BR372))*POWER(KKslave,SIGN(BS372))+BR372*POWER(MUslave,SIGN(BL372))*POWER(KLslave_KL,SIGN(BM372))*POWER(INslave,SIGN(BN372))*POWER(CHslave,SIGN(BO372))*POWER(FFslave,SIGN(BP372))*POWER(GEslave,SIGN(BQ372))*POWER(KKslave,SIGN(BS372))+BS372*POWER(MUslave,SIGN(BL372))*POWER(KLslave_KL,SIGN(BM372))*POWER(INslave,SIGN(BN372))*POWER(CHslave,SIGN(BO372))*POWER(FFslave,SIGN(BP372))*POWER(GEslave,SIGN(BQ372))*POWER(KOslave,SIGN(BR372))</f>
        <v>2432</v>
      </c>
      <c r="BX372" s="234">
        <f>BM372*BO372*KOslave+BM372*CHslave*BR372+KLslave_KL*BO372*BR372</f>
        <v>3408</v>
      </c>
      <c r="BY372" s="234">
        <f>IFERROR(BL372^SIGN(BL372),1)*IFERROR(BM372^SIGN(BM372),1)*IFERROR(BN372^SIGN(BN372),1)*IFERROR(BO372^SIGN(BO372),1)*IFERROR(BP372^SIGN(BP372),1)*IFERROR(BQ372^SIGN(BQ372),1)*IFERROR(BR372^SIGN(BR372),1)*IFERROR(BS372^SIGN(BS372),1)</f>
        <v>1584</v>
      </c>
      <c r="BZ372" s="242">
        <f>SUM(BW372:BY372)</f>
        <v>7424</v>
      </c>
      <c r="CA372" s="223">
        <f>BT372*BW372/BZ372</f>
        <v>3.8218390804597702</v>
      </c>
      <c r="CB372" s="223">
        <f>BU372*BX372/BZ372</f>
        <v>10.711206896551724</v>
      </c>
      <c r="CC372" s="223">
        <f>BV372*BY372/BZ372</f>
        <v>7.4676724137931032</v>
      </c>
      <c r="CD372" s="218">
        <f>SUM(CA372:CC372)</f>
        <v>22.000718390804597</v>
      </c>
      <c r="CE372" s="252">
        <f t="shared" si="3954"/>
        <v>0</v>
      </c>
      <c r="CF372" s="309">
        <f>CD372-CE372</f>
        <v>22.000718390804597</v>
      </c>
      <c r="CG372" s="218">
        <f>IF(CD372&lt;=0,2,0)+IF(CD372&gt;0,CD372+1,0)*2+IF(CD372&gt;12,CD372-12,0)*2+IF(CD372&gt;13,CD372-13,0)*2+IF(CD372&gt;14,CD372-14,0)*2+IF(CD372&gt;15,CD372-15,0)*2+IF(CD372&gt;16,CD372-16,0)*2+IF(CD372&gt;17,CD372-17,0)*2+IF(CD372&gt;18,CD372-18,0)*2+IF(CD372&gt;19,CD372-19,0)*2+IF(CD372&gt;20,CD372-20,0)*2</f>
        <v>154.01436781609189</v>
      </c>
      <c r="CH372" s="242">
        <f>IF(CE372&lt;=0,2,0)+IF(CE372&gt;0,CE372+1,0)*2+IF(CE372&gt;12,CE372-12,0)*2+IF(CE372&gt;13,CE372-13,0)*2+IF(CE372&gt;14,CE372-14,0)*2+IF(CE372&gt;15,CE372-15,0)*2+IF(CE372&gt;16,CE372-16,0)*2+IF(CE372&gt;17,CE372-17,0)*2+IF(CE372&gt;18,CE372-18,0)*2+IF(CE372&gt;19,CE372-19,0)*2+IF(CE372&gt;20,CE372-20,0)*2</f>
        <v>2</v>
      </c>
      <c r="CI372" s="243">
        <f>IF((CG372-CH372)&gt;0,CG372-CH372,0)</f>
        <v>152.01436781609189</v>
      </c>
      <c r="CJ372" s="218">
        <f>IF((CH372-CG372)&gt;0,CH372-CG372,0)</f>
        <v>0</v>
      </c>
      <c r="CL372" s="303" t="s">
        <v>429</v>
      </c>
      <c r="CM372" s="218" t="s">
        <v>79</v>
      </c>
      <c r="CN372" s="218" t="s">
        <v>132</v>
      </c>
      <c r="CO372" s="234"/>
      <c r="CP372" s="234">
        <f>Konvention_1slave-KLslave</f>
        <v>12</v>
      </c>
      <c r="CQ372" s="234"/>
      <c r="CR372" s="234">
        <f>Konvention_1slave-CHslave</f>
        <v>12</v>
      </c>
      <c r="CS372" s="234"/>
      <c r="CT372" s="234"/>
      <c r="CU372" s="234">
        <f>Konvention_1slave-KOslave</f>
        <v>12</v>
      </c>
      <c r="CV372" s="234"/>
      <c r="CW372" s="222">
        <f>(CO372+CP372+CQ372+CR372+CS372+CT372+CU372+CV372)/3</f>
        <v>12</v>
      </c>
      <c r="CX372" s="223">
        <f>2*CW372</f>
        <v>24</v>
      </c>
      <c r="CY372" s="224">
        <f>3*CW372</f>
        <v>36</v>
      </c>
      <c r="CZ372" s="234">
        <f>CO372*POWER(KLslave,SIGN(CP372))*POWER(INslave_IN,SIGN(CQ372))*POWER(CHslave,SIGN(CR372))*POWER(FFslave,SIGN(CS372))*POWER(GEslave,SIGN(CT372))*POWER(KOslave,SIGN(CU372))*POWER(KKslave,SIGN(CV372))+CP372*POWER(MUslave,SIGN(CO372))*POWER(INslave_IN,SIGN(CQ372))*POWER(CHslave,SIGN(CR372))*POWER(FFslave,SIGN(CS372))*POWER(GEslave,SIGN(CT372))*POWER(KOslave,SIGN(CU372))*POWER(KKslave,SIGN(CV372))+CQ372*POWER(MUslave,SIGN(CO372))*POWER(KLslave,SIGN(CP372))*POWER(CHslave,SIGN(CR372))*POWER(FFslave,SIGN(CS372))*POWER(GEslave,SIGN(CT372))*POWER(KOslave,SIGN(CU372))*POWER(KKslave,SIGN(CV372))+CR372*POWER(MUslave,SIGN(CO372))*POWER(KLslave,SIGN(CP372))*POWER(INslave_IN,SIGN(CQ372))*POWER(FFslave,SIGN(CS372))*POWER(GEslave,SIGN(CT372))*POWER(KOslave,SIGN(CU372))*POWER(KKslave,SIGN(CV372))+CS372*POWER(MUslave,SIGN(CO372))*POWER(KLslave,SIGN(CP372))*POWER(INslave_IN,SIGN(CQ372))*POWER(CHslave,SIGN(CR372))*POWER(GEslave,SIGN(CT372))*POWER(KOslave,SIGN(CU372))*POWER(KKslave,SIGN(CV372))+CT372*POWER(MUslave,SIGN(CO372))*POWER(KLslave,SIGN(CP372))*POWER(INslave_IN,SIGN(CQ372))*POWER(CHslave,SIGN(CR372))*POWER(FFslave,SIGN(CS372))*POWER(KOslave,SIGN(CU372))*POWER(KKslave,SIGN(CV372))+CU372*POWER(MUslave,SIGN(CO372))*POWER(KLslave,SIGN(CP372))*POWER(INslave_IN,SIGN(CQ372))*POWER(CHslave,SIGN(CR372))*POWER(FFslave,SIGN(CS372))*POWER(GEslave,SIGN(CT372))*POWER(KKslave,SIGN(CV372))+CV372*POWER(MUslave,SIGN(CO372))*POWER(KLslave,SIGN(CP372))*POWER(INslave_IN,SIGN(CQ372))*POWER(CHslave,SIGN(CR372))*POWER(FFslave,SIGN(CS372))*POWER(GEslave,SIGN(CT372))*POWER(KOslave,SIGN(CU372))</f>
        <v>2304</v>
      </c>
      <c r="DA372" s="234">
        <f>CP372*CR372*KOslave+CP372*CHslave*CU372+KLslave*CR372*CU372</f>
        <v>3456</v>
      </c>
      <c r="DB372" s="234">
        <f>IFERROR(CO372^SIGN(CO372),1)*IFERROR(CP372^SIGN(CP372),1)*IFERROR(CQ372^SIGN(CQ372),1)*IFERROR(CR372^SIGN(CR372),1)*IFERROR(CS372^SIGN(CS372),1)*IFERROR(CT372^SIGN(CT372),1)*IFERROR(CU372^SIGN(CU372),1)*IFERROR(CV372^SIGN(CV372),1)</f>
        <v>1728</v>
      </c>
      <c r="DC372" s="242">
        <f>SUM(CZ372:DB372)</f>
        <v>7488</v>
      </c>
      <c r="DD372" s="223">
        <f>CW372*CZ372/DC372</f>
        <v>3.6923076923076925</v>
      </c>
      <c r="DE372" s="223">
        <f>CX372*DA372/DC372</f>
        <v>11.076923076923077</v>
      </c>
      <c r="DF372" s="223">
        <f>CY372*DB372/DC372</f>
        <v>8.3076923076923084</v>
      </c>
      <c r="DG372" s="218">
        <f>SUM(DD372:DF372)</f>
        <v>23.07692307692308</v>
      </c>
      <c r="DH372" s="252">
        <f t="shared" si="3970"/>
        <v>0</v>
      </c>
      <c r="DI372" s="309">
        <f>DG372-DH372</f>
        <v>23.07692307692308</v>
      </c>
      <c r="DJ372" s="218">
        <f>IF(DG372&lt;=0,2,0)+IF(DG372&gt;0,DG372+1,0)*2+IF(DG372&gt;12,DG372-12,0)*2+IF(DG372&gt;13,DG372-13,0)*2+IF(DG372&gt;14,DG372-14,0)*2+IF(DG372&gt;15,DG372-15,0)*2+IF(DG372&gt;16,DG372-16,0)*2+IF(DG372&gt;17,DG372-17,0)*2+IF(DG372&gt;18,DG372-18,0)*2+IF(DG372&gt;19,DG372-19,0)*2+IF(DG372&gt;20,DG372-20,0)*2</f>
        <v>175.5384615384616</v>
      </c>
      <c r="DK372" s="242">
        <f>IF(DH372&lt;=0,2,0)+IF(DH372&gt;0,DH372+1,0)*2+IF(DH372&gt;12,DH372-12,0)*2+IF(DH372&gt;13,DH372-13,0)*2+IF(DH372&gt;14,DH372-14,0)*2+IF(DH372&gt;15,DH372-15,0)*2+IF(DH372&gt;16,DH372-16,0)*2+IF(DH372&gt;17,DH372-17,0)*2+IF(DH372&gt;18,DH372-18,0)*2+IF(DH372&gt;19,DH372-19,0)*2+IF(DH372&gt;20,DH372-20,0)*2</f>
        <v>2</v>
      </c>
      <c r="DL372" s="243">
        <f>IF((DJ372-DK372)&gt;0,DJ372-DK372,0)</f>
        <v>173.5384615384616</v>
      </c>
      <c r="DM372" s="218">
        <f>IF((DK372-DJ372)&gt;0,DK372-DJ372,0)</f>
        <v>0</v>
      </c>
      <c r="DO372" s="303" t="s">
        <v>429</v>
      </c>
      <c r="DP372" s="218" t="s">
        <v>79</v>
      </c>
      <c r="DQ372" s="218" t="s">
        <v>132</v>
      </c>
      <c r="DR372" s="234"/>
      <c r="DS372" s="234">
        <f>Konvention_1slave-KLslave</f>
        <v>12</v>
      </c>
      <c r="DT372" s="234"/>
      <c r="DU372" s="234">
        <f>Konvention_1slave-CHslave_CH</f>
        <v>11</v>
      </c>
      <c r="DV372" s="234"/>
      <c r="DW372" s="234"/>
      <c r="DX372" s="234">
        <f>Konvention_1slave-KOslave</f>
        <v>12</v>
      </c>
      <c r="DY372" s="234"/>
      <c r="DZ372" s="222">
        <f>(DR372+DS372+DT372+DU372+DV372+DW372+DX372+DY372)/3</f>
        <v>11.666666666666666</v>
      </c>
      <c r="EA372" s="223">
        <f>2*DZ372</f>
        <v>23.333333333333332</v>
      </c>
      <c r="EB372" s="224">
        <f>3*DZ372</f>
        <v>35</v>
      </c>
      <c r="EC372" s="234">
        <f>DR372*POWER(KLslave,SIGN(DS372))*POWER(INslave,SIGN(DT372))*POWER(CHslave_CH,SIGN(DU372))*POWER(FFslave,SIGN(DV372))*POWER(GEslave,SIGN(DW372))*POWER(KOslave,SIGN(DX372))*POWER(KKslave,SIGN(DY372))+DS372*POWER(MUslave,SIGN(DR372))*POWER(INslave,SIGN(DT372))*POWER(CHslave_CH,SIGN(DU372))*POWER(FFslave,SIGN(DV372))*POWER(GEslave,SIGN(DW372))*POWER(KOslave,SIGN(DX372))*POWER(KKslave,SIGN(DY372))+DT372*POWER(MUslave,SIGN(DR372))*POWER(KLslave,SIGN(DS372))*POWER(CHslave_CH,SIGN(DU372))*POWER(FFslave,SIGN(DV372))*POWER(GEslave,SIGN(DW372))*POWER(KOslave,SIGN(DX372))*POWER(KKslave,SIGN(DY372))+DU372*POWER(MUslave,SIGN(DR372))*POWER(KLslave,SIGN(DS372))*POWER(INslave,SIGN(DT372))*POWER(FFslave,SIGN(DV372))*POWER(GEslave,SIGN(DW372))*POWER(KOslave,SIGN(DX372))*POWER(KKslave,SIGN(DY372))+DV372*POWER(MUslave,SIGN(DR372))*POWER(KLslave,SIGN(DS372))*POWER(INslave,SIGN(DT372))*POWER(CHslave_CH,SIGN(DU372))*POWER(GEslave,SIGN(DW372))*POWER(KOslave,SIGN(DX372))*POWER(KKslave,SIGN(DY372))+DW372*POWER(MUslave,SIGN(DR372))*POWER(KLslave,SIGN(DS372))*POWER(INslave,SIGN(DT372))*POWER(CHslave_CH,SIGN(DU372))*POWER(FFslave,SIGN(DV372))*POWER(KOslave,SIGN(DX372))*POWER(KKslave,SIGN(DY372))+DX372*POWER(MUslave,SIGN(DR372))*POWER(KLslave,SIGN(DS372))*POWER(INslave,SIGN(DT372))*POWER(CHslave_CH,SIGN(DU372))*POWER(FFslave,SIGN(DV372))*POWER(GEslave,SIGN(DW372))*POWER(KKslave,SIGN(DY372))+DY372*POWER(MUslave,SIGN(DR372))*POWER(KLslave,SIGN(DS372))*POWER(INslave,SIGN(DT372))*POWER(CHslave_CH,SIGN(DU372))*POWER(FFslave,SIGN(DV372))*POWER(GEslave,SIGN(DW372))*POWER(KOslave,SIGN(DX372))</f>
        <v>2432</v>
      </c>
      <c r="ED372" s="234">
        <f>DS372*DU372*KOslave+DS372*CHslave_CH*DX372+KLslave*DU372*DX372</f>
        <v>3408</v>
      </c>
      <c r="EE372" s="234">
        <f>IFERROR(DR372^SIGN(DR372),1)*IFERROR(DS372^SIGN(DS372),1)*IFERROR(DT372^SIGN(DT372),1)*IFERROR(DU372^SIGN(DU372),1)*IFERROR(DV372^SIGN(DV372),1)*IFERROR(DW372^SIGN(DW372),1)*IFERROR(DX372^SIGN(DX372),1)*IFERROR(DY372^SIGN(DY372),1)</f>
        <v>1584</v>
      </c>
      <c r="EF372" s="242">
        <f>SUM(EC372:EE372)</f>
        <v>7424</v>
      </c>
      <c r="EG372" s="223">
        <f>DZ372*EC372/EF372</f>
        <v>3.8218390804597702</v>
      </c>
      <c r="EH372" s="223">
        <f>EA372*ED372/EF372</f>
        <v>10.711206896551724</v>
      </c>
      <c r="EI372" s="223">
        <f>EB372*EE372/EF372</f>
        <v>7.4676724137931032</v>
      </c>
      <c r="EJ372" s="218">
        <f>SUM(EG372:EI372)</f>
        <v>22.000718390804597</v>
      </c>
      <c r="EK372" s="252">
        <f t="shared" si="3986"/>
        <v>0</v>
      </c>
      <c r="EL372" s="309">
        <f>EJ372-EK372</f>
        <v>22.000718390804597</v>
      </c>
      <c r="EM372" s="218">
        <f>IF(EJ372&lt;=0,2,0)+IF(EJ372&gt;0,EJ372+1,0)*2+IF(EJ372&gt;12,EJ372-12,0)*2+IF(EJ372&gt;13,EJ372-13,0)*2+IF(EJ372&gt;14,EJ372-14,0)*2+IF(EJ372&gt;15,EJ372-15,0)*2+IF(EJ372&gt;16,EJ372-16,0)*2+IF(EJ372&gt;17,EJ372-17,0)*2+IF(EJ372&gt;18,EJ372-18,0)*2+IF(EJ372&gt;19,EJ372-19,0)*2+IF(EJ372&gt;20,EJ372-20,0)*2</f>
        <v>154.01436781609189</v>
      </c>
      <c r="EN372" s="242">
        <f>IF(EK372&lt;=0,2,0)+IF(EK372&gt;0,EK372+1,0)*2+IF(EK372&gt;12,EK372-12,0)*2+IF(EK372&gt;13,EK372-13,0)*2+IF(EK372&gt;14,EK372-14,0)*2+IF(EK372&gt;15,EK372-15,0)*2+IF(EK372&gt;16,EK372-16,0)*2+IF(EK372&gt;17,EK372-17,0)*2+IF(EK372&gt;18,EK372-18,0)*2+IF(EK372&gt;19,EK372-19,0)*2+IF(EK372&gt;20,EK372-20,0)*2</f>
        <v>2</v>
      </c>
      <c r="EO372" s="243">
        <f>IF((EM372-EN372)&gt;0,EM372-EN372,0)</f>
        <v>152.01436781609189</v>
      </c>
      <c r="EP372" s="218">
        <f>IF((EN372-EM372)&gt;0,EN372-EM372,0)</f>
        <v>0</v>
      </c>
      <c r="ER372" s="303" t="s">
        <v>429</v>
      </c>
      <c r="ES372" s="218" t="s">
        <v>79</v>
      </c>
      <c r="ET372" s="218" t="s">
        <v>132</v>
      </c>
      <c r="EU372" s="234"/>
      <c r="EV372" s="234">
        <f>Konvention_1slave-KLslave</f>
        <v>12</v>
      </c>
      <c r="EW372" s="234"/>
      <c r="EX372" s="234">
        <f>Konvention_1slave-CHslave</f>
        <v>12</v>
      </c>
      <c r="EY372" s="234"/>
      <c r="EZ372" s="234"/>
      <c r="FA372" s="234">
        <f>Konvention_1slave-KOslave</f>
        <v>12</v>
      </c>
      <c r="FB372" s="234"/>
      <c r="FC372" s="222">
        <f>(EU372+EV372+EW372+EX372+EY372+EZ372+FA372+FB372)/3</f>
        <v>12</v>
      </c>
      <c r="FD372" s="223">
        <f>2*FC372</f>
        <v>24</v>
      </c>
      <c r="FE372" s="224">
        <f>3*FC372</f>
        <v>36</v>
      </c>
      <c r="FF372" s="234">
        <f>EU372*POWER(KLslave,SIGN(EV372))*POWER(INslave,SIGN(EW372))*POWER(CHslave,SIGN(EX372))*POWER(FFslave_FF,SIGN(EY372))*POWER(GEslave,SIGN(EZ372))*POWER(KOslave,SIGN(FA372))*POWER(KKslave,SIGN(FB372))+EV372*POWER(MUslave,SIGN(EU372))*POWER(INslave,SIGN(EW372))*POWER(CHslave,SIGN(EX372))*POWER(FFslave_FF,SIGN(EY372))*POWER(GEslave,SIGN(EZ372))*POWER(KOslave,SIGN(FA372))*POWER(KKslave,SIGN(FB372))+EW372*POWER(MUslave,SIGN(EU372))*POWER(KLslave,SIGN(EV372))*POWER(CHslave,SIGN(EX372))*POWER(FFslave_FF,SIGN(EY372))*POWER(GEslave,SIGN(EZ372))*POWER(KOslave,SIGN(FA372))*POWER(KKslave,SIGN(FB372))+EX372*POWER(MUslave,SIGN(EU372))*POWER(KLslave,SIGN(EV372))*POWER(INslave,SIGN(EW372))*POWER(FFslave_FF,SIGN(EY372))*POWER(GEslave,SIGN(EZ372))*POWER(KOslave,SIGN(FA372))*POWER(KKslave,SIGN(FB372))+EY372*POWER(MUslave,SIGN(EU372))*POWER(KLslave,SIGN(EV372))*POWER(INslave,SIGN(EW372))*POWER(CHslave,SIGN(EX372))*POWER(GEslave,SIGN(EZ372))*POWER(KOslave,SIGN(FA372))*POWER(KKslave,SIGN(FB372))+EZ372*POWER(MUslave,SIGN(EU372))*POWER(KLslave,SIGN(EV372))*POWER(INslave,SIGN(EW372))*POWER(CHslave,SIGN(EX372))*POWER(FFslave_FF,SIGN(EY372))*POWER(KOslave,SIGN(FA372))*POWER(KKslave,SIGN(FB372))+FA372*POWER(MUslave,SIGN(EU372))*POWER(KLslave,SIGN(EV372))*POWER(INslave,SIGN(EW372))*POWER(CHslave,SIGN(EX372))*POWER(FFslave_FF,SIGN(EY372))*POWER(GEslave,SIGN(EZ372))*POWER(KKslave,SIGN(FB372))+FB372*POWER(MUslave,SIGN(EU372))*POWER(KLslave,SIGN(EV372))*POWER(INslave,SIGN(EW372))*POWER(CHslave,SIGN(EX372))*POWER(FFslave_FF,SIGN(EY372))*POWER(GEslave,SIGN(EZ372))*POWER(KOslave,SIGN(FA372))</f>
        <v>2304</v>
      </c>
      <c r="FG372" s="234">
        <f>EV372*EX372*KOslave+EV372*CHslave*FA372+KLslave*EX372*FA372</f>
        <v>3456</v>
      </c>
      <c r="FH372" s="234">
        <f>IFERROR(EU372^SIGN(EU372),1)*IFERROR(EV372^SIGN(EV372),1)*IFERROR(EW372^SIGN(EW372),1)*IFERROR(EX372^SIGN(EX372),1)*IFERROR(EY372^SIGN(EY372),1)*IFERROR(EZ372^SIGN(EZ372),1)*IFERROR(FA372^SIGN(FA372),1)*IFERROR(FB372^SIGN(FB372),1)</f>
        <v>1728</v>
      </c>
      <c r="FI372" s="242">
        <f>SUM(FF372:FH372)</f>
        <v>7488</v>
      </c>
      <c r="FJ372" s="223">
        <f>FC372*FF372/FI372</f>
        <v>3.6923076923076925</v>
      </c>
      <c r="FK372" s="223">
        <f>FD372*FG372/FI372</f>
        <v>11.076923076923077</v>
      </c>
      <c r="FL372" s="223">
        <f>FE372*FH372/FI372</f>
        <v>8.3076923076923084</v>
      </c>
      <c r="FM372" s="218">
        <f>SUM(FJ372:FL372)</f>
        <v>23.07692307692308</v>
      </c>
      <c r="FN372" s="252">
        <f t="shared" si="4002"/>
        <v>0</v>
      </c>
      <c r="FO372" s="309">
        <f>FM372-FN372</f>
        <v>23.07692307692308</v>
      </c>
      <c r="FP372" s="218">
        <f>IF(FM372&lt;=0,2,0)+IF(FM372&gt;0,FM372+1,0)*2+IF(FM372&gt;12,FM372-12,0)*2+IF(FM372&gt;13,FM372-13,0)*2+IF(FM372&gt;14,FM372-14,0)*2+IF(FM372&gt;15,FM372-15,0)*2+IF(FM372&gt;16,FM372-16,0)*2+IF(FM372&gt;17,FM372-17,0)*2+IF(FM372&gt;18,FM372-18,0)*2+IF(FM372&gt;19,FM372-19,0)*2+IF(FM372&gt;20,FM372-20,0)*2</f>
        <v>175.5384615384616</v>
      </c>
      <c r="FQ372" s="242">
        <f>IF(FN372&lt;=0,2,0)+IF(FN372&gt;0,FN372+1,0)*2+IF(FN372&gt;12,FN372-12,0)*2+IF(FN372&gt;13,FN372-13,0)*2+IF(FN372&gt;14,FN372-14,0)*2+IF(FN372&gt;15,FN372-15,0)*2+IF(FN372&gt;16,FN372-16,0)*2+IF(FN372&gt;17,FN372-17,0)*2+IF(FN372&gt;18,FN372-18,0)*2+IF(FN372&gt;19,FN372-19,0)*2+IF(FN372&gt;20,FN372-20,0)*2</f>
        <v>2</v>
      </c>
      <c r="FR372" s="243">
        <f>IF((FP372-FQ372)&gt;0,FP372-FQ372,0)</f>
        <v>173.5384615384616</v>
      </c>
      <c r="FS372" s="218">
        <f>IF((FQ372-FP372)&gt;0,FQ372-FP372,0)</f>
        <v>0</v>
      </c>
      <c r="FU372" s="303" t="s">
        <v>429</v>
      </c>
      <c r="FV372" s="218" t="s">
        <v>79</v>
      </c>
      <c r="FW372" s="218" t="s">
        <v>132</v>
      </c>
      <c r="FX372" s="234"/>
      <c r="FY372" s="234">
        <f>Konvention_1slave-KLslave</f>
        <v>12</v>
      </c>
      <c r="FZ372" s="234"/>
      <c r="GA372" s="234">
        <f>Konvention_1slave-CHslave</f>
        <v>12</v>
      </c>
      <c r="GB372" s="234"/>
      <c r="GC372" s="234"/>
      <c r="GD372" s="234">
        <f>Konvention_1slave-KOslave</f>
        <v>12</v>
      </c>
      <c r="GE372" s="234"/>
      <c r="GF372" s="222">
        <f>(FX372+FY372+FZ372+GA372+GB372+GC372+GD372+GE372)/3</f>
        <v>12</v>
      </c>
      <c r="GG372" s="223">
        <f>2*GF372</f>
        <v>24</v>
      </c>
      <c r="GH372" s="224">
        <f>3*GF372</f>
        <v>36</v>
      </c>
      <c r="GI372" s="234">
        <f>FX372*POWER(KLslave,SIGN(FY372))*POWER(INslave,SIGN(FZ372))*POWER(CHslave,SIGN(GA372))*POWER(FFslave,SIGN(GB372))*POWER(GEslave_GE,SIGN(GC372))*POWER(KOslave,SIGN(GD372))*POWER(KKslave,SIGN(GE372))+FY372*POWER(MUslave,SIGN(FX372))*POWER(INslave,SIGN(FZ372))*POWER(CHslave,SIGN(GA372))*POWER(FFslave,SIGN(GB372))*POWER(GEslave_GE,SIGN(GC372))*POWER(KOslave,SIGN(GD372))*POWER(KKslave,SIGN(GE372))+FZ372*POWER(MUslave,SIGN(FX372))*POWER(KLslave,SIGN(FY372))*POWER(CHslave,SIGN(GA372))*POWER(FFslave,SIGN(GB372))*POWER(GEslave_GE,SIGN(GC372))*POWER(KOslave,SIGN(GD372))*POWER(KKslave,SIGN(GE372))+GA372*POWER(MUslave,SIGN(FX372))*POWER(KLslave,SIGN(FY372))*POWER(INslave,SIGN(FZ372))*POWER(FFslave,SIGN(GB372))*POWER(GEslave_GE,SIGN(GC372))*POWER(KOslave,SIGN(GD372))*POWER(KKslave,SIGN(GE372))+GB372*POWER(MUslave,SIGN(FX372))*POWER(KLslave,SIGN(FY372))*POWER(INslave,SIGN(FZ372))*POWER(CHslave,SIGN(GA372))*POWER(GEslave_GE,SIGN(GC372))*POWER(KOslave,SIGN(GD372))*POWER(KKslave,SIGN(GE372))+GC372*POWER(MUslave,SIGN(FX372))*POWER(KLslave,SIGN(FY372))*POWER(INslave,SIGN(FZ372))*POWER(CHslave,SIGN(GA372))*POWER(FFslave,SIGN(GB372))*POWER(KOslave,SIGN(GD372))*POWER(KKslave,SIGN(GE372))+GD372*POWER(MUslave,SIGN(FX372))*POWER(KLslave,SIGN(FY372))*POWER(INslave,SIGN(FZ372))*POWER(CHslave,SIGN(GA372))*POWER(FFslave,SIGN(GB372))*POWER(GEslave_GE,SIGN(GC372))*POWER(KKslave,SIGN(GE372))+GE372*POWER(MUslave,SIGN(FX372))*POWER(KLslave,SIGN(FY372))*POWER(INslave,SIGN(FZ372))*POWER(CHslave,SIGN(GA372))*POWER(FFslave,SIGN(GB372))*POWER(GEslave_GE,SIGN(GC372))*POWER(KOslave,SIGN(GD372))</f>
        <v>2304</v>
      </c>
      <c r="GJ372" s="234">
        <f>FY372*GA372*KOslave+FY372*CHslave*GD372+KLslave*GA372*GD372</f>
        <v>3456</v>
      </c>
      <c r="GK372" s="234">
        <f>IFERROR(FX372^SIGN(FX372),1)*IFERROR(FY372^SIGN(FY372),1)*IFERROR(FZ372^SIGN(FZ372),1)*IFERROR(GA372^SIGN(GA372),1)*IFERROR(GB372^SIGN(GB372),1)*IFERROR(GC372^SIGN(GC372),1)*IFERROR(GD372^SIGN(GD372),1)*IFERROR(GE372^SIGN(GE372),1)</f>
        <v>1728</v>
      </c>
      <c r="GL372" s="242">
        <f>SUM(GI372:GK372)</f>
        <v>7488</v>
      </c>
      <c r="GM372" s="223">
        <f>GF372*GI372/GL372</f>
        <v>3.6923076923076925</v>
      </c>
      <c r="GN372" s="223">
        <f>GG372*GJ372/GL372</f>
        <v>11.076923076923077</v>
      </c>
      <c r="GO372" s="223">
        <f>GH372*GK372/GL372</f>
        <v>8.3076923076923084</v>
      </c>
      <c r="GP372" s="218">
        <f>SUM(GM372:GO372)</f>
        <v>23.07692307692308</v>
      </c>
      <c r="GQ372" s="252">
        <f t="shared" si="4018"/>
        <v>0</v>
      </c>
      <c r="GR372" s="309">
        <f>GP372-GQ372</f>
        <v>23.07692307692308</v>
      </c>
      <c r="GS372" s="218">
        <f>IF(GP372&lt;=0,2,0)+IF(GP372&gt;0,GP372+1,0)*2+IF(GP372&gt;12,GP372-12,0)*2+IF(GP372&gt;13,GP372-13,0)*2+IF(GP372&gt;14,GP372-14,0)*2+IF(GP372&gt;15,GP372-15,0)*2+IF(GP372&gt;16,GP372-16,0)*2+IF(GP372&gt;17,GP372-17,0)*2+IF(GP372&gt;18,GP372-18,0)*2+IF(GP372&gt;19,GP372-19,0)*2+IF(GP372&gt;20,GP372-20,0)*2</f>
        <v>175.5384615384616</v>
      </c>
      <c r="GT372" s="242">
        <f>IF(GQ372&lt;=0,2,0)+IF(GQ372&gt;0,GQ372+1,0)*2+IF(GQ372&gt;12,GQ372-12,0)*2+IF(GQ372&gt;13,GQ372-13,0)*2+IF(GQ372&gt;14,GQ372-14,0)*2+IF(GQ372&gt;15,GQ372-15,0)*2+IF(GQ372&gt;16,GQ372-16,0)*2+IF(GQ372&gt;17,GQ372-17,0)*2+IF(GQ372&gt;18,GQ372-18,0)*2+IF(GQ372&gt;19,GQ372-19,0)*2+IF(GQ372&gt;20,GQ372-20,0)*2</f>
        <v>2</v>
      </c>
      <c r="GU372" s="243">
        <f>IF((GS372-GT372)&gt;0,GS372-GT372,0)</f>
        <v>173.5384615384616</v>
      </c>
      <c r="GV372" s="218">
        <f>IF((GT372-GS372)&gt;0,GT372-GS372,0)</f>
        <v>0</v>
      </c>
      <c r="GX372" s="303" t="s">
        <v>429</v>
      </c>
      <c r="GY372" s="218" t="s">
        <v>79</v>
      </c>
      <c r="GZ372" s="218" t="s">
        <v>132</v>
      </c>
      <c r="HA372" s="234"/>
      <c r="HB372" s="234">
        <f>Konvention_1slave-KLslave</f>
        <v>12</v>
      </c>
      <c r="HC372" s="234"/>
      <c r="HD372" s="234">
        <f>Konvention_1slave-CHslave</f>
        <v>12</v>
      </c>
      <c r="HE372" s="234"/>
      <c r="HF372" s="234"/>
      <c r="HG372" s="234">
        <f>Konvention_1slave-KOslave_KO</f>
        <v>11</v>
      </c>
      <c r="HH372" s="234"/>
      <c r="HI372" s="222">
        <f>(HA372+HB372+HC372+HD372+HE372+HF372+HG372+HH372)/3</f>
        <v>11.666666666666666</v>
      </c>
      <c r="HJ372" s="223">
        <f>2*HI372</f>
        <v>23.333333333333332</v>
      </c>
      <c r="HK372" s="224">
        <f>3*HI372</f>
        <v>35</v>
      </c>
      <c r="HL372" s="234">
        <f>HA372*POWER(KLslave,SIGN(HB372))*POWER(INslave,SIGN(HC372))*POWER(CHslave,SIGN(HD372))*POWER(FFslave,SIGN(HE372))*POWER(GEslave,SIGN(HF372))*POWER(KOslave_KO,SIGN(HG372))*POWER(KKslave,SIGN(HH372))+HB372*POWER(MUslave,SIGN(HA372))*POWER(INslave,SIGN(HC372))*POWER(CHslave,SIGN(HD372))*POWER(FFslave,SIGN(HE372))*POWER(GEslave,SIGN(HF372))*POWER(KOslave_KO,SIGN(HG372))*POWER(KKslave,SIGN(HH372))+HC372*POWER(MUslave,SIGN(HA372))*POWER(KLslave,SIGN(HB372))*POWER(CHslave,SIGN(HD372))*POWER(FFslave,SIGN(HE372))*POWER(GEslave,SIGN(HF372))*POWER(KOslave_KO,SIGN(HG372))*POWER(KKslave,SIGN(HH372))+HD372*POWER(MUslave,SIGN(HA372))*POWER(KLslave,SIGN(HB372))*POWER(INslave,SIGN(HC372))*POWER(FFslave,SIGN(HE372))*POWER(GEslave,SIGN(HF372))*POWER(KOslave_KO,SIGN(HG372))*POWER(KKslave,SIGN(HH372))+HE372*POWER(MUslave,SIGN(HA372))*POWER(KLslave,SIGN(HB372))*POWER(INslave,SIGN(HC372))*POWER(CHslave,SIGN(HD372))*POWER(GEslave,SIGN(HF372))*POWER(KOslave_KO,SIGN(HG372))*POWER(KKslave,SIGN(HH372))+HF372*POWER(MUslave,SIGN(HA372))*POWER(KLslave,SIGN(HB372))*POWER(INslave,SIGN(HC372))*POWER(CHslave,SIGN(HD372))*POWER(FFslave,SIGN(HE372))*POWER(KOslave_KO,SIGN(HG372))*POWER(KKslave,SIGN(HH372))+HG372*POWER(MUslave,SIGN(HA372))*POWER(KLslave,SIGN(HB372))*POWER(INslave,SIGN(HC372))*POWER(CHslave,SIGN(HD372))*POWER(FFslave,SIGN(HE372))*POWER(GEslave,SIGN(HF372))*POWER(KKslave,SIGN(HH372))+HH372*POWER(MUslave,SIGN(HA372))*POWER(KLslave,SIGN(HB372))*POWER(INslave,SIGN(HC372))*POWER(CHslave,SIGN(HD372))*POWER(FFslave,SIGN(HE372))*POWER(GEslave,SIGN(HF372))*POWER(KOslave_KO,SIGN(HG372))</f>
        <v>2432</v>
      </c>
      <c r="HM372" s="234">
        <f>HB372*HD372*KOslave_KO+HB372*CHslave*HG372+KLslave*HD372*HG372</f>
        <v>3408</v>
      </c>
      <c r="HN372" s="234">
        <f>IFERROR(HA372^SIGN(HA372),1)*IFERROR(HB372^SIGN(HB372),1)*IFERROR(HC372^SIGN(HC372),1)*IFERROR(HD372^SIGN(HD372),1)*IFERROR(HE372^SIGN(HE372),1)*IFERROR(HF372^SIGN(HF372),1)*IFERROR(HG372^SIGN(HG372),1)*IFERROR(HH372^SIGN(HH372),1)</f>
        <v>1584</v>
      </c>
      <c r="HO372" s="242">
        <f>SUM(HL372:HN372)</f>
        <v>7424</v>
      </c>
      <c r="HP372" s="223">
        <f>HI372*HL372/HO372</f>
        <v>3.8218390804597702</v>
      </c>
      <c r="HQ372" s="223">
        <f>HJ372*HM372/HO372</f>
        <v>10.711206896551724</v>
      </c>
      <c r="HR372" s="223">
        <f>HK372*HN372/HO372</f>
        <v>7.4676724137931032</v>
      </c>
      <c r="HS372" s="218">
        <f>SUM(HP372:HR372)</f>
        <v>22.000718390804597</v>
      </c>
      <c r="HT372" s="252">
        <f t="shared" si="4034"/>
        <v>0</v>
      </c>
      <c r="HU372" s="309">
        <f>HS372-HT372</f>
        <v>22.000718390804597</v>
      </c>
      <c r="HV372" s="218">
        <f>IF(HS372&lt;=0,2,0)+IF(HS372&gt;0,HS372+1,0)*2+IF(HS372&gt;12,HS372-12,0)*2+IF(HS372&gt;13,HS372-13,0)*2+IF(HS372&gt;14,HS372-14,0)*2+IF(HS372&gt;15,HS372-15,0)*2+IF(HS372&gt;16,HS372-16,0)*2+IF(HS372&gt;17,HS372-17,0)*2+IF(HS372&gt;18,HS372-18,0)*2+IF(HS372&gt;19,HS372-19,0)*2+IF(HS372&gt;20,HS372-20,0)*2</f>
        <v>154.01436781609189</v>
      </c>
      <c r="HW372" s="242">
        <f>IF(HT372&lt;=0,2,0)+IF(HT372&gt;0,HT372+1,0)*2+IF(HT372&gt;12,HT372-12,0)*2+IF(HT372&gt;13,HT372-13,0)*2+IF(HT372&gt;14,HT372-14,0)*2+IF(HT372&gt;15,HT372-15,0)*2+IF(HT372&gt;16,HT372-16,0)*2+IF(HT372&gt;17,HT372-17,0)*2+IF(HT372&gt;18,HT372-18,0)*2+IF(HT372&gt;19,HT372-19,0)*2+IF(HT372&gt;20,HT372-20,0)*2</f>
        <v>2</v>
      </c>
      <c r="HX372" s="243">
        <f>IF((HV372-HW372)&gt;0,HV372-HW372,0)</f>
        <v>152.01436781609189</v>
      </c>
      <c r="HY372" s="218">
        <f>IF((HW372-HV372)&gt;0,HW372-HV372,0)</f>
        <v>0</v>
      </c>
      <c r="IA372" s="303" t="s">
        <v>429</v>
      </c>
      <c r="IB372" s="218" t="s">
        <v>79</v>
      </c>
      <c r="IC372" s="218" t="s">
        <v>132</v>
      </c>
      <c r="ID372" s="234"/>
      <c r="IE372" s="234">
        <f>Konvention_1slave-KLslave</f>
        <v>12</v>
      </c>
      <c r="IF372" s="234"/>
      <c r="IG372" s="234">
        <f>Konvention_1slave-CHslave</f>
        <v>12</v>
      </c>
      <c r="IH372" s="234"/>
      <c r="II372" s="234"/>
      <c r="IJ372" s="234">
        <f>Konvention_1slave-KOslave</f>
        <v>12</v>
      </c>
      <c r="IK372" s="234"/>
      <c r="IL372" s="222">
        <f>(ID372+IE372+IF372+IG372+IH372+II372+IJ372+IK372)/3</f>
        <v>12</v>
      </c>
      <c r="IM372" s="223">
        <f>2*IL372</f>
        <v>24</v>
      </c>
      <c r="IN372" s="224">
        <f>3*IL372</f>
        <v>36</v>
      </c>
      <c r="IO372" s="234">
        <f>ID372*POWER(KLslave,SIGN(IE372))*POWER(INslave,SIGN(IF372))*POWER(CHslave,SIGN(IG372))*POWER(FFslave,SIGN(IH372))*POWER(GEslave,SIGN(II372))*POWER(KOslave,SIGN(IJ372))*POWER(KKslave_KK,SIGN(IK372))+IE372*POWER(MUslave,SIGN(ID372))*POWER(INslave,SIGN(IF372))*POWER(CHslave,SIGN(IG372))*POWER(FFslave,SIGN(IH372))*POWER(GEslave,SIGN(II372))*POWER(KOslave,SIGN(IJ372))*POWER(KKslave_KK,SIGN(IK372))+IF372*POWER(MUslave,SIGN(ID372))*POWER(KLslave,SIGN(IE372))*POWER(CHslave,SIGN(IG372))*POWER(FFslave,SIGN(IH372))*POWER(GEslave,SIGN(II372))*POWER(KOslave,SIGN(IJ372))*POWER(KKslave_KK,SIGN(IK372))+IG372*POWER(MUslave,SIGN(ID372))*POWER(KLslave,SIGN(IE372))*POWER(INslave,SIGN(IF372))*POWER(FFslave,SIGN(IH372))*POWER(GEslave,SIGN(II372))*POWER(KOslave,SIGN(IJ372))*POWER(KKslave_KK,SIGN(IK372))+IH372*POWER(MUslave,SIGN(ID372))*POWER(KLslave,SIGN(IE372))*POWER(INslave,SIGN(IF372))*POWER(CHslave,SIGN(IG372))*POWER(GEslave,SIGN(II372))*POWER(KOslave,SIGN(IJ372))*POWER(KKslave_KK,SIGN(IK372))+II372*POWER(MUslave,SIGN(ID372))*POWER(KLslave,SIGN(IE372))*POWER(INslave,SIGN(IF372))*POWER(CHslave,SIGN(IG372))*POWER(FFslave,SIGN(IH372))*POWER(KOslave,SIGN(IJ372))*POWER(KKslave_KK,SIGN(IK372))+IJ372*POWER(MUslave,SIGN(ID372))*POWER(KLslave,SIGN(IE372))*POWER(INslave,SIGN(IF372))*POWER(CHslave,SIGN(IG372))*POWER(FFslave,SIGN(IH372))*POWER(GEslave,SIGN(II372))*POWER(KKslave_KK,SIGN(IK372))+IK372*POWER(MUslave,SIGN(ID372))*POWER(KLslave,SIGN(IE372))*POWER(INslave,SIGN(IF372))*POWER(CHslave,SIGN(IG372))*POWER(FFslave,SIGN(IH372))*POWER(GEslave,SIGN(II372))*POWER(KOslave,SIGN(IJ372))</f>
        <v>2304</v>
      </c>
      <c r="IP372" s="234">
        <f>IE372*IG372*KOslave+IE372*CHslave*IJ372+KLslave*IG372*IJ372</f>
        <v>3456</v>
      </c>
      <c r="IQ372" s="234">
        <f>IFERROR(ID372^SIGN(ID372),1)*IFERROR(IE372^SIGN(IE372),1)*IFERROR(IF372^SIGN(IF372),1)*IFERROR(IG372^SIGN(IG372),1)*IFERROR(IH372^SIGN(IH372),1)*IFERROR(II372^SIGN(II372),1)*IFERROR(IJ372^SIGN(IJ372),1)*IFERROR(IK372^SIGN(IK372),1)</f>
        <v>1728</v>
      </c>
      <c r="IR372" s="242">
        <f>SUM(IO372:IQ372)</f>
        <v>7488</v>
      </c>
      <c r="IS372" s="223">
        <f>IL372*IO372/IR372</f>
        <v>3.6923076923076925</v>
      </c>
      <c r="IT372" s="223">
        <f>IM372*IP372/IR372</f>
        <v>11.076923076923077</v>
      </c>
      <c r="IU372" s="223">
        <f>IN372*IQ372/IR372</f>
        <v>8.3076923076923084</v>
      </c>
      <c r="IV372" s="218">
        <f>SUM(IS372:IU372)</f>
        <v>23.07692307692308</v>
      </c>
      <c r="IW372" s="252">
        <f t="shared" si="4050"/>
        <v>0</v>
      </c>
      <c r="IX372" s="309">
        <f>IV372-IW372</f>
        <v>23.07692307692308</v>
      </c>
      <c r="IY372" s="218">
        <f>IF(IV372&lt;=0,2,0)+IF(IV372&gt;0,IV372+1,0)*2+IF(IV372&gt;12,IV372-12,0)*2+IF(IV372&gt;13,IV372-13,0)*2+IF(IV372&gt;14,IV372-14,0)*2+IF(IV372&gt;15,IV372-15,0)*2+IF(IV372&gt;16,IV372-16,0)*2+IF(IV372&gt;17,IV372-17,0)*2+IF(IV372&gt;18,IV372-18,0)*2+IF(IV372&gt;19,IV372-19,0)*2+IF(IV372&gt;20,IV372-20,0)*2</f>
        <v>175.5384615384616</v>
      </c>
      <c r="IZ372" s="242">
        <f>IF(IW372&lt;=0,2,0)+IF(IW372&gt;0,IW372+1,0)*2+IF(IW372&gt;12,IW372-12,0)*2+IF(IW372&gt;13,IW372-13,0)*2+IF(IW372&gt;14,IW372-14,0)*2+IF(IW372&gt;15,IW372-15,0)*2+IF(IW372&gt;16,IW372-16,0)*2+IF(IW372&gt;17,IW372-17,0)*2+IF(IW372&gt;18,IW372-18,0)*2+IF(IW372&gt;19,IW372-19,0)*2+IF(IW372&gt;20,IW372-20,0)*2</f>
        <v>2</v>
      </c>
      <c r="JA372" s="243">
        <f>IF((IY372-IZ372)&gt;0,IY372-IZ372,0)</f>
        <v>173.5384615384616</v>
      </c>
      <c r="JB372" s="218">
        <f>IF((IZ372-IY372)&gt;0,IZ372-IY372,0)</f>
        <v>0</v>
      </c>
      <c r="JE372" s="148"/>
    </row>
    <row r="373" spans="2:265" hidden="1" outlineLevel="2">
      <c r="B373" s="148">
        <v>7</v>
      </c>
      <c r="C373" s="303" t="e">
        <f>VLOOKUP(AF373,Attribute!C:T,1,FALSE)</f>
        <v>#N/A</v>
      </c>
      <c r="D373" s="125" t="s">
        <v>181</v>
      </c>
      <c r="E373" s="125" t="s">
        <v>133</v>
      </c>
      <c r="F373" s="113">
        <f>Konvention_1master-MUmaster</f>
        <v>12</v>
      </c>
      <c r="G373" s="113"/>
      <c r="H373" s="113">
        <f t="shared" si="4055"/>
        <v>12</v>
      </c>
      <c r="I373" s="113"/>
      <c r="J373" s="113"/>
      <c r="K373" s="113"/>
      <c r="L373" s="113"/>
      <c r="M373" s="113"/>
      <c r="N373" s="222">
        <f>(F373+H373+H373)/3</f>
        <v>12</v>
      </c>
      <c r="O373" s="223">
        <f t="shared" si="4056"/>
        <v>24</v>
      </c>
      <c r="P373" s="224">
        <f t="shared" si="4057"/>
        <v>36</v>
      </c>
      <c r="Q373" s="234">
        <f>H373*POWER(MUmaster,SIGN(F373))*POWER(INmaster,SIGN(H373))+H373*POWER(MUmaster,SIGN(F373))*POWER(INmaster,SIGN(H373))+F373*POWER(INmaster,SIGN(H373))*POWER(INmaster,SIGN(H373))</f>
        <v>2304</v>
      </c>
      <c r="R373" s="113">
        <f>F373*H373*INmaster+F373*INmaster*H373+MUmaster*H373*H373</f>
        <v>3456</v>
      </c>
      <c r="S373" s="234">
        <f>F373*H373*H373</f>
        <v>1728</v>
      </c>
      <c r="T373" s="242">
        <f t="shared" si="4058"/>
        <v>7488</v>
      </c>
      <c r="U373" s="223">
        <f t="shared" si="4059"/>
        <v>3.6923076923076925</v>
      </c>
      <c r="V373" s="223">
        <f t="shared" si="4060"/>
        <v>11.076923076923077</v>
      </c>
      <c r="W373" s="223">
        <f t="shared" si="4061"/>
        <v>8.3076923076923084</v>
      </c>
      <c r="X373" s="218">
        <f t="shared" si="4062"/>
        <v>23.07692307692308</v>
      </c>
      <c r="Y373" s="252">
        <v>0</v>
      </c>
      <c r="Z373" s="198">
        <f t="shared" si="4063"/>
        <v>23.07692307692308</v>
      </c>
      <c r="AA373" s="125">
        <f>IF(X373&lt;=0,1,0)+IF(X373&gt;0,X373+1,0)*1+IF(X373&gt;12,X373-12,0)*1+IF(X373&gt;13,X373-13,0)*1+IF(X373&gt;14,X373-14,0)*1+IF(X373&gt;15,X373-15,0)*1+IF(X373&gt;16,X373-16,0)*1+IF(X373&gt;17,X373-17,0)*1+IF(X373&gt;18,X373-18,0)*1+IF(X373&gt;19,X373-19,0)*1+IF(X373&gt;20,X373-20,0)*1</f>
        <v>87.769230769230802</v>
      </c>
      <c r="AB373" s="160">
        <f>IF(Y373&lt;=0,1,0)+IF(Y373&gt;0,Y373+1,0)*1+IF(Y373&gt;12,Y373-12,0)*1+IF(Y373&gt;13,Y373-13,0)*1+IF(Y373&gt;14,Y373-14,0)*1+IF(Y373&gt;15,Y373-15,0)*1+IF(Y373&gt;16,Y373-16,0)*1+IF(Y373&gt;17,Y373-17,0)*1+IF(Y373&gt;18,Y373-18,0)*1+IF(Y373&gt;19,Y373-19,0)*1+IF(Y373&gt;20,Y373-20,0)*1</f>
        <v>1</v>
      </c>
      <c r="AC373" s="127">
        <f t="shared" si="4065"/>
        <v>86.769230769230802</v>
      </c>
      <c r="AD373" s="125">
        <f t="shared" si="4066"/>
        <v>0</v>
      </c>
      <c r="AF373" s="163" t="s">
        <v>177</v>
      </c>
      <c r="AG373" s="125" t="s">
        <v>181</v>
      </c>
      <c r="AH373" s="125" t="s">
        <v>133</v>
      </c>
      <c r="AI373" s="113">
        <f>Konvention_1slave-MUslave_MU</f>
        <v>11</v>
      </c>
      <c r="AJ373" s="113"/>
      <c r="AK373" s="113">
        <f t="shared" si="4067"/>
        <v>12</v>
      </c>
      <c r="AL373" s="113"/>
      <c r="AM373" s="113"/>
      <c r="AN373" s="113"/>
      <c r="AO373" s="113"/>
      <c r="AP373" s="113"/>
      <c r="AQ373" s="89">
        <f>(AI373+AK373+AK373)/3</f>
        <v>11.666666666666666</v>
      </c>
      <c r="AR373" s="47">
        <f t="shared" si="4068"/>
        <v>23.333333333333332</v>
      </c>
      <c r="AS373" s="119">
        <f t="shared" si="4069"/>
        <v>35</v>
      </c>
      <c r="AT373" s="113">
        <f>AK373*POWER(MUslave_MU,SIGN(AI373))*POWER(INslave,SIGN(AK373))+AK373*POWER(MUslave_MU,SIGN(AI373))*POWER(INslave,SIGN(AK373))+AI373*POWER(INslave,SIGN(AK373))*POWER(INslave,SIGN(AK373))</f>
        <v>2432</v>
      </c>
      <c r="AU373" s="113">
        <f>AI373*AK373*INslave+AI373*INslave*AK373+MUslave_MU*AK373*AK373</f>
        <v>3408</v>
      </c>
      <c r="AV373" s="113">
        <f>AI373*AK373*AK373</f>
        <v>1584</v>
      </c>
      <c r="AW373" s="160">
        <f t="shared" si="4070"/>
        <v>7424</v>
      </c>
      <c r="AX373" s="47">
        <f t="shared" si="4071"/>
        <v>3.8218390804597702</v>
      </c>
      <c r="AY373" s="47">
        <f t="shared" si="4072"/>
        <v>10.711206896551724</v>
      </c>
      <c r="AZ373" s="47">
        <f t="shared" si="4073"/>
        <v>7.4676724137931032</v>
      </c>
      <c r="BA373" s="125">
        <f t="shared" si="4074"/>
        <v>22.000718390804597</v>
      </c>
      <c r="BB373" s="165">
        <f t="shared" si="3938"/>
        <v>0</v>
      </c>
      <c r="BC373" s="198">
        <f t="shared" si="4075"/>
        <v>22.000718390804597</v>
      </c>
      <c r="BD373" s="125">
        <f>IF(BA373&lt;=0,1,0)+IF(BA373&gt;0,BA373+1,0)*1+IF(BA373&gt;12,BA373-12,0)*1+IF(BA373&gt;13,BA373-13,0)*1+IF(BA373&gt;14,BA373-14,0)*1+IF(BA373&gt;15,BA373-15,0)*1+IF(BA373&gt;16,BA373-16,0)*1+IF(BA373&gt;17,BA373-17,0)*1+IF(BA373&gt;18,BA373-18,0)*1+IF(BA373&gt;19,BA373-19,0)*1+IF(BA373&gt;20,BA373-20,0)*1</f>
        <v>77.007183908045945</v>
      </c>
      <c r="BE373" s="160">
        <f>IF(BB373&lt;=0,1,0)+IF(BB373&gt;0,BB373+1,0)*1+IF(BB373&gt;12,BB373-12,0)*1+IF(BB373&gt;13,BB373-13,0)*1+IF(BB373&gt;14,BB373-14,0)*1+IF(BB373&gt;15,BB373-15,0)*1+IF(BB373&gt;16,BB373-16,0)*1+IF(BB373&gt;17,BB373-17,0)*1+IF(BB373&gt;18,BB373-18,0)*1+IF(BB373&gt;19,BB373-19,0)*1+IF(BB373&gt;20,BB373-20,0)*1</f>
        <v>1</v>
      </c>
      <c r="BF373" s="243">
        <f t="shared" si="4077"/>
        <v>76.007183908045945</v>
      </c>
      <c r="BG373" s="218">
        <f t="shared" si="4078"/>
        <v>0</v>
      </c>
      <c r="BI373" s="303" t="s">
        <v>177</v>
      </c>
      <c r="BJ373" s="218" t="s">
        <v>181</v>
      </c>
      <c r="BK373" s="218" t="s">
        <v>133</v>
      </c>
      <c r="BL373" s="234">
        <f>Konvention_1slave-MUslave</f>
        <v>12</v>
      </c>
      <c r="BM373" s="234"/>
      <c r="BN373" s="234">
        <f t="shared" si="4079"/>
        <v>12</v>
      </c>
      <c r="BO373" s="234"/>
      <c r="BP373" s="234"/>
      <c r="BQ373" s="234"/>
      <c r="BR373" s="234"/>
      <c r="BS373" s="234"/>
      <c r="BT373" s="222">
        <f>(BL373+BN373+BN373)/3</f>
        <v>12</v>
      </c>
      <c r="BU373" s="223">
        <f t="shared" si="4080"/>
        <v>24</v>
      </c>
      <c r="BV373" s="224">
        <f t="shared" si="4081"/>
        <v>36</v>
      </c>
      <c r="BW373" s="234">
        <f>BN373*POWER(MUslave,SIGN(BL373))*POWER(INslave,SIGN(BN373))+BN373*POWER(MUslave,SIGN(BL373))*POWER(INslave,SIGN(BN373))+BL373*POWER(INslave,SIGN(BN373))*POWER(INslave,SIGN(BN373))</f>
        <v>2304</v>
      </c>
      <c r="BX373" s="234">
        <f>BL373*BN373*INslave+BL373*INslave*BN373+MUslave*BN373*BN373</f>
        <v>3456</v>
      </c>
      <c r="BY373" s="234">
        <f>BL373*BN373*BN373</f>
        <v>1728</v>
      </c>
      <c r="BZ373" s="242">
        <f t="shared" si="4082"/>
        <v>7488</v>
      </c>
      <c r="CA373" s="223">
        <f t="shared" si="4083"/>
        <v>3.6923076923076925</v>
      </c>
      <c r="CB373" s="223">
        <f t="shared" si="4084"/>
        <v>11.076923076923077</v>
      </c>
      <c r="CC373" s="223">
        <f t="shared" si="4085"/>
        <v>8.3076923076923084</v>
      </c>
      <c r="CD373" s="218">
        <f t="shared" si="4086"/>
        <v>23.07692307692308</v>
      </c>
      <c r="CE373" s="252">
        <f t="shared" si="3954"/>
        <v>0</v>
      </c>
      <c r="CF373" s="309">
        <f t="shared" si="4087"/>
        <v>23.07692307692308</v>
      </c>
      <c r="CG373" s="218">
        <f>IF(CD373&lt;=0,1,0)+IF(CD373&gt;0,CD373+1,0)*1+IF(CD373&gt;12,CD373-12,0)*1+IF(CD373&gt;13,CD373-13,0)*1+IF(CD373&gt;14,CD373-14,0)*1+IF(CD373&gt;15,CD373-15,0)*1+IF(CD373&gt;16,CD373-16,0)*1+IF(CD373&gt;17,CD373-17,0)*1+IF(CD373&gt;18,CD373-18,0)*1+IF(CD373&gt;19,CD373-19,0)*1+IF(CD373&gt;20,CD373-20,0)*1</f>
        <v>87.769230769230802</v>
      </c>
      <c r="CH373" s="242">
        <f>IF(CE373&lt;=0,1,0)+IF(CE373&gt;0,CE373+1,0)*1+IF(CE373&gt;12,CE373-12,0)*1+IF(CE373&gt;13,CE373-13,0)*1+IF(CE373&gt;14,CE373-14,0)*1+IF(CE373&gt;15,CE373-15,0)*1+IF(CE373&gt;16,CE373-16,0)*1+IF(CE373&gt;17,CE373-17,0)*1+IF(CE373&gt;18,CE373-18,0)*1+IF(CE373&gt;19,CE373-19,0)*1+IF(CE373&gt;20,CE373-20,0)*1</f>
        <v>1</v>
      </c>
      <c r="CI373" s="243">
        <f t="shared" si="4089"/>
        <v>86.769230769230802</v>
      </c>
      <c r="CJ373" s="218">
        <f t="shared" si="4090"/>
        <v>0</v>
      </c>
      <c r="CL373" s="303" t="s">
        <v>177</v>
      </c>
      <c r="CM373" s="218" t="s">
        <v>181</v>
      </c>
      <c r="CN373" s="218" t="s">
        <v>133</v>
      </c>
      <c r="CO373" s="234">
        <f>Konvention_1slave-MUslave</f>
        <v>12</v>
      </c>
      <c r="CP373" s="234"/>
      <c r="CQ373" s="234">
        <f>Konvention_1slave-INslave_IN</f>
        <v>11</v>
      </c>
      <c r="CR373" s="234"/>
      <c r="CS373" s="234"/>
      <c r="CT373" s="234"/>
      <c r="CU373" s="234"/>
      <c r="CV373" s="234"/>
      <c r="CW373" s="222">
        <f>(CO373+CQ373+CQ373)/3</f>
        <v>11.333333333333334</v>
      </c>
      <c r="CX373" s="223">
        <f t="shared" si="4091"/>
        <v>22.666666666666668</v>
      </c>
      <c r="CY373" s="224">
        <f t="shared" si="4092"/>
        <v>34</v>
      </c>
      <c r="CZ373" s="234">
        <f>CQ373*POWER(MUslave,SIGN(CO373))*POWER(INslave_IN,SIGN(CQ373))+CQ373*POWER(MUslave,SIGN(CO373))*POWER(INslave_IN,SIGN(CQ373))+CO373*POWER(INslave_IN,SIGN(CQ373))*POWER(INslave_IN,SIGN(CQ373))</f>
        <v>2556</v>
      </c>
      <c r="DA373" s="234">
        <f>CO373*CQ373*INslave_IN+CO373*INslave_IN*CQ373+MUslave*CQ373*CQ373</f>
        <v>3344</v>
      </c>
      <c r="DB373" s="234">
        <f>CO373*CQ373*CQ373</f>
        <v>1452</v>
      </c>
      <c r="DC373" s="242">
        <f t="shared" si="4093"/>
        <v>7352</v>
      </c>
      <c r="DD373" s="223">
        <f t="shared" si="4094"/>
        <v>3.940152339499456</v>
      </c>
      <c r="DE373" s="223">
        <f t="shared" si="4095"/>
        <v>10.309756982227059</v>
      </c>
      <c r="DF373" s="223">
        <f t="shared" si="4096"/>
        <v>6.714907508161045</v>
      </c>
      <c r="DG373" s="218">
        <f t="shared" si="4097"/>
        <v>20.96481682988756</v>
      </c>
      <c r="DH373" s="252">
        <f t="shared" si="3970"/>
        <v>0</v>
      </c>
      <c r="DI373" s="309">
        <f t="shared" si="4098"/>
        <v>20.96481682988756</v>
      </c>
      <c r="DJ373" s="218">
        <f>IF(DG373&lt;=0,1,0)+IF(DG373&gt;0,DG373+1,0)*1+IF(DG373&gt;12,DG373-12,0)*1+IF(DG373&gt;13,DG373-13,0)*1+IF(DG373&gt;14,DG373-14,0)*1+IF(DG373&gt;15,DG373-15,0)*1+IF(DG373&gt;16,DG373-16,0)*1+IF(DG373&gt;17,DG373-17,0)*1+IF(DG373&gt;18,DG373-18,0)*1+IF(DG373&gt;19,DG373-19,0)*1+IF(DG373&gt;20,DG373-20,0)*1</f>
        <v>66.648168298875589</v>
      </c>
      <c r="DK373" s="242">
        <f>IF(DH373&lt;=0,1,0)+IF(DH373&gt;0,DH373+1,0)*1+IF(DH373&gt;12,DH373-12,0)*1+IF(DH373&gt;13,DH373-13,0)*1+IF(DH373&gt;14,DH373-14,0)*1+IF(DH373&gt;15,DH373-15,0)*1+IF(DH373&gt;16,DH373-16,0)*1+IF(DH373&gt;17,DH373-17,0)*1+IF(DH373&gt;18,DH373-18,0)*1+IF(DH373&gt;19,DH373-19,0)*1+IF(DH373&gt;20,DH373-20,0)*1</f>
        <v>1</v>
      </c>
      <c r="DL373" s="243">
        <f t="shared" si="4100"/>
        <v>65.648168298875589</v>
      </c>
      <c r="DM373" s="218">
        <f t="shared" si="4101"/>
        <v>0</v>
      </c>
      <c r="DO373" s="303" t="s">
        <v>177</v>
      </c>
      <c r="DP373" s="218" t="s">
        <v>181</v>
      </c>
      <c r="DQ373" s="218" t="s">
        <v>133</v>
      </c>
      <c r="DR373" s="234">
        <f>Konvention_1slave-MUslave</f>
        <v>12</v>
      </c>
      <c r="DS373" s="234"/>
      <c r="DT373" s="234">
        <f t="shared" si="4102"/>
        <v>12</v>
      </c>
      <c r="DU373" s="234"/>
      <c r="DV373" s="234"/>
      <c r="DW373" s="234"/>
      <c r="DX373" s="234"/>
      <c r="DY373" s="234"/>
      <c r="DZ373" s="222">
        <f>(DR373+DT373+DT373)/3</f>
        <v>12</v>
      </c>
      <c r="EA373" s="223">
        <f t="shared" si="4103"/>
        <v>24</v>
      </c>
      <c r="EB373" s="224">
        <f t="shared" si="4104"/>
        <v>36</v>
      </c>
      <c r="EC373" s="234">
        <f>DT373*POWER(MUslave,SIGN(DR373))*POWER(INslave,SIGN(DT373))+DT373*POWER(MUslave,SIGN(DR373))*POWER(INslave,SIGN(DT373))+DR373*POWER(INslave,SIGN(DT373))*POWER(INslave,SIGN(DT373))</f>
        <v>2304</v>
      </c>
      <c r="ED373" s="234">
        <f>DR373*DT373*INslave+DR373*INslave*DT373+MUslave*DT373*DT373</f>
        <v>3456</v>
      </c>
      <c r="EE373" s="234">
        <f>DR373*DT373*DT373</f>
        <v>1728</v>
      </c>
      <c r="EF373" s="242">
        <f t="shared" si="4105"/>
        <v>7488</v>
      </c>
      <c r="EG373" s="223">
        <f t="shared" si="4106"/>
        <v>3.6923076923076925</v>
      </c>
      <c r="EH373" s="223">
        <f t="shared" si="4107"/>
        <v>11.076923076923077</v>
      </c>
      <c r="EI373" s="223">
        <f t="shared" si="4108"/>
        <v>8.3076923076923084</v>
      </c>
      <c r="EJ373" s="218">
        <f t="shared" si="4109"/>
        <v>23.07692307692308</v>
      </c>
      <c r="EK373" s="252">
        <f t="shared" si="3986"/>
        <v>0</v>
      </c>
      <c r="EL373" s="309">
        <f t="shared" si="4110"/>
        <v>23.07692307692308</v>
      </c>
      <c r="EM373" s="218">
        <f>IF(EJ373&lt;=0,1,0)+IF(EJ373&gt;0,EJ373+1,0)*1+IF(EJ373&gt;12,EJ373-12,0)*1+IF(EJ373&gt;13,EJ373-13,0)*1+IF(EJ373&gt;14,EJ373-14,0)*1+IF(EJ373&gt;15,EJ373-15,0)*1+IF(EJ373&gt;16,EJ373-16,0)*1+IF(EJ373&gt;17,EJ373-17,0)*1+IF(EJ373&gt;18,EJ373-18,0)*1+IF(EJ373&gt;19,EJ373-19,0)*1+IF(EJ373&gt;20,EJ373-20,0)*1</f>
        <v>87.769230769230802</v>
      </c>
      <c r="EN373" s="242">
        <f>IF(EK373&lt;=0,1,0)+IF(EK373&gt;0,EK373+1,0)*1+IF(EK373&gt;12,EK373-12,0)*1+IF(EK373&gt;13,EK373-13,0)*1+IF(EK373&gt;14,EK373-14,0)*1+IF(EK373&gt;15,EK373-15,0)*1+IF(EK373&gt;16,EK373-16,0)*1+IF(EK373&gt;17,EK373-17,0)*1+IF(EK373&gt;18,EK373-18,0)*1+IF(EK373&gt;19,EK373-19,0)*1+IF(EK373&gt;20,EK373-20,0)*1</f>
        <v>1</v>
      </c>
      <c r="EO373" s="243">
        <f t="shared" si="4112"/>
        <v>86.769230769230802</v>
      </c>
      <c r="EP373" s="218">
        <f t="shared" si="4113"/>
        <v>0</v>
      </c>
      <c r="ER373" s="303" t="s">
        <v>177</v>
      </c>
      <c r="ES373" s="218" t="s">
        <v>181</v>
      </c>
      <c r="ET373" s="218" t="s">
        <v>133</v>
      </c>
      <c r="EU373" s="234">
        <f>Konvention_1slave-MUslave</f>
        <v>12</v>
      </c>
      <c r="EV373" s="234"/>
      <c r="EW373" s="234">
        <f t="shared" si="4114"/>
        <v>12</v>
      </c>
      <c r="EX373" s="234"/>
      <c r="EY373" s="234"/>
      <c r="EZ373" s="234"/>
      <c r="FA373" s="234"/>
      <c r="FB373" s="234"/>
      <c r="FC373" s="222">
        <f>(EU373+EW373+EW373)/3</f>
        <v>12</v>
      </c>
      <c r="FD373" s="223">
        <f t="shared" si="4115"/>
        <v>24</v>
      </c>
      <c r="FE373" s="224">
        <f t="shared" si="4116"/>
        <v>36</v>
      </c>
      <c r="FF373" s="234">
        <f>EW373*POWER(MUslave,SIGN(EU373))*POWER(INslave,SIGN(EW373))+EW373*POWER(MUslave,SIGN(EU373))*POWER(INslave,SIGN(EW373))+EU373*POWER(INslave,SIGN(EW373))*POWER(INslave,SIGN(EW373))</f>
        <v>2304</v>
      </c>
      <c r="FG373" s="234">
        <f>EU373*EW373*INslave+EU373*INslave*EW373+MUslave*EW373*EW373</f>
        <v>3456</v>
      </c>
      <c r="FH373" s="234">
        <f>EU373*EW373*EW373</f>
        <v>1728</v>
      </c>
      <c r="FI373" s="242">
        <f t="shared" si="4117"/>
        <v>7488</v>
      </c>
      <c r="FJ373" s="223">
        <f t="shared" si="4118"/>
        <v>3.6923076923076925</v>
      </c>
      <c r="FK373" s="223">
        <f t="shared" si="4119"/>
        <v>11.076923076923077</v>
      </c>
      <c r="FL373" s="223">
        <f t="shared" si="4120"/>
        <v>8.3076923076923084</v>
      </c>
      <c r="FM373" s="218">
        <f t="shared" si="4121"/>
        <v>23.07692307692308</v>
      </c>
      <c r="FN373" s="252">
        <f t="shared" si="4002"/>
        <v>0</v>
      </c>
      <c r="FO373" s="309">
        <f t="shared" si="4122"/>
        <v>23.07692307692308</v>
      </c>
      <c r="FP373" s="218">
        <f>IF(FM373&lt;=0,1,0)+IF(FM373&gt;0,FM373+1,0)*1+IF(FM373&gt;12,FM373-12,0)*1+IF(FM373&gt;13,FM373-13,0)*1+IF(FM373&gt;14,FM373-14,0)*1+IF(FM373&gt;15,FM373-15,0)*1+IF(FM373&gt;16,FM373-16,0)*1+IF(FM373&gt;17,FM373-17,0)*1+IF(FM373&gt;18,FM373-18,0)*1+IF(FM373&gt;19,FM373-19,0)*1+IF(FM373&gt;20,FM373-20,0)*1</f>
        <v>87.769230769230802</v>
      </c>
      <c r="FQ373" s="242">
        <f>IF(FN373&lt;=0,1,0)+IF(FN373&gt;0,FN373+1,0)*1+IF(FN373&gt;12,FN373-12,0)*1+IF(FN373&gt;13,FN373-13,0)*1+IF(FN373&gt;14,FN373-14,0)*1+IF(FN373&gt;15,FN373-15,0)*1+IF(FN373&gt;16,FN373-16,0)*1+IF(FN373&gt;17,FN373-17,0)*1+IF(FN373&gt;18,FN373-18,0)*1+IF(FN373&gt;19,FN373-19,0)*1+IF(FN373&gt;20,FN373-20,0)*1</f>
        <v>1</v>
      </c>
      <c r="FR373" s="243">
        <f t="shared" si="4124"/>
        <v>86.769230769230802</v>
      </c>
      <c r="FS373" s="218">
        <f t="shared" si="4125"/>
        <v>0</v>
      </c>
      <c r="FU373" s="303" t="s">
        <v>177</v>
      </c>
      <c r="FV373" s="218" t="s">
        <v>181</v>
      </c>
      <c r="FW373" s="218" t="s">
        <v>133</v>
      </c>
      <c r="FX373" s="234">
        <f>Konvention_1slave-MUslave</f>
        <v>12</v>
      </c>
      <c r="FY373" s="234"/>
      <c r="FZ373" s="234">
        <f t="shared" si="4126"/>
        <v>12</v>
      </c>
      <c r="GA373" s="234"/>
      <c r="GB373" s="234"/>
      <c r="GC373" s="234"/>
      <c r="GD373" s="234"/>
      <c r="GE373" s="234"/>
      <c r="GF373" s="222">
        <f>(FX373+FZ373+FZ373)/3</f>
        <v>12</v>
      </c>
      <c r="GG373" s="223">
        <f t="shared" si="4127"/>
        <v>24</v>
      </c>
      <c r="GH373" s="224">
        <f t="shared" si="4128"/>
        <v>36</v>
      </c>
      <c r="GI373" s="234">
        <f>FZ373*POWER(MUslave,SIGN(FX373))*POWER(INslave,SIGN(FZ373))+FZ373*POWER(MUslave,SIGN(FX373))*POWER(INslave,SIGN(FZ373))+FX373*POWER(INslave,SIGN(FZ373))*POWER(INslave,SIGN(FZ373))</f>
        <v>2304</v>
      </c>
      <c r="GJ373" s="234">
        <f>FX373*FZ373*INslave+FX373*INslave*FZ373+MUslave*FZ373*FZ373</f>
        <v>3456</v>
      </c>
      <c r="GK373" s="234">
        <f>FX373*FZ373*FZ373</f>
        <v>1728</v>
      </c>
      <c r="GL373" s="242">
        <f t="shared" si="4129"/>
        <v>7488</v>
      </c>
      <c r="GM373" s="223">
        <f t="shared" si="4130"/>
        <v>3.6923076923076925</v>
      </c>
      <c r="GN373" s="223">
        <f t="shared" si="4131"/>
        <v>11.076923076923077</v>
      </c>
      <c r="GO373" s="223">
        <f t="shared" si="4132"/>
        <v>8.3076923076923084</v>
      </c>
      <c r="GP373" s="218">
        <f t="shared" si="4133"/>
        <v>23.07692307692308</v>
      </c>
      <c r="GQ373" s="252">
        <f t="shared" si="4018"/>
        <v>0</v>
      </c>
      <c r="GR373" s="309">
        <f t="shared" si="4134"/>
        <v>23.07692307692308</v>
      </c>
      <c r="GS373" s="218">
        <f>IF(GP373&lt;=0,1,0)+IF(GP373&gt;0,GP373+1,0)*1+IF(GP373&gt;12,GP373-12,0)*1+IF(GP373&gt;13,GP373-13,0)*1+IF(GP373&gt;14,GP373-14,0)*1+IF(GP373&gt;15,GP373-15,0)*1+IF(GP373&gt;16,GP373-16,0)*1+IF(GP373&gt;17,GP373-17,0)*1+IF(GP373&gt;18,GP373-18,0)*1+IF(GP373&gt;19,GP373-19,0)*1+IF(GP373&gt;20,GP373-20,0)*1</f>
        <v>87.769230769230802</v>
      </c>
      <c r="GT373" s="242">
        <f>IF(GQ373&lt;=0,1,0)+IF(GQ373&gt;0,GQ373+1,0)*1+IF(GQ373&gt;12,GQ373-12,0)*1+IF(GQ373&gt;13,GQ373-13,0)*1+IF(GQ373&gt;14,GQ373-14,0)*1+IF(GQ373&gt;15,GQ373-15,0)*1+IF(GQ373&gt;16,GQ373-16,0)*1+IF(GQ373&gt;17,GQ373-17,0)*1+IF(GQ373&gt;18,GQ373-18,0)*1+IF(GQ373&gt;19,GQ373-19,0)*1+IF(GQ373&gt;20,GQ373-20,0)*1</f>
        <v>1</v>
      </c>
      <c r="GU373" s="243">
        <f t="shared" si="4136"/>
        <v>86.769230769230802</v>
      </c>
      <c r="GV373" s="218">
        <f t="shared" si="4137"/>
        <v>0</v>
      </c>
      <c r="GX373" s="303" t="s">
        <v>177</v>
      </c>
      <c r="GY373" s="218" t="s">
        <v>181</v>
      </c>
      <c r="GZ373" s="218" t="s">
        <v>133</v>
      </c>
      <c r="HA373" s="234">
        <f>Konvention_1slave-MUslave</f>
        <v>12</v>
      </c>
      <c r="HB373" s="234"/>
      <c r="HC373" s="234">
        <f t="shared" si="4138"/>
        <v>12</v>
      </c>
      <c r="HD373" s="234"/>
      <c r="HE373" s="234"/>
      <c r="HF373" s="234"/>
      <c r="HG373" s="234"/>
      <c r="HH373" s="234"/>
      <c r="HI373" s="222">
        <f>(HA373+HC373+HC373)/3</f>
        <v>12</v>
      </c>
      <c r="HJ373" s="223">
        <f t="shared" si="4139"/>
        <v>24</v>
      </c>
      <c r="HK373" s="224">
        <f t="shared" si="4140"/>
        <v>36</v>
      </c>
      <c r="HL373" s="234">
        <f>HC373*POWER(MUslave,SIGN(HA373))*POWER(INslave,SIGN(HC373))+HC373*POWER(MUslave,SIGN(HA373))*POWER(INslave,SIGN(HC373))+HA373*POWER(INslave,SIGN(HC373))*POWER(INslave,SIGN(HC373))</f>
        <v>2304</v>
      </c>
      <c r="HM373" s="234">
        <f>HA373*HC373*INslave+HA373*INslave*HC373+MUslave*HC373*HC373</f>
        <v>3456</v>
      </c>
      <c r="HN373" s="234">
        <f>HA373*HC373*HC373</f>
        <v>1728</v>
      </c>
      <c r="HO373" s="242">
        <f t="shared" si="4141"/>
        <v>7488</v>
      </c>
      <c r="HP373" s="223">
        <f t="shared" si="4142"/>
        <v>3.6923076923076925</v>
      </c>
      <c r="HQ373" s="223">
        <f t="shared" si="4143"/>
        <v>11.076923076923077</v>
      </c>
      <c r="HR373" s="223">
        <f t="shared" si="4144"/>
        <v>8.3076923076923084</v>
      </c>
      <c r="HS373" s="218">
        <f t="shared" si="4145"/>
        <v>23.07692307692308</v>
      </c>
      <c r="HT373" s="252">
        <f t="shared" si="4034"/>
        <v>0</v>
      </c>
      <c r="HU373" s="309">
        <f t="shared" si="4146"/>
        <v>23.07692307692308</v>
      </c>
      <c r="HV373" s="218">
        <f>IF(HS373&lt;=0,1,0)+IF(HS373&gt;0,HS373+1,0)*1+IF(HS373&gt;12,HS373-12,0)*1+IF(HS373&gt;13,HS373-13,0)*1+IF(HS373&gt;14,HS373-14,0)*1+IF(HS373&gt;15,HS373-15,0)*1+IF(HS373&gt;16,HS373-16,0)*1+IF(HS373&gt;17,HS373-17,0)*1+IF(HS373&gt;18,HS373-18,0)*1+IF(HS373&gt;19,HS373-19,0)*1+IF(HS373&gt;20,HS373-20,0)*1</f>
        <v>87.769230769230802</v>
      </c>
      <c r="HW373" s="242">
        <f>IF(HT373&lt;=0,1,0)+IF(HT373&gt;0,HT373+1,0)*1+IF(HT373&gt;12,HT373-12,0)*1+IF(HT373&gt;13,HT373-13,0)*1+IF(HT373&gt;14,HT373-14,0)*1+IF(HT373&gt;15,HT373-15,0)*1+IF(HT373&gt;16,HT373-16,0)*1+IF(HT373&gt;17,HT373-17,0)*1+IF(HT373&gt;18,HT373-18,0)*1+IF(HT373&gt;19,HT373-19,0)*1+IF(HT373&gt;20,HT373-20,0)*1</f>
        <v>1</v>
      </c>
      <c r="HX373" s="243">
        <f t="shared" si="4148"/>
        <v>86.769230769230802</v>
      </c>
      <c r="HY373" s="218">
        <f t="shared" si="4149"/>
        <v>0</v>
      </c>
      <c r="IA373" s="303" t="s">
        <v>177</v>
      </c>
      <c r="IB373" s="218" t="s">
        <v>181</v>
      </c>
      <c r="IC373" s="218" t="s">
        <v>133</v>
      </c>
      <c r="ID373" s="234">
        <f>Konvention_1slave-MUslave</f>
        <v>12</v>
      </c>
      <c r="IE373" s="234"/>
      <c r="IF373" s="234">
        <f t="shared" si="4150"/>
        <v>12</v>
      </c>
      <c r="IG373" s="234"/>
      <c r="IH373" s="234"/>
      <c r="II373" s="234"/>
      <c r="IJ373" s="234"/>
      <c r="IK373" s="234"/>
      <c r="IL373" s="222">
        <f>(ID373+IF373+IF373)/3</f>
        <v>12</v>
      </c>
      <c r="IM373" s="223">
        <f t="shared" si="4151"/>
        <v>24</v>
      </c>
      <c r="IN373" s="224">
        <f t="shared" si="4152"/>
        <v>36</v>
      </c>
      <c r="IO373" s="234">
        <f>IF373*POWER(MUslave,SIGN(ID373))*POWER(INslave,SIGN(IF373))+IF373*POWER(MUslave,SIGN(ID373))*POWER(INslave,SIGN(IF373))+ID373*POWER(INslave,SIGN(IF373))*POWER(INslave,SIGN(IF373))</f>
        <v>2304</v>
      </c>
      <c r="IP373" s="234">
        <f>ID373*IF373*INslave+ID373*INslave*IF373+MUslave*IF373*IF373</f>
        <v>3456</v>
      </c>
      <c r="IQ373" s="234">
        <f>ID373*IF373*IF373</f>
        <v>1728</v>
      </c>
      <c r="IR373" s="242">
        <f t="shared" si="4153"/>
        <v>7488</v>
      </c>
      <c r="IS373" s="223">
        <f t="shared" si="4154"/>
        <v>3.6923076923076925</v>
      </c>
      <c r="IT373" s="223">
        <f t="shared" si="4155"/>
        <v>11.076923076923077</v>
      </c>
      <c r="IU373" s="223">
        <f t="shared" si="4156"/>
        <v>8.3076923076923084</v>
      </c>
      <c r="IV373" s="218">
        <f t="shared" si="4157"/>
        <v>23.07692307692308</v>
      </c>
      <c r="IW373" s="252">
        <f t="shared" si="4050"/>
        <v>0</v>
      </c>
      <c r="IX373" s="309">
        <f t="shared" si="4158"/>
        <v>23.07692307692308</v>
      </c>
      <c r="IY373" s="218">
        <f>IF(IV373&lt;=0,1,0)+IF(IV373&gt;0,IV373+1,0)*1+IF(IV373&gt;12,IV373-12,0)*1+IF(IV373&gt;13,IV373-13,0)*1+IF(IV373&gt;14,IV373-14,0)*1+IF(IV373&gt;15,IV373-15,0)*1+IF(IV373&gt;16,IV373-16,0)*1+IF(IV373&gt;17,IV373-17,0)*1+IF(IV373&gt;18,IV373-18,0)*1+IF(IV373&gt;19,IV373-19,0)*1+IF(IV373&gt;20,IV373-20,0)*1</f>
        <v>87.769230769230802</v>
      </c>
      <c r="IZ373" s="242">
        <f>IF(IW373&lt;=0,1,0)+IF(IW373&gt;0,IW373+1,0)*1+IF(IW373&gt;12,IW373-12,0)*1+IF(IW373&gt;13,IW373-13,0)*1+IF(IW373&gt;14,IW373-14,0)*1+IF(IW373&gt;15,IW373-15,0)*1+IF(IW373&gt;16,IW373-16,0)*1+IF(IW373&gt;17,IW373-17,0)*1+IF(IW373&gt;18,IW373-18,0)*1+IF(IW373&gt;19,IW373-19,0)*1+IF(IW373&gt;20,IW373-20,0)*1</f>
        <v>1</v>
      </c>
      <c r="JA373" s="243">
        <f t="shared" si="4160"/>
        <v>86.769230769230802</v>
      </c>
      <c r="JB373" s="218">
        <f t="shared" si="4161"/>
        <v>0</v>
      </c>
      <c r="JE373" s="148"/>
    </row>
    <row r="374" spans="2:265" hidden="1" outlineLevel="2">
      <c r="B374" s="148">
        <v>8</v>
      </c>
      <c r="C374" s="306" t="e">
        <f>VLOOKUP(AF374,Attribute!C:T,1,FALSE)</f>
        <v>#N/A</v>
      </c>
      <c r="D374" s="87" t="s">
        <v>86</v>
      </c>
      <c r="E374" s="159" t="s">
        <v>132</v>
      </c>
      <c r="F374" s="122">
        <f>Konvention_1master-MUmaster</f>
        <v>12</v>
      </c>
      <c r="G374" s="122"/>
      <c r="H374" s="122">
        <f t="shared" si="4055"/>
        <v>12</v>
      </c>
      <c r="I374" s="122">
        <f>Konvention_1master-CHmaster</f>
        <v>12</v>
      </c>
      <c r="J374" s="122"/>
      <c r="K374" s="122"/>
      <c r="L374" s="122"/>
      <c r="M374" s="122"/>
      <c r="N374" s="225">
        <f>(F374+G374+H374+I374+J374+K374+L374+M374)/3</f>
        <v>12</v>
      </c>
      <c r="O374" s="226">
        <f t="shared" si="4056"/>
        <v>24</v>
      </c>
      <c r="P374" s="227">
        <f t="shared" si="4057"/>
        <v>36</v>
      </c>
      <c r="Q374" s="235">
        <f>F374*POWER(KLmaster,SIGN(G374))*POWER(INmaster,SIGN(H374))*POWER(CHmaster,SIGN(I374))*POWER(FFmaster,SIGN(J374))*POWER(GEmaster,SIGN(K374))*POWER(KOmaster,SIGN(L374))*POWER(KKmaster,SIGN(M374))+G374*POWER(MUmaster,SIGN(F374))*POWER(INmaster,SIGN(H374))*POWER(CHmaster,SIGN(I374))*POWER(FFmaster,SIGN(J374))*POWER(GEmaster,SIGN(K374))*POWER(KOmaster,SIGN(L374))*POWER(KKmaster,SIGN(M374))+H374*POWER(MUmaster,SIGN(F374))*POWER(KLmaster,SIGN(G374))*POWER(CHmaster,SIGN(I374))*POWER(FFmaster,SIGN(J374))*POWER(GEmaster,SIGN(K374))*POWER(KOmaster,SIGN(L374))*POWER(KKmaster,SIGN(M374))+I374*POWER(MUmaster,SIGN(F374))*POWER(KLmaster,SIGN(G374))*POWER(INmaster,SIGN(H374))*POWER(FFmaster,SIGN(J374))*POWER(GEmaster,SIGN(K374))*POWER(KOmaster,SIGN(L374))*POWER(KKmaster,SIGN(M374))+J374*POWER(MUmaster,SIGN(F374))*POWER(KLmaster,SIGN(G374))*POWER(INmaster,SIGN(H374))*POWER(CHmaster,SIGN(I374))*POWER(GEmaster,SIGN(K374))*POWER(KOmaster,SIGN(L374))*POWER(KKmaster,SIGN(M374))+K374*POWER(MUmaster,SIGN(F374))*POWER(KLmaster,SIGN(G374))*POWER(INmaster,SIGN(H374))*POWER(CHmaster,SIGN(I374))*POWER(FFmaster,SIGN(J374))*POWER(KOmaster,SIGN(L374))*POWER(KKmaster,SIGN(M374))+L374*POWER(MUmaster,SIGN(F374))*POWER(KLmaster,SIGN(G374))*POWER(INmaster,SIGN(H374))*POWER(CHmaster,SIGN(I374))*POWER(FFmaster,SIGN(J374))*POWER(GEmaster,SIGN(K374))*POWER(KKmaster,SIGN(M374))+M374*POWER(MUmaster,SIGN(F374))*POWER(KLmaster,SIGN(G374))*POWER(INmaster,SIGN(H374))*POWER(CHmaster,SIGN(I374))*POWER(FFmaster,SIGN(J374))*POWER(GEmaster,SIGN(K374))*POWER(KOmaster,SIGN(L374))</f>
        <v>2304</v>
      </c>
      <c r="R374" s="122">
        <f>F374*H374*CHmaster+F374*INmaster*I374+MUmaster*H374*I374</f>
        <v>3456</v>
      </c>
      <c r="S374" s="235">
        <f>IFERROR(F374^SIGN(F374),1)*IFERROR(G374^SIGN(G374),1)*IFERROR(H374^SIGN(H374),1)*IFERROR(I374^SIGN(I374),1)*IFERROR(J374^SIGN(J374),1)*IFERROR(K374^SIGN(K374),1)*IFERROR(L374^SIGN(L374),1)*IFERROR(M374^SIGN(M374),1)</f>
        <v>1728</v>
      </c>
      <c r="T374" s="244">
        <f t="shared" si="4058"/>
        <v>7488</v>
      </c>
      <c r="U374" s="226">
        <f t="shared" si="4059"/>
        <v>3.6923076923076925</v>
      </c>
      <c r="V374" s="226">
        <f t="shared" si="4060"/>
        <v>11.076923076923077</v>
      </c>
      <c r="W374" s="226">
        <f t="shared" si="4061"/>
        <v>8.3076923076923084</v>
      </c>
      <c r="X374" s="246">
        <f t="shared" si="4062"/>
        <v>23.07692307692308</v>
      </c>
      <c r="Y374" s="252">
        <v>0</v>
      </c>
      <c r="Z374" s="198">
        <f t="shared" si="4063"/>
        <v>23.07692307692308</v>
      </c>
      <c r="AA374" s="159">
        <f>IF(X374&lt;=0,2,0)+IF(X374&gt;0,X374+1,0)*2+IF(X374&gt;12,X374-12,0)*2+IF(X374&gt;13,X374-13,0)*2+IF(X374&gt;14,X374-14,0)*2+IF(X374&gt;15,X374-15,0)*2+IF(X374&gt;16,X374-16,0)*2+IF(X374&gt;17,X374-17,0)*2+IF(X374&gt;18,X374-18,0)*2+IF(X374&gt;19,X374-19,0)*2+IF(X374&gt;20,X374-20,0)*2</f>
        <v>175.5384615384616</v>
      </c>
      <c r="AB374" s="161">
        <f>IF(Y374&lt;=0,2,0)+IF(Y374&gt;0,Y374+1,0)*2+IF(Y374&gt;12,Y374-12,0)*2+IF(Y374&gt;13,Y374-13,0)*2+IF(Y374&gt;14,Y374-14,0)*2+IF(Y374&gt;15,Y374-15,0)*2+IF(Y374&gt;16,Y374-16,0)*2+IF(Y374&gt;17,Y374-17,0)*2+IF(Y374&gt;18,Y374-18,0)*2+IF(Y374&gt;19,Y374-19,0)*2+IF(Y374&gt;20,Y374-20,0)*2</f>
        <v>2</v>
      </c>
      <c r="AC374" s="128">
        <f t="shared" si="4065"/>
        <v>173.5384615384616</v>
      </c>
      <c r="AD374" s="159">
        <f t="shared" si="4066"/>
        <v>0</v>
      </c>
      <c r="AF374" s="164" t="s">
        <v>178</v>
      </c>
      <c r="AG374" s="159" t="s">
        <v>86</v>
      </c>
      <c r="AH374" s="159" t="s">
        <v>132</v>
      </c>
      <c r="AI374" s="122">
        <f>Konvention_1slave-MUslave_MU</f>
        <v>11</v>
      </c>
      <c r="AJ374" s="122"/>
      <c r="AK374" s="122">
        <f t="shared" si="4067"/>
        <v>12</v>
      </c>
      <c r="AL374" s="122">
        <f>Konvention_1slave-CHslave</f>
        <v>12</v>
      </c>
      <c r="AM374" s="122"/>
      <c r="AN374" s="122"/>
      <c r="AO374" s="122"/>
      <c r="AP374" s="122"/>
      <c r="AQ374" s="90">
        <f>(AI374+AJ374+AK374+AL374+AM374+AN374+AO374+AP374)/3</f>
        <v>11.666666666666666</v>
      </c>
      <c r="AR374" s="88">
        <f t="shared" si="4068"/>
        <v>23.333333333333332</v>
      </c>
      <c r="AS374" s="123">
        <f t="shared" si="4069"/>
        <v>35</v>
      </c>
      <c r="AT374" s="122">
        <f>AI374*POWER(KLslave,SIGN(AJ374))*POWER(INslave,SIGN(AK374))*POWER(CHslave,SIGN(AL374))*POWER(FFslave,SIGN(AM374))*POWER(GEslave,SIGN(AN374))*POWER(KOslave,SIGN(AO374))*POWER(KKslave,SIGN(AP374))+AJ374*POWER(MUslave_MU,SIGN(AI374))*POWER(INslave,SIGN(AK374))*POWER(CHslave,SIGN(AL374))*POWER(FFslave,SIGN(AM374))*POWER(GEslave,SIGN(AN374))*POWER(KOslave,SIGN(AO374))*POWER(KKslave,SIGN(AP374))+AK374*POWER(MUslave_MU,SIGN(AI374))*POWER(KLslave,SIGN(AJ374))*POWER(CHslave,SIGN(AL374))*POWER(FFslave,SIGN(AM374))*POWER(GEslave,SIGN(AN374))*POWER(KOslave,SIGN(AO374))*POWER(KKslave,SIGN(AP374))+AL374*POWER(MUslave_MU,SIGN(AI374))*POWER(KLslave,SIGN(AJ374))*POWER(INslave,SIGN(AK374))*POWER(FFslave,SIGN(AM374))*POWER(GEslave,SIGN(AN374))*POWER(KOslave,SIGN(AO374))*POWER(KKslave,SIGN(AP374))+AM374*POWER(MUslave_MU,SIGN(AI374))*POWER(KLslave,SIGN(AJ374))*POWER(INslave,SIGN(AK374))*POWER(CHslave,SIGN(AL374))*POWER(GEslave,SIGN(AN374))*POWER(KOslave,SIGN(AO374))*POWER(KKslave,SIGN(AP374))+AN374*POWER(MUslave_MU,SIGN(AI374))*POWER(KLslave,SIGN(AJ374))*POWER(INslave,SIGN(AK374))*POWER(CHslave,SIGN(AL374))*POWER(FFslave,SIGN(AM374))*POWER(KOslave,SIGN(AO374))*POWER(KKslave,SIGN(AP374))+AO374*POWER(MUslave_MU,SIGN(AI374))*POWER(KLslave,SIGN(AJ374))*POWER(INslave,SIGN(AK374))*POWER(CHslave,SIGN(AL374))*POWER(FFslave,SIGN(AM374))*POWER(GEslave,SIGN(AN374))*POWER(KKslave,SIGN(AP374))+AP374*POWER(MUslave_MU,SIGN(AI374))*POWER(KLslave,SIGN(AJ374))*POWER(INslave,SIGN(AK374))*POWER(CHslave,SIGN(AL374))*POWER(FFslave,SIGN(AM374))*POWER(GEslave,SIGN(AN374))*POWER(KOslave,SIGN(AO374))</f>
        <v>2432</v>
      </c>
      <c r="AU374" s="122">
        <f>AI374*AK374*CHslave+AI374*INslave*AL374+MUslave_MU*AK374*AL374</f>
        <v>3408</v>
      </c>
      <c r="AV374" s="122">
        <f>IFERROR(AI374^SIGN(AI374),1)*IFERROR(AJ374^SIGN(AJ374),1)*IFERROR(AK374^SIGN(AK374),1)*IFERROR(AL374^SIGN(AL374),1)*IFERROR(AM374^SIGN(AM374),1)*IFERROR(AN374^SIGN(AN374),1)*IFERROR(AO374^SIGN(AO374),1)*IFERROR(AP374^SIGN(AP374),1)</f>
        <v>1584</v>
      </c>
      <c r="AW374" s="161">
        <f t="shared" si="4070"/>
        <v>7424</v>
      </c>
      <c r="AX374" s="88">
        <f t="shared" si="4071"/>
        <v>3.8218390804597702</v>
      </c>
      <c r="AY374" s="88">
        <f t="shared" si="4072"/>
        <v>10.711206896551724</v>
      </c>
      <c r="AZ374" s="88">
        <f t="shared" si="4073"/>
        <v>7.4676724137931032</v>
      </c>
      <c r="BA374" s="159">
        <f t="shared" si="4074"/>
        <v>22.000718390804597</v>
      </c>
      <c r="BB374" s="165">
        <f t="shared" si="3938"/>
        <v>0</v>
      </c>
      <c r="BC374" s="198">
        <f t="shared" si="4075"/>
        <v>22.000718390804597</v>
      </c>
      <c r="BD374" s="159">
        <f>IF(BA374&lt;=0,2,0)+IF(BA374&gt;0,BA374+1,0)*2+IF(BA374&gt;12,BA374-12,0)*2+IF(BA374&gt;13,BA374-13,0)*2+IF(BA374&gt;14,BA374-14,0)*2+IF(BA374&gt;15,BA374-15,0)*2+IF(BA374&gt;16,BA374-16,0)*2+IF(BA374&gt;17,BA374-17,0)*2+IF(BA374&gt;18,BA374-18,0)*2+IF(BA374&gt;19,BA374-19,0)*2+IF(BA374&gt;20,BA374-20,0)*2</f>
        <v>154.01436781609189</v>
      </c>
      <c r="BE374" s="161">
        <f>IF(BB374&lt;=0,2,0)+IF(BB374&gt;0,BB374+1,0)*2+IF(BB374&gt;12,BB374-12,0)*2+IF(BB374&gt;13,BB374-13,0)*2+IF(BB374&gt;14,BB374-14,0)*2+IF(BB374&gt;15,BB374-15,0)*2+IF(BB374&gt;16,BB374-16,0)*2+IF(BB374&gt;17,BB374-17,0)*2+IF(BB374&gt;18,BB374-18,0)*2+IF(BB374&gt;19,BB374-19,0)*2+IF(BB374&gt;20,BB374-20,0)*2</f>
        <v>2</v>
      </c>
      <c r="BF374" s="245">
        <f t="shared" si="4077"/>
        <v>152.01436781609189</v>
      </c>
      <c r="BG374" s="246">
        <f t="shared" si="4078"/>
        <v>0</v>
      </c>
      <c r="BI374" s="306" t="s">
        <v>178</v>
      </c>
      <c r="BJ374" s="246" t="s">
        <v>86</v>
      </c>
      <c r="BK374" s="246" t="s">
        <v>132</v>
      </c>
      <c r="BL374" s="235">
        <f>Konvention_1slave-MUslave</f>
        <v>12</v>
      </c>
      <c r="BM374" s="235"/>
      <c r="BN374" s="235">
        <f t="shared" si="4079"/>
        <v>12</v>
      </c>
      <c r="BO374" s="235">
        <f>Konvention_1slave-CHslave</f>
        <v>12</v>
      </c>
      <c r="BP374" s="235"/>
      <c r="BQ374" s="235"/>
      <c r="BR374" s="235"/>
      <c r="BS374" s="235"/>
      <c r="BT374" s="225">
        <f>(BL374+BM374+BN374+BO374+BP374+BQ374+BR374+BS374)/3</f>
        <v>12</v>
      </c>
      <c r="BU374" s="226">
        <f t="shared" si="4080"/>
        <v>24</v>
      </c>
      <c r="BV374" s="227">
        <f t="shared" si="4081"/>
        <v>36</v>
      </c>
      <c r="BW374" s="235">
        <f>BL374*POWER(KLslave_KL,SIGN(BM374))*POWER(INslave,SIGN(BN374))*POWER(CHslave,SIGN(BO374))*POWER(FFslave,SIGN(BP374))*POWER(GEslave,SIGN(BQ374))*POWER(KOslave,SIGN(BR374))*POWER(KKslave,SIGN(BS374))+BM374*POWER(MUslave,SIGN(BL374))*POWER(INslave,SIGN(BN374))*POWER(CHslave,SIGN(BO374))*POWER(FFslave,SIGN(BP374))*POWER(GEslave,SIGN(BQ374))*POWER(KOslave,SIGN(BR374))*POWER(KKslave,SIGN(BS374))+BN374*POWER(MUslave,SIGN(BL374))*POWER(KLslave_KL,SIGN(BM374))*POWER(CHslave,SIGN(BO374))*POWER(FFslave,SIGN(BP374))*POWER(GEslave,SIGN(BQ374))*POWER(KOslave,SIGN(BR374))*POWER(KKslave,SIGN(BS374))+BO374*POWER(MUslave,SIGN(BL374))*POWER(KLslave_KL,SIGN(BM374))*POWER(INslave,SIGN(BN374))*POWER(FFslave,SIGN(BP374))*POWER(GEslave,SIGN(BQ374))*POWER(KOslave,SIGN(BR374))*POWER(KKslave,SIGN(BS374))+BP374*POWER(MUslave,SIGN(BL374))*POWER(KLslave_KL,SIGN(BM374))*POWER(INslave,SIGN(BN374))*POWER(CHslave,SIGN(BO374))*POWER(GEslave,SIGN(BQ374))*POWER(KOslave,SIGN(BR374))*POWER(KKslave,SIGN(BS374))+BQ374*POWER(MUslave,SIGN(BL374))*POWER(KLslave_KL,SIGN(BM374))*POWER(INslave,SIGN(BN374))*POWER(CHslave,SIGN(BO374))*POWER(FFslave,SIGN(BP374))*POWER(KOslave,SIGN(BR374))*POWER(KKslave,SIGN(BS374))+BR374*POWER(MUslave,SIGN(BL374))*POWER(KLslave_KL,SIGN(BM374))*POWER(INslave,SIGN(BN374))*POWER(CHslave,SIGN(BO374))*POWER(FFslave,SIGN(BP374))*POWER(GEslave,SIGN(BQ374))*POWER(KKslave,SIGN(BS374))+BS374*POWER(MUslave,SIGN(BL374))*POWER(KLslave_KL,SIGN(BM374))*POWER(INslave,SIGN(BN374))*POWER(CHslave,SIGN(BO374))*POWER(FFslave,SIGN(BP374))*POWER(GEslave,SIGN(BQ374))*POWER(KOslave,SIGN(BR374))</f>
        <v>2304</v>
      </c>
      <c r="BX374" s="235">
        <f>BL374*BN374*CHslave+BL374*INslave*BO374+MUslave*BN374*BO374</f>
        <v>3456</v>
      </c>
      <c r="BY374" s="235">
        <f>IFERROR(BL374^SIGN(BL374),1)*IFERROR(BM374^SIGN(BM374),1)*IFERROR(BN374^SIGN(BN374),1)*IFERROR(BO374^SIGN(BO374),1)*IFERROR(BP374^SIGN(BP374),1)*IFERROR(BQ374^SIGN(BQ374),1)*IFERROR(BR374^SIGN(BR374),1)*IFERROR(BS374^SIGN(BS374),1)</f>
        <v>1728</v>
      </c>
      <c r="BZ374" s="244">
        <f t="shared" si="4082"/>
        <v>7488</v>
      </c>
      <c r="CA374" s="226">
        <f t="shared" si="4083"/>
        <v>3.6923076923076925</v>
      </c>
      <c r="CB374" s="226">
        <f t="shared" si="4084"/>
        <v>11.076923076923077</v>
      </c>
      <c r="CC374" s="226">
        <f t="shared" si="4085"/>
        <v>8.3076923076923084</v>
      </c>
      <c r="CD374" s="246">
        <f t="shared" si="4086"/>
        <v>23.07692307692308</v>
      </c>
      <c r="CE374" s="252">
        <f t="shared" si="3954"/>
        <v>0</v>
      </c>
      <c r="CF374" s="309">
        <f t="shared" si="4087"/>
        <v>23.07692307692308</v>
      </c>
      <c r="CG374" s="246">
        <f>IF(CD374&lt;=0,2,0)+IF(CD374&gt;0,CD374+1,0)*2+IF(CD374&gt;12,CD374-12,0)*2+IF(CD374&gt;13,CD374-13,0)*2+IF(CD374&gt;14,CD374-14,0)*2+IF(CD374&gt;15,CD374-15,0)*2+IF(CD374&gt;16,CD374-16,0)*2+IF(CD374&gt;17,CD374-17,0)*2+IF(CD374&gt;18,CD374-18,0)*2+IF(CD374&gt;19,CD374-19,0)*2+IF(CD374&gt;20,CD374-20,0)*2</f>
        <v>175.5384615384616</v>
      </c>
      <c r="CH374" s="244">
        <f>IF(CE374&lt;=0,2,0)+IF(CE374&gt;0,CE374+1,0)*2+IF(CE374&gt;12,CE374-12,0)*2+IF(CE374&gt;13,CE374-13,0)*2+IF(CE374&gt;14,CE374-14,0)*2+IF(CE374&gt;15,CE374-15,0)*2+IF(CE374&gt;16,CE374-16,0)*2+IF(CE374&gt;17,CE374-17,0)*2+IF(CE374&gt;18,CE374-18,0)*2+IF(CE374&gt;19,CE374-19,0)*2+IF(CE374&gt;20,CE374-20,0)*2</f>
        <v>2</v>
      </c>
      <c r="CI374" s="245">
        <f t="shared" si="4089"/>
        <v>173.5384615384616</v>
      </c>
      <c r="CJ374" s="246">
        <f t="shared" si="4090"/>
        <v>0</v>
      </c>
      <c r="CL374" s="306" t="s">
        <v>178</v>
      </c>
      <c r="CM374" s="246" t="s">
        <v>86</v>
      </c>
      <c r="CN374" s="246" t="s">
        <v>132</v>
      </c>
      <c r="CO374" s="235">
        <f>Konvention_1slave-MUslave</f>
        <v>12</v>
      </c>
      <c r="CP374" s="235"/>
      <c r="CQ374" s="235">
        <f>Konvention_1slave-INslave_IN</f>
        <v>11</v>
      </c>
      <c r="CR374" s="235">
        <f>Konvention_1slave-CHslave</f>
        <v>12</v>
      </c>
      <c r="CS374" s="235"/>
      <c r="CT374" s="235"/>
      <c r="CU374" s="235"/>
      <c r="CV374" s="235"/>
      <c r="CW374" s="225">
        <f>(CO374+CP374+CQ374+CR374+CS374+CT374+CU374+CV374)/3</f>
        <v>11.666666666666666</v>
      </c>
      <c r="CX374" s="226">
        <f t="shared" si="4091"/>
        <v>23.333333333333332</v>
      </c>
      <c r="CY374" s="227">
        <f t="shared" si="4092"/>
        <v>35</v>
      </c>
      <c r="CZ374" s="235">
        <f>CO374*POWER(KLslave,SIGN(CP374))*POWER(INslave_IN,SIGN(CQ374))*POWER(CHslave,SIGN(CR374))*POWER(FFslave,SIGN(CS374))*POWER(GEslave,SIGN(CT374))*POWER(KOslave,SIGN(CU374))*POWER(KKslave,SIGN(CV374))+CP374*POWER(MUslave,SIGN(CO374))*POWER(INslave_IN,SIGN(CQ374))*POWER(CHslave,SIGN(CR374))*POWER(FFslave,SIGN(CS374))*POWER(GEslave,SIGN(CT374))*POWER(KOslave,SIGN(CU374))*POWER(KKslave,SIGN(CV374))+CQ374*POWER(MUslave,SIGN(CO374))*POWER(KLslave,SIGN(CP374))*POWER(CHslave,SIGN(CR374))*POWER(FFslave,SIGN(CS374))*POWER(GEslave,SIGN(CT374))*POWER(KOslave,SIGN(CU374))*POWER(KKslave,SIGN(CV374))+CR374*POWER(MUslave,SIGN(CO374))*POWER(KLslave,SIGN(CP374))*POWER(INslave_IN,SIGN(CQ374))*POWER(FFslave,SIGN(CS374))*POWER(GEslave,SIGN(CT374))*POWER(KOslave,SIGN(CU374))*POWER(KKslave,SIGN(CV374))+CS374*POWER(MUslave,SIGN(CO374))*POWER(KLslave,SIGN(CP374))*POWER(INslave_IN,SIGN(CQ374))*POWER(CHslave,SIGN(CR374))*POWER(GEslave,SIGN(CT374))*POWER(KOslave,SIGN(CU374))*POWER(KKslave,SIGN(CV374))+CT374*POWER(MUslave,SIGN(CO374))*POWER(KLslave,SIGN(CP374))*POWER(INslave_IN,SIGN(CQ374))*POWER(CHslave,SIGN(CR374))*POWER(FFslave,SIGN(CS374))*POWER(KOslave,SIGN(CU374))*POWER(KKslave,SIGN(CV374))+CU374*POWER(MUslave,SIGN(CO374))*POWER(KLslave,SIGN(CP374))*POWER(INslave_IN,SIGN(CQ374))*POWER(CHslave,SIGN(CR374))*POWER(FFslave,SIGN(CS374))*POWER(GEslave,SIGN(CT374))*POWER(KKslave,SIGN(CV374))+CV374*POWER(MUslave,SIGN(CO374))*POWER(KLslave,SIGN(CP374))*POWER(INslave_IN,SIGN(CQ374))*POWER(CHslave,SIGN(CR374))*POWER(FFslave,SIGN(CS374))*POWER(GEslave,SIGN(CT374))*POWER(KOslave,SIGN(CU374))</f>
        <v>2432</v>
      </c>
      <c r="DA374" s="235">
        <f>CO374*CQ374*CHslave+CO374*INslave_IN*CR374+MUslave*CQ374*CR374</f>
        <v>3408</v>
      </c>
      <c r="DB374" s="235">
        <f>IFERROR(CO374^SIGN(CO374),1)*IFERROR(CP374^SIGN(CP374),1)*IFERROR(CQ374^SIGN(CQ374),1)*IFERROR(CR374^SIGN(CR374),1)*IFERROR(CS374^SIGN(CS374),1)*IFERROR(CT374^SIGN(CT374),1)*IFERROR(CU374^SIGN(CU374),1)*IFERROR(CV374^SIGN(CV374),1)</f>
        <v>1584</v>
      </c>
      <c r="DC374" s="244">
        <f t="shared" si="4093"/>
        <v>7424</v>
      </c>
      <c r="DD374" s="226">
        <f t="shared" si="4094"/>
        <v>3.8218390804597702</v>
      </c>
      <c r="DE374" s="226">
        <f t="shared" si="4095"/>
        <v>10.711206896551724</v>
      </c>
      <c r="DF374" s="226">
        <f t="shared" si="4096"/>
        <v>7.4676724137931032</v>
      </c>
      <c r="DG374" s="246">
        <f t="shared" si="4097"/>
        <v>22.000718390804597</v>
      </c>
      <c r="DH374" s="252">
        <f t="shared" si="3970"/>
        <v>0</v>
      </c>
      <c r="DI374" s="309">
        <f t="shared" si="4098"/>
        <v>22.000718390804597</v>
      </c>
      <c r="DJ374" s="246">
        <f>IF(DG374&lt;=0,2,0)+IF(DG374&gt;0,DG374+1,0)*2+IF(DG374&gt;12,DG374-12,0)*2+IF(DG374&gt;13,DG374-13,0)*2+IF(DG374&gt;14,DG374-14,0)*2+IF(DG374&gt;15,DG374-15,0)*2+IF(DG374&gt;16,DG374-16,0)*2+IF(DG374&gt;17,DG374-17,0)*2+IF(DG374&gt;18,DG374-18,0)*2+IF(DG374&gt;19,DG374-19,0)*2+IF(DG374&gt;20,DG374-20,0)*2</f>
        <v>154.01436781609189</v>
      </c>
      <c r="DK374" s="244">
        <f>IF(DH374&lt;=0,2,0)+IF(DH374&gt;0,DH374+1,0)*2+IF(DH374&gt;12,DH374-12,0)*2+IF(DH374&gt;13,DH374-13,0)*2+IF(DH374&gt;14,DH374-14,0)*2+IF(DH374&gt;15,DH374-15,0)*2+IF(DH374&gt;16,DH374-16,0)*2+IF(DH374&gt;17,DH374-17,0)*2+IF(DH374&gt;18,DH374-18,0)*2+IF(DH374&gt;19,DH374-19,0)*2+IF(DH374&gt;20,DH374-20,0)*2</f>
        <v>2</v>
      </c>
      <c r="DL374" s="245">
        <f t="shared" si="4100"/>
        <v>152.01436781609189</v>
      </c>
      <c r="DM374" s="246">
        <f t="shared" si="4101"/>
        <v>0</v>
      </c>
      <c r="DO374" s="306" t="s">
        <v>178</v>
      </c>
      <c r="DP374" s="246" t="s">
        <v>86</v>
      </c>
      <c r="DQ374" s="246" t="s">
        <v>132</v>
      </c>
      <c r="DR374" s="235">
        <f>Konvention_1slave-MUslave</f>
        <v>12</v>
      </c>
      <c r="DS374" s="235"/>
      <c r="DT374" s="235">
        <f t="shared" si="4102"/>
        <v>12</v>
      </c>
      <c r="DU374" s="235">
        <f>Konvention_1slave-CHslave_CH</f>
        <v>11</v>
      </c>
      <c r="DV374" s="235"/>
      <c r="DW374" s="235"/>
      <c r="DX374" s="235"/>
      <c r="DY374" s="235"/>
      <c r="DZ374" s="225">
        <f>(DR374+DS374+DT374+DU374+DV374+DW374+DX374+DY374)/3</f>
        <v>11.666666666666666</v>
      </c>
      <c r="EA374" s="226">
        <f t="shared" si="4103"/>
        <v>23.333333333333332</v>
      </c>
      <c r="EB374" s="227">
        <f t="shared" si="4104"/>
        <v>35</v>
      </c>
      <c r="EC374" s="235">
        <f>DR374*POWER(KLslave,SIGN(DS374))*POWER(INslave,SIGN(DT374))*POWER(CHslave_CH,SIGN(DU374))*POWER(FFslave,SIGN(DV374))*POWER(GEslave,SIGN(DW374))*POWER(KOslave,SIGN(DX374))*POWER(KKslave,SIGN(DY374))+DS374*POWER(MUslave,SIGN(DR374))*POWER(INslave,SIGN(DT374))*POWER(CHslave_CH,SIGN(DU374))*POWER(FFslave,SIGN(DV374))*POWER(GEslave,SIGN(DW374))*POWER(KOslave,SIGN(DX374))*POWER(KKslave,SIGN(DY374))+DT374*POWER(MUslave,SIGN(DR374))*POWER(KLslave,SIGN(DS374))*POWER(CHslave_CH,SIGN(DU374))*POWER(FFslave,SIGN(DV374))*POWER(GEslave,SIGN(DW374))*POWER(KOslave,SIGN(DX374))*POWER(KKslave,SIGN(DY374))+DU374*POWER(MUslave,SIGN(DR374))*POWER(KLslave,SIGN(DS374))*POWER(INslave,SIGN(DT374))*POWER(FFslave,SIGN(DV374))*POWER(GEslave,SIGN(DW374))*POWER(KOslave,SIGN(DX374))*POWER(KKslave,SIGN(DY374))+DV374*POWER(MUslave,SIGN(DR374))*POWER(KLslave,SIGN(DS374))*POWER(INslave,SIGN(DT374))*POWER(CHslave_CH,SIGN(DU374))*POWER(GEslave,SIGN(DW374))*POWER(KOslave,SIGN(DX374))*POWER(KKslave,SIGN(DY374))+DW374*POWER(MUslave,SIGN(DR374))*POWER(KLslave,SIGN(DS374))*POWER(INslave,SIGN(DT374))*POWER(CHslave_CH,SIGN(DU374))*POWER(FFslave,SIGN(DV374))*POWER(KOslave,SIGN(DX374))*POWER(KKslave,SIGN(DY374))+DX374*POWER(MUslave,SIGN(DR374))*POWER(KLslave,SIGN(DS374))*POWER(INslave,SIGN(DT374))*POWER(CHslave_CH,SIGN(DU374))*POWER(FFslave,SIGN(DV374))*POWER(GEslave,SIGN(DW374))*POWER(KKslave,SIGN(DY374))+DY374*POWER(MUslave,SIGN(DR374))*POWER(KLslave,SIGN(DS374))*POWER(INslave,SIGN(DT374))*POWER(CHslave_CH,SIGN(DU374))*POWER(FFslave,SIGN(DV374))*POWER(GEslave,SIGN(DW374))*POWER(KOslave,SIGN(DX374))</f>
        <v>2432</v>
      </c>
      <c r="ED374" s="235">
        <f>DR374*DT374*CHslave_CH+DR374*INslave*DU374+MUslave*DT374*DU374</f>
        <v>3408</v>
      </c>
      <c r="EE374" s="235">
        <f>IFERROR(DR374^SIGN(DR374),1)*IFERROR(DS374^SIGN(DS374),1)*IFERROR(DT374^SIGN(DT374),1)*IFERROR(DU374^SIGN(DU374),1)*IFERROR(DV374^SIGN(DV374),1)*IFERROR(DW374^SIGN(DW374),1)*IFERROR(DX374^SIGN(DX374),1)*IFERROR(DY374^SIGN(DY374),1)</f>
        <v>1584</v>
      </c>
      <c r="EF374" s="244">
        <f t="shared" si="4105"/>
        <v>7424</v>
      </c>
      <c r="EG374" s="226">
        <f t="shared" si="4106"/>
        <v>3.8218390804597702</v>
      </c>
      <c r="EH374" s="226">
        <f t="shared" si="4107"/>
        <v>10.711206896551724</v>
      </c>
      <c r="EI374" s="226">
        <f t="shared" si="4108"/>
        <v>7.4676724137931032</v>
      </c>
      <c r="EJ374" s="246">
        <f t="shared" si="4109"/>
        <v>22.000718390804597</v>
      </c>
      <c r="EK374" s="252">
        <f t="shared" si="3986"/>
        <v>0</v>
      </c>
      <c r="EL374" s="309">
        <f t="shared" si="4110"/>
        <v>22.000718390804597</v>
      </c>
      <c r="EM374" s="246">
        <f>IF(EJ374&lt;=0,2,0)+IF(EJ374&gt;0,EJ374+1,0)*2+IF(EJ374&gt;12,EJ374-12,0)*2+IF(EJ374&gt;13,EJ374-13,0)*2+IF(EJ374&gt;14,EJ374-14,0)*2+IF(EJ374&gt;15,EJ374-15,0)*2+IF(EJ374&gt;16,EJ374-16,0)*2+IF(EJ374&gt;17,EJ374-17,0)*2+IF(EJ374&gt;18,EJ374-18,0)*2+IF(EJ374&gt;19,EJ374-19,0)*2+IF(EJ374&gt;20,EJ374-20,0)*2</f>
        <v>154.01436781609189</v>
      </c>
      <c r="EN374" s="244">
        <f>IF(EK374&lt;=0,2,0)+IF(EK374&gt;0,EK374+1,0)*2+IF(EK374&gt;12,EK374-12,0)*2+IF(EK374&gt;13,EK374-13,0)*2+IF(EK374&gt;14,EK374-14,0)*2+IF(EK374&gt;15,EK374-15,0)*2+IF(EK374&gt;16,EK374-16,0)*2+IF(EK374&gt;17,EK374-17,0)*2+IF(EK374&gt;18,EK374-18,0)*2+IF(EK374&gt;19,EK374-19,0)*2+IF(EK374&gt;20,EK374-20,0)*2</f>
        <v>2</v>
      </c>
      <c r="EO374" s="245">
        <f t="shared" si="4112"/>
        <v>152.01436781609189</v>
      </c>
      <c r="EP374" s="246">
        <f t="shared" si="4113"/>
        <v>0</v>
      </c>
      <c r="ER374" s="306" t="s">
        <v>178</v>
      </c>
      <c r="ES374" s="246" t="s">
        <v>86</v>
      </c>
      <c r="ET374" s="246" t="s">
        <v>132</v>
      </c>
      <c r="EU374" s="235">
        <f>Konvention_1slave-MUslave</f>
        <v>12</v>
      </c>
      <c r="EV374" s="235"/>
      <c r="EW374" s="235">
        <f t="shared" si="4114"/>
        <v>12</v>
      </c>
      <c r="EX374" s="235">
        <f>Konvention_1slave-CHslave</f>
        <v>12</v>
      </c>
      <c r="EY374" s="235"/>
      <c r="EZ374" s="235"/>
      <c r="FA374" s="235"/>
      <c r="FB374" s="235"/>
      <c r="FC374" s="225">
        <f>(EU374+EV374+EW374+EX374+EY374+EZ374+FA374+FB374)/3</f>
        <v>12</v>
      </c>
      <c r="FD374" s="226">
        <f t="shared" si="4115"/>
        <v>24</v>
      </c>
      <c r="FE374" s="227">
        <f t="shared" si="4116"/>
        <v>36</v>
      </c>
      <c r="FF374" s="235">
        <f>EU374*POWER(KLslave,SIGN(EV374))*POWER(INslave,SIGN(EW374))*POWER(CHslave,SIGN(EX374))*POWER(FFslave_FF,SIGN(EY374))*POWER(GEslave,SIGN(EZ374))*POWER(KOslave,SIGN(FA374))*POWER(KKslave,SIGN(FB374))+EV374*POWER(MUslave,SIGN(EU374))*POWER(INslave,SIGN(EW374))*POWER(CHslave,SIGN(EX374))*POWER(FFslave_FF,SIGN(EY374))*POWER(GEslave,SIGN(EZ374))*POWER(KOslave,SIGN(FA374))*POWER(KKslave,SIGN(FB374))+EW374*POWER(MUslave,SIGN(EU374))*POWER(KLslave,SIGN(EV374))*POWER(CHslave,SIGN(EX374))*POWER(FFslave_FF,SIGN(EY374))*POWER(GEslave,SIGN(EZ374))*POWER(KOslave,SIGN(FA374))*POWER(KKslave,SIGN(FB374))+EX374*POWER(MUslave,SIGN(EU374))*POWER(KLslave,SIGN(EV374))*POWER(INslave,SIGN(EW374))*POWER(FFslave_FF,SIGN(EY374))*POWER(GEslave,SIGN(EZ374))*POWER(KOslave,SIGN(FA374))*POWER(KKslave,SIGN(FB374))+EY374*POWER(MUslave,SIGN(EU374))*POWER(KLslave,SIGN(EV374))*POWER(INslave,SIGN(EW374))*POWER(CHslave,SIGN(EX374))*POWER(GEslave,SIGN(EZ374))*POWER(KOslave,SIGN(FA374))*POWER(KKslave,SIGN(FB374))+EZ374*POWER(MUslave,SIGN(EU374))*POWER(KLslave,SIGN(EV374))*POWER(INslave,SIGN(EW374))*POWER(CHslave,SIGN(EX374))*POWER(FFslave_FF,SIGN(EY374))*POWER(KOslave,SIGN(FA374))*POWER(KKslave,SIGN(FB374))+FA374*POWER(MUslave,SIGN(EU374))*POWER(KLslave,SIGN(EV374))*POWER(INslave,SIGN(EW374))*POWER(CHslave,SIGN(EX374))*POWER(FFslave_FF,SIGN(EY374))*POWER(GEslave,SIGN(EZ374))*POWER(KKslave,SIGN(FB374))+FB374*POWER(MUslave,SIGN(EU374))*POWER(KLslave,SIGN(EV374))*POWER(INslave,SIGN(EW374))*POWER(CHslave,SIGN(EX374))*POWER(FFslave_FF,SIGN(EY374))*POWER(GEslave,SIGN(EZ374))*POWER(KOslave,SIGN(FA374))</f>
        <v>2304</v>
      </c>
      <c r="FG374" s="235">
        <f>EU374*EW374*CHslave+EU374*INslave*EX374+MUslave*EW374*EX374</f>
        <v>3456</v>
      </c>
      <c r="FH374" s="235">
        <f>IFERROR(EU374^SIGN(EU374),1)*IFERROR(EV374^SIGN(EV374),1)*IFERROR(EW374^SIGN(EW374),1)*IFERROR(EX374^SIGN(EX374),1)*IFERROR(EY374^SIGN(EY374),1)*IFERROR(EZ374^SIGN(EZ374),1)*IFERROR(FA374^SIGN(FA374),1)*IFERROR(FB374^SIGN(FB374),1)</f>
        <v>1728</v>
      </c>
      <c r="FI374" s="244">
        <f t="shared" si="4117"/>
        <v>7488</v>
      </c>
      <c r="FJ374" s="226">
        <f t="shared" si="4118"/>
        <v>3.6923076923076925</v>
      </c>
      <c r="FK374" s="226">
        <f t="shared" si="4119"/>
        <v>11.076923076923077</v>
      </c>
      <c r="FL374" s="226">
        <f t="shared" si="4120"/>
        <v>8.3076923076923084</v>
      </c>
      <c r="FM374" s="246">
        <f t="shared" si="4121"/>
        <v>23.07692307692308</v>
      </c>
      <c r="FN374" s="252">
        <f t="shared" si="4002"/>
        <v>0</v>
      </c>
      <c r="FO374" s="309">
        <f t="shared" si="4122"/>
        <v>23.07692307692308</v>
      </c>
      <c r="FP374" s="246">
        <f>IF(FM374&lt;=0,2,0)+IF(FM374&gt;0,FM374+1,0)*2+IF(FM374&gt;12,FM374-12,0)*2+IF(FM374&gt;13,FM374-13,0)*2+IF(FM374&gt;14,FM374-14,0)*2+IF(FM374&gt;15,FM374-15,0)*2+IF(FM374&gt;16,FM374-16,0)*2+IF(FM374&gt;17,FM374-17,0)*2+IF(FM374&gt;18,FM374-18,0)*2+IF(FM374&gt;19,FM374-19,0)*2+IF(FM374&gt;20,FM374-20,0)*2</f>
        <v>175.5384615384616</v>
      </c>
      <c r="FQ374" s="244">
        <f>IF(FN374&lt;=0,2,0)+IF(FN374&gt;0,FN374+1,0)*2+IF(FN374&gt;12,FN374-12,0)*2+IF(FN374&gt;13,FN374-13,0)*2+IF(FN374&gt;14,FN374-14,0)*2+IF(FN374&gt;15,FN374-15,0)*2+IF(FN374&gt;16,FN374-16,0)*2+IF(FN374&gt;17,FN374-17,0)*2+IF(FN374&gt;18,FN374-18,0)*2+IF(FN374&gt;19,FN374-19,0)*2+IF(FN374&gt;20,FN374-20,0)*2</f>
        <v>2</v>
      </c>
      <c r="FR374" s="245">
        <f t="shared" si="4124"/>
        <v>173.5384615384616</v>
      </c>
      <c r="FS374" s="246">
        <f t="shared" si="4125"/>
        <v>0</v>
      </c>
      <c r="FU374" s="306" t="s">
        <v>178</v>
      </c>
      <c r="FV374" s="246" t="s">
        <v>86</v>
      </c>
      <c r="FW374" s="246" t="s">
        <v>132</v>
      </c>
      <c r="FX374" s="235">
        <f>Konvention_1slave-MUslave</f>
        <v>12</v>
      </c>
      <c r="FY374" s="235"/>
      <c r="FZ374" s="235">
        <f t="shared" si="4126"/>
        <v>12</v>
      </c>
      <c r="GA374" s="235">
        <f>Konvention_1slave-CHslave</f>
        <v>12</v>
      </c>
      <c r="GB374" s="235"/>
      <c r="GC374" s="235"/>
      <c r="GD374" s="235"/>
      <c r="GE374" s="235"/>
      <c r="GF374" s="225">
        <f>(FX374+FY374+FZ374+GA374+GB374+GC374+GD374+GE374)/3</f>
        <v>12</v>
      </c>
      <c r="GG374" s="226">
        <f t="shared" si="4127"/>
        <v>24</v>
      </c>
      <c r="GH374" s="227">
        <f t="shared" si="4128"/>
        <v>36</v>
      </c>
      <c r="GI374" s="235">
        <f>FX374*POWER(KLslave,SIGN(FY374))*POWER(INslave,SIGN(FZ374))*POWER(CHslave,SIGN(GA374))*POWER(FFslave,SIGN(GB374))*POWER(GEslave_GE,SIGN(GC374))*POWER(KOslave,SIGN(GD374))*POWER(KKslave,SIGN(GE374))+FY374*POWER(MUslave,SIGN(FX374))*POWER(INslave,SIGN(FZ374))*POWER(CHslave,SIGN(GA374))*POWER(FFslave,SIGN(GB374))*POWER(GEslave_GE,SIGN(GC374))*POWER(KOslave,SIGN(GD374))*POWER(KKslave,SIGN(GE374))+FZ374*POWER(MUslave,SIGN(FX374))*POWER(KLslave,SIGN(FY374))*POWER(CHslave,SIGN(GA374))*POWER(FFslave,SIGN(GB374))*POWER(GEslave_GE,SIGN(GC374))*POWER(KOslave,SIGN(GD374))*POWER(KKslave,SIGN(GE374))+GA374*POWER(MUslave,SIGN(FX374))*POWER(KLslave,SIGN(FY374))*POWER(INslave,SIGN(FZ374))*POWER(FFslave,SIGN(GB374))*POWER(GEslave_GE,SIGN(GC374))*POWER(KOslave,SIGN(GD374))*POWER(KKslave,SIGN(GE374))+GB374*POWER(MUslave,SIGN(FX374))*POWER(KLslave,SIGN(FY374))*POWER(INslave,SIGN(FZ374))*POWER(CHslave,SIGN(GA374))*POWER(GEslave_GE,SIGN(GC374))*POWER(KOslave,SIGN(GD374))*POWER(KKslave,SIGN(GE374))+GC374*POWER(MUslave,SIGN(FX374))*POWER(KLslave,SIGN(FY374))*POWER(INslave,SIGN(FZ374))*POWER(CHslave,SIGN(GA374))*POWER(FFslave,SIGN(GB374))*POWER(KOslave,SIGN(GD374))*POWER(KKslave,SIGN(GE374))+GD374*POWER(MUslave,SIGN(FX374))*POWER(KLslave,SIGN(FY374))*POWER(INslave,SIGN(FZ374))*POWER(CHslave,SIGN(GA374))*POWER(FFslave,SIGN(GB374))*POWER(GEslave_GE,SIGN(GC374))*POWER(KKslave,SIGN(GE374))+GE374*POWER(MUslave,SIGN(FX374))*POWER(KLslave,SIGN(FY374))*POWER(INslave,SIGN(FZ374))*POWER(CHslave,SIGN(GA374))*POWER(FFslave,SIGN(GB374))*POWER(GEslave_GE,SIGN(GC374))*POWER(KOslave,SIGN(GD374))</f>
        <v>2304</v>
      </c>
      <c r="GJ374" s="235">
        <f>FX374*FZ374*CHslave+FX374*INslave*GA374+MUslave*FZ374*GA374</f>
        <v>3456</v>
      </c>
      <c r="GK374" s="235">
        <f>IFERROR(FX374^SIGN(FX374),1)*IFERROR(FY374^SIGN(FY374),1)*IFERROR(FZ374^SIGN(FZ374),1)*IFERROR(GA374^SIGN(GA374),1)*IFERROR(GB374^SIGN(GB374),1)*IFERROR(GC374^SIGN(GC374),1)*IFERROR(GD374^SIGN(GD374),1)*IFERROR(GE374^SIGN(GE374),1)</f>
        <v>1728</v>
      </c>
      <c r="GL374" s="244">
        <f t="shared" si="4129"/>
        <v>7488</v>
      </c>
      <c r="GM374" s="226">
        <f t="shared" si="4130"/>
        <v>3.6923076923076925</v>
      </c>
      <c r="GN374" s="226">
        <f t="shared" si="4131"/>
        <v>11.076923076923077</v>
      </c>
      <c r="GO374" s="226">
        <f t="shared" si="4132"/>
        <v>8.3076923076923084</v>
      </c>
      <c r="GP374" s="246">
        <f t="shared" si="4133"/>
        <v>23.07692307692308</v>
      </c>
      <c r="GQ374" s="252">
        <f t="shared" si="4018"/>
        <v>0</v>
      </c>
      <c r="GR374" s="309">
        <f t="shared" si="4134"/>
        <v>23.07692307692308</v>
      </c>
      <c r="GS374" s="246">
        <f>IF(GP374&lt;=0,2,0)+IF(GP374&gt;0,GP374+1,0)*2+IF(GP374&gt;12,GP374-12,0)*2+IF(GP374&gt;13,GP374-13,0)*2+IF(GP374&gt;14,GP374-14,0)*2+IF(GP374&gt;15,GP374-15,0)*2+IF(GP374&gt;16,GP374-16,0)*2+IF(GP374&gt;17,GP374-17,0)*2+IF(GP374&gt;18,GP374-18,0)*2+IF(GP374&gt;19,GP374-19,0)*2+IF(GP374&gt;20,GP374-20,0)*2</f>
        <v>175.5384615384616</v>
      </c>
      <c r="GT374" s="244">
        <f>IF(GQ374&lt;=0,2,0)+IF(GQ374&gt;0,GQ374+1,0)*2+IF(GQ374&gt;12,GQ374-12,0)*2+IF(GQ374&gt;13,GQ374-13,0)*2+IF(GQ374&gt;14,GQ374-14,0)*2+IF(GQ374&gt;15,GQ374-15,0)*2+IF(GQ374&gt;16,GQ374-16,0)*2+IF(GQ374&gt;17,GQ374-17,0)*2+IF(GQ374&gt;18,GQ374-18,0)*2+IF(GQ374&gt;19,GQ374-19,0)*2+IF(GQ374&gt;20,GQ374-20,0)*2</f>
        <v>2</v>
      </c>
      <c r="GU374" s="245">
        <f t="shared" si="4136"/>
        <v>173.5384615384616</v>
      </c>
      <c r="GV374" s="246">
        <f t="shared" si="4137"/>
        <v>0</v>
      </c>
      <c r="GX374" s="306" t="s">
        <v>178</v>
      </c>
      <c r="GY374" s="246" t="s">
        <v>86</v>
      </c>
      <c r="GZ374" s="246" t="s">
        <v>132</v>
      </c>
      <c r="HA374" s="235">
        <f>Konvention_1slave-MUslave</f>
        <v>12</v>
      </c>
      <c r="HB374" s="235"/>
      <c r="HC374" s="235">
        <f t="shared" si="4138"/>
        <v>12</v>
      </c>
      <c r="HD374" s="235">
        <f>Konvention_1slave-CHslave</f>
        <v>12</v>
      </c>
      <c r="HE374" s="235"/>
      <c r="HF374" s="235"/>
      <c r="HG374" s="235"/>
      <c r="HH374" s="235"/>
      <c r="HI374" s="225">
        <f>(HA374+HB374+HC374+HD374+HE374+HF374+HG374+HH374)/3</f>
        <v>12</v>
      </c>
      <c r="HJ374" s="226">
        <f t="shared" si="4139"/>
        <v>24</v>
      </c>
      <c r="HK374" s="227">
        <f t="shared" si="4140"/>
        <v>36</v>
      </c>
      <c r="HL374" s="235">
        <f>HA374*POWER(KLslave,SIGN(HB374))*POWER(INslave,SIGN(HC374))*POWER(CHslave,SIGN(HD374))*POWER(FFslave,SIGN(HE374))*POWER(GEslave,SIGN(HF374))*POWER(KOslave_KO,SIGN(HG374))*POWER(KKslave,SIGN(HH374))+HB374*POWER(MUslave,SIGN(HA374))*POWER(INslave,SIGN(HC374))*POWER(CHslave,SIGN(HD374))*POWER(FFslave,SIGN(HE374))*POWER(GEslave,SIGN(HF374))*POWER(KOslave_KO,SIGN(HG374))*POWER(KKslave,SIGN(HH374))+HC374*POWER(MUslave,SIGN(HA374))*POWER(KLslave,SIGN(HB374))*POWER(CHslave,SIGN(HD374))*POWER(FFslave,SIGN(HE374))*POWER(GEslave,SIGN(HF374))*POWER(KOslave_KO,SIGN(HG374))*POWER(KKslave,SIGN(HH374))+HD374*POWER(MUslave,SIGN(HA374))*POWER(KLslave,SIGN(HB374))*POWER(INslave,SIGN(HC374))*POWER(FFslave,SIGN(HE374))*POWER(GEslave,SIGN(HF374))*POWER(KOslave_KO,SIGN(HG374))*POWER(KKslave,SIGN(HH374))+HE374*POWER(MUslave,SIGN(HA374))*POWER(KLslave,SIGN(HB374))*POWER(INslave,SIGN(HC374))*POWER(CHslave,SIGN(HD374))*POWER(GEslave,SIGN(HF374))*POWER(KOslave_KO,SIGN(HG374))*POWER(KKslave,SIGN(HH374))+HF374*POWER(MUslave,SIGN(HA374))*POWER(KLslave,SIGN(HB374))*POWER(INslave,SIGN(HC374))*POWER(CHslave,SIGN(HD374))*POWER(FFslave,SIGN(HE374))*POWER(KOslave_KO,SIGN(HG374))*POWER(KKslave,SIGN(HH374))+HG374*POWER(MUslave,SIGN(HA374))*POWER(KLslave,SIGN(HB374))*POWER(INslave,SIGN(HC374))*POWER(CHslave,SIGN(HD374))*POWER(FFslave,SIGN(HE374))*POWER(GEslave,SIGN(HF374))*POWER(KKslave,SIGN(HH374))+HH374*POWER(MUslave,SIGN(HA374))*POWER(KLslave,SIGN(HB374))*POWER(INslave,SIGN(HC374))*POWER(CHslave,SIGN(HD374))*POWER(FFslave,SIGN(HE374))*POWER(GEslave,SIGN(HF374))*POWER(KOslave_KO,SIGN(HG374))</f>
        <v>2304</v>
      </c>
      <c r="HM374" s="235">
        <f>HA374*HC374*CHslave+HA374*INslave*HD374+MUslave*HC374*HD374</f>
        <v>3456</v>
      </c>
      <c r="HN374" s="235">
        <f>IFERROR(HA374^SIGN(HA374),1)*IFERROR(HB374^SIGN(HB374),1)*IFERROR(HC374^SIGN(HC374),1)*IFERROR(HD374^SIGN(HD374),1)*IFERROR(HE374^SIGN(HE374),1)*IFERROR(HF374^SIGN(HF374),1)*IFERROR(HG374^SIGN(HG374),1)*IFERROR(HH374^SIGN(HH374),1)</f>
        <v>1728</v>
      </c>
      <c r="HO374" s="244">
        <f t="shared" si="4141"/>
        <v>7488</v>
      </c>
      <c r="HP374" s="226">
        <f t="shared" si="4142"/>
        <v>3.6923076923076925</v>
      </c>
      <c r="HQ374" s="226">
        <f t="shared" si="4143"/>
        <v>11.076923076923077</v>
      </c>
      <c r="HR374" s="226">
        <f t="shared" si="4144"/>
        <v>8.3076923076923084</v>
      </c>
      <c r="HS374" s="246">
        <f t="shared" si="4145"/>
        <v>23.07692307692308</v>
      </c>
      <c r="HT374" s="252">
        <f t="shared" si="4034"/>
        <v>0</v>
      </c>
      <c r="HU374" s="309">
        <f t="shared" si="4146"/>
        <v>23.07692307692308</v>
      </c>
      <c r="HV374" s="246">
        <f>IF(HS374&lt;=0,2,0)+IF(HS374&gt;0,HS374+1,0)*2+IF(HS374&gt;12,HS374-12,0)*2+IF(HS374&gt;13,HS374-13,0)*2+IF(HS374&gt;14,HS374-14,0)*2+IF(HS374&gt;15,HS374-15,0)*2+IF(HS374&gt;16,HS374-16,0)*2+IF(HS374&gt;17,HS374-17,0)*2+IF(HS374&gt;18,HS374-18,0)*2+IF(HS374&gt;19,HS374-19,0)*2+IF(HS374&gt;20,HS374-20,0)*2</f>
        <v>175.5384615384616</v>
      </c>
      <c r="HW374" s="244">
        <f>IF(HT374&lt;=0,2,0)+IF(HT374&gt;0,HT374+1,0)*2+IF(HT374&gt;12,HT374-12,0)*2+IF(HT374&gt;13,HT374-13,0)*2+IF(HT374&gt;14,HT374-14,0)*2+IF(HT374&gt;15,HT374-15,0)*2+IF(HT374&gt;16,HT374-16,0)*2+IF(HT374&gt;17,HT374-17,0)*2+IF(HT374&gt;18,HT374-18,0)*2+IF(HT374&gt;19,HT374-19,0)*2+IF(HT374&gt;20,HT374-20,0)*2</f>
        <v>2</v>
      </c>
      <c r="HX374" s="245">
        <f t="shared" si="4148"/>
        <v>173.5384615384616</v>
      </c>
      <c r="HY374" s="246">
        <f t="shared" si="4149"/>
        <v>0</v>
      </c>
      <c r="IA374" s="306" t="s">
        <v>178</v>
      </c>
      <c r="IB374" s="246" t="s">
        <v>86</v>
      </c>
      <c r="IC374" s="246" t="s">
        <v>132</v>
      </c>
      <c r="ID374" s="235">
        <f>Konvention_1slave-MUslave</f>
        <v>12</v>
      </c>
      <c r="IE374" s="235"/>
      <c r="IF374" s="235">
        <f t="shared" si="4150"/>
        <v>12</v>
      </c>
      <c r="IG374" s="235">
        <f>Konvention_1slave-CHslave</f>
        <v>12</v>
      </c>
      <c r="IH374" s="235"/>
      <c r="II374" s="235"/>
      <c r="IJ374" s="235"/>
      <c r="IK374" s="235"/>
      <c r="IL374" s="225">
        <f>(ID374+IE374+IF374+IG374+IH374+II374+IJ374+IK374)/3</f>
        <v>12</v>
      </c>
      <c r="IM374" s="226">
        <f t="shared" si="4151"/>
        <v>24</v>
      </c>
      <c r="IN374" s="227">
        <f t="shared" si="4152"/>
        <v>36</v>
      </c>
      <c r="IO374" s="235">
        <f>ID374*POWER(KLslave,SIGN(IE374))*POWER(INslave,SIGN(IF374))*POWER(CHslave,SIGN(IG374))*POWER(FFslave,SIGN(IH374))*POWER(GEslave,SIGN(II374))*POWER(KOslave,SIGN(IJ374))*POWER(KKslave_KK,SIGN(IK374))+IE374*POWER(MUslave,SIGN(ID374))*POWER(INslave,SIGN(IF374))*POWER(CHslave,SIGN(IG374))*POWER(FFslave,SIGN(IH374))*POWER(GEslave,SIGN(II374))*POWER(KOslave,SIGN(IJ374))*POWER(KKslave_KK,SIGN(IK374))+IF374*POWER(MUslave,SIGN(ID374))*POWER(KLslave,SIGN(IE374))*POWER(CHslave,SIGN(IG374))*POWER(FFslave,SIGN(IH374))*POWER(GEslave,SIGN(II374))*POWER(KOslave,SIGN(IJ374))*POWER(KKslave_KK,SIGN(IK374))+IG374*POWER(MUslave,SIGN(ID374))*POWER(KLslave,SIGN(IE374))*POWER(INslave,SIGN(IF374))*POWER(FFslave,SIGN(IH374))*POWER(GEslave,SIGN(II374))*POWER(KOslave,SIGN(IJ374))*POWER(KKslave_KK,SIGN(IK374))+IH374*POWER(MUslave,SIGN(ID374))*POWER(KLslave,SIGN(IE374))*POWER(INslave,SIGN(IF374))*POWER(CHslave,SIGN(IG374))*POWER(GEslave,SIGN(II374))*POWER(KOslave,SIGN(IJ374))*POWER(KKslave_KK,SIGN(IK374))+II374*POWER(MUslave,SIGN(ID374))*POWER(KLslave,SIGN(IE374))*POWER(INslave,SIGN(IF374))*POWER(CHslave,SIGN(IG374))*POWER(FFslave,SIGN(IH374))*POWER(KOslave,SIGN(IJ374))*POWER(KKslave_KK,SIGN(IK374))+IJ374*POWER(MUslave,SIGN(ID374))*POWER(KLslave,SIGN(IE374))*POWER(INslave,SIGN(IF374))*POWER(CHslave,SIGN(IG374))*POWER(FFslave,SIGN(IH374))*POWER(GEslave,SIGN(II374))*POWER(KKslave_KK,SIGN(IK374))+IK374*POWER(MUslave,SIGN(ID374))*POWER(KLslave,SIGN(IE374))*POWER(INslave,SIGN(IF374))*POWER(CHslave,SIGN(IG374))*POWER(FFslave,SIGN(IH374))*POWER(GEslave,SIGN(II374))*POWER(KOslave,SIGN(IJ374))</f>
        <v>2304</v>
      </c>
      <c r="IP374" s="235">
        <f>ID374*IF374*CHslave+ID374*INslave*IG374+MUslave*IF374*IG374</f>
        <v>3456</v>
      </c>
      <c r="IQ374" s="235">
        <f>IFERROR(ID374^SIGN(ID374),1)*IFERROR(IE374^SIGN(IE374),1)*IFERROR(IF374^SIGN(IF374),1)*IFERROR(IG374^SIGN(IG374),1)*IFERROR(IH374^SIGN(IH374),1)*IFERROR(II374^SIGN(II374),1)*IFERROR(IJ374^SIGN(IJ374),1)*IFERROR(IK374^SIGN(IK374),1)</f>
        <v>1728</v>
      </c>
      <c r="IR374" s="244">
        <f t="shared" si="4153"/>
        <v>7488</v>
      </c>
      <c r="IS374" s="226">
        <f t="shared" si="4154"/>
        <v>3.6923076923076925</v>
      </c>
      <c r="IT374" s="226">
        <f t="shared" si="4155"/>
        <v>11.076923076923077</v>
      </c>
      <c r="IU374" s="226">
        <f t="shared" si="4156"/>
        <v>8.3076923076923084</v>
      </c>
      <c r="IV374" s="246">
        <f t="shared" si="4157"/>
        <v>23.07692307692308</v>
      </c>
      <c r="IW374" s="252">
        <f t="shared" si="4050"/>
        <v>0</v>
      </c>
      <c r="IX374" s="309">
        <f t="shared" si="4158"/>
        <v>23.07692307692308</v>
      </c>
      <c r="IY374" s="246">
        <f>IF(IV374&lt;=0,2,0)+IF(IV374&gt;0,IV374+1,0)*2+IF(IV374&gt;12,IV374-12,0)*2+IF(IV374&gt;13,IV374-13,0)*2+IF(IV374&gt;14,IV374-14,0)*2+IF(IV374&gt;15,IV374-15,0)*2+IF(IV374&gt;16,IV374-16,0)*2+IF(IV374&gt;17,IV374-17,0)*2+IF(IV374&gt;18,IV374-18,0)*2+IF(IV374&gt;19,IV374-19,0)*2+IF(IV374&gt;20,IV374-20,0)*2</f>
        <v>175.5384615384616</v>
      </c>
      <c r="IZ374" s="244">
        <f>IF(IW374&lt;=0,2,0)+IF(IW374&gt;0,IW374+1,0)*2+IF(IW374&gt;12,IW374-12,0)*2+IF(IW374&gt;13,IW374-13,0)*2+IF(IW374&gt;14,IW374-14,0)*2+IF(IW374&gt;15,IW374-15,0)*2+IF(IW374&gt;16,IW374-16,0)*2+IF(IW374&gt;17,IW374-17,0)*2+IF(IW374&gt;18,IW374-18,0)*2+IF(IW374&gt;19,IW374-19,0)*2+IF(IW374&gt;20,IW374-20,0)*2</f>
        <v>2</v>
      </c>
      <c r="JA374" s="245">
        <f t="shared" si="4160"/>
        <v>173.5384615384616</v>
      </c>
      <c r="JB374" s="246">
        <f t="shared" si="4161"/>
        <v>0</v>
      </c>
      <c r="JE374" s="148"/>
    </row>
    <row r="375" spans="2:265" hidden="1" outlineLevel="1" collapsed="1">
      <c r="B375" s="134" t="s">
        <v>329</v>
      </c>
      <c r="C375" s="307" t="s">
        <v>281</v>
      </c>
      <c r="D375" s="84" t="s">
        <v>279</v>
      </c>
      <c r="E375" s="84" t="s">
        <v>280</v>
      </c>
      <c r="Y375" s="251"/>
      <c r="Z375" s="197"/>
      <c r="AF375" s="83" t="s">
        <v>281</v>
      </c>
      <c r="AG375" s="84" t="s">
        <v>279</v>
      </c>
      <c r="AH375" s="84" t="s">
        <v>280</v>
      </c>
      <c r="BB375" s="197"/>
      <c r="BC375" s="197"/>
      <c r="BI375" s="307" t="s">
        <v>281</v>
      </c>
      <c r="BJ375" s="308" t="s">
        <v>279</v>
      </c>
      <c r="BK375" s="308" t="s">
        <v>280</v>
      </c>
      <c r="CE375" s="251"/>
      <c r="CF375" s="251"/>
      <c r="CL375" s="307" t="s">
        <v>281</v>
      </c>
      <c r="CM375" s="308" t="s">
        <v>279</v>
      </c>
      <c r="CN375" s="308" t="s">
        <v>280</v>
      </c>
      <c r="DH375" s="251"/>
      <c r="DI375" s="251"/>
      <c r="DO375" s="307" t="s">
        <v>281</v>
      </c>
      <c r="DP375" s="308" t="s">
        <v>279</v>
      </c>
      <c r="DQ375" s="308" t="s">
        <v>280</v>
      </c>
      <c r="EK375" s="251"/>
      <c r="EL375" s="251"/>
      <c r="ER375" s="307" t="s">
        <v>281</v>
      </c>
      <c r="ES375" s="308" t="s">
        <v>279</v>
      </c>
      <c r="ET375" s="308" t="s">
        <v>280</v>
      </c>
      <c r="FN375" s="251"/>
      <c r="FO375" s="251"/>
      <c r="FU375" s="307" t="s">
        <v>281</v>
      </c>
      <c r="FV375" s="308" t="s">
        <v>279</v>
      </c>
      <c r="FW375" s="308" t="s">
        <v>280</v>
      </c>
      <c r="GQ375" s="251"/>
      <c r="GR375" s="251"/>
      <c r="GX375" s="307" t="s">
        <v>281</v>
      </c>
      <c r="GY375" s="308" t="s">
        <v>279</v>
      </c>
      <c r="GZ375" s="308" t="s">
        <v>280</v>
      </c>
      <c r="HT375" s="251"/>
      <c r="HU375" s="251"/>
      <c r="IA375" s="307" t="s">
        <v>281</v>
      </c>
      <c r="IB375" s="308" t="s">
        <v>279</v>
      </c>
      <c r="IC375" s="308" t="s">
        <v>280</v>
      </c>
      <c r="IW375" s="251"/>
      <c r="IX375" s="251"/>
      <c r="JE375" s="148"/>
    </row>
    <row r="376" spans="2:265" ht="15" hidden="1" customHeight="1" outlineLevel="2">
      <c r="B376" s="148">
        <v>1</v>
      </c>
      <c r="C376" s="302" t="e">
        <f>VLOOKUP(AF376,Attribute!C:T,1,FALSE)</f>
        <v>#N/A</v>
      </c>
      <c r="D376" s="85" t="s">
        <v>227</v>
      </c>
      <c r="E376" s="158" t="s">
        <v>135</v>
      </c>
      <c r="F376" s="118">
        <f>Konvention_1master-MUmaster</f>
        <v>12</v>
      </c>
      <c r="G376" s="118"/>
      <c r="H376" s="118"/>
      <c r="I376" s="118">
        <f>Konvention_1master-CHmaster</f>
        <v>12</v>
      </c>
      <c r="J376" s="118"/>
      <c r="K376" s="118"/>
      <c r="L376" s="118">
        <f t="shared" ref="L376:L384" si="4162">Konvention_1master-KOmaster</f>
        <v>12</v>
      </c>
      <c r="M376" s="118"/>
      <c r="N376" s="219">
        <f t="shared" ref="N376:N386" si="4163">(F376+G376+H376+I376+J376+K376+L376+M376)/3</f>
        <v>12</v>
      </c>
      <c r="O376" s="220">
        <f t="shared" ref="O376:O386" si="4164">2*N376</f>
        <v>24</v>
      </c>
      <c r="P376" s="221">
        <f t="shared" ref="P376:P386" si="4165">3*N376</f>
        <v>36</v>
      </c>
      <c r="Q376" s="233">
        <f t="shared" ref="Q376:Q386" si="4166">F376*POWER(KLmaster,SIGN(G376))*POWER(INmaster,SIGN(H376))*POWER(CHmaster,SIGN(I376))*POWER(FFmaster,SIGN(J376))*POWER(GEmaster,SIGN(K376))*POWER(KOmaster,SIGN(L376))*POWER(KKmaster,SIGN(M376))+G376*POWER(MUmaster,SIGN(F376))*POWER(INmaster,SIGN(H376))*POWER(CHmaster,SIGN(I376))*POWER(FFmaster,SIGN(J376))*POWER(GEmaster,SIGN(K376))*POWER(KOmaster,SIGN(L376))*POWER(KKmaster,SIGN(M376))+H376*POWER(MUmaster,SIGN(F376))*POWER(KLmaster,SIGN(G376))*POWER(CHmaster,SIGN(I376))*POWER(FFmaster,SIGN(J376))*POWER(GEmaster,SIGN(K376))*POWER(KOmaster,SIGN(L376))*POWER(KKmaster,SIGN(M376))+I376*POWER(MUmaster,SIGN(F376))*POWER(KLmaster,SIGN(G376))*POWER(INmaster,SIGN(H376))*POWER(FFmaster,SIGN(J376))*POWER(GEmaster,SIGN(K376))*POWER(KOmaster,SIGN(L376))*POWER(KKmaster,SIGN(M376))+J376*POWER(MUmaster,SIGN(F376))*POWER(KLmaster,SIGN(G376))*POWER(INmaster,SIGN(H376))*POWER(CHmaster,SIGN(I376))*POWER(GEmaster,SIGN(K376))*POWER(KOmaster,SIGN(L376))*POWER(KKmaster,SIGN(M376))+K376*POWER(MUmaster,SIGN(F376))*POWER(KLmaster,SIGN(G376))*POWER(INmaster,SIGN(H376))*POWER(CHmaster,SIGN(I376))*POWER(FFmaster,SIGN(J376))*POWER(KOmaster,SIGN(L376))*POWER(KKmaster,SIGN(M376))+L376*POWER(MUmaster,SIGN(F376))*POWER(KLmaster,SIGN(G376))*POWER(INmaster,SIGN(H376))*POWER(CHmaster,SIGN(I376))*POWER(FFmaster,SIGN(J376))*POWER(GEmaster,SIGN(K376))*POWER(KKmaster,SIGN(M376))+M376*POWER(MUmaster,SIGN(F376))*POWER(KLmaster,SIGN(G376))*POWER(INmaster,SIGN(H376))*POWER(CHmaster,SIGN(I376))*POWER(FFmaster,SIGN(J376))*POWER(GEmaster,SIGN(K376))*POWER(KOmaster,SIGN(L376))</f>
        <v>2304</v>
      </c>
      <c r="R376" s="118">
        <f>F376*I376*KOmaster+F376*CHmaster*L376+MUmaster*I376*L376</f>
        <v>3456</v>
      </c>
      <c r="S376" s="233">
        <f t="shared" ref="S376:S386" si="4167">IFERROR(F376^SIGN(F376),1)*IFERROR(G376^SIGN(G376),1)*IFERROR(H376^SIGN(H376),1)*IFERROR(I376^SIGN(I376),1)*IFERROR(J376^SIGN(J376),1)*IFERROR(K376^SIGN(K376),1)*IFERROR(L376^SIGN(L376),1)*IFERROR(M376^SIGN(M376),1)</f>
        <v>1728</v>
      </c>
      <c r="T376" s="78">
        <f t="shared" ref="T376:T386" si="4168">SUM(Q376:S376)</f>
        <v>7488</v>
      </c>
      <c r="U376" s="220">
        <f t="shared" ref="U376:U386" si="4169">N376*Q376/T376</f>
        <v>3.6923076923076925</v>
      </c>
      <c r="V376" s="220">
        <f t="shared" ref="V376:V386" si="4170">O376*R376/T376</f>
        <v>11.076923076923077</v>
      </c>
      <c r="W376" s="220">
        <f t="shared" ref="W376:W386" si="4171">P376*S376/T376</f>
        <v>8.3076923076923084</v>
      </c>
      <c r="X376" s="42">
        <f t="shared" ref="X376:X386" si="4172">SUM(U376:W376)</f>
        <v>23.07692307692308</v>
      </c>
      <c r="Y376" s="252">
        <v>0</v>
      </c>
      <c r="Z376" s="198">
        <f t="shared" ref="Z376:Z386" si="4173">X376-Y376</f>
        <v>23.07692307692308</v>
      </c>
      <c r="AA376" s="158">
        <f>IF(X376&lt;=0,3,0)+IF(X376&gt;0,X376+1,0)*3+IF(X376&gt;12,X376-12,0)*3+IF(X376&gt;13,X376-13,0)*3+IF(X376&gt;14,X376-14,0)*3+IF(X376&gt;15,X376-15,0)*3+IF(X376&gt;16,X376-16,0)*3+IF(X376&gt;17,X376-17,0)*3+IF(X376&gt;18,X376-18,0)*3+IF(X376&gt;19,X376-19,0)*3+IF(X376&gt;20,X376-20,0)*3</f>
        <v>263.30769230769232</v>
      </c>
      <c r="AB376" s="91">
        <f>IF(Y376&lt;=0,3,0)+IF(Y376&gt;0,Y376+1,0)*3+IF(Y376&gt;12,Y376-12,0)*3+IF(Y376&gt;13,Y376-13,0)*3+IF(Y376&gt;14,Y376-14,0)*3+IF(Y376&gt;15,Y376-15,0)*3+IF(Y376&gt;16,Y376-16,0)*3+IF(Y376&gt;17,Y376-17,0)*3+IF(Y376&gt;18,Y376-18,0)*3+IF(Y376&gt;19,Y376-19,0)*3+IF(Y376&gt;20,Y376-20,0)*3</f>
        <v>3</v>
      </c>
      <c r="AC376" s="126">
        <f t="shared" ref="AC376:AC386" si="4174">IF((AA376-AB376)&gt;0,AA376-AB376,0)</f>
        <v>260.30769230769232</v>
      </c>
      <c r="AD376" s="158">
        <f t="shared" ref="AD376:AD386" si="4175">IF((AB376-AA376)&gt;0,AB376-AA376,0)</f>
        <v>0</v>
      </c>
      <c r="AF376" s="162" t="s">
        <v>312</v>
      </c>
      <c r="AG376" s="85" t="s">
        <v>227</v>
      </c>
      <c r="AH376" s="158" t="s">
        <v>135</v>
      </c>
      <c r="AI376" s="118">
        <f t="shared" ref="AI376:AI383" si="4176">Konvention_1slave-MUslave_MU</f>
        <v>11</v>
      </c>
      <c r="AJ376" s="118"/>
      <c r="AK376" s="118"/>
      <c r="AL376" s="118">
        <f>Konvention_1slave-CHslave</f>
        <v>12</v>
      </c>
      <c r="AM376" s="118"/>
      <c r="AN376" s="118"/>
      <c r="AO376" s="118">
        <f t="shared" ref="AO376:AO384" si="4177">Konvention_1slave-KOslave</f>
        <v>12</v>
      </c>
      <c r="AP376" s="118"/>
      <c r="AQ376" s="193">
        <f t="shared" ref="AQ376:AQ386" si="4178">(AI376+AJ376+AK376+AL376+AM376+AN376+AO376+AP376)/3</f>
        <v>11.666666666666666</v>
      </c>
      <c r="AR376" s="116">
        <f t="shared" ref="AR376:AR386" si="4179">2*AQ376</f>
        <v>23.333333333333332</v>
      </c>
      <c r="AS376" s="92">
        <f t="shared" ref="AS376:AS386" si="4180">3*AQ376</f>
        <v>35</v>
      </c>
      <c r="AT376" s="118">
        <f t="shared" ref="AT376:AT386" si="4181">AI376*POWER(KLslave,SIGN(AJ376))*POWER(INslave,SIGN(AK376))*POWER(CHslave,SIGN(AL376))*POWER(FFslave,SIGN(AM376))*POWER(GEslave,SIGN(AN376))*POWER(KOslave,SIGN(AO376))*POWER(KKslave,SIGN(AP376))+AJ376*POWER(MUslave_MU,SIGN(AI376))*POWER(INslave,SIGN(AK376))*POWER(CHslave,SIGN(AL376))*POWER(FFslave,SIGN(AM376))*POWER(GEslave,SIGN(AN376))*POWER(KOslave,SIGN(AO376))*POWER(KKslave,SIGN(AP376))+AK376*POWER(MUslave_MU,SIGN(AI376))*POWER(KLslave,SIGN(AJ376))*POWER(CHslave,SIGN(AL376))*POWER(FFslave,SIGN(AM376))*POWER(GEslave,SIGN(AN376))*POWER(KOslave,SIGN(AO376))*POWER(KKslave,SIGN(AP376))+AL376*POWER(MUslave_MU,SIGN(AI376))*POWER(KLslave,SIGN(AJ376))*POWER(INslave,SIGN(AK376))*POWER(FFslave,SIGN(AM376))*POWER(GEslave,SIGN(AN376))*POWER(KOslave,SIGN(AO376))*POWER(KKslave,SIGN(AP376))+AM376*POWER(MUslave_MU,SIGN(AI376))*POWER(KLslave,SIGN(AJ376))*POWER(INslave,SIGN(AK376))*POWER(CHslave,SIGN(AL376))*POWER(GEslave,SIGN(AN376))*POWER(KOslave,SIGN(AO376))*POWER(KKslave,SIGN(AP376))+AN376*POWER(MUslave_MU,SIGN(AI376))*POWER(KLslave,SIGN(AJ376))*POWER(INslave,SIGN(AK376))*POWER(CHslave,SIGN(AL376))*POWER(FFslave,SIGN(AM376))*POWER(KOslave,SIGN(AO376))*POWER(KKslave,SIGN(AP376))+AO376*POWER(MUslave_MU,SIGN(AI376))*POWER(KLslave,SIGN(AJ376))*POWER(INslave,SIGN(AK376))*POWER(CHslave,SIGN(AL376))*POWER(FFslave,SIGN(AM376))*POWER(GEslave,SIGN(AN376))*POWER(KKslave,SIGN(AP376))+AP376*POWER(MUslave_MU,SIGN(AI376))*POWER(KLslave,SIGN(AJ376))*POWER(INslave,SIGN(AK376))*POWER(CHslave,SIGN(AL376))*POWER(FFslave,SIGN(AM376))*POWER(GEslave,SIGN(AN376))*POWER(KOslave,SIGN(AO376))</f>
        <v>2432</v>
      </c>
      <c r="AU376" s="118">
        <f>AI376*AL376*KOslave+AI376*CHslave*AO376+MUslave_MU*AL376*AO376</f>
        <v>3408</v>
      </c>
      <c r="AV376" s="118">
        <f t="shared" ref="AV376:AV386" si="4182">IFERROR(AI376^SIGN(AI376),1)*IFERROR(AJ376^SIGN(AJ376),1)*IFERROR(AK376^SIGN(AK376),1)*IFERROR(AL376^SIGN(AL376),1)*IFERROR(AM376^SIGN(AM376),1)*IFERROR(AN376^SIGN(AN376),1)*IFERROR(AO376^SIGN(AO376),1)*IFERROR(AP376^SIGN(AP376),1)</f>
        <v>1584</v>
      </c>
      <c r="AW376" s="91">
        <f t="shared" ref="AW376:AW386" si="4183">SUM(AT376:AV376)</f>
        <v>7424</v>
      </c>
      <c r="AX376" s="116">
        <f t="shared" ref="AX376:AX386" si="4184">AQ376*AT376/AW376</f>
        <v>3.8218390804597702</v>
      </c>
      <c r="AY376" s="116">
        <f t="shared" ref="AY376:AY386" si="4185">AR376*AU376/AW376</f>
        <v>10.711206896551724</v>
      </c>
      <c r="AZ376" s="116">
        <f t="shared" ref="AZ376:AZ386" si="4186">AS376*AV376/AW376</f>
        <v>7.4676724137931032</v>
      </c>
      <c r="BA376" s="158">
        <f t="shared" ref="BA376:BA386" si="4187">SUM(AX376:AZ376)</f>
        <v>22.000718390804597</v>
      </c>
      <c r="BB376" s="165">
        <f t="shared" si="3938"/>
        <v>0</v>
      </c>
      <c r="BC376" s="198">
        <f t="shared" ref="BC376:BC386" si="4188">BA376-BB376</f>
        <v>22.000718390804597</v>
      </c>
      <c r="BD376" s="158">
        <f>IF(BA376&lt;=0,3,0)+IF(BA376&gt;0,BA376+1,0)*3+IF(BA376&gt;12,BA376-12,0)*3+IF(BA376&gt;13,BA376-13,0)*3+IF(BA376&gt;14,BA376-14,0)*3+IF(BA376&gt;15,BA376-15,0)*3+IF(BA376&gt;16,BA376-16,0)*3+IF(BA376&gt;17,BA376-17,0)*3+IF(BA376&gt;18,BA376-18,0)*3+IF(BA376&gt;19,BA376-19,0)*3+IF(BA376&gt;20,BA376-20,0)*3</f>
        <v>231.02155172413785</v>
      </c>
      <c r="BE376" s="91">
        <f>IF(BB376&lt;=0,3,0)+IF(BB376&gt;0,BB376+1,0)*3+IF(BB376&gt;12,BB376-12,0)*3+IF(BB376&gt;13,BB376-13,0)*3+IF(BB376&gt;14,BB376-14,0)*3+IF(BB376&gt;15,BB376-15,0)*3+IF(BB376&gt;16,BB376-16,0)*3+IF(BB376&gt;17,BB376-17,0)*3+IF(BB376&gt;18,BB376-18,0)*3+IF(BB376&gt;19,BB376-19,0)*3+IF(BB376&gt;20,BB376-20,0)*3</f>
        <v>3</v>
      </c>
      <c r="BF376" s="241">
        <f t="shared" ref="BF376:BF386" si="4189">IF((BD376-BE376)&gt;0,BD376-BE376,0)</f>
        <v>228.02155172413785</v>
      </c>
      <c r="BG376" s="42">
        <f t="shared" ref="BG376:BG386" si="4190">IF((BE376-BD376)&gt;0,BE376-BD376,0)</f>
        <v>0</v>
      </c>
      <c r="BI376" s="302" t="s">
        <v>312</v>
      </c>
      <c r="BJ376" s="43" t="s">
        <v>227</v>
      </c>
      <c r="BK376" s="42" t="s">
        <v>135</v>
      </c>
      <c r="BL376" s="233">
        <f>Konvention_1slave-MUslave</f>
        <v>12</v>
      </c>
      <c r="BM376" s="233"/>
      <c r="BN376" s="233"/>
      <c r="BO376" s="233">
        <f>Konvention_1slave-CHslave</f>
        <v>12</v>
      </c>
      <c r="BP376" s="233"/>
      <c r="BQ376" s="233"/>
      <c r="BR376" s="233">
        <f t="shared" ref="BR376:BR384" si="4191">Konvention_1slave-KOslave</f>
        <v>12</v>
      </c>
      <c r="BS376" s="233"/>
      <c r="BT376" s="219">
        <f t="shared" ref="BT376:BT386" si="4192">(BL376+BM376+BN376+BO376+BP376+BQ376+BR376+BS376)/3</f>
        <v>12</v>
      </c>
      <c r="BU376" s="220">
        <f t="shared" ref="BU376:BU386" si="4193">2*BT376</f>
        <v>24</v>
      </c>
      <c r="BV376" s="221">
        <f t="shared" ref="BV376:BV386" si="4194">3*BT376</f>
        <v>36</v>
      </c>
      <c r="BW376" s="233">
        <f t="shared" ref="BW376:BW386" si="4195">BL376*POWER(KLslave_KL,SIGN(BM376))*POWER(INslave,SIGN(BN376))*POWER(CHslave,SIGN(BO376))*POWER(FFslave,SIGN(BP376))*POWER(GEslave,SIGN(BQ376))*POWER(KOslave,SIGN(BR376))*POWER(KKslave,SIGN(BS376))+BM376*POWER(MUslave,SIGN(BL376))*POWER(INslave,SIGN(BN376))*POWER(CHslave,SIGN(BO376))*POWER(FFslave,SIGN(BP376))*POWER(GEslave,SIGN(BQ376))*POWER(KOslave,SIGN(BR376))*POWER(KKslave,SIGN(BS376))+BN376*POWER(MUslave,SIGN(BL376))*POWER(KLslave_KL,SIGN(BM376))*POWER(CHslave,SIGN(BO376))*POWER(FFslave,SIGN(BP376))*POWER(GEslave,SIGN(BQ376))*POWER(KOslave,SIGN(BR376))*POWER(KKslave,SIGN(BS376))+BO376*POWER(MUslave,SIGN(BL376))*POWER(KLslave_KL,SIGN(BM376))*POWER(INslave,SIGN(BN376))*POWER(FFslave,SIGN(BP376))*POWER(GEslave,SIGN(BQ376))*POWER(KOslave,SIGN(BR376))*POWER(KKslave,SIGN(BS376))+BP376*POWER(MUslave,SIGN(BL376))*POWER(KLslave_KL,SIGN(BM376))*POWER(INslave,SIGN(BN376))*POWER(CHslave,SIGN(BO376))*POWER(GEslave,SIGN(BQ376))*POWER(KOslave,SIGN(BR376))*POWER(KKslave,SIGN(BS376))+BQ376*POWER(MUslave,SIGN(BL376))*POWER(KLslave_KL,SIGN(BM376))*POWER(INslave,SIGN(BN376))*POWER(CHslave,SIGN(BO376))*POWER(FFslave,SIGN(BP376))*POWER(KOslave,SIGN(BR376))*POWER(KKslave,SIGN(BS376))+BR376*POWER(MUslave,SIGN(BL376))*POWER(KLslave_KL,SIGN(BM376))*POWER(INslave,SIGN(BN376))*POWER(CHslave,SIGN(BO376))*POWER(FFslave,SIGN(BP376))*POWER(GEslave,SIGN(BQ376))*POWER(KKslave,SIGN(BS376))+BS376*POWER(MUslave,SIGN(BL376))*POWER(KLslave_KL,SIGN(BM376))*POWER(INslave,SIGN(BN376))*POWER(CHslave,SIGN(BO376))*POWER(FFslave,SIGN(BP376))*POWER(GEslave,SIGN(BQ376))*POWER(KOslave,SIGN(BR376))</f>
        <v>2304</v>
      </c>
      <c r="BX376" s="233">
        <f>BL376*BO376*KOslave+BL376*CHslave*BR376+MUslave*BO376*BR376</f>
        <v>3456</v>
      </c>
      <c r="BY376" s="233">
        <f t="shared" ref="BY376:BY386" si="4196">IFERROR(BL376^SIGN(BL376),1)*IFERROR(BM376^SIGN(BM376),1)*IFERROR(BN376^SIGN(BN376),1)*IFERROR(BO376^SIGN(BO376),1)*IFERROR(BP376^SIGN(BP376),1)*IFERROR(BQ376^SIGN(BQ376),1)*IFERROR(BR376^SIGN(BR376),1)*IFERROR(BS376^SIGN(BS376),1)</f>
        <v>1728</v>
      </c>
      <c r="BZ376" s="78">
        <f t="shared" ref="BZ376:BZ386" si="4197">SUM(BW376:BY376)</f>
        <v>7488</v>
      </c>
      <c r="CA376" s="220">
        <f t="shared" ref="CA376:CA386" si="4198">BT376*BW376/BZ376</f>
        <v>3.6923076923076925</v>
      </c>
      <c r="CB376" s="220">
        <f t="shared" ref="CB376:CB386" si="4199">BU376*BX376/BZ376</f>
        <v>11.076923076923077</v>
      </c>
      <c r="CC376" s="220">
        <f t="shared" ref="CC376:CC386" si="4200">BV376*BY376/BZ376</f>
        <v>8.3076923076923084</v>
      </c>
      <c r="CD376" s="42">
        <f t="shared" ref="CD376:CD386" si="4201">SUM(CA376:CC376)</f>
        <v>23.07692307692308</v>
      </c>
      <c r="CE376" s="252">
        <f t="shared" si="3954"/>
        <v>0</v>
      </c>
      <c r="CF376" s="309">
        <f t="shared" ref="CF376:CF386" si="4202">CD376-CE376</f>
        <v>23.07692307692308</v>
      </c>
      <c r="CG376" s="42">
        <f>IF(CD376&lt;=0,3,0)+IF(CD376&gt;0,CD376+1,0)*3+IF(CD376&gt;12,CD376-12,0)*3+IF(CD376&gt;13,CD376-13,0)*3+IF(CD376&gt;14,CD376-14,0)*3+IF(CD376&gt;15,CD376-15,0)*3+IF(CD376&gt;16,CD376-16,0)*3+IF(CD376&gt;17,CD376-17,0)*3+IF(CD376&gt;18,CD376-18,0)*3+IF(CD376&gt;19,CD376-19,0)*3+IF(CD376&gt;20,CD376-20,0)*3</f>
        <v>263.30769230769232</v>
      </c>
      <c r="CH376" s="78">
        <f>IF(CE376&lt;=0,3,0)+IF(CE376&gt;0,CE376+1,0)*3+IF(CE376&gt;12,CE376-12,0)*3+IF(CE376&gt;13,CE376-13,0)*3+IF(CE376&gt;14,CE376-14,0)*3+IF(CE376&gt;15,CE376-15,0)*3+IF(CE376&gt;16,CE376-16,0)*3+IF(CE376&gt;17,CE376-17,0)*3+IF(CE376&gt;18,CE376-18,0)*3+IF(CE376&gt;19,CE376-19,0)*3+IF(CE376&gt;20,CE376-20,0)*3</f>
        <v>3</v>
      </c>
      <c r="CI376" s="241">
        <f t="shared" ref="CI376:CI386" si="4203">IF((CG376-CH376)&gt;0,CG376-CH376,0)</f>
        <v>260.30769230769232</v>
      </c>
      <c r="CJ376" s="42">
        <f t="shared" ref="CJ376:CJ386" si="4204">IF((CH376-CG376)&gt;0,CH376-CG376,0)</f>
        <v>0</v>
      </c>
      <c r="CL376" s="302" t="s">
        <v>312</v>
      </c>
      <c r="CM376" s="43" t="s">
        <v>227</v>
      </c>
      <c r="CN376" s="42" t="s">
        <v>135</v>
      </c>
      <c r="CO376" s="233">
        <f>Konvention_1slave-MUslave</f>
        <v>12</v>
      </c>
      <c r="CP376" s="233"/>
      <c r="CQ376" s="233"/>
      <c r="CR376" s="233">
        <f>Konvention_1slave-CHslave</f>
        <v>12</v>
      </c>
      <c r="CS376" s="233"/>
      <c r="CT376" s="233"/>
      <c r="CU376" s="233">
        <f t="shared" ref="CU376:CU384" si="4205">Konvention_1slave-KOslave</f>
        <v>12</v>
      </c>
      <c r="CV376" s="233"/>
      <c r="CW376" s="219">
        <f t="shared" ref="CW376:CW386" si="4206">(CO376+CP376+CQ376+CR376+CS376+CT376+CU376+CV376)/3</f>
        <v>12</v>
      </c>
      <c r="CX376" s="220">
        <f t="shared" ref="CX376:CX386" si="4207">2*CW376</f>
        <v>24</v>
      </c>
      <c r="CY376" s="221">
        <f t="shared" ref="CY376:CY386" si="4208">3*CW376</f>
        <v>36</v>
      </c>
      <c r="CZ376" s="233">
        <f t="shared" ref="CZ376:CZ386" si="4209">CO376*POWER(KLslave,SIGN(CP376))*POWER(INslave_IN,SIGN(CQ376))*POWER(CHslave,SIGN(CR376))*POWER(FFslave,SIGN(CS376))*POWER(GEslave,SIGN(CT376))*POWER(KOslave,SIGN(CU376))*POWER(KKslave,SIGN(CV376))+CP376*POWER(MUslave,SIGN(CO376))*POWER(INslave_IN,SIGN(CQ376))*POWER(CHslave,SIGN(CR376))*POWER(FFslave,SIGN(CS376))*POWER(GEslave,SIGN(CT376))*POWER(KOslave,SIGN(CU376))*POWER(KKslave,SIGN(CV376))+CQ376*POWER(MUslave,SIGN(CO376))*POWER(KLslave,SIGN(CP376))*POWER(CHslave,SIGN(CR376))*POWER(FFslave,SIGN(CS376))*POWER(GEslave,SIGN(CT376))*POWER(KOslave,SIGN(CU376))*POWER(KKslave,SIGN(CV376))+CR376*POWER(MUslave,SIGN(CO376))*POWER(KLslave,SIGN(CP376))*POWER(INslave_IN,SIGN(CQ376))*POWER(FFslave,SIGN(CS376))*POWER(GEslave,SIGN(CT376))*POWER(KOslave,SIGN(CU376))*POWER(KKslave,SIGN(CV376))+CS376*POWER(MUslave,SIGN(CO376))*POWER(KLslave,SIGN(CP376))*POWER(INslave_IN,SIGN(CQ376))*POWER(CHslave,SIGN(CR376))*POWER(GEslave,SIGN(CT376))*POWER(KOslave,SIGN(CU376))*POWER(KKslave,SIGN(CV376))+CT376*POWER(MUslave,SIGN(CO376))*POWER(KLslave,SIGN(CP376))*POWER(INslave_IN,SIGN(CQ376))*POWER(CHslave,SIGN(CR376))*POWER(FFslave,SIGN(CS376))*POWER(KOslave,SIGN(CU376))*POWER(KKslave,SIGN(CV376))+CU376*POWER(MUslave,SIGN(CO376))*POWER(KLslave,SIGN(CP376))*POWER(INslave_IN,SIGN(CQ376))*POWER(CHslave,SIGN(CR376))*POWER(FFslave,SIGN(CS376))*POWER(GEslave,SIGN(CT376))*POWER(KKslave,SIGN(CV376))+CV376*POWER(MUslave,SIGN(CO376))*POWER(KLslave,SIGN(CP376))*POWER(INslave_IN,SIGN(CQ376))*POWER(CHslave,SIGN(CR376))*POWER(FFslave,SIGN(CS376))*POWER(GEslave,SIGN(CT376))*POWER(KOslave,SIGN(CU376))</f>
        <v>2304</v>
      </c>
      <c r="DA376" s="233">
        <f>CO376*CR376*KOslave+CO376*CHslave*CU376+MUslave*CR376*CU376</f>
        <v>3456</v>
      </c>
      <c r="DB376" s="233">
        <f t="shared" ref="DB376:DB386" si="4210">IFERROR(CO376^SIGN(CO376),1)*IFERROR(CP376^SIGN(CP376),1)*IFERROR(CQ376^SIGN(CQ376),1)*IFERROR(CR376^SIGN(CR376),1)*IFERROR(CS376^SIGN(CS376),1)*IFERROR(CT376^SIGN(CT376),1)*IFERROR(CU376^SIGN(CU376),1)*IFERROR(CV376^SIGN(CV376),1)</f>
        <v>1728</v>
      </c>
      <c r="DC376" s="78">
        <f t="shared" ref="DC376:DC386" si="4211">SUM(CZ376:DB376)</f>
        <v>7488</v>
      </c>
      <c r="DD376" s="220">
        <f t="shared" ref="DD376:DD386" si="4212">CW376*CZ376/DC376</f>
        <v>3.6923076923076925</v>
      </c>
      <c r="DE376" s="220">
        <f t="shared" ref="DE376:DE386" si="4213">CX376*DA376/DC376</f>
        <v>11.076923076923077</v>
      </c>
      <c r="DF376" s="220">
        <f t="shared" ref="DF376:DF386" si="4214">CY376*DB376/DC376</f>
        <v>8.3076923076923084</v>
      </c>
      <c r="DG376" s="42">
        <f t="shared" ref="DG376:DG386" si="4215">SUM(DD376:DF376)</f>
        <v>23.07692307692308</v>
      </c>
      <c r="DH376" s="252">
        <f t="shared" si="3970"/>
        <v>0</v>
      </c>
      <c r="DI376" s="309">
        <f t="shared" ref="DI376:DI386" si="4216">DG376-DH376</f>
        <v>23.07692307692308</v>
      </c>
      <c r="DJ376" s="42">
        <f>IF(DG376&lt;=0,3,0)+IF(DG376&gt;0,DG376+1,0)*3+IF(DG376&gt;12,DG376-12,0)*3+IF(DG376&gt;13,DG376-13,0)*3+IF(DG376&gt;14,DG376-14,0)*3+IF(DG376&gt;15,DG376-15,0)*3+IF(DG376&gt;16,DG376-16,0)*3+IF(DG376&gt;17,DG376-17,0)*3+IF(DG376&gt;18,DG376-18,0)*3+IF(DG376&gt;19,DG376-19,0)*3+IF(DG376&gt;20,DG376-20,0)*3</f>
        <v>263.30769230769232</v>
      </c>
      <c r="DK376" s="78">
        <f>IF(DH376&lt;=0,3,0)+IF(DH376&gt;0,DH376+1,0)*3+IF(DH376&gt;12,DH376-12,0)*3+IF(DH376&gt;13,DH376-13,0)*3+IF(DH376&gt;14,DH376-14,0)*3+IF(DH376&gt;15,DH376-15,0)*3+IF(DH376&gt;16,DH376-16,0)*3+IF(DH376&gt;17,DH376-17,0)*3+IF(DH376&gt;18,DH376-18,0)*3+IF(DH376&gt;19,DH376-19,0)*3+IF(DH376&gt;20,DH376-20,0)*3</f>
        <v>3</v>
      </c>
      <c r="DL376" s="241">
        <f t="shared" ref="DL376:DL386" si="4217">IF((DJ376-DK376)&gt;0,DJ376-DK376,0)</f>
        <v>260.30769230769232</v>
      </c>
      <c r="DM376" s="42">
        <f t="shared" ref="DM376:DM386" si="4218">IF((DK376-DJ376)&gt;0,DK376-DJ376,0)</f>
        <v>0</v>
      </c>
      <c r="DO376" s="302" t="s">
        <v>312</v>
      </c>
      <c r="DP376" s="43" t="s">
        <v>227</v>
      </c>
      <c r="DQ376" s="42" t="s">
        <v>135</v>
      </c>
      <c r="DR376" s="233">
        <f>Konvention_1slave-MUslave</f>
        <v>12</v>
      </c>
      <c r="DS376" s="233"/>
      <c r="DT376" s="233"/>
      <c r="DU376" s="233">
        <f>Konvention_1slave-CHslave_CH</f>
        <v>11</v>
      </c>
      <c r="DV376" s="233"/>
      <c r="DW376" s="233"/>
      <c r="DX376" s="233">
        <f t="shared" ref="DX376:DX384" si="4219">Konvention_1slave-KOslave</f>
        <v>12</v>
      </c>
      <c r="DY376" s="233"/>
      <c r="DZ376" s="219">
        <f t="shared" ref="DZ376:DZ386" si="4220">(DR376+DS376+DT376+DU376+DV376+DW376+DX376+DY376)/3</f>
        <v>11.666666666666666</v>
      </c>
      <c r="EA376" s="220">
        <f t="shared" ref="EA376:EA386" si="4221">2*DZ376</f>
        <v>23.333333333333332</v>
      </c>
      <c r="EB376" s="221">
        <f t="shared" ref="EB376:EB386" si="4222">3*DZ376</f>
        <v>35</v>
      </c>
      <c r="EC376" s="233">
        <f t="shared" ref="EC376:EC386" si="4223">DR376*POWER(KLslave,SIGN(DS376))*POWER(INslave,SIGN(DT376))*POWER(CHslave_CH,SIGN(DU376))*POWER(FFslave,SIGN(DV376))*POWER(GEslave,SIGN(DW376))*POWER(KOslave,SIGN(DX376))*POWER(KKslave,SIGN(DY376))+DS376*POWER(MUslave,SIGN(DR376))*POWER(INslave,SIGN(DT376))*POWER(CHslave_CH,SIGN(DU376))*POWER(FFslave,SIGN(DV376))*POWER(GEslave,SIGN(DW376))*POWER(KOslave,SIGN(DX376))*POWER(KKslave,SIGN(DY376))+DT376*POWER(MUslave,SIGN(DR376))*POWER(KLslave,SIGN(DS376))*POWER(CHslave_CH,SIGN(DU376))*POWER(FFslave,SIGN(DV376))*POWER(GEslave,SIGN(DW376))*POWER(KOslave,SIGN(DX376))*POWER(KKslave,SIGN(DY376))+DU376*POWER(MUslave,SIGN(DR376))*POWER(KLslave,SIGN(DS376))*POWER(INslave,SIGN(DT376))*POWER(FFslave,SIGN(DV376))*POWER(GEslave,SIGN(DW376))*POWER(KOslave,SIGN(DX376))*POWER(KKslave,SIGN(DY376))+DV376*POWER(MUslave,SIGN(DR376))*POWER(KLslave,SIGN(DS376))*POWER(INslave,SIGN(DT376))*POWER(CHslave_CH,SIGN(DU376))*POWER(GEslave,SIGN(DW376))*POWER(KOslave,SIGN(DX376))*POWER(KKslave,SIGN(DY376))+DW376*POWER(MUslave,SIGN(DR376))*POWER(KLslave,SIGN(DS376))*POWER(INslave,SIGN(DT376))*POWER(CHslave_CH,SIGN(DU376))*POWER(FFslave,SIGN(DV376))*POWER(KOslave,SIGN(DX376))*POWER(KKslave,SIGN(DY376))+DX376*POWER(MUslave,SIGN(DR376))*POWER(KLslave,SIGN(DS376))*POWER(INslave,SIGN(DT376))*POWER(CHslave_CH,SIGN(DU376))*POWER(FFslave,SIGN(DV376))*POWER(GEslave,SIGN(DW376))*POWER(KKslave,SIGN(DY376))+DY376*POWER(MUslave,SIGN(DR376))*POWER(KLslave,SIGN(DS376))*POWER(INslave,SIGN(DT376))*POWER(CHslave_CH,SIGN(DU376))*POWER(FFslave,SIGN(DV376))*POWER(GEslave,SIGN(DW376))*POWER(KOslave,SIGN(DX376))</f>
        <v>2432</v>
      </c>
      <c r="ED376" s="233">
        <f>DR376*DU376*KOslave+DR376*CHslave_CH*DX376+MUslave*DU376*DX376</f>
        <v>3408</v>
      </c>
      <c r="EE376" s="233">
        <f t="shared" ref="EE376:EE386" si="4224">IFERROR(DR376^SIGN(DR376),1)*IFERROR(DS376^SIGN(DS376),1)*IFERROR(DT376^SIGN(DT376),1)*IFERROR(DU376^SIGN(DU376),1)*IFERROR(DV376^SIGN(DV376),1)*IFERROR(DW376^SIGN(DW376),1)*IFERROR(DX376^SIGN(DX376),1)*IFERROR(DY376^SIGN(DY376),1)</f>
        <v>1584</v>
      </c>
      <c r="EF376" s="78">
        <f t="shared" ref="EF376:EF386" si="4225">SUM(EC376:EE376)</f>
        <v>7424</v>
      </c>
      <c r="EG376" s="220">
        <f t="shared" ref="EG376:EG386" si="4226">DZ376*EC376/EF376</f>
        <v>3.8218390804597702</v>
      </c>
      <c r="EH376" s="220">
        <f t="shared" ref="EH376:EH386" si="4227">EA376*ED376/EF376</f>
        <v>10.711206896551724</v>
      </c>
      <c r="EI376" s="220">
        <f t="shared" ref="EI376:EI386" si="4228">EB376*EE376/EF376</f>
        <v>7.4676724137931032</v>
      </c>
      <c r="EJ376" s="42">
        <f t="shared" ref="EJ376:EJ386" si="4229">SUM(EG376:EI376)</f>
        <v>22.000718390804597</v>
      </c>
      <c r="EK376" s="252">
        <f t="shared" si="3986"/>
        <v>0</v>
      </c>
      <c r="EL376" s="309">
        <f t="shared" ref="EL376:EL386" si="4230">EJ376-EK376</f>
        <v>22.000718390804597</v>
      </c>
      <c r="EM376" s="42">
        <f>IF(EJ376&lt;=0,3,0)+IF(EJ376&gt;0,EJ376+1,0)*3+IF(EJ376&gt;12,EJ376-12,0)*3+IF(EJ376&gt;13,EJ376-13,0)*3+IF(EJ376&gt;14,EJ376-14,0)*3+IF(EJ376&gt;15,EJ376-15,0)*3+IF(EJ376&gt;16,EJ376-16,0)*3+IF(EJ376&gt;17,EJ376-17,0)*3+IF(EJ376&gt;18,EJ376-18,0)*3+IF(EJ376&gt;19,EJ376-19,0)*3+IF(EJ376&gt;20,EJ376-20,0)*3</f>
        <v>231.02155172413785</v>
      </c>
      <c r="EN376" s="78">
        <f>IF(EK376&lt;=0,3,0)+IF(EK376&gt;0,EK376+1,0)*3+IF(EK376&gt;12,EK376-12,0)*3+IF(EK376&gt;13,EK376-13,0)*3+IF(EK376&gt;14,EK376-14,0)*3+IF(EK376&gt;15,EK376-15,0)*3+IF(EK376&gt;16,EK376-16,0)*3+IF(EK376&gt;17,EK376-17,0)*3+IF(EK376&gt;18,EK376-18,0)*3+IF(EK376&gt;19,EK376-19,0)*3+IF(EK376&gt;20,EK376-20,0)*3</f>
        <v>3</v>
      </c>
      <c r="EO376" s="241">
        <f t="shared" ref="EO376:EO386" si="4231">IF((EM376-EN376)&gt;0,EM376-EN376,0)</f>
        <v>228.02155172413785</v>
      </c>
      <c r="EP376" s="42">
        <f t="shared" ref="EP376:EP386" si="4232">IF((EN376-EM376)&gt;0,EN376-EM376,0)</f>
        <v>0</v>
      </c>
      <c r="ER376" s="302" t="s">
        <v>312</v>
      </c>
      <c r="ES376" s="43" t="s">
        <v>227</v>
      </c>
      <c r="ET376" s="42" t="s">
        <v>135</v>
      </c>
      <c r="EU376" s="233">
        <f>Konvention_1slave-MUslave</f>
        <v>12</v>
      </c>
      <c r="EV376" s="233"/>
      <c r="EW376" s="233"/>
      <c r="EX376" s="233">
        <f>Konvention_1slave-CHslave</f>
        <v>12</v>
      </c>
      <c r="EY376" s="233"/>
      <c r="EZ376" s="233"/>
      <c r="FA376" s="233">
        <f t="shared" ref="FA376:FA384" si="4233">Konvention_1slave-KOslave</f>
        <v>12</v>
      </c>
      <c r="FB376" s="233"/>
      <c r="FC376" s="219">
        <f t="shared" ref="FC376:FC386" si="4234">(EU376+EV376+EW376+EX376+EY376+EZ376+FA376+FB376)/3</f>
        <v>12</v>
      </c>
      <c r="FD376" s="220">
        <f t="shared" ref="FD376:FD386" si="4235">2*FC376</f>
        <v>24</v>
      </c>
      <c r="FE376" s="221">
        <f t="shared" ref="FE376:FE386" si="4236">3*FC376</f>
        <v>36</v>
      </c>
      <c r="FF376" s="233">
        <f t="shared" ref="FF376:FF386" si="4237">EU376*POWER(KLslave,SIGN(EV376))*POWER(INslave,SIGN(EW376))*POWER(CHslave,SIGN(EX376))*POWER(FFslave_FF,SIGN(EY376))*POWER(GEslave,SIGN(EZ376))*POWER(KOslave,SIGN(FA376))*POWER(KKslave,SIGN(FB376))+EV376*POWER(MUslave,SIGN(EU376))*POWER(INslave,SIGN(EW376))*POWER(CHslave,SIGN(EX376))*POWER(FFslave_FF,SIGN(EY376))*POWER(GEslave,SIGN(EZ376))*POWER(KOslave,SIGN(FA376))*POWER(KKslave,SIGN(FB376))+EW376*POWER(MUslave,SIGN(EU376))*POWER(KLslave,SIGN(EV376))*POWER(CHslave,SIGN(EX376))*POWER(FFslave_FF,SIGN(EY376))*POWER(GEslave,SIGN(EZ376))*POWER(KOslave,SIGN(FA376))*POWER(KKslave,SIGN(FB376))+EX376*POWER(MUslave,SIGN(EU376))*POWER(KLslave,SIGN(EV376))*POWER(INslave,SIGN(EW376))*POWER(FFslave_FF,SIGN(EY376))*POWER(GEslave,SIGN(EZ376))*POWER(KOslave,SIGN(FA376))*POWER(KKslave,SIGN(FB376))+EY376*POWER(MUslave,SIGN(EU376))*POWER(KLslave,SIGN(EV376))*POWER(INslave,SIGN(EW376))*POWER(CHslave,SIGN(EX376))*POWER(GEslave,SIGN(EZ376))*POWER(KOslave,SIGN(FA376))*POWER(KKslave,SIGN(FB376))+EZ376*POWER(MUslave,SIGN(EU376))*POWER(KLslave,SIGN(EV376))*POWER(INslave,SIGN(EW376))*POWER(CHslave,SIGN(EX376))*POWER(FFslave_FF,SIGN(EY376))*POWER(KOslave,SIGN(FA376))*POWER(KKslave,SIGN(FB376))+FA376*POWER(MUslave,SIGN(EU376))*POWER(KLslave,SIGN(EV376))*POWER(INslave,SIGN(EW376))*POWER(CHslave,SIGN(EX376))*POWER(FFslave_FF,SIGN(EY376))*POWER(GEslave,SIGN(EZ376))*POWER(KKslave,SIGN(FB376))+FB376*POWER(MUslave,SIGN(EU376))*POWER(KLslave,SIGN(EV376))*POWER(INslave,SIGN(EW376))*POWER(CHslave,SIGN(EX376))*POWER(FFslave_FF,SIGN(EY376))*POWER(GEslave,SIGN(EZ376))*POWER(KOslave,SIGN(FA376))</f>
        <v>2304</v>
      </c>
      <c r="FG376" s="233">
        <f>EU376*EX376*KOslave+EU376*CHslave*FA376+MUslave*EX376*FA376</f>
        <v>3456</v>
      </c>
      <c r="FH376" s="233">
        <f t="shared" ref="FH376:FH386" si="4238">IFERROR(EU376^SIGN(EU376),1)*IFERROR(EV376^SIGN(EV376),1)*IFERROR(EW376^SIGN(EW376),1)*IFERROR(EX376^SIGN(EX376),1)*IFERROR(EY376^SIGN(EY376),1)*IFERROR(EZ376^SIGN(EZ376),1)*IFERROR(FA376^SIGN(FA376),1)*IFERROR(FB376^SIGN(FB376),1)</f>
        <v>1728</v>
      </c>
      <c r="FI376" s="78">
        <f t="shared" ref="FI376:FI386" si="4239">SUM(FF376:FH376)</f>
        <v>7488</v>
      </c>
      <c r="FJ376" s="220">
        <f t="shared" ref="FJ376:FJ386" si="4240">FC376*FF376/FI376</f>
        <v>3.6923076923076925</v>
      </c>
      <c r="FK376" s="220">
        <f t="shared" ref="FK376:FK386" si="4241">FD376*FG376/FI376</f>
        <v>11.076923076923077</v>
      </c>
      <c r="FL376" s="220">
        <f t="shared" ref="FL376:FL386" si="4242">FE376*FH376/FI376</f>
        <v>8.3076923076923084</v>
      </c>
      <c r="FM376" s="42">
        <f t="shared" ref="FM376:FM386" si="4243">SUM(FJ376:FL376)</f>
        <v>23.07692307692308</v>
      </c>
      <c r="FN376" s="252">
        <f t="shared" si="4002"/>
        <v>0</v>
      </c>
      <c r="FO376" s="309">
        <f t="shared" ref="FO376:FO386" si="4244">FM376-FN376</f>
        <v>23.07692307692308</v>
      </c>
      <c r="FP376" s="42">
        <f>IF(FM376&lt;=0,3,0)+IF(FM376&gt;0,FM376+1,0)*3+IF(FM376&gt;12,FM376-12,0)*3+IF(FM376&gt;13,FM376-13,0)*3+IF(FM376&gt;14,FM376-14,0)*3+IF(FM376&gt;15,FM376-15,0)*3+IF(FM376&gt;16,FM376-16,0)*3+IF(FM376&gt;17,FM376-17,0)*3+IF(FM376&gt;18,FM376-18,0)*3+IF(FM376&gt;19,FM376-19,0)*3+IF(FM376&gt;20,FM376-20,0)*3</f>
        <v>263.30769230769232</v>
      </c>
      <c r="FQ376" s="78">
        <f>IF(FN376&lt;=0,3,0)+IF(FN376&gt;0,FN376+1,0)*3+IF(FN376&gt;12,FN376-12,0)*3+IF(FN376&gt;13,FN376-13,0)*3+IF(FN376&gt;14,FN376-14,0)*3+IF(FN376&gt;15,FN376-15,0)*3+IF(FN376&gt;16,FN376-16,0)*3+IF(FN376&gt;17,FN376-17,0)*3+IF(FN376&gt;18,FN376-18,0)*3+IF(FN376&gt;19,FN376-19,0)*3+IF(FN376&gt;20,FN376-20,0)*3</f>
        <v>3</v>
      </c>
      <c r="FR376" s="241">
        <f t="shared" ref="FR376:FR386" si="4245">IF((FP376-FQ376)&gt;0,FP376-FQ376,0)</f>
        <v>260.30769230769232</v>
      </c>
      <c r="FS376" s="42">
        <f t="shared" ref="FS376:FS386" si="4246">IF((FQ376-FP376)&gt;0,FQ376-FP376,0)</f>
        <v>0</v>
      </c>
      <c r="FU376" s="302" t="s">
        <v>312</v>
      </c>
      <c r="FV376" s="43" t="s">
        <v>227</v>
      </c>
      <c r="FW376" s="42" t="s">
        <v>135</v>
      </c>
      <c r="FX376" s="233">
        <f>Konvention_1slave-MUslave</f>
        <v>12</v>
      </c>
      <c r="FY376" s="233"/>
      <c r="FZ376" s="233"/>
      <c r="GA376" s="233">
        <f>Konvention_1slave-CHslave</f>
        <v>12</v>
      </c>
      <c r="GB376" s="233"/>
      <c r="GC376" s="233"/>
      <c r="GD376" s="233">
        <f t="shared" ref="GD376:GD384" si="4247">Konvention_1slave-KOslave</f>
        <v>12</v>
      </c>
      <c r="GE376" s="233"/>
      <c r="GF376" s="219">
        <f t="shared" ref="GF376:GF386" si="4248">(FX376+FY376+FZ376+GA376+GB376+GC376+GD376+GE376)/3</f>
        <v>12</v>
      </c>
      <c r="GG376" s="220">
        <f t="shared" ref="GG376:GG386" si="4249">2*GF376</f>
        <v>24</v>
      </c>
      <c r="GH376" s="221">
        <f t="shared" ref="GH376:GH386" si="4250">3*GF376</f>
        <v>36</v>
      </c>
      <c r="GI376" s="233">
        <f t="shared" ref="GI376:GI386" si="4251">FX376*POWER(KLslave,SIGN(FY376))*POWER(INslave,SIGN(FZ376))*POWER(CHslave,SIGN(GA376))*POWER(FFslave,SIGN(GB376))*POWER(GEslave_GE,SIGN(GC376))*POWER(KOslave,SIGN(GD376))*POWER(KKslave,SIGN(GE376))+FY376*POWER(MUslave,SIGN(FX376))*POWER(INslave,SIGN(FZ376))*POWER(CHslave,SIGN(GA376))*POWER(FFslave,SIGN(GB376))*POWER(GEslave_GE,SIGN(GC376))*POWER(KOslave,SIGN(GD376))*POWER(KKslave,SIGN(GE376))+FZ376*POWER(MUslave,SIGN(FX376))*POWER(KLslave,SIGN(FY376))*POWER(CHslave,SIGN(GA376))*POWER(FFslave,SIGN(GB376))*POWER(GEslave_GE,SIGN(GC376))*POWER(KOslave,SIGN(GD376))*POWER(KKslave,SIGN(GE376))+GA376*POWER(MUslave,SIGN(FX376))*POWER(KLslave,SIGN(FY376))*POWER(INslave,SIGN(FZ376))*POWER(FFslave,SIGN(GB376))*POWER(GEslave_GE,SIGN(GC376))*POWER(KOslave,SIGN(GD376))*POWER(KKslave,SIGN(GE376))+GB376*POWER(MUslave,SIGN(FX376))*POWER(KLslave,SIGN(FY376))*POWER(INslave,SIGN(FZ376))*POWER(CHslave,SIGN(GA376))*POWER(GEslave_GE,SIGN(GC376))*POWER(KOslave,SIGN(GD376))*POWER(KKslave,SIGN(GE376))+GC376*POWER(MUslave,SIGN(FX376))*POWER(KLslave,SIGN(FY376))*POWER(INslave,SIGN(FZ376))*POWER(CHslave,SIGN(GA376))*POWER(FFslave,SIGN(GB376))*POWER(KOslave,SIGN(GD376))*POWER(KKslave,SIGN(GE376))+GD376*POWER(MUslave,SIGN(FX376))*POWER(KLslave,SIGN(FY376))*POWER(INslave,SIGN(FZ376))*POWER(CHslave,SIGN(GA376))*POWER(FFslave,SIGN(GB376))*POWER(GEslave_GE,SIGN(GC376))*POWER(KKslave,SIGN(GE376))+GE376*POWER(MUslave,SIGN(FX376))*POWER(KLslave,SIGN(FY376))*POWER(INslave,SIGN(FZ376))*POWER(CHslave,SIGN(GA376))*POWER(FFslave,SIGN(GB376))*POWER(GEslave_GE,SIGN(GC376))*POWER(KOslave,SIGN(GD376))</f>
        <v>2304</v>
      </c>
      <c r="GJ376" s="233">
        <f>FX376*GA376*KOslave+FX376*CHslave*GD376+MUslave*GA376*GD376</f>
        <v>3456</v>
      </c>
      <c r="GK376" s="233">
        <f t="shared" ref="GK376:GK386" si="4252">IFERROR(FX376^SIGN(FX376),1)*IFERROR(FY376^SIGN(FY376),1)*IFERROR(FZ376^SIGN(FZ376),1)*IFERROR(GA376^SIGN(GA376),1)*IFERROR(GB376^SIGN(GB376),1)*IFERROR(GC376^SIGN(GC376),1)*IFERROR(GD376^SIGN(GD376),1)*IFERROR(GE376^SIGN(GE376),1)</f>
        <v>1728</v>
      </c>
      <c r="GL376" s="78">
        <f t="shared" ref="GL376:GL386" si="4253">SUM(GI376:GK376)</f>
        <v>7488</v>
      </c>
      <c r="GM376" s="220">
        <f t="shared" ref="GM376:GM386" si="4254">GF376*GI376/GL376</f>
        <v>3.6923076923076925</v>
      </c>
      <c r="GN376" s="220">
        <f t="shared" ref="GN376:GN386" si="4255">GG376*GJ376/GL376</f>
        <v>11.076923076923077</v>
      </c>
      <c r="GO376" s="220">
        <f t="shared" ref="GO376:GO386" si="4256">GH376*GK376/GL376</f>
        <v>8.3076923076923084</v>
      </c>
      <c r="GP376" s="42">
        <f t="shared" ref="GP376:GP386" si="4257">SUM(GM376:GO376)</f>
        <v>23.07692307692308</v>
      </c>
      <c r="GQ376" s="252">
        <f t="shared" si="4018"/>
        <v>0</v>
      </c>
      <c r="GR376" s="309">
        <f t="shared" ref="GR376:GR386" si="4258">GP376-GQ376</f>
        <v>23.07692307692308</v>
      </c>
      <c r="GS376" s="42">
        <f>IF(GP376&lt;=0,3,0)+IF(GP376&gt;0,GP376+1,0)*3+IF(GP376&gt;12,GP376-12,0)*3+IF(GP376&gt;13,GP376-13,0)*3+IF(GP376&gt;14,GP376-14,0)*3+IF(GP376&gt;15,GP376-15,0)*3+IF(GP376&gt;16,GP376-16,0)*3+IF(GP376&gt;17,GP376-17,0)*3+IF(GP376&gt;18,GP376-18,0)*3+IF(GP376&gt;19,GP376-19,0)*3+IF(GP376&gt;20,GP376-20,0)*3</f>
        <v>263.30769230769232</v>
      </c>
      <c r="GT376" s="78">
        <f>IF(GQ376&lt;=0,3,0)+IF(GQ376&gt;0,GQ376+1,0)*3+IF(GQ376&gt;12,GQ376-12,0)*3+IF(GQ376&gt;13,GQ376-13,0)*3+IF(GQ376&gt;14,GQ376-14,0)*3+IF(GQ376&gt;15,GQ376-15,0)*3+IF(GQ376&gt;16,GQ376-16,0)*3+IF(GQ376&gt;17,GQ376-17,0)*3+IF(GQ376&gt;18,GQ376-18,0)*3+IF(GQ376&gt;19,GQ376-19,0)*3+IF(GQ376&gt;20,GQ376-20,0)*3</f>
        <v>3</v>
      </c>
      <c r="GU376" s="241">
        <f t="shared" ref="GU376:GU386" si="4259">IF((GS376-GT376)&gt;0,GS376-GT376,0)</f>
        <v>260.30769230769232</v>
      </c>
      <c r="GV376" s="42">
        <f t="shared" ref="GV376:GV386" si="4260">IF((GT376-GS376)&gt;0,GT376-GS376,0)</f>
        <v>0</v>
      </c>
      <c r="GX376" s="302" t="s">
        <v>312</v>
      </c>
      <c r="GY376" s="43" t="s">
        <v>227</v>
      </c>
      <c r="GZ376" s="42" t="s">
        <v>135</v>
      </c>
      <c r="HA376" s="233">
        <f>Konvention_1slave-MUslave</f>
        <v>12</v>
      </c>
      <c r="HB376" s="233"/>
      <c r="HC376" s="233"/>
      <c r="HD376" s="233">
        <f>Konvention_1slave-CHslave</f>
        <v>12</v>
      </c>
      <c r="HE376" s="233"/>
      <c r="HF376" s="233"/>
      <c r="HG376" s="233">
        <f t="shared" ref="HG376:HG384" si="4261">Konvention_1slave-KOslave_KO</f>
        <v>11</v>
      </c>
      <c r="HH376" s="233"/>
      <c r="HI376" s="219">
        <f t="shared" ref="HI376:HI386" si="4262">(HA376+HB376+HC376+HD376+HE376+HF376+HG376+HH376)/3</f>
        <v>11.666666666666666</v>
      </c>
      <c r="HJ376" s="220">
        <f t="shared" ref="HJ376:HJ386" si="4263">2*HI376</f>
        <v>23.333333333333332</v>
      </c>
      <c r="HK376" s="221">
        <f t="shared" ref="HK376:HK386" si="4264">3*HI376</f>
        <v>35</v>
      </c>
      <c r="HL376" s="233">
        <f t="shared" ref="HL376:HL386" si="4265">HA376*POWER(KLslave,SIGN(HB376))*POWER(INslave,SIGN(HC376))*POWER(CHslave,SIGN(HD376))*POWER(FFslave,SIGN(HE376))*POWER(GEslave,SIGN(HF376))*POWER(KOslave_KO,SIGN(HG376))*POWER(KKslave,SIGN(HH376))+HB376*POWER(MUslave,SIGN(HA376))*POWER(INslave,SIGN(HC376))*POWER(CHslave,SIGN(HD376))*POWER(FFslave,SIGN(HE376))*POWER(GEslave,SIGN(HF376))*POWER(KOslave_KO,SIGN(HG376))*POWER(KKslave,SIGN(HH376))+HC376*POWER(MUslave,SIGN(HA376))*POWER(KLslave,SIGN(HB376))*POWER(CHslave,SIGN(HD376))*POWER(FFslave,SIGN(HE376))*POWER(GEslave,SIGN(HF376))*POWER(KOslave_KO,SIGN(HG376))*POWER(KKslave,SIGN(HH376))+HD376*POWER(MUslave,SIGN(HA376))*POWER(KLslave,SIGN(HB376))*POWER(INslave,SIGN(HC376))*POWER(FFslave,SIGN(HE376))*POWER(GEslave,SIGN(HF376))*POWER(KOslave_KO,SIGN(HG376))*POWER(KKslave,SIGN(HH376))+HE376*POWER(MUslave,SIGN(HA376))*POWER(KLslave,SIGN(HB376))*POWER(INslave,SIGN(HC376))*POWER(CHslave,SIGN(HD376))*POWER(GEslave,SIGN(HF376))*POWER(KOslave_KO,SIGN(HG376))*POWER(KKslave,SIGN(HH376))+HF376*POWER(MUslave,SIGN(HA376))*POWER(KLslave,SIGN(HB376))*POWER(INslave,SIGN(HC376))*POWER(CHslave,SIGN(HD376))*POWER(FFslave,SIGN(HE376))*POWER(KOslave_KO,SIGN(HG376))*POWER(KKslave,SIGN(HH376))+HG376*POWER(MUslave,SIGN(HA376))*POWER(KLslave,SIGN(HB376))*POWER(INslave,SIGN(HC376))*POWER(CHslave,SIGN(HD376))*POWER(FFslave,SIGN(HE376))*POWER(GEslave,SIGN(HF376))*POWER(KKslave,SIGN(HH376))+HH376*POWER(MUslave,SIGN(HA376))*POWER(KLslave,SIGN(HB376))*POWER(INslave,SIGN(HC376))*POWER(CHslave,SIGN(HD376))*POWER(FFslave,SIGN(HE376))*POWER(GEslave,SIGN(HF376))*POWER(KOslave_KO,SIGN(HG376))</f>
        <v>2432</v>
      </c>
      <c r="HM376" s="233">
        <f>HA376*HD376*KOslave_KO+HA376*CHslave*HG376+MUslave*HD376*HG376</f>
        <v>3408</v>
      </c>
      <c r="HN376" s="233">
        <f t="shared" ref="HN376:HN386" si="4266">IFERROR(HA376^SIGN(HA376),1)*IFERROR(HB376^SIGN(HB376),1)*IFERROR(HC376^SIGN(HC376),1)*IFERROR(HD376^SIGN(HD376),1)*IFERROR(HE376^SIGN(HE376),1)*IFERROR(HF376^SIGN(HF376),1)*IFERROR(HG376^SIGN(HG376),1)*IFERROR(HH376^SIGN(HH376),1)</f>
        <v>1584</v>
      </c>
      <c r="HO376" s="78">
        <f t="shared" ref="HO376:HO386" si="4267">SUM(HL376:HN376)</f>
        <v>7424</v>
      </c>
      <c r="HP376" s="220">
        <f t="shared" ref="HP376:HP386" si="4268">HI376*HL376/HO376</f>
        <v>3.8218390804597702</v>
      </c>
      <c r="HQ376" s="220">
        <f t="shared" ref="HQ376:HQ386" si="4269">HJ376*HM376/HO376</f>
        <v>10.711206896551724</v>
      </c>
      <c r="HR376" s="220">
        <f t="shared" ref="HR376:HR386" si="4270">HK376*HN376/HO376</f>
        <v>7.4676724137931032</v>
      </c>
      <c r="HS376" s="42">
        <f t="shared" ref="HS376:HS386" si="4271">SUM(HP376:HR376)</f>
        <v>22.000718390804597</v>
      </c>
      <c r="HT376" s="252">
        <f t="shared" si="4034"/>
        <v>0</v>
      </c>
      <c r="HU376" s="309">
        <f t="shared" ref="HU376:HU386" si="4272">HS376-HT376</f>
        <v>22.000718390804597</v>
      </c>
      <c r="HV376" s="42">
        <f>IF(HS376&lt;=0,3,0)+IF(HS376&gt;0,HS376+1,0)*3+IF(HS376&gt;12,HS376-12,0)*3+IF(HS376&gt;13,HS376-13,0)*3+IF(HS376&gt;14,HS376-14,0)*3+IF(HS376&gt;15,HS376-15,0)*3+IF(HS376&gt;16,HS376-16,0)*3+IF(HS376&gt;17,HS376-17,0)*3+IF(HS376&gt;18,HS376-18,0)*3+IF(HS376&gt;19,HS376-19,0)*3+IF(HS376&gt;20,HS376-20,0)*3</f>
        <v>231.02155172413785</v>
      </c>
      <c r="HW376" s="78">
        <f>IF(HT376&lt;=0,3,0)+IF(HT376&gt;0,HT376+1,0)*3+IF(HT376&gt;12,HT376-12,0)*3+IF(HT376&gt;13,HT376-13,0)*3+IF(HT376&gt;14,HT376-14,0)*3+IF(HT376&gt;15,HT376-15,0)*3+IF(HT376&gt;16,HT376-16,0)*3+IF(HT376&gt;17,HT376-17,0)*3+IF(HT376&gt;18,HT376-18,0)*3+IF(HT376&gt;19,HT376-19,0)*3+IF(HT376&gt;20,HT376-20,0)*3</f>
        <v>3</v>
      </c>
      <c r="HX376" s="241">
        <f t="shared" ref="HX376:HX386" si="4273">IF((HV376-HW376)&gt;0,HV376-HW376,0)</f>
        <v>228.02155172413785</v>
      </c>
      <c r="HY376" s="42">
        <f t="shared" ref="HY376:HY386" si="4274">IF((HW376-HV376)&gt;0,HW376-HV376,0)</f>
        <v>0</v>
      </c>
      <c r="IA376" s="302" t="s">
        <v>312</v>
      </c>
      <c r="IB376" s="43" t="s">
        <v>227</v>
      </c>
      <c r="IC376" s="42" t="s">
        <v>135</v>
      </c>
      <c r="ID376" s="233">
        <f>Konvention_1slave-MUslave</f>
        <v>12</v>
      </c>
      <c r="IE376" s="233"/>
      <c r="IF376" s="233"/>
      <c r="IG376" s="233">
        <f>Konvention_1slave-CHslave</f>
        <v>12</v>
      </c>
      <c r="IH376" s="233"/>
      <c r="II376" s="233"/>
      <c r="IJ376" s="233">
        <f t="shared" ref="IJ376:IJ384" si="4275">Konvention_1slave-KOslave</f>
        <v>12</v>
      </c>
      <c r="IK376" s="233"/>
      <c r="IL376" s="219">
        <f t="shared" ref="IL376:IL386" si="4276">(ID376+IE376+IF376+IG376+IH376+II376+IJ376+IK376)/3</f>
        <v>12</v>
      </c>
      <c r="IM376" s="220">
        <f t="shared" ref="IM376:IM386" si="4277">2*IL376</f>
        <v>24</v>
      </c>
      <c r="IN376" s="221">
        <f t="shared" ref="IN376:IN386" si="4278">3*IL376</f>
        <v>36</v>
      </c>
      <c r="IO376" s="233">
        <f t="shared" ref="IO376:IO386" si="4279">ID376*POWER(KLslave,SIGN(IE376))*POWER(INslave,SIGN(IF376))*POWER(CHslave,SIGN(IG376))*POWER(FFslave,SIGN(IH376))*POWER(GEslave,SIGN(II376))*POWER(KOslave,SIGN(IJ376))*POWER(KKslave_KK,SIGN(IK376))+IE376*POWER(MUslave,SIGN(ID376))*POWER(INslave,SIGN(IF376))*POWER(CHslave,SIGN(IG376))*POWER(FFslave,SIGN(IH376))*POWER(GEslave,SIGN(II376))*POWER(KOslave,SIGN(IJ376))*POWER(KKslave_KK,SIGN(IK376))+IF376*POWER(MUslave,SIGN(ID376))*POWER(KLslave,SIGN(IE376))*POWER(CHslave,SIGN(IG376))*POWER(FFslave,SIGN(IH376))*POWER(GEslave,SIGN(II376))*POWER(KOslave,SIGN(IJ376))*POWER(KKslave_KK,SIGN(IK376))+IG376*POWER(MUslave,SIGN(ID376))*POWER(KLslave,SIGN(IE376))*POWER(INslave,SIGN(IF376))*POWER(FFslave,SIGN(IH376))*POWER(GEslave,SIGN(II376))*POWER(KOslave,SIGN(IJ376))*POWER(KKslave_KK,SIGN(IK376))+IH376*POWER(MUslave,SIGN(ID376))*POWER(KLslave,SIGN(IE376))*POWER(INslave,SIGN(IF376))*POWER(CHslave,SIGN(IG376))*POWER(GEslave,SIGN(II376))*POWER(KOslave,SIGN(IJ376))*POWER(KKslave_KK,SIGN(IK376))+II376*POWER(MUslave,SIGN(ID376))*POWER(KLslave,SIGN(IE376))*POWER(INslave,SIGN(IF376))*POWER(CHslave,SIGN(IG376))*POWER(FFslave,SIGN(IH376))*POWER(KOslave,SIGN(IJ376))*POWER(KKslave_KK,SIGN(IK376))+IJ376*POWER(MUslave,SIGN(ID376))*POWER(KLslave,SIGN(IE376))*POWER(INslave,SIGN(IF376))*POWER(CHslave,SIGN(IG376))*POWER(FFslave,SIGN(IH376))*POWER(GEslave,SIGN(II376))*POWER(KKslave_KK,SIGN(IK376))+IK376*POWER(MUslave,SIGN(ID376))*POWER(KLslave,SIGN(IE376))*POWER(INslave,SIGN(IF376))*POWER(CHslave,SIGN(IG376))*POWER(FFslave,SIGN(IH376))*POWER(GEslave,SIGN(II376))*POWER(KOslave,SIGN(IJ376))</f>
        <v>2304</v>
      </c>
      <c r="IP376" s="233">
        <f>ID376*IG376*KOslave+ID376*CHslave*IJ376+MUslave*IG376*IJ376</f>
        <v>3456</v>
      </c>
      <c r="IQ376" s="233">
        <f t="shared" ref="IQ376:IQ386" si="4280">IFERROR(ID376^SIGN(ID376),1)*IFERROR(IE376^SIGN(IE376),1)*IFERROR(IF376^SIGN(IF376),1)*IFERROR(IG376^SIGN(IG376),1)*IFERROR(IH376^SIGN(IH376),1)*IFERROR(II376^SIGN(II376),1)*IFERROR(IJ376^SIGN(IJ376),1)*IFERROR(IK376^SIGN(IK376),1)</f>
        <v>1728</v>
      </c>
      <c r="IR376" s="78">
        <f t="shared" ref="IR376:IR386" si="4281">SUM(IO376:IQ376)</f>
        <v>7488</v>
      </c>
      <c r="IS376" s="220">
        <f t="shared" ref="IS376:IS386" si="4282">IL376*IO376/IR376</f>
        <v>3.6923076923076925</v>
      </c>
      <c r="IT376" s="220">
        <f t="shared" ref="IT376:IT386" si="4283">IM376*IP376/IR376</f>
        <v>11.076923076923077</v>
      </c>
      <c r="IU376" s="220">
        <f t="shared" ref="IU376:IU386" si="4284">IN376*IQ376/IR376</f>
        <v>8.3076923076923084</v>
      </c>
      <c r="IV376" s="42">
        <f t="shared" ref="IV376:IV386" si="4285">SUM(IS376:IU376)</f>
        <v>23.07692307692308</v>
      </c>
      <c r="IW376" s="252">
        <f t="shared" si="4050"/>
        <v>0</v>
      </c>
      <c r="IX376" s="309">
        <f t="shared" ref="IX376:IX386" si="4286">IV376-IW376</f>
        <v>23.07692307692308</v>
      </c>
      <c r="IY376" s="42">
        <f>IF(IV376&lt;=0,3,0)+IF(IV376&gt;0,IV376+1,0)*3+IF(IV376&gt;12,IV376-12,0)*3+IF(IV376&gt;13,IV376-13,0)*3+IF(IV376&gt;14,IV376-14,0)*3+IF(IV376&gt;15,IV376-15,0)*3+IF(IV376&gt;16,IV376-16,0)*3+IF(IV376&gt;17,IV376-17,0)*3+IF(IV376&gt;18,IV376-18,0)*3+IF(IV376&gt;19,IV376-19,0)*3+IF(IV376&gt;20,IV376-20,0)*3</f>
        <v>263.30769230769232</v>
      </c>
      <c r="IZ376" s="78">
        <f>IF(IW376&lt;=0,3,0)+IF(IW376&gt;0,IW376+1,0)*3+IF(IW376&gt;12,IW376-12,0)*3+IF(IW376&gt;13,IW376-13,0)*3+IF(IW376&gt;14,IW376-14,0)*3+IF(IW376&gt;15,IW376-15,0)*3+IF(IW376&gt;16,IW376-16,0)*3+IF(IW376&gt;17,IW376-17,0)*3+IF(IW376&gt;18,IW376-18,0)*3+IF(IW376&gt;19,IW376-19,0)*3+IF(IW376&gt;20,IW376-20,0)*3</f>
        <v>3</v>
      </c>
      <c r="JA376" s="241">
        <f t="shared" ref="JA376:JA386" si="4287">IF((IY376-IZ376)&gt;0,IY376-IZ376,0)</f>
        <v>260.30769230769232</v>
      </c>
      <c r="JB376" s="42">
        <f t="shared" ref="JB376:JB386" si="4288">IF((IZ376-IY376)&gt;0,IZ376-IY376,0)</f>
        <v>0</v>
      </c>
      <c r="JE376" s="148"/>
    </row>
    <row r="377" spans="2:265" hidden="1" outlineLevel="2">
      <c r="B377" s="148">
        <v>2</v>
      </c>
      <c r="C377" s="303" t="e">
        <f>VLOOKUP(AF377,Attribute!C:T,1,FALSE)</f>
        <v>#N/A</v>
      </c>
      <c r="D377" s="86" t="s">
        <v>227</v>
      </c>
      <c r="E377" s="125" t="s">
        <v>135</v>
      </c>
      <c r="F377" s="113">
        <f t="shared" ref="F377:F382" si="4289">Konvention_1master-MUmaster</f>
        <v>12</v>
      </c>
      <c r="G377" s="113"/>
      <c r="H377" s="113"/>
      <c r="I377" s="113">
        <f>Konvention_1master-CHmaster</f>
        <v>12</v>
      </c>
      <c r="J377" s="113"/>
      <c r="K377" s="113"/>
      <c r="L377" s="113">
        <f t="shared" si="4162"/>
        <v>12</v>
      </c>
      <c r="M377" s="113"/>
      <c r="N377" s="222">
        <f t="shared" si="4163"/>
        <v>12</v>
      </c>
      <c r="O377" s="223">
        <f t="shared" si="4164"/>
        <v>24</v>
      </c>
      <c r="P377" s="224">
        <f t="shared" si="4165"/>
        <v>36</v>
      </c>
      <c r="Q377" s="234">
        <f t="shared" si="4166"/>
        <v>2304</v>
      </c>
      <c r="R377" s="113">
        <f>F377*I377*KOmaster+F377*CHmaster*L377+MUmaster*I377*L377</f>
        <v>3456</v>
      </c>
      <c r="S377" s="234">
        <f t="shared" si="4167"/>
        <v>1728</v>
      </c>
      <c r="T377" s="242">
        <f t="shared" si="4168"/>
        <v>7488</v>
      </c>
      <c r="U377" s="223">
        <f t="shared" si="4169"/>
        <v>3.6923076923076925</v>
      </c>
      <c r="V377" s="223">
        <f t="shared" si="4170"/>
        <v>11.076923076923077</v>
      </c>
      <c r="W377" s="223">
        <f t="shared" si="4171"/>
        <v>8.3076923076923084</v>
      </c>
      <c r="X377" s="218">
        <f t="shared" si="4172"/>
        <v>23.07692307692308</v>
      </c>
      <c r="Y377" s="252">
        <v>0</v>
      </c>
      <c r="Z377" s="198">
        <f t="shared" si="4173"/>
        <v>23.07692307692308</v>
      </c>
      <c r="AA377" s="125">
        <f>IF(X377&lt;=0,3,0)+IF(X377&gt;0,X377+1,0)*3+IF(X377&gt;12,X377-12,0)*3+IF(X377&gt;13,X377-13,0)*3+IF(X377&gt;14,X377-14,0)*3+IF(X377&gt;15,X377-15,0)*3+IF(X377&gt;16,X377-16,0)*3+IF(X377&gt;17,X377-17,0)*3+IF(X377&gt;18,X377-18,0)*3+IF(X377&gt;19,X377-19,0)*3+IF(X377&gt;20,X377-20,0)*3</f>
        <v>263.30769230769232</v>
      </c>
      <c r="AB377" s="160">
        <f>IF(Y377&lt;=0,3,0)+IF(Y377&gt;0,Y377+1,0)*3+IF(Y377&gt;12,Y377-12,0)*3+IF(Y377&gt;13,Y377-13,0)*3+IF(Y377&gt;14,Y377-14,0)*3+IF(Y377&gt;15,Y377-15,0)*3+IF(Y377&gt;16,Y377-16,0)*3+IF(Y377&gt;17,Y377-17,0)*3+IF(Y377&gt;18,Y377-18,0)*3+IF(Y377&gt;19,Y377-19,0)*3+IF(Y377&gt;20,Y377-20,0)*3</f>
        <v>3</v>
      </c>
      <c r="AC377" s="127">
        <f t="shared" si="4174"/>
        <v>260.30769230769232</v>
      </c>
      <c r="AD377" s="125">
        <f t="shared" si="4175"/>
        <v>0</v>
      </c>
      <c r="AF377" s="163" t="s">
        <v>229</v>
      </c>
      <c r="AG377" s="86" t="s">
        <v>227</v>
      </c>
      <c r="AH377" s="125" t="s">
        <v>135</v>
      </c>
      <c r="AI377" s="113">
        <f t="shared" si="4176"/>
        <v>11</v>
      </c>
      <c r="AJ377" s="113"/>
      <c r="AK377" s="113"/>
      <c r="AL377" s="113">
        <f>Konvention_1slave-CHslave</f>
        <v>12</v>
      </c>
      <c r="AM377" s="113"/>
      <c r="AN377" s="113"/>
      <c r="AO377" s="113">
        <f t="shared" si="4177"/>
        <v>12</v>
      </c>
      <c r="AP377" s="113"/>
      <c r="AQ377" s="89">
        <f t="shared" si="4178"/>
        <v>11.666666666666666</v>
      </c>
      <c r="AR377" s="47">
        <f t="shared" si="4179"/>
        <v>23.333333333333332</v>
      </c>
      <c r="AS377" s="119">
        <f t="shared" si="4180"/>
        <v>35</v>
      </c>
      <c r="AT377" s="113">
        <f t="shared" si="4181"/>
        <v>2432</v>
      </c>
      <c r="AU377" s="113">
        <f>AI377*AL377*KOslave+AI377*CHslave*AO377+MUslave_MU*AL377*AO377</f>
        <v>3408</v>
      </c>
      <c r="AV377" s="113">
        <f t="shared" si="4182"/>
        <v>1584</v>
      </c>
      <c r="AW377" s="160">
        <f t="shared" si="4183"/>
        <v>7424</v>
      </c>
      <c r="AX377" s="47">
        <f t="shared" si="4184"/>
        <v>3.8218390804597702</v>
      </c>
      <c r="AY377" s="47">
        <f t="shared" si="4185"/>
        <v>10.711206896551724</v>
      </c>
      <c r="AZ377" s="47">
        <f t="shared" si="4186"/>
        <v>7.4676724137931032</v>
      </c>
      <c r="BA377" s="125">
        <f t="shared" si="4187"/>
        <v>22.000718390804597</v>
      </c>
      <c r="BB377" s="165">
        <f t="shared" si="3938"/>
        <v>0</v>
      </c>
      <c r="BC377" s="198">
        <f t="shared" si="4188"/>
        <v>22.000718390804597</v>
      </c>
      <c r="BD377" s="125">
        <f>IF(BA377&lt;=0,3,0)+IF(BA377&gt;0,BA377+1,0)*3+IF(BA377&gt;12,BA377-12,0)*3+IF(BA377&gt;13,BA377-13,0)*3+IF(BA377&gt;14,BA377-14,0)*3+IF(BA377&gt;15,BA377-15,0)*3+IF(BA377&gt;16,BA377-16,0)*3+IF(BA377&gt;17,BA377-17,0)*3+IF(BA377&gt;18,BA377-18,0)*3+IF(BA377&gt;19,BA377-19,0)*3+IF(BA377&gt;20,BA377-20,0)*3</f>
        <v>231.02155172413785</v>
      </c>
      <c r="BE377" s="160">
        <f>IF(BB377&lt;=0,3,0)+IF(BB377&gt;0,BB377+1,0)*3+IF(BB377&gt;12,BB377-12,0)*3+IF(BB377&gt;13,BB377-13,0)*3+IF(BB377&gt;14,BB377-14,0)*3+IF(BB377&gt;15,BB377-15,0)*3+IF(BB377&gt;16,BB377-16,0)*3+IF(BB377&gt;17,BB377-17,0)*3+IF(BB377&gt;18,BB377-18,0)*3+IF(BB377&gt;19,BB377-19,0)*3+IF(BB377&gt;20,BB377-20,0)*3</f>
        <v>3</v>
      </c>
      <c r="BF377" s="243">
        <f t="shared" si="4189"/>
        <v>228.02155172413785</v>
      </c>
      <c r="BG377" s="218">
        <f t="shared" si="4190"/>
        <v>0</v>
      </c>
      <c r="BI377" s="303" t="s">
        <v>229</v>
      </c>
      <c r="BJ377" s="304" t="s">
        <v>227</v>
      </c>
      <c r="BK377" s="218" t="s">
        <v>135</v>
      </c>
      <c r="BL377" s="234">
        <f t="shared" ref="BL377:BL382" si="4290">Konvention_1slave-MUslave</f>
        <v>12</v>
      </c>
      <c r="BM377" s="234"/>
      <c r="BN377" s="234"/>
      <c r="BO377" s="234">
        <f>Konvention_1slave-CHslave</f>
        <v>12</v>
      </c>
      <c r="BP377" s="234"/>
      <c r="BQ377" s="234"/>
      <c r="BR377" s="234">
        <f t="shared" si="4191"/>
        <v>12</v>
      </c>
      <c r="BS377" s="234"/>
      <c r="BT377" s="222">
        <f t="shared" si="4192"/>
        <v>12</v>
      </c>
      <c r="BU377" s="223">
        <f t="shared" si="4193"/>
        <v>24</v>
      </c>
      <c r="BV377" s="224">
        <f t="shared" si="4194"/>
        <v>36</v>
      </c>
      <c r="BW377" s="234">
        <f t="shared" si="4195"/>
        <v>2304</v>
      </c>
      <c r="BX377" s="234">
        <f>BL377*BO377*KOslave+BL377*CHslave*BR377+MUslave*BO377*BR377</f>
        <v>3456</v>
      </c>
      <c r="BY377" s="234">
        <f t="shared" si="4196"/>
        <v>1728</v>
      </c>
      <c r="BZ377" s="242">
        <f t="shared" si="4197"/>
        <v>7488</v>
      </c>
      <c r="CA377" s="223">
        <f t="shared" si="4198"/>
        <v>3.6923076923076925</v>
      </c>
      <c r="CB377" s="223">
        <f t="shared" si="4199"/>
        <v>11.076923076923077</v>
      </c>
      <c r="CC377" s="223">
        <f t="shared" si="4200"/>
        <v>8.3076923076923084</v>
      </c>
      <c r="CD377" s="218">
        <f t="shared" si="4201"/>
        <v>23.07692307692308</v>
      </c>
      <c r="CE377" s="252">
        <f t="shared" si="3954"/>
        <v>0</v>
      </c>
      <c r="CF377" s="309">
        <f t="shared" si="4202"/>
        <v>23.07692307692308</v>
      </c>
      <c r="CG377" s="218">
        <f>IF(CD377&lt;=0,3,0)+IF(CD377&gt;0,CD377+1,0)*3+IF(CD377&gt;12,CD377-12,0)*3+IF(CD377&gt;13,CD377-13,0)*3+IF(CD377&gt;14,CD377-14,0)*3+IF(CD377&gt;15,CD377-15,0)*3+IF(CD377&gt;16,CD377-16,0)*3+IF(CD377&gt;17,CD377-17,0)*3+IF(CD377&gt;18,CD377-18,0)*3+IF(CD377&gt;19,CD377-19,0)*3+IF(CD377&gt;20,CD377-20,0)*3</f>
        <v>263.30769230769232</v>
      </c>
      <c r="CH377" s="242">
        <f>IF(CE377&lt;=0,3,0)+IF(CE377&gt;0,CE377+1,0)*3+IF(CE377&gt;12,CE377-12,0)*3+IF(CE377&gt;13,CE377-13,0)*3+IF(CE377&gt;14,CE377-14,0)*3+IF(CE377&gt;15,CE377-15,0)*3+IF(CE377&gt;16,CE377-16,0)*3+IF(CE377&gt;17,CE377-17,0)*3+IF(CE377&gt;18,CE377-18,0)*3+IF(CE377&gt;19,CE377-19,0)*3+IF(CE377&gt;20,CE377-20,0)*3</f>
        <v>3</v>
      </c>
      <c r="CI377" s="243">
        <f t="shared" si="4203"/>
        <v>260.30769230769232</v>
      </c>
      <c r="CJ377" s="218">
        <f t="shared" si="4204"/>
        <v>0</v>
      </c>
      <c r="CL377" s="303" t="s">
        <v>229</v>
      </c>
      <c r="CM377" s="304" t="s">
        <v>227</v>
      </c>
      <c r="CN377" s="218" t="s">
        <v>135</v>
      </c>
      <c r="CO377" s="234">
        <f t="shared" ref="CO377:CO382" si="4291">Konvention_1slave-MUslave</f>
        <v>12</v>
      </c>
      <c r="CP377" s="234"/>
      <c r="CQ377" s="234"/>
      <c r="CR377" s="234">
        <f>Konvention_1slave-CHslave</f>
        <v>12</v>
      </c>
      <c r="CS377" s="234"/>
      <c r="CT377" s="234"/>
      <c r="CU377" s="234">
        <f t="shared" si="4205"/>
        <v>12</v>
      </c>
      <c r="CV377" s="234"/>
      <c r="CW377" s="222">
        <f t="shared" si="4206"/>
        <v>12</v>
      </c>
      <c r="CX377" s="223">
        <f t="shared" si="4207"/>
        <v>24</v>
      </c>
      <c r="CY377" s="224">
        <f t="shared" si="4208"/>
        <v>36</v>
      </c>
      <c r="CZ377" s="234">
        <f t="shared" si="4209"/>
        <v>2304</v>
      </c>
      <c r="DA377" s="234">
        <f>CO377*CR377*KOslave+CO377*CHslave*CU377+MUslave*CR377*CU377</f>
        <v>3456</v>
      </c>
      <c r="DB377" s="234">
        <f t="shared" si="4210"/>
        <v>1728</v>
      </c>
      <c r="DC377" s="242">
        <f t="shared" si="4211"/>
        <v>7488</v>
      </c>
      <c r="DD377" s="223">
        <f t="shared" si="4212"/>
        <v>3.6923076923076925</v>
      </c>
      <c r="DE377" s="223">
        <f t="shared" si="4213"/>
        <v>11.076923076923077</v>
      </c>
      <c r="DF377" s="223">
        <f t="shared" si="4214"/>
        <v>8.3076923076923084</v>
      </c>
      <c r="DG377" s="218">
        <f t="shared" si="4215"/>
        <v>23.07692307692308</v>
      </c>
      <c r="DH377" s="252">
        <f t="shared" si="3970"/>
        <v>0</v>
      </c>
      <c r="DI377" s="309">
        <f t="shared" si="4216"/>
        <v>23.07692307692308</v>
      </c>
      <c r="DJ377" s="218">
        <f>IF(DG377&lt;=0,3,0)+IF(DG377&gt;0,DG377+1,0)*3+IF(DG377&gt;12,DG377-12,0)*3+IF(DG377&gt;13,DG377-13,0)*3+IF(DG377&gt;14,DG377-14,0)*3+IF(DG377&gt;15,DG377-15,0)*3+IF(DG377&gt;16,DG377-16,0)*3+IF(DG377&gt;17,DG377-17,0)*3+IF(DG377&gt;18,DG377-18,0)*3+IF(DG377&gt;19,DG377-19,0)*3+IF(DG377&gt;20,DG377-20,0)*3</f>
        <v>263.30769230769232</v>
      </c>
      <c r="DK377" s="242">
        <f>IF(DH377&lt;=0,3,0)+IF(DH377&gt;0,DH377+1,0)*3+IF(DH377&gt;12,DH377-12,0)*3+IF(DH377&gt;13,DH377-13,0)*3+IF(DH377&gt;14,DH377-14,0)*3+IF(DH377&gt;15,DH377-15,0)*3+IF(DH377&gt;16,DH377-16,0)*3+IF(DH377&gt;17,DH377-17,0)*3+IF(DH377&gt;18,DH377-18,0)*3+IF(DH377&gt;19,DH377-19,0)*3+IF(DH377&gt;20,DH377-20,0)*3</f>
        <v>3</v>
      </c>
      <c r="DL377" s="243">
        <f t="shared" si="4217"/>
        <v>260.30769230769232</v>
      </c>
      <c r="DM377" s="218">
        <f t="shared" si="4218"/>
        <v>0</v>
      </c>
      <c r="DO377" s="303" t="s">
        <v>229</v>
      </c>
      <c r="DP377" s="304" t="s">
        <v>227</v>
      </c>
      <c r="DQ377" s="218" t="s">
        <v>135</v>
      </c>
      <c r="DR377" s="234">
        <f t="shared" ref="DR377:DR382" si="4292">Konvention_1slave-MUslave</f>
        <v>12</v>
      </c>
      <c r="DS377" s="234"/>
      <c r="DT377" s="234"/>
      <c r="DU377" s="234">
        <f>Konvention_1slave-CHslave_CH</f>
        <v>11</v>
      </c>
      <c r="DV377" s="234"/>
      <c r="DW377" s="234"/>
      <c r="DX377" s="234">
        <f t="shared" si="4219"/>
        <v>12</v>
      </c>
      <c r="DY377" s="234"/>
      <c r="DZ377" s="222">
        <f t="shared" si="4220"/>
        <v>11.666666666666666</v>
      </c>
      <c r="EA377" s="223">
        <f t="shared" si="4221"/>
        <v>23.333333333333332</v>
      </c>
      <c r="EB377" s="224">
        <f t="shared" si="4222"/>
        <v>35</v>
      </c>
      <c r="EC377" s="234">
        <f t="shared" si="4223"/>
        <v>2432</v>
      </c>
      <c r="ED377" s="234">
        <f>DR377*DU377*KOslave+DR377*CHslave_CH*DX377+MUslave*DU377*DX377</f>
        <v>3408</v>
      </c>
      <c r="EE377" s="234">
        <f t="shared" si="4224"/>
        <v>1584</v>
      </c>
      <c r="EF377" s="242">
        <f t="shared" si="4225"/>
        <v>7424</v>
      </c>
      <c r="EG377" s="223">
        <f t="shared" si="4226"/>
        <v>3.8218390804597702</v>
      </c>
      <c r="EH377" s="223">
        <f t="shared" si="4227"/>
        <v>10.711206896551724</v>
      </c>
      <c r="EI377" s="223">
        <f t="shared" si="4228"/>
        <v>7.4676724137931032</v>
      </c>
      <c r="EJ377" s="218">
        <f t="shared" si="4229"/>
        <v>22.000718390804597</v>
      </c>
      <c r="EK377" s="252">
        <f t="shared" si="3986"/>
        <v>0</v>
      </c>
      <c r="EL377" s="309">
        <f t="shared" si="4230"/>
        <v>22.000718390804597</v>
      </c>
      <c r="EM377" s="218">
        <f>IF(EJ377&lt;=0,3,0)+IF(EJ377&gt;0,EJ377+1,0)*3+IF(EJ377&gt;12,EJ377-12,0)*3+IF(EJ377&gt;13,EJ377-13,0)*3+IF(EJ377&gt;14,EJ377-14,0)*3+IF(EJ377&gt;15,EJ377-15,0)*3+IF(EJ377&gt;16,EJ377-16,0)*3+IF(EJ377&gt;17,EJ377-17,0)*3+IF(EJ377&gt;18,EJ377-18,0)*3+IF(EJ377&gt;19,EJ377-19,0)*3+IF(EJ377&gt;20,EJ377-20,0)*3</f>
        <v>231.02155172413785</v>
      </c>
      <c r="EN377" s="242">
        <f>IF(EK377&lt;=0,3,0)+IF(EK377&gt;0,EK377+1,0)*3+IF(EK377&gt;12,EK377-12,0)*3+IF(EK377&gt;13,EK377-13,0)*3+IF(EK377&gt;14,EK377-14,0)*3+IF(EK377&gt;15,EK377-15,0)*3+IF(EK377&gt;16,EK377-16,0)*3+IF(EK377&gt;17,EK377-17,0)*3+IF(EK377&gt;18,EK377-18,0)*3+IF(EK377&gt;19,EK377-19,0)*3+IF(EK377&gt;20,EK377-20,0)*3</f>
        <v>3</v>
      </c>
      <c r="EO377" s="243">
        <f t="shared" si="4231"/>
        <v>228.02155172413785</v>
      </c>
      <c r="EP377" s="218">
        <f t="shared" si="4232"/>
        <v>0</v>
      </c>
      <c r="ER377" s="303" t="s">
        <v>229</v>
      </c>
      <c r="ES377" s="304" t="s">
        <v>227</v>
      </c>
      <c r="ET377" s="218" t="s">
        <v>135</v>
      </c>
      <c r="EU377" s="234">
        <f t="shared" ref="EU377:EU382" si="4293">Konvention_1slave-MUslave</f>
        <v>12</v>
      </c>
      <c r="EV377" s="234"/>
      <c r="EW377" s="234"/>
      <c r="EX377" s="234">
        <f>Konvention_1slave-CHslave</f>
        <v>12</v>
      </c>
      <c r="EY377" s="234"/>
      <c r="EZ377" s="234"/>
      <c r="FA377" s="234">
        <f t="shared" si="4233"/>
        <v>12</v>
      </c>
      <c r="FB377" s="234"/>
      <c r="FC377" s="222">
        <f t="shared" si="4234"/>
        <v>12</v>
      </c>
      <c r="FD377" s="223">
        <f t="shared" si="4235"/>
        <v>24</v>
      </c>
      <c r="FE377" s="224">
        <f t="shared" si="4236"/>
        <v>36</v>
      </c>
      <c r="FF377" s="234">
        <f t="shared" si="4237"/>
        <v>2304</v>
      </c>
      <c r="FG377" s="234">
        <f>EU377*EX377*KOslave+EU377*CHslave*FA377+MUslave*EX377*FA377</f>
        <v>3456</v>
      </c>
      <c r="FH377" s="234">
        <f t="shared" si="4238"/>
        <v>1728</v>
      </c>
      <c r="FI377" s="242">
        <f t="shared" si="4239"/>
        <v>7488</v>
      </c>
      <c r="FJ377" s="223">
        <f t="shared" si="4240"/>
        <v>3.6923076923076925</v>
      </c>
      <c r="FK377" s="223">
        <f t="shared" si="4241"/>
        <v>11.076923076923077</v>
      </c>
      <c r="FL377" s="223">
        <f t="shared" si="4242"/>
        <v>8.3076923076923084</v>
      </c>
      <c r="FM377" s="218">
        <f t="shared" si="4243"/>
        <v>23.07692307692308</v>
      </c>
      <c r="FN377" s="252">
        <f t="shared" si="4002"/>
        <v>0</v>
      </c>
      <c r="FO377" s="309">
        <f t="shared" si="4244"/>
        <v>23.07692307692308</v>
      </c>
      <c r="FP377" s="218">
        <f>IF(FM377&lt;=0,3,0)+IF(FM377&gt;0,FM377+1,0)*3+IF(FM377&gt;12,FM377-12,0)*3+IF(FM377&gt;13,FM377-13,0)*3+IF(FM377&gt;14,FM377-14,0)*3+IF(FM377&gt;15,FM377-15,0)*3+IF(FM377&gt;16,FM377-16,0)*3+IF(FM377&gt;17,FM377-17,0)*3+IF(FM377&gt;18,FM377-18,0)*3+IF(FM377&gt;19,FM377-19,0)*3+IF(FM377&gt;20,FM377-20,0)*3</f>
        <v>263.30769230769232</v>
      </c>
      <c r="FQ377" s="242">
        <f>IF(FN377&lt;=0,3,0)+IF(FN377&gt;0,FN377+1,0)*3+IF(FN377&gt;12,FN377-12,0)*3+IF(FN377&gt;13,FN377-13,0)*3+IF(FN377&gt;14,FN377-14,0)*3+IF(FN377&gt;15,FN377-15,0)*3+IF(FN377&gt;16,FN377-16,0)*3+IF(FN377&gt;17,FN377-17,0)*3+IF(FN377&gt;18,FN377-18,0)*3+IF(FN377&gt;19,FN377-19,0)*3+IF(FN377&gt;20,FN377-20,0)*3</f>
        <v>3</v>
      </c>
      <c r="FR377" s="243">
        <f t="shared" si="4245"/>
        <v>260.30769230769232</v>
      </c>
      <c r="FS377" s="218">
        <f t="shared" si="4246"/>
        <v>0</v>
      </c>
      <c r="FU377" s="303" t="s">
        <v>229</v>
      </c>
      <c r="FV377" s="304" t="s">
        <v>227</v>
      </c>
      <c r="FW377" s="218" t="s">
        <v>135</v>
      </c>
      <c r="FX377" s="234">
        <f t="shared" ref="FX377:FX382" si="4294">Konvention_1slave-MUslave</f>
        <v>12</v>
      </c>
      <c r="FY377" s="234"/>
      <c r="FZ377" s="234"/>
      <c r="GA377" s="234">
        <f>Konvention_1slave-CHslave</f>
        <v>12</v>
      </c>
      <c r="GB377" s="234"/>
      <c r="GC377" s="234"/>
      <c r="GD377" s="234">
        <f t="shared" si="4247"/>
        <v>12</v>
      </c>
      <c r="GE377" s="234"/>
      <c r="GF377" s="222">
        <f t="shared" si="4248"/>
        <v>12</v>
      </c>
      <c r="GG377" s="223">
        <f t="shared" si="4249"/>
        <v>24</v>
      </c>
      <c r="GH377" s="224">
        <f t="shared" si="4250"/>
        <v>36</v>
      </c>
      <c r="GI377" s="234">
        <f t="shared" si="4251"/>
        <v>2304</v>
      </c>
      <c r="GJ377" s="234">
        <f>FX377*GA377*KOslave+FX377*CHslave*GD377+MUslave*GA377*GD377</f>
        <v>3456</v>
      </c>
      <c r="GK377" s="234">
        <f t="shared" si="4252"/>
        <v>1728</v>
      </c>
      <c r="GL377" s="242">
        <f t="shared" si="4253"/>
        <v>7488</v>
      </c>
      <c r="GM377" s="223">
        <f t="shared" si="4254"/>
        <v>3.6923076923076925</v>
      </c>
      <c r="GN377" s="223">
        <f t="shared" si="4255"/>
        <v>11.076923076923077</v>
      </c>
      <c r="GO377" s="223">
        <f t="shared" si="4256"/>
        <v>8.3076923076923084</v>
      </c>
      <c r="GP377" s="218">
        <f t="shared" si="4257"/>
        <v>23.07692307692308</v>
      </c>
      <c r="GQ377" s="252">
        <f t="shared" si="4018"/>
        <v>0</v>
      </c>
      <c r="GR377" s="309">
        <f t="shared" si="4258"/>
        <v>23.07692307692308</v>
      </c>
      <c r="GS377" s="218">
        <f>IF(GP377&lt;=0,3,0)+IF(GP377&gt;0,GP377+1,0)*3+IF(GP377&gt;12,GP377-12,0)*3+IF(GP377&gt;13,GP377-13,0)*3+IF(GP377&gt;14,GP377-14,0)*3+IF(GP377&gt;15,GP377-15,0)*3+IF(GP377&gt;16,GP377-16,0)*3+IF(GP377&gt;17,GP377-17,0)*3+IF(GP377&gt;18,GP377-18,0)*3+IF(GP377&gt;19,GP377-19,0)*3+IF(GP377&gt;20,GP377-20,0)*3</f>
        <v>263.30769230769232</v>
      </c>
      <c r="GT377" s="242">
        <f>IF(GQ377&lt;=0,3,0)+IF(GQ377&gt;0,GQ377+1,0)*3+IF(GQ377&gt;12,GQ377-12,0)*3+IF(GQ377&gt;13,GQ377-13,0)*3+IF(GQ377&gt;14,GQ377-14,0)*3+IF(GQ377&gt;15,GQ377-15,0)*3+IF(GQ377&gt;16,GQ377-16,0)*3+IF(GQ377&gt;17,GQ377-17,0)*3+IF(GQ377&gt;18,GQ377-18,0)*3+IF(GQ377&gt;19,GQ377-19,0)*3+IF(GQ377&gt;20,GQ377-20,0)*3</f>
        <v>3</v>
      </c>
      <c r="GU377" s="243">
        <f t="shared" si="4259"/>
        <v>260.30769230769232</v>
      </c>
      <c r="GV377" s="218">
        <f t="shared" si="4260"/>
        <v>0</v>
      </c>
      <c r="GX377" s="303" t="s">
        <v>229</v>
      </c>
      <c r="GY377" s="304" t="s">
        <v>227</v>
      </c>
      <c r="GZ377" s="218" t="s">
        <v>135</v>
      </c>
      <c r="HA377" s="234">
        <f t="shared" ref="HA377:HA382" si="4295">Konvention_1slave-MUslave</f>
        <v>12</v>
      </c>
      <c r="HB377" s="234"/>
      <c r="HC377" s="234"/>
      <c r="HD377" s="234">
        <f>Konvention_1slave-CHslave</f>
        <v>12</v>
      </c>
      <c r="HE377" s="234"/>
      <c r="HF377" s="234"/>
      <c r="HG377" s="234">
        <f t="shared" si="4261"/>
        <v>11</v>
      </c>
      <c r="HH377" s="234"/>
      <c r="HI377" s="222">
        <f t="shared" si="4262"/>
        <v>11.666666666666666</v>
      </c>
      <c r="HJ377" s="223">
        <f t="shared" si="4263"/>
        <v>23.333333333333332</v>
      </c>
      <c r="HK377" s="224">
        <f t="shared" si="4264"/>
        <v>35</v>
      </c>
      <c r="HL377" s="234">
        <f t="shared" si="4265"/>
        <v>2432</v>
      </c>
      <c r="HM377" s="234">
        <f>HA377*HD377*KOslave_KO+HA377*CHslave*HG377+MUslave*HD377*HG377</f>
        <v>3408</v>
      </c>
      <c r="HN377" s="234">
        <f t="shared" si="4266"/>
        <v>1584</v>
      </c>
      <c r="HO377" s="242">
        <f t="shared" si="4267"/>
        <v>7424</v>
      </c>
      <c r="HP377" s="223">
        <f t="shared" si="4268"/>
        <v>3.8218390804597702</v>
      </c>
      <c r="HQ377" s="223">
        <f t="shared" si="4269"/>
        <v>10.711206896551724</v>
      </c>
      <c r="HR377" s="223">
        <f t="shared" si="4270"/>
        <v>7.4676724137931032</v>
      </c>
      <c r="HS377" s="218">
        <f t="shared" si="4271"/>
        <v>22.000718390804597</v>
      </c>
      <c r="HT377" s="252">
        <f t="shared" si="4034"/>
        <v>0</v>
      </c>
      <c r="HU377" s="309">
        <f t="shared" si="4272"/>
        <v>22.000718390804597</v>
      </c>
      <c r="HV377" s="218">
        <f>IF(HS377&lt;=0,3,0)+IF(HS377&gt;0,HS377+1,0)*3+IF(HS377&gt;12,HS377-12,0)*3+IF(HS377&gt;13,HS377-13,0)*3+IF(HS377&gt;14,HS377-14,0)*3+IF(HS377&gt;15,HS377-15,0)*3+IF(HS377&gt;16,HS377-16,0)*3+IF(HS377&gt;17,HS377-17,0)*3+IF(HS377&gt;18,HS377-18,0)*3+IF(HS377&gt;19,HS377-19,0)*3+IF(HS377&gt;20,HS377-20,0)*3</f>
        <v>231.02155172413785</v>
      </c>
      <c r="HW377" s="242">
        <f>IF(HT377&lt;=0,3,0)+IF(HT377&gt;0,HT377+1,0)*3+IF(HT377&gt;12,HT377-12,0)*3+IF(HT377&gt;13,HT377-13,0)*3+IF(HT377&gt;14,HT377-14,0)*3+IF(HT377&gt;15,HT377-15,0)*3+IF(HT377&gt;16,HT377-16,0)*3+IF(HT377&gt;17,HT377-17,0)*3+IF(HT377&gt;18,HT377-18,0)*3+IF(HT377&gt;19,HT377-19,0)*3+IF(HT377&gt;20,HT377-20,0)*3</f>
        <v>3</v>
      </c>
      <c r="HX377" s="243">
        <f t="shared" si="4273"/>
        <v>228.02155172413785</v>
      </c>
      <c r="HY377" s="218">
        <f t="shared" si="4274"/>
        <v>0</v>
      </c>
      <c r="IA377" s="303" t="s">
        <v>229</v>
      </c>
      <c r="IB377" s="304" t="s">
        <v>227</v>
      </c>
      <c r="IC377" s="218" t="s">
        <v>135</v>
      </c>
      <c r="ID377" s="234">
        <f t="shared" ref="ID377:ID382" si="4296">Konvention_1slave-MUslave</f>
        <v>12</v>
      </c>
      <c r="IE377" s="234"/>
      <c r="IF377" s="234"/>
      <c r="IG377" s="234">
        <f>Konvention_1slave-CHslave</f>
        <v>12</v>
      </c>
      <c r="IH377" s="234"/>
      <c r="II377" s="234"/>
      <c r="IJ377" s="234">
        <f t="shared" si="4275"/>
        <v>12</v>
      </c>
      <c r="IK377" s="234"/>
      <c r="IL377" s="222">
        <f t="shared" si="4276"/>
        <v>12</v>
      </c>
      <c r="IM377" s="223">
        <f t="shared" si="4277"/>
        <v>24</v>
      </c>
      <c r="IN377" s="224">
        <f t="shared" si="4278"/>
        <v>36</v>
      </c>
      <c r="IO377" s="234">
        <f t="shared" si="4279"/>
        <v>2304</v>
      </c>
      <c r="IP377" s="234">
        <f>ID377*IG377*KOslave+ID377*CHslave*IJ377+MUslave*IG377*IJ377</f>
        <v>3456</v>
      </c>
      <c r="IQ377" s="234">
        <f t="shared" si="4280"/>
        <v>1728</v>
      </c>
      <c r="IR377" s="242">
        <f t="shared" si="4281"/>
        <v>7488</v>
      </c>
      <c r="IS377" s="223">
        <f t="shared" si="4282"/>
        <v>3.6923076923076925</v>
      </c>
      <c r="IT377" s="223">
        <f t="shared" si="4283"/>
        <v>11.076923076923077</v>
      </c>
      <c r="IU377" s="223">
        <f t="shared" si="4284"/>
        <v>8.3076923076923084</v>
      </c>
      <c r="IV377" s="218">
        <f t="shared" si="4285"/>
        <v>23.07692307692308</v>
      </c>
      <c r="IW377" s="252">
        <f t="shared" si="4050"/>
        <v>0</v>
      </c>
      <c r="IX377" s="309">
        <f t="shared" si="4286"/>
        <v>23.07692307692308</v>
      </c>
      <c r="IY377" s="218">
        <f>IF(IV377&lt;=0,3,0)+IF(IV377&gt;0,IV377+1,0)*3+IF(IV377&gt;12,IV377-12,0)*3+IF(IV377&gt;13,IV377-13,0)*3+IF(IV377&gt;14,IV377-14,0)*3+IF(IV377&gt;15,IV377-15,0)*3+IF(IV377&gt;16,IV377-16,0)*3+IF(IV377&gt;17,IV377-17,0)*3+IF(IV377&gt;18,IV377-18,0)*3+IF(IV377&gt;19,IV377-19,0)*3+IF(IV377&gt;20,IV377-20,0)*3</f>
        <v>263.30769230769232</v>
      </c>
      <c r="IZ377" s="242">
        <f>IF(IW377&lt;=0,3,0)+IF(IW377&gt;0,IW377+1,0)*3+IF(IW377&gt;12,IW377-12,0)*3+IF(IW377&gt;13,IW377-13,0)*3+IF(IW377&gt;14,IW377-14,0)*3+IF(IW377&gt;15,IW377-15,0)*3+IF(IW377&gt;16,IW377-16,0)*3+IF(IW377&gt;17,IW377-17,0)*3+IF(IW377&gt;18,IW377-18,0)*3+IF(IW377&gt;19,IW377-19,0)*3+IF(IW377&gt;20,IW377-20,0)*3</f>
        <v>3</v>
      </c>
      <c r="JA377" s="243">
        <f t="shared" si="4287"/>
        <v>260.30769230769232</v>
      </c>
      <c r="JB377" s="218">
        <f t="shared" si="4288"/>
        <v>0</v>
      </c>
      <c r="JE377" s="148"/>
    </row>
    <row r="378" spans="2:265" hidden="1" outlineLevel="2">
      <c r="B378" s="148">
        <v>3</v>
      </c>
      <c r="C378" s="303" t="e">
        <f>VLOOKUP(AF378,Attribute!C:T,1,FALSE)</f>
        <v>#N/A</v>
      </c>
      <c r="D378" s="86" t="s">
        <v>227</v>
      </c>
      <c r="E378" s="125" t="s">
        <v>132</v>
      </c>
      <c r="F378" s="113">
        <f t="shared" si="4289"/>
        <v>12</v>
      </c>
      <c r="G378" s="113"/>
      <c r="H378" s="113"/>
      <c r="I378" s="113">
        <f>Konvention_1master-CHmaster</f>
        <v>12</v>
      </c>
      <c r="J378" s="113"/>
      <c r="K378" s="113"/>
      <c r="L378" s="113">
        <f t="shared" si="4162"/>
        <v>12</v>
      </c>
      <c r="M378" s="113"/>
      <c r="N378" s="222">
        <f t="shared" si="4163"/>
        <v>12</v>
      </c>
      <c r="O378" s="223">
        <f t="shared" si="4164"/>
        <v>24</v>
      </c>
      <c r="P378" s="224">
        <f t="shared" si="4165"/>
        <v>36</v>
      </c>
      <c r="Q378" s="234">
        <f t="shared" si="4166"/>
        <v>2304</v>
      </c>
      <c r="R378" s="113">
        <f>F378*I378*KOmaster+F378*CHmaster*L378+MUmaster*I378*L378</f>
        <v>3456</v>
      </c>
      <c r="S378" s="234">
        <f t="shared" si="4167"/>
        <v>1728</v>
      </c>
      <c r="T378" s="242">
        <f t="shared" si="4168"/>
        <v>7488</v>
      </c>
      <c r="U378" s="223">
        <f t="shared" si="4169"/>
        <v>3.6923076923076925</v>
      </c>
      <c r="V378" s="223">
        <f t="shared" si="4170"/>
        <v>11.076923076923077</v>
      </c>
      <c r="W378" s="223">
        <f t="shared" si="4171"/>
        <v>8.3076923076923084</v>
      </c>
      <c r="X378" s="218">
        <f t="shared" si="4172"/>
        <v>23.07692307692308</v>
      </c>
      <c r="Y378" s="252">
        <v>0</v>
      </c>
      <c r="Z378" s="198">
        <f t="shared" si="4173"/>
        <v>23.07692307692308</v>
      </c>
      <c r="AA378" s="125">
        <f>IF(X378&lt;=0,2,0)+IF(X378&gt;0,X378+1,0)*2+IF(X378&gt;12,X378-12,0)*2+IF(X378&gt;13,X378-13,0)*2+IF(X378&gt;14,X378-14,0)*2+IF(X378&gt;15,X378-15,0)*2+IF(X378&gt;16,X378-16,0)*2+IF(X378&gt;17,X378-17,0)*2+IF(X378&gt;18,X378-18,0)*2+IF(X378&gt;19,X378-19,0)*2+IF(X378&gt;20,X378-20,0)*2</f>
        <v>175.5384615384616</v>
      </c>
      <c r="AB378" s="160">
        <f>IF(Y378&lt;=0,2,0)+IF(Y378&gt;0,Y378+1,0)*2+IF(Y378&gt;12,Y378-12,0)*2+IF(Y378&gt;13,Y378-13,0)*2+IF(Y378&gt;14,Y378-14,0)*2+IF(Y378&gt;15,Y378-15,0)*2+IF(Y378&gt;16,Y378-16,0)*2+IF(Y378&gt;17,Y378-17,0)*2+IF(Y378&gt;18,Y378-18,0)*2+IF(Y378&gt;19,Y378-19,0)*2+IF(Y378&gt;20,Y378-20,0)*2</f>
        <v>2</v>
      </c>
      <c r="AC378" s="127">
        <f t="shared" si="4174"/>
        <v>173.5384615384616</v>
      </c>
      <c r="AD378" s="125">
        <f t="shared" si="4175"/>
        <v>0</v>
      </c>
      <c r="AF378" s="163" t="s">
        <v>230</v>
      </c>
      <c r="AG378" s="86" t="s">
        <v>227</v>
      </c>
      <c r="AH378" s="125" t="s">
        <v>132</v>
      </c>
      <c r="AI378" s="113">
        <f t="shared" si="4176"/>
        <v>11</v>
      </c>
      <c r="AJ378" s="113"/>
      <c r="AK378" s="113"/>
      <c r="AL378" s="113">
        <f>Konvention_1slave-CHslave</f>
        <v>12</v>
      </c>
      <c r="AM378" s="113"/>
      <c r="AN378" s="113"/>
      <c r="AO378" s="113">
        <f t="shared" si="4177"/>
        <v>12</v>
      </c>
      <c r="AP378" s="113"/>
      <c r="AQ378" s="89">
        <f t="shared" si="4178"/>
        <v>11.666666666666666</v>
      </c>
      <c r="AR378" s="47">
        <f t="shared" si="4179"/>
        <v>23.333333333333332</v>
      </c>
      <c r="AS378" s="119">
        <f t="shared" si="4180"/>
        <v>35</v>
      </c>
      <c r="AT378" s="113">
        <f t="shared" si="4181"/>
        <v>2432</v>
      </c>
      <c r="AU378" s="113">
        <f>AI378*AL378*KOslave+AI378*CHslave*AO378+MUslave_MU*AL378*AO378</f>
        <v>3408</v>
      </c>
      <c r="AV378" s="113">
        <f t="shared" si="4182"/>
        <v>1584</v>
      </c>
      <c r="AW378" s="160">
        <f t="shared" si="4183"/>
        <v>7424</v>
      </c>
      <c r="AX378" s="47">
        <f t="shared" si="4184"/>
        <v>3.8218390804597702</v>
      </c>
      <c r="AY378" s="47">
        <f t="shared" si="4185"/>
        <v>10.711206896551724</v>
      </c>
      <c r="AZ378" s="47">
        <f t="shared" si="4186"/>
        <v>7.4676724137931032</v>
      </c>
      <c r="BA378" s="125">
        <f t="shared" si="4187"/>
        <v>22.000718390804597</v>
      </c>
      <c r="BB378" s="165">
        <f t="shared" si="3938"/>
        <v>0</v>
      </c>
      <c r="BC378" s="198">
        <f t="shared" si="4188"/>
        <v>22.000718390804597</v>
      </c>
      <c r="BD378" s="125">
        <f>IF(BA378&lt;=0,2,0)+IF(BA378&gt;0,BA378+1,0)*2+IF(BA378&gt;12,BA378-12,0)*2+IF(BA378&gt;13,BA378-13,0)*2+IF(BA378&gt;14,BA378-14,0)*2+IF(BA378&gt;15,BA378-15,0)*2+IF(BA378&gt;16,BA378-16,0)*2+IF(BA378&gt;17,BA378-17,0)*2+IF(BA378&gt;18,BA378-18,0)*2+IF(BA378&gt;19,BA378-19,0)*2+IF(BA378&gt;20,BA378-20,0)*2</f>
        <v>154.01436781609189</v>
      </c>
      <c r="BE378" s="160">
        <f>IF(BB378&lt;=0,2,0)+IF(BB378&gt;0,BB378+1,0)*2+IF(BB378&gt;12,BB378-12,0)*2+IF(BB378&gt;13,BB378-13,0)*2+IF(BB378&gt;14,BB378-14,0)*2+IF(BB378&gt;15,BB378-15,0)*2+IF(BB378&gt;16,BB378-16,0)*2+IF(BB378&gt;17,BB378-17,0)*2+IF(BB378&gt;18,BB378-18,0)*2+IF(BB378&gt;19,BB378-19,0)*2+IF(BB378&gt;20,BB378-20,0)*2</f>
        <v>2</v>
      </c>
      <c r="BF378" s="243">
        <f t="shared" si="4189"/>
        <v>152.01436781609189</v>
      </c>
      <c r="BG378" s="218">
        <f t="shared" si="4190"/>
        <v>0</v>
      </c>
      <c r="BI378" s="303" t="s">
        <v>230</v>
      </c>
      <c r="BJ378" s="304" t="s">
        <v>227</v>
      </c>
      <c r="BK378" s="218" t="s">
        <v>132</v>
      </c>
      <c r="BL378" s="234">
        <f t="shared" si="4290"/>
        <v>12</v>
      </c>
      <c r="BM378" s="234"/>
      <c r="BN378" s="234"/>
      <c r="BO378" s="234">
        <f>Konvention_1slave-CHslave</f>
        <v>12</v>
      </c>
      <c r="BP378" s="234"/>
      <c r="BQ378" s="234"/>
      <c r="BR378" s="234">
        <f t="shared" si="4191"/>
        <v>12</v>
      </c>
      <c r="BS378" s="234"/>
      <c r="BT378" s="222">
        <f t="shared" si="4192"/>
        <v>12</v>
      </c>
      <c r="BU378" s="223">
        <f t="shared" si="4193"/>
        <v>24</v>
      </c>
      <c r="BV378" s="224">
        <f t="shared" si="4194"/>
        <v>36</v>
      </c>
      <c r="BW378" s="234">
        <f t="shared" si="4195"/>
        <v>2304</v>
      </c>
      <c r="BX378" s="234">
        <f>BL378*BO378*KOslave+BL378*CHslave*BR378+MUslave*BO378*BR378</f>
        <v>3456</v>
      </c>
      <c r="BY378" s="234">
        <f t="shared" si="4196"/>
        <v>1728</v>
      </c>
      <c r="BZ378" s="242">
        <f t="shared" si="4197"/>
        <v>7488</v>
      </c>
      <c r="CA378" s="223">
        <f t="shared" si="4198"/>
        <v>3.6923076923076925</v>
      </c>
      <c r="CB378" s="223">
        <f t="shared" si="4199"/>
        <v>11.076923076923077</v>
      </c>
      <c r="CC378" s="223">
        <f t="shared" si="4200"/>
        <v>8.3076923076923084</v>
      </c>
      <c r="CD378" s="218">
        <f t="shared" si="4201"/>
        <v>23.07692307692308</v>
      </c>
      <c r="CE378" s="252">
        <f t="shared" si="3954"/>
        <v>0</v>
      </c>
      <c r="CF378" s="309">
        <f t="shared" si="4202"/>
        <v>23.07692307692308</v>
      </c>
      <c r="CG378" s="218">
        <f>IF(CD378&lt;=0,2,0)+IF(CD378&gt;0,CD378+1,0)*2+IF(CD378&gt;12,CD378-12,0)*2+IF(CD378&gt;13,CD378-13,0)*2+IF(CD378&gt;14,CD378-14,0)*2+IF(CD378&gt;15,CD378-15,0)*2+IF(CD378&gt;16,CD378-16,0)*2+IF(CD378&gt;17,CD378-17,0)*2+IF(CD378&gt;18,CD378-18,0)*2+IF(CD378&gt;19,CD378-19,0)*2+IF(CD378&gt;20,CD378-20,0)*2</f>
        <v>175.5384615384616</v>
      </c>
      <c r="CH378" s="242">
        <f>IF(CE378&lt;=0,2,0)+IF(CE378&gt;0,CE378+1,0)*2+IF(CE378&gt;12,CE378-12,0)*2+IF(CE378&gt;13,CE378-13,0)*2+IF(CE378&gt;14,CE378-14,0)*2+IF(CE378&gt;15,CE378-15,0)*2+IF(CE378&gt;16,CE378-16,0)*2+IF(CE378&gt;17,CE378-17,0)*2+IF(CE378&gt;18,CE378-18,0)*2+IF(CE378&gt;19,CE378-19,0)*2+IF(CE378&gt;20,CE378-20,0)*2</f>
        <v>2</v>
      </c>
      <c r="CI378" s="243">
        <f t="shared" si="4203"/>
        <v>173.5384615384616</v>
      </c>
      <c r="CJ378" s="218">
        <f t="shared" si="4204"/>
        <v>0</v>
      </c>
      <c r="CL378" s="303" t="s">
        <v>230</v>
      </c>
      <c r="CM378" s="304" t="s">
        <v>227</v>
      </c>
      <c r="CN378" s="218" t="s">
        <v>132</v>
      </c>
      <c r="CO378" s="234">
        <f t="shared" si="4291"/>
        <v>12</v>
      </c>
      <c r="CP378" s="234"/>
      <c r="CQ378" s="234"/>
      <c r="CR378" s="234">
        <f>Konvention_1slave-CHslave</f>
        <v>12</v>
      </c>
      <c r="CS378" s="234"/>
      <c r="CT378" s="234"/>
      <c r="CU378" s="234">
        <f t="shared" si="4205"/>
        <v>12</v>
      </c>
      <c r="CV378" s="234"/>
      <c r="CW378" s="222">
        <f t="shared" si="4206"/>
        <v>12</v>
      </c>
      <c r="CX378" s="223">
        <f t="shared" si="4207"/>
        <v>24</v>
      </c>
      <c r="CY378" s="224">
        <f t="shared" si="4208"/>
        <v>36</v>
      </c>
      <c r="CZ378" s="234">
        <f t="shared" si="4209"/>
        <v>2304</v>
      </c>
      <c r="DA378" s="234">
        <f>CO378*CR378*KOslave+CO378*CHslave*CU378+MUslave*CR378*CU378</f>
        <v>3456</v>
      </c>
      <c r="DB378" s="234">
        <f t="shared" si="4210"/>
        <v>1728</v>
      </c>
      <c r="DC378" s="242">
        <f t="shared" si="4211"/>
        <v>7488</v>
      </c>
      <c r="DD378" s="223">
        <f t="shared" si="4212"/>
        <v>3.6923076923076925</v>
      </c>
      <c r="DE378" s="223">
        <f t="shared" si="4213"/>
        <v>11.076923076923077</v>
      </c>
      <c r="DF378" s="223">
        <f t="shared" si="4214"/>
        <v>8.3076923076923084</v>
      </c>
      <c r="DG378" s="218">
        <f t="shared" si="4215"/>
        <v>23.07692307692308</v>
      </c>
      <c r="DH378" s="252">
        <f t="shared" si="3970"/>
        <v>0</v>
      </c>
      <c r="DI378" s="309">
        <f t="shared" si="4216"/>
        <v>23.07692307692308</v>
      </c>
      <c r="DJ378" s="218">
        <f>IF(DG378&lt;=0,2,0)+IF(DG378&gt;0,DG378+1,0)*2+IF(DG378&gt;12,DG378-12,0)*2+IF(DG378&gt;13,DG378-13,0)*2+IF(DG378&gt;14,DG378-14,0)*2+IF(DG378&gt;15,DG378-15,0)*2+IF(DG378&gt;16,DG378-16,0)*2+IF(DG378&gt;17,DG378-17,0)*2+IF(DG378&gt;18,DG378-18,0)*2+IF(DG378&gt;19,DG378-19,0)*2+IF(DG378&gt;20,DG378-20,0)*2</f>
        <v>175.5384615384616</v>
      </c>
      <c r="DK378" s="242">
        <f>IF(DH378&lt;=0,2,0)+IF(DH378&gt;0,DH378+1,0)*2+IF(DH378&gt;12,DH378-12,0)*2+IF(DH378&gt;13,DH378-13,0)*2+IF(DH378&gt;14,DH378-14,0)*2+IF(DH378&gt;15,DH378-15,0)*2+IF(DH378&gt;16,DH378-16,0)*2+IF(DH378&gt;17,DH378-17,0)*2+IF(DH378&gt;18,DH378-18,0)*2+IF(DH378&gt;19,DH378-19,0)*2+IF(DH378&gt;20,DH378-20,0)*2</f>
        <v>2</v>
      </c>
      <c r="DL378" s="243">
        <f t="shared" si="4217"/>
        <v>173.5384615384616</v>
      </c>
      <c r="DM378" s="218">
        <f t="shared" si="4218"/>
        <v>0</v>
      </c>
      <c r="DO378" s="303" t="s">
        <v>230</v>
      </c>
      <c r="DP378" s="304" t="s">
        <v>227</v>
      </c>
      <c r="DQ378" s="218" t="s">
        <v>132</v>
      </c>
      <c r="DR378" s="234">
        <f t="shared" si="4292"/>
        <v>12</v>
      </c>
      <c r="DS378" s="234"/>
      <c r="DT378" s="234"/>
      <c r="DU378" s="234">
        <f>Konvention_1slave-CHslave_CH</f>
        <v>11</v>
      </c>
      <c r="DV378" s="234"/>
      <c r="DW378" s="234"/>
      <c r="DX378" s="234">
        <f t="shared" si="4219"/>
        <v>12</v>
      </c>
      <c r="DY378" s="234"/>
      <c r="DZ378" s="222">
        <f t="shared" si="4220"/>
        <v>11.666666666666666</v>
      </c>
      <c r="EA378" s="223">
        <f t="shared" si="4221"/>
        <v>23.333333333333332</v>
      </c>
      <c r="EB378" s="224">
        <f t="shared" si="4222"/>
        <v>35</v>
      </c>
      <c r="EC378" s="234">
        <f t="shared" si="4223"/>
        <v>2432</v>
      </c>
      <c r="ED378" s="234">
        <f>DR378*DU378*KOslave+DR378*CHslave_CH*DX378+MUslave*DU378*DX378</f>
        <v>3408</v>
      </c>
      <c r="EE378" s="234">
        <f t="shared" si="4224"/>
        <v>1584</v>
      </c>
      <c r="EF378" s="242">
        <f t="shared" si="4225"/>
        <v>7424</v>
      </c>
      <c r="EG378" s="223">
        <f t="shared" si="4226"/>
        <v>3.8218390804597702</v>
      </c>
      <c r="EH378" s="223">
        <f t="shared" si="4227"/>
        <v>10.711206896551724</v>
      </c>
      <c r="EI378" s="223">
        <f t="shared" si="4228"/>
        <v>7.4676724137931032</v>
      </c>
      <c r="EJ378" s="218">
        <f t="shared" si="4229"/>
        <v>22.000718390804597</v>
      </c>
      <c r="EK378" s="252">
        <f t="shared" si="3986"/>
        <v>0</v>
      </c>
      <c r="EL378" s="309">
        <f t="shared" si="4230"/>
        <v>22.000718390804597</v>
      </c>
      <c r="EM378" s="218">
        <f>IF(EJ378&lt;=0,2,0)+IF(EJ378&gt;0,EJ378+1,0)*2+IF(EJ378&gt;12,EJ378-12,0)*2+IF(EJ378&gt;13,EJ378-13,0)*2+IF(EJ378&gt;14,EJ378-14,0)*2+IF(EJ378&gt;15,EJ378-15,0)*2+IF(EJ378&gt;16,EJ378-16,0)*2+IF(EJ378&gt;17,EJ378-17,0)*2+IF(EJ378&gt;18,EJ378-18,0)*2+IF(EJ378&gt;19,EJ378-19,0)*2+IF(EJ378&gt;20,EJ378-20,0)*2</f>
        <v>154.01436781609189</v>
      </c>
      <c r="EN378" s="242">
        <f>IF(EK378&lt;=0,2,0)+IF(EK378&gt;0,EK378+1,0)*2+IF(EK378&gt;12,EK378-12,0)*2+IF(EK378&gt;13,EK378-13,0)*2+IF(EK378&gt;14,EK378-14,0)*2+IF(EK378&gt;15,EK378-15,0)*2+IF(EK378&gt;16,EK378-16,0)*2+IF(EK378&gt;17,EK378-17,0)*2+IF(EK378&gt;18,EK378-18,0)*2+IF(EK378&gt;19,EK378-19,0)*2+IF(EK378&gt;20,EK378-20,0)*2</f>
        <v>2</v>
      </c>
      <c r="EO378" s="243">
        <f t="shared" si="4231"/>
        <v>152.01436781609189</v>
      </c>
      <c r="EP378" s="218">
        <f t="shared" si="4232"/>
        <v>0</v>
      </c>
      <c r="ER378" s="303" t="s">
        <v>230</v>
      </c>
      <c r="ES378" s="304" t="s">
        <v>227</v>
      </c>
      <c r="ET378" s="218" t="s">
        <v>132</v>
      </c>
      <c r="EU378" s="234">
        <f t="shared" si="4293"/>
        <v>12</v>
      </c>
      <c r="EV378" s="234"/>
      <c r="EW378" s="234"/>
      <c r="EX378" s="234">
        <f>Konvention_1slave-CHslave</f>
        <v>12</v>
      </c>
      <c r="EY378" s="234"/>
      <c r="EZ378" s="234"/>
      <c r="FA378" s="234">
        <f t="shared" si="4233"/>
        <v>12</v>
      </c>
      <c r="FB378" s="234"/>
      <c r="FC378" s="222">
        <f t="shared" si="4234"/>
        <v>12</v>
      </c>
      <c r="FD378" s="223">
        <f t="shared" si="4235"/>
        <v>24</v>
      </c>
      <c r="FE378" s="224">
        <f t="shared" si="4236"/>
        <v>36</v>
      </c>
      <c r="FF378" s="234">
        <f t="shared" si="4237"/>
        <v>2304</v>
      </c>
      <c r="FG378" s="234">
        <f>EU378*EX378*KOslave+EU378*CHslave*FA378+MUslave*EX378*FA378</f>
        <v>3456</v>
      </c>
      <c r="FH378" s="234">
        <f t="shared" si="4238"/>
        <v>1728</v>
      </c>
      <c r="FI378" s="242">
        <f t="shared" si="4239"/>
        <v>7488</v>
      </c>
      <c r="FJ378" s="223">
        <f t="shared" si="4240"/>
        <v>3.6923076923076925</v>
      </c>
      <c r="FK378" s="223">
        <f t="shared" si="4241"/>
        <v>11.076923076923077</v>
      </c>
      <c r="FL378" s="223">
        <f t="shared" si="4242"/>
        <v>8.3076923076923084</v>
      </c>
      <c r="FM378" s="218">
        <f t="shared" si="4243"/>
        <v>23.07692307692308</v>
      </c>
      <c r="FN378" s="252">
        <f t="shared" si="4002"/>
        <v>0</v>
      </c>
      <c r="FO378" s="309">
        <f t="shared" si="4244"/>
        <v>23.07692307692308</v>
      </c>
      <c r="FP378" s="218">
        <f>IF(FM378&lt;=0,2,0)+IF(FM378&gt;0,FM378+1,0)*2+IF(FM378&gt;12,FM378-12,0)*2+IF(FM378&gt;13,FM378-13,0)*2+IF(FM378&gt;14,FM378-14,0)*2+IF(FM378&gt;15,FM378-15,0)*2+IF(FM378&gt;16,FM378-16,0)*2+IF(FM378&gt;17,FM378-17,0)*2+IF(FM378&gt;18,FM378-18,0)*2+IF(FM378&gt;19,FM378-19,0)*2+IF(FM378&gt;20,FM378-20,0)*2</f>
        <v>175.5384615384616</v>
      </c>
      <c r="FQ378" s="242">
        <f>IF(FN378&lt;=0,2,0)+IF(FN378&gt;0,FN378+1,0)*2+IF(FN378&gt;12,FN378-12,0)*2+IF(FN378&gt;13,FN378-13,0)*2+IF(FN378&gt;14,FN378-14,0)*2+IF(FN378&gt;15,FN378-15,0)*2+IF(FN378&gt;16,FN378-16,0)*2+IF(FN378&gt;17,FN378-17,0)*2+IF(FN378&gt;18,FN378-18,0)*2+IF(FN378&gt;19,FN378-19,0)*2+IF(FN378&gt;20,FN378-20,0)*2</f>
        <v>2</v>
      </c>
      <c r="FR378" s="243">
        <f t="shared" si="4245"/>
        <v>173.5384615384616</v>
      </c>
      <c r="FS378" s="218">
        <f t="shared" si="4246"/>
        <v>0</v>
      </c>
      <c r="FU378" s="303" t="s">
        <v>230</v>
      </c>
      <c r="FV378" s="304" t="s">
        <v>227</v>
      </c>
      <c r="FW378" s="218" t="s">
        <v>132</v>
      </c>
      <c r="FX378" s="234">
        <f t="shared" si="4294"/>
        <v>12</v>
      </c>
      <c r="FY378" s="234"/>
      <c r="FZ378" s="234"/>
      <c r="GA378" s="234">
        <f>Konvention_1slave-CHslave</f>
        <v>12</v>
      </c>
      <c r="GB378" s="234"/>
      <c r="GC378" s="234"/>
      <c r="GD378" s="234">
        <f t="shared" si="4247"/>
        <v>12</v>
      </c>
      <c r="GE378" s="234"/>
      <c r="GF378" s="222">
        <f t="shared" si="4248"/>
        <v>12</v>
      </c>
      <c r="GG378" s="223">
        <f t="shared" si="4249"/>
        <v>24</v>
      </c>
      <c r="GH378" s="224">
        <f t="shared" si="4250"/>
        <v>36</v>
      </c>
      <c r="GI378" s="234">
        <f t="shared" si="4251"/>
        <v>2304</v>
      </c>
      <c r="GJ378" s="234">
        <f>FX378*GA378*KOslave+FX378*CHslave*GD378+MUslave*GA378*GD378</f>
        <v>3456</v>
      </c>
      <c r="GK378" s="234">
        <f t="shared" si="4252"/>
        <v>1728</v>
      </c>
      <c r="GL378" s="242">
        <f t="shared" si="4253"/>
        <v>7488</v>
      </c>
      <c r="GM378" s="223">
        <f t="shared" si="4254"/>
        <v>3.6923076923076925</v>
      </c>
      <c r="GN378" s="223">
        <f t="shared" si="4255"/>
        <v>11.076923076923077</v>
      </c>
      <c r="GO378" s="223">
        <f t="shared" si="4256"/>
        <v>8.3076923076923084</v>
      </c>
      <c r="GP378" s="218">
        <f t="shared" si="4257"/>
        <v>23.07692307692308</v>
      </c>
      <c r="GQ378" s="252">
        <f t="shared" si="4018"/>
        <v>0</v>
      </c>
      <c r="GR378" s="309">
        <f t="shared" si="4258"/>
        <v>23.07692307692308</v>
      </c>
      <c r="GS378" s="218">
        <f>IF(GP378&lt;=0,2,0)+IF(GP378&gt;0,GP378+1,0)*2+IF(GP378&gt;12,GP378-12,0)*2+IF(GP378&gt;13,GP378-13,0)*2+IF(GP378&gt;14,GP378-14,0)*2+IF(GP378&gt;15,GP378-15,0)*2+IF(GP378&gt;16,GP378-16,0)*2+IF(GP378&gt;17,GP378-17,0)*2+IF(GP378&gt;18,GP378-18,0)*2+IF(GP378&gt;19,GP378-19,0)*2+IF(GP378&gt;20,GP378-20,0)*2</f>
        <v>175.5384615384616</v>
      </c>
      <c r="GT378" s="242">
        <f>IF(GQ378&lt;=0,2,0)+IF(GQ378&gt;0,GQ378+1,0)*2+IF(GQ378&gt;12,GQ378-12,0)*2+IF(GQ378&gt;13,GQ378-13,0)*2+IF(GQ378&gt;14,GQ378-14,0)*2+IF(GQ378&gt;15,GQ378-15,0)*2+IF(GQ378&gt;16,GQ378-16,0)*2+IF(GQ378&gt;17,GQ378-17,0)*2+IF(GQ378&gt;18,GQ378-18,0)*2+IF(GQ378&gt;19,GQ378-19,0)*2+IF(GQ378&gt;20,GQ378-20,0)*2</f>
        <v>2</v>
      </c>
      <c r="GU378" s="243">
        <f t="shared" si="4259"/>
        <v>173.5384615384616</v>
      </c>
      <c r="GV378" s="218">
        <f t="shared" si="4260"/>
        <v>0</v>
      </c>
      <c r="GX378" s="303" t="s">
        <v>230</v>
      </c>
      <c r="GY378" s="304" t="s">
        <v>227</v>
      </c>
      <c r="GZ378" s="218" t="s">
        <v>132</v>
      </c>
      <c r="HA378" s="234">
        <f t="shared" si="4295"/>
        <v>12</v>
      </c>
      <c r="HB378" s="234"/>
      <c r="HC378" s="234"/>
      <c r="HD378" s="234">
        <f>Konvention_1slave-CHslave</f>
        <v>12</v>
      </c>
      <c r="HE378" s="234"/>
      <c r="HF378" s="234"/>
      <c r="HG378" s="234">
        <f t="shared" si="4261"/>
        <v>11</v>
      </c>
      <c r="HH378" s="234"/>
      <c r="HI378" s="222">
        <f t="shared" si="4262"/>
        <v>11.666666666666666</v>
      </c>
      <c r="HJ378" s="223">
        <f t="shared" si="4263"/>
        <v>23.333333333333332</v>
      </c>
      <c r="HK378" s="224">
        <f t="shared" si="4264"/>
        <v>35</v>
      </c>
      <c r="HL378" s="234">
        <f t="shared" si="4265"/>
        <v>2432</v>
      </c>
      <c r="HM378" s="234">
        <f>HA378*HD378*KOslave_KO+HA378*CHslave*HG378+MUslave*HD378*HG378</f>
        <v>3408</v>
      </c>
      <c r="HN378" s="234">
        <f t="shared" si="4266"/>
        <v>1584</v>
      </c>
      <c r="HO378" s="242">
        <f t="shared" si="4267"/>
        <v>7424</v>
      </c>
      <c r="HP378" s="223">
        <f t="shared" si="4268"/>
        <v>3.8218390804597702</v>
      </c>
      <c r="HQ378" s="223">
        <f t="shared" si="4269"/>
        <v>10.711206896551724</v>
      </c>
      <c r="HR378" s="223">
        <f t="shared" si="4270"/>
        <v>7.4676724137931032</v>
      </c>
      <c r="HS378" s="218">
        <f t="shared" si="4271"/>
        <v>22.000718390804597</v>
      </c>
      <c r="HT378" s="252">
        <f t="shared" si="4034"/>
        <v>0</v>
      </c>
      <c r="HU378" s="309">
        <f t="shared" si="4272"/>
        <v>22.000718390804597</v>
      </c>
      <c r="HV378" s="218">
        <f>IF(HS378&lt;=0,2,0)+IF(HS378&gt;0,HS378+1,0)*2+IF(HS378&gt;12,HS378-12,0)*2+IF(HS378&gt;13,HS378-13,0)*2+IF(HS378&gt;14,HS378-14,0)*2+IF(HS378&gt;15,HS378-15,0)*2+IF(HS378&gt;16,HS378-16,0)*2+IF(HS378&gt;17,HS378-17,0)*2+IF(HS378&gt;18,HS378-18,0)*2+IF(HS378&gt;19,HS378-19,0)*2+IF(HS378&gt;20,HS378-20,0)*2</f>
        <v>154.01436781609189</v>
      </c>
      <c r="HW378" s="242">
        <f>IF(HT378&lt;=0,2,0)+IF(HT378&gt;0,HT378+1,0)*2+IF(HT378&gt;12,HT378-12,0)*2+IF(HT378&gt;13,HT378-13,0)*2+IF(HT378&gt;14,HT378-14,0)*2+IF(HT378&gt;15,HT378-15,0)*2+IF(HT378&gt;16,HT378-16,0)*2+IF(HT378&gt;17,HT378-17,0)*2+IF(HT378&gt;18,HT378-18,0)*2+IF(HT378&gt;19,HT378-19,0)*2+IF(HT378&gt;20,HT378-20,0)*2</f>
        <v>2</v>
      </c>
      <c r="HX378" s="243">
        <f t="shared" si="4273"/>
        <v>152.01436781609189</v>
      </c>
      <c r="HY378" s="218">
        <f t="shared" si="4274"/>
        <v>0</v>
      </c>
      <c r="IA378" s="303" t="s">
        <v>230</v>
      </c>
      <c r="IB378" s="304" t="s">
        <v>227</v>
      </c>
      <c r="IC378" s="218" t="s">
        <v>132</v>
      </c>
      <c r="ID378" s="234">
        <f t="shared" si="4296"/>
        <v>12</v>
      </c>
      <c r="IE378" s="234"/>
      <c r="IF378" s="234"/>
      <c r="IG378" s="234">
        <f>Konvention_1slave-CHslave</f>
        <v>12</v>
      </c>
      <c r="IH378" s="234"/>
      <c r="II378" s="234"/>
      <c r="IJ378" s="234">
        <f t="shared" si="4275"/>
        <v>12</v>
      </c>
      <c r="IK378" s="234"/>
      <c r="IL378" s="222">
        <f t="shared" si="4276"/>
        <v>12</v>
      </c>
      <c r="IM378" s="223">
        <f t="shared" si="4277"/>
        <v>24</v>
      </c>
      <c r="IN378" s="224">
        <f t="shared" si="4278"/>
        <v>36</v>
      </c>
      <c r="IO378" s="234">
        <f t="shared" si="4279"/>
        <v>2304</v>
      </c>
      <c r="IP378" s="234">
        <f>ID378*IG378*KOslave+ID378*CHslave*IJ378+MUslave*IG378*IJ378</f>
        <v>3456</v>
      </c>
      <c r="IQ378" s="234">
        <f t="shared" si="4280"/>
        <v>1728</v>
      </c>
      <c r="IR378" s="242">
        <f t="shared" si="4281"/>
        <v>7488</v>
      </c>
      <c r="IS378" s="223">
        <f t="shared" si="4282"/>
        <v>3.6923076923076925</v>
      </c>
      <c r="IT378" s="223">
        <f t="shared" si="4283"/>
        <v>11.076923076923077</v>
      </c>
      <c r="IU378" s="223">
        <f t="shared" si="4284"/>
        <v>8.3076923076923084</v>
      </c>
      <c r="IV378" s="218">
        <f t="shared" si="4285"/>
        <v>23.07692307692308</v>
      </c>
      <c r="IW378" s="252">
        <f t="shared" si="4050"/>
        <v>0</v>
      </c>
      <c r="IX378" s="309">
        <f t="shared" si="4286"/>
        <v>23.07692307692308</v>
      </c>
      <c r="IY378" s="218">
        <f>IF(IV378&lt;=0,2,0)+IF(IV378&gt;0,IV378+1,0)*2+IF(IV378&gt;12,IV378-12,0)*2+IF(IV378&gt;13,IV378-13,0)*2+IF(IV378&gt;14,IV378-14,0)*2+IF(IV378&gt;15,IV378-15,0)*2+IF(IV378&gt;16,IV378-16,0)*2+IF(IV378&gt;17,IV378-17,0)*2+IF(IV378&gt;18,IV378-18,0)*2+IF(IV378&gt;19,IV378-19,0)*2+IF(IV378&gt;20,IV378-20,0)*2</f>
        <v>175.5384615384616</v>
      </c>
      <c r="IZ378" s="242">
        <f>IF(IW378&lt;=0,2,0)+IF(IW378&gt;0,IW378+1,0)*2+IF(IW378&gt;12,IW378-12,0)*2+IF(IW378&gt;13,IW378-13,0)*2+IF(IW378&gt;14,IW378-14,0)*2+IF(IW378&gt;15,IW378-15,0)*2+IF(IW378&gt;16,IW378-16,0)*2+IF(IW378&gt;17,IW378-17,0)*2+IF(IW378&gt;18,IW378-18,0)*2+IF(IW378&gt;19,IW378-19,0)*2+IF(IW378&gt;20,IW378-20,0)*2</f>
        <v>2</v>
      </c>
      <c r="JA378" s="243">
        <f t="shared" si="4287"/>
        <v>173.5384615384616</v>
      </c>
      <c r="JB378" s="218">
        <f t="shared" si="4288"/>
        <v>0</v>
      </c>
      <c r="JE378" s="148"/>
    </row>
    <row r="379" spans="2:265" hidden="1" outlineLevel="2">
      <c r="B379" s="148">
        <v>4</v>
      </c>
      <c r="C379" s="303" t="e">
        <f>VLOOKUP(AF379,Attribute!C:T,1,FALSE)</f>
        <v>#N/A</v>
      </c>
      <c r="D379" s="86" t="s">
        <v>100</v>
      </c>
      <c r="E379" s="125" t="s">
        <v>132</v>
      </c>
      <c r="F379" s="113">
        <f t="shared" si="4289"/>
        <v>12</v>
      </c>
      <c r="G379" s="113"/>
      <c r="H379" s="113">
        <f>Konvention_1master-INmaster</f>
        <v>12</v>
      </c>
      <c r="I379" s="113"/>
      <c r="J379" s="113"/>
      <c r="K379" s="113"/>
      <c r="L379" s="113">
        <f t="shared" si="4162"/>
        <v>12</v>
      </c>
      <c r="M379" s="113"/>
      <c r="N379" s="222">
        <f t="shared" si="4163"/>
        <v>12</v>
      </c>
      <c r="O379" s="223">
        <f t="shared" si="4164"/>
        <v>24</v>
      </c>
      <c r="P379" s="224">
        <f t="shared" si="4165"/>
        <v>36</v>
      </c>
      <c r="Q379" s="234">
        <f t="shared" si="4166"/>
        <v>2304</v>
      </c>
      <c r="R379" s="113">
        <f>F379*H379*KOmaster+F379*INmaster*L379+MUmaster*H379*L379</f>
        <v>3456</v>
      </c>
      <c r="S379" s="234">
        <f t="shared" si="4167"/>
        <v>1728</v>
      </c>
      <c r="T379" s="242">
        <f t="shared" si="4168"/>
        <v>7488</v>
      </c>
      <c r="U379" s="223">
        <f t="shared" si="4169"/>
        <v>3.6923076923076925</v>
      </c>
      <c r="V379" s="223">
        <f t="shared" si="4170"/>
        <v>11.076923076923077</v>
      </c>
      <c r="W379" s="223">
        <f t="shared" si="4171"/>
        <v>8.3076923076923084</v>
      </c>
      <c r="X379" s="218">
        <f t="shared" si="4172"/>
        <v>23.07692307692308</v>
      </c>
      <c r="Y379" s="252">
        <v>0</v>
      </c>
      <c r="Z379" s="198">
        <f t="shared" si="4173"/>
        <v>23.07692307692308</v>
      </c>
      <c r="AA379" s="125">
        <f>IF(X379&lt;=0,2,0)+IF(X379&gt;0,X379+1,0)*2+IF(X379&gt;12,X379-12,0)*2+IF(X379&gt;13,X379-13,0)*2+IF(X379&gt;14,X379-14,0)*2+IF(X379&gt;15,X379-15,0)*2+IF(X379&gt;16,X379-16,0)*2+IF(X379&gt;17,X379-17,0)*2+IF(X379&gt;18,X379-18,0)*2+IF(X379&gt;19,X379-19,0)*2+IF(X379&gt;20,X379-20,0)*2</f>
        <v>175.5384615384616</v>
      </c>
      <c r="AB379" s="160">
        <f>IF(Y379&lt;=0,2,0)+IF(Y379&gt;0,Y379+1,0)*2+IF(Y379&gt;12,Y379-12,0)*2+IF(Y379&gt;13,Y379-13,0)*2+IF(Y379&gt;14,Y379-14,0)*2+IF(Y379&gt;15,Y379-15,0)*2+IF(Y379&gt;16,Y379-16,0)*2+IF(Y379&gt;17,Y379-17,0)*2+IF(Y379&gt;18,Y379-18,0)*2+IF(Y379&gt;19,Y379-19,0)*2+IF(Y379&gt;20,Y379-20,0)*2</f>
        <v>2</v>
      </c>
      <c r="AC379" s="127">
        <f t="shared" si="4174"/>
        <v>173.5384615384616</v>
      </c>
      <c r="AD379" s="125">
        <f t="shared" si="4175"/>
        <v>0</v>
      </c>
      <c r="AF379" s="163" t="s">
        <v>430</v>
      </c>
      <c r="AG379" s="86" t="s">
        <v>100</v>
      </c>
      <c r="AH379" s="125" t="s">
        <v>132</v>
      </c>
      <c r="AI379" s="113">
        <f t="shared" si="4176"/>
        <v>11</v>
      </c>
      <c r="AJ379" s="113"/>
      <c r="AK379" s="113">
        <f>Konvention_1slave-INslave</f>
        <v>12</v>
      </c>
      <c r="AL379" s="113"/>
      <c r="AM379" s="113"/>
      <c r="AN379" s="113"/>
      <c r="AO379" s="113">
        <f t="shared" si="4177"/>
        <v>12</v>
      </c>
      <c r="AP379" s="113"/>
      <c r="AQ379" s="89">
        <f t="shared" si="4178"/>
        <v>11.666666666666666</v>
      </c>
      <c r="AR379" s="47">
        <f t="shared" si="4179"/>
        <v>23.333333333333332</v>
      </c>
      <c r="AS379" s="119">
        <f t="shared" si="4180"/>
        <v>35</v>
      </c>
      <c r="AT379" s="113">
        <f t="shared" si="4181"/>
        <v>2432</v>
      </c>
      <c r="AU379" s="113">
        <f>AI379*AK379*KOslave+AI379*INslave*AO379+MUslave_MU*AK379*AO379</f>
        <v>3408</v>
      </c>
      <c r="AV379" s="113">
        <f t="shared" si="4182"/>
        <v>1584</v>
      </c>
      <c r="AW379" s="160">
        <f t="shared" si="4183"/>
        <v>7424</v>
      </c>
      <c r="AX379" s="47">
        <f t="shared" si="4184"/>
        <v>3.8218390804597702</v>
      </c>
      <c r="AY379" s="47">
        <f t="shared" si="4185"/>
        <v>10.711206896551724</v>
      </c>
      <c r="AZ379" s="47">
        <f t="shared" si="4186"/>
        <v>7.4676724137931032</v>
      </c>
      <c r="BA379" s="125">
        <f t="shared" si="4187"/>
        <v>22.000718390804597</v>
      </c>
      <c r="BB379" s="165">
        <f t="shared" si="3938"/>
        <v>0</v>
      </c>
      <c r="BC379" s="198">
        <f t="shared" si="4188"/>
        <v>22.000718390804597</v>
      </c>
      <c r="BD379" s="125">
        <f>IF(BA379&lt;=0,2,0)+IF(BA379&gt;0,BA379+1,0)*2+IF(BA379&gt;12,BA379-12,0)*2+IF(BA379&gt;13,BA379-13,0)*2+IF(BA379&gt;14,BA379-14,0)*2+IF(BA379&gt;15,BA379-15,0)*2+IF(BA379&gt;16,BA379-16,0)*2+IF(BA379&gt;17,BA379-17,0)*2+IF(BA379&gt;18,BA379-18,0)*2+IF(BA379&gt;19,BA379-19,0)*2+IF(BA379&gt;20,BA379-20,0)*2</f>
        <v>154.01436781609189</v>
      </c>
      <c r="BE379" s="160">
        <f>IF(BB379&lt;=0,2,0)+IF(BB379&gt;0,BB379+1,0)*2+IF(BB379&gt;12,BB379-12,0)*2+IF(BB379&gt;13,BB379-13,0)*2+IF(BB379&gt;14,BB379-14,0)*2+IF(BB379&gt;15,BB379-15,0)*2+IF(BB379&gt;16,BB379-16,0)*2+IF(BB379&gt;17,BB379-17,0)*2+IF(BB379&gt;18,BB379-18,0)*2+IF(BB379&gt;19,BB379-19,0)*2+IF(BB379&gt;20,BB379-20,0)*2</f>
        <v>2</v>
      </c>
      <c r="BF379" s="243">
        <f t="shared" si="4189"/>
        <v>152.01436781609189</v>
      </c>
      <c r="BG379" s="218">
        <f t="shared" si="4190"/>
        <v>0</v>
      </c>
      <c r="BI379" s="303" t="s">
        <v>430</v>
      </c>
      <c r="BJ379" s="304" t="s">
        <v>100</v>
      </c>
      <c r="BK379" s="218" t="s">
        <v>132</v>
      </c>
      <c r="BL379" s="234">
        <f t="shared" si="4290"/>
        <v>12</v>
      </c>
      <c r="BM379" s="234"/>
      <c r="BN379" s="234">
        <f>Konvention_1slave-INslave</f>
        <v>12</v>
      </c>
      <c r="BO379" s="234"/>
      <c r="BP379" s="234"/>
      <c r="BQ379" s="234"/>
      <c r="BR379" s="234">
        <f t="shared" si="4191"/>
        <v>12</v>
      </c>
      <c r="BS379" s="234"/>
      <c r="BT379" s="222">
        <f t="shared" si="4192"/>
        <v>12</v>
      </c>
      <c r="BU379" s="223">
        <f t="shared" si="4193"/>
        <v>24</v>
      </c>
      <c r="BV379" s="224">
        <f t="shared" si="4194"/>
        <v>36</v>
      </c>
      <c r="BW379" s="234">
        <f t="shared" si="4195"/>
        <v>2304</v>
      </c>
      <c r="BX379" s="234">
        <f>BL379*BN379*KOslave+BL379*INslave*BR379+MUslave*BN379*BR379</f>
        <v>3456</v>
      </c>
      <c r="BY379" s="234">
        <f t="shared" si="4196"/>
        <v>1728</v>
      </c>
      <c r="BZ379" s="242">
        <f t="shared" si="4197"/>
        <v>7488</v>
      </c>
      <c r="CA379" s="223">
        <f t="shared" si="4198"/>
        <v>3.6923076923076925</v>
      </c>
      <c r="CB379" s="223">
        <f t="shared" si="4199"/>
        <v>11.076923076923077</v>
      </c>
      <c r="CC379" s="223">
        <f t="shared" si="4200"/>
        <v>8.3076923076923084</v>
      </c>
      <c r="CD379" s="218">
        <f t="shared" si="4201"/>
        <v>23.07692307692308</v>
      </c>
      <c r="CE379" s="252">
        <f t="shared" si="3954"/>
        <v>0</v>
      </c>
      <c r="CF379" s="309">
        <f t="shared" si="4202"/>
        <v>23.07692307692308</v>
      </c>
      <c r="CG379" s="218">
        <f>IF(CD379&lt;=0,2,0)+IF(CD379&gt;0,CD379+1,0)*2+IF(CD379&gt;12,CD379-12,0)*2+IF(CD379&gt;13,CD379-13,0)*2+IF(CD379&gt;14,CD379-14,0)*2+IF(CD379&gt;15,CD379-15,0)*2+IF(CD379&gt;16,CD379-16,0)*2+IF(CD379&gt;17,CD379-17,0)*2+IF(CD379&gt;18,CD379-18,0)*2+IF(CD379&gt;19,CD379-19,0)*2+IF(CD379&gt;20,CD379-20,0)*2</f>
        <v>175.5384615384616</v>
      </c>
      <c r="CH379" s="242">
        <f>IF(CE379&lt;=0,2,0)+IF(CE379&gt;0,CE379+1,0)*2+IF(CE379&gt;12,CE379-12,0)*2+IF(CE379&gt;13,CE379-13,0)*2+IF(CE379&gt;14,CE379-14,0)*2+IF(CE379&gt;15,CE379-15,0)*2+IF(CE379&gt;16,CE379-16,0)*2+IF(CE379&gt;17,CE379-17,0)*2+IF(CE379&gt;18,CE379-18,0)*2+IF(CE379&gt;19,CE379-19,0)*2+IF(CE379&gt;20,CE379-20,0)*2</f>
        <v>2</v>
      </c>
      <c r="CI379" s="243">
        <f t="shared" si="4203"/>
        <v>173.5384615384616</v>
      </c>
      <c r="CJ379" s="218">
        <f t="shared" si="4204"/>
        <v>0</v>
      </c>
      <c r="CL379" s="303" t="s">
        <v>430</v>
      </c>
      <c r="CM379" s="304" t="s">
        <v>100</v>
      </c>
      <c r="CN379" s="218" t="s">
        <v>132</v>
      </c>
      <c r="CO379" s="234">
        <f t="shared" si="4291"/>
        <v>12</v>
      </c>
      <c r="CP379" s="234"/>
      <c r="CQ379" s="234">
        <f>Konvention_1slave-INslave_IN</f>
        <v>11</v>
      </c>
      <c r="CR379" s="234"/>
      <c r="CS379" s="234"/>
      <c r="CT379" s="234"/>
      <c r="CU379" s="234">
        <f t="shared" si="4205"/>
        <v>12</v>
      </c>
      <c r="CV379" s="234"/>
      <c r="CW379" s="222">
        <f t="shared" si="4206"/>
        <v>11.666666666666666</v>
      </c>
      <c r="CX379" s="223">
        <f t="shared" si="4207"/>
        <v>23.333333333333332</v>
      </c>
      <c r="CY379" s="224">
        <f t="shared" si="4208"/>
        <v>35</v>
      </c>
      <c r="CZ379" s="234">
        <f t="shared" si="4209"/>
        <v>2432</v>
      </c>
      <c r="DA379" s="234">
        <f>CO379*CQ379*KOslave+CO379*INslave_IN*CU379+MUslave*CQ379*CU379</f>
        <v>3408</v>
      </c>
      <c r="DB379" s="234">
        <f t="shared" si="4210"/>
        <v>1584</v>
      </c>
      <c r="DC379" s="242">
        <f t="shared" si="4211"/>
        <v>7424</v>
      </c>
      <c r="DD379" s="223">
        <f t="shared" si="4212"/>
        <v>3.8218390804597702</v>
      </c>
      <c r="DE379" s="223">
        <f t="shared" si="4213"/>
        <v>10.711206896551724</v>
      </c>
      <c r="DF379" s="223">
        <f t="shared" si="4214"/>
        <v>7.4676724137931032</v>
      </c>
      <c r="DG379" s="218">
        <f t="shared" si="4215"/>
        <v>22.000718390804597</v>
      </c>
      <c r="DH379" s="252">
        <f t="shared" si="3970"/>
        <v>0</v>
      </c>
      <c r="DI379" s="309">
        <f t="shared" si="4216"/>
        <v>22.000718390804597</v>
      </c>
      <c r="DJ379" s="218">
        <f>IF(DG379&lt;=0,2,0)+IF(DG379&gt;0,DG379+1,0)*2+IF(DG379&gt;12,DG379-12,0)*2+IF(DG379&gt;13,DG379-13,0)*2+IF(DG379&gt;14,DG379-14,0)*2+IF(DG379&gt;15,DG379-15,0)*2+IF(DG379&gt;16,DG379-16,0)*2+IF(DG379&gt;17,DG379-17,0)*2+IF(DG379&gt;18,DG379-18,0)*2+IF(DG379&gt;19,DG379-19,0)*2+IF(DG379&gt;20,DG379-20,0)*2</f>
        <v>154.01436781609189</v>
      </c>
      <c r="DK379" s="242">
        <f>IF(DH379&lt;=0,2,0)+IF(DH379&gt;0,DH379+1,0)*2+IF(DH379&gt;12,DH379-12,0)*2+IF(DH379&gt;13,DH379-13,0)*2+IF(DH379&gt;14,DH379-14,0)*2+IF(DH379&gt;15,DH379-15,0)*2+IF(DH379&gt;16,DH379-16,0)*2+IF(DH379&gt;17,DH379-17,0)*2+IF(DH379&gt;18,DH379-18,0)*2+IF(DH379&gt;19,DH379-19,0)*2+IF(DH379&gt;20,DH379-20,0)*2</f>
        <v>2</v>
      </c>
      <c r="DL379" s="243">
        <f t="shared" si="4217"/>
        <v>152.01436781609189</v>
      </c>
      <c r="DM379" s="218">
        <f t="shared" si="4218"/>
        <v>0</v>
      </c>
      <c r="DO379" s="303" t="s">
        <v>430</v>
      </c>
      <c r="DP379" s="304" t="s">
        <v>100</v>
      </c>
      <c r="DQ379" s="218" t="s">
        <v>132</v>
      </c>
      <c r="DR379" s="234">
        <f t="shared" si="4292"/>
        <v>12</v>
      </c>
      <c r="DS379" s="234"/>
      <c r="DT379" s="234">
        <f>Konvention_1slave-INslave</f>
        <v>12</v>
      </c>
      <c r="DU379" s="234"/>
      <c r="DV379" s="234"/>
      <c r="DW379" s="234"/>
      <c r="DX379" s="234">
        <f t="shared" si="4219"/>
        <v>12</v>
      </c>
      <c r="DY379" s="234"/>
      <c r="DZ379" s="222">
        <f t="shared" si="4220"/>
        <v>12</v>
      </c>
      <c r="EA379" s="223">
        <f t="shared" si="4221"/>
        <v>24</v>
      </c>
      <c r="EB379" s="224">
        <f t="shared" si="4222"/>
        <v>36</v>
      </c>
      <c r="EC379" s="234">
        <f t="shared" si="4223"/>
        <v>2304</v>
      </c>
      <c r="ED379" s="234">
        <f>DR379*DT379*KOslave+DR379*INslave*DX379+MUslave*DT379*DX379</f>
        <v>3456</v>
      </c>
      <c r="EE379" s="234">
        <f t="shared" si="4224"/>
        <v>1728</v>
      </c>
      <c r="EF379" s="242">
        <f t="shared" si="4225"/>
        <v>7488</v>
      </c>
      <c r="EG379" s="223">
        <f t="shared" si="4226"/>
        <v>3.6923076923076925</v>
      </c>
      <c r="EH379" s="223">
        <f t="shared" si="4227"/>
        <v>11.076923076923077</v>
      </c>
      <c r="EI379" s="223">
        <f t="shared" si="4228"/>
        <v>8.3076923076923084</v>
      </c>
      <c r="EJ379" s="218">
        <f t="shared" si="4229"/>
        <v>23.07692307692308</v>
      </c>
      <c r="EK379" s="252">
        <f t="shared" si="3986"/>
        <v>0</v>
      </c>
      <c r="EL379" s="309">
        <f t="shared" si="4230"/>
        <v>23.07692307692308</v>
      </c>
      <c r="EM379" s="218">
        <f>IF(EJ379&lt;=0,2,0)+IF(EJ379&gt;0,EJ379+1,0)*2+IF(EJ379&gt;12,EJ379-12,0)*2+IF(EJ379&gt;13,EJ379-13,0)*2+IF(EJ379&gt;14,EJ379-14,0)*2+IF(EJ379&gt;15,EJ379-15,0)*2+IF(EJ379&gt;16,EJ379-16,0)*2+IF(EJ379&gt;17,EJ379-17,0)*2+IF(EJ379&gt;18,EJ379-18,0)*2+IF(EJ379&gt;19,EJ379-19,0)*2+IF(EJ379&gt;20,EJ379-20,0)*2</f>
        <v>175.5384615384616</v>
      </c>
      <c r="EN379" s="242">
        <f>IF(EK379&lt;=0,2,0)+IF(EK379&gt;0,EK379+1,0)*2+IF(EK379&gt;12,EK379-12,0)*2+IF(EK379&gt;13,EK379-13,0)*2+IF(EK379&gt;14,EK379-14,0)*2+IF(EK379&gt;15,EK379-15,0)*2+IF(EK379&gt;16,EK379-16,0)*2+IF(EK379&gt;17,EK379-17,0)*2+IF(EK379&gt;18,EK379-18,0)*2+IF(EK379&gt;19,EK379-19,0)*2+IF(EK379&gt;20,EK379-20,0)*2</f>
        <v>2</v>
      </c>
      <c r="EO379" s="243">
        <f t="shared" si="4231"/>
        <v>173.5384615384616</v>
      </c>
      <c r="EP379" s="218">
        <f t="shared" si="4232"/>
        <v>0</v>
      </c>
      <c r="ER379" s="303" t="s">
        <v>430</v>
      </c>
      <c r="ES379" s="304" t="s">
        <v>100</v>
      </c>
      <c r="ET379" s="218" t="s">
        <v>132</v>
      </c>
      <c r="EU379" s="234">
        <f t="shared" si="4293"/>
        <v>12</v>
      </c>
      <c r="EV379" s="234"/>
      <c r="EW379" s="234">
        <f>Konvention_1slave-INslave</f>
        <v>12</v>
      </c>
      <c r="EX379" s="234"/>
      <c r="EY379" s="234"/>
      <c r="EZ379" s="234"/>
      <c r="FA379" s="234">
        <f t="shared" si="4233"/>
        <v>12</v>
      </c>
      <c r="FB379" s="234"/>
      <c r="FC379" s="222">
        <f t="shared" si="4234"/>
        <v>12</v>
      </c>
      <c r="FD379" s="223">
        <f t="shared" si="4235"/>
        <v>24</v>
      </c>
      <c r="FE379" s="224">
        <f t="shared" si="4236"/>
        <v>36</v>
      </c>
      <c r="FF379" s="234">
        <f t="shared" si="4237"/>
        <v>2304</v>
      </c>
      <c r="FG379" s="234">
        <f>EU379*EW379*KOslave+EU379*INslave*FA379+MUslave*EW379*FA379</f>
        <v>3456</v>
      </c>
      <c r="FH379" s="234">
        <f t="shared" si="4238"/>
        <v>1728</v>
      </c>
      <c r="FI379" s="242">
        <f t="shared" si="4239"/>
        <v>7488</v>
      </c>
      <c r="FJ379" s="223">
        <f t="shared" si="4240"/>
        <v>3.6923076923076925</v>
      </c>
      <c r="FK379" s="223">
        <f t="shared" si="4241"/>
        <v>11.076923076923077</v>
      </c>
      <c r="FL379" s="223">
        <f t="shared" si="4242"/>
        <v>8.3076923076923084</v>
      </c>
      <c r="FM379" s="218">
        <f t="shared" si="4243"/>
        <v>23.07692307692308</v>
      </c>
      <c r="FN379" s="252">
        <f t="shared" si="4002"/>
        <v>0</v>
      </c>
      <c r="FO379" s="309">
        <f t="shared" si="4244"/>
        <v>23.07692307692308</v>
      </c>
      <c r="FP379" s="218">
        <f>IF(FM379&lt;=0,2,0)+IF(FM379&gt;0,FM379+1,0)*2+IF(FM379&gt;12,FM379-12,0)*2+IF(FM379&gt;13,FM379-13,0)*2+IF(FM379&gt;14,FM379-14,0)*2+IF(FM379&gt;15,FM379-15,0)*2+IF(FM379&gt;16,FM379-16,0)*2+IF(FM379&gt;17,FM379-17,0)*2+IF(FM379&gt;18,FM379-18,0)*2+IF(FM379&gt;19,FM379-19,0)*2+IF(FM379&gt;20,FM379-20,0)*2</f>
        <v>175.5384615384616</v>
      </c>
      <c r="FQ379" s="242">
        <f>IF(FN379&lt;=0,2,0)+IF(FN379&gt;0,FN379+1,0)*2+IF(FN379&gt;12,FN379-12,0)*2+IF(FN379&gt;13,FN379-13,0)*2+IF(FN379&gt;14,FN379-14,0)*2+IF(FN379&gt;15,FN379-15,0)*2+IF(FN379&gt;16,FN379-16,0)*2+IF(FN379&gt;17,FN379-17,0)*2+IF(FN379&gt;18,FN379-18,0)*2+IF(FN379&gt;19,FN379-19,0)*2+IF(FN379&gt;20,FN379-20,0)*2</f>
        <v>2</v>
      </c>
      <c r="FR379" s="243">
        <f t="shared" si="4245"/>
        <v>173.5384615384616</v>
      </c>
      <c r="FS379" s="218">
        <f t="shared" si="4246"/>
        <v>0</v>
      </c>
      <c r="FU379" s="303" t="s">
        <v>430</v>
      </c>
      <c r="FV379" s="304" t="s">
        <v>100</v>
      </c>
      <c r="FW379" s="218" t="s">
        <v>132</v>
      </c>
      <c r="FX379" s="234">
        <f t="shared" si="4294"/>
        <v>12</v>
      </c>
      <c r="FY379" s="234"/>
      <c r="FZ379" s="234">
        <f>Konvention_1slave-INslave</f>
        <v>12</v>
      </c>
      <c r="GA379" s="234"/>
      <c r="GB379" s="234"/>
      <c r="GC379" s="234"/>
      <c r="GD379" s="234">
        <f t="shared" si="4247"/>
        <v>12</v>
      </c>
      <c r="GE379" s="234"/>
      <c r="GF379" s="222">
        <f t="shared" si="4248"/>
        <v>12</v>
      </c>
      <c r="GG379" s="223">
        <f t="shared" si="4249"/>
        <v>24</v>
      </c>
      <c r="GH379" s="224">
        <f t="shared" si="4250"/>
        <v>36</v>
      </c>
      <c r="GI379" s="234">
        <f t="shared" si="4251"/>
        <v>2304</v>
      </c>
      <c r="GJ379" s="234">
        <f>FX379*FZ379*KOslave+FX379*INslave*GD379+MUslave*FZ379*GD379</f>
        <v>3456</v>
      </c>
      <c r="GK379" s="234">
        <f t="shared" si="4252"/>
        <v>1728</v>
      </c>
      <c r="GL379" s="242">
        <f t="shared" si="4253"/>
        <v>7488</v>
      </c>
      <c r="GM379" s="223">
        <f t="shared" si="4254"/>
        <v>3.6923076923076925</v>
      </c>
      <c r="GN379" s="223">
        <f t="shared" si="4255"/>
        <v>11.076923076923077</v>
      </c>
      <c r="GO379" s="223">
        <f t="shared" si="4256"/>
        <v>8.3076923076923084</v>
      </c>
      <c r="GP379" s="218">
        <f t="shared" si="4257"/>
        <v>23.07692307692308</v>
      </c>
      <c r="GQ379" s="252">
        <f t="shared" si="4018"/>
        <v>0</v>
      </c>
      <c r="GR379" s="309">
        <f t="shared" si="4258"/>
        <v>23.07692307692308</v>
      </c>
      <c r="GS379" s="218">
        <f>IF(GP379&lt;=0,2,0)+IF(GP379&gt;0,GP379+1,0)*2+IF(GP379&gt;12,GP379-12,0)*2+IF(GP379&gt;13,GP379-13,0)*2+IF(GP379&gt;14,GP379-14,0)*2+IF(GP379&gt;15,GP379-15,0)*2+IF(GP379&gt;16,GP379-16,0)*2+IF(GP379&gt;17,GP379-17,0)*2+IF(GP379&gt;18,GP379-18,0)*2+IF(GP379&gt;19,GP379-19,0)*2+IF(GP379&gt;20,GP379-20,0)*2</f>
        <v>175.5384615384616</v>
      </c>
      <c r="GT379" s="242">
        <f>IF(GQ379&lt;=0,2,0)+IF(GQ379&gt;0,GQ379+1,0)*2+IF(GQ379&gt;12,GQ379-12,0)*2+IF(GQ379&gt;13,GQ379-13,0)*2+IF(GQ379&gt;14,GQ379-14,0)*2+IF(GQ379&gt;15,GQ379-15,0)*2+IF(GQ379&gt;16,GQ379-16,0)*2+IF(GQ379&gt;17,GQ379-17,0)*2+IF(GQ379&gt;18,GQ379-18,0)*2+IF(GQ379&gt;19,GQ379-19,0)*2+IF(GQ379&gt;20,GQ379-20,0)*2</f>
        <v>2</v>
      </c>
      <c r="GU379" s="243">
        <f t="shared" si="4259"/>
        <v>173.5384615384616</v>
      </c>
      <c r="GV379" s="218">
        <f t="shared" si="4260"/>
        <v>0</v>
      </c>
      <c r="GX379" s="303" t="s">
        <v>430</v>
      </c>
      <c r="GY379" s="304" t="s">
        <v>100</v>
      </c>
      <c r="GZ379" s="218" t="s">
        <v>132</v>
      </c>
      <c r="HA379" s="234">
        <f t="shared" si="4295"/>
        <v>12</v>
      </c>
      <c r="HB379" s="234"/>
      <c r="HC379" s="234">
        <f>Konvention_1slave-INslave</f>
        <v>12</v>
      </c>
      <c r="HD379" s="234"/>
      <c r="HE379" s="234"/>
      <c r="HF379" s="234"/>
      <c r="HG379" s="234">
        <f t="shared" si="4261"/>
        <v>11</v>
      </c>
      <c r="HH379" s="234"/>
      <c r="HI379" s="222">
        <f t="shared" si="4262"/>
        <v>11.666666666666666</v>
      </c>
      <c r="HJ379" s="223">
        <f t="shared" si="4263"/>
        <v>23.333333333333332</v>
      </c>
      <c r="HK379" s="224">
        <f t="shared" si="4264"/>
        <v>35</v>
      </c>
      <c r="HL379" s="234">
        <f t="shared" si="4265"/>
        <v>2432</v>
      </c>
      <c r="HM379" s="234">
        <f>HA379*HC379*KOslave_KO+HA379*INslave*HG379+MUslave*HC379*HG379</f>
        <v>3408</v>
      </c>
      <c r="HN379" s="234">
        <f t="shared" si="4266"/>
        <v>1584</v>
      </c>
      <c r="HO379" s="242">
        <f t="shared" si="4267"/>
        <v>7424</v>
      </c>
      <c r="HP379" s="223">
        <f t="shared" si="4268"/>
        <v>3.8218390804597702</v>
      </c>
      <c r="HQ379" s="223">
        <f t="shared" si="4269"/>
        <v>10.711206896551724</v>
      </c>
      <c r="HR379" s="223">
        <f t="shared" si="4270"/>
        <v>7.4676724137931032</v>
      </c>
      <c r="HS379" s="218">
        <f t="shared" si="4271"/>
        <v>22.000718390804597</v>
      </c>
      <c r="HT379" s="252">
        <f t="shared" si="4034"/>
        <v>0</v>
      </c>
      <c r="HU379" s="309">
        <f t="shared" si="4272"/>
        <v>22.000718390804597</v>
      </c>
      <c r="HV379" s="218">
        <f>IF(HS379&lt;=0,2,0)+IF(HS379&gt;0,HS379+1,0)*2+IF(HS379&gt;12,HS379-12,0)*2+IF(HS379&gt;13,HS379-13,0)*2+IF(HS379&gt;14,HS379-14,0)*2+IF(HS379&gt;15,HS379-15,0)*2+IF(HS379&gt;16,HS379-16,0)*2+IF(HS379&gt;17,HS379-17,0)*2+IF(HS379&gt;18,HS379-18,0)*2+IF(HS379&gt;19,HS379-19,0)*2+IF(HS379&gt;20,HS379-20,0)*2</f>
        <v>154.01436781609189</v>
      </c>
      <c r="HW379" s="242">
        <f>IF(HT379&lt;=0,2,0)+IF(HT379&gt;0,HT379+1,0)*2+IF(HT379&gt;12,HT379-12,0)*2+IF(HT379&gt;13,HT379-13,0)*2+IF(HT379&gt;14,HT379-14,0)*2+IF(HT379&gt;15,HT379-15,0)*2+IF(HT379&gt;16,HT379-16,0)*2+IF(HT379&gt;17,HT379-17,0)*2+IF(HT379&gt;18,HT379-18,0)*2+IF(HT379&gt;19,HT379-19,0)*2+IF(HT379&gt;20,HT379-20,0)*2</f>
        <v>2</v>
      </c>
      <c r="HX379" s="243">
        <f t="shared" si="4273"/>
        <v>152.01436781609189</v>
      </c>
      <c r="HY379" s="218">
        <f t="shared" si="4274"/>
        <v>0</v>
      </c>
      <c r="IA379" s="303" t="s">
        <v>430</v>
      </c>
      <c r="IB379" s="304" t="s">
        <v>100</v>
      </c>
      <c r="IC379" s="218" t="s">
        <v>132</v>
      </c>
      <c r="ID379" s="234">
        <f t="shared" si="4296"/>
        <v>12</v>
      </c>
      <c r="IE379" s="234"/>
      <c r="IF379" s="234">
        <f>Konvention_1slave-INslave</f>
        <v>12</v>
      </c>
      <c r="IG379" s="234"/>
      <c r="IH379" s="234"/>
      <c r="II379" s="234"/>
      <c r="IJ379" s="234">
        <f t="shared" si="4275"/>
        <v>12</v>
      </c>
      <c r="IK379" s="234"/>
      <c r="IL379" s="222">
        <f t="shared" si="4276"/>
        <v>12</v>
      </c>
      <c r="IM379" s="223">
        <f t="shared" si="4277"/>
        <v>24</v>
      </c>
      <c r="IN379" s="224">
        <f t="shared" si="4278"/>
        <v>36</v>
      </c>
      <c r="IO379" s="234">
        <f t="shared" si="4279"/>
        <v>2304</v>
      </c>
      <c r="IP379" s="234">
        <f>ID379*IF379*KOslave+ID379*INslave*IJ379+MUslave*IF379*IJ379</f>
        <v>3456</v>
      </c>
      <c r="IQ379" s="234">
        <f t="shared" si="4280"/>
        <v>1728</v>
      </c>
      <c r="IR379" s="242">
        <f t="shared" si="4281"/>
        <v>7488</v>
      </c>
      <c r="IS379" s="223">
        <f t="shared" si="4282"/>
        <v>3.6923076923076925</v>
      </c>
      <c r="IT379" s="223">
        <f t="shared" si="4283"/>
        <v>11.076923076923077</v>
      </c>
      <c r="IU379" s="223">
        <f t="shared" si="4284"/>
        <v>8.3076923076923084</v>
      </c>
      <c r="IV379" s="218">
        <f t="shared" si="4285"/>
        <v>23.07692307692308</v>
      </c>
      <c r="IW379" s="252">
        <f t="shared" si="4050"/>
        <v>0</v>
      </c>
      <c r="IX379" s="309">
        <f t="shared" si="4286"/>
        <v>23.07692307692308</v>
      </c>
      <c r="IY379" s="218">
        <f>IF(IV379&lt;=0,2,0)+IF(IV379&gt;0,IV379+1,0)*2+IF(IV379&gt;12,IV379-12,0)*2+IF(IV379&gt;13,IV379-13,0)*2+IF(IV379&gt;14,IV379-14,0)*2+IF(IV379&gt;15,IV379-15,0)*2+IF(IV379&gt;16,IV379-16,0)*2+IF(IV379&gt;17,IV379-17,0)*2+IF(IV379&gt;18,IV379-18,0)*2+IF(IV379&gt;19,IV379-19,0)*2+IF(IV379&gt;20,IV379-20,0)*2</f>
        <v>175.5384615384616</v>
      </c>
      <c r="IZ379" s="242">
        <f>IF(IW379&lt;=0,2,0)+IF(IW379&gt;0,IW379+1,0)*2+IF(IW379&gt;12,IW379-12,0)*2+IF(IW379&gt;13,IW379-13,0)*2+IF(IW379&gt;14,IW379-14,0)*2+IF(IW379&gt;15,IW379-15,0)*2+IF(IW379&gt;16,IW379-16,0)*2+IF(IW379&gt;17,IW379-17,0)*2+IF(IW379&gt;18,IW379-18,0)*2+IF(IW379&gt;19,IW379-19,0)*2+IF(IW379&gt;20,IW379-20,0)*2</f>
        <v>2</v>
      </c>
      <c r="JA379" s="243">
        <f t="shared" si="4287"/>
        <v>173.5384615384616</v>
      </c>
      <c r="JB379" s="218">
        <f t="shared" si="4288"/>
        <v>0</v>
      </c>
      <c r="JE379" s="148"/>
    </row>
    <row r="380" spans="2:265" hidden="1" outlineLevel="2">
      <c r="B380" s="148">
        <v>5</v>
      </c>
      <c r="C380" s="303" t="e">
        <f>VLOOKUP(AF380,Attribute!C:T,1,FALSE)</f>
        <v>#N/A</v>
      </c>
      <c r="D380" s="86" t="s">
        <v>227</v>
      </c>
      <c r="E380" s="125" t="s">
        <v>135</v>
      </c>
      <c r="F380" s="113">
        <f t="shared" si="4289"/>
        <v>12</v>
      </c>
      <c r="G380" s="113"/>
      <c r="H380" s="113"/>
      <c r="I380" s="113">
        <f>Konvention_1master-CHmaster</f>
        <v>12</v>
      </c>
      <c r="J380" s="113"/>
      <c r="K380" s="113"/>
      <c r="L380" s="113">
        <f t="shared" si="4162"/>
        <v>12</v>
      </c>
      <c r="M380" s="113"/>
      <c r="N380" s="222">
        <f t="shared" si="4163"/>
        <v>12</v>
      </c>
      <c r="O380" s="223">
        <f t="shared" si="4164"/>
        <v>24</v>
      </c>
      <c r="P380" s="224">
        <f t="shared" si="4165"/>
        <v>36</v>
      </c>
      <c r="Q380" s="234">
        <f t="shared" si="4166"/>
        <v>2304</v>
      </c>
      <c r="R380" s="113">
        <f>F380*I380*KOmaster+F380*CHmaster*L380+MUmaster*I380*L380</f>
        <v>3456</v>
      </c>
      <c r="S380" s="234">
        <f t="shared" si="4167"/>
        <v>1728</v>
      </c>
      <c r="T380" s="242">
        <f t="shared" si="4168"/>
        <v>7488</v>
      </c>
      <c r="U380" s="223">
        <f t="shared" si="4169"/>
        <v>3.6923076923076925</v>
      </c>
      <c r="V380" s="223">
        <f t="shared" si="4170"/>
        <v>11.076923076923077</v>
      </c>
      <c r="W380" s="223">
        <f t="shared" si="4171"/>
        <v>8.3076923076923084</v>
      </c>
      <c r="X380" s="218">
        <f t="shared" si="4172"/>
        <v>23.07692307692308</v>
      </c>
      <c r="Y380" s="252">
        <v>0</v>
      </c>
      <c r="Z380" s="198">
        <f t="shared" si="4173"/>
        <v>23.07692307692308</v>
      </c>
      <c r="AA380" s="125">
        <f>IF(X380&lt;=0,3,0)+IF(X380&gt;0,X380+1,0)*3+IF(X380&gt;12,X380-12,0)*3+IF(X380&gt;13,X380-13,0)*3+IF(X380&gt;14,X380-14,0)*3+IF(X380&gt;15,X380-15,0)*3+IF(X380&gt;16,X380-16,0)*3+IF(X380&gt;17,X380-17,0)*3+IF(X380&gt;18,X380-18,0)*3+IF(X380&gt;19,X380-19,0)*3+IF(X380&gt;20,X380-20,0)*3</f>
        <v>263.30769230769232</v>
      </c>
      <c r="AB380" s="160">
        <f>IF(Y380&lt;=0,3,0)+IF(Y380&gt;0,Y380+1,0)*3+IF(Y380&gt;12,Y380-12,0)*3+IF(Y380&gt;13,Y380-13,0)*3+IF(Y380&gt;14,Y380-14,0)*3+IF(Y380&gt;15,Y380-15,0)*3+IF(Y380&gt;16,Y380-16,0)*3+IF(Y380&gt;17,Y380-17,0)*3+IF(Y380&gt;18,Y380-18,0)*3+IF(Y380&gt;19,Y380-19,0)*3+IF(Y380&gt;20,Y380-20,0)*3</f>
        <v>3</v>
      </c>
      <c r="AC380" s="127">
        <f t="shared" si="4174"/>
        <v>260.30769230769232</v>
      </c>
      <c r="AD380" s="125">
        <f t="shared" si="4175"/>
        <v>0</v>
      </c>
      <c r="AF380" s="163" t="s">
        <v>231</v>
      </c>
      <c r="AG380" s="86" t="s">
        <v>227</v>
      </c>
      <c r="AH380" s="125" t="s">
        <v>135</v>
      </c>
      <c r="AI380" s="113">
        <f t="shared" si="4176"/>
        <v>11</v>
      </c>
      <c r="AJ380" s="113"/>
      <c r="AK380" s="113"/>
      <c r="AL380" s="113">
        <f>Konvention_1slave-CHslave</f>
        <v>12</v>
      </c>
      <c r="AM380" s="113"/>
      <c r="AN380" s="113"/>
      <c r="AO380" s="113">
        <f t="shared" si="4177"/>
        <v>12</v>
      </c>
      <c r="AP380" s="113"/>
      <c r="AQ380" s="89">
        <f t="shared" si="4178"/>
        <v>11.666666666666666</v>
      </c>
      <c r="AR380" s="47">
        <f t="shared" si="4179"/>
        <v>23.333333333333332</v>
      </c>
      <c r="AS380" s="119">
        <f t="shared" si="4180"/>
        <v>35</v>
      </c>
      <c r="AT380" s="113">
        <f t="shared" si="4181"/>
        <v>2432</v>
      </c>
      <c r="AU380" s="113">
        <f>AI380*AL380*KOslave+AI380*CHslave*AO380+MUslave_MU*AL380*AO380</f>
        <v>3408</v>
      </c>
      <c r="AV380" s="113">
        <f t="shared" si="4182"/>
        <v>1584</v>
      </c>
      <c r="AW380" s="160">
        <f t="shared" si="4183"/>
        <v>7424</v>
      </c>
      <c r="AX380" s="47">
        <f t="shared" si="4184"/>
        <v>3.8218390804597702</v>
      </c>
      <c r="AY380" s="47">
        <f t="shared" si="4185"/>
        <v>10.711206896551724</v>
      </c>
      <c r="AZ380" s="47">
        <f t="shared" si="4186"/>
        <v>7.4676724137931032</v>
      </c>
      <c r="BA380" s="125">
        <f t="shared" si="4187"/>
        <v>22.000718390804597</v>
      </c>
      <c r="BB380" s="165">
        <f t="shared" si="3938"/>
        <v>0</v>
      </c>
      <c r="BC380" s="198">
        <f t="shared" si="4188"/>
        <v>22.000718390804597</v>
      </c>
      <c r="BD380" s="125">
        <f>IF(BA380&lt;=0,3,0)+IF(BA380&gt;0,BA380+1,0)*3+IF(BA380&gt;12,BA380-12,0)*3+IF(BA380&gt;13,BA380-13,0)*3+IF(BA380&gt;14,BA380-14,0)*3+IF(BA380&gt;15,BA380-15,0)*3+IF(BA380&gt;16,BA380-16,0)*3+IF(BA380&gt;17,BA380-17,0)*3+IF(BA380&gt;18,BA380-18,0)*3+IF(BA380&gt;19,BA380-19,0)*3+IF(BA380&gt;20,BA380-20,0)*3</f>
        <v>231.02155172413785</v>
      </c>
      <c r="BE380" s="160">
        <f>IF(BB380&lt;=0,3,0)+IF(BB380&gt;0,BB380+1,0)*3+IF(BB380&gt;12,BB380-12,0)*3+IF(BB380&gt;13,BB380-13,0)*3+IF(BB380&gt;14,BB380-14,0)*3+IF(BB380&gt;15,BB380-15,0)*3+IF(BB380&gt;16,BB380-16,0)*3+IF(BB380&gt;17,BB380-17,0)*3+IF(BB380&gt;18,BB380-18,0)*3+IF(BB380&gt;19,BB380-19,0)*3+IF(BB380&gt;20,BB380-20,0)*3</f>
        <v>3</v>
      </c>
      <c r="BF380" s="243">
        <f t="shared" si="4189"/>
        <v>228.02155172413785</v>
      </c>
      <c r="BG380" s="218">
        <f t="shared" si="4190"/>
        <v>0</v>
      </c>
      <c r="BI380" s="303" t="s">
        <v>231</v>
      </c>
      <c r="BJ380" s="304" t="s">
        <v>227</v>
      </c>
      <c r="BK380" s="218" t="s">
        <v>135</v>
      </c>
      <c r="BL380" s="234">
        <f t="shared" si="4290"/>
        <v>12</v>
      </c>
      <c r="BM380" s="234"/>
      <c r="BN380" s="234"/>
      <c r="BO380" s="234">
        <f>Konvention_1slave-CHslave</f>
        <v>12</v>
      </c>
      <c r="BP380" s="234"/>
      <c r="BQ380" s="234"/>
      <c r="BR380" s="234">
        <f t="shared" si="4191"/>
        <v>12</v>
      </c>
      <c r="BS380" s="234"/>
      <c r="BT380" s="222">
        <f t="shared" si="4192"/>
        <v>12</v>
      </c>
      <c r="BU380" s="223">
        <f t="shared" si="4193"/>
        <v>24</v>
      </c>
      <c r="BV380" s="224">
        <f t="shared" si="4194"/>
        <v>36</v>
      </c>
      <c r="BW380" s="234">
        <f t="shared" si="4195"/>
        <v>2304</v>
      </c>
      <c r="BX380" s="234">
        <f>BL380*BO380*KOslave+BL380*CHslave*BR380+MUslave*BO380*BR380</f>
        <v>3456</v>
      </c>
      <c r="BY380" s="234">
        <f t="shared" si="4196"/>
        <v>1728</v>
      </c>
      <c r="BZ380" s="242">
        <f t="shared" si="4197"/>
        <v>7488</v>
      </c>
      <c r="CA380" s="223">
        <f t="shared" si="4198"/>
        <v>3.6923076923076925</v>
      </c>
      <c r="CB380" s="223">
        <f t="shared" si="4199"/>
        <v>11.076923076923077</v>
      </c>
      <c r="CC380" s="223">
        <f t="shared" si="4200"/>
        <v>8.3076923076923084</v>
      </c>
      <c r="CD380" s="218">
        <f t="shared" si="4201"/>
        <v>23.07692307692308</v>
      </c>
      <c r="CE380" s="252">
        <f t="shared" si="3954"/>
        <v>0</v>
      </c>
      <c r="CF380" s="309">
        <f t="shared" si="4202"/>
        <v>23.07692307692308</v>
      </c>
      <c r="CG380" s="218">
        <f>IF(CD380&lt;=0,3,0)+IF(CD380&gt;0,CD380+1,0)*3+IF(CD380&gt;12,CD380-12,0)*3+IF(CD380&gt;13,CD380-13,0)*3+IF(CD380&gt;14,CD380-14,0)*3+IF(CD380&gt;15,CD380-15,0)*3+IF(CD380&gt;16,CD380-16,0)*3+IF(CD380&gt;17,CD380-17,0)*3+IF(CD380&gt;18,CD380-18,0)*3+IF(CD380&gt;19,CD380-19,0)*3+IF(CD380&gt;20,CD380-20,0)*3</f>
        <v>263.30769230769232</v>
      </c>
      <c r="CH380" s="242">
        <f>IF(CE380&lt;=0,3,0)+IF(CE380&gt;0,CE380+1,0)*3+IF(CE380&gt;12,CE380-12,0)*3+IF(CE380&gt;13,CE380-13,0)*3+IF(CE380&gt;14,CE380-14,0)*3+IF(CE380&gt;15,CE380-15,0)*3+IF(CE380&gt;16,CE380-16,0)*3+IF(CE380&gt;17,CE380-17,0)*3+IF(CE380&gt;18,CE380-18,0)*3+IF(CE380&gt;19,CE380-19,0)*3+IF(CE380&gt;20,CE380-20,0)*3</f>
        <v>3</v>
      </c>
      <c r="CI380" s="243">
        <f t="shared" si="4203"/>
        <v>260.30769230769232</v>
      </c>
      <c r="CJ380" s="218">
        <f t="shared" si="4204"/>
        <v>0</v>
      </c>
      <c r="CL380" s="303" t="s">
        <v>231</v>
      </c>
      <c r="CM380" s="304" t="s">
        <v>227</v>
      </c>
      <c r="CN380" s="218" t="s">
        <v>135</v>
      </c>
      <c r="CO380" s="234">
        <f t="shared" si="4291"/>
        <v>12</v>
      </c>
      <c r="CP380" s="234"/>
      <c r="CQ380" s="234"/>
      <c r="CR380" s="234">
        <f>Konvention_1slave-CHslave</f>
        <v>12</v>
      </c>
      <c r="CS380" s="234"/>
      <c r="CT380" s="234"/>
      <c r="CU380" s="234">
        <f t="shared" si="4205"/>
        <v>12</v>
      </c>
      <c r="CV380" s="234"/>
      <c r="CW380" s="222">
        <f t="shared" si="4206"/>
        <v>12</v>
      </c>
      <c r="CX380" s="223">
        <f t="shared" si="4207"/>
        <v>24</v>
      </c>
      <c r="CY380" s="224">
        <f t="shared" si="4208"/>
        <v>36</v>
      </c>
      <c r="CZ380" s="234">
        <f t="shared" si="4209"/>
        <v>2304</v>
      </c>
      <c r="DA380" s="234">
        <f>CO380*CR380*KOslave+CO380*CHslave*CU380+MUslave*CR380*CU380</f>
        <v>3456</v>
      </c>
      <c r="DB380" s="234">
        <f t="shared" si="4210"/>
        <v>1728</v>
      </c>
      <c r="DC380" s="242">
        <f t="shared" si="4211"/>
        <v>7488</v>
      </c>
      <c r="DD380" s="223">
        <f t="shared" si="4212"/>
        <v>3.6923076923076925</v>
      </c>
      <c r="DE380" s="223">
        <f t="shared" si="4213"/>
        <v>11.076923076923077</v>
      </c>
      <c r="DF380" s="223">
        <f t="shared" si="4214"/>
        <v>8.3076923076923084</v>
      </c>
      <c r="DG380" s="218">
        <f t="shared" si="4215"/>
        <v>23.07692307692308</v>
      </c>
      <c r="DH380" s="252">
        <f t="shared" si="3970"/>
        <v>0</v>
      </c>
      <c r="DI380" s="309">
        <f t="shared" si="4216"/>
        <v>23.07692307692308</v>
      </c>
      <c r="DJ380" s="218">
        <f>IF(DG380&lt;=0,3,0)+IF(DG380&gt;0,DG380+1,0)*3+IF(DG380&gt;12,DG380-12,0)*3+IF(DG380&gt;13,DG380-13,0)*3+IF(DG380&gt;14,DG380-14,0)*3+IF(DG380&gt;15,DG380-15,0)*3+IF(DG380&gt;16,DG380-16,0)*3+IF(DG380&gt;17,DG380-17,0)*3+IF(DG380&gt;18,DG380-18,0)*3+IF(DG380&gt;19,DG380-19,0)*3+IF(DG380&gt;20,DG380-20,0)*3</f>
        <v>263.30769230769232</v>
      </c>
      <c r="DK380" s="242">
        <f>IF(DH380&lt;=0,3,0)+IF(DH380&gt;0,DH380+1,0)*3+IF(DH380&gt;12,DH380-12,0)*3+IF(DH380&gt;13,DH380-13,0)*3+IF(DH380&gt;14,DH380-14,0)*3+IF(DH380&gt;15,DH380-15,0)*3+IF(DH380&gt;16,DH380-16,0)*3+IF(DH380&gt;17,DH380-17,0)*3+IF(DH380&gt;18,DH380-18,0)*3+IF(DH380&gt;19,DH380-19,0)*3+IF(DH380&gt;20,DH380-20,0)*3</f>
        <v>3</v>
      </c>
      <c r="DL380" s="243">
        <f t="shared" si="4217"/>
        <v>260.30769230769232</v>
      </c>
      <c r="DM380" s="218">
        <f t="shared" si="4218"/>
        <v>0</v>
      </c>
      <c r="DO380" s="303" t="s">
        <v>231</v>
      </c>
      <c r="DP380" s="304" t="s">
        <v>227</v>
      </c>
      <c r="DQ380" s="218" t="s">
        <v>135</v>
      </c>
      <c r="DR380" s="234">
        <f t="shared" si="4292"/>
        <v>12</v>
      </c>
      <c r="DS380" s="234"/>
      <c r="DT380" s="234"/>
      <c r="DU380" s="234">
        <f>Konvention_1slave-CHslave_CH</f>
        <v>11</v>
      </c>
      <c r="DV380" s="234"/>
      <c r="DW380" s="234"/>
      <c r="DX380" s="234">
        <f t="shared" si="4219"/>
        <v>12</v>
      </c>
      <c r="DY380" s="234"/>
      <c r="DZ380" s="222">
        <f t="shared" si="4220"/>
        <v>11.666666666666666</v>
      </c>
      <c r="EA380" s="223">
        <f t="shared" si="4221"/>
        <v>23.333333333333332</v>
      </c>
      <c r="EB380" s="224">
        <f t="shared" si="4222"/>
        <v>35</v>
      </c>
      <c r="EC380" s="234">
        <f t="shared" si="4223"/>
        <v>2432</v>
      </c>
      <c r="ED380" s="234">
        <f>DR380*DU380*KOslave+DR380*CHslave_CH*DX380+MUslave*DU380*DX380</f>
        <v>3408</v>
      </c>
      <c r="EE380" s="234">
        <f t="shared" si="4224"/>
        <v>1584</v>
      </c>
      <c r="EF380" s="242">
        <f t="shared" si="4225"/>
        <v>7424</v>
      </c>
      <c r="EG380" s="223">
        <f t="shared" si="4226"/>
        <v>3.8218390804597702</v>
      </c>
      <c r="EH380" s="223">
        <f t="shared" si="4227"/>
        <v>10.711206896551724</v>
      </c>
      <c r="EI380" s="223">
        <f t="shared" si="4228"/>
        <v>7.4676724137931032</v>
      </c>
      <c r="EJ380" s="218">
        <f t="shared" si="4229"/>
        <v>22.000718390804597</v>
      </c>
      <c r="EK380" s="252">
        <f t="shared" si="3986"/>
        <v>0</v>
      </c>
      <c r="EL380" s="309">
        <f t="shared" si="4230"/>
        <v>22.000718390804597</v>
      </c>
      <c r="EM380" s="218">
        <f>IF(EJ380&lt;=0,3,0)+IF(EJ380&gt;0,EJ380+1,0)*3+IF(EJ380&gt;12,EJ380-12,0)*3+IF(EJ380&gt;13,EJ380-13,0)*3+IF(EJ380&gt;14,EJ380-14,0)*3+IF(EJ380&gt;15,EJ380-15,0)*3+IF(EJ380&gt;16,EJ380-16,0)*3+IF(EJ380&gt;17,EJ380-17,0)*3+IF(EJ380&gt;18,EJ380-18,0)*3+IF(EJ380&gt;19,EJ380-19,0)*3+IF(EJ380&gt;20,EJ380-20,0)*3</f>
        <v>231.02155172413785</v>
      </c>
      <c r="EN380" s="242">
        <f>IF(EK380&lt;=0,3,0)+IF(EK380&gt;0,EK380+1,0)*3+IF(EK380&gt;12,EK380-12,0)*3+IF(EK380&gt;13,EK380-13,0)*3+IF(EK380&gt;14,EK380-14,0)*3+IF(EK380&gt;15,EK380-15,0)*3+IF(EK380&gt;16,EK380-16,0)*3+IF(EK380&gt;17,EK380-17,0)*3+IF(EK380&gt;18,EK380-18,0)*3+IF(EK380&gt;19,EK380-19,0)*3+IF(EK380&gt;20,EK380-20,0)*3</f>
        <v>3</v>
      </c>
      <c r="EO380" s="243">
        <f t="shared" si="4231"/>
        <v>228.02155172413785</v>
      </c>
      <c r="EP380" s="218">
        <f t="shared" si="4232"/>
        <v>0</v>
      </c>
      <c r="ER380" s="303" t="s">
        <v>231</v>
      </c>
      <c r="ES380" s="304" t="s">
        <v>227</v>
      </c>
      <c r="ET380" s="218" t="s">
        <v>135</v>
      </c>
      <c r="EU380" s="234">
        <f t="shared" si="4293"/>
        <v>12</v>
      </c>
      <c r="EV380" s="234"/>
      <c r="EW380" s="234"/>
      <c r="EX380" s="234">
        <f>Konvention_1slave-CHslave</f>
        <v>12</v>
      </c>
      <c r="EY380" s="234"/>
      <c r="EZ380" s="234"/>
      <c r="FA380" s="234">
        <f t="shared" si="4233"/>
        <v>12</v>
      </c>
      <c r="FB380" s="234"/>
      <c r="FC380" s="222">
        <f t="shared" si="4234"/>
        <v>12</v>
      </c>
      <c r="FD380" s="223">
        <f t="shared" si="4235"/>
        <v>24</v>
      </c>
      <c r="FE380" s="224">
        <f t="shared" si="4236"/>
        <v>36</v>
      </c>
      <c r="FF380" s="234">
        <f t="shared" si="4237"/>
        <v>2304</v>
      </c>
      <c r="FG380" s="234">
        <f>EU380*EX380*KOslave+EU380*CHslave*FA380+MUslave*EX380*FA380</f>
        <v>3456</v>
      </c>
      <c r="FH380" s="234">
        <f t="shared" si="4238"/>
        <v>1728</v>
      </c>
      <c r="FI380" s="242">
        <f t="shared" si="4239"/>
        <v>7488</v>
      </c>
      <c r="FJ380" s="223">
        <f t="shared" si="4240"/>
        <v>3.6923076923076925</v>
      </c>
      <c r="FK380" s="223">
        <f t="shared" si="4241"/>
        <v>11.076923076923077</v>
      </c>
      <c r="FL380" s="223">
        <f t="shared" si="4242"/>
        <v>8.3076923076923084</v>
      </c>
      <c r="FM380" s="218">
        <f t="shared" si="4243"/>
        <v>23.07692307692308</v>
      </c>
      <c r="FN380" s="252">
        <f t="shared" si="4002"/>
        <v>0</v>
      </c>
      <c r="FO380" s="309">
        <f t="shared" si="4244"/>
        <v>23.07692307692308</v>
      </c>
      <c r="FP380" s="218">
        <f>IF(FM380&lt;=0,3,0)+IF(FM380&gt;0,FM380+1,0)*3+IF(FM380&gt;12,FM380-12,0)*3+IF(FM380&gt;13,FM380-13,0)*3+IF(FM380&gt;14,FM380-14,0)*3+IF(FM380&gt;15,FM380-15,0)*3+IF(FM380&gt;16,FM380-16,0)*3+IF(FM380&gt;17,FM380-17,0)*3+IF(FM380&gt;18,FM380-18,0)*3+IF(FM380&gt;19,FM380-19,0)*3+IF(FM380&gt;20,FM380-20,0)*3</f>
        <v>263.30769230769232</v>
      </c>
      <c r="FQ380" s="242">
        <f>IF(FN380&lt;=0,3,0)+IF(FN380&gt;0,FN380+1,0)*3+IF(FN380&gt;12,FN380-12,0)*3+IF(FN380&gt;13,FN380-13,0)*3+IF(FN380&gt;14,FN380-14,0)*3+IF(FN380&gt;15,FN380-15,0)*3+IF(FN380&gt;16,FN380-16,0)*3+IF(FN380&gt;17,FN380-17,0)*3+IF(FN380&gt;18,FN380-18,0)*3+IF(FN380&gt;19,FN380-19,0)*3+IF(FN380&gt;20,FN380-20,0)*3</f>
        <v>3</v>
      </c>
      <c r="FR380" s="243">
        <f t="shared" si="4245"/>
        <v>260.30769230769232</v>
      </c>
      <c r="FS380" s="218">
        <f t="shared" si="4246"/>
        <v>0</v>
      </c>
      <c r="FU380" s="303" t="s">
        <v>231</v>
      </c>
      <c r="FV380" s="304" t="s">
        <v>227</v>
      </c>
      <c r="FW380" s="218" t="s">
        <v>135</v>
      </c>
      <c r="FX380" s="234">
        <f t="shared" si="4294"/>
        <v>12</v>
      </c>
      <c r="FY380" s="234"/>
      <c r="FZ380" s="234"/>
      <c r="GA380" s="234">
        <f>Konvention_1slave-CHslave</f>
        <v>12</v>
      </c>
      <c r="GB380" s="234"/>
      <c r="GC380" s="234"/>
      <c r="GD380" s="234">
        <f t="shared" si="4247"/>
        <v>12</v>
      </c>
      <c r="GE380" s="234"/>
      <c r="GF380" s="222">
        <f t="shared" si="4248"/>
        <v>12</v>
      </c>
      <c r="GG380" s="223">
        <f t="shared" si="4249"/>
        <v>24</v>
      </c>
      <c r="GH380" s="224">
        <f t="shared" si="4250"/>
        <v>36</v>
      </c>
      <c r="GI380" s="234">
        <f t="shared" si="4251"/>
        <v>2304</v>
      </c>
      <c r="GJ380" s="234">
        <f>FX380*GA380*KOslave+FX380*CHslave*GD380+MUslave*GA380*GD380</f>
        <v>3456</v>
      </c>
      <c r="GK380" s="234">
        <f t="shared" si="4252"/>
        <v>1728</v>
      </c>
      <c r="GL380" s="242">
        <f t="shared" si="4253"/>
        <v>7488</v>
      </c>
      <c r="GM380" s="223">
        <f t="shared" si="4254"/>
        <v>3.6923076923076925</v>
      </c>
      <c r="GN380" s="223">
        <f t="shared" si="4255"/>
        <v>11.076923076923077</v>
      </c>
      <c r="GO380" s="223">
        <f t="shared" si="4256"/>
        <v>8.3076923076923084</v>
      </c>
      <c r="GP380" s="218">
        <f t="shared" si="4257"/>
        <v>23.07692307692308</v>
      </c>
      <c r="GQ380" s="252">
        <f t="shared" si="4018"/>
        <v>0</v>
      </c>
      <c r="GR380" s="309">
        <f t="shared" si="4258"/>
        <v>23.07692307692308</v>
      </c>
      <c r="GS380" s="218">
        <f>IF(GP380&lt;=0,3,0)+IF(GP380&gt;0,GP380+1,0)*3+IF(GP380&gt;12,GP380-12,0)*3+IF(GP380&gt;13,GP380-13,0)*3+IF(GP380&gt;14,GP380-14,0)*3+IF(GP380&gt;15,GP380-15,0)*3+IF(GP380&gt;16,GP380-16,0)*3+IF(GP380&gt;17,GP380-17,0)*3+IF(GP380&gt;18,GP380-18,0)*3+IF(GP380&gt;19,GP380-19,0)*3+IF(GP380&gt;20,GP380-20,0)*3</f>
        <v>263.30769230769232</v>
      </c>
      <c r="GT380" s="242">
        <f>IF(GQ380&lt;=0,3,0)+IF(GQ380&gt;0,GQ380+1,0)*3+IF(GQ380&gt;12,GQ380-12,0)*3+IF(GQ380&gt;13,GQ380-13,0)*3+IF(GQ380&gt;14,GQ380-14,0)*3+IF(GQ380&gt;15,GQ380-15,0)*3+IF(GQ380&gt;16,GQ380-16,0)*3+IF(GQ380&gt;17,GQ380-17,0)*3+IF(GQ380&gt;18,GQ380-18,0)*3+IF(GQ380&gt;19,GQ380-19,0)*3+IF(GQ380&gt;20,GQ380-20,0)*3</f>
        <v>3</v>
      </c>
      <c r="GU380" s="243">
        <f t="shared" si="4259"/>
        <v>260.30769230769232</v>
      </c>
      <c r="GV380" s="218">
        <f t="shared" si="4260"/>
        <v>0</v>
      </c>
      <c r="GX380" s="303" t="s">
        <v>231</v>
      </c>
      <c r="GY380" s="304" t="s">
        <v>227</v>
      </c>
      <c r="GZ380" s="218" t="s">
        <v>135</v>
      </c>
      <c r="HA380" s="234">
        <f t="shared" si="4295"/>
        <v>12</v>
      </c>
      <c r="HB380" s="234"/>
      <c r="HC380" s="234"/>
      <c r="HD380" s="234">
        <f>Konvention_1slave-CHslave</f>
        <v>12</v>
      </c>
      <c r="HE380" s="234"/>
      <c r="HF380" s="234"/>
      <c r="HG380" s="234">
        <f t="shared" si="4261"/>
        <v>11</v>
      </c>
      <c r="HH380" s="234"/>
      <c r="HI380" s="222">
        <f t="shared" si="4262"/>
        <v>11.666666666666666</v>
      </c>
      <c r="HJ380" s="223">
        <f t="shared" si="4263"/>
        <v>23.333333333333332</v>
      </c>
      <c r="HK380" s="224">
        <f t="shared" si="4264"/>
        <v>35</v>
      </c>
      <c r="HL380" s="234">
        <f t="shared" si="4265"/>
        <v>2432</v>
      </c>
      <c r="HM380" s="234">
        <f>HA380*HD380*KOslave_KO+HA380*CHslave*HG380+MUslave*HD380*HG380</f>
        <v>3408</v>
      </c>
      <c r="HN380" s="234">
        <f t="shared" si="4266"/>
        <v>1584</v>
      </c>
      <c r="HO380" s="242">
        <f t="shared" si="4267"/>
        <v>7424</v>
      </c>
      <c r="HP380" s="223">
        <f t="shared" si="4268"/>
        <v>3.8218390804597702</v>
      </c>
      <c r="HQ380" s="223">
        <f t="shared" si="4269"/>
        <v>10.711206896551724</v>
      </c>
      <c r="HR380" s="223">
        <f t="shared" si="4270"/>
        <v>7.4676724137931032</v>
      </c>
      <c r="HS380" s="218">
        <f t="shared" si="4271"/>
        <v>22.000718390804597</v>
      </c>
      <c r="HT380" s="252">
        <f t="shared" si="4034"/>
        <v>0</v>
      </c>
      <c r="HU380" s="309">
        <f t="shared" si="4272"/>
        <v>22.000718390804597</v>
      </c>
      <c r="HV380" s="218">
        <f>IF(HS380&lt;=0,3,0)+IF(HS380&gt;0,HS380+1,0)*3+IF(HS380&gt;12,HS380-12,0)*3+IF(HS380&gt;13,HS380-13,0)*3+IF(HS380&gt;14,HS380-14,0)*3+IF(HS380&gt;15,HS380-15,0)*3+IF(HS380&gt;16,HS380-16,0)*3+IF(HS380&gt;17,HS380-17,0)*3+IF(HS380&gt;18,HS380-18,0)*3+IF(HS380&gt;19,HS380-19,0)*3+IF(HS380&gt;20,HS380-20,0)*3</f>
        <v>231.02155172413785</v>
      </c>
      <c r="HW380" s="242">
        <f>IF(HT380&lt;=0,3,0)+IF(HT380&gt;0,HT380+1,0)*3+IF(HT380&gt;12,HT380-12,0)*3+IF(HT380&gt;13,HT380-13,0)*3+IF(HT380&gt;14,HT380-14,0)*3+IF(HT380&gt;15,HT380-15,0)*3+IF(HT380&gt;16,HT380-16,0)*3+IF(HT380&gt;17,HT380-17,0)*3+IF(HT380&gt;18,HT380-18,0)*3+IF(HT380&gt;19,HT380-19,0)*3+IF(HT380&gt;20,HT380-20,0)*3</f>
        <v>3</v>
      </c>
      <c r="HX380" s="243">
        <f t="shared" si="4273"/>
        <v>228.02155172413785</v>
      </c>
      <c r="HY380" s="218">
        <f t="shared" si="4274"/>
        <v>0</v>
      </c>
      <c r="IA380" s="303" t="s">
        <v>231</v>
      </c>
      <c r="IB380" s="304" t="s">
        <v>227</v>
      </c>
      <c r="IC380" s="218" t="s">
        <v>135</v>
      </c>
      <c r="ID380" s="234">
        <f t="shared" si="4296"/>
        <v>12</v>
      </c>
      <c r="IE380" s="234"/>
      <c r="IF380" s="234"/>
      <c r="IG380" s="234">
        <f>Konvention_1slave-CHslave</f>
        <v>12</v>
      </c>
      <c r="IH380" s="234"/>
      <c r="II380" s="234"/>
      <c r="IJ380" s="234">
        <f t="shared" si="4275"/>
        <v>12</v>
      </c>
      <c r="IK380" s="234"/>
      <c r="IL380" s="222">
        <f t="shared" si="4276"/>
        <v>12</v>
      </c>
      <c r="IM380" s="223">
        <f t="shared" si="4277"/>
        <v>24</v>
      </c>
      <c r="IN380" s="224">
        <f t="shared" si="4278"/>
        <v>36</v>
      </c>
      <c r="IO380" s="234">
        <f t="shared" si="4279"/>
        <v>2304</v>
      </c>
      <c r="IP380" s="234">
        <f>ID380*IG380*KOslave+ID380*CHslave*IJ380+MUslave*IG380*IJ380</f>
        <v>3456</v>
      </c>
      <c r="IQ380" s="234">
        <f t="shared" si="4280"/>
        <v>1728</v>
      </c>
      <c r="IR380" s="242">
        <f t="shared" si="4281"/>
        <v>7488</v>
      </c>
      <c r="IS380" s="223">
        <f t="shared" si="4282"/>
        <v>3.6923076923076925</v>
      </c>
      <c r="IT380" s="223">
        <f t="shared" si="4283"/>
        <v>11.076923076923077</v>
      </c>
      <c r="IU380" s="223">
        <f t="shared" si="4284"/>
        <v>8.3076923076923084</v>
      </c>
      <c r="IV380" s="218">
        <f t="shared" si="4285"/>
        <v>23.07692307692308</v>
      </c>
      <c r="IW380" s="252">
        <f t="shared" si="4050"/>
        <v>0</v>
      </c>
      <c r="IX380" s="309">
        <f t="shared" si="4286"/>
        <v>23.07692307692308</v>
      </c>
      <c r="IY380" s="218">
        <f>IF(IV380&lt;=0,3,0)+IF(IV380&gt;0,IV380+1,0)*3+IF(IV380&gt;12,IV380-12,0)*3+IF(IV380&gt;13,IV380-13,0)*3+IF(IV380&gt;14,IV380-14,0)*3+IF(IV380&gt;15,IV380-15,0)*3+IF(IV380&gt;16,IV380-16,0)*3+IF(IV380&gt;17,IV380-17,0)*3+IF(IV380&gt;18,IV380-18,0)*3+IF(IV380&gt;19,IV380-19,0)*3+IF(IV380&gt;20,IV380-20,0)*3</f>
        <v>263.30769230769232</v>
      </c>
      <c r="IZ380" s="242">
        <f>IF(IW380&lt;=0,3,0)+IF(IW380&gt;0,IW380+1,0)*3+IF(IW380&gt;12,IW380-12,0)*3+IF(IW380&gt;13,IW380-13,0)*3+IF(IW380&gt;14,IW380-14,0)*3+IF(IW380&gt;15,IW380-15,0)*3+IF(IW380&gt;16,IW380-16,0)*3+IF(IW380&gt;17,IW380-17,0)*3+IF(IW380&gt;18,IW380-18,0)*3+IF(IW380&gt;19,IW380-19,0)*3+IF(IW380&gt;20,IW380-20,0)*3</f>
        <v>3</v>
      </c>
      <c r="JA380" s="243">
        <f t="shared" si="4287"/>
        <v>260.30769230769232</v>
      </c>
      <c r="JB380" s="218">
        <f t="shared" si="4288"/>
        <v>0</v>
      </c>
      <c r="JE380" s="148"/>
    </row>
    <row r="381" spans="2:265" hidden="1" outlineLevel="2">
      <c r="B381" s="148">
        <v>6</v>
      </c>
      <c r="C381" s="303" t="e">
        <f>VLOOKUP(AF381,Attribute!C:T,1,FALSE)</f>
        <v>#N/A</v>
      </c>
      <c r="D381" s="86" t="s">
        <v>227</v>
      </c>
      <c r="E381" s="125" t="s">
        <v>132</v>
      </c>
      <c r="F381" s="113">
        <f t="shared" si="4289"/>
        <v>12</v>
      </c>
      <c r="G381" s="113"/>
      <c r="H381" s="113"/>
      <c r="I381" s="113">
        <f>Konvention_1master-CHmaster</f>
        <v>12</v>
      </c>
      <c r="J381" s="113"/>
      <c r="K381" s="113"/>
      <c r="L381" s="113">
        <f t="shared" si="4162"/>
        <v>12</v>
      </c>
      <c r="M381" s="113"/>
      <c r="N381" s="222">
        <f t="shared" si="4163"/>
        <v>12</v>
      </c>
      <c r="O381" s="223">
        <f t="shared" si="4164"/>
        <v>24</v>
      </c>
      <c r="P381" s="224">
        <f t="shared" si="4165"/>
        <v>36</v>
      </c>
      <c r="Q381" s="234">
        <f t="shared" si="4166"/>
        <v>2304</v>
      </c>
      <c r="R381" s="113">
        <f>F381*I381*KOmaster+F381*CHmaster*L381+MUmaster*I381*L381</f>
        <v>3456</v>
      </c>
      <c r="S381" s="234">
        <f t="shared" si="4167"/>
        <v>1728</v>
      </c>
      <c r="T381" s="242">
        <f t="shared" si="4168"/>
        <v>7488</v>
      </c>
      <c r="U381" s="223">
        <f t="shared" si="4169"/>
        <v>3.6923076923076925</v>
      </c>
      <c r="V381" s="223">
        <f t="shared" si="4170"/>
        <v>11.076923076923077</v>
      </c>
      <c r="W381" s="223">
        <f t="shared" si="4171"/>
        <v>8.3076923076923084</v>
      </c>
      <c r="X381" s="218">
        <f t="shared" si="4172"/>
        <v>23.07692307692308</v>
      </c>
      <c r="Y381" s="252">
        <v>0</v>
      </c>
      <c r="Z381" s="198">
        <f t="shared" si="4173"/>
        <v>23.07692307692308</v>
      </c>
      <c r="AA381" s="125">
        <f>IF(X381&lt;=0,2,0)+IF(X381&gt;0,X381+1,0)*2+IF(X381&gt;12,X381-12,0)*2+IF(X381&gt;13,X381-13,0)*2+IF(X381&gt;14,X381-14,0)*2+IF(X381&gt;15,X381-15,0)*2+IF(X381&gt;16,X381-16,0)*2+IF(X381&gt;17,X381-17,0)*2+IF(X381&gt;18,X381-18,0)*2+IF(X381&gt;19,X381-19,0)*2+IF(X381&gt;20,X381-20,0)*2</f>
        <v>175.5384615384616</v>
      </c>
      <c r="AB381" s="160">
        <f>IF(Y381&lt;=0,2,0)+IF(Y381&gt;0,Y381+1,0)*2+IF(Y381&gt;12,Y381-12,0)*2+IF(Y381&gt;13,Y381-13,0)*2+IF(Y381&gt;14,Y381-14,0)*2+IF(Y381&gt;15,Y381-15,0)*2+IF(Y381&gt;16,Y381-16,0)*2+IF(Y381&gt;17,Y381-17,0)*2+IF(Y381&gt;18,Y381-18,0)*2+IF(Y381&gt;19,Y381-19,0)*2+IF(Y381&gt;20,Y381-20,0)*2</f>
        <v>2</v>
      </c>
      <c r="AC381" s="127">
        <f t="shared" si="4174"/>
        <v>173.5384615384616</v>
      </c>
      <c r="AD381" s="125">
        <f t="shared" si="4175"/>
        <v>0</v>
      </c>
      <c r="AF381" s="163" t="s">
        <v>232</v>
      </c>
      <c r="AG381" s="86" t="s">
        <v>227</v>
      </c>
      <c r="AH381" s="125" t="s">
        <v>132</v>
      </c>
      <c r="AI381" s="113">
        <f t="shared" si="4176"/>
        <v>11</v>
      </c>
      <c r="AJ381" s="113"/>
      <c r="AK381" s="113"/>
      <c r="AL381" s="113">
        <f>Konvention_1slave-CHslave</f>
        <v>12</v>
      </c>
      <c r="AM381" s="113"/>
      <c r="AN381" s="113"/>
      <c r="AO381" s="113">
        <f t="shared" si="4177"/>
        <v>12</v>
      </c>
      <c r="AP381" s="113"/>
      <c r="AQ381" s="89">
        <f t="shared" si="4178"/>
        <v>11.666666666666666</v>
      </c>
      <c r="AR381" s="47">
        <f t="shared" si="4179"/>
        <v>23.333333333333332</v>
      </c>
      <c r="AS381" s="119">
        <f t="shared" si="4180"/>
        <v>35</v>
      </c>
      <c r="AT381" s="113">
        <f t="shared" si="4181"/>
        <v>2432</v>
      </c>
      <c r="AU381" s="113">
        <f>AI381*AL381*KOslave+AI381*CHslave*AO381+MUslave_MU*AL381*AO381</f>
        <v>3408</v>
      </c>
      <c r="AV381" s="113">
        <f t="shared" si="4182"/>
        <v>1584</v>
      </c>
      <c r="AW381" s="160">
        <f t="shared" si="4183"/>
        <v>7424</v>
      </c>
      <c r="AX381" s="47">
        <f t="shared" si="4184"/>
        <v>3.8218390804597702</v>
      </c>
      <c r="AY381" s="47">
        <f t="shared" si="4185"/>
        <v>10.711206896551724</v>
      </c>
      <c r="AZ381" s="47">
        <f t="shared" si="4186"/>
        <v>7.4676724137931032</v>
      </c>
      <c r="BA381" s="125">
        <f t="shared" si="4187"/>
        <v>22.000718390804597</v>
      </c>
      <c r="BB381" s="165">
        <f t="shared" si="3938"/>
        <v>0</v>
      </c>
      <c r="BC381" s="198">
        <f t="shared" si="4188"/>
        <v>22.000718390804597</v>
      </c>
      <c r="BD381" s="125">
        <f>IF(BA381&lt;=0,2,0)+IF(BA381&gt;0,BA381+1,0)*2+IF(BA381&gt;12,BA381-12,0)*2+IF(BA381&gt;13,BA381-13,0)*2+IF(BA381&gt;14,BA381-14,0)*2+IF(BA381&gt;15,BA381-15,0)*2+IF(BA381&gt;16,BA381-16,0)*2+IF(BA381&gt;17,BA381-17,0)*2+IF(BA381&gt;18,BA381-18,0)*2+IF(BA381&gt;19,BA381-19,0)*2+IF(BA381&gt;20,BA381-20,0)*2</f>
        <v>154.01436781609189</v>
      </c>
      <c r="BE381" s="160">
        <f>IF(BB381&lt;=0,2,0)+IF(BB381&gt;0,BB381+1,0)*2+IF(BB381&gt;12,BB381-12,0)*2+IF(BB381&gt;13,BB381-13,0)*2+IF(BB381&gt;14,BB381-14,0)*2+IF(BB381&gt;15,BB381-15,0)*2+IF(BB381&gt;16,BB381-16,0)*2+IF(BB381&gt;17,BB381-17,0)*2+IF(BB381&gt;18,BB381-18,0)*2+IF(BB381&gt;19,BB381-19,0)*2+IF(BB381&gt;20,BB381-20,0)*2</f>
        <v>2</v>
      </c>
      <c r="BF381" s="243">
        <f t="shared" si="4189"/>
        <v>152.01436781609189</v>
      </c>
      <c r="BG381" s="218">
        <f t="shared" si="4190"/>
        <v>0</v>
      </c>
      <c r="BI381" s="303" t="s">
        <v>232</v>
      </c>
      <c r="BJ381" s="304" t="s">
        <v>227</v>
      </c>
      <c r="BK381" s="218" t="s">
        <v>132</v>
      </c>
      <c r="BL381" s="234">
        <f t="shared" si="4290"/>
        <v>12</v>
      </c>
      <c r="BM381" s="234"/>
      <c r="BN381" s="234"/>
      <c r="BO381" s="234">
        <f>Konvention_1slave-CHslave</f>
        <v>12</v>
      </c>
      <c r="BP381" s="234"/>
      <c r="BQ381" s="234"/>
      <c r="BR381" s="234">
        <f t="shared" si="4191"/>
        <v>12</v>
      </c>
      <c r="BS381" s="234"/>
      <c r="BT381" s="222">
        <f t="shared" si="4192"/>
        <v>12</v>
      </c>
      <c r="BU381" s="223">
        <f t="shared" si="4193"/>
        <v>24</v>
      </c>
      <c r="BV381" s="224">
        <f t="shared" si="4194"/>
        <v>36</v>
      </c>
      <c r="BW381" s="234">
        <f t="shared" si="4195"/>
        <v>2304</v>
      </c>
      <c r="BX381" s="234">
        <f>BL381*BO381*KOslave+BL381*CHslave*BR381+MUslave*BO381*BR381</f>
        <v>3456</v>
      </c>
      <c r="BY381" s="234">
        <f t="shared" si="4196"/>
        <v>1728</v>
      </c>
      <c r="BZ381" s="242">
        <f t="shared" si="4197"/>
        <v>7488</v>
      </c>
      <c r="CA381" s="223">
        <f t="shared" si="4198"/>
        <v>3.6923076923076925</v>
      </c>
      <c r="CB381" s="223">
        <f t="shared" si="4199"/>
        <v>11.076923076923077</v>
      </c>
      <c r="CC381" s="223">
        <f t="shared" si="4200"/>
        <v>8.3076923076923084</v>
      </c>
      <c r="CD381" s="218">
        <f t="shared" si="4201"/>
        <v>23.07692307692308</v>
      </c>
      <c r="CE381" s="252">
        <f t="shared" si="3954"/>
        <v>0</v>
      </c>
      <c r="CF381" s="309">
        <f t="shared" si="4202"/>
        <v>23.07692307692308</v>
      </c>
      <c r="CG381" s="218">
        <f>IF(CD381&lt;=0,2,0)+IF(CD381&gt;0,CD381+1,0)*2+IF(CD381&gt;12,CD381-12,0)*2+IF(CD381&gt;13,CD381-13,0)*2+IF(CD381&gt;14,CD381-14,0)*2+IF(CD381&gt;15,CD381-15,0)*2+IF(CD381&gt;16,CD381-16,0)*2+IF(CD381&gt;17,CD381-17,0)*2+IF(CD381&gt;18,CD381-18,0)*2+IF(CD381&gt;19,CD381-19,0)*2+IF(CD381&gt;20,CD381-20,0)*2</f>
        <v>175.5384615384616</v>
      </c>
      <c r="CH381" s="242">
        <f>IF(CE381&lt;=0,2,0)+IF(CE381&gt;0,CE381+1,0)*2+IF(CE381&gt;12,CE381-12,0)*2+IF(CE381&gt;13,CE381-13,0)*2+IF(CE381&gt;14,CE381-14,0)*2+IF(CE381&gt;15,CE381-15,0)*2+IF(CE381&gt;16,CE381-16,0)*2+IF(CE381&gt;17,CE381-17,0)*2+IF(CE381&gt;18,CE381-18,0)*2+IF(CE381&gt;19,CE381-19,0)*2+IF(CE381&gt;20,CE381-20,0)*2</f>
        <v>2</v>
      </c>
      <c r="CI381" s="243">
        <f t="shared" si="4203"/>
        <v>173.5384615384616</v>
      </c>
      <c r="CJ381" s="218">
        <f t="shared" si="4204"/>
        <v>0</v>
      </c>
      <c r="CL381" s="303" t="s">
        <v>232</v>
      </c>
      <c r="CM381" s="304" t="s">
        <v>227</v>
      </c>
      <c r="CN381" s="218" t="s">
        <v>132</v>
      </c>
      <c r="CO381" s="234">
        <f t="shared" si="4291"/>
        <v>12</v>
      </c>
      <c r="CP381" s="234"/>
      <c r="CQ381" s="234"/>
      <c r="CR381" s="234">
        <f>Konvention_1slave-CHslave</f>
        <v>12</v>
      </c>
      <c r="CS381" s="234"/>
      <c r="CT381" s="234"/>
      <c r="CU381" s="234">
        <f t="shared" si="4205"/>
        <v>12</v>
      </c>
      <c r="CV381" s="234"/>
      <c r="CW381" s="222">
        <f t="shared" si="4206"/>
        <v>12</v>
      </c>
      <c r="CX381" s="223">
        <f t="shared" si="4207"/>
        <v>24</v>
      </c>
      <c r="CY381" s="224">
        <f t="shared" si="4208"/>
        <v>36</v>
      </c>
      <c r="CZ381" s="234">
        <f t="shared" si="4209"/>
        <v>2304</v>
      </c>
      <c r="DA381" s="234">
        <f>CO381*CR381*KOslave+CO381*CHslave*CU381+MUslave*CR381*CU381</f>
        <v>3456</v>
      </c>
      <c r="DB381" s="234">
        <f t="shared" si="4210"/>
        <v>1728</v>
      </c>
      <c r="DC381" s="242">
        <f t="shared" si="4211"/>
        <v>7488</v>
      </c>
      <c r="DD381" s="223">
        <f t="shared" si="4212"/>
        <v>3.6923076923076925</v>
      </c>
      <c r="DE381" s="223">
        <f t="shared" si="4213"/>
        <v>11.076923076923077</v>
      </c>
      <c r="DF381" s="223">
        <f t="shared" si="4214"/>
        <v>8.3076923076923084</v>
      </c>
      <c r="DG381" s="218">
        <f t="shared" si="4215"/>
        <v>23.07692307692308</v>
      </c>
      <c r="DH381" s="252">
        <f t="shared" si="3970"/>
        <v>0</v>
      </c>
      <c r="DI381" s="309">
        <f t="shared" si="4216"/>
        <v>23.07692307692308</v>
      </c>
      <c r="DJ381" s="218">
        <f>IF(DG381&lt;=0,2,0)+IF(DG381&gt;0,DG381+1,0)*2+IF(DG381&gt;12,DG381-12,0)*2+IF(DG381&gt;13,DG381-13,0)*2+IF(DG381&gt;14,DG381-14,0)*2+IF(DG381&gt;15,DG381-15,0)*2+IF(DG381&gt;16,DG381-16,0)*2+IF(DG381&gt;17,DG381-17,0)*2+IF(DG381&gt;18,DG381-18,0)*2+IF(DG381&gt;19,DG381-19,0)*2+IF(DG381&gt;20,DG381-20,0)*2</f>
        <v>175.5384615384616</v>
      </c>
      <c r="DK381" s="242">
        <f>IF(DH381&lt;=0,2,0)+IF(DH381&gt;0,DH381+1,0)*2+IF(DH381&gt;12,DH381-12,0)*2+IF(DH381&gt;13,DH381-13,0)*2+IF(DH381&gt;14,DH381-14,0)*2+IF(DH381&gt;15,DH381-15,0)*2+IF(DH381&gt;16,DH381-16,0)*2+IF(DH381&gt;17,DH381-17,0)*2+IF(DH381&gt;18,DH381-18,0)*2+IF(DH381&gt;19,DH381-19,0)*2+IF(DH381&gt;20,DH381-20,0)*2</f>
        <v>2</v>
      </c>
      <c r="DL381" s="243">
        <f t="shared" si="4217"/>
        <v>173.5384615384616</v>
      </c>
      <c r="DM381" s="218">
        <f t="shared" si="4218"/>
        <v>0</v>
      </c>
      <c r="DO381" s="303" t="s">
        <v>232</v>
      </c>
      <c r="DP381" s="304" t="s">
        <v>227</v>
      </c>
      <c r="DQ381" s="218" t="s">
        <v>132</v>
      </c>
      <c r="DR381" s="234">
        <f t="shared" si="4292"/>
        <v>12</v>
      </c>
      <c r="DS381" s="234"/>
      <c r="DT381" s="234"/>
      <c r="DU381" s="234">
        <f>Konvention_1slave-CHslave_CH</f>
        <v>11</v>
      </c>
      <c r="DV381" s="234"/>
      <c r="DW381" s="234"/>
      <c r="DX381" s="234">
        <f t="shared" si="4219"/>
        <v>12</v>
      </c>
      <c r="DY381" s="234"/>
      <c r="DZ381" s="222">
        <f t="shared" si="4220"/>
        <v>11.666666666666666</v>
      </c>
      <c r="EA381" s="223">
        <f t="shared" si="4221"/>
        <v>23.333333333333332</v>
      </c>
      <c r="EB381" s="224">
        <f t="shared" si="4222"/>
        <v>35</v>
      </c>
      <c r="EC381" s="234">
        <f t="shared" si="4223"/>
        <v>2432</v>
      </c>
      <c r="ED381" s="234">
        <f>DR381*DU381*KOslave+DR381*CHslave_CH*DX381+MUslave*DU381*DX381</f>
        <v>3408</v>
      </c>
      <c r="EE381" s="234">
        <f t="shared" si="4224"/>
        <v>1584</v>
      </c>
      <c r="EF381" s="242">
        <f t="shared" si="4225"/>
        <v>7424</v>
      </c>
      <c r="EG381" s="223">
        <f t="shared" si="4226"/>
        <v>3.8218390804597702</v>
      </c>
      <c r="EH381" s="223">
        <f t="shared" si="4227"/>
        <v>10.711206896551724</v>
      </c>
      <c r="EI381" s="223">
        <f t="shared" si="4228"/>
        <v>7.4676724137931032</v>
      </c>
      <c r="EJ381" s="218">
        <f t="shared" si="4229"/>
        <v>22.000718390804597</v>
      </c>
      <c r="EK381" s="252">
        <f t="shared" si="3986"/>
        <v>0</v>
      </c>
      <c r="EL381" s="309">
        <f t="shared" si="4230"/>
        <v>22.000718390804597</v>
      </c>
      <c r="EM381" s="218">
        <f>IF(EJ381&lt;=0,2,0)+IF(EJ381&gt;0,EJ381+1,0)*2+IF(EJ381&gt;12,EJ381-12,0)*2+IF(EJ381&gt;13,EJ381-13,0)*2+IF(EJ381&gt;14,EJ381-14,0)*2+IF(EJ381&gt;15,EJ381-15,0)*2+IF(EJ381&gt;16,EJ381-16,0)*2+IF(EJ381&gt;17,EJ381-17,0)*2+IF(EJ381&gt;18,EJ381-18,0)*2+IF(EJ381&gt;19,EJ381-19,0)*2+IF(EJ381&gt;20,EJ381-20,0)*2</f>
        <v>154.01436781609189</v>
      </c>
      <c r="EN381" s="242">
        <f>IF(EK381&lt;=0,2,0)+IF(EK381&gt;0,EK381+1,0)*2+IF(EK381&gt;12,EK381-12,0)*2+IF(EK381&gt;13,EK381-13,0)*2+IF(EK381&gt;14,EK381-14,0)*2+IF(EK381&gt;15,EK381-15,0)*2+IF(EK381&gt;16,EK381-16,0)*2+IF(EK381&gt;17,EK381-17,0)*2+IF(EK381&gt;18,EK381-18,0)*2+IF(EK381&gt;19,EK381-19,0)*2+IF(EK381&gt;20,EK381-20,0)*2</f>
        <v>2</v>
      </c>
      <c r="EO381" s="243">
        <f t="shared" si="4231"/>
        <v>152.01436781609189</v>
      </c>
      <c r="EP381" s="218">
        <f t="shared" si="4232"/>
        <v>0</v>
      </c>
      <c r="ER381" s="303" t="s">
        <v>232</v>
      </c>
      <c r="ES381" s="304" t="s">
        <v>227</v>
      </c>
      <c r="ET381" s="218" t="s">
        <v>132</v>
      </c>
      <c r="EU381" s="234">
        <f t="shared" si="4293"/>
        <v>12</v>
      </c>
      <c r="EV381" s="234"/>
      <c r="EW381" s="234"/>
      <c r="EX381" s="234">
        <f>Konvention_1slave-CHslave</f>
        <v>12</v>
      </c>
      <c r="EY381" s="234"/>
      <c r="EZ381" s="234"/>
      <c r="FA381" s="234">
        <f t="shared" si="4233"/>
        <v>12</v>
      </c>
      <c r="FB381" s="234"/>
      <c r="FC381" s="222">
        <f t="shared" si="4234"/>
        <v>12</v>
      </c>
      <c r="FD381" s="223">
        <f t="shared" si="4235"/>
        <v>24</v>
      </c>
      <c r="FE381" s="224">
        <f t="shared" si="4236"/>
        <v>36</v>
      </c>
      <c r="FF381" s="234">
        <f t="shared" si="4237"/>
        <v>2304</v>
      </c>
      <c r="FG381" s="234">
        <f>EU381*EX381*KOslave+EU381*CHslave*FA381+MUslave*EX381*FA381</f>
        <v>3456</v>
      </c>
      <c r="FH381" s="234">
        <f t="shared" si="4238"/>
        <v>1728</v>
      </c>
      <c r="FI381" s="242">
        <f t="shared" si="4239"/>
        <v>7488</v>
      </c>
      <c r="FJ381" s="223">
        <f t="shared" si="4240"/>
        <v>3.6923076923076925</v>
      </c>
      <c r="FK381" s="223">
        <f t="shared" si="4241"/>
        <v>11.076923076923077</v>
      </c>
      <c r="FL381" s="223">
        <f t="shared" si="4242"/>
        <v>8.3076923076923084</v>
      </c>
      <c r="FM381" s="218">
        <f t="shared" si="4243"/>
        <v>23.07692307692308</v>
      </c>
      <c r="FN381" s="252">
        <f t="shared" si="4002"/>
        <v>0</v>
      </c>
      <c r="FO381" s="309">
        <f t="shared" si="4244"/>
        <v>23.07692307692308</v>
      </c>
      <c r="FP381" s="218">
        <f>IF(FM381&lt;=0,2,0)+IF(FM381&gt;0,FM381+1,0)*2+IF(FM381&gt;12,FM381-12,0)*2+IF(FM381&gt;13,FM381-13,0)*2+IF(FM381&gt;14,FM381-14,0)*2+IF(FM381&gt;15,FM381-15,0)*2+IF(FM381&gt;16,FM381-16,0)*2+IF(FM381&gt;17,FM381-17,0)*2+IF(FM381&gt;18,FM381-18,0)*2+IF(FM381&gt;19,FM381-19,0)*2+IF(FM381&gt;20,FM381-20,0)*2</f>
        <v>175.5384615384616</v>
      </c>
      <c r="FQ381" s="242">
        <f>IF(FN381&lt;=0,2,0)+IF(FN381&gt;0,FN381+1,0)*2+IF(FN381&gt;12,FN381-12,0)*2+IF(FN381&gt;13,FN381-13,0)*2+IF(FN381&gt;14,FN381-14,0)*2+IF(FN381&gt;15,FN381-15,0)*2+IF(FN381&gt;16,FN381-16,0)*2+IF(FN381&gt;17,FN381-17,0)*2+IF(FN381&gt;18,FN381-18,0)*2+IF(FN381&gt;19,FN381-19,0)*2+IF(FN381&gt;20,FN381-20,0)*2</f>
        <v>2</v>
      </c>
      <c r="FR381" s="243">
        <f t="shared" si="4245"/>
        <v>173.5384615384616</v>
      </c>
      <c r="FS381" s="218">
        <f t="shared" si="4246"/>
        <v>0</v>
      </c>
      <c r="FU381" s="303" t="s">
        <v>232</v>
      </c>
      <c r="FV381" s="304" t="s">
        <v>227</v>
      </c>
      <c r="FW381" s="218" t="s">
        <v>132</v>
      </c>
      <c r="FX381" s="234">
        <f t="shared" si="4294"/>
        <v>12</v>
      </c>
      <c r="FY381" s="234"/>
      <c r="FZ381" s="234"/>
      <c r="GA381" s="234">
        <f>Konvention_1slave-CHslave</f>
        <v>12</v>
      </c>
      <c r="GB381" s="234"/>
      <c r="GC381" s="234"/>
      <c r="GD381" s="234">
        <f t="shared" si="4247"/>
        <v>12</v>
      </c>
      <c r="GE381" s="234"/>
      <c r="GF381" s="222">
        <f t="shared" si="4248"/>
        <v>12</v>
      </c>
      <c r="GG381" s="223">
        <f t="shared" si="4249"/>
        <v>24</v>
      </c>
      <c r="GH381" s="224">
        <f t="shared" si="4250"/>
        <v>36</v>
      </c>
      <c r="GI381" s="234">
        <f t="shared" si="4251"/>
        <v>2304</v>
      </c>
      <c r="GJ381" s="234">
        <f>FX381*GA381*KOslave+FX381*CHslave*GD381+MUslave*GA381*GD381</f>
        <v>3456</v>
      </c>
      <c r="GK381" s="234">
        <f t="shared" si="4252"/>
        <v>1728</v>
      </c>
      <c r="GL381" s="242">
        <f t="shared" si="4253"/>
        <v>7488</v>
      </c>
      <c r="GM381" s="223">
        <f t="shared" si="4254"/>
        <v>3.6923076923076925</v>
      </c>
      <c r="GN381" s="223">
        <f t="shared" si="4255"/>
        <v>11.076923076923077</v>
      </c>
      <c r="GO381" s="223">
        <f t="shared" si="4256"/>
        <v>8.3076923076923084</v>
      </c>
      <c r="GP381" s="218">
        <f t="shared" si="4257"/>
        <v>23.07692307692308</v>
      </c>
      <c r="GQ381" s="252">
        <f t="shared" si="4018"/>
        <v>0</v>
      </c>
      <c r="GR381" s="309">
        <f t="shared" si="4258"/>
        <v>23.07692307692308</v>
      </c>
      <c r="GS381" s="218">
        <f>IF(GP381&lt;=0,2,0)+IF(GP381&gt;0,GP381+1,0)*2+IF(GP381&gt;12,GP381-12,0)*2+IF(GP381&gt;13,GP381-13,0)*2+IF(GP381&gt;14,GP381-14,0)*2+IF(GP381&gt;15,GP381-15,0)*2+IF(GP381&gt;16,GP381-16,0)*2+IF(GP381&gt;17,GP381-17,0)*2+IF(GP381&gt;18,GP381-18,0)*2+IF(GP381&gt;19,GP381-19,0)*2+IF(GP381&gt;20,GP381-20,0)*2</f>
        <v>175.5384615384616</v>
      </c>
      <c r="GT381" s="242">
        <f>IF(GQ381&lt;=0,2,0)+IF(GQ381&gt;0,GQ381+1,0)*2+IF(GQ381&gt;12,GQ381-12,0)*2+IF(GQ381&gt;13,GQ381-13,0)*2+IF(GQ381&gt;14,GQ381-14,0)*2+IF(GQ381&gt;15,GQ381-15,0)*2+IF(GQ381&gt;16,GQ381-16,0)*2+IF(GQ381&gt;17,GQ381-17,0)*2+IF(GQ381&gt;18,GQ381-18,0)*2+IF(GQ381&gt;19,GQ381-19,0)*2+IF(GQ381&gt;20,GQ381-20,0)*2</f>
        <v>2</v>
      </c>
      <c r="GU381" s="243">
        <f t="shared" si="4259"/>
        <v>173.5384615384616</v>
      </c>
      <c r="GV381" s="218">
        <f t="shared" si="4260"/>
        <v>0</v>
      </c>
      <c r="GX381" s="303" t="s">
        <v>232</v>
      </c>
      <c r="GY381" s="304" t="s">
        <v>227</v>
      </c>
      <c r="GZ381" s="218" t="s">
        <v>132</v>
      </c>
      <c r="HA381" s="234">
        <f t="shared" si="4295"/>
        <v>12</v>
      </c>
      <c r="HB381" s="234"/>
      <c r="HC381" s="234"/>
      <c r="HD381" s="234">
        <f>Konvention_1slave-CHslave</f>
        <v>12</v>
      </c>
      <c r="HE381" s="234"/>
      <c r="HF381" s="234"/>
      <c r="HG381" s="234">
        <f t="shared" si="4261"/>
        <v>11</v>
      </c>
      <c r="HH381" s="234"/>
      <c r="HI381" s="222">
        <f t="shared" si="4262"/>
        <v>11.666666666666666</v>
      </c>
      <c r="HJ381" s="223">
        <f t="shared" si="4263"/>
        <v>23.333333333333332</v>
      </c>
      <c r="HK381" s="224">
        <f t="shared" si="4264"/>
        <v>35</v>
      </c>
      <c r="HL381" s="234">
        <f t="shared" si="4265"/>
        <v>2432</v>
      </c>
      <c r="HM381" s="234">
        <f>HA381*HD381*KOslave_KO+HA381*CHslave*HG381+MUslave*HD381*HG381</f>
        <v>3408</v>
      </c>
      <c r="HN381" s="234">
        <f t="shared" si="4266"/>
        <v>1584</v>
      </c>
      <c r="HO381" s="242">
        <f t="shared" si="4267"/>
        <v>7424</v>
      </c>
      <c r="HP381" s="223">
        <f t="shared" si="4268"/>
        <v>3.8218390804597702</v>
      </c>
      <c r="HQ381" s="223">
        <f t="shared" si="4269"/>
        <v>10.711206896551724</v>
      </c>
      <c r="HR381" s="223">
        <f t="shared" si="4270"/>
        <v>7.4676724137931032</v>
      </c>
      <c r="HS381" s="218">
        <f t="shared" si="4271"/>
        <v>22.000718390804597</v>
      </c>
      <c r="HT381" s="252">
        <f t="shared" si="4034"/>
        <v>0</v>
      </c>
      <c r="HU381" s="309">
        <f t="shared" si="4272"/>
        <v>22.000718390804597</v>
      </c>
      <c r="HV381" s="218">
        <f>IF(HS381&lt;=0,2,0)+IF(HS381&gt;0,HS381+1,0)*2+IF(HS381&gt;12,HS381-12,0)*2+IF(HS381&gt;13,HS381-13,0)*2+IF(HS381&gt;14,HS381-14,0)*2+IF(HS381&gt;15,HS381-15,0)*2+IF(HS381&gt;16,HS381-16,0)*2+IF(HS381&gt;17,HS381-17,0)*2+IF(HS381&gt;18,HS381-18,0)*2+IF(HS381&gt;19,HS381-19,0)*2+IF(HS381&gt;20,HS381-20,0)*2</f>
        <v>154.01436781609189</v>
      </c>
      <c r="HW381" s="242">
        <f>IF(HT381&lt;=0,2,0)+IF(HT381&gt;0,HT381+1,0)*2+IF(HT381&gt;12,HT381-12,0)*2+IF(HT381&gt;13,HT381-13,0)*2+IF(HT381&gt;14,HT381-14,0)*2+IF(HT381&gt;15,HT381-15,0)*2+IF(HT381&gt;16,HT381-16,0)*2+IF(HT381&gt;17,HT381-17,0)*2+IF(HT381&gt;18,HT381-18,0)*2+IF(HT381&gt;19,HT381-19,0)*2+IF(HT381&gt;20,HT381-20,0)*2</f>
        <v>2</v>
      </c>
      <c r="HX381" s="243">
        <f t="shared" si="4273"/>
        <v>152.01436781609189</v>
      </c>
      <c r="HY381" s="218">
        <f t="shared" si="4274"/>
        <v>0</v>
      </c>
      <c r="IA381" s="303" t="s">
        <v>232</v>
      </c>
      <c r="IB381" s="304" t="s">
        <v>227</v>
      </c>
      <c r="IC381" s="218" t="s">
        <v>132</v>
      </c>
      <c r="ID381" s="234">
        <f t="shared" si="4296"/>
        <v>12</v>
      </c>
      <c r="IE381" s="234"/>
      <c r="IF381" s="234"/>
      <c r="IG381" s="234">
        <f>Konvention_1slave-CHslave</f>
        <v>12</v>
      </c>
      <c r="IH381" s="234"/>
      <c r="II381" s="234"/>
      <c r="IJ381" s="234">
        <f t="shared" si="4275"/>
        <v>12</v>
      </c>
      <c r="IK381" s="234"/>
      <c r="IL381" s="222">
        <f t="shared" si="4276"/>
        <v>12</v>
      </c>
      <c r="IM381" s="223">
        <f t="shared" si="4277"/>
        <v>24</v>
      </c>
      <c r="IN381" s="224">
        <f t="shared" si="4278"/>
        <v>36</v>
      </c>
      <c r="IO381" s="234">
        <f t="shared" si="4279"/>
        <v>2304</v>
      </c>
      <c r="IP381" s="234">
        <f>ID381*IG381*KOslave+ID381*CHslave*IJ381+MUslave*IG381*IJ381</f>
        <v>3456</v>
      </c>
      <c r="IQ381" s="234">
        <f t="shared" si="4280"/>
        <v>1728</v>
      </c>
      <c r="IR381" s="242">
        <f t="shared" si="4281"/>
        <v>7488</v>
      </c>
      <c r="IS381" s="223">
        <f t="shared" si="4282"/>
        <v>3.6923076923076925</v>
      </c>
      <c r="IT381" s="223">
        <f t="shared" si="4283"/>
        <v>11.076923076923077</v>
      </c>
      <c r="IU381" s="223">
        <f t="shared" si="4284"/>
        <v>8.3076923076923084</v>
      </c>
      <c r="IV381" s="218">
        <f t="shared" si="4285"/>
        <v>23.07692307692308</v>
      </c>
      <c r="IW381" s="252">
        <f t="shared" si="4050"/>
        <v>0</v>
      </c>
      <c r="IX381" s="309">
        <f t="shared" si="4286"/>
        <v>23.07692307692308</v>
      </c>
      <c r="IY381" s="218">
        <f>IF(IV381&lt;=0,2,0)+IF(IV381&gt;0,IV381+1,0)*2+IF(IV381&gt;12,IV381-12,0)*2+IF(IV381&gt;13,IV381-13,0)*2+IF(IV381&gt;14,IV381-14,0)*2+IF(IV381&gt;15,IV381-15,0)*2+IF(IV381&gt;16,IV381-16,0)*2+IF(IV381&gt;17,IV381-17,0)*2+IF(IV381&gt;18,IV381-18,0)*2+IF(IV381&gt;19,IV381-19,0)*2+IF(IV381&gt;20,IV381-20,0)*2</f>
        <v>175.5384615384616</v>
      </c>
      <c r="IZ381" s="242">
        <f>IF(IW381&lt;=0,2,0)+IF(IW381&gt;0,IW381+1,0)*2+IF(IW381&gt;12,IW381-12,0)*2+IF(IW381&gt;13,IW381-13,0)*2+IF(IW381&gt;14,IW381-14,0)*2+IF(IW381&gt;15,IW381-15,0)*2+IF(IW381&gt;16,IW381-16,0)*2+IF(IW381&gt;17,IW381-17,0)*2+IF(IW381&gt;18,IW381-18,0)*2+IF(IW381&gt;19,IW381-19,0)*2+IF(IW381&gt;20,IW381-20,0)*2</f>
        <v>2</v>
      </c>
      <c r="JA381" s="243">
        <f t="shared" si="4287"/>
        <v>173.5384615384616</v>
      </c>
      <c r="JB381" s="218">
        <f t="shared" si="4288"/>
        <v>0</v>
      </c>
      <c r="JE381" s="148"/>
    </row>
    <row r="382" spans="2:265" hidden="1" outlineLevel="2">
      <c r="B382" s="148">
        <v>7</v>
      </c>
      <c r="C382" s="303" t="e">
        <f>VLOOKUP(AF382,Attribute!C:T,1,FALSE)</f>
        <v>#N/A</v>
      </c>
      <c r="D382" s="86" t="s">
        <v>100</v>
      </c>
      <c r="E382" s="125" t="s">
        <v>133</v>
      </c>
      <c r="F382" s="113">
        <f t="shared" si="4289"/>
        <v>12</v>
      </c>
      <c r="G382" s="113"/>
      <c r="H382" s="113">
        <f>Konvention_1master-INmaster</f>
        <v>12</v>
      </c>
      <c r="I382" s="113"/>
      <c r="J382" s="113"/>
      <c r="K382" s="113"/>
      <c r="L382" s="113">
        <f t="shared" si="4162"/>
        <v>12</v>
      </c>
      <c r="M382" s="113"/>
      <c r="N382" s="222">
        <f t="shared" si="4163"/>
        <v>12</v>
      </c>
      <c r="O382" s="223">
        <f t="shared" si="4164"/>
        <v>24</v>
      </c>
      <c r="P382" s="224">
        <f t="shared" si="4165"/>
        <v>36</v>
      </c>
      <c r="Q382" s="234">
        <f t="shared" si="4166"/>
        <v>2304</v>
      </c>
      <c r="R382" s="113">
        <f>F382*H382*KOmaster+F382*INmaster*L382+MUmaster*H382*L382</f>
        <v>3456</v>
      </c>
      <c r="S382" s="234">
        <f t="shared" si="4167"/>
        <v>1728</v>
      </c>
      <c r="T382" s="242">
        <f t="shared" si="4168"/>
        <v>7488</v>
      </c>
      <c r="U382" s="223">
        <f t="shared" si="4169"/>
        <v>3.6923076923076925</v>
      </c>
      <c r="V382" s="223">
        <f t="shared" si="4170"/>
        <v>11.076923076923077</v>
      </c>
      <c r="W382" s="223">
        <f t="shared" si="4171"/>
        <v>8.3076923076923084</v>
      </c>
      <c r="X382" s="218">
        <f t="shared" si="4172"/>
        <v>23.07692307692308</v>
      </c>
      <c r="Y382" s="252">
        <v>0</v>
      </c>
      <c r="Z382" s="198">
        <f t="shared" si="4173"/>
        <v>23.07692307692308</v>
      </c>
      <c r="AA382" s="125">
        <f>IF(X382&lt;=0,1,0)+IF(X382&gt;0,X382+1,0)*1+IF(X382&gt;12,X382-12,0)*1+IF(X382&gt;13,X382-13,0)*1+IF(X382&gt;14,X382-14,0)*1+IF(X382&gt;15,X382-15,0)*1+IF(X382&gt;16,X382-16,0)*1+IF(X382&gt;17,X382-17,0)*1+IF(X382&gt;18,X382-18,0)*1+IF(X382&gt;19,X382-19,0)*1+IF(X382&gt;20,X382-20,0)*1</f>
        <v>87.769230769230802</v>
      </c>
      <c r="AB382" s="160">
        <f>IF(Y382&lt;=0,1,0)+IF(Y382&gt;0,Y382+1,0)*1+IF(Y382&gt;12,Y382-12,0)*1+IF(Y382&gt;13,Y382-13,0)*1+IF(Y382&gt;14,Y382-14,0)*1+IF(Y382&gt;15,Y382-15,0)*1+IF(Y382&gt;16,Y382-16,0)*1+IF(Y382&gt;17,Y382-17,0)*1+IF(Y382&gt;18,Y382-18,0)*1+IF(Y382&gt;19,Y382-19,0)*1+IF(Y382&gt;20,Y382-20,0)*1</f>
        <v>1</v>
      </c>
      <c r="AC382" s="127">
        <f t="shared" si="4174"/>
        <v>86.769230769230802</v>
      </c>
      <c r="AD382" s="125">
        <f t="shared" si="4175"/>
        <v>0</v>
      </c>
      <c r="AF382" s="163" t="s">
        <v>431</v>
      </c>
      <c r="AG382" s="86" t="s">
        <v>100</v>
      </c>
      <c r="AH382" s="125" t="s">
        <v>133</v>
      </c>
      <c r="AI382" s="113">
        <f t="shared" si="4176"/>
        <v>11</v>
      </c>
      <c r="AJ382" s="113"/>
      <c r="AK382" s="113">
        <f>Konvention_1slave-INslave</f>
        <v>12</v>
      </c>
      <c r="AL382" s="113"/>
      <c r="AM382" s="113"/>
      <c r="AN382" s="113"/>
      <c r="AO382" s="113">
        <f t="shared" si="4177"/>
        <v>12</v>
      </c>
      <c r="AP382" s="113"/>
      <c r="AQ382" s="89">
        <f t="shared" si="4178"/>
        <v>11.666666666666666</v>
      </c>
      <c r="AR382" s="47">
        <f t="shared" si="4179"/>
        <v>23.333333333333332</v>
      </c>
      <c r="AS382" s="119">
        <f t="shared" si="4180"/>
        <v>35</v>
      </c>
      <c r="AT382" s="113">
        <f t="shared" si="4181"/>
        <v>2432</v>
      </c>
      <c r="AU382" s="113">
        <f>AI382*AK382*KOslave+AI382*INslave*AO382+MUslave_MU*AK382*AO382</f>
        <v>3408</v>
      </c>
      <c r="AV382" s="113">
        <f t="shared" si="4182"/>
        <v>1584</v>
      </c>
      <c r="AW382" s="160">
        <f t="shared" si="4183"/>
        <v>7424</v>
      </c>
      <c r="AX382" s="47">
        <f t="shared" si="4184"/>
        <v>3.8218390804597702</v>
      </c>
      <c r="AY382" s="47">
        <f t="shared" si="4185"/>
        <v>10.711206896551724</v>
      </c>
      <c r="AZ382" s="47">
        <f t="shared" si="4186"/>
        <v>7.4676724137931032</v>
      </c>
      <c r="BA382" s="125">
        <f t="shared" si="4187"/>
        <v>22.000718390804597</v>
      </c>
      <c r="BB382" s="165">
        <f t="shared" si="3938"/>
        <v>0</v>
      </c>
      <c r="BC382" s="198">
        <f t="shared" si="4188"/>
        <v>22.000718390804597</v>
      </c>
      <c r="BD382" s="125">
        <f>IF(BA382&lt;=0,1,0)+IF(BA382&gt;0,BA382+1,0)*1+IF(BA382&gt;12,BA382-12,0)*1+IF(BA382&gt;13,BA382-13,0)*1+IF(BA382&gt;14,BA382-14,0)*1+IF(BA382&gt;15,BA382-15,0)*1+IF(BA382&gt;16,BA382-16,0)*1+IF(BA382&gt;17,BA382-17,0)*1+IF(BA382&gt;18,BA382-18,0)*1+IF(BA382&gt;19,BA382-19,0)*1+IF(BA382&gt;20,BA382-20,0)*1</f>
        <v>77.007183908045945</v>
      </c>
      <c r="BE382" s="160">
        <f>IF(BB382&lt;=0,1,0)+IF(BB382&gt;0,BB382+1,0)*1+IF(BB382&gt;12,BB382-12,0)*1+IF(BB382&gt;13,BB382-13,0)*1+IF(BB382&gt;14,BB382-14,0)*1+IF(BB382&gt;15,BB382-15,0)*1+IF(BB382&gt;16,BB382-16,0)*1+IF(BB382&gt;17,BB382-17,0)*1+IF(BB382&gt;18,BB382-18,0)*1+IF(BB382&gt;19,BB382-19,0)*1+IF(BB382&gt;20,BB382-20,0)*1</f>
        <v>1</v>
      </c>
      <c r="BF382" s="243">
        <f t="shared" si="4189"/>
        <v>76.007183908045945</v>
      </c>
      <c r="BG382" s="218">
        <f t="shared" si="4190"/>
        <v>0</v>
      </c>
      <c r="BI382" s="303" t="s">
        <v>431</v>
      </c>
      <c r="BJ382" s="304" t="s">
        <v>100</v>
      </c>
      <c r="BK382" s="218" t="s">
        <v>133</v>
      </c>
      <c r="BL382" s="234">
        <f t="shared" si="4290"/>
        <v>12</v>
      </c>
      <c r="BM382" s="234"/>
      <c r="BN382" s="234">
        <f>Konvention_1slave-INslave</f>
        <v>12</v>
      </c>
      <c r="BO382" s="234"/>
      <c r="BP382" s="234"/>
      <c r="BQ382" s="234"/>
      <c r="BR382" s="234">
        <f t="shared" si="4191"/>
        <v>12</v>
      </c>
      <c r="BS382" s="234"/>
      <c r="BT382" s="222">
        <f t="shared" si="4192"/>
        <v>12</v>
      </c>
      <c r="BU382" s="223">
        <f t="shared" si="4193"/>
        <v>24</v>
      </c>
      <c r="BV382" s="224">
        <f t="shared" si="4194"/>
        <v>36</v>
      </c>
      <c r="BW382" s="234">
        <f t="shared" si="4195"/>
        <v>2304</v>
      </c>
      <c r="BX382" s="234">
        <f>BL382*BN382*KOslave+BL382*INslave*BR382+MUslave*BN382*BR382</f>
        <v>3456</v>
      </c>
      <c r="BY382" s="234">
        <f t="shared" si="4196"/>
        <v>1728</v>
      </c>
      <c r="BZ382" s="242">
        <f t="shared" si="4197"/>
        <v>7488</v>
      </c>
      <c r="CA382" s="223">
        <f t="shared" si="4198"/>
        <v>3.6923076923076925</v>
      </c>
      <c r="CB382" s="223">
        <f t="shared" si="4199"/>
        <v>11.076923076923077</v>
      </c>
      <c r="CC382" s="223">
        <f t="shared" si="4200"/>
        <v>8.3076923076923084</v>
      </c>
      <c r="CD382" s="218">
        <f t="shared" si="4201"/>
        <v>23.07692307692308</v>
      </c>
      <c r="CE382" s="252">
        <f t="shared" si="3954"/>
        <v>0</v>
      </c>
      <c r="CF382" s="309">
        <f t="shared" si="4202"/>
        <v>23.07692307692308</v>
      </c>
      <c r="CG382" s="218">
        <f>IF(CD382&lt;=0,1,0)+IF(CD382&gt;0,CD382+1,0)*1+IF(CD382&gt;12,CD382-12,0)*1+IF(CD382&gt;13,CD382-13,0)*1+IF(CD382&gt;14,CD382-14,0)*1+IF(CD382&gt;15,CD382-15,0)*1+IF(CD382&gt;16,CD382-16,0)*1+IF(CD382&gt;17,CD382-17,0)*1+IF(CD382&gt;18,CD382-18,0)*1+IF(CD382&gt;19,CD382-19,0)*1+IF(CD382&gt;20,CD382-20,0)*1</f>
        <v>87.769230769230802</v>
      </c>
      <c r="CH382" s="242">
        <f>IF(CE382&lt;=0,1,0)+IF(CE382&gt;0,CE382+1,0)*1+IF(CE382&gt;12,CE382-12,0)*1+IF(CE382&gt;13,CE382-13,0)*1+IF(CE382&gt;14,CE382-14,0)*1+IF(CE382&gt;15,CE382-15,0)*1+IF(CE382&gt;16,CE382-16,0)*1+IF(CE382&gt;17,CE382-17,0)*1+IF(CE382&gt;18,CE382-18,0)*1+IF(CE382&gt;19,CE382-19,0)*1+IF(CE382&gt;20,CE382-20,0)*1</f>
        <v>1</v>
      </c>
      <c r="CI382" s="243">
        <f t="shared" si="4203"/>
        <v>86.769230769230802</v>
      </c>
      <c r="CJ382" s="218">
        <f t="shared" si="4204"/>
        <v>0</v>
      </c>
      <c r="CL382" s="303" t="s">
        <v>431</v>
      </c>
      <c r="CM382" s="304" t="s">
        <v>100</v>
      </c>
      <c r="CN382" s="218" t="s">
        <v>133</v>
      </c>
      <c r="CO382" s="234">
        <f t="shared" si="4291"/>
        <v>12</v>
      </c>
      <c r="CP382" s="234"/>
      <c r="CQ382" s="234">
        <f>Konvention_1slave-INslave_IN</f>
        <v>11</v>
      </c>
      <c r="CR382" s="234"/>
      <c r="CS382" s="234"/>
      <c r="CT382" s="234"/>
      <c r="CU382" s="234">
        <f t="shared" si="4205"/>
        <v>12</v>
      </c>
      <c r="CV382" s="234"/>
      <c r="CW382" s="222">
        <f t="shared" si="4206"/>
        <v>11.666666666666666</v>
      </c>
      <c r="CX382" s="223">
        <f t="shared" si="4207"/>
        <v>23.333333333333332</v>
      </c>
      <c r="CY382" s="224">
        <f t="shared" si="4208"/>
        <v>35</v>
      </c>
      <c r="CZ382" s="234">
        <f t="shared" si="4209"/>
        <v>2432</v>
      </c>
      <c r="DA382" s="234">
        <f>CO382*CQ382*KOslave+CO382*INslave_IN*CU382+MUslave*CQ382*CU382</f>
        <v>3408</v>
      </c>
      <c r="DB382" s="234">
        <f t="shared" si="4210"/>
        <v>1584</v>
      </c>
      <c r="DC382" s="242">
        <f t="shared" si="4211"/>
        <v>7424</v>
      </c>
      <c r="DD382" s="223">
        <f t="shared" si="4212"/>
        <v>3.8218390804597702</v>
      </c>
      <c r="DE382" s="223">
        <f t="shared" si="4213"/>
        <v>10.711206896551724</v>
      </c>
      <c r="DF382" s="223">
        <f t="shared" si="4214"/>
        <v>7.4676724137931032</v>
      </c>
      <c r="DG382" s="218">
        <f t="shared" si="4215"/>
        <v>22.000718390804597</v>
      </c>
      <c r="DH382" s="252">
        <f t="shared" si="3970"/>
        <v>0</v>
      </c>
      <c r="DI382" s="309">
        <f t="shared" si="4216"/>
        <v>22.000718390804597</v>
      </c>
      <c r="DJ382" s="218">
        <f>IF(DG382&lt;=0,1,0)+IF(DG382&gt;0,DG382+1,0)*1+IF(DG382&gt;12,DG382-12,0)*1+IF(DG382&gt;13,DG382-13,0)*1+IF(DG382&gt;14,DG382-14,0)*1+IF(DG382&gt;15,DG382-15,0)*1+IF(DG382&gt;16,DG382-16,0)*1+IF(DG382&gt;17,DG382-17,0)*1+IF(DG382&gt;18,DG382-18,0)*1+IF(DG382&gt;19,DG382-19,0)*1+IF(DG382&gt;20,DG382-20,0)*1</f>
        <v>77.007183908045945</v>
      </c>
      <c r="DK382" s="242">
        <f>IF(DH382&lt;=0,1,0)+IF(DH382&gt;0,DH382+1,0)*1+IF(DH382&gt;12,DH382-12,0)*1+IF(DH382&gt;13,DH382-13,0)*1+IF(DH382&gt;14,DH382-14,0)*1+IF(DH382&gt;15,DH382-15,0)*1+IF(DH382&gt;16,DH382-16,0)*1+IF(DH382&gt;17,DH382-17,0)*1+IF(DH382&gt;18,DH382-18,0)*1+IF(DH382&gt;19,DH382-19,0)*1+IF(DH382&gt;20,DH382-20,0)*1</f>
        <v>1</v>
      </c>
      <c r="DL382" s="243">
        <f t="shared" si="4217"/>
        <v>76.007183908045945</v>
      </c>
      <c r="DM382" s="218">
        <f t="shared" si="4218"/>
        <v>0</v>
      </c>
      <c r="DO382" s="303" t="s">
        <v>431</v>
      </c>
      <c r="DP382" s="304" t="s">
        <v>100</v>
      </c>
      <c r="DQ382" s="218" t="s">
        <v>133</v>
      </c>
      <c r="DR382" s="234">
        <f t="shared" si="4292"/>
        <v>12</v>
      </c>
      <c r="DS382" s="234"/>
      <c r="DT382" s="234">
        <f>Konvention_1slave-INslave</f>
        <v>12</v>
      </c>
      <c r="DU382" s="234"/>
      <c r="DV382" s="234"/>
      <c r="DW382" s="234"/>
      <c r="DX382" s="234">
        <f t="shared" si="4219"/>
        <v>12</v>
      </c>
      <c r="DY382" s="234"/>
      <c r="DZ382" s="222">
        <f t="shared" si="4220"/>
        <v>12</v>
      </c>
      <c r="EA382" s="223">
        <f t="shared" si="4221"/>
        <v>24</v>
      </c>
      <c r="EB382" s="224">
        <f t="shared" si="4222"/>
        <v>36</v>
      </c>
      <c r="EC382" s="234">
        <f t="shared" si="4223"/>
        <v>2304</v>
      </c>
      <c r="ED382" s="234">
        <f>DR382*DT382*KOslave+DR382*INslave*DX382+MUslave*DT382*DX382</f>
        <v>3456</v>
      </c>
      <c r="EE382" s="234">
        <f t="shared" si="4224"/>
        <v>1728</v>
      </c>
      <c r="EF382" s="242">
        <f t="shared" si="4225"/>
        <v>7488</v>
      </c>
      <c r="EG382" s="223">
        <f t="shared" si="4226"/>
        <v>3.6923076923076925</v>
      </c>
      <c r="EH382" s="223">
        <f t="shared" si="4227"/>
        <v>11.076923076923077</v>
      </c>
      <c r="EI382" s="223">
        <f t="shared" si="4228"/>
        <v>8.3076923076923084</v>
      </c>
      <c r="EJ382" s="218">
        <f t="shared" si="4229"/>
        <v>23.07692307692308</v>
      </c>
      <c r="EK382" s="252">
        <f t="shared" si="3986"/>
        <v>0</v>
      </c>
      <c r="EL382" s="309">
        <f t="shared" si="4230"/>
        <v>23.07692307692308</v>
      </c>
      <c r="EM382" s="218">
        <f>IF(EJ382&lt;=0,1,0)+IF(EJ382&gt;0,EJ382+1,0)*1+IF(EJ382&gt;12,EJ382-12,0)*1+IF(EJ382&gt;13,EJ382-13,0)*1+IF(EJ382&gt;14,EJ382-14,0)*1+IF(EJ382&gt;15,EJ382-15,0)*1+IF(EJ382&gt;16,EJ382-16,0)*1+IF(EJ382&gt;17,EJ382-17,0)*1+IF(EJ382&gt;18,EJ382-18,0)*1+IF(EJ382&gt;19,EJ382-19,0)*1+IF(EJ382&gt;20,EJ382-20,0)*1</f>
        <v>87.769230769230802</v>
      </c>
      <c r="EN382" s="242">
        <f>IF(EK382&lt;=0,1,0)+IF(EK382&gt;0,EK382+1,0)*1+IF(EK382&gt;12,EK382-12,0)*1+IF(EK382&gt;13,EK382-13,0)*1+IF(EK382&gt;14,EK382-14,0)*1+IF(EK382&gt;15,EK382-15,0)*1+IF(EK382&gt;16,EK382-16,0)*1+IF(EK382&gt;17,EK382-17,0)*1+IF(EK382&gt;18,EK382-18,0)*1+IF(EK382&gt;19,EK382-19,0)*1+IF(EK382&gt;20,EK382-20,0)*1</f>
        <v>1</v>
      </c>
      <c r="EO382" s="243">
        <f t="shared" si="4231"/>
        <v>86.769230769230802</v>
      </c>
      <c r="EP382" s="218">
        <f t="shared" si="4232"/>
        <v>0</v>
      </c>
      <c r="ER382" s="303" t="s">
        <v>431</v>
      </c>
      <c r="ES382" s="304" t="s">
        <v>100</v>
      </c>
      <c r="ET382" s="218" t="s">
        <v>133</v>
      </c>
      <c r="EU382" s="234">
        <f t="shared" si="4293"/>
        <v>12</v>
      </c>
      <c r="EV382" s="234"/>
      <c r="EW382" s="234">
        <f>Konvention_1slave-INslave</f>
        <v>12</v>
      </c>
      <c r="EX382" s="234"/>
      <c r="EY382" s="234"/>
      <c r="EZ382" s="234"/>
      <c r="FA382" s="234">
        <f t="shared" si="4233"/>
        <v>12</v>
      </c>
      <c r="FB382" s="234"/>
      <c r="FC382" s="222">
        <f t="shared" si="4234"/>
        <v>12</v>
      </c>
      <c r="FD382" s="223">
        <f t="shared" si="4235"/>
        <v>24</v>
      </c>
      <c r="FE382" s="224">
        <f t="shared" si="4236"/>
        <v>36</v>
      </c>
      <c r="FF382" s="234">
        <f t="shared" si="4237"/>
        <v>2304</v>
      </c>
      <c r="FG382" s="234">
        <f>EU382*EW382*KOslave+EU382*INslave*FA382+MUslave*EW382*FA382</f>
        <v>3456</v>
      </c>
      <c r="FH382" s="234">
        <f t="shared" si="4238"/>
        <v>1728</v>
      </c>
      <c r="FI382" s="242">
        <f t="shared" si="4239"/>
        <v>7488</v>
      </c>
      <c r="FJ382" s="223">
        <f t="shared" si="4240"/>
        <v>3.6923076923076925</v>
      </c>
      <c r="FK382" s="223">
        <f t="shared" si="4241"/>
        <v>11.076923076923077</v>
      </c>
      <c r="FL382" s="223">
        <f t="shared" si="4242"/>
        <v>8.3076923076923084</v>
      </c>
      <c r="FM382" s="218">
        <f t="shared" si="4243"/>
        <v>23.07692307692308</v>
      </c>
      <c r="FN382" s="252">
        <f t="shared" si="4002"/>
        <v>0</v>
      </c>
      <c r="FO382" s="309">
        <f t="shared" si="4244"/>
        <v>23.07692307692308</v>
      </c>
      <c r="FP382" s="218">
        <f>IF(FM382&lt;=0,1,0)+IF(FM382&gt;0,FM382+1,0)*1+IF(FM382&gt;12,FM382-12,0)*1+IF(FM382&gt;13,FM382-13,0)*1+IF(FM382&gt;14,FM382-14,0)*1+IF(FM382&gt;15,FM382-15,0)*1+IF(FM382&gt;16,FM382-16,0)*1+IF(FM382&gt;17,FM382-17,0)*1+IF(FM382&gt;18,FM382-18,0)*1+IF(FM382&gt;19,FM382-19,0)*1+IF(FM382&gt;20,FM382-20,0)*1</f>
        <v>87.769230769230802</v>
      </c>
      <c r="FQ382" s="242">
        <f>IF(FN382&lt;=0,1,0)+IF(FN382&gt;0,FN382+1,0)*1+IF(FN382&gt;12,FN382-12,0)*1+IF(FN382&gt;13,FN382-13,0)*1+IF(FN382&gt;14,FN382-14,0)*1+IF(FN382&gt;15,FN382-15,0)*1+IF(FN382&gt;16,FN382-16,0)*1+IF(FN382&gt;17,FN382-17,0)*1+IF(FN382&gt;18,FN382-18,0)*1+IF(FN382&gt;19,FN382-19,0)*1+IF(FN382&gt;20,FN382-20,0)*1</f>
        <v>1</v>
      </c>
      <c r="FR382" s="243">
        <f t="shared" si="4245"/>
        <v>86.769230769230802</v>
      </c>
      <c r="FS382" s="218">
        <f t="shared" si="4246"/>
        <v>0</v>
      </c>
      <c r="FU382" s="303" t="s">
        <v>431</v>
      </c>
      <c r="FV382" s="304" t="s">
        <v>100</v>
      </c>
      <c r="FW382" s="218" t="s">
        <v>133</v>
      </c>
      <c r="FX382" s="234">
        <f t="shared" si="4294"/>
        <v>12</v>
      </c>
      <c r="FY382" s="234"/>
      <c r="FZ382" s="234">
        <f>Konvention_1slave-INslave</f>
        <v>12</v>
      </c>
      <c r="GA382" s="234"/>
      <c r="GB382" s="234"/>
      <c r="GC382" s="234"/>
      <c r="GD382" s="234">
        <f t="shared" si="4247"/>
        <v>12</v>
      </c>
      <c r="GE382" s="234"/>
      <c r="GF382" s="222">
        <f t="shared" si="4248"/>
        <v>12</v>
      </c>
      <c r="GG382" s="223">
        <f t="shared" si="4249"/>
        <v>24</v>
      </c>
      <c r="GH382" s="224">
        <f t="shared" si="4250"/>
        <v>36</v>
      </c>
      <c r="GI382" s="234">
        <f t="shared" si="4251"/>
        <v>2304</v>
      </c>
      <c r="GJ382" s="234">
        <f>FX382*FZ382*KOslave+FX382*INslave*GD382+MUslave*FZ382*GD382</f>
        <v>3456</v>
      </c>
      <c r="GK382" s="234">
        <f t="shared" si="4252"/>
        <v>1728</v>
      </c>
      <c r="GL382" s="242">
        <f t="shared" si="4253"/>
        <v>7488</v>
      </c>
      <c r="GM382" s="223">
        <f t="shared" si="4254"/>
        <v>3.6923076923076925</v>
      </c>
      <c r="GN382" s="223">
        <f t="shared" si="4255"/>
        <v>11.076923076923077</v>
      </c>
      <c r="GO382" s="223">
        <f t="shared" si="4256"/>
        <v>8.3076923076923084</v>
      </c>
      <c r="GP382" s="218">
        <f t="shared" si="4257"/>
        <v>23.07692307692308</v>
      </c>
      <c r="GQ382" s="252">
        <f t="shared" si="4018"/>
        <v>0</v>
      </c>
      <c r="GR382" s="309">
        <f t="shared" si="4258"/>
        <v>23.07692307692308</v>
      </c>
      <c r="GS382" s="218">
        <f>IF(GP382&lt;=0,1,0)+IF(GP382&gt;0,GP382+1,0)*1+IF(GP382&gt;12,GP382-12,0)*1+IF(GP382&gt;13,GP382-13,0)*1+IF(GP382&gt;14,GP382-14,0)*1+IF(GP382&gt;15,GP382-15,0)*1+IF(GP382&gt;16,GP382-16,0)*1+IF(GP382&gt;17,GP382-17,0)*1+IF(GP382&gt;18,GP382-18,0)*1+IF(GP382&gt;19,GP382-19,0)*1+IF(GP382&gt;20,GP382-20,0)*1</f>
        <v>87.769230769230802</v>
      </c>
      <c r="GT382" s="242">
        <f>IF(GQ382&lt;=0,1,0)+IF(GQ382&gt;0,GQ382+1,0)*1+IF(GQ382&gt;12,GQ382-12,0)*1+IF(GQ382&gt;13,GQ382-13,0)*1+IF(GQ382&gt;14,GQ382-14,0)*1+IF(GQ382&gt;15,GQ382-15,0)*1+IF(GQ382&gt;16,GQ382-16,0)*1+IF(GQ382&gt;17,GQ382-17,0)*1+IF(GQ382&gt;18,GQ382-18,0)*1+IF(GQ382&gt;19,GQ382-19,0)*1+IF(GQ382&gt;20,GQ382-20,0)*1</f>
        <v>1</v>
      </c>
      <c r="GU382" s="243">
        <f t="shared" si="4259"/>
        <v>86.769230769230802</v>
      </c>
      <c r="GV382" s="218">
        <f t="shared" si="4260"/>
        <v>0</v>
      </c>
      <c r="GX382" s="303" t="s">
        <v>431</v>
      </c>
      <c r="GY382" s="304" t="s">
        <v>100</v>
      </c>
      <c r="GZ382" s="218" t="s">
        <v>133</v>
      </c>
      <c r="HA382" s="234">
        <f t="shared" si="4295"/>
        <v>12</v>
      </c>
      <c r="HB382" s="234"/>
      <c r="HC382" s="234">
        <f>Konvention_1slave-INslave</f>
        <v>12</v>
      </c>
      <c r="HD382" s="234"/>
      <c r="HE382" s="234"/>
      <c r="HF382" s="234"/>
      <c r="HG382" s="234">
        <f t="shared" si="4261"/>
        <v>11</v>
      </c>
      <c r="HH382" s="234"/>
      <c r="HI382" s="222">
        <f t="shared" si="4262"/>
        <v>11.666666666666666</v>
      </c>
      <c r="HJ382" s="223">
        <f t="shared" si="4263"/>
        <v>23.333333333333332</v>
      </c>
      <c r="HK382" s="224">
        <f t="shared" si="4264"/>
        <v>35</v>
      </c>
      <c r="HL382" s="234">
        <f t="shared" si="4265"/>
        <v>2432</v>
      </c>
      <c r="HM382" s="234">
        <f>HA382*HC382*KOslave_KO+HA382*INslave*HG382+MUslave*HC382*HG382</f>
        <v>3408</v>
      </c>
      <c r="HN382" s="234">
        <f t="shared" si="4266"/>
        <v>1584</v>
      </c>
      <c r="HO382" s="242">
        <f t="shared" si="4267"/>
        <v>7424</v>
      </c>
      <c r="HP382" s="223">
        <f t="shared" si="4268"/>
        <v>3.8218390804597702</v>
      </c>
      <c r="HQ382" s="223">
        <f t="shared" si="4269"/>
        <v>10.711206896551724</v>
      </c>
      <c r="HR382" s="223">
        <f t="shared" si="4270"/>
        <v>7.4676724137931032</v>
      </c>
      <c r="HS382" s="218">
        <f t="shared" si="4271"/>
        <v>22.000718390804597</v>
      </c>
      <c r="HT382" s="252">
        <f t="shared" si="4034"/>
        <v>0</v>
      </c>
      <c r="HU382" s="309">
        <f t="shared" si="4272"/>
        <v>22.000718390804597</v>
      </c>
      <c r="HV382" s="218">
        <f>IF(HS382&lt;=0,1,0)+IF(HS382&gt;0,HS382+1,0)*1+IF(HS382&gt;12,HS382-12,0)*1+IF(HS382&gt;13,HS382-13,0)*1+IF(HS382&gt;14,HS382-14,0)*1+IF(HS382&gt;15,HS382-15,0)*1+IF(HS382&gt;16,HS382-16,0)*1+IF(HS382&gt;17,HS382-17,0)*1+IF(HS382&gt;18,HS382-18,0)*1+IF(HS382&gt;19,HS382-19,0)*1+IF(HS382&gt;20,HS382-20,0)*1</f>
        <v>77.007183908045945</v>
      </c>
      <c r="HW382" s="242">
        <f>IF(HT382&lt;=0,1,0)+IF(HT382&gt;0,HT382+1,0)*1+IF(HT382&gt;12,HT382-12,0)*1+IF(HT382&gt;13,HT382-13,0)*1+IF(HT382&gt;14,HT382-14,0)*1+IF(HT382&gt;15,HT382-15,0)*1+IF(HT382&gt;16,HT382-16,0)*1+IF(HT382&gt;17,HT382-17,0)*1+IF(HT382&gt;18,HT382-18,0)*1+IF(HT382&gt;19,HT382-19,0)*1+IF(HT382&gt;20,HT382-20,0)*1</f>
        <v>1</v>
      </c>
      <c r="HX382" s="243">
        <f t="shared" si="4273"/>
        <v>76.007183908045945</v>
      </c>
      <c r="HY382" s="218">
        <f t="shared" si="4274"/>
        <v>0</v>
      </c>
      <c r="IA382" s="303" t="s">
        <v>431</v>
      </c>
      <c r="IB382" s="304" t="s">
        <v>100</v>
      </c>
      <c r="IC382" s="218" t="s">
        <v>133</v>
      </c>
      <c r="ID382" s="234">
        <f t="shared" si="4296"/>
        <v>12</v>
      </c>
      <c r="IE382" s="234"/>
      <c r="IF382" s="234">
        <f>Konvention_1slave-INslave</f>
        <v>12</v>
      </c>
      <c r="IG382" s="234"/>
      <c r="IH382" s="234"/>
      <c r="II382" s="234"/>
      <c r="IJ382" s="234">
        <f t="shared" si="4275"/>
        <v>12</v>
      </c>
      <c r="IK382" s="234"/>
      <c r="IL382" s="222">
        <f t="shared" si="4276"/>
        <v>12</v>
      </c>
      <c r="IM382" s="223">
        <f t="shared" si="4277"/>
        <v>24</v>
      </c>
      <c r="IN382" s="224">
        <f t="shared" si="4278"/>
        <v>36</v>
      </c>
      <c r="IO382" s="234">
        <f t="shared" si="4279"/>
        <v>2304</v>
      </c>
      <c r="IP382" s="234">
        <f>ID382*IF382*KOslave+ID382*INslave*IJ382+MUslave*IF382*IJ382</f>
        <v>3456</v>
      </c>
      <c r="IQ382" s="234">
        <f t="shared" si="4280"/>
        <v>1728</v>
      </c>
      <c r="IR382" s="242">
        <f t="shared" si="4281"/>
        <v>7488</v>
      </c>
      <c r="IS382" s="223">
        <f t="shared" si="4282"/>
        <v>3.6923076923076925</v>
      </c>
      <c r="IT382" s="223">
        <f t="shared" si="4283"/>
        <v>11.076923076923077</v>
      </c>
      <c r="IU382" s="223">
        <f t="shared" si="4284"/>
        <v>8.3076923076923084</v>
      </c>
      <c r="IV382" s="218">
        <f t="shared" si="4285"/>
        <v>23.07692307692308</v>
      </c>
      <c r="IW382" s="252">
        <f t="shared" si="4050"/>
        <v>0</v>
      </c>
      <c r="IX382" s="309">
        <f t="shared" si="4286"/>
        <v>23.07692307692308</v>
      </c>
      <c r="IY382" s="218">
        <f>IF(IV382&lt;=0,1,0)+IF(IV382&gt;0,IV382+1,0)*1+IF(IV382&gt;12,IV382-12,0)*1+IF(IV382&gt;13,IV382-13,0)*1+IF(IV382&gt;14,IV382-14,0)*1+IF(IV382&gt;15,IV382-15,0)*1+IF(IV382&gt;16,IV382-16,0)*1+IF(IV382&gt;17,IV382-17,0)*1+IF(IV382&gt;18,IV382-18,0)*1+IF(IV382&gt;19,IV382-19,0)*1+IF(IV382&gt;20,IV382-20,0)*1</f>
        <v>87.769230769230802</v>
      </c>
      <c r="IZ382" s="242">
        <f>IF(IW382&lt;=0,1,0)+IF(IW382&gt;0,IW382+1,0)*1+IF(IW382&gt;12,IW382-12,0)*1+IF(IW382&gt;13,IW382-13,0)*1+IF(IW382&gt;14,IW382-14,0)*1+IF(IW382&gt;15,IW382-15,0)*1+IF(IW382&gt;16,IW382-16,0)*1+IF(IW382&gt;17,IW382-17,0)*1+IF(IW382&gt;18,IW382-18,0)*1+IF(IW382&gt;19,IW382-19,0)*1+IF(IW382&gt;20,IW382-20,0)*1</f>
        <v>1</v>
      </c>
      <c r="JA382" s="243">
        <f t="shared" si="4287"/>
        <v>86.769230769230802</v>
      </c>
      <c r="JB382" s="218">
        <f t="shared" si="4288"/>
        <v>0</v>
      </c>
      <c r="JE382" s="148"/>
    </row>
    <row r="383" spans="2:265" ht="15" hidden="1" customHeight="1" outlineLevel="2">
      <c r="B383" s="148">
        <v>8</v>
      </c>
      <c r="C383" s="303" t="e">
        <f>VLOOKUP(AF383,Attribute!C:T,1,FALSE)</f>
        <v>#N/A</v>
      </c>
      <c r="D383" s="86" t="s">
        <v>308</v>
      </c>
      <c r="E383" s="125" t="s">
        <v>135</v>
      </c>
      <c r="F383" s="113">
        <f>Konvention_1master-MUmaster</f>
        <v>12</v>
      </c>
      <c r="G383" s="113">
        <f>Konvention_1master-KLmaster</f>
        <v>12</v>
      </c>
      <c r="H383" s="113"/>
      <c r="I383" s="113"/>
      <c r="J383" s="113"/>
      <c r="K383" s="113"/>
      <c r="L383" s="113">
        <f t="shared" si="4162"/>
        <v>12</v>
      </c>
      <c r="M383" s="113"/>
      <c r="N383" s="222">
        <f t="shared" si="4163"/>
        <v>12</v>
      </c>
      <c r="O383" s="223">
        <f t="shared" si="4164"/>
        <v>24</v>
      </c>
      <c r="P383" s="224">
        <f t="shared" si="4165"/>
        <v>36</v>
      </c>
      <c r="Q383" s="234">
        <f t="shared" si="4166"/>
        <v>2304</v>
      </c>
      <c r="R383" s="113">
        <f>F383*G383*KOmaster+F383*KLmaster*L383+MUmaster*G383*L383</f>
        <v>3456</v>
      </c>
      <c r="S383" s="234">
        <f t="shared" si="4167"/>
        <v>1728</v>
      </c>
      <c r="T383" s="242">
        <f t="shared" si="4168"/>
        <v>7488</v>
      </c>
      <c r="U383" s="223">
        <f t="shared" si="4169"/>
        <v>3.6923076923076925</v>
      </c>
      <c r="V383" s="223">
        <f t="shared" si="4170"/>
        <v>11.076923076923077</v>
      </c>
      <c r="W383" s="223">
        <f t="shared" si="4171"/>
        <v>8.3076923076923084</v>
      </c>
      <c r="X383" s="218">
        <f t="shared" si="4172"/>
        <v>23.07692307692308</v>
      </c>
      <c r="Y383" s="252">
        <v>0</v>
      </c>
      <c r="Z383" s="198">
        <f t="shared" si="4173"/>
        <v>23.07692307692308</v>
      </c>
      <c r="AA383" s="125">
        <f>IF(X383&lt;=0,3,0)+IF(X383&gt;0,X383+1,0)*3+IF(X383&gt;12,X383-12,0)*3+IF(X383&gt;13,X383-13,0)*3+IF(X383&gt;14,X383-14,0)*3+IF(X383&gt;15,X383-15,0)*3+IF(X383&gt;16,X383-16,0)*3+IF(X383&gt;17,X383-17,0)*3+IF(X383&gt;18,X383-18,0)*3+IF(X383&gt;19,X383-19,0)*3+IF(X383&gt;20,X383-20,0)*3</f>
        <v>263.30769230769232</v>
      </c>
      <c r="AB383" s="160">
        <f>IF(Y383&lt;=0,3,0)+IF(Y383&gt;0,Y383+1,0)*3+IF(Y383&gt;12,Y383-12,0)*3+IF(Y383&gt;13,Y383-13,0)*3+IF(Y383&gt;14,Y383-14,0)*3+IF(Y383&gt;15,Y383-15,0)*3+IF(Y383&gt;16,Y383-16,0)*3+IF(Y383&gt;17,Y383-17,0)*3+IF(Y383&gt;18,Y383-18,0)*3+IF(Y383&gt;19,Y383-19,0)*3+IF(Y383&gt;20,Y383-20,0)*3</f>
        <v>3</v>
      </c>
      <c r="AC383" s="127">
        <f t="shared" si="4174"/>
        <v>260.30769230769232</v>
      </c>
      <c r="AD383" s="125">
        <f t="shared" si="4175"/>
        <v>0</v>
      </c>
      <c r="AF383" s="163" t="s">
        <v>426</v>
      </c>
      <c r="AG383" s="86" t="s">
        <v>308</v>
      </c>
      <c r="AH383" s="125" t="s">
        <v>135</v>
      </c>
      <c r="AI383" s="113">
        <f t="shared" si="4176"/>
        <v>11</v>
      </c>
      <c r="AJ383" s="113">
        <f>Konvention_1slave-KLslave</f>
        <v>12</v>
      </c>
      <c r="AK383" s="113"/>
      <c r="AL383" s="113"/>
      <c r="AM383" s="113"/>
      <c r="AN383" s="113"/>
      <c r="AO383" s="113">
        <f t="shared" si="4177"/>
        <v>12</v>
      </c>
      <c r="AP383" s="113"/>
      <c r="AQ383" s="89">
        <f t="shared" si="4178"/>
        <v>11.666666666666666</v>
      </c>
      <c r="AR383" s="47">
        <f t="shared" si="4179"/>
        <v>23.333333333333332</v>
      </c>
      <c r="AS383" s="119">
        <f t="shared" si="4180"/>
        <v>35</v>
      </c>
      <c r="AT383" s="113">
        <f t="shared" si="4181"/>
        <v>2432</v>
      </c>
      <c r="AU383" s="113">
        <f>AI383*AJ383*KOslave+AI383*KLslave*AO383+MUslave_MU*AJ383*AO383</f>
        <v>3408</v>
      </c>
      <c r="AV383" s="113">
        <f t="shared" si="4182"/>
        <v>1584</v>
      </c>
      <c r="AW383" s="160">
        <f t="shared" si="4183"/>
        <v>7424</v>
      </c>
      <c r="AX383" s="47">
        <f t="shared" si="4184"/>
        <v>3.8218390804597702</v>
      </c>
      <c r="AY383" s="47">
        <f t="shared" si="4185"/>
        <v>10.711206896551724</v>
      </c>
      <c r="AZ383" s="47">
        <f t="shared" si="4186"/>
        <v>7.4676724137931032</v>
      </c>
      <c r="BA383" s="125">
        <f t="shared" si="4187"/>
        <v>22.000718390804597</v>
      </c>
      <c r="BB383" s="165">
        <f t="shared" si="3938"/>
        <v>0</v>
      </c>
      <c r="BC383" s="198">
        <f t="shared" si="4188"/>
        <v>22.000718390804597</v>
      </c>
      <c r="BD383" s="125">
        <f>IF(BA383&lt;=0,3,0)+IF(BA383&gt;0,BA383+1,0)*3+IF(BA383&gt;12,BA383-12,0)*3+IF(BA383&gt;13,BA383-13,0)*3+IF(BA383&gt;14,BA383-14,0)*3+IF(BA383&gt;15,BA383-15,0)*3+IF(BA383&gt;16,BA383-16,0)*3+IF(BA383&gt;17,BA383-17,0)*3+IF(BA383&gt;18,BA383-18,0)*3+IF(BA383&gt;19,BA383-19,0)*3+IF(BA383&gt;20,BA383-20,0)*3</f>
        <v>231.02155172413785</v>
      </c>
      <c r="BE383" s="160">
        <f>IF(BB383&lt;=0,3,0)+IF(BB383&gt;0,BB383+1,0)*3+IF(BB383&gt;12,BB383-12,0)*3+IF(BB383&gt;13,BB383-13,0)*3+IF(BB383&gt;14,BB383-14,0)*3+IF(BB383&gt;15,BB383-15,0)*3+IF(BB383&gt;16,BB383-16,0)*3+IF(BB383&gt;17,BB383-17,0)*3+IF(BB383&gt;18,BB383-18,0)*3+IF(BB383&gt;19,BB383-19,0)*3+IF(BB383&gt;20,BB383-20,0)*3</f>
        <v>3</v>
      </c>
      <c r="BF383" s="243">
        <f t="shared" si="4189"/>
        <v>228.02155172413785</v>
      </c>
      <c r="BG383" s="218">
        <f t="shared" si="4190"/>
        <v>0</v>
      </c>
      <c r="BI383" s="303" t="s">
        <v>426</v>
      </c>
      <c r="BJ383" s="304" t="s">
        <v>308</v>
      </c>
      <c r="BK383" s="218" t="s">
        <v>135</v>
      </c>
      <c r="BL383" s="234">
        <f>Konvention_1slave-MUslave</f>
        <v>12</v>
      </c>
      <c r="BM383" s="234">
        <f>Konvention_1slave-KLslave_KL</f>
        <v>11</v>
      </c>
      <c r="BN383" s="234"/>
      <c r="BO383" s="234"/>
      <c r="BP383" s="234"/>
      <c r="BQ383" s="234"/>
      <c r="BR383" s="234">
        <f t="shared" si="4191"/>
        <v>12</v>
      </c>
      <c r="BS383" s="234"/>
      <c r="BT383" s="222">
        <f t="shared" si="4192"/>
        <v>11.666666666666666</v>
      </c>
      <c r="BU383" s="223">
        <f t="shared" si="4193"/>
        <v>23.333333333333332</v>
      </c>
      <c r="BV383" s="224">
        <f t="shared" si="4194"/>
        <v>35</v>
      </c>
      <c r="BW383" s="234">
        <f t="shared" si="4195"/>
        <v>2432</v>
      </c>
      <c r="BX383" s="234">
        <f>BL383*BM383*KOslave+BL383*KLslave_KL*BR383+MUslave*BM383*BR383</f>
        <v>3408</v>
      </c>
      <c r="BY383" s="234">
        <f t="shared" si="4196"/>
        <v>1584</v>
      </c>
      <c r="BZ383" s="242">
        <f t="shared" si="4197"/>
        <v>7424</v>
      </c>
      <c r="CA383" s="223">
        <f t="shared" si="4198"/>
        <v>3.8218390804597702</v>
      </c>
      <c r="CB383" s="223">
        <f t="shared" si="4199"/>
        <v>10.711206896551724</v>
      </c>
      <c r="CC383" s="223">
        <f t="shared" si="4200"/>
        <v>7.4676724137931032</v>
      </c>
      <c r="CD383" s="218">
        <f t="shared" si="4201"/>
        <v>22.000718390804597</v>
      </c>
      <c r="CE383" s="252">
        <f t="shared" si="3954"/>
        <v>0</v>
      </c>
      <c r="CF383" s="309">
        <f t="shared" si="4202"/>
        <v>22.000718390804597</v>
      </c>
      <c r="CG383" s="218">
        <f>IF(CD383&lt;=0,3,0)+IF(CD383&gt;0,CD383+1,0)*3+IF(CD383&gt;12,CD383-12,0)*3+IF(CD383&gt;13,CD383-13,0)*3+IF(CD383&gt;14,CD383-14,0)*3+IF(CD383&gt;15,CD383-15,0)*3+IF(CD383&gt;16,CD383-16,0)*3+IF(CD383&gt;17,CD383-17,0)*3+IF(CD383&gt;18,CD383-18,0)*3+IF(CD383&gt;19,CD383-19,0)*3+IF(CD383&gt;20,CD383-20,0)*3</f>
        <v>231.02155172413785</v>
      </c>
      <c r="CH383" s="242">
        <f>IF(CE383&lt;=0,3,0)+IF(CE383&gt;0,CE383+1,0)*3+IF(CE383&gt;12,CE383-12,0)*3+IF(CE383&gt;13,CE383-13,0)*3+IF(CE383&gt;14,CE383-14,0)*3+IF(CE383&gt;15,CE383-15,0)*3+IF(CE383&gt;16,CE383-16,0)*3+IF(CE383&gt;17,CE383-17,0)*3+IF(CE383&gt;18,CE383-18,0)*3+IF(CE383&gt;19,CE383-19,0)*3+IF(CE383&gt;20,CE383-20,0)*3</f>
        <v>3</v>
      </c>
      <c r="CI383" s="243">
        <f t="shared" si="4203"/>
        <v>228.02155172413785</v>
      </c>
      <c r="CJ383" s="218">
        <f t="shared" si="4204"/>
        <v>0</v>
      </c>
      <c r="CL383" s="303" t="s">
        <v>426</v>
      </c>
      <c r="CM383" s="304" t="s">
        <v>308</v>
      </c>
      <c r="CN383" s="218" t="s">
        <v>135</v>
      </c>
      <c r="CO383" s="234">
        <f>Konvention_1slave-MUslave</f>
        <v>12</v>
      </c>
      <c r="CP383" s="234">
        <f>Konvention_1slave-KLslave</f>
        <v>12</v>
      </c>
      <c r="CQ383" s="234"/>
      <c r="CR383" s="234"/>
      <c r="CS383" s="234"/>
      <c r="CT383" s="234"/>
      <c r="CU383" s="234">
        <f t="shared" si="4205"/>
        <v>12</v>
      </c>
      <c r="CV383" s="234"/>
      <c r="CW383" s="222">
        <f t="shared" si="4206"/>
        <v>12</v>
      </c>
      <c r="CX383" s="223">
        <f t="shared" si="4207"/>
        <v>24</v>
      </c>
      <c r="CY383" s="224">
        <f t="shared" si="4208"/>
        <v>36</v>
      </c>
      <c r="CZ383" s="234">
        <f t="shared" si="4209"/>
        <v>2304</v>
      </c>
      <c r="DA383" s="234">
        <f>CO383*CP383*KOslave+CO383*KLslave*CU383+MUslave*CP383*CU383</f>
        <v>3456</v>
      </c>
      <c r="DB383" s="234">
        <f t="shared" si="4210"/>
        <v>1728</v>
      </c>
      <c r="DC383" s="242">
        <f t="shared" si="4211"/>
        <v>7488</v>
      </c>
      <c r="DD383" s="223">
        <f t="shared" si="4212"/>
        <v>3.6923076923076925</v>
      </c>
      <c r="DE383" s="223">
        <f t="shared" si="4213"/>
        <v>11.076923076923077</v>
      </c>
      <c r="DF383" s="223">
        <f t="shared" si="4214"/>
        <v>8.3076923076923084</v>
      </c>
      <c r="DG383" s="218">
        <f t="shared" si="4215"/>
        <v>23.07692307692308</v>
      </c>
      <c r="DH383" s="252">
        <f t="shared" si="3970"/>
        <v>0</v>
      </c>
      <c r="DI383" s="309">
        <f t="shared" si="4216"/>
        <v>23.07692307692308</v>
      </c>
      <c r="DJ383" s="218">
        <f>IF(DG383&lt;=0,3,0)+IF(DG383&gt;0,DG383+1,0)*3+IF(DG383&gt;12,DG383-12,0)*3+IF(DG383&gt;13,DG383-13,0)*3+IF(DG383&gt;14,DG383-14,0)*3+IF(DG383&gt;15,DG383-15,0)*3+IF(DG383&gt;16,DG383-16,0)*3+IF(DG383&gt;17,DG383-17,0)*3+IF(DG383&gt;18,DG383-18,0)*3+IF(DG383&gt;19,DG383-19,0)*3+IF(DG383&gt;20,DG383-20,0)*3</f>
        <v>263.30769230769232</v>
      </c>
      <c r="DK383" s="242">
        <f>IF(DH383&lt;=0,3,0)+IF(DH383&gt;0,DH383+1,0)*3+IF(DH383&gt;12,DH383-12,0)*3+IF(DH383&gt;13,DH383-13,0)*3+IF(DH383&gt;14,DH383-14,0)*3+IF(DH383&gt;15,DH383-15,0)*3+IF(DH383&gt;16,DH383-16,0)*3+IF(DH383&gt;17,DH383-17,0)*3+IF(DH383&gt;18,DH383-18,0)*3+IF(DH383&gt;19,DH383-19,0)*3+IF(DH383&gt;20,DH383-20,0)*3</f>
        <v>3</v>
      </c>
      <c r="DL383" s="243">
        <f t="shared" si="4217"/>
        <v>260.30769230769232</v>
      </c>
      <c r="DM383" s="218">
        <f t="shared" si="4218"/>
        <v>0</v>
      </c>
      <c r="DO383" s="303" t="s">
        <v>426</v>
      </c>
      <c r="DP383" s="304" t="s">
        <v>308</v>
      </c>
      <c r="DQ383" s="218" t="s">
        <v>135</v>
      </c>
      <c r="DR383" s="234">
        <f>Konvention_1slave-MUslave</f>
        <v>12</v>
      </c>
      <c r="DS383" s="234">
        <f>Konvention_1slave-KLslave</f>
        <v>12</v>
      </c>
      <c r="DT383" s="234"/>
      <c r="DU383" s="234"/>
      <c r="DV383" s="234"/>
      <c r="DW383" s="234"/>
      <c r="DX383" s="234">
        <f t="shared" si="4219"/>
        <v>12</v>
      </c>
      <c r="DY383" s="234"/>
      <c r="DZ383" s="222">
        <f t="shared" si="4220"/>
        <v>12</v>
      </c>
      <c r="EA383" s="223">
        <f t="shared" si="4221"/>
        <v>24</v>
      </c>
      <c r="EB383" s="224">
        <f t="shared" si="4222"/>
        <v>36</v>
      </c>
      <c r="EC383" s="234">
        <f t="shared" si="4223"/>
        <v>2304</v>
      </c>
      <c r="ED383" s="234">
        <f>DR383*DS383*KOslave+DR383*KLslave*DX383+MUslave*DS383*DX383</f>
        <v>3456</v>
      </c>
      <c r="EE383" s="234">
        <f t="shared" si="4224"/>
        <v>1728</v>
      </c>
      <c r="EF383" s="242">
        <f t="shared" si="4225"/>
        <v>7488</v>
      </c>
      <c r="EG383" s="223">
        <f t="shared" si="4226"/>
        <v>3.6923076923076925</v>
      </c>
      <c r="EH383" s="223">
        <f t="shared" si="4227"/>
        <v>11.076923076923077</v>
      </c>
      <c r="EI383" s="223">
        <f t="shared" si="4228"/>
        <v>8.3076923076923084</v>
      </c>
      <c r="EJ383" s="218">
        <f t="shared" si="4229"/>
        <v>23.07692307692308</v>
      </c>
      <c r="EK383" s="252">
        <f t="shared" si="3986"/>
        <v>0</v>
      </c>
      <c r="EL383" s="309">
        <f t="shared" si="4230"/>
        <v>23.07692307692308</v>
      </c>
      <c r="EM383" s="218">
        <f>IF(EJ383&lt;=0,3,0)+IF(EJ383&gt;0,EJ383+1,0)*3+IF(EJ383&gt;12,EJ383-12,0)*3+IF(EJ383&gt;13,EJ383-13,0)*3+IF(EJ383&gt;14,EJ383-14,0)*3+IF(EJ383&gt;15,EJ383-15,0)*3+IF(EJ383&gt;16,EJ383-16,0)*3+IF(EJ383&gt;17,EJ383-17,0)*3+IF(EJ383&gt;18,EJ383-18,0)*3+IF(EJ383&gt;19,EJ383-19,0)*3+IF(EJ383&gt;20,EJ383-20,0)*3</f>
        <v>263.30769230769232</v>
      </c>
      <c r="EN383" s="242">
        <f>IF(EK383&lt;=0,3,0)+IF(EK383&gt;0,EK383+1,0)*3+IF(EK383&gt;12,EK383-12,0)*3+IF(EK383&gt;13,EK383-13,0)*3+IF(EK383&gt;14,EK383-14,0)*3+IF(EK383&gt;15,EK383-15,0)*3+IF(EK383&gt;16,EK383-16,0)*3+IF(EK383&gt;17,EK383-17,0)*3+IF(EK383&gt;18,EK383-18,0)*3+IF(EK383&gt;19,EK383-19,0)*3+IF(EK383&gt;20,EK383-20,0)*3</f>
        <v>3</v>
      </c>
      <c r="EO383" s="243">
        <f t="shared" si="4231"/>
        <v>260.30769230769232</v>
      </c>
      <c r="EP383" s="218">
        <f t="shared" si="4232"/>
        <v>0</v>
      </c>
      <c r="ER383" s="303" t="s">
        <v>426</v>
      </c>
      <c r="ES383" s="304" t="s">
        <v>308</v>
      </c>
      <c r="ET383" s="218" t="s">
        <v>135</v>
      </c>
      <c r="EU383" s="234">
        <f>Konvention_1slave-MUslave</f>
        <v>12</v>
      </c>
      <c r="EV383" s="234">
        <f>Konvention_1slave-KLslave</f>
        <v>12</v>
      </c>
      <c r="EW383" s="234"/>
      <c r="EX383" s="234"/>
      <c r="EY383" s="234"/>
      <c r="EZ383" s="234"/>
      <c r="FA383" s="234">
        <f t="shared" si="4233"/>
        <v>12</v>
      </c>
      <c r="FB383" s="234"/>
      <c r="FC383" s="222">
        <f t="shared" si="4234"/>
        <v>12</v>
      </c>
      <c r="FD383" s="223">
        <f t="shared" si="4235"/>
        <v>24</v>
      </c>
      <c r="FE383" s="224">
        <f t="shared" si="4236"/>
        <v>36</v>
      </c>
      <c r="FF383" s="234">
        <f t="shared" si="4237"/>
        <v>2304</v>
      </c>
      <c r="FG383" s="234">
        <f>EU383*EV383*KOslave+EU383*KLslave*FA383+MUslave*EV383*FA383</f>
        <v>3456</v>
      </c>
      <c r="FH383" s="234">
        <f t="shared" si="4238"/>
        <v>1728</v>
      </c>
      <c r="FI383" s="242">
        <f t="shared" si="4239"/>
        <v>7488</v>
      </c>
      <c r="FJ383" s="223">
        <f t="shared" si="4240"/>
        <v>3.6923076923076925</v>
      </c>
      <c r="FK383" s="223">
        <f t="shared" si="4241"/>
        <v>11.076923076923077</v>
      </c>
      <c r="FL383" s="223">
        <f t="shared" si="4242"/>
        <v>8.3076923076923084</v>
      </c>
      <c r="FM383" s="218">
        <f t="shared" si="4243"/>
        <v>23.07692307692308</v>
      </c>
      <c r="FN383" s="252">
        <f t="shared" si="4002"/>
        <v>0</v>
      </c>
      <c r="FO383" s="309">
        <f t="shared" si="4244"/>
        <v>23.07692307692308</v>
      </c>
      <c r="FP383" s="218">
        <f>IF(FM383&lt;=0,3,0)+IF(FM383&gt;0,FM383+1,0)*3+IF(FM383&gt;12,FM383-12,0)*3+IF(FM383&gt;13,FM383-13,0)*3+IF(FM383&gt;14,FM383-14,0)*3+IF(FM383&gt;15,FM383-15,0)*3+IF(FM383&gt;16,FM383-16,0)*3+IF(FM383&gt;17,FM383-17,0)*3+IF(FM383&gt;18,FM383-18,0)*3+IF(FM383&gt;19,FM383-19,0)*3+IF(FM383&gt;20,FM383-20,0)*3</f>
        <v>263.30769230769232</v>
      </c>
      <c r="FQ383" s="242">
        <f>IF(FN383&lt;=0,3,0)+IF(FN383&gt;0,FN383+1,0)*3+IF(FN383&gt;12,FN383-12,0)*3+IF(FN383&gt;13,FN383-13,0)*3+IF(FN383&gt;14,FN383-14,0)*3+IF(FN383&gt;15,FN383-15,0)*3+IF(FN383&gt;16,FN383-16,0)*3+IF(FN383&gt;17,FN383-17,0)*3+IF(FN383&gt;18,FN383-18,0)*3+IF(FN383&gt;19,FN383-19,0)*3+IF(FN383&gt;20,FN383-20,0)*3</f>
        <v>3</v>
      </c>
      <c r="FR383" s="243">
        <f t="shared" si="4245"/>
        <v>260.30769230769232</v>
      </c>
      <c r="FS383" s="218">
        <f t="shared" si="4246"/>
        <v>0</v>
      </c>
      <c r="FU383" s="303" t="s">
        <v>426</v>
      </c>
      <c r="FV383" s="304" t="s">
        <v>308</v>
      </c>
      <c r="FW383" s="218" t="s">
        <v>135</v>
      </c>
      <c r="FX383" s="234">
        <f>Konvention_1slave-MUslave</f>
        <v>12</v>
      </c>
      <c r="FY383" s="234">
        <f>Konvention_1slave-KLslave</f>
        <v>12</v>
      </c>
      <c r="FZ383" s="234"/>
      <c r="GA383" s="234"/>
      <c r="GB383" s="234"/>
      <c r="GC383" s="234"/>
      <c r="GD383" s="234">
        <f t="shared" si="4247"/>
        <v>12</v>
      </c>
      <c r="GE383" s="234"/>
      <c r="GF383" s="222">
        <f t="shared" si="4248"/>
        <v>12</v>
      </c>
      <c r="GG383" s="223">
        <f t="shared" si="4249"/>
        <v>24</v>
      </c>
      <c r="GH383" s="224">
        <f t="shared" si="4250"/>
        <v>36</v>
      </c>
      <c r="GI383" s="234">
        <f t="shared" si="4251"/>
        <v>2304</v>
      </c>
      <c r="GJ383" s="234">
        <f>FX383*FY383*KOslave+FX383*KLslave*GD383+MUslave*FY383*GD383</f>
        <v>3456</v>
      </c>
      <c r="GK383" s="234">
        <f t="shared" si="4252"/>
        <v>1728</v>
      </c>
      <c r="GL383" s="242">
        <f t="shared" si="4253"/>
        <v>7488</v>
      </c>
      <c r="GM383" s="223">
        <f t="shared" si="4254"/>
        <v>3.6923076923076925</v>
      </c>
      <c r="GN383" s="223">
        <f t="shared" si="4255"/>
        <v>11.076923076923077</v>
      </c>
      <c r="GO383" s="223">
        <f t="shared" si="4256"/>
        <v>8.3076923076923084</v>
      </c>
      <c r="GP383" s="218">
        <f t="shared" si="4257"/>
        <v>23.07692307692308</v>
      </c>
      <c r="GQ383" s="252">
        <f t="shared" si="4018"/>
        <v>0</v>
      </c>
      <c r="GR383" s="309">
        <f t="shared" si="4258"/>
        <v>23.07692307692308</v>
      </c>
      <c r="GS383" s="218">
        <f>IF(GP383&lt;=0,3,0)+IF(GP383&gt;0,GP383+1,0)*3+IF(GP383&gt;12,GP383-12,0)*3+IF(GP383&gt;13,GP383-13,0)*3+IF(GP383&gt;14,GP383-14,0)*3+IF(GP383&gt;15,GP383-15,0)*3+IF(GP383&gt;16,GP383-16,0)*3+IF(GP383&gt;17,GP383-17,0)*3+IF(GP383&gt;18,GP383-18,0)*3+IF(GP383&gt;19,GP383-19,0)*3+IF(GP383&gt;20,GP383-20,0)*3</f>
        <v>263.30769230769232</v>
      </c>
      <c r="GT383" s="242">
        <f>IF(GQ383&lt;=0,3,0)+IF(GQ383&gt;0,GQ383+1,0)*3+IF(GQ383&gt;12,GQ383-12,0)*3+IF(GQ383&gt;13,GQ383-13,0)*3+IF(GQ383&gt;14,GQ383-14,0)*3+IF(GQ383&gt;15,GQ383-15,0)*3+IF(GQ383&gt;16,GQ383-16,0)*3+IF(GQ383&gt;17,GQ383-17,0)*3+IF(GQ383&gt;18,GQ383-18,0)*3+IF(GQ383&gt;19,GQ383-19,0)*3+IF(GQ383&gt;20,GQ383-20,0)*3</f>
        <v>3</v>
      </c>
      <c r="GU383" s="243">
        <f t="shared" si="4259"/>
        <v>260.30769230769232</v>
      </c>
      <c r="GV383" s="218">
        <f t="shared" si="4260"/>
        <v>0</v>
      </c>
      <c r="GX383" s="303" t="s">
        <v>426</v>
      </c>
      <c r="GY383" s="304" t="s">
        <v>308</v>
      </c>
      <c r="GZ383" s="218" t="s">
        <v>135</v>
      </c>
      <c r="HA383" s="234">
        <f>Konvention_1slave-MUslave</f>
        <v>12</v>
      </c>
      <c r="HB383" s="234">
        <f>Konvention_1slave-KLslave</f>
        <v>12</v>
      </c>
      <c r="HC383" s="234"/>
      <c r="HD383" s="234"/>
      <c r="HE383" s="234"/>
      <c r="HF383" s="234"/>
      <c r="HG383" s="234">
        <f t="shared" si="4261"/>
        <v>11</v>
      </c>
      <c r="HH383" s="234"/>
      <c r="HI383" s="222">
        <f t="shared" si="4262"/>
        <v>11.666666666666666</v>
      </c>
      <c r="HJ383" s="223">
        <f t="shared" si="4263"/>
        <v>23.333333333333332</v>
      </c>
      <c r="HK383" s="224">
        <f t="shared" si="4264"/>
        <v>35</v>
      </c>
      <c r="HL383" s="234">
        <f t="shared" si="4265"/>
        <v>2432</v>
      </c>
      <c r="HM383" s="234">
        <f>HA383*HB383*KOslave_KO+HA383*KLslave*HG383+MUslave*HB383*HG383</f>
        <v>3408</v>
      </c>
      <c r="HN383" s="234">
        <f t="shared" si="4266"/>
        <v>1584</v>
      </c>
      <c r="HO383" s="242">
        <f t="shared" si="4267"/>
        <v>7424</v>
      </c>
      <c r="HP383" s="223">
        <f t="shared" si="4268"/>
        <v>3.8218390804597702</v>
      </c>
      <c r="HQ383" s="223">
        <f t="shared" si="4269"/>
        <v>10.711206896551724</v>
      </c>
      <c r="HR383" s="223">
        <f t="shared" si="4270"/>
        <v>7.4676724137931032</v>
      </c>
      <c r="HS383" s="218">
        <f t="shared" si="4271"/>
        <v>22.000718390804597</v>
      </c>
      <c r="HT383" s="252">
        <f t="shared" si="4034"/>
        <v>0</v>
      </c>
      <c r="HU383" s="309">
        <f t="shared" si="4272"/>
        <v>22.000718390804597</v>
      </c>
      <c r="HV383" s="218">
        <f>IF(HS383&lt;=0,3,0)+IF(HS383&gt;0,HS383+1,0)*3+IF(HS383&gt;12,HS383-12,0)*3+IF(HS383&gt;13,HS383-13,0)*3+IF(HS383&gt;14,HS383-14,0)*3+IF(HS383&gt;15,HS383-15,0)*3+IF(HS383&gt;16,HS383-16,0)*3+IF(HS383&gt;17,HS383-17,0)*3+IF(HS383&gt;18,HS383-18,0)*3+IF(HS383&gt;19,HS383-19,0)*3+IF(HS383&gt;20,HS383-20,0)*3</f>
        <v>231.02155172413785</v>
      </c>
      <c r="HW383" s="242">
        <f>IF(HT383&lt;=0,3,0)+IF(HT383&gt;0,HT383+1,0)*3+IF(HT383&gt;12,HT383-12,0)*3+IF(HT383&gt;13,HT383-13,0)*3+IF(HT383&gt;14,HT383-14,0)*3+IF(HT383&gt;15,HT383-15,0)*3+IF(HT383&gt;16,HT383-16,0)*3+IF(HT383&gt;17,HT383-17,0)*3+IF(HT383&gt;18,HT383-18,0)*3+IF(HT383&gt;19,HT383-19,0)*3+IF(HT383&gt;20,HT383-20,0)*3</f>
        <v>3</v>
      </c>
      <c r="HX383" s="243">
        <f t="shared" si="4273"/>
        <v>228.02155172413785</v>
      </c>
      <c r="HY383" s="218">
        <f t="shared" si="4274"/>
        <v>0</v>
      </c>
      <c r="IA383" s="303" t="s">
        <v>426</v>
      </c>
      <c r="IB383" s="304" t="s">
        <v>308</v>
      </c>
      <c r="IC383" s="218" t="s">
        <v>135</v>
      </c>
      <c r="ID383" s="234">
        <f>Konvention_1slave-MUslave</f>
        <v>12</v>
      </c>
      <c r="IE383" s="234">
        <f>Konvention_1slave-KLslave</f>
        <v>12</v>
      </c>
      <c r="IF383" s="234"/>
      <c r="IG383" s="234"/>
      <c r="IH383" s="234"/>
      <c r="II383" s="234"/>
      <c r="IJ383" s="234">
        <f t="shared" si="4275"/>
        <v>12</v>
      </c>
      <c r="IK383" s="234"/>
      <c r="IL383" s="222">
        <f t="shared" si="4276"/>
        <v>12</v>
      </c>
      <c r="IM383" s="223">
        <f t="shared" si="4277"/>
        <v>24</v>
      </c>
      <c r="IN383" s="224">
        <f t="shared" si="4278"/>
        <v>36</v>
      </c>
      <c r="IO383" s="234">
        <f t="shared" si="4279"/>
        <v>2304</v>
      </c>
      <c r="IP383" s="234">
        <f>ID383*IE383*KOslave+ID383*KLslave*IJ383+MUslave*IE383*IJ383</f>
        <v>3456</v>
      </c>
      <c r="IQ383" s="234">
        <f t="shared" si="4280"/>
        <v>1728</v>
      </c>
      <c r="IR383" s="242">
        <f t="shared" si="4281"/>
        <v>7488</v>
      </c>
      <c r="IS383" s="223">
        <f t="shared" si="4282"/>
        <v>3.6923076923076925</v>
      </c>
      <c r="IT383" s="223">
        <f t="shared" si="4283"/>
        <v>11.076923076923077</v>
      </c>
      <c r="IU383" s="223">
        <f t="shared" si="4284"/>
        <v>8.3076923076923084</v>
      </c>
      <c r="IV383" s="218">
        <f t="shared" si="4285"/>
        <v>23.07692307692308</v>
      </c>
      <c r="IW383" s="252">
        <f t="shared" si="4050"/>
        <v>0</v>
      </c>
      <c r="IX383" s="309">
        <f t="shared" si="4286"/>
        <v>23.07692307692308</v>
      </c>
      <c r="IY383" s="218">
        <f>IF(IV383&lt;=0,3,0)+IF(IV383&gt;0,IV383+1,0)*3+IF(IV383&gt;12,IV383-12,0)*3+IF(IV383&gt;13,IV383-13,0)*3+IF(IV383&gt;14,IV383-14,0)*3+IF(IV383&gt;15,IV383-15,0)*3+IF(IV383&gt;16,IV383-16,0)*3+IF(IV383&gt;17,IV383-17,0)*3+IF(IV383&gt;18,IV383-18,0)*3+IF(IV383&gt;19,IV383-19,0)*3+IF(IV383&gt;20,IV383-20,0)*3</f>
        <v>263.30769230769232</v>
      </c>
      <c r="IZ383" s="242">
        <f>IF(IW383&lt;=0,3,0)+IF(IW383&gt;0,IW383+1,0)*3+IF(IW383&gt;12,IW383-12,0)*3+IF(IW383&gt;13,IW383-13,0)*3+IF(IW383&gt;14,IW383-14,0)*3+IF(IW383&gt;15,IW383-15,0)*3+IF(IW383&gt;16,IW383-16,0)*3+IF(IW383&gt;17,IW383-17,0)*3+IF(IW383&gt;18,IW383-18,0)*3+IF(IW383&gt;19,IW383-19,0)*3+IF(IW383&gt;20,IW383-20,0)*3</f>
        <v>3</v>
      </c>
      <c r="JA383" s="243">
        <f t="shared" si="4287"/>
        <v>260.30769230769232</v>
      </c>
      <c r="JB383" s="218">
        <f t="shared" si="4288"/>
        <v>0</v>
      </c>
      <c r="JE383" s="148"/>
    </row>
    <row r="384" spans="2:265" hidden="1" outlineLevel="2">
      <c r="B384" s="148">
        <v>9</v>
      </c>
      <c r="C384" s="303" t="e">
        <f>VLOOKUP(AF384,Attribute!C:T,1,FALSE)</f>
        <v>#N/A</v>
      </c>
      <c r="D384" s="86" t="s">
        <v>79</v>
      </c>
      <c r="E384" s="125" t="s">
        <v>132</v>
      </c>
      <c r="F384" s="113"/>
      <c r="G384" s="113">
        <f>Konvention_1master-KLmaster</f>
        <v>12</v>
      </c>
      <c r="H384" s="113"/>
      <c r="I384" s="113">
        <f>Konvention_1master-CHmaster</f>
        <v>12</v>
      </c>
      <c r="J384" s="113"/>
      <c r="K384" s="113"/>
      <c r="L384" s="113">
        <f t="shared" si="4162"/>
        <v>12</v>
      </c>
      <c r="M384" s="113"/>
      <c r="N384" s="222">
        <f t="shared" si="4163"/>
        <v>12</v>
      </c>
      <c r="O384" s="223">
        <f t="shared" si="4164"/>
        <v>24</v>
      </c>
      <c r="P384" s="224">
        <f t="shared" si="4165"/>
        <v>36</v>
      </c>
      <c r="Q384" s="234">
        <f t="shared" si="4166"/>
        <v>2304</v>
      </c>
      <c r="R384" s="113">
        <f>G384*I384*KOmaster+G384*CHmaster*L384+KLmaster*I384*L384</f>
        <v>3456</v>
      </c>
      <c r="S384" s="234">
        <f t="shared" si="4167"/>
        <v>1728</v>
      </c>
      <c r="T384" s="242">
        <f t="shared" si="4168"/>
        <v>7488</v>
      </c>
      <c r="U384" s="223">
        <f t="shared" si="4169"/>
        <v>3.6923076923076925</v>
      </c>
      <c r="V384" s="223">
        <f t="shared" si="4170"/>
        <v>11.076923076923077</v>
      </c>
      <c r="W384" s="223">
        <f t="shared" si="4171"/>
        <v>8.3076923076923084</v>
      </c>
      <c r="X384" s="218">
        <f t="shared" si="4172"/>
        <v>23.07692307692308</v>
      </c>
      <c r="Y384" s="252">
        <v>0</v>
      </c>
      <c r="Z384" s="198">
        <f t="shared" si="4173"/>
        <v>23.07692307692308</v>
      </c>
      <c r="AA384" s="125">
        <f t="shared" ref="AA384:AB386" si="4297">IF(X384&lt;=0,2,0)+IF(X384&gt;0,X384+1,0)*2+IF(X384&gt;12,X384-12,0)*2+IF(X384&gt;13,X384-13,0)*2+IF(X384&gt;14,X384-14,0)*2+IF(X384&gt;15,X384-15,0)*2+IF(X384&gt;16,X384-16,0)*2+IF(X384&gt;17,X384-17,0)*2+IF(X384&gt;18,X384-18,0)*2+IF(X384&gt;19,X384-19,0)*2+IF(X384&gt;20,X384-20,0)*2</f>
        <v>175.5384615384616</v>
      </c>
      <c r="AB384" s="160">
        <f t="shared" si="4297"/>
        <v>2</v>
      </c>
      <c r="AC384" s="127">
        <f t="shared" si="4174"/>
        <v>173.5384615384616</v>
      </c>
      <c r="AD384" s="125">
        <f t="shared" si="4175"/>
        <v>0</v>
      </c>
      <c r="AF384" s="163" t="s">
        <v>429</v>
      </c>
      <c r="AG384" s="86" t="s">
        <v>79</v>
      </c>
      <c r="AH384" s="125" t="s">
        <v>132</v>
      </c>
      <c r="AI384" s="113"/>
      <c r="AJ384" s="113">
        <f>Konvention_1slave-KLslave</f>
        <v>12</v>
      </c>
      <c r="AK384" s="113"/>
      <c r="AL384" s="113">
        <f>Konvention_1slave-CHslave</f>
        <v>12</v>
      </c>
      <c r="AM384" s="113"/>
      <c r="AN384" s="113"/>
      <c r="AO384" s="113">
        <f t="shared" si="4177"/>
        <v>12</v>
      </c>
      <c r="AP384" s="113"/>
      <c r="AQ384" s="89">
        <f t="shared" si="4178"/>
        <v>12</v>
      </c>
      <c r="AR384" s="47">
        <f t="shared" si="4179"/>
        <v>24</v>
      </c>
      <c r="AS384" s="119">
        <f t="shared" si="4180"/>
        <v>36</v>
      </c>
      <c r="AT384" s="113">
        <f t="shared" si="4181"/>
        <v>2304</v>
      </c>
      <c r="AU384" s="113">
        <f>AJ384*AL384*KOslave+AJ384*CHslave*AO384+KLslave*AL384*AO384</f>
        <v>3456</v>
      </c>
      <c r="AV384" s="113">
        <f t="shared" si="4182"/>
        <v>1728</v>
      </c>
      <c r="AW384" s="160">
        <f t="shared" si="4183"/>
        <v>7488</v>
      </c>
      <c r="AX384" s="47">
        <f t="shared" si="4184"/>
        <v>3.6923076923076925</v>
      </c>
      <c r="AY384" s="47">
        <f t="shared" si="4185"/>
        <v>11.076923076923077</v>
      </c>
      <c r="AZ384" s="47">
        <f t="shared" si="4186"/>
        <v>8.3076923076923084</v>
      </c>
      <c r="BA384" s="125">
        <f t="shared" si="4187"/>
        <v>23.07692307692308</v>
      </c>
      <c r="BB384" s="165">
        <f t="shared" si="3938"/>
        <v>0</v>
      </c>
      <c r="BC384" s="198">
        <f t="shared" si="4188"/>
        <v>23.07692307692308</v>
      </c>
      <c r="BD384" s="125">
        <f t="shared" ref="BD384:BE386" si="4298">IF(BA384&lt;=0,2,0)+IF(BA384&gt;0,BA384+1,0)*2+IF(BA384&gt;12,BA384-12,0)*2+IF(BA384&gt;13,BA384-13,0)*2+IF(BA384&gt;14,BA384-14,0)*2+IF(BA384&gt;15,BA384-15,0)*2+IF(BA384&gt;16,BA384-16,0)*2+IF(BA384&gt;17,BA384-17,0)*2+IF(BA384&gt;18,BA384-18,0)*2+IF(BA384&gt;19,BA384-19,0)*2+IF(BA384&gt;20,BA384-20,0)*2</f>
        <v>175.5384615384616</v>
      </c>
      <c r="BE384" s="160">
        <f t="shared" si="4298"/>
        <v>2</v>
      </c>
      <c r="BF384" s="243">
        <f t="shared" si="4189"/>
        <v>173.5384615384616</v>
      </c>
      <c r="BG384" s="218">
        <f t="shared" si="4190"/>
        <v>0</v>
      </c>
      <c r="BI384" s="303" t="s">
        <v>429</v>
      </c>
      <c r="BJ384" s="304" t="s">
        <v>79</v>
      </c>
      <c r="BK384" s="218" t="s">
        <v>132</v>
      </c>
      <c r="BL384" s="234"/>
      <c r="BM384" s="234">
        <f>Konvention_1slave-KLslave_KL</f>
        <v>11</v>
      </c>
      <c r="BN384" s="234"/>
      <c r="BO384" s="234">
        <f>Konvention_1slave-CHslave</f>
        <v>12</v>
      </c>
      <c r="BP384" s="234"/>
      <c r="BQ384" s="234"/>
      <c r="BR384" s="234">
        <f t="shared" si="4191"/>
        <v>12</v>
      </c>
      <c r="BS384" s="234"/>
      <c r="BT384" s="222">
        <f t="shared" si="4192"/>
        <v>11.666666666666666</v>
      </c>
      <c r="BU384" s="223">
        <f t="shared" si="4193"/>
        <v>23.333333333333332</v>
      </c>
      <c r="BV384" s="224">
        <f t="shared" si="4194"/>
        <v>35</v>
      </c>
      <c r="BW384" s="234">
        <f t="shared" si="4195"/>
        <v>2432</v>
      </c>
      <c r="BX384" s="234">
        <f>BM384*BO384*KOslave+BM384*CHslave*BR384+KLslave_KL*BO384*BR384</f>
        <v>3408</v>
      </c>
      <c r="BY384" s="234">
        <f t="shared" si="4196"/>
        <v>1584</v>
      </c>
      <c r="BZ384" s="242">
        <f t="shared" si="4197"/>
        <v>7424</v>
      </c>
      <c r="CA384" s="223">
        <f t="shared" si="4198"/>
        <v>3.8218390804597702</v>
      </c>
      <c r="CB384" s="223">
        <f t="shared" si="4199"/>
        <v>10.711206896551724</v>
      </c>
      <c r="CC384" s="223">
        <f t="shared" si="4200"/>
        <v>7.4676724137931032</v>
      </c>
      <c r="CD384" s="218">
        <f t="shared" si="4201"/>
        <v>22.000718390804597</v>
      </c>
      <c r="CE384" s="252">
        <f t="shared" si="3954"/>
        <v>0</v>
      </c>
      <c r="CF384" s="309">
        <f t="shared" si="4202"/>
        <v>22.000718390804597</v>
      </c>
      <c r="CG384" s="218">
        <f t="shared" ref="CG384:CH386" si="4299">IF(CD384&lt;=0,2,0)+IF(CD384&gt;0,CD384+1,0)*2+IF(CD384&gt;12,CD384-12,0)*2+IF(CD384&gt;13,CD384-13,0)*2+IF(CD384&gt;14,CD384-14,0)*2+IF(CD384&gt;15,CD384-15,0)*2+IF(CD384&gt;16,CD384-16,0)*2+IF(CD384&gt;17,CD384-17,0)*2+IF(CD384&gt;18,CD384-18,0)*2+IF(CD384&gt;19,CD384-19,0)*2+IF(CD384&gt;20,CD384-20,0)*2</f>
        <v>154.01436781609189</v>
      </c>
      <c r="CH384" s="242">
        <f t="shared" si="4299"/>
        <v>2</v>
      </c>
      <c r="CI384" s="243">
        <f t="shared" si="4203"/>
        <v>152.01436781609189</v>
      </c>
      <c r="CJ384" s="218">
        <f t="shared" si="4204"/>
        <v>0</v>
      </c>
      <c r="CL384" s="303" t="s">
        <v>429</v>
      </c>
      <c r="CM384" s="304" t="s">
        <v>79</v>
      </c>
      <c r="CN384" s="218" t="s">
        <v>132</v>
      </c>
      <c r="CO384" s="234"/>
      <c r="CP384" s="234">
        <f>Konvention_1slave-KLslave</f>
        <v>12</v>
      </c>
      <c r="CQ384" s="234"/>
      <c r="CR384" s="234">
        <f>Konvention_1slave-CHslave</f>
        <v>12</v>
      </c>
      <c r="CS384" s="234"/>
      <c r="CT384" s="234"/>
      <c r="CU384" s="234">
        <f t="shared" si="4205"/>
        <v>12</v>
      </c>
      <c r="CV384" s="234"/>
      <c r="CW384" s="222">
        <f t="shared" si="4206"/>
        <v>12</v>
      </c>
      <c r="CX384" s="223">
        <f t="shared" si="4207"/>
        <v>24</v>
      </c>
      <c r="CY384" s="224">
        <f t="shared" si="4208"/>
        <v>36</v>
      </c>
      <c r="CZ384" s="234">
        <f t="shared" si="4209"/>
        <v>2304</v>
      </c>
      <c r="DA384" s="234">
        <f>CP384*CR384*KOslave+CP384*CHslave*CU384+KLslave*CR384*CU384</f>
        <v>3456</v>
      </c>
      <c r="DB384" s="234">
        <f t="shared" si="4210"/>
        <v>1728</v>
      </c>
      <c r="DC384" s="242">
        <f t="shared" si="4211"/>
        <v>7488</v>
      </c>
      <c r="DD384" s="223">
        <f t="shared" si="4212"/>
        <v>3.6923076923076925</v>
      </c>
      <c r="DE384" s="223">
        <f t="shared" si="4213"/>
        <v>11.076923076923077</v>
      </c>
      <c r="DF384" s="223">
        <f t="shared" si="4214"/>
        <v>8.3076923076923084</v>
      </c>
      <c r="DG384" s="218">
        <f t="shared" si="4215"/>
        <v>23.07692307692308</v>
      </c>
      <c r="DH384" s="252">
        <f t="shared" si="3970"/>
        <v>0</v>
      </c>
      <c r="DI384" s="309">
        <f t="shared" si="4216"/>
        <v>23.07692307692308</v>
      </c>
      <c r="DJ384" s="218">
        <f t="shared" ref="DJ384:DK386" si="4300">IF(DG384&lt;=0,2,0)+IF(DG384&gt;0,DG384+1,0)*2+IF(DG384&gt;12,DG384-12,0)*2+IF(DG384&gt;13,DG384-13,0)*2+IF(DG384&gt;14,DG384-14,0)*2+IF(DG384&gt;15,DG384-15,0)*2+IF(DG384&gt;16,DG384-16,0)*2+IF(DG384&gt;17,DG384-17,0)*2+IF(DG384&gt;18,DG384-18,0)*2+IF(DG384&gt;19,DG384-19,0)*2+IF(DG384&gt;20,DG384-20,0)*2</f>
        <v>175.5384615384616</v>
      </c>
      <c r="DK384" s="242">
        <f t="shared" si="4300"/>
        <v>2</v>
      </c>
      <c r="DL384" s="243">
        <f t="shared" si="4217"/>
        <v>173.5384615384616</v>
      </c>
      <c r="DM384" s="218">
        <f t="shared" si="4218"/>
        <v>0</v>
      </c>
      <c r="DO384" s="303" t="s">
        <v>429</v>
      </c>
      <c r="DP384" s="304" t="s">
        <v>79</v>
      </c>
      <c r="DQ384" s="218" t="s">
        <v>132</v>
      </c>
      <c r="DR384" s="234"/>
      <c r="DS384" s="234">
        <f>Konvention_1slave-KLslave</f>
        <v>12</v>
      </c>
      <c r="DT384" s="234"/>
      <c r="DU384" s="234">
        <f>Konvention_1slave-CHslave_CH</f>
        <v>11</v>
      </c>
      <c r="DV384" s="234"/>
      <c r="DW384" s="234"/>
      <c r="DX384" s="234">
        <f t="shared" si="4219"/>
        <v>12</v>
      </c>
      <c r="DY384" s="234"/>
      <c r="DZ384" s="222">
        <f t="shared" si="4220"/>
        <v>11.666666666666666</v>
      </c>
      <c r="EA384" s="223">
        <f t="shared" si="4221"/>
        <v>23.333333333333332</v>
      </c>
      <c r="EB384" s="224">
        <f t="shared" si="4222"/>
        <v>35</v>
      </c>
      <c r="EC384" s="234">
        <f t="shared" si="4223"/>
        <v>2432</v>
      </c>
      <c r="ED384" s="234">
        <f>DS384*DU384*KOslave+DS384*CHslave_CH*DX384+KLslave*DU384*DX384</f>
        <v>3408</v>
      </c>
      <c r="EE384" s="234">
        <f t="shared" si="4224"/>
        <v>1584</v>
      </c>
      <c r="EF384" s="242">
        <f t="shared" si="4225"/>
        <v>7424</v>
      </c>
      <c r="EG384" s="223">
        <f t="shared" si="4226"/>
        <v>3.8218390804597702</v>
      </c>
      <c r="EH384" s="223">
        <f t="shared" si="4227"/>
        <v>10.711206896551724</v>
      </c>
      <c r="EI384" s="223">
        <f t="shared" si="4228"/>
        <v>7.4676724137931032</v>
      </c>
      <c r="EJ384" s="218">
        <f t="shared" si="4229"/>
        <v>22.000718390804597</v>
      </c>
      <c r="EK384" s="252">
        <f t="shared" si="3986"/>
        <v>0</v>
      </c>
      <c r="EL384" s="309">
        <f t="shared" si="4230"/>
        <v>22.000718390804597</v>
      </c>
      <c r="EM384" s="218">
        <f t="shared" ref="EM384:EN386" si="4301">IF(EJ384&lt;=0,2,0)+IF(EJ384&gt;0,EJ384+1,0)*2+IF(EJ384&gt;12,EJ384-12,0)*2+IF(EJ384&gt;13,EJ384-13,0)*2+IF(EJ384&gt;14,EJ384-14,0)*2+IF(EJ384&gt;15,EJ384-15,0)*2+IF(EJ384&gt;16,EJ384-16,0)*2+IF(EJ384&gt;17,EJ384-17,0)*2+IF(EJ384&gt;18,EJ384-18,0)*2+IF(EJ384&gt;19,EJ384-19,0)*2+IF(EJ384&gt;20,EJ384-20,0)*2</f>
        <v>154.01436781609189</v>
      </c>
      <c r="EN384" s="242">
        <f t="shared" si="4301"/>
        <v>2</v>
      </c>
      <c r="EO384" s="243">
        <f t="shared" si="4231"/>
        <v>152.01436781609189</v>
      </c>
      <c r="EP384" s="218">
        <f t="shared" si="4232"/>
        <v>0</v>
      </c>
      <c r="ER384" s="303" t="s">
        <v>429</v>
      </c>
      <c r="ES384" s="304" t="s">
        <v>79</v>
      </c>
      <c r="ET384" s="218" t="s">
        <v>132</v>
      </c>
      <c r="EU384" s="234"/>
      <c r="EV384" s="234">
        <f>Konvention_1slave-KLslave</f>
        <v>12</v>
      </c>
      <c r="EW384" s="234"/>
      <c r="EX384" s="234">
        <f>Konvention_1slave-CHslave</f>
        <v>12</v>
      </c>
      <c r="EY384" s="234"/>
      <c r="EZ384" s="234"/>
      <c r="FA384" s="234">
        <f t="shared" si="4233"/>
        <v>12</v>
      </c>
      <c r="FB384" s="234"/>
      <c r="FC384" s="222">
        <f t="shared" si="4234"/>
        <v>12</v>
      </c>
      <c r="FD384" s="223">
        <f t="shared" si="4235"/>
        <v>24</v>
      </c>
      <c r="FE384" s="224">
        <f t="shared" si="4236"/>
        <v>36</v>
      </c>
      <c r="FF384" s="234">
        <f t="shared" si="4237"/>
        <v>2304</v>
      </c>
      <c r="FG384" s="234">
        <f>EV384*EX384*KOslave+EV384*CHslave*FA384+KLslave*EX384*FA384</f>
        <v>3456</v>
      </c>
      <c r="FH384" s="234">
        <f t="shared" si="4238"/>
        <v>1728</v>
      </c>
      <c r="FI384" s="242">
        <f t="shared" si="4239"/>
        <v>7488</v>
      </c>
      <c r="FJ384" s="223">
        <f t="shared" si="4240"/>
        <v>3.6923076923076925</v>
      </c>
      <c r="FK384" s="223">
        <f t="shared" si="4241"/>
        <v>11.076923076923077</v>
      </c>
      <c r="FL384" s="223">
        <f t="shared" si="4242"/>
        <v>8.3076923076923084</v>
      </c>
      <c r="FM384" s="218">
        <f t="shared" si="4243"/>
        <v>23.07692307692308</v>
      </c>
      <c r="FN384" s="252">
        <f t="shared" si="4002"/>
        <v>0</v>
      </c>
      <c r="FO384" s="309">
        <f t="shared" si="4244"/>
        <v>23.07692307692308</v>
      </c>
      <c r="FP384" s="218">
        <f t="shared" ref="FP384:FQ386" si="4302">IF(FM384&lt;=0,2,0)+IF(FM384&gt;0,FM384+1,0)*2+IF(FM384&gt;12,FM384-12,0)*2+IF(FM384&gt;13,FM384-13,0)*2+IF(FM384&gt;14,FM384-14,0)*2+IF(FM384&gt;15,FM384-15,0)*2+IF(FM384&gt;16,FM384-16,0)*2+IF(FM384&gt;17,FM384-17,0)*2+IF(FM384&gt;18,FM384-18,0)*2+IF(FM384&gt;19,FM384-19,0)*2+IF(FM384&gt;20,FM384-20,0)*2</f>
        <v>175.5384615384616</v>
      </c>
      <c r="FQ384" s="242">
        <f t="shared" si="4302"/>
        <v>2</v>
      </c>
      <c r="FR384" s="243">
        <f t="shared" si="4245"/>
        <v>173.5384615384616</v>
      </c>
      <c r="FS384" s="218">
        <f t="shared" si="4246"/>
        <v>0</v>
      </c>
      <c r="FU384" s="303" t="s">
        <v>429</v>
      </c>
      <c r="FV384" s="304" t="s">
        <v>79</v>
      </c>
      <c r="FW384" s="218" t="s">
        <v>132</v>
      </c>
      <c r="FX384" s="234"/>
      <c r="FY384" s="234">
        <f>Konvention_1slave-KLslave</f>
        <v>12</v>
      </c>
      <c r="FZ384" s="234"/>
      <c r="GA384" s="234">
        <f>Konvention_1slave-CHslave</f>
        <v>12</v>
      </c>
      <c r="GB384" s="234"/>
      <c r="GC384" s="234"/>
      <c r="GD384" s="234">
        <f t="shared" si="4247"/>
        <v>12</v>
      </c>
      <c r="GE384" s="234"/>
      <c r="GF384" s="222">
        <f t="shared" si="4248"/>
        <v>12</v>
      </c>
      <c r="GG384" s="223">
        <f t="shared" si="4249"/>
        <v>24</v>
      </c>
      <c r="GH384" s="224">
        <f t="shared" si="4250"/>
        <v>36</v>
      </c>
      <c r="GI384" s="234">
        <f t="shared" si="4251"/>
        <v>2304</v>
      </c>
      <c r="GJ384" s="234">
        <f>FY384*GA384*KOslave+FY384*CHslave*GD384+KLslave*GA384*GD384</f>
        <v>3456</v>
      </c>
      <c r="GK384" s="234">
        <f t="shared" si="4252"/>
        <v>1728</v>
      </c>
      <c r="GL384" s="242">
        <f t="shared" si="4253"/>
        <v>7488</v>
      </c>
      <c r="GM384" s="223">
        <f t="shared" si="4254"/>
        <v>3.6923076923076925</v>
      </c>
      <c r="GN384" s="223">
        <f t="shared" si="4255"/>
        <v>11.076923076923077</v>
      </c>
      <c r="GO384" s="223">
        <f t="shared" si="4256"/>
        <v>8.3076923076923084</v>
      </c>
      <c r="GP384" s="218">
        <f t="shared" si="4257"/>
        <v>23.07692307692308</v>
      </c>
      <c r="GQ384" s="252">
        <f t="shared" si="4018"/>
        <v>0</v>
      </c>
      <c r="GR384" s="309">
        <f t="shared" si="4258"/>
        <v>23.07692307692308</v>
      </c>
      <c r="GS384" s="218">
        <f t="shared" ref="GS384:GT386" si="4303">IF(GP384&lt;=0,2,0)+IF(GP384&gt;0,GP384+1,0)*2+IF(GP384&gt;12,GP384-12,0)*2+IF(GP384&gt;13,GP384-13,0)*2+IF(GP384&gt;14,GP384-14,0)*2+IF(GP384&gt;15,GP384-15,0)*2+IF(GP384&gt;16,GP384-16,0)*2+IF(GP384&gt;17,GP384-17,0)*2+IF(GP384&gt;18,GP384-18,0)*2+IF(GP384&gt;19,GP384-19,0)*2+IF(GP384&gt;20,GP384-20,0)*2</f>
        <v>175.5384615384616</v>
      </c>
      <c r="GT384" s="242">
        <f t="shared" si="4303"/>
        <v>2</v>
      </c>
      <c r="GU384" s="243">
        <f t="shared" si="4259"/>
        <v>173.5384615384616</v>
      </c>
      <c r="GV384" s="218">
        <f t="shared" si="4260"/>
        <v>0</v>
      </c>
      <c r="GX384" s="303" t="s">
        <v>429</v>
      </c>
      <c r="GY384" s="304" t="s">
        <v>79</v>
      </c>
      <c r="GZ384" s="218" t="s">
        <v>132</v>
      </c>
      <c r="HA384" s="234"/>
      <c r="HB384" s="234">
        <f>Konvention_1slave-KLslave</f>
        <v>12</v>
      </c>
      <c r="HC384" s="234"/>
      <c r="HD384" s="234">
        <f>Konvention_1slave-CHslave</f>
        <v>12</v>
      </c>
      <c r="HE384" s="234"/>
      <c r="HF384" s="234"/>
      <c r="HG384" s="234">
        <f t="shared" si="4261"/>
        <v>11</v>
      </c>
      <c r="HH384" s="234"/>
      <c r="HI384" s="222">
        <f t="shared" si="4262"/>
        <v>11.666666666666666</v>
      </c>
      <c r="HJ384" s="223">
        <f t="shared" si="4263"/>
        <v>23.333333333333332</v>
      </c>
      <c r="HK384" s="224">
        <f t="shared" si="4264"/>
        <v>35</v>
      </c>
      <c r="HL384" s="234">
        <f t="shared" si="4265"/>
        <v>2432</v>
      </c>
      <c r="HM384" s="234">
        <f>HB384*HD384*KOslave_KO+HB384*CHslave*HG384+KLslave*HD384*HG384</f>
        <v>3408</v>
      </c>
      <c r="HN384" s="234">
        <f t="shared" si="4266"/>
        <v>1584</v>
      </c>
      <c r="HO384" s="242">
        <f t="shared" si="4267"/>
        <v>7424</v>
      </c>
      <c r="HP384" s="223">
        <f t="shared" si="4268"/>
        <v>3.8218390804597702</v>
      </c>
      <c r="HQ384" s="223">
        <f t="shared" si="4269"/>
        <v>10.711206896551724</v>
      </c>
      <c r="HR384" s="223">
        <f t="shared" si="4270"/>
        <v>7.4676724137931032</v>
      </c>
      <c r="HS384" s="218">
        <f t="shared" si="4271"/>
        <v>22.000718390804597</v>
      </c>
      <c r="HT384" s="252">
        <f t="shared" si="4034"/>
        <v>0</v>
      </c>
      <c r="HU384" s="309">
        <f t="shared" si="4272"/>
        <v>22.000718390804597</v>
      </c>
      <c r="HV384" s="218">
        <f t="shared" ref="HV384:HW386" si="4304">IF(HS384&lt;=0,2,0)+IF(HS384&gt;0,HS384+1,0)*2+IF(HS384&gt;12,HS384-12,0)*2+IF(HS384&gt;13,HS384-13,0)*2+IF(HS384&gt;14,HS384-14,0)*2+IF(HS384&gt;15,HS384-15,0)*2+IF(HS384&gt;16,HS384-16,0)*2+IF(HS384&gt;17,HS384-17,0)*2+IF(HS384&gt;18,HS384-18,0)*2+IF(HS384&gt;19,HS384-19,0)*2+IF(HS384&gt;20,HS384-20,0)*2</f>
        <v>154.01436781609189</v>
      </c>
      <c r="HW384" s="242">
        <f t="shared" si="4304"/>
        <v>2</v>
      </c>
      <c r="HX384" s="243">
        <f t="shared" si="4273"/>
        <v>152.01436781609189</v>
      </c>
      <c r="HY384" s="218">
        <f t="shared" si="4274"/>
        <v>0</v>
      </c>
      <c r="IA384" s="303" t="s">
        <v>429</v>
      </c>
      <c r="IB384" s="304" t="s">
        <v>79</v>
      </c>
      <c r="IC384" s="218" t="s">
        <v>132</v>
      </c>
      <c r="ID384" s="234"/>
      <c r="IE384" s="234">
        <f>Konvention_1slave-KLslave</f>
        <v>12</v>
      </c>
      <c r="IF384" s="234"/>
      <c r="IG384" s="234">
        <f>Konvention_1slave-CHslave</f>
        <v>12</v>
      </c>
      <c r="IH384" s="234"/>
      <c r="II384" s="234"/>
      <c r="IJ384" s="234">
        <f t="shared" si="4275"/>
        <v>12</v>
      </c>
      <c r="IK384" s="234"/>
      <c r="IL384" s="222">
        <f t="shared" si="4276"/>
        <v>12</v>
      </c>
      <c r="IM384" s="223">
        <f t="shared" si="4277"/>
        <v>24</v>
      </c>
      <c r="IN384" s="224">
        <f t="shared" si="4278"/>
        <v>36</v>
      </c>
      <c r="IO384" s="234">
        <f t="shared" si="4279"/>
        <v>2304</v>
      </c>
      <c r="IP384" s="234">
        <f>IE384*IG384*KOslave+IE384*CHslave*IJ384+KLslave*IG384*IJ384</f>
        <v>3456</v>
      </c>
      <c r="IQ384" s="234">
        <f t="shared" si="4280"/>
        <v>1728</v>
      </c>
      <c r="IR384" s="242">
        <f t="shared" si="4281"/>
        <v>7488</v>
      </c>
      <c r="IS384" s="223">
        <f t="shared" si="4282"/>
        <v>3.6923076923076925</v>
      </c>
      <c r="IT384" s="223">
        <f t="shared" si="4283"/>
        <v>11.076923076923077</v>
      </c>
      <c r="IU384" s="223">
        <f t="shared" si="4284"/>
        <v>8.3076923076923084</v>
      </c>
      <c r="IV384" s="218">
        <f t="shared" si="4285"/>
        <v>23.07692307692308</v>
      </c>
      <c r="IW384" s="252">
        <f t="shared" si="4050"/>
        <v>0</v>
      </c>
      <c r="IX384" s="309">
        <f t="shared" si="4286"/>
        <v>23.07692307692308</v>
      </c>
      <c r="IY384" s="218">
        <f t="shared" ref="IY384:IZ386" si="4305">IF(IV384&lt;=0,2,0)+IF(IV384&gt;0,IV384+1,0)*2+IF(IV384&gt;12,IV384-12,0)*2+IF(IV384&gt;13,IV384-13,0)*2+IF(IV384&gt;14,IV384-14,0)*2+IF(IV384&gt;15,IV384-15,0)*2+IF(IV384&gt;16,IV384-16,0)*2+IF(IV384&gt;17,IV384-17,0)*2+IF(IV384&gt;18,IV384-18,0)*2+IF(IV384&gt;19,IV384-19,0)*2+IF(IV384&gt;20,IV384-20,0)*2</f>
        <v>175.5384615384616</v>
      </c>
      <c r="IZ384" s="242">
        <f t="shared" si="4305"/>
        <v>2</v>
      </c>
      <c r="JA384" s="243">
        <f t="shared" si="4287"/>
        <v>173.5384615384616</v>
      </c>
      <c r="JB384" s="218">
        <f t="shared" si="4288"/>
        <v>0</v>
      </c>
      <c r="JE384" s="148"/>
    </row>
    <row r="385" spans="1:265" hidden="1" outlineLevel="2">
      <c r="B385" s="148">
        <v>10</v>
      </c>
      <c r="C385" s="303" t="e">
        <f>VLOOKUP(AF385,Attribute!C:T,1,FALSE)</f>
        <v>#N/A</v>
      </c>
      <c r="D385" s="86" t="s">
        <v>88</v>
      </c>
      <c r="E385" s="125" t="s">
        <v>132</v>
      </c>
      <c r="F385" s="113"/>
      <c r="G385" s="113"/>
      <c r="H385" s="113">
        <f>Konvention_1master-INmaster</f>
        <v>12</v>
      </c>
      <c r="I385" s="113">
        <f>Konvention_1master-CHmaster</f>
        <v>12</v>
      </c>
      <c r="J385" s="113"/>
      <c r="K385" s="113">
        <f>Konvention_1master-GEmaster</f>
        <v>12</v>
      </c>
      <c r="L385" s="113"/>
      <c r="M385" s="113"/>
      <c r="N385" s="222">
        <f t="shared" si="4163"/>
        <v>12</v>
      </c>
      <c r="O385" s="223">
        <f t="shared" si="4164"/>
        <v>24</v>
      </c>
      <c r="P385" s="224">
        <f t="shared" si="4165"/>
        <v>36</v>
      </c>
      <c r="Q385" s="234">
        <f t="shared" si="4166"/>
        <v>2304</v>
      </c>
      <c r="R385" s="113">
        <f>H385*I385*GEmaster+H385*CHmaster*K385+INmaster*I385*K385</f>
        <v>3456</v>
      </c>
      <c r="S385" s="234">
        <f t="shared" si="4167"/>
        <v>1728</v>
      </c>
      <c r="T385" s="242">
        <f t="shared" si="4168"/>
        <v>7488</v>
      </c>
      <c r="U385" s="223">
        <f t="shared" si="4169"/>
        <v>3.6923076923076925</v>
      </c>
      <c r="V385" s="223">
        <f t="shared" si="4170"/>
        <v>11.076923076923077</v>
      </c>
      <c r="W385" s="223">
        <f t="shared" si="4171"/>
        <v>8.3076923076923084</v>
      </c>
      <c r="X385" s="218">
        <f t="shared" si="4172"/>
        <v>23.07692307692308</v>
      </c>
      <c r="Y385" s="252">
        <v>0</v>
      </c>
      <c r="Z385" s="198">
        <f t="shared" si="4173"/>
        <v>23.07692307692308</v>
      </c>
      <c r="AA385" s="125">
        <f t="shared" si="4297"/>
        <v>175.5384615384616</v>
      </c>
      <c r="AB385" s="160">
        <f t="shared" si="4297"/>
        <v>2</v>
      </c>
      <c r="AC385" s="127">
        <f t="shared" si="4174"/>
        <v>173.5384615384616</v>
      </c>
      <c r="AD385" s="125">
        <f t="shared" si="4175"/>
        <v>0</v>
      </c>
      <c r="AF385" s="163" t="s">
        <v>432</v>
      </c>
      <c r="AG385" s="86" t="s">
        <v>88</v>
      </c>
      <c r="AH385" s="125" t="s">
        <v>132</v>
      </c>
      <c r="AI385" s="113"/>
      <c r="AJ385" s="113"/>
      <c r="AK385" s="113">
        <f>Konvention_1slave-INslave</f>
        <v>12</v>
      </c>
      <c r="AL385" s="113">
        <f>Konvention_1slave-CHslave</f>
        <v>12</v>
      </c>
      <c r="AM385" s="113"/>
      <c r="AN385" s="113">
        <f>Konvention_1slave-GEslave</f>
        <v>12</v>
      </c>
      <c r="AO385" s="113"/>
      <c r="AP385" s="113"/>
      <c r="AQ385" s="89">
        <f t="shared" si="4178"/>
        <v>12</v>
      </c>
      <c r="AR385" s="47">
        <f t="shared" si="4179"/>
        <v>24</v>
      </c>
      <c r="AS385" s="119">
        <f t="shared" si="4180"/>
        <v>36</v>
      </c>
      <c r="AT385" s="113">
        <f t="shared" si="4181"/>
        <v>2304</v>
      </c>
      <c r="AU385" s="113">
        <f>AK385*AL385*GEslave+AK385*CHslave*AN385+INslave*AL385*AN385</f>
        <v>3456</v>
      </c>
      <c r="AV385" s="113">
        <f t="shared" si="4182"/>
        <v>1728</v>
      </c>
      <c r="AW385" s="160">
        <f t="shared" si="4183"/>
        <v>7488</v>
      </c>
      <c r="AX385" s="47">
        <f t="shared" si="4184"/>
        <v>3.6923076923076925</v>
      </c>
      <c r="AY385" s="47">
        <f t="shared" si="4185"/>
        <v>11.076923076923077</v>
      </c>
      <c r="AZ385" s="47">
        <f t="shared" si="4186"/>
        <v>8.3076923076923084</v>
      </c>
      <c r="BA385" s="125">
        <f t="shared" si="4187"/>
        <v>23.07692307692308</v>
      </c>
      <c r="BB385" s="165">
        <f t="shared" si="3938"/>
        <v>0</v>
      </c>
      <c r="BC385" s="198">
        <f t="shared" si="4188"/>
        <v>23.07692307692308</v>
      </c>
      <c r="BD385" s="125">
        <f t="shared" si="4298"/>
        <v>175.5384615384616</v>
      </c>
      <c r="BE385" s="160">
        <f t="shared" si="4298"/>
        <v>2</v>
      </c>
      <c r="BF385" s="243">
        <f t="shared" si="4189"/>
        <v>173.5384615384616</v>
      </c>
      <c r="BG385" s="218">
        <f t="shared" si="4190"/>
        <v>0</v>
      </c>
      <c r="BI385" s="303" t="s">
        <v>432</v>
      </c>
      <c r="BJ385" s="304" t="s">
        <v>88</v>
      </c>
      <c r="BK385" s="218" t="s">
        <v>132</v>
      </c>
      <c r="BL385" s="234"/>
      <c r="BM385" s="234"/>
      <c r="BN385" s="234">
        <f>Konvention_1slave-INslave</f>
        <v>12</v>
      </c>
      <c r="BO385" s="234">
        <f>Konvention_1slave-CHslave</f>
        <v>12</v>
      </c>
      <c r="BP385" s="234"/>
      <c r="BQ385" s="234">
        <f>Konvention_1slave-GEslave</f>
        <v>12</v>
      </c>
      <c r="BR385" s="234"/>
      <c r="BS385" s="234"/>
      <c r="BT385" s="222">
        <f t="shared" si="4192"/>
        <v>12</v>
      </c>
      <c r="BU385" s="223">
        <f t="shared" si="4193"/>
        <v>24</v>
      </c>
      <c r="BV385" s="224">
        <f t="shared" si="4194"/>
        <v>36</v>
      </c>
      <c r="BW385" s="234">
        <f t="shared" si="4195"/>
        <v>2304</v>
      </c>
      <c r="BX385" s="234">
        <f>BN385*BO385*GEslave+BN385*CHslave*BQ385+INslave*BO385*BQ385</f>
        <v>3456</v>
      </c>
      <c r="BY385" s="234">
        <f t="shared" si="4196"/>
        <v>1728</v>
      </c>
      <c r="BZ385" s="242">
        <f t="shared" si="4197"/>
        <v>7488</v>
      </c>
      <c r="CA385" s="223">
        <f t="shared" si="4198"/>
        <v>3.6923076923076925</v>
      </c>
      <c r="CB385" s="223">
        <f t="shared" si="4199"/>
        <v>11.076923076923077</v>
      </c>
      <c r="CC385" s="223">
        <f t="shared" si="4200"/>
        <v>8.3076923076923084</v>
      </c>
      <c r="CD385" s="218">
        <f t="shared" si="4201"/>
        <v>23.07692307692308</v>
      </c>
      <c r="CE385" s="252">
        <f t="shared" si="3954"/>
        <v>0</v>
      </c>
      <c r="CF385" s="309">
        <f t="shared" si="4202"/>
        <v>23.07692307692308</v>
      </c>
      <c r="CG385" s="218">
        <f t="shared" si="4299"/>
        <v>175.5384615384616</v>
      </c>
      <c r="CH385" s="242">
        <f t="shared" si="4299"/>
        <v>2</v>
      </c>
      <c r="CI385" s="243">
        <f t="shared" si="4203"/>
        <v>173.5384615384616</v>
      </c>
      <c r="CJ385" s="218">
        <f t="shared" si="4204"/>
        <v>0</v>
      </c>
      <c r="CL385" s="303" t="s">
        <v>432</v>
      </c>
      <c r="CM385" s="304" t="s">
        <v>88</v>
      </c>
      <c r="CN385" s="218" t="s">
        <v>132</v>
      </c>
      <c r="CO385" s="234"/>
      <c r="CP385" s="234"/>
      <c r="CQ385" s="234">
        <f>Konvention_1slave-INslave_IN</f>
        <v>11</v>
      </c>
      <c r="CR385" s="234">
        <f>Konvention_1slave-CHslave</f>
        <v>12</v>
      </c>
      <c r="CS385" s="234"/>
      <c r="CT385" s="234">
        <f>Konvention_1slave-GEslave</f>
        <v>12</v>
      </c>
      <c r="CU385" s="234"/>
      <c r="CV385" s="234"/>
      <c r="CW385" s="222">
        <f t="shared" si="4206"/>
        <v>11.666666666666666</v>
      </c>
      <c r="CX385" s="223">
        <f t="shared" si="4207"/>
        <v>23.333333333333332</v>
      </c>
      <c r="CY385" s="224">
        <f t="shared" si="4208"/>
        <v>35</v>
      </c>
      <c r="CZ385" s="234">
        <f t="shared" si="4209"/>
        <v>2432</v>
      </c>
      <c r="DA385" s="234">
        <f>CQ385*CR385*GEslave+CQ385*CHslave*CT385+INslave_IN*CR385*CT385</f>
        <v>3408</v>
      </c>
      <c r="DB385" s="234">
        <f t="shared" si="4210"/>
        <v>1584</v>
      </c>
      <c r="DC385" s="242">
        <f t="shared" si="4211"/>
        <v>7424</v>
      </c>
      <c r="DD385" s="223">
        <f t="shared" si="4212"/>
        <v>3.8218390804597702</v>
      </c>
      <c r="DE385" s="223">
        <f t="shared" si="4213"/>
        <v>10.711206896551724</v>
      </c>
      <c r="DF385" s="223">
        <f t="shared" si="4214"/>
        <v>7.4676724137931032</v>
      </c>
      <c r="DG385" s="218">
        <f t="shared" si="4215"/>
        <v>22.000718390804597</v>
      </c>
      <c r="DH385" s="252">
        <f t="shared" si="3970"/>
        <v>0</v>
      </c>
      <c r="DI385" s="309">
        <f t="shared" si="4216"/>
        <v>22.000718390804597</v>
      </c>
      <c r="DJ385" s="218">
        <f t="shared" si="4300"/>
        <v>154.01436781609189</v>
      </c>
      <c r="DK385" s="242">
        <f t="shared" si="4300"/>
        <v>2</v>
      </c>
      <c r="DL385" s="243">
        <f t="shared" si="4217"/>
        <v>152.01436781609189</v>
      </c>
      <c r="DM385" s="218">
        <f t="shared" si="4218"/>
        <v>0</v>
      </c>
      <c r="DO385" s="303" t="s">
        <v>432</v>
      </c>
      <c r="DP385" s="304" t="s">
        <v>88</v>
      </c>
      <c r="DQ385" s="218" t="s">
        <v>132</v>
      </c>
      <c r="DR385" s="234"/>
      <c r="DS385" s="234"/>
      <c r="DT385" s="234">
        <f>Konvention_1slave-INslave</f>
        <v>12</v>
      </c>
      <c r="DU385" s="234">
        <f>Konvention_1slave-CHslave_CH</f>
        <v>11</v>
      </c>
      <c r="DV385" s="234"/>
      <c r="DW385" s="234">
        <f>Konvention_1slave-GEslave</f>
        <v>12</v>
      </c>
      <c r="DX385" s="234"/>
      <c r="DY385" s="234"/>
      <c r="DZ385" s="222">
        <f t="shared" si="4220"/>
        <v>11.666666666666666</v>
      </c>
      <c r="EA385" s="223">
        <f t="shared" si="4221"/>
        <v>23.333333333333332</v>
      </c>
      <c r="EB385" s="224">
        <f t="shared" si="4222"/>
        <v>35</v>
      </c>
      <c r="EC385" s="234">
        <f t="shared" si="4223"/>
        <v>2432</v>
      </c>
      <c r="ED385" s="234">
        <f>DT385*DU385*GEslave+DT385*CHslave_CH*DW385+INslave*DU385*DW385</f>
        <v>3408</v>
      </c>
      <c r="EE385" s="234">
        <f t="shared" si="4224"/>
        <v>1584</v>
      </c>
      <c r="EF385" s="242">
        <f t="shared" si="4225"/>
        <v>7424</v>
      </c>
      <c r="EG385" s="223">
        <f t="shared" si="4226"/>
        <v>3.8218390804597702</v>
      </c>
      <c r="EH385" s="223">
        <f t="shared" si="4227"/>
        <v>10.711206896551724</v>
      </c>
      <c r="EI385" s="223">
        <f t="shared" si="4228"/>
        <v>7.4676724137931032</v>
      </c>
      <c r="EJ385" s="218">
        <f t="shared" si="4229"/>
        <v>22.000718390804597</v>
      </c>
      <c r="EK385" s="252">
        <f t="shared" si="3986"/>
        <v>0</v>
      </c>
      <c r="EL385" s="309">
        <f t="shared" si="4230"/>
        <v>22.000718390804597</v>
      </c>
      <c r="EM385" s="218">
        <f t="shared" si="4301"/>
        <v>154.01436781609189</v>
      </c>
      <c r="EN385" s="242">
        <f t="shared" si="4301"/>
        <v>2</v>
      </c>
      <c r="EO385" s="243">
        <f t="shared" si="4231"/>
        <v>152.01436781609189</v>
      </c>
      <c r="EP385" s="218">
        <f t="shared" si="4232"/>
        <v>0</v>
      </c>
      <c r="ER385" s="303" t="s">
        <v>432</v>
      </c>
      <c r="ES385" s="304" t="s">
        <v>88</v>
      </c>
      <c r="ET385" s="218" t="s">
        <v>132</v>
      </c>
      <c r="EU385" s="234"/>
      <c r="EV385" s="234"/>
      <c r="EW385" s="234">
        <f>Konvention_1slave-INslave</f>
        <v>12</v>
      </c>
      <c r="EX385" s="234">
        <f>Konvention_1slave-CHslave</f>
        <v>12</v>
      </c>
      <c r="EY385" s="234"/>
      <c r="EZ385" s="234">
        <f>Konvention_1slave-GEslave</f>
        <v>12</v>
      </c>
      <c r="FA385" s="234"/>
      <c r="FB385" s="234"/>
      <c r="FC385" s="222">
        <f t="shared" si="4234"/>
        <v>12</v>
      </c>
      <c r="FD385" s="223">
        <f t="shared" si="4235"/>
        <v>24</v>
      </c>
      <c r="FE385" s="224">
        <f t="shared" si="4236"/>
        <v>36</v>
      </c>
      <c r="FF385" s="234">
        <f t="shared" si="4237"/>
        <v>2304</v>
      </c>
      <c r="FG385" s="234">
        <f>EW385*EX385*GEslave+EW385*CHslave*EZ385+INslave*EX385*EZ385</f>
        <v>3456</v>
      </c>
      <c r="FH385" s="234">
        <f t="shared" si="4238"/>
        <v>1728</v>
      </c>
      <c r="FI385" s="242">
        <f t="shared" si="4239"/>
        <v>7488</v>
      </c>
      <c r="FJ385" s="223">
        <f t="shared" si="4240"/>
        <v>3.6923076923076925</v>
      </c>
      <c r="FK385" s="223">
        <f t="shared" si="4241"/>
        <v>11.076923076923077</v>
      </c>
      <c r="FL385" s="223">
        <f t="shared" si="4242"/>
        <v>8.3076923076923084</v>
      </c>
      <c r="FM385" s="218">
        <f t="shared" si="4243"/>
        <v>23.07692307692308</v>
      </c>
      <c r="FN385" s="252">
        <f t="shared" si="4002"/>
        <v>0</v>
      </c>
      <c r="FO385" s="309">
        <f t="shared" si="4244"/>
        <v>23.07692307692308</v>
      </c>
      <c r="FP385" s="218">
        <f t="shared" si="4302"/>
        <v>175.5384615384616</v>
      </c>
      <c r="FQ385" s="242">
        <f t="shared" si="4302"/>
        <v>2</v>
      </c>
      <c r="FR385" s="243">
        <f t="shared" si="4245"/>
        <v>173.5384615384616</v>
      </c>
      <c r="FS385" s="218">
        <f t="shared" si="4246"/>
        <v>0</v>
      </c>
      <c r="FU385" s="303" t="s">
        <v>432</v>
      </c>
      <c r="FV385" s="304" t="s">
        <v>88</v>
      </c>
      <c r="FW385" s="218" t="s">
        <v>132</v>
      </c>
      <c r="FX385" s="234"/>
      <c r="FY385" s="234"/>
      <c r="FZ385" s="234">
        <f>Konvention_1slave-INslave</f>
        <v>12</v>
      </c>
      <c r="GA385" s="234">
        <f>Konvention_1slave-CHslave</f>
        <v>12</v>
      </c>
      <c r="GB385" s="234"/>
      <c r="GC385" s="234">
        <f>Konvention_1slave-GEslave_GE</f>
        <v>11</v>
      </c>
      <c r="GD385" s="234"/>
      <c r="GE385" s="234"/>
      <c r="GF385" s="222">
        <f t="shared" si="4248"/>
        <v>11.666666666666666</v>
      </c>
      <c r="GG385" s="223">
        <f t="shared" si="4249"/>
        <v>23.333333333333332</v>
      </c>
      <c r="GH385" s="224">
        <f t="shared" si="4250"/>
        <v>35</v>
      </c>
      <c r="GI385" s="234">
        <f t="shared" si="4251"/>
        <v>2432</v>
      </c>
      <c r="GJ385" s="234">
        <f>FZ385*GA385*GEslave_GE+FZ385*CHslave*GC385+INslave*GA385*GC385</f>
        <v>3408</v>
      </c>
      <c r="GK385" s="234">
        <f t="shared" si="4252"/>
        <v>1584</v>
      </c>
      <c r="GL385" s="242">
        <f t="shared" si="4253"/>
        <v>7424</v>
      </c>
      <c r="GM385" s="223">
        <f t="shared" si="4254"/>
        <v>3.8218390804597702</v>
      </c>
      <c r="GN385" s="223">
        <f t="shared" si="4255"/>
        <v>10.711206896551724</v>
      </c>
      <c r="GO385" s="223">
        <f t="shared" si="4256"/>
        <v>7.4676724137931032</v>
      </c>
      <c r="GP385" s="218">
        <f t="shared" si="4257"/>
        <v>22.000718390804597</v>
      </c>
      <c r="GQ385" s="252">
        <f t="shared" si="4018"/>
        <v>0</v>
      </c>
      <c r="GR385" s="309">
        <f t="shared" si="4258"/>
        <v>22.000718390804597</v>
      </c>
      <c r="GS385" s="218">
        <f t="shared" si="4303"/>
        <v>154.01436781609189</v>
      </c>
      <c r="GT385" s="242">
        <f t="shared" si="4303"/>
        <v>2</v>
      </c>
      <c r="GU385" s="243">
        <f t="shared" si="4259"/>
        <v>152.01436781609189</v>
      </c>
      <c r="GV385" s="218">
        <f t="shared" si="4260"/>
        <v>0</v>
      </c>
      <c r="GX385" s="303" t="s">
        <v>432</v>
      </c>
      <c r="GY385" s="304" t="s">
        <v>88</v>
      </c>
      <c r="GZ385" s="218" t="s">
        <v>132</v>
      </c>
      <c r="HA385" s="234"/>
      <c r="HB385" s="234"/>
      <c r="HC385" s="234">
        <f>Konvention_1slave-INslave</f>
        <v>12</v>
      </c>
      <c r="HD385" s="234">
        <f>Konvention_1slave-CHslave</f>
        <v>12</v>
      </c>
      <c r="HE385" s="234"/>
      <c r="HF385" s="234">
        <f>Konvention_1slave-GEslave</f>
        <v>12</v>
      </c>
      <c r="HG385" s="234"/>
      <c r="HH385" s="234"/>
      <c r="HI385" s="222">
        <f t="shared" si="4262"/>
        <v>12</v>
      </c>
      <c r="HJ385" s="223">
        <f t="shared" si="4263"/>
        <v>24</v>
      </c>
      <c r="HK385" s="224">
        <f t="shared" si="4264"/>
        <v>36</v>
      </c>
      <c r="HL385" s="234">
        <f t="shared" si="4265"/>
        <v>2304</v>
      </c>
      <c r="HM385" s="234">
        <f>HC385*HD385*GEslave+HC385*CHslave*HF385+INslave*HD385*HF385</f>
        <v>3456</v>
      </c>
      <c r="HN385" s="234">
        <f t="shared" si="4266"/>
        <v>1728</v>
      </c>
      <c r="HO385" s="242">
        <f t="shared" si="4267"/>
        <v>7488</v>
      </c>
      <c r="HP385" s="223">
        <f t="shared" si="4268"/>
        <v>3.6923076923076925</v>
      </c>
      <c r="HQ385" s="223">
        <f t="shared" si="4269"/>
        <v>11.076923076923077</v>
      </c>
      <c r="HR385" s="223">
        <f t="shared" si="4270"/>
        <v>8.3076923076923084</v>
      </c>
      <c r="HS385" s="218">
        <f t="shared" si="4271"/>
        <v>23.07692307692308</v>
      </c>
      <c r="HT385" s="252">
        <f t="shared" si="4034"/>
        <v>0</v>
      </c>
      <c r="HU385" s="309">
        <f t="shared" si="4272"/>
        <v>23.07692307692308</v>
      </c>
      <c r="HV385" s="218">
        <f t="shared" si="4304"/>
        <v>175.5384615384616</v>
      </c>
      <c r="HW385" s="242">
        <f t="shared" si="4304"/>
        <v>2</v>
      </c>
      <c r="HX385" s="243">
        <f t="shared" si="4273"/>
        <v>173.5384615384616</v>
      </c>
      <c r="HY385" s="218">
        <f t="shared" si="4274"/>
        <v>0</v>
      </c>
      <c r="IA385" s="303" t="s">
        <v>432</v>
      </c>
      <c r="IB385" s="304" t="s">
        <v>88</v>
      </c>
      <c r="IC385" s="218" t="s">
        <v>132</v>
      </c>
      <c r="ID385" s="234"/>
      <c r="IE385" s="234"/>
      <c r="IF385" s="234">
        <f>Konvention_1slave-INslave</f>
        <v>12</v>
      </c>
      <c r="IG385" s="234">
        <f>Konvention_1slave-CHslave</f>
        <v>12</v>
      </c>
      <c r="IH385" s="234"/>
      <c r="II385" s="234">
        <f>Konvention_1slave-GEslave</f>
        <v>12</v>
      </c>
      <c r="IJ385" s="234"/>
      <c r="IK385" s="234"/>
      <c r="IL385" s="222">
        <f t="shared" si="4276"/>
        <v>12</v>
      </c>
      <c r="IM385" s="223">
        <f t="shared" si="4277"/>
        <v>24</v>
      </c>
      <c r="IN385" s="224">
        <f t="shared" si="4278"/>
        <v>36</v>
      </c>
      <c r="IO385" s="234">
        <f t="shared" si="4279"/>
        <v>2304</v>
      </c>
      <c r="IP385" s="234">
        <f>IF385*IG385*GEslave+IF385*CHslave*II385+INslave*IG385*II385</f>
        <v>3456</v>
      </c>
      <c r="IQ385" s="234">
        <f t="shared" si="4280"/>
        <v>1728</v>
      </c>
      <c r="IR385" s="242">
        <f t="shared" si="4281"/>
        <v>7488</v>
      </c>
      <c r="IS385" s="223">
        <f t="shared" si="4282"/>
        <v>3.6923076923076925</v>
      </c>
      <c r="IT385" s="223">
        <f t="shared" si="4283"/>
        <v>11.076923076923077</v>
      </c>
      <c r="IU385" s="223">
        <f t="shared" si="4284"/>
        <v>8.3076923076923084</v>
      </c>
      <c r="IV385" s="218">
        <f t="shared" si="4285"/>
        <v>23.07692307692308</v>
      </c>
      <c r="IW385" s="252">
        <f t="shared" si="4050"/>
        <v>0</v>
      </c>
      <c r="IX385" s="309">
        <f t="shared" si="4286"/>
        <v>23.07692307692308</v>
      </c>
      <c r="IY385" s="218">
        <f t="shared" si="4305"/>
        <v>175.5384615384616</v>
      </c>
      <c r="IZ385" s="242">
        <f t="shared" si="4305"/>
        <v>2</v>
      </c>
      <c r="JA385" s="243">
        <f t="shared" si="4287"/>
        <v>173.5384615384616</v>
      </c>
      <c r="JB385" s="218">
        <f t="shared" si="4288"/>
        <v>0</v>
      </c>
      <c r="JE385" s="148"/>
    </row>
    <row r="386" spans="1:265" ht="15" hidden="1" customHeight="1" outlineLevel="2">
      <c r="B386" s="148">
        <v>11</v>
      </c>
      <c r="C386" s="306" t="e">
        <f>VLOOKUP(AF386,Attribute!C:T,1,FALSE)</f>
        <v>#N/A</v>
      </c>
      <c r="D386" s="87" t="s">
        <v>227</v>
      </c>
      <c r="E386" s="159" t="s">
        <v>132</v>
      </c>
      <c r="F386" s="122">
        <f>Konvention_1master-MUmaster</f>
        <v>12</v>
      </c>
      <c r="G386" s="122"/>
      <c r="H386" s="122"/>
      <c r="I386" s="122">
        <f>Konvention_1master-CHmaster</f>
        <v>12</v>
      </c>
      <c r="J386" s="122"/>
      <c r="K386" s="122"/>
      <c r="L386" s="122">
        <f>Konvention_1master-KOmaster</f>
        <v>12</v>
      </c>
      <c r="M386" s="122"/>
      <c r="N386" s="225">
        <f t="shared" si="4163"/>
        <v>12</v>
      </c>
      <c r="O386" s="226">
        <f t="shared" si="4164"/>
        <v>24</v>
      </c>
      <c r="P386" s="227">
        <f t="shared" si="4165"/>
        <v>36</v>
      </c>
      <c r="Q386" s="235">
        <f t="shared" si="4166"/>
        <v>2304</v>
      </c>
      <c r="R386" s="122">
        <f>F386*I386*KOmaster+F386*CHmaster*L386+MUmaster*I386*L386</f>
        <v>3456</v>
      </c>
      <c r="S386" s="235">
        <f t="shared" si="4167"/>
        <v>1728</v>
      </c>
      <c r="T386" s="244">
        <f t="shared" si="4168"/>
        <v>7488</v>
      </c>
      <c r="U386" s="226">
        <f t="shared" si="4169"/>
        <v>3.6923076923076925</v>
      </c>
      <c r="V386" s="226">
        <f t="shared" si="4170"/>
        <v>11.076923076923077</v>
      </c>
      <c r="W386" s="226">
        <f t="shared" si="4171"/>
        <v>8.3076923076923084</v>
      </c>
      <c r="X386" s="246">
        <f t="shared" si="4172"/>
        <v>23.07692307692308</v>
      </c>
      <c r="Y386" s="252">
        <v>0</v>
      </c>
      <c r="Z386" s="198">
        <f t="shared" si="4173"/>
        <v>23.07692307692308</v>
      </c>
      <c r="AA386" s="159">
        <f t="shared" si="4297"/>
        <v>175.5384615384616</v>
      </c>
      <c r="AB386" s="161">
        <f t="shared" si="4297"/>
        <v>2</v>
      </c>
      <c r="AC386" s="128">
        <f t="shared" si="4174"/>
        <v>173.5384615384616</v>
      </c>
      <c r="AD386" s="159">
        <f t="shared" si="4175"/>
        <v>0</v>
      </c>
      <c r="AF386" s="164" t="s">
        <v>433</v>
      </c>
      <c r="AG386" s="87" t="s">
        <v>227</v>
      </c>
      <c r="AH386" s="159" t="s">
        <v>132</v>
      </c>
      <c r="AI386" s="122">
        <f>Konvention_1slave-MUslave_MU</f>
        <v>11</v>
      </c>
      <c r="AJ386" s="122"/>
      <c r="AK386" s="122"/>
      <c r="AL386" s="122">
        <f>Konvention_1slave-CHslave</f>
        <v>12</v>
      </c>
      <c r="AM386" s="122"/>
      <c r="AN386" s="122"/>
      <c r="AO386" s="122">
        <f>Konvention_1slave-KOslave</f>
        <v>12</v>
      </c>
      <c r="AP386" s="122"/>
      <c r="AQ386" s="90">
        <f t="shared" si="4178"/>
        <v>11.666666666666666</v>
      </c>
      <c r="AR386" s="88">
        <f t="shared" si="4179"/>
        <v>23.333333333333332</v>
      </c>
      <c r="AS386" s="123">
        <f t="shared" si="4180"/>
        <v>35</v>
      </c>
      <c r="AT386" s="122">
        <f t="shared" si="4181"/>
        <v>2432</v>
      </c>
      <c r="AU386" s="122">
        <f>AI386*AL386*KOslave+AI386*CHslave*AO386+MUslave_MU*AL386*AO386</f>
        <v>3408</v>
      </c>
      <c r="AV386" s="122">
        <f t="shared" si="4182"/>
        <v>1584</v>
      </c>
      <c r="AW386" s="161">
        <f t="shared" si="4183"/>
        <v>7424</v>
      </c>
      <c r="AX386" s="88">
        <f t="shared" si="4184"/>
        <v>3.8218390804597702</v>
      </c>
      <c r="AY386" s="88">
        <f t="shared" si="4185"/>
        <v>10.711206896551724</v>
      </c>
      <c r="AZ386" s="88">
        <f t="shared" si="4186"/>
        <v>7.4676724137931032</v>
      </c>
      <c r="BA386" s="159">
        <f t="shared" si="4187"/>
        <v>22.000718390804597</v>
      </c>
      <c r="BB386" s="165">
        <f t="shared" si="3938"/>
        <v>0</v>
      </c>
      <c r="BC386" s="198">
        <f t="shared" si="4188"/>
        <v>22.000718390804597</v>
      </c>
      <c r="BD386" s="159">
        <f t="shared" si="4298"/>
        <v>154.01436781609189</v>
      </c>
      <c r="BE386" s="161">
        <f t="shared" si="4298"/>
        <v>2</v>
      </c>
      <c r="BF386" s="245">
        <f t="shared" si="4189"/>
        <v>152.01436781609189</v>
      </c>
      <c r="BG386" s="246">
        <f t="shared" si="4190"/>
        <v>0</v>
      </c>
      <c r="BI386" s="306" t="s">
        <v>433</v>
      </c>
      <c r="BJ386" s="314" t="s">
        <v>227</v>
      </c>
      <c r="BK386" s="246" t="s">
        <v>132</v>
      </c>
      <c r="BL386" s="235">
        <f>Konvention_1slave-MUslave</f>
        <v>12</v>
      </c>
      <c r="BM386" s="235"/>
      <c r="BN386" s="235"/>
      <c r="BO386" s="235">
        <f>Konvention_1slave-CHslave</f>
        <v>12</v>
      </c>
      <c r="BP386" s="235"/>
      <c r="BQ386" s="235"/>
      <c r="BR386" s="235">
        <f>Konvention_1slave-KOslave</f>
        <v>12</v>
      </c>
      <c r="BS386" s="235"/>
      <c r="BT386" s="225">
        <f t="shared" si="4192"/>
        <v>12</v>
      </c>
      <c r="BU386" s="226">
        <f t="shared" si="4193"/>
        <v>24</v>
      </c>
      <c r="BV386" s="227">
        <f t="shared" si="4194"/>
        <v>36</v>
      </c>
      <c r="BW386" s="235">
        <f t="shared" si="4195"/>
        <v>2304</v>
      </c>
      <c r="BX386" s="235">
        <f>BL386*BO386*KOslave+BL386*CHslave*BR386+MUslave*BO386*BR386</f>
        <v>3456</v>
      </c>
      <c r="BY386" s="235">
        <f t="shared" si="4196"/>
        <v>1728</v>
      </c>
      <c r="BZ386" s="244">
        <f t="shared" si="4197"/>
        <v>7488</v>
      </c>
      <c r="CA386" s="226">
        <f t="shared" si="4198"/>
        <v>3.6923076923076925</v>
      </c>
      <c r="CB386" s="226">
        <f t="shared" si="4199"/>
        <v>11.076923076923077</v>
      </c>
      <c r="CC386" s="226">
        <f t="shared" si="4200"/>
        <v>8.3076923076923084</v>
      </c>
      <c r="CD386" s="246">
        <f t="shared" si="4201"/>
        <v>23.07692307692308</v>
      </c>
      <c r="CE386" s="252">
        <f t="shared" si="3954"/>
        <v>0</v>
      </c>
      <c r="CF386" s="309">
        <f t="shared" si="4202"/>
        <v>23.07692307692308</v>
      </c>
      <c r="CG386" s="246">
        <f t="shared" si="4299"/>
        <v>175.5384615384616</v>
      </c>
      <c r="CH386" s="244">
        <f t="shared" si="4299"/>
        <v>2</v>
      </c>
      <c r="CI386" s="245">
        <f t="shared" si="4203"/>
        <v>173.5384615384616</v>
      </c>
      <c r="CJ386" s="246">
        <f t="shared" si="4204"/>
        <v>0</v>
      </c>
      <c r="CL386" s="306" t="s">
        <v>433</v>
      </c>
      <c r="CM386" s="314" t="s">
        <v>227</v>
      </c>
      <c r="CN386" s="246" t="s">
        <v>132</v>
      </c>
      <c r="CO386" s="235">
        <f>Konvention_1slave-MUslave</f>
        <v>12</v>
      </c>
      <c r="CP386" s="235"/>
      <c r="CQ386" s="235"/>
      <c r="CR386" s="235">
        <f>Konvention_1slave-CHslave</f>
        <v>12</v>
      </c>
      <c r="CS386" s="235"/>
      <c r="CT386" s="235"/>
      <c r="CU386" s="235">
        <f>Konvention_1slave-KOslave</f>
        <v>12</v>
      </c>
      <c r="CV386" s="235"/>
      <c r="CW386" s="225">
        <f t="shared" si="4206"/>
        <v>12</v>
      </c>
      <c r="CX386" s="226">
        <f t="shared" si="4207"/>
        <v>24</v>
      </c>
      <c r="CY386" s="227">
        <f t="shared" si="4208"/>
        <v>36</v>
      </c>
      <c r="CZ386" s="235">
        <f t="shared" si="4209"/>
        <v>2304</v>
      </c>
      <c r="DA386" s="235">
        <f>CO386*CR386*KOslave+CO386*CHslave*CU386+MUslave*CR386*CU386</f>
        <v>3456</v>
      </c>
      <c r="DB386" s="235">
        <f t="shared" si="4210"/>
        <v>1728</v>
      </c>
      <c r="DC386" s="244">
        <f t="shared" si="4211"/>
        <v>7488</v>
      </c>
      <c r="DD386" s="226">
        <f t="shared" si="4212"/>
        <v>3.6923076923076925</v>
      </c>
      <c r="DE386" s="226">
        <f t="shared" si="4213"/>
        <v>11.076923076923077</v>
      </c>
      <c r="DF386" s="226">
        <f t="shared" si="4214"/>
        <v>8.3076923076923084</v>
      </c>
      <c r="DG386" s="246">
        <f t="shared" si="4215"/>
        <v>23.07692307692308</v>
      </c>
      <c r="DH386" s="252">
        <f t="shared" si="3970"/>
        <v>0</v>
      </c>
      <c r="DI386" s="309">
        <f t="shared" si="4216"/>
        <v>23.07692307692308</v>
      </c>
      <c r="DJ386" s="246">
        <f t="shared" si="4300"/>
        <v>175.5384615384616</v>
      </c>
      <c r="DK386" s="244">
        <f t="shared" si="4300"/>
        <v>2</v>
      </c>
      <c r="DL386" s="245">
        <f t="shared" si="4217"/>
        <v>173.5384615384616</v>
      </c>
      <c r="DM386" s="246">
        <f t="shared" si="4218"/>
        <v>0</v>
      </c>
      <c r="DO386" s="306" t="s">
        <v>433</v>
      </c>
      <c r="DP386" s="314" t="s">
        <v>227</v>
      </c>
      <c r="DQ386" s="246" t="s">
        <v>132</v>
      </c>
      <c r="DR386" s="235">
        <f>Konvention_1slave-MUslave</f>
        <v>12</v>
      </c>
      <c r="DS386" s="235"/>
      <c r="DT386" s="235"/>
      <c r="DU386" s="235">
        <f>Konvention_1slave-CHslave_CH</f>
        <v>11</v>
      </c>
      <c r="DV386" s="235"/>
      <c r="DW386" s="235"/>
      <c r="DX386" s="235">
        <f>Konvention_1slave-KOslave</f>
        <v>12</v>
      </c>
      <c r="DY386" s="235"/>
      <c r="DZ386" s="225">
        <f t="shared" si="4220"/>
        <v>11.666666666666666</v>
      </c>
      <c r="EA386" s="226">
        <f t="shared" si="4221"/>
        <v>23.333333333333332</v>
      </c>
      <c r="EB386" s="227">
        <f t="shared" si="4222"/>
        <v>35</v>
      </c>
      <c r="EC386" s="235">
        <f t="shared" si="4223"/>
        <v>2432</v>
      </c>
      <c r="ED386" s="235">
        <f>DR386*DU386*KOslave+DR386*CHslave_CH*DX386+MUslave*DU386*DX386</f>
        <v>3408</v>
      </c>
      <c r="EE386" s="235">
        <f t="shared" si="4224"/>
        <v>1584</v>
      </c>
      <c r="EF386" s="244">
        <f t="shared" si="4225"/>
        <v>7424</v>
      </c>
      <c r="EG386" s="226">
        <f t="shared" si="4226"/>
        <v>3.8218390804597702</v>
      </c>
      <c r="EH386" s="226">
        <f t="shared" si="4227"/>
        <v>10.711206896551724</v>
      </c>
      <c r="EI386" s="226">
        <f t="shared" si="4228"/>
        <v>7.4676724137931032</v>
      </c>
      <c r="EJ386" s="246">
        <f t="shared" si="4229"/>
        <v>22.000718390804597</v>
      </c>
      <c r="EK386" s="252">
        <f t="shared" si="3986"/>
        <v>0</v>
      </c>
      <c r="EL386" s="309">
        <f t="shared" si="4230"/>
        <v>22.000718390804597</v>
      </c>
      <c r="EM386" s="246">
        <f t="shared" si="4301"/>
        <v>154.01436781609189</v>
      </c>
      <c r="EN386" s="244">
        <f t="shared" si="4301"/>
        <v>2</v>
      </c>
      <c r="EO386" s="245">
        <f t="shared" si="4231"/>
        <v>152.01436781609189</v>
      </c>
      <c r="EP386" s="246">
        <f t="shared" si="4232"/>
        <v>0</v>
      </c>
      <c r="ER386" s="306" t="s">
        <v>433</v>
      </c>
      <c r="ES386" s="314" t="s">
        <v>227</v>
      </c>
      <c r="ET386" s="246" t="s">
        <v>132</v>
      </c>
      <c r="EU386" s="235">
        <f>Konvention_1slave-MUslave</f>
        <v>12</v>
      </c>
      <c r="EV386" s="235"/>
      <c r="EW386" s="235"/>
      <c r="EX386" s="235">
        <f>Konvention_1slave-CHslave</f>
        <v>12</v>
      </c>
      <c r="EY386" s="235"/>
      <c r="EZ386" s="235"/>
      <c r="FA386" s="235">
        <f>Konvention_1slave-KOslave</f>
        <v>12</v>
      </c>
      <c r="FB386" s="235"/>
      <c r="FC386" s="225">
        <f t="shared" si="4234"/>
        <v>12</v>
      </c>
      <c r="FD386" s="226">
        <f t="shared" si="4235"/>
        <v>24</v>
      </c>
      <c r="FE386" s="227">
        <f t="shared" si="4236"/>
        <v>36</v>
      </c>
      <c r="FF386" s="235">
        <f t="shared" si="4237"/>
        <v>2304</v>
      </c>
      <c r="FG386" s="235">
        <f>EU386*EX386*KOslave+EU386*CHslave*FA386+MUslave*EX386*FA386</f>
        <v>3456</v>
      </c>
      <c r="FH386" s="235">
        <f t="shared" si="4238"/>
        <v>1728</v>
      </c>
      <c r="FI386" s="244">
        <f t="shared" si="4239"/>
        <v>7488</v>
      </c>
      <c r="FJ386" s="226">
        <f t="shared" si="4240"/>
        <v>3.6923076923076925</v>
      </c>
      <c r="FK386" s="226">
        <f t="shared" si="4241"/>
        <v>11.076923076923077</v>
      </c>
      <c r="FL386" s="226">
        <f t="shared" si="4242"/>
        <v>8.3076923076923084</v>
      </c>
      <c r="FM386" s="246">
        <f t="shared" si="4243"/>
        <v>23.07692307692308</v>
      </c>
      <c r="FN386" s="252">
        <f t="shared" si="4002"/>
        <v>0</v>
      </c>
      <c r="FO386" s="309">
        <f t="shared" si="4244"/>
        <v>23.07692307692308</v>
      </c>
      <c r="FP386" s="246">
        <f t="shared" si="4302"/>
        <v>175.5384615384616</v>
      </c>
      <c r="FQ386" s="244">
        <f t="shared" si="4302"/>
        <v>2</v>
      </c>
      <c r="FR386" s="245">
        <f t="shared" si="4245"/>
        <v>173.5384615384616</v>
      </c>
      <c r="FS386" s="246">
        <f t="shared" si="4246"/>
        <v>0</v>
      </c>
      <c r="FU386" s="306" t="s">
        <v>433</v>
      </c>
      <c r="FV386" s="314" t="s">
        <v>227</v>
      </c>
      <c r="FW386" s="246" t="s">
        <v>132</v>
      </c>
      <c r="FX386" s="235">
        <f>Konvention_1slave-MUslave</f>
        <v>12</v>
      </c>
      <c r="FY386" s="235"/>
      <c r="FZ386" s="235"/>
      <c r="GA386" s="235">
        <f>Konvention_1slave-CHslave</f>
        <v>12</v>
      </c>
      <c r="GB386" s="235"/>
      <c r="GC386" s="235"/>
      <c r="GD386" s="235">
        <f>Konvention_1slave-KOslave</f>
        <v>12</v>
      </c>
      <c r="GE386" s="235"/>
      <c r="GF386" s="225">
        <f t="shared" si="4248"/>
        <v>12</v>
      </c>
      <c r="GG386" s="226">
        <f t="shared" si="4249"/>
        <v>24</v>
      </c>
      <c r="GH386" s="227">
        <f t="shared" si="4250"/>
        <v>36</v>
      </c>
      <c r="GI386" s="235">
        <f t="shared" si="4251"/>
        <v>2304</v>
      </c>
      <c r="GJ386" s="235">
        <f>FX386*GA386*KOslave+FX386*CHslave*GD386+MUslave*GA386*GD386</f>
        <v>3456</v>
      </c>
      <c r="GK386" s="235">
        <f t="shared" si="4252"/>
        <v>1728</v>
      </c>
      <c r="GL386" s="244">
        <f t="shared" si="4253"/>
        <v>7488</v>
      </c>
      <c r="GM386" s="226">
        <f t="shared" si="4254"/>
        <v>3.6923076923076925</v>
      </c>
      <c r="GN386" s="226">
        <f t="shared" si="4255"/>
        <v>11.076923076923077</v>
      </c>
      <c r="GO386" s="226">
        <f t="shared" si="4256"/>
        <v>8.3076923076923084</v>
      </c>
      <c r="GP386" s="246">
        <f t="shared" si="4257"/>
        <v>23.07692307692308</v>
      </c>
      <c r="GQ386" s="252">
        <f t="shared" si="4018"/>
        <v>0</v>
      </c>
      <c r="GR386" s="309">
        <f t="shared" si="4258"/>
        <v>23.07692307692308</v>
      </c>
      <c r="GS386" s="246">
        <f t="shared" si="4303"/>
        <v>175.5384615384616</v>
      </c>
      <c r="GT386" s="244">
        <f t="shared" si="4303"/>
        <v>2</v>
      </c>
      <c r="GU386" s="245">
        <f t="shared" si="4259"/>
        <v>173.5384615384616</v>
      </c>
      <c r="GV386" s="246">
        <f t="shared" si="4260"/>
        <v>0</v>
      </c>
      <c r="GX386" s="306" t="s">
        <v>433</v>
      </c>
      <c r="GY386" s="314" t="s">
        <v>227</v>
      </c>
      <c r="GZ386" s="246" t="s">
        <v>132</v>
      </c>
      <c r="HA386" s="235">
        <f>Konvention_1slave-MUslave</f>
        <v>12</v>
      </c>
      <c r="HB386" s="235"/>
      <c r="HC386" s="235"/>
      <c r="HD386" s="235">
        <f>Konvention_1slave-CHslave</f>
        <v>12</v>
      </c>
      <c r="HE386" s="235"/>
      <c r="HF386" s="235"/>
      <c r="HG386" s="235">
        <f>Konvention_1slave-KOslave_KO</f>
        <v>11</v>
      </c>
      <c r="HH386" s="235"/>
      <c r="HI386" s="225">
        <f t="shared" si="4262"/>
        <v>11.666666666666666</v>
      </c>
      <c r="HJ386" s="226">
        <f t="shared" si="4263"/>
        <v>23.333333333333332</v>
      </c>
      <c r="HK386" s="227">
        <f t="shared" si="4264"/>
        <v>35</v>
      </c>
      <c r="HL386" s="235">
        <f t="shared" si="4265"/>
        <v>2432</v>
      </c>
      <c r="HM386" s="235">
        <f>HA386*HD386*KOslave_KO+HA386*CHslave*HG386+MUslave*HD386*HG386</f>
        <v>3408</v>
      </c>
      <c r="HN386" s="235">
        <f t="shared" si="4266"/>
        <v>1584</v>
      </c>
      <c r="HO386" s="244">
        <f t="shared" si="4267"/>
        <v>7424</v>
      </c>
      <c r="HP386" s="226">
        <f t="shared" si="4268"/>
        <v>3.8218390804597702</v>
      </c>
      <c r="HQ386" s="226">
        <f t="shared" si="4269"/>
        <v>10.711206896551724</v>
      </c>
      <c r="HR386" s="226">
        <f t="shared" si="4270"/>
        <v>7.4676724137931032</v>
      </c>
      <c r="HS386" s="246">
        <f t="shared" si="4271"/>
        <v>22.000718390804597</v>
      </c>
      <c r="HT386" s="252">
        <f t="shared" si="4034"/>
        <v>0</v>
      </c>
      <c r="HU386" s="309">
        <f t="shared" si="4272"/>
        <v>22.000718390804597</v>
      </c>
      <c r="HV386" s="246">
        <f t="shared" si="4304"/>
        <v>154.01436781609189</v>
      </c>
      <c r="HW386" s="244">
        <f t="shared" si="4304"/>
        <v>2</v>
      </c>
      <c r="HX386" s="245">
        <f t="shared" si="4273"/>
        <v>152.01436781609189</v>
      </c>
      <c r="HY386" s="246">
        <f t="shared" si="4274"/>
        <v>0</v>
      </c>
      <c r="IA386" s="306" t="s">
        <v>433</v>
      </c>
      <c r="IB386" s="314" t="s">
        <v>227</v>
      </c>
      <c r="IC386" s="246" t="s">
        <v>132</v>
      </c>
      <c r="ID386" s="235">
        <f>Konvention_1slave-MUslave</f>
        <v>12</v>
      </c>
      <c r="IE386" s="235"/>
      <c r="IF386" s="235"/>
      <c r="IG386" s="235">
        <f>Konvention_1slave-CHslave</f>
        <v>12</v>
      </c>
      <c r="IH386" s="235"/>
      <c r="II386" s="235"/>
      <c r="IJ386" s="235">
        <f>Konvention_1slave-KOslave</f>
        <v>12</v>
      </c>
      <c r="IK386" s="235"/>
      <c r="IL386" s="225">
        <f t="shared" si="4276"/>
        <v>12</v>
      </c>
      <c r="IM386" s="226">
        <f t="shared" si="4277"/>
        <v>24</v>
      </c>
      <c r="IN386" s="227">
        <f t="shared" si="4278"/>
        <v>36</v>
      </c>
      <c r="IO386" s="235">
        <f t="shared" si="4279"/>
        <v>2304</v>
      </c>
      <c r="IP386" s="235">
        <f>ID386*IG386*KOslave+ID386*CHslave*IJ386+MUslave*IG386*IJ386</f>
        <v>3456</v>
      </c>
      <c r="IQ386" s="235">
        <f t="shared" si="4280"/>
        <v>1728</v>
      </c>
      <c r="IR386" s="244">
        <f t="shared" si="4281"/>
        <v>7488</v>
      </c>
      <c r="IS386" s="226">
        <f t="shared" si="4282"/>
        <v>3.6923076923076925</v>
      </c>
      <c r="IT386" s="226">
        <f t="shared" si="4283"/>
        <v>11.076923076923077</v>
      </c>
      <c r="IU386" s="226">
        <f t="shared" si="4284"/>
        <v>8.3076923076923084</v>
      </c>
      <c r="IV386" s="246">
        <f t="shared" si="4285"/>
        <v>23.07692307692308</v>
      </c>
      <c r="IW386" s="252">
        <f t="shared" si="4050"/>
        <v>0</v>
      </c>
      <c r="IX386" s="309">
        <f t="shared" si="4286"/>
        <v>23.07692307692308</v>
      </c>
      <c r="IY386" s="246">
        <f t="shared" si="4305"/>
        <v>175.5384615384616</v>
      </c>
      <c r="IZ386" s="244">
        <f t="shared" si="4305"/>
        <v>2</v>
      </c>
      <c r="JA386" s="245">
        <f t="shared" si="4287"/>
        <v>173.5384615384616</v>
      </c>
      <c r="JB386" s="246">
        <f t="shared" si="4288"/>
        <v>0</v>
      </c>
      <c r="JE386" s="148"/>
    </row>
    <row r="387" spans="1:265" hidden="1" outlineLevel="1" collapsed="1">
      <c r="B387" s="134" t="s">
        <v>328</v>
      </c>
      <c r="C387" s="307" t="s">
        <v>281</v>
      </c>
      <c r="D387" s="84" t="s">
        <v>279</v>
      </c>
      <c r="E387" s="84" t="s">
        <v>280</v>
      </c>
      <c r="Y387" s="251"/>
      <c r="Z387" s="197"/>
      <c r="AF387" s="83" t="s">
        <v>281</v>
      </c>
      <c r="AG387" s="84" t="s">
        <v>279</v>
      </c>
      <c r="AH387" s="84" t="s">
        <v>280</v>
      </c>
      <c r="BB387" s="197"/>
      <c r="BC387" s="197"/>
      <c r="BI387" s="307" t="s">
        <v>281</v>
      </c>
      <c r="BJ387" s="308" t="s">
        <v>279</v>
      </c>
      <c r="BK387" s="308" t="s">
        <v>280</v>
      </c>
      <c r="CE387" s="251"/>
      <c r="CF387" s="251"/>
      <c r="CL387" s="307" t="s">
        <v>281</v>
      </c>
      <c r="CM387" s="308" t="s">
        <v>279</v>
      </c>
      <c r="CN387" s="308" t="s">
        <v>280</v>
      </c>
      <c r="DH387" s="251"/>
      <c r="DI387" s="251"/>
      <c r="DO387" s="307" t="s">
        <v>281</v>
      </c>
      <c r="DP387" s="308" t="s">
        <v>279</v>
      </c>
      <c r="DQ387" s="308" t="s">
        <v>280</v>
      </c>
      <c r="EK387" s="251"/>
      <c r="EL387" s="251"/>
      <c r="ER387" s="307" t="s">
        <v>281</v>
      </c>
      <c r="ES387" s="308" t="s">
        <v>279</v>
      </c>
      <c r="ET387" s="308" t="s">
        <v>280</v>
      </c>
      <c r="FN387" s="251"/>
      <c r="FO387" s="251"/>
      <c r="FU387" s="307" t="s">
        <v>281</v>
      </c>
      <c r="FV387" s="308" t="s">
        <v>279</v>
      </c>
      <c r="FW387" s="308" t="s">
        <v>280</v>
      </c>
      <c r="GQ387" s="251"/>
      <c r="GR387" s="251"/>
      <c r="GX387" s="307" t="s">
        <v>281</v>
      </c>
      <c r="GY387" s="308" t="s">
        <v>279</v>
      </c>
      <c r="GZ387" s="308" t="s">
        <v>280</v>
      </c>
      <c r="HT387" s="251"/>
      <c r="HU387" s="251"/>
      <c r="IA387" s="307" t="s">
        <v>281</v>
      </c>
      <c r="IB387" s="308" t="s">
        <v>279</v>
      </c>
      <c r="IC387" s="308" t="s">
        <v>280</v>
      </c>
      <c r="IW387" s="251"/>
      <c r="IX387" s="251"/>
      <c r="JE387" s="148"/>
    </row>
    <row r="388" spans="1:265" hidden="1" outlineLevel="2">
      <c r="B388" s="148">
        <v>1</v>
      </c>
      <c r="C388" s="302" t="e">
        <f>VLOOKUP(AF388,Attribute!C:T,1,FALSE)</f>
        <v>#N/A</v>
      </c>
      <c r="D388" s="85" t="s">
        <v>227</v>
      </c>
      <c r="E388" s="158" t="s">
        <v>135</v>
      </c>
      <c r="F388" s="118">
        <f>Konvention_1master-MUmaster</f>
        <v>12</v>
      </c>
      <c r="G388" s="118"/>
      <c r="H388" s="118"/>
      <c r="I388" s="118">
        <f>Konvention_1master-CHmaster</f>
        <v>12</v>
      </c>
      <c r="J388" s="118"/>
      <c r="K388" s="118"/>
      <c r="L388" s="118">
        <f>Konvention_1master-KOmaster</f>
        <v>12</v>
      </c>
      <c r="M388" s="118"/>
      <c r="N388" s="219">
        <f>(F388+G388+H388+I388+J388+K388+L388+M388)/3</f>
        <v>12</v>
      </c>
      <c r="O388" s="220">
        <f>2*N388</f>
        <v>24</v>
      </c>
      <c r="P388" s="221">
        <f>3*N388</f>
        <v>36</v>
      </c>
      <c r="Q388" s="233">
        <f>F388*POWER(KLmaster,SIGN(G388))*POWER(INmaster,SIGN(H388))*POWER(CHmaster,SIGN(I388))*POWER(FFmaster,SIGN(J388))*POWER(GEmaster,SIGN(K388))*POWER(KOmaster,SIGN(L388))*POWER(KKmaster,SIGN(M388))+G388*POWER(MUmaster,SIGN(F388))*POWER(INmaster,SIGN(H388))*POWER(CHmaster,SIGN(I388))*POWER(FFmaster,SIGN(J388))*POWER(GEmaster,SIGN(K388))*POWER(KOmaster,SIGN(L388))*POWER(KKmaster,SIGN(M388))+H388*POWER(MUmaster,SIGN(F388))*POWER(KLmaster,SIGN(G388))*POWER(CHmaster,SIGN(I388))*POWER(FFmaster,SIGN(J388))*POWER(GEmaster,SIGN(K388))*POWER(KOmaster,SIGN(L388))*POWER(KKmaster,SIGN(M388))+I388*POWER(MUmaster,SIGN(F388))*POWER(KLmaster,SIGN(G388))*POWER(INmaster,SIGN(H388))*POWER(FFmaster,SIGN(J388))*POWER(GEmaster,SIGN(K388))*POWER(KOmaster,SIGN(L388))*POWER(KKmaster,SIGN(M388))+J388*POWER(MUmaster,SIGN(F388))*POWER(KLmaster,SIGN(G388))*POWER(INmaster,SIGN(H388))*POWER(CHmaster,SIGN(I388))*POWER(GEmaster,SIGN(K388))*POWER(KOmaster,SIGN(L388))*POWER(KKmaster,SIGN(M388))+K388*POWER(MUmaster,SIGN(F388))*POWER(KLmaster,SIGN(G388))*POWER(INmaster,SIGN(H388))*POWER(CHmaster,SIGN(I388))*POWER(FFmaster,SIGN(J388))*POWER(KOmaster,SIGN(L388))*POWER(KKmaster,SIGN(M388))+L388*POWER(MUmaster,SIGN(F388))*POWER(KLmaster,SIGN(G388))*POWER(INmaster,SIGN(H388))*POWER(CHmaster,SIGN(I388))*POWER(FFmaster,SIGN(J388))*POWER(GEmaster,SIGN(K388))*POWER(KKmaster,SIGN(M388))+M388*POWER(MUmaster,SIGN(F388))*POWER(KLmaster,SIGN(G388))*POWER(INmaster,SIGN(H388))*POWER(CHmaster,SIGN(I388))*POWER(FFmaster,SIGN(J388))*POWER(GEmaster,SIGN(K388))*POWER(KOmaster,SIGN(L388))</f>
        <v>2304</v>
      </c>
      <c r="R388" s="118">
        <f>F388*I388*KOmaster+F388*CHmaster*L388+MUmaster*I388*L388</f>
        <v>3456</v>
      </c>
      <c r="S388" s="233">
        <f>IFERROR(F388^SIGN(F388),1)*IFERROR(G388^SIGN(G388),1)*IFERROR(H388^SIGN(H388),1)*IFERROR(I388^SIGN(I388),1)*IFERROR(J388^SIGN(J388),1)*IFERROR(K388^SIGN(K388),1)*IFERROR(L388^SIGN(L388),1)*IFERROR(M388^SIGN(M388),1)</f>
        <v>1728</v>
      </c>
      <c r="T388" s="78">
        <f>SUM(Q388:S388)</f>
        <v>7488</v>
      </c>
      <c r="U388" s="220">
        <f>N388*Q388/T388</f>
        <v>3.6923076923076925</v>
      </c>
      <c r="V388" s="220">
        <f>O388*R388/T388</f>
        <v>11.076923076923077</v>
      </c>
      <c r="W388" s="220">
        <f>P388*S388/T388</f>
        <v>8.3076923076923084</v>
      </c>
      <c r="X388" s="42">
        <f>SUM(U388:W388)</f>
        <v>23.07692307692308</v>
      </c>
      <c r="Y388" s="252">
        <v>0</v>
      </c>
      <c r="Z388" s="198">
        <f>X388-Y388</f>
        <v>23.07692307692308</v>
      </c>
      <c r="AA388" s="158">
        <f>IF(X388&lt;=0,3,0)+IF(X388&gt;0,X388+1,0)*3+IF(X388&gt;12,X388-12,0)*3+IF(X388&gt;13,X388-13,0)*3+IF(X388&gt;14,X388-14,0)*3+IF(X388&gt;15,X388-15,0)*3+IF(X388&gt;16,X388-16,0)*3+IF(X388&gt;17,X388-17,0)*3+IF(X388&gt;18,X388-18,0)*3+IF(X388&gt;19,X388-19,0)*3+IF(X388&gt;20,X388-20,0)*3</f>
        <v>263.30769230769232</v>
      </c>
      <c r="AB388" s="91">
        <f>IF(Y388&lt;=0,3,0)+IF(Y388&gt;0,Y388+1,0)*3+IF(Y388&gt;12,Y388-12,0)*3+IF(Y388&gt;13,Y388-13,0)*3+IF(Y388&gt;14,Y388-14,0)*3+IF(Y388&gt;15,Y388-15,0)*3+IF(Y388&gt;16,Y388-16,0)*3+IF(Y388&gt;17,Y388-17,0)*3+IF(Y388&gt;18,Y388-18,0)*3+IF(Y388&gt;19,Y388-19,0)*3+IF(Y388&gt;20,Y388-20,0)*3</f>
        <v>3</v>
      </c>
      <c r="AC388" s="126">
        <f>IF((AA388-AB388)&gt;0,AA388-AB388,0)</f>
        <v>260.30769230769232</v>
      </c>
      <c r="AD388" s="158">
        <f>IF((AB388-AA388)&gt;0,AB388-AA388,0)</f>
        <v>0</v>
      </c>
      <c r="AF388" s="162" t="s">
        <v>231</v>
      </c>
      <c r="AG388" s="85" t="s">
        <v>227</v>
      </c>
      <c r="AH388" s="158" t="s">
        <v>135</v>
      </c>
      <c r="AI388" s="118">
        <f>Konvention_1slave-MUslave_MU</f>
        <v>11</v>
      </c>
      <c r="AJ388" s="118"/>
      <c r="AK388" s="118"/>
      <c r="AL388" s="118">
        <f>Konvention_1slave-CHslave</f>
        <v>12</v>
      </c>
      <c r="AM388" s="118"/>
      <c r="AN388" s="118"/>
      <c r="AO388" s="118">
        <f>Konvention_1slave-KOslave</f>
        <v>12</v>
      </c>
      <c r="AP388" s="118"/>
      <c r="AQ388" s="193">
        <f>(AI388+AJ388+AK388+AL388+AM388+AN388+AO388+AP388)/3</f>
        <v>11.666666666666666</v>
      </c>
      <c r="AR388" s="116">
        <f>2*AQ388</f>
        <v>23.333333333333332</v>
      </c>
      <c r="AS388" s="92">
        <f>3*AQ388</f>
        <v>35</v>
      </c>
      <c r="AT388" s="118">
        <f>AI388*POWER(KLslave,SIGN(AJ388))*POWER(INslave,SIGN(AK388))*POWER(CHslave,SIGN(AL388))*POWER(FFslave,SIGN(AM388))*POWER(GEslave,SIGN(AN388))*POWER(KOslave,SIGN(AO388))*POWER(KKslave,SIGN(AP388))+AJ388*POWER(MUslave_MU,SIGN(AI388))*POWER(INslave,SIGN(AK388))*POWER(CHslave,SIGN(AL388))*POWER(FFslave,SIGN(AM388))*POWER(GEslave,SIGN(AN388))*POWER(KOslave,SIGN(AO388))*POWER(KKslave,SIGN(AP388))+AK388*POWER(MUslave_MU,SIGN(AI388))*POWER(KLslave,SIGN(AJ388))*POWER(CHslave,SIGN(AL388))*POWER(FFslave,SIGN(AM388))*POWER(GEslave,SIGN(AN388))*POWER(KOslave,SIGN(AO388))*POWER(KKslave,SIGN(AP388))+AL388*POWER(MUslave_MU,SIGN(AI388))*POWER(KLslave,SIGN(AJ388))*POWER(INslave,SIGN(AK388))*POWER(FFslave,SIGN(AM388))*POWER(GEslave,SIGN(AN388))*POWER(KOslave,SIGN(AO388))*POWER(KKslave,SIGN(AP388))+AM388*POWER(MUslave_MU,SIGN(AI388))*POWER(KLslave,SIGN(AJ388))*POWER(INslave,SIGN(AK388))*POWER(CHslave,SIGN(AL388))*POWER(GEslave,SIGN(AN388))*POWER(KOslave,SIGN(AO388))*POWER(KKslave,SIGN(AP388))+AN388*POWER(MUslave_MU,SIGN(AI388))*POWER(KLslave,SIGN(AJ388))*POWER(INslave,SIGN(AK388))*POWER(CHslave,SIGN(AL388))*POWER(FFslave,SIGN(AM388))*POWER(KOslave,SIGN(AO388))*POWER(KKslave,SIGN(AP388))+AO388*POWER(MUslave_MU,SIGN(AI388))*POWER(KLslave,SIGN(AJ388))*POWER(INslave,SIGN(AK388))*POWER(CHslave,SIGN(AL388))*POWER(FFslave,SIGN(AM388))*POWER(GEslave,SIGN(AN388))*POWER(KKslave,SIGN(AP388))+AP388*POWER(MUslave_MU,SIGN(AI388))*POWER(KLslave,SIGN(AJ388))*POWER(INslave,SIGN(AK388))*POWER(CHslave,SIGN(AL388))*POWER(FFslave,SIGN(AM388))*POWER(GEslave,SIGN(AN388))*POWER(KOslave,SIGN(AO388))</f>
        <v>2432</v>
      </c>
      <c r="AU388" s="118">
        <f>AI388*AL388*KOslave+AI388*CHslave*AO388+MUslave_MU*AL388*AO388</f>
        <v>3408</v>
      </c>
      <c r="AV388" s="118">
        <f>IFERROR(AI388^SIGN(AI388),1)*IFERROR(AJ388^SIGN(AJ388),1)*IFERROR(AK388^SIGN(AK388),1)*IFERROR(AL388^SIGN(AL388),1)*IFERROR(AM388^SIGN(AM388),1)*IFERROR(AN388^SIGN(AN388),1)*IFERROR(AO388^SIGN(AO388),1)*IFERROR(AP388^SIGN(AP388),1)</f>
        <v>1584</v>
      </c>
      <c r="AW388" s="91">
        <f>SUM(AT388:AV388)</f>
        <v>7424</v>
      </c>
      <c r="AX388" s="116">
        <f>AQ388*AT388/AW388</f>
        <v>3.8218390804597702</v>
      </c>
      <c r="AY388" s="116">
        <f>AR388*AU388/AW388</f>
        <v>10.711206896551724</v>
      </c>
      <c r="AZ388" s="116">
        <f>AS388*AV388/AW388</f>
        <v>7.4676724137931032</v>
      </c>
      <c r="BA388" s="158">
        <f>SUM(AX388:AZ388)</f>
        <v>22.000718390804597</v>
      </c>
      <c r="BB388" s="165">
        <f t="shared" si="3938"/>
        <v>0</v>
      </c>
      <c r="BC388" s="198">
        <f>BA388-BB388</f>
        <v>22.000718390804597</v>
      </c>
      <c r="BD388" s="158">
        <f>IF(BA388&lt;=0,3,0)+IF(BA388&gt;0,BA388+1,0)*3+IF(BA388&gt;12,BA388-12,0)*3+IF(BA388&gt;13,BA388-13,0)*3+IF(BA388&gt;14,BA388-14,0)*3+IF(BA388&gt;15,BA388-15,0)*3+IF(BA388&gt;16,BA388-16,0)*3+IF(BA388&gt;17,BA388-17,0)*3+IF(BA388&gt;18,BA388-18,0)*3+IF(BA388&gt;19,BA388-19,0)*3+IF(BA388&gt;20,BA388-20,0)*3</f>
        <v>231.02155172413785</v>
      </c>
      <c r="BE388" s="91">
        <f>IF(BB388&lt;=0,3,0)+IF(BB388&gt;0,BB388+1,0)*3+IF(BB388&gt;12,BB388-12,0)*3+IF(BB388&gt;13,BB388-13,0)*3+IF(BB388&gt;14,BB388-14,0)*3+IF(BB388&gt;15,BB388-15,0)*3+IF(BB388&gt;16,BB388-16,0)*3+IF(BB388&gt;17,BB388-17,0)*3+IF(BB388&gt;18,BB388-18,0)*3+IF(BB388&gt;19,BB388-19,0)*3+IF(BB388&gt;20,BB388-20,0)*3</f>
        <v>3</v>
      </c>
      <c r="BF388" s="241">
        <f>IF((BD388-BE388)&gt;0,BD388-BE388,0)</f>
        <v>228.02155172413785</v>
      </c>
      <c r="BG388" s="42">
        <f>IF((BE388-BD388)&gt;0,BE388-BD388,0)</f>
        <v>0</v>
      </c>
      <c r="BI388" s="302" t="s">
        <v>231</v>
      </c>
      <c r="BJ388" s="43" t="s">
        <v>227</v>
      </c>
      <c r="BK388" s="42" t="s">
        <v>135</v>
      </c>
      <c r="BL388" s="233">
        <f>Konvention_1slave-MUslave</f>
        <v>12</v>
      </c>
      <c r="BM388" s="233"/>
      <c r="BN388" s="233"/>
      <c r="BO388" s="233">
        <f>Konvention_1slave-CHslave</f>
        <v>12</v>
      </c>
      <c r="BP388" s="233"/>
      <c r="BQ388" s="233"/>
      <c r="BR388" s="233">
        <f>Konvention_1slave-KOslave</f>
        <v>12</v>
      </c>
      <c r="BS388" s="233"/>
      <c r="BT388" s="219">
        <f>(BL388+BM388+BN388+BO388+BP388+BQ388+BR388+BS388)/3</f>
        <v>12</v>
      </c>
      <c r="BU388" s="220">
        <f>2*BT388</f>
        <v>24</v>
      </c>
      <c r="BV388" s="221">
        <f>3*BT388</f>
        <v>36</v>
      </c>
      <c r="BW388" s="233">
        <f>BL388*POWER(KLslave_KL,SIGN(BM388))*POWER(INslave,SIGN(BN388))*POWER(CHslave,SIGN(BO388))*POWER(FFslave,SIGN(BP388))*POWER(GEslave,SIGN(BQ388))*POWER(KOslave,SIGN(BR388))*POWER(KKslave,SIGN(BS388))+BM388*POWER(MUslave,SIGN(BL388))*POWER(INslave,SIGN(BN388))*POWER(CHslave,SIGN(BO388))*POWER(FFslave,SIGN(BP388))*POWER(GEslave,SIGN(BQ388))*POWER(KOslave,SIGN(BR388))*POWER(KKslave,SIGN(BS388))+BN388*POWER(MUslave,SIGN(BL388))*POWER(KLslave_KL,SIGN(BM388))*POWER(CHslave,SIGN(BO388))*POWER(FFslave,SIGN(BP388))*POWER(GEslave,SIGN(BQ388))*POWER(KOslave,SIGN(BR388))*POWER(KKslave,SIGN(BS388))+BO388*POWER(MUslave,SIGN(BL388))*POWER(KLslave_KL,SIGN(BM388))*POWER(INslave,SIGN(BN388))*POWER(FFslave,SIGN(BP388))*POWER(GEslave,SIGN(BQ388))*POWER(KOslave,SIGN(BR388))*POWER(KKslave,SIGN(BS388))+BP388*POWER(MUslave,SIGN(BL388))*POWER(KLslave_KL,SIGN(BM388))*POWER(INslave,SIGN(BN388))*POWER(CHslave,SIGN(BO388))*POWER(GEslave,SIGN(BQ388))*POWER(KOslave,SIGN(BR388))*POWER(KKslave,SIGN(BS388))+BQ388*POWER(MUslave,SIGN(BL388))*POWER(KLslave_KL,SIGN(BM388))*POWER(INslave,SIGN(BN388))*POWER(CHslave,SIGN(BO388))*POWER(FFslave,SIGN(BP388))*POWER(KOslave,SIGN(BR388))*POWER(KKslave,SIGN(BS388))+BR388*POWER(MUslave,SIGN(BL388))*POWER(KLslave_KL,SIGN(BM388))*POWER(INslave,SIGN(BN388))*POWER(CHslave,SIGN(BO388))*POWER(FFslave,SIGN(BP388))*POWER(GEslave,SIGN(BQ388))*POWER(KKslave,SIGN(BS388))+BS388*POWER(MUslave,SIGN(BL388))*POWER(KLslave_KL,SIGN(BM388))*POWER(INslave,SIGN(BN388))*POWER(CHslave,SIGN(BO388))*POWER(FFslave,SIGN(BP388))*POWER(GEslave,SIGN(BQ388))*POWER(KOslave,SIGN(BR388))</f>
        <v>2304</v>
      </c>
      <c r="BX388" s="233">
        <f>BL388*BO388*KOslave+BL388*CHslave*BR388+MUslave*BO388*BR388</f>
        <v>3456</v>
      </c>
      <c r="BY388" s="233">
        <f>IFERROR(BL388^SIGN(BL388),1)*IFERROR(BM388^SIGN(BM388),1)*IFERROR(BN388^SIGN(BN388),1)*IFERROR(BO388^SIGN(BO388),1)*IFERROR(BP388^SIGN(BP388),1)*IFERROR(BQ388^SIGN(BQ388),1)*IFERROR(BR388^SIGN(BR388),1)*IFERROR(BS388^SIGN(BS388),1)</f>
        <v>1728</v>
      </c>
      <c r="BZ388" s="78">
        <f>SUM(BW388:BY388)</f>
        <v>7488</v>
      </c>
      <c r="CA388" s="220">
        <f>BT388*BW388/BZ388</f>
        <v>3.6923076923076925</v>
      </c>
      <c r="CB388" s="220">
        <f>BU388*BX388/BZ388</f>
        <v>11.076923076923077</v>
      </c>
      <c r="CC388" s="220">
        <f>BV388*BY388/BZ388</f>
        <v>8.3076923076923084</v>
      </c>
      <c r="CD388" s="42">
        <f>SUM(CA388:CC388)</f>
        <v>23.07692307692308</v>
      </c>
      <c r="CE388" s="252">
        <f t="shared" si="3954"/>
        <v>0</v>
      </c>
      <c r="CF388" s="309">
        <f>CD388-CE388</f>
        <v>23.07692307692308</v>
      </c>
      <c r="CG388" s="42">
        <f>IF(CD388&lt;=0,3,0)+IF(CD388&gt;0,CD388+1,0)*3+IF(CD388&gt;12,CD388-12,0)*3+IF(CD388&gt;13,CD388-13,0)*3+IF(CD388&gt;14,CD388-14,0)*3+IF(CD388&gt;15,CD388-15,0)*3+IF(CD388&gt;16,CD388-16,0)*3+IF(CD388&gt;17,CD388-17,0)*3+IF(CD388&gt;18,CD388-18,0)*3+IF(CD388&gt;19,CD388-19,0)*3+IF(CD388&gt;20,CD388-20,0)*3</f>
        <v>263.30769230769232</v>
      </c>
      <c r="CH388" s="78">
        <f>IF(CE388&lt;=0,3,0)+IF(CE388&gt;0,CE388+1,0)*3+IF(CE388&gt;12,CE388-12,0)*3+IF(CE388&gt;13,CE388-13,0)*3+IF(CE388&gt;14,CE388-14,0)*3+IF(CE388&gt;15,CE388-15,0)*3+IF(CE388&gt;16,CE388-16,0)*3+IF(CE388&gt;17,CE388-17,0)*3+IF(CE388&gt;18,CE388-18,0)*3+IF(CE388&gt;19,CE388-19,0)*3+IF(CE388&gt;20,CE388-20,0)*3</f>
        <v>3</v>
      </c>
      <c r="CI388" s="241">
        <f>IF((CG388-CH388)&gt;0,CG388-CH388,0)</f>
        <v>260.30769230769232</v>
      </c>
      <c r="CJ388" s="42">
        <f>IF((CH388-CG388)&gt;0,CH388-CG388,0)</f>
        <v>0</v>
      </c>
      <c r="CL388" s="302" t="s">
        <v>231</v>
      </c>
      <c r="CM388" s="43" t="s">
        <v>227</v>
      </c>
      <c r="CN388" s="42" t="s">
        <v>135</v>
      </c>
      <c r="CO388" s="233">
        <f>Konvention_1slave-MUslave</f>
        <v>12</v>
      </c>
      <c r="CP388" s="233"/>
      <c r="CQ388" s="233"/>
      <c r="CR388" s="233">
        <f>Konvention_1slave-CHslave</f>
        <v>12</v>
      </c>
      <c r="CS388" s="233"/>
      <c r="CT388" s="233"/>
      <c r="CU388" s="233">
        <f>Konvention_1slave-KOslave</f>
        <v>12</v>
      </c>
      <c r="CV388" s="233"/>
      <c r="CW388" s="219">
        <f>(CO388+CP388+CQ388+CR388+CS388+CT388+CU388+CV388)/3</f>
        <v>12</v>
      </c>
      <c r="CX388" s="220">
        <f>2*CW388</f>
        <v>24</v>
      </c>
      <c r="CY388" s="221">
        <f>3*CW388</f>
        <v>36</v>
      </c>
      <c r="CZ388" s="233">
        <f>CO388*POWER(KLslave,SIGN(CP388))*POWER(INslave_IN,SIGN(CQ388))*POWER(CHslave,SIGN(CR388))*POWER(FFslave,SIGN(CS388))*POWER(GEslave,SIGN(CT388))*POWER(KOslave,SIGN(CU388))*POWER(KKslave,SIGN(CV388))+CP388*POWER(MUslave,SIGN(CO388))*POWER(INslave_IN,SIGN(CQ388))*POWER(CHslave,SIGN(CR388))*POWER(FFslave,SIGN(CS388))*POWER(GEslave,SIGN(CT388))*POWER(KOslave,SIGN(CU388))*POWER(KKslave,SIGN(CV388))+CQ388*POWER(MUslave,SIGN(CO388))*POWER(KLslave,SIGN(CP388))*POWER(CHslave,SIGN(CR388))*POWER(FFslave,SIGN(CS388))*POWER(GEslave,SIGN(CT388))*POWER(KOslave,SIGN(CU388))*POWER(KKslave,SIGN(CV388))+CR388*POWER(MUslave,SIGN(CO388))*POWER(KLslave,SIGN(CP388))*POWER(INslave_IN,SIGN(CQ388))*POWER(FFslave,SIGN(CS388))*POWER(GEslave,SIGN(CT388))*POWER(KOslave,SIGN(CU388))*POWER(KKslave,SIGN(CV388))+CS388*POWER(MUslave,SIGN(CO388))*POWER(KLslave,SIGN(CP388))*POWER(INslave_IN,SIGN(CQ388))*POWER(CHslave,SIGN(CR388))*POWER(GEslave,SIGN(CT388))*POWER(KOslave,SIGN(CU388))*POWER(KKslave,SIGN(CV388))+CT388*POWER(MUslave,SIGN(CO388))*POWER(KLslave,SIGN(CP388))*POWER(INslave_IN,SIGN(CQ388))*POWER(CHslave,SIGN(CR388))*POWER(FFslave,SIGN(CS388))*POWER(KOslave,SIGN(CU388))*POWER(KKslave,SIGN(CV388))+CU388*POWER(MUslave,SIGN(CO388))*POWER(KLslave,SIGN(CP388))*POWER(INslave_IN,SIGN(CQ388))*POWER(CHslave,SIGN(CR388))*POWER(FFslave,SIGN(CS388))*POWER(GEslave,SIGN(CT388))*POWER(KKslave,SIGN(CV388))+CV388*POWER(MUslave,SIGN(CO388))*POWER(KLslave,SIGN(CP388))*POWER(INslave_IN,SIGN(CQ388))*POWER(CHslave,SIGN(CR388))*POWER(FFslave,SIGN(CS388))*POWER(GEslave,SIGN(CT388))*POWER(KOslave,SIGN(CU388))</f>
        <v>2304</v>
      </c>
      <c r="DA388" s="233">
        <f>CO388*CR388*KOslave+CO388*CHslave*CU388+MUslave*CR388*CU388</f>
        <v>3456</v>
      </c>
      <c r="DB388" s="233">
        <f>IFERROR(CO388^SIGN(CO388),1)*IFERROR(CP388^SIGN(CP388),1)*IFERROR(CQ388^SIGN(CQ388),1)*IFERROR(CR388^SIGN(CR388),1)*IFERROR(CS388^SIGN(CS388),1)*IFERROR(CT388^SIGN(CT388),1)*IFERROR(CU388^SIGN(CU388),1)*IFERROR(CV388^SIGN(CV388),1)</f>
        <v>1728</v>
      </c>
      <c r="DC388" s="78">
        <f>SUM(CZ388:DB388)</f>
        <v>7488</v>
      </c>
      <c r="DD388" s="220">
        <f>CW388*CZ388/DC388</f>
        <v>3.6923076923076925</v>
      </c>
      <c r="DE388" s="220">
        <f>CX388*DA388/DC388</f>
        <v>11.076923076923077</v>
      </c>
      <c r="DF388" s="220">
        <f>CY388*DB388/DC388</f>
        <v>8.3076923076923084</v>
      </c>
      <c r="DG388" s="42">
        <f>SUM(DD388:DF388)</f>
        <v>23.07692307692308</v>
      </c>
      <c r="DH388" s="252">
        <f t="shared" si="3970"/>
        <v>0</v>
      </c>
      <c r="DI388" s="309">
        <f>DG388-DH388</f>
        <v>23.07692307692308</v>
      </c>
      <c r="DJ388" s="42">
        <f>IF(DG388&lt;=0,3,0)+IF(DG388&gt;0,DG388+1,0)*3+IF(DG388&gt;12,DG388-12,0)*3+IF(DG388&gt;13,DG388-13,0)*3+IF(DG388&gt;14,DG388-14,0)*3+IF(DG388&gt;15,DG388-15,0)*3+IF(DG388&gt;16,DG388-16,0)*3+IF(DG388&gt;17,DG388-17,0)*3+IF(DG388&gt;18,DG388-18,0)*3+IF(DG388&gt;19,DG388-19,0)*3+IF(DG388&gt;20,DG388-20,0)*3</f>
        <v>263.30769230769232</v>
      </c>
      <c r="DK388" s="78">
        <f>IF(DH388&lt;=0,3,0)+IF(DH388&gt;0,DH388+1,0)*3+IF(DH388&gt;12,DH388-12,0)*3+IF(DH388&gt;13,DH388-13,0)*3+IF(DH388&gt;14,DH388-14,0)*3+IF(DH388&gt;15,DH388-15,0)*3+IF(DH388&gt;16,DH388-16,0)*3+IF(DH388&gt;17,DH388-17,0)*3+IF(DH388&gt;18,DH388-18,0)*3+IF(DH388&gt;19,DH388-19,0)*3+IF(DH388&gt;20,DH388-20,0)*3</f>
        <v>3</v>
      </c>
      <c r="DL388" s="241">
        <f>IF((DJ388-DK388)&gt;0,DJ388-DK388,0)</f>
        <v>260.30769230769232</v>
      </c>
      <c r="DM388" s="42">
        <f>IF((DK388-DJ388)&gt;0,DK388-DJ388,0)</f>
        <v>0</v>
      </c>
      <c r="DO388" s="302" t="s">
        <v>231</v>
      </c>
      <c r="DP388" s="43" t="s">
        <v>227</v>
      </c>
      <c r="DQ388" s="42" t="s">
        <v>135</v>
      </c>
      <c r="DR388" s="233">
        <f>Konvention_1slave-MUslave</f>
        <v>12</v>
      </c>
      <c r="DS388" s="233"/>
      <c r="DT388" s="233"/>
      <c r="DU388" s="233">
        <f>Konvention_1slave-CHslave_CH</f>
        <v>11</v>
      </c>
      <c r="DV388" s="233"/>
      <c r="DW388" s="233"/>
      <c r="DX388" s="233">
        <f>Konvention_1slave-KOslave</f>
        <v>12</v>
      </c>
      <c r="DY388" s="233"/>
      <c r="DZ388" s="219">
        <f>(DR388+DS388+DT388+DU388+DV388+DW388+DX388+DY388)/3</f>
        <v>11.666666666666666</v>
      </c>
      <c r="EA388" s="220">
        <f>2*DZ388</f>
        <v>23.333333333333332</v>
      </c>
      <c r="EB388" s="221">
        <f>3*DZ388</f>
        <v>35</v>
      </c>
      <c r="EC388" s="233">
        <f>DR388*POWER(KLslave,SIGN(DS388))*POWER(INslave,SIGN(DT388))*POWER(CHslave_CH,SIGN(DU388))*POWER(FFslave,SIGN(DV388))*POWER(GEslave,SIGN(DW388))*POWER(KOslave,SIGN(DX388))*POWER(KKslave,SIGN(DY388))+DS388*POWER(MUslave,SIGN(DR388))*POWER(INslave,SIGN(DT388))*POWER(CHslave_CH,SIGN(DU388))*POWER(FFslave,SIGN(DV388))*POWER(GEslave,SIGN(DW388))*POWER(KOslave,SIGN(DX388))*POWER(KKslave,SIGN(DY388))+DT388*POWER(MUslave,SIGN(DR388))*POWER(KLslave,SIGN(DS388))*POWER(CHslave_CH,SIGN(DU388))*POWER(FFslave,SIGN(DV388))*POWER(GEslave,SIGN(DW388))*POWER(KOslave,SIGN(DX388))*POWER(KKslave,SIGN(DY388))+DU388*POWER(MUslave,SIGN(DR388))*POWER(KLslave,SIGN(DS388))*POWER(INslave,SIGN(DT388))*POWER(FFslave,SIGN(DV388))*POWER(GEslave,SIGN(DW388))*POWER(KOslave,SIGN(DX388))*POWER(KKslave,SIGN(DY388))+DV388*POWER(MUslave,SIGN(DR388))*POWER(KLslave,SIGN(DS388))*POWER(INslave,SIGN(DT388))*POWER(CHslave_CH,SIGN(DU388))*POWER(GEslave,SIGN(DW388))*POWER(KOslave,SIGN(DX388))*POWER(KKslave,SIGN(DY388))+DW388*POWER(MUslave,SIGN(DR388))*POWER(KLslave,SIGN(DS388))*POWER(INslave,SIGN(DT388))*POWER(CHslave_CH,SIGN(DU388))*POWER(FFslave,SIGN(DV388))*POWER(KOslave,SIGN(DX388))*POWER(KKslave,SIGN(DY388))+DX388*POWER(MUslave,SIGN(DR388))*POWER(KLslave,SIGN(DS388))*POWER(INslave,SIGN(DT388))*POWER(CHslave_CH,SIGN(DU388))*POWER(FFslave,SIGN(DV388))*POWER(GEslave,SIGN(DW388))*POWER(KKslave,SIGN(DY388))+DY388*POWER(MUslave,SIGN(DR388))*POWER(KLslave,SIGN(DS388))*POWER(INslave,SIGN(DT388))*POWER(CHslave_CH,SIGN(DU388))*POWER(FFslave,SIGN(DV388))*POWER(GEslave,SIGN(DW388))*POWER(KOslave,SIGN(DX388))</f>
        <v>2432</v>
      </c>
      <c r="ED388" s="233">
        <f>DR388*DU388*KOslave+DR388*CHslave_CH*DX388+MUslave*DU388*DX388</f>
        <v>3408</v>
      </c>
      <c r="EE388" s="233">
        <f>IFERROR(DR388^SIGN(DR388),1)*IFERROR(DS388^SIGN(DS388),1)*IFERROR(DT388^SIGN(DT388),1)*IFERROR(DU388^SIGN(DU388),1)*IFERROR(DV388^SIGN(DV388),1)*IFERROR(DW388^SIGN(DW388),1)*IFERROR(DX388^SIGN(DX388),1)*IFERROR(DY388^SIGN(DY388),1)</f>
        <v>1584</v>
      </c>
      <c r="EF388" s="78">
        <f>SUM(EC388:EE388)</f>
        <v>7424</v>
      </c>
      <c r="EG388" s="220">
        <f>DZ388*EC388/EF388</f>
        <v>3.8218390804597702</v>
      </c>
      <c r="EH388" s="220">
        <f>EA388*ED388/EF388</f>
        <v>10.711206896551724</v>
      </c>
      <c r="EI388" s="220">
        <f>EB388*EE388/EF388</f>
        <v>7.4676724137931032</v>
      </c>
      <c r="EJ388" s="42">
        <f>SUM(EG388:EI388)</f>
        <v>22.000718390804597</v>
      </c>
      <c r="EK388" s="252">
        <f t="shared" si="3986"/>
        <v>0</v>
      </c>
      <c r="EL388" s="309">
        <f>EJ388-EK388</f>
        <v>22.000718390804597</v>
      </c>
      <c r="EM388" s="42">
        <f>IF(EJ388&lt;=0,3,0)+IF(EJ388&gt;0,EJ388+1,0)*3+IF(EJ388&gt;12,EJ388-12,0)*3+IF(EJ388&gt;13,EJ388-13,0)*3+IF(EJ388&gt;14,EJ388-14,0)*3+IF(EJ388&gt;15,EJ388-15,0)*3+IF(EJ388&gt;16,EJ388-16,0)*3+IF(EJ388&gt;17,EJ388-17,0)*3+IF(EJ388&gt;18,EJ388-18,0)*3+IF(EJ388&gt;19,EJ388-19,0)*3+IF(EJ388&gt;20,EJ388-20,0)*3</f>
        <v>231.02155172413785</v>
      </c>
      <c r="EN388" s="78">
        <f>IF(EK388&lt;=0,3,0)+IF(EK388&gt;0,EK388+1,0)*3+IF(EK388&gt;12,EK388-12,0)*3+IF(EK388&gt;13,EK388-13,0)*3+IF(EK388&gt;14,EK388-14,0)*3+IF(EK388&gt;15,EK388-15,0)*3+IF(EK388&gt;16,EK388-16,0)*3+IF(EK388&gt;17,EK388-17,0)*3+IF(EK388&gt;18,EK388-18,0)*3+IF(EK388&gt;19,EK388-19,0)*3+IF(EK388&gt;20,EK388-20,0)*3</f>
        <v>3</v>
      </c>
      <c r="EO388" s="241">
        <f>IF((EM388-EN388)&gt;0,EM388-EN388,0)</f>
        <v>228.02155172413785</v>
      </c>
      <c r="EP388" s="42">
        <f>IF((EN388-EM388)&gt;0,EN388-EM388,0)</f>
        <v>0</v>
      </c>
      <c r="ER388" s="302" t="s">
        <v>231</v>
      </c>
      <c r="ES388" s="43" t="s">
        <v>227</v>
      </c>
      <c r="ET388" s="42" t="s">
        <v>135</v>
      </c>
      <c r="EU388" s="233">
        <f>Konvention_1slave-MUslave</f>
        <v>12</v>
      </c>
      <c r="EV388" s="233"/>
      <c r="EW388" s="233"/>
      <c r="EX388" s="233">
        <f>Konvention_1slave-CHslave</f>
        <v>12</v>
      </c>
      <c r="EY388" s="233"/>
      <c r="EZ388" s="233"/>
      <c r="FA388" s="233">
        <f>Konvention_1slave-KOslave</f>
        <v>12</v>
      </c>
      <c r="FB388" s="233"/>
      <c r="FC388" s="219">
        <f>(EU388+EV388+EW388+EX388+EY388+EZ388+FA388+FB388)/3</f>
        <v>12</v>
      </c>
      <c r="FD388" s="220">
        <f>2*FC388</f>
        <v>24</v>
      </c>
      <c r="FE388" s="221">
        <f>3*FC388</f>
        <v>36</v>
      </c>
      <c r="FF388" s="233">
        <f>EU388*POWER(KLslave,SIGN(EV388))*POWER(INslave,SIGN(EW388))*POWER(CHslave,SIGN(EX388))*POWER(FFslave_FF,SIGN(EY388))*POWER(GEslave,SIGN(EZ388))*POWER(KOslave,SIGN(FA388))*POWER(KKslave,SIGN(FB388))+EV388*POWER(MUslave,SIGN(EU388))*POWER(INslave,SIGN(EW388))*POWER(CHslave,SIGN(EX388))*POWER(FFslave_FF,SIGN(EY388))*POWER(GEslave,SIGN(EZ388))*POWER(KOslave,SIGN(FA388))*POWER(KKslave,SIGN(FB388))+EW388*POWER(MUslave,SIGN(EU388))*POWER(KLslave,SIGN(EV388))*POWER(CHslave,SIGN(EX388))*POWER(FFslave_FF,SIGN(EY388))*POWER(GEslave,SIGN(EZ388))*POWER(KOslave,SIGN(FA388))*POWER(KKslave,SIGN(FB388))+EX388*POWER(MUslave,SIGN(EU388))*POWER(KLslave,SIGN(EV388))*POWER(INslave,SIGN(EW388))*POWER(FFslave_FF,SIGN(EY388))*POWER(GEslave,SIGN(EZ388))*POWER(KOslave,SIGN(FA388))*POWER(KKslave,SIGN(FB388))+EY388*POWER(MUslave,SIGN(EU388))*POWER(KLslave,SIGN(EV388))*POWER(INslave,SIGN(EW388))*POWER(CHslave,SIGN(EX388))*POWER(GEslave,SIGN(EZ388))*POWER(KOslave,SIGN(FA388))*POWER(KKslave,SIGN(FB388))+EZ388*POWER(MUslave,SIGN(EU388))*POWER(KLslave,SIGN(EV388))*POWER(INslave,SIGN(EW388))*POWER(CHslave,SIGN(EX388))*POWER(FFslave_FF,SIGN(EY388))*POWER(KOslave,SIGN(FA388))*POWER(KKslave,SIGN(FB388))+FA388*POWER(MUslave,SIGN(EU388))*POWER(KLslave,SIGN(EV388))*POWER(INslave,SIGN(EW388))*POWER(CHslave,SIGN(EX388))*POWER(FFslave_FF,SIGN(EY388))*POWER(GEslave,SIGN(EZ388))*POWER(KKslave,SIGN(FB388))+FB388*POWER(MUslave,SIGN(EU388))*POWER(KLslave,SIGN(EV388))*POWER(INslave,SIGN(EW388))*POWER(CHslave,SIGN(EX388))*POWER(FFslave_FF,SIGN(EY388))*POWER(GEslave,SIGN(EZ388))*POWER(KOslave,SIGN(FA388))</f>
        <v>2304</v>
      </c>
      <c r="FG388" s="233">
        <f>EU388*EX388*KOslave+EU388*CHslave*FA388+MUslave*EX388*FA388</f>
        <v>3456</v>
      </c>
      <c r="FH388" s="233">
        <f>IFERROR(EU388^SIGN(EU388),1)*IFERROR(EV388^SIGN(EV388),1)*IFERROR(EW388^SIGN(EW388),1)*IFERROR(EX388^SIGN(EX388),1)*IFERROR(EY388^SIGN(EY388),1)*IFERROR(EZ388^SIGN(EZ388),1)*IFERROR(FA388^SIGN(FA388),1)*IFERROR(FB388^SIGN(FB388),1)</f>
        <v>1728</v>
      </c>
      <c r="FI388" s="78">
        <f>SUM(FF388:FH388)</f>
        <v>7488</v>
      </c>
      <c r="FJ388" s="220">
        <f>FC388*FF388/FI388</f>
        <v>3.6923076923076925</v>
      </c>
      <c r="FK388" s="220">
        <f>FD388*FG388/FI388</f>
        <v>11.076923076923077</v>
      </c>
      <c r="FL388" s="220">
        <f>FE388*FH388/FI388</f>
        <v>8.3076923076923084</v>
      </c>
      <c r="FM388" s="42">
        <f>SUM(FJ388:FL388)</f>
        <v>23.07692307692308</v>
      </c>
      <c r="FN388" s="252">
        <f t="shared" si="4002"/>
        <v>0</v>
      </c>
      <c r="FO388" s="309">
        <f>FM388-FN388</f>
        <v>23.07692307692308</v>
      </c>
      <c r="FP388" s="42">
        <f>IF(FM388&lt;=0,3,0)+IF(FM388&gt;0,FM388+1,0)*3+IF(FM388&gt;12,FM388-12,0)*3+IF(FM388&gt;13,FM388-13,0)*3+IF(FM388&gt;14,FM388-14,0)*3+IF(FM388&gt;15,FM388-15,0)*3+IF(FM388&gt;16,FM388-16,0)*3+IF(FM388&gt;17,FM388-17,0)*3+IF(FM388&gt;18,FM388-18,0)*3+IF(FM388&gt;19,FM388-19,0)*3+IF(FM388&gt;20,FM388-20,0)*3</f>
        <v>263.30769230769232</v>
      </c>
      <c r="FQ388" s="78">
        <f>IF(FN388&lt;=0,3,0)+IF(FN388&gt;0,FN388+1,0)*3+IF(FN388&gt;12,FN388-12,0)*3+IF(FN388&gt;13,FN388-13,0)*3+IF(FN388&gt;14,FN388-14,0)*3+IF(FN388&gt;15,FN388-15,0)*3+IF(FN388&gt;16,FN388-16,0)*3+IF(FN388&gt;17,FN388-17,0)*3+IF(FN388&gt;18,FN388-18,0)*3+IF(FN388&gt;19,FN388-19,0)*3+IF(FN388&gt;20,FN388-20,0)*3</f>
        <v>3</v>
      </c>
      <c r="FR388" s="241">
        <f>IF((FP388-FQ388)&gt;0,FP388-FQ388,0)</f>
        <v>260.30769230769232</v>
      </c>
      <c r="FS388" s="42">
        <f>IF((FQ388-FP388)&gt;0,FQ388-FP388,0)</f>
        <v>0</v>
      </c>
      <c r="FU388" s="302" t="s">
        <v>231</v>
      </c>
      <c r="FV388" s="43" t="s">
        <v>227</v>
      </c>
      <c r="FW388" s="42" t="s">
        <v>135</v>
      </c>
      <c r="FX388" s="233">
        <f>Konvention_1slave-MUslave</f>
        <v>12</v>
      </c>
      <c r="FY388" s="233"/>
      <c r="FZ388" s="233"/>
      <c r="GA388" s="233">
        <f>Konvention_1slave-CHslave</f>
        <v>12</v>
      </c>
      <c r="GB388" s="233"/>
      <c r="GC388" s="233"/>
      <c r="GD388" s="233">
        <f>Konvention_1slave-KOslave</f>
        <v>12</v>
      </c>
      <c r="GE388" s="233"/>
      <c r="GF388" s="219">
        <f>(FX388+FY388+FZ388+GA388+GB388+GC388+GD388+GE388)/3</f>
        <v>12</v>
      </c>
      <c r="GG388" s="220">
        <f>2*GF388</f>
        <v>24</v>
      </c>
      <c r="GH388" s="221">
        <f>3*GF388</f>
        <v>36</v>
      </c>
      <c r="GI388" s="233">
        <f>FX388*POWER(KLslave,SIGN(FY388))*POWER(INslave,SIGN(FZ388))*POWER(CHslave,SIGN(GA388))*POWER(FFslave,SIGN(GB388))*POWER(GEslave_GE,SIGN(GC388))*POWER(KOslave,SIGN(GD388))*POWER(KKslave,SIGN(GE388))+FY388*POWER(MUslave,SIGN(FX388))*POWER(INslave,SIGN(FZ388))*POWER(CHslave,SIGN(GA388))*POWER(FFslave,SIGN(GB388))*POWER(GEslave_GE,SIGN(GC388))*POWER(KOslave,SIGN(GD388))*POWER(KKslave,SIGN(GE388))+FZ388*POWER(MUslave,SIGN(FX388))*POWER(KLslave,SIGN(FY388))*POWER(CHslave,SIGN(GA388))*POWER(FFslave,SIGN(GB388))*POWER(GEslave_GE,SIGN(GC388))*POWER(KOslave,SIGN(GD388))*POWER(KKslave,SIGN(GE388))+GA388*POWER(MUslave,SIGN(FX388))*POWER(KLslave,SIGN(FY388))*POWER(INslave,SIGN(FZ388))*POWER(FFslave,SIGN(GB388))*POWER(GEslave_GE,SIGN(GC388))*POWER(KOslave,SIGN(GD388))*POWER(KKslave,SIGN(GE388))+GB388*POWER(MUslave,SIGN(FX388))*POWER(KLslave,SIGN(FY388))*POWER(INslave,SIGN(FZ388))*POWER(CHslave,SIGN(GA388))*POWER(GEslave_GE,SIGN(GC388))*POWER(KOslave,SIGN(GD388))*POWER(KKslave,SIGN(GE388))+GC388*POWER(MUslave,SIGN(FX388))*POWER(KLslave,SIGN(FY388))*POWER(INslave,SIGN(FZ388))*POWER(CHslave,SIGN(GA388))*POWER(FFslave,SIGN(GB388))*POWER(KOslave,SIGN(GD388))*POWER(KKslave,SIGN(GE388))+GD388*POWER(MUslave,SIGN(FX388))*POWER(KLslave,SIGN(FY388))*POWER(INslave,SIGN(FZ388))*POWER(CHslave,SIGN(GA388))*POWER(FFslave,SIGN(GB388))*POWER(GEslave_GE,SIGN(GC388))*POWER(KKslave,SIGN(GE388))+GE388*POWER(MUslave,SIGN(FX388))*POWER(KLslave,SIGN(FY388))*POWER(INslave,SIGN(FZ388))*POWER(CHslave,SIGN(GA388))*POWER(FFslave,SIGN(GB388))*POWER(GEslave_GE,SIGN(GC388))*POWER(KOslave,SIGN(GD388))</f>
        <v>2304</v>
      </c>
      <c r="GJ388" s="233">
        <f>FX388*GA388*KOslave+FX388*CHslave*GD388+MUslave*GA388*GD388</f>
        <v>3456</v>
      </c>
      <c r="GK388" s="233">
        <f>IFERROR(FX388^SIGN(FX388),1)*IFERROR(FY388^SIGN(FY388),1)*IFERROR(FZ388^SIGN(FZ388),1)*IFERROR(GA388^SIGN(GA388),1)*IFERROR(GB388^SIGN(GB388),1)*IFERROR(GC388^SIGN(GC388),1)*IFERROR(GD388^SIGN(GD388),1)*IFERROR(GE388^SIGN(GE388),1)</f>
        <v>1728</v>
      </c>
      <c r="GL388" s="78">
        <f>SUM(GI388:GK388)</f>
        <v>7488</v>
      </c>
      <c r="GM388" s="220">
        <f>GF388*GI388/GL388</f>
        <v>3.6923076923076925</v>
      </c>
      <c r="GN388" s="220">
        <f>GG388*GJ388/GL388</f>
        <v>11.076923076923077</v>
      </c>
      <c r="GO388" s="220">
        <f>GH388*GK388/GL388</f>
        <v>8.3076923076923084</v>
      </c>
      <c r="GP388" s="42">
        <f>SUM(GM388:GO388)</f>
        <v>23.07692307692308</v>
      </c>
      <c r="GQ388" s="252">
        <f t="shared" si="4018"/>
        <v>0</v>
      </c>
      <c r="GR388" s="309">
        <f>GP388-GQ388</f>
        <v>23.07692307692308</v>
      </c>
      <c r="GS388" s="42">
        <f>IF(GP388&lt;=0,3,0)+IF(GP388&gt;0,GP388+1,0)*3+IF(GP388&gt;12,GP388-12,0)*3+IF(GP388&gt;13,GP388-13,0)*3+IF(GP388&gt;14,GP388-14,0)*3+IF(GP388&gt;15,GP388-15,0)*3+IF(GP388&gt;16,GP388-16,0)*3+IF(GP388&gt;17,GP388-17,0)*3+IF(GP388&gt;18,GP388-18,0)*3+IF(GP388&gt;19,GP388-19,0)*3+IF(GP388&gt;20,GP388-20,0)*3</f>
        <v>263.30769230769232</v>
      </c>
      <c r="GT388" s="78">
        <f>IF(GQ388&lt;=0,3,0)+IF(GQ388&gt;0,GQ388+1,0)*3+IF(GQ388&gt;12,GQ388-12,0)*3+IF(GQ388&gt;13,GQ388-13,0)*3+IF(GQ388&gt;14,GQ388-14,0)*3+IF(GQ388&gt;15,GQ388-15,0)*3+IF(GQ388&gt;16,GQ388-16,0)*3+IF(GQ388&gt;17,GQ388-17,0)*3+IF(GQ388&gt;18,GQ388-18,0)*3+IF(GQ388&gt;19,GQ388-19,0)*3+IF(GQ388&gt;20,GQ388-20,0)*3</f>
        <v>3</v>
      </c>
      <c r="GU388" s="241">
        <f>IF((GS388-GT388)&gt;0,GS388-GT388,0)</f>
        <v>260.30769230769232</v>
      </c>
      <c r="GV388" s="42">
        <f>IF((GT388-GS388)&gt;0,GT388-GS388,0)</f>
        <v>0</v>
      </c>
      <c r="GX388" s="302" t="s">
        <v>231</v>
      </c>
      <c r="GY388" s="43" t="s">
        <v>227</v>
      </c>
      <c r="GZ388" s="42" t="s">
        <v>135</v>
      </c>
      <c r="HA388" s="233">
        <f>Konvention_1slave-MUslave</f>
        <v>12</v>
      </c>
      <c r="HB388" s="233"/>
      <c r="HC388" s="233"/>
      <c r="HD388" s="233">
        <f>Konvention_1slave-CHslave</f>
        <v>12</v>
      </c>
      <c r="HE388" s="233"/>
      <c r="HF388" s="233"/>
      <c r="HG388" s="233">
        <f>Konvention_1slave-KOslave_KO</f>
        <v>11</v>
      </c>
      <c r="HH388" s="233"/>
      <c r="HI388" s="219">
        <f>(HA388+HB388+HC388+HD388+HE388+HF388+HG388+HH388)/3</f>
        <v>11.666666666666666</v>
      </c>
      <c r="HJ388" s="220">
        <f>2*HI388</f>
        <v>23.333333333333332</v>
      </c>
      <c r="HK388" s="221">
        <f>3*HI388</f>
        <v>35</v>
      </c>
      <c r="HL388" s="233">
        <f>HA388*POWER(KLslave,SIGN(HB388))*POWER(INslave,SIGN(HC388))*POWER(CHslave,SIGN(HD388))*POWER(FFslave,SIGN(HE388))*POWER(GEslave,SIGN(HF388))*POWER(KOslave_KO,SIGN(HG388))*POWER(KKslave,SIGN(HH388))+HB388*POWER(MUslave,SIGN(HA388))*POWER(INslave,SIGN(HC388))*POWER(CHslave,SIGN(HD388))*POWER(FFslave,SIGN(HE388))*POWER(GEslave,SIGN(HF388))*POWER(KOslave_KO,SIGN(HG388))*POWER(KKslave,SIGN(HH388))+HC388*POWER(MUslave,SIGN(HA388))*POWER(KLslave,SIGN(HB388))*POWER(CHslave,SIGN(HD388))*POWER(FFslave,SIGN(HE388))*POWER(GEslave,SIGN(HF388))*POWER(KOslave_KO,SIGN(HG388))*POWER(KKslave,SIGN(HH388))+HD388*POWER(MUslave,SIGN(HA388))*POWER(KLslave,SIGN(HB388))*POWER(INslave,SIGN(HC388))*POWER(FFslave,SIGN(HE388))*POWER(GEslave,SIGN(HF388))*POWER(KOslave_KO,SIGN(HG388))*POWER(KKslave,SIGN(HH388))+HE388*POWER(MUslave,SIGN(HA388))*POWER(KLslave,SIGN(HB388))*POWER(INslave,SIGN(HC388))*POWER(CHslave,SIGN(HD388))*POWER(GEslave,SIGN(HF388))*POWER(KOslave_KO,SIGN(HG388))*POWER(KKslave,SIGN(HH388))+HF388*POWER(MUslave,SIGN(HA388))*POWER(KLslave,SIGN(HB388))*POWER(INslave,SIGN(HC388))*POWER(CHslave,SIGN(HD388))*POWER(FFslave,SIGN(HE388))*POWER(KOslave_KO,SIGN(HG388))*POWER(KKslave,SIGN(HH388))+HG388*POWER(MUslave,SIGN(HA388))*POWER(KLslave,SIGN(HB388))*POWER(INslave,SIGN(HC388))*POWER(CHslave,SIGN(HD388))*POWER(FFslave,SIGN(HE388))*POWER(GEslave,SIGN(HF388))*POWER(KKslave,SIGN(HH388))+HH388*POWER(MUslave,SIGN(HA388))*POWER(KLslave,SIGN(HB388))*POWER(INslave,SIGN(HC388))*POWER(CHslave,SIGN(HD388))*POWER(FFslave,SIGN(HE388))*POWER(GEslave,SIGN(HF388))*POWER(KOslave_KO,SIGN(HG388))</f>
        <v>2432</v>
      </c>
      <c r="HM388" s="233">
        <f>HA388*HD388*KOslave_KO+HA388*CHslave*HG388+MUslave*HD388*HG388</f>
        <v>3408</v>
      </c>
      <c r="HN388" s="233">
        <f>IFERROR(HA388^SIGN(HA388),1)*IFERROR(HB388^SIGN(HB388),1)*IFERROR(HC388^SIGN(HC388),1)*IFERROR(HD388^SIGN(HD388),1)*IFERROR(HE388^SIGN(HE388),1)*IFERROR(HF388^SIGN(HF388),1)*IFERROR(HG388^SIGN(HG388),1)*IFERROR(HH388^SIGN(HH388),1)</f>
        <v>1584</v>
      </c>
      <c r="HO388" s="78">
        <f>SUM(HL388:HN388)</f>
        <v>7424</v>
      </c>
      <c r="HP388" s="220">
        <f>HI388*HL388/HO388</f>
        <v>3.8218390804597702</v>
      </c>
      <c r="HQ388" s="220">
        <f>HJ388*HM388/HO388</f>
        <v>10.711206896551724</v>
      </c>
      <c r="HR388" s="220">
        <f>HK388*HN388/HO388</f>
        <v>7.4676724137931032</v>
      </c>
      <c r="HS388" s="42">
        <f>SUM(HP388:HR388)</f>
        <v>22.000718390804597</v>
      </c>
      <c r="HT388" s="252">
        <f t="shared" si="4034"/>
        <v>0</v>
      </c>
      <c r="HU388" s="309">
        <f>HS388-HT388</f>
        <v>22.000718390804597</v>
      </c>
      <c r="HV388" s="42">
        <f>IF(HS388&lt;=0,3,0)+IF(HS388&gt;0,HS388+1,0)*3+IF(HS388&gt;12,HS388-12,0)*3+IF(HS388&gt;13,HS388-13,0)*3+IF(HS388&gt;14,HS388-14,0)*3+IF(HS388&gt;15,HS388-15,0)*3+IF(HS388&gt;16,HS388-16,0)*3+IF(HS388&gt;17,HS388-17,0)*3+IF(HS388&gt;18,HS388-18,0)*3+IF(HS388&gt;19,HS388-19,0)*3+IF(HS388&gt;20,HS388-20,0)*3</f>
        <v>231.02155172413785</v>
      </c>
      <c r="HW388" s="78">
        <f>IF(HT388&lt;=0,3,0)+IF(HT388&gt;0,HT388+1,0)*3+IF(HT388&gt;12,HT388-12,0)*3+IF(HT388&gt;13,HT388-13,0)*3+IF(HT388&gt;14,HT388-14,0)*3+IF(HT388&gt;15,HT388-15,0)*3+IF(HT388&gt;16,HT388-16,0)*3+IF(HT388&gt;17,HT388-17,0)*3+IF(HT388&gt;18,HT388-18,0)*3+IF(HT388&gt;19,HT388-19,0)*3+IF(HT388&gt;20,HT388-20,0)*3</f>
        <v>3</v>
      </c>
      <c r="HX388" s="241">
        <f>IF((HV388-HW388)&gt;0,HV388-HW388,0)</f>
        <v>228.02155172413785</v>
      </c>
      <c r="HY388" s="42">
        <f>IF((HW388-HV388)&gt;0,HW388-HV388,0)</f>
        <v>0</v>
      </c>
      <c r="IA388" s="302" t="s">
        <v>231</v>
      </c>
      <c r="IB388" s="43" t="s">
        <v>227</v>
      </c>
      <c r="IC388" s="42" t="s">
        <v>135</v>
      </c>
      <c r="ID388" s="233">
        <f>Konvention_1slave-MUslave</f>
        <v>12</v>
      </c>
      <c r="IE388" s="233"/>
      <c r="IF388" s="233"/>
      <c r="IG388" s="233">
        <f>Konvention_1slave-CHslave</f>
        <v>12</v>
      </c>
      <c r="IH388" s="233"/>
      <c r="II388" s="233"/>
      <c r="IJ388" s="233">
        <f>Konvention_1slave-KOslave</f>
        <v>12</v>
      </c>
      <c r="IK388" s="233"/>
      <c r="IL388" s="219">
        <f>(ID388+IE388+IF388+IG388+IH388+II388+IJ388+IK388)/3</f>
        <v>12</v>
      </c>
      <c r="IM388" s="220">
        <f>2*IL388</f>
        <v>24</v>
      </c>
      <c r="IN388" s="221">
        <f>3*IL388</f>
        <v>36</v>
      </c>
      <c r="IO388" s="233">
        <f>ID388*POWER(KLslave,SIGN(IE388))*POWER(INslave,SIGN(IF388))*POWER(CHslave,SIGN(IG388))*POWER(FFslave,SIGN(IH388))*POWER(GEslave,SIGN(II388))*POWER(KOslave,SIGN(IJ388))*POWER(KKslave_KK,SIGN(IK388))+IE388*POWER(MUslave,SIGN(ID388))*POWER(INslave,SIGN(IF388))*POWER(CHslave,SIGN(IG388))*POWER(FFslave,SIGN(IH388))*POWER(GEslave,SIGN(II388))*POWER(KOslave,SIGN(IJ388))*POWER(KKslave_KK,SIGN(IK388))+IF388*POWER(MUslave,SIGN(ID388))*POWER(KLslave,SIGN(IE388))*POWER(CHslave,SIGN(IG388))*POWER(FFslave,SIGN(IH388))*POWER(GEslave,SIGN(II388))*POWER(KOslave,SIGN(IJ388))*POWER(KKslave_KK,SIGN(IK388))+IG388*POWER(MUslave,SIGN(ID388))*POWER(KLslave,SIGN(IE388))*POWER(INslave,SIGN(IF388))*POWER(FFslave,SIGN(IH388))*POWER(GEslave,SIGN(II388))*POWER(KOslave,SIGN(IJ388))*POWER(KKslave_KK,SIGN(IK388))+IH388*POWER(MUslave,SIGN(ID388))*POWER(KLslave,SIGN(IE388))*POWER(INslave,SIGN(IF388))*POWER(CHslave,SIGN(IG388))*POWER(GEslave,SIGN(II388))*POWER(KOslave,SIGN(IJ388))*POWER(KKslave_KK,SIGN(IK388))+II388*POWER(MUslave,SIGN(ID388))*POWER(KLslave,SIGN(IE388))*POWER(INslave,SIGN(IF388))*POWER(CHslave,SIGN(IG388))*POWER(FFslave,SIGN(IH388))*POWER(KOslave,SIGN(IJ388))*POWER(KKslave_KK,SIGN(IK388))+IJ388*POWER(MUslave,SIGN(ID388))*POWER(KLslave,SIGN(IE388))*POWER(INslave,SIGN(IF388))*POWER(CHslave,SIGN(IG388))*POWER(FFslave,SIGN(IH388))*POWER(GEslave,SIGN(II388))*POWER(KKslave_KK,SIGN(IK388))+IK388*POWER(MUslave,SIGN(ID388))*POWER(KLslave,SIGN(IE388))*POWER(INslave,SIGN(IF388))*POWER(CHslave,SIGN(IG388))*POWER(FFslave,SIGN(IH388))*POWER(GEslave,SIGN(II388))*POWER(KOslave,SIGN(IJ388))</f>
        <v>2304</v>
      </c>
      <c r="IP388" s="233">
        <f>ID388*IG388*KOslave+ID388*CHslave*IJ388+MUslave*IG388*IJ388</f>
        <v>3456</v>
      </c>
      <c r="IQ388" s="233">
        <f>IFERROR(ID388^SIGN(ID388),1)*IFERROR(IE388^SIGN(IE388),1)*IFERROR(IF388^SIGN(IF388),1)*IFERROR(IG388^SIGN(IG388),1)*IFERROR(IH388^SIGN(IH388),1)*IFERROR(II388^SIGN(II388),1)*IFERROR(IJ388^SIGN(IJ388),1)*IFERROR(IK388^SIGN(IK388),1)</f>
        <v>1728</v>
      </c>
      <c r="IR388" s="78">
        <f>SUM(IO388:IQ388)</f>
        <v>7488</v>
      </c>
      <c r="IS388" s="220">
        <f>IL388*IO388/IR388</f>
        <v>3.6923076923076925</v>
      </c>
      <c r="IT388" s="220">
        <f>IM388*IP388/IR388</f>
        <v>11.076923076923077</v>
      </c>
      <c r="IU388" s="220">
        <f>IN388*IQ388/IR388</f>
        <v>8.3076923076923084</v>
      </c>
      <c r="IV388" s="42">
        <f>SUM(IS388:IU388)</f>
        <v>23.07692307692308</v>
      </c>
      <c r="IW388" s="252">
        <f t="shared" si="4050"/>
        <v>0</v>
      </c>
      <c r="IX388" s="309">
        <f>IV388-IW388</f>
        <v>23.07692307692308</v>
      </c>
      <c r="IY388" s="42">
        <f>IF(IV388&lt;=0,3,0)+IF(IV388&gt;0,IV388+1,0)*3+IF(IV388&gt;12,IV388-12,0)*3+IF(IV388&gt;13,IV388-13,0)*3+IF(IV388&gt;14,IV388-14,0)*3+IF(IV388&gt;15,IV388-15,0)*3+IF(IV388&gt;16,IV388-16,0)*3+IF(IV388&gt;17,IV388-17,0)*3+IF(IV388&gt;18,IV388-18,0)*3+IF(IV388&gt;19,IV388-19,0)*3+IF(IV388&gt;20,IV388-20,0)*3</f>
        <v>263.30769230769232</v>
      </c>
      <c r="IZ388" s="78">
        <f>IF(IW388&lt;=0,3,0)+IF(IW388&gt;0,IW388+1,0)*3+IF(IW388&gt;12,IW388-12,0)*3+IF(IW388&gt;13,IW388-13,0)*3+IF(IW388&gt;14,IW388-14,0)*3+IF(IW388&gt;15,IW388-15,0)*3+IF(IW388&gt;16,IW388-16,0)*3+IF(IW388&gt;17,IW388-17,0)*3+IF(IW388&gt;18,IW388-18,0)*3+IF(IW388&gt;19,IW388-19,0)*3+IF(IW388&gt;20,IW388-20,0)*3</f>
        <v>3</v>
      </c>
      <c r="JA388" s="241">
        <f>IF((IY388-IZ388)&gt;0,IY388-IZ388,0)</f>
        <v>260.30769230769232</v>
      </c>
      <c r="JB388" s="42">
        <f>IF((IZ388-IY388)&gt;0,IZ388-IY388,0)</f>
        <v>0</v>
      </c>
      <c r="JE388" s="148"/>
    </row>
    <row r="389" spans="1:265" hidden="1" outlineLevel="2">
      <c r="B389" s="148">
        <v>2</v>
      </c>
      <c r="C389" s="306" t="e">
        <f>VLOOKUP(AF389,Attribute!C:T,1,FALSE)</f>
        <v>#N/A</v>
      </c>
      <c r="D389" s="87" t="s">
        <v>227</v>
      </c>
      <c r="E389" s="159" t="s">
        <v>132</v>
      </c>
      <c r="F389" s="122">
        <f>Konvention_1master-MUmaster</f>
        <v>12</v>
      </c>
      <c r="G389" s="122"/>
      <c r="H389" s="122"/>
      <c r="I389" s="122">
        <f>Konvention_1master-CHmaster</f>
        <v>12</v>
      </c>
      <c r="J389" s="122"/>
      <c r="K389" s="122"/>
      <c r="L389" s="122">
        <f>Konvention_1master-KOmaster</f>
        <v>12</v>
      </c>
      <c r="M389" s="122"/>
      <c r="N389" s="225">
        <f>(F389+G389+H389+I389+J389+K389+L389+M389)/3</f>
        <v>12</v>
      </c>
      <c r="O389" s="226">
        <f>2*N389</f>
        <v>24</v>
      </c>
      <c r="P389" s="227">
        <f>3*N389</f>
        <v>36</v>
      </c>
      <c r="Q389" s="235">
        <f>F389*POWER(KLmaster,SIGN(G389))*POWER(INmaster,SIGN(H389))*POWER(CHmaster,SIGN(I389))*POWER(FFmaster,SIGN(J389))*POWER(GEmaster,SIGN(K389))*POWER(KOmaster,SIGN(L389))*POWER(KKmaster,SIGN(M389))+G389*POWER(MUmaster,SIGN(F389))*POWER(INmaster,SIGN(H389))*POWER(CHmaster,SIGN(I389))*POWER(FFmaster,SIGN(J389))*POWER(GEmaster,SIGN(K389))*POWER(KOmaster,SIGN(L389))*POWER(KKmaster,SIGN(M389))+H389*POWER(MUmaster,SIGN(F389))*POWER(KLmaster,SIGN(G389))*POWER(CHmaster,SIGN(I389))*POWER(FFmaster,SIGN(J389))*POWER(GEmaster,SIGN(K389))*POWER(KOmaster,SIGN(L389))*POWER(KKmaster,SIGN(M389))+I389*POWER(MUmaster,SIGN(F389))*POWER(KLmaster,SIGN(G389))*POWER(INmaster,SIGN(H389))*POWER(FFmaster,SIGN(J389))*POWER(GEmaster,SIGN(K389))*POWER(KOmaster,SIGN(L389))*POWER(KKmaster,SIGN(M389))+J389*POWER(MUmaster,SIGN(F389))*POWER(KLmaster,SIGN(G389))*POWER(INmaster,SIGN(H389))*POWER(CHmaster,SIGN(I389))*POWER(GEmaster,SIGN(K389))*POWER(KOmaster,SIGN(L389))*POWER(KKmaster,SIGN(M389))+K389*POWER(MUmaster,SIGN(F389))*POWER(KLmaster,SIGN(G389))*POWER(INmaster,SIGN(H389))*POWER(CHmaster,SIGN(I389))*POWER(FFmaster,SIGN(J389))*POWER(KOmaster,SIGN(L389))*POWER(KKmaster,SIGN(M389))+L389*POWER(MUmaster,SIGN(F389))*POWER(KLmaster,SIGN(G389))*POWER(INmaster,SIGN(H389))*POWER(CHmaster,SIGN(I389))*POWER(FFmaster,SIGN(J389))*POWER(GEmaster,SIGN(K389))*POWER(KKmaster,SIGN(M389))+M389*POWER(MUmaster,SIGN(F389))*POWER(KLmaster,SIGN(G389))*POWER(INmaster,SIGN(H389))*POWER(CHmaster,SIGN(I389))*POWER(FFmaster,SIGN(J389))*POWER(GEmaster,SIGN(K389))*POWER(KOmaster,SIGN(L389))</f>
        <v>2304</v>
      </c>
      <c r="R389" s="122">
        <f>F389*I389*KOmaster+F389*CHmaster*L389+MUmaster*I389*L389</f>
        <v>3456</v>
      </c>
      <c r="S389" s="235">
        <f>IFERROR(F389^SIGN(F389),1)*IFERROR(G389^SIGN(G389),1)*IFERROR(H389^SIGN(H389),1)*IFERROR(I389^SIGN(I389),1)*IFERROR(J389^SIGN(J389),1)*IFERROR(K389^SIGN(K389),1)*IFERROR(L389^SIGN(L389),1)*IFERROR(M389^SIGN(M389),1)</f>
        <v>1728</v>
      </c>
      <c r="T389" s="244">
        <f>SUM(Q389:S389)</f>
        <v>7488</v>
      </c>
      <c r="U389" s="226">
        <f>N389*Q389/T389</f>
        <v>3.6923076923076925</v>
      </c>
      <c r="V389" s="226">
        <f>O389*R389/T389</f>
        <v>11.076923076923077</v>
      </c>
      <c r="W389" s="226">
        <f>P389*S389/T389</f>
        <v>8.3076923076923084</v>
      </c>
      <c r="X389" s="246">
        <f>SUM(U389:W389)</f>
        <v>23.07692307692308</v>
      </c>
      <c r="Y389" s="252">
        <v>0</v>
      </c>
      <c r="Z389" s="198">
        <f>X389-Y389</f>
        <v>23.07692307692308</v>
      </c>
      <c r="AA389" s="159">
        <f>IF(X389&lt;=0,2,0)+IF(X389&gt;0,X389+1,0)*2+IF(X389&gt;12,X389-12,0)*2+IF(X389&gt;13,X389-13,0)*2+IF(X389&gt;14,X389-14,0)*2+IF(X389&gt;15,X389-15,0)*2+IF(X389&gt;16,X389-16,0)*2+IF(X389&gt;17,X389-17,0)*2+IF(X389&gt;18,X389-18,0)*2+IF(X389&gt;19,X389-19,0)*2+IF(X389&gt;20,X389-20,0)*2</f>
        <v>175.5384615384616</v>
      </c>
      <c r="AB389" s="161">
        <f>IF(Y389&lt;=0,2,0)+IF(Y389&gt;0,Y389+1,0)*2+IF(Y389&gt;12,Y389-12,0)*2+IF(Y389&gt;13,Y389-13,0)*2+IF(Y389&gt;14,Y389-14,0)*2+IF(Y389&gt;15,Y389-15,0)*2+IF(Y389&gt;16,Y389-16,0)*2+IF(Y389&gt;17,Y389-17,0)*2+IF(Y389&gt;18,Y389-18,0)*2+IF(Y389&gt;19,Y389-19,0)*2+IF(Y389&gt;20,Y389-20,0)*2</f>
        <v>2</v>
      </c>
      <c r="AC389" s="128">
        <f>IF((AA389-AB389)&gt;0,AA389-AB389,0)</f>
        <v>173.5384615384616</v>
      </c>
      <c r="AD389" s="159">
        <f>IF((AB389-AA389)&gt;0,AB389-AA389,0)</f>
        <v>0</v>
      </c>
      <c r="AF389" s="164" t="s">
        <v>232</v>
      </c>
      <c r="AG389" s="87" t="s">
        <v>227</v>
      </c>
      <c r="AH389" s="159" t="s">
        <v>132</v>
      </c>
      <c r="AI389" s="122">
        <f>Konvention_1slave-MUslave_MU</f>
        <v>11</v>
      </c>
      <c r="AJ389" s="122"/>
      <c r="AK389" s="122"/>
      <c r="AL389" s="122">
        <f>Konvention_1slave-CHslave</f>
        <v>12</v>
      </c>
      <c r="AM389" s="122"/>
      <c r="AN389" s="122"/>
      <c r="AO389" s="122">
        <f>Konvention_1slave-KOslave</f>
        <v>12</v>
      </c>
      <c r="AP389" s="122"/>
      <c r="AQ389" s="90">
        <f>(AI389+AJ389+AK389+AL389+AM389+AN389+AO389+AP389)/3</f>
        <v>11.666666666666666</v>
      </c>
      <c r="AR389" s="88">
        <f>2*AQ389</f>
        <v>23.333333333333332</v>
      </c>
      <c r="AS389" s="123">
        <f>3*AQ389</f>
        <v>35</v>
      </c>
      <c r="AT389" s="122">
        <f>AI389*POWER(KLslave,SIGN(AJ389))*POWER(INslave,SIGN(AK389))*POWER(CHslave,SIGN(AL389))*POWER(FFslave,SIGN(AM389))*POWER(GEslave,SIGN(AN389))*POWER(KOslave,SIGN(AO389))*POWER(KKslave,SIGN(AP389))+AJ389*POWER(MUslave_MU,SIGN(AI389))*POWER(INslave,SIGN(AK389))*POWER(CHslave,SIGN(AL389))*POWER(FFslave,SIGN(AM389))*POWER(GEslave,SIGN(AN389))*POWER(KOslave,SIGN(AO389))*POWER(KKslave,SIGN(AP389))+AK389*POWER(MUslave_MU,SIGN(AI389))*POWER(KLslave,SIGN(AJ389))*POWER(CHslave,SIGN(AL389))*POWER(FFslave,SIGN(AM389))*POWER(GEslave,SIGN(AN389))*POWER(KOslave,SIGN(AO389))*POWER(KKslave,SIGN(AP389))+AL389*POWER(MUslave_MU,SIGN(AI389))*POWER(KLslave,SIGN(AJ389))*POWER(INslave,SIGN(AK389))*POWER(FFslave,SIGN(AM389))*POWER(GEslave,SIGN(AN389))*POWER(KOslave,SIGN(AO389))*POWER(KKslave,SIGN(AP389))+AM389*POWER(MUslave_MU,SIGN(AI389))*POWER(KLslave,SIGN(AJ389))*POWER(INslave,SIGN(AK389))*POWER(CHslave,SIGN(AL389))*POWER(GEslave,SIGN(AN389))*POWER(KOslave,SIGN(AO389))*POWER(KKslave,SIGN(AP389))+AN389*POWER(MUslave_MU,SIGN(AI389))*POWER(KLslave,SIGN(AJ389))*POWER(INslave,SIGN(AK389))*POWER(CHslave,SIGN(AL389))*POWER(FFslave,SIGN(AM389))*POWER(KOslave,SIGN(AO389))*POWER(KKslave,SIGN(AP389))+AO389*POWER(MUslave_MU,SIGN(AI389))*POWER(KLslave,SIGN(AJ389))*POWER(INslave,SIGN(AK389))*POWER(CHslave,SIGN(AL389))*POWER(FFslave,SIGN(AM389))*POWER(GEslave,SIGN(AN389))*POWER(KKslave,SIGN(AP389))+AP389*POWER(MUslave_MU,SIGN(AI389))*POWER(KLslave,SIGN(AJ389))*POWER(INslave,SIGN(AK389))*POWER(CHslave,SIGN(AL389))*POWER(FFslave,SIGN(AM389))*POWER(GEslave,SIGN(AN389))*POWER(KOslave,SIGN(AO389))</f>
        <v>2432</v>
      </c>
      <c r="AU389" s="122">
        <f>AI389*AL389*KOslave+AI389*CHslave*AO389+MUslave_MU*AL389*AO389</f>
        <v>3408</v>
      </c>
      <c r="AV389" s="122">
        <f>IFERROR(AI389^SIGN(AI389),1)*IFERROR(AJ389^SIGN(AJ389),1)*IFERROR(AK389^SIGN(AK389),1)*IFERROR(AL389^SIGN(AL389),1)*IFERROR(AM389^SIGN(AM389),1)*IFERROR(AN389^SIGN(AN389),1)*IFERROR(AO389^SIGN(AO389),1)*IFERROR(AP389^SIGN(AP389),1)</f>
        <v>1584</v>
      </c>
      <c r="AW389" s="161">
        <f>SUM(AT389:AV389)</f>
        <v>7424</v>
      </c>
      <c r="AX389" s="88">
        <f>AQ389*AT389/AW389</f>
        <v>3.8218390804597702</v>
      </c>
      <c r="AY389" s="88">
        <f>AR389*AU389/AW389</f>
        <v>10.711206896551724</v>
      </c>
      <c r="AZ389" s="88">
        <f>AS389*AV389/AW389</f>
        <v>7.4676724137931032</v>
      </c>
      <c r="BA389" s="159">
        <f>SUM(AX389:AZ389)</f>
        <v>22.000718390804597</v>
      </c>
      <c r="BB389" s="165">
        <f t="shared" si="3938"/>
        <v>0</v>
      </c>
      <c r="BC389" s="198">
        <f>BA389-BB389</f>
        <v>22.000718390804597</v>
      </c>
      <c r="BD389" s="159">
        <f>IF(BA389&lt;=0,2,0)+IF(BA389&gt;0,BA389+1,0)*2+IF(BA389&gt;12,BA389-12,0)*2+IF(BA389&gt;13,BA389-13,0)*2+IF(BA389&gt;14,BA389-14,0)*2+IF(BA389&gt;15,BA389-15,0)*2+IF(BA389&gt;16,BA389-16,0)*2+IF(BA389&gt;17,BA389-17,0)*2+IF(BA389&gt;18,BA389-18,0)*2+IF(BA389&gt;19,BA389-19,0)*2+IF(BA389&gt;20,BA389-20,0)*2</f>
        <v>154.01436781609189</v>
      </c>
      <c r="BE389" s="161">
        <f>IF(BB389&lt;=0,2,0)+IF(BB389&gt;0,BB389+1,0)*2+IF(BB389&gt;12,BB389-12,0)*2+IF(BB389&gt;13,BB389-13,0)*2+IF(BB389&gt;14,BB389-14,0)*2+IF(BB389&gt;15,BB389-15,0)*2+IF(BB389&gt;16,BB389-16,0)*2+IF(BB389&gt;17,BB389-17,0)*2+IF(BB389&gt;18,BB389-18,0)*2+IF(BB389&gt;19,BB389-19,0)*2+IF(BB389&gt;20,BB389-20,0)*2</f>
        <v>2</v>
      </c>
      <c r="BF389" s="245">
        <f>IF((BD389-BE389)&gt;0,BD389-BE389,0)</f>
        <v>152.01436781609189</v>
      </c>
      <c r="BG389" s="246">
        <f>IF((BE389-BD389)&gt;0,BE389-BD389,0)</f>
        <v>0</v>
      </c>
      <c r="BI389" s="306" t="s">
        <v>232</v>
      </c>
      <c r="BJ389" s="314" t="s">
        <v>227</v>
      </c>
      <c r="BK389" s="246" t="s">
        <v>132</v>
      </c>
      <c r="BL389" s="235">
        <f>Konvention_1slave-MUslave</f>
        <v>12</v>
      </c>
      <c r="BM389" s="235"/>
      <c r="BN389" s="235"/>
      <c r="BO389" s="235">
        <f>Konvention_1slave-CHslave</f>
        <v>12</v>
      </c>
      <c r="BP389" s="235"/>
      <c r="BQ389" s="235"/>
      <c r="BR389" s="235">
        <f>Konvention_1slave-KOslave</f>
        <v>12</v>
      </c>
      <c r="BS389" s="235"/>
      <c r="BT389" s="225">
        <f>(BL389+BM389+BN389+BO389+BP389+BQ389+BR389+BS389)/3</f>
        <v>12</v>
      </c>
      <c r="BU389" s="226">
        <f>2*BT389</f>
        <v>24</v>
      </c>
      <c r="BV389" s="227">
        <f>3*BT389</f>
        <v>36</v>
      </c>
      <c r="BW389" s="235">
        <f>BL389*POWER(KLslave_KL,SIGN(BM389))*POWER(INslave,SIGN(BN389))*POWER(CHslave,SIGN(BO389))*POWER(FFslave,SIGN(BP389))*POWER(GEslave,SIGN(BQ389))*POWER(KOslave,SIGN(BR389))*POWER(KKslave,SIGN(BS389))+BM389*POWER(MUslave,SIGN(BL389))*POWER(INslave,SIGN(BN389))*POWER(CHslave,SIGN(BO389))*POWER(FFslave,SIGN(BP389))*POWER(GEslave,SIGN(BQ389))*POWER(KOslave,SIGN(BR389))*POWER(KKslave,SIGN(BS389))+BN389*POWER(MUslave,SIGN(BL389))*POWER(KLslave_KL,SIGN(BM389))*POWER(CHslave,SIGN(BO389))*POWER(FFslave,SIGN(BP389))*POWER(GEslave,SIGN(BQ389))*POWER(KOslave,SIGN(BR389))*POWER(KKslave,SIGN(BS389))+BO389*POWER(MUslave,SIGN(BL389))*POWER(KLslave_KL,SIGN(BM389))*POWER(INslave,SIGN(BN389))*POWER(FFslave,SIGN(BP389))*POWER(GEslave,SIGN(BQ389))*POWER(KOslave,SIGN(BR389))*POWER(KKslave,SIGN(BS389))+BP389*POWER(MUslave,SIGN(BL389))*POWER(KLslave_KL,SIGN(BM389))*POWER(INslave,SIGN(BN389))*POWER(CHslave,SIGN(BO389))*POWER(GEslave,SIGN(BQ389))*POWER(KOslave,SIGN(BR389))*POWER(KKslave,SIGN(BS389))+BQ389*POWER(MUslave,SIGN(BL389))*POWER(KLslave_KL,SIGN(BM389))*POWER(INslave,SIGN(BN389))*POWER(CHslave,SIGN(BO389))*POWER(FFslave,SIGN(BP389))*POWER(KOslave,SIGN(BR389))*POWER(KKslave,SIGN(BS389))+BR389*POWER(MUslave,SIGN(BL389))*POWER(KLslave_KL,SIGN(BM389))*POWER(INslave,SIGN(BN389))*POWER(CHslave,SIGN(BO389))*POWER(FFslave,SIGN(BP389))*POWER(GEslave,SIGN(BQ389))*POWER(KKslave,SIGN(BS389))+BS389*POWER(MUslave,SIGN(BL389))*POWER(KLslave_KL,SIGN(BM389))*POWER(INslave,SIGN(BN389))*POWER(CHslave,SIGN(BO389))*POWER(FFslave,SIGN(BP389))*POWER(GEslave,SIGN(BQ389))*POWER(KOslave,SIGN(BR389))</f>
        <v>2304</v>
      </c>
      <c r="BX389" s="235">
        <f>BL389*BO389*KOslave+BL389*CHslave*BR389+MUslave*BO389*BR389</f>
        <v>3456</v>
      </c>
      <c r="BY389" s="235">
        <f>IFERROR(BL389^SIGN(BL389),1)*IFERROR(BM389^SIGN(BM389),1)*IFERROR(BN389^SIGN(BN389),1)*IFERROR(BO389^SIGN(BO389),1)*IFERROR(BP389^SIGN(BP389),1)*IFERROR(BQ389^SIGN(BQ389),1)*IFERROR(BR389^SIGN(BR389),1)*IFERROR(BS389^SIGN(BS389),1)</f>
        <v>1728</v>
      </c>
      <c r="BZ389" s="244">
        <f>SUM(BW389:BY389)</f>
        <v>7488</v>
      </c>
      <c r="CA389" s="226">
        <f>BT389*BW389/BZ389</f>
        <v>3.6923076923076925</v>
      </c>
      <c r="CB389" s="226">
        <f>BU389*BX389/BZ389</f>
        <v>11.076923076923077</v>
      </c>
      <c r="CC389" s="226">
        <f>BV389*BY389/BZ389</f>
        <v>8.3076923076923084</v>
      </c>
      <c r="CD389" s="246">
        <f>SUM(CA389:CC389)</f>
        <v>23.07692307692308</v>
      </c>
      <c r="CE389" s="252">
        <f t="shared" si="3954"/>
        <v>0</v>
      </c>
      <c r="CF389" s="309">
        <f>CD389-CE389</f>
        <v>23.07692307692308</v>
      </c>
      <c r="CG389" s="246">
        <f>IF(CD389&lt;=0,2,0)+IF(CD389&gt;0,CD389+1,0)*2+IF(CD389&gt;12,CD389-12,0)*2+IF(CD389&gt;13,CD389-13,0)*2+IF(CD389&gt;14,CD389-14,0)*2+IF(CD389&gt;15,CD389-15,0)*2+IF(CD389&gt;16,CD389-16,0)*2+IF(CD389&gt;17,CD389-17,0)*2+IF(CD389&gt;18,CD389-18,0)*2+IF(CD389&gt;19,CD389-19,0)*2+IF(CD389&gt;20,CD389-20,0)*2</f>
        <v>175.5384615384616</v>
      </c>
      <c r="CH389" s="244">
        <f>IF(CE389&lt;=0,2,0)+IF(CE389&gt;0,CE389+1,0)*2+IF(CE389&gt;12,CE389-12,0)*2+IF(CE389&gt;13,CE389-13,0)*2+IF(CE389&gt;14,CE389-14,0)*2+IF(CE389&gt;15,CE389-15,0)*2+IF(CE389&gt;16,CE389-16,0)*2+IF(CE389&gt;17,CE389-17,0)*2+IF(CE389&gt;18,CE389-18,0)*2+IF(CE389&gt;19,CE389-19,0)*2+IF(CE389&gt;20,CE389-20,0)*2</f>
        <v>2</v>
      </c>
      <c r="CI389" s="245">
        <f>IF((CG389-CH389)&gt;0,CG389-CH389,0)</f>
        <v>173.5384615384616</v>
      </c>
      <c r="CJ389" s="246">
        <f>IF((CH389-CG389)&gt;0,CH389-CG389,0)</f>
        <v>0</v>
      </c>
      <c r="CL389" s="306" t="s">
        <v>232</v>
      </c>
      <c r="CM389" s="314" t="s">
        <v>227</v>
      </c>
      <c r="CN389" s="246" t="s">
        <v>132</v>
      </c>
      <c r="CO389" s="235">
        <f>Konvention_1slave-MUslave</f>
        <v>12</v>
      </c>
      <c r="CP389" s="235"/>
      <c r="CQ389" s="235"/>
      <c r="CR389" s="235">
        <f>Konvention_1slave-CHslave</f>
        <v>12</v>
      </c>
      <c r="CS389" s="235"/>
      <c r="CT389" s="235"/>
      <c r="CU389" s="235">
        <f>Konvention_1slave-KOslave</f>
        <v>12</v>
      </c>
      <c r="CV389" s="235"/>
      <c r="CW389" s="225">
        <f>(CO389+CP389+CQ389+CR389+CS389+CT389+CU389+CV389)/3</f>
        <v>12</v>
      </c>
      <c r="CX389" s="226">
        <f>2*CW389</f>
        <v>24</v>
      </c>
      <c r="CY389" s="227">
        <f>3*CW389</f>
        <v>36</v>
      </c>
      <c r="CZ389" s="235">
        <f>CO389*POWER(KLslave,SIGN(CP389))*POWER(INslave_IN,SIGN(CQ389))*POWER(CHslave,SIGN(CR389))*POWER(FFslave,SIGN(CS389))*POWER(GEslave,SIGN(CT389))*POWER(KOslave,SIGN(CU389))*POWER(KKslave,SIGN(CV389))+CP389*POWER(MUslave,SIGN(CO389))*POWER(INslave_IN,SIGN(CQ389))*POWER(CHslave,SIGN(CR389))*POWER(FFslave,SIGN(CS389))*POWER(GEslave,SIGN(CT389))*POWER(KOslave,SIGN(CU389))*POWER(KKslave,SIGN(CV389))+CQ389*POWER(MUslave,SIGN(CO389))*POWER(KLslave,SIGN(CP389))*POWER(CHslave,SIGN(CR389))*POWER(FFslave,SIGN(CS389))*POWER(GEslave,SIGN(CT389))*POWER(KOslave,SIGN(CU389))*POWER(KKslave,SIGN(CV389))+CR389*POWER(MUslave,SIGN(CO389))*POWER(KLslave,SIGN(CP389))*POWER(INslave_IN,SIGN(CQ389))*POWER(FFslave,SIGN(CS389))*POWER(GEslave,SIGN(CT389))*POWER(KOslave,SIGN(CU389))*POWER(KKslave,SIGN(CV389))+CS389*POWER(MUslave,SIGN(CO389))*POWER(KLslave,SIGN(CP389))*POWER(INslave_IN,SIGN(CQ389))*POWER(CHslave,SIGN(CR389))*POWER(GEslave,SIGN(CT389))*POWER(KOslave,SIGN(CU389))*POWER(KKslave,SIGN(CV389))+CT389*POWER(MUslave,SIGN(CO389))*POWER(KLslave,SIGN(CP389))*POWER(INslave_IN,SIGN(CQ389))*POWER(CHslave,SIGN(CR389))*POWER(FFslave,SIGN(CS389))*POWER(KOslave,SIGN(CU389))*POWER(KKslave,SIGN(CV389))+CU389*POWER(MUslave,SIGN(CO389))*POWER(KLslave,SIGN(CP389))*POWER(INslave_IN,SIGN(CQ389))*POWER(CHslave,SIGN(CR389))*POWER(FFslave,SIGN(CS389))*POWER(GEslave,SIGN(CT389))*POWER(KKslave,SIGN(CV389))+CV389*POWER(MUslave,SIGN(CO389))*POWER(KLslave,SIGN(CP389))*POWER(INslave_IN,SIGN(CQ389))*POWER(CHslave,SIGN(CR389))*POWER(FFslave,SIGN(CS389))*POWER(GEslave,SIGN(CT389))*POWER(KOslave,SIGN(CU389))</f>
        <v>2304</v>
      </c>
      <c r="DA389" s="235">
        <f>CO389*CR389*KOslave+CO389*CHslave*CU389+MUslave*CR389*CU389</f>
        <v>3456</v>
      </c>
      <c r="DB389" s="235">
        <f>IFERROR(CO389^SIGN(CO389),1)*IFERROR(CP389^SIGN(CP389),1)*IFERROR(CQ389^SIGN(CQ389),1)*IFERROR(CR389^SIGN(CR389),1)*IFERROR(CS389^SIGN(CS389),1)*IFERROR(CT389^SIGN(CT389),1)*IFERROR(CU389^SIGN(CU389),1)*IFERROR(CV389^SIGN(CV389),1)</f>
        <v>1728</v>
      </c>
      <c r="DC389" s="244">
        <f>SUM(CZ389:DB389)</f>
        <v>7488</v>
      </c>
      <c r="DD389" s="226">
        <f>CW389*CZ389/DC389</f>
        <v>3.6923076923076925</v>
      </c>
      <c r="DE389" s="226">
        <f>CX389*DA389/DC389</f>
        <v>11.076923076923077</v>
      </c>
      <c r="DF389" s="226">
        <f>CY389*DB389/DC389</f>
        <v>8.3076923076923084</v>
      </c>
      <c r="DG389" s="246">
        <f>SUM(DD389:DF389)</f>
        <v>23.07692307692308</v>
      </c>
      <c r="DH389" s="252">
        <f t="shared" si="3970"/>
        <v>0</v>
      </c>
      <c r="DI389" s="309">
        <f>DG389-DH389</f>
        <v>23.07692307692308</v>
      </c>
      <c r="DJ389" s="246">
        <f>IF(DG389&lt;=0,2,0)+IF(DG389&gt;0,DG389+1,0)*2+IF(DG389&gt;12,DG389-12,0)*2+IF(DG389&gt;13,DG389-13,0)*2+IF(DG389&gt;14,DG389-14,0)*2+IF(DG389&gt;15,DG389-15,0)*2+IF(DG389&gt;16,DG389-16,0)*2+IF(DG389&gt;17,DG389-17,0)*2+IF(DG389&gt;18,DG389-18,0)*2+IF(DG389&gt;19,DG389-19,0)*2+IF(DG389&gt;20,DG389-20,0)*2</f>
        <v>175.5384615384616</v>
      </c>
      <c r="DK389" s="244">
        <f>IF(DH389&lt;=0,2,0)+IF(DH389&gt;0,DH389+1,0)*2+IF(DH389&gt;12,DH389-12,0)*2+IF(DH389&gt;13,DH389-13,0)*2+IF(DH389&gt;14,DH389-14,0)*2+IF(DH389&gt;15,DH389-15,0)*2+IF(DH389&gt;16,DH389-16,0)*2+IF(DH389&gt;17,DH389-17,0)*2+IF(DH389&gt;18,DH389-18,0)*2+IF(DH389&gt;19,DH389-19,0)*2+IF(DH389&gt;20,DH389-20,0)*2</f>
        <v>2</v>
      </c>
      <c r="DL389" s="245">
        <f>IF((DJ389-DK389)&gt;0,DJ389-DK389,0)</f>
        <v>173.5384615384616</v>
      </c>
      <c r="DM389" s="246">
        <f>IF((DK389-DJ389)&gt;0,DK389-DJ389,0)</f>
        <v>0</v>
      </c>
      <c r="DO389" s="306" t="s">
        <v>232</v>
      </c>
      <c r="DP389" s="314" t="s">
        <v>227</v>
      </c>
      <c r="DQ389" s="246" t="s">
        <v>132</v>
      </c>
      <c r="DR389" s="235">
        <f>Konvention_1slave-MUslave</f>
        <v>12</v>
      </c>
      <c r="DS389" s="235"/>
      <c r="DT389" s="235"/>
      <c r="DU389" s="235">
        <f>Konvention_1slave-CHslave_CH</f>
        <v>11</v>
      </c>
      <c r="DV389" s="235"/>
      <c r="DW389" s="235"/>
      <c r="DX389" s="235">
        <f>Konvention_1slave-KOslave</f>
        <v>12</v>
      </c>
      <c r="DY389" s="235"/>
      <c r="DZ389" s="225">
        <f>(DR389+DS389+DT389+DU389+DV389+DW389+DX389+DY389)/3</f>
        <v>11.666666666666666</v>
      </c>
      <c r="EA389" s="226">
        <f>2*DZ389</f>
        <v>23.333333333333332</v>
      </c>
      <c r="EB389" s="227">
        <f>3*DZ389</f>
        <v>35</v>
      </c>
      <c r="EC389" s="235">
        <f>DR389*POWER(KLslave,SIGN(DS389))*POWER(INslave,SIGN(DT389))*POWER(CHslave_CH,SIGN(DU389))*POWER(FFslave,SIGN(DV389))*POWER(GEslave,SIGN(DW389))*POWER(KOslave,SIGN(DX389))*POWER(KKslave,SIGN(DY389))+DS389*POWER(MUslave,SIGN(DR389))*POWER(INslave,SIGN(DT389))*POWER(CHslave_CH,SIGN(DU389))*POWER(FFslave,SIGN(DV389))*POWER(GEslave,SIGN(DW389))*POWER(KOslave,SIGN(DX389))*POWER(KKslave,SIGN(DY389))+DT389*POWER(MUslave,SIGN(DR389))*POWER(KLslave,SIGN(DS389))*POWER(CHslave_CH,SIGN(DU389))*POWER(FFslave,SIGN(DV389))*POWER(GEslave,SIGN(DW389))*POWER(KOslave,SIGN(DX389))*POWER(KKslave,SIGN(DY389))+DU389*POWER(MUslave,SIGN(DR389))*POWER(KLslave,SIGN(DS389))*POWER(INslave,SIGN(DT389))*POWER(FFslave,SIGN(DV389))*POWER(GEslave,SIGN(DW389))*POWER(KOslave,SIGN(DX389))*POWER(KKslave,SIGN(DY389))+DV389*POWER(MUslave,SIGN(DR389))*POWER(KLslave,SIGN(DS389))*POWER(INslave,SIGN(DT389))*POWER(CHslave_CH,SIGN(DU389))*POWER(GEslave,SIGN(DW389))*POWER(KOslave,SIGN(DX389))*POWER(KKslave,SIGN(DY389))+DW389*POWER(MUslave,SIGN(DR389))*POWER(KLslave,SIGN(DS389))*POWER(INslave,SIGN(DT389))*POWER(CHslave_CH,SIGN(DU389))*POWER(FFslave,SIGN(DV389))*POWER(KOslave,SIGN(DX389))*POWER(KKslave,SIGN(DY389))+DX389*POWER(MUslave,SIGN(DR389))*POWER(KLslave,SIGN(DS389))*POWER(INslave,SIGN(DT389))*POWER(CHslave_CH,SIGN(DU389))*POWER(FFslave,SIGN(DV389))*POWER(GEslave,SIGN(DW389))*POWER(KKslave,SIGN(DY389))+DY389*POWER(MUslave,SIGN(DR389))*POWER(KLslave,SIGN(DS389))*POWER(INslave,SIGN(DT389))*POWER(CHslave_CH,SIGN(DU389))*POWER(FFslave,SIGN(DV389))*POWER(GEslave,SIGN(DW389))*POWER(KOslave,SIGN(DX389))</f>
        <v>2432</v>
      </c>
      <c r="ED389" s="235">
        <f>DR389*DU389*KOslave+DR389*CHslave_CH*DX389+MUslave*DU389*DX389</f>
        <v>3408</v>
      </c>
      <c r="EE389" s="235">
        <f>IFERROR(DR389^SIGN(DR389),1)*IFERROR(DS389^SIGN(DS389),1)*IFERROR(DT389^SIGN(DT389),1)*IFERROR(DU389^SIGN(DU389),1)*IFERROR(DV389^SIGN(DV389),1)*IFERROR(DW389^SIGN(DW389),1)*IFERROR(DX389^SIGN(DX389),1)*IFERROR(DY389^SIGN(DY389),1)</f>
        <v>1584</v>
      </c>
      <c r="EF389" s="244">
        <f>SUM(EC389:EE389)</f>
        <v>7424</v>
      </c>
      <c r="EG389" s="226">
        <f>DZ389*EC389/EF389</f>
        <v>3.8218390804597702</v>
      </c>
      <c r="EH389" s="226">
        <f>EA389*ED389/EF389</f>
        <v>10.711206896551724</v>
      </c>
      <c r="EI389" s="226">
        <f>EB389*EE389/EF389</f>
        <v>7.4676724137931032</v>
      </c>
      <c r="EJ389" s="246">
        <f>SUM(EG389:EI389)</f>
        <v>22.000718390804597</v>
      </c>
      <c r="EK389" s="252">
        <f t="shared" si="3986"/>
        <v>0</v>
      </c>
      <c r="EL389" s="309">
        <f>EJ389-EK389</f>
        <v>22.000718390804597</v>
      </c>
      <c r="EM389" s="246">
        <f>IF(EJ389&lt;=0,2,0)+IF(EJ389&gt;0,EJ389+1,0)*2+IF(EJ389&gt;12,EJ389-12,0)*2+IF(EJ389&gt;13,EJ389-13,0)*2+IF(EJ389&gt;14,EJ389-14,0)*2+IF(EJ389&gt;15,EJ389-15,0)*2+IF(EJ389&gt;16,EJ389-16,0)*2+IF(EJ389&gt;17,EJ389-17,0)*2+IF(EJ389&gt;18,EJ389-18,0)*2+IF(EJ389&gt;19,EJ389-19,0)*2+IF(EJ389&gt;20,EJ389-20,0)*2</f>
        <v>154.01436781609189</v>
      </c>
      <c r="EN389" s="244">
        <f>IF(EK389&lt;=0,2,0)+IF(EK389&gt;0,EK389+1,0)*2+IF(EK389&gt;12,EK389-12,0)*2+IF(EK389&gt;13,EK389-13,0)*2+IF(EK389&gt;14,EK389-14,0)*2+IF(EK389&gt;15,EK389-15,0)*2+IF(EK389&gt;16,EK389-16,0)*2+IF(EK389&gt;17,EK389-17,0)*2+IF(EK389&gt;18,EK389-18,0)*2+IF(EK389&gt;19,EK389-19,0)*2+IF(EK389&gt;20,EK389-20,0)*2</f>
        <v>2</v>
      </c>
      <c r="EO389" s="245">
        <f>IF((EM389-EN389)&gt;0,EM389-EN389,0)</f>
        <v>152.01436781609189</v>
      </c>
      <c r="EP389" s="246">
        <f>IF((EN389-EM389)&gt;0,EN389-EM389,0)</f>
        <v>0</v>
      </c>
      <c r="ER389" s="306" t="s">
        <v>232</v>
      </c>
      <c r="ES389" s="314" t="s">
        <v>227</v>
      </c>
      <c r="ET389" s="246" t="s">
        <v>132</v>
      </c>
      <c r="EU389" s="235">
        <f>Konvention_1slave-MUslave</f>
        <v>12</v>
      </c>
      <c r="EV389" s="235"/>
      <c r="EW389" s="235"/>
      <c r="EX389" s="235">
        <f>Konvention_1slave-CHslave</f>
        <v>12</v>
      </c>
      <c r="EY389" s="235"/>
      <c r="EZ389" s="235"/>
      <c r="FA389" s="235">
        <f>Konvention_1slave-KOslave</f>
        <v>12</v>
      </c>
      <c r="FB389" s="235"/>
      <c r="FC389" s="225">
        <f>(EU389+EV389+EW389+EX389+EY389+EZ389+FA389+FB389)/3</f>
        <v>12</v>
      </c>
      <c r="FD389" s="226">
        <f>2*FC389</f>
        <v>24</v>
      </c>
      <c r="FE389" s="227">
        <f>3*FC389</f>
        <v>36</v>
      </c>
      <c r="FF389" s="235">
        <f>EU389*POWER(KLslave,SIGN(EV389))*POWER(INslave,SIGN(EW389))*POWER(CHslave,SIGN(EX389))*POWER(FFslave_FF,SIGN(EY389))*POWER(GEslave,SIGN(EZ389))*POWER(KOslave,SIGN(FA389))*POWER(KKslave,SIGN(FB389))+EV389*POWER(MUslave,SIGN(EU389))*POWER(INslave,SIGN(EW389))*POWER(CHslave,SIGN(EX389))*POWER(FFslave_FF,SIGN(EY389))*POWER(GEslave,SIGN(EZ389))*POWER(KOslave,SIGN(FA389))*POWER(KKslave,SIGN(FB389))+EW389*POWER(MUslave,SIGN(EU389))*POWER(KLslave,SIGN(EV389))*POWER(CHslave,SIGN(EX389))*POWER(FFslave_FF,SIGN(EY389))*POWER(GEslave,SIGN(EZ389))*POWER(KOslave,SIGN(FA389))*POWER(KKslave,SIGN(FB389))+EX389*POWER(MUslave,SIGN(EU389))*POWER(KLslave,SIGN(EV389))*POWER(INslave,SIGN(EW389))*POWER(FFslave_FF,SIGN(EY389))*POWER(GEslave,SIGN(EZ389))*POWER(KOslave,SIGN(FA389))*POWER(KKslave,SIGN(FB389))+EY389*POWER(MUslave,SIGN(EU389))*POWER(KLslave,SIGN(EV389))*POWER(INslave,SIGN(EW389))*POWER(CHslave,SIGN(EX389))*POWER(GEslave,SIGN(EZ389))*POWER(KOslave,SIGN(FA389))*POWER(KKslave,SIGN(FB389))+EZ389*POWER(MUslave,SIGN(EU389))*POWER(KLslave,SIGN(EV389))*POWER(INslave,SIGN(EW389))*POWER(CHslave,SIGN(EX389))*POWER(FFslave_FF,SIGN(EY389))*POWER(KOslave,SIGN(FA389))*POWER(KKslave,SIGN(FB389))+FA389*POWER(MUslave,SIGN(EU389))*POWER(KLslave,SIGN(EV389))*POWER(INslave,SIGN(EW389))*POWER(CHslave,SIGN(EX389))*POWER(FFslave_FF,SIGN(EY389))*POWER(GEslave,SIGN(EZ389))*POWER(KKslave,SIGN(FB389))+FB389*POWER(MUslave,SIGN(EU389))*POWER(KLslave,SIGN(EV389))*POWER(INslave,SIGN(EW389))*POWER(CHslave,SIGN(EX389))*POWER(FFslave_FF,SIGN(EY389))*POWER(GEslave,SIGN(EZ389))*POWER(KOslave,SIGN(FA389))</f>
        <v>2304</v>
      </c>
      <c r="FG389" s="235">
        <f>EU389*EX389*KOslave+EU389*CHslave*FA389+MUslave*EX389*FA389</f>
        <v>3456</v>
      </c>
      <c r="FH389" s="235">
        <f>IFERROR(EU389^SIGN(EU389),1)*IFERROR(EV389^SIGN(EV389),1)*IFERROR(EW389^SIGN(EW389),1)*IFERROR(EX389^SIGN(EX389),1)*IFERROR(EY389^SIGN(EY389),1)*IFERROR(EZ389^SIGN(EZ389),1)*IFERROR(FA389^SIGN(FA389),1)*IFERROR(FB389^SIGN(FB389),1)</f>
        <v>1728</v>
      </c>
      <c r="FI389" s="244">
        <f>SUM(FF389:FH389)</f>
        <v>7488</v>
      </c>
      <c r="FJ389" s="226">
        <f>FC389*FF389/FI389</f>
        <v>3.6923076923076925</v>
      </c>
      <c r="FK389" s="226">
        <f>FD389*FG389/FI389</f>
        <v>11.076923076923077</v>
      </c>
      <c r="FL389" s="226">
        <f>FE389*FH389/FI389</f>
        <v>8.3076923076923084</v>
      </c>
      <c r="FM389" s="246">
        <f>SUM(FJ389:FL389)</f>
        <v>23.07692307692308</v>
      </c>
      <c r="FN389" s="252">
        <f t="shared" si="4002"/>
        <v>0</v>
      </c>
      <c r="FO389" s="309">
        <f>FM389-FN389</f>
        <v>23.07692307692308</v>
      </c>
      <c r="FP389" s="246">
        <f>IF(FM389&lt;=0,2,0)+IF(FM389&gt;0,FM389+1,0)*2+IF(FM389&gt;12,FM389-12,0)*2+IF(FM389&gt;13,FM389-13,0)*2+IF(FM389&gt;14,FM389-14,0)*2+IF(FM389&gt;15,FM389-15,0)*2+IF(FM389&gt;16,FM389-16,0)*2+IF(FM389&gt;17,FM389-17,0)*2+IF(FM389&gt;18,FM389-18,0)*2+IF(FM389&gt;19,FM389-19,0)*2+IF(FM389&gt;20,FM389-20,0)*2</f>
        <v>175.5384615384616</v>
      </c>
      <c r="FQ389" s="244">
        <f>IF(FN389&lt;=0,2,0)+IF(FN389&gt;0,FN389+1,0)*2+IF(FN389&gt;12,FN389-12,0)*2+IF(FN389&gt;13,FN389-13,0)*2+IF(FN389&gt;14,FN389-14,0)*2+IF(FN389&gt;15,FN389-15,0)*2+IF(FN389&gt;16,FN389-16,0)*2+IF(FN389&gt;17,FN389-17,0)*2+IF(FN389&gt;18,FN389-18,0)*2+IF(FN389&gt;19,FN389-19,0)*2+IF(FN389&gt;20,FN389-20,0)*2</f>
        <v>2</v>
      </c>
      <c r="FR389" s="245">
        <f>IF((FP389-FQ389)&gt;0,FP389-FQ389,0)</f>
        <v>173.5384615384616</v>
      </c>
      <c r="FS389" s="246">
        <f>IF((FQ389-FP389)&gt;0,FQ389-FP389,0)</f>
        <v>0</v>
      </c>
      <c r="FU389" s="306" t="s">
        <v>232</v>
      </c>
      <c r="FV389" s="314" t="s">
        <v>227</v>
      </c>
      <c r="FW389" s="246" t="s">
        <v>132</v>
      </c>
      <c r="FX389" s="235">
        <f>Konvention_1slave-MUslave</f>
        <v>12</v>
      </c>
      <c r="FY389" s="235"/>
      <c r="FZ389" s="235"/>
      <c r="GA389" s="235">
        <f>Konvention_1slave-CHslave</f>
        <v>12</v>
      </c>
      <c r="GB389" s="235"/>
      <c r="GC389" s="235"/>
      <c r="GD389" s="235">
        <f>Konvention_1slave-KOslave</f>
        <v>12</v>
      </c>
      <c r="GE389" s="235"/>
      <c r="GF389" s="225">
        <f>(FX389+FY389+FZ389+GA389+GB389+GC389+GD389+GE389)/3</f>
        <v>12</v>
      </c>
      <c r="GG389" s="226">
        <f>2*GF389</f>
        <v>24</v>
      </c>
      <c r="GH389" s="227">
        <f>3*GF389</f>
        <v>36</v>
      </c>
      <c r="GI389" s="235">
        <f>FX389*POWER(KLslave,SIGN(FY389))*POWER(INslave,SIGN(FZ389))*POWER(CHslave,SIGN(GA389))*POWER(FFslave,SIGN(GB389))*POWER(GEslave_GE,SIGN(GC389))*POWER(KOslave,SIGN(GD389))*POWER(KKslave,SIGN(GE389))+FY389*POWER(MUslave,SIGN(FX389))*POWER(INslave,SIGN(FZ389))*POWER(CHslave,SIGN(GA389))*POWER(FFslave,SIGN(GB389))*POWER(GEslave_GE,SIGN(GC389))*POWER(KOslave,SIGN(GD389))*POWER(KKslave,SIGN(GE389))+FZ389*POWER(MUslave,SIGN(FX389))*POWER(KLslave,SIGN(FY389))*POWER(CHslave,SIGN(GA389))*POWER(FFslave,SIGN(GB389))*POWER(GEslave_GE,SIGN(GC389))*POWER(KOslave,SIGN(GD389))*POWER(KKslave,SIGN(GE389))+GA389*POWER(MUslave,SIGN(FX389))*POWER(KLslave,SIGN(FY389))*POWER(INslave,SIGN(FZ389))*POWER(FFslave,SIGN(GB389))*POWER(GEslave_GE,SIGN(GC389))*POWER(KOslave,SIGN(GD389))*POWER(KKslave,SIGN(GE389))+GB389*POWER(MUslave,SIGN(FX389))*POWER(KLslave,SIGN(FY389))*POWER(INslave,SIGN(FZ389))*POWER(CHslave,SIGN(GA389))*POWER(GEslave_GE,SIGN(GC389))*POWER(KOslave,SIGN(GD389))*POWER(KKslave,SIGN(GE389))+GC389*POWER(MUslave,SIGN(FX389))*POWER(KLslave,SIGN(FY389))*POWER(INslave,SIGN(FZ389))*POWER(CHslave,SIGN(GA389))*POWER(FFslave,SIGN(GB389))*POWER(KOslave,SIGN(GD389))*POWER(KKslave,SIGN(GE389))+GD389*POWER(MUslave,SIGN(FX389))*POWER(KLslave,SIGN(FY389))*POWER(INslave,SIGN(FZ389))*POWER(CHslave,SIGN(GA389))*POWER(FFslave,SIGN(GB389))*POWER(GEslave_GE,SIGN(GC389))*POWER(KKslave,SIGN(GE389))+GE389*POWER(MUslave,SIGN(FX389))*POWER(KLslave,SIGN(FY389))*POWER(INslave,SIGN(FZ389))*POWER(CHslave,SIGN(GA389))*POWER(FFslave,SIGN(GB389))*POWER(GEslave_GE,SIGN(GC389))*POWER(KOslave,SIGN(GD389))</f>
        <v>2304</v>
      </c>
      <c r="GJ389" s="235">
        <f>FX389*GA389*KOslave+FX389*CHslave*GD389+MUslave*GA389*GD389</f>
        <v>3456</v>
      </c>
      <c r="GK389" s="235">
        <f>IFERROR(FX389^SIGN(FX389),1)*IFERROR(FY389^SIGN(FY389),1)*IFERROR(FZ389^SIGN(FZ389),1)*IFERROR(GA389^SIGN(GA389),1)*IFERROR(GB389^SIGN(GB389),1)*IFERROR(GC389^SIGN(GC389),1)*IFERROR(GD389^SIGN(GD389),1)*IFERROR(GE389^SIGN(GE389),1)</f>
        <v>1728</v>
      </c>
      <c r="GL389" s="244">
        <f>SUM(GI389:GK389)</f>
        <v>7488</v>
      </c>
      <c r="GM389" s="226">
        <f>GF389*GI389/GL389</f>
        <v>3.6923076923076925</v>
      </c>
      <c r="GN389" s="226">
        <f>GG389*GJ389/GL389</f>
        <v>11.076923076923077</v>
      </c>
      <c r="GO389" s="226">
        <f>GH389*GK389/GL389</f>
        <v>8.3076923076923084</v>
      </c>
      <c r="GP389" s="246">
        <f>SUM(GM389:GO389)</f>
        <v>23.07692307692308</v>
      </c>
      <c r="GQ389" s="252">
        <f t="shared" si="4018"/>
        <v>0</v>
      </c>
      <c r="GR389" s="309">
        <f>GP389-GQ389</f>
        <v>23.07692307692308</v>
      </c>
      <c r="GS389" s="246">
        <f>IF(GP389&lt;=0,2,0)+IF(GP389&gt;0,GP389+1,0)*2+IF(GP389&gt;12,GP389-12,0)*2+IF(GP389&gt;13,GP389-13,0)*2+IF(GP389&gt;14,GP389-14,0)*2+IF(GP389&gt;15,GP389-15,0)*2+IF(GP389&gt;16,GP389-16,0)*2+IF(GP389&gt;17,GP389-17,0)*2+IF(GP389&gt;18,GP389-18,0)*2+IF(GP389&gt;19,GP389-19,0)*2+IF(GP389&gt;20,GP389-20,0)*2</f>
        <v>175.5384615384616</v>
      </c>
      <c r="GT389" s="244">
        <f>IF(GQ389&lt;=0,2,0)+IF(GQ389&gt;0,GQ389+1,0)*2+IF(GQ389&gt;12,GQ389-12,0)*2+IF(GQ389&gt;13,GQ389-13,0)*2+IF(GQ389&gt;14,GQ389-14,0)*2+IF(GQ389&gt;15,GQ389-15,0)*2+IF(GQ389&gt;16,GQ389-16,0)*2+IF(GQ389&gt;17,GQ389-17,0)*2+IF(GQ389&gt;18,GQ389-18,0)*2+IF(GQ389&gt;19,GQ389-19,0)*2+IF(GQ389&gt;20,GQ389-20,0)*2</f>
        <v>2</v>
      </c>
      <c r="GU389" s="245">
        <f>IF((GS389-GT389)&gt;0,GS389-GT389,0)</f>
        <v>173.5384615384616</v>
      </c>
      <c r="GV389" s="246">
        <f>IF((GT389-GS389)&gt;0,GT389-GS389,0)</f>
        <v>0</v>
      </c>
      <c r="GX389" s="306" t="s">
        <v>232</v>
      </c>
      <c r="GY389" s="314" t="s">
        <v>227</v>
      </c>
      <c r="GZ389" s="246" t="s">
        <v>132</v>
      </c>
      <c r="HA389" s="235">
        <f>Konvention_1slave-MUslave</f>
        <v>12</v>
      </c>
      <c r="HB389" s="235"/>
      <c r="HC389" s="235"/>
      <c r="HD389" s="235">
        <f>Konvention_1slave-CHslave</f>
        <v>12</v>
      </c>
      <c r="HE389" s="235"/>
      <c r="HF389" s="235"/>
      <c r="HG389" s="235">
        <f>Konvention_1slave-KOslave_KO</f>
        <v>11</v>
      </c>
      <c r="HH389" s="235"/>
      <c r="HI389" s="225">
        <f>(HA389+HB389+HC389+HD389+HE389+HF389+HG389+HH389)/3</f>
        <v>11.666666666666666</v>
      </c>
      <c r="HJ389" s="226">
        <f>2*HI389</f>
        <v>23.333333333333332</v>
      </c>
      <c r="HK389" s="227">
        <f>3*HI389</f>
        <v>35</v>
      </c>
      <c r="HL389" s="235">
        <f>HA389*POWER(KLslave,SIGN(HB389))*POWER(INslave,SIGN(HC389))*POWER(CHslave,SIGN(HD389))*POWER(FFslave,SIGN(HE389))*POWER(GEslave,SIGN(HF389))*POWER(KOslave_KO,SIGN(HG389))*POWER(KKslave,SIGN(HH389))+HB389*POWER(MUslave,SIGN(HA389))*POWER(INslave,SIGN(HC389))*POWER(CHslave,SIGN(HD389))*POWER(FFslave,SIGN(HE389))*POWER(GEslave,SIGN(HF389))*POWER(KOslave_KO,SIGN(HG389))*POWER(KKslave,SIGN(HH389))+HC389*POWER(MUslave,SIGN(HA389))*POWER(KLslave,SIGN(HB389))*POWER(CHslave,SIGN(HD389))*POWER(FFslave,SIGN(HE389))*POWER(GEslave,SIGN(HF389))*POWER(KOslave_KO,SIGN(HG389))*POWER(KKslave,SIGN(HH389))+HD389*POWER(MUslave,SIGN(HA389))*POWER(KLslave,SIGN(HB389))*POWER(INslave,SIGN(HC389))*POWER(FFslave,SIGN(HE389))*POWER(GEslave,SIGN(HF389))*POWER(KOslave_KO,SIGN(HG389))*POWER(KKslave,SIGN(HH389))+HE389*POWER(MUslave,SIGN(HA389))*POWER(KLslave,SIGN(HB389))*POWER(INslave,SIGN(HC389))*POWER(CHslave,SIGN(HD389))*POWER(GEslave,SIGN(HF389))*POWER(KOslave_KO,SIGN(HG389))*POWER(KKslave,SIGN(HH389))+HF389*POWER(MUslave,SIGN(HA389))*POWER(KLslave,SIGN(HB389))*POWER(INslave,SIGN(HC389))*POWER(CHslave,SIGN(HD389))*POWER(FFslave,SIGN(HE389))*POWER(KOslave_KO,SIGN(HG389))*POWER(KKslave,SIGN(HH389))+HG389*POWER(MUslave,SIGN(HA389))*POWER(KLslave,SIGN(HB389))*POWER(INslave,SIGN(HC389))*POWER(CHslave,SIGN(HD389))*POWER(FFslave,SIGN(HE389))*POWER(GEslave,SIGN(HF389))*POWER(KKslave,SIGN(HH389))+HH389*POWER(MUslave,SIGN(HA389))*POWER(KLslave,SIGN(HB389))*POWER(INslave,SIGN(HC389))*POWER(CHslave,SIGN(HD389))*POWER(FFslave,SIGN(HE389))*POWER(GEslave,SIGN(HF389))*POWER(KOslave_KO,SIGN(HG389))</f>
        <v>2432</v>
      </c>
      <c r="HM389" s="235">
        <f>HA389*HD389*KOslave_KO+HA389*CHslave*HG389+MUslave*HD389*HG389</f>
        <v>3408</v>
      </c>
      <c r="HN389" s="235">
        <f>IFERROR(HA389^SIGN(HA389),1)*IFERROR(HB389^SIGN(HB389),1)*IFERROR(HC389^SIGN(HC389),1)*IFERROR(HD389^SIGN(HD389),1)*IFERROR(HE389^SIGN(HE389),1)*IFERROR(HF389^SIGN(HF389),1)*IFERROR(HG389^SIGN(HG389),1)*IFERROR(HH389^SIGN(HH389),1)</f>
        <v>1584</v>
      </c>
      <c r="HO389" s="244">
        <f>SUM(HL389:HN389)</f>
        <v>7424</v>
      </c>
      <c r="HP389" s="226">
        <f>HI389*HL389/HO389</f>
        <v>3.8218390804597702</v>
      </c>
      <c r="HQ389" s="226">
        <f>HJ389*HM389/HO389</f>
        <v>10.711206896551724</v>
      </c>
      <c r="HR389" s="226">
        <f>HK389*HN389/HO389</f>
        <v>7.4676724137931032</v>
      </c>
      <c r="HS389" s="246">
        <f>SUM(HP389:HR389)</f>
        <v>22.000718390804597</v>
      </c>
      <c r="HT389" s="252">
        <f t="shared" si="4034"/>
        <v>0</v>
      </c>
      <c r="HU389" s="309">
        <f>HS389-HT389</f>
        <v>22.000718390804597</v>
      </c>
      <c r="HV389" s="246">
        <f>IF(HS389&lt;=0,2,0)+IF(HS389&gt;0,HS389+1,0)*2+IF(HS389&gt;12,HS389-12,0)*2+IF(HS389&gt;13,HS389-13,0)*2+IF(HS389&gt;14,HS389-14,0)*2+IF(HS389&gt;15,HS389-15,0)*2+IF(HS389&gt;16,HS389-16,0)*2+IF(HS389&gt;17,HS389-17,0)*2+IF(HS389&gt;18,HS389-18,0)*2+IF(HS389&gt;19,HS389-19,0)*2+IF(HS389&gt;20,HS389-20,0)*2</f>
        <v>154.01436781609189</v>
      </c>
      <c r="HW389" s="244">
        <f>IF(HT389&lt;=0,2,0)+IF(HT389&gt;0,HT389+1,0)*2+IF(HT389&gt;12,HT389-12,0)*2+IF(HT389&gt;13,HT389-13,0)*2+IF(HT389&gt;14,HT389-14,0)*2+IF(HT389&gt;15,HT389-15,0)*2+IF(HT389&gt;16,HT389-16,0)*2+IF(HT389&gt;17,HT389-17,0)*2+IF(HT389&gt;18,HT389-18,0)*2+IF(HT389&gt;19,HT389-19,0)*2+IF(HT389&gt;20,HT389-20,0)*2</f>
        <v>2</v>
      </c>
      <c r="HX389" s="245">
        <f>IF((HV389-HW389)&gt;0,HV389-HW389,0)</f>
        <v>152.01436781609189</v>
      </c>
      <c r="HY389" s="246">
        <f>IF((HW389-HV389)&gt;0,HW389-HV389,0)</f>
        <v>0</v>
      </c>
      <c r="IA389" s="306" t="s">
        <v>232</v>
      </c>
      <c r="IB389" s="314" t="s">
        <v>227</v>
      </c>
      <c r="IC389" s="246" t="s">
        <v>132</v>
      </c>
      <c r="ID389" s="235">
        <f>Konvention_1slave-MUslave</f>
        <v>12</v>
      </c>
      <c r="IE389" s="235"/>
      <c r="IF389" s="235"/>
      <c r="IG389" s="235">
        <f>Konvention_1slave-CHslave</f>
        <v>12</v>
      </c>
      <c r="IH389" s="235"/>
      <c r="II389" s="235"/>
      <c r="IJ389" s="235">
        <f>Konvention_1slave-KOslave</f>
        <v>12</v>
      </c>
      <c r="IK389" s="235"/>
      <c r="IL389" s="225">
        <f>(ID389+IE389+IF389+IG389+IH389+II389+IJ389+IK389)/3</f>
        <v>12</v>
      </c>
      <c r="IM389" s="226">
        <f>2*IL389</f>
        <v>24</v>
      </c>
      <c r="IN389" s="227">
        <f>3*IL389</f>
        <v>36</v>
      </c>
      <c r="IO389" s="235">
        <f>ID389*POWER(KLslave,SIGN(IE389))*POWER(INslave,SIGN(IF389))*POWER(CHslave,SIGN(IG389))*POWER(FFslave,SIGN(IH389))*POWER(GEslave,SIGN(II389))*POWER(KOslave,SIGN(IJ389))*POWER(KKslave_KK,SIGN(IK389))+IE389*POWER(MUslave,SIGN(ID389))*POWER(INslave,SIGN(IF389))*POWER(CHslave,SIGN(IG389))*POWER(FFslave,SIGN(IH389))*POWER(GEslave,SIGN(II389))*POWER(KOslave,SIGN(IJ389))*POWER(KKslave_KK,SIGN(IK389))+IF389*POWER(MUslave,SIGN(ID389))*POWER(KLslave,SIGN(IE389))*POWER(CHslave,SIGN(IG389))*POWER(FFslave,SIGN(IH389))*POWER(GEslave,SIGN(II389))*POWER(KOslave,SIGN(IJ389))*POWER(KKslave_KK,SIGN(IK389))+IG389*POWER(MUslave,SIGN(ID389))*POWER(KLslave,SIGN(IE389))*POWER(INslave,SIGN(IF389))*POWER(FFslave,SIGN(IH389))*POWER(GEslave,SIGN(II389))*POWER(KOslave,SIGN(IJ389))*POWER(KKslave_KK,SIGN(IK389))+IH389*POWER(MUslave,SIGN(ID389))*POWER(KLslave,SIGN(IE389))*POWER(INslave,SIGN(IF389))*POWER(CHslave,SIGN(IG389))*POWER(GEslave,SIGN(II389))*POWER(KOslave,SIGN(IJ389))*POWER(KKslave_KK,SIGN(IK389))+II389*POWER(MUslave,SIGN(ID389))*POWER(KLslave,SIGN(IE389))*POWER(INslave,SIGN(IF389))*POWER(CHslave,SIGN(IG389))*POWER(FFslave,SIGN(IH389))*POWER(KOslave,SIGN(IJ389))*POWER(KKslave_KK,SIGN(IK389))+IJ389*POWER(MUslave,SIGN(ID389))*POWER(KLslave,SIGN(IE389))*POWER(INslave,SIGN(IF389))*POWER(CHslave,SIGN(IG389))*POWER(FFslave,SIGN(IH389))*POWER(GEslave,SIGN(II389))*POWER(KKslave_KK,SIGN(IK389))+IK389*POWER(MUslave,SIGN(ID389))*POWER(KLslave,SIGN(IE389))*POWER(INslave,SIGN(IF389))*POWER(CHslave,SIGN(IG389))*POWER(FFslave,SIGN(IH389))*POWER(GEslave,SIGN(II389))*POWER(KOslave,SIGN(IJ389))</f>
        <v>2304</v>
      </c>
      <c r="IP389" s="235">
        <f>ID389*IG389*KOslave+ID389*CHslave*IJ389+MUslave*IG389*IJ389</f>
        <v>3456</v>
      </c>
      <c r="IQ389" s="235">
        <f>IFERROR(ID389^SIGN(ID389),1)*IFERROR(IE389^SIGN(IE389),1)*IFERROR(IF389^SIGN(IF389),1)*IFERROR(IG389^SIGN(IG389),1)*IFERROR(IH389^SIGN(IH389),1)*IFERROR(II389^SIGN(II389),1)*IFERROR(IJ389^SIGN(IJ389),1)*IFERROR(IK389^SIGN(IK389),1)</f>
        <v>1728</v>
      </c>
      <c r="IR389" s="244">
        <f>SUM(IO389:IQ389)</f>
        <v>7488</v>
      </c>
      <c r="IS389" s="226">
        <f>IL389*IO389/IR389</f>
        <v>3.6923076923076925</v>
      </c>
      <c r="IT389" s="226">
        <f>IM389*IP389/IR389</f>
        <v>11.076923076923077</v>
      </c>
      <c r="IU389" s="226">
        <f>IN389*IQ389/IR389</f>
        <v>8.3076923076923084</v>
      </c>
      <c r="IV389" s="246">
        <f>SUM(IS389:IU389)</f>
        <v>23.07692307692308</v>
      </c>
      <c r="IW389" s="252">
        <f t="shared" si="4050"/>
        <v>0</v>
      </c>
      <c r="IX389" s="309">
        <f>IV389-IW389</f>
        <v>23.07692307692308</v>
      </c>
      <c r="IY389" s="246">
        <f>IF(IV389&lt;=0,2,0)+IF(IV389&gt;0,IV389+1,0)*2+IF(IV389&gt;12,IV389-12,0)*2+IF(IV389&gt;13,IV389-13,0)*2+IF(IV389&gt;14,IV389-14,0)*2+IF(IV389&gt;15,IV389-15,0)*2+IF(IV389&gt;16,IV389-16,0)*2+IF(IV389&gt;17,IV389-17,0)*2+IF(IV389&gt;18,IV389-18,0)*2+IF(IV389&gt;19,IV389-19,0)*2+IF(IV389&gt;20,IV389-20,0)*2</f>
        <v>175.5384615384616</v>
      </c>
      <c r="IZ389" s="244">
        <f>IF(IW389&lt;=0,2,0)+IF(IW389&gt;0,IW389+1,0)*2+IF(IW389&gt;12,IW389-12,0)*2+IF(IW389&gt;13,IW389-13,0)*2+IF(IW389&gt;14,IW389-14,0)*2+IF(IW389&gt;15,IW389-15,0)*2+IF(IW389&gt;16,IW389-16,0)*2+IF(IW389&gt;17,IW389-17,0)*2+IF(IW389&gt;18,IW389-18,0)*2+IF(IW389&gt;19,IW389-19,0)*2+IF(IW389&gt;20,IW389-20,0)*2</f>
        <v>2</v>
      </c>
      <c r="JA389" s="245">
        <f>IF((IY389-IZ389)&gt;0,IY389-IZ389,0)</f>
        <v>173.5384615384616</v>
      </c>
      <c r="JB389" s="246">
        <f>IF((IZ389-IY389)&gt;0,IZ389-IY389,0)</f>
        <v>0</v>
      </c>
      <c r="JE389" s="148"/>
    </row>
    <row r="390" spans="1:265" hidden="1" outlineLevel="1" collapsed="1">
      <c r="B390" s="134" t="s">
        <v>407</v>
      </c>
      <c r="C390" s="307" t="s">
        <v>281</v>
      </c>
      <c r="D390" s="84" t="s">
        <v>279</v>
      </c>
      <c r="E390" s="84" t="s">
        <v>280</v>
      </c>
      <c r="Y390" s="251"/>
      <c r="Z390" s="197"/>
      <c r="AF390" s="83" t="s">
        <v>281</v>
      </c>
      <c r="AG390" s="84" t="s">
        <v>279</v>
      </c>
      <c r="AH390" s="84" t="s">
        <v>280</v>
      </c>
      <c r="BB390" s="197"/>
      <c r="BC390" s="197"/>
      <c r="BI390" s="307" t="s">
        <v>281</v>
      </c>
      <c r="BJ390" s="308" t="s">
        <v>279</v>
      </c>
      <c r="BK390" s="308" t="s">
        <v>280</v>
      </c>
      <c r="CE390" s="251"/>
      <c r="CF390" s="251"/>
      <c r="CL390" s="307" t="s">
        <v>281</v>
      </c>
      <c r="CM390" s="308" t="s">
        <v>279</v>
      </c>
      <c r="CN390" s="308" t="s">
        <v>280</v>
      </c>
      <c r="DH390" s="251"/>
      <c r="DI390" s="251"/>
      <c r="DO390" s="307" t="s">
        <v>281</v>
      </c>
      <c r="DP390" s="308" t="s">
        <v>279</v>
      </c>
      <c r="DQ390" s="308" t="s">
        <v>280</v>
      </c>
      <c r="EK390" s="251"/>
      <c r="EL390" s="251"/>
      <c r="ER390" s="307" t="s">
        <v>281</v>
      </c>
      <c r="ES390" s="308" t="s">
        <v>279</v>
      </c>
      <c r="ET390" s="308" t="s">
        <v>280</v>
      </c>
      <c r="FN390" s="251"/>
      <c r="FO390" s="251"/>
      <c r="FU390" s="307" t="s">
        <v>281</v>
      </c>
      <c r="FV390" s="308" t="s">
        <v>279</v>
      </c>
      <c r="FW390" s="308" t="s">
        <v>280</v>
      </c>
      <c r="GQ390" s="251"/>
      <c r="GR390" s="251"/>
      <c r="GX390" s="307" t="s">
        <v>281</v>
      </c>
      <c r="GY390" s="308" t="s">
        <v>279</v>
      </c>
      <c r="GZ390" s="308" t="s">
        <v>280</v>
      </c>
      <c r="HT390" s="251"/>
      <c r="HU390" s="251"/>
      <c r="IA390" s="307" t="s">
        <v>281</v>
      </c>
      <c r="IB390" s="308" t="s">
        <v>279</v>
      </c>
      <c r="IC390" s="308" t="s">
        <v>280</v>
      </c>
      <c r="IW390" s="251"/>
      <c r="IX390" s="251"/>
      <c r="JE390" s="148"/>
    </row>
    <row r="391" spans="1:265" ht="15" hidden="1" customHeight="1" outlineLevel="2">
      <c r="B391" s="148">
        <v>1</v>
      </c>
      <c r="C391" s="321" t="e">
        <f>VLOOKUP(AF391,Attribute!C:T,1,FALSE)</f>
        <v>#N/A</v>
      </c>
      <c r="D391" s="186" t="s">
        <v>170</v>
      </c>
      <c r="E391" s="40" t="s">
        <v>132</v>
      </c>
      <c r="F391" s="183"/>
      <c r="G391" s="183">
        <f>Konvention_1master-KLmaster</f>
        <v>12</v>
      </c>
      <c r="H391" s="183">
        <f>Konvention_1master-INmaster</f>
        <v>12</v>
      </c>
      <c r="I391" s="183"/>
      <c r="J391" s="183">
        <f>Konvention_1master-FFmaster</f>
        <v>12</v>
      </c>
      <c r="K391" s="183"/>
      <c r="L391" s="183"/>
      <c r="M391" s="183"/>
      <c r="N391" s="230">
        <f>(F391+G391+H391+I391+J391+K391+L391+M391)/3</f>
        <v>12</v>
      </c>
      <c r="O391" s="231">
        <f>2*N391</f>
        <v>24</v>
      </c>
      <c r="P391" s="232">
        <f>3*N391</f>
        <v>36</v>
      </c>
      <c r="Q391" s="240">
        <f>F391*POWER(KLmaster,SIGN(G391))*POWER(INmaster,SIGN(H391))*POWER(CHmaster,SIGN(I391))*POWER(FFmaster,SIGN(J391))*POWER(GEmaster,SIGN(K391))*POWER(KOmaster,SIGN(L391))*POWER(KKmaster,SIGN(M391))+G391*POWER(MUmaster,SIGN(F391))*POWER(INmaster,SIGN(H391))*POWER(CHmaster,SIGN(I391))*POWER(FFmaster,SIGN(J391))*POWER(GEmaster,SIGN(K391))*POWER(KOmaster,SIGN(L391))*POWER(KKmaster,SIGN(M391))+H391*POWER(MUmaster,SIGN(F391))*POWER(KLmaster,SIGN(G391))*POWER(CHmaster,SIGN(I391))*POWER(FFmaster,SIGN(J391))*POWER(GEmaster,SIGN(K391))*POWER(KOmaster,SIGN(L391))*POWER(KKmaster,SIGN(M391))+I391*POWER(MUmaster,SIGN(F391))*POWER(KLmaster,SIGN(G391))*POWER(INmaster,SIGN(H391))*POWER(FFmaster,SIGN(J391))*POWER(GEmaster,SIGN(K391))*POWER(KOmaster,SIGN(L391))*POWER(KKmaster,SIGN(M391))+J391*POWER(MUmaster,SIGN(F391))*POWER(KLmaster,SIGN(G391))*POWER(INmaster,SIGN(H391))*POWER(CHmaster,SIGN(I391))*POWER(GEmaster,SIGN(K391))*POWER(KOmaster,SIGN(L391))*POWER(KKmaster,SIGN(M391))+K391*POWER(MUmaster,SIGN(F391))*POWER(KLmaster,SIGN(G391))*POWER(INmaster,SIGN(H391))*POWER(CHmaster,SIGN(I391))*POWER(FFmaster,SIGN(J391))*POWER(KOmaster,SIGN(L391))*POWER(KKmaster,SIGN(M391))+L391*POWER(MUmaster,SIGN(F391))*POWER(KLmaster,SIGN(G391))*POWER(INmaster,SIGN(H391))*POWER(CHmaster,SIGN(I391))*POWER(FFmaster,SIGN(J391))*POWER(GEmaster,SIGN(K391))*POWER(KKmaster,SIGN(M391))+M391*POWER(MUmaster,SIGN(F391))*POWER(KLmaster,SIGN(G391))*POWER(INmaster,SIGN(H391))*POWER(CHmaster,SIGN(I391))*POWER(FFmaster,SIGN(J391))*POWER(GEmaster,SIGN(K391))*POWER(KOmaster,SIGN(L391))</f>
        <v>2304</v>
      </c>
      <c r="R391" s="183">
        <f>G391*H391*FFmaster+G391*INmaster*J391+KLmaster*H391*J391</f>
        <v>3456</v>
      </c>
      <c r="S391" s="240">
        <f>IFERROR(F391^SIGN(F391),1)*IFERROR(G391^SIGN(G391),1)*IFERROR(H391^SIGN(H391),1)*IFERROR(I391^SIGN(I391),1)*IFERROR(J391^SIGN(J391),1)*IFERROR(K391^SIGN(K391),1)*IFERROR(L391^SIGN(L391),1)*IFERROR(M391^SIGN(M391),1)</f>
        <v>1728</v>
      </c>
      <c r="T391" s="79">
        <f>SUM(Q391:S391)</f>
        <v>7488</v>
      </c>
      <c r="U391" s="231">
        <f>N391*Q391/T391</f>
        <v>3.6923076923076925</v>
      </c>
      <c r="V391" s="231">
        <f>O391*R391/T391</f>
        <v>11.076923076923077</v>
      </c>
      <c r="W391" s="231">
        <f>P391*S391/T391</f>
        <v>8.3076923076923084</v>
      </c>
      <c r="X391" s="45">
        <f>SUM(U391:W391)</f>
        <v>23.07692307692308</v>
      </c>
      <c r="Y391" s="252">
        <v>0</v>
      </c>
      <c r="Z391" s="198">
        <f>X391-Y391</f>
        <v>23.07692307692308</v>
      </c>
      <c r="AA391" s="40">
        <f>IF(X391&lt;=0,2,0)+IF(X391&gt;0,X391+1,0)*2+IF(X391&gt;12,X391-12,0)*2+IF(X391&gt;13,X391-13,0)*2+IF(X391&gt;14,X391-14,0)*2+IF(X391&gt;15,X391-15,0)*2+IF(X391&gt;16,X391-16,0)*2+IF(X391&gt;17,X391-17,0)*2+IF(X391&gt;18,X391-18,0)*2+IF(X391&gt;19,X391-19,0)*2+IF(X391&gt;20,X391-20,0)*2</f>
        <v>175.5384615384616</v>
      </c>
      <c r="AB391" s="189">
        <f>IF(Y391&lt;=0,2,0)+IF(Y391&gt;0,Y391+1,0)*2+IF(Y391&gt;12,Y391-12,0)*2+IF(Y391&gt;13,Y391-13,0)*2+IF(Y391&gt;14,Y391-14,0)*2+IF(Y391&gt;15,Y391-15,0)*2+IF(Y391&gt;16,Y391-16,0)*2+IF(Y391&gt;17,Y391-17,0)*2+IF(Y391&gt;18,Y391-18,0)*2+IF(Y391&gt;19,Y391-19,0)*2+IF(Y391&gt;20,Y391-20,0)*2</f>
        <v>2</v>
      </c>
      <c r="AC391" s="182">
        <f>IF((AA391-AB391)&gt;0,AA391-AB391,0)</f>
        <v>173.5384615384616</v>
      </c>
      <c r="AD391" s="40">
        <f>IF((AB391-AA391)&gt;0,AB391-AA391,0)</f>
        <v>0</v>
      </c>
      <c r="AF391" s="181" t="s">
        <v>434</v>
      </c>
      <c r="AG391" s="186" t="s">
        <v>170</v>
      </c>
      <c r="AH391" s="40" t="s">
        <v>132</v>
      </c>
      <c r="AI391" s="183"/>
      <c r="AJ391" s="183">
        <f>Konvention_1slave-KLslave</f>
        <v>12</v>
      </c>
      <c r="AK391" s="183">
        <f>Konvention_1slave-INslave</f>
        <v>12</v>
      </c>
      <c r="AL391" s="183"/>
      <c r="AM391" s="183">
        <f>Konvention_1slave-FFslave</f>
        <v>12</v>
      </c>
      <c r="AN391" s="183"/>
      <c r="AO391" s="183"/>
      <c r="AP391" s="183"/>
      <c r="AQ391" s="166">
        <f>(AI391+AJ391+AK391+AL391+AM391+AN391+AO391+AP391)/3</f>
        <v>12</v>
      </c>
      <c r="AR391" s="179">
        <f>2*AQ391</f>
        <v>24</v>
      </c>
      <c r="AS391" s="180">
        <f>3*AQ391</f>
        <v>36</v>
      </c>
      <c r="AT391" s="183">
        <f>AI391*POWER(KLslave,SIGN(AJ391))*POWER(INslave,SIGN(AK391))*POWER(CHslave,SIGN(AL391))*POWER(FFslave,SIGN(AM391))*POWER(GEslave,SIGN(AN391))*POWER(KOslave,SIGN(AO391))*POWER(KKslave,SIGN(AP391))+AJ391*POWER(MUslave_MU,SIGN(AI391))*POWER(INslave,SIGN(AK391))*POWER(CHslave,SIGN(AL391))*POWER(FFslave,SIGN(AM391))*POWER(GEslave,SIGN(AN391))*POWER(KOslave,SIGN(AO391))*POWER(KKslave,SIGN(AP391))+AK391*POWER(MUslave_MU,SIGN(AI391))*POWER(KLslave,SIGN(AJ391))*POWER(CHslave,SIGN(AL391))*POWER(FFslave,SIGN(AM391))*POWER(GEslave,SIGN(AN391))*POWER(KOslave,SIGN(AO391))*POWER(KKslave,SIGN(AP391))+AL391*POWER(MUslave_MU,SIGN(AI391))*POWER(KLslave,SIGN(AJ391))*POWER(INslave,SIGN(AK391))*POWER(FFslave,SIGN(AM391))*POWER(GEslave,SIGN(AN391))*POWER(KOslave,SIGN(AO391))*POWER(KKslave,SIGN(AP391))+AM391*POWER(MUslave_MU,SIGN(AI391))*POWER(KLslave,SIGN(AJ391))*POWER(INslave,SIGN(AK391))*POWER(CHslave,SIGN(AL391))*POWER(GEslave,SIGN(AN391))*POWER(KOslave,SIGN(AO391))*POWER(KKslave,SIGN(AP391))+AN391*POWER(MUslave_MU,SIGN(AI391))*POWER(KLslave,SIGN(AJ391))*POWER(INslave,SIGN(AK391))*POWER(CHslave,SIGN(AL391))*POWER(FFslave,SIGN(AM391))*POWER(KOslave,SIGN(AO391))*POWER(KKslave,SIGN(AP391))+AO391*POWER(MUslave_MU,SIGN(AI391))*POWER(KLslave,SIGN(AJ391))*POWER(INslave,SIGN(AK391))*POWER(CHslave,SIGN(AL391))*POWER(FFslave,SIGN(AM391))*POWER(GEslave,SIGN(AN391))*POWER(KKslave,SIGN(AP391))+AP391*POWER(MUslave_MU,SIGN(AI391))*POWER(KLslave,SIGN(AJ391))*POWER(INslave,SIGN(AK391))*POWER(CHslave,SIGN(AL391))*POWER(FFslave,SIGN(AM391))*POWER(GEslave,SIGN(AN391))*POWER(KOslave,SIGN(AO391))</f>
        <v>2304</v>
      </c>
      <c r="AU391" s="183">
        <f>AJ391*AK391*FFslave+AJ391*INslave*AM391+KLslave*AK391*AM391</f>
        <v>3456</v>
      </c>
      <c r="AV391" s="183">
        <f>IFERROR(AI391^SIGN(AI391),1)*IFERROR(AJ391^SIGN(AJ391),1)*IFERROR(AK391^SIGN(AK391),1)*IFERROR(AL391^SIGN(AL391),1)*IFERROR(AM391^SIGN(AM391),1)*IFERROR(AN391^SIGN(AN391),1)*IFERROR(AO391^SIGN(AO391),1)*IFERROR(AP391^SIGN(AP391),1)</f>
        <v>1728</v>
      </c>
      <c r="AW391" s="189">
        <f>SUM(AT391:AV391)</f>
        <v>7488</v>
      </c>
      <c r="AX391" s="179">
        <f>AQ391*AT391/AW391</f>
        <v>3.6923076923076925</v>
      </c>
      <c r="AY391" s="179">
        <f>AR391*AU391/AW391</f>
        <v>11.076923076923077</v>
      </c>
      <c r="AZ391" s="179">
        <f>AS391*AV391/AW391</f>
        <v>8.3076923076923084</v>
      </c>
      <c r="BA391" s="40">
        <f>SUM(AX391:AZ391)</f>
        <v>23.07692307692308</v>
      </c>
      <c r="BB391" s="165">
        <f t="shared" si="3938"/>
        <v>0</v>
      </c>
      <c r="BC391" s="198">
        <f>BA391-BB391</f>
        <v>23.07692307692308</v>
      </c>
      <c r="BD391" s="40">
        <f>IF(BA391&lt;=0,2,0)+IF(BA391&gt;0,BA391+1,0)*2+IF(BA391&gt;12,BA391-12,0)*2+IF(BA391&gt;13,BA391-13,0)*2+IF(BA391&gt;14,BA391-14,0)*2+IF(BA391&gt;15,BA391-15,0)*2+IF(BA391&gt;16,BA391-16,0)*2+IF(BA391&gt;17,BA391-17,0)*2+IF(BA391&gt;18,BA391-18,0)*2+IF(BA391&gt;19,BA391-19,0)*2+IF(BA391&gt;20,BA391-20,0)*2</f>
        <v>175.5384615384616</v>
      </c>
      <c r="BE391" s="189">
        <f>IF(BB391&lt;=0,2,0)+IF(BB391&gt;0,BB391+1,0)*2+IF(BB391&gt;12,BB391-12,0)*2+IF(BB391&gt;13,BB391-13,0)*2+IF(BB391&gt;14,BB391-14,0)*2+IF(BB391&gt;15,BB391-15,0)*2+IF(BB391&gt;16,BB391-16,0)*2+IF(BB391&gt;17,BB391-17,0)*2+IF(BB391&gt;18,BB391-18,0)*2+IF(BB391&gt;19,BB391-19,0)*2+IF(BB391&gt;20,BB391-20,0)*2</f>
        <v>2</v>
      </c>
      <c r="BF391" s="247">
        <f>IF((BD391-BE391)&gt;0,BD391-BE391,0)</f>
        <v>173.5384615384616</v>
      </c>
      <c r="BG391" s="45">
        <f>IF((BE391-BD391)&gt;0,BE391-BD391,0)</f>
        <v>0</v>
      </c>
      <c r="BI391" s="321" t="s">
        <v>434</v>
      </c>
      <c r="BJ391" s="46" t="s">
        <v>170</v>
      </c>
      <c r="BK391" s="45" t="s">
        <v>132</v>
      </c>
      <c r="BL391" s="240"/>
      <c r="BM391" s="240">
        <f>Konvention_1slave-KLslave_KL</f>
        <v>11</v>
      </c>
      <c r="BN391" s="240">
        <f>Konvention_1slave-INslave</f>
        <v>12</v>
      </c>
      <c r="BO391" s="240"/>
      <c r="BP391" s="240">
        <f>Konvention_1slave-FFslave</f>
        <v>12</v>
      </c>
      <c r="BQ391" s="240"/>
      <c r="BR391" s="240"/>
      <c r="BS391" s="240"/>
      <c r="BT391" s="230">
        <f>(BL391+BM391+BN391+BO391+BP391+BQ391+BR391+BS391)/3</f>
        <v>11.666666666666666</v>
      </c>
      <c r="BU391" s="231">
        <f>2*BT391</f>
        <v>23.333333333333332</v>
      </c>
      <c r="BV391" s="232">
        <f>3*BT391</f>
        <v>35</v>
      </c>
      <c r="BW391" s="240">
        <f>BL391*POWER(KLslave_KL,SIGN(BM391))*POWER(INslave,SIGN(BN391))*POWER(CHslave,SIGN(BO391))*POWER(FFslave,SIGN(BP391))*POWER(GEslave,SIGN(BQ391))*POWER(KOslave,SIGN(BR391))*POWER(KKslave,SIGN(BS391))+BM391*POWER(MUslave,SIGN(BL391))*POWER(INslave,SIGN(BN391))*POWER(CHslave,SIGN(BO391))*POWER(FFslave,SIGN(BP391))*POWER(GEslave,SIGN(BQ391))*POWER(KOslave,SIGN(BR391))*POWER(KKslave,SIGN(BS391))+BN391*POWER(MUslave,SIGN(BL391))*POWER(KLslave_KL,SIGN(BM391))*POWER(CHslave,SIGN(BO391))*POWER(FFslave,SIGN(BP391))*POWER(GEslave,SIGN(BQ391))*POWER(KOslave,SIGN(BR391))*POWER(KKslave,SIGN(BS391))+BO391*POWER(MUslave,SIGN(BL391))*POWER(KLslave_KL,SIGN(BM391))*POWER(INslave,SIGN(BN391))*POWER(FFslave,SIGN(BP391))*POWER(GEslave,SIGN(BQ391))*POWER(KOslave,SIGN(BR391))*POWER(KKslave,SIGN(BS391))+BP391*POWER(MUslave,SIGN(BL391))*POWER(KLslave_KL,SIGN(BM391))*POWER(INslave,SIGN(BN391))*POWER(CHslave,SIGN(BO391))*POWER(GEslave,SIGN(BQ391))*POWER(KOslave,SIGN(BR391))*POWER(KKslave,SIGN(BS391))+BQ391*POWER(MUslave,SIGN(BL391))*POWER(KLslave_KL,SIGN(BM391))*POWER(INslave,SIGN(BN391))*POWER(CHslave,SIGN(BO391))*POWER(FFslave,SIGN(BP391))*POWER(KOslave,SIGN(BR391))*POWER(KKslave,SIGN(BS391))+BR391*POWER(MUslave,SIGN(BL391))*POWER(KLslave_KL,SIGN(BM391))*POWER(INslave,SIGN(BN391))*POWER(CHslave,SIGN(BO391))*POWER(FFslave,SIGN(BP391))*POWER(GEslave,SIGN(BQ391))*POWER(KKslave,SIGN(BS391))+BS391*POWER(MUslave,SIGN(BL391))*POWER(KLslave_KL,SIGN(BM391))*POWER(INslave,SIGN(BN391))*POWER(CHslave,SIGN(BO391))*POWER(FFslave,SIGN(BP391))*POWER(GEslave,SIGN(BQ391))*POWER(KOslave,SIGN(BR391))</f>
        <v>2432</v>
      </c>
      <c r="BX391" s="240">
        <f>BM391*BN391*FFslave+BM391*INslave*BP391+KLslave_KL*BN391*BP391</f>
        <v>3408</v>
      </c>
      <c r="BY391" s="240">
        <f>IFERROR(BL391^SIGN(BL391),1)*IFERROR(BM391^SIGN(BM391),1)*IFERROR(BN391^SIGN(BN391),1)*IFERROR(BO391^SIGN(BO391),1)*IFERROR(BP391^SIGN(BP391),1)*IFERROR(BQ391^SIGN(BQ391),1)*IFERROR(BR391^SIGN(BR391),1)*IFERROR(BS391^SIGN(BS391),1)</f>
        <v>1584</v>
      </c>
      <c r="BZ391" s="79">
        <f>SUM(BW391:BY391)</f>
        <v>7424</v>
      </c>
      <c r="CA391" s="231">
        <f>BT391*BW391/BZ391</f>
        <v>3.8218390804597702</v>
      </c>
      <c r="CB391" s="231">
        <f>BU391*BX391/BZ391</f>
        <v>10.711206896551724</v>
      </c>
      <c r="CC391" s="231">
        <f>BV391*BY391/BZ391</f>
        <v>7.4676724137931032</v>
      </c>
      <c r="CD391" s="45">
        <f>SUM(CA391:CC391)</f>
        <v>22.000718390804597</v>
      </c>
      <c r="CE391" s="252">
        <f t="shared" si="3954"/>
        <v>0</v>
      </c>
      <c r="CF391" s="309">
        <f>CD391-CE391</f>
        <v>22.000718390804597</v>
      </c>
      <c r="CG391" s="45">
        <f>IF(CD391&lt;=0,2,0)+IF(CD391&gt;0,CD391+1,0)*2+IF(CD391&gt;12,CD391-12,0)*2+IF(CD391&gt;13,CD391-13,0)*2+IF(CD391&gt;14,CD391-14,0)*2+IF(CD391&gt;15,CD391-15,0)*2+IF(CD391&gt;16,CD391-16,0)*2+IF(CD391&gt;17,CD391-17,0)*2+IF(CD391&gt;18,CD391-18,0)*2+IF(CD391&gt;19,CD391-19,0)*2+IF(CD391&gt;20,CD391-20,0)*2</f>
        <v>154.01436781609189</v>
      </c>
      <c r="CH391" s="79">
        <f>IF(CE391&lt;=0,2,0)+IF(CE391&gt;0,CE391+1,0)*2+IF(CE391&gt;12,CE391-12,0)*2+IF(CE391&gt;13,CE391-13,0)*2+IF(CE391&gt;14,CE391-14,0)*2+IF(CE391&gt;15,CE391-15,0)*2+IF(CE391&gt;16,CE391-16,0)*2+IF(CE391&gt;17,CE391-17,0)*2+IF(CE391&gt;18,CE391-18,0)*2+IF(CE391&gt;19,CE391-19,0)*2+IF(CE391&gt;20,CE391-20,0)*2</f>
        <v>2</v>
      </c>
      <c r="CI391" s="247">
        <f>IF((CG391-CH391)&gt;0,CG391-CH391,0)</f>
        <v>152.01436781609189</v>
      </c>
      <c r="CJ391" s="45">
        <f>IF((CH391-CG391)&gt;0,CH391-CG391,0)</f>
        <v>0</v>
      </c>
      <c r="CL391" s="321" t="s">
        <v>434</v>
      </c>
      <c r="CM391" s="46" t="s">
        <v>170</v>
      </c>
      <c r="CN391" s="45" t="s">
        <v>132</v>
      </c>
      <c r="CO391" s="240"/>
      <c r="CP391" s="240">
        <f>Konvention_1slave-KLslave</f>
        <v>12</v>
      </c>
      <c r="CQ391" s="240">
        <f>Konvention_1slave-INslave_IN</f>
        <v>11</v>
      </c>
      <c r="CR391" s="240"/>
      <c r="CS391" s="240">
        <f>Konvention_1slave-FFslave</f>
        <v>12</v>
      </c>
      <c r="CT391" s="240"/>
      <c r="CU391" s="240"/>
      <c r="CV391" s="240"/>
      <c r="CW391" s="230">
        <f>(CO391+CP391+CQ391+CR391+CS391+CT391+CU391+CV391)/3</f>
        <v>11.666666666666666</v>
      </c>
      <c r="CX391" s="231">
        <f>2*CW391</f>
        <v>23.333333333333332</v>
      </c>
      <c r="CY391" s="232">
        <f>3*CW391</f>
        <v>35</v>
      </c>
      <c r="CZ391" s="240">
        <f>CO391*POWER(KLslave,SIGN(CP391))*POWER(INslave_IN,SIGN(CQ391))*POWER(CHslave,SIGN(CR391))*POWER(FFslave,SIGN(CS391))*POWER(GEslave,SIGN(CT391))*POWER(KOslave,SIGN(CU391))*POWER(KKslave,SIGN(CV391))+CP391*POWER(MUslave,SIGN(CO391))*POWER(INslave_IN,SIGN(CQ391))*POWER(CHslave,SIGN(CR391))*POWER(FFslave,SIGN(CS391))*POWER(GEslave,SIGN(CT391))*POWER(KOslave,SIGN(CU391))*POWER(KKslave,SIGN(CV391))+CQ391*POWER(MUslave,SIGN(CO391))*POWER(KLslave,SIGN(CP391))*POWER(CHslave,SIGN(CR391))*POWER(FFslave,SIGN(CS391))*POWER(GEslave,SIGN(CT391))*POWER(KOslave,SIGN(CU391))*POWER(KKslave,SIGN(CV391))+CR391*POWER(MUslave,SIGN(CO391))*POWER(KLslave,SIGN(CP391))*POWER(INslave_IN,SIGN(CQ391))*POWER(FFslave,SIGN(CS391))*POWER(GEslave,SIGN(CT391))*POWER(KOslave,SIGN(CU391))*POWER(KKslave,SIGN(CV391))+CS391*POWER(MUslave,SIGN(CO391))*POWER(KLslave,SIGN(CP391))*POWER(INslave_IN,SIGN(CQ391))*POWER(CHslave,SIGN(CR391))*POWER(GEslave,SIGN(CT391))*POWER(KOslave,SIGN(CU391))*POWER(KKslave,SIGN(CV391))+CT391*POWER(MUslave,SIGN(CO391))*POWER(KLslave,SIGN(CP391))*POWER(INslave_IN,SIGN(CQ391))*POWER(CHslave,SIGN(CR391))*POWER(FFslave,SIGN(CS391))*POWER(KOslave,SIGN(CU391))*POWER(KKslave,SIGN(CV391))+CU391*POWER(MUslave,SIGN(CO391))*POWER(KLslave,SIGN(CP391))*POWER(INslave_IN,SIGN(CQ391))*POWER(CHslave,SIGN(CR391))*POWER(FFslave,SIGN(CS391))*POWER(GEslave,SIGN(CT391))*POWER(KKslave,SIGN(CV391))+CV391*POWER(MUslave,SIGN(CO391))*POWER(KLslave,SIGN(CP391))*POWER(INslave_IN,SIGN(CQ391))*POWER(CHslave,SIGN(CR391))*POWER(FFslave,SIGN(CS391))*POWER(GEslave,SIGN(CT391))*POWER(KOslave,SIGN(CU391))</f>
        <v>2432</v>
      </c>
      <c r="DA391" s="240">
        <f>CP391*CQ391*FFslave+CP391*INslave_IN*CS391+KLslave*CQ391*CS391</f>
        <v>3408</v>
      </c>
      <c r="DB391" s="240">
        <f>IFERROR(CO391^SIGN(CO391),1)*IFERROR(CP391^SIGN(CP391),1)*IFERROR(CQ391^SIGN(CQ391),1)*IFERROR(CR391^SIGN(CR391),1)*IFERROR(CS391^SIGN(CS391),1)*IFERROR(CT391^SIGN(CT391),1)*IFERROR(CU391^SIGN(CU391),1)*IFERROR(CV391^SIGN(CV391),1)</f>
        <v>1584</v>
      </c>
      <c r="DC391" s="79">
        <f>SUM(CZ391:DB391)</f>
        <v>7424</v>
      </c>
      <c r="DD391" s="231">
        <f>CW391*CZ391/DC391</f>
        <v>3.8218390804597702</v>
      </c>
      <c r="DE391" s="231">
        <f>CX391*DA391/DC391</f>
        <v>10.711206896551724</v>
      </c>
      <c r="DF391" s="231">
        <f>CY391*DB391/DC391</f>
        <v>7.4676724137931032</v>
      </c>
      <c r="DG391" s="45">
        <f>SUM(DD391:DF391)</f>
        <v>22.000718390804597</v>
      </c>
      <c r="DH391" s="252">
        <f t="shared" si="3970"/>
        <v>0</v>
      </c>
      <c r="DI391" s="309">
        <f>DG391-DH391</f>
        <v>22.000718390804597</v>
      </c>
      <c r="DJ391" s="45">
        <f>IF(DG391&lt;=0,2,0)+IF(DG391&gt;0,DG391+1,0)*2+IF(DG391&gt;12,DG391-12,0)*2+IF(DG391&gt;13,DG391-13,0)*2+IF(DG391&gt;14,DG391-14,0)*2+IF(DG391&gt;15,DG391-15,0)*2+IF(DG391&gt;16,DG391-16,0)*2+IF(DG391&gt;17,DG391-17,0)*2+IF(DG391&gt;18,DG391-18,0)*2+IF(DG391&gt;19,DG391-19,0)*2+IF(DG391&gt;20,DG391-20,0)*2</f>
        <v>154.01436781609189</v>
      </c>
      <c r="DK391" s="79">
        <f>IF(DH391&lt;=0,2,0)+IF(DH391&gt;0,DH391+1,0)*2+IF(DH391&gt;12,DH391-12,0)*2+IF(DH391&gt;13,DH391-13,0)*2+IF(DH391&gt;14,DH391-14,0)*2+IF(DH391&gt;15,DH391-15,0)*2+IF(DH391&gt;16,DH391-16,0)*2+IF(DH391&gt;17,DH391-17,0)*2+IF(DH391&gt;18,DH391-18,0)*2+IF(DH391&gt;19,DH391-19,0)*2+IF(DH391&gt;20,DH391-20,0)*2</f>
        <v>2</v>
      </c>
      <c r="DL391" s="247">
        <f>IF((DJ391-DK391)&gt;0,DJ391-DK391,0)</f>
        <v>152.01436781609189</v>
      </c>
      <c r="DM391" s="45">
        <f>IF((DK391-DJ391)&gt;0,DK391-DJ391,0)</f>
        <v>0</v>
      </c>
      <c r="DO391" s="321" t="s">
        <v>434</v>
      </c>
      <c r="DP391" s="46" t="s">
        <v>170</v>
      </c>
      <c r="DQ391" s="45" t="s">
        <v>132</v>
      </c>
      <c r="DR391" s="240"/>
      <c r="DS391" s="240">
        <f>Konvention_1slave-KLslave</f>
        <v>12</v>
      </c>
      <c r="DT391" s="240">
        <f>Konvention_1slave-INslave</f>
        <v>12</v>
      </c>
      <c r="DU391" s="240"/>
      <c r="DV391" s="240">
        <f>Konvention_1slave-FFslave</f>
        <v>12</v>
      </c>
      <c r="DW391" s="240"/>
      <c r="DX391" s="240"/>
      <c r="DY391" s="240"/>
      <c r="DZ391" s="230">
        <f>(DR391+DS391+DT391+DU391+DV391+DW391+DX391+DY391)/3</f>
        <v>12</v>
      </c>
      <c r="EA391" s="231">
        <f>2*DZ391</f>
        <v>24</v>
      </c>
      <c r="EB391" s="232">
        <f>3*DZ391</f>
        <v>36</v>
      </c>
      <c r="EC391" s="240">
        <f>DR391*POWER(KLslave,SIGN(DS391))*POWER(INslave,SIGN(DT391))*POWER(CHslave_CH,SIGN(DU391))*POWER(FFslave,SIGN(DV391))*POWER(GEslave,SIGN(DW391))*POWER(KOslave,SIGN(DX391))*POWER(KKslave,SIGN(DY391))+DS391*POWER(MUslave,SIGN(DR391))*POWER(INslave,SIGN(DT391))*POWER(CHslave_CH,SIGN(DU391))*POWER(FFslave,SIGN(DV391))*POWER(GEslave,SIGN(DW391))*POWER(KOslave,SIGN(DX391))*POWER(KKslave,SIGN(DY391))+DT391*POWER(MUslave,SIGN(DR391))*POWER(KLslave,SIGN(DS391))*POWER(CHslave_CH,SIGN(DU391))*POWER(FFslave,SIGN(DV391))*POWER(GEslave,SIGN(DW391))*POWER(KOslave,SIGN(DX391))*POWER(KKslave,SIGN(DY391))+DU391*POWER(MUslave,SIGN(DR391))*POWER(KLslave,SIGN(DS391))*POWER(INslave,SIGN(DT391))*POWER(FFslave,SIGN(DV391))*POWER(GEslave,SIGN(DW391))*POWER(KOslave,SIGN(DX391))*POWER(KKslave,SIGN(DY391))+DV391*POWER(MUslave,SIGN(DR391))*POWER(KLslave,SIGN(DS391))*POWER(INslave,SIGN(DT391))*POWER(CHslave_CH,SIGN(DU391))*POWER(GEslave,SIGN(DW391))*POWER(KOslave,SIGN(DX391))*POWER(KKslave,SIGN(DY391))+DW391*POWER(MUslave,SIGN(DR391))*POWER(KLslave,SIGN(DS391))*POWER(INslave,SIGN(DT391))*POWER(CHslave_CH,SIGN(DU391))*POWER(FFslave,SIGN(DV391))*POWER(KOslave,SIGN(DX391))*POWER(KKslave,SIGN(DY391))+DX391*POWER(MUslave,SIGN(DR391))*POWER(KLslave,SIGN(DS391))*POWER(INslave,SIGN(DT391))*POWER(CHslave_CH,SIGN(DU391))*POWER(FFslave,SIGN(DV391))*POWER(GEslave,SIGN(DW391))*POWER(KKslave,SIGN(DY391))+DY391*POWER(MUslave,SIGN(DR391))*POWER(KLslave,SIGN(DS391))*POWER(INslave,SIGN(DT391))*POWER(CHslave_CH,SIGN(DU391))*POWER(FFslave,SIGN(DV391))*POWER(GEslave,SIGN(DW391))*POWER(KOslave,SIGN(DX391))</f>
        <v>2304</v>
      </c>
      <c r="ED391" s="240">
        <f>DS391*DT391*FFslave+DS391*INslave*DV391+KLslave*DT391*DV391</f>
        <v>3456</v>
      </c>
      <c r="EE391" s="240">
        <f>IFERROR(DR391^SIGN(DR391),1)*IFERROR(DS391^SIGN(DS391),1)*IFERROR(DT391^SIGN(DT391),1)*IFERROR(DU391^SIGN(DU391),1)*IFERROR(DV391^SIGN(DV391),1)*IFERROR(DW391^SIGN(DW391),1)*IFERROR(DX391^SIGN(DX391),1)*IFERROR(DY391^SIGN(DY391),1)</f>
        <v>1728</v>
      </c>
      <c r="EF391" s="79">
        <f>SUM(EC391:EE391)</f>
        <v>7488</v>
      </c>
      <c r="EG391" s="231">
        <f>DZ391*EC391/EF391</f>
        <v>3.6923076923076925</v>
      </c>
      <c r="EH391" s="231">
        <f>EA391*ED391/EF391</f>
        <v>11.076923076923077</v>
      </c>
      <c r="EI391" s="231">
        <f>EB391*EE391/EF391</f>
        <v>8.3076923076923084</v>
      </c>
      <c r="EJ391" s="45">
        <f>SUM(EG391:EI391)</f>
        <v>23.07692307692308</v>
      </c>
      <c r="EK391" s="252">
        <f t="shared" si="3986"/>
        <v>0</v>
      </c>
      <c r="EL391" s="309">
        <f>EJ391-EK391</f>
        <v>23.07692307692308</v>
      </c>
      <c r="EM391" s="45">
        <f>IF(EJ391&lt;=0,2,0)+IF(EJ391&gt;0,EJ391+1,0)*2+IF(EJ391&gt;12,EJ391-12,0)*2+IF(EJ391&gt;13,EJ391-13,0)*2+IF(EJ391&gt;14,EJ391-14,0)*2+IF(EJ391&gt;15,EJ391-15,0)*2+IF(EJ391&gt;16,EJ391-16,0)*2+IF(EJ391&gt;17,EJ391-17,0)*2+IF(EJ391&gt;18,EJ391-18,0)*2+IF(EJ391&gt;19,EJ391-19,0)*2+IF(EJ391&gt;20,EJ391-20,0)*2</f>
        <v>175.5384615384616</v>
      </c>
      <c r="EN391" s="79">
        <f>IF(EK391&lt;=0,2,0)+IF(EK391&gt;0,EK391+1,0)*2+IF(EK391&gt;12,EK391-12,0)*2+IF(EK391&gt;13,EK391-13,0)*2+IF(EK391&gt;14,EK391-14,0)*2+IF(EK391&gt;15,EK391-15,0)*2+IF(EK391&gt;16,EK391-16,0)*2+IF(EK391&gt;17,EK391-17,0)*2+IF(EK391&gt;18,EK391-18,0)*2+IF(EK391&gt;19,EK391-19,0)*2+IF(EK391&gt;20,EK391-20,0)*2</f>
        <v>2</v>
      </c>
      <c r="EO391" s="247">
        <f>IF((EM391-EN391)&gt;0,EM391-EN391,0)</f>
        <v>173.5384615384616</v>
      </c>
      <c r="EP391" s="45">
        <f>IF((EN391-EM391)&gt;0,EN391-EM391,0)</f>
        <v>0</v>
      </c>
      <c r="ER391" s="321" t="s">
        <v>434</v>
      </c>
      <c r="ES391" s="46" t="s">
        <v>170</v>
      </c>
      <c r="ET391" s="45" t="s">
        <v>132</v>
      </c>
      <c r="EU391" s="240"/>
      <c r="EV391" s="240">
        <f>Konvention_1slave-KLslave</f>
        <v>12</v>
      </c>
      <c r="EW391" s="240">
        <f>Konvention_1slave-INslave</f>
        <v>12</v>
      </c>
      <c r="EX391" s="240"/>
      <c r="EY391" s="240">
        <f>Konvention_1slave-FFslave_FF</f>
        <v>11</v>
      </c>
      <c r="EZ391" s="240"/>
      <c r="FA391" s="240"/>
      <c r="FB391" s="240"/>
      <c r="FC391" s="230">
        <f>(EU391+EV391+EW391+EX391+EY391+EZ391+FA391+FB391)/3</f>
        <v>11.666666666666666</v>
      </c>
      <c r="FD391" s="231">
        <f>2*FC391</f>
        <v>23.333333333333332</v>
      </c>
      <c r="FE391" s="232">
        <f>3*FC391</f>
        <v>35</v>
      </c>
      <c r="FF391" s="240">
        <f>EU391*POWER(KLslave,SIGN(EV391))*POWER(INslave,SIGN(EW391))*POWER(CHslave,SIGN(EX391))*POWER(FFslave_FF,SIGN(EY391))*POWER(GEslave,SIGN(EZ391))*POWER(KOslave,SIGN(FA391))*POWER(KKslave,SIGN(FB391))+EV391*POWER(MUslave,SIGN(EU391))*POWER(INslave,SIGN(EW391))*POWER(CHslave,SIGN(EX391))*POWER(FFslave_FF,SIGN(EY391))*POWER(GEslave,SIGN(EZ391))*POWER(KOslave,SIGN(FA391))*POWER(KKslave,SIGN(FB391))+EW391*POWER(MUslave,SIGN(EU391))*POWER(KLslave,SIGN(EV391))*POWER(CHslave,SIGN(EX391))*POWER(FFslave_FF,SIGN(EY391))*POWER(GEslave,SIGN(EZ391))*POWER(KOslave,SIGN(FA391))*POWER(KKslave,SIGN(FB391))+EX391*POWER(MUslave,SIGN(EU391))*POWER(KLslave,SIGN(EV391))*POWER(INslave,SIGN(EW391))*POWER(FFslave_FF,SIGN(EY391))*POWER(GEslave,SIGN(EZ391))*POWER(KOslave,SIGN(FA391))*POWER(KKslave,SIGN(FB391))+EY391*POWER(MUslave,SIGN(EU391))*POWER(KLslave,SIGN(EV391))*POWER(INslave,SIGN(EW391))*POWER(CHslave,SIGN(EX391))*POWER(GEslave,SIGN(EZ391))*POWER(KOslave,SIGN(FA391))*POWER(KKslave,SIGN(FB391))+EZ391*POWER(MUslave,SIGN(EU391))*POWER(KLslave,SIGN(EV391))*POWER(INslave,SIGN(EW391))*POWER(CHslave,SIGN(EX391))*POWER(FFslave_FF,SIGN(EY391))*POWER(KOslave,SIGN(FA391))*POWER(KKslave,SIGN(FB391))+FA391*POWER(MUslave,SIGN(EU391))*POWER(KLslave,SIGN(EV391))*POWER(INslave,SIGN(EW391))*POWER(CHslave,SIGN(EX391))*POWER(FFslave_FF,SIGN(EY391))*POWER(GEslave,SIGN(EZ391))*POWER(KKslave,SIGN(FB391))+FB391*POWER(MUslave,SIGN(EU391))*POWER(KLslave,SIGN(EV391))*POWER(INslave,SIGN(EW391))*POWER(CHslave,SIGN(EX391))*POWER(FFslave_FF,SIGN(EY391))*POWER(GEslave,SIGN(EZ391))*POWER(KOslave,SIGN(FA391))</f>
        <v>2432</v>
      </c>
      <c r="FG391" s="240">
        <f>EV391*EW391*FFslave_FF+EV391*INslave*EY391+KLslave*EW391*EY391</f>
        <v>3408</v>
      </c>
      <c r="FH391" s="240">
        <f>IFERROR(EU391^SIGN(EU391),1)*IFERROR(EV391^SIGN(EV391),1)*IFERROR(EW391^SIGN(EW391),1)*IFERROR(EX391^SIGN(EX391),1)*IFERROR(EY391^SIGN(EY391),1)*IFERROR(EZ391^SIGN(EZ391),1)*IFERROR(FA391^SIGN(FA391),1)*IFERROR(FB391^SIGN(FB391),1)</f>
        <v>1584</v>
      </c>
      <c r="FI391" s="79">
        <f>SUM(FF391:FH391)</f>
        <v>7424</v>
      </c>
      <c r="FJ391" s="231">
        <f>FC391*FF391/FI391</f>
        <v>3.8218390804597702</v>
      </c>
      <c r="FK391" s="231">
        <f>FD391*FG391/FI391</f>
        <v>10.711206896551724</v>
      </c>
      <c r="FL391" s="231">
        <f>FE391*FH391/FI391</f>
        <v>7.4676724137931032</v>
      </c>
      <c r="FM391" s="45">
        <f>SUM(FJ391:FL391)</f>
        <v>22.000718390804597</v>
      </c>
      <c r="FN391" s="252">
        <f t="shared" si="4002"/>
        <v>0</v>
      </c>
      <c r="FO391" s="309">
        <f>FM391-FN391</f>
        <v>22.000718390804597</v>
      </c>
      <c r="FP391" s="45">
        <f>IF(FM391&lt;=0,2,0)+IF(FM391&gt;0,FM391+1,0)*2+IF(FM391&gt;12,FM391-12,0)*2+IF(FM391&gt;13,FM391-13,0)*2+IF(FM391&gt;14,FM391-14,0)*2+IF(FM391&gt;15,FM391-15,0)*2+IF(FM391&gt;16,FM391-16,0)*2+IF(FM391&gt;17,FM391-17,0)*2+IF(FM391&gt;18,FM391-18,0)*2+IF(FM391&gt;19,FM391-19,0)*2+IF(FM391&gt;20,FM391-20,0)*2</f>
        <v>154.01436781609189</v>
      </c>
      <c r="FQ391" s="79">
        <f>IF(FN391&lt;=0,2,0)+IF(FN391&gt;0,FN391+1,0)*2+IF(FN391&gt;12,FN391-12,0)*2+IF(FN391&gt;13,FN391-13,0)*2+IF(FN391&gt;14,FN391-14,0)*2+IF(FN391&gt;15,FN391-15,0)*2+IF(FN391&gt;16,FN391-16,0)*2+IF(FN391&gt;17,FN391-17,0)*2+IF(FN391&gt;18,FN391-18,0)*2+IF(FN391&gt;19,FN391-19,0)*2+IF(FN391&gt;20,FN391-20,0)*2</f>
        <v>2</v>
      </c>
      <c r="FR391" s="247">
        <f>IF((FP391-FQ391)&gt;0,FP391-FQ391,0)</f>
        <v>152.01436781609189</v>
      </c>
      <c r="FS391" s="45">
        <f>IF((FQ391-FP391)&gt;0,FQ391-FP391,0)</f>
        <v>0</v>
      </c>
      <c r="FU391" s="321" t="s">
        <v>434</v>
      </c>
      <c r="FV391" s="46" t="s">
        <v>170</v>
      </c>
      <c r="FW391" s="45" t="s">
        <v>132</v>
      </c>
      <c r="FX391" s="240"/>
      <c r="FY391" s="240">
        <f>Konvention_1slave-KLslave</f>
        <v>12</v>
      </c>
      <c r="FZ391" s="240">
        <f>Konvention_1slave-INslave</f>
        <v>12</v>
      </c>
      <c r="GA391" s="240"/>
      <c r="GB391" s="240">
        <f>Konvention_1slave-FFslave</f>
        <v>12</v>
      </c>
      <c r="GC391" s="240"/>
      <c r="GD391" s="240"/>
      <c r="GE391" s="240"/>
      <c r="GF391" s="230">
        <f>(FX391+FY391+FZ391+GA391+GB391+GC391+GD391+GE391)/3</f>
        <v>12</v>
      </c>
      <c r="GG391" s="231">
        <f>2*GF391</f>
        <v>24</v>
      </c>
      <c r="GH391" s="232">
        <f>3*GF391</f>
        <v>36</v>
      </c>
      <c r="GI391" s="240">
        <f>FX391*POWER(KLslave,SIGN(FY391))*POWER(INslave,SIGN(FZ391))*POWER(CHslave,SIGN(GA391))*POWER(FFslave,SIGN(GB391))*POWER(GEslave_GE,SIGN(GC391))*POWER(KOslave,SIGN(GD391))*POWER(KKslave,SIGN(GE391))+FY391*POWER(MUslave,SIGN(FX391))*POWER(INslave,SIGN(FZ391))*POWER(CHslave,SIGN(GA391))*POWER(FFslave,SIGN(GB391))*POWER(GEslave_GE,SIGN(GC391))*POWER(KOslave,SIGN(GD391))*POWER(KKslave,SIGN(GE391))+FZ391*POWER(MUslave,SIGN(FX391))*POWER(KLslave,SIGN(FY391))*POWER(CHslave,SIGN(GA391))*POWER(FFslave,SIGN(GB391))*POWER(GEslave_GE,SIGN(GC391))*POWER(KOslave,SIGN(GD391))*POWER(KKslave,SIGN(GE391))+GA391*POWER(MUslave,SIGN(FX391))*POWER(KLslave,SIGN(FY391))*POWER(INslave,SIGN(FZ391))*POWER(FFslave,SIGN(GB391))*POWER(GEslave_GE,SIGN(GC391))*POWER(KOslave,SIGN(GD391))*POWER(KKslave,SIGN(GE391))+GB391*POWER(MUslave,SIGN(FX391))*POWER(KLslave,SIGN(FY391))*POWER(INslave,SIGN(FZ391))*POWER(CHslave,SIGN(GA391))*POWER(GEslave_GE,SIGN(GC391))*POWER(KOslave,SIGN(GD391))*POWER(KKslave,SIGN(GE391))+GC391*POWER(MUslave,SIGN(FX391))*POWER(KLslave,SIGN(FY391))*POWER(INslave,SIGN(FZ391))*POWER(CHslave,SIGN(GA391))*POWER(FFslave,SIGN(GB391))*POWER(KOslave,SIGN(GD391))*POWER(KKslave,SIGN(GE391))+GD391*POWER(MUslave,SIGN(FX391))*POWER(KLslave,SIGN(FY391))*POWER(INslave,SIGN(FZ391))*POWER(CHslave,SIGN(GA391))*POWER(FFslave,SIGN(GB391))*POWER(GEslave_GE,SIGN(GC391))*POWER(KKslave,SIGN(GE391))+GE391*POWER(MUslave,SIGN(FX391))*POWER(KLslave,SIGN(FY391))*POWER(INslave,SIGN(FZ391))*POWER(CHslave,SIGN(GA391))*POWER(FFslave,SIGN(GB391))*POWER(GEslave_GE,SIGN(GC391))*POWER(KOslave,SIGN(GD391))</f>
        <v>2304</v>
      </c>
      <c r="GJ391" s="240">
        <f>FY391*FZ391*FFslave+FY391*INslave*GB391+KLslave*FZ391*GB391</f>
        <v>3456</v>
      </c>
      <c r="GK391" s="240">
        <f>IFERROR(FX391^SIGN(FX391),1)*IFERROR(FY391^SIGN(FY391),1)*IFERROR(FZ391^SIGN(FZ391),1)*IFERROR(GA391^SIGN(GA391),1)*IFERROR(GB391^SIGN(GB391),1)*IFERROR(GC391^SIGN(GC391),1)*IFERROR(GD391^SIGN(GD391),1)*IFERROR(GE391^SIGN(GE391),1)</f>
        <v>1728</v>
      </c>
      <c r="GL391" s="79">
        <f>SUM(GI391:GK391)</f>
        <v>7488</v>
      </c>
      <c r="GM391" s="231">
        <f>GF391*GI391/GL391</f>
        <v>3.6923076923076925</v>
      </c>
      <c r="GN391" s="231">
        <f>GG391*GJ391/GL391</f>
        <v>11.076923076923077</v>
      </c>
      <c r="GO391" s="231">
        <f>GH391*GK391/GL391</f>
        <v>8.3076923076923084</v>
      </c>
      <c r="GP391" s="45">
        <f>SUM(GM391:GO391)</f>
        <v>23.07692307692308</v>
      </c>
      <c r="GQ391" s="252">
        <f t="shared" si="4018"/>
        <v>0</v>
      </c>
      <c r="GR391" s="309">
        <f>GP391-GQ391</f>
        <v>23.07692307692308</v>
      </c>
      <c r="GS391" s="45">
        <f>IF(GP391&lt;=0,2,0)+IF(GP391&gt;0,GP391+1,0)*2+IF(GP391&gt;12,GP391-12,0)*2+IF(GP391&gt;13,GP391-13,0)*2+IF(GP391&gt;14,GP391-14,0)*2+IF(GP391&gt;15,GP391-15,0)*2+IF(GP391&gt;16,GP391-16,0)*2+IF(GP391&gt;17,GP391-17,0)*2+IF(GP391&gt;18,GP391-18,0)*2+IF(GP391&gt;19,GP391-19,0)*2+IF(GP391&gt;20,GP391-20,0)*2</f>
        <v>175.5384615384616</v>
      </c>
      <c r="GT391" s="79">
        <f>IF(GQ391&lt;=0,2,0)+IF(GQ391&gt;0,GQ391+1,0)*2+IF(GQ391&gt;12,GQ391-12,0)*2+IF(GQ391&gt;13,GQ391-13,0)*2+IF(GQ391&gt;14,GQ391-14,0)*2+IF(GQ391&gt;15,GQ391-15,0)*2+IF(GQ391&gt;16,GQ391-16,0)*2+IF(GQ391&gt;17,GQ391-17,0)*2+IF(GQ391&gt;18,GQ391-18,0)*2+IF(GQ391&gt;19,GQ391-19,0)*2+IF(GQ391&gt;20,GQ391-20,0)*2</f>
        <v>2</v>
      </c>
      <c r="GU391" s="247">
        <f>IF((GS391-GT391)&gt;0,GS391-GT391,0)</f>
        <v>173.5384615384616</v>
      </c>
      <c r="GV391" s="45">
        <f>IF((GT391-GS391)&gt;0,GT391-GS391,0)</f>
        <v>0</v>
      </c>
      <c r="GX391" s="321" t="s">
        <v>434</v>
      </c>
      <c r="GY391" s="46" t="s">
        <v>170</v>
      </c>
      <c r="GZ391" s="45" t="s">
        <v>132</v>
      </c>
      <c r="HA391" s="240"/>
      <c r="HB391" s="240">
        <f>Konvention_1slave-KLslave</f>
        <v>12</v>
      </c>
      <c r="HC391" s="240">
        <f>Konvention_1slave-INslave</f>
        <v>12</v>
      </c>
      <c r="HD391" s="240"/>
      <c r="HE391" s="240">
        <f>Konvention_1slave-FFslave</f>
        <v>12</v>
      </c>
      <c r="HF391" s="240"/>
      <c r="HG391" s="240"/>
      <c r="HH391" s="240"/>
      <c r="HI391" s="230">
        <f>(HA391+HB391+HC391+HD391+HE391+HF391+HG391+HH391)/3</f>
        <v>12</v>
      </c>
      <c r="HJ391" s="231">
        <f>2*HI391</f>
        <v>24</v>
      </c>
      <c r="HK391" s="232">
        <f>3*HI391</f>
        <v>36</v>
      </c>
      <c r="HL391" s="240">
        <f>HA391*POWER(KLslave,SIGN(HB391))*POWER(INslave,SIGN(HC391))*POWER(CHslave,SIGN(HD391))*POWER(FFslave,SIGN(HE391))*POWER(GEslave,SIGN(HF391))*POWER(KOslave_KO,SIGN(HG391))*POWER(KKslave,SIGN(HH391))+HB391*POWER(MUslave,SIGN(HA391))*POWER(INslave,SIGN(HC391))*POWER(CHslave,SIGN(HD391))*POWER(FFslave,SIGN(HE391))*POWER(GEslave,SIGN(HF391))*POWER(KOslave_KO,SIGN(HG391))*POWER(KKslave,SIGN(HH391))+HC391*POWER(MUslave,SIGN(HA391))*POWER(KLslave,SIGN(HB391))*POWER(CHslave,SIGN(HD391))*POWER(FFslave,SIGN(HE391))*POWER(GEslave,SIGN(HF391))*POWER(KOslave_KO,SIGN(HG391))*POWER(KKslave,SIGN(HH391))+HD391*POWER(MUslave,SIGN(HA391))*POWER(KLslave,SIGN(HB391))*POWER(INslave,SIGN(HC391))*POWER(FFslave,SIGN(HE391))*POWER(GEslave,SIGN(HF391))*POWER(KOslave_KO,SIGN(HG391))*POWER(KKslave,SIGN(HH391))+HE391*POWER(MUslave,SIGN(HA391))*POWER(KLslave,SIGN(HB391))*POWER(INslave,SIGN(HC391))*POWER(CHslave,SIGN(HD391))*POWER(GEslave,SIGN(HF391))*POWER(KOslave_KO,SIGN(HG391))*POWER(KKslave,SIGN(HH391))+HF391*POWER(MUslave,SIGN(HA391))*POWER(KLslave,SIGN(HB391))*POWER(INslave,SIGN(HC391))*POWER(CHslave,SIGN(HD391))*POWER(FFslave,SIGN(HE391))*POWER(KOslave_KO,SIGN(HG391))*POWER(KKslave,SIGN(HH391))+HG391*POWER(MUslave,SIGN(HA391))*POWER(KLslave,SIGN(HB391))*POWER(INslave,SIGN(HC391))*POWER(CHslave,SIGN(HD391))*POWER(FFslave,SIGN(HE391))*POWER(GEslave,SIGN(HF391))*POWER(KKslave,SIGN(HH391))+HH391*POWER(MUslave,SIGN(HA391))*POWER(KLslave,SIGN(HB391))*POWER(INslave,SIGN(HC391))*POWER(CHslave,SIGN(HD391))*POWER(FFslave,SIGN(HE391))*POWER(GEslave,SIGN(HF391))*POWER(KOslave_KO,SIGN(HG391))</f>
        <v>2304</v>
      </c>
      <c r="HM391" s="240">
        <f>HB391*HC391*FFslave+HB391*INslave*HE391+KLslave*HC391*HE391</f>
        <v>3456</v>
      </c>
      <c r="HN391" s="240">
        <f>IFERROR(HA391^SIGN(HA391),1)*IFERROR(HB391^SIGN(HB391),1)*IFERROR(HC391^SIGN(HC391),1)*IFERROR(HD391^SIGN(HD391),1)*IFERROR(HE391^SIGN(HE391),1)*IFERROR(HF391^SIGN(HF391),1)*IFERROR(HG391^SIGN(HG391),1)*IFERROR(HH391^SIGN(HH391),1)</f>
        <v>1728</v>
      </c>
      <c r="HO391" s="79">
        <f>SUM(HL391:HN391)</f>
        <v>7488</v>
      </c>
      <c r="HP391" s="231">
        <f>HI391*HL391/HO391</f>
        <v>3.6923076923076925</v>
      </c>
      <c r="HQ391" s="231">
        <f>HJ391*HM391/HO391</f>
        <v>11.076923076923077</v>
      </c>
      <c r="HR391" s="231">
        <f>HK391*HN391/HO391</f>
        <v>8.3076923076923084</v>
      </c>
      <c r="HS391" s="45">
        <f>SUM(HP391:HR391)</f>
        <v>23.07692307692308</v>
      </c>
      <c r="HT391" s="252">
        <f t="shared" si="4034"/>
        <v>0</v>
      </c>
      <c r="HU391" s="309">
        <f>HS391-HT391</f>
        <v>23.07692307692308</v>
      </c>
      <c r="HV391" s="45">
        <f>IF(HS391&lt;=0,2,0)+IF(HS391&gt;0,HS391+1,0)*2+IF(HS391&gt;12,HS391-12,0)*2+IF(HS391&gt;13,HS391-13,0)*2+IF(HS391&gt;14,HS391-14,0)*2+IF(HS391&gt;15,HS391-15,0)*2+IF(HS391&gt;16,HS391-16,0)*2+IF(HS391&gt;17,HS391-17,0)*2+IF(HS391&gt;18,HS391-18,0)*2+IF(HS391&gt;19,HS391-19,0)*2+IF(HS391&gt;20,HS391-20,0)*2</f>
        <v>175.5384615384616</v>
      </c>
      <c r="HW391" s="79">
        <f>IF(HT391&lt;=0,2,0)+IF(HT391&gt;0,HT391+1,0)*2+IF(HT391&gt;12,HT391-12,0)*2+IF(HT391&gt;13,HT391-13,0)*2+IF(HT391&gt;14,HT391-14,0)*2+IF(HT391&gt;15,HT391-15,0)*2+IF(HT391&gt;16,HT391-16,0)*2+IF(HT391&gt;17,HT391-17,0)*2+IF(HT391&gt;18,HT391-18,0)*2+IF(HT391&gt;19,HT391-19,0)*2+IF(HT391&gt;20,HT391-20,0)*2</f>
        <v>2</v>
      </c>
      <c r="HX391" s="247">
        <f>IF((HV391-HW391)&gt;0,HV391-HW391,0)</f>
        <v>173.5384615384616</v>
      </c>
      <c r="HY391" s="45">
        <f>IF((HW391-HV391)&gt;0,HW391-HV391,0)</f>
        <v>0</v>
      </c>
      <c r="IA391" s="321" t="s">
        <v>434</v>
      </c>
      <c r="IB391" s="46" t="s">
        <v>170</v>
      </c>
      <c r="IC391" s="45" t="s">
        <v>132</v>
      </c>
      <c r="ID391" s="240"/>
      <c r="IE391" s="240">
        <f>Konvention_1slave-KLslave</f>
        <v>12</v>
      </c>
      <c r="IF391" s="240">
        <f>Konvention_1slave-INslave</f>
        <v>12</v>
      </c>
      <c r="IG391" s="240"/>
      <c r="IH391" s="240">
        <f>Konvention_1slave-FFslave</f>
        <v>12</v>
      </c>
      <c r="II391" s="240"/>
      <c r="IJ391" s="240"/>
      <c r="IK391" s="240"/>
      <c r="IL391" s="230">
        <f>(ID391+IE391+IF391+IG391+IH391+II391+IJ391+IK391)/3</f>
        <v>12</v>
      </c>
      <c r="IM391" s="231">
        <f>2*IL391</f>
        <v>24</v>
      </c>
      <c r="IN391" s="232">
        <f>3*IL391</f>
        <v>36</v>
      </c>
      <c r="IO391" s="240">
        <f>ID391*POWER(KLslave,SIGN(IE391))*POWER(INslave,SIGN(IF391))*POWER(CHslave,SIGN(IG391))*POWER(FFslave,SIGN(IH391))*POWER(GEslave,SIGN(II391))*POWER(KOslave,SIGN(IJ391))*POWER(KKslave_KK,SIGN(IK391))+IE391*POWER(MUslave,SIGN(ID391))*POWER(INslave,SIGN(IF391))*POWER(CHslave,SIGN(IG391))*POWER(FFslave,SIGN(IH391))*POWER(GEslave,SIGN(II391))*POWER(KOslave,SIGN(IJ391))*POWER(KKslave_KK,SIGN(IK391))+IF391*POWER(MUslave,SIGN(ID391))*POWER(KLslave,SIGN(IE391))*POWER(CHslave,SIGN(IG391))*POWER(FFslave,SIGN(IH391))*POWER(GEslave,SIGN(II391))*POWER(KOslave,SIGN(IJ391))*POWER(KKslave_KK,SIGN(IK391))+IG391*POWER(MUslave,SIGN(ID391))*POWER(KLslave,SIGN(IE391))*POWER(INslave,SIGN(IF391))*POWER(FFslave,SIGN(IH391))*POWER(GEslave,SIGN(II391))*POWER(KOslave,SIGN(IJ391))*POWER(KKslave_KK,SIGN(IK391))+IH391*POWER(MUslave,SIGN(ID391))*POWER(KLslave,SIGN(IE391))*POWER(INslave,SIGN(IF391))*POWER(CHslave,SIGN(IG391))*POWER(GEslave,SIGN(II391))*POWER(KOslave,SIGN(IJ391))*POWER(KKslave_KK,SIGN(IK391))+II391*POWER(MUslave,SIGN(ID391))*POWER(KLslave,SIGN(IE391))*POWER(INslave,SIGN(IF391))*POWER(CHslave,SIGN(IG391))*POWER(FFslave,SIGN(IH391))*POWER(KOslave,SIGN(IJ391))*POWER(KKslave_KK,SIGN(IK391))+IJ391*POWER(MUslave,SIGN(ID391))*POWER(KLslave,SIGN(IE391))*POWER(INslave,SIGN(IF391))*POWER(CHslave,SIGN(IG391))*POWER(FFslave,SIGN(IH391))*POWER(GEslave,SIGN(II391))*POWER(KKslave_KK,SIGN(IK391))+IK391*POWER(MUslave,SIGN(ID391))*POWER(KLslave,SIGN(IE391))*POWER(INslave,SIGN(IF391))*POWER(CHslave,SIGN(IG391))*POWER(FFslave,SIGN(IH391))*POWER(GEslave,SIGN(II391))*POWER(KOslave,SIGN(IJ391))</f>
        <v>2304</v>
      </c>
      <c r="IP391" s="240">
        <f>IE391*IF391*FFslave+IE391*INslave*IH391+KLslave*IF391*IH391</f>
        <v>3456</v>
      </c>
      <c r="IQ391" s="240">
        <f>IFERROR(ID391^SIGN(ID391),1)*IFERROR(IE391^SIGN(IE391),1)*IFERROR(IF391^SIGN(IF391),1)*IFERROR(IG391^SIGN(IG391),1)*IFERROR(IH391^SIGN(IH391),1)*IFERROR(II391^SIGN(II391),1)*IFERROR(IJ391^SIGN(IJ391),1)*IFERROR(IK391^SIGN(IK391),1)</f>
        <v>1728</v>
      </c>
      <c r="IR391" s="79">
        <f>SUM(IO391:IQ391)</f>
        <v>7488</v>
      </c>
      <c r="IS391" s="231">
        <f>IL391*IO391/IR391</f>
        <v>3.6923076923076925</v>
      </c>
      <c r="IT391" s="231">
        <f>IM391*IP391/IR391</f>
        <v>11.076923076923077</v>
      </c>
      <c r="IU391" s="231">
        <f>IN391*IQ391/IR391</f>
        <v>8.3076923076923084</v>
      </c>
      <c r="IV391" s="45">
        <f>SUM(IS391:IU391)</f>
        <v>23.07692307692308</v>
      </c>
      <c r="IW391" s="252">
        <f t="shared" si="4050"/>
        <v>0</v>
      </c>
      <c r="IX391" s="309">
        <f>IV391-IW391</f>
        <v>23.07692307692308</v>
      </c>
      <c r="IY391" s="45">
        <f>IF(IV391&lt;=0,2,0)+IF(IV391&gt;0,IV391+1,0)*2+IF(IV391&gt;12,IV391-12,0)*2+IF(IV391&gt;13,IV391-13,0)*2+IF(IV391&gt;14,IV391-14,0)*2+IF(IV391&gt;15,IV391-15,0)*2+IF(IV391&gt;16,IV391-16,0)*2+IF(IV391&gt;17,IV391-17,0)*2+IF(IV391&gt;18,IV391-18,0)*2+IF(IV391&gt;19,IV391-19,0)*2+IF(IV391&gt;20,IV391-20,0)*2</f>
        <v>175.5384615384616</v>
      </c>
      <c r="IZ391" s="79">
        <f>IF(IW391&lt;=0,2,0)+IF(IW391&gt;0,IW391+1,0)*2+IF(IW391&gt;12,IW391-12,0)*2+IF(IW391&gt;13,IW391-13,0)*2+IF(IW391&gt;14,IW391-14,0)*2+IF(IW391&gt;15,IW391-15,0)*2+IF(IW391&gt;16,IW391-16,0)*2+IF(IW391&gt;17,IW391-17,0)*2+IF(IW391&gt;18,IW391-18,0)*2+IF(IW391&gt;19,IW391-19,0)*2+IF(IW391&gt;20,IW391-20,0)*2</f>
        <v>2</v>
      </c>
      <c r="JA391" s="247">
        <f>IF((IY391-IZ391)&gt;0,IY391-IZ391,0)</f>
        <v>173.5384615384616</v>
      </c>
      <c r="JB391" s="45">
        <f>IF((IZ391-IY391)&gt;0,IZ391-IY391,0)</f>
        <v>0</v>
      </c>
      <c r="JE391" s="148"/>
    </row>
    <row r="392" spans="1:265" hidden="1" outlineLevel="1" collapsed="1">
      <c r="B392" s="134" t="s">
        <v>408</v>
      </c>
      <c r="C392" s="307" t="s">
        <v>281</v>
      </c>
      <c r="D392" s="84" t="s">
        <v>279</v>
      </c>
      <c r="E392" s="84" t="s">
        <v>280</v>
      </c>
      <c r="Y392" s="251"/>
      <c r="Z392" s="197"/>
      <c r="AF392" s="83" t="s">
        <v>281</v>
      </c>
      <c r="AG392" s="84" t="s">
        <v>279</v>
      </c>
      <c r="AH392" s="84" t="s">
        <v>280</v>
      </c>
      <c r="BB392" s="197"/>
      <c r="BC392" s="197"/>
      <c r="BI392" s="307" t="s">
        <v>281</v>
      </c>
      <c r="BJ392" s="308" t="s">
        <v>279</v>
      </c>
      <c r="BK392" s="308" t="s">
        <v>280</v>
      </c>
      <c r="CE392" s="251"/>
      <c r="CF392" s="251"/>
      <c r="CL392" s="307" t="s">
        <v>281</v>
      </c>
      <c r="CM392" s="308" t="s">
        <v>279</v>
      </c>
      <c r="CN392" s="308" t="s">
        <v>280</v>
      </c>
      <c r="DH392" s="251"/>
      <c r="DI392" s="251"/>
      <c r="DO392" s="307" t="s">
        <v>281</v>
      </c>
      <c r="DP392" s="308" t="s">
        <v>279</v>
      </c>
      <c r="DQ392" s="308" t="s">
        <v>280</v>
      </c>
      <c r="EK392" s="251"/>
      <c r="EL392" s="251"/>
      <c r="ER392" s="307" t="s">
        <v>281</v>
      </c>
      <c r="ES392" s="308" t="s">
        <v>279</v>
      </c>
      <c r="ET392" s="308" t="s">
        <v>280</v>
      </c>
      <c r="FN392" s="251"/>
      <c r="FO392" s="251"/>
      <c r="FU392" s="307" t="s">
        <v>281</v>
      </c>
      <c r="FV392" s="308" t="s">
        <v>279</v>
      </c>
      <c r="FW392" s="308" t="s">
        <v>280</v>
      </c>
      <c r="GQ392" s="251"/>
      <c r="GR392" s="251"/>
      <c r="GX392" s="307" t="s">
        <v>281</v>
      </c>
      <c r="GY392" s="308" t="s">
        <v>279</v>
      </c>
      <c r="GZ392" s="308" t="s">
        <v>280</v>
      </c>
      <c r="HT392" s="251"/>
      <c r="HU392" s="251"/>
      <c r="IA392" s="307" t="s">
        <v>281</v>
      </c>
      <c r="IB392" s="308" t="s">
        <v>279</v>
      </c>
      <c r="IC392" s="308" t="s">
        <v>280</v>
      </c>
      <c r="IW392" s="251"/>
      <c r="IX392" s="251"/>
      <c r="JE392" s="148"/>
    </row>
    <row r="393" spans="1:265" ht="15" hidden="1" customHeight="1" outlineLevel="2">
      <c r="B393" s="148">
        <v>1</v>
      </c>
      <c r="C393" s="323" t="e">
        <f>VLOOKUP(AF393,Attribute!C:T,1,FALSE)</f>
        <v>#N/A</v>
      </c>
      <c r="D393" s="85" t="s">
        <v>440</v>
      </c>
      <c r="E393" s="193" t="s">
        <v>133</v>
      </c>
      <c r="F393" s="191"/>
      <c r="G393" s="118">
        <f>Konvention_1master-KLmaster</f>
        <v>12</v>
      </c>
      <c r="H393" s="118"/>
      <c r="I393" s="118">
        <f>Konvention_1master-CHmaster</f>
        <v>12</v>
      </c>
      <c r="J393" s="118">
        <f>Konvention_1master-FFmaster</f>
        <v>12</v>
      </c>
      <c r="K393" s="118"/>
      <c r="L393" s="118"/>
      <c r="M393" s="92"/>
      <c r="N393" s="219">
        <f>(F393+G393+H393+I393+J393+K393+L393+M393)/3</f>
        <v>12</v>
      </c>
      <c r="O393" s="220">
        <f>2*N393</f>
        <v>24</v>
      </c>
      <c r="P393" s="221">
        <f>3*N393</f>
        <v>36</v>
      </c>
      <c r="Q393" s="236">
        <f>F393*POWER(KLmaster,SIGN(G393))*POWER(INmaster,SIGN(H393))*POWER(CHmaster,SIGN(I393))*POWER(FFmaster,SIGN(J393))*POWER(GEmaster,SIGN(K393))*POWER(KOmaster,SIGN(L393))*POWER(KKmaster,SIGN(M393))+G393*POWER(MUmaster,SIGN(F393))*POWER(INmaster,SIGN(H393))*POWER(CHmaster,SIGN(I393))*POWER(FFmaster,SIGN(J393))*POWER(GEmaster,SIGN(K393))*POWER(KOmaster,SIGN(L393))*POWER(KKmaster,SIGN(M393))+H393*POWER(MUmaster,SIGN(F393))*POWER(KLmaster,SIGN(G393))*POWER(CHmaster,SIGN(I393))*POWER(FFmaster,SIGN(J393))*POWER(GEmaster,SIGN(K393))*POWER(KOmaster,SIGN(L393))*POWER(KKmaster,SIGN(M393))+I393*POWER(MUmaster,SIGN(F393))*POWER(KLmaster,SIGN(G393))*POWER(INmaster,SIGN(H393))*POWER(FFmaster,SIGN(J393))*POWER(GEmaster,SIGN(K393))*POWER(KOmaster,SIGN(L393))*POWER(KKmaster,SIGN(M393))+J393*POWER(MUmaster,SIGN(F393))*POWER(KLmaster,SIGN(G393))*POWER(INmaster,SIGN(H393))*POWER(CHmaster,SIGN(I393))*POWER(GEmaster,SIGN(K393))*POWER(KOmaster,SIGN(L393))*POWER(KKmaster,SIGN(M393))+K393*POWER(MUmaster,SIGN(F393))*POWER(KLmaster,SIGN(G393))*POWER(INmaster,SIGN(H393))*POWER(CHmaster,SIGN(I393))*POWER(FFmaster,SIGN(J393))*POWER(KOmaster,SIGN(L393))*POWER(KKmaster,SIGN(M393))+L393*POWER(MUmaster,SIGN(F393))*POWER(KLmaster,SIGN(G393))*POWER(INmaster,SIGN(H393))*POWER(CHmaster,SIGN(I393))*POWER(FFmaster,SIGN(J393))*POWER(GEmaster,SIGN(K393))*POWER(KKmaster,SIGN(M393))+M393*POWER(MUmaster,SIGN(F393))*POWER(KLmaster,SIGN(G393))*POWER(INmaster,SIGN(H393))*POWER(CHmaster,SIGN(I393))*POWER(FFmaster,SIGN(J393))*POWER(GEmaster,SIGN(K393))*POWER(KOmaster,SIGN(L393))</f>
        <v>2304</v>
      </c>
      <c r="R393" s="118">
        <f>G393*I393*FFmaster+G393*CHmaster*J393+KLmaster*I393*J393</f>
        <v>3456</v>
      </c>
      <c r="S393" s="221">
        <f>IFERROR(F393^SIGN(F393),1)*IFERROR(G393^SIGN(G393),1)*IFERROR(H393^SIGN(H393),1)*IFERROR(I393^SIGN(I393),1)*IFERROR(J393^SIGN(J393),1)*IFERROR(K393^SIGN(K393),1)*IFERROR(L393^SIGN(L393),1)*IFERROR(M393^SIGN(M393),1)</f>
        <v>1728</v>
      </c>
      <c r="T393" s="221">
        <f>SUM(Q393:S393)</f>
        <v>7488</v>
      </c>
      <c r="U393" s="219">
        <f>N393*Q393/T393</f>
        <v>3.6923076923076925</v>
      </c>
      <c r="V393" s="220">
        <f>O393*R393/T393</f>
        <v>11.076923076923077</v>
      </c>
      <c r="W393" s="241">
        <f>P393*S393/T393</f>
        <v>8.3076923076923084</v>
      </c>
      <c r="X393" s="42">
        <f>SUM(U393:W393)</f>
        <v>23.07692307692308</v>
      </c>
      <c r="Y393" s="252">
        <v>0</v>
      </c>
      <c r="Z393" s="44">
        <f>X393-Y393</f>
        <v>23.07692307692308</v>
      </c>
      <c r="AA393" s="158">
        <f>IF(X393&lt;=0,1,0)+IF(X393&gt;0,X393+1,0)*1+IF(X393&gt;12,X393-12,0)*1+IF(X393&gt;13,X393-13,0)*1+IF(X393&gt;14,X393-14,0)*1+IF(X393&gt;15,X393-15,0)*1+IF(X393&gt;16,X393-16,0)*1+IF(X393&gt;17,X393-17,0)*1+IF(X393&gt;18,X393-18,0)*1+IF(X393&gt;19,X393-19,0)*1+IF(X393&gt;20,X393-20,0)*1</f>
        <v>87.769230769230802</v>
      </c>
      <c r="AB393" s="191">
        <f>IF(Y393&lt;=0,1,0)+IF(Y393&gt;0,Y393+1,0)*1+IF(Y393&gt;12,Y393-12,0)*1+IF(Y393&gt;13,Y393-13,0)*1+IF(Y393&gt;14,Y393-14,0)*1+IF(Y393&gt;15,Y393-15,0)*1+IF(Y393&gt;16,Y393-16,0)*1+IF(Y393&gt;17,Y393-17,0)*1+IF(Y393&gt;18,Y393-18,0)*1+IF(Y393&gt;19,Y393-19,0)*1+IF(Y393&gt;20,Y393-20,0)*1</f>
        <v>1</v>
      </c>
      <c r="AC393" s="158">
        <f>IF((AA393-AB393)&gt;0,AA393-AB393,0)</f>
        <v>86.769230769230802</v>
      </c>
      <c r="AD393" s="158">
        <f>IF((AB393-AA393)&gt;0,AB393-AA393,0)</f>
        <v>0</v>
      </c>
      <c r="AF393" s="176" t="s">
        <v>435</v>
      </c>
      <c r="AG393" s="85" t="s">
        <v>440</v>
      </c>
      <c r="AH393" s="193" t="s">
        <v>133</v>
      </c>
      <c r="AI393" s="191"/>
      <c r="AJ393" s="118">
        <f>Konvention_1slave-KLslave</f>
        <v>12</v>
      </c>
      <c r="AK393" s="118"/>
      <c r="AL393" s="118">
        <f>Konvention_1slave-CHslave</f>
        <v>12</v>
      </c>
      <c r="AM393" s="118">
        <f>Konvention_1slave-FFslave</f>
        <v>12</v>
      </c>
      <c r="AN393" s="118"/>
      <c r="AO393" s="118"/>
      <c r="AP393" s="92"/>
      <c r="AQ393" s="193">
        <f>(AI393+AJ393+AK393+AL393+AM393+AN393+AO393+AP393)/3</f>
        <v>12</v>
      </c>
      <c r="AR393" s="116">
        <f>2*AQ393</f>
        <v>24</v>
      </c>
      <c r="AS393" s="92">
        <f>3*AQ393</f>
        <v>36</v>
      </c>
      <c r="AT393" s="191">
        <f>AI393*POWER(KLslave,SIGN(AJ393))*POWER(INslave,SIGN(AK393))*POWER(CHslave,SIGN(AL393))*POWER(FFslave,SIGN(AM393))*POWER(GEslave,SIGN(AN393))*POWER(KOslave,SIGN(AO393))*POWER(KKslave,SIGN(AP393))+AJ393*POWER(MUslave_MU,SIGN(AI393))*POWER(INslave,SIGN(AK393))*POWER(CHslave,SIGN(AL393))*POWER(FFslave,SIGN(AM393))*POWER(GEslave,SIGN(AN393))*POWER(KOslave,SIGN(AO393))*POWER(KKslave,SIGN(AP393))+AK393*POWER(MUslave_MU,SIGN(AI393))*POWER(KLslave,SIGN(AJ393))*POWER(CHslave,SIGN(AL393))*POWER(FFslave,SIGN(AM393))*POWER(GEslave,SIGN(AN393))*POWER(KOslave,SIGN(AO393))*POWER(KKslave,SIGN(AP393))+AL393*POWER(MUslave_MU,SIGN(AI393))*POWER(KLslave,SIGN(AJ393))*POWER(INslave,SIGN(AK393))*POWER(FFslave,SIGN(AM393))*POWER(GEslave,SIGN(AN393))*POWER(KOslave,SIGN(AO393))*POWER(KKslave,SIGN(AP393))+AM393*POWER(MUslave_MU,SIGN(AI393))*POWER(KLslave,SIGN(AJ393))*POWER(INslave,SIGN(AK393))*POWER(CHslave,SIGN(AL393))*POWER(GEslave,SIGN(AN393))*POWER(KOslave,SIGN(AO393))*POWER(KKslave,SIGN(AP393))+AN393*POWER(MUslave_MU,SIGN(AI393))*POWER(KLslave,SIGN(AJ393))*POWER(INslave,SIGN(AK393))*POWER(CHslave,SIGN(AL393))*POWER(FFslave,SIGN(AM393))*POWER(KOslave,SIGN(AO393))*POWER(KKslave,SIGN(AP393))+AO393*POWER(MUslave_MU,SIGN(AI393))*POWER(KLslave,SIGN(AJ393))*POWER(INslave,SIGN(AK393))*POWER(CHslave,SIGN(AL393))*POWER(FFslave,SIGN(AM393))*POWER(GEslave,SIGN(AN393))*POWER(KKslave,SIGN(AP393))+AP393*POWER(MUslave_MU,SIGN(AI393))*POWER(KLslave,SIGN(AJ393))*POWER(INslave,SIGN(AK393))*POWER(CHslave,SIGN(AL393))*POWER(FFslave,SIGN(AM393))*POWER(GEslave,SIGN(AN393))*POWER(KOslave,SIGN(AO393))</f>
        <v>2304</v>
      </c>
      <c r="AU393" s="118">
        <f>AJ393*AL393*FFslave+AJ393*CHslave*AM393+KLslave*AL393*AM393</f>
        <v>3456</v>
      </c>
      <c r="AV393" s="92">
        <f>IFERROR(AI393^SIGN(AI393),1)*IFERROR(AJ393^SIGN(AJ393),1)*IFERROR(AK393^SIGN(AK393),1)*IFERROR(AL393^SIGN(AL393),1)*IFERROR(AM393^SIGN(AM393),1)*IFERROR(AN393^SIGN(AN393),1)*IFERROR(AO393^SIGN(AO393),1)*IFERROR(AP393^SIGN(AP393),1)</f>
        <v>1728</v>
      </c>
      <c r="AW393" s="92">
        <f>SUM(AT393:AV393)</f>
        <v>7488</v>
      </c>
      <c r="AX393" s="193">
        <f>AQ393*AT393/AW393</f>
        <v>3.6923076923076925</v>
      </c>
      <c r="AY393" s="116">
        <f>AR393*AU393/AW393</f>
        <v>11.076923076923077</v>
      </c>
      <c r="AZ393" s="126">
        <f>AS393*AV393/AW393</f>
        <v>8.3076923076923084</v>
      </c>
      <c r="BA393" s="158">
        <f>SUM(AX393:AZ393)</f>
        <v>23.07692307692308</v>
      </c>
      <c r="BB393" s="165">
        <f t="shared" si="3938"/>
        <v>0</v>
      </c>
      <c r="BC393" s="44">
        <f>BA393-BB393</f>
        <v>23.07692307692308</v>
      </c>
      <c r="BD393" s="158">
        <f>IF(BA393&lt;=0,1,0)+IF(BA393&gt;0,BA393+1,0)*1+IF(BA393&gt;12,BA393-12,0)*1+IF(BA393&gt;13,BA393-13,0)*1+IF(BA393&gt;14,BA393-14,0)*1+IF(BA393&gt;15,BA393-15,0)*1+IF(BA393&gt;16,BA393-16,0)*1+IF(BA393&gt;17,BA393-17,0)*1+IF(BA393&gt;18,BA393-18,0)*1+IF(BA393&gt;19,BA393-19,0)*1+IF(BA393&gt;20,BA393-20,0)*1</f>
        <v>87.769230769230802</v>
      </c>
      <c r="BE393" s="191">
        <f>IF(BB393&lt;=0,1,0)+IF(BB393&gt;0,BB393+1,0)*1+IF(BB393&gt;12,BB393-12,0)*1+IF(BB393&gt;13,BB393-13,0)*1+IF(BB393&gt;14,BB393-14,0)*1+IF(BB393&gt;15,BB393-15,0)*1+IF(BB393&gt;16,BB393-16,0)*1+IF(BB393&gt;17,BB393-17,0)*1+IF(BB393&gt;18,BB393-18,0)*1+IF(BB393&gt;19,BB393-19,0)*1+IF(BB393&gt;20,BB393-20,0)*1</f>
        <v>1</v>
      </c>
      <c r="BF393" s="42">
        <f>IF((BD393-BE393)&gt;0,BD393-BE393,0)</f>
        <v>86.769230769230802</v>
      </c>
      <c r="BG393" s="42">
        <f>IF((BE393-BD393)&gt;0,BE393-BD393,0)</f>
        <v>0</v>
      </c>
      <c r="BI393" s="323" t="s">
        <v>435</v>
      </c>
      <c r="BJ393" s="43" t="s">
        <v>440</v>
      </c>
      <c r="BK393" s="219" t="s">
        <v>133</v>
      </c>
      <c r="BL393" s="236"/>
      <c r="BM393" s="233">
        <f>Konvention_1slave-KLslave_KL</f>
        <v>11</v>
      </c>
      <c r="BN393" s="233"/>
      <c r="BO393" s="233">
        <f>Konvention_1slave-CHslave</f>
        <v>12</v>
      </c>
      <c r="BP393" s="233">
        <f>Konvention_1slave-FFslave</f>
        <v>12</v>
      </c>
      <c r="BQ393" s="233"/>
      <c r="BR393" s="233"/>
      <c r="BS393" s="221"/>
      <c r="BT393" s="219">
        <f>(BL393+BM393+BN393+BO393+BP393+BQ393+BR393+BS393)/3</f>
        <v>11.666666666666666</v>
      </c>
      <c r="BU393" s="220">
        <f>2*BT393</f>
        <v>23.333333333333332</v>
      </c>
      <c r="BV393" s="221">
        <f>3*BT393</f>
        <v>35</v>
      </c>
      <c r="BW393" s="236">
        <f>BL393*POWER(KLslave_KL,SIGN(BM393))*POWER(INslave,SIGN(BN393))*POWER(CHslave,SIGN(BO393))*POWER(FFslave,SIGN(BP393))*POWER(GEslave,SIGN(BQ393))*POWER(KOslave,SIGN(BR393))*POWER(KKslave,SIGN(BS393))+BM393*POWER(MUslave,SIGN(BL393))*POWER(INslave,SIGN(BN393))*POWER(CHslave,SIGN(BO393))*POWER(FFslave,SIGN(BP393))*POWER(GEslave,SIGN(BQ393))*POWER(KOslave,SIGN(BR393))*POWER(KKslave,SIGN(BS393))+BN393*POWER(MUslave,SIGN(BL393))*POWER(KLslave_KL,SIGN(BM393))*POWER(CHslave,SIGN(BO393))*POWER(FFslave,SIGN(BP393))*POWER(GEslave,SIGN(BQ393))*POWER(KOslave,SIGN(BR393))*POWER(KKslave,SIGN(BS393))+BO393*POWER(MUslave,SIGN(BL393))*POWER(KLslave_KL,SIGN(BM393))*POWER(INslave,SIGN(BN393))*POWER(FFslave,SIGN(BP393))*POWER(GEslave,SIGN(BQ393))*POWER(KOslave,SIGN(BR393))*POWER(KKslave,SIGN(BS393))+BP393*POWER(MUslave,SIGN(BL393))*POWER(KLslave_KL,SIGN(BM393))*POWER(INslave,SIGN(BN393))*POWER(CHslave,SIGN(BO393))*POWER(GEslave,SIGN(BQ393))*POWER(KOslave,SIGN(BR393))*POWER(KKslave,SIGN(BS393))+BQ393*POWER(MUslave,SIGN(BL393))*POWER(KLslave_KL,SIGN(BM393))*POWER(INslave,SIGN(BN393))*POWER(CHslave,SIGN(BO393))*POWER(FFslave,SIGN(BP393))*POWER(KOslave,SIGN(BR393))*POWER(KKslave,SIGN(BS393))+BR393*POWER(MUslave,SIGN(BL393))*POWER(KLslave_KL,SIGN(BM393))*POWER(INslave,SIGN(BN393))*POWER(CHslave,SIGN(BO393))*POWER(FFslave,SIGN(BP393))*POWER(GEslave,SIGN(BQ393))*POWER(KKslave,SIGN(BS393))+BS393*POWER(MUslave,SIGN(BL393))*POWER(KLslave_KL,SIGN(BM393))*POWER(INslave,SIGN(BN393))*POWER(CHslave,SIGN(BO393))*POWER(FFslave,SIGN(BP393))*POWER(GEslave,SIGN(BQ393))*POWER(KOslave,SIGN(BR393))</f>
        <v>2432</v>
      </c>
      <c r="BX393" s="233">
        <f>BM393*BO393*FFslave+BM393*CHslave*BP393+KLslave_KL*BO393*BP393</f>
        <v>3408</v>
      </c>
      <c r="BY393" s="221">
        <f>IFERROR(BL393^SIGN(BL393),1)*IFERROR(BM393^SIGN(BM393),1)*IFERROR(BN393^SIGN(BN393),1)*IFERROR(BO393^SIGN(BO393),1)*IFERROR(BP393^SIGN(BP393),1)*IFERROR(BQ393^SIGN(BQ393),1)*IFERROR(BR393^SIGN(BR393),1)*IFERROR(BS393^SIGN(BS393),1)</f>
        <v>1584</v>
      </c>
      <c r="BZ393" s="221">
        <f>SUM(BW393:BY393)</f>
        <v>7424</v>
      </c>
      <c r="CA393" s="219">
        <f>BT393*BW393/BZ393</f>
        <v>3.8218390804597702</v>
      </c>
      <c r="CB393" s="220">
        <f>BU393*BX393/BZ393</f>
        <v>10.711206896551724</v>
      </c>
      <c r="CC393" s="241">
        <f>BV393*BY393/BZ393</f>
        <v>7.4676724137931032</v>
      </c>
      <c r="CD393" s="42">
        <f>SUM(CA393:CC393)</f>
        <v>22.000718390804597</v>
      </c>
      <c r="CE393" s="252">
        <f t="shared" si="3954"/>
        <v>0</v>
      </c>
      <c r="CF393" s="324">
        <f>CD393-CE393</f>
        <v>22.000718390804597</v>
      </c>
      <c r="CG393" s="42">
        <f>IF(CD393&lt;=0,1,0)+IF(CD393&gt;0,CD393+1,0)*1+IF(CD393&gt;12,CD393-12,0)*1+IF(CD393&gt;13,CD393-13,0)*1+IF(CD393&gt;14,CD393-14,0)*1+IF(CD393&gt;15,CD393-15,0)*1+IF(CD393&gt;16,CD393-16,0)*1+IF(CD393&gt;17,CD393-17,0)*1+IF(CD393&gt;18,CD393-18,0)*1+IF(CD393&gt;19,CD393-19,0)*1+IF(CD393&gt;20,CD393-20,0)*1</f>
        <v>77.007183908045945</v>
      </c>
      <c r="CH393" s="236">
        <f>IF(CE393&lt;=0,1,0)+IF(CE393&gt;0,CE393+1,0)*1+IF(CE393&gt;12,CE393-12,0)*1+IF(CE393&gt;13,CE393-13,0)*1+IF(CE393&gt;14,CE393-14,0)*1+IF(CE393&gt;15,CE393-15,0)*1+IF(CE393&gt;16,CE393-16,0)*1+IF(CE393&gt;17,CE393-17,0)*1+IF(CE393&gt;18,CE393-18,0)*1+IF(CE393&gt;19,CE393-19,0)*1+IF(CE393&gt;20,CE393-20,0)*1</f>
        <v>1</v>
      </c>
      <c r="CI393" s="42">
        <f>IF((CG393-CH393)&gt;0,CG393-CH393,0)</f>
        <v>76.007183908045945</v>
      </c>
      <c r="CJ393" s="42">
        <f>IF((CH393-CG393)&gt;0,CH393-CG393,0)</f>
        <v>0</v>
      </c>
      <c r="CL393" s="323" t="s">
        <v>435</v>
      </c>
      <c r="CM393" s="43" t="s">
        <v>440</v>
      </c>
      <c r="CN393" s="219" t="s">
        <v>133</v>
      </c>
      <c r="CO393" s="236"/>
      <c r="CP393" s="233">
        <f>Konvention_1slave-KLslave</f>
        <v>12</v>
      </c>
      <c r="CQ393" s="233"/>
      <c r="CR393" s="233">
        <f>Konvention_1slave-CHslave</f>
        <v>12</v>
      </c>
      <c r="CS393" s="233">
        <f>Konvention_1slave-FFslave</f>
        <v>12</v>
      </c>
      <c r="CT393" s="233"/>
      <c r="CU393" s="233"/>
      <c r="CV393" s="221"/>
      <c r="CW393" s="219">
        <f>(CO393+CP393+CQ393+CR393+CS393+CT393+CU393+CV393)/3</f>
        <v>12</v>
      </c>
      <c r="CX393" s="220">
        <f>2*CW393</f>
        <v>24</v>
      </c>
      <c r="CY393" s="221">
        <f>3*CW393</f>
        <v>36</v>
      </c>
      <c r="CZ393" s="236">
        <f>CO393*POWER(KLslave,SIGN(CP393))*POWER(INslave_IN,SIGN(CQ393))*POWER(CHslave,SIGN(CR393))*POWER(FFslave,SIGN(CS393))*POWER(GEslave,SIGN(CT393))*POWER(KOslave,SIGN(CU393))*POWER(KKslave,SIGN(CV393))+CP393*POWER(MUslave,SIGN(CO393))*POWER(INslave_IN,SIGN(CQ393))*POWER(CHslave,SIGN(CR393))*POWER(FFslave,SIGN(CS393))*POWER(GEslave,SIGN(CT393))*POWER(KOslave,SIGN(CU393))*POWER(KKslave,SIGN(CV393))+CQ393*POWER(MUslave,SIGN(CO393))*POWER(KLslave,SIGN(CP393))*POWER(CHslave,SIGN(CR393))*POWER(FFslave,SIGN(CS393))*POWER(GEslave,SIGN(CT393))*POWER(KOslave,SIGN(CU393))*POWER(KKslave,SIGN(CV393))+CR393*POWER(MUslave,SIGN(CO393))*POWER(KLslave,SIGN(CP393))*POWER(INslave_IN,SIGN(CQ393))*POWER(FFslave,SIGN(CS393))*POWER(GEslave,SIGN(CT393))*POWER(KOslave,SIGN(CU393))*POWER(KKslave,SIGN(CV393))+CS393*POWER(MUslave,SIGN(CO393))*POWER(KLslave,SIGN(CP393))*POWER(INslave_IN,SIGN(CQ393))*POWER(CHslave,SIGN(CR393))*POWER(GEslave,SIGN(CT393))*POWER(KOslave,SIGN(CU393))*POWER(KKslave,SIGN(CV393))+CT393*POWER(MUslave,SIGN(CO393))*POWER(KLslave,SIGN(CP393))*POWER(INslave_IN,SIGN(CQ393))*POWER(CHslave,SIGN(CR393))*POWER(FFslave,SIGN(CS393))*POWER(KOslave,SIGN(CU393))*POWER(KKslave,SIGN(CV393))+CU393*POWER(MUslave,SIGN(CO393))*POWER(KLslave,SIGN(CP393))*POWER(INslave_IN,SIGN(CQ393))*POWER(CHslave,SIGN(CR393))*POWER(FFslave,SIGN(CS393))*POWER(GEslave,SIGN(CT393))*POWER(KKslave,SIGN(CV393))+CV393*POWER(MUslave,SIGN(CO393))*POWER(KLslave,SIGN(CP393))*POWER(INslave_IN,SIGN(CQ393))*POWER(CHslave,SIGN(CR393))*POWER(FFslave,SIGN(CS393))*POWER(GEslave,SIGN(CT393))*POWER(KOslave,SIGN(CU393))</f>
        <v>2304</v>
      </c>
      <c r="DA393" s="233">
        <f>CP393*CR393*FFslave+CP393*CHslave*CS393+KLslave*CR393*CS393</f>
        <v>3456</v>
      </c>
      <c r="DB393" s="221">
        <f>IFERROR(CO393^SIGN(CO393),1)*IFERROR(CP393^SIGN(CP393),1)*IFERROR(CQ393^SIGN(CQ393),1)*IFERROR(CR393^SIGN(CR393),1)*IFERROR(CS393^SIGN(CS393),1)*IFERROR(CT393^SIGN(CT393),1)*IFERROR(CU393^SIGN(CU393),1)*IFERROR(CV393^SIGN(CV393),1)</f>
        <v>1728</v>
      </c>
      <c r="DC393" s="221">
        <f>SUM(CZ393:DB393)</f>
        <v>7488</v>
      </c>
      <c r="DD393" s="219">
        <f>CW393*CZ393/DC393</f>
        <v>3.6923076923076925</v>
      </c>
      <c r="DE393" s="220">
        <f>CX393*DA393/DC393</f>
        <v>11.076923076923077</v>
      </c>
      <c r="DF393" s="241">
        <f>CY393*DB393/DC393</f>
        <v>8.3076923076923084</v>
      </c>
      <c r="DG393" s="42">
        <f>SUM(DD393:DF393)</f>
        <v>23.07692307692308</v>
      </c>
      <c r="DH393" s="252">
        <f t="shared" si="3970"/>
        <v>0</v>
      </c>
      <c r="DI393" s="324">
        <f>DG393-DH393</f>
        <v>23.07692307692308</v>
      </c>
      <c r="DJ393" s="42">
        <f>IF(DG393&lt;=0,1,0)+IF(DG393&gt;0,DG393+1,0)*1+IF(DG393&gt;12,DG393-12,0)*1+IF(DG393&gt;13,DG393-13,0)*1+IF(DG393&gt;14,DG393-14,0)*1+IF(DG393&gt;15,DG393-15,0)*1+IF(DG393&gt;16,DG393-16,0)*1+IF(DG393&gt;17,DG393-17,0)*1+IF(DG393&gt;18,DG393-18,0)*1+IF(DG393&gt;19,DG393-19,0)*1+IF(DG393&gt;20,DG393-20,0)*1</f>
        <v>87.769230769230802</v>
      </c>
      <c r="DK393" s="236">
        <f>IF(DH393&lt;=0,1,0)+IF(DH393&gt;0,DH393+1,0)*1+IF(DH393&gt;12,DH393-12,0)*1+IF(DH393&gt;13,DH393-13,0)*1+IF(DH393&gt;14,DH393-14,0)*1+IF(DH393&gt;15,DH393-15,0)*1+IF(DH393&gt;16,DH393-16,0)*1+IF(DH393&gt;17,DH393-17,0)*1+IF(DH393&gt;18,DH393-18,0)*1+IF(DH393&gt;19,DH393-19,0)*1+IF(DH393&gt;20,DH393-20,0)*1</f>
        <v>1</v>
      </c>
      <c r="DL393" s="42">
        <f>IF((DJ393-DK393)&gt;0,DJ393-DK393,0)</f>
        <v>86.769230769230802</v>
      </c>
      <c r="DM393" s="42">
        <f>IF((DK393-DJ393)&gt;0,DK393-DJ393,0)</f>
        <v>0</v>
      </c>
      <c r="DO393" s="323" t="s">
        <v>435</v>
      </c>
      <c r="DP393" s="43" t="s">
        <v>440</v>
      </c>
      <c r="DQ393" s="219" t="s">
        <v>133</v>
      </c>
      <c r="DR393" s="236"/>
      <c r="DS393" s="233">
        <f>Konvention_1slave-KLslave</f>
        <v>12</v>
      </c>
      <c r="DT393" s="233"/>
      <c r="DU393" s="233">
        <f>Konvention_1slave-CHslave_CH</f>
        <v>11</v>
      </c>
      <c r="DV393" s="233">
        <f>Konvention_1slave-FFslave</f>
        <v>12</v>
      </c>
      <c r="DW393" s="233"/>
      <c r="DX393" s="233"/>
      <c r="DY393" s="221"/>
      <c r="DZ393" s="219">
        <f>(DR393+DS393+DT393+DU393+DV393+DW393+DX393+DY393)/3</f>
        <v>11.666666666666666</v>
      </c>
      <c r="EA393" s="220">
        <f>2*DZ393</f>
        <v>23.333333333333332</v>
      </c>
      <c r="EB393" s="221">
        <f>3*DZ393</f>
        <v>35</v>
      </c>
      <c r="EC393" s="236">
        <f>DR393*POWER(KLslave,SIGN(DS393))*POWER(INslave,SIGN(DT393))*POWER(CHslave_CH,SIGN(DU393))*POWER(FFslave,SIGN(DV393))*POWER(GEslave,SIGN(DW393))*POWER(KOslave,SIGN(DX393))*POWER(KKslave,SIGN(DY393))+DS393*POWER(MUslave,SIGN(DR393))*POWER(INslave,SIGN(DT393))*POWER(CHslave_CH,SIGN(DU393))*POWER(FFslave,SIGN(DV393))*POWER(GEslave,SIGN(DW393))*POWER(KOslave,SIGN(DX393))*POWER(KKslave,SIGN(DY393))+DT393*POWER(MUslave,SIGN(DR393))*POWER(KLslave,SIGN(DS393))*POWER(CHslave_CH,SIGN(DU393))*POWER(FFslave,SIGN(DV393))*POWER(GEslave,SIGN(DW393))*POWER(KOslave,SIGN(DX393))*POWER(KKslave,SIGN(DY393))+DU393*POWER(MUslave,SIGN(DR393))*POWER(KLslave,SIGN(DS393))*POWER(INslave,SIGN(DT393))*POWER(FFslave,SIGN(DV393))*POWER(GEslave,SIGN(DW393))*POWER(KOslave,SIGN(DX393))*POWER(KKslave,SIGN(DY393))+DV393*POWER(MUslave,SIGN(DR393))*POWER(KLslave,SIGN(DS393))*POWER(INslave,SIGN(DT393))*POWER(CHslave_CH,SIGN(DU393))*POWER(GEslave,SIGN(DW393))*POWER(KOslave,SIGN(DX393))*POWER(KKslave,SIGN(DY393))+DW393*POWER(MUslave,SIGN(DR393))*POWER(KLslave,SIGN(DS393))*POWER(INslave,SIGN(DT393))*POWER(CHslave_CH,SIGN(DU393))*POWER(FFslave,SIGN(DV393))*POWER(KOslave,SIGN(DX393))*POWER(KKslave,SIGN(DY393))+DX393*POWER(MUslave,SIGN(DR393))*POWER(KLslave,SIGN(DS393))*POWER(INslave,SIGN(DT393))*POWER(CHslave_CH,SIGN(DU393))*POWER(FFslave,SIGN(DV393))*POWER(GEslave,SIGN(DW393))*POWER(KKslave,SIGN(DY393))+DY393*POWER(MUslave,SIGN(DR393))*POWER(KLslave,SIGN(DS393))*POWER(INslave,SIGN(DT393))*POWER(CHslave_CH,SIGN(DU393))*POWER(FFslave,SIGN(DV393))*POWER(GEslave,SIGN(DW393))*POWER(KOslave,SIGN(DX393))</f>
        <v>2432</v>
      </c>
      <c r="ED393" s="233">
        <f>DS393*DU393*FFslave+DS393*CHslave_CH*DV393+KLslave*DU393*DV393</f>
        <v>3408</v>
      </c>
      <c r="EE393" s="221">
        <f>IFERROR(DR393^SIGN(DR393),1)*IFERROR(DS393^SIGN(DS393),1)*IFERROR(DT393^SIGN(DT393),1)*IFERROR(DU393^SIGN(DU393),1)*IFERROR(DV393^SIGN(DV393),1)*IFERROR(DW393^SIGN(DW393),1)*IFERROR(DX393^SIGN(DX393),1)*IFERROR(DY393^SIGN(DY393),1)</f>
        <v>1584</v>
      </c>
      <c r="EF393" s="221">
        <f>SUM(EC393:EE393)</f>
        <v>7424</v>
      </c>
      <c r="EG393" s="219">
        <f>DZ393*EC393/EF393</f>
        <v>3.8218390804597702</v>
      </c>
      <c r="EH393" s="220">
        <f>EA393*ED393/EF393</f>
        <v>10.711206896551724</v>
      </c>
      <c r="EI393" s="241">
        <f>EB393*EE393/EF393</f>
        <v>7.4676724137931032</v>
      </c>
      <c r="EJ393" s="42">
        <f>SUM(EG393:EI393)</f>
        <v>22.000718390804597</v>
      </c>
      <c r="EK393" s="252">
        <f t="shared" si="3986"/>
        <v>0</v>
      </c>
      <c r="EL393" s="324">
        <f>EJ393-EK393</f>
        <v>22.000718390804597</v>
      </c>
      <c r="EM393" s="42">
        <f>IF(EJ393&lt;=0,1,0)+IF(EJ393&gt;0,EJ393+1,0)*1+IF(EJ393&gt;12,EJ393-12,0)*1+IF(EJ393&gt;13,EJ393-13,0)*1+IF(EJ393&gt;14,EJ393-14,0)*1+IF(EJ393&gt;15,EJ393-15,0)*1+IF(EJ393&gt;16,EJ393-16,0)*1+IF(EJ393&gt;17,EJ393-17,0)*1+IF(EJ393&gt;18,EJ393-18,0)*1+IF(EJ393&gt;19,EJ393-19,0)*1+IF(EJ393&gt;20,EJ393-20,0)*1</f>
        <v>77.007183908045945</v>
      </c>
      <c r="EN393" s="236">
        <f>IF(EK393&lt;=0,1,0)+IF(EK393&gt;0,EK393+1,0)*1+IF(EK393&gt;12,EK393-12,0)*1+IF(EK393&gt;13,EK393-13,0)*1+IF(EK393&gt;14,EK393-14,0)*1+IF(EK393&gt;15,EK393-15,0)*1+IF(EK393&gt;16,EK393-16,0)*1+IF(EK393&gt;17,EK393-17,0)*1+IF(EK393&gt;18,EK393-18,0)*1+IF(EK393&gt;19,EK393-19,0)*1+IF(EK393&gt;20,EK393-20,0)*1</f>
        <v>1</v>
      </c>
      <c r="EO393" s="42">
        <f>IF((EM393-EN393)&gt;0,EM393-EN393,0)</f>
        <v>76.007183908045945</v>
      </c>
      <c r="EP393" s="42">
        <f>IF((EN393-EM393)&gt;0,EN393-EM393,0)</f>
        <v>0</v>
      </c>
      <c r="ER393" s="323" t="s">
        <v>435</v>
      </c>
      <c r="ES393" s="43" t="s">
        <v>440</v>
      </c>
      <c r="ET393" s="219" t="s">
        <v>133</v>
      </c>
      <c r="EU393" s="236"/>
      <c r="EV393" s="233">
        <f>Konvention_1slave-KLslave</f>
        <v>12</v>
      </c>
      <c r="EW393" s="233"/>
      <c r="EX393" s="233">
        <f>Konvention_1slave-CHslave</f>
        <v>12</v>
      </c>
      <c r="EY393" s="233">
        <f>Konvention_1slave-FFslave_FF</f>
        <v>11</v>
      </c>
      <c r="EZ393" s="233"/>
      <c r="FA393" s="233"/>
      <c r="FB393" s="221"/>
      <c r="FC393" s="219">
        <f>(EU393+EV393+EW393+EX393+EY393+EZ393+FA393+FB393)/3</f>
        <v>11.666666666666666</v>
      </c>
      <c r="FD393" s="220">
        <f>2*FC393</f>
        <v>23.333333333333332</v>
      </c>
      <c r="FE393" s="221">
        <f>3*FC393</f>
        <v>35</v>
      </c>
      <c r="FF393" s="236">
        <f>EU393*POWER(KLslave,SIGN(EV393))*POWER(INslave,SIGN(EW393))*POWER(CHslave,SIGN(EX393))*POWER(FFslave_FF,SIGN(EY393))*POWER(GEslave,SIGN(EZ393))*POWER(KOslave,SIGN(FA393))*POWER(KKslave,SIGN(FB393))+EV393*POWER(MUslave,SIGN(EU393))*POWER(INslave,SIGN(EW393))*POWER(CHslave,SIGN(EX393))*POWER(FFslave_FF,SIGN(EY393))*POWER(GEslave,SIGN(EZ393))*POWER(KOslave,SIGN(FA393))*POWER(KKslave,SIGN(FB393))+EW393*POWER(MUslave,SIGN(EU393))*POWER(KLslave,SIGN(EV393))*POWER(CHslave,SIGN(EX393))*POWER(FFslave_FF,SIGN(EY393))*POWER(GEslave,SIGN(EZ393))*POWER(KOslave,SIGN(FA393))*POWER(KKslave,SIGN(FB393))+EX393*POWER(MUslave,SIGN(EU393))*POWER(KLslave,SIGN(EV393))*POWER(INslave,SIGN(EW393))*POWER(FFslave_FF,SIGN(EY393))*POWER(GEslave,SIGN(EZ393))*POWER(KOslave,SIGN(FA393))*POWER(KKslave,SIGN(FB393))+EY393*POWER(MUslave,SIGN(EU393))*POWER(KLslave,SIGN(EV393))*POWER(INslave,SIGN(EW393))*POWER(CHslave,SIGN(EX393))*POWER(GEslave,SIGN(EZ393))*POWER(KOslave,SIGN(FA393))*POWER(KKslave,SIGN(FB393))+EZ393*POWER(MUslave,SIGN(EU393))*POWER(KLslave,SIGN(EV393))*POWER(INslave,SIGN(EW393))*POWER(CHslave,SIGN(EX393))*POWER(FFslave_FF,SIGN(EY393))*POWER(KOslave,SIGN(FA393))*POWER(KKslave,SIGN(FB393))+FA393*POWER(MUslave,SIGN(EU393))*POWER(KLslave,SIGN(EV393))*POWER(INslave,SIGN(EW393))*POWER(CHslave,SIGN(EX393))*POWER(FFslave_FF,SIGN(EY393))*POWER(GEslave,SIGN(EZ393))*POWER(KKslave,SIGN(FB393))+FB393*POWER(MUslave,SIGN(EU393))*POWER(KLslave,SIGN(EV393))*POWER(INslave,SIGN(EW393))*POWER(CHslave,SIGN(EX393))*POWER(FFslave_FF,SIGN(EY393))*POWER(GEslave,SIGN(EZ393))*POWER(KOslave,SIGN(FA393))</f>
        <v>2432</v>
      </c>
      <c r="FG393" s="233">
        <f>EV393*EX393*FFslave_FF+EV393*CHslave*EY393+KLslave*EX393*EY393</f>
        <v>3408</v>
      </c>
      <c r="FH393" s="221">
        <f>IFERROR(EU393^SIGN(EU393),1)*IFERROR(EV393^SIGN(EV393),1)*IFERROR(EW393^SIGN(EW393),1)*IFERROR(EX393^SIGN(EX393),1)*IFERROR(EY393^SIGN(EY393),1)*IFERROR(EZ393^SIGN(EZ393),1)*IFERROR(FA393^SIGN(FA393),1)*IFERROR(FB393^SIGN(FB393),1)</f>
        <v>1584</v>
      </c>
      <c r="FI393" s="221">
        <f>SUM(FF393:FH393)</f>
        <v>7424</v>
      </c>
      <c r="FJ393" s="219">
        <f>FC393*FF393/FI393</f>
        <v>3.8218390804597702</v>
      </c>
      <c r="FK393" s="220">
        <f>FD393*FG393/FI393</f>
        <v>10.711206896551724</v>
      </c>
      <c r="FL393" s="241">
        <f>FE393*FH393/FI393</f>
        <v>7.4676724137931032</v>
      </c>
      <c r="FM393" s="42">
        <f>SUM(FJ393:FL393)</f>
        <v>22.000718390804597</v>
      </c>
      <c r="FN393" s="252">
        <f t="shared" si="4002"/>
        <v>0</v>
      </c>
      <c r="FO393" s="324">
        <f>FM393-FN393</f>
        <v>22.000718390804597</v>
      </c>
      <c r="FP393" s="42">
        <f>IF(FM393&lt;=0,1,0)+IF(FM393&gt;0,FM393+1,0)*1+IF(FM393&gt;12,FM393-12,0)*1+IF(FM393&gt;13,FM393-13,0)*1+IF(FM393&gt;14,FM393-14,0)*1+IF(FM393&gt;15,FM393-15,0)*1+IF(FM393&gt;16,FM393-16,0)*1+IF(FM393&gt;17,FM393-17,0)*1+IF(FM393&gt;18,FM393-18,0)*1+IF(FM393&gt;19,FM393-19,0)*1+IF(FM393&gt;20,FM393-20,0)*1</f>
        <v>77.007183908045945</v>
      </c>
      <c r="FQ393" s="236">
        <f>IF(FN393&lt;=0,1,0)+IF(FN393&gt;0,FN393+1,0)*1+IF(FN393&gt;12,FN393-12,0)*1+IF(FN393&gt;13,FN393-13,0)*1+IF(FN393&gt;14,FN393-14,0)*1+IF(FN393&gt;15,FN393-15,0)*1+IF(FN393&gt;16,FN393-16,0)*1+IF(FN393&gt;17,FN393-17,0)*1+IF(FN393&gt;18,FN393-18,0)*1+IF(FN393&gt;19,FN393-19,0)*1+IF(FN393&gt;20,FN393-20,0)*1</f>
        <v>1</v>
      </c>
      <c r="FR393" s="42">
        <f>IF((FP393-FQ393)&gt;0,FP393-FQ393,0)</f>
        <v>76.007183908045945</v>
      </c>
      <c r="FS393" s="42">
        <f>IF((FQ393-FP393)&gt;0,FQ393-FP393,0)</f>
        <v>0</v>
      </c>
      <c r="FU393" s="323" t="s">
        <v>435</v>
      </c>
      <c r="FV393" s="43" t="s">
        <v>440</v>
      </c>
      <c r="FW393" s="219" t="s">
        <v>133</v>
      </c>
      <c r="FX393" s="236"/>
      <c r="FY393" s="233">
        <f>Konvention_1slave-KLslave</f>
        <v>12</v>
      </c>
      <c r="FZ393" s="233"/>
      <c r="GA393" s="233">
        <f>Konvention_1slave-CHslave</f>
        <v>12</v>
      </c>
      <c r="GB393" s="233">
        <f>Konvention_1slave-FFslave</f>
        <v>12</v>
      </c>
      <c r="GC393" s="233"/>
      <c r="GD393" s="233"/>
      <c r="GE393" s="221"/>
      <c r="GF393" s="219">
        <f>(FX393+FY393+FZ393+GA393+GB393+GC393+GD393+GE393)/3</f>
        <v>12</v>
      </c>
      <c r="GG393" s="220">
        <f>2*GF393</f>
        <v>24</v>
      </c>
      <c r="GH393" s="221">
        <f>3*GF393</f>
        <v>36</v>
      </c>
      <c r="GI393" s="236">
        <f>FX393*POWER(KLslave,SIGN(FY393))*POWER(INslave,SIGN(FZ393))*POWER(CHslave,SIGN(GA393))*POWER(FFslave,SIGN(GB393))*POWER(GEslave_GE,SIGN(GC393))*POWER(KOslave,SIGN(GD393))*POWER(KKslave,SIGN(GE393))+FY393*POWER(MUslave,SIGN(FX393))*POWER(INslave,SIGN(FZ393))*POWER(CHslave,SIGN(GA393))*POWER(FFslave,SIGN(GB393))*POWER(GEslave_GE,SIGN(GC393))*POWER(KOslave,SIGN(GD393))*POWER(KKslave,SIGN(GE393))+FZ393*POWER(MUslave,SIGN(FX393))*POWER(KLslave,SIGN(FY393))*POWER(CHslave,SIGN(GA393))*POWER(FFslave,SIGN(GB393))*POWER(GEslave_GE,SIGN(GC393))*POWER(KOslave,SIGN(GD393))*POWER(KKslave,SIGN(GE393))+GA393*POWER(MUslave,SIGN(FX393))*POWER(KLslave,SIGN(FY393))*POWER(INslave,SIGN(FZ393))*POWER(FFslave,SIGN(GB393))*POWER(GEslave_GE,SIGN(GC393))*POWER(KOslave,SIGN(GD393))*POWER(KKslave,SIGN(GE393))+GB393*POWER(MUslave,SIGN(FX393))*POWER(KLslave,SIGN(FY393))*POWER(INslave,SIGN(FZ393))*POWER(CHslave,SIGN(GA393))*POWER(GEslave_GE,SIGN(GC393))*POWER(KOslave,SIGN(GD393))*POWER(KKslave,SIGN(GE393))+GC393*POWER(MUslave,SIGN(FX393))*POWER(KLslave,SIGN(FY393))*POWER(INslave,SIGN(FZ393))*POWER(CHslave,SIGN(GA393))*POWER(FFslave,SIGN(GB393))*POWER(KOslave,SIGN(GD393))*POWER(KKslave,SIGN(GE393))+GD393*POWER(MUslave,SIGN(FX393))*POWER(KLslave,SIGN(FY393))*POWER(INslave,SIGN(FZ393))*POWER(CHslave,SIGN(GA393))*POWER(FFslave,SIGN(GB393))*POWER(GEslave_GE,SIGN(GC393))*POWER(KKslave,SIGN(GE393))+GE393*POWER(MUslave,SIGN(FX393))*POWER(KLslave,SIGN(FY393))*POWER(INslave,SIGN(FZ393))*POWER(CHslave,SIGN(GA393))*POWER(FFslave,SIGN(GB393))*POWER(GEslave_GE,SIGN(GC393))*POWER(KOslave,SIGN(GD393))</f>
        <v>2304</v>
      </c>
      <c r="GJ393" s="233">
        <f>FY393*GA393*FFslave+FY393*CHslave*GB393+KLslave*GA393*GB393</f>
        <v>3456</v>
      </c>
      <c r="GK393" s="221">
        <f>IFERROR(FX393^SIGN(FX393),1)*IFERROR(FY393^SIGN(FY393),1)*IFERROR(FZ393^SIGN(FZ393),1)*IFERROR(GA393^SIGN(GA393),1)*IFERROR(GB393^SIGN(GB393),1)*IFERROR(GC393^SIGN(GC393),1)*IFERROR(GD393^SIGN(GD393),1)*IFERROR(GE393^SIGN(GE393),1)</f>
        <v>1728</v>
      </c>
      <c r="GL393" s="221">
        <f>SUM(GI393:GK393)</f>
        <v>7488</v>
      </c>
      <c r="GM393" s="219">
        <f>GF393*GI393/GL393</f>
        <v>3.6923076923076925</v>
      </c>
      <c r="GN393" s="220">
        <f>GG393*GJ393/GL393</f>
        <v>11.076923076923077</v>
      </c>
      <c r="GO393" s="241">
        <f>GH393*GK393/GL393</f>
        <v>8.3076923076923084</v>
      </c>
      <c r="GP393" s="42">
        <f>SUM(GM393:GO393)</f>
        <v>23.07692307692308</v>
      </c>
      <c r="GQ393" s="252">
        <f t="shared" si="4018"/>
        <v>0</v>
      </c>
      <c r="GR393" s="324">
        <f>GP393-GQ393</f>
        <v>23.07692307692308</v>
      </c>
      <c r="GS393" s="42">
        <f>IF(GP393&lt;=0,1,0)+IF(GP393&gt;0,GP393+1,0)*1+IF(GP393&gt;12,GP393-12,0)*1+IF(GP393&gt;13,GP393-13,0)*1+IF(GP393&gt;14,GP393-14,0)*1+IF(GP393&gt;15,GP393-15,0)*1+IF(GP393&gt;16,GP393-16,0)*1+IF(GP393&gt;17,GP393-17,0)*1+IF(GP393&gt;18,GP393-18,0)*1+IF(GP393&gt;19,GP393-19,0)*1+IF(GP393&gt;20,GP393-20,0)*1</f>
        <v>87.769230769230802</v>
      </c>
      <c r="GT393" s="236">
        <f>IF(GQ393&lt;=0,1,0)+IF(GQ393&gt;0,GQ393+1,0)*1+IF(GQ393&gt;12,GQ393-12,0)*1+IF(GQ393&gt;13,GQ393-13,0)*1+IF(GQ393&gt;14,GQ393-14,0)*1+IF(GQ393&gt;15,GQ393-15,0)*1+IF(GQ393&gt;16,GQ393-16,0)*1+IF(GQ393&gt;17,GQ393-17,0)*1+IF(GQ393&gt;18,GQ393-18,0)*1+IF(GQ393&gt;19,GQ393-19,0)*1+IF(GQ393&gt;20,GQ393-20,0)*1</f>
        <v>1</v>
      </c>
      <c r="GU393" s="42">
        <f>IF((GS393-GT393)&gt;0,GS393-GT393,0)</f>
        <v>86.769230769230802</v>
      </c>
      <c r="GV393" s="42">
        <f>IF((GT393-GS393)&gt;0,GT393-GS393,0)</f>
        <v>0</v>
      </c>
      <c r="GX393" s="323" t="s">
        <v>435</v>
      </c>
      <c r="GY393" s="43" t="s">
        <v>440</v>
      </c>
      <c r="GZ393" s="219" t="s">
        <v>133</v>
      </c>
      <c r="HA393" s="236"/>
      <c r="HB393" s="233">
        <f>Konvention_1slave-KLslave</f>
        <v>12</v>
      </c>
      <c r="HC393" s="233"/>
      <c r="HD393" s="233">
        <f>Konvention_1slave-CHslave</f>
        <v>12</v>
      </c>
      <c r="HE393" s="233">
        <f>Konvention_1slave-FFslave</f>
        <v>12</v>
      </c>
      <c r="HF393" s="233"/>
      <c r="HG393" s="233"/>
      <c r="HH393" s="221"/>
      <c r="HI393" s="219">
        <f>(HA393+HB393+HC393+HD393+HE393+HF393+HG393+HH393)/3</f>
        <v>12</v>
      </c>
      <c r="HJ393" s="220">
        <f>2*HI393</f>
        <v>24</v>
      </c>
      <c r="HK393" s="221">
        <f>3*HI393</f>
        <v>36</v>
      </c>
      <c r="HL393" s="236">
        <f>HA393*POWER(KLslave,SIGN(HB393))*POWER(INslave,SIGN(HC393))*POWER(CHslave,SIGN(HD393))*POWER(FFslave,SIGN(HE393))*POWER(GEslave,SIGN(HF393))*POWER(KOslave_KO,SIGN(HG393))*POWER(KKslave,SIGN(HH393))+HB393*POWER(MUslave,SIGN(HA393))*POWER(INslave,SIGN(HC393))*POWER(CHslave,SIGN(HD393))*POWER(FFslave,SIGN(HE393))*POWER(GEslave,SIGN(HF393))*POWER(KOslave_KO,SIGN(HG393))*POWER(KKslave,SIGN(HH393))+HC393*POWER(MUslave,SIGN(HA393))*POWER(KLslave,SIGN(HB393))*POWER(CHslave,SIGN(HD393))*POWER(FFslave,SIGN(HE393))*POWER(GEslave,SIGN(HF393))*POWER(KOslave_KO,SIGN(HG393))*POWER(KKslave,SIGN(HH393))+HD393*POWER(MUslave,SIGN(HA393))*POWER(KLslave,SIGN(HB393))*POWER(INslave,SIGN(HC393))*POWER(FFslave,SIGN(HE393))*POWER(GEslave,SIGN(HF393))*POWER(KOslave_KO,SIGN(HG393))*POWER(KKslave,SIGN(HH393))+HE393*POWER(MUslave,SIGN(HA393))*POWER(KLslave,SIGN(HB393))*POWER(INslave,SIGN(HC393))*POWER(CHslave,SIGN(HD393))*POWER(GEslave,SIGN(HF393))*POWER(KOslave_KO,SIGN(HG393))*POWER(KKslave,SIGN(HH393))+HF393*POWER(MUslave,SIGN(HA393))*POWER(KLslave,SIGN(HB393))*POWER(INslave,SIGN(HC393))*POWER(CHslave,SIGN(HD393))*POWER(FFslave,SIGN(HE393))*POWER(KOslave_KO,SIGN(HG393))*POWER(KKslave,SIGN(HH393))+HG393*POWER(MUslave,SIGN(HA393))*POWER(KLslave,SIGN(HB393))*POWER(INslave,SIGN(HC393))*POWER(CHslave,SIGN(HD393))*POWER(FFslave,SIGN(HE393))*POWER(GEslave,SIGN(HF393))*POWER(KKslave,SIGN(HH393))+HH393*POWER(MUslave,SIGN(HA393))*POWER(KLslave,SIGN(HB393))*POWER(INslave,SIGN(HC393))*POWER(CHslave,SIGN(HD393))*POWER(FFslave,SIGN(HE393))*POWER(GEslave,SIGN(HF393))*POWER(KOslave_KO,SIGN(HG393))</f>
        <v>2304</v>
      </c>
      <c r="HM393" s="233">
        <f>HB393*HD393*FFslave+HB393*CHslave*HE393+KLslave*HD393*HE393</f>
        <v>3456</v>
      </c>
      <c r="HN393" s="221">
        <f>IFERROR(HA393^SIGN(HA393),1)*IFERROR(HB393^SIGN(HB393),1)*IFERROR(HC393^SIGN(HC393),1)*IFERROR(HD393^SIGN(HD393),1)*IFERROR(HE393^SIGN(HE393),1)*IFERROR(HF393^SIGN(HF393),1)*IFERROR(HG393^SIGN(HG393),1)*IFERROR(HH393^SIGN(HH393),1)</f>
        <v>1728</v>
      </c>
      <c r="HO393" s="221">
        <f>SUM(HL393:HN393)</f>
        <v>7488</v>
      </c>
      <c r="HP393" s="219">
        <f>HI393*HL393/HO393</f>
        <v>3.6923076923076925</v>
      </c>
      <c r="HQ393" s="220">
        <f>HJ393*HM393/HO393</f>
        <v>11.076923076923077</v>
      </c>
      <c r="HR393" s="241">
        <f>HK393*HN393/HO393</f>
        <v>8.3076923076923084</v>
      </c>
      <c r="HS393" s="42">
        <f>SUM(HP393:HR393)</f>
        <v>23.07692307692308</v>
      </c>
      <c r="HT393" s="252">
        <f t="shared" si="4034"/>
        <v>0</v>
      </c>
      <c r="HU393" s="324">
        <f>HS393-HT393</f>
        <v>23.07692307692308</v>
      </c>
      <c r="HV393" s="42">
        <f>IF(HS393&lt;=0,1,0)+IF(HS393&gt;0,HS393+1,0)*1+IF(HS393&gt;12,HS393-12,0)*1+IF(HS393&gt;13,HS393-13,0)*1+IF(HS393&gt;14,HS393-14,0)*1+IF(HS393&gt;15,HS393-15,0)*1+IF(HS393&gt;16,HS393-16,0)*1+IF(HS393&gt;17,HS393-17,0)*1+IF(HS393&gt;18,HS393-18,0)*1+IF(HS393&gt;19,HS393-19,0)*1+IF(HS393&gt;20,HS393-20,0)*1</f>
        <v>87.769230769230802</v>
      </c>
      <c r="HW393" s="236">
        <f>IF(HT393&lt;=0,1,0)+IF(HT393&gt;0,HT393+1,0)*1+IF(HT393&gt;12,HT393-12,0)*1+IF(HT393&gt;13,HT393-13,0)*1+IF(HT393&gt;14,HT393-14,0)*1+IF(HT393&gt;15,HT393-15,0)*1+IF(HT393&gt;16,HT393-16,0)*1+IF(HT393&gt;17,HT393-17,0)*1+IF(HT393&gt;18,HT393-18,0)*1+IF(HT393&gt;19,HT393-19,0)*1+IF(HT393&gt;20,HT393-20,0)*1</f>
        <v>1</v>
      </c>
      <c r="HX393" s="42">
        <f>IF((HV393-HW393)&gt;0,HV393-HW393,0)</f>
        <v>86.769230769230802</v>
      </c>
      <c r="HY393" s="42">
        <f>IF((HW393-HV393)&gt;0,HW393-HV393,0)</f>
        <v>0</v>
      </c>
      <c r="IA393" s="323" t="s">
        <v>435</v>
      </c>
      <c r="IB393" s="43" t="s">
        <v>440</v>
      </c>
      <c r="IC393" s="219" t="s">
        <v>133</v>
      </c>
      <c r="ID393" s="236"/>
      <c r="IE393" s="233">
        <f>Konvention_1slave-KLslave</f>
        <v>12</v>
      </c>
      <c r="IF393" s="233"/>
      <c r="IG393" s="233">
        <f>Konvention_1slave-CHslave</f>
        <v>12</v>
      </c>
      <c r="IH393" s="233">
        <f>Konvention_1slave-FFslave</f>
        <v>12</v>
      </c>
      <c r="II393" s="233"/>
      <c r="IJ393" s="233"/>
      <c r="IK393" s="221"/>
      <c r="IL393" s="219">
        <f>(ID393+IE393+IF393+IG393+IH393+II393+IJ393+IK393)/3</f>
        <v>12</v>
      </c>
      <c r="IM393" s="220">
        <f>2*IL393</f>
        <v>24</v>
      </c>
      <c r="IN393" s="221">
        <f>3*IL393</f>
        <v>36</v>
      </c>
      <c r="IO393" s="236">
        <f>ID393*POWER(KLslave,SIGN(IE393))*POWER(INslave,SIGN(IF393))*POWER(CHslave,SIGN(IG393))*POWER(FFslave,SIGN(IH393))*POWER(GEslave,SIGN(II393))*POWER(KOslave,SIGN(IJ393))*POWER(KKslave_KK,SIGN(IK393))+IE393*POWER(MUslave,SIGN(ID393))*POWER(INslave,SIGN(IF393))*POWER(CHslave,SIGN(IG393))*POWER(FFslave,SIGN(IH393))*POWER(GEslave,SIGN(II393))*POWER(KOslave,SIGN(IJ393))*POWER(KKslave_KK,SIGN(IK393))+IF393*POWER(MUslave,SIGN(ID393))*POWER(KLslave,SIGN(IE393))*POWER(CHslave,SIGN(IG393))*POWER(FFslave,SIGN(IH393))*POWER(GEslave,SIGN(II393))*POWER(KOslave,SIGN(IJ393))*POWER(KKslave_KK,SIGN(IK393))+IG393*POWER(MUslave,SIGN(ID393))*POWER(KLslave,SIGN(IE393))*POWER(INslave,SIGN(IF393))*POWER(FFslave,SIGN(IH393))*POWER(GEslave,SIGN(II393))*POWER(KOslave,SIGN(IJ393))*POWER(KKslave_KK,SIGN(IK393))+IH393*POWER(MUslave,SIGN(ID393))*POWER(KLslave,SIGN(IE393))*POWER(INslave,SIGN(IF393))*POWER(CHslave,SIGN(IG393))*POWER(GEslave,SIGN(II393))*POWER(KOslave,SIGN(IJ393))*POWER(KKslave_KK,SIGN(IK393))+II393*POWER(MUslave,SIGN(ID393))*POWER(KLslave,SIGN(IE393))*POWER(INslave,SIGN(IF393))*POWER(CHslave,SIGN(IG393))*POWER(FFslave,SIGN(IH393))*POWER(KOslave,SIGN(IJ393))*POWER(KKslave_KK,SIGN(IK393))+IJ393*POWER(MUslave,SIGN(ID393))*POWER(KLslave,SIGN(IE393))*POWER(INslave,SIGN(IF393))*POWER(CHslave,SIGN(IG393))*POWER(FFslave,SIGN(IH393))*POWER(GEslave,SIGN(II393))*POWER(KKslave_KK,SIGN(IK393))+IK393*POWER(MUslave,SIGN(ID393))*POWER(KLslave,SIGN(IE393))*POWER(INslave,SIGN(IF393))*POWER(CHslave,SIGN(IG393))*POWER(FFslave,SIGN(IH393))*POWER(GEslave,SIGN(II393))*POWER(KOslave,SIGN(IJ393))</f>
        <v>2304</v>
      </c>
      <c r="IP393" s="233">
        <f>IE393*IG393*FFslave+IE393*CHslave*IH393+KLslave*IG393*IH393</f>
        <v>3456</v>
      </c>
      <c r="IQ393" s="221">
        <f>IFERROR(ID393^SIGN(ID393),1)*IFERROR(IE393^SIGN(IE393),1)*IFERROR(IF393^SIGN(IF393),1)*IFERROR(IG393^SIGN(IG393),1)*IFERROR(IH393^SIGN(IH393),1)*IFERROR(II393^SIGN(II393),1)*IFERROR(IJ393^SIGN(IJ393),1)*IFERROR(IK393^SIGN(IK393),1)</f>
        <v>1728</v>
      </c>
      <c r="IR393" s="221">
        <f>SUM(IO393:IQ393)</f>
        <v>7488</v>
      </c>
      <c r="IS393" s="219">
        <f>IL393*IO393/IR393</f>
        <v>3.6923076923076925</v>
      </c>
      <c r="IT393" s="220">
        <f>IM393*IP393/IR393</f>
        <v>11.076923076923077</v>
      </c>
      <c r="IU393" s="241">
        <f>IN393*IQ393/IR393</f>
        <v>8.3076923076923084</v>
      </c>
      <c r="IV393" s="42">
        <f>SUM(IS393:IU393)</f>
        <v>23.07692307692308</v>
      </c>
      <c r="IW393" s="252">
        <f t="shared" si="4050"/>
        <v>0</v>
      </c>
      <c r="IX393" s="324">
        <f>IV393-IW393</f>
        <v>23.07692307692308</v>
      </c>
      <c r="IY393" s="42">
        <f>IF(IV393&lt;=0,1,0)+IF(IV393&gt;0,IV393+1,0)*1+IF(IV393&gt;12,IV393-12,0)*1+IF(IV393&gt;13,IV393-13,0)*1+IF(IV393&gt;14,IV393-14,0)*1+IF(IV393&gt;15,IV393-15,0)*1+IF(IV393&gt;16,IV393-16,0)*1+IF(IV393&gt;17,IV393-17,0)*1+IF(IV393&gt;18,IV393-18,0)*1+IF(IV393&gt;19,IV393-19,0)*1+IF(IV393&gt;20,IV393-20,0)*1</f>
        <v>87.769230769230802</v>
      </c>
      <c r="IZ393" s="236">
        <f>IF(IW393&lt;=0,1,0)+IF(IW393&gt;0,IW393+1,0)*1+IF(IW393&gt;12,IW393-12,0)*1+IF(IW393&gt;13,IW393-13,0)*1+IF(IW393&gt;14,IW393-14,0)*1+IF(IW393&gt;15,IW393-15,0)*1+IF(IW393&gt;16,IW393-16,0)*1+IF(IW393&gt;17,IW393-17,0)*1+IF(IW393&gt;18,IW393-18,0)*1+IF(IW393&gt;19,IW393-19,0)*1+IF(IW393&gt;20,IW393-20,0)*1</f>
        <v>1</v>
      </c>
      <c r="JA393" s="42">
        <f>IF((IY393-IZ393)&gt;0,IY393-IZ393,0)</f>
        <v>86.769230769230802</v>
      </c>
      <c r="JB393" s="42">
        <f>IF((IZ393-IY393)&gt;0,IZ393-IY393,0)</f>
        <v>0</v>
      </c>
      <c r="JE393" s="148"/>
    </row>
    <row r="394" spans="1:265" hidden="1" outlineLevel="2">
      <c r="B394" s="148">
        <v>2</v>
      </c>
      <c r="C394" s="325" t="e">
        <f>VLOOKUP(AF394,Attribute!C:T,1,FALSE)</f>
        <v>#N/A</v>
      </c>
      <c r="D394" s="86" t="s">
        <v>88</v>
      </c>
      <c r="E394" s="89" t="s">
        <v>132</v>
      </c>
      <c r="F394" s="114"/>
      <c r="G394" s="113"/>
      <c r="H394" s="113">
        <f>Konvention_1master-INmaster</f>
        <v>12</v>
      </c>
      <c r="I394" s="113">
        <f>Konvention_1master-CHmaster</f>
        <v>12</v>
      </c>
      <c r="J394" s="113"/>
      <c r="K394" s="113">
        <f>Konvention_1master-GEmaster</f>
        <v>12</v>
      </c>
      <c r="L394" s="113"/>
      <c r="M394" s="119"/>
      <c r="N394" s="222">
        <f>(F394+G394+H394+I394+J394+K394+L394+M394)/3</f>
        <v>12</v>
      </c>
      <c r="O394" s="223">
        <f>2*N394</f>
        <v>24</v>
      </c>
      <c r="P394" s="224">
        <f>3*N394</f>
        <v>36</v>
      </c>
      <c r="Q394" s="237">
        <f>F394*POWER(KLmaster,SIGN(G394))*POWER(INmaster,SIGN(H394))*POWER(CHmaster,SIGN(I394))*POWER(FFmaster,SIGN(J394))*POWER(GEmaster,SIGN(K394))*POWER(KOmaster,SIGN(L394))*POWER(KKmaster,SIGN(M394))+G394*POWER(MUmaster,SIGN(F394))*POWER(INmaster,SIGN(H394))*POWER(CHmaster,SIGN(I394))*POWER(FFmaster,SIGN(J394))*POWER(GEmaster,SIGN(K394))*POWER(KOmaster,SIGN(L394))*POWER(KKmaster,SIGN(M394))+H394*POWER(MUmaster,SIGN(F394))*POWER(KLmaster,SIGN(G394))*POWER(CHmaster,SIGN(I394))*POWER(FFmaster,SIGN(J394))*POWER(GEmaster,SIGN(K394))*POWER(KOmaster,SIGN(L394))*POWER(KKmaster,SIGN(M394))+I394*POWER(MUmaster,SIGN(F394))*POWER(KLmaster,SIGN(G394))*POWER(INmaster,SIGN(H394))*POWER(FFmaster,SIGN(J394))*POWER(GEmaster,SIGN(K394))*POWER(KOmaster,SIGN(L394))*POWER(KKmaster,SIGN(M394))+J394*POWER(MUmaster,SIGN(F394))*POWER(KLmaster,SIGN(G394))*POWER(INmaster,SIGN(H394))*POWER(CHmaster,SIGN(I394))*POWER(GEmaster,SIGN(K394))*POWER(KOmaster,SIGN(L394))*POWER(KKmaster,SIGN(M394))+K394*POWER(MUmaster,SIGN(F394))*POWER(KLmaster,SIGN(G394))*POWER(INmaster,SIGN(H394))*POWER(CHmaster,SIGN(I394))*POWER(FFmaster,SIGN(J394))*POWER(KOmaster,SIGN(L394))*POWER(KKmaster,SIGN(M394))+L394*POWER(MUmaster,SIGN(F394))*POWER(KLmaster,SIGN(G394))*POWER(INmaster,SIGN(H394))*POWER(CHmaster,SIGN(I394))*POWER(FFmaster,SIGN(J394))*POWER(GEmaster,SIGN(K394))*POWER(KKmaster,SIGN(M394))+M394*POWER(MUmaster,SIGN(F394))*POWER(KLmaster,SIGN(G394))*POWER(INmaster,SIGN(H394))*POWER(CHmaster,SIGN(I394))*POWER(FFmaster,SIGN(J394))*POWER(GEmaster,SIGN(K394))*POWER(KOmaster,SIGN(L394))</f>
        <v>2304</v>
      </c>
      <c r="R394" s="113">
        <f>H394*I394*GEmaster+H394*CHmaster*K394+INmaster*I394*K394</f>
        <v>3456</v>
      </c>
      <c r="S394" s="224">
        <f>IFERROR(F394^SIGN(F394),1)*IFERROR(G394^SIGN(G394),1)*IFERROR(H394^SIGN(H394),1)*IFERROR(I394^SIGN(I394),1)*IFERROR(J394^SIGN(J394),1)*IFERROR(K394^SIGN(K394),1)*IFERROR(L394^SIGN(L394),1)*IFERROR(M394^SIGN(M394),1)</f>
        <v>1728</v>
      </c>
      <c r="T394" s="224">
        <f>SUM(Q394:S394)</f>
        <v>7488</v>
      </c>
      <c r="U394" s="222">
        <f>N394*Q394/T394</f>
        <v>3.6923076923076925</v>
      </c>
      <c r="V394" s="223">
        <f>O394*R394/T394</f>
        <v>11.076923076923077</v>
      </c>
      <c r="W394" s="243">
        <f>P394*S394/T394</f>
        <v>8.3076923076923084</v>
      </c>
      <c r="X394" s="218">
        <f>SUM(U394:W394)</f>
        <v>23.07692307692308</v>
      </c>
      <c r="Y394" s="252">
        <v>0</v>
      </c>
      <c r="Z394" s="44">
        <f>X394-Y394</f>
        <v>23.07692307692308</v>
      </c>
      <c r="AA394" s="125">
        <f>IF(X394&lt;=0,2,0)+IF(X394&gt;0,X394+1,0)*2+IF(X394&gt;12,X394-12,0)*2+IF(X394&gt;13,X394-13,0)*2+IF(X394&gt;14,X394-14,0)*2+IF(X394&gt;15,X394-15,0)*2+IF(X394&gt;16,X394-16,0)*2+IF(X394&gt;17,X394-17,0)*2+IF(X394&gt;18,X394-18,0)*2+IF(X394&gt;19,X394-19,0)*2+IF(X394&gt;20,X394-20,0)*2</f>
        <v>175.5384615384616</v>
      </c>
      <c r="AB394" s="114">
        <f>IF(Y394&lt;=0,2,0)+IF(Y394&gt;0,Y394+1,0)*2+IF(Y394&gt;12,Y394-12,0)*2+IF(Y394&gt;13,Y394-13,0)*2+IF(Y394&gt;14,Y394-14,0)*2+IF(Y394&gt;15,Y394-15,0)*2+IF(Y394&gt;16,Y394-16,0)*2+IF(Y394&gt;17,Y394-17,0)*2+IF(Y394&gt;18,Y394-18,0)*2+IF(Y394&gt;19,Y394-19,0)*2+IF(Y394&gt;20,Y394-20,0)*2</f>
        <v>2</v>
      </c>
      <c r="AC394" s="125">
        <f>IF((AA394-AB394)&gt;0,AA394-AB394,0)</f>
        <v>173.5384615384616</v>
      </c>
      <c r="AD394" s="125">
        <f>IF((AB394-AA394)&gt;0,AB394-AA394,0)</f>
        <v>0</v>
      </c>
      <c r="AF394" s="177" t="s">
        <v>432</v>
      </c>
      <c r="AG394" s="86" t="s">
        <v>88</v>
      </c>
      <c r="AH394" s="89" t="s">
        <v>132</v>
      </c>
      <c r="AI394" s="114"/>
      <c r="AJ394" s="113"/>
      <c r="AK394" s="113">
        <f>Konvention_1slave-INslave</f>
        <v>12</v>
      </c>
      <c r="AL394" s="113">
        <f>Konvention_1slave-CHslave</f>
        <v>12</v>
      </c>
      <c r="AM394" s="113"/>
      <c r="AN394" s="113">
        <f>Konvention_1slave-GEslave</f>
        <v>12</v>
      </c>
      <c r="AO394" s="113"/>
      <c r="AP394" s="119"/>
      <c r="AQ394" s="89">
        <f>(AI394+AJ394+AK394+AL394+AM394+AN394+AO394+AP394)/3</f>
        <v>12</v>
      </c>
      <c r="AR394" s="47">
        <f>2*AQ394</f>
        <v>24</v>
      </c>
      <c r="AS394" s="119">
        <f>3*AQ394</f>
        <v>36</v>
      </c>
      <c r="AT394" s="114">
        <f>AI394*POWER(KLslave,SIGN(AJ394))*POWER(INslave,SIGN(AK394))*POWER(CHslave,SIGN(AL394))*POWER(FFslave,SIGN(AM394))*POWER(GEslave,SIGN(AN394))*POWER(KOslave,SIGN(AO394))*POWER(KKslave,SIGN(AP394))+AJ394*POWER(MUslave_MU,SIGN(AI394))*POWER(INslave,SIGN(AK394))*POWER(CHslave,SIGN(AL394))*POWER(FFslave,SIGN(AM394))*POWER(GEslave,SIGN(AN394))*POWER(KOslave,SIGN(AO394))*POWER(KKslave,SIGN(AP394))+AK394*POWER(MUslave_MU,SIGN(AI394))*POWER(KLslave,SIGN(AJ394))*POWER(CHslave,SIGN(AL394))*POWER(FFslave,SIGN(AM394))*POWER(GEslave,SIGN(AN394))*POWER(KOslave,SIGN(AO394))*POWER(KKslave,SIGN(AP394))+AL394*POWER(MUslave_MU,SIGN(AI394))*POWER(KLslave,SIGN(AJ394))*POWER(INslave,SIGN(AK394))*POWER(FFslave,SIGN(AM394))*POWER(GEslave,SIGN(AN394))*POWER(KOslave,SIGN(AO394))*POWER(KKslave,SIGN(AP394))+AM394*POWER(MUslave_MU,SIGN(AI394))*POWER(KLslave,SIGN(AJ394))*POWER(INslave,SIGN(AK394))*POWER(CHslave,SIGN(AL394))*POWER(GEslave,SIGN(AN394))*POWER(KOslave,SIGN(AO394))*POWER(KKslave,SIGN(AP394))+AN394*POWER(MUslave_MU,SIGN(AI394))*POWER(KLslave,SIGN(AJ394))*POWER(INslave,SIGN(AK394))*POWER(CHslave,SIGN(AL394))*POWER(FFslave,SIGN(AM394))*POWER(KOslave,SIGN(AO394))*POWER(KKslave,SIGN(AP394))+AO394*POWER(MUslave_MU,SIGN(AI394))*POWER(KLslave,SIGN(AJ394))*POWER(INslave,SIGN(AK394))*POWER(CHslave,SIGN(AL394))*POWER(FFslave,SIGN(AM394))*POWER(GEslave,SIGN(AN394))*POWER(KKslave,SIGN(AP394))+AP394*POWER(MUslave_MU,SIGN(AI394))*POWER(KLslave,SIGN(AJ394))*POWER(INslave,SIGN(AK394))*POWER(CHslave,SIGN(AL394))*POWER(FFslave,SIGN(AM394))*POWER(GEslave,SIGN(AN394))*POWER(KOslave,SIGN(AO394))</f>
        <v>2304</v>
      </c>
      <c r="AU394" s="113">
        <f>AK394*AL394*GEslave+AK394*CHslave*AN394+INslave*AL394*AN394</f>
        <v>3456</v>
      </c>
      <c r="AV394" s="119">
        <f>IFERROR(AI394^SIGN(AI394),1)*IFERROR(AJ394^SIGN(AJ394),1)*IFERROR(AK394^SIGN(AK394),1)*IFERROR(AL394^SIGN(AL394),1)*IFERROR(AM394^SIGN(AM394),1)*IFERROR(AN394^SIGN(AN394),1)*IFERROR(AO394^SIGN(AO394),1)*IFERROR(AP394^SIGN(AP394),1)</f>
        <v>1728</v>
      </c>
      <c r="AW394" s="119">
        <f>SUM(AT394:AV394)</f>
        <v>7488</v>
      </c>
      <c r="AX394" s="89">
        <f>AQ394*AT394/AW394</f>
        <v>3.6923076923076925</v>
      </c>
      <c r="AY394" s="47">
        <f>AR394*AU394/AW394</f>
        <v>11.076923076923077</v>
      </c>
      <c r="AZ394" s="127">
        <f>AS394*AV394/AW394</f>
        <v>8.3076923076923084</v>
      </c>
      <c r="BA394" s="125">
        <f>SUM(AX394:AZ394)</f>
        <v>23.07692307692308</v>
      </c>
      <c r="BB394" s="165">
        <f t="shared" si="3938"/>
        <v>0</v>
      </c>
      <c r="BC394" s="44">
        <f>BA394-BB394</f>
        <v>23.07692307692308</v>
      </c>
      <c r="BD394" s="125">
        <f>IF(BA394&lt;=0,2,0)+IF(BA394&gt;0,BA394+1,0)*2+IF(BA394&gt;12,BA394-12,0)*2+IF(BA394&gt;13,BA394-13,0)*2+IF(BA394&gt;14,BA394-14,0)*2+IF(BA394&gt;15,BA394-15,0)*2+IF(BA394&gt;16,BA394-16,0)*2+IF(BA394&gt;17,BA394-17,0)*2+IF(BA394&gt;18,BA394-18,0)*2+IF(BA394&gt;19,BA394-19,0)*2+IF(BA394&gt;20,BA394-20,0)*2</f>
        <v>175.5384615384616</v>
      </c>
      <c r="BE394" s="114">
        <f>IF(BB394&lt;=0,2,0)+IF(BB394&gt;0,BB394+1,0)*2+IF(BB394&gt;12,BB394-12,0)*2+IF(BB394&gt;13,BB394-13,0)*2+IF(BB394&gt;14,BB394-14,0)*2+IF(BB394&gt;15,BB394-15,0)*2+IF(BB394&gt;16,BB394-16,0)*2+IF(BB394&gt;17,BB394-17,0)*2+IF(BB394&gt;18,BB394-18,0)*2+IF(BB394&gt;19,BB394-19,0)*2+IF(BB394&gt;20,BB394-20,0)*2</f>
        <v>2</v>
      </c>
      <c r="BF394" s="218">
        <f>IF((BD394-BE394)&gt;0,BD394-BE394,0)</f>
        <v>173.5384615384616</v>
      </c>
      <c r="BG394" s="218">
        <f>IF((BE394-BD394)&gt;0,BE394-BD394,0)</f>
        <v>0</v>
      </c>
      <c r="BI394" s="325" t="s">
        <v>432</v>
      </c>
      <c r="BJ394" s="304" t="s">
        <v>88</v>
      </c>
      <c r="BK394" s="222" t="s">
        <v>132</v>
      </c>
      <c r="BL394" s="237"/>
      <c r="BM394" s="234"/>
      <c r="BN394" s="234">
        <f>Konvention_1slave-INslave</f>
        <v>12</v>
      </c>
      <c r="BO394" s="234">
        <f>Konvention_1slave-CHslave</f>
        <v>12</v>
      </c>
      <c r="BP394" s="234"/>
      <c r="BQ394" s="234">
        <f>Konvention_1slave-GEslave</f>
        <v>12</v>
      </c>
      <c r="BR394" s="234"/>
      <c r="BS394" s="224"/>
      <c r="BT394" s="222">
        <f>(BL394+BM394+BN394+BO394+BP394+BQ394+BR394+BS394)/3</f>
        <v>12</v>
      </c>
      <c r="BU394" s="223">
        <f>2*BT394</f>
        <v>24</v>
      </c>
      <c r="BV394" s="224">
        <f>3*BT394</f>
        <v>36</v>
      </c>
      <c r="BW394" s="237">
        <f>BL394*POWER(KLslave_KL,SIGN(BM394))*POWER(INslave,SIGN(BN394))*POWER(CHslave,SIGN(BO394))*POWER(FFslave,SIGN(BP394))*POWER(GEslave,SIGN(BQ394))*POWER(KOslave,SIGN(BR394))*POWER(KKslave,SIGN(BS394))+BM394*POWER(MUslave,SIGN(BL394))*POWER(INslave,SIGN(BN394))*POWER(CHslave,SIGN(BO394))*POWER(FFslave,SIGN(BP394))*POWER(GEslave,SIGN(BQ394))*POWER(KOslave,SIGN(BR394))*POWER(KKslave,SIGN(BS394))+BN394*POWER(MUslave,SIGN(BL394))*POWER(KLslave_KL,SIGN(BM394))*POWER(CHslave,SIGN(BO394))*POWER(FFslave,SIGN(BP394))*POWER(GEslave,SIGN(BQ394))*POWER(KOslave,SIGN(BR394))*POWER(KKslave,SIGN(BS394))+BO394*POWER(MUslave,SIGN(BL394))*POWER(KLslave_KL,SIGN(BM394))*POWER(INslave,SIGN(BN394))*POWER(FFslave,SIGN(BP394))*POWER(GEslave,SIGN(BQ394))*POWER(KOslave,SIGN(BR394))*POWER(KKslave,SIGN(BS394))+BP394*POWER(MUslave,SIGN(BL394))*POWER(KLslave_KL,SIGN(BM394))*POWER(INslave,SIGN(BN394))*POWER(CHslave,SIGN(BO394))*POWER(GEslave,SIGN(BQ394))*POWER(KOslave,SIGN(BR394))*POWER(KKslave,SIGN(BS394))+BQ394*POWER(MUslave,SIGN(BL394))*POWER(KLslave_KL,SIGN(BM394))*POWER(INslave,SIGN(BN394))*POWER(CHslave,SIGN(BO394))*POWER(FFslave,SIGN(BP394))*POWER(KOslave,SIGN(BR394))*POWER(KKslave,SIGN(BS394))+BR394*POWER(MUslave,SIGN(BL394))*POWER(KLslave_KL,SIGN(BM394))*POWER(INslave,SIGN(BN394))*POWER(CHslave,SIGN(BO394))*POWER(FFslave,SIGN(BP394))*POWER(GEslave,SIGN(BQ394))*POWER(KKslave,SIGN(BS394))+BS394*POWER(MUslave,SIGN(BL394))*POWER(KLslave_KL,SIGN(BM394))*POWER(INslave,SIGN(BN394))*POWER(CHslave,SIGN(BO394))*POWER(FFslave,SIGN(BP394))*POWER(GEslave,SIGN(BQ394))*POWER(KOslave,SIGN(BR394))</f>
        <v>2304</v>
      </c>
      <c r="BX394" s="234">
        <f>BN394*BO394*GEslave+BN394*CHslave*BQ394+INslave*BO394*BQ394</f>
        <v>3456</v>
      </c>
      <c r="BY394" s="224">
        <f>IFERROR(BL394^SIGN(BL394),1)*IFERROR(BM394^SIGN(BM394),1)*IFERROR(BN394^SIGN(BN394),1)*IFERROR(BO394^SIGN(BO394),1)*IFERROR(BP394^SIGN(BP394),1)*IFERROR(BQ394^SIGN(BQ394),1)*IFERROR(BR394^SIGN(BR394),1)*IFERROR(BS394^SIGN(BS394),1)</f>
        <v>1728</v>
      </c>
      <c r="BZ394" s="224">
        <f>SUM(BW394:BY394)</f>
        <v>7488</v>
      </c>
      <c r="CA394" s="222">
        <f>BT394*BW394/BZ394</f>
        <v>3.6923076923076925</v>
      </c>
      <c r="CB394" s="223">
        <f>BU394*BX394/BZ394</f>
        <v>11.076923076923077</v>
      </c>
      <c r="CC394" s="243">
        <f>BV394*BY394/BZ394</f>
        <v>8.3076923076923084</v>
      </c>
      <c r="CD394" s="218">
        <f>SUM(CA394:CC394)</f>
        <v>23.07692307692308</v>
      </c>
      <c r="CE394" s="252">
        <f t="shared" si="3954"/>
        <v>0</v>
      </c>
      <c r="CF394" s="324">
        <f>CD394-CE394</f>
        <v>23.07692307692308</v>
      </c>
      <c r="CG394" s="218">
        <f>IF(CD394&lt;=0,2,0)+IF(CD394&gt;0,CD394+1,0)*2+IF(CD394&gt;12,CD394-12,0)*2+IF(CD394&gt;13,CD394-13,0)*2+IF(CD394&gt;14,CD394-14,0)*2+IF(CD394&gt;15,CD394-15,0)*2+IF(CD394&gt;16,CD394-16,0)*2+IF(CD394&gt;17,CD394-17,0)*2+IF(CD394&gt;18,CD394-18,0)*2+IF(CD394&gt;19,CD394-19,0)*2+IF(CD394&gt;20,CD394-20,0)*2</f>
        <v>175.5384615384616</v>
      </c>
      <c r="CH394" s="237">
        <f>IF(CE394&lt;=0,2,0)+IF(CE394&gt;0,CE394+1,0)*2+IF(CE394&gt;12,CE394-12,0)*2+IF(CE394&gt;13,CE394-13,0)*2+IF(CE394&gt;14,CE394-14,0)*2+IF(CE394&gt;15,CE394-15,0)*2+IF(CE394&gt;16,CE394-16,0)*2+IF(CE394&gt;17,CE394-17,0)*2+IF(CE394&gt;18,CE394-18,0)*2+IF(CE394&gt;19,CE394-19,0)*2+IF(CE394&gt;20,CE394-20,0)*2</f>
        <v>2</v>
      </c>
      <c r="CI394" s="218">
        <f>IF((CG394-CH394)&gt;0,CG394-CH394,0)</f>
        <v>173.5384615384616</v>
      </c>
      <c r="CJ394" s="218">
        <f>IF((CH394-CG394)&gt;0,CH394-CG394,0)</f>
        <v>0</v>
      </c>
      <c r="CL394" s="325" t="s">
        <v>432</v>
      </c>
      <c r="CM394" s="304" t="s">
        <v>88</v>
      </c>
      <c r="CN394" s="222" t="s">
        <v>132</v>
      </c>
      <c r="CO394" s="237"/>
      <c r="CP394" s="234"/>
      <c r="CQ394" s="234">
        <f>Konvention_1slave-INslave_IN</f>
        <v>11</v>
      </c>
      <c r="CR394" s="234">
        <f>Konvention_1slave-CHslave</f>
        <v>12</v>
      </c>
      <c r="CS394" s="234"/>
      <c r="CT394" s="234">
        <f>Konvention_1slave-GEslave</f>
        <v>12</v>
      </c>
      <c r="CU394" s="234"/>
      <c r="CV394" s="224"/>
      <c r="CW394" s="222">
        <f>(CO394+CP394+CQ394+CR394+CS394+CT394+CU394+CV394)/3</f>
        <v>11.666666666666666</v>
      </c>
      <c r="CX394" s="223">
        <f>2*CW394</f>
        <v>23.333333333333332</v>
      </c>
      <c r="CY394" s="224">
        <f>3*CW394</f>
        <v>35</v>
      </c>
      <c r="CZ394" s="237">
        <f>CO394*POWER(KLslave,SIGN(CP394))*POWER(INslave_IN,SIGN(CQ394))*POWER(CHslave,SIGN(CR394))*POWER(FFslave,SIGN(CS394))*POWER(GEslave,SIGN(CT394))*POWER(KOslave,SIGN(CU394))*POWER(KKslave,SIGN(CV394))+CP394*POWER(MUslave,SIGN(CO394))*POWER(INslave_IN,SIGN(CQ394))*POWER(CHslave,SIGN(CR394))*POWER(FFslave,SIGN(CS394))*POWER(GEslave,SIGN(CT394))*POWER(KOslave,SIGN(CU394))*POWER(KKslave,SIGN(CV394))+CQ394*POWER(MUslave,SIGN(CO394))*POWER(KLslave,SIGN(CP394))*POWER(CHslave,SIGN(CR394))*POWER(FFslave,SIGN(CS394))*POWER(GEslave,SIGN(CT394))*POWER(KOslave,SIGN(CU394))*POWER(KKslave,SIGN(CV394))+CR394*POWER(MUslave,SIGN(CO394))*POWER(KLslave,SIGN(CP394))*POWER(INslave_IN,SIGN(CQ394))*POWER(FFslave,SIGN(CS394))*POWER(GEslave,SIGN(CT394))*POWER(KOslave,SIGN(CU394))*POWER(KKslave,SIGN(CV394))+CS394*POWER(MUslave,SIGN(CO394))*POWER(KLslave,SIGN(CP394))*POWER(INslave_IN,SIGN(CQ394))*POWER(CHslave,SIGN(CR394))*POWER(GEslave,SIGN(CT394))*POWER(KOslave,SIGN(CU394))*POWER(KKslave,SIGN(CV394))+CT394*POWER(MUslave,SIGN(CO394))*POWER(KLslave,SIGN(CP394))*POWER(INslave_IN,SIGN(CQ394))*POWER(CHslave,SIGN(CR394))*POWER(FFslave,SIGN(CS394))*POWER(KOslave,SIGN(CU394))*POWER(KKslave,SIGN(CV394))+CU394*POWER(MUslave,SIGN(CO394))*POWER(KLslave,SIGN(CP394))*POWER(INslave_IN,SIGN(CQ394))*POWER(CHslave,SIGN(CR394))*POWER(FFslave,SIGN(CS394))*POWER(GEslave,SIGN(CT394))*POWER(KKslave,SIGN(CV394))+CV394*POWER(MUslave,SIGN(CO394))*POWER(KLslave,SIGN(CP394))*POWER(INslave_IN,SIGN(CQ394))*POWER(CHslave,SIGN(CR394))*POWER(FFslave,SIGN(CS394))*POWER(GEslave,SIGN(CT394))*POWER(KOslave,SIGN(CU394))</f>
        <v>2432</v>
      </c>
      <c r="DA394" s="234">
        <f>CQ394*CR394*GEslave+CQ394*CHslave*CT394+INslave_IN*CR394*CT394</f>
        <v>3408</v>
      </c>
      <c r="DB394" s="224">
        <f>IFERROR(CO394^SIGN(CO394),1)*IFERROR(CP394^SIGN(CP394),1)*IFERROR(CQ394^SIGN(CQ394),1)*IFERROR(CR394^SIGN(CR394),1)*IFERROR(CS394^SIGN(CS394),1)*IFERROR(CT394^SIGN(CT394),1)*IFERROR(CU394^SIGN(CU394),1)*IFERROR(CV394^SIGN(CV394),1)</f>
        <v>1584</v>
      </c>
      <c r="DC394" s="224">
        <f>SUM(CZ394:DB394)</f>
        <v>7424</v>
      </c>
      <c r="DD394" s="222">
        <f>CW394*CZ394/DC394</f>
        <v>3.8218390804597702</v>
      </c>
      <c r="DE394" s="223">
        <f>CX394*DA394/DC394</f>
        <v>10.711206896551724</v>
      </c>
      <c r="DF394" s="243">
        <f>CY394*DB394/DC394</f>
        <v>7.4676724137931032</v>
      </c>
      <c r="DG394" s="218">
        <f>SUM(DD394:DF394)</f>
        <v>22.000718390804597</v>
      </c>
      <c r="DH394" s="252">
        <f t="shared" si="3970"/>
        <v>0</v>
      </c>
      <c r="DI394" s="324">
        <f>DG394-DH394</f>
        <v>22.000718390804597</v>
      </c>
      <c r="DJ394" s="218">
        <f>IF(DG394&lt;=0,2,0)+IF(DG394&gt;0,DG394+1,0)*2+IF(DG394&gt;12,DG394-12,0)*2+IF(DG394&gt;13,DG394-13,0)*2+IF(DG394&gt;14,DG394-14,0)*2+IF(DG394&gt;15,DG394-15,0)*2+IF(DG394&gt;16,DG394-16,0)*2+IF(DG394&gt;17,DG394-17,0)*2+IF(DG394&gt;18,DG394-18,0)*2+IF(DG394&gt;19,DG394-19,0)*2+IF(DG394&gt;20,DG394-20,0)*2</f>
        <v>154.01436781609189</v>
      </c>
      <c r="DK394" s="237">
        <f>IF(DH394&lt;=0,2,0)+IF(DH394&gt;0,DH394+1,0)*2+IF(DH394&gt;12,DH394-12,0)*2+IF(DH394&gt;13,DH394-13,0)*2+IF(DH394&gt;14,DH394-14,0)*2+IF(DH394&gt;15,DH394-15,0)*2+IF(DH394&gt;16,DH394-16,0)*2+IF(DH394&gt;17,DH394-17,0)*2+IF(DH394&gt;18,DH394-18,0)*2+IF(DH394&gt;19,DH394-19,0)*2+IF(DH394&gt;20,DH394-20,0)*2</f>
        <v>2</v>
      </c>
      <c r="DL394" s="218">
        <f>IF((DJ394-DK394)&gt;0,DJ394-DK394,0)</f>
        <v>152.01436781609189</v>
      </c>
      <c r="DM394" s="218">
        <f>IF((DK394-DJ394)&gt;0,DK394-DJ394,0)</f>
        <v>0</v>
      </c>
      <c r="DO394" s="325" t="s">
        <v>432</v>
      </c>
      <c r="DP394" s="304" t="s">
        <v>88</v>
      </c>
      <c r="DQ394" s="222" t="s">
        <v>132</v>
      </c>
      <c r="DR394" s="237"/>
      <c r="DS394" s="234"/>
      <c r="DT394" s="234">
        <f>Konvention_1slave-INslave</f>
        <v>12</v>
      </c>
      <c r="DU394" s="234">
        <f>Konvention_1slave-CHslave_CH</f>
        <v>11</v>
      </c>
      <c r="DV394" s="234"/>
      <c r="DW394" s="234">
        <f>Konvention_1slave-GEslave</f>
        <v>12</v>
      </c>
      <c r="DX394" s="234"/>
      <c r="DY394" s="224"/>
      <c r="DZ394" s="222">
        <f>(DR394+DS394+DT394+DU394+DV394+DW394+DX394+DY394)/3</f>
        <v>11.666666666666666</v>
      </c>
      <c r="EA394" s="223">
        <f>2*DZ394</f>
        <v>23.333333333333332</v>
      </c>
      <c r="EB394" s="224">
        <f>3*DZ394</f>
        <v>35</v>
      </c>
      <c r="EC394" s="237">
        <f>DR394*POWER(KLslave,SIGN(DS394))*POWER(INslave,SIGN(DT394))*POWER(CHslave_CH,SIGN(DU394))*POWER(FFslave,SIGN(DV394))*POWER(GEslave,SIGN(DW394))*POWER(KOslave,SIGN(DX394))*POWER(KKslave,SIGN(DY394))+DS394*POWER(MUslave,SIGN(DR394))*POWER(INslave,SIGN(DT394))*POWER(CHslave_CH,SIGN(DU394))*POWER(FFslave,SIGN(DV394))*POWER(GEslave,SIGN(DW394))*POWER(KOslave,SIGN(DX394))*POWER(KKslave,SIGN(DY394))+DT394*POWER(MUslave,SIGN(DR394))*POWER(KLslave,SIGN(DS394))*POWER(CHslave_CH,SIGN(DU394))*POWER(FFslave,SIGN(DV394))*POWER(GEslave,SIGN(DW394))*POWER(KOslave,SIGN(DX394))*POWER(KKslave,SIGN(DY394))+DU394*POWER(MUslave,SIGN(DR394))*POWER(KLslave,SIGN(DS394))*POWER(INslave,SIGN(DT394))*POWER(FFslave,SIGN(DV394))*POWER(GEslave,SIGN(DW394))*POWER(KOslave,SIGN(DX394))*POWER(KKslave,SIGN(DY394))+DV394*POWER(MUslave,SIGN(DR394))*POWER(KLslave,SIGN(DS394))*POWER(INslave,SIGN(DT394))*POWER(CHslave_CH,SIGN(DU394))*POWER(GEslave,SIGN(DW394))*POWER(KOslave,SIGN(DX394))*POWER(KKslave,SIGN(DY394))+DW394*POWER(MUslave,SIGN(DR394))*POWER(KLslave,SIGN(DS394))*POWER(INslave,SIGN(DT394))*POWER(CHslave_CH,SIGN(DU394))*POWER(FFslave,SIGN(DV394))*POWER(KOslave,SIGN(DX394))*POWER(KKslave,SIGN(DY394))+DX394*POWER(MUslave,SIGN(DR394))*POWER(KLslave,SIGN(DS394))*POWER(INslave,SIGN(DT394))*POWER(CHslave_CH,SIGN(DU394))*POWER(FFslave,SIGN(DV394))*POWER(GEslave,SIGN(DW394))*POWER(KKslave,SIGN(DY394))+DY394*POWER(MUslave,SIGN(DR394))*POWER(KLslave,SIGN(DS394))*POWER(INslave,SIGN(DT394))*POWER(CHslave_CH,SIGN(DU394))*POWER(FFslave,SIGN(DV394))*POWER(GEslave,SIGN(DW394))*POWER(KOslave,SIGN(DX394))</f>
        <v>2432</v>
      </c>
      <c r="ED394" s="234">
        <f>DT394*DU394*GEslave+DT394*CHslave_CH*DW394+INslave*DU394*DW394</f>
        <v>3408</v>
      </c>
      <c r="EE394" s="224">
        <f>IFERROR(DR394^SIGN(DR394),1)*IFERROR(DS394^SIGN(DS394),1)*IFERROR(DT394^SIGN(DT394),1)*IFERROR(DU394^SIGN(DU394),1)*IFERROR(DV394^SIGN(DV394),1)*IFERROR(DW394^SIGN(DW394),1)*IFERROR(DX394^SIGN(DX394),1)*IFERROR(DY394^SIGN(DY394),1)</f>
        <v>1584</v>
      </c>
      <c r="EF394" s="224">
        <f>SUM(EC394:EE394)</f>
        <v>7424</v>
      </c>
      <c r="EG394" s="222">
        <f>DZ394*EC394/EF394</f>
        <v>3.8218390804597702</v>
      </c>
      <c r="EH394" s="223">
        <f>EA394*ED394/EF394</f>
        <v>10.711206896551724</v>
      </c>
      <c r="EI394" s="243">
        <f>EB394*EE394/EF394</f>
        <v>7.4676724137931032</v>
      </c>
      <c r="EJ394" s="218">
        <f>SUM(EG394:EI394)</f>
        <v>22.000718390804597</v>
      </c>
      <c r="EK394" s="252">
        <f t="shared" si="3986"/>
        <v>0</v>
      </c>
      <c r="EL394" s="324">
        <f>EJ394-EK394</f>
        <v>22.000718390804597</v>
      </c>
      <c r="EM394" s="218">
        <f>IF(EJ394&lt;=0,2,0)+IF(EJ394&gt;0,EJ394+1,0)*2+IF(EJ394&gt;12,EJ394-12,0)*2+IF(EJ394&gt;13,EJ394-13,0)*2+IF(EJ394&gt;14,EJ394-14,0)*2+IF(EJ394&gt;15,EJ394-15,0)*2+IF(EJ394&gt;16,EJ394-16,0)*2+IF(EJ394&gt;17,EJ394-17,0)*2+IF(EJ394&gt;18,EJ394-18,0)*2+IF(EJ394&gt;19,EJ394-19,0)*2+IF(EJ394&gt;20,EJ394-20,0)*2</f>
        <v>154.01436781609189</v>
      </c>
      <c r="EN394" s="237">
        <f>IF(EK394&lt;=0,2,0)+IF(EK394&gt;0,EK394+1,0)*2+IF(EK394&gt;12,EK394-12,0)*2+IF(EK394&gt;13,EK394-13,0)*2+IF(EK394&gt;14,EK394-14,0)*2+IF(EK394&gt;15,EK394-15,0)*2+IF(EK394&gt;16,EK394-16,0)*2+IF(EK394&gt;17,EK394-17,0)*2+IF(EK394&gt;18,EK394-18,0)*2+IF(EK394&gt;19,EK394-19,0)*2+IF(EK394&gt;20,EK394-20,0)*2</f>
        <v>2</v>
      </c>
      <c r="EO394" s="218">
        <f>IF((EM394-EN394)&gt;0,EM394-EN394,0)</f>
        <v>152.01436781609189</v>
      </c>
      <c r="EP394" s="218">
        <f>IF((EN394-EM394)&gt;0,EN394-EM394,0)</f>
        <v>0</v>
      </c>
      <c r="ER394" s="325" t="s">
        <v>432</v>
      </c>
      <c r="ES394" s="304" t="s">
        <v>88</v>
      </c>
      <c r="ET394" s="222" t="s">
        <v>132</v>
      </c>
      <c r="EU394" s="237"/>
      <c r="EV394" s="234"/>
      <c r="EW394" s="234">
        <f>Konvention_1slave-INslave</f>
        <v>12</v>
      </c>
      <c r="EX394" s="234">
        <f>Konvention_1slave-CHslave</f>
        <v>12</v>
      </c>
      <c r="EY394" s="234"/>
      <c r="EZ394" s="234">
        <f>Konvention_1slave-GEslave</f>
        <v>12</v>
      </c>
      <c r="FA394" s="234"/>
      <c r="FB394" s="224"/>
      <c r="FC394" s="222">
        <f>(EU394+EV394+EW394+EX394+EY394+EZ394+FA394+FB394)/3</f>
        <v>12</v>
      </c>
      <c r="FD394" s="223">
        <f>2*FC394</f>
        <v>24</v>
      </c>
      <c r="FE394" s="224">
        <f>3*FC394</f>
        <v>36</v>
      </c>
      <c r="FF394" s="237">
        <f>EU394*POWER(KLslave,SIGN(EV394))*POWER(INslave,SIGN(EW394))*POWER(CHslave,SIGN(EX394))*POWER(FFslave_FF,SIGN(EY394))*POWER(GEslave,SIGN(EZ394))*POWER(KOslave,SIGN(FA394))*POWER(KKslave,SIGN(FB394))+EV394*POWER(MUslave,SIGN(EU394))*POWER(INslave,SIGN(EW394))*POWER(CHslave,SIGN(EX394))*POWER(FFslave_FF,SIGN(EY394))*POWER(GEslave,SIGN(EZ394))*POWER(KOslave,SIGN(FA394))*POWER(KKslave,SIGN(FB394))+EW394*POWER(MUslave,SIGN(EU394))*POWER(KLslave,SIGN(EV394))*POWER(CHslave,SIGN(EX394))*POWER(FFslave_FF,SIGN(EY394))*POWER(GEslave,SIGN(EZ394))*POWER(KOslave,SIGN(FA394))*POWER(KKslave,SIGN(FB394))+EX394*POWER(MUslave,SIGN(EU394))*POWER(KLslave,SIGN(EV394))*POWER(INslave,SIGN(EW394))*POWER(FFslave_FF,SIGN(EY394))*POWER(GEslave,SIGN(EZ394))*POWER(KOslave,SIGN(FA394))*POWER(KKslave,SIGN(FB394))+EY394*POWER(MUslave,SIGN(EU394))*POWER(KLslave,SIGN(EV394))*POWER(INslave,SIGN(EW394))*POWER(CHslave,SIGN(EX394))*POWER(GEslave,SIGN(EZ394))*POWER(KOslave,SIGN(FA394))*POWER(KKslave,SIGN(FB394))+EZ394*POWER(MUslave,SIGN(EU394))*POWER(KLslave,SIGN(EV394))*POWER(INslave,SIGN(EW394))*POWER(CHslave,SIGN(EX394))*POWER(FFslave_FF,SIGN(EY394))*POWER(KOslave,SIGN(FA394))*POWER(KKslave,SIGN(FB394))+FA394*POWER(MUslave,SIGN(EU394))*POWER(KLslave,SIGN(EV394))*POWER(INslave,SIGN(EW394))*POWER(CHslave,SIGN(EX394))*POWER(FFslave_FF,SIGN(EY394))*POWER(GEslave,SIGN(EZ394))*POWER(KKslave,SIGN(FB394))+FB394*POWER(MUslave,SIGN(EU394))*POWER(KLslave,SIGN(EV394))*POWER(INslave,SIGN(EW394))*POWER(CHslave,SIGN(EX394))*POWER(FFslave_FF,SIGN(EY394))*POWER(GEslave,SIGN(EZ394))*POWER(KOslave,SIGN(FA394))</f>
        <v>2304</v>
      </c>
      <c r="FG394" s="234">
        <f>EW394*EX394*GEslave+EW394*CHslave*EZ394+INslave*EX394*EZ394</f>
        <v>3456</v>
      </c>
      <c r="FH394" s="224">
        <f>IFERROR(EU394^SIGN(EU394),1)*IFERROR(EV394^SIGN(EV394),1)*IFERROR(EW394^SIGN(EW394),1)*IFERROR(EX394^SIGN(EX394),1)*IFERROR(EY394^SIGN(EY394),1)*IFERROR(EZ394^SIGN(EZ394),1)*IFERROR(FA394^SIGN(FA394),1)*IFERROR(FB394^SIGN(FB394),1)</f>
        <v>1728</v>
      </c>
      <c r="FI394" s="224">
        <f>SUM(FF394:FH394)</f>
        <v>7488</v>
      </c>
      <c r="FJ394" s="222">
        <f>FC394*FF394/FI394</f>
        <v>3.6923076923076925</v>
      </c>
      <c r="FK394" s="223">
        <f>FD394*FG394/FI394</f>
        <v>11.076923076923077</v>
      </c>
      <c r="FL394" s="243">
        <f>FE394*FH394/FI394</f>
        <v>8.3076923076923084</v>
      </c>
      <c r="FM394" s="218">
        <f>SUM(FJ394:FL394)</f>
        <v>23.07692307692308</v>
      </c>
      <c r="FN394" s="252">
        <f t="shared" si="4002"/>
        <v>0</v>
      </c>
      <c r="FO394" s="324">
        <f>FM394-FN394</f>
        <v>23.07692307692308</v>
      </c>
      <c r="FP394" s="218">
        <f>IF(FM394&lt;=0,2,0)+IF(FM394&gt;0,FM394+1,0)*2+IF(FM394&gt;12,FM394-12,0)*2+IF(FM394&gt;13,FM394-13,0)*2+IF(FM394&gt;14,FM394-14,0)*2+IF(FM394&gt;15,FM394-15,0)*2+IF(FM394&gt;16,FM394-16,0)*2+IF(FM394&gt;17,FM394-17,0)*2+IF(FM394&gt;18,FM394-18,0)*2+IF(FM394&gt;19,FM394-19,0)*2+IF(FM394&gt;20,FM394-20,0)*2</f>
        <v>175.5384615384616</v>
      </c>
      <c r="FQ394" s="237">
        <f>IF(FN394&lt;=0,2,0)+IF(FN394&gt;0,FN394+1,0)*2+IF(FN394&gt;12,FN394-12,0)*2+IF(FN394&gt;13,FN394-13,0)*2+IF(FN394&gt;14,FN394-14,0)*2+IF(FN394&gt;15,FN394-15,0)*2+IF(FN394&gt;16,FN394-16,0)*2+IF(FN394&gt;17,FN394-17,0)*2+IF(FN394&gt;18,FN394-18,0)*2+IF(FN394&gt;19,FN394-19,0)*2+IF(FN394&gt;20,FN394-20,0)*2</f>
        <v>2</v>
      </c>
      <c r="FR394" s="218">
        <f>IF((FP394-FQ394)&gt;0,FP394-FQ394,0)</f>
        <v>173.5384615384616</v>
      </c>
      <c r="FS394" s="218">
        <f>IF((FQ394-FP394)&gt;0,FQ394-FP394,0)</f>
        <v>0</v>
      </c>
      <c r="FU394" s="325" t="s">
        <v>432</v>
      </c>
      <c r="FV394" s="304" t="s">
        <v>88</v>
      </c>
      <c r="FW394" s="222" t="s">
        <v>132</v>
      </c>
      <c r="FX394" s="237"/>
      <c r="FY394" s="234"/>
      <c r="FZ394" s="234">
        <f>Konvention_1slave-INslave</f>
        <v>12</v>
      </c>
      <c r="GA394" s="234">
        <f>Konvention_1slave-CHslave</f>
        <v>12</v>
      </c>
      <c r="GB394" s="234"/>
      <c r="GC394" s="234">
        <f>Konvention_1slave-GEslave_GE</f>
        <v>11</v>
      </c>
      <c r="GD394" s="234"/>
      <c r="GE394" s="224"/>
      <c r="GF394" s="222">
        <f>(FX394+FY394+FZ394+GA394+GB394+GC394+GD394+GE394)/3</f>
        <v>11.666666666666666</v>
      </c>
      <c r="GG394" s="223">
        <f>2*GF394</f>
        <v>23.333333333333332</v>
      </c>
      <c r="GH394" s="224">
        <f>3*GF394</f>
        <v>35</v>
      </c>
      <c r="GI394" s="237">
        <f>FX394*POWER(KLslave,SIGN(FY394))*POWER(INslave,SIGN(FZ394))*POWER(CHslave,SIGN(GA394))*POWER(FFslave,SIGN(GB394))*POWER(GEslave_GE,SIGN(GC394))*POWER(KOslave,SIGN(GD394))*POWER(KKslave,SIGN(GE394))+FY394*POWER(MUslave,SIGN(FX394))*POWER(INslave,SIGN(FZ394))*POWER(CHslave,SIGN(GA394))*POWER(FFslave,SIGN(GB394))*POWER(GEslave_GE,SIGN(GC394))*POWER(KOslave,SIGN(GD394))*POWER(KKslave,SIGN(GE394))+FZ394*POWER(MUslave,SIGN(FX394))*POWER(KLslave,SIGN(FY394))*POWER(CHslave,SIGN(GA394))*POWER(FFslave,SIGN(GB394))*POWER(GEslave_GE,SIGN(GC394))*POWER(KOslave,SIGN(GD394))*POWER(KKslave,SIGN(GE394))+GA394*POWER(MUslave,SIGN(FX394))*POWER(KLslave,SIGN(FY394))*POWER(INslave,SIGN(FZ394))*POWER(FFslave,SIGN(GB394))*POWER(GEslave_GE,SIGN(GC394))*POWER(KOslave,SIGN(GD394))*POWER(KKslave,SIGN(GE394))+GB394*POWER(MUslave,SIGN(FX394))*POWER(KLslave,SIGN(FY394))*POWER(INslave,SIGN(FZ394))*POWER(CHslave,SIGN(GA394))*POWER(GEslave_GE,SIGN(GC394))*POWER(KOslave,SIGN(GD394))*POWER(KKslave,SIGN(GE394))+GC394*POWER(MUslave,SIGN(FX394))*POWER(KLslave,SIGN(FY394))*POWER(INslave,SIGN(FZ394))*POWER(CHslave,SIGN(GA394))*POWER(FFslave,SIGN(GB394))*POWER(KOslave,SIGN(GD394))*POWER(KKslave,SIGN(GE394))+GD394*POWER(MUslave,SIGN(FX394))*POWER(KLslave,SIGN(FY394))*POWER(INslave,SIGN(FZ394))*POWER(CHslave,SIGN(GA394))*POWER(FFslave,SIGN(GB394))*POWER(GEslave_GE,SIGN(GC394))*POWER(KKslave,SIGN(GE394))+GE394*POWER(MUslave,SIGN(FX394))*POWER(KLslave,SIGN(FY394))*POWER(INslave,SIGN(FZ394))*POWER(CHslave,SIGN(GA394))*POWER(FFslave,SIGN(GB394))*POWER(GEslave_GE,SIGN(GC394))*POWER(KOslave,SIGN(GD394))</f>
        <v>2432</v>
      </c>
      <c r="GJ394" s="234">
        <f>FZ394*GA394*GEslave_GE+FZ394*CHslave*GC394+INslave*GA394*GC394</f>
        <v>3408</v>
      </c>
      <c r="GK394" s="224">
        <f>IFERROR(FX394^SIGN(FX394),1)*IFERROR(FY394^SIGN(FY394),1)*IFERROR(FZ394^SIGN(FZ394),1)*IFERROR(GA394^SIGN(GA394),1)*IFERROR(GB394^SIGN(GB394),1)*IFERROR(GC394^SIGN(GC394),1)*IFERROR(GD394^SIGN(GD394),1)*IFERROR(GE394^SIGN(GE394),1)</f>
        <v>1584</v>
      </c>
      <c r="GL394" s="224">
        <f>SUM(GI394:GK394)</f>
        <v>7424</v>
      </c>
      <c r="GM394" s="222">
        <f>GF394*GI394/GL394</f>
        <v>3.8218390804597702</v>
      </c>
      <c r="GN394" s="223">
        <f>GG394*GJ394/GL394</f>
        <v>10.711206896551724</v>
      </c>
      <c r="GO394" s="243">
        <f>GH394*GK394/GL394</f>
        <v>7.4676724137931032</v>
      </c>
      <c r="GP394" s="218">
        <f>SUM(GM394:GO394)</f>
        <v>22.000718390804597</v>
      </c>
      <c r="GQ394" s="252">
        <f t="shared" si="4018"/>
        <v>0</v>
      </c>
      <c r="GR394" s="324">
        <f>GP394-GQ394</f>
        <v>22.000718390804597</v>
      </c>
      <c r="GS394" s="218">
        <f>IF(GP394&lt;=0,2,0)+IF(GP394&gt;0,GP394+1,0)*2+IF(GP394&gt;12,GP394-12,0)*2+IF(GP394&gt;13,GP394-13,0)*2+IF(GP394&gt;14,GP394-14,0)*2+IF(GP394&gt;15,GP394-15,0)*2+IF(GP394&gt;16,GP394-16,0)*2+IF(GP394&gt;17,GP394-17,0)*2+IF(GP394&gt;18,GP394-18,0)*2+IF(GP394&gt;19,GP394-19,0)*2+IF(GP394&gt;20,GP394-20,0)*2</f>
        <v>154.01436781609189</v>
      </c>
      <c r="GT394" s="237">
        <f>IF(GQ394&lt;=0,2,0)+IF(GQ394&gt;0,GQ394+1,0)*2+IF(GQ394&gt;12,GQ394-12,0)*2+IF(GQ394&gt;13,GQ394-13,0)*2+IF(GQ394&gt;14,GQ394-14,0)*2+IF(GQ394&gt;15,GQ394-15,0)*2+IF(GQ394&gt;16,GQ394-16,0)*2+IF(GQ394&gt;17,GQ394-17,0)*2+IF(GQ394&gt;18,GQ394-18,0)*2+IF(GQ394&gt;19,GQ394-19,0)*2+IF(GQ394&gt;20,GQ394-20,0)*2</f>
        <v>2</v>
      </c>
      <c r="GU394" s="218">
        <f>IF((GS394-GT394)&gt;0,GS394-GT394,0)</f>
        <v>152.01436781609189</v>
      </c>
      <c r="GV394" s="218">
        <f>IF((GT394-GS394)&gt;0,GT394-GS394,0)</f>
        <v>0</v>
      </c>
      <c r="GX394" s="325" t="s">
        <v>432</v>
      </c>
      <c r="GY394" s="304" t="s">
        <v>88</v>
      </c>
      <c r="GZ394" s="222" t="s">
        <v>132</v>
      </c>
      <c r="HA394" s="237"/>
      <c r="HB394" s="234"/>
      <c r="HC394" s="234">
        <f>Konvention_1slave-INslave</f>
        <v>12</v>
      </c>
      <c r="HD394" s="234">
        <f>Konvention_1slave-CHslave</f>
        <v>12</v>
      </c>
      <c r="HE394" s="234"/>
      <c r="HF394" s="234">
        <f>Konvention_1slave-GEslave</f>
        <v>12</v>
      </c>
      <c r="HG394" s="234"/>
      <c r="HH394" s="224"/>
      <c r="HI394" s="222">
        <f>(HA394+HB394+HC394+HD394+HE394+HF394+HG394+HH394)/3</f>
        <v>12</v>
      </c>
      <c r="HJ394" s="223">
        <f>2*HI394</f>
        <v>24</v>
      </c>
      <c r="HK394" s="224">
        <f>3*HI394</f>
        <v>36</v>
      </c>
      <c r="HL394" s="237">
        <f>HA394*POWER(KLslave,SIGN(HB394))*POWER(INslave,SIGN(HC394))*POWER(CHslave,SIGN(HD394))*POWER(FFslave,SIGN(HE394))*POWER(GEslave,SIGN(HF394))*POWER(KOslave_KO,SIGN(HG394))*POWER(KKslave,SIGN(HH394))+HB394*POWER(MUslave,SIGN(HA394))*POWER(INslave,SIGN(HC394))*POWER(CHslave,SIGN(HD394))*POWER(FFslave,SIGN(HE394))*POWER(GEslave,SIGN(HF394))*POWER(KOslave_KO,SIGN(HG394))*POWER(KKslave,SIGN(HH394))+HC394*POWER(MUslave,SIGN(HA394))*POWER(KLslave,SIGN(HB394))*POWER(CHslave,SIGN(HD394))*POWER(FFslave,SIGN(HE394))*POWER(GEslave,SIGN(HF394))*POWER(KOslave_KO,SIGN(HG394))*POWER(KKslave,SIGN(HH394))+HD394*POWER(MUslave,SIGN(HA394))*POWER(KLslave,SIGN(HB394))*POWER(INslave,SIGN(HC394))*POWER(FFslave,SIGN(HE394))*POWER(GEslave,SIGN(HF394))*POWER(KOslave_KO,SIGN(HG394))*POWER(KKslave,SIGN(HH394))+HE394*POWER(MUslave,SIGN(HA394))*POWER(KLslave,SIGN(HB394))*POWER(INslave,SIGN(HC394))*POWER(CHslave,SIGN(HD394))*POWER(GEslave,SIGN(HF394))*POWER(KOslave_KO,SIGN(HG394))*POWER(KKslave,SIGN(HH394))+HF394*POWER(MUslave,SIGN(HA394))*POWER(KLslave,SIGN(HB394))*POWER(INslave,SIGN(HC394))*POWER(CHslave,SIGN(HD394))*POWER(FFslave,SIGN(HE394))*POWER(KOslave_KO,SIGN(HG394))*POWER(KKslave,SIGN(HH394))+HG394*POWER(MUslave,SIGN(HA394))*POWER(KLslave,SIGN(HB394))*POWER(INslave,SIGN(HC394))*POWER(CHslave,SIGN(HD394))*POWER(FFslave,SIGN(HE394))*POWER(GEslave,SIGN(HF394))*POWER(KKslave,SIGN(HH394))+HH394*POWER(MUslave,SIGN(HA394))*POWER(KLslave,SIGN(HB394))*POWER(INslave,SIGN(HC394))*POWER(CHslave,SIGN(HD394))*POWER(FFslave,SIGN(HE394))*POWER(GEslave,SIGN(HF394))*POWER(KOslave_KO,SIGN(HG394))</f>
        <v>2304</v>
      </c>
      <c r="HM394" s="234">
        <f>HC394*HD394*GEslave+HC394*CHslave*HF394+INslave*HD394*HF394</f>
        <v>3456</v>
      </c>
      <c r="HN394" s="224">
        <f>IFERROR(HA394^SIGN(HA394),1)*IFERROR(HB394^SIGN(HB394),1)*IFERROR(HC394^SIGN(HC394),1)*IFERROR(HD394^SIGN(HD394),1)*IFERROR(HE394^SIGN(HE394),1)*IFERROR(HF394^SIGN(HF394),1)*IFERROR(HG394^SIGN(HG394),1)*IFERROR(HH394^SIGN(HH394),1)</f>
        <v>1728</v>
      </c>
      <c r="HO394" s="224">
        <f>SUM(HL394:HN394)</f>
        <v>7488</v>
      </c>
      <c r="HP394" s="222">
        <f>HI394*HL394/HO394</f>
        <v>3.6923076923076925</v>
      </c>
      <c r="HQ394" s="223">
        <f>HJ394*HM394/HO394</f>
        <v>11.076923076923077</v>
      </c>
      <c r="HR394" s="243">
        <f>HK394*HN394/HO394</f>
        <v>8.3076923076923084</v>
      </c>
      <c r="HS394" s="218">
        <f>SUM(HP394:HR394)</f>
        <v>23.07692307692308</v>
      </c>
      <c r="HT394" s="252">
        <f t="shared" si="4034"/>
        <v>0</v>
      </c>
      <c r="HU394" s="324">
        <f>HS394-HT394</f>
        <v>23.07692307692308</v>
      </c>
      <c r="HV394" s="218">
        <f>IF(HS394&lt;=0,2,0)+IF(HS394&gt;0,HS394+1,0)*2+IF(HS394&gt;12,HS394-12,0)*2+IF(HS394&gt;13,HS394-13,0)*2+IF(HS394&gt;14,HS394-14,0)*2+IF(HS394&gt;15,HS394-15,0)*2+IF(HS394&gt;16,HS394-16,0)*2+IF(HS394&gt;17,HS394-17,0)*2+IF(HS394&gt;18,HS394-18,0)*2+IF(HS394&gt;19,HS394-19,0)*2+IF(HS394&gt;20,HS394-20,0)*2</f>
        <v>175.5384615384616</v>
      </c>
      <c r="HW394" s="237">
        <f>IF(HT394&lt;=0,2,0)+IF(HT394&gt;0,HT394+1,0)*2+IF(HT394&gt;12,HT394-12,0)*2+IF(HT394&gt;13,HT394-13,0)*2+IF(HT394&gt;14,HT394-14,0)*2+IF(HT394&gt;15,HT394-15,0)*2+IF(HT394&gt;16,HT394-16,0)*2+IF(HT394&gt;17,HT394-17,0)*2+IF(HT394&gt;18,HT394-18,0)*2+IF(HT394&gt;19,HT394-19,0)*2+IF(HT394&gt;20,HT394-20,0)*2</f>
        <v>2</v>
      </c>
      <c r="HX394" s="218">
        <f>IF((HV394-HW394)&gt;0,HV394-HW394,0)</f>
        <v>173.5384615384616</v>
      </c>
      <c r="HY394" s="218">
        <f>IF((HW394-HV394)&gt;0,HW394-HV394,0)</f>
        <v>0</v>
      </c>
      <c r="IA394" s="325" t="s">
        <v>432</v>
      </c>
      <c r="IB394" s="304" t="s">
        <v>88</v>
      </c>
      <c r="IC394" s="222" t="s">
        <v>132</v>
      </c>
      <c r="ID394" s="237"/>
      <c r="IE394" s="234"/>
      <c r="IF394" s="234">
        <f>Konvention_1slave-INslave</f>
        <v>12</v>
      </c>
      <c r="IG394" s="234">
        <f>Konvention_1slave-CHslave</f>
        <v>12</v>
      </c>
      <c r="IH394" s="234"/>
      <c r="II394" s="234">
        <f>Konvention_1slave-GEslave</f>
        <v>12</v>
      </c>
      <c r="IJ394" s="234"/>
      <c r="IK394" s="224"/>
      <c r="IL394" s="222">
        <f>(ID394+IE394+IF394+IG394+IH394+II394+IJ394+IK394)/3</f>
        <v>12</v>
      </c>
      <c r="IM394" s="223">
        <f>2*IL394</f>
        <v>24</v>
      </c>
      <c r="IN394" s="224">
        <f>3*IL394</f>
        <v>36</v>
      </c>
      <c r="IO394" s="237">
        <f>ID394*POWER(KLslave,SIGN(IE394))*POWER(INslave,SIGN(IF394))*POWER(CHslave,SIGN(IG394))*POWER(FFslave,SIGN(IH394))*POWER(GEslave,SIGN(II394))*POWER(KOslave,SIGN(IJ394))*POWER(KKslave_KK,SIGN(IK394))+IE394*POWER(MUslave,SIGN(ID394))*POWER(INslave,SIGN(IF394))*POWER(CHslave,SIGN(IG394))*POWER(FFslave,SIGN(IH394))*POWER(GEslave,SIGN(II394))*POWER(KOslave,SIGN(IJ394))*POWER(KKslave_KK,SIGN(IK394))+IF394*POWER(MUslave,SIGN(ID394))*POWER(KLslave,SIGN(IE394))*POWER(CHslave,SIGN(IG394))*POWER(FFslave,SIGN(IH394))*POWER(GEslave,SIGN(II394))*POWER(KOslave,SIGN(IJ394))*POWER(KKslave_KK,SIGN(IK394))+IG394*POWER(MUslave,SIGN(ID394))*POWER(KLslave,SIGN(IE394))*POWER(INslave,SIGN(IF394))*POWER(FFslave,SIGN(IH394))*POWER(GEslave,SIGN(II394))*POWER(KOslave,SIGN(IJ394))*POWER(KKslave_KK,SIGN(IK394))+IH394*POWER(MUslave,SIGN(ID394))*POWER(KLslave,SIGN(IE394))*POWER(INslave,SIGN(IF394))*POWER(CHslave,SIGN(IG394))*POWER(GEslave,SIGN(II394))*POWER(KOslave,SIGN(IJ394))*POWER(KKslave_KK,SIGN(IK394))+II394*POWER(MUslave,SIGN(ID394))*POWER(KLslave,SIGN(IE394))*POWER(INslave,SIGN(IF394))*POWER(CHslave,SIGN(IG394))*POWER(FFslave,SIGN(IH394))*POWER(KOslave,SIGN(IJ394))*POWER(KKslave_KK,SIGN(IK394))+IJ394*POWER(MUslave,SIGN(ID394))*POWER(KLslave,SIGN(IE394))*POWER(INslave,SIGN(IF394))*POWER(CHslave,SIGN(IG394))*POWER(FFslave,SIGN(IH394))*POWER(GEslave,SIGN(II394))*POWER(KKslave_KK,SIGN(IK394))+IK394*POWER(MUslave,SIGN(ID394))*POWER(KLslave,SIGN(IE394))*POWER(INslave,SIGN(IF394))*POWER(CHslave,SIGN(IG394))*POWER(FFslave,SIGN(IH394))*POWER(GEslave,SIGN(II394))*POWER(KOslave,SIGN(IJ394))</f>
        <v>2304</v>
      </c>
      <c r="IP394" s="234">
        <f>IF394*IG394*GEslave+IF394*CHslave*II394+INslave*IG394*II394</f>
        <v>3456</v>
      </c>
      <c r="IQ394" s="224">
        <f>IFERROR(ID394^SIGN(ID394),1)*IFERROR(IE394^SIGN(IE394),1)*IFERROR(IF394^SIGN(IF394),1)*IFERROR(IG394^SIGN(IG394),1)*IFERROR(IH394^SIGN(IH394),1)*IFERROR(II394^SIGN(II394),1)*IFERROR(IJ394^SIGN(IJ394),1)*IFERROR(IK394^SIGN(IK394),1)</f>
        <v>1728</v>
      </c>
      <c r="IR394" s="224">
        <f>SUM(IO394:IQ394)</f>
        <v>7488</v>
      </c>
      <c r="IS394" s="222">
        <f>IL394*IO394/IR394</f>
        <v>3.6923076923076925</v>
      </c>
      <c r="IT394" s="223">
        <f>IM394*IP394/IR394</f>
        <v>11.076923076923077</v>
      </c>
      <c r="IU394" s="243">
        <f>IN394*IQ394/IR394</f>
        <v>8.3076923076923084</v>
      </c>
      <c r="IV394" s="218">
        <f>SUM(IS394:IU394)</f>
        <v>23.07692307692308</v>
      </c>
      <c r="IW394" s="252">
        <f t="shared" si="4050"/>
        <v>0</v>
      </c>
      <c r="IX394" s="324">
        <f>IV394-IW394</f>
        <v>23.07692307692308</v>
      </c>
      <c r="IY394" s="218">
        <f>IF(IV394&lt;=0,2,0)+IF(IV394&gt;0,IV394+1,0)*2+IF(IV394&gt;12,IV394-12,0)*2+IF(IV394&gt;13,IV394-13,0)*2+IF(IV394&gt;14,IV394-14,0)*2+IF(IV394&gt;15,IV394-15,0)*2+IF(IV394&gt;16,IV394-16,0)*2+IF(IV394&gt;17,IV394-17,0)*2+IF(IV394&gt;18,IV394-18,0)*2+IF(IV394&gt;19,IV394-19,0)*2+IF(IV394&gt;20,IV394-20,0)*2</f>
        <v>175.5384615384616</v>
      </c>
      <c r="IZ394" s="237">
        <f>IF(IW394&lt;=0,2,0)+IF(IW394&gt;0,IW394+1,0)*2+IF(IW394&gt;12,IW394-12,0)*2+IF(IW394&gt;13,IW394-13,0)*2+IF(IW394&gt;14,IW394-14,0)*2+IF(IW394&gt;15,IW394-15,0)*2+IF(IW394&gt;16,IW394-16,0)*2+IF(IW394&gt;17,IW394-17,0)*2+IF(IW394&gt;18,IW394-18,0)*2+IF(IW394&gt;19,IW394-19,0)*2+IF(IW394&gt;20,IW394-20,0)*2</f>
        <v>2</v>
      </c>
      <c r="JA394" s="218">
        <f>IF((IY394-IZ394)&gt;0,IY394-IZ394,0)</f>
        <v>173.5384615384616</v>
      </c>
      <c r="JB394" s="218">
        <f>IF((IZ394-IY394)&gt;0,IZ394-IY394,0)</f>
        <v>0</v>
      </c>
      <c r="JE394" s="148"/>
    </row>
    <row r="395" spans="1:265" hidden="1" outlineLevel="2">
      <c r="B395" s="148">
        <v>3</v>
      </c>
      <c r="C395" s="326" t="e">
        <f>VLOOKUP(AF395,Attribute!C:T,1,FALSE)</f>
        <v>#N/A</v>
      </c>
      <c r="D395" s="87" t="s">
        <v>95</v>
      </c>
      <c r="E395" s="90" t="s">
        <v>133</v>
      </c>
      <c r="F395" s="115">
        <f>Konvention_1master-MUmaster</f>
        <v>12</v>
      </c>
      <c r="G395" s="122">
        <f>Konvention_1master-KLmaster</f>
        <v>12</v>
      </c>
      <c r="H395" s="122">
        <f>Konvention_1master-INmaster</f>
        <v>12</v>
      </c>
      <c r="I395" s="122"/>
      <c r="J395" s="122"/>
      <c r="K395" s="122"/>
      <c r="L395" s="122"/>
      <c r="M395" s="123"/>
      <c r="N395" s="225">
        <f>(F395+G395+H395+I395+J395+K395+L395+M395)/3</f>
        <v>12</v>
      </c>
      <c r="O395" s="226">
        <f>2*N395</f>
        <v>24</v>
      </c>
      <c r="P395" s="227">
        <f>3*N395</f>
        <v>36</v>
      </c>
      <c r="Q395" s="238">
        <f>F395*POWER(KLmaster,SIGN(G395))*POWER(INmaster,SIGN(H395))*POWER(CHmaster,SIGN(I395))*POWER(FFmaster,SIGN(J395))*POWER(GEmaster,SIGN(K395))*POWER(KOmaster,SIGN(L395))*POWER(KKmaster,SIGN(M395))+G395*POWER(MUmaster,SIGN(F395))*POWER(INmaster,SIGN(H395))*POWER(CHmaster,SIGN(I395))*POWER(FFmaster,SIGN(J395))*POWER(GEmaster,SIGN(K395))*POWER(KOmaster,SIGN(L395))*POWER(KKmaster,SIGN(M395))+H395*POWER(MUmaster,SIGN(F395))*POWER(KLmaster,SIGN(G395))*POWER(CHmaster,SIGN(I395))*POWER(FFmaster,SIGN(J395))*POWER(GEmaster,SIGN(K395))*POWER(KOmaster,SIGN(L395))*POWER(KKmaster,SIGN(M395))+I395*POWER(MUmaster,SIGN(F395))*POWER(KLmaster,SIGN(G395))*POWER(INmaster,SIGN(H395))*POWER(FFmaster,SIGN(J395))*POWER(GEmaster,SIGN(K395))*POWER(KOmaster,SIGN(L395))*POWER(KKmaster,SIGN(M395))+J395*POWER(MUmaster,SIGN(F395))*POWER(KLmaster,SIGN(G395))*POWER(INmaster,SIGN(H395))*POWER(CHmaster,SIGN(I395))*POWER(GEmaster,SIGN(K395))*POWER(KOmaster,SIGN(L395))*POWER(KKmaster,SIGN(M395))+K395*POWER(MUmaster,SIGN(F395))*POWER(KLmaster,SIGN(G395))*POWER(INmaster,SIGN(H395))*POWER(CHmaster,SIGN(I395))*POWER(FFmaster,SIGN(J395))*POWER(KOmaster,SIGN(L395))*POWER(KKmaster,SIGN(M395))+L395*POWER(MUmaster,SIGN(F395))*POWER(KLmaster,SIGN(G395))*POWER(INmaster,SIGN(H395))*POWER(CHmaster,SIGN(I395))*POWER(FFmaster,SIGN(J395))*POWER(GEmaster,SIGN(K395))*POWER(KKmaster,SIGN(M395))+M395*POWER(MUmaster,SIGN(F395))*POWER(KLmaster,SIGN(G395))*POWER(INmaster,SIGN(H395))*POWER(CHmaster,SIGN(I395))*POWER(FFmaster,SIGN(J395))*POWER(GEmaster,SIGN(K395))*POWER(KOmaster,SIGN(L395))</f>
        <v>2304</v>
      </c>
      <c r="R395" s="122">
        <f>F395*G395*INmaster+F395*KLmaster*H395+MUmaster*G395*H395</f>
        <v>3456</v>
      </c>
      <c r="S395" s="227">
        <f>IFERROR(F395^SIGN(F395),1)*IFERROR(G395^SIGN(G395),1)*IFERROR(H395^SIGN(H395),1)*IFERROR(I395^SIGN(I395),1)*IFERROR(J395^SIGN(J395),1)*IFERROR(K395^SIGN(K395),1)*IFERROR(L395^SIGN(L395),1)*IFERROR(M395^SIGN(M395),1)</f>
        <v>1728</v>
      </c>
      <c r="T395" s="227">
        <f>SUM(Q395:S395)</f>
        <v>7488</v>
      </c>
      <c r="U395" s="225">
        <f>N395*Q395/T395</f>
        <v>3.6923076923076925</v>
      </c>
      <c r="V395" s="226">
        <f>O395*R395/T395</f>
        <v>11.076923076923077</v>
      </c>
      <c r="W395" s="245">
        <f>P395*S395/T395</f>
        <v>8.3076923076923084</v>
      </c>
      <c r="X395" s="246">
        <f>SUM(U395:W395)</f>
        <v>23.07692307692308</v>
      </c>
      <c r="Y395" s="252">
        <v>0</v>
      </c>
      <c r="Z395" s="44">
        <f>X395-Y395</f>
        <v>23.07692307692308</v>
      </c>
      <c r="AA395" s="159">
        <f>IF(X395&lt;=0,1,0)+IF(X395&gt;0,X395+1,0)*1+IF(X395&gt;12,X395-12,0)*1+IF(X395&gt;13,X395-13,0)*1+IF(X395&gt;14,X395-14,0)*1+IF(X395&gt;15,X395-15,0)*1+IF(X395&gt;16,X395-16,0)*1+IF(X395&gt;17,X395-17,0)*1+IF(X395&gt;18,X395-18,0)*1+IF(X395&gt;19,X395-19,0)*1+IF(X395&gt;20,X395-20,0)*1</f>
        <v>87.769230769230802</v>
      </c>
      <c r="AB395" s="115">
        <f>IF(Y395&lt;=0,1,0)+IF(Y395&gt;0,Y395+1,0)*1+IF(Y395&gt;12,Y395-12,0)*1+IF(Y395&gt;13,Y395-13,0)*1+IF(Y395&gt;14,Y395-14,0)*1+IF(Y395&gt;15,Y395-15,0)*1+IF(Y395&gt;16,Y395-16,0)*1+IF(Y395&gt;17,Y395-17,0)*1+IF(Y395&gt;18,Y395-18,0)*1+IF(Y395&gt;19,Y395-19,0)*1+IF(Y395&gt;20,Y395-20,0)*1</f>
        <v>1</v>
      </c>
      <c r="AC395" s="159">
        <f>IF((AA395-AB395)&gt;0,AA395-AB395,0)</f>
        <v>86.769230769230802</v>
      </c>
      <c r="AD395" s="159">
        <f>IF((AB395-AA395)&gt;0,AB395-AA395,0)</f>
        <v>0</v>
      </c>
      <c r="AF395" s="178" t="s">
        <v>433</v>
      </c>
      <c r="AG395" s="87" t="s">
        <v>95</v>
      </c>
      <c r="AH395" s="90" t="s">
        <v>133</v>
      </c>
      <c r="AI395" s="115">
        <f>Konvention_1slave-MUslave_MU</f>
        <v>11</v>
      </c>
      <c r="AJ395" s="122">
        <f>Konvention_1slave-KLslave</f>
        <v>12</v>
      </c>
      <c r="AK395" s="122">
        <f>Konvention_1slave-INslave</f>
        <v>12</v>
      </c>
      <c r="AL395" s="122"/>
      <c r="AM395" s="122"/>
      <c r="AN395" s="122"/>
      <c r="AO395" s="122"/>
      <c r="AP395" s="123"/>
      <c r="AQ395" s="90">
        <f>(AI395+AJ395+AK395+AL395+AM395+AN395+AO395+AP395)/3</f>
        <v>11.666666666666666</v>
      </c>
      <c r="AR395" s="88">
        <f>2*AQ395</f>
        <v>23.333333333333332</v>
      </c>
      <c r="AS395" s="123">
        <f>3*AQ395</f>
        <v>35</v>
      </c>
      <c r="AT395" s="115">
        <f>AI395*POWER(KLslave,SIGN(AJ395))*POWER(INslave,SIGN(AK395))*POWER(CHslave,SIGN(AL395))*POWER(FFslave,SIGN(AM395))*POWER(GEslave,SIGN(AN395))*POWER(KOslave,SIGN(AO395))*POWER(KKslave,SIGN(AP395))+AJ395*POWER(MUslave_MU,SIGN(AI395))*POWER(INslave,SIGN(AK395))*POWER(CHslave,SIGN(AL395))*POWER(FFslave,SIGN(AM395))*POWER(GEslave,SIGN(AN395))*POWER(KOslave,SIGN(AO395))*POWER(KKslave,SIGN(AP395))+AK395*POWER(MUslave_MU,SIGN(AI395))*POWER(KLslave,SIGN(AJ395))*POWER(CHslave,SIGN(AL395))*POWER(FFslave,SIGN(AM395))*POWER(GEslave,SIGN(AN395))*POWER(KOslave,SIGN(AO395))*POWER(KKslave,SIGN(AP395))+AL395*POWER(MUslave_MU,SIGN(AI395))*POWER(KLslave,SIGN(AJ395))*POWER(INslave,SIGN(AK395))*POWER(FFslave,SIGN(AM395))*POWER(GEslave,SIGN(AN395))*POWER(KOslave,SIGN(AO395))*POWER(KKslave,SIGN(AP395))+AM395*POWER(MUslave_MU,SIGN(AI395))*POWER(KLslave,SIGN(AJ395))*POWER(INslave,SIGN(AK395))*POWER(CHslave,SIGN(AL395))*POWER(GEslave,SIGN(AN395))*POWER(KOslave,SIGN(AO395))*POWER(KKslave,SIGN(AP395))+AN395*POWER(MUslave_MU,SIGN(AI395))*POWER(KLslave,SIGN(AJ395))*POWER(INslave,SIGN(AK395))*POWER(CHslave,SIGN(AL395))*POWER(FFslave,SIGN(AM395))*POWER(KOslave,SIGN(AO395))*POWER(KKslave,SIGN(AP395))+AO395*POWER(MUslave_MU,SIGN(AI395))*POWER(KLslave,SIGN(AJ395))*POWER(INslave,SIGN(AK395))*POWER(CHslave,SIGN(AL395))*POWER(FFslave,SIGN(AM395))*POWER(GEslave,SIGN(AN395))*POWER(KKslave,SIGN(AP395))+AP395*POWER(MUslave_MU,SIGN(AI395))*POWER(KLslave,SIGN(AJ395))*POWER(INslave,SIGN(AK395))*POWER(CHslave,SIGN(AL395))*POWER(FFslave,SIGN(AM395))*POWER(GEslave,SIGN(AN395))*POWER(KOslave,SIGN(AO395))</f>
        <v>2432</v>
      </c>
      <c r="AU395" s="122">
        <f>AI395*AJ395*INslave+AI395*KLslave*AK395+MUslave_MU*AJ395*AK395</f>
        <v>3408</v>
      </c>
      <c r="AV395" s="123">
        <f>IFERROR(AI395^SIGN(AI395),1)*IFERROR(AJ395^SIGN(AJ395),1)*IFERROR(AK395^SIGN(AK395),1)*IFERROR(AL395^SIGN(AL395),1)*IFERROR(AM395^SIGN(AM395),1)*IFERROR(AN395^SIGN(AN395),1)*IFERROR(AO395^SIGN(AO395),1)*IFERROR(AP395^SIGN(AP395),1)</f>
        <v>1584</v>
      </c>
      <c r="AW395" s="123">
        <f>SUM(AT395:AV395)</f>
        <v>7424</v>
      </c>
      <c r="AX395" s="90">
        <f>AQ395*AT395/AW395</f>
        <v>3.8218390804597702</v>
      </c>
      <c r="AY395" s="88">
        <f>AR395*AU395/AW395</f>
        <v>10.711206896551724</v>
      </c>
      <c r="AZ395" s="128">
        <f>AS395*AV395/AW395</f>
        <v>7.4676724137931032</v>
      </c>
      <c r="BA395" s="159">
        <f>SUM(AX395:AZ395)</f>
        <v>22.000718390804597</v>
      </c>
      <c r="BB395" s="165">
        <f t="shared" si="3938"/>
        <v>0</v>
      </c>
      <c r="BC395" s="44">
        <f>BA395-BB395</f>
        <v>22.000718390804597</v>
      </c>
      <c r="BD395" s="159">
        <f>IF(BA395&lt;=0,1,0)+IF(BA395&gt;0,BA395+1,0)*1+IF(BA395&gt;12,BA395-12,0)*1+IF(BA395&gt;13,BA395-13,0)*1+IF(BA395&gt;14,BA395-14,0)*1+IF(BA395&gt;15,BA395-15,0)*1+IF(BA395&gt;16,BA395-16,0)*1+IF(BA395&gt;17,BA395-17,0)*1+IF(BA395&gt;18,BA395-18,0)*1+IF(BA395&gt;19,BA395-19,0)*1+IF(BA395&gt;20,BA395-20,0)*1</f>
        <v>77.007183908045945</v>
      </c>
      <c r="BE395" s="115">
        <f>IF(BB395&lt;=0,1,0)+IF(BB395&gt;0,BB395+1,0)*1+IF(BB395&gt;12,BB395-12,0)*1+IF(BB395&gt;13,BB395-13,0)*1+IF(BB395&gt;14,BB395-14,0)*1+IF(BB395&gt;15,BB395-15,0)*1+IF(BB395&gt;16,BB395-16,0)*1+IF(BB395&gt;17,BB395-17,0)*1+IF(BB395&gt;18,BB395-18,0)*1+IF(BB395&gt;19,BB395-19,0)*1+IF(BB395&gt;20,BB395-20,0)*1</f>
        <v>1</v>
      </c>
      <c r="BF395" s="246">
        <f>IF((BD395-BE395)&gt;0,BD395-BE395,0)</f>
        <v>76.007183908045945</v>
      </c>
      <c r="BG395" s="246">
        <f>IF((BE395-BD395)&gt;0,BE395-BD395,0)</f>
        <v>0</v>
      </c>
      <c r="BI395" s="326" t="s">
        <v>433</v>
      </c>
      <c r="BJ395" s="314" t="s">
        <v>95</v>
      </c>
      <c r="BK395" s="225" t="s">
        <v>133</v>
      </c>
      <c r="BL395" s="238">
        <f>Konvention_1slave-MUslave</f>
        <v>12</v>
      </c>
      <c r="BM395" s="235">
        <f>Konvention_1slave-KLslave_KL</f>
        <v>11</v>
      </c>
      <c r="BN395" s="235">
        <f>Konvention_1slave-INslave</f>
        <v>12</v>
      </c>
      <c r="BO395" s="235"/>
      <c r="BP395" s="235"/>
      <c r="BQ395" s="235"/>
      <c r="BR395" s="235"/>
      <c r="BS395" s="227"/>
      <c r="BT395" s="225">
        <f>(BL395+BM395+BN395+BO395+BP395+BQ395+BR395+BS395)/3</f>
        <v>11.666666666666666</v>
      </c>
      <c r="BU395" s="226">
        <f>2*BT395</f>
        <v>23.333333333333332</v>
      </c>
      <c r="BV395" s="227">
        <f>3*BT395</f>
        <v>35</v>
      </c>
      <c r="BW395" s="238">
        <f>BL395*POWER(KLslave_KL,SIGN(BM395))*POWER(INslave,SIGN(BN395))*POWER(CHslave,SIGN(BO395))*POWER(FFslave,SIGN(BP395))*POWER(GEslave,SIGN(BQ395))*POWER(KOslave,SIGN(BR395))*POWER(KKslave,SIGN(BS395))+BM395*POWER(MUslave,SIGN(BL395))*POWER(INslave,SIGN(BN395))*POWER(CHslave,SIGN(BO395))*POWER(FFslave,SIGN(BP395))*POWER(GEslave,SIGN(BQ395))*POWER(KOslave,SIGN(BR395))*POWER(KKslave,SIGN(BS395))+BN395*POWER(MUslave,SIGN(BL395))*POWER(KLslave_KL,SIGN(BM395))*POWER(CHslave,SIGN(BO395))*POWER(FFslave,SIGN(BP395))*POWER(GEslave,SIGN(BQ395))*POWER(KOslave,SIGN(BR395))*POWER(KKslave,SIGN(BS395))+BO395*POWER(MUslave,SIGN(BL395))*POWER(KLslave_KL,SIGN(BM395))*POWER(INslave,SIGN(BN395))*POWER(FFslave,SIGN(BP395))*POWER(GEslave,SIGN(BQ395))*POWER(KOslave,SIGN(BR395))*POWER(KKslave,SIGN(BS395))+BP395*POWER(MUslave,SIGN(BL395))*POWER(KLslave_KL,SIGN(BM395))*POWER(INslave,SIGN(BN395))*POWER(CHslave,SIGN(BO395))*POWER(GEslave,SIGN(BQ395))*POWER(KOslave,SIGN(BR395))*POWER(KKslave,SIGN(BS395))+BQ395*POWER(MUslave,SIGN(BL395))*POWER(KLslave_KL,SIGN(BM395))*POWER(INslave,SIGN(BN395))*POWER(CHslave,SIGN(BO395))*POWER(FFslave,SIGN(BP395))*POWER(KOslave,SIGN(BR395))*POWER(KKslave,SIGN(BS395))+BR395*POWER(MUslave,SIGN(BL395))*POWER(KLslave_KL,SIGN(BM395))*POWER(INslave,SIGN(BN395))*POWER(CHslave,SIGN(BO395))*POWER(FFslave,SIGN(BP395))*POWER(GEslave,SIGN(BQ395))*POWER(KKslave,SIGN(BS395))+BS395*POWER(MUslave,SIGN(BL395))*POWER(KLslave_KL,SIGN(BM395))*POWER(INslave,SIGN(BN395))*POWER(CHslave,SIGN(BO395))*POWER(FFslave,SIGN(BP395))*POWER(GEslave,SIGN(BQ395))*POWER(KOslave,SIGN(BR395))</f>
        <v>2432</v>
      </c>
      <c r="BX395" s="235">
        <f>BL395*BM395*INslave+BL395*KLslave_KL*BN395+MUslave*BM395*BN395</f>
        <v>3408</v>
      </c>
      <c r="BY395" s="227">
        <f>IFERROR(BL395^SIGN(BL395),1)*IFERROR(BM395^SIGN(BM395),1)*IFERROR(BN395^SIGN(BN395),1)*IFERROR(BO395^SIGN(BO395),1)*IFERROR(BP395^SIGN(BP395),1)*IFERROR(BQ395^SIGN(BQ395),1)*IFERROR(BR395^SIGN(BR395),1)*IFERROR(BS395^SIGN(BS395),1)</f>
        <v>1584</v>
      </c>
      <c r="BZ395" s="227">
        <f>SUM(BW395:BY395)</f>
        <v>7424</v>
      </c>
      <c r="CA395" s="225">
        <f>BT395*BW395/BZ395</f>
        <v>3.8218390804597702</v>
      </c>
      <c r="CB395" s="226">
        <f>BU395*BX395/BZ395</f>
        <v>10.711206896551724</v>
      </c>
      <c r="CC395" s="245">
        <f>BV395*BY395/BZ395</f>
        <v>7.4676724137931032</v>
      </c>
      <c r="CD395" s="246">
        <f>SUM(CA395:CC395)</f>
        <v>22.000718390804597</v>
      </c>
      <c r="CE395" s="252">
        <f t="shared" si="3954"/>
        <v>0</v>
      </c>
      <c r="CF395" s="324">
        <f>CD395-CE395</f>
        <v>22.000718390804597</v>
      </c>
      <c r="CG395" s="246">
        <f>IF(CD395&lt;=0,1,0)+IF(CD395&gt;0,CD395+1,0)*1+IF(CD395&gt;12,CD395-12,0)*1+IF(CD395&gt;13,CD395-13,0)*1+IF(CD395&gt;14,CD395-14,0)*1+IF(CD395&gt;15,CD395-15,0)*1+IF(CD395&gt;16,CD395-16,0)*1+IF(CD395&gt;17,CD395-17,0)*1+IF(CD395&gt;18,CD395-18,0)*1+IF(CD395&gt;19,CD395-19,0)*1+IF(CD395&gt;20,CD395-20,0)*1</f>
        <v>77.007183908045945</v>
      </c>
      <c r="CH395" s="238">
        <f>IF(CE395&lt;=0,1,0)+IF(CE395&gt;0,CE395+1,0)*1+IF(CE395&gt;12,CE395-12,0)*1+IF(CE395&gt;13,CE395-13,0)*1+IF(CE395&gt;14,CE395-14,0)*1+IF(CE395&gt;15,CE395-15,0)*1+IF(CE395&gt;16,CE395-16,0)*1+IF(CE395&gt;17,CE395-17,0)*1+IF(CE395&gt;18,CE395-18,0)*1+IF(CE395&gt;19,CE395-19,0)*1+IF(CE395&gt;20,CE395-20,0)*1</f>
        <v>1</v>
      </c>
      <c r="CI395" s="246">
        <f>IF((CG395-CH395)&gt;0,CG395-CH395,0)</f>
        <v>76.007183908045945</v>
      </c>
      <c r="CJ395" s="246">
        <f>IF((CH395-CG395)&gt;0,CH395-CG395,0)</f>
        <v>0</v>
      </c>
      <c r="CL395" s="326" t="s">
        <v>433</v>
      </c>
      <c r="CM395" s="314" t="s">
        <v>95</v>
      </c>
      <c r="CN395" s="225" t="s">
        <v>133</v>
      </c>
      <c r="CO395" s="238">
        <f>Konvention_1slave-MUslave</f>
        <v>12</v>
      </c>
      <c r="CP395" s="235">
        <f>Konvention_1slave-KLslave</f>
        <v>12</v>
      </c>
      <c r="CQ395" s="235">
        <f>Konvention_1slave-INslave_IN</f>
        <v>11</v>
      </c>
      <c r="CR395" s="235"/>
      <c r="CS395" s="235"/>
      <c r="CT395" s="235"/>
      <c r="CU395" s="235"/>
      <c r="CV395" s="227"/>
      <c r="CW395" s="225">
        <f>(CO395+CP395+CQ395+CR395+CS395+CT395+CU395+CV395)/3</f>
        <v>11.666666666666666</v>
      </c>
      <c r="CX395" s="226">
        <f>2*CW395</f>
        <v>23.333333333333332</v>
      </c>
      <c r="CY395" s="227">
        <f>3*CW395</f>
        <v>35</v>
      </c>
      <c r="CZ395" s="238">
        <f>CO395*POWER(KLslave,SIGN(CP395))*POWER(INslave_IN,SIGN(CQ395))*POWER(CHslave,SIGN(CR395))*POWER(FFslave,SIGN(CS395))*POWER(GEslave,SIGN(CT395))*POWER(KOslave,SIGN(CU395))*POWER(KKslave,SIGN(CV395))+CP395*POWER(MUslave,SIGN(CO395))*POWER(INslave_IN,SIGN(CQ395))*POWER(CHslave,SIGN(CR395))*POWER(FFslave,SIGN(CS395))*POWER(GEslave,SIGN(CT395))*POWER(KOslave,SIGN(CU395))*POWER(KKslave,SIGN(CV395))+CQ395*POWER(MUslave,SIGN(CO395))*POWER(KLslave,SIGN(CP395))*POWER(CHslave,SIGN(CR395))*POWER(FFslave,SIGN(CS395))*POWER(GEslave,SIGN(CT395))*POWER(KOslave,SIGN(CU395))*POWER(KKslave,SIGN(CV395))+CR395*POWER(MUslave,SIGN(CO395))*POWER(KLslave,SIGN(CP395))*POWER(INslave_IN,SIGN(CQ395))*POWER(FFslave,SIGN(CS395))*POWER(GEslave,SIGN(CT395))*POWER(KOslave,SIGN(CU395))*POWER(KKslave,SIGN(CV395))+CS395*POWER(MUslave,SIGN(CO395))*POWER(KLslave,SIGN(CP395))*POWER(INslave_IN,SIGN(CQ395))*POWER(CHslave,SIGN(CR395))*POWER(GEslave,SIGN(CT395))*POWER(KOslave,SIGN(CU395))*POWER(KKslave,SIGN(CV395))+CT395*POWER(MUslave,SIGN(CO395))*POWER(KLslave,SIGN(CP395))*POWER(INslave_IN,SIGN(CQ395))*POWER(CHslave,SIGN(CR395))*POWER(FFslave,SIGN(CS395))*POWER(KOslave,SIGN(CU395))*POWER(KKslave,SIGN(CV395))+CU395*POWER(MUslave,SIGN(CO395))*POWER(KLslave,SIGN(CP395))*POWER(INslave_IN,SIGN(CQ395))*POWER(CHslave,SIGN(CR395))*POWER(FFslave,SIGN(CS395))*POWER(GEslave,SIGN(CT395))*POWER(KKslave,SIGN(CV395))+CV395*POWER(MUslave,SIGN(CO395))*POWER(KLslave,SIGN(CP395))*POWER(INslave_IN,SIGN(CQ395))*POWER(CHslave,SIGN(CR395))*POWER(FFslave,SIGN(CS395))*POWER(GEslave,SIGN(CT395))*POWER(KOslave,SIGN(CU395))</f>
        <v>2432</v>
      </c>
      <c r="DA395" s="235">
        <f>CO395*CP395*INslave_IN+CO395*KLslave*CQ395+MUslave*CP395*CQ395</f>
        <v>3408</v>
      </c>
      <c r="DB395" s="227">
        <f>IFERROR(CO395^SIGN(CO395),1)*IFERROR(CP395^SIGN(CP395),1)*IFERROR(CQ395^SIGN(CQ395),1)*IFERROR(CR395^SIGN(CR395),1)*IFERROR(CS395^SIGN(CS395),1)*IFERROR(CT395^SIGN(CT395),1)*IFERROR(CU395^SIGN(CU395),1)*IFERROR(CV395^SIGN(CV395),1)</f>
        <v>1584</v>
      </c>
      <c r="DC395" s="227">
        <f>SUM(CZ395:DB395)</f>
        <v>7424</v>
      </c>
      <c r="DD395" s="225">
        <f>CW395*CZ395/DC395</f>
        <v>3.8218390804597702</v>
      </c>
      <c r="DE395" s="226">
        <f>CX395*DA395/DC395</f>
        <v>10.711206896551724</v>
      </c>
      <c r="DF395" s="245">
        <f>CY395*DB395/DC395</f>
        <v>7.4676724137931032</v>
      </c>
      <c r="DG395" s="246">
        <f>SUM(DD395:DF395)</f>
        <v>22.000718390804597</v>
      </c>
      <c r="DH395" s="252">
        <f t="shared" si="3970"/>
        <v>0</v>
      </c>
      <c r="DI395" s="324">
        <f>DG395-DH395</f>
        <v>22.000718390804597</v>
      </c>
      <c r="DJ395" s="246">
        <f>IF(DG395&lt;=0,1,0)+IF(DG395&gt;0,DG395+1,0)*1+IF(DG395&gt;12,DG395-12,0)*1+IF(DG395&gt;13,DG395-13,0)*1+IF(DG395&gt;14,DG395-14,0)*1+IF(DG395&gt;15,DG395-15,0)*1+IF(DG395&gt;16,DG395-16,0)*1+IF(DG395&gt;17,DG395-17,0)*1+IF(DG395&gt;18,DG395-18,0)*1+IF(DG395&gt;19,DG395-19,0)*1+IF(DG395&gt;20,DG395-20,0)*1</f>
        <v>77.007183908045945</v>
      </c>
      <c r="DK395" s="238">
        <f>IF(DH395&lt;=0,1,0)+IF(DH395&gt;0,DH395+1,0)*1+IF(DH395&gt;12,DH395-12,0)*1+IF(DH395&gt;13,DH395-13,0)*1+IF(DH395&gt;14,DH395-14,0)*1+IF(DH395&gt;15,DH395-15,0)*1+IF(DH395&gt;16,DH395-16,0)*1+IF(DH395&gt;17,DH395-17,0)*1+IF(DH395&gt;18,DH395-18,0)*1+IF(DH395&gt;19,DH395-19,0)*1+IF(DH395&gt;20,DH395-20,0)*1</f>
        <v>1</v>
      </c>
      <c r="DL395" s="246">
        <f>IF((DJ395-DK395)&gt;0,DJ395-DK395,0)</f>
        <v>76.007183908045945</v>
      </c>
      <c r="DM395" s="246">
        <f>IF((DK395-DJ395)&gt;0,DK395-DJ395,0)</f>
        <v>0</v>
      </c>
      <c r="DO395" s="326" t="s">
        <v>433</v>
      </c>
      <c r="DP395" s="314" t="s">
        <v>95</v>
      </c>
      <c r="DQ395" s="225" t="s">
        <v>133</v>
      </c>
      <c r="DR395" s="238">
        <f>Konvention_1slave-MUslave</f>
        <v>12</v>
      </c>
      <c r="DS395" s="235">
        <f>Konvention_1slave-KLslave</f>
        <v>12</v>
      </c>
      <c r="DT395" s="235">
        <f>Konvention_1slave-INslave</f>
        <v>12</v>
      </c>
      <c r="DU395" s="235"/>
      <c r="DV395" s="235"/>
      <c r="DW395" s="235"/>
      <c r="DX395" s="235"/>
      <c r="DY395" s="227"/>
      <c r="DZ395" s="225">
        <f>(DR395+DS395+DT395+DU395+DV395+DW395+DX395+DY395)/3</f>
        <v>12</v>
      </c>
      <c r="EA395" s="226">
        <f>2*DZ395</f>
        <v>24</v>
      </c>
      <c r="EB395" s="227">
        <f>3*DZ395</f>
        <v>36</v>
      </c>
      <c r="EC395" s="238">
        <f>DR395*POWER(KLslave,SIGN(DS395))*POWER(INslave,SIGN(DT395))*POWER(CHslave_CH,SIGN(DU395))*POWER(FFslave,SIGN(DV395))*POWER(GEslave,SIGN(DW395))*POWER(KOslave,SIGN(DX395))*POWER(KKslave,SIGN(DY395))+DS395*POWER(MUslave,SIGN(DR395))*POWER(INslave,SIGN(DT395))*POWER(CHslave_CH,SIGN(DU395))*POWER(FFslave,SIGN(DV395))*POWER(GEslave,SIGN(DW395))*POWER(KOslave,SIGN(DX395))*POWER(KKslave,SIGN(DY395))+DT395*POWER(MUslave,SIGN(DR395))*POWER(KLslave,SIGN(DS395))*POWER(CHslave_CH,SIGN(DU395))*POWER(FFslave,SIGN(DV395))*POWER(GEslave,SIGN(DW395))*POWER(KOslave,SIGN(DX395))*POWER(KKslave,SIGN(DY395))+DU395*POWER(MUslave,SIGN(DR395))*POWER(KLslave,SIGN(DS395))*POWER(INslave,SIGN(DT395))*POWER(FFslave,SIGN(DV395))*POWER(GEslave,SIGN(DW395))*POWER(KOslave,SIGN(DX395))*POWER(KKslave,SIGN(DY395))+DV395*POWER(MUslave,SIGN(DR395))*POWER(KLslave,SIGN(DS395))*POWER(INslave,SIGN(DT395))*POWER(CHslave_CH,SIGN(DU395))*POWER(GEslave,SIGN(DW395))*POWER(KOslave,SIGN(DX395))*POWER(KKslave,SIGN(DY395))+DW395*POWER(MUslave,SIGN(DR395))*POWER(KLslave,SIGN(DS395))*POWER(INslave,SIGN(DT395))*POWER(CHslave_CH,SIGN(DU395))*POWER(FFslave,SIGN(DV395))*POWER(KOslave,SIGN(DX395))*POWER(KKslave,SIGN(DY395))+DX395*POWER(MUslave,SIGN(DR395))*POWER(KLslave,SIGN(DS395))*POWER(INslave,SIGN(DT395))*POWER(CHslave_CH,SIGN(DU395))*POWER(FFslave,SIGN(DV395))*POWER(GEslave,SIGN(DW395))*POWER(KKslave,SIGN(DY395))+DY395*POWER(MUslave,SIGN(DR395))*POWER(KLslave,SIGN(DS395))*POWER(INslave,SIGN(DT395))*POWER(CHslave_CH,SIGN(DU395))*POWER(FFslave,SIGN(DV395))*POWER(GEslave,SIGN(DW395))*POWER(KOslave,SIGN(DX395))</f>
        <v>2304</v>
      </c>
      <c r="ED395" s="235">
        <f>DR395*DS395*INslave+DR395*KLslave*DT395+MUslave*DS395*DT395</f>
        <v>3456</v>
      </c>
      <c r="EE395" s="227">
        <f>IFERROR(DR395^SIGN(DR395),1)*IFERROR(DS395^SIGN(DS395),1)*IFERROR(DT395^SIGN(DT395),1)*IFERROR(DU395^SIGN(DU395),1)*IFERROR(DV395^SIGN(DV395),1)*IFERROR(DW395^SIGN(DW395),1)*IFERROR(DX395^SIGN(DX395),1)*IFERROR(DY395^SIGN(DY395),1)</f>
        <v>1728</v>
      </c>
      <c r="EF395" s="227">
        <f>SUM(EC395:EE395)</f>
        <v>7488</v>
      </c>
      <c r="EG395" s="225">
        <f>DZ395*EC395/EF395</f>
        <v>3.6923076923076925</v>
      </c>
      <c r="EH395" s="226">
        <f>EA395*ED395/EF395</f>
        <v>11.076923076923077</v>
      </c>
      <c r="EI395" s="245">
        <f>EB395*EE395/EF395</f>
        <v>8.3076923076923084</v>
      </c>
      <c r="EJ395" s="246">
        <f>SUM(EG395:EI395)</f>
        <v>23.07692307692308</v>
      </c>
      <c r="EK395" s="252">
        <f t="shared" si="3986"/>
        <v>0</v>
      </c>
      <c r="EL395" s="324">
        <f>EJ395-EK395</f>
        <v>23.07692307692308</v>
      </c>
      <c r="EM395" s="246">
        <f>IF(EJ395&lt;=0,1,0)+IF(EJ395&gt;0,EJ395+1,0)*1+IF(EJ395&gt;12,EJ395-12,0)*1+IF(EJ395&gt;13,EJ395-13,0)*1+IF(EJ395&gt;14,EJ395-14,0)*1+IF(EJ395&gt;15,EJ395-15,0)*1+IF(EJ395&gt;16,EJ395-16,0)*1+IF(EJ395&gt;17,EJ395-17,0)*1+IF(EJ395&gt;18,EJ395-18,0)*1+IF(EJ395&gt;19,EJ395-19,0)*1+IF(EJ395&gt;20,EJ395-20,0)*1</f>
        <v>87.769230769230802</v>
      </c>
      <c r="EN395" s="238">
        <f>IF(EK395&lt;=0,1,0)+IF(EK395&gt;0,EK395+1,0)*1+IF(EK395&gt;12,EK395-12,0)*1+IF(EK395&gt;13,EK395-13,0)*1+IF(EK395&gt;14,EK395-14,0)*1+IF(EK395&gt;15,EK395-15,0)*1+IF(EK395&gt;16,EK395-16,0)*1+IF(EK395&gt;17,EK395-17,0)*1+IF(EK395&gt;18,EK395-18,0)*1+IF(EK395&gt;19,EK395-19,0)*1+IF(EK395&gt;20,EK395-20,0)*1</f>
        <v>1</v>
      </c>
      <c r="EO395" s="246">
        <f>IF((EM395-EN395)&gt;0,EM395-EN395,0)</f>
        <v>86.769230769230802</v>
      </c>
      <c r="EP395" s="246">
        <f>IF((EN395-EM395)&gt;0,EN395-EM395,0)</f>
        <v>0</v>
      </c>
      <c r="ER395" s="326" t="s">
        <v>433</v>
      </c>
      <c r="ES395" s="314" t="s">
        <v>95</v>
      </c>
      <c r="ET395" s="225" t="s">
        <v>133</v>
      </c>
      <c r="EU395" s="238">
        <f>Konvention_1slave-MUslave</f>
        <v>12</v>
      </c>
      <c r="EV395" s="235">
        <f>Konvention_1slave-KLslave</f>
        <v>12</v>
      </c>
      <c r="EW395" s="235">
        <f>Konvention_1slave-INslave</f>
        <v>12</v>
      </c>
      <c r="EX395" s="235"/>
      <c r="EY395" s="235"/>
      <c r="EZ395" s="235"/>
      <c r="FA395" s="235"/>
      <c r="FB395" s="227"/>
      <c r="FC395" s="225">
        <f>(EU395+EV395+EW395+EX395+EY395+EZ395+FA395+FB395)/3</f>
        <v>12</v>
      </c>
      <c r="FD395" s="226">
        <f>2*FC395</f>
        <v>24</v>
      </c>
      <c r="FE395" s="227">
        <f>3*FC395</f>
        <v>36</v>
      </c>
      <c r="FF395" s="238">
        <f>EU395*POWER(KLslave,SIGN(EV395))*POWER(INslave,SIGN(EW395))*POWER(CHslave,SIGN(EX395))*POWER(FFslave_FF,SIGN(EY395))*POWER(GEslave,SIGN(EZ395))*POWER(KOslave,SIGN(FA395))*POWER(KKslave,SIGN(FB395))+EV395*POWER(MUslave,SIGN(EU395))*POWER(INslave,SIGN(EW395))*POWER(CHslave,SIGN(EX395))*POWER(FFslave_FF,SIGN(EY395))*POWER(GEslave,SIGN(EZ395))*POWER(KOslave,SIGN(FA395))*POWER(KKslave,SIGN(FB395))+EW395*POWER(MUslave,SIGN(EU395))*POWER(KLslave,SIGN(EV395))*POWER(CHslave,SIGN(EX395))*POWER(FFslave_FF,SIGN(EY395))*POWER(GEslave,SIGN(EZ395))*POWER(KOslave,SIGN(FA395))*POWER(KKslave,SIGN(FB395))+EX395*POWER(MUslave,SIGN(EU395))*POWER(KLslave,SIGN(EV395))*POWER(INslave,SIGN(EW395))*POWER(FFslave_FF,SIGN(EY395))*POWER(GEslave,SIGN(EZ395))*POWER(KOslave,SIGN(FA395))*POWER(KKslave,SIGN(FB395))+EY395*POWER(MUslave,SIGN(EU395))*POWER(KLslave,SIGN(EV395))*POWER(INslave,SIGN(EW395))*POWER(CHslave,SIGN(EX395))*POWER(GEslave,SIGN(EZ395))*POWER(KOslave,SIGN(FA395))*POWER(KKslave,SIGN(FB395))+EZ395*POWER(MUslave,SIGN(EU395))*POWER(KLslave,SIGN(EV395))*POWER(INslave,SIGN(EW395))*POWER(CHslave,SIGN(EX395))*POWER(FFslave_FF,SIGN(EY395))*POWER(KOslave,SIGN(FA395))*POWER(KKslave,SIGN(FB395))+FA395*POWER(MUslave,SIGN(EU395))*POWER(KLslave,SIGN(EV395))*POWER(INslave,SIGN(EW395))*POWER(CHslave,SIGN(EX395))*POWER(FFslave_FF,SIGN(EY395))*POWER(GEslave,SIGN(EZ395))*POWER(KKslave,SIGN(FB395))+FB395*POWER(MUslave,SIGN(EU395))*POWER(KLslave,SIGN(EV395))*POWER(INslave,SIGN(EW395))*POWER(CHslave,SIGN(EX395))*POWER(FFslave_FF,SIGN(EY395))*POWER(GEslave,SIGN(EZ395))*POWER(KOslave,SIGN(FA395))</f>
        <v>2304</v>
      </c>
      <c r="FG395" s="235">
        <f>EU395*EV395*INslave+EU395*KLslave*EW395+MUslave*EV395*EW395</f>
        <v>3456</v>
      </c>
      <c r="FH395" s="227">
        <f>IFERROR(EU395^SIGN(EU395),1)*IFERROR(EV395^SIGN(EV395),1)*IFERROR(EW395^SIGN(EW395),1)*IFERROR(EX395^SIGN(EX395),1)*IFERROR(EY395^SIGN(EY395),1)*IFERROR(EZ395^SIGN(EZ395),1)*IFERROR(FA395^SIGN(FA395),1)*IFERROR(FB395^SIGN(FB395),1)</f>
        <v>1728</v>
      </c>
      <c r="FI395" s="227">
        <f>SUM(FF395:FH395)</f>
        <v>7488</v>
      </c>
      <c r="FJ395" s="225">
        <f>FC395*FF395/FI395</f>
        <v>3.6923076923076925</v>
      </c>
      <c r="FK395" s="226">
        <f>FD395*FG395/FI395</f>
        <v>11.076923076923077</v>
      </c>
      <c r="FL395" s="245">
        <f>FE395*FH395/FI395</f>
        <v>8.3076923076923084</v>
      </c>
      <c r="FM395" s="246">
        <f>SUM(FJ395:FL395)</f>
        <v>23.07692307692308</v>
      </c>
      <c r="FN395" s="252">
        <f t="shared" si="4002"/>
        <v>0</v>
      </c>
      <c r="FO395" s="324">
        <f>FM395-FN395</f>
        <v>23.07692307692308</v>
      </c>
      <c r="FP395" s="246">
        <f>IF(FM395&lt;=0,1,0)+IF(FM395&gt;0,FM395+1,0)*1+IF(FM395&gt;12,FM395-12,0)*1+IF(FM395&gt;13,FM395-13,0)*1+IF(FM395&gt;14,FM395-14,0)*1+IF(FM395&gt;15,FM395-15,0)*1+IF(FM395&gt;16,FM395-16,0)*1+IF(FM395&gt;17,FM395-17,0)*1+IF(FM395&gt;18,FM395-18,0)*1+IF(FM395&gt;19,FM395-19,0)*1+IF(FM395&gt;20,FM395-20,0)*1</f>
        <v>87.769230769230802</v>
      </c>
      <c r="FQ395" s="238">
        <f>IF(FN395&lt;=0,1,0)+IF(FN395&gt;0,FN395+1,0)*1+IF(FN395&gt;12,FN395-12,0)*1+IF(FN395&gt;13,FN395-13,0)*1+IF(FN395&gt;14,FN395-14,0)*1+IF(FN395&gt;15,FN395-15,0)*1+IF(FN395&gt;16,FN395-16,0)*1+IF(FN395&gt;17,FN395-17,0)*1+IF(FN395&gt;18,FN395-18,0)*1+IF(FN395&gt;19,FN395-19,0)*1+IF(FN395&gt;20,FN395-20,0)*1</f>
        <v>1</v>
      </c>
      <c r="FR395" s="246">
        <f>IF((FP395-FQ395)&gt;0,FP395-FQ395,0)</f>
        <v>86.769230769230802</v>
      </c>
      <c r="FS395" s="246">
        <f>IF((FQ395-FP395)&gt;0,FQ395-FP395,0)</f>
        <v>0</v>
      </c>
      <c r="FU395" s="326" t="s">
        <v>433</v>
      </c>
      <c r="FV395" s="314" t="s">
        <v>95</v>
      </c>
      <c r="FW395" s="225" t="s">
        <v>133</v>
      </c>
      <c r="FX395" s="238">
        <f>Konvention_1slave-MUslave</f>
        <v>12</v>
      </c>
      <c r="FY395" s="235">
        <f>Konvention_1slave-KLslave</f>
        <v>12</v>
      </c>
      <c r="FZ395" s="235">
        <f>Konvention_1slave-INslave</f>
        <v>12</v>
      </c>
      <c r="GA395" s="235"/>
      <c r="GB395" s="235"/>
      <c r="GC395" s="235"/>
      <c r="GD395" s="235"/>
      <c r="GE395" s="227"/>
      <c r="GF395" s="225">
        <f>(FX395+FY395+FZ395+GA395+GB395+GC395+GD395+GE395)/3</f>
        <v>12</v>
      </c>
      <c r="GG395" s="226">
        <f>2*GF395</f>
        <v>24</v>
      </c>
      <c r="GH395" s="227">
        <f>3*GF395</f>
        <v>36</v>
      </c>
      <c r="GI395" s="238">
        <f>FX395*POWER(KLslave,SIGN(FY395))*POWER(INslave,SIGN(FZ395))*POWER(CHslave,SIGN(GA395))*POWER(FFslave,SIGN(GB395))*POWER(GEslave_GE,SIGN(GC395))*POWER(KOslave,SIGN(GD395))*POWER(KKslave,SIGN(GE395))+FY395*POWER(MUslave,SIGN(FX395))*POWER(INslave,SIGN(FZ395))*POWER(CHslave,SIGN(GA395))*POWER(FFslave,SIGN(GB395))*POWER(GEslave_GE,SIGN(GC395))*POWER(KOslave,SIGN(GD395))*POWER(KKslave,SIGN(GE395))+FZ395*POWER(MUslave,SIGN(FX395))*POWER(KLslave,SIGN(FY395))*POWER(CHslave,SIGN(GA395))*POWER(FFslave,SIGN(GB395))*POWER(GEslave_GE,SIGN(GC395))*POWER(KOslave,SIGN(GD395))*POWER(KKslave,SIGN(GE395))+GA395*POWER(MUslave,SIGN(FX395))*POWER(KLslave,SIGN(FY395))*POWER(INslave,SIGN(FZ395))*POWER(FFslave,SIGN(GB395))*POWER(GEslave_GE,SIGN(GC395))*POWER(KOslave,SIGN(GD395))*POWER(KKslave,SIGN(GE395))+GB395*POWER(MUslave,SIGN(FX395))*POWER(KLslave,SIGN(FY395))*POWER(INslave,SIGN(FZ395))*POWER(CHslave,SIGN(GA395))*POWER(GEslave_GE,SIGN(GC395))*POWER(KOslave,SIGN(GD395))*POWER(KKslave,SIGN(GE395))+GC395*POWER(MUslave,SIGN(FX395))*POWER(KLslave,SIGN(FY395))*POWER(INslave,SIGN(FZ395))*POWER(CHslave,SIGN(GA395))*POWER(FFslave,SIGN(GB395))*POWER(KOslave,SIGN(GD395))*POWER(KKslave,SIGN(GE395))+GD395*POWER(MUslave,SIGN(FX395))*POWER(KLslave,SIGN(FY395))*POWER(INslave,SIGN(FZ395))*POWER(CHslave,SIGN(GA395))*POWER(FFslave,SIGN(GB395))*POWER(GEslave_GE,SIGN(GC395))*POWER(KKslave,SIGN(GE395))+GE395*POWER(MUslave,SIGN(FX395))*POWER(KLslave,SIGN(FY395))*POWER(INslave,SIGN(FZ395))*POWER(CHslave,SIGN(GA395))*POWER(FFslave,SIGN(GB395))*POWER(GEslave_GE,SIGN(GC395))*POWER(KOslave,SIGN(GD395))</f>
        <v>2304</v>
      </c>
      <c r="GJ395" s="235">
        <f>FX395*FY395*INslave+FX395*KLslave*FZ395+MUslave*FY395*FZ395</f>
        <v>3456</v>
      </c>
      <c r="GK395" s="227">
        <f>IFERROR(FX395^SIGN(FX395),1)*IFERROR(FY395^SIGN(FY395),1)*IFERROR(FZ395^SIGN(FZ395),1)*IFERROR(GA395^SIGN(GA395),1)*IFERROR(GB395^SIGN(GB395),1)*IFERROR(GC395^SIGN(GC395),1)*IFERROR(GD395^SIGN(GD395),1)*IFERROR(GE395^SIGN(GE395),1)</f>
        <v>1728</v>
      </c>
      <c r="GL395" s="227">
        <f>SUM(GI395:GK395)</f>
        <v>7488</v>
      </c>
      <c r="GM395" s="225">
        <f>GF395*GI395/GL395</f>
        <v>3.6923076923076925</v>
      </c>
      <c r="GN395" s="226">
        <f>GG395*GJ395/GL395</f>
        <v>11.076923076923077</v>
      </c>
      <c r="GO395" s="245">
        <f>GH395*GK395/GL395</f>
        <v>8.3076923076923084</v>
      </c>
      <c r="GP395" s="246">
        <f>SUM(GM395:GO395)</f>
        <v>23.07692307692308</v>
      </c>
      <c r="GQ395" s="252">
        <f t="shared" si="4018"/>
        <v>0</v>
      </c>
      <c r="GR395" s="324">
        <f>GP395-GQ395</f>
        <v>23.07692307692308</v>
      </c>
      <c r="GS395" s="246">
        <f>IF(GP395&lt;=0,1,0)+IF(GP395&gt;0,GP395+1,0)*1+IF(GP395&gt;12,GP395-12,0)*1+IF(GP395&gt;13,GP395-13,0)*1+IF(GP395&gt;14,GP395-14,0)*1+IF(GP395&gt;15,GP395-15,0)*1+IF(GP395&gt;16,GP395-16,0)*1+IF(GP395&gt;17,GP395-17,0)*1+IF(GP395&gt;18,GP395-18,0)*1+IF(GP395&gt;19,GP395-19,0)*1+IF(GP395&gt;20,GP395-20,0)*1</f>
        <v>87.769230769230802</v>
      </c>
      <c r="GT395" s="238">
        <f>IF(GQ395&lt;=0,1,0)+IF(GQ395&gt;0,GQ395+1,0)*1+IF(GQ395&gt;12,GQ395-12,0)*1+IF(GQ395&gt;13,GQ395-13,0)*1+IF(GQ395&gt;14,GQ395-14,0)*1+IF(GQ395&gt;15,GQ395-15,0)*1+IF(GQ395&gt;16,GQ395-16,0)*1+IF(GQ395&gt;17,GQ395-17,0)*1+IF(GQ395&gt;18,GQ395-18,0)*1+IF(GQ395&gt;19,GQ395-19,0)*1+IF(GQ395&gt;20,GQ395-20,0)*1</f>
        <v>1</v>
      </c>
      <c r="GU395" s="246">
        <f>IF((GS395-GT395)&gt;0,GS395-GT395,0)</f>
        <v>86.769230769230802</v>
      </c>
      <c r="GV395" s="246">
        <f>IF((GT395-GS395)&gt;0,GT395-GS395,0)</f>
        <v>0</v>
      </c>
      <c r="GX395" s="326" t="s">
        <v>433</v>
      </c>
      <c r="GY395" s="314" t="s">
        <v>95</v>
      </c>
      <c r="GZ395" s="225" t="s">
        <v>133</v>
      </c>
      <c r="HA395" s="238">
        <f>Konvention_1slave-MUslave</f>
        <v>12</v>
      </c>
      <c r="HB395" s="235">
        <f>Konvention_1slave-KLslave</f>
        <v>12</v>
      </c>
      <c r="HC395" s="235">
        <f>Konvention_1slave-INslave</f>
        <v>12</v>
      </c>
      <c r="HD395" s="235"/>
      <c r="HE395" s="235"/>
      <c r="HF395" s="235"/>
      <c r="HG395" s="235"/>
      <c r="HH395" s="227"/>
      <c r="HI395" s="225">
        <f>(HA395+HB395+HC395+HD395+HE395+HF395+HG395+HH395)/3</f>
        <v>12</v>
      </c>
      <c r="HJ395" s="226">
        <f>2*HI395</f>
        <v>24</v>
      </c>
      <c r="HK395" s="227">
        <f>3*HI395</f>
        <v>36</v>
      </c>
      <c r="HL395" s="238">
        <f>HA395*POWER(KLslave,SIGN(HB395))*POWER(INslave,SIGN(HC395))*POWER(CHslave,SIGN(HD395))*POWER(FFslave,SIGN(HE395))*POWER(GEslave,SIGN(HF395))*POWER(KOslave_KO,SIGN(HG395))*POWER(KKslave,SIGN(HH395))+HB395*POWER(MUslave,SIGN(HA395))*POWER(INslave,SIGN(HC395))*POWER(CHslave,SIGN(HD395))*POWER(FFslave,SIGN(HE395))*POWER(GEslave,SIGN(HF395))*POWER(KOslave_KO,SIGN(HG395))*POWER(KKslave,SIGN(HH395))+HC395*POWER(MUslave,SIGN(HA395))*POWER(KLslave,SIGN(HB395))*POWER(CHslave,SIGN(HD395))*POWER(FFslave,SIGN(HE395))*POWER(GEslave,SIGN(HF395))*POWER(KOslave_KO,SIGN(HG395))*POWER(KKslave,SIGN(HH395))+HD395*POWER(MUslave,SIGN(HA395))*POWER(KLslave,SIGN(HB395))*POWER(INslave,SIGN(HC395))*POWER(FFslave,SIGN(HE395))*POWER(GEslave,SIGN(HF395))*POWER(KOslave_KO,SIGN(HG395))*POWER(KKslave,SIGN(HH395))+HE395*POWER(MUslave,SIGN(HA395))*POWER(KLslave,SIGN(HB395))*POWER(INslave,SIGN(HC395))*POWER(CHslave,SIGN(HD395))*POWER(GEslave,SIGN(HF395))*POWER(KOslave_KO,SIGN(HG395))*POWER(KKslave,SIGN(HH395))+HF395*POWER(MUslave,SIGN(HA395))*POWER(KLslave,SIGN(HB395))*POWER(INslave,SIGN(HC395))*POWER(CHslave,SIGN(HD395))*POWER(FFslave,SIGN(HE395))*POWER(KOslave_KO,SIGN(HG395))*POWER(KKslave,SIGN(HH395))+HG395*POWER(MUslave,SIGN(HA395))*POWER(KLslave,SIGN(HB395))*POWER(INslave,SIGN(HC395))*POWER(CHslave,SIGN(HD395))*POWER(FFslave,SIGN(HE395))*POWER(GEslave,SIGN(HF395))*POWER(KKslave,SIGN(HH395))+HH395*POWER(MUslave,SIGN(HA395))*POWER(KLslave,SIGN(HB395))*POWER(INslave,SIGN(HC395))*POWER(CHslave,SIGN(HD395))*POWER(FFslave,SIGN(HE395))*POWER(GEslave,SIGN(HF395))*POWER(KOslave_KO,SIGN(HG395))</f>
        <v>2304</v>
      </c>
      <c r="HM395" s="235">
        <f>HA395*HB395*INslave+HA395*KLslave*HC395+MUslave*HB395*HC395</f>
        <v>3456</v>
      </c>
      <c r="HN395" s="227">
        <f>IFERROR(HA395^SIGN(HA395),1)*IFERROR(HB395^SIGN(HB395),1)*IFERROR(HC395^SIGN(HC395),1)*IFERROR(HD395^SIGN(HD395),1)*IFERROR(HE395^SIGN(HE395),1)*IFERROR(HF395^SIGN(HF395),1)*IFERROR(HG395^SIGN(HG395),1)*IFERROR(HH395^SIGN(HH395),1)</f>
        <v>1728</v>
      </c>
      <c r="HO395" s="227">
        <f>SUM(HL395:HN395)</f>
        <v>7488</v>
      </c>
      <c r="HP395" s="225">
        <f>HI395*HL395/HO395</f>
        <v>3.6923076923076925</v>
      </c>
      <c r="HQ395" s="226">
        <f>HJ395*HM395/HO395</f>
        <v>11.076923076923077</v>
      </c>
      <c r="HR395" s="245">
        <f>HK395*HN395/HO395</f>
        <v>8.3076923076923084</v>
      </c>
      <c r="HS395" s="246">
        <f>SUM(HP395:HR395)</f>
        <v>23.07692307692308</v>
      </c>
      <c r="HT395" s="252">
        <f t="shared" si="4034"/>
        <v>0</v>
      </c>
      <c r="HU395" s="324">
        <f>HS395-HT395</f>
        <v>23.07692307692308</v>
      </c>
      <c r="HV395" s="246">
        <f>IF(HS395&lt;=0,1,0)+IF(HS395&gt;0,HS395+1,0)*1+IF(HS395&gt;12,HS395-12,0)*1+IF(HS395&gt;13,HS395-13,0)*1+IF(HS395&gt;14,HS395-14,0)*1+IF(HS395&gt;15,HS395-15,0)*1+IF(HS395&gt;16,HS395-16,0)*1+IF(HS395&gt;17,HS395-17,0)*1+IF(HS395&gt;18,HS395-18,0)*1+IF(HS395&gt;19,HS395-19,0)*1+IF(HS395&gt;20,HS395-20,0)*1</f>
        <v>87.769230769230802</v>
      </c>
      <c r="HW395" s="238">
        <f>IF(HT395&lt;=0,1,0)+IF(HT395&gt;0,HT395+1,0)*1+IF(HT395&gt;12,HT395-12,0)*1+IF(HT395&gt;13,HT395-13,0)*1+IF(HT395&gt;14,HT395-14,0)*1+IF(HT395&gt;15,HT395-15,0)*1+IF(HT395&gt;16,HT395-16,0)*1+IF(HT395&gt;17,HT395-17,0)*1+IF(HT395&gt;18,HT395-18,0)*1+IF(HT395&gt;19,HT395-19,0)*1+IF(HT395&gt;20,HT395-20,0)*1</f>
        <v>1</v>
      </c>
      <c r="HX395" s="246">
        <f>IF((HV395-HW395)&gt;0,HV395-HW395,0)</f>
        <v>86.769230769230802</v>
      </c>
      <c r="HY395" s="246">
        <f>IF((HW395-HV395)&gt;0,HW395-HV395,0)</f>
        <v>0</v>
      </c>
      <c r="IA395" s="326" t="s">
        <v>433</v>
      </c>
      <c r="IB395" s="314" t="s">
        <v>95</v>
      </c>
      <c r="IC395" s="225" t="s">
        <v>133</v>
      </c>
      <c r="ID395" s="238">
        <f>Konvention_1slave-MUslave</f>
        <v>12</v>
      </c>
      <c r="IE395" s="235">
        <f>Konvention_1slave-KLslave</f>
        <v>12</v>
      </c>
      <c r="IF395" s="235">
        <f>Konvention_1slave-INslave</f>
        <v>12</v>
      </c>
      <c r="IG395" s="235"/>
      <c r="IH395" s="235"/>
      <c r="II395" s="235"/>
      <c r="IJ395" s="235"/>
      <c r="IK395" s="227"/>
      <c r="IL395" s="225">
        <f>(ID395+IE395+IF395+IG395+IH395+II395+IJ395+IK395)/3</f>
        <v>12</v>
      </c>
      <c r="IM395" s="226">
        <f>2*IL395</f>
        <v>24</v>
      </c>
      <c r="IN395" s="227">
        <f>3*IL395</f>
        <v>36</v>
      </c>
      <c r="IO395" s="238">
        <f>ID395*POWER(KLslave,SIGN(IE395))*POWER(INslave,SIGN(IF395))*POWER(CHslave,SIGN(IG395))*POWER(FFslave,SIGN(IH395))*POWER(GEslave,SIGN(II395))*POWER(KOslave,SIGN(IJ395))*POWER(KKslave_KK,SIGN(IK395))+IE395*POWER(MUslave,SIGN(ID395))*POWER(INslave,SIGN(IF395))*POWER(CHslave,SIGN(IG395))*POWER(FFslave,SIGN(IH395))*POWER(GEslave,SIGN(II395))*POWER(KOslave,SIGN(IJ395))*POWER(KKslave_KK,SIGN(IK395))+IF395*POWER(MUslave,SIGN(ID395))*POWER(KLslave,SIGN(IE395))*POWER(CHslave,SIGN(IG395))*POWER(FFslave,SIGN(IH395))*POWER(GEslave,SIGN(II395))*POWER(KOslave,SIGN(IJ395))*POWER(KKslave_KK,SIGN(IK395))+IG395*POWER(MUslave,SIGN(ID395))*POWER(KLslave,SIGN(IE395))*POWER(INslave,SIGN(IF395))*POWER(FFslave,SIGN(IH395))*POWER(GEslave,SIGN(II395))*POWER(KOslave,SIGN(IJ395))*POWER(KKslave_KK,SIGN(IK395))+IH395*POWER(MUslave,SIGN(ID395))*POWER(KLslave,SIGN(IE395))*POWER(INslave,SIGN(IF395))*POWER(CHslave,SIGN(IG395))*POWER(GEslave,SIGN(II395))*POWER(KOslave,SIGN(IJ395))*POWER(KKslave_KK,SIGN(IK395))+II395*POWER(MUslave,SIGN(ID395))*POWER(KLslave,SIGN(IE395))*POWER(INslave,SIGN(IF395))*POWER(CHslave,SIGN(IG395))*POWER(FFslave,SIGN(IH395))*POWER(KOslave,SIGN(IJ395))*POWER(KKslave_KK,SIGN(IK395))+IJ395*POWER(MUslave,SIGN(ID395))*POWER(KLslave,SIGN(IE395))*POWER(INslave,SIGN(IF395))*POWER(CHslave,SIGN(IG395))*POWER(FFslave,SIGN(IH395))*POWER(GEslave,SIGN(II395))*POWER(KKslave_KK,SIGN(IK395))+IK395*POWER(MUslave,SIGN(ID395))*POWER(KLslave,SIGN(IE395))*POWER(INslave,SIGN(IF395))*POWER(CHslave,SIGN(IG395))*POWER(FFslave,SIGN(IH395))*POWER(GEslave,SIGN(II395))*POWER(KOslave,SIGN(IJ395))</f>
        <v>2304</v>
      </c>
      <c r="IP395" s="235">
        <f>ID395*IE395*INslave+ID395*KLslave*IF395+MUslave*IE395*IF395</f>
        <v>3456</v>
      </c>
      <c r="IQ395" s="227">
        <f>IFERROR(ID395^SIGN(ID395),1)*IFERROR(IE395^SIGN(IE395),1)*IFERROR(IF395^SIGN(IF395),1)*IFERROR(IG395^SIGN(IG395),1)*IFERROR(IH395^SIGN(IH395),1)*IFERROR(II395^SIGN(II395),1)*IFERROR(IJ395^SIGN(IJ395),1)*IFERROR(IK395^SIGN(IK395),1)</f>
        <v>1728</v>
      </c>
      <c r="IR395" s="227">
        <f>SUM(IO395:IQ395)</f>
        <v>7488</v>
      </c>
      <c r="IS395" s="225">
        <f>IL395*IO395/IR395</f>
        <v>3.6923076923076925</v>
      </c>
      <c r="IT395" s="226">
        <f>IM395*IP395/IR395</f>
        <v>11.076923076923077</v>
      </c>
      <c r="IU395" s="245">
        <f>IN395*IQ395/IR395</f>
        <v>8.3076923076923084</v>
      </c>
      <c r="IV395" s="246">
        <f>SUM(IS395:IU395)</f>
        <v>23.07692307692308</v>
      </c>
      <c r="IW395" s="252">
        <f t="shared" si="4050"/>
        <v>0</v>
      </c>
      <c r="IX395" s="324">
        <f>IV395-IW395</f>
        <v>23.07692307692308</v>
      </c>
      <c r="IY395" s="246">
        <f>IF(IV395&lt;=0,1,0)+IF(IV395&gt;0,IV395+1,0)*1+IF(IV395&gt;12,IV395-12,0)*1+IF(IV395&gt;13,IV395-13,0)*1+IF(IV395&gt;14,IV395-14,0)*1+IF(IV395&gt;15,IV395-15,0)*1+IF(IV395&gt;16,IV395-16,0)*1+IF(IV395&gt;17,IV395-17,0)*1+IF(IV395&gt;18,IV395-18,0)*1+IF(IV395&gt;19,IV395-19,0)*1+IF(IV395&gt;20,IV395-20,0)*1</f>
        <v>87.769230769230802</v>
      </c>
      <c r="IZ395" s="238">
        <f>IF(IW395&lt;=0,1,0)+IF(IW395&gt;0,IW395+1,0)*1+IF(IW395&gt;12,IW395-12,0)*1+IF(IW395&gt;13,IW395-13,0)*1+IF(IW395&gt;14,IW395-14,0)*1+IF(IW395&gt;15,IW395-15,0)*1+IF(IW395&gt;16,IW395-16,0)*1+IF(IW395&gt;17,IW395-17,0)*1+IF(IW395&gt;18,IW395-18,0)*1+IF(IW395&gt;19,IW395-19,0)*1+IF(IW395&gt;20,IW395-20,0)*1</f>
        <v>1</v>
      </c>
      <c r="JA395" s="246">
        <f>IF((IY395-IZ395)&gt;0,IY395-IZ395,0)</f>
        <v>86.769230769230802</v>
      </c>
      <c r="JB395" s="246">
        <f>IF((IZ395-IY395)&gt;0,IZ395-IY395,0)</f>
        <v>0</v>
      </c>
      <c r="JE395" s="148"/>
    </row>
    <row r="396" spans="1:265" hidden="1" outlineLevel="1" collapsed="1">
      <c r="C396" s="248"/>
      <c r="Y396" s="251"/>
      <c r="Z396" s="197"/>
      <c r="AF396" s="140"/>
      <c r="BB396" s="197"/>
      <c r="BC396" s="197"/>
      <c r="BI396" s="248"/>
      <c r="CE396" s="251"/>
      <c r="CF396" s="251"/>
      <c r="CL396" s="248"/>
      <c r="DH396" s="251"/>
      <c r="DI396" s="251"/>
      <c r="DO396" s="248"/>
      <c r="EK396" s="251"/>
      <c r="EL396" s="251"/>
      <c r="ER396" s="248"/>
      <c r="FN396" s="251"/>
      <c r="FO396" s="251"/>
      <c r="FU396" s="248"/>
      <c r="GQ396" s="251"/>
      <c r="GR396" s="251"/>
      <c r="GX396" s="248"/>
      <c r="HT396" s="251"/>
      <c r="HU396" s="251"/>
      <c r="IA396" s="248"/>
      <c r="IW396" s="251"/>
      <c r="IX396" s="251"/>
      <c r="JE396" s="148"/>
    </row>
    <row r="397" spans="1:265" ht="15.75" collapsed="1" thickBot="1">
      <c r="C397" s="248"/>
      <c r="Y397" s="251"/>
      <c r="Z397" s="197"/>
      <c r="AF397" s="140"/>
      <c r="BB397" s="197"/>
      <c r="BC397" s="197"/>
      <c r="BI397" s="248"/>
      <c r="CE397" s="251"/>
      <c r="CF397" s="251"/>
      <c r="CL397" s="248"/>
      <c r="DH397" s="251"/>
      <c r="DI397" s="251"/>
      <c r="DO397" s="248"/>
      <c r="EK397" s="251"/>
      <c r="EL397" s="251"/>
      <c r="ER397" s="248"/>
      <c r="FN397" s="251"/>
      <c r="FO397" s="251"/>
      <c r="FU397" s="248"/>
      <c r="GQ397" s="251"/>
      <c r="GR397" s="251"/>
      <c r="GX397" s="248"/>
      <c r="HT397" s="251"/>
      <c r="HU397" s="251"/>
      <c r="IA397" s="248"/>
      <c r="IW397" s="251"/>
      <c r="IX397" s="251"/>
      <c r="JE397" s="148"/>
    </row>
    <row r="398" spans="1:265" ht="15.75" thickBot="1">
      <c r="A398" s="135" t="s">
        <v>234</v>
      </c>
      <c r="C398" s="248"/>
      <c r="Y398" s="251"/>
      <c r="Z398" s="197"/>
      <c r="AF398" s="140"/>
      <c r="BB398" s="197"/>
      <c r="BC398" s="197"/>
      <c r="BI398" s="248"/>
      <c r="CE398" s="251"/>
      <c r="CF398" s="251"/>
      <c r="CL398" s="248"/>
      <c r="DH398" s="251"/>
      <c r="DI398" s="251"/>
      <c r="DO398" s="248"/>
      <c r="EK398" s="251"/>
      <c r="EL398" s="251"/>
      <c r="ER398" s="248"/>
      <c r="FN398" s="251"/>
      <c r="FO398" s="251"/>
      <c r="FU398" s="248"/>
      <c r="GQ398" s="251"/>
      <c r="GR398" s="251"/>
      <c r="GX398" s="248"/>
      <c r="HT398" s="251"/>
      <c r="HU398" s="251"/>
      <c r="IA398" s="248"/>
      <c r="IW398" s="251"/>
      <c r="IX398" s="251"/>
      <c r="JE398" s="148"/>
    </row>
    <row r="399" spans="1:265" ht="15" hidden="1" customHeight="1" outlineLevel="1">
      <c r="B399" s="134" t="s">
        <v>327</v>
      </c>
      <c r="C399" s="248" t="s">
        <v>281</v>
      </c>
      <c r="D399" s="201" t="s">
        <v>279</v>
      </c>
      <c r="E399" s="201" t="s">
        <v>280</v>
      </c>
      <c r="Y399" s="251"/>
      <c r="Z399" s="197"/>
      <c r="AF399" s="140" t="s">
        <v>281</v>
      </c>
      <c r="AG399" s="148" t="s">
        <v>279</v>
      </c>
      <c r="AH399" s="148" t="s">
        <v>280</v>
      </c>
      <c r="BB399" s="197"/>
      <c r="BC399" s="197"/>
      <c r="BI399" s="248" t="s">
        <v>281</v>
      </c>
      <c r="BJ399" s="217" t="s">
        <v>279</v>
      </c>
      <c r="BK399" s="217" t="s">
        <v>280</v>
      </c>
      <c r="CE399" s="251"/>
      <c r="CF399" s="251"/>
      <c r="CL399" s="248" t="s">
        <v>281</v>
      </c>
      <c r="CM399" s="217" t="s">
        <v>279</v>
      </c>
      <c r="CN399" s="217" t="s">
        <v>280</v>
      </c>
      <c r="DH399" s="251"/>
      <c r="DI399" s="251"/>
      <c r="DO399" s="248" t="s">
        <v>281</v>
      </c>
      <c r="DP399" s="217" t="s">
        <v>279</v>
      </c>
      <c r="DQ399" s="217" t="s">
        <v>280</v>
      </c>
      <c r="EK399" s="251"/>
      <c r="EL399" s="251"/>
      <c r="ER399" s="248" t="s">
        <v>281</v>
      </c>
      <c r="ES399" s="217" t="s">
        <v>279</v>
      </c>
      <c r="ET399" s="217" t="s">
        <v>280</v>
      </c>
      <c r="FN399" s="251"/>
      <c r="FO399" s="251"/>
      <c r="FU399" s="248" t="s">
        <v>281</v>
      </c>
      <c r="FV399" s="217" t="s">
        <v>279</v>
      </c>
      <c r="FW399" s="217" t="s">
        <v>280</v>
      </c>
      <c r="GQ399" s="251"/>
      <c r="GR399" s="251"/>
      <c r="GX399" s="248" t="s">
        <v>281</v>
      </c>
      <c r="GY399" s="217" t="s">
        <v>279</v>
      </c>
      <c r="GZ399" s="217" t="s">
        <v>280</v>
      </c>
      <c r="HT399" s="251"/>
      <c r="HU399" s="251"/>
      <c r="IA399" s="248" t="s">
        <v>281</v>
      </c>
      <c r="IB399" s="217" t="s">
        <v>279</v>
      </c>
      <c r="IC399" s="217" t="s">
        <v>280</v>
      </c>
      <c r="IW399" s="251"/>
      <c r="IX399" s="251"/>
      <c r="JE399" s="148"/>
    </row>
    <row r="400" spans="1:265" ht="15" hidden="1" customHeight="1" outlineLevel="2">
      <c r="B400" s="148">
        <v>1</v>
      </c>
      <c r="C400" s="323" t="e">
        <f>VLOOKUP(AF400,Attribute!C:T,1,FALSE)</f>
        <v>#N/A</v>
      </c>
      <c r="D400" s="158" t="s">
        <v>80</v>
      </c>
      <c r="E400" s="116" t="s">
        <v>133</v>
      </c>
      <c r="F400" s="191"/>
      <c r="G400" s="118">
        <f>Konvention_1master-KLmaster</f>
        <v>12</v>
      </c>
      <c r="H400" s="118">
        <f>Konvention_1master-INmaster</f>
        <v>12</v>
      </c>
      <c r="I400" s="118"/>
      <c r="J400" s="118"/>
      <c r="K400" s="118"/>
      <c r="L400" s="118"/>
      <c r="M400" s="92"/>
      <c r="N400" s="220">
        <f>(G400+H400+H400)/3</f>
        <v>12</v>
      </c>
      <c r="O400" s="220">
        <f>2*N400</f>
        <v>24</v>
      </c>
      <c r="P400" s="233">
        <f>3*N400</f>
        <v>36</v>
      </c>
      <c r="Q400" s="236">
        <f>H400*POWER(KLmaster,SIGN(G400))*POWER(INmaster,SIGN(H400))+H400*POWER(KLmaster,SIGN(G400))*POWER(INmaster,SIGN(H400))+G400*POWER(INmaster,SIGN(H400))*POWER(INmaster,SIGN(H400))</f>
        <v>2304</v>
      </c>
      <c r="R400" s="118">
        <f>G400*H400*INmaster+G400*INmaster*H400+KLmaster*H400*H400</f>
        <v>3456</v>
      </c>
      <c r="S400" s="221">
        <f>G400*H400*H400</f>
        <v>1728</v>
      </c>
      <c r="T400" s="78">
        <f>SUM(Q400:S400)</f>
        <v>7488</v>
      </c>
      <c r="U400" s="219">
        <f>N400*Q400/T400</f>
        <v>3.6923076923076925</v>
      </c>
      <c r="V400" s="220">
        <f>O400*R400/T400</f>
        <v>11.076923076923077</v>
      </c>
      <c r="W400" s="241">
        <f>P400*S400/T400</f>
        <v>8.3076923076923084</v>
      </c>
      <c r="X400" s="241">
        <f>SUM(U400:W400)</f>
        <v>23.07692307692308</v>
      </c>
      <c r="Y400" s="252">
        <v>0</v>
      </c>
      <c r="Z400" s="198">
        <f>X400-Y400</f>
        <v>23.07692307692308</v>
      </c>
      <c r="AA400" s="158">
        <f>IF(X400&lt;=0,1,0)+IF(X400&gt;0,X400+1,0)*1+IF(X400&gt;12,X400-12,0)*1+IF(X400&gt;13,X400-13,0)*1+IF(X400&gt;14,X400-14,0)*1+IF(X400&gt;15,X400-15,0)*1+IF(X400&gt;16,X400-16,0)*1+IF(X400&gt;17,X400-17,0)*1+IF(X400&gt;18,X400-18,0)*1+IF(X400&gt;19,X400-19,0)*1+IF(X400&gt;20,X400-20,0)*1</f>
        <v>87.769230769230802</v>
      </c>
      <c r="AB400" s="91">
        <f>IF(Y400&lt;=0,1,0)+IF(Y400&gt;0,Y400+1,0)*1+IF(Y400&gt;12,Y400-12,0)*1+IF(Y400&gt;13,Y400-13,0)*1+IF(Y400&gt;14,Y400-14,0)*1+IF(Y400&gt;15,Y400-15,0)*1+IF(Y400&gt;16,Y400-16,0)*1+IF(Y400&gt;17,Y400-17,0)*1+IF(Y400&gt;18,Y400-18,0)*1+IF(Y400&gt;19,Y400-19,0)*1+IF(Y400&gt;20,Y400-20,0)*1</f>
        <v>1</v>
      </c>
      <c r="AC400" s="126">
        <f>IF((AA400-AB400)&gt;0,AA400-AB400,0)</f>
        <v>86.769230769230802</v>
      </c>
      <c r="AD400" s="158">
        <f>IF((AB400-AA400)&gt;0,AB400-AA400,0)</f>
        <v>0</v>
      </c>
      <c r="AF400" s="176" t="s">
        <v>245</v>
      </c>
      <c r="AG400" s="158" t="s">
        <v>80</v>
      </c>
      <c r="AH400" s="116" t="s">
        <v>133</v>
      </c>
      <c r="AI400" s="191"/>
      <c r="AJ400" s="118">
        <f>Konvention_1slave-KLslave</f>
        <v>12</v>
      </c>
      <c r="AK400" s="118">
        <f>Konvention_1slave-INslave</f>
        <v>12</v>
      </c>
      <c r="AL400" s="118"/>
      <c r="AM400" s="118"/>
      <c r="AN400" s="118"/>
      <c r="AO400" s="118"/>
      <c r="AP400" s="92"/>
      <c r="AQ400" s="116">
        <f>(AJ400+AK400+AK400)/3</f>
        <v>12</v>
      </c>
      <c r="AR400" s="116">
        <f>2*AQ400</f>
        <v>24</v>
      </c>
      <c r="AS400" s="118">
        <f>3*AQ400</f>
        <v>36</v>
      </c>
      <c r="AT400" s="191">
        <f>AK400*POWER(KLslave,SIGN(AJ400))*POWER(INslave,SIGN(AK400))+AK400*POWER(KLslave,SIGN(AJ400))*POWER(INslave,SIGN(AK400))+AJ400*POWER(INslave,SIGN(AK400))*POWER(INslave,SIGN(AK400))</f>
        <v>2304</v>
      </c>
      <c r="AU400" s="118">
        <f>AJ400*AK400*INslave+AJ400*INslave*AK400+KLslave*AK400*AK400</f>
        <v>3456</v>
      </c>
      <c r="AV400" s="92">
        <f>AJ400*AK400*AK400</f>
        <v>1728</v>
      </c>
      <c r="AW400" s="91">
        <f>SUM(AT400:AV400)</f>
        <v>7488</v>
      </c>
      <c r="AX400" s="193">
        <f>AQ400*AT400/AW400</f>
        <v>3.6923076923076925</v>
      </c>
      <c r="AY400" s="116">
        <f>AR400*AU400/AW400</f>
        <v>11.076923076923077</v>
      </c>
      <c r="AZ400" s="126">
        <f>AS400*AV400/AW400</f>
        <v>8.3076923076923084</v>
      </c>
      <c r="BA400" s="126">
        <f>SUM(AX400:AZ400)</f>
        <v>23.07692307692308</v>
      </c>
      <c r="BB400" s="165">
        <f t="shared" ref="BB400:BB402" si="4306">Y400</f>
        <v>0</v>
      </c>
      <c r="BC400" s="198">
        <f>BA400-BB400</f>
        <v>23.07692307692308</v>
      </c>
      <c r="BD400" s="158">
        <f>IF(BA400&lt;=0,1,0)+IF(BA400&gt;0,BA400+1,0)*1+IF(BA400&gt;12,BA400-12,0)*1+IF(BA400&gt;13,BA400-13,0)*1+IF(BA400&gt;14,BA400-14,0)*1+IF(BA400&gt;15,BA400-15,0)*1+IF(BA400&gt;16,BA400-16,0)*1+IF(BA400&gt;17,BA400-17,0)*1+IF(BA400&gt;18,BA400-18,0)*1+IF(BA400&gt;19,BA400-19,0)*1+IF(BA400&gt;20,BA400-20,0)*1</f>
        <v>87.769230769230802</v>
      </c>
      <c r="BE400" s="91">
        <f>IF(BB400&lt;=0,1,0)+IF(BB400&gt;0,BB400+1,0)*1+IF(BB400&gt;12,BB400-12,0)*1+IF(BB400&gt;13,BB400-13,0)*1+IF(BB400&gt;14,BB400-14,0)*1+IF(BB400&gt;15,BB400-15,0)*1+IF(BB400&gt;16,BB400-16,0)*1+IF(BB400&gt;17,BB400-17,0)*1+IF(BB400&gt;18,BB400-18,0)*1+IF(BB400&gt;19,BB400-19,0)*1+IF(BB400&gt;20,BB400-20,0)*1</f>
        <v>1</v>
      </c>
      <c r="BF400" s="241">
        <f>IF((BD400-BE400)&gt;0,BD400-BE400,0)</f>
        <v>86.769230769230802</v>
      </c>
      <c r="BG400" s="42">
        <f>IF((BE400-BD400)&gt;0,BE400-BD400,0)</f>
        <v>0</v>
      </c>
      <c r="BI400" s="323" t="s">
        <v>245</v>
      </c>
      <c r="BJ400" s="42" t="s">
        <v>80</v>
      </c>
      <c r="BK400" s="220" t="s">
        <v>133</v>
      </c>
      <c r="BL400" s="236"/>
      <c r="BM400" s="233">
        <f>Konvention_1slave-KLslave_KL</f>
        <v>11</v>
      </c>
      <c r="BN400" s="233">
        <f>Konvention_1slave-INslave</f>
        <v>12</v>
      </c>
      <c r="BO400" s="233"/>
      <c r="BP400" s="233"/>
      <c r="BQ400" s="233"/>
      <c r="BR400" s="233"/>
      <c r="BS400" s="221"/>
      <c r="BT400" s="220">
        <f>(BM400+BN400+BN400)/3</f>
        <v>11.666666666666666</v>
      </c>
      <c r="BU400" s="220">
        <f>2*BT400</f>
        <v>23.333333333333332</v>
      </c>
      <c r="BV400" s="233">
        <f>3*BT400</f>
        <v>35</v>
      </c>
      <c r="BW400" s="236">
        <f>BN400*POWER(KLslave_KL,SIGN(BM400))*POWER(INslave,SIGN(BN400))+BN400*POWER(KLslave_KL,SIGN(BM400))*POWER(INslave,SIGN(BN400))+BM400*POWER(INslave,SIGN(BN400))*POWER(INslave,SIGN(BN400))</f>
        <v>2432</v>
      </c>
      <c r="BX400" s="233">
        <f>BM400*BN400*INslave+BM400*INslave*BN400+KLslave_KL*BN400*BN400</f>
        <v>3408</v>
      </c>
      <c r="BY400" s="221">
        <f>BM400*BN400*BN400</f>
        <v>1584</v>
      </c>
      <c r="BZ400" s="78">
        <f>SUM(BW400:BY400)</f>
        <v>7424</v>
      </c>
      <c r="CA400" s="219">
        <f>BT400*BW400/BZ400</f>
        <v>3.8218390804597702</v>
      </c>
      <c r="CB400" s="220">
        <f>BU400*BX400/BZ400</f>
        <v>10.711206896551724</v>
      </c>
      <c r="CC400" s="241">
        <f>BV400*BY400/BZ400</f>
        <v>7.4676724137931032</v>
      </c>
      <c r="CD400" s="241">
        <f>SUM(CA400:CC400)</f>
        <v>22.000718390804597</v>
      </c>
      <c r="CE400" s="252">
        <f t="shared" ref="CE400:CE402" si="4307">BB400</f>
        <v>0</v>
      </c>
      <c r="CF400" s="309">
        <f>CD400-CE400</f>
        <v>22.000718390804597</v>
      </c>
      <c r="CG400" s="42">
        <f>IF(CD400&lt;=0,1,0)+IF(CD400&gt;0,CD400+1,0)*1+IF(CD400&gt;12,CD400-12,0)*1+IF(CD400&gt;13,CD400-13,0)*1+IF(CD400&gt;14,CD400-14,0)*1+IF(CD400&gt;15,CD400-15,0)*1+IF(CD400&gt;16,CD400-16,0)*1+IF(CD400&gt;17,CD400-17,0)*1+IF(CD400&gt;18,CD400-18,0)*1+IF(CD400&gt;19,CD400-19,0)*1+IF(CD400&gt;20,CD400-20,0)*1</f>
        <v>77.007183908045945</v>
      </c>
      <c r="CH400" s="78">
        <f>IF(CE400&lt;=0,1,0)+IF(CE400&gt;0,CE400+1,0)*1+IF(CE400&gt;12,CE400-12,0)*1+IF(CE400&gt;13,CE400-13,0)*1+IF(CE400&gt;14,CE400-14,0)*1+IF(CE400&gt;15,CE400-15,0)*1+IF(CE400&gt;16,CE400-16,0)*1+IF(CE400&gt;17,CE400-17,0)*1+IF(CE400&gt;18,CE400-18,0)*1+IF(CE400&gt;19,CE400-19,0)*1+IF(CE400&gt;20,CE400-20,0)*1</f>
        <v>1</v>
      </c>
      <c r="CI400" s="241">
        <f>IF((CG400-CH400)&gt;0,CG400-CH400,0)</f>
        <v>76.007183908045945</v>
      </c>
      <c r="CJ400" s="42">
        <f>IF((CH400-CG400)&gt;0,CH400-CG400,0)</f>
        <v>0</v>
      </c>
      <c r="CL400" s="323" t="s">
        <v>245</v>
      </c>
      <c r="CM400" s="42" t="s">
        <v>80</v>
      </c>
      <c r="CN400" s="220" t="s">
        <v>133</v>
      </c>
      <c r="CO400" s="236"/>
      <c r="CP400" s="233">
        <f>Konvention_1slave-KLslave</f>
        <v>12</v>
      </c>
      <c r="CQ400" s="233">
        <f>Konvention_1slave-INslave_IN</f>
        <v>11</v>
      </c>
      <c r="CR400" s="233"/>
      <c r="CS400" s="233"/>
      <c r="CT400" s="233"/>
      <c r="CU400" s="233"/>
      <c r="CV400" s="221"/>
      <c r="CW400" s="220">
        <f>(CP400+CQ400+CQ400)/3</f>
        <v>11.333333333333334</v>
      </c>
      <c r="CX400" s="220">
        <f>2*CW400</f>
        <v>22.666666666666668</v>
      </c>
      <c r="CY400" s="233">
        <f>3*CW400</f>
        <v>34</v>
      </c>
      <c r="CZ400" s="236">
        <f>CQ400*POWER(KLslave,SIGN(CP400))*POWER(INslave_IN,SIGN(CQ400))+CQ400*POWER(KLslave,SIGN(CP400))*POWER(INslave_IN,SIGN(CQ400))+CP400*POWER(INslave_IN,SIGN(CQ400))*POWER(INslave_IN,SIGN(CQ400))</f>
        <v>2556</v>
      </c>
      <c r="DA400" s="233">
        <f>CP400*CQ400*INslave_IN+CP400*INslave_IN*CQ400+KLslave*CQ400*CQ400</f>
        <v>3344</v>
      </c>
      <c r="DB400" s="221">
        <f>CP400*CQ400*CQ400</f>
        <v>1452</v>
      </c>
      <c r="DC400" s="78">
        <f>SUM(CZ400:DB400)</f>
        <v>7352</v>
      </c>
      <c r="DD400" s="219">
        <f>CW400*CZ400/DC400</f>
        <v>3.940152339499456</v>
      </c>
      <c r="DE400" s="220">
        <f>CX400*DA400/DC400</f>
        <v>10.309756982227059</v>
      </c>
      <c r="DF400" s="241">
        <f>CY400*DB400/DC400</f>
        <v>6.714907508161045</v>
      </c>
      <c r="DG400" s="241">
        <f>SUM(DD400:DF400)</f>
        <v>20.96481682988756</v>
      </c>
      <c r="DH400" s="252">
        <f t="shared" ref="DH400:DH402" si="4308">CE400</f>
        <v>0</v>
      </c>
      <c r="DI400" s="309">
        <f>DG400-DH400</f>
        <v>20.96481682988756</v>
      </c>
      <c r="DJ400" s="42">
        <f>IF(DG400&lt;=0,1,0)+IF(DG400&gt;0,DG400+1,0)*1+IF(DG400&gt;12,DG400-12,0)*1+IF(DG400&gt;13,DG400-13,0)*1+IF(DG400&gt;14,DG400-14,0)*1+IF(DG400&gt;15,DG400-15,0)*1+IF(DG400&gt;16,DG400-16,0)*1+IF(DG400&gt;17,DG400-17,0)*1+IF(DG400&gt;18,DG400-18,0)*1+IF(DG400&gt;19,DG400-19,0)*1+IF(DG400&gt;20,DG400-20,0)*1</f>
        <v>66.648168298875589</v>
      </c>
      <c r="DK400" s="78">
        <f>IF(DH400&lt;=0,1,0)+IF(DH400&gt;0,DH400+1,0)*1+IF(DH400&gt;12,DH400-12,0)*1+IF(DH400&gt;13,DH400-13,0)*1+IF(DH400&gt;14,DH400-14,0)*1+IF(DH400&gt;15,DH400-15,0)*1+IF(DH400&gt;16,DH400-16,0)*1+IF(DH400&gt;17,DH400-17,0)*1+IF(DH400&gt;18,DH400-18,0)*1+IF(DH400&gt;19,DH400-19,0)*1+IF(DH400&gt;20,DH400-20,0)*1</f>
        <v>1</v>
      </c>
      <c r="DL400" s="241">
        <f>IF((DJ400-DK400)&gt;0,DJ400-DK400,0)</f>
        <v>65.648168298875589</v>
      </c>
      <c r="DM400" s="42">
        <f>IF((DK400-DJ400)&gt;0,DK400-DJ400,0)</f>
        <v>0</v>
      </c>
      <c r="DO400" s="323" t="s">
        <v>245</v>
      </c>
      <c r="DP400" s="42" t="s">
        <v>80</v>
      </c>
      <c r="DQ400" s="220" t="s">
        <v>133</v>
      </c>
      <c r="DR400" s="236"/>
      <c r="DS400" s="233">
        <f>Konvention_1slave-KLslave</f>
        <v>12</v>
      </c>
      <c r="DT400" s="233">
        <f>Konvention_1slave-INslave</f>
        <v>12</v>
      </c>
      <c r="DU400" s="233"/>
      <c r="DV400" s="233"/>
      <c r="DW400" s="233"/>
      <c r="DX400" s="233"/>
      <c r="DY400" s="221"/>
      <c r="DZ400" s="220">
        <f>(DS400+DT400+DT400)/3</f>
        <v>12</v>
      </c>
      <c r="EA400" s="220">
        <f>2*DZ400</f>
        <v>24</v>
      </c>
      <c r="EB400" s="233">
        <f>3*DZ400</f>
        <v>36</v>
      </c>
      <c r="EC400" s="236">
        <f>DT400*POWER(KLslave,SIGN(DS400))*POWER(INslave,SIGN(DT400))+DT400*POWER(KLslave,SIGN(DS400))*POWER(INslave,SIGN(DT400))+DS400*POWER(INslave,SIGN(DT400))*POWER(INslave,SIGN(DT400))</f>
        <v>2304</v>
      </c>
      <c r="ED400" s="233">
        <f>DS400*DT400*INslave+DS400*INslave*DT400+KLslave*DT400*DT400</f>
        <v>3456</v>
      </c>
      <c r="EE400" s="221">
        <f>DS400*DT400*DT400</f>
        <v>1728</v>
      </c>
      <c r="EF400" s="78">
        <f>SUM(EC400:EE400)</f>
        <v>7488</v>
      </c>
      <c r="EG400" s="219">
        <f>DZ400*EC400/EF400</f>
        <v>3.6923076923076925</v>
      </c>
      <c r="EH400" s="220">
        <f>EA400*ED400/EF400</f>
        <v>11.076923076923077</v>
      </c>
      <c r="EI400" s="241">
        <f>EB400*EE400/EF400</f>
        <v>8.3076923076923084</v>
      </c>
      <c r="EJ400" s="241">
        <f>SUM(EG400:EI400)</f>
        <v>23.07692307692308</v>
      </c>
      <c r="EK400" s="252">
        <f t="shared" ref="EK400:EK402" si="4309">DH400</f>
        <v>0</v>
      </c>
      <c r="EL400" s="309">
        <f>EJ400-EK400</f>
        <v>23.07692307692308</v>
      </c>
      <c r="EM400" s="42">
        <f>IF(EJ400&lt;=0,1,0)+IF(EJ400&gt;0,EJ400+1,0)*1+IF(EJ400&gt;12,EJ400-12,0)*1+IF(EJ400&gt;13,EJ400-13,0)*1+IF(EJ400&gt;14,EJ400-14,0)*1+IF(EJ400&gt;15,EJ400-15,0)*1+IF(EJ400&gt;16,EJ400-16,0)*1+IF(EJ400&gt;17,EJ400-17,0)*1+IF(EJ400&gt;18,EJ400-18,0)*1+IF(EJ400&gt;19,EJ400-19,0)*1+IF(EJ400&gt;20,EJ400-20,0)*1</f>
        <v>87.769230769230802</v>
      </c>
      <c r="EN400" s="78">
        <f>IF(EK400&lt;=0,1,0)+IF(EK400&gt;0,EK400+1,0)*1+IF(EK400&gt;12,EK400-12,0)*1+IF(EK400&gt;13,EK400-13,0)*1+IF(EK400&gt;14,EK400-14,0)*1+IF(EK400&gt;15,EK400-15,0)*1+IF(EK400&gt;16,EK400-16,0)*1+IF(EK400&gt;17,EK400-17,0)*1+IF(EK400&gt;18,EK400-18,0)*1+IF(EK400&gt;19,EK400-19,0)*1+IF(EK400&gt;20,EK400-20,0)*1</f>
        <v>1</v>
      </c>
      <c r="EO400" s="241">
        <f>IF((EM400-EN400)&gt;0,EM400-EN400,0)</f>
        <v>86.769230769230802</v>
      </c>
      <c r="EP400" s="42">
        <f>IF((EN400-EM400)&gt;0,EN400-EM400,0)</f>
        <v>0</v>
      </c>
      <c r="ER400" s="323" t="s">
        <v>245</v>
      </c>
      <c r="ES400" s="42" t="s">
        <v>80</v>
      </c>
      <c r="ET400" s="220" t="s">
        <v>133</v>
      </c>
      <c r="EU400" s="236"/>
      <c r="EV400" s="233">
        <f>Konvention_1slave-KLslave</f>
        <v>12</v>
      </c>
      <c r="EW400" s="233">
        <f>Konvention_1slave-INslave</f>
        <v>12</v>
      </c>
      <c r="EX400" s="233"/>
      <c r="EY400" s="233"/>
      <c r="EZ400" s="233"/>
      <c r="FA400" s="233"/>
      <c r="FB400" s="221"/>
      <c r="FC400" s="220">
        <f>(EV400+EW400+EW400)/3</f>
        <v>12</v>
      </c>
      <c r="FD400" s="220">
        <f>2*FC400</f>
        <v>24</v>
      </c>
      <c r="FE400" s="233">
        <f>3*FC400</f>
        <v>36</v>
      </c>
      <c r="FF400" s="236">
        <f>EW400*POWER(KLslave,SIGN(EV400))*POWER(INslave,SIGN(EW400))+EW400*POWER(KLslave,SIGN(EV400))*POWER(INslave,SIGN(EW400))+EV400*POWER(INslave,SIGN(EW400))*POWER(INslave,SIGN(EW400))</f>
        <v>2304</v>
      </c>
      <c r="FG400" s="233">
        <f>EV400*EW400*INslave+EV400*INslave*EW400+KLslave*EW400*EW400</f>
        <v>3456</v>
      </c>
      <c r="FH400" s="221">
        <f>EV400*EW400*EW400</f>
        <v>1728</v>
      </c>
      <c r="FI400" s="78">
        <f>SUM(FF400:FH400)</f>
        <v>7488</v>
      </c>
      <c r="FJ400" s="219">
        <f>FC400*FF400/FI400</f>
        <v>3.6923076923076925</v>
      </c>
      <c r="FK400" s="220">
        <f>FD400*FG400/FI400</f>
        <v>11.076923076923077</v>
      </c>
      <c r="FL400" s="241">
        <f>FE400*FH400/FI400</f>
        <v>8.3076923076923084</v>
      </c>
      <c r="FM400" s="241">
        <f>SUM(FJ400:FL400)</f>
        <v>23.07692307692308</v>
      </c>
      <c r="FN400" s="252">
        <f t="shared" ref="FN400:FN402" si="4310">EK400</f>
        <v>0</v>
      </c>
      <c r="FO400" s="309">
        <f>FM400-FN400</f>
        <v>23.07692307692308</v>
      </c>
      <c r="FP400" s="42">
        <f>IF(FM400&lt;=0,1,0)+IF(FM400&gt;0,FM400+1,0)*1+IF(FM400&gt;12,FM400-12,0)*1+IF(FM400&gt;13,FM400-13,0)*1+IF(FM400&gt;14,FM400-14,0)*1+IF(FM400&gt;15,FM400-15,0)*1+IF(FM400&gt;16,FM400-16,0)*1+IF(FM400&gt;17,FM400-17,0)*1+IF(FM400&gt;18,FM400-18,0)*1+IF(FM400&gt;19,FM400-19,0)*1+IF(FM400&gt;20,FM400-20,0)*1</f>
        <v>87.769230769230802</v>
      </c>
      <c r="FQ400" s="78">
        <f>IF(FN400&lt;=0,1,0)+IF(FN400&gt;0,FN400+1,0)*1+IF(FN400&gt;12,FN400-12,0)*1+IF(FN400&gt;13,FN400-13,0)*1+IF(FN400&gt;14,FN400-14,0)*1+IF(FN400&gt;15,FN400-15,0)*1+IF(FN400&gt;16,FN400-16,0)*1+IF(FN400&gt;17,FN400-17,0)*1+IF(FN400&gt;18,FN400-18,0)*1+IF(FN400&gt;19,FN400-19,0)*1+IF(FN400&gt;20,FN400-20,0)*1</f>
        <v>1</v>
      </c>
      <c r="FR400" s="241">
        <f>IF((FP400-FQ400)&gt;0,FP400-FQ400,0)</f>
        <v>86.769230769230802</v>
      </c>
      <c r="FS400" s="42">
        <f>IF((FQ400-FP400)&gt;0,FQ400-FP400,0)</f>
        <v>0</v>
      </c>
      <c r="FU400" s="323" t="s">
        <v>245</v>
      </c>
      <c r="FV400" s="42" t="s">
        <v>80</v>
      </c>
      <c r="FW400" s="220" t="s">
        <v>133</v>
      </c>
      <c r="FX400" s="236"/>
      <c r="FY400" s="233">
        <f>Konvention_1slave-KLslave</f>
        <v>12</v>
      </c>
      <c r="FZ400" s="233">
        <f>Konvention_1slave-INslave</f>
        <v>12</v>
      </c>
      <c r="GA400" s="233"/>
      <c r="GB400" s="233"/>
      <c r="GC400" s="233"/>
      <c r="GD400" s="233"/>
      <c r="GE400" s="221"/>
      <c r="GF400" s="220">
        <f>(FY400+FZ400+FZ400)/3</f>
        <v>12</v>
      </c>
      <c r="GG400" s="220">
        <f>2*GF400</f>
        <v>24</v>
      </c>
      <c r="GH400" s="233">
        <f>3*GF400</f>
        <v>36</v>
      </c>
      <c r="GI400" s="236">
        <f>FZ400*POWER(KLslave,SIGN(FY400))*POWER(INslave,SIGN(FZ400))+FZ400*POWER(KLslave,SIGN(FY400))*POWER(INslave,SIGN(FZ400))+FY400*POWER(INslave,SIGN(FZ400))*POWER(INslave,SIGN(FZ400))</f>
        <v>2304</v>
      </c>
      <c r="GJ400" s="233">
        <f>FY400*FZ400*INslave+FY400*INslave*FZ400+KLslave*FZ400*FZ400</f>
        <v>3456</v>
      </c>
      <c r="GK400" s="221">
        <f>FY400*FZ400*FZ400</f>
        <v>1728</v>
      </c>
      <c r="GL400" s="78">
        <f>SUM(GI400:GK400)</f>
        <v>7488</v>
      </c>
      <c r="GM400" s="219">
        <f>GF400*GI400/GL400</f>
        <v>3.6923076923076925</v>
      </c>
      <c r="GN400" s="220">
        <f>GG400*GJ400/GL400</f>
        <v>11.076923076923077</v>
      </c>
      <c r="GO400" s="241">
        <f>GH400*GK400/GL400</f>
        <v>8.3076923076923084</v>
      </c>
      <c r="GP400" s="241">
        <f>SUM(GM400:GO400)</f>
        <v>23.07692307692308</v>
      </c>
      <c r="GQ400" s="252">
        <f t="shared" ref="GQ400:GQ402" si="4311">FN400</f>
        <v>0</v>
      </c>
      <c r="GR400" s="309">
        <f>GP400-GQ400</f>
        <v>23.07692307692308</v>
      </c>
      <c r="GS400" s="42">
        <f>IF(GP400&lt;=0,1,0)+IF(GP400&gt;0,GP400+1,0)*1+IF(GP400&gt;12,GP400-12,0)*1+IF(GP400&gt;13,GP400-13,0)*1+IF(GP400&gt;14,GP400-14,0)*1+IF(GP400&gt;15,GP400-15,0)*1+IF(GP400&gt;16,GP400-16,0)*1+IF(GP400&gt;17,GP400-17,0)*1+IF(GP400&gt;18,GP400-18,0)*1+IF(GP400&gt;19,GP400-19,0)*1+IF(GP400&gt;20,GP400-20,0)*1</f>
        <v>87.769230769230802</v>
      </c>
      <c r="GT400" s="78">
        <f>IF(GQ400&lt;=0,1,0)+IF(GQ400&gt;0,GQ400+1,0)*1+IF(GQ400&gt;12,GQ400-12,0)*1+IF(GQ400&gt;13,GQ400-13,0)*1+IF(GQ400&gt;14,GQ400-14,0)*1+IF(GQ400&gt;15,GQ400-15,0)*1+IF(GQ400&gt;16,GQ400-16,0)*1+IF(GQ400&gt;17,GQ400-17,0)*1+IF(GQ400&gt;18,GQ400-18,0)*1+IF(GQ400&gt;19,GQ400-19,0)*1+IF(GQ400&gt;20,GQ400-20,0)*1</f>
        <v>1</v>
      </c>
      <c r="GU400" s="241">
        <f>IF((GS400-GT400)&gt;0,GS400-GT400,0)</f>
        <v>86.769230769230802</v>
      </c>
      <c r="GV400" s="42">
        <f>IF((GT400-GS400)&gt;0,GT400-GS400,0)</f>
        <v>0</v>
      </c>
      <c r="GX400" s="323" t="s">
        <v>245</v>
      </c>
      <c r="GY400" s="42" t="s">
        <v>80</v>
      </c>
      <c r="GZ400" s="220" t="s">
        <v>133</v>
      </c>
      <c r="HA400" s="236"/>
      <c r="HB400" s="233">
        <f>Konvention_1slave-KLslave</f>
        <v>12</v>
      </c>
      <c r="HC400" s="233">
        <f>Konvention_1slave-INslave</f>
        <v>12</v>
      </c>
      <c r="HD400" s="233"/>
      <c r="HE400" s="233"/>
      <c r="HF400" s="233"/>
      <c r="HG400" s="233"/>
      <c r="HH400" s="221"/>
      <c r="HI400" s="220">
        <f>(HB400+HC400+HC400)/3</f>
        <v>12</v>
      </c>
      <c r="HJ400" s="220">
        <f>2*HI400</f>
        <v>24</v>
      </c>
      <c r="HK400" s="233">
        <f>3*HI400</f>
        <v>36</v>
      </c>
      <c r="HL400" s="236">
        <f>HC400*POWER(KLslave,SIGN(HB400))*POWER(INslave,SIGN(HC400))+HC400*POWER(KLslave,SIGN(HB400))*POWER(INslave,SIGN(HC400))+HB400*POWER(INslave,SIGN(HC400))*POWER(INslave,SIGN(HC400))</f>
        <v>2304</v>
      </c>
      <c r="HM400" s="233">
        <f>HB400*HC400*INslave+HB400*INslave*HC400+KLslave*HC400*HC400</f>
        <v>3456</v>
      </c>
      <c r="HN400" s="221">
        <f>HB400*HC400*HC400</f>
        <v>1728</v>
      </c>
      <c r="HO400" s="78">
        <f>SUM(HL400:HN400)</f>
        <v>7488</v>
      </c>
      <c r="HP400" s="219">
        <f>HI400*HL400/HO400</f>
        <v>3.6923076923076925</v>
      </c>
      <c r="HQ400" s="220">
        <f>HJ400*HM400/HO400</f>
        <v>11.076923076923077</v>
      </c>
      <c r="HR400" s="241">
        <f>HK400*HN400/HO400</f>
        <v>8.3076923076923084</v>
      </c>
      <c r="HS400" s="241">
        <f>SUM(HP400:HR400)</f>
        <v>23.07692307692308</v>
      </c>
      <c r="HT400" s="252">
        <f t="shared" ref="HT400:HT402" si="4312">GQ400</f>
        <v>0</v>
      </c>
      <c r="HU400" s="309">
        <f>HS400-HT400</f>
        <v>23.07692307692308</v>
      </c>
      <c r="HV400" s="42">
        <f>IF(HS400&lt;=0,1,0)+IF(HS400&gt;0,HS400+1,0)*1+IF(HS400&gt;12,HS400-12,0)*1+IF(HS400&gt;13,HS400-13,0)*1+IF(HS400&gt;14,HS400-14,0)*1+IF(HS400&gt;15,HS400-15,0)*1+IF(HS400&gt;16,HS400-16,0)*1+IF(HS400&gt;17,HS400-17,0)*1+IF(HS400&gt;18,HS400-18,0)*1+IF(HS400&gt;19,HS400-19,0)*1+IF(HS400&gt;20,HS400-20,0)*1</f>
        <v>87.769230769230802</v>
      </c>
      <c r="HW400" s="78">
        <f>IF(HT400&lt;=0,1,0)+IF(HT400&gt;0,HT400+1,0)*1+IF(HT400&gt;12,HT400-12,0)*1+IF(HT400&gt;13,HT400-13,0)*1+IF(HT400&gt;14,HT400-14,0)*1+IF(HT400&gt;15,HT400-15,0)*1+IF(HT400&gt;16,HT400-16,0)*1+IF(HT400&gt;17,HT400-17,0)*1+IF(HT400&gt;18,HT400-18,0)*1+IF(HT400&gt;19,HT400-19,0)*1+IF(HT400&gt;20,HT400-20,0)*1</f>
        <v>1</v>
      </c>
      <c r="HX400" s="241">
        <f>IF((HV400-HW400)&gt;0,HV400-HW400,0)</f>
        <v>86.769230769230802</v>
      </c>
      <c r="HY400" s="42">
        <f>IF((HW400-HV400)&gt;0,HW400-HV400,0)</f>
        <v>0</v>
      </c>
      <c r="IA400" s="323" t="s">
        <v>245</v>
      </c>
      <c r="IB400" s="42" t="s">
        <v>80</v>
      </c>
      <c r="IC400" s="220" t="s">
        <v>133</v>
      </c>
      <c r="ID400" s="236"/>
      <c r="IE400" s="233">
        <f>Konvention_1slave-KLslave</f>
        <v>12</v>
      </c>
      <c r="IF400" s="233">
        <f>Konvention_1slave-INslave</f>
        <v>12</v>
      </c>
      <c r="IG400" s="233"/>
      <c r="IH400" s="233"/>
      <c r="II400" s="233"/>
      <c r="IJ400" s="233"/>
      <c r="IK400" s="221"/>
      <c r="IL400" s="220">
        <f>(IE400+IF400+IF400)/3</f>
        <v>12</v>
      </c>
      <c r="IM400" s="220">
        <f>2*IL400</f>
        <v>24</v>
      </c>
      <c r="IN400" s="233">
        <f>3*IL400</f>
        <v>36</v>
      </c>
      <c r="IO400" s="236">
        <f>IF400*POWER(KLslave,SIGN(IE400))*POWER(INslave,SIGN(IF400))+IF400*POWER(KLslave,SIGN(IE400))*POWER(INslave,SIGN(IF400))+IE400*POWER(INslave,SIGN(IF400))*POWER(INslave,SIGN(IF400))</f>
        <v>2304</v>
      </c>
      <c r="IP400" s="233">
        <f>IE400*IF400*INslave+IE400*INslave*IF400+KLslave*IF400*IF400</f>
        <v>3456</v>
      </c>
      <c r="IQ400" s="221">
        <f>IE400*IF400*IF400</f>
        <v>1728</v>
      </c>
      <c r="IR400" s="78">
        <f>SUM(IO400:IQ400)</f>
        <v>7488</v>
      </c>
      <c r="IS400" s="219">
        <f>IL400*IO400/IR400</f>
        <v>3.6923076923076925</v>
      </c>
      <c r="IT400" s="220">
        <f>IM400*IP400/IR400</f>
        <v>11.076923076923077</v>
      </c>
      <c r="IU400" s="241">
        <f>IN400*IQ400/IR400</f>
        <v>8.3076923076923084</v>
      </c>
      <c r="IV400" s="241">
        <f>SUM(IS400:IU400)</f>
        <v>23.07692307692308</v>
      </c>
      <c r="IW400" s="252">
        <f t="shared" ref="IW400:IW402" si="4313">HT400</f>
        <v>0</v>
      </c>
      <c r="IX400" s="309">
        <f>IV400-IW400</f>
        <v>23.07692307692308</v>
      </c>
      <c r="IY400" s="42">
        <f>IF(IV400&lt;=0,1,0)+IF(IV400&gt;0,IV400+1,0)*1+IF(IV400&gt;12,IV400-12,0)*1+IF(IV400&gt;13,IV400-13,0)*1+IF(IV400&gt;14,IV400-14,0)*1+IF(IV400&gt;15,IV400-15,0)*1+IF(IV400&gt;16,IV400-16,0)*1+IF(IV400&gt;17,IV400-17,0)*1+IF(IV400&gt;18,IV400-18,0)*1+IF(IV400&gt;19,IV400-19,0)*1+IF(IV400&gt;20,IV400-20,0)*1</f>
        <v>87.769230769230802</v>
      </c>
      <c r="IZ400" s="78">
        <f>IF(IW400&lt;=0,1,0)+IF(IW400&gt;0,IW400+1,0)*1+IF(IW400&gt;12,IW400-12,0)*1+IF(IW400&gt;13,IW400-13,0)*1+IF(IW400&gt;14,IW400-14,0)*1+IF(IW400&gt;15,IW400-15,0)*1+IF(IW400&gt;16,IW400-16,0)*1+IF(IW400&gt;17,IW400-17,0)*1+IF(IW400&gt;18,IW400-18,0)*1+IF(IW400&gt;19,IW400-19,0)*1+IF(IW400&gt;20,IW400-20,0)*1</f>
        <v>1</v>
      </c>
      <c r="JA400" s="241">
        <f>IF((IY400-IZ400)&gt;0,IY400-IZ400,0)</f>
        <v>86.769230769230802</v>
      </c>
      <c r="JB400" s="42">
        <f>IF((IZ400-IY400)&gt;0,IZ400-IY400,0)</f>
        <v>0</v>
      </c>
      <c r="JE400" s="148"/>
    </row>
    <row r="401" spans="2:265" ht="15" hidden="1" customHeight="1" outlineLevel="2">
      <c r="B401" s="148">
        <v>2</v>
      </c>
      <c r="C401" s="325" t="e">
        <f>VLOOKUP(AF401,Attribute!C:T,1,FALSE)</f>
        <v>#N/A</v>
      </c>
      <c r="D401" s="86" t="s">
        <v>180</v>
      </c>
      <c r="E401" s="47" t="s">
        <v>133</v>
      </c>
      <c r="F401" s="114"/>
      <c r="G401" s="113"/>
      <c r="H401" s="113">
        <f>Konvention_1master-INmaster</f>
        <v>12</v>
      </c>
      <c r="I401" s="113">
        <f>Konvention_1master-CHmaster</f>
        <v>12</v>
      </c>
      <c r="J401" s="113"/>
      <c r="K401" s="113"/>
      <c r="L401" s="113"/>
      <c r="M401" s="119"/>
      <c r="N401" s="223">
        <f>(H401+H401+I401)/3</f>
        <v>12</v>
      </c>
      <c r="O401" s="223">
        <f>2*N401</f>
        <v>24</v>
      </c>
      <c r="P401" s="234">
        <f>3*N401</f>
        <v>36</v>
      </c>
      <c r="Q401" s="237">
        <f>H401*POWER(CHmaster,SIGN(I401))*POWER(INmaster,SIGN(H401))+H401*POWER(CHmaster,SIGN(I401))*POWER(INmaster,SIGN(H401))+I401*POWER(INmaster,SIGN(H401))*POWER(INmaster,SIGN(H401))</f>
        <v>2304</v>
      </c>
      <c r="R401" s="113">
        <f>H401*H401*CHmaster+H401*INmaster*I401+INmaster*H401*I401</f>
        <v>3456</v>
      </c>
      <c r="S401" s="224">
        <f>H401*H401*I401</f>
        <v>1728</v>
      </c>
      <c r="T401" s="242">
        <f>SUM(Q401:S401)</f>
        <v>7488</v>
      </c>
      <c r="U401" s="222">
        <f>N401*Q401/T401</f>
        <v>3.6923076923076925</v>
      </c>
      <c r="V401" s="223">
        <f>O401*R401/T401</f>
        <v>11.076923076923077</v>
      </c>
      <c r="W401" s="243">
        <f>P401*S401/T401</f>
        <v>8.3076923076923084</v>
      </c>
      <c r="X401" s="243">
        <f>SUM(U401:W401)</f>
        <v>23.07692307692308</v>
      </c>
      <c r="Y401" s="252">
        <v>0</v>
      </c>
      <c r="Z401" s="198">
        <f>X401-Y401</f>
        <v>23.07692307692308</v>
      </c>
      <c r="AA401" s="125">
        <f>IF(X401&lt;=0,1,0)+IF(X401&gt;0,X401+1,0)*1+IF(X401&gt;12,X401-12,0)*1+IF(X401&gt;13,X401-13,0)*1+IF(X401&gt;14,X401-14,0)*1+IF(X401&gt;15,X401-15,0)*1+IF(X401&gt;16,X401-16,0)*1+IF(X401&gt;17,X401-17,0)*1+IF(X401&gt;18,X401-18,0)*1+IF(X401&gt;19,X401-19,0)*1+IF(X401&gt;20,X401-20,0)*1</f>
        <v>87.769230769230802</v>
      </c>
      <c r="AB401" s="160">
        <f>IF(Y401&lt;=0,1,0)+IF(Y401&gt;0,Y401+1,0)*1+IF(Y401&gt;12,Y401-12,0)*1+IF(Y401&gt;13,Y401-13,0)*1+IF(Y401&gt;14,Y401-14,0)*1+IF(Y401&gt;15,Y401-15,0)*1+IF(Y401&gt;16,Y401-16,0)*1+IF(Y401&gt;17,Y401-17,0)*1+IF(Y401&gt;18,Y401-18,0)*1+IF(Y401&gt;19,Y401-19,0)*1+IF(Y401&gt;20,Y401-20,0)*1</f>
        <v>1</v>
      </c>
      <c r="AC401" s="127">
        <f>IF((AA401-AB401)&gt;0,AA401-AB401,0)</f>
        <v>86.769230769230802</v>
      </c>
      <c r="AD401" s="125">
        <f>IF((AB401-AA401)&gt;0,AB401-AA401,0)</f>
        <v>0</v>
      </c>
      <c r="AF401" s="177" t="s">
        <v>246</v>
      </c>
      <c r="AG401" s="125" t="s">
        <v>180</v>
      </c>
      <c r="AH401" s="47" t="s">
        <v>133</v>
      </c>
      <c r="AI401" s="114"/>
      <c r="AJ401" s="113"/>
      <c r="AK401" s="113">
        <f>Konvention_1slave-INslave</f>
        <v>12</v>
      </c>
      <c r="AL401" s="113">
        <f>Konvention_1slave-CHslave</f>
        <v>12</v>
      </c>
      <c r="AM401" s="113"/>
      <c r="AN401" s="113"/>
      <c r="AO401" s="113"/>
      <c r="AP401" s="119"/>
      <c r="AQ401" s="47">
        <f>(AK401+AK401+AL401)/3</f>
        <v>12</v>
      </c>
      <c r="AR401" s="47">
        <f>2*AQ401</f>
        <v>24</v>
      </c>
      <c r="AS401" s="113">
        <f>3*AQ401</f>
        <v>36</v>
      </c>
      <c r="AT401" s="114">
        <f>AK401*POWER(CHslave,SIGN(AL401))*POWER(INslave,SIGN(AK401))+AK401*POWER(CHslave,SIGN(AL401))*POWER(INslave,SIGN(AK401))+AL401*POWER(INslave,SIGN(AK401))*POWER(INslave,SIGN(AK401))</f>
        <v>2304</v>
      </c>
      <c r="AU401" s="113">
        <f>AK401*AK401*CHslave+AK401*INslave*AL401+INslave*AK401*AL401</f>
        <v>3456</v>
      </c>
      <c r="AV401" s="119">
        <f>AK401*AK401*AL401</f>
        <v>1728</v>
      </c>
      <c r="AW401" s="160">
        <f>SUM(AT401:AV401)</f>
        <v>7488</v>
      </c>
      <c r="AX401" s="89">
        <f>AQ401*AT401/AW401</f>
        <v>3.6923076923076925</v>
      </c>
      <c r="AY401" s="47">
        <f>AR401*AU401/AW401</f>
        <v>11.076923076923077</v>
      </c>
      <c r="AZ401" s="127">
        <f>AS401*AV401/AW401</f>
        <v>8.3076923076923084</v>
      </c>
      <c r="BA401" s="127">
        <f>SUM(AX401:AZ401)</f>
        <v>23.07692307692308</v>
      </c>
      <c r="BB401" s="165">
        <f t="shared" si="4306"/>
        <v>0</v>
      </c>
      <c r="BC401" s="198">
        <f>BA401-BB401</f>
        <v>23.07692307692308</v>
      </c>
      <c r="BD401" s="125">
        <f>IF(BA401&lt;=0,1,0)+IF(BA401&gt;0,BA401+1,0)*1+IF(BA401&gt;12,BA401-12,0)*1+IF(BA401&gt;13,BA401-13,0)*1+IF(BA401&gt;14,BA401-14,0)*1+IF(BA401&gt;15,BA401-15,0)*1+IF(BA401&gt;16,BA401-16,0)*1+IF(BA401&gt;17,BA401-17,0)*1+IF(BA401&gt;18,BA401-18,0)*1+IF(BA401&gt;19,BA401-19,0)*1+IF(BA401&gt;20,BA401-20,0)*1</f>
        <v>87.769230769230802</v>
      </c>
      <c r="BE401" s="160">
        <f>IF(BB401&lt;=0,1,0)+IF(BB401&gt;0,BB401+1,0)*1+IF(BB401&gt;12,BB401-12,0)*1+IF(BB401&gt;13,BB401-13,0)*1+IF(BB401&gt;14,BB401-14,0)*1+IF(BB401&gt;15,BB401-15,0)*1+IF(BB401&gt;16,BB401-16,0)*1+IF(BB401&gt;17,BB401-17,0)*1+IF(BB401&gt;18,BB401-18,0)*1+IF(BB401&gt;19,BB401-19,0)*1+IF(BB401&gt;20,BB401-20,0)*1</f>
        <v>1</v>
      </c>
      <c r="BF401" s="243">
        <f>IF((BD401-BE401)&gt;0,BD401-BE401,0)</f>
        <v>86.769230769230802</v>
      </c>
      <c r="BG401" s="218">
        <f>IF((BE401-BD401)&gt;0,BE401-BD401,0)</f>
        <v>0</v>
      </c>
      <c r="BI401" s="325" t="s">
        <v>246</v>
      </c>
      <c r="BJ401" s="218" t="s">
        <v>180</v>
      </c>
      <c r="BK401" s="223" t="s">
        <v>133</v>
      </c>
      <c r="BL401" s="237"/>
      <c r="BM401" s="234"/>
      <c r="BN401" s="234">
        <f>Konvention_1slave-INslave</f>
        <v>12</v>
      </c>
      <c r="BO401" s="234">
        <f>Konvention_1slave-CHslave</f>
        <v>12</v>
      </c>
      <c r="BP401" s="234"/>
      <c r="BQ401" s="234"/>
      <c r="BR401" s="234"/>
      <c r="BS401" s="224"/>
      <c r="BT401" s="223">
        <f>(BN401+BN401+BO401)/3</f>
        <v>12</v>
      </c>
      <c r="BU401" s="223">
        <f>2*BT401</f>
        <v>24</v>
      </c>
      <c r="BV401" s="234">
        <f>3*BT401</f>
        <v>36</v>
      </c>
      <c r="BW401" s="237">
        <f>BN401*POWER(CHslave,SIGN(BO401))*POWER(INslave,SIGN(BN401))+BN401*POWER(CHslave,SIGN(BO401))*POWER(INslave,SIGN(BN401))+BO401*POWER(INslave,SIGN(BN401))*POWER(INslave,SIGN(BN401))</f>
        <v>2304</v>
      </c>
      <c r="BX401" s="234">
        <f>BN401*BN401*CHslave+BN401*INslave*BO401+INslave*BN401*BO401</f>
        <v>3456</v>
      </c>
      <c r="BY401" s="224">
        <f>BN401*BN401*BO401</f>
        <v>1728</v>
      </c>
      <c r="BZ401" s="242">
        <f>SUM(BW401:BY401)</f>
        <v>7488</v>
      </c>
      <c r="CA401" s="222">
        <f>BT401*BW401/BZ401</f>
        <v>3.6923076923076925</v>
      </c>
      <c r="CB401" s="223">
        <f>BU401*BX401/BZ401</f>
        <v>11.076923076923077</v>
      </c>
      <c r="CC401" s="243">
        <f>BV401*BY401/BZ401</f>
        <v>8.3076923076923084</v>
      </c>
      <c r="CD401" s="243">
        <f>SUM(CA401:CC401)</f>
        <v>23.07692307692308</v>
      </c>
      <c r="CE401" s="252">
        <f t="shared" si="4307"/>
        <v>0</v>
      </c>
      <c r="CF401" s="309">
        <f>CD401-CE401</f>
        <v>23.07692307692308</v>
      </c>
      <c r="CG401" s="218">
        <f>IF(CD401&lt;=0,1,0)+IF(CD401&gt;0,CD401+1,0)*1+IF(CD401&gt;12,CD401-12,0)*1+IF(CD401&gt;13,CD401-13,0)*1+IF(CD401&gt;14,CD401-14,0)*1+IF(CD401&gt;15,CD401-15,0)*1+IF(CD401&gt;16,CD401-16,0)*1+IF(CD401&gt;17,CD401-17,0)*1+IF(CD401&gt;18,CD401-18,0)*1+IF(CD401&gt;19,CD401-19,0)*1+IF(CD401&gt;20,CD401-20,0)*1</f>
        <v>87.769230769230802</v>
      </c>
      <c r="CH401" s="242">
        <f>IF(CE401&lt;=0,1,0)+IF(CE401&gt;0,CE401+1,0)*1+IF(CE401&gt;12,CE401-12,0)*1+IF(CE401&gt;13,CE401-13,0)*1+IF(CE401&gt;14,CE401-14,0)*1+IF(CE401&gt;15,CE401-15,0)*1+IF(CE401&gt;16,CE401-16,0)*1+IF(CE401&gt;17,CE401-17,0)*1+IF(CE401&gt;18,CE401-18,0)*1+IF(CE401&gt;19,CE401-19,0)*1+IF(CE401&gt;20,CE401-20,0)*1</f>
        <v>1</v>
      </c>
      <c r="CI401" s="243">
        <f>IF((CG401-CH401)&gt;0,CG401-CH401,0)</f>
        <v>86.769230769230802</v>
      </c>
      <c r="CJ401" s="218">
        <f>IF((CH401-CG401)&gt;0,CH401-CG401,0)</f>
        <v>0</v>
      </c>
      <c r="CL401" s="325" t="s">
        <v>246</v>
      </c>
      <c r="CM401" s="218" t="s">
        <v>180</v>
      </c>
      <c r="CN401" s="223" t="s">
        <v>133</v>
      </c>
      <c r="CO401" s="237"/>
      <c r="CP401" s="234"/>
      <c r="CQ401" s="234">
        <f>Konvention_1slave-INslave_IN</f>
        <v>11</v>
      </c>
      <c r="CR401" s="234">
        <f>Konvention_1slave-CHslave</f>
        <v>12</v>
      </c>
      <c r="CS401" s="234"/>
      <c r="CT401" s="234"/>
      <c r="CU401" s="234"/>
      <c r="CV401" s="224"/>
      <c r="CW401" s="223">
        <f>(CQ401+CQ401+CR401)/3</f>
        <v>11.333333333333334</v>
      </c>
      <c r="CX401" s="223">
        <f>2*CW401</f>
        <v>22.666666666666668</v>
      </c>
      <c r="CY401" s="234">
        <f>3*CW401</f>
        <v>34</v>
      </c>
      <c r="CZ401" s="237">
        <f>CQ401*POWER(CHslave,SIGN(CR401))*POWER(INslave_IN,SIGN(CQ401))+CQ401*POWER(CHslave,SIGN(CR401))*POWER(INslave_IN,SIGN(CQ401))+CR401*POWER(INslave_IN,SIGN(CQ401))*POWER(INslave_IN,SIGN(CQ401))</f>
        <v>2556</v>
      </c>
      <c r="DA401" s="234">
        <f>CQ401*CQ401*CHslave+CQ401*INslave_IN*CR401+INslave_IN*CQ401*CR401</f>
        <v>3344</v>
      </c>
      <c r="DB401" s="224">
        <f>CQ401*CQ401*CR401</f>
        <v>1452</v>
      </c>
      <c r="DC401" s="242">
        <f>SUM(CZ401:DB401)</f>
        <v>7352</v>
      </c>
      <c r="DD401" s="222">
        <f>CW401*CZ401/DC401</f>
        <v>3.940152339499456</v>
      </c>
      <c r="DE401" s="223">
        <f>CX401*DA401/DC401</f>
        <v>10.309756982227059</v>
      </c>
      <c r="DF401" s="243">
        <f>CY401*DB401/DC401</f>
        <v>6.714907508161045</v>
      </c>
      <c r="DG401" s="243">
        <f>SUM(DD401:DF401)</f>
        <v>20.96481682988756</v>
      </c>
      <c r="DH401" s="252">
        <f t="shared" si="4308"/>
        <v>0</v>
      </c>
      <c r="DI401" s="309">
        <f>DG401-DH401</f>
        <v>20.96481682988756</v>
      </c>
      <c r="DJ401" s="218">
        <f>IF(DG401&lt;=0,1,0)+IF(DG401&gt;0,DG401+1,0)*1+IF(DG401&gt;12,DG401-12,0)*1+IF(DG401&gt;13,DG401-13,0)*1+IF(DG401&gt;14,DG401-14,0)*1+IF(DG401&gt;15,DG401-15,0)*1+IF(DG401&gt;16,DG401-16,0)*1+IF(DG401&gt;17,DG401-17,0)*1+IF(DG401&gt;18,DG401-18,0)*1+IF(DG401&gt;19,DG401-19,0)*1+IF(DG401&gt;20,DG401-20,0)*1</f>
        <v>66.648168298875589</v>
      </c>
      <c r="DK401" s="242">
        <f>IF(DH401&lt;=0,1,0)+IF(DH401&gt;0,DH401+1,0)*1+IF(DH401&gt;12,DH401-12,0)*1+IF(DH401&gt;13,DH401-13,0)*1+IF(DH401&gt;14,DH401-14,0)*1+IF(DH401&gt;15,DH401-15,0)*1+IF(DH401&gt;16,DH401-16,0)*1+IF(DH401&gt;17,DH401-17,0)*1+IF(DH401&gt;18,DH401-18,0)*1+IF(DH401&gt;19,DH401-19,0)*1+IF(DH401&gt;20,DH401-20,0)*1</f>
        <v>1</v>
      </c>
      <c r="DL401" s="243">
        <f>IF((DJ401-DK401)&gt;0,DJ401-DK401,0)</f>
        <v>65.648168298875589</v>
      </c>
      <c r="DM401" s="218">
        <f>IF((DK401-DJ401)&gt;0,DK401-DJ401,0)</f>
        <v>0</v>
      </c>
      <c r="DO401" s="325" t="s">
        <v>246</v>
      </c>
      <c r="DP401" s="218" t="s">
        <v>180</v>
      </c>
      <c r="DQ401" s="223" t="s">
        <v>133</v>
      </c>
      <c r="DR401" s="237"/>
      <c r="DS401" s="234"/>
      <c r="DT401" s="234">
        <f>Konvention_1slave-INslave</f>
        <v>12</v>
      </c>
      <c r="DU401" s="234">
        <f>Konvention_1slave-CHslave_CH</f>
        <v>11</v>
      </c>
      <c r="DV401" s="234"/>
      <c r="DW401" s="234"/>
      <c r="DX401" s="234"/>
      <c r="DY401" s="224"/>
      <c r="DZ401" s="223">
        <f>(DT401+DT401+DU401)/3</f>
        <v>11.666666666666666</v>
      </c>
      <c r="EA401" s="223">
        <f>2*DZ401</f>
        <v>23.333333333333332</v>
      </c>
      <c r="EB401" s="234">
        <f>3*DZ401</f>
        <v>35</v>
      </c>
      <c r="EC401" s="237">
        <f>DT401*POWER(CHslave_CH,SIGN(DU401))*POWER(INslave,SIGN(DT401))+DT401*POWER(CHslave_CH,SIGN(DU401))*POWER(INslave,SIGN(DT401))+DU401*POWER(INslave,SIGN(DT401))*POWER(INslave,SIGN(DT401))</f>
        <v>2432</v>
      </c>
      <c r="ED401" s="234">
        <f>DT401*DT401*CHslave_CH+DT401*INslave*DU401+INslave*DT401*DU401</f>
        <v>3408</v>
      </c>
      <c r="EE401" s="224">
        <f>DT401*DT401*DU401</f>
        <v>1584</v>
      </c>
      <c r="EF401" s="242">
        <f>SUM(EC401:EE401)</f>
        <v>7424</v>
      </c>
      <c r="EG401" s="222">
        <f>DZ401*EC401/EF401</f>
        <v>3.8218390804597702</v>
      </c>
      <c r="EH401" s="223">
        <f>EA401*ED401/EF401</f>
        <v>10.711206896551724</v>
      </c>
      <c r="EI401" s="243">
        <f>EB401*EE401/EF401</f>
        <v>7.4676724137931032</v>
      </c>
      <c r="EJ401" s="243">
        <f>SUM(EG401:EI401)</f>
        <v>22.000718390804597</v>
      </c>
      <c r="EK401" s="252">
        <f t="shared" si="4309"/>
        <v>0</v>
      </c>
      <c r="EL401" s="309">
        <f>EJ401-EK401</f>
        <v>22.000718390804597</v>
      </c>
      <c r="EM401" s="218">
        <f>IF(EJ401&lt;=0,1,0)+IF(EJ401&gt;0,EJ401+1,0)*1+IF(EJ401&gt;12,EJ401-12,0)*1+IF(EJ401&gt;13,EJ401-13,0)*1+IF(EJ401&gt;14,EJ401-14,0)*1+IF(EJ401&gt;15,EJ401-15,0)*1+IF(EJ401&gt;16,EJ401-16,0)*1+IF(EJ401&gt;17,EJ401-17,0)*1+IF(EJ401&gt;18,EJ401-18,0)*1+IF(EJ401&gt;19,EJ401-19,0)*1+IF(EJ401&gt;20,EJ401-20,0)*1</f>
        <v>77.007183908045945</v>
      </c>
      <c r="EN401" s="242">
        <f>IF(EK401&lt;=0,1,0)+IF(EK401&gt;0,EK401+1,0)*1+IF(EK401&gt;12,EK401-12,0)*1+IF(EK401&gt;13,EK401-13,0)*1+IF(EK401&gt;14,EK401-14,0)*1+IF(EK401&gt;15,EK401-15,0)*1+IF(EK401&gt;16,EK401-16,0)*1+IF(EK401&gt;17,EK401-17,0)*1+IF(EK401&gt;18,EK401-18,0)*1+IF(EK401&gt;19,EK401-19,0)*1+IF(EK401&gt;20,EK401-20,0)*1</f>
        <v>1</v>
      </c>
      <c r="EO401" s="243">
        <f>IF((EM401-EN401)&gt;0,EM401-EN401,0)</f>
        <v>76.007183908045945</v>
      </c>
      <c r="EP401" s="218">
        <f>IF((EN401-EM401)&gt;0,EN401-EM401,0)</f>
        <v>0</v>
      </c>
      <c r="ER401" s="325" t="s">
        <v>246</v>
      </c>
      <c r="ES401" s="218" t="s">
        <v>180</v>
      </c>
      <c r="ET401" s="223" t="s">
        <v>133</v>
      </c>
      <c r="EU401" s="237"/>
      <c r="EV401" s="234"/>
      <c r="EW401" s="234">
        <f>Konvention_1slave-INslave</f>
        <v>12</v>
      </c>
      <c r="EX401" s="234">
        <f>Konvention_1slave-CHslave</f>
        <v>12</v>
      </c>
      <c r="EY401" s="234"/>
      <c r="EZ401" s="234"/>
      <c r="FA401" s="234"/>
      <c r="FB401" s="224"/>
      <c r="FC401" s="223">
        <f>(EW401+EW401+EX401)/3</f>
        <v>12</v>
      </c>
      <c r="FD401" s="223">
        <f>2*FC401</f>
        <v>24</v>
      </c>
      <c r="FE401" s="234">
        <f>3*FC401</f>
        <v>36</v>
      </c>
      <c r="FF401" s="237">
        <f>EW401*POWER(CHslave,SIGN(EX401))*POWER(INslave,SIGN(EW401))+EW401*POWER(CHslave,SIGN(EX401))*POWER(INslave,SIGN(EW401))+EX401*POWER(INslave,SIGN(EW401))*POWER(INslave,SIGN(EW401))</f>
        <v>2304</v>
      </c>
      <c r="FG401" s="234">
        <f>EW401*EW401*CHslave+EW401*INslave*EX401+INslave*EW401*EX401</f>
        <v>3456</v>
      </c>
      <c r="FH401" s="224">
        <f>EW401*EW401*EX401</f>
        <v>1728</v>
      </c>
      <c r="FI401" s="242">
        <f>SUM(FF401:FH401)</f>
        <v>7488</v>
      </c>
      <c r="FJ401" s="222">
        <f>FC401*FF401/FI401</f>
        <v>3.6923076923076925</v>
      </c>
      <c r="FK401" s="223">
        <f>FD401*FG401/FI401</f>
        <v>11.076923076923077</v>
      </c>
      <c r="FL401" s="243">
        <f>FE401*FH401/FI401</f>
        <v>8.3076923076923084</v>
      </c>
      <c r="FM401" s="243">
        <f>SUM(FJ401:FL401)</f>
        <v>23.07692307692308</v>
      </c>
      <c r="FN401" s="252">
        <f t="shared" si="4310"/>
        <v>0</v>
      </c>
      <c r="FO401" s="309">
        <f>FM401-FN401</f>
        <v>23.07692307692308</v>
      </c>
      <c r="FP401" s="218">
        <f>IF(FM401&lt;=0,1,0)+IF(FM401&gt;0,FM401+1,0)*1+IF(FM401&gt;12,FM401-12,0)*1+IF(FM401&gt;13,FM401-13,0)*1+IF(FM401&gt;14,FM401-14,0)*1+IF(FM401&gt;15,FM401-15,0)*1+IF(FM401&gt;16,FM401-16,0)*1+IF(FM401&gt;17,FM401-17,0)*1+IF(FM401&gt;18,FM401-18,0)*1+IF(FM401&gt;19,FM401-19,0)*1+IF(FM401&gt;20,FM401-20,0)*1</f>
        <v>87.769230769230802</v>
      </c>
      <c r="FQ401" s="242">
        <f>IF(FN401&lt;=0,1,0)+IF(FN401&gt;0,FN401+1,0)*1+IF(FN401&gt;12,FN401-12,0)*1+IF(FN401&gt;13,FN401-13,0)*1+IF(FN401&gt;14,FN401-14,0)*1+IF(FN401&gt;15,FN401-15,0)*1+IF(FN401&gt;16,FN401-16,0)*1+IF(FN401&gt;17,FN401-17,0)*1+IF(FN401&gt;18,FN401-18,0)*1+IF(FN401&gt;19,FN401-19,0)*1+IF(FN401&gt;20,FN401-20,0)*1</f>
        <v>1</v>
      </c>
      <c r="FR401" s="243">
        <f>IF((FP401-FQ401)&gt;0,FP401-FQ401,0)</f>
        <v>86.769230769230802</v>
      </c>
      <c r="FS401" s="218">
        <f>IF((FQ401-FP401)&gt;0,FQ401-FP401,0)</f>
        <v>0</v>
      </c>
      <c r="FU401" s="325" t="s">
        <v>246</v>
      </c>
      <c r="FV401" s="218" t="s">
        <v>180</v>
      </c>
      <c r="FW401" s="223" t="s">
        <v>133</v>
      </c>
      <c r="FX401" s="237"/>
      <c r="FY401" s="234"/>
      <c r="FZ401" s="234">
        <f>Konvention_1slave-INslave</f>
        <v>12</v>
      </c>
      <c r="GA401" s="234">
        <f>Konvention_1slave-CHslave</f>
        <v>12</v>
      </c>
      <c r="GB401" s="234"/>
      <c r="GC401" s="234"/>
      <c r="GD401" s="234"/>
      <c r="GE401" s="224"/>
      <c r="GF401" s="223">
        <f>(FZ401+FZ401+GA401)/3</f>
        <v>12</v>
      </c>
      <c r="GG401" s="223">
        <f>2*GF401</f>
        <v>24</v>
      </c>
      <c r="GH401" s="234">
        <f>3*GF401</f>
        <v>36</v>
      </c>
      <c r="GI401" s="237">
        <f>FZ401*POWER(CHslave,SIGN(GA401))*POWER(INslave,SIGN(FZ401))+FZ401*POWER(CHslave,SIGN(GA401))*POWER(INslave,SIGN(FZ401))+GA401*POWER(INslave,SIGN(FZ401))*POWER(INslave,SIGN(FZ401))</f>
        <v>2304</v>
      </c>
      <c r="GJ401" s="234">
        <f>FZ401*FZ401*CHslave+FZ401*INslave*GA401+INslave*FZ401*GA401</f>
        <v>3456</v>
      </c>
      <c r="GK401" s="224">
        <f>FZ401*FZ401*GA401</f>
        <v>1728</v>
      </c>
      <c r="GL401" s="242">
        <f>SUM(GI401:GK401)</f>
        <v>7488</v>
      </c>
      <c r="GM401" s="222">
        <f>GF401*GI401/GL401</f>
        <v>3.6923076923076925</v>
      </c>
      <c r="GN401" s="223">
        <f>GG401*GJ401/GL401</f>
        <v>11.076923076923077</v>
      </c>
      <c r="GO401" s="243">
        <f>GH401*GK401/GL401</f>
        <v>8.3076923076923084</v>
      </c>
      <c r="GP401" s="243">
        <f>SUM(GM401:GO401)</f>
        <v>23.07692307692308</v>
      </c>
      <c r="GQ401" s="252">
        <f t="shared" si="4311"/>
        <v>0</v>
      </c>
      <c r="GR401" s="309">
        <f>GP401-GQ401</f>
        <v>23.07692307692308</v>
      </c>
      <c r="GS401" s="218">
        <f>IF(GP401&lt;=0,1,0)+IF(GP401&gt;0,GP401+1,0)*1+IF(GP401&gt;12,GP401-12,0)*1+IF(GP401&gt;13,GP401-13,0)*1+IF(GP401&gt;14,GP401-14,0)*1+IF(GP401&gt;15,GP401-15,0)*1+IF(GP401&gt;16,GP401-16,0)*1+IF(GP401&gt;17,GP401-17,0)*1+IF(GP401&gt;18,GP401-18,0)*1+IF(GP401&gt;19,GP401-19,0)*1+IF(GP401&gt;20,GP401-20,0)*1</f>
        <v>87.769230769230802</v>
      </c>
      <c r="GT401" s="242">
        <f>IF(GQ401&lt;=0,1,0)+IF(GQ401&gt;0,GQ401+1,0)*1+IF(GQ401&gt;12,GQ401-12,0)*1+IF(GQ401&gt;13,GQ401-13,0)*1+IF(GQ401&gt;14,GQ401-14,0)*1+IF(GQ401&gt;15,GQ401-15,0)*1+IF(GQ401&gt;16,GQ401-16,0)*1+IF(GQ401&gt;17,GQ401-17,0)*1+IF(GQ401&gt;18,GQ401-18,0)*1+IF(GQ401&gt;19,GQ401-19,0)*1+IF(GQ401&gt;20,GQ401-20,0)*1</f>
        <v>1</v>
      </c>
      <c r="GU401" s="243">
        <f>IF((GS401-GT401)&gt;0,GS401-GT401,0)</f>
        <v>86.769230769230802</v>
      </c>
      <c r="GV401" s="218">
        <f>IF((GT401-GS401)&gt;0,GT401-GS401,0)</f>
        <v>0</v>
      </c>
      <c r="GX401" s="325" t="s">
        <v>246</v>
      </c>
      <c r="GY401" s="218" t="s">
        <v>180</v>
      </c>
      <c r="GZ401" s="223" t="s">
        <v>133</v>
      </c>
      <c r="HA401" s="237"/>
      <c r="HB401" s="234"/>
      <c r="HC401" s="234">
        <f>Konvention_1slave-INslave</f>
        <v>12</v>
      </c>
      <c r="HD401" s="234">
        <f>Konvention_1slave-CHslave</f>
        <v>12</v>
      </c>
      <c r="HE401" s="234"/>
      <c r="HF401" s="234"/>
      <c r="HG401" s="234"/>
      <c r="HH401" s="224"/>
      <c r="HI401" s="223">
        <f>(HC401+HC401+HD401)/3</f>
        <v>12</v>
      </c>
      <c r="HJ401" s="223">
        <f>2*HI401</f>
        <v>24</v>
      </c>
      <c r="HK401" s="234">
        <f>3*HI401</f>
        <v>36</v>
      </c>
      <c r="HL401" s="237">
        <f>HC401*POWER(CHslave,SIGN(HD401))*POWER(INslave,SIGN(HC401))+HC401*POWER(CHslave,SIGN(HD401))*POWER(INslave,SIGN(HC401))+HD401*POWER(INslave,SIGN(HC401))*POWER(INslave,SIGN(HC401))</f>
        <v>2304</v>
      </c>
      <c r="HM401" s="234">
        <f>HC401*HC401*CHslave+HC401*INslave*HD401+INslave*HC401*HD401</f>
        <v>3456</v>
      </c>
      <c r="HN401" s="224">
        <f>HC401*HC401*HD401</f>
        <v>1728</v>
      </c>
      <c r="HO401" s="242">
        <f>SUM(HL401:HN401)</f>
        <v>7488</v>
      </c>
      <c r="HP401" s="222">
        <f>HI401*HL401/HO401</f>
        <v>3.6923076923076925</v>
      </c>
      <c r="HQ401" s="223">
        <f>HJ401*HM401/HO401</f>
        <v>11.076923076923077</v>
      </c>
      <c r="HR401" s="243">
        <f>HK401*HN401/HO401</f>
        <v>8.3076923076923084</v>
      </c>
      <c r="HS401" s="243">
        <f>SUM(HP401:HR401)</f>
        <v>23.07692307692308</v>
      </c>
      <c r="HT401" s="252">
        <f t="shared" si="4312"/>
        <v>0</v>
      </c>
      <c r="HU401" s="309">
        <f>HS401-HT401</f>
        <v>23.07692307692308</v>
      </c>
      <c r="HV401" s="218">
        <f>IF(HS401&lt;=0,1,0)+IF(HS401&gt;0,HS401+1,0)*1+IF(HS401&gt;12,HS401-12,0)*1+IF(HS401&gt;13,HS401-13,0)*1+IF(HS401&gt;14,HS401-14,0)*1+IF(HS401&gt;15,HS401-15,0)*1+IF(HS401&gt;16,HS401-16,0)*1+IF(HS401&gt;17,HS401-17,0)*1+IF(HS401&gt;18,HS401-18,0)*1+IF(HS401&gt;19,HS401-19,0)*1+IF(HS401&gt;20,HS401-20,0)*1</f>
        <v>87.769230769230802</v>
      </c>
      <c r="HW401" s="242">
        <f>IF(HT401&lt;=0,1,0)+IF(HT401&gt;0,HT401+1,0)*1+IF(HT401&gt;12,HT401-12,0)*1+IF(HT401&gt;13,HT401-13,0)*1+IF(HT401&gt;14,HT401-14,0)*1+IF(HT401&gt;15,HT401-15,0)*1+IF(HT401&gt;16,HT401-16,0)*1+IF(HT401&gt;17,HT401-17,0)*1+IF(HT401&gt;18,HT401-18,0)*1+IF(HT401&gt;19,HT401-19,0)*1+IF(HT401&gt;20,HT401-20,0)*1</f>
        <v>1</v>
      </c>
      <c r="HX401" s="243">
        <f>IF((HV401-HW401)&gt;0,HV401-HW401,0)</f>
        <v>86.769230769230802</v>
      </c>
      <c r="HY401" s="218">
        <f>IF((HW401-HV401)&gt;0,HW401-HV401,0)</f>
        <v>0</v>
      </c>
      <c r="IA401" s="325" t="s">
        <v>246</v>
      </c>
      <c r="IB401" s="218" t="s">
        <v>180</v>
      </c>
      <c r="IC401" s="223" t="s">
        <v>133</v>
      </c>
      <c r="ID401" s="237"/>
      <c r="IE401" s="234"/>
      <c r="IF401" s="234">
        <f>Konvention_1slave-INslave</f>
        <v>12</v>
      </c>
      <c r="IG401" s="234">
        <f>Konvention_1slave-CHslave</f>
        <v>12</v>
      </c>
      <c r="IH401" s="234"/>
      <c r="II401" s="234"/>
      <c r="IJ401" s="234"/>
      <c r="IK401" s="224"/>
      <c r="IL401" s="223">
        <f>(IF401+IF401+IG401)/3</f>
        <v>12</v>
      </c>
      <c r="IM401" s="223">
        <f>2*IL401</f>
        <v>24</v>
      </c>
      <c r="IN401" s="234">
        <f>3*IL401</f>
        <v>36</v>
      </c>
      <c r="IO401" s="237">
        <f>IF401*POWER(CHslave,SIGN(IG401))*POWER(INslave,SIGN(IF401))+IF401*POWER(CHslave,SIGN(IG401))*POWER(INslave,SIGN(IF401))+IG401*POWER(INslave,SIGN(IF401))*POWER(INslave,SIGN(IF401))</f>
        <v>2304</v>
      </c>
      <c r="IP401" s="234">
        <f>IF401*IF401*CHslave+IF401*INslave*IG401+INslave*IF401*IG401</f>
        <v>3456</v>
      </c>
      <c r="IQ401" s="224">
        <f>IF401*IF401*IG401</f>
        <v>1728</v>
      </c>
      <c r="IR401" s="242">
        <f>SUM(IO401:IQ401)</f>
        <v>7488</v>
      </c>
      <c r="IS401" s="222">
        <f>IL401*IO401/IR401</f>
        <v>3.6923076923076925</v>
      </c>
      <c r="IT401" s="223">
        <f>IM401*IP401/IR401</f>
        <v>11.076923076923077</v>
      </c>
      <c r="IU401" s="243">
        <f>IN401*IQ401/IR401</f>
        <v>8.3076923076923084</v>
      </c>
      <c r="IV401" s="243">
        <f>SUM(IS401:IU401)</f>
        <v>23.07692307692308</v>
      </c>
      <c r="IW401" s="252">
        <f t="shared" si="4313"/>
        <v>0</v>
      </c>
      <c r="IX401" s="309">
        <f>IV401-IW401</f>
        <v>23.07692307692308</v>
      </c>
      <c r="IY401" s="218">
        <f>IF(IV401&lt;=0,1,0)+IF(IV401&gt;0,IV401+1,0)*1+IF(IV401&gt;12,IV401-12,0)*1+IF(IV401&gt;13,IV401-13,0)*1+IF(IV401&gt;14,IV401-14,0)*1+IF(IV401&gt;15,IV401-15,0)*1+IF(IV401&gt;16,IV401-16,0)*1+IF(IV401&gt;17,IV401-17,0)*1+IF(IV401&gt;18,IV401-18,0)*1+IF(IV401&gt;19,IV401-19,0)*1+IF(IV401&gt;20,IV401-20,0)*1</f>
        <v>87.769230769230802</v>
      </c>
      <c r="IZ401" s="242">
        <f>IF(IW401&lt;=0,1,0)+IF(IW401&gt;0,IW401+1,0)*1+IF(IW401&gt;12,IW401-12,0)*1+IF(IW401&gt;13,IW401-13,0)*1+IF(IW401&gt;14,IW401-14,0)*1+IF(IW401&gt;15,IW401-15,0)*1+IF(IW401&gt;16,IW401-16,0)*1+IF(IW401&gt;17,IW401-17,0)*1+IF(IW401&gt;18,IW401-18,0)*1+IF(IW401&gt;19,IW401-19,0)*1+IF(IW401&gt;20,IW401-20,0)*1</f>
        <v>1</v>
      </c>
      <c r="JA401" s="243">
        <f>IF((IY401-IZ401)&gt;0,IY401-IZ401,0)</f>
        <v>86.769230769230802</v>
      </c>
      <c r="JB401" s="218">
        <f>IF((IZ401-IY401)&gt;0,IZ401-IY401,0)</f>
        <v>0</v>
      </c>
      <c r="JE401" s="148"/>
    </row>
    <row r="402" spans="2:265" ht="15" hidden="1" customHeight="1" outlineLevel="2">
      <c r="B402" s="148">
        <v>3</v>
      </c>
      <c r="C402" s="326" t="e">
        <f>VLOOKUP(AF402,Attribute!C:T,1,FALSE)</f>
        <v>#N/A</v>
      </c>
      <c r="D402" s="87" t="s">
        <v>86</v>
      </c>
      <c r="E402" s="88" t="s">
        <v>132</v>
      </c>
      <c r="F402" s="115">
        <f>Konvention_1master-MUmaster</f>
        <v>12</v>
      </c>
      <c r="G402" s="122"/>
      <c r="H402" s="122">
        <f>Konvention_1master-INmaster</f>
        <v>12</v>
      </c>
      <c r="I402" s="122">
        <f>Konvention_1master-CHmaster</f>
        <v>12</v>
      </c>
      <c r="J402" s="122"/>
      <c r="K402" s="122"/>
      <c r="L402" s="122"/>
      <c r="M402" s="123"/>
      <c r="N402" s="226">
        <f>(F402+G402+H402+I402+J402+K402+L402+M402)/3</f>
        <v>12</v>
      </c>
      <c r="O402" s="226">
        <f>2*N402</f>
        <v>24</v>
      </c>
      <c r="P402" s="235">
        <f>3*N402</f>
        <v>36</v>
      </c>
      <c r="Q402" s="238">
        <f>F402*POWER(KLmaster,SIGN(G402))*POWER(INmaster,SIGN(H402))*POWER(CHmaster,SIGN(I402))*POWER(FFmaster,SIGN(J402))*POWER(GEmaster,SIGN(K402))*POWER(KOmaster,SIGN(L402))*POWER(KKmaster,SIGN(M402))+G402*POWER(MUmaster,SIGN(F402))*POWER(INmaster,SIGN(H402))*POWER(CHmaster,SIGN(I402))*POWER(FFmaster,SIGN(J402))*POWER(GEmaster,SIGN(K402))*POWER(KOmaster,SIGN(L402))*POWER(KKmaster,SIGN(M402))+H402*POWER(MUmaster,SIGN(F402))*POWER(KLmaster,SIGN(G402))*POWER(CHmaster,SIGN(I402))*POWER(FFmaster,SIGN(J402))*POWER(GEmaster,SIGN(K402))*POWER(KOmaster,SIGN(L402))*POWER(KKmaster,SIGN(M402))+I402*POWER(MUmaster,SIGN(F402))*POWER(KLmaster,SIGN(G402))*POWER(INmaster,SIGN(H402))*POWER(FFmaster,SIGN(J402))*POWER(GEmaster,SIGN(K402))*POWER(KOmaster,SIGN(L402))*POWER(KKmaster,SIGN(M402))+J402*POWER(MUmaster,SIGN(F402))*POWER(KLmaster,SIGN(G402))*POWER(INmaster,SIGN(H402))*POWER(CHmaster,SIGN(I402))*POWER(GEmaster,SIGN(K402))*POWER(KOmaster,SIGN(L402))*POWER(KKmaster,SIGN(M402))+K402*POWER(MUmaster,SIGN(F402))*POWER(KLmaster,SIGN(G402))*POWER(INmaster,SIGN(H402))*POWER(CHmaster,SIGN(I402))*POWER(FFmaster,SIGN(J402))*POWER(KOmaster,SIGN(L402))*POWER(KKmaster,SIGN(M402))+L402*POWER(MUmaster,SIGN(F402))*POWER(KLmaster,SIGN(G402))*POWER(INmaster,SIGN(H402))*POWER(CHmaster,SIGN(I402))*POWER(FFmaster,SIGN(J402))*POWER(GEmaster,SIGN(K402))*POWER(KKmaster,SIGN(M402))+M402*POWER(MUmaster,SIGN(F402))*POWER(KLmaster,SIGN(G402))*POWER(INmaster,SIGN(H402))*POWER(CHmaster,SIGN(I402))*POWER(FFmaster,SIGN(J402))*POWER(GEmaster,SIGN(K402))*POWER(KOmaster,SIGN(L402))</f>
        <v>2304</v>
      </c>
      <c r="R402" s="122">
        <f>F402*H402*CHmaster+F402*INmaster*I402+MUmaster*H402*I402</f>
        <v>3456</v>
      </c>
      <c r="S402" s="227">
        <f>IFERROR(F402^SIGN(F402),1)*IFERROR(G402^SIGN(G402),1)*IFERROR(H402^SIGN(H402),1)*IFERROR(I402^SIGN(I402),1)*IFERROR(J402^SIGN(J402),1)*IFERROR(K402^SIGN(K402),1)*IFERROR(L402^SIGN(L402),1)*IFERROR(M402^SIGN(M402),1)</f>
        <v>1728</v>
      </c>
      <c r="T402" s="244">
        <f>SUM(Q402:S402)</f>
        <v>7488</v>
      </c>
      <c r="U402" s="225">
        <f>N402*Q402/T402</f>
        <v>3.6923076923076925</v>
      </c>
      <c r="V402" s="226">
        <f>O402*R402/T402</f>
        <v>11.076923076923077</v>
      </c>
      <c r="W402" s="245">
        <f>P402*S402/T402</f>
        <v>8.3076923076923084</v>
      </c>
      <c r="X402" s="245">
        <f>SUM(U402:W402)</f>
        <v>23.07692307692308</v>
      </c>
      <c r="Y402" s="252">
        <v>0</v>
      </c>
      <c r="Z402" s="198">
        <f>X402-Y402</f>
        <v>23.07692307692308</v>
      </c>
      <c r="AA402" s="159">
        <f>IF(X402&lt;=0,2,0)+IF(X402&gt;0,X402+1,0)*2+IF(X402&gt;12,X402-12,0)*2+IF(X402&gt;13,X402-13,0)*2+IF(X402&gt;14,X402-14,0)*2+IF(X402&gt;15,X402-15,0)*2+IF(X402&gt;16,X402-16,0)*2+IF(X402&gt;17,X402-17,0)*2+IF(X402&gt;18,X402-18,0)*2+IF(X402&gt;19,X402-19,0)*2+IF(X402&gt;20,X402-20,0)*2</f>
        <v>175.5384615384616</v>
      </c>
      <c r="AB402" s="161">
        <f>IF(Y402&lt;=0,2,0)+IF(Y402&gt;0,Y402+1,0)*2+IF(Y402&gt;12,Y402-12,0)*2+IF(Y402&gt;13,Y402-13,0)*2+IF(Y402&gt;14,Y402-14,0)*2+IF(Y402&gt;15,Y402-15,0)*2+IF(Y402&gt;16,Y402-16,0)*2+IF(Y402&gt;17,Y402-17,0)*2+IF(Y402&gt;18,Y402-18,0)*2+IF(Y402&gt;19,Y402-19,0)*2+IF(Y402&gt;20,Y402-20,0)*2</f>
        <v>2</v>
      </c>
      <c r="AC402" s="128">
        <f>IF((AA402-AB402)&gt;0,AA402-AB402,0)</f>
        <v>173.5384615384616</v>
      </c>
      <c r="AD402" s="159">
        <f>IF((AB402-AA402)&gt;0,AB402-AA402,0)</f>
        <v>0</v>
      </c>
      <c r="AF402" s="178" t="s">
        <v>256</v>
      </c>
      <c r="AG402" s="159" t="s">
        <v>86</v>
      </c>
      <c r="AH402" s="88" t="s">
        <v>132</v>
      </c>
      <c r="AI402" s="115">
        <f>Konvention_1slave-MUslave_MU</f>
        <v>11</v>
      </c>
      <c r="AJ402" s="122"/>
      <c r="AK402" s="122">
        <f>Konvention_1slave-INslave</f>
        <v>12</v>
      </c>
      <c r="AL402" s="122">
        <f>Konvention_1slave-CHslave</f>
        <v>12</v>
      </c>
      <c r="AM402" s="122"/>
      <c r="AN402" s="122"/>
      <c r="AO402" s="122"/>
      <c r="AP402" s="123"/>
      <c r="AQ402" s="88">
        <f>(AI402+AJ402+AK402+AL402+AM402+AN402+AO402+AP402)/3</f>
        <v>11.666666666666666</v>
      </c>
      <c r="AR402" s="88">
        <f>2*AQ402</f>
        <v>23.333333333333332</v>
      </c>
      <c r="AS402" s="122">
        <f>3*AQ402</f>
        <v>35</v>
      </c>
      <c r="AT402" s="115">
        <f>AI402*POWER(KLslave,SIGN(AJ402))*POWER(INslave,SIGN(AK402))*POWER(CHslave,SIGN(AL402))*POWER(FFslave,SIGN(AM402))*POWER(GEslave,SIGN(AN402))*POWER(KOslave,SIGN(AO402))*POWER(KKslave,SIGN(AP402))+AJ402*POWER(MUslave_MU,SIGN(AI402))*POWER(INslave,SIGN(AK402))*POWER(CHslave,SIGN(AL402))*POWER(FFslave,SIGN(AM402))*POWER(GEslave,SIGN(AN402))*POWER(KOslave,SIGN(AO402))*POWER(KKslave,SIGN(AP402))+AK402*POWER(MUslave_MU,SIGN(AI402))*POWER(KLslave,SIGN(AJ402))*POWER(CHslave,SIGN(AL402))*POWER(FFslave,SIGN(AM402))*POWER(GEslave,SIGN(AN402))*POWER(KOslave,SIGN(AO402))*POWER(KKslave,SIGN(AP402))+AL402*POWER(MUslave_MU,SIGN(AI402))*POWER(KLslave,SIGN(AJ402))*POWER(INslave,SIGN(AK402))*POWER(FFslave,SIGN(AM402))*POWER(GEslave,SIGN(AN402))*POWER(KOslave,SIGN(AO402))*POWER(KKslave,SIGN(AP402))+AM402*POWER(MUslave_MU,SIGN(AI402))*POWER(KLslave,SIGN(AJ402))*POWER(INslave,SIGN(AK402))*POWER(CHslave,SIGN(AL402))*POWER(GEslave,SIGN(AN402))*POWER(KOslave,SIGN(AO402))*POWER(KKslave,SIGN(AP402))+AN402*POWER(MUslave_MU,SIGN(AI402))*POWER(KLslave,SIGN(AJ402))*POWER(INslave,SIGN(AK402))*POWER(CHslave,SIGN(AL402))*POWER(FFslave,SIGN(AM402))*POWER(KOslave,SIGN(AO402))*POWER(KKslave,SIGN(AP402))+AO402*POWER(MUslave_MU,SIGN(AI402))*POWER(KLslave,SIGN(AJ402))*POWER(INslave,SIGN(AK402))*POWER(CHslave,SIGN(AL402))*POWER(FFslave,SIGN(AM402))*POWER(GEslave,SIGN(AN402))*POWER(KKslave,SIGN(AP402))+AP402*POWER(MUslave_MU,SIGN(AI402))*POWER(KLslave,SIGN(AJ402))*POWER(INslave,SIGN(AK402))*POWER(CHslave,SIGN(AL402))*POWER(FFslave,SIGN(AM402))*POWER(GEslave,SIGN(AN402))*POWER(KOslave,SIGN(AO402))</f>
        <v>2432</v>
      </c>
      <c r="AU402" s="122">
        <f>AI402*AK402*CHslave+AI402*INslave*AL402+MUslave_MU*AK402*AL402</f>
        <v>3408</v>
      </c>
      <c r="AV402" s="123">
        <f>IFERROR(AI402^SIGN(AI402),1)*IFERROR(AJ402^SIGN(AJ402),1)*IFERROR(AK402^SIGN(AK402),1)*IFERROR(AL402^SIGN(AL402),1)*IFERROR(AM402^SIGN(AM402),1)*IFERROR(AN402^SIGN(AN402),1)*IFERROR(AO402^SIGN(AO402),1)*IFERROR(AP402^SIGN(AP402),1)</f>
        <v>1584</v>
      </c>
      <c r="AW402" s="161">
        <f>SUM(AT402:AV402)</f>
        <v>7424</v>
      </c>
      <c r="AX402" s="90">
        <f>AQ402*AT402/AW402</f>
        <v>3.8218390804597702</v>
      </c>
      <c r="AY402" s="88">
        <f>AR402*AU402/AW402</f>
        <v>10.711206896551724</v>
      </c>
      <c r="AZ402" s="128">
        <f>AS402*AV402/AW402</f>
        <v>7.4676724137931032</v>
      </c>
      <c r="BA402" s="128">
        <f>SUM(AX402:AZ402)</f>
        <v>22.000718390804597</v>
      </c>
      <c r="BB402" s="165">
        <f t="shared" si="4306"/>
        <v>0</v>
      </c>
      <c r="BC402" s="198">
        <f>BA402-BB402</f>
        <v>22.000718390804597</v>
      </c>
      <c r="BD402" s="159">
        <f>IF(BA402&lt;=0,2,0)+IF(BA402&gt;0,BA402+1,0)*2+IF(BA402&gt;12,BA402-12,0)*2+IF(BA402&gt;13,BA402-13,0)*2+IF(BA402&gt;14,BA402-14,0)*2+IF(BA402&gt;15,BA402-15,0)*2+IF(BA402&gt;16,BA402-16,0)*2+IF(BA402&gt;17,BA402-17,0)*2+IF(BA402&gt;18,BA402-18,0)*2+IF(BA402&gt;19,BA402-19,0)*2+IF(BA402&gt;20,BA402-20,0)*2</f>
        <v>154.01436781609189</v>
      </c>
      <c r="BE402" s="161">
        <f>IF(BB402&lt;=0,2,0)+IF(BB402&gt;0,BB402+1,0)*2+IF(BB402&gt;12,BB402-12,0)*2+IF(BB402&gt;13,BB402-13,0)*2+IF(BB402&gt;14,BB402-14,0)*2+IF(BB402&gt;15,BB402-15,0)*2+IF(BB402&gt;16,BB402-16,0)*2+IF(BB402&gt;17,BB402-17,0)*2+IF(BB402&gt;18,BB402-18,0)*2+IF(BB402&gt;19,BB402-19,0)*2+IF(BB402&gt;20,BB402-20,0)*2</f>
        <v>2</v>
      </c>
      <c r="BF402" s="245">
        <f>IF((BD402-BE402)&gt;0,BD402-BE402,0)</f>
        <v>152.01436781609189</v>
      </c>
      <c r="BG402" s="246">
        <f>IF((BE402-BD402)&gt;0,BE402-BD402,0)</f>
        <v>0</v>
      </c>
      <c r="BI402" s="326" t="s">
        <v>256</v>
      </c>
      <c r="BJ402" s="246" t="s">
        <v>86</v>
      </c>
      <c r="BK402" s="226" t="s">
        <v>132</v>
      </c>
      <c r="BL402" s="238">
        <f>Konvention_1slave-MUslave</f>
        <v>12</v>
      </c>
      <c r="BM402" s="235"/>
      <c r="BN402" s="235">
        <f>Konvention_1slave-INslave</f>
        <v>12</v>
      </c>
      <c r="BO402" s="235">
        <f>Konvention_1slave-CHslave</f>
        <v>12</v>
      </c>
      <c r="BP402" s="235"/>
      <c r="BQ402" s="235"/>
      <c r="BR402" s="235"/>
      <c r="BS402" s="227"/>
      <c r="BT402" s="226">
        <f>(BL402+BM402+BN402+BO402+BP402+BQ402+BR402+BS402)/3</f>
        <v>12</v>
      </c>
      <c r="BU402" s="226">
        <f>2*BT402</f>
        <v>24</v>
      </c>
      <c r="BV402" s="235">
        <f>3*BT402</f>
        <v>36</v>
      </c>
      <c r="BW402" s="238">
        <f>BL402*POWER(KLslave_KL,SIGN(BM402))*POWER(INslave,SIGN(BN402))*POWER(CHslave,SIGN(BO402))*POWER(FFslave,SIGN(BP402))*POWER(GEslave,SIGN(BQ402))*POWER(KOslave,SIGN(BR402))*POWER(KKslave,SIGN(BS402))+BM402*POWER(MUslave,SIGN(BL402))*POWER(INslave,SIGN(BN402))*POWER(CHslave,SIGN(BO402))*POWER(FFslave,SIGN(BP402))*POWER(GEslave,SIGN(BQ402))*POWER(KOslave,SIGN(BR402))*POWER(KKslave,SIGN(BS402))+BN402*POWER(MUslave,SIGN(BL402))*POWER(KLslave_KL,SIGN(BM402))*POWER(CHslave,SIGN(BO402))*POWER(FFslave,SIGN(BP402))*POWER(GEslave,SIGN(BQ402))*POWER(KOslave,SIGN(BR402))*POWER(KKslave,SIGN(BS402))+BO402*POWER(MUslave,SIGN(BL402))*POWER(KLslave_KL,SIGN(BM402))*POWER(INslave,SIGN(BN402))*POWER(FFslave,SIGN(BP402))*POWER(GEslave,SIGN(BQ402))*POWER(KOslave,SIGN(BR402))*POWER(KKslave,SIGN(BS402))+BP402*POWER(MUslave,SIGN(BL402))*POWER(KLslave_KL,SIGN(BM402))*POWER(INslave,SIGN(BN402))*POWER(CHslave,SIGN(BO402))*POWER(GEslave,SIGN(BQ402))*POWER(KOslave,SIGN(BR402))*POWER(KKslave,SIGN(BS402))+BQ402*POWER(MUslave,SIGN(BL402))*POWER(KLslave_KL,SIGN(BM402))*POWER(INslave,SIGN(BN402))*POWER(CHslave,SIGN(BO402))*POWER(FFslave,SIGN(BP402))*POWER(KOslave,SIGN(BR402))*POWER(KKslave,SIGN(BS402))+BR402*POWER(MUslave,SIGN(BL402))*POWER(KLslave_KL,SIGN(BM402))*POWER(INslave,SIGN(BN402))*POWER(CHslave,SIGN(BO402))*POWER(FFslave,SIGN(BP402))*POWER(GEslave,SIGN(BQ402))*POWER(KKslave,SIGN(BS402))+BS402*POWER(MUslave,SIGN(BL402))*POWER(KLslave_KL,SIGN(BM402))*POWER(INslave,SIGN(BN402))*POWER(CHslave,SIGN(BO402))*POWER(FFslave,SIGN(BP402))*POWER(GEslave,SIGN(BQ402))*POWER(KOslave,SIGN(BR402))</f>
        <v>2304</v>
      </c>
      <c r="BX402" s="235">
        <f>BL402*BN402*CHslave+BL402*INslave*BO402+MUslave*BN402*BO402</f>
        <v>3456</v>
      </c>
      <c r="BY402" s="227">
        <f>IFERROR(BL402^SIGN(BL402),1)*IFERROR(BM402^SIGN(BM402),1)*IFERROR(BN402^SIGN(BN402),1)*IFERROR(BO402^SIGN(BO402),1)*IFERROR(BP402^SIGN(BP402),1)*IFERROR(BQ402^SIGN(BQ402),1)*IFERROR(BR402^SIGN(BR402),1)*IFERROR(BS402^SIGN(BS402),1)</f>
        <v>1728</v>
      </c>
      <c r="BZ402" s="244">
        <f>SUM(BW402:BY402)</f>
        <v>7488</v>
      </c>
      <c r="CA402" s="225">
        <f>BT402*BW402/BZ402</f>
        <v>3.6923076923076925</v>
      </c>
      <c r="CB402" s="226">
        <f>BU402*BX402/BZ402</f>
        <v>11.076923076923077</v>
      </c>
      <c r="CC402" s="245">
        <f>BV402*BY402/BZ402</f>
        <v>8.3076923076923084</v>
      </c>
      <c r="CD402" s="245">
        <f>SUM(CA402:CC402)</f>
        <v>23.07692307692308</v>
      </c>
      <c r="CE402" s="252">
        <f t="shared" si="4307"/>
        <v>0</v>
      </c>
      <c r="CF402" s="309">
        <f>CD402-CE402</f>
        <v>23.07692307692308</v>
      </c>
      <c r="CG402" s="246">
        <f>IF(CD402&lt;=0,2,0)+IF(CD402&gt;0,CD402+1,0)*2+IF(CD402&gt;12,CD402-12,0)*2+IF(CD402&gt;13,CD402-13,0)*2+IF(CD402&gt;14,CD402-14,0)*2+IF(CD402&gt;15,CD402-15,0)*2+IF(CD402&gt;16,CD402-16,0)*2+IF(CD402&gt;17,CD402-17,0)*2+IF(CD402&gt;18,CD402-18,0)*2+IF(CD402&gt;19,CD402-19,0)*2+IF(CD402&gt;20,CD402-20,0)*2</f>
        <v>175.5384615384616</v>
      </c>
      <c r="CH402" s="244">
        <f>IF(CE402&lt;=0,2,0)+IF(CE402&gt;0,CE402+1,0)*2+IF(CE402&gt;12,CE402-12,0)*2+IF(CE402&gt;13,CE402-13,0)*2+IF(CE402&gt;14,CE402-14,0)*2+IF(CE402&gt;15,CE402-15,0)*2+IF(CE402&gt;16,CE402-16,0)*2+IF(CE402&gt;17,CE402-17,0)*2+IF(CE402&gt;18,CE402-18,0)*2+IF(CE402&gt;19,CE402-19,0)*2+IF(CE402&gt;20,CE402-20,0)*2</f>
        <v>2</v>
      </c>
      <c r="CI402" s="245">
        <f>IF((CG402-CH402)&gt;0,CG402-CH402,0)</f>
        <v>173.5384615384616</v>
      </c>
      <c r="CJ402" s="246">
        <f>IF((CH402-CG402)&gt;0,CH402-CG402,0)</f>
        <v>0</v>
      </c>
      <c r="CL402" s="326" t="s">
        <v>256</v>
      </c>
      <c r="CM402" s="246" t="s">
        <v>86</v>
      </c>
      <c r="CN402" s="226" t="s">
        <v>132</v>
      </c>
      <c r="CO402" s="238">
        <f>Konvention_1slave-MUslave</f>
        <v>12</v>
      </c>
      <c r="CP402" s="235"/>
      <c r="CQ402" s="235">
        <f>Konvention_1slave-INslave_IN</f>
        <v>11</v>
      </c>
      <c r="CR402" s="235">
        <f>Konvention_1slave-CHslave</f>
        <v>12</v>
      </c>
      <c r="CS402" s="235"/>
      <c r="CT402" s="235"/>
      <c r="CU402" s="235"/>
      <c r="CV402" s="227"/>
      <c r="CW402" s="226">
        <f>(CO402+CP402+CQ402+CR402+CS402+CT402+CU402+CV402)/3</f>
        <v>11.666666666666666</v>
      </c>
      <c r="CX402" s="226">
        <f>2*CW402</f>
        <v>23.333333333333332</v>
      </c>
      <c r="CY402" s="235">
        <f>3*CW402</f>
        <v>35</v>
      </c>
      <c r="CZ402" s="238">
        <f>CO402*POWER(KLslave,SIGN(CP402))*POWER(INslave_IN,SIGN(CQ402))*POWER(CHslave,SIGN(CR402))*POWER(FFslave,SIGN(CS402))*POWER(GEslave,SIGN(CT402))*POWER(KOslave,SIGN(CU402))*POWER(KKslave,SIGN(CV402))+CP402*POWER(MUslave,SIGN(CO402))*POWER(INslave_IN,SIGN(CQ402))*POWER(CHslave,SIGN(CR402))*POWER(FFslave,SIGN(CS402))*POWER(GEslave,SIGN(CT402))*POWER(KOslave,SIGN(CU402))*POWER(KKslave,SIGN(CV402))+CQ402*POWER(MUslave,SIGN(CO402))*POWER(KLslave,SIGN(CP402))*POWER(CHslave,SIGN(CR402))*POWER(FFslave,SIGN(CS402))*POWER(GEslave,SIGN(CT402))*POWER(KOslave,SIGN(CU402))*POWER(KKslave,SIGN(CV402))+CR402*POWER(MUslave,SIGN(CO402))*POWER(KLslave,SIGN(CP402))*POWER(INslave_IN,SIGN(CQ402))*POWER(FFslave,SIGN(CS402))*POWER(GEslave,SIGN(CT402))*POWER(KOslave,SIGN(CU402))*POWER(KKslave,SIGN(CV402))+CS402*POWER(MUslave,SIGN(CO402))*POWER(KLslave,SIGN(CP402))*POWER(INslave_IN,SIGN(CQ402))*POWER(CHslave,SIGN(CR402))*POWER(GEslave,SIGN(CT402))*POWER(KOslave,SIGN(CU402))*POWER(KKslave,SIGN(CV402))+CT402*POWER(MUslave,SIGN(CO402))*POWER(KLslave,SIGN(CP402))*POWER(INslave_IN,SIGN(CQ402))*POWER(CHslave,SIGN(CR402))*POWER(FFslave,SIGN(CS402))*POWER(KOslave,SIGN(CU402))*POWER(KKslave,SIGN(CV402))+CU402*POWER(MUslave,SIGN(CO402))*POWER(KLslave,SIGN(CP402))*POWER(INslave_IN,SIGN(CQ402))*POWER(CHslave,SIGN(CR402))*POWER(FFslave,SIGN(CS402))*POWER(GEslave,SIGN(CT402))*POWER(KKslave,SIGN(CV402))+CV402*POWER(MUslave,SIGN(CO402))*POWER(KLslave,SIGN(CP402))*POWER(INslave_IN,SIGN(CQ402))*POWER(CHslave,SIGN(CR402))*POWER(FFslave,SIGN(CS402))*POWER(GEslave,SIGN(CT402))*POWER(KOslave,SIGN(CU402))</f>
        <v>2432</v>
      </c>
      <c r="DA402" s="235">
        <f>CO402*CQ402*CHslave+CO402*INslave_IN*CR402+MUslave*CQ402*CR402</f>
        <v>3408</v>
      </c>
      <c r="DB402" s="227">
        <f>IFERROR(CO402^SIGN(CO402),1)*IFERROR(CP402^SIGN(CP402),1)*IFERROR(CQ402^SIGN(CQ402),1)*IFERROR(CR402^SIGN(CR402),1)*IFERROR(CS402^SIGN(CS402),1)*IFERROR(CT402^SIGN(CT402),1)*IFERROR(CU402^SIGN(CU402),1)*IFERROR(CV402^SIGN(CV402),1)</f>
        <v>1584</v>
      </c>
      <c r="DC402" s="244">
        <f>SUM(CZ402:DB402)</f>
        <v>7424</v>
      </c>
      <c r="DD402" s="225">
        <f>CW402*CZ402/DC402</f>
        <v>3.8218390804597702</v>
      </c>
      <c r="DE402" s="226">
        <f>CX402*DA402/DC402</f>
        <v>10.711206896551724</v>
      </c>
      <c r="DF402" s="245">
        <f>CY402*DB402/DC402</f>
        <v>7.4676724137931032</v>
      </c>
      <c r="DG402" s="245">
        <f>SUM(DD402:DF402)</f>
        <v>22.000718390804597</v>
      </c>
      <c r="DH402" s="252">
        <f t="shared" si="4308"/>
        <v>0</v>
      </c>
      <c r="DI402" s="309">
        <f>DG402-DH402</f>
        <v>22.000718390804597</v>
      </c>
      <c r="DJ402" s="246">
        <f>IF(DG402&lt;=0,2,0)+IF(DG402&gt;0,DG402+1,0)*2+IF(DG402&gt;12,DG402-12,0)*2+IF(DG402&gt;13,DG402-13,0)*2+IF(DG402&gt;14,DG402-14,0)*2+IF(DG402&gt;15,DG402-15,0)*2+IF(DG402&gt;16,DG402-16,0)*2+IF(DG402&gt;17,DG402-17,0)*2+IF(DG402&gt;18,DG402-18,0)*2+IF(DG402&gt;19,DG402-19,0)*2+IF(DG402&gt;20,DG402-20,0)*2</f>
        <v>154.01436781609189</v>
      </c>
      <c r="DK402" s="244">
        <f>IF(DH402&lt;=0,2,0)+IF(DH402&gt;0,DH402+1,0)*2+IF(DH402&gt;12,DH402-12,0)*2+IF(DH402&gt;13,DH402-13,0)*2+IF(DH402&gt;14,DH402-14,0)*2+IF(DH402&gt;15,DH402-15,0)*2+IF(DH402&gt;16,DH402-16,0)*2+IF(DH402&gt;17,DH402-17,0)*2+IF(DH402&gt;18,DH402-18,0)*2+IF(DH402&gt;19,DH402-19,0)*2+IF(DH402&gt;20,DH402-20,0)*2</f>
        <v>2</v>
      </c>
      <c r="DL402" s="245">
        <f>IF((DJ402-DK402)&gt;0,DJ402-DK402,0)</f>
        <v>152.01436781609189</v>
      </c>
      <c r="DM402" s="246">
        <f>IF((DK402-DJ402)&gt;0,DK402-DJ402,0)</f>
        <v>0</v>
      </c>
      <c r="DO402" s="326" t="s">
        <v>256</v>
      </c>
      <c r="DP402" s="246" t="s">
        <v>86</v>
      </c>
      <c r="DQ402" s="226" t="s">
        <v>132</v>
      </c>
      <c r="DR402" s="238">
        <f>Konvention_1slave-MUslave</f>
        <v>12</v>
      </c>
      <c r="DS402" s="235"/>
      <c r="DT402" s="235">
        <f>Konvention_1slave-INslave</f>
        <v>12</v>
      </c>
      <c r="DU402" s="235">
        <f>Konvention_1slave-CHslave_CH</f>
        <v>11</v>
      </c>
      <c r="DV402" s="235"/>
      <c r="DW402" s="235"/>
      <c r="DX402" s="235"/>
      <c r="DY402" s="227"/>
      <c r="DZ402" s="226">
        <f>(DR402+DS402+DT402+DU402+DV402+DW402+DX402+DY402)/3</f>
        <v>11.666666666666666</v>
      </c>
      <c r="EA402" s="226">
        <f>2*DZ402</f>
        <v>23.333333333333332</v>
      </c>
      <c r="EB402" s="235">
        <f>3*DZ402</f>
        <v>35</v>
      </c>
      <c r="EC402" s="238">
        <f>DR402*POWER(KLslave,SIGN(DS402))*POWER(INslave,SIGN(DT402))*POWER(CHslave_CH,SIGN(DU402))*POWER(FFslave,SIGN(DV402))*POWER(GEslave,SIGN(DW402))*POWER(KOslave,SIGN(DX402))*POWER(KKslave,SIGN(DY402))+DS402*POWER(MUslave,SIGN(DR402))*POWER(INslave,SIGN(DT402))*POWER(CHslave_CH,SIGN(DU402))*POWER(FFslave,SIGN(DV402))*POWER(GEslave,SIGN(DW402))*POWER(KOslave,SIGN(DX402))*POWER(KKslave,SIGN(DY402))+DT402*POWER(MUslave,SIGN(DR402))*POWER(KLslave,SIGN(DS402))*POWER(CHslave_CH,SIGN(DU402))*POWER(FFslave,SIGN(DV402))*POWER(GEslave,SIGN(DW402))*POWER(KOslave,SIGN(DX402))*POWER(KKslave,SIGN(DY402))+DU402*POWER(MUslave,SIGN(DR402))*POWER(KLslave,SIGN(DS402))*POWER(INslave,SIGN(DT402))*POWER(FFslave,SIGN(DV402))*POWER(GEslave,SIGN(DW402))*POWER(KOslave,SIGN(DX402))*POWER(KKslave,SIGN(DY402))+DV402*POWER(MUslave,SIGN(DR402))*POWER(KLslave,SIGN(DS402))*POWER(INslave,SIGN(DT402))*POWER(CHslave_CH,SIGN(DU402))*POWER(GEslave,SIGN(DW402))*POWER(KOslave,SIGN(DX402))*POWER(KKslave,SIGN(DY402))+DW402*POWER(MUslave,SIGN(DR402))*POWER(KLslave,SIGN(DS402))*POWER(INslave,SIGN(DT402))*POWER(CHslave_CH,SIGN(DU402))*POWER(FFslave,SIGN(DV402))*POWER(KOslave,SIGN(DX402))*POWER(KKslave,SIGN(DY402))+DX402*POWER(MUslave,SIGN(DR402))*POWER(KLslave,SIGN(DS402))*POWER(INslave,SIGN(DT402))*POWER(CHslave_CH,SIGN(DU402))*POWER(FFslave,SIGN(DV402))*POWER(GEslave,SIGN(DW402))*POWER(KKslave,SIGN(DY402))+DY402*POWER(MUslave,SIGN(DR402))*POWER(KLslave,SIGN(DS402))*POWER(INslave,SIGN(DT402))*POWER(CHslave_CH,SIGN(DU402))*POWER(FFslave,SIGN(DV402))*POWER(GEslave,SIGN(DW402))*POWER(KOslave,SIGN(DX402))</f>
        <v>2432</v>
      </c>
      <c r="ED402" s="235">
        <f>DR402*DT402*CHslave_CH+DR402*INslave*DU402+MUslave*DT402*DU402</f>
        <v>3408</v>
      </c>
      <c r="EE402" s="227">
        <f>IFERROR(DR402^SIGN(DR402),1)*IFERROR(DS402^SIGN(DS402),1)*IFERROR(DT402^SIGN(DT402),1)*IFERROR(DU402^SIGN(DU402),1)*IFERROR(DV402^SIGN(DV402),1)*IFERROR(DW402^SIGN(DW402),1)*IFERROR(DX402^SIGN(DX402),1)*IFERROR(DY402^SIGN(DY402),1)</f>
        <v>1584</v>
      </c>
      <c r="EF402" s="244">
        <f>SUM(EC402:EE402)</f>
        <v>7424</v>
      </c>
      <c r="EG402" s="225">
        <f>DZ402*EC402/EF402</f>
        <v>3.8218390804597702</v>
      </c>
      <c r="EH402" s="226">
        <f>EA402*ED402/EF402</f>
        <v>10.711206896551724</v>
      </c>
      <c r="EI402" s="245">
        <f>EB402*EE402/EF402</f>
        <v>7.4676724137931032</v>
      </c>
      <c r="EJ402" s="245">
        <f>SUM(EG402:EI402)</f>
        <v>22.000718390804597</v>
      </c>
      <c r="EK402" s="252">
        <f t="shared" si="4309"/>
        <v>0</v>
      </c>
      <c r="EL402" s="309">
        <f>EJ402-EK402</f>
        <v>22.000718390804597</v>
      </c>
      <c r="EM402" s="246">
        <f>IF(EJ402&lt;=0,2,0)+IF(EJ402&gt;0,EJ402+1,0)*2+IF(EJ402&gt;12,EJ402-12,0)*2+IF(EJ402&gt;13,EJ402-13,0)*2+IF(EJ402&gt;14,EJ402-14,0)*2+IF(EJ402&gt;15,EJ402-15,0)*2+IF(EJ402&gt;16,EJ402-16,0)*2+IF(EJ402&gt;17,EJ402-17,0)*2+IF(EJ402&gt;18,EJ402-18,0)*2+IF(EJ402&gt;19,EJ402-19,0)*2+IF(EJ402&gt;20,EJ402-20,0)*2</f>
        <v>154.01436781609189</v>
      </c>
      <c r="EN402" s="244">
        <f>IF(EK402&lt;=0,2,0)+IF(EK402&gt;0,EK402+1,0)*2+IF(EK402&gt;12,EK402-12,0)*2+IF(EK402&gt;13,EK402-13,0)*2+IF(EK402&gt;14,EK402-14,0)*2+IF(EK402&gt;15,EK402-15,0)*2+IF(EK402&gt;16,EK402-16,0)*2+IF(EK402&gt;17,EK402-17,0)*2+IF(EK402&gt;18,EK402-18,0)*2+IF(EK402&gt;19,EK402-19,0)*2+IF(EK402&gt;20,EK402-20,0)*2</f>
        <v>2</v>
      </c>
      <c r="EO402" s="245">
        <f>IF((EM402-EN402)&gt;0,EM402-EN402,0)</f>
        <v>152.01436781609189</v>
      </c>
      <c r="EP402" s="246">
        <f>IF((EN402-EM402)&gt;0,EN402-EM402,0)</f>
        <v>0</v>
      </c>
      <c r="ER402" s="326" t="s">
        <v>256</v>
      </c>
      <c r="ES402" s="246" t="s">
        <v>86</v>
      </c>
      <c r="ET402" s="226" t="s">
        <v>132</v>
      </c>
      <c r="EU402" s="238">
        <f>Konvention_1slave-MUslave</f>
        <v>12</v>
      </c>
      <c r="EV402" s="235"/>
      <c r="EW402" s="235">
        <f>Konvention_1slave-INslave</f>
        <v>12</v>
      </c>
      <c r="EX402" s="235">
        <f>Konvention_1slave-CHslave</f>
        <v>12</v>
      </c>
      <c r="EY402" s="235"/>
      <c r="EZ402" s="235"/>
      <c r="FA402" s="235"/>
      <c r="FB402" s="227"/>
      <c r="FC402" s="226">
        <f>(EU402+EV402+EW402+EX402+EY402+EZ402+FA402+FB402)/3</f>
        <v>12</v>
      </c>
      <c r="FD402" s="226">
        <f>2*FC402</f>
        <v>24</v>
      </c>
      <c r="FE402" s="235">
        <f>3*FC402</f>
        <v>36</v>
      </c>
      <c r="FF402" s="238">
        <f>EU402*POWER(KLslave,SIGN(EV402))*POWER(INslave,SIGN(EW402))*POWER(CHslave,SIGN(EX402))*POWER(FFslave_FF,SIGN(EY402))*POWER(GEslave,SIGN(EZ402))*POWER(KOslave,SIGN(FA402))*POWER(KKslave,SIGN(FB402))+EV402*POWER(MUslave,SIGN(EU402))*POWER(INslave,SIGN(EW402))*POWER(CHslave,SIGN(EX402))*POWER(FFslave_FF,SIGN(EY402))*POWER(GEslave,SIGN(EZ402))*POWER(KOslave,SIGN(FA402))*POWER(KKslave,SIGN(FB402))+EW402*POWER(MUslave,SIGN(EU402))*POWER(KLslave,SIGN(EV402))*POWER(CHslave,SIGN(EX402))*POWER(FFslave_FF,SIGN(EY402))*POWER(GEslave,SIGN(EZ402))*POWER(KOslave,SIGN(FA402))*POWER(KKslave,SIGN(FB402))+EX402*POWER(MUslave,SIGN(EU402))*POWER(KLslave,SIGN(EV402))*POWER(INslave,SIGN(EW402))*POWER(FFslave_FF,SIGN(EY402))*POWER(GEslave,SIGN(EZ402))*POWER(KOslave,SIGN(FA402))*POWER(KKslave,SIGN(FB402))+EY402*POWER(MUslave,SIGN(EU402))*POWER(KLslave,SIGN(EV402))*POWER(INslave,SIGN(EW402))*POWER(CHslave,SIGN(EX402))*POWER(GEslave,SIGN(EZ402))*POWER(KOslave,SIGN(FA402))*POWER(KKslave,SIGN(FB402))+EZ402*POWER(MUslave,SIGN(EU402))*POWER(KLslave,SIGN(EV402))*POWER(INslave,SIGN(EW402))*POWER(CHslave,SIGN(EX402))*POWER(FFslave_FF,SIGN(EY402))*POWER(KOslave,SIGN(FA402))*POWER(KKslave,SIGN(FB402))+FA402*POWER(MUslave,SIGN(EU402))*POWER(KLslave,SIGN(EV402))*POWER(INslave,SIGN(EW402))*POWER(CHslave,SIGN(EX402))*POWER(FFslave_FF,SIGN(EY402))*POWER(GEslave,SIGN(EZ402))*POWER(KKslave,SIGN(FB402))+FB402*POWER(MUslave,SIGN(EU402))*POWER(KLslave,SIGN(EV402))*POWER(INslave,SIGN(EW402))*POWER(CHslave,SIGN(EX402))*POWER(FFslave_FF,SIGN(EY402))*POWER(GEslave,SIGN(EZ402))*POWER(KOslave,SIGN(FA402))</f>
        <v>2304</v>
      </c>
      <c r="FG402" s="235">
        <f>EU402*EW402*CHslave+EU402*INslave*EX402+MUslave*EW402*EX402</f>
        <v>3456</v>
      </c>
      <c r="FH402" s="227">
        <f>IFERROR(EU402^SIGN(EU402),1)*IFERROR(EV402^SIGN(EV402),1)*IFERROR(EW402^SIGN(EW402),1)*IFERROR(EX402^SIGN(EX402),1)*IFERROR(EY402^SIGN(EY402),1)*IFERROR(EZ402^SIGN(EZ402),1)*IFERROR(FA402^SIGN(FA402),1)*IFERROR(FB402^SIGN(FB402),1)</f>
        <v>1728</v>
      </c>
      <c r="FI402" s="244">
        <f>SUM(FF402:FH402)</f>
        <v>7488</v>
      </c>
      <c r="FJ402" s="225">
        <f>FC402*FF402/FI402</f>
        <v>3.6923076923076925</v>
      </c>
      <c r="FK402" s="226">
        <f>FD402*FG402/FI402</f>
        <v>11.076923076923077</v>
      </c>
      <c r="FL402" s="245">
        <f>FE402*FH402/FI402</f>
        <v>8.3076923076923084</v>
      </c>
      <c r="FM402" s="245">
        <f>SUM(FJ402:FL402)</f>
        <v>23.07692307692308</v>
      </c>
      <c r="FN402" s="252">
        <f t="shared" si="4310"/>
        <v>0</v>
      </c>
      <c r="FO402" s="309">
        <f>FM402-FN402</f>
        <v>23.07692307692308</v>
      </c>
      <c r="FP402" s="246">
        <f>IF(FM402&lt;=0,2,0)+IF(FM402&gt;0,FM402+1,0)*2+IF(FM402&gt;12,FM402-12,0)*2+IF(FM402&gt;13,FM402-13,0)*2+IF(FM402&gt;14,FM402-14,0)*2+IF(FM402&gt;15,FM402-15,0)*2+IF(FM402&gt;16,FM402-16,0)*2+IF(FM402&gt;17,FM402-17,0)*2+IF(FM402&gt;18,FM402-18,0)*2+IF(FM402&gt;19,FM402-19,0)*2+IF(FM402&gt;20,FM402-20,0)*2</f>
        <v>175.5384615384616</v>
      </c>
      <c r="FQ402" s="244">
        <f>IF(FN402&lt;=0,2,0)+IF(FN402&gt;0,FN402+1,0)*2+IF(FN402&gt;12,FN402-12,0)*2+IF(FN402&gt;13,FN402-13,0)*2+IF(FN402&gt;14,FN402-14,0)*2+IF(FN402&gt;15,FN402-15,0)*2+IF(FN402&gt;16,FN402-16,0)*2+IF(FN402&gt;17,FN402-17,0)*2+IF(FN402&gt;18,FN402-18,0)*2+IF(FN402&gt;19,FN402-19,0)*2+IF(FN402&gt;20,FN402-20,0)*2</f>
        <v>2</v>
      </c>
      <c r="FR402" s="245">
        <f>IF((FP402-FQ402)&gt;0,FP402-FQ402,0)</f>
        <v>173.5384615384616</v>
      </c>
      <c r="FS402" s="246">
        <f>IF((FQ402-FP402)&gt;0,FQ402-FP402,0)</f>
        <v>0</v>
      </c>
      <c r="FU402" s="326" t="s">
        <v>256</v>
      </c>
      <c r="FV402" s="246" t="s">
        <v>86</v>
      </c>
      <c r="FW402" s="226" t="s">
        <v>132</v>
      </c>
      <c r="FX402" s="238">
        <f>Konvention_1slave-MUslave</f>
        <v>12</v>
      </c>
      <c r="FY402" s="235"/>
      <c r="FZ402" s="235">
        <f>Konvention_1slave-INslave</f>
        <v>12</v>
      </c>
      <c r="GA402" s="235">
        <f>Konvention_1slave-CHslave</f>
        <v>12</v>
      </c>
      <c r="GB402" s="235"/>
      <c r="GC402" s="235"/>
      <c r="GD402" s="235"/>
      <c r="GE402" s="227"/>
      <c r="GF402" s="226">
        <f>(FX402+FY402+FZ402+GA402+GB402+GC402+GD402+GE402)/3</f>
        <v>12</v>
      </c>
      <c r="GG402" s="226">
        <f>2*GF402</f>
        <v>24</v>
      </c>
      <c r="GH402" s="235">
        <f>3*GF402</f>
        <v>36</v>
      </c>
      <c r="GI402" s="238">
        <f>FX402*POWER(KLslave,SIGN(FY402))*POWER(INslave,SIGN(FZ402))*POWER(CHslave,SIGN(GA402))*POWER(FFslave,SIGN(GB402))*POWER(GEslave_GE,SIGN(GC402))*POWER(KOslave,SIGN(GD402))*POWER(KKslave,SIGN(GE402))+FY402*POWER(MUslave,SIGN(FX402))*POWER(INslave,SIGN(FZ402))*POWER(CHslave,SIGN(GA402))*POWER(FFslave,SIGN(GB402))*POWER(GEslave_GE,SIGN(GC402))*POWER(KOslave,SIGN(GD402))*POWER(KKslave,SIGN(GE402))+FZ402*POWER(MUslave,SIGN(FX402))*POWER(KLslave,SIGN(FY402))*POWER(CHslave,SIGN(GA402))*POWER(FFslave,SIGN(GB402))*POWER(GEslave_GE,SIGN(GC402))*POWER(KOslave,SIGN(GD402))*POWER(KKslave,SIGN(GE402))+GA402*POWER(MUslave,SIGN(FX402))*POWER(KLslave,SIGN(FY402))*POWER(INslave,SIGN(FZ402))*POWER(FFslave,SIGN(GB402))*POWER(GEslave_GE,SIGN(GC402))*POWER(KOslave,SIGN(GD402))*POWER(KKslave,SIGN(GE402))+GB402*POWER(MUslave,SIGN(FX402))*POWER(KLslave,SIGN(FY402))*POWER(INslave,SIGN(FZ402))*POWER(CHslave,SIGN(GA402))*POWER(GEslave_GE,SIGN(GC402))*POWER(KOslave,SIGN(GD402))*POWER(KKslave,SIGN(GE402))+GC402*POWER(MUslave,SIGN(FX402))*POWER(KLslave,SIGN(FY402))*POWER(INslave,SIGN(FZ402))*POWER(CHslave,SIGN(GA402))*POWER(FFslave,SIGN(GB402))*POWER(KOslave,SIGN(GD402))*POWER(KKslave,SIGN(GE402))+GD402*POWER(MUslave,SIGN(FX402))*POWER(KLslave,SIGN(FY402))*POWER(INslave,SIGN(FZ402))*POWER(CHslave,SIGN(GA402))*POWER(FFslave,SIGN(GB402))*POWER(GEslave_GE,SIGN(GC402))*POWER(KKslave,SIGN(GE402))+GE402*POWER(MUslave,SIGN(FX402))*POWER(KLslave,SIGN(FY402))*POWER(INslave,SIGN(FZ402))*POWER(CHslave,SIGN(GA402))*POWER(FFslave,SIGN(GB402))*POWER(GEslave_GE,SIGN(GC402))*POWER(KOslave,SIGN(GD402))</f>
        <v>2304</v>
      </c>
      <c r="GJ402" s="235">
        <f>FX402*FZ402*CHslave+FX402*INslave*GA402+MUslave*FZ402*GA402</f>
        <v>3456</v>
      </c>
      <c r="GK402" s="227">
        <f>IFERROR(FX402^SIGN(FX402),1)*IFERROR(FY402^SIGN(FY402),1)*IFERROR(FZ402^SIGN(FZ402),1)*IFERROR(GA402^SIGN(GA402),1)*IFERROR(GB402^SIGN(GB402),1)*IFERROR(GC402^SIGN(GC402),1)*IFERROR(GD402^SIGN(GD402),1)*IFERROR(GE402^SIGN(GE402),1)</f>
        <v>1728</v>
      </c>
      <c r="GL402" s="244">
        <f>SUM(GI402:GK402)</f>
        <v>7488</v>
      </c>
      <c r="GM402" s="225">
        <f>GF402*GI402/GL402</f>
        <v>3.6923076923076925</v>
      </c>
      <c r="GN402" s="226">
        <f>GG402*GJ402/GL402</f>
        <v>11.076923076923077</v>
      </c>
      <c r="GO402" s="245">
        <f>GH402*GK402/GL402</f>
        <v>8.3076923076923084</v>
      </c>
      <c r="GP402" s="245">
        <f>SUM(GM402:GO402)</f>
        <v>23.07692307692308</v>
      </c>
      <c r="GQ402" s="252">
        <f t="shared" si="4311"/>
        <v>0</v>
      </c>
      <c r="GR402" s="309">
        <f>GP402-GQ402</f>
        <v>23.07692307692308</v>
      </c>
      <c r="GS402" s="246">
        <f>IF(GP402&lt;=0,2,0)+IF(GP402&gt;0,GP402+1,0)*2+IF(GP402&gt;12,GP402-12,0)*2+IF(GP402&gt;13,GP402-13,0)*2+IF(GP402&gt;14,GP402-14,0)*2+IF(GP402&gt;15,GP402-15,0)*2+IF(GP402&gt;16,GP402-16,0)*2+IF(GP402&gt;17,GP402-17,0)*2+IF(GP402&gt;18,GP402-18,0)*2+IF(GP402&gt;19,GP402-19,0)*2+IF(GP402&gt;20,GP402-20,0)*2</f>
        <v>175.5384615384616</v>
      </c>
      <c r="GT402" s="244">
        <f>IF(GQ402&lt;=0,2,0)+IF(GQ402&gt;0,GQ402+1,0)*2+IF(GQ402&gt;12,GQ402-12,0)*2+IF(GQ402&gt;13,GQ402-13,0)*2+IF(GQ402&gt;14,GQ402-14,0)*2+IF(GQ402&gt;15,GQ402-15,0)*2+IF(GQ402&gt;16,GQ402-16,0)*2+IF(GQ402&gt;17,GQ402-17,0)*2+IF(GQ402&gt;18,GQ402-18,0)*2+IF(GQ402&gt;19,GQ402-19,0)*2+IF(GQ402&gt;20,GQ402-20,0)*2</f>
        <v>2</v>
      </c>
      <c r="GU402" s="245">
        <f>IF((GS402-GT402)&gt;0,GS402-GT402,0)</f>
        <v>173.5384615384616</v>
      </c>
      <c r="GV402" s="246">
        <f>IF((GT402-GS402)&gt;0,GT402-GS402,0)</f>
        <v>0</v>
      </c>
      <c r="GX402" s="326" t="s">
        <v>256</v>
      </c>
      <c r="GY402" s="246" t="s">
        <v>86</v>
      </c>
      <c r="GZ402" s="226" t="s">
        <v>132</v>
      </c>
      <c r="HA402" s="238">
        <f>Konvention_1slave-MUslave</f>
        <v>12</v>
      </c>
      <c r="HB402" s="235"/>
      <c r="HC402" s="235">
        <f>Konvention_1slave-INslave</f>
        <v>12</v>
      </c>
      <c r="HD402" s="235">
        <f>Konvention_1slave-CHslave</f>
        <v>12</v>
      </c>
      <c r="HE402" s="235"/>
      <c r="HF402" s="235"/>
      <c r="HG402" s="235"/>
      <c r="HH402" s="227"/>
      <c r="HI402" s="226">
        <f>(HA402+HB402+HC402+HD402+HE402+HF402+HG402+HH402)/3</f>
        <v>12</v>
      </c>
      <c r="HJ402" s="226">
        <f>2*HI402</f>
        <v>24</v>
      </c>
      <c r="HK402" s="235">
        <f>3*HI402</f>
        <v>36</v>
      </c>
      <c r="HL402" s="238">
        <f>HA402*POWER(KLslave,SIGN(HB402))*POWER(INslave,SIGN(HC402))*POWER(CHslave,SIGN(HD402))*POWER(FFslave,SIGN(HE402))*POWER(GEslave,SIGN(HF402))*POWER(KOslave_KO,SIGN(HG402))*POWER(KKslave,SIGN(HH402))+HB402*POWER(MUslave,SIGN(HA402))*POWER(INslave,SIGN(HC402))*POWER(CHslave,SIGN(HD402))*POWER(FFslave,SIGN(HE402))*POWER(GEslave,SIGN(HF402))*POWER(KOslave_KO,SIGN(HG402))*POWER(KKslave,SIGN(HH402))+HC402*POWER(MUslave,SIGN(HA402))*POWER(KLslave,SIGN(HB402))*POWER(CHslave,SIGN(HD402))*POWER(FFslave,SIGN(HE402))*POWER(GEslave,SIGN(HF402))*POWER(KOslave_KO,SIGN(HG402))*POWER(KKslave,SIGN(HH402))+HD402*POWER(MUslave,SIGN(HA402))*POWER(KLslave,SIGN(HB402))*POWER(INslave,SIGN(HC402))*POWER(FFslave,SIGN(HE402))*POWER(GEslave,SIGN(HF402))*POWER(KOslave_KO,SIGN(HG402))*POWER(KKslave,SIGN(HH402))+HE402*POWER(MUslave,SIGN(HA402))*POWER(KLslave,SIGN(HB402))*POWER(INslave,SIGN(HC402))*POWER(CHslave,SIGN(HD402))*POWER(GEslave,SIGN(HF402))*POWER(KOslave_KO,SIGN(HG402))*POWER(KKslave,SIGN(HH402))+HF402*POWER(MUslave,SIGN(HA402))*POWER(KLslave,SIGN(HB402))*POWER(INslave,SIGN(HC402))*POWER(CHslave,SIGN(HD402))*POWER(FFslave,SIGN(HE402))*POWER(KOslave_KO,SIGN(HG402))*POWER(KKslave,SIGN(HH402))+HG402*POWER(MUslave,SIGN(HA402))*POWER(KLslave,SIGN(HB402))*POWER(INslave,SIGN(HC402))*POWER(CHslave,SIGN(HD402))*POWER(FFslave,SIGN(HE402))*POWER(GEslave,SIGN(HF402))*POWER(KKslave,SIGN(HH402))+HH402*POWER(MUslave,SIGN(HA402))*POWER(KLslave,SIGN(HB402))*POWER(INslave,SIGN(HC402))*POWER(CHslave,SIGN(HD402))*POWER(FFslave,SIGN(HE402))*POWER(GEslave,SIGN(HF402))*POWER(KOslave_KO,SIGN(HG402))</f>
        <v>2304</v>
      </c>
      <c r="HM402" s="235">
        <f>HA402*HC402*CHslave+HA402*INslave*HD402+MUslave*HC402*HD402</f>
        <v>3456</v>
      </c>
      <c r="HN402" s="227">
        <f>IFERROR(HA402^SIGN(HA402),1)*IFERROR(HB402^SIGN(HB402),1)*IFERROR(HC402^SIGN(HC402),1)*IFERROR(HD402^SIGN(HD402),1)*IFERROR(HE402^SIGN(HE402),1)*IFERROR(HF402^SIGN(HF402),1)*IFERROR(HG402^SIGN(HG402),1)*IFERROR(HH402^SIGN(HH402),1)</f>
        <v>1728</v>
      </c>
      <c r="HO402" s="244">
        <f>SUM(HL402:HN402)</f>
        <v>7488</v>
      </c>
      <c r="HP402" s="225">
        <f>HI402*HL402/HO402</f>
        <v>3.6923076923076925</v>
      </c>
      <c r="HQ402" s="226">
        <f>HJ402*HM402/HO402</f>
        <v>11.076923076923077</v>
      </c>
      <c r="HR402" s="245">
        <f>HK402*HN402/HO402</f>
        <v>8.3076923076923084</v>
      </c>
      <c r="HS402" s="245">
        <f>SUM(HP402:HR402)</f>
        <v>23.07692307692308</v>
      </c>
      <c r="HT402" s="252">
        <f t="shared" si="4312"/>
        <v>0</v>
      </c>
      <c r="HU402" s="309">
        <f>HS402-HT402</f>
        <v>23.07692307692308</v>
      </c>
      <c r="HV402" s="246">
        <f>IF(HS402&lt;=0,2,0)+IF(HS402&gt;0,HS402+1,0)*2+IF(HS402&gt;12,HS402-12,0)*2+IF(HS402&gt;13,HS402-13,0)*2+IF(HS402&gt;14,HS402-14,0)*2+IF(HS402&gt;15,HS402-15,0)*2+IF(HS402&gt;16,HS402-16,0)*2+IF(HS402&gt;17,HS402-17,0)*2+IF(HS402&gt;18,HS402-18,0)*2+IF(HS402&gt;19,HS402-19,0)*2+IF(HS402&gt;20,HS402-20,0)*2</f>
        <v>175.5384615384616</v>
      </c>
      <c r="HW402" s="244">
        <f>IF(HT402&lt;=0,2,0)+IF(HT402&gt;0,HT402+1,0)*2+IF(HT402&gt;12,HT402-12,0)*2+IF(HT402&gt;13,HT402-13,0)*2+IF(HT402&gt;14,HT402-14,0)*2+IF(HT402&gt;15,HT402-15,0)*2+IF(HT402&gt;16,HT402-16,0)*2+IF(HT402&gt;17,HT402-17,0)*2+IF(HT402&gt;18,HT402-18,0)*2+IF(HT402&gt;19,HT402-19,0)*2+IF(HT402&gt;20,HT402-20,0)*2</f>
        <v>2</v>
      </c>
      <c r="HX402" s="245">
        <f>IF((HV402-HW402)&gt;0,HV402-HW402,0)</f>
        <v>173.5384615384616</v>
      </c>
      <c r="HY402" s="246">
        <f>IF((HW402-HV402)&gt;0,HW402-HV402,0)</f>
        <v>0</v>
      </c>
      <c r="IA402" s="326" t="s">
        <v>256</v>
      </c>
      <c r="IB402" s="246" t="s">
        <v>86</v>
      </c>
      <c r="IC402" s="226" t="s">
        <v>132</v>
      </c>
      <c r="ID402" s="238">
        <f>Konvention_1slave-MUslave</f>
        <v>12</v>
      </c>
      <c r="IE402" s="235"/>
      <c r="IF402" s="235">
        <f>Konvention_1slave-INslave</f>
        <v>12</v>
      </c>
      <c r="IG402" s="235">
        <f>Konvention_1slave-CHslave</f>
        <v>12</v>
      </c>
      <c r="IH402" s="235"/>
      <c r="II402" s="235"/>
      <c r="IJ402" s="235"/>
      <c r="IK402" s="227"/>
      <c r="IL402" s="226">
        <f>(ID402+IE402+IF402+IG402+IH402+II402+IJ402+IK402)/3</f>
        <v>12</v>
      </c>
      <c r="IM402" s="226">
        <f>2*IL402</f>
        <v>24</v>
      </c>
      <c r="IN402" s="235">
        <f>3*IL402</f>
        <v>36</v>
      </c>
      <c r="IO402" s="238">
        <f>ID402*POWER(KLslave,SIGN(IE402))*POWER(INslave,SIGN(IF402))*POWER(CHslave,SIGN(IG402))*POWER(FFslave,SIGN(IH402))*POWER(GEslave,SIGN(II402))*POWER(KOslave,SIGN(IJ402))*POWER(KKslave_KK,SIGN(IK402))+IE402*POWER(MUslave,SIGN(ID402))*POWER(INslave,SIGN(IF402))*POWER(CHslave,SIGN(IG402))*POWER(FFslave,SIGN(IH402))*POWER(GEslave,SIGN(II402))*POWER(KOslave,SIGN(IJ402))*POWER(KKslave_KK,SIGN(IK402))+IF402*POWER(MUslave,SIGN(ID402))*POWER(KLslave,SIGN(IE402))*POWER(CHslave,SIGN(IG402))*POWER(FFslave,SIGN(IH402))*POWER(GEslave,SIGN(II402))*POWER(KOslave,SIGN(IJ402))*POWER(KKslave_KK,SIGN(IK402))+IG402*POWER(MUslave,SIGN(ID402))*POWER(KLslave,SIGN(IE402))*POWER(INslave,SIGN(IF402))*POWER(FFslave,SIGN(IH402))*POWER(GEslave,SIGN(II402))*POWER(KOslave,SIGN(IJ402))*POWER(KKslave_KK,SIGN(IK402))+IH402*POWER(MUslave,SIGN(ID402))*POWER(KLslave,SIGN(IE402))*POWER(INslave,SIGN(IF402))*POWER(CHslave,SIGN(IG402))*POWER(GEslave,SIGN(II402))*POWER(KOslave,SIGN(IJ402))*POWER(KKslave_KK,SIGN(IK402))+II402*POWER(MUslave,SIGN(ID402))*POWER(KLslave,SIGN(IE402))*POWER(INslave,SIGN(IF402))*POWER(CHslave,SIGN(IG402))*POWER(FFslave,SIGN(IH402))*POWER(KOslave,SIGN(IJ402))*POWER(KKslave_KK,SIGN(IK402))+IJ402*POWER(MUslave,SIGN(ID402))*POWER(KLslave,SIGN(IE402))*POWER(INslave,SIGN(IF402))*POWER(CHslave,SIGN(IG402))*POWER(FFslave,SIGN(IH402))*POWER(GEslave,SIGN(II402))*POWER(KKslave_KK,SIGN(IK402))+IK402*POWER(MUslave,SIGN(ID402))*POWER(KLslave,SIGN(IE402))*POWER(INslave,SIGN(IF402))*POWER(CHslave,SIGN(IG402))*POWER(FFslave,SIGN(IH402))*POWER(GEslave,SIGN(II402))*POWER(KOslave,SIGN(IJ402))</f>
        <v>2304</v>
      </c>
      <c r="IP402" s="235">
        <f>ID402*IF402*CHslave+ID402*INslave*IG402+MUslave*IF402*IG402</f>
        <v>3456</v>
      </c>
      <c r="IQ402" s="227">
        <f>IFERROR(ID402^SIGN(ID402),1)*IFERROR(IE402^SIGN(IE402),1)*IFERROR(IF402^SIGN(IF402),1)*IFERROR(IG402^SIGN(IG402),1)*IFERROR(IH402^SIGN(IH402),1)*IFERROR(II402^SIGN(II402),1)*IFERROR(IJ402^SIGN(IJ402),1)*IFERROR(IK402^SIGN(IK402),1)</f>
        <v>1728</v>
      </c>
      <c r="IR402" s="244">
        <f>SUM(IO402:IQ402)</f>
        <v>7488</v>
      </c>
      <c r="IS402" s="225">
        <f>IL402*IO402/IR402</f>
        <v>3.6923076923076925</v>
      </c>
      <c r="IT402" s="226">
        <f>IM402*IP402/IR402</f>
        <v>11.076923076923077</v>
      </c>
      <c r="IU402" s="245">
        <f>IN402*IQ402/IR402</f>
        <v>8.3076923076923084</v>
      </c>
      <c r="IV402" s="245">
        <f>SUM(IS402:IU402)</f>
        <v>23.07692307692308</v>
      </c>
      <c r="IW402" s="252">
        <f t="shared" si="4313"/>
        <v>0</v>
      </c>
      <c r="IX402" s="309">
        <f>IV402-IW402</f>
        <v>23.07692307692308</v>
      </c>
      <c r="IY402" s="246">
        <f>IF(IV402&lt;=0,2,0)+IF(IV402&gt;0,IV402+1,0)*2+IF(IV402&gt;12,IV402-12,0)*2+IF(IV402&gt;13,IV402-13,0)*2+IF(IV402&gt;14,IV402-14,0)*2+IF(IV402&gt;15,IV402-15,0)*2+IF(IV402&gt;16,IV402-16,0)*2+IF(IV402&gt;17,IV402-17,0)*2+IF(IV402&gt;18,IV402-18,0)*2+IF(IV402&gt;19,IV402-19,0)*2+IF(IV402&gt;20,IV402-20,0)*2</f>
        <v>175.5384615384616</v>
      </c>
      <c r="IZ402" s="244">
        <f>IF(IW402&lt;=0,2,0)+IF(IW402&gt;0,IW402+1,0)*2+IF(IW402&gt;12,IW402-12,0)*2+IF(IW402&gt;13,IW402-13,0)*2+IF(IW402&gt;14,IW402-14,0)*2+IF(IW402&gt;15,IW402-15,0)*2+IF(IW402&gt;16,IW402-16,0)*2+IF(IW402&gt;17,IW402-17,0)*2+IF(IW402&gt;18,IW402-18,0)*2+IF(IW402&gt;19,IW402-19,0)*2+IF(IW402&gt;20,IW402-20,0)*2</f>
        <v>2</v>
      </c>
      <c r="JA402" s="245">
        <f>IF((IY402-IZ402)&gt;0,IY402-IZ402,0)</f>
        <v>173.5384615384616</v>
      </c>
      <c r="JB402" s="246">
        <f>IF((IZ402-IY402)&gt;0,IZ402-IY402,0)</f>
        <v>0</v>
      </c>
      <c r="JE402" s="148"/>
    </row>
    <row r="403" spans="2:265" ht="15" hidden="1" customHeight="1" outlineLevel="1" collapsed="1">
      <c r="B403" s="134" t="s">
        <v>326</v>
      </c>
      <c r="C403" s="307" t="s">
        <v>281</v>
      </c>
      <c r="D403" s="84" t="s">
        <v>279</v>
      </c>
      <c r="E403" s="84" t="s">
        <v>280</v>
      </c>
      <c r="Y403" s="251"/>
      <c r="Z403" s="197"/>
      <c r="AF403" s="83" t="s">
        <v>281</v>
      </c>
      <c r="AG403" s="84" t="s">
        <v>279</v>
      </c>
      <c r="AH403" s="84" t="s">
        <v>280</v>
      </c>
      <c r="BB403" s="197"/>
      <c r="BC403" s="197"/>
      <c r="BI403" s="307" t="s">
        <v>281</v>
      </c>
      <c r="BJ403" s="308" t="s">
        <v>279</v>
      </c>
      <c r="BK403" s="308" t="s">
        <v>280</v>
      </c>
      <c r="CE403" s="251"/>
      <c r="CF403" s="251"/>
      <c r="CL403" s="307" t="s">
        <v>281</v>
      </c>
      <c r="CM403" s="308" t="s">
        <v>279</v>
      </c>
      <c r="CN403" s="308" t="s">
        <v>280</v>
      </c>
      <c r="DH403" s="251"/>
      <c r="DI403" s="251"/>
      <c r="DO403" s="307" t="s">
        <v>281</v>
      </c>
      <c r="DP403" s="308" t="s">
        <v>279</v>
      </c>
      <c r="DQ403" s="308" t="s">
        <v>280</v>
      </c>
      <c r="EK403" s="251"/>
      <c r="EL403" s="251"/>
      <c r="ER403" s="307" t="s">
        <v>281</v>
      </c>
      <c r="ES403" s="308" t="s">
        <v>279</v>
      </c>
      <c r="ET403" s="308" t="s">
        <v>280</v>
      </c>
      <c r="FN403" s="251"/>
      <c r="FO403" s="251"/>
      <c r="FU403" s="307" t="s">
        <v>281</v>
      </c>
      <c r="FV403" s="308" t="s">
        <v>279</v>
      </c>
      <c r="FW403" s="308" t="s">
        <v>280</v>
      </c>
      <c r="GQ403" s="251"/>
      <c r="GR403" s="251"/>
      <c r="GX403" s="307" t="s">
        <v>281</v>
      </c>
      <c r="GY403" s="308" t="s">
        <v>279</v>
      </c>
      <c r="GZ403" s="308" t="s">
        <v>280</v>
      </c>
      <c r="HT403" s="251"/>
      <c r="HU403" s="251"/>
      <c r="IA403" s="307" t="s">
        <v>281</v>
      </c>
      <c r="IB403" s="308" t="s">
        <v>279</v>
      </c>
      <c r="IC403" s="308" t="s">
        <v>280</v>
      </c>
      <c r="IW403" s="251"/>
      <c r="IX403" s="251"/>
      <c r="JE403" s="148"/>
    </row>
    <row r="404" spans="2:265" ht="15" hidden="1" customHeight="1" outlineLevel="2">
      <c r="B404" s="148">
        <v>1</v>
      </c>
      <c r="C404" s="323" t="e">
        <f>VLOOKUP(AF404,Attribute!C:T,1,FALSE)</f>
        <v>#N/A</v>
      </c>
      <c r="D404" s="85" t="s">
        <v>179</v>
      </c>
      <c r="E404" s="116" t="s">
        <v>132</v>
      </c>
      <c r="F404" s="191"/>
      <c r="G404" s="118"/>
      <c r="H404" s="118">
        <f>Konvention_1master-INmaster</f>
        <v>12</v>
      </c>
      <c r="I404" s="118">
        <f>Konvention_1master-CHmaster</f>
        <v>12</v>
      </c>
      <c r="J404" s="118"/>
      <c r="K404" s="118"/>
      <c r="L404" s="118"/>
      <c r="M404" s="92"/>
      <c r="N404" s="220">
        <f>(H404+I404+I404)/3</f>
        <v>12</v>
      </c>
      <c r="O404" s="220">
        <f t="shared" ref="O404:O409" si="4314">2*N404</f>
        <v>24</v>
      </c>
      <c r="P404" s="233">
        <f t="shared" ref="P404:P409" si="4315">3*N404</f>
        <v>36</v>
      </c>
      <c r="Q404" s="236">
        <f>I404*POWER(INmaster,SIGN(H404))*POWER(CHmaster,SIGN(I404))+I404*POWER(INmaster,SIGN(H404))*POWER(CHmaster,SIGN(I404))+H404*POWER(CHmaster,SIGN(I404))*POWER(CHmaster,SIGN(I404))</f>
        <v>2304</v>
      </c>
      <c r="R404" s="118">
        <f>H404*I404*CHmaster+H404*CHmaster*I404+INmaster*I404*I404</f>
        <v>3456</v>
      </c>
      <c r="S404" s="221">
        <f>H404*I404*I404</f>
        <v>1728</v>
      </c>
      <c r="T404" s="78">
        <f t="shared" ref="T404:T409" si="4316">SUM(Q404:S404)</f>
        <v>7488</v>
      </c>
      <c r="U404" s="219">
        <f t="shared" ref="U404:U409" si="4317">N404*Q404/T404</f>
        <v>3.6923076923076925</v>
      </c>
      <c r="V404" s="220">
        <f t="shared" ref="V404:V409" si="4318">O404*R404/T404</f>
        <v>11.076923076923077</v>
      </c>
      <c r="W404" s="241">
        <f t="shared" ref="W404:W409" si="4319">P404*S404/T404</f>
        <v>8.3076923076923084</v>
      </c>
      <c r="X404" s="241">
        <f t="shared" ref="X404:X409" si="4320">SUM(U404:W404)</f>
        <v>23.07692307692308</v>
      </c>
      <c r="Y404" s="252">
        <v>0</v>
      </c>
      <c r="Z404" s="198">
        <f t="shared" ref="Z404:Z409" si="4321">X404-Y404</f>
        <v>23.07692307692308</v>
      </c>
      <c r="AA404" s="158">
        <f t="shared" ref="AA404:AB406" si="4322">IF(X404&lt;=0,2,0)+IF(X404&gt;0,X404+1,0)*2+IF(X404&gt;12,X404-12,0)*2+IF(X404&gt;13,X404-13,0)*2+IF(X404&gt;14,X404-14,0)*2+IF(X404&gt;15,X404-15,0)*2+IF(X404&gt;16,X404-16,0)*2+IF(X404&gt;17,X404-17,0)*2+IF(X404&gt;18,X404-18,0)*2+IF(X404&gt;19,X404-19,0)*2+IF(X404&gt;20,X404-20,0)*2</f>
        <v>175.5384615384616</v>
      </c>
      <c r="AB404" s="91">
        <f t="shared" si="4322"/>
        <v>2</v>
      </c>
      <c r="AC404" s="126">
        <f t="shared" ref="AC404:AC409" si="4323">IF((AA404-AB404)&gt;0,AA404-AB404,0)</f>
        <v>173.5384615384616</v>
      </c>
      <c r="AD404" s="158">
        <f t="shared" ref="AD404:AD409" si="4324">IF((AB404-AA404)&gt;0,AB404-AA404,0)</f>
        <v>0</v>
      </c>
      <c r="AF404" s="176" t="s">
        <v>236</v>
      </c>
      <c r="AG404" s="158" t="s">
        <v>179</v>
      </c>
      <c r="AH404" s="116" t="s">
        <v>132</v>
      </c>
      <c r="AI404" s="191"/>
      <c r="AJ404" s="118"/>
      <c r="AK404" s="118">
        <f>Konvention_1slave-INslave</f>
        <v>12</v>
      </c>
      <c r="AL404" s="118">
        <f>Konvention_1slave-CHslave</f>
        <v>12</v>
      </c>
      <c r="AM404" s="118"/>
      <c r="AN404" s="118"/>
      <c r="AO404" s="118"/>
      <c r="AP404" s="92"/>
      <c r="AQ404" s="116">
        <f>(AK404+AL404+AL404)/3</f>
        <v>12</v>
      </c>
      <c r="AR404" s="116">
        <f t="shared" ref="AR404:AR409" si="4325">2*AQ404</f>
        <v>24</v>
      </c>
      <c r="AS404" s="118">
        <f t="shared" ref="AS404:AS409" si="4326">3*AQ404</f>
        <v>36</v>
      </c>
      <c r="AT404" s="191">
        <f>AL404*POWER(INslave,SIGN(AK404))*POWER(CHslave,SIGN(AL404))+AL404*POWER(INslave,SIGN(AK404))*POWER(CHslave,SIGN(AL404))+AK404*POWER(CHslave,SIGN(AL404))*POWER(CHslave,SIGN(AL404))</f>
        <v>2304</v>
      </c>
      <c r="AU404" s="118">
        <f>AK404*AL404*CHslave+AK404*CHslave*AL404+INslave*AL404*AL404</f>
        <v>3456</v>
      </c>
      <c r="AV404" s="92">
        <f>AK404*AL404*AL404</f>
        <v>1728</v>
      </c>
      <c r="AW404" s="91">
        <f t="shared" ref="AW404:AW409" si="4327">SUM(AT404:AV404)</f>
        <v>7488</v>
      </c>
      <c r="AX404" s="193">
        <f t="shared" ref="AX404:AX409" si="4328">AQ404*AT404/AW404</f>
        <v>3.6923076923076925</v>
      </c>
      <c r="AY404" s="116">
        <f t="shared" ref="AY404:AY409" si="4329">AR404*AU404/AW404</f>
        <v>11.076923076923077</v>
      </c>
      <c r="AZ404" s="126">
        <f t="shared" ref="AZ404:AZ409" si="4330">AS404*AV404/AW404</f>
        <v>8.3076923076923084</v>
      </c>
      <c r="BA404" s="126">
        <f t="shared" ref="BA404:BA409" si="4331">SUM(AX404:AZ404)</f>
        <v>23.07692307692308</v>
      </c>
      <c r="BB404" s="165">
        <f t="shared" ref="BB404:BB409" si="4332">Y404</f>
        <v>0</v>
      </c>
      <c r="BC404" s="198">
        <f t="shared" ref="BC404:BC409" si="4333">BA404-BB404</f>
        <v>23.07692307692308</v>
      </c>
      <c r="BD404" s="158">
        <f t="shared" ref="BD404:BE406" si="4334">IF(BA404&lt;=0,2,0)+IF(BA404&gt;0,BA404+1,0)*2+IF(BA404&gt;12,BA404-12,0)*2+IF(BA404&gt;13,BA404-13,0)*2+IF(BA404&gt;14,BA404-14,0)*2+IF(BA404&gt;15,BA404-15,0)*2+IF(BA404&gt;16,BA404-16,0)*2+IF(BA404&gt;17,BA404-17,0)*2+IF(BA404&gt;18,BA404-18,0)*2+IF(BA404&gt;19,BA404-19,0)*2+IF(BA404&gt;20,BA404-20,0)*2</f>
        <v>175.5384615384616</v>
      </c>
      <c r="BE404" s="91">
        <f t="shared" si="4334"/>
        <v>2</v>
      </c>
      <c r="BF404" s="241">
        <f t="shared" ref="BF404:BF409" si="4335">IF((BD404-BE404)&gt;0,BD404-BE404,0)</f>
        <v>173.5384615384616</v>
      </c>
      <c r="BG404" s="42">
        <f t="shared" ref="BG404:BG409" si="4336">IF((BE404-BD404)&gt;0,BE404-BD404,0)</f>
        <v>0</v>
      </c>
      <c r="BI404" s="323" t="s">
        <v>236</v>
      </c>
      <c r="BJ404" s="42" t="s">
        <v>179</v>
      </c>
      <c r="BK404" s="220" t="s">
        <v>132</v>
      </c>
      <c r="BL404" s="236"/>
      <c r="BM404" s="233"/>
      <c r="BN404" s="233">
        <f>Konvention_1slave-INslave</f>
        <v>12</v>
      </c>
      <c r="BO404" s="233">
        <f>Konvention_1slave-CHslave</f>
        <v>12</v>
      </c>
      <c r="BP404" s="233"/>
      <c r="BQ404" s="233"/>
      <c r="BR404" s="233"/>
      <c r="BS404" s="221"/>
      <c r="BT404" s="220">
        <f>(BN404+BO404+BO404)/3</f>
        <v>12</v>
      </c>
      <c r="BU404" s="220">
        <f t="shared" ref="BU404:BU409" si="4337">2*BT404</f>
        <v>24</v>
      </c>
      <c r="BV404" s="233">
        <f t="shared" ref="BV404:BV409" si="4338">3*BT404</f>
        <v>36</v>
      </c>
      <c r="BW404" s="236">
        <f>BO404*POWER(INslave,SIGN(BN404))*POWER(CHslave,SIGN(BO404))+BO404*POWER(INslave,SIGN(BN404))*POWER(CHslave,SIGN(BO404))+BN404*POWER(CHslave,SIGN(BO404))*POWER(CHslave,SIGN(BO404))</f>
        <v>2304</v>
      </c>
      <c r="BX404" s="233">
        <f>BN404*BO404*CHslave+BN404*CHslave*BO404+INslave*BO404*BO404</f>
        <v>3456</v>
      </c>
      <c r="BY404" s="221">
        <f>BN404*BO404*BO404</f>
        <v>1728</v>
      </c>
      <c r="BZ404" s="78">
        <f t="shared" ref="BZ404:BZ409" si="4339">SUM(BW404:BY404)</f>
        <v>7488</v>
      </c>
      <c r="CA404" s="219">
        <f t="shared" ref="CA404:CA409" si="4340">BT404*BW404/BZ404</f>
        <v>3.6923076923076925</v>
      </c>
      <c r="CB404" s="220">
        <f t="shared" ref="CB404:CB409" si="4341">BU404*BX404/BZ404</f>
        <v>11.076923076923077</v>
      </c>
      <c r="CC404" s="241">
        <f t="shared" ref="CC404:CC409" si="4342">BV404*BY404/BZ404</f>
        <v>8.3076923076923084</v>
      </c>
      <c r="CD404" s="241">
        <f t="shared" ref="CD404:CD409" si="4343">SUM(CA404:CC404)</f>
        <v>23.07692307692308</v>
      </c>
      <c r="CE404" s="252">
        <f t="shared" ref="CE404:CE409" si="4344">BB404</f>
        <v>0</v>
      </c>
      <c r="CF404" s="309">
        <f t="shared" ref="CF404:CF409" si="4345">CD404-CE404</f>
        <v>23.07692307692308</v>
      </c>
      <c r="CG404" s="42">
        <f t="shared" ref="CG404:CH406" si="4346">IF(CD404&lt;=0,2,0)+IF(CD404&gt;0,CD404+1,0)*2+IF(CD404&gt;12,CD404-12,0)*2+IF(CD404&gt;13,CD404-13,0)*2+IF(CD404&gt;14,CD404-14,0)*2+IF(CD404&gt;15,CD404-15,0)*2+IF(CD404&gt;16,CD404-16,0)*2+IF(CD404&gt;17,CD404-17,0)*2+IF(CD404&gt;18,CD404-18,0)*2+IF(CD404&gt;19,CD404-19,0)*2+IF(CD404&gt;20,CD404-20,0)*2</f>
        <v>175.5384615384616</v>
      </c>
      <c r="CH404" s="78">
        <f t="shared" si="4346"/>
        <v>2</v>
      </c>
      <c r="CI404" s="241">
        <f t="shared" ref="CI404:CI409" si="4347">IF((CG404-CH404)&gt;0,CG404-CH404,0)</f>
        <v>173.5384615384616</v>
      </c>
      <c r="CJ404" s="42">
        <f t="shared" ref="CJ404:CJ409" si="4348">IF((CH404-CG404)&gt;0,CH404-CG404,0)</f>
        <v>0</v>
      </c>
      <c r="CL404" s="323" t="s">
        <v>236</v>
      </c>
      <c r="CM404" s="42" t="s">
        <v>179</v>
      </c>
      <c r="CN404" s="220" t="s">
        <v>132</v>
      </c>
      <c r="CO404" s="236"/>
      <c r="CP404" s="233"/>
      <c r="CQ404" s="233">
        <f>Konvention_1slave-INslave_IN</f>
        <v>11</v>
      </c>
      <c r="CR404" s="233">
        <f>Konvention_1slave-CHslave</f>
        <v>12</v>
      </c>
      <c r="CS404" s="233"/>
      <c r="CT404" s="233"/>
      <c r="CU404" s="233"/>
      <c r="CV404" s="221"/>
      <c r="CW404" s="220">
        <f>(CQ404+CR404+CR404)/3</f>
        <v>11.666666666666666</v>
      </c>
      <c r="CX404" s="220">
        <f t="shared" ref="CX404:CX409" si="4349">2*CW404</f>
        <v>23.333333333333332</v>
      </c>
      <c r="CY404" s="233">
        <f t="shared" ref="CY404:CY409" si="4350">3*CW404</f>
        <v>35</v>
      </c>
      <c r="CZ404" s="236">
        <f>CR404*POWER(INslave_IN,SIGN(CQ404))*POWER(CHslave,SIGN(CR404))+CR404*POWER(INslave_IN,SIGN(CQ404))*POWER(CHslave,SIGN(CR404))+CQ404*POWER(CHslave,SIGN(CR404))*POWER(CHslave,SIGN(CR404))</f>
        <v>2432</v>
      </c>
      <c r="DA404" s="233">
        <f>CQ404*CR404*CHslave+CQ404*CHslave*CR404+INslave_IN*CR404*CR404</f>
        <v>3408</v>
      </c>
      <c r="DB404" s="221">
        <f>CQ404*CR404*CR404</f>
        <v>1584</v>
      </c>
      <c r="DC404" s="78">
        <f t="shared" ref="DC404:DC409" si="4351">SUM(CZ404:DB404)</f>
        <v>7424</v>
      </c>
      <c r="DD404" s="219">
        <f t="shared" ref="DD404:DD409" si="4352">CW404*CZ404/DC404</f>
        <v>3.8218390804597702</v>
      </c>
      <c r="DE404" s="220">
        <f t="shared" ref="DE404:DE409" si="4353">CX404*DA404/DC404</f>
        <v>10.711206896551724</v>
      </c>
      <c r="DF404" s="241">
        <f t="shared" ref="DF404:DF409" si="4354">CY404*DB404/DC404</f>
        <v>7.4676724137931032</v>
      </c>
      <c r="DG404" s="241">
        <f t="shared" ref="DG404:DG409" si="4355">SUM(DD404:DF404)</f>
        <v>22.000718390804597</v>
      </c>
      <c r="DH404" s="252">
        <f t="shared" ref="DH404:DH409" si="4356">CE404</f>
        <v>0</v>
      </c>
      <c r="DI404" s="309">
        <f t="shared" ref="DI404:DI409" si="4357">DG404-DH404</f>
        <v>22.000718390804597</v>
      </c>
      <c r="DJ404" s="42">
        <f t="shared" ref="DJ404:DK406" si="4358">IF(DG404&lt;=0,2,0)+IF(DG404&gt;0,DG404+1,0)*2+IF(DG404&gt;12,DG404-12,0)*2+IF(DG404&gt;13,DG404-13,0)*2+IF(DG404&gt;14,DG404-14,0)*2+IF(DG404&gt;15,DG404-15,0)*2+IF(DG404&gt;16,DG404-16,0)*2+IF(DG404&gt;17,DG404-17,0)*2+IF(DG404&gt;18,DG404-18,0)*2+IF(DG404&gt;19,DG404-19,0)*2+IF(DG404&gt;20,DG404-20,0)*2</f>
        <v>154.01436781609189</v>
      </c>
      <c r="DK404" s="78">
        <f t="shared" si="4358"/>
        <v>2</v>
      </c>
      <c r="DL404" s="241">
        <f t="shared" ref="DL404:DL409" si="4359">IF((DJ404-DK404)&gt;0,DJ404-DK404,0)</f>
        <v>152.01436781609189</v>
      </c>
      <c r="DM404" s="42">
        <f t="shared" ref="DM404:DM409" si="4360">IF((DK404-DJ404)&gt;0,DK404-DJ404,0)</f>
        <v>0</v>
      </c>
      <c r="DO404" s="323" t="s">
        <v>236</v>
      </c>
      <c r="DP404" s="42" t="s">
        <v>179</v>
      </c>
      <c r="DQ404" s="220" t="s">
        <v>132</v>
      </c>
      <c r="DR404" s="236"/>
      <c r="DS404" s="233"/>
      <c r="DT404" s="233">
        <f>Konvention_1slave-INslave</f>
        <v>12</v>
      </c>
      <c r="DU404" s="233">
        <f>Konvention_1slave-CHslave_CH</f>
        <v>11</v>
      </c>
      <c r="DV404" s="233"/>
      <c r="DW404" s="233"/>
      <c r="DX404" s="233"/>
      <c r="DY404" s="221"/>
      <c r="DZ404" s="220">
        <f>(DT404+DU404+DU404)/3</f>
        <v>11.333333333333334</v>
      </c>
      <c r="EA404" s="220">
        <f t="shared" ref="EA404:EA409" si="4361">2*DZ404</f>
        <v>22.666666666666668</v>
      </c>
      <c r="EB404" s="233">
        <f t="shared" ref="EB404:EB409" si="4362">3*DZ404</f>
        <v>34</v>
      </c>
      <c r="EC404" s="236">
        <f>DU404*POWER(INslave,SIGN(DT404))*POWER(CHslave_CH,SIGN(DU404))+DU404*POWER(INslave,SIGN(DT404))*POWER(CHslave_CH,SIGN(DU404))+DT404*POWER(CHslave_CH,SIGN(DU404))*POWER(CHslave_CH,SIGN(DU404))</f>
        <v>2556</v>
      </c>
      <c r="ED404" s="233">
        <f>DT404*DU404*CHslave_CH+DT404*CHslave_CH*DU404+INslave*DU404*DU404</f>
        <v>3344</v>
      </c>
      <c r="EE404" s="221">
        <f>DT404*DU404*DU404</f>
        <v>1452</v>
      </c>
      <c r="EF404" s="78">
        <f t="shared" ref="EF404:EF409" si="4363">SUM(EC404:EE404)</f>
        <v>7352</v>
      </c>
      <c r="EG404" s="219">
        <f t="shared" ref="EG404:EG409" si="4364">DZ404*EC404/EF404</f>
        <v>3.940152339499456</v>
      </c>
      <c r="EH404" s="220">
        <f t="shared" ref="EH404:EH409" si="4365">EA404*ED404/EF404</f>
        <v>10.309756982227059</v>
      </c>
      <c r="EI404" s="241">
        <f t="shared" ref="EI404:EI409" si="4366">EB404*EE404/EF404</f>
        <v>6.714907508161045</v>
      </c>
      <c r="EJ404" s="241">
        <f t="shared" ref="EJ404:EJ409" si="4367">SUM(EG404:EI404)</f>
        <v>20.96481682988756</v>
      </c>
      <c r="EK404" s="252">
        <f t="shared" ref="EK404:EK409" si="4368">DH404</f>
        <v>0</v>
      </c>
      <c r="EL404" s="309">
        <f t="shared" ref="EL404:EL409" si="4369">EJ404-EK404</f>
        <v>20.96481682988756</v>
      </c>
      <c r="EM404" s="42">
        <f t="shared" ref="EM404:EN406" si="4370">IF(EJ404&lt;=0,2,0)+IF(EJ404&gt;0,EJ404+1,0)*2+IF(EJ404&gt;12,EJ404-12,0)*2+IF(EJ404&gt;13,EJ404-13,0)*2+IF(EJ404&gt;14,EJ404-14,0)*2+IF(EJ404&gt;15,EJ404-15,0)*2+IF(EJ404&gt;16,EJ404-16,0)*2+IF(EJ404&gt;17,EJ404-17,0)*2+IF(EJ404&gt;18,EJ404-18,0)*2+IF(EJ404&gt;19,EJ404-19,0)*2+IF(EJ404&gt;20,EJ404-20,0)*2</f>
        <v>133.29633659775118</v>
      </c>
      <c r="EN404" s="78">
        <f t="shared" si="4370"/>
        <v>2</v>
      </c>
      <c r="EO404" s="241">
        <f t="shared" ref="EO404:EO409" si="4371">IF((EM404-EN404)&gt;0,EM404-EN404,0)</f>
        <v>131.29633659775118</v>
      </c>
      <c r="EP404" s="42">
        <f t="shared" ref="EP404:EP409" si="4372">IF((EN404-EM404)&gt;0,EN404-EM404,0)</f>
        <v>0</v>
      </c>
      <c r="ER404" s="323" t="s">
        <v>236</v>
      </c>
      <c r="ES404" s="42" t="s">
        <v>179</v>
      </c>
      <c r="ET404" s="220" t="s">
        <v>132</v>
      </c>
      <c r="EU404" s="236"/>
      <c r="EV404" s="233"/>
      <c r="EW404" s="233">
        <f>Konvention_1slave-INslave</f>
        <v>12</v>
      </c>
      <c r="EX404" s="233">
        <f>Konvention_1slave-CHslave</f>
        <v>12</v>
      </c>
      <c r="EY404" s="233"/>
      <c r="EZ404" s="233"/>
      <c r="FA404" s="233"/>
      <c r="FB404" s="221"/>
      <c r="FC404" s="220">
        <f>(EW404+EX404+EX404)/3</f>
        <v>12</v>
      </c>
      <c r="FD404" s="220">
        <f t="shared" ref="FD404:FD409" si="4373">2*FC404</f>
        <v>24</v>
      </c>
      <c r="FE404" s="233">
        <f t="shared" ref="FE404:FE409" si="4374">3*FC404</f>
        <v>36</v>
      </c>
      <c r="FF404" s="236">
        <f>EX404*POWER(INslave,SIGN(EW404))*POWER(CHslave,SIGN(EX404))+EX404*POWER(INslave,SIGN(EW404))*POWER(CHslave,SIGN(EX404))+EW404*POWER(CHslave,SIGN(EX404))*POWER(CHslave,SIGN(EX404))</f>
        <v>2304</v>
      </c>
      <c r="FG404" s="233">
        <f>EW404*EX404*CHslave+EW404*CHslave*EX404+INslave*EX404*EX404</f>
        <v>3456</v>
      </c>
      <c r="FH404" s="221">
        <f>EW404*EX404*EX404</f>
        <v>1728</v>
      </c>
      <c r="FI404" s="78">
        <f t="shared" ref="FI404:FI409" si="4375">SUM(FF404:FH404)</f>
        <v>7488</v>
      </c>
      <c r="FJ404" s="219">
        <f t="shared" ref="FJ404:FJ409" si="4376">FC404*FF404/FI404</f>
        <v>3.6923076923076925</v>
      </c>
      <c r="FK404" s="220">
        <f t="shared" ref="FK404:FK409" si="4377">FD404*FG404/FI404</f>
        <v>11.076923076923077</v>
      </c>
      <c r="FL404" s="241">
        <f t="shared" ref="FL404:FL409" si="4378">FE404*FH404/FI404</f>
        <v>8.3076923076923084</v>
      </c>
      <c r="FM404" s="241">
        <f t="shared" ref="FM404:FM409" si="4379">SUM(FJ404:FL404)</f>
        <v>23.07692307692308</v>
      </c>
      <c r="FN404" s="252">
        <f t="shared" ref="FN404:FN409" si="4380">EK404</f>
        <v>0</v>
      </c>
      <c r="FO404" s="309">
        <f t="shared" ref="FO404:FO409" si="4381">FM404-FN404</f>
        <v>23.07692307692308</v>
      </c>
      <c r="FP404" s="42">
        <f t="shared" ref="FP404:FQ406" si="4382">IF(FM404&lt;=0,2,0)+IF(FM404&gt;0,FM404+1,0)*2+IF(FM404&gt;12,FM404-12,0)*2+IF(FM404&gt;13,FM404-13,0)*2+IF(FM404&gt;14,FM404-14,0)*2+IF(FM404&gt;15,FM404-15,0)*2+IF(FM404&gt;16,FM404-16,0)*2+IF(FM404&gt;17,FM404-17,0)*2+IF(FM404&gt;18,FM404-18,0)*2+IF(FM404&gt;19,FM404-19,0)*2+IF(FM404&gt;20,FM404-20,0)*2</f>
        <v>175.5384615384616</v>
      </c>
      <c r="FQ404" s="78">
        <f t="shared" si="4382"/>
        <v>2</v>
      </c>
      <c r="FR404" s="241">
        <f t="shared" ref="FR404:FR409" si="4383">IF((FP404-FQ404)&gt;0,FP404-FQ404,0)</f>
        <v>173.5384615384616</v>
      </c>
      <c r="FS404" s="42">
        <f t="shared" ref="FS404:FS409" si="4384">IF((FQ404-FP404)&gt;0,FQ404-FP404,0)</f>
        <v>0</v>
      </c>
      <c r="FU404" s="323" t="s">
        <v>236</v>
      </c>
      <c r="FV404" s="42" t="s">
        <v>179</v>
      </c>
      <c r="FW404" s="220" t="s">
        <v>132</v>
      </c>
      <c r="FX404" s="236"/>
      <c r="FY404" s="233"/>
      <c r="FZ404" s="233">
        <f>Konvention_1slave-INslave</f>
        <v>12</v>
      </c>
      <c r="GA404" s="233">
        <f>Konvention_1slave-CHslave</f>
        <v>12</v>
      </c>
      <c r="GB404" s="233"/>
      <c r="GC404" s="233"/>
      <c r="GD404" s="233"/>
      <c r="GE404" s="221"/>
      <c r="GF404" s="220">
        <f>(FZ404+GA404+GA404)/3</f>
        <v>12</v>
      </c>
      <c r="GG404" s="220">
        <f t="shared" ref="GG404:GG409" si="4385">2*GF404</f>
        <v>24</v>
      </c>
      <c r="GH404" s="233">
        <f t="shared" ref="GH404:GH409" si="4386">3*GF404</f>
        <v>36</v>
      </c>
      <c r="GI404" s="236">
        <f>GA404*POWER(INslave,SIGN(FZ404))*POWER(CHslave,SIGN(GA404))+GA404*POWER(INslave,SIGN(FZ404))*POWER(CHslave,SIGN(GA404))+FZ404*POWER(CHslave,SIGN(GA404))*POWER(CHslave,SIGN(GA404))</f>
        <v>2304</v>
      </c>
      <c r="GJ404" s="233">
        <f>FZ404*GA404*CHslave+FZ404*CHslave*GA404+INslave*GA404*GA404</f>
        <v>3456</v>
      </c>
      <c r="GK404" s="221">
        <f>FZ404*GA404*GA404</f>
        <v>1728</v>
      </c>
      <c r="GL404" s="78">
        <f t="shared" ref="GL404:GL409" si="4387">SUM(GI404:GK404)</f>
        <v>7488</v>
      </c>
      <c r="GM404" s="219">
        <f t="shared" ref="GM404:GM409" si="4388">GF404*GI404/GL404</f>
        <v>3.6923076923076925</v>
      </c>
      <c r="GN404" s="220">
        <f t="shared" ref="GN404:GN409" si="4389">GG404*GJ404/GL404</f>
        <v>11.076923076923077</v>
      </c>
      <c r="GO404" s="241">
        <f t="shared" ref="GO404:GO409" si="4390">GH404*GK404/GL404</f>
        <v>8.3076923076923084</v>
      </c>
      <c r="GP404" s="241">
        <f t="shared" ref="GP404:GP409" si="4391">SUM(GM404:GO404)</f>
        <v>23.07692307692308</v>
      </c>
      <c r="GQ404" s="252">
        <f t="shared" ref="GQ404:GQ409" si="4392">FN404</f>
        <v>0</v>
      </c>
      <c r="GR404" s="309">
        <f t="shared" ref="GR404:GR409" si="4393">GP404-GQ404</f>
        <v>23.07692307692308</v>
      </c>
      <c r="GS404" s="42">
        <f t="shared" ref="GS404:GT406" si="4394">IF(GP404&lt;=0,2,0)+IF(GP404&gt;0,GP404+1,0)*2+IF(GP404&gt;12,GP404-12,0)*2+IF(GP404&gt;13,GP404-13,0)*2+IF(GP404&gt;14,GP404-14,0)*2+IF(GP404&gt;15,GP404-15,0)*2+IF(GP404&gt;16,GP404-16,0)*2+IF(GP404&gt;17,GP404-17,0)*2+IF(GP404&gt;18,GP404-18,0)*2+IF(GP404&gt;19,GP404-19,0)*2+IF(GP404&gt;20,GP404-20,0)*2</f>
        <v>175.5384615384616</v>
      </c>
      <c r="GT404" s="78">
        <f t="shared" si="4394"/>
        <v>2</v>
      </c>
      <c r="GU404" s="241">
        <f t="shared" ref="GU404:GU409" si="4395">IF((GS404-GT404)&gt;0,GS404-GT404,0)</f>
        <v>173.5384615384616</v>
      </c>
      <c r="GV404" s="42">
        <f t="shared" ref="GV404:GV409" si="4396">IF((GT404-GS404)&gt;0,GT404-GS404,0)</f>
        <v>0</v>
      </c>
      <c r="GX404" s="323" t="s">
        <v>236</v>
      </c>
      <c r="GY404" s="42" t="s">
        <v>179</v>
      </c>
      <c r="GZ404" s="220" t="s">
        <v>132</v>
      </c>
      <c r="HA404" s="236"/>
      <c r="HB404" s="233"/>
      <c r="HC404" s="233">
        <f>Konvention_1slave-INslave</f>
        <v>12</v>
      </c>
      <c r="HD404" s="233">
        <f>Konvention_1slave-CHslave</f>
        <v>12</v>
      </c>
      <c r="HE404" s="233"/>
      <c r="HF404" s="233"/>
      <c r="HG404" s="233"/>
      <c r="HH404" s="221"/>
      <c r="HI404" s="220">
        <f>(HC404+HD404+HD404)/3</f>
        <v>12</v>
      </c>
      <c r="HJ404" s="220">
        <f t="shared" ref="HJ404:HJ409" si="4397">2*HI404</f>
        <v>24</v>
      </c>
      <c r="HK404" s="233">
        <f t="shared" ref="HK404:HK409" si="4398">3*HI404</f>
        <v>36</v>
      </c>
      <c r="HL404" s="236">
        <f>HD404*POWER(INslave,SIGN(HC404))*POWER(CHslave,SIGN(HD404))+HD404*POWER(INslave,SIGN(HC404))*POWER(CHslave,SIGN(HD404))+HC404*POWER(CHslave,SIGN(HD404))*POWER(CHslave,SIGN(HD404))</f>
        <v>2304</v>
      </c>
      <c r="HM404" s="233">
        <f>HC404*HD404*CHslave+HC404*CHslave*HD404+INslave*HD404*HD404</f>
        <v>3456</v>
      </c>
      <c r="HN404" s="221">
        <f>HC404*HD404*HD404</f>
        <v>1728</v>
      </c>
      <c r="HO404" s="78">
        <f t="shared" ref="HO404:HO409" si="4399">SUM(HL404:HN404)</f>
        <v>7488</v>
      </c>
      <c r="HP404" s="219">
        <f t="shared" ref="HP404:HP409" si="4400">HI404*HL404/HO404</f>
        <v>3.6923076923076925</v>
      </c>
      <c r="HQ404" s="220">
        <f t="shared" ref="HQ404:HQ409" si="4401">HJ404*HM404/HO404</f>
        <v>11.076923076923077</v>
      </c>
      <c r="HR404" s="241">
        <f t="shared" ref="HR404:HR409" si="4402">HK404*HN404/HO404</f>
        <v>8.3076923076923084</v>
      </c>
      <c r="HS404" s="241">
        <f t="shared" ref="HS404:HS409" si="4403">SUM(HP404:HR404)</f>
        <v>23.07692307692308</v>
      </c>
      <c r="HT404" s="252">
        <f t="shared" ref="HT404:HT409" si="4404">GQ404</f>
        <v>0</v>
      </c>
      <c r="HU404" s="309">
        <f t="shared" ref="HU404:HU409" si="4405">HS404-HT404</f>
        <v>23.07692307692308</v>
      </c>
      <c r="HV404" s="42">
        <f t="shared" ref="HV404:HW406" si="4406">IF(HS404&lt;=0,2,0)+IF(HS404&gt;0,HS404+1,0)*2+IF(HS404&gt;12,HS404-12,0)*2+IF(HS404&gt;13,HS404-13,0)*2+IF(HS404&gt;14,HS404-14,0)*2+IF(HS404&gt;15,HS404-15,0)*2+IF(HS404&gt;16,HS404-16,0)*2+IF(HS404&gt;17,HS404-17,0)*2+IF(HS404&gt;18,HS404-18,0)*2+IF(HS404&gt;19,HS404-19,0)*2+IF(HS404&gt;20,HS404-20,0)*2</f>
        <v>175.5384615384616</v>
      </c>
      <c r="HW404" s="78">
        <f t="shared" si="4406"/>
        <v>2</v>
      </c>
      <c r="HX404" s="241">
        <f t="shared" ref="HX404:HX409" si="4407">IF((HV404-HW404)&gt;0,HV404-HW404,0)</f>
        <v>173.5384615384616</v>
      </c>
      <c r="HY404" s="42">
        <f t="shared" ref="HY404:HY409" si="4408">IF((HW404-HV404)&gt;0,HW404-HV404,0)</f>
        <v>0</v>
      </c>
      <c r="IA404" s="323" t="s">
        <v>236</v>
      </c>
      <c r="IB404" s="42" t="s">
        <v>179</v>
      </c>
      <c r="IC404" s="220" t="s">
        <v>132</v>
      </c>
      <c r="ID404" s="236"/>
      <c r="IE404" s="233"/>
      <c r="IF404" s="233">
        <f>Konvention_1slave-INslave</f>
        <v>12</v>
      </c>
      <c r="IG404" s="233">
        <f>Konvention_1slave-CHslave</f>
        <v>12</v>
      </c>
      <c r="IH404" s="233"/>
      <c r="II404" s="233"/>
      <c r="IJ404" s="233"/>
      <c r="IK404" s="221"/>
      <c r="IL404" s="220">
        <f>(IF404+IG404+IG404)/3</f>
        <v>12</v>
      </c>
      <c r="IM404" s="220">
        <f t="shared" ref="IM404:IM409" si="4409">2*IL404</f>
        <v>24</v>
      </c>
      <c r="IN404" s="233">
        <f t="shared" ref="IN404:IN409" si="4410">3*IL404</f>
        <v>36</v>
      </c>
      <c r="IO404" s="236">
        <f>IG404*POWER(INslave,SIGN(IF404))*POWER(CHslave,SIGN(IG404))+IG404*POWER(INslave,SIGN(IF404))*POWER(CHslave,SIGN(IG404))+IF404*POWER(CHslave,SIGN(IG404))*POWER(CHslave,SIGN(IG404))</f>
        <v>2304</v>
      </c>
      <c r="IP404" s="233">
        <f>IF404*IG404*CHslave+IF404*CHslave*IG404+INslave*IG404*IG404</f>
        <v>3456</v>
      </c>
      <c r="IQ404" s="221">
        <f>IF404*IG404*IG404</f>
        <v>1728</v>
      </c>
      <c r="IR404" s="78">
        <f t="shared" ref="IR404:IR409" si="4411">SUM(IO404:IQ404)</f>
        <v>7488</v>
      </c>
      <c r="IS404" s="219">
        <f t="shared" ref="IS404:IS409" si="4412">IL404*IO404/IR404</f>
        <v>3.6923076923076925</v>
      </c>
      <c r="IT404" s="220">
        <f t="shared" ref="IT404:IT409" si="4413">IM404*IP404/IR404</f>
        <v>11.076923076923077</v>
      </c>
      <c r="IU404" s="241">
        <f t="shared" ref="IU404:IU409" si="4414">IN404*IQ404/IR404</f>
        <v>8.3076923076923084</v>
      </c>
      <c r="IV404" s="241">
        <f t="shared" ref="IV404:IV409" si="4415">SUM(IS404:IU404)</f>
        <v>23.07692307692308</v>
      </c>
      <c r="IW404" s="252">
        <f t="shared" ref="IW404:IW409" si="4416">HT404</f>
        <v>0</v>
      </c>
      <c r="IX404" s="309">
        <f t="shared" ref="IX404:IX409" si="4417">IV404-IW404</f>
        <v>23.07692307692308</v>
      </c>
      <c r="IY404" s="42">
        <f t="shared" ref="IY404:IZ406" si="4418">IF(IV404&lt;=0,2,0)+IF(IV404&gt;0,IV404+1,0)*2+IF(IV404&gt;12,IV404-12,0)*2+IF(IV404&gt;13,IV404-13,0)*2+IF(IV404&gt;14,IV404-14,0)*2+IF(IV404&gt;15,IV404-15,0)*2+IF(IV404&gt;16,IV404-16,0)*2+IF(IV404&gt;17,IV404-17,0)*2+IF(IV404&gt;18,IV404-18,0)*2+IF(IV404&gt;19,IV404-19,0)*2+IF(IV404&gt;20,IV404-20,0)*2</f>
        <v>175.5384615384616</v>
      </c>
      <c r="IZ404" s="78">
        <f t="shared" si="4418"/>
        <v>2</v>
      </c>
      <c r="JA404" s="241">
        <f t="shared" ref="JA404:JA409" si="4419">IF((IY404-IZ404)&gt;0,IY404-IZ404,0)</f>
        <v>173.5384615384616</v>
      </c>
      <c r="JB404" s="42">
        <f t="shared" ref="JB404:JB409" si="4420">IF((IZ404-IY404)&gt;0,IZ404-IY404,0)</f>
        <v>0</v>
      </c>
      <c r="JE404" s="148"/>
    </row>
    <row r="405" spans="2:265" ht="15" hidden="1" customHeight="1" outlineLevel="2">
      <c r="B405" s="148">
        <v>2</v>
      </c>
      <c r="C405" s="325" t="e">
        <f>VLOOKUP(AF405,Attribute!C:T,1,FALSE)</f>
        <v>#N/A</v>
      </c>
      <c r="D405" s="125" t="s">
        <v>84</v>
      </c>
      <c r="E405" s="47" t="s">
        <v>132</v>
      </c>
      <c r="F405" s="114">
        <f>Konvention_1master-MUmaster</f>
        <v>12</v>
      </c>
      <c r="G405" s="113">
        <f>Konvention_1master-KLmaster</f>
        <v>12</v>
      </c>
      <c r="H405" s="113"/>
      <c r="I405" s="113">
        <f>Konvention_1master-CHmaster</f>
        <v>12</v>
      </c>
      <c r="J405" s="113"/>
      <c r="K405" s="113"/>
      <c r="L405" s="113"/>
      <c r="M405" s="119"/>
      <c r="N405" s="223">
        <f>(F405+G405+H405+I405+J405+K405+L405+M405)/3</f>
        <v>12</v>
      </c>
      <c r="O405" s="223">
        <f t="shared" si="4314"/>
        <v>24</v>
      </c>
      <c r="P405" s="234">
        <f t="shared" si="4315"/>
        <v>36</v>
      </c>
      <c r="Q405" s="237">
        <f>F405*POWER(KLmaster,SIGN(G405))*POWER(INmaster,SIGN(H405))*POWER(CHmaster,SIGN(I405))*POWER(FFmaster,SIGN(J405))*POWER(GEmaster,SIGN(K405))*POWER(KOmaster,SIGN(L405))*POWER(KKmaster,SIGN(M405))+G405*POWER(MUmaster,SIGN(F405))*POWER(INmaster,SIGN(H405))*POWER(CHmaster,SIGN(I405))*POWER(FFmaster,SIGN(J405))*POWER(GEmaster,SIGN(K405))*POWER(KOmaster,SIGN(L405))*POWER(KKmaster,SIGN(M405))+H405*POWER(MUmaster,SIGN(F405))*POWER(KLmaster,SIGN(G405))*POWER(CHmaster,SIGN(I405))*POWER(FFmaster,SIGN(J405))*POWER(GEmaster,SIGN(K405))*POWER(KOmaster,SIGN(L405))*POWER(KKmaster,SIGN(M405))+I405*POWER(MUmaster,SIGN(F405))*POWER(KLmaster,SIGN(G405))*POWER(INmaster,SIGN(H405))*POWER(FFmaster,SIGN(J405))*POWER(GEmaster,SIGN(K405))*POWER(KOmaster,SIGN(L405))*POWER(KKmaster,SIGN(M405))+J405*POWER(MUmaster,SIGN(F405))*POWER(KLmaster,SIGN(G405))*POWER(INmaster,SIGN(H405))*POWER(CHmaster,SIGN(I405))*POWER(GEmaster,SIGN(K405))*POWER(KOmaster,SIGN(L405))*POWER(KKmaster,SIGN(M405))+K405*POWER(MUmaster,SIGN(F405))*POWER(KLmaster,SIGN(G405))*POWER(INmaster,SIGN(H405))*POWER(CHmaster,SIGN(I405))*POWER(FFmaster,SIGN(J405))*POWER(KOmaster,SIGN(L405))*POWER(KKmaster,SIGN(M405))+L405*POWER(MUmaster,SIGN(F405))*POWER(KLmaster,SIGN(G405))*POWER(INmaster,SIGN(H405))*POWER(CHmaster,SIGN(I405))*POWER(FFmaster,SIGN(J405))*POWER(GEmaster,SIGN(K405))*POWER(KKmaster,SIGN(M405))+M405*POWER(MUmaster,SIGN(F405))*POWER(KLmaster,SIGN(G405))*POWER(INmaster,SIGN(H405))*POWER(CHmaster,SIGN(I405))*POWER(FFmaster,SIGN(J405))*POWER(GEmaster,SIGN(K405))*POWER(KOmaster,SIGN(L405))</f>
        <v>2304</v>
      </c>
      <c r="R405" s="113">
        <f>F405*G405*CHmaster+F405*KLmaster*I405+MUmaster*G405*I405</f>
        <v>3456</v>
      </c>
      <c r="S405" s="224">
        <f>IFERROR(F405^SIGN(F405),1)*IFERROR(G405^SIGN(G405),1)*IFERROR(H405^SIGN(H405),1)*IFERROR(I405^SIGN(I405),1)*IFERROR(J405^SIGN(J405),1)*IFERROR(K405^SIGN(K405),1)*IFERROR(L405^SIGN(L405),1)*IFERROR(M405^SIGN(M405),1)</f>
        <v>1728</v>
      </c>
      <c r="T405" s="242">
        <f t="shared" si="4316"/>
        <v>7488</v>
      </c>
      <c r="U405" s="222">
        <f t="shared" si="4317"/>
        <v>3.6923076923076925</v>
      </c>
      <c r="V405" s="223">
        <f t="shared" si="4318"/>
        <v>11.076923076923077</v>
      </c>
      <c r="W405" s="243">
        <f t="shared" si="4319"/>
        <v>8.3076923076923084</v>
      </c>
      <c r="X405" s="243">
        <f t="shared" si="4320"/>
        <v>23.07692307692308</v>
      </c>
      <c r="Y405" s="252">
        <v>0</v>
      </c>
      <c r="Z405" s="198">
        <f t="shared" si="4321"/>
        <v>23.07692307692308</v>
      </c>
      <c r="AA405" s="125">
        <f t="shared" si="4322"/>
        <v>175.5384615384616</v>
      </c>
      <c r="AB405" s="160">
        <f t="shared" si="4322"/>
        <v>2</v>
      </c>
      <c r="AC405" s="127">
        <f t="shared" si="4323"/>
        <v>173.5384615384616</v>
      </c>
      <c r="AD405" s="125">
        <f t="shared" si="4324"/>
        <v>0</v>
      </c>
      <c r="AF405" s="177" t="s">
        <v>237</v>
      </c>
      <c r="AG405" s="125" t="s">
        <v>84</v>
      </c>
      <c r="AH405" s="47" t="s">
        <v>132</v>
      </c>
      <c r="AI405" s="114">
        <f>Konvention_1slave-MUslave_MU</f>
        <v>11</v>
      </c>
      <c r="AJ405" s="113">
        <f>Konvention_1slave-KLslave</f>
        <v>12</v>
      </c>
      <c r="AK405" s="113"/>
      <c r="AL405" s="113">
        <f>Konvention_1slave-CHslave</f>
        <v>12</v>
      </c>
      <c r="AM405" s="113"/>
      <c r="AN405" s="113"/>
      <c r="AO405" s="113"/>
      <c r="AP405" s="119"/>
      <c r="AQ405" s="47">
        <f>(AI405+AJ405+AK405+AL405+AM405+AN405+AO405+AP405)/3</f>
        <v>11.666666666666666</v>
      </c>
      <c r="AR405" s="47">
        <f t="shared" si="4325"/>
        <v>23.333333333333332</v>
      </c>
      <c r="AS405" s="113">
        <f t="shared" si="4326"/>
        <v>35</v>
      </c>
      <c r="AT405" s="114">
        <f>AI405*POWER(KLslave,SIGN(AJ405))*POWER(INslave,SIGN(AK405))*POWER(CHslave,SIGN(AL405))*POWER(FFslave,SIGN(AM405))*POWER(GEslave,SIGN(AN405))*POWER(KOslave,SIGN(AO405))*POWER(KKslave,SIGN(AP405))+AJ405*POWER(MUslave_MU,SIGN(AI405))*POWER(INslave,SIGN(AK405))*POWER(CHslave,SIGN(AL405))*POWER(FFslave,SIGN(AM405))*POWER(GEslave,SIGN(AN405))*POWER(KOslave,SIGN(AO405))*POWER(KKslave,SIGN(AP405))+AK405*POWER(MUslave_MU,SIGN(AI405))*POWER(KLslave,SIGN(AJ405))*POWER(CHslave,SIGN(AL405))*POWER(FFslave,SIGN(AM405))*POWER(GEslave,SIGN(AN405))*POWER(KOslave,SIGN(AO405))*POWER(KKslave,SIGN(AP405))+AL405*POWER(MUslave_MU,SIGN(AI405))*POWER(KLslave,SIGN(AJ405))*POWER(INslave,SIGN(AK405))*POWER(FFslave,SIGN(AM405))*POWER(GEslave,SIGN(AN405))*POWER(KOslave,SIGN(AO405))*POWER(KKslave,SIGN(AP405))+AM405*POWER(MUslave_MU,SIGN(AI405))*POWER(KLslave,SIGN(AJ405))*POWER(INslave,SIGN(AK405))*POWER(CHslave,SIGN(AL405))*POWER(GEslave,SIGN(AN405))*POWER(KOslave,SIGN(AO405))*POWER(KKslave,SIGN(AP405))+AN405*POWER(MUslave_MU,SIGN(AI405))*POWER(KLslave,SIGN(AJ405))*POWER(INslave,SIGN(AK405))*POWER(CHslave,SIGN(AL405))*POWER(FFslave,SIGN(AM405))*POWER(KOslave,SIGN(AO405))*POWER(KKslave,SIGN(AP405))+AO405*POWER(MUslave_MU,SIGN(AI405))*POWER(KLslave,SIGN(AJ405))*POWER(INslave,SIGN(AK405))*POWER(CHslave,SIGN(AL405))*POWER(FFslave,SIGN(AM405))*POWER(GEslave,SIGN(AN405))*POWER(KKslave,SIGN(AP405))+AP405*POWER(MUslave_MU,SIGN(AI405))*POWER(KLslave,SIGN(AJ405))*POWER(INslave,SIGN(AK405))*POWER(CHslave,SIGN(AL405))*POWER(FFslave,SIGN(AM405))*POWER(GEslave,SIGN(AN405))*POWER(KOslave,SIGN(AO405))</f>
        <v>2432</v>
      </c>
      <c r="AU405" s="113">
        <f>AI405*AJ405*CHslave+AI405*KLslave*AL405+MUslave_MU*AJ405*AL405</f>
        <v>3408</v>
      </c>
      <c r="AV405" s="119">
        <f>IFERROR(AI405^SIGN(AI405),1)*IFERROR(AJ405^SIGN(AJ405),1)*IFERROR(AK405^SIGN(AK405),1)*IFERROR(AL405^SIGN(AL405),1)*IFERROR(AM405^SIGN(AM405),1)*IFERROR(AN405^SIGN(AN405),1)*IFERROR(AO405^SIGN(AO405),1)*IFERROR(AP405^SIGN(AP405),1)</f>
        <v>1584</v>
      </c>
      <c r="AW405" s="160">
        <f t="shared" si="4327"/>
        <v>7424</v>
      </c>
      <c r="AX405" s="89">
        <f t="shared" si="4328"/>
        <v>3.8218390804597702</v>
      </c>
      <c r="AY405" s="47">
        <f t="shared" si="4329"/>
        <v>10.711206896551724</v>
      </c>
      <c r="AZ405" s="127">
        <f t="shared" si="4330"/>
        <v>7.4676724137931032</v>
      </c>
      <c r="BA405" s="127">
        <f t="shared" si="4331"/>
        <v>22.000718390804597</v>
      </c>
      <c r="BB405" s="165">
        <f t="shared" si="4332"/>
        <v>0</v>
      </c>
      <c r="BC405" s="198">
        <f t="shared" si="4333"/>
        <v>22.000718390804597</v>
      </c>
      <c r="BD405" s="125">
        <f t="shared" si="4334"/>
        <v>154.01436781609189</v>
      </c>
      <c r="BE405" s="160">
        <f t="shared" si="4334"/>
        <v>2</v>
      </c>
      <c r="BF405" s="243">
        <f t="shared" si="4335"/>
        <v>152.01436781609189</v>
      </c>
      <c r="BG405" s="218">
        <f t="shared" si="4336"/>
        <v>0</v>
      </c>
      <c r="BI405" s="325" t="s">
        <v>237</v>
      </c>
      <c r="BJ405" s="218" t="s">
        <v>84</v>
      </c>
      <c r="BK405" s="223" t="s">
        <v>132</v>
      </c>
      <c r="BL405" s="237">
        <f>Konvention_1slave-MUslave</f>
        <v>12</v>
      </c>
      <c r="BM405" s="234">
        <f>Konvention_1slave-KLslave_KL</f>
        <v>11</v>
      </c>
      <c r="BN405" s="234"/>
      <c r="BO405" s="234">
        <f>Konvention_1slave-CHslave</f>
        <v>12</v>
      </c>
      <c r="BP405" s="234"/>
      <c r="BQ405" s="234"/>
      <c r="BR405" s="234"/>
      <c r="BS405" s="224"/>
      <c r="BT405" s="223">
        <f>(BL405+BM405+BN405+BO405+BP405+BQ405+BR405+BS405)/3</f>
        <v>11.666666666666666</v>
      </c>
      <c r="BU405" s="223">
        <f t="shared" si="4337"/>
        <v>23.333333333333332</v>
      </c>
      <c r="BV405" s="234">
        <f t="shared" si="4338"/>
        <v>35</v>
      </c>
      <c r="BW405" s="237">
        <f>BL405*POWER(KLslave_KL,SIGN(BM405))*POWER(INslave,SIGN(BN405))*POWER(CHslave,SIGN(BO405))*POWER(FFslave,SIGN(BP405))*POWER(GEslave,SIGN(BQ405))*POWER(KOslave,SIGN(BR405))*POWER(KKslave,SIGN(BS405))+BM405*POWER(MUslave,SIGN(BL405))*POWER(INslave,SIGN(BN405))*POWER(CHslave,SIGN(BO405))*POWER(FFslave,SIGN(BP405))*POWER(GEslave,SIGN(BQ405))*POWER(KOslave,SIGN(BR405))*POWER(KKslave,SIGN(BS405))+BN405*POWER(MUslave,SIGN(BL405))*POWER(KLslave_KL,SIGN(BM405))*POWER(CHslave,SIGN(BO405))*POWER(FFslave,SIGN(BP405))*POWER(GEslave,SIGN(BQ405))*POWER(KOslave,SIGN(BR405))*POWER(KKslave,SIGN(BS405))+BO405*POWER(MUslave,SIGN(BL405))*POWER(KLslave_KL,SIGN(BM405))*POWER(INslave,SIGN(BN405))*POWER(FFslave,SIGN(BP405))*POWER(GEslave,SIGN(BQ405))*POWER(KOslave,SIGN(BR405))*POWER(KKslave,SIGN(BS405))+BP405*POWER(MUslave,SIGN(BL405))*POWER(KLslave_KL,SIGN(BM405))*POWER(INslave,SIGN(BN405))*POWER(CHslave,SIGN(BO405))*POWER(GEslave,SIGN(BQ405))*POWER(KOslave,SIGN(BR405))*POWER(KKslave,SIGN(BS405))+BQ405*POWER(MUslave,SIGN(BL405))*POWER(KLslave_KL,SIGN(BM405))*POWER(INslave,SIGN(BN405))*POWER(CHslave,SIGN(BO405))*POWER(FFslave,SIGN(BP405))*POWER(KOslave,SIGN(BR405))*POWER(KKslave,SIGN(BS405))+BR405*POWER(MUslave,SIGN(BL405))*POWER(KLslave_KL,SIGN(BM405))*POWER(INslave,SIGN(BN405))*POWER(CHslave,SIGN(BO405))*POWER(FFslave,SIGN(BP405))*POWER(GEslave,SIGN(BQ405))*POWER(KKslave,SIGN(BS405))+BS405*POWER(MUslave,SIGN(BL405))*POWER(KLslave_KL,SIGN(BM405))*POWER(INslave,SIGN(BN405))*POWER(CHslave,SIGN(BO405))*POWER(FFslave,SIGN(BP405))*POWER(GEslave,SIGN(BQ405))*POWER(KOslave,SIGN(BR405))</f>
        <v>2432</v>
      </c>
      <c r="BX405" s="234">
        <f>BL405*BM405*CHslave+BL405*KLslave_KL*BO405+MUslave*BM405*BO405</f>
        <v>3408</v>
      </c>
      <c r="BY405" s="224">
        <f>IFERROR(BL405^SIGN(BL405),1)*IFERROR(BM405^SIGN(BM405),1)*IFERROR(BN405^SIGN(BN405),1)*IFERROR(BO405^SIGN(BO405),1)*IFERROR(BP405^SIGN(BP405),1)*IFERROR(BQ405^SIGN(BQ405),1)*IFERROR(BR405^SIGN(BR405),1)*IFERROR(BS405^SIGN(BS405),1)</f>
        <v>1584</v>
      </c>
      <c r="BZ405" s="242">
        <f t="shared" si="4339"/>
        <v>7424</v>
      </c>
      <c r="CA405" s="222">
        <f t="shared" si="4340"/>
        <v>3.8218390804597702</v>
      </c>
      <c r="CB405" s="223">
        <f t="shared" si="4341"/>
        <v>10.711206896551724</v>
      </c>
      <c r="CC405" s="243">
        <f t="shared" si="4342"/>
        <v>7.4676724137931032</v>
      </c>
      <c r="CD405" s="243">
        <f t="shared" si="4343"/>
        <v>22.000718390804597</v>
      </c>
      <c r="CE405" s="252">
        <f t="shared" si="4344"/>
        <v>0</v>
      </c>
      <c r="CF405" s="309">
        <f t="shared" si="4345"/>
        <v>22.000718390804597</v>
      </c>
      <c r="CG405" s="218">
        <f t="shared" si="4346"/>
        <v>154.01436781609189</v>
      </c>
      <c r="CH405" s="242">
        <f t="shared" si="4346"/>
        <v>2</v>
      </c>
      <c r="CI405" s="243">
        <f t="shared" si="4347"/>
        <v>152.01436781609189</v>
      </c>
      <c r="CJ405" s="218">
        <f t="shared" si="4348"/>
        <v>0</v>
      </c>
      <c r="CL405" s="325" t="s">
        <v>237</v>
      </c>
      <c r="CM405" s="218" t="s">
        <v>84</v>
      </c>
      <c r="CN405" s="223" t="s">
        <v>132</v>
      </c>
      <c r="CO405" s="237">
        <f>Konvention_1slave-MUslave</f>
        <v>12</v>
      </c>
      <c r="CP405" s="234">
        <f>Konvention_1slave-KLslave</f>
        <v>12</v>
      </c>
      <c r="CQ405" s="234"/>
      <c r="CR405" s="234">
        <f>Konvention_1slave-CHslave</f>
        <v>12</v>
      </c>
      <c r="CS405" s="234"/>
      <c r="CT405" s="234"/>
      <c r="CU405" s="234"/>
      <c r="CV405" s="224"/>
      <c r="CW405" s="223">
        <f>(CO405+CP405+CQ405+CR405+CS405+CT405+CU405+CV405)/3</f>
        <v>12</v>
      </c>
      <c r="CX405" s="223">
        <f t="shared" si="4349"/>
        <v>24</v>
      </c>
      <c r="CY405" s="234">
        <f t="shared" si="4350"/>
        <v>36</v>
      </c>
      <c r="CZ405" s="237">
        <f>CO405*POWER(KLslave,SIGN(CP405))*POWER(INslave_IN,SIGN(CQ405))*POWER(CHslave,SIGN(CR405))*POWER(FFslave,SIGN(CS405))*POWER(GEslave,SIGN(CT405))*POWER(KOslave,SIGN(CU405))*POWER(KKslave,SIGN(CV405))+CP405*POWER(MUslave,SIGN(CO405))*POWER(INslave_IN,SIGN(CQ405))*POWER(CHslave,SIGN(CR405))*POWER(FFslave,SIGN(CS405))*POWER(GEslave,SIGN(CT405))*POWER(KOslave,SIGN(CU405))*POWER(KKslave,SIGN(CV405))+CQ405*POWER(MUslave,SIGN(CO405))*POWER(KLslave,SIGN(CP405))*POWER(CHslave,SIGN(CR405))*POWER(FFslave,SIGN(CS405))*POWER(GEslave,SIGN(CT405))*POWER(KOslave,SIGN(CU405))*POWER(KKslave,SIGN(CV405))+CR405*POWER(MUslave,SIGN(CO405))*POWER(KLslave,SIGN(CP405))*POWER(INslave_IN,SIGN(CQ405))*POWER(FFslave,SIGN(CS405))*POWER(GEslave,SIGN(CT405))*POWER(KOslave,SIGN(CU405))*POWER(KKslave,SIGN(CV405))+CS405*POWER(MUslave,SIGN(CO405))*POWER(KLslave,SIGN(CP405))*POWER(INslave_IN,SIGN(CQ405))*POWER(CHslave,SIGN(CR405))*POWER(GEslave,SIGN(CT405))*POWER(KOslave,SIGN(CU405))*POWER(KKslave,SIGN(CV405))+CT405*POWER(MUslave,SIGN(CO405))*POWER(KLslave,SIGN(CP405))*POWER(INslave_IN,SIGN(CQ405))*POWER(CHslave,SIGN(CR405))*POWER(FFslave,SIGN(CS405))*POWER(KOslave,SIGN(CU405))*POWER(KKslave,SIGN(CV405))+CU405*POWER(MUslave,SIGN(CO405))*POWER(KLslave,SIGN(CP405))*POWER(INslave_IN,SIGN(CQ405))*POWER(CHslave,SIGN(CR405))*POWER(FFslave,SIGN(CS405))*POWER(GEslave,SIGN(CT405))*POWER(KKslave,SIGN(CV405))+CV405*POWER(MUslave,SIGN(CO405))*POWER(KLslave,SIGN(CP405))*POWER(INslave_IN,SIGN(CQ405))*POWER(CHslave,SIGN(CR405))*POWER(FFslave,SIGN(CS405))*POWER(GEslave,SIGN(CT405))*POWER(KOslave,SIGN(CU405))</f>
        <v>2304</v>
      </c>
      <c r="DA405" s="234">
        <f>CO405*CP405*CHslave+CO405*KLslave*CR405+MUslave*CP405*CR405</f>
        <v>3456</v>
      </c>
      <c r="DB405" s="224">
        <f>IFERROR(CO405^SIGN(CO405),1)*IFERROR(CP405^SIGN(CP405),1)*IFERROR(CQ405^SIGN(CQ405),1)*IFERROR(CR405^SIGN(CR405),1)*IFERROR(CS405^SIGN(CS405),1)*IFERROR(CT405^SIGN(CT405),1)*IFERROR(CU405^SIGN(CU405),1)*IFERROR(CV405^SIGN(CV405),1)</f>
        <v>1728</v>
      </c>
      <c r="DC405" s="242">
        <f t="shared" si="4351"/>
        <v>7488</v>
      </c>
      <c r="DD405" s="222">
        <f t="shared" si="4352"/>
        <v>3.6923076923076925</v>
      </c>
      <c r="DE405" s="223">
        <f t="shared" si="4353"/>
        <v>11.076923076923077</v>
      </c>
      <c r="DF405" s="243">
        <f t="shared" si="4354"/>
        <v>8.3076923076923084</v>
      </c>
      <c r="DG405" s="243">
        <f t="shared" si="4355"/>
        <v>23.07692307692308</v>
      </c>
      <c r="DH405" s="252">
        <f t="shared" si="4356"/>
        <v>0</v>
      </c>
      <c r="DI405" s="309">
        <f t="shared" si="4357"/>
        <v>23.07692307692308</v>
      </c>
      <c r="DJ405" s="218">
        <f t="shared" si="4358"/>
        <v>175.5384615384616</v>
      </c>
      <c r="DK405" s="242">
        <f t="shared" si="4358"/>
        <v>2</v>
      </c>
      <c r="DL405" s="243">
        <f t="shared" si="4359"/>
        <v>173.5384615384616</v>
      </c>
      <c r="DM405" s="218">
        <f t="shared" si="4360"/>
        <v>0</v>
      </c>
      <c r="DO405" s="325" t="s">
        <v>237</v>
      </c>
      <c r="DP405" s="218" t="s">
        <v>84</v>
      </c>
      <c r="DQ405" s="223" t="s">
        <v>132</v>
      </c>
      <c r="DR405" s="237">
        <f>Konvention_1slave-MUslave</f>
        <v>12</v>
      </c>
      <c r="DS405" s="234">
        <f>Konvention_1slave-KLslave</f>
        <v>12</v>
      </c>
      <c r="DT405" s="234"/>
      <c r="DU405" s="234">
        <f>Konvention_1slave-CHslave_CH</f>
        <v>11</v>
      </c>
      <c r="DV405" s="234"/>
      <c r="DW405" s="234"/>
      <c r="DX405" s="234"/>
      <c r="DY405" s="224"/>
      <c r="DZ405" s="223">
        <f>(DR405+DS405+DT405+DU405+DV405+DW405+DX405+DY405)/3</f>
        <v>11.666666666666666</v>
      </c>
      <c r="EA405" s="223">
        <f t="shared" si="4361"/>
        <v>23.333333333333332</v>
      </c>
      <c r="EB405" s="234">
        <f t="shared" si="4362"/>
        <v>35</v>
      </c>
      <c r="EC405" s="237">
        <f>DR405*POWER(KLslave,SIGN(DS405))*POWER(INslave,SIGN(DT405))*POWER(CHslave_CH,SIGN(DU405))*POWER(FFslave,SIGN(DV405))*POWER(GEslave,SIGN(DW405))*POWER(KOslave,SIGN(DX405))*POWER(KKslave,SIGN(DY405))+DS405*POWER(MUslave,SIGN(DR405))*POWER(INslave,SIGN(DT405))*POWER(CHslave_CH,SIGN(DU405))*POWER(FFslave,SIGN(DV405))*POWER(GEslave,SIGN(DW405))*POWER(KOslave,SIGN(DX405))*POWER(KKslave,SIGN(DY405))+DT405*POWER(MUslave,SIGN(DR405))*POWER(KLslave,SIGN(DS405))*POWER(CHslave_CH,SIGN(DU405))*POWER(FFslave,SIGN(DV405))*POWER(GEslave,SIGN(DW405))*POWER(KOslave,SIGN(DX405))*POWER(KKslave,SIGN(DY405))+DU405*POWER(MUslave,SIGN(DR405))*POWER(KLslave,SIGN(DS405))*POWER(INslave,SIGN(DT405))*POWER(FFslave,SIGN(DV405))*POWER(GEslave,SIGN(DW405))*POWER(KOslave,SIGN(DX405))*POWER(KKslave,SIGN(DY405))+DV405*POWER(MUslave,SIGN(DR405))*POWER(KLslave,SIGN(DS405))*POWER(INslave,SIGN(DT405))*POWER(CHslave_CH,SIGN(DU405))*POWER(GEslave,SIGN(DW405))*POWER(KOslave,SIGN(DX405))*POWER(KKslave,SIGN(DY405))+DW405*POWER(MUslave,SIGN(DR405))*POWER(KLslave,SIGN(DS405))*POWER(INslave,SIGN(DT405))*POWER(CHslave_CH,SIGN(DU405))*POWER(FFslave,SIGN(DV405))*POWER(KOslave,SIGN(DX405))*POWER(KKslave,SIGN(DY405))+DX405*POWER(MUslave,SIGN(DR405))*POWER(KLslave,SIGN(DS405))*POWER(INslave,SIGN(DT405))*POWER(CHslave_CH,SIGN(DU405))*POWER(FFslave,SIGN(DV405))*POWER(GEslave,SIGN(DW405))*POWER(KKslave,SIGN(DY405))+DY405*POWER(MUslave,SIGN(DR405))*POWER(KLslave,SIGN(DS405))*POWER(INslave,SIGN(DT405))*POWER(CHslave_CH,SIGN(DU405))*POWER(FFslave,SIGN(DV405))*POWER(GEslave,SIGN(DW405))*POWER(KOslave,SIGN(DX405))</f>
        <v>2432</v>
      </c>
      <c r="ED405" s="234">
        <f>DR405*DS405*CHslave_CH+DR405*KLslave*DU405+MUslave*DS405*DU405</f>
        <v>3408</v>
      </c>
      <c r="EE405" s="224">
        <f>IFERROR(DR405^SIGN(DR405),1)*IFERROR(DS405^SIGN(DS405),1)*IFERROR(DT405^SIGN(DT405),1)*IFERROR(DU405^SIGN(DU405),1)*IFERROR(DV405^SIGN(DV405),1)*IFERROR(DW405^SIGN(DW405),1)*IFERROR(DX405^SIGN(DX405),1)*IFERROR(DY405^SIGN(DY405),1)</f>
        <v>1584</v>
      </c>
      <c r="EF405" s="242">
        <f t="shared" si="4363"/>
        <v>7424</v>
      </c>
      <c r="EG405" s="222">
        <f t="shared" si="4364"/>
        <v>3.8218390804597702</v>
      </c>
      <c r="EH405" s="223">
        <f t="shared" si="4365"/>
        <v>10.711206896551724</v>
      </c>
      <c r="EI405" s="243">
        <f t="shared" si="4366"/>
        <v>7.4676724137931032</v>
      </c>
      <c r="EJ405" s="243">
        <f t="shared" si="4367"/>
        <v>22.000718390804597</v>
      </c>
      <c r="EK405" s="252">
        <f t="shared" si="4368"/>
        <v>0</v>
      </c>
      <c r="EL405" s="309">
        <f t="shared" si="4369"/>
        <v>22.000718390804597</v>
      </c>
      <c r="EM405" s="218">
        <f t="shared" si="4370"/>
        <v>154.01436781609189</v>
      </c>
      <c r="EN405" s="242">
        <f t="shared" si="4370"/>
        <v>2</v>
      </c>
      <c r="EO405" s="243">
        <f t="shared" si="4371"/>
        <v>152.01436781609189</v>
      </c>
      <c r="EP405" s="218">
        <f t="shared" si="4372"/>
        <v>0</v>
      </c>
      <c r="ER405" s="325" t="s">
        <v>237</v>
      </c>
      <c r="ES405" s="218" t="s">
        <v>84</v>
      </c>
      <c r="ET405" s="223" t="s">
        <v>132</v>
      </c>
      <c r="EU405" s="237">
        <f>Konvention_1slave-MUslave</f>
        <v>12</v>
      </c>
      <c r="EV405" s="234">
        <f>Konvention_1slave-KLslave</f>
        <v>12</v>
      </c>
      <c r="EW405" s="234"/>
      <c r="EX405" s="234">
        <f>Konvention_1slave-CHslave</f>
        <v>12</v>
      </c>
      <c r="EY405" s="234"/>
      <c r="EZ405" s="234"/>
      <c r="FA405" s="234"/>
      <c r="FB405" s="224"/>
      <c r="FC405" s="223">
        <f>(EU405+EV405+EW405+EX405+EY405+EZ405+FA405+FB405)/3</f>
        <v>12</v>
      </c>
      <c r="FD405" s="223">
        <f t="shared" si="4373"/>
        <v>24</v>
      </c>
      <c r="FE405" s="234">
        <f t="shared" si="4374"/>
        <v>36</v>
      </c>
      <c r="FF405" s="237">
        <f>EU405*POWER(KLslave,SIGN(EV405))*POWER(INslave,SIGN(EW405))*POWER(CHslave,SIGN(EX405))*POWER(FFslave_FF,SIGN(EY405))*POWER(GEslave,SIGN(EZ405))*POWER(KOslave,SIGN(FA405))*POWER(KKslave,SIGN(FB405))+EV405*POWER(MUslave,SIGN(EU405))*POWER(INslave,SIGN(EW405))*POWER(CHslave,SIGN(EX405))*POWER(FFslave_FF,SIGN(EY405))*POWER(GEslave,SIGN(EZ405))*POWER(KOslave,SIGN(FA405))*POWER(KKslave,SIGN(FB405))+EW405*POWER(MUslave,SIGN(EU405))*POWER(KLslave,SIGN(EV405))*POWER(CHslave,SIGN(EX405))*POWER(FFslave_FF,SIGN(EY405))*POWER(GEslave,SIGN(EZ405))*POWER(KOslave,SIGN(FA405))*POWER(KKslave,SIGN(FB405))+EX405*POWER(MUslave,SIGN(EU405))*POWER(KLslave,SIGN(EV405))*POWER(INslave,SIGN(EW405))*POWER(FFslave_FF,SIGN(EY405))*POWER(GEslave,SIGN(EZ405))*POWER(KOslave,SIGN(FA405))*POWER(KKslave,SIGN(FB405))+EY405*POWER(MUslave,SIGN(EU405))*POWER(KLslave,SIGN(EV405))*POWER(INslave,SIGN(EW405))*POWER(CHslave,SIGN(EX405))*POWER(GEslave,SIGN(EZ405))*POWER(KOslave,SIGN(FA405))*POWER(KKslave,SIGN(FB405))+EZ405*POWER(MUslave,SIGN(EU405))*POWER(KLslave,SIGN(EV405))*POWER(INslave,SIGN(EW405))*POWER(CHslave,SIGN(EX405))*POWER(FFslave_FF,SIGN(EY405))*POWER(KOslave,SIGN(FA405))*POWER(KKslave,SIGN(FB405))+FA405*POWER(MUslave,SIGN(EU405))*POWER(KLslave,SIGN(EV405))*POWER(INslave,SIGN(EW405))*POWER(CHslave,SIGN(EX405))*POWER(FFslave_FF,SIGN(EY405))*POWER(GEslave,SIGN(EZ405))*POWER(KKslave,SIGN(FB405))+FB405*POWER(MUslave,SIGN(EU405))*POWER(KLslave,SIGN(EV405))*POWER(INslave,SIGN(EW405))*POWER(CHslave,SIGN(EX405))*POWER(FFslave_FF,SIGN(EY405))*POWER(GEslave,SIGN(EZ405))*POWER(KOslave,SIGN(FA405))</f>
        <v>2304</v>
      </c>
      <c r="FG405" s="234">
        <f>EU405*EV405*CHslave+EU405*KLslave*EX405+MUslave*EV405*EX405</f>
        <v>3456</v>
      </c>
      <c r="FH405" s="224">
        <f>IFERROR(EU405^SIGN(EU405),1)*IFERROR(EV405^SIGN(EV405),1)*IFERROR(EW405^SIGN(EW405),1)*IFERROR(EX405^SIGN(EX405),1)*IFERROR(EY405^SIGN(EY405),1)*IFERROR(EZ405^SIGN(EZ405),1)*IFERROR(FA405^SIGN(FA405),1)*IFERROR(FB405^SIGN(FB405),1)</f>
        <v>1728</v>
      </c>
      <c r="FI405" s="242">
        <f t="shared" si="4375"/>
        <v>7488</v>
      </c>
      <c r="FJ405" s="222">
        <f t="shared" si="4376"/>
        <v>3.6923076923076925</v>
      </c>
      <c r="FK405" s="223">
        <f t="shared" si="4377"/>
        <v>11.076923076923077</v>
      </c>
      <c r="FL405" s="243">
        <f t="shared" si="4378"/>
        <v>8.3076923076923084</v>
      </c>
      <c r="FM405" s="243">
        <f t="shared" si="4379"/>
        <v>23.07692307692308</v>
      </c>
      <c r="FN405" s="252">
        <f t="shared" si="4380"/>
        <v>0</v>
      </c>
      <c r="FO405" s="309">
        <f t="shared" si="4381"/>
        <v>23.07692307692308</v>
      </c>
      <c r="FP405" s="218">
        <f t="shared" si="4382"/>
        <v>175.5384615384616</v>
      </c>
      <c r="FQ405" s="242">
        <f t="shared" si="4382"/>
        <v>2</v>
      </c>
      <c r="FR405" s="243">
        <f t="shared" si="4383"/>
        <v>173.5384615384616</v>
      </c>
      <c r="FS405" s="218">
        <f t="shared" si="4384"/>
        <v>0</v>
      </c>
      <c r="FU405" s="325" t="s">
        <v>237</v>
      </c>
      <c r="FV405" s="218" t="s">
        <v>84</v>
      </c>
      <c r="FW405" s="223" t="s">
        <v>132</v>
      </c>
      <c r="FX405" s="237">
        <f>Konvention_1slave-MUslave</f>
        <v>12</v>
      </c>
      <c r="FY405" s="234">
        <f>Konvention_1slave-KLslave</f>
        <v>12</v>
      </c>
      <c r="FZ405" s="234"/>
      <c r="GA405" s="234">
        <f>Konvention_1slave-CHslave</f>
        <v>12</v>
      </c>
      <c r="GB405" s="234"/>
      <c r="GC405" s="234"/>
      <c r="GD405" s="234"/>
      <c r="GE405" s="224"/>
      <c r="GF405" s="223">
        <f>(FX405+FY405+FZ405+GA405+GB405+GC405+GD405+GE405)/3</f>
        <v>12</v>
      </c>
      <c r="GG405" s="223">
        <f t="shared" si="4385"/>
        <v>24</v>
      </c>
      <c r="GH405" s="234">
        <f t="shared" si="4386"/>
        <v>36</v>
      </c>
      <c r="GI405" s="237">
        <f>FX405*POWER(KLslave,SIGN(FY405))*POWER(INslave,SIGN(FZ405))*POWER(CHslave,SIGN(GA405))*POWER(FFslave,SIGN(GB405))*POWER(GEslave_GE,SIGN(GC405))*POWER(KOslave,SIGN(GD405))*POWER(KKslave,SIGN(GE405))+FY405*POWER(MUslave,SIGN(FX405))*POWER(INslave,SIGN(FZ405))*POWER(CHslave,SIGN(GA405))*POWER(FFslave,SIGN(GB405))*POWER(GEslave_GE,SIGN(GC405))*POWER(KOslave,SIGN(GD405))*POWER(KKslave,SIGN(GE405))+FZ405*POWER(MUslave,SIGN(FX405))*POWER(KLslave,SIGN(FY405))*POWER(CHslave,SIGN(GA405))*POWER(FFslave,SIGN(GB405))*POWER(GEslave_GE,SIGN(GC405))*POWER(KOslave,SIGN(GD405))*POWER(KKslave,SIGN(GE405))+GA405*POWER(MUslave,SIGN(FX405))*POWER(KLslave,SIGN(FY405))*POWER(INslave,SIGN(FZ405))*POWER(FFslave,SIGN(GB405))*POWER(GEslave_GE,SIGN(GC405))*POWER(KOslave,SIGN(GD405))*POWER(KKslave,SIGN(GE405))+GB405*POWER(MUslave,SIGN(FX405))*POWER(KLslave,SIGN(FY405))*POWER(INslave,SIGN(FZ405))*POWER(CHslave,SIGN(GA405))*POWER(GEslave_GE,SIGN(GC405))*POWER(KOslave,SIGN(GD405))*POWER(KKslave,SIGN(GE405))+GC405*POWER(MUslave,SIGN(FX405))*POWER(KLslave,SIGN(FY405))*POWER(INslave,SIGN(FZ405))*POWER(CHslave,SIGN(GA405))*POWER(FFslave,SIGN(GB405))*POWER(KOslave,SIGN(GD405))*POWER(KKslave,SIGN(GE405))+GD405*POWER(MUslave,SIGN(FX405))*POWER(KLslave,SIGN(FY405))*POWER(INslave,SIGN(FZ405))*POWER(CHslave,SIGN(GA405))*POWER(FFslave,SIGN(GB405))*POWER(GEslave_GE,SIGN(GC405))*POWER(KKslave,SIGN(GE405))+GE405*POWER(MUslave,SIGN(FX405))*POWER(KLslave,SIGN(FY405))*POWER(INslave,SIGN(FZ405))*POWER(CHslave,SIGN(GA405))*POWER(FFslave,SIGN(GB405))*POWER(GEslave_GE,SIGN(GC405))*POWER(KOslave,SIGN(GD405))</f>
        <v>2304</v>
      </c>
      <c r="GJ405" s="234">
        <f>FX405*FY405*CHslave+FX405*KLslave*GA405+MUslave*FY405*GA405</f>
        <v>3456</v>
      </c>
      <c r="GK405" s="224">
        <f>IFERROR(FX405^SIGN(FX405),1)*IFERROR(FY405^SIGN(FY405),1)*IFERROR(FZ405^SIGN(FZ405),1)*IFERROR(GA405^SIGN(GA405),1)*IFERROR(GB405^SIGN(GB405),1)*IFERROR(GC405^SIGN(GC405),1)*IFERROR(GD405^SIGN(GD405),1)*IFERROR(GE405^SIGN(GE405),1)</f>
        <v>1728</v>
      </c>
      <c r="GL405" s="242">
        <f t="shared" si="4387"/>
        <v>7488</v>
      </c>
      <c r="GM405" s="222">
        <f t="shared" si="4388"/>
        <v>3.6923076923076925</v>
      </c>
      <c r="GN405" s="223">
        <f t="shared" si="4389"/>
        <v>11.076923076923077</v>
      </c>
      <c r="GO405" s="243">
        <f t="shared" si="4390"/>
        <v>8.3076923076923084</v>
      </c>
      <c r="GP405" s="243">
        <f t="shared" si="4391"/>
        <v>23.07692307692308</v>
      </c>
      <c r="GQ405" s="252">
        <f t="shared" si="4392"/>
        <v>0</v>
      </c>
      <c r="GR405" s="309">
        <f t="shared" si="4393"/>
        <v>23.07692307692308</v>
      </c>
      <c r="GS405" s="218">
        <f t="shared" si="4394"/>
        <v>175.5384615384616</v>
      </c>
      <c r="GT405" s="242">
        <f t="shared" si="4394"/>
        <v>2</v>
      </c>
      <c r="GU405" s="243">
        <f t="shared" si="4395"/>
        <v>173.5384615384616</v>
      </c>
      <c r="GV405" s="218">
        <f t="shared" si="4396"/>
        <v>0</v>
      </c>
      <c r="GX405" s="325" t="s">
        <v>237</v>
      </c>
      <c r="GY405" s="218" t="s">
        <v>84</v>
      </c>
      <c r="GZ405" s="223" t="s">
        <v>132</v>
      </c>
      <c r="HA405" s="237">
        <f>Konvention_1slave-MUslave</f>
        <v>12</v>
      </c>
      <c r="HB405" s="234">
        <f>Konvention_1slave-KLslave</f>
        <v>12</v>
      </c>
      <c r="HC405" s="234"/>
      <c r="HD405" s="234">
        <f>Konvention_1slave-CHslave</f>
        <v>12</v>
      </c>
      <c r="HE405" s="234"/>
      <c r="HF405" s="234"/>
      <c r="HG405" s="234"/>
      <c r="HH405" s="224"/>
      <c r="HI405" s="223">
        <f>(HA405+HB405+HC405+HD405+HE405+HF405+HG405+HH405)/3</f>
        <v>12</v>
      </c>
      <c r="HJ405" s="223">
        <f t="shared" si="4397"/>
        <v>24</v>
      </c>
      <c r="HK405" s="234">
        <f t="shared" si="4398"/>
        <v>36</v>
      </c>
      <c r="HL405" s="237">
        <f>HA405*POWER(KLslave,SIGN(HB405))*POWER(INslave,SIGN(HC405))*POWER(CHslave,SIGN(HD405))*POWER(FFslave,SIGN(HE405))*POWER(GEslave,SIGN(HF405))*POWER(KOslave_KO,SIGN(HG405))*POWER(KKslave,SIGN(HH405))+HB405*POWER(MUslave,SIGN(HA405))*POWER(INslave,SIGN(HC405))*POWER(CHslave,SIGN(HD405))*POWER(FFslave,SIGN(HE405))*POWER(GEslave,SIGN(HF405))*POWER(KOslave_KO,SIGN(HG405))*POWER(KKslave,SIGN(HH405))+HC405*POWER(MUslave,SIGN(HA405))*POWER(KLslave,SIGN(HB405))*POWER(CHslave,SIGN(HD405))*POWER(FFslave,SIGN(HE405))*POWER(GEslave,SIGN(HF405))*POWER(KOslave_KO,SIGN(HG405))*POWER(KKslave,SIGN(HH405))+HD405*POWER(MUslave,SIGN(HA405))*POWER(KLslave,SIGN(HB405))*POWER(INslave,SIGN(HC405))*POWER(FFslave,SIGN(HE405))*POWER(GEslave,SIGN(HF405))*POWER(KOslave_KO,SIGN(HG405))*POWER(KKslave,SIGN(HH405))+HE405*POWER(MUslave,SIGN(HA405))*POWER(KLslave,SIGN(HB405))*POWER(INslave,SIGN(HC405))*POWER(CHslave,SIGN(HD405))*POWER(GEslave,SIGN(HF405))*POWER(KOslave_KO,SIGN(HG405))*POWER(KKslave,SIGN(HH405))+HF405*POWER(MUslave,SIGN(HA405))*POWER(KLslave,SIGN(HB405))*POWER(INslave,SIGN(HC405))*POWER(CHslave,SIGN(HD405))*POWER(FFslave,SIGN(HE405))*POWER(KOslave_KO,SIGN(HG405))*POWER(KKslave,SIGN(HH405))+HG405*POWER(MUslave,SIGN(HA405))*POWER(KLslave,SIGN(HB405))*POWER(INslave,SIGN(HC405))*POWER(CHslave,SIGN(HD405))*POWER(FFslave,SIGN(HE405))*POWER(GEslave,SIGN(HF405))*POWER(KKslave,SIGN(HH405))+HH405*POWER(MUslave,SIGN(HA405))*POWER(KLslave,SIGN(HB405))*POWER(INslave,SIGN(HC405))*POWER(CHslave,SIGN(HD405))*POWER(FFslave,SIGN(HE405))*POWER(GEslave,SIGN(HF405))*POWER(KOslave_KO,SIGN(HG405))</f>
        <v>2304</v>
      </c>
      <c r="HM405" s="234">
        <f>HA405*HB405*CHslave+HA405*KLslave*HD405+MUslave*HB405*HD405</f>
        <v>3456</v>
      </c>
      <c r="HN405" s="224">
        <f>IFERROR(HA405^SIGN(HA405),1)*IFERROR(HB405^SIGN(HB405),1)*IFERROR(HC405^SIGN(HC405),1)*IFERROR(HD405^SIGN(HD405),1)*IFERROR(HE405^SIGN(HE405),1)*IFERROR(HF405^SIGN(HF405),1)*IFERROR(HG405^SIGN(HG405),1)*IFERROR(HH405^SIGN(HH405),1)</f>
        <v>1728</v>
      </c>
      <c r="HO405" s="242">
        <f t="shared" si="4399"/>
        <v>7488</v>
      </c>
      <c r="HP405" s="222">
        <f t="shared" si="4400"/>
        <v>3.6923076923076925</v>
      </c>
      <c r="HQ405" s="223">
        <f t="shared" si="4401"/>
        <v>11.076923076923077</v>
      </c>
      <c r="HR405" s="243">
        <f t="shared" si="4402"/>
        <v>8.3076923076923084</v>
      </c>
      <c r="HS405" s="243">
        <f t="shared" si="4403"/>
        <v>23.07692307692308</v>
      </c>
      <c r="HT405" s="252">
        <f t="shared" si="4404"/>
        <v>0</v>
      </c>
      <c r="HU405" s="309">
        <f t="shared" si="4405"/>
        <v>23.07692307692308</v>
      </c>
      <c r="HV405" s="218">
        <f t="shared" si="4406"/>
        <v>175.5384615384616</v>
      </c>
      <c r="HW405" s="242">
        <f t="shared" si="4406"/>
        <v>2</v>
      </c>
      <c r="HX405" s="243">
        <f t="shared" si="4407"/>
        <v>173.5384615384616</v>
      </c>
      <c r="HY405" s="218">
        <f t="shared" si="4408"/>
        <v>0</v>
      </c>
      <c r="IA405" s="325" t="s">
        <v>237</v>
      </c>
      <c r="IB405" s="218" t="s">
        <v>84</v>
      </c>
      <c r="IC405" s="223" t="s">
        <v>132</v>
      </c>
      <c r="ID405" s="237">
        <f>Konvention_1slave-MUslave</f>
        <v>12</v>
      </c>
      <c r="IE405" s="234">
        <f>Konvention_1slave-KLslave</f>
        <v>12</v>
      </c>
      <c r="IF405" s="234"/>
      <c r="IG405" s="234">
        <f>Konvention_1slave-CHslave</f>
        <v>12</v>
      </c>
      <c r="IH405" s="234"/>
      <c r="II405" s="234"/>
      <c r="IJ405" s="234"/>
      <c r="IK405" s="224"/>
      <c r="IL405" s="223">
        <f>(ID405+IE405+IF405+IG405+IH405+II405+IJ405+IK405)/3</f>
        <v>12</v>
      </c>
      <c r="IM405" s="223">
        <f t="shared" si="4409"/>
        <v>24</v>
      </c>
      <c r="IN405" s="234">
        <f t="shared" si="4410"/>
        <v>36</v>
      </c>
      <c r="IO405" s="237">
        <f>ID405*POWER(KLslave,SIGN(IE405))*POWER(INslave,SIGN(IF405))*POWER(CHslave,SIGN(IG405))*POWER(FFslave,SIGN(IH405))*POWER(GEslave,SIGN(II405))*POWER(KOslave,SIGN(IJ405))*POWER(KKslave_KK,SIGN(IK405))+IE405*POWER(MUslave,SIGN(ID405))*POWER(INslave,SIGN(IF405))*POWER(CHslave,SIGN(IG405))*POWER(FFslave,SIGN(IH405))*POWER(GEslave,SIGN(II405))*POWER(KOslave,SIGN(IJ405))*POWER(KKslave_KK,SIGN(IK405))+IF405*POWER(MUslave,SIGN(ID405))*POWER(KLslave,SIGN(IE405))*POWER(CHslave,SIGN(IG405))*POWER(FFslave,SIGN(IH405))*POWER(GEslave,SIGN(II405))*POWER(KOslave,SIGN(IJ405))*POWER(KKslave_KK,SIGN(IK405))+IG405*POWER(MUslave,SIGN(ID405))*POWER(KLslave,SIGN(IE405))*POWER(INslave,SIGN(IF405))*POWER(FFslave,SIGN(IH405))*POWER(GEslave,SIGN(II405))*POWER(KOslave,SIGN(IJ405))*POWER(KKslave_KK,SIGN(IK405))+IH405*POWER(MUslave,SIGN(ID405))*POWER(KLslave,SIGN(IE405))*POWER(INslave,SIGN(IF405))*POWER(CHslave,SIGN(IG405))*POWER(GEslave,SIGN(II405))*POWER(KOslave,SIGN(IJ405))*POWER(KKslave_KK,SIGN(IK405))+II405*POWER(MUslave,SIGN(ID405))*POWER(KLslave,SIGN(IE405))*POWER(INslave,SIGN(IF405))*POWER(CHslave,SIGN(IG405))*POWER(FFslave,SIGN(IH405))*POWER(KOslave,SIGN(IJ405))*POWER(KKslave_KK,SIGN(IK405))+IJ405*POWER(MUslave,SIGN(ID405))*POWER(KLslave,SIGN(IE405))*POWER(INslave,SIGN(IF405))*POWER(CHslave,SIGN(IG405))*POWER(FFslave,SIGN(IH405))*POWER(GEslave,SIGN(II405))*POWER(KKslave_KK,SIGN(IK405))+IK405*POWER(MUslave,SIGN(ID405))*POWER(KLslave,SIGN(IE405))*POWER(INslave,SIGN(IF405))*POWER(CHslave,SIGN(IG405))*POWER(FFslave,SIGN(IH405))*POWER(GEslave,SIGN(II405))*POWER(KOslave,SIGN(IJ405))</f>
        <v>2304</v>
      </c>
      <c r="IP405" s="234">
        <f>ID405*IE405*CHslave+ID405*KLslave*IG405+MUslave*IE405*IG405</f>
        <v>3456</v>
      </c>
      <c r="IQ405" s="224">
        <f>IFERROR(ID405^SIGN(ID405),1)*IFERROR(IE405^SIGN(IE405),1)*IFERROR(IF405^SIGN(IF405),1)*IFERROR(IG405^SIGN(IG405),1)*IFERROR(IH405^SIGN(IH405),1)*IFERROR(II405^SIGN(II405),1)*IFERROR(IJ405^SIGN(IJ405),1)*IFERROR(IK405^SIGN(IK405),1)</f>
        <v>1728</v>
      </c>
      <c r="IR405" s="242">
        <f t="shared" si="4411"/>
        <v>7488</v>
      </c>
      <c r="IS405" s="222">
        <f t="shared" si="4412"/>
        <v>3.6923076923076925</v>
      </c>
      <c r="IT405" s="223">
        <f t="shared" si="4413"/>
        <v>11.076923076923077</v>
      </c>
      <c r="IU405" s="243">
        <f t="shared" si="4414"/>
        <v>8.3076923076923084</v>
      </c>
      <c r="IV405" s="243">
        <f t="shared" si="4415"/>
        <v>23.07692307692308</v>
      </c>
      <c r="IW405" s="252">
        <f t="shared" si="4416"/>
        <v>0</v>
      </c>
      <c r="IX405" s="309">
        <f t="shared" si="4417"/>
        <v>23.07692307692308</v>
      </c>
      <c r="IY405" s="218">
        <f t="shared" si="4418"/>
        <v>175.5384615384616</v>
      </c>
      <c r="IZ405" s="242">
        <f t="shared" si="4418"/>
        <v>2</v>
      </c>
      <c r="JA405" s="243">
        <f t="shared" si="4419"/>
        <v>173.5384615384616</v>
      </c>
      <c r="JB405" s="218">
        <f t="shared" si="4420"/>
        <v>0</v>
      </c>
      <c r="JE405" s="148"/>
    </row>
    <row r="406" spans="2:265" ht="15" hidden="1" customHeight="1" outlineLevel="2">
      <c r="B406" s="148">
        <v>3</v>
      </c>
      <c r="C406" s="325" t="e">
        <f>VLOOKUP(AF406,Attribute!C:T,1,FALSE)</f>
        <v>#N/A</v>
      </c>
      <c r="D406" s="86" t="s">
        <v>92</v>
      </c>
      <c r="E406" s="47" t="s">
        <v>132</v>
      </c>
      <c r="F406" s="114">
        <f>Konvention_1master-MUmaster</f>
        <v>12</v>
      </c>
      <c r="G406" s="113"/>
      <c r="H406" s="113"/>
      <c r="I406" s="113">
        <f>Konvention_1master-CHmaster</f>
        <v>12</v>
      </c>
      <c r="J406" s="113"/>
      <c r="K406" s="113"/>
      <c r="L406" s="113"/>
      <c r="M406" s="119"/>
      <c r="N406" s="223">
        <f>(F406+F406+I406)/3</f>
        <v>12</v>
      </c>
      <c r="O406" s="223">
        <f t="shared" si="4314"/>
        <v>24</v>
      </c>
      <c r="P406" s="234">
        <f t="shared" si="4315"/>
        <v>36</v>
      </c>
      <c r="Q406" s="237">
        <f>F406*POWER(CHmaster,SIGN(I406))*POWER(MUmaster,SIGN(F406))+F406*POWER(CHmaster,SIGN(I406))*POWER(MUmaster,SIGN(F406))+I406*POWER(MUmaster,SIGN(F406))*POWER(MUmaster,SIGN(F406))</f>
        <v>2304</v>
      </c>
      <c r="R406" s="113">
        <f>F406*F406*CHmaster+F406*MUmaster*I406+MUmaster*F406*I406</f>
        <v>3456</v>
      </c>
      <c r="S406" s="224">
        <f>F406*F406*I406</f>
        <v>1728</v>
      </c>
      <c r="T406" s="242">
        <f t="shared" si="4316"/>
        <v>7488</v>
      </c>
      <c r="U406" s="222">
        <f t="shared" si="4317"/>
        <v>3.6923076923076925</v>
      </c>
      <c r="V406" s="223">
        <f t="shared" si="4318"/>
        <v>11.076923076923077</v>
      </c>
      <c r="W406" s="243">
        <f t="shared" si="4319"/>
        <v>8.3076923076923084</v>
      </c>
      <c r="X406" s="243">
        <f t="shared" si="4320"/>
        <v>23.07692307692308</v>
      </c>
      <c r="Y406" s="252">
        <v>0</v>
      </c>
      <c r="Z406" s="198">
        <f t="shared" si="4321"/>
        <v>23.07692307692308</v>
      </c>
      <c r="AA406" s="125">
        <f t="shared" si="4322"/>
        <v>175.5384615384616</v>
      </c>
      <c r="AB406" s="160">
        <f t="shared" si="4322"/>
        <v>2</v>
      </c>
      <c r="AC406" s="127">
        <f t="shared" si="4323"/>
        <v>173.5384615384616</v>
      </c>
      <c r="AD406" s="125">
        <f t="shared" si="4324"/>
        <v>0</v>
      </c>
      <c r="AF406" s="177" t="s">
        <v>248</v>
      </c>
      <c r="AG406" s="125" t="s">
        <v>92</v>
      </c>
      <c r="AH406" s="47" t="s">
        <v>132</v>
      </c>
      <c r="AI406" s="114">
        <f>Konvention_1slave-MUslave_MU</f>
        <v>11</v>
      </c>
      <c r="AJ406" s="113"/>
      <c r="AK406" s="113"/>
      <c r="AL406" s="113">
        <f>Konvention_1slave-CHslave</f>
        <v>12</v>
      </c>
      <c r="AM406" s="113"/>
      <c r="AN406" s="113"/>
      <c r="AO406" s="113"/>
      <c r="AP406" s="119"/>
      <c r="AQ406" s="47">
        <f>(AI406+AI406+AL406)/3</f>
        <v>11.333333333333334</v>
      </c>
      <c r="AR406" s="47">
        <f t="shared" si="4325"/>
        <v>22.666666666666668</v>
      </c>
      <c r="AS406" s="113">
        <f t="shared" si="4326"/>
        <v>34</v>
      </c>
      <c r="AT406" s="114">
        <f>AI406*POWER(CHslave,SIGN(AL406))*POWER(MUslave_MU,SIGN(AI406))+AI406*POWER(CHslave,SIGN(AL406))*POWER(MUslave_MU,SIGN(AI406))+AL406*POWER(MUslave_MU,SIGN(AI406))*POWER(MUslave_MU,SIGN(AI406))</f>
        <v>2556</v>
      </c>
      <c r="AU406" s="113">
        <f>AI406*AI406*CHslave+AI406*MUslave_MU*AL406+MUslave_MU*AI406*AL406</f>
        <v>3344</v>
      </c>
      <c r="AV406" s="119">
        <f>AI406*AI406*AL406</f>
        <v>1452</v>
      </c>
      <c r="AW406" s="160">
        <f t="shared" si="4327"/>
        <v>7352</v>
      </c>
      <c r="AX406" s="89">
        <f t="shared" si="4328"/>
        <v>3.940152339499456</v>
      </c>
      <c r="AY406" s="47">
        <f t="shared" si="4329"/>
        <v>10.309756982227059</v>
      </c>
      <c r="AZ406" s="127">
        <f t="shared" si="4330"/>
        <v>6.714907508161045</v>
      </c>
      <c r="BA406" s="127">
        <f t="shared" si="4331"/>
        <v>20.96481682988756</v>
      </c>
      <c r="BB406" s="165">
        <f t="shared" si="4332"/>
        <v>0</v>
      </c>
      <c r="BC406" s="198">
        <f t="shared" si="4333"/>
        <v>20.96481682988756</v>
      </c>
      <c r="BD406" s="125">
        <f t="shared" si="4334"/>
        <v>133.29633659775118</v>
      </c>
      <c r="BE406" s="160">
        <f t="shared" si="4334"/>
        <v>2</v>
      </c>
      <c r="BF406" s="243">
        <f t="shared" si="4335"/>
        <v>131.29633659775118</v>
      </c>
      <c r="BG406" s="218">
        <f t="shared" si="4336"/>
        <v>0</v>
      </c>
      <c r="BI406" s="325" t="s">
        <v>248</v>
      </c>
      <c r="BJ406" s="218" t="s">
        <v>92</v>
      </c>
      <c r="BK406" s="223" t="s">
        <v>132</v>
      </c>
      <c r="BL406" s="237">
        <f>Konvention_1slave-MUslave</f>
        <v>12</v>
      </c>
      <c r="BM406" s="234"/>
      <c r="BN406" s="234"/>
      <c r="BO406" s="234">
        <f>Konvention_1slave-CHslave</f>
        <v>12</v>
      </c>
      <c r="BP406" s="234"/>
      <c r="BQ406" s="234"/>
      <c r="BR406" s="234"/>
      <c r="BS406" s="224"/>
      <c r="BT406" s="223">
        <f>(BL406+BL406+BO406)/3</f>
        <v>12</v>
      </c>
      <c r="BU406" s="223">
        <f t="shared" si="4337"/>
        <v>24</v>
      </c>
      <c r="BV406" s="234">
        <f t="shared" si="4338"/>
        <v>36</v>
      </c>
      <c r="BW406" s="237">
        <f>BL406*POWER(CHslave,SIGN(BO406))*POWER(MUslave,SIGN(BL406))+BL406*POWER(CHslave,SIGN(BO406))*POWER(MUslave,SIGN(BL406))+BO406*POWER(MUslave,SIGN(BL406))*POWER(MUslave,SIGN(BL406))</f>
        <v>2304</v>
      </c>
      <c r="BX406" s="234">
        <f>BL406*BL406*CHslave+BL406*MUslave*BO406+MUslave*BL406*BO406</f>
        <v>3456</v>
      </c>
      <c r="BY406" s="224">
        <f>BL406*BL406*BO406</f>
        <v>1728</v>
      </c>
      <c r="BZ406" s="242">
        <f t="shared" si="4339"/>
        <v>7488</v>
      </c>
      <c r="CA406" s="222">
        <f t="shared" si="4340"/>
        <v>3.6923076923076925</v>
      </c>
      <c r="CB406" s="223">
        <f t="shared" si="4341"/>
        <v>11.076923076923077</v>
      </c>
      <c r="CC406" s="243">
        <f t="shared" si="4342"/>
        <v>8.3076923076923084</v>
      </c>
      <c r="CD406" s="243">
        <f t="shared" si="4343"/>
        <v>23.07692307692308</v>
      </c>
      <c r="CE406" s="252">
        <f t="shared" si="4344"/>
        <v>0</v>
      </c>
      <c r="CF406" s="309">
        <f t="shared" si="4345"/>
        <v>23.07692307692308</v>
      </c>
      <c r="CG406" s="218">
        <f t="shared" si="4346"/>
        <v>175.5384615384616</v>
      </c>
      <c r="CH406" s="242">
        <f t="shared" si="4346"/>
        <v>2</v>
      </c>
      <c r="CI406" s="243">
        <f t="shared" si="4347"/>
        <v>173.5384615384616</v>
      </c>
      <c r="CJ406" s="218">
        <f t="shared" si="4348"/>
        <v>0</v>
      </c>
      <c r="CL406" s="325" t="s">
        <v>248</v>
      </c>
      <c r="CM406" s="218" t="s">
        <v>92</v>
      </c>
      <c r="CN406" s="223" t="s">
        <v>132</v>
      </c>
      <c r="CO406" s="237">
        <f>Konvention_1slave-MUslave</f>
        <v>12</v>
      </c>
      <c r="CP406" s="234"/>
      <c r="CQ406" s="234"/>
      <c r="CR406" s="234">
        <f>Konvention_1slave-CHslave</f>
        <v>12</v>
      </c>
      <c r="CS406" s="234"/>
      <c r="CT406" s="234"/>
      <c r="CU406" s="234"/>
      <c r="CV406" s="224"/>
      <c r="CW406" s="223">
        <f>(CO406+CO406+CR406)/3</f>
        <v>12</v>
      </c>
      <c r="CX406" s="223">
        <f t="shared" si="4349"/>
        <v>24</v>
      </c>
      <c r="CY406" s="234">
        <f t="shared" si="4350"/>
        <v>36</v>
      </c>
      <c r="CZ406" s="237">
        <f>CO406*POWER(CHslave,SIGN(CR406))*POWER(MUslave,SIGN(CO406))+CO406*POWER(CHslave,SIGN(CR406))*POWER(MUslave,SIGN(CO406))+CR406*POWER(MUslave,SIGN(CO406))*POWER(MUslave,SIGN(CO406))</f>
        <v>2304</v>
      </c>
      <c r="DA406" s="234">
        <f>CO406*CO406*CHslave+CO406*MUslave*CR406+MUslave*CO406*CR406</f>
        <v>3456</v>
      </c>
      <c r="DB406" s="224">
        <f>CO406*CO406*CR406</f>
        <v>1728</v>
      </c>
      <c r="DC406" s="242">
        <f t="shared" si="4351"/>
        <v>7488</v>
      </c>
      <c r="DD406" s="222">
        <f t="shared" si="4352"/>
        <v>3.6923076923076925</v>
      </c>
      <c r="DE406" s="223">
        <f t="shared" si="4353"/>
        <v>11.076923076923077</v>
      </c>
      <c r="DF406" s="243">
        <f t="shared" si="4354"/>
        <v>8.3076923076923084</v>
      </c>
      <c r="DG406" s="243">
        <f t="shared" si="4355"/>
        <v>23.07692307692308</v>
      </c>
      <c r="DH406" s="252">
        <f t="shared" si="4356"/>
        <v>0</v>
      </c>
      <c r="DI406" s="309">
        <f t="shared" si="4357"/>
        <v>23.07692307692308</v>
      </c>
      <c r="DJ406" s="218">
        <f t="shared" si="4358"/>
        <v>175.5384615384616</v>
      </c>
      <c r="DK406" s="242">
        <f t="shared" si="4358"/>
        <v>2</v>
      </c>
      <c r="DL406" s="243">
        <f t="shared" si="4359"/>
        <v>173.5384615384616</v>
      </c>
      <c r="DM406" s="218">
        <f t="shared" si="4360"/>
        <v>0</v>
      </c>
      <c r="DO406" s="325" t="s">
        <v>248</v>
      </c>
      <c r="DP406" s="218" t="s">
        <v>92</v>
      </c>
      <c r="DQ406" s="223" t="s">
        <v>132</v>
      </c>
      <c r="DR406" s="237">
        <f>Konvention_1slave-MUslave</f>
        <v>12</v>
      </c>
      <c r="DS406" s="234"/>
      <c r="DT406" s="234"/>
      <c r="DU406" s="234">
        <f>Konvention_1slave-CHslave_CH</f>
        <v>11</v>
      </c>
      <c r="DV406" s="234"/>
      <c r="DW406" s="234"/>
      <c r="DX406" s="234"/>
      <c r="DY406" s="224"/>
      <c r="DZ406" s="223">
        <f>(DR406+DR406+DU406)/3</f>
        <v>11.666666666666666</v>
      </c>
      <c r="EA406" s="223">
        <f t="shared" si="4361"/>
        <v>23.333333333333332</v>
      </c>
      <c r="EB406" s="234">
        <f t="shared" si="4362"/>
        <v>35</v>
      </c>
      <c r="EC406" s="237">
        <f>DR406*POWER(CHslave_CH,SIGN(DU406))*POWER(MUslave,SIGN(DR406))+DR406*POWER(CHslave_CH,SIGN(DU406))*POWER(MUslave,SIGN(DR406))+DU406*POWER(MUslave,SIGN(DR406))*POWER(MUslave,SIGN(DR406))</f>
        <v>2432</v>
      </c>
      <c r="ED406" s="234">
        <f>DR406*DR406*CHslave_CH+DR406*MUslave*DU406+MUslave*DR406*DU406</f>
        <v>3408</v>
      </c>
      <c r="EE406" s="224">
        <f>DR406*DR406*DU406</f>
        <v>1584</v>
      </c>
      <c r="EF406" s="242">
        <f t="shared" si="4363"/>
        <v>7424</v>
      </c>
      <c r="EG406" s="222">
        <f t="shared" si="4364"/>
        <v>3.8218390804597702</v>
      </c>
      <c r="EH406" s="223">
        <f t="shared" si="4365"/>
        <v>10.711206896551724</v>
      </c>
      <c r="EI406" s="243">
        <f t="shared" si="4366"/>
        <v>7.4676724137931032</v>
      </c>
      <c r="EJ406" s="243">
        <f t="shared" si="4367"/>
        <v>22.000718390804597</v>
      </c>
      <c r="EK406" s="252">
        <f t="shared" si="4368"/>
        <v>0</v>
      </c>
      <c r="EL406" s="309">
        <f t="shared" si="4369"/>
        <v>22.000718390804597</v>
      </c>
      <c r="EM406" s="218">
        <f t="shared" si="4370"/>
        <v>154.01436781609189</v>
      </c>
      <c r="EN406" s="242">
        <f t="shared" si="4370"/>
        <v>2</v>
      </c>
      <c r="EO406" s="243">
        <f t="shared" si="4371"/>
        <v>152.01436781609189</v>
      </c>
      <c r="EP406" s="218">
        <f t="shared" si="4372"/>
        <v>0</v>
      </c>
      <c r="ER406" s="325" t="s">
        <v>248</v>
      </c>
      <c r="ES406" s="218" t="s">
        <v>92</v>
      </c>
      <c r="ET406" s="223" t="s">
        <v>132</v>
      </c>
      <c r="EU406" s="237">
        <f>Konvention_1slave-MUslave</f>
        <v>12</v>
      </c>
      <c r="EV406" s="234"/>
      <c r="EW406" s="234"/>
      <c r="EX406" s="234">
        <f>Konvention_1slave-CHslave</f>
        <v>12</v>
      </c>
      <c r="EY406" s="234"/>
      <c r="EZ406" s="234"/>
      <c r="FA406" s="234"/>
      <c r="FB406" s="224"/>
      <c r="FC406" s="223">
        <f>(EU406+EU406+EX406)/3</f>
        <v>12</v>
      </c>
      <c r="FD406" s="223">
        <f t="shared" si="4373"/>
        <v>24</v>
      </c>
      <c r="FE406" s="234">
        <f t="shared" si="4374"/>
        <v>36</v>
      </c>
      <c r="FF406" s="237">
        <f>EU406*POWER(CHslave,SIGN(EX406))*POWER(MUslave,SIGN(EU406))+EU406*POWER(CHslave,SIGN(EX406))*POWER(MUslave,SIGN(EU406))+EX406*POWER(MUslave,SIGN(EU406))*POWER(MUslave,SIGN(EU406))</f>
        <v>2304</v>
      </c>
      <c r="FG406" s="234">
        <f>EU406*EU406*CHslave+EU406*MUslave*EX406+MUslave*EU406*EX406</f>
        <v>3456</v>
      </c>
      <c r="FH406" s="224">
        <f>EU406*EU406*EX406</f>
        <v>1728</v>
      </c>
      <c r="FI406" s="242">
        <f t="shared" si="4375"/>
        <v>7488</v>
      </c>
      <c r="FJ406" s="222">
        <f t="shared" si="4376"/>
        <v>3.6923076923076925</v>
      </c>
      <c r="FK406" s="223">
        <f t="shared" si="4377"/>
        <v>11.076923076923077</v>
      </c>
      <c r="FL406" s="243">
        <f t="shared" si="4378"/>
        <v>8.3076923076923084</v>
      </c>
      <c r="FM406" s="243">
        <f t="shared" si="4379"/>
        <v>23.07692307692308</v>
      </c>
      <c r="FN406" s="252">
        <f t="shared" si="4380"/>
        <v>0</v>
      </c>
      <c r="FO406" s="309">
        <f t="shared" si="4381"/>
        <v>23.07692307692308</v>
      </c>
      <c r="FP406" s="218">
        <f t="shared" si="4382"/>
        <v>175.5384615384616</v>
      </c>
      <c r="FQ406" s="242">
        <f t="shared" si="4382"/>
        <v>2</v>
      </c>
      <c r="FR406" s="243">
        <f t="shared" si="4383"/>
        <v>173.5384615384616</v>
      </c>
      <c r="FS406" s="218">
        <f t="shared" si="4384"/>
        <v>0</v>
      </c>
      <c r="FU406" s="325" t="s">
        <v>248</v>
      </c>
      <c r="FV406" s="218" t="s">
        <v>92</v>
      </c>
      <c r="FW406" s="223" t="s">
        <v>132</v>
      </c>
      <c r="FX406" s="237">
        <f>Konvention_1slave-MUslave</f>
        <v>12</v>
      </c>
      <c r="FY406" s="234"/>
      <c r="FZ406" s="234"/>
      <c r="GA406" s="234">
        <f>Konvention_1slave-CHslave</f>
        <v>12</v>
      </c>
      <c r="GB406" s="234"/>
      <c r="GC406" s="234"/>
      <c r="GD406" s="234"/>
      <c r="GE406" s="224"/>
      <c r="GF406" s="223">
        <f>(FX406+FX406+GA406)/3</f>
        <v>12</v>
      </c>
      <c r="GG406" s="223">
        <f t="shared" si="4385"/>
        <v>24</v>
      </c>
      <c r="GH406" s="234">
        <f t="shared" si="4386"/>
        <v>36</v>
      </c>
      <c r="GI406" s="237">
        <f>FX406*POWER(CHslave,SIGN(GA406))*POWER(MUslave,SIGN(FX406))+FX406*POWER(CHslave,SIGN(GA406))*POWER(MUslave,SIGN(FX406))+GA406*POWER(MUslave,SIGN(FX406))*POWER(MUslave,SIGN(FX406))</f>
        <v>2304</v>
      </c>
      <c r="GJ406" s="234">
        <f>FX406*FX406*CHslave+FX406*MUslave*GA406+MUslave*FX406*GA406</f>
        <v>3456</v>
      </c>
      <c r="GK406" s="224">
        <f>FX406*FX406*GA406</f>
        <v>1728</v>
      </c>
      <c r="GL406" s="242">
        <f t="shared" si="4387"/>
        <v>7488</v>
      </c>
      <c r="GM406" s="222">
        <f t="shared" si="4388"/>
        <v>3.6923076923076925</v>
      </c>
      <c r="GN406" s="223">
        <f t="shared" si="4389"/>
        <v>11.076923076923077</v>
      </c>
      <c r="GO406" s="243">
        <f t="shared" si="4390"/>
        <v>8.3076923076923084</v>
      </c>
      <c r="GP406" s="243">
        <f t="shared" si="4391"/>
        <v>23.07692307692308</v>
      </c>
      <c r="GQ406" s="252">
        <f t="shared" si="4392"/>
        <v>0</v>
      </c>
      <c r="GR406" s="309">
        <f t="shared" si="4393"/>
        <v>23.07692307692308</v>
      </c>
      <c r="GS406" s="218">
        <f t="shared" si="4394"/>
        <v>175.5384615384616</v>
      </c>
      <c r="GT406" s="242">
        <f t="shared" si="4394"/>
        <v>2</v>
      </c>
      <c r="GU406" s="243">
        <f t="shared" si="4395"/>
        <v>173.5384615384616</v>
      </c>
      <c r="GV406" s="218">
        <f t="shared" si="4396"/>
        <v>0</v>
      </c>
      <c r="GX406" s="325" t="s">
        <v>248</v>
      </c>
      <c r="GY406" s="218" t="s">
        <v>92</v>
      </c>
      <c r="GZ406" s="223" t="s">
        <v>132</v>
      </c>
      <c r="HA406" s="237">
        <f>Konvention_1slave-MUslave</f>
        <v>12</v>
      </c>
      <c r="HB406" s="234"/>
      <c r="HC406" s="234"/>
      <c r="HD406" s="234">
        <f>Konvention_1slave-CHslave</f>
        <v>12</v>
      </c>
      <c r="HE406" s="234"/>
      <c r="HF406" s="234"/>
      <c r="HG406" s="234"/>
      <c r="HH406" s="224"/>
      <c r="HI406" s="223">
        <f>(HA406+HA406+HD406)/3</f>
        <v>12</v>
      </c>
      <c r="HJ406" s="223">
        <f t="shared" si="4397"/>
        <v>24</v>
      </c>
      <c r="HK406" s="234">
        <f t="shared" si="4398"/>
        <v>36</v>
      </c>
      <c r="HL406" s="237">
        <f>HA406*POWER(CHslave,SIGN(HD406))*POWER(MUslave,SIGN(HA406))+HA406*POWER(CHslave,SIGN(HD406))*POWER(MUslave,SIGN(HA406))+HD406*POWER(MUslave,SIGN(HA406))*POWER(MUslave,SIGN(HA406))</f>
        <v>2304</v>
      </c>
      <c r="HM406" s="234">
        <f>HA406*HA406*CHslave+HA406*MUslave*HD406+MUslave*HA406*HD406</f>
        <v>3456</v>
      </c>
      <c r="HN406" s="224">
        <f>HA406*HA406*HD406</f>
        <v>1728</v>
      </c>
      <c r="HO406" s="242">
        <f t="shared" si="4399"/>
        <v>7488</v>
      </c>
      <c r="HP406" s="222">
        <f t="shared" si="4400"/>
        <v>3.6923076923076925</v>
      </c>
      <c r="HQ406" s="223">
        <f t="shared" si="4401"/>
        <v>11.076923076923077</v>
      </c>
      <c r="HR406" s="243">
        <f t="shared" si="4402"/>
        <v>8.3076923076923084</v>
      </c>
      <c r="HS406" s="243">
        <f t="shared" si="4403"/>
        <v>23.07692307692308</v>
      </c>
      <c r="HT406" s="252">
        <f t="shared" si="4404"/>
        <v>0</v>
      </c>
      <c r="HU406" s="309">
        <f t="shared" si="4405"/>
        <v>23.07692307692308</v>
      </c>
      <c r="HV406" s="218">
        <f t="shared" si="4406"/>
        <v>175.5384615384616</v>
      </c>
      <c r="HW406" s="242">
        <f t="shared" si="4406"/>
        <v>2</v>
      </c>
      <c r="HX406" s="243">
        <f t="shared" si="4407"/>
        <v>173.5384615384616</v>
      </c>
      <c r="HY406" s="218">
        <f t="shared" si="4408"/>
        <v>0</v>
      </c>
      <c r="IA406" s="325" t="s">
        <v>248</v>
      </c>
      <c r="IB406" s="218" t="s">
        <v>92</v>
      </c>
      <c r="IC406" s="223" t="s">
        <v>132</v>
      </c>
      <c r="ID406" s="237">
        <f>Konvention_1slave-MUslave</f>
        <v>12</v>
      </c>
      <c r="IE406" s="234"/>
      <c r="IF406" s="234"/>
      <c r="IG406" s="234">
        <f>Konvention_1slave-CHslave</f>
        <v>12</v>
      </c>
      <c r="IH406" s="234"/>
      <c r="II406" s="234"/>
      <c r="IJ406" s="234"/>
      <c r="IK406" s="224"/>
      <c r="IL406" s="223">
        <f>(ID406+ID406+IG406)/3</f>
        <v>12</v>
      </c>
      <c r="IM406" s="223">
        <f t="shared" si="4409"/>
        <v>24</v>
      </c>
      <c r="IN406" s="234">
        <f t="shared" si="4410"/>
        <v>36</v>
      </c>
      <c r="IO406" s="237">
        <f>ID406*POWER(CHslave,SIGN(IG406))*POWER(MUslave,SIGN(ID406))+ID406*POWER(CHslave,SIGN(IG406))*POWER(MUslave,SIGN(ID406))+IG406*POWER(MUslave,SIGN(ID406))*POWER(MUslave,SIGN(ID406))</f>
        <v>2304</v>
      </c>
      <c r="IP406" s="234">
        <f>ID406*ID406*CHslave+ID406*MUslave*IG406+MUslave*ID406*IG406</f>
        <v>3456</v>
      </c>
      <c r="IQ406" s="224">
        <f>ID406*ID406*IG406</f>
        <v>1728</v>
      </c>
      <c r="IR406" s="242">
        <f t="shared" si="4411"/>
        <v>7488</v>
      </c>
      <c r="IS406" s="222">
        <f t="shared" si="4412"/>
        <v>3.6923076923076925</v>
      </c>
      <c r="IT406" s="223">
        <f t="shared" si="4413"/>
        <v>11.076923076923077</v>
      </c>
      <c r="IU406" s="243">
        <f t="shared" si="4414"/>
        <v>8.3076923076923084</v>
      </c>
      <c r="IV406" s="243">
        <f t="shared" si="4415"/>
        <v>23.07692307692308</v>
      </c>
      <c r="IW406" s="252">
        <f t="shared" si="4416"/>
        <v>0</v>
      </c>
      <c r="IX406" s="309">
        <f t="shared" si="4417"/>
        <v>23.07692307692308</v>
      </c>
      <c r="IY406" s="218">
        <f t="shared" si="4418"/>
        <v>175.5384615384616</v>
      </c>
      <c r="IZ406" s="242">
        <f t="shared" si="4418"/>
        <v>2</v>
      </c>
      <c r="JA406" s="243">
        <f t="shared" si="4419"/>
        <v>173.5384615384616</v>
      </c>
      <c r="JB406" s="218">
        <f t="shared" si="4420"/>
        <v>0</v>
      </c>
      <c r="JE406" s="148"/>
    </row>
    <row r="407" spans="2:265" ht="15" hidden="1" customHeight="1" outlineLevel="2">
      <c r="B407" s="148">
        <v>4</v>
      </c>
      <c r="C407" s="325" t="e">
        <f>VLOOKUP(AF407,Attribute!C:T,1,FALSE)</f>
        <v>#N/A</v>
      </c>
      <c r="D407" s="86" t="s">
        <v>95</v>
      </c>
      <c r="E407" s="47" t="s">
        <v>133</v>
      </c>
      <c r="F407" s="114">
        <f>Konvention_1master-MUmaster</f>
        <v>12</v>
      </c>
      <c r="G407" s="113">
        <f>Konvention_1master-KLmaster</f>
        <v>12</v>
      </c>
      <c r="H407" s="113">
        <f>Konvention_1master-INmaster</f>
        <v>12</v>
      </c>
      <c r="I407" s="113"/>
      <c r="J407" s="113"/>
      <c r="K407" s="113"/>
      <c r="L407" s="113"/>
      <c r="M407" s="119"/>
      <c r="N407" s="223">
        <f>(F407+G407+H407+I407+J407+K407+L407+M407)/3</f>
        <v>12</v>
      </c>
      <c r="O407" s="223">
        <f t="shared" si="4314"/>
        <v>24</v>
      </c>
      <c r="P407" s="234">
        <f t="shared" si="4315"/>
        <v>36</v>
      </c>
      <c r="Q407" s="237">
        <f>F407*POWER(KLmaster,SIGN(G407))*POWER(INmaster,SIGN(H407))*POWER(CHmaster,SIGN(I407))*POWER(FFmaster,SIGN(J407))*POWER(GEmaster,SIGN(K407))*POWER(KOmaster,SIGN(L407))*POWER(KKmaster,SIGN(M407))+G407*POWER(MUmaster,SIGN(F407))*POWER(INmaster,SIGN(H407))*POWER(CHmaster,SIGN(I407))*POWER(FFmaster,SIGN(J407))*POWER(GEmaster,SIGN(K407))*POWER(KOmaster,SIGN(L407))*POWER(KKmaster,SIGN(M407))+H407*POWER(MUmaster,SIGN(F407))*POWER(KLmaster,SIGN(G407))*POWER(CHmaster,SIGN(I407))*POWER(FFmaster,SIGN(J407))*POWER(GEmaster,SIGN(K407))*POWER(KOmaster,SIGN(L407))*POWER(KKmaster,SIGN(M407))+I407*POWER(MUmaster,SIGN(F407))*POWER(KLmaster,SIGN(G407))*POWER(INmaster,SIGN(H407))*POWER(FFmaster,SIGN(J407))*POWER(GEmaster,SIGN(K407))*POWER(KOmaster,SIGN(L407))*POWER(KKmaster,SIGN(M407))+J407*POWER(MUmaster,SIGN(F407))*POWER(KLmaster,SIGN(G407))*POWER(INmaster,SIGN(H407))*POWER(CHmaster,SIGN(I407))*POWER(GEmaster,SIGN(K407))*POWER(KOmaster,SIGN(L407))*POWER(KKmaster,SIGN(M407))+K407*POWER(MUmaster,SIGN(F407))*POWER(KLmaster,SIGN(G407))*POWER(INmaster,SIGN(H407))*POWER(CHmaster,SIGN(I407))*POWER(FFmaster,SIGN(J407))*POWER(KOmaster,SIGN(L407))*POWER(KKmaster,SIGN(M407))+L407*POWER(MUmaster,SIGN(F407))*POWER(KLmaster,SIGN(G407))*POWER(INmaster,SIGN(H407))*POWER(CHmaster,SIGN(I407))*POWER(FFmaster,SIGN(J407))*POWER(GEmaster,SIGN(K407))*POWER(KKmaster,SIGN(M407))+M407*POWER(MUmaster,SIGN(F407))*POWER(KLmaster,SIGN(G407))*POWER(INmaster,SIGN(H407))*POWER(CHmaster,SIGN(I407))*POWER(FFmaster,SIGN(J407))*POWER(GEmaster,SIGN(K407))*POWER(KOmaster,SIGN(L407))</f>
        <v>2304</v>
      </c>
      <c r="R407" s="113">
        <f>F407*G407*INmaster+F407*KLmaster*H407+MUmaster*G407*H407</f>
        <v>3456</v>
      </c>
      <c r="S407" s="224">
        <f>IFERROR(F407^SIGN(F407),1)*IFERROR(G407^SIGN(G407),1)*IFERROR(H407^SIGN(H407),1)*IFERROR(I407^SIGN(I407),1)*IFERROR(J407^SIGN(J407),1)*IFERROR(K407^SIGN(K407),1)*IFERROR(L407^SIGN(L407),1)*IFERROR(M407^SIGN(M407),1)</f>
        <v>1728</v>
      </c>
      <c r="T407" s="242">
        <f t="shared" si="4316"/>
        <v>7488</v>
      </c>
      <c r="U407" s="222">
        <f t="shared" si="4317"/>
        <v>3.6923076923076925</v>
      </c>
      <c r="V407" s="223">
        <f t="shared" si="4318"/>
        <v>11.076923076923077</v>
      </c>
      <c r="W407" s="243">
        <f t="shared" si="4319"/>
        <v>8.3076923076923084</v>
      </c>
      <c r="X407" s="243">
        <f t="shared" si="4320"/>
        <v>23.07692307692308</v>
      </c>
      <c r="Y407" s="252">
        <v>0</v>
      </c>
      <c r="Z407" s="198">
        <f t="shared" si="4321"/>
        <v>23.07692307692308</v>
      </c>
      <c r="AA407" s="125">
        <f>IF(X407&lt;=0,1,0)+IF(X407&gt;0,X407+1,0)*1+IF(X407&gt;12,X407-12,0)*1+IF(X407&gt;13,X407-13,0)*1+IF(X407&gt;14,X407-14,0)*1+IF(X407&gt;15,X407-15,0)*1+IF(X407&gt;16,X407-16,0)*1+IF(X407&gt;17,X407-17,0)*1+IF(X407&gt;18,X407-18,0)*1+IF(X407&gt;19,X407-19,0)*1+IF(X407&gt;20,X407-20,0)*1</f>
        <v>87.769230769230802</v>
      </c>
      <c r="AB407" s="160">
        <f>IF(Y407&lt;=0,1,0)+IF(Y407&gt;0,Y407+1,0)*1+IF(Y407&gt;12,Y407-12,0)*1+IF(Y407&gt;13,Y407-13,0)*1+IF(Y407&gt;14,Y407-14,0)*1+IF(Y407&gt;15,Y407-15,0)*1+IF(Y407&gt;16,Y407-16,0)*1+IF(Y407&gt;17,Y407-17,0)*1+IF(Y407&gt;18,Y407-18,0)*1+IF(Y407&gt;19,Y407-19,0)*1+IF(Y407&gt;20,Y407-20,0)*1</f>
        <v>1</v>
      </c>
      <c r="AC407" s="127">
        <f t="shared" si="4323"/>
        <v>86.769230769230802</v>
      </c>
      <c r="AD407" s="125">
        <f t="shared" si="4324"/>
        <v>0</v>
      </c>
      <c r="AF407" s="177" t="s">
        <v>257</v>
      </c>
      <c r="AG407" s="125" t="s">
        <v>95</v>
      </c>
      <c r="AH407" s="47" t="s">
        <v>133</v>
      </c>
      <c r="AI407" s="114">
        <f>Konvention_1slave-MUslave_MU</f>
        <v>11</v>
      </c>
      <c r="AJ407" s="113">
        <f>Konvention_1slave-KLslave</f>
        <v>12</v>
      </c>
      <c r="AK407" s="113">
        <f>Konvention_1slave-INslave</f>
        <v>12</v>
      </c>
      <c r="AL407" s="113"/>
      <c r="AM407" s="113"/>
      <c r="AN407" s="113"/>
      <c r="AO407" s="113"/>
      <c r="AP407" s="119"/>
      <c r="AQ407" s="47">
        <f>(AI407+AJ407+AK407+AL407+AM407+AN407+AO407+AP407)/3</f>
        <v>11.666666666666666</v>
      </c>
      <c r="AR407" s="47">
        <f t="shared" si="4325"/>
        <v>23.333333333333332</v>
      </c>
      <c r="AS407" s="113">
        <f t="shared" si="4326"/>
        <v>35</v>
      </c>
      <c r="AT407" s="114">
        <f>AI407*POWER(KLslave,SIGN(AJ407))*POWER(INslave,SIGN(AK407))*POWER(CHslave,SIGN(AL407))*POWER(FFslave,SIGN(AM407))*POWER(GEslave,SIGN(AN407))*POWER(KOslave,SIGN(AO407))*POWER(KKslave,SIGN(AP407))+AJ407*POWER(MUslave_MU,SIGN(AI407))*POWER(INslave,SIGN(AK407))*POWER(CHslave,SIGN(AL407))*POWER(FFslave,SIGN(AM407))*POWER(GEslave,SIGN(AN407))*POWER(KOslave,SIGN(AO407))*POWER(KKslave,SIGN(AP407))+AK407*POWER(MUslave_MU,SIGN(AI407))*POWER(KLslave,SIGN(AJ407))*POWER(CHslave,SIGN(AL407))*POWER(FFslave,SIGN(AM407))*POWER(GEslave,SIGN(AN407))*POWER(KOslave,SIGN(AO407))*POWER(KKslave,SIGN(AP407))+AL407*POWER(MUslave_MU,SIGN(AI407))*POWER(KLslave,SIGN(AJ407))*POWER(INslave,SIGN(AK407))*POWER(FFslave,SIGN(AM407))*POWER(GEslave,SIGN(AN407))*POWER(KOslave,SIGN(AO407))*POWER(KKslave,SIGN(AP407))+AM407*POWER(MUslave_MU,SIGN(AI407))*POWER(KLslave,SIGN(AJ407))*POWER(INslave,SIGN(AK407))*POWER(CHslave,SIGN(AL407))*POWER(GEslave,SIGN(AN407))*POWER(KOslave,SIGN(AO407))*POWER(KKslave,SIGN(AP407))+AN407*POWER(MUslave_MU,SIGN(AI407))*POWER(KLslave,SIGN(AJ407))*POWER(INslave,SIGN(AK407))*POWER(CHslave,SIGN(AL407))*POWER(FFslave,SIGN(AM407))*POWER(KOslave,SIGN(AO407))*POWER(KKslave,SIGN(AP407))+AO407*POWER(MUslave_MU,SIGN(AI407))*POWER(KLslave,SIGN(AJ407))*POWER(INslave,SIGN(AK407))*POWER(CHslave,SIGN(AL407))*POWER(FFslave,SIGN(AM407))*POWER(GEslave,SIGN(AN407))*POWER(KKslave,SIGN(AP407))+AP407*POWER(MUslave_MU,SIGN(AI407))*POWER(KLslave,SIGN(AJ407))*POWER(INslave,SIGN(AK407))*POWER(CHslave,SIGN(AL407))*POWER(FFslave,SIGN(AM407))*POWER(GEslave,SIGN(AN407))*POWER(KOslave,SIGN(AO407))</f>
        <v>2432</v>
      </c>
      <c r="AU407" s="113">
        <f>AI407*AJ407*INslave+AI407*KLslave*AK407+MUslave_MU*AJ407*AK407</f>
        <v>3408</v>
      </c>
      <c r="AV407" s="119">
        <f>IFERROR(AI407^SIGN(AI407),1)*IFERROR(AJ407^SIGN(AJ407),1)*IFERROR(AK407^SIGN(AK407),1)*IFERROR(AL407^SIGN(AL407),1)*IFERROR(AM407^SIGN(AM407),1)*IFERROR(AN407^SIGN(AN407),1)*IFERROR(AO407^SIGN(AO407),1)*IFERROR(AP407^SIGN(AP407),1)</f>
        <v>1584</v>
      </c>
      <c r="AW407" s="160">
        <f t="shared" si="4327"/>
        <v>7424</v>
      </c>
      <c r="AX407" s="89">
        <f t="shared" si="4328"/>
        <v>3.8218390804597702</v>
      </c>
      <c r="AY407" s="47">
        <f t="shared" si="4329"/>
        <v>10.711206896551724</v>
      </c>
      <c r="AZ407" s="127">
        <f t="shared" si="4330"/>
        <v>7.4676724137931032</v>
      </c>
      <c r="BA407" s="127">
        <f t="shared" si="4331"/>
        <v>22.000718390804597</v>
      </c>
      <c r="BB407" s="165">
        <f t="shared" si="4332"/>
        <v>0</v>
      </c>
      <c r="BC407" s="198">
        <f t="shared" si="4333"/>
        <v>22.000718390804597</v>
      </c>
      <c r="BD407" s="125">
        <f>IF(BA407&lt;=0,1,0)+IF(BA407&gt;0,BA407+1,0)*1+IF(BA407&gt;12,BA407-12,0)*1+IF(BA407&gt;13,BA407-13,0)*1+IF(BA407&gt;14,BA407-14,0)*1+IF(BA407&gt;15,BA407-15,0)*1+IF(BA407&gt;16,BA407-16,0)*1+IF(BA407&gt;17,BA407-17,0)*1+IF(BA407&gt;18,BA407-18,0)*1+IF(BA407&gt;19,BA407-19,0)*1+IF(BA407&gt;20,BA407-20,0)*1</f>
        <v>77.007183908045945</v>
      </c>
      <c r="BE407" s="160">
        <f>IF(BB407&lt;=0,1,0)+IF(BB407&gt;0,BB407+1,0)*1+IF(BB407&gt;12,BB407-12,0)*1+IF(BB407&gt;13,BB407-13,0)*1+IF(BB407&gt;14,BB407-14,0)*1+IF(BB407&gt;15,BB407-15,0)*1+IF(BB407&gt;16,BB407-16,0)*1+IF(BB407&gt;17,BB407-17,0)*1+IF(BB407&gt;18,BB407-18,0)*1+IF(BB407&gt;19,BB407-19,0)*1+IF(BB407&gt;20,BB407-20,0)*1</f>
        <v>1</v>
      </c>
      <c r="BF407" s="243">
        <f t="shared" si="4335"/>
        <v>76.007183908045945</v>
      </c>
      <c r="BG407" s="218">
        <f t="shared" si="4336"/>
        <v>0</v>
      </c>
      <c r="BI407" s="325" t="s">
        <v>257</v>
      </c>
      <c r="BJ407" s="218" t="s">
        <v>95</v>
      </c>
      <c r="BK407" s="223" t="s">
        <v>133</v>
      </c>
      <c r="BL407" s="237">
        <f>Konvention_1slave-MUslave</f>
        <v>12</v>
      </c>
      <c r="BM407" s="234">
        <f>Konvention_1slave-KLslave_KL</f>
        <v>11</v>
      </c>
      <c r="BN407" s="234">
        <f>Konvention_1slave-INslave</f>
        <v>12</v>
      </c>
      <c r="BO407" s="234"/>
      <c r="BP407" s="234"/>
      <c r="BQ407" s="234"/>
      <c r="BR407" s="234"/>
      <c r="BS407" s="224"/>
      <c r="BT407" s="223">
        <f>(BL407+BM407+BN407+BO407+BP407+BQ407+BR407+BS407)/3</f>
        <v>11.666666666666666</v>
      </c>
      <c r="BU407" s="223">
        <f t="shared" si="4337"/>
        <v>23.333333333333332</v>
      </c>
      <c r="BV407" s="234">
        <f t="shared" si="4338"/>
        <v>35</v>
      </c>
      <c r="BW407" s="237">
        <f>BL407*POWER(KLslave_KL,SIGN(BM407))*POWER(INslave,SIGN(BN407))*POWER(CHslave,SIGN(BO407))*POWER(FFslave,SIGN(BP407))*POWER(GEslave,SIGN(BQ407))*POWER(KOslave,SIGN(BR407))*POWER(KKslave,SIGN(BS407))+BM407*POWER(MUslave,SIGN(BL407))*POWER(INslave,SIGN(BN407))*POWER(CHslave,SIGN(BO407))*POWER(FFslave,SIGN(BP407))*POWER(GEslave,SIGN(BQ407))*POWER(KOslave,SIGN(BR407))*POWER(KKslave,SIGN(BS407))+BN407*POWER(MUslave,SIGN(BL407))*POWER(KLslave_KL,SIGN(BM407))*POWER(CHslave,SIGN(BO407))*POWER(FFslave,SIGN(BP407))*POWER(GEslave,SIGN(BQ407))*POWER(KOslave,SIGN(BR407))*POWER(KKslave,SIGN(BS407))+BO407*POWER(MUslave,SIGN(BL407))*POWER(KLslave_KL,SIGN(BM407))*POWER(INslave,SIGN(BN407))*POWER(FFslave,SIGN(BP407))*POWER(GEslave,SIGN(BQ407))*POWER(KOslave,SIGN(BR407))*POWER(KKslave,SIGN(BS407))+BP407*POWER(MUslave,SIGN(BL407))*POWER(KLslave_KL,SIGN(BM407))*POWER(INslave,SIGN(BN407))*POWER(CHslave,SIGN(BO407))*POWER(GEslave,SIGN(BQ407))*POWER(KOslave,SIGN(BR407))*POWER(KKslave,SIGN(BS407))+BQ407*POWER(MUslave,SIGN(BL407))*POWER(KLslave_KL,SIGN(BM407))*POWER(INslave,SIGN(BN407))*POWER(CHslave,SIGN(BO407))*POWER(FFslave,SIGN(BP407))*POWER(KOslave,SIGN(BR407))*POWER(KKslave,SIGN(BS407))+BR407*POWER(MUslave,SIGN(BL407))*POWER(KLslave_KL,SIGN(BM407))*POWER(INslave,SIGN(BN407))*POWER(CHslave,SIGN(BO407))*POWER(FFslave,SIGN(BP407))*POWER(GEslave,SIGN(BQ407))*POWER(KKslave,SIGN(BS407))+BS407*POWER(MUslave,SIGN(BL407))*POWER(KLslave_KL,SIGN(BM407))*POWER(INslave,SIGN(BN407))*POWER(CHslave,SIGN(BO407))*POWER(FFslave,SIGN(BP407))*POWER(GEslave,SIGN(BQ407))*POWER(KOslave,SIGN(BR407))</f>
        <v>2432</v>
      </c>
      <c r="BX407" s="234">
        <f>BL407*BM407*INslave+BL407*KLslave_KL*BN407+MUslave*BM407*BN407</f>
        <v>3408</v>
      </c>
      <c r="BY407" s="224">
        <f>IFERROR(BL407^SIGN(BL407),1)*IFERROR(BM407^SIGN(BM407),1)*IFERROR(BN407^SIGN(BN407),1)*IFERROR(BO407^SIGN(BO407),1)*IFERROR(BP407^SIGN(BP407),1)*IFERROR(BQ407^SIGN(BQ407),1)*IFERROR(BR407^SIGN(BR407),1)*IFERROR(BS407^SIGN(BS407),1)</f>
        <v>1584</v>
      </c>
      <c r="BZ407" s="242">
        <f t="shared" si="4339"/>
        <v>7424</v>
      </c>
      <c r="CA407" s="222">
        <f t="shared" si="4340"/>
        <v>3.8218390804597702</v>
      </c>
      <c r="CB407" s="223">
        <f t="shared" si="4341"/>
        <v>10.711206896551724</v>
      </c>
      <c r="CC407" s="243">
        <f t="shared" si="4342"/>
        <v>7.4676724137931032</v>
      </c>
      <c r="CD407" s="243">
        <f t="shared" si="4343"/>
        <v>22.000718390804597</v>
      </c>
      <c r="CE407" s="252">
        <f t="shared" si="4344"/>
        <v>0</v>
      </c>
      <c r="CF407" s="309">
        <f t="shared" si="4345"/>
        <v>22.000718390804597</v>
      </c>
      <c r="CG407" s="218">
        <f>IF(CD407&lt;=0,1,0)+IF(CD407&gt;0,CD407+1,0)*1+IF(CD407&gt;12,CD407-12,0)*1+IF(CD407&gt;13,CD407-13,0)*1+IF(CD407&gt;14,CD407-14,0)*1+IF(CD407&gt;15,CD407-15,0)*1+IF(CD407&gt;16,CD407-16,0)*1+IF(CD407&gt;17,CD407-17,0)*1+IF(CD407&gt;18,CD407-18,0)*1+IF(CD407&gt;19,CD407-19,0)*1+IF(CD407&gt;20,CD407-20,0)*1</f>
        <v>77.007183908045945</v>
      </c>
      <c r="CH407" s="242">
        <f>IF(CE407&lt;=0,1,0)+IF(CE407&gt;0,CE407+1,0)*1+IF(CE407&gt;12,CE407-12,0)*1+IF(CE407&gt;13,CE407-13,0)*1+IF(CE407&gt;14,CE407-14,0)*1+IF(CE407&gt;15,CE407-15,0)*1+IF(CE407&gt;16,CE407-16,0)*1+IF(CE407&gt;17,CE407-17,0)*1+IF(CE407&gt;18,CE407-18,0)*1+IF(CE407&gt;19,CE407-19,0)*1+IF(CE407&gt;20,CE407-20,0)*1</f>
        <v>1</v>
      </c>
      <c r="CI407" s="243">
        <f t="shared" si="4347"/>
        <v>76.007183908045945</v>
      </c>
      <c r="CJ407" s="218">
        <f t="shared" si="4348"/>
        <v>0</v>
      </c>
      <c r="CL407" s="325" t="s">
        <v>257</v>
      </c>
      <c r="CM407" s="218" t="s">
        <v>95</v>
      </c>
      <c r="CN407" s="223" t="s">
        <v>133</v>
      </c>
      <c r="CO407" s="237">
        <f>Konvention_1slave-MUslave</f>
        <v>12</v>
      </c>
      <c r="CP407" s="234">
        <f>Konvention_1slave-KLslave</f>
        <v>12</v>
      </c>
      <c r="CQ407" s="234">
        <f>Konvention_1slave-INslave_IN</f>
        <v>11</v>
      </c>
      <c r="CR407" s="234"/>
      <c r="CS407" s="234"/>
      <c r="CT407" s="234"/>
      <c r="CU407" s="234"/>
      <c r="CV407" s="224"/>
      <c r="CW407" s="223">
        <f>(CO407+CP407+CQ407+CR407+CS407+CT407+CU407+CV407)/3</f>
        <v>11.666666666666666</v>
      </c>
      <c r="CX407" s="223">
        <f t="shared" si="4349"/>
        <v>23.333333333333332</v>
      </c>
      <c r="CY407" s="234">
        <f t="shared" si="4350"/>
        <v>35</v>
      </c>
      <c r="CZ407" s="237">
        <f>CO407*POWER(KLslave,SIGN(CP407))*POWER(INslave_IN,SIGN(CQ407))*POWER(CHslave,SIGN(CR407))*POWER(FFslave,SIGN(CS407))*POWER(GEslave,SIGN(CT407))*POWER(KOslave,SIGN(CU407))*POWER(KKslave,SIGN(CV407))+CP407*POWER(MUslave,SIGN(CO407))*POWER(INslave_IN,SIGN(CQ407))*POWER(CHslave,SIGN(CR407))*POWER(FFslave,SIGN(CS407))*POWER(GEslave,SIGN(CT407))*POWER(KOslave,SIGN(CU407))*POWER(KKslave,SIGN(CV407))+CQ407*POWER(MUslave,SIGN(CO407))*POWER(KLslave,SIGN(CP407))*POWER(CHslave,SIGN(CR407))*POWER(FFslave,SIGN(CS407))*POWER(GEslave,SIGN(CT407))*POWER(KOslave,SIGN(CU407))*POWER(KKslave,SIGN(CV407))+CR407*POWER(MUslave,SIGN(CO407))*POWER(KLslave,SIGN(CP407))*POWER(INslave_IN,SIGN(CQ407))*POWER(FFslave,SIGN(CS407))*POWER(GEslave,SIGN(CT407))*POWER(KOslave,SIGN(CU407))*POWER(KKslave,SIGN(CV407))+CS407*POWER(MUslave,SIGN(CO407))*POWER(KLslave,SIGN(CP407))*POWER(INslave_IN,SIGN(CQ407))*POWER(CHslave,SIGN(CR407))*POWER(GEslave,SIGN(CT407))*POWER(KOslave,SIGN(CU407))*POWER(KKslave,SIGN(CV407))+CT407*POWER(MUslave,SIGN(CO407))*POWER(KLslave,SIGN(CP407))*POWER(INslave_IN,SIGN(CQ407))*POWER(CHslave,SIGN(CR407))*POWER(FFslave,SIGN(CS407))*POWER(KOslave,SIGN(CU407))*POWER(KKslave,SIGN(CV407))+CU407*POWER(MUslave,SIGN(CO407))*POWER(KLslave,SIGN(CP407))*POWER(INslave_IN,SIGN(CQ407))*POWER(CHslave,SIGN(CR407))*POWER(FFslave,SIGN(CS407))*POWER(GEslave,SIGN(CT407))*POWER(KKslave,SIGN(CV407))+CV407*POWER(MUslave,SIGN(CO407))*POWER(KLslave,SIGN(CP407))*POWER(INslave_IN,SIGN(CQ407))*POWER(CHslave,SIGN(CR407))*POWER(FFslave,SIGN(CS407))*POWER(GEslave,SIGN(CT407))*POWER(KOslave,SIGN(CU407))</f>
        <v>2432</v>
      </c>
      <c r="DA407" s="234">
        <f>CO407*CP407*INslave_IN+CO407*KLslave*CQ407+MUslave*CP407*CQ407</f>
        <v>3408</v>
      </c>
      <c r="DB407" s="224">
        <f>IFERROR(CO407^SIGN(CO407),1)*IFERROR(CP407^SIGN(CP407),1)*IFERROR(CQ407^SIGN(CQ407),1)*IFERROR(CR407^SIGN(CR407),1)*IFERROR(CS407^SIGN(CS407),1)*IFERROR(CT407^SIGN(CT407),1)*IFERROR(CU407^SIGN(CU407),1)*IFERROR(CV407^SIGN(CV407),1)</f>
        <v>1584</v>
      </c>
      <c r="DC407" s="242">
        <f t="shared" si="4351"/>
        <v>7424</v>
      </c>
      <c r="DD407" s="222">
        <f t="shared" si="4352"/>
        <v>3.8218390804597702</v>
      </c>
      <c r="DE407" s="223">
        <f t="shared" si="4353"/>
        <v>10.711206896551724</v>
      </c>
      <c r="DF407" s="243">
        <f t="shared" si="4354"/>
        <v>7.4676724137931032</v>
      </c>
      <c r="DG407" s="243">
        <f t="shared" si="4355"/>
        <v>22.000718390804597</v>
      </c>
      <c r="DH407" s="252">
        <f t="shared" si="4356"/>
        <v>0</v>
      </c>
      <c r="DI407" s="309">
        <f t="shared" si="4357"/>
        <v>22.000718390804597</v>
      </c>
      <c r="DJ407" s="218">
        <f>IF(DG407&lt;=0,1,0)+IF(DG407&gt;0,DG407+1,0)*1+IF(DG407&gt;12,DG407-12,0)*1+IF(DG407&gt;13,DG407-13,0)*1+IF(DG407&gt;14,DG407-14,0)*1+IF(DG407&gt;15,DG407-15,0)*1+IF(DG407&gt;16,DG407-16,0)*1+IF(DG407&gt;17,DG407-17,0)*1+IF(DG407&gt;18,DG407-18,0)*1+IF(DG407&gt;19,DG407-19,0)*1+IF(DG407&gt;20,DG407-20,0)*1</f>
        <v>77.007183908045945</v>
      </c>
      <c r="DK407" s="242">
        <f>IF(DH407&lt;=0,1,0)+IF(DH407&gt;0,DH407+1,0)*1+IF(DH407&gt;12,DH407-12,0)*1+IF(DH407&gt;13,DH407-13,0)*1+IF(DH407&gt;14,DH407-14,0)*1+IF(DH407&gt;15,DH407-15,0)*1+IF(DH407&gt;16,DH407-16,0)*1+IF(DH407&gt;17,DH407-17,0)*1+IF(DH407&gt;18,DH407-18,0)*1+IF(DH407&gt;19,DH407-19,0)*1+IF(DH407&gt;20,DH407-20,0)*1</f>
        <v>1</v>
      </c>
      <c r="DL407" s="243">
        <f t="shared" si="4359"/>
        <v>76.007183908045945</v>
      </c>
      <c r="DM407" s="218">
        <f t="shared" si="4360"/>
        <v>0</v>
      </c>
      <c r="DO407" s="325" t="s">
        <v>257</v>
      </c>
      <c r="DP407" s="218" t="s">
        <v>95</v>
      </c>
      <c r="DQ407" s="223" t="s">
        <v>133</v>
      </c>
      <c r="DR407" s="237">
        <f>Konvention_1slave-MUslave</f>
        <v>12</v>
      </c>
      <c r="DS407" s="234">
        <f>Konvention_1slave-KLslave</f>
        <v>12</v>
      </c>
      <c r="DT407" s="234">
        <f>Konvention_1slave-INslave</f>
        <v>12</v>
      </c>
      <c r="DU407" s="234"/>
      <c r="DV407" s="234"/>
      <c r="DW407" s="234"/>
      <c r="DX407" s="234"/>
      <c r="DY407" s="224"/>
      <c r="DZ407" s="223">
        <f>(DR407+DS407+DT407+DU407+DV407+DW407+DX407+DY407)/3</f>
        <v>12</v>
      </c>
      <c r="EA407" s="223">
        <f t="shared" si="4361"/>
        <v>24</v>
      </c>
      <c r="EB407" s="234">
        <f t="shared" si="4362"/>
        <v>36</v>
      </c>
      <c r="EC407" s="237">
        <f>DR407*POWER(KLslave,SIGN(DS407))*POWER(INslave,SIGN(DT407))*POWER(CHslave_CH,SIGN(DU407))*POWER(FFslave,SIGN(DV407))*POWER(GEslave,SIGN(DW407))*POWER(KOslave,SIGN(DX407))*POWER(KKslave,SIGN(DY407))+DS407*POWER(MUslave,SIGN(DR407))*POWER(INslave,SIGN(DT407))*POWER(CHslave_CH,SIGN(DU407))*POWER(FFslave,SIGN(DV407))*POWER(GEslave,SIGN(DW407))*POWER(KOslave,SIGN(DX407))*POWER(KKslave,SIGN(DY407))+DT407*POWER(MUslave,SIGN(DR407))*POWER(KLslave,SIGN(DS407))*POWER(CHslave_CH,SIGN(DU407))*POWER(FFslave,SIGN(DV407))*POWER(GEslave,SIGN(DW407))*POWER(KOslave,SIGN(DX407))*POWER(KKslave,SIGN(DY407))+DU407*POWER(MUslave,SIGN(DR407))*POWER(KLslave,SIGN(DS407))*POWER(INslave,SIGN(DT407))*POWER(FFslave,SIGN(DV407))*POWER(GEslave,SIGN(DW407))*POWER(KOslave,SIGN(DX407))*POWER(KKslave,SIGN(DY407))+DV407*POWER(MUslave,SIGN(DR407))*POWER(KLslave,SIGN(DS407))*POWER(INslave,SIGN(DT407))*POWER(CHslave_CH,SIGN(DU407))*POWER(GEslave,SIGN(DW407))*POWER(KOslave,SIGN(DX407))*POWER(KKslave,SIGN(DY407))+DW407*POWER(MUslave,SIGN(DR407))*POWER(KLslave,SIGN(DS407))*POWER(INslave,SIGN(DT407))*POWER(CHslave_CH,SIGN(DU407))*POWER(FFslave,SIGN(DV407))*POWER(KOslave,SIGN(DX407))*POWER(KKslave,SIGN(DY407))+DX407*POWER(MUslave,SIGN(DR407))*POWER(KLslave,SIGN(DS407))*POWER(INslave,SIGN(DT407))*POWER(CHslave_CH,SIGN(DU407))*POWER(FFslave,SIGN(DV407))*POWER(GEslave,SIGN(DW407))*POWER(KKslave,SIGN(DY407))+DY407*POWER(MUslave,SIGN(DR407))*POWER(KLslave,SIGN(DS407))*POWER(INslave,SIGN(DT407))*POWER(CHslave_CH,SIGN(DU407))*POWER(FFslave,SIGN(DV407))*POWER(GEslave,SIGN(DW407))*POWER(KOslave,SIGN(DX407))</f>
        <v>2304</v>
      </c>
      <c r="ED407" s="234">
        <f>DR407*DS407*INslave+DR407*KLslave*DT407+MUslave*DS407*DT407</f>
        <v>3456</v>
      </c>
      <c r="EE407" s="224">
        <f>IFERROR(DR407^SIGN(DR407),1)*IFERROR(DS407^SIGN(DS407),1)*IFERROR(DT407^SIGN(DT407),1)*IFERROR(DU407^SIGN(DU407),1)*IFERROR(DV407^SIGN(DV407),1)*IFERROR(DW407^SIGN(DW407),1)*IFERROR(DX407^SIGN(DX407),1)*IFERROR(DY407^SIGN(DY407),1)</f>
        <v>1728</v>
      </c>
      <c r="EF407" s="242">
        <f t="shared" si="4363"/>
        <v>7488</v>
      </c>
      <c r="EG407" s="222">
        <f t="shared" si="4364"/>
        <v>3.6923076923076925</v>
      </c>
      <c r="EH407" s="223">
        <f t="shared" si="4365"/>
        <v>11.076923076923077</v>
      </c>
      <c r="EI407" s="243">
        <f t="shared" si="4366"/>
        <v>8.3076923076923084</v>
      </c>
      <c r="EJ407" s="243">
        <f t="shared" si="4367"/>
        <v>23.07692307692308</v>
      </c>
      <c r="EK407" s="252">
        <f t="shared" si="4368"/>
        <v>0</v>
      </c>
      <c r="EL407" s="309">
        <f t="shared" si="4369"/>
        <v>23.07692307692308</v>
      </c>
      <c r="EM407" s="218">
        <f>IF(EJ407&lt;=0,1,0)+IF(EJ407&gt;0,EJ407+1,0)*1+IF(EJ407&gt;12,EJ407-12,0)*1+IF(EJ407&gt;13,EJ407-13,0)*1+IF(EJ407&gt;14,EJ407-14,0)*1+IF(EJ407&gt;15,EJ407-15,0)*1+IF(EJ407&gt;16,EJ407-16,0)*1+IF(EJ407&gt;17,EJ407-17,0)*1+IF(EJ407&gt;18,EJ407-18,0)*1+IF(EJ407&gt;19,EJ407-19,0)*1+IF(EJ407&gt;20,EJ407-20,0)*1</f>
        <v>87.769230769230802</v>
      </c>
      <c r="EN407" s="242">
        <f>IF(EK407&lt;=0,1,0)+IF(EK407&gt;0,EK407+1,0)*1+IF(EK407&gt;12,EK407-12,0)*1+IF(EK407&gt;13,EK407-13,0)*1+IF(EK407&gt;14,EK407-14,0)*1+IF(EK407&gt;15,EK407-15,0)*1+IF(EK407&gt;16,EK407-16,0)*1+IF(EK407&gt;17,EK407-17,0)*1+IF(EK407&gt;18,EK407-18,0)*1+IF(EK407&gt;19,EK407-19,0)*1+IF(EK407&gt;20,EK407-20,0)*1</f>
        <v>1</v>
      </c>
      <c r="EO407" s="243">
        <f t="shared" si="4371"/>
        <v>86.769230769230802</v>
      </c>
      <c r="EP407" s="218">
        <f t="shared" si="4372"/>
        <v>0</v>
      </c>
      <c r="ER407" s="325" t="s">
        <v>257</v>
      </c>
      <c r="ES407" s="218" t="s">
        <v>95</v>
      </c>
      <c r="ET407" s="223" t="s">
        <v>133</v>
      </c>
      <c r="EU407" s="237">
        <f>Konvention_1slave-MUslave</f>
        <v>12</v>
      </c>
      <c r="EV407" s="234">
        <f>Konvention_1slave-KLslave</f>
        <v>12</v>
      </c>
      <c r="EW407" s="234">
        <f>Konvention_1slave-INslave</f>
        <v>12</v>
      </c>
      <c r="EX407" s="234"/>
      <c r="EY407" s="234"/>
      <c r="EZ407" s="234"/>
      <c r="FA407" s="234"/>
      <c r="FB407" s="224"/>
      <c r="FC407" s="223">
        <f>(EU407+EV407+EW407+EX407+EY407+EZ407+FA407+FB407)/3</f>
        <v>12</v>
      </c>
      <c r="FD407" s="223">
        <f t="shared" si="4373"/>
        <v>24</v>
      </c>
      <c r="FE407" s="234">
        <f t="shared" si="4374"/>
        <v>36</v>
      </c>
      <c r="FF407" s="237">
        <f>EU407*POWER(KLslave,SIGN(EV407))*POWER(INslave,SIGN(EW407))*POWER(CHslave,SIGN(EX407))*POWER(FFslave_FF,SIGN(EY407))*POWER(GEslave,SIGN(EZ407))*POWER(KOslave,SIGN(FA407))*POWER(KKslave,SIGN(FB407))+EV407*POWER(MUslave,SIGN(EU407))*POWER(INslave,SIGN(EW407))*POWER(CHslave,SIGN(EX407))*POWER(FFslave_FF,SIGN(EY407))*POWER(GEslave,SIGN(EZ407))*POWER(KOslave,SIGN(FA407))*POWER(KKslave,SIGN(FB407))+EW407*POWER(MUslave,SIGN(EU407))*POWER(KLslave,SIGN(EV407))*POWER(CHslave,SIGN(EX407))*POWER(FFslave_FF,SIGN(EY407))*POWER(GEslave,SIGN(EZ407))*POWER(KOslave,SIGN(FA407))*POWER(KKslave,SIGN(FB407))+EX407*POWER(MUslave,SIGN(EU407))*POWER(KLslave,SIGN(EV407))*POWER(INslave,SIGN(EW407))*POWER(FFslave_FF,SIGN(EY407))*POWER(GEslave,SIGN(EZ407))*POWER(KOslave,SIGN(FA407))*POWER(KKslave,SIGN(FB407))+EY407*POWER(MUslave,SIGN(EU407))*POWER(KLslave,SIGN(EV407))*POWER(INslave,SIGN(EW407))*POWER(CHslave,SIGN(EX407))*POWER(GEslave,SIGN(EZ407))*POWER(KOslave,SIGN(FA407))*POWER(KKslave,SIGN(FB407))+EZ407*POWER(MUslave,SIGN(EU407))*POWER(KLslave,SIGN(EV407))*POWER(INslave,SIGN(EW407))*POWER(CHslave,SIGN(EX407))*POWER(FFslave_FF,SIGN(EY407))*POWER(KOslave,SIGN(FA407))*POWER(KKslave,SIGN(FB407))+FA407*POWER(MUslave,SIGN(EU407))*POWER(KLslave,SIGN(EV407))*POWER(INslave,SIGN(EW407))*POWER(CHslave,SIGN(EX407))*POWER(FFslave_FF,SIGN(EY407))*POWER(GEslave,SIGN(EZ407))*POWER(KKslave,SIGN(FB407))+FB407*POWER(MUslave,SIGN(EU407))*POWER(KLslave,SIGN(EV407))*POWER(INslave,SIGN(EW407))*POWER(CHslave,SIGN(EX407))*POWER(FFslave_FF,SIGN(EY407))*POWER(GEslave,SIGN(EZ407))*POWER(KOslave,SIGN(FA407))</f>
        <v>2304</v>
      </c>
      <c r="FG407" s="234">
        <f>EU407*EV407*INslave+EU407*KLslave*EW407+MUslave*EV407*EW407</f>
        <v>3456</v>
      </c>
      <c r="FH407" s="224">
        <f>IFERROR(EU407^SIGN(EU407),1)*IFERROR(EV407^SIGN(EV407),1)*IFERROR(EW407^SIGN(EW407),1)*IFERROR(EX407^SIGN(EX407),1)*IFERROR(EY407^SIGN(EY407),1)*IFERROR(EZ407^SIGN(EZ407),1)*IFERROR(FA407^SIGN(FA407),1)*IFERROR(FB407^SIGN(FB407),1)</f>
        <v>1728</v>
      </c>
      <c r="FI407" s="242">
        <f t="shared" si="4375"/>
        <v>7488</v>
      </c>
      <c r="FJ407" s="222">
        <f t="shared" si="4376"/>
        <v>3.6923076923076925</v>
      </c>
      <c r="FK407" s="223">
        <f t="shared" si="4377"/>
        <v>11.076923076923077</v>
      </c>
      <c r="FL407" s="243">
        <f t="shared" si="4378"/>
        <v>8.3076923076923084</v>
      </c>
      <c r="FM407" s="243">
        <f t="shared" si="4379"/>
        <v>23.07692307692308</v>
      </c>
      <c r="FN407" s="252">
        <f t="shared" si="4380"/>
        <v>0</v>
      </c>
      <c r="FO407" s="309">
        <f t="shared" si="4381"/>
        <v>23.07692307692308</v>
      </c>
      <c r="FP407" s="218">
        <f>IF(FM407&lt;=0,1,0)+IF(FM407&gt;0,FM407+1,0)*1+IF(FM407&gt;12,FM407-12,0)*1+IF(FM407&gt;13,FM407-13,0)*1+IF(FM407&gt;14,FM407-14,0)*1+IF(FM407&gt;15,FM407-15,0)*1+IF(FM407&gt;16,FM407-16,0)*1+IF(FM407&gt;17,FM407-17,0)*1+IF(FM407&gt;18,FM407-18,0)*1+IF(FM407&gt;19,FM407-19,0)*1+IF(FM407&gt;20,FM407-20,0)*1</f>
        <v>87.769230769230802</v>
      </c>
      <c r="FQ407" s="242">
        <f>IF(FN407&lt;=0,1,0)+IF(FN407&gt;0,FN407+1,0)*1+IF(FN407&gt;12,FN407-12,0)*1+IF(FN407&gt;13,FN407-13,0)*1+IF(FN407&gt;14,FN407-14,0)*1+IF(FN407&gt;15,FN407-15,0)*1+IF(FN407&gt;16,FN407-16,0)*1+IF(FN407&gt;17,FN407-17,0)*1+IF(FN407&gt;18,FN407-18,0)*1+IF(FN407&gt;19,FN407-19,0)*1+IF(FN407&gt;20,FN407-20,0)*1</f>
        <v>1</v>
      </c>
      <c r="FR407" s="243">
        <f t="shared" si="4383"/>
        <v>86.769230769230802</v>
      </c>
      <c r="FS407" s="218">
        <f t="shared" si="4384"/>
        <v>0</v>
      </c>
      <c r="FU407" s="325" t="s">
        <v>257</v>
      </c>
      <c r="FV407" s="218" t="s">
        <v>95</v>
      </c>
      <c r="FW407" s="223" t="s">
        <v>133</v>
      </c>
      <c r="FX407" s="237">
        <f>Konvention_1slave-MUslave</f>
        <v>12</v>
      </c>
      <c r="FY407" s="234">
        <f>Konvention_1slave-KLslave</f>
        <v>12</v>
      </c>
      <c r="FZ407" s="234">
        <f>Konvention_1slave-INslave</f>
        <v>12</v>
      </c>
      <c r="GA407" s="234"/>
      <c r="GB407" s="234"/>
      <c r="GC407" s="234"/>
      <c r="GD407" s="234"/>
      <c r="GE407" s="224"/>
      <c r="GF407" s="223">
        <f>(FX407+FY407+FZ407+GA407+GB407+GC407+GD407+GE407)/3</f>
        <v>12</v>
      </c>
      <c r="GG407" s="223">
        <f t="shared" si="4385"/>
        <v>24</v>
      </c>
      <c r="GH407" s="234">
        <f t="shared" si="4386"/>
        <v>36</v>
      </c>
      <c r="GI407" s="237">
        <f>FX407*POWER(KLslave,SIGN(FY407))*POWER(INslave,SIGN(FZ407))*POWER(CHslave,SIGN(GA407))*POWER(FFslave,SIGN(GB407))*POWER(GEslave_GE,SIGN(GC407))*POWER(KOslave,SIGN(GD407))*POWER(KKslave,SIGN(GE407))+FY407*POWER(MUslave,SIGN(FX407))*POWER(INslave,SIGN(FZ407))*POWER(CHslave,SIGN(GA407))*POWER(FFslave,SIGN(GB407))*POWER(GEslave_GE,SIGN(GC407))*POWER(KOslave,SIGN(GD407))*POWER(KKslave,SIGN(GE407))+FZ407*POWER(MUslave,SIGN(FX407))*POWER(KLslave,SIGN(FY407))*POWER(CHslave,SIGN(GA407))*POWER(FFslave,SIGN(GB407))*POWER(GEslave_GE,SIGN(GC407))*POWER(KOslave,SIGN(GD407))*POWER(KKslave,SIGN(GE407))+GA407*POWER(MUslave,SIGN(FX407))*POWER(KLslave,SIGN(FY407))*POWER(INslave,SIGN(FZ407))*POWER(FFslave,SIGN(GB407))*POWER(GEslave_GE,SIGN(GC407))*POWER(KOslave,SIGN(GD407))*POWER(KKslave,SIGN(GE407))+GB407*POWER(MUslave,SIGN(FX407))*POWER(KLslave,SIGN(FY407))*POWER(INslave,SIGN(FZ407))*POWER(CHslave,SIGN(GA407))*POWER(GEslave_GE,SIGN(GC407))*POWER(KOslave,SIGN(GD407))*POWER(KKslave,SIGN(GE407))+GC407*POWER(MUslave,SIGN(FX407))*POWER(KLslave,SIGN(FY407))*POWER(INslave,SIGN(FZ407))*POWER(CHslave,SIGN(GA407))*POWER(FFslave,SIGN(GB407))*POWER(KOslave,SIGN(GD407))*POWER(KKslave,SIGN(GE407))+GD407*POWER(MUslave,SIGN(FX407))*POWER(KLslave,SIGN(FY407))*POWER(INslave,SIGN(FZ407))*POWER(CHslave,SIGN(GA407))*POWER(FFslave,SIGN(GB407))*POWER(GEslave_GE,SIGN(GC407))*POWER(KKslave,SIGN(GE407))+GE407*POWER(MUslave,SIGN(FX407))*POWER(KLslave,SIGN(FY407))*POWER(INslave,SIGN(FZ407))*POWER(CHslave,SIGN(GA407))*POWER(FFslave,SIGN(GB407))*POWER(GEslave_GE,SIGN(GC407))*POWER(KOslave,SIGN(GD407))</f>
        <v>2304</v>
      </c>
      <c r="GJ407" s="234">
        <f>FX407*FY407*INslave+FX407*KLslave*FZ407+MUslave*FY407*FZ407</f>
        <v>3456</v>
      </c>
      <c r="GK407" s="224">
        <f>IFERROR(FX407^SIGN(FX407),1)*IFERROR(FY407^SIGN(FY407),1)*IFERROR(FZ407^SIGN(FZ407),1)*IFERROR(GA407^SIGN(GA407),1)*IFERROR(GB407^SIGN(GB407),1)*IFERROR(GC407^SIGN(GC407),1)*IFERROR(GD407^SIGN(GD407),1)*IFERROR(GE407^SIGN(GE407),1)</f>
        <v>1728</v>
      </c>
      <c r="GL407" s="242">
        <f t="shared" si="4387"/>
        <v>7488</v>
      </c>
      <c r="GM407" s="222">
        <f t="shared" si="4388"/>
        <v>3.6923076923076925</v>
      </c>
      <c r="GN407" s="223">
        <f t="shared" si="4389"/>
        <v>11.076923076923077</v>
      </c>
      <c r="GO407" s="243">
        <f t="shared" si="4390"/>
        <v>8.3076923076923084</v>
      </c>
      <c r="GP407" s="243">
        <f t="shared" si="4391"/>
        <v>23.07692307692308</v>
      </c>
      <c r="GQ407" s="252">
        <f t="shared" si="4392"/>
        <v>0</v>
      </c>
      <c r="GR407" s="309">
        <f t="shared" si="4393"/>
        <v>23.07692307692308</v>
      </c>
      <c r="GS407" s="218">
        <f>IF(GP407&lt;=0,1,0)+IF(GP407&gt;0,GP407+1,0)*1+IF(GP407&gt;12,GP407-12,0)*1+IF(GP407&gt;13,GP407-13,0)*1+IF(GP407&gt;14,GP407-14,0)*1+IF(GP407&gt;15,GP407-15,0)*1+IF(GP407&gt;16,GP407-16,0)*1+IF(GP407&gt;17,GP407-17,0)*1+IF(GP407&gt;18,GP407-18,0)*1+IF(GP407&gt;19,GP407-19,0)*1+IF(GP407&gt;20,GP407-20,0)*1</f>
        <v>87.769230769230802</v>
      </c>
      <c r="GT407" s="242">
        <f>IF(GQ407&lt;=0,1,0)+IF(GQ407&gt;0,GQ407+1,0)*1+IF(GQ407&gt;12,GQ407-12,0)*1+IF(GQ407&gt;13,GQ407-13,0)*1+IF(GQ407&gt;14,GQ407-14,0)*1+IF(GQ407&gt;15,GQ407-15,0)*1+IF(GQ407&gt;16,GQ407-16,0)*1+IF(GQ407&gt;17,GQ407-17,0)*1+IF(GQ407&gt;18,GQ407-18,0)*1+IF(GQ407&gt;19,GQ407-19,0)*1+IF(GQ407&gt;20,GQ407-20,0)*1</f>
        <v>1</v>
      </c>
      <c r="GU407" s="243">
        <f t="shared" si="4395"/>
        <v>86.769230769230802</v>
      </c>
      <c r="GV407" s="218">
        <f t="shared" si="4396"/>
        <v>0</v>
      </c>
      <c r="GX407" s="325" t="s">
        <v>257</v>
      </c>
      <c r="GY407" s="218" t="s">
        <v>95</v>
      </c>
      <c r="GZ407" s="223" t="s">
        <v>133</v>
      </c>
      <c r="HA407" s="237">
        <f>Konvention_1slave-MUslave</f>
        <v>12</v>
      </c>
      <c r="HB407" s="234">
        <f>Konvention_1slave-KLslave</f>
        <v>12</v>
      </c>
      <c r="HC407" s="234">
        <f>Konvention_1slave-INslave</f>
        <v>12</v>
      </c>
      <c r="HD407" s="234"/>
      <c r="HE407" s="234"/>
      <c r="HF407" s="234"/>
      <c r="HG407" s="234"/>
      <c r="HH407" s="224"/>
      <c r="HI407" s="223">
        <f>(HA407+HB407+HC407+HD407+HE407+HF407+HG407+HH407)/3</f>
        <v>12</v>
      </c>
      <c r="HJ407" s="223">
        <f t="shared" si="4397"/>
        <v>24</v>
      </c>
      <c r="HK407" s="234">
        <f t="shared" si="4398"/>
        <v>36</v>
      </c>
      <c r="HL407" s="237">
        <f>HA407*POWER(KLslave,SIGN(HB407))*POWER(INslave,SIGN(HC407))*POWER(CHslave,SIGN(HD407))*POWER(FFslave,SIGN(HE407))*POWER(GEslave,SIGN(HF407))*POWER(KOslave_KO,SIGN(HG407))*POWER(KKslave,SIGN(HH407))+HB407*POWER(MUslave,SIGN(HA407))*POWER(INslave,SIGN(HC407))*POWER(CHslave,SIGN(HD407))*POWER(FFslave,SIGN(HE407))*POWER(GEslave,SIGN(HF407))*POWER(KOslave_KO,SIGN(HG407))*POWER(KKslave,SIGN(HH407))+HC407*POWER(MUslave,SIGN(HA407))*POWER(KLslave,SIGN(HB407))*POWER(CHslave,SIGN(HD407))*POWER(FFslave,SIGN(HE407))*POWER(GEslave,SIGN(HF407))*POWER(KOslave_KO,SIGN(HG407))*POWER(KKslave,SIGN(HH407))+HD407*POWER(MUslave,SIGN(HA407))*POWER(KLslave,SIGN(HB407))*POWER(INslave,SIGN(HC407))*POWER(FFslave,SIGN(HE407))*POWER(GEslave,SIGN(HF407))*POWER(KOslave_KO,SIGN(HG407))*POWER(KKslave,SIGN(HH407))+HE407*POWER(MUslave,SIGN(HA407))*POWER(KLslave,SIGN(HB407))*POWER(INslave,SIGN(HC407))*POWER(CHslave,SIGN(HD407))*POWER(GEslave,SIGN(HF407))*POWER(KOslave_KO,SIGN(HG407))*POWER(KKslave,SIGN(HH407))+HF407*POWER(MUslave,SIGN(HA407))*POWER(KLslave,SIGN(HB407))*POWER(INslave,SIGN(HC407))*POWER(CHslave,SIGN(HD407))*POWER(FFslave,SIGN(HE407))*POWER(KOslave_KO,SIGN(HG407))*POWER(KKslave,SIGN(HH407))+HG407*POWER(MUslave,SIGN(HA407))*POWER(KLslave,SIGN(HB407))*POWER(INslave,SIGN(HC407))*POWER(CHslave,SIGN(HD407))*POWER(FFslave,SIGN(HE407))*POWER(GEslave,SIGN(HF407))*POWER(KKslave,SIGN(HH407))+HH407*POWER(MUslave,SIGN(HA407))*POWER(KLslave,SIGN(HB407))*POWER(INslave,SIGN(HC407))*POWER(CHslave,SIGN(HD407))*POWER(FFslave,SIGN(HE407))*POWER(GEslave,SIGN(HF407))*POWER(KOslave_KO,SIGN(HG407))</f>
        <v>2304</v>
      </c>
      <c r="HM407" s="234">
        <f>HA407*HB407*INslave+HA407*KLslave*HC407+MUslave*HB407*HC407</f>
        <v>3456</v>
      </c>
      <c r="HN407" s="224">
        <f>IFERROR(HA407^SIGN(HA407),1)*IFERROR(HB407^SIGN(HB407),1)*IFERROR(HC407^SIGN(HC407),1)*IFERROR(HD407^SIGN(HD407),1)*IFERROR(HE407^SIGN(HE407),1)*IFERROR(HF407^SIGN(HF407),1)*IFERROR(HG407^SIGN(HG407),1)*IFERROR(HH407^SIGN(HH407),1)</f>
        <v>1728</v>
      </c>
      <c r="HO407" s="242">
        <f t="shared" si="4399"/>
        <v>7488</v>
      </c>
      <c r="HP407" s="222">
        <f t="shared" si="4400"/>
        <v>3.6923076923076925</v>
      </c>
      <c r="HQ407" s="223">
        <f t="shared" si="4401"/>
        <v>11.076923076923077</v>
      </c>
      <c r="HR407" s="243">
        <f t="shared" si="4402"/>
        <v>8.3076923076923084</v>
      </c>
      <c r="HS407" s="243">
        <f t="shared" si="4403"/>
        <v>23.07692307692308</v>
      </c>
      <c r="HT407" s="252">
        <f t="shared" si="4404"/>
        <v>0</v>
      </c>
      <c r="HU407" s="309">
        <f t="shared" si="4405"/>
        <v>23.07692307692308</v>
      </c>
      <c r="HV407" s="218">
        <f>IF(HS407&lt;=0,1,0)+IF(HS407&gt;0,HS407+1,0)*1+IF(HS407&gt;12,HS407-12,0)*1+IF(HS407&gt;13,HS407-13,0)*1+IF(HS407&gt;14,HS407-14,0)*1+IF(HS407&gt;15,HS407-15,0)*1+IF(HS407&gt;16,HS407-16,0)*1+IF(HS407&gt;17,HS407-17,0)*1+IF(HS407&gt;18,HS407-18,0)*1+IF(HS407&gt;19,HS407-19,0)*1+IF(HS407&gt;20,HS407-20,0)*1</f>
        <v>87.769230769230802</v>
      </c>
      <c r="HW407" s="242">
        <f>IF(HT407&lt;=0,1,0)+IF(HT407&gt;0,HT407+1,0)*1+IF(HT407&gt;12,HT407-12,0)*1+IF(HT407&gt;13,HT407-13,0)*1+IF(HT407&gt;14,HT407-14,0)*1+IF(HT407&gt;15,HT407-15,0)*1+IF(HT407&gt;16,HT407-16,0)*1+IF(HT407&gt;17,HT407-17,0)*1+IF(HT407&gt;18,HT407-18,0)*1+IF(HT407&gt;19,HT407-19,0)*1+IF(HT407&gt;20,HT407-20,0)*1</f>
        <v>1</v>
      </c>
      <c r="HX407" s="243">
        <f t="shared" si="4407"/>
        <v>86.769230769230802</v>
      </c>
      <c r="HY407" s="218">
        <f t="shared" si="4408"/>
        <v>0</v>
      </c>
      <c r="IA407" s="325" t="s">
        <v>257</v>
      </c>
      <c r="IB407" s="218" t="s">
        <v>95</v>
      </c>
      <c r="IC407" s="223" t="s">
        <v>133</v>
      </c>
      <c r="ID407" s="237">
        <f>Konvention_1slave-MUslave</f>
        <v>12</v>
      </c>
      <c r="IE407" s="234">
        <f>Konvention_1slave-KLslave</f>
        <v>12</v>
      </c>
      <c r="IF407" s="234">
        <f>Konvention_1slave-INslave</f>
        <v>12</v>
      </c>
      <c r="IG407" s="234"/>
      <c r="IH407" s="234"/>
      <c r="II407" s="234"/>
      <c r="IJ407" s="234"/>
      <c r="IK407" s="224"/>
      <c r="IL407" s="223">
        <f>(ID407+IE407+IF407+IG407+IH407+II407+IJ407+IK407)/3</f>
        <v>12</v>
      </c>
      <c r="IM407" s="223">
        <f t="shared" si="4409"/>
        <v>24</v>
      </c>
      <c r="IN407" s="234">
        <f t="shared" si="4410"/>
        <v>36</v>
      </c>
      <c r="IO407" s="237">
        <f>ID407*POWER(KLslave,SIGN(IE407))*POWER(INslave,SIGN(IF407))*POWER(CHslave,SIGN(IG407))*POWER(FFslave,SIGN(IH407))*POWER(GEslave,SIGN(II407))*POWER(KOslave,SIGN(IJ407))*POWER(KKslave_KK,SIGN(IK407))+IE407*POWER(MUslave,SIGN(ID407))*POWER(INslave,SIGN(IF407))*POWER(CHslave,SIGN(IG407))*POWER(FFslave,SIGN(IH407))*POWER(GEslave,SIGN(II407))*POWER(KOslave,SIGN(IJ407))*POWER(KKslave_KK,SIGN(IK407))+IF407*POWER(MUslave,SIGN(ID407))*POWER(KLslave,SIGN(IE407))*POWER(CHslave,SIGN(IG407))*POWER(FFslave,SIGN(IH407))*POWER(GEslave,SIGN(II407))*POWER(KOslave,SIGN(IJ407))*POWER(KKslave_KK,SIGN(IK407))+IG407*POWER(MUslave,SIGN(ID407))*POWER(KLslave,SIGN(IE407))*POWER(INslave,SIGN(IF407))*POWER(FFslave,SIGN(IH407))*POWER(GEslave,SIGN(II407))*POWER(KOslave,SIGN(IJ407))*POWER(KKslave_KK,SIGN(IK407))+IH407*POWER(MUslave,SIGN(ID407))*POWER(KLslave,SIGN(IE407))*POWER(INslave,SIGN(IF407))*POWER(CHslave,SIGN(IG407))*POWER(GEslave,SIGN(II407))*POWER(KOslave,SIGN(IJ407))*POWER(KKslave_KK,SIGN(IK407))+II407*POWER(MUslave,SIGN(ID407))*POWER(KLslave,SIGN(IE407))*POWER(INslave,SIGN(IF407))*POWER(CHslave,SIGN(IG407))*POWER(FFslave,SIGN(IH407))*POWER(KOslave,SIGN(IJ407))*POWER(KKslave_KK,SIGN(IK407))+IJ407*POWER(MUslave,SIGN(ID407))*POWER(KLslave,SIGN(IE407))*POWER(INslave,SIGN(IF407))*POWER(CHslave,SIGN(IG407))*POWER(FFslave,SIGN(IH407))*POWER(GEslave,SIGN(II407))*POWER(KKslave_KK,SIGN(IK407))+IK407*POWER(MUslave,SIGN(ID407))*POWER(KLslave,SIGN(IE407))*POWER(INslave,SIGN(IF407))*POWER(CHslave,SIGN(IG407))*POWER(FFslave,SIGN(IH407))*POWER(GEslave,SIGN(II407))*POWER(KOslave,SIGN(IJ407))</f>
        <v>2304</v>
      </c>
      <c r="IP407" s="234">
        <f>ID407*IE407*INslave+ID407*KLslave*IF407+MUslave*IE407*IF407</f>
        <v>3456</v>
      </c>
      <c r="IQ407" s="224">
        <f>IFERROR(ID407^SIGN(ID407),1)*IFERROR(IE407^SIGN(IE407),1)*IFERROR(IF407^SIGN(IF407),1)*IFERROR(IG407^SIGN(IG407),1)*IFERROR(IH407^SIGN(IH407),1)*IFERROR(II407^SIGN(II407),1)*IFERROR(IJ407^SIGN(IJ407),1)*IFERROR(IK407^SIGN(IK407),1)</f>
        <v>1728</v>
      </c>
      <c r="IR407" s="242">
        <f t="shared" si="4411"/>
        <v>7488</v>
      </c>
      <c r="IS407" s="222">
        <f t="shared" si="4412"/>
        <v>3.6923076923076925</v>
      </c>
      <c r="IT407" s="223">
        <f t="shared" si="4413"/>
        <v>11.076923076923077</v>
      </c>
      <c r="IU407" s="243">
        <f t="shared" si="4414"/>
        <v>8.3076923076923084</v>
      </c>
      <c r="IV407" s="243">
        <f t="shared" si="4415"/>
        <v>23.07692307692308</v>
      </c>
      <c r="IW407" s="252">
        <f t="shared" si="4416"/>
        <v>0</v>
      </c>
      <c r="IX407" s="309">
        <f t="shared" si="4417"/>
        <v>23.07692307692308</v>
      </c>
      <c r="IY407" s="218">
        <f>IF(IV407&lt;=0,1,0)+IF(IV407&gt;0,IV407+1,0)*1+IF(IV407&gt;12,IV407-12,0)*1+IF(IV407&gt;13,IV407-13,0)*1+IF(IV407&gt;14,IV407-14,0)*1+IF(IV407&gt;15,IV407-15,0)*1+IF(IV407&gt;16,IV407-16,0)*1+IF(IV407&gt;17,IV407-17,0)*1+IF(IV407&gt;18,IV407-18,0)*1+IF(IV407&gt;19,IV407-19,0)*1+IF(IV407&gt;20,IV407-20,0)*1</f>
        <v>87.769230769230802</v>
      </c>
      <c r="IZ407" s="242">
        <f>IF(IW407&lt;=0,1,0)+IF(IW407&gt;0,IW407+1,0)*1+IF(IW407&gt;12,IW407-12,0)*1+IF(IW407&gt;13,IW407-13,0)*1+IF(IW407&gt;14,IW407-14,0)*1+IF(IW407&gt;15,IW407-15,0)*1+IF(IW407&gt;16,IW407-16,0)*1+IF(IW407&gt;17,IW407-17,0)*1+IF(IW407&gt;18,IW407-18,0)*1+IF(IW407&gt;19,IW407-19,0)*1+IF(IW407&gt;20,IW407-20,0)*1</f>
        <v>1</v>
      </c>
      <c r="JA407" s="243">
        <f t="shared" si="4419"/>
        <v>86.769230769230802</v>
      </c>
      <c r="JB407" s="218">
        <f t="shared" si="4420"/>
        <v>0</v>
      </c>
      <c r="JE407" s="148"/>
    </row>
    <row r="408" spans="2:265" ht="15" hidden="1" customHeight="1" outlineLevel="2">
      <c r="B408" s="148">
        <v>5</v>
      </c>
      <c r="C408" s="325" t="e">
        <f>VLOOKUP(AF408,Attribute!C:T,1,FALSE)</f>
        <v>#N/A</v>
      </c>
      <c r="D408" s="86" t="s">
        <v>95</v>
      </c>
      <c r="E408" s="47" t="s">
        <v>133</v>
      </c>
      <c r="F408" s="114">
        <f>Konvention_1master-MUmaster</f>
        <v>12</v>
      </c>
      <c r="G408" s="113">
        <f>Konvention_1master-KLmaster</f>
        <v>12</v>
      </c>
      <c r="H408" s="113">
        <f>Konvention_1master-INmaster</f>
        <v>12</v>
      </c>
      <c r="I408" s="113"/>
      <c r="J408" s="113"/>
      <c r="K408" s="113"/>
      <c r="L408" s="113"/>
      <c r="M408" s="119"/>
      <c r="N408" s="223">
        <f>(F408+G408+H408+I408+J408+K408+L408+M408)/3</f>
        <v>12</v>
      </c>
      <c r="O408" s="223">
        <f t="shared" si="4314"/>
        <v>24</v>
      </c>
      <c r="P408" s="234">
        <f t="shared" si="4315"/>
        <v>36</v>
      </c>
      <c r="Q408" s="237">
        <f>F408*POWER(KLmaster,SIGN(G408))*POWER(INmaster,SIGN(H408))*POWER(CHmaster,SIGN(I408))*POWER(FFmaster,SIGN(J408))*POWER(GEmaster,SIGN(K408))*POWER(KOmaster,SIGN(L408))*POWER(KKmaster,SIGN(M408))+G408*POWER(MUmaster,SIGN(F408))*POWER(INmaster,SIGN(H408))*POWER(CHmaster,SIGN(I408))*POWER(FFmaster,SIGN(J408))*POWER(GEmaster,SIGN(K408))*POWER(KOmaster,SIGN(L408))*POWER(KKmaster,SIGN(M408))+H408*POWER(MUmaster,SIGN(F408))*POWER(KLmaster,SIGN(G408))*POWER(CHmaster,SIGN(I408))*POWER(FFmaster,SIGN(J408))*POWER(GEmaster,SIGN(K408))*POWER(KOmaster,SIGN(L408))*POWER(KKmaster,SIGN(M408))+I408*POWER(MUmaster,SIGN(F408))*POWER(KLmaster,SIGN(G408))*POWER(INmaster,SIGN(H408))*POWER(FFmaster,SIGN(J408))*POWER(GEmaster,SIGN(K408))*POWER(KOmaster,SIGN(L408))*POWER(KKmaster,SIGN(M408))+J408*POWER(MUmaster,SIGN(F408))*POWER(KLmaster,SIGN(G408))*POWER(INmaster,SIGN(H408))*POWER(CHmaster,SIGN(I408))*POWER(GEmaster,SIGN(K408))*POWER(KOmaster,SIGN(L408))*POWER(KKmaster,SIGN(M408))+K408*POWER(MUmaster,SIGN(F408))*POWER(KLmaster,SIGN(G408))*POWER(INmaster,SIGN(H408))*POWER(CHmaster,SIGN(I408))*POWER(FFmaster,SIGN(J408))*POWER(KOmaster,SIGN(L408))*POWER(KKmaster,SIGN(M408))+L408*POWER(MUmaster,SIGN(F408))*POWER(KLmaster,SIGN(G408))*POWER(INmaster,SIGN(H408))*POWER(CHmaster,SIGN(I408))*POWER(FFmaster,SIGN(J408))*POWER(GEmaster,SIGN(K408))*POWER(KKmaster,SIGN(M408))+M408*POWER(MUmaster,SIGN(F408))*POWER(KLmaster,SIGN(G408))*POWER(INmaster,SIGN(H408))*POWER(CHmaster,SIGN(I408))*POWER(FFmaster,SIGN(J408))*POWER(GEmaster,SIGN(K408))*POWER(KOmaster,SIGN(L408))</f>
        <v>2304</v>
      </c>
      <c r="R408" s="113">
        <f>F408*G408*INmaster+F408*KLmaster*H408+MUmaster*G408*H408</f>
        <v>3456</v>
      </c>
      <c r="S408" s="224">
        <f>IFERROR(F408^SIGN(F408),1)*IFERROR(G408^SIGN(G408),1)*IFERROR(H408^SIGN(H408),1)*IFERROR(I408^SIGN(I408),1)*IFERROR(J408^SIGN(J408),1)*IFERROR(K408^SIGN(K408),1)*IFERROR(L408^SIGN(L408),1)*IFERROR(M408^SIGN(M408),1)</f>
        <v>1728</v>
      </c>
      <c r="T408" s="242">
        <f t="shared" si="4316"/>
        <v>7488</v>
      </c>
      <c r="U408" s="222">
        <f t="shared" si="4317"/>
        <v>3.6923076923076925</v>
      </c>
      <c r="V408" s="223">
        <f t="shared" si="4318"/>
        <v>11.076923076923077</v>
      </c>
      <c r="W408" s="243">
        <f t="shared" si="4319"/>
        <v>8.3076923076923084</v>
      </c>
      <c r="X408" s="243">
        <f t="shared" si="4320"/>
        <v>23.07692307692308</v>
      </c>
      <c r="Y408" s="252">
        <v>0</v>
      </c>
      <c r="Z408" s="198">
        <f t="shared" si="4321"/>
        <v>23.07692307692308</v>
      </c>
      <c r="AA408" s="125">
        <f>IF(X408&lt;=0,1,0)+IF(X408&gt;0,X408+1,0)*1+IF(X408&gt;12,X408-12,0)*1+IF(X408&gt;13,X408-13,0)*1+IF(X408&gt;14,X408-14,0)*1+IF(X408&gt;15,X408-15,0)*1+IF(X408&gt;16,X408-16,0)*1+IF(X408&gt;17,X408-17,0)*1+IF(X408&gt;18,X408-18,0)*1+IF(X408&gt;19,X408-19,0)*1+IF(X408&gt;20,X408-20,0)*1</f>
        <v>87.769230769230802</v>
      </c>
      <c r="AB408" s="160">
        <f>IF(Y408&lt;=0,1,0)+IF(Y408&gt;0,Y408+1,0)*1+IF(Y408&gt;12,Y408-12,0)*1+IF(Y408&gt;13,Y408-13,0)*1+IF(Y408&gt;14,Y408-14,0)*1+IF(Y408&gt;15,Y408-15,0)*1+IF(Y408&gt;16,Y408-16,0)*1+IF(Y408&gt;17,Y408-17,0)*1+IF(Y408&gt;18,Y408-18,0)*1+IF(Y408&gt;19,Y408-19,0)*1+IF(Y408&gt;20,Y408-20,0)*1</f>
        <v>1</v>
      </c>
      <c r="AC408" s="127">
        <f t="shared" si="4323"/>
        <v>86.769230769230802</v>
      </c>
      <c r="AD408" s="125">
        <f t="shared" si="4324"/>
        <v>0</v>
      </c>
      <c r="AF408" s="177" t="s">
        <v>259</v>
      </c>
      <c r="AG408" s="125" t="s">
        <v>95</v>
      </c>
      <c r="AH408" s="47" t="s">
        <v>133</v>
      </c>
      <c r="AI408" s="114">
        <f>Konvention_1slave-MUslave_MU</f>
        <v>11</v>
      </c>
      <c r="AJ408" s="113">
        <f>Konvention_1slave-KLslave</f>
        <v>12</v>
      </c>
      <c r="AK408" s="113">
        <f>Konvention_1slave-INslave</f>
        <v>12</v>
      </c>
      <c r="AL408" s="113"/>
      <c r="AM408" s="113"/>
      <c r="AN408" s="113"/>
      <c r="AO408" s="113"/>
      <c r="AP408" s="119"/>
      <c r="AQ408" s="47">
        <f>(AI408+AJ408+AK408+AL408+AM408+AN408+AO408+AP408)/3</f>
        <v>11.666666666666666</v>
      </c>
      <c r="AR408" s="47">
        <f t="shared" si="4325"/>
        <v>23.333333333333332</v>
      </c>
      <c r="AS408" s="113">
        <f t="shared" si="4326"/>
        <v>35</v>
      </c>
      <c r="AT408" s="114">
        <f>AI408*POWER(KLslave,SIGN(AJ408))*POWER(INslave,SIGN(AK408))*POWER(CHslave,SIGN(AL408))*POWER(FFslave,SIGN(AM408))*POWER(GEslave,SIGN(AN408))*POWER(KOslave,SIGN(AO408))*POWER(KKslave,SIGN(AP408))+AJ408*POWER(MUslave_MU,SIGN(AI408))*POWER(INslave,SIGN(AK408))*POWER(CHslave,SIGN(AL408))*POWER(FFslave,SIGN(AM408))*POWER(GEslave,SIGN(AN408))*POWER(KOslave,SIGN(AO408))*POWER(KKslave,SIGN(AP408))+AK408*POWER(MUslave_MU,SIGN(AI408))*POWER(KLslave,SIGN(AJ408))*POWER(CHslave,SIGN(AL408))*POWER(FFslave,SIGN(AM408))*POWER(GEslave,SIGN(AN408))*POWER(KOslave,SIGN(AO408))*POWER(KKslave,SIGN(AP408))+AL408*POWER(MUslave_MU,SIGN(AI408))*POWER(KLslave,SIGN(AJ408))*POWER(INslave,SIGN(AK408))*POWER(FFslave,SIGN(AM408))*POWER(GEslave,SIGN(AN408))*POWER(KOslave,SIGN(AO408))*POWER(KKslave,SIGN(AP408))+AM408*POWER(MUslave_MU,SIGN(AI408))*POWER(KLslave,SIGN(AJ408))*POWER(INslave,SIGN(AK408))*POWER(CHslave,SIGN(AL408))*POWER(GEslave,SIGN(AN408))*POWER(KOslave,SIGN(AO408))*POWER(KKslave,SIGN(AP408))+AN408*POWER(MUslave_MU,SIGN(AI408))*POWER(KLslave,SIGN(AJ408))*POWER(INslave,SIGN(AK408))*POWER(CHslave,SIGN(AL408))*POWER(FFslave,SIGN(AM408))*POWER(KOslave,SIGN(AO408))*POWER(KKslave,SIGN(AP408))+AO408*POWER(MUslave_MU,SIGN(AI408))*POWER(KLslave,SIGN(AJ408))*POWER(INslave,SIGN(AK408))*POWER(CHslave,SIGN(AL408))*POWER(FFslave,SIGN(AM408))*POWER(GEslave,SIGN(AN408))*POWER(KKslave,SIGN(AP408))+AP408*POWER(MUslave_MU,SIGN(AI408))*POWER(KLslave,SIGN(AJ408))*POWER(INslave,SIGN(AK408))*POWER(CHslave,SIGN(AL408))*POWER(FFslave,SIGN(AM408))*POWER(GEslave,SIGN(AN408))*POWER(KOslave,SIGN(AO408))</f>
        <v>2432</v>
      </c>
      <c r="AU408" s="113">
        <f>AI408*AJ408*INslave+AI408*KLslave*AK408+MUslave_MU*AJ408*AK408</f>
        <v>3408</v>
      </c>
      <c r="AV408" s="119">
        <f>IFERROR(AI408^SIGN(AI408),1)*IFERROR(AJ408^SIGN(AJ408),1)*IFERROR(AK408^SIGN(AK408),1)*IFERROR(AL408^SIGN(AL408),1)*IFERROR(AM408^SIGN(AM408),1)*IFERROR(AN408^SIGN(AN408),1)*IFERROR(AO408^SIGN(AO408),1)*IFERROR(AP408^SIGN(AP408),1)</f>
        <v>1584</v>
      </c>
      <c r="AW408" s="160">
        <f t="shared" si="4327"/>
        <v>7424</v>
      </c>
      <c r="AX408" s="89">
        <f t="shared" si="4328"/>
        <v>3.8218390804597702</v>
      </c>
      <c r="AY408" s="47">
        <f t="shared" si="4329"/>
        <v>10.711206896551724</v>
      </c>
      <c r="AZ408" s="127">
        <f t="shared" si="4330"/>
        <v>7.4676724137931032</v>
      </c>
      <c r="BA408" s="127">
        <f t="shared" si="4331"/>
        <v>22.000718390804597</v>
      </c>
      <c r="BB408" s="165">
        <f t="shared" si="4332"/>
        <v>0</v>
      </c>
      <c r="BC408" s="198">
        <f t="shared" si="4333"/>
        <v>22.000718390804597</v>
      </c>
      <c r="BD408" s="125">
        <f>IF(BA408&lt;=0,1,0)+IF(BA408&gt;0,BA408+1,0)*1+IF(BA408&gt;12,BA408-12,0)*1+IF(BA408&gt;13,BA408-13,0)*1+IF(BA408&gt;14,BA408-14,0)*1+IF(BA408&gt;15,BA408-15,0)*1+IF(BA408&gt;16,BA408-16,0)*1+IF(BA408&gt;17,BA408-17,0)*1+IF(BA408&gt;18,BA408-18,0)*1+IF(BA408&gt;19,BA408-19,0)*1+IF(BA408&gt;20,BA408-20,0)*1</f>
        <v>77.007183908045945</v>
      </c>
      <c r="BE408" s="160">
        <f>IF(BB408&lt;=0,1,0)+IF(BB408&gt;0,BB408+1,0)*1+IF(BB408&gt;12,BB408-12,0)*1+IF(BB408&gt;13,BB408-13,0)*1+IF(BB408&gt;14,BB408-14,0)*1+IF(BB408&gt;15,BB408-15,0)*1+IF(BB408&gt;16,BB408-16,0)*1+IF(BB408&gt;17,BB408-17,0)*1+IF(BB408&gt;18,BB408-18,0)*1+IF(BB408&gt;19,BB408-19,0)*1+IF(BB408&gt;20,BB408-20,0)*1</f>
        <v>1</v>
      </c>
      <c r="BF408" s="243">
        <f t="shared" si="4335"/>
        <v>76.007183908045945</v>
      </c>
      <c r="BG408" s="218">
        <f t="shared" si="4336"/>
        <v>0</v>
      </c>
      <c r="BI408" s="325" t="s">
        <v>259</v>
      </c>
      <c r="BJ408" s="218" t="s">
        <v>95</v>
      </c>
      <c r="BK408" s="223" t="s">
        <v>133</v>
      </c>
      <c r="BL408" s="237">
        <f>Konvention_1slave-MUslave</f>
        <v>12</v>
      </c>
      <c r="BM408" s="234">
        <f>Konvention_1slave-KLslave_KL</f>
        <v>11</v>
      </c>
      <c r="BN408" s="234">
        <f>Konvention_1slave-INslave</f>
        <v>12</v>
      </c>
      <c r="BO408" s="234"/>
      <c r="BP408" s="234"/>
      <c r="BQ408" s="234"/>
      <c r="BR408" s="234"/>
      <c r="BS408" s="224"/>
      <c r="BT408" s="223">
        <f>(BL408+BM408+BN408+BO408+BP408+BQ408+BR408+BS408)/3</f>
        <v>11.666666666666666</v>
      </c>
      <c r="BU408" s="223">
        <f t="shared" si="4337"/>
        <v>23.333333333333332</v>
      </c>
      <c r="BV408" s="234">
        <f t="shared" si="4338"/>
        <v>35</v>
      </c>
      <c r="BW408" s="237">
        <f>BL408*POWER(KLslave_KL,SIGN(BM408))*POWER(INslave,SIGN(BN408))*POWER(CHslave,SIGN(BO408))*POWER(FFslave,SIGN(BP408))*POWER(GEslave,SIGN(BQ408))*POWER(KOslave,SIGN(BR408))*POWER(KKslave,SIGN(BS408))+BM408*POWER(MUslave,SIGN(BL408))*POWER(INslave,SIGN(BN408))*POWER(CHslave,SIGN(BO408))*POWER(FFslave,SIGN(BP408))*POWER(GEslave,SIGN(BQ408))*POWER(KOslave,SIGN(BR408))*POWER(KKslave,SIGN(BS408))+BN408*POWER(MUslave,SIGN(BL408))*POWER(KLslave_KL,SIGN(BM408))*POWER(CHslave,SIGN(BO408))*POWER(FFslave,SIGN(BP408))*POWER(GEslave,SIGN(BQ408))*POWER(KOslave,SIGN(BR408))*POWER(KKslave,SIGN(BS408))+BO408*POWER(MUslave,SIGN(BL408))*POWER(KLslave_KL,SIGN(BM408))*POWER(INslave,SIGN(BN408))*POWER(FFslave,SIGN(BP408))*POWER(GEslave,SIGN(BQ408))*POWER(KOslave,SIGN(BR408))*POWER(KKslave,SIGN(BS408))+BP408*POWER(MUslave,SIGN(BL408))*POWER(KLslave_KL,SIGN(BM408))*POWER(INslave,SIGN(BN408))*POWER(CHslave,SIGN(BO408))*POWER(GEslave,SIGN(BQ408))*POWER(KOslave,SIGN(BR408))*POWER(KKslave,SIGN(BS408))+BQ408*POWER(MUslave,SIGN(BL408))*POWER(KLslave_KL,SIGN(BM408))*POWER(INslave,SIGN(BN408))*POWER(CHslave,SIGN(BO408))*POWER(FFslave,SIGN(BP408))*POWER(KOslave,SIGN(BR408))*POWER(KKslave,SIGN(BS408))+BR408*POWER(MUslave,SIGN(BL408))*POWER(KLslave_KL,SIGN(BM408))*POWER(INslave,SIGN(BN408))*POWER(CHslave,SIGN(BO408))*POWER(FFslave,SIGN(BP408))*POWER(GEslave,SIGN(BQ408))*POWER(KKslave,SIGN(BS408))+BS408*POWER(MUslave,SIGN(BL408))*POWER(KLslave_KL,SIGN(BM408))*POWER(INslave,SIGN(BN408))*POWER(CHslave,SIGN(BO408))*POWER(FFslave,SIGN(BP408))*POWER(GEslave,SIGN(BQ408))*POWER(KOslave,SIGN(BR408))</f>
        <v>2432</v>
      </c>
      <c r="BX408" s="234">
        <f>BL408*BM408*INslave+BL408*KLslave_KL*BN408+MUslave*BM408*BN408</f>
        <v>3408</v>
      </c>
      <c r="BY408" s="224">
        <f>IFERROR(BL408^SIGN(BL408),1)*IFERROR(BM408^SIGN(BM408),1)*IFERROR(BN408^SIGN(BN408),1)*IFERROR(BO408^SIGN(BO408),1)*IFERROR(BP408^SIGN(BP408),1)*IFERROR(BQ408^SIGN(BQ408),1)*IFERROR(BR408^SIGN(BR408),1)*IFERROR(BS408^SIGN(BS408),1)</f>
        <v>1584</v>
      </c>
      <c r="BZ408" s="242">
        <f t="shared" si="4339"/>
        <v>7424</v>
      </c>
      <c r="CA408" s="222">
        <f t="shared" si="4340"/>
        <v>3.8218390804597702</v>
      </c>
      <c r="CB408" s="223">
        <f t="shared" si="4341"/>
        <v>10.711206896551724</v>
      </c>
      <c r="CC408" s="243">
        <f t="shared" si="4342"/>
        <v>7.4676724137931032</v>
      </c>
      <c r="CD408" s="243">
        <f t="shared" si="4343"/>
        <v>22.000718390804597</v>
      </c>
      <c r="CE408" s="252">
        <f t="shared" si="4344"/>
        <v>0</v>
      </c>
      <c r="CF408" s="309">
        <f t="shared" si="4345"/>
        <v>22.000718390804597</v>
      </c>
      <c r="CG408" s="218">
        <f>IF(CD408&lt;=0,1,0)+IF(CD408&gt;0,CD408+1,0)*1+IF(CD408&gt;12,CD408-12,0)*1+IF(CD408&gt;13,CD408-13,0)*1+IF(CD408&gt;14,CD408-14,0)*1+IF(CD408&gt;15,CD408-15,0)*1+IF(CD408&gt;16,CD408-16,0)*1+IF(CD408&gt;17,CD408-17,0)*1+IF(CD408&gt;18,CD408-18,0)*1+IF(CD408&gt;19,CD408-19,0)*1+IF(CD408&gt;20,CD408-20,0)*1</f>
        <v>77.007183908045945</v>
      </c>
      <c r="CH408" s="242">
        <f>IF(CE408&lt;=0,1,0)+IF(CE408&gt;0,CE408+1,0)*1+IF(CE408&gt;12,CE408-12,0)*1+IF(CE408&gt;13,CE408-13,0)*1+IF(CE408&gt;14,CE408-14,0)*1+IF(CE408&gt;15,CE408-15,0)*1+IF(CE408&gt;16,CE408-16,0)*1+IF(CE408&gt;17,CE408-17,0)*1+IF(CE408&gt;18,CE408-18,0)*1+IF(CE408&gt;19,CE408-19,0)*1+IF(CE408&gt;20,CE408-20,0)*1</f>
        <v>1</v>
      </c>
      <c r="CI408" s="243">
        <f t="shared" si="4347"/>
        <v>76.007183908045945</v>
      </c>
      <c r="CJ408" s="218">
        <f t="shared" si="4348"/>
        <v>0</v>
      </c>
      <c r="CL408" s="325" t="s">
        <v>259</v>
      </c>
      <c r="CM408" s="218" t="s">
        <v>95</v>
      </c>
      <c r="CN408" s="223" t="s">
        <v>133</v>
      </c>
      <c r="CO408" s="237">
        <f>Konvention_1slave-MUslave</f>
        <v>12</v>
      </c>
      <c r="CP408" s="234">
        <f>Konvention_1slave-KLslave</f>
        <v>12</v>
      </c>
      <c r="CQ408" s="234">
        <f>Konvention_1slave-INslave_IN</f>
        <v>11</v>
      </c>
      <c r="CR408" s="234"/>
      <c r="CS408" s="234"/>
      <c r="CT408" s="234"/>
      <c r="CU408" s="234"/>
      <c r="CV408" s="224"/>
      <c r="CW408" s="223">
        <f>(CO408+CP408+CQ408+CR408+CS408+CT408+CU408+CV408)/3</f>
        <v>11.666666666666666</v>
      </c>
      <c r="CX408" s="223">
        <f t="shared" si="4349"/>
        <v>23.333333333333332</v>
      </c>
      <c r="CY408" s="234">
        <f t="shared" si="4350"/>
        <v>35</v>
      </c>
      <c r="CZ408" s="237">
        <f>CO408*POWER(KLslave,SIGN(CP408))*POWER(INslave_IN,SIGN(CQ408))*POWER(CHslave,SIGN(CR408))*POWER(FFslave,SIGN(CS408))*POWER(GEslave,SIGN(CT408))*POWER(KOslave,SIGN(CU408))*POWER(KKslave,SIGN(CV408))+CP408*POWER(MUslave,SIGN(CO408))*POWER(INslave_IN,SIGN(CQ408))*POWER(CHslave,SIGN(CR408))*POWER(FFslave,SIGN(CS408))*POWER(GEslave,SIGN(CT408))*POWER(KOslave,SIGN(CU408))*POWER(KKslave,SIGN(CV408))+CQ408*POWER(MUslave,SIGN(CO408))*POWER(KLslave,SIGN(CP408))*POWER(CHslave,SIGN(CR408))*POWER(FFslave,SIGN(CS408))*POWER(GEslave,SIGN(CT408))*POWER(KOslave,SIGN(CU408))*POWER(KKslave,SIGN(CV408))+CR408*POWER(MUslave,SIGN(CO408))*POWER(KLslave,SIGN(CP408))*POWER(INslave_IN,SIGN(CQ408))*POWER(FFslave,SIGN(CS408))*POWER(GEslave,SIGN(CT408))*POWER(KOslave,SIGN(CU408))*POWER(KKslave,SIGN(CV408))+CS408*POWER(MUslave,SIGN(CO408))*POWER(KLslave,SIGN(CP408))*POWER(INslave_IN,SIGN(CQ408))*POWER(CHslave,SIGN(CR408))*POWER(GEslave,SIGN(CT408))*POWER(KOslave,SIGN(CU408))*POWER(KKslave,SIGN(CV408))+CT408*POWER(MUslave,SIGN(CO408))*POWER(KLslave,SIGN(CP408))*POWER(INslave_IN,SIGN(CQ408))*POWER(CHslave,SIGN(CR408))*POWER(FFslave,SIGN(CS408))*POWER(KOslave,SIGN(CU408))*POWER(KKslave,SIGN(CV408))+CU408*POWER(MUslave,SIGN(CO408))*POWER(KLslave,SIGN(CP408))*POWER(INslave_IN,SIGN(CQ408))*POWER(CHslave,SIGN(CR408))*POWER(FFslave,SIGN(CS408))*POWER(GEslave,SIGN(CT408))*POWER(KKslave,SIGN(CV408))+CV408*POWER(MUslave,SIGN(CO408))*POWER(KLslave,SIGN(CP408))*POWER(INslave_IN,SIGN(CQ408))*POWER(CHslave,SIGN(CR408))*POWER(FFslave,SIGN(CS408))*POWER(GEslave,SIGN(CT408))*POWER(KOslave,SIGN(CU408))</f>
        <v>2432</v>
      </c>
      <c r="DA408" s="234">
        <f>CO408*CP408*INslave_IN+CO408*KLslave*CQ408+MUslave*CP408*CQ408</f>
        <v>3408</v>
      </c>
      <c r="DB408" s="224">
        <f>IFERROR(CO408^SIGN(CO408),1)*IFERROR(CP408^SIGN(CP408),1)*IFERROR(CQ408^SIGN(CQ408),1)*IFERROR(CR408^SIGN(CR408),1)*IFERROR(CS408^SIGN(CS408),1)*IFERROR(CT408^SIGN(CT408),1)*IFERROR(CU408^SIGN(CU408),1)*IFERROR(CV408^SIGN(CV408),1)</f>
        <v>1584</v>
      </c>
      <c r="DC408" s="242">
        <f t="shared" si="4351"/>
        <v>7424</v>
      </c>
      <c r="DD408" s="222">
        <f t="shared" si="4352"/>
        <v>3.8218390804597702</v>
      </c>
      <c r="DE408" s="223">
        <f t="shared" si="4353"/>
        <v>10.711206896551724</v>
      </c>
      <c r="DF408" s="243">
        <f t="shared" si="4354"/>
        <v>7.4676724137931032</v>
      </c>
      <c r="DG408" s="243">
        <f t="shared" si="4355"/>
        <v>22.000718390804597</v>
      </c>
      <c r="DH408" s="252">
        <f t="shared" si="4356"/>
        <v>0</v>
      </c>
      <c r="DI408" s="309">
        <f t="shared" si="4357"/>
        <v>22.000718390804597</v>
      </c>
      <c r="DJ408" s="218">
        <f>IF(DG408&lt;=0,1,0)+IF(DG408&gt;0,DG408+1,0)*1+IF(DG408&gt;12,DG408-12,0)*1+IF(DG408&gt;13,DG408-13,0)*1+IF(DG408&gt;14,DG408-14,0)*1+IF(DG408&gt;15,DG408-15,0)*1+IF(DG408&gt;16,DG408-16,0)*1+IF(DG408&gt;17,DG408-17,0)*1+IF(DG408&gt;18,DG408-18,0)*1+IF(DG408&gt;19,DG408-19,0)*1+IF(DG408&gt;20,DG408-20,0)*1</f>
        <v>77.007183908045945</v>
      </c>
      <c r="DK408" s="242">
        <f>IF(DH408&lt;=0,1,0)+IF(DH408&gt;0,DH408+1,0)*1+IF(DH408&gt;12,DH408-12,0)*1+IF(DH408&gt;13,DH408-13,0)*1+IF(DH408&gt;14,DH408-14,0)*1+IF(DH408&gt;15,DH408-15,0)*1+IF(DH408&gt;16,DH408-16,0)*1+IF(DH408&gt;17,DH408-17,0)*1+IF(DH408&gt;18,DH408-18,0)*1+IF(DH408&gt;19,DH408-19,0)*1+IF(DH408&gt;20,DH408-20,0)*1</f>
        <v>1</v>
      </c>
      <c r="DL408" s="243">
        <f t="shared" si="4359"/>
        <v>76.007183908045945</v>
      </c>
      <c r="DM408" s="218">
        <f t="shared" si="4360"/>
        <v>0</v>
      </c>
      <c r="DO408" s="325" t="s">
        <v>259</v>
      </c>
      <c r="DP408" s="218" t="s">
        <v>95</v>
      </c>
      <c r="DQ408" s="223" t="s">
        <v>133</v>
      </c>
      <c r="DR408" s="237">
        <f>Konvention_1slave-MUslave</f>
        <v>12</v>
      </c>
      <c r="DS408" s="234">
        <f>Konvention_1slave-KLslave</f>
        <v>12</v>
      </c>
      <c r="DT408" s="234">
        <f>Konvention_1slave-INslave</f>
        <v>12</v>
      </c>
      <c r="DU408" s="234"/>
      <c r="DV408" s="234"/>
      <c r="DW408" s="234"/>
      <c r="DX408" s="234"/>
      <c r="DY408" s="224"/>
      <c r="DZ408" s="223">
        <f>(DR408+DS408+DT408+DU408+DV408+DW408+DX408+DY408)/3</f>
        <v>12</v>
      </c>
      <c r="EA408" s="223">
        <f t="shared" si="4361"/>
        <v>24</v>
      </c>
      <c r="EB408" s="234">
        <f t="shared" si="4362"/>
        <v>36</v>
      </c>
      <c r="EC408" s="237">
        <f>DR408*POWER(KLslave,SIGN(DS408))*POWER(INslave,SIGN(DT408))*POWER(CHslave_CH,SIGN(DU408))*POWER(FFslave,SIGN(DV408))*POWER(GEslave,SIGN(DW408))*POWER(KOslave,SIGN(DX408))*POWER(KKslave,SIGN(DY408))+DS408*POWER(MUslave,SIGN(DR408))*POWER(INslave,SIGN(DT408))*POWER(CHslave_CH,SIGN(DU408))*POWER(FFslave,SIGN(DV408))*POWER(GEslave,SIGN(DW408))*POWER(KOslave,SIGN(DX408))*POWER(KKslave,SIGN(DY408))+DT408*POWER(MUslave,SIGN(DR408))*POWER(KLslave,SIGN(DS408))*POWER(CHslave_CH,SIGN(DU408))*POWER(FFslave,SIGN(DV408))*POWER(GEslave,SIGN(DW408))*POWER(KOslave,SIGN(DX408))*POWER(KKslave,SIGN(DY408))+DU408*POWER(MUslave,SIGN(DR408))*POWER(KLslave,SIGN(DS408))*POWER(INslave,SIGN(DT408))*POWER(FFslave,SIGN(DV408))*POWER(GEslave,SIGN(DW408))*POWER(KOslave,SIGN(DX408))*POWER(KKslave,SIGN(DY408))+DV408*POWER(MUslave,SIGN(DR408))*POWER(KLslave,SIGN(DS408))*POWER(INslave,SIGN(DT408))*POWER(CHslave_CH,SIGN(DU408))*POWER(GEslave,SIGN(DW408))*POWER(KOslave,SIGN(DX408))*POWER(KKslave,SIGN(DY408))+DW408*POWER(MUslave,SIGN(DR408))*POWER(KLslave,SIGN(DS408))*POWER(INslave,SIGN(DT408))*POWER(CHslave_CH,SIGN(DU408))*POWER(FFslave,SIGN(DV408))*POWER(KOslave,SIGN(DX408))*POWER(KKslave,SIGN(DY408))+DX408*POWER(MUslave,SIGN(DR408))*POWER(KLslave,SIGN(DS408))*POWER(INslave,SIGN(DT408))*POWER(CHslave_CH,SIGN(DU408))*POWER(FFslave,SIGN(DV408))*POWER(GEslave,SIGN(DW408))*POWER(KKslave,SIGN(DY408))+DY408*POWER(MUslave,SIGN(DR408))*POWER(KLslave,SIGN(DS408))*POWER(INslave,SIGN(DT408))*POWER(CHslave_CH,SIGN(DU408))*POWER(FFslave,SIGN(DV408))*POWER(GEslave,SIGN(DW408))*POWER(KOslave,SIGN(DX408))</f>
        <v>2304</v>
      </c>
      <c r="ED408" s="234">
        <f>DR408*DS408*INslave+DR408*KLslave*DT408+MUslave*DS408*DT408</f>
        <v>3456</v>
      </c>
      <c r="EE408" s="224">
        <f>IFERROR(DR408^SIGN(DR408),1)*IFERROR(DS408^SIGN(DS408),1)*IFERROR(DT408^SIGN(DT408),1)*IFERROR(DU408^SIGN(DU408),1)*IFERROR(DV408^SIGN(DV408),1)*IFERROR(DW408^SIGN(DW408),1)*IFERROR(DX408^SIGN(DX408),1)*IFERROR(DY408^SIGN(DY408),1)</f>
        <v>1728</v>
      </c>
      <c r="EF408" s="242">
        <f t="shared" si="4363"/>
        <v>7488</v>
      </c>
      <c r="EG408" s="222">
        <f t="shared" si="4364"/>
        <v>3.6923076923076925</v>
      </c>
      <c r="EH408" s="223">
        <f t="shared" si="4365"/>
        <v>11.076923076923077</v>
      </c>
      <c r="EI408" s="243">
        <f t="shared" si="4366"/>
        <v>8.3076923076923084</v>
      </c>
      <c r="EJ408" s="243">
        <f t="shared" si="4367"/>
        <v>23.07692307692308</v>
      </c>
      <c r="EK408" s="252">
        <f t="shared" si="4368"/>
        <v>0</v>
      </c>
      <c r="EL408" s="309">
        <f t="shared" si="4369"/>
        <v>23.07692307692308</v>
      </c>
      <c r="EM408" s="218">
        <f>IF(EJ408&lt;=0,1,0)+IF(EJ408&gt;0,EJ408+1,0)*1+IF(EJ408&gt;12,EJ408-12,0)*1+IF(EJ408&gt;13,EJ408-13,0)*1+IF(EJ408&gt;14,EJ408-14,0)*1+IF(EJ408&gt;15,EJ408-15,0)*1+IF(EJ408&gt;16,EJ408-16,0)*1+IF(EJ408&gt;17,EJ408-17,0)*1+IF(EJ408&gt;18,EJ408-18,0)*1+IF(EJ408&gt;19,EJ408-19,0)*1+IF(EJ408&gt;20,EJ408-20,0)*1</f>
        <v>87.769230769230802</v>
      </c>
      <c r="EN408" s="242">
        <f>IF(EK408&lt;=0,1,0)+IF(EK408&gt;0,EK408+1,0)*1+IF(EK408&gt;12,EK408-12,0)*1+IF(EK408&gt;13,EK408-13,0)*1+IF(EK408&gt;14,EK408-14,0)*1+IF(EK408&gt;15,EK408-15,0)*1+IF(EK408&gt;16,EK408-16,0)*1+IF(EK408&gt;17,EK408-17,0)*1+IF(EK408&gt;18,EK408-18,0)*1+IF(EK408&gt;19,EK408-19,0)*1+IF(EK408&gt;20,EK408-20,0)*1</f>
        <v>1</v>
      </c>
      <c r="EO408" s="243">
        <f t="shared" si="4371"/>
        <v>86.769230769230802</v>
      </c>
      <c r="EP408" s="218">
        <f t="shared" si="4372"/>
        <v>0</v>
      </c>
      <c r="ER408" s="325" t="s">
        <v>259</v>
      </c>
      <c r="ES408" s="218" t="s">
        <v>95</v>
      </c>
      <c r="ET408" s="223" t="s">
        <v>133</v>
      </c>
      <c r="EU408" s="237">
        <f>Konvention_1slave-MUslave</f>
        <v>12</v>
      </c>
      <c r="EV408" s="234">
        <f>Konvention_1slave-KLslave</f>
        <v>12</v>
      </c>
      <c r="EW408" s="234">
        <f>Konvention_1slave-INslave</f>
        <v>12</v>
      </c>
      <c r="EX408" s="234"/>
      <c r="EY408" s="234"/>
      <c r="EZ408" s="234"/>
      <c r="FA408" s="234"/>
      <c r="FB408" s="224"/>
      <c r="FC408" s="223">
        <f>(EU408+EV408+EW408+EX408+EY408+EZ408+FA408+FB408)/3</f>
        <v>12</v>
      </c>
      <c r="FD408" s="223">
        <f t="shared" si="4373"/>
        <v>24</v>
      </c>
      <c r="FE408" s="234">
        <f t="shared" si="4374"/>
        <v>36</v>
      </c>
      <c r="FF408" s="237">
        <f>EU408*POWER(KLslave,SIGN(EV408))*POWER(INslave,SIGN(EW408))*POWER(CHslave,SIGN(EX408))*POWER(FFslave_FF,SIGN(EY408))*POWER(GEslave,SIGN(EZ408))*POWER(KOslave,SIGN(FA408))*POWER(KKslave,SIGN(FB408))+EV408*POWER(MUslave,SIGN(EU408))*POWER(INslave,SIGN(EW408))*POWER(CHslave,SIGN(EX408))*POWER(FFslave_FF,SIGN(EY408))*POWER(GEslave,SIGN(EZ408))*POWER(KOslave,SIGN(FA408))*POWER(KKslave,SIGN(FB408))+EW408*POWER(MUslave,SIGN(EU408))*POWER(KLslave,SIGN(EV408))*POWER(CHslave,SIGN(EX408))*POWER(FFslave_FF,SIGN(EY408))*POWER(GEslave,SIGN(EZ408))*POWER(KOslave,SIGN(FA408))*POWER(KKslave,SIGN(FB408))+EX408*POWER(MUslave,SIGN(EU408))*POWER(KLslave,SIGN(EV408))*POWER(INslave,SIGN(EW408))*POWER(FFslave_FF,SIGN(EY408))*POWER(GEslave,SIGN(EZ408))*POWER(KOslave,SIGN(FA408))*POWER(KKslave,SIGN(FB408))+EY408*POWER(MUslave,SIGN(EU408))*POWER(KLslave,SIGN(EV408))*POWER(INslave,SIGN(EW408))*POWER(CHslave,SIGN(EX408))*POWER(GEslave,SIGN(EZ408))*POWER(KOslave,SIGN(FA408))*POWER(KKslave,SIGN(FB408))+EZ408*POWER(MUslave,SIGN(EU408))*POWER(KLslave,SIGN(EV408))*POWER(INslave,SIGN(EW408))*POWER(CHslave,SIGN(EX408))*POWER(FFslave_FF,SIGN(EY408))*POWER(KOslave,SIGN(FA408))*POWER(KKslave,SIGN(FB408))+FA408*POWER(MUslave,SIGN(EU408))*POWER(KLslave,SIGN(EV408))*POWER(INslave,SIGN(EW408))*POWER(CHslave,SIGN(EX408))*POWER(FFslave_FF,SIGN(EY408))*POWER(GEslave,SIGN(EZ408))*POWER(KKslave,SIGN(FB408))+FB408*POWER(MUslave,SIGN(EU408))*POWER(KLslave,SIGN(EV408))*POWER(INslave,SIGN(EW408))*POWER(CHslave,SIGN(EX408))*POWER(FFslave_FF,SIGN(EY408))*POWER(GEslave,SIGN(EZ408))*POWER(KOslave,SIGN(FA408))</f>
        <v>2304</v>
      </c>
      <c r="FG408" s="234">
        <f>EU408*EV408*INslave+EU408*KLslave*EW408+MUslave*EV408*EW408</f>
        <v>3456</v>
      </c>
      <c r="FH408" s="224">
        <f>IFERROR(EU408^SIGN(EU408),1)*IFERROR(EV408^SIGN(EV408),1)*IFERROR(EW408^SIGN(EW408),1)*IFERROR(EX408^SIGN(EX408),1)*IFERROR(EY408^SIGN(EY408),1)*IFERROR(EZ408^SIGN(EZ408),1)*IFERROR(FA408^SIGN(FA408),1)*IFERROR(FB408^SIGN(FB408),1)</f>
        <v>1728</v>
      </c>
      <c r="FI408" s="242">
        <f t="shared" si="4375"/>
        <v>7488</v>
      </c>
      <c r="FJ408" s="222">
        <f t="shared" si="4376"/>
        <v>3.6923076923076925</v>
      </c>
      <c r="FK408" s="223">
        <f t="shared" si="4377"/>
        <v>11.076923076923077</v>
      </c>
      <c r="FL408" s="243">
        <f t="shared" si="4378"/>
        <v>8.3076923076923084</v>
      </c>
      <c r="FM408" s="243">
        <f t="shared" si="4379"/>
        <v>23.07692307692308</v>
      </c>
      <c r="FN408" s="252">
        <f t="shared" si="4380"/>
        <v>0</v>
      </c>
      <c r="FO408" s="309">
        <f t="shared" si="4381"/>
        <v>23.07692307692308</v>
      </c>
      <c r="FP408" s="218">
        <f>IF(FM408&lt;=0,1,0)+IF(FM408&gt;0,FM408+1,0)*1+IF(FM408&gt;12,FM408-12,0)*1+IF(FM408&gt;13,FM408-13,0)*1+IF(FM408&gt;14,FM408-14,0)*1+IF(FM408&gt;15,FM408-15,0)*1+IF(FM408&gt;16,FM408-16,0)*1+IF(FM408&gt;17,FM408-17,0)*1+IF(FM408&gt;18,FM408-18,0)*1+IF(FM408&gt;19,FM408-19,0)*1+IF(FM408&gt;20,FM408-20,0)*1</f>
        <v>87.769230769230802</v>
      </c>
      <c r="FQ408" s="242">
        <f>IF(FN408&lt;=0,1,0)+IF(FN408&gt;0,FN408+1,0)*1+IF(FN408&gt;12,FN408-12,0)*1+IF(FN408&gt;13,FN408-13,0)*1+IF(FN408&gt;14,FN408-14,0)*1+IF(FN408&gt;15,FN408-15,0)*1+IF(FN408&gt;16,FN408-16,0)*1+IF(FN408&gt;17,FN408-17,0)*1+IF(FN408&gt;18,FN408-18,0)*1+IF(FN408&gt;19,FN408-19,0)*1+IF(FN408&gt;20,FN408-20,0)*1</f>
        <v>1</v>
      </c>
      <c r="FR408" s="243">
        <f t="shared" si="4383"/>
        <v>86.769230769230802</v>
      </c>
      <c r="FS408" s="218">
        <f t="shared" si="4384"/>
        <v>0</v>
      </c>
      <c r="FU408" s="325" t="s">
        <v>259</v>
      </c>
      <c r="FV408" s="218" t="s">
        <v>95</v>
      </c>
      <c r="FW408" s="223" t="s">
        <v>133</v>
      </c>
      <c r="FX408" s="237">
        <f>Konvention_1slave-MUslave</f>
        <v>12</v>
      </c>
      <c r="FY408" s="234">
        <f>Konvention_1slave-KLslave</f>
        <v>12</v>
      </c>
      <c r="FZ408" s="234">
        <f>Konvention_1slave-INslave</f>
        <v>12</v>
      </c>
      <c r="GA408" s="234"/>
      <c r="GB408" s="234"/>
      <c r="GC408" s="234"/>
      <c r="GD408" s="234"/>
      <c r="GE408" s="224"/>
      <c r="GF408" s="223">
        <f>(FX408+FY408+FZ408+GA408+GB408+GC408+GD408+GE408)/3</f>
        <v>12</v>
      </c>
      <c r="GG408" s="223">
        <f t="shared" si="4385"/>
        <v>24</v>
      </c>
      <c r="GH408" s="234">
        <f t="shared" si="4386"/>
        <v>36</v>
      </c>
      <c r="GI408" s="237">
        <f>FX408*POWER(KLslave,SIGN(FY408))*POWER(INslave,SIGN(FZ408))*POWER(CHslave,SIGN(GA408))*POWER(FFslave,SIGN(GB408))*POWER(GEslave_GE,SIGN(GC408))*POWER(KOslave,SIGN(GD408))*POWER(KKslave,SIGN(GE408))+FY408*POWER(MUslave,SIGN(FX408))*POWER(INslave,SIGN(FZ408))*POWER(CHslave,SIGN(GA408))*POWER(FFslave,SIGN(GB408))*POWER(GEslave_GE,SIGN(GC408))*POWER(KOslave,SIGN(GD408))*POWER(KKslave,SIGN(GE408))+FZ408*POWER(MUslave,SIGN(FX408))*POWER(KLslave,SIGN(FY408))*POWER(CHslave,SIGN(GA408))*POWER(FFslave,SIGN(GB408))*POWER(GEslave_GE,SIGN(GC408))*POWER(KOslave,SIGN(GD408))*POWER(KKslave,SIGN(GE408))+GA408*POWER(MUslave,SIGN(FX408))*POWER(KLslave,SIGN(FY408))*POWER(INslave,SIGN(FZ408))*POWER(FFslave,SIGN(GB408))*POWER(GEslave_GE,SIGN(GC408))*POWER(KOslave,SIGN(GD408))*POWER(KKslave,SIGN(GE408))+GB408*POWER(MUslave,SIGN(FX408))*POWER(KLslave,SIGN(FY408))*POWER(INslave,SIGN(FZ408))*POWER(CHslave,SIGN(GA408))*POWER(GEslave_GE,SIGN(GC408))*POWER(KOslave,SIGN(GD408))*POWER(KKslave,SIGN(GE408))+GC408*POWER(MUslave,SIGN(FX408))*POWER(KLslave,SIGN(FY408))*POWER(INslave,SIGN(FZ408))*POWER(CHslave,SIGN(GA408))*POWER(FFslave,SIGN(GB408))*POWER(KOslave,SIGN(GD408))*POWER(KKslave,SIGN(GE408))+GD408*POWER(MUslave,SIGN(FX408))*POWER(KLslave,SIGN(FY408))*POWER(INslave,SIGN(FZ408))*POWER(CHslave,SIGN(GA408))*POWER(FFslave,SIGN(GB408))*POWER(GEslave_GE,SIGN(GC408))*POWER(KKslave,SIGN(GE408))+GE408*POWER(MUslave,SIGN(FX408))*POWER(KLslave,SIGN(FY408))*POWER(INslave,SIGN(FZ408))*POWER(CHslave,SIGN(GA408))*POWER(FFslave,SIGN(GB408))*POWER(GEslave_GE,SIGN(GC408))*POWER(KOslave,SIGN(GD408))</f>
        <v>2304</v>
      </c>
      <c r="GJ408" s="234">
        <f>FX408*FY408*INslave+FX408*KLslave*FZ408+MUslave*FY408*FZ408</f>
        <v>3456</v>
      </c>
      <c r="GK408" s="224">
        <f>IFERROR(FX408^SIGN(FX408),1)*IFERROR(FY408^SIGN(FY408),1)*IFERROR(FZ408^SIGN(FZ408),1)*IFERROR(GA408^SIGN(GA408),1)*IFERROR(GB408^SIGN(GB408),1)*IFERROR(GC408^SIGN(GC408),1)*IFERROR(GD408^SIGN(GD408),1)*IFERROR(GE408^SIGN(GE408),1)</f>
        <v>1728</v>
      </c>
      <c r="GL408" s="242">
        <f t="shared" si="4387"/>
        <v>7488</v>
      </c>
      <c r="GM408" s="222">
        <f t="shared" si="4388"/>
        <v>3.6923076923076925</v>
      </c>
      <c r="GN408" s="223">
        <f t="shared" si="4389"/>
        <v>11.076923076923077</v>
      </c>
      <c r="GO408" s="243">
        <f t="shared" si="4390"/>
        <v>8.3076923076923084</v>
      </c>
      <c r="GP408" s="243">
        <f t="shared" si="4391"/>
        <v>23.07692307692308</v>
      </c>
      <c r="GQ408" s="252">
        <f t="shared" si="4392"/>
        <v>0</v>
      </c>
      <c r="GR408" s="309">
        <f t="shared" si="4393"/>
        <v>23.07692307692308</v>
      </c>
      <c r="GS408" s="218">
        <f>IF(GP408&lt;=0,1,0)+IF(GP408&gt;0,GP408+1,0)*1+IF(GP408&gt;12,GP408-12,0)*1+IF(GP408&gt;13,GP408-13,0)*1+IF(GP408&gt;14,GP408-14,0)*1+IF(GP408&gt;15,GP408-15,0)*1+IF(GP408&gt;16,GP408-16,0)*1+IF(GP408&gt;17,GP408-17,0)*1+IF(GP408&gt;18,GP408-18,0)*1+IF(GP408&gt;19,GP408-19,0)*1+IF(GP408&gt;20,GP408-20,0)*1</f>
        <v>87.769230769230802</v>
      </c>
      <c r="GT408" s="242">
        <f>IF(GQ408&lt;=0,1,0)+IF(GQ408&gt;0,GQ408+1,0)*1+IF(GQ408&gt;12,GQ408-12,0)*1+IF(GQ408&gt;13,GQ408-13,0)*1+IF(GQ408&gt;14,GQ408-14,0)*1+IF(GQ408&gt;15,GQ408-15,0)*1+IF(GQ408&gt;16,GQ408-16,0)*1+IF(GQ408&gt;17,GQ408-17,0)*1+IF(GQ408&gt;18,GQ408-18,0)*1+IF(GQ408&gt;19,GQ408-19,0)*1+IF(GQ408&gt;20,GQ408-20,0)*1</f>
        <v>1</v>
      </c>
      <c r="GU408" s="243">
        <f t="shared" si="4395"/>
        <v>86.769230769230802</v>
      </c>
      <c r="GV408" s="218">
        <f t="shared" si="4396"/>
        <v>0</v>
      </c>
      <c r="GX408" s="325" t="s">
        <v>259</v>
      </c>
      <c r="GY408" s="218" t="s">
        <v>95</v>
      </c>
      <c r="GZ408" s="223" t="s">
        <v>133</v>
      </c>
      <c r="HA408" s="237">
        <f>Konvention_1slave-MUslave</f>
        <v>12</v>
      </c>
      <c r="HB408" s="234">
        <f>Konvention_1slave-KLslave</f>
        <v>12</v>
      </c>
      <c r="HC408" s="234">
        <f>Konvention_1slave-INslave</f>
        <v>12</v>
      </c>
      <c r="HD408" s="234"/>
      <c r="HE408" s="234"/>
      <c r="HF408" s="234"/>
      <c r="HG408" s="234"/>
      <c r="HH408" s="224"/>
      <c r="HI408" s="223">
        <f>(HA408+HB408+HC408+HD408+HE408+HF408+HG408+HH408)/3</f>
        <v>12</v>
      </c>
      <c r="HJ408" s="223">
        <f t="shared" si="4397"/>
        <v>24</v>
      </c>
      <c r="HK408" s="234">
        <f t="shared" si="4398"/>
        <v>36</v>
      </c>
      <c r="HL408" s="237">
        <f>HA408*POWER(KLslave,SIGN(HB408))*POWER(INslave,SIGN(HC408))*POWER(CHslave,SIGN(HD408))*POWER(FFslave,SIGN(HE408))*POWER(GEslave,SIGN(HF408))*POWER(KOslave_KO,SIGN(HG408))*POWER(KKslave,SIGN(HH408))+HB408*POWER(MUslave,SIGN(HA408))*POWER(INslave,SIGN(HC408))*POWER(CHslave,SIGN(HD408))*POWER(FFslave,SIGN(HE408))*POWER(GEslave,SIGN(HF408))*POWER(KOslave_KO,SIGN(HG408))*POWER(KKslave,SIGN(HH408))+HC408*POWER(MUslave,SIGN(HA408))*POWER(KLslave,SIGN(HB408))*POWER(CHslave,SIGN(HD408))*POWER(FFslave,SIGN(HE408))*POWER(GEslave,SIGN(HF408))*POWER(KOslave_KO,SIGN(HG408))*POWER(KKslave,SIGN(HH408))+HD408*POWER(MUslave,SIGN(HA408))*POWER(KLslave,SIGN(HB408))*POWER(INslave,SIGN(HC408))*POWER(FFslave,SIGN(HE408))*POWER(GEslave,SIGN(HF408))*POWER(KOslave_KO,SIGN(HG408))*POWER(KKslave,SIGN(HH408))+HE408*POWER(MUslave,SIGN(HA408))*POWER(KLslave,SIGN(HB408))*POWER(INslave,SIGN(HC408))*POWER(CHslave,SIGN(HD408))*POWER(GEslave,SIGN(HF408))*POWER(KOslave_KO,SIGN(HG408))*POWER(KKslave,SIGN(HH408))+HF408*POWER(MUslave,SIGN(HA408))*POWER(KLslave,SIGN(HB408))*POWER(INslave,SIGN(HC408))*POWER(CHslave,SIGN(HD408))*POWER(FFslave,SIGN(HE408))*POWER(KOslave_KO,SIGN(HG408))*POWER(KKslave,SIGN(HH408))+HG408*POWER(MUslave,SIGN(HA408))*POWER(KLslave,SIGN(HB408))*POWER(INslave,SIGN(HC408))*POWER(CHslave,SIGN(HD408))*POWER(FFslave,SIGN(HE408))*POWER(GEslave,SIGN(HF408))*POWER(KKslave,SIGN(HH408))+HH408*POWER(MUslave,SIGN(HA408))*POWER(KLslave,SIGN(HB408))*POWER(INslave,SIGN(HC408))*POWER(CHslave,SIGN(HD408))*POWER(FFslave,SIGN(HE408))*POWER(GEslave,SIGN(HF408))*POWER(KOslave_KO,SIGN(HG408))</f>
        <v>2304</v>
      </c>
      <c r="HM408" s="234">
        <f>HA408*HB408*INslave+HA408*KLslave*HC408+MUslave*HB408*HC408</f>
        <v>3456</v>
      </c>
      <c r="HN408" s="224">
        <f>IFERROR(HA408^SIGN(HA408),1)*IFERROR(HB408^SIGN(HB408),1)*IFERROR(HC408^SIGN(HC408),1)*IFERROR(HD408^SIGN(HD408),1)*IFERROR(HE408^SIGN(HE408),1)*IFERROR(HF408^SIGN(HF408),1)*IFERROR(HG408^SIGN(HG408),1)*IFERROR(HH408^SIGN(HH408),1)</f>
        <v>1728</v>
      </c>
      <c r="HO408" s="242">
        <f t="shared" si="4399"/>
        <v>7488</v>
      </c>
      <c r="HP408" s="222">
        <f t="shared" si="4400"/>
        <v>3.6923076923076925</v>
      </c>
      <c r="HQ408" s="223">
        <f t="shared" si="4401"/>
        <v>11.076923076923077</v>
      </c>
      <c r="HR408" s="243">
        <f t="shared" si="4402"/>
        <v>8.3076923076923084</v>
      </c>
      <c r="HS408" s="243">
        <f t="shared" si="4403"/>
        <v>23.07692307692308</v>
      </c>
      <c r="HT408" s="252">
        <f t="shared" si="4404"/>
        <v>0</v>
      </c>
      <c r="HU408" s="309">
        <f t="shared" si="4405"/>
        <v>23.07692307692308</v>
      </c>
      <c r="HV408" s="218">
        <f>IF(HS408&lt;=0,1,0)+IF(HS408&gt;0,HS408+1,0)*1+IF(HS408&gt;12,HS408-12,0)*1+IF(HS408&gt;13,HS408-13,0)*1+IF(HS408&gt;14,HS408-14,0)*1+IF(HS408&gt;15,HS408-15,0)*1+IF(HS408&gt;16,HS408-16,0)*1+IF(HS408&gt;17,HS408-17,0)*1+IF(HS408&gt;18,HS408-18,0)*1+IF(HS408&gt;19,HS408-19,0)*1+IF(HS408&gt;20,HS408-20,0)*1</f>
        <v>87.769230769230802</v>
      </c>
      <c r="HW408" s="242">
        <f>IF(HT408&lt;=0,1,0)+IF(HT408&gt;0,HT408+1,0)*1+IF(HT408&gt;12,HT408-12,0)*1+IF(HT408&gt;13,HT408-13,0)*1+IF(HT408&gt;14,HT408-14,0)*1+IF(HT408&gt;15,HT408-15,0)*1+IF(HT408&gt;16,HT408-16,0)*1+IF(HT408&gt;17,HT408-17,0)*1+IF(HT408&gt;18,HT408-18,0)*1+IF(HT408&gt;19,HT408-19,0)*1+IF(HT408&gt;20,HT408-20,0)*1</f>
        <v>1</v>
      </c>
      <c r="HX408" s="243">
        <f t="shared" si="4407"/>
        <v>86.769230769230802</v>
      </c>
      <c r="HY408" s="218">
        <f t="shared" si="4408"/>
        <v>0</v>
      </c>
      <c r="IA408" s="325" t="s">
        <v>259</v>
      </c>
      <c r="IB408" s="218" t="s">
        <v>95</v>
      </c>
      <c r="IC408" s="223" t="s">
        <v>133</v>
      </c>
      <c r="ID408" s="237">
        <f>Konvention_1slave-MUslave</f>
        <v>12</v>
      </c>
      <c r="IE408" s="234">
        <f>Konvention_1slave-KLslave</f>
        <v>12</v>
      </c>
      <c r="IF408" s="234">
        <f>Konvention_1slave-INslave</f>
        <v>12</v>
      </c>
      <c r="IG408" s="234"/>
      <c r="IH408" s="234"/>
      <c r="II408" s="234"/>
      <c r="IJ408" s="234"/>
      <c r="IK408" s="224"/>
      <c r="IL408" s="223">
        <f>(ID408+IE408+IF408+IG408+IH408+II408+IJ408+IK408)/3</f>
        <v>12</v>
      </c>
      <c r="IM408" s="223">
        <f t="shared" si="4409"/>
        <v>24</v>
      </c>
      <c r="IN408" s="234">
        <f t="shared" si="4410"/>
        <v>36</v>
      </c>
      <c r="IO408" s="237">
        <f>ID408*POWER(KLslave,SIGN(IE408))*POWER(INslave,SIGN(IF408))*POWER(CHslave,SIGN(IG408))*POWER(FFslave,SIGN(IH408))*POWER(GEslave,SIGN(II408))*POWER(KOslave,SIGN(IJ408))*POWER(KKslave_KK,SIGN(IK408))+IE408*POWER(MUslave,SIGN(ID408))*POWER(INslave,SIGN(IF408))*POWER(CHslave,SIGN(IG408))*POWER(FFslave,SIGN(IH408))*POWER(GEslave,SIGN(II408))*POWER(KOslave,SIGN(IJ408))*POWER(KKslave_KK,SIGN(IK408))+IF408*POWER(MUslave,SIGN(ID408))*POWER(KLslave,SIGN(IE408))*POWER(CHslave,SIGN(IG408))*POWER(FFslave,SIGN(IH408))*POWER(GEslave,SIGN(II408))*POWER(KOslave,SIGN(IJ408))*POWER(KKslave_KK,SIGN(IK408))+IG408*POWER(MUslave,SIGN(ID408))*POWER(KLslave,SIGN(IE408))*POWER(INslave,SIGN(IF408))*POWER(FFslave,SIGN(IH408))*POWER(GEslave,SIGN(II408))*POWER(KOslave,SIGN(IJ408))*POWER(KKslave_KK,SIGN(IK408))+IH408*POWER(MUslave,SIGN(ID408))*POWER(KLslave,SIGN(IE408))*POWER(INslave,SIGN(IF408))*POWER(CHslave,SIGN(IG408))*POWER(GEslave,SIGN(II408))*POWER(KOslave,SIGN(IJ408))*POWER(KKslave_KK,SIGN(IK408))+II408*POWER(MUslave,SIGN(ID408))*POWER(KLslave,SIGN(IE408))*POWER(INslave,SIGN(IF408))*POWER(CHslave,SIGN(IG408))*POWER(FFslave,SIGN(IH408))*POWER(KOslave,SIGN(IJ408))*POWER(KKslave_KK,SIGN(IK408))+IJ408*POWER(MUslave,SIGN(ID408))*POWER(KLslave,SIGN(IE408))*POWER(INslave,SIGN(IF408))*POWER(CHslave,SIGN(IG408))*POWER(FFslave,SIGN(IH408))*POWER(GEslave,SIGN(II408))*POWER(KKslave_KK,SIGN(IK408))+IK408*POWER(MUslave,SIGN(ID408))*POWER(KLslave,SIGN(IE408))*POWER(INslave,SIGN(IF408))*POWER(CHslave,SIGN(IG408))*POWER(FFslave,SIGN(IH408))*POWER(GEslave,SIGN(II408))*POWER(KOslave,SIGN(IJ408))</f>
        <v>2304</v>
      </c>
      <c r="IP408" s="234">
        <f>ID408*IE408*INslave+ID408*KLslave*IF408+MUslave*IE408*IF408</f>
        <v>3456</v>
      </c>
      <c r="IQ408" s="224">
        <f>IFERROR(ID408^SIGN(ID408),1)*IFERROR(IE408^SIGN(IE408),1)*IFERROR(IF408^SIGN(IF408),1)*IFERROR(IG408^SIGN(IG408),1)*IFERROR(IH408^SIGN(IH408),1)*IFERROR(II408^SIGN(II408),1)*IFERROR(IJ408^SIGN(IJ408),1)*IFERROR(IK408^SIGN(IK408),1)</f>
        <v>1728</v>
      </c>
      <c r="IR408" s="242">
        <f t="shared" si="4411"/>
        <v>7488</v>
      </c>
      <c r="IS408" s="222">
        <f t="shared" si="4412"/>
        <v>3.6923076923076925</v>
      </c>
      <c r="IT408" s="223">
        <f t="shared" si="4413"/>
        <v>11.076923076923077</v>
      </c>
      <c r="IU408" s="243">
        <f t="shared" si="4414"/>
        <v>8.3076923076923084</v>
      </c>
      <c r="IV408" s="243">
        <f t="shared" si="4415"/>
        <v>23.07692307692308</v>
      </c>
      <c r="IW408" s="252">
        <f t="shared" si="4416"/>
        <v>0</v>
      </c>
      <c r="IX408" s="309">
        <f t="shared" si="4417"/>
        <v>23.07692307692308</v>
      </c>
      <c r="IY408" s="218">
        <f>IF(IV408&lt;=0,1,0)+IF(IV408&gt;0,IV408+1,0)*1+IF(IV408&gt;12,IV408-12,0)*1+IF(IV408&gt;13,IV408-13,0)*1+IF(IV408&gt;14,IV408-14,0)*1+IF(IV408&gt;15,IV408-15,0)*1+IF(IV408&gt;16,IV408-16,0)*1+IF(IV408&gt;17,IV408-17,0)*1+IF(IV408&gt;18,IV408-18,0)*1+IF(IV408&gt;19,IV408-19,0)*1+IF(IV408&gt;20,IV408-20,0)*1</f>
        <v>87.769230769230802</v>
      </c>
      <c r="IZ408" s="242">
        <f>IF(IW408&lt;=0,1,0)+IF(IW408&gt;0,IW408+1,0)*1+IF(IW408&gt;12,IW408-12,0)*1+IF(IW408&gt;13,IW408-13,0)*1+IF(IW408&gt;14,IW408-14,0)*1+IF(IW408&gt;15,IW408-15,0)*1+IF(IW408&gt;16,IW408-16,0)*1+IF(IW408&gt;17,IW408-17,0)*1+IF(IW408&gt;18,IW408-18,0)*1+IF(IW408&gt;19,IW408-19,0)*1+IF(IW408&gt;20,IW408-20,0)*1</f>
        <v>1</v>
      </c>
      <c r="JA408" s="243">
        <f t="shared" si="4419"/>
        <v>86.769230769230802</v>
      </c>
      <c r="JB408" s="218">
        <f t="shared" si="4420"/>
        <v>0</v>
      </c>
      <c r="JE408" s="148"/>
    </row>
    <row r="409" spans="2:265" ht="15" hidden="1" customHeight="1" outlineLevel="2">
      <c r="B409" s="148">
        <v>6</v>
      </c>
      <c r="C409" s="326" t="e">
        <f>VLOOKUP(AF409,Attribute!C:T,1,FALSE)</f>
        <v>#N/A</v>
      </c>
      <c r="D409" s="87" t="s">
        <v>87</v>
      </c>
      <c r="E409" s="88" t="s">
        <v>132</v>
      </c>
      <c r="F409" s="115"/>
      <c r="G409" s="122">
        <f>Konvention_1master-KLmaster</f>
        <v>12</v>
      </c>
      <c r="H409" s="122">
        <f>Konvention_1master-INmaster</f>
        <v>12</v>
      </c>
      <c r="I409" s="122">
        <f>Konvention_1master-CHmaster</f>
        <v>12</v>
      </c>
      <c r="J409" s="122"/>
      <c r="K409" s="122"/>
      <c r="L409" s="122"/>
      <c r="M409" s="123"/>
      <c r="N409" s="226">
        <f>(F409+G409+H409+I409+J409+K409+L409+M409)/3</f>
        <v>12</v>
      </c>
      <c r="O409" s="226">
        <f t="shared" si="4314"/>
        <v>24</v>
      </c>
      <c r="P409" s="235">
        <f t="shared" si="4315"/>
        <v>36</v>
      </c>
      <c r="Q409" s="238">
        <f>F409*POWER(KLmaster,SIGN(G409))*POWER(INmaster,SIGN(H409))*POWER(CHmaster,SIGN(I409))*POWER(FFmaster,SIGN(J409))*POWER(GEmaster,SIGN(K409))*POWER(KOmaster,SIGN(L409))*POWER(KKmaster,SIGN(M409))+G409*POWER(MUmaster,SIGN(F409))*POWER(INmaster,SIGN(H409))*POWER(CHmaster,SIGN(I409))*POWER(FFmaster,SIGN(J409))*POWER(GEmaster,SIGN(K409))*POWER(KOmaster,SIGN(L409))*POWER(KKmaster,SIGN(M409))+H409*POWER(MUmaster,SIGN(F409))*POWER(KLmaster,SIGN(G409))*POWER(CHmaster,SIGN(I409))*POWER(FFmaster,SIGN(J409))*POWER(GEmaster,SIGN(K409))*POWER(KOmaster,SIGN(L409))*POWER(KKmaster,SIGN(M409))+I409*POWER(MUmaster,SIGN(F409))*POWER(KLmaster,SIGN(G409))*POWER(INmaster,SIGN(H409))*POWER(FFmaster,SIGN(J409))*POWER(GEmaster,SIGN(K409))*POWER(KOmaster,SIGN(L409))*POWER(KKmaster,SIGN(M409))+J409*POWER(MUmaster,SIGN(F409))*POWER(KLmaster,SIGN(G409))*POWER(INmaster,SIGN(H409))*POWER(CHmaster,SIGN(I409))*POWER(GEmaster,SIGN(K409))*POWER(KOmaster,SIGN(L409))*POWER(KKmaster,SIGN(M409))+K409*POWER(MUmaster,SIGN(F409))*POWER(KLmaster,SIGN(G409))*POWER(INmaster,SIGN(H409))*POWER(CHmaster,SIGN(I409))*POWER(FFmaster,SIGN(J409))*POWER(KOmaster,SIGN(L409))*POWER(KKmaster,SIGN(M409))+L409*POWER(MUmaster,SIGN(F409))*POWER(KLmaster,SIGN(G409))*POWER(INmaster,SIGN(H409))*POWER(CHmaster,SIGN(I409))*POWER(FFmaster,SIGN(J409))*POWER(GEmaster,SIGN(K409))*POWER(KKmaster,SIGN(M409))+M409*POWER(MUmaster,SIGN(F409))*POWER(KLmaster,SIGN(G409))*POWER(INmaster,SIGN(H409))*POWER(CHmaster,SIGN(I409))*POWER(FFmaster,SIGN(J409))*POWER(GEmaster,SIGN(K409))*POWER(KOmaster,SIGN(L409))</f>
        <v>2304</v>
      </c>
      <c r="R409" s="122">
        <f>G409*H409*CHmaster+G409*INmaster*I409+KLmaster*H409*I409</f>
        <v>3456</v>
      </c>
      <c r="S409" s="227">
        <f>IFERROR(F409^SIGN(F409),1)*IFERROR(G409^SIGN(G409),1)*IFERROR(H409^SIGN(H409),1)*IFERROR(I409^SIGN(I409),1)*IFERROR(J409^SIGN(J409),1)*IFERROR(K409^SIGN(K409),1)*IFERROR(L409^SIGN(L409),1)*IFERROR(M409^SIGN(M409),1)</f>
        <v>1728</v>
      </c>
      <c r="T409" s="244">
        <f t="shared" si="4316"/>
        <v>7488</v>
      </c>
      <c r="U409" s="225">
        <f t="shared" si="4317"/>
        <v>3.6923076923076925</v>
      </c>
      <c r="V409" s="226">
        <f t="shared" si="4318"/>
        <v>11.076923076923077</v>
      </c>
      <c r="W409" s="245">
        <f t="shared" si="4319"/>
        <v>8.3076923076923084</v>
      </c>
      <c r="X409" s="245">
        <f t="shared" si="4320"/>
        <v>23.07692307692308</v>
      </c>
      <c r="Y409" s="252">
        <v>0</v>
      </c>
      <c r="Z409" s="198">
        <f t="shared" si="4321"/>
        <v>23.07692307692308</v>
      </c>
      <c r="AA409" s="159">
        <f>IF(X409&lt;=0,2,0)+IF(X409&gt;0,X409+1,0)*2+IF(X409&gt;12,X409-12,0)*2+IF(X409&gt;13,X409-13,0)*2+IF(X409&gt;14,X409-14,0)*2+IF(X409&gt;15,X409-15,0)*2+IF(X409&gt;16,X409-16,0)*2+IF(X409&gt;17,X409-17,0)*2+IF(X409&gt;18,X409-18,0)*2+IF(X409&gt;19,X409-19,0)*2+IF(X409&gt;20,X409-20,0)*2</f>
        <v>175.5384615384616</v>
      </c>
      <c r="AB409" s="161">
        <f>IF(Y409&lt;=0,2,0)+IF(Y409&gt;0,Y409+1,0)*2+IF(Y409&gt;12,Y409-12,0)*2+IF(Y409&gt;13,Y409-13,0)*2+IF(Y409&gt;14,Y409-14,0)*2+IF(Y409&gt;15,Y409-15,0)*2+IF(Y409&gt;16,Y409-16,0)*2+IF(Y409&gt;17,Y409-17,0)*2+IF(Y409&gt;18,Y409-18,0)*2+IF(Y409&gt;19,Y409-19,0)*2+IF(Y409&gt;20,Y409-20,0)*2</f>
        <v>2</v>
      </c>
      <c r="AC409" s="128">
        <f t="shared" si="4323"/>
        <v>173.5384615384616</v>
      </c>
      <c r="AD409" s="159">
        <f t="shared" si="4324"/>
        <v>0</v>
      </c>
      <c r="AF409" s="178" t="s">
        <v>260</v>
      </c>
      <c r="AG409" s="159" t="s">
        <v>87</v>
      </c>
      <c r="AH409" s="88" t="s">
        <v>132</v>
      </c>
      <c r="AI409" s="115"/>
      <c r="AJ409" s="122">
        <f>Konvention_1slave-KLslave</f>
        <v>12</v>
      </c>
      <c r="AK409" s="122">
        <f>Konvention_1slave-INslave</f>
        <v>12</v>
      </c>
      <c r="AL409" s="122">
        <f>Konvention_1slave-CHslave</f>
        <v>12</v>
      </c>
      <c r="AM409" s="122"/>
      <c r="AN409" s="122"/>
      <c r="AO409" s="122"/>
      <c r="AP409" s="123"/>
      <c r="AQ409" s="88">
        <f>(AI409+AJ409+AK409+AL409+AM409+AN409+AO409+AP409)/3</f>
        <v>12</v>
      </c>
      <c r="AR409" s="88">
        <f t="shared" si="4325"/>
        <v>24</v>
      </c>
      <c r="AS409" s="122">
        <f t="shared" si="4326"/>
        <v>36</v>
      </c>
      <c r="AT409" s="115">
        <f>AI409*POWER(KLslave,SIGN(AJ409))*POWER(INslave,SIGN(AK409))*POWER(CHslave,SIGN(AL409))*POWER(FFslave,SIGN(AM409))*POWER(GEslave,SIGN(AN409))*POWER(KOslave,SIGN(AO409))*POWER(KKslave,SIGN(AP409))+AJ409*POWER(MUslave_MU,SIGN(AI409))*POWER(INslave,SIGN(AK409))*POWER(CHslave,SIGN(AL409))*POWER(FFslave,SIGN(AM409))*POWER(GEslave,SIGN(AN409))*POWER(KOslave,SIGN(AO409))*POWER(KKslave,SIGN(AP409))+AK409*POWER(MUslave_MU,SIGN(AI409))*POWER(KLslave,SIGN(AJ409))*POWER(CHslave,SIGN(AL409))*POWER(FFslave,SIGN(AM409))*POWER(GEslave,SIGN(AN409))*POWER(KOslave,SIGN(AO409))*POWER(KKslave,SIGN(AP409))+AL409*POWER(MUslave_MU,SIGN(AI409))*POWER(KLslave,SIGN(AJ409))*POWER(INslave,SIGN(AK409))*POWER(FFslave,SIGN(AM409))*POWER(GEslave,SIGN(AN409))*POWER(KOslave,SIGN(AO409))*POWER(KKslave,SIGN(AP409))+AM409*POWER(MUslave_MU,SIGN(AI409))*POWER(KLslave,SIGN(AJ409))*POWER(INslave,SIGN(AK409))*POWER(CHslave,SIGN(AL409))*POWER(GEslave,SIGN(AN409))*POWER(KOslave,SIGN(AO409))*POWER(KKslave,SIGN(AP409))+AN409*POWER(MUslave_MU,SIGN(AI409))*POWER(KLslave,SIGN(AJ409))*POWER(INslave,SIGN(AK409))*POWER(CHslave,SIGN(AL409))*POWER(FFslave,SIGN(AM409))*POWER(KOslave,SIGN(AO409))*POWER(KKslave,SIGN(AP409))+AO409*POWER(MUslave_MU,SIGN(AI409))*POWER(KLslave,SIGN(AJ409))*POWER(INslave,SIGN(AK409))*POWER(CHslave,SIGN(AL409))*POWER(FFslave,SIGN(AM409))*POWER(GEslave,SIGN(AN409))*POWER(KKslave,SIGN(AP409))+AP409*POWER(MUslave_MU,SIGN(AI409))*POWER(KLslave,SIGN(AJ409))*POWER(INslave,SIGN(AK409))*POWER(CHslave,SIGN(AL409))*POWER(FFslave,SIGN(AM409))*POWER(GEslave,SIGN(AN409))*POWER(KOslave,SIGN(AO409))</f>
        <v>2304</v>
      </c>
      <c r="AU409" s="122">
        <f>AJ409*AK409*CHslave+AJ409*INslave*AL409+KLslave*AK409*AL409</f>
        <v>3456</v>
      </c>
      <c r="AV409" s="123">
        <f>IFERROR(AI409^SIGN(AI409),1)*IFERROR(AJ409^SIGN(AJ409),1)*IFERROR(AK409^SIGN(AK409),1)*IFERROR(AL409^SIGN(AL409),1)*IFERROR(AM409^SIGN(AM409),1)*IFERROR(AN409^SIGN(AN409),1)*IFERROR(AO409^SIGN(AO409),1)*IFERROR(AP409^SIGN(AP409),1)</f>
        <v>1728</v>
      </c>
      <c r="AW409" s="161">
        <f t="shared" si="4327"/>
        <v>7488</v>
      </c>
      <c r="AX409" s="90">
        <f t="shared" si="4328"/>
        <v>3.6923076923076925</v>
      </c>
      <c r="AY409" s="88">
        <f t="shared" si="4329"/>
        <v>11.076923076923077</v>
      </c>
      <c r="AZ409" s="128">
        <f t="shared" si="4330"/>
        <v>8.3076923076923084</v>
      </c>
      <c r="BA409" s="128">
        <f t="shared" si="4331"/>
        <v>23.07692307692308</v>
      </c>
      <c r="BB409" s="165">
        <f t="shared" si="4332"/>
        <v>0</v>
      </c>
      <c r="BC409" s="198">
        <f t="shared" si="4333"/>
        <v>23.07692307692308</v>
      </c>
      <c r="BD409" s="159">
        <f>IF(BA409&lt;=0,2,0)+IF(BA409&gt;0,BA409+1,0)*2+IF(BA409&gt;12,BA409-12,0)*2+IF(BA409&gt;13,BA409-13,0)*2+IF(BA409&gt;14,BA409-14,0)*2+IF(BA409&gt;15,BA409-15,0)*2+IF(BA409&gt;16,BA409-16,0)*2+IF(BA409&gt;17,BA409-17,0)*2+IF(BA409&gt;18,BA409-18,0)*2+IF(BA409&gt;19,BA409-19,0)*2+IF(BA409&gt;20,BA409-20,0)*2</f>
        <v>175.5384615384616</v>
      </c>
      <c r="BE409" s="161">
        <f>IF(BB409&lt;=0,2,0)+IF(BB409&gt;0,BB409+1,0)*2+IF(BB409&gt;12,BB409-12,0)*2+IF(BB409&gt;13,BB409-13,0)*2+IF(BB409&gt;14,BB409-14,0)*2+IF(BB409&gt;15,BB409-15,0)*2+IF(BB409&gt;16,BB409-16,0)*2+IF(BB409&gt;17,BB409-17,0)*2+IF(BB409&gt;18,BB409-18,0)*2+IF(BB409&gt;19,BB409-19,0)*2+IF(BB409&gt;20,BB409-20,0)*2</f>
        <v>2</v>
      </c>
      <c r="BF409" s="245">
        <f t="shared" si="4335"/>
        <v>173.5384615384616</v>
      </c>
      <c r="BG409" s="246">
        <f t="shared" si="4336"/>
        <v>0</v>
      </c>
      <c r="BI409" s="326" t="s">
        <v>260</v>
      </c>
      <c r="BJ409" s="246" t="s">
        <v>87</v>
      </c>
      <c r="BK409" s="226" t="s">
        <v>132</v>
      </c>
      <c r="BL409" s="238"/>
      <c r="BM409" s="235">
        <f>Konvention_1slave-KLslave_KL</f>
        <v>11</v>
      </c>
      <c r="BN409" s="235">
        <f>Konvention_1slave-INslave</f>
        <v>12</v>
      </c>
      <c r="BO409" s="235">
        <f>Konvention_1slave-CHslave</f>
        <v>12</v>
      </c>
      <c r="BP409" s="235"/>
      <c r="BQ409" s="235"/>
      <c r="BR409" s="235"/>
      <c r="BS409" s="227"/>
      <c r="BT409" s="226">
        <f>(BL409+BM409+BN409+BO409+BP409+BQ409+BR409+BS409)/3</f>
        <v>11.666666666666666</v>
      </c>
      <c r="BU409" s="226">
        <f t="shared" si="4337"/>
        <v>23.333333333333332</v>
      </c>
      <c r="BV409" s="235">
        <f t="shared" si="4338"/>
        <v>35</v>
      </c>
      <c r="BW409" s="238">
        <f>BL409*POWER(KLslave_KL,SIGN(BM409))*POWER(INslave,SIGN(BN409))*POWER(CHslave,SIGN(BO409))*POWER(FFslave,SIGN(BP409))*POWER(GEslave,SIGN(BQ409))*POWER(KOslave,SIGN(BR409))*POWER(KKslave,SIGN(BS409))+BM409*POWER(MUslave,SIGN(BL409))*POWER(INslave,SIGN(BN409))*POWER(CHslave,SIGN(BO409))*POWER(FFslave,SIGN(BP409))*POWER(GEslave,SIGN(BQ409))*POWER(KOslave,SIGN(BR409))*POWER(KKslave,SIGN(BS409))+BN409*POWER(MUslave,SIGN(BL409))*POWER(KLslave_KL,SIGN(BM409))*POWER(CHslave,SIGN(BO409))*POWER(FFslave,SIGN(BP409))*POWER(GEslave,SIGN(BQ409))*POWER(KOslave,SIGN(BR409))*POWER(KKslave,SIGN(BS409))+BO409*POWER(MUslave,SIGN(BL409))*POWER(KLslave_KL,SIGN(BM409))*POWER(INslave,SIGN(BN409))*POWER(FFslave,SIGN(BP409))*POWER(GEslave,SIGN(BQ409))*POWER(KOslave,SIGN(BR409))*POWER(KKslave,SIGN(BS409))+BP409*POWER(MUslave,SIGN(BL409))*POWER(KLslave_KL,SIGN(BM409))*POWER(INslave,SIGN(BN409))*POWER(CHslave,SIGN(BO409))*POWER(GEslave,SIGN(BQ409))*POWER(KOslave,SIGN(BR409))*POWER(KKslave,SIGN(BS409))+BQ409*POWER(MUslave,SIGN(BL409))*POWER(KLslave_KL,SIGN(BM409))*POWER(INslave,SIGN(BN409))*POWER(CHslave,SIGN(BO409))*POWER(FFslave,SIGN(BP409))*POWER(KOslave,SIGN(BR409))*POWER(KKslave,SIGN(BS409))+BR409*POWER(MUslave,SIGN(BL409))*POWER(KLslave_KL,SIGN(BM409))*POWER(INslave,SIGN(BN409))*POWER(CHslave,SIGN(BO409))*POWER(FFslave,SIGN(BP409))*POWER(GEslave,SIGN(BQ409))*POWER(KKslave,SIGN(BS409))+BS409*POWER(MUslave,SIGN(BL409))*POWER(KLslave_KL,SIGN(BM409))*POWER(INslave,SIGN(BN409))*POWER(CHslave,SIGN(BO409))*POWER(FFslave,SIGN(BP409))*POWER(GEslave,SIGN(BQ409))*POWER(KOslave,SIGN(BR409))</f>
        <v>2432</v>
      </c>
      <c r="BX409" s="235">
        <f>BM409*BN409*CHslave+BM409*INslave*BO409+KLslave_KL*BN409*BO409</f>
        <v>3408</v>
      </c>
      <c r="BY409" s="227">
        <f>IFERROR(BL409^SIGN(BL409),1)*IFERROR(BM409^SIGN(BM409),1)*IFERROR(BN409^SIGN(BN409),1)*IFERROR(BO409^SIGN(BO409),1)*IFERROR(BP409^SIGN(BP409),1)*IFERROR(BQ409^SIGN(BQ409),1)*IFERROR(BR409^SIGN(BR409),1)*IFERROR(BS409^SIGN(BS409),1)</f>
        <v>1584</v>
      </c>
      <c r="BZ409" s="244">
        <f t="shared" si="4339"/>
        <v>7424</v>
      </c>
      <c r="CA409" s="225">
        <f t="shared" si="4340"/>
        <v>3.8218390804597702</v>
      </c>
      <c r="CB409" s="226">
        <f t="shared" si="4341"/>
        <v>10.711206896551724</v>
      </c>
      <c r="CC409" s="245">
        <f t="shared" si="4342"/>
        <v>7.4676724137931032</v>
      </c>
      <c r="CD409" s="245">
        <f t="shared" si="4343"/>
        <v>22.000718390804597</v>
      </c>
      <c r="CE409" s="252">
        <f t="shared" si="4344"/>
        <v>0</v>
      </c>
      <c r="CF409" s="309">
        <f t="shared" si="4345"/>
        <v>22.000718390804597</v>
      </c>
      <c r="CG409" s="246">
        <f>IF(CD409&lt;=0,2,0)+IF(CD409&gt;0,CD409+1,0)*2+IF(CD409&gt;12,CD409-12,0)*2+IF(CD409&gt;13,CD409-13,0)*2+IF(CD409&gt;14,CD409-14,0)*2+IF(CD409&gt;15,CD409-15,0)*2+IF(CD409&gt;16,CD409-16,0)*2+IF(CD409&gt;17,CD409-17,0)*2+IF(CD409&gt;18,CD409-18,0)*2+IF(CD409&gt;19,CD409-19,0)*2+IF(CD409&gt;20,CD409-20,0)*2</f>
        <v>154.01436781609189</v>
      </c>
      <c r="CH409" s="244">
        <f>IF(CE409&lt;=0,2,0)+IF(CE409&gt;0,CE409+1,0)*2+IF(CE409&gt;12,CE409-12,0)*2+IF(CE409&gt;13,CE409-13,0)*2+IF(CE409&gt;14,CE409-14,0)*2+IF(CE409&gt;15,CE409-15,0)*2+IF(CE409&gt;16,CE409-16,0)*2+IF(CE409&gt;17,CE409-17,0)*2+IF(CE409&gt;18,CE409-18,0)*2+IF(CE409&gt;19,CE409-19,0)*2+IF(CE409&gt;20,CE409-20,0)*2</f>
        <v>2</v>
      </c>
      <c r="CI409" s="245">
        <f t="shared" si="4347"/>
        <v>152.01436781609189</v>
      </c>
      <c r="CJ409" s="246">
        <f t="shared" si="4348"/>
        <v>0</v>
      </c>
      <c r="CL409" s="326" t="s">
        <v>260</v>
      </c>
      <c r="CM409" s="246" t="s">
        <v>87</v>
      </c>
      <c r="CN409" s="226" t="s">
        <v>132</v>
      </c>
      <c r="CO409" s="238"/>
      <c r="CP409" s="235">
        <f>Konvention_1slave-KLslave</f>
        <v>12</v>
      </c>
      <c r="CQ409" s="235">
        <f>Konvention_1slave-INslave_IN</f>
        <v>11</v>
      </c>
      <c r="CR409" s="235">
        <f>Konvention_1slave-CHslave</f>
        <v>12</v>
      </c>
      <c r="CS409" s="235"/>
      <c r="CT409" s="235"/>
      <c r="CU409" s="235"/>
      <c r="CV409" s="227"/>
      <c r="CW409" s="226">
        <f>(CO409+CP409+CQ409+CR409+CS409+CT409+CU409+CV409)/3</f>
        <v>11.666666666666666</v>
      </c>
      <c r="CX409" s="226">
        <f t="shared" si="4349"/>
        <v>23.333333333333332</v>
      </c>
      <c r="CY409" s="235">
        <f t="shared" si="4350"/>
        <v>35</v>
      </c>
      <c r="CZ409" s="238">
        <f>CO409*POWER(KLslave,SIGN(CP409))*POWER(INslave_IN,SIGN(CQ409))*POWER(CHslave,SIGN(CR409))*POWER(FFslave,SIGN(CS409))*POWER(GEslave,SIGN(CT409))*POWER(KOslave,SIGN(CU409))*POWER(KKslave,SIGN(CV409))+CP409*POWER(MUslave,SIGN(CO409))*POWER(INslave_IN,SIGN(CQ409))*POWER(CHslave,SIGN(CR409))*POWER(FFslave,SIGN(CS409))*POWER(GEslave,SIGN(CT409))*POWER(KOslave,SIGN(CU409))*POWER(KKslave,SIGN(CV409))+CQ409*POWER(MUslave,SIGN(CO409))*POWER(KLslave,SIGN(CP409))*POWER(CHslave,SIGN(CR409))*POWER(FFslave,SIGN(CS409))*POWER(GEslave,SIGN(CT409))*POWER(KOslave,SIGN(CU409))*POWER(KKslave,SIGN(CV409))+CR409*POWER(MUslave,SIGN(CO409))*POWER(KLslave,SIGN(CP409))*POWER(INslave_IN,SIGN(CQ409))*POWER(FFslave,SIGN(CS409))*POWER(GEslave,SIGN(CT409))*POWER(KOslave,SIGN(CU409))*POWER(KKslave,SIGN(CV409))+CS409*POWER(MUslave,SIGN(CO409))*POWER(KLslave,SIGN(CP409))*POWER(INslave_IN,SIGN(CQ409))*POWER(CHslave,SIGN(CR409))*POWER(GEslave,SIGN(CT409))*POWER(KOslave,SIGN(CU409))*POWER(KKslave,SIGN(CV409))+CT409*POWER(MUslave,SIGN(CO409))*POWER(KLslave,SIGN(CP409))*POWER(INslave_IN,SIGN(CQ409))*POWER(CHslave,SIGN(CR409))*POWER(FFslave,SIGN(CS409))*POWER(KOslave,SIGN(CU409))*POWER(KKslave,SIGN(CV409))+CU409*POWER(MUslave,SIGN(CO409))*POWER(KLslave,SIGN(CP409))*POWER(INslave_IN,SIGN(CQ409))*POWER(CHslave,SIGN(CR409))*POWER(FFslave,SIGN(CS409))*POWER(GEslave,SIGN(CT409))*POWER(KKslave,SIGN(CV409))+CV409*POWER(MUslave,SIGN(CO409))*POWER(KLslave,SIGN(CP409))*POWER(INslave_IN,SIGN(CQ409))*POWER(CHslave,SIGN(CR409))*POWER(FFslave,SIGN(CS409))*POWER(GEslave,SIGN(CT409))*POWER(KOslave,SIGN(CU409))</f>
        <v>2432</v>
      </c>
      <c r="DA409" s="235">
        <f>CP409*CQ409*CHslave+CP409*INslave_IN*CR409+KLslave*CQ409*CR409</f>
        <v>3408</v>
      </c>
      <c r="DB409" s="227">
        <f>IFERROR(CO409^SIGN(CO409),1)*IFERROR(CP409^SIGN(CP409),1)*IFERROR(CQ409^SIGN(CQ409),1)*IFERROR(CR409^SIGN(CR409),1)*IFERROR(CS409^SIGN(CS409),1)*IFERROR(CT409^SIGN(CT409),1)*IFERROR(CU409^SIGN(CU409),1)*IFERROR(CV409^SIGN(CV409),1)</f>
        <v>1584</v>
      </c>
      <c r="DC409" s="244">
        <f t="shared" si="4351"/>
        <v>7424</v>
      </c>
      <c r="DD409" s="225">
        <f t="shared" si="4352"/>
        <v>3.8218390804597702</v>
      </c>
      <c r="DE409" s="226">
        <f t="shared" si="4353"/>
        <v>10.711206896551724</v>
      </c>
      <c r="DF409" s="245">
        <f t="shared" si="4354"/>
        <v>7.4676724137931032</v>
      </c>
      <c r="DG409" s="245">
        <f t="shared" si="4355"/>
        <v>22.000718390804597</v>
      </c>
      <c r="DH409" s="252">
        <f t="shared" si="4356"/>
        <v>0</v>
      </c>
      <c r="DI409" s="309">
        <f t="shared" si="4357"/>
        <v>22.000718390804597</v>
      </c>
      <c r="DJ409" s="246">
        <f>IF(DG409&lt;=0,2,0)+IF(DG409&gt;0,DG409+1,0)*2+IF(DG409&gt;12,DG409-12,0)*2+IF(DG409&gt;13,DG409-13,0)*2+IF(DG409&gt;14,DG409-14,0)*2+IF(DG409&gt;15,DG409-15,0)*2+IF(DG409&gt;16,DG409-16,0)*2+IF(DG409&gt;17,DG409-17,0)*2+IF(DG409&gt;18,DG409-18,0)*2+IF(DG409&gt;19,DG409-19,0)*2+IF(DG409&gt;20,DG409-20,0)*2</f>
        <v>154.01436781609189</v>
      </c>
      <c r="DK409" s="244">
        <f>IF(DH409&lt;=0,2,0)+IF(DH409&gt;0,DH409+1,0)*2+IF(DH409&gt;12,DH409-12,0)*2+IF(DH409&gt;13,DH409-13,0)*2+IF(DH409&gt;14,DH409-14,0)*2+IF(DH409&gt;15,DH409-15,0)*2+IF(DH409&gt;16,DH409-16,0)*2+IF(DH409&gt;17,DH409-17,0)*2+IF(DH409&gt;18,DH409-18,0)*2+IF(DH409&gt;19,DH409-19,0)*2+IF(DH409&gt;20,DH409-20,0)*2</f>
        <v>2</v>
      </c>
      <c r="DL409" s="245">
        <f t="shared" si="4359"/>
        <v>152.01436781609189</v>
      </c>
      <c r="DM409" s="246">
        <f t="shared" si="4360"/>
        <v>0</v>
      </c>
      <c r="DO409" s="326" t="s">
        <v>260</v>
      </c>
      <c r="DP409" s="246" t="s">
        <v>87</v>
      </c>
      <c r="DQ409" s="226" t="s">
        <v>132</v>
      </c>
      <c r="DR409" s="238"/>
      <c r="DS409" s="235">
        <f>Konvention_1slave-KLslave</f>
        <v>12</v>
      </c>
      <c r="DT409" s="235">
        <f>Konvention_1slave-INslave</f>
        <v>12</v>
      </c>
      <c r="DU409" s="235">
        <f>Konvention_1slave-CHslave_CH</f>
        <v>11</v>
      </c>
      <c r="DV409" s="235"/>
      <c r="DW409" s="235"/>
      <c r="DX409" s="235"/>
      <c r="DY409" s="227"/>
      <c r="DZ409" s="226">
        <f>(DR409+DS409+DT409+DU409+DV409+DW409+DX409+DY409)/3</f>
        <v>11.666666666666666</v>
      </c>
      <c r="EA409" s="226">
        <f t="shared" si="4361"/>
        <v>23.333333333333332</v>
      </c>
      <c r="EB409" s="235">
        <f t="shared" si="4362"/>
        <v>35</v>
      </c>
      <c r="EC409" s="238">
        <f>DR409*POWER(KLslave,SIGN(DS409))*POWER(INslave,SIGN(DT409))*POWER(CHslave_CH,SIGN(DU409))*POWER(FFslave,SIGN(DV409))*POWER(GEslave,SIGN(DW409))*POWER(KOslave,SIGN(DX409))*POWER(KKslave,SIGN(DY409))+DS409*POWER(MUslave,SIGN(DR409))*POWER(INslave,SIGN(DT409))*POWER(CHslave_CH,SIGN(DU409))*POWER(FFslave,SIGN(DV409))*POWER(GEslave,SIGN(DW409))*POWER(KOslave,SIGN(DX409))*POWER(KKslave,SIGN(DY409))+DT409*POWER(MUslave,SIGN(DR409))*POWER(KLslave,SIGN(DS409))*POWER(CHslave_CH,SIGN(DU409))*POWER(FFslave,SIGN(DV409))*POWER(GEslave,SIGN(DW409))*POWER(KOslave,SIGN(DX409))*POWER(KKslave,SIGN(DY409))+DU409*POWER(MUslave,SIGN(DR409))*POWER(KLslave,SIGN(DS409))*POWER(INslave,SIGN(DT409))*POWER(FFslave,SIGN(DV409))*POWER(GEslave,SIGN(DW409))*POWER(KOslave,SIGN(DX409))*POWER(KKslave,SIGN(DY409))+DV409*POWER(MUslave,SIGN(DR409))*POWER(KLslave,SIGN(DS409))*POWER(INslave,SIGN(DT409))*POWER(CHslave_CH,SIGN(DU409))*POWER(GEslave,SIGN(DW409))*POWER(KOslave,SIGN(DX409))*POWER(KKslave,SIGN(DY409))+DW409*POWER(MUslave,SIGN(DR409))*POWER(KLslave,SIGN(DS409))*POWER(INslave,SIGN(DT409))*POWER(CHslave_CH,SIGN(DU409))*POWER(FFslave,SIGN(DV409))*POWER(KOslave,SIGN(DX409))*POWER(KKslave,SIGN(DY409))+DX409*POWER(MUslave,SIGN(DR409))*POWER(KLslave,SIGN(DS409))*POWER(INslave,SIGN(DT409))*POWER(CHslave_CH,SIGN(DU409))*POWER(FFslave,SIGN(DV409))*POWER(GEslave,SIGN(DW409))*POWER(KKslave,SIGN(DY409))+DY409*POWER(MUslave,SIGN(DR409))*POWER(KLslave,SIGN(DS409))*POWER(INslave,SIGN(DT409))*POWER(CHslave_CH,SIGN(DU409))*POWER(FFslave,SIGN(DV409))*POWER(GEslave,SIGN(DW409))*POWER(KOslave,SIGN(DX409))</f>
        <v>2432</v>
      </c>
      <c r="ED409" s="235">
        <f>DS409*DT409*CHslave_CH+DS409*INslave*DU409+KLslave*DT409*DU409</f>
        <v>3408</v>
      </c>
      <c r="EE409" s="227">
        <f>IFERROR(DR409^SIGN(DR409),1)*IFERROR(DS409^SIGN(DS409),1)*IFERROR(DT409^SIGN(DT409),1)*IFERROR(DU409^SIGN(DU409),1)*IFERROR(DV409^SIGN(DV409),1)*IFERROR(DW409^SIGN(DW409),1)*IFERROR(DX409^SIGN(DX409),1)*IFERROR(DY409^SIGN(DY409),1)</f>
        <v>1584</v>
      </c>
      <c r="EF409" s="244">
        <f t="shared" si="4363"/>
        <v>7424</v>
      </c>
      <c r="EG409" s="225">
        <f t="shared" si="4364"/>
        <v>3.8218390804597702</v>
      </c>
      <c r="EH409" s="226">
        <f t="shared" si="4365"/>
        <v>10.711206896551724</v>
      </c>
      <c r="EI409" s="245">
        <f t="shared" si="4366"/>
        <v>7.4676724137931032</v>
      </c>
      <c r="EJ409" s="245">
        <f t="shared" si="4367"/>
        <v>22.000718390804597</v>
      </c>
      <c r="EK409" s="252">
        <f t="shared" si="4368"/>
        <v>0</v>
      </c>
      <c r="EL409" s="309">
        <f t="shared" si="4369"/>
        <v>22.000718390804597</v>
      </c>
      <c r="EM409" s="246">
        <f>IF(EJ409&lt;=0,2,0)+IF(EJ409&gt;0,EJ409+1,0)*2+IF(EJ409&gt;12,EJ409-12,0)*2+IF(EJ409&gt;13,EJ409-13,0)*2+IF(EJ409&gt;14,EJ409-14,0)*2+IF(EJ409&gt;15,EJ409-15,0)*2+IF(EJ409&gt;16,EJ409-16,0)*2+IF(EJ409&gt;17,EJ409-17,0)*2+IF(EJ409&gt;18,EJ409-18,0)*2+IF(EJ409&gt;19,EJ409-19,0)*2+IF(EJ409&gt;20,EJ409-20,0)*2</f>
        <v>154.01436781609189</v>
      </c>
      <c r="EN409" s="244">
        <f>IF(EK409&lt;=0,2,0)+IF(EK409&gt;0,EK409+1,0)*2+IF(EK409&gt;12,EK409-12,0)*2+IF(EK409&gt;13,EK409-13,0)*2+IF(EK409&gt;14,EK409-14,0)*2+IF(EK409&gt;15,EK409-15,0)*2+IF(EK409&gt;16,EK409-16,0)*2+IF(EK409&gt;17,EK409-17,0)*2+IF(EK409&gt;18,EK409-18,0)*2+IF(EK409&gt;19,EK409-19,0)*2+IF(EK409&gt;20,EK409-20,0)*2</f>
        <v>2</v>
      </c>
      <c r="EO409" s="245">
        <f t="shared" si="4371"/>
        <v>152.01436781609189</v>
      </c>
      <c r="EP409" s="246">
        <f t="shared" si="4372"/>
        <v>0</v>
      </c>
      <c r="ER409" s="326" t="s">
        <v>260</v>
      </c>
      <c r="ES409" s="246" t="s">
        <v>87</v>
      </c>
      <c r="ET409" s="226" t="s">
        <v>132</v>
      </c>
      <c r="EU409" s="238"/>
      <c r="EV409" s="235">
        <f>Konvention_1slave-KLslave</f>
        <v>12</v>
      </c>
      <c r="EW409" s="235">
        <f>Konvention_1slave-INslave</f>
        <v>12</v>
      </c>
      <c r="EX409" s="235">
        <f>Konvention_1slave-CHslave</f>
        <v>12</v>
      </c>
      <c r="EY409" s="235"/>
      <c r="EZ409" s="235"/>
      <c r="FA409" s="235"/>
      <c r="FB409" s="227"/>
      <c r="FC409" s="226">
        <f>(EU409+EV409+EW409+EX409+EY409+EZ409+FA409+FB409)/3</f>
        <v>12</v>
      </c>
      <c r="FD409" s="226">
        <f t="shared" si="4373"/>
        <v>24</v>
      </c>
      <c r="FE409" s="235">
        <f t="shared" si="4374"/>
        <v>36</v>
      </c>
      <c r="FF409" s="238">
        <f>EU409*POWER(KLslave,SIGN(EV409))*POWER(INslave,SIGN(EW409))*POWER(CHslave,SIGN(EX409))*POWER(FFslave_FF,SIGN(EY409))*POWER(GEslave,SIGN(EZ409))*POWER(KOslave,SIGN(FA409))*POWER(KKslave,SIGN(FB409))+EV409*POWER(MUslave,SIGN(EU409))*POWER(INslave,SIGN(EW409))*POWER(CHslave,SIGN(EX409))*POWER(FFslave_FF,SIGN(EY409))*POWER(GEslave,SIGN(EZ409))*POWER(KOslave,SIGN(FA409))*POWER(KKslave,SIGN(FB409))+EW409*POWER(MUslave,SIGN(EU409))*POWER(KLslave,SIGN(EV409))*POWER(CHslave,SIGN(EX409))*POWER(FFslave_FF,SIGN(EY409))*POWER(GEslave,SIGN(EZ409))*POWER(KOslave,SIGN(FA409))*POWER(KKslave,SIGN(FB409))+EX409*POWER(MUslave,SIGN(EU409))*POWER(KLslave,SIGN(EV409))*POWER(INslave,SIGN(EW409))*POWER(FFslave_FF,SIGN(EY409))*POWER(GEslave,SIGN(EZ409))*POWER(KOslave,SIGN(FA409))*POWER(KKslave,SIGN(FB409))+EY409*POWER(MUslave,SIGN(EU409))*POWER(KLslave,SIGN(EV409))*POWER(INslave,SIGN(EW409))*POWER(CHslave,SIGN(EX409))*POWER(GEslave,SIGN(EZ409))*POWER(KOslave,SIGN(FA409))*POWER(KKslave,SIGN(FB409))+EZ409*POWER(MUslave,SIGN(EU409))*POWER(KLslave,SIGN(EV409))*POWER(INslave,SIGN(EW409))*POWER(CHslave,SIGN(EX409))*POWER(FFslave_FF,SIGN(EY409))*POWER(KOslave,SIGN(FA409))*POWER(KKslave,SIGN(FB409))+FA409*POWER(MUslave,SIGN(EU409))*POWER(KLslave,SIGN(EV409))*POWER(INslave,SIGN(EW409))*POWER(CHslave,SIGN(EX409))*POWER(FFslave_FF,SIGN(EY409))*POWER(GEslave,SIGN(EZ409))*POWER(KKslave,SIGN(FB409))+FB409*POWER(MUslave,SIGN(EU409))*POWER(KLslave,SIGN(EV409))*POWER(INslave,SIGN(EW409))*POWER(CHslave,SIGN(EX409))*POWER(FFslave_FF,SIGN(EY409))*POWER(GEslave,SIGN(EZ409))*POWER(KOslave,SIGN(FA409))</f>
        <v>2304</v>
      </c>
      <c r="FG409" s="235">
        <f>EV409*EW409*CHslave+EV409*INslave*EX409+KLslave*EW409*EX409</f>
        <v>3456</v>
      </c>
      <c r="FH409" s="227">
        <f>IFERROR(EU409^SIGN(EU409),1)*IFERROR(EV409^SIGN(EV409),1)*IFERROR(EW409^SIGN(EW409),1)*IFERROR(EX409^SIGN(EX409),1)*IFERROR(EY409^SIGN(EY409),1)*IFERROR(EZ409^SIGN(EZ409),1)*IFERROR(FA409^SIGN(FA409),1)*IFERROR(FB409^SIGN(FB409),1)</f>
        <v>1728</v>
      </c>
      <c r="FI409" s="244">
        <f t="shared" si="4375"/>
        <v>7488</v>
      </c>
      <c r="FJ409" s="225">
        <f t="shared" si="4376"/>
        <v>3.6923076923076925</v>
      </c>
      <c r="FK409" s="226">
        <f t="shared" si="4377"/>
        <v>11.076923076923077</v>
      </c>
      <c r="FL409" s="245">
        <f t="shared" si="4378"/>
        <v>8.3076923076923084</v>
      </c>
      <c r="FM409" s="245">
        <f t="shared" si="4379"/>
        <v>23.07692307692308</v>
      </c>
      <c r="FN409" s="252">
        <f t="shared" si="4380"/>
        <v>0</v>
      </c>
      <c r="FO409" s="309">
        <f t="shared" si="4381"/>
        <v>23.07692307692308</v>
      </c>
      <c r="FP409" s="246">
        <f>IF(FM409&lt;=0,2,0)+IF(FM409&gt;0,FM409+1,0)*2+IF(FM409&gt;12,FM409-12,0)*2+IF(FM409&gt;13,FM409-13,0)*2+IF(FM409&gt;14,FM409-14,0)*2+IF(FM409&gt;15,FM409-15,0)*2+IF(FM409&gt;16,FM409-16,0)*2+IF(FM409&gt;17,FM409-17,0)*2+IF(FM409&gt;18,FM409-18,0)*2+IF(FM409&gt;19,FM409-19,0)*2+IF(FM409&gt;20,FM409-20,0)*2</f>
        <v>175.5384615384616</v>
      </c>
      <c r="FQ409" s="244">
        <f>IF(FN409&lt;=0,2,0)+IF(FN409&gt;0,FN409+1,0)*2+IF(FN409&gt;12,FN409-12,0)*2+IF(FN409&gt;13,FN409-13,0)*2+IF(FN409&gt;14,FN409-14,0)*2+IF(FN409&gt;15,FN409-15,0)*2+IF(FN409&gt;16,FN409-16,0)*2+IF(FN409&gt;17,FN409-17,0)*2+IF(FN409&gt;18,FN409-18,0)*2+IF(FN409&gt;19,FN409-19,0)*2+IF(FN409&gt;20,FN409-20,0)*2</f>
        <v>2</v>
      </c>
      <c r="FR409" s="245">
        <f t="shared" si="4383"/>
        <v>173.5384615384616</v>
      </c>
      <c r="FS409" s="246">
        <f t="shared" si="4384"/>
        <v>0</v>
      </c>
      <c r="FU409" s="326" t="s">
        <v>260</v>
      </c>
      <c r="FV409" s="246" t="s">
        <v>87</v>
      </c>
      <c r="FW409" s="226" t="s">
        <v>132</v>
      </c>
      <c r="FX409" s="238"/>
      <c r="FY409" s="235">
        <f>Konvention_1slave-KLslave</f>
        <v>12</v>
      </c>
      <c r="FZ409" s="235">
        <f>Konvention_1slave-INslave</f>
        <v>12</v>
      </c>
      <c r="GA409" s="235">
        <f>Konvention_1slave-CHslave</f>
        <v>12</v>
      </c>
      <c r="GB409" s="235"/>
      <c r="GC409" s="235"/>
      <c r="GD409" s="235"/>
      <c r="GE409" s="227"/>
      <c r="GF409" s="226">
        <f>(FX409+FY409+FZ409+GA409+GB409+GC409+GD409+GE409)/3</f>
        <v>12</v>
      </c>
      <c r="GG409" s="226">
        <f t="shared" si="4385"/>
        <v>24</v>
      </c>
      <c r="GH409" s="235">
        <f t="shared" si="4386"/>
        <v>36</v>
      </c>
      <c r="GI409" s="238">
        <f>FX409*POWER(KLslave,SIGN(FY409))*POWER(INslave,SIGN(FZ409))*POWER(CHslave,SIGN(GA409))*POWER(FFslave,SIGN(GB409))*POWER(GEslave_GE,SIGN(GC409))*POWER(KOslave,SIGN(GD409))*POWER(KKslave,SIGN(GE409))+FY409*POWER(MUslave,SIGN(FX409))*POWER(INslave,SIGN(FZ409))*POWER(CHslave,SIGN(GA409))*POWER(FFslave,SIGN(GB409))*POWER(GEslave_GE,SIGN(GC409))*POWER(KOslave,SIGN(GD409))*POWER(KKslave,SIGN(GE409))+FZ409*POWER(MUslave,SIGN(FX409))*POWER(KLslave,SIGN(FY409))*POWER(CHslave,SIGN(GA409))*POWER(FFslave,SIGN(GB409))*POWER(GEslave_GE,SIGN(GC409))*POWER(KOslave,SIGN(GD409))*POWER(KKslave,SIGN(GE409))+GA409*POWER(MUslave,SIGN(FX409))*POWER(KLslave,SIGN(FY409))*POWER(INslave,SIGN(FZ409))*POWER(FFslave,SIGN(GB409))*POWER(GEslave_GE,SIGN(GC409))*POWER(KOslave,SIGN(GD409))*POWER(KKslave,SIGN(GE409))+GB409*POWER(MUslave,SIGN(FX409))*POWER(KLslave,SIGN(FY409))*POWER(INslave,SIGN(FZ409))*POWER(CHslave,SIGN(GA409))*POWER(GEslave_GE,SIGN(GC409))*POWER(KOslave,SIGN(GD409))*POWER(KKslave,SIGN(GE409))+GC409*POWER(MUslave,SIGN(FX409))*POWER(KLslave,SIGN(FY409))*POWER(INslave,SIGN(FZ409))*POWER(CHslave,SIGN(GA409))*POWER(FFslave,SIGN(GB409))*POWER(KOslave,SIGN(GD409))*POWER(KKslave,SIGN(GE409))+GD409*POWER(MUslave,SIGN(FX409))*POWER(KLslave,SIGN(FY409))*POWER(INslave,SIGN(FZ409))*POWER(CHslave,SIGN(GA409))*POWER(FFslave,SIGN(GB409))*POWER(GEslave_GE,SIGN(GC409))*POWER(KKslave,SIGN(GE409))+GE409*POWER(MUslave,SIGN(FX409))*POWER(KLslave,SIGN(FY409))*POWER(INslave,SIGN(FZ409))*POWER(CHslave,SIGN(GA409))*POWER(FFslave,SIGN(GB409))*POWER(GEslave_GE,SIGN(GC409))*POWER(KOslave,SIGN(GD409))</f>
        <v>2304</v>
      </c>
      <c r="GJ409" s="235">
        <f>FY409*FZ409*CHslave+FY409*INslave*GA409+KLslave*FZ409*GA409</f>
        <v>3456</v>
      </c>
      <c r="GK409" s="227">
        <f>IFERROR(FX409^SIGN(FX409),1)*IFERROR(FY409^SIGN(FY409),1)*IFERROR(FZ409^SIGN(FZ409),1)*IFERROR(GA409^SIGN(GA409),1)*IFERROR(GB409^SIGN(GB409),1)*IFERROR(GC409^SIGN(GC409),1)*IFERROR(GD409^SIGN(GD409),1)*IFERROR(GE409^SIGN(GE409),1)</f>
        <v>1728</v>
      </c>
      <c r="GL409" s="244">
        <f t="shared" si="4387"/>
        <v>7488</v>
      </c>
      <c r="GM409" s="225">
        <f t="shared" si="4388"/>
        <v>3.6923076923076925</v>
      </c>
      <c r="GN409" s="226">
        <f t="shared" si="4389"/>
        <v>11.076923076923077</v>
      </c>
      <c r="GO409" s="245">
        <f t="shared" si="4390"/>
        <v>8.3076923076923084</v>
      </c>
      <c r="GP409" s="245">
        <f t="shared" si="4391"/>
        <v>23.07692307692308</v>
      </c>
      <c r="GQ409" s="252">
        <f t="shared" si="4392"/>
        <v>0</v>
      </c>
      <c r="GR409" s="309">
        <f t="shared" si="4393"/>
        <v>23.07692307692308</v>
      </c>
      <c r="GS409" s="246">
        <f>IF(GP409&lt;=0,2,0)+IF(GP409&gt;0,GP409+1,0)*2+IF(GP409&gt;12,GP409-12,0)*2+IF(GP409&gt;13,GP409-13,0)*2+IF(GP409&gt;14,GP409-14,0)*2+IF(GP409&gt;15,GP409-15,0)*2+IF(GP409&gt;16,GP409-16,0)*2+IF(GP409&gt;17,GP409-17,0)*2+IF(GP409&gt;18,GP409-18,0)*2+IF(GP409&gt;19,GP409-19,0)*2+IF(GP409&gt;20,GP409-20,0)*2</f>
        <v>175.5384615384616</v>
      </c>
      <c r="GT409" s="244">
        <f>IF(GQ409&lt;=0,2,0)+IF(GQ409&gt;0,GQ409+1,0)*2+IF(GQ409&gt;12,GQ409-12,0)*2+IF(GQ409&gt;13,GQ409-13,0)*2+IF(GQ409&gt;14,GQ409-14,0)*2+IF(GQ409&gt;15,GQ409-15,0)*2+IF(GQ409&gt;16,GQ409-16,0)*2+IF(GQ409&gt;17,GQ409-17,0)*2+IF(GQ409&gt;18,GQ409-18,0)*2+IF(GQ409&gt;19,GQ409-19,0)*2+IF(GQ409&gt;20,GQ409-20,0)*2</f>
        <v>2</v>
      </c>
      <c r="GU409" s="245">
        <f t="shared" si="4395"/>
        <v>173.5384615384616</v>
      </c>
      <c r="GV409" s="246">
        <f t="shared" si="4396"/>
        <v>0</v>
      </c>
      <c r="GX409" s="326" t="s">
        <v>260</v>
      </c>
      <c r="GY409" s="246" t="s">
        <v>87</v>
      </c>
      <c r="GZ409" s="226" t="s">
        <v>132</v>
      </c>
      <c r="HA409" s="238"/>
      <c r="HB409" s="235">
        <f>Konvention_1slave-KLslave</f>
        <v>12</v>
      </c>
      <c r="HC409" s="235">
        <f>Konvention_1slave-INslave</f>
        <v>12</v>
      </c>
      <c r="HD409" s="235">
        <f>Konvention_1slave-CHslave</f>
        <v>12</v>
      </c>
      <c r="HE409" s="235"/>
      <c r="HF409" s="235"/>
      <c r="HG409" s="235"/>
      <c r="HH409" s="227"/>
      <c r="HI409" s="226">
        <f>(HA409+HB409+HC409+HD409+HE409+HF409+HG409+HH409)/3</f>
        <v>12</v>
      </c>
      <c r="HJ409" s="226">
        <f t="shared" si="4397"/>
        <v>24</v>
      </c>
      <c r="HK409" s="235">
        <f t="shared" si="4398"/>
        <v>36</v>
      </c>
      <c r="HL409" s="238">
        <f>HA409*POWER(KLslave,SIGN(HB409))*POWER(INslave,SIGN(HC409))*POWER(CHslave,SIGN(HD409))*POWER(FFslave,SIGN(HE409))*POWER(GEslave,SIGN(HF409))*POWER(KOslave_KO,SIGN(HG409))*POWER(KKslave,SIGN(HH409))+HB409*POWER(MUslave,SIGN(HA409))*POWER(INslave,SIGN(HC409))*POWER(CHslave,SIGN(HD409))*POWER(FFslave,SIGN(HE409))*POWER(GEslave,SIGN(HF409))*POWER(KOslave_KO,SIGN(HG409))*POWER(KKslave,SIGN(HH409))+HC409*POWER(MUslave,SIGN(HA409))*POWER(KLslave,SIGN(HB409))*POWER(CHslave,SIGN(HD409))*POWER(FFslave,SIGN(HE409))*POWER(GEslave,SIGN(HF409))*POWER(KOslave_KO,SIGN(HG409))*POWER(KKslave,SIGN(HH409))+HD409*POWER(MUslave,SIGN(HA409))*POWER(KLslave,SIGN(HB409))*POWER(INslave,SIGN(HC409))*POWER(FFslave,SIGN(HE409))*POWER(GEslave,SIGN(HF409))*POWER(KOslave_KO,SIGN(HG409))*POWER(KKslave,SIGN(HH409))+HE409*POWER(MUslave,SIGN(HA409))*POWER(KLslave,SIGN(HB409))*POWER(INslave,SIGN(HC409))*POWER(CHslave,SIGN(HD409))*POWER(GEslave,SIGN(HF409))*POWER(KOslave_KO,SIGN(HG409))*POWER(KKslave,SIGN(HH409))+HF409*POWER(MUslave,SIGN(HA409))*POWER(KLslave,SIGN(HB409))*POWER(INslave,SIGN(HC409))*POWER(CHslave,SIGN(HD409))*POWER(FFslave,SIGN(HE409))*POWER(KOslave_KO,SIGN(HG409))*POWER(KKslave,SIGN(HH409))+HG409*POWER(MUslave,SIGN(HA409))*POWER(KLslave,SIGN(HB409))*POWER(INslave,SIGN(HC409))*POWER(CHslave,SIGN(HD409))*POWER(FFslave,SIGN(HE409))*POWER(GEslave,SIGN(HF409))*POWER(KKslave,SIGN(HH409))+HH409*POWER(MUslave,SIGN(HA409))*POWER(KLslave,SIGN(HB409))*POWER(INslave,SIGN(HC409))*POWER(CHslave,SIGN(HD409))*POWER(FFslave,SIGN(HE409))*POWER(GEslave,SIGN(HF409))*POWER(KOslave_KO,SIGN(HG409))</f>
        <v>2304</v>
      </c>
      <c r="HM409" s="235">
        <f>HB409*HC409*CHslave+HB409*INslave*HD409+KLslave*HC409*HD409</f>
        <v>3456</v>
      </c>
      <c r="HN409" s="227">
        <f>IFERROR(HA409^SIGN(HA409),1)*IFERROR(HB409^SIGN(HB409),1)*IFERROR(HC409^SIGN(HC409),1)*IFERROR(HD409^SIGN(HD409),1)*IFERROR(HE409^SIGN(HE409),1)*IFERROR(HF409^SIGN(HF409),1)*IFERROR(HG409^SIGN(HG409),1)*IFERROR(HH409^SIGN(HH409),1)</f>
        <v>1728</v>
      </c>
      <c r="HO409" s="244">
        <f t="shared" si="4399"/>
        <v>7488</v>
      </c>
      <c r="HP409" s="225">
        <f t="shared" si="4400"/>
        <v>3.6923076923076925</v>
      </c>
      <c r="HQ409" s="226">
        <f t="shared" si="4401"/>
        <v>11.076923076923077</v>
      </c>
      <c r="HR409" s="245">
        <f t="shared" si="4402"/>
        <v>8.3076923076923084</v>
      </c>
      <c r="HS409" s="245">
        <f t="shared" si="4403"/>
        <v>23.07692307692308</v>
      </c>
      <c r="HT409" s="252">
        <f t="shared" si="4404"/>
        <v>0</v>
      </c>
      <c r="HU409" s="309">
        <f t="shared" si="4405"/>
        <v>23.07692307692308</v>
      </c>
      <c r="HV409" s="246">
        <f>IF(HS409&lt;=0,2,0)+IF(HS409&gt;0,HS409+1,0)*2+IF(HS409&gt;12,HS409-12,0)*2+IF(HS409&gt;13,HS409-13,0)*2+IF(HS409&gt;14,HS409-14,0)*2+IF(HS409&gt;15,HS409-15,0)*2+IF(HS409&gt;16,HS409-16,0)*2+IF(HS409&gt;17,HS409-17,0)*2+IF(HS409&gt;18,HS409-18,0)*2+IF(HS409&gt;19,HS409-19,0)*2+IF(HS409&gt;20,HS409-20,0)*2</f>
        <v>175.5384615384616</v>
      </c>
      <c r="HW409" s="244">
        <f>IF(HT409&lt;=0,2,0)+IF(HT409&gt;0,HT409+1,0)*2+IF(HT409&gt;12,HT409-12,0)*2+IF(HT409&gt;13,HT409-13,0)*2+IF(HT409&gt;14,HT409-14,0)*2+IF(HT409&gt;15,HT409-15,0)*2+IF(HT409&gt;16,HT409-16,0)*2+IF(HT409&gt;17,HT409-17,0)*2+IF(HT409&gt;18,HT409-18,0)*2+IF(HT409&gt;19,HT409-19,0)*2+IF(HT409&gt;20,HT409-20,0)*2</f>
        <v>2</v>
      </c>
      <c r="HX409" s="245">
        <f t="shared" si="4407"/>
        <v>173.5384615384616</v>
      </c>
      <c r="HY409" s="246">
        <f t="shared" si="4408"/>
        <v>0</v>
      </c>
      <c r="IA409" s="326" t="s">
        <v>260</v>
      </c>
      <c r="IB409" s="246" t="s">
        <v>87</v>
      </c>
      <c r="IC409" s="226" t="s">
        <v>132</v>
      </c>
      <c r="ID409" s="238"/>
      <c r="IE409" s="235">
        <f>Konvention_1slave-KLslave</f>
        <v>12</v>
      </c>
      <c r="IF409" s="235">
        <f>Konvention_1slave-INslave</f>
        <v>12</v>
      </c>
      <c r="IG409" s="235">
        <f>Konvention_1slave-CHslave</f>
        <v>12</v>
      </c>
      <c r="IH409" s="235"/>
      <c r="II409" s="235"/>
      <c r="IJ409" s="235"/>
      <c r="IK409" s="227"/>
      <c r="IL409" s="226">
        <f>(ID409+IE409+IF409+IG409+IH409+II409+IJ409+IK409)/3</f>
        <v>12</v>
      </c>
      <c r="IM409" s="226">
        <f t="shared" si="4409"/>
        <v>24</v>
      </c>
      <c r="IN409" s="235">
        <f t="shared" si="4410"/>
        <v>36</v>
      </c>
      <c r="IO409" s="238">
        <f>ID409*POWER(KLslave,SIGN(IE409))*POWER(INslave,SIGN(IF409))*POWER(CHslave,SIGN(IG409))*POWER(FFslave,SIGN(IH409))*POWER(GEslave,SIGN(II409))*POWER(KOslave,SIGN(IJ409))*POWER(KKslave_KK,SIGN(IK409))+IE409*POWER(MUslave,SIGN(ID409))*POWER(INslave,SIGN(IF409))*POWER(CHslave,SIGN(IG409))*POWER(FFslave,SIGN(IH409))*POWER(GEslave,SIGN(II409))*POWER(KOslave,SIGN(IJ409))*POWER(KKslave_KK,SIGN(IK409))+IF409*POWER(MUslave,SIGN(ID409))*POWER(KLslave,SIGN(IE409))*POWER(CHslave,SIGN(IG409))*POWER(FFslave,SIGN(IH409))*POWER(GEslave,SIGN(II409))*POWER(KOslave,SIGN(IJ409))*POWER(KKslave_KK,SIGN(IK409))+IG409*POWER(MUslave,SIGN(ID409))*POWER(KLslave,SIGN(IE409))*POWER(INslave,SIGN(IF409))*POWER(FFslave,SIGN(IH409))*POWER(GEslave,SIGN(II409))*POWER(KOslave,SIGN(IJ409))*POWER(KKslave_KK,SIGN(IK409))+IH409*POWER(MUslave,SIGN(ID409))*POWER(KLslave,SIGN(IE409))*POWER(INslave,SIGN(IF409))*POWER(CHslave,SIGN(IG409))*POWER(GEslave,SIGN(II409))*POWER(KOslave,SIGN(IJ409))*POWER(KKslave_KK,SIGN(IK409))+II409*POWER(MUslave,SIGN(ID409))*POWER(KLslave,SIGN(IE409))*POWER(INslave,SIGN(IF409))*POWER(CHslave,SIGN(IG409))*POWER(FFslave,SIGN(IH409))*POWER(KOslave,SIGN(IJ409))*POWER(KKslave_KK,SIGN(IK409))+IJ409*POWER(MUslave,SIGN(ID409))*POWER(KLslave,SIGN(IE409))*POWER(INslave,SIGN(IF409))*POWER(CHslave,SIGN(IG409))*POWER(FFslave,SIGN(IH409))*POWER(GEslave,SIGN(II409))*POWER(KKslave_KK,SIGN(IK409))+IK409*POWER(MUslave,SIGN(ID409))*POWER(KLslave,SIGN(IE409))*POWER(INslave,SIGN(IF409))*POWER(CHslave,SIGN(IG409))*POWER(FFslave,SIGN(IH409))*POWER(GEslave,SIGN(II409))*POWER(KOslave,SIGN(IJ409))</f>
        <v>2304</v>
      </c>
      <c r="IP409" s="235">
        <f>IE409*IF409*CHslave+IE409*INslave*IG409+KLslave*IF409*IG409</f>
        <v>3456</v>
      </c>
      <c r="IQ409" s="227">
        <f>IFERROR(ID409^SIGN(ID409),1)*IFERROR(IE409^SIGN(IE409),1)*IFERROR(IF409^SIGN(IF409),1)*IFERROR(IG409^SIGN(IG409),1)*IFERROR(IH409^SIGN(IH409),1)*IFERROR(II409^SIGN(II409),1)*IFERROR(IJ409^SIGN(IJ409),1)*IFERROR(IK409^SIGN(IK409),1)</f>
        <v>1728</v>
      </c>
      <c r="IR409" s="244">
        <f t="shared" si="4411"/>
        <v>7488</v>
      </c>
      <c r="IS409" s="225">
        <f t="shared" si="4412"/>
        <v>3.6923076923076925</v>
      </c>
      <c r="IT409" s="226">
        <f t="shared" si="4413"/>
        <v>11.076923076923077</v>
      </c>
      <c r="IU409" s="245">
        <f t="shared" si="4414"/>
        <v>8.3076923076923084</v>
      </c>
      <c r="IV409" s="245">
        <f t="shared" si="4415"/>
        <v>23.07692307692308</v>
      </c>
      <c r="IW409" s="252">
        <f t="shared" si="4416"/>
        <v>0</v>
      </c>
      <c r="IX409" s="309">
        <f t="shared" si="4417"/>
        <v>23.07692307692308</v>
      </c>
      <c r="IY409" s="246">
        <f>IF(IV409&lt;=0,2,0)+IF(IV409&gt;0,IV409+1,0)*2+IF(IV409&gt;12,IV409-12,0)*2+IF(IV409&gt;13,IV409-13,0)*2+IF(IV409&gt;14,IV409-14,0)*2+IF(IV409&gt;15,IV409-15,0)*2+IF(IV409&gt;16,IV409-16,0)*2+IF(IV409&gt;17,IV409-17,0)*2+IF(IV409&gt;18,IV409-18,0)*2+IF(IV409&gt;19,IV409-19,0)*2+IF(IV409&gt;20,IV409-20,0)*2</f>
        <v>175.5384615384616</v>
      </c>
      <c r="IZ409" s="244">
        <f>IF(IW409&lt;=0,2,0)+IF(IW409&gt;0,IW409+1,0)*2+IF(IW409&gt;12,IW409-12,0)*2+IF(IW409&gt;13,IW409-13,0)*2+IF(IW409&gt;14,IW409-14,0)*2+IF(IW409&gt;15,IW409-15,0)*2+IF(IW409&gt;16,IW409-16,0)*2+IF(IW409&gt;17,IW409-17,0)*2+IF(IW409&gt;18,IW409-18,0)*2+IF(IW409&gt;19,IW409-19,0)*2+IF(IW409&gt;20,IW409-20,0)*2</f>
        <v>2</v>
      </c>
      <c r="JA409" s="245">
        <f t="shared" si="4419"/>
        <v>173.5384615384616</v>
      </c>
      <c r="JB409" s="246">
        <f t="shared" si="4420"/>
        <v>0</v>
      </c>
      <c r="JE409" s="148"/>
    </row>
    <row r="410" spans="2:265" ht="15" hidden="1" customHeight="1" outlineLevel="1" collapsed="1">
      <c r="B410" s="134" t="s">
        <v>325</v>
      </c>
      <c r="C410" s="307" t="s">
        <v>281</v>
      </c>
      <c r="D410" s="84" t="s">
        <v>279</v>
      </c>
      <c r="E410" s="84" t="s">
        <v>280</v>
      </c>
      <c r="Y410" s="251"/>
      <c r="Z410" s="197"/>
      <c r="AF410" s="83" t="s">
        <v>281</v>
      </c>
      <c r="AG410" s="84" t="s">
        <v>279</v>
      </c>
      <c r="AH410" s="84" t="s">
        <v>280</v>
      </c>
      <c r="BB410" s="197"/>
      <c r="BC410" s="197"/>
      <c r="BI410" s="307" t="s">
        <v>281</v>
      </c>
      <c r="BJ410" s="308" t="s">
        <v>279</v>
      </c>
      <c r="BK410" s="308" t="s">
        <v>280</v>
      </c>
      <c r="CE410" s="251"/>
      <c r="CF410" s="251"/>
      <c r="CL410" s="307" t="s">
        <v>281</v>
      </c>
      <c r="CM410" s="308" t="s">
        <v>279</v>
      </c>
      <c r="CN410" s="308" t="s">
        <v>280</v>
      </c>
      <c r="DH410" s="251"/>
      <c r="DI410" s="251"/>
      <c r="DO410" s="307" t="s">
        <v>281</v>
      </c>
      <c r="DP410" s="308" t="s">
        <v>279</v>
      </c>
      <c r="DQ410" s="308" t="s">
        <v>280</v>
      </c>
      <c r="EK410" s="251"/>
      <c r="EL410" s="251"/>
      <c r="ER410" s="307" t="s">
        <v>281</v>
      </c>
      <c r="ES410" s="308" t="s">
        <v>279</v>
      </c>
      <c r="ET410" s="308" t="s">
        <v>280</v>
      </c>
      <c r="FN410" s="251"/>
      <c r="FO410" s="251"/>
      <c r="FU410" s="307" t="s">
        <v>281</v>
      </c>
      <c r="FV410" s="308" t="s">
        <v>279</v>
      </c>
      <c r="FW410" s="308" t="s">
        <v>280</v>
      </c>
      <c r="GQ410" s="251"/>
      <c r="GR410" s="251"/>
      <c r="GX410" s="307" t="s">
        <v>281</v>
      </c>
      <c r="GY410" s="308" t="s">
        <v>279</v>
      </c>
      <c r="GZ410" s="308" t="s">
        <v>280</v>
      </c>
      <c r="HT410" s="251"/>
      <c r="HU410" s="251"/>
      <c r="IA410" s="307" t="s">
        <v>281</v>
      </c>
      <c r="IB410" s="308" t="s">
        <v>279</v>
      </c>
      <c r="IC410" s="308" t="s">
        <v>280</v>
      </c>
      <c r="IW410" s="251"/>
      <c r="IX410" s="251"/>
      <c r="JE410" s="148"/>
    </row>
    <row r="411" spans="2:265" ht="15" hidden="1" customHeight="1" outlineLevel="2">
      <c r="B411" s="148">
        <v>1</v>
      </c>
      <c r="C411" s="323" t="e">
        <f>VLOOKUP(AF411,Attribute!C:T,1,FALSE)</f>
        <v>#N/A</v>
      </c>
      <c r="D411" s="158" t="s">
        <v>94</v>
      </c>
      <c r="E411" s="116" t="s">
        <v>133</v>
      </c>
      <c r="F411" s="191"/>
      <c r="G411" s="118">
        <f>Konvention_1master-KLmaster</f>
        <v>12</v>
      </c>
      <c r="H411" s="118">
        <f t="shared" ref="H411:H417" si="4421">Konvention_1master-INmaster</f>
        <v>12</v>
      </c>
      <c r="I411" s="118"/>
      <c r="J411" s="118"/>
      <c r="K411" s="118"/>
      <c r="L411" s="118"/>
      <c r="M411" s="92"/>
      <c r="N411" s="220">
        <f>(G411+G411+H411)/3</f>
        <v>12</v>
      </c>
      <c r="O411" s="220">
        <f t="shared" ref="O411:O417" si="4422">2*N411</f>
        <v>24</v>
      </c>
      <c r="P411" s="233">
        <f t="shared" ref="P411:P417" si="4423">3*N411</f>
        <v>36</v>
      </c>
      <c r="Q411" s="236">
        <f>G411*POWER(INmaster,SIGN(H411))*POWER(KLmaster,SIGN(G411))+G411*POWER(INmaster,SIGN(H411))*POWER(KLmaster,SIGN(G411))+H411*POWER(KLmaster,SIGN(G411))*POWER(KLmaster,SIGN(G411))</f>
        <v>2304</v>
      </c>
      <c r="R411" s="118">
        <f>G411*G411*INmaster+G411*KLmaster*H411+KLmaster*G411*H411</f>
        <v>3456</v>
      </c>
      <c r="S411" s="221">
        <f>G411*G411*H411</f>
        <v>1728</v>
      </c>
      <c r="T411" s="78">
        <f t="shared" ref="T411:T417" si="4424">SUM(Q411:S411)</f>
        <v>7488</v>
      </c>
      <c r="U411" s="219">
        <f t="shared" ref="U411:U417" si="4425">N411*Q411/T411</f>
        <v>3.6923076923076925</v>
      </c>
      <c r="V411" s="220">
        <f t="shared" ref="V411:V417" si="4426">O411*R411/T411</f>
        <v>11.076923076923077</v>
      </c>
      <c r="W411" s="241">
        <f t="shared" ref="W411:W417" si="4427">P411*S411/T411</f>
        <v>8.3076923076923084</v>
      </c>
      <c r="X411" s="241">
        <f t="shared" ref="X411:X417" si="4428">SUM(U411:W411)</f>
        <v>23.07692307692308</v>
      </c>
      <c r="Y411" s="252">
        <v>0</v>
      </c>
      <c r="Z411" s="198">
        <f t="shared" ref="Z411:Z417" si="4429">X411-Y411</f>
        <v>23.07692307692308</v>
      </c>
      <c r="AA411" s="158">
        <f>IF(X411&lt;=0,1,0)+IF(X411&gt;0,X411+1,0)*1+IF(X411&gt;12,X411-12,0)*1+IF(X411&gt;13,X411-13,0)*1+IF(X411&gt;14,X411-14,0)*1+IF(X411&gt;15,X411-15,0)*1+IF(X411&gt;16,X411-16,0)*1+IF(X411&gt;17,X411-17,0)*1+IF(X411&gt;18,X411-18,0)*1+IF(X411&gt;19,X411-19,0)*1+IF(X411&gt;20,X411-20,0)*1</f>
        <v>87.769230769230802</v>
      </c>
      <c r="AB411" s="91">
        <f>IF(Y411&lt;=0,1,0)+IF(Y411&gt;0,Y411+1,0)*1+IF(Y411&gt;12,Y411-12,0)*1+IF(Y411&gt;13,Y411-13,0)*1+IF(Y411&gt;14,Y411-14,0)*1+IF(Y411&gt;15,Y411-15,0)*1+IF(Y411&gt;16,Y411-16,0)*1+IF(Y411&gt;17,Y411-17,0)*1+IF(Y411&gt;18,Y411-18,0)*1+IF(Y411&gt;19,Y411-19,0)*1+IF(Y411&gt;20,Y411-20,0)*1</f>
        <v>1</v>
      </c>
      <c r="AC411" s="126">
        <f t="shared" ref="AC411:AC417" si="4430">IF((AA411-AB411)&gt;0,AA411-AB411,0)</f>
        <v>86.769230769230802</v>
      </c>
      <c r="AD411" s="158">
        <f t="shared" ref="AD411:AD417" si="4431">IF((AB411-AA411)&gt;0,AB411-AA411,0)</f>
        <v>0</v>
      </c>
      <c r="AF411" s="176" t="s">
        <v>240</v>
      </c>
      <c r="AG411" s="158" t="s">
        <v>94</v>
      </c>
      <c r="AH411" s="116" t="s">
        <v>133</v>
      </c>
      <c r="AI411" s="191"/>
      <c r="AJ411" s="118">
        <f>Konvention_1slave-KLslave</f>
        <v>12</v>
      </c>
      <c r="AK411" s="118">
        <f t="shared" ref="AK411:AK417" si="4432">Konvention_1slave-INslave</f>
        <v>12</v>
      </c>
      <c r="AL411" s="118"/>
      <c r="AM411" s="118"/>
      <c r="AN411" s="118"/>
      <c r="AO411" s="118"/>
      <c r="AP411" s="92"/>
      <c r="AQ411" s="116">
        <f>(AJ411+AJ411+AK411)/3</f>
        <v>12</v>
      </c>
      <c r="AR411" s="116">
        <f t="shared" ref="AR411:AR417" si="4433">2*AQ411</f>
        <v>24</v>
      </c>
      <c r="AS411" s="118">
        <f t="shared" ref="AS411:AS417" si="4434">3*AQ411</f>
        <v>36</v>
      </c>
      <c r="AT411" s="191">
        <f>AJ411*POWER(INslave,SIGN(AK411))*POWER(KLslave,SIGN(AJ411))+AJ411*POWER(INslave,SIGN(AK411))*POWER(KLslave,SIGN(AJ411))+AK411*POWER(KLslave,SIGN(AJ411))*POWER(KLslave,SIGN(AJ411))</f>
        <v>2304</v>
      </c>
      <c r="AU411" s="118">
        <f>AJ411*AJ411*INslave+AJ411*KLslave*AK411+KLslave*AJ411*AK411</f>
        <v>3456</v>
      </c>
      <c r="AV411" s="92">
        <f>AJ411*AJ411*AK411</f>
        <v>1728</v>
      </c>
      <c r="AW411" s="91">
        <f t="shared" ref="AW411:AW417" si="4435">SUM(AT411:AV411)</f>
        <v>7488</v>
      </c>
      <c r="AX411" s="193">
        <f t="shared" ref="AX411:AX417" si="4436">AQ411*AT411/AW411</f>
        <v>3.6923076923076925</v>
      </c>
      <c r="AY411" s="116">
        <f t="shared" ref="AY411:AY417" si="4437">AR411*AU411/AW411</f>
        <v>11.076923076923077</v>
      </c>
      <c r="AZ411" s="126">
        <f t="shared" ref="AZ411:AZ417" si="4438">AS411*AV411/AW411</f>
        <v>8.3076923076923084</v>
      </c>
      <c r="BA411" s="126">
        <f t="shared" ref="BA411:BA417" si="4439">SUM(AX411:AZ411)</f>
        <v>23.07692307692308</v>
      </c>
      <c r="BB411" s="165">
        <f t="shared" ref="BB411:BB417" si="4440">Y411</f>
        <v>0</v>
      </c>
      <c r="BC411" s="198">
        <f t="shared" ref="BC411:BC417" si="4441">BA411-BB411</f>
        <v>23.07692307692308</v>
      </c>
      <c r="BD411" s="158">
        <f>IF(BA411&lt;=0,1,0)+IF(BA411&gt;0,BA411+1,0)*1+IF(BA411&gt;12,BA411-12,0)*1+IF(BA411&gt;13,BA411-13,0)*1+IF(BA411&gt;14,BA411-14,0)*1+IF(BA411&gt;15,BA411-15,0)*1+IF(BA411&gt;16,BA411-16,0)*1+IF(BA411&gt;17,BA411-17,0)*1+IF(BA411&gt;18,BA411-18,0)*1+IF(BA411&gt;19,BA411-19,0)*1+IF(BA411&gt;20,BA411-20,0)*1</f>
        <v>87.769230769230802</v>
      </c>
      <c r="BE411" s="91">
        <f>IF(BB411&lt;=0,1,0)+IF(BB411&gt;0,BB411+1,0)*1+IF(BB411&gt;12,BB411-12,0)*1+IF(BB411&gt;13,BB411-13,0)*1+IF(BB411&gt;14,BB411-14,0)*1+IF(BB411&gt;15,BB411-15,0)*1+IF(BB411&gt;16,BB411-16,0)*1+IF(BB411&gt;17,BB411-17,0)*1+IF(BB411&gt;18,BB411-18,0)*1+IF(BB411&gt;19,BB411-19,0)*1+IF(BB411&gt;20,BB411-20,0)*1</f>
        <v>1</v>
      </c>
      <c r="BF411" s="241">
        <f t="shared" ref="BF411:BF417" si="4442">IF((BD411-BE411)&gt;0,BD411-BE411,0)</f>
        <v>86.769230769230802</v>
      </c>
      <c r="BG411" s="42">
        <f t="shared" ref="BG411:BG417" si="4443">IF((BE411-BD411)&gt;0,BE411-BD411,0)</f>
        <v>0</v>
      </c>
      <c r="BI411" s="323" t="s">
        <v>240</v>
      </c>
      <c r="BJ411" s="42" t="s">
        <v>94</v>
      </c>
      <c r="BK411" s="220" t="s">
        <v>133</v>
      </c>
      <c r="BL411" s="236"/>
      <c r="BM411" s="233">
        <f>Konvention_1slave-KLslave_KL</f>
        <v>11</v>
      </c>
      <c r="BN411" s="233">
        <f t="shared" ref="BN411:BN417" si="4444">Konvention_1slave-INslave</f>
        <v>12</v>
      </c>
      <c r="BO411" s="233"/>
      <c r="BP411" s="233"/>
      <c r="BQ411" s="233"/>
      <c r="BR411" s="233"/>
      <c r="BS411" s="221"/>
      <c r="BT411" s="220">
        <f>(BM411+BM411+BN411)/3</f>
        <v>11.333333333333334</v>
      </c>
      <c r="BU411" s="220">
        <f t="shared" ref="BU411:BU417" si="4445">2*BT411</f>
        <v>22.666666666666668</v>
      </c>
      <c r="BV411" s="233">
        <f t="shared" ref="BV411:BV417" si="4446">3*BT411</f>
        <v>34</v>
      </c>
      <c r="BW411" s="236">
        <f>BM411*POWER(INslave,SIGN(BN411))*POWER(KLslave_KL,SIGN(BM411))+BM411*POWER(INslave,SIGN(BN411))*POWER(KLslave_KL,SIGN(BM411))+BN411*POWER(KLslave_KL,SIGN(BM411))*POWER(KLslave_KL,SIGN(BM411))</f>
        <v>2556</v>
      </c>
      <c r="BX411" s="233">
        <f>BM411*BM411*INslave+BM411*KLslave_KL*BN411+KLslave_KL*BM411*BN411</f>
        <v>3344</v>
      </c>
      <c r="BY411" s="221">
        <f>BM411*BM411*BN411</f>
        <v>1452</v>
      </c>
      <c r="BZ411" s="78">
        <f t="shared" ref="BZ411:BZ417" si="4447">SUM(BW411:BY411)</f>
        <v>7352</v>
      </c>
      <c r="CA411" s="219">
        <f t="shared" ref="CA411:CA417" si="4448">BT411*BW411/BZ411</f>
        <v>3.940152339499456</v>
      </c>
      <c r="CB411" s="220">
        <f t="shared" ref="CB411:CB417" si="4449">BU411*BX411/BZ411</f>
        <v>10.309756982227059</v>
      </c>
      <c r="CC411" s="241">
        <f t="shared" ref="CC411:CC417" si="4450">BV411*BY411/BZ411</f>
        <v>6.714907508161045</v>
      </c>
      <c r="CD411" s="241">
        <f t="shared" ref="CD411:CD417" si="4451">SUM(CA411:CC411)</f>
        <v>20.96481682988756</v>
      </c>
      <c r="CE411" s="252">
        <f t="shared" ref="CE411:CE417" si="4452">BB411</f>
        <v>0</v>
      </c>
      <c r="CF411" s="309">
        <f t="shared" ref="CF411:CF417" si="4453">CD411-CE411</f>
        <v>20.96481682988756</v>
      </c>
      <c r="CG411" s="42">
        <f>IF(CD411&lt;=0,1,0)+IF(CD411&gt;0,CD411+1,0)*1+IF(CD411&gt;12,CD411-12,0)*1+IF(CD411&gt;13,CD411-13,0)*1+IF(CD411&gt;14,CD411-14,0)*1+IF(CD411&gt;15,CD411-15,0)*1+IF(CD411&gt;16,CD411-16,0)*1+IF(CD411&gt;17,CD411-17,0)*1+IF(CD411&gt;18,CD411-18,0)*1+IF(CD411&gt;19,CD411-19,0)*1+IF(CD411&gt;20,CD411-20,0)*1</f>
        <v>66.648168298875589</v>
      </c>
      <c r="CH411" s="78">
        <f>IF(CE411&lt;=0,1,0)+IF(CE411&gt;0,CE411+1,0)*1+IF(CE411&gt;12,CE411-12,0)*1+IF(CE411&gt;13,CE411-13,0)*1+IF(CE411&gt;14,CE411-14,0)*1+IF(CE411&gt;15,CE411-15,0)*1+IF(CE411&gt;16,CE411-16,0)*1+IF(CE411&gt;17,CE411-17,0)*1+IF(CE411&gt;18,CE411-18,0)*1+IF(CE411&gt;19,CE411-19,0)*1+IF(CE411&gt;20,CE411-20,0)*1</f>
        <v>1</v>
      </c>
      <c r="CI411" s="241">
        <f t="shared" ref="CI411:CI417" si="4454">IF((CG411-CH411)&gt;0,CG411-CH411,0)</f>
        <v>65.648168298875589</v>
      </c>
      <c r="CJ411" s="42">
        <f t="shared" ref="CJ411:CJ417" si="4455">IF((CH411-CG411)&gt;0,CH411-CG411,0)</f>
        <v>0</v>
      </c>
      <c r="CL411" s="323" t="s">
        <v>240</v>
      </c>
      <c r="CM411" s="42" t="s">
        <v>94</v>
      </c>
      <c r="CN411" s="220" t="s">
        <v>133</v>
      </c>
      <c r="CO411" s="236"/>
      <c r="CP411" s="233">
        <f>Konvention_1slave-KLslave</f>
        <v>12</v>
      </c>
      <c r="CQ411" s="233">
        <f t="shared" ref="CQ411:CQ417" si="4456">Konvention_1slave-INslave_IN</f>
        <v>11</v>
      </c>
      <c r="CR411" s="233"/>
      <c r="CS411" s="233"/>
      <c r="CT411" s="233"/>
      <c r="CU411" s="233"/>
      <c r="CV411" s="221"/>
      <c r="CW411" s="220">
        <f>(CP411+CP411+CQ411)/3</f>
        <v>11.666666666666666</v>
      </c>
      <c r="CX411" s="220">
        <f t="shared" ref="CX411:CX417" si="4457">2*CW411</f>
        <v>23.333333333333332</v>
      </c>
      <c r="CY411" s="233">
        <f t="shared" ref="CY411:CY417" si="4458">3*CW411</f>
        <v>35</v>
      </c>
      <c r="CZ411" s="236">
        <f>CP411*POWER(INslave_IN,SIGN(CQ411))*POWER(KLslave,SIGN(CP411))+CP411*POWER(INslave_IN,SIGN(CQ411))*POWER(KLslave,SIGN(CP411))+CQ411*POWER(KLslave,SIGN(CP411))*POWER(KLslave,SIGN(CP411))</f>
        <v>2432</v>
      </c>
      <c r="DA411" s="233">
        <f>CP411*CP411*INslave_IN+CP411*KLslave*CQ411+KLslave*CP411*CQ411</f>
        <v>3408</v>
      </c>
      <c r="DB411" s="221">
        <f>CP411*CP411*CQ411</f>
        <v>1584</v>
      </c>
      <c r="DC411" s="78">
        <f t="shared" ref="DC411:DC417" si="4459">SUM(CZ411:DB411)</f>
        <v>7424</v>
      </c>
      <c r="DD411" s="219">
        <f t="shared" ref="DD411:DD417" si="4460">CW411*CZ411/DC411</f>
        <v>3.8218390804597702</v>
      </c>
      <c r="DE411" s="220">
        <f t="shared" ref="DE411:DE417" si="4461">CX411*DA411/DC411</f>
        <v>10.711206896551724</v>
      </c>
      <c r="DF411" s="241">
        <f t="shared" ref="DF411:DF417" si="4462">CY411*DB411/DC411</f>
        <v>7.4676724137931032</v>
      </c>
      <c r="DG411" s="241">
        <f t="shared" ref="DG411:DG417" si="4463">SUM(DD411:DF411)</f>
        <v>22.000718390804597</v>
      </c>
      <c r="DH411" s="252">
        <f t="shared" ref="DH411:DH417" si="4464">CE411</f>
        <v>0</v>
      </c>
      <c r="DI411" s="309">
        <f t="shared" ref="DI411:DI417" si="4465">DG411-DH411</f>
        <v>22.000718390804597</v>
      </c>
      <c r="DJ411" s="42">
        <f>IF(DG411&lt;=0,1,0)+IF(DG411&gt;0,DG411+1,0)*1+IF(DG411&gt;12,DG411-12,0)*1+IF(DG411&gt;13,DG411-13,0)*1+IF(DG411&gt;14,DG411-14,0)*1+IF(DG411&gt;15,DG411-15,0)*1+IF(DG411&gt;16,DG411-16,0)*1+IF(DG411&gt;17,DG411-17,0)*1+IF(DG411&gt;18,DG411-18,0)*1+IF(DG411&gt;19,DG411-19,0)*1+IF(DG411&gt;20,DG411-20,0)*1</f>
        <v>77.007183908045945</v>
      </c>
      <c r="DK411" s="78">
        <f>IF(DH411&lt;=0,1,0)+IF(DH411&gt;0,DH411+1,0)*1+IF(DH411&gt;12,DH411-12,0)*1+IF(DH411&gt;13,DH411-13,0)*1+IF(DH411&gt;14,DH411-14,0)*1+IF(DH411&gt;15,DH411-15,0)*1+IF(DH411&gt;16,DH411-16,0)*1+IF(DH411&gt;17,DH411-17,0)*1+IF(DH411&gt;18,DH411-18,0)*1+IF(DH411&gt;19,DH411-19,0)*1+IF(DH411&gt;20,DH411-20,0)*1</f>
        <v>1</v>
      </c>
      <c r="DL411" s="241">
        <f t="shared" ref="DL411:DL417" si="4466">IF((DJ411-DK411)&gt;0,DJ411-DK411,0)</f>
        <v>76.007183908045945</v>
      </c>
      <c r="DM411" s="42">
        <f t="shared" ref="DM411:DM417" si="4467">IF((DK411-DJ411)&gt;0,DK411-DJ411,0)</f>
        <v>0</v>
      </c>
      <c r="DO411" s="323" t="s">
        <v>240</v>
      </c>
      <c r="DP411" s="42" t="s">
        <v>94</v>
      </c>
      <c r="DQ411" s="220" t="s">
        <v>133</v>
      </c>
      <c r="DR411" s="236"/>
      <c r="DS411" s="233">
        <f>Konvention_1slave-KLslave</f>
        <v>12</v>
      </c>
      <c r="DT411" s="233">
        <f t="shared" ref="DT411:DT417" si="4468">Konvention_1slave-INslave</f>
        <v>12</v>
      </c>
      <c r="DU411" s="233"/>
      <c r="DV411" s="233"/>
      <c r="DW411" s="233"/>
      <c r="DX411" s="233"/>
      <c r="DY411" s="221"/>
      <c r="DZ411" s="220">
        <f>(DS411+DS411+DT411)/3</f>
        <v>12</v>
      </c>
      <c r="EA411" s="220">
        <f t="shared" ref="EA411:EA417" si="4469">2*DZ411</f>
        <v>24</v>
      </c>
      <c r="EB411" s="233">
        <f t="shared" ref="EB411:EB417" si="4470">3*DZ411</f>
        <v>36</v>
      </c>
      <c r="EC411" s="236">
        <f>DS411*POWER(INslave,SIGN(DT411))*POWER(KLslave,SIGN(DS411))+DS411*POWER(INslave,SIGN(DT411))*POWER(KLslave,SIGN(DS411))+DT411*POWER(KLslave,SIGN(DS411))*POWER(KLslave,SIGN(DS411))</f>
        <v>2304</v>
      </c>
      <c r="ED411" s="233">
        <f>DS411*DS411*INslave+DS411*KLslave*DT411+KLslave*DS411*DT411</f>
        <v>3456</v>
      </c>
      <c r="EE411" s="221">
        <f>DS411*DS411*DT411</f>
        <v>1728</v>
      </c>
      <c r="EF411" s="78">
        <f t="shared" ref="EF411:EF417" si="4471">SUM(EC411:EE411)</f>
        <v>7488</v>
      </c>
      <c r="EG411" s="219">
        <f t="shared" ref="EG411:EG417" si="4472">DZ411*EC411/EF411</f>
        <v>3.6923076923076925</v>
      </c>
      <c r="EH411" s="220">
        <f t="shared" ref="EH411:EH417" si="4473">EA411*ED411/EF411</f>
        <v>11.076923076923077</v>
      </c>
      <c r="EI411" s="241">
        <f t="shared" ref="EI411:EI417" si="4474">EB411*EE411/EF411</f>
        <v>8.3076923076923084</v>
      </c>
      <c r="EJ411" s="241">
        <f t="shared" ref="EJ411:EJ417" si="4475">SUM(EG411:EI411)</f>
        <v>23.07692307692308</v>
      </c>
      <c r="EK411" s="252">
        <f t="shared" ref="EK411:EK417" si="4476">DH411</f>
        <v>0</v>
      </c>
      <c r="EL411" s="309">
        <f t="shared" ref="EL411:EL417" si="4477">EJ411-EK411</f>
        <v>23.07692307692308</v>
      </c>
      <c r="EM411" s="42">
        <f>IF(EJ411&lt;=0,1,0)+IF(EJ411&gt;0,EJ411+1,0)*1+IF(EJ411&gt;12,EJ411-12,0)*1+IF(EJ411&gt;13,EJ411-13,0)*1+IF(EJ411&gt;14,EJ411-14,0)*1+IF(EJ411&gt;15,EJ411-15,0)*1+IF(EJ411&gt;16,EJ411-16,0)*1+IF(EJ411&gt;17,EJ411-17,0)*1+IF(EJ411&gt;18,EJ411-18,0)*1+IF(EJ411&gt;19,EJ411-19,0)*1+IF(EJ411&gt;20,EJ411-20,0)*1</f>
        <v>87.769230769230802</v>
      </c>
      <c r="EN411" s="78">
        <f>IF(EK411&lt;=0,1,0)+IF(EK411&gt;0,EK411+1,0)*1+IF(EK411&gt;12,EK411-12,0)*1+IF(EK411&gt;13,EK411-13,0)*1+IF(EK411&gt;14,EK411-14,0)*1+IF(EK411&gt;15,EK411-15,0)*1+IF(EK411&gt;16,EK411-16,0)*1+IF(EK411&gt;17,EK411-17,0)*1+IF(EK411&gt;18,EK411-18,0)*1+IF(EK411&gt;19,EK411-19,0)*1+IF(EK411&gt;20,EK411-20,0)*1</f>
        <v>1</v>
      </c>
      <c r="EO411" s="241">
        <f t="shared" ref="EO411:EO417" si="4478">IF((EM411-EN411)&gt;0,EM411-EN411,0)</f>
        <v>86.769230769230802</v>
      </c>
      <c r="EP411" s="42">
        <f t="shared" ref="EP411:EP417" si="4479">IF((EN411-EM411)&gt;0,EN411-EM411,0)</f>
        <v>0</v>
      </c>
      <c r="ER411" s="323" t="s">
        <v>240</v>
      </c>
      <c r="ES411" s="42" t="s">
        <v>94</v>
      </c>
      <c r="ET411" s="220" t="s">
        <v>133</v>
      </c>
      <c r="EU411" s="236"/>
      <c r="EV411" s="233">
        <f>Konvention_1slave-KLslave</f>
        <v>12</v>
      </c>
      <c r="EW411" s="233">
        <f t="shared" ref="EW411:EW417" si="4480">Konvention_1slave-INslave</f>
        <v>12</v>
      </c>
      <c r="EX411" s="233"/>
      <c r="EY411" s="233"/>
      <c r="EZ411" s="233"/>
      <c r="FA411" s="233"/>
      <c r="FB411" s="221"/>
      <c r="FC411" s="220">
        <f>(EV411+EV411+EW411)/3</f>
        <v>12</v>
      </c>
      <c r="FD411" s="220">
        <f t="shared" ref="FD411:FD417" si="4481">2*FC411</f>
        <v>24</v>
      </c>
      <c r="FE411" s="233">
        <f t="shared" ref="FE411:FE417" si="4482">3*FC411</f>
        <v>36</v>
      </c>
      <c r="FF411" s="236">
        <f>EV411*POWER(INslave,SIGN(EW411))*POWER(KLslave,SIGN(EV411))+EV411*POWER(INslave,SIGN(EW411))*POWER(KLslave,SIGN(EV411))+EW411*POWER(KLslave,SIGN(EV411))*POWER(KLslave,SIGN(EV411))</f>
        <v>2304</v>
      </c>
      <c r="FG411" s="233">
        <f>EV411*EV411*INslave+EV411*KLslave*EW411+KLslave*EV411*EW411</f>
        <v>3456</v>
      </c>
      <c r="FH411" s="221">
        <f>EV411*EV411*EW411</f>
        <v>1728</v>
      </c>
      <c r="FI411" s="78">
        <f t="shared" ref="FI411:FI417" si="4483">SUM(FF411:FH411)</f>
        <v>7488</v>
      </c>
      <c r="FJ411" s="219">
        <f t="shared" ref="FJ411:FJ417" si="4484">FC411*FF411/FI411</f>
        <v>3.6923076923076925</v>
      </c>
      <c r="FK411" s="220">
        <f t="shared" ref="FK411:FK417" si="4485">FD411*FG411/FI411</f>
        <v>11.076923076923077</v>
      </c>
      <c r="FL411" s="241">
        <f t="shared" ref="FL411:FL417" si="4486">FE411*FH411/FI411</f>
        <v>8.3076923076923084</v>
      </c>
      <c r="FM411" s="241">
        <f t="shared" ref="FM411:FM417" si="4487">SUM(FJ411:FL411)</f>
        <v>23.07692307692308</v>
      </c>
      <c r="FN411" s="252">
        <f t="shared" ref="FN411:FN417" si="4488">EK411</f>
        <v>0</v>
      </c>
      <c r="FO411" s="309">
        <f t="shared" ref="FO411:FO417" si="4489">FM411-FN411</f>
        <v>23.07692307692308</v>
      </c>
      <c r="FP411" s="42">
        <f>IF(FM411&lt;=0,1,0)+IF(FM411&gt;0,FM411+1,0)*1+IF(FM411&gt;12,FM411-12,0)*1+IF(FM411&gt;13,FM411-13,0)*1+IF(FM411&gt;14,FM411-14,0)*1+IF(FM411&gt;15,FM411-15,0)*1+IF(FM411&gt;16,FM411-16,0)*1+IF(FM411&gt;17,FM411-17,0)*1+IF(FM411&gt;18,FM411-18,0)*1+IF(FM411&gt;19,FM411-19,0)*1+IF(FM411&gt;20,FM411-20,0)*1</f>
        <v>87.769230769230802</v>
      </c>
      <c r="FQ411" s="78">
        <f>IF(FN411&lt;=0,1,0)+IF(FN411&gt;0,FN411+1,0)*1+IF(FN411&gt;12,FN411-12,0)*1+IF(FN411&gt;13,FN411-13,0)*1+IF(FN411&gt;14,FN411-14,0)*1+IF(FN411&gt;15,FN411-15,0)*1+IF(FN411&gt;16,FN411-16,0)*1+IF(FN411&gt;17,FN411-17,0)*1+IF(FN411&gt;18,FN411-18,0)*1+IF(FN411&gt;19,FN411-19,0)*1+IF(FN411&gt;20,FN411-20,0)*1</f>
        <v>1</v>
      </c>
      <c r="FR411" s="241">
        <f t="shared" ref="FR411:FR417" si="4490">IF((FP411-FQ411)&gt;0,FP411-FQ411,0)</f>
        <v>86.769230769230802</v>
      </c>
      <c r="FS411" s="42">
        <f t="shared" ref="FS411:FS417" si="4491">IF((FQ411-FP411)&gt;0,FQ411-FP411,0)</f>
        <v>0</v>
      </c>
      <c r="FU411" s="323" t="s">
        <v>240</v>
      </c>
      <c r="FV411" s="42" t="s">
        <v>94</v>
      </c>
      <c r="FW411" s="220" t="s">
        <v>133</v>
      </c>
      <c r="FX411" s="236"/>
      <c r="FY411" s="233">
        <f>Konvention_1slave-KLslave</f>
        <v>12</v>
      </c>
      <c r="FZ411" s="233">
        <f t="shared" ref="FZ411:FZ417" si="4492">Konvention_1slave-INslave</f>
        <v>12</v>
      </c>
      <c r="GA411" s="233"/>
      <c r="GB411" s="233"/>
      <c r="GC411" s="233"/>
      <c r="GD411" s="233"/>
      <c r="GE411" s="221"/>
      <c r="GF411" s="220">
        <f>(FY411+FY411+FZ411)/3</f>
        <v>12</v>
      </c>
      <c r="GG411" s="220">
        <f t="shared" ref="GG411:GG417" si="4493">2*GF411</f>
        <v>24</v>
      </c>
      <c r="GH411" s="233">
        <f t="shared" ref="GH411:GH417" si="4494">3*GF411</f>
        <v>36</v>
      </c>
      <c r="GI411" s="236">
        <f>FY411*POWER(INslave,SIGN(FZ411))*POWER(KLslave,SIGN(FY411))+FY411*POWER(INslave,SIGN(FZ411))*POWER(KLslave,SIGN(FY411))+FZ411*POWER(KLslave,SIGN(FY411))*POWER(KLslave,SIGN(FY411))</f>
        <v>2304</v>
      </c>
      <c r="GJ411" s="233">
        <f>FY411*FY411*INslave+FY411*KLslave*FZ411+KLslave*FY411*FZ411</f>
        <v>3456</v>
      </c>
      <c r="GK411" s="221">
        <f>FY411*FY411*FZ411</f>
        <v>1728</v>
      </c>
      <c r="GL411" s="78">
        <f t="shared" ref="GL411:GL417" si="4495">SUM(GI411:GK411)</f>
        <v>7488</v>
      </c>
      <c r="GM411" s="219">
        <f t="shared" ref="GM411:GM417" si="4496">GF411*GI411/GL411</f>
        <v>3.6923076923076925</v>
      </c>
      <c r="GN411" s="220">
        <f t="shared" ref="GN411:GN417" si="4497">GG411*GJ411/GL411</f>
        <v>11.076923076923077</v>
      </c>
      <c r="GO411" s="241">
        <f t="shared" ref="GO411:GO417" si="4498">GH411*GK411/GL411</f>
        <v>8.3076923076923084</v>
      </c>
      <c r="GP411" s="241">
        <f t="shared" ref="GP411:GP417" si="4499">SUM(GM411:GO411)</f>
        <v>23.07692307692308</v>
      </c>
      <c r="GQ411" s="252">
        <f t="shared" ref="GQ411:GQ417" si="4500">FN411</f>
        <v>0</v>
      </c>
      <c r="GR411" s="309">
        <f t="shared" ref="GR411:GR417" si="4501">GP411-GQ411</f>
        <v>23.07692307692308</v>
      </c>
      <c r="GS411" s="42">
        <f>IF(GP411&lt;=0,1,0)+IF(GP411&gt;0,GP411+1,0)*1+IF(GP411&gt;12,GP411-12,0)*1+IF(GP411&gt;13,GP411-13,0)*1+IF(GP411&gt;14,GP411-14,0)*1+IF(GP411&gt;15,GP411-15,0)*1+IF(GP411&gt;16,GP411-16,0)*1+IF(GP411&gt;17,GP411-17,0)*1+IF(GP411&gt;18,GP411-18,0)*1+IF(GP411&gt;19,GP411-19,0)*1+IF(GP411&gt;20,GP411-20,0)*1</f>
        <v>87.769230769230802</v>
      </c>
      <c r="GT411" s="78">
        <f>IF(GQ411&lt;=0,1,0)+IF(GQ411&gt;0,GQ411+1,0)*1+IF(GQ411&gt;12,GQ411-12,0)*1+IF(GQ411&gt;13,GQ411-13,0)*1+IF(GQ411&gt;14,GQ411-14,0)*1+IF(GQ411&gt;15,GQ411-15,0)*1+IF(GQ411&gt;16,GQ411-16,0)*1+IF(GQ411&gt;17,GQ411-17,0)*1+IF(GQ411&gt;18,GQ411-18,0)*1+IF(GQ411&gt;19,GQ411-19,0)*1+IF(GQ411&gt;20,GQ411-20,0)*1</f>
        <v>1</v>
      </c>
      <c r="GU411" s="241">
        <f t="shared" ref="GU411:GU417" si="4502">IF((GS411-GT411)&gt;0,GS411-GT411,0)</f>
        <v>86.769230769230802</v>
      </c>
      <c r="GV411" s="42">
        <f t="shared" ref="GV411:GV417" si="4503">IF((GT411-GS411)&gt;0,GT411-GS411,0)</f>
        <v>0</v>
      </c>
      <c r="GX411" s="323" t="s">
        <v>240</v>
      </c>
      <c r="GY411" s="42" t="s">
        <v>94</v>
      </c>
      <c r="GZ411" s="220" t="s">
        <v>133</v>
      </c>
      <c r="HA411" s="236"/>
      <c r="HB411" s="233">
        <f>Konvention_1slave-KLslave</f>
        <v>12</v>
      </c>
      <c r="HC411" s="233">
        <f t="shared" ref="HC411:HC417" si="4504">Konvention_1slave-INslave</f>
        <v>12</v>
      </c>
      <c r="HD411" s="233"/>
      <c r="HE411" s="233"/>
      <c r="HF411" s="233"/>
      <c r="HG411" s="233"/>
      <c r="HH411" s="221"/>
      <c r="HI411" s="220">
        <f>(HB411+HB411+HC411)/3</f>
        <v>12</v>
      </c>
      <c r="HJ411" s="220">
        <f t="shared" ref="HJ411:HJ417" si="4505">2*HI411</f>
        <v>24</v>
      </c>
      <c r="HK411" s="233">
        <f t="shared" ref="HK411:HK417" si="4506">3*HI411</f>
        <v>36</v>
      </c>
      <c r="HL411" s="236">
        <f>HB411*POWER(INslave,SIGN(HC411))*POWER(KLslave,SIGN(HB411))+HB411*POWER(INslave,SIGN(HC411))*POWER(KLslave,SIGN(HB411))+HC411*POWER(KLslave,SIGN(HB411))*POWER(KLslave,SIGN(HB411))</f>
        <v>2304</v>
      </c>
      <c r="HM411" s="233">
        <f>HB411*HB411*INslave+HB411*KLslave*HC411+KLslave*HB411*HC411</f>
        <v>3456</v>
      </c>
      <c r="HN411" s="221">
        <f>HB411*HB411*HC411</f>
        <v>1728</v>
      </c>
      <c r="HO411" s="78">
        <f t="shared" ref="HO411:HO417" si="4507">SUM(HL411:HN411)</f>
        <v>7488</v>
      </c>
      <c r="HP411" s="219">
        <f t="shared" ref="HP411:HP417" si="4508">HI411*HL411/HO411</f>
        <v>3.6923076923076925</v>
      </c>
      <c r="HQ411" s="220">
        <f t="shared" ref="HQ411:HQ417" si="4509">HJ411*HM411/HO411</f>
        <v>11.076923076923077</v>
      </c>
      <c r="HR411" s="241">
        <f t="shared" ref="HR411:HR417" si="4510">HK411*HN411/HO411</f>
        <v>8.3076923076923084</v>
      </c>
      <c r="HS411" s="241">
        <f t="shared" ref="HS411:HS417" si="4511">SUM(HP411:HR411)</f>
        <v>23.07692307692308</v>
      </c>
      <c r="HT411" s="252">
        <f t="shared" ref="HT411:HT417" si="4512">GQ411</f>
        <v>0</v>
      </c>
      <c r="HU411" s="309">
        <f t="shared" ref="HU411:HU417" si="4513">HS411-HT411</f>
        <v>23.07692307692308</v>
      </c>
      <c r="HV411" s="42">
        <f>IF(HS411&lt;=0,1,0)+IF(HS411&gt;0,HS411+1,0)*1+IF(HS411&gt;12,HS411-12,0)*1+IF(HS411&gt;13,HS411-13,0)*1+IF(HS411&gt;14,HS411-14,0)*1+IF(HS411&gt;15,HS411-15,0)*1+IF(HS411&gt;16,HS411-16,0)*1+IF(HS411&gt;17,HS411-17,0)*1+IF(HS411&gt;18,HS411-18,0)*1+IF(HS411&gt;19,HS411-19,0)*1+IF(HS411&gt;20,HS411-20,0)*1</f>
        <v>87.769230769230802</v>
      </c>
      <c r="HW411" s="78">
        <f>IF(HT411&lt;=0,1,0)+IF(HT411&gt;0,HT411+1,0)*1+IF(HT411&gt;12,HT411-12,0)*1+IF(HT411&gt;13,HT411-13,0)*1+IF(HT411&gt;14,HT411-14,0)*1+IF(HT411&gt;15,HT411-15,0)*1+IF(HT411&gt;16,HT411-16,0)*1+IF(HT411&gt;17,HT411-17,0)*1+IF(HT411&gt;18,HT411-18,0)*1+IF(HT411&gt;19,HT411-19,0)*1+IF(HT411&gt;20,HT411-20,0)*1</f>
        <v>1</v>
      </c>
      <c r="HX411" s="241">
        <f t="shared" ref="HX411:HX417" si="4514">IF((HV411-HW411)&gt;0,HV411-HW411,0)</f>
        <v>86.769230769230802</v>
      </c>
      <c r="HY411" s="42">
        <f t="shared" ref="HY411:HY417" si="4515">IF((HW411-HV411)&gt;0,HW411-HV411,0)</f>
        <v>0</v>
      </c>
      <c r="IA411" s="323" t="s">
        <v>240</v>
      </c>
      <c r="IB411" s="42" t="s">
        <v>94</v>
      </c>
      <c r="IC411" s="220" t="s">
        <v>133</v>
      </c>
      <c r="ID411" s="236"/>
      <c r="IE411" s="233">
        <f>Konvention_1slave-KLslave</f>
        <v>12</v>
      </c>
      <c r="IF411" s="233">
        <f t="shared" ref="IF411:IF417" si="4516">Konvention_1slave-INslave</f>
        <v>12</v>
      </c>
      <c r="IG411" s="233"/>
      <c r="IH411" s="233"/>
      <c r="II411" s="233"/>
      <c r="IJ411" s="233"/>
      <c r="IK411" s="221"/>
      <c r="IL411" s="220">
        <f>(IE411+IE411+IF411)/3</f>
        <v>12</v>
      </c>
      <c r="IM411" s="220">
        <f t="shared" ref="IM411:IM417" si="4517">2*IL411</f>
        <v>24</v>
      </c>
      <c r="IN411" s="233">
        <f t="shared" ref="IN411:IN417" si="4518">3*IL411</f>
        <v>36</v>
      </c>
      <c r="IO411" s="236">
        <f>IE411*POWER(INslave,SIGN(IF411))*POWER(KLslave,SIGN(IE411))+IE411*POWER(INslave,SIGN(IF411))*POWER(KLslave,SIGN(IE411))+IF411*POWER(KLslave,SIGN(IE411))*POWER(KLslave,SIGN(IE411))</f>
        <v>2304</v>
      </c>
      <c r="IP411" s="233">
        <f>IE411*IE411*INslave+IE411*KLslave*IF411+KLslave*IE411*IF411</f>
        <v>3456</v>
      </c>
      <c r="IQ411" s="221">
        <f>IE411*IE411*IF411</f>
        <v>1728</v>
      </c>
      <c r="IR411" s="78">
        <f t="shared" ref="IR411:IR417" si="4519">SUM(IO411:IQ411)</f>
        <v>7488</v>
      </c>
      <c r="IS411" s="219">
        <f t="shared" ref="IS411:IS417" si="4520">IL411*IO411/IR411</f>
        <v>3.6923076923076925</v>
      </c>
      <c r="IT411" s="220">
        <f t="shared" ref="IT411:IT417" si="4521">IM411*IP411/IR411</f>
        <v>11.076923076923077</v>
      </c>
      <c r="IU411" s="241">
        <f t="shared" ref="IU411:IU417" si="4522">IN411*IQ411/IR411</f>
        <v>8.3076923076923084</v>
      </c>
      <c r="IV411" s="241">
        <f t="shared" ref="IV411:IV417" si="4523">SUM(IS411:IU411)</f>
        <v>23.07692307692308</v>
      </c>
      <c r="IW411" s="252">
        <f t="shared" ref="IW411:IW417" si="4524">HT411</f>
        <v>0</v>
      </c>
      <c r="IX411" s="309">
        <f t="shared" ref="IX411:IX417" si="4525">IV411-IW411</f>
        <v>23.07692307692308</v>
      </c>
      <c r="IY411" s="42">
        <f>IF(IV411&lt;=0,1,0)+IF(IV411&gt;0,IV411+1,0)*1+IF(IV411&gt;12,IV411-12,0)*1+IF(IV411&gt;13,IV411-13,0)*1+IF(IV411&gt;14,IV411-14,0)*1+IF(IV411&gt;15,IV411-15,0)*1+IF(IV411&gt;16,IV411-16,0)*1+IF(IV411&gt;17,IV411-17,0)*1+IF(IV411&gt;18,IV411-18,0)*1+IF(IV411&gt;19,IV411-19,0)*1+IF(IV411&gt;20,IV411-20,0)*1</f>
        <v>87.769230769230802</v>
      </c>
      <c r="IZ411" s="78">
        <f>IF(IW411&lt;=0,1,0)+IF(IW411&gt;0,IW411+1,0)*1+IF(IW411&gt;12,IW411-12,0)*1+IF(IW411&gt;13,IW411-13,0)*1+IF(IW411&gt;14,IW411-14,0)*1+IF(IW411&gt;15,IW411-15,0)*1+IF(IW411&gt;16,IW411-16,0)*1+IF(IW411&gt;17,IW411-17,0)*1+IF(IW411&gt;18,IW411-18,0)*1+IF(IW411&gt;19,IW411-19,0)*1+IF(IW411&gt;20,IW411-20,0)*1</f>
        <v>1</v>
      </c>
      <c r="JA411" s="241">
        <f t="shared" ref="JA411:JA417" si="4526">IF((IY411-IZ411)&gt;0,IY411-IZ411,0)</f>
        <v>86.769230769230802</v>
      </c>
      <c r="JB411" s="42">
        <f t="shared" ref="JB411:JB417" si="4527">IF((IZ411-IY411)&gt;0,IZ411-IY411,0)</f>
        <v>0</v>
      </c>
      <c r="JE411" s="148"/>
    </row>
    <row r="412" spans="2:265" ht="15" hidden="1" customHeight="1" outlineLevel="2">
      <c r="B412" s="148">
        <v>2</v>
      </c>
      <c r="C412" s="325" t="e">
        <f>VLOOKUP(AF412,Attribute!C:T,1,FALSE)</f>
        <v>#N/A</v>
      </c>
      <c r="D412" s="86" t="s">
        <v>86</v>
      </c>
      <c r="E412" s="47" t="s">
        <v>132</v>
      </c>
      <c r="F412" s="114">
        <f>Konvention_1master-MUmaster</f>
        <v>12</v>
      </c>
      <c r="G412" s="113"/>
      <c r="H412" s="113">
        <f t="shared" si="4421"/>
        <v>12</v>
      </c>
      <c r="I412" s="113">
        <f>Konvention_1master-CHmaster</f>
        <v>12</v>
      </c>
      <c r="J412" s="113"/>
      <c r="K412" s="113"/>
      <c r="L412" s="113"/>
      <c r="M412" s="119"/>
      <c r="N412" s="223">
        <f>(F412+G412+H412+I412+J412+K412+L412+M412)/3</f>
        <v>12</v>
      </c>
      <c r="O412" s="223">
        <f t="shared" si="4422"/>
        <v>24</v>
      </c>
      <c r="P412" s="234">
        <f t="shared" si="4423"/>
        <v>36</v>
      </c>
      <c r="Q412" s="237">
        <f>F412*POWER(KLmaster,SIGN(G412))*POWER(INmaster,SIGN(H412))*POWER(CHmaster,SIGN(I412))*POWER(FFmaster,SIGN(J412))*POWER(GEmaster,SIGN(K412))*POWER(KOmaster,SIGN(L412))*POWER(KKmaster,SIGN(M412))+G412*POWER(MUmaster,SIGN(F412))*POWER(INmaster,SIGN(H412))*POWER(CHmaster,SIGN(I412))*POWER(FFmaster,SIGN(J412))*POWER(GEmaster,SIGN(K412))*POWER(KOmaster,SIGN(L412))*POWER(KKmaster,SIGN(M412))+H412*POWER(MUmaster,SIGN(F412))*POWER(KLmaster,SIGN(G412))*POWER(CHmaster,SIGN(I412))*POWER(FFmaster,SIGN(J412))*POWER(GEmaster,SIGN(K412))*POWER(KOmaster,SIGN(L412))*POWER(KKmaster,SIGN(M412))+I412*POWER(MUmaster,SIGN(F412))*POWER(KLmaster,SIGN(G412))*POWER(INmaster,SIGN(H412))*POWER(FFmaster,SIGN(J412))*POWER(GEmaster,SIGN(K412))*POWER(KOmaster,SIGN(L412))*POWER(KKmaster,SIGN(M412))+J412*POWER(MUmaster,SIGN(F412))*POWER(KLmaster,SIGN(G412))*POWER(INmaster,SIGN(H412))*POWER(CHmaster,SIGN(I412))*POWER(GEmaster,SIGN(K412))*POWER(KOmaster,SIGN(L412))*POWER(KKmaster,SIGN(M412))+K412*POWER(MUmaster,SIGN(F412))*POWER(KLmaster,SIGN(G412))*POWER(INmaster,SIGN(H412))*POWER(CHmaster,SIGN(I412))*POWER(FFmaster,SIGN(J412))*POWER(KOmaster,SIGN(L412))*POWER(KKmaster,SIGN(M412))+L412*POWER(MUmaster,SIGN(F412))*POWER(KLmaster,SIGN(G412))*POWER(INmaster,SIGN(H412))*POWER(CHmaster,SIGN(I412))*POWER(FFmaster,SIGN(J412))*POWER(GEmaster,SIGN(K412))*POWER(KKmaster,SIGN(M412))+M412*POWER(MUmaster,SIGN(F412))*POWER(KLmaster,SIGN(G412))*POWER(INmaster,SIGN(H412))*POWER(CHmaster,SIGN(I412))*POWER(FFmaster,SIGN(J412))*POWER(GEmaster,SIGN(K412))*POWER(KOmaster,SIGN(L412))</f>
        <v>2304</v>
      </c>
      <c r="R412" s="113">
        <f>F412*H412*CHmaster+F412*INmaster*I412+MUmaster*H412*I412</f>
        <v>3456</v>
      </c>
      <c r="S412" s="224">
        <f>IFERROR(F412^SIGN(F412),1)*IFERROR(G412^SIGN(G412),1)*IFERROR(H412^SIGN(H412),1)*IFERROR(I412^SIGN(I412),1)*IFERROR(J412^SIGN(J412),1)*IFERROR(K412^SIGN(K412),1)*IFERROR(L412^SIGN(L412),1)*IFERROR(M412^SIGN(M412),1)</f>
        <v>1728</v>
      </c>
      <c r="T412" s="242">
        <f t="shared" si="4424"/>
        <v>7488</v>
      </c>
      <c r="U412" s="222">
        <f t="shared" si="4425"/>
        <v>3.6923076923076925</v>
      </c>
      <c r="V412" s="223">
        <f t="shared" si="4426"/>
        <v>11.076923076923077</v>
      </c>
      <c r="W412" s="243">
        <f t="shared" si="4427"/>
        <v>8.3076923076923084</v>
      </c>
      <c r="X412" s="243">
        <f t="shared" si="4428"/>
        <v>23.07692307692308</v>
      </c>
      <c r="Y412" s="252">
        <v>0</v>
      </c>
      <c r="Z412" s="198">
        <f t="shared" si="4429"/>
        <v>23.07692307692308</v>
      </c>
      <c r="AA412" s="125">
        <f>IF(X412&lt;=0,2,0)+IF(X412&gt;0,X412+1,0)*2+IF(X412&gt;12,X412-12,0)*2+IF(X412&gt;13,X412-13,0)*2+IF(X412&gt;14,X412-14,0)*2+IF(X412&gt;15,X412-15,0)*2+IF(X412&gt;16,X412-16,0)*2+IF(X412&gt;17,X412-17,0)*2+IF(X412&gt;18,X412-18,0)*2+IF(X412&gt;19,X412-19,0)*2+IF(X412&gt;20,X412-20,0)*2</f>
        <v>175.5384615384616</v>
      </c>
      <c r="AB412" s="160">
        <f>IF(Y412&lt;=0,2,0)+IF(Y412&gt;0,Y412+1,0)*2+IF(Y412&gt;12,Y412-12,0)*2+IF(Y412&gt;13,Y412-13,0)*2+IF(Y412&gt;14,Y412-14,0)*2+IF(Y412&gt;15,Y412-15,0)*2+IF(Y412&gt;16,Y412-16,0)*2+IF(Y412&gt;17,Y412-17,0)*2+IF(Y412&gt;18,Y412-18,0)*2+IF(Y412&gt;19,Y412-19,0)*2+IF(Y412&gt;20,Y412-20,0)*2</f>
        <v>2</v>
      </c>
      <c r="AC412" s="127">
        <f t="shared" si="4430"/>
        <v>173.5384615384616</v>
      </c>
      <c r="AD412" s="125">
        <f t="shared" si="4431"/>
        <v>0</v>
      </c>
      <c r="AF412" s="177" t="s">
        <v>243</v>
      </c>
      <c r="AG412" s="125" t="s">
        <v>86</v>
      </c>
      <c r="AH412" s="47" t="s">
        <v>132</v>
      </c>
      <c r="AI412" s="114">
        <f>Konvention_1slave-MUslave_MU</f>
        <v>11</v>
      </c>
      <c r="AJ412" s="113"/>
      <c r="AK412" s="113">
        <f t="shared" si="4432"/>
        <v>12</v>
      </c>
      <c r="AL412" s="113">
        <f>Konvention_1slave-CHslave</f>
        <v>12</v>
      </c>
      <c r="AM412" s="113"/>
      <c r="AN412" s="113"/>
      <c r="AO412" s="113"/>
      <c r="AP412" s="119"/>
      <c r="AQ412" s="47">
        <f>(AI412+AJ412+AK412+AL412+AM412+AN412+AO412+AP412)/3</f>
        <v>11.666666666666666</v>
      </c>
      <c r="AR412" s="47">
        <f t="shared" si="4433"/>
        <v>23.333333333333332</v>
      </c>
      <c r="AS412" s="113">
        <f t="shared" si="4434"/>
        <v>35</v>
      </c>
      <c r="AT412" s="114">
        <f>AI412*POWER(KLslave,SIGN(AJ412))*POWER(INslave,SIGN(AK412))*POWER(CHslave,SIGN(AL412))*POWER(FFslave,SIGN(AM412))*POWER(GEslave,SIGN(AN412))*POWER(KOslave,SIGN(AO412))*POWER(KKslave,SIGN(AP412))+AJ412*POWER(MUslave_MU,SIGN(AI412))*POWER(INslave,SIGN(AK412))*POWER(CHslave,SIGN(AL412))*POWER(FFslave,SIGN(AM412))*POWER(GEslave,SIGN(AN412))*POWER(KOslave,SIGN(AO412))*POWER(KKslave,SIGN(AP412))+AK412*POWER(MUslave_MU,SIGN(AI412))*POWER(KLslave,SIGN(AJ412))*POWER(CHslave,SIGN(AL412))*POWER(FFslave,SIGN(AM412))*POWER(GEslave,SIGN(AN412))*POWER(KOslave,SIGN(AO412))*POWER(KKslave,SIGN(AP412))+AL412*POWER(MUslave_MU,SIGN(AI412))*POWER(KLslave,SIGN(AJ412))*POWER(INslave,SIGN(AK412))*POWER(FFslave,SIGN(AM412))*POWER(GEslave,SIGN(AN412))*POWER(KOslave,SIGN(AO412))*POWER(KKslave,SIGN(AP412))+AM412*POWER(MUslave_MU,SIGN(AI412))*POWER(KLslave,SIGN(AJ412))*POWER(INslave,SIGN(AK412))*POWER(CHslave,SIGN(AL412))*POWER(GEslave,SIGN(AN412))*POWER(KOslave,SIGN(AO412))*POWER(KKslave,SIGN(AP412))+AN412*POWER(MUslave_MU,SIGN(AI412))*POWER(KLslave,SIGN(AJ412))*POWER(INslave,SIGN(AK412))*POWER(CHslave,SIGN(AL412))*POWER(FFslave,SIGN(AM412))*POWER(KOslave,SIGN(AO412))*POWER(KKslave,SIGN(AP412))+AO412*POWER(MUslave_MU,SIGN(AI412))*POWER(KLslave,SIGN(AJ412))*POWER(INslave,SIGN(AK412))*POWER(CHslave,SIGN(AL412))*POWER(FFslave,SIGN(AM412))*POWER(GEslave,SIGN(AN412))*POWER(KKslave,SIGN(AP412))+AP412*POWER(MUslave_MU,SIGN(AI412))*POWER(KLslave,SIGN(AJ412))*POWER(INslave,SIGN(AK412))*POWER(CHslave,SIGN(AL412))*POWER(FFslave,SIGN(AM412))*POWER(GEslave,SIGN(AN412))*POWER(KOslave,SIGN(AO412))</f>
        <v>2432</v>
      </c>
      <c r="AU412" s="113">
        <f>AI412*AK412*CHslave+AI412*INslave*AL412+MUslave_MU*AK412*AL412</f>
        <v>3408</v>
      </c>
      <c r="AV412" s="119">
        <f>IFERROR(AI412^SIGN(AI412),1)*IFERROR(AJ412^SIGN(AJ412),1)*IFERROR(AK412^SIGN(AK412),1)*IFERROR(AL412^SIGN(AL412),1)*IFERROR(AM412^SIGN(AM412),1)*IFERROR(AN412^SIGN(AN412),1)*IFERROR(AO412^SIGN(AO412),1)*IFERROR(AP412^SIGN(AP412),1)</f>
        <v>1584</v>
      </c>
      <c r="AW412" s="160">
        <f t="shared" si="4435"/>
        <v>7424</v>
      </c>
      <c r="AX412" s="89">
        <f t="shared" si="4436"/>
        <v>3.8218390804597702</v>
      </c>
      <c r="AY412" s="47">
        <f t="shared" si="4437"/>
        <v>10.711206896551724</v>
      </c>
      <c r="AZ412" s="127">
        <f t="shared" si="4438"/>
        <v>7.4676724137931032</v>
      </c>
      <c r="BA412" s="127">
        <f t="shared" si="4439"/>
        <v>22.000718390804597</v>
      </c>
      <c r="BB412" s="165">
        <f t="shared" si="4440"/>
        <v>0</v>
      </c>
      <c r="BC412" s="198">
        <f t="shared" si="4441"/>
        <v>22.000718390804597</v>
      </c>
      <c r="BD412" s="125">
        <f>IF(BA412&lt;=0,2,0)+IF(BA412&gt;0,BA412+1,0)*2+IF(BA412&gt;12,BA412-12,0)*2+IF(BA412&gt;13,BA412-13,0)*2+IF(BA412&gt;14,BA412-14,0)*2+IF(BA412&gt;15,BA412-15,0)*2+IF(BA412&gt;16,BA412-16,0)*2+IF(BA412&gt;17,BA412-17,0)*2+IF(BA412&gt;18,BA412-18,0)*2+IF(BA412&gt;19,BA412-19,0)*2+IF(BA412&gt;20,BA412-20,0)*2</f>
        <v>154.01436781609189</v>
      </c>
      <c r="BE412" s="160">
        <f>IF(BB412&lt;=0,2,0)+IF(BB412&gt;0,BB412+1,0)*2+IF(BB412&gt;12,BB412-12,0)*2+IF(BB412&gt;13,BB412-13,0)*2+IF(BB412&gt;14,BB412-14,0)*2+IF(BB412&gt;15,BB412-15,0)*2+IF(BB412&gt;16,BB412-16,0)*2+IF(BB412&gt;17,BB412-17,0)*2+IF(BB412&gt;18,BB412-18,0)*2+IF(BB412&gt;19,BB412-19,0)*2+IF(BB412&gt;20,BB412-20,0)*2</f>
        <v>2</v>
      </c>
      <c r="BF412" s="243">
        <f t="shared" si="4442"/>
        <v>152.01436781609189</v>
      </c>
      <c r="BG412" s="218">
        <f t="shared" si="4443"/>
        <v>0</v>
      </c>
      <c r="BI412" s="325" t="s">
        <v>243</v>
      </c>
      <c r="BJ412" s="218" t="s">
        <v>86</v>
      </c>
      <c r="BK412" s="223" t="s">
        <v>132</v>
      </c>
      <c r="BL412" s="237">
        <f>Konvention_1slave-MUslave</f>
        <v>12</v>
      </c>
      <c r="BM412" s="234"/>
      <c r="BN412" s="234">
        <f t="shared" si="4444"/>
        <v>12</v>
      </c>
      <c r="BO412" s="234">
        <f>Konvention_1slave-CHslave</f>
        <v>12</v>
      </c>
      <c r="BP412" s="234"/>
      <c r="BQ412" s="234"/>
      <c r="BR412" s="234"/>
      <c r="BS412" s="224"/>
      <c r="BT412" s="223">
        <f>(BL412+BM412+BN412+BO412+BP412+BQ412+BR412+BS412)/3</f>
        <v>12</v>
      </c>
      <c r="BU412" s="223">
        <f t="shared" si="4445"/>
        <v>24</v>
      </c>
      <c r="BV412" s="234">
        <f t="shared" si="4446"/>
        <v>36</v>
      </c>
      <c r="BW412" s="237">
        <f>BL412*POWER(KLslave_KL,SIGN(BM412))*POWER(INslave,SIGN(BN412))*POWER(CHslave,SIGN(BO412))*POWER(FFslave,SIGN(BP412))*POWER(GEslave,SIGN(BQ412))*POWER(KOslave,SIGN(BR412))*POWER(KKslave,SIGN(BS412))+BM412*POWER(MUslave,SIGN(BL412))*POWER(INslave,SIGN(BN412))*POWER(CHslave,SIGN(BO412))*POWER(FFslave,SIGN(BP412))*POWER(GEslave,SIGN(BQ412))*POWER(KOslave,SIGN(BR412))*POWER(KKslave,SIGN(BS412))+BN412*POWER(MUslave,SIGN(BL412))*POWER(KLslave_KL,SIGN(BM412))*POWER(CHslave,SIGN(BO412))*POWER(FFslave,SIGN(BP412))*POWER(GEslave,SIGN(BQ412))*POWER(KOslave,SIGN(BR412))*POWER(KKslave,SIGN(BS412))+BO412*POWER(MUslave,SIGN(BL412))*POWER(KLslave_KL,SIGN(BM412))*POWER(INslave,SIGN(BN412))*POWER(FFslave,SIGN(BP412))*POWER(GEslave,SIGN(BQ412))*POWER(KOslave,SIGN(BR412))*POWER(KKslave,SIGN(BS412))+BP412*POWER(MUslave,SIGN(BL412))*POWER(KLslave_KL,SIGN(BM412))*POWER(INslave,SIGN(BN412))*POWER(CHslave,SIGN(BO412))*POWER(GEslave,SIGN(BQ412))*POWER(KOslave,SIGN(BR412))*POWER(KKslave,SIGN(BS412))+BQ412*POWER(MUslave,SIGN(BL412))*POWER(KLslave_KL,SIGN(BM412))*POWER(INslave,SIGN(BN412))*POWER(CHslave,SIGN(BO412))*POWER(FFslave,SIGN(BP412))*POWER(KOslave,SIGN(BR412))*POWER(KKslave,SIGN(BS412))+BR412*POWER(MUslave,SIGN(BL412))*POWER(KLslave_KL,SIGN(BM412))*POWER(INslave,SIGN(BN412))*POWER(CHslave,SIGN(BO412))*POWER(FFslave,SIGN(BP412))*POWER(GEslave,SIGN(BQ412))*POWER(KKslave,SIGN(BS412))+BS412*POWER(MUslave,SIGN(BL412))*POWER(KLslave_KL,SIGN(BM412))*POWER(INslave,SIGN(BN412))*POWER(CHslave,SIGN(BO412))*POWER(FFslave,SIGN(BP412))*POWER(GEslave,SIGN(BQ412))*POWER(KOslave,SIGN(BR412))</f>
        <v>2304</v>
      </c>
      <c r="BX412" s="234">
        <f>BL412*BN412*CHslave+BL412*INslave*BO412+MUslave*BN412*BO412</f>
        <v>3456</v>
      </c>
      <c r="BY412" s="224">
        <f>IFERROR(BL412^SIGN(BL412),1)*IFERROR(BM412^SIGN(BM412),1)*IFERROR(BN412^SIGN(BN412),1)*IFERROR(BO412^SIGN(BO412),1)*IFERROR(BP412^SIGN(BP412),1)*IFERROR(BQ412^SIGN(BQ412),1)*IFERROR(BR412^SIGN(BR412),1)*IFERROR(BS412^SIGN(BS412),1)</f>
        <v>1728</v>
      </c>
      <c r="BZ412" s="242">
        <f t="shared" si="4447"/>
        <v>7488</v>
      </c>
      <c r="CA412" s="222">
        <f t="shared" si="4448"/>
        <v>3.6923076923076925</v>
      </c>
      <c r="CB412" s="223">
        <f t="shared" si="4449"/>
        <v>11.076923076923077</v>
      </c>
      <c r="CC412" s="243">
        <f t="shared" si="4450"/>
        <v>8.3076923076923084</v>
      </c>
      <c r="CD412" s="243">
        <f t="shared" si="4451"/>
        <v>23.07692307692308</v>
      </c>
      <c r="CE412" s="252">
        <f t="shared" si="4452"/>
        <v>0</v>
      </c>
      <c r="CF412" s="309">
        <f t="shared" si="4453"/>
        <v>23.07692307692308</v>
      </c>
      <c r="CG412" s="218">
        <f>IF(CD412&lt;=0,2,0)+IF(CD412&gt;0,CD412+1,0)*2+IF(CD412&gt;12,CD412-12,0)*2+IF(CD412&gt;13,CD412-13,0)*2+IF(CD412&gt;14,CD412-14,0)*2+IF(CD412&gt;15,CD412-15,0)*2+IF(CD412&gt;16,CD412-16,0)*2+IF(CD412&gt;17,CD412-17,0)*2+IF(CD412&gt;18,CD412-18,0)*2+IF(CD412&gt;19,CD412-19,0)*2+IF(CD412&gt;20,CD412-20,0)*2</f>
        <v>175.5384615384616</v>
      </c>
      <c r="CH412" s="242">
        <f>IF(CE412&lt;=0,2,0)+IF(CE412&gt;0,CE412+1,0)*2+IF(CE412&gt;12,CE412-12,0)*2+IF(CE412&gt;13,CE412-13,0)*2+IF(CE412&gt;14,CE412-14,0)*2+IF(CE412&gt;15,CE412-15,0)*2+IF(CE412&gt;16,CE412-16,0)*2+IF(CE412&gt;17,CE412-17,0)*2+IF(CE412&gt;18,CE412-18,0)*2+IF(CE412&gt;19,CE412-19,0)*2+IF(CE412&gt;20,CE412-20,0)*2</f>
        <v>2</v>
      </c>
      <c r="CI412" s="243">
        <f t="shared" si="4454"/>
        <v>173.5384615384616</v>
      </c>
      <c r="CJ412" s="218">
        <f t="shared" si="4455"/>
        <v>0</v>
      </c>
      <c r="CL412" s="325" t="s">
        <v>243</v>
      </c>
      <c r="CM412" s="218" t="s">
        <v>86</v>
      </c>
      <c r="CN412" s="223" t="s">
        <v>132</v>
      </c>
      <c r="CO412" s="237">
        <f>Konvention_1slave-MUslave</f>
        <v>12</v>
      </c>
      <c r="CP412" s="234"/>
      <c r="CQ412" s="234">
        <f t="shared" si="4456"/>
        <v>11</v>
      </c>
      <c r="CR412" s="234">
        <f>Konvention_1slave-CHslave</f>
        <v>12</v>
      </c>
      <c r="CS412" s="234"/>
      <c r="CT412" s="234"/>
      <c r="CU412" s="234"/>
      <c r="CV412" s="224"/>
      <c r="CW412" s="223">
        <f>(CO412+CP412+CQ412+CR412+CS412+CT412+CU412+CV412)/3</f>
        <v>11.666666666666666</v>
      </c>
      <c r="CX412" s="223">
        <f t="shared" si="4457"/>
        <v>23.333333333333332</v>
      </c>
      <c r="CY412" s="234">
        <f t="shared" si="4458"/>
        <v>35</v>
      </c>
      <c r="CZ412" s="237">
        <f>CO412*POWER(KLslave,SIGN(CP412))*POWER(INslave_IN,SIGN(CQ412))*POWER(CHslave,SIGN(CR412))*POWER(FFslave,SIGN(CS412))*POWER(GEslave,SIGN(CT412))*POWER(KOslave,SIGN(CU412))*POWER(KKslave,SIGN(CV412))+CP412*POWER(MUslave,SIGN(CO412))*POWER(INslave_IN,SIGN(CQ412))*POWER(CHslave,SIGN(CR412))*POWER(FFslave,SIGN(CS412))*POWER(GEslave,SIGN(CT412))*POWER(KOslave,SIGN(CU412))*POWER(KKslave,SIGN(CV412))+CQ412*POWER(MUslave,SIGN(CO412))*POWER(KLslave,SIGN(CP412))*POWER(CHslave,SIGN(CR412))*POWER(FFslave,SIGN(CS412))*POWER(GEslave,SIGN(CT412))*POWER(KOslave,SIGN(CU412))*POWER(KKslave,SIGN(CV412))+CR412*POWER(MUslave,SIGN(CO412))*POWER(KLslave,SIGN(CP412))*POWER(INslave_IN,SIGN(CQ412))*POWER(FFslave,SIGN(CS412))*POWER(GEslave,SIGN(CT412))*POWER(KOslave,SIGN(CU412))*POWER(KKslave,SIGN(CV412))+CS412*POWER(MUslave,SIGN(CO412))*POWER(KLslave,SIGN(CP412))*POWER(INslave_IN,SIGN(CQ412))*POWER(CHslave,SIGN(CR412))*POWER(GEslave,SIGN(CT412))*POWER(KOslave,SIGN(CU412))*POWER(KKslave,SIGN(CV412))+CT412*POWER(MUslave,SIGN(CO412))*POWER(KLslave,SIGN(CP412))*POWER(INslave_IN,SIGN(CQ412))*POWER(CHslave,SIGN(CR412))*POWER(FFslave,SIGN(CS412))*POWER(KOslave,SIGN(CU412))*POWER(KKslave,SIGN(CV412))+CU412*POWER(MUslave,SIGN(CO412))*POWER(KLslave,SIGN(CP412))*POWER(INslave_IN,SIGN(CQ412))*POWER(CHslave,SIGN(CR412))*POWER(FFslave,SIGN(CS412))*POWER(GEslave,SIGN(CT412))*POWER(KKslave,SIGN(CV412))+CV412*POWER(MUslave,SIGN(CO412))*POWER(KLslave,SIGN(CP412))*POWER(INslave_IN,SIGN(CQ412))*POWER(CHslave,SIGN(CR412))*POWER(FFslave,SIGN(CS412))*POWER(GEslave,SIGN(CT412))*POWER(KOslave,SIGN(CU412))</f>
        <v>2432</v>
      </c>
      <c r="DA412" s="234">
        <f>CO412*CQ412*CHslave+CO412*INslave_IN*CR412+MUslave*CQ412*CR412</f>
        <v>3408</v>
      </c>
      <c r="DB412" s="224">
        <f>IFERROR(CO412^SIGN(CO412),1)*IFERROR(CP412^SIGN(CP412),1)*IFERROR(CQ412^SIGN(CQ412),1)*IFERROR(CR412^SIGN(CR412),1)*IFERROR(CS412^SIGN(CS412),1)*IFERROR(CT412^SIGN(CT412),1)*IFERROR(CU412^SIGN(CU412),1)*IFERROR(CV412^SIGN(CV412),1)</f>
        <v>1584</v>
      </c>
      <c r="DC412" s="242">
        <f t="shared" si="4459"/>
        <v>7424</v>
      </c>
      <c r="DD412" s="222">
        <f t="shared" si="4460"/>
        <v>3.8218390804597702</v>
      </c>
      <c r="DE412" s="223">
        <f t="shared" si="4461"/>
        <v>10.711206896551724</v>
      </c>
      <c r="DF412" s="243">
        <f t="shared" si="4462"/>
        <v>7.4676724137931032</v>
      </c>
      <c r="DG412" s="243">
        <f t="shared" si="4463"/>
        <v>22.000718390804597</v>
      </c>
      <c r="DH412" s="252">
        <f t="shared" si="4464"/>
        <v>0</v>
      </c>
      <c r="DI412" s="309">
        <f t="shared" si="4465"/>
        <v>22.000718390804597</v>
      </c>
      <c r="DJ412" s="218">
        <f>IF(DG412&lt;=0,2,0)+IF(DG412&gt;0,DG412+1,0)*2+IF(DG412&gt;12,DG412-12,0)*2+IF(DG412&gt;13,DG412-13,0)*2+IF(DG412&gt;14,DG412-14,0)*2+IF(DG412&gt;15,DG412-15,0)*2+IF(DG412&gt;16,DG412-16,0)*2+IF(DG412&gt;17,DG412-17,0)*2+IF(DG412&gt;18,DG412-18,0)*2+IF(DG412&gt;19,DG412-19,0)*2+IF(DG412&gt;20,DG412-20,0)*2</f>
        <v>154.01436781609189</v>
      </c>
      <c r="DK412" s="242">
        <f>IF(DH412&lt;=0,2,0)+IF(DH412&gt;0,DH412+1,0)*2+IF(DH412&gt;12,DH412-12,0)*2+IF(DH412&gt;13,DH412-13,0)*2+IF(DH412&gt;14,DH412-14,0)*2+IF(DH412&gt;15,DH412-15,0)*2+IF(DH412&gt;16,DH412-16,0)*2+IF(DH412&gt;17,DH412-17,0)*2+IF(DH412&gt;18,DH412-18,0)*2+IF(DH412&gt;19,DH412-19,0)*2+IF(DH412&gt;20,DH412-20,0)*2</f>
        <v>2</v>
      </c>
      <c r="DL412" s="243">
        <f t="shared" si="4466"/>
        <v>152.01436781609189</v>
      </c>
      <c r="DM412" s="218">
        <f t="shared" si="4467"/>
        <v>0</v>
      </c>
      <c r="DO412" s="325" t="s">
        <v>243</v>
      </c>
      <c r="DP412" s="218" t="s">
        <v>86</v>
      </c>
      <c r="DQ412" s="223" t="s">
        <v>132</v>
      </c>
      <c r="DR412" s="237">
        <f>Konvention_1slave-MUslave</f>
        <v>12</v>
      </c>
      <c r="DS412" s="234"/>
      <c r="DT412" s="234">
        <f t="shared" si="4468"/>
        <v>12</v>
      </c>
      <c r="DU412" s="234">
        <f>Konvention_1slave-CHslave_CH</f>
        <v>11</v>
      </c>
      <c r="DV412" s="234"/>
      <c r="DW412" s="234"/>
      <c r="DX412" s="234"/>
      <c r="DY412" s="224"/>
      <c r="DZ412" s="223">
        <f>(DR412+DS412+DT412+DU412+DV412+DW412+DX412+DY412)/3</f>
        <v>11.666666666666666</v>
      </c>
      <c r="EA412" s="223">
        <f t="shared" si="4469"/>
        <v>23.333333333333332</v>
      </c>
      <c r="EB412" s="234">
        <f t="shared" si="4470"/>
        <v>35</v>
      </c>
      <c r="EC412" s="237">
        <f>DR412*POWER(KLslave,SIGN(DS412))*POWER(INslave,SIGN(DT412))*POWER(CHslave_CH,SIGN(DU412))*POWER(FFslave,SIGN(DV412))*POWER(GEslave,SIGN(DW412))*POWER(KOslave,SIGN(DX412))*POWER(KKslave,SIGN(DY412))+DS412*POWER(MUslave,SIGN(DR412))*POWER(INslave,SIGN(DT412))*POWER(CHslave_CH,SIGN(DU412))*POWER(FFslave,SIGN(DV412))*POWER(GEslave,SIGN(DW412))*POWER(KOslave,SIGN(DX412))*POWER(KKslave,SIGN(DY412))+DT412*POWER(MUslave,SIGN(DR412))*POWER(KLslave,SIGN(DS412))*POWER(CHslave_CH,SIGN(DU412))*POWER(FFslave,SIGN(DV412))*POWER(GEslave,SIGN(DW412))*POWER(KOslave,SIGN(DX412))*POWER(KKslave,SIGN(DY412))+DU412*POWER(MUslave,SIGN(DR412))*POWER(KLslave,SIGN(DS412))*POWER(INslave,SIGN(DT412))*POWER(FFslave,SIGN(DV412))*POWER(GEslave,SIGN(DW412))*POWER(KOslave,SIGN(DX412))*POWER(KKslave,SIGN(DY412))+DV412*POWER(MUslave,SIGN(DR412))*POWER(KLslave,SIGN(DS412))*POWER(INslave,SIGN(DT412))*POWER(CHslave_CH,SIGN(DU412))*POWER(GEslave,SIGN(DW412))*POWER(KOslave,SIGN(DX412))*POWER(KKslave,SIGN(DY412))+DW412*POWER(MUslave,SIGN(DR412))*POWER(KLslave,SIGN(DS412))*POWER(INslave,SIGN(DT412))*POWER(CHslave_CH,SIGN(DU412))*POWER(FFslave,SIGN(DV412))*POWER(KOslave,SIGN(DX412))*POWER(KKslave,SIGN(DY412))+DX412*POWER(MUslave,SIGN(DR412))*POWER(KLslave,SIGN(DS412))*POWER(INslave,SIGN(DT412))*POWER(CHslave_CH,SIGN(DU412))*POWER(FFslave,SIGN(DV412))*POWER(GEslave,SIGN(DW412))*POWER(KKslave,SIGN(DY412))+DY412*POWER(MUslave,SIGN(DR412))*POWER(KLslave,SIGN(DS412))*POWER(INslave,SIGN(DT412))*POWER(CHslave_CH,SIGN(DU412))*POWER(FFslave,SIGN(DV412))*POWER(GEslave,SIGN(DW412))*POWER(KOslave,SIGN(DX412))</f>
        <v>2432</v>
      </c>
      <c r="ED412" s="234">
        <f>DR412*DT412*CHslave_CH+DR412*INslave*DU412+MUslave*DT412*DU412</f>
        <v>3408</v>
      </c>
      <c r="EE412" s="224">
        <f>IFERROR(DR412^SIGN(DR412),1)*IFERROR(DS412^SIGN(DS412),1)*IFERROR(DT412^SIGN(DT412),1)*IFERROR(DU412^SIGN(DU412),1)*IFERROR(DV412^SIGN(DV412),1)*IFERROR(DW412^SIGN(DW412),1)*IFERROR(DX412^SIGN(DX412),1)*IFERROR(DY412^SIGN(DY412),1)</f>
        <v>1584</v>
      </c>
      <c r="EF412" s="242">
        <f t="shared" si="4471"/>
        <v>7424</v>
      </c>
      <c r="EG412" s="222">
        <f t="shared" si="4472"/>
        <v>3.8218390804597702</v>
      </c>
      <c r="EH412" s="223">
        <f t="shared" si="4473"/>
        <v>10.711206896551724</v>
      </c>
      <c r="EI412" s="243">
        <f t="shared" si="4474"/>
        <v>7.4676724137931032</v>
      </c>
      <c r="EJ412" s="243">
        <f t="shared" si="4475"/>
        <v>22.000718390804597</v>
      </c>
      <c r="EK412" s="252">
        <f t="shared" si="4476"/>
        <v>0</v>
      </c>
      <c r="EL412" s="309">
        <f t="shared" si="4477"/>
        <v>22.000718390804597</v>
      </c>
      <c r="EM412" s="218">
        <f>IF(EJ412&lt;=0,2,0)+IF(EJ412&gt;0,EJ412+1,0)*2+IF(EJ412&gt;12,EJ412-12,0)*2+IF(EJ412&gt;13,EJ412-13,0)*2+IF(EJ412&gt;14,EJ412-14,0)*2+IF(EJ412&gt;15,EJ412-15,0)*2+IF(EJ412&gt;16,EJ412-16,0)*2+IF(EJ412&gt;17,EJ412-17,0)*2+IF(EJ412&gt;18,EJ412-18,0)*2+IF(EJ412&gt;19,EJ412-19,0)*2+IF(EJ412&gt;20,EJ412-20,0)*2</f>
        <v>154.01436781609189</v>
      </c>
      <c r="EN412" s="242">
        <f>IF(EK412&lt;=0,2,0)+IF(EK412&gt;0,EK412+1,0)*2+IF(EK412&gt;12,EK412-12,0)*2+IF(EK412&gt;13,EK412-13,0)*2+IF(EK412&gt;14,EK412-14,0)*2+IF(EK412&gt;15,EK412-15,0)*2+IF(EK412&gt;16,EK412-16,0)*2+IF(EK412&gt;17,EK412-17,0)*2+IF(EK412&gt;18,EK412-18,0)*2+IF(EK412&gt;19,EK412-19,0)*2+IF(EK412&gt;20,EK412-20,0)*2</f>
        <v>2</v>
      </c>
      <c r="EO412" s="243">
        <f t="shared" si="4478"/>
        <v>152.01436781609189</v>
      </c>
      <c r="EP412" s="218">
        <f t="shared" si="4479"/>
        <v>0</v>
      </c>
      <c r="ER412" s="325" t="s">
        <v>243</v>
      </c>
      <c r="ES412" s="218" t="s">
        <v>86</v>
      </c>
      <c r="ET412" s="223" t="s">
        <v>132</v>
      </c>
      <c r="EU412" s="237">
        <f>Konvention_1slave-MUslave</f>
        <v>12</v>
      </c>
      <c r="EV412" s="234"/>
      <c r="EW412" s="234">
        <f t="shared" si="4480"/>
        <v>12</v>
      </c>
      <c r="EX412" s="234">
        <f>Konvention_1slave-CHslave</f>
        <v>12</v>
      </c>
      <c r="EY412" s="234"/>
      <c r="EZ412" s="234"/>
      <c r="FA412" s="234"/>
      <c r="FB412" s="224"/>
      <c r="FC412" s="223">
        <f>(EU412+EV412+EW412+EX412+EY412+EZ412+FA412+FB412)/3</f>
        <v>12</v>
      </c>
      <c r="FD412" s="223">
        <f t="shared" si="4481"/>
        <v>24</v>
      </c>
      <c r="FE412" s="234">
        <f t="shared" si="4482"/>
        <v>36</v>
      </c>
      <c r="FF412" s="237">
        <f>EU412*POWER(KLslave,SIGN(EV412))*POWER(INslave,SIGN(EW412))*POWER(CHslave,SIGN(EX412))*POWER(FFslave_FF,SIGN(EY412))*POWER(GEslave,SIGN(EZ412))*POWER(KOslave,SIGN(FA412))*POWER(KKslave,SIGN(FB412))+EV412*POWER(MUslave,SIGN(EU412))*POWER(INslave,SIGN(EW412))*POWER(CHslave,SIGN(EX412))*POWER(FFslave_FF,SIGN(EY412))*POWER(GEslave,SIGN(EZ412))*POWER(KOslave,SIGN(FA412))*POWER(KKslave,SIGN(FB412))+EW412*POWER(MUslave,SIGN(EU412))*POWER(KLslave,SIGN(EV412))*POWER(CHslave,SIGN(EX412))*POWER(FFslave_FF,SIGN(EY412))*POWER(GEslave,SIGN(EZ412))*POWER(KOslave,SIGN(FA412))*POWER(KKslave,SIGN(FB412))+EX412*POWER(MUslave,SIGN(EU412))*POWER(KLslave,SIGN(EV412))*POWER(INslave,SIGN(EW412))*POWER(FFslave_FF,SIGN(EY412))*POWER(GEslave,SIGN(EZ412))*POWER(KOslave,SIGN(FA412))*POWER(KKslave,SIGN(FB412))+EY412*POWER(MUslave,SIGN(EU412))*POWER(KLslave,SIGN(EV412))*POWER(INslave,SIGN(EW412))*POWER(CHslave,SIGN(EX412))*POWER(GEslave,SIGN(EZ412))*POWER(KOslave,SIGN(FA412))*POWER(KKslave,SIGN(FB412))+EZ412*POWER(MUslave,SIGN(EU412))*POWER(KLslave,SIGN(EV412))*POWER(INslave,SIGN(EW412))*POWER(CHslave,SIGN(EX412))*POWER(FFslave_FF,SIGN(EY412))*POWER(KOslave,SIGN(FA412))*POWER(KKslave,SIGN(FB412))+FA412*POWER(MUslave,SIGN(EU412))*POWER(KLslave,SIGN(EV412))*POWER(INslave,SIGN(EW412))*POWER(CHslave,SIGN(EX412))*POWER(FFslave_FF,SIGN(EY412))*POWER(GEslave,SIGN(EZ412))*POWER(KKslave,SIGN(FB412))+FB412*POWER(MUslave,SIGN(EU412))*POWER(KLslave,SIGN(EV412))*POWER(INslave,SIGN(EW412))*POWER(CHslave,SIGN(EX412))*POWER(FFslave_FF,SIGN(EY412))*POWER(GEslave,SIGN(EZ412))*POWER(KOslave,SIGN(FA412))</f>
        <v>2304</v>
      </c>
      <c r="FG412" s="234">
        <f>EU412*EW412*CHslave+EU412*INslave*EX412+MUslave*EW412*EX412</f>
        <v>3456</v>
      </c>
      <c r="FH412" s="224">
        <f>IFERROR(EU412^SIGN(EU412),1)*IFERROR(EV412^SIGN(EV412),1)*IFERROR(EW412^SIGN(EW412),1)*IFERROR(EX412^SIGN(EX412),1)*IFERROR(EY412^SIGN(EY412),1)*IFERROR(EZ412^SIGN(EZ412),1)*IFERROR(FA412^SIGN(FA412),1)*IFERROR(FB412^SIGN(FB412),1)</f>
        <v>1728</v>
      </c>
      <c r="FI412" s="242">
        <f t="shared" si="4483"/>
        <v>7488</v>
      </c>
      <c r="FJ412" s="222">
        <f t="shared" si="4484"/>
        <v>3.6923076923076925</v>
      </c>
      <c r="FK412" s="223">
        <f t="shared" si="4485"/>
        <v>11.076923076923077</v>
      </c>
      <c r="FL412" s="243">
        <f t="shared" si="4486"/>
        <v>8.3076923076923084</v>
      </c>
      <c r="FM412" s="243">
        <f t="shared" si="4487"/>
        <v>23.07692307692308</v>
      </c>
      <c r="FN412" s="252">
        <f t="shared" si="4488"/>
        <v>0</v>
      </c>
      <c r="FO412" s="309">
        <f t="shared" si="4489"/>
        <v>23.07692307692308</v>
      </c>
      <c r="FP412" s="218">
        <f>IF(FM412&lt;=0,2,0)+IF(FM412&gt;0,FM412+1,0)*2+IF(FM412&gt;12,FM412-12,0)*2+IF(FM412&gt;13,FM412-13,0)*2+IF(FM412&gt;14,FM412-14,0)*2+IF(FM412&gt;15,FM412-15,0)*2+IF(FM412&gt;16,FM412-16,0)*2+IF(FM412&gt;17,FM412-17,0)*2+IF(FM412&gt;18,FM412-18,0)*2+IF(FM412&gt;19,FM412-19,0)*2+IF(FM412&gt;20,FM412-20,0)*2</f>
        <v>175.5384615384616</v>
      </c>
      <c r="FQ412" s="242">
        <f>IF(FN412&lt;=0,2,0)+IF(FN412&gt;0,FN412+1,0)*2+IF(FN412&gt;12,FN412-12,0)*2+IF(FN412&gt;13,FN412-13,0)*2+IF(FN412&gt;14,FN412-14,0)*2+IF(FN412&gt;15,FN412-15,0)*2+IF(FN412&gt;16,FN412-16,0)*2+IF(FN412&gt;17,FN412-17,0)*2+IF(FN412&gt;18,FN412-18,0)*2+IF(FN412&gt;19,FN412-19,0)*2+IF(FN412&gt;20,FN412-20,0)*2</f>
        <v>2</v>
      </c>
      <c r="FR412" s="243">
        <f t="shared" si="4490"/>
        <v>173.5384615384616</v>
      </c>
      <c r="FS412" s="218">
        <f t="shared" si="4491"/>
        <v>0</v>
      </c>
      <c r="FU412" s="325" t="s">
        <v>243</v>
      </c>
      <c r="FV412" s="218" t="s">
        <v>86</v>
      </c>
      <c r="FW412" s="223" t="s">
        <v>132</v>
      </c>
      <c r="FX412" s="237">
        <f>Konvention_1slave-MUslave</f>
        <v>12</v>
      </c>
      <c r="FY412" s="234"/>
      <c r="FZ412" s="234">
        <f t="shared" si="4492"/>
        <v>12</v>
      </c>
      <c r="GA412" s="234">
        <f>Konvention_1slave-CHslave</f>
        <v>12</v>
      </c>
      <c r="GB412" s="234"/>
      <c r="GC412" s="234"/>
      <c r="GD412" s="234"/>
      <c r="GE412" s="224"/>
      <c r="GF412" s="223">
        <f>(FX412+FY412+FZ412+GA412+GB412+GC412+GD412+GE412)/3</f>
        <v>12</v>
      </c>
      <c r="GG412" s="223">
        <f t="shared" si="4493"/>
        <v>24</v>
      </c>
      <c r="GH412" s="234">
        <f t="shared" si="4494"/>
        <v>36</v>
      </c>
      <c r="GI412" s="237">
        <f>FX412*POWER(KLslave,SIGN(FY412))*POWER(INslave,SIGN(FZ412))*POWER(CHslave,SIGN(GA412))*POWER(FFslave,SIGN(GB412))*POWER(GEslave_GE,SIGN(GC412))*POWER(KOslave,SIGN(GD412))*POWER(KKslave,SIGN(GE412))+FY412*POWER(MUslave,SIGN(FX412))*POWER(INslave,SIGN(FZ412))*POWER(CHslave,SIGN(GA412))*POWER(FFslave,SIGN(GB412))*POWER(GEslave_GE,SIGN(GC412))*POWER(KOslave,SIGN(GD412))*POWER(KKslave,SIGN(GE412))+FZ412*POWER(MUslave,SIGN(FX412))*POWER(KLslave,SIGN(FY412))*POWER(CHslave,SIGN(GA412))*POWER(FFslave,SIGN(GB412))*POWER(GEslave_GE,SIGN(GC412))*POWER(KOslave,SIGN(GD412))*POWER(KKslave,SIGN(GE412))+GA412*POWER(MUslave,SIGN(FX412))*POWER(KLslave,SIGN(FY412))*POWER(INslave,SIGN(FZ412))*POWER(FFslave,SIGN(GB412))*POWER(GEslave_GE,SIGN(GC412))*POWER(KOslave,SIGN(GD412))*POWER(KKslave,SIGN(GE412))+GB412*POWER(MUslave,SIGN(FX412))*POWER(KLslave,SIGN(FY412))*POWER(INslave,SIGN(FZ412))*POWER(CHslave,SIGN(GA412))*POWER(GEslave_GE,SIGN(GC412))*POWER(KOslave,SIGN(GD412))*POWER(KKslave,SIGN(GE412))+GC412*POWER(MUslave,SIGN(FX412))*POWER(KLslave,SIGN(FY412))*POWER(INslave,SIGN(FZ412))*POWER(CHslave,SIGN(GA412))*POWER(FFslave,SIGN(GB412))*POWER(KOslave,SIGN(GD412))*POWER(KKslave,SIGN(GE412))+GD412*POWER(MUslave,SIGN(FX412))*POWER(KLslave,SIGN(FY412))*POWER(INslave,SIGN(FZ412))*POWER(CHslave,SIGN(GA412))*POWER(FFslave,SIGN(GB412))*POWER(GEslave_GE,SIGN(GC412))*POWER(KKslave,SIGN(GE412))+GE412*POWER(MUslave,SIGN(FX412))*POWER(KLslave,SIGN(FY412))*POWER(INslave,SIGN(FZ412))*POWER(CHslave,SIGN(GA412))*POWER(FFslave,SIGN(GB412))*POWER(GEslave_GE,SIGN(GC412))*POWER(KOslave,SIGN(GD412))</f>
        <v>2304</v>
      </c>
      <c r="GJ412" s="234">
        <f>FX412*FZ412*CHslave+FX412*INslave*GA412+MUslave*FZ412*GA412</f>
        <v>3456</v>
      </c>
      <c r="GK412" s="224">
        <f>IFERROR(FX412^SIGN(FX412),1)*IFERROR(FY412^SIGN(FY412),1)*IFERROR(FZ412^SIGN(FZ412),1)*IFERROR(GA412^SIGN(GA412),1)*IFERROR(GB412^SIGN(GB412),1)*IFERROR(GC412^SIGN(GC412),1)*IFERROR(GD412^SIGN(GD412),1)*IFERROR(GE412^SIGN(GE412),1)</f>
        <v>1728</v>
      </c>
      <c r="GL412" s="242">
        <f t="shared" si="4495"/>
        <v>7488</v>
      </c>
      <c r="GM412" s="222">
        <f t="shared" si="4496"/>
        <v>3.6923076923076925</v>
      </c>
      <c r="GN412" s="223">
        <f t="shared" si="4497"/>
        <v>11.076923076923077</v>
      </c>
      <c r="GO412" s="243">
        <f t="shared" si="4498"/>
        <v>8.3076923076923084</v>
      </c>
      <c r="GP412" s="243">
        <f t="shared" si="4499"/>
        <v>23.07692307692308</v>
      </c>
      <c r="GQ412" s="252">
        <f t="shared" si="4500"/>
        <v>0</v>
      </c>
      <c r="GR412" s="309">
        <f t="shared" si="4501"/>
        <v>23.07692307692308</v>
      </c>
      <c r="GS412" s="218">
        <f>IF(GP412&lt;=0,2,0)+IF(GP412&gt;0,GP412+1,0)*2+IF(GP412&gt;12,GP412-12,0)*2+IF(GP412&gt;13,GP412-13,0)*2+IF(GP412&gt;14,GP412-14,0)*2+IF(GP412&gt;15,GP412-15,0)*2+IF(GP412&gt;16,GP412-16,0)*2+IF(GP412&gt;17,GP412-17,0)*2+IF(GP412&gt;18,GP412-18,0)*2+IF(GP412&gt;19,GP412-19,0)*2+IF(GP412&gt;20,GP412-20,0)*2</f>
        <v>175.5384615384616</v>
      </c>
      <c r="GT412" s="242">
        <f>IF(GQ412&lt;=0,2,0)+IF(GQ412&gt;0,GQ412+1,0)*2+IF(GQ412&gt;12,GQ412-12,0)*2+IF(GQ412&gt;13,GQ412-13,0)*2+IF(GQ412&gt;14,GQ412-14,0)*2+IF(GQ412&gt;15,GQ412-15,0)*2+IF(GQ412&gt;16,GQ412-16,0)*2+IF(GQ412&gt;17,GQ412-17,0)*2+IF(GQ412&gt;18,GQ412-18,0)*2+IF(GQ412&gt;19,GQ412-19,0)*2+IF(GQ412&gt;20,GQ412-20,0)*2</f>
        <v>2</v>
      </c>
      <c r="GU412" s="243">
        <f t="shared" si="4502"/>
        <v>173.5384615384616</v>
      </c>
      <c r="GV412" s="218">
        <f t="shared" si="4503"/>
        <v>0</v>
      </c>
      <c r="GX412" s="325" t="s">
        <v>243</v>
      </c>
      <c r="GY412" s="218" t="s">
        <v>86</v>
      </c>
      <c r="GZ412" s="223" t="s">
        <v>132</v>
      </c>
      <c r="HA412" s="237">
        <f>Konvention_1slave-MUslave</f>
        <v>12</v>
      </c>
      <c r="HB412" s="234"/>
      <c r="HC412" s="234">
        <f t="shared" si="4504"/>
        <v>12</v>
      </c>
      <c r="HD412" s="234">
        <f>Konvention_1slave-CHslave</f>
        <v>12</v>
      </c>
      <c r="HE412" s="234"/>
      <c r="HF412" s="234"/>
      <c r="HG412" s="234"/>
      <c r="HH412" s="224"/>
      <c r="HI412" s="223">
        <f>(HA412+HB412+HC412+HD412+HE412+HF412+HG412+HH412)/3</f>
        <v>12</v>
      </c>
      <c r="HJ412" s="223">
        <f t="shared" si="4505"/>
        <v>24</v>
      </c>
      <c r="HK412" s="234">
        <f t="shared" si="4506"/>
        <v>36</v>
      </c>
      <c r="HL412" s="237">
        <f>HA412*POWER(KLslave,SIGN(HB412))*POWER(INslave,SIGN(HC412))*POWER(CHslave,SIGN(HD412))*POWER(FFslave,SIGN(HE412))*POWER(GEslave,SIGN(HF412))*POWER(KOslave_KO,SIGN(HG412))*POWER(KKslave,SIGN(HH412))+HB412*POWER(MUslave,SIGN(HA412))*POWER(INslave,SIGN(HC412))*POWER(CHslave,SIGN(HD412))*POWER(FFslave,SIGN(HE412))*POWER(GEslave,SIGN(HF412))*POWER(KOslave_KO,SIGN(HG412))*POWER(KKslave,SIGN(HH412))+HC412*POWER(MUslave,SIGN(HA412))*POWER(KLslave,SIGN(HB412))*POWER(CHslave,SIGN(HD412))*POWER(FFslave,SIGN(HE412))*POWER(GEslave,SIGN(HF412))*POWER(KOslave_KO,SIGN(HG412))*POWER(KKslave,SIGN(HH412))+HD412*POWER(MUslave,SIGN(HA412))*POWER(KLslave,SIGN(HB412))*POWER(INslave,SIGN(HC412))*POWER(FFslave,SIGN(HE412))*POWER(GEslave,SIGN(HF412))*POWER(KOslave_KO,SIGN(HG412))*POWER(KKslave,SIGN(HH412))+HE412*POWER(MUslave,SIGN(HA412))*POWER(KLslave,SIGN(HB412))*POWER(INslave,SIGN(HC412))*POWER(CHslave,SIGN(HD412))*POWER(GEslave,SIGN(HF412))*POWER(KOslave_KO,SIGN(HG412))*POWER(KKslave,SIGN(HH412))+HF412*POWER(MUslave,SIGN(HA412))*POWER(KLslave,SIGN(HB412))*POWER(INslave,SIGN(HC412))*POWER(CHslave,SIGN(HD412))*POWER(FFslave,SIGN(HE412))*POWER(KOslave_KO,SIGN(HG412))*POWER(KKslave,SIGN(HH412))+HG412*POWER(MUslave,SIGN(HA412))*POWER(KLslave,SIGN(HB412))*POWER(INslave,SIGN(HC412))*POWER(CHslave,SIGN(HD412))*POWER(FFslave,SIGN(HE412))*POWER(GEslave,SIGN(HF412))*POWER(KKslave,SIGN(HH412))+HH412*POWER(MUslave,SIGN(HA412))*POWER(KLslave,SIGN(HB412))*POWER(INslave,SIGN(HC412))*POWER(CHslave,SIGN(HD412))*POWER(FFslave,SIGN(HE412))*POWER(GEslave,SIGN(HF412))*POWER(KOslave_KO,SIGN(HG412))</f>
        <v>2304</v>
      </c>
      <c r="HM412" s="234">
        <f>HA412*HC412*CHslave+HA412*INslave*HD412+MUslave*HC412*HD412</f>
        <v>3456</v>
      </c>
      <c r="HN412" s="224">
        <f>IFERROR(HA412^SIGN(HA412),1)*IFERROR(HB412^SIGN(HB412),1)*IFERROR(HC412^SIGN(HC412),1)*IFERROR(HD412^SIGN(HD412),1)*IFERROR(HE412^SIGN(HE412),1)*IFERROR(HF412^SIGN(HF412),1)*IFERROR(HG412^SIGN(HG412),1)*IFERROR(HH412^SIGN(HH412),1)</f>
        <v>1728</v>
      </c>
      <c r="HO412" s="242">
        <f t="shared" si="4507"/>
        <v>7488</v>
      </c>
      <c r="HP412" s="222">
        <f t="shared" si="4508"/>
        <v>3.6923076923076925</v>
      </c>
      <c r="HQ412" s="223">
        <f t="shared" si="4509"/>
        <v>11.076923076923077</v>
      </c>
      <c r="HR412" s="243">
        <f t="shared" si="4510"/>
        <v>8.3076923076923084</v>
      </c>
      <c r="HS412" s="243">
        <f t="shared" si="4511"/>
        <v>23.07692307692308</v>
      </c>
      <c r="HT412" s="252">
        <f t="shared" si="4512"/>
        <v>0</v>
      </c>
      <c r="HU412" s="309">
        <f t="shared" si="4513"/>
        <v>23.07692307692308</v>
      </c>
      <c r="HV412" s="218">
        <f>IF(HS412&lt;=0,2,0)+IF(HS412&gt;0,HS412+1,0)*2+IF(HS412&gt;12,HS412-12,0)*2+IF(HS412&gt;13,HS412-13,0)*2+IF(HS412&gt;14,HS412-14,0)*2+IF(HS412&gt;15,HS412-15,0)*2+IF(HS412&gt;16,HS412-16,0)*2+IF(HS412&gt;17,HS412-17,0)*2+IF(HS412&gt;18,HS412-18,0)*2+IF(HS412&gt;19,HS412-19,0)*2+IF(HS412&gt;20,HS412-20,0)*2</f>
        <v>175.5384615384616</v>
      </c>
      <c r="HW412" s="242">
        <f>IF(HT412&lt;=0,2,0)+IF(HT412&gt;0,HT412+1,0)*2+IF(HT412&gt;12,HT412-12,0)*2+IF(HT412&gt;13,HT412-13,0)*2+IF(HT412&gt;14,HT412-14,0)*2+IF(HT412&gt;15,HT412-15,0)*2+IF(HT412&gt;16,HT412-16,0)*2+IF(HT412&gt;17,HT412-17,0)*2+IF(HT412&gt;18,HT412-18,0)*2+IF(HT412&gt;19,HT412-19,0)*2+IF(HT412&gt;20,HT412-20,0)*2</f>
        <v>2</v>
      </c>
      <c r="HX412" s="243">
        <f t="shared" si="4514"/>
        <v>173.5384615384616</v>
      </c>
      <c r="HY412" s="218">
        <f t="shared" si="4515"/>
        <v>0</v>
      </c>
      <c r="IA412" s="325" t="s">
        <v>243</v>
      </c>
      <c r="IB412" s="218" t="s">
        <v>86</v>
      </c>
      <c r="IC412" s="223" t="s">
        <v>132</v>
      </c>
      <c r="ID412" s="237">
        <f>Konvention_1slave-MUslave</f>
        <v>12</v>
      </c>
      <c r="IE412" s="234"/>
      <c r="IF412" s="234">
        <f t="shared" si="4516"/>
        <v>12</v>
      </c>
      <c r="IG412" s="234">
        <f>Konvention_1slave-CHslave</f>
        <v>12</v>
      </c>
      <c r="IH412" s="234"/>
      <c r="II412" s="234"/>
      <c r="IJ412" s="234"/>
      <c r="IK412" s="224"/>
      <c r="IL412" s="223">
        <f>(ID412+IE412+IF412+IG412+IH412+II412+IJ412+IK412)/3</f>
        <v>12</v>
      </c>
      <c r="IM412" s="223">
        <f t="shared" si="4517"/>
        <v>24</v>
      </c>
      <c r="IN412" s="234">
        <f t="shared" si="4518"/>
        <v>36</v>
      </c>
      <c r="IO412" s="237">
        <f>ID412*POWER(KLslave,SIGN(IE412))*POWER(INslave,SIGN(IF412))*POWER(CHslave,SIGN(IG412))*POWER(FFslave,SIGN(IH412))*POWER(GEslave,SIGN(II412))*POWER(KOslave,SIGN(IJ412))*POWER(KKslave_KK,SIGN(IK412))+IE412*POWER(MUslave,SIGN(ID412))*POWER(INslave,SIGN(IF412))*POWER(CHslave,SIGN(IG412))*POWER(FFslave,SIGN(IH412))*POWER(GEslave,SIGN(II412))*POWER(KOslave,SIGN(IJ412))*POWER(KKslave_KK,SIGN(IK412))+IF412*POWER(MUslave,SIGN(ID412))*POWER(KLslave,SIGN(IE412))*POWER(CHslave,SIGN(IG412))*POWER(FFslave,SIGN(IH412))*POWER(GEslave,SIGN(II412))*POWER(KOslave,SIGN(IJ412))*POWER(KKslave_KK,SIGN(IK412))+IG412*POWER(MUslave,SIGN(ID412))*POWER(KLslave,SIGN(IE412))*POWER(INslave,SIGN(IF412))*POWER(FFslave,SIGN(IH412))*POWER(GEslave,SIGN(II412))*POWER(KOslave,SIGN(IJ412))*POWER(KKslave_KK,SIGN(IK412))+IH412*POWER(MUslave,SIGN(ID412))*POWER(KLslave,SIGN(IE412))*POWER(INslave,SIGN(IF412))*POWER(CHslave,SIGN(IG412))*POWER(GEslave,SIGN(II412))*POWER(KOslave,SIGN(IJ412))*POWER(KKslave_KK,SIGN(IK412))+II412*POWER(MUslave,SIGN(ID412))*POWER(KLslave,SIGN(IE412))*POWER(INslave,SIGN(IF412))*POWER(CHslave,SIGN(IG412))*POWER(FFslave,SIGN(IH412))*POWER(KOslave,SIGN(IJ412))*POWER(KKslave_KK,SIGN(IK412))+IJ412*POWER(MUslave,SIGN(ID412))*POWER(KLslave,SIGN(IE412))*POWER(INslave,SIGN(IF412))*POWER(CHslave,SIGN(IG412))*POWER(FFslave,SIGN(IH412))*POWER(GEslave,SIGN(II412))*POWER(KKslave_KK,SIGN(IK412))+IK412*POWER(MUslave,SIGN(ID412))*POWER(KLslave,SIGN(IE412))*POWER(INslave,SIGN(IF412))*POWER(CHslave,SIGN(IG412))*POWER(FFslave,SIGN(IH412))*POWER(GEslave,SIGN(II412))*POWER(KOslave,SIGN(IJ412))</f>
        <v>2304</v>
      </c>
      <c r="IP412" s="234">
        <f>ID412*IF412*CHslave+ID412*INslave*IG412+MUslave*IF412*IG412</f>
        <v>3456</v>
      </c>
      <c r="IQ412" s="224">
        <f>IFERROR(ID412^SIGN(ID412),1)*IFERROR(IE412^SIGN(IE412),1)*IFERROR(IF412^SIGN(IF412),1)*IFERROR(IG412^SIGN(IG412),1)*IFERROR(IH412^SIGN(IH412),1)*IFERROR(II412^SIGN(II412),1)*IFERROR(IJ412^SIGN(IJ412),1)*IFERROR(IK412^SIGN(IK412),1)</f>
        <v>1728</v>
      </c>
      <c r="IR412" s="242">
        <f t="shared" si="4519"/>
        <v>7488</v>
      </c>
      <c r="IS412" s="222">
        <f t="shared" si="4520"/>
        <v>3.6923076923076925</v>
      </c>
      <c r="IT412" s="223">
        <f t="shared" si="4521"/>
        <v>11.076923076923077</v>
      </c>
      <c r="IU412" s="243">
        <f t="shared" si="4522"/>
        <v>8.3076923076923084</v>
      </c>
      <c r="IV412" s="243">
        <f t="shared" si="4523"/>
        <v>23.07692307692308</v>
      </c>
      <c r="IW412" s="252">
        <f t="shared" si="4524"/>
        <v>0</v>
      </c>
      <c r="IX412" s="309">
        <f t="shared" si="4525"/>
        <v>23.07692307692308</v>
      </c>
      <c r="IY412" s="218">
        <f>IF(IV412&lt;=0,2,0)+IF(IV412&gt;0,IV412+1,0)*2+IF(IV412&gt;12,IV412-12,0)*2+IF(IV412&gt;13,IV412-13,0)*2+IF(IV412&gt;14,IV412-14,0)*2+IF(IV412&gt;15,IV412-15,0)*2+IF(IV412&gt;16,IV412-16,0)*2+IF(IV412&gt;17,IV412-17,0)*2+IF(IV412&gt;18,IV412-18,0)*2+IF(IV412&gt;19,IV412-19,0)*2+IF(IV412&gt;20,IV412-20,0)*2</f>
        <v>175.5384615384616</v>
      </c>
      <c r="IZ412" s="242">
        <f>IF(IW412&lt;=0,2,0)+IF(IW412&gt;0,IW412+1,0)*2+IF(IW412&gt;12,IW412-12,0)*2+IF(IW412&gt;13,IW412-13,0)*2+IF(IW412&gt;14,IW412-14,0)*2+IF(IW412&gt;15,IW412-15,0)*2+IF(IW412&gt;16,IW412-16,0)*2+IF(IW412&gt;17,IW412-17,0)*2+IF(IW412&gt;18,IW412-18,0)*2+IF(IW412&gt;19,IW412-19,0)*2+IF(IW412&gt;20,IW412-20,0)*2</f>
        <v>2</v>
      </c>
      <c r="JA412" s="243">
        <f t="shared" si="4526"/>
        <v>173.5384615384616</v>
      </c>
      <c r="JB412" s="218">
        <f t="shared" si="4527"/>
        <v>0</v>
      </c>
      <c r="JE412" s="148"/>
    </row>
    <row r="413" spans="2:265" ht="15" hidden="1" customHeight="1" outlineLevel="2">
      <c r="B413" s="148">
        <v>3</v>
      </c>
      <c r="C413" s="325" t="e">
        <f>VLOOKUP(AF413,Attribute!C:T,1,FALSE)</f>
        <v>#N/A</v>
      </c>
      <c r="D413" s="86" t="s">
        <v>86</v>
      </c>
      <c r="E413" s="47" t="s">
        <v>135</v>
      </c>
      <c r="F413" s="114">
        <f>Konvention_1master-MUmaster</f>
        <v>12</v>
      </c>
      <c r="G413" s="113"/>
      <c r="H413" s="113">
        <f t="shared" si="4421"/>
        <v>12</v>
      </c>
      <c r="I413" s="113">
        <f>Konvention_1master-CHmaster</f>
        <v>12</v>
      </c>
      <c r="J413" s="113"/>
      <c r="K413" s="113"/>
      <c r="L413" s="113"/>
      <c r="M413" s="119"/>
      <c r="N413" s="223">
        <f>(F413+G413+H413+I413+J413+K413+L413+M413)/3</f>
        <v>12</v>
      </c>
      <c r="O413" s="223">
        <f t="shared" si="4422"/>
        <v>24</v>
      </c>
      <c r="P413" s="234">
        <f t="shared" si="4423"/>
        <v>36</v>
      </c>
      <c r="Q413" s="237">
        <f>F413*POWER(KLmaster,SIGN(G413))*POWER(INmaster,SIGN(H413))*POWER(CHmaster,SIGN(I413))*POWER(FFmaster,SIGN(J413))*POWER(GEmaster,SIGN(K413))*POWER(KOmaster,SIGN(L413))*POWER(KKmaster,SIGN(M413))+G413*POWER(MUmaster,SIGN(F413))*POWER(INmaster,SIGN(H413))*POWER(CHmaster,SIGN(I413))*POWER(FFmaster,SIGN(J413))*POWER(GEmaster,SIGN(K413))*POWER(KOmaster,SIGN(L413))*POWER(KKmaster,SIGN(M413))+H413*POWER(MUmaster,SIGN(F413))*POWER(KLmaster,SIGN(G413))*POWER(CHmaster,SIGN(I413))*POWER(FFmaster,SIGN(J413))*POWER(GEmaster,SIGN(K413))*POWER(KOmaster,SIGN(L413))*POWER(KKmaster,SIGN(M413))+I413*POWER(MUmaster,SIGN(F413))*POWER(KLmaster,SIGN(G413))*POWER(INmaster,SIGN(H413))*POWER(FFmaster,SIGN(J413))*POWER(GEmaster,SIGN(K413))*POWER(KOmaster,SIGN(L413))*POWER(KKmaster,SIGN(M413))+J413*POWER(MUmaster,SIGN(F413))*POWER(KLmaster,SIGN(G413))*POWER(INmaster,SIGN(H413))*POWER(CHmaster,SIGN(I413))*POWER(GEmaster,SIGN(K413))*POWER(KOmaster,SIGN(L413))*POWER(KKmaster,SIGN(M413))+K413*POWER(MUmaster,SIGN(F413))*POWER(KLmaster,SIGN(G413))*POWER(INmaster,SIGN(H413))*POWER(CHmaster,SIGN(I413))*POWER(FFmaster,SIGN(J413))*POWER(KOmaster,SIGN(L413))*POWER(KKmaster,SIGN(M413))+L413*POWER(MUmaster,SIGN(F413))*POWER(KLmaster,SIGN(G413))*POWER(INmaster,SIGN(H413))*POWER(CHmaster,SIGN(I413))*POWER(FFmaster,SIGN(J413))*POWER(GEmaster,SIGN(K413))*POWER(KKmaster,SIGN(M413))+M413*POWER(MUmaster,SIGN(F413))*POWER(KLmaster,SIGN(G413))*POWER(INmaster,SIGN(H413))*POWER(CHmaster,SIGN(I413))*POWER(FFmaster,SIGN(J413))*POWER(GEmaster,SIGN(K413))*POWER(KOmaster,SIGN(L413))</f>
        <v>2304</v>
      </c>
      <c r="R413" s="113">
        <f>F413*H413*CHmaster+F413*INmaster*I413+MUmaster*H413*I413</f>
        <v>3456</v>
      </c>
      <c r="S413" s="224">
        <f>IFERROR(F413^SIGN(F413),1)*IFERROR(G413^SIGN(G413),1)*IFERROR(H413^SIGN(H413),1)*IFERROR(I413^SIGN(I413),1)*IFERROR(J413^SIGN(J413),1)*IFERROR(K413^SIGN(K413),1)*IFERROR(L413^SIGN(L413),1)*IFERROR(M413^SIGN(M413),1)</f>
        <v>1728</v>
      </c>
      <c r="T413" s="242">
        <f t="shared" si="4424"/>
        <v>7488</v>
      </c>
      <c r="U413" s="222">
        <f t="shared" si="4425"/>
        <v>3.6923076923076925</v>
      </c>
      <c r="V413" s="223">
        <f t="shared" si="4426"/>
        <v>11.076923076923077</v>
      </c>
      <c r="W413" s="243">
        <f t="shared" si="4427"/>
        <v>8.3076923076923084</v>
      </c>
      <c r="X413" s="243">
        <f t="shared" si="4428"/>
        <v>23.07692307692308</v>
      </c>
      <c r="Y413" s="252">
        <v>0</v>
      </c>
      <c r="Z413" s="198">
        <f t="shared" si="4429"/>
        <v>23.07692307692308</v>
      </c>
      <c r="AA413" s="125">
        <f>IF(X413&lt;=0,3,0)+IF(X413&gt;0,X413+1,0)*3+IF(X413&gt;12,X413-12,0)*3+IF(X413&gt;13,X413-13,0)*3+IF(X413&gt;14,X413-14,0)*3+IF(X413&gt;15,X413-15,0)*3+IF(X413&gt;16,X413-16,0)*3+IF(X413&gt;17,X413-17,0)*3+IF(X413&gt;18,X413-18,0)*3+IF(X413&gt;19,X413-19,0)*3+IF(X413&gt;20,X413-20,0)*3</f>
        <v>263.30769230769232</v>
      </c>
      <c r="AB413" s="160">
        <f>IF(Y413&lt;=0,3,0)+IF(Y413&gt;0,Y413+1,0)*3+IF(Y413&gt;12,Y413-12,0)*3+IF(Y413&gt;13,Y413-13,0)*3+IF(Y413&gt;14,Y413-14,0)*3+IF(Y413&gt;15,Y413-15,0)*3+IF(Y413&gt;16,Y413-16,0)*3+IF(Y413&gt;17,Y413-17,0)*3+IF(Y413&gt;18,Y413-18,0)*3+IF(Y413&gt;19,Y413-19,0)*3+IF(Y413&gt;20,Y413-20,0)*3</f>
        <v>3</v>
      </c>
      <c r="AC413" s="127">
        <f t="shared" si="4430"/>
        <v>260.30769230769232</v>
      </c>
      <c r="AD413" s="125">
        <f t="shared" si="4431"/>
        <v>0</v>
      </c>
      <c r="AF413" s="177" t="s">
        <v>252</v>
      </c>
      <c r="AG413" s="125" t="s">
        <v>86</v>
      </c>
      <c r="AH413" s="47" t="s">
        <v>135</v>
      </c>
      <c r="AI413" s="114">
        <f>Konvention_1slave-MUslave_MU</f>
        <v>11</v>
      </c>
      <c r="AJ413" s="113"/>
      <c r="AK413" s="113">
        <f t="shared" si="4432"/>
        <v>12</v>
      </c>
      <c r="AL413" s="113">
        <f>Konvention_1slave-CHslave</f>
        <v>12</v>
      </c>
      <c r="AM413" s="113"/>
      <c r="AN413" s="113"/>
      <c r="AO413" s="113"/>
      <c r="AP413" s="119"/>
      <c r="AQ413" s="47">
        <f>(AI413+AJ413+AK413+AL413+AM413+AN413+AO413+AP413)/3</f>
        <v>11.666666666666666</v>
      </c>
      <c r="AR413" s="47">
        <f t="shared" si="4433"/>
        <v>23.333333333333332</v>
      </c>
      <c r="AS413" s="113">
        <f t="shared" si="4434"/>
        <v>35</v>
      </c>
      <c r="AT413" s="114">
        <f>AI413*POWER(KLslave,SIGN(AJ413))*POWER(INslave,SIGN(AK413))*POWER(CHslave,SIGN(AL413))*POWER(FFslave,SIGN(AM413))*POWER(GEslave,SIGN(AN413))*POWER(KOslave,SIGN(AO413))*POWER(KKslave,SIGN(AP413))+AJ413*POWER(MUslave_MU,SIGN(AI413))*POWER(INslave,SIGN(AK413))*POWER(CHslave,SIGN(AL413))*POWER(FFslave,SIGN(AM413))*POWER(GEslave,SIGN(AN413))*POWER(KOslave,SIGN(AO413))*POWER(KKslave,SIGN(AP413))+AK413*POWER(MUslave_MU,SIGN(AI413))*POWER(KLslave,SIGN(AJ413))*POWER(CHslave,SIGN(AL413))*POWER(FFslave,SIGN(AM413))*POWER(GEslave,SIGN(AN413))*POWER(KOslave,SIGN(AO413))*POWER(KKslave,SIGN(AP413))+AL413*POWER(MUslave_MU,SIGN(AI413))*POWER(KLslave,SIGN(AJ413))*POWER(INslave,SIGN(AK413))*POWER(FFslave,SIGN(AM413))*POWER(GEslave,SIGN(AN413))*POWER(KOslave,SIGN(AO413))*POWER(KKslave,SIGN(AP413))+AM413*POWER(MUslave_MU,SIGN(AI413))*POWER(KLslave,SIGN(AJ413))*POWER(INslave,SIGN(AK413))*POWER(CHslave,SIGN(AL413))*POWER(GEslave,SIGN(AN413))*POWER(KOslave,SIGN(AO413))*POWER(KKslave,SIGN(AP413))+AN413*POWER(MUslave_MU,SIGN(AI413))*POWER(KLslave,SIGN(AJ413))*POWER(INslave,SIGN(AK413))*POWER(CHslave,SIGN(AL413))*POWER(FFslave,SIGN(AM413))*POWER(KOslave,SIGN(AO413))*POWER(KKslave,SIGN(AP413))+AO413*POWER(MUslave_MU,SIGN(AI413))*POWER(KLslave,SIGN(AJ413))*POWER(INslave,SIGN(AK413))*POWER(CHslave,SIGN(AL413))*POWER(FFslave,SIGN(AM413))*POWER(GEslave,SIGN(AN413))*POWER(KKslave,SIGN(AP413))+AP413*POWER(MUslave_MU,SIGN(AI413))*POWER(KLslave,SIGN(AJ413))*POWER(INslave,SIGN(AK413))*POWER(CHslave,SIGN(AL413))*POWER(FFslave,SIGN(AM413))*POWER(GEslave,SIGN(AN413))*POWER(KOslave,SIGN(AO413))</f>
        <v>2432</v>
      </c>
      <c r="AU413" s="113">
        <f>AI413*AK413*CHslave+AI413*INslave*AL413+MUslave_MU*AK413*AL413</f>
        <v>3408</v>
      </c>
      <c r="AV413" s="119">
        <f>IFERROR(AI413^SIGN(AI413),1)*IFERROR(AJ413^SIGN(AJ413),1)*IFERROR(AK413^SIGN(AK413),1)*IFERROR(AL413^SIGN(AL413),1)*IFERROR(AM413^SIGN(AM413),1)*IFERROR(AN413^SIGN(AN413),1)*IFERROR(AO413^SIGN(AO413),1)*IFERROR(AP413^SIGN(AP413),1)</f>
        <v>1584</v>
      </c>
      <c r="AW413" s="160">
        <f t="shared" si="4435"/>
        <v>7424</v>
      </c>
      <c r="AX413" s="89">
        <f t="shared" si="4436"/>
        <v>3.8218390804597702</v>
      </c>
      <c r="AY413" s="47">
        <f t="shared" si="4437"/>
        <v>10.711206896551724</v>
      </c>
      <c r="AZ413" s="127">
        <f t="shared" si="4438"/>
        <v>7.4676724137931032</v>
      </c>
      <c r="BA413" s="127">
        <f t="shared" si="4439"/>
        <v>22.000718390804597</v>
      </c>
      <c r="BB413" s="165">
        <f t="shared" si="4440"/>
        <v>0</v>
      </c>
      <c r="BC413" s="198">
        <f t="shared" si="4441"/>
        <v>22.000718390804597</v>
      </c>
      <c r="BD413" s="125">
        <f>IF(BA413&lt;=0,3,0)+IF(BA413&gt;0,BA413+1,0)*3+IF(BA413&gt;12,BA413-12,0)*3+IF(BA413&gt;13,BA413-13,0)*3+IF(BA413&gt;14,BA413-14,0)*3+IF(BA413&gt;15,BA413-15,0)*3+IF(BA413&gt;16,BA413-16,0)*3+IF(BA413&gt;17,BA413-17,0)*3+IF(BA413&gt;18,BA413-18,0)*3+IF(BA413&gt;19,BA413-19,0)*3+IF(BA413&gt;20,BA413-20,0)*3</f>
        <v>231.02155172413785</v>
      </c>
      <c r="BE413" s="160">
        <f>IF(BB413&lt;=0,3,0)+IF(BB413&gt;0,BB413+1,0)*3+IF(BB413&gt;12,BB413-12,0)*3+IF(BB413&gt;13,BB413-13,0)*3+IF(BB413&gt;14,BB413-14,0)*3+IF(BB413&gt;15,BB413-15,0)*3+IF(BB413&gt;16,BB413-16,0)*3+IF(BB413&gt;17,BB413-17,0)*3+IF(BB413&gt;18,BB413-18,0)*3+IF(BB413&gt;19,BB413-19,0)*3+IF(BB413&gt;20,BB413-20,0)*3</f>
        <v>3</v>
      </c>
      <c r="BF413" s="243">
        <f t="shared" si="4442"/>
        <v>228.02155172413785</v>
      </c>
      <c r="BG413" s="218">
        <f t="shared" si="4443"/>
        <v>0</v>
      </c>
      <c r="BI413" s="325" t="s">
        <v>252</v>
      </c>
      <c r="BJ413" s="218" t="s">
        <v>86</v>
      </c>
      <c r="BK413" s="223" t="s">
        <v>135</v>
      </c>
      <c r="BL413" s="237">
        <f>Konvention_1slave-MUslave</f>
        <v>12</v>
      </c>
      <c r="BM413" s="234"/>
      <c r="BN413" s="234">
        <f t="shared" si="4444"/>
        <v>12</v>
      </c>
      <c r="BO413" s="234">
        <f>Konvention_1slave-CHslave</f>
        <v>12</v>
      </c>
      <c r="BP413" s="234"/>
      <c r="BQ413" s="234"/>
      <c r="BR413" s="234"/>
      <c r="BS413" s="224"/>
      <c r="BT413" s="223">
        <f>(BL413+BM413+BN413+BO413+BP413+BQ413+BR413+BS413)/3</f>
        <v>12</v>
      </c>
      <c r="BU413" s="223">
        <f t="shared" si="4445"/>
        <v>24</v>
      </c>
      <c r="BV413" s="234">
        <f t="shared" si="4446"/>
        <v>36</v>
      </c>
      <c r="BW413" s="237">
        <f>BL413*POWER(KLslave_KL,SIGN(BM413))*POWER(INslave,SIGN(BN413))*POWER(CHslave,SIGN(BO413))*POWER(FFslave,SIGN(BP413))*POWER(GEslave,SIGN(BQ413))*POWER(KOslave,SIGN(BR413))*POWER(KKslave,SIGN(BS413))+BM413*POWER(MUslave,SIGN(BL413))*POWER(INslave,SIGN(BN413))*POWER(CHslave,SIGN(BO413))*POWER(FFslave,SIGN(BP413))*POWER(GEslave,SIGN(BQ413))*POWER(KOslave,SIGN(BR413))*POWER(KKslave,SIGN(BS413))+BN413*POWER(MUslave,SIGN(BL413))*POWER(KLslave_KL,SIGN(BM413))*POWER(CHslave,SIGN(BO413))*POWER(FFslave,SIGN(BP413))*POWER(GEslave,SIGN(BQ413))*POWER(KOslave,SIGN(BR413))*POWER(KKslave,SIGN(BS413))+BO413*POWER(MUslave,SIGN(BL413))*POWER(KLslave_KL,SIGN(BM413))*POWER(INslave,SIGN(BN413))*POWER(FFslave,SIGN(BP413))*POWER(GEslave,SIGN(BQ413))*POWER(KOslave,SIGN(BR413))*POWER(KKslave,SIGN(BS413))+BP413*POWER(MUslave,SIGN(BL413))*POWER(KLslave_KL,SIGN(BM413))*POWER(INslave,SIGN(BN413))*POWER(CHslave,SIGN(BO413))*POWER(GEslave,SIGN(BQ413))*POWER(KOslave,SIGN(BR413))*POWER(KKslave,SIGN(BS413))+BQ413*POWER(MUslave,SIGN(BL413))*POWER(KLslave_KL,SIGN(BM413))*POWER(INslave,SIGN(BN413))*POWER(CHslave,SIGN(BO413))*POWER(FFslave,SIGN(BP413))*POWER(KOslave,SIGN(BR413))*POWER(KKslave,SIGN(BS413))+BR413*POWER(MUslave,SIGN(BL413))*POWER(KLslave_KL,SIGN(BM413))*POWER(INslave,SIGN(BN413))*POWER(CHslave,SIGN(BO413))*POWER(FFslave,SIGN(BP413))*POWER(GEslave,SIGN(BQ413))*POWER(KKslave,SIGN(BS413))+BS413*POWER(MUslave,SIGN(BL413))*POWER(KLslave_KL,SIGN(BM413))*POWER(INslave,SIGN(BN413))*POWER(CHslave,SIGN(BO413))*POWER(FFslave,SIGN(BP413))*POWER(GEslave,SIGN(BQ413))*POWER(KOslave,SIGN(BR413))</f>
        <v>2304</v>
      </c>
      <c r="BX413" s="234">
        <f>BL413*BN413*CHslave+BL413*INslave*BO413+MUslave*BN413*BO413</f>
        <v>3456</v>
      </c>
      <c r="BY413" s="224">
        <f>IFERROR(BL413^SIGN(BL413),1)*IFERROR(BM413^SIGN(BM413),1)*IFERROR(BN413^SIGN(BN413),1)*IFERROR(BO413^SIGN(BO413),1)*IFERROR(BP413^SIGN(BP413),1)*IFERROR(BQ413^SIGN(BQ413),1)*IFERROR(BR413^SIGN(BR413),1)*IFERROR(BS413^SIGN(BS413),1)</f>
        <v>1728</v>
      </c>
      <c r="BZ413" s="242">
        <f t="shared" si="4447"/>
        <v>7488</v>
      </c>
      <c r="CA413" s="222">
        <f t="shared" si="4448"/>
        <v>3.6923076923076925</v>
      </c>
      <c r="CB413" s="223">
        <f t="shared" si="4449"/>
        <v>11.076923076923077</v>
      </c>
      <c r="CC413" s="243">
        <f t="shared" si="4450"/>
        <v>8.3076923076923084</v>
      </c>
      <c r="CD413" s="243">
        <f t="shared" si="4451"/>
        <v>23.07692307692308</v>
      </c>
      <c r="CE413" s="252">
        <f t="shared" si="4452"/>
        <v>0</v>
      </c>
      <c r="CF413" s="309">
        <f t="shared" si="4453"/>
        <v>23.07692307692308</v>
      </c>
      <c r="CG413" s="218">
        <f>IF(CD413&lt;=0,3,0)+IF(CD413&gt;0,CD413+1,0)*3+IF(CD413&gt;12,CD413-12,0)*3+IF(CD413&gt;13,CD413-13,0)*3+IF(CD413&gt;14,CD413-14,0)*3+IF(CD413&gt;15,CD413-15,0)*3+IF(CD413&gt;16,CD413-16,0)*3+IF(CD413&gt;17,CD413-17,0)*3+IF(CD413&gt;18,CD413-18,0)*3+IF(CD413&gt;19,CD413-19,0)*3+IF(CD413&gt;20,CD413-20,0)*3</f>
        <v>263.30769230769232</v>
      </c>
      <c r="CH413" s="242">
        <f>IF(CE413&lt;=0,3,0)+IF(CE413&gt;0,CE413+1,0)*3+IF(CE413&gt;12,CE413-12,0)*3+IF(CE413&gt;13,CE413-13,0)*3+IF(CE413&gt;14,CE413-14,0)*3+IF(CE413&gt;15,CE413-15,0)*3+IF(CE413&gt;16,CE413-16,0)*3+IF(CE413&gt;17,CE413-17,0)*3+IF(CE413&gt;18,CE413-18,0)*3+IF(CE413&gt;19,CE413-19,0)*3+IF(CE413&gt;20,CE413-20,0)*3</f>
        <v>3</v>
      </c>
      <c r="CI413" s="243">
        <f t="shared" si="4454"/>
        <v>260.30769230769232</v>
      </c>
      <c r="CJ413" s="218">
        <f t="shared" si="4455"/>
        <v>0</v>
      </c>
      <c r="CL413" s="325" t="s">
        <v>252</v>
      </c>
      <c r="CM413" s="218" t="s">
        <v>86</v>
      </c>
      <c r="CN413" s="223" t="s">
        <v>135</v>
      </c>
      <c r="CO413" s="237">
        <f>Konvention_1slave-MUslave</f>
        <v>12</v>
      </c>
      <c r="CP413" s="234"/>
      <c r="CQ413" s="234">
        <f t="shared" si="4456"/>
        <v>11</v>
      </c>
      <c r="CR413" s="234">
        <f>Konvention_1slave-CHslave</f>
        <v>12</v>
      </c>
      <c r="CS413" s="234"/>
      <c r="CT413" s="234"/>
      <c r="CU413" s="234"/>
      <c r="CV413" s="224"/>
      <c r="CW413" s="223">
        <f>(CO413+CP413+CQ413+CR413+CS413+CT413+CU413+CV413)/3</f>
        <v>11.666666666666666</v>
      </c>
      <c r="CX413" s="223">
        <f t="shared" si="4457"/>
        <v>23.333333333333332</v>
      </c>
      <c r="CY413" s="234">
        <f t="shared" si="4458"/>
        <v>35</v>
      </c>
      <c r="CZ413" s="237">
        <f>CO413*POWER(KLslave,SIGN(CP413))*POWER(INslave_IN,SIGN(CQ413))*POWER(CHslave,SIGN(CR413))*POWER(FFslave,SIGN(CS413))*POWER(GEslave,SIGN(CT413))*POWER(KOslave,SIGN(CU413))*POWER(KKslave,SIGN(CV413))+CP413*POWER(MUslave,SIGN(CO413))*POWER(INslave_IN,SIGN(CQ413))*POWER(CHslave,SIGN(CR413))*POWER(FFslave,SIGN(CS413))*POWER(GEslave,SIGN(CT413))*POWER(KOslave,SIGN(CU413))*POWER(KKslave,SIGN(CV413))+CQ413*POWER(MUslave,SIGN(CO413))*POWER(KLslave,SIGN(CP413))*POWER(CHslave,SIGN(CR413))*POWER(FFslave,SIGN(CS413))*POWER(GEslave,SIGN(CT413))*POWER(KOslave,SIGN(CU413))*POWER(KKslave,SIGN(CV413))+CR413*POWER(MUslave,SIGN(CO413))*POWER(KLslave,SIGN(CP413))*POWER(INslave_IN,SIGN(CQ413))*POWER(FFslave,SIGN(CS413))*POWER(GEslave,SIGN(CT413))*POWER(KOslave,SIGN(CU413))*POWER(KKslave,SIGN(CV413))+CS413*POWER(MUslave,SIGN(CO413))*POWER(KLslave,SIGN(CP413))*POWER(INslave_IN,SIGN(CQ413))*POWER(CHslave,SIGN(CR413))*POWER(GEslave,SIGN(CT413))*POWER(KOslave,SIGN(CU413))*POWER(KKslave,SIGN(CV413))+CT413*POWER(MUslave,SIGN(CO413))*POWER(KLslave,SIGN(CP413))*POWER(INslave_IN,SIGN(CQ413))*POWER(CHslave,SIGN(CR413))*POWER(FFslave,SIGN(CS413))*POWER(KOslave,SIGN(CU413))*POWER(KKslave,SIGN(CV413))+CU413*POWER(MUslave,SIGN(CO413))*POWER(KLslave,SIGN(CP413))*POWER(INslave_IN,SIGN(CQ413))*POWER(CHslave,SIGN(CR413))*POWER(FFslave,SIGN(CS413))*POWER(GEslave,SIGN(CT413))*POWER(KKslave,SIGN(CV413))+CV413*POWER(MUslave,SIGN(CO413))*POWER(KLslave,SIGN(CP413))*POWER(INslave_IN,SIGN(CQ413))*POWER(CHslave,SIGN(CR413))*POWER(FFslave,SIGN(CS413))*POWER(GEslave,SIGN(CT413))*POWER(KOslave,SIGN(CU413))</f>
        <v>2432</v>
      </c>
      <c r="DA413" s="234">
        <f>CO413*CQ413*CHslave+CO413*INslave_IN*CR413+MUslave*CQ413*CR413</f>
        <v>3408</v>
      </c>
      <c r="DB413" s="224">
        <f>IFERROR(CO413^SIGN(CO413),1)*IFERROR(CP413^SIGN(CP413),1)*IFERROR(CQ413^SIGN(CQ413),1)*IFERROR(CR413^SIGN(CR413),1)*IFERROR(CS413^SIGN(CS413),1)*IFERROR(CT413^SIGN(CT413),1)*IFERROR(CU413^SIGN(CU413),1)*IFERROR(CV413^SIGN(CV413),1)</f>
        <v>1584</v>
      </c>
      <c r="DC413" s="242">
        <f t="shared" si="4459"/>
        <v>7424</v>
      </c>
      <c r="DD413" s="222">
        <f t="shared" si="4460"/>
        <v>3.8218390804597702</v>
      </c>
      <c r="DE413" s="223">
        <f t="shared" si="4461"/>
        <v>10.711206896551724</v>
      </c>
      <c r="DF413" s="243">
        <f t="shared" si="4462"/>
        <v>7.4676724137931032</v>
      </c>
      <c r="DG413" s="243">
        <f t="shared" si="4463"/>
        <v>22.000718390804597</v>
      </c>
      <c r="DH413" s="252">
        <f t="shared" si="4464"/>
        <v>0</v>
      </c>
      <c r="DI413" s="309">
        <f t="shared" si="4465"/>
        <v>22.000718390804597</v>
      </c>
      <c r="DJ413" s="218">
        <f>IF(DG413&lt;=0,3,0)+IF(DG413&gt;0,DG413+1,0)*3+IF(DG413&gt;12,DG413-12,0)*3+IF(DG413&gt;13,DG413-13,0)*3+IF(DG413&gt;14,DG413-14,0)*3+IF(DG413&gt;15,DG413-15,0)*3+IF(DG413&gt;16,DG413-16,0)*3+IF(DG413&gt;17,DG413-17,0)*3+IF(DG413&gt;18,DG413-18,0)*3+IF(DG413&gt;19,DG413-19,0)*3+IF(DG413&gt;20,DG413-20,0)*3</f>
        <v>231.02155172413785</v>
      </c>
      <c r="DK413" s="242">
        <f>IF(DH413&lt;=0,3,0)+IF(DH413&gt;0,DH413+1,0)*3+IF(DH413&gt;12,DH413-12,0)*3+IF(DH413&gt;13,DH413-13,0)*3+IF(DH413&gt;14,DH413-14,0)*3+IF(DH413&gt;15,DH413-15,0)*3+IF(DH413&gt;16,DH413-16,0)*3+IF(DH413&gt;17,DH413-17,0)*3+IF(DH413&gt;18,DH413-18,0)*3+IF(DH413&gt;19,DH413-19,0)*3+IF(DH413&gt;20,DH413-20,0)*3</f>
        <v>3</v>
      </c>
      <c r="DL413" s="243">
        <f t="shared" si="4466"/>
        <v>228.02155172413785</v>
      </c>
      <c r="DM413" s="218">
        <f t="shared" si="4467"/>
        <v>0</v>
      </c>
      <c r="DO413" s="325" t="s">
        <v>252</v>
      </c>
      <c r="DP413" s="218" t="s">
        <v>86</v>
      </c>
      <c r="DQ413" s="223" t="s">
        <v>135</v>
      </c>
      <c r="DR413" s="237">
        <f>Konvention_1slave-MUslave</f>
        <v>12</v>
      </c>
      <c r="DS413" s="234"/>
      <c r="DT413" s="234">
        <f t="shared" si="4468"/>
        <v>12</v>
      </c>
      <c r="DU413" s="234">
        <f>Konvention_1slave-CHslave_CH</f>
        <v>11</v>
      </c>
      <c r="DV413" s="234"/>
      <c r="DW413" s="234"/>
      <c r="DX413" s="234"/>
      <c r="DY413" s="224"/>
      <c r="DZ413" s="223">
        <f>(DR413+DS413+DT413+DU413+DV413+DW413+DX413+DY413)/3</f>
        <v>11.666666666666666</v>
      </c>
      <c r="EA413" s="223">
        <f t="shared" si="4469"/>
        <v>23.333333333333332</v>
      </c>
      <c r="EB413" s="234">
        <f t="shared" si="4470"/>
        <v>35</v>
      </c>
      <c r="EC413" s="237">
        <f>DR413*POWER(KLslave,SIGN(DS413))*POWER(INslave,SIGN(DT413))*POWER(CHslave_CH,SIGN(DU413))*POWER(FFslave,SIGN(DV413))*POWER(GEslave,SIGN(DW413))*POWER(KOslave,SIGN(DX413))*POWER(KKslave,SIGN(DY413))+DS413*POWER(MUslave,SIGN(DR413))*POWER(INslave,SIGN(DT413))*POWER(CHslave_CH,SIGN(DU413))*POWER(FFslave,SIGN(DV413))*POWER(GEslave,SIGN(DW413))*POWER(KOslave,SIGN(DX413))*POWER(KKslave,SIGN(DY413))+DT413*POWER(MUslave,SIGN(DR413))*POWER(KLslave,SIGN(DS413))*POWER(CHslave_CH,SIGN(DU413))*POWER(FFslave,SIGN(DV413))*POWER(GEslave,SIGN(DW413))*POWER(KOslave,SIGN(DX413))*POWER(KKslave,SIGN(DY413))+DU413*POWER(MUslave,SIGN(DR413))*POWER(KLslave,SIGN(DS413))*POWER(INslave,SIGN(DT413))*POWER(FFslave,SIGN(DV413))*POWER(GEslave,SIGN(DW413))*POWER(KOslave,SIGN(DX413))*POWER(KKslave,SIGN(DY413))+DV413*POWER(MUslave,SIGN(DR413))*POWER(KLslave,SIGN(DS413))*POWER(INslave,SIGN(DT413))*POWER(CHslave_CH,SIGN(DU413))*POWER(GEslave,SIGN(DW413))*POWER(KOslave,SIGN(DX413))*POWER(KKslave,SIGN(DY413))+DW413*POWER(MUslave,SIGN(DR413))*POWER(KLslave,SIGN(DS413))*POWER(INslave,SIGN(DT413))*POWER(CHslave_CH,SIGN(DU413))*POWER(FFslave,SIGN(DV413))*POWER(KOslave,SIGN(DX413))*POWER(KKslave,SIGN(DY413))+DX413*POWER(MUslave,SIGN(DR413))*POWER(KLslave,SIGN(DS413))*POWER(INslave,SIGN(DT413))*POWER(CHslave_CH,SIGN(DU413))*POWER(FFslave,SIGN(DV413))*POWER(GEslave,SIGN(DW413))*POWER(KKslave,SIGN(DY413))+DY413*POWER(MUslave,SIGN(DR413))*POWER(KLslave,SIGN(DS413))*POWER(INslave,SIGN(DT413))*POWER(CHslave_CH,SIGN(DU413))*POWER(FFslave,SIGN(DV413))*POWER(GEslave,SIGN(DW413))*POWER(KOslave,SIGN(DX413))</f>
        <v>2432</v>
      </c>
      <c r="ED413" s="234">
        <f>DR413*DT413*CHslave_CH+DR413*INslave*DU413+MUslave*DT413*DU413</f>
        <v>3408</v>
      </c>
      <c r="EE413" s="224">
        <f>IFERROR(DR413^SIGN(DR413),1)*IFERROR(DS413^SIGN(DS413),1)*IFERROR(DT413^SIGN(DT413),1)*IFERROR(DU413^SIGN(DU413),1)*IFERROR(DV413^SIGN(DV413),1)*IFERROR(DW413^SIGN(DW413),1)*IFERROR(DX413^SIGN(DX413),1)*IFERROR(DY413^SIGN(DY413),1)</f>
        <v>1584</v>
      </c>
      <c r="EF413" s="242">
        <f t="shared" si="4471"/>
        <v>7424</v>
      </c>
      <c r="EG413" s="222">
        <f t="shared" si="4472"/>
        <v>3.8218390804597702</v>
      </c>
      <c r="EH413" s="223">
        <f t="shared" si="4473"/>
        <v>10.711206896551724</v>
      </c>
      <c r="EI413" s="243">
        <f t="shared" si="4474"/>
        <v>7.4676724137931032</v>
      </c>
      <c r="EJ413" s="243">
        <f t="shared" si="4475"/>
        <v>22.000718390804597</v>
      </c>
      <c r="EK413" s="252">
        <f t="shared" si="4476"/>
        <v>0</v>
      </c>
      <c r="EL413" s="309">
        <f t="shared" si="4477"/>
        <v>22.000718390804597</v>
      </c>
      <c r="EM413" s="218">
        <f>IF(EJ413&lt;=0,3,0)+IF(EJ413&gt;0,EJ413+1,0)*3+IF(EJ413&gt;12,EJ413-12,0)*3+IF(EJ413&gt;13,EJ413-13,0)*3+IF(EJ413&gt;14,EJ413-14,0)*3+IF(EJ413&gt;15,EJ413-15,0)*3+IF(EJ413&gt;16,EJ413-16,0)*3+IF(EJ413&gt;17,EJ413-17,0)*3+IF(EJ413&gt;18,EJ413-18,0)*3+IF(EJ413&gt;19,EJ413-19,0)*3+IF(EJ413&gt;20,EJ413-20,0)*3</f>
        <v>231.02155172413785</v>
      </c>
      <c r="EN413" s="242">
        <f>IF(EK413&lt;=0,3,0)+IF(EK413&gt;0,EK413+1,0)*3+IF(EK413&gt;12,EK413-12,0)*3+IF(EK413&gt;13,EK413-13,0)*3+IF(EK413&gt;14,EK413-14,0)*3+IF(EK413&gt;15,EK413-15,0)*3+IF(EK413&gt;16,EK413-16,0)*3+IF(EK413&gt;17,EK413-17,0)*3+IF(EK413&gt;18,EK413-18,0)*3+IF(EK413&gt;19,EK413-19,0)*3+IF(EK413&gt;20,EK413-20,0)*3</f>
        <v>3</v>
      </c>
      <c r="EO413" s="243">
        <f t="shared" si="4478"/>
        <v>228.02155172413785</v>
      </c>
      <c r="EP413" s="218">
        <f t="shared" si="4479"/>
        <v>0</v>
      </c>
      <c r="ER413" s="325" t="s">
        <v>252</v>
      </c>
      <c r="ES413" s="218" t="s">
        <v>86</v>
      </c>
      <c r="ET413" s="223" t="s">
        <v>135</v>
      </c>
      <c r="EU413" s="237">
        <f>Konvention_1slave-MUslave</f>
        <v>12</v>
      </c>
      <c r="EV413" s="234"/>
      <c r="EW413" s="234">
        <f t="shared" si="4480"/>
        <v>12</v>
      </c>
      <c r="EX413" s="234">
        <f>Konvention_1slave-CHslave</f>
        <v>12</v>
      </c>
      <c r="EY413" s="234"/>
      <c r="EZ413" s="234"/>
      <c r="FA413" s="234"/>
      <c r="FB413" s="224"/>
      <c r="FC413" s="223">
        <f>(EU413+EV413+EW413+EX413+EY413+EZ413+FA413+FB413)/3</f>
        <v>12</v>
      </c>
      <c r="FD413" s="223">
        <f t="shared" si="4481"/>
        <v>24</v>
      </c>
      <c r="FE413" s="234">
        <f t="shared" si="4482"/>
        <v>36</v>
      </c>
      <c r="FF413" s="237">
        <f>EU413*POWER(KLslave,SIGN(EV413))*POWER(INslave,SIGN(EW413))*POWER(CHslave,SIGN(EX413))*POWER(FFslave_FF,SIGN(EY413))*POWER(GEslave,SIGN(EZ413))*POWER(KOslave,SIGN(FA413))*POWER(KKslave,SIGN(FB413))+EV413*POWER(MUslave,SIGN(EU413))*POWER(INslave,SIGN(EW413))*POWER(CHslave,SIGN(EX413))*POWER(FFslave_FF,SIGN(EY413))*POWER(GEslave,SIGN(EZ413))*POWER(KOslave,SIGN(FA413))*POWER(KKslave,SIGN(FB413))+EW413*POWER(MUslave,SIGN(EU413))*POWER(KLslave,SIGN(EV413))*POWER(CHslave,SIGN(EX413))*POWER(FFslave_FF,SIGN(EY413))*POWER(GEslave,SIGN(EZ413))*POWER(KOslave,SIGN(FA413))*POWER(KKslave,SIGN(FB413))+EX413*POWER(MUslave,SIGN(EU413))*POWER(KLslave,SIGN(EV413))*POWER(INslave,SIGN(EW413))*POWER(FFslave_FF,SIGN(EY413))*POWER(GEslave,SIGN(EZ413))*POWER(KOslave,SIGN(FA413))*POWER(KKslave,SIGN(FB413))+EY413*POWER(MUslave,SIGN(EU413))*POWER(KLslave,SIGN(EV413))*POWER(INslave,SIGN(EW413))*POWER(CHslave,SIGN(EX413))*POWER(GEslave,SIGN(EZ413))*POWER(KOslave,SIGN(FA413))*POWER(KKslave,SIGN(FB413))+EZ413*POWER(MUslave,SIGN(EU413))*POWER(KLslave,SIGN(EV413))*POWER(INslave,SIGN(EW413))*POWER(CHslave,SIGN(EX413))*POWER(FFslave_FF,SIGN(EY413))*POWER(KOslave,SIGN(FA413))*POWER(KKslave,SIGN(FB413))+FA413*POWER(MUslave,SIGN(EU413))*POWER(KLslave,SIGN(EV413))*POWER(INslave,SIGN(EW413))*POWER(CHslave,SIGN(EX413))*POWER(FFslave_FF,SIGN(EY413))*POWER(GEslave,SIGN(EZ413))*POWER(KKslave,SIGN(FB413))+FB413*POWER(MUslave,SIGN(EU413))*POWER(KLslave,SIGN(EV413))*POWER(INslave,SIGN(EW413))*POWER(CHslave,SIGN(EX413))*POWER(FFslave_FF,SIGN(EY413))*POWER(GEslave,SIGN(EZ413))*POWER(KOslave,SIGN(FA413))</f>
        <v>2304</v>
      </c>
      <c r="FG413" s="234">
        <f>EU413*EW413*CHslave+EU413*INslave*EX413+MUslave*EW413*EX413</f>
        <v>3456</v>
      </c>
      <c r="FH413" s="224">
        <f>IFERROR(EU413^SIGN(EU413),1)*IFERROR(EV413^SIGN(EV413),1)*IFERROR(EW413^SIGN(EW413),1)*IFERROR(EX413^SIGN(EX413),1)*IFERROR(EY413^SIGN(EY413),1)*IFERROR(EZ413^SIGN(EZ413),1)*IFERROR(FA413^SIGN(FA413),1)*IFERROR(FB413^SIGN(FB413),1)</f>
        <v>1728</v>
      </c>
      <c r="FI413" s="242">
        <f t="shared" si="4483"/>
        <v>7488</v>
      </c>
      <c r="FJ413" s="222">
        <f t="shared" si="4484"/>
        <v>3.6923076923076925</v>
      </c>
      <c r="FK413" s="223">
        <f t="shared" si="4485"/>
        <v>11.076923076923077</v>
      </c>
      <c r="FL413" s="243">
        <f t="shared" si="4486"/>
        <v>8.3076923076923084</v>
      </c>
      <c r="FM413" s="243">
        <f t="shared" si="4487"/>
        <v>23.07692307692308</v>
      </c>
      <c r="FN413" s="252">
        <f t="shared" si="4488"/>
        <v>0</v>
      </c>
      <c r="FO413" s="309">
        <f t="shared" si="4489"/>
        <v>23.07692307692308</v>
      </c>
      <c r="FP413" s="218">
        <f>IF(FM413&lt;=0,3,0)+IF(FM413&gt;0,FM413+1,0)*3+IF(FM413&gt;12,FM413-12,0)*3+IF(FM413&gt;13,FM413-13,0)*3+IF(FM413&gt;14,FM413-14,0)*3+IF(FM413&gt;15,FM413-15,0)*3+IF(FM413&gt;16,FM413-16,0)*3+IF(FM413&gt;17,FM413-17,0)*3+IF(FM413&gt;18,FM413-18,0)*3+IF(FM413&gt;19,FM413-19,0)*3+IF(FM413&gt;20,FM413-20,0)*3</f>
        <v>263.30769230769232</v>
      </c>
      <c r="FQ413" s="242">
        <f>IF(FN413&lt;=0,3,0)+IF(FN413&gt;0,FN413+1,0)*3+IF(FN413&gt;12,FN413-12,0)*3+IF(FN413&gt;13,FN413-13,0)*3+IF(FN413&gt;14,FN413-14,0)*3+IF(FN413&gt;15,FN413-15,0)*3+IF(FN413&gt;16,FN413-16,0)*3+IF(FN413&gt;17,FN413-17,0)*3+IF(FN413&gt;18,FN413-18,0)*3+IF(FN413&gt;19,FN413-19,0)*3+IF(FN413&gt;20,FN413-20,0)*3</f>
        <v>3</v>
      </c>
      <c r="FR413" s="243">
        <f t="shared" si="4490"/>
        <v>260.30769230769232</v>
      </c>
      <c r="FS413" s="218">
        <f t="shared" si="4491"/>
        <v>0</v>
      </c>
      <c r="FU413" s="325" t="s">
        <v>252</v>
      </c>
      <c r="FV413" s="218" t="s">
        <v>86</v>
      </c>
      <c r="FW413" s="223" t="s">
        <v>135</v>
      </c>
      <c r="FX413" s="237">
        <f>Konvention_1slave-MUslave</f>
        <v>12</v>
      </c>
      <c r="FY413" s="234"/>
      <c r="FZ413" s="234">
        <f t="shared" si="4492"/>
        <v>12</v>
      </c>
      <c r="GA413" s="234">
        <f>Konvention_1slave-CHslave</f>
        <v>12</v>
      </c>
      <c r="GB413" s="234"/>
      <c r="GC413" s="234"/>
      <c r="GD413" s="234"/>
      <c r="GE413" s="224"/>
      <c r="GF413" s="223">
        <f>(FX413+FY413+FZ413+GA413+GB413+GC413+GD413+GE413)/3</f>
        <v>12</v>
      </c>
      <c r="GG413" s="223">
        <f t="shared" si="4493"/>
        <v>24</v>
      </c>
      <c r="GH413" s="234">
        <f t="shared" si="4494"/>
        <v>36</v>
      </c>
      <c r="GI413" s="237">
        <f>FX413*POWER(KLslave,SIGN(FY413))*POWER(INslave,SIGN(FZ413))*POWER(CHslave,SIGN(GA413))*POWER(FFslave,SIGN(GB413))*POWER(GEslave_GE,SIGN(GC413))*POWER(KOslave,SIGN(GD413))*POWER(KKslave,SIGN(GE413))+FY413*POWER(MUslave,SIGN(FX413))*POWER(INslave,SIGN(FZ413))*POWER(CHslave,SIGN(GA413))*POWER(FFslave,SIGN(GB413))*POWER(GEslave_GE,SIGN(GC413))*POWER(KOslave,SIGN(GD413))*POWER(KKslave,SIGN(GE413))+FZ413*POWER(MUslave,SIGN(FX413))*POWER(KLslave,SIGN(FY413))*POWER(CHslave,SIGN(GA413))*POWER(FFslave,SIGN(GB413))*POWER(GEslave_GE,SIGN(GC413))*POWER(KOslave,SIGN(GD413))*POWER(KKslave,SIGN(GE413))+GA413*POWER(MUslave,SIGN(FX413))*POWER(KLslave,SIGN(FY413))*POWER(INslave,SIGN(FZ413))*POWER(FFslave,SIGN(GB413))*POWER(GEslave_GE,SIGN(GC413))*POWER(KOslave,SIGN(GD413))*POWER(KKslave,SIGN(GE413))+GB413*POWER(MUslave,SIGN(FX413))*POWER(KLslave,SIGN(FY413))*POWER(INslave,SIGN(FZ413))*POWER(CHslave,SIGN(GA413))*POWER(GEslave_GE,SIGN(GC413))*POWER(KOslave,SIGN(GD413))*POWER(KKslave,SIGN(GE413))+GC413*POWER(MUslave,SIGN(FX413))*POWER(KLslave,SIGN(FY413))*POWER(INslave,SIGN(FZ413))*POWER(CHslave,SIGN(GA413))*POWER(FFslave,SIGN(GB413))*POWER(KOslave,SIGN(GD413))*POWER(KKslave,SIGN(GE413))+GD413*POWER(MUslave,SIGN(FX413))*POWER(KLslave,SIGN(FY413))*POWER(INslave,SIGN(FZ413))*POWER(CHslave,SIGN(GA413))*POWER(FFslave,SIGN(GB413))*POWER(GEslave_GE,SIGN(GC413))*POWER(KKslave,SIGN(GE413))+GE413*POWER(MUslave,SIGN(FX413))*POWER(KLslave,SIGN(FY413))*POWER(INslave,SIGN(FZ413))*POWER(CHslave,SIGN(GA413))*POWER(FFslave,SIGN(GB413))*POWER(GEslave_GE,SIGN(GC413))*POWER(KOslave,SIGN(GD413))</f>
        <v>2304</v>
      </c>
      <c r="GJ413" s="234">
        <f>FX413*FZ413*CHslave+FX413*INslave*GA413+MUslave*FZ413*GA413</f>
        <v>3456</v>
      </c>
      <c r="GK413" s="224">
        <f>IFERROR(FX413^SIGN(FX413),1)*IFERROR(FY413^SIGN(FY413),1)*IFERROR(FZ413^SIGN(FZ413),1)*IFERROR(GA413^SIGN(GA413),1)*IFERROR(GB413^SIGN(GB413),1)*IFERROR(GC413^SIGN(GC413),1)*IFERROR(GD413^SIGN(GD413),1)*IFERROR(GE413^SIGN(GE413),1)</f>
        <v>1728</v>
      </c>
      <c r="GL413" s="242">
        <f t="shared" si="4495"/>
        <v>7488</v>
      </c>
      <c r="GM413" s="222">
        <f t="shared" si="4496"/>
        <v>3.6923076923076925</v>
      </c>
      <c r="GN413" s="223">
        <f t="shared" si="4497"/>
        <v>11.076923076923077</v>
      </c>
      <c r="GO413" s="243">
        <f t="shared" si="4498"/>
        <v>8.3076923076923084</v>
      </c>
      <c r="GP413" s="243">
        <f t="shared" si="4499"/>
        <v>23.07692307692308</v>
      </c>
      <c r="GQ413" s="252">
        <f t="shared" si="4500"/>
        <v>0</v>
      </c>
      <c r="GR413" s="309">
        <f t="shared" si="4501"/>
        <v>23.07692307692308</v>
      </c>
      <c r="GS413" s="218">
        <f>IF(GP413&lt;=0,3,0)+IF(GP413&gt;0,GP413+1,0)*3+IF(GP413&gt;12,GP413-12,0)*3+IF(GP413&gt;13,GP413-13,0)*3+IF(GP413&gt;14,GP413-14,0)*3+IF(GP413&gt;15,GP413-15,0)*3+IF(GP413&gt;16,GP413-16,0)*3+IF(GP413&gt;17,GP413-17,0)*3+IF(GP413&gt;18,GP413-18,0)*3+IF(GP413&gt;19,GP413-19,0)*3+IF(GP413&gt;20,GP413-20,0)*3</f>
        <v>263.30769230769232</v>
      </c>
      <c r="GT413" s="242">
        <f>IF(GQ413&lt;=0,3,0)+IF(GQ413&gt;0,GQ413+1,0)*3+IF(GQ413&gt;12,GQ413-12,0)*3+IF(GQ413&gt;13,GQ413-13,0)*3+IF(GQ413&gt;14,GQ413-14,0)*3+IF(GQ413&gt;15,GQ413-15,0)*3+IF(GQ413&gt;16,GQ413-16,0)*3+IF(GQ413&gt;17,GQ413-17,0)*3+IF(GQ413&gt;18,GQ413-18,0)*3+IF(GQ413&gt;19,GQ413-19,0)*3+IF(GQ413&gt;20,GQ413-20,0)*3</f>
        <v>3</v>
      </c>
      <c r="GU413" s="243">
        <f t="shared" si="4502"/>
        <v>260.30769230769232</v>
      </c>
      <c r="GV413" s="218">
        <f t="shared" si="4503"/>
        <v>0</v>
      </c>
      <c r="GX413" s="325" t="s">
        <v>252</v>
      </c>
      <c r="GY413" s="218" t="s">
        <v>86</v>
      </c>
      <c r="GZ413" s="223" t="s">
        <v>135</v>
      </c>
      <c r="HA413" s="237">
        <f>Konvention_1slave-MUslave</f>
        <v>12</v>
      </c>
      <c r="HB413" s="234"/>
      <c r="HC413" s="234">
        <f t="shared" si="4504"/>
        <v>12</v>
      </c>
      <c r="HD413" s="234">
        <f>Konvention_1slave-CHslave</f>
        <v>12</v>
      </c>
      <c r="HE413" s="234"/>
      <c r="HF413" s="234"/>
      <c r="HG413" s="234"/>
      <c r="HH413" s="224"/>
      <c r="HI413" s="223">
        <f>(HA413+HB413+HC413+HD413+HE413+HF413+HG413+HH413)/3</f>
        <v>12</v>
      </c>
      <c r="HJ413" s="223">
        <f t="shared" si="4505"/>
        <v>24</v>
      </c>
      <c r="HK413" s="234">
        <f t="shared" si="4506"/>
        <v>36</v>
      </c>
      <c r="HL413" s="237">
        <f>HA413*POWER(KLslave,SIGN(HB413))*POWER(INslave,SIGN(HC413))*POWER(CHslave,SIGN(HD413))*POWER(FFslave,SIGN(HE413))*POWER(GEslave,SIGN(HF413))*POWER(KOslave_KO,SIGN(HG413))*POWER(KKslave,SIGN(HH413))+HB413*POWER(MUslave,SIGN(HA413))*POWER(INslave,SIGN(HC413))*POWER(CHslave,SIGN(HD413))*POWER(FFslave,SIGN(HE413))*POWER(GEslave,SIGN(HF413))*POWER(KOslave_KO,SIGN(HG413))*POWER(KKslave,SIGN(HH413))+HC413*POWER(MUslave,SIGN(HA413))*POWER(KLslave,SIGN(HB413))*POWER(CHslave,SIGN(HD413))*POWER(FFslave,SIGN(HE413))*POWER(GEslave,SIGN(HF413))*POWER(KOslave_KO,SIGN(HG413))*POWER(KKslave,SIGN(HH413))+HD413*POWER(MUslave,SIGN(HA413))*POWER(KLslave,SIGN(HB413))*POWER(INslave,SIGN(HC413))*POWER(FFslave,SIGN(HE413))*POWER(GEslave,SIGN(HF413))*POWER(KOslave_KO,SIGN(HG413))*POWER(KKslave,SIGN(HH413))+HE413*POWER(MUslave,SIGN(HA413))*POWER(KLslave,SIGN(HB413))*POWER(INslave,SIGN(HC413))*POWER(CHslave,SIGN(HD413))*POWER(GEslave,SIGN(HF413))*POWER(KOslave_KO,SIGN(HG413))*POWER(KKslave,SIGN(HH413))+HF413*POWER(MUslave,SIGN(HA413))*POWER(KLslave,SIGN(HB413))*POWER(INslave,SIGN(HC413))*POWER(CHslave,SIGN(HD413))*POWER(FFslave,SIGN(HE413))*POWER(KOslave_KO,SIGN(HG413))*POWER(KKslave,SIGN(HH413))+HG413*POWER(MUslave,SIGN(HA413))*POWER(KLslave,SIGN(HB413))*POWER(INslave,SIGN(HC413))*POWER(CHslave,SIGN(HD413))*POWER(FFslave,SIGN(HE413))*POWER(GEslave,SIGN(HF413))*POWER(KKslave,SIGN(HH413))+HH413*POWER(MUslave,SIGN(HA413))*POWER(KLslave,SIGN(HB413))*POWER(INslave,SIGN(HC413))*POWER(CHslave,SIGN(HD413))*POWER(FFslave,SIGN(HE413))*POWER(GEslave,SIGN(HF413))*POWER(KOslave_KO,SIGN(HG413))</f>
        <v>2304</v>
      </c>
      <c r="HM413" s="234">
        <f>HA413*HC413*CHslave+HA413*INslave*HD413+MUslave*HC413*HD413</f>
        <v>3456</v>
      </c>
      <c r="HN413" s="224">
        <f>IFERROR(HA413^SIGN(HA413),1)*IFERROR(HB413^SIGN(HB413),1)*IFERROR(HC413^SIGN(HC413),1)*IFERROR(HD413^SIGN(HD413),1)*IFERROR(HE413^SIGN(HE413),1)*IFERROR(HF413^SIGN(HF413),1)*IFERROR(HG413^SIGN(HG413),1)*IFERROR(HH413^SIGN(HH413),1)</f>
        <v>1728</v>
      </c>
      <c r="HO413" s="242">
        <f t="shared" si="4507"/>
        <v>7488</v>
      </c>
      <c r="HP413" s="222">
        <f t="shared" si="4508"/>
        <v>3.6923076923076925</v>
      </c>
      <c r="HQ413" s="223">
        <f t="shared" si="4509"/>
        <v>11.076923076923077</v>
      </c>
      <c r="HR413" s="243">
        <f t="shared" si="4510"/>
        <v>8.3076923076923084</v>
      </c>
      <c r="HS413" s="243">
        <f t="shared" si="4511"/>
        <v>23.07692307692308</v>
      </c>
      <c r="HT413" s="252">
        <f t="shared" si="4512"/>
        <v>0</v>
      </c>
      <c r="HU413" s="309">
        <f t="shared" si="4513"/>
        <v>23.07692307692308</v>
      </c>
      <c r="HV413" s="218">
        <f>IF(HS413&lt;=0,3,0)+IF(HS413&gt;0,HS413+1,0)*3+IF(HS413&gt;12,HS413-12,0)*3+IF(HS413&gt;13,HS413-13,0)*3+IF(HS413&gt;14,HS413-14,0)*3+IF(HS413&gt;15,HS413-15,0)*3+IF(HS413&gt;16,HS413-16,0)*3+IF(HS413&gt;17,HS413-17,0)*3+IF(HS413&gt;18,HS413-18,0)*3+IF(HS413&gt;19,HS413-19,0)*3+IF(HS413&gt;20,HS413-20,0)*3</f>
        <v>263.30769230769232</v>
      </c>
      <c r="HW413" s="242">
        <f>IF(HT413&lt;=0,3,0)+IF(HT413&gt;0,HT413+1,0)*3+IF(HT413&gt;12,HT413-12,0)*3+IF(HT413&gt;13,HT413-13,0)*3+IF(HT413&gt;14,HT413-14,0)*3+IF(HT413&gt;15,HT413-15,0)*3+IF(HT413&gt;16,HT413-16,0)*3+IF(HT413&gt;17,HT413-17,0)*3+IF(HT413&gt;18,HT413-18,0)*3+IF(HT413&gt;19,HT413-19,0)*3+IF(HT413&gt;20,HT413-20,0)*3</f>
        <v>3</v>
      </c>
      <c r="HX413" s="243">
        <f t="shared" si="4514"/>
        <v>260.30769230769232</v>
      </c>
      <c r="HY413" s="218">
        <f t="shared" si="4515"/>
        <v>0</v>
      </c>
      <c r="IA413" s="325" t="s">
        <v>252</v>
      </c>
      <c r="IB413" s="218" t="s">
        <v>86</v>
      </c>
      <c r="IC413" s="223" t="s">
        <v>135</v>
      </c>
      <c r="ID413" s="237">
        <f>Konvention_1slave-MUslave</f>
        <v>12</v>
      </c>
      <c r="IE413" s="234"/>
      <c r="IF413" s="234">
        <f t="shared" si="4516"/>
        <v>12</v>
      </c>
      <c r="IG413" s="234">
        <f>Konvention_1slave-CHslave</f>
        <v>12</v>
      </c>
      <c r="IH413" s="234"/>
      <c r="II413" s="234"/>
      <c r="IJ413" s="234"/>
      <c r="IK413" s="224"/>
      <c r="IL413" s="223">
        <f>(ID413+IE413+IF413+IG413+IH413+II413+IJ413+IK413)/3</f>
        <v>12</v>
      </c>
      <c r="IM413" s="223">
        <f t="shared" si="4517"/>
        <v>24</v>
      </c>
      <c r="IN413" s="234">
        <f t="shared" si="4518"/>
        <v>36</v>
      </c>
      <c r="IO413" s="237">
        <f>ID413*POWER(KLslave,SIGN(IE413))*POWER(INslave,SIGN(IF413))*POWER(CHslave,SIGN(IG413))*POWER(FFslave,SIGN(IH413))*POWER(GEslave,SIGN(II413))*POWER(KOslave,SIGN(IJ413))*POWER(KKslave_KK,SIGN(IK413))+IE413*POWER(MUslave,SIGN(ID413))*POWER(INslave,SIGN(IF413))*POWER(CHslave,SIGN(IG413))*POWER(FFslave,SIGN(IH413))*POWER(GEslave,SIGN(II413))*POWER(KOslave,SIGN(IJ413))*POWER(KKslave_KK,SIGN(IK413))+IF413*POWER(MUslave,SIGN(ID413))*POWER(KLslave,SIGN(IE413))*POWER(CHslave,SIGN(IG413))*POWER(FFslave,SIGN(IH413))*POWER(GEslave,SIGN(II413))*POWER(KOslave,SIGN(IJ413))*POWER(KKslave_KK,SIGN(IK413))+IG413*POWER(MUslave,SIGN(ID413))*POWER(KLslave,SIGN(IE413))*POWER(INslave,SIGN(IF413))*POWER(FFslave,SIGN(IH413))*POWER(GEslave,SIGN(II413))*POWER(KOslave,SIGN(IJ413))*POWER(KKslave_KK,SIGN(IK413))+IH413*POWER(MUslave,SIGN(ID413))*POWER(KLslave,SIGN(IE413))*POWER(INslave,SIGN(IF413))*POWER(CHslave,SIGN(IG413))*POWER(GEslave,SIGN(II413))*POWER(KOslave,SIGN(IJ413))*POWER(KKslave_KK,SIGN(IK413))+II413*POWER(MUslave,SIGN(ID413))*POWER(KLslave,SIGN(IE413))*POWER(INslave,SIGN(IF413))*POWER(CHslave,SIGN(IG413))*POWER(FFslave,SIGN(IH413))*POWER(KOslave,SIGN(IJ413))*POWER(KKslave_KK,SIGN(IK413))+IJ413*POWER(MUslave,SIGN(ID413))*POWER(KLslave,SIGN(IE413))*POWER(INslave,SIGN(IF413))*POWER(CHslave,SIGN(IG413))*POWER(FFslave,SIGN(IH413))*POWER(GEslave,SIGN(II413))*POWER(KKslave_KK,SIGN(IK413))+IK413*POWER(MUslave,SIGN(ID413))*POWER(KLslave,SIGN(IE413))*POWER(INslave,SIGN(IF413))*POWER(CHslave,SIGN(IG413))*POWER(FFslave,SIGN(IH413))*POWER(GEslave,SIGN(II413))*POWER(KOslave,SIGN(IJ413))</f>
        <v>2304</v>
      </c>
      <c r="IP413" s="234">
        <f>ID413*IF413*CHslave+ID413*INslave*IG413+MUslave*IF413*IG413</f>
        <v>3456</v>
      </c>
      <c r="IQ413" s="224">
        <f>IFERROR(ID413^SIGN(ID413),1)*IFERROR(IE413^SIGN(IE413),1)*IFERROR(IF413^SIGN(IF413),1)*IFERROR(IG413^SIGN(IG413),1)*IFERROR(IH413^SIGN(IH413),1)*IFERROR(II413^SIGN(II413),1)*IFERROR(IJ413^SIGN(IJ413),1)*IFERROR(IK413^SIGN(IK413),1)</f>
        <v>1728</v>
      </c>
      <c r="IR413" s="242">
        <f t="shared" si="4519"/>
        <v>7488</v>
      </c>
      <c r="IS413" s="222">
        <f t="shared" si="4520"/>
        <v>3.6923076923076925</v>
      </c>
      <c r="IT413" s="223">
        <f t="shared" si="4521"/>
        <v>11.076923076923077</v>
      </c>
      <c r="IU413" s="243">
        <f t="shared" si="4522"/>
        <v>8.3076923076923084</v>
      </c>
      <c r="IV413" s="243">
        <f t="shared" si="4523"/>
        <v>23.07692307692308</v>
      </c>
      <c r="IW413" s="252">
        <f t="shared" si="4524"/>
        <v>0</v>
      </c>
      <c r="IX413" s="309">
        <f t="shared" si="4525"/>
        <v>23.07692307692308</v>
      </c>
      <c r="IY413" s="218">
        <f>IF(IV413&lt;=0,3,0)+IF(IV413&gt;0,IV413+1,0)*3+IF(IV413&gt;12,IV413-12,0)*3+IF(IV413&gt;13,IV413-13,0)*3+IF(IV413&gt;14,IV413-14,0)*3+IF(IV413&gt;15,IV413-15,0)*3+IF(IV413&gt;16,IV413-16,0)*3+IF(IV413&gt;17,IV413-17,0)*3+IF(IV413&gt;18,IV413-18,0)*3+IF(IV413&gt;19,IV413-19,0)*3+IF(IV413&gt;20,IV413-20,0)*3</f>
        <v>263.30769230769232</v>
      </c>
      <c r="IZ413" s="242">
        <f>IF(IW413&lt;=0,3,0)+IF(IW413&gt;0,IW413+1,0)*3+IF(IW413&gt;12,IW413-12,0)*3+IF(IW413&gt;13,IW413-13,0)*3+IF(IW413&gt;14,IW413-14,0)*3+IF(IW413&gt;15,IW413-15,0)*3+IF(IW413&gt;16,IW413-16,0)*3+IF(IW413&gt;17,IW413-17,0)*3+IF(IW413&gt;18,IW413-18,0)*3+IF(IW413&gt;19,IW413-19,0)*3+IF(IW413&gt;20,IW413-20,0)*3</f>
        <v>3</v>
      </c>
      <c r="JA413" s="243">
        <f t="shared" si="4526"/>
        <v>260.30769230769232</v>
      </c>
      <c r="JB413" s="218">
        <f t="shared" si="4527"/>
        <v>0</v>
      </c>
      <c r="JE413" s="148"/>
    </row>
    <row r="414" spans="2:265" ht="15" hidden="1" customHeight="1" outlineLevel="2">
      <c r="B414" s="148">
        <v>4</v>
      </c>
      <c r="C414" s="325" t="e">
        <f>VLOOKUP(AF414,Attribute!C:T,1,FALSE)</f>
        <v>#N/A</v>
      </c>
      <c r="D414" s="125" t="s">
        <v>80</v>
      </c>
      <c r="E414" s="47" t="s">
        <v>133</v>
      </c>
      <c r="F414" s="114"/>
      <c r="G414" s="113">
        <f>Konvention_1master-KLmaster</f>
        <v>12</v>
      </c>
      <c r="H414" s="113">
        <f t="shared" si="4421"/>
        <v>12</v>
      </c>
      <c r="I414" s="113"/>
      <c r="J414" s="113"/>
      <c r="K414" s="113"/>
      <c r="L414" s="113"/>
      <c r="M414" s="119"/>
      <c r="N414" s="223">
        <f>(G414+H414+H414)/3</f>
        <v>12</v>
      </c>
      <c r="O414" s="223">
        <f t="shared" si="4422"/>
        <v>24</v>
      </c>
      <c r="P414" s="234">
        <f t="shared" si="4423"/>
        <v>36</v>
      </c>
      <c r="Q414" s="237">
        <f>H414*POWER(KLmaster,SIGN(G414))*POWER(INmaster,SIGN(H414))+H414*POWER(KLmaster,SIGN(G414))*POWER(INmaster,SIGN(H414))+G414*POWER(INmaster,SIGN(H414))*POWER(INmaster,SIGN(H414))</f>
        <v>2304</v>
      </c>
      <c r="R414" s="113">
        <f>G414*H414*INmaster+G414*INmaster*H414+KLmaster*H414*H414</f>
        <v>3456</v>
      </c>
      <c r="S414" s="224">
        <f>G414*H414*H414</f>
        <v>1728</v>
      </c>
      <c r="T414" s="242">
        <f t="shared" si="4424"/>
        <v>7488</v>
      </c>
      <c r="U414" s="222">
        <f t="shared" si="4425"/>
        <v>3.6923076923076925</v>
      </c>
      <c r="V414" s="223">
        <f t="shared" si="4426"/>
        <v>11.076923076923077</v>
      </c>
      <c r="W414" s="243">
        <f t="shared" si="4427"/>
        <v>8.3076923076923084</v>
      </c>
      <c r="X414" s="243">
        <f t="shared" si="4428"/>
        <v>23.07692307692308</v>
      </c>
      <c r="Y414" s="252">
        <v>0</v>
      </c>
      <c r="Z414" s="198">
        <f t="shared" si="4429"/>
        <v>23.07692307692308</v>
      </c>
      <c r="AA414" s="125">
        <f>IF(X414&lt;=0,1,0)+IF(X414&gt;0,X414+1,0)*1+IF(X414&gt;12,X414-12,0)*1+IF(X414&gt;13,X414-13,0)*1+IF(X414&gt;14,X414-14,0)*1+IF(X414&gt;15,X414-15,0)*1+IF(X414&gt;16,X414-16,0)*1+IF(X414&gt;17,X414-17,0)*1+IF(X414&gt;18,X414-18,0)*1+IF(X414&gt;19,X414-19,0)*1+IF(X414&gt;20,X414-20,0)*1</f>
        <v>87.769230769230802</v>
      </c>
      <c r="AB414" s="160">
        <f>IF(Y414&lt;=0,1,0)+IF(Y414&gt;0,Y414+1,0)*1+IF(Y414&gt;12,Y414-12,0)*1+IF(Y414&gt;13,Y414-13,0)*1+IF(Y414&gt;14,Y414-14,0)*1+IF(Y414&gt;15,Y414-15,0)*1+IF(Y414&gt;16,Y414-16,0)*1+IF(Y414&gt;17,Y414-17,0)*1+IF(Y414&gt;18,Y414-18,0)*1+IF(Y414&gt;19,Y414-19,0)*1+IF(Y414&gt;20,Y414-20,0)*1</f>
        <v>1</v>
      </c>
      <c r="AC414" s="127">
        <f t="shared" si="4430"/>
        <v>86.769230769230802</v>
      </c>
      <c r="AD414" s="125">
        <f t="shared" si="4431"/>
        <v>0</v>
      </c>
      <c r="AF414" s="177" t="s">
        <v>253</v>
      </c>
      <c r="AG414" s="125" t="s">
        <v>80</v>
      </c>
      <c r="AH414" s="47" t="s">
        <v>133</v>
      </c>
      <c r="AI414" s="114"/>
      <c r="AJ414" s="113">
        <f>Konvention_1slave-KLslave</f>
        <v>12</v>
      </c>
      <c r="AK414" s="113">
        <f t="shared" si="4432"/>
        <v>12</v>
      </c>
      <c r="AL414" s="113"/>
      <c r="AM414" s="113"/>
      <c r="AN414" s="113"/>
      <c r="AO414" s="113"/>
      <c r="AP414" s="119"/>
      <c r="AQ414" s="47">
        <f>(AJ414+AK414+AK414)/3</f>
        <v>12</v>
      </c>
      <c r="AR414" s="47">
        <f t="shared" si="4433"/>
        <v>24</v>
      </c>
      <c r="AS414" s="113">
        <f t="shared" si="4434"/>
        <v>36</v>
      </c>
      <c r="AT414" s="114">
        <f>AK414*POWER(KLslave,SIGN(AJ414))*POWER(INslave,SIGN(AK414))+AK414*POWER(KLslave,SIGN(AJ414))*POWER(INslave,SIGN(AK414))+AJ414*POWER(INslave,SIGN(AK414))*POWER(INslave,SIGN(AK414))</f>
        <v>2304</v>
      </c>
      <c r="AU414" s="113">
        <f>AJ414*AK414*INslave+AJ414*INslave*AK414+KLslave*AK414*AK414</f>
        <v>3456</v>
      </c>
      <c r="AV414" s="119">
        <f>AJ414*AK414*AK414</f>
        <v>1728</v>
      </c>
      <c r="AW414" s="160">
        <f t="shared" si="4435"/>
        <v>7488</v>
      </c>
      <c r="AX414" s="89">
        <f t="shared" si="4436"/>
        <v>3.6923076923076925</v>
      </c>
      <c r="AY414" s="47">
        <f t="shared" si="4437"/>
        <v>11.076923076923077</v>
      </c>
      <c r="AZ414" s="127">
        <f t="shared" si="4438"/>
        <v>8.3076923076923084</v>
      </c>
      <c r="BA414" s="127">
        <f t="shared" si="4439"/>
        <v>23.07692307692308</v>
      </c>
      <c r="BB414" s="165">
        <f t="shared" si="4440"/>
        <v>0</v>
      </c>
      <c r="BC414" s="198">
        <f t="shared" si="4441"/>
        <v>23.07692307692308</v>
      </c>
      <c r="BD414" s="125">
        <f>IF(BA414&lt;=0,1,0)+IF(BA414&gt;0,BA414+1,0)*1+IF(BA414&gt;12,BA414-12,0)*1+IF(BA414&gt;13,BA414-13,0)*1+IF(BA414&gt;14,BA414-14,0)*1+IF(BA414&gt;15,BA414-15,0)*1+IF(BA414&gt;16,BA414-16,0)*1+IF(BA414&gt;17,BA414-17,0)*1+IF(BA414&gt;18,BA414-18,0)*1+IF(BA414&gt;19,BA414-19,0)*1+IF(BA414&gt;20,BA414-20,0)*1</f>
        <v>87.769230769230802</v>
      </c>
      <c r="BE414" s="160">
        <f>IF(BB414&lt;=0,1,0)+IF(BB414&gt;0,BB414+1,0)*1+IF(BB414&gt;12,BB414-12,0)*1+IF(BB414&gt;13,BB414-13,0)*1+IF(BB414&gt;14,BB414-14,0)*1+IF(BB414&gt;15,BB414-15,0)*1+IF(BB414&gt;16,BB414-16,0)*1+IF(BB414&gt;17,BB414-17,0)*1+IF(BB414&gt;18,BB414-18,0)*1+IF(BB414&gt;19,BB414-19,0)*1+IF(BB414&gt;20,BB414-20,0)*1</f>
        <v>1</v>
      </c>
      <c r="BF414" s="243">
        <f t="shared" si="4442"/>
        <v>86.769230769230802</v>
      </c>
      <c r="BG414" s="218">
        <f t="shared" si="4443"/>
        <v>0</v>
      </c>
      <c r="BI414" s="325" t="s">
        <v>253</v>
      </c>
      <c r="BJ414" s="218" t="s">
        <v>80</v>
      </c>
      <c r="BK414" s="223" t="s">
        <v>133</v>
      </c>
      <c r="BL414" s="237"/>
      <c r="BM414" s="234">
        <f>Konvention_1slave-KLslave_KL</f>
        <v>11</v>
      </c>
      <c r="BN414" s="234">
        <f t="shared" si="4444"/>
        <v>12</v>
      </c>
      <c r="BO414" s="234"/>
      <c r="BP414" s="234"/>
      <c r="BQ414" s="234"/>
      <c r="BR414" s="234"/>
      <c r="BS414" s="224"/>
      <c r="BT414" s="223">
        <f>(BM414+BN414+BN414)/3</f>
        <v>11.666666666666666</v>
      </c>
      <c r="BU414" s="223">
        <f t="shared" si="4445"/>
        <v>23.333333333333332</v>
      </c>
      <c r="BV414" s="234">
        <f t="shared" si="4446"/>
        <v>35</v>
      </c>
      <c r="BW414" s="237">
        <f>BN414*POWER(KLslave_KL,SIGN(BM414))*POWER(INslave,SIGN(BN414))+BN414*POWER(KLslave_KL,SIGN(BM414))*POWER(INslave,SIGN(BN414))+BM414*POWER(INslave,SIGN(BN414))*POWER(INslave,SIGN(BN414))</f>
        <v>2432</v>
      </c>
      <c r="BX414" s="234">
        <f>BM414*BN414*INslave+BM414*INslave*BN414+KLslave_KL*BN414*BN414</f>
        <v>3408</v>
      </c>
      <c r="BY414" s="224">
        <f>BM414*BN414*BN414</f>
        <v>1584</v>
      </c>
      <c r="BZ414" s="242">
        <f t="shared" si="4447"/>
        <v>7424</v>
      </c>
      <c r="CA414" s="222">
        <f t="shared" si="4448"/>
        <v>3.8218390804597702</v>
      </c>
      <c r="CB414" s="223">
        <f t="shared" si="4449"/>
        <v>10.711206896551724</v>
      </c>
      <c r="CC414" s="243">
        <f t="shared" si="4450"/>
        <v>7.4676724137931032</v>
      </c>
      <c r="CD414" s="243">
        <f t="shared" si="4451"/>
        <v>22.000718390804597</v>
      </c>
      <c r="CE414" s="252">
        <f t="shared" si="4452"/>
        <v>0</v>
      </c>
      <c r="CF414" s="309">
        <f t="shared" si="4453"/>
        <v>22.000718390804597</v>
      </c>
      <c r="CG414" s="218">
        <f>IF(CD414&lt;=0,1,0)+IF(CD414&gt;0,CD414+1,0)*1+IF(CD414&gt;12,CD414-12,0)*1+IF(CD414&gt;13,CD414-13,0)*1+IF(CD414&gt;14,CD414-14,0)*1+IF(CD414&gt;15,CD414-15,0)*1+IF(CD414&gt;16,CD414-16,0)*1+IF(CD414&gt;17,CD414-17,0)*1+IF(CD414&gt;18,CD414-18,0)*1+IF(CD414&gt;19,CD414-19,0)*1+IF(CD414&gt;20,CD414-20,0)*1</f>
        <v>77.007183908045945</v>
      </c>
      <c r="CH414" s="242">
        <f>IF(CE414&lt;=0,1,0)+IF(CE414&gt;0,CE414+1,0)*1+IF(CE414&gt;12,CE414-12,0)*1+IF(CE414&gt;13,CE414-13,0)*1+IF(CE414&gt;14,CE414-14,0)*1+IF(CE414&gt;15,CE414-15,0)*1+IF(CE414&gt;16,CE414-16,0)*1+IF(CE414&gt;17,CE414-17,0)*1+IF(CE414&gt;18,CE414-18,0)*1+IF(CE414&gt;19,CE414-19,0)*1+IF(CE414&gt;20,CE414-20,0)*1</f>
        <v>1</v>
      </c>
      <c r="CI414" s="243">
        <f t="shared" si="4454"/>
        <v>76.007183908045945</v>
      </c>
      <c r="CJ414" s="218">
        <f t="shared" si="4455"/>
        <v>0</v>
      </c>
      <c r="CL414" s="325" t="s">
        <v>253</v>
      </c>
      <c r="CM414" s="218" t="s">
        <v>80</v>
      </c>
      <c r="CN414" s="223" t="s">
        <v>133</v>
      </c>
      <c r="CO414" s="237"/>
      <c r="CP414" s="234">
        <f>Konvention_1slave-KLslave</f>
        <v>12</v>
      </c>
      <c r="CQ414" s="234">
        <f t="shared" si="4456"/>
        <v>11</v>
      </c>
      <c r="CR414" s="234"/>
      <c r="CS414" s="234"/>
      <c r="CT414" s="234"/>
      <c r="CU414" s="234"/>
      <c r="CV414" s="224"/>
      <c r="CW414" s="223">
        <f>(CP414+CQ414+CQ414)/3</f>
        <v>11.333333333333334</v>
      </c>
      <c r="CX414" s="223">
        <f t="shared" si="4457"/>
        <v>22.666666666666668</v>
      </c>
      <c r="CY414" s="234">
        <f t="shared" si="4458"/>
        <v>34</v>
      </c>
      <c r="CZ414" s="237">
        <f>CQ414*POWER(KLslave,SIGN(CP414))*POWER(INslave_IN,SIGN(CQ414))+CQ414*POWER(KLslave,SIGN(CP414))*POWER(INslave_IN,SIGN(CQ414))+CP414*POWER(INslave_IN,SIGN(CQ414))*POWER(INslave_IN,SIGN(CQ414))</f>
        <v>2556</v>
      </c>
      <c r="DA414" s="234">
        <f>CP414*CQ414*INslave_IN+CP414*INslave_IN*CQ414+KLslave*CQ414*CQ414</f>
        <v>3344</v>
      </c>
      <c r="DB414" s="224">
        <f>CP414*CQ414*CQ414</f>
        <v>1452</v>
      </c>
      <c r="DC414" s="242">
        <f t="shared" si="4459"/>
        <v>7352</v>
      </c>
      <c r="DD414" s="222">
        <f t="shared" si="4460"/>
        <v>3.940152339499456</v>
      </c>
      <c r="DE414" s="223">
        <f t="shared" si="4461"/>
        <v>10.309756982227059</v>
      </c>
      <c r="DF414" s="243">
        <f t="shared" si="4462"/>
        <v>6.714907508161045</v>
      </c>
      <c r="DG414" s="243">
        <f t="shared" si="4463"/>
        <v>20.96481682988756</v>
      </c>
      <c r="DH414" s="252">
        <f t="shared" si="4464"/>
        <v>0</v>
      </c>
      <c r="DI414" s="309">
        <f t="shared" si="4465"/>
        <v>20.96481682988756</v>
      </c>
      <c r="DJ414" s="218">
        <f>IF(DG414&lt;=0,1,0)+IF(DG414&gt;0,DG414+1,0)*1+IF(DG414&gt;12,DG414-12,0)*1+IF(DG414&gt;13,DG414-13,0)*1+IF(DG414&gt;14,DG414-14,0)*1+IF(DG414&gt;15,DG414-15,0)*1+IF(DG414&gt;16,DG414-16,0)*1+IF(DG414&gt;17,DG414-17,0)*1+IF(DG414&gt;18,DG414-18,0)*1+IF(DG414&gt;19,DG414-19,0)*1+IF(DG414&gt;20,DG414-20,0)*1</f>
        <v>66.648168298875589</v>
      </c>
      <c r="DK414" s="242">
        <f>IF(DH414&lt;=0,1,0)+IF(DH414&gt;0,DH414+1,0)*1+IF(DH414&gt;12,DH414-12,0)*1+IF(DH414&gt;13,DH414-13,0)*1+IF(DH414&gt;14,DH414-14,0)*1+IF(DH414&gt;15,DH414-15,0)*1+IF(DH414&gt;16,DH414-16,0)*1+IF(DH414&gt;17,DH414-17,0)*1+IF(DH414&gt;18,DH414-18,0)*1+IF(DH414&gt;19,DH414-19,0)*1+IF(DH414&gt;20,DH414-20,0)*1</f>
        <v>1</v>
      </c>
      <c r="DL414" s="243">
        <f t="shared" si="4466"/>
        <v>65.648168298875589</v>
      </c>
      <c r="DM414" s="218">
        <f t="shared" si="4467"/>
        <v>0</v>
      </c>
      <c r="DO414" s="325" t="s">
        <v>253</v>
      </c>
      <c r="DP414" s="218" t="s">
        <v>80</v>
      </c>
      <c r="DQ414" s="223" t="s">
        <v>133</v>
      </c>
      <c r="DR414" s="237"/>
      <c r="DS414" s="234">
        <f>Konvention_1slave-KLslave</f>
        <v>12</v>
      </c>
      <c r="DT414" s="234">
        <f t="shared" si="4468"/>
        <v>12</v>
      </c>
      <c r="DU414" s="234"/>
      <c r="DV414" s="234"/>
      <c r="DW414" s="234"/>
      <c r="DX414" s="234"/>
      <c r="DY414" s="224"/>
      <c r="DZ414" s="223">
        <f>(DS414+DT414+DT414)/3</f>
        <v>12</v>
      </c>
      <c r="EA414" s="223">
        <f t="shared" si="4469"/>
        <v>24</v>
      </c>
      <c r="EB414" s="234">
        <f t="shared" si="4470"/>
        <v>36</v>
      </c>
      <c r="EC414" s="237">
        <f>DT414*POWER(KLslave,SIGN(DS414))*POWER(INslave,SIGN(DT414))+DT414*POWER(KLslave,SIGN(DS414))*POWER(INslave,SIGN(DT414))+DS414*POWER(INslave,SIGN(DT414))*POWER(INslave,SIGN(DT414))</f>
        <v>2304</v>
      </c>
      <c r="ED414" s="234">
        <f>DS414*DT414*INslave+DS414*INslave*DT414+KLslave*DT414*DT414</f>
        <v>3456</v>
      </c>
      <c r="EE414" s="224">
        <f>DS414*DT414*DT414</f>
        <v>1728</v>
      </c>
      <c r="EF414" s="242">
        <f t="shared" si="4471"/>
        <v>7488</v>
      </c>
      <c r="EG414" s="222">
        <f t="shared" si="4472"/>
        <v>3.6923076923076925</v>
      </c>
      <c r="EH414" s="223">
        <f t="shared" si="4473"/>
        <v>11.076923076923077</v>
      </c>
      <c r="EI414" s="243">
        <f t="shared" si="4474"/>
        <v>8.3076923076923084</v>
      </c>
      <c r="EJ414" s="243">
        <f t="shared" si="4475"/>
        <v>23.07692307692308</v>
      </c>
      <c r="EK414" s="252">
        <f t="shared" si="4476"/>
        <v>0</v>
      </c>
      <c r="EL414" s="309">
        <f t="shared" si="4477"/>
        <v>23.07692307692308</v>
      </c>
      <c r="EM414" s="218">
        <f>IF(EJ414&lt;=0,1,0)+IF(EJ414&gt;0,EJ414+1,0)*1+IF(EJ414&gt;12,EJ414-12,0)*1+IF(EJ414&gt;13,EJ414-13,0)*1+IF(EJ414&gt;14,EJ414-14,0)*1+IF(EJ414&gt;15,EJ414-15,0)*1+IF(EJ414&gt;16,EJ414-16,0)*1+IF(EJ414&gt;17,EJ414-17,0)*1+IF(EJ414&gt;18,EJ414-18,0)*1+IF(EJ414&gt;19,EJ414-19,0)*1+IF(EJ414&gt;20,EJ414-20,0)*1</f>
        <v>87.769230769230802</v>
      </c>
      <c r="EN414" s="242">
        <f>IF(EK414&lt;=0,1,0)+IF(EK414&gt;0,EK414+1,0)*1+IF(EK414&gt;12,EK414-12,0)*1+IF(EK414&gt;13,EK414-13,0)*1+IF(EK414&gt;14,EK414-14,0)*1+IF(EK414&gt;15,EK414-15,0)*1+IF(EK414&gt;16,EK414-16,0)*1+IF(EK414&gt;17,EK414-17,0)*1+IF(EK414&gt;18,EK414-18,0)*1+IF(EK414&gt;19,EK414-19,0)*1+IF(EK414&gt;20,EK414-20,0)*1</f>
        <v>1</v>
      </c>
      <c r="EO414" s="243">
        <f t="shared" si="4478"/>
        <v>86.769230769230802</v>
      </c>
      <c r="EP414" s="218">
        <f t="shared" si="4479"/>
        <v>0</v>
      </c>
      <c r="ER414" s="325" t="s">
        <v>253</v>
      </c>
      <c r="ES414" s="218" t="s">
        <v>80</v>
      </c>
      <c r="ET414" s="223" t="s">
        <v>133</v>
      </c>
      <c r="EU414" s="237"/>
      <c r="EV414" s="234">
        <f>Konvention_1slave-KLslave</f>
        <v>12</v>
      </c>
      <c r="EW414" s="234">
        <f t="shared" si="4480"/>
        <v>12</v>
      </c>
      <c r="EX414" s="234"/>
      <c r="EY414" s="234"/>
      <c r="EZ414" s="234"/>
      <c r="FA414" s="234"/>
      <c r="FB414" s="224"/>
      <c r="FC414" s="223">
        <f>(EV414+EW414+EW414)/3</f>
        <v>12</v>
      </c>
      <c r="FD414" s="223">
        <f t="shared" si="4481"/>
        <v>24</v>
      </c>
      <c r="FE414" s="234">
        <f t="shared" si="4482"/>
        <v>36</v>
      </c>
      <c r="FF414" s="237">
        <f>EW414*POWER(KLslave,SIGN(EV414))*POWER(INslave,SIGN(EW414))+EW414*POWER(KLslave,SIGN(EV414))*POWER(INslave,SIGN(EW414))+EV414*POWER(INslave,SIGN(EW414))*POWER(INslave,SIGN(EW414))</f>
        <v>2304</v>
      </c>
      <c r="FG414" s="234">
        <f>EV414*EW414*INslave+EV414*INslave*EW414+KLslave*EW414*EW414</f>
        <v>3456</v>
      </c>
      <c r="FH414" s="224">
        <f>EV414*EW414*EW414</f>
        <v>1728</v>
      </c>
      <c r="FI414" s="242">
        <f t="shared" si="4483"/>
        <v>7488</v>
      </c>
      <c r="FJ414" s="222">
        <f t="shared" si="4484"/>
        <v>3.6923076923076925</v>
      </c>
      <c r="FK414" s="223">
        <f t="shared" si="4485"/>
        <v>11.076923076923077</v>
      </c>
      <c r="FL414" s="243">
        <f t="shared" si="4486"/>
        <v>8.3076923076923084</v>
      </c>
      <c r="FM414" s="243">
        <f t="shared" si="4487"/>
        <v>23.07692307692308</v>
      </c>
      <c r="FN414" s="252">
        <f t="shared" si="4488"/>
        <v>0</v>
      </c>
      <c r="FO414" s="309">
        <f t="shared" si="4489"/>
        <v>23.07692307692308</v>
      </c>
      <c r="FP414" s="218">
        <f>IF(FM414&lt;=0,1,0)+IF(FM414&gt;0,FM414+1,0)*1+IF(FM414&gt;12,FM414-12,0)*1+IF(FM414&gt;13,FM414-13,0)*1+IF(FM414&gt;14,FM414-14,0)*1+IF(FM414&gt;15,FM414-15,0)*1+IF(FM414&gt;16,FM414-16,0)*1+IF(FM414&gt;17,FM414-17,0)*1+IF(FM414&gt;18,FM414-18,0)*1+IF(FM414&gt;19,FM414-19,0)*1+IF(FM414&gt;20,FM414-20,0)*1</f>
        <v>87.769230769230802</v>
      </c>
      <c r="FQ414" s="242">
        <f>IF(FN414&lt;=0,1,0)+IF(FN414&gt;0,FN414+1,0)*1+IF(FN414&gt;12,FN414-12,0)*1+IF(FN414&gt;13,FN414-13,0)*1+IF(FN414&gt;14,FN414-14,0)*1+IF(FN414&gt;15,FN414-15,0)*1+IF(FN414&gt;16,FN414-16,0)*1+IF(FN414&gt;17,FN414-17,0)*1+IF(FN414&gt;18,FN414-18,0)*1+IF(FN414&gt;19,FN414-19,0)*1+IF(FN414&gt;20,FN414-20,0)*1</f>
        <v>1</v>
      </c>
      <c r="FR414" s="243">
        <f t="shared" si="4490"/>
        <v>86.769230769230802</v>
      </c>
      <c r="FS414" s="218">
        <f t="shared" si="4491"/>
        <v>0</v>
      </c>
      <c r="FU414" s="325" t="s">
        <v>253</v>
      </c>
      <c r="FV414" s="218" t="s">
        <v>80</v>
      </c>
      <c r="FW414" s="223" t="s">
        <v>133</v>
      </c>
      <c r="FX414" s="237"/>
      <c r="FY414" s="234">
        <f>Konvention_1slave-KLslave</f>
        <v>12</v>
      </c>
      <c r="FZ414" s="234">
        <f t="shared" si="4492"/>
        <v>12</v>
      </c>
      <c r="GA414" s="234"/>
      <c r="GB414" s="234"/>
      <c r="GC414" s="234"/>
      <c r="GD414" s="234"/>
      <c r="GE414" s="224"/>
      <c r="GF414" s="223">
        <f>(FY414+FZ414+FZ414)/3</f>
        <v>12</v>
      </c>
      <c r="GG414" s="223">
        <f t="shared" si="4493"/>
        <v>24</v>
      </c>
      <c r="GH414" s="234">
        <f t="shared" si="4494"/>
        <v>36</v>
      </c>
      <c r="GI414" s="237">
        <f>FZ414*POWER(KLslave,SIGN(FY414))*POWER(INslave,SIGN(FZ414))+FZ414*POWER(KLslave,SIGN(FY414))*POWER(INslave,SIGN(FZ414))+FY414*POWER(INslave,SIGN(FZ414))*POWER(INslave,SIGN(FZ414))</f>
        <v>2304</v>
      </c>
      <c r="GJ414" s="234">
        <f>FY414*FZ414*INslave+FY414*INslave*FZ414+KLslave*FZ414*FZ414</f>
        <v>3456</v>
      </c>
      <c r="GK414" s="224">
        <f>FY414*FZ414*FZ414</f>
        <v>1728</v>
      </c>
      <c r="GL414" s="242">
        <f t="shared" si="4495"/>
        <v>7488</v>
      </c>
      <c r="GM414" s="222">
        <f t="shared" si="4496"/>
        <v>3.6923076923076925</v>
      </c>
      <c r="GN414" s="223">
        <f t="shared" si="4497"/>
        <v>11.076923076923077</v>
      </c>
      <c r="GO414" s="243">
        <f t="shared" si="4498"/>
        <v>8.3076923076923084</v>
      </c>
      <c r="GP414" s="243">
        <f t="shared" si="4499"/>
        <v>23.07692307692308</v>
      </c>
      <c r="GQ414" s="252">
        <f t="shared" si="4500"/>
        <v>0</v>
      </c>
      <c r="GR414" s="309">
        <f t="shared" si="4501"/>
        <v>23.07692307692308</v>
      </c>
      <c r="GS414" s="218">
        <f>IF(GP414&lt;=0,1,0)+IF(GP414&gt;0,GP414+1,0)*1+IF(GP414&gt;12,GP414-12,0)*1+IF(GP414&gt;13,GP414-13,0)*1+IF(GP414&gt;14,GP414-14,0)*1+IF(GP414&gt;15,GP414-15,0)*1+IF(GP414&gt;16,GP414-16,0)*1+IF(GP414&gt;17,GP414-17,0)*1+IF(GP414&gt;18,GP414-18,0)*1+IF(GP414&gt;19,GP414-19,0)*1+IF(GP414&gt;20,GP414-20,0)*1</f>
        <v>87.769230769230802</v>
      </c>
      <c r="GT414" s="242">
        <f>IF(GQ414&lt;=0,1,0)+IF(GQ414&gt;0,GQ414+1,0)*1+IF(GQ414&gt;12,GQ414-12,0)*1+IF(GQ414&gt;13,GQ414-13,0)*1+IF(GQ414&gt;14,GQ414-14,0)*1+IF(GQ414&gt;15,GQ414-15,0)*1+IF(GQ414&gt;16,GQ414-16,0)*1+IF(GQ414&gt;17,GQ414-17,0)*1+IF(GQ414&gt;18,GQ414-18,0)*1+IF(GQ414&gt;19,GQ414-19,0)*1+IF(GQ414&gt;20,GQ414-20,0)*1</f>
        <v>1</v>
      </c>
      <c r="GU414" s="243">
        <f t="shared" si="4502"/>
        <v>86.769230769230802</v>
      </c>
      <c r="GV414" s="218">
        <f t="shared" si="4503"/>
        <v>0</v>
      </c>
      <c r="GX414" s="325" t="s">
        <v>253</v>
      </c>
      <c r="GY414" s="218" t="s">
        <v>80</v>
      </c>
      <c r="GZ414" s="223" t="s">
        <v>133</v>
      </c>
      <c r="HA414" s="237"/>
      <c r="HB414" s="234">
        <f>Konvention_1slave-KLslave</f>
        <v>12</v>
      </c>
      <c r="HC414" s="234">
        <f t="shared" si="4504"/>
        <v>12</v>
      </c>
      <c r="HD414" s="234"/>
      <c r="HE414" s="234"/>
      <c r="HF414" s="234"/>
      <c r="HG414" s="234"/>
      <c r="HH414" s="224"/>
      <c r="HI414" s="223">
        <f>(HB414+HC414+HC414)/3</f>
        <v>12</v>
      </c>
      <c r="HJ414" s="223">
        <f t="shared" si="4505"/>
        <v>24</v>
      </c>
      <c r="HK414" s="234">
        <f t="shared" si="4506"/>
        <v>36</v>
      </c>
      <c r="HL414" s="237">
        <f>HC414*POWER(KLslave,SIGN(HB414))*POWER(INslave,SIGN(HC414))+HC414*POWER(KLslave,SIGN(HB414))*POWER(INslave,SIGN(HC414))+HB414*POWER(INslave,SIGN(HC414))*POWER(INslave,SIGN(HC414))</f>
        <v>2304</v>
      </c>
      <c r="HM414" s="234">
        <f>HB414*HC414*INslave+HB414*INslave*HC414+KLslave*HC414*HC414</f>
        <v>3456</v>
      </c>
      <c r="HN414" s="224">
        <f>HB414*HC414*HC414</f>
        <v>1728</v>
      </c>
      <c r="HO414" s="242">
        <f t="shared" si="4507"/>
        <v>7488</v>
      </c>
      <c r="HP414" s="222">
        <f t="shared" si="4508"/>
        <v>3.6923076923076925</v>
      </c>
      <c r="HQ414" s="223">
        <f t="shared" si="4509"/>
        <v>11.076923076923077</v>
      </c>
      <c r="HR414" s="243">
        <f t="shared" si="4510"/>
        <v>8.3076923076923084</v>
      </c>
      <c r="HS414" s="243">
        <f t="shared" si="4511"/>
        <v>23.07692307692308</v>
      </c>
      <c r="HT414" s="252">
        <f t="shared" si="4512"/>
        <v>0</v>
      </c>
      <c r="HU414" s="309">
        <f t="shared" si="4513"/>
        <v>23.07692307692308</v>
      </c>
      <c r="HV414" s="218">
        <f>IF(HS414&lt;=0,1,0)+IF(HS414&gt;0,HS414+1,0)*1+IF(HS414&gt;12,HS414-12,0)*1+IF(HS414&gt;13,HS414-13,0)*1+IF(HS414&gt;14,HS414-14,0)*1+IF(HS414&gt;15,HS414-15,0)*1+IF(HS414&gt;16,HS414-16,0)*1+IF(HS414&gt;17,HS414-17,0)*1+IF(HS414&gt;18,HS414-18,0)*1+IF(HS414&gt;19,HS414-19,0)*1+IF(HS414&gt;20,HS414-20,0)*1</f>
        <v>87.769230769230802</v>
      </c>
      <c r="HW414" s="242">
        <f>IF(HT414&lt;=0,1,0)+IF(HT414&gt;0,HT414+1,0)*1+IF(HT414&gt;12,HT414-12,0)*1+IF(HT414&gt;13,HT414-13,0)*1+IF(HT414&gt;14,HT414-14,0)*1+IF(HT414&gt;15,HT414-15,0)*1+IF(HT414&gt;16,HT414-16,0)*1+IF(HT414&gt;17,HT414-17,0)*1+IF(HT414&gt;18,HT414-18,0)*1+IF(HT414&gt;19,HT414-19,0)*1+IF(HT414&gt;20,HT414-20,0)*1</f>
        <v>1</v>
      </c>
      <c r="HX414" s="243">
        <f t="shared" si="4514"/>
        <v>86.769230769230802</v>
      </c>
      <c r="HY414" s="218">
        <f t="shared" si="4515"/>
        <v>0</v>
      </c>
      <c r="IA414" s="325" t="s">
        <v>253</v>
      </c>
      <c r="IB414" s="218" t="s">
        <v>80</v>
      </c>
      <c r="IC414" s="223" t="s">
        <v>133</v>
      </c>
      <c r="ID414" s="237"/>
      <c r="IE414" s="234">
        <f>Konvention_1slave-KLslave</f>
        <v>12</v>
      </c>
      <c r="IF414" s="234">
        <f t="shared" si="4516"/>
        <v>12</v>
      </c>
      <c r="IG414" s="234"/>
      <c r="IH414" s="234"/>
      <c r="II414" s="234"/>
      <c r="IJ414" s="234"/>
      <c r="IK414" s="224"/>
      <c r="IL414" s="223">
        <f>(IE414+IF414+IF414)/3</f>
        <v>12</v>
      </c>
      <c r="IM414" s="223">
        <f t="shared" si="4517"/>
        <v>24</v>
      </c>
      <c r="IN414" s="234">
        <f t="shared" si="4518"/>
        <v>36</v>
      </c>
      <c r="IO414" s="237">
        <f>IF414*POWER(KLslave,SIGN(IE414))*POWER(INslave,SIGN(IF414))+IF414*POWER(KLslave,SIGN(IE414))*POWER(INslave,SIGN(IF414))+IE414*POWER(INslave,SIGN(IF414))*POWER(INslave,SIGN(IF414))</f>
        <v>2304</v>
      </c>
      <c r="IP414" s="234">
        <f>IE414*IF414*INslave+IE414*INslave*IF414+KLslave*IF414*IF414</f>
        <v>3456</v>
      </c>
      <c r="IQ414" s="224">
        <f>IE414*IF414*IF414</f>
        <v>1728</v>
      </c>
      <c r="IR414" s="242">
        <f t="shared" si="4519"/>
        <v>7488</v>
      </c>
      <c r="IS414" s="222">
        <f t="shared" si="4520"/>
        <v>3.6923076923076925</v>
      </c>
      <c r="IT414" s="223">
        <f t="shared" si="4521"/>
        <v>11.076923076923077</v>
      </c>
      <c r="IU414" s="243">
        <f t="shared" si="4522"/>
        <v>8.3076923076923084</v>
      </c>
      <c r="IV414" s="243">
        <f t="shared" si="4523"/>
        <v>23.07692307692308</v>
      </c>
      <c r="IW414" s="252">
        <f t="shared" si="4524"/>
        <v>0</v>
      </c>
      <c r="IX414" s="309">
        <f t="shared" si="4525"/>
        <v>23.07692307692308</v>
      </c>
      <c r="IY414" s="218">
        <f>IF(IV414&lt;=0,1,0)+IF(IV414&gt;0,IV414+1,0)*1+IF(IV414&gt;12,IV414-12,0)*1+IF(IV414&gt;13,IV414-13,0)*1+IF(IV414&gt;14,IV414-14,0)*1+IF(IV414&gt;15,IV414-15,0)*1+IF(IV414&gt;16,IV414-16,0)*1+IF(IV414&gt;17,IV414-17,0)*1+IF(IV414&gt;18,IV414-18,0)*1+IF(IV414&gt;19,IV414-19,0)*1+IF(IV414&gt;20,IV414-20,0)*1</f>
        <v>87.769230769230802</v>
      </c>
      <c r="IZ414" s="242">
        <f>IF(IW414&lt;=0,1,0)+IF(IW414&gt;0,IW414+1,0)*1+IF(IW414&gt;12,IW414-12,0)*1+IF(IW414&gt;13,IW414-13,0)*1+IF(IW414&gt;14,IW414-14,0)*1+IF(IW414&gt;15,IW414-15,0)*1+IF(IW414&gt;16,IW414-16,0)*1+IF(IW414&gt;17,IW414-17,0)*1+IF(IW414&gt;18,IW414-18,0)*1+IF(IW414&gt;19,IW414-19,0)*1+IF(IW414&gt;20,IW414-20,0)*1</f>
        <v>1</v>
      </c>
      <c r="JA414" s="243">
        <f t="shared" si="4526"/>
        <v>86.769230769230802</v>
      </c>
      <c r="JB414" s="218">
        <f t="shared" si="4527"/>
        <v>0</v>
      </c>
      <c r="JE414" s="148"/>
    </row>
    <row r="415" spans="2:265" ht="15" hidden="1" customHeight="1" outlineLevel="2">
      <c r="B415" s="148">
        <v>5</v>
      </c>
      <c r="C415" s="325" t="e">
        <f>VLOOKUP(AF415,Attribute!C:T,1,FALSE)</f>
        <v>#N/A</v>
      </c>
      <c r="D415" s="86" t="s">
        <v>95</v>
      </c>
      <c r="E415" s="47" t="s">
        <v>132</v>
      </c>
      <c r="F415" s="114">
        <f>Konvention_1master-MUmaster</f>
        <v>12</v>
      </c>
      <c r="G415" s="113">
        <f>Konvention_1master-KLmaster</f>
        <v>12</v>
      </c>
      <c r="H415" s="113">
        <f t="shared" si="4421"/>
        <v>12</v>
      </c>
      <c r="I415" s="113"/>
      <c r="J415" s="113"/>
      <c r="K415" s="113"/>
      <c r="L415" s="113"/>
      <c r="M415" s="119"/>
      <c r="N415" s="223">
        <f>(F415+G415+H415+I415+J415+K415+L415+M415)/3</f>
        <v>12</v>
      </c>
      <c r="O415" s="223">
        <f t="shared" si="4422"/>
        <v>24</v>
      </c>
      <c r="P415" s="234">
        <f t="shared" si="4423"/>
        <v>36</v>
      </c>
      <c r="Q415" s="237">
        <f>F415*POWER(KLmaster,SIGN(G415))*POWER(INmaster,SIGN(H415))*POWER(CHmaster,SIGN(I415))*POWER(FFmaster,SIGN(J415))*POWER(GEmaster,SIGN(K415))*POWER(KOmaster,SIGN(L415))*POWER(KKmaster,SIGN(M415))+G415*POWER(MUmaster,SIGN(F415))*POWER(INmaster,SIGN(H415))*POWER(CHmaster,SIGN(I415))*POWER(FFmaster,SIGN(J415))*POWER(GEmaster,SIGN(K415))*POWER(KOmaster,SIGN(L415))*POWER(KKmaster,SIGN(M415))+H415*POWER(MUmaster,SIGN(F415))*POWER(KLmaster,SIGN(G415))*POWER(CHmaster,SIGN(I415))*POWER(FFmaster,SIGN(J415))*POWER(GEmaster,SIGN(K415))*POWER(KOmaster,SIGN(L415))*POWER(KKmaster,SIGN(M415))+I415*POWER(MUmaster,SIGN(F415))*POWER(KLmaster,SIGN(G415))*POWER(INmaster,SIGN(H415))*POWER(FFmaster,SIGN(J415))*POWER(GEmaster,SIGN(K415))*POWER(KOmaster,SIGN(L415))*POWER(KKmaster,SIGN(M415))+J415*POWER(MUmaster,SIGN(F415))*POWER(KLmaster,SIGN(G415))*POWER(INmaster,SIGN(H415))*POWER(CHmaster,SIGN(I415))*POWER(GEmaster,SIGN(K415))*POWER(KOmaster,SIGN(L415))*POWER(KKmaster,SIGN(M415))+K415*POWER(MUmaster,SIGN(F415))*POWER(KLmaster,SIGN(G415))*POWER(INmaster,SIGN(H415))*POWER(CHmaster,SIGN(I415))*POWER(FFmaster,SIGN(J415))*POWER(KOmaster,SIGN(L415))*POWER(KKmaster,SIGN(M415))+L415*POWER(MUmaster,SIGN(F415))*POWER(KLmaster,SIGN(G415))*POWER(INmaster,SIGN(H415))*POWER(CHmaster,SIGN(I415))*POWER(FFmaster,SIGN(J415))*POWER(GEmaster,SIGN(K415))*POWER(KKmaster,SIGN(M415))+M415*POWER(MUmaster,SIGN(F415))*POWER(KLmaster,SIGN(G415))*POWER(INmaster,SIGN(H415))*POWER(CHmaster,SIGN(I415))*POWER(FFmaster,SIGN(J415))*POWER(GEmaster,SIGN(K415))*POWER(KOmaster,SIGN(L415))</f>
        <v>2304</v>
      </c>
      <c r="R415" s="113">
        <f>F415*G415*INmaster+F415*KLmaster*H415+MUmaster*G415*H415</f>
        <v>3456</v>
      </c>
      <c r="S415" s="224">
        <f>IFERROR(F415^SIGN(F415),1)*IFERROR(G415^SIGN(G415),1)*IFERROR(H415^SIGN(H415),1)*IFERROR(I415^SIGN(I415),1)*IFERROR(J415^SIGN(J415),1)*IFERROR(K415^SIGN(K415),1)*IFERROR(L415^SIGN(L415),1)*IFERROR(M415^SIGN(M415),1)</f>
        <v>1728</v>
      </c>
      <c r="T415" s="242">
        <f t="shared" si="4424"/>
        <v>7488</v>
      </c>
      <c r="U415" s="222">
        <f t="shared" si="4425"/>
        <v>3.6923076923076925</v>
      </c>
      <c r="V415" s="223">
        <f t="shared" si="4426"/>
        <v>11.076923076923077</v>
      </c>
      <c r="W415" s="243">
        <f t="shared" si="4427"/>
        <v>8.3076923076923084</v>
      </c>
      <c r="X415" s="243">
        <f t="shared" si="4428"/>
        <v>23.07692307692308</v>
      </c>
      <c r="Y415" s="252">
        <v>0</v>
      </c>
      <c r="Z415" s="198">
        <f t="shared" si="4429"/>
        <v>23.07692307692308</v>
      </c>
      <c r="AA415" s="125">
        <f>IF(X415&lt;=0,2,0)+IF(X415&gt;0,X415+1,0)*2+IF(X415&gt;12,X415-12,0)*2+IF(X415&gt;13,X415-13,0)*2+IF(X415&gt;14,X415-14,0)*2+IF(X415&gt;15,X415-15,0)*2+IF(X415&gt;16,X415-16,0)*2+IF(X415&gt;17,X415-17,0)*2+IF(X415&gt;18,X415-18,0)*2+IF(X415&gt;19,X415-19,0)*2+IF(X415&gt;20,X415-20,0)*2</f>
        <v>175.5384615384616</v>
      </c>
      <c r="AB415" s="160">
        <f>IF(Y415&lt;=0,2,0)+IF(Y415&gt;0,Y415+1,0)*2+IF(Y415&gt;12,Y415-12,0)*2+IF(Y415&gt;13,Y415-13,0)*2+IF(Y415&gt;14,Y415-14,0)*2+IF(Y415&gt;15,Y415-15,0)*2+IF(Y415&gt;16,Y415-16,0)*2+IF(Y415&gt;17,Y415-17,0)*2+IF(Y415&gt;18,Y415-18,0)*2+IF(Y415&gt;19,Y415-19,0)*2+IF(Y415&gt;20,Y415-20,0)*2</f>
        <v>2</v>
      </c>
      <c r="AC415" s="127">
        <f t="shared" si="4430"/>
        <v>173.5384615384616</v>
      </c>
      <c r="AD415" s="125">
        <f t="shared" si="4431"/>
        <v>0</v>
      </c>
      <c r="AF415" s="177" t="s">
        <v>261</v>
      </c>
      <c r="AG415" s="125" t="s">
        <v>95</v>
      </c>
      <c r="AH415" s="47" t="s">
        <v>132</v>
      </c>
      <c r="AI415" s="114">
        <f>Konvention_1slave-MUslave_MU</f>
        <v>11</v>
      </c>
      <c r="AJ415" s="113">
        <f>Konvention_1slave-KLslave</f>
        <v>12</v>
      </c>
      <c r="AK415" s="113">
        <f t="shared" si="4432"/>
        <v>12</v>
      </c>
      <c r="AL415" s="113"/>
      <c r="AM415" s="113"/>
      <c r="AN415" s="113"/>
      <c r="AO415" s="113"/>
      <c r="AP415" s="119"/>
      <c r="AQ415" s="47">
        <f>(AI415+AJ415+AK415+AL415+AM415+AN415+AO415+AP415)/3</f>
        <v>11.666666666666666</v>
      </c>
      <c r="AR415" s="47">
        <f t="shared" si="4433"/>
        <v>23.333333333333332</v>
      </c>
      <c r="AS415" s="113">
        <f t="shared" si="4434"/>
        <v>35</v>
      </c>
      <c r="AT415" s="114">
        <f>AI415*POWER(KLslave,SIGN(AJ415))*POWER(INslave,SIGN(AK415))*POWER(CHslave,SIGN(AL415))*POWER(FFslave,SIGN(AM415))*POWER(GEslave,SIGN(AN415))*POWER(KOslave,SIGN(AO415))*POWER(KKslave,SIGN(AP415))+AJ415*POWER(MUslave_MU,SIGN(AI415))*POWER(INslave,SIGN(AK415))*POWER(CHslave,SIGN(AL415))*POWER(FFslave,SIGN(AM415))*POWER(GEslave,SIGN(AN415))*POWER(KOslave,SIGN(AO415))*POWER(KKslave,SIGN(AP415))+AK415*POWER(MUslave_MU,SIGN(AI415))*POWER(KLslave,SIGN(AJ415))*POWER(CHslave,SIGN(AL415))*POWER(FFslave,SIGN(AM415))*POWER(GEslave,SIGN(AN415))*POWER(KOslave,SIGN(AO415))*POWER(KKslave,SIGN(AP415))+AL415*POWER(MUslave_MU,SIGN(AI415))*POWER(KLslave,SIGN(AJ415))*POWER(INslave,SIGN(AK415))*POWER(FFslave,SIGN(AM415))*POWER(GEslave,SIGN(AN415))*POWER(KOslave,SIGN(AO415))*POWER(KKslave,SIGN(AP415))+AM415*POWER(MUslave_MU,SIGN(AI415))*POWER(KLslave,SIGN(AJ415))*POWER(INslave,SIGN(AK415))*POWER(CHslave,SIGN(AL415))*POWER(GEslave,SIGN(AN415))*POWER(KOslave,SIGN(AO415))*POWER(KKslave,SIGN(AP415))+AN415*POWER(MUslave_MU,SIGN(AI415))*POWER(KLslave,SIGN(AJ415))*POWER(INslave,SIGN(AK415))*POWER(CHslave,SIGN(AL415))*POWER(FFslave,SIGN(AM415))*POWER(KOslave,SIGN(AO415))*POWER(KKslave,SIGN(AP415))+AO415*POWER(MUslave_MU,SIGN(AI415))*POWER(KLslave,SIGN(AJ415))*POWER(INslave,SIGN(AK415))*POWER(CHslave,SIGN(AL415))*POWER(FFslave,SIGN(AM415))*POWER(GEslave,SIGN(AN415))*POWER(KKslave,SIGN(AP415))+AP415*POWER(MUslave_MU,SIGN(AI415))*POWER(KLslave,SIGN(AJ415))*POWER(INslave,SIGN(AK415))*POWER(CHslave,SIGN(AL415))*POWER(FFslave,SIGN(AM415))*POWER(GEslave,SIGN(AN415))*POWER(KOslave,SIGN(AO415))</f>
        <v>2432</v>
      </c>
      <c r="AU415" s="113">
        <f>AI415*AJ415*INslave+AI415*KLslave*AK415+MUslave_MU*AJ415*AK415</f>
        <v>3408</v>
      </c>
      <c r="AV415" s="119">
        <f>IFERROR(AI415^SIGN(AI415),1)*IFERROR(AJ415^SIGN(AJ415),1)*IFERROR(AK415^SIGN(AK415),1)*IFERROR(AL415^SIGN(AL415),1)*IFERROR(AM415^SIGN(AM415),1)*IFERROR(AN415^SIGN(AN415),1)*IFERROR(AO415^SIGN(AO415),1)*IFERROR(AP415^SIGN(AP415),1)</f>
        <v>1584</v>
      </c>
      <c r="AW415" s="160">
        <f t="shared" si="4435"/>
        <v>7424</v>
      </c>
      <c r="AX415" s="89">
        <f t="shared" si="4436"/>
        <v>3.8218390804597702</v>
      </c>
      <c r="AY415" s="47">
        <f t="shared" si="4437"/>
        <v>10.711206896551724</v>
      </c>
      <c r="AZ415" s="127">
        <f t="shared" si="4438"/>
        <v>7.4676724137931032</v>
      </c>
      <c r="BA415" s="127">
        <f t="shared" si="4439"/>
        <v>22.000718390804597</v>
      </c>
      <c r="BB415" s="165">
        <f t="shared" si="4440"/>
        <v>0</v>
      </c>
      <c r="BC415" s="198">
        <f t="shared" si="4441"/>
        <v>22.000718390804597</v>
      </c>
      <c r="BD415" s="125">
        <f>IF(BA415&lt;=0,2,0)+IF(BA415&gt;0,BA415+1,0)*2+IF(BA415&gt;12,BA415-12,0)*2+IF(BA415&gt;13,BA415-13,0)*2+IF(BA415&gt;14,BA415-14,0)*2+IF(BA415&gt;15,BA415-15,0)*2+IF(BA415&gt;16,BA415-16,0)*2+IF(BA415&gt;17,BA415-17,0)*2+IF(BA415&gt;18,BA415-18,0)*2+IF(BA415&gt;19,BA415-19,0)*2+IF(BA415&gt;20,BA415-20,0)*2</f>
        <v>154.01436781609189</v>
      </c>
      <c r="BE415" s="160">
        <f>IF(BB415&lt;=0,2,0)+IF(BB415&gt;0,BB415+1,0)*2+IF(BB415&gt;12,BB415-12,0)*2+IF(BB415&gt;13,BB415-13,0)*2+IF(BB415&gt;14,BB415-14,0)*2+IF(BB415&gt;15,BB415-15,0)*2+IF(BB415&gt;16,BB415-16,0)*2+IF(BB415&gt;17,BB415-17,0)*2+IF(BB415&gt;18,BB415-18,0)*2+IF(BB415&gt;19,BB415-19,0)*2+IF(BB415&gt;20,BB415-20,0)*2</f>
        <v>2</v>
      </c>
      <c r="BF415" s="243">
        <f t="shared" si="4442"/>
        <v>152.01436781609189</v>
      </c>
      <c r="BG415" s="218">
        <f t="shared" si="4443"/>
        <v>0</v>
      </c>
      <c r="BI415" s="325" t="s">
        <v>261</v>
      </c>
      <c r="BJ415" s="218" t="s">
        <v>95</v>
      </c>
      <c r="BK415" s="223" t="s">
        <v>132</v>
      </c>
      <c r="BL415" s="237">
        <f>Konvention_1slave-MUslave</f>
        <v>12</v>
      </c>
      <c r="BM415" s="234">
        <f>Konvention_1slave-KLslave_KL</f>
        <v>11</v>
      </c>
      <c r="BN415" s="234">
        <f t="shared" si="4444"/>
        <v>12</v>
      </c>
      <c r="BO415" s="234"/>
      <c r="BP415" s="234"/>
      <c r="BQ415" s="234"/>
      <c r="BR415" s="234"/>
      <c r="BS415" s="224"/>
      <c r="BT415" s="223">
        <f>(BL415+BM415+BN415+BO415+BP415+BQ415+BR415+BS415)/3</f>
        <v>11.666666666666666</v>
      </c>
      <c r="BU415" s="223">
        <f t="shared" si="4445"/>
        <v>23.333333333333332</v>
      </c>
      <c r="BV415" s="234">
        <f t="shared" si="4446"/>
        <v>35</v>
      </c>
      <c r="BW415" s="237">
        <f>BL415*POWER(KLslave_KL,SIGN(BM415))*POWER(INslave,SIGN(BN415))*POWER(CHslave,SIGN(BO415))*POWER(FFslave,SIGN(BP415))*POWER(GEslave,SIGN(BQ415))*POWER(KOslave,SIGN(BR415))*POWER(KKslave,SIGN(BS415))+BM415*POWER(MUslave,SIGN(BL415))*POWER(INslave,SIGN(BN415))*POWER(CHslave,SIGN(BO415))*POWER(FFslave,SIGN(BP415))*POWER(GEslave,SIGN(BQ415))*POWER(KOslave,SIGN(BR415))*POWER(KKslave,SIGN(BS415))+BN415*POWER(MUslave,SIGN(BL415))*POWER(KLslave_KL,SIGN(BM415))*POWER(CHslave,SIGN(BO415))*POWER(FFslave,SIGN(BP415))*POWER(GEslave,SIGN(BQ415))*POWER(KOslave,SIGN(BR415))*POWER(KKslave,SIGN(BS415))+BO415*POWER(MUslave,SIGN(BL415))*POWER(KLslave_KL,SIGN(BM415))*POWER(INslave,SIGN(BN415))*POWER(FFslave,SIGN(BP415))*POWER(GEslave,SIGN(BQ415))*POWER(KOslave,SIGN(BR415))*POWER(KKslave,SIGN(BS415))+BP415*POWER(MUslave,SIGN(BL415))*POWER(KLslave_KL,SIGN(BM415))*POWER(INslave,SIGN(BN415))*POWER(CHslave,SIGN(BO415))*POWER(GEslave,SIGN(BQ415))*POWER(KOslave,SIGN(BR415))*POWER(KKslave,SIGN(BS415))+BQ415*POWER(MUslave,SIGN(BL415))*POWER(KLslave_KL,SIGN(BM415))*POWER(INslave,SIGN(BN415))*POWER(CHslave,SIGN(BO415))*POWER(FFslave,SIGN(BP415))*POWER(KOslave,SIGN(BR415))*POWER(KKslave,SIGN(BS415))+BR415*POWER(MUslave,SIGN(BL415))*POWER(KLslave_KL,SIGN(BM415))*POWER(INslave,SIGN(BN415))*POWER(CHslave,SIGN(BO415))*POWER(FFslave,SIGN(BP415))*POWER(GEslave,SIGN(BQ415))*POWER(KKslave,SIGN(BS415))+BS415*POWER(MUslave,SIGN(BL415))*POWER(KLslave_KL,SIGN(BM415))*POWER(INslave,SIGN(BN415))*POWER(CHslave,SIGN(BO415))*POWER(FFslave,SIGN(BP415))*POWER(GEslave,SIGN(BQ415))*POWER(KOslave,SIGN(BR415))</f>
        <v>2432</v>
      </c>
      <c r="BX415" s="234">
        <f>BL415*BM415*INslave+BL415*KLslave_KL*BN415+MUslave*BM415*BN415</f>
        <v>3408</v>
      </c>
      <c r="BY415" s="224">
        <f>IFERROR(BL415^SIGN(BL415),1)*IFERROR(BM415^SIGN(BM415),1)*IFERROR(BN415^SIGN(BN415),1)*IFERROR(BO415^SIGN(BO415),1)*IFERROR(BP415^SIGN(BP415),1)*IFERROR(BQ415^SIGN(BQ415),1)*IFERROR(BR415^SIGN(BR415),1)*IFERROR(BS415^SIGN(BS415),1)</f>
        <v>1584</v>
      </c>
      <c r="BZ415" s="242">
        <f t="shared" si="4447"/>
        <v>7424</v>
      </c>
      <c r="CA415" s="222">
        <f t="shared" si="4448"/>
        <v>3.8218390804597702</v>
      </c>
      <c r="CB415" s="223">
        <f t="shared" si="4449"/>
        <v>10.711206896551724</v>
      </c>
      <c r="CC415" s="243">
        <f t="shared" si="4450"/>
        <v>7.4676724137931032</v>
      </c>
      <c r="CD415" s="243">
        <f t="shared" si="4451"/>
        <v>22.000718390804597</v>
      </c>
      <c r="CE415" s="252">
        <f t="shared" si="4452"/>
        <v>0</v>
      </c>
      <c r="CF415" s="309">
        <f t="shared" si="4453"/>
        <v>22.000718390804597</v>
      </c>
      <c r="CG415" s="218">
        <f>IF(CD415&lt;=0,2,0)+IF(CD415&gt;0,CD415+1,0)*2+IF(CD415&gt;12,CD415-12,0)*2+IF(CD415&gt;13,CD415-13,0)*2+IF(CD415&gt;14,CD415-14,0)*2+IF(CD415&gt;15,CD415-15,0)*2+IF(CD415&gt;16,CD415-16,0)*2+IF(CD415&gt;17,CD415-17,0)*2+IF(CD415&gt;18,CD415-18,0)*2+IF(CD415&gt;19,CD415-19,0)*2+IF(CD415&gt;20,CD415-20,0)*2</f>
        <v>154.01436781609189</v>
      </c>
      <c r="CH415" s="242">
        <f>IF(CE415&lt;=0,2,0)+IF(CE415&gt;0,CE415+1,0)*2+IF(CE415&gt;12,CE415-12,0)*2+IF(CE415&gt;13,CE415-13,0)*2+IF(CE415&gt;14,CE415-14,0)*2+IF(CE415&gt;15,CE415-15,0)*2+IF(CE415&gt;16,CE415-16,0)*2+IF(CE415&gt;17,CE415-17,0)*2+IF(CE415&gt;18,CE415-18,0)*2+IF(CE415&gt;19,CE415-19,0)*2+IF(CE415&gt;20,CE415-20,0)*2</f>
        <v>2</v>
      </c>
      <c r="CI415" s="243">
        <f t="shared" si="4454"/>
        <v>152.01436781609189</v>
      </c>
      <c r="CJ415" s="218">
        <f t="shared" si="4455"/>
        <v>0</v>
      </c>
      <c r="CL415" s="325" t="s">
        <v>261</v>
      </c>
      <c r="CM415" s="218" t="s">
        <v>95</v>
      </c>
      <c r="CN415" s="223" t="s">
        <v>132</v>
      </c>
      <c r="CO415" s="237">
        <f>Konvention_1slave-MUslave</f>
        <v>12</v>
      </c>
      <c r="CP415" s="234">
        <f>Konvention_1slave-KLslave</f>
        <v>12</v>
      </c>
      <c r="CQ415" s="234">
        <f t="shared" si="4456"/>
        <v>11</v>
      </c>
      <c r="CR415" s="234"/>
      <c r="CS415" s="234"/>
      <c r="CT415" s="234"/>
      <c r="CU415" s="234"/>
      <c r="CV415" s="224"/>
      <c r="CW415" s="223">
        <f>(CO415+CP415+CQ415+CR415+CS415+CT415+CU415+CV415)/3</f>
        <v>11.666666666666666</v>
      </c>
      <c r="CX415" s="223">
        <f t="shared" si="4457"/>
        <v>23.333333333333332</v>
      </c>
      <c r="CY415" s="234">
        <f t="shared" si="4458"/>
        <v>35</v>
      </c>
      <c r="CZ415" s="237">
        <f>CO415*POWER(KLslave,SIGN(CP415))*POWER(INslave_IN,SIGN(CQ415))*POWER(CHslave,SIGN(CR415))*POWER(FFslave,SIGN(CS415))*POWER(GEslave,SIGN(CT415))*POWER(KOslave,SIGN(CU415))*POWER(KKslave,SIGN(CV415))+CP415*POWER(MUslave,SIGN(CO415))*POWER(INslave_IN,SIGN(CQ415))*POWER(CHslave,SIGN(CR415))*POWER(FFslave,SIGN(CS415))*POWER(GEslave,SIGN(CT415))*POWER(KOslave,SIGN(CU415))*POWER(KKslave,SIGN(CV415))+CQ415*POWER(MUslave,SIGN(CO415))*POWER(KLslave,SIGN(CP415))*POWER(CHslave,SIGN(CR415))*POWER(FFslave,SIGN(CS415))*POWER(GEslave,SIGN(CT415))*POWER(KOslave,SIGN(CU415))*POWER(KKslave,SIGN(CV415))+CR415*POWER(MUslave,SIGN(CO415))*POWER(KLslave,SIGN(CP415))*POWER(INslave_IN,SIGN(CQ415))*POWER(FFslave,SIGN(CS415))*POWER(GEslave,SIGN(CT415))*POWER(KOslave,SIGN(CU415))*POWER(KKslave,SIGN(CV415))+CS415*POWER(MUslave,SIGN(CO415))*POWER(KLslave,SIGN(CP415))*POWER(INslave_IN,SIGN(CQ415))*POWER(CHslave,SIGN(CR415))*POWER(GEslave,SIGN(CT415))*POWER(KOslave,SIGN(CU415))*POWER(KKslave,SIGN(CV415))+CT415*POWER(MUslave,SIGN(CO415))*POWER(KLslave,SIGN(CP415))*POWER(INslave_IN,SIGN(CQ415))*POWER(CHslave,SIGN(CR415))*POWER(FFslave,SIGN(CS415))*POWER(KOslave,SIGN(CU415))*POWER(KKslave,SIGN(CV415))+CU415*POWER(MUslave,SIGN(CO415))*POWER(KLslave,SIGN(CP415))*POWER(INslave_IN,SIGN(CQ415))*POWER(CHslave,SIGN(CR415))*POWER(FFslave,SIGN(CS415))*POWER(GEslave,SIGN(CT415))*POWER(KKslave,SIGN(CV415))+CV415*POWER(MUslave,SIGN(CO415))*POWER(KLslave,SIGN(CP415))*POWER(INslave_IN,SIGN(CQ415))*POWER(CHslave,SIGN(CR415))*POWER(FFslave,SIGN(CS415))*POWER(GEslave,SIGN(CT415))*POWER(KOslave,SIGN(CU415))</f>
        <v>2432</v>
      </c>
      <c r="DA415" s="234">
        <f>CO415*CP415*INslave_IN+CO415*KLslave*CQ415+MUslave*CP415*CQ415</f>
        <v>3408</v>
      </c>
      <c r="DB415" s="224">
        <f>IFERROR(CO415^SIGN(CO415),1)*IFERROR(CP415^SIGN(CP415),1)*IFERROR(CQ415^SIGN(CQ415),1)*IFERROR(CR415^SIGN(CR415),1)*IFERROR(CS415^SIGN(CS415),1)*IFERROR(CT415^SIGN(CT415),1)*IFERROR(CU415^SIGN(CU415),1)*IFERROR(CV415^SIGN(CV415),1)</f>
        <v>1584</v>
      </c>
      <c r="DC415" s="242">
        <f t="shared" si="4459"/>
        <v>7424</v>
      </c>
      <c r="DD415" s="222">
        <f t="shared" si="4460"/>
        <v>3.8218390804597702</v>
      </c>
      <c r="DE415" s="223">
        <f t="shared" si="4461"/>
        <v>10.711206896551724</v>
      </c>
      <c r="DF415" s="243">
        <f t="shared" si="4462"/>
        <v>7.4676724137931032</v>
      </c>
      <c r="DG415" s="243">
        <f t="shared" si="4463"/>
        <v>22.000718390804597</v>
      </c>
      <c r="DH415" s="252">
        <f t="shared" si="4464"/>
        <v>0</v>
      </c>
      <c r="DI415" s="309">
        <f t="shared" si="4465"/>
        <v>22.000718390804597</v>
      </c>
      <c r="DJ415" s="218">
        <f>IF(DG415&lt;=0,2,0)+IF(DG415&gt;0,DG415+1,0)*2+IF(DG415&gt;12,DG415-12,0)*2+IF(DG415&gt;13,DG415-13,0)*2+IF(DG415&gt;14,DG415-14,0)*2+IF(DG415&gt;15,DG415-15,0)*2+IF(DG415&gt;16,DG415-16,0)*2+IF(DG415&gt;17,DG415-17,0)*2+IF(DG415&gt;18,DG415-18,0)*2+IF(DG415&gt;19,DG415-19,0)*2+IF(DG415&gt;20,DG415-20,0)*2</f>
        <v>154.01436781609189</v>
      </c>
      <c r="DK415" s="242">
        <f>IF(DH415&lt;=0,2,0)+IF(DH415&gt;0,DH415+1,0)*2+IF(DH415&gt;12,DH415-12,0)*2+IF(DH415&gt;13,DH415-13,0)*2+IF(DH415&gt;14,DH415-14,0)*2+IF(DH415&gt;15,DH415-15,0)*2+IF(DH415&gt;16,DH415-16,0)*2+IF(DH415&gt;17,DH415-17,0)*2+IF(DH415&gt;18,DH415-18,0)*2+IF(DH415&gt;19,DH415-19,0)*2+IF(DH415&gt;20,DH415-20,0)*2</f>
        <v>2</v>
      </c>
      <c r="DL415" s="243">
        <f t="shared" si="4466"/>
        <v>152.01436781609189</v>
      </c>
      <c r="DM415" s="218">
        <f t="shared" si="4467"/>
        <v>0</v>
      </c>
      <c r="DO415" s="325" t="s">
        <v>261</v>
      </c>
      <c r="DP415" s="218" t="s">
        <v>95</v>
      </c>
      <c r="DQ415" s="223" t="s">
        <v>132</v>
      </c>
      <c r="DR415" s="237">
        <f>Konvention_1slave-MUslave</f>
        <v>12</v>
      </c>
      <c r="DS415" s="234">
        <f>Konvention_1slave-KLslave</f>
        <v>12</v>
      </c>
      <c r="DT415" s="234">
        <f t="shared" si="4468"/>
        <v>12</v>
      </c>
      <c r="DU415" s="234"/>
      <c r="DV415" s="234"/>
      <c r="DW415" s="234"/>
      <c r="DX415" s="234"/>
      <c r="DY415" s="224"/>
      <c r="DZ415" s="223">
        <f>(DR415+DS415+DT415+DU415+DV415+DW415+DX415+DY415)/3</f>
        <v>12</v>
      </c>
      <c r="EA415" s="223">
        <f t="shared" si="4469"/>
        <v>24</v>
      </c>
      <c r="EB415" s="234">
        <f t="shared" si="4470"/>
        <v>36</v>
      </c>
      <c r="EC415" s="237">
        <f>DR415*POWER(KLslave,SIGN(DS415))*POWER(INslave,SIGN(DT415))*POWER(CHslave_CH,SIGN(DU415))*POWER(FFslave,SIGN(DV415))*POWER(GEslave,SIGN(DW415))*POWER(KOslave,SIGN(DX415))*POWER(KKslave,SIGN(DY415))+DS415*POWER(MUslave,SIGN(DR415))*POWER(INslave,SIGN(DT415))*POWER(CHslave_CH,SIGN(DU415))*POWER(FFslave,SIGN(DV415))*POWER(GEslave,SIGN(DW415))*POWER(KOslave,SIGN(DX415))*POWER(KKslave,SIGN(DY415))+DT415*POWER(MUslave,SIGN(DR415))*POWER(KLslave,SIGN(DS415))*POWER(CHslave_CH,SIGN(DU415))*POWER(FFslave,SIGN(DV415))*POWER(GEslave,SIGN(DW415))*POWER(KOslave,SIGN(DX415))*POWER(KKslave,SIGN(DY415))+DU415*POWER(MUslave,SIGN(DR415))*POWER(KLslave,SIGN(DS415))*POWER(INslave,SIGN(DT415))*POWER(FFslave,SIGN(DV415))*POWER(GEslave,SIGN(DW415))*POWER(KOslave,SIGN(DX415))*POWER(KKslave,SIGN(DY415))+DV415*POWER(MUslave,SIGN(DR415))*POWER(KLslave,SIGN(DS415))*POWER(INslave,SIGN(DT415))*POWER(CHslave_CH,SIGN(DU415))*POWER(GEslave,SIGN(DW415))*POWER(KOslave,SIGN(DX415))*POWER(KKslave,SIGN(DY415))+DW415*POWER(MUslave,SIGN(DR415))*POWER(KLslave,SIGN(DS415))*POWER(INslave,SIGN(DT415))*POWER(CHslave_CH,SIGN(DU415))*POWER(FFslave,SIGN(DV415))*POWER(KOslave,SIGN(DX415))*POWER(KKslave,SIGN(DY415))+DX415*POWER(MUslave,SIGN(DR415))*POWER(KLslave,SIGN(DS415))*POWER(INslave,SIGN(DT415))*POWER(CHslave_CH,SIGN(DU415))*POWER(FFslave,SIGN(DV415))*POWER(GEslave,SIGN(DW415))*POWER(KKslave,SIGN(DY415))+DY415*POWER(MUslave,SIGN(DR415))*POWER(KLslave,SIGN(DS415))*POWER(INslave,SIGN(DT415))*POWER(CHslave_CH,SIGN(DU415))*POWER(FFslave,SIGN(DV415))*POWER(GEslave,SIGN(DW415))*POWER(KOslave,SIGN(DX415))</f>
        <v>2304</v>
      </c>
      <c r="ED415" s="234">
        <f>DR415*DS415*INslave+DR415*KLslave*DT415+MUslave*DS415*DT415</f>
        <v>3456</v>
      </c>
      <c r="EE415" s="224">
        <f>IFERROR(DR415^SIGN(DR415),1)*IFERROR(DS415^SIGN(DS415),1)*IFERROR(DT415^SIGN(DT415),1)*IFERROR(DU415^SIGN(DU415),1)*IFERROR(DV415^SIGN(DV415),1)*IFERROR(DW415^SIGN(DW415),1)*IFERROR(DX415^SIGN(DX415),1)*IFERROR(DY415^SIGN(DY415),1)</f>
        <v>1728</v>
      </c>
      <c r="EF415" s="242">
        <f t="shared" si="4471"/>
        <v>7488</v>
      </c>
      <c r="EG415" s="222">
        <f t="shared" si="4472"/>
        <v>3.6923076923076925</v>
      </c>
      <c r="EH415" s="223">
        <f t="shared" si="4473"/>
        <v>11.076923076923077</v>
      </c>
      <c r="EI415" s="243">
        <f t="shared" si="4474"/>
        <v>8.3076923076923084</v>
      </c>
      <c r="EJ415" s="243">
        <f t="shared" si="4475"/>
        <v>23.07692307692308</v>
      </c>
      <c r="EK415" s="252">
        <f t="shared" si="4476"/>
        <v>0</v>
      </c>
      <c r="EL415" s="309">
        <f t="shared" si="4477"/>
        <v>23.07692307692308</v>
      </c>
      <c r="EM415" s="218">
        <f>IF(EJ415&lt;=0,2,0)+IF(EJ415&gt;0,EJ415+1,0)*2+IF(EJ415&gt;12,EJ415-12,0)*2+IF(EJ415&gt;13,EJ415-13,0)*2+IF(EJ415&gt;14,EJ415-14,0)*2+IF(EJ415&gt;15,EJ415-15,0)*2+IF(EJ415&gt;16,EJ415-16,0)*2+IF(EJ415&gt;17,EJ415-17,0)*2+IF(EJ415&gt;18,EJ415-18,0)*2+IF(EJ415&gt;19,EJ415-19,0)*2+IF(EJ415&gt;20,EJ415-20,0)*2</f>
        <v>175.5384615384616</v>
      </c>
      <c r="EN415" s="242">
        <f>IF(EK415&lt;=0,2,0)+IF(EK415&gt;0,EK415+1,0)*2+IF(EK415&gt;12,EK415-12,0)*2+IF(EK415&gt;13,EK415-13,0)*2+IF(EK415&gt;14,EK415-14,0)*2+IF(EK415&gt;15,EK415-15,0)*2+IF(EK415&gt;16,EK415-16,0)*2+IF(EK415&gt;17,EK415-17,0)*2+IF(EK415&gt;18,EK415-18,0)*2+IF(EK415&gt;19,EK415-19,0)*2+IF(EK415&gt;20,EK415-20,0)*2</f>
        <v>2</v>
      </c>
      <c r="EO415" s="243">
        <f t="shared" si="4478"/>
        <v>173.5384615384616</v>
      </c>
      <c r="EP415" s="218">
        <f t="shared" si="4479"/>
        <v>0</v>
      </c>
      <c r="ER415" s="325" t="s">
        <v>261</v>
      </c>
      <c r="ES415" s="218" t="s">
        <v>95</v>
      </c>
      <c r="ET415" s="223" t="s">
        <v>132</v>
      </c>
      <c r="EU415" s="237">
        <f>Konvention_1slave-MUslave</f>
        <v>12</v>
      </c>
      <c r="EV415" s="234">
        <f>Konvention_1slave-KLslave</f>
        <v>12</v>
      </c>
      <c r="EW415" s="234">
        <f t="shared" si="4480"/>
        <v>12</v>
      </c>
      <c r="EX415" s="234"/>
      <c r="EY415" s="234"/>
      <c r="EZ415" s="234"/>
      <c r="FA415" s="234"/>
      <c r="FB415" s="224"/>
      <c r="FC415" s="223">
        <f>(EU415+EV415+EW415+EX415+EY415+EZ415+FA415+FB415)/3</f>
        <v>12</v>
      </c>
      <c r="FD415" s="223">
        <f t="shared" si="4481"/>
        <v>24</v>
      </c>
      <c r="FE415" s="234">
        <f t="shared" si="4482"/>
        <v>36</v>
      </c>
      <c r="FF415" s="237">
        <f>EU415*POWER(KLslave,SIGN(EV415))*POWER(INslave,SIGN(EW415))*POWER(CHslave,SIGN(EX415))*POWER(FFslave_FF,SIGN(EY415))*POWER(GEslave,SIGN(EZ415))*POWER(KOslave,SIGN(FA415))*POWER(KKslave,SIGN(FB415))+EV415*POWER(MUslave,SIGN(EU415))*POWER(INslave,SIGN(EW415))*POWER(CHslave,SIGN(EX415))*POWER(FFslave_FF,SIGN(EY415))*POWER(GEslave,SIGN(EZ415))*POWER(KOslave,SIGN(FA415))*POWER(KKslave,SIGN(FB415))+EW415*POWER(MUslave,SIGN(EU415))*POWER(KLslave,SIGN(EV415))*POWER(CHslave,SIGN(EX415))*POWER(FFslave_FF,SIGN(EY415))*POWER(GEslave,SIGN(EZ415))*POWER(KOslave,SIGN(FA415))*POWER(KKslave,SIGN(FB415))+EX415*POWER(MUslave,SIGN(EU415))*POWER(KLslave,SIGN(EV415))*POWER(INslave,SIGN(EW415))*POWER(FFslave_FF,SIGN(EY415))*POWER(GEslave,SIGN(EZ415))*POWER(KOslave,SIGN(FA415))*POWER(KKslave,SIGN(FB415))+EY415*POWER(MUslave,SIGN(EU415))*POWER(KLslave,SIGN(EV415))*POWER(INslave,SIGN(EW415))*POWER(CHslave,SIGN(EX415))*POWER(GEslave,SIGN(EZ415))*POWER(KOslave,SIGN(FA415))*POWER(KKslave,SIGN(FB415))+EZ415*POWER(MUslave,SIGN(EU415))*POWER(KLslave,SIGN(EV415))*POWER(INslave,SIGN(EW415))*POWER(CHslave,SIGN(EX415))*POWER(FFslave_FF,SIGN(EY415))*POWER(KOslave,SIGN(FA415))*POWER(KKslave,SIGN(FB415))+FA415*POWER(MUslave,SIGN(EU415))*POWER(KLslave,SIGN(EV415))*POWER(INslave,SIGN(EW415))*POWER(CHslave,SIGN(EX415))*POWER(FFslave_FF,SIGN(EY415))*POWER(GEslave,SIGN(EZ415))*POWER(KKslave,SIGN(FB415))+FB415*POWER(MUslave,SIGN(EU415))*POWER(KLslave,SIGN(EV415))*POWER(INslave,SIGN(EW415))*POWER(CHslave,SIGN(EX415))*POWER(FFslave_FF,SIGN(EY415))*POWER(GEslave,SIGN(EZ415))*POWER(KOslave,SIGN(FA415))</f>
        <v>2304</v>
      </c>
      <c r="FG415" s="234">
        <f>EU415*EV415*INslave+EU415*KLslave*EW415+MUslave*EV415*EW415</f>
        <v>3456</v>
      </c>
      <c r="FH415" s="224">
        <f>IFERROR(EU415^SIGN(EU415),1)*IFERROR(EV415^SIGN(EV415),1)*IFERROR(EW415^SIGN(EW415),1)*IFERROR(EX415^SIGN(EX415),1)*IFERROR(EY415^SIGN(EY415),1)*IFERROR(EZ415^SIGN(EZ415),1)*IFERROR(FA415^SIGN(FA415),1)*IFERROR(FB415^SIGN(FB415),1)</f>
        <v>1728</v>
      </c>
      <c r="FI415" s="242">
        <f t="shared" si="4483"/>
        <v>7488</v>
      </c>
      <c r="FJ415" s="222">
        <f t="shared" si="4484"/>
        <v>3.6923076923076925</v>
      </c>
      <c r="FK415" s="223">
        <f t="shared" si="4485"/>
        <v>11.076923076923077</v>
      </c>
      <c r="FL415" s="243">
        <f t="shared" si="4486"/>
        <v>8.3076923076923084</v>
      </c>
      <c r="FM415" s="243">
        <f t="shared" si="4487"/>
        <v>23.07692307692308</v>
      </c>
      <c r="FN415" s="252">
        <f t="shared" si="4488"/>
        <v>0</v>
      </c>
      <c r="FO415" s="309">
        <f t="shared" si="4489"/>
        <v>23.07692307692308</v>
      </c>
      <c r="FP415" s="218">
        <f>IF(FM415&lt;=0,2,0)+IF(FM415&gt;0,FM415+1,0)*2+IF(FM415&gt;12,FM415-12,0)*2+IF(FM415&gt;13,FM415-13,0)*2+IF(FM415&gt;14,FM415-14,0)*2+IF(FM415&gt;15,FM415-15,0)*2+IF(FM415&gt;16,FM415-16,0)*2+IF(FM415&gt;17,FM415-17,0)*2+IF(FM415&gt;18,FM415-18,0)*2+IF(FM415&gt;19,FM415-19,0)*2+IF(FM415&gt;20,FM415-20,0)*2</f>
        <v>175.5384615384616</v>
      </c>
      <c r="FQ415" s="242">
        <f>IF(FN415&lt;=0,2,0)+IF(FN415&gt;0,FN415+1,0)*2+IF(FN415&gt;12,FN415-12,0)*2+IF(FN415&gt;13,FN415-13,0)*2+IF(FN415&gt;14,FN415-14,0)*2+IF(FN415&gt;15,FN415-15,0)*2+IF(FN415&gt;16,FN415-16,0)*2+IF(FN415&gt;17,FN415-17,0)*2+IF(FN415&gt;18,FN415-18,0)*2+IF(FN415&gt;19,FN415-19,0)*2+IF(FN415&gt;20,FN415-20,0)*2</f>
        <v>2</v>
      </c>
      <c r="FR415" s="243">
        <f t="shared" si="4490"/>
        <v>173.5384615384616</v>
      </c>
      <c r="FS415" s="218">
        <f t="shared" si="4491"/>
        <v>0</v>
      </c>
      <c r="FU415" s="325" t="s">
        <v>261</v>
      </c>
      <c r="FV415" s="218" t="s">
        <v>95</v>
      </c>
      <c r="FW415" s="223" t="s">
        <v>132</v>
      </c>
      <c r="FX415" s="237">
        <f>Konvention_1slave-MUslave</f>
        <v>12</v>
      </c>
      <c r="FY415" s="234">
        <f>Konvention_1slave-KLslave</f>
        <v>12</v>
      </c>
      <c r="FZ415" s="234">
        <f t="shared" si="4492"/>
        <v>12</v>
      </c>
      <c r="GA415" s="234"/>
      <c r="GB415" s="234"/>
      <c r="GC415" s="234"/>
      <c r="GD415" s="234"/>
      <c r="GE415" s="224"/>
      <c r="GF415" s="223">
        <f>(FX415+FY415+FZ415+GA415+GB415+GC415+GD415+GE415)/3</f>
        <v>12</v>
      </c>
      <c r="GG415" s="223">
        <f t="shared" si="4493"/>
        <v>24</v>
      </c>
      <c r="GH415" s="234">
        <f t="shared" si="4494"/>
        <v>36</v>
      </c>
      <c r="GI415" s="237">
        <f>FX415*POWER(KLslave,SIGN(FY415))*POWER(INslave,SIGN(FZ415))*POWER(CHslave,SIGN(GA415))*POWER(FFslave,SIGN(GB415))*POWER(GEslave_GE,SIGN(GC415))*POWER(KOslave,SIGN(GD415))*POWER(KKslave,SIGN(GE415))+FY415*POWER(MUslave,SIGN(FX415))*POWER(INslave,SIGN(FZ415))*POWER(CHslave,SIGN(GA415))*POWER(FFslave,SIGN(GB415))*POWER(GEslave_GE,SIGN(GC415))*POWER(KOslave,SIGN(GD415))*POWER(KKslave,SIGN(GE415))+FZ415*POWER(MUslave,SIGN(FX415))*POWER(KLslave,SIGN(FY415))*POWER(CHslave,SIGN(GA415))*POWER(FFslave,SIGN(GB415))*POWER(GEslave_GE,SIGN(GC415))*POWER(KOslave,SIGN(GD415))*POWER(KKslave,SIGN(GE415))+GA415*POWER(MUslave,SIGN(FX415))*POWER(KLslave,SIGN(FY415))*POWER(INslave,SIGN(FZ415))*POWER(FFslave,SIGN(GB415))*POWER(GEslave_GE,SIGN(GC415))*POWER(KOslave,SIGN(GD415))*POWER(KKslave,SIGN(GE415))+GB415*POWER(MUslave,SIGN(FX415))*POWER(KLslave,SIGN(FY415))*POWER(INslave,SIGN(FZ415))*POWER(CHslave,SIGN(GA415))*POWER(GEslave_GE,SIGN(GC415))*POWER(KOslave,SIGN(GD415))*POWER(KKslave,SIGN(GE415))+GC415*POWER(MUslave,SIGN(FX415))*POWER(KLslave,SIGN(FY415))*POWER(INslave,SIGN(FZ415))*POWER(CHslave,SIGN(GA415))*POWER(FFslave,SIGN(GB415))*POWER(KOslave,SIGN(GD415))*POWER(KKslave,SIGN(GE415))+GD415*POWER(MUslave,SIGN(FX415))*POWER(KLslave,SIGN(FY415))*POWER(INslave,SIGN(FZ415))*POWER(CHslave,SIGN(GA415))*POWER(FFslave,SIGN(GB415))*POWER(GEslave_GE,SIGN(GC415))*POWER(KKslave,SIGN(GE415))+GE415*POWER(MUslave,SIGN(FX415))*POWER(KLslave,SIGN(FY415))*POWER(INslave,SIGN(FZ415))*POWER(CHslave,SIGN(GA415))*POWER(FFslave,SIGN(GB415))*POWER(GEslave_GE,SIGN(GC415))*POWER(KOslave,SIGN(GD415))</f>
        <v>2304</v>
      </c>
      <c r="GJ415" s="234">
        <f>FX415*FY415*INslave+FX415*KLslave*FZ415+MUslave*FY415*FZ415</f>
        <v>3456</v>
      </c>
      <c r="GK415" s="224">
        <f>IFERROR(FX415^SIGN(FX415),1)*IFERROR(FY415^SIGN(FY415),1)*IFERROR(FZ415^SIGN(FZ415),1)*IFERROR(GA415^SIGN(GA415),1)*IFERROR(GB415^SIGN(GB415),1)*IFERROR(GC415^SIGN(GC415),1)*IFERROR(GD415^SIGN(GD415),1)*IFERROR(GE415^SIGN(GE415),1)</f>
        <v>1728</v>
      </c>
      <c r="GL415" s="242">
        <f t="shared" si="4495"/>
        <v>7488</v>
      </c>
      <c r="GM415" s="222">
        <f t="shared" si="4496"/>
        <v>3.6923076923076925</v>
      </c>
      <c r="GN415" s="223">
        <f t="shared" si="4497"/>
        <v>11.076923076923077</v>
      </c>
      <c r="GO415" s="243">
        <f t="shared" si="4498"/>
        <v>8.3076923076923084</v>
      </c>
      <c r="GP415" s="243">
        <f t="shared" si="4499"/>
        <v>23.07692307692308</v>
      </c>
      <c r="GQ415" s="252">
        <f t="shared" si="4500"/>
        <v>0</v>
      </c>
      <c r="GR415" s="309">
        <f t="shared" si="4501"/>
        <v>23.07692307692308</v>
      </c>
      <c r="GS415" s="218">
        <f>IF(GP415&lt;=0,2,0)+IF(GP415&gt;0,GP415+1,0)*2+IF(GP415&gt;12,GP415-12,0)*2+IF(GP415&gt;13,GP415-13,0)*2+IF(GP415&gt;14,GP415-14,0)*2+IF(GP415&gt;15,GP415-15,0)*2+IF(GP415&gt;16,GP415-16,0)*2+IF(GP415&gt;17,GP415-17,0)*2+IF(GP415&gt;18,GP415-18,0)*2+IF(GP415&gt;19,GP415-19,0)*2+IF(GP415&gt;20,GP415-20,0)*2</f>
        <v>175.5384615384616</v>
      </c>
      <c r="GT415" s="242">
        <f>IF(GQ415&lt;=0,2,0)+IF(GQ415&gt;0,GQ415+1,0)*2+IF(GQ415&gt;12,GQ415-12,0)*2+IF(GQ415&gt;13,GQ415-13,0)*2+IF(GQ415&gt;14,GQ415-14,0)*2+IF(GQ415&gt;15,GQ415-15,0)*2+IF(GQ415&gt;16,GQ415-16,0)*2+IF(GQ415&gt;17,GQ415-17,0)*2+IF(GQ415&gt;18,GQ415-18,0)*2+IF(GQ415&gt;19,GQ415-19,0)*2+IF(GQ415&gt;20,GQ415-20,0)*2</f>
        <v>2</v>
      </c>
      <c r="GU415" s="243">
        <f t="shared" si="4502"/>
        <v>173.5384615384616</v>
      </c>
      <c r="GV415" s="218">
        <f t="shared" si="4503"/>
        <v>0</v>
      </c>
      <c r="GX415" s="325" t="s">
        <v>261</v>
      </c>
      <c r="GY415" s="218" t="s">
        <v>95</v>
      </c>
      <c r="GZ415" s="223" t="s">
        <v>132</v>
      </c>
      <c r="HA415" s="237">
        <f>Konvention_1slave-MUslave</f>
        <v>12</v>
      </c>
      <c r="HB415" s="234">
        <f>Konvention_1slave-KLslave</f>
        <v>12</v>
      </c>
      <c r="HC415" s="234">
        <f t="shared" si="4504"/>
        <v>12</v>
      </c>
      <c r="HD415" s="234"/>
      <c r="HE415" s="234"/>
      <c r="HF415" s="234"/>
      <c r="HG415" s="234"/>
      <c r="HH415" s="224"/>
      <c r="HI415" s="223">
        <f>(HA415+HB415+HC415+HD415+HE415+HF415+HG415+HH415)/3</f>
        <v>12</v>
      </c>
      <c r="HJ415" s="223">
        <f t="shared" si="4505"/>
        <v>24</v>
      </c>
      <c r="HK415" s="234">
        <f t="shared" si="4506"/>
        <v>36</v>
      </c>
      <c r="HL415" s="237">
        <f>HA415*POWER(KLslave,SIGN(HB415))*POWER(INslave,SIGN(HC415))*POWER(CHslave,SIGN(HD415))*POWER(FFslave,SIGN(HE415))*POWER(GEslave,SIGN(HF415))*POWER(KOslave_KO,SIGN(HG415))*POWER(KKslave,SIGN(HH415))+HB415*POWER(MUslave,SIGN(HA415))*POWER(INslave,SIGN(HC415))*POWER(CHslave,SIGN(HD415))*POWER(FFslave,SIGN(HE415))*POWER(GEslave,SIGN(HF415))*POWER(KOslave_KO,SIGN(HG415))*POWER(KKslave,SIGN(HH415))+HC415*POWER(MUslave,SIGN(HA415))*POWER(KLslave,SIGN(HB415))*POWER(CHslave,SIGN(HD415))*POWER(FFslave,SIGN(HE415))*POWER(GEslave,SIGN(HF415))*POWER(KOslave_KO,SIGN(HG415))*POWER(KKslave,SIGN(HH415))+HD415*POWER(MUslave,SIGN(HA415))*POWER(KLslave,SIGN(HB415))*POWER(INslave,SIGN(HC415))*POWER(FFslave,SIGN(HE415))*POWER(GEslave,SIGN(HF415))*POWER(KOslave_KO,SIGN(HG415))*POWER(KKslave,SIGN(HH415))+HE415*POWER(MUslave,SIGN(HA415))*POWER(KLslave,SIGN(HB415))*POWER(INslave,SIGN(HC415))*POWER(CHslave,SIGN(HD415))*POWER(GEslave,SIGN(HF415))*POWER(KOslave_KO,SIGN(HG415))*POWER(KKslave,SIGN(HH415))+HF415*POWER(MUslave,SIGN(HA415))*POWER(KLslave,SIGN(HB415))*POWER(INslave,SIGN(HC415))*POWER(CHslave,SIGN(HD415))*POWER(FFslave,SIGN(HE415))*POWER(KOslave_KO,SIGN(HG415))*POWER(KKslave,SIGN(HH415))+HG415*POWER(MUslave,SIGN(HA415))*POWER(KLslave,SIGN(HB415))*POWER(INslave,SIGN(HC415))*POWER(CHslave,SIGN(HD415))*POWER(FFslave,SIGN(HE415))*POWER(GEslave,SIGN(HF415))*POWER(KKslave,SIGN(HH415))+HH415*POWER(MUslave,SIGN(HA415))*POWER(KLslave,SIGN(HB415))*POWER(INslave,SIGN(HC415))*POWER(CHslave,SIGN(HD415))*POWER(FFslave,SIGN(HE415))*POWER(GEslave,SIGN(HF415))*POWER(KOslave_KO,SIGN(HG415))</f>
        <v>2304</v>
      </c>
      <c r="HM415" s="234">
        <f>HA415*HB415*INslave+HA415*KLslave*HC415+MUslave*HB415*HC415</f>
        <v>3456</v>
      </c>
      <c r="HN415" s="224">
        <f>IFERROR(HA415^SIGN(HA415),1)*IFERROR(HB415^SIGN(HB415),1)*IFERROR(HC415^SIGN(HC415),1)*IFERROR(HD415^SIGN(HD415),1)*IFERROR(HE415^SIGN(HE415),1)*IFERROR(HF415^SIGN(HF415),1)*IFERROR(HG415^SIGN(HG415),1)*IFERROR(HH415^SIGN(HH415),1)</f>
        <v>1728</v>
      </c>
      <c r="HO415" s="242">
        <f t="shared" si="4507"/>
        <v>7488</v>
      </c>
      <c r="HP415" s="222">
        <f t="shared" si="4508"/>
        <v>3.6923076923076925</v>
      </c>
      <c r="HQ415" s="223">
        <f t="shared" si="4509"/>
        <v>11.076923076923077</v>
      </c>
      <c r="HR415" s="243">
        <f t="shared" si="4510"/>
        <v>8.3076923076923084</v>
      </c>
      <c r="HS415" s="243">
        <f t="shared" si="4511"/>
        <v>23.07692307692308</v>
      </c>
      <c r="HT415" s="252">
        <f t="shared" si="4512"/>
        <v>0</v>
      </c>
      <c r="HU415" s="309">
        <f t="shared" si="4513"/>
        <v>23.07692307692308</v>
      </c>
      <c r="HV415" s="218">
        <f>IF(HS415&lt;=0,2,0)+IF(HS415&gt;0,HS415+1,0)*2+IF(HS415&gt;12,HS415-12,0)*2+IF(HS415&gt;13,HS415-13,0)*2+IF(HS415&gt;14,HS415-14,0)*2+IF(HS415&gt;15,HS415-15,0)*2+IF(HS415&gt;16,HS415-16,0)*2+IF(HS415&gt;17,HS415-17,0)*2+IF(HS415&gt;18,HS415-18,0)*2+IF(HS415&gt;19,HS415-19,0)*2+IF(HS415&gt;20,HS415-20,0)*2</f>
        <v>175.5384615384616</v>
      </c>
      <c r="HW415" s="242">
        <f>IF(HT415&lt;=0,2,0)+IF(HT415&gt;0,HT415+1,0)*2+IF(HT415&gt;12,HT415-12,0)*2+IF(HT415&gt;13,HT415-13,0)*2+IF(HT415&gt;14,HT415-14,0)*2+IF(HT415&gt;15,HT415-15,0)*2+IF(HT415&gt;16,HT415-16,0)*2+IF(HT415&gt;17,HT415-17,0)*2+IF(HT415&gt;18,HT415-18,0)*2+IF(HT415&gt;19,HT415-19,0)*2+IF(HT415&gt;20,HT415-20,0)*2</f>
        <v>2</v>
      </c>
      <c r="HX415" s="243">
        <f t="shared" si="4514"/>
        <v>173.5384615384616</v>
      </c>
      <c r="HY415" s="218">
        <f t="shared" si="4515"/>
        <v>0</v>
      </c>
      <c r="IA415" s="325" t="s">
        <v>261</v>
      </c>
      <c r="IB415" s="218" t="s">
        <v>95</v>
      </c>
      <c r="IC415" s="223" t="s">
        <v>132</v>
      </c>
      <c r="ID415" s="237">
        <f>Konvention_1slave-MUslave</f>
        <v>12</v>
      </c>
      <c r="IE415" s="234">
        <f>Konvention_1slave-KLslave</f>
        <v>12</v>
      </c>
      <c r="IF415" s="234">
        <f t="shared" si="4516"/>
        <v>12</v>
      </c>
      <c r="IG415" s="234"/>
      <c r="IH415" s="234"/>
      <c r="II415" s="234"/>
      <c r="IJ415" s="234"/>
      <c r="IK415" s="224"/>
      <c r="IL415" s="223">
        <f>(ID415+IE415+IF415+IG415+IH415+II415+IJ415+IK415)/3</f>
        <v>12</v>
      </c>
      <c r="IM415" s="223">
        <f t="shared" si="4517"/>
        <v>24</v>
      </c>
      <c r="IN415" s="234">
        <f t="shared" si="4518"/>
        <v>36</v>
      </c>
      <c r="IO415" s="237">
        <f>ID415*POWER(KLslave,SIGN(IE415))*POWER(INslave,SIGN(IF415))*POWER(CHslave,SIGN(IG415))*POWER(FFslave,SIGN(IH415))*POWER(GEslave,SIGN(II415))*POWER(KOslave,SIGN(IJ415))*POWER(KKslave_KK,SIGN(IK415))+IE415*POWER(MUslave,SIGN(ID415))*POWER(INslave,SIGN(IF415))*POWER(CHslave,SIGN(IG415))*POWER(FFslave,SIGN(IH415))*POWER(GEslave,SIGN(II415))*POWER(KOslave,SIGN(IJ415))*POWER(KKslave_KK,SIGN(IK415))+IF415*POWER(MUslave,SIGN(ID415))*POWER(KLslave,SIGN(IE415))*POWER(CHslave,SIGN(IG415))*POWER(FFslave,SIGN(IH415))*POWER(GEslave,SIGN(II415))*POWER(KOslave,SIGN(IJ415))*POWER(KKslave_KK,SIGN(IK415))+IG415*POWER(MUslave,SIGN(ID415))*POWER(KLslave,SIGN(IE415))*POWER(INslave,SIGN(IF415))*POWER(FFslave,SIGN(IH415))*POWER(GEslave,SIGN(II415))*POWER(KOslave,SIGN(IJ415))*POWER(KKslave_KK,SIGN(IK415))+IH415*POWER(MUslave,SIGN(ID415))*POWER(KLslave,SIGN(IE415))*POWER(INslave,SIGN(IF415))*POWER(CHslave,SIGN(IG415))*POWER(GEslave,SIGN(II415))*POWER(KOslave,SIGN(IJ415))*POWER(KKslave_KK,SIGN(IK415))+II415*POWER(MUslave,SIGN(ID415))*POWER(KLslave,SIGN(IE415))*POWER(INslave,SIGN(IF415))*POWER(CHslave,SIGN(IG415))*POWER(FFslave,SIGN(IH415))*POWER(KOslave,SIGN(IJ415))*POWER(KKslave_KK,SIGN(IK415))+IJ415*POWER(MUslave,SIGN(ID415))*POWER(KLslave,SIGN(IE415))*POWER(INslave,SIGN(IF415))*POWER(CHslave,SIGN(IG415))*POWER(FFslave,SIGN(IH415))*POWER(GEslave,SIGN(II415))*POWER(KKslave_KK,SIGN(IK415))+IK415*POWER(MUslave,SIGN(ID415))*POWER(KLslave,SIGN(IE415))*POWER(INslave,SIGN(IF415))*POWER(CHslave,SIGN(IG415))*POWER(FFslave,SIGN(IH415))*POWER(GEslave,SIGN(II415))*POWER(KOslave,SIGN(IJ415))</f>
        <v>2304</v>
      </c>
      <c r="IP415" s="234">
        <f>ID415*IE415*INslave+ID415*KLslave*IF415+MUslave*IE415*IF415</f>
        <v>3456</v>
      </c>
      <c r="IQ415" s="224">
        <f>IFERROR(ID415^SIGN(ID415),1)*IFERROR(IE415^SIGN(IE415),1)*IFERROR(IF415^SIGN(IF415),1)*IFERROR(IG415^SIGN(IG415),1)*IFERROR(IH415^SIGN(IH415),1)*IFERROR(II415^SIGN(II415),1)*IFERROR(IJ415^SIGN(IJ415),1)*IFERROR(IK415^SIGN(IK415),1)</f>
        <v>1728</v>
      </c>
      <c r="IR415" s="242">
        <f t="shared" si="4519"/>
        <v>7488</v>
      </c>
      <c r="IS415" s="222">
        <f t="shared" si="4520"/>
        <v>3.6923076923076925</v>
      </c>
      <c r="IT415" s="223">
        <f t="shared" si="4521"/>
        <v>11.076923076923077</v>
      </c>
      <c r="IU415" s="243">
        <f t="shared" si="4522"/>
        <v>8.3076923076923084</v>
      </c>
      <c r="IV415" s="243">
        <f t="shared" si="4523"/>
        <v>23.07692307692308</v>
      </c>
      <c r="IW415" s="252">
        <f t="shared" si="4524"/>
        <v>0</v>
      </c>
      <c r="IX415" s="309">
        <f t="shared" si="4525"/>
        <v>23.07692307692308</v>
      </c>
      <c r="IY415" s="218">
        <f>IF(IV415&lt;=0,2,0)+IF(IV415&gt;0,IV415+1,0)*2+IF(IV415&gt;12,IV415-12,0)*2+IF(IV415&gt;13,IV415-13,0)*2+IF(IV415&gt;14,IV415-14,0)*2+IF(IV415&gt;15,IV415-15,0)*2+IF(IV415&gt;16,IV415-16,0)*2+IF(IV415&gt;17,IV415-17,0)*2+IF(IV415&gt;18,IV415-18,0)*2+IF(IV415&gt;19,IV415-19,0)*2+IF(IV415&gt;20,IV415-20,0)*2</f>
        <v>175.5384615384616</v>
      </c>
      <c r="IZ415" s="242">
        <f>IF(IW415&lt;=0,2,0)+IF(IW415&gt;0,IW415+1,0)*2+IF(IW415&gt;12,IW415-12,0)*2+IF(IW415&gt;13,IW415-13,0)*2+IF(IW415&gt;14,IW415-14,0)*2+IF(IW415&gt;15,IW415-15,0)*2+IF(IW415&gt;16,IW415-16,0)*2+IF(IW415&gt;17,IW415-17,0)*2+IF(IW415&gt;18,IW415-18,0)*2+IF(IW415&gt;19,IW415-19,0)*2+IF(IW415&gt;20,IW415-20,0)*2</f>
        <v>2</v>
      </c>
      <c r="JA415" s="243">
        <f t="shared" si="4526"/>
        <v>173.5384615384616</v>
      </c>
      <c r="JB415" s="218">
        <f t="shared" si="4527"/>
        <v>0</v>
      </c>
      <c r="JE415" s="148"/>
    </row>
    <row r="416" spans="2:265" ht="15" hidden="1" customHeight="1" outlineLevel="2">
      <c r="B416" s="148">
        <v>6</v>
      </c>
      <c r="C416" s="325" t="e">
        <f>VLOOKUP(AF416,Attribute!C:T,1,FALSE)</f>
        <v>#N/A</v>
      </c>
      <c r="D416" s="86" t="s">
        <v>95</v>
      </c>
      <c r="E416" s="47" t="s">
        <v>133</v>
      </c>
      <c r="F416" s="114">
        <f>Konvention_1master-MUmaster</f>
        <v>12</v>
      </c>
      <c r="G416" s="113">
        <f>Konvention_1master-KLmaster</f>
        <v>12</v>
      </c>
      <c r="H416" s="113">
        <f t="shared" si="4421"/>
        <v>12</v>
      </c>
      <c r="I416" s="113"/>
      <c r="J416" s="113"/>
      <c r="K416" s="113"/>
      <c r="L416" s="113"/>
      <c r="M416" s="119"/>
      <c r="N416" s="223">
        <f>(F416+G416+H416+I416+J416+K416+L416+M416)/3</f>
        <v>12</v>
      </c>
      <c r="O416" s="223">
        <f t="shared" si="4422"/>
        <v>24</v>
      </c>
      <c r="P416" s="234">
        <f t="shared" si="4423"/>
        <v>36</v>
      </c>
      <c r="Q416" s="237">
        <f>F416*POWER(KLmaster,SIGN(G416))*POWER(INmaster,SIGN(H416))*POWER(CHmaster,SIGN(I416))*POWER(FFmaster,SIGN(J416))*POWER(GEmaster,SIGN(K416))*POWER(KOmaster,SIGN(L416))*POWER(KKmaster,SIGN(M416))+G416*POWER(MUmaster,SIGN(F416))*POWER(INmaster,SIGN(H416))*POWER(CHmaster,SIGN(I416))*POWER(FFmaster,SIGN(J416))*POWER(GEmaster,SIGN(K416))*POWER(KOmaster,SIGN(L416))*POWER(KKmaster,SIGN(M416))+H416*POWER(MUmaster,SIGN(F416))*POWER(KLmaster,SIGN(G416))*POWER(CHmaster,SIGN(I416))*POWER(FFmaster,SIGN(J416))*POWER(GEmaster,SIGN(K416))*POWER(KOmaster,SIGN(L416))*POWER(KKmaster,SIGN(M416))+I416*POWER(MUmaster,SIGN(F416))*POWER(KLmaster,SIGN(G416))*POWER(INmaster,SIGN(H416))*POWER(FFmaster,SIGN(J416))*POWER(GEmaster,SIGN(K416))*POWER(KOmaster,SIGN(L416))*POWER(KKmaster,SIGN(M416))+J416*POWER(MUmaster,SIGN(F416))*POWER(KLmaster,SIGN(G416))*POWER(INmaster,SIGN(H416))*POWER(CHmaster,SIGN(I416))*POWER(GEmaster,SIGN(K416))*POWER(KOmaster,SIGN(L416))*POWER(KKmaster,SIGN(M416))+K416*POWER(MUmaster,SIGN(F416))*POWER(KLmaster,SIGN(G416))*POWER(INmaster,SIGN(H416))*POWER(CHmaster,SIGN(I416))*POWER(FFmaster,SIGN(J416))*POWER(KOmaster,SIGN(L416))*POWER(KKmaster,SIGN(M416))+L416*POWER(MUmaster,SIGN(F416))*POWER(KLmaster,SIGN(G416))*POWER(INmaster,SIGN(H416))*POWER(CHmaster,SIGN(I416))*POWER(FFmaster,SIGN(J416))*POWER(GEmaster,SIGN(K416))*POWER(KKmaster,SIGN(M416))+M416*POWER(MUmaster,SIGN(F416))*POWER(KLmaster,SIGN(G416))*POWER(INmaster,SIGN(H416))*POWER(CHmaster,SIGN(I416))*POWER(FFmaster,SIGN(J416))*POWER(GEmaster,SIGN(K416))*POWER(KOmaster,SIGN(L416))</f>
        <v>2304</v>
      </c>
      <c r="R416" s="113">
        <f>F416*G416*INmaster+F416*KLmaster*H416+MUmaster*G416*H416</f>
        <v>3456</v>
      </c>
      <c r="S416" s="224">
        <f>IFERROR(F416^SIGN(F416),1)*IFERROR(G416^SIGN(G416),1)*IFERROR(H416^SIGN(H416),1)*IFERROR(I416^SIGN(I416),1)*IFERROR(J416^SIGN(J416),1)*IFERROR(K416^SIGN(K416),1)*IFERROR(L416^SIGN(L416),1)*IFERROR(M416^SIGN(M416),1)</f>
        <v>1728</v>
      </c>
      <c r="T416" s="242">
        <f t="shared" si="4424"/>
        <v>7488</v>
      </c>
      <c r="U416" s="222">
        <f t="shared" si="4425"/>
        <v>3.6923076923076925</v>
      </c>
      <c r="V416" s="223">
        <f t="shared" si="4426"/>
        <v>11.076923076923077</v>
      </c>
      <c r="W416" s="243">
        <f t="shared" si="4427"/>
        <v>8.3076923076923084</v>
      </c>
      <c r="X416" s="243">
        <f t="shared" si="4428"/>
        <v>23.07692307692308</v>
      </c>
      <c r="Y416" s="252">
        <v>0</v>
      </c>
      <c r="Z416" s="198">
        <f t="shared" si="4429"/>
        <v>23.07692307692308</v>
      </c>
      <c r="AA416" s="125">
        <f>IF(X416&lt;=0,1,0)+IF(X416&gt;0,X416+1,0)*1+IF(X416&gt;12,X416-12,0)*1+IF(X416&gt;13,X416-13,0)*1+IF(X416&gt;14,X416-14,0)*1+IF(X416&gt;15,X416-15,0)*1+IF(X416&gt;16,X416-16,0)*1+IF(X416&gt;17,X416-17,0)*1+IF(X416&gt;18,X416-18,0)*1+IF(X416&gt;19,X416-19,0)*1+IF(X416&gt;20,X416-20,0)*1</f>
        <v>87.769230769230802</v>
      </c>
      <c r="AB416" s="160">
        <f>IF(Y416&lt;=0,1,0)+IF(Y416&gt;0,Y416+1,0)*1+IF(Y416&gt;12,Y416-12,0)*1+IF(Y416&gt;13,Y416-13,0)*1+IF(Y416&gt;14,Y416-14,0)*1+IF(Y416&gt;15,Y416-15,0)*1+IF(Y416&gt;16,Y416-16,0)*1+IF(Y416&gt;17,Y416-17,0)*1+IF(Y416&gt;18,Y416-18,0)*1+IF(Y416&gt;19,Y416-19,0)*1+IF(Y416&gt;20,Y416-20,0)*1</f>
        <v>1</v>
      </c>
      <c r="AC416" s="127">
        <f t="shared" si="4430"/>
        <v>86.769230769230802</v>
      </c>
      <c r="AD416" s="125">
        <f t="shared" si="4431"/>
        <v>0</v>
      </c>
      <c r="AF416" s="177" t="s">
        <v>262</v>
      </c>
      <c r="AG416" s="125" t="s">
        <v>95</v>
      </c>
      <c r="AH416" s="47" t="s">
        <v>133</v>
      </c>
      <c r="AI416" s="114">
        <f>Konvention_1slave-MUslave_MU</f>
        <v>11</v>
      </c>
      <c r="AJ416" s="113">
        <f>Konvention_1slave-KLslave</f>
        <v>12</v>
      </c>
      <c r="AK416" s="113">
        <f t="shared" si="4432"/>
        <v>12</v>
      </c>
      <c r="AL416" s="113"/>
      <c r="AM416" s="113"/>
      <c r="AN416" s="113"/>
      <c r="AO416" s="113"/>
      <c r="AP416" s="119"/>
      <c r="AQ416" s="47">
        <f>(AI416+AJ416+AK416+AL416+AM416+AN416+AO416+AP416)/3</f>
        <v>11.666666666666666</v>
      </c>
      <c r="AR416" s="47">
        <f t="shared" si="4433"/>
        <v>23.333333333333332</v>
      </c>
      <c r="AS416" s="113">
        <f t="shared" si="4434"/>
        <v>35</v>
      </c>
      <c r="AT416" s="114">
        <f>AI416*POWER(KLslave,SIGN(AJ416))*POWER(INslave,SIGN(AK416))*POWER(CHslave,SIGN(AL416))*POWER(FFslave,SIGN(AM416))*POWER(GEslave,SIGN(AN416))*POWER(KOslave,SIGN(AO416))*POWER(KKslave,SIGN(AP416))+AJ416*POWER(MUslave_MU,SIGN(AI416))*POWER(INslave,SIGN(AK416))*POWER(CHslave,SIGN(AL416))*POWER(FFslave,SIGN(AM416))*POWER(GEslave,SIGN(AN416))*POWER(KOslave,SIGN(AO416))*POWER(KKslave,SIGN(AP416))+AK416*POWER(MUslave_MU,SIGN(AI416))*POWER(KLslave,SIGN(AJ416))*POWER(CHslave,SIGN(AL416))*POWER(FFslave,SIGN(AM416))*POWER(GEslave,SIGN(AN416))*POWER(KOslave,SIGN(AO416))*POWER(KKslave,SIGN(AP416))+AL416*POWER(MUslave_MU,SIGN(AI416))*POWER(KLslave,SIGN(AJ416))*POWER(INslave,SIGN(AK416))*POWER(FFslave,SIGN(AM416))*POWER(GEslave,SIGN(AN416))*POWER(KOslave,SIGN(AO416))*POWER(KKslave,SIGN(AP416))+AM416*POWER(MUslave_MU,SIGN(AI416))*POWER(KLslave,SIGN(AJ416))*POWER(INslave,SIGN(AK416))*POWER(CHslave,SIGN(AL416))*POWER(GEslave,SIGN(AN416))*POWER(KOslave,SIGN(AO416))*POWER(KKslave,SIGN(AP416))+AN416*POWER(MUslave_MU,SIGN(AI416))*POWER(KLslave,SIGN(AJ416))*POWER(INslave,SIGN(AK416))*POWER(CHslave,SIGN(AL416))*POWER(FFslave,SIGN(AM416))*POWER(KOslave,SIGN(AO416))*POWER(KKslave,SIGN(AP416))+AO416*POWER(MUslave_MU,SIGN(AI416))*POWER(KLslave,SIGN(AJ416))*POWER(INslave,SIGN(AK416))*POWER(CHslave,SIGN(AL416))*POWER(FFslave,SIGN(AM416))*POWER(GEslave,SIGN(AN416))*POWER(KKslave,SIGN(AP416))+AP416*POWER(MUslave_MU,SIGN(AI416))*POWER(KLslave,SIGN(AJ416))*POWER(INslave,SIGN(AK416))*POWER(CHslave,SIGN(AL416))*POWER(FFslave,SIGN(AM416))*POWER(GEslave,SIGN(AN416))*POWER(KOslave,SIGN(AO416))</f>
        <v>2432</v>
      </c>
      <c r="AU416" s="113">
        <f>AI416*AJ416*INslave+AI416*KLslave*AK416+MUslave_MU*AJ416*AK416</f>
        <v>3408</v>
      </c>
      <c r="AV416" s="119">
        <f>IFERROR(AI416^SIGN(AI416),1)*IFERROR(AJ416^SIGN(AJ416),1)*IFERROR(AK416^SIGN(AK416),1)*IFERROR(AL416^SIGN(AL416),1)*IFERROR(AM416^SIGN(AM416),1)*IFERROR(AN416^SIGN(AN416),1)*IFERROR(AO416^SIGN(AO416),1)*IFERROR(AP416^SIGN(AP416),1)</f>
        <v>1584</v>
      </c>
      <c r="AW416" s="160">
        <f t="shared" si="4435"/>
        <v>7424</v>
      </c>
      <c r="AX416" s="89">
        <f t="shared" si="4436"/>
        <v>3.8218390804597702</v>
      </c>
      <c r="AY416" s="47">
        <f t="shared" si="4437"/>
        <v>10.711206896551724</v>
      </c>
      <c r="AZ416" s="127">
        <f t="shared" si="4438"/>
        <v>7.4676724137931032</v>
      </c>
      <c r="BA416" s="127">
        <f t="shared" si="4439"/>
        <v>22.000718390804597</v>
      </c>
      <c r="BB416" s="165">
        <f t="shared" si="4440"/>
        <v>0</v>
      </c>
      <c r="BC416" s="198">
        <f t="shared" si="4441"/>
        <v>22.000718390804597</v>
      </c>
      <c r="BD416" s="125">
        <f>IF(BA416&lt;=0,1,0)+IF(BA416&gt;0,BA416+1,0)*1+IF(BA416&gt;12,BA416-12,0)*1+IF(BA416&gt;13,BA416-13,0)*1+IF(BA416&gt;14,BA416-14,0)*1+IF(BA416&gt;15,BA416-15,0)*1+IF(BA416&gt;16,BA416-16,0)*1+IF(BA416&gt;17,BA416-17,0)*1+IF(BA416&gt;18,BA416-18,0)*1+IF(BA416&gt;19,BA416-19,0)*1+IF(BA416&gt;20,BA416-20,0)*1</f>
        <v>77.007183908045945</v>
      </c>
      <c r="BE416" s="160">
        <f>IF(BB416&lt;=0,1,0)+IF(BB416&gt;0,BB416+1,0)*1+IF(BB416&gt;12,BB416-12,0)*1+IF(BB416&gt;13,BB416-13,0)*1+IF(BB416&gt;14,BB416-14,0)*1+IF(BB416&gt;15,BB416-15,0)*1+IF(BB416&gt;16,BB416-16,0)*1+IF(BB416&gt;17,BB416-17,0)*1+IF(BB416&gt;18,BB416-18,0)*1+IF(BB416&gt;19,BB416-19,0)*1+IF(BB416&gt;20,BB416-20,0)*1</f>
        <v>1</v>
      </c>
      <c r="BF416" s="243">
        <f t="shared" si="4442"/>
        <v>76.007183908045945</v>
      </c>
      <c r="BG416" s="218">
        <f t="shared" si="4443"/>
        <v>0</v>
      </c>
      <c r="BI416" s="325" t="s">
        <v>262</v>
      </c>
      <c r="BJ416" s="218" t="s">
        <v>95</v>
      </c>
      <c r="BK416" s="223" t="s">
        <v>133</v>
      </c>
      <c r="BL416" s="237">
        <f>Konvention_1slave-MUslave</f>
        <v>12</v>
      </c>
      <c r="BM416" s="234">
        <f>Konvention_1slave-KLslave_KL</f>
        <v>11</v>
      </c>
      <c r="BN416" s="234">
        <f t="shared" si="4444"/>
        <v>12</v>
      </c>
      <c r="BO416" s="234"/>
      <c r="BP416" s="234"/>
      <c r="BQ416" s="234"/>
      <c r="BR416" s="234"/>
      <c r="BS416" s="224"/>
      <c r="BT416" s="223">
        <f>(BL416+BM416+BN416+BO416+BP416+BQ416+BR416+BS416)/3</f>
        <v>11.666666666666666</v>
      </c>
      <c r="BU416" s="223">
        <f t="shared" si="4445"/>
        <v>23.333333333333332</v>
      </c>
      <c r="BV416" s="234">
        <f t="shared" si="4446"/>
        <v>35</v>
      </c>
      <c r="BW416" s="237">
        <f>BL416*POWER(KLslave_KL,SIGN(BM416))*POWER(INslave,SIGN(BN416))*POWER(CHslave,SIGN(BO416))*POWER(FFslave,SIGN(BP416))*POWER(GEslave,SIGN(BQ416))*POWER(KOslave,SIGN(BR416))*POWER(KKslave,SIGN(BS416))+BM416*POWER(MUslave,SIGN(BL416))*POWER(INslave,SIGN(BN416))*POWER(CHslave,SIGN(BO416))*POWER(FFslave,SIGN(BP416))*POWER(GEslave,SIGN(BQ416))*POWER(KOslave,SIGN(BR416))*POWER(KKslave,SIGN(BS416))+BN416*POWER(MUslave,SIGN(BL416))*POWER(KLslave_KL,SIGN(BM416))*POWER(CHslave,SIGN(BO416))*POWER(FFslave,SIGN(BP416))*POWER(GEslave,SIGN(BQ416))*POWER(KOslave,SIGN(BR416))*POWER(KKslave,SIGN(BS416))+BO416*POWER(MUslave,SIGN(BL416))*POWER(KLslave_KL,SIGN(BM416))*POWER(INslave,SIGN(BN416))*POWER(FFslave,SIGN(BP416))*POWER(GEslave,SIGN(BQ416))*POWER(KOslave,SIGN(BR416))*POWER(KKslave,SIGN(BS416))+BP416*POWER(MUslave,SIGN(BL416))*POWER(KLslave_KL,SIGN(BM416))*POWER(INslave,SIGN(BN416))*POWER(CHslave,SIGN(BO416))*POWER(GEslave,SIGN(BQ416))*POWER(KOslave,SIGN(BR416))*POWER(KKslave,SIGN(BS416))+BQ416*POWER(MUslave,SIGN(BL416))*POWER(KLslave_KL,SIGN(BM416))*POWER(INslave,SIGN(BN416))*POWER(CHslave,SIGN(BO416))*POWER(FFslave,SIGN(BP416))*POWER(KOslave,SIGN(BR416))*POWER(KKslave,SIGN(BS416))+BR416*POWER(MUslave,SIGN(BL416))*POWER(KLslave_KL,SIGN(BM416))*POWER(INslave,SIGN(BN416))*POWER(CHslave,SIGN(BO416))*POWER(FFslave,SIGN(BP416))*POWER(GEslave,SIGN(BQ416))*POWER(KKslave,SIGN(BS416))+BS416*POWER(MUslave,SIGN(BL416))*POWER(KLslave_KL,SIGN(BM416))*POWER(INslave,SIGN(BN416))*POWER(CHslave,SIGN(BO416))*POWER(FFslave,SIGN(BP416))*POWER(GEslave,SIGN(BQ416))*POWER(KOslave,SIGN(BR416))</f>
        <v>2432</v>
      </c>
      <c r="BX416" s="234">
        <f>BL416*BM416*INslave+BL416*KLslave_KL*BN416+MUslave*BM416*BN416</f>
        <v>3408</v>
      </c>
      <c r="BY416" s="224">
        <f>IFERROR(BL416^SIGN(BL416),1)*IFERROR(BM416^SIGN(BM416),1)*IFERROR(BN416^SIGN(BN416),1)*IFERROR(BO416^SIGN(BO416),1)*IFERROR(BP416^SIGN(BP416),1)*IFERROR(BQ416^SIGN(BQ416),1)*IFERROR(BR416^SIGN(BR416),1)*IFERROR(BS416^SIGN(BS416),1)</f>
        <v>1584</v>
      </c>
      <c r="BZ416" s="242">
        <f t="shared" si="4447"/>
        <v>7424</v>
      </c>
      <c r="CA416" s="222">
        <f t="shared" si="4448"/>
        <v>3.8218390804597702</v>
      </c>
      <c r="CB416" s="223">
        <f t="shared" si="4449"/>
        <v>10.711206896551724</v>
      </c>
      <c r="CC416" s="243">
        <f t="shared" si="4450"/>
        <v>7.4676724137931032</v>
      </c>
      <c r="CD416" s="243">
        <f t="shared" si="4451"/>
        <v>22.000718390804597</v>
      </c>
      <c r="CE416" s="252">
        <f t="shared" si="4452"/>
        <v>0</v>
      </c>
      <c r="CF416" s="309">
        <f t="shared" si="4453"/>
        <v>22.000718390804597</v>
      </c>
      <c r="CG416" s="218">
        <f>IF(CD416&lt;=0,1,0)+IF(CD416&gt;0,CD416+1,0)*1+IF(CD416&gt;12,CD416-12,0)*1+IF(CD416&gt;13,CD416-13,0)*1+IF(CD416&gt;14,CD416-14,0)*1+IF(CD416&gt;15,CD416-15,0)*1+IF(CD416&gt;16,CD416-16,0)*1+IF(CD416&gt;17,CD416-17,0)*1+IF(CD416&gt;18,CD416-18,0)*1+IF(CD416&gt;19,CD416-19,0)*1+IF(CD416&gt;20,CD416-20,0)*1</f>
        <v>77.007183908045945</v>
      </c>
      <c r="CH416" s="242">
        <f>IF(CE416&lt;=0,1,0)+IF(CE416&gt;0,CE416+1,0)*1+IF(CE416&gt;12,CE416-12,0)*1+IF(CE416&gt;13,CE416-13,0)*1+IF(CE416&gt;14,CE416-14,0)*1+IF(CE416&gt;15,CE416-15,0)*1+IF(CE416&gt;16,CE416-16,0)*1+IF(CE416&gt;17,CE416-17,0)*1+IF(CE416&gt;18,CE416-18,0)*1+IF(CE416&gt;19,CE416-19,0)*1+IF(CE416&gt;20,CE416-20,0)*1</f>
        <v>1</v>
      </c>
      <c r="CI416" s="243">
        <f t="shared" si="4454"/>
        <v>76.007183908045945</v>
      </c>
      <c r="CJ416" s="218">
        <f t="shared" si="4455"/>
        <v>0</v>
      </c>
      <c r="CL416" s="325" t="s">
        <v>262</v>
      </c>
      <c r="CM416" s="218" t="s">
        <v>95</v>
      </c>
      <c r="CN416" s="223" t="s">
        <v>133</v>
      </c>
      <c r="CO416" s="237">
        <f>Konvention_1slave-MUslave</f>
        <v>12</v>
      </c>
      <c r="CP416" s="234">
        <f>Konvention_1slave-KLslave</f>
        <v>12</v>
      </c>
      <c r="CQ416" s="234">
        <f t="shared" si="4456"/>
        <v>11</v>
      </c>
      <c r="CR416" s="234"/>
      <c r="CS416" s="234"/>
      <c r="CT416" s="234"/>
      <c r="CU416" s="234"/>
      <c r="CV416" s="224"/>
      <c r="CW416" s="223">
        <f>(CO416+CP416+CQ416+CR416+CS416+CT416+CU416+CV416)/3</f>
        <v>11.666666666666666</v>
      </c>
      <c r="CX416" s="223">
        <f t="shared" si="4457"/>
        <v>23.333333333333332</v>
      </c>
      <c r="CY416" s="234">
        <f t="shared" si="4458"/>
        <v>35</v>
      </c>
      <c r="CZ416" s="237">
        <f>CO416*POWER(KLslave,SIGN(CP416))*POWER(INslave_IN,SIGN(CQ416))*POWER(CHslave,SIGN(CR416))*POWER(FFslave,SIGN(CS416))*POWER(GEslave,SIGN(CT416))*POWER(KOslave,SIGN(CU416))*POWER(KKslave,SIGN(CV416))+CP416*POWER(MUslave,SIGN(CO416))*POWER(INslave_IN,SIGN(CQ416))*POWER(CHslave,SIGN(CR416))*POWER(FFslave,SIGN(CS416))*POWER(GEslave,SIGN(CT416))*POWER(KOslave,SIGN(CU416))*POWER(KKslave,SIGN(CV416))+CQ416*POWER(MUslave,SIGN(CO416))*POWER(KLslave,SIGN(CP416))*POWER(CHslave,SIGN(CR416))*POWER(FFslave,SIGN(CS416))*POWER(GEslave,SIGN(CT416))*POWER(KOslave,SIGN(CU416))*POWER(KKslave,SIGN(CV416))+CR416*POWER(MUslave,SIGN(CO416))*POWER(KLslave,SIGN(CP416))*POWER(INslave_IN,SIGN(CQ416))*POWER(FFslave,SIGN(CS416))*POWER(GEslave,SIGN(CT416))*POWER(KOslave,SIGN(CU416))*POWER(KKslave,SIGN(CV416))+CS416*POWER(MUslave,SIGN(CO416))*POWER(KLslave,SIGN(CP416))*POWER(INslave_IN,SIGN(CQ416))*POWER(CHslave,SIGN(CR416))*POWER(GEslave,SIGN(CT416))*POWER(KOslave,SIGN(CU416))*POWER(KKslave,SIGN(CV416))+CT416*POWER(MUslave,SIGN(CO416))*POWER(KLslave,SIGN(CP416))*POWER(INslave_IN,SIGN(CQ416))*POWER(CHslave,SIGN(CR416))*POWER(FFslave,SIGN(CS416))*POWER(KOslave,SIGN(CU416))*POWER(KKslave,SIGN(CV416))+CU416*POWER(MUslave,SIGN(CO416))*POWER(KLslave,SIGN(CP416))*POWER(INslave_IN,SIGN(CQ416))*POWER(CHslave,SIGN(CR416))*POWER(FFslave,SIGN(CS416))*POWER(GEslave,SIGN(CT416))*POWER(KKslave,SIGN(CV416))+CV416*POWER(MUslave,SIGN(CO416))*POWER(KLslave,SIGN(CP416))*POWER(INslave_IN,SIGN(CQ416))*POWER(CHslave,SIGN(CR416))*POWER(FFslave,SIGN(CS416))*POWER(GEslave,SIGN(CT416))*POWER(KOslave,SIGN(CU416))</f>
        <v>2432</v>
      </c>
      <c r="DA416" s="234">
        <f>CO416*CP416*INslave_IN+CO416*KLslave*CQ416+MUslave*CP416*CQ416</f>
        <v>3408</v>
      </c>
      <c r="DB416" s="224">
        <f>IFERROR(CO416^SIGN(CO416),1)*IFERROR(CP416^SIGN(CP416),1)*IFERROR(CQ416^SIGN(CQ416),1)*IFERROR(CR416^SIGN(CR416),1)*IFERROR(CS416^SIGN(CS416),1)*IFERROR(CT416^SIGN(CT416),1)*IFERROR(CU416^SIGN(CU416),1)*IFERROR(CV416^SIGN(CV416),1)</f>
        <v>1584</v>
      </c>
      <c r="DC416" s="242">
        <f t="shared" si="4459"/>
        <v>7424</v>
      </c>
      <c r="DD416" s="222">
        <f t="shared" si="4460"/>
        <v>3.8218390804597702</v>
      </c>
      <c r="DE416" s="223">
        <f t="shared" si="4461"/>
        <v>10.711206896551724</v>
      </c>
      <c r="DF416" s="243">
        <f t="shared" si="4462"/>
        <v>7.4676724137931032</v>
      </c>
      <c r="DG416" s="243">
        <f t="shared" si="4463"/>
        <v>22.000718390804597</v>
      </c>
      <c r="DH416" s="252">
        <f t="shared" si="4464"/>
        <v>0</v>
      </c>
      <c r="DI416" s="309">
        <f t="shared" si="4465"/>
        <v>22.000718390804597</v>
      </c>
      <c r="DJ416" s="218">
        <f>IF(DG416&lt;=0,1,0)+IF(DG416&gt;0,DG416+1,0)*1+IF(DG416&gt;12,DG416-12,0)*1+IF(DG416&gt;13,DG416-13,0)*1+IF(DG416&gt;14,DG416-14,0)*1+IF(DG416&gt;15,DG416-15,0)*1+IF(DG416&gt;16,DG416-16,0)*1+IF(DG416&gt;17,DG416-17,0)*1+IF(DG416&gt;18,DG416-18,0)*1+IF(DG416&gt;19,DG416-19,0)*1+IF(DG416&gt;20,DG416-20,0)*1</f>
        <v>77.007183908045945</v>
      </c>
      <c r="DK416" s="242">
        <f>IF(DH416&lt;=0,1,0)+IF(DH416&gt;0,DH416+1,0)*1+IF(DH416&gt;12,DH416-12,0)*1+IF(DH416&gt;13,DH416-13,0)*1+IF(DH416&gt;14,DH416-14,0)*1+IF(DH416&gt;15,DH416-15,0)*1+IF(DH416&gt;16,DH416-16,0)*1+IF(DH416&gt;17,DH416-17,0)*1+IF(DH416&gt;18,DH416-18,0)*1+IF(DH416&gt;19,DH416-19,0)*1+IF(DH416&gt;20,DH416-20,0)*1</f>
        <v>1</v>
      </c>
      <c r="DL416" s="243">
        <f t="shared" si="4466"/>
        <v>76.007183908045945</v>
      </c>
      <c r="DM416" s="218">
        <f t="shared" si="4467"/>
        <v>0</v>
      </c>
      <c r="DO416" s="325" t="s">
        <v>262</v>
      </c>
      <c r="DP416" s="218" t="s">
        <v>95</v>
      </c>
      <c r="DQ416" s="223" t="s">
        <v>133</v>
      </c>
      <c r="DR416" s="237">
        <f>Konvention_1slave-MUslave</f>
        <v>12</v>
      </c>
      <c r="DS416" s="234">
        <f>Konvention_1slave-KLslave</f>
        <v>12</v>
      </c>
      <c r="DT416" s="234">
        <f t="shared" si="4468"/>
        <v>12</v>
      </c>
      <c r="DU416" s="234"/>
      <c r="DV416" s="234"/>
      <c r="DW416" s="234"/>
      <c r="DX416" s="234"/>
      <c r="DY416" s="224"/>
      <c r="DZ416" s="223">
        <f>(DR416+DS416+DT416+DU416+DV416+DW416+DX416+DY416)/3</f>
        <v>12</v>
      </c>
      <c r="EA416" s="223">
        <f t="shared" si="4469"/>
        <v>24</v>
      </c>
      <c r="EB416" s="234">
        <f t="shared" si="4470"/>
        <v>36</v>
      </c>
      <c r="EC416" s="237">
        <f>DR416*POWER(KLslave,SIGN(DS416))*POWER(INslave,SIGN(DT416))*POWER(CHslave_CH,SIGN(DU416))*POWER(FFslave,SIGN(DV416))*POWER(GEslave,SIGN(DW416))*POWER(KOslave,SIGN(DX416))*POWER(KKslave,SIGN(DY416))+DS416*POWER(MUslave,SIGN(DR416))*POWER(INslave,SIGN(DT416))*POWER(CHslave_CH,SIGN(DU416))*POWER(FFslave,SIGN(DV416))*POWER(GEslave,SIGN(DW416))*POWER(KOslave,SIGN(DX416))*POWER(KKslave,SIGN(DY416))+DT416*POWER(MUslave,SIGN(DR416))*POWER(KLslave,SIGN(DS416))*POWER(CHslave_CH,SIGN(DU416))*POWER(FFslave,SIGN(DV416))*POWER(GEslave,SIGN(DW416))*POWER(KOslave,SIGN(DX416))*POWER(KKslave,SIGN(DY416))+DU416*POWER(MUslave,SIGN(DR416))*POWER(KLslave,SIGN(DS416))*POWER(INslave,SIGN(DT416))*POWER(FFslave,SIGN(DV416))*POWER(GEslave,SIGN(DW416))*POWER(KOslave,SIGN(DX416))*POWER(KKslave,SIGN(DY416))+DV416*POWER(MUslave,SIGN(DR416))*POWER(KLslave,SIGN(DS416))*POWER(INslave,SIGN(DT416))*POWER(CHslave_CH,SIGN(DU416))*POWER(GEslave,SIGN(DW416))*POWER(KOslave,SIGN(DX416))*POWER(KKslave,SIGN(DY416))+DW416*POWER(MUslave,SIGN(DR416))*POWER(KLslave,SIGN(DS416))*POWER(INslave,SIGN(DT416))*POWER(CHslave_CH,SIGN(DU416))*POWER(FFslave,SIGN(DV416))*POWER(KOslave,SIGN(DX416))*POWER(KKslave,SIGN(DY416))+DX416*POWER(MUslave,SIGN(DR416))*POWER(KLslave,SIGN(DS416))*POWER(INslave,SIGN(DT416))*POWER(CHslave_CH,SIGN(DU416))*POWER(FFslave,SIGN(DV416))*POWER(GEslave,SIGN(DW416))*POWER(KKslave,SIGN(DY416))+DY416*POWER(MUslave,SIGN(DR416))*POWER(KLslave,SIGN(DS416))*POWER(INslave,SIGN(DT416))*POWER(CHslave_CH,SIGN(DU416))*POWER(FFslave,SIGN(DV416))*POWER(GEslave,SIGN(DW416))*POWER(KOslave,SIGN(DX416))</f>
        <v>2304</v>
      </c>
      <c r="ED416" s="234">
        <f>DR416*DS416*INslave+DR416*KLslave*DT416+MUslave*DS416*DT416</f>
        <v>3456</v>
      </c>
      <c r="EE416" s="224">
        <f>IFERROR(DR416^SIGN(DR416),1)*IFERROR(DS416^SIGN(DS416),1)*IFERROR(DT416^SIGN(DT416),1)*IFERROR(DU416^SIGN(DU416),1)*IFERROR(DV416^SIGN(DV416),1)*IFERROR(DW416^SIGN(DW416),1)*IFERROR(DX416^SIGN(DX416),1)*IFERROR(DY416^SIGN(DY416),1)</f>
        <v>1728</v>
      </c>
      <c r="EF416" s="242">
        <f t="shared" si="4471"/>
        <v>7488</v>
      </c>
      <c r="EG416" s="222">
        <f t="shared" si="4472"/>
        <v>3.6923076923076925</v>
      </c>
      <c r="EH416" s="223">
        <f t="shared" si="4473"/>
        <v>11.076923076923077</v>
      </c>
      <c r="EI416" s="243">
        <f t="shared" si="4474"/>
        <v>8.3076923076923084</v>
      </c>
      <c r="EJ416" s="243">
        <f t="shared" si="4475"/>
        <v>23.07692307692308</v>
      </c>
      <c r="EK416" s="252">
        <f t="shared" si="4476"/>
        <v>0</v>
      </c>
      <c r="EL416" s="309">
        <f t="shared" si="4477"/>
        <v>23.07692307692308</v>
      </c>
      <c r="EM416" s="218">
        <f>IF(EJ416&lt;=0,1,0)+IF(EJ416&gt;0,EJ416+1,0)*1+IF(EJ416&gt;12,EJ416-12,0)*1+IF(EJ416&gt;13,EJ416-13,0)*1+IF(EJ416&gt;14,EJ416-14,0)*1+IF(EJ416&gt;15,EJ416-15,0)*1+IF(EJ416&gt;16,EJ416-16,0)*1+IF(EJ416&gt;17,EJ416-17,0)*1+IF(EJ416&gt;18,EJ416-18,0)*1+IF(EJ416&gt;19,EJ416-19,0)*1+IF(EJ416&gt;20,EJ416-20,0)*1</f>
        <v>87.769230769230802</v>
      </c>
      <c r="EN416" s="242">
        <f>IF(EK416&lt;=0,1,0)+IF(EK416&gt;0,EK416+1,0)*1+IF(EK416&gt;12,EK416-12,0)*1+IF(EK416&gt;13,EK416-13,0)*1+IF(EK416&gt;14,EK416-14,0)*1+IF(EK416&gt;15,EK416-15,0)*1+IF(EK416&gt;16,EK416-16,0)*1+IF(EK416&gt;17,EK416-17,0)*1+IF(EK416&gt;18,EK416-18,0)*1+IF(EK416&gt;19,EK416-19,0)*1+IF(EK416&gt;20,EK416-20,0)*1</f>
        <v>1</v>
      </c>
      <c r="EO416" s="243">
        <f t="shared" si="4478"/>
        <v>86.769230769230802</v>
      </c>
      <c r="EP416" s="218">
        <f t="shared" si="4479"/>
        <v>0</v>
      </c>
      <c r="ER416" s="325" t="s">
        <v>262</v>
      </c>
      <c r="ES416" s="218" t="s">
        <v>95</v>
      </c>
      <c r="ET416" s="223" t="s">
        <v>133</v>
      </c>
      <c r="EU416" s="237">
        <f>Konvention_1slave-MUslave</f>
        <v>12</v>
      </c>
      <c r="EV416" s="234">
        <f>Konvention_1slave-KLslave</f>
        <v>12</v>
      </c>
      <c r="EW416" s="234">
        <f t="shared" si="4480"/>
        <v>12</v>
      </c>
      <c r="EX416" s="234"/>
      <c r="EY416" s="234"/>
      <c r="EZ416" s="234"/>
      <c r="FA416" s="234"/>
      <c r="FB416" s="224"/>
      <c r="FC416" s="223">
        <f>(EU416+EV416+EW416+EX416+EY416+EZ416+FA416+FB416)/3</f>
        <v>12</v>
      </c>
      <c r="FD416" s="223">
        <f t="shared" si="4481"/>
        <v>24</v>
      </c>
      <c r="FE416" s="234">
        <f t="shared" si="4482"/>
        <v>36</v>
      </c>
      <c r="FF416" s="237">
        <f>EU416*POWER(KLslave,SIGN(EV416))*POWER(INslave,SIGN(EW416))*POWER(CHslave,SIGN(EX416))*POWER(FFslave_FF,SIGN(EY416))*POWER(GEslave,SIGN(EZ416))*POWER(KOslave,SIGN(FA416))*POWER(KKslave,SIGN(FB416))+EV416*POWER(MUslave,SIGN(EU416))*POWER(INslave,SIGN(EW416))*POWER(CHslave,SIGN(EX416))*POWER(FFslave_FF,SIGN(EY416))*POWER(GEslave,SIGN(EZ416))*POWER(KOslave,SIGN(FA416))*POWER(KKslave,SIGN(FB416))+EW416*POWER(MUslave,SIGN(EU416))*POWER(KLslave,SIGN(EV416))*POWER(CHslave,SIGN(EX416))*POWER(FFslave_FF,SIGN(EY416))*POWER(GEslave,SIGN(EZ416))*POWER(KOslave,SIGN(FA416))*POWER(KKslave,SIGN(FB416))+EX416*POWER(MUslave,SIGN(EU416))*POWER(KLslave,SIGN(EV416))*POWER(INslave,SIGN(EW416))*POWER(FFslave_FF,SIGN(EY416))*POWER(GEslave,SIGN(EZ416))*POWER(KOslave,SIGN(FA416))*POWER(KKslave,SIGN(FB416))+EY416*POWER(MUslave,SIGN(EU416))*POWER(KLslave,SIGN(EV416))*POWER(INslave,SIGN(EW416))*POWER(CHslave,SIGN(EX416))*POWER(GEslave,SIGN(EZ416))*POWER(KOslave,SIGN(FA416))*POWER(KKslave,SIGN(FB416))+EZ416*POWER(MUslave,SIGN(EU416))*POWER(KLslave,SIGN(EV416))*POWER(INslave,SIGN(EW416))*POWER(CHslave,SIGN(EX416))*POWER(FFslave_FF,SIGN(EY416))*POWER(KOslave,SIGN(FA416))*POWER(KKslave,SIGN(FB416))+FA416*POWER(MUslave,SIGN(EU416))*POWER(KLslave,SIGN(EV416))*POWER(INslave,SIGN(EW416))*POWER(CHslave,SIGN(EX416))*POWER(FFslave_FF,SIGN(EY416))*POWER(GEslave,SIGN(EZ416))*POWER(KKslave,SIGN(FB416))+FB416*POWER(MUslave,SIGN(EU416))*POWER(KLslave,SIGN(EV416))*POWER(INslave,SIGN(EW416))*POWER(CHslave,SIGN(EX416))*POWER(FFslave_FF,SIGN(EY416))*POWER(GEslave,SIGN(EZ416))*POWER(KOslave,SIGN(FA416))</f>
        <v>2304</v>
      </c>
      <c r="FG416" s="234">
        <f>EU416*EV416*INslave+EU416*KLslave*EW416+MUslave*EV416*EW416</f>
        <v>3456</v>
      </c>
      <c r="FH416" s="224">
        <f>IFERROR(EU416^SIGN(EU416),1)*IFERROR(EV416^SIGN(EV416),1)*IFERROR(EW416^SIGN(EW416),1)*IFERROR(EX416^SIGN(EX416),1)*IFERROR(EY416^SIGN(EY416),1)*IFERROR(EZ416^SIGN(EZ416),1)*IFERROR(FA416^SIGN(FA416),1)*IFERROR(FB416^SIGN(FB416),1)</f>
        <v>1728</v>
      </c>
      <c r="FI416" s="242">
        <f t="shared" si="4483"/>
        <v>7488</v>
      </c>
      <c r="FJ416" s="222">
        <f t="shared" si="4484"/>
        <v>3.6923076923076925</v>
      </c>
      <c r="FK416" s="223">
        <f t="shared" si="4485"/>
        <v>11.076923076923077</v>
      </c>
      <c r="FL416" s="243">
        <f t="shared" si="4486"/>
        <v>8.3076923076923084</v>
      </c>
      <c r="FM416" s="243">
        <f t="shared" si="4487"/>
        <v>23.07692307692308</v>
      </c>
      <c r="FN416" s="252">
        <f t="shared" si="4488"/>
        <v>0</v>
      </c>
      <c r="FO416" s="309">
        <f t="shared" si="4489"/>
        <v>23.07692307692308</v>
      </c>
      <c r="FP416" s="218">
        <f>IF(FM416&lt;=0,1,0)+IF(FM416&gt;0,FM416+1,0)*1+IF(FM416&gt;12,FM416-12,0)*1+IF(FM416&gt;13,FM416-13,0)*1+IF(FM416&gt;14,FM416-14,0)*1+IF(FM416&gt;15,FM416-15,0)*1+IF(FM416&gt;16,FM416-16,0)*1+IF(FM416&gt;17,FM416-17,0)*1+IF(FM416&gt;18,FM416-18,0)*1+IF(FM416&gt;19,FM416-19,0)*1+IF(FM416&gt;20,FM416-20,0)*1</f>
        <v>87.769230769230802</v>
      </c>
      <c r="FQ416" s="242">
        <f>IF(FN416&lt;=0,1,0)+IF(FN416&gt;0,FN416+1,0)*1+IF(FN416&gt;12,FN416-12,0)*1+IF(FN416&gt;13,FN416-13,0)*1+IF(FN416&gt;14,FN416-14,0)*1+IF(FN416&gt;15,FN416-15,0)*1+IF(FN416&gt;16,FN416-16,0)*1+IF(FN416&gt;17,FN416-17,0)*1+IF(FN416&gt;18,FN416-18,0)*1+IF(FN416&gt;19,FN416-19,0)*1+IF(FN416&gt;20,FN416-20,0)*1</f>
        <v>1</v>
      </c>
      <c r="FR416" s="243">
        <f t="shared" si="4490"/>
        <v>86.769230769230802</v>
      </c>
      <c r="FS416" s="218">
        <f t="shared" si="4491"/>
        <v>0</v>
      </c>
      <c r="FU416" s="325" t="s">
        <v>262</v>
      </c>
      <c r="FV416" s="218" t="s">
        <v>95</v>
      </c>
      <c r="FW416" s="223" t="s">
        <v>133</v>
      </c>
      <c r="FX416" s="237">
        <f>Konvention_1slave-MUslave</f>
        <v>12</v>
      </c>
      <c r="FY416" s="234">
        <f>Konvention_1slave-KLslave</f>
        <v>12</v>
      </c>
      <c r="FZ416" s="234">
        <f t="shared" si="4492"/>
        <v>12</v>
      </c>
      <c r="GA416" s="234"/>
      <c r="GB416" s="234"/>
      <c r="GC416" s="234"/>
      <c r="GD416" s="234"/>
      <c r="GE416" s="224"/>
      <c r="GF416" s="223">
        <f>(FX416+FY416+FZ416+GA416+GB416+GC416+GD416+GE416)/3</f>
        <v>12</v>
      </c>
      <c r="GG416" s="223">
        <f t="shared" si="4493"/>
        <v>24</v>
      </c>
      <c r="GH416" s="234">
        <f t="shared" si="4494"/>
        <v>36</v>
      </c>
      <c r="GI416" s="237">
        <f>FX416*POWER(KLslave,SIGN(FY416))*POWER(INslave,SIGN(FZ416))*POWER(CHslave,SIGN(GA416))*POWER(FFslave,SIGN(GB416))*POWER(GEslave_GE,SIGN(GC416))*POWER(KOslave,SIGN(GD416))*POWER(KKslave,SIGN(GE416))+FY416*POWER(MUslave,SIGN(FX416))*POWER(INslave,SIGN(FZ416))*POWER(CHslave,SIGN(GA416))*POWER(FFslave,SIGN(GB416))*POWER(GEslave_GE,SIGN(GC416))*POWER(KOslave,SIGN(GD416))*POWER(KKslave,SIGN(GE416))+FZ416*POWER(MUslave,SIGN(FX416))*POWER(KLslave,SIGN(FY416))*POWER(CHslave,SIGN(GA416))*POWER(FFslave,SIGN(GB416))*POWER(GEslave_GE,SIGN(GC416))*POWER(KOslave,SIGN(GD416))*POWER(KKslave,SIGN(GE416))+GA416*POWER(MUslave,SIGN(FX416))*POWER(KLslave,SIGN(FY416))*POWER(INslave,SIGN(FZ416))*POWER(FFslave,SIGN(GB416))*POWER(GEslave_GE,SIGN(GC416))*POWER(KOslave,SIGN(GD416))*POWER(KKslave,SIGN(GE416))+GB416*POWER(MUslave,SIGN(FX416))*POWER(KLslave,SIGN(FY416))*POWER(INslave,SIGN(FZ416))*POWER(CHslave,SIGN(GA416))*POWER(GEslave_GE,SIGN(GC416))*POWER(KOslave,SIGN(GD416))*POWER(KKslave,SIGN(GE416))+GC416*POWER(MUslave,SIGN(FX416))*POWER(KLslave,SIGN(FY416))*POWER(INslave,SIGN(FZ416))*POWER(CHslave,SIGN(GA416))*POWER(FFslave,SIGN(GB416))*POWER(KOslave,SIGN(GD416))*POWER(KKslave,SIGN(GE416))+GD416*POWER(MUslave,SIGN(FX416))*POWER(KLslave,SIGN(FY416))*POWER(INslave,SIGN(FZ416))*POWER(CHslave,SIGN(GA416))*POWER(FFslave,SIGN(GB416))*POWER(GEslave_GE,SIGN(GC416))*POWER(KKslave,SIGN(GE416))+GE416*POWER(MUslave,SIGN(FX416))*POWER(KLslave,SIGN(FY416))*POWER(INslave,SIGN(FZ416))*POWER(CHslave,SIGN(GA416))*POWER(FFslave,SIGN(GB416))*POWER(GEslave_GE,SIGN(GC416))*POWER(KOslave,SIGN(GD416))</f>
        <v>2304</v>
      </c>
      <c r="GJ416" s="234">
        <f>FX416*FY416*INslave+FX416*KLslave*FZ416+MUslave*FY416*FZ416</f>
        <v>3456</v>
      </c>
      <c r="GK416" s="224">
        <f>IFERROR(FX416^SIGN(FX416),1)*IFERROR(FY416^SIGN(FY416),1)*IFERROR(FZ416^SIGN(FZ416),1)*IFERROR(GA416^SIGN(GA416),1)*IFERROR(GB416^SIGN(GB416),1)*IFERROR(GC416^SIGN(GC416),1)*IFERROR(GD416^SIGN(GD416),1)*IFERROR(GE416^SIGN(GE416),1)</f>
        <v>1728</v>
      </c>
      <c r="GL416" s="242">
        <f t="shared" si="4495"/>
        <v>7488</v>
      </c>
      <c r="GM416" s="222">
        <f t="shared" si="4496"/>
        <v>3.6923076923076925</v>
      </c>
      <c r="GN416" s="223">
        <f t="shared" si="4497"/>
        <v>11.076923076923077</v>
      </c>
      <c r="GO416" s="243">
        <f t="shared" si="4498"/>
        <v>8.3076923076923084</v>
      </c>
      <c r="GP416" s="243">
        <f t="shared" si="4499"/>
        <v>23.07692307692308</v>
      </c>
      <c r="GQ416" s="252">
        <f t="shared" si="4500"/>
        <v>0</v>
      </c>
      <c r="GR416" s="309">
        <f t="shared" si="4501"/>
        <v>23.07692307692308</v>
      </c>
      <c r="GS416" s="218">
        <f>IF(GP416&lt;=0,1,0)+IF(GP416&gt;0,GP416+1,0)*1+IF(GP416&gt;12,GP416-12,0)*1+IF(GP416&gt;13,GP416-13,0)*1+IF(GP416&gt;14,GP416-14,0)*1+IF(GP416&gt;15,GP416-15,0)*1+IF(GP416&gt;16,GP416-16,0)*1+IF(GP416&gt;17,GP416-17,0)*1+IF(GP416&gt;18,GP416-18,0)*1+IF(GP416&gt;19,GP416-19,0)*1+IF(GP416&gt;20,GP416-20,0)*1</f>
        <v>87.769230769230802</v>
      </c>
      <c r="GT416" s="242">
        <f>IF(GQ416&lt;=0,1,0)+IF(GQ416&gt;0,GQ416+1,0)*1+IF(GQ416&gt;12,GQ416-12,0)*1+IF(GQ416&gt;13,GQ416-13,0)*1+IF(GQ416&gt;14,GQ416-14,0)*1+IF(GQ416&gt;15,GQ416-15,0)*1+IF(GQ416&gt;16,GQ416-16,0)*1+IF(GQ416&gt;17,GQ416-17,0)*1+IF(GQ416&gt;18,GQ416-18,0)*1+IF(GQ416&gt;19,GQ416-19,0)*1+IF(GQ416&gt;20,GQ416-20,0)*1</f>
        <v>1</v>
      </c>
      <c r="GU416" s="243">
        <f t="shared" si="4502"/>
        <v>86.769230769230802</v>
      </c>
      <c r="GV416" s="218">
        <f t="shared" si="4503"/>
        <v>0</v>
      </c>
      <c r="GX416" s="325" t="s">
        <v>262</v>
      </c>
      <c r="GY416" s="218" t="s">
        <v>95</v>
      </c>
      <c r="GZ416" s="223" t="s">
        <v>133</v>
      </c>
      <c r="HA416" s="237">
        <f>Konvention_1slave-MUslave</f>
        <v>12</v>
      </c>
      <c r="HB416" s="234">
        <f>Konvention_1slave-KLslave</f>
        <v>12</v>
      </c>
      <c r="HC416" s="234">
        <f t="shared" si="4504"/>
        <v>12</v>
      </c>
      <c r="HD416" s="234"/>
      <c r="HE416" s="234"/>
      <c r="HF416" s="234"/>
      <c r="HG416" s="234"/>
      <c r="HH416" s="224"/>
      <c r="HI416" s="223">
        <f>(HA416+HB416+HC416+HD416+HE416+HF416+HG416+HH416)/3</f>
        <v>12</v>
      </c>
      <c r="HJ416" s="223">
        <f t="shared" si="4505"/>
        <v>24</v>
      </c>
      <c r="HK416" s="234">
        <f t="shared" si="4506"/>
        <v>36</v>
      </c>
      <c r="HL416" s="237">
        <f>HA416*POWER(KLslave,SIGN(HB416))*POWER(INslave,SIGN(HC416))*POWER(CHslave,SIGN(HD416))*POWER(FFslave,SIGN(HE416))*POWER(GEslave,SIGN(HF416))*POWER(KOslave_KO,SIGN(HG416))*POWER(KKslave,SIGN(HH416))+HB416*POWER(MUslave,SIGN(HA416))*POWER(INslave,SIGN(HC416))*POWER(CHslave,SIGN(HD416))*POWER(FFslave,SIGN(HE416))*POWER(GEslave,SIGN(HF416))*POWER(KOslave_KO,SIGN(HG416))*POWER(KKslave,SIGN(HH416))+HC416*POWER(MUslave,SIGN(HA416))*POWER(KLslave,SIGN(HB416))*POWER(CHslave,SIGN(HD416))*POWER(FFslave,SIGN(HE416))*POWER(GEslave,SIGN(HF416))*POWER(KOslave_KO,SIGN(HG416))*POWER(KKslave,SIGN(HH416))+HD416*POWER(MUslave,SIGN(HA416))*POWER(KLslave,SIGN(HB416))*POWER(INslave,SIGN(HC416))*POWER(FFslave,SIGN(HE416))*POWER(GEslave,SIGN(HF416))*POWER(KOslave_KO,SIGN(HG416))*POWER(KKslave,SIGN(HH416))+HE416*POWER(MUslave,SIGN(HA416))*POWER(KLslave,SIGN(HB416))*POWER(INslave,SIGN(HC416))*POWER(CHslave,SIGN(HD416))*POWER(GEslave,SIGN(HF416))*POWER(KOslave_KO,SIGN(HG416))*POWER(KKslave,SIGN(HH416))+HF416*POWER(MUslave,SIGN(HA416))*POWER(KLslave,SIGN(HB416))*POWER(INslave,SIGN(HC416))*POWER(CHslave,SIGN(HD416))*POWER(FFslave,SIGN(HE416))*POWER(KOslave_KO,SIGN(HG416))*POWER(KKslave,SIGN(HH416))+HG416*POWER(MUslave,SIGN(HA416))*POWER(KLslave,SIGN(HB416))*POWER(INslave,SIGN(HC416))*POWER(CHslave,SIGN(HD416))*POWER(FFslave,SIGN(HE416))*POWER(GEslave,SIGN(HF416))*POWER(KKslave,SIGN(HH416))+HH416*POWER(MUslave,SIGN(HA416))*POWER(KLslave,SIGN(HB416))*POWER(INslave,SIGN(HC416))*POWER(CHslave,SIGN(HD416))*POWER(FFslave,SIGN(HE416))*POWER(GEslave,SIGN(HF416))*POWER(KOslave_KO,SIGN(HG416))</f>
        <v>2304</v>
      </c>
      <c r="HM416" s="234">
        <f>HA416*HB416*INslave+HA416*KLslave*HC416+MUslave*HB416*HC416</f>
        <v>3456</v>
      </c>
      <c r="HN416" s="224">
        <f>IFERROR(HA416^SIGN(HA416),1)*IFERROR(HB416^SIGN(HB416),1)*IFERROR(HC416^SIGN(HC416),1)*IFERROR(HD416^SIGN(HD416),1)*IFERROR(HE416^SIGN(HE416),1)*IFERROR(HF416^SIGN(HF416),1)*IFERROR(HG416^SIGN(HG416),1)*IFERROR(HH416^SIGN(HH416),1)</f>
        <v>1728</v>
      </c>
      <c r="HO416" s="242">
        <f t="shared" si="4507"/>
        <v>7488</v>
      </c>
      <c r="HP416" s="222">
        <f t="shared" si="4508"/>
        <v>3.6923076923076925</v>
      </c>
      <c r="HQ416" s="223">
        <f t="shared" si="4509"/>
        <v>11.076923076923077</v>
      </c>
      <c r="HR416" s="243">
        <f t="shared" si="4510"/>
        <v>8.3076923076923084</v>
      </c>
      <c r="HS416" s="243">
        <f t="shared" si="4511"/>
        <v>23.07692307692308</v>
      </c>
      <c r="HT416" s="252">
        <f t="shared" si="4512"/>
        <v>0</v>
      </c>
      <c r="HU416" s="309">
        <f t="shared" si="4513"/>
        <v>23.07692307692308</v>
      </c>
      <c r="HV416" s="218">
        <f>IF(HS416&lt;=0,1,0)+IF(HS416&gt;0,HS416+1,0)*1+IF(HS416&gt;12,HS416-12,0)*1+IF(HS416&gt;13,HS416-13,0)*1+IF(HS416&gt;14,HS416-14,0)*1+IF(HS416&gt;15,HS416-15,0)*1+IF(HS416&gt;16,HS416-16,0)*1+IF(HS416&gt;17,HS416-17,0)*1+IF(HS416&gt;18,HS416-18,0)*1+IF(HS416&gt;19,HS416-19,0)*1+IF(HS416&gt;20,HS416-20,0)*1</f>
        <v>87.769230769230802</v>
      </c>
      <c r="HW416" s="242">
        <f>IF(HT416&lt;=0,1,0)+IF(HT416&gt;0,HT416+1,0)*1+IF(HT416&gt;12,HT416-12,0)*1+IF(HT416&gt;13,HT416-13,0)*1+IF(HT416&gt;14,HT416-14,0)*1+IF(HT416&gt;15,HT416-15,0)*1+IF(HT416&gt;16,HT416-16,0)*1+IF(HT416&gt;17,HT416-17,0)*1+IF(HT416&gt;18,HT416-18,0)*1+IF(HT416&gt;19,HT416-19,0)*1+IF(HT416&gt;20,HT416-20,0)*1</f>
        <v>1</v>
      </c>
      <c r="HX416" s="243">
        <f t="shared" si="4514"/>
        <v>86.769230769230802</v>
      </c>
      <c r="HY416" s="218">
        <f t="shared" si="4515"/>
        <v>0</v>
      </c>
      <c r="IA416" s="325" t="s">
        <v>262</v>
      </c>
      <c r="IB416" s="218" t="s">
        <v>95</v>
      </c>
      <c r="IC416" s="223" t="s">
        <v>133</v>
      </c>
      <c r="ID416" s="237">
        <f>Konvention_1slave-MUslave</f>
        <v>12</v>
      </c>
      <c r="IE416" s="234">
        <f>Konvention_1slave-KLslave</f>
        <v>12</v>
      </c>
      <c r="IF416" s="234">
        <f t="shared" si="4516"/>
        <v>12</v>
      </c>
      <c r="IG416" s="234"/>
      <c r="IH416" s="234"/>
      <c r="II416" s="234"/>
      <c r="IJ416" s="234"/>
      <c r="IK416" s="224"/>
      <c r="IL416" s="223">
        <f>(ID416+IE416+IF416+IG416+IH416+II416+IJ416+IK416)/3</f>
        <v>12</v>
      </c>
      <c r="IM416" s="223">
        <f t="shared" si="4517"/>
        <v>24</v>
      </c>
      <c r="IN416" s="234">
        <f t="shared" si="4518"/>
        <v>36</v>
      </c>
      <c r="IO416" s="237">
        <f>ID416*POWER(KLslave,SIGN(IE416))*POWER(INslave,SIGN(IF416))*POWER(CHslave,SIGN(IG416))*POWER(FFslave,SIGN(IH416))*POWER(GEslave,SIGN(II416))*POWER(KOslave,SIGN(IJ416))*POWER(KKslave_KK,SIGN(IK416))+IE416*POWER(MUslave,SIGN(ID416))*POWER(INslave,SIGN(IF416))*POWER(CHslave,SIGN(IG416))*POWER(FFslave,SIGN(IH416))*POWER(GEslave,SIGN(II416))*POWER(KOslave,SIGN(IJ416))*POWER(KKslave_KK,SIGN(IK416))+IF416*POWER(MUslave,SIGN(ID416))*POWER(KLslave,SIGN(IE416))*POWER(CHslave,SIGN(IG416))*POWER(FFslave,SIGN(IH416))*POWER(GEslave,SIGN(II416))*POWER(KOslave,SIGN(IJ416))*POWER(KKslave_KK,SIGN(IK416))+IG416*POWER(MUslave,SIGN(ID416))*POWER(KLslave,SIGN(IE416))*POWER(INslave,SIGN(IF416))*POWER(FFslave,SIGN(IH416))*POWER(GEslave,SIGN(II416))*POWER(KOslave,SIGN(IJ416))*POWER(KKslave_KK,SIGN(IK416))+IH416*POWER(MUslave,SIGN(ID416))*POWER(KLslave,SIGN(IE416))*POWER(INslave,SIGN(IF416))*POWER(CHslave,SIGN(IG416))*POWER(GEslave,SIGN(II416))*POWER(KOslave,SIGN(IJ416))*POWER(KKslave_KK,SIGN(IK416))+II416*POWER(MUslave,SIGN(ID416))*POWER(KLslave,SIGN(IE416))*POWER(INslave,SIGN(IF416))*POWER(CHslave,SIGN(IG416))*POWER(FFslave,SIGN(IH416))*POWER(KOslave,SIGN(IJ416))*POWER(KKslave_KK,SIGN(IK416))+IJ416*POWER(MUslave,SIGN(ID416))*POWER(KLslave,SIGN(IE416))*POWER(INslave,SIGN(IF416))*POWER(CHslave,SIGN(IG416))*POWER(FFslave,SIGN(IH416))*POWER(GEslave,SIGN(II416))*POWER(KKslave_KK,SIGN(IK416))+IK416*POWER(MUslave,SIGN(ID416))*POWER(KLslave,SIGN(IE416))*POWER(INslave,SIGN(IF416))*POWER(CHslave,SIGN(IG416))*POWER(FFslave,SIGN(IH416))*POWER(GEslave,SIGN(II416))*POWER(KOslave,SIGN(IJ416))</f>
        <v>2304</v>
      </c>
      <c r="IP416" s="234">
        <f>ID416*IE416*INslave+ID416*KLslave*IF416+MUslave*IE416*IF416</f>
        <v>3456</v>
      </c>
      <c r="IQ416" s="224">
        <f>IFERROR(ID416^SIGN(ID416),1)*IFERROR(IE416^SIGN(IE416),1)*IFERROR(IF416^SIGN(IF416),1)*IFERROR(IG416^SIGN(IG416),1)*IFERROR(IH416^SIGN(IH416),1)*IFERROR(II416^SIGN(II416),1)*IFERROR(IJ416^SIGN(IJ416),1)*IFERROR(IK416^SIGN(IK416),1)</f>
        <v>1728</v>
      </c>
      <c r="IR416" s="242">
        <f t="shared" si="4519"/>
        <v>7488</v>
      </c>
      <c r="IS416" s="222">
        <f t="shared" si="4520"/>
        <v>3.6923076923076925</v>
      </c>
      <c r="IT416" s="223">
        <f t="shared" si="4521"/>
        <v>11.076923076923077</v>
      </c>
      <c r="IU416" s="243">
        <f t="shared" si="4522"/>
        <v>8.3076923076923084</v>
      </c>
      <c r="IV416" s="243">
        <f t="shared" si="4523"/>
        <v>23.07692307692308</v>
      </c>
      <c r="IW416" s="252">
        <f t="shared" si="4524"/>
        <v>0</v>
      </c>
      <c r="IX416" s="309">
        <f t="shared" si="4525"/>
        <v>23.07692307692308</v>
      </c>
      <c r="IY416" s="218">
        <f>IF(IV416&lt;=0,1,0)+IF(IV416&gt;0,IV416+1,0)*1+IF(IV416&gt;12,IV416-12,0)*1+IF(IV416&gt;13,IV416-13,0)*1+IF(IV416&gt;14,IV416-14,0)*1+IF(IV416&gt;15,IV416-15,0)*1+IF(IV416&gt;16,IV416-16,0)*1+IF(IV416&gt;17,IV416-17,0)*1+IF(IV416&gt;18,IV416-18,0)*1+IF(IV416&gt;19,IV416-19,0)*1+IF(IV416&gt;20,IV416-20,0)*1</f>
        <v>87.769230769230802</v>
      </c>
      <c r="IZ416" s="242">
        <f>IF(IW416&lt;=0,1,0)+IF(IW416&gt;0,IW416+1,0)*1+IF(IW416&gt;12,IW416-12,0)*1+IF(IW416&gt;13,IW416-13,0)*1+IF(IW416&gt;14,IW416-14,0)*1+IF(IW416&gt;15,IW416-15,0)*1+IF(IW416&gt;16,IW416-16,0)*1+IF(IW416&gt;17,IW416-17,0)*1+IF(IW416&gt;18,IW416-18,0)*1+IF(IW416&gt;19,IW416-19,0)*1+IF(IW416&gt;20,IW416-20,0)*1</f>
        <v>1</v>
      </c>
      <c r="JA416" s="243">
        <f t="shared" si="4526"/>
        <v>86.769230769230802</v>
      </c>
      <c r="JB416" s="218">
        <f t="shared" si="4527"/>
        <v>0</v>
      </c>
      <c r="JE416" s="148"/>
    </row>
    <row r="417" spans="2:265" ht="15" hidden="1" customHeight="1" outlineLevel="2">
      <c r="B417" s="148">
        <v>7</v>
      </c>
      <c r="C417" s="326" t="e">
        <f>VLOOKUP(AF417,Attribute!C:T,1,FALSE)</f>
        <v>#N/A</v>
      </c>
      <c r="D417" s="159" t="s">
        <v>94</v>
      </c>
      <c r="E417" s="88" t="s">
        <v>132</v>
      </c>
      <c r="F417" s="115"/>
      <c r="G417" s="122">
        <f>Konvention_1master-KLmaster</f>
        <v>12</v>
      </c>
      <c r="H417" s="122">
        <f t="shared" si="4421"/>
        <v>12</v>
      </c>
      <c r="I417" s="122"/>
      <c r="J417" s="122"/>
      <c r="K417" s="122"/>
      <c r="L417" s="122"/>
      <c r="M417" s="123"/>
      <c r="N417" s="226">
        <f>(G417+G417+H417)/3</f>
        <v>12</v>
      </c>
      <c r="O417" s="226">
        <f t="shared" si="4422"/>
        <v>24</v>
      </c>
      <c r="P417" s="235">
        <f t="shared" si="4423"/>
        <v>36</v>
      </c>
      <c r="Q417" s="238">
        <f>G417*POWER(INmaster,SIGN(H417))*POWER(KLmaster,SIGN(G417))+G417*POWER(INmaster,SIGN(H417))*POWER(KLmaster,SIGN(G417))+H417*POWER(KLmaster,SIGN(G417))*POWER(KLmaster,SIGN(G417))</f>
        <v>2304</v>
      </c>
      <c r="R417" s="122">
        <f>G417*G417*INmaster+G417*KLmaster*H417+KLmaster*G417*H417</f>
        <v>3456</v>
      </c>
      <c r="S417" s="227">
        <f>G417*G417*H417</f>
        <v>1728</v>
      </c>
      <c r="T417" s="244">
        <f t="shared" si="4424"/>
        <v>7488</v>
      </c>
      <c r="U417" s="225">
        <f t="shared" si="4425"/>
        <v>3.6923076923076925</v>
      </c>
      <c r="V417" s="226">
        <f t="shared" si="4426"/>
        <v>11.076923076923077</v>
      </c>
      <c r="W417" s="245">
        <f t="shared" si="4427"/>
        <v>8.3076923076923084</v>
      </c>
      <c r="X417" s="245">
        <f t="shared" si="4428"/>
        <v>23.07692307692308</v>
      </c>
      <c r="Y417" s="252">
        <v>0</v>
      </c>
      <c r="Z417" s="198">
        <f t="shared" si="4429"/>
        <v>23.07692307692308</v>
      </c>
      <c r="AA417" s="159">
        <f>IF(X417&lt;=0,2,0)+IF(X417&gt;0,X417+1,0)*2+IF(X417&gt;12,X417-12,0)*2+IF(X417&gt;13,X417-13,0)*2+IF(X417&gt;14,X417-14,0)*2+IF(X417&gt;15,X417-15,0)*2+IF(X417&gt;16,X417-16,0)*2+IF(X417&gt;17,X417-17,0)*2+IF(X417&gt;18,X417-18,0)*2+IF(X417&gt;19,X417-19,0)*2+IF(X417&gt;20,X417-20,0)*2</f>
        <v>175.5384615384616</v>
      </c>
      <c r="AB417" s="161">
        <f>IF(Y417&lt;=0,2,0)+IF(Y417&gt;0,Y417+1,0)*2+IF(Y417&gt;12,Y417-12,0)*2+IF(Y417&gt;13,Y417-13,0)*2+IF(Y417&gt;14,Y417-14,0)*2+IF(Y417&gt;15,Y417-15,0)*2+IF(Y417&gt;16,Y417-16,0)*2+IF(Y417&gt;17,Y417-17,0)*2+IF(Y417&gt;18,Y417-18,0)*2+IF(Y417&gt;19,Y417-19,0)*2+IF(Y417&gt;20,Y417-20,0)*2</f>
        <v>2</v>
      </c>
      <c r="AC417" s="128">
        <f t="shared" si="4430"/>
        <v>173.5384615384616</v>
      </c>
      <c r="AD417" s="159">
        <f t="shared" si="4431"/>
        <v>0</v>
      </c>
      <c r="AF417" s="178" t="s">
        <v>268</v>
      </c>
      <c r="AG417" s="159" t="s">
        <v>94</v>
      </c>
      <c r="AH417" s="88" t="s">
        <v>132</v>
      </c>
      <c r="AI417" s="115"/>
      <c r="AJ417" s="122">
        <f>Konvention_1slave-KLslave</f>
        <v>12</v>
      </c>
      <c r="AK417" s="122">
        <f t="shared" si="4432"/>
        <v>12</v>
      </c>
      <c r="AL417" s="122"/>
      <c r="AM417" s="122"/>
      <c r="AN417" s="122"/>
      <c r="AO417" s="122"/>
      <c r="AP417" s="123"/>
      <c r="AQ417" s="88">
        <f>(AJ417+AJ417+AK417)/3</f>
        <v>12</v>
      </c>
      <c r="AR417" s="88">
        <f t="shared" si="4433"/>
        <v>24</v>
      </c>
      <c r="AS417" s="122">
        <f t="shared" si="4434"/>
        <v>36</v>
      </c>
      <c r="AT417" s="115">
        <f>AJ417*POWER(INslave,SIGN(AK417))*POWER(KLslave,SIGN(AJ417))+AJ417*POWER(INslave,SIGN(AK417))*POWER(KLslave,SIGN(AJ417))+AK417*POWER(KLslave,SIGN(AJ417))*POWER(KLslave,SIGN(AJ417))</f>
        <v>2304</v>
      </c>
      <c r="AU417" s="122">
        <f>AJ417*AJ417*INslave+AJ417*KLslave*AK417+KLslave*AJ417*AK417</f>
        <v>3456</v>
      </c>
      <c r="AV417" s="123">
        <f>AJ417*AJ417*AK417</f>
        <v>1728</v>
      </c>
      <c r="AW417" s="161">
        <f t="shared" si="4435"/>
        <v>7488</v>
      </c>
      <c r="AX417" s="90">
        <f t="shared" si="4436"/>
        <v>3.6923076923076925</v>
      </c>
      <c r="AY417" s="88">
        <f t="shared" si="4437"/>
        <v>11.076923076923077</v>
      </c>
      <c r="AZ417" s="128">
        <f t="shared" si="4438"/>
        <v>8.3076923076923084</v>
      </c>
      <c r="BA417" s="128">
        <f t="shared" si="4439"/>
        <v>23.07692307692308</v>
      </c>
      <c r="BB417" s="165">
        <f t="shared" si="4440"/>
        <v>0</v>
      </c>
      <c r="BC417" s="198">
        <f t="shared" si="4441"/>
        <v>23.07692307692308</v>
      </c>
      <c r="BD417" s="159">
        <f>IF(BA417&lt;=0,2,0)+IF(BA417&gt;0,BA417+1,0)*2+IF(BA417&gt;12,BA417-12,0)*2+IF(BA417&gt;13,BA417-13,0)*2+IF(BA417&gt;14,BA417-14,0)*2+IF(BA417&gt;15,BA417-15,0)*2+IF(BA417&gt;16,BA417-16,0)*2+IF(BA417&gt;17,BA417-17,0)*2+IF(BA417&gt;18,BA417-18,0)*2+IF(BA417&gt;19,BA417-19,0)*2+IF(BA417&gt;20,BA417-20,0)*2</f>
        <v>175.5384615384616</v>
      </c>
      <c r="BE417" s="161">
        <f>IF(BB417&lt;=0,2,0)+IF(BB417&gt;0,BB417+1,0)*2+IF(BB417&gt;12,BB417-12,0)*2+IF(BB417&gt;13,BB417-13,0)*2+IF(BB417&gt;14,BB417-14,0)*2+IF(BB417&gt;15,BB417-15,0)*2+IF(BB417&gt;16,BB417-16,0)*2+IF(BB417&gt;17,BB417-17,0)*2+IF(BB417&gt;18,BB417-18,0)*2+IF(BB417&gt;19,BB417-19,0)*2+IF(BB417&gt;20,BB417-20,0)*2</f>
        <v>2</v>
      </c>
      <c r="BF417" s="245">
        <f t="shared" si="4442"/>
        <v>173.5384615384616</v>
      </c>
      <c r="BG417" s="246">
        <f t="shared" si="4443"/>
        <v>0</v>
      </c>
      <c r="BI417" s="326" t="s">
        <v>268</v>
      </c>
      <c r="BJ417" s="246" t="s">
        <v>94</v>
      </c>
      <c r="BK417" s="226" t="s">
        <v>132</v>
      </c>
      <c r="BL417" s="238"/>
      <c r="BM417" s="235">
        <f>Konvention_1slave-KLslave_KL</f>
        <v>11</v>
      </c>
      <c r="BN417" s="235">
        <f t="shared" si="4444"/>
        <v>12</v>
      </c>
      <c r="BO417" s="235"/>
      <c r="BP417" s="235"/>
      <c r="BQ417" s="235"/>
      <c r="BR417" s="235"/>
      <c r="BS417" s="227"/>
      <c r="BT417" s="226">
        <f>(BM417+BM417+BN417)/3</f>
        <v>11.333333333333334</v>
      </c>
      <c r="BU417" s="226">
        <f t="shared" si="4445"/>
        <v>22.666666666666668</v>
      </c>
      <c r="BV417" s="235">
        <f t="shared" si="4446"/>
        <v>34</v>
      </c>
      <c r="BW417" s="238">
        <f>BM417*POWER(INslave,SIGN(BN417))*POWER(KLslave_KL,SIGN(BM417))+BM417*POWER(INslave,SIGN(BN417))*POWER(KLslave_KL,SIGN(BM417))+BN417*POWER(KLslave_KL,SIGN(BM417))*POWER(KLslave_KL,SIGN(BM417))</f>
        <v>2556</v>
      </c>
      <c r="BX417" s="235">
        <f>BM417*BM417*INslave+BM417*KLslave_KL*BN417+KLslave_KL*BM417*BN417</f>
        <v>3344</v>
      </c>
      <c r="BY417" s="227">
        <f>BM417*BM417*BN417</f>
        <v>1452</v>
      </c>
      <c r="BZ417" s="244">
        <f t="shared" si="4447"/>
        <v>7352</v>
      </c>
      <c r="CA417" s="225">
        <f t="shared" si="4448"/>
        <v>3.940152339499456</v>
      </c>
      <c r="CB417" s="226">
        <f t="shared" si="4449"/>
        <v>10.309756982227059</v>
      </c>
      <c r="CC417" s="245">
        <f t="shared" si="4450"/>
        <v>6.714907508161045</v>
      </c>
      <c r="CD417" s="245">
        <f t="shared" si="4451"/>
        <v>20.96481682988756</v>
      </c>
      <c r="CE417" s="252">
        <f t="shared" si="4452"/>
        <v>0</v>
      </c>
      <c r="CF417" s="309">
        <f t="shared" si="4453"/>
        <v>20.96481682988756</v>
      </c>
      <c r="CG417" s="246">
        <f>IF(CD417&lt;=0,2,0)+IF(CD417&gt;0,CD417+1,0)*2+IF(CD417&gt;12,CD417-12,0)*2+IF(CD417&gt;13,CD417-13,0)*2+IF(CD417&gt;14,CD417-14,0)*2+IF(CD417&gt;15,CD417-15,0)*2+IF(CD417&gt;16,CD417-16,0)*2+IF(CD417&gt;17,CD417-17,0)*2+IF(CD417&gt;18,CD417-18,0)*2+IF(CD417&gt;19,CD417-19,0)*2+IF(CD417&gt;20,CD417-20,0)*2</f>
        <v>133.29633659775118</v>
      </c>
      <c r="CH417" s="244">
        <f>IF(CE417&lt;=0,2,0)+IF(CE417&gt;0,CE417+1,0)*2+IF(CE417&gt;12,CE417-12,0)*2+IF(CE417&gt;13,CE417-13,0)*2+IF(CE417&gt;14,CE417-14,0)*2+IF(CE417&gt;15,CE417-15,0)*2+IF(CE417&gt;16,CE417-16,0)*2+IF(CE417&gt;17,CE417-17,0)*2+IF(CE417&gt;18,CE417-18,0)*2+IF(CE417&gt;19,CE417-19,0)*2+IF(CE417&gt;20,CE417-20,0)*2</f>
        <v>2</v>
      </c>
      <c r="CI417" s="245">
        <f t="shared" si="4454"/>
        <v>131.29633659775118</v>
      </c>
      <c r="CJ417" s="246">
        <f t="shared" si="4455"/>
        <v>0</v>
      </c>
      <c r="CL417" s="326" t="s">
        <v>268</v>
      </c>
      <c r="CM417" s="246" t="s">
        <v>94</v>
      </c>
      <c r="CN417" s="226" t="s">
        <v>132</v>
      </c>
      <c r="CO417" s="238"/>
      <c r="CP417" s="235">
        <f>Konvention_1slave-KLslave</f>
        <v>12</v>
      </c>
      <c r="CQ417" s="235">
        <f t="shared" si="4456"/>
        <v>11</v>
      </c>
      <c r="CR417" s="235"/>
      <c r="CS417" s="235"/>
      <c r="CT417" s="235"/>
      <c r="CU417" s="235"/>
      <c r="CV417" s="227"/>
      <c r="CW417" s="226">
        <f>(CP417+CP417+CQ417)/3</f>
        <v>11.666666666666666</v>
      </c>
      <c r="CX417" s="226">
        <f t="shared" si="4457"/>
        <v>23.333333333333332</v>
      </c>
      <c r="CY417" s="235">
        <f t="shared" si="4458"/>
        <v>35</v>
      </c>
      <c r="CZ417" s="238">
        <f>CP417*POWER(INslave_IN,SIGN(CQ417))*POWER(KLslave,SIGN(CP417))+CP417*POWER(INslave_IN,SIGN(CQ417))*POWER(KLslave,SIGN(CP417))+CQ417*POWER(KLslave,SIGN(CP417))*POWER(KLslave,SIGN(CP417))</f>
        <v>2432</v>
      </c>
      <c r="DA417" s="235">
        <f>CP417*CP417*INslave_IN+CP417*KLslave*CQ417+KLslave*CP417*CQ417</f>
        <v>3408</v>
      </c>
      <c r="DB417" s="227">
        <f>CP417*CP417*CQ417</f>
        <v>1584</v>
      </c>
      <c r="DC417" s="244">
        <f t="shared" si="4459"/>
        <v>7424</v>
      </c>
      <c r="DD417" s="225">
        <f t="shared" si="4460"/>
        <v>3.8218390804597702</v>
      </c>
      <c r="DE417" s="226">
        <f t="shared" si="4461"/>
        <v>10.711206896551724</v>
      </c>
      <c r="DF417" s="245">
        <f t="shared" si="4462"/>
        <v>7.4676724137931032</v>
      </c>
      <c r="DG417" s="245">
        <f t="shared" si="4463"/>
        <v>22.000718390804597</v>
      </c>
      <c r="DH417" s="252">
        <f t="shared" si="4464"/>
        <v>0</v>
      </c>
      <c r="DI417" s="309">
        <f t="shared" si="4465"/>
        <v>22.000718390804597</v>
      </c>
      <c r="DJ417" s="246">
        <f>IF(DG417&lt;=0,2,0)+IF(DG417&gt;0,DG417+1,0)*2+IF(DG417&gt;12,DG417-12,0)*2+IF(DG417&gt;13,DG417-13,0)*2+IF(DG417&gt;14,DG417-14,0)*2+IF(DG417&gt;15,DG417-15,0)*2+IF(DG417&gt;16,DG417-16,0)*2+IF(DG417&gt;17,DG417-17,0)*2+IF(DG417&gt;18,DG417-18,0)*2+IF(DG417&gt;19,DG417-19,0)*2+IF(DG417&gt;20,DG417-20,0)*2</f>
        <v>154.01436781609189</v>
      </c>
      <c r="DK417" s="244">
        <f>IF(DH417&lt;=0,2,0)+IF(DH417&gt;0,DH417+1,0)*2+IF(DH417&gt;12,DH417-12,0)*2+IF(DH417&gt;13,DH417-13,0)*2+IF(DH417&gt;14,DH417-14,0)*2+IF(DH417&gt;15,DH417-15,0)*2+IF(DH417&gt;16,DH417-16,0)*2+IF(DH417&gt;17,DH417-17,0)*2+IF(DH417&gt;18,DH417-18,0)*2+IF(DH417&gt;19,DH417-19,0)*2+IF(DH417&gt;20,DH417-20,0)*2</f>
        <v>2</v>
      </c>
      <c r="DL417" s="245">
        <f t="shared" si="4466"/>
        <v>152.01436781609189</v>
      </c>
      <c r="DM417" s="246">
        <f t="shared" si="4467"/>
        <v>0</v>
      </c>
      <c r="DO417" s="326" t="s">
        <v>268</v>
      </c>
      <c r="DP417" s="246" t="s">
        <v>94</v>
      </c>
      <c r="DQ417" s="226" t="s">
        <v>132</v>
      </c>
      <c r="DR417" s="238"/>
      <c r="DS417" s="235">
        <f>Konvention_1slave-KLslave</f>
        <v>12</v>
      </c>
      <c r="DT417" s="235">
        <f t="shared" si="4468"/>
        <v>12</v>
      </c>
      <c r="DU417" s="235"/>
      <c r="DV417" s="235"/>
      <c r="DW417" s="235"/>
      <c r="DX417" s="235"/>
      <c r="DY417" s="227"/>
      <c r="DZ417" s="226">
        <f>(DS417+DS417+DT417)/3</f>
        <v>12</v>
      </c>
      <c r="EA417" s="226">
        <f t="shared" si="4469"/>
        <v>24</v>
      </c>
      <c r="EB417" s="235">
        <f t="shared" si="4470"/>
        <v>36</v>
      </c>
      <c r="EC417" s="238">
        <f>DS417*POWER(INslave,SIGN(DT417))*POWER(KLslave,SIGN(DS417))+DS417*POWER(INslave,SIGN(DT417))*POWER(KLslave,SIGN(DS417))+DT417*POWER(KLslave,SIGN(DS417))*POWER(KLslave,SIGN(DS417))</f>
        <v>2304</v>
      </c>
      <c r="ED417" s="235">
        <f>DS417*DS417*INslave+DS417*KLslave*DT417+KLslave*DS417*DT417</f>
        <v>3456</v>
      </c>
      <c r="EE417" s="227">
        <f>DS417*DS417*DT417</f>
        <v>1728</v>
      </c>
      <c r="EF417" s="244">
        <f t="shared" si="4471"/>
        <v>7488</v>
      </c>
      <c r="EG417" s="225">
        <f t="shared" si="4472"/>
        <v>3.6923076923076925</v>
      </c>
      <c r="EH417" s="226">
        <f t="shared" si="4473"/>
        <v>11.076923076923077</v>
      </c>
      <c r="EI417" s="245">
        <f t="shared" si="4474"/>
        <v>8.3076923076923084</v>
      </c>
      <c r="EJ417" s="245">
        <f t="shared" si="4475"/>
        <v>23.07692307692308</v>
      </c>
      <c r="EK417" s="252">
        <f t="shared" si="4476"/>
        <v>0</v>
      </c>
      <c r="EL417" s="309">
        <f t="shared" si="4477"/>
        <v>23.07692307692308</v>
      </c>
      <c r="EM417" s="246">
        <f>IF(EJ417&lt;=0,2,0)+IF(EJ417&gt;0,EJ417+1,0)*2+IF(EJ417&gt;12,EJ417-12,0)*2+IF(EJ417&gt;13,EJ417-13,0)*2+IF(EJ417&gt;14,EJ417-14,0)*2+IF(EJ417&gt;15,EJ417-15,0)*2+IF(EJ417&gt;16,EJ417-16,0)*2+IF(EJ417&gt;17,EJ417-17,0)*2+IF(EJ417&gt;18,EJ417-18,0)*2+IF(EJ417&gt;19,EJ417-19,0)*2+IF(EJ417&gt;20,EJ417-20,0)*2</f>
        <v>175.5384615384616</v>
      </c>
      <c r="EN417" s="244">
        <f>IF(EK417&lt;=0,2,0)+IF(EK417&gt;0,EK417+1,0)*2+IF(EK417&gt;12,EK417-12,0)*2+IF(EK417&gt;13,EK417-13,0)*2+IF(EK417&gt;14,EK417-14,0)*2+IF(EK417&gt;15,EK417-15,0)*2+IF(EK417&gt;16,EK417-16,0)*2+IF(EK417&gt;17,EK417-17,0)*2+IF(EK417&gt;18,EK417-18,0)*2+IF(EK417&gt;19,EK417-19,0)*2+IF(EK417&gt;20,EK417-20,0)*2</f>
        <v>2</v>
      </c>
      <c r="EO417" s="245">
        <f t="shared" si="4478"/>
        <v>173.5384615384616</v>
      </c>
      <c r="EP417" s="246">
        <f t="shared" si="4479"/>
        <v>0</v>
      </c>
      <c r="ER417" s="326" t="s">
        <v>268</v>
      </c>
      <c r="ES417" s="246" t="s">
        <v>94</v>
      </c>
      <c r="ET417" s="226" t="s">
        <v>132</v>
      </c>
      <c r="EU417" s="238"/>
      <c r="EV417" s="235">
        <f>Konvention_1slave-KLslave</f>
        <v>12</v>
      </c>
      <c r="EW417" s="235">
        <f t="shared" si="4480"/>
        <v>12</v>
      </c>
      <c r="EX417" s="235"/>
      <c r="EY417" s="235"/>
      <c r="EZ417" s="235"/>
      <c r="FA417" s="235"/>
      <c r="FB417" s="227"/>
      <c r="FC417" s="226">
        <f>(EV417+EV417+EW417)/3</f>
        <v>12</v>
      </c>
      <c r="FD417" s="226">
        <f t="shared" si="4481"/>
        <v>24</v>
      </c>
      <c r="FE417" s="235">
        <f t="shared" si="4482"/>
        <v>36</v>
      </c>
      <c r="FF417" s="238">
        <f>EV417*POWER(INslave,SIGN(EW417))*POWER(KLslave,SIGN(EV417))+EV417*POWER(INslave,SIGN(EW417))*POWER(KLslave,SIGN(EV417))+EW417*POWER(KLslave,SIGN(EV417))*POWER(KLslave,SIGN(EV417))</f>
        <v>2304</v>
      </c>
      <c r="FG417" s="235">
        <f>EV417*EV417*INslave+EV417*KLslave*EW417+KLslave*EV417*EW417</f>
        <v>3456</v>
      </c>
      <c r="FH417" s="227">
        <f>EV417*EV417*EW417</f>
        <v>1728</v>
      </c>
      <c r="FI417" s="244">
        <f t="shared" si="4483"/>
        <v>7488</v>
      </c>
      <c r="FJ417" s="225">
        <f t="shared" si="4484"/>
        <v>3.6923076923076925</v>
      </c>
      <c r="FK417" s="226">
        <f t="shared" si="4485"/>
        <v>11.076923076923077</v>
      </c>
      <c r="FL417" s="245">
        <f t="shared" si="4486"/>
        <v>8.3076923076923084</v>
      </c>
      <c r="FM417" s="245">
        <f t="shared" si="4487"/>
        <v>23.07692307692308</v>
      </c>
      <c r="FN417" s="252">
        <f t="shared" si="4488"/>
        <v>0</v>
      </c>
      <c r="FO417" s="309">
        <f t="shared" si="4489"/>
        <v>23.07692307692308</v>
      </c>
      <c r="FP417" s="246">
        <f>IF(FM417&lt;=0,2,0)+IF(FM417&gt;0,FM417+1,0)*2+IF(FM417&gt;12,FM417-12,0)*2+IF(FM417&gt;13,FM417-13,0)*2+IF(FM417&gt;14,FM417-14,0)*2+IF(FM417&gt;15,FM417-15,0)*2+IF(FM417&gt;16,FM417-16,0)*2+IF(FM417&gt;17,FM417-17,0)*2+IF(FM417&gt;18,FM417-18,0)*2+IF(FM417&gt;19,FM417-19,0)*2+IF(FM417&gt;20,FM417-20,0)*2</f>
        <v>175.5384615384616</v>
      </c>
      <c r="FQ417" s="244">
        <f>IF(FN417&lt;=0,2,0)+IF(FN417&gt;0,FN417+1,0)*2+IF(FN417&gt;12,FN417-12,0)*2+IF(FN417&gt;13,FN417-13,0)*2+IF(FN417&gt;14,FN417-14,0)*2+IF(FN417&gt;15,FN417-15,0)*2+IF(FN417&gt;16,FN417-16,0)*2+IF(FN417&gt;17,FN417-17,0)*2+IF(FN417&gt;18,FN417-18,0)*2+IF(FN417&gt;19,FN417-19,0)*2+IF(FN417&gt;20,FN417-20,0)*2</f>
        <v>2</v>
      </c>
      <c r="FR417" s="245">
        <f t="shared" si="4490"/>
        <v>173.5384615384616</v>
      </c>
      <c r="FS417" s="246">
        <f t="shared" si="4491"/>
        <v>0</v>
      </c>
      <c r="FU417" s="326" t="s">
        <v>268</v>
      </c>
      <c r="FV417" s="246" t="s">
        <v>94</v>
      </c>
      <c r="FW417" s="226" t="s">
        <v>132</v>
      </c>
      <c r="FX417" s="238"/>
      <c r="FY417" s="235">
        <f>Konvention_1slave-KLslave</f>
        <v>12</v>
      </c>
      <c r="FZ417" s="235">
        <f t="shared" si="4492"/>
        <v>12</v>
      </c>
      <c r="GA417" s="235"/>
      <c r="GB417" s="235"/>
      <c r="GC417" s="235"/>
      <c r="GD417" s="235"/>
      <c r="GE417" s="227"/>
      <c r="GF417" s="226">
        <f>(FY417+FY417+FZ417)/3</f>
        <v>12</v>
      </c>
      <c r="GG417" s="226">
        <f t="shared" si="4493"/>
        <v>24</v>
      </c>
      <c r="GH417" s="235">
        <f t="shared" si="4494"/>
        <v>36</v>
      </c>
      <c r="GI417" s="238">
        <f>FY417*POWER(INslave,SIGN(FZ417))*POWER(KLslave,SIGN(FY417))+FY417*POWER(INslave,SIGN(FZ417))*POWER(KLslave,SIGN(FY417))+FZ417*POWER(KLslave,SIGN(FY417))*POWER(KLslave,SIGN(FY417))</f>
        <v>2304</v>
      </c>
      <c r="GJ417" s="235">
        <f>FY417*FY417*INslave+FY417*KLslave*FZ417+KLslave*FY417*FZ417</f>
        <v>3456</v>
      </c>
      <c r="GK417" s="227">
        <f>FY417*FY417*FZ417</f>
        <v>1728</v>
      </c>
      <c r="GL417" s="244">
        <f t="shared" si="4495"/>
        <v>7488</v>
      </c>
      <c r="GM417" s="225">
        <f t="shared" si="4496"/>
        <v>3.6923076923076925</v>
      </c>
      <c r="GN417" s="226">
        <f t="shared" si="4497"/>
        <v>11.076923076923077</v>
      </c>
      <c r="GO417" s="245">
        <f t="shared" si="4498"/>
        <v>8.3076923076923084</v>
      </c>
      <c r="GP417" s="245">
        <f t="shared" si="4499"/>
        <v>23.07692307692308</v>
      </c>
      <c r="GQ417" s="252">
        <f t="shared" si="4500"/>
        <v>0</v>
      </c>
      <c r="GR417" s="309">
        <f t="shared" si="4501"/>
        <v>23.07692307692308</v>
      </c>
      <c r="GS417" s="246">
        <f>IF(GP417&lt;=0,2,0)+IF(GP417&gt;0,GP417+1,0)*2+IF(GP417&gt;12,GP417-12,0)*2+IF(GP417&gt;13,GP417-13,0)*2+IF(GP417&gt;14,GP417-14,0)*2+IF(GP417&gt;15,GP417-15,0)*2+IF(GP417&gt;16,GP417-16,0)*2+IF(GP417&gt;17,GP417-17,0)*2+IF(GP417&gt;18,GP417-18,0)*2+IF(GP417&gt;19,GP417-19,0)*2+IF(GP417&gt;20,GP417-20,0)*2</f>
        <v>175.5384615384616</v>
      </c>
      <c r="GT417" s="244">
        <f>IF(GQ417&lt;=0,2,0)+IF(GQ417&gt;0,GQ417+1,0)*2+IF(GQ417&gt;12,GQ417-12,0)*2+IF(GQ417&gt;13,GQ417-13,0)*2+IF(GQ417&gt;14,GQ417-14,0)*2+IF(GQ417&gt;15,GQ417-15,0)*2+IF(GQ417&gt;16,GQ417-16,0)*2+IF(GQ417&gt;17,GQ417-17,0)*2+IF(GQ417&gt;18,GQ417-18,0)*2+IF(GQ417&gt;19,GQ417-19,0)*2+IF(GQ417&gt;20,GQ417-20,0)*2</f>
        <v>2</v>
      </c>
      <c r="GU417" s="245">
        <f t="shared" si="4502"/>
        <v>173.5384615384616</v>
      </c>
      <c r="GV417" s="246">
        <f t="shared" si="4503"/>
        <v>0</v>
      </c>
      <c r="GX417" s="326" t="s">
        <v>268</v>
      </c>
      <c r="GY417" s="246" t="s">
        <v>94</v>
      </c>
      <c r="GZ417" s="226" t="s">
        <v>132</v>
      </c>
      <c r="HA417" s="238"/>
      <c r="HB417" s="235">
        <f>Konvention_1slave-KLslave</f>
        <v>12</v>
      </c>
      <c r="HC417" s="235">
        <f t="shared" si="4504"/>
        <v>12</v>
      </c>
      <c r="HD417" s="235"/>
      <c r="HE417" s="235"/>
      <c r="HF417" s="235"/>
      <c r="HG417" s="235"/>
      <c r="HH417" s="227"/>
      <c r="HI417" s="226">
        <f>(HB417+HB417+HC417)/3</f>
        <v>12</v>
      </c>
      <c r="HJ417" s="226">
        <f t="shared" si="4505"/>
        <v>24</v>
      </c>
      <c r="HK417" s="235">
        <f t="shared" si="4506"/>
        <v>36</v>
      </c>
      <c r="HL417" s="238">
        <f>HB417*POWER(INslave,SIGN(HC417))*POWER(KLslave,SIGN(HB417))+HB417*POWER(INslave,SIGN(HC417))*POWER(KLslave,SIGN(HB417))+HC417*POWER(KLslave,SIGN(HB417))*POWER(KLslave,SIGN(HB417))</f>
        <v>2304</v>
      </c>
      <c r="HM417" s="235">
        <f>HB417*HB417*INslave+HB417*KLslave*HC417+KLslave*HB417*HC417</f>
        <v>3456</v>
      </c>
      <c r="HN417" s="227">
        <f>HB417*HB417*HC417</f>
        <v>1728</v>
      </c>
      <c r="HO417" s="244">
        <f t="shared" si="4507"/>
        <v>7488</v>
      </c>
      <c r="HP417" s="225">
        <f t="shared" si="4508"/>
        <v>3.6923076923076925</v>
      </c>
      <c r="HQ417" s="226">
        <f t="shared" si="4509"/>
        <v>11.076923076923077</v>
      </c>
      <c r="HR417" s="245">
        <f t="shared" si="4510"/>
        <v>8.3076923076923084</v>
      </c>
      <c r="HS417" s="245">
        <f t="shared" si="4511"/>
        <v>23.07692307692308</v>
      </c>
      <c r="HT417" s="252">
        <f t="shared" si="4512"/>
        <v>0</v>
      </c>
      <c r="HU417" s="309">
        <f t="shared" si="4513"/>
        <v>23.07692307692308</v>
      </c>
      <c r="HV417" s="246">
        <f>IF(HS417&lt;=0,2,0)+IF(HS417&gt;0,HS417+1,0)*2+IF(HS417&gt;12,HS417-12,0)*2+IF(HS417&gt;13,HS417-13,0)*2+IF(HS417&gt;14,HS417-14,0)*2+IF(HS417&gt;15,HS417-15,0)*2+IF(HS417&gt;16,HS417-16,0)*2+IF(HS417&gt;17,HS417-17,0)*2+IF(HS417&gt;18,HS417-18,0)*2+IF(HS417&gt;19,HS417-19,0)*2+IF(HS417&gt;20,HS417-20,0)*2</f>
        <v>175.5384615384616</v>
      </c>
      <c r="HW417" s="244">
        <f>IF(HT417&lt;=0,2,0)+IF(HT417&gt;0,HT417+1,0)*2+IF(HT417&gt;12,HT417-12,0)*2+IF(HT417&gt;13,HT417-13,0)*2+IF(HT417&gt;14,HT417-14,0)*2+IF(HT417&gt;15,HT417-15,0)*2+IF(HT417&gt;16,HT417-16,0)*2+IF(HT417&gt;17,HT417-17,0)*2+IF(HT417&gt;18,HT417-18,0)*2+IF(HT417&gt;19,HT417-19,0)*2+IF(HT417&gt;20,HT417-20,0)*2</f>
        <v>2</v>
      </c>
      <c r="HX417" s="245">
        <f t="shared" si="4514"/>
        <v>173.5384615384616</v>
      </c>
      <c r="HY417" s="246">
        <f t="shared" si="4515"/>
        <v>0</v>
      </c>
      <c r="IA417" s="326" t="s">
        <v>268</v>
      </c>
      <c r="IB417" s="246" t="s">
        <v>94</v>
      </c>
      <c r="IC417" s="226" t="s">
        <v>132</v>
      </c>
      <c r="ID417" s="238"/>
      <c r="IE417" s="235">
        <f>Konvention_1slave-KLslave</f>
        <v>12</v>
      </c>
      <c r="IF417" s="235">
        <f t="shared" si="4516"/>
        <v>12</v>
      </c>
      <c r="IG417" s="235"/>
      <c r="IH417" s="235"/>
      <c r="II417" s="235"/>
      <c r="IJ417" s="235"/>
      <c r="IK417" s="227"/>
      <c r="IL417" s="226">
        <f>(IE417+IE417+IF417)/3</f>
        <v>12</v>
      </c>
      <c r="IM417" s="226">
        <f t="shared" si="4517"/>
        <v>24</v>
      </c>
      <c r="IN417" s="235">
        <f t="shared" si="4518"/>
        <v>36</v>
      </c>
      <c r="IO417" s="238">
        <f>IE417*POWER(INslave,SIGN(IF417))*POWER(KLslave,SIGN(IE417))+IE417*POWER(INslave,SIGN(IF417))*POWER(KLslave,SIGN(IE417))+IF417*POWER(KLslave,SIGN(IE417))*POWER(KLslave,SIGN(IE417))</f>
        <v>2304</v>
      </c>
      <c r="IP417" s="235">
        <f>IE417*IE417*INslave+IE417*KLslave*IF417+KLslave*IE417*IF417</f>
        <v>3456</v>
      </c>
      <c r="IQ417" s="227">
        <f>IE417*IE417*IF417</f>
        <v>1728</v>
      </c>
      <c r="IR417" s="244">
        <f t="shared" si="4519"/>
        <v>7488</v>
      </c>
      <c r="IS417" s="225">
        <f t="shared" si="4520"/>
        <v>3.6923076923076925</v>
      </c>
      <c r="IT417" s="226">
        <f t="shared" si="4521"/>
        <v>11.076923076923077</v>
      </c>
      <c r="IU417" s="245">
        <f t="shared" si="4522"/>
        <v>8.3076923076923084</v>
      </c>
      <c r="IV417" s="245">
        <f t="shared" si="4523"/>
        <v>23.07692307692308</v>
      </c>
      <c r="IW417" s="252">
        <f t="shared" si="4524"/>
        <v>0</v>
      </c>
      <c r="IX417" s="309">
        <f t="shared" si="4525"/>
        <v>23.07692307692308</v>
      </c>
      <c r="IY417" s="246">
        <f>IF(IV417&lt;=0,2,0)+IF(IV417&gt;0,IV417+1,0)*2+IF(IV417&gt;12,IV417-12,0)*2+IF(IV417&gt;13,IV417-13,0)*2+IF(IV417&gt;14,IV417-14,0)*2+IF(IV417&gt;15,IV417-15,0)*2+IF(IV417&gt;16,IV417-16,0)*2+IF(IV417&gt;17,IV417-17,0)*2+IF(IV417&gt;18,IV417-18,0)*2+IF(IV417&gt;19,IV417-19,0)*2+IF(IV417&gt;20,IV417-20,0)*2</f>
        <v>175.5384615384616</v>
      </c>
      <c r="IZ417" s="244">
        <f>IF(IW417&lt;=0,2,0)+IF(IW417&gt;0,IW417+1,0)*2+IF(IW417&gt;12,IW417-12,0)*2+IF(IW417&gt;13,IW417-13,0)*2+IF(IW417&gt;14,IW417-14,0)*2+IF(IW417&gt;15,IW417-15,0)*2+IF(IW417&gt;16,IW417-16,0)*2+IF(IW417&gt;17,IW417-17,0)*2+IF(IW417&gt;18,IW417-18,0)*2+IF(IW417&gt;19,IW417-19,0)*2+IF(IW417&gt;20,IW417-20,0)*2</f>
        <v>2</v>
      </c>
      <c r="JA417" s="245">
        <f t="shared" si="4526"/>
        <v>173.5384615384616</v>
      </c>
      <c r="JB417" s="246">
        <f t="shared" si="4527"/>
        <v>0</v>
      </c>
      <c r="JE417" s="148"/>
    </row>
    <row r="418" spans="2:265" ht="15" hidden="1" customHeight="1" outlineLevel="1" collapsed="1">
      <c r="B418" s="134" t="s">
        <v>324</v>
      </c>
      <c r="C418" s="307" t="s">
        <v>281</v>
      </c>
      <c r="D418" s="84" t="s">
        <v>279</v>
      </c>
      <c r="E418" s="84" t="s">
        <v>280</v>
      </c>
      <c r="Y418" s="251"/>
      <c r="Z418" s="197"/>
      <c r="AF418" s="83" t="s">
        <v>281</v>
      </c>
      <c r="AG418" s="84" t="s">
        <v>279</v>
      </c>
      <c r="AH418" s="84" t="s">
        <v>280</v>
      </c>
      <c r="BB418" s="197"/>
      <c r="BC418" s="197"/>
      <c r="BI418" s="307" t="s">
        <v>281</v>
      </c>
      <c r="BJ418" s="308" t="s">
        <v>279</v>
      </c>
      <c r="BK418" s="308" t="s">
        <v>280</v>
      </c>
      <c r="CE418" s="251"/>
      <c r="CF418" s="251"/>
      <c r="CL418" s="307" t="s">
        <v>281</v>
      </c>
      <c r="CM418" s="308" t="s">
        <v>279</v>
      </c>
      <c r="CN418" s="308" t="s">
        <v>280</v>
      </c>
      <c r="DH418" s="251"/>
      <c r="DI418" s="251"/>
      <c r="DO418" s="307" t="s">
        <v>281</v>
      </c>
      <c r="DP418" s="308" t="s">
        <v>279</v>
      </c>
      <c r="DQ418" s="308" t="s">
        <v>280</v>
      </c>
      <c r="EK418" s="251"/>
      <c r="EL418" s="251"/>
      <c r="ER418" s="307" t="s">
        <v>281</v>
      </c>
      <c r="ES418" s="308" t="s">
        <v>279</v>
      </c>
      <c r="ET418" s="308" t="s">
        <v>280</v>
      </c>
      <c r="FN418" s="251"/>
      <c r="FO418" s="251"/>
      <c r="FU418" s="307" t="s">
        <v>281</v>
      </c>
      <c r="FV418" s="308" t="s">
        <v>279</v>
      </c>
      <c r="FW418" s="308" t="s">
        <v>280</v>
      </c>
      <c r="GQ418" s="251"/>
      <c r="GR418" s="251"/>
      <c r="GX418" s="307" t="s">
        <v>281</v>
      </c>
      <c r="GY418" s="308" t="s">
        <v>279</v>
      </c>
      <c r="GZ418" s="308" t="s">
        <v>280</v>
      </c>
      <c r="HT418" s="251"/>
      <c r="HU418" s="251"/>
      <c r="IA418" s="307" t="s">
        <v>281</v>
      </c>
      <c r="IB418" s="308" t="s">
        <v>279</v>
      </c>
      <c r="IC418" s="308" t="s">
        <v>280</v>
      </c>
      <c r="IW418" s="251"/>
      <c r="IX418" s="251"/>
      <c r="JE418" s="148"/>
    </row>
    <row r="419" spans="2:265" ht="15" hidden="1" customHeight="1" outlineLevel="2">
      <c r="B419" s="148">
        <v>1</v>
      </c>
      <c r="C419" s="323" t="e">
        <f>VLOOKUP(AF419,Attribute!C:T,1,FALSE)</f>
        <v>#N/A</v>
      </c>
      <c r="D419" s="85" t="s">
        <v>86</v>
      </c>
      <c r="E419" s="116" t="s">
        <v>132</v>
      </c>
      <c r="F419" s="191">
        <f>Konvention_1master-MUmaster</f>
        <v>12</v>
      </c>
      <c r="G419" s="118"/>
      <c r="H419" s="118">
        <f>Konvention_1master-INmaster</f>
        <v>12</v>
      </c>
      <c r="I419" s="118">
        <f>Konvention_1master-CHmaster</f>
        <v>12</v>
      </c>
      <c r="J419" s="118"/>
      <c r="K419" s="118"/>
      <c r="L419" s="118"/>
      <c r="M419" s="92"/>
      <c r="N419" s="220">
        <f>(F419+G419+H419+I419+J419+K419+L419+M419)/3</f>
        <v>12</v>
      </c>
      <c r="O419" s="220">
        <f>2*N419</f>
        <v>24</v>
      </c>
      <c r="P419" s="233">
        <f>3*N419</f>
        <v>36</v>
      </c>
      <c r="Q419" s="236">
        <f>F419*POWER(KLmaster,SIGN(G419))*POWER(INmaster,SIGN(H419))*POWER(CHmaster,SIGN(I419))*POWER(FFmaster,SIGN(J419))*POWER(GEmaster,SIGN(K419))*POWER(KOmaster,SIGN(L419))*POWER(KKmaster,SIGN(M419))+G419*POWER(MUmaster,SIGN(F419))*POWER(INmaster,SIGN(H419))*POWER(CHmaster,SIGN(I419))*POWER(FFmaster,SIGN(J419))*POWER(GEmaster,SIGN(K419))*POWER(KOmaster,SIGN(L419))*POWER(KKmaster,SIGN(M419))+H419*POWER(MUmaster,SIGN(F419))*POWER(KLmaster,SIGN(G419))*POWER(CHmaster,SIGN(I419))*POWER(FFmaster,SIGN(J419))*POWER(GEmaster,SIGN(K419))*POWER(KOmaster,SIGN(L419))*POWER(KKmaster,SIGN(M419))+I419*POWER(MUmaster,SIGN(F419))*POWER(KLmaster,SIGN(G419))*POWER(INmaster,SIGN(H419))*POWER(FFmaster,SIGN(J419))*POWER(GEmaster,SIGN(K419))*POWER(KOmaster,SIGN(L419))*POWER(KKmaster,SIGN(M419))+J419*POWER(MUmaster,SIGN(F419))*POWER(KLmaster,SIGN(G419))*POWER(INmaster,SIGN(H419))*POWER(CHmaster,SIGN(I419))*POWER(GEmaster,SIGN(K419))*POWER(KOmaster,SIGN(L419))*POWER(KKmaster,SIGN(M419))+K419*POWER(MUmaster,SIGN(F419))*POWER(KLmaster,SIGN(G419))*POWER(INmaster,SIGN(H419))*POWER(CHmaster,SIGN(I419))*POWER(FFmaster,SIGN(J419))*POWER(KOmaster,SIGN(L419))*POWER(KKmaster,SIGN(M419))+L419*POWER(MUmaster,SIGN(F419))*POWER(KLmaster,SIGN(G419))*POWER(INmaster,SIGN(H419))*POWER(CHmaster,SIGN(I419))*POWER(FFmaster,SIGN(J419))*POWER(GEmaster,SIGN(K419))*POWER(KKmaster,SIGN(M419))+M419*POWER(MUmaster,SIGN(F419))*POWER(KLmaster,SIGN(G419))*POWER(INmaster,SIGN(H419))*POWER(CHmaster,SIGN(I419))*POWER(FFmaster,SIGN(J419))*POWER(GEmaster,SIGN(K419))*POWER(KOmaster,SIGN(L419))</f>
        <v>2304</v>
      </c>
      <c r="R419" s="118">
        <f>F419*H419*CHmaster+F419*INmaster*I419+MUmaster*H419*I419</f>
        <v>3456</v>
      </c>
      <c r="S419" s="221">
        <f>IFERROR(F419^SIGN(F419),1)*IFERROR(G419^SIGN(G419),1)*IFERROR(H419^SIGN(H419),1)*IFERROR(I419^SIGN(I419),1)*IFERROR(J419^SIGN(J419),1)*IFERROR(K419^SIGN(K419),1)*IFERROR(L419^SIGN(L419),1)*IFERROR(M419^SIGN(M419),1)</f>
        <v>1728</v>
      </c>
      <c r="T419" s="78">
        <f>SUM(Q419:S419)</f>
        <v>7488</v>
      </c>
      <c r="U419" s="219">
        <f>N419*Q419/T419</f>
        <v>3.6923076923076925</v>
      </c>
      <c r="V419" s="220">
        <f>O419*R419/T419</f>
        <v>11.076923076923077</v>
      </c>
      <c r="W419" s="241">
        <f>P419*S419/T419</f>
        <v>8.3076923076923084</v>
      </c>
      <c r="X419" s="241">
        <f>SUM(U419:W419)</f>
        <v>23.07692307692308</v>
      </c>
      <c r="Y419" s="252">
        <v>0</v>
      </c>
      <c r="Z419" s="198">
        <f>X419-Y419</f>
        <v>23.07692307692308</v>
      </c>
      <c r="AA419" s="158">
        <f t="shared" ref="AA419:AB422" si="4528">IF(X419&lt;=0,2,0)+IF(X419&gt;0,X419+1,0)*2+IF(X419&gt;12,X419-12,0)*2+IF(X419&gt;13,X419-13,0)*2+IF(X419&gt;14,X419-14,0)*2+IF(X419&gt;15,X419-15,0)*2+IF(X419&gt;16,X419-16,0)*2+IF(X419&gt;17,X419-17,0)*2+IF(X419&gt;18,X419-18,0)*2+IF(X419&gt;19,X419-19,0)*2+IF(X419&gt;20,X419-20,0)*2</f>
        <v>175.5384615384616</v>
      </c>
      <c r="AB419" s="91">
        <f t="shared" si="4528"/>
        <v>2</v>
      </c>
      <c r="AC419" s="126">
        <f>IF((AA419-AB419)&gt;0,AA419-AB419,0)</f>
        <v>173.5384615384616</v>
      </c>
      <c r="AD419" s="158">
        <f>IF((AB419-AA419)&gt;0,AB419-AA419,0)</f>
        <v>0</v>
      </c>
      <c r="AF419" s="176" t="s">
        <v>243</v>
      </c>
      <c r="AG419" s="158" t="s">
        <v>86</v>
      </c>
      <c r="AH419" s="116" t="s">
        <v>132</v>
      </c>
      <c r="AI419" s="191">
        <f>Konvention_1slave-MUslave_MU</f>
        <v>11</v>
      </c>
      <c r="AJ419" s="118"/>
      <c r="AK419" s="118">
        <f>Konvention_1slave-INslave</f>
        <v>12</v>
      </c>
      <c r="AL419" s="118">
        <f>Konvention_1slave-CHslave</f>
        <v>12</v>
      </c>
      <c r="AM419" s="118"/>
      <c r="AN419" s="118"/>
      <c r="AO419" s="118"/>
      <c r="AP419" s="92"/>
      <c r="AQ419" s="116">
        <f>(AI419+AJ419+AK419+AL419+AM419+AN419+AO419+AP419)/3</f>
        <v>11.666666666666666</v>
      </c>
      <c r="AR419" s="116">
        <f>2*AQ419</f>
        <v>23.333333333333332</v>
      </c>
      <c r="AS419" s="118">
        <f>3*AQ419</f>
        <v>35</v>
      </c>
      <c r="AT419" s="191">
        <f>AI419*POWER(KLslave,SIGN(AJ419))*POWER(INslave,SIGN(AK419))*POWER(CHslave,SIGN(AL419))*POWER(FFslave,SIGN(AM419))*POWER(GEslave,SIGN(AN419))*POWER(KOslave,SIGN(AO419))*POWER(KKslave,SIGN(AP419))+AJ419*POWER(MUslave_MU,SIGN(AI419))*POWER(INslave,SIGN(AK419))*POWER(CHslave,SIGN(AL419))*POWER(FFslave,SIGN(AM419))*POWER(GEslave,SIGN(AN419))*POWER(KOslave,SIGN(AO419))*POWER(KKslave,SIGN(AP419))+AK419*POWER(MUslave_MU,SIGN(AI419))*POWER(KLslave,SIGN(AJ419))*POWER(CHslave,SIGN(AL419))*POWER(FFslave,SIGN(AM419))*POWER(GEslave,SIGN(AN419))*POWER(KOslave,SIGN(AO419))*POWER(KKslave,SIGN(AP419))+AL419*POWER(MUslave_MU,SIGN(AI419))*POWER(KLslave,SIGN(AJ419))*POWER(INslave,SIGN(AK419))*POWER(FFslave,SIGN(AM419))*POWER(GEslave,SIGN(AN419))*POWER(KOslave,SIGN(AO419))*POWER(KKslave,SIGN(AP419))+AM419*POWER(MUslave_MU,SIGN(AI419))*POWER(KLslave,SIGN(AJ419))*POWER(INslave,SIGN(AK419))*POWER(CHslave,SIGN(AL419))*POWER(GEslave,SIGN(AN419))*POWER(KOslave,SIGN(AO419))*POWER(KKslave,SIGN(AP419))+AN419*POWER(MUslave_MU,SIGN(AI419))*POWER(KLslave,SIGN(AJ419))*POWER(INslave,SIGN(AK419))*POWER(CHslave,SIGN(AL419))*POWER(FFslave,SIGN(AM419))*POWER(KOslave,SIGN(AO419))*POWER(KKslave,SIGN(AP419))+AO419*POWER(MUslave_MU,SIGN(AI419))*POWER(KLslave,SIGN(AJ419))*POWER(INslave,SIGN(AK419))*POWER(CHslave,SIGN(AL419))*POWER(FFslave,SIGN(AM419))*POWER(GEslave,SIGN(AN419))*POWER(KKslave,SIGN(AP419))+AP419*POWER(MUslave_MU,SIGN(AI419))*POWER(KLslave,SIGN(AJ419))*POWER(INslave,SIGN(AK419))*POWER(CHslave,SIGN(AL419))*POWER(FFslave,SIGN(AM419))*POWER(GEslave,SIGN(AN419))*POWER(KOslave,SIGN(AO419))</f>
        <v>2432</v>
      </c>
      <c r="AU419" s="118">
        <f>AI419*AK419*CHslave+AI419*INslave*AL419+MUslave_MU*AK419*AL419</f>
        <v>3408</v>
      </c>
      <c r="AV419" s="92">
        <f>IFERROR(AI419^SIGN(AI419),1)*IFERROR(AJ419^SIGN(AJ419),1)*IFERROR(AK419^SIGN(AK419),1)*IFERROR(AL419^SIGN(AL419),1)*IFERROR(AM419^SIGN(AM419),1)*IFERROR(AN419^SIGN(AN419),1)*IFERROR(AO419^SIGN(AO419),1)*IFERROR(AP419^SIGN(AP419),1)</f>
        <v>1584</v>
      </c>
      <c r="AW419" s="91">
        <f>SUM(AT419:AV419)</f>
        <v>7424</v>
      </c>
      <c r="AX419" s="193">
        <f>AQ419*AT419/AW419</f>
        <v>3.8218390804597702</v>
      </c>
      <c r="AY419" s="116">
        <f>AR419*AU419/AW419</f>
        <v>10.711206896551724</v>
      </c>
      <c r="AZ419" s="126">
        <f>AS419*AV419/AW419</f>
        <v>7.4676724137931032</v>
      </c>
      <c r="BA419" s="126">
        <f>SUM(AX419:AZ419)</f>
        <v>22.000718390804597</v>
      </c>
      <c r="BB419" s="165">
        <f t="shared" ref="BB419:BB423" si="4529">Y419</f>
        <v>0</v>
      </c>
      <c r="BC419" s="198">
        <f>BA419-BB419</f>
        <v>22.000718390804597</v>
      </c>
      <c r="BD419" s="158">
        <f t="shared" ref="BD419:BE422" si="4530">IF(BA419&lt;=0,2,0)+IF(BA419&gt;0,BA419+1,0)*2+IF(BA419&gt;12,BA419-12,0)*2+IF(BA419&gt;13,BA419-13,0)*2+IF(BA419&gt;14,BA419-14,0)*2+IF(BA419&gt;15,BA419-15,0)*2+IF(BA419&gt;16,BA419-16,0)*2+IF(BA419&gt;17,BA419-17,0)*2+IF(BA419&gt;18,BA419-18,0)*2+IF(BA419&gt;19,BA419-19,0)*2+IF(BA419&gt;20,BA419-20,0)*2</f>
        <v>154.01436781609189</v>
      </c>
      <c r="BE419" s="91">
        <f t="shared" si="4530"/>
        <v>2</v>
      </c>
      <c r="BF419" s="241">
        <f>IF((BD419-BE419)&gt;0,BD419-BE419,0)</f>
        <v>152.01436781609189</v>
      </c>
      <c r="BG419" s="42">
        <f>IF((BE419-BD419)&gt;0,BE419-BD419,0)</f>
        <v>0</v>
      </c>
      <c r="BI419" s="323" t="s">
        <v>243</v>
      </c>
      <c r="BJ419" s="42" t="s">
        <v>86</v>
      </c>
      <c r="BK419" s="220" t="s">
        <v>132</v>
      </c>
      <c r="BL419" s="236">
        <f>Konvention_1slave-MUslave</f>
        <v>12</v>
      </c>
      <c r="BM419" s="233"/>
      <c r="BN419" s="233">
        <f>Konvention_1slave-INslave</f>
        <v>12</v>
      </c>
      <c r="BO419" s="233">
        <f>Konvention_1slave-CHslave</f>
        <v>12</v>
      </c>
      <c r="BP419" s="233"/>
      <c r="BQ419" s="233"/>
      <c r="BR419" s="233"/>
      <c r="BS419" s="221"/>
      <c r="BT419" s="220">
        <f>(BL419+BM419+BN419+BO419+BP419+BQ419+BR419+BS419)/3</f>
        <v>12</v>
      </c>
      <c r="BU419" s="220">
        <f>2*BT419</f>
        <v>24</v>
      </c>
      <c r="BV419" s="233">
        <f>3*BT419</f>
        <v>36</v>
      </c>
      <c r="BW419" s="236">
        <f>BL419*POWER(KLslave_KL,SIGN(BM419))*POWER(INslave,SIGN(BN419))*POWER(CHslave,SIGN(BO419))*POWER(FFslave,SIGN(BP419))*POWER(GEslave,SIGN(BQ419))*POWER(KOslave,SIGN(BR419))*POWER(KKslave,SIGN(BS419))+BM419*POWER(MUslave,SIGN(BL419))*POWER(INslave,SIGN(BN419))*POWER(CHslave,SIGN(BO419))*POWER(FFslave,SIGN(BP419))*POWER(GEslave,SIGN(BQ419))*POWER(KOslave,SIGN(BR419))*POWER(KKslave,SIGN(BS419))+BN419*POWER(MUslave,SIGN(BL419))*POWER(KLslave_KL,SIGN(BM419))*POWER(CHslave,SIGN(BO419))*POWER(FFslave,SIGN(BP419))*POWER(GEslave,SIGN(BQ419))*POWER(KOslave,SIGN(BR419))*POWER(KKslave,SIGN(BS419))+BO419*POWER(MUslave,SIGN(BL419))*POWER(KLslave_KL,SIGN(BM419))*POWER(INslave,SIGN(BN419))*POWER(FFslave,SIGN(BP419))*POWER(GEslave,SIGN(BQ419))*POWER(KOslave,SIGN(BR419))*POWER(KKslave,SIGN(BS419))+BP419*POWER(MUslave,SIGN(BL419))*POWER(KLslave_KL,SIGN(BM419))*POWER(INslave,SIGN(BN419))*POWER(CHslave,SIGN(BO419))*POWER(GEslave,SIGN(BQ419))*POWER(KOslave,SIGN(BR419))*POWER(KKslave,SIGN(BS419))+BQ419*POWER(MUslave,SIGN(BL419))*POWER(KLslave_KL,SIGN(BM419))*POWER(INslave,SIGN(BN419))*POWER(CHslave,SIGN(BO419))*POWER(FFslave,SIGN(BP419))*POWER(KOslave,SIGN(BR419))*POWER(KKslave,SIGN(BS419))+BR419*POWER(MUslave,SIGN(BL419))*POWER(KLslave_KL,SIGN(BM419))*POWER(INslave,SIGN(BN419))*POWER(CHslave,SIGN(BO419))*POWER(FFslave,SIGN(BP419))*POWER(GEslave,SIGN(BQ419))*POWER(KKslave,SIGN(BS419))+BS419*POWER(MUslave,SIGN(BL419))*POWER(KLslave_KL,SIGN(BM419))*POWER(INslave,SIGN(BN419))*POWER(CHslave,SIGN(BO419))*POWER(FFslave,SIGN(BP419))*POWER(GEslave,SIGN(BQ419))*POWER(KOslave,SIGN(BR419))</f>
        <v>2304</v>
      </c>
      <c r="BX419" s="233">
        <f>BL419*BN419*CHslave+BL419*INslave*BO419+MUslave*BN419*BO419</f>
        <v>3456</v>
      </c>
      <c r="BY419" s="221">
        <f>IFERROR(BL419^SIGN(BL419),1)*IFERROR(BM419^SIGN(BM419),1)*IFERROR(BN419^SIGN(BN419),1)*IFERROR(BO419^SIGN(BO419),1)*IFERROR(BP419^SIGN(BP419),1)*IFERROR(BQ419^SIGN(BQ419),1)*IFERROR(BR419^SIGN(BR419),1)*IFERROR(BS419^SIGN(BS419),1)</f>
        <v>1728</v>
      </c>
      <c r="BZ419" s="78">
        <f>SUM(BW419:BY419)</f>
        <v>7488</v>
      </c>
      <c r="CA419" s="219">
        <f>BT419*BW419/BZ419</f>
        <v>3.6923076923076925</v>
      </c>
      <c r="CB419" s="220">
        <f>BU419*BX419/BZ419</f>
        <v>11.076923076923077</v>
      </c>
      <c r="CC419" s="241">
        <f>BV419*BY419/BZ419</f>
        <v>8.3076923076923084</v>
      </c>
      <c r="CD419" s="241">
        <f>SUM(CA419:CC419)</f>
        <v>23.07692307692308</v>
      </c>
      <c r="CE419" s="252">
        <f t="shared" ref="CE419:CE423" si="4531">BB419</f>
        <v>0</v>
      </c>
      <c r="CF419" s="309">
        <f>CD419-CE419</f>
        <v>23.07692307692308</v>
      </c>
      <c r="CG419" s="42">
        <f t="shared" ref="CG419:CH422" si="4532">IF(CD419&lt;=0,2,0)+IF(CD419&gt;0,CD419+1,0)*2+IF(CD419&gt;12,CD419-12,0)*2+IF(CD419&gt;13,CD419-13,0)*2+IF(CD419&gt;14,CD419-14,0)*2+IF(CD419&gt;15,CD419-15,0)*2+IF(CD419&gt;16,CD419-16,0)*2+IF(CD419&gt;17,CD419-17,0)*2+IF(CD419&gt;18,CD419-18,0)*2+IF(CD419&gt;19,CD419-19,0)*2+IF(CD419&gt;20,CD419-20,0)*2</f>
        <v>175.5384615384616</v>
      </c>
      <c r="CH419" s="78">
        <f t="shared" si="4532"/>
        <v>2</v>
      </c>
      <c r="CI419" s="241">
        <f>IF((CG419-CH419)&gt;0,CG419-CH419,0)</f>
        <v>173.5384615384616</v>
      </c>
      <c r="CJ419" s="42">
        <f>IF((CH419-CG419)&gt;0,CH419-CG419,0)</f>
        <v>0</v>
      </c>
      <c r="CL419" s="323" t="s">
        <v>243</v>
      </c>
      <c r="CM419" s="42" t="s">
        <v>86</v>
      </c>
      <c r="CN419" s="220" t="s">
        <v>132</v>
      </c>
      <c r="CO419" s="236">
        <f>Konvention_1slave-MUslave</f>
        <v>12</v>
      </c>
      <c r="CP419" s="233"/>
      <c r="CQ419" s="233">
        <f>Konvention_1slave-INslave_IN</f>
        <v>11</v>
      </c>
      <c r="CR419" s="233">
        <f>Konvention_1slave-CHslave</f>
        <v>12</v>
      </c>
      <c r="CS419" s="233"/>
      <c r="CT419" s="233"/>
      <c r="CU419" s="233"/>
      <c r="CV419" s="221"/>
      <c r="CW419" s="220">
        <f>(CO419+CP419+CQ419+CR419+CS419+CT419+CU419+CV419)/3</f>
        <v>11.666666666666666</v>
      </c>
      <c r="CX419" s="220">
        <f>2*CW419</f>
        <v>23.333333333333332</v>
      </c>
      <c r="CY419" s="233">
        <f>3*CW419</f>
        <v>35</v>
      </c>
      <c r="CZ419" s="236">
        <f>CO419*POWER(KLslave,SIGN(CP419))*POWER(INslave_IN,SIGN(CQ419))*POWER(CHslave,SIGN(CR419))*POWER(FFslave,SIGN(CS419))*POWER(GEslave,SIGN(CT419))*POWER(KOslave,SIGN(CU419))*POWER(KKslave,SIGN(CV419))+CP419*POWER(MUslave,SIGN(CO419))*POWER(INslave_IN,SIGN(CQ419))*POWER(CHslave,SIGN(CR419))*POWER(FFslave,SIGN(CS419))*POWER(GEslave,SIGN(CT419))*POWER(KOslave,SIGN(CU419))*POWER(KKslave,SIGN(CV419))+CQ419*POWER(MUslave,SIGN(CO419))*POWER(KLslave,SIGN(CP419))*POWER(CHslave,SIGN(CR419))*POWER(FFslave,SIGN(CS419))*POWER(GEslave,SIGN(CT419))*POWER(KOslave,SIGN(CU419))*POWER(KKslave,SIGN(CV419))+CR419*POWER(MUslave,SIGN(CO419))*POWER(KLslave,SIGN(CP419))*POWER(INslave_IN,SIGN(CQ419))*POWER(FFslave,SIGN(CS419))*POWER(GEslave,SIGN(CT419))*POWER(KOslave,SIGN(CU419))*POWER(KKslave,SIGN(CV419))+CS419*POWER(MUslave,SIGN(CO419))*POWER(KLslave,SIGN(CP419))*POWER(INslave_IN,SIGN(CQ419))*POWER(CHslave,SIGN(CR419))*POWER(GEslave,SIGN(CT419))*POWER(KOslave,SIGN(CU419))*POWER(KKslave,SIGN(CV419))+CT419*POWER(MUslave,SIGN(CO419))*POWER(KLslave,SIGN(CP419))*POWER(INslave_IN,SIGN(CQ419))*POWER(CHslave,SIGN(CR419))*POWER(FFslave,SIGN(CS419))*POWER(KOslave,SIGN(CU419))*POWER(KKslave,SIGN(CV419))+CU419*POWER(MUslave,SIGN(CO419))*POWER(KLslave,SIGN(CP419))*POWER(INslave_IN,SIGN(CQ419))*POWER(CHslave,SIGN(CR419))*POWER(FFslave,SIGN(CS419))*POWER(GEslave,SIGN(CT419))*POWER(KKslave,SIGN(CV419))+CV419*POWER(MUslave,SIGN(CO419))*POWER(KLslave,SIGN(CP419))*POWER(INslave_IN,SIGN(CQ419))*POWER(CHslave,SIGN(CR419))*POWER(FFslave,SIGN(CS419))*POWER(GEslave,SIGN(CT419))*POWER(KOslave,SIGN(CU419))</f>
        <v>2432</v>
      </c>
      <c r="DA419" s="233">
        <f>CO419*CQ419*CHslave+CO419*INslave_IN*CR419+MUslave*CQ419*CR419</f>
        <v>3408</v>
      </c>
      <c r="DB419" s="221">
        <f>IFERROR(CO419^SIGN(CO419),1)*IFERROR(CP419^SIGN(CP419),1)*IFERROR(CQ419^SIGN(CQ419),1)*IFERROR(CR419^SIGN(CR419),1)*IFERROR(CS419^SIGN(CS419),1)*IFERROR(CT419^SIGN(CT419),1)*IFERROR(CU419^SIGN(CU419),1)*IFERROR(CV419^SIGN(CV419),1)</f>
        <v>1584</v>
      </c>
      <c r="DC419" s="78">
        <f>SUM(CZ419:DB419)</f>
        <v>7424</v>
      </c>
      <c r="DD419" s="219">
        <f>CW419*CZ419/DC419</f>
        <v>3.8218390804597702</v>
      </c>
      <c r="DE419" s="220">
        <f>CX419*DA419/DC419</f>
        <v>10.711206896551724</v>
      </c>
      <c r="DF419" s="241">
        <f>CY419*DB419/DC419</f>
        <v>7.4676724137931032</v>
      </c>
      <c r="DG419" s="241">
        <f>SUM(DD419:DF419)</f>
        <v>22.000718390804597</v>
      </c>
      <c r="DH419" s="252">
        <f t="shared" ref="DH419:DH423" si="4533">CE419</f>
        <v>0</v>
      </c>
      <c r="DI419" s="309">
        <f>DG419-DH419</f>
        <v>22.000718390804597</v>
      </c>
      <c r="DJ419" s="42">
        <f t="shared" ref="DJ419:DK422" si="4534">IF(DG419&lt;=0,2,0)+IF(DG419&gt;0,DG419+1,0)*2+IF(DG419&gt;12,DG419-12,0)*2+IF(DG419&gt;13,DG419-13,0)*2+IF(DG419&gt;14,DG419-14,0)*2+IF(DG419&gt;15,DG419-15,0)*2+IF(DG419&gt;16,DG419-16,0)*2+IF(DG419&gt;17,DG419-17,0)*2+IF(DG419&gt;18,DG419-18,0)*2+IF(DG419&gt;19,DG419-19,0)*2+IF(DG419&gt;20,DG419-20,0)*2</f>
        <v>154.01436781609189</v>
      </c>
      <c r="DK419" s="78">
        <f t="shared" si="4534"/>
        <v>2</v>
      </c>
      <c r="DL419" s="241">
        <f>IF((DJ419-DK419)&gt;0,DJ419-DK419,0)</f>
        <v>152.01436781609189</v>
      </c>
      <c r="DM419" s="42">
        <f>IF((DK419-DJ419)&gt;0,DK419-DJ419,0)</f>
        <v>0</v>
      </c>
      <c r="DO419" s="323" t="s">
        <v>243</v>
      </c>
      <c r="DP419" s="42" t="s">
        <v>86</v>
      </c>
      <c r="DQ419" s="220" t="s">
        <v>132</v>
      </c>
      <c r="DR419" s="236">
        <f>Konvention_1slave-MUslave</f>
        <v>12</v>
      </c>
      <c r="DS419" s="233"/>
      <c r="DT419" s="233">
        <f>Konvention_1slave-INslave</f>
        <v>12</v>
      </c>
      <c r="DU419" s="233">
        <f>Konvention_1slave-CHslave_CH</f>
        <v>11</v>
      </c>
      <c r="DV419" s="233"/>
      <c r="DW419" s="233"/>
      <c r="DX419" s="233"/>
      <c r="DY419" s="221"/>
      <c r="DZ419" s="220">
        <f>(DR419+DS419+DT419+DU419+DV419+DW419+DX419+DY419)/3</f>
        <v>11.666666666666666</v>
      </c>
      <c r="EA419" s="220">
        <f>2*DZ419</f>
        <v>23.333333333333332</v>
      </c>
      <c r="EB419" s="233">
        <f>3*DZ419</f>
        <v>35</v>
      </c>
      <c r="EC419" s="236">
        <f>DR419*POWER(KLslave,SIGN(DS419))*POWER(INslave,SIGN(DT419))*POWER(CHslave_CH,SIGN(DU419))*POWER(FFslave,SIGN(DV419))*POWER(GEslave,SIGN(DW419))*POWER(KOslave,SIGN(DX419))*POWER(KKslave,SIGN(DY419))+DS419*POWER(MUslave,SIGN(DR419))*POWER(INslave,SIGN(DT419))*POWER(CHslave_CH,SIGN(DU419))*POWER(FFslave,SIGN(DV419))*POWER(GEslave,SIGN(DW419))*POWER(KOslave,SIGN(DX419))*POWER(KKslave,SIGN(DY419))+DT419*POWER(MUslave,SIGN(DR419))*POWER(KLslave,SIGN(DS419))*POWER(CHslave_CH,SIGN(DU419))*POWER(FFslave,SIGN(DV419))*POWER(GEslave,SIGN(DW419))*POWER(KOslave,SIGN(DX419))*POWER(KKslave,SIGN(DY419))+DU419*POWER(MUslave,SIGN(DR419))*POWER(KLslave,SIGN(DS419))*POWER(INslave,SIGN(DT419))*POWER(FFslave,SIGN(DV419))*POWER(GEslave,SIGN(DW419))*POWER(KOslave,SIGN(DX419))*POWER(KKslave,SIGN(DY419))+DV419*POWER(MUslave,SIGN(DR419))*POWER(KLslave,SIGN(DS419))*POWER(INslave,SIGN(DT419))*POWER(CHslave_CH,SIGN(DU419))*POWER(GEslave,SIGN(DW419))*POWER(KOslave,SIGN(DX419))*POWER(KKslave,SIGN(DY419))+DW419*POWER(MUslave,SIGN(DR419))*POWER(KLslave,SIGN(DS419))*POWER(INslave,SIGN(DT419))*POWER(CHslave_CH,SIGN(DU419))*POWER(FFslave,SIGN(DV419))*POWER(KOslave,SIGN(DX419))*POWER(KKslave,SIGN(DY419))+DX419*POWER(MUslave,SIGN(DR419))*POWER(KLslave,SIGN(DS419))*POWER(INslave,SIGN(DT419))*POWER(CHslave_CH,SIGN(DU419))*POWER(FFslave,SIGN(DV419))*POWER(GEslave,SIGN(DW419))*POWER(KKslave,SIGN(DY419))+DY419*POWER(MUslave,SIGN(DR419))*POWER(KLslave,SIGN(DS419))*POWER(INslave,SIGN(DT419))*POWER(CHslave_CH,SIGN(DU419))*POWER(FFslave,SIGN(DV419))*POWER(GEslave,SIGN(DW419))*POWER(KOslave,SIGN(DX419))</f>
        <v>2432</v>
      </c>
      <c r="ED419" s="233">
        <f>DR419*DT419*CHslave_CH+DR419*INslave*DU419+MUslave*DT419*DU419</f>
        <v>3408</v>
      </c>
      <c r="EE419" s="221">
        <f>IFERROR(DR419^SIGN(DR419),1)*IFERROR(DS419^SIGN(DS419),1)*IFERROR(DT419^SIGN(DT419),1)*IFERROR(DU419^SIGN(DU419),1)*IFERROR(DV419^SIGN(DV419),1)*IFERROR(DW419^SIGN(DW419),1)*IFERROR(DX419^SIGN(DX419),1)*IFERROR(DY419^SIGN(DY419),1)</f>
        <v>1584</v>
      </c>
      <c r="EF419" s="78">
        <f>SUM(EC419:EE419)</f>
        <v>7424</v>
      </c>
      <c r="EG419" s="219">
        <f>DZ419*EC419/EF419</f>
        <v>3.8218390804597702</v>
      </c>
      <c r="EH419" s="220">
        <f>EA419*ED419/EF419</f>
        <v>10.711206896551724</v>
      </c>
      <c r="EI419" s="241">
        <f>EB419*EE419/EF419</f>
        <v>7.4676724137931032</v>
      </c>
      <c r="EJ419" s="241">
        <f>SUM(EG419:EI419)</f>
        <v>22.000718390804597</v>
      </c>
      <c r="EK419" s="252">
        <f t="shared" ref="EK419:EK423" si="4535">DH419</f>
        <v>0</v>
      </c>
      <c r="EL419" s="309">
        <f>EJ419-EK419</f>
        <v>22.000718390804597</v>
      </c>
      <c r="EM419" s="42">
        <f t="shared" ref="EM419:EN422" si="4536">IF(EJ419&lt;=0,2,0)+IF(EJ419&gt;0,EJ419+1,0)*2+IF(EJ419&gt;12,EJ419-12,0)*2+IF(EJ419&gt;13,EJ419-13,0)*2+IF(EJ419&gt;14,EJ419-14,0)*2+IF(EJ419&gt;15,EJ419-15,0)*2+IF(EJ419&gt;16,EJ419-16,0)*2+IF(EJ419&gt;17,EJ419-17,0)*2+IF(EJ419&gt;18,EJ419-18,0)*2+IF(EJ419&gt;19,EJ419-19,0)*2+IF(EJ419&gt;20,EJ419-20,0)*2</f>
        <v>154.01436781609189</v>
      </c>
      <c r="EN419" s="78">
        <f t="shared" si="4536"/>
        <v>2</v>
      </c>
      <c r="EO419" s="241">
        <f>IF((EM419-EN419)&gt;0,EM419-EN419,0)</f>
        <v>152.01436781609189</v>
      </c>
      <c r="EP419" s="42">
        <f>IF((EN419-EM419)&gt;0,EN419-EM419,0)</f>
        <v>0</v>
      </c>
      <c r="ER419" s="323" t="s">
        <v>243</v>
      </c>
      <c r="ES419" s="42" t="s">
        <v>86</v>
      </c>
      <c r="ET419" s="220" t="s">
        <v>132</v>
      </c>
      <c r="EU419" s="236">
        <f>Konvention_1slave-MUslave</f>
        <v>12</v>
      </c>
      <c r="EV419" s="233"/>
      <c r="EW419" s="233">
        <f>Konvention_1slave-INslave</f>
        <v>12</v>
      </c>
      <c r="EX419" s="233">
        <f>Konvention_1slave-CHslave</f>
        <v>12</v>
      </c>
      <c r="EY419" s="233"/>
      <c r="EZ419" s="233"/>
      <c r="FA419" s="233"/>
      <c r="FB419" s="221"/>
      <c r="FC419" s="220">
        <f>(EU419+EV419+EW419+EX419+EY419+EZ419+FA419+FB419)/3</f>
        <v>12</v>
      </c>
      <c r="FD419" s="220">
        <f>2*FC419</f>
        <v>24</v>
      </c>
      <c r="FE419" s="233">
        <f>3*FC419</f>
        <v>36</v>
      </c>
      <c r="FF419" s="236">
        <f>EU419*POWER(KLslave,SIGN(EV419))*POWER(INslave,SIGN(EW419))*POWER(CHslave,SIGN(EX419))*POWER(FFslave_FF,SIGN(EY419))*POWER(GEslave,SIGN(EZ419))*POWER(KOslave,SIGN(FA419))*POWER(KKslave,SIGN(FB419))+EV419*POWER(MUslave,SIGN(EU419))*POWER(INslave,SIGN(EW419))*POWER(CHslave,SIGN(EX419))*POWER(FFslave_FF,SIGN(EY419))*POWER(GEslave,SIGN(EZ419))*POWER(KOslave,SIGN(FA419))*POWER(KKslave,SIGN(FB419))+EW419*POWER(MUslave,SIGN(EU419))*POWER(KLslave,SIGN(EV419))*POWER(CHslave,SIGN(EX419))*POWER(FFslave_FF,SIGN(EY419))*POWER(GEslave,SIGN(EZ419))*POWER(KOslave,SIGN(FA419))*POWER(KKslave,SIGN(FB419))+EX419*POWER(MUslave,SIGN(EU419))*POWER(KLslave,SIGN(EV419))*POWER(INslave,SIGN(EW419))*POWER(FFslave_FF,SIGN(EY419))*POWER(GEslave,SIGN(EZ419))*POWER(KOslave,SIGN(FA419))*POWER(KKslave,SIGN(FB419))+EY419*POWER(MUslave,SIGN(EU419))*POWER(KLslave,SIGN(EV419))*POWER(INslave,SIGN(EW419))*POWER(CHslave,SIGN(EX419))*POWER(GEslave,SIGN(EZ419))*POWER(KOslave,SIGN(FA419))*POWER(KKslave,SIGN(FB419))+EZ419*POWER(MUslave,SIGN(EU419))*POWER(KLslave,SIGN(EV419))*POWER(INslave,SIGN(EW419))*POWER(CHslave,SIGN(EX419))*POWER(FFslave_FF,SIGN(EY419))*POWER(KOslave,SIGN(FA419))*POWER(KKslave,SIGN(FB419))+FA419*POWER(MUslave,SIGN(EU419))*POWER(KLslave,SIGN(EV419))*POWER(INslave,SIGN(EW419))*POWER(CHslave,SIGN(EX419))*POWER(FFslave_FF,SIGN(EY419))*POWER(GEslave,SIGN(EZ419))*POWER(KKslave,SIGN(FB419))+FB419*POWER(MUslave,SIGN(EU419))*POWER(KLslave,SIGN(EV419))*POWER(INslave,SIGN(EW419))*POWER(CHslave,SIGN(EX419))*POWER(FFslave_FF,SIGN(EY419))*POWER(GEslave,SIGN(EZ419))*POWER(KOslave,SIGN(FA419))</f>
        <v>2304</v>
      </c>
      <c r="FG419" s="233">
        <f>EU419*EW419*CHslave+EU419*INslave*EX419+MUslave*EW419*EX419</f>
        <v>3456</v>
      </c>
      <c r="FH419" s="221">
        <f>IFERROR(EU419^SIGN(EU419),1)*IFERROR(EV419^SIGN(EV419),1)*IFERROR(EW419^SIGN(EW419),1)*IFERROR(EX419^SIGN(EX419),1)*IFERROR(EY419^SIGN(EY419),1)*IFERROR(EZ419^SIGN(EZ419),1)*IFERROR(FA419^SIGN(FA419),1)*IFERROR(FB419^SIGN(FB419),1)</f>
        <v>1728</v>
      </c>
      <c r="FI419" s="78">
        <f>SUM(FF419:FH419)</f>
        <v>7488</v>
      </c>
      <c r="FJ419" s="219">
        <f>FC419*FF419/FI419</f>
        <v>3.6923076923076925</v>
      </c>
      <c r="FK419" s="220">
        <f>FD419*FG419/FI419</f>
        <v>11.076923076923077</v>
      </c>
      <c r="FL419" s="241">
        <f>FE419*FH419/FI419</f>
        <v>8.3076923076923084</v>
      </c>
      <c r="FM419" s="241">
        <f>SUM(FJ419:FL419)</f>
        <v>23.07692307692308</v>
      </c>
      <c r="FN419" s="252">
        <f t="shared" ref="FN419:FN423" si="4537">EK419</f>
        <v>0</v>
      </c>
      <c r="FO419" s="309">
        <f>FM419-FN419</f>
        <v>23.07692307692308</v>
      </c>
      <c r="FP419" s="42">
        <f t="shared" ref="FP419:FQ422" si="4538">IF(FM419&lt;=0,2,0)+IF(FM419&gt;0,FM419+1,0)*2+IF(FM419&gt;12,FM419-12,0)*2+IF(FM419&gt;13,FM419-13,0)*2+IF(FM419&gt;14,FM419-14,0)*2+IF(FM419&gt;15,FM419-15,0)*2+IF(FM419&gt;16,FM419-16,0)*2+IF(FM419&gt;17,FM419-17,0)*2+IF(FM419&gt;18,FM419-18,0)*2+IF(FM419&gt;19,FM419-19,0)*2+IF(FM419&gt;20,FM419-20,0)*2</f>
        <v>175.5384615384616</v>
      </c>
      <c r="FQ419" s="78">
        <f t="shared" si="4538"/>
        <v>2</v>
      </c>
      <c r="FR419" s="241">
        <f>IF((FP419-FQ419)&gt;0,FP419-FQ419,0)</f>
        <v>173.5384615384616</v>
      </c>
      <c r="FS419" s="42">
        <f>IF((FQ419-FP419)&gt;0,FQ419-FP419,0)</f>
        <v>0</v>
      </c>
      <c r="FU419" s="323" t="s">
        <v>243</v>
      </c>
      <c r="FV419" s="42" t="s">
        <v>86</v>
      </c>
      <c r="FW419" s="220" t="s">
        <v>132</v>
      </c>
      <c r="FX419" s="236">
        <f>Konvention_1slave-MUslave</f>
        <v>12</v>
      </c>
      <c r="FY419" s="233"/>
      <c r="FZ419" s="233">
        <f>Konvention_1slave-INslave</f>
        <v>12</v>
      </c>
      <c r="GA419" s="233">
        <f>Konvention_1slave-CHslave</f>
        <v>12</v>
      </c>
      <c r="GB419" s="233"/>
      <c r="GC419" s="233"/>
      <c r="GD419" s="233"/>
      <c r="GE419" s="221"/>
      <c r="GF419" s="220">
        <f>(FX419+FY419+FZ419+GA419+GB419+GC419+GD419+GE419)/3</f>
        <v>12</v>
      </c>
      <c r="GG419" s="220">
        <f>2*GF419</f>
        <v>24</v>
      </c>
      <c r="GH419" s="233">
        <f>3*GF419</f>
        <v>36</v>
      </c>
      <c r="GI419" s="236">
        <f>FX419*POWER(KLslave,SIGN(FY419))*POWER(INslave,SIGN(FZ419))*POWER(CHslave,SIGN(GA419))*POWER(FFslave,SIGN(GB419))*POWER(GEslave_GE,SIGN(GC419))*POWER(KOslave,SIGN(GD419))*POWER(KKslave,SIGN(GE419))+FY419*POWER(MUslave,SIGN(FX419))*POWER(INslave,SIGN(FZ419))*POWER(CHslave,SIGN(GA419))*POWER(FFslave,SIGN(GB419))*POWER(GEslave_GE,SIGN(GC419))*POWER(KOslave,SIGN(GD419))*POWER(KKslave,SIGN(GE419))+FZ419*POWER(MUslave,SIGN(FX419))*POWER(KLslave,SIGN(FY419))*POWER(CHslave,SIGN(GA419))*POWER(FFslave,SIGN(GB419))*POWER(GEslave_GE,SIGN(GC419))*POWER(KOslave,SIGN(GD419))*POWER(KKslave,SIGN(GE419))+GA419*POWER(MUslave,SIGN(FX419))*POWER(KLslave,SIGN(FY419))*POWER(INslave,SIGN(FZ419))*POWER(FFslave,SIGN(GB419))*POWER(GEslave_GE,SIGN(GC419))*POWER(KOslave,SIGN(GD419))*POWER(KKslave,SIGN(GE419))+GB419*POWER(MUslave,SIGN(FX419))*POWER(KLslave,SIGN(FY419))*POWER(INslave,SIGN(FZ419))*POWER(CHslave,SIGN(GA419))*POWER(GEslave_GE,SIGN(GC419))*POWER(KOslave,SIGN(GD419))*POWER(KKslave,SIGN(GE419))+GC419*POWER(MUslave,SIGN(FX419))*POWER(KLslave,SIGN(FY419))*POWER(INslave,SIGN(FZ419))*POWER(CHslave,SIGN(GA419))*POWER(FFslave,SIGN(GB419))*POWER(KOslave,SIGN(GD419))*POWER(KKslave,SIGN(GE419))+GD419*POWER(MUslave,SIGN(FX419))*POWER(KLslave,SIGN(FY419))*POWER(INslave,SIGN(FZ419))*POWER(CHslave,SIGN(GA419))*POWER(FFslave,SIGN(GB419))*POWER(GEslave_GE,SIGN(GC419))*POWER(KKslave,SIGN(GE419))+GE419*POWER(MUslave,SIGN(FX419))*POWER(KLslave,SIGN(FY419))*POWER(INslave,SIGN(FZ419))*POWER(CHslave,SIGN(GA419))*POWER(FFslave,SIGN(GB419))*POWER(GEslave_GE,SIGN(GC419))*POWER(KOslave,SIGN(GD419))</f>
        <v>2304</v>
      </c>
      <c r="GJ419" s="233">
        <f>FX419*FZ419*CHslave+FX419*INslave*GA419+MUslave*FZ419*GA419</f>
        <v>3456</v>
      </c>
      <c r="GK419" s="221">
        <f>IFERROR(FX419^SIGN(FX419),1)*IFERROR(FY419^SIGN(FY419),1)*IFERROR(FZ419^SIGN(FZ419),1)*IFERROR(GA419^SIGN(GA419),1)*IFERROR(GB419^SIGN(GB419),1)*IFERROR(GC419^SIGN(GC419),1)*IFERROR(GD419^SIGN(GD419),1)*IFERROR(GE419^SIGN(GE419),1)</f>
        <v>1728</v>
      </c>
      <c r="GL419" s="78">
        <f>SUM(GI419:GK419)</f>
        <v>7488</v>
      </c>
      <c r="GM419" s="219">
        <f>GF419*GI419/GL419</f>
        <v>3.6923076923076925</v>
      </c>
      <c r="GN419" s="220">
        <f>GG419*GJ419/GL419</f>
        <v>11.076923076923077</v>
      </c>
      <c r="GO419" s="241">
        <f>GH419*GK419/GL419</f>
        <v>8.3076923076923084</v>
      </c>
      <c r="GP419" s="241">
        <f>SUM(GM419:GO419)</f>
        <v>23.07692307692308</v>
      </c>
      <c r="GQ419" s="252">
        <f t="shared" ref="GQ419:GQ423" si="4539">FN419</f>
        <v>0</v>
      </c>
      <c r="GR419" s="309">
        <f>GP419-GQ419</f>
        <v>23.07692307692308</v>
      </c>
      <c r="GS419" s="42">
        <f t="shared" ref="GS419:GT422" si="4540">IF(GP419&lt;=0,2,0)+IF(GP419&gt;0,GP419+1,0)*2+IF(GP419&gt;12,GP419-12,0)*2+IF(GP419&gt;13,GP419-13,0)*2+IF(GP419&gt;14,GP419-14,0)*2+IF(GP419&gt;15,GP419-15,0)*2+IF(GP419&gt;16,GP419-16,0)*2+IF(GP419&gt;17,GP419-17,0)*2+IF(GP419&gt;18,GP419-18,0)*2+IF(GP419&gt;19,GP419-19,0)*2+IF(GP419&gt;20,GP419-20,0)*2</f>
        <v>175.5384615384616</v>
      </c>
      <c r="GT419" s="78">
        <f t="shared" si="4540"/>
        <v>2</v>
      </c>
      <c r="GU419" s="241">
        <f>IF((GS419-GT419)&gt;0,GS419-GT419,0)</f>
        <v>173.5384615384616</v>
      </c>
      <c r="GV419" s="42">
        <f>IF((GT419-GS419)&gt;0,GT419-GS419,0)</f>
        <v>0</v>
      </c>
      <c r="GX419" s="323" t="s">
        <v>243</v>
      </c>
      <c r="GY419" s="42" t="s">
        <v>86</v>
      </c>
      <c r="GZ419" s="220" t="s">
        <v>132</v>
      </c>
      <c r="HA419" s="236">
        <f>Konvention_1slave-MUslave</f>
        <v>12</v>
      </c>
      <c r="HB419" s="233"/>
      <c r="HC419" s="233">
        <f>Konvention_1slave-INslave</f>
        <v>12</v>
      </c>
      <c r="HD419" s="233">
        <f>Konvention_1slave-CHslave</f>
        <v>12</v>
      </c>
      <c r="HE419" s="233"/>
      <c r="HF419" s="233"/>
      <c r="HG419" s="233"/>
      <c r="HH419" s="221"/>
      <c r="HI419" s="220">
        <f>(HA419+HB419+HC419+HD419+HE419+HF419+HG419+HH419)/3</f>
        <v>12</v>
      </c>
      <c r="HJ419" s="220">
        <f>2*HI419</f>
        <v>24</v>
      </c>
      <c r="HK419" s="233">
        <f>3*HI419</f>
        <v>36</v>
      </c>
      <c r="HL419" s="236">
        <f>HA419*POWER(KLslave,SIGN(HB419))*POWER(INslave,SIGN(HC419))*POWER(CHslave,SIGN(HD419))*POWER(FFslave,SIGN(HE419))*POWER(GEslave,SIGN(HF419))*POWER(KOslave_KO,SIGN(HG419))*POWER(KKslave,SIGN(HH419))+HB419*POWER(MUslave,SIGN(HA419))*POWER(INslave,SIGN(HC419))*POWER(CHslave,SIGN(HD419))*POWER(FFslave,SIGN(HE419))*POWER(GEslave,SIGN(HF419))*POWER(KOslave_KO,SIGN(HG419))*POWER(KKslave,SIGN(HH419))+HC419*POWER(MUslave,SIGN(HA419))*POWER(KLslave,SIGN(HB419))*POWER(CHslave,SIGN(HD419))*POWER(FFslave,SIGN(HE419))*POWER(GEslave,SIGN(HF419))*POWER(KOslave_KO,SIGN(HG419))*POWER(KKslave,SIGN(HH419))+HD419*POWER(MUslave,SIGN(HA419))*POWER(KLslave,SIGN(HB419))*POWER(INslave,SIGN(HC419))*POWER(FFslave,SIGN(HE419))*POWER(GEslave,SIGN(HF419))*POWER(KOslave_KO,SIGN(HG419))*POWER(KKslave,SIGN(HH419))+HE419*POWER(MUslave,SIGN(HA419))*POWER(KLslave,SIGN(HB419))*POWER(INslave,SIGN(HC419))*POWER(CHslave,SIGN(HD419))*POWER(GEslave,SIGN(HF419))*POWER(KOslave_KO,SIGN(HG419))*POWER(KKslave,SIGN(HH419))+HF419*POWER(MUslave,SIGN(HA419))*POWER(KLslave,SIGN(HB419))*POWER(INslave,SIGN(HC419))*POWER(CHslave,SIGN(HD419))*POWER(FFslave,SIGN(HE419))*POWER(KOslave_KO,SIGN(HG419))*POWER(KKslave,SIGN(HH419))+HG419*POWER(MUslave,SIGN(HA419))*POWER(KLslave,SIGN(HB419))*POWER(INslave,SIGN(HC419))*POWER(CHslave,SIGN(HD419))*POWER(FFslave,SIGN(HE419))*POWER(GEslave,SIGN(HF419))*POWER(KKslave,SIGN(HH419))+HH419*POWER(MUslave,SIGN(HA419))*POWER(KLslave,SIGN(HB419))*POWER(INslave,SIGN(HC419))*POWER(CHslave,SIGN(HD419))*POWER(FFslave,SIGN(HE419))*POWER(GEslave,SIGN(HF419))*POWER(KOslave_KO,SIGN(HG419))</f>
        <v>2304</v>
      </c>
      <c r="HM419" s="233">
        <f>HA419*HC419*CHslave+HA419*INslave*HD419+MUslave*HC419*HD419</f>
        <v>3456</v>
      </c>
      <c r="HN419" s="221">
        <f>IFERROR(HA419^SIGN(HA419),1)*IFERROR(HB419^SIGN(HB419),1)*IFERROR(HC419^SIGN(HC419),1)*IFERROR(HD419^SIGN(HD419),1)*IFERROR(HE419^SIGN(HE419),1)*IFERROR(HF419^SIGN(HF419),1)*IFERROR(HG419^SIGN(HG419),1)*IFERROR(HH419^SIGN(HH419),1)</f>
        <v>1728</v>
      </c>
      <c r="HO419" s="78">
        <f>SUM(HL419:HN419)</f>
        <v>7488</v>
      </c>
      <c r="HP419" s="219">
        <f>HI419*HL419/HO419</f>
        <v>3.6923076923076925</v>
      </c>
      <c r="HQ419" s="220">
        <f>HJ419*HM419/HO419</f>
        <v>11.076923076923077</v>
      </c>
      <c r="HR419" s="241">
        <f>HK419*HN419/HO419</f>
        <v>8.3076923076923084</v>
      </c>
      <c r="HS419" s="241">
        <f>SUM(HP419:HR419)</f>
        <v>23.07692307692308</v>
      </c>
      <c r="HT419" s="252">
        <f t="shared" ref="HT419:HT423" si="4541">GQ419</f>
        <v>0</v>
      </c>
      <c r="HU419" s="309">
        <f>HS419-HT419</f>
        <v>23.07692307692308</v>
      </c>
      <c r="HV419" s="42">
        <f t="shared" ref="HV419:HW422" si="4542">IF(HS419&lt;=0,2,0)+IF(HS419&gt;0,HS419+1,0)*2+IF(HS419&gt;12,HS419-12,0)*2+IF(HS419&gt;13,HS419-13,0)*2+IF(HS419&gt;14,HS419-14,0)*2+IF(HS419&gt;15,HS419-15,0)*2+IF(HS419&gt;16,HS419-16,0)*2+IF(HS419&gt;17,HS419-17,0)*2+IF(HS419&gt;18,HS419-18,0)*2+IF(HS419&gt;19,HS419-19,0)*2+IF(HS419&gt;20,HS419-20,0)*2</f>
        <v>175.5384615384616</v>
      </c>
      <c r="HW419" s="78">
        <f t="shared" si="4542"/>
        <v>2</v>
      </c>
      <c r="HX419" s="241">
        <f>IF((HV419-HW419)&gt;0,HV419-HW419,0)</f>
        <v>173.5384615384616</v>
      </c>
      <c r="HY419" s="42">
        <f>IF((HW419-HV419)&gt;0,HW419-HV419,0)</f>
        <v>0</v>
      </c>
      <c r="IA419" s="323" t="s">
        <v>243</v>
      </c>
      <c r="IB419" s="42" t="s">
        <v>86</v>
      </c>
      <c r="IC419" s="220" t="s">
        <v>132</v>
      </c>
      <c r="ID419" s="236">
        <f>Konvention_1slave-MUslave</f>
        <v>12</v>
      </c>
      <c r="IE419" s="233"/>
      <c r="IF419" s="233">
        <f>Konvention_1slave-INslave</f>
        <v>12</v>
      </c>
      <c r="IG419" s="233">
        <f>Konvention_1slave-CHslave</f>
        <v>12</v>
      </c>
      <c r="IH419" s="233"/>
      <c r="II419" s="233"/>
      <c r="IJ419" s="233"/>
      <c r="IK419" s="221"/>
      <c r="IL419" s="220">
        <f>(ID419+IE419+IF419+IG419+IH419+II419+IJ419+IK419)/3</f>
        <v>12</v>
      </c>
      <c r="IM419" s="220">
        <f>2*IL419</f>
        <v>24</v>
      </c>
      <c r="IN419" s="233">
        <f>3*IL419</f>
        <v>36</v>
      </c>
      <c r="IO419" s="236">
        <f>ID419*POWER(KLslave,SIGN(IE419))*POWER(INslave,SIGN(IF419))*POWER(CHslave,SIGN(IG419))*POWER(FFslave,SIGN(IH419))*POWER(GEslave,SIGN(II419))*POWER(KOslave,SIGN(IJ419))*POWER(KKslave_KK,SIGN(IK419))+IE419*POWER(MUslave,SIGN(ID419))*POWER(INslave,SIGN(IF419))*POWER(CHslave,SIGN(IG419))*POWER(FFslave,SIGN(IH419))*POWER(GEslave,SIGN(II419))*POWER(KOslave,SIGN(IJ419))*POWER(KKslave_KK,SIGN(IK419))+IF419*POWER(MUslave,SIGN(ID419))*POWER(KLslave,SIGN(IE419))*POWER(CHslave,SIGN(IG419))*POWER(FFslave,SIGN(IH419))*POWER(GEslave,SIGN(II419))*POWER(KOslave,SIGN(IJ419))*POWER(KKslave_KK,SIGN(IK419))+IG419*POWER(MUslave,SIGN(ID419))*POWER(KLslave,SIGN(IE419))*POWER(INslave,SIGN(IF419))*POWER(FFslave,SIGN(IH419))*POWER(GEslave,SIGN(II419))*POWER(KOslave,SIGN(IJ419))*POWER(KKslave_KK,SIGN(IK419))+IH419*POWER(MUslave,SIGN(ID419))*POWER(KLslave,SIGN(IE419))*POWER(INslave,SIGN(IF419))*POWER(CHslave,SIGN(IG419))*POWER(GEslave,SIGN(II419))*POWER(KOslave,SIGN(IJ419))*POWER(KKslave_KK,SIGN(IK419))+II419*POWER(MUslave,SIGN(ID419))*POWER(KLslave,SIGN(IE419))*POWER(INslave,SIGN(IF419))*POWER(CHslave,SIGN(IG419))*POWER(FFslave,SIGN(IH419))*POWER(KOslave,SIGN(IJ419))*POWER(KKslave_KK,SIGN(IK419))+IJ419*POWER(MUslave,SIGN(ID419))*POWER(KLslave,SIGN(IE419))*POWER(INslave,SIGN(IF419))*POWER(CHslave,SIGN(IG419))*POWER(FFslave,SIGN(IH419))*POWER(GEslave,SIGN(II419))*POWER(KKslave_KK,SIGN(IK419))+IK419*POWER(MUslave,SIGN(ID419))*POWER(KLslave,SIGN(IE419))*POWER(INslave,SIGN(IF419))*POWER(CHslave,SIGN(IG419))*POWER(FFslave,SIGN(IH419))*POWER(GEslave,SIGN(II419))*POWER(KOslave,SIGN(IJ419))</f>
        <v>2304</v>
      </c>
      <c r="IP419" s="233">
        <f>ID419*IF419*CHslave+ID419*INslave*IG419+MUslave*IF419*IG419</f>
        <v>3456</v>
      </c>
      <c r="IQ419" s="221">
        <f>IFERROR(ID419^SIGN(ID419),1)*IFERROR(IE419^SIGN(IE419),1)*IFERROR(IF419^SIGN(IF419),1)*IFERROR(IG419^SIGN(IG419),1)*IFERROR(IH419^SIGN(IH419),1)*IFERROR(II419^SIGN(II419),1)*IFERROR(IJ419^SIGN(IJ419),1)*IFERROR(IK419^SIGN(IK419),1)</f>
        <v>1728</v>
      </c>
      <c r="IR419" s="78">
        <f>SUM(IO419:IQ419)</f>
        <v>7488</v>
      </c>
      <c r="IS419" s="219">
        <f>IL419*IO419/IR419</f>
        <v>3.6923076923076925</v>
      </c>
      <c r="IT419" s="220">
        <f>IM419*IP419/IR419</f>
        <v>11.076923076923077</v>
      </c>
      <c r="IU419" s="241">
        <f>IN419*IQ419/IR419</f>
        <v>8.3076923076923084</v>
      </c>
      <c r="IV419" s="241">
        <f>SUM(IS419:IU419)</f>
        <v>23.07692307692308</v>
      </c>
      <c r="IW419" s="252">
        <f t="shared" ref="IW419:IW423" si="4543">HT419</f>
        <v>0</v>
      </c>
      <c r="IX419" s="309">
        <f>IV419-IW419</f>
        <v>23.07692307692308</v>
      </c>
      <c r="IY419" s="42">
        <f t="shared" ref="IY419:IZ422" si="4544">IF(IV419&lt;=0,2,0)+IF(IV419&gt;0,IV419+1,0)*2+IF(IV419&gt;12,IV419-12,0)*2+IF(IV419&gt;13,IV419-13,0)*2+IF(IV419&gt;14,IV419-14,0)*2+IF(IV419&gt;15,IV419-15,0)*2+IF(IV419&gt;16,IV419-16,0)*2+IF(IV419&gt;17,IV419-17,0)*2+IF(IV419&gt;18,IV419-18,0)*2+IF(IV419&gt;19,IV419-19,0)*2+IF(IV419&gt;20,IV419-20,0)*2</f>
        <v>175.5384615384616</v>
      </c>
      <c r="IZ419" s="78">
        <f t="shared" si="4544"/>
        <v>2</v>
      </c>
      <c r="JA419" s="241">
        <f>IF((IY419-IZ419)&gt;0,IY419-IZ419,0)</f>
        <v>173.5384615384616</v>
      </c>
      <c r="JB419" s="42">
        <f>IF((IZ419-IY419)&gt;0,IZ419-IY419,0)</f>
        <v>0</v>
      </c>
      <c r="JE419" s="148"/>
    </row>
    <row r="420" spans="2:265" ht="15" hidden="1" customHeight="1" outlineLevel="2">
      <c r="B420" s="148">
        <v>2</v>
      </c>
      <c r="C420" s="325" t="e">
        <f>VLOOKUP(AF420,Attribute!C:T,1,FALSE)</f>
        <v>#N/A</v>
      </c>
      <c r="D420" s="86" t="s">
        <v>87</v>
      </c>
      <c r="E420" s="47" t="s">
        <v>132</v>
      </c>
      <c r="F420" s="114"/>
      <c r="G420" s="113">
        <f>Konvention_1master-KLmaster</f>
        <v>12</v>
      </c>
      <c r="H420" s="113">
        <f>Konvention_1master-INmaster</f>
        <v>12</v>
      </c>
      <c r="I420" s="113">
        <f>Konvention_1master-CHmaster</f>
        <v>12</v>
      </c>
      <c r="J420" s="113"/>
      <c r="K420" s="113"/>
      <c r="L420" s="113"/>
      <c r="M420" s="119"/>
      <c r="N420" s="223">
        <f>(F420+G420+H420+I420+J420+K420+L420+M420)/3</f>
        <v>12</v>
      </c>
      <c r="O420" s="223">
        <f>2*N420</f>
        <v>24</v>
      </c>
      <c r="P420" s="234">
        <f>3*N420</f>
        <v>36</v>
      </c>
      <c r="Q420" s="237">
        <f>F420*POWER(KLmaster,SIGN(G420))*POWER(INmaster,SIGN(H420))*POWER(CHmaster,SIGN(I420))*POWER(FFmaster,SIGN(J420))*POWER(GEmaster,SIGN(K420))*POWER(KOmaster,SIGN(L420))*POWER(KKmaster,SIGN(M420))+G420*POWER(MUmaster,SIGN(F420))*POWER(INmaster,SIGN(H420))*POWER(CHmaster,SIGN(I420))*POWER(FFmaster,SIGN(J420))*POWER(GEmaster,SIGN(K420))*POWER(KOmaster,SIGN(L420))*POWER(KKmaster,SIGN(M420))+H420*POWER(MUmaster,SIGN(F420))*POWER(KLmaster,SIGN(G420))*POWER(CHmaster,SIGN(I420))*POWER(FFmaster,SIGN(J420))*POWER(GEmaster,SIGN(K420))*POWER(KOmaster,SIGN(L420))*POWER(KKmaster,SIGN(M420))+I420*POWER(MUmaster,SIGN(F420))*POWER(KLmaster,SIGN(G420))*POWER(INmaster,SIGN(H420))*POWER(FFmaster,SIGN(J420))*POWER(GEmaster,SIGN(K420))*POWER(KOmaster,SIGN(L420))*POWER(KKmaster,SIGN(M420))+J420*POWER(MUmaster,SIGN(F420))*POWER(KLmaster,SIGN(G420))*POWER(INmaster,SIGN(H420))*POWER(CHmaster,SIGN(I420))*POWER(GEmaster,SIGN(K420))*POWER(KOmaster,SIGN(L420))*POWER(KKmaster,SIGN(M420))+K420*POWER(MUmaster,SIGN(F420))*POWER(KLmaster,SIGN(G420))*POWER(INmaster,SIGN(H420))*POWER(CHmaster,SIGN(I420))*POWER(FFmaster,SIGN(J420))*POWER(KOmaster,SIGN(L420))*POWER(KKmaster,SIGN(M420))+L420*POWER(MUmaster,SIGN(F420))*POWER(KLmaster,SIGN(G420))*POWER(INmaster,SIGN(H420))*POWER(CHmaster,SIGN(I420))*POWER(FFmaster,SIGN(J420))*POWER(GEmaster,SIGN(K420))*POWER(KKmaster,SIGN(M420))+M420*POWER(MUmaster,SIGN(F420))*POWER(KLmaster,SIGN(G420))*POWER(INmaster,SIGN(H420))*POWER(CHmaster,SIGN(I420))*POWER(FFmaster,SIGN(J420))*POWER(GEmaster,SIGN(K420))*POWER(KOmaster,SIGN(L420))</f>
        <v>2304</v>
      </c>
      <c r="R420" s="113">
        <f>G420*H420*CHmaster+G420*INmaster*I420+KLmaster*H420*I420</f>
        <v>3456</v>
      </c>
      <c r="S420" s="224">
        <f>IFERROR(F420^SIGN(F420),1)*IFERROR(G420^SIGN(G420),1)*IFERROR(H420^SIGN(H420),1)*IFERROR(I420^SIGN(I420),1)*IFERROR(J420^SIGN(J420),1)*IFERROR(K420^SIGN(K420),1)*IFERROR(L420^SIGN(L420),1)*IFERROR(M420^SIGN(M420),1)</f>
        <v>1728</v>
      </c>
      <c r="T420" s="242">
        <f>SUM(Q420:S420)</f>
        <v>7488</v>
      </c>
      <c r="U420" s="222">
        <f>N420*Q420/T420</f>
        <v>3.6923076923076925</v>
      </c>
      <c r="V420" s="223">
        <f>O420*R420/T420</f>
        <v>11.076923076923077</v>
      </c>
      <c r="W420" s="243">
        <f>P420*S420/T420</f>
        <v>8.3076923076923084</v>
      </c>
      <c r="X420" s="243">
        <f>SUM(U420:W420)</f>
        <v>23.07692307692308</v>
      </c>
      <c r="Y420" s="252">
        <v>0</v>
      </c>
      <c r="Z420" s="198">
        <f>X420-Y420</f>
        <v>23.07692307692308</v>
      </c>
      <c r="AA420" s="125">
        <f t="shared" si="4528"/>
        <v>175.5384615384616</v>
      </c>
      <c r="AB420" s="160">
        <f t="shared" si="4528"/>
        <v>2</v>
      </c>
      <c r="AC420" s="127">
        <f>IF((AA420-AB420)&gt;0,AA420-AB420,0)</f>
        <v>173.5384615384616</v>
      </c>
      <c r="AD420" s="125">
        <f>IF((AB420-AA420)&gt;0,AB420-AA420,0)</f>
        <v>0</v>
      </c>
      <c r="AF420" s="177" t="s">
        <v>244</v>
      </c>
      <c r="AG420" s="125" t="s">
        <v>87</v>
      </c>
      <c r="AH420" s="47" t="s">
        <v>132</v>
      </c>
      <c r="AI420" s="114"/>
      <c r="AJ420" s="113">
        <f>Konvention_1slave-KLslave</f>
        <v>12</v>
      </c>
      <c r="AK420" s="113">
        <f>Konvention_1slave-INslave</f>
        <v>12</v>
      </c>
      <c r="AL420" s="113">
        <f>Konvention_1slave-CHslave</f>
        <v>12</v>
      </c>
      <c r="AM420" s="113"/>
      <c r="AN420" s="113"/>
      <c r="AO420" s="113"/>
      <c r="AP420" s="119"/>
      <c r="AQ420" s="47">
        <f>(AI420+AJ420+AK420+AL420+AM420+AN420+AO420+AP420)/3</f>
        <v>12</v>
      </c>
      <c r="AR420" s="47">
        <f>2*AQ420</f>
        <v>24</v>
      </c>
      <c r="AS420" s="113">
        <f>3*AQ420</f>
        <v>36</v>
      </c>
      <c r="AT420" s="114">
        <f>AI420*POWER(KLslave,SIGN(AJ420))*POWER(INslave,SIGN(AK420))*POWER(CHslave,SIGN(AL420))*POWER(FFslave,SIGN(AM420))*POWER(GEslave,SIGN(AN420))*POWER(KOslave,SIGN(AO420))*POWER(KKslave,SIGN(AP420))+AJ420*POWER(MUslave_MU,SIGN(AI420))*POWER(INslave,SIGN(AK420))*POWER(CHslave,SIGN(AL420))*POWER(FFslave,SIGN(AM420))*POWER(GEslave,SIGN(AN420))*POWER(KOslave,SIGN(AO420))*POWER(KKslave,SIGN(AP420))+AK420*POWER(MUslave_MU,SIGN(AI420))*POWER(KLslave,SIGN(AJ420))*POWER(CHslave,SIGN(AL420))*POWER(FFslave,SIGN(AM420))*POWER(GEslave,SIGN(AN420))*POWER(KOslave,SIGN(AO420))*POWER(KKslave,SIGN(AP420))+AL420*POWER(MUslave_MU,SIGN(AI420))*POWER(KLslave,SIGN(AJ420))*POWER(INslave,SIGN(AK420))*POWER(FFslave,SIGN(AM420))*POWER(GEslave,SIGN(AN420))*POWER(KOslave,SIGN(AO420))*POWER(KKslave,SIGN(AP420))+AM420*POWER(MUslave_MU,SIGN(AI420))*POWER(KLslave,SIGN(AJ420))*POWER(INslave,SIGN(AK420))*POWER(CHslave,SIGN(AL420))*POWER(GEslave,SIGN(AN420))*POWER(KOslave,SIGN(AO420))*POWER(KKslave,SIGN(AP420))+AN420*POWER(MUslave_MU,SIGN(AI420))*POWER(KLslave,SIGN(AJ420))*POWER(INslave,SIGN(AK420))*POWER(CHslave,SIGN(AL420))*POWER(FFslave,SIGN(AM420))*POWER(KOslave,SIGN(AO420))*POWER(KKslave,SIGN(AP420))+AO420*POWER(MUslave_MU,SIGN(AI420))*POWER(KLslave,SIGN(AJ420))*POWER(INslave,SIGN(AK420))*POWER(CHslave,SIGN(AL420))*POWER(FFslave,SIGN(AM420))*POWER(GEslave,SIGN(AN420))*POWER(KKslave,SIGN(AP420))+AP420*POWER(MUslave_MU,SIGN(AI420))*POWER(KLslave,SIGN(AJ420))*POWER(INslave,SIGN(AK420))*POWER(CHslave,SIGN(AL420))*POWER(FFslave,SIGN(AM420))*POWER(GEslave,SIGN(AN420))*POWER(KOslave,SIGN(AO420))</f>
        <v>2304</v>
      </c>
      <c r="AU420" s="113">
        <f>AJ420*AK420*CHslave+AJ420*INslave*AL420+KLslave*AK420*AL420</f>
        <v>3456</v>
      </c>
      <c r="AV420" s="119">
        <f>IFERROR(AI420^SIGN(AI420),1)*IFERROR(AJ420^SIGN(AJ420),1)*IFERROR(AK420^SIGN(AK420),1)*IFERROR(AL420^SIGN(AL420),1)*IFERROR(AM420^SIGN(AM420),1)*IFERROR(AN420^SIGN(AN420),1)*IFERROR(AO420^SIGN(AO420),1)*IFERROR(AP420^SIGN(AP420),1)</f>
        <v>1728</v>
      </c>
      <c r="AW420" s="160">
        <f>SUM(AT420:AV420)</f>
        <v>7488</v>
      </c>
      <c r="AX420" s="89">
        <f>AQ420*AT420/AW420</f>
        <v>3.6923076923076925</v>
      </c>
      <c r="AY420" s="47">
        <f>AR420*AU420/AW420</f>
        <v>11.076923076923077</v>
      </c>
      <c r="AZ420" s="127">
        <f>AS420*AV420/AW420</f>
        <v>8.3076923076923084</v>
      </c>
      <c r="BA420" s="127">
        <f>SUM(AX420:AZ420)</f>
        <v>23.07692307692308</v>
      </c>
      <c r="BB420" s="165">
        <f t="shared" si="4529"/>
        <v>0</v>
      </c>
      <c r="BC420" s="198">
        <f>BA420-BB420</f>
        <v>23.07692307692308</v>
      </c>
      <c r="BD420" s="125">
        <f t="shared" si="4530"/>
        <v>175.5384615384616</v>
      </c>
      <c r="BE420" s="160">
        <f t="shared" si="4530"/>
        <v>2</v>
      </c>
      <c r="BF420" s="243">
        <f>IF((BD420-BE420)&gt;0,BD420-BE420,0)</f>
        <v>173.5384615384616</v>
      </c>
      <c r="BG420" s="218">
        <f>IF((BE420-BD420)&gt;0,BE420-BD420,0)</f>
        <v>0</v>
      </c>
      <c r="BI420" s="325" t="s">
        <v>244</v>
      </c>
      <c r="BJ420" s="218" t="s">
        <v>87</v>
      </c>
      <c r="BK420" s="223" t="s">
        <v>132</v>
      </c>
      <c r="BL420" s="237"/>
      <c r="BM420" s="234">
        <f>Konvention_1slave-KLslave_KL</f>
        <v>11</v>
      </c>
      <c r="BN420" s="234">
        <f>Konvention_1slave-INslave</f>
        <v>12</v>
      </c>
      <c r="BO420" s="234">
        <f>Konvention_1slave-CHslave</f>
        <v>12</v>
      </c>
      <c r="BP420" s="234"/>
      <c r="BQ420" s="234"/>
      <c r="BR420" s="234"/>
      <c r="BS420" s="224"/>
      <c r="BT420" s="223">
        <f>(BL420+BM420+BN420+BO420+BP420+BQ420+BR420+BS420)/3</f>
        <v>11.666666666666666</v>
      </c>
      <c r="BU420" s="223">
        <f>2*BT420</f>
        <v>23.333333333333332</v>
      </c>
      <c r="BV420" s="234">
        <f>3*BT420</f>
        <v>35</v>
      </c>
      <c r="BW420" s="237">
        <f>BL420*POWER(KLslave_KL,SIGN(BM420))*POWER(INslave,SIGN(BN420))*POWER(CHslave,SIGN(BO420))*POWER(FFslave,SIGN(BP420))*POWER(GEslave,SIGN(BQ420))*POWER(KOslave,SIGN(BR420))*POWER(KKslave,SIGN(BS420))+BM420*POWER(MUslave,SIGN(BL420))*POWER(INslave,SIGN(BN420))*POWER(CHslave,SIGN(BO420))*POWER(FFslave,SIGN(BP420))*POWER(GEslave,SIGN(BQ420))*POWER(KOslave,SIGN(BR420))*POWER(KKslave,SIGN(BS420))+BN420*POWER(MUslave,SIGN(BL420))*POWER(KLslave_KL,SIGN(BM420))*POWER(CHslave,SIGN(BO420))*POWER(FFslave,SIGN(BP420))*POWER(GEslave,SIGN(BQ420))*POWER(KOslave,SIGN(BR420))*POWER(KKslave,SIGN(BS420))+BO420*POWER(MUslave,SIGN(BL420))*POWER(KLslave_KL,SIGN(BM420))*POWER(INslave,SIGN(BN420))*POWER(FFslave,SIGN(BP420))*POWER(GEslave,SIGN(BQ420))*POWER(KOslave,SIGN(BR420))*POWER(KKslave,SIGN(BS420))+BP420*POWER(MUslave,SIGN(BL420))*POWER(KLslave_KL,SIGN(BM420))*POWER(INslave,SIGN(BN420))*POWER(CHslave,SIGN(BO420))*POWER(GEslave,SIGN(BQ420))*POWER(KOslave,SIGN(BR420))*POWER(KKslave,SIGN(BS420))+BQ420*POWER(MUslave,SIGN(BL420))*POWER(KLslave_KL,SIGN(BM420))*POWER(INslave,SIGN(BN420))*POWER(CHslave,SIGN(BO420))*POWER(FFslave,SIGN(BP420))*POWER(KOslave,SIGN(BR420))*POWER(KKslave,SIGN(BS420))+BR420*POWER(MUslave,SIGN(BL420))*POWER(KLslave_KL,SIGN(BM420))*POWER(INslave,SIGN(BN420))*POWER(CHslave,SIGN(BO420))*POWER(FFslave,SIGN(BP420))*POWER(GEslave,SIGN(BQ420))*POWER(KKslave,SIGN(BS420))+BS420*POWER(MUslave,SIGN(BL420))*POWER(KLslave_KL,SIGN(BM420))*POWER(INslave,SIGN(BN420))*POWER(CHslave,SIGN(BO420))*POWER(FFslave,SIGN(BP420))*POWER(GEslave,SIGN(BQ420))*POWER(KOslave,SIGN(BR420))</f>
        <v>2432</v>
      </c>
      <c r="BX420" s="234">
        <f>BM420*BN420*CHslave+BM420*INslave*BO420+KLslave_KL*BN420*BO420</f>
        <v>3408</v>
      </c>
      <c r="BY420" s="224">
        <f>IFERROR(BL420^SIGN(BL420),1)*IFERROR(BM420^SIGN(BM420),1)*IFERROR(BN420^SIGN(BN420),1)*IFERROR(BO420^SIGN(BO420),1)*IFERROR(BP420^SIGN(BP420),1)*IFERROR(BQ420^SIGN(BQ420),1)*IFERROR(BR420^SIGN(BR420),1)*IFERROR(BS420^SIGN(BS420),1)</f>
        <v>1584</v>
      </c>
      <c r="BZ420" s="242">
        <f>SUM(BW420:BY420)</f>
        <v>7424</v>
      </c>
      <c r="CA420" s="222">
        <f>BT420*BW420/BZ420</f>
        <v>3.8218390804597702</v>
      </c>
      <c r="CB420" s="223">
        <f>BU420*BX420/BZ420</f>
        <v>10.711206896551724</v>
      </c>
      <c r="CC420" s="243">
        <f>BV420*BY420/BZ420</f>
        <v>7.4676724137931032</v>
      </c>
      <c r="CD420" s="243">
        <f>SUM(CA420:CC420)</f>
        <v>22.000718390804597</v>
      </c>
      <c r="CE420" s="252">
        <f t="shared" si="4531"/>
        <v>0</v>
      </c>
      <c r="CF420" s="309">
        <f>CD420-CE420</f>
        <v>22.000718390804597</v>
      </c>
      <c r="CG420" s="218">
        <f t="shared" si="4532"/>
        <v>154.01436781609189</v>
      </c>
      <c r="CH420" s="242">
        <f t="shared" si="4532"/>
        <v>2</v>
      </c>
      <c r="CI420" s="243">
        <f>IF((CG420-CH420)&gt;0,CG420-CH420,0)</f>
        <v>152.01436781609189</v>
      </c>
      <c r="CJ420" s="218">
        <f>IF((CH420-CG420)&gt;0,CH420-CG420,0)</f>
        <v>0</v>
      </c>
      <c r="CL420" s="325" t="s">
        <v>244</v>
      </c>
      <c r="CM420" s="218" t="s">
        <v>87</v>
      </c>
      <c r="CN420" s="223" t="s">
        <v>132</v>
      </c>
      <c r="CO420" s="237"/>
      <c r="CP420" s="234">
        <f>Konvention_1slave-KLslave</f>
        <v>12</v>
      </c>
      <c r="CQ420" s="234">
        <f>Konvention_1slave-INslave_IN</f>
        <v>11</v>
      </c>
      <c r="CR420" s="234">
        <f>Konvention_1slave-CHslave</f>
        <v>12</v>
      </c>
      <c r="CS420" s="234"/>
      <c r="CT420" s="234"/>
      <c r="CU420" s="234"/>
      <c r="CV420" s="224"/>
      <c r="CW420" s="223">
        <f>(CO420+CP420+CQ420+CR420+CS420+CT420+CU420+CV420)/3</f>
        <v>11.666666666666666</v>
      </c>
      <c r="CX420" s="223">
        <f>2*CW420</f>
        <v>23.333333333333332</v>
      </c>
      <c r="CY420" s="234">
        <f>3*CW420</f>
        <v>35</v>
      </c>
      <c r="CZ420" s="237">
        <f>CO420*POWER(KLslave,SIGN(CP420))*POWER(INslave_IN,SIGN(CQ420))*POWER(CHslave,SIGN(CR420))*POWER(FFslave,SIGN(CS420))*POWER(GEslave,SIGN(CT420))*POWER(KOslave,SIGN(CU420))*POWER(KKslave,SIGN(CV420))+CP420*POWER(MUslave,SIGN(CO420))*POWER(INslave_IN,SIGN(CQ420))*POWER(CHslave,SIGN(CR420))*POWER(FFslave,SIGN(CS420))*POWER(GEslave,SIGN(CT420))*POWER(KOslave,SIGN(CU420))*POWER(KKslave,SIGN(CV420))+CQ420*POWER(MUslave,SIGN(CO420))*POWER(KLslave,SIGN(CP420))*POWER(CHslave,SIGN(CR420))*POWER(FFslave,SIGN(CS420))*POWER(GEslave,SIGN(CT420))*POWER(KOslave,SIGN(CU420))*POWER(KKslave,SIGN(CV420))+CR420*POWER(MUslave,SIGN(CO420))*POWER(KLslave,SIGN(CP420))*POWER(INslave_IN,SIGN(CQ420))*POWER(FFslave,SIGN(CS420))*POWER(GEslave,SIGN(CT420))*POWER(KOslave,SIGN(CU420))*POWER(KKslave,SIGN(CV420))+CS420*POWER(MUslave,SIGN(CO420))*POWER(KLslave,SIGN(CP420))*POWER(INslave_IN,SIGN(CQ420))*POWER(CHslave,SIGN(CR420))*POWER(GEslave,SIGN(CT420))*POWER(KOslave,SIGN(CU420))*POWER(KKslave,SIGN(CV420))+CT420*POWER(MUslave,SIGN(CO420))*POWER(KLslave,SIGN(CP420))*POWER(INslave_IN,SIGN(CQ420))*POWER(CHslave,SIGN(CR420))*POWER(FFslave,SIGN(CS420))*POWER(KOslave,SIGN(CU420))*POWER(KKslave,SIGN(CV420))+CU420*POWER(MUslave,SIGN(CO420))*POWER(KLslave,SIGN(CP420))*POWER(INslave_IN,SIGN(CQ420))*POWER(CHslave,SIGN(CR420))*POWER(FFslave,SIGN(CS420))*POWER(GEslave,SIGN(CT420))*POWER(KKslave,SIGN(CV420))+CV420*POWER(MUslave,SIGN(CO420))*POWER(KLslave,SIGN(CP420))*POWER(INslave_IN,SIGN(CQ420))*POWER(CHslave,SIGN(CR420))*POWER(FFslave,SIGN(CS420))*POWER(GEslave,SIGN(CT420))*POWER(KOslave,SIGN(CU420))</f>
        <v>2432</v>
      </c>
      <c r="DA420" s="234">
        <f>CP420*CQ420*CHslave+CP420*INslave_IN*CR420+KLslave*CQ420*CR420</f>
        <v>3408</v>
      </c>
      <c r="DB420" s="224">
        <f>IFERROR(CO420^SIGN(CO420),1)*IFERROR(CP420^SIGN(CP420),1)*IFERROR(CQ420^SIGN(CQ420),1)*IFERROR(CR420^SIGN(CR420),1)*IFERROR(CS420^SIGN(CS420),1)*IFERROR(CT420^SIGN(CT420),1)*IFERROR(CU420^SIGN(CU420),1)*IFERROR(CV420^SIGN(CV420),1)</f>
        <v>1584</v>
      </c>
      <c r="DC420" s="242">
        <f>SUM(CZ420:DB420)</f>
        <v>7424</v>
      </c>
      <c r="DD420" s="222">
        <f>CW420*CZ420/DC420</f>
        <v>3.8218390804597702</v>
      </c>
      <c r="DE420" s="223">
        <f>CX420*DA420/DC420</f>
        <v>10.711206896551724</v>
      </c>
      <c r="DF420" s="243">
        <f>CY420*DB420/DC420</f>
        <v>7.4676724137931032</v>
      </c>
      <c r="DG420" s="243">
        <f>SUM(DD420:DF420)</f>
        <v>22.000718390804597</v>
      </c>
      <c r="DH420" s="252">
        <f t="shared" si="4533"/>
        <v>0</v>
      </c>
      <c r="DI420" s="309">
        <f>DG420-DH420</f>
        <v>22.000718390804597</v>
      </c>
      <c r="DJ420" s="218">
        <f t="shared" si="4534"/>
        <v>154.01436781609189</v>
      </c>
      <c r="DK420" s="242">
        <f t="shared" si="4534"/>
        <v>2</v>
      </c>
      <c r="DL420" s="243">
        <f>IF((DJ420-DK420)&gt;0,DJ420-DK420,0)</f>
        <v>152.01436781609189</v>
      </c>
      <c r="DM420" s="218">
        <f>IF((DK420-DJ420)&gt;0,DK420-DJ420,0)</f>
        <v>0</v>
      </c>
      <c r="DO420" s="325" t="s">
        <v>244</v>
      </c>
      <c r="DP420" s="218" t="s">
        <v>87</v>
      </c>
      <c r="DQ420" s="223" t="s">
        <v>132</v>
      </c>
      <c r="DR420" s="237"/>
      <c r="DS420" s="234">
        <f>Konvention_1slave-KLslave</f>
        <v>12</v>
      </c>
      <c r="DT420" s="234">
        <f>Konvention_1slave-INslave</f>
        <v>12</v>
      </c>
      <c r="DU420" s="234">
        <f>Konvention_1slave-CHslave_CH</f>
        <v>11</v>
      </c>
      <c r="DV420" s="234"/>
      <c r="DW420" s="234"/>
      <c r="DX420" s="234"/>
      <c r="DY420" s="224"/>
      <c r="DZ420" s="223">
        <f>(DR420+DS420+DT420+DU420+DV420+DW420+DX420+DY420)/3</f>
        <v>11.666666666666666</v>
      </c>
      <c r="EA420" s="223">
        <f>2*DZ420</f>
        <v>23.333333333333332</v>
      </c>
      <c r="EB420" s="234">
        <f>3*DZ420</f>
        <v>35</v>
      </c>
      <c r="EC420" s="237">
        <f>DR420*POWER(KLslave,SIGN(DS420))*POWER(INslave,SIGN(DT420))*POWER(CHslave_CH,SIGN(DU420))*POWER(FFslave,SIGN(DV420))*POWER(GEslave,SIGN(DW420))*POWER(KOslave,SIGN(DX420))*POWER(KKslave,SIGN(DY420))+DS420*POWER(MUslave,SIGN(DR420))*POWER(INslave,SIGN(DT420))*POWER(CHslave_CH,SIGN(DU420))*POWER(FFslave,SIGN(DV420))*POWER(GEslave,SIGN(DW420))*POWER(KOslave,SIGN(DX420))*POWER(KKslave,SIGN(DY420))+DT420*POWER(MUslave,SIGN(DR420))*POWER(KLslave,SIGN(DS420))*POWER(CHslave_CH,SIGN(DU420))*POWER(FFslave,SIGN(DV420))*POWER(GEslave,SIGN(DW420))*POWER(KOslave,SIGN(DX420))*POWER(KKslave,SIGN(DY420))+DU420*POWER(MUslave,SIGN(DR420))*POWER(KLslave,SIGN(DS420))*POWER(INslave,SIGN(DT420))*POWER(FFslave,SIGN(DV420))*POWER(GEslave,SIGN(DW420))*POWER(KOslave,SIGN(DX420))*POWER(KKslave,SIGN(DY420))+DV420*POWER(MUslave,SIGN(DR420))*POWER(KLslave,SIGN(DS420))*POWER(INslave,SIGN(DT420))*POWER(CHslave_CH,SIGN(DU420))*POWER(GEslave,SIGN(DW420))*POWER(KOslave,SIGN(DX420))*POWER(KKslave,SIGN(DY420))+DW420*POWER(MUslave,SIGN(DR420))*POWER(KLslave,SIGN(DS420))*POWER(INslave,SIGN(DT420))*POWER(CHslave_CH,SIGN(DU420))*POWER(FFslave,SIGN(DV420))*POWER(KOslave,SIGN(DX420))*POWER(KKslave,SIGN(DY420))+DX420*POWER(MUslave,SIGN(DR420))*POWER(KLslave,SIGN(DS420))*POWER(INslave,SIGN(DT420))*POWER(CHslave_CH,SIGN(DU420))*POWER(FFslave,SIGN(DV420))*POWER(GEslave,SIGN(DW420))*POWER(KKslave,SIGN(DY420))+DY420*POWER(MUslave,SIGN(DR420))*POWER(KLslave,SIGN(DS420))*POWER(INslave,SIGN(DT420))*POWER(CHslave_CH,SIGN(DU420))*POWER(FFslave,SIGN(DV420))*POWER(GEslave,SIGN(DW420))*POWER(KOslave,SIGN(DX420))</f>
        <v>2432</v>
      </c>
      <c r="ED420" s="234">
        <f>DS420*DT420*CHslave_CH+DS420*INslave*DU420+KLslave*DT420*DU420</f>
        <v>3408</v>
      </c>
      <c r="EE420" s="224">
        <f>IFERROR(DR420^SIGN(DR420),1)*IFERROR(DS420^SIGN(DS420),1)*IFERROR(DT420^SIGN(DT420),1)*IFERROR(DU420^SIGN(DU420),1)*IFERROR(DV420^SIGN(DV420),1)*IFERROR(DW420^SIGN(DW420),1)*IFERROR(DX420^SIGN(DX420),1)*IFERROR(DY420^SIGN(DY420),1)</f>
        <v>1584</v>
      </c>
      <c r="EF420" s="242">
        <f>SUM(EC420:EE420)</f>
        <v>7424</v>
      </c>
      <c r="EG420" s="222">
        <f>DZ420*EC420/EF420</f>
        <v>3.8218390804597702</v>
      </c>
      <c r="EH420" s="223">
        <f>EA420*ED420/EF420</f>
        <v>10.711206896551724</v>
      </c>
      <c r="EI420" s="243">
        <f>EB420*EE420/EF420</f>
        <v>7.4676724137931032</v>
      </c>
      <c r="EJ420" s="243">
        <f>SUM(EG420:EI420)</f>
        <v>22.000718390804597</v>
      </c>
      <c r="EK420" s="252">
        <f t="shared" si="4535"/>
        <v>0</v>
      </c>
      <c r="EL420" s="309">
        <f>EJ420-EK420</f>
        <v>22.000718390804597</v>
      </c>
      <c r="EM420" s="218">
        <f t="shared" si="4536"/>
        <v>154.01436781609189</v>
      </c>
      <c r="EN420" s="242">
        <f t="shared" si="4536"/>
        <v>2</v>
      </c>
      <c r="EO420" s="243">
        <f>IF((EM420-EN420)&gt;0,EM420-EN420,0)</f>
        <v>152.01436781609189</v>
      </c>
      <c r="EP420" s="218">
        <f>IF((EN420-EM420)&gt;0,EN420-EM420,0)</f>
        <v>0</v>
      </c>
      <c r="ER420" s="325" t="s">
        <v>244</v>
      </c>
      <c r="ES420" s="218" t="s">
        <v>87</v>
      </c>
      <c r="ET420" s="223" t="s">
        <v>132</v>
      </c>
      <c r="EU420" s="237"/>
      <c r="EV420" s="234">
        <f>Konvention_1slave-KLslave</f>
        <v>12</v>
      </c>
      <c r="EW420" s="234">
        <f>Konvention_1slave-INslave</f>
        <v>12</v>
      </c>
      <c r="EX420" s="234">
        <f>Konvention_1slave-CHslave</f>
        <v>12</v>
      </c>
      <c r="EY420" s="234"/>
      <c r="EZ420" s="234"/>
      <c r="FA420" s="234"/>
      <c r="FB420" s="224"/>
      <c r="FC420" s="223">
        <f>(EU420+EV420+EW420+EX420+EY420+EZ420+FA420+FB420)/3</f>
        <v>12</v>
      </c>
      <c r="FD420" s="223">
        <f>2*FC420</f>
        <v>24</v>
      </c>
      <c r="FE420" s="234">
        <f>3*FC420</f>
        <v>36</v>
      </c>
      <c r="FF420" s="237">
        <f>EU420*POWER(KLslave,SIGN(EV420))*POWER(INslave,SIGN(EW420))*POWER(CHslave,SIGN(EX420))*POWER(FFslave_FF,SIGN(EY420))*POWER(GEslave,SIGN(EZ420))*POWER(KOslave,SIGN(FA420))*POWER(KKslave,SIGN(FB420))+EV420*POWER(MUslave,SIGN(EU420))*POWER(INslave,SIGN(EW420))*POWER(CHslave,SIGN(EX420))*POWER(FFslave_FF,SIGN(EY420))*POWER(GEslave,SIGN(EZ420))*POWER(KOslave,SIGN(FA420))*POWER(KKslave,SIGN(FB420))+EW420*POWER(MUslave,SIGN(EU420))*POWER(KLslave,SIGN(EV420))*POWER(CHslave,SIGN(EX420))*POWER(FFslave_FF,SIGN(EY420))*POWER(GEslave,SIGN(EZ420))*POWER(KOslave,SIGN(FA420))*POWER(KKslave,SIGN(FB420))+EX420*POWER(MUslave,SIGN(EU420))*POWER(KLslave,SIGN(EV420))*POWER(INslave,SIGN(EW420))*POWER(FFslave_FF,SIGN(EY420))*POWER(GEslave,SIGN(EZ420))*POWER(KOslave,SIGN(FA420))*POWER(KKslave,SIGN(FB420))+EY420*POWER(MUslave,SIGN(EU420))*POWER(KLslave,SIGN(EV420))*POWER(INslave,SIGN(EW420))*POWER(CHslave,SIGN(EX420))*POWER(GEslave,SIGN(EZ420))*POWER(KOslave,SIGN(FA420))*POWER(KKslave,SIGN(FB420))+EZ420*POWER(MUslave,SIGN(EU420))*POWER(KLslave,SIGN(EV420))*POWER(INslave,SIGN(EW420))*POWER(CHslave,SIGN(EX420))*POWER(FFslave_FF,SIGN(EY420))*POWER(KOslave,SIGN(FA420))*POWER(KKslave,SIGN(FB420))+FA420*POWER(MUslave,SIGN(EU420))*POWER(KLslave,SIGN(EV420))*POWER(INslave,SIGN(EW420))*POWER(CHslave,SIGN(EX420))*POWER(FFslave_FF,SIGN(EY420))*POWER(GEslave,SIGN(EZ420))*POWER(KKslave,SIGN(FB420))+FB420*POWER(MUslave,SIGN(EU420))*POWER(KLslave,SIGN(EV420))*POWER(INslave,SIGN(EW420))*POWER(CHslave,SIGN(EX420))*POWER(FFslave_FF,SIGN(EY420))*POWER(GEslave,SIGN(EZ420))*POWER(KOslave,SIGN(FA420))</f>
        <v>2304</v>
      </c>
      <c r="FG420" s="234">
        <f>EV420*EW420*CHslave+EV420*INslave*EX420+KLslave*EW420*EX420</f>
        <v>3456</v>
      </c>
      <c r="FH420" s="224">
        <f>IFERROR(EU420^SIGN(EU420),1)*IFERROR(EV420^SIGN(EV420),1)*IFERROR(EW420^SIGN(EW420),1)*IFERROR(EX420^SIGN(EX420),1)*IFERROR(EY420^SIGN(EY420),1)*IFERROR(EZ420^SIGN(EZ420),1)*IFERROR(FA420^SIGN(FA420),1)*IFERROR(FB420^SIGN(FB420),1)</f>
        <v>1728</v>
      </c>
      <c r="FI420" s="242">
        <f>SUM(FF420:FH420)</f>
        <v>7488</v>
      </c>
      <c r="FJ420" s="222">
        <f>FC420*FF420/FI420</f>
        <v>3.6923076923076925</v>
      </c>
      <c r="FK420" s="223">
        <f>FD420*FG420/FI420</f>
        <v>11.076923076923077</v>
      </c>
      <c r="FL420" s="243">
        <f>FE420*FH420/FI420</f>
        <v>8.3076923076923084</v>
      </c>
      <c r="FM420" s="243">
        <f>SUM(FJ420:FL420)</f>
        <v>23.07692307692308</v>
      </c>
      <c r="FN420" s="252">
        <f t="shared" si="4537"/>
        <v>0</v>
      </c>
      <c r="FO420" s="309">
        <f>FM420-FN420</f>
        <v>23.07692307692308</v>
      </c>
      <c r="FP420" s="218">
        <f t="shared" si="4538"/>
        <v>175.5384615384616</v>
      </c>
      <c r="FQ420" s="242">
        <f t="shared" si="4538"/>
        <v>2</v>
      </c>
      <c r="FR420" s="243">
        <f>IF((FP420-FQ420)&gt;0,FP420-FQ420,0)</f>
        <v>173.5384615384616</v>
      </c>
      <c r="FS420" s="218">
        <f>IF((FQ420-FP420)&gt;0,FQ420-FP420,0)</f>
        <v>0</v>
      </c>
      <c r="FU420" s="325" t="s">
        <v>244</v>
      </c>
      <c r="FV420" s="218" t="s">
        <v>87</v>
      </c>
      <c r="FW420" s="223" t="s">
        <v>132</v>
      </c>
      <c r="FX420" s="237"/>
      <c r="FY420" s="234">
        <f>Konvention_1slave-KLslave</f>
        <v>12</v>
      </c>
      <c r="FZ420" s="234">
        <f>Konvention_1slave-INslave</f>
        <v>12</v>
      </c>
      <c r="GA420" s="234">
        <f>Konvention_1slave-CHslave</f>
        <v>12</v>
      </c>
      <c r="GB420" s="234"/>
      <c r="GC420" s="234"/>
      <c r="GD420" s="234"/>
      <c r="GE420" s="224"/>
      <c r="GF420" s="223">
        <f>(FX420+FY420+FZ420+GA420+GB420+GC420+GD420+GE420)/3</f>
        <v>12</v>
      </c>
      <c r="GG420" s="223">
        <f>2*GF420</f>
        <v>24</v>
      </c>
      <c r="GH420" s="234">
        <f>3*GF420</f>
        <v>36</v>
      </c>
      <c r="GI420" s="237">
        <f>FX420*POWER(KLslave,SIGN(FY420))*POWER(INslave,SIGN(FZ420))*POWER(CHslave,SIGN(GA420))*POWER(FFslave,SIGN(GB420))*POWER(GEslave_GE,SIGN(GC420))*POWER(KOslave,SIGN(GD420))*POWER(KKslave,SIGN(GE420))+FY420*POWER(MUslave,SIGN(FX420))*POWER(INslave,SIGN(FZ420))*POWER(CHslave,SIGN(GA420))*POWER(FFslave,SIGN(GB420))*POWER(GEslave_GE,SIGN(GC420))*POWER(KOslave,SIGN(GD420))*POWER(KKslave,SIGN(GE420))+FZ420*POWER(MUslave,SIGN(FX420))*POWER(KLslave,SIGN(FY420))*POWER(CHslave,SIGN(GA420))*POWER(FFslave,SIGN(GB420))*POWER(GEslave_GE,SIGN(GC420))*POWER(KOslave,SIGN(GD420))*POWER(KKslave,SIGN(GE420))+GA420*POWER(MUslave,SIGN(FX420))*POWER(KLslave,SIGN(FY420))*POWER(INslave,SIGN(FZ420))*POWER(FFslave,SIGN(GB420))*POWER(GEslave_GE,SIGN(GC420))*POWER(KOslave,SIGN(GD420))*POWER(KKslave,SIGN(GE420))+GB420*POWER(MUslave,SIGN(FX420))*POWER(KLslave,SIGN(FY420))*POWER(INslave,SIGN(FZ420))*POWER(CHslave,SIGN(GA420))*POWER(GEslave_GE,SIGN(GC420))*POWER(KOslave,SIGN(GD420))*POWER(KKslave,SIGN(GE420))+GC420*POWER(MUslave,SIGN(FX420))*POWER(KLslave,SIGN(FY420))*POWER(INslave,SIGN(FZ420))*POWER(CHslave,SIGN(GA420))*POWER(FFslave,SIGN(GB420))*POWER(KOslave,SIGN(GD420))*POWER(KKslave,SIGN(GE420))+GD420*POWER(MUslave,SIGN(FX420))*POWER(KLslave,SIGN(FY420))*POWER(INslave,SIGN(FZ420))*POWER(CHslave,SIGN(GA420))*POWER(FFslave,SIGN(GB420))*POWER(GEslave_GE,SIGN(GC420))*POWER(KKslave,SIGN(GE420))+GE420*POWER(MUslave,SIGN(FX420))*POWER(KLslave,SIGN(FY420))*POWER(INslave,SIGN(FZ420))*POWER(CHslave,SIGN(GA420))*POWER(FFslave,SIGN(GB420))*POWER(GEslave_GE,SIGN(GC420))*POWER(KOslave,SIGN(GD420))</f>
        <v>2304</v>
      </c>
      <c r="GJ420" s="234">
        <f>FY420*FZ420*CHslave+FY420*INslave*GA420+KLslave*FZ420*GA420</f>
        <v>3456</v>
      </c>
      <c r="GK420" s="224">
        <f>IFERROR(FX420^SIGN(FX420),1)*IFERROR(FY420^SIGN(FY420),1)*IFERROR(FZ420^SIGN(FZ420),1)*IFERROR(GA420^SIGN(GA420),1)*IFERROR(GB420^SIGN(GB420),1)*IFERROR(GC420^SIGN(GC420),1)*IFERROR(GD420^SIGN(GD420),1)*IFERROR(GE420^SIGN(GE420),1)</f>
        <v>1728</v>
      </c>
      <c r="GL420" s="242">
        <f>SUM(GI420:GK420)</f>
        <v>7488</v>
      </c>
      <c r="GM420" s="222">
        <f>GF420*GI420/GL420</f>
        <v>3.6923076923076925</v>
      </c>
      <c r="GN420" s="223">
        <f>GG420*GJ420/GL420</f>
        <v>11.076923076923077</v>
      </c>
      <c r="GO420" s="243">
        <f>GH420*GK420/GL420</f>
        <v>8.3076923076923084</v>
      </c>
      <c r="GP420" s="243">
        <f>SUM(GM420:GO420)</f>
        <v>23.07692307692308</v>
      </c>
      <c r="GQ420" s="252">
        <f t="shared" si="4539"/>
        <v>0</v>
      </c>
      <c r="GR420" s="309">
        <f>GP420-GQ420</f>
        <v>23.07692307692308</v>
      </c>
      <c r="GS420" s="218">
        <f t="shared" si="4540"/>
        <v>175.5384615384616</v>
      </c>
      <c r="GT420" s="242">
        <f t="shared" si="4540"/>
        <v>2</v>
      </c>
      <c r="GU420" s="243">
        <f>IF((GS420-GT420)&gt;0,GS420-GT420,0)</f>
        <v>173.5384615384616</v>
      </c>
      <c r="GV420" s="218">
        <f>IF((GT420-GS420)&gt;0,GT420-GS420,0)</f>
        <v>0</v>
      </c>
      <c r="GX420" s="325" t="s">
        <v>244</v>
      </c>
      <c r="GY420" s="218" t="s">
        <v>87</v>
      </c>
      <c r="GZ420" s="223" t="s">
        <v>132</v>
      </c>
      <c r="HA420" s="237"/>
      <c r="HB420" s="234">
        <f>Konvention_1slave-KLslave</f>
        <v>12</v>
      </c>
      <c r="HC420" s="234">
        <f>Konvention_1slave-INslave</f>
        <v>12</v>
      </c>
      <c r="HD420" s="234">
        <f>Konvention_1slave-CHslave</f>
        <v>12</v>
      </c>
      <c r="HE420" s="234"/>
      <c r="HF420" s="234"/>
      <c r="HG420" s="234"/>
      <c r="HH420" s="224"/>
      <c r="HI420" s="223">
        <f>(HA420+HB420+HC420+HD420+HE420+HF420+HG420+HH420)/3</f>
        <v>12</v>
      </c>
      <c r="HJ420" s="223">
        <f>2*HI420</f>
        <v>24</v>
      </c>
      <c r="HK420" s="234">
        <f>3*HI420</f>
        <v>36</v>
      </c>
      <c r="HL420" s="237">
        <f>HA420*POWER(KLslave,SIGN(HB420))*POWER(INslave,SIGN(HC420))*POWER(CHslave,SIGN(HD420))*POWER(FFslave,SIGN(HE420))*POWER(GEslave,SIGN(HF420))*POWER(KOslave_KO,SIGN(HG420))*POWER(KKslave,SIGN(HH420))+HB420*POWER(MUslave,SIGN(HA420))*POWER(INslave,SIGN(HC420))*POWER(CHslave,SIGN(HD420))*POWER(FFslave,SIGN(HE420))*POWER(GEslave,SIGN(HF420))*POWER(KOslave_KO,SIGN(HG420))*POWER(KKslave,SIGN(HH420))+HC420*POWER(MUslave,SIGN(HA420))*POWER(KLslave,SIGN(HB420))*POWER(CHslave,SIGN(HD420))*POWER(FFslave,SIGN(HE420))*POWER(GEslave,SIGN(HF420))*POWER(KOslave_KO,SIGN(HG420))*POWER(KKslave,SIGN(HH420))+HD420*POWER(MUslave,SIGN(HA420))*POWER(KLslave,SIGN(HB420))*POWER(INslave,SIGN(HC420))*POWER(FFslave,SIGN(HE420))*POWER(GEslave,SIGN(HF420))*POWER(KOslave_KO,SIGN(HG420))*POWER(KKslave,SIGN(HH420))+HE420*POWER(MUslave,SIGN(HA420))*POWER(KLslave,SIGN(HB420))*POWER(INslave,SIGN(HC420))*POWER(CHslave,SIGN(HD420))*POWER(GEslave,SIGN(HF420))*POWER(KOslave_KO,SIGN(HG420))*POWER(KKslave,SIGN(HH420))+HF420*POWER(MUslave,SIGN(HA420))*POWER(KLslave,SIGN(HB420))*POWER(INslave,SIGN(HC420))*POWER(CHslave,SIGN(HD420))*POWER(FFslave,SIGN(HE420))*POWER(KOslave_KO,SIGN(HG420))*POWER(KKslave,SIGN(HH420))+HG420*POWER(MUslave,SIGN(HA420))*POWER(KLslave,SIGN(HB420))*POWER(INslave,SIGN(HC420))*POWER(CHslave,SIGN(HD420))*POWER(FFslave,SIGN(HE420))*POWER(GEslave,SIGN(HF420))*POWER(KKslave,SIGN(HH420))+HH420*POWER(MUslave,SIGN(HA420))*POWER(KLslave,SIGN(HB420))*POWER(INslave,SIGN(HC420))*POWER(CHslave,SIGN(HD420))*POWER(FFslave,SIGN(HE420))*POWER(GEslave,SIGN(HF420))*POWER(KOslave_KO,SIGN(HG420))</f>
        <v>2304</v>
      </c>
      <c r="HM420" s="234">
        <f>HB420*HC420*CHslave+HB420*INslave*HD420+KLslave*HC420*HD420</f>
        <v>3456</v>
      </c>
      <c r="HN420" s="224">
        <f>IFERROR(HA420^SIGN(HA420),1)*IFERROR(HB420^SIGN(HB420),1)*IFERROR(HC420^SIGN(HC420),1)*IFERROR(HD420^SIGN(HD420),1)*IFERROR(HE420^SIGN(HE420),1)*IFERROR(HF420^SIGN(HF420),1)*IFERROR(HG420^SIGN(HG420),1)*IFERROR(HH420^SIGN(HH420),1)</f>
        <v>1728</v>
      </c>
      <c r="HO420" s="242">
        <f>SUM(HL420:HN420)</f>
        <v>7488</v>
      </c>
      <c r="HP420" s="222">
        <f>HI420*HL420/HO420</f>
        <v>3.6923076923076925</v>
      </c>
      <c r="HQ420" s="223">
        <f>HJ420*HM420/HO420</f>
        <v>11.076923076923077</v>
      </c>
      <c r="HR420" s="243">
        <f>HK420*HN420/HO420</f>
        <v>8.3076923076923084</v>
      </c>
      <c r="HS420" s="243">
        <f>SUM(HP420:HR420)</f>
        <v>23.07692307692308</v>
      </c>
      <c r="HT420" s="252">
        <f t="shared" si="4541"/>
        <v>0</v>
      </c>
      <c r="HU420" s="309">
        <f>HS420-HT420</f>
        <v>23.07692307692308</v>
      </c>
      <c r="HV420" s="218">
        <f t="shared" si="4542"/>
        <v>175.5384615384616</v>
      </c>
      <c r="HW420" s="242">
        <f t="shared" si="4542"/>
        <v>2</v>
      </c>
      <c r="HX420" s="243">
        <f>IF((HV420-HW420)&gt;0,HV420-HW420,0)</f>
        <v>173.5384615384616</v>
      </c>
      <c r="HY420" s="218">
        <f>IF((HW420-HV420)&gt;0,HW420-HV420,0)</f>
        <v>0</v>
      </c>
      <c r="IA420" s="325" t="s">
        <v>244</v>
      </c>
      <c r="IB420" s="218" t="s">
        <v>87</v>
      </c>
      <c r="IC420" s="223" t="s">
        <v>132</v>
      </c>
      <c r="ID420" s="237"/>
      <c r="IE420" s="234">
        <f>Konvention_1slave-KLslave</f>
        <v>12</v>
      </c>
      <c r="IF420" s="234">
        <f>Konvention_1slave-INslave</f>
        <v>12</v>
      </c>
      <c r="IG420" s="234">
        <f>Konvention_1slave-CHslave</f>
        <v>12</v>
      </c>
      <c r="IH420" s="234"/>
      <c r="II420" s="234"/>
      <c r="IJ420" s="234"/>
      <c r="IK420" s="224"/>
      <c r="IL420" s="223">
        <f>(ID420+IE420+IF420+IG420+IH420+II420+IJ420+IK420)/3</f>
        <v>12</v>
      </c>
      <c r="IM420" s="223">
        <f>2*IL420</f>
        <v>24</v>
      </c>
      <c r="IN420" s="234">
        <f>3*IL420</f>
        <v>36</v>
      </c>
      <c r="IO420" s="237">
        <f>ID420*POWER(KLslave,SIGN(IE420))*POWER(INslave,SIGN(IF420))*POWER(CHslave,SIGN(IG420))*POWER(FFslave,SIGN(IH420))*POWER(GEslave,SIGN(II420))*POWER(KOslave,SIGN(IJ420))*POWER(KKslave_KK,SIGN(IK420))+IE420*POWER(MUslave,SIGN(ID420))*POWER(INslave,SIGN(IF420))*POWER(CHslave,SIGN(IG420))*POWER(FFslave,SIGN(IH420))*POWER(GEslave,SIGN(II420))*POWER(KOslave,SIGN(IJ420))*POWER(KKslave_KK,SIGN(IK420))+IF420*POWER(MUslave,SIGN(ID420))*POWER(KLslave,SIGN(IE420))*POWER(CHslave,SIGN(IG420))*POWER(FFslave,SIGN(IH420))*POWER(GEslave,SIGN(II420))*POWER(KOslave,SIGN(IJ420))*POWER(KKslave_KK,SIGN(IK420))+IG420*POWER(MUslave,SIGN(ID420))*POWER(KLslave,SIGN(IE420))*POWER(INslave,SIGN(IF420))*POWER(FFslave,SIGN(IH420))*POWER(GEslave,SIGN(II420))*POWER(KOslave,SIGN(IJ420))*POWER(KKslave_KK,SIGN(IK420))+IH420*POWER(MUslave,SIGN(ID420))*POWER(KLslave,SIGN(IE420))*POWER(INslave,SIGN(IF420))*POWER(CHslave,SIGN(IG420))*POWER(GEslave,SIGN(II420))*POWER(KOslave,SIGN(IJ420))*POWER(KKslave_KK,SIGN(IK420))+II420*POWER(MUslave,SIGN(ID420))*POWER(KLslave,SIGN(IE420))*POWER(INslave,SIGN(IF420))*POWER(CHslave,SIGN(IG420))*POWER(FFslave,SIGN(IH420))*POWER(KOslave,SIGN(IJ420))*POWER(KKslave_KK,SIGN(IK420))+IJ420*POWER(MUslave,SIGN(ID420))*POWER(KLslave,SIGN(IE420))*POWER(INslave,SIGN(IF420))*POWER(CHslave,SIGN(IG420))*POWER(FFslave,SIGN(IH420))*POWER(GEslave,SIGN(II420))*POWER(KKslave_KK,SIGN(IK420))+IK420*POWER(MUslave,SIGN(ID420))*POWER(KLslave,SIGN(IE420))*POWER(INslave,SIGN(IF420))*POWER(CHslave,SIGN(IG420))*POWER(FFslave,SIGN(IH420))*POWER(GEslave,SIGN(II420))*POWER(KOslave,SIGN(IJ420))</f>
        <v>2304</v>
      </c>
      <c r="IP420" s="234">
        <f>IE420*IF420*CHslave+IE420*INslave*IG420+KLslave*IF420*IG420</f>
        <v>3456</v>
      </c>
      <c r="IQ420" s="224">
        <f>IFERROR(ID420^SIGN(ID420),1)*IFERROR(IE420^SIGN(IE420),1)*IFERROR(IF420^SIGN(IF420),1)*IFERROR(IG420^SIGN(IG420),1)*IFERROR(IH420^SIGN(IH420),1)*IFERROR(II420^SIGN(II420),1)*IFERROR(IJ420^SIGN(IJ420),1)*IFERROR(IK420^SIGN(IK420),1)</f>
        <v>1728</v>
      </c>
      <c r="IR420" s="242">
        <f>SUM(IO420:IQ420)</f>
        <v>7488</v>
      </c>
      <c r="IS420" s="222">
        <f>IL420*IO420/IR420</f>
        <v>3.6923076923076925</v>
      </c>
      <c r="IT420" s="223">
        <f>IM420*IP420/IR420</f>
        <v>11.076923076923077</v>
      </c>
      <c r="IU420" s="243">
        <f>IN420*IQ420/IR420</f>
        <v>8.3076923076923084</v>
      </c>
      <c r="IV420" s="243">
        <f>SUM(IS420:IU420)</f>
        <v>23.07692307692308</v>
      </c>
      <c r="IW420" s="252">
        <f t="shared" si="4543"/>
        <v>0</v>
      </c>
      <c r="IX420" s="309">
        <f>IV420-IW420</f>
        <v>23.07692307692308</v>
      </c>
      <c r="IY420" s="218">
        <f t="shared" si="4544"/>
        <v>175.5384615384616</v>
      </c>
      <c r="IZ420" s="242">
        <f t="shared" si="4544"/>
        <v>2</v>
      </c>
      <c r="JA420" s="243">
        <f>IF((IY420-IZ420)&gt;0,IY420-IZ420,0)</f>
        <v>173.5384615384616</v>
      </c>
      <c r="JB420" s="218">
        <f>IF((IZ420-IY420)&gt;0,IZ420-IY420,0)</f>
        <v>0</v>
      </c>
      <c r="JE420" s="148"/>
    </row>
    <row r="421" spans="2:265" ht="15" hidden="1" customHeight="1" outlineLevel="2">
      <c r="B421" s="148">
        <v>3</v>
      </c>
      <c r="C421" s="325" t="e">
        <f>VLOOKUP(AF421,Attribute!C:T,1,FALSE)</f>
        <v>#N/A</v>
      </c>
      <c r="D421" s="86" t="s">
        <v>87</v>
      </c>
      <c r="E421" s="47" t="s">
        <v>132</v>
      </c>
      <c r="F421" s="114"/>
      <c r="G421" s="113">
        <f>Konvention_1master-KLmaster</f>
        <v>12</v>
      </c>
      <c r="H421" s="113">
        <f>Konvention_1master-INmaster</f>
        <v>12</v>
      </c>
      <c r="I421" s="113">
        <f>Konvention_1master-CHmaster</f>
        <v>12</v>
      </c>
      <c r="J421" s="113"/>
      <c r="K421" s="113"/>
      <c r="L421" s="113"/>
      <c r="M421" s="119"/>
      <c r="N421" s="223">
        <f>(F421+G421+H421+I421+J421+K421+L421+M421)/3</f>
        <v>12</v>
      </c>
      <c r="O421" s="223">
        <f>2*N421</f>
        <v>24</v>
      </c>
      <c r="P421" s="234">
        <f>3*N421</f>
        <v>36</v>
      </c>
      <c r="Q421" s="237">
        <f>F421*POWER(KLmaster,SIGN(G421))*POWER(INmaster,SIGN(H421))*POWER(CHmaster,SIGN(I421))*POWER(FFmaster,SIGN(J421))*POWER(GEmaster,SIGN(K421))*POWER(KOmaster,SIGN(L421))*POWER(KKmaster,SIGN(M421))+G421*POWER(MUmaster,SIGN(F421))*POWER(INmaster,SIGN(H421))*POWER(CHmaster,SIGN(I421))*POWER(FFmaster,SIGN(J421))*POWER(GEmaster,SIGN(K421))*POWER(KOmaster,SIGN(L421))*POWER(KKmaster,SIGN(M421))+H421*POWER(MUmaster,SIGN(F421))*POWER(KLmaster,SIGN(G421))*POWER(CHmaster,SIGN(I421))*POWER(FFmaster,SIGN(J421))*POWER(GEmaster,SIGN(K421))*POWER(KOmaster,SIGN(L421))*POWER(KKmaster,SIGN(M421))+I421*POWER(MUmaster,SIGN(F421))*POWER(KLmaster,SIGN(G421))*POWER(INmaster,SIGN(H421))*POWER(FFmaster,SIGN(J421))*POWER(GEmaster,SIGN(K421))*POWER(KOmaster,SIGN(L421))*POWER(KKmaster,SIGN(M421))+J421*POWER(MUmaster,SIGN(F421))*POWER(KLmaster,SIGN(G421))*POWER(INmaster,SIGN(H421))*POWER(CHmaster,SIGN(I421))*POWER(GEmaster,SIGN(K421))*POWER(KOmaster,SIGN(L421))*POWER(KKmaster,SIGN(M421))+K421*POWER(MUmaster,SIGN(F421))*POWER(KLmaster,SIGN(G421))*POWER(INmaster,SIGN(H421))*POWER(CHmaster,SIGN(I421))*POWER(FFmaster,SIGN(J421))*POWER(KOmaster,SIGN(L421))*POWER(KKmaster,SIGN(M421))+L421*POWER(MUmaster,SIGN(F421))*POWER(KLmaster,SIGN(G421))*POWER(INmaster,SIGN(H421))*POWER(CHmaster,SIGN(I421))*POWER(FFmaster,SIGN(J421))*POWER(GEmaster,SIGN(K421))*POWER(KKmaster,SIGN(M421))+M421*POWER(MUmaster,SIGN(F421))*POWER(KLmaster,SIGN(G421))*POWER(INmaster,SIGN(H421))*POWER(CHmaster,SIGN(I421))*POWER(FFmaster,SIGN(J421))*POWER(GEmaster,SIGN(K421))*POWER(KOmaster,SIGN(L421))</f>
        <v>2304</v>
      </c>
      <c r="R421" s="113">
        <f>G421*H421*CHmaster+G421*INmaster*I421+KLmaster*H421*I421</f>
        <v>3456</v>
      </c>
      <c r="S421" s="224">
        <f>IFERROR(F421^SIGN(F421),1)*IFERROR(G421^SIGN(G421),1)*IFERROR(H421^SIGN(H421),1)*IFERROR(I421^SIGN(I421),1)*IFERROR(J421^SIGN(J421),1)*IFERROR(K421^SIGN(K421),1)*IFERROR(L421^SIGN(L421),1)*IFERROR(M421^SIGN(M421),1)</f>
        <v>1728</v>
      </c>
      <c r="T421" s="242">
        <f>SUM(Q421:S421)</f>
        <v>7488</v>
      </c>
      <c r="U421" s="222">
        <f>N421*Q421/T421</f>
        <v>3.6923076923076925</v>
      </c>
      <c r="V421" s="223">
        <f>O421*R421/T421</f>
        <v>11.076923076923077</v>
      </c>
      <c r="W421" s="243">
        <f>P421*S421/T421</f>
        <v>8.3076923076923084</v>
      </c>
      <c r="X421" s="243">
        <f>SUM(U421:W421)</f>
        <v>23.07692307692308</v>
      </c>
      <c r="Y421" s="252">
        <v>0</v>
      </c>
      <c r="Z421" s="198">
        <f>X421-Y421</f>
        <v>23.07692307692308</v>
      </c>
      <c r="AA421" s="125">
        <f t="shared" si="4528"/>
        <v>175.5384615384616</v>
      </c>
      <c r="AB421" s="160">
        <f t="shared" si="4528"/>
        <v>2</v>
      </c>
      <c r="AC421" s="127">
        <f>IF((AA421-AB421)&gt;0,AA421-AB421,0)</f>
        <v>173.5384615384616</v>
      </c>
      <c r="AD421" s="125">
        <f>IF((AB421-AA421)&gt;0,AB421-AA421,0)</f>
        <v>0</v>
      </c>
      <c r="AF421" s="177" t="s">
        <v>247</v>
      </c>
      <c r="AG421" s="125" t="s">
        <v>87</v>
      </c>
      <c r="AH421" s="47" t="s">
        <v>132</v>
      </c>
      <c r="AI421" s="114"/>
      <c r="AJ421" s="113">
        <f>Konvention_1slave-KLslave</f>
        <v>12</v>
      </c>
      <c r="AK421" s="113">
        <f>Konvention_1slave-INslave</f>
        <v>12</v>
      </c>
      <c r="AL421" s="113">
        <f>Konvention_1slave-CHslave</f>
        <v>12</v>
      </c>
      <c r="AM421" s="113"/>
      <c r="AN421" s="113"/>
      <c r="AO421" s="113"/>
      <c r="AP421" s="119"/>
      <c r="AQ421" s="47">
        <f>(AI421+AJ421+AK421+AL421+AM421+AN421+AO421+AP421)/3</f>
        <v>12</v>
      </c>
      <c r="AR421" s="47">
        <f>2*AQ421</f>
        <v>24</v>
      </c>
      <c r="AS421" s="113">
        <f>3*AQ421</f>
        <v>36</v>
      </c>
      <c r="AT421" s="114">
        <f>AI421*POWER(KLslave,SIGN(AJ421))*POWER(INslave,SIGN(AK421))*POWER(CHslave,SIGN(AL421))*POWER(FFslave,SIGN(AM421))*POWER(GEslave,SIGN(AN421))*POWER(KOslave,SIGN(AO421))*POWER(KKslave,SIGN(AP421))+AJ421*POWER(MUslave_MU,SIGN(AI421))*POWER(INslave,SIGN(AK421))*POWER(CHslave,SIGN(AL421))*POWER(FFslave,SIGN(AM421))*POWER(GEslave,SIGN(AN421))*POWER(KOslave,SIGN(AO421))*POWER(KKslave,SIGN(AP421))+AK421*POWER(MUslave_MU,SIGN(AI421))*POWER(KLslave,SIGN(AJ421))*POWER(CHslave,SIGN(AL421))*POWER(FFslave,SIGN(AM421))*POWER(GEslave,SIGN(AN421))*POWER(KOslave,SIGN(AO421))*POWER(KKslave,SIGN(AP421))+AL421*POWER(MUslave_MU,SIGN(AI421))*POWER(KLslave,SIGN(AJ421))*POWER(INslave,SIGN(AK421))*POWER(FFslave,SIGN(AM421))*POWER(GEslave,SIGN(AN421))*POWER(KOslave,SIGN(AO421))*POWER(KKslave,SIGN(AP421))+AM421*POWER(MUslave_MU,SIGN(AI421))*POWER(KLslave,SIGN(AJ421))*POWER(INslave,SIGN(AK421))*POWER(CHslave,SIGN(AL421))*POWER(GEslave,SIGN(AN421))*POWER(KOslave,SIGN(AO421))*POWER(KKslave,SIGN(AP421))+AN421*POWER(MUslave_MU,SIGN(AI421))*POWER(KLslave,SIGN(AJ421))*POWER(INslave,SIGN(AK421))*POWER(CHslave,SIGN(AL421))*POWER(FFslave,SIGN(AM421))*POWER(KOslave,SIGN(AO421))*POWER(KKslave,SIGN(AP421))+AO421*POWER(MUslave_MU,SIGN(AI421))*POWER(KLslave,SIGN(AJ421))*POWER(INslave,SIGN(AK421))*POWER(CHslave,SIGN(AL421))*POWER(FFslave,SIGN(AM421))*POWER(GEslave,SIGN(AN421))*POWER(KKslave,SIGN(AP421))+AP421*POWER(MUslave_MU,SIGN(AI421))*POWER(KLslave,SIGN(AJ421))*POWER(INslave,SIGN(AK421))*POWER(CHslave,SIGN(AL421))*POWER(FFslave,SIGN(AM421))*POWER(GEslave,SIGN(AN421))*POWER(KOslave,SIGN(AO421))</f>
        <v>2304</v>
      </c>
      <c r="AU421" s="113">
        <f>AJ421*AK421*CHslave+AJ421*INslave*AL421+KLslave*AK421*AL421</f>
        <v>3456</v>
      </c>
      <c r="AV421" s="119">
        <f>IFERROR(AI421^SIGN(AI421),1)*IFERROR(AJ421^SIGN(AJ421),1)*IFERROR(AK421^SIGN(AK421),1)*IFERROR(AL421^SIGN(AL421),1)*IFERROR(AM421^SIGN(AM421),1)*IFERROR(AN421^SIGN(AN421),1)*IFERROR(AO421^SIGN(AO421),1)*IFERROR(AP421^SIGN(AP421),1)</f>
        <v>1728</v>
      </c>
      <c r="AW421" s="160">
        <f>SUM(AT421:AV421)</f>
        <v>7488</v>
      </c>
      <c r="AX421" s="89">
        <f>AQ421*AT421/AW421</f>
        <v>3.6923076923076925</v>
      </c>
      <c r="AY421" s="47">
        <f>AR421*AU421/AW421</f>
        <v>11.076923076923077</v>
      </c>
      <c r="AZ421" s="127">
        <f>AS421*AV421/AW421</f>
        <v>8.3076923076923084</v>
      </c>
      <c r="BA421" s="127">
        <f>SUM(AX421:AZ421)</f>
        <v>23.07692307692308</v>
      </c>
      <c r="BB421" s="165">
        <f t="shared" si="4529"/>
        <v>0</v>
      </c>
      <c r="BC421" s="198">
        <f>BA421-BB421</f>
        <v>23.07692307692308</v>
      </c>
      <c r="BD421" s="125">
        <f t="shared" si="4530"/>
        <v>175.5384615384616</v>
      </c>
      <c r="BE421" s="160">
        <f t="shared" si="4530"/>
        <v>2</v>
      </c>
      <c r="BF421" s="243">
        <f>IF((BD421-BE421)&gt;0,BD421-BE421,0)</f>
        <v>173.5384615384616</v>
      </c>
      <c r="BG421" s="218">
        <f>IF((BE421-BD421)&gt;0,BE421-BD421,0)</f>
        <v>0</v>
      </c>
      <c r="BI421" s="325" t="s">
        <v>247</v>
      </c>
      <c r="BJ421" s="218" t="s">
        <v>87</v>
      </c>
      <c r="BK421" s="223" t="s">
        <v>132</v>
      </c>
      <c r="BL421" s="237"/>
      <c r="BM421" s="234">
        <f>Konvention_1slave-KLslave_KL</f>
        <v>11</v>
      </c>
      <c r="BN421" s="234">
        <f>Konvention_1slave-INslave</f>
        <v>12</v>
      </c>
      <c r="BO421" s="234">
        <f>Konvention_1slave-CHslave</f>
        <v>12</v>
      </c>
      <c r="BP421" s="234"/>
      <c r="BQ421" s="234"/>
      <c r="BR421" s="234"/>
      <c r="BS421" s="224"/>
      <c r="BT421" s="223">
        <f>(BL421+BM421+BN421+BO421+BP421+BQ421+BR421+BS421)/3</f>
        <v>11.666666666666666</v>
      </c>
      <c r="BU421" s="223">
        <f>2*BT421</f>
        <v>23.333333333333332</v>
      </c>
      <c r="BV421" s="234">
        <f>3*BT421</f>
        <v>35</v>
      </c>
      <c r="BW421" s="237">
        <f>BL421*POWER(KLslave_KL,SIGN(BM421))*POWER(INslave,SIGN(BN421))*POWER(CHslave,SIGN(BO421))*POWER(FFslave,SIGN(BP421))*POWER(GEslave,SIGN(BQ421))*POWER(KOslave,SIGN(BR421))*POWER(KKslave,SIGN(BS421))+BM421*POWER(MUslave,SIGN(BL421))*POWER(INslave,SIGN(BN421))*POWER(CHslave,SIGN(BO421))*POWER(FFslave,SIGN(BP421))*POWER(GEslave,SIGN(BQ421))*POWER(KOslave,SIGN(BR421))*POWER(KKslave,SIGN(BS421))+BN421*POWER(MUslave,SIGN(BL421))*POWER(KLslave_KL,SIGN(BM421))*POWER(CHslave,SIGN(BO421))*POWER(FFslave,SIGN(BP421))*POWER(GEslave,SIGN(BQ421))*POWER(KOslave,SIGN(BR421))*POWER(KKslave,SIGN(BS421))+BO421*POWER(MUslave,SIGN(BL421))*POWER(KLslave_KL,SIGN(BM421))*POWER(INslave,SIGN(BN421))*POWER(FFslave,SIGN(BP421))*POWER(GEslave,SIGN(BQ421))*POWER(KOslave,SIGN(BR421))*POWER(KKslave,SIGN(BS421))+BP421*POWER(MUslave,SIGN(BL421))*POWER(KLslave_KL,SIGN(BM421))*POWER(INslave,SIGN(BN421))*POWER(CHslave,SIGN(BO421))*POWER(GEslave,SIGN(BQ421))*POWER(KOslave,SIGN(BR421))*POWER(KKslave,SIGN(BS421))+BQ421*POWER(MUslave,SIGN(BL421))*POWER(KLslave_KL,SIGN(BM421))*POWER(INslave,SIGN(BN421))*POWER(CHslave,SIGN(BO421))*POWER(FFslave,SIGN(BP421))*POWER(KOslave,SIGN(BR421))*POWER(KKslave,SIGN(BS421))+BR421*POWER(MUslave,SIGN(BL421))*POWER(KLslave_KL,SIGN(BM421))*POWER(INslave,SIGN(BN421))*POWER(CHslave,SIGN(BO421))*POWER(FFslave,SIGN(BP421))*POWER(GEslave,SIGN(BQ421))*POWER(KKslave,SIGN(BS421))+BS421*POWER(MUslave,SIGN(BL421))*POWER(KLslave_KL,SIGN(BM421))*POWER(INslave,SIGN(BN421))*POWER(CHslave,SIGN(BO421))*POWER(FFslave,SIGN(BP421))*POWER(GEslave,SIGN(BQ421))*POWER(KOslave,SIGN(BR421))</f>
        <v>2432</v>
      </c>
      <c r="BX421" s="234">
        <f>BM421*BN421*CHslave+BM421*INslave*BO421+KLslave_KL*BN421*BO421</f>
        <v>3408</v>
      </c>
      <c r="BY421" s="224">
        <f>IFERROR(BL421^SIGN(BL421),1)*IFERROR(BM421^SIGN(BM421),1)*IFERROR(BN421^SIGN(BN421),1)*IFERROR(BO421^SIGN(BO421),1)*IFERROR(BP421^SIGN(BP421),1)*IFERROR(BQ421^SIGN(BQ421),1)*IFERROR(BR421^SIGN(BR421),1)*IFERROR(BS421^SIGN(BS421),1)</f>
        <v>1584</v>
      </c>
      <c r="BZ421" s="242">
        <f>SUM(BW421:BY421)</f>
        <v>7424</v>
      </c>
      <c r="CA421" s="222">
        <f>BT421*BW421/BZ421</f>
        <v>3.8218390804597702</v>
      </c>
      <c r="CB421" s="223">
        <f>BU421*BX421/BZ421</f>
        <v>10.711206896551724</v>
      </c>
      <c r="CC421" s="243">
        <f>BV421*BY421/BZ421</f>
        <v>7.4676724137931032</v>
      </c>
      <c r="CD421" s="243">
        <f>SUM(CA421:CC421)</f>
        <v>22.000718390804597</v>
      </c>
      <c r="CE421" s="252">
        <f t="shared" si="4531"/>
        <v>0</v>
      </c>
      <c r="CF421" s="309">
        <f>CD421-CE421</f>
        <v>22.000718390804597</v>
      </c>
      <c r="CG421" s="218">
        <f t="shared" si="4532"/>
        <v>154.01436781609189</v>
      </c>
      <c r="CH421" s="242">
        <f t="shared" si="4532"/>
        <v>2</v>
      </c>
      <c r="CI421" s="243">
        <f>IF((CG421-CH421)&gt;0,CG421-CH421,0)</f>
        <v>152.01436781609189</v>
      </c>
      <c r="CJ421" s="218">
        <f>IF((CH421-CG421)&gt;0,CH421-CG421,0)</f>
        <v>0</v>
      </c>
      <c r="CL421" s="325" t="s">
        <v>247</v>
      </c>
      <c r="CM421" s="218" t="s">
        <v>87</v>
      </c>
      <c r="CN421" s="223" t="s">
        <v>132</v>
      </c>
      <c r="CO421" s="237"/>
      <c r="CP421" s="234">
        <f>Konvention_1slave-KLslave</f>
        <v>12</v>
      </c>
      <c r="CQ421" s="234">
        <f>Konvention_1slave-INslave_IN</f>
        <v>11</v>
      </c>
      <c r="CR421" s="234">
        <f>Konvention_1slave-CHslave</f>
        <v>12</v>
      </c>
      <c r="CS421" s="234"/>
      <c r="CT421" s="234"/>
      <c r="CU421" s="234"/>
      <c r="CV421" s="224"/>
      <c r="CW421" s="223">
        <f>(CO421+CP421+CQ421+CR421+CS421+CT421+CU421+CV421)/3</f>
        <v>11.666666666666666</v>
      </c>
      <c r="CX421" s="223">
        <f>2*CW421</f>
        <v>23.333333333333332</v>
      </c>
      <c r="CY421" s="234">
        <f>3*CW421</f>
        <v>35</v>
      </c>
      <c r="CZ421" s="237">
        <f>CO421*POWER(KLslave,SIGN(CP421))*POWER(INslave_IN,SIGN(CQ421))*POWER(CHslave,SIGN(CR421))*POWER(FFslave,SIGN(CS421))*POWER(GEslave,SIGN(CT421))*POWER(KOslave,SIGN(CU421))*POWER(KKslave,SIGN(CV421))+CP421*POWER(MUslave,SIGN(CO421))*POWER(INslave_IN,SIGN(CQ421))*POWER(CHslave,SIGN(CR421))*POWER(FFslave,SIGN(CS421))*POWER(GEslave,SIGN(CT421))*POWER(KOslave,SIGN(CU421))*POWER(KKslave,SIGN(CV421))+CQ421*POWER(MUslave,SIGN(CO421))*POWER(KLslave,SIGN(CP421))*POWER(CHslave,SIGN(CR421))*POWER(FFslave,SIGN(CS421))*POWER(GEslave,SIGN(CT421))*POWER(KOslave,SIGN(CU421))*POWER(KKslave,SIGN(CV421))+CR421*POWER(MUslave,SIGN(CO421))*POWER(KLslave,SIGN(CP421))*POWER(INslave_IN,SIGN(CQ421))*POWER(FFslave,SIGN(CS421))*POWER(GEslave,SIGN(CT421))*POWER(KOslave,SIGN(CU421))*POWER(KKslave,SIGN(CV421))+CS421*POWER(MUslave,SIGN(CO421))*POWER(KLslave,SIGN(CP421))*POWER(INslave_IN,SIGN(CQ421))*POWER(CHslave,SIGN(CR421))*POWER(GEslave,SIGN(CT421))*POWER(KOslave,SIGN(CU421))*POWER(KKslave,SIGN(CV421))+CT421*POWER(MUslave,SIGN(CO421))*POWER(KLslave,SIGN(CP421))*POWER(INslave_IN,SIGN(CQ421))*POWER(CHslave,SIGN(CR421))*POWER(FFslave,SIGN(CS421))*POWER(KOslave,SIGN(CU421))*POWER(KKslave,SIGN(CV421))+CU421*POWER(MUslave,SIGN(CO421))*POWER(KLslave,SIGN(CP421))*POWER(INslave_IN,SIGN(CQ421))*POWER(CHslave,SIGN(CR421))*POWER(FFslave,SIGN(CS421))*POWER(GEslave,SIGN(CT421))*POWER(KKslave,SIGN(CV421))+CV421*POWER(MUslave,SIGN(CO421))*POWER(KLslave,SIGN(CP421))*POWER(INslave_IN,SIGN(CQ421))*POWER(CHslave,SIGN(CR421))*POWER(FFslave,SIGN(CS421))*POWER(GEslave,SIGN(CT421))*POWER(KOslave,SIGN(CU421))</f>
        <v>2432</v>
      </c>
      <c r="DA421" s="234">
        <f>CP421*CQ421*CHslave+CP421*INslave_IN*CR421+KLslave*CQ421*CR421</f>
        <v>3408</v>
      </c>
      <c r="DB421" s="224">
        <f>IFERROR(CO421^SIGN(CO421),1)*IFERROR(CP421^SIGN(CP421),1)*IFERROR(CQ421^SIGN(CQ421),1)*IFERROR(CR421^SIGN(CR421),1)*IFERROR(CS421^SIGN(CS421),1)*IFERROR(CT421^SIGN(CT421),1)*IFERROR(CU421^SIGN(CU421),1)*IFERROR(CV421^SIGN(CV421),1)</f>
        <v>1584</v>
      </c>
      <c r="DC421" s="242">
        <f>SUM(CZ421:DB421)</f>
        <v>7424</v>
      </c>
      <c r="DD421" s="222">
        <f>CW421*CZ421/DC421</f>
        <v>3.8218390804597702</v>
      </c>
      <c r="DE421" s="223">
        <f>CX421*DA421/DC421</f>
        <v>10.711206896551724</v>
      </c>
      <c r="DF421" s="243">
        <f>CY421*DB421/DC421</f>
        <v>7.4676724137931032</v>
      </c>
      <c r="DG421" s="243">
        <f>SUM(DD421:DF421)</f>
        <v>22.000718390804597</v>
      </c>
      <c r="DH421" s="252">
        <f t="shared" si="4533"/>
        <v>0</v>
      </c>
      <c r="DI421" s="309">
        <f>DG421-DH421</f>
        <v>22.000718390804597</v>
      </c>
      <c r="DJ421" s="218">
        <f t="shared" si="4534"/>
        <v>154.01436781609189</v>
      </c>
      <c r="DK421" s="242">
        <f t="shared" si="4534"/>
        <v>2</v>
      </c>
      <c r="DL421" s="243">
        <f>IF((DJ421-DK421)&gt;0,DJ421-DK421,0)</f>
        <v>152.01436781609189</v>
      </c>
      <c r="DM421" s="218">
        <f>IF((DK421-DJ421)&gt;0,DK421-DJ421,0)</f>
        <v>0</v>
      </c>
      <c r="DO421" s="325" t="s">
        <v>247</v>
      </c>
      <c r="DP421" s="218" t="s">
        <v>87</v>
      </c>
      <c r="DQ421" s="223" t="s">
        <v>132</v>
      </c>
      <c r="DR421" s="237"/>
      <c r="DS421" s="234">
        <f>Konvention_1slave-KLslave</f>
        <v>12</v>
      </c>
      <c r="DT421" s="234">
        <f>Konvention_1slave-INslave</f>
        <v>12</v>
      </c>
      <c r="DU421" s="234">
        <f>Konvention_1slave-CHslave_CH</f>
        <v>11</v>
      </c>
      <c r="DV421" s="234"/>
      <c r="DW421" s="234"/>
      <c r="DX421" s="234"/>
      <c r="DY421" s="224"/>
      <c r="DZ421" s="223">
        <f>(DR421+DS421+DT421+DU421+DV421+DW421+DX421+DY421)/3</f>
        <v>11.666666666666666</v>
      </c>
      <c r="EA421" s="223">
        <f>2*DZ421</f>
        <v>23.333333333333332</v>
      </c>
      <c r="EB421" s="234">
        <f>3*DZ421</f>
        <v>35</v>
      </c>
      <c r="EC421" s="237">
        <f>DR421*POWER(KLslave,SIGN(DS421))*POWER(INslave,SIGN(DT421))*POWER(CHslave_CH,SIGN(DU421))*POWER(FFslave,SIGN(DV421))*POWER(GEslave,SIGN(DW421))*POWER(KOslave,SIGN(DX421))*POWER(KKslave,SIGN(DY421))+DS421*POWER(MUslave,SIGN(DR421))*POWER(INslave,SIGN(DT421))*POWER(CHslave_CH,SIGN(DU421))*POWER(FFslave,SIGN(DV421))*POWER(GEslave,SIGN(DW421))*POWER(KOslave,SIGN(DX421))*POWER(KKslave,SIGN(DY421))+DT421*POWER(MUslave,SIGN(DR421))*POWER(KLslave,SIGN(DS421))*POWER(CHslave_CH,SIGN(DU421))*POWER(FFslave,SIGN(DV421))*POWER(GEslave,SIGN(DW421))*POWER(KOslave,SIGN(DX421))*POWER(KKslave,SIGN(DY421))+DU421*POWER(MUslave,SIGN(DR421))*POWER(KLslave,SIGN(DS421))*POWER(INslave,SIGN(DT421))*POWER(FFslave,SIGN(DV421))*POWER(GEslave,SIGN(DW421))*POWER(KOslave,SIGN(DX421))*POWER(KKslave,SIGN(DY421))+DV421*POWER(MUslave,SIGN(DR421))*POWER(KLslave,SIGN(DS421))*POWER(INslave,SIGN(DT421))*POWER(CHslave_CH,SIGN(DU421))*POWER(GEslave,SIGN(DW421))*POWER(KOslave,SIGN(DX421))*POWER(KKslave,SIGN(DY421))+DW421*POWER(MUslave,SIGN(DR421))*POWER(KLslave,SIGN(DS421))*POWER(INslave,SIGN(DT421))*POWER(CHslave_CH,SIGN(DU421))*POWER(FFslave,SIGN(DV421))*POWER(KOslave,SIGN(DX421))*POWER(KKslave,SIGN(DY421))+DX421*POWER(MUslave,SIGN(DR421))*POWER(KLslave,SIGN(DS421))*POWER(INslave,SIGN(DT421))*POWER(CHslave_CH,SIGN(DU421))*POWER(FFslave,SIGN(DV421))*POWER(GEslave,SIGN(DW421))*POWER(KKslave,SIGN(DY421))+DY421*POWER(MUslave,SIGN(DR421))*POWER(KLslave,SIGN(DS421))*POWER(INslave,SIGN(DT421))*POWER(CHslave_CH,SIGN(DU421))*POWER(FFslave,SIGN(DV421))*POWER(GEslave,SIGN(DW421))*POWER(KOslave,SIGN(DX421))</f>
        <v>2432</v>
      </c>
      <c r="ED421" s="234">
        <f>DS421*DT421*CHslave_CH+DS421*INslave*DU421+KLslave*DT421*DU421</f>
        <v>3408</v>
      </c>
      <c r="EE421" s="224">
        <f>IFERROR(DR421^SIGN(DR421),1)*IFERROR(DS421^SIGN(DS421),1)*IFERROR(DT421^SIGN(DT421),1)*IFERROR(DU421^SIGN(DU421),1)*IFERROR(DV421^SIGN(DV421),1)*IFERROR(DW421^SIGN(DW421),1)*IFERROR(DX421^SIGN(DX421),1)*IFERROR(DY421^SIGN(DY421),1)</f>
        <v>1584</v>
      </c>
      <c r="EF421" s="242">
        <f>SUM(EC421:EE421)</f>
        <v>7424</v>
      </c>
      <c r="EG421" s="222">
        <f>DZ421*EC421/EF421</f>
        <v>3.8218390804597702</v>
      </c>
      <c r="EH421" s="223">
        <f>EA421*ED421/EF421</f>
        <v>10.711206896551724</v>
      </c>
      <c r="EI421" s="243">
        <f>EB421*EE421/EF421</f>
        <v>7.4676724137931032</v>
      </c>
      <c r="EJ421" s="243">
        <f>SUM(EG421:EI421)</f>
        <v>22.000718390804597</v>
      </c>
      <c r="EK421" s="252">
        <f t="shared" si="4535"/>
        <v>0</v>
      </c>
      <c r="EL421" s="309">
        <f>EJ421-EK421</f>
        <v>22.000718390804597</v>
      </c>
      <c r="EM421" s="218">
        <f t="shared" si="4536"/>
        <v>154.01436781609189</v>
      </c>
      <c r="EN421" s="242">
        <f t="shared" si="4536"/>
        <v>2</v>
      </c>
      <c r="EO421" s="243">
        <f>IF((EM421-EN421)&gt;0,EM421-EN421,0)</f>
        <v>152.01436781609189</v>
      </c>
      <c r="EP421" s="218">
        <f>IF((EN421-EM421)&gt;0,EN421-EM421,0)</f>
        <v>0</v>
      </c>
      <c r="ER421" s="325" t="s">
        <v>247</v>
      </c>
      <c r="ES421" s="218" t="s">
        <v>87</v>
      </c>
      <c r="ET421" s="223" t="s">
        <v>132</v>
      </c>
      <c r="EU421" s="237"/>
      <c r="EV421" s="234">
        <f>Konvention_1slave-KLslave</f>
        <v>12</v>
      </c>
      <c r="EW421" s="234">
        <f>Konvention_1slave-INslave</f>
        <v>12</v>
      </c>
      <c r="EX421" s="234">
        <f>Konvention_1slave-CHslave</f>
        <v>12</v>
      </c>
      <c r="EY421" s="234"/>
      <c r="EZ421" s="234"/>
      <c r="FA421" s="234"/>
      <c r="FB421" s="224"/>
      <c r="FC421" s="223">
        <f>(EU421+EV421+EW421+EX421+EY421+EZ421+FA421+FB421)/3</f>
        <v>12</v>
      </c>
      <c r="FD421" s="223">
        <f>2*FC421</f>
        <v>24</v>
      </c>
      <c r="FE421" s="234">
        <f>3*FC421</f>
        <v>36</v>
      </c>
      <c r="FF421" s="237">
        <f>EU421*POWER(KLslave,SIGN(EV421))*POWER(INslave,SIGN(EW421))*POWER(CHslave,SIGN(EX421))*POWER(FFslave_FF,SIGN(EY421))*POWER(GEslave,SIGN(EZ421))*POWER(KOslave,SIGN(FA421))*POWER(KKslave,SIGN(FB421))+EV421*POWER(MUslave,SIGN(EU421))*POWER(INslave,SIGN(EW421))*POWER(CHslave,SIGN(EX421))*POWER(FFslave_FF,SIGN(EY421))*POWER(GEslave,SIGN(EZ421))*POWER(KOslave,SIGN(FA421))*POWER(KKslave,SIGN(FB421))+EW421*POWER(MUslave,SIGN(EU421))*POWER(KLslave,SIGN(EV421))*POWER(CHslave,SIGN(EX421))*POWER(FFslave_FF,SIGN(EY421))*POWER(GEslave,SIGN(EZ421))*POWER(KOslave,SIGN(FA421))*POWER(KKslave,SIGN(FB421))+EX421*POWER(MUslave,SIGN(EU421))*POWER(KLslave,SIGN(EV421))*POWER(INslave,SIGN(EW421))*POWER(FFslave_FF,SIGN(EY421))*POWER(GEslave,SIGN(EZ421))*POWER(KOslave,SIGN(FA421))*POWER(KKslave,SIGN(FB421))+EY421*POWER(MUslave,SIGN(EU421))*POWER(KLslave,SIGN(EV421))*POWER(INslave,SIGN(EW421))*POWER(CHslave,SIGN(EX421))*POWER(GEslave,SIGN(EZ421))*POWER(KOslave,SIGN(FA421))*POWER(KKslave,SIGN(FB421))+EZ421*POWER(MUslave,SIGN(EU421))*POWER(KLslave,SIGN(EV421))*POWER(INslave,SIGN(EW421))*POWER(CHslave,SIGN(EX421))*POWER(FFslave_FF,SIGN(EY421))*POWER(KOslave,SIGN(FA421))*POWER(KKslave,SIGN(FB421))+FA421*POWER(MUslave,SIGN(EU421))*POWER(KLslave,SIGN(EV421))*POWER(INslave,SIGN(EW421))*POWER(CHslave,SIGN(EX421))*POWER(FFslave_FF,SIGN(EY421))*POWER(GEslave,SIGN(EZ421))*POWER(KKslave,SIGN(FB421))+FB421*POWER(MUslave,SIGN(EU421))*POWER(KLslave,SIGN(EV421))*POWER(INslave,SIGN(EW421))*POWER(CHslave,SIGN(EX421))*POWER(FFslave_FF,SIGN(EY421))*POWER(GEslave,SIGN(EZ421))*POWER(KOslave,SIGN(FA421))</f>
        <v>2304</v>
      </c>
      <c r="FG421" s="234">
        <f>EV421*EW421*CHslave+EV421*INslave*EX421+KLslave*EW421*EX421</f>
        <v>3456</v>
      </c>
      <c r="FH421" s="224">
        <f>IFERROR(EU421^SIGN(EU421),1)*IFERROR(EV421^SIGN(EV421),1)*IFERROR(EW421^SIGN(EW421),1)*IFERROR(EX421^SIGN(EX421),1)*IFERROR(EY421^SIGN(EY421),1)*IFERROR(EZ421^SIGN(EZ421),1)*IFERROR(FA421^SIGN(FA421),1)*IFERROR(FB421^SIGN(FB421),1)</f>
        <v>1728</v>
      </c>
      <c r="FI421" s="242">
        <f>SUM(FF421:FH421)</f>
        <v>7488</v>
      </c>
      <c r="FJ421" s="222">
        <f>FC421*FF421/FI421</f>
        <v>3.6923076923076925</v>
      </c>
      <c r="FK421" s="223">
        <f>FD421*FG421/FI421</f>
        <v>11.076923076923077</v>
      </c>
      <c r="FL421" s="243">
        <f>FE421*FH421/FI421</f>
        <v>8.3076923076923084</v>
      </c>
      <c r="FM421" s="243">
        <f>SUM(FJ421:FL421)</f>
        <v>23.07692307692308</v>
      </c>
      <c r="FN421" s="252">
        <f t="shared" si="4537"/>
        <v>0</v>
      </c>
      <c r="FO421" s="309">
        <f>FM421-FN421</f>
        <v>23.07692307692308</v>
      </c>
      <c r="FP421" s="218">
        <f t="shared" si="4538"/>
        <v>175.5384615384616</v>
      </c>
      <c r="FQ421" s="242">
        <f t="shared" si="4538"/>
        <v>2</v>
      </c>
      <c r="FR421" s="243">
        <f>IF((FP421-FQ421)&gt;0,FP421-FQ421,0)</f>
        <v>173.5384615384616</v>
      </c>
      <c r="FS421" s="218">
        <f>IF((FQ421-FP421)&gt;0,FQ421-FP421,0)</f>
        <v>0</v>
      </c>
      <c r="FU421" s="325" t="s">
        <v>247</v>
      </c>
      <c r="FV421" s="218" t="s">
        <v>87</v>
      </c>
      <c r="FW421" s="223" t="s">
        <v>132</v>
      </c>
      <c r="FX421" s="237"/>
      <c r="FY421" s="234">
        <f>Konvention_1slave-KLslave</f>
        <v>12</v>
      </c>
      <c r="FZ421" s="234">
        <f>Konvention_1slave-INslave</f>
        <v>12</v>
      </c>
      <c r="GA421" s="234">
        <f>Konvention_1slave-CHslave</f>
        <v>12</v>
      </c>
      <c r="GB421" s="234"/>
      <c r="GC421" s="234"/>
      <c r="GD421" s="234"/>
      <c r="GE421" s="224"/>
      <c r="GF421" s="223">
        <f>(FX421+FY421+FZ421+GA421+GB421+GC421+GD421+GE421)/3</f>
        <v>12</v>
      </c>
      <c r="GG421" s="223">
        <f>2*GF421</f>
        <v>24</v>
      </c>
      <c r="GH421" s="234">
        <f>3*GF421</f>
        <v>36</v>
      </c>
      <c r="GI421" s="237">
        <f>FX421*POWER(KLslave,SIGN(FY421))*POWER(INslave,SIGN(FZ421))*POWER(CHslave,SIGN(GA421))*POWER(FFslave,SIGN(GB421))*POWER(GEslave_GE,SIGN(GC421))*POWER(KOslave,SIGN(GD421))*POWER(KKslave,SIGN(GE421))+FY421*POWER(MUslave,SIGN(FX421))*POWER(INslave,SIGN(FZ421))*POWER(CHslave,SIGN(GA421))*POWER(FFslave,SIGN(GB421))*POWER(GEslave_GE,SIGN(GC421))*POWER(KOslave,SIGN(GD421))*POWER(KKslave,SIGN(GE421))+FZ421*POWER(MUslave,SIGN(FX421))*POWER(KLslave,SIGN(FY421))*POWER(CHslave,SIGN(GA421))*POWER(FFslave,SIGN(GB421))*POWER(GEslave_GE,SIGN(GC421))*POWER(KOslave,SIGN(GD421))*POWER(KKslave,SIGN(GE421))+GA421*POWER(MUslave,SIGN(FX421))*POWER(KLslave,SIGN(FY421))*POWER(INslave,SIGN(FZ421))*POWER(FFslave,SIGN(GB421))*POWER(GEslave_GE,SIGN(GC421))*POWER(KOslave,SIGN(GD421))*POWER(KKslave,SIGN(GE421))+GB421*POWER(MUslave,SIGN(FX421))*POWER(KLslave,SIGN(FY421))*POWER(INslave,SIGN(FZ421))*POWER(CHslave,SIGN(GA421))*POWER(GEslave_GE,SIGN(GC421))*POWER(KOslave,SIGN(GD421))*POWER(KKslave,SIGN(GE421))+GC421*POWER(MUslave,SIGN(FX421))*POWER(KLslave,SIGN(FY421))*POWER(INslave,SIGN(FZ421))*POWER(CHslave,SIGN(GA421))*POWER(FFslave,SIGN(GB421))*POWER(KOslave,SIGN(GD421))*POWER(KKslave,SIGN(GE421))+GD421*POWER(MUslave,SIGN(FX421))*POWER(KLslave,SIGN(FY421))*POWER(INslave,SIGN(FZ421))*POWER(CHslave,SIGN(GA421))*POWER(FFslave,SIGN(GB421))*POWER(GEslave_GE,SIGN(GC421))*POWER(KKslave,SIGN(GE421))+GE421*POWER(MUslave,SIGN(FX421))*POWER(KLslave,SIGN(FY421))*POWER(INslave,SIGN(FZ421))*POWER(CHslave,SIGN(GA421))*POWER(FFslave,SIGN(GB421))*POWER(GEslave_GE,SIGN(GC421))*POWER(KOslave,SIGN(GD421))</f>
        <v>2304</v>
      </c>
      <c r="GJ421" s="234">
        <f>FY421*FZ421*CHslave+FY421*INslave*GA421+KLslave*FZ421*GA421</f>
        <v>3456</v>
      </c>
      <c r="GK421" s="224">
        <f>IFERROR(FX421^SIGN(FX421),1)*IFERROR(FY421^SIGN(FY421),1)*IFERROR(FZ421^SIGN(FZ421),1)*IFERROR(GA421^SIGN(GA421),1)*IFERROR(GB421^SIGN(GB421),1)*IFERROR(GC421^SIGN(GC421),1)*IFERROR(GD421^SIGN(GD421),1)*IFERROR(GE421^SIGN(GE421),1)</f>
        <v>1728</v>
      </c>
      <c r="GL421" s="242">
        <f>SUM(GI421:GK421)</f>
        <v>7488</v>
      </c>
      <c r="GM421" s="222">
        <f>GF421*GI421/GL421</f>
        <v>3.6923076923076925</v>
      </c>
      <c r="GN421" s="223">
        <f>GG421*GJ421/GL421</f>
        <v>11.076923076923077</v>
      </c>
      <c r="GO421" s="243">
        <f>GH421*GK421/GL421</f>
        <v>8.3076923076923084</v>
      </c>
      <c r="GP421" s="243">
        <f>SUM(GM421:GO421)</f>
        <v>23.07692307692308</v>
      </c>
      <c r="GQ421" s="252">
        <f t="shared" si="4539"/>
        <v>0</v>
      </c>
      <c r="GR421" s="309">
        <f>GP421-GQ421</f>
        <v>23.07692307692308</v>
      </c>
      <c r="GS421" s="218">
        <f t="shared" si="4540"/>
        <v>175.5384615384616</v>
      </c>
      <c r="GT421" s="242">
        <f t="shared" si="4540"/>
        <v>2</v>
      </c>
      <c r="GU421" s="243">
        <f>IF((GS421-GT421)&gt;0,GS421-GT421,0)</f>
        <v>173.5384615384616</v>
      </c>
      <c r="GV421" s="218">
        <f>IF((GT421-GS421)&gt;0,GT421-GS421,0)</f>
        <v>0</v>
      </c>
      <c r="GX421" s="325" t="s">
        <v>247</v>
      </c>
      <c r="GY421" s="218" t="s">
        <v>87</v>
      </c>
      <c r="GZ421" s="223" t="s">
        <v>132</v>
      </c>
      <c r="HA421" s="237"/>
      <c r="HB421" s="234">
        <f>Konvention_1slave-KLslave</f>
        <v>12</v>
      </c>
      <c r="HC421" s="234">
        <f>Konvention_1slave-INslave</f>
        <v>12</v>
      </c>
      <c r="HD421" s="234">
        <f>Konvention_1slave-CHslave</f>
        <v>12</v>
      </c>
      <c r="HE421" s="234"/>
      <c r="HF421" s="234"/>
      <c r="HG421" s="234"/>
      <c r="HH421" s="224"/>
      <c r="HI421" s="223">
        <f>(HA421+HB421+HC421+HD421+HE421+HF421+HG421+HH421)/3</f>
        <v>12</v>
      </c>
      <c r="HJ421" s="223">
        <f>2*HI421</f>
        <v>24</v>
      </c>
      <c r="HK421" s="234">
        <f>3*HI421</f>
        <v>36</v>
      </c>
      <c r="HL421" s="237">
        <f>HA421*POWER(KLslave,SIGN(HB421))*POWER(INslave,SIGN(HC421))*POWER(CHslave,SIGN(HD421))*POWER(FFslave,SIGN(HE421))*POWER(GEslave,SIGN(HF421))*POWER(KOslave_KO,SIGN(HG421))*POWER(KKslave,SIGN(HH421))+HB421*POWER(MUslave,SIGN(HA421))*POWER(INslave,SIGN(HC421))*POWER(CHslave,SIGN(HD421))*POWER(FFslave,SIGN(HE421))*POWER(GEslave,SIGN(HF421))*POWER(KOslave_KO,SIGN(HG421))*POWER(KKslave,SIGN(HH421))+HC421*POWER(MUslave,SIGN(HA421))*POWER(KLslave,SIGN(HB421))*POWER(CHslave,SIGN(HD421))*POWER(FFslave,SIGN(HE421))*POWER(GEslave,SIGN(HF421))*POWER(KOslave_KO,SIGN(HG421))*POWER(KKslave,SIGN(HH421))+HD421*POWER(MUslave,SIGN(HA421))*POWER(KLslave,SIGN(HB421))*POWER(INslave,SIGN(HC421))*POWER(FFslave,SIGN(HE421))*POWER(GEslave,SIGN(HF421))*POWER(KOslave_KO,SIGN(HG421))*POWER(KKslave,SIGN(HH421))+HE421*POWER(MUslave,SIGN(HA421))*POWER(KLslave,SIGN(HB421))*POWER(INslave,SIGN(HC421))*POWER(CHslave,SIGN(HD421))*POWER(GEslave,SIGN(HF421))*POWER(KOslave_KO,SIGN(HG421))*POWER(KKslave,SIGN(HH421))+HF421*POWER(MUslave,SIGN(HA421))*POWER(KLslave,SIGN(HB421))*POWER(INslave,SIGN(HC421))*POWER(CHslave,SIGN(HD421))*POWER(FFslave,SIGN(HE421))*POWER(KOslave_KO,SIGN(HG421))*POWER(KKslave,SIGN(HH421))+HG421*POWER(MUslave,SIGN(HA421))*POWER(KLslave,SIGN(HB421))*POWER(INslave,SIGN(HC421))*POWER(CHslave,SIGN(HD421))*POWER(FFslave,SIGN(HE421))*POWER(GEslave,SIGN(HF421))*POWER(KKslave,SIGN(HH421))+HH421*POWER(MUslave,SIGN(HA421))*POWER(KLslave,SIGN(HB421))*POWER(INslave,SIGN(HC421))*POWER(CHslave,SIGN(HD421))*POWER(FFslave,SIGN(HE421))*POWER(GEslave,SIGN(HF421))*POWER(KOslave_KO,SIGN(HG421))</f>
        <v>2304</v>
      </c>
      <c r="HM421" s="234">
        <f>HB421*HC421*CHslave+HB421*INslave*HD421+KLslave*HC421*HD421</f>
        <v>3456</v>
      </c>
      <c r="HN421" s="224">
        <f>IFERROR(HA421^SIGN(HA421),1)*IFERROR(HB421^SIGN(HB421),1)*IFERROR(HC421^SIGN(HC421),1)*IFERROR(HD421^SIGN(HD421),1)*IFERROR(HE421^SIGN(HE421),1)*IFERROR(HF421^SIGN(HF421),1)*IFERROR(HG421^SIGN(HG421),1)*IFERROR(HH421^SIGN(HH421),1)</f>
        <v>1728</v>
      </c>
      <c r="HO421" s="242">
        <f>SUM(HL421:HN421)</f>
        <v>7488</v>
      </c>
      <c r="HP421" s="222">
        <f>HI421*HL421/HO421</f>
        <v>3.6923076923076925</v>
      </c>
      <c r="HQ421" s="223">
        <f>HJ421*HM421/HO421</f>
        <v>11.076923076923077</v>
      </c>
      <c r="HR421" s="243">
        <f>HK421*HN421/HO421</f>
        <v>8.3076923076923084</v>
      </c>
      <c r="HS421" s="243">
        <f>SUM(HP421:HR421)</f>
        <v>23.07692307692308</v>
      </c>
      <c r="HT421" s="252">
        <f t="shared" si="4541"/>
        <v>0</v>
      </c>
      <c r="HU421" s="309">
        <f>HS421-HT421</f>
        <v>23.07692307692308</v>
      </c>
      <c r="HV421" s="218">
        <f t="shared" si="4542"/>
        <v>175.5384615384616</v>
      </c>
      <c r="HW421" s="242">
        <f t="shared" si="4542"/>
        <v>2</v>
      </c>
      <c r="HX421" s="243">
        <f>IF((HV421-HW421)&gt;0,HV421-HW421,0)</f>
        <v>173.5384615384616</v>
      </c>
      <c r="HY421" s="218">
        <f>IF((HW421-HV421)&gt;0,HW421-HV421,0)</f>
        <v>0</v>
      </c>
      <c r="IA421" s="325" t="s">
        <v>247</v>
      </c>
      <c r="IB421" s="218" t="s">
        <v>87</v>
      </c>
      <c r="IC421" s="223" t="s">
        <v>132</v>
      </c>
      <c r="ID421" s="237"/>
      <c r="IE421" s="234">
        <f>Konvention_1slave-KLslave</f>
        <v>12</v>
      </c>
      <c r="IF421" s="234">
        <f>Konvention_1slave-INslave</f>
        <v>12</v>
      </c>
      <c r="IG421" s="234">
        <f>Konvention_1slave-CHslave</f>
        <v>12</v>
      </c>
      <c r="IH421" s="234"/>
      <c r="II421" s="234"/>
      <c r="IJ421" s="234"/>
      <c r="IK421" s="224"/>
      <c r="IL421" s="223">
        <f>(ID421+IE421+IF421+IG421+IH421+II421+IJ421+IK421)/3</f>
        <v>12</v>
      </c>
      <c r="IM421" s="223">
        <f>2*IL421</f>
        <v>24</v>
      </c>
      <c r="IN421" s="234">
        <f>3*IL421</f>
        <v>36</v>
      </c>
      <c r="IO421" s="237">
        <f>ID421*POWER(KLslave,SIGN(IE421))*POWER(INslave,SIGN(IF421))*POWER(CHslave,SIGN(IG421))*POWER(FFslave,SIGN(IH421))*POWER(GEslave,SIGN(II421))*POWER(KOslave,SIGN(IJ421))*POWER(KKslave_KK,SIGN(IK421))+IE421*POWER(MUslave,SIGN(ID421))*POWER(INslave,SIGN(IF421))*POWER(CHslave,SIGN(IG421))*POWER(FFslave,SIGN(IH421))*POWER(GEslave,SIGN(II421))*POWER(KOslave,SIGN(IJ421))*POWER(KKslave_KK,SIGN(IK421))+IF421*POWER(MUslave,SIGN(ID421))*POWER(KLslave,SIGN(IE421))*POWER(CHslave,SIGN(IG421))*POWER(FFslave,SIGN(IH421))*POWER(GEslave,SIGN(II421))*POWER(KOslave,SIGN(IJ421))*POWER(KKslave_KK,SIGN(IK421))+IG421*POWER(MUslave,SIGN(ID421))*POWER(KLslave,SIGN(IE421))*POWER(INslave,SIGN(IF421))*POWER(FFslave,SIGN(IH421))*POWER(GEslave,SIGN(II421))*POWER(KOslave,SIGN(IJ421))*POWER(KKslave_KK,SIGN(IK421))+IH421*POWER(MUslave,SIGN(ID421))*POWER(KLslave,SIGN(IE421))*POWER(INslave,SIGN(IF421))*POWER(CHslave,SIGN(IG421))*POWER(GEslave,SIGN(II421))*POWER(KOslave,SIGN(IJ421))*POWER(KKslave_KK,SIGN(IK421))+II421*POWER(MUslave,SIGN(ID421))*POWER(KLslave,SIGN(IE421))*POWER(INslave,SIGN(IF421))*POWER(CHslave,SIGN(IG421))*POWER(FFslave,SIGN(IH421))*POWER(KOslave,SIGN(IJ421))*POWER(KKslave_KK,SIGN(IK421))+IJ421*POWER(MUslave,SIGN(ID421))*POWER(KLslave,SIGN(IE421))*POWER(INslave,SIGN(IF421))*POWER(CHslave,SIGN(IG421))*POWER(FFslave,SIGN(IH421))*POWER(GEslave,SIGN(II421))*POWER(KKslave_KK,SIGN(IK421))+IK421*POWER(MUslave,SIGN(ID421))*POWER(KLslave,SIGN(IE421))*POWER(INslave,SIGN(IF421))*POWER(CHslave,SIGN(IG421))*POWER(FFslave,SIGN(IH421))*POWER(GEslave,SIGN(II421))*POWER(KOslave,SIGN(IJ421))</f>
        <v>2304</v>
      </c>
      <c r="IP421" s="234">
        <f>IE421*IF421*CHslave+IE421*INslave*IG421+KLslave*IF421*IG421</f>
        <v>3456</v>
      </c>
      <c r="IQ421" s="224">
        <f>IFERROR(ID421^SIGN(ID421),1)*IFERROR(IE421^SIGN(IE421),1)*IFERROR(IF421^SIGN(IF421),1)*IFERROR(IG421^SIGN(IG421),1)*IFERROR(IH421^SIGN(IH421),1)*IFERROR(II421^SIGN(II421),1)*IFERROR(IJ421^SIGN(IJ421),1)*IFERROR(IK421^SIGN(IK421),1)</f>
        <v>1728</v>
      </c>
      <c r="IR421" s="242">
        <f>SUM(IO421:IQ421)</f>
        <v>7488</v>
      </c>
      <c r="IS421" s="222">
        <f>IL421*IO421/IR421</f>
        <v>3.6923076923076925</v>
      </c>
      <c r="IT421" s="223">
        <f>IM421*IP421/IR421</f>
        <v>11.076923076923077</v>
      </c>
      <c r="IU421" s="243">
        <f>IN421*IQ421/IR421</f>
        <v>8.3076923076923084</v>
      </c>
      <c r="IV421" s="243">
        <f>SUM(IS421:IU421)</f>
        <v>23.07692307692308</v>
      </c>
      <c r="IW421" s="252">
        <f t="shared" si="4543"/>
        <v>0</v>
      </c>
      <c r="IX421" s="309">
        <f>IV421-IW421</f>
        <v>23.07692307692308</v>
      </c>
      <c r="IY421" s="218">
        <f t="shared" si="4544"/>
        <v>175.5384615384616</v>
      </c>
      <c r="IZ421" s="242">
        <f t="shared" si="4544"/>
        <v>2</v>
      </c>
      <c r="JA421" s="243">
        <f>IF((IY421-IZ421)&gt;0,IY421-IZ421,0)</f>
        <v>173.5384615384616</v>
      </c>
      <c r="JB421" s="218">
        <f>IF((IZ421-IY421)&gt;0,IZ421-IY421,0)</f>
        <v>0</v>
      </c>
      <c r="JE421" s="148"/>
    </row>
    <row r="422" spans="2:265" ht="15" hidden="1" customHeight="1" outlineLevel="2">
      <c r="B422" s="148">
        <v>4</v>
      </c>
      <c r="C422" s="325" t="e">
        <f>VLOOKUP(AF422,Attribute!C:T,1,FALSE)</f>
        <v>#N/A</v>
      </c>
      <c r="D422" s="86" t="s">
        <v>87</v>
      </c>
      <c r="E422" s="47" t="s">
        <v>132</v>
      </c>
      <c r="F422" s="114"/>
      <c r="G422" s="113">
        <f>Konvention_1master-KLmaster</f>
        <v>12</v>
      </c>
      <c r="H422" s="113">
        <f>Konvention_1master-INmaster</f>
        <v>12</v>
      </c>
      <c r="I422" s="113">
        <f>Konvention_1master-CHmaster</f>
        <v>12</v>
      </c>
      <c r="J422" s="113"/>
      <c r="K422" s="113"/>
      <c r="L422" s="113"/>
      <c r="M422" s="119"/>
      <c r="N422" s="223">
        <f>(F422+G422+H422+I422+J422+K422+L422+M422)/3</f>
        <v>12</v>
      </c>
      <c r="O422" s="223">
        <f>2*N422</f>
        <v>24</v>
      </c>
      <c r="P422" s="234">
        <f>3*N422</f>
        <v>36</v>
      </c>
      <c r="Q422" s="237">
        <f>F422*POWER(KLmaster,SIGN(G422))*POWER(INmaster,SIGN(H422))*POWER(CHmaster,SIGN(I422))*POWER(FFmaster,SIGN(J422))*POWER(GEmaster,SIGN(K422))*POWER(KOmaster,SIGN(L422))*POWER(KKmaster,SIGN(M422))+G422*POWER(MUmaster,SIGN(F422))*POWER(INmaster,SIGN(H422))*POWER(CHmaster,SIGN(I422))*POWER(FFmaster,SIGN(J422))*POWER(GEmaster,SIGN(K422))*POWER(KOmaster,SIGN(L422))*POWER(KKmaster,SIGN(M422))+H422*POWER(MUmaster,SIGN(F422))*POWER(KLmaster,SIGN(G422))*POWER(CHmaster,SIGN(I422))*POWER(FFmaster,SIGN(J422))*POWER(GEmaster,SIGN(K422))*POWER(KOmaster,SIGN(L422))*POWER(KKmaster,SIGN(M422))+I422*POWER(MUmaster,SIGN(F422))*POWER(KLmaster,SIGN(G422))*POWER(INmaster,SIGN(H422))*POWER(FFmaster,SIGN(J422))*POWER(GEmaster,SIGN(K422))*POWER(KOmaster,SIGN(L422))*POWER(KKmaster,SIGN(M422))+J422*POWER(MUmaster,SIGN(F422))*POWER(KLmaster,SIGN(G422))*POWER(INmaster,SIGN(H422))*POWER(CHmaster,SIGN(I422))*POWER(GEmaster,SIGN(K422))*POWER(KOmaster,SIGN(L422))*POWER(KKmaster,SIGN(M422))+K422*POWER(MUmaster,SIGN(F422))*POWER(KLmaster,SIGN(G422))*POWER(INmaster,SIGN(H422))*POWER(CHmaster,SIGN(I422))*POWER(FFmaster,SIGN(J422))*POWER(KOmaster,SIGN(L422))*POWER(KKmaster,SIGN(M422))+L422*POWER(MUmaster,SIGN(F422))*POWER(KLmaster,SIGN(G422))*POWER(INmaster,SIGN(H422))*POWER(CHmaster,SIGN(I422))*POWER(FFmaster,SIGN(J422))*POWER(GEmaster,SIGN(K422))*POWER(KKmaster,SIGN(M422))+M422*POWER(MUmaster,SIGN(F422))*POWER(KLmaster,SIGN(G422))*POWER(INmaster,SIGN(H422))*POWER(CHmaster,SIGN(I422))*POWER(FFmaster,SIGN(J422))*POWER(GEmaster,SIGN(K422))*POWER(KOmaster,SIGN(L422))</f>
        <v>2304</v>
      </c>
      <c r="R422" s="113">
        <f>G422*H422*CHmaster+G422*INmaster*I422+KLmaster*H422*I422</f>
        <v>3456</v>
      </c>
      <c r="S422" s="224">
        <f>IFERROR(F422^SIGN(F422),1)*IFERROR(G422^SIGN(G422),1)*IFERROR(H422^SIGN(H422),1)*IFERROR(I422^SIGN(I422),1)*IFERROR(J422^SIGN(J422),1)*IFERROR(K422^SIGN(K422),1)*IFERROR(L422^SIGN(L422),1)*IFERROR(M422^SIGN(M422),1)</f>
        <v>1728</v>
      </c>
      <c r="T422" s="242">
        <f>SUM(Q422:S422)</f>
        <v>7488</v>
      </c>
      <c r="U422" s="222">
        <f>N422*Q422/T422</f>
        <v>3.6923076923076925</v>
      </c>
      <c r="V422" s="223">
        <f>O422*R422/T422</f>
        <v>11.076923076923077</v>
      </c>
      <c r="W422" s="243">
        <f>P422*S422/T422</f>
        <v>8.3076923076923084</v>
      </c>
      <c r="X422" s="243">
        <f>SUM(U422:W422)</f>
        <v>23.07692307692308</v>
      </c>
      <c r="Y422" s="252">
        <v>0</v>
      </c>
      <c r="Z422" s="198">
        <f>X422-Y422</f>
        <v>23.07692307692308</v>
      </c>
      <c r="AA422" s="125">
        <f t="shared" si="4528"/>
        <v>175.5384615384616</v>
      </c>
      <c r="AB422" s="160">
        <f t="shared" si="4528"/>
        <v>2</v>
      </c>
      <c r="AC422" s="127">
        <f>IF((AA422-AB422)&gt;0,AA422-AB422,0)</f>
        <v>173.5384615384616</v>
      </c>
      <c r="AD422" s="125">
        <f>IF((AB422-AA422)&gt;0,AB422-AA422,0)</f>
        <v>0</v>
      </c>
      <c r="AF422" s="177" t="s">
        <v>250</v>
      </c>
      <c r="AG422" s="125" t="s">
        <v>87</v>
      </c>
      <c r="AH422" s="47" t="s">
        <v>132</v>
      </c>
      <c r="AI422" s="114"/>
      <c r="AJ422" s="113">
        <f>Konvention_1slave-KLslave</f>
        <v>12</v>
      </c>
      <c r="AK422" s="113">
        <f>Konvention_1slave-INslave</f>
        <v>12</v>
      </c>
      <c r="AL422" s="113">
        <f>Konvention_1slave-CHslave</f>
        <v>12</v>
      </c>
      <c r="AM422" s="113"/>
      <c r="AN422" s="113"/>
      <c r="AO422" s="113"/>
      <c r="AP422" s="119"/>
      <c r="AQ422" s="47">
        <f>(AI422+AJ422+AK422+AL422+AM422+AN422+AO422+AP422)/3</f>
        <v>12</v>
      </c>
      <c r="AR422" s="47">
        <f>2*AQ422</f>
        <v>24</v>
      </c>
      <c r="AS422" s="113">
        <f>3*AQ422</f>
        <v>36</v>
      </c>
      <c r="AT422" s="114">
        <f>AI422*POWER(KLslave,SIGN(AJ422))*POWER(INslave,SIGN(AK422))*POWER(CHslave,SIGN(AL422))*POWER(FFslave,SIGN(AM422))*POWER(GEslave,SIGN(AN422))*POWER(KOslave,SIGN(AO422))*POWER(KKslave,SIGN(AP422))+AJ422*POWER(MUslave_MU,SIGN(AI422))*POWER(INslave,SIGN(AK422))*POWER(CHslave,SIGN(AL422))*POWER(FFslave,SIGN(AM422))*POWER(GEslave,SIGN(AN422))*POWER(KOslave,SIGN(AO422))*POWER(KKslave,SIGN(AP422))+AK422*POWER(MUslave_MU,SIGN(AI422))*POWER(KLslave,SIGN(AJ422))*POWER(CHslave,SIGN(AL422))*POWER(FFslave,SIGN(AM422))*POWER(GEslave,SIGN(AN422))*POWER(KOslave,SIGN(AO422))*POWER(KKslave,SIGN(AP422))+AL422*POWER(MUslave_MU,SIGN(AI422))*POWER(KLslave,SIGN(AJ422))*POWER(INslave,SIGN(AK422))*POWER(FFslave,SIGN(AM422))*POWER(GEslave,SIGN(AN422))*POWER(KOslave,SIGN(AO422))*POWER(KKslave,SIGN(AP422))+AM422*POWER(MUslave_MU,SIGN(AI422))*POWER(KLslave,SIGN(AJ422))*POWER(INslave,SIGN(AK422))*POWER(CHslave,SIGN(AL422))*POWER(GEslave,SIGN(AN422))*POWER(KOslave,SIGN(AO422))*POWER(KKslave,SIGN(AP422))+AN422*POWER(MUslave_MU,SIGN(AI422))*POWER(KLslave,SIGN(AJ422))*POWER(INslave,SIGN(AK422))*POWER(CHslave,SIGN(AL422))*POWER(FFslave,SIGN(AM422))*POWER(KOslave,SIGN(AO422))*POWER(KKslave,SIGN(AP422))+AO422*POWER(MUslave_MU,SIGN(AI422))*POWER(KLslave,SIGN(AJ422))*POWER(INslave,SIGN(AK422))*POWER(CHslave,SIGN(AL422))*POWER(FFslave,SIGN(AM422))*POWER(GEslave,SIGN(AN422))*POWER(KKslave,SIGN(AP422))+AP422*POWER(MUslave_MU,SIGN(AI422))*POWER(KLslave,SIGN(AJ422))*POWER(INslave,SIGN(AK422))*POWER(CHslave,SIGN(AL422))*POWER(FFslave,SIGN(AM422))*POWER(GEslave,SIGN(AN422))*POWER(KOslave,SIGN(AO422))</f>
        <v>2304</v>
      </c>
      <c r="AU422" s="113">
        <f>AJ422*AK422*CHslave+AJ422*INslave*AL422+KLslave*AK422*AL422</f>
        <v>3456</v>
      </c>
      <c r="AV422" s="119">
        <f>IFERROR(AI422^SIGN(AI422),1)*IFERROR(AJ422^SIGN(AJ422),1)*IFERROR(AK422^SIGN(AK422),1)*IFERROR(AL422^SIGN(AL422),1)*IFERROR(AM422^SIGN(AM422),1)*IFERROR(AN422^SIGN(AN422),1)*IFERROR(AO422^SIGN(AO422),1)*IFERROR(AP422^SIGN(AP422),1)</f>
        <v>1728</v>
      </c>
      <c r="AW422" s="160">
        <f>SUM(AT422:AV422)</f>
        <v>7488</v>
      </c>
      <c r="AX422" s="89">
        <f>AQ422*AT422/AW422</f>
        <v>3.6923076923076925</v>
      </c>
      <c r="AY422" s="47">
        <f>AR422*AU422/AW422</f>
        <v>11.076923076923077</v>
      </c>
      <c r="AZ422" s="127">
        <f>AS422*AV422/AW422</f>
        <v>8.3076923076923084</v>
      </c>
      <c r="BA422" s="127">
        <f>SUM(AX422:AZ422)</f>
        <v>23.07692307692308</v>
      </c>
      <c r="BB422" s="165">
        <f t="shared" si="4529"/>
        <v>0</v>
      </c>
      <c r="BC422" s="198">
        <f>BA422-BB422</f>
        <v>23.07692307692308</v>
      </c>
      <c r="BD422" s="125">
        <f t="shared" si="4530"/>
        <v>175.5384615384616</v>
      </c>
      <c r="BE422" s="160">
        <f t="shared" si="4530"/>
        <v>2</v>
      </c>
      <c r="BF422" s="243">
        <f>IF((BD422-BE422)&gt;0,BD422-BE422,0)</f>
        <v>173.5384615384616</v>
      </c>
      <c r="BG422" s="218">
        <f>IF((BE422-BD422)&gt;0,BE422-BD422,0)</f>
        <v>0</v>
      </c>
      <c r="BI422" s="325" t="s">
        <v>250</v>
      </c>
      <c r="BJ422" s="218" t="s">
        <v>87</v>
      </c>
      <c r="BK422" s="223" t="s">
        <v>132</v>
      </c>
      <c r="BL422" s="237"/>
      <c r="BM422" s="234">
        <f>Konvention_1slave-KLslave_KL</f>
        <v>11</v>
      </c>
      <c r="BN422" s="234">
        <f>Konvention_1slave-INslave</f>
        <v>12</v>
      </c>
      <c r="BO422" s="234">
        <f>Konvention_1slave-CHslave</f>
        <v>12</v>
      </c>
      <c r="BP422" s="234"/>
      <c r="BQ422" s="234"/>
      <c r="BR422" s="234"/>
      <c r="BS422" s="224"/>
      <c r="BT422" s="223">
        <f>(BL422+BM422+BN422+BO422+BP422+BQ422+BR422+BS422)/3</f>
        <v>11.666666666666666</v>
      </c>
      <c r="BU422" s="223">
        <f>2*BT422</f>
        <v>23.333333333333332</v>
      </c>
      <c r="BV422" s="234">
        <f>3*BT422</f>
        <v>35</v>
      </c>
      <c r="BW422" s="237">
        <f>BL422*POWER(KLslave_KL,SIGN(BM422))*POWER(INslave,SIGN(BN422))*POWER(CHslave,SIGN(BO422))*POWER(FFslave,SIGN(BP422))*POWER(GEslave,SIGN(BQ422))*POWER(KOslave,SIGN(BR422))*POWER(KKslave,SIGN(BS422))+BM422*POWER(MUslave,SIGN(BL422))*POWER(INslave,SIGN(BN422))*POWER(CHslave,SIGN(BO422))*POWER(FFslave,SIGN(BP422))*POWER(GEslave,SIGN(BQ422))*POWER(KOslave,SIGN(BR422))*POWER(KKslave,SIGN(BS422))+BN422*POWER(MUslave,SIGN(BL422))*POWER(KLslave_KL,SIGN(BM422))*POWER(CHslave,SIGN(BO422))*POWER(FFslave,SIGN(BP422))*POWER(GEslave,SIGN(BQ422))*POWER(KOslave,SIGN(BR422))*POWER(KKslave,SIGN(BS422))+BO422*POWER(MUslave,SIGN(BL422))*POWER(KLslave_KL,SIGN(BM422))*POWER(INslave,SIGN(BN422))*POWER(FFslave,SIGN(BP422))*POWER(GEslave,SIGN(BQ422))*POWER(KOslave,SIGN(BR422))*POWER(KKslave,SIGN(BS422))+BP422*POWER(MUslave,SIGN(BL422))*POWER(KLslave_KL,SIGN(BM422))*POWER(INslave,SIGN(BN422))*POWER(CHslave,SIGN(BO422))*POWER(GEslave,SIGN(BQ422))*POWER(KOslave,SIGN(BR422))*POWER(KKslave,SIGN(BS422))+BQ422*POWER(MUslave,SIGN(BL422))*POWER(KLslave_KL,SIGN(BM422))*POWER(INslave,SIGN(BN422))*POWER(CHslave,SIGN(BO422))*POWER(FFslave,SIGN(BP422))*POWER(KOslave,SIGN(BR422))*POWER(KKslave,SIGN(BS422))+BR422*POWER(MUslave,SIGN(BL422))*POWER(KLslave_KL,SIGN(BM422))*POWER(INslave,SIGN(BN422))*POWER(CHslave,SIGN(BO422))*POWER(FFslave,SIGN(BP422))*POWER(GEslave,SIGN(BQ422))*POWER(KKslave,SIGN(BS422))+BS422*POWER(MUslave,SIGN(BL422))*POWER(KLslave_KL,SIGN(BM422))*POWER(INslave,SIGN(BN422))*POWER(CHslave,SIGN(BO422))*POWER(FFslave,SIGN(BP422))*POWER(GEslave,SIGN(BQ422))*POWER(KOslave,SIGN(BR422))</f>
        <v>2432</v>
      </c>
      <c r="BX422" s="234">
        <f>BM422*BN422*CHslave+BM422*INslave*BO422+KLslave_KL*BN422*BO422</f>
        <v>3408</v>
      </c>
      <c r="BY422" s="224">
        <f>IFERROR(BL422^SIGN(BL422),1)*IFERROR(BM422^SIGN(BM422),1)*IFERROR(BN422^SIGN(BN422),1)*IFERROR(BO422^SIGN(BO422),1)*IFERROR(BP422^SIGN(BP422),1)*IFERROR(BQ422^SIGN(BQ422),1)*IFERROR(BR422^SIGN(BR422),1)*IFERROR(BS422^SIGN(BS422),1)</f>
        <v>1584</v>
      </c>
      <c r="BZ422" s="242">
        <f>SUM(BW422:BY422)</f>
        <v>7424</v>
      </c>
      <c r="CA422" s="222">
        <f>BT422*BW422/BZ422</f>
        <v>3.8218390804597702</v>
      </c>
      <c r="CB422" s="223">
        <f>BU422*BX422/BZ422</f>
        <v>10.711206896551724</v>
      </c>
      <c r="CC422" s="243">
        <f>BV422*BY422/BZ422</f>
        <v>7.4676724137931032</v>
      </c>
      <c r="CD422" s="243">
        <f>SUM(CA422:CC422)</f>
        <v>22.000718390804597</v>
      </c>
      <c r="CE422" s="252">
        <f t="shared" si="4531"/>
        <v>0</v>
      </c>
      <c r="CF422" s="309">
        <f>CD422-CE422</f>
        <v>22.000718390804597</v>
      </c>
      <c r="CG422" s="218">
        <f t="shared" si="4532"/>
        <v>154.01436781609189</v>
      </c>
      <c r="CH422" s="242">
        <f t="shared" si="4532"/>
        <v>2</v>
      </c>
      <c r="CI422" s="243">
        <f>IF((CG422-CH422)&gt;0,CG422-CH422,0)</f>
        <v>152.01436781609189</v>
      </c>
      <c r="CJ422" s="218">
        <f>IF((CH422-CG422)&gt;0,CH422-CG422,0)</f>
        <v>0</v>
      </c>
      <c r="CL422" s="325" t="s">
        <v>250</v>
      </c>
      <c r="CM422" s="218" t="s">
        <v>87</v>
      </c>
      <c r="CN422" s="223" t="s">
        <v>132</v>
      </c>
      <c r="CO422" s="237"/>
      <c r="CP422" s="234">
        <f>Konvention_1slave-KLslave</f>
        <v>12</v>
      </c>
      <c r="CQ422" s="234">
        <f>Konvention_1slave-INslave_IN</f>
        <v>11</v>
      </c>
      <c r="CR422" s="234">
        <f>Konvention_1slave-CHslave</f>
        <v>12</v>
      </c>
      <c r="CS422" s="234"/>
      <c r="CT422" s="234"/>
      <c r="CU422" s="234"/>
      <c r="CV422" s="224"/>
      <c r="CW422" s="223">
        <f>(CO422+CP422+CQ422+CR422+CS422+CT422+CU422+CV422)/3</f>
        <v>11.666666666666666</v>
      </c>
      <c r="CX422" s="223">
        <f>2*CW422</f>
        <v>23.333333333333332</v>
      </c>
      <c r="CY422" s="234">
        <f>3*CW422</f>
        <v>35</v>
      </c>
      <c r="CZ422" s="237">
        <f>CO422*POWER(KLslave,SIGN(CP422))*POWER(INslave_IN,SIGN(CQ422))*POWER(CHslave,SIGN(CR422))*POWER(FFslave,SIGN(CS422))*POWER(GEslave,SIGN(CT422))*POWER(KOslave,SIGN(CU422))*POWER(KKslave,SIGN(CV422))+CP422*POWER(MUslave,SIGN(CO422))*POWER(INslave_IN,SIGN(CQ422))*POWER(CHslave,SIGN(CR422))*POWER(FFslave,SIGN(CS422))*POWER(GEslave,SIGN(CT422))*POWER(KOslave,SIGN(CU422))*POWER(KKslave,SIGN(CV422))+CQ422*POWER(MUslave,SIGN(CO422))*POWER(KLslave,SIGN(CP422))*POWER(CHslave,SIGN(CR422))*POWER(FFslave,SIGN(CS422))*POWER(GEslave,SIGN(CT422))*POWER(KOslave,SIGN(CU422))*POWER(KKslave,SIGN(CV422))+CR422*POWER(MUslave,SIGN(CO422))*POWER(KLslave,SIGN(CP422))*POWER(INslave_IN,SIGN(CQ422))*POWER(FFslave,SIGN(CS422))*POWER(GEslave,SIGN(CT422))*POWER(KOslave,SIGN(CU422))*POWER(KKslave,SIGN(CV422))+CS422*POWER(MUslave,SIGN(CO422))*POWER(KLslave,SIGN(CP422))*POWER(INslave_IN,SIGN(CQ422))*POWER(CHslave,SIGN(CR422))*POWER(GEslave,SIGN(CT422))*POWER(KOslave,SIGN(CU422))*POWER(KKslave,SIGN(CV422))+CT422*POWER(MUslave,SIGN(CO422))*POWER(KLslave,SIGN(CP422))*POWER(INslave_IN,SIGN(CQ422))*POWER(CHslave,SIGN(CR422))*POWER(FFslave,SIGN(CS422))*POWER(KOslave,SIGN(CU422))*POWER(KKslave,SIGN(CV422))+CU422*POWER(MUslave,SIGN(CO422))*POWER(KLslave,SIGN(CP422))*POWER(INslave_IN,SIGN(CQ422))*POWER(CHslave,SIGN(CR422))*POWER(FFslave,SIGN(CS422))*POWER(GEslave,SIGN(CT422))*POWER(KKslave,SIGN(CV422))+CV422*POWER(MUslave,SIGN(CO422))*POWER(KLslave,SIGN(CP422))*POWER(INslave_IN,SIGN(CQ422))*POWER(CHslave,SIGN(CR422))*POWER(FFslave,SIGN(CS422))*POWER(GEslave,SIGN(CT422))*POWER(KOslave,SIGN(CU422))</f>
        <v>2432</v>
      </c>
      <c r="DA422" s="234">
        <f>CP422*CQ422*CHslave+CP422*INslave_IN*CR422+KLslave*CQ422*CR422</f>
        <v>3408</v>
      </c>
      <c r="DB422" s="224">
        <f>IFERROR(CO422^SIGN(CO422),1)*IFERROR(CP422^SIGN(CP422),1)*IFERROR(CQ422^SIGN(CQ422),1)*IFERROR(CR422^SIGN(CR422),1)*IFERROR(CS422^SIGN(CS422),1)*IFERROR(CT422^SIGN(CT422),1)*IFERROR(CU422^SIGN(CU422),1)*IFERROR(CV422^SIGN(CV422),1)</f>
        <v>1584</v>
      </c>
      <c r="DC422" s="242">
        <f>SUM(CZ422:DB422)</f>
        <v>7424</v>
      </c>
      <c r="DD422" s="222">
        <f>CW422*CZ422/DC422</f>
        <v>3.8218390804597702</v>
      </c>
      <c r="DE422" s="223">
        <f>CX422*DA422/DC422</f>
        <v>10.711206896551724</v>
      </c>
      <c r="DF422" s="243">
        <f>CY422*DB422/DC422</f>
        <v>7.4676724137931032</v>
      </c>
      <c r="DG422" s="243">
        <f>SUM(DD422:DF422)</f>
        <v>22.000718390804597</v>
      </c>
      <c r="DH422" s="252">
        <f t="shared" si="4533"/>
        <v>0</v>
      </c>
      <c r="DI422" s="309">
        <f>DG422-DH422</f>
        <v>22.000718390804597</v>
      </c>
      <c r="DJ422" s="218">
        <f t="shared" si="4534"/>
        <v>154.01436781609189</v>
      </c>
      <c r="DK422" s="242">
        <f t="shared" si="4534"/>
        <v>2</v>
      </c>
      <c r="DL422" s="243">
        <f>IF((DJ422-DK422)&gt;0,DJ422-DK422,0)</f>
        <v>152.01436781609189</v>
      </c>
      <c r="DM422" s="218">
        <f>IF((DK422-DJ422)&gt;0,DK422-DJ422,0)</f>
        <v>0</v>
      </c>
      <c r="DO422" s="325" t="s">
        <v>250</v>
      </c>
      <c r="DP422" s="218" t="s">
        <v>87</v>
      </c>
      <c r="DQ422" s="223" t="s">
        <v>132</v>
      </c>
      <c r="DR422" s="237"/>
      <c r="DS422" s="234">
        <f>Konvention_1slave-KLslave</f>
        <v>12</v>
      </c>
      <c r="DT422" s="234">
        <f>Konvention_1slave-INslave</f>
        <v>12</v>
      </c>
      <c r="DU422" s="234">
        <f>Konvention_1slave-CHslave_CH</f>
        <v>11</v>
      </c>
      <c r="DV422" s="234"/>
      <c r="DW422" s="234"/>
      <c r="DX422" s="234"/>
      <c r="DY422" s="224"/>
      <c r="DZ422" s="223">
        <f>(DR422+DS422+DT422+DU422+DV422+DW422+DX422+DY422)/3</f>
        <v>11.666666666666666</v>
      </c>
      <c r="EA422" s="223">
        <f>2*DZ422</f>
        <v>23.333333333333332</v>
      </c>
      <c r="EB422" s="234">
        <f>3*DZ422</f>
        <v>35</v>
      </c>
      <c r="EC422" s="237">
        <f>DR422*POWER(KLslave,SIGN(DS422))*POWER(INslave,SIGN(DT422))*POWER(CHslave_CH,SIGN(DU422))*POWER(FFslave,SIGN(DV422))*POWER(GEslave,SIGN(DW422))*POWER(KOslave,SIGN(DX422))*POWER(KKslave,SIGN(DY422))+DS422*POWER(MUslave,SIGN(DR422))*POWER(INslave,SIGN(DT422))*POWER(CHslave_CH,SIGN(DU422))*POWER(FFslave,SIGN(DV422))*POWER(GEslave,SIGN(DW422))*POWER(KOslave,SIGN(DX422))*POWER(KKslave,SIGN(DY422))+DT422*POWER(MUslave,SIGN(DR422))*POWER(KLslave,SIGN(DS422))*POWER(CHslave_CH,SIGN(DU422))*POWER(FFslave,SIGN(DV422))*POWER(GEslave,SIGN(DW422))*POWER(KOslave,SIGN(DX422))*POWER(KKslave,SIGN(DY422))+DU422*POWER(MUslave,SIGN(DR422))*POWER(KLslave,SIGN(DS422))*POWER(INslave,SIGN(DT422))*POWER(FFslave,SIGN(DV422))*POWER(GEslave,SIGN(DW422))*POWER(KOslave,SIGN(DX422))*POWER(KKslave,SIGN(DY422))+DV422*POWER(MUslave,SIGN(DR422))*POWER(KLslave,SIGN(DS422))*POWER(INslave,SIGN(DT422))*POWER(CHslave_CH,SIGN(DU422))*POWER(GEslave,SIGN(DW422))*POWER(KOslave,SIGN(DX422))*POWER(KKslave,SIGN(DY422))+DW422*POWER(MUslave,SIGN(DR422))*POWER(KLslave,SIGN(DS422))*POWER(INslave,SIGN(DT422))*POWER(CHslave_CH,SIGN(DU422))*POWER(FFslave,SIGN(DV422))*POWER(KOslave,SIGN(DX422))*POWER(KKslave,SIGN(DY422))+DX422*POWER(MUslave,SIGN(DR422))*POWER(KLslave,SIGN(DS422))*POWER(INslave,SIGN(DT422))*POWER(CHslave_CH,SIGN(DU422))*POWER(FFslave,SIGN(DV422))*POWER(GEslave,SIGN(DW422))*POWER(KKslave,SIGN(DY422))+DY422*POWER(MUslave,SIGN(DR422))*POWER(KLslave,SIGN(DS422))*POWER(INslave,SIGN(DT422))*POWER(CHslave_CH,SIGN(DU422))*POWER(FFslave,SIGN(DV422))*POWER(GEslave,SIGN(DW422))*POWER(KOslave,SIGN(DX422))</f>
        <v>2432</v>
      </c>
      <c r="ED422" s="234">
        <f>DS422*DT422*CHslave_CH+DS422*INslave*DU422+KLslave*DT422*DU422</f>
        <v>3408</v>
      </c>
      <c r="EE422" s="224">
        <f>IFERROR(DR422^SIGN(DR422),1)*IFERROR(DS422^SIGN(DS422),1)*IFERROR(DT422^SIGN(DT422),1)*IFERROR(DU422^SIGN(DU422),1)*IFERROR(DV422^SIGN(DV422),1)*IFERROR(DW422^SIGN(DW422),1)*IFERROR(DX422^SIGN(DX422),1)*IFERROR(DY422^SIGN(DY422),1)</f>
        <v>1584</v>
      </c>
      <c r="EF422" s="242">
        <f>SUM(EC422:EE422)</f>
        <v>7424</v>
      </c>
      <c r="EG422" s="222">
        <f>DZ422*EC422/EF422</f>
        <v>3.8218390804597702</v>
      </c>
      <c r="EH422" s="223">
        <f>EA422*ED422/EF422</f>
        <v>10.711206896551724</v>
      </c>
      <c r="EI422" s="243">
        <f>EB422*EE422/EF422</f>
        <v>7.4676724137931032</v>
      </c>
      <c r="EJ422" s="243">
        <f>SUM(EG422:EI422)</f>
        <v>22.000718390804597</v>
      </c>
      <c r="EK422" s="252">
        <f t="shared" si="4535"/>
        <v>0</v>
      </c>
      <c r="EL422" s="309">
        <f>EJ422-EK422</f>
        <v>22.000718390804597</v>
      </c>
      <c r="EM422" s="218">
        <f t="shared" si="4536"/>
        <v>154.01436781609189</v>
      </c>
      <c r="EN422" s="242">
        <f t="shared" si="4536"/>
        <v>2</v>
      </c>
      <c r="EO422" s="243">
        <f>IF((EM422-EN422)&gt;0,EM422-EN422,0)</f>
        <v>152.01436781609189</v>
      </c>
      <c r="EP422" s="218">
        <f>IF((EN422-EM422)&gt;0,EN422-EM422,0)</f>
        <v>0</v>
      </c>
      <c r="ER422" s="325" t="s">
        <v>250</v>
      </c>
      <c r="ES422" s="218" t="s">
        <v>87</v>
      </c>
      <c r="ET422" s="223" t="s">
        <v>132</v>
      </c>
      <c r="EU422" s="237"/>
      <c r="EV422" s="234">
        <f>Konvention_1slave-KLslave</f>
        <v>12</v>
      </c>
      <c r="EW422" s="234">
        <f>Konvention_1slave-INslave</f>
        <v>12</v>
      </c>
      <c r="EX422" s="234">
        <f>Konvention_1slave-CHslave</f>
        <v>12</v>
      </c>
      <c r="EY422" s="234"/>
      <c r="EZ422" s="234"/>
      <c r="FA422" s="234"/>
      <c r="FB422" s="224"/>
      <c r="FC422" s="223">
        <f>(EU422+EV422+EW422+EX422+EY422+EZ422+FA422+FB422)/3</f>
        <v>12</v>
      </c>
      <c r="FD422" s="223">
        <f>2*FC422</f>
        <v>24</v>
      </c>
      <c r="FE422" s="234">
        <f>3*FC422</f>
        <v>36</v>
      </c>
      <c r="FF422" s="237">
        <f>EU422*POWER(KLslave,SIGN(EV422))*POWER(INslave,SIGN(EW422))*POWER(CHslave,SIGN(EX422))*POWER(FFslave_FF,SIGN(EY422))*POWER(GEslave,SIGN(EZ422))*POWER(KOslave,SIGN(FA422))*POWER(KKslave,SIGN(FB422))+EV422*POWER(MUslave,SIGN(EU422))*POWER(INslave,SIGN(EW422))*POWER(CHslave,SIGN(EX422))*POWER(FFslave_FF,SIGN(EY422))*POWER(GEslave,SIGN(EZ422))*POWER(KOslave,SIGN(FA422))*POWER(KKslave,SIGN(FB422))+EW422*POWER(MUslave,SIGN(EU422))*POWER(KLslave,SIGN(EV422))*POWER(CHslave,SIGN(EX422))*POWER(FFslave_FF,SIGN(EY422))*POWER(GEslave,SIGN(EZ422))*POWER(KOslave,SIGN(FA422))*POWER(KKslave,SIGN(FB422))+EX422*POWER(MUslave,SIGN(EU422))*POWER(KLslave,SIGN(EV422))*POWER(INslave,SIGN(EW422))*POWER(FFslave_FF,SIGN(EY422))*POWER(GEslave,SIGN(EZ422))*POWER(KOslave,SIGN(FA422))*POWER(KKslave,SIGN(FB422))+EY422*POWER(MUslave,SIGN(EU422))*POWER(KLslave,SIGN(EV422))*POWER(INslave,SIGN(EW422))*POWER(CHslave,SIGN(EX422))*POWER(GEslave,SIGN(EZ422))*POWER(KOslave,SIGN(FA422))*POWER(KKslave,SIGN(FB422))+EZ422*POWER(MUslave,SIGN(EU422))*POWER(KLslave,SIGN(EV422))*POWER(INslave,SIGN(EW422))*POWER(CHslave,SIGN(EX422))*POWER(FFslave_FF,SIGN(EY422))*POWER(KOslave,SIGN(FA422))*POWER(KKslave,SIGN(FB422))+FA422*POWER(MUslave,SIGN(EU422))*POWER(KLslave,SIGN(EV422))*POWER(INslave,SIGN(EW422))*POWER(CHslave,SIGN(EX422))*POWER(FFslave_FF,SIGN(EY422))*POWER(GEslave,SIGN(EZ422))*POWER(KKslave,SIGN(FB422))+FB422*POWER(MUslave,SIGN(EU422))*POWER(KLslave,SIGN(EV422))*POWER(INslave,SIGN(EW422))*POWER(CHslave,SIGN(EX422))*POWER(FFslave_FF,SIGN(EY422))*POWER(GEslave,SIGN(EZ422))*POWER(KOslave,SIGN(FA422))</f>
        <v>2304</v>
      </c>
      <c r="FG422" s="234">
        <f>EV422*EW422*CHslave+EV422*INslave*EX422+KLslave*EW422*EX422</f>
        <v>3456</v>
      </c>
      <c r="FH422" s="224">
        <f>IFERROR(EU422^SIGN(EU422),1)*IFERROR(EV422^SIGN(EV422),1)*IFERROR(EW422^SIGN(EW422),1)*IFERROR(EX422^SIGN(EX422),1)*IFERROR(EY422^SIGN(EY422),1)*IFERROR(EZ422^SIGN(EZ422),1)*IFERROR(FA422^SIGN(FA422),1)*IFERROR(FB422^SIGN(FB422),1)</f>
        <v>1728</v>
      </c>
      <c r="FI422" s="242">
        <f>SUM(FF422:FH422)</f>
        <v>7488</v>
      </c>
      <c r="FJ422" s="222">
        <f>FC422*FF422/FI422</f>
        <v>3.6923076923076925</v>
      </c>
      <c r="FK422" s="223">
        <f>FD422*FG422/FI422</f>
        <v>11.076923076923077</v>
      </c>
      <c r="FL422" s="243">
        <f>FE422*FH422/FI422</f>
        <v>8.3076923076923084</v>
      </c>
      <c r="FM422" s="243">
        <f>SUM(FJ422:FL422)</f>
        <v>23.07692307692308</v>
      </c>
      <c r="FN422" s="252">
        <f t="shared" si="4537"/>
        <v>0</v>
      </c>
      <c r="FO422" s="309">
        <f>FM422-FN422</f>
        <v>23.07692307692308</v>
      </c>
      <c r="FP422" s="218">
        <f t="shared" si="4538"/>
        <v>175.5384615384616</v>
      </c>
      <c r="FQ422" s="242">
        <f t="shared" si="4538"/>
        <v>2</v>
      </c>
      <c r="FR422" s="243">
        <f>IF((FP422-FQ422)&gt;0,FP422-FQ422,0)</f>
        <v>173.5384615384616</v>
      </c>
      <c r="FS422" s="218">
        <f>IF((FQ422-FP422)&gt;0,FQ422-FP422,0)</f>
        <v>0</v>
      </c>
      <c r="FU422" s="325" t="s">
        <v>250</v>
      </c>
      <c r="FV422" s="218" t="s">
        <v>87</v>
      </c>
      <c r="FW422" s="223" t="s">
        <v>132</v>
      </c>
      <c r="FX422" s="237"/>
      <c r="FY422" s="234">
        <f>Konvention_1slave-KLslave</f>
        <v>12</v>
      </c>
      <c r="FZ422" s="234">
        <f>Konvention_1slave-INslave</f>
        <v>12</v>
      </c>
      <c r="GA422" s="234">
        <f>Konvention_1slave-CHslave</f>
        <v>12</v>
      </c>
      <c r="GB422" s="234"/>
      <c r="GC422" s="234"/>
      <c r="GD422" s="234"/>
      <c r="GE422" s="224"/>
      <c r="GF422" s="223">
        <f>(FX422+FY422+FZ422+GA422+GB422+GC422+GD422+GE422)/3</f>
        <v>12</v>
      </c>
      <c r="GG422" s="223">
        <f>2*GF422</f>
        <v>24</v>
      </c>
      <c r="GH422" s="234">
        <f>3*GF422</f>
        <v>36</v>
      </c>
      <c r="GI422" s="237">
        <f>FX422*POWER(KLslave,SIGN(FY422))*POWER(INslave,SIGN(FZ422))*POWER(CHslave,SIGN(GA422))*POWER(FFslave,SIGN(GB422))*POWER(GEslave_GE,SIGN(GC422))*POWER(KOslave,SIGN(GD422))*POWER(KKslave,SIGN(GE422))+FY422*POWER(MUslave,SIGN(FX422))*POWER(INslave,SIGN(FZ422))*POWER(CHslave,SIGN(GA422))*POWER(FFslave,SIGN(GB422))*POWER(GEslave_GE,SIGN(GC422))*POWER(KOslave,SIGN(GD422))*POWER(KKslave,SIGN(GE422))+FZ422*POWER(MUslave,SIGN(FX422))*POWER(KLslave,SIGN(FY422))*POWER(CHslave,SIGN(GA422))*POWER(FFslave,SIGN(GB422))*POWER(GEslave_GE,SIGN(GC422))*POWER(KOslave,SIGN(GD422))*POWER(KKslave,SIGN(GE422))+GA422*POWER(MUslave,SIGN(FX422))*POWER(KLslave,SIGN(FY422))*POWER(INslave,SIGN(FZ422))*POWER(FFslave,SIGN(GB422))*POWER(GEslave_GE,SIGN(GC422))*POWER(KOslave,SIGN(GD422))*POWER(KKslave,SIGN(GE422))+GB422*POWER(MUslave,SIGN(FX422))*POWER(KLslave,SIGN(FY422))*POWER(INslave,SIGN(FZ422))*POWER(CHslave,SIGN(GA422))*POWER(GEslave_GE,SIGN(GC422))*POWER(KOslave,SIGN(GD422))*POWER(KKslave,SIGN(GE422))+GC422*POWER(MUslave,SIGN(FX422))*POWER(KLslave,SIGN(FY422))*POWER(INslave,SIGN(FZ422))*POWER(CHslave,SIGN(GA422))*POWER(FFslave,SIGN(GB422))*POWER(KOslave,SIGN(GD422))*POWER(KKslave,SIGN(GE422))+GD422*POWER(MUslave,SIGN(FX422))*POWER(KLslave,SIGN(FY422))*POWER(INslave,SIGN(FZ422))*POWER(CHslave,SIGN(GA422))*POWER(FFslave,SIGN(GB422))*POWER(GEslave_GE,SIGN(GC422))*POWER(KKslave,SIGN(GE422))+GE422*POWER(MUslave,SIGN(FX422))*POWER(KLslave,SIGN(FY422))*POWER(INslave,SIGN(FZ422))*POWER(CHslave,SIGN(GA422))*POWER(FFslave,SIGN(GB422))*POWER(GEslave_GE,SIGN(GC422))*POWER(KOslave,SIGN(GD422))</f>
        <v>2304</v>
      </c>
      <c r="GJ422" s="234">
        <f>FY422*FZ422*CHslave+FY422*INslave*GA422+KLslave*FZ422*GA422</f>
        <v>3456</v>
      </c>
      <c r="GK422" s="224">
        <f>IFERROR(FX422^SIGN(FX422),1)*IFERROR(FY422^SIGN(FY422),1)*IFERROR(FZ422^SIGN(FZ422),1)*IFERROR(GA422^SIGN(GA422),1)*IFERROR(GB422^SIGN(GB422),1)*IFERROR(GC422^SIGN(GC422),1)*IFERROR(GD422^SIGN(GD422),1)*IFERROR(GE422^SIGN(GE422),1)</f>
        <v>1728</v>
      </c>
      <c r="GL422" s="242">
        <f>SUM(GI422:GK422)</f>
        <v>7488</v>
      </c>
      <c r="GM422" s="222">
        <f>GF422*GI422/GL422</f>
        <v>3.6923076923076925</v>
      </c>
      <c r="GN422" s="223">
        <f>GG422*GJ422/GL422</f>
        <v>11.076923076923077</v>
      </c>
      <c r="GO422" s="243">
        <f>GH422*GK422/GL422</f>
        <v>8.3076923076923084</v>
      </c>
      <c r="GP422" s="243">
        <f>SUM(GM422:GO422)</f>
        <v>23.07692307692308</v>
      </c>
      <c r="GQ422" s="252">
        <f t="shared" si="4539"/>
        <v>0</v>
      </c>
      <c r="GR422" s="309">
        <f>GP422-GQ422</f>
        <v>23.07692307692308</v>
      </c>
      <c r="GS422" s="218">
        <f t="shared" si="4540"/>
        <v>175.5384615384616</v>
      </c>
      <c r="GT422" s="242">
        <f t="shared" si="4540"/>
        <v>2</v>
      </c>
      <c r="GU422" s="243">
        <f>IF((GS422-GT422)&gt;0,GS422-GT422,0)</f>
        <v>173.5384615384616</v>
      </c>
      <c r="GV422" s="218">
        <f>IF((GT422-GS422)&gt;0,GT422-GS422,0)</f>
        <v>0</v>
      </c>
      <c r="GX422" s="325" t="s">
        <v>250</v>
      </c>
      <c r="GY422" s="218" t="s">
        <v>87</v>
      </c>
      <c r="GZ422" s="223" t="s">
        <v>132</v>
      </c>
      <c r="HA422" s="237"/>
      <c r="HB422" s="234">
        <f>Konvention_1slave-KLslave</f>
        <v>12</v>
      </c>
      <c r="HC422" s="234">
        <f>Konvention_1slave-INslave</f>
        <v>12</v>
      </c>
      <c r="HD422" s="234">
        <f>Konvention_1slave-CHslave</f>
        <v>12</v>
      </c>
      <c r="HE422" s="234"/>
      <c r="HF422" s="234"/>
      <c r="HG422" s="234"/>
      <c r="HH422" s="224"/>
      <c r="HI422" s="223">
        <f>(HA422+HB422+HC422+HD422+HE422+HF422+HG422+HH422)/3</f>
        <v>12</v>
      </c>
      <c r="HJ422" s="223">
        <f>2*HI422</f>
        <v>24</v>
      </c>
      <c r="HK422" s="234">
        <f>3*HI422</f>
        <v>36</v>
      </c>
      <c r="HL422" s="237">
        <f>HA422*POWER(KLslave,SIGN(HB422))*POWER(INslave,SIGN(HC422))*POWER(CHslave,SIGN(HD422))*POWER(FFslave,SIGN(HE422))*POWER(GEslave,SIGN(HF422))*POWER(KOslave_KO,SIGN(HG422))*POWER(KKslave,SIGN(HH422))+HB422*POWER(MUslave,SIGN(HA422))*POWER(INslave,SIGN(HC422))*POWER(CHslave,SIGN(HD422))*POWER(FFslave,SIGN(HE422))*POWER(GEslave,SIGN(HF422))*POWER(KOslave_KO,SIGN(HG422))*POWER(KKslave,SIGN(HH422))+HC422*POWER(MUslave,SIGN(HA422))*POWER(KLslave,SIGN(HB422))*POWER(CHslave,SIGN(HD422))*POWER(FFslave,SIGN(HE422))*POWER(GEslave,SIGN(HF422))*POWER(KOslave_KO,SIGN(HG422))*POWER(KKslave,SIGN(HH422))+HD422*POWER(MUslave,SIGN(HA422))*POWER(KLslave,SIGN(HB422))*POWER(INslave,SIGN(HC422))*POWER(FFslave,SIGN(HE422))*POWER(GEslave,SIGN(HF422))*POWER(KOslave_KO,SIGN(HG422))*POWER(KKslave,SIGN(HH422))+HE422*POWER(MUslave,SIGN(HA422))*POWER(KLslave,SIGN(HB422))*POWER(INslave,SIGN(HC422))*POWER(CHslave,SIGN(HD422))*POWER(GEslave,SIGN(HF422))*POWER(KOslave_KO,SIGN(HG422))*POWER(KKslave,SIGN(HH422))+HF422*POWER(MUslave,SIGN(HA422))*POWER(KLslave,SIGN(HB422))*POWER(INslave,SIGN(HC422))*POWER(CHslave,SIGN(HD422))*POWER(FFslave,SIGN(HE422))*POWER(KOslave_KO,SIGN(HG422))*POWER(KKslave,SIGN(HH422))+HG422*POWER(MUslave,SIGN(HA422))*POWER(KLslave,SIGN(HB422))*POWER(INslave,SIGN(HC422))*POWER(CHslave,SIGN(HD422))*POWER(FFslave,SIGN(HE422))*POWER(GEslave,SIGN(HF422))*POWER(KKslave,SIGN(HH422))+HH422*POWER(MUslave,SIGN(HA422))*POWER(KLslave,SIGN(HB422))*POWER(INslave,SIGN(HC422))*POWER(CHslave,SIGN(HD422))*POWER(FFslave,SIGN(HE422))*POWER(GEslave,SIGN(HF422))*POWER(KOslave_KO,SIGN(HG422))</f>
        <v>2304</v>
      </c>
      <c r="HM422" s="234">
        <f>HB422*HC422*CHslave+HB422*INslave*HD422+KLslave*HC422*HD422</f>
        <v>3456</v>
      </c>
      <c r="HN422" s="224">
        <f>IFERROR(HA422^SIGN(HA422),1)*IFERROR(HB422^SIGN(HB422),1)*IFERROR(HC422^SIGN(HC422),1)*IFERROR(HD422^SIGN(HD422),1)*IFERROR(HE422^SIGN(HE422),1)*IFERROR(HF422^SIGN(HF422),1)*IFERROR(HG422^SIGN(HG422),1)*IFERROR(HH422^SIGN(HH422),1)</f>
        <v>1728</v>
      </c>
      <c r="HO422" s="242">
        <f>SUM(HL422:HN422)</f>
        <v>7488</v>
      </c>
      <c r="HP422" s="222">
        <f>HI422*HL422/HO422</f>
        <v>3.6923076923076925</v>
      </c>
      <c r="HQ422" s="223">
        <f>HJ422*HM422/HO422</f>
        <v>11.076923076923077</v>
      </c>
      <c r="HR422" s="243">
        <f>HK422*HN422/HO422</f>
        <v>8.3076923076923084</v>
      </c>
      <c r="HS422" s="243">
        <f>SUM(HP422:HR422)</f>
        <v>23.07692307692308</v>
      </c>
      <c r="HT422" s="252">
        <f t="shared" si="4541"/>
        <v>0</v>
      </c>
      <c r="HU422" s="309">
        <f>HS422-HT422</f>
        <v>23.07692307692308</v>
      </c>
      <c r="HV422" s="218">
        <f t="shared" si="4542"/>
        <v>175.5384615384616</v>
      </c>
      <c r="HW422" s="242">
        <f t="shared" si="4542"/>
        <v>2</v>
      </c>
      <c r="HX422" s="243">
        <f>IF((HV422-HW422)&gt;0,HV422-HW422,0)</f>
        <v>173.5384615384616</v>
      </c>
      <c r="HY422" s="218">
        <f>IF((HW422-HV422)&gt;0,HW422-HV422,0)</f>
        <v>0</v>
      </c>
      <c r="IA422" s="325" t="s">
        <v>250</v>
      </c>
      <c r="IB422" s="218" t="s">
        <v>87</v>
      </c>
      <c r="IC422" s="223" t="s">
        <v>132</v>
      </c>
      <c r="ID422" s="237"/>
      <c r="IE422" s="234">
        <f>Konvention_1slave-KLslave</f>
        <v>12</v>
      </c>
      <c r="IF422" s="234">
        <f>Konvention_1slave-INslave</f>
        <v>12</v>
      </c>
      <c r="IG422" s="234">
        <f>Konvention_1slave-CHslave</f>
        <v>12</v>
      </c>
      <c r="IH422" s="234"/>
      <c r="II422" s="234"/>
      <c r="IJ422" s="234"/>
      <c r="IK422" s="224"/>
      <c r="IL422" s="223">
        <f>(ID422+IE422+IF422+IG422+IH422+II422+IJ422+IK422)/3</f>
        <v>12</v>
      </c>
      <c r="IM422" s="223">
        <f>2*IL422</f>
        <v>24</v>
      </c>
      <c r="IN422" s="234">
        <f>3*IL422</f>
        <v>36</v>
      </c>
      <c r="IO422" s="237">
        <f>ID422*POWER(KLslave,SIGN(IE422))*POWER(INslave,SIGN(IF422))*POWER(CHslave,SIGN(IG422))*POWER(FFslave,SIGN(IH422))*POWER(GEslave,SIGN(II422))*POWER(KOslave,SIGN(IJ422))*POWER(KKslave_KK,SIGN(IK422))+IE422*POWER(MUslave,SIGN(ID422))*POWER(INslave,SIGN(IF422))*POWER(CHslave,SIGN(IG422))*POWER(FFslave,SIGN(IH422))*POWER(GEslave,SIGN(II422))*POWER(KOslave,SIGN(IJ422))*POWER(KKslave_KK,SIGN(IK422))+IF422*POWER(MUslave,SIGN(ID422))*POWER(KLslave,SIGN(IE422))*POWER(CHslave,SIGN(IG422))*POWER(FFslave,SIGN(IH422))*POWER(GEslave,SIGN(II422))*POWER(KOslave,SIGN(IJ422))*POWER(KKslave_KK,SIGN(IK422))+IG422*POWER(MUslave,SIGN(ID422))*POWER(KLslave,SIGN(IE422))*POWER(INslave,SIGN(IF422))*POWER(FFslave,SIGN(IH422))*POWER(GEslave,SIGN(II422))*POWER(KOslave,SIGN(IJ422))*POWER(KKslave_KK,SIGN(IK422))+IH422*POWER(MUslave,SIGN(ID422))*POWER(KLslave,SIGN(IE422))*POWER(INslave,SIGN(IF422))*POWER(CHslave,SIGN(IG422))*POWER(GEslave,SIGN(II422))*POWER(KOslave,SIGN(IJ422))*POWER(KKslave_KK,SIGN(IK422))+II422*POWER(MUslave,SIGN(ID422))*POWER(KLslave,SIGN(IE422))*POWER(INslave,SIGN(IF422))*POWER(CHslave,SIGN(IG422))*POWER(FFslave,SIGN(IH422))*POWER(KOslave,SIGN(IJ422))*POWER(KKslave_KK,SIGN(IK422))+IJ422*POWER(MUslave,SIGN(ID422))*POWER(KLslave,SIGN(IE422))*POWER(INslave,SIGN(IF422))*POWER(CHslave,SIGN(IG422))*POWER(FFslave,SIGN(IH422))*POWER(GEslave,SIGN(II422))*POWER(KKslave_KK,SIGN(IK422))+IK422*POWER(MUslave,SIGN(ID422))*POWER(KLslave,SIGN(IE422))*POWER(INslave,SIGN(IF422))*POWER(CHslave,SIGN(IG422))*POWER(FFslave,SIGN(IH422))*POWER(GEslave,SIGN(II422))*POWER(KOslave,SIGN(IJ422))</f>
        <v>2304</v>
      </c>
      <c r="IP422" s="234">
        <f>IE422*IF422*CHslave+IE422*INslave*IG422+KLslave*IF422*IG422</f>
        <v>3456</v>
      </c>
      <c r="IQ422" s="224">
        <f>IFERROR(ID422^SIGN(ID422),1)*IFERROR(IE422^SIGN(IE422),1)*IFERROR(IF422^SIGN(IF422),1)*IFERROR(IG422^SIGN(IG422),1)*IFERROR(IH422^SIGN(IH422),1)*IFERROR(II422^SIGN(II422),1)*IFERROR(IJ422^SIGN(IJ422),1)*IFERROR(IK422^SIGN(IK422),1)</f>
        <v>1728</v>
      </c>
      <c r="IR422" s="242">
        <f>SUM(IO422:IQ422)</f>
        <v>7488</v>
      </c>
      <c r="IS422" s="222">
        <f>IL422*IO422/IR422</f>
        <v>3.6923076923076925</v>
      </c>
      <c r="IT422" s="223">
        <f>IM422*IP422/IR422</f>
        <v>11.076923076923077</v>
      </c>
      <c r="IU422" s="243">
        <f>IN422*IQ422/IR422</f>
        <v>8.3076923076923084</v>
      </c>
      <c r="IV422" s="243">
        <f>SUM(IS422:IU422)</f>
        <v>23.07692307692308</v>
      </c>
      <c r="IW422" s="252">
        <f t="shared" si="4543"/>
        <v>0</v>
      </c>
      <c r="IX422" s="309">
        <f>IV422-IW422</f>
        <v>23.07692307692308</v>
      </c>
      <c r="IY422" s="218">
        <f t="shared" si="4544"/>
        <v>175.5384615384616</v>
      </c>
      <c r="IZ422" s="242">
        <f t="shared" si="4544"/>
        <v>2</v>
      </c>
      <c r="JA422" s="243">
        <f>IF((IY422-IZ422)&gt;0,IY422-IZ422,0)</f>
        <v>173.5384615384616</v>
      </c>
      <c r="JB422" s="218">
        <f>IF((IZ422-IY422)&gt;0,IZ422-IY422,0)</f>
        <v>0</v>
      </c>
      <c r="JE422" s="148"/>
    </row>
    <row r="423" spans="2:265" ht="15" hidden="1" customHeight="1" outlineLevel="2">
      <c r="B423" s="137">
        <v>5</v>
      </c>
      <c r="C423" s="326" t="e">
        <f>VLOOKUP(AF423,Attribute!C:T,1,FALSE)</f>
        <v>#N/A</v>
      </c>
      <c r="D423" s="87" t="s">
        <v>87</v>
      </c>
      <c r="E423" s="88" t="s">
        <v>133</v>
      </c>
      <c r="F423" s="115"/>
      <c r="G423" s="122">
        <f>Konvention_1master-KLmaster</f>
        <v>12</v>
      </c>
      <c r="H423" s="122">
        <f>Konvention_1master-INmaster</f>
        <v>12</v>
      </c>
      <c r="I423" s="122">
        <f>Konvention_1master-CHmaster</f>
        <v>12</v>
      </c>
      <c r="J423" s="122"/>
      <c r="K423" s="122"/>
      <c r="L423" s="122"/>
      <c r="M423" s="123"/>
      <c r="N423" s="226">
        <f>(F423+G423+H423+I423+J423+K423+L423+M423)/3</f>
        <v>12</v>
      </c>
      <c r="O423" s="226">
        <f>2*N423</f>
        <v>24</v>
      </c>
      <c r="P423" s="235">
        <f>3*N423</f>
        <v>36</v>
      </c>
      <c r="Q423" s="238">
        <f>F423*POWER(KLmaster,SIGN(G423))*POWER(INmaster,SIGN(H423))*POWER(CHmaster,SIGN(I423))*POWER(FFmaster,SIGN(J423))*POWER(GEmaster,SIGN(K423))*POWER(KOmaster,SIGN(L423))*POWER(KKmaster,SIGN(M423))+G423*POWER(MUmaster,SIGN(F423))*POWER(INmaster,SIGN(H423))*POWER(CHmaster,SIGN(I423))*POWER(FFmaster,SIGN(J423))*POWER(GEmaster,SIGN(K423))*POWER(KOmaster,SIGN(L423))*POWER(KKmaster,SIGN(M423))+H423*POWER(MUmaster,SIGN(F423))*POWER(KLmaster,SIGN(G423))*POWER(CHmaster,SIGN(I423))*POWER(FFmaster,SIGN(J423))*POWER(GEmaster,SIGN(K423))*POWER(KOmaster,SIGN(L423))*POWER(KKmaster,SIGN(M423))+I423*POWER(MUmaster,SIGN(F423))*POWER(KLmaster,SIGN(G423))*POWER(INmaster,SIGN(H423))*POWER(FFmaster,SIGN(J423))*POWER(GEmaster,SIGN(K423))*POWER(KOmaster,SIGN(L423))*POWER(KKmaster,SIGN(M423))+J423*POWER(MUmaster,SIGN(F423))*POWER(KLmaster,SIGN(G423))*POWER(INmaster,SIGN(H423))*POWER(CHmaster,SIGN(I423))*POWER(GEmaster,SIGN(K423))*POWER(KOmaster,SIGN(L423))*POWER(KKmaster,SIGN(M423))+K423*POWER(MUmaster,SIGN(F423))*POWER(KLmaster,SIGN(G423))*POWER(INmaster,SIGN(H423))*POWER(CHmaster,SIGN(I423))*POWER(FFmaster,SIGN(J423))*POWER(KOmaster,SIGN(L423))*POWER(KKmaster,SIGN(M423))+L423*POWER(MUmaster,SIGN(F423))*POWER(KLmaster,SIGN(G423))*POWER(INmaster,SIGN(H423))*POWER(CHmaster,SIGN(I423))*POWER(FFmaster,SIGN(J423))*POWER(GEmaster,SIGN(K423))*POWER(KKmaster,SIGN(M423))+M423*POWER(MUmaster,SIGN(F423))*POWER(KLmaster,SIGN(G423))*POWER(INmaster,SIGN(H423))*POWER(CHmaster,SIGN(I423))*POWER(FFmaster,SIGN(J423))*POWER(GEmaster,SIGN(K423))*POWER(KOmaster,SIGN(L423))</f>
        <v>2304</v>
      </c>
      <c r="R423" s="122">
        <f>G423*H423*CHmaster+G423*INmaster*I423+KLmaster*H423*I423</f>
        <v>3456</v>
      </c>
      <c r="S423" s="227">
        <f>IFERROR(F423^SIGN(F423),1)*IFERROR(G423^SIGN(G423),1)*IFERROR(H423^SIGN(H423),1)*IFERROR(I423^SIGN(I423),1)*IFERROR(J423^SIGN(J423),1)*IFERROR(K423^SIGN(K423),1)*IFERROR(L423^SIGN(L423),1)*IFERROR(M423^SIGN(M423),1)</f>
        <v>1728</v>
      </c>
      <c r="T423" s="244">
        <f>SUM(Q423:S423)</f>
        <v>7488</v>
      </c>
      <c r="U423" s="225">
        <f>N423*Q423/T423</f>
        <v>3.6923076923076925</v>
      </c>
      <c r="V423" s="226">
        <f>O423*R423/T423</f>
        <v>11.076923076923077</v>
      </c>
      <c r="W423" s="245">
        <f>P423*S423/T423</f>
        <v>8.3076923076923084</v>
      </c>
      <c r="X423" s="245">
        <f>SUM(U423:W423)</f>
        <v>23.07692307692308</v>
      </c>
      <c r="Y423" s="252">
        <v>0</v>
      </c>
      <c r="Z423" s="198">
        <f>X423-Y423</f>
        <v>23.07692307692308</v>
      </c>
      <c r="AA423" s="159">
        <f>IF(X423&lt;=0,1,0)+IF(X423&gt;0,X423+1,0)*1+IF(X423&gt;12,X423-12,0)*1+IF(X423&gt;13,X423-13,0)*1+IF(X423&gt;14,X423-14,0)*1+IF(X423&gt;15,X423-15,0)*1+IF(X423&gt;16,X423-16,0)*1+IF(X423&gt;17,X423-17,0)*1+IF(X423&gt;18,X423-18,0)*1+IF(X423&gt;19,X423-19,0)*1+IF(X423&gt;20,X423-20,0)*1</f>
        <v>87.769230769230802</v>
      </c>
      <c r="AB423" s="161">
        <f>IF(Y423&lt;=0,1,0)+IF(Y423&gt;0,Y423+1,0)*1+IF(Y423&gt;12,Y423-12,0)*1+IF(Y423&gt;13,Y423-13,0)*1+IF(Y423&gt;14,Y423-14,0)*1+IF(Y423&gt;15,Y423-15,0)*1+IF(Y423&gt;16,Y423-16,0)*1+IF(Y423&gt;17,Y423-17,0)*1+IF(Y423&gt;18,Y423-18,0)*1+IF(Y423&gt;19,Y423-19,0)*1+IF(Y423&gt;20,Y423-20,0)*1</f>
        <v>1</v>
      </c>
      <c r="AC423" s="128">
        <f>IF((AA423-AB423)&gt;0,AA423-AB423,0)</f>
        <v>86.769230769230802</v>
      </c>
      <c r="AD423" s="159">
        <f>IF((AB423-AA423)&gt;0,AB423-AA423,0)</f>
        <v>0</v>
      </c>
      <c r="AF423" s="178" t="s">
        <v>258</v>
      </c>
      <c r="AG423" s="159" t="s">
        <v>87</v>
      </c>
      <c r="AH423" s="88" t="s">
        <v>133</v>
      </c>
      <c r="AI423" s="115"/>
      <c r="AJ423" s="122">
        <f>Konvention_1slave-KLslave</f>
        <v>12</v>
      </c>
      <c r="AK423" s="122">
        <f>Konvention_1slave-INslave</f>
        <v>12</v>
      </c>
      <c r="AL423" s="122">
        <f>Konvention_1slave-CHslave</f>
        <v>12</v>
      </c>
      <c r="AM423" s="122"/>
      <c r="AN423" s="122"/>
      <c r="AO423" s="122"/>
      <c r="AP423" s="123"/>
      <c r="AQ423" s="88">
        <f>(AI423+AJ423+AK423+AL423+AM423+AN423+AO423+AP423)/3</f>
        <v>12</v>
      </c>
      <c r="AR423" s="88">
        <f>2*AQ423</f>
        <v>24</v>
      </c>
      <c r="AS423" s="122">
        <f>3*AQ423</f>
        <v>36</v>
      </c>
      <c r="AT423" s="115">
        <f>AI423*POWER(KLslave,SIGN(AJ423))*POWER(INslave,SIGN(AK423))*POWER(CHslave,SIGN(AL423))*POWER(FFslave,SIGN(AM423))*POWER(GEslave,SIGN(AN423))*POWER(KOslave,SIGN(AO423))*POWER(KKslave,SIGN(AP423))+AJ423*POWER(MUslave_MU,SIGN(AI423))*POWER(INslave,SIGN(AK423))*POWER(CHslave,SIGN(AL423))*POWER(FFslave,SIGN(AM423))*POWER(GEslave,SIGN(AN423))*POWER(KOslave,SIGN(AO423))*POWER(KKslave,SIGN(AP423))+AK423*POWER(MUslave_MU,SIGN(AI423))*POWER(KLslave,SIGN(AJ423))*POWER(CHslave,SIGN(AL423))*POWER(FFslave,SIGN(AM423))*POWER(GEslave,SIGN(AN423))*POWER(KOslave,SIGN(AO423))*POWER(KKslave,SIGN(AP423))+AL423*POWER(MUslave_MU,SIGN(AI423))*POWER(KLslave,SIGN(AJ423))*POWER(INslave,SIGN(AK423))*POWER(FFslave,SIGN(AM423))*POWER(GEslave,SIGN(AN423))*POWER(KOslave,SIGN(AO423))*POWER(KKslave,SIGN(AP423))+AM423*POWER(MUslave_MU,SIGN(AI423))*POWER(KLslave,SIGN(AJ423))*POWER(INslave,SIGN(AK423))*POWER(CHslave,SIGN(AL423))*POWER(GEslave,SIGN(AN423))*POWER(KOslave,SIGN(AO423))*POWER(KKslave,SIGN(AP423))+AN423*POWER(MUslave_MU,SIGN(AI423))*POWER(KLslave,SIGN(AJ423))*POWER(INslave,SIGN(AK423))*POWER(CHslave,SIGN(AL423))*POWER(FFslave,SIGN(AM423))*POWER(KOslave,SIGN(AO423))*POWER(KKslave,SIGN(AP423))+AO423*POWER(MUslave_MU,SIGN(AI423))*POWER(KLslave,SIGN(AJ423))*POWER(INslave,SIGN(AK423))*POWER(CHslave,SIGN(AL423))*POWER(FFslave,SIGN(AM423))*POWER(GEslave,SIGN(AN423))*POWER(KKslave,SIGN(AP423))+AP423*POWER(MUslave_MU,SIGN(AI423))*POWER(KLslave,SIGN(AJ423))*POWER(INslave,SIGN(AK423))*POWER(CHslave,SIGN(AL423))*POWER(FFslave,SIGN(AM423))*POWER(GEslave,SIGN(AN423))*POWER(KOslave,SIGN(AO423))</f>
        <v>2304</v>
      </c>
      <c r="AU423" s="122">
        <f>AJ423*AK423*CHslave+AJ423*INslave*AL423+KLslave*AK423*AL423</f>
        <v>3456</v>
      </c>
      <c r="AV423" s="123">
        <f>IFERROR(AI423^SIGN(AI423),1)*IFERROR(AJ423^SIGN(AJ423),1)*IFERROR(AK423^SIGN(AK423),1)*IFERROR(AL423^SIGN(AL423),1)*IFERROR(AM423^SIGN(AM423),1)*IFERROR(AN423^SIGN(AN423),1)*IFERROR(AO423^SIGN(AO423),1)*IFERROR(AP423^SIGN(AP423),1)</f>
        <v>1728</v>
      </c>
      <c r="AW423" s="161">
        <f>SUM(AT423:AV423)</f>
        <v>7488</v>
      </c>
      <c r="AX423" s="90">
        <f>AQ423*AT423/AW423</f>
        <v>3.6923076923076925</v>
      </c>
      <c r="AY423" s="88">
        <f>AR423*AU423/AW423</f>
        <v>11.076923076923077</v>
      </c>
      <c r="AZ423" s="128">
        <f>AS423*AV423/AW423</f>
        <v>8.3076923076923084</v>
      </c>
      <c r="BA423" s="128">
        <f>SUM(AX423:AZ423)</f>
        <v>23.07692307692308</v>
      </c>
      <c r="BB423" s="165">
        <f t="shared" si="4529"/>
        <v>0</v>
      </c>
      <c r="BC423" s="198">
        <f>BA423-BB423</f>
        <v>23.07692307692308</v>
      </c>
      <c r="BD423" s="159">
        <f>IF(BA423&lt;=0,1,0)+IF(BA423&gt;0,BA423+1,0)*1+IF(BA423&gt;12,BA423-12,0)*1+IF(BA423&gt;13,BA423-13,0)*1+IF(BA423&gt;14,BA423-14,0)*1+IF(BA423&gt;15,BA423-15,0)*1+IF(BA423&gt;16,BA423-16,0)*1+IF(BA423&gt;17,BA423-17,0)*1+IF(BA423&gt;18,BA423-18,0)*1+IF(BA423&gt;19,BA423-19,0)*1+IF(BA423&gt;20,BA423-20,0)*1</f>
        <v>87.769230769230802</v>
      </c>
      <c r="BE423" s="161">
        <f>IF(BB423&lt;=0,1,0)+IF(BB423&gt;0,BB423+1,0)*1+IF(BB423&gt;12,BB423-12,0)*1+IF(BB423&gt;13,BB423-13,0)*1+IF(BB423&gt;14,BB423-14,0)*1+IF(BB423&gt;15,BB423-15,0)*1+IF(BB423&gt;16,BB423-16,0)*1+IF(BB423&gt;17,BB423-17,0)*1+IF(BB423&gt;18,BB423-18,0)*1+IF(BB423&gt;19,BB423-19,0)*1+IF(BB423&gt;20,BB423-20,0)*1</f>
        <v>1</v>
      </c>
      <c r="BF423" s="245">
        <f>IF((BD423-BE423)&gt;0,BD423-BE423,0)</f>
        <v>86.769230769230802</v>
      </c>
      <c r="BG423" s="246">
        <f>IF((BE423-BD423)&gt;0,BE423-BD423,0)</f>
        <v>0</v>
      </c>
      <c r="BI423" s="326" t="s">
        <v>258</v>
      </c>
      <c r="BJ423" s="246" t="s">
        <v>87</v>
      </c>
      <c r="BK423" s="226" t="s">
        <v>133</v>
      </c>
      <c r="BL423" s="238"/>
      <c r="BM423" s="235">
        <f>Konvention_1slave-KLslave_KL</f>
        <v>11</v>
      </c>
      <c r="BN423" s="235">
        <f>Konvention_1slave-INslave</f>
        <v>12</v>
      </c>
      <c r="BO423" s="235">
        <f>Konvention_1slave-CHslave</f>
        <v>12</v>
      </c>
      <c r="BP423" s="235"/>
      <c r="BQ423" s="235"/>
      <c r="BR423" s="235"/>
      <c r="BS423" s="227"/>
      <c r="BT423" s="226">
        <f>(BL423+BM423+BN423+BO423+BP423+BQ423+BR423+BS423)/3</f>
        <v>11.666666666666666</v>
      </c>
      <c r="BU423" s="226">
        <f>2*BT423</f>
        <v>23.333333333333332</v>
      </c>
      <c r="BV423" s="235">
        <f>3*BT423</f>
        <v>35</v>
      </c>
      <c r="BW423" s="238">
        <f>BL423*POWER(KLslave_KL,SIGN(BM423))*POWER(INslave,SIGN(BN423))*POWER(CHslave,SIGN(BO423))*POWER(FFslave,SIGN(BP423))*POWER(GEslave,SIGN(BQ423))*POWER(KOslave,SIGN(BR423))*POWER(KKslave,SIGN(BS423))+BM423*POWER(MUslave,SIGN(BL423))*POWER(INslave,SIGN(BN423))*POWER(CHslave,SIGN(BO423))*POWER(FFslave,SIGN(BP423))*POWER(GEslave,SIGN(BQ423))*POWER(KOslave,SIGN(BR423))*POWER(KKslave,SIGN(BS423))+BN423*POWER(MUslave,SIGN(BL423))*POWER(KLslave_KL,SIGN(BM423))*POWER(CHslave,SIGN(BO423))*POWER(FFslave,SIGN(BP423))*POWER(GEslave,SIGN(BQ423))*POWER(KOslave,SIGN(BR423))*POWER(KKslave,SIGN(BS423))+BO423*POWER(MUslave,SIGN(BL423))*POWER(KLslave_KL,SIGN(BM423))*POWER(INslave,SIGN(BN423))*POWER(FFslave,SIGN(BP423))*POWER(GEslave,SIGN(BQ423))*POWER(KOslave,SIGN(BR423))*POWER(KKslave,SIGN(BS423))+BP423*POWER(MUslave,SIGN(BL423))*POWER(KLslave_KL,SIGN(BM423))*POWER(INslave,SIGN(BN423))*POWER(CHslave,SIGN(BO423))*POWER(GEslave,SIGN(BQ423))*POWER(KOslave,SIGN(BR423))*POWER(KKslave,SIGN(BS423))+BQ423*POWER(MUslave,SIGN(BL423))*POWER(KLslave_KL,SIGN(BM423))*POWER(INslave,SIGN(BN423))*POWER(CHslave,SIGN(BO423))*POWER(FFslave,SIGN(BP423))*POWER(KOslave,SIGN(BR423))*POWER(KKslave,SIGN(BS423))+BR423*POWER(MUslave,SIGN(BL423))*POWER(KLslave_KL,SIGN(BM423))*POWER(INslave,SIGN(BN423))*POWER(CHslave,SIGN(BO423))*POWER(FFslave,SIGN(BP423))*POWER(GEslave,SIGN(BQ423))*POWER(KKslave,SIGN(BS423))+BS423*POWER(MUslave,SIGN(BL423))*POWER(KLslave_KL,SIGN(BM423))*POWER(INslave,SIGN(BN423))*POWER(CHslave,SIGN(BO423))*POWER(FFslave,SIGN(BP423))*POWER(GEslave,SIGN(BQ423))*POWER(KOslave,SIGN(BR423))</f>
        <v>2432</v>
      </c>
      <c r="BX423" s="235">
        <f>BM423*BN423*CHslave+BM423*INslave*BO423+KLslave_KL*BN423*BO423</f>
        <v>3408</v>
      </c>
      <c r="BY423" s="227">
        <f>IFERROR(BL423^SIGN(BL423),1)*IFERROR(BM423^SIGN(BM423),1)*IFERROR(BN423^SIGN(BN423),1)*IFERROR(BO423^SIGN(BO423),1)*IFERROR(BP423^SIGN(BP423),1)*IFERROR(BQ423^SIGN(BQ423),1)*IFERROR(BR423^SIGN(BR423),1)*IFERROR(BS423^SIGN(BS423),1)</f>
        <v>1584</v>
      </c>
      <c r="BZ423" s="244">
        <f>SUM(BW423:BY423)</f>
        <v>7424</v>
      </c>
      <c r="CA423" s="225">
        <f>BT423*BW423/BZ423</f>
        <v>3.8218390804597702</v>
      </c>
      <c r="CB423" s="226">
        <f>BU423*BX423/BZ423</f>
        <v>10.711206896551724</v>
      </c>
      <c r="CC423" s="245">
        <f>BV423*BY423/BZ423</f>
        <v>7.4676724137931032</v>
      </c>
      <c r="CD423" s="245">
        <f>SUM(CA423:CC423)</f>
        <v>22.000718390804597</v>
      </c>
      <c r="CE423" s="252">
        <f t="shared" si="4531"/>
        <v>0</v>
      </c>
      <c r="CF423" s="309">
        <f>CD423-CE423</f>
        <v>22.000718390804597</v>
      </c>
      <c r="CG423" s="246">
        <f>IF(CD423&lt;=0,1,0)+IF(CD423&gt;0,CD423+1,0)*1+IF(CD423&gt;12,CD423-12,0)*1+IF(CD423&gt;13,CD423-13,0)*1+IF(CD423&gt;14,CD423-14,0)*1+IF(CD423&gt;15,CD423-15,0)*1+IF(CD423&gt;16,CD423-16,0)*1+IF(CD423&gt;17,CD423-17,0)*1+IF(CD423&gt;18,CD423-18,0)*1+IF(CD423&gt;19,CD423-19,0)*1+IF(CD423&gt;20,CD423-20,0)*1</f>
        <v>77.007183908045945</v>
      </c>
      <c r="CH423" s="244">
        <f>IF(CE423&lt;=0,1,0)+IF(CE423&gt;0,CE423+1,0)*1+IF(CE423&gt;12,CE423-12,0)*1+IF(CE423&gt;13,CE423-13,0)*1+IF(CE423&gt;14,CE423-14,0)*1+IF(CE423&gt;15,CE423-15,0)*1+IF(CE423&gt;16,CE423-16,0)*1+IF(CE423&gt;17,CE423-17,0)*1+IF(CE423&gt;18,CE423-18,0)*1+IF(CE423&gt;19,CE423-19,0)*1+IF(CE423&gt;20,CE423-20,0)*1</f>
        <v>1</v>
      </c>
      <c r="CI423" s="245">
        <f>IF((CG423-CH423)&gt;0,CG423-CH423,0)</f>
        <v>76.007183908045945</v>
      </c>
      <c r="CJ423" s="246">
        <f>IF((CH423-CG423)&gt;0,CH423-CG423,0)</f>
        <v>0</v>
      </c>
      <c r="CL423" s="326" t="s">
        <v>258</v>
      </c>
      <c r="CM423" s="246" t="s">
        <v>87</v>
      </c>
      <c r="CN423" s="226" t="s">
        <v>133</v>
      </c>
      <c r="CO423" s="238"/>
      <c r="CP423" s="235">
        <f>Konvention_1slave-KLslave</f>
        <v>12</v>
      </c>
      <c r="CQ423" s="235">
        <f>Konvention_1slave-INslave_IN</f>
        <v>11</v>
      </c>
      <c r="CR423" s="235">
        <f>Konvention_1slave-CHslave</f>
        <v>12</v>
      </c>
      <c r="CS423" s="235"/>
      <c r="CT423" s="235"/>
      <c r="CU423" s="235"/>
      <c r="CV423" s="227"/>
      <c r="CW423" s="226">
        <f>(CO423+CP423+CQ423+CR423+CS423+CT423+CU423+CV423)/3</f>
        <v>11.666666666666666</v>
      </c>
      <c r="CX423" s="226">
        <f>2*CW423</f>
        <v>23.333333333333332</v>
      </c>
      <c r="CY423" s="235">
        <f>3*CW423</f>
        <v>35</v>
      </c>
      <c r="CZ423" s="238">
        <f>CO423*POWER(KLslave,SIGN(CP423))*POWER(INslave_IN,SIGN(CQ423))*POWER(CHslave,SIGN(CR423))*POWER(FFslave,SIGN(CS423))*POWER(GEslave,SIGN(CT423))*POWER(KOslave,SIGN(CU423))*POWER(KKslave,SIGN(CV423))+CP423*POWER(MUslave,SIGN(CO423))*POWER(INslave_IN,SIGN(CQ423))*POWER(CHslave,SIGN(CR423))*POWER(FFslave,SIGN(CS423))*POWER(GEslave,SIGN(CT423))*POWER(KOslave,SIGN(CU423))*POWER(KKslave,SIGN(CV423))+CQ423*POWER(MUslave,SIGN(CO423))*POWER(KLslave,SIGN(CP423))*POWER(CHslave,SIGN(CR423))*POWER(FFslave,SIGN(CS423))*POWER(GEslave,SIGN(CT423))*POWER(KOslave,SIGN(CU423))*POWER(KKslave,SIGN(CV423))+CR423*POWER(MUslave,SIGN(CO423))*POWER(KLslave,SIGN(CP423))*POWER(INslave_IN,SIGN(CQ423))*POWER(FFslave,SIGN(CS423))*POWER(GEslave,SIGN(CT423))*POWER(KOslave,SIGN(CU423))*POWER(KKslave,SIGN(CV423))+CS423*POWER(MUslave,SIGN(CO423))*POWER(KLslave,SIGN(CP423))*POWER(INslave_IN,SIGN(CQ423))*POWER(CHslave,SIGN(CR423))*POWER(GEslave,SIGN(CT423))*POWER(KOslave,SIGN(CU423))*POWER(KKslave,SIGN(CV423))+CT423*POWER(MUslave,SIGN(CO423))*POWER(KLslave,SIGN(CP423))*POWER(INslave_IN,SIGN(CQ423))*POWER(CHslave,SIGN(CR423))*POWER(FFslave,SIGN(CS423))*POWER(KOslave,SIGN(CU423))*POWER(KKslave,SIGN(CV423))+CU423*POWER(MUslave,SIGN(CO423))*POWER(KLslave,SIGN(CP423))*POWER(INslave_IN,SIGN(CQ423))*POWER(CHslave,SIGN(CR423))*POWER(FFslave,SIGN(CS423))*POWER(GEslave,SIGN(CT423))*POWER(KKslave,SIGN(CV423))+CV423*POWER(MUslave,SIGN(CO423))*POWER(KLslave,SIGN(CP423))*POWER(INslave_IN,SIGN(CQ423))*POWER(CHslave,SIGN(CR423))*POWER(FFslave,SIGN(CS423))*POWER(GEslave,SIGN(CT423))*POWER(KOslave,SIGN(CU423))</f>
        <v>2432</v>
      </c>
      <c r="DA423" s="235">
        <f>CP423*CQ423*CHslave+CP423*INslave_IN*CR423+KLslave*CQ423*CR423</f>
        <v>3408</v>
      </c>
      <c r="DB423" s="227">
        <f>IFERROR(CO423^SIGN(CO423),1)*IFERROR(CP423^SIGN(CP423),1)*IFERROR(CQ423^SIGN(CQ423),1)*IFERROR(CR423^SIGN(CR423),1)*IFERROR(CS423^SIGN(CS423),1)*IFERROR(CT423^SIGN(CT423),1)*IFERROR(CU423^SIGN(CU423),1)*IFERROR(CV423^SIGN(CV423),1)</f>
        <v>1584</v>
      </c>
      <c r="DC423" s="244">
        <f>SUM(CZ423:DB423)</f>
        <v>7424</v>
      </c>
      <c r="DD423" s="225">
        <f>CW423*CZ423/DC423</f>
        <v>3.8218390804597702</v>
      </c>
      <c r="DE423" s="226">
        <f>CX423*DA423/DC423</f>
        <v>10.711206896551724</v>
      </c>
      <c r="DF423" s="245">
        <f>CY423*DB423/DC423</f>
        <v>7.4676724137931032</v>
      </c>
      <c r="DG423" s="245">
        <f>SUM(DD423:DF423)</f>
        <v>22.000718390804597</v>
      </c>
      <c r="DH423" s="252">
        <f t="shared" si="4533"/>
        <v>0</v>
      </c>
      <c r="DI423" s="309">
        <f>DG423-DH423</f>
        <v>22.000718390804597</v>
      </c>
      <c r="DJ423" s="246">
        <f>IF(DG423&lt;=0,1,0)+IF(DG423&gt;0,DG423+1,0)*1+IF(DG423&gt;12,DG423-12,0)*1+IF(DG423&gt;13,DG423-13,0)*1+IF(DG423&gt;14,DG423-14,0)*1+IF(DG423&gt;15,DG423-15,0)*1+IF(DG423&gt;16,DG423-16,0)*1+IF(DG423&gt;17,DG423-17,0)*1+IF(DG423&gt;18,DG423-18,0)*1+IF(DG423&gt;19,DG423-19,0)*1+IF(DG423&gt;20,DG423-20,0)*1</f>
        <v>77.007183908045945</v>
      </c>
      <c r="DK423" s="244">
        <f>IF(DH423&lt;=0,1,0)+IF(DH423&gt;0,DH423+1,0)*1+IF(DH423&gt;12,DH423-12,0)*1+IF(DH423&gt;13,DH423-13,0)*1+IF(DH423&gt;14,DH423-14,0)*1+IF(DH423&gt;15,DH423-15,0)*1+IF(DH423&gt;16,DH423-16,0)*1+IF(DH423&gt;17,DH423-17,0)*1+IF(DH423&gt;18,DH423-18,0)*1+IF(DH423&gt;19,DH423-19,0)*1+IF(DH423&gt;20,DH423-20,0)*1</f>
        <v>1</v>
      </c>
      <c r="DL423" s="245">
        <f>IF((DJ423-DK423)&gt;0,DJ423-DK423,0)</f>
        <v>76.007183908045945</v>
      </c>
      <c r="DM423" s="246">
        <f>IF((DK423-DJ423)&gt;0,DK423-DJ423,0)</f>
        <v>0</v>
      </c>
      <c r="DO423" s="326" t="s">
        <v>258</v>
      </c>
      <c r="DP423" s="246" t="s">
        <v>87</v>
      </c>
      <c r="DQ423" s="226" t="s">
        <v>133</v>
      </c>
      <c r="DR423" s="238"/>
      <c r="DS423" s="235">
        <f>Konvention_1slave-KLslave</f>
        <v>12</v>
      </c>
      <c r="DT423" s="235">
        <f>Konvention_1slave-INslave</f>
        <v>12</v>
      </c>
      <c r="DU423" s="235">
        <f>Konvention_1slave-CHslave_CH</f>
        <v>11</v>
      </c>
      <c r="DV423" s="235"/>
      <c r="DW423" s="235"/>
      <c r="DX423" s="235"/>
      <c r="DY423" s="227"/>
      <c r="DZ423" s="226">
        <f>(DR423+DS423+DT423+DU423+DV423+DW423+DX423+DY423)/3</f>
        <v>11.666666666666666</v>
      </c>
      <c r="EA423" s="226">
        <f>2*DZ423</f>
        <v>23.333333333333332</v>
      </c>
      <c r="EB423" s="235">
        <f>3*DZ423</f>
        <v>35</v>
      </c>
      <c r="EC423" s="238">
        <f>DR423*POWER(KLslave,SIGN(DS423))*POWER(INslave,SIGN(DT423))*POWER(CHslave_CH,SIGN(DU423))*POWER(FFslave,SIGN(DV423))*POWER(GEslave,SIGN(DW423))*POWER(KOslave,SIGN(DX423))*POWER(KKslave,SIGN(DY423))+DS423*POWER(MUslave,SIGN(DR423))*POWER(INslave,SIGN(DT423))*POWER(CHslave_CH,SIGN(DU423))*POWER(FFslave,SIGN(DV423))*POWER(GEslave,SIGN(DW423))*POWER(KOslave,SIGN(DX423))*POWER(KKslave,SIGN(DY423))+DT423*POWER(MUslave,SIGN(DR423))*POWER(KLslave,SIGN(DS423))*POWER(CHslave_CH,SIGN(DU423))*POWER(FFslave,SIGN(DV423))*POWER(GEslave,SIGN(DW423))*POWER(KOslave,SIGN(DX423))*POWER(KKslave,SIGN(DY423))+DU423*POWER(MUslave,SIGN(DR423))*POWER(KLslave,SIGN(DS423))*POWER(INslave,SIGN(DT423))*POWER(FFslave,SIGN(DV423))*POWER(GEslave,SIGN(DW423))*POWER(KOslave,SIGN(DX423))*POWER(KKslave,SIGN(DY423))+DV423*POWER(MUslave,SIGN(DR423))*POWER(KLslave,SIGN(DS423))*POWER(INslave,SIGN(DT423))*POWER(CHslave_CH,SIGN(DU423))*POWER(GEslave,SIGN(DW423))*POWER(KOslave,SIGN(DX423))*POWER(KKslave,SIGN(DY423))+DW423*POWER(MUslave,SIGN(DR423))*POWER(KLslave,SIGN(DS423))*POWER(INslave,SIGN(DT423))*POWER(CHslave_CH,SIGN(DU423))*POWER(FFslave,SIGN(DV423))*POWER(KOslave,SIGN(DX423))*POWER(KKslave,SIGN(DY423))+DX423*POWER(MUslave,SIGN(DR423))*POWER(KLslave,SIGN(DS423))*POWER(INslave,SIGN(DT423))*POWER(CHslave_CH,SIGN(DU423))*POWER(FFslave,SIGN(DV423))*POWER(GEslave,SIGN(DW423))*POWER(KKslave,SIGN(DY423))+DY423*POWER(MUslave,SIGN(DR423))*POWER(KLslave,SIGN(DS423))*POWER(INslave,SIGN(DT423))*POWER(CHslave_CH,SIGN(DU423))*POWER(FFslave,SIGN(DV423))*POWER(GEslave,SIGN(DW423))*POWER(KOslave,SIGN(DX423))</f>
        <v>2432</v>
      </c>
      <c r="ED423" s="235">
        <f>DS423*DT423*CHslave_CH+DS423*INslave*DU423+KLslave*DT423*DU423</f>
        <v>3408</v>
      </c>
      <c r="EE423" s="227">
        <f>IFERROR(DR423^SIGN(DR423),1)*IFERROR(DS423^SIGN(DS423),1)*IFERROR(DT423^SIGN(DT423),1)*IFERROR(DU423^SIGN(DU423),1)*IFERROR(DV423^SIGN(DV423),1)*IFERROR(DW423^SIGN(DW423),1)*IFERROR(DX423^SIGN(DX423),1)*IFERROR(DY423^SIGN(DY423),1)</f>
        <v>1584</v>
      </c>
      <c r="EF423" s="244">
        <f>SUM(EC423:EE423)</f>
        <v>7424</v>
      </c>
      <c r="EG423" s="225">
        <f>DZ423*EC423/EF423</f>
        <v>3.8218390804597702</v>
      </c>
      <c r="EH423" s="226">
        <f>EA423*ED423/EF423</f>
        <v>10.711206896551724</v>
      </c>
      <c r="EI423" s="245">
        <f>EB423*EE423/EF423</f>
        <v>7.4676724137931032</v>
      </c>
      <c r="EJ423" s="245">
        <f>SUM(EG423:EI423)</f>
        <v>22.000718390804597</v>
      </c>
      <c r="EK423" s="252">
        <f t="shared" si="4535"/>
        <v>0</v>
      </c>
      <c r="EL423" s="309">
        <f>EJ423-EK423</f>
        <v>22.000718390804597</v>
      </c>
      <c r="EM423" s="246">
        <f>IF(EJ423&lt;=0,1,0)+IF(EJ423&gt;0,EJ423+1,0)*1+IF(EJ423&gt;12,EJ423-12,0)*1+IF(EJ423&gt;13,EJ423-13,0)*1+IF(EJ423&gt;14,EJ423-14,0)*1+IF(EJ423&gt;15,EJ423-15,0)*1+IF(EJ423&gt;16,EJ423-16,0)*1+IF(EJ423&gt;17,EJ423-17,0)*1+IF(EJ423&gt;18,EJ423-18,0)*1+IF(EJ423&gt;19,EJ423-19,0)*1+IF(EJ423&gt;20,EJ423-20,0)*1</f>
        <v>77.007183908045945</v>
      </c>
      <c r="EN423" s="244">
        <f>IF(EK423&lt;=0,1,0)+IF(EK423&gt;0,EK423+1,0)*1+IF(EK423&gt;12,EK423-12,0)*1+IF(EK423&gt;13,EK423-13,0)*1+IF(EK423&gt;14,EK423-14,0)*1+IF(EK423&gt;15,EK423-15,0)*1+IF(EK423&gt;16,EK423-16,0)*1+IF(EK423&gt;17,EK423-17,0)*1+IF(EK423&gt;18,EK423-18,0)*1+IF(EK423&gt;19,EK423-19,0)*1+IF(EK423&gt;20,EK423-20,0)*1</f>
        <v>1</v>
      </c>
      <c r="EO423" s="245">
        <f>IF((EM423-EN423)&gt;0,EM423-EN423,0)</f>
        <v>76.007183908045945</v>
      </c>
      <c r="EP423" s="246">
        <f>IF((EN423-EM423)&gt;0,EN423-EM423,0)</f>
        <v>0</v>
      </c>
      <c r="ER423" s="326" t="s">
        <v>258</v>
      </c>
      <c r="ES423" s="246" t="s">
        <v>87</v>
      </c>
      <c r="ET423" s="226" t="s">
        <v>133</v>
      </c>
      <c r="EU423" s="238"/>
      <c r="EV423" s="235">
        <f>Konvention_1slave-KLslave</f>
        <v>12</v>
      </c>
      <c r="EW423" s="235">
        <f>Konvention_1slave-INslave</f>
        <v>12</v>
      </c>
      <c r="EX423" s="235">
        <f>Konvention_1slave-CHslave</f>
        <v>12</v>
      </c>
      <c r="EY423" s="235"/>
      <c r="EZ423" s="235"/>
      <c r="FA423" s="235"/>
      <c r="FB423" s="227"/>
      <c r="FC423" s="226">
        <f>(EU423+EV423+EW423+EX423+EY423+EZ423+FA423+FB423)/3</f>
        <v>12</v>
      </c>
      <c r="FD423" s="226">
        <f>2*FC423</f>
        <v>24</v>
      </c>
      <c r="FE423" s="235">
        <f>3*FC423</f>
        <v>36</v>
      </c>
      <c r="FF423" s="238">
        <f>EU423*POWER(KLslave,SIGN(EV423))*POWER(INslave,SIGN(EW423))*POWER(CHslave,SIGN(EX423))*POWER(FFslave_FF,SIGN(EY423))*POWER(GEslave,SIGN(EZ423))*POWER(KOslave,SIGN(FA423))*POWER(KKslave,SIGN(FB423))+EV423*POWER(MUslave,SIGN(EU423))*POWER(INslave,SIGN(EW423))*POWER(CHslave,SIGN(EX423))*POWER(FFslave_FF,SIGN(EY423))*POWER(GEslave,SIGN(EZ423))*POWER(KOslave,SIGN(FA423))*POWER(KKslave,SIGN(FB423))+EW423*POWER(MUslave,SIGN(EU423))*POWER(KLslave,SIGN(EV423))*POWER(CHslave,SIGN(EX423))*POWER(FFslave_FF,SIGN(EY423))*POWER(GEslave,SIGN(EZ423))*POWER(KOslave,SIGN(FA423))*POWER(KKslave,SIGN(FB423))+EX423*POWER(MUslave,SIGN(EU423))*POWER(KLslave,SIGN(EV423))*POWER(INslave,SIGN(EW423))*POWER(FFslave_FF,SIGN(EY423))*POWER(GEslave,SIGN(EZ423))*POWER(KOslave,SIGN(FA423))*POWER(KKslave,SIGN(FB423))+EY423*POWER(MUslave,SIGN(EU423))*POWER(KLslave,SIGN(EV423))*POWER(INslave,SIGN(EW423))*POWER(CHslave,SIGN(EX423))*POWER(GEslave,SIGN(EZ423))*POWER(KOslave,SIGN(FA423))*POWER(KKslave,SIGN(FB423))+EZ423*POWER(MUslave,SIGN(EU423))*POWER(KLslave,SIGN(EV423))*POWER(INslave,SIGN(EW423))*POWER(CHslave,SIGN(EX423))*POWER(FFslave_FF,SIGN(EY423))*POWER(KOslave,SIGN(FA423))*POWER(KKslave,SIGN(FB423))+FA423*POWER(MUslave,SIGN(EU423))*POWER(KLslave,SIGN(EV423))*POWER(INslave,SIGN(EW423))*POWER(CHslave,SIGN(EX423))*POWER(FFslave_FF,SIGN(EY423))*POWER(GEslave,SIGN(EZ423))*POWER(KKslave,SIGN(FB423))+FB423*POWER(MUslave,SIGN(EU423))*POWER(KLslave,SIGN(EV423))*POWER(INslave,SIGN(EW423))*POWER(CHslave,SIGN(EX423))*POWER(FFslave_FF,SIGN(EY423))*POWER(GEslave,SIGN(EZ423))*POWER(KOslave,SIGN(FA423))</f>
        <v>2304</v>
      </c>
      <c r="FG423" s="235">
        <f>EV423*EW423*CHslave+EV423*INslave*EX423+KLslave*EW423*EX423</f>
        <v>3456</v>
      </c>
      <c r="FH423" s="227">
        <f>IFERROR(EU423^SIGN(EU423),1)*IFERROR(EV423^SIGN(EV423),1)*IFERROR(EW423^SIGN(EW423),1)*IFERROR(EX423^SIGN(EX423),1)*IFERROR(EY423^SIGN(EY423),1)*IFERROR(EZ423^SIGN(EZ423),1)*IFERROR(FA423^SIGN(FA423),1)*IFERROR(FB423^SIGN(FB423),1)</f>
        <v>1728</v>
      </c>
      <c r="FI423" s="244">
        <f>SUM(FF423:FH423)</f>
        <v>7488</v>
      </c>
      <c r="FJ423" s="225">
        <f>FC423*FF423/FI423</f>
        <v>3.6923076923076925</v>
      </c>
      <c r="FK423" s="226">
        <f>FD423*FG423/FI423</f>
        <v>11.076923076923077</v>
      </c>
      <c r="FL423" s="245">
        <f>FE423*FH423/FI423</f>
        <v>8.3076923076923084</v>
      </c>
      <c r="FM423" s="245">
        <f>SUM(FJ423:FL423)</f>
        <v>23.07692307692308</v>
      </c>
      <c r="FN423" s="252">
        <f t="shared" si="4537"/>
        <v>0</v>
      </c>
      <c r="FO423" s="309">
        <f>FM423-FN423</f>
        <v>23.07692307692308</v>
      </c>
      <c r="FP423" s="246">
        <f>IF(FM423&lt;=0,1,0)+IF(FM423&gt;0,FM423+1,0)*1+IF(FM423&gt;12,FM423-12,0)*1+IF(FM423&gt;13,FM423-13,0)*1+IF(FM423&gt;14,FM423-14,0)*1+IF(FM423&gt;15,FM423-15,0)*1+IF(FM423&gt;16,FM423-16,0)*1+IF(FM423&gt;17,FM423-17,0)*1+IF(FM423&gt;18,FM423-18,0)*1+IF(FM423&gt;19,FM423-19,0)*1+IF(FM423&gt;20,FM423-20,0)*1</f>
        <v>87.769230769230802</v>
      </c>
      <c r="FQ423" s="244">
        <f>IF(FN423&lt;=0,1,0)+IF(FN423&gt;0,FN423+1,0)*1+IF(FN423&gt;12,FN423-12,0)*1+IF(FN423&gt;13,FN423-13,0)*1+IF(FN423&gt;14,FN423-14,0)*1+IF(FN423&gt;15,FN423-15,0)*1+IF(FN423&gt;16,FN423-16,0)*1+IF(FN423&gt;17,FN423-17,0)*1+IF(FN423&gt;18,FN423-18,0)*1+IF(FN423&gt;19,FN423-19,0)*1+IF(FN423&gt;20,FN423-20,0)*1</f>
        <v>1</v>
      </c>
      <c r="FR423" s="245">
        <f>IF((FP423-FQ423)&gt;0,FP423-FQ423,0)</f>
        <v>86.769230769230802</v>
      </c>
      <c r="FS423" s="246">
        <f>IF((FQ423-FP423)&gt;0,FQ423-FP423,0)</f>
        <v>0</v>
      </c>
      <c r="FU423" s="326" t="s">
        <v>258</v>
      </c>
      <c r="FV423" s="246" t="s">
        <v>87</v>
      </c>
      <c r="FW423" s="226" t="s">
        <v>133</v>
      </c>
      <c r="FX423" s="238"/>
      <c r="FY423" s="235">
        <f>Konvention_1slave-KLslave</f>
        <v>12</v>
      </c>
      <c r="FZ423" s="235">
        <f>Konvention_1slave-INslave</f>
        <v>12</v>
      </c>
      <c r="GA423" s="235">
        <f>Konvention_1slave-CHslave</f>
        <v>12</v>
      </c>
      <c r="GB423" s="235"/>
      <c r="GC423" s="235"/>
      <c r="GD423" s="235"/>
      <c r="GE423" s="227"/>
      <c r="GF423" s="226">
        <f>(FX423+FY423+FZ423+GA423+GB423+GC423+GD423+GE423)/3</f>
        <v>12</v>
      </c>
      <c r="GG423" s="226">
        <f>2*GF423</f>
        <v>24</v>
      </c>
      <c r="GH423" s="235">
        <f>3*GF423</f>
        <v>36</v>
      </c>
      <c r="GI423" s="238">
        <f>FX423*POWER(KLslave,SIGN(FY423))*POWER(INslave,SIGN(FZ423))*POWER(CHslave,SIGN(GA423))*POWER(FFslave,SIGN(GB423))*POWER(GEslave_GE,SIGN(GC423))*POWER(KOslave,SIGN(GD423))*POWER(KKslave,SIGN(GE423))+FY423*POWER(MUslave,SIGN(FX423))*POWER(INslave,SIGN(FZ423))*POWER(CHslave,SIGN(GA423))*POWER(FFslave,SIGN(GB423))*POWER(GEslave_GE,SIGN(GC423))*POWER(KOslave,SIGN(GD423))*POWER(KKslave,SIGN(GE423))+FZ423*POWER(MUslave,SIGN(FX423))*POWER(KLslave,SIGN(FY423))*POWER(CHslave,SIGN(GA423))*POWER(FFslave,SIGN(GB423))*POWER(GEslave_GE,SIGN(GC423))*POWER(KOslave,SIGN(GD423))*POWER(KKslave,SIGN(GE423))+GA423*POWER(MUslave,SIGN(FX423))*POWER(KLslave,SIGN(FY423))*POWER(INslave,SIGN(FZ423))*POWER(FFslave,SIGN(GB423))*POWER(GEslave_GE,SIGN(GC423))*POWER(KOslave,SIGN(GD423))*POWER(KKslave,SIGN(GE423))+GB423*POWER(MUslave,SIGN(FX423))*POWER(KLslave,SIGN(FY423))*POWER(INslave,SIGN(FZ423))*POWER(CHslave,SIGN(GA423))*POWER(GEslave_GE,SIGN(GC423))*POWER(KOslave,SIGN(GD423))*POWER(KKslave,SIGN(GE423))+GC423*POWER(MUslave,SIGN(FX423))*POWER(KLslave,SIGN(FY423))*POWER(INslave,SIGN(FZ423))*POWER(CHslave,SIGN(GA423))*POWER(FFslave,SIGN(GB423))*POWER(KOslave,SIGN(GD423))*POWER(KKslave,SIGN(GE423))+GD423*POWER(MUslave,SIGN(FX423))*POWER(KLslave,SIGN(FY423))*POWER(INslave,SIGN(FZ423))*POWER(CHslave,SIGN(GA423))*POWER(FFslave,SIGN(GB423))*POWER(GEslave_GE,SIGN(GC423))*POWER(KKslave,SIGN(GE423))+GE423*POWER(MUslave,SIGN(FX423))*POWER(KLslave,SIGN(FY423))*POWER(INslave,SIGN(FZ423))*POWER(CHslave,SIGN(GA423))*POWER(FFslave,SIGN(GB423))*POWER(GEslave_GE,SIGN(GC423))*POWER(KOslave,SIGN(GD423))</f>
        <v>2304</v>
      </c>
      <c r="GJ423" s="235">
        <f>FY423*FZ423*CHslave+FY423*INslave*GA423+KLslave*FZ423*GA423</f>
        <v>3456</v>
      </c>
      <c r="GK423" s="227">
        <f>IFERROR(FX423^SIGN(FX423),1)*IFERROR(FY423^SIGN(FY423),1)*IFERROR(FZ423^SIGN(FZ423),1)*IFERROR(GA423^SIGN(GA423),1)*IFERROR(GB423^SIGN(GB423),1)*IFERROR(GC423^SIGN(GC423),1)*IFERROR(GD423^SIGN(GD423),1)*IFERROR(GE423^SIGN(GE423),1)</f>
        <v>1728</v>
      </c>
      <c r="GL423" s="244">
        <f>SUM(GI423:GK423)</f>
        <v>7488</v>
      </c>
      <c r="GM423" s="225">
        <f>GF423*GI423/GL423</f>
        <v>3.6923076923076925</v>
      </c>
      <c r="GN423" s="226">
        <f>GG423*GJ423/GL423</f>
        <v>11.076923076923077</v>
      </c>
      <c r="GO423" s="245">
        <f>GH423*GK423/GL423</f>
        <v>8.3076923076923084</v>
      </c>
      <c r="GP423" s="245">
        <f>SUM(GM423:GO423)</f>
        <v>23.07692307692308</v>
      </c>
      <c r="GQ423" s="252">
        <f t="shared" si="4539"/>
        <v>0</v>
      </c>
      <c r="GR423" s="309">
        <f>GP423-GQ423</f>
        <v>23.07692307692308</v>
      </c>
      <c r="GS423" s="246">
        <f>IF(GP423&lt;=0,1,0)+IF(GP423&gt;0,GP423+1,0)*1+IF(GP423&gt;12,GP423-12,0)*1+IF(GP423&gt;13,GP423-13,0)*1+IF(GP423&gt;14,GP423-14,0)*1+IF(GP423&gt;15,GP423-15,0)*1+IF(GP423&gt;16,GP423-16,0)*1+IF(GP423&gt;17,GP423-17,0)*1+IF(GP423&gt;18,GP423-18,0)*1+IF(GP423&gt;19,GP423-19,0)*1+IF(GP423&gt;20,GP423-20,0)*1</f>
        <v>87.769230769230802</v>
      </c>
      <c r="GT423" s="244">
        <f>IF(GQ423&lt;=0,1,0)+IF(GQ423&gt;0,GQ423+1,0)*1+IF(GQ423&gt;12,GQ423-12,0)*1+IF(GQ423&gt;13,GQ423-13,0)*1+IF(GQ423&gt;14,GQ423-14,0)*1+IF(GQ423&gt;15,GQ423-15,0)*1+IF(GQ423&gt;16,GQ423-16,0)*1+IF(GQ423&gt;17,GQ423-17,0)*1+IF(GQ423&gt;18,GQ423-18,0)*1+IF(GQ423&gt;19,GQ423-19,0)*1+IF(GQ423&gt;20,GQ423-20,0)*1</f>
        <v>1</v>
      </c>
      <c r="GU423" s="245">
        <f>IF((GS423-GT423)&gt;0,GS423-GT423,0)</f>
        <v>86.769230769230802</v>
      </c>
      <c r="GV423" s="246">
        <f>IF((GT423-GS423)&gt;0,GT423-GS423,0)</f>
        <v>0</v>
      </c>
      <c r="GX423" s="326" t="s">
        <v>258</v>
      </c>
      <c r="GY423" s="246" t="s">
        <v>87</v>
      </c>
      <c r="GZ423" s="226" t="s">
        <v>133</v>
      </c>
      <c r="HA423" s="238"/>
      <c r="HB423" s="235">
        <f>Konvention_1slave-KLslave</f>
        <v>12</v>
      </c>
      <c r="HC423" s="235">
        <f>Konvention_1slave-INslave</f>
        <v>12</v>
      </c>
      <c r="HD423" s="235">
        <f>Konvention_1slave-CHslave</f>
        <v>12</v>
      </c>
      <c r="HE423" s="235"/>
      <c r="HF423" s="235"/>
      <c r="HG423" s="235"/>
      <c r="HH423" s="227"/>
      <c r="HI423" s="226">
        <f>(HA423+HB423+HC423+HD423+HE423+HF423+HG423+HH423)/3</f>
        <v>12</v>
      </c>
      <c r="HJ423" s="226">
        <f>2*HI423</f>
        <v>24</v>
      </c>
      <c r="HK423" s="235">
        <f>3*HI423</f>
        <v>36</v>
      </c>
      <c r="HL423" s="238">
        <f>HA423*POWER(KLslave,SIGN(HB423))*POWER(INslave,SIGN(HC423))*POWER(CHslave,SIGN(HD423))*POWER(FFslave,SIGN(HE423))*POWER(GEslave,SIGN(HF423))*POWER(KOslave_KO,SIGN(HG423))*POWER(KKslave,SIGN(HH423))+HB423*POWER(MUslave,SIGN(HA423))*POWER(INslave,SIGN(HC423))*POWER(CHslave,SIGN(HD423))*POWER(FFslave,SIGN(HE423))*POWER(GEslave,SIGN(HF423))*POWER(KOslave_KO,SIGN(HG423))*POWER(KKslave,SIGN(HH423))+HC423*POWER(MUslave,SIGN(HA423))*POWER(KLslave,SIGN(HB423))*POWER(CHslave,SIGN(HD423))*POWER(FFslave,SIGN(HE423))*POWER(GEslave,SIGN(HF423))*POWER(KOslave_KO,SIGN(HG423))*POWER(KKslave,SIGN(HH423))+HD423*POWER(MUslave,SIGN(HA423))*POWER(KLslave,SIGN(HB423))*POWER(INslave,SIGN(HC423))*POWER(FFslave,SIGN(HE423))*POWER(GEslave,SIGN(HF423))*POWER(KOslave_KO,SIGN(HG423))*POWER(KKslave,SIGN(HH423))+HE423*POWER(MUslave,SIGN(HA423))*POWER(KLslave,SIGN(HB423))*POWER(INslave,SIGN(HC423))*POWER(CHslave,SIGN(HD423))*POWER(GEslave,SIGN(HF423))*POWER(KOslave_KO,SIGN(HG423))*POWER(KKslave,SIGN(HH423))+HF423*POWER(MUslave,SIGN(HA423))*POWER(KLslave,SIGN(HB423))*POWER(INslave,SIGN(HC423))*POWER(CHslave,SIGN(HD423))*POWER(FFslave,SIGN(HE423))*POWER(KOslave_KO,SIGN(HG423))*POWER(KKslave,SIGN(HH423))+HG423*POWER(MUslave,SIGN(HA423))*POWER(KLslave,SIGN(HB423))*POWER(INslave,SIGN(HC423))*POWER(CHslave,SIGN(HD423))*POWER(FFslave,SIGN(HE423))*POWER(GEslave,SIGN(HF423))*POWER(KKslave,SIGN(HH423))+HH423*POWER(MUslave,SIGN(HA423))*POWER(KLslave,SIGN(HB423))*POWER(INslave,SIGN(HC423))*POWER(CHslave,SIGN(HD423))*POWER(FFslave,SIGN(HE423))*POWER(GEslave,SIGN(HF423))*POWER(KOslave_KO,SIGN(HG423))</f>
        <v>2304</v>
      </c>
      <c r="HM423" s="235">
        <f>HB423*HC423*CHslave+HB423*INslave*HD423+KLslave*HC423*HD423</f>
        <v>3456</v>
      </c>
      <c r="HN423" s="227">
        <f>IFERROR(HA423^SIGN(HA423),1)*IFERROR(HB423^SIGN(HB423),1)*IFERROR(HC423^SIGN(HC423),1)*IFERROR(HD423^SIGN(HD423),1)*IFERROR(HE423^SIGN(HE423),1)*IFERROR(HF423^SIGN(HF423),1)*IFERROR(HG423^SIGN(HG423),1)*IFERROR(HH423^SIGN(HH423),1)</f>
        <v>1728</v>
      </c>
      <c r="HO423" s="244">
        <f>SUM(HL423:HN423)</f>
        <v>7488</v>
      </c>
      <c r="HP423" s="225">
        <f>HI423*HL423/HO423</f>
        <v>3.6923076923076925</v>
      </c>
      <c r="HQ423" s="226">
        <f>HJ423*HM423/HO423</f>
        <v>11.076923076923077</v>
      </c>
      <c r="HR423" s="245">
        <f>HK423*HN423/HO423</f>
        <v>8.3076923076923084</v>
      </c>
      <c r="HS423" s="245">
        <f>SUM(HP423:HR423)</f>
        <v>23.07692307692308</v>
      </c>
      <c r="HT423" s="252">
        <f t="shared" si="4541"/>
        <v>0</v>
      </c>
      <c r="HU423" s="309">
        <f>HS423-HT423</f>
        <v>23.07692307692308</v>
      </c>
      <c r="HV423" s="246">
        <f>IF(HS423&lt;=0,1,0)+IF(HS423&gt;0,HS423+1,0)*1+IF(HS423&gt;12,HS423-12,0)*1+IF(HS423&gt;13,HS423-13,0)*1+IF(HS423&gt;14,HS423-14,0)*1+IF(HS423&gt;15,HS423-15,0)*1+IF(HS423&gt;16,HS423-16,0)*1+IF(HS423&gt;17,HS423-17,0)*1+IF(HS423&gt;18,HS423-18,0)*1+IF(HS423&gt;19,HS423-19,0)*1+IF(HS423&gt;20,HS423-20,0)*1</f>
        <v>87.769230769230802</v>
      </c>
      <c r="HW423" s="244">
        <f>IF(HT423&lt;=0,1,0)+IF(HT423&gt;0,HT423+1,0)*1+IF(HT423&gt;12,HT423-12,0)*1+IF(HT423&gt;13,HT423-13,0)*1+IF(HT423&gt;14,HT423-14,0)*1+IF(HT423&gt;15,HT423-15,0)*1+IF(HT423&gt;16,HT423-16,0)*1+IF(HT423&gt;17,HT423-17,0)*1+IF(HT423&gt;18,HT423-18,0)*1+IF(HT423&gt;19,HT423-19,0)*1+IF(HT423&gt;20,HT423-20,0)*1</f>
        <v>1</v>
      </c>
      <c r="HX423" s="245">
        <f>IF((HV423-HW423)&gt;0,HV423-HW423,0)</f>
        <v>86.769230769230802</v>
      </c>
      <c r="HY423" s="246">
        <f>IF((HW423-HV423)&gt;0,HW423-HV423,0)</f>
        <v>0</v>
      </c>
      <c r="IA423" s="326" t="s">
        <v>258</v>
      </c>
      <c r="IB423" s="246" t="s">
        <v>87</v>
      </c>
      <c r="IC423" s="226" t="s">
        <v>133</v>
      </c>
      <c r="ID423" s="238"/>
      <c r="IE423" s="235">
        <f>Konvention_1slave-KLslave</f>
        <v>12</v>
      </c>
      <c r="IF423" s="235">
        <f>Konvention_1slave-INslave</f>
        <v>12</v>
      </c>
      <c r="IG423" s="235">
        <f>Konvention_1slave-CHslave</f>
        <v>12</v>
      </c>
      <c r="IH423" s="235"/>
      <c r="II423" s="235"/>
      <c r="IJ423" s="235"/>
      <c r="IK423" s="227"/>
      <c r="IL423" s="226">
        <f>(ID423+IE423+IF423+IG423+IH423+II423+IJ423+IK423)/3</f>
        <v>12</v>
      </c>
      <c r="IM423" s="226">
        <f>2*IL423</f>
        <v>24</v>
      </c>
      <c r="IN423" s="235">
        <f>3*IL423</f>
        <v>36</v>
      </c>
      <c r="IO423" s="238">
        <f>ID423*POWER(KLslave,SIGN(IE423))*POWER(INslave,SIGN(IF423))*POWER(CHslave,SIGN(IG423))*POWER(FFslave,SIGN(IH423))*POWER(GEslave,SIGN(II423))*POWER(KOslave,SIGN(IJ423))*POWER(KKslave_KK,SIGN(IK423))+IE423*POWER(MUslave,SIGN(ID423))*POWER(INslave,SIGN(IF423))*POWER(CHslave,SIGN(IG423))*POWER(FFslave,SIGN(IH423))*POWER(GEslave,SIGN(II423))*POWER(KOslave,SIGN(IJ423))*POWER(KKslave_KK,SIGN(IK423))+IF423*POWER(MUslave,SIGN(ID423))*POWER(KLslave,SIGN(IE423))*POWER(CHslave,SIGN(IG423))*POWER(FFslave,SIGN(IH423))*POWER(GEslave,SIGN(II423))*POWER(KOslave,SIGN(IJ423))*POWER(KKslave_KK,SIGN(IK423))+IG423*POWER(MUslave,SIGN(ID423))*POWER(KLslave,SIGN(IE423))*POWER(INslave,SIGN(IF423))*POWER(FFslave,SIGN(IH423))*POWER(GEslave,SIGN(II423))*POWER(KOslave,SIGN(IJ423))*POWER(KKslave_KK,SIGN(IK423))+IH423*POWER(MUslave,SIGN(ID423))*POWER(KLslave,SIGN(IE423))*POWER(INslave,SIGN(IF423))*POWER(CHslave,SIGN(IG423))*POWER(GEslave,SIGN(II423))*POWER(KOslave,SIGN(IJ423))*POWER(KKslave_KK,SIGN(IK423))+II423*POWER(MUslave,SIGN(ID423))*POWER(KLslave,SIGN(IE423))*POWER(INslave,SIGN(IF423))*POWER(CHslave,SIGN(IG423))*POWER(FFslave,SIGN(IH423))*POWER(KOslave,SIGN(IJ423))*POWER(KKslave_KK,SIGN(IK423))+IJ423*POWER(MUslave,SIGN(ID423))*POWER(KLslave,SIGN(IE423))*POWER(INslave,SIGN(IF423))*POWER(CHslave,SIGN(IG423))*POWER(FFslave,SIGN(IH423))*POWER(GEslave,SIGN(II423))*POWER(KKslave_KK,SIGN(IK423))+IK423*POWER(MUslave,SIGN(ID423))*POWER(KLslave,SIGN(IE423))*POWER(INslave,SIGN(IF423))*POWER(CHslave,SIGN(IG423))*POWER(FFslave,SIGN(IH423))*POWER(GEslave,SIGN(II423))*POWER(KOslave,SIGN(IJ423))</f>
        <v>2304</v>
      </c>
      <c r="IP423" s="235">
        <f>IE423*IF423*CHslave+IE423*INslave*IG423+KLslave*IF423*IG423</f>
        <v>3456</v>
      </c>
      <c r="IQ423" s="227">
        <f>IFERROR(ID423^SIGN(ID423),1)*IFERROR(IE423^SIGN(IE423),1)*IFERROR(IF423^SIGN(IF423),1)*IFERROR(IG423^SIGN(IG423),1)*IFERROR(IH423^SIGN(IH423),1)*IFERROR(II423^SIGN(II423),1)*IFERROR(IJ423^SIGN(IJ423),1)*IFERROR(IK423^SIGN(IK423),1)</f>
        <v>1728</v>
      </c>
      <c r="IR423" s="244">
        <f>SUM(IO423:IQ423)</f>
        <v>7488</v>
      </c>
      <c r="IS423" s="225">
        <f>IL423*IO423/IR423</f>
        <v>3.6923076923076925</v>
      </c>
      <c r="IT423" s="226">
        <f>IM423*IP423/IR423</f>
        <v>11.076923076923077</v>
      </c>
      <c r="IU423" s="245">
        <f>IN423*IQ423/IR423</f>
        <v>8.3076923076923084</v>
      </c>
      <c r="IV423" s="245">
        <f>SUM(IS423:IU423)</f>
        <v>23.07692307692308</v>
      </c>
      <c r="IW423" s="252">
        <f t="shared" si="4543"/>
        <v>0</v>
      </c>
      <c r="IX423" s="309">
        <f>IV423-IW423</f>
        <v>23.07692307692308</v>
      </c>
      <c r="IY423" s="246">
        <f>IF(IV423&lt;=0,1,0)+IF(IV423&gt;0,IV423+1,0)*1+IF(IV423&gt;12,IV423-12,0)*1+IF(IV423&gt;13,IV423-13,0)*1+IF(IV423&gt;14,IV423-14,0)*1+IF(IV423&gt;15,IV423-15,0)*1+IF(IV423&gt;16,IV423-16,0)*1+IF(IV423&gt;17,IV423-17,0)*1+IF(IV423&gt;18,IV423-18,0)*1+IF(IV423&gt;19,IV423-19,0)*1+IF(IV423&gt;20,IV423-20,0)*1</f>
        <v>87.769230769230802</v>
      </c>
      <c r="IZ423" s="244">
        <f>IF(IW423&lt;=0,1,0)+IF(IW423&gt;0,IW423+1,0)*1+IF(IW423&gt;12,IW423-12,0)*1+IF(IW423&gt;13,IW423-13,0)*1+IF(IW423&gt;14,IW423-14,0)*1+IF(IW423&gt;15,IW423-15,0)*1+IF(IW423&gt;16,IW423-16,0)*1+IF(IW423&gt;17,IW423-17,0)*1+IF(IW423&gt;18,IW423-18,0)*1+IF(IW423&gt;19,IW423-19,0)*1+IF(IW423&gt;20,IW423-20,0)*1</f>
        <v>1</v>
      </c>
      <c r="JA423" s="245">
        <f>IF((IY423-IZ423)&gt;0,IY423-IZ423,0)</f>
        <v>86.769230769230802</v>
      </c>
      <c r="JB423" s="246">
        <f>IF((IZ423-IY423)&gt;0,IZ423-IY423,0)</f>
        <v>0</v>
      </c>
      <c r="JE423" s="148"/>
    </row>
    <row r="424" spans="2:265" ht="15" hidden="1" customHeight="1" outlineLevel="1" collapsed="1">
      <c r="B424" s="134" t="s">
        <v>323</v>
      </c>
      <c r="C424" s="307" t="s">
        <v>281</v>
      </c>
      <c r="D424" s="84" t="s">
        <v>279</v>
      </c>
      <c r="E424" s="84" t="s">
        <v>280</v>
      </c>
      <c r="Y424" s="251"/>
      <c r="Z424" s="197"/>
      <c r="AF424" s="83" t="s">
        <v>281</v>
      </c>
      <c r="AG424" s="84" t="s">
        <v>279</v>
      </c>
      <c r="AH424" s="84" t="s">
        <v>280</v>
      </c>
      <c r="BB424" s="197"/>
      <c r="BC424" s="197"/>
      <c r="BI424" s="307" t="s">
        <v>281</v>
      </c>
      <c r="BJ424" s="308" t="s">
        <v>279</v>
      </c>
      <c r="BK424" s="308" t="s">
        <v>280</v>
      </c>
      <c r="CE424" s="251"/>
      <c r="CF424" s="251"/>
      <c r="CL424" s="307" t="s">
        <v>281</v>
      </c>
      <c r="CM424" s="308" t="s">
        <v>279</v>
      </c>
      <c r="CN424" s="308" t="s">
        <v>280</v>
      </c>
      <c r="DH424" s="251"/>
      <c r="DI424" s="251"/>
      <c r="DO424" s="307" t="s">
        <v>281</v>
      </c>
      <c r="DP424" s="308" t="s">
        <v>279</v>
      </c>
      <c r="DQ424" s="308" t="s">
        <v>280</v>
      </c>
      <c r="EK424" s="251"/>
      <c r="EL424" s="251"/>
      <c r="ER424" s="307" t="s">
        <v>281</v>
      </c>
      <c r="ES424" s="308" t="s">
        <v>279</v>
      </c>
      <c r="ET424" s="308" t="s">
        <v>280</v>
      </c>
      <c r="FN424" s="251"/>
      <c r="FO424" s="251"/>
      <c r="FU424" s="307" t="s">
        <v>281</v>
      </c>
      <c r="FV424" s="308" t="s">
        <v>279</v>
      </c>
      <c r="FW424" s="308" t="s">
        <v>280</v>
      </c>
      <c r="GQ424" s="251"/>
      <c r="GR424" s="251"/>
      <c r="GX424" s="307" t="s">
        <v>281</v>
      </c>
      <c r="GY424" s="308" t="s">
        <v>279</v>
      </c>
      <c r="GZ424" s="308" t="s">
        <v>280</v>
      </c>
      <c r="HT424" s="251"/>
      <c r="HU424" s="251"/>
      <c r="IA424" s="307" t="s">
        <v>281</v>
      </c>
      <c r="IB424" s="308" t="s">
        <v>279</v>
      </c>
      <c r="IC424" s="308" t="s">
        <v>280</v>
      </c>
      <c r="IW424" s="251"/>
      <c r="IX424" s="251"/>
      <c r="JE424" s="148"/>
    </row>
    <row r="425" spans="2:265" ht="15" hidden="1" customHeight="1" outlineLevel="2">
      <c r="B425" s="148">
        <v>1</v>
      </c>
      <c r="C425" s="323" t="e">
        <f>VLOOKUP(AF425,Attribute!C:T,1,FALSE)</f>
        <v>#N/A</v>
      </c>
      <c r="D425" s="158" t="s">
        <v>84</v>
      </c>
      <c r="E425" s="116" t="s">
        <v>132</v>
      </c>
      <c r="F425" s="191">
        <f>Konvention_1master-MUmaster</f>
        <v>12</v>
      </c>
      <c r="G425" s="118">
        <f>Konvention_1master-KLmaster</f>
        <v>12</v>
      </c>
      <c r="H425" s="118"/>
      <c r="I425" s="118">
        <f>Konvention_1master-CHmaster</f>
        <v>12</v>
      </c>
      <c r="J425" s="118"/>
      <c r="K425" s="118"/>
      <c r="L425" s="118"/>
      <c r="M425" s="92"/>
      <c r="N425" s="220">
        <f>(F425+G425+H425+I425+J425+K425+L425+M425)/3</f>
        <v>12</v>
      </c>
      <c r="O425" s="220">
        <f t="shared" ref="O425:O432" si="4545">2*N425</f>
        <v>24</v>
      </c>
      <c r="P425" s="233">
        <f t="shared" ref="P425:P432" si="4546">3*N425</f>
        <v>36</v>
      </c>
      <c r="Q425" s="236">
        <f>F425*POWER(KLmaster,SIGN(G425))*POWER(INmaster,SIGN(H425))*POWER(CHmaster,SIGN(I425))*POWER(FFmaster,SIGN(J425))*POWER(GEmaster,SIGN(K425))*POWER(KOmaster,SIGN(L425))*POWER(KKmaster,SIGN(M425))+G425*POWER(MUmaster,SIGN(F425))*POWER(INmaster,SIGN(H425))*POWER(CHmaster,SIGN(I425))*POWER(FFmaster,SIGN(J425))*POWER(GEmaster,SIGN(K425))*POWER(KOmaster,SIGN(L425))*POWER(KKmaster,SIGN(M425))+H425*POWER(MUmaster,SIGN(F425))*POWER(KLmaster,SIGN(G425))*POWER(CHmaster,SIGN(I425))*POWER(FFmaster,SIGN(J425))*POWER(GEmaster,SIGN(K425))*POWER(KOmaster,SIGN(L425))*POWER(KKmaster,SIGN(M425))+I425*POWER(MUmaster,SIGN(F425))*POWER(KLmaster,SIGN(G425))*POWER(INmaster,SIGN(H425))*POWER(FFmaster,SIGN(J425))*POWER(GEmaster,SIGN(K425))*POWER(KOmaster,SIGN(L425))*POWER(KKmaster,SIGN(M425))+J425*POWER(MUmaster,SIGN(F425))*POWER(KLmaster,SIGN(G425))*POWER(INmaster,SIGN(H425))*POWER(CHmaster,SIGN(I425))*POWER(GEmaster,SIGN(K425))*POWER(KOmaster,SIGN(L425))*POWER(KKmaster,SIGN(M425))+K425*POWER(MUmaster,SIGN(F425))*POWER(KLmaster,SIGN(G425))*POWER(INmaster,SIGN(H425))*POWER(CHmaster,SIGN(I425))*POWER(FFmaster,SIGN(J425))*POWER(KOmaster,SIGN(L425))*POWER(KKmaster,SIGN(M425))+L425*POWER(MUmaster,SIGN(F425))*POWER(KLmaster,SIGN(G425))*POWER(INmaster,SIGN(H425))*POWER(CHmaster,SIGN(I425))*POWER(FFmaster,SIGN(J425))*POWER(GEmaster,SIGN(K425))*POWER(KKmaster,SIGN(M425))+M425*POWER(MUmaster,SIGN(F425))*POWER(KLmaster,SIGN(G425))*POWER(INmaster,SIGN(H425))*POWER(CHmaster,SIGN(I425))*POWER(FFmaster,SIGN(J425))*POWER(GEmaster,SIGN(K425))*POWER(KOmaster,SIGN(L425))</f>
        <v>2304</v>
      </c>
      <c r="R425" s="118">
        <f>F425*G425*CHmaster+F425*KLmaster*I425+MUmaster*G425*I425</f>
        <v>3456</v>
      </c>
      <c r="S425" s="221">
        <f>IFERROR(F425^SIGN(F425),1)*IFERROR(G425^SIGN(G425),1)*IFERROR(H425^SIGN(H425),1)*IFERROR(I425^SIGN(I425),1)*IFERROR(J425^SIGN(J425),1)*IFERROR(K425^SIGN(K425),1)*IFERROR(L425^SIGN(L425),1)*IFERROR(M425^SIGN(M425),1)</f>
        <v>1728</v>
      </c>
      <c r="T425" s="78">
        <f t="shared" ref="T425:T432" si="4547">SUM(Q425:S425)</f>
        <v>7488</v>
      </c>
      <c r="U425" s="219">
        <f t="shared" ref="U425:U432" si="4548">N425*Q425/T425</f>
        <v>3.6923076923076925</v>
      </c>
      <c r="V425" s="220">
        <f t="shared" ref="V425:V432" si="4549">O425*R425/T425</f>
        <v>11.076923076923077</v>
      </c>
      <c r="W425" s="241">
        <f t="shared" ref="W425:W432" si="4550">P425*S425/T425</f>
        <v>8.3076923076923084</v>
      </c>
      <c r="X425" s="241">
        <f t="shared" ref="X425:X432" si="4551">SUM(U425:W425)</f>
        <v>23.07692307692308</v>
      </c>
      <c r="Y425" s="252">
        <v>0</v>
      </c>
      <c r="Z425" s="198">
        <f t="shared" ref="Z425:Z432" si="4552">X425-Y425</f>
        <v>23.07692307692308</v>
      </c>
      <c r="AA425" s="158">
        <f>IF(X425&lt;=0,2,0)+IF(X425&gt;0,X425+1,0)*2+IF(X425&gt;12,X425-12,0)*2+IF(X425&gt;13,X425-13,0)*2+IF(X425&gt;14,X425-14,0)*2+IF(X425&gt;15,X425-15,0)*2+IF(X425&gt;16,X425-16,0)*2+IF(X425&gt;17,X425-17,0)*2+IF(X425&gt;18,X425-18,0)*2+IF(X425&gt;19,X425-19,0)*2+IF(X425&gt;20,X425-20,0)*2</f>
        <v>175.5384615384616</v>
      </c>
      <c r="AB425" s="91">
        <f>IF(Y425&lt;=0,2,0)+IF(Y425&gt;0,Y425+1,0)*2+IF(Y425&gt;12,Y425-12,0)*2+IF(Y425&gt;13,Y425-13,0)*2+IF(Y425&gt;14,Y425-14,0)*2+IF(Y425&gt;15,Y425-15,0)*2+IF(Y425&gt;16,Y425-16,0)*2+IF(Y425&gt;17,Y425-17,0)*2+IF(Y425&gt;18,Y425-18,0)*2+IF(Y425&gt;19,Y425-19,0)*2+IF(Y425&gt;20,Y425-20,0)*2</f>
        <v>2</v>
      </c>
      <c r="AC425" s="126">
        <f t="shared" ref="AC425:AC432" si="4553">IF((AA425-AB425)&gt;0,AA425-AB425,0)</f>
        <v>173.5384615384616</v>
      </c>
      <c r="AD425" s="158">
        <f t="shared" ref="AD425:AD432" si="4554">IF((AB425-AA425)&gt;0,AB425-AA425,0)</f>
        <v>0</v>
      </c>
      <c r="AF425" s="176" t="s">
        <v>237</v>
      </c>
      <c r="AG425" s="158" t="s">
        <v>84</v>
      </c>
      <c r="AH425" s="116" t="s">
        <v>132</v>
      </c>
      <c r="AI425" s="191">
        <f>Konvention_1slave-MUslave_MU</f>
        <v>11</v>
      </c>
      <c r="AJ425" s="118">
        <f>Konvention_1slave-KLslave</f>
        <v>12</v>
      </c>
      <c r="AK425" s="118"/>
      <c r="AL425" s="118">
        <f>Konvention_1slave-CHslave</f>
        <v>12</v>
      </c>
      <c r="AM425" s="118"/>
      <c r="AN425" s="118"/>
      <c r="AO425" s="118"/>
      <c r="AP425" s="92"/>
      <c r="AQ425" s="116">
        <f>(AI425+AJ425+AK425+AL425+AM425+AN425+AO425+AP425)/3</f>
        <v>11.666666666666666</v>
      </c>
      <c r="AR425" s="116">
        <f t="shared" ref="AR425:AR432" si="4555">2*AQ425</f>
        <v>23.333333333333332</v>
      </c>
      <c r="AS425" s="118">
        <f t="shared" ref="AS425:AS432" si="4556">3*AQ425</f>
        <v>35</v>
      </c>
      <c r="AT425" s="191">
        <f>AI425*POWER(KLslave,SIGN(AJ425))*POWER(INslave,SIGN(AK425))*POWER(CHslave,SIGN(AL425))*POWER(FFslave,SIGN(AM425))*POWER(GEslave,SIGN(AN425))*POWER(KOslave,SIGN(AO425))*POWER(KKslave,SIGN(AP425))+AJ425*POWER(MUslave_MU,SIGN(AI425))*POWER(INslave,SIGN(AK425))*POWER(CHslave,SIGN(AL425))*POWER(FFslave,SIGN(AM425))*POWER(GEslave,SIGN(AN425))*POWER(KOslave,SIGN(AO425))*POWER(KKslave,SIGN(AP425))+AK425*POWER(MUslave_MU,SIGN(AI425))*POWER(KLslave,SIGN(AJ425))*POWER(CHslave,SIGN(AL425))*POWER(FFslave,SIGN(AM425))*POWER(GEslave,SIGN(AN425))*POWER(KOslave,SIGN(AO425))*POWER(KKslave,SIGN(AP425))+AL425*POWER(MUslave_MU,SIGN(AI425))*POWER(KLslave,SIGN(AJ425))*POWER(INslave,SIGN(AK425))*POWER(FFslave,SIGN(AM425))*POWER(GEslave,SIGN(AN425))*POWER(KOslave,SIGN(AO425))*POWER(KKslave,SIGN(AP425))+AM425*POWER(MUslave_MU,SIGN(AI425))*POWER(KLslave,SIGN(AJ425))*POWER(INslave,SIGN(AK425))*POWER(CHslave,SIGN(AL425))*POWER(GEslave,SIGN(AN425))*POWER(KOslave,SIGN(AO425))*POWER(KKslave,SIGN(AP425))+AN425*POWER(MUslave_MU,SIGN(AI425))*POWER(KLslave,SIGN(AJ425))*POWER(INslave,SIGN(AK425))*POWER(CHslave,SIGN(AL425))*POWER(FFslave,SIGN(AM425))*POWER(KOslave,SIGN(AO425))*POWER(KKslave,SIGN(AP425))+AO425*POWER(MUslave_MU,SIGN(AI425))*POWER(KLslave,SIGN(AJ425))*POWER(INslave,SIGN(AK425))*POWER(CHslave,SIGN(AL425))*POWER(FFslave,SIGN(AM425))*POWER(GEslave,SIGN(AN425))*POWER(KKslave,SIGN(AP425))+AP425*POWER(MUslave_MU,SIGN(AI425))*POWER(KLslave,SIGN(AJ425))*POWER(INslave,SIGN(AK425))*POWER(CHslave,SIGN(AL425))*POWER(FFslave,SIGN(AM425))*POWER(GEslave,SIGN(AN425))*POWER(KOslave,SIGN(AO425))</f>
        <v>2432</v>
      </c>
      <c r="AU425" s="118">
        <f>AI425*AJ425*CHslave+AI425*KLslave*AL425+MUslave_MU*AJ425*AL425</f>
        <v>3408</v>
      </c>
      <c r="AV425" s="92">
        <f>IFERROR(AI425^SIGN(AI425),1)*IFERROR(AJ425^SIGN(AJ425),1)*IFERROR(AK425^SIGN(AK425),1)*IFERROR(AL425^SIGN(AL425),1)*IFERROR(AM425^SIGN(AM425),1)*IFERROR(AN425^SIGN(AN425),1)*IFERROR(AO425^SIGN(AO425),1)*IFERROR(AP425^SIGN(AP425),1)</f>
        <v>1584</v>
      </c>
      <c r="AW425" s="91">
        <f t="shared" ref="AW425:AW432" si="4557">SUM(AT425:AV425)</f>
        <v>7424</v>
      </c>
      <c r="AX425" s="193">
        <f t="shared" ref="AX425:AX432" si="4558">AQ425*AT425/AW425</f>
        <v>3.8218390804597702</v>
      </c>
      <c r="AY425" s="116">
        <f t="shared" ref="AY425:AY432" si="4559">AR425*AU425/AW425</f>
        <v>10.711206896551724</v>
      </c>
      <c r="AZ425" s="126">
        <f t="shared" ref="AZ425:AZ432" si="4560">AS425*AV425/AW425</f>
        <v>7.4676724137931032</v>
      </c>
      <c r="BA425" s="126">
        <f t="shared" ref="BA425:BA432" si="4561">SUM(AX425:AZ425)</f>
        <v>22.000718390804597</v>
      </c>
      <c r="BB425" s="165">
        <f t="shared" ref="BB425:BB432" si="4562">Y425</f>
        <v>0</v>
      </c>
      <c r="BC425" s="198">
        <f t="shared" ref="BC425:BC432" si="4563">BA425-BB425</f>
        <v>22.000718390804597</v>
      </c>
      <c r="BD425" s="158">
        <f>IF(BA425&lt;=0,2,0)+IF(BA425&gt;0,BA425+1,0)*2+IF(BA425&gt;12,BA425-12,0)*2+IF(BA425&gt;13,BA425-13,0)*2+IF(BA425&gt;14,BA425-14,0)*2+IF(BA425&gt;15,BA425-15,0)*2+IF(BA425&gt;16,BA425-16,0)*2+IF(BA425&gt;17,BA425-17,0)*2+IF(BA425&gt;18,BA425-18,0)*2+IF(BA425&gt;19,BA425-19,0)*2+IF(BA425&gt;20,BA425-20,0)*2</f>
        <v>154.01436781609189</v>
      </c>
      <c r="BE425" s="91">
        <f>IF(BB425&lt;=0,2,0)+IF(BB425&gt;0,BB425+1,0)*2+IF(BB425&gt;12,BB425-12,0)*2+IF(BB425&gt;13,BB425-13,0)*2+IF(BB425&gt;14,BB425-14,0)*2+IF(BB425&gt;15,BB425-15,0)*2+IF(BB425&gt;16,BB425-16,0)*2+IF(BB425&gt;17,BB425-17,0)*2+IF(BB425&gt;18,BB425-18,0)*2+IF(BB425&gt;19,BB425-19,0)*2+IF(BB425&gt;20,BB425-20,0)*2</f>
        <v>2</v>
      </c>
      <c r="BF425" s="241">
        <f t="shared" ref="BF425:BF432" si="4564">IF((BD425-BE425)&gt;0,BD425-BE425,0)</f>
        <v>152.01436781609189</v>
      </c>
      <c r="BG425" s="42">
        <f t="shared" ref="BG425:BG432" si="4565">IF((BE425-BD425)&gt;0,BE425-BD425,0)</f>
        <v>0</v>
      </c>
      <c r="BI425" s="323" t="s">
        <v>237</v>
      </c>
      <c r="BJ425" s="42" t="s">
        <v>84</v>
      </c>
      <c r="BK425" s="220" t="s">
        <v>132</v>
      </c>
      <c r="BL425" s="236">
        <f>Konvention_1slave-MUslave</f>
        <v>12</v>
      </c>
      <c r="BM425" s="233">
        <f>Konvention_1slave-KLslave_KL</f>
        <v>11</v>
      </c>
      <c r="BN425" s="233"/>
      <c r="BO425" s="233">
        <f>Konvention_1slave-CHslave</f>
        <v>12</v>
      </c>
      <c r="BP425" s="233"/>
      <c r="BQ425" s="233"/>
      <c r="BR425" s="233"/>
      <c r="BS425" s="221"/>
      <c r="BT425" s="220">
        <f>(BL425+BM425+BN425+BO425+BP425+BQ425+BR425+BS425)/3</f>
        <v>11.666666666666666</v>
      </c>
      <c r="BU425" s="220">
        <f t="shared" ref="BU425:BU432" si="4566">2*BT425</f>
        <v>23.333333333333332</v>
      </c>
      <c r="BV425" s="233">
        <f t="shared" ref="BV425:BV432" si="4567">3*BT425</f>
        <v>35</v>
      </c>
      <c r="BW425" s="236">
        <f>BL425*POWER(KLslave_KL,SIGN(BM425))*POWER(INslave,SIGN(BN425))*POWER(CHslave,SIGN(BO425))*POWER(FFslave,SIGN(BP425))*POWER(GEslave,SIGN(BQ425))*POWER(KOslave,SIGN(BR425))*POWER(KKslave,SIGN(BS425))+BM425*POWER(MUslave,SIGN(BL425))*POWER(INslave,SIGN(BN425))*POWER(CHslave,SIGN(BO425))*POWER(FFslave,SIGN(BP425))*POWER(GEslave,SIGN(BQ425))*POWER(KOslave,SIGN(BR425))*POWER(KKslave,SIGN(BS425))+BN425*POWER(MUslave,SIGN(BL425))*POWER(KLslave_KL,SIGN(BM425))*POWER(CHslave,SIGN(BO425))*POWER(FFslave,SIGN(BP425))*POWER(GEslave,SIGN(BQ425))*POWER(KOslave,SIGN(BR425))*POWER(KKslave,SIGN(BS425))+BO425*POWER(MUslave,SIGN(BL425))*POWER(KLslave_KL,SIGN(BM425))*POWER(INslave,SIGN(BN425))*POWER(FFslave,SIGN(BP425))*POWER(GEslave,SIGN(BQ425))*POWER(KOslave,SIGN(BR425))*POWER(KKslave,SIGN(BS425))+BP425*POWER(MUslave,SIGN(BL425))*POWER(KLslave_KL,SIGN(BM425))*POWER(INslave,SIGN(BN425))*POWER(CHslave,SIGN(BO425))*POWER(GEslave,SIGN(BQ425))*POWER(KOslave,SIGN(BR425))*POWER(KKslave,SIGN(BS425))+BQ425*POWER(MUslave,SIGN(BL425))*POWER(KLslave_KL,SIGN(BM425))*POWER(INslave,SIGN(BN425))*POWER(CHslave,SIGN(BO425))*POWER(FFslave,SIGN(BP425))*POWER(KOslave,SIGN(BR425))*POWER(KKslave,SIGN(BS425))+BR425*POWER(MUslave,SIGN(BL425))*POWER(KLslave_KL,SIGN(BM425))*POWER(INslave,SIGN(BN425))*POWER(CHslave,SIGN(BO425))*POWER(FFslave,SIGN(BP425))*POWER(GEslave,SIGN(BQ425))*POWER(KKslave,SIGN(BS425))+BS425*POWER(MUslave,SIGN(BL425))*POWER(KLslave_KL,SIGN(BM425))*POWER(INslave,SIGN(BN425))*POWER(CHslave,SIGN(BO425))*POWER(FFslave,SIGN(BP425))*POWER(GEslave,SIGN(BQ425))*POWER(KOslave,SIGN(BR425))</f>
        <v>2432</v>
      </c>
      <c r="BX425" s="233">
        <f>BL425*BM425*CHslave+BL425*KLslave_KL*BO425+MUslave*BM425*BO425</f>
        <v>3408</v>
      </c>
      <c r="BY425" s="221">
        <f>IFERROR(BL425^SIGN(BL425),1)*IFERROR(BM425^SIGN(BM425),1)*IFERROR(BN425^SIGN(BN425),1)*IFERROR(BO425^SIGN(BO425),1)*IFERROR(BP425^SIGN(BP425),1)*IFERROR(BQ425^SIGN(BQ425),1)*IFERROR(BR425^SIGN(BR425),1)*IFERROR(BS425^SIGN(BS425),1)</f>
        <v>1584</v>
      </c>
      <c r="BZ425" s="78">
        <f t="shared" ref="BZ425:BZ432" si="4568">SUM(BW425:BY425)</f>
        <v>7424</v>
      </c>
      <c r="CA425" s="219">
        <f t="shared" ref="CA425:CA432" si="4569">BT425*BW425/BZ425</f>
        <v>3.8218390804597702</v>
      </c>
      <c r="CB425" s="220">
        <f t="shared" ref="CB425:CB432" si="4570">BU425*BX425/BZ425</f>
        <v>10.711206896551724</v>
      </c>
      <c r="CC425" s="241">
        <f t="shared" ref="CC425:CC432" si="4571">BV425*BY425/BZ425</f>
        <v>7.4676724137931032</v>
      </c>
      <c r="CD425" s="241">
        <f t="shared" ref="CD425:CD432" si="4572">SUM(CA425:CC425)</f>
        <v>22.000718390804597</v>
      </c>
      <c r="CE425" s="252">
        <f t="shared" ref="CE425:CE432" si="4573">BB425</f>
        <v>0</v>
      </c>
      <c r="CF425" s="309">
        <f t="shared" ref="CF425:CF432" si="4574">CD425-CE425</f>
        <v>22.000718390804597</v>
      </c>
      <c r="CG425" s="42">
        <f>IF(CD425&lt;=0,2,0)+IF(CD425&gt;0,CD425+1,0)*2+IF(CD425&gt;12,CD425-12,0)*2+IF(CD425&gt;13,CD425-13,0)*2+IF(CD425&gt;14,CD425-14,0)*2+IF(CD425&gt;15,CD425-15,0)*2+IF(CD425&gt;16,CD425-16,0)*2+IF(CD425&gt;17,CD425-17,0)*2+IF(CD425&gt;18,CD425-18,0)*2+IF(CD425&gt;19,CD425-19,0)*2+IF(CD425&gt;20,CD425-20,0)*2</f>
        <v>154.01436781609189</v>
      </c>
      <c r="CH425" s="78">
        <f>IF(CE425&lt;=0,2,0)+IF(CE425&gt;0,CE425+1,0)*2+IF(CE425&gt;12,CE425-12,0)*2+IF(CE425&gt;13,CE425-13,0)*2+IF(CE425&gt;14,CE425-14,0)*2+IF(CE425&gt;15,CE425-15,0)*2+IF(CE425&gt;16,CE425-16,0)*2+IF(CE425&gt;17,CE425-17,0)*2+IF(CE425&gt;18,CE425-18,0)*2+IF(CE425&gt;19,CE425-19,0)*2+IF(CE425&gt;20,CE425-20,0)*2</f>
        <v>2</v>
      </c>
      <c r="CI425" s="241">
        <f t="shared" ref="CI425:CI432" si="4575">IF((CG425-CH425)&gt;0,CG425-CH425,0)</f>
        <v>152.01436781609189</v>
      </c>
      <c r="CJ425" s="42">
        <f t="shared" ref="CJ425:CJ432" si="4576">IF((CH425-CG425)&gt;0,CH425-CG425,0)</f>
        <v>0</v>
      </c>
      <c r="CL425" s="323" t="s">
        <v>237</v>
      </c>
      <c r="CM425" s="42" t="s">
        <v>84</v>
      </c>
      <c r="CN425" s="220" t="s">
        <v>132</v>
      </c>
      <c r="CO425" s="236">
        <f>Konvention_1slave-MUslave</f>
        <v>12</v>
      </c>
      <c r="CP425" s="233">
        <f>Konvention_1slave-KLslave</f>
        <v>12</v>
      </c>
      <c r="CQ425" s="233"/>
      <c r="CR425" s="233">
        <f>Konvention_1slave-CHslave</f>
        <v>12</v>
      </c>
      <c r="CS425" s="233"/>
      <c r="CT425" s="233"/>
      <c r="CU425" s="233"/>
      <c r="CV425" s="221"/>
      <c r="CW425" s="220">
        <f>(CO425+CP425+CQ425+CR425+CS425+CT425+CU425+CV425)/3</f>
        <v>12</v>
      </c>
      <c r="CX425" s="220">
        <f t="shared" ref="CX425:CX432" si="4577">2*CW425</f>
        <v>24</v>
      </c>
      <c r="CY425" s="233">
        <f t="shared" ref="CY425:CY432" si="4578">3*CW425</f>
        <v>36</v>
      </c>
      <c r="CZ425" s="236">
        <f>CO425*POWER(KLslave,SIGN(CP425))*POWER(INslave_IN,SIGN(CQ425))*POWER(CHslave,SIGN(CR425))*POWER(FFslave,SIGN(CS425))*POWER(GEslave,SIGN(CT425))*POWER(KOslave,SIGN(CU425))*POWER(KKslave,SIGN(CV425))+CP425*POWER(MUslave,SIGN(CO425))*POWER(INslave_IN,SIGN(CQ425))*POWER(CHslave,SIGN(CR425))*POWER(FFslave,SIGN(CS425))*POWER(GEslave,SIGN(CT425))*POWER(KOslave,SIGN(CU425))*POWER(KKslave,SIGN(CV425))+CQ425*POWER(MUslave,SIGN(CO425))*POWER(KLslave,SIGN(CP425))*POWER(CHslave,SIGN(CR425))*POWER(FFslave,SIGN(CS425))*POWER(GEslave,SIGN(CT425))*POWER(KOslave,SIGN(CU425))*POWER(KKslave,SIGN(CV425))+CR425*POWER(MUslave,SIGN(CO425))*POWER(KLslave,SIGN(CP425))*POWER(INslave_IN,SIGN(CQ425))*POWER(FFslave,SIGN(CS425))*POWER(GEslave,SIGN(CT425))*POWER(KOslave,SIGN(CU425))*POWER(KKslave,SIGN(CV425))+CS425*POWER(MUslave,SIGN(CO425))*POWER(KLslave,SIGN(CP425))*POWER(INslave_IN,SIGN(CQ425))*POWER(CHslave,SIGN(CR425))*POWER(GEslave,SIGN(CT425))*POWER(KOslave,SIGN(CU425))*POWER(KKslave,SIGN(CV425))+CT425*POWER(MUslave,SIGN(CO425))*POWER(KLslave,SIGN(CP425))*POWER(INslave_IN,SIGN(CQ425))*POWER(CHslave,SIGN(CR425))*POWER(FFslave,SIGN(CS425))*POWER(KOslave,SIGN(CU425))*POWER(KKslave,SIGN(CV425))+CU425*POWER(MUslave,SIGN(CO425))*POWER(KLslave,SIGN(CP425))*POWER(INslave_IN,SIGN(CQ425))*POWER(CHslave,SIGN(CR425))*POWER(FFslave,SIGN(CS425))*POWER(GEslave,SIGN(CT425))*POWER(KKslave,SIGN(CV425))+CV425*POWER(MUslave,SIGN(CO425))*POWER(KLslave,SIGN(CP425))*POWER(INslave_IN,SIGN(CQ425))*POWER(CHslave,SIGN(CR425))*POWER(FFslave,SIGN(CS425))*POWER(GEslave,SIGN(CT425))*POWER(KOslave,SIGN(CU425))</f>
        <v>2304</v>
      </c>
      <c r="DA425" s="233">
        <f>CO425*CP425*CHslave+CO425*KLslave*CR425+MUslave*CP425*CR425</f>
        <v>3456</v>
      </c>
      <c r="DB425" s="221">
        <f>IFERROR(CO425^SIGN(CO425),1)*IFERROR(CP425^SIGN(CP425),1)*IFERROR(CQ425^SIGN(CQ425),1)*IFERROR(CR425^SIGN(CR425),1)*IFERROR(CS425^SIGN(CS425),1)*IFERROR(CT425^SIGN(CT425),1)*IFERROR(CU425^SIGN(CU425),1)*IFERROR(CV425^SIGN(CV425),1)</f>
        <v>1728</v>
      </c>
      <c r="DC425" s="78">
        <f t="shared" ref="DC425:DC432" si="4579">SUM(CZ425:DB425)</f>
        <v>7488</v>
      </c>
      <c r="DD425" s="219">
        <f t="shared" ref="DD425:DD432" si="4580">CW425*CZ425/DC425</f>
        <v>3.6923076923076925</v>
      </c>
      <c r="DE425" s="220">
        <f t="shared" ref="DE425:DE432" si="4581">CX425*DA425/DC425</f>
        <v>11.076923076923077</v>
      </c>
      <c r="DF425" s="241">
        <f t="shared" ref="DF425:DF432" si="4582">CY425*DB425/DC425</f>
        <v>8.3076923076923084</v>
      </c>
      <c r="DG425" s="241">
        <f t="shared" ref="DG425:DG432" si="4583">SUM(DD425:DF425)</f>
        <v>23.07692307692308</v>
      </c>
      <c r="DH425" s="252">
        <f t="shared" ref="DH425:DH432" si="4584">CE425</f>
        <v>0</v>
      </c>
      <c r="DI425" s="309">
        <f t="shared" ref="DI425:DI432" si="4585">DG425-DH425</f>
        <v>23.07692307692308</v>
      </c>
      <c r="DJ425" s="42">
        <f>IF(DG425&lt;=0,2,0)+IF(DG425&gt;0,DG425+1,0)*2+IF(DG425&gt;12,DG425-12,0)*2+IF(DG425&gt;13,DG425-13,0)*2+IF(DG425&gt;14,DG425-14,0)*2+IF(DG425&gt;15,DG425-15,0)*2+IF(DG425&gt;16,DG425-16,0)*2+IF(DG425&gt;17,DG425-17,0)*2+IF(DG425&gt;18,DG425-18,0)*2+IF(DG425&gt;19,DG425-19,0)*2+IF(DG425&gt;20,DG425-20,0)*2</f>
        <v>175.5384615384616</v>
      </c>
      <c r="DK425" s="78">
        <f>IF(DH425&lt;=0,2,0)+IF(DH425&gt;0,DH425+1,0)*2+IF(DH425&gt;12,DH425-12,0)*2+IF(DH425&gt;13,DH425-13,0)*2+IF(DH425&gt;14,DH425-14,0)*2+IF(DH425&gt;15,DH425-15,0)*2+IF(DH425&gt;16,DH425-16,0)*2+IF(DH425&gt;17,DH425-17,0)*2+IF(DH425&gt;18,DH425-18,0)*2+IF(DH425&gt;19,DH425-19,0)*2+IF(DH425&gt;20,DH425-20,0)*2</f>
        <v>2</v>
      </c>
      <c r="DL425" s="241">
        <f t="shared" ref="DL425:DL432" si="4586">IF((DJ425-DK425)&gt;0,DJ425-DK425,0)</f>
        <v>173.5384615384616</v>
      </c>
      <c r="DM425" s="42">
        <f t="shared" ref="DM425:DM432" si="4587">IF((DK425-DJ425)&gt;0,DK425-DJ425,0)</f>
        <v>0</v>
      </c>
      <c r="DO425" s="323" t="s">
        <v>237</v>
      </c>
      <c r="DP425" s="42" t="s">
        <v>84</v>
      </c>
      <c r="DQ425" s="220" t="s">
        <v>132</v>
      </c>
      <c r="DR425" s="236">
        <f>Konvention_1slave-MUslave</f>
        <v>12</v>
      </c>
      <c r="DS425" s="233">
        <f>Konvention_1slave-KLslave</f>
        <v>12</v>
      </c>
      <c r="DT425" s="233"/>
      <c r="DU425" s="233">
        <f>Konvention_1slave-CHslave_CH</f>
        <v>11</v>
      </c>
      <c r="DV425" s="233"/>
      <c r="DW425" s="233"/>
      <c r="DX425" s="233"/>
      <c r="DY425" s="221"/>
      <c r="DZ425" s="220">
        <f>(DR425+DS425+DT425+DU425+DV425+DW425+DX425+DY425)/3</f>
        <v>11.666666666666666</v>
      </c>
      <c r="EA425" s="220">
        <f t="shared" ref="EA425:EA432" si="4588">2*DZ425</f>
        <v>23.333333333333332</v>
      </c>
      <c r="EB425" s="233">
        <f t="shared" ref="EB425:EB432" si="4589">3*DZ425</f>
        <v>35</v>
      </c>
      <c r="EC425" s="236">
        <f>DR425*POWER(KLslave,SIGN(DS425))*POWER(INslave,SIGN(DT425))*POWER(CHslave_CH,SIGN(DU425))*POWER(FFslave,SIGN(DV425))*POWER(GEslave,SIGN(DW425))*POWER(KOslave,SIGN(DX425))*POWER(KKslave,SIGN(DY425))+DS425*POWER(MUslave,SIGN(DR425))*POWER(INslave,SIGN(DT425))*POWER(CHslave_CH,SIGN(DU425))*POWER(FFslave,SIGN(DV425))*POWER(GEslave,SIGN(DW425))*POWER(KOslave,SIGN(DX425))*POWER(KKslave,SIGN(DY425))+DT425*POWER(MUslave,SIGN(DR425))*POWER(KLslave,SIGN(DS425))*POWER(CHslave_CH,SIGN(DU425))*POWER(FFslave,SIGN(DV425))*POWER(GEslave,SIGN(DW425))*POWER(KOslave,SIGN(DX425))*POWER(KKslave,SIGN(DY425))+DU425*POWER(MUslave,SIGN(DR425))*POWER(KLslave,SIGN(DS425))*POWER(INslave,SIGN(DT425))*POWER(FFslave,SIGN(DV425))*POWER(GEslave,SIGN(DW425))*POWER(KOslave,SIGN(DX425))*POWER(KKslave,SIGN(DY425))+DV425*POWER(MUslave,SIGN(DR425))*POWER(KLslave,SIGN(DS425))*POWER(INslave,SIGN(DT425))*POWER(CHslave_CH,SIGN(DU425))*POWER(GEslave,SIGN(DW425))*POWER(KOslave,SIGN(DX425))*POWER(KKslave,SIGN(DY425))+DW425*POWER(MUslave,SIGN(DR425))*POWER(KLslave,SIGN(DS425))*POWER(INslave,SIGN(DT425))*POWER(CHslave_CH,SIGN(DU425))*POWER(FFslave,SIGN(DV425))*POWER(KOslave,SIGN(DX425))*POWER(KKslave,SIGN(DY425))+DX425*POWER(MUslave,SIGN(DR425))*POWER(KLslave,SIGN(DS425))*POWER(INslave,SIGN(DT425))*POWER(CHslave_CH,SIGN(DU425))*POWER(FFslave,SIGN(DV425))*POWER(GEslave,SIGN(DW425))*POWER(KKslave,SIGN(DY425))+DY425*POWER(MUslave,SIGN(DR425))*POWER(KLslave,SIGN(DS425))*POWER(INslave,SIGN(DT425))*POWER(CHslave_CH,SIGN(DU425))*POWER(FFslave,SIGN(DV425))*POWER(GEslave,SIGN(DW425))*POWER(KOslave,SIGN(DX425))</f>
        <v>2432</v>
      </c>
      <c r="ED425" s="233">
        <f>DR425*DS425*CHslave_CH+DR425*KLslave*DU425+MUslave*DS425*DU425</f>
        <v>3408</v>
      </c>
      <c r="EE425" s="221">
        <f>IFERROR(DR425^SIGN(DR425),1)*IFERROR(DS425^SIGN(DS425),1)*IFERROR(DT425^SIGN(DT425),1)*IFERROR(DU425^SIGN(DU425),1)*IFERROR(DV425^SIGN(DV425),1)*IFERROR(DW425^SIGN(DW425),1)*IFERROR(DX425^SIGN(DX425),1)*IFERROR(DY425^SIGN(DY425),1)</f>
        <v>1584</v>
      </c>
      <c r="EF425" s="78">
        <f t="shared" ref="EF425:EF432" si="4590">SUM(EC425:EE425)</f>
        <v>7424</v>
      </c>
      <c r="EG425" s="219">
        <f t="shared" ref="EG425:EG432" si="4591">DZ425*EC425/EF425</f>
        <v>3.8218390804597702</v>
      </c>
      <c r="EH425" s="220">
        <f t="shared" ref="EH425:EH432" si="4592">EA425*ED425/EF425</f>
        <v>10.711206896551724</v>
      </c>
      <c r="EI425" s="241">
        <f t="shared" ref="EI425:EI432" si="4593">EB425*EE425/EF425</f>
        <v>7.4676724137931032</v>
      </c>
      <c r="EJ425" s="241">
        <f t="shared" ref="EJ425:EJ432" si="4594">SUM(EG425:EI425)</f>
        <v>22.000718390804597</v>
      </c>
      <c r="EK425" s="252">
        <f t="shared" ref="EK425:EK432" si="4595">DH425</f>
        <v>0</v>
      </c>
      <c r="EL425" s="309">
        <f t="shared" ref="EL425:EL432" si="4596">EJ425-EK425</f>
        <v>22.000718390804597</v>
      </c>
      <c r="EM425" s="42">
        <f>IF(EJ425&lt;=0,2,0)+IF(EJ425&gt;0,EJ425+1,0)*2+IF(EJ425&gt;12,EJ425-12,0)*2+IF(EJ425&gt;13,EJ425-13,0)*2+IF(EJ425&gt;14,EJ425-14,0)*2+IF(EJ425&gt;15,EJ425-15,0)*2+IF(EJ425&gt;16,EJ425-16,0)*2+IF(EJ425&gt;17,EJ425-17,0)*2+IF(EJ425&gt;18,EJ425-18,0)*2+IF(EJ425&gt;19,EJ425-19,0)*2+IF(EJ425&gt;20,EJ425-20,0)*2</f>
        <v>154.01436781609189</v>
      </c>
      <c r="EN425" s="78">
        <f>IF(EK425&lt;=0,2,0)+IF(EK425&gt;0,EK425+1,0)*2+IF(EK425&gt;12,EK425-12,0)*2+IF(EK425&gt;13,EK425-13,0)*2+IF(EK425&gt;14,EK425-14,0)*2+IF(EK425&gt;15,EK425-15,0)*2+IF(EK425&gt;16,EK425-16,0)*2+IF(EK425&gt;17,EK425-17,0)*2+IF(EK425&gt;18,EK425-18,0)*2+IF(EK425&gt;19,EK425-19,0)*2+IF(EK425&gt;20,EK425-20,0)*2</f>
        <v>2</v>
      </c>
      <c r="EO425" s="241">
        <f t="shared" ref="EO425:EO432" si="4597">IF((EM425-EN425)&gt;0,EM425-EN425,0)</f>
        <v>152.01436781609189</v>
      </c>
      <c r="EP425" s="42">
        <f t="shared" ref="EP425:EP432" si="4598">IF((EN425-EM425)&gt;0,EN425-EM425,0)</f>
        <v>0</v>
      </c>
      <c r="ER425" s="323" t="s">
        <v>237</v>
      </c>
      <c r="ES425" s="42" t="s">
        <v>84</v>
      </c>
      <c r="ET425" s="220" t="s">
        <v>132</v>
      </c>
      <c r="EU425" s="236">
        <f>Konvention_1slave-MUslave</f>
        <v>12</v>
      </c>
      <c r="EV425" s="233">
        <f>Konvention_1slave-KLslave</f>
        <v>12</v>
      </c>
      <c r="EW425" s="233"/>
      <c r="EX425" s="233">
        <f>Konvention_1slave-CHslave</f>
        <v>12</v>
      </c>
      <c r="EY425" s="233"/>
      <c r="EZ425" s="233"/>
      <c r="FA425" s="233"/>
      <c r="FB425" s="221"/>
      <c r="FC425" s="220">
        <f>(EU425+EV425+EW425+EX425+EY425+EZ425+FA425+FB425)/3</f>
        <v>12</v>
      </c>
      <c r="FD425" s="220">
        <f t="shared" ref="FD425:FD432" si="4599">2*FC425</f>
        <v>24</v>
      </c>
      <c r="FE425" s="233">
        <f t="shared" ref="FE425:FE432" si="4600">3*FC425</f>
        <v>36</v>
      </c>
      <c r="FF425" s="236">
        <f>EU425*POWER(KLslave,SIGN(EV425))*POWER(INslave,SIGN(EW425))*POWER(CHslave,SIGN(EX425))*POWER(FFslave_FF,SIGN(EY425))*POWER(GEslave,SIGN(EZ425))*POWER(KOslave,SIGN(FA425))*POWER(KKslave,SIGN(FB425))+EV425*POWER(MUslave,SIGN(EU425))*POWER(INslave,SIGN(EW425))*POWER(CHslave,SIGN(EX425))*POWER(FFslave_FF,SIGN(EY425))*POWER(GEslave,SIGN(EZ425))*POWER(KOslave,SIGN(FA425))*POWER(KKslave,SIGN(FB425))+EW425*POWER(MUslave,SIGN(EU425))*POWER(KLslave,SIGN(EV425))*POWER(CHslave,SIGN(EX425))*POWER(FFslave_FF,SIGN(EY425))*POWER(GEslave,SIGN(EZ425))*POWER(KOslave,SIGN(FA425))*POWER(KKslave,SIGN(FB425))+EX425*POWER(MUslave,SIGN(EU425))*POWER(KLslave,SIGN(EV425))*POWER(INslave,SIGN(EW425))*POWER(FFslave_FF,SIGN(EY425))*POWER(GEslave,SIGN(EZ425))*POWER(KOslave,SIGN(FA425))*POWER(KKslave,SIGN(FB425))+EY425*POWER(MUslave,SIGN(EU425))*POWER(KLslave,SIGN(EV425))*POWER(INslave,SIGN(EW425))*POWER(CHslave,SIGN(EX425))*POWER(GEslave,SIGN(EZ425))*POWER(KOslave,SIGN(FA425))*POWER(KKslave,SIGN(FB425))+EZ425*POWER(MUslave,SIGN(EU425))*POWER(KLslave,SIGN(EV425))*POWER(INslave,SIGN(EW425))*POWER(CHslave,SIGN(EX425))*POWER(FFslave_FF,SIGN(EY425))*POWER(KOslave,SIGN(FA425))*POWER(KKslave,SIGN(FB425))+FA425*POWER(MUslave,SIGN(EU425))*POWER(KLslave,SIGN(EV425))*POWER(INslave,SIGN(EW425))*POWER(CHslave,SIGN(EX425))*POWER(FFslave_FF,SIGN(EY425))*POWER(GEslave,SIGN(EZ425))*POWER(KKslave,SIGN(FB425))+FB425*POWER(MUslave,SIGN(EU425))*POWER(KLslave,SIGN(EV425))*POWER(INslave,SIGN(EW425))*POWER(CHslave,SIGN(EX425))*POWER(FFslave_FF,SIGN(EY425))*POWER(GEslave,SIGN(EZ425))*POWER(KOslave,SIGN(FA425))</f>
        <v>2304</v>
      </c>
      <c r="FG425" s="233">
        <f>EU425*EV425*CHslave+EU425*KLslave*EX425+MUslave*EV425*EX425</f>
        <v>3456</v>
      </c>
      <c r="FH425" s="221">
        <f>IFERROR(EU425^SIGN(EU425),1)*IFERROR(EV425^SIGN(EV425),1)*IFERROR(EW425^SIGN(EW425),1)*IFERROR(EX425^SIGN(EX425),1)*IFERROR(EY425^SIGN(EY425),1)*IFERROR(EZ425^SIGN(EZ425),1)*IFERROR(FA425^SIGN(FA425),1)*IFERROR(FB425^SIGN(FB425),1)</f>
        <v>1728</v>
      </c>
      <c r="FI425" s="78">
        <f t="shared" ref="FI425:FI432" si="4601">SUM(FF425:FH425)</f>
        <v>7488</v>
      </c>
      <c r="FJ425" s="219">
        <f t="shared" ref="FJ425:FJ432" si="4602">FC425*FF425/FI425</f>
        <v>3.6923076923076925</v>
      </c>
      <c r="FK425" s="220">
        <f t="shared" ref="FK425:FK432" si="4603">FD425*FG425/FI425</f>
        <v>11.076923076923077</v>
      </c>
      <c r="FL425" s="241">
        <f t="shared" ref="FL425:FL432" si="4604">FE425*FH425/FI425</f>
        <v>8.3076923076923084</v>
      </c>
      <c r="FM425" s="241">
        <f t="shared" ref="FM425:FM432" si="4605">SUM(FJ425:FL425)</f>
        <v>23.07692307692308</v>
      </c>
      <c r="FN425" s="252">
        <f t="shared" ref="FN425:FN432" si="4606">EK425</f>
        <v>0</v>
      </c>
      <c r="FO425" s="309">
        <f t="shared" ref="FO425:FO432" si="4607">FM425-FN425</f>
        <v>23.07692307692308</v>
      </c>
      <c r="FP425" s="42">
        <f>IF(FM425&lt;=0,2,0)+IF(FM425&gt;0,FM425+1,0)*2+IF(FM425&gt;12,FM425-12,0)*2+IF(FM425&gt;13,FM425-13,0)*2+IF(FM425&gt;14,FM425-14,0)*2+IF(FM425&gt;15,FM425-15,0)*2+IF(FM425&gt;16,FM425-16,0)*2+IF(FM425&gt;17,FM425-17,0)*2+IF(FM425&gt;18,FM425-18,0)*2+IF(FM425&gt;19,FM425-19,0)*2+IF(FM425&gt;20,FM425-20,0)*2</f>
        <v>175.5384615384616</v>
      </c>
      <c r="FQ425" s="78">
        <f>IF(FN425&lt;=0,2,0)+IF(FN425&gt;0,FN425+1,0)*2+IF(FN425&gt;12,FN425-12,0)*2+IF(FN425&gt;13,FN425-13,0)*2+IF(FN425&gt;14,FN425-14,0)*2+IF(FN425&gt;15,FN425-15,0)*2+IF(FN425&gt;16,FN425-16,0)*2+IF(FN425&gt;17,FN425-17,0)*2+IF(FN425&gt;18,FN425-18,0)*2+IF(FN425&gt;19,FN425-19,0)*2+IF(FN425&gt;20,FN425-20,0)*2</f>
        <v>2</v>
      </c>
      <c r="FR425" s="241">
        <f t="shared" ref="FR425:FR432" si="4608">IF((FP425-FQ425)&gt;0,FP425-FQ425,0)</f>
        <v>173.5384615384616</v>
      </c>
      <c r="FS425" s="42">
        <f t="shared" ref="FS425:FS432" si="4609">IF((FQ425-FP425)&gt;0,FQ425-FP425,0)</f>
        <v>0</v>
      </c>
      <c r="FU425" s="323" t="s">
        <v>237</v>
      </c>
      <c r="FV425" s="42" t="s">
        <v>84</v>
      </c>
      <c r="FW425" s="220" t="s">
        <v>132</v>
      </c>
      <c r="FX425" s="236">
        <f>Konvention_1slave-MUslave</f>
        <v>12</v>
      </c>
      <c r="FY425" s="233">
        <f>Konvention_1slave-KLslave</f>
        <v>12</v>
      </c>
      <c r="FZ425" s="233"/>
      <c r="GA425" s="233">
        <f>Konvention_1slave-CHslave</f>
        <v>12</v>
      </c>
      <c r="GB425" s="233"/>
      <c r="GC425" s="233"/>
      <c r="GD425" s="233"/>
      <c r="GE425" s="221"/>
      <c r="GF425" s="220">
        <f>(FX425+FY425+FZ425+GA425+GB425+GC425+GD425+GE425)/3</f>
        <v>12</v>
      </c>
      <c r="GG425" s="220">
        <f t="shared" ref="GG425:GG432" si="4610">2*GF425</f>
        <v>24</v>
      </c>
      <c r="GH425" s="233">
        <f t="shared" ref="GH425:GH432" si="4611">3*GF425</f>
        <v>36</v>
      </c>
      <c r="GI425" s="236">
        <f>FX425*POWER(KLslave,SIGN(FY425))*POWER(INslave,SIGN(FZ425))*POWER(CHslave,SIGN(GA425))*POWER(FFslave,SIGN(GB425))*POWER(GEslave_GE,SIGN(GC425))*POWER(KOslave,SIGN(GD425))*POWER(KKslave,SIGN(GE425))+FY425*POWER(MUslave,SIGN(FX425))*POWER(INslave,SIGN(FZ425))*POWER(CHslave,SIGN(GA425))*POWER(FFslave,SIGN(GB425))*POWER(GEslave_GE,SIGN(GC425))*POWER(KOslave,SIGN(GD425))*POWER(KKslave,SIGN(GE425))+FZ425*POWER(MUslave,SIGN(FX425))*POWER(KLslave,SIGN(FY425))*POWER(CHslave,SIGN(GA425))*POWER(FFslave,SIGN(GB425))*POWER(GEslave_GE,SIGN(GC425))*POWER(KOslave,SIGN(GD425))*POWER(KKslave,SIGN(GE425))+GA425*POWER(MUslave,SIGN(FX425))*POWER(KLslave,SIGN(FY425))*POWER(INslave,SIGN(FZ425))*POWER(FFslave,SIGN(GB425))*POWER(GEslave_GE,SIGN(GC425))*POWER(KOslave,SIGN(GD425))*POWER(KKslave,SIGN(GE425))+GB425*POWER(MUslave,SIGN(FX425))*POWER(KLslave,SIGN(FY425))*POWER(INslave,SIGN(FZ425))*POWER(CHslave,SIGN(GA425))*POWER(GEslave_GE,SIGN(GC425))*POWER(KOslave,SIGN(GD425))*POWER(KKslave,SIGN(GE425))+GC425*POWER(MUslave,SIGN(FX425))*POWER(KLslave,SIGN(FY425))*POWER(INslave,SIGN(FZ425))*POWER(CHslave,SIGN(GA425))*POWER(FFslave,SIGN(GB425))*POWER(KOslave,SIGN(GD425))*POWER(KKslave,SIGN(GE425))+GD425*POWER(MUslave,SIGN(FX425))*POWER(KLslave,SIGN(FY425))*POWER(INslave,SIGN(FZ425))*POWER(CHslave,SIGN(GA425))*POWER(FFslave,SIGN(GB425))*POWER(GEslave_GE,SIGN(GC425))*POWER(KKslave,SIGN(GE425))+GE425*POWER(MUslave,SIGN(FX425))*POWER(KLslave,SIGN(FY425))*POWER(INslave,SIGN(FZ425))*POWER(CHslave,SIGN(GA425))*POWER(FFslave,SIGN(GB425))*POWER(GEslave_GE,SIGN(GC425))*POWER(KOslave,SIGN(GD425))</f>
        <v>2304</v>
      </c>
      <c r="GJ425" s="233">
        <f>FX425*FY425*CHslave+FX425*KLslave*GA425+MUslave*FY425*GA425</f>
        <v>3456</v>
      </c>
      <c r="GK425" s="221">
        <f>IFERROR(FX425^SIGN(FX425),1)*IFERROR(FY425^SIGN(FY425),1)*IFERROR(FZ425^SIGN(FZ425),1)*IFERROR(GA425^SIGN(GA425),1)*IFERROR(GB425^SIGN(GB425),1)*IFERROR(GC425^SIGN(GC425),1)*IFERROR(GD425^SIGN(GD425),1)*IFERROR(GE425^SIGN(GE425),1)</f>
        <v>1728</v>
      </c>
      <c r="GL425" s="78">
        <f t="shared" ref="GL425:GL432" si="4612">SUM(GI425:GK425)</f>
        <v>7488</v>
      </c>
      <c r="GM425" s="219">
        <f t="shared" ref="GM425:GM432" si="4613">GF425*GI425/GL425</f>
        <v>3.6923076923076925</v>
      </c>
      <c r="GN425" s="220">
        <f t="shared" ref="GN425:GN432" si="4614">GG425*GJ425/GL425</f>
        <v>11.076923076923077</v>
      </c>
      <c r="GO425" s="241">
        <f t="shared" ref="GO425:GO432" si="4615">GH425*GK425/GL425</f>
        <v>8.3076923076923084</v>
      </c>
      <c r="GP425" s="241">
        <f t="shared" ref="GP425:GP432" si="4616">SUM(GM425:GO425)</f>
        <v>23.07692307692308</v>
      </c>
      <c r="GQ425" s="252">
        <f t="shared" ref="GQ425:GQ432" si="4617">FN425</f>
        <v>0</v>
      </c>
      <c r="GR425" s="309">
        <f t="shared" ref="GR425:GR432" si="4618">GP425-GQ425</f>
        <v>23.07692307692308</v>
      </c>
      <c r="GS425" s="42">
        <f>IF(GP425&lt;=0,2,0)+IF(GP425&gt;0,GP425+1,0)*2+IF(GP425&gt;12,GP425-12,0)*2+IF(GP425&gt;13,GP425-13,0)*2+IF(GP425&gt;14,GP425-14,0)*2+IF(GP425&gt;15,GP425-15,0)*2+IF(GP425&gt;16,GP425-16,0)*2+IF(GP425&gt;17,GP425-17,0)*2+IF(GP425&gt;18,GP425-18,0)*2+IF(GP425&gt;19,GP425-19,0)*2+IF(GP425&gt;20,GP425-20,0)*2</f>
        <v>175.5384615384616</v>
      </c>
      <c r="GT425" s="78">
        <f>IF(GQ425&lt;=0,2,0)+IF(GQ425&gt;0,GQ425+1,0)*2+IF(GQ425&gt;12,GQ425-12,0)*2+IF(GQ425&gt;13,GQ425-13,0)*2+IF(GQ425&gt;14,GQ425-14,0)*2+IF(GQ425&gt;15,GQ425-15,0)*2+IF(GQ425&gt;16,GQ425-16,0)*2+IF(GQ425&gt;17,GQ425-17,0)*2+IF(GQ425&gt;18,GQ425-18,0)*2+IF(GQ425&gt;19,GQ425-19,0)*2+IF(GQ425&gt;20,GQ425-20,0)*2</f>
        <v>2</v>
      </c>
      <c r="GU425" s="241">
        <f t="shared" ref="GU425:GU432" si="4619">IF((GS425-GT425)&gt;0,GS425-GT425,0)</f>
        <v>173.5384615384616</v>
      </c>
      <c r="GV425" s="42">
        <f t="shared" ref="GV425:GV432" si="4620">IF((GT425-GS425)&gt;0,GT425-GS425,0)</f>
        <v>0</v>
      </c>
      <c r="GX425" s="323" t="s">
        <v>237</v>
      </c>
      <c r="GY425" s="42" t="s">
        <v>84</v>
      </c>
      <c r="GZ425" s="220" t="s">
        <v>132</v>
      </c>
      <c r="HA425" s="236">
        <f>Konvention_1slave-MUslave</f>
        <v>12</v>
      </c>
      <c r="HB425" s="233">
        <f>Konvention_1slave-KLslave</f>
        <v>12</v>
      </c>
      <c r="HC425" s="233"/>
      <c r="HD425" s="233">
        <f>Konvention_1slave-CHslave</f>
        <v>12</v>
      </c>
      <c r="HE425" s="233"/>
      <c r="HF425" s="233"/>
      <c r="HG425" s="233"/>
      <c r="HH425" s="221"/>
      <c r="HI425" s="220">
        <f>(HA425+HB425+HC425+HD425+HE425+HF425+HG425+HH425)/3</f>
        <v>12</v>
      </c>
      <c r="HJ425" s="220">
        <f t="shared" ref="HJ425:HJ432" si="4621">2*HI425</f>
        <v>24</v>
      </c>
      <c r="HK425" s="233">
        <f t="shared" ref="HK425:HK432" si="4622">3*HI425</f>
        <v>36</v>
      </c>
      <c r="HL425" s="236">
        <f>HA425*POWER(KLslave,SIGN(HB425))*POWER(INslave,SIGN(HC425))*POWER(CHslave,SIGN(HD425))*POWER(FFslave,SIGN(HE425))*POWER(GEslave,SIGN(HF425))*POWER(KOslave_KO,SIGN(HG425))*POWER(KKslave,SIGN(HH425))+HB425*POWER(MUslave,SIGN(HA425))*POWER(INslave,SIGN(HC425))*POWER(CHslave,SIGN(HD425))*POWER(FFslave,SIGN(HE425))*POWER(GEslave,SIGN(HF425))*POWER(KOslave_KO,SIGN(HG425))*POWER(KKslave,SIGN(HH425))+HC425*POWER(MUslave,SIGN(HA425))*POWER(KLslave,SIGN(HB425))*POWER(CHslave,SIGN(HD425))*POWER(FFslave,SIGN(HE425))*POWER(GEslave,SIGN(HF425))*POWER(KOslave_KO,SIGN(HG425))*POWER(KKslave,SIGN(HH425))+HD425*POWER(MUslave,SIGN(HA425))*POWER(KLslave,SIGN(HB425))*POWER(INslave,SIGN(HC425))*POWER(FFslave,SIGN(HE425))*POWER(GEslave,SIGN(HF425))*POWER(KOslave_KO,SIGN(HG425))*POWER(KKslave,SIGN(HH425))+HE425*POWER(MUslave,SIGN(HA425))*POWER(KLslave,SIGN(HB425))*POWER(INslave,SIGN(HC425))*POWER(CHslave,SIGN(HD425))*POWER(GEslave,SIGN(HF425))*POWER(KOslave_KO,SIGN(HG425))*POWER(KKslave,SIGN(HH425))+HF425*POWER(MUslave,SIGN(HA425))*POWER(KLslave,SIGN(HB425))*POWER(INslave,SIGN(HC425))*POWER(CHslave,SIGN(HD425))*POWER(FFslave,SIGN(HE425))*POWER(KOslave_KO,SIGN(HG425))*POWER(KKslave,SIGN(HH425))+HG425*POWER(MUslave,SIGN(HA425))*POWER(KLslave,SIGN(HB425))*POWER(INslave,SIGN(HC425))*POWER(CHslave,SIGN(HD425))*POWER(FFslave,SIGN(HE425))*POWER(GEslave,SIGN(HF425))*POWER(KKslave,SIGN(HH425))+HH425*POWER(MUslave,SIGN(HA425))*POWER(KLslave,SIGN(HB425))*POWER(INslave,SIGN(HC425))*POWER(CHslave,SIGN(HD425))*POWER(FFslave,SIGN(HE425))*POWER(GEslave,SIGN(HF425))*POWER(KOslave_KO,SIGN(HG425))</f>
        <v>2304</v>
      </c>
      <c r="HM425" s="233">
        <f>HA425*HB425*CHslave+HA425*KLslave*HD425+MUslave*HB425*HD425</f>
        <v>3456</v>
      </c>
      <c r="HN425" s="221">
        <f>IFERROR(HA425^SIGN(HA425),1)*IFERROR(HB425^SIGN(HB425),1)*IFERROR(HC425^SIGN(HC425),1)*IFERROR(HD425^SIGN(HD425),1)*IFERROR(HE425^SIGN(HE425),1)*IFERROR(HF425^SIGN(HF425),1)*IFERROR(HG425^SIGN(HG425),1)*IFERROR(HH425^SIGN(HH425),1)</f>
        <v>1728</v>
      </c>
      <c r="HO425" s="78">
        <f t="shared" ref="HO425:HO432" si="4623">SUM(HL425:HN425)</f>
        <v>7488</v>
      </c>
      <c r="HP425" s="219">
        <f t="shared" ref="HP425:HP432" si="4624">HI425*HL425/HO425</f>
        <v>3.6923076923076925</v>
      </c>
      <c r="HQ425" s="220">
        <f t="shared" ref="HQ425:HQ432" si="4625">HJ425*HM425/HO425</f>
        <v>11.076923076923077</v>
      </c>
      <c r="HR425" s="241">
        <f t="shared" ref="HR425:HR432" si="4626">HK425*HN425/HO425</f>
        <v>8.3076923076923084</v>
      </c>
      <c r="HS425" s="241">
        <f t="shared" ref="HS425:HS432" si="4627">SUM(HP425:HR425)</f>
        <v>23.07692307692308</v>
      </c>
      <c r="HT425" s="252">
        <f t="shared" ref="HT425:HT432" si="4628">GQ425</f>
        <v>0</v>
      </c>
      <c r="HU425" s="309">
        <f t="shared" ref="HU425:HU432" si="4629">HS425-HT425</f>
        <v>23.07692307692308</v>
      </c>
      <c r="HV425" s="42">
        <f>IF(HS425&lt;=0,2,0)+IF(HS425&gt;0,HS425+1,0)*2+IF(HS425&gt;12,HS425-12,0)*2+IF(HS425&gt;13,HS425-13,0)*2+IF(HS425&gt;14,HS425-14,0)*2+IF(HS425&gt;15,HS425-15,0)*2+IF(HS425&gt;16,HS425-16,0)*2+IF(HS425&gt;17,HS425-17,0)*2+IF(HS425&gt;18,HS425-18,0)*2+IF(HS425&gt;19,HS425-19,0)*2+IF(HS425&gt;20,HS425-20,0)*2</f>
        <v>175.5384615384616</v>
      </c>
      <c r="HW425" s="78">
        <f>IF(HT425&lt;=0,2,0)+IF(HT425&gt;0,HT425+1,0)*2+IF(HT425&gt;12,HT425-12,0)*2+IF(HT425&gt;13,HT425-13,0)*2+IF(HT425&gt;14,HT425-14,0)*2+IF(HT425&gt;15,HT425-15,0)*2+IF(HT425&gt;16,HT425-16,0)*2+IF(HT425&gt;17,HT425-17,0)*2+IF(HT425&gt;18,HT425-18,0)*2+IF(HT425&gt;19,HT425-19,0)*2+IF(HT425&gt;20,HT425-20,0)*2</f>
        <v>2</v>
      </c>
      <c r="HX425" s="241">
        <f t="shared" ref="HX425:HX432" si="4630">IF((HV425-HW425)&gt;0,HV425-HW425,0)</f>
        <v>173.5384615384616</v>
      </c>
      <c r="HY425" s="42">
        <f t="shared" ref="HY425:HY432" si="4631">IF((HW425-HV425)&gt;0,HW425-HV425,0)</f>
        <v>0</v>
      </c>
      <c r="IA425" s="323" t="s">
        <v>237</v>
      </c>
      <c r="IB425" s="42" t="s">
        <v>84</v>
      </c>
      <c r="IC425" s="220" t="s">
        <v>132</v>
      </c>
      <c r="ID425" s="236">
        <f>Konvention_1slave-MUslave</f>
        <v>12</v>
      </c>
      <c r="IE425" s="233">
        <f>Konvention_1slave-KLslave</f>
        <v>12</v>
      </c>
      <c r="IF425" s="233"/>
      <c r="IG425" s="233">
        <f>Konvention_1slave-CHslave</f>
        <v>12</v>
      </c>
      <c r="IH425" s="233"/>
      <c r="II425" s="233"/>
      <c r="IJ425" s="233"/>
      <c r="IK425" s="221"/>
      <c r="IL425" s="220">
        <f>(ID425+IE425+IF425+IG425+IH425+II425+IJ425+IK425)/3</f>
        <v>12</v>
      </c>
      <c r="IM425" s="220">
        <f t="shared" ref="IM425:IM432" si="4632">2*IL425</f>
        <v>24</v>
      </c>
      <c r="IN425" s="233">
        <f t="shared" ref="IN425:IN432" si="4633">3*IL425</f>
        <v>36</v>
      </c>
      <c r="IO425" s="236">
        <f>ID425*POWER(KLslave,SIGN(IE425))*POWER(INslave,SIGN(IF425))*POWER(CHslave,SIGN(IG425))*POWER(FFslave,SIGN(IH425))*POWER(GEslave,SIGN(II425))*POWER(KOslave,SIGN(IJ425))*POWER(KKslave_KK,SIGN(IK425))+IE425*POWER(MUslave,SIGN(ID425))*POWER(INslave,SIGN(IF425))*POWER(CHslave,SIGN(IG425))*POWER(FFslave,SIGN(IH425))*POWER(GEslave,SIGN(II425))*POWER(KOslave,SIGN(IJ425))*POWER(KKslave_KK,SIGN(IK425))+IF425*POWER(MUslave,SIGN(ID425))*POWER(KLslave,SIGN(IE425))*POWER(CHslave,SIGN(IG425))*POWER(FFslave,SIGN(IH425))*POWER(GEslave,SIGN(II425))*POWER(KOslave,SIGN(IJ425))*POWER(KKslave_KK,SIGN(IK425))+IG425*POWER(MUslave,SIGN(ID425))*POWER(KLslave,SIGN(IE425))*POWER(INslave,SIGN(IF425))*POWER(FFslave,SIGN(IH425))*POWER(GEslave,SIGN(II425))*POWER(KOslave,SIGN(IJ425))*POWER(KKslave_KK,SIGN(IK425))+IH425*POWER(MUslave,SIGN(ID425))*POWER(KLslave,SIGN(IE425))*POWER(INslave,SIGN(IF425))*POWER(CHslave,SIGN(IG425))*POWER(GEslave,SIGN(II425))*POWER(KOslave,SIGN(IJ425))*POWER(KKslave_KK,SIGN(IK425))+II425*POWER(MUslave,SIGN(ID425))*POWER(KLslave,SIGN(IE425))*POWER(INslave,SIGN(IF425))*POWER(CHslave,SIGN(IG425))*POWER(FFslave,SIGN(IH425))*POWER(KOslave,SIGN(IJ425))*POWER(KKslave_KK,SIGN(IK425))+IJ425*POWER(MUslave,SIGN(ID425))*POWER(KLslave,SIGN(IE425))*POWER(INslave,SIGN(IF425))*POWER(CHslave,SIGN(IG425))*POWER(FFslave,SIGN(IH425))*POWER(GEslave,SIGN(II425))*POWER(KKslave_KK,SIGN(IK425))+IK425*POWER(MUslave,SIGN(ID425))*POWER(KLslave,SIGN(IE425))*POWER(INslave,SIGN(IF425))*POWER(CHslave,SIGN(IG425))*POWER(FFslave,SIGN(IH425))*POWER(GEslave,SIGN(II425))*POWER(KOslave,SIGN(IJ425))</f>
        <v>2304</v>
      </c>
      <c r="IP425" s="233">
        <f>ID425*IE425*CHslave+ID425*KLslave*IG425+MUslave*IE425*IG425</f>
        <v>3456</v>
      </c>
      <c r="IQ425" s="221">
        <f>IFERROR(ID425^SIGN(ID425),1)*IFERROR(IE425^SIGN(IE425),1)*IFERROR(IF425^SIGN(IF425),1)*IFERROR(IG425^SIGN(IG425),1)*IFERROR(IH425^SIGN(IH425),1)*IFERROR(II425^SIGN(II425),1)*IFERROR(IJ425^SIGN(IJ425),1)*IFERROR(IK425^SIGN(IK425),1)</f>
        <v>1728</v>
      </c>
      <c r="IR425" s="78">
        <f t="shared" ref="IR425:IR432" si="4634">SUM(IO425:IQ425)</f>
        <v>7488</v>
      </c>
      <c r="IS425" s="219">
        <f t="shared" ref="IS425:IS432" si="4635">IL425*IO425/IR425</f>
        <v>3.6923076923076925</v>
      </c>
      <c r="IT425" s="220">
        <f t="shared" ref="IT425:IT432" si="4636">IM425*IP425/IR425</f>
        <v>11.076923076923077</v>
      </c>
      <c r="IU425" s="241">
        <f t="shared" ref="IU425:IU432" si="4637">IN425*IQ425/IR425</f>
        <v>8.3076923076923084</v>
      </c>
      <c r="IV425" s="241">
        <f t="shared" ref="IV425:IV432" si="4638">SUM(IS425:IU425)</f>
        <v>23.07692307692308</v>
      </c>
      <c r="IW425" s="252">
        <f t="shared" ref="IW425:IW432" si="4639">HT425</f>
        <v>0</v>
      </c>
      <c r="IX425" s="309">
        <f t="shared" ref="IX425:IX432" si="4640">IV425-IW425</f>
        <v>23.07692307692308</v>
      </c>
      <c r="IY425" s="42">
        <f>IF(IV425&lt;=0,2,0)+IF(IV425&gt;0,IV425+1,0)*2+IF(IV425&gt;12,IV425-12,0)*2+IF(IV425&gt;13,IV425-13,0)*2+IF(IV425&gt;14,IV425-14,0)*2+IF(IV425&gt;15,IV425-15,0)*2+IF(IV425&gt;16,IV425-16,0)*2+IF(IV425&gt;17,IV425-17,0)*2+IF(IV425&gt;18,IV425-18,0)*2+IF(IV425&gt;19,IV425-19,0)*2+IF(IV425&gt;20,IV425-20,0)*2</f>
        <v>175.5384615384616</v>
      </c>
      <c r="IZ425" s="78">
        <f>IF(IW425&lt;=0,2,0)+IF(IW425&gt;0,IW425+1,0)*2+IF(IW425&gt;12,IW425-12,0)*2+IF(IW425&gt;13,IW425-13,0)*2+IF(IW425&gt;14,IW425-14,0)*2+IF(IW425&gt;15,IW425-15,0)*2+IF(IW425&gt;16,IW425-16,0)*2+IF(IW425&gt;17,IW425-17,0)*2+IF(IW425&gt;18,IW425-18,0)*2+IF(IW425&gt;19,IW425-19,0)*2+IF(IW425&gt;20,IW425-20,0)*2</f>
        <v>2</v>
      </c>
      <c r="JA425" s="241">
        <f t="shared" ref="JA425:JA432" si="4641">IF((IY425-IZ425)&gt;0,IY425-IZ425,0)</f>
        <v>173.5384615384616</v>
      </c>
      <c r="JB425" s="42">
        <f t="shared" ref="JB425:JB432" si="4642">IF((IZ425-IY425)&gt;0,IZ425-IY425,0)</f>
        <v>0</v>
      </c>
      <c r="JE425" s="148"/>
    </row>
    <row r="426" spans="2:265" ht="15" hidden="1" customHeight="1" outlineLevel="2">
      <c r="B426" s="148">
        <v>2</v>
      </c>
      <c r="C426" s="325" t="e">
        <f>VLOOKUP(AF426,Attribute!C:T,1,FALSE)</f>
        <v>#N/A</v>
      </c>
      <c r="D426" s="86" t="s">
        <v>8</v>
      </c>
      <c r="E426" s="47" t="s">
        <v>133</v>
      </c>
      <c r="F426" s="114">
        <f>Konvention_1master-MUmaster</f>
        <v>12</v>
      </c>
      <c r="G426" s="113"/>
      <c r="H426" s="113">
        <f t="shared" ref="H426:H432" si="4643">Konvention_1master-INmaster</f>
        <v>12</v>
      </c>
      <c r="I426" s="113"/>
      <c r="J426" s="113"/>
      <c r="K426" s="113">
        <f>Konvention_1master-GEmaster</f>
        <v>12</v>
      </c>
      <c r="L426" s="113"/>
      <c r="M426" s="119"/>
      <c r="N426" s="223">
        <f>(F426+G426+H426+I426+J426+K426+L426+M426)/3</f>
        <v>12</v>
      </c>
      <c r="O426" s="223">
        <f t="shared" si="4545"/>
        <v>24</v>
      </c>
      <c r="P426" s="234">
        <f t="shared" si="4546"/>
        <v>36</v>
      </c>
      <c r="Q426" s="237">
        <f>F426*POWER(KLmaster,SIGN(G426))*POWER(INmaster,SIGN(H426))*POWER(CHmaster,SIGN(I426))*POWER(FFmaster,SIGN(J426))*POWER(GEmaster,SIGN(K426))*POWER(KOmaster,SIGN(L426))*POWER(KKmaster,SIGN(M426))+G426*POWER(MUmaster,SIGN(F426))*POWER(INmaster,SIGN(H426))*POWER(CHmaster,SIGN(I426))*POWER(FFmaster,SIGN(J426))*POWER(GEmaster,SIGN(K426))*POWER(KOmaster,SIGN(L426))*POWER(KKmaster,SIGN(M426))+H426*POWER(MUmaster,SIGN(F426))*POWER(KLmaster,SIGN(G426))*POWER(CHmaster,SIGN(I426))*POWER(FFmaster,SIGN(J426))*POWER(GEmaster,SIGN(K426))*POWER(KOmaster,SIGN(L426))*POWER(KKmaster,SIGN(M426))+I426*POWER(MUmaster,SIGN(F426))*POWER(KLmaster,SIGN(G426))*POWER(INmaster,SIGN(H426))*POWER(FFmaster,SIGN(J426))*POWER(GEmaster,SIGN(K426))*POWER(KOmaster,SIGN(L426))*POWER(KKmaster,SIGN(M426))+J426*POWER(MUmaster,SIGN(F426))*POWER(KLmaster,SIGN(G426))*POWER(INmaster,SIGN(H426))*POWER(CHmaster,SIGN(I426))*POWER(GEmaster,SIGN(K426))*POWER(KOmaster,SIGN(L426))*POWER(KKmaster,SIGN(M426))+K426*POWER(MUmaster,SIGN(F426))*POWER(KLmaster,SIGN(G426))*POWER(INmaster,SIGN(H426))*POWER(CHmaster,SIGN(I426))*POWER(FFmaster,SIGN(J426))*POWER(KOmaster,SIGN(L426))*POWER(KKmaster,SIGN(M426))+L426*POWER(MUmaster,SIGN(F426))*POWER(KLmaster,SIGN(G426))*POWER(INmaster,SIGN(H426))*POWER(CHmaster,SIGN(I426))*POWER(FFmaster,SIGN(J426))*POWER(GEmaster,SIGN(K426))*POWER(KKmaster,SIGN(M426))+M426*POWER(MUmaster,SIGN(F426))*POWER(KLmaster,SIGN(G426))*POWER(INmaster,SIGN(H426))*POWER(CHmaster,SIGN(I426))*POWER(FFmaster,SIGN(J426))*POWER(GEmaster,SIGN(K426))*POWER(KOmaster,SIGN(L426))</f>
        <v>2304</v>
      </c>
      <c r="R426" s="113">
        <f>F426*H426*GEmaster+F426*INmaster*K426+MUmaster*H426*K426</f>
        <v>3456</v>
      </c>
      <c r="S426" s="224">
        <f>IFERROR(F426^SIGN(F426),1)*IFERROR(G426^SIGN(G426),1)*IFERROR(H426^SIGN(H426),1)*IFERROR(I426^SIGN(I426),1)*IFERROR(J426^SIGN(J426),1)*IFERROR(K426^SIGN(K426),1)*IFERROR(L426^SIGN(L426),1)*IFERROR(M426^SIGN(M426),1)</f>
        <v>1728</v>
      </c>
      <c r="T426" s="242">
        <f t="shared" si="4547"/>
        <v>7488</v>
      </c>
      <c r="U426" s="222">
        <f t="shared" si="4548"/>
        <v>3.6923076923076925</v>
      </c>
      <c r="V426" s="223">
        <f t="shared" si="4549"/>
        <v>11.076923076923077</v>
      </c>
      <c r="W426" s="243">
        <f t="shared" si="4550"/>
        <v>8.3076923076923084</v>
      </c>
      <c r="X426" s="243">
        <f t="shared" si="4551"/>
        <v>23.07692307692308</v>
      </c>
      <c r="Y426" s="252">
        <v>0</v>
      </c>
      <c r="Z426" s="198">
        <f t="shared" si="4552"/>
        <v>23.07692307692308</v>
      </c>
      <c r="AA426" s="125">
        <f>IF(X426&lt;=0,1,0)+IF(X426&gt;0,X426+1,0)*1+IF(X426&gt;12,X426-12,0)*1+IF(X426&gt;13,X426-13,0)*1+IF(X426&gt;14,X426-14,0)*1+IF(X426&gt;15,X426-15,0)*1+IF(X426&gt;16,X426-16,0)*1+IF(X426&gt;17,X426-17,0)*1+IF(X426&gt;18,X426-18,0)*1+IF(X426&gt;19,X426-19,0)*1+IF(X426&gt;20,X426-20,0)*1</f>
        <v>87.769230769230802</v>
      </c>
      <c r="AB426" s="160">
        <f>IF(Y426&lt;=0,1,0)+IF(Y426&gt;0,Y426+1,0)*1+IF(Y426&gt;12,Y426-12,0)*1+IF(Y426&gt;13,Y426-13,0)*1+IF(Y426&gt;14,Y426-14,0)*1+IF(Y426&gt;15,Y426-15,0)*1+IF(Y426&gt;16,Y426-16,0)*1+IF(Y426&gt;17,Y426-17,0)*1+IF(Y426&gt;18,Y426-18,0)*1+IF(Y426&gt;19,Y426-19,0)*1+IF(Y426&gt;20,Y426-20,0)*1</f>
        <v>1</v>
      </c>
      <c r="AC426" s="127">
        <f t="shared" si="4553"/>
        <v>86.769230769230802</v>
      </c>
      <c r="AD426" s="125">
        <f t="shared" si="4554"/>
        <v>0</v>
      </c>
      <c r="AF426" s="177" t="s">
        <v>242</v>
      </c>
      <c r="AG426" s="125" t="s">
        <v>8</v>
      </c>
      <c r="AH426" s="47" t="s">
        <v>133</v>
      </c>
      <c r="AI426" s="114">
        <f>Konvention_1slave-MUslave_MU</f>
        <v>11</v>
      </c>
      <c r="AJ426" s="113"/>
      <c r="AK426" s="113">
        <f t="shared" ref="AK426:AK432" si="4644">Konvention_1slave-INslave</f>
        <v>12</v>
      </c>
      <c r="AL426" s="113"/>
      <c r="AM426" s="113"/>
      <c r="AN426" s="113">
        <f>Konvention_1slave-GEslave</f>
        <v>12</v>
      </c>
      <c r="AO426" s="113"/>
      <c r="AP426" s="119"/>
      <c r="AQ426" s="47">
        <f>(AI426+AJ426+AK426+AL426+AM426+AN426+AO426+AP426)/3</f>
        <v>11.666666666666666</v>
      </c>
      <c r="AR426" s="47">
        <f t="shared" si="4555"/>
        <v>23.333333333333332</v>
      </c>
      <c r="AS426" s="113">
        <f t="shared" si="4556"/>
        <v>35</v>
      </c>
      <c r="AT426" s="114">
        <f>AI426*POWER(KLslave,SIGN(AJ426))*POWER(INslave,SIGN(AK426))*POWER(CHslave,SIGN(AL426))*POWER(FFslave,SIGN(AM426))*POWER(GEslave,SIGN(AN426))*POWER(KOslave,SIGN(AO426))*POWER(KKslave,SIGN(AP426))+AJ426*POWER(MUslave_MU,SIGN(AI426))*POWER(INslave,SIGN(AK426))*POWER(CHslave,SIGN(AL426))*POWER(FFslave,SIGN(AM426))*POWER(GEslave,SIGN(AN426))*POWER(KOslave,SIGN(AO426))*POWER(KKslave,SIGN(AP426))+AK426*POWER(MUslave_MU,SIGN(AI426))*POWER(KLslave,SIGN(AJ426))*POWER(CHslave,SIGN(AL426))*POWER(FFslave,SIGN(AM426))*POWER(GEslave,SIGN(AN426))*POWER(KOslave,SIGN(AO426))*POWER(KKslave,SIGN(AP426))+AL426*POWER(MUslave_MU,SIGN(AI426))*POWER(KLslave,SIGN(AJ426))*POWER(INslave,SIGN(AK426))*POWER(FFslave,SIGN(AM426))*POWER(GEslave,SIGN(AN426))*POWER(KOslave,SIGN(AO426))*POWER(KKslave,SIGN(AP426))+AM426*POWER(MUslave_MU,SIGN(AI426))*POWER(KLslave,SIGN(AJ426))*POWER(INslave,SIGN(AK426))*POWER(CHslave,SIGN(AL426))*POWER(GEslave,SIGN(AN426))*POWER(KOslave,SIGN(AO426))*POWER(KKslave,SIGN(AP426))+AN426*POWER(MUslave_MU,SIGN(AI426))*POWER(KLslave,SIGN(AJ426))*POWER(INslave,SIGN(AK426))*POWER(CHslave,SIGN(AL426))*POWER(FFslave,SIGN(AM426))*POWER(KOslave,SIGN(AO426))*POWER(KKslave,SIGN(AP426))+AO426*POWER(MUslave_MU,SIGN(AI426))*POWER(KLslave,SIGN(AJ426))*POWER(INslave,SIGN(AK426))*POWER(CHslave,SIGN(AL426))*POWER(FFslave,SIGN(AM426))*POWER(GEslave,SIGN(AN426))*POWER(KKslave,SIGN(AP426))+AP426*POWER(MUslave_MU,SIGN(AI426))*POWER(KLslave,SIGN(AJ426))*POWER(INslave,SIGN(AK426))*POWER(CHslave,SIGN(AL426))*POWER(FFslave,SIGN(AM426))*POWER(GEslave,SIGN(AN426))*POWER(KOslave,SIGN(AO426))</f>
        <v>2432</v>
      </c>
      <c r="AU426" s="113">
        <f>AI426*AK426*GEslave+AI426*INslave*AN426+MUslave_MU*AK426*AN426</f>
        <v>3408</v>
      </c>
      <c r="AV426" s="119">
        <f>IFERROR(AI426^SIGN(AI426),1)*IFERROR(AJ426^SIGN(AJ426),1)*IFERROR(AK426^SIGN(AK426),1)*IFERROR(AL426^SIGN(AL426),1)*IFERROR(AM426^SIGN(AM426),1)*IFERROR(AN426^SIGN(AN426),1)*IFERROR(AO426^SIGN(AO426),1)*IFERROR(AP426^SIGN(AP426),1)</f>
        <v>1584</v>
      </c>
      <c r="AW426" s="160">
        <f t="shared" si="4557"/>
        <v>7424</v>
      </c>
      <c r="AX426" s="89">
        <f t="shared" si="4558"/>
        <v>3.8218390804597702</v>
      </c>
      <c r="AY426" s="47">
        <f t="shared" si="4559"/>
        <v>10.711206896551724</v>
      </c>
      <c r="AZ426" s="127">
        <f t="shared" si="4560"/>
        <v>7.4676724137931032</v>
      </c>
      <c r="BA426" s="127">
        <f t="shared" si="4561"/>
        <v>22.000718390804597</v>
      </c>
      <c r="BB426" s="165">
        <f t="shared" si="4562"/>
        <v>0</v>
      </c>
      <c r="BC426" s="198">
        <f t="shared" si="4563"/>
        <v>22.000718390804597</v>
      </c>
      <c r="BD426" s="125">
        <f>IF(BA426&lt;=0,1,0)+IF(BA426&gt;0,BA426+1,0)*1+IF(BA426&gt;12,BA426-12,0)*1+IF(BA426&gt;13,BA426-13,0)*1+IF(BA426&gt;14,BA426-14,0)*1+IF(BA426&gt;15,BA426-15,0)*1+IF(BA426&gt;16,BA426-16,0)*1+IF(BA426&gt;17,BA426-17,0)*1+IF(BA426&gt;18,BA426-18,0)*1+IF(BA426&gt;19,BA426-19,0)*1+IF(BA426&gt;20,BA426-20,0)*1</f>
        <v>77.007183908045945</v>
      </c>
      <c r="BE426" s="160">
        <f>IF(BB426&lt;=0,1,0)+IF(BB426&gt;0,BB426+1,0)*1+IF(BB426&gt;12,BB426-12,0)*1+IF(BB426&gt;13,BB426-13,0)*1+IF(BB426&gt;14,BB426-14,0)*1+IF(BB426&gt;15,BB426-15,0)*1+IF(BB426&gt;16,BB426-16,0)*1+IF(BB426&gt;17,BB426-17,0)*1+IF(BB426&gt;18,BB426-18,0)*1+IF(BB426&gt;19,BB426-19,0)*1+IF(BB426&gt;20,BB426-20,0)*1</f>
        <v>1</v>
      </c>
      <c r="BF426" s="243">
        <f t="shared" si="4564"/>
        <v>76.007183908045945</v>
      </c>
      <c r="BG426" s="218">
        <f t="shared" si="4565"/>
        <v>0</v>
      </c>
      <c r="BI426" s="325" t="s">
        <v>242</v>
      </c>
      <c r="BJ426" s="218" t="s">
        <v>8</v>
      </c>
      <c r="BK426" s="223" t="s">
        <v>133</v>
      </c>
      <c r="BL426" s="237">
        <f>Konvention_1slave-MUslave</f>
        <v>12</v>
      </c>
      <c r="BM426" s="234"/>
      <c r="BN426" s="234">
        <f t="shared" ref="BN426:BN432" si="4645">Konvention_1slave-INslave</f>
        <v>12</v>
      </c>
      <c r="BO426" s="234"/>
      <c r="BP426" s="234"/>
      <c r="BQ426" s="234">
        <f>Konvention_1slave-GEslave</f>
        <v>12</v>
      </c>
      <c r="BR426" s="234"/>
      <c r="BS426" s="224"/>
      <c r="BT426" s="223">
        <f>(BL426+BM426+BN426+BO426+BP426+BQ426+BR426+BS426)/3</f>
        <v>12</v>
      </c>
      <c r="BU426" s="223">
        <f t="shared" si="4566"/>
        <v>24</v>
      </c>
      <c r="BV426" s="234">
        <f t="shared" si="4567"/>
        <v>36</v>
      </c>
      <c r="BW426" s="237">
        <f>BL426*POWER(KLslave_KL,SIGN(BM426))*POWER(INslave,SIGN(BN426))*POWER(CHslave,SIGN(BO426))*POWER(FFslave,SIGN(BP426))*POWER(GEslave,SIGN(BQ426))*POWER(KOslave,SIGN(BR426))*POWER(KKslave,SIGN(BS426))+BM426*POWER(MUslave,SIGN(BL426))*POWER(INslave,SIGN(BN426))*POWER(CHslave,SIGN(BO426))*POWER(FFslave,SIGN(BP426))*POWER(GEslave,SIGN(BQ426))*POWER(KOslave,SIGN(BR426))*POWER(KKslave,SIGN(BS426))+BN426*POWER(MUslave,SIGN(BL426))*POWER(KLslave_KL,SIGN(BM426))*POWER(CHslave,SIGN(BO426))*POWER(FFslave,SIGN(BP426))*POWER(GEslave,SIGN(BQ426))*POWER(KOslave,SIGN(BR426))*POWER(KKslave,SIGN(BS426))+BO426*POWER(MUslave,SIGN(BL426))*POWER(KLslave_KL,SIGN(BM426))*POWER(INslave,SIGN(BN426))*POWER(FFslave,SIGN(BP426))*POWER(GEslave,SIGN(BQ426))*POWER(KOslave,SIGN(BR426))*POWER(KKslave,SIGN(BS426))+BP426*POWER(MUslave,SIGN(BL426))*POWER(KLslave_KL,SIGN(BM426))*POWER(INslave,SIGN(BN426))*POWER(CHslave,SIGN(BO426))*POWER(GEslave,SIGN(BQ426))*POWER(KOslave,SIGN(BR426))*POWER(KKslave,SIGN(BS426))+BQ426*POWER(MUslave,SIGN(BL426))*POWER(KLslave_KL,SIGN(BM426))*POWER(INslave,SIGN(BN426))*POWER(CHslave,SIGN(BO426))*POWER(FFslave,SIGN(BP426))*POWER(KOslave,SIGN(BR426))*POWER(KKslave,SIGN(BS426))+BR426*POWER(MUslave,SIGN(BL426))*POWER(KLslave_KL,SIGN(BM426))*POWER(INslave,SIGN(BN426))*POWER(CHslave,SIGN(BO426))*POWER(FFslave,SIGN(BP426))*POWER(GEslave,SIGN(BQ426))*POWER(KKslave,SIGN(BS426))+BS426*POWER(MUslave,SIGN(BL426))*POWER(KLslave_KL,SIGN(BM426))*POWER(INslave,SIGN(BN426))*POWER(CHslave,SIGN(BO426))*POWER(FFslave,SIGN(BP426))*POWER(GEslave,SIGN(BQ426))*POWER(KOslave,SIGN(BR426))</f>
        <v>2304</v>
      </c>
      <c r="BX426" s="234">
        <f>BL426*BN426*GEslave+BL426*INslave*BQ426+MUslave*BN426*BQ426</f>
        <v>3456</v>
      </c>
      <c r="BY426" s="224">
        <f>IFERROR(BL426^SIGN(BL426),1)*IFERROR(BM426^SIGN(BM426),1)*IFERROR(BN426^SIGN(BN426),1)*IFERROR(BO426^SIGN(BO426),1)*IFERROR(BP426^SIGN(BP426),1)*IFERROR(BQ426^SIGN(BQ426),1)*IFERROR(BR426^SIGN(BR426),1)*IFERROR(BS426^SIGN(BS426),1)</f>
        <v>1728</v>
      </c>
      <c r="BZ426" s="242">
        <f t="shared" si="4568"/>
        <v>7488</v>
      </c>
      <c r="CA426" s="222">
        <f t="shared" si="4569"/>
        <v>3.6923076923076925</v>
      </c>
      <c r="CB426" s="223">
        <f t="shared" si="4570"/>
        <v>11.076923076923077</v>
      </c>
      <c r="CC426" s="243">
        <f t="shared" si="4571"/>
        <v>8.3076923076923084</v>
      </c>
      <c r="CD426" s="243">
        <f t="shared" si="4572"/>
        <v>23.07692307692308</v>
      </c>
      <c r="CE426" s="252">
        <f t="shared" si="4573"/>
        <v>0</v>
      </c>
      <c r="CF426" s="309">
        <f t="shared" si="4574"/>
        <v>23.07692307692308</v>
      </c>
      <c r="CG426" s="218">
        <f>IF(CD426&lt;=0,1,0)+IF(CD426&gt;0,CD426+1,0)*1+IF(CD426&gt;12,CD426-12,0)*1+IF(CD426&gt;13,CD426-13,0)*1+IF(CD426&gt;14,CD426-14,0)*1+IF(CD426&gt;15,CD426-15,0)*1+IF(CD426&gt;16,CD426-16,0)*1+IF(CD426&gt;17,CD426-17,0)*1+IF(CD426&gt;18,CD426-18,0)*1+IF(CD426&gt;19,CD426-19,0)*1+IF(CD426&gt;20,CD426-20,0)*1</f>
        <v>87.769230769230802</v>
      </c>
      <c r="CH426" s="242">
        <f>IF(CE426&lt;=0,1,0)+IF(CE426&gt;0,CE426+1,0)*1+IF(CE426&gt;12,CE426-12,0)*1+IF(CE426&gt;13,CE426-13,0)*1+IF(CE426&gt;14,CE426-14,0)*1+IF(CE426&gt;15,CE426-15,0)*1+IF(CE426&gt;16,CE426-16,0)*1+IF(CE426&gt;17,CE426-17,0)*1+IF(CE426&gt;18,CE426-18,0)*1+IF(CE426&gt;19,CE426-19,0)*1+IF(CE426&gt;20,CE426-20,0)*1</f>
        <v>1</v>
      </c>
      <c r="CI426" s="243">
        <f t="shared" si="4575"/>
        <v>86.769230769230802</v>
      </c>
      <c r="CJ426" s="218">
        <f t="shared" si="4576"/>
        <v>0</v>
      </c>
      <c r="CL426" s="325" t="s">
        <v>242</v>
      </c>
      <c r="CM426" s="218" t="s">
        <v>8</v>
      </c>
      <c r="CN426" s="223" t="s">
        <v>133</v>
      </c>
      <c r="CO426" s="237">
        <f>Konvention_1slave-MUslave</f>
        <v>12</v>
      </c>
      <c r="CP426" s="234"/>
      <c r="CQ426" s="234">
        <f t="shared" ref="CQ426:CQ432" si="4646">Konvention_1slave-INslave_IN</f>
        <v>11</v>
      </c>
      <c r="CR426" s="234"/>
      <c r="CS426" s="234"/>
      <c r="CT426" s="234">
        <f>Konvention_1slave-GEslave</f>
        <v>12</v>
      </c>
      <c r="CU426" s="234"/>
      <c r="CV426" s="224"/>
      <c r="CW426" s="223">
        <f>(CO426+CP426+CQ426+CR426+CS426+CT426+CU426+CV426)/3</f>
        <v>11.666666666666666</v>
      </c>
      <c r="CX426" s="223">
        <f t="shared" si="4577"/>
        <v>23.333333333333332</v>
      </c>
      <c r="CY426" s="234">
        <f t="shared" si="4578"/>
        <v>35</v>
      </c>
      <c r="CZ426" s="237">
        <f>CO426*POWER(KLslave,SIGN(CP426))*POWER(INslave_IN,SIGN(CQ426))*POWER(CHslave,SIGN(CR426))*POWER(FFslave,SIGN(CS426))*POWER(GEslave,SIGN(CT426))*POWER(KOslave,SIGN(CU426))*POWER(KKslave,SIGN(CV426))+CP426*POWER(MUslave,SIGN(CO426))*POWER(INslave_IN,SIGN(CQ426))*POWER(CHslave,SIGN(CR426))*POWER(FFslave,SIGN(CS426))*POWER(GEslave,SIGN(CT426))*POWER(KOslave,SIGN(CU426))*POWER(KKslave,SIGN(CV426))+CQ426*POWER(MUslave,SIGN(CO426))*POWER(KLslave,SIGN(CP426))*POWER(CHslave,SIGN(CR426))*POWER(FFslave,SIGN(CS426))*POWER(GEslave,SIGN(CT426))*POWER(KOslave,SIGN(CU426))*POWER(KKslave,SIGN(CV426))+CR426*POWER(MUslave,SIGN(CO426))*POWER(KLslave,SIGN(CP426))*POWER(INslave_IN,SIGN(CQ426))*POWER(FFslave,SIGN(CS426))*POWER(GEslave,SIGN(CT426))*POWER(KOslave,SIGN(CU426))*POWER(KKslave,SIGN(CV426))+CS426*POWER(MUslave,SIGN(CO426))*POWER(KLslave,SIGN(CP426))*POWER(INslave_IN,SIGN(CQ426))*POWER(CHslave,SIGN(CR426))*POWER(GEslave,SIGN(CT426))*POWER(KOslave,SIGN(CU426))*POWER(KKslave,SIGN(CV426))+CT426*POWER(MUslave,SIGN(CO426))*POWER(KLslave,SIGN(CP426))*POWER(INslave_IN,SIGN(CQ426))*POWER(CHslave,SIGN(CR426))*POWER(FFslave,SIGN(CS426))*POWER(KOslave,SIGN(CU426))*POWER(KKslave,SIGN(CV426))+CU426*POWER(MUslave,SIGN(CO426))*POWER(KLslave,SIGN(CP426))*POWER(INslave_IN,SIGN(CQ426))*POWER(CHslave,SIGN(CR426))*POWER(FFslave,SIGN(CS426))*POWER(GEslave,SIGN(CT426))*POWER(KKslave,SIGN(CV426))+CV426*POWER(MUslave,SIGN(CO426))*POWER(KLslave,SIGN(CP426))*POWER(INslave_IN,SIGN(CQ426))*POWER(CHslave,SIGN(CR426))*POWER(FFslave,SIGN(CS426))*POWER(GEslave,SIGN(CT426))*POWER(KOslave,SIGN(CU426))</f>
        <v>2432</v>
      </c>
      <c r="DA426" s="234">
        <f>CO426*CQ426*GEslave+CO426*INslave_IN*CT426+MUslave*CQ426*CT426</f>
        <v>3408</v>
      </c>
      <c r="DB426" s="224">
        <f>IFERROR(CO426^SIGN(CO426),1)*IFERROR(CP426^SIGN(CP426),1)*IFERROR(CQ426^SIGN(CQ426),1)*IFERROR(CR426^SIGN(CR426),1)*IFERROR(CS426^SIGN(CS426),1)*IFERROR(CT426^SIGN(CT426),1)*IFERROR(CU426^SIGN(CU426),1)*IFERROR(CV426^SIGN(CV426),1)</f>
        <v>1584</v>
      </c>
      <c r="DC426" s="242">
        <f t="shared" si="4579"/>
        <v>7424</v>
      </c>
      <c r="DD426" s="222">
        <f t="shared" si="4580"/>
        <v>3.8218390804597702</v>
      </c>
      <c r="DE426" s="223">
        <f t="shared" si="4581"/>
        <v>10.711206896551724</v>
      </c>
      <c r="DF426" s="243">
        <f t="shared" si="4582"/>
        <v>7.4676724137931032</v>
      </c>
      <c r="DG426" s="243">
        <f t="shared" si="4583"/>
        <v>22.000718390804597</v>
      </c>
      <c r="DH426" s="252">
        <f t="shared" si="4584"/>
        <v>0</v>
      </c>
      <c r="DI426" s="309">
        <f t="shared" si="4585"/>
        <v>22.000718390804597</v>
      </c>
      <c r="DJ426" s="218">
        <f>IF(DG426&lt;=0,1,0)+IF(DG426&gt;0,DG426+1,0)*1+IF(DG426&gt;12,DG426-12,0)*1+IF(DG426&gt;13,DG426-13,0)*1+IF(DG426&gt;14,DG426-14,0)*1+IF(DG426&gt;15,DG426-15,0)*1+IF(DG426&gt;16,DG426-16,0)*1+IF(DG426&gt;17,DG426-17,0)*1+IF(DG426&gt;18,DG426-18,0)*1+IF(DG426&gt;19,DG426-19,0)*1+IF(DG426&gt;20,DG426-20,0)*1</f>
        <v>77.007183908045945</v>
      </c>
      <c r="DK426" s="242">
        <f>IF(DH426&lt;=0,1,0)+IF(DH426&gt;0,DH426+1,0)*1+IF(DH426&gt;12,DH426-12,0)*1+IF(DH426&gt;13,DH426-13,0)*1+IF(DH426&gt;14,DH426-14,0)*1+IF(DH426&gt;15,DH426-15,0)*1+IF(DH426&gt;16,DH426-16,0)*1+IF(DH426&gt;17,DH426-17,0)*1+IF(DH426&gt;18,DH426-18,0)*1+IF(DH426&gt;19,DH426-19,0)*1+IF(DH426&gt;20,DH426-20,0)*1</f>
        <v>1</v>
      </c>
      <c r="DL426" s="243">
        <f t="shared" si="4586"/>
        <v>76.007183908045945</v>
      </c>
      <c r="DM426" s="218">
        <f t="shared" si="4587"/>
        <v>0</v>
      </c>
      <c r="DO426" s="325" t="s">
        <v>242</v>
      </c>
      <c r="DP426" s="218" t="s">
        <v>8</v>
      </c>
      <c r="DQ426" s="223" t="s">
        <v>133</v>
      </c>
      <c r="DR426" s="237">
        <f>Konvention_1slave-MUslave</f>
        <v>12</v>
      </c>
      <c r="DS426" s="234"/>
      <c r="DT426" s="234">
        <f t="shared" ref="DT426:DT432" si="4647">Konvention_1slave-INslave</f>
        <v>12</v>
      </c>
      <c r="DU426" s="234"/>
      <c r="DV426" s="234"/>
      <c r="DW426" s="234">
        <f>Konvention_1slave-GEslave</f>
        <v>12</v>
      </c>
      <c r="DX426" s="234"/>
      <c r="DY426" s="224"/>
      <c r="DZ426" s="223">
        <f>(DR426+DS426+DT426+DU426+DV426+DW426+DX426+DY426)/3</f>
        <v>12</v>
      </c>
      <c r="EA426" s="223">
        <f t="shared" si="4588"/>
        <v>24</v>
      </c>
      <c r="EB426" s="234">
        <f t="shared" si="4589"/>
        <v>36</v>
      </c>
      <c r="EC426" s="237">
        <f>DR426*POWER(KLslave,SIGN(DS426))*POWER(INslave,SIGN(DT426))*POWER(CHslave_CH,SIGN(DU426))*POWER(FFslave,SIGN(DV426))*POWER(GEslave,SIGN(DW426))*POWER(KOslave,SIGN(DX426))*POWER(KKslave,SIGN(DY426))+DS426*POWER(MUslave,SIGN(DR426))*POWER(INslave,SIGN(DT426))*POWER(CHslave_CH,SIGN(DU426))*POWER(FFslave,SIGN(DV426))*POWER(GEslave,SIGN(DW426))*POWER(KOslave,SIGN(DX426))*POWER(KKslave,SIGN(DY426))+DT426*POWER(MUslave,SIGN(DR426))*POWER(KLslave,SIGN(DS426))*POWER(CHslave_CH,SIGN(DU426))*POWER(FFslave,SIGN(DV426))*POWER(GEslave,SIGN(DW426))*POWER(KOslave,SIGN(DX426))*POWER(KKslave,SIGN(DY426))+DU426*POWER(MUslave,SIGN(DR426))*POWER(KLslave,SIGN(DS426))*POWER(INslave,SIGN(DT426))*POWER(FFslave,SIGN(DV426))*POWER(GEslave,SIGN(DW426))*POWER(KOslave,SIGN(DX426))*POWER(KKslave,SIGN(DY426))+DV426*POWER(MUslave,SIGN(DR426))*POWER(KLslave,SIGN(DS426))*POWER(INslave,SIGN(DT426))*POWER(CHslave_CH,SIGN(DU426))*POWER(GEslave,SIGN(DW426))*POWER(KOslave,SIGN(DX426))*POWER(KKslave,SIGN(DY426))+DW426*POWER(MUslave,SIGN(DR426))*POWER(KLslave,SIGN(DS426))*POWER(INslave,SIGN(DT426))*POWER(CHslave_CH,SIGN(DU426))*POWER(FFslave,SIGN(DV426))*POWER(KOslave,SIGN(DX426))*POWER(KKslave,SIGN(DY426))+DX426*POWER(MUslave,SIGN(DR426))*POWER(KLslave,SIGN(DS426))*POWER(INslave,SIGN(DT426))*POWER(CHslave_CH,SIGN(DU426))*POWER(FFslave,SIGN(DV426))*POWER(GEslave,SIGN(DW426))*POWER(KKslave,SIGN(DY426))+DY426*POWER(MUslave,SIGN(DR426))*POWER(KLslave,SIGN(DS426))*POWER(INslave,SIGN(DT426))*POWER(CHslave_CH,SIGN(DU426))*POWER(FFslave,SIGN(DV426))*POWER(GEslave,SIGN(DW426))*POWER(KOslave,SIGN(DX426))</f>
        <v>2304</v>
      </c>
      <c r="ED426" s="234">
        <f>DR426*DT426*GEslave+DR426*INslave*DW426+MUslave*DT426*DW426</f>
        <v>3456</v>
      </c>
      <c r="EE426" s="224">
        <f>IFERROR(DR426^SIGN(DR426),1)*IFERROR(DS426^SIGN(DS426),1)*IFERROR(DT426^SIGN(DT426),1)*IFERROR(DU426^SIGN(DU426),1)*IFERROR(DV426^SIGN(DV426),1)*IFERROR(DW426^SIGN(DW426),1)*IFERROR(DX426^SIGN(DX426),1)*IFERROR(DY426^SIGN(DY426),1)</f>
        <v>1728</v>
      </c>
      <c r="EF426" s="242">
        <f t="shared" si="4590"/>
        <v>7488</v>
      </c>
      <c r="EG426" s="222">
        <f t="shared" si="4591"/>
        <v>3.6923076923076925</v>
      </c>
      <c r="EH426" s="223">
        <f t="shared" si="4592"/>
        <v>11.076923076923077</v>
      </c>
      <c r="EI426" s="243">
        <f t="shared" si="4593"/>
        <v>8.3076923076923084</v>
      </c>
      <c r="EJ426" s="243">
        <f t="shared" si="4594"/>
        <v>23.07692307692308</v>
      </c>
      <c r="EK426" s="252">
        <f t="shared" si="4595"/>
        <v>0</v>
      </c>
      <c r="EL426" s="309">
        <f t="shared" si="4596"/>
        <v>23.07692307692308</v>
      </c>
      <c r="EM426" s="218">
        <f>IF(EJ426&lt;=0,1,0)+IF(EJ426&gt;0,EJ426+1,0)*1+IF(EJ426&gt;12,EJ426-12,0)*1+IF(EJ426&gt;13,EJ426-13,0)*1+IF(EJ426&gt;14,EJ426-14,0)*1+IF(EJ426&gt;15,EJ426-15,0)*1+IF(EJ426&gt;16,EJ426-16,0)*1+IF(EJ426&gt;17,EJ426-17,0)*1+IF(EJ426&gt;18,EJ426-18,0)*1+IF(EJ426&gt;19,EJ426-19,0)*1+IF(EJ426&gt;20,EJ426-20,0)*1</f>
        <v>87.769230769230802</v>
      </c>
      <c r="EN426" s="242">
        <f>IF(EK426&lt;=0,1,0)+IF(EK426&gt;0,EK426+1,0)*1+IF(EK426&gt;12,EK426-12,0)*1+IF(EK426&gt;13,EK426-13,0)*1+IF(EK426&gt;14,EK426-14,0)*1+IF(EK426&gt;15,EK426-15,0)*1+IF(EK426&gt;16,EK426-16,0)*1+IF(EK426&gt;17,EK426-17,0)*1+IF(EK426&gt;18,EK426-18,0)*1+IF(EK426&gt;19,EK426-19,0)*1+IF(EK426&gt;20,EK426-20,0)*1</f>
        <v>1</v>
      </c>
      <c r="EO426" s="243">
        <f t="shared" si="4597"/>
        <v>86.769230769230802</v>
      </c>
      <c r="EP426" s="218">
        <f t="shared" si="4598"/>
        <v>0</v>
      </c>
      <c r="ER426" s="325" t="s">
        <v>242</v>
      </c>
      <c r="ES426" s="218" t="s">
        <v>8</v>
      </c>
      <c r="ET426" s="223" t="s">
        <v>133</v>
      </c>
      <c r="EU426" s="237">
        <f>Konvention_1slave-MUslave</f>
        <v>12</v>
      </c>
      <c r="EV426" s="234"/>
      <c r="EW426" s="234">
        <f t="shared" ref="EW426:EW432" si="4648">Konvention_1slave-INslave</f>
        <v>12</v>
      </c>
      <c r="EX426" s="234"/>
      <c r="EY426" s="234"/>
      <c r="EZ426" s="234">
        <f>Konvention_1slave-GEslave</f>
        <v>12</v>
      </c>
      <c r="FA426" s="234"/>
      <c r="FB426" s="224"/>
      <c r="FC426" s="223">
        <f>(EU426+EV426+EW426+EX426+EY426+EZ426+FA426+FB426)/3</f>
        <v>12</v>
      </c>
      <c r="FD426" s="223">
        <f t="shared" si="4599"/>
        <v>24</v>
      </c>
      <c r="FE426" s="234">
        <f t="shared" si="4600"/>
        <v>36</v>
      </c>
      <c r="FF426" s="237">
        <f>EU426*POWER(KLslave,SIGN(EV426))*POWER(INslave,SIGN(EW426))*POWER(CHslave,SIGN(EX426))*POWER(FFslave_FF,SIGN(EY426))*POWER(GEslave,SIGN(EZ426))*POWER(KOslave,SIGN(FA426))*POWER(KKslave,SIGN(FB426))+EV426*POWER(MUslave,SIGN(EU426))*POWER(INslave,SIGN(EW426))*POWER(CHslave,SIGN(EX426))*POWER(FFslave_FF,SIGN(EY426))*POWER(GEslave,SIGN(EZ426))*POWER(KOslave,SIGN(FA426))*POWER(KKslave,SIGN(FB426))+EW426*POWER(MUslave,SIGN(EU426))*POWER(KLslave,SIGN(EV426))*POWER(CHslave,SIGN(EX426))*POWER(FFslave_FF,SIGN(EY426))*POWER(GEslave,SIGN(EZ426))*POWER(KOslave,SIGN(FA426))*POWER(KKslave,SIGN(FB426))+EX426*POWER(MUslave,SIGN(EU426))*POWER(KLslave,SIGN(EV426))*POWER(INslave,SIGN(EW426))*POWER(FFslave_FF,SIGN(EY426))*POWER(GEslave,SIGN(EZ426))*POWER(KOslave,SIGN(FA426))*POWER(KKslave,SIGN(FB426))+EY426*POWER(MUslave,SIGN(EU426))*POWER(KLslave,SIGN(EV426))*POWER(INslave,SIGN(EW426))*POWER(CHslave,SIGN(EX426))*POWER(GEslave,SIGN(EZ426))*POWER(KOslave,SIGN(FA426))*POWER(KKslave,SIGN(FB426))+EZ426*POWER(MUslave,SIGN(EU426))*POWER(KLslave,SIGN(EV426))*POWER(INslave,SIGN(EW426))*POWER(CHslave,SIGN(EX426))*POWER(FFslave_FF,SIGN(EY426))*POWER(KOslave,SIGN(FA426))*POWER(KKslave,SIGN(FB426))+FA426*POWER(MUslave,SIGN(EU426))*POWER(KLslave,SIGN(EV426))*POWER(INslave,SIGN(EW426))*POWER(CHslave,SIGN(EX426))*POWER(FFslave_FF,SIGN(EY426))*POWER(GEslave,SIGN(EZ426))*POWER(KKslave,SIGN(FB426))+FB426*POWER(MUslave,SIGN(EU426))*POWER(KLslave,SIGN(EV426))*POWER(INslave,SIGN(EW426))*POWER(CHslave,SIGN(EX426))*POWER(FFslave_FF,SIGN(EY426))*POWER(GEslave,SIGN(EZ426))*POWER(KOslave,SIGN(FA426))</f>
        <v>2304</v>
      </c>
      <c r="FG426" s="234">
        <f>EU426*EW426*GEslave+EU426*INslave*EZ426+MUslave*EW426*EZ426</f>
        <v>3456</v>
      </c>
      <c r="FH426" s="224">
        <f>IFERROR(EU426^SIGN(EU426),1)*IFERROR(EV426^SIGN(EV426),1)*IFERROR(EW426^SIGN(EW426),1)*IFERROR(EX426^SIGN(EX426),1)*IFERROR(EY426^SIGN(EY426),1)*IFERROR(EZ426^SIGN(EZ426),1)*IFERROR(FA426^SIGN(FA426),1)*IFERROR(FB426^SIGN(FB426),1)</f>
        <v>1728</v>
      </c>
      <c r="FI426" s="242">
        <f t="shared" si="4601"/>
        <v>7488</v>
      </c>
      <c r="FJ426" s="222">
        <f t="shared" si="4602"/>
        <v>3.6923076923076925</v>
      </c>
      <c r="FK426" s="223">
        <f t="shared" si="4603"/>
        <v>11.076923076923077</v>
      </c>
      <c r="FL426" s="243">
        <f t="shared" si="4604"/>
        <v>8.3076923076923084</v>
      </c>
      <c r="FM426" s="243">
        <f t="shared" si="4605"/>
        <v>23.07692307692308</v>
      </c>
      <c r="FN426" s="252">
        <f t="shared" si="4606"/>
        <v>0</v>
      </c>
      <c r="FO426" s="309">
        <f t="shared" si="4607"/>
        <v>23.07692307692308</v>
      </c>
      <c r="FP426" s="218">
        <f>IF(FM426&lt;=0,1,0)+IF(FM426&gt;0,FM426+1,0)*1+IF(FM426&gt;12,FM426-12,0)*1+IF(FM426&gt;13,FM426-13,0)*1+IF(FM426&gt;14,FM426-14,0)*1+IF(FM426&gt;15,FM426-15,0)*1+IF(FM426&gt;16,FM426-16,0)*1+IF(FM426&gt;17,FM426-17,0)*1+IF(FM426&gt;18,FM426-18,0)*1+IF(FM426&gt;19,FM426-19,0)*1+IF(FM426&gt;20,FM426-20,0)*1</f>
        <v>87.769230769230802</v>
      </c>
      <c r="FQ426" s="242">
        <f>IF(FN426&lt;=0,1,0)+IF(FN426&gt;0,FN426+1,0)*1+IF(FN426&gt;12,FN426-12,0)*1+IF(FN426&gt;13,FN426-13,0)*1+IF(FN426&gt;14,FN426-14,0)*1+IF(FN426&gt;15,FN426-15,0)*1+IF(FN426&gt;16,FN426-16,0)*1+IF(FN426&gt;17,FN426-17,0)*1+IF(FN426&gt;18,FN426-18,0)*1+IF(FN426&gt;19,FN426-19,0)*1+IF(FN426&gt;20,FN426-20,0)*1</f>
        <v>1</v>
      </c>
      <c r="FR426" s="243">
        <f t="shared" si="4608"/>
        <v>86.769230769230802</v>
      </c>
      <c r="FS426" s="218">
        <f t="shared" si="4609"/>
        <v>0</v>
      </c>
      <c r="FU426" s="325" t="s">
        <v>242</v>
      </c>
      <c r="FV426" s="218" t="s">
        <v>8</v>
      </c>
      <c r="FW426" s="223" t="s">
        <v>133</v>
      </c>
      <c r="FX426" s="237">
        <f>Konvention_1slave-MUslave</f>
        <v>12</v>
      </c>
      <c r="FY426" s="234"/>
      <c r="FZ426" s="234">
        <f t="shared" ref="FZ426:FZ432" si="4649">Konvention_1slave-INslave</f>
        <v>12</v>
      </c>
      <c r="GA426" s="234"/>
      <c r="GB426" s="234"/>
      <c r="GC426" s="234">
        <f>Konvention_1slave-GEslave_GE</f>
        <v>11</v>
      </c>
      <c r="GD426" s="234"/>
      <c r="GE426" s="224"/>
      <c r="GF426" s="223">
        <f>(FX426+FY426+FZ426+GA426+GB426+GC426+GD426+GE426)/3</f>
        <v>11.666666666666666</v>
      </c>
      <c r="GG426" s="223">
        <f t="shared" si="4610"/>
        <v>23.333333333333332</v>
      </c>
      <c r="GH426" s="234">
        <f t="shared" si="4611"/>
        <v>35</v>
      </c>
      <c r="GI426" s="237">
        <f>FX426*POWER(KLslave,SIGN(FY426))*POWER(INslave,SIGN(FZ426))*POWER(CHslave,SIGN(GA426))*POWER(FFslave,SIGN(GB426))*POWER(GEslave_GE,SIGN(GC426))*POWER(KOslave,SIGN(GD426))*POWER(KKslave,SIGN(GE426))+FY426*POWER(MUslave,SIGN(FX426))*POWER(INslave,SIGN(FZ426))*POWER(CHslave,SIGN(GA426))*POWER(FFslave,SIGN(GB426))*POWER(GEslave_GE,SIGN(GC426))*POWER(KOslave,SIGN(GD426))*POWER(KKslave,SIGN(GE426))+FZ426*POWER(MUslave,SIGN(FX426))*POWER(KLslave,SIGN(FY426))*POWER(CHslave,SIGN(GA426))*POWER(FFslave,SIGN(GB426))*POWER(GEslave_GE,SIGN(GC426))*POWER(KOslave,SIGN(GD426))*POWER(KKslave,SIGN(GE426))+GA426*POWER(MUslave,SIGN(FX426))*POWER(KLslave,SIGN(FY426))*POWER(INslave,SIGN(FZ426))*POWER(FFslave,SIGN(GB426))*POWER(GEslave_GE,SIGN(GC426))*POWER(KOslave,SIGN(GD426))*POWER(KKslave,SIGN(GE426))+GB426*POWER(MUslave,SIGN(FX426))*POWER(KLslave,SIGN(FY426))*POWER(INslave,SIGN(FZ426))*POWER(CHslave,SIGN(GA426))*POWER(GEslave_GE,SIGN(GC426))*POWER(KOslave,SIGN(GD426))*POWER(KKslave,SIGN(GE426))+GC426*POWER(MUslave,SIGN(FX426))*POWER(KLslave,SIGN(FY426))*POWER(INslave,SIGN(FZ426))*POWER(CHslave,SIGN(GA426))*POWER(FFslave,SIGN(GB426))*POWER(KOslave,SIGN(GD426))*POWER(KKslave,SIGN(GE426))+GD426*POWER(MUslave,SIGN(FX426))*POWER(KLslave,SIGN(FY426))*POWER(INslave,SIGN(FZ426))*POWER(CHslave,SIGN(GA426))*POWER(FFslave,SIGN(GB426))*POWER(GEslave_GE,SIGN(GC426))*POWER(KKslave,SIGN(GE426))+GE426*POWER(MUslave,SIGN(FX426))*POWER(KLslave,SIGN(FY426))*POWER(INslave,SIGN(FZ426))*POWER(CHslave,SIGN(GA426))*POWER(FFslave,SIGN(GB426))*POWER(GEslave_GE,SIGN(GC426))*POWER(KOslave,SIGN(GD426))</f>
        <v>2432</v>
      </c>
      <c r="GJ426" s="234">
        <f>FX426*FZ426*GEslave_GE+FX426*INslave*GC426+MUslave*FZ426*GC426</f>
        <v>3408</v>
      </c>
      <c r="GK426" s="224">
        <f>IFERROR(FX426^SIGN(FX426),1)*IFERROR(FY426^SIGN(FY426),1)*IFERROR(FZ426^SIGN(FZ426),1)*IFERROR(GA426^SIGN(GA426),1)*IFERROR(GB426^SIGN(GB426),1)*IFERROR(GC426^SIGN(GC426),1)*IFERROR(GD426^SIGN(GD426),1)*IFERROR(GE426^SIGN(GE426),1)</f>
        <v>1584</v>
      </c>
      <c r="GL426" s="242">
        <f t="shared" si="4612"/>
        <v>7424</v>
      </c>
      <c r="GM426" s="222">
        <f t="shared" si="4613"/>
        <v>3.8218390804597702</v>
      </c>
      <c r="GN426" s="223">
        <f t="shared" si="4614"/>
        <v>10.711206896551724</v>
      </c>
      <c r="GO426" s="243">
        <f t="shared" si="4615"/>
        <v>7.4676724137931032</v>
      </c>
      <c r="GP426" s="243">
        <f t="shared" si="4616"/>
        <v>22.000718390804597</v>
      </c>
      <c r="GQ426" s="252">
        <f t="shared" si="4617"/>
        <v>0</v>
      </c>
      <c r="GR426" s="309">
        <f t="shared" si="4618"/>
        <v>22.000718390804597</v>
      </c>
      <c r="GS426" s="218">
        <f>IF(GP426&lt;=0,1,0)+IF(GP426&gt;0,GP426+1,0)*1+IF(GP426&gt;12,GP426-12,0)*1+IF(GP426&gt;13,GP426-13,0)*1+IF(GP426&gt;14,GP426-14,0)*1+IF(GP426&gt;15,GP426-15,0)*1+IF(GP426&gt;16,GP426-16,0)*1+IF(GP426&gt;17,GP426-17,0)*1+IF(GP426&gt;18,GP426-18,0)*1+IF(GP426&gt;19,GP426-19,0)*1+IF(GP426&gt;20,GP426-20,0)*1</f>
        <v>77.007183908045945</v>
      </c>
      <c r="GT426" s="242">
        <f>IF(GQ426&lt;=0,1,0)+IF(GQ426&gt;0,GQ426+1,0)*1+IF(GQ426&gt;12,GQ426-12,0)*1+IF(GQ426&gt;13,GQ426-13,0)*1+IF(GQ426&gt;14,GQ426-14,0)*1+IF(GQ426&gt;15,GQ426-15,0)*1+IF(GQ426&gt;16,GQ426-16,0)*1+IF(GQ426&gt;17,GQ426-17,0)*1+IF(GQ426&gt;18,GQ426-18,0)*1+IF(GQ426&gt;19,GQ426-19,0)*1+IF(GQ426&gt;20,GQ426-20,0)*1</f>
        <v>1</v>
      </c>
      <c r="GU426" s="243">
        <f t="shared" si="4619"/>
        <v>76.007183908045945</v>
      </c>
      <c r="GV426" s="218">
        <f t="shared" si="4620"/>
        <v>0</v>
      </c>
      <c r="GX426" s="325" t="s">
        <v>242</v>
      </c>
      <c r="GY426" s="218" t="s">
        <v>8</v>
      </c>
      <c r="GZ426" s="223" t="s">
        <v>133</v>
      </c>
      <c r="HA426" s="237">
        <f>Konvention_1slave-MUslave</f>
        <v>12</v>
      </c>
      <c r="HB426" s="234"/>
      <c r="HC426" s="234">
        <f t="shared" ref="HC426:HC432" si="4650">Konvention_1slave-INslave</f>
        <v>12</v>
      </c>
      <c r="HD426" s="234"/>
      <c r="HE426" s="234"/>
      <c r="HF426" s="234">
        <f>Konvention_1slave-GEslave</f>
        <v>12</v>
      </c>
      <c r="HG426" s="234"/>
      <c r="HH426" s="224"/>
      <c r="HI426" s="223">
        <f>(HA426+HB426+HC426+HD426+HE426+HF426+HG426+HH426)/3</f>
        <v>12</v>
      </c>
      <c r="HJ426" s="223">
        <f t="shared" si="4621"/>
        <v>24</v>
      </c>
      <c r="HK426" s="234">
        <f t="shared" si="4622"/>
        <v>36</v>
      </c>
      <c r="HL426" s="237">
        <f>HA426*POWER(KLslave,SIGN(HB426))*POWER(INslave,SIGN(HC426))*POWER(CHslave,SIGN(HD426))*POWER(FFslave,SIGN(HE426))*POWER(GEslave,SIGN(HF426))*POWER(KOslave_KO,SIGN(HG426))*POWER(KKslave,SIGN(HH426))+HB426*POWER(MUslave,SIGN(HA426))*POWER(INslave,SIGN(HC426))*POWER(CHslave,SIGN(HD426))*POWER(FFslave,SIGN(HE426))*POWER(GEslave,SIGN(HF426))*POWER(KOslave_KO,SIGN(HG426))*POWER(KKslave,SIGN(HH426))+HC426*POWER(MUslave,SIGN(HA426))*POWER(KLslave,SIGN(HB426))*POWER(CHslave,SIGN(HD426))*POWER(FFslave,SIGN(HE426))*POWER(GEslave,SIGN(HF426))*POWER(KOslave_KO,SIGN(HG426))*POWER(KKslave,SIGN(HH426))+HD426*POWER(MUslave,SIGN(HA426))*POWER(KLslave,SIGN(HB426))*POWER(INslave,SIGN(HC426))*POWER(FFslave,SIGN(HE426))*POWER(GEslave,SIGN(HF426))*POWER(KOslave_KO,SIGN(HG426))*POWER(KKslave,SIGN(HH426))+HE426*POWER(MUslave,SIGN(HA426))*POWER(KLslave,SIGN(HB426))*POWER(INslave,SIGN(HC426))*POWER(CHslave,SIGN(HD426))*POWER(GEslave,SIGN(HF426))*POWER(KOslave_KO,SIGN(HG426))*POWER(KKslave,SIGN(HH426))+HF426*POWER(MUslave,SIGN(HA426))*POWER(KLslave,SIGN(HB426))*POWER(INslave,SIGN(HC426))*POWER(CHslave,SIGN(HD426))*POWER(FFslave,SIGN(HE426))*POWER(KOslave_KO,SIGN(HG426))*POWER(KKslave,SIGN(HH426))+HG426*POWER(MUslave,SIGN(HA426))*POWER(KLslave,SIGN(HB426))*POWER(INslave,SIGN(HC426))*POWER(CHslave,SIGN(HD426))*POWER(FFslave,SIGN(HE426))*POWER(GEslave,SIGN(HF426))*POWER(KKslave,SIGN(HH426))+HH426*POWER(MUslave,SIGN(HA426))*POWER(KLslave,SIGN(HB426))*POWER(INslave,SIGN(HC426))*POWER(CHslave,SIGN(HD426))*POWER(FFslave,SIGN(HE426))*POWER(GEslave,SIGN(HF426))*POWER(KOslave_KO,SIGN(HG426))</f>
        <v>2304</v>
      </c>
      <c r="HM426" s="234">
        <f>HA426*HC426*GEslave+HA426*INslave*HF426+MUslave*HC426*HF426</f>
        <v>3456</v>
      </c>
      <c r="HN426" s="224">
        <f>IFERROR(HA426^SIGN(HA426),1)*IFERROR(HB426^SIGN(HB426),1)*IFERROR(HC426^SIGN(HC426),1)*IFERROR(HD426^SIGN(HD426),1)*IFERROR(HE426^SIGN(HE426),1)*IFERROR(HF426^SIGN(HF426),1)*IFERROR(HG426^SIGN(HG426),1)*IFERROR(HH426^SIGN(HH426),1)</f>
        <v>1728</v>
      </c>
      <c r="HO426" s="242">
        <f t="shared" si="4623"/>
        <v>7488</v>
      </c>
      <c r="HP426" s="222">
        <f t="shared" si="4624"/>
        <v>3.6923076923076925</v>
      </c>
      <c r="HQ426" s="223">
        <f t="shared" si="4625"/>
        <v>11.076923076923077</v>
      </c>
      <c r="HR426" s="243">
        <f t="shared" si="4626"/>
        <v>8.3076923076923084</v>
      </c>
      <c r="HS426" s="243">
        <f t="shared" si="4627"/>
        <v>23.07692307692308</v>
      </c>
      <c r="HT426" s="252">
        <f t="shared" si="4628"/>
        <v>0</v>
      </c>
      <c r="HU426" s="309">
        <f t="shared" si="4629"/>
        <v>23.07692307692308</v>
      </c>
      <c r="HV426" s="218">
        <f>IF(HS426&lt;=0,1,0)+IF(HS426&gt;0,HS426+1,0)*1+IF(HS426&gt;12,HS426-12,0)*1+IF(HS426&gt;13,HS426-13,0)*1+IF(HS426&gt;14,HS426-14,0)*1+IF(HS426&gt;15,HS426-15,0)*1+IF(HS426&gt;16,HS426-16,0)*1+IF(HS426&gt;17,HS426-17,0)*1+IF(HS426&gt;18,HS426-18,0)*1+IF(HS426&gt;19,HS426-19,0)*1+IF(HS426&gt;20,HS426-20,0)*1</f>
        <v>87.769230769230802</v>
      </c>
      <c r="HW426" s="242">
        <f>IF(HT426&lt;=0,1,0)+IF(HT426&gt;0,HT426+1,0)*1+IF(HT426&gt;12,HT426-12,0)*1+IF(HT426&gt;13,HT426-13,0)*1+IF(HT426&gt;14,HT426-14,0)*1+IF(HT426&gt;15,HT426-15,0)*1+IF(HT426&gt;16,HT426-16,0)*1+IF(HT426&gt;17,HT426-17,0)*1+IF(HT426&gt;18,HT426-18,0)*1+IF(HT426&gt;19,HT426-19,0)*1+IF(HT426&gt;20,HT426-20,0)*1</f>
        <v>1</v>
      </c>
      <c r="HX426" s="243">
        <f t="shared" si="4630"/>
        <v>86.769230769230802</v>
      </c>
      <c r="HY426" s="218">
        <f t="shared" si="4631"/>
        <v>0</v>
      </c>
      <c r="IA426" s="325" t="s">
        <v>242</v>
      </c>
      <c r="IB426" s="218" t="s">
        <v>8</v>
      </c>
      <c r="IC426" s="223" t="s">
        <v>133</v>
      </c>
      <c r="ID426" s="237">
        <f>Konvention_1slave-MUslave</f>
        <v>12</v>
      </c>
      <c r="IE426" s="234"/>
      <c r="IF426" s="234">
        <f t="shared" ref="IF426:IF432" si="4651">Konvention_1slave-INslave</f>
        <v>12</v>
      </c>
      <c r="IG426" s="234"/>
      <c r="IH426" s="234"/>
      <c r="II426" s="234">
        <f>Konvention_1slave-GEslave</f>
        <v>12</v>
      </c>
      <c r="IJ426" s="234"/>
      <c r="IK426" s="224"/>
      <c r="IL426" s="223">
        <f>(ID426+IE426+IF426+IG426+IH426+II426+IJ426+IK426)/3</f>
        <v>12</v>
      </c>
      <c r="IM426" s="223">
        <f t="shared" si="4632"/>
        <v>24</v>
      </c>
      <c r="IN426" s="234">
        <f t="shared" si="4633"/>
        <v>36</v>
      </c>
      <c r="IO426" s="237">
        <f>ID426*POWER(KLslave,SIGN(IE426))*POWER(INslave,SIGN(IF426))*POWER(CHslave,SIGN(IG426))*POWER(FFslave,SIGN(IH426))*POWER(GEslave,SIGN(II426))*POWER(KOslave,SIGN(IJ426))*POWER(KKslave_KK,SIGN(IK426))+IE426*POWER(MUslave,SIGN(ID426))*POWER(INslave,SIGN(IF426))*POWER(CHslave,SIGN(IG426))*POWER(FFslave,SIGN(IH426))*POWER(GEslave,SIGN(II426))*POWER(KOslave,SIGN(IJ426))*POWER(KKslave_KK,SIGN(IK426))+IF426*POWER(MUslave,SIGN(ID426))*POWER(KLslave,SIGN(IE426))*POWER(CHslave,SIGN(IG426))*POWER(FFslave,SIGN(IH426))*POWER(GEslave,SIGN(II426))*POWER(KOslave,SIGN(IJ426))*POWER(KKslave_KK,SIGN(IK426))+IG426*POWER(MUslave,SIGN(ID426))*POWER(KLslave,SIGN(IE426))*POWER(INslave,SIGN(IF426))*POWER(FFslave,SIGN(IH426))*POWER(GEslave,SIGN(II426))*POWER(KOslave,SIGN(IJ426))*POWER(KKslave_KK,SIGN(IK426))+IH426*POWER(MUslave,SIGN(ID426))*POWER(KLslave,SIGN(IE426))*POWER(INslave,SIGN(IF426))*POWER(CHslave,SIGN(IG426))*POWER(GEslave,SIGN(II426))*POWER(KOslave,SIGN(IJ426))*POWER(KKslave_KK,SIGN(IK426))+II426*POWER(MUslave,SIGN(ID426))*POWER(KLslave,SIGN(IE426))*POWER(INslave,SIGN(IF426))*POWER(CHslave,SIGN(IG426))*POWER(FFslave,SIGN(IH426))*POWER(KOslave,SIGN(IJ426))*POWER(KKslave_KK,SIGN(IK426))+IJ426*POWER(MUslave,SIGN(ID426))*POWER(KLslave,SIGN(IE426))*POWER(INslave,SIGN(IF426))*POWER(CHslave,SIGN(IG426))*POWER(FFslave,SIGN(IH426))*POWER(GEslave,SIGN(II426))*POWER(KKslave_KK,SIGN(IK426))+IK426*POWER(MUslave,SIGN(ID426))*POWER(KLslave,SIGN(IE426))*POWER(INslave,SIGN(IF426))*POWER(CHslave,SIGN(IG426))*POWER(FFslave,SIGN(IH426))*POWER(GEslave,SIGN(II426))*POWER(KOslave,SIGN(IJ426))</f>
        <v>2304</v>
      </c>
      <c r="IP426" s="234">
        <f>ID426*IF426*GEslave+ID426*INslave*II426+MUslave*IF426*II426</f>
        <v>3456</v>
      </c>
      <c r="IQ426" s="224">
        <f>IFERROR(ID426^SIGN(ID426),1)*IFERROR(IE426^SIGN(IE426),1)*IFERROR(IF426^SIGN(IF426),1)*IFERROR(IG426^SIGN(IG426),1)*IFERROR(IH426^SIGN(IH426),1)*IFERROR(II426^SIGN(II426),1)*IFERROR(IJ426^SIGN(IJ426),1)*IFERROR(IK426^SIGN(IK426),1)</f>
        <v>1728</v>
      </c>
      <c r="IR426" s="242">
        <f t="shared" si="4634"/>
        <v>7488</v>
      </c>
      <c r="IS426" s="222">
        <f t="shared" si="4635"/>
        <v>3.6923076923076925</v>
      </c>
      <c r="IT426" s="223">
        <f t="shared" si="4636"/>
        <v>11.076923076923077</v>
      </c>
      <c r="IU426" s="243">
        <f t="shared" si="4637"/>
        <v>8.3076923076923084</v>
      </c>
      <c r="IV426" s="243">
        <f t="shared" si="4638"/>
        <v>23.07692307692308</v>
      </c>
      <c r="IW426" s="252">
        <f t="shared" si="4639"/>
        <v>0</v>
      </c>
      <c r="IX426" s="309">
        <f t="shared" si="4640"/>
        <v>23.07692307692308</v>
      </c>
      <c r="IY426" s="218">
        <f>IF(IV426&lt;=0,1,0)+IF(IV426&gt;0,IV426+1,0)*1+IF(IV426&gt;12,IV426-12,0)*1+IF(IV426&gt;13,IV426-13,0)*1+IF(IV426&gt;14,IV426-14,0)*1+IF(IV426&gt;15,IV426-15,0)*1+IF(IV426&gt;16,IV426-16,0)*1+IF(IV426&gt;17,IV426-17,0)*1+IF(IV426&gt;18,IV426-18,0)*1+IF(IV426&gt;19,IV426-19,0)*1+IF(IV426&gt;20,IV426-20,0)*1</f>
        <v>87.769230769230802</v>
      </c>
      <c r="IZ426" s="242">
        <f>IF(IW426&lt;=0,1,0)+IF(IW426&gt;0,IW426+1,0)*1+IF(IW426&gt;12,IW426-12,0)*1+IF(IW426&gt;13,IW426-13,0)*1+IF(IW426&gt;14,IW426-14,0)*1+IF(IW426&gt;15,IW426-15,0)*1+IF(IW426&gt;16,IW426-16,0)*1+IF(IW426&gt;17,IW426-17,0)*1+IF(IW426&gt;18,IW426-18,0)*1+IF(IW426&gt;19,IW426-19,0)*1+IF(IW426&gt;20,IW426-20,0)*1</f>
        <v>1</v>
      </c>
      <c r="JA426" s="243">
        <f t="shared" si="4641"/>
        <v>86.769230769230802</v>
      </c>
      <c r="JB426" s="218">
        <f t="shared" si="4642"/>
        <v>0</v>
      </c>
      <c r="JE426" s="148"/>
    </row>
    <row r="427" spans="2:265" ht="15" hidden="1" customHeight="1" outlineLevel="2">
      <c r="B427" s="148">
        <v>3</v>
      </c>
      <c r="C427" s="325" t="e">
        <f>VLOOKUP(AF427,Attribute!C:T,1,FALSE)</f>
        <v>#N/A</v>
      </c>
      <c r="D427" s="125" t="s">
        <v>276</v>
      </c>
      <c r="E427" s="47" t="s">
        <v>132</v>
      </c>
      <c r="F427" s="114"/>
      <c r="G427" s="113"/>
      <c r="H427" s="113">
        <f t="shared" si="4643"/>
        <v>12</v>
      </c>
      <c r="I427" s="113"/>
      <c r="J427" s="113"/>
      <c r="K427" s="113">
        <f>Konvention_1master-GEmaster</f>
        <v>12</v>
      </c>
      <c r="L427" s="113"/>
      <c r="M427" s="119"/>
      <c r="N427" s="223">
        <f>(H427+H427+K427)/3</f>
        <v>12</v>
      </c>
      <c r="O427" s="223">
        <f t="shared" si="4545"/>
        <v>24</v>
      </c>
      <c r="P427" s="234">
        <f t="shared" si="4546"/>
        <v>36</v>
      </c>
      <c r="Q427" s="237">
        <f>H427*POWER(GEmaster,SIGN(K427))*POWER(INmaster,SIGN(H427))+H427*POWER(GEmaster,SIGN(K427))*POWER(INmaster,SIGN(H427))+K427*POWER(INmaster,SIGN(H427))*POWER(INmaster,SIGN(H427))</f>
        <v>2304</v>
      </c>
      <c r="R427" s="113">
        <f>H427*H427*GEmaster+H427*INmaster*K427+INmaster*H427*K427</f>
        <v>3456</v>
      </c>
      <c r="S427" s="224">
        <f>H427*H427*K427</f>
        <v>1728</v>
      </c>
      <c r="T427" s="242">
        <f t="shared" si="4547"/>
        <v>7488</v>
      </c>
      <c r="U427" s="222">
        <f t="shared" si="4548"/>
        <v>3.6923076923076925</v>
      </c>
      <c r="V427" s="223">
        <f t="shared" si="4549"/>
        <v>11.076923076923077</v>
      </c>
      <c r="W427" s="243">
        <f t="shared" si="4550"/>
        <v>8.3076923076923084</v>
      </c>
      <c r="X427" s="243">
        <f t="shared" si="4551"/>
        <v>23.07692307692308</v>
      </c>
      <c r="Y427" s="252">
        <v>0</v>
      </c>
      <c r="Z427" s="198">
        <f t="shared" si="4552"/>
        <v>23.07692307692308</v>
      </c>
      <c r="AA427" s="125">
        <f>IF(X427&lt;=0,2,0)+IF(X427&gt;0,X427+1,0)*2+IF(X427&gt;12,X427-12,0)*2+IF(X427&gt;13,X427-13,0)*2+IF(X427&gt;14,X427-14,0)*2+IF(X427&gt;15,X427-15,0)*2+IF(X427&gt;16,X427-16,0)*2+IF(X427&gt;17,X427-17,0)*2+IF(X427&gt;18,X427-18,0)*2+IF(X427&gt;19,X427-19,0)*2+IF(X427&gt;20,X427-20,0)*2</f>
        <v>175.5384615384616</v>
      </c>
      <c r="AB427" s="160">
        <f>IF(Y427&lt;=0,2,0)+IF(Y427&gt;0,Y427+1,0)*2+IF(Y427&gt;12,Y427-12,0)*2+IF(Y427&gt;13,Y427-13,0)*2+IF(Y427&gt;14,Y427-14,0)*2+IF(Y427&gt;15,Y427-15,0)*2+IF(Y427&gt;16,Y427-16,0)*2+IF(Y427&gt;17,Y427-17,0)*2+IF(Y427&gt;18,Y427-18,0)*2+IF(Y427&gt;19,Y427-19,0)*2+IF(Y427&gt;20,Y427-20,0)*2</f>
        <v>2</v>
      </c>
      <c r="AC427" s="127">
        <f t="shared" si="4553"/>
        <v>173.5384615384616</v>
      </c>
      <c r="AD427" s="125">
        <f t="shared" si="4554"/>
        <v>0</v>
      </c>
      <c r="AF427" s="177" t="s">
        <v>251</v>
      </c>
      <c r="AG427" s="125" t="s">
        <v>276</v>
      </c>
      <c r="AH427" s="47" t="s">
        <v>132</v>
      </c>
      <c r="AI427" s="114"/>
      <c r="AJ427" s="113"/>
      <c r="AK427" s="113">
        <f t="shared" si="4644"/>
        <v>12</v>
      </c>
      <c r="AL427" s="113"/>
      <c r="AM427" s="113"/>
      <c r="AN427" s="113">
        <f>Konvention_1slave-GEslave</f>
        <v>12</v>
      </c>
      <c r="AO427" s="113"/>
      <c r="AP427" s="119"/>
      <c r="AQ427" s="47">
        <f>(AK427+AK427+AN427)/3</f>
        <v>12</v>
      </c>
      <c r="AR427" s="47">
        <f t="shared" si="4555"/>
        <v>24</v>
      </c>
      <c r="AS427" s="113">
        <f t="shared" si="4556"/>
        <v>36</v>
      </c>
      <c r="AT427" s="114">
        <f>AK427*POWER(GEslave,SIGN(AN427))*POWER(INslave,SIGN(AK427))+AK427*POWER(GEslave,SIGN(AN427))*POWER(INslave,SIGN(AK427))+AN427*POWER(INslave,SIGN(AK427))*POWER(INslave,SIGN(AK427))</f>
        <v>2304</v>
      </c>
      <c r="AU427" s="113">
        <f>AK427*AK427*GEslave+AK427*INslave*AN427+INslave*AK427*AN427</f>
        <v>3456</v>
      </c>
      <c r="AV427" s="119">
        <f>AK427*AK427*AN427</f>
        <v>1728</v>
      </c>
      <c r="AW427" s="160">
        <f t="shared" si="4557"/>
        <v>7488</v>
      </c>
      <c r="AX427" s="89">
        <f t="shared" si="4558"/>
        <v>3.6923076923076925</v>
      </c>
      <c r="AY427" s="47">
        <f t="shared" si="4559"/>
        <v>11.076923076923077</v>
      </c>
      <c r="AZ427" s="127">
        <f t="shared" si="4560"/>
        <v>8.3076923076923084</v>
      </c>
      <c r="BA427" s="127">
        <f t="shared" si="4561"/>
        <v>23.07692307692308</v>
      </c>
      <c r="BB427" s="165">
        <f t="shared" si="4562"/>
        <v>0</v>
      </c>
      <c r="BC427" s="198">
        <f t="shared" si="4563"/>
        <v>23.07692307692308</v>
      </c>
      <c r="BD427" s="125">
        <f>IF(BA427&lt;=0,2,0)+IF(BA427&gt;0,BA427+1,0)*2+IF(BA427&gt;12,BA427-12,0)*2+IF(BA427&gt;13,BA427-13,0)*2+IF(BA427&gt;14,BA427-14,0)*2+IF(BA427&gt;15,BA427-15,0)*2+IF(BA427&gt;16,BA427-16,0)*2+IF(BA427&gt;17,BA427-17,0)*2+IF(BA427&gt;18,BA427-18,0)*2+IF(BA427&gt;19,BA427-19,0)*2+IF(BA427&gt;20,BA427-20,0)*2</f>
        <v>175.5384615384616</v>
      </c>
      <c r="BE427" s="160">
        <f>IF(BB427&lt;=0,2,0)+IF(BB427&gt;0,BB427+1,0)*2+IF(BB427&gt;12,BB427-12,0)*2+IF(BB427&gt;13,BB427-13,0)*2+IF(BB427&gt;14,BB427-14,0)*2+IF(BB427&gt;15,BB427-15,0)*2+IF(BB427&gt;16,BB427-16,0)*2+IF(BB427&gt;17,BB427-17,0)*2+IF(BB427&gt;18,BB427-18,0)*2+IF(BB427&gt;19,BB427-19,0)*2+IF(BB427&gt;20,BB427-20,0)*2</f>
        <v>2</v>
      </c>
      <c r="BF427" s="243">
        <f t="shared" si="4564"/>
        <v>173.5384615384616</v>
      </c>
      <c r="BG427" s="218">
        <f t="shared" si="4565"/>
        <v>0</v>
      </c>
      <c r="BI427" s="325" t="s">
        <v>251</v>
      </c>
      <c r="BJ427" s="218" t="s">
        <v>276</v>
      </c>
      <c r="BK427" s="223" t="s">
        <v>132</v>
      </c>
      <c r="BL427" s="237"/>
      <c r="BM427" s="234"/>
      <c r="BN427" s="234">
        <f t="shared" si="4645"/>
        <v>12</v>
      </c>
      <c r="BO427" s="234"/>
      <c r="BP427" s="234"/>
      <c r="BQ427" s="234">
        <f>Konvention_1slave-GEslave</f>
        <v>12</v>
      </c>
      <c r="BR427" s="234"/>
      <c r="BS427" s="224"/>
      <c r="BT427" s="223">
        <f>(BN427+BN427+BQ427)/3</f>
        <v>12</v>
      </c>
      <c r="BU427" s="223">
        <f t="shared" si="4566"/>
        <v>24</v>
      </c>
      <c r="BV427" s="234">
        <f t="shared" si="4567"/>
        <v>36</v>
      </c>
      <c r="BW427" s="237">
        <f>BN427*POWER(GEslave,SIGN(BQ427))*POWER(INslave,SIGN(BN427))+BN427*POWER(GEslave,SIGN(BQ427))*POWER(INslave,SIGN(BN427))+BQ427*POWER(INslave,SIGN(BN427))*POWER(INslave,SIGN(BN427))</f>
        <v>2304</v>
      </c>
      <c r="BX427" s="234">
        <f>BN427*BN427*GEslave+BN427*INslave*BQ427+INslave*BN427*BQ427</f>
        <v>3456</v>
      </c>
      <c r="BY427" s="224">
        <f>BN427*BN427*BQ427</f>
        <v>1728</v>
      </c>
      <c r="BZ427" s="242">
        <f t="shared" si="4568"/>
        <v>7488</v>
      </c>
      <c r="CA427" s="222">
        <f t="shared" si="4569"/>
        <v>3.6923076923076925</v>
      </c>
      <c r="CB427" s="223">
        <f t="shared" si="4570"/>
        <v>11.076923076923077</v>
      </c>
      <c r="CC427" s="243">
        <f t="shared" si="4571"/>
        <v>8.3076923076923084</v>
      </c>
      <c r="CD427" s="243">
        <f t="shared" si="4572"/>
        <v>23.07692307692308</v>
      </c>
      <c r="CE427" s="252">
        <f t="shared" si="4573"/>
        <v>0</v>
      </c>
      <c r="CF427" s="309">
        <f t="shared" si="4574"/>
        <v>23.07692307692308</v>
      </c>
      <c r="CG427" s="218">
        <f>IF(CD427&lt;=0,2,0)+IF(CD427&gt;0,CD427+1,0)*2+IF(CD427&gt;12,CD427-12,0)*2+IF(CD427&gt;13,CD427-13,0)*2+IF(CD427&gt;14,CD427-14,0)*2+IF(CD427&gt;15,CD427-15,0)*2+IF(CD427&gt;16,CD427-16,0)*2+IF(CD427&gt;17,CD427-17,0)*2+IF(CD427&gt;18,CD427-18,0)*2+IF(CD427&gt;19,CD427-19,0)*2+IF(CD427&gt;20,CD427-20,0)*2</f>
        <v>175.5384615384616</v>
      </c>
      <c r="CH427" s="242">
        <f>IF(CE427&lt;=0,2,0)+IF(CE427&gt;0,CE427+1,0)*2+IF(CE427&gt;12,CE427-12,0)*2+IF(CE427&gt;13,CE427-13,0)*2+IF(CE427&gt;14,CE427-14,0)*2+IF(CE427&gt;15,CE427-15,0)*2+IF(CE427&gt;16,CE427-16,0)*2+IF(CE427&gt;17,CE427-17,0)*2+IF(CE427&gt;18,CE427-18,0)*2+IF(CE427&gt;19,CE427-19,0)*2+IF(CE427&gt;20,CE427-20,0)*2</f>
        <v>2</v>
      </c>
      <c r="CI427" s="243">
        <f t="shared" si="4575"/>
        <v>173.5384615384616</v>
      </c>
      <c r="CJ427" s="218">
        <f t="shared" si="4576"/>
        <v>0</v>
      </c>
      <c r="CL427" s="325" t="s">
        <v>251</v>
      </c>
      <c r="CM427" s="218" t="s">
        <v>276</v>
      </c>
      <c r="CN427" s="223" t="s">
        <v>132</v>
      </c>
      <c r="CO427" s="237"/>
      <c r="CP427" s="234"/>
      <c r="CQ427" s="234">
        <f t="shared" si="4646"/>
        <v>11</v>
      </c>
      <c r="CR427" s="234"/>
      <c r="CS427" s="234"/>
      <c r="CT427" s="234">
        <f>Konvention_1slave-GEslave</f>
        <v>12</v>
      </c>
      <c r="CU427" s="234"/>
      <c r="CV427" s="224"/>
      <c r="CW427" s="223">
        <f>(CQ427+CQ427+CT427)/3</f>
        <v>11.333333333333334</v>
      </c>
      <c r="CX427" s="223">
        <f t="shared" si="4577"/>
        <v>22.666666666666668</v>
      </c>
      <c r="CY427" s="234">
        <f t="shared" si="4578"/>
        <v>34</v>
      </c>
      <c r="CZ427" s="237">
        <f>CQ427*POWER(GEslave,SIGN(CT427))*POWER(INslave_IN,SIGN(CQ427))+CQ427*POWER(GEslave,SIGN(CT427))*POWER(INslave_IN,SIGN(CQ427))+CT427*POWER(INslave_IN,SIGN(CQ427))*POWER(INslave_IN,SIGN(CQ427))</f>
        <v>2556</v>
      </c>
      <c r="DA427" s="234">
        <f>CQ427*CQ427*GEslave+CQ427*INslave_IN*CT427+INslave_IN*CQ427*CT427</f>
        <v>3344</v>
      </c>
      <c r="DB427" s="224">
        <f>CQ427*CQ427*CT427</f>
        <v>1452</v>
      </c>
      <c r="DC427" s="242">
        <f t="shared" si="4579"/>
        <v>7352</v>
      </c>
      <c r="DD427" s="222">
        <f t="shared" si="4580"/>
        <v>3.940152339499456</v>
      </c>
      <c r="DE427" s="223">
        <f t="shared" si="4581"/>
        <v>10.309756982227059</v>
      </c>
      <c r="DF427" s="243">
        <f t="shared" si="4582"/>
        <v>6.714907508161045</v>
      </c>
      <c r="DG427" s="243">
        <f t="shared" si="4583"/>
        <v>20.96481682988756</v>
      </c>
      <c r="DH427" s="252">
        <f t="shared" si="4584"/>
        <v>0</v>
      </c>
      <c r="DI427" s="309">
        <f t="shared" si="4585"/>
        <v>20.96481682988756</v>
      </c>
      <c r="DJ427" s="218">
        <f>IF(DG427&lt;=0,2,0)+IF(DG427&gt;0,DG427+1,0)*2+IF(DG427&gt;12,DG427-12,0)*2+IF(DG427&gt;13,DG427-13,0)*2+IF(DG427&gt;14,DG427-14,0)*2+IF(DG427&gt;15,DG427-15,0)*2+IF(DG427&gt;16,DG427-16,0)*2+IF(DG427&gt;17,DG427-17,0)*2+IF(DG427&gt;18,DG427-18,0)*2+IF(DG427&gt;19,DG427-19,0)*2+IF(DG427&gt;20,DG427-20,0)*2</f>
        <v>133.29633659775118</v>
      </c>
      <c r="DK427" s="242">
        <f>IF(DH427&lt;=0,2,0)+IF(DH427&gt;0,DH427+1,0)*2+IF(DH427&gt;12,DH427-12,0)*2+IF(DH427&gt;13,DH427-13,0)*2+IF(DH427&gt;14,DH427-14,0)*2+IF(DH427&gt;15,DH427-15,0)*2+IF(DH427&gt;16,DH427-16,0)*2+IF(DH427&gt;17,DH427-17,0)*2+IF(DH427&gt;18,DH427-18,0)*2+IF(DH427&gt;19,DH427-19,0)*2+IF(DH427&gt;20,DH427-20,0)*2</f>
        <v>2</v>
      </c>
      <c r="DL427" s="243">
        <f t="shared" si="4586"/>
        <v>131.29633659775118</v>
      </c>
      <c r="DM427" s="218">
        <f t="shared" si="4587"/>
        <v>0</v>
      </c>
      <c r="DO427" s="325" t="s">
        <v>251</v>
      </c>
      <c r="DP427" s="218" t="s">
        <v>276</v>
      </c>
      <c r="DQ427" s="223" t="s">
        <v>132</v>
      </c>
      <c r="DR427" s="237"/>
      <c r="DS427" s="234"/>
      <c r="DT427" s="234">
        <f t="shared" si="4647"/>
        <v>12</v>
      </c>
      <c r="DU427" s="234"/>
      <c r="DV427" s="234"/>
      <c r="DW427" s="234">
        <f>Konvention_1slave-GEslave</f>
        <v>12</v>
      </c>
      <c r="DX427" s="234"/>
      <c r="DY427" s="224"/>
      <c r="DZ427" s="223">
        <f>(DT427+DT427+DW427)/3</f>
        <v>12</v>
      </c>
      <c r="EA427" s="223">
        <f t="shared" si="4588"/>
        <v>24</v>
      </c>
      <c r="EB427" s="234">
        <f t="shared" si="4589"/>
        <v>36</v>
      </c>
      <c r="EC427" s="237">
        <f>DT427*POWER(GEslave,SIGN(DW427))*POWER(INslave,SIGN(DT427))+DT427*POWER(GEslave,SIGN(DW427))*POWER(INslave,SIGN(DT427))+DW427*POWER(INslave,SIGN(DT427))*POWER(INslave,SIGN(DT427))</f>
        <v>2304</v>
      </c>
      <c r="ED427" s="234">
        <f>DT427*DT427*GEslave+DT427*INslave*DW427+INslave*DT427*DW427</f>
        <v>3456</v>
      </c>
      <c r="EE427" s="224">
        <f>DT427*DT427*DW427</f>
        <v>1728</v>
      </c>
      <c r="EF427" s="242">
        <f t="shared" si="4590"/>
        <v>7488</v>
      </c>
      <c r="EG427" s="222">
        <f t="shared" si="4591"/>
        <v>3.6923076923076925</v>
      </c>
      <c r="EH427" s="223">
        <f t="shared" si="4592"/>
        <v>11.076923076923077</v>
      </c>
      <c r="EI427" s="243">
        <f t="shared" si="4593"/>
        <v>8.3076923076923084</v>
      </c>
      <c r="EJ427" s="243">
        <f t="shared" si="4594"/>
        <v>23.07692307692308</v>
      </c>
      <c r="EK427" s="252">
        <f t="shared" si="4595"/>
        <v>0</v>
      </c>
      <c r="EL427" s="309">
        <f t="shared" si="4596"/>
        <v>23.07692307692308</v>
      </c>
      <c r="EM427" s="218">
        <f>IF(EJ427&lt;=0,2,0)+IF(EJ427&gt;0,EJ427+1,0)*2+IF(EJ427&gt;12,EJ427-12,0)*2+IF(EJ427&gt;13,EJ427-13,0)*2+IF(EJ427&gt;14,EJ427-14,0)*2+IF(EJ427&gt;15,EJ427-15,0)*2+IF(EJ427&gt;16,EJ427-16,0)*2+IF(EJ427&gt;17,EJ427-17,0)*2+IF(EJ427&gt;18,EJ427-18,0)*2+IF(EJ427&gt;19,EJ427-19,0)*2+IF(EJ427&gt;20,EJ427-20,0)*2</f>
        <v>175.5384615384616</v>
      </c>
      <c r="EN427" s="242">
        <f>IF(EK427&lt;=0,2,0)+IF(EK427&gt;0,EK427+1,0)*2+IF(EK427&gt;12,EK427-12,0)*2+IF(EK427&gt;13,EK427-13,0)*2+IF(EK427&gt;14,EK427-14,0)*2+IF(EK427&gt;15,EK427-15,0)*2+IF(EK427&gt;16,EK427-16,0)*2+IF(EK427&gt;17,EK427-17,0)*2+IF(EK427&gt;18,EK427-18,0)*2+IF(EK427&gt;19,EK427-19,0)*2+IF(EK427&gt;20,EK427-20,0)*2</f>
        <v>2</v>
      </c>
      <c r="EO427" s="243">
        <f t="shared" si="4597"/>
        <v>173.5384615384616</v>
      </c>
      <c r="EP427" s="218">
        <f t="shared" si="4598"/>
        <v>0</v>
      </c>
      <c r="ER427" s="325" t="s">
        <v>251</v>
      </c>
      <c r="ES427" s="218" t="s">
        <v>276</v>
      </c>
      <c r="ET427" s="223" t="s">
        <v>132</v>
      </c>
      <c r="EU427" s="237"/>
      <c r="EV427" s="234"/>
      <c r="EW427" s="234">
        <f t="shared" si="4648"/>
        <v>12</v>
      </c>
      <c r="EX427" s="234"/>
      <c r="EY427" s="234"/>
      <c r="EZ427" s="234">
        <f>Konvention_1slave-GEslave</f>
        <v>12</v>
      </c>
      <c r="FA427" s="234"/>
      <c r="FB427" s="224"/>
      <c r="FC427" s="223">
        <f>(EW427+EW427+EZ427)/3</f>
        <v>12</v>
      </c>
      <c r="FD427" s="223">
        <f t="shared" si="4599"/>
        <v>24</v>
      </c>
      <c r="FE427" s="234">
        <f t="shared" si="4600"/>
        <v>36</v>
      </c>
      <c r="FF427" s="237">
        <f>EW427*POWER(GEslave,SIGN(EZ427))*POWER(INslave,SIGN(EW427))+EW427*POWER(GEslave,SIGN(EZ427))*POWER(INslave,SIGN(EW427))+EZ427*POWER(INslave,SIGN(EW427))*POWER(INslave,SIGN(EW427))</f>
        <v>2304</v>
      </c>
      <c r="FG427" s="234">
        <f>EW427*EW427*GEslave+EW427*INslave*EZ427+INslave*EW427*EZ427</f>
        <v>3456</v>
      </c>
      <c r="FH427" s="224">
        <f>EW427*EW427*EZ427</f>
        <v>1728</v>
      </c>
      <c r="FI427" s="242">
        <f t="shared" si="4601"/>
        <v>7488</v>
      </c>
      <c r="FJ427" s="222">
        <f t="shared" si="4602"/>
        <v>3.6923076923076925</v>
      </c>
      <c r="FK427" s="223">
        <f t="shared" si="4603"/>
        <v>11.076923076923077</v>
      </c>
      <c r="FL427" s="243">
        <f t="shared" si="4604"/>
        <v>8.3076923076923084</v>
      </c>
      <c r="FM427" s="243">
        <f t="shared" si="4605"/>
        <v>23.07692307692308</v>
      </c>
      <c r="FN427" s="252">
        <f t="shared" si="4606"/>
        <v>0</v>
      </c>
      <c r="FO427" s="309">
        <f t="shared" si="4607"/>
        <v>23.07692307692308</v>
      </c>
      <c r="FP427" s="218">
        <f>IF(FM427&lt;=0,2,0)+IF(FM427&gt;0,FM427+1,0)*2+IF(FM427&gt;12,FM427-12,0)*2+IF(FM427&gt;13,FM427-13,0)*2+IF(FM427&gt;14,FM427-14,0)*2+IF(FM427&gt;15,FM427-15,0)*2+IF(FM427&gt;16,FM427-16,0)*2+IF(FM427&gt;17,FM427-17,0)*2+IF(FM427&gt;18,FM427-18,0)*2+IF(FM427&gt;19,FM427-19,0)*2+IF(FM427&gt;20,FM427-20,0)*2</f>
        <v>175.5384615384616</v>
      </c>
      <c r="FQ427" s="242">
        <f>IF(FN427&lt;=0,2,0)+IF(FN427&gt;0,FN427+1,0)*2+IF(FN427&gt;12,FN427-12,0)*2+IF(FN427&gt;13,FN427-13,0)*2+IF(FN427&gt;14,FN427-14,0)*2+IF(FN427&gt;15,FN427-15,0)*2+IF(FN427&gt;16,FN427-16,0)*2+IF(FN427&gt;17,FN427-17,0)*2+IF(FN427&gt;18,FN427-18,0)*2+IF(FN427&gt;19,FN427-19,0)*2+IF(FN427&gt;20,FN427-20,0)*2</f>
        <v>2</v>
      </c>
      <c r="FR427" s="243">
        <f t="shared" si="4608"/>
        <v>173.5384615384616</v>
      </c>
      <c r="FS427" s="218">
        <f t="shared" si="4609"/>
        <v>0</v>
      </c>
      <c r="FU427" s="325" t="s">
        <v>251</v>
      </c>
      <c r="FV427" s="218" t="s">
        <v>276</v>
      </c>
      <c r="FW427" s="223" t="s">
        <v>132</v>
      </c>
      <c r="FX427" s="237"/>
      <c r="FY427" s="234"/>
      <c r="FZ427" s="234">
        <f t="shared" si="4649"/>
        <v>12</v>
      </c>
      <c r="GA427" s="234"/>
      <c r="GB427" s="234"/>
      <c r="GC427" s="234">
        <f>Konvention_1slave-GEslave_GE</f>
        <v>11</v>
      </c>
      <c r="GD427" s="234"/>
      <c r="GE427" s="224"/>
      <c r="GF427" s="223">
        <f>(FZ427+FZ427+GC427)/3</f>
        <v>11.666666666666666</v>
      </c>
      <c r="GG427" s="223">
        <f t="shared" si="4610"/>
        <v>23.333333333333332</v>
      </c>
      <c r="GH427" s="234">
        <f t="shared" si="4611"/>
        <v>35</v>
      </c>
      <c r="GI427" s="237">
        <f>FZ427*POWER(GEslave_GE,SIGN(GC427))*POWER(INslave,SIGN(FZ427))+FZ427*POWER(GEslave_GE,SIGN(GC427))*POWER(INslave,SIGN(FZ427))+GC427*POWER(INslave,SIGN(FZ427))*POWER(INslave,SIGN(FZ427))</f>
        <v>2432</v>
      </c>
      <c r="GJ427" s="234">
        <f>FZ427*FZ427*GEslave_GE+FZ427*INslave*GC427+INslave*FZ427*GC427</f>
        <v>3408</v>
      </c>
      <c r="GK427" s="224">
        <f>FZ427*FZ427*GC427</f>
        <v>1584</v>
      </c>
      <c r="GL427" s="242">
        <f t="shared" si="4612"/>
        <v>7424</v>
      </c>
      <c r="GM427" s="222">
        <f t="shared" si="4613"/>
        <v>3.8218390804597702</v>
      </c>
      <c r="GN427" s="223">
        <f t="shared" si="4614"/>
        <v>10.711206896551724</v>
      </c>
      <c r="GO427" s="243">
        <f t="shared" si="4615"/>
        <v>7.4676724137931032</v>
      </c>
      <c r="GP427" s="243">
        <f t="shared" si="4616"/>
        <v>22.000718390804597</v>
      </c>
      <c r="GQ427" s="252">
        <f t="shared" si="4617"/>
        <v>0</v>
      </c>
      <c r="GR427" s="309">
        <f t="shared" si="4618"/>
        <v>22.000718390804597</v>
      </c>
      <c r="GS427" s="218">
        <f>IF(GP427&lt;=0,2,0)+IF(GP427&gt;0,GP427+1,0)*2+IF(GP427&gt;12,GP427-12,0)*2+IF(GP427&gt;13,GP427-13,0)*2+IF(GP427&gt;14,GP427-14,0)*2+IF(GP427&gt;15,GP427-15,0)*2+IF(GP427&gt;16,GP427-16,0)*2+IF(GP427&gt;17,GP427-17,0)*2+IF(GP427&gt;18,GP427-18,0)*2+IF(GP427&gt;19,GP427-19,0)*2+IF(GP427&gt;20,GP427-20,0)*2</f>
        <v>154.01436781609189</v>
      </c>
      <c r="GT427" s="242">
        <f>IF(GQ427&lt;=0,2,0)+IF(GQ427&gt;0,GQ427+1,0)*2+IF(GQ427&gt;12,GQ427-12,0)*2+IF(GQ427&gt;13,GQ427-13,0)*2+IF(GQ427&gt;14,GQ427-14,0)*2+IF(GQ427&gt;15,GQ427-15,0)*2+IF(GQ427&gt;16,GQ427-16,0)*2+IF(GQ427&gt;17,GQ427-17,0)*2+IF(GQ427&gt;18,GQ427-18,0)*2+IF(GQ427&gt;19,GQ427-19,0)*2+IF(GQ427&gt;20,GQ427-20,0)*2</f>
        <v>2</v>
      </c>
      <c r="GU427" s="243">
        <f t="shared" si="4619"/>
        <v>152.01436781609189</v>
      </c>
      <c r="GV427" s="218">
        <f t="shared" si="4620"/>
        <v>0</v>
      </c>
      <c r="GX427" s="325" t="s">
        <v>251</v>
      </c>
      <c r="GY427" s="218" t="s">
        <v>276</v>
      </c>
      <c r="GZ427" s="223" t="s">
        <v>132</v>
      </c>
      <c r="HA427" s="237"/>
      <c r="HB427" s="234"/>
      <c r="HC427" s="234">
        <f t="shared" si="4650"/>
        <v>12</v>
      </c>
      <c r="HD427" s="234"/>
      <c r="HE427" s="234"/>
      <c r="HF427" s="234">
        <f>Konvention_1slave-GEslave</f>
        <v>12</v>
      </c>
      <c r="HG427" s="234"/>
      <c r="HH427" s="224"/>
      <c r="HI427" s="223">
        <f>(HC427+HC427+HF427)/3</f>
        <v>12</v>
      </c>
      <c r="HJ427" s="223">
        <f t="shared" si="4621"/>
        <v>24</v>
      </c>
      <c r="HK427" s="234">
        <f t="shared" si="4622"/>
        <v>36</v>
      </c>
      <c r="HL427" s="237">
        <f>HC427*POWER(GEslave,SIGN(HF427))*POWER(INslave,SIGN(HC427))+HC427*POWER(GEslave,SIGN(HF427))*POWER(INslave,SIGN(HC427))+HF427*POWER(INslave,SIGN(HC427))*POWER(INslave,SIGN(HC427))</f>
        <v>2304</v>
      </c>
      <c r="HM427" s="234">
        <f>HC427*HC427*GEslave+HC427*INslave*HF427+INslave*HC427*HF427</f>
        <v>3456</v>
      </c>
      <c r="HN427" s="224">
        <f>HC427*HC427*HF427</f>
        <v>1728</v>
      </c>
      <c r="HO427" s="242">
        <f t="shared" si="4623"/>
        <v>7488</v>
      </c>
      <c r="HP427" s="222">
        <f t="shared" si="4624"/>
        <v>3.6923076923076925</v>
      </c>
      <c r="HQ427" s="223">
        <f t="shared" si="4625"/>
        <v>11.076923076923077</v>
      </c>
      <c r="HR427" s="243">
        <f t="shared" si="4626"/>
        <v>8.3076923076923084</v>
      </c>
      <c r="HS427" s="243">
        <f t="shared" si="4627"/>
        <v>23.07692307692308</v>
      </c>
      <c r="HT427" s="252">
        <f t="shared" si="4628"/>
        <v>0</v>
      </c>
      <c r="HU427" s="309">
        <f t="shared" si="4629"/>
        <v>23.07692307692308</v>
      </c>
      <c r="HV427" s="218">
        <f>IF(HS427&lt;=0,2,0)+IF(HS427&gt;0,HS427+1,0)*2+IF(HS427&gt;12,HS427-12,0)*2+IF(HS427&gt;13,HS427-13,0)*2+IF(HS427&gt;14,HS427-14,0)*2+IF(HS427&gt;15,HS427-15,0)*2+IF(HS427&gt;16,HS427-16,0)*2+IF(HS427&gt;17,HS427-17,0)*2+IF(HS427&gt;18,HS427-18,0)*2+IF(HS427&gt;19,HS427-19,0)*2+IF(HS427&gt;20,HS427-20,0)*2</f>
        <v>175.5384615384616</v>
      </c>
      <c r="HW427" s="242">
        <f>IF(HT427&lt;=0,2,0)+IF(HT427&gt;0,HT427+1,0)*2+IF(HT427&gt;12,HT427-12,0)*2+IF(HT427&gt;13,HT427-13,0)*2+IF(HT427&gt;14,HT427-14,0)*2+IF(HT427&gt;15,HT427-15,0)*2+IF(HT427&gt;16,HT427-16,0)*2+IF(HT427&gt;17,HT427-17,0)*2+IF(HT427&gt;18,HT427-18,0)*2+IF(HT427&gt;19,HT427-19,0)*2+IF(HT427&gt;20,HT427-20,0)*2</f>
        <v>2</v>
      </c>
      <c r="HX427" s="243">
        <f t="shared" si="4630"/>
        <v>173.5384615384616</v>
      </c>
      <c r="HY427" s="218">
        <f t="shared" si="4631"/>
        <v>0</v>
      </c>
      <c r="IA427" s="325" t="s">
        <v>251</v>
      </c>
      <c r="IB427" s="218" t="s">
        <v>276</v>
      </c>
      <c r="IC427" s="223" t="s">
        <v>132</v>
      </c>
      <c r="ID427" s="237"/>
      <c r="IE427" s="234"/>
      <c r="IF427" s="234">
        <f t="shared" si="4651"/>
        <v>12</v>
      </c>
      <c r="IG427" s="234"/>
      <c r="IH427" s="234"/>
      <c r="II427" s="234">
        <f>Konvention_1slave-GEslave</f>
        <v>12</v>
      </c>
      <c r="IJ427" s="234"/>
      <c r="IK427" s="224"/>
      <c r="IL427" s="223">
        <f>(IF427+IF427+II427)/3</f>
        <v>12</v>
      </c>
      <c r="IM427" s="223">
        <f t="shared" si="4632"/>
        <v>24</v>
      </c>
      <c r="IN427" s="234">
        <f t="shared" si="4633"/>
        <v>36</v>
      </c>
      <c r="IO427" s="237">
        <f>IF427*POWER(GEslave,SIGN(II427))*POWER(INslave,SIGN(IF427))+IF427*POWER(GEslave,SIGN(II427))*POWER(INslave,SIGN(IF427))+II427*POWER(INslave,SIGN(IF427))*POWER(INslave,SIGN(IF427))</f>
        <v>2304</v>
      </c>
      <c r="IP427" s="234">
        <f>IF427*IF427*GEslave+IF427*INslave*II427+INslave*IF427*II427</f>
        <v>3456</v>
      </c>
      <c r="IQ427" s="224">
        <f>IF427*IF427*II427</f>
        <v>1728</v>
      </c>
      <c r="IR427" s="242">
        <f t="shared" si="4634"/>
        <v>7488</v>
      </c>
      <c r="IS427" s="222">
        <f t="shared" si="4635"/>
        <v>3.6923076923076925</v>
      </c>
      <c r="IT427" s="223">
        <f t="shared" si="4636"/>
        <v>11.076923076923077</v>
      </c>
      <c r="IU427" s="243">
        <f t="shared" si="4637"/>
        <v>8.3076923076923084</v>
      </c>
      <c r="IV427" s="243">
        <f t="shared" si="4638"/>
        <v>23.07692307692308</v>
      </c>
      <c r="IW427" s="252">
        <f t="shared" si="4639"/>
        <v>0</v>
      </c>
      <c r="IX427" s="309">
        <f t="shared" si="4640"/>
        <v>23.07692307692308</v>
      </c>
      <c r="IY427" s="218">
        <f>IF(IV427&lt;=0,2,0)+IF(IV427&gt;0,IV427+1,0)*2+IF(IV427&gt;12,IV427-12,0)*2+IF(IV427&gt;13,IV427-13,0)*2+IF(IV427&gt;14,IV427-14,0)*2+IF(IV427&gt;15,IV427-15,0)*2+IF(IV427&gt;16,IV427-16,0)*2+IF(IV427&gt;17,IV427-17,0)*2+IF(IV427&gt;18,IV427-18,0)*2+IF(IV427&gt;19,IV427-19,0)*2+IF(IV427&gt;20,IV427-20,0)*2</f>
        <v>175.5384615384616</v>
      </c>
      <c r="IZ427" s="242">
        <f>IF(IW427&lt;=0,2,0)+IF(IW427&gt;0,IW427+1,0)*2+IF(IW427&gt;12,IW427-12,0)*2+IF(IW427&gt;13,IW427-13,0)*2+IF(IW427&gt;14,IW427-14,0)*2+IF(IW427&gt;15,IW427-15,0)*2+IF(IW427&gt;16,IW427-16,0)*2+IF(IW427&gt;17,IW427-17,0)*2+IF(IW427&gt;18,IW427-18,0)*2+IF(IW427&gt;19,IW427-19,0)*2+IF(IW427&gt;20,IW427-20,0)*2</f>
        <v>2</v>
      </c>
      <c r="JA427" s="243">
        <f t="shared" si="4641"/>
        <v>173.5384615384616</v>
      </c>
      <c r="JB427" s="218">
        <f t="shared" si="4642"/>
        <v>0</v>
      </c>
      <c r="JE427" s="148"/>
    </row>
    <row r="428" spans="2:265" ht="15" hidden="1" customHeight="1" outlineLevel="2">
      <c r="B428" s="148">
        <v>4</v>
      </c>
      <c r="C428" s="325" t="e">
        <f>VLOOKUP(AF428,Attribute!C:T,1,FALSE)</f>
        <v>#N/A</v>
      </c>
      <c r="D428" s="125" t="s">
        <v>94</v>
      </c>
      <c r="E428" s="47" t="s">
        <v>133</v>
      </c>
      <c r="F428" s="114"/>
      <c r="G428" s="113">
        <f>Konvention_1master-KLmaster</f>
        <v>12</v>
      </c>
      <c r="H428" s="113">
        <f t="shared" si="4643"/>
        <v>12</v>
      </c>
      <c r="I428" s="113"/>
      <c r="J428" s="113"/>
      <c r="K428" s="113"/>
      <c r="L428" s="113"/>
      <c r="M428" s="119"/>
      <c r="N428" s="223">
        <f>(G428+G428+H428)/3</f>
        <v>12</v>
      </c>
      <c r="O428" s="223">
        <f t="shared" si="4545"/>
        <v>24</v>
      </c>
      <c r="P428" s="234">
        <f t="shared" si="4546"/>
        <v>36</v>
      </c>
      <c r="Q428" s="237">
        <f>G428*POWER(INmaster,SIGN(H428))*POWER(KLmaster,SIGN(G428))+G428*POWER(INmaster,SIGN(H428))*POWER(KLmaster,SIGN(G428))+H428*POWER(KLmaster,SIGN(G428))*POWER(KLmaster,SIGN(G428))</f>
        <v>2304</v>
      </c>
      <c r="R428" s="113">
        <f>G428*G428*INmaster+G428*KLmaster*H428+KLmaster*G428*H428</f>
        <v>3456</v>
      </c>
      <c r="S428" s="224">
        <f>G428*G428*H428</f>
        <v>1728</v>
      </c>
      <c r="T428" s="242">
        <f t="shared" si="4547"/>
        <v>7488</v>
      </c>
      <c r="U428" s="222">
        <f t="shared" si="4548"/>
        <v>3.6923076923076925</v>
      </c>
      <c r="V428" s="223">
        <f t="shared" si="4549"/>
        <v>11.076923076923077</v>
      </c>
      <c r="W428" s="243">
        <f t="shared" si="4550"/>
        <v>8.3076923076923084</v>
      </c>
      <c r="X428" s="243">
        <f t="shared" si="4551"/>
        <v>23.07692307692308</v>
      </c>
      <c r="Y428" s="252">
        <v>0</v>
      </c>
      <c r="Z428" s="198">
        <f t="shared" si="4552"/>
        <v>23.07692307692308</v>
      </c>
      <c r="AA428" s="125">
        <f>IF(X428&lt;=0,1,0)+IF(X428&gt;0,X428+1,0)*1+IF(X428&gt;12,X428-12,0)*1+IF(X428&gt;13,X428-13,0)*1+IF(X428&gt;14,X428-14,0)*1+IF(X428&gt;15,X428-15,0)*1+IF(X428&gt;16,X428-16,0)*1+IF(X428&gt;17,X428-17,0)*1+IF(X428&gt;18,X428-18,0)*1+IF(X428&gt;19,X428-19,0)*1+IF(X428&gt;20,X428-20,0)*1</f>
        <v>87.769230769230802</v>
      </c>
      <c r="AB428" s="160">
        <f>IF(Y428&lt;=0,1,0)+IF(Y428&gt;0,Y428+1,0)*1+IF(Y428&gt;12,Y428-12,0)*1+IF(Y428&gt;13,Y428-13,0)*1+IF(Y428&gt;14,Y428-14,0)*1+IF(Y428&gt;15,Y428-15,0)*1+IF(Y428&gt;16,Y428-16,0)*1+IF(Y428&gt;17,Y428-17,0)*1+IF(Y428&gt;18,Y428-18,0)*1+IF(Y428&gt;19,Y428-19,0)*1+IF(Y428&gt;20,Y428-20,0)*1</f>
        <v>1</v>
      </c>
      <c r="AC428" s="127">
        <f t="shared" si="4553"/>
        <v>86.769230769230802</v>
      </c>
      <c r="AD428" s="125">
        <f t="shared" si="4554"/>
        <v>0</v>
      </c>
      <c r="AF428" s="177" t="s">
        <v>254</v>
      </c>
      <c r="AG428" s="125" t="s">
        <v>94</v>
      </c>
      <c r="AH428" s="47" t="s">
        <v>133</v>
      </c>
      <c r="AI428" s="114"/>
      <c r="AJ428" s="113">
        <f>Konvention_1slave-KLslave</f>
        <v>12</v>
      </c>
      <c r="AK428" s="113">
        <f t="shared" si="4644"/>
        <v>12</v>
      </c>
      <c r="AL428" s="113"/>
      <c r="AM428" s="113"/>
      <c r="AN428" s="113"/>
      <c r="AO428" s="113"/>
      <c r="AP428" s="119"/>
      <c r="AQ428" s="47">
        <f>(AJ428+AJ428+AK428)/3</f>
        <v>12</v>
      </c>
      <c r="AR428" s="47">
        <f t="shared" si="4555"/>
        <v>24</v>
      </c>
      <c r="AS428" s="113">
        <f t="shared" si="4556"/>
        <v>36</v>
      </c>
      <c r="AT428" s="114">
        <f>AJ428*POWER(INslave,SIGN(AK428))*POWER(KLslave,SIGN(AJ428))+AJ428*POWER(INslave,SIGN(AK428))*POWER(KLslave,SIGN(AJ428))+AK428*POWER(KLslave,SIGN(AJ428))*POWER(KLslave,SIGN(AJ428))</f>
        <v>2304</v>
      </c>
      <c r="AU428" s="113">
        <f>AJ428*AJ428*INslave+AJ428*KLslave*AK428+KLslave*AJ428*AK428</f>
        <v>3456</v>
      </c>
      <c r="AV428" s="119">
        <f>AJ428*AJ428*AK428</f>
        <v>1728</v>
      </c>
      <c r="AW428" s="160">
        <f t="shared" si="4557"/>
        <v>7488</v>
      </c>
      <c r="AX428" s="89">
        <f t="shared" si="4558"/>
        <v>3.6923076923076925</v>
      </c>
      <c r="AY428" s="47">
        <f t="shared" si="4559"/>
        <v>11.076923076923077</v>
      </c>
      <c r="AZ428" s="127">
        <f t="shared" si="4560"/>
        <v>8.3076923076923084</v>
      </c>
      <c r="BA428" s="127">
        <f t="shared" si="4561"/>
        <v>23.07692307692308</v>
      </c>
      <c r="BB428" s="165">
        <f t="shared" si="4562"/>
        <v>0</v>
      </c>
      <c r="BC428" s="198">
        <f t="shared" si="4563"/>
        <v>23.07692307692308</v>
      </c>
      <c r="BD428" s="125">
        <f>IF(BA428&lt;=0,1,0)+IF(BA428&gt;0,BA428+1,0)*1+IF(BA428&gt;12,BA428-12,0)*1+IF(BA428&gt;13,BA428-13,0)*1+IF(BA428&gt;14,BA428-14,0)*1+IF(BA428&gt;15,BA428-15,0)*1+IF(BA428&gt;16,BA428-16,0)*1+IF(BA428&gt;17,BA428-17,0)*1+IF(BA428&gt;18,BA428-18,0)*1+IF(BA428&gt;19,BA428-19,0)*1+IF(BA428&gt;20,BA428-20,0)*1</f>
        <v>87.769230769230802</v>
      </c>
      <c r="BE428" s="160">
        <f>IF(BB428&lt;=0,1,0)+IF(BB428&gt;0,BB428+1,0)*1+IF(BB428&gt;12,BB428-12,0)*1+IF(BB428&gt;13,BB428-13,0)*1+IF(BB428&gt;14,BB428-14,0)*1+IF(BB428&gt;15,BB428-15,0)*1+IF(BB428&gt;16,BB428-16,0)*1+IF(BB428&gt;17,BB428-17,0)*1+IF(BB428&gt;18,BB428-18,0)*1+IF(BB428&gt;19,BB428-19,0)*1+IF(BB428&gt;20,BB428-20,0)*1</f>
        <v>1</v>
      </c>
      <c r="BF428" s="243">
        <f t="shared" si="4564"/>
        <v>86.769230769230802</v>
      </c>
      <c r="BG428" s="218">
        <f t="shared" si="4565"/>
        <v>0</v>
      </c>
      <c r="BI428" s="325" t="s">
        <v>254</v>
      </c>
      <c r="BJ428" s="218" t="s">
        <v>94</v>
      </c>
      <c r="BK428" s="223" t="s">
        <v>133</v>
      </c>
      <c r="BL428" s="237"/>
      <c r="BM428" s="234">
        <f>Konvention_1slave-KLslave_KL</f>
        <v>11</v>
      </c>
      <c r="BN428" s="234">
        <f t="shared" si="4645"/>
        <v>12</v>
      </c>
      <c r="BO428" s="234"/>
      <c r="BP428" s="234"/>
      <c r="BQ428" s="234"/>
      <c r="BR428" s="234"/>
      <c r="BS428" s="224"/>
      <c r="BT428" s="223">
        <f>(BM428+BM428+BN428)/3</f>
        <v>11.333333333333334</v>
      </c>
      <c r="BU428" s="223">
        <f t="shared" si="4566"/>
        <v>22.666666666666668</v>
      </c>
      <c r="BV428" s="234">
        <f t="shared" si="4567"/>
        <v>34</v>
      </c>
      <c r="BW428" s="237">
        <f>BM428*POWER(INslave,SIGN(BN428))*POWER(KLslave_KL,SIGN(BM428))+BM428*POWER(INslave,SIGN(BN428))*POWER(KLslave_KL,SIGN(BM428))+BN428*POWER(KLslave_KL,SIGN(BM428))*POWER(KLslave_KL,SIGN(BM428))</f>
        <v>2556</v>
      </c>
      <c r="BX428" s="234">
        <f>BM428*BM428*INslave+BM428*KLslave_KL*BN428+KLslave_KL*BM428*BN428</f>
        <v>3344</v>
      </c>
      <c r="BY428" s="224">
        <f>BM428*BM428*BN428</f>
        <v>1452</v>
      </c>
      <c r="BZ428" s="242">
        <f t="shared" si="4568"/>
        <v>7352</v>
      </c>
      <c r="CA428" s="222">
        <f t="shared" si="4569"/>
        <v>3.940152339499456</v>
      </c>
      <c r="CB428" s="223">
        <f t="shared" si="4570"/>
        <v>10.309756982227059</v>
      </c>
      <c r="CC428" s="243">
        <f t="shared" si="4571"/>
        <v>6.714907508161045</v>
      </c>
      <c r="CD428" s="243">
        <f t="shared" si="4572"/>
        <v>20.96481682988756</v>
      </c>
      <c r="CE428" s="252">
        <f t="shared" si="4573"/>
        <v>0</v>
      </c>
      <c r="CF428" s="309">
        <f t="shared" si="4574"/>
        <v>20.96481682988756</v>
      </c>
      <c r="CG428" s="218">
        <f>IF(CD428&lt;=0,1,0)+IF(CD428&gt;0,CD428+1,0)*1+IF(CD428&gt;12,CD428-12,0)*1+IF(CD428&gt;13,CD428-13,0)*1+IF(CD428&gt;14,CD428-14,0)*1+IF(CD428&gt;15,CD428-15,0)*1+IF(CD428&gt;16,CD428-16,0)*1+IF(CD428&gt;17,CD428-17,0)*1+IF(CD428&gt;18,CD428-18,0)*1+IF(CD428&gt;19,CD428-19,0)*1+IF(CD428&gt;20,CD428-20,0)*1</f>
        <v>66.648168298875589</v>
      </c>
      <c r="CH428" s="242">
        <f>IF(CE428&lt;=0,1,0)+IF(CE428&gt;0,CE428+1,0)*1+IF(CE428&gt;12,CE428-12,0)*1+IF(CE428&gt;13,CE428-13,0)*1+IF(CE428&gt;14,CE428-14,0)*1+IF(CE428&gt;15,CE428-15,0)*1+IF(CE428&gt;16,CE428-16,0)*1+IF(CE428&gt;17,CE428-17,0)*1+IF(CE428&gt;18,CE428-18,0)*1+IF(CE428&gt;19,CE428-19,0)*1+IF(CE428&gt;20,CE428-20,0)*1</f>
        <v>1</v>
      </c>
      <c r="CI428" s="243">
        <f t="shared" si="4575"/>
        <v>65.648168298875589</v>
      </c>
      <c r="CJ428" s="218">
        <f t="shared" si="4576"/>
        <v>0</v>
      </c>
      <c r="CL428" s="325" t="s">
        <v>254</v>
      </c>
      <c r="CM428" s="218" t="s">
        <v>94</v>
      </c>
      <c r="CN428" s="223" t="s">
        <v>133</v>
      </c>
      <c r="CO428" s="237"/>
      <c r="CP428" s="234">
        <f>Konvention_1slave-KLslave</f>
        <v>12</v>
      </c>
      <c r="CQ428" s="234">
        <f t="shared" si="4646"/>
        <v>11</v>
      </c>
      <c r="CR428" s="234"/>
      <c r="CS428" s="234"/>
      <c r="CT428" s="234"/>
      <c r="CU428" s="234"/>
      <c r="CV428" s="224"/>
      <c r="CW428" s="223">
        <f>(CP428+CP428+CQ428)/3</f>
        <v>11.666666666666666</v>
      </c>
      <c r="CX428" s="223">
        <f t="shared" si="4577"/>
        <v>23.333333333333332</v>
      </c>
      <c r="CY428" s="234">
        <f t="shared" si="4578"/>
        <v>35</v>
      </c>
      <c r="CZ428" s="237">
        <f>CP428*POWER(INslave_IN,SIGN(CQ428))*POWER(KLslave,SIGN(CP428))+CP428*POWER(INslave_IN,SIGN(CQ428))*POWER(KLslave,SIGN(CP428))+CQ428*POWER(KLslave,SIGN(CP428))*POWER(KLslave,SIGN(CP428))</f>
        <v>2432</v>
      </c>
      <c r="DA428" s="234">
        <f>CP428*CP428*INslave_IN+CP428*KLslave*CQ428+KLslave*CP428*CQ428</f>
        <v>3408</v>
      </c>
      <c r="DB428" s="224">
        <f>CP428*CP428*CQ428</f>
        <v>1584</v>
      </c>
      <c r="DC428" s="242">
        <f t="shared" si="4579"/>
        <v>7424</v>
      </c>
      <c r="DD428" s="222">
        <f t="shared" si="4580"/>
        <v>3.8218390804597702</v>
      </c>
      <c r="DE428" s="223">
        <f t="shared" si="4581"/>
        <v>10.711206896551724</v>
      </c>
      <c r="DF428" s="243">
        <f t="shared" si="4582"/>
        <v>7.4676724137931032</v>
      </c>
      <c r="DG428" s="243">
        <f t="shared" si="4583"/>
        <v>22.000718390804597</v>
      </c>
      <c r="DH428" s="252">
        <f t="shared" si="4584"/>
        <v>0</v>
      </c>
      <c r="DI428" s="309">
        <f t="shared" si="4585"/>
        <v>22.000718390804597</v>
      </c>
      <c r="DJ428" s="218">
        <f>IF(DG428&lt;=0,1,0)+IF(DG428&gt;0,DG428+1,0)*1+IF(DG428&gt;12,DG428-12,0)*1+IF(DG428&gt;13,DG428-13,0)*1+IF(DG428&gt;14,DG428-14,0)*1+IF(DG428&gt;15,DG428-15,0)*1+IF(DG428&gt;16,DG428-16,0)*1+IF(DG428&gt;17,DG428-17,0)*1+IF(DG428&gt;18,DG428-18,0)*1+IF(DG428&gt;19,DG428-19,0)*1+IF(DG428&gt;20,DG428-20,0)*1</f>
        <v>77.007183908045945</v>
      </c>
      <c r="DK428" s="242">
        <f>IF(DH428&lt;=0,1,0)+IF(DH428&gt;0,DH428+1,0)*1+IF(DH428&gt;12,DH428-12,0)*1+IF(DH428&gt;13,DH428-13,0)*1+IF(DH428&gt;14,DH428-14,0)*1+IF(DH428&gt;15,DH428-15,0)*1+IF(DH428&gt;16,DH428-16,0)*1+IF(DH428&gt;17,DH428-17,0)*1+IF(DH428&gt;18,DH428-18,0)*1+IF(DH428&gt;19,DH428-19,0)*1+IF(DH428&gt;20,DH428-20,0)*1</f>
        <v>1</v>
      </c>
      <c r="DL428" s="243">
        <f t="shared" si="4586"/>
        <v>76.007183908045945</v>
      </c>
      <c r="DM428" s="218">
        <f t="shared" si="4587"/>
        <v>0</v>
      </c>
      <c r="DO428" s="325" t="s">
        <v>254</v>
      </c>
      <c r="DP428" s="218" t="s">
        <v>94</v>
      </c>
      <c r="DQ428" s="223" t="s">
        <v>133</v>
      </c>
      <c r="DR428" s="237"/>
      <c r="DS428" s="234">
        <f>Konvention_1slave-KLslave</f>
        <v>12</v>
      </c>
      <c r="DT428" s="234">
        <f t="shared" si="4647"/>
        <v>12</v>
      </c>
      <c r="DU428" s="234"/>
      <c r="DV428" s="234"/>
      <c r="DW428" s="234"/>
      <c r="DX428" s="234"/>
      <c r="DY428" s="224"/>
      <c r="DZ428" s="223">
        <f>(DS428+DS428+DT428)/3</f>
        <v>12</v>
      </c>
      <c r="EA428" s="223">
        <f t="shared" si="4588"/>
        <v>24</v>
      </c>
      <c r="EB428" s="234">
        <f t="shared" si="4589"/>
        <v>36</v>
      </c>
      <c r="EC428" s="237">
        <f>DS428*POWER(INslave,SIGN(DT428))*POWER(KLslave,SIGN(DS428))+DS428*POWER(INslave,SIGN(DT428))*POWER(KLslave,SIGN(DS428))+DT428*POWER(KLslave,SIGN(DS428))*POWER(KLslave,SIGN(DS428))</f>
        <v>2304</v>
      </c>
      <c r="ED428" s="234">
        <f>DS428*DS428*INslave+DS428*KLslave*DT428+KLslave*DS428*DT428</f>
        <v>3456</v>
      </c>
      <c r="EE428" s="224">
        <f>DS428*DS428*DT428</f>
        <v>1728</v>
      </c>
      <c r="EF428" s="242">
        <f t="shared" si="4590"/>
        <v>7488</v>
      </c>
      <c r="EG428" s="222">
        <f t="shared" si="4591"/>
        <v>3.6923076923076925</v>
      </c>
      <c r="EH428" s="223">
        <f t="shared" si="4592"/>
        <v>11.076923076923077</v>
      </c>
      <c r="EI428" s="243">
        <f t="shared" si="4593"/>
        <v>8.3076923076923084</v>
      </c>
      <c r="EJ428" s="243">
        <f t="shared" si="4594"/>
        <v>23.07692307692308</v>
      </c>
      <c r="EK428" s="252">
        <f t="shared" si="4595"/>
        <v>0</v>
      </c>
      <c r="EL428" s="309">
        <f t="shared" si="4596"/>
        <v>23.07692307692308</v>
      </c>
      <c r="EM428" s="218">
        <f>IF(EJ428&lt;=0,1,0)+IF(EJ428&gt;0,EJ428+1,0)*1+IF(EJ428&gt;12,EJ428-12,0)*1+IF(EJ428&gt;13,EJ428-13,0)*1+IF(EJ428&gt;14,EJ428-14,0)*1+IF(EJ428&gt;15,EJ428-15,0)*1+IF(EJ428&gt;16,EJ428-16,0)*1+IF(EJ428&gt;17,EJ428-17,0)*1+IF(EJ428&gt;18,EJ428-18,0)*1+IF(EJ428&gt;19,EJ428-19,0)*1+IF(EJ428&gt;20,EJ428-20,0)*1</f>
        <v>87.769230769230802</v>
      </c>
      <c r="EN428" s="242">
        <f>IF(EK428&lt;=0,1,0)+IF(EK428&gt;0,EK428+1,0)*1+IF(EK428&gt;12,EK428-12,0)*1+IF(EK428&gt;13,EK428-13,0)*1+IF(EK428&gt;14,EK428-14,0)*1+IF(EK428&gt;15,EK428-15,0)*1+IF(EK428&gt;16,EK428-16,0)*1+IF(EK428&gt;17,EK428-17,0)*1+IF(EK428&gt;18,EK428-18,0)*1+IF(EK428&gt;19,EK428-19,0)*1+IF(EK428&gt;20,EK428-20,0)*1</f>
        <v>1</v>
      </c>
      <c r="EO428" s="243">
        <f t="shared" si="4597"/>
        <v>86.769230769230802</v>
      </c>
      <c r="EP428" s="218">
        <f t="shared" si="4598"/>
        <v>0</v>
      </c>
      <c r="ER428" s="325" t="s">
        <v>254</v>
      </c>
      <c r="ES428" s="218" t="s">
        <v>94</v>
      </c>
      <c r="ET428" s="223" t="s">
        <v>133</v>
      </c>
      <c r="EU428" s="237"/>
      <c r="EV428" s="234">
        <f>Konvention_1slave-KLslave</f>
        <v>12</v>
      </c>
      <c r="EW428" s="234">
        <f t="shared" si="4648"/>
        <v>12</v>
      </c>
      <c r="EX428" s="234"/>
      <c r="EY428" s="234"/>
      <c r="EZ428" s="234"/>
      <c r="FA428" s="234"/>
      <c r="FB428" s="224"/>
      <c r="FC428" s="223">
        <f>(EV428+EV428+EW428)/3</f>
        <v>12</v>
      </c>
      <c r="FD428" s="223">
        <f t="shared" si="4599"/>
        <v>24</v>
      </c>
      <c r="FE428" s="234">
        <f t="shared" si="4600"/>
        <v>36</v>
      </c>
      <c r="FF428" s="237">
        <f>EV428*POWER(INslave,SIGN(EW428))*POWER(KLslave,SIGN(EV428))+EV428*POWER(INslave,SIGN(EW428))*POWER(KLslave,SIGN(EV428))+EW428*POWER(KLslave,SIGN(EV428))*POWER(KLslave,SIGN(EV428))</f>
        <v>2304</v>
      </c>
      <c r="FG428" s="234">
        <f>EV428*EV428*INslave+EV428*KLslave*EW428+KLslave*EV428*EW428</f>
        <v>3456</v>
      </c>
      <c r="FH428" s="224">
        <f>EV428*EV428*EW428</f>
        <v>1728</v>
      </c>
      <c r="FI428" s="242">
        <f t="shared" si="4601"/>
        <v>7488</v>
      </c>
      <c r="FJ428" s="222">
        <f t="shared" si="4602"/>
        <v>3.6923076923076925</v>
      </c>
      <c r="FK428" s="223">
        <f t="shared" si="4603"/>
        <v>11.076923076923077</v>
      </c>
      <c r="FL428" s="243">
        <f t="shared" si="4604"/>
        <v>8.3076923076923084</v>
      </c>
      <c r="FM428" s="243">
        <f t="shared" si="4605"/>
        <v>23.07692307692308</v>
      </c>
      <c r="FN428" s="252">
        <f t="shared" si="4606"/>
        <v>0</v>
      </c>
      <c r="FO428" s="309">
        <f t="shared" si="4607"/>
        <v>23.07692307692308</v>
      </c>
      <c r="FP428" s="218">
        <f>IF(FM428&lt;=0,1,0)+IF(FM428&gt;0,FM428+1,0)*1+IF(FM428&gt;12,FM428-12,0)*1+IF(FM428&gt;13,FM428-13,0)*1+IF(FM428&gt;14,FM428-14,0)*1+IF(FM428&gt;15,FM428-15,0)*1+IF(FM428&gt;16,FM428-16,0)*1+IF(FM428&gt;17,FM428-17,0)*1+IF(FM428&gt;18,FM428-18,0)*1+IF(FM428&gt;19,FM428-19,0)*1+IF(FM428&gt;20,FM428-20,0)*1</f>
        <v>87.769230769230802</v>
      </c>
      <c r="FQ428" s="242">
        <f>IF(FN428&lt;=0,1,0)+IF(FN428&gt;0,FN428+1,0)*1+IF(FN428&gt;12,FN428-12,0)*1+IF(FN428&gt;13,FN428-13,0)*1+IF(FN428&gt;14,FN428-14,0)*1+IF(FN428&gt;15,FN428-15,0)*1+IF(FN428&gt;16,FN428-16,0)*1+IF(FN428&gt;17,FN428-17,0)*1+IF(FN428&gt;18,FN428-18,0)*1+IF(FN428&gt;19,FN428-19,0)*1+IF(FN428&gt;20,FN428-20,0)*1</f>
        <v>1</v>
      </c>
      <c r="FR428" s="243">
        <f t="shared" si="4608"/>
        <v>86.769230769230802</v>
      </c>
      <c r="FS428" s="218">
        <f t="shared" si="4609"/>
        <v>0</v>
      </c>
      <c r="FU428" s="325" t="s">
        <v>254</v>
      </c>
      <c r="FV428" s="218" t="s">
        <v>94</v>
      </c>
      <c r="FW428" s="223" t="s">
        <v>133</v>
      </c>
      <c r="FX428" s="237"/>
      <c r="FY428" s="234">
        <f>Konvention_1slave-KLslave</f>
        <v>12</v>
      </c>
      <c r="FZ428" s="234">
        <f t="shared" si="4649"/>
        <v>12</v>
      </c>
      <c r="GA428" s="234"/>
      <c r="GB428" s="234"/>
      <c r="GC428" s="234"/>
      <c r="GD428" s="234"/>
      <c r="GE428" s="224"/>
      <c r="GF428" s="223">
        <f>(FY428+FY428+FZ428)/3</f>
        <v>12</v>
      </c>
      <c r="GG428" s="223">
        <f t="shared" si="4610"/>
        <v>24</v>
      </c>
      <c r="GH428" s="234">
        <f t="shared" si="4611"/>
        <v>36</v>
      </c>
      <c r="GI428" s="237">
        <f>FY428*POWER(INslave,SIGN(FZ428))*POWER(KLslave,SIGN(FY428))+FY428*POWER(INslave,SIGN(FZ428))*POWER(KLslave,SIGN(FY428))+FZ428*POWER(KLslave,SIGN(FY428))*POWER(KLslave,SIGN(FY428))</f>
        <v>2304</v>
      </c>
      <c r="GJ428" s="234">
        <f>FY428*FY428*INslave+FY428*KLslave*FZ428+KLslave*FY428*FZ428</f>
        <v>3456</v>
      </c>
      <c r="GK428" s="224">
        <f>FY428*FY428*FZ428</f>
        <v>1728</v>
      </c>
      <c r="GL428" s="242">
        <f t="shared" si="4612"/>
        <v>7488</v>
      </c>
      <c r="GM428" s="222">
        <f t="shared" si="4613"/>
        <v>3.6923076923076925</v>
      </c>
      <c r="GN428" s="223">
        <f t="shared" si="4614"/>
        <v>11.076923076923077</v>
      </c>
      <c r="GO428" s="243">
        <f t="shared" si="4615"/>
        <v>8.3076923076923084</v>
      </c>
      <c r="GP428" s="243">
        <f t="shared" si="4616"/>
        <v>23.07692307692308</v>
      </c>
      <c r="GQ428" s="252">
        <f t="shared" si="4617"/>
        <v>0</v>
      </c>
      <c r="GR428" s="309">
        <f t="shared" si="4618"/>
        <v>23.07692307692308</v>
      </c>
      <c r="GS428" s="218">
        <f>IF(GP428&lt;=0,1,0)+IF(GP428&gt;0,GP428+1,0)*1+IF(GP428&gt;12,GP428-12,0)*1+IF(GP428&gt;13,GP428-13,0)*1+IF(GP428&gt;14,GP428-14,0)*1+IF(GP428&gt;15,GP428-15,0)*1+IF(GP428&gt;16,GP428-16,0)*1+IF(GP428&gt;17,GP428-17,0)*1+IF(GP428&gt;18,GP428-18,0)*1+IF(GP428&gt;19,GP428-19,0)*1+IF(GP428&gt;20,GP428-20,0)*1</f>
        <v>87.769230769230802</v>
      </c>
      <c r="GT428" s="242">
        <f>IF(GQ428&lt;=0,1,0)+IF(GQ428&gt;0,GQ428+1,0)*1+IF(GQ428&gt;12,GQ428-12,0)*1+IF(GQ428&gt;13,GQ428-13,0)*1+IF(GQ428&gt;14,GQ428-14,0)*1+IF(GQ428&gt;15,GQ428-15,0)*1+IF(GQ428&gt;16,GQ428-16,0)*1+IF(GQ428&gt;17,GQ428-17,0)*1+IF(GQ428&gt;18,GQ428-18,0)*1+IF(GQ428&gt;19,GQ428-19,0)*1+IF(GQ428&gt;20,GQ428-20,0)*1</f>
        <v>1</v>
      </c>
      <c r="GU428" s="243">
        <f t="shared" si="4619"/>
        <v>86.769230769230802</v>
      </c>
      <c r="GV428" s="218">
        <f t="shared" si="4620"/>
        <v>0</v>
      </c>
      <c r="GX428" s="325" t="s">
        <v>254</v>
      </c>
      <c r="GY428" s="218" t="s">
        <v>94</v>
      </c>
      <c r="GZ428" s="223" t="s">
        <v>133</v>
      </c>
      <c r="HA428" s="237"/>
      <c r="HB428" s="234">
        <f>Konvention_1slave-KLslave</f>
        <v>12</v>
      </c>
      <c r="HC428" s="234">
        <f t="shared" si="4650"/>
        <v>12</v>
      </c>
      <c r="HD428" s="234"/>
      <c r="HE428" s="234"/>
      <c r="HF428" s="234"/>
      <c r="HG428" s="234"/>
      <c r="HH428" s="224"/>
      <c r="HI428" s="223">
        <f>(HB428+HB428+HC428)/3</f>
        <v>12</v>
      </c>
      <c r="HJ428" s="223">
        <f t="shared" si="4621"/>
        <v>24</v>
      </c>
      <c r="HK428" s="234">
        <f t="shared" si="4622"/>
        <v>36</v>
      </c>
      <c r="HL428" s="237">
        <f>HB428*POWER(INslave,SIGN(HC428))*POWER(KLslave,SIGN(HB428))+HB428*POWER(INslave,SIGN(HC428))*POWER(KLslave,SIGN(HB428))+HC428*POWER(KLslave,SIGN(HB428))*POWER(KLslave,SIGN(HB428))</f>
        <v>2304</v>
      </c>
      <c r="HM428" s="234">
        <f>HB428*HB428*INslave+HB428*KLslave*HC428+KLslave*HB428*HC428</f>
        <v>3456</v>
      </c>
      <c r="HN428" s="224">
        <f>HB428*HB428*HC428</f>
        <v>1728</v>
      </c>
      <c r="HO428" s="242">
        <f t="shared" si="4623"/>
        <v>7488</v>
      </c>
      <c r="HP428" s="222">
        <f t="shared" si="4624"/>
        <v>3.6923076923076925</v>
      </c>
      <c r="HQ428" s="223">
        <f t="shared" si="4625"/>
        <v>11.076923076923077</v>
      </c>
      <c r="HR428" s="243">
        <f t="shared" si="4626"/>
        <v>8.3076923076923084</v>
      </c>
      <c r="HS428" s="243">
        <f t="shared" si="4627"/>
        <v>23.07692307692308</v>
      </c>
      <c r="HT428" s="252">
        <f t="shared" si="4628"/>
        <v>0</v>
      </c>
      <c r="HU428" s="309">
        <f t="shared" si="4629"/>
        <v>23.07692307692308</v>
      </c>
      <c r="HV428" s="218">
        <f>IF(HS428&lt;=0,1,0)+IF(HS428&gt;0,HS428+1,0)*1+IF(HS428&gt;12,HS428-12,0)*1+IF(HS428&gt;13,HS428-13,0)*1+IF(HS428&gt;14,HS428-14,0)*1+IF(HS428&gt;15,HS428-15,0)*1+IF(HS428&gt;16,HS428-16,0)*1+IF(HS428&gt;17,HS428-17,0)*1+IF(HS428&gt;18,HS428-18,0)*1+IF(HS428&gt;19,HS428-19,0)*1+IF(HS428&gt;20,HS428-20,0)*1</f>
        <v>87.769230769230802</v>
      </c>
      <c r="HW428" s="242">
        <f>IF(HT428&lt;=0,1,0)+IF(HT428&gt;0,HT428+1,0)*1+IF(HT428&gt;12,HT428-12,0)*1+IF(HT428&gt;13,HT428-13,0)*1+IF(HT428&gt;14,HT428-14,0)*1+IF(HT428&gt;15,HT428-15,0)*1+IF(HT428&gt;16,HT428-16,0)*1+IF(HT428&gt;17,HT428-17,0)*1+IF(HT428&gt;18,HT428-18,0)*1+IF(HT428&gt;19,HT428-19,0)*1+IF(HT428&gt;20,HT428-20,0)*1</f>
        <v>1</v>
      </c>
      <c r="HX428" s="243">
        <f t="shared" si="4630"/>
        <v>86.769230769230802</v>
      </c>
      <c r="HY428" s="218">
        <f t="shared" si="4631"/>
        <v>0</v>
      </c>
      <c r="IA428" s="325" t="s">
        <v>254</v>
      </c>
      <c r="IB428" s="218" t="s">
        <v>94</v>
      </c>
      <c r="IC428" s="223" t="s">
        <v>133</v>
      </c>
      <c r="ID428" s="237"/>
      <c r="IE428" s="234">
        <f>Konvention_1slave-KLslave</f>
        <v>12</v>
      </c>
      <c r="IF428" s="234">
        <f t="shared" si="4651"/>
        <v>12</v>
      </c>
      <c r="IG428" s="234"/>
      <c r="IH428" s="234"/>
      <c r="II428" s="234"/>
      <c r="IJ428" s="234"/>
      <c r="IK428" s="224"/>
      <c r="IL428" s="223">
        <f>(IE428+IE428+IF428)/3</f>
        <v>12</v>
      </c>
      <c r="IM428" s="223">
        <f t="shared" si="4632"/>
        <v>24</v>
      </c>
      <c r="IN428" s="234">
        <f t="shared" si="4633"/>
        <v>36</v>
      </c>
      <c r="IO428" s="237">
        <f>IE428*POWER(INslave,SIGN(IF428))*POWER(KLslave,SIGN(IE428))+IE428*POWER(INslave,SIGN(IF428))*POWER(KLslave,SIGN(IE428))+IF428*POWER(KLslave,SIGN(IE428))*POWER(KLslave,SIGN(IE428))</f>
        <v>2304</v>
      </c>
      <c r="IP428" s="234">
        <f>IE428*IE428*INslave+IE428*KLslave*IF428+KLslave*IE428*IF428</f>
        <v>3456</v>
      </c>
      <c r="IQ428" s="224">
        <f>IE428*IE428*IF428</f>
        <v>1728</v>
      </c>
      <c r="IR428" s="242">
        <f t="shared" si="4634"/>
        <v>7488</v>
      </c>
      <c r="IS428" s="222">
        <f t="shared" si="4635"/>
        <v>3.6923076923076925</v>
      </c>
      <c r="IT428" s="223">
        <f t="shared" si="4636"/>
        <v>11.076923076923077</v>
      </c>
      <c r="IU428" s="243">
        <f t="shared" si="4637"/>
        <v>8.3076923076923084</v>
      </c>
      <c r="IV428" s="243">
        <f t="shared" si="4638"/>
        <v>23.07692307692308</v>
      </c>
      <c r="IW428" s="252">
        <f t="shared" si="4639"/>
        <v>0</v>
      </c>
      <c r="IX428" s="309">
        <f t="shared" si="4640"/>
        <v>23.07692307692308</v>
      </c>
      <c r="IY428" s="218">
        <f>IF(IV428&lt;=0,1,0)+IF(IV428&gt;0,IV428+1,0)*1+IF(IV428&gt;12,IV428-12,0)*1+IF(IV428&gt;13,IV428-13,0)*1+IF(IV428&gt;14,IV428-14,0)*1+IF(IV428&gt;15,IV428-15,0)*1+IF(IV428&gt;16,IV428-16,0)*1+IF(IV428&gt;17,IV428-17,0)*1+IF(IV428&gt;18,IV428-18,0)*1+IF(IV428&gt;19,IV428-19,0)*1+IF(IV428&gt;20,IV428-20,0)*1</f>
        <v>87.769230769230802</v>
      </c>
      <c r="IZ428" s="242">
        <f>IF(IW428&lt;=0,1,0)+IF(IW428&gt;0,IW428+1,0)*1+IF(IW428&gt;12,IW428-12,0)*1+IF(IW428&gt;13,IW428-13,0)*1+IF(IW428&gt;14,IW428-14,0)*1+IF(IW428&gt;15,IW428-15,0)*1+IF(IW428&gt;16,IW428-16,0)*1+IF(IW428&gt;17,IW428-17,0)*1+IF(IW428&gt;18,IW428-18,0)*1+IF(IW428&gt;19,IW428-19,0)*1+IF(IW428&gt;20,IW428-20,0)*1</f>
        <v>1</v>
      </c>
      <c r="JA428" s="243">
        <f t="shared" si="4641"/>
        <v>86.769230769230802</v>
      </c>
      <c r="JB428" s="218">
        <f t="shared" si="4642"/>
        <v>0</v>
      </c>
      <c r="JE428" s="148"/>
    </row>
    <row r="429" spans="2:265" ht="15" hidden="1" customHeight="1" outlineLevel="2">
      <c r="B429" s="148">
        <v>5</v>
      </c>
      <c r="C429" s="325" t="e">
        <f>VLOOKUP(AF429,Attribute!C:T,1,FALSE)</f>
        <v>#N/A</v>
      </c>
      <c r="D429" s="86" t="s">
        <v>87</v>
      </c>
      <c r="E429" s="47" t="s">
        <v>132</v>
      </c>
      <c r="F429" s="114"/>
      <c r="G429" s="113">
        <f>Konvention_1master-KLmaster</f>
        <v>12</v>
      </c>
      <c r="H429" s="113">
        <f t="shared" si="4643"/>
        <v>12</v>
      </c>
      <c r="I429" s="113">
        <f>Konvention_1master-CHmaster</f>
        <v>12</v>
      </c>
      <c r="J429" s="113"/>
      <c r="K429" s="113"/>
      <c r="L429" s="113"/>
      <c r="M429" s="119"/>
      <c r="N429" s="223">
        <f>(F429+G429+H429+I429+J429+K429+L429+M429)/3</f>
        <v>12</v>
      </c>
      <c r="O429" s="223">
        <f t="shared" si="4545"/>
        <v>24</v>
      </c>
      <c r="P429" s="234">
        <f t="shared" si="4546"/>
        <v>36</v>
      </c>
      <c r="Q429" s="237">
        <f>F429*POWER(KLmaster,SIGN(G429))*POWER(INmaster,SIGN(H429))*POWER(CHmaster,SIGN(I429))*POWER(FFmaster,SIGN(J429))*POWER(GEmaster,SIGN(K429))*POWER(KOmaster,SIGN(L429))*POWER(KKmaster,SIGN(M429))+G429*POWER(MUmaster,SIGN(F429))*POWER(INmaster,SIGN(H429))*POWER(CHmaster,SIGN(I429))*POWER(FFmaster,SIGN(J429))*POWER(GEmaster,SIGN(K429))*POWER(KOmaster,SIGN(L429))*POWER(KKmaster,SIGN(M429))+H429*POWER(MUmaster,SIGN(F429))*POWER(KLmaster,SIGN(G429))*POWER(CHmaster,SIGN(I429))*POWER(FFmaster,SIGN(J429))*POWER(GEmaster,SIGN(K429))*POWER(KOmaster,SIGN(L429))*POWER(KKmaster,SIGN(M429))+I429*POWER(MUmaster,SIGN(F429))*POWER(KLmaster,SIGN(G429))*POWER(INmaster,SIGN(H429))*POWER(FFmaster,SIGN(J429))*POWER(GEmaster,SIGN(K429))*POWER(KOmaster,SIGN(L429))*POWER(KKmaster,SIGN(M429))+J429*POWER(MUmaster,SIGN(F429))*POWER(KLmaster,SIGN(G429))*POWER(INmaster,SIGN(H429))*POWER(CHmaster,SIGN(I429))*POWER(GEmaster,SIGN(K429))*POWER(KOmaster,SIGN(L429))*POWER(KKmaster,SIGN(M429))+K429*POWER(MUmaster,SIGN(F429))*POWER(KLmaster,SIGN(G429))*POWER(INmaster,SIGN(H429))*POWER(CHmaster,SIGN(I429))*POWER(FFmaster,SIGN(J429))*POWER(KOmaster,SIGN(L429))*POWER(KKmaster,SIGN(M429))+L429*POWER(MUmaster,SIGN(F429))*POWER(KLmaster,SIGN(G429))*POWER(INmaster,SIGN(H429))*POWER(CHmaster,SIGN(I429))*POWER(FFmaster,SIGN(J429))*POWER(GEmaster,SIGN(K429))*POWER(KKmaster,SIGN(M429))+M429*POWER(MUmaster,SIGN(F429))*POWER(KLmaster,SIGN(G429))*POWER(INmaster,SIGN(H429))*POWER(CHmaster,SIGN(I429))*POWER(FFmaster,SIGN(J429))*POWER(GEmaster,SIGN(K429))*POWER(KOmaster,SIGN(L429))</f>
        <v>2304</v>
      </c>
      <c r="R429" s="113">
        <f>G429*H429*CHmaster+G429*INmaster*I429+KLmaster*H429*I429</f>
        <v>3456</v>
      </c>
      <c r="S429" s="224">
        <f>IFERROR(F429^SIGN(F429),1)*IFERROR(G429^SIGN(G429),1)*IFERROR(H429^SIGN(H429),1)*IFERROR(I429^SIGN(I429),1)*IFERROR(J429^SIGN(J429),1)*IFERROR(K429^SIGN(K429),1)*IFERROR(L429^SIGN(L429),1)*IFERROR(M429^SIGN(M429),1)</f>
        <v>1728</v>
      </c>
      <c r="T429" s="242">
        <f t="shared" si="4547"/>
        <v>7488</v>
      </c>
      <c r="U429" s="222">
        <f t="shared" si="4548"/>
        <v>3.6923076923076925</v>
      </c>
      <c r="V429" s="223">
        <f t="shared" si="4549"/>
        <v>11.076923076923077</v>
      </c>
      <c r="W429" s="243">
        <f t="shared" si="4550"/>
        <v>8.3076923076923084</v>
      </c>
      <c r="X429" s="243">
        <f t="shared" si="4551"/>
        <v>23.07692307692308</v>
      </c>
      <c r="Y429" s="252">
        <v>0</v>
      </c>
      <c r="Z429" s="198">
        <f t="shared" si="4552"/>
        <v>23.07692307692308</v>
      </c>
      <c r="AA429" s="125">
        <f>IF(X429&lt;=0,2,0)+IF(X429&gt;0,X429+1,0)*2+IF(X429&gt;12,X429-12,0)*2+IF(X429&gt;13,X429-13,0)*2+IF(X429&gt;14,X429-14,0)*2+IF(X429&gt;15,X429-15,0)*2+IF(X429&gt;16,X429-16,0)*2+IF(X429&gt;17,X429-17,0)*2+IF(X429&gt;18,X429-18,0)*2+IF(X429&gt;19,X429-19,0)*2+IF(X429&gt;20,X429-20,0)*2</f>
        <v>175.5384615384616</v>
      </c>
      <c r="AB429" s="160">
        <f>IF(Y429&lt;=0,2,0)+IF(Y429&gt;0,Y429+1,0)*2+IF(Y429&gt;12,Y429-12,0)*2+IF(Y429&gt;13,Y429-13,0)*2+IF(Y429&gt;14,Y429-14,0)*2+IF(Y429&gt;15,Y429-15,0)*2+IF(Y429&gt;16,Y429-16,0)*2+IF(Y429&gt;17,Y429-17,0)*2+IF(Y429&gt;18,Y429-18,0)*2+IF(Y429&gt;19,Y429-19,0)*2+IF(Y429&gt;20,Y429-20,0)*2</f>
        <v>2</v>
      </c>
      <c r="AC429" s="127">
        <f t="shared" si="4553"/>
        <v>173.5384615384616</v>
      </c>
      <c r="AD429" s="125">
        <f t="shared" si="4554"/>
        <v>0</v>
      </c>
      <c r="AF429" s="177" t="s">
        <v>255</v>
      </c>
      <c r="AG429" s="125" t="s">
        <v>87</v>
      </c>
      <c r="AH429" s="47" t="s">
        <v>132</v>
      </c>
      <c r="AI429" s="114"/>
      <c r="AJ429" s="113">
        <f>Konvention_1slave-KLslave</f>
        <v>12</v>
      </c>
      <c r="AK429" s="113">
        <f t="shared" si="4644"/>
        <v>12</v>
      </c>
      <c r="AL429" s="113">
        <f>Konvention_1slave-CHslave</f>
        <v>12</v>
      </c>
      <c r="AM429" s="113"/>
      <c r="AN429" s="113"/>
      <c r="AO429" s="113"/>
      <c r="AP429" s="119"/>
      <c r="AQ429" s="47">
        <f>(AI429+AJ429+AK429+AL429+AM429+AN429+AO429+AP429)/3</f>
        <v>12</v>
      </c>
      <c r="AR429" s="47">
        <f t="shared" si="4555"/>
        <v>24</v>
      </c>
      <c r="AS429" s="113">
        <f t="shared" si="4556"/>
        <v>36</v>
      </c>
      <c r="AT429" s="114">
        <f>AI429*POWER(KLslave,SIGN(AJ429))*POWER(INslave,SIGN(AK429))*POWER(CHslave,SIGN(AL429))*POWER(FFslave,SIGN(AM429))*POWER(GEslave,SIGN(AN429))*POWER(KOslave,SIGN(AO429))*POWER(KKslave,SIGN(AP429))+AJ429*POWER(MUslave_MU,SIGN(AI429))*POWER(INslave,SIGN(AK429))*POWER(CHslave,SIGN(AL429))*POWER(FFslave,SIGN(AM429))*POWER(GEslave,SIGN(AN429))*POWER(KOslave,SIGN(AO429))*POWER(KKslave,SIGN(AP429))+AK429*POWER(MUslave_MU,SIGN(AI429))*POWER(KLslave,SIGN(AJ429))*POWER(CHslave,SIGN(AL429))*POWER(FFslave,SIGN(AM429))*POWER(GEslave,SIGN(AN429))*POWER(KOslave,SIGN(AO429))*POWER(KKslave,SIGN(AP429))+AL429*POWER(MUslave_MU,SIGN(AI429))*POWER(KLslave,SIGN(AJ429))*POWER(INslave,SIGN(AK429))*POWER(FFslave,SIGN(AM429))*POWER(GEslave,SIGN(AN429))*POWER(KOslave,SIGN(AO429))*POWER(KKslave,SIGN(AP429))+AM429*POWER(MUslave_MU,SIGN(AI429))*POWER(KLslave,SIGN(AJ429))*POWER(INslave,SIGN(AK429))*POWER(CHslave,SIGN(AL429))*POWER(GEslave,SIGN(AN429))*POWER(KOslave,SIGN(AO429))*POWER(KKslave,SIGN(AP429))+AN429*POWER(MUslave_MU,SIGN(AI429))*POWER(KLslave,SIGN(AJ429))*POWER(INslave,SIGN(AK429))*POWER(CHslave,SIGN(AL429))*POWER(FFslave,SIGN(AM429))*POWER(KOslave,SIGN(AO429))*POWER(KKslave,SIGN(AP429))+AO429*POWER(MUslave_MU,SIGN(AI429))*POWER(KLslave,SIGN(AJ429))*POWER(INslave,SIGN(AK429))*POWER(CHslave,SIGN(AL429))*POWER(FFslave,SIGN(AM429))*POWER(GEslave,SIGN(AN429))*POWER(KKslave,SIGN(AP429))+AP429*POWER(MUslave_MU,SIGN(AI429))*POWER(KLslave,SIGN(AJ429))*POWER(INslave,SIGN(AK429))*POWER(CHslave,SIGN(AL429))*POWER(FFslave,SIGN(AM429))*POWER(GEslave,SIGN(AN429))*POWER(KOslave,SIGN(AO429))</f>
        <v>2304</v>
      </c>
      <c r="AU429" s="113">
        <f>AJ429*AK429*CHslave+AJ429*INslave*AL429+KLslave*AK429*AL429</f>
        <v>3456</v>
      </c>
      <c r="AV429" s="119">
        <f>IFERROR(AI429^SIGN(AI429),1)*IFERROR(AJ429^SIGN(AJ429),1)*IFERROR(AK429^SIGN(AK429),1)*IFERROR(AL429^SIGN(AL429),1)*IFERROR(AM429^SIGN(AM429),1)*IFERROR(AN429^SIGN(AN429),1)*IFERROR(AO429^SIGN(AO429),1)*IFERROR(AP429^SIGN(AP429),1)</f>
        <v>1728</v>
      </c>
      <c r="AW429" s="160">
        <f t="shared" si="4557"/>
        <v>7488</v>
      </c>
      <c r="AX429" s="89">
        <f t="shared" si="4558"/>
        <v>3.6923076923076925</v>
      </c>
      <c r="AY429" s="47">
        <f t="shared" si="4559"/>
        <v>11.076923076923077</v>
      </c>
      <c r="AZ429" s="127">
        <f t="shared" si="4560"/>
        <v>8.3076923076923084</v>
      </c>
      <c r="BA429" s="127">
        <f t="shared" si="4561"/>
        <v>23.07692307692308</v>
      </c>
      <c r="BB429" s="165">
        <f t="shared" si="4562"/>
        <v>0</v>
      </c>
      <c r="BC429" s="198">
        <f t="shared" si="4563"/>
        <v>23.07692307692308</v>
      </c>
      <c r="BD429" s="125">
        <f>IF(BA429&lt;=0,2,0)+IF(BA429&gt;0,BA429+1,0)*2+IF(BA429&gt;12,BA429-12,0)*2+IF(BA429&gt;13,BA429-13,0)*2+IF(BA429&gt;14,BA429-14,0)*2+IF(BA429&gt;15,BA429-15,0)*2+IF(BA429&gt;16,BA429-16,0)*2+IF(BA429&gt;17,BA429-17,0)*2+IF(BA429&gt;18,BA429-18,0)*2+IF(BA429&gt;19,BA429-19,0)*2+IF(BA429&gt;20,BA429-20,0)*2</f>
        <v>175.5384615384616</v>
      </c>
      <c r="BE429" s="160">
        <f>IF(BB429&lt;=0,2,0)+IF(BB429&gt;0,BB429+1,0)*2+IF(BB429&gt;12,BB429-12,0)*2+IF(BB429&gt;13,BB429-13,0)*2+IF(BB429&gt;14,BB429-14,0)*2+IF(BB429&gt;15,BB429-15,0)*2+IF(BB429&gt;16,BB429-16,0)*2+IF(BB429&gt;17,BB429-17,0)*2+IF(BB429&gt;18,BB429-18,0)*2+IF(BB429&gt;19,BB429-19,0)*2+IF(BB429&gt;20,BB429-20,0)*2</f>
        <v>2</v>
      </c>
      <c r="BF429" s="243">
        <f t="shared" si="4564"/>
        <v>173.5384615384616</v>
      </c>
      <c r="BG429" s="218">
        <f t="shared" si="4565"/>
        <v>0</v>
      </c>
      <c r="BI429" s="325" t="s">
        <v>255</v>
      </c>
      <c r="BJ429" s="218" t="s">
        <v>87</v>
      </c>
      <c r="BK429" s="223" t="s">
        <v>132</v>
      </c>
      <c r="BL429" s="237"/>
      <c r="BM429" s="234">
        <f>Konvention_1slave-KLslave_KL</f>
        <v>11</v>
      </c>
      <c r="BN429" s="234">
        <f t="shared" si="4645"/>
        <v>12</v>
      </c>
      <c r="BO429" s="234">
        <f>Konvention_1slave-CHslave</f>
        <v>12</v>
      </c>
      <c r="BP429" s="234"/>
      <c r="BQ429" s="234"/>
      <c r="BR429" s="234"/>
      <c r="BS429" s="224"/>
      <c r="BT429" s="223">
        <f>(BL429+BM429+BN429+BO429+BP429+BQ429+BR429+BS429)/3</f>
        <v>11.666666666666666</v>
      </c>
      <c r="BU429" s="223">
        <f t="shared" si="4566"/>
        <v>23.333333333333332</v>
      </c>
      <c r="BV429" s="234">
        <f t="shared" si="4567"/>
        <v>35</v>
      </c>
      <c r="BW429" s="237">
        <f>BL429*POWER(KLslave_KL,SIGN(BM429))*POWER(INslave,SIGN(BN429))*POWER(CHslave,SIGN(BO429))*POWER(FFslave,SIGN(BP429))*POWER(GEslave,SIGN(BQ429))*POWER(KOslave,SIGN(BR429))*POWER(KKslave,SIGN(BS429))+BM429*POWER(MUslave,SIGN(BL429))*POWER(INslave,SIGN(BN429))*POWER(CHslave,SIGN(BO429))*POWER(FFslave,SIGN(BP429))*POWER(GEslave,SIGN(BQ429))*POWER(KOslave,SIGN(BR429))*POWER(KKslave,SIGN(BS429))+BN429*POWER(MUslave,SIGN(BL429))*POWER(KLslave_KL,SIGN(BM429))*POWER(CHslave,SIGN(BO429))*POWER(FFslave,SIGN(BP429))*POWER(GEslave,SIGN(BQ429))*POWER(KOslave,SIGN(BR429))*POWER(KKslave,SIGN(BS429))+BO429*POWER(MUslave,SIGN(BL429))*POWER(KLslave_KL,SIGN(BM429))*POWER(INslave,SIGN(BN429))*POWER(FFslave,SIGN(BP429))*POWER(GEslave,SIGN(BQ429))*POWER(KOslave,SIGN(BR429))*POWER(KKslave,SIGN(BS429))+BP429*POWER(MUslave,SIGN(BL429))*POWER(KLslave_KL,SIGN(BM429))*POWER(INslave,SIGN(BN429))*POWER(CHslave,SIGN(BO429))*POWER(GEslave,SIGN(BQ429))*POWER(KOslave,SIGN(BR429))*POWER(KKslave,SIGN(BS429))+BQ429*POWER(MUslave,SIGN(BL429))*POWER(KLslave_KL,SIGN(BM429))*POWER(INslave,SIGN(BN429))*POWER(CHslave,SIGN(BO429))*POWER(FFslave,SIGN(BP429))*POWER(KOslave,SIGN(BR429))*POWER(KKslave,SIGN(BS429))+BR429*POWER(MUslave,SIGN(BL429))*POWER(KLslave_KL,SIGN(BM429))*POWER(INslave,SIGN(BN429))*POWER(CHslave,SIGN(BO429))*POWER(FFslave,SIGN(BP429))*POWER(GEslave,SIGN(BQ429))*POWER(KKslave,SIGN(BS429))+BS429*POWER(MUslave,SIGN(BL429))*POWER(KLslave_KL,SIGN(BM429))*POWER(INslave,SIGN(BN429))*POWER(CHslave,SIGN(BO429))*POWER(FFslave,SIGN(BP429))*POWER(GEslave,SIGN(BQ429))*POWER(KOslave,SIGN(BR429))</f>
        <v>2432</v>
      </c>
      <c r="BX429" s="234">
        <f>BM429*BN429*CHslave+BM429*INslave*BO429+KLslave_KL*BN429*BO429</f>
        <v>3408</v>
      </c>
      <c r="BY429" s="224">
        <f>IFERROR(BL429^SIGN(BL429),1)*IFERROR(BM429^SIGN(BM429),1)*IFERROR(BN429^SIGN(BN429),1)*IFERROR(BO429^SIGN(BO429),1)*IFERROR(BP429^SIGN(BP429),1)*IFERROR(BQ429^SIGN(BQ429),1)*IFERROR(BR429^SIGN(BR429),1)*IFERROR(BS429^SIGN(BS429),1)</f>
        <v>1584</v>
      </c>
      <c r="BZ429" s="242">
        <f t="shared" si="4568"/>
        <v>7424</v>
      </c>
      <c r="CA429" s="222">
        <f t="shared" si="4569"/>
        <v>3.8218390804597702</v>
      </c>
      <c r="CB429" s="223">
        <f t="shared" si="4570"/>
        <v>10.711206896551724</v>
      </c>
      <c r="CC429" s="243">
        <f t="shared" si="4571"/>
        <v>7.4676724137931032</v>
      </c>
      <c r="CD429" s="243">
        <f t="shared" si="4572"/>
        <v>22.000718390804597</v>
      </c>
      <c r="CE429" s="252">
        <f t="shared" si="4573"/>
        <v>0</v>
      </c>
      <c r="CF429" s="309">
        <f t="shared" si="4574"/>
        <v>22.000718390804597</v>
      </c>
      <c r="CG429" s="218">
        <f>IF(CD429&lt;=0,2,0)+IF(CD429&gt;0,CD429+1,0)*2+IF(CD429&gt;12,CD429-12,0)*2+IF(CD429&gt;13,CD429-13,0)*2+IF(CD429&gt;14,CD429-14,0)*2+IF(CD429&gt;15,CD429-15,0)*2+IF(CD429&gt;16,CD429-16,0)*2+IF(CD429&gt;17,CD429-17,0)*2+IF(CD429&gt;18,CD429-18,0)*2+IF(CD429&gt;19,CD429-19,0)*2+IF(CD429&gt;20,CD429-20,0)*2</f>
        <v>154.01436781609189</v>
      </c>
      <c r="CH429" s="242">
        <f>IF(CE429&lt;=0,2,0)+IF(CE429&gt;0,CE429+1,0)*2+IF(CE429&gt;12,CE429-12,0)*2+IF(CE429&gt;13,CE429-13,0)*2+IF(CE429&gt;14,CE429-14,0)*2+IF(CE429&gt;15,CE429-15,0)*2+IF(CE429&gt;16,CE429-16,0)*2+IF(CE429&gt;17,CE429-17,0)*2+IF(CE429&gt;18,CE429-18,0)*2+IF(CE429&gt;19,CE429-19,0)*2+IF(CE429&gt;20,CE429-20,0)*2</f>
        <v>2</v>
      </c>
      <c r="CI429" s="243">
        <f t="shared" si="4575"/>
        <v>152.01436781609189</v>
      </c>
      <c r="CJ429" s="218">
        <f t="shared" si="4576"/>
        <v>0</v>
      </c>
      <c r="CL429" s="325" t="s">
        <v>255</v>
      </c>
      <c r="CM429" s="218" t="s">
        <v>87</v>
      </c>
      <c r="CN429" s="223" t="s">
        <v>132</v>
      </c>
      <c r="CO429" s="237"/>
      <c r="CP429" s="234">
        <f>Konvention_1slave-KLslave</f>
        <v>12</v>
      </c>
      <c r="CQ429" s="234">
        <f t="shared" si="4646"/>
        <v>11</v>
      </c>
      <c r="CR429" s="234">
        <f>Konvention_1slave-CHslave</f>
        <v>12</v>
      </c>
      <c r="CS429" s="234"/>
      <c r="CT429" s="234"/>
      <c r="CU429" s="234"/>
      <c r="CV429" s="224"/>
      <c r="CW429" s="223">
        <f>(CO429+CP429+CQ429+CR429+CS429+CT429+CU429+CV429)/3</f>
        <v>11.666666666666666</v>
      </c>
      <c r="CX429" s="223">
        <f t="shared" si="4577"/>
        <v>23.333333333333332</v>
      </c>
      <c r="CY429" s="234">
        <f t="shared" si="4578"/>
        <v>35</v>
      </c>
      <c r="CZ429" s="237">
        <f>CO429*POWER(KLslave,SIGN(CP429))*POWER(INslave_IN,SIGN(CQ429))*POWER(CHslave,SIGN(CR429))*POWER(FFslave,SIGN(CS429))*POWER(GEslave,SIGN(CT429))*POWER(KOslave,SIGN(CU429))*POWER(KKslave,SIGN(CV429))+CP429*POWER(MUslave,SIGN(CO429))*POWER(INslave_IN,SIGN(CQ429))*POWER(CHslave,SIGN(CR429))*POWER(FFslave,SIGN(CS429))*POWER(GEslave,SIGN(CT429))*POWER(KOslave,SIGN(CU429))*POWER(KKslave,SIGN(CV429))+CQ429*POWER(MUslave,SIGN(CO429))*POWER(KLslave,SIGN(CP429))*POWER(CHslave,SIGN(CR429))*POWER(FFslave,SIGN(CS429))*POWER(GEslave,SIGN(CT429))*POWER(KOslave,SIGN(CU429))*POWER(KKslave,SIGN(CV429))+CR429*POWER(MUslave,SIGN(CO429))*POWER(KLslave,SIGN(CP429))*POWER(INslave_IN,SIGN(CQ429))*POWER(FFslave,SIGN(CS429))*POWER(GEslave,SIGN(CT429))*POWER(KOslave,SIGN(CU429))*POWER(KKslave,SIGN(CV429))+CS429*POWER(MUslave,SIGN(CO429))*POWER(KLslave,SIGN(CP429))*POWER(INslave_IN,SIGN(CQ429))*POWER(CHslave,SIGN(CR429))*POWER(GEslave,SIGN(CT429))*POWER(KOslave,SIGN(CU429))*POWER(KKslave,SIGN(CV429))+CT429*POWER(MUslave,SIGN(CO429))*POWER(KLslave,SIGN(CP429))*POWER(INslave_IN,SIGN(CQ429))*POWER(CHslave,SIGN(CR429))*POWER(FFslave,SIGN(CS429))*POWER(KOslave,SIGN(CU429))*POWER(KKslave,SIGN(CV429))+CU429*POWER(MUslave,SIGN(CO429))*POWER(KLslave,SIGN(CP429))*POWER(INslave_IN,SIGN(CQ429))*POWER(CHslave,SIGN(CR429))*POWER(FFslave,SIGN(CS429))*POWER(GEslave,SIGN(CT429))*POWER(KKslave,SIGN(CV429))+CV429*POWER(MUslave,SIGN(CO429))*POWER(KLslave,SIGN(CP429))*POWER(INslave_IN,SIGN(CQ429))*POWER(CHslave,SIGN(CR429))*POWER(FFslave,SIGN(CS429))*POWER(GEslave,SIGN(CT429))*POWER(KOslave,SIGN(CU429))</f>
        <v>2432</v>
      </c>
      <c r="DA429" s="234">
        <f>CP429*CQ429*CHslave+CP429*INslave_IN*CR429+KLslave*CQ429*CR429</f>
        <v>3408</v>
      </c>
      <c r="DB429" s="224">
        <f>IFERROR(CO429^SIGN(CO429),1)*IFERROR(CP429^SIGN(CP429),1)*IFERROR(CQ429^SIGN(CQ429),1)*IFERROR(CR429^SIGN(CR429),1)*IFERROR(CS429^SIGN(CS429),1)*IFERROR(CT429^SIGN(CT429),1)*IFERROR(CU429^SIGN(CU429),1)*IFERROR(CV429^SIGN(CV429),1)</f>
        <v>1584</v>
      </c>
      <c r="DC429" s="242">
        <f t="shared" si="4579"/>
        <v>7424</v>
      </c>
      <c r="DD429" s="222">
        <f t="shared" si="4580"/>
        <v>3.8218390804597702</v>
      </c>
      <c r="DE429" s="223">
        <f t="shared" si="4581"/>
        <v>10.711206896551724</v>
      </c>
      <c r="DF429" s="243">
        <f t="shared" si="4582"/>
        <v>7.4676724137931032</v>
      </c>
      <c r="DG429" s="243">
        <f t="shared" si="4583"/>
        <v>22.000718390804597</v>
      </c>
      <c r="DH429" s="252">
        <f t="shared" si="4584"/>
        <v>0</v>
      </c>
      <c r="DI429" s="309">
        <f t="shared" si="4585"/>
        <v>22.000718390804597</v>
      </c>
      <c r="DJ429" s="218">
        <f>IF(DG429&lt;=0,2,0)+IF(DG429&gt;0,DG429+1,0)*2+IF(DG429&gt;12,DG429-12,0)*2+IF(DG429&gt;13,DG429-13,0)*2+IF(DG429&gt;14,DG429-14,0)*2+IF(DG429&gt;15,DG429-15,0)*2+IF(DG429&gt;16,DG429-16,0)*2+IF(DG429&gt;17,DG429-17,0)*2+IF(DG429&gt;18,DG429-18,0)*2+IF(DG429&gt;19,DG429-19,0)*2+IF(DG429&gt;20,DG429-20,0)*2</f>
        <v>154.01436781609189</v>
      </c>
      <c r="DK429" s="242">
        <f>IF(DH429&lt;=0,2,0)+IF(DH429&gt;0,DH429+1,0)*2+IF(DH429&gt;12,DH429-12,0)*2+IF(DH429&gt;13,DH429-13,0)*2+IF(DH429&gt;14,DH429-14,0)*2+IF(DH429&gt;15,DH429-15,0)*2+IF(DH429&gt;16,DH429-16,0)*2+IF(DH429&gt;17,DH429-17,0)*2+IF(DH429&gt;18,DH429-18,0)*2+IF(DH429&gt;19,DH429-19,0)*2+IF(DH429&gt;20,DH429-20,0)*2</f>
        <v>2</v>
      </c>
      <c r="DL429" s="243">
        <f t="shared" si="4586"/>
        <v>152.01436781609189</v>
      </c>
      <c r="DM429" s="218">
        <f t="shared" si="4587"/>
        <v>0</v>
      </c>
      <c r="DO429" s="325" t="s">
        <v>255</v>
      </c>
      <c r="DP429" s="218" t="s">
        <v>87</v>
      </c>
      <c r="DQ429" s="223" t="s">
        <v>132</v>
      </c>
      <c r="DR429" s="237"/>
      <c r="DS429" s="234">
        <f>Konvention_1slave-KLslave</f>
        <v>12</v>
      </c>
      <c r="DT429" s="234">
        <f t="shared" si="4647"/>
        <v>12</v>
      </c>
      <c r="DU429" s="234">
        <f>Konvention_1slave-CHslave_CH</f>
        <v>11</v>
      </c>
      <c r="DV429" s="234"/>
      <c r="DW429" s="234"/>
      <c r="DX429" s="234"/>
      <c r="DY429" s="224"/>
      <c r="DZ429" s="223">
        <f>(DR429+DS429+DT429+DU429+DV429+DW429+DX429+DY429)/3</f>
        <v>11.666666666666666</v>
      </c>
      <c r="EA429" s="223">
        <f t="shared" si="4588"/>
        <v>23.333333333333332</v>
      </c>
      <c r="EB429" s="234">
        <f t="shared" si="4589"/>
        <v>35</v>
      </c>
      <c r="EC429" s="237">
        <f>DR429*POWER(KLslave,SIGN(DS429))*POWER(INslave,SIGN(DT429))*POWER(CHslave_CH,SIGN(DU429))*POWER(FFslave,SIGN(DV429))*POWER(GEslave,SIGN(DW429))*POWER(KOslave,SIGN(DX429))*POWER(KKslave,SIGN(DY429))+DS429*POWER(MUslave,SIGN(DR429))*POWER(INslave,SIGN(DT429))*POWER(CHslave_CH,SIGN(DU429))*POWER(FFslave,SIGN(DV429))*POWER(GEslave,SIGN(DW429))*POWER(KOslave,SIGN(DX429))*POWER(KKslave,SIGN(DY429))+DT429*POWER(MUslave,SIGN(DR429))*POWER(KLslave,SIGN(DS429))*POWER(CHslave_CH,SIGN(DU429))*POWER(FFslave,SIGN(DV429))*POWER(GEslave,SIGN(DW429))*POWER(KOslave,SIGN(DX429))*POWER(KKslave,SIGN(DY429))+DU429*POWER(MUslave,SIGN(DR429))*POWER(KLslave,SIGN(DS429))*POWER(INslave,SIGN(DT429))*POWER(FFslave,SIGN(DV429))*POWER(GEslave,SIGN(DW429))*POWER(KOslave,SIGN(DX429))*POWER(KKslave,SIGN(DY429))+DV429*POWER(MUslave,SIGN(DR429))*POWER(KLslave,SIGN(DS429))*POWER(INslave,SIGN(DT429))*POWER(CHslave_CH,SIGN(DU429))*POWER(GEslave,SIGN(DW429))*POWER(KOslave,SIGN(DX429))*POWER(KKslave,SIGN(DY429))+DW429*POWER(MUslave,SIGN(DR429))*POWER(KLslave,SIGN(DS429))*POWER(INslave,SIGN(DT429))*POWER(CHslave_CH,SIGN(DU429))*POWER(FFslave,SIGN(DV429))*POWER(KOslave,SIGN(DX429))*POWER(KKslave,SIGN(DY429))+DX429*POWER(MUslave,SIGN(DR429))*POWER(KLslave,SIGN(DS429))*POWER(INslave,SIGN(DT429))*POWER(CHslave_CH,SIGN(DU429))*POWER(FFslave,SIGN(DV429))*POWER(GEslave,SIGN(DW429))*POWER(KKslave,SIGN(DY429))+DY429*POWER(MUslave,SIGN(DR429))*POWER(KLslave,SIGN(DS429))*POWER(INslave,SIGN(DT429))*POWER(CHslave_CH,SIGN(DU429))*POWER(FFslave,SIGN(DV429))*POWER(GEslave,SIGN(DW429))*POWER(KOslave,SIGN(DX429))</f>
        <v>2432</v>
      </c>
      <c r="ED429" s="234">
        <f>DS429*DT429*CHslave_CH+DS429*INslave*DU429+KLslave*DT429*DU429</f>
        <v>3408</v>
      </c>
      <c r="EE429" s="224">
        <f>IFERROR(DR429^SIGN(DR429),1)*IFERROR(DS429^SIGN(DS429),1)*IFERROR(DT429^SIGN(DT429),1)*IFERROR(DU429^SIGN(DU429),1)*IFERROR(DV429^SIGN(DV429),1)*IFERROR(DW429^SIGN(DW429),1)*IFERROR(DX429^SIGN(DX429),1)*IFERROR(DY429^SIGN(DY429),1)</f>
        <v>1584</v>
      </c>
      <c r="EF429" s="242">
        <f t="shared" si="4590"/>
        <v>7424</v>
      </c>
      <c r="EG429" s="222">
        <f t="shared" si="4591"/>
        <v>3.8218390804597702</v>
      </c>
      <c r="EH429" s="223">
        <f t="shared" si="4592"/>
        <v>10.711206896551724</v>
      </c>
      <c r="EI429" s="243">
        <f t="shared" si="4593"/>
        <v>7.4676724137931032</v>
      </c>
      <c r="EJ429" s="243">
        <f t="shared" si="4594"/>
        <v>22.000718390804597</v>
      </c>
      <c r="EK429" s="252">
        <f t="shared" si="4595"/>
        <v>0</v>
      </c>
      <c r="EL429" s="309">
        <f t="shared" si="4596"/>
        <v>22.000718390804597</v>
      </c>
      <c r="EM429" s="218">
        <f>IF(EJ429&lt;=0,2,0)+IF(EJ429&gt;0,EJ429+1,0)*2+IF(EJ429&gt;12,EJ429-12,0)*2+IF(EJ429&gt;13,EJ429-13,0)*2+IF(EJ429&gt;14,EJ429-14,0)*2+IF(EJ429&gt;15,EJ429-15,0)*2+IF(EJ429&gt;16,EJ429-16,0)*2+IF(EJ429&gt;17,EJ429-17,0)*2+IF(EJ429&gt;18,EJ429-18,0)*2+IF(EJ429&gt;19,EJ429-19,0)*2+IF(EJ429&gt;20,EJ429-20,0)*2</f>
        <v>154.01436781609189</v>
      </c>
      <c r="EN429" s="242">
        <f>IF(EK429&lt;=0,2,0)+IF(EK429&gt;0,EK429+1,0)*2+IF(EK429&gt;12,EK429-12,0)*2+IF(EK429&gt;13,EK429-13,0)*2+IF(EK429&gt;14,EK429-14,0)*2+IF(EK429&gt;15,EK429-15,0)*2+IF(EK429&gt;16,EK429-16,0)*2+IF(EK429&gt;17,EK429-17,0)*2+IF(EK429&gt;18,EK429-18,0)*2+IF(EK429&gt;19,EK429-19,0)*2+IF(EK429&gt;20,EK429-20,0)*2</f>
        <v>2</v>
      </c>
      <c r="EO429" s="243">
        <f t="shared" si="4597"/>
        <v>152.01436781609189</v>
      </c>
      <c r="EP429" s="218">
        <f t="shared" si="4598"/>
        <v>0</v>
      </c>
      <c r="ER429" s="325" t="s">
        <v>255</v>
      </c>
      <c r="ES429" s="218" t="s">
        <v>87</v>
      </c>
      <c r="ET429" s="223" t="s">
        <v>132</v>
      </c>
      <c r="EU429" s="237"/>
      <c r="EV429" s="234">
        <f>Konvention_1slave-KLslave</f>
        <v>12</v>
      </c>
      <c r="EW429" s="234">
        <f t="shared" si="4648"/>
        <v>12</v>
      </c>
      <c r="EX429" s="234">
        <f>Konvention_1slave-CHslave</f>
        <v>12</v>
      </c>
      <c r="EY429" s="234"/>
      <c r="EZ429" s="234"/>
      <c r="FA429" s="234"/>
      <c r="FB429" s="224"/>
      <c r="FC429" s="223">
        <f>(EU429+EV429+EW429+EX429+EY429+EZ429+FA429+FB429)/3</f>
        <v>12</v>
      </c>
      <c r="FD429" s="223">
        <f t="shared" si="4599"/>
        <v>24</v>
      </c>
      <c r="FE429" s="234">
        <f t="shared" si="4600"/>
        <v>36</v>
      </c>
      <c r="FF429" s="237">
        <f>EU429*POWER(KLslave,SIGN(EV429))*POWER(INslave,SIGN(EW429))*POWER(CHslave,SIGN(EX429))*POWER(FFslave_FF,SIGN(EY429))*POWER(GEslave,SIGN(EZ429))*POWER(KOslave,SIGN(FA429))*POWER(KKslave,SIGN(FB429))+EV429*POWER(MUslave,SIGN(EU429))*POWER(INslave,SIGN(EW429))*POWER(CHslave,SIGN(EX429))*POWER(FFslave_FF,SIGN(EY429))*POWER(GEslave,SIGN(EZ429))*POWER(KOslave,SIGN(FA429))*POWER(KKslave,SIGN(FB429))+EW429*POWER(MUslave,SIGN(EU429))*POWER(KLslave,SIGN(EV429))*POWER(CHslave,SIGN(EX429))*POWER(FFslave_FF,SIGN(EY429))*POWER(GEslave,SIGN(EZ429))*POWER(KOslave,SIGN(FA429))*POWER(KKslave,SIGN(FB429))+EX429*POWER(MUslave,SIGN(EU429))*POWER(KLslave,SIGN(EV429))*POWER(INslave,SIGN(EW429))*POWER(FFslave_FF,SIGN(EY429))*POWER(GEslave,SIGN(EZ429))*POWER(KOslave,SIGN(FA429))*POWER(KKslave,SIGN(FB429))+EY429*POWER(MUslave,SIGN(EU429))*POWER(KLslave,SIGN(EV429))*POWER(INslave,SIGN(EW429))*POWER(CHslave,SIGN(EX429))*POWER(GEslave,SIGN(EZ429))*POWER(KOslave,SIGN(FA429))*POWER(KKslave,SIGN(FB429))+EZ429*POWER(MUslave,SIGN(EU429))*POWER(KLslave,SIGN(EV429))*POWER(INslave,SIGN(EW429))*POWER(CHslave,SIGN(EX429))*POWER(FFslave_FF,SIGN(EY429))*POWER(KOslave,SIGN(FA429))*POWER(KKslave,SIGN(FB429))+FA429*POWER(MUslave,SIGN(EU429))*POWER(KLslave,SIGN(EV429))*POWER(INslave,SIGN(EW429))*POWER(CHslave,SIGN(EX429))*POWER(FFslave_FF,SIGN(EY429))*POWER(GEslave,SIGN(EZ429))*POWER(KKslave,SIGN(FB429))+FB429*POWER(MUslave,SIGN(EU429))*POWER(KLslave,SIGN(EV429))*POWER(INslave,SIGN(EW429))*POWER(CHslave,SIGN(EX429))*POWER(FFslave_FF,SIGN(EY429))*POWER(GEslave,SIGN(EZ429))*POWER(KOslave,SIGN(FA429))</f>
        <v>2304</v>
      </c>
      <c r="FG429" s="234">
        <f>EV429*EW429*CHslave+EV429*INslave*EX429+KLslave*EW429*EX429</f>
        <v>3456</v>
      </c>
      <c r="FH429" s="224">
        <f>IFERROR(EU429^SIGN(EU429),1)*IFERROR(EV429^SIGN(EV429),1)*IFERROR(EW429^SIGN(EW429),1)*IFERROR(EX429^SIGN(EX429),1)*IFERROR(EY429^SIGN(EY429),1)*IFERROR(EZ429^SIGN(EZ429),1)*IFERROR(FA429^SIGN(FA429),1)*IFERROR(FB429^SIGN(FB429),1)</f>
        <v>1728</v>
      </c>
      <c r="FI429" s="242">
        <f t="shared" si="4601"/>
        <v>7488</v>
      </c>
      <c r="FJ429" s="222">
        <f t="shared" si="4602"/>
        <v>3.6923076923076925</v>
      </c>
      <c r="FK429" s="223">
        <f t="shared" si="4603"/>
        <v>11.076923076923077</v>
      </c>
      <c r="FL429" s="243">
        <f t="shared" si="4604"/>
        <v>8.3076923076923084</v>
      </c>
      <c r="FM429" s="243">
        <f t="shared" si="4605"/>
        <v>23.07692307692308</v>
      </c>
      <c r="FN429" s="252">
        <f t="shared" si="4606"/>
        <v>0</v>
      </c>
      <c r="FO429" s="309">
        <f t="shared" si="4607"/>
        <v>23.07692307692308</v>
      </c>
      <c r="FP429" s="218">
        <f>IF(FM429&lt;=0,2,0)+IF(FM429&gt;0,FM429+1,0)*2+IF(FM429&gt;12,FM429-12,0)*2+IF(FM429&gt;13,FM429-13,0)*2+IF(FM429&gt;14,FM429-14,0)*2+IF(FM429&gt;15,FM429-15,0)*2+IF(FM429&gt;16,FM429-16,0)*2+IF(FM429&gt;17,FM429-17,0)*2+IF(FM429&gt;18,FM429-18,0)*2+IF(FM429&gt;19,FM429-19,0)*2+IF(FM429&gt;20,FM429-20,0)*2</f>
        <v>175.5384615384616</v>
      </c>
      <c r="FQ429" s="242">
        <f>IF(FN429&lt;=0,2,0)+IF(FN429&gt;0,FN429+1,0)*2+IF(FN429&gt;12,FN429-12,0)*2+IF(FN429&gt;13,FN429-13,0)*2+IF(FN429&gt;14,FN429-14,0)*2+IF(FN429&gt;15,FN429-15,0)*2+IF(FN429&gt;16,FN429-16,0)*2+IF(FN429&gt;17,FN429-17,0)*2+IF(FN429&gt;18,FN429-18,0)*2+IF(FN429&gt;19,FN429-19,0)*2+IF(FN429&gt;20,FN429-20,0)*2</f>
        <v>2</v>
      </c>
      <c r="FR429" s="243">
        <f t="shared" si="4608"/>
        <v>173.5384615384616</v>
      </c>
      <c r="FS429" s="218">
        <f t="shared" si="4609"/>
        <v>0</v>
      </c>
      <c r="FU429" s="325" t="s">
        <v>255</v>
      </c>
      <c r="FV429" s="218" t="s">
        <v>87</v>
      </c>
      <c r="FW429" s="223" t="s">
        <v>132</v>
      </c>
      <c r="FX429" s="237"/>
      <c r="FY429" s="234">
        <f>Konvention_1slave-KLslave</f>
        <v>12</v>
      </c>
      <c r="FZ429" s="234">
        <f t="shared" si="4649"/>
        <v>12</v>
      </c>
      <c r="GA429" s="234">
        <f>Konvention_1slave-CHslave</f>
        <v>12</v>
      </c>
      <c r="GB429" s="234"/>
      <c r="GC429" s="234"/>
      <c r="GD429" s="234"/>
      <c r="GE429" s="224"/>
      <c r="GF429" s="223">
        <f>(FX429+FY429+FZ429+GA429+GB429+GC429+GD429+GE429)/3</f>
        <v>12</v>
      </c>
      <c r="GG429" s="223">
        <f t="shared" si="4610"/>
        <v>24</v>
      </c>
      <c r="GH429" s="234">
        <f t="shared" si="4611"/>
        <v>36</v>
      </c>
      <c r="GI429" s="237">
        <f>FX429*POWER(KLslave,SIGN(FY429))*POWER(INslave,SIGN(FZ429))*POWER(CHslave,SIGN(GA429))*POWER(FFslave,SIGN(GB429))*POWER(GEslave_GE,SIGN(GC429))*POWER(KOslave,SIGN(GD429))*POWER(KKslave,SIGN(GE429))+FY429*POWER(MUslave,SIGN(FX429))*POWER(INslave,SIGN(FZ429))*POWER(CHslave,SIGN(GA429))*POWER(FFslave,SIGN(GB429))*POWER(GEslave_GE,SIGN(GC429))*POWER(KOslave,SIGN(GD429))*POWER(KKslave,SIGN(GE429))+FZ429*POWER(MUslave,SIGN(FX429))*POWER(KLslave,SIGN(FY429))*POWER(CHslave,SIGN(GA429))*POWER(FFslave,SIGN(GB429))*POWER(GEslave_GE,SIGN(GC429))*POWER(KOslave,SIGN(GD429))*POWER(KKslave,SIGN(GE429))+GA429*POWER(MUslave,SIGN(FX429))*POWER(KLslave,SIGN(FY429))*POWER(INslave,SIGN(FZ429))*POWER(FFslave,SIGN(GB429))*POWER(GEslave_GE,SIGN(GC429))*POWER(KOslave,SIGN(GD429))*POWER(KKslave,SIGN(GE429))+GB429*POWER(MUslave,SIGN(FX429))*POWER(KLslave,SIGN(FY429))*POWER(INslave,SIGN(FZ429))*POWER(CHslave,SIGN(GA429))*POWER(GEslave_GE,SIGN(GC429))*POWER(KOslave,SIGN(GD429))*POWER(KKslave,SIGN(GE429))+GC429*POWER(MUslave,SIGN(FX429))*POWER(KLslave,SIGN(FY429))*POWER(INslave,SIGN(FZ429))*POWER(CHslave,SIGN(GA429))*POWER(FFslave,SIGN(GB429))*POWER(KOslave,SIGN(GD429))*POWER(KKslave,SIGN(GE429))+GD429*POWER(MUslave,SIGN(FX429))*POWER(KLslave,SIGN(FY429))*POWER(INslave,SIGN(FZ429))*POWER(CHslave,SIGN(GA429))*POWER(FFslave,SIGN(GB429))*POWER(GEslave_GE,SIGN(GC429))*POWER(KKslave,SIGN(GE429))+GE429*POWER(MUslave,SIGN(FX429))*POWER(KLslave,SIGN(FY429))*POWER(INslave,SIGN(FZ429))*POWER(CHslave,SIGN(GA429))*POWER(FFslave,SIGN(GB429))*POWER(GEslave_GE,SIGN(GC429))*POWER(KOslave,SIGN(GD429))</f>
        <v>2304</v>
      </c>
      <c r="GJ429" s="234">
        <f>FY429*FZ429*CHslave+FY429*INslave*GA429+KLslave*FZ429*GA429</f>
        <v>3456</v>
      </c>
      <c r="GK429" s="224">
        <f>IFERROR(FX429^SIGN(FX429),1)*IFERROR(FY429^SIGN(FY429),1)*IFERROR(FZ429^SIGN(FZ429),1)*IFERROR(GA429^SIGN(GA429),1)*IFERROR(GB429^SIGN(GB429),1)*IFERROR(GC429^SIGN(GC429),1)*IFERROR(GD429^SIGN(GD429),1)*IFERROR(GE429^SIGN(GE429),1)</f>
        <v>1728</v>
      </c>
      <c r="GL429" s="242">
        <f t="shared" si="4612"/>
        <v>7488</v>
      </c>
      <c r="GM429" s="222">
        <f t="shared" si="4613"/>
        <v>3.6923076923076925</v>
      </c>
      <c r="GN429" s="223">
        <f t="shared" si="4614"/>
        <v>11.076923076923077</v>
      </c>
      <c r="GO429" s="243">
        <f t="shared" si="4615"/>
        <v>8.3076923076923084</v>
      </c>
      <c r="GP429" s="243">
        <f t="shared" si="4616"/>
        <v>23.07692307692308</v>
      </c>
      <c r="GQ429" s="252">
        <f t="shared" si="4617"/>
        <v>0</v>
      </c>
      <c r="GR429" s="309">
        <f t="shared" si="4618"/>
        <v>23.07692307692308</v>
      </c>
      <c r="GS429" s="218">
        <f>IF(GP429&lt;=0,2,0)+IF(GP429&gt;0,GP429+1,0)*2+IF(GP429&gt;12,GP429-12,0)*2+IF(GP429&gt;13,GP429-13,0)*2+IF(GP429&gt;14,GP429-14,0)*2+IF(GP429&gt;15,GP429-15,0)*2+IF(GP429&gt;16,GP429-16,0)*2+IF(GP429&gt;17,GP429-17,0)*2+IF(GP429&gt;18,GP429-18,0)*2+IF(GP429&gt;19,GP429-19,0)*2+IF(GP429&gt;20,GP429-20,0)*2</f>
        <v>175.5384615384616</v>
      </c>
      <c r="GT429" s="242">
        <f>IF(GQ429&lt;=0,2,0)+IF(GQ429&gt;0,GQ429+1,0)*2+IF(GQ429&gt;12,GQ429-12,0)*2+IF(GQ429&gt;13,GQ429-13,0)*2+IF(GQ429&gt;14,GQ429-14,0)*2+IF(GQ429&gt;15,GQ429-15,0)*2+IF(GQ429&gt;16,GQ429-16,0)*2+IF(GQ429&gt;17,GQ429-17,0)*2+IF(GQ429&gt;18,GQ429-18,0)*2+IF(GQ429&gt;19,GQ429-19,0)*2+IF(GQ429&gt;20,GQ429-20,0)*2</f>
        <v>2</v>
      </c>
      <c r="GU429" s="243">
        <f t="shared" si="4619"/>
        <v>173.5384615384616</v>
      </c>
      <c r="GV429" s="218">
        <f t="shared" si="4620"/>
        <v>0</v>
      </c>
      <c r="GX429" s="325" t="s">
        <v>255</v>
      </c>
      <c r="GY429" s="218" t="s">
        <v>87</v>
      </c>
      <c r="GZ429" s="223" t="s">
        <v>132</v>
      </c>
      <c r="HA429" s="237"/>
      <c r="HB429" s="234">
        <f>Konvention_1slave-KLslave</f>
        <v>12</v>
      </c>
      <c r="HC429" s="234">
        <f t="shared" si="4650"/>
        <v>12</v>
      </c>
      <c r="HD429" s="234">
        <f>Konvention_1slave-CHslave</f>
        <v>12</v>
      </c>
      <c r="HE429" s="234"/>
      <c r="HF429" s="234"/>
      <c r="HG429" s="234"/>
      <c r="HH429" s="224"/>
      <c r="HI429" s="223">
        <f>(HA429+HB429+HC429+HD429+HE429+HF429+HG429+HH429)/3</f>
        <v>12</v>
      </c>
      <c r="HJ429" s="223">
        <f t="shared" si="4621"/>
        <v>24</v>
      </c>
      <c r="HK429" s="234">
        <f t="shared" si="4622"/>
        <v>36</v>
      </c>
      <c r="HL429" s="237">
        <f>HA429*POWER(KLslave,SIGN(HB429))*POWER(INslave,SIGN(HC429))*POWER(CHslave,SIGN(HD429))*POWER(FFslave,SIGN(HE429))*POWER(GEslave,SIGN(HF429))*POWER(KOslave_KO,SIGN(HG429))*POWER(KKslave,SIGN(HH429))+HB429*POWER(MUslave,SIGN(HA429))*POWER(INslave,SIGN(HC429))*POWER(CHslave,SIGN(HD429))*POWER(FFslave,SIGN(HE429))*POWER(GEslave,SIGN(HF429))*POWER(KOslave_KO,SIGN(HG429))*POWER(KKslave,SIGN(HH429))+HC429*POWER(MUslave,SIGN(HA429))*POWER(KLslave,SIGN(HB429))*POWER(CHslave,SIGN(HD429))*POWER(FFslave,SIGN(HE429))*POWER(GEslave,SIGN(HF429))*POWER(KOslave_KO,SIGN(HG429))*POWER(KKslave,SIGN(HH429))+HD429*POWER(MUslave,SIGN(HA429))*POWER(KLslave,SIGN(HB429))*POWER(INslave,SIGN(HC429))*POWER(FFslave,SIGN(HE429))*POWER(GEslave,SIGN(HF429))*POWER(KOslave_KO,SIGN(HG429))*POWER(KKslave,SIGN(HH429))+HE429*POWER(MUslave,SIGN(HA429))*POWER(KLslave,SIGN(HB429))*POWER(INslave,SIGN(HC429))*POWER(CHslave,SIGN(HD429))*POWER(GEslave,SIGN(HF429))*POWER(KOslave_KO,SIGN(HG429))*POWER(KKslave,SIGN(HH429))+HF429*POWER(MUslave,SIGN(HA429))*POWER(KLslave,SIGN(HB429))*POWER(INslave,SIGN(HC429))*POWER(CHslave,SIGN(HD429))*POWER(FFslave,SIGN(HE429))*POWER(KOslave_KO,SIGN(HG429))*POWER(KKslave,SIGN(HH429))+HG429*POWER(MUslave,SIGN(HA429))*POWER(KLslave,SIGN(HB429))*POWER(INslave,SIGN(HC429))*POWER(CHslave,SIGN(HD429))*POWER(FFslave,SIGN(HE429))*POWER(GEslave,SIGN(HF429))*POWER(KKslave,SIGN(HH429))+HH429*POWER(MUslave,SIGN(HA429))*POWER(KLslave,SIGN(HB429))*POWER(INslave,SIGN(HC429))*POWER(CHslave,SIGN(HD429))*POWER(FFslave,SIGN(HE429))*POWER(GEslave,SIGN(HF429))*POWER(KOslave_KO,SIGN(HG429))</f>
        <v>2304</v>
      </c>
      <c r="HM429" s="234">
        <f>HB429*HC429*CHslave+HB429*INslave*HD429+KLslave*HC429*HD429</f>
        <v>3456</v>
      </c>
      <c r="HN429" s="224">
        <f>IFERROR(HA429^SIGN(HA429),1)*IFERROR(HB429^SIGN(HB429),1)*IFERROR(HC429^SIGN(HC429),1)*IFERROR(HD429^SIGN(HD429),1)*IFERROR(HE429^SIGN(HE429),1)*IFERROR(HF429^SIGN(HF429),1)*IFERROR(HG429^SIGN(HG429),1)*IFERROR(HH429^SIGN(HH429),1)</f>
        <v>1728</v>
      </c>
      <c r="HO429" s="242">
        <f t="shared" si="4623"/>
        <v>7488</v>
      </c>
      <c r="HP429" s="222">
        <f t="shared" si="4624"/>
        <v>3.6923076923076925</v>
      </c>
      <c r="HQ429" s="223">
        <f t="shared" si="4625"/>
        <v>11.076923076923077</v>
      </c>
      <c r="HR429" s="243">
        <f t="shared" si="4626"/>
        <v>8.3076923076923084</v>
      </c>
      <c r="HS429" s="243">
        <f t="shared" si="4627"/>
        <v>23.07692307692308</v>
      </c>
      <c r="HT429" s="252">
        <f t="shared" si="4628"/>
        <v>0</v>
      </c>
      <c r="HU429" s="309">
        <f t="shared" si="4629"/>
        <v>23.07692307692308</v>
      </c>
      <c r="HV429" s="218">
        <f>IF(HS429&lt;=0,2,0)+IF(HS429&gt;0,HS429+1,0)*2+IF(HS429&gt;12,HS429-12,0)*2+IF(HS429&gt;13,HS429-13,0)*2+IF(HS429&gt;14,HS429-14,0)*2+IF(HS429&gt;15,HS429-15,0)*2+IF(HS429&gt;16,HS429-16,0)*2+IF(HS429&gt;17,HS429-17,0)*2+IF(HS429&gt;18,HS429-18,0)*2+IF(HS429&gt;19,HS429-19,0)*2+IF(HS429&gt;20,HS429-20,0)*2</f>
        <v>175.5384615384616</v>
      </c>
      <c r="HW429" s="242">
        <f>IF(HT429&lt;=0,2,0)+IF(HT429&gt;0,HT429+1,0)*2+IF(HT429&gt;12,HT429-12,0)*2+IF(HT429&gt;13,HT429-13,0)*2+IF(HT429&gt;14,HT429-14,0)*2+IF(HT429&gt;15,HT429-15,0)*2+IF(HT429&gt;16,HT429-16,0)*2+IF(HT429&gt;17,HT429-17,0)*2+IF(HT429&gt;18,HT429-18,0)*2+IF(HT429&gt;19,HT429-19,0)*2+IF(HT429&gt;20,HT429-20,0)*2</f>
        <v>2</v>
      </c>
      <c r="HX429" s="243">
        <f t="shared" si="4630"/>
        <v>173.5384615384616</v>
      </c>
      <c r="HY429" s="218">
        <f t="shared" si="4631"/>
        <v>0</v>
      </c>
      <c r="IA429" s="325" t="s">
        <v>255</v>
      </c>
      <c r="IB429" s="218" t="s">
        <v>87</v>
      </c>
      <c r="IC429" s="223" t="s">
        <v>132</v>
      </c>
      <c r="ID429" s="237"/>
      <c r="IE429" s="234">
        <f>Konvention_1slave-KLslave</f>
        <v>12</v>
      </c>
      <c r="IF429" s="234">
        <f t="shared" si="4651"/>
        <v>12</v>
      </c>
      <c r="IG429" s="234">
        <f>Konvention_1slave-CHslave</f>
        <v>12</v>
      </c>
      <c r="IH429" s="234"/>
      <c r="II429" s="234"/>
      <c r="IJ429" s="234"/>
      <c r="IK429" s="224"/>
      <c r="IL429" s="223">
        <f>(ID429+IE429+IF429+IG429+IH429+II429+IJ429+IK429)/3</f>
        <v>12</v>
      </c>
      <c r="IM429" s="223">
        <f t="shared" si="4632"/>
        <v>24</v>
      </c>
      <c r="IN429" s="234">
        <f t="shared" si="4633"/>
        <v>36</v>
      </c>
      <c r="IO429" s="237">
        <f>ID429*POWER(KLslave,SIGN(IE429))*POWER(INslave,SIGN(IF429))*POWER(CHslave,SIGN(IG429))*POWER(FFslave,SIGN(IH429))*POWER(GEslave,SIGN(II429))*POWER(KOslave,SIGN(IJ429))*POWER(KKslave_KK,SIGN(IK429))+IE429*POWER(MUslave,SIGN(ID429))*POWER(INslave,SIGN(IF429))*POWER(CHslave,SIGN(IG429))*POWER(FFslave,SIGN(IH429))*POWER(GEslave,SIGN(II429))*POWER(KOslave,SIGN(IJ429))*POWER(KKslave_KK,SIGN(IK429))+IF429*POWER(MUslave,SIGN(ID429))*POWER(KLslave,SIGN(IE429))*POWER(CHslave,SIGN(IG429))*POWER(FFslave,SIGN(IH429))*POWER(GEslave,SIGN(II429))*POWER(KOslave,SIGN(IJ429))*POWER(KKslave_KK,SIGN(IK429))+IG429*POWER(MUslave,SIGN(ID429))*POWER(KLslave,SIGN(IE429))*POWER(INslave,SIGN(IF429))*POWER(FFslave,SIGN(IH429))*POWER(GEslave,SIGN(II429))*POWER(KOslave,SIGN(IJ429))*POWER(KKslave_KK,SIGN(IK429))+IH429*POWER(MUslave,SIGN(ID429))*POWER(KLslave,SIGN(IE429))*POWER(INslave,SIGN(IF429))*POWER(CHslave,SIGN(IG429))*POWER(GEslave,SIGN(II429))*POWER(KOslave,SIGN(IJ429))*POWER(KKslave_KK,SIGN(IK429))+II429*POWER(MUslave,SIGN(ID429))*POWER(KLslave,SIGN(IE429))*POWER(INslave,SIGN(IF429))*POWER(CHslave,SIGN(IG429))*POWER(FFslave,SIGN(IH429))*POWER(KOslave,SIGN(IJ429))*POWER(KKslave_KK,SIGN(IK429))+IJ429*POWER(MUslave,SIGN(ID429))*POWER(KLslave,SIGN(IE429))*POWER(INslave,SIGN(IF429))*POWER(CHslave,SIGN(IG429))*POWER(FFslave,SIGN(IH429))*POWER(GEslave,SIGN(II429))*POWER(KKslave_KK,SIGN(IK429))+IK429*POWER(MUslave,SIGN(ID429))*POWER(KLslave,SIGN(IE429))*POWER(INslave,SIGN(IF429))*POWER(CHslave,SIGN(IG429))*POWER(FFslave,SIGN(IH429))*POWER(GEslave,SIGN(II429))*POWER(KOslave,SIGN(IJ429))</f>
        <v>2304</v>
      </c>
      <c r="IP429" s="234">
        <f>IE429*IF429*CHslave+IE429*INslave*IG429+KLslave*IF429*IG429</f>
        <v>3456</v>
      </c>
      <c r="IQ429" s="224">
        <f>IFERROR(ID429^SIGN(ID429),1)*IFERROR(IE429^SIGN(IE429),1)*IFERROR(IF429^SIGN(IF429),1)*IFERROR(IG429^SIGN(IG429),1)*IFERROR(IH429^SIGN(IH429),1)*IFERROR(II429^SIGN(II429),1)*IFERROR(IJ429^SIGN(IJ429),1)*IFERROR(IK429^SIGN(IK429),1)</f>
        <v>1728</v>
      </c>
      <c r="IR429" s="242">
        <f t="shared" si="4634"/>
        <v>7488</v>
      </c>
      <c r="IS429" s="222">
        <f t="shared" si="4635"/>
        <v>3.6923076923076925</v>
      </c>
      <c r="IT429" s="223">
        <f t="shared" si="4636"/>
        <v>11.076923076923077</v>
      </c>
      <c r="IU429" s="243">
        <f t="shared" si="4637"/>
        <v>8.3076923076923084</v>
      </c>
      <c r="IV429" s="243">
        <f t="shared" si="4638"/>
        <v>23.07692307692308</v>
      </c>
      <c r="IW429" s="252">
        <f t="shared" si="4639"/>
        <v>0</v>
      </c>
      <c r="IX429" s="309">
        <f t="shared" si="4640"/>
        <v>23.07692307692308</v>
      </c>
      <c r="IY429" s="218">
        <f>IF(IV429&lt;=0,2,0)+IF(IV429&gt;0,IV429+1,0)*2+IF(IV429&gt;12,IV429-12,0)*2+IF(IV429&gt;13,IV429-13,0)*2+IF(IV429&gt;14,IV429-14,0)*2+IF(IV429&gt;15,IV429-15,0)*2+IF(IV429&gt;16,IV429-16,0)*2+IF(IV429&gt;17,IV429-17,0)*2+IF(IV429&gt;18,IV429-18,0)*2+IF(IV429&gt;19,IV429-19,0)*2+IF(IV429&gt;20,IV429-20,0)*2</f>
        <v>175.5384615384616</v>
      </c>
      <c r="IZ429" s="242">
        <f>IF(IW429&lt;=0,2,0)+IF(IW429&gt;0,IW429+1,0)*2+IF(IW429&gt;12,IW429-12,0)*2+IF(IW429&gt;13,IW429-13,0)*2+IF(IW429&gt;14,IW429-14,0)*2+IF(IW429&gt;15,IW429-15,0)*2+IF(IW429&gt;16,IW429-16,0)*2+IF(IW429&gt;17,IW429-17,0)*2+IF(IW429&gt;18,IW429-18,0)*2+IF(IW429&gt;19,IW429-19,0)*2+IF(IW429&gt;20,IW429-20,0)*2</f>
        <v>2</v>
      </c>
      <c r="JA429" s="243">
        <f t="shared" si="4641"/>
        <v>173.5384615384616</v>
      </c>
      <c r="JB429" s="218">
        <f t="shared" si="4642"/>
        <v>0</v>
      </c>
      <c r="JE429" s="148"/>
    </row>
    <row r="430" spans="2:265" ht="15" hidden="1" customHeight="1" outlineLevel="2">
      <c r="B430" s="148">
        <v>6</v>
      </c>
      <c r="C430" s="325" t="e">
        <f>VLOOKUP(AF430,Attribute!C:T,1,FALSE)</f>
        <v>#N/A</v>
      </c>
      <c r="D430" s="86" t="s">
        <v>87</v>
      </c>
      <c r="E430" s="47" t="s">
        <v>133</v>
      </c>
      <c r="F430" s="114"/>
      <c r="G430" s="113">
        <f>Konvention_1master-KLmaster</f>
        <v>12</v>
      </c>
      <c r="H430" s="113">
        <f t="shared" si="4643"/>
        <v>12</v>
      </c>
      <c r="I430" s="113">
        <f>Konvention_1master-CHmaster</f>
        <v>12</v>
      </c>
      <c r="J430" s="113"/>
      <c r="K430" s="113"/>
      <c r="L430" s="113"/>
      <c r="M430" s="119"/>
      <c r="N430" s="223">
        <f>(F430+G430+H430+I430+J430+K430+L430+M430)/3</f>
        <v>12</v>
      </c>
      <c r="O430" s="223">
        <f t="shared" si="4545"/>
        <v>24</v>
      </c>
      <c r="P430" s="234">
        <f t="shared" si="4546"/>
        <v>36</v>
      </c>
      <c r="Q430" s="237">
        <f>F430*POWER(KLmaster,SIGN(G430))*POWER(INmaster,SIGN(H430))*POWER(CHmaster,SIGN(I430))*POWER(FFmaster,SIGN(J430))*POWER(GEmaster,SIGN(K430))*POWER(KOmaster,SIGN(L430))*POWER(KKmaster,SIGN(M430))+G430*POWER(MUmaster,SIGN(F430))*POWER(INmaster,SIGN(H430))*POWER(CHmaster,SIGN(I430))*POWER(FFmaster,SIGN(J430))*POWER(GEmaster,SIGN(K430))*POWER(KOmaster,SIGN(L430))*POWER(KKmaster,SIGN(M430))+H430*POWER(MUmaster,SIGN(F430))*POWER(KLmaster,SIGN(G430))*POWER(CHmaster,SIGN(I430))*POWER(FFmaster,SIGN(J430))*POWER(GEmaster,SIGN(K430))*POWER(KOmaster,SIGN(L430))*POWER(KKmaster,SIGN(M430))+I430*POWER(MUmaster,SIGN(F430))*POWER(KLmaster,SIGN(G430))*POWER(INmaster,SIGN(H430))*POWER(FFmaster,SIGN(J430))*POWER(GEmaster,SIGN(K430))*POWER(KOmaster,SIGN(L430))*POWER(KKmaster,SIGN(M430))+J430*POWER(MUmaster,SIGN(F430))*POWER(KLmaster,SIGN(G430))*POWER(INmaster,SIGN(H430))*POWER(CHmaster,SIGN(I430))*POWER(GEmaster,SIGN(K430))*POWER(KOmaster,SIGN(L430))*POWER(KKmaster,SIGN(M430))+K430*POWER(MUmaster,SIGN(F430))*POWER(KLmaster,SIGN(G430))*POWER(INmaster,SIGN(H430))*POWER(CHmaster,SIGN(I430))*POWER(FFmaster,SIGN(J430))*POWER(KOmaster,SIGN(L430))*POWER(KKmaster,SIGN(M430))+L430*POWER(MUmaster,SIGN(F430))*POWER(KLmaster,SIGN(G430))*POWER(INmaster,SIGN(H430))*POWER(CHmaster,SIGN(I430))*POWER(FFmaster,SIGN(J430))*POWER(GEmaster,SIGN(K430))*POWER(KKmaster,SIGN(M430))+M430*POWER(MUmaster,SIGN(F430))*POWER(KLmaster,SIGN(G430))*POWER(INmaster,SIGN(H430))*POWER(CHmaster,SIGN(I430))*POWER(FFmaster,SIGN(J430))*POWER(GEmaster,SIGN(K430))*POWER(KOmaster,SIGN(L430))</f>
        <v>2304</v>
      </c>
      <c r="R430" s="113">
        <f>G430*H430*CHmaster+G430*INmaster*I430+KLmaster*H430*I430</f>
        <v>3456</v>
      </c>
      <c r="S430" s="224">
        <f>IFERROR(F430^SIGN(F430),1)*IFERROR(G430^SIGN(G430),1)*IFERROR(H430^SIGN(H430),1)*IFERROR(I430^SIGN(I430),1)*IFERROR(J430^SIGN(J430),1)*IFERROR(K430^SIGN(K430),1)*IFERROR(L430^SIGN(L430),1)*IFERROR(M430^SIGN(M430),1)</f>
        <v>1728</v>
      </c>
      <c r="T430" s="242">
        <f t="shared" si="4547"/>
        <v>7488</v>
      </c>
      <c r="U430" s="222">
        <f t="shared" si="4548"/>
        <v>3.6923076923076925</v>
      </c>
      <c r="V430" s="223">
        <f t="shared" si="4549"/>
        <v>11.076923076923077</v>
      </c>
      <c r="W430" s="243">
        <f t="shared" si="4550"/>
        <v>8.3076923076923084</v>
      </c>
      <c r="X430" s="243">
        <f t="shared" si="4551"/>
        <v>23.07692307692308</v>
      </c>
      <c r="Y430" s="252">
        <v>0</v>
      </c>
      <c r="Z430" s="198">
        <f t="shared" si="4552"/>
        <v>23.07692307692308</v>
      </c>
      <c r="AA430" s="125">
        <f>IF(X430&lt;=0,1,0)+IF(X430&gt;0,X430+1,0)*1+IF(X430&gt;12,X430-12,0)*1+IF(X430&gt;13,X430-13,0)*1+IF(X430&gt;14,X430-14,0)*1+IF(X430&gt;15,X430-15,0)*1+IF(X430&gt;16,X430-16,0)*1+IF(X430&gt;17,X430-17,0)*1+IF(X430&gt;18,X430-18,0)*1+IF(X430&gt;19,X430-19,0)*1+IF(X430&gt;20,X430-20,0)*1</f>
        <v>87.769230769230802</v>
      </c>
      <c r="AB430" s="160">
        <f>IF(Y430&lt;=0,1,0)+IF(Y430&gt;0,Y430+1,0)*1+IF(Y430&gt;12,Y430-12,0)*1+IF(Y430&gt;13,Y430-13,0)*1+IF(Y430&gt;14,Y430-14,0)*1+IF(Y430&gt;15,Y430-15,0)*1+IF(Y430&gt;16,Y430-16,0)*1+IF(Y430&gt;17,Y430-17,0)*1+IF(Y430&gt;18,Y430-18,0)*1+IF(Y430&gt;19,Y430-19,0)*1+IF(Y430&gt;20,Y430-20,0)*1</f>
        <v>1</v>
      </c>
      <c r="AC430" s="127">
        <f t="shared" si="4553"/>
        <v>86.769230769230802</v>
      </c>
      <c r="AD430" s="125">
        <f t="shared" si="4554"/>
        <v>0</v>
      </c>
      <c r="AF430" s="177" t="s">
        <v>265</v>
      </c>
      <c r="AG430" s="125" t="s">
        <v>87</v>
      </c>
      <c r="AH430" s="47" t="s">
        <v>133</v>
      </c>
      <c r="AI430" s="114"/>
      <c r="AJ430" s="113">
        <f>Konvention_1slave-KLslave</f>
        <v>12</v>
      </c>
      <c r="AK430" s="113">
        <f t="shared" si="4644"/>
        <v>12</v>
      </c>
      <c r="AL430" s="113">
        <f>Konvention_1slave-CHslave</f>
        <v>12</v>
      </c>
      <c r="AM430" s="113"/>
      <c r="AN430" s="113"/>
      <c r="AO430" s="113"/>
      <c r="AP430" s="119"/>
      <c r="AQ430" s="47">
        <f>(AI430+AJ430+AK430+AL430+AM430+AN430+AO430+AP430)/3</f>
        <v>12</v>
      </c>
      <c r="AR430" s="47">
        <f t="shared" si="4555"/>
        <v>24</v>
      </c>
      <c r="AS430" s="113">
        <f t="shared" si="4556"/>
        <v>36</v>
      </c>
      <c r="AT430" s="114">
        <f>AI430*POWER(KLslave,SIGN(AJ430))*POWER(INslave,SIGN(AK430))*POWER(CHslave,SIGN(AL430))*POWER(FFslave,SIGN(AM430))*POWER(GEslave,SIGN(AN430))*POWER(KOslave,SIGN(AO430))*POWER(KKslave,SIGN(AP430))+AJ430*POWER(MUslave_MU,SIGN(AI430))*POWER(INslave,SIGN(AK430))*POWER(CHslave,SIGN(AL430))*POWER(FFslave,SIGN(AM430))*POWER(GEslave,SIGN(AN430))*POWER(KOslave,SIGN(AO430))*POWER(KKslave,SIGN(AP430))+AK430*POWER(MUslave_MU,SIGN(AI430))*POWER(KLslave,SIGN(AJ430))*POWER(CHslave,SIGN(AL430))*POWER(FFslave,SIGN(AM430))*POWER(GEslave,SIGN(AN430))*POWER(KOslave,SIGN(AO430))*POWER(KKslave,SIGN(AP430))+AL430*POWER(MUslave_MU,SIGN(AI430))*POWER(KLslave,SIGN(AJ430))*POWER(INslave,SIGN(AK430))*POWER(FFslave,SIGN(AM430))*POWER(GEslave,SIGN(AN430))*POWER(KOslave,SIGN(AO430))*POWER(KKslave,SIGN(AP430))+AM430*POWER(MUslave_MU,SIGN(AI430))*POWER(KLslave,SIGN(AJ430))*POWER(INslave,SIGN(AK430))*POWER(CHslave,SIGN(AL430))*POWER(GEslave,SIGN(AN430))*POWER(KOslave,SIGN(AO430))*POWER(KKslave,SIGN(AP430))+AN430*POWER(MUslave_MU,SIGN(AI430))*POWER(KLslave,SIGN(AJ430))*POWER(INslave,SIGN(AK430))*POWER(CHslave,SIGN(AL430))*POWER(FFslave,SIGN(AM430))*POWER(KOslave,SIGN(AO430))*POWER(KKslave,SIGN(AP430))+AO430*POWER(MUslave_MU,SIGN(AI430))*POWER(KLslave,SIGN(AJ430))*POWER(INslave,SIGN(AK430))*POWER(CHslave,SIGN(AL430))*POWER(FFslave,SIGN(AM430))*POWER(GEslave,SIGN(AN430))*POWER(KKslave,SIGN(AP430))+AP430*POWER(MUslave_MU,SIGN(AI430))*POWER(KLslave,SIGN(AJ430))*POWER(INslave,SIGN(AK430))*POWER(CHslave,SIGN(AL430))*POWER(FFslave,SIGN(AM430))*POWER(GEslave,SIGN(AN430))*POWER(KOslave,SIGN(AO430))</f>
        <v>2304</v>
      </c>
      <c r="AU430" s="113">
        <f>AJ430*AK430*CHslave+AJ430*INslave*AL430+KLslave*AK430*AL430</f>
        <v>3456</v>
      </c>
      <c r="AV430" s="119">
        <f>IFERROR(AI430^SIGN(AI430),1)*IFERROR(AJ430^SIGN(AJ430),1)*IFERROR(AK430^SIGN(AK430),1)*IFERROR(AL430^SIGN(AL430),1)*IFERROR(AM430^SIGN(AM430),1)*IFERROR(AN430^SIGN(AN430),1)*IFERROR(AO430^SIGN(AO430),1)*IFERROR(AP430^SIGN(AP430),1)</f>
        <v>1728</v>
      </c>
      <c r="AW430" s="160">
        <f t="shared" si="4557"/>
        <v>7488</v>
      </c>
      <c r="AX430" s="89">
        <f t="shared" si="4558"/>
        <v>3.6923076923076925</v>
      </c>
      <c r="AY430" s="47">
        <f t="shared" si="4559"/>
        <v>11.076923076923077</v>
      </c>
      <c r="AZ430" s="127">
        <f t="shared" si="4560"/>
        <v>8.3076923076923084</v>
      </c>
      <c r="BA430" s="127">
        <f t="shared" si="4561"/>
        <v>23.07692307692308</v>
      </c>
      <c r="BB430" s="165">
        <f t="shared" si="4562"/>
        <v>0</v>
      </c>
      <c r="BC430" s="198">
        <f t="shared" si="4563"/>
        <v>23.07692307692308</v>
      </c>
      <c r="BD430" s="125">
        <f>IF(BA430&lt;=0,1,0)+IF(BA430&gt;0,BA430+1,0)*1+IF(BA430&gt;12,BA430-12,0)*1+IF(BA430&gt;13,BA430-13,0)*1+IF(BA430&gt;14,BA430-14,0)*1+IF(BA430&gt;15,BA430-15,0)*1+IF(BA430&gt;16,BA430-16,0)*1+IF(BA430&gt;17,BA430-17,0)*1+IF(BA430&gt;18,BA430-18,0)*1+IF(BA430&gt;19,BA430-19,0)*1+IF(BA430&gt;20,BA430-20,0)*1</f>
        <v>87.769230769230802</v>
      </c>
      <c r="BE430" s="160">
        <f>IF(BB430&lt;=0,1,0)+IF(BB430&gt;0,BB430+1,0)*1+IF(BB430&gt;12,BB430-12,0)*1+IF(BB430&gt;13,BB430-13,0)*1+IF(BB430&gt;14,BB430-14,0)*1+IF(BB430&gt;15,BB430-15,0)*1+IF(BB430&gt;16,BB430-16,0)*1+IF(BB430&gt;17,BB430-17,0)*1+IF(BB430&gt;18,BB430-18,0)*1+IF(BB430&gt;19,BB430-19,0)*1+IF(BB430&gt;20,BB430-20,0)*1</f>
        <v>1</v>
      </c>
      <c r="BF430" s="243">
        <f t="shared" si="4564"/>
        <v>86.769230769230802</v>
      </c>
      <c r="BG430" s="218">
        <f t="shared" si="4565"/>
        <v>0</v>
      </c>
      <c r="BI430" s="325" t="s">
        <v>265</v>
      </c>
      <c r="BJ430" s="218" t="s">
        <v>87</v>
      </c>
      <c r="BK430" s="223" t="s">
        <v>133</v>
      </c>
      <c r="BL430" s="237"/>
      <c r="BM430" s="234">
        <f>Konvention_1slave-KLslave_KL</f>
        <v>11</v>
      </c>
      <c r="BN430" s="234">
        <f t="shared" si="4645"/>
        <v>12</v>
      </c>
      <c r="BO430" s="234">
        <f>Konvention_1slave-CHslave</f>
        <v>12</v>
      </c>
      <c r="BP430" s="234"/>
      <c r="BQ430" s="234"/>
      <c r="BR430" s="234"/>
      <c r="BS430" s="224"/>
      <c r="BT430" s="223">
        <f>(BL430+BM430+BN430+BO430+BP430+BQ430+BR430+BS430)/3</f>
        <v>11.666666666666666</v>
      </c>
      <c r="BU430" s="223">
        <f t="shared" si="4566"/>
        <v>23.333333333333332</v>
      </c>
      <c r="BV430" s="234">
        <f t="shared" si="4567"/>
        <v>35</v>
      </c>
      <c r="BW430" s="237">
        <f>BL430*POWER(KLslave_KL,SIGN(BM430))*POWER(INslave,SIGN(BN430))*POWER(CHslave,SIGN(BO430))*POWER(FFslave,SIGN(BP430))*POWER(GEslave,SIGN(BQ430))*POWER(KOslave,SIGN(BR430))*POWER(KKslave,SIGN(BS430))+BM430*POWER(MUslave,SIGN(BL430))*POWER(INslave,SIGN(BN430))*POWER(CHslave,SIGN(BO430))*POWER(FFslave,SIGN(BP430))*POWER(GEslave,SIGN(BQ430))*POWER(KOslave,SIGN(BR430))*POWER(KKslave,SIGN(BS430))+BN430*POWER(MUslave,SIGN(BL430))*POWER(KLslave_KL,SIGN(BM430))*POWER(CHslave,SIGN(BO430))*POWER(FFslave,SIGN(BP430))*POWER(GEslave,SIGN(BQ430))*POWER(KOslave,SIGN(BR430))*POWER(KKslave,SIGN(BS430))+BO430*POWER(MUslave,SIGN(BL430))*POWER(KLslave_KL,SIGN(BM430))*POWER(INslave,SIGN(BN430))*POWER(FFslave,SIGN(BP430))*POWER(GEslave,SIGN(BQ430))*POWER(KOslave,SIGN(BR430))*POWER(KKslave,SIGN(BS430))+BP430*POWER(MUslave,SIGN(BL430))*POWER(KLslave_KL,SIGN(BM430))*POWER(INslave,SIGN(BN430))*POWER(CHslave,SIGN(BO430))*POWER(GEslave,SIGN(BQ430))*POWER(KOslave,SIGN(BR430))*POWER(KKslave,SIGN(BS430))+BQ430*POWER(MUslave,SIGN(BL430))*POWER(KLslave_KL,SIGN(BM430))*POWER(INslave,SIGN(BN430))*POWER(CHslave,SIGN(BO430))*POWER(FFslave,SIGN(BP430))*POWER(KOslave,SIGN(BR430))*POWER(KKslave,SIGN(BS430))+BR430*POWER(MUslave,SIGN(BL430))*POWER(KLslave_KL,SIGN(BM430))*POWER(INslave,SIGN(BN430))*POWER(CHslave,SIGN(BO430))*POWER(FFslave,SIGN(BP430))*POWER(GEslave,SIGN(BQ430))*POWER(KKslave,SIGN(BS430))+BS430*POWER(MUslave,SIGN(BL430))*POWER(KLslave_KL,SIGN(BM430))*POWER(INslave,SIGN(BN430))*POWER(CHslave,SIGN(BO430))*POWER(FFslave,SIGN(BP430))*POWER(GEslave,SIGN(BQ430))*POWER(KOslave,SIGN(BR430))</f>
        <v>2432</v>
      </c>
      <c r="BX430" s="234">
        <f>BM430*BN430*CHslave+BM430*INslave*BO430+KLslave_KL*BN430*BO430</f>
        <v>3408</v>
      </c>
      <c r="BY430" s="224">
        <f>IFERROR(BL430^SIGN(BL430),1)*IFERROR(BM430^SIGN(BM430),1)*IFERROR(BN430^SIGN(BN430),1)*IFERROR(BO430^SIGN(BO430),1)*IFERROR(BP430^SIGN(BP430),1)*IFERROR(BQ430^SIGN(BQ430),1)*IFERROR(BR430^SIGN(BR430),1)*IFERROR(BS430^SIGN(BS430),1)</f>
        <v>1584</v>
      </c>
      <c r="BZ430" s="242">
        <f t="shared" si="4568"/>
        <v>7424</v>
      </c>
      <c r="CA430" s="222">
        <f t="shared" si="4569"/>
        <v>3.8218390804597702</v>
      </c>
      <c r="CB430" s="223">
        <f t="shared" si="4570"/>
        <v>10.711206896551724</v>
      </c>
      <c r="CC430" s="243">
        <f t="shared" si="4571"/>
        <v>7.4676724137931032</v>
      </c>
      <c r="CD430" s="243">
        <f t="shared" si="4572"/>
        <v>22.000718390804597</v>
      </c>
      <c r="CE430" s="252">
        <f t="shared" si="4573"/>
        <v>0</v>
      </c>
      <c r="CF430" s="309">
        <f t="shared" si="4574"/>
        <v>22.000718390804597</v>
      </c>
      <c r="CG430" s="218">
        <f>IF(CD430&lt;=0,1,0)+IF(CD430&gt;0,CD430+1,0)*1+IF(CD430&gt;12,CD430-12,0)*1+IF(CD430&gt;13,CD430-13,0)*1+IF(CD430&gt;14,CD430-14,0)*1+IF(CD430&gt;15,CD430-15,0)*1+IF(CD430&gt;16,CD430-16,0)*1+IF(CD430&gt;17,CD430-17,0)*1+IF(CD430&gt;18,CD430-18,0)*1+IF(CD430&gt;19,CD430-19,0)*1+IF(CD430&gt;20,CD430-20,0)*1</f>
        <v>77.007183908045945</v>
      </c>
      <c r="CH430" s="242">
        <f>IF(CE430&lt;=0,1,0)+IF(CE430&gt;0,CE430+1,0)*1+IF(CE430&gt;12,CE430-12,0)*1+IF(CE430&gt;13,CE430-13,0)*1+IF(CE430&gt;14,CE430-14,0)*1+IF(CE430&gt;15,CE430-15,0)*1+IF(CE430&gt;16,CE430-16,0)*1+IF(CE430&gt;17,CE430-17,0)*1+IF(CE430&gt;18,CE430-18,0)*1+IF(CE430&gt;19,CE430-19,0)*1+IF(CE430&gt;20,CE430-20,0)*1</f>
        <v>1</v>
      </c>
      <c r="CI430" s="243">
        <f t="shared" si="4575"/>
        <v>76.007183908045945</v>
      </c>
      <c r="CJ430" s="218">
        <f t="shared" si="4576"/>
        <v>0</v>
      </c>
      <c r="CL430" s="325" t="s">
        <v>265</v>
      </c>
      <c r="CM430" s="218" t="s">
        <v>87</v>
      </c>
      <c r="CN430" s="223" t="s">
        <v>133</v>
      </c>
      <c r="CO430" s="237"/>
      <c r="CP430" s="234">
        <f>Konvention_1slave-KLslave</f>
        <v>12</v>
      </c>
      <c r="CQ430" s="234">
        <f t="shared" si="4646"/>
        <v>11</v>
      </c>
      <c r="CR430" s="234">
        <f>Konvention_1slave-CHslave</f>
        <v>12</v>
      </c>
      <c r="CS430" s="234"/>
      <c r="CT430" s="234"/>
      <c r="CU430" s="234"/>
      <c r="CV430" s="224"/>
      <c r="CW430" s="223">
        <f>(CO430+CP430+CQ430+CR430+CS430+CT430+CU430+CV430)/3</f>
        <v>11.666666666666666</v>
      </c>
      <c r="CX430" s="223">
        <f t="shared" si="4577"/>
        <v>23.333333333333332</v>
      </c>
      <c r="CY430" s="234">
        <f t="shared" si="4578"/>
        <v>35</v>
      </c>
      <c r="CZ430" s="237">
        <f>CO430*POWER(KLslave,SIGN(CP430))*POWER(INslave_IN,SIGN(CQ430))*POWER(CHslave,SIGN(CR430))*POWER(FFslave,SIGN(CS430))*POWER(GEslave,SIGN(CT430))*POWER(KOslave,SIGN(CU430))*POWER(KKslave,SIGN(CV430))+CP430*POWER(MUslave,SIGN(CO430))*POWER(INslave_IN,SIGN(CQ430))*POWER(CHslave,SIGN(CR430))*POWER(FFslave,SIGN(CS430))*POWER(GEslave,SIGN(CT430))*POWER(KOslave,SIGN(CU430))*POWER(KKslave,SIGN(CV430))+CQ430*POWER(MUslave,SIGN(CO430))*POWER(KLslave,SIGN(CP430))*POWER(CHslave,SIGN(CR430))*POWER(FFslave,SIGN(CS430))*POWER(GEslave,SIGN(CT430))*POWER(KOslave,SIGN(CU430))*POWER(KKslave,SIGN(CV430))+CR430*POWER(MUslave,SIGN(CO430))*POWER(KLslave,SIGN(CP430))*POWER(INslave_IN,SIGN(CQ430))*POWER(FFslave,SIGN(CS430))*POWER(GEslave,SIGN(CT430))*POWER(KOslave,SIGN(CU430))*POWER(KKslave,SIGN(CV430))+CS430*POWER(MUslave,SIGN(CO430))*POWER(KLslave,SIGN(CP430))*POWER(INslave_IN,SIGN(CQ430))*POWER(CHslave,SIGN(CR430))*POWER(GEslave,SIGN(CT430))*POWER(KOslave,SIGN(CU430))*POWER(KKslave,SIGN(CV430))+CT430*POWER(MUslave,SIGN(CO430))*POWER(KLslave,SIGN(CP430))*POWER(INslave_IN,SIGN(CQ430))*POWER(CHslave,SIGN(CR430))*POWER(FFslave,SIGN(CS430))*POWER(KOslave,SIGN(CU430))*POWER(KKslave,SIGN(CV430))+CU430*POWER(MUslave,SIGN(CO430))*POWER(KLslave,SIGN(CP430))*POWER(INslave_IN,SIGN(CQ430))*POWER(CHslave,SIGN(CR430))*POWER(FFslave,SIGN(CS430))*POWER(GEslave,SIGN(CT430))*POWER(KKslave,SIGN(CV430))+CV430*POWER(MUslave,SIGN(CO430))*POWER(KLslave,SIGN(CP430))*POWER(INslave_IN,SIGN(CQ430))*POWER(CHslave,SIGN(CR430))*POWER(FFslave,SIGN(CS430))*POWER(GEslave,SIGN(CT430))*POWER(KOslave,SIGN(CU430))</f>
        <v>2432</v>
      </c>
      <c r="DA430" s="234">
        <f>CP430*CQ430*CHslave+CP430*INslave_IN*CR430+KLslave*CQ430*CR430</f>
        <v>3408</v>
      </c>
      <c r="DB430" s="224">
        <f>IFERROR(CO430^SIGN(CO430),1)*IFERROR(CP430^SIGN(CP430),1)*IFERROR(CQ430^SIGN(CQ430),1)*IFERROR(CR430^SIGN(CR430),1)*IFERROR(CS430^SIGN(CS430),1)*IFERROR(CT430^SIGN(CT430),1)*IFERROR(CU430^SIGN(CU430),1)*IFERROR(CV430^SIGN(CV430),1)</f>
        <v>1584</v>
      </c>
      <c r="DC430" s="242">
        <f t="shared" si="4579"/>
        <v>7424</v>
      </c>
      <c r="DD430" s="222">
        <f t="shared" si="4580"/>
        <v>3.8218390804597702</v>
      </c>
      <c r="DE430" s="223">
        <f t="shared" si="4581"/>
        <v>10.711206896551724</v>
      </c>
      <c r="DF430" s="243">
        <f t="shared" si="4582"/>
        <v>7.4676724137931032</v>
      </c>
      <c r="DG430" s="243">
        <f t="shared" si="4583"/>
        <v>22.000718390804597</v>
      </c>
      <c r="DH430" s="252">
        <f t="shared" si="4584"/>
        <v>0</v>
      </c>
      <c r="DI430" s="309">
        <f t="shared" si="4585"/>
        <v>22.000718390804597</v>
      </c>
      <c r="DJ430" s="218">
        <f>IF(DG430&lt;=0,1,0)+IF(DG430&gt;0,DG430+1,0)*1+IF(DG430&gt;12,DG430-12,0)*1+IF(DG430&gt;13,DG430-13,0)*1+IF(DG430&gt;14,DG430-14,0)*1+IF(DG430&gt;15,DG430-15,0)*1+IF(DG430&gt;16,DG430-16,0)*1+IF(DG430&gt;17,DG430-17,0)*1+IF(DG430&gt;18,DG430-18,0)*1+IF(DG430&gt;19,DG430-19,0)*1+IF(DG430&gt;20,DG430-20,0)*1</f>
        <v>77.007183908045945</v>
      </c>
      <c r="DK430" s="242">
        <f>IF(DH430&lt;=0,1,0)+IF(DH430&gt;0,DH430+1,0)*1+IF(DH430&gt;12,DH430-12,0)*1+IF(DH430&gt;13,DH430-13,0)*1+IF(DH430&gt;14,DH430-14,0)*1+IF(DH430&gt;15,DH430-15,0)*1+IF(DH430&gt;16,DH430-16,0)*1+IF(DH430&gt;17,DH430-17,0)*1+IF(DH430&gt;18,DH430-18,0)*1+IF(DH430&gt;19,DH430-19,0)*1+IF(DH430&gt;20,DH430-20,0)*1</f>
        <v>1</v>
      </c>
      <c r="DL430" s="243">
        <f t="shared" si="4586"/>
        <v>76.007183908045945</v>
      </c>
      <c r="DM430" s="218">
        <f t="shared" si="4587"/>
        <v>0</v>
      </c>
      <c r="DO430" s="325" t="s">
        <v>265</v>
      </c>
      <c r="DP430" s="218" t="s">
        <v>87</v>
      </c>
      <c r="DQ430" s="223" t="s">
        <v>133</v>
      </c>
      <c r="DR430" s="237"/>
      <c r="DS430" s="234">
        <f>Konvention_1slave-KLslave</f>
        <v>12</v>
      </c>
      <c r="DT430" s="234">
        <f t="shared" si="4647"/>
        <v>12</v>
      </c>
      <c r="DU430" s="234">
        <f>Konvention_1slave-CHslave_CH</f>
        <v>11</v>
      </c>
      <c r="DV430" s="234"/>
      <c r="DW430" s="234"/>
      <c r="DX430" s="234"/>
      <c r="DY430" s="224"/>
      <c r="DZ430" s="223">
        <f>(DR430+DS430+DT430+DU430+DV430+DW430+DX430+DY430)/3</f>
        <v>11.666666666666666</v>
      </c>
      <c r="EA430" s="223">
        <f t="shared" si="4588"/>
        <v>23.333333333333332</v>
      </c>
      <c r="EB430" s="234">
        <f t="shared" si="4589"/>
        <v>35</v>
      </c>
      <c r="EC430" s="237">
        <f>DR430*POWER(KLslave,SIGN(DS430))*POWER(INslave,SIGN(DT430))*POWER(CHslave_CH,SIGN(DU430))*POWER(FFslave,SIGN(DV430))*POWER(GEslave,SIGN(DW430))*POWER(KOslave,SIGN(DX430))*POWER(KKslave,SIGN(DY430))+DS430*POWER(MUslave,SIGN(DR430))*POWER(INslave,SIGN(DT430))*POWER(CHslave_CH,SIGN(DU430))*POWER(FFslave,SIGN(DV430))*POWER(GEslave,SIGN(DW430))*POWER(KOslave,SIGN(DX430))*POWER(KKslave,SIGN(DY430))+DT430*POWER(MUslave,SIGN(DR430))*POWER(KLslave,SIGN(DS430))*POWER(CHslave_CH,SIGN(DU430))*POWER(FFslave,SIGN(DV430))*POWER(GEslave,SIGN(DW430))*POWER(KOslave,SIGN(DX430))*POWER(KKslave,SIGN(DY430))+DU430*POWER(MUslave,SIGN(DR430))*POWER(KLslave,SIGN(DS430))*POWER(INslave,SIGN(DT430))*POWER(FFslave,SIGN(DV430))*POWER(GEslave,SIGN(DW430))*POWER(KOslave,SIGN(DX430))*POWER(KKslave,SIGN(DY430))+DV430*POWER(MUslave,SIGN(DR430))*POWER(KLslave,SIGN(DS430))*POWER(INslave,SIGN(DT430))*POWER(CHslave_CH,SIGN(DU430))*POWER(GEslave,SIGN(DW430))*POWER(KOslave,SIGN(DX430))*POWER(KKslave,SIGN(DY430))+DW430*POWER(MUslave,SIGN(DR430))*POWER(KLslave,SIGN(DS430))*POWER(INslave,SIGN(DT430))*POWER(CHslave_CH,SIGN(DU430))*POWER(FFslave,SIGN(DV430))*POWER(KOslave,SIGN(DX430))*POWER(KKslave,SIGN(DY430))+DX430*POWER(MUslave,SIGN(DR430))*POWER(KLslave,SIGN(DS430))*POWER(INslave,SIGN(DT430))*POWER(CHslave_CH,SIGN(DU430))*POWER(FFslave,SIGN(DV430))*POWER(GEslave,SIGN(DW430))*POWER(KKslave,SIGN(DY430))+DY430*POWER(MUslave,SIGN(DR430))*POWER(KLslave,SIGN(DS430))*POWER(INslave,SIGN(DT430))*POWER(CHslave_CH,SIGN(DU430))*POWER(FFslave,SIGN(DV430))*POWER(GEslave,SIGN(DW430))*POWER(KOslave,SIGN(DX430))</f>
        <v>2432</v>
      </c>
      <c r="ED430" s="234">
        <f>DS430*DT430*CHslave_CH+DS430*INslave*DU430+KLslave*DT430*DU430</f>
        <v>3408</v>
      </c>
      <c r="EE430" s="224">
        <f>IFERROR(DR430^SIGN(DR430),1)*IFERROR(DS430^SIGN(DS430),1)*IFERROR(DT430^SIGN(DT430),1)*IFERROR(DU430^SIGN(DU430),1)*IFERROR(DV430^SIGN(DV430),1)*IFERROR(DW430^SIGN(DW430),1)*IFERROR(DX430^SIGN(DX430),1)*IFERROR(DY430^SIGN(DY430),1)</f>
        <v>1584</v>
      </c>
      <c r="EF430" s="242">
        <f t="shared" si="4590"/>
        <v>7424</v>
      </c>
      <c r="EG430" s="222">
        <f t="shared" si="4591"/>
        <v>3.8218390804597702</v>
      </c>
      <c r="EH430" s="223">
        <f t="shared" si="4592"/>
        <v>10.711206896551724</v>
      </c>
      <c r="EI430" s="243">
        <f t="shared" si="4593"/>
        <v>7.4676724137931032</v>
      </c>
      <c r="EJ430" s="243">
        <f t="shared" si="4594"/>
        <v>22.000718390804597</v>
      </c>
      <c r="EK430" s="252">
        <f t="shared" si="4595"/>
        <v>0</v>
      </c>
      <c r="EL430" s="309">
        <f t="shared" si="4596"/>
        <v>22.000718390804597</v>
      </c>
      <c r="EM430" s="218">
        <f>IF(EJ430&lt;=0,1,0)+IF(EJ430&gt;0,EJ430+1,0)*1+IF(EJ430&gt;12,EJ430-12,0)*1+IF(EJ430&gt;13,EJ430-13,0)*1+IF(EJ430&gt;14,EJ430-14,0)*1+IF(EJ430&gt;15,EJ430-15,0)*1+IF(EJ430&gt;16,EJ430-16,0)*1+IF(EJ430&gt;17,EJ430-17,0)*1+IF(EJ430&gt;18,EJ430-18,0)*1+IF(EJ430&gt;19,EJ430-19,0)*1+IF(EJ430&gt;20,EJ430-20,0)*1</f>
        <v>77.007183908045945</v>
      </c>
      <c r="EN430" s="242">
        <f>IF(EK430&lt;=0,1,0)+IF(EK430&gt;0,EK430+1,0)*1+IF(EK430&gt;12,EK430-12,0)*1+IF(EK430&gt;13,EK430-13,0)*1+IF(EK430&gt;14,EK430-14,0)*1+IF(EK430&gt;15,EK430-15,0)*1+IF(EK430&gt;16,EK430-16,0)*1+IF(EK430&gt;17,EK430-17,0)*1+IF(EK430&gt;18,EK430-18,0)*1+IF(EK430&gt;19,EK430-19,0)*1+IF(EK430&gt;20,EK430-20,0)*1</f>
        <v>1</v>
      </c>
      <c r="EO430" s="243">
        <f t="shared" si="4597"/>
        <v>76.007183908045945</v>
      </c>
      <c r="EP430" s="218">
        <f t="shared" si="4598"/>
        <v>0</v>
      </c>
      <c r="ER430" s="325" t="s">
        <v>265</v>
      </c>
      <c r="ES430" s="218" t="s">
        <v>87</v>
      </c>
      <c r="ET430" s="223" t="s">
        <v>133</v>
      </c>
      <c r="EU430" s="237"/>
      <c r="EV430" s="234">
        <f>Konvention_1slave-KLslave</f>
        <v>12</v>
      </c>
      <c r="EW430" s="234">
        <f t="shared" si="4648"/>
        <v>12</v>
      </c>
      <c r="EX430" s="234">
        <f>Konvention_1slave-CHslave</f>
        <v>12</v>
      </c>
      <c r="EY430" s="234"/>
      <c r="EZ430" s="234"/>
      <c r="FA430" s="234"/>
      <c r="FB430" s="224"/>
      <c r="FC430" s="223">
        <f>(EU430+EV430+EW430+EX430+EY430+EZ430+FA430+FB430)/3</f>
        <v>12</v>
      </c>
      <c r="FD430" s="223">
        <f t="shared" si="4599"/>
        <v>24</v>
      </c>
      <c r="FE430" s="234">
        <f t="shared" si="4600"/>
        <v>36</v>
      </c>
      <c r="FF430" s="237">
        <f>EU430*POWER(KLslave,SIGN(EV430))*POWER(INslave,SIGN(EW430))*POWER(CHslave,SIGN(EX430))*POWER(FFslave_FF,SIGN(EY430))*POWER(GEslave,SIGN(EZ430))*POWER(KOslave,SIGN(FA430))*POWER(KKslave,SIGN(FB430))+EV430*POWER(MUslave,SIGN(EU430))*POWER(INslave,SIGN(EW430))*POWER(CHslave,SIGN(EX430))*POWER(FFslave_FF,SIGN(EY430))*POWER(GEslave,SIGN(EZ430))*POWER(KOslave,SIGN(FA430))*POWER(KKslave,SIGN(FB430))+EW430*POWER(MUslave,SIGN(EU430))*POWER(KLslave,SIGN(EV430))*POWER(CHslave,SIGN(EX430))*POWER(FFslave_FF,SIGN(EY430))*POWER(GEslave,SIGN(EZ430))*POWER(KOslave,SIGN(FA430))*POWER(KKslave,SIGN(FB430))+EX430*POWER(MUslave,SIGN(EU430))*POWER(KLslave,SIGN(EV430))*POWER(INslave,SIGN(EW430))*POWER(FFslave_FF,SIGN(EY430))*POWER(GEslave,SIGN(EZ430))*POWER(KOslave,SIGN(FA430))*POWER(KKslave,SIGN(FB430))+EY430*POWER(MUslave,SIGN(EU430))*POWER(KLslave,SIGN(EV430))*POWER(INslave,SIGN(EW430))*POWER(CHslave,SIGN(EX430))*POWER(GEslave,SIGN(EZ430))*POWER(KOslave,SIGN(FA430))*POWER(KKslave,SIGN(FB430))+EZ430*POWER(MUslave,SIGN(EU430))*POWER(KLslave,SIGN(EV430))*POWER(INslave,SIGN(EW430))*POWER(CHslave,SIGN(EX430))*POWER(FFslave_FF,SIGN(EY430))*POWER(KOslave,SIGN(FA430))*POWER(KKslave,SIGN(FB430))+FA430*POWER(MUslave,SIGN(EU430))*POWER(KLslave,SIGN(EV430))*POWER(INslave,SIGN(EW430))*POWER(CHslave,SIGN(EX430))*POWER(FFslave_FF,SIGN(EY430))*POWER(GEslave,SIGN(EZ430))*POWER(KKslave,SIGN(FB430))+FB430*POWER(MUslave,SIGN(EU430))*POWER(KLslave,SIGN(EV430))*POWER(INslave,SIGN(EW430))*POWER(CHslave,SIGN(EX430))*POWER(FFslave_FF,SIGN(EY430))*POWER(GEslave,SIGN(EZ430))*POWER(KOslave,SIGN(FA430))</f>
        <v>2304</v>
      </c>
      <c r="FG430" s="234">
        <f>EV430*EW430*CHslave+EV430*INslave*EX430+KLslave*EW430*EX430</f>
        <v>3456</v>
      </c>
      <c r="FH430" s="224">
        <f>IFERROR(EU430^SIGN(EU430),1)*IFERROR(EV430^SIGN(EV430),1)*IFERROR(EW430^SIGN(EW430),1)*IFERROR(EX430^SIGN(EX430),1)*IFERROR(EY430^SIGN(EY430),1)*IFERROR(EZ430^SIGN(EZ430),1)*IFERROR(FA430^SIGN(FA430),1)*IFERROR(FB430^SIGN(FB430),1)</f>
        <v>1728</v>
      </c>
      <c r="FI430" s="242">
        <f t="shared" si="4601"/>
        <v>7488</v>
      </c>
      <c r="FJ430" s="222">
        <f t="shared" si="4602"/>
        <v>3.6923076923076925</v>
      </c>
      <c r="FK430" s="223">
        <f t="shared" si="4603"/>
        <v>11.076923076923077</v>
      </c>
      <c r="FL430" s="243">
        <f t="shared" si="4604"/>
        <v>8.3076923076923084</v>
      </c>
      <c r="FM430" s="243">
        <f t="shared" si="4605"/>
        <v>23.07692307692308</v>
      </c>
      <c r="FN430" s="252">
        <f t="shared" si="4606"/>
        <v>0</v>
      </c>
      <c r="FO430" s="309">
        <f t="shared" si="4607"/>
        <v>23.07692307692308</v>
      </c>
      <c r="FP430" s="218">
        <f>IF(FM430&lt;=0,1,0)+IF(FM430&gt;0,FM430+1,0)*1+IF(FM430&gt;12,FM430-12,0)*1+IF(FM430&gt;13,FM430-13,0)*1+IF(FM430&gt;14,FM430-14,0)*1+IF(FM430&gt;15,FM430-15,0)*1+IF(FM430&gt;16,FM430-16,0)*1+IF(FM430&gt;17,FM430-17,0)*1+IF(FM430&gt;18,FM430-18,0)*1+IF(FM430&gt;19,FM430-19,0)*1+IF(FM430&gt;20,FM430-20,0)*1</f>
        <v>87.769230769230802</v>
      </c>
      <c r="FQ430" s="242">
        <f>IF(FN430&lt;=0,1,0)+IF(FN430&gt;0,FN430+1,0)*1+IF(FN430&gt;12,FN430-12,0)*1+IF(FN430&gt;13,FN430-13,0)*1+IF(FN430&gt;14,FN430-14,0)*1+IF(FN430&gt;15,FN430-15,0)*1+IF(FN430&gt;16,FN430-16,0)*1+IF(FN430&gt;17,FN430-17,0)*1+IF(FN430&gt;18,FN430-18,0)*1+IF(FN430&gt;19,FN430-19,0)*1+IF(FN430&gt;20,FN430-20,0)*1</f>
        <v>1</v>
      </c>
      <c r="FR430" s="243">
        <f t="shared" si="4608"/>
        <v>86.769230769230802</v>
      </c>
      <c r="FS430" s="218">
        <f t="shared" si="4609"/>
        <v>0</v>
      </c>
      <c r="FU430" s="325" t="s">
        <v>265</v>
      </c>
      <c r="FV430" s="218" t="s">
        <v>87</v>
      </c>
      <c r="FW430" s="223" t="s">
        <v>133</v>
      </c>
      <c r="FX430" s="237"/>
      <c r="FY430" s="234">
        <f>Konvention_1slave-KLslave</f>
        <v>12</v>
      </c>
      <c r="FZ430" s="234">
        <f t="shared" si="4649"/>
        <v>12</v>
      </c>
      <c r="GA430" s="234">
        <f>Konvention_1slave-CHslave</f>
        <v>12</v>
      </c>
      <c r="GB430" s="234"/>
      <c r="GC430" s="234"/>
      <c r="GD430" s="234"/>
      <c r="GE430" s="224"/>
      <c r="GF430" s="223">
        <f>(FX430+FY430+FZ430+GA430+GB430+GC430+GD430+GE430)/3</f>
        <v>12</v>
      </c>
      <c r="GG430" s="223">
        <f t="shared" si="4610"/>
        <v>24</v>
      </c>
      <c r="GH430" s="234">
        <f t="shared" si="4611"/>
        <v>36</v>
      </c>
      <c r="GI430" s="237">
        <f>FX430*POWER(KLslave,SIGN(FY430))*POWER(INslave,SIGN(FZ430))*POWER(CHslave,SIGN(GA430))*POWER(FFslave,SIGN(GB430))*POWER(GEslave_GE,SIGN(GC430))*POWER(KOslave,SIGN(GD430))*POWER(KKslave,SIGN(GE430))+FY430*POWER(MUslave,SIGN(FX430))*POWER(INslave,SIGN(FZ430))*POWER(CHslave,SIGN(GA430))*POWER(FFslave,SIGN(GB430))*POWER(GEslave_GE,SIGN(GC430))*POWER(KOslave,SIGN(GD430))*POWER(KKslave,SIGN(GE430))+FZ430*POWER(MUslave,SIGN(FX430))*POWER(KLslave,SIGN(FY430))*POWER(CHslave,SIGN(GA430))*POWER(FFslave,SIGN(GB430))*POWER(GEslave_GE,SIGN(GC430))*POWER(KOslave,SIGN(GD430))*POWER(KKslave,SIGN(GE430))+GA430*POWER(MUslave,SIGN(FX430))*POWER(KLslave,SIGN(FY430))*POWER(INslave,SIGN(FZ430))*POWER(FFslave,SIGN(GB430))*POWER(GEslave_GE,SIGN(GC430))*POWER(KOslave,SIGN(GD430))*POWER(KKslave,SIGN(GE430))+GB430*POWER(MUslave,SIGN(FX430))*POWER(KLslave,SIGN(FY430))*POWER(INslave,SIGN(FZ430))*POWER(CHslave,SIGN(GA430))*POWER(GEslave_GE,SIGN(GC430))*POWER(KOslave,SIGN(GD430))*POWER(KKslave,SIGN(GE430))+GC430*POWER(MUslave,SIGN(FX430))*POWER(KLslave,SIGN(FY430))*POWER(INslave,SIGN(FZ430))*POWER(CHslave,SIGN(GA430))*POWER(FFslave,SIGN(GB430))*POWER(KOslave,SIGN(GD430))*POWER(KKslave,SIGN(GE430))+GD430*POWER(MUslave,SIGN(FX430))*POWER(KLslave,SIGN(FY430))*POWER(INslave,SIGN(FZ430))*POWER(CHslave,SIGN(GA430))*POWER(FFslave,SIGN(GB430))*POWER(GEslave_GE,SIGN(GC430))*POWER(KKslave,SIGN(GE430))+GE430*POWER(MUslave,SIGN(FX430))*POWER(KLslave,SIGN(FY430))*POWER(INslave,SIGN(FZ430))*POWER(CHslave,SIGN(GA430))*POWER(FFslave,SIGN(GB430))*POWER(GEslave_GE,SIGN(GC430))*POWER(KOslave,SIGN(GD430))</f>
        <v>2304</v>
      </c>
      <c r="GJ430" s="234">
        <f>FY430*FZ430*CHslave+FY430*INslave*GA430+KLslave*FZ430*GA430</f>
        <v>3456</v>
      </c>
      <c r="GK430" s="224">
        <f>IFERROR(FX430^SIGN(FX430),1)*IFERROR(FY430^SIGN(FY430),1)*IFERROR(FZ430^SIGN(FZ430),1)*IFERROR(GA430^SIGN(GA430),1)*IFERROR(GB430^SIGN(GB430),1)*IFERROR(GC430^SIGN(GC430),1)*IFERROR(GD430^SIGN(GD430),1)*IFERROR(GE430^SIGN(GE430),1)</f>
        <v>1728</v>
      </c>
      <c r="GL430" s="242">
        <f t="shared" si="4612"/>
        <v>7488</v>
      </c>
      <c r="GM430" s="222">
        <f t="shared" si="4613"/>
        <v>3.6923076923076925</v>
      </c>
      <c r="GN430" s="223">
        <f t="shared" si="4614"/>
        <v>11.076923076923077</v>
      </c>
      <c r="GO430" s="243">
        <f t="shared" si="4615"/>
        <v>8.3076923076923084</v>
      </c>
      <c r="GP430" s="243">
        <f t="shared" si="4616"/>
        <v>23.07692307692308</v>
      </c>
      <c r="GQ430" s="252">
        <f t="shared" si="4617"/>
        <v>0</v>
      </c>
      <c r="GR430" s="309">
        <f t="shared" si="4618"/>
        <v>23.07692307692308</v>
      </c>
      <c r="GS430" s="218">
        <f>IF(GP430&lt;=0,1,0)+IF(GP430&gt;0,GP430+1,0)*1+IF(GP430&gt;12,GP430-12,0)*1+IF(GP430&gt;13,GP430-13,0)*1+IF(GP430&gt;14,GP430-14,0)*1+IF(GP430&gt;15,GP430-15,0)*1+IF(GP430&gt;16,GP430-16,0)*1+IF(GP430&gt;17,GP430-17,0)*1+IF(GP430&gt;18,GP430-18,0)*1+IF(GP430&gt;19,GP430-19,0)*1+IF(GP430&gt;20,GP430-20,0)*1</f>
        <v>87.769230769230802</v>
      </c>
      <c r="GT430" s="242">
        <f>IF(GQ430&lt;=0,1,0)+IF(GQ430&gt;0,GQ430+1,0)*1+IF(GQ430&gt;12,GQ430-12,0)*1+IF(GQ430&gt;13,GQ430-13,0)*1+IF(GQ430&gt;14,GQ430-14,0)*1+IF(GQ430&gt;15,GQ430-15,0)*1+IF(GQ430&gt;16,GQ430-16,0)*1+IF(GQ430&gt;17,GQ430-17,0)*1+IF(GQ430&gt;18,GQ430-18,0)*1+IF(GQ430&gt;19,GQ430-19,0)*1+IF(GQ430&gt;20,GQ430-20,0)*1</f>
        <v>1</v>
      </c>
      <c r="GU430" s="243">
        <f t="shared" si="4619"/>
        <v>86.769230769230802</v>
      </c>
      <c r="GV430" s="218">
        <f t="shared" si="4620"/>
        <v>0</v>
      </c>
      <c r="GX430" s="325" t="s">
        <v>265</v>
      </c>
      <c r="GY430" s="218" t="s">
        <v>87</v>
      </c>
      <c r="GZ430" s="223" t="s">
        <v>133</v>
      </c>
      <c r="HA430" s="237"/>
      <c r="HB430" s="234">
        <f>Konvention_1slave-KLslave</f>
        <v>12</v>
      </c>
      <c r="HC430" s="234">
        <f t="shared" si="4650"/>
        <v>12</v>
      </c>
      <c r="HD430" s="234">
        <f>Konvention_1slave-CHslave</f>
        <v>12</v>
      </c>
      <c r="HE430" s="234"/>
      <c r="HF430" s="234"/>
      <c r="HG430" s="234"/>
      <c r="HH430" s="224"/>
      <c r="HI430" s="223">
        <f>(HA430+HB430+HC430+HD430+HE430+HF430+HG430+HH430)/3</f>
        <v>12</v>
      </c>
      <c r="HJ430" s="223">
        <f t="shared" si="4621"/>
        <v>24</v>
      </c>
      <c r="HK430" s="234">
        <f t="shared" si="4622"/>
        <v>36</v>
      </c>
      <c r="HL430" s="237">
        <f>HA430*POWER(KLslave,SIGN(HB430))*POWER(INslave,SIGN(HC430))*POWER(CHslave,SIGN(HD430))*POWER(FFslave,SIGN(HE430))*POWER(GEslave,SIGN(HF430))*POWER(KOslave_KO,SIGN(HG430))*POWER(KKslave,SIGN(HH430))+HB430*POWER(MUslave,SIGN(HA430))*POWER(INslave,SIGN(HC430))*POWER(CHslave,SIGN(HD430))*POWER(FFslave,SIGN(HE430))*POWER(GEslave,SIGN(HF430))*POWER(KOslave_KO,SIGN(HG430))*POWER(KKslave,SIGN(HH430))+HC430*POWER(MUslave,SIGN(HA430))*POWER(KLslave,SIGN(HB430))*POWER(CHslave,SIGN(HD430))*POWER(FFslave,SIGN(HE430))*POWER(GEslave,SIGN(HF430))*POWER(KOslave_KO,SIGN(HG430))*POWER(KKslave,SIGN(HH430))+HD430*POWER(MUslave,SIGN(HA430))*POWER(KLslave,SIGN(HB430))*POWER(INslave,SIGN(HC430))*POWER(FFslave,SIGN(HE430))*POWER(GEslave,SIGN(HF430))*POWER(KOslave_KO,SIGN(HG430))*POWER(KKslave,SIGN(HH430))+HE430*POWER(MUslave,SIGN(HA430))*POWER(KLslave,SIGN(HB430))*POWER(INslave,SIGN(HC430))*POWER(CHslave,SIGN(HD430))*POWER(GEslave,SIGN(HF430))*POWER(KOslave_KO,SIGN(HG430))*POWER(KKslave,SIGN(HH430))+HF430*POWER(MUslave,SIGN(HA430))*POWER(KLslave,SIGN(HB430))*POWER(INslave,SIGN(HC430))*POWER(CHslave,SIGN(HD430))*POWER(FFslave,SIGN(HE430))*POWER(KOslave_KO,SIGN(HG430))*POWER(KKslave,SIGN(HH430))+HG430*POWER(MUslave,SIGN(HA430))*POWER(KLslave,SIGN(HB430))*POWER(INslave,SIGN(HC430))*POWER(CHslave,SIGN(HD430))*POWER(FFslave,SIGN(HE430))*POWER(GEslave,SIGN(HF430))*POWER(KKslave,SIGN(HH430))+HH430*POWER(MUslave,SIGN(HA430))*POWER(KLslave,SIGN(HB430))*POWER(INslave,SIGN(HC430))*POWER(CHslave,SIGN(HD430))*POWER(FFslave,SIGN(HE430))*POWER(GEslave,SIGN(HF430))*POWER(KOslave_KO,SIGN(HG430))</f>
        <v>2304</v>
      </c>
      <c r="HM430" s="234">
        <f>HB430*HC430*CHslave+HB430*INslave*HD430+KLslave*HC430*HD430</f>
        <v>3456</v>
      </c>
      <c r="HN430" s="224">
        <f>IFERROR(HA430^SIGN(HA430),1)*IFERROR(HB430^SIGN(HB430),1)*IFERROR(HC430^SIGN(HC430),1)*IFERROR(HD430^SIGN(HD430),1)*IFERROR(HE430^SIGN(HE430),1)*IFERROR(HF430^SIGN(HF430),1)*IFERROR(HG430^SIGN(HG430),1)*IFERROR(HH430^SIGN(HH430),1)</f>
        <v>1728</v>
      </c>
      <c r="HO430" s="242">
        <f t="shared" si="4623"/>
        <v>7488</v>
      </c>
      <c r="HP430" s="222">
        <f t="shared" si="4624"/>
        <v>3.6923076923076925</v>
      </c>
      <c r="HQ430" s="223">
        <f t="shared" si="4625"/>
        <v>11.076923076923077</v>
      </c>
      <c r="HR430" s="243">
        <f t="shared" si="4626"/>
        <v>8.3076923076923084</v>
      </c>
      <c r="HS430" s="243">
        <f t="shared" si="4627"/>
        <v>23.07692307692308</v>
      </c>
      <c r="HT430" s="252">
        <f t="shared" si="4628"/>
        <v>0</v>
      </c>
      <c r="HU430" s="309">
        <f t="shared" si="4629"/>
        <v>23.07692307692308</v>
      </c>
      <c r="HV430" s="218">
        <f>IF(HS430&lt;=0,1,0)+IF(HS430&gt;0,HS430+1,0)*1+IF(HS430&gt;12,HS430-12,0)*1+IF(HS430&gt;13,HS430-13,0)*1+IF(HS430&gt;14,HS430-14,0)*1+IF(HS430&gt;15,HS430-15,0)*1+IF(HS430&gt;16,HS430-16,0)*1+IF(HS430&gt;17,HS430-17,0)*1+IF(HS430&gt;18,HS430-18,0)*1+IF(HS430&gt;19,HS430-19,0)*1+IF(HS430&gt;20,HS430-20,0)*1</f>
        <v>87.769230769230802</v>
      </c>
      <c r="HW430" s="242">
        <f>IF(HT430&lt;=0,1,0)+IF(HT430&gt;0,HT430+1,0)*1+IF(HT430&gt;12,HT430-12,0)*1+IF(HT430&gt;13,HT430-13,0)*1+IF(HT430&gt;14,HT430-14,0)*1+IF(HT430&gt;15,HT430-15,0)*1+IF(HT430&gt;16,HT430-16,0)*1+IF(HT430&gt;17,HT430-17,0)*1+IF(HT430&gt;18,HT430-18,0)*1+IF(HT430&gt;19,HT430-19,0)*1+IF(HT430&gt;20,HT430-20,0)*1</f>
        <v>1</v>
      </c>
      <c r="HX430" s="243">
        <f t="shared" si="4630"/>
        <v>86.769230769230802</v>
      </c>
      <c r="HY430" s="218">
        <f t="shared" si="4631"/>
        <v>0</v>
      </c>
      <c r="IA430" s="325" t="s">
        <v>265</v>
      </c>
      <c r="IB430" s="218" t="s">
        <v>87</v>
      </c>
      <c r="IC430" s="223" t="s">
        <v>133</v>
      </c>
      <c r="ID430" s="237"/>
      <c r="IE430" s="234">
        <f>Konvention_1slave-KLslave</f>
        <v>12</v>
      </c>
      <c r="IF430" s="234">
        <f t="shared" si="4651"/>
        <v>12</v>
      </c>
      <c r="IG430" s="234">
        <f>Konvention_1slave-CHslave</f>
        <v>12</v>
      </c>
      <c r="IH430" s="234"/>
      <c r="II430" s="234"/>
      <c r="IJ430" s="234"/>
      <c r="IK430" s="224"/>
      <c r="IL430" s="223">
        <f>(ID430+IE430+IF430+IG430+IH430+II430+IJ430+IK430)/3</f>
        <v>12</v>
      </c>
      <c r="IM430" s="223">
        <f t="shared" si="4632"/>
        <v>24</v>
      </c>
      <c r="IN430" s="234">
        <f t="shared" si="4633"/>
        <v>36</v>
      </c>
      <c r="IO430" s="237">
        <f>ID430*POWER(KLslave,SIGN(IE430))*POWER(INslave,SIGN(IF430))*POWER(CHslave,SIGN(IG430))*POWER(FFslave,SIGN(IH430))*POWER(GEslave,SIGN(II430))*POWER(KOslave,SIGN(IJ430))*POWER(KKslave_KK,SIGN(IK430))+IE430*POWER(MUslave,SIGN(ID430))*POWER(INslave,SIGN(IF430))*POWER(CHslave,SIGN(IG430))*POWER(FFslave,SIGN(IH430))*POWER(GEslave,SIGN(II430))*POWER(KOslave,SIGN(IJ430))*POWER(KKslave_KK,SIGN(IK430))+IF430*POWER(MUslave,SIGN(ID430))*POWER(KLslave,SIGN(IE430))*POWER(CHslave,SIGN(IG430))*POWER(FFslave,SIGN(IH430))*POWER(GEslave,SIGN(II430))*POWER(KOslave,SIGN(IJ430))*POWER(KKslave_KK,SIGN(IK430))+IG430*POWER(MUslave,SIGN(ID430))*POWER(KLslave,SIGN(IE430))*POWER(INslave,SIGN(IF430))*POWER(FFslave,SIGN(IH430))*POWER(GEslave,SIGN(II430))*POWER(KOslave,SIGN(IJ430))*POWER(KKslave_KK,SIGN(IK430))+IH430*POWER(MUslave,SIGN(ID430))*POWER(KLslave,SIGN(IE430))*POWER(INslave,SIGN(IF430))*POWER(CHslave,SIGN(IG430))*POWER(GEslave,SIGN(II430))*POWER(KOslave,SIGN(IJ430))*POWER(KKslave_KK,SIGN(IK430))+II430*POWER(MUslave,SIGN(ID430))*POWER(KLslave,SIGN(IE430))*POWER(INslave,SIGN(IF430))*POWER(CHslave,SIGN(IG430))*POWER(FFslave,SIGN(IH430))*POWER(KOslave,SIGN(IJ430))*POWER(KKslave_KK,SIGN(IK430))+IJ430*POWER(MUslave,SIGN(ID430))*POWER(KLslave,SIGN(IE430))*POWER(INslave,SIGN(IF430))*POWER(CHslave,SIGN(IG430))*POWER(FFslave,SIGN(IH430))*POWER(GEslave,SIGN(II430))*POWER(KKslave_KK,SIGN(IK430))+IK430*POWER(MUslave,SIGN(ID430))*POWER(KLslave,SIGN(IE430))*POWER(INslave,SIGN(IF430))*POWER(CHslave,SIGN(IG430))*POWER(FFslave,SIGN(IH430))*POWER(GEslave,SIGN(II430))*POWER(KOslave,SIGN(IJ430))</f>
        <v>2304</v>
      </c>
      <c r="IP430" s="234">
        <f>IE430*IF430*CHslave+IE430*INslave*IG430+KLslave*IF430*IG430</f>
        <v>3456</v>
      </c>
      <c r="IQ430" s="224">
        <f>IFERROR(ID430^SIGN(ID430),1)*IFERROR(IE430^SIGN(IE430),1)*IFERROR(IF430^SIGN(IF430),1)*IFERROR(IG430^SIGN(IG430),1)*IFERROR(IH430^SIGN(IH430),1)*IFERROR(II430^SIGN(II430),1)*IFERROR(IJ430^SIGN(IJ430),1)*IFERROR(IK430^SIGN(IK430),1)</f>
        <v>1728</v>
      </c>
      <c r="IR430" s="242">
        <f t="shared" si="4634"/>
        <v>7488</v>
      </c>
      <c r="IS430" s="222">
        <f t="shared" si="4635"/>
        <v>3.6923076923076925</v>
      </c>
      <c r="IT430" s="223">
        <f t="shared" si="4636"/>
        <v>11.076923076923077</v>
      </c>
      <c r="IU430" s="243">
        <f t="shared" si="4637"/>
        <v>8.3076923076923084</v>
      </c>
      <c r="IV430" s="243">
        <f t="shared" si="4638"/>
        <v>23.07692307692308</v>
      </c>
      <c r="IW430" s="252">
        <f t="shared" si="4639"/>
        <v>0</v>
      </c>
      <c r="IX430" s="309">
        <f t="shared" si="4640"/>
        <v>23.07692307692308</v>
      </c>
      <c r="IY430" s="218">
        <f>IF(IV430&lt;=0,1,0)+IF(IV430&gt;0,IV430+1,0)*1+IF(IV430&gt;12,IV430-12,0)*1+IF(IV430&gt;13,IV430-13,0)*1+IF(IV430&gt;14,IV430-14,0)*1+IF(IV430&gt;15,IV430-15,0)*1+IF(IV430&gt;16,IV430-16,0)*1+IF(IV430&gt;17,IV430-17,0)*1+IF(IV430&gt;18,IV430-18,0)*1+IF(IV430&gt;19,IV430-19,0)*1+IF(IV430&gt;20,IV430-20,0)*1</f>
        <v>87.769230769230802</v>
      </c>
      <c r="IZ430" s="242">
        <f>IF(IW430&lt;=0,1,0)+IF(IW430&gt;0,IW430+1,0)*1+IF(IW430&gt;12,IW430-12,0)*1+IF(IW430&gt;13,IW430-13,0)*1+IF(IW430&gt;14,IW430-14,0)*1+IF(IW430&gt;15,IW430-15,0)*1+IF(IW430&gt;16,IW430-16,0)*1+IF(IW430&gt;17,IW430-17,0)*1+IF(IW430&gt;18,IW430-18,0)*1+IF(IW430&gt;19,IW430-19,0)*1+IF(IW430&gt;20,IW430-20,0)*1</f>
        <v>1</v>
      </c>
      <c r="JA430" s="243">
        <f t="shared" si="4641"/>
        <v>86.769230769230802</v>
      </c>
      <c r="JB430" s="218">
        <f t="shared" si="4642"/>
        <v>0</v>
      </c>
      <c r="JE430" s="148"/>
    </row>
    <row r="431" spans="2:265" ht="15" hidden="1" customHeight="1" outlineLevel="2">
      <c r="B431" s="148">
        <v>7</v>
      </c>
      <c r="C431" s="325" t="e">
        <f>VLOOKUP(AF431,Attribute!C:T,1,FALSE)</f>
        <v>#N/A</v>
      </c>
      <c r="D431" s="125" t="s">
        <v>276</v>
      </c>
      <c r="E431" s="47" t="s">
        <v>132</v>
      </c>
      <c r="F431" s="114"/>
      <c r="G431" s="113"/>
      <c r="H431" s="113">
        <f t="shared" si="4643"/>
        <v>12</v>
      </c>
      <c r="I431" s="113"/>
      <c r="J431" s="113"/>
      <c r="K431" s="113">
        <f>Konvention_1master-GEmaster</f>
        <v>12</v>
      </c>
      <c r="L431" s="113"/>
      <c r="M431" s="119"/>
      <c r="N431" s="223">
        <f>(H431+H431+K431)/3</f>
        <v>12</v>
      </c>
      <c r="O431" s="223">
        <f t="shared" si="4545"/>
        <v>24</v>
      </c>
      <c r="P431" s="234">
        <f t="shared" si="4546"/>
        <v>36</v>
      </c>
      <c r="Q431" s="237">
        <f>H431*POWER(GEmaster,SIGN(K431))*POWER(INmaster,SIGN(H431))+H431*POWER(GEmaster,SIGN(K431))*POWER(INmaster,SIGN(H431))+K431*POWER(INmaster,SIGN(H431))*POWER(INmaster,SIGN(H431))</f>
        <v>2304</v>
      </c>
      <c r="R431" s="113">
        <f>H431*H431*GEmaster+H431*INmaster*K431+INmaster*H431*K431</f>
        <v>3456</v>
      </c>
      <c r="S431" s="224">
        <f>H431*H431*K431</f>
        <v>1728</v>
      </c>
      <c r="T431" s="242">
        <f t="shared" si="4547"/>
        <v>7488</v>
      </c>
      <c r="U431" s="222">
        <f t="shared" si="4548"/>
        <v>3.6923076923076925</v>
      </c>
      <c r="V431" s="223">
        <f t="shared" si="4549"/>
        <v>11.076923076923077</v>
      </c>
      <c r="W431" s="243">
        <f t="shared" si="4550"/>
        <v>8.3076923076923084</v>
      </c>
      <c r="X431" s="243">
        <f t="shared" si="4551"/>
        <v>23.07692307692308</v>
      </c>
      <c r="Y431" s="252">
        <v>0</v>
      </c>
      <c r="Z431" s="198">
        <f t="shared" si="4552"/>
        <v>23.07692307692308</v>
      </c>
      <c r="AA431" s="125">
        <f>IF(X431&lt;=0,2,0)+IF(X431&gt;0,X431+1,0)*2+IF(X431&gt;12,X431-12,0)*2+IF(X431&gt;13,X431-13,0)*2+IF(X431&gt;14,X431-14,0)*2+IF(X431&gt;15,X431-15,0)*2+IF(X431&gt;16,X431-16,0)*2+IF(X431&gt;17,X431-17,0)*2+IF(X431&gt;18,X431-18,0)*2+IF(X431&gt;19,X431-19,0)*2+IF(X431&gt;20,X431-20,0)*2</f>
        <v>175.5384615384616</v>
      </c>
      <c r="AB431" s="160">
        <f>IF(Y431&lt;=0,2,0)+IF(Y431&gt;0,Y431+1,0)*2+IF(Y431&gt;12,Y431-12,0)*2+IF(Y431&gt;13,Y431-13,0)*2+IF(Y431&gt;14,Y431-14,0)*2+IF(Y431&gt;15,Y431-15,0)*2+IF(Y431&gt;16,Y431-16,0)*2+IF(Y431&gt;17,Y431-17,0)*2+IF(Y431&gt;18,Y431-18,0)*2+IF(Y431&gt;19,Y431-19,0)*2+IF(Y431&gt;20,Y431-20,0)*2</f>
        <v>2</v>
      </c>
      <c r="AC431" s="127">
        <f t="shared" si="4553"/>
        <v>173.5384615384616</v>
      </c>
      <c r="AD431" s="125">
        <f t="shared" si="4554"/>
        <v>0</v>
      </c>
      <c r="AF431" s="177" t="s">
        <v>267</v>
      </c>
      <c r="AG431" s="125" t="s">
        <v>276</v>
      </c>
      <c r="AH431" s="47" t="s">
        <v>132</v>
      </c>
      <c r="AI431" s="114"/>
      <c r="AJ431" s="113"/>
      <c r="AK431" s="113">
        <f t="shared" si="4644"/>
        <v>12</v>
      </c>
      <c r="AL431" s="113"/>
      <c r="AM431" s="113"/>
      <c r="AN431" s="113">
        <f>Konvention_1slave-GEslave</f>
        <v>12</v>
      </c>
      <c r="AO431" s="113"/>
      <c r="AP431" s="119"/>
      <c r="AQ431" s="47">
        <f>(AK431+AK431+AN431)/3</f>
        <v>12</v>
      </c>
      <c r="AR431" s="47">
        <f t="shared" si="4555"/>
        <v>24</v>
      </c>
      <c r="AS431" s="113">
        <f t="shared" si="4556"/>
        <v>36</v>
      </c>
      <c r="AT431" s="114">
        <f>AK431*POWER(GEslave,SIGN(AN431))*POWER(INslave,SIGN(AK431))+AK431*POWER(GEslave,SIGN(AN431))*POWER(INslave,SIGN(AK431))+AN431*POWER(INslave,SIGN(AK431))*POWER(INslave,SIGN(AK431))</f>
        <v>2304</v>
      </c>
      <c r="AU431" s="113">
        <f>AK431*AK431*GEslave+AK431*INslave*AN431+INslave*AK431*AN431</f>
        <v>3456</v>
      </c>
      <c r="AV431" s="119">
        <f>AK431*AK431*AN431</f>
        <v>1728</v>
      </c>
      <c r="AW431" s="160">
        <f t="shared" si="4557"/>
        <v>7488</v>
      </c>
      <c r="AX431" s="89">
        <f t="shared" si="4558"/>
        <v>3.6923076923076925</v>
      </c>
      <c r="AY431" s="47">
        <f t="shared" si="4559"/>
        <v>11.076923076923077</v>
      </c>
      <c r="AZ431" s="127">
        <f t="shared" si="4560"/>
        <v>8.3076923076923084</v>
      </c>
      <c r="BA431" s="127">
        <f t="shared" si="4561"/>
        <v>23.07692307692308</v>
      </c>
      <c r="BB431" s="165">
        <f t="shared" si="4562"/>
        <v>0</v>
      </c>
      <c r="BC431" s="198">
        <f t="shared" si="4563"/>
        <v>23.07692307692308</v>
      </c>
      <c r="BD431" s="125">
        <f>IF(BA431&lt;=0,2,0)+IF(BA431&gt;0,BA431+1,0)*2+IF(BA431&gt;12,BA431-12,0)*2+IF(BA431&gt;13,BA431-13,0)*2+IF(BA431&gt;14,BA431-14,0)*2+IF(BA431&gt;15,BA431-15,0)*2+IF(BA431&gt;16,BA431-16,0)*2+IF(BA431&gt;17,BA431-17,0)*2+IF(BA431&gt;18,BA431-18,0)*2+IF(BA431&gt;19,BA431-19,0)*2+IF(BA431&gt;20,BA431-20,0)*2</f>
        <v>175.5384615384616</v>
      </c>
      <c r="BE431" s="160">
        <f>IF(BB431&lt;=0,2,0)+IF(BB431&gt;0,BB431+1,0)*2+IF(BB431&gt;12,BB431-12,0)*2+IF(BB431&gt;13,BB431-13,0)*2+IF(BB431&gt;14,BB431-14,0)*2+IF(BB431&gt;15,BB431-15,0)*2+IF(BB431&gt;16,BB431-16,0)*2+IF(BB431&gt;17,BB431-17,0)*2+IF(BB431&gt;18,BB431-18,0)*2+IF(BB431&gt;19,BB431-19,0)*2+IF(BB431&gt;20,BB431-20,0)*2</f>
        <v>2</v>
      </c>
      <c r="BF431" s="243">
        <f t="shared" si="4564"/>
        <v>173.5384615384616</v>
      </c>
      <c r="BG431" s="218">
        <f t="shared" si="4565"/>
        <v>0</v>
      </c>
      <c r="BI431" s="325" t="s">
        <v>267</v>
      </c>
      <c r="BJ431" s="218" t="s">
        <v>276</v>
      </c>
      <c r="BK431" s="223" t="s">
        <v>132</v>
      </c>
      <c r="BL431" s="237"/>
      <c r="BM431" s="234"/>
      <c r="BN431" s="234">
        <f t="shared" si="4645"/>
        <v>12</v>
      </c>
      <c r="BO431" s="234"/>
      <c r="BP431" s="234"/>
      <c r="BQ431" s="234">
        <f>Konvention_1slave-GEslave</f>
        <v>12</v>
      </c>
      <c r="BR431" s="234"/>
      <c r="BS431" s="224"/>
      <c r="BT431" s="223">
        <f>(BN431+BN431+BQ431)/3</f>
        <v>12</v>
      </c>
      <c r="BU431" s="223">
        <f t="shared" si="4566"/>
        <v>24</v>
      </c>
      <c r="BV431" s="234">
        <f t="shared" si="4567"/>
        <v>36</v>
      </c>
      <c r="BW431" s="237">
        <f>BN431*POWER(GEslave,SIGN(BQ431))*POWER(INslave,SIGN(BN431))+BN431*POWER(GEslave,SIGN(BQ431))*POWER(INslave,SIGN(BN431))+BQ431*POWER(INslave,SIGN(BN431))*POWER(INslave,SIGN(BN431))</f>
        <v>2304</v>
      </c>
      <c r="BX431" s="234">
        <f>BN431*BN431*GEslave+BN431*INslave*BQ431+INslave*BN431*BQ431</f>
        <v>3456</v>
      </c>
      <c r="BY431" s="224">
        <f>BN431*BN431*BQ431</f>
        <v>1728</v>
      </c>
      <c r="BZ431" s="242">
        <f t="shared" si="4568"/>
        <v>7488</v>
      </c>
      <c r="CA431" s="222">
        <f t="shared" si="4569"/>
        <v>3.6923076923076925</v>
      </c>
      <c r="CB431" s="223">
        <f t="shared" si="4570"/>
        <v>11.076923076923077</v>
      </c>
      <c r="CC431" s="243">
        <f t="shared" si="4571"/>
        <v>8.3076923076923084</v>
      </c>
      <c r="CD431" s="243">
        <f t="shared" si="4572"/>
        <v>23.07692307692308</v>
      </c>
      <c r="CE431" s="252">
        <f t="shared" si="4573"/>
        <v>0</v>
      </c>
      <c r="CF431" s="309">
        <f t="shared" si="4574"/>
        <v>23.07692307692308</v>
      </c>
      <c r="CG431" s="218">
        <f>IF(CD431&lt;=0,2,0)+IF(CD431&gt;0,CD431+1,0)*2+IF(CD431&gt;12,CD431-12,0)*2+IF(CD431&gt;13,CD431-13,0)*2+IF(CD431&gt;14,CD431-14,0)*2+IF(CD431&gt;15,CD431-15,0)*2+IF(CD431&gt;16,CD431-16,0)*2+IF(CD431&gt;17,CD431-17,0)*2+IF(CD431&gt;18,CD431-18,0)*2+IF(CD431&gt;19,CD431-19,0)*2+IF(CD431&gt;20,CD431-20,0)*2</f>
        <v>175.5384615384616</v>
      </c>
      <c r="CH431" s="242">
        <f>IF(CE431&lt;=0,2,0)+IF(CE431&gt;0,CE431+1,0)*2+IF(CE431&gt;12,CE431-12,0)*2+IF(CE431&gt;13,CE431-13,0)*2+IF(CE431&gt;14,CE431-14,0)*2+IF(CE431&gt;15,CE431-15,0)*2+IF(CE431&gt;16,CE431-16,0)*2+IF(CE431&gt;17,CE431-17,0)*2+IF(CE431&gt;18,CE431-18,0)*2+IF(CE431&gt;19,CE431-19,0)*2+IF(CE431&gt;20,CE431-20,0)*2</f>
        <v>2</v>
      </c>
      <c r="CI431" s="243">
        <f t="shared" si="4575"/>
        <v>173.5384615384616</v>
      </c>
      <c r="CJ431" s="218">
        <f t="shared" si="4576"/>
        <v>0</v>
      </c>
      <c r="CL431" s="325" t="s">
        <v>267</v>
      </c>
      <c r="CM431" s="218" t="s">
        <v>276</v>
      </c>
      <c r="CN431" s="223" t="s">
        <v>132</v>
      </c>
      <c r="CO431" s="237"/>
      <c r="CP431" s="234"/>
      <c r="CQ431" s="234">
        <f t="shared" si="4646"/>
        <v>11</v>
      </c>
      <c r="CR431" s="234"/>
      <c r="CS431" s="234"/>
      <c r="CT431" s="234">
        <f>Konvention_1slave-GEslave</f>
        <v>12</v>
      </c>
      <c r="CU431" s="234"/>
      <c r="CV431" s="224"/>
      <c r="CW431" s="223">
        <f>(CQ431+CQ431+CT431)/3</f>
        <v>11.333333333333334</v>
      </c>
      <c r="CX431" s="223">
        <f t="shared" si="4577"/>
        <v>22.666666666666668</v>
      </c>
      <c r="CY431" s="234">
        <f t="shared" si="4578"/>
        <v>34</v>
      </c>
      <c r="CZ431" s="237">
        <f>CQ431*POWER(GEslave,SIGN(CT431))*POWER(INslave_IN,SIGN(CQ431))+CQ431*POWER(GEslave,SIGN(CT431))*POWER(INslave_IN,SIGN(CQ431))+CT431*POWER(INslave_IN,SIGN(CQ431))*POWER(INslave_IN,SIGN(CQ431))</f>
        <v>2556</v>
      </c>
      <c r="DA431" s="234">
        <f>CQ431*CQ431*GEslave+CQ431*INslave_IN*CT431+INslave_IN*CQ431*CT431</f>
        <v>3344</v>
      </c>
      <c r="DB431" s="224">
        <f>CQ431*CQ431*CT431</f>
        <v>1452</v>
      </c>
      <c r="DC431" s="242">
        <f t="shared" si="4579"/>
        <v>7352</v>
      </c>
      <c r="DD431" s="222">
        <f t="shared" si="4580"/>
        <v>3.940152339499456</v>
      </c>
      <c r="DE431" s="223">
        <f t="shared" si="4581"/>
        <v>10.309756982227059</v>
      </c>
      <c r="DF431" s="243">
        <f t="shared" si="4582"/>
        <v>6.714907508161045</v>
      </c>
      <c r="DG431" s="243">
        <f t="shared" si="4583"/>
        <v>20.96481682988756</v>
      </c>
      <c r="DH431" s="252">
        <f t="shared" si="4584"/>
        <v>0</v>
      </c>
      <c r="DI431" s="309">
        <f t="shared" si="4585"/>
        <v>20.96481682988756</v>
      </c>
      <c r="DJ431" s="218">
        <f>IF(DG431&lt;=0,2,0)+IF(DG431&gt;0,DG431+1,0)*2+IF(DG431&gt;12,DG431-12,0)*2+IF(DG431&gt;13,DG431-13,0)*2+IF(DG431&gt;14,DG431-14,0)*2+IF(DG431&gt;15,DG431-15,0)*2+IF(DG431&gt;16,DG431-16,0)*2+IF(DG431&gt;17,DG431-17,0)*2+IF(DG431&gt;18,DG431-18,0)*2+IF(DG431&gt;19,DG431-19,0)*2+IF(DG431&gt;20,DG431-20,0)*2</f>
        <v>133.29633659775118</v>
      </c>
      <c r="DK431" s="242">
        <f>IF(DH431&lt;=0,2,0)+IF(DH431&gt;0,DH431+1,0)*2+IF(DH431&gt;12,DH431-12,0)*2+IF(DH431&gt;13,DH431-13,0)*2+IF(DH431&gt;14,DH431-14,0)*2+IF(DH431&gt;15,DH431-15,0)*2+IF(DH431&gt;16,DH431-16,0)*2+IF(DH431&gt;17,DH431-17,0)*2+IF(DH431&gt;18,DH431-18,0)*2+IF(DH431&gt;19,DH431-19,0)*2+IF(DH431&gt;20,DH431-20,0)*2</f>
        <v>2</v>
      </c>
      <c r="DL431" s="243">
        <f t="shared" si="4586"/>
        <v>131.29633659775118</v>
      </c>
      <c r="DM431" s="218">
        <f t="shared" si="4587"/>
        <v>0</v>
      </c>
      <c r="DO431" s="325" t="s">
        <v>267</v>
      </c>
      <c r="DP431" s="218" t="s">
        <v>276</v>
      </c>
      <c r="DQ431" s="223" t="s">
        <v>132</v>
      </c>
      <c r="DR431" s="237"/>
      <c r="DS431" s="234"/>
      <c r="DT431" s="234">
        <f t="shared" si="4647"/>
        <v>12</v>
      </c>
      <c r="DU431" s="234"/>
      <c r="DV431" s="234"/>
      <c r="DW431" s="234">
        <f>Konvention_1slave-GEslave</f>
        <v>12</v>
      </c>
      <c r="DX431" s="234"/>
      <c r="DY431" s="224"/>
      <c r="DZ431" s="223">
        <f>(DT431+DT431+DW431)/3</f>
        <v>12</v>
      </c>
      <c r="EA431" s="223">
        <f t="shared" si="4588"/>
        <v>24</v>
      </c>
      <c r="EB431" s="234">
        <f t="shared" si="4589"/>
        <v>36</v>
      </c>
      <c r="EC431" s="237">
        <f>DT431*POWER(GEslave,SIGN(DW431))*POWER(INslave,SIGN(DT431))+DT431*POWER(GEslave,SIGN(DW431))*POWER(INslave,SIGN(DT431))+DW431*POWER(INslave,SIGN(DT431))*POWER(INslave,SIGN(DT431))</f>
        <v>2304</v>
      </c>
      <c r="ED431" s="234">
        <f>DT431*DT431*GEslave+DT431*INslave*DW431+INslave*DT431*DW431</f>
        <v>3456</v>
      </c>
      <c r="EE431" s="224">
        <f>DT431*DT431*DW431</f>
        <v>1728</v>
      </c>
      <c r="EF431" s="242">
        <f t="shared" si="4590"/>
        <v>7488</v>
      </c>
      <c r="EG431" s="222">
        <f t="shared" si="4591"/>
        <v>3.6923076923076925</v>
      </c>
      <c r="EH431" s="223">
        <f t="shared" si="4592"/>
        <v>11.076923076923077</v>
      </c>
      <c r="EI431" s="243">
        <f t="shared" si="4593"/>
        <v>8.3076923076923084</v>
      </c>
      <c r="EJ431" s="243">
        <f t="shared" si="4594"/>
        <v>23.07692307692308</v>
      </c>
      <c r="EK431" s="252">
        <f t="shared" si="4595"/>
        <v>0</v>
      </c>
      <c r="EL431" s="309">
        <f t="shared" si="4596"/>
        <v>23.07692307692308</v>
      </c>
      <c r="EM431" s="218">
        <f>IF(EJ431&lt;=0,2,0)+IF(EJ431&gt;0,EJ431+1,0)*2+IF(EJ431&gt;12,EJ431-12,0)*2+IF(EJ431&gt;13,EJ431-13,0)*2+IF(EJ431&gt;14,EJ431-14,0)*2+IF(EJ431&gt;15,EJ431-15,0)*2+IF(EJ431&gt;16,EJ431-16,0)*2+IF(EJ431&gt;17,EJ431-17,0)*2+IF(EJ431&gt;18,EJ431-18,0)*2+IF(EJ431&gt;19,EJ431-19,0)*2+IF(EJ431&gt;20,EJ431-20,0)*2</f>
        <v>175.5384615384616</v>
      </c>
      <c r="EN431" s="242">
        <f>IF(EK431&lt;=0,2,0)+IF(EK431&gt;0,EK431+1,0)*2+IF(EK431&gt;12,EK431-12,0)*2+IF(EK431&gt;13,EK431-13,0)*2+IF(EK431&gt;14,EK431-14,0)*2+IF(EK431&gt;15,EK431-15,0)*2+IF(EK431&gt;16,EK431-16,0)*2+IF(EK431&gt;17,EK431-17,0)*2+IF(EK431&gt;18,EK431-18,0)*2+IF(EK431&gt;19,EK431-19,0)*2+IF(EK431&gt;20,EK431-20,0)*2</f>
        <v>2</v>
      </c>
      <c r="EO431" s="243">
        <f t="shared" si="4597"/>
        <v>173.5384615384616</v>
      </c>
      <c r="EP431" s="218">
        <f t="shared" si="4598"/>
        <v>0</v>
      </c>
      <c r="ER431" s="325" t="s">
        <v>267</v>
      </c>
      <c r="ES431" s="218" t="s">
        <v>276</v>
      </c>
      <c r="ET431" s="223" t="s">
        <v>132</v>
      </c>
      <c r="EU431" s="237"/>
      <c r="EV431" s="234"/>
      <c r="EW431" s="234">
        <f t="shared" si="4648"/>
        <v>12</v>
      </c>
      <c r="EX431" s="234"/>
      <c r="EY431" s="234"/>
      <c r="EZ431" s="234">
        <f>Konvention_1slave-GEslave</f>
        <v>12</v>
      </c>
      <c r="FA431" s="234"/>
      <c r="FB431" s="224"/>
      <c r="FC431" s="223">
        <f>(EW431+EW431+EZ431)/3</f>
        <v>12</v>
      </c>
      <c r="FD431" s="223">
        <f t="shared" si="4599"/>
        <v>24</v>
      </c>
      <c r="FE431" s="234">
        <f t="shared" si="4600"/>
        <v>36</v>
      </c>
      <c r="FF431" s="237">
        <f>EW431*POWER(GEslave,SIGN(EZ431))*POWER(INslave,SIGN(EW431))+EW431*POWER(GEslave,SIGN(EZ431))*POWER(INslave,SIGN(EW431))+EZ431*POWER(INslave,SIGN(EW431))*POWER(INslave,SIGN(EW431))</f>
        <v>2304</v>
      </c>
      <c r="FG431" s="234">
        <f>EW431*EW431*GEslave+EW431*INslave*EZ431+INslave*EW431*EZ431</f>
        <v>3456</v>
      </c>
      <c r="FH431" s="224">
        <f>EW431*EW431*EZ431</f>
        <v>1728</v>
      </c>
      <c r="FI431" s="242">
        <f t="shared" si="4601"/>
        <v>7488</v>
      </c>
      <c r="FJ431" s="222">
        <f t="shared" si="4602"/>
        <v>3.6923076923076925</v>
      </c>
      <c r="FK431" s="223">
        <f t="shared" si="4603"/>
        <v>11.076923076923077</v>
      </c>
      <c r="FL431" s="243">
        <f t="shared" si="4604"/>
        <v>8.3076923076923084</v>
      </c>
      <c r="FM431" s="243">
        <f t="shared" si="4605"/>
        <v>23.07692307692308</v>
      </c>
      <c r="FN431" s="252">
        <f t="shared" si="4606"/>
        <v>0</v>
      </c>
      <c r="FO431" s="309">
        <f t="shared" si="4607"/>
        <v>23.07692307692308</v>
      </c>
      <c r="FP431" s="218">
        <f>IF(FM431&lt;=0,2,0)+IF(FM431&gt;0,FM431+1,0)*2+IF(FM431&gt;12,FM431-12,0)*2+IF(FM431&gt;13,FM431-13,0)*2+IF(FM431&gt;14,FM431-14,0)*2+IF(FM431&gt;15,FM431-15,0)*2+IF(FM431&gt;16,FM431-16,0)*2+IF(FM431&gt;17,FM431-17,0)*2+IF(FM431&gt;18,FM431-18,0)*2+IF(FM431&gt;19,FM431-19,0)*2+IF(FM431&gt;20,FM431-20,0)*2</f>
        <v>175.5384615384616</v>
      </c>
      <c r="FQ431" s="242">
        <f>IF(FN431&lt;=0,2,0)+IF(FN431&gt;0,FN431+1,0)*2+IF(FN431&gt;12,FN431-12,0)*2+IF(FN431&gt;13,FN431-13,0)*2+IF(FN431&gt;14,FN431-14,0)*2+IF(FN431&gt;15,FN431-15,0)*2+IF(FN431&gt;16,FN431-16,0)*2+IF(FN431&gt;17,FN431-17,0)*2+IF(FN431&gt;18,FN431-18,0)*2+IF(FN431&gt;19,FN431-19,0)*2+IF(FN431&gt;20,FN431-20,0)*2</f>
        <v>2</v>
      </c>
      <c r="FR431" s="243">
        <f t="shared" si="4608"/>
        <v>173.5384615384616</v>
      </c>
      <c r="FS431" s="218">
        <f t="shared" si="4609"/>
        <v>0</v>
      </c>
      <c r="FU431" s="325" t="s">
        <v>267</v>
      </c>
      <c r="FV431" s="218" t="s">
        <v>276</v>
      </c>
      <c r="FW431" s="223" t="s">
        <v>132</v>
      </c>
      <c r="FX431" s="237"/>
      <c r="FY431" s="234"/>
      <c r="FZ431" s="234">
        <f t="shared" si="4649"/>
        <v>12</v>
      </c>
      <c r="GA431" s="234"/>
      <c r="GB431" s="234"/>
      <c r="GC431" s="234">
        <f>Konvention_1slave-GEslave_GE</f>
        <v>11</v>
      </c>
      <c r="GD431" s="234"/>
      <c r="GE431" s="224"/>
      <c r="GF431" s="223">
        <f>(FZ431+FZ431+GC431)/3</f>
        <v>11.666666666666666</v>
      </c>
      <c r="GG431" s="223">
        <f t="shared" si="4610"/>
        <v>23.333333333333332</v>
      </c>
      <c r="GH431" s="234">
        <f t="shared" si="4611"/>
        <v>35</v>
      </c>
      <c r="GI431" s="237">
        <f>FZ431*POWER(GEslave_GE,SIGN(GC431))*POWER(INslave,SIGN(FZ431))+FZ431*POWER(GEslave_GE,SIGN(GC431))*POWER(INslave,SIGN(FZ431))+GC431*POWER(INslave,SIGN(FZ431))*POWER(INslave,SIGN(FZ431))</f>
        <v>2432</v>
      </c>
      <c r="GJ431" s="234">
        <f>FZ431*FZ431*GEslave_GE+FZ431*INslave*GC431+INslave*FZ431*GC431</f>
        <v>3408</v>
      </c>
      <c r="GK431" s="224">
        <f>FZ431*FZ431*GC431</f>
        <v>1584</v>
      </c>
      <c r="GL431" s="242">
        <f t="shared" si="4612"/>
        <v>7424</v>
      </c>
      <c r="GM431" s="222">
        <f t="shared" si="4613"/>
        <v>3.8218390804597702</v>
      </c>
      <c r="GN431" s="223">
        <f t="shared" si="4614"/>
        <v>10.711206896551724</v>
      </c>
      <c r="GO431" s="243">
        <f t="shared" si="4615"/>
        <v>7.4676724137931032</v>
      </c>
      <c r="GP431" s="243">
        <f t="shared" si="4616"/>
        <v>22.000718390804597</v>
      </c>
      <c r="GQ431" s="252">
        <f t="shared" si="4617"/>
        <v>0</v>
      </c>
      <c r="GR431" s="309">
        <f t="shared" si="4618"/>
        <v>22.000718390804597</v>
      </c>
      <c r="GS431" s="218">
        <f>IF(GP431&lt;=0,2,0)+IF(GP431&gt;0,GP431+1,0)*2+IF(GP431&gt;12,GP431-12,0)*2+IF(GP431&gt;13,GP431-13,0)*2+IF(GP431&gt;14,GP431-14,0)*2+IF(GP431&gt;15,GP431-15,0)*2+IF(GP431&gt;16,GP431-16,0)*2+IF(GP431&gt;17,GP431-17,0)*2+IF(GP431&gt;18,GP431-18,0)*2+IF(GP431&gt;19,GP431-19,0)*2+IF(GP431&gt;20,GP431-20,0)*2</f>
        <v>154.01436781609189</v>
      </c>
      <c r="GT431" s="242">
        <f>IF(GQ431&lt;=0,2,0)+IF(GQ431&gt;0,GQ431+1,0)*2+IF(GQ431&gt;12,GQ431-12,0)*2+IF(GQ431&gt;13,GQ431-13,0)*2+IF(GQ431&gt;14,GQ431-14,0)*2+IF(GQ431&gt;15,GQ431-15,0)*2+IF(GQ431&gt;16,GQ431-16,0)*2+IF(GQ431&gt;17,GQ431-17,0)*2+IF(GQ431&gt;18,GQ431-18,0)*2+IF(GQ431&gt;19,GQ431-19,0)*2+IF(GQ431&gt;20,GQ431-20,0)*2</f>
        <v>2</v>
      </c>
      <c r="GU431" s="243">
        <f t="shared" si="4619"/>
        <v>152.01436781609189</v>
      </c>
      <c r="GV431" s="218">
        <f t="shared" si="4620"/>
        <v>0</v>
      </c>
      <c r="GX431" s="325" t="s">
        <v>267</v>
      </c>
      <c r="GY431" s="218" t="s">
        <v>276</v>
      </c>
      <c r="GZ431" s="223" t="s">
        <v>132</v>
      </c>
      <c r="HA431" s="237"/>
      <c r="HB431" s="234"/>
      <c r="HC431" s="234">
        <f t="shared" si="4650"/>
        <v>12</v>
      </c>
      <c r="HD431" s="234"/>
      <c r="HE431" s="234"/>
      <c r="HF431" s="234">
        <f>Konvention_1slave-GEslave</f>
        <v>12</v>
      </c>
      <c r="HG431" s="234"/>
      <c r="HH431" s="224"/>
      <c r="HI431" s="223">
        <f>(HC431+HC431+HF431)/3</f>
        <v>12</v>
      </c>
      <c r="HJ431" s="223">
        <f t="shared" si="4621"/>
        <v>24</v>
      </c>
      <c r="HK431" s="234">
        <f t="shared" si="4622"/>
        <v>36</v>
      </c>
      <c r="HL431" s="237">
        <f>HC431*POWER(GEslave,SIGN(HF431))*POWER(INslave,SIGN(HC431))+HC431*POWER(GEslave,SIGN(HF431))*POWER(INslave,SIGN(HC431))+HF431*POWER(INslave,SIGN(HC431))*POWER(INslave,SIGN(HC431))</f>
        <v>2304</v>
      </c>
      <c r="HM431" s="234">
        <f>HC431*HC431*GEslave+HC431*INslave*HF431+INslave*HC431*HF431</f>
        <v>3456</v>
      </c>
      <c r="HN431" s="224">
        <f>HC431*HC431*HF431</f>
        <v>1728</v>
      </c>
      <c r="HO431" s="242">
        <f t="shared" si="4623"/>
        <v>7488</v>
      </c>
      <c r="HP431" s="222">
        <f t="shared" si="4624"/>
        <v>3.6923076923076925</v>
      </c>
      <c r="HQ431" s="223">
        <f t="shared" si="4625"/>
        <v>11.076923076923077</v>
      </c>
      <c r="HR431" s="243">
        <f t="shared" si="4626"/>
        <v>8.3076923076923084</v>
      </c>
      <c r="HS431" s="243">
        <f t="shared" si="4627"/>
        <v>23.07692307692308</v>
      </c>
      <c r="HT431" s="252">
        <f t="shared" si="4628"/>
        <v>0</v>
      </c>
      <c r="HU431" s="309">
        <f t="shared" si="4629"/>
        <v>23.07692307692308</v>
      </c>
      <c r="HV431" s="218">
        <f>IF(HS431&lt;=0,2,0)+IF(HS431&gt;0,HS431+1,0)*2+IF(HS431&gt;12,HS431-12,0)*2+IF(HS431&gt;13,HS431-13,0)*2+IF(HS431&gt;14,HS431-14,0)*2+IF(HS431&gt;15,HS431-15,0)*2+IF(HS431&gt;16,HS431-16,0)*2+IF(HS431&gt;17,HS431-17,0)*2+IF(HS431&gt;18,HS431-18,0)*2+IF(HS431&gt;19,HS431-19,0)*2+IF(HS431&gt;20,HS431-20,0)*2</f>
        <v>175.5384615384616</v>
      </c>
      <c r="HW431" s="242">
        <f>IF(HT431&lt;=0,2,0)+IF(HT431&gt;0,HT431+1,0)*2+IF(HT431&gt;12,HT431-12,0)*2+IF(HT431&gt;13,HT431-13,0)*2+IF(HT431&gt;14,HT431-14,0)*2+IF(HT431&gt;15,HT431-15,0)*2+IF(HT431&gt;16,HT431-16,0)*2+IF(HT431&gt;17,HT431-17,0)*2+IF(HT431&gt;18,HT431-18,0)*2+IF(HT431&gt;19,HT431-19,0)*2+IF(HT431&gt;20,HT431-20,0)*2</f>
        <v>2</v>
      </c>
      <c r="HX431" s="243">
        <f t="shared" si="4630"/>
        <v>173.5384615384616</v>
      </c>
      <c r="HY431" s="218">
        <f t="shared" si="4631"/>
        <v>0</v>
      </c>
      <c r="IA431" s="325" t="s">
        <v>267</v>
      </c>
      <c r="IB431" s="218" t="s">
        <v>276</v>
      </c>
      <c r="IC431" s="223" t="s">
        <v>132</v>
      </c>
      <c r="ID431" s="237"/>
      <c r="IE431" s="234"/>
      <c r="IF431" s="234">
        <f t="shared" si="4651"/>
        <v>12</v>
      </c>
      <c r="IG431" s="234"/>
      <c r="IH431" s="234"/>
      <c r="II431" s="234">
        <f>Konvention_1slave-GEslave</f>
        <v>12</v>
      </c>
      <c r="IJ431" s="234"/>
      <c r="IK431" s="224"/>
      <c r="IL431" s="223">
        <f>(IF431+IF431+II431)/3</f>
        <v>12</v>
      </c>
      <c r="IM431" s="223">
        <f t="shared" si="4632"/>
        <v>24</v>
      </c>
      <c r="IN431" s="234">
        <f t="shared" si="4633"/>
        <v>36</v>
      </c>
      <c r="IO431" s="237">
        <f>IF431*POWER(GEslave,SIGN(II431))*POWER(INslave,SIGN(IF431))+IF431*POWER(GEslave,SIGN(II431))*POWER(INslave,SIGN(IF431))+II431*POWER(INslave,SIGN(IF431))*POWER(INslave,SIGN(IF431))</f>
        <v>2304</v>
      </c>
      <c r="IP431" s="234">
        <f>IF431*IF431*GEslave+IF431*INslave*II431+INslave*IF431*II431</f>
        <v>3456</v>
      </c>
      <c r="IQ431" s="224">
        <f>IF431*IF431*II431</f>
        <v>1728</v>
      </c>
      <c r="IR431" s="242">
        <f t="shared" si="4634"/>
        <v>7488</v>
      </c>
      <c r="IS431" s="222">
        <f t="shared" si="4635"/>
        <v>3.6923076923076925</v>
      </c>
      <c r="IT431" s="223">
        <f t="shared" si="4636"/>
        <v>11.076923076923077</v>
      </c>
      <c r="IU431" s="243">
        <f t="shared" si="4637"/>
        <v>8.3076923076923084</v>
      </c>
      <c r="IV431" s="243">
        <f t="shared" si="4638"/>
        <v>23.07692307692308</v>
      </c>
      <c r="IW431" s="252">
        <f t="shared" si="4639"/>
        <v>0</v>
      </c>
      <c r="IX431" s="309">
        <f t="shared" si="4640"/>
        <v>23.07692307692308</v>
      </c>
      <c r="IY431" s="218">
        <f>IF(IV431&lt;=0,2,0)+IF(IV431&gt;0,IV431+1,0)*2+IF(IV431&gt;12,IV431-12,0)*2+IF(IV431&gt;13,IV431-13,0)*2+IF(IV431&gt;14,IV431-14,0)*2+IF(IV431&gt;15,IV431-15,0)*2+IF(IV431&gt;16,IV431-16,0)*2+IF(IV431&gt;17,IV431-17,0)*2+IF(IV431&gt;18,IV431-18,0)*2+IF(IV431&gt;19,IV431-19,0)*2+IF(IV431&gt;20,IV431-20,0)*2</f>
        <v>175.5384615384616</v>
      </c>
      <c r="IZ431" s="242">
        <f>IF(IW431&lt;=0,2,0)+IF(IW431&gt;0,IW431+1,0)*2+IF(IW431&gt;12,IW431-12,0)*2+IF(IW431&gt;13,IW431-13,0)*2+IF(IW431&gt;14,IW431-14,0)*2+IF(IW431&gt;15,IW431-15,0)*2+IF(IW431&gt;16,IW431-16,0)*2+IF(IW431&gt;17,IW431-17,0)*2+IF(IW431&gt;18,IW431-18,0)*2+IF(IW431&gt;19,IW431-19,0)*2+IF(IW431&gt;20,IW431-20,0)*2</f>
        <v>2</v>
      </c>
      <c r="JA431" s="243">
        <f t="shared" si="4641"/>
        <v>173.5384615384616</v>
      </c>
      <c r="JB431" s="218">
        <f t="shared" si="4642"/>
        <v>0</v>
      </c>
      <c r="JE431" s="148"/>
    </row>
    <row r="432" spans="2:265" ht="15" hidden="1" customHeight="1" outlineLevel="2">
      <c r="B432" s="148">
        <v>8</v>
      </c>
      <c r="C432" s="326" t="e">
        <f>VLOOKUP(AF432,Attribute!C:T,1,FALSE)</f>
        <v>#N/A</v>
      </c>
      <c r="D432" s="159" t="s">
        <v>94</v>
      </c>
      <c r="E432" s="88" t="s">
        <v>132</v>
      </c>
      <c r="F432" s="115"/>
      <c r="G432" s="122">
        <f>Konvention_1master-KLmaster</f>
        <v>12</v>
      </c>
      <c r="H432" s="122">
        <f t="shared" si="4643"/>
        <v>12</v>
      </c>
      <c r="I432" s="122"/>
      <c r="J432" s="122"/>
      <c r="K432" s="122"/>
      <c r="L432" s="122"/>
      <c r="M432" s="123"/>
      <c r="N432" s="226">
        <f>(G432+G432+H432)/3</f>
        <v>12</v>
      </c>
      <c r="O432" s="226">
        <f t="shared" si="4545"/>
        <v>24</v>
      </c>
      <c r="P432" s="235">
        <f t="shared" si="4546"/>
        <v>36</v>
      </c>
      <c r="Q432" s="238">
        <f>G432*POWER(INmaster,SIGN(H432))*POWER(KLmaster,SIGN(G432))+G432*POWER(INmaster,SIGN(H432))*POWER(KLmaster,SIGN(G432))+H432*POWER(KLmaster,SIGN(G432))*POWER(KLmaster,SIGN(G432))</f>
        <v>2304</v>
      </c>
      <c r="R432" s="122">
        <f>G432*G432*INmaster+G432*KLmaster*H432+KLmaster*G432*H432</f>
        <v>3456</v>
      </c>
      <c r="S432" s="227">
        <f>G432*G432*H432</f>
        <v>1728</v>
      </c>
      <c r="T432" s="244">
        <f t="shared" si="4547"/>
        <v>7488</v>
      </c>
      <c r="U432" s="225">
        <f t="shared" si="4548"/>
        <v>3.6923076923076925</v>
      </c>
      <c r="V432" s="226">
        <f t="shared" si="4549"/>
        <v>11.076923076923077</v>
      </c>
      <c r="W432" s="245">
        <f t="shared" si="4550"/>
        <v>8.3076923076923084</v>
      </c>
      <c r="X432" s="245">
        <f t="shared" si="4551"/>
        <v>23.07692307692308</v>
      </c>
      <c r="Y432" s="252">
        <v>0</v>
      </c>
      <c r="Z432" s="198">
        <f t="shared" si="4552"/>
        <v>23.07692307692308</v>
      </c>
      <c r="AA432" s="159">
        <f>IF(X432&lt;=0,2,0)+IF(X432&gt;0,X432+1,0)*2+IF(X432&gt;12,X432-12,0)*2+IF(X432&gt;13,X432-13,0)*2+IF(X432&gt;14,X432-14,0)*2+IF(X432&gt;15,X432-15,0)*2+IF(X432&gt;16,X432-16,0)*2+IF(X432&gt;17,X432-17,0)*2+IF(X432&gt;18,X432-18,0)*2+IF(X432&gt;19,X432-19,0)*2+IF(X432&gt;20,X432-20,0)*2</f>
        <v>175.5384615384616</v>
      </c>
      <c r="AB432" s="161">
        <f>IF(Y432&lt;=0,2,0)+IF(Y432&gt;0,Y432+1,0)*2+IF(Y432&gt;12,Y432-12,0)*2+IF(Y432&gt;13,Y432-13,0)*2+IF(Y432&gt;14,Y432-14,0)*2+IF(Y432&gt;15,Y432-15,0)*2+IF(Y432&gt;16,Y432-16,0)*2+IF(Y432&gt;17,Y432-17,0)*2+IF(Y432&gt;18,Y432-18,0)*2+IF(Y432&gt;19,Y432-19,0)*2+IF(Y432&gt;20,Y432-20,0)*2</f>
        <v>2</v>
      </c>
      <c r="AC432" s="128">
        <f t="shared" si="4553"/>
        <v>173.5384615384616</v>
      </c>
      <c r="AD432" s="159">
        <f t="shared" si="4554"/>
        <v>0</v>
      </c>
      <c r="AF432" s="178" t="s">
        <v>268</v>
      </c>
      <c r="AG432" s="159" t="s">
        <v>94</v>
      </c>
      <c r="AH432" s="88" t="s">
        <v>132</v>
      </c>
      <c r="AI432" s="115"/>
      <c r="AJ432" s="122">
        <f>Konvention_1slave-KLslave</f>
        <v>12</v>
      </c>
      <c r="AK432" s="122">
        <f t="shared" si="4644"/>
        <v>12</v>
      </c>
      <c r="AL432" s="122"/>
      <c r="AM432" s="122"/>
      <c r="AN432" s="122"/>
      <c r="AO432" s="122"/>
      <c r="AP432" s="123"/>
      <c r="AQ432" s="88">
        <f>(AJ432+AJ432+AK432)/3</f>
        <v>12</v>
      </c>
      <c r="AR432" s="88">
        <f t="shared" si="4555"/>
        <v>24</v>
      </c>
      <c r="AS432" s="122">
        <f t="shared" si="4556"/>
        <v>36</v>
      </c>
      <c r="AT432" s="115">
        <f>AJ432*POWER(INslave,SIGN(AK432))*POWER(KLslave,SIGN(AJ432))+AJ432*POWER(INslave,SIGN(AK432))*POWER(KLslave,SIGN(AJ432))+AK432*POWER(KLslave,SIGN(AJ432))*POWER(KLslave,SIGN(AJ432))</f>
        <v>2304</v>
      </c>
      <c r="AU432" s="122">
        <f>AJ432*AJ432*INslave+AJ432*KLslave*AK432+KLslave*AJ432*AK432</f>
        <v>3456</v>
      </c>
      <c r="AV432" s="123">
        <f>AJ432*AJ432*AK432</f>
        <v>1728</v>
      </c>
      <c r="AW432" s="161">
        <f t="shared" si="4557"/>
        <v>7488</v>
      </c>
      <c r="AX432" s="90">
        <f t="shared" si="4558"/>
        <v>3.6923076923076925</v>
      </c>
      <c r="AY432" s="88">
        <f t="shared" si="4559"/>
        <v>11.076923076923077</v>
      </c>
      <c r="AZ432" s="128">
        <f t="shared" si="4560"/>
        <v>8.3076923076923084</v>
      </c>
      <c r="BA432" s="128">
        <f t="shared" si="4561"/>
        <v>23.07692307692308</v>
      </c>
      <c r="BB432" s="165">
        <f t="shared" si="4562"/>
        <v>0</v>
      </c>
      <c r="BC432" s="198">
        <f t="shared" si="4563"/>
        <v>23.07692307692308</v>
      </c>
      <c r="BD432" s="159">
        <f>IF(BA432&lt;=0,2,0)+IF(BA432&gt;0,BA432+1,0)*2+IF(BA432&gt;12,BA432-12,0)*2+IF(BA432&gt;13,BA432-13,0)*2+IF(BA432&gt;14,BA432-14,0)*2+IF(BA432&gt;15,BA432-15,0)*2+IF(BA432&gt;16,BA432-16,0)*2+IF(BA432&gt;17,BA432-17,0)*2+IF(BA432&gt;18,BA432-18,0)*2+IF(BA432&gt;19,BA432-19,0)*2+IF(BA432&gt;20,BA432-20,0)*2</f>
        <v>175.5384615384616</v>
      </c>
      <c r="BE432" s="161">
        <f>IF(BB432&lt;=0,2,0)+IF(BB432&gt;0,BB432+1,0)*2+IF(BB432&gt;12,BB432-12,0)*2+IF(BB432&gt;13,BB432-13,0)*2+IF(BB432&gt;14,BB432-14,0)*2+IF(BB432&gt;15,BB432-15,0)*2+IF(BB432&gt;16,BB432-16,0)*2+IF(BB432&gt;17,BB432-17,0)*2+IF(BB432&gt;18,BB432-18,0)*2+IF(BB432&gt;19,BB432-19,0)*2+IF(BB432&gt;20,BB432-20,0)*2</f>
        <v>2</v>
      </c>
      <c r="BF432" s="245">
        <f t="shared" si="4564"/>
        <v>173.5384615384616</v>
      </c>
      <c r="BG432" s="246">
        <f t="shared" si="4565"/>
        <v>0</v>
      </c>
      <c r="BI432" s="326" t="s">
        <v>268</v>
      </c>
      <c r="BJ432" s="246" t="s">
        <v>94</v>
      </c>
      <c r="BK432" s="226" t="s">
        <v>132</v>
      </c>
      <c r="BL432" s="238"/>
      <c r="BM432" s="235">
        <f>Konvention_1slave-KLslave_KL</f>
        <v>11</v>
      </c>
      <c r="BN432" s="235">
        <f t="shared" si="4645"/>
        <v>12</v>
      </c>
      <c r="BO432" s="235"/>
      <c r="BP432" s="235"/>
      <c r="BQ432" s="235"/>
      <c r="BR432" s="235"/>
      <c r="BS432" s="227"/>
      <c r="BT432" s="226">
        <f>(BM432+BM432+BN432)/3</f>
        <v>11.333333333333334</v>
      </c>
      <c r="BU432" s="226">
        <f t="shared" si="4566"/>
        <v>22.666666666666668</v>
      </c>
      <c r="BV432" s="235">
        <f t="shared" si="4567"/>
        <v>34</v>
      </c>
      <c r="BW432" s="238">
        <f>BM432*POWER(INslave,SIGN(BN432))*POWER(KLslave_KL,SIGN(BM432))+BM432*POWER(INslave,SIGN(BN432))*POWER(KLslave_KL,SIGN(BM432))+BN432*POWER(KLslave_KL,SIGN(BM432))*POWER(KLslave_KL,SIGN(BM432))</f>
        <v>2556</v>
      </c>
      <c r="BX432" s="235">
        <f>BM432*BM432*INslave+BM432*KLslave_KL*BN432+KLslave_KL*BM432*BN432</f>
        <v>3344</v>
      </c>
      <c r="BY432" s="227">
        <f>BM432*BM432*BN432</f>
        <v>1452</v>
      </c>
      <c r="BZ432" s="244">
        <f t="shared" si="4568"/>
        <v>7352</v>
      </c>
      <c r="CA432" s="225">
        <f t="shared" si="4569"/>
        <v>3.940152339499456</v>
      </c>
      <c r="CB432" s="226">
        <f t="shared" si="4570"/>
        <v>10.309756982227059</v>
      </c>
      <c r="CC432" s="245">
        <f t="shared" si="4571"/>
        <v>6.714907508161045</v>
      </c>
      <c r="CD432" s="245">
        <f t="shared" si="4572"/>
        <v>20.96481682988756</v>
      </c>
      <c r="CE432" s="252">
        <f t="shared" si="4573"/>
        <v>0</v>
      </c>
      <c r="CF432" s="309">
        <f t="shared" si="4574"/>
        <v>20.96481682988756</v>
      </c>
      <c r="CG432" s="246">
        <f>IF(CD432&lt;=0,2,0)+IF(CD432&gt;0,CD432+1,0)*2+IF(CD432&gt;12,CD432-12,0)*2+IF(CD432&gt;13,CD432-13,0)*2+IF(CD432&gt;14,CD432-14,0)*2+IF(CD432&gt;15,CD432-15,0)*2+IF(CD432&gt;16,CD432-16,0)*2+IF(CD432&gt;17,CD432-17,0)*2+IF(CD432&gt;18,CD432-18,0)*2+IF(CD432&gt;19,CD432-19,0)*2+IF(CD432&gt;20,CD432-20,0)*2</f>
        <v>133.29633659775118</v>
      </c>
      <c r="CH432" s="244">
        <f>IF(CE432&lt;=0,2,0)+IF(CE432&gt;0,CE432+1,0)*2+IF(CE432&gt;12,CE432-12,0)*2+IF(CE432&gt;13,CE432-13,0)*2+IF(CE432&gt;14,CE432-14,0)*2+IF(CE432&gt;15,CE432-15,0)*2+IF(CE432&gt;16,CE432-16,0)*2+IF(CE432&gt;17,CE432-17,0)*2+IF(CE432&gt;18,CE432-18,0)*2+IF(CE432&gt;19,CE432-19,0)*2+IF(CE432&gt;20,CE432-20,0)*2</f>
        <v>2</v>
      </c>
      <c r="CI432" s="245">
        <f t="shared" si="4575"/>
        <v>131.29633659775118</v>
      </c>
      <c r="CJ432" s="246">
        <f t="shared" si="4576"/>
        <v>0</v>
      </c>
      <c r="CL432" s="326" t="s">
        <v>268</v>
      </c>
      <c r="CM432" s="246" t="s">
        <v>94</v>
      </c>
      <c r="CN432" s="226" t="s">
        <v>132</v>
      </c>
      <c r="CO432" s="238"/>
      <c r="CP432" s="235">
        <f>Konvention_1slave-KLslave</f>
        <v>12</v>
      </c>
      <c r="CQ432" s="235">
        <f t="shared" si="4646"/>
        <v>11</v>
      </c>
      <c r="CR432" s="235"/>
      <c r="CS432" s="235"/>
      <c r="CT432" s="235"/>
      <c r="CU432" s="235"/>
      <c r="CV432" s="227"/>
      <c r="CW432" s="226">
        <f>(CP432+CP432+CQ432)/3</f>
        <v>11.666666666666666</v>
      </c>
      <c r="CX432" s="226">
        <f t="shared" si="4577"/>
        <v>23.333333333333332</v>
      </c>
      <c r="CY432" s="235">
        <f t="shared" si="4578"/>
        <v>35</v>
      </c>
      <c r="CZ432" s="238">
        <f>CP432*POWER(INslave_IN,SIGN(CQ432))*POWER(KLslave,SIGN(CP432))+CP432*POWER(INslave_IN,SIGN(CQ432))*POWER(KLslave,SIGN(CP432))+CQ432*POWER(KLslave,SIGN(CP432))*POWER(KLslave,SIGN(CP432))</f>
        <v>2432</v>
      </c>
      <c r="DA432" s="235">
        <f>CP432*CP432*INslave_IN+CP432*KLslave*CQ432+KLslave*CP432*CQ432</f>
        <v>3408</v>
      </c>
      <c r="DB432" s="227">
        <f>CP432*CP432*CQ432</f>
        <v>1584</v>
      </c>
      <c r="DC432" s="244">
        <f t="shared" si="4579"/>
        <v>7424</v>
      </c>
      <c r="DD432" s="225">
        <f t="shared" si="4580"/>
        <v>3.8218390804597702</v>
      </c>
      <c r="DE432" s="226">
        <f t="shared" si="4581"/>
        <v>10.711206896551724</v>
      </c>
      <c r="DF432" s="245">
        <f t="shared" si="4582"/>
        <v>7.4676724137931032</v>
      </c>
      <c r="DG432" s="245">
        <f t="shared" si="4583"/>
        <v>22.000718390804597</v>
      </c>
      <c r="DH432" s="252">
        <f t="shared" si="4584"/>
        <v>0</v>
      </c>
      <c r="DI432" s="309">
        <f t="shared" si="4585"/>
        <v>22.000718390804597</v>
      </c>
      <c r="DJ432" s="246">
        <f>IF(DG432&lt;=0,2,0)+IF(DG432&gt;0,DG432+1,0)*2+IF(DG432&gt;12,DG432-12,0)*2+IF(DG432&gt;13,DG432-13,0)*2+IF(DG432&gt;14,DG432-14,0)*2+IF(DG432&gt;15,DG432-15,0)*2+IF(DG432&gt;16,DG432-16,0)*2+IF(DG432&gt;17,DG432-17,0)*2+IF(DG432&gt;18,DG432-18,0)*2+IF(DG432&gt;19,DG432-19,0)*2+IF(DG432&gt;20,DG432-20,0)*2</f>
        <v>154.01436781609189</v>
      </c>
      <c r="DK432" s="244">
        <f>IF(DH432&lt;=0,2,0)+IF(DH432&gt;0,DH432+1,0)*2+IF(DH432&gt;12,DH432-12,0)*2+IF(DH432&gt;13,DH432-13,0)*2+IF(DH432&gt;14,DH432-14,0)*2+IF(DH432&gt;15,DH432-15,0)*2+IF(DH432&gt;16,DH432-16,0)*2+IF(DH432&gt;17,DH432-17,0)*2+IF(DH432&gt;18,DH432-18,0)*2+IF(DH432&gt;19,DH432-19,0)*2+IF(DH432&gt;20,DH432-20,0)*2</f>
        <v>2</v>
      </c>
      <c r="DL432" s="245">
        <f t="shared" si="4586"/>
        <v>152.01436781609189</v>
      </c>
      <c r="DM432" s="246">
        <f t="shared" si="4587"/>
        <v>0</v>
      </c>
      <c r="DO432" s="326" t="s">
        <v>268</v>
      </c>
      <c r="DP432" s="246" t="s">
        <v>94</v>
      </c>
      <c r="DQ432" s="226" t="s">
        <v>132</v>
      </c>
      <c r="DR432" s="238"/>
      <c r="DS432" s="235">
        <f>Konvention_1slave-KLslave</f>
        <v>12</v>
      </c>
      <c r="DT432" s="235">
        <f t="shared" si="4647"/>
        <v>12</v>
      </c>
      <c r="DU432" s="235"/>
      <c r="DV432" s="235"/>
      <c r="DW432" s="235"/>
      <c r="DX432" s="235"/>
      <c r="DY432" s="227"/>
      <c r="DZ432" s="226">
        <f>(DS432+DS432+DT432)/3</f>
        <v>12</v>
      </c>
      <c r="EA432" s="226">
        <f t="shared" si="4588"/>
        <v>24</v>
      </c>
      <c r="EB432" s="235">
        <f t="shared" si="4589"/>
        <v>36</v>
      </c>
      <c r="EC432" s="238">
        <f>DS432*POWER(INslave,SIGN(DT432))*POWER(KLslave,SIGN(DS432))+DS432*POWER(INslave,SIGN(DT432))*POWER(KLslave,SIGN(DS432))+DT432*POWER(KLslave,SIGN(DS432))*POWER(KLslave,SIGN(DS432))</f>
        <v>2304</v>
      </c>
      <c r="ED432" s="235">
        <f>DS432*DS432*INslave+DS432*KLslave*DT432+KLslave*DS432*DT432</f>
        <v>3456</v>
      </c>
      <c r="EE432" s="227">
        <f>DS432*DS432*DT432</f>
        <v>1728</v>
      </c>
      <c r="EF432" s="244">
        <f t="shared" si="4590"/>
        <v>7488</v>
      </c>
      <c r="EG432" s="225">
        <f t="shared" si="4591"/>
        <v>3.6923076923076925</v>
      </c>
      <c r="EH432" s="226">
        <f t="shared" si="4592"/>
        <v>11.076923076923077</v>
      </c>
      <c r="EI432" s="245">
        <f t="shared" si="4593"/>
        <v>8.3076923076923084</v>
      </c>
      <c r="EJ432" s="245">
        <f t="shared" si="4594"/>
        <v>23.07692307692308</v>
      </c>
      <c r="EK432" s="252">
        <f t="shared" si="4595"/>
        <v>0</v>
      </c>
      <c r="EL432" s="309">
        <f t="shared" si="4596"/>
        <v>23.07692307692308</v>
      </c>
      <c r="EM432" s="246">
        <f>IF(EJ432&lt;=0,2,0)+IF(EJ432&gt;0,EJ432+1,0)*2+IF(EJ432&gt;12,EJ432-12,0)*2+IF(EJ432&gt;13,EJ432-13,0)*2+IF(EJ432&gt;14,EJ432-14,0)*2+IF(EJ432&gt;15,EJ432-15,0)*2+IF(EJ432&gt;16,EJ432-16,0)*2+IF(EJ432&gt;17,EJ432-17,0)*2+IF(EJ432&gt;18,EJ432-18,0)*2+IF(EJ432&gt;19,EJ432-19,0)*2+IF(EJ432&gt;20,EJ432-20,0)*2</f>
        <v>175.5384615384616</v>
      </c>
      <c r="EN432" s="244">
        <f>IF(EK432&lt;=0,2,0)+IF(EK432&gt;0,EK432+1,0)*2+IF(EK432&gt;12,EK432-12,0)*2+IF(EK432&gt;13,EK432-13,0)*2+IF(EK432&gt;14,EK432-14,0)*2+IF(EK432&gt;15,EK432-15,0)*2+IF(EK432&gt;16,EK432-16,0)*2+IF(EK432&gt;17,EK432-17,0)*2+IF(EK432&gt;18,EK432-18,0)*2+IF(EK432&gt;19,EK432-19,0)*2+IF(EK432&gt;20,EK432-20,0)*2</f>
        <v>2</v>
      </c>
      <c r="EO432" s="245">
        <f t="shared" si="4597"/>
        <v>173.5384615384616</v>
      </c>
      <c r="EP432" s="246">
        <f t="shared" si="4598"/>
        <v>0</v>
      </c>
      <c r="ER432" s="326" t="s">
        <v>268</v>
      </c>
      <c r="ES432" s="246" t="s">
        <v>94</v>
      </c>
      <c r="ET432" s="226" t="s">
        <v>132</v>
      </c>
      <c r="EU432" s="238"/>
      <c r="EV432" s="235">
        <f>Konvention_1slave-KLslave</f>
        <v>12</v>
      </c>
      <c r="EW432" s="235">
        <f t="shared" si="4648"/>
        <v>12</v>
      </c>
      <c r="EX432" s="235"/>
      <c r="EY432" s="235"/>
      <c r="EZ432" s="235"/>
      <c r="FA432" s="235"/>
      <c r="FB432" s="227"/>
      <c r="FC432" s="226">
        <f>(EV432+EV432+EW432)/3</f>
        <v>12</v>
      </c>
      <c r="FD432" s="226">
        <f t="shared" si="4599"/>
        <v>24</v>
      </c>
      <c r="FE432" s="235">
        <f t="shared" si="4600"/>
        <v>36</v>
      </c>
      <c r="FF432" s="238">
        <f>EV432*POWER(INslave,SIGN(EW432))*POWER(KLslave,SIGN(EV432))+EV432*POWER(INslave,SIGN(EW432))*POWER(KLslave,SIGN(EV432))+EW432*POWER(KLslave,SIGN(EV432))*POWER(KLslave,SIGN(EV432))</f>
        <v>2304</v>
      </c>
      <c r="FG432" s="235">
        <f>EV432*EV432*INslave+EV432*KLslave*EW432+KLslave*EV432*EW432</f>
        <v>3456</v>
      </c>
      <c r="FH432" s="227">
        <f>EV432*EV432*EW432</f>
        <v>1728</v>
      </c>
      <c r="FI432" s="244">
        <f t="shared" si="4601"/>
        <v>7488</v>
      </c>
      <c r="FJ432" s="225">
        <f t="shared" si="4602"/>
        <v>3.6923076923076925</v>
      </c>
      <c r="FK432" s="226">
        <f t="shared" si="4603"/>
        <v>11.076923076923077</v>
      </c>
      <c r="FL432" s="245">
        <f t="shared" si="4604"/>
        <v>8.3076923076923084</v>
      </c>
      <c r="FM432" s="245">
        <f t="shared" si="4605"/>
        <v>23.07692307692308</v>
      </c>
      <c r="FN432" s="252">
        <f t="shared" si="4606"/>
        <v>0</v>
      </c>
      <c r="FO432" s="309">
        <f t="shared" si="4607"/>
        <v>23.07692307692308</v>
      </c>
      <c r="FP432" s="246">
        <f>IF(FM432&lt;=0,2,0)+IF(FM432&gt;0,FM432+1,0)*2+IF(FM432&gt;12,FM432-12,0)*2+IF(FM432&gt;13,FM432-13,0)*2+IF(FM432&gt;14,FM432-14,0)*2+IF(FM432&gt;15,FM432-15,0)*2+IF(FM432&gt;16,FM432-16,0)*2+IF(FM432&gt;17,FM432-17,0)*2+IF(FM432&gt;18,FM432-18,0)*2+IF(FM432&gt;19,FM432-19,0)*2+IF(FM432&gt;20,FM432-20,0)*2</f>
        <v>175.5384615384616</v>
      </c>
      <c r="FQ432" s="244">
        <f>IF(FN432&lt;=0,2,0)+IF(FN432&gt;0,FN432+1,0)*2+IF(FN432&gt;12,FN432-12,0)*2+IF(FN432&gt;13,FN432-13,0)*2+IF(FN432&gt;14,FN432-14,0)*2+IF(FN432&gt;15,FN432-15,0)*2+IF(FN432&gt;16,FN432-16,0)*2+IF(FN432&gt;17,FN432-17,0)*2+IF(FN432&gt;18,FN432-18,0)*2+IF(FN432&gt;19,FN432-19,0)*2+IF(FN432&gt;20,FN432-20,0)*2</f>
        <v>2</v>
      </c>
      <c r="FR432" s="245">
        <f t="shared" si="4608"/>
        <v>173.5384615384616</v>
      </c>
      <c r="FS432" s="246">
        <f t="shared" si="4609"/>
        <v>0</v>
      </c>
      <c r="FU432" s="326" t="s">
        <v>268</v>
      </c>
      <c r="FV432" s="246" t="s">
        <v>94</v>
      </c>
      <c r="FW432" s="226" t="s">
        <v>132</v>
      </c>
      <c r="FX432" s="238"/>
      <c r="FY432" s="235">
        <f>Konvention_1slave-KLslave</f>
        <v>12</v>
      </c>
      <c r="FZ432" s="235">
        <f t="shared" si="4649"/>
        <v>12</v>
      </c>
      <c r="GA432" s="235"/>
      <c r="GB432" s="235"/>
      <c r="GC432" s="235"/>
      <c r="GD432" s="235"/>
      <c r="GE432" s="227"/>
      <c r="GF432" s="226">
        <f>(FY432+FY432+FZ432)/3</f>
        <v>12</v>
      </c>
      <c r="GG432" s="226">
        <f t="shared" si="4610"/>
        <v>24</v>
      </c>
      <c r="GH432" s="235">
        <f t="shared" si="4611"/>
        <v>36</v>
      </c>
      <c r="GI432" s="238">
        <f>FY432*POWER(INslave,SIGN(FZ432))*POWER(KLslave,SIGN(FY432))+FY432*POWER(INslave,SIGN(FZ432))*POWER(KLslave,SIGN(FY432))+FZ432*POWER(KLslave,SIGN(FY432))*POWER(KLslave,SIGN(FY432))</f>
        <v>2304</v>
      </c>
      <c r="GJ432" s="235">
        <f>FY432*FY432*INslave+FY432*KLslave*FZ432+KLslave*FY432*FZ432</f>
        <v>3456</v>
      </c>
      <c r="GK432" s="227">
        <f>FY432*FY432*FZ432</f>
        <v>1728</v>
      </c>
      <c r="GL432" s="244">
        <f t="shared" si="4612"/>
        <v>7488</v>
      </c>
      <c r="GM432" s="225">
        <f t="shared" si="4613"/>
        <v>3.6923076923076925</v>
      </c>
      <c r="GN432" s="226">
        <f t="shared" si="4614"/>
        <v>11.076923076923077</v>
      </c>
      <c r="GO432" s="245">
        <f t="shared" si="4615"/>
        <v>8.3076923076923084</v>
      </c>
      <c r="GP432" s="245">
        <f t="shared" si="4616"/>
        <v>23.07692307692308</v>
      </c>
      <c r="GQ432" s="252">
        <f t="shared" si="4617"/>
        <v>0</v>
      </c>
      <c r="GR432" s="309">
        <f t="shared" si="4618"/>
        <v>23.07692307692308</v>
      </c>
      <c r="GS432" s="246">
        <f>IF(GP432&lt;=0,2,0)+IF(GP432&gt;0,GP432+1,0)*2+IF(GP432&gt;12,GP432-12,0)*2+IF(GP432&gt;13,GP432-13,0)*2+IF(GP432&gt;14,GP432-14,0)*2+IF(GP432&gt;15,GP432-15,0)*2+IF(GP432&gt;16,GP432-16,0)*2+IF(GP432&gt;17,GP432-17,0)*2+IF(GP432&gt;18,GP432-18,0)*2+IF(GP432&gt;19,GP432-19,0)*2+IF(GP432&gt;20,GP432-20,0)*2</f>
        <v>175.5384615384616</v>
      </c>
      <c r="GT432" s="244">
        <f>IF(GQ432&lt;=0,2,0)+IF(GQ432&gt;0,GQ432+1,0)*2+IF(GQ432&gt;12,GQ432-12,0)*2+IF(GQ432&gt;13,GQ432-13,0)*2+IF(GQ432&gt;14,GQ432-14,0)*2+IF(GQ432&gt;15,GQ432-15,0)*2+IF(GQ432&gt;16,GQ432-16,0)*2+IF(GQ432&gt;17,GQ432-17,0)*2+IF(GQ432&gt;18,GQ432-18,0)*2+IF(GQ432&gt;19,GQ432-19,0)*2+IF(GQ432&gt;20,GQ432-20,0)*2</f>
        <v>2</v>
      </c>
      <c r="GU432" s="245">
        <f t="shared" si="4619"/>
        <v>173.5384615384616</v>
      </c>
      <c r="GV432" s="246">
        <f t="shared" si="4620"/>
        <v>0</v>
      </c>
      <c r="GX432" s="326" t="s">
        <v>268</v>
      </c>
      <c r="GY432" s="246" t="s">
        <v>94</v>
      </c>
      <c r="GZ432" s="226" t="s">
        <v>132</v>
      </c>
      <c r="HA432" s="238"/>
      <c r="HB432" s="235">
        <f>Konvention_1slave-KLslave</f>
        <v>12</v>
      </c>
      <c r="HC432" s="235">
        <f t="shared" si="4650"/>
        <v>12</v>
      </c>
      <c r="HD432" s="235"/>
      <c r="HE432" s="235"/>
      <c r="HF432" s="235"/>
      <c r="HG432" s="235"/>
      <c r="HH432" s="227"/>
      <c r="HI432" s="226">
        <f>(HB432+HB432+HC432)/3</f>
        <v>12</v>
      </c>
      <c r="HJ432" s="226">
        <f t="shared" si="4621"/>
        <v>24</v>
      </c>
      <c r="HK432" s="235">
        <f t="shared" si="4622"/>
        <v>36</v>
      </c>
      <c r="HL432" s="238">
        <f>HB432*POWER(INslave,SIGN(HC432))*POWER(KLslave,SIGN(HB432))+HB432*POWER(INslave,SIGN(HC432))*POWER(KLslave,SIGN(HB432))+HC432*POWER(KLslave,SIGN(HB432))*POWER(KLslave,SIGN(HB432))</f>
        <v>2304</v>
      </c>
      <c r="HM432" s="235">
        <f>HB432*HB432*INslave+HB432*KLslave*HC432+KLslave*HB432*HC432</f>
        <v>3456</v>
      </c>
      <c r="HN432" s="227">
        <f>HB432*HB432*HC432</f>
        <v>1728</v>
      </c>
      <c r="HO432" s="244">
        <f t="shared" si="4623"/>
        <v>7488</v>
      </c>
      <c r="HP432" s="225">
        <f t="shared" si="4624"/>
        <v>3.6923076923076925</v>
      </c>
      <c r="HQ432" s="226">
        <f t="shared" si="4625"/>
        <v>11.076923076923077</v>
      </c>
      <c r="HR432" s="245">
        <f t="shared" si="4626"/>
        <v>8.3076923076923084</v>
      </c>
      <c r="HS432" s="245">
        <f t="shared" si="4627"/>
        <v>23.07692307692308</v>
      </c>
      <c r="HT432" s="252">
        <f t="shared" si="4628"/>
        <v>0</v>
      </c>
      <c r="HU432" s="309">
        <f t="shared" si="4629"/>
        <v>23.07692307692308</v>
      </c>
      <c r="HV432" s="246">
        <f>IF(HS432&lt;=0,2,0)+IF(HS432&gt;0,HS432+1,0)*2+IF(HS432&gt;12,HS432-12,0)*2+IF(HS432&gt;13,HS432-13,0)*2+IF(HS432&gt;14,HS432-14,0)*2+IF(HS432&gt;15,HS432-15,0)*2+IF(HS432&gt;16,HS432-16,0)*2+IF(HS432&gt;17,HS432-17,0)*2+IF(HS432&gt;18,HS432-18,0)*2+IF(HS432&gt;19,HS432-19,0)*2+IF(HS432&gt;20,HS432-20,0)*2</f>
        <v>175.5384615384616</v>
      </c>
      <c r="HW432" s="244">
        <f>IF(HT432&lt;=0,2,0)+IF(HT432&gt;0,HT432+1,0)*2+IF(HT432&gt;12,HT432-12,0)*2+IF(HT432&gt;13,HT432-13,0)*2+IF(HT432&gt;14,HT432-14,0)*2+IF(HT432&gt;15,HT432-15,0)*2+IF(HT432&gt;16,HT432-16,0)*2+IF(HT432&gt;17,HT432-17,0)*2+IF(HT432&gt;18,HT432-18,0)*2+IF(HT432&gt;19,HT432-19,0)*2+IF(HT432&gt;20,HT432-20,0)*2</f>
        <v>2</v>
      </c>
      <c r="HX432" s="245">
        <f t="shared" si="4630"/>
        <v>173.5384615384616</v>
      </c>
      <c r="HY432" s="246">
        <f t="shared" si="4631"/>
        <v>0</v>
      </c>
      <c r="IA432" s="326" t="s">
        <v>268</v>
      </c>
      <c r="IB432" s="246" t="s">
        <v>94</v>
      </c>
      <c r="IC432" s="226" t="s">
        <v>132</v>
      </c>
      <c r="ID432" s="238"/>
      <c r="IE432" s="235">
        <f>Konvention_1slave-KLslave</f>
        <v>12</v>
      </c>
      <c r="IF432" s="235">
        <f t="shared" si="4651"/>
        <v>12</v>
      </c>
      <c r="IG432" s="235"/>
      <c r="IH432" s="235"/>
      <c r="II432" s="235"/>
      <c r="IJ432" s="235"/>
      <c r="IK432" s="227"/>
      <c r="IL432" s="226">
        <f>(IE432+IE432+IF432)/3</f>
        <v>12</v>
      </c>
      <c r="IM432" s="226">
        <f t="shared" si="4632"/>
        <v>24</v>
      </c>
      <c r="IN432" s="235">
        <f t="shared" si="4633"/>
        <v>36</v>
      </c>
      <c r="IO432" s="238">
        <f>IE432*POWER(INslave,SIGN(IF432))*POWER(KLslave,SIGN(IE432))+IE432*POWER(INslave,SIGN(IF432))*POWER(KLslave,SIGN(IE432))+IF432*POWER(KLslave,SIGN(IE432))*POWER(KLslave,SIGN(IE432))</f>
        <v>2304</v>
      </c>
      <c r="IP432" s="235">
        <f>IE432*IE432*INslave+IE432*KLslave*IF432+KLslave*IE432*IF432</f>
        <v>3456</v>
      </c>
      <c r="IQ432" s="227">
        <f>IE432*IE432*IF432</f>
        <v>1728</v>
      </c>
      <c r="IR432" s="244">
        <f t="shared" si="4634"/>
        <v>7488</v>
      </c>
      <c r="IS432" s="225">
        <f t="shared" si="4635"/>
        <v>3.6923076923076925</v>
      </c>
      <c r="IT432" s="226">
        <f t="shared" si="4636"/>
        <v>11.076923076923077</v>
      </c>
      <c r="IU432" s="245">
        <f t="shared" si="4637"/>
        <v>8.3076923076923084</v>
      </c>
      <c r="IV432" s="245">
        <f t="shared" si="4638"/>
        <v>23.07692307692308</v>
      </c>
      <c r="IW432" s="252">
        <f t="shared" si="4639"/>
        <v>0</v>
      </c>
      <c r="IX432" s="309">
        <f t="shared" si="4640"/>
        <v>23.07692307692308</v>
      </c>
      <c r="IY432" s="246">
        <f>IF(IV432&lt;=0,2,0)+IF(IV432&gt;0,IV432+1,0)*2+IF(IV432&gt;12,IV432-12,0)*2+IF(IV432&gt;13,IV432-13,0)*2+IF(IV432&gt;14,IV432-14,0)*2+IF(IV432&gt;15,IV432-15,0)*2+IF(IV432&gt;16,IV432-16,0)*2+IF(IV432&gt;17,IV432-17,0)*2+IF(IV432&gt;18,IV432-18,0)*2+IF(IV432&gt;19,IV432-19,0)*2+IF(IV432&gt;20,IV432-20,0)*2</f>
        <v>175.5384615384616</v>
      </c>
      <c r="IZ432" s="244">
        <f>IF(IW432&lt;=0,2,0)+IF(IW432&gt;0,IW432+1,0)*2+IF(IW432&gt;12,IW432-12,0)*2+IF(IW432&gt;13,IW432-13,0)*2+IF(IW432&gt;14,IW432-14,0)*2+IF(IW432&gt;15,IW432-15,0)*2+IF(IW432&gt;16,IW432-16,0)*2+IF(IW432&gt;17,IW432-17,0)*2+IF(IW432&gt;18,IW432-18,0)*2+IF(IW432&gt;19,IW432-19,0)*2+IF(IW432&gt;20,IW432-20,0)*2</f>
        <v>2</v>
      </c>
      <c r="JA432" s="245">
        <f t="shared" si="4641"/>
        <v>173.5384615384616</v>
      </c>
      <c r="JB432" s="246">
        <f t="shared" si="4642"/>
        <v>0</v>
      </c>
      <c r="JE432" s="148"/>
    </row>
    <row r="433" spans="1:265" ht="15" hidden="1" customHeight="1" outlineLevel="1" collapsed="1">
      <c r="B433" s="134" t="s">
        <v>322</v>
      </c>
      <c r="C433" s="307" t="s">
        <v>281</v>
      </c>
      <c r="D433" s="84" t="s">
        <v>279</v>
      </c>
      <c r="E433" s="84" t="s">
        <v>280</v>
      </c>
      <c r="Y433" s="251"/>
      <c r="Z433" s="197"/>
      <c r="AF433" s="83" t="s">
        <v>281</v>
      </c>
      <c r="AG433" s="84" t="s">
        <v>279</v>
      </c>
      <c r="AH433" s="84" t="s">
        <v>280</v>
      </c>
      <c r="BB433" s="197"/>
      <c r="BC433" s="197"/>
      <c r="BI433" s="307" t="s">
        <v>281</v>
      </c>
      <c r="BJ433" s="308" t="s">
        <v>279</v>
      </c>
      <c r="BK433" s="308" t="s">
        <v>280</v>
      </c>
      <c r="CE433" s="251"/>
      <c r="CF433" s="251"/>
      <c r="CL433" s="307" t="s">
        <v>281</v>
      </c>
      <c r="CM433" s="308" t="s">
        <v>279</v>
      </c>
      <c r="CN433" s="308" t="s">
        <v>280</v>
      </c>
      <c r="DH433" s="251"/>
      <c r="DI433" s="251"/>
      <c r="DO433" s="307" t="s">
        <v>281</v>
      </c>
      <c r="DP433" s="308" t="s">
        <v>279</v>
      </c>
      <c r="DQ433" s="308" t="s">
        <v>280</v>
      </c>
      <c r="EK433" s="251"/>
      <c r="EL433" s="251"/>
      <c r="ER433" s="307" t="s">
        <v>281</v>
      </c>
      <c r="ES433" s="308" t="s">
        <v>279</v>
      </c>
      <c r="ET433" s="308" t="s">
        <v>280</v>
      </c>
      <c r="FN433" s="251"/>
      <c r="FO433" s="251"/>
      <c r="FU433" s="307" t="s">
        <v>281</v>
      </c>
      <c r="FV433" s="308" t="s">
        <v>279</v>
      </c>
      <c r="FW433" s="308" t="s">
        <v>280</v>
      </c>
      <c r="GQ433" s="251"/>
      <c r="GR433" s="251"/>
      <c r="GX433" s="307" t="s">
        <v>281</v>
      </c>
      <c r="GY433" s="308" t="s">
        <v>279</v>
      </c>
      <c r="GZ433" s="308" t="s">
        <v>280</v>
      </c>
      <c r="HT433" s="251"/>
      <c r="HU433" s="251"/>
      <c r="IA433" s="307" t="s">
        <v>281</v>
      </c>
      <c r="IB433" s="308" t="s">
        <v>279</v>
      </c>
      <c r="IC433" s="308" t="s">
        <v>280</v>
      </c>
      <c r="IW433" s="251"/>
      <c r="IX433" s="251"/>
      <c r="JE433" s="148"/>
    </row>
    <row r="434" spans="1:265" ht="15" hidden="1" customHeight="1" outlineLevel="2">
      <c r="B434" s="148">
        <v>1</v>
      </c>
      <c r="C434" s="323" t="e">
        <f>VLOOKUP(AF434,Attribute!C:T,1,FALSE)</f>
        <v>#N/A</v>
      </c>
      <c r="D434" s="158" t="s">
        <v>84</v>
      </c>
      <c r="E434" s="116" t="s">
        <v>133</v>
      </c>
      <c r="F434" s="191">
        <f>Konvention_1master-MUmaster</f>
        <v>12</v>
      </c>
      <c r="G434" s="118">
        <f>Konvention_1master-KLmaster</f>
        <v>12</v>
      </c>
      <c r="H434" s="118"/>
      <c r="I434" s="118">
        <f>Konvention_1master-CHmaster</f>
        <v>12</v>
      </c>
      <c r="J434" s="118"/>
      <c r="K434" s="118"/>
      <c r="L434" s="118"/>
      <c r="M434" s="92"/>
      <c r="N434" s="220">
        <f>(F434+G434+H434+I434+J434+K434+L434+M434)/3</f>
        <v>12</v>
      </c>
      <c r="O434" s="220">
        <f t="shared" ref="O434:O439" si="4652">2*N434</f>
        <v>24</v>
      </c>
      <c r="P434" s="233">
        <f t="shared" ref="P434:P439" si="4653">3*N434</f>
        <v>36</v>
      </c>
      <c r="Q434" s="236">
        <f>F434*POWER(KLmaster,SIGN(G434))*POWER(INmaster,SIGN(H434))*POWER(CHmaster,SIGN(I434))*POWER(FFmaster,SIGN(J434))*POWER(GEmaster,SIGN(K434))*POWER(KOmaster,SIGN(L434))*POWER(KKmaster,SIGN(M434))+G434*POWER(MUmaster,SIGN(F434))*POWER(INmaster,SIGN(H434))*POWER(CHmaster,SIGN(I434))*POWER(FFmaster,SIGN(J434))*POWER(GEmaster,SIGN(K434))*POWER(KOmaster,SIGN(L434))*POWER(KKmaster,SIGN(M434))+H434*POWER(MUmaster,SIGN(F434))*POWER(KLmaster,SIGN(G434))*POWER(CHmaster,SIGN(I434))*POWER(FFmaster,SIGN(J434))*POWER(GEmaster,SIGN(K434))*POWER(KOmaster,SIGN(L434))*POWER(KKmaster,SIGN(M434))+I434*POWER(MUmaster,SIGN(F434))*POWER(KLmaster,SIGN(G434))*POWER(INmaster,SIGN(H434))*POWER(FFmaster,SIGN(J434))*POWER(GEmaster,SIGN(K434))*POWER(KOmaster,SIGN(L434))*POWER(KKmaster,SIGN(M434))+J434*POWER(MUmaster,SIGN(F434))*POWER(KLmaster,SIGN(G434))*POWER(INmaster,SIGN(H434))*POWER(CHmaster,SIGN(I434))*POWER(GEmaster,SIGN(K434))*POWER(KOmaster,SIGN(L434))*POWER(KKmaster,SIGN(M434))+K434*POWER(MUmaster,SIGN(F434))*POWER(KLmaster,SIGN(G434))*POWER(INmaster,SIGN(H434))*POWER(CHmaster,SIGN(I434))*POWER(FFmaster,SIGN(J434))*POWER(KOmaster,SIGN(L434))*POWER(KKmaster,SIGN(M434))+L434*POWER(MUmaster,SIGN(F434))*POWER(KLmaster,SIGN(G434))*POWER(INmaster,SIGN(H434))*POWER(CHmaster,SIGN(I434))*POWER(FFmaster,SIGN(J434))*POWER(GEmaster,SIGN(K434))*POWER(KKmaster,SIGN(M434))+M434*POWER(MUmaster,SIGN(F434))*POWER(KLmaster,SIGN(G434))*POWER(INmaster,SIGN(H434))*POWER(CHmaster,SIGN(I434))*POWER(FFmaster,SIGN(J434))*POWER(GEmaster,SIGN(K434))*POWER(KOmaster,SIGN(L434))</f>
        <v>2304</v>
      </c>
      <c r="R434" s="118">
        <f>F434*G434*CHmaster+F434*KLmaster*I434+MUmaster*G434*I434</f>
        <v>3456</v>
      </c>
      <c r="S434" s="221">
        <f>IFERROR(F434^SIGN(F434),1)*IFERROR(G434^SIGN(G434),1)*IFERROR(H434^SIGN(H434),1)*IFERROR(I434^SIGN(I434),1)*IFERROR(J434^SIGN(J434),1)*IFERROR(K434^SIGN(K434),1)*IFERROR(L434^SIGN(L434),1)*IFERROR(M434^SIGN(M434),1)</f>
        <v>1728</v>
      </c>
      <c r="T434" s="78">
        <f t="shared" ref="T434:T439" si="4654">SUM(Q434:S434)</f>
        <v>7488</v>
      </c>
      <c r="U434" s="219">
        <f t="shared" ref="U434:U439" si="4655">N434*Q434/T434</f>
        <v>3.6923076923076925</v>
      </c>
      <c r="V434" s="220">
        <f t="shared" ref="V434:V439" si="4656">O434*R434/T434</f>
        <v>11.076923076923077</v>
      </c>
      <c r="W434" s="241">
        <f t="shared" ref="W434:W439" si="4657">P434*S434/T434</f>
        <v>8.3076923076923084</v>
      </c>
      <c r="X434" s="241">
        <f t="shared" ref="X434:X439" si="4658">SUM(U434:W434)</f>
        <v>23.07692307692308</v>
      </c>
      <c r="Y434" s="252">
        <v>0</v>
      </c>
      <c r="Z434" s="198">
        <f t="shared" ref="Z434:Z439" si="4659">X434-Y434</f>
        <v>23.07692307692308</v>
      </c>
      <c r="AA434" s="158">
        <f>IF(X434&lt;=0,1,0)+IF(X434&gt;0,X434+1,0)*1+IF(X434&gt;12,X434-12,0)*1+IF(X434&gt;13,X434-13,0)*1+IF(X434&gt;14,X434-14,0)*1+IF(X434&gt;15,X434-15,0)*1+IF(X434&gt;16,X434-16,0)*1+IF(X434&gt;17,X434-17,0)*1+IF(X434&gt;18,X434-18,0)*1+IF(X434&gt;19,X434-19,0)*1+IF(X434&gt;20,X434-20,0)*1</f>
        <v>87.769230769230802</v>
      </c>
      <c r="AB434" s="91">
        <f>IF(Y434&lt;=0,1,0)+IF(Y434&gt;0,Y434+1,0)*1+IF(Y434&gt;12,Y434-12,0)*1+IF(Y434&gt;13,Y434-13,0)*1+IF(Y434&gt;14,Y434-14,0)*1+IF(Y434&gt;15,Y434-15,0)*1+IF(Y434&gt;16,Y434-16,0)*1+IF(Y434&gt;17,Y434-17,0)*1+IF(Y434&gt;18,Y434-18,0)*1+IF(Y434&gt;19,Y434-19,0)*1+IF(Y434&gt;20,Y434-20,0)*1</f>
        <v>1</v>
      </c>
      <c r="AC434" s="126">
        <f t="shared" ref="AC434:AC439" si="4660">IF((AA434-AB434)&gt;0,AA434-AB434,0)</f>
        <v>86.769230769230802</v>
      </c>
      <c r="AD434" s="158">
        <f t="shared" ref="AD434:AD439" si="4661">IF((AB434-AA434)&gt;0,AB434-AA434,0)</f>
        <v>0</v>
      </c>
      <c r="AF434" s="176" t="s">
        <v>235</v>
      </c>
      <c r="AG434" s="158" t="s">
        <v>84</v>
      </c>
      <c r="AH434" s="116" t="s">
        <v>133</v>
      </c>
      <c r="AI434" s="191">
        <f>Konvention_1slave-MUslave_MU</f>
        <v>11</v>
      </c>
      <c r="AJ434" s="118">
        <f>Konvention_1slave-KLslave</f>
        <v>12</v>
      </c>
      <c r="AK434" s="118"/>
      <c r="AL434" s="118">
        <f>Konvention_1slave-CHslave</f>
        <v>12</v>
      </c>
      <c r="AM434" s="118"/>
      <c r="AN434" s="118"/>
      <c r="AO434" s="118"/>
      <c r="AP434" s="92"/>
      <c r="AQ434" s="116">
        <f>(AI434+AJ434+AK434+AL434+AM434+AN434+AO434+AP434)/3</f>
        <v>11.666666666666666</v>
      </c>
      <c r="AR434" s="116">
        <f t="shared" ref="AR434:AR439" si="4662">2*AQ434</f>
        <v>23.333333333333332</v>
      </c>
      <c r="AS434" s="118">
        <f t="shared" ref="AS434:AS439" si="4663">3*AQ434</f>
        <v>35</v>
      </c>
      <c r="AT434" s="191">
        <f>AI434*POWER(KLslave,SIGN(AJ434))*POWER(INslave,SIGN(AK434))*POWER(CHslave,SIGN(AL434))*POWER(FFslave,SIGN(AM434))*POWER(GEslave,SIGN(AN434))*POWER(KOslave,SIGN(AO434))*POWER(KKslave,SIGN(AP434))+AJ434*POWER(MUslave_MU,SIGN(AI434))*POWER(INslave,SIGN(AK434))*POWER(CHslave,SIGN(AL434))*POWER(FFslave,SIGN(AM434))*POWER(GEslave,SIGN(AN434))*POWER(KOslave,SIGN(AO434))*POWER(KKslave,SIGN(AP434))+AK434*POWER(MUslave_MU,SIGN(AI434))*POWER(KLslave,SIGN(AJ434))*POWER(CHslave,SIGN(AL434))*POWER(FFslave,SIGN(AM434))*POWER(GEslave,SIGN(AN434))*POWER(KOslave,SIGN(AO434))*POWER(KKslave,SIGN(AP434))+AL434*POWER(MUslave_MU,SIGN(AI434))*POWER(KLslave,SIGN(AJ434))*POWER(INslave,SIGN(AK434))*POWER(FFslave,SIGN(AM434))*POWER(GEslave,SIGN(AN434))*POWER(KOslave,SIGN(AO434))*POWER(KKslave,SIGN(AP434))+AM434*POWER(MUslave_MU,SIGN(AI434))*POWER(KLslave,SIGN(AJ434))*POWER(INslave,SIGN(AK434))*POWER(CHslave,SIGN(AL434))*POWER(GEslave,SIGN(AN434))*POWER(KOslave,SIGN(AO434))*POWER(KKslave,SIGN(AP434))+AN434*POWER(MUslave_MU,SIGN(AI434))*POWER(KLslave,SIGN(AJ434))*POWER(INslave,SIGN(AK434))*POWER(CHslave,SIGN(AL434))*POWER(FFslave,SIGN(AM434))*POWER(KOslave,SIGN(AO434))*POWER(KKslave,SIGN(AP434))+AO434*POWER(MUslave_MU,SIGN(AI434))*POWER(KLslave,SIGN(AJ434))*POWER(INslave,SIGN(AK434))*POWER(CHslave,SIGN(AL434))*POWER(FFslave,SIGN(AM434))*POWER(GEslave,SIGN(AN434))*POWER(KKslave,SIGN(AP434))+AP434*POWER(MUslave_MU,SIGN(AI434))*POWER(KLslave,SIGN(AJ434))*POWER(INslave,SIGN(AK434))*POWER(CHslave,SIGN(AL434))*POWER(FFslave,SIGN(AM434))*POWER(GEslave,SIGN(AN434))*POWER(KOslave,SIGN(AO434))</f>
        <v>2432</v>
      </c>
      <c r="AU434" s="118">
        <f>AI434*AJ434*CHslave+AI434*KLslave*AL434+MUslave_MU*AJ434*AL434</f>
        <v>3408</v>
      </c>
      <c r="AV434" s="92">
        <f>IFERROR(AI434^SIGN(AI434),1)*IFERROR(AJ434^SIGN(AJ434),1)*IFERROR(AK434^SIGN(AK434),1)*IFERROR(AL434^SIGN(AL434),1)*IFERROR(AM434^SIGN(AM434),1)*IFERROR(AN434^SIGN(AN434),1)*IFERROR(AO434^SIGN(AO434),1)*IFERROR(AP434^SIGN(AP434),1)</f>
        <v>1584</v>
      </c>
      <c r="AW434" s="91">
        <f t="shared" ref="AW434:AW439" si="4664">SUM(AT434:AV434)</f>
        <v>7424</v>
      </c>
      <c r="AX434" s="193">
        <f t="shared" ref="AX434:AX439" si="4665">AQ434*AT434/AW434</f>
        <v>3.8218390804597702</v>
      </c>
      <c r="AY434" s="116">
        <f t="shared" ref="AY434:AY439" si="4666">AR434*AU434/AW434</f>
        <v>10.711206896551724</v>
      </c>
      <c r="AZ434" s="126">
        <f t="shared" ref="AZ434:AZ439" si="4667">AS434*AV434/AW434</f>
        <v>7.4676724137931032</v>
      </c>
      <c r="BA434" s="126">
        <f t="shared" ref="BA434:BA439" si="4668">SUM(AX434:AZ434)</f>
        <v>22.000718390804597</v>
      </c>
      <c r="BB434" s="165">
        <f t="shared" ref="BB434:BB439" si="4669">Y434</f>
        <v>0</v>
      </c>
      <c r="BC434" s="198">
        <f t="shared" ref="BC434:BC439" si="4670">BA434-BB434</f>
        <v>22.000718390804597</v>
      </c>
      <c r="BD434" s="158">
        <f>IF(BA434&lt;=0,1,0)+IF(BA434&gt;0,BA434+1,0)*1+IF(BA434&gt;12,BA434-12,0)*1+IF(BA434&gt;13,BA434-13,0)*1+IF(BA434&gt;14,BA434-14,0)*1+IF(BA434&gt;15,BA434-15,0)*1+IF(BA434&gt;16,BA434-16,0)*1+IF(BA434&gt;17,BA434-17,0)*1+IF(BA434&gt;18,BA434-18,0)*1+IF(BA434&gt;19,BA434-19,0)*1+IF(BA434&gt;20,BA434-20,0)*1</f>
        <v>77.007183908045945</v>
      </c>
      <c r="BE434" s="91">
        <f>IF(BB434&lt;=0,1,0)+IF(BB434&gt;0,BB434+1,0)*1+IF(BB434&gt;12,BB434-12,0)*1+IF(BB434&gt;13,BB434-13,0)*1+IF(BB434&gt;14,BB434-14,0)*1+IF(BB434&gt;15,BB434-15,0)*1+IF(BB434&gt;16,BB434-16,0)*1+IF(BB434&gt;17,BB434-17,0)*1+IF(BB434&gt;18,BB434-18,0)*1+IF(BB434&gt;19,BB434-19,0)*1+IF(BB434&gt;20,BB434-20,0)*1</f>
        <v>1</v>
      </c>
      <c r="BF434" s="241">
        <f t="shared" ref="BF434:BF439" si="4671">IF((BD434-BE434)&gt;0,BD434-BE434,0)</f>
        <v>76.007183908045945</v>
      </c>
      <c r="BG434" s="42">
        <f t="shared" ref="BG434:BG439" si="4672">IF((BE434-BD434)&gt;0,BE434-BD434,0)</f>
        <v>0</v>
      </c>
      <c r="BI434" s="323" t="s">
        <v>235</v>
      </c>
      <c r="BJ434" s="42" t="s">
        <v>84</v>
      </c>
      <c r="BK434" s="220" t="s">
        <v>133</v>
      </c>
      <c r="BL434" s="236">
        <f>Konvention_1slave-MUslave</f>
        <v>12</v>
      </c>
      <c r="BM434" s="233">
        <f>Konvention_1slave-KLslave_KL</f>
        <v>11</v>
      </c>
      <c r="BN434" s="233"/>
      <c r="BO434" s="233">
        <f>Konvention_1slave-CHslave</f>
        <v>12</v>
      </c>
      <c r="BP434" s="233"/>
      <c r="BQ434" s="233"/>
      <c r="BR434" s="233"/>
      <c r="BS434" s="221"/>
      <c r="BT434" s="220">
        <f>(BL434+BM434+BN434+BO434+BP434+BQ434+BR434+BS434)/3</f>
        <v>11.666666666666666</v>
      </c>
      <c r="BU434" s="220">
        <f t="shared" ref="BU434:BU439" si="4673">2*BT434</f>
        <v>23.333333333333332</v>
      </c>
      <c r="BV434" s="233">
        <f t="shared" ref="BV434:BV439" si="4674">3*BT434</f>
        <v>35</v>
      </c>
      <c r="BW434" s="236">
        <f>BL434*POWER(KLslave_KL,SIGN(BM434))*POWER(INslave,SIGN(BN434))*POWER(CHslave,SIGN(BO434))*POWER(FFslave,SIGN(BP434))*POWER(GEslave,SIGN(BQ434))*POWER(KOslave,SIGN(BR434))*POWER(KKslave,SIGN(BS434))+BM434*POWER(MUslave,SIGN(BL434))*POWER(INslave,SIGN(BN434))*POWER(CHslave,SIGN(BO434))*POWER(FFslave,SIGN(BP434))*POWER(GEslave,SIGN(BQ434))*POWER(KOslave,SIGN(BR434))*POWER(KKslave,SIGN(BS434))+BN434*POWER(MUslave,SIGN(BL434))*POWER(KLslave_KL,SIGN(BM434))*POWER(CHslave,SIGN(BO434))*POWER(FFslave,SIGN(BP434))*POWER(GEslave,SIGN(BQ434))*POWER(KOslave,SIGN(BR434))*POWER(KKslave,SIGN(BS434))+BO434*POWER(MUslave,SIGN(BL434))*POWER(KLslave_KL,SIGN(BM434))*POWER(INslave,SIGN(BN434))*POWER(FFslave,SIGN(BP434))*POWER(GEslave,SIGN(BQ434))*POWER(KOslave,SIGN(BR434))*POWER(KKslave,SIGN(BS434))+BP434*POWER(MUslave,SIGN(BL434))*POWER(KLslave_KL,SIGN(BM434))*POWER(INslave,SIGN(BN434))*POWER(CHslave,SIGN(BO434))*POWER(GEslave,SIGN(BQ434))*POWER(KOslave,SIGN(BR434))*POWER(KKslave,SIGN(BS434))+BQ434*POWER(MUslave,SIGN(BL434))*POWER(KLslave_KL,SIGN(BM434))*POWER(INslave,SIGN(BN434))*POWER(CHslave,SIGN(BO434))*POWER(FFslave,SIGN(BP434))*POWER(KOslave,SIGN(BR434))*POWER(KKslave,SIGN(BS434))+BR434*POWER(MUslave,SIGN(BL434))*POWER(KLslave_KL,SIGN(BM434))*POWER(INslave,SIGN(BN434))*POWER(CHslave,SIGN(BO434))*POWER(FFslave,SIGN(BP434))*POWER(GEslave,SIGN(BQ434))*POWER(KKslave,SIGN(BS434))+BS434*POWER(MUslave,SIGN(BL434))*POWER(KLslave_KL,SIGN(BM434))*POWER(INslave,SIGN(BN434))*POWER(CHslave,SIGN(BO434))*POWER(FFslave,SIGN(BP434))*POWER(GEslave,SIGN(BQ434))*POWER(KOslave,SIGN(BR434))</f>
        <v>2432</v>
      </c>
      <c r="BX434" s="233">
        <f>BL434*BM434*CHslave+BL434*KLslave_KL*BO434+MUslave*BM434*BO434</f>
        <v>3408</v>
      </c>
      <c r="BY434" s="221">
        <f>IFERROR(BL434^SIGN(BL434),1)*IFERROR(BM434^SIGN(BM434),1)*IFERROR(BN434^SIGN(BN434),1)*IFERROR(BO434^SIGN(BO434),1)*IFERROR(BP434^SIGN(BP434),1)*IFERROR(BQ434^SIGN(BQ434),1)*IFERROR(BR434^SIGN(BR434),1)*IFERROR(BS434^SIGN(BS434),1)</f>
        <v>1584</v>
      </c>
      <c r="BZ434" s="78">
        <f t="shared" ref="BZ434:BZ439" si="4675">SUM(BW434:BY434)</f>
        <v>7424</v>
      </c>
      <c r="CA434" s="219">
        <f t="shared" ref="CA434:CA439" si="4676">BT434*BW434/BZ434</f>
        <v>3.8218390804597702</v>
      </c>
      <c r="CB434" s="220">
        <f t="shared" ref="CB434:CB439" si="4677">BU434*BX434/BZ434</f>
        <v>10.711206896551724</v>
      </c>
      <c r="CC434" s="241">
        <f t="shared" ref="CC434:CC439" si="4678">BV434*BY434/BZ434</f>
        <v>7.4676724137931032</v>
      </c>
      <c r="CD434" s="241">
        <f t="shared" ref="CD434:CD439" si="4679">SUM(CA434:CC434)</f>
        <v>22.000718390804597</v>
      </c>
      <c r="CE434" s="252">
        <f t="shared" ref="CE434:CE439" si="4680">BB434</f>
        <v>0</v>
      </c>
      <c r="CF434" s="309">
        <f t="shared" ref="CF434:CF439" si="4681">CD434-CE434</f>
        <v>22.000718390804597</v>
      </c>
      <c r="CG434" s="42">
        <f>IF(CD434&lt;=0,1,0)+IF(CD434&gt;0,CD434+1,0)*1+IF(CD434&gt;12,CD434-12,0)*1+IF(CD434&gt;13,CD434-13,0)*1+IF(CD434&gt;14,CD434-14,0)*1+IF(CD434&gt;15,CD434-15,0)*1+IF(CD434&gt;16,CD434-16,0)*1+IF(CD434&gt;17,CD434-17,0)*1+IF(CD434&gt;18,CD434-18,0)*1+IF(CD434&gt;19,CD434-19,0)*1+IF(CD434&gt;20,CD434-20,0)*1</f>
        <v>77.007183908045945</v>
      </c>
      <c r="CH434" s="78">
        <f>IF(CE434&lt;=0,1,0)+IF(CE434&gt;0,CE434+1,0)*1+IF(CE434&gt;12,CE434-12,0)*1+IF(CE434&gt;13,CE434-13,0)*1+IF(CE434&gt;14,CE434-14,0)*1+IF(CE434&gt;15,CE434-15,0)*1+IF(CE434&gt;16,CE434-16,0)*1+IF(CE434&gt;17,CE434-17,0)*1+IF(CE434&gt;18,CE434-18,0)*1+IF(CE434&gt;19,CE434-19,0)*1+IF(CE434&gt;20,CE434-20,0)*1</f>
        <v>1</v>
      </c>
      <c r="CI434" s="241">
        <f t="shared" ref="CI434:CI439" si="4682">IF((CG434-CH434)&gt;0,CG434-CH434,0)</f>
        <v>76.007183908045945</v>
      </c>
      <c r="CJ434" s="42">
        <f t="shared" ref="CJ434:CJ439" si="4683">IF((CH434-CG434)&gt;0,CH434-CG434,0)</f>
        <v>0</v>
      </c>
      <c r="CL434" s="323" t="s">
        <v>235</v>
      </c>
      <c r="CM434" s="42" t="s">
        <v>84</v>
      </c>
      <c r="CN434" s="220" t="s">
        <v>133</v>
      </c>
      <c r="CO434" s="236">
        <f>Konvention_1slave-MUslave</f>
        <v>12</v>
      </c>
      <c r="CP434" s="233">
        <f>Konvention_1slave-KLslave</f>
        <v>12</v>
      </c>
      <c r="CQ434" s="233"/>
      <c r="CR434" s="233">
        <f>Konvention_1slave-CHslave</f>
        <v>12</v>
      </c>
      <c r="CS434" s="233"/>
      <c r="CT434" s="233"/>
      <c r="CU434" s="233"/>
      <c r="CV434" s="221"/>
      <c r="CW434" s="220">
        <f>(CO434+CP434+CQ434+CR434+CS434+CT434+CU434+CV434)/3</f>
        <v>12</v>
      </c>
      <c r="CX434" s="220">
        <f t="shared" ref="CX434:CX439" si="4684">2*CW434</f>
        <v>24</v>
      </c>
      <c r="CY434" s="233">
        <f t="shared" ref="CY434:CY439" si="4685">3*CW434</f>
        <v>36</v>
      </c>
      <c r="CZ434" s="236">
        <f>CO434*POWER(KLslave,SIGN(CP434))*POWER(INslave_IN,SIGN(CQ434))*POWER(CHslave,SIGN(CR434))*POWER(FFslave,SIGN(CS434))*POWER(GEslave,SIGN(CT434))*POWER(KOslave,SIGN(CU434))*POWER(KKslave,SIGN(CV434))+CP434*POWER(MUslave,SIGN(CO434))*POWER(INslave_IN,SIGN(CQ434))*POWER(CHslave,SIGN(CR434))*POWER(FFslave,SIGN(CS434))*POWER(GEslave,SIGN(CT434))*POWER(KOslave,SIGN(CU434))*POWER(KKslave,SIGN(CV434))+CQ434*POWER(MUslave,SIGN(CO434))*POWER(KLslave,SIGN(CP434))*POWER(CHslave,SIGN(CR434))*POWER(FFslave,SIGN(CS434))*POWER(GEslave,SIGN(CT434))*POWER(KOslave,SIGN(CU434))*POWER(KKslave,SIGN(CV434))+CR434*POWER(MUslave,SIGN(CO434))*POWER(KLslave,SIGN(CP434))*POWER(INslave_IN,SIGN(CQ434))*POWER(FFslave,SIGN(CS434))*POWER(GEslave,SIGN(CT434))*POWER(KOslave,SIGN(CU434))*POWER(KKslave,SIGN(CV434))+CS434*POWER(MUslave,SIGN(CO434))*POWER(KLslave,SIGN(CP434))*POWER(INslave_IN,SIGN(CQ434))*POWER(CHslave,SIGN(CR434))*POWER(GEslave,SIGN(CT434))*POWER(KOslave,SIGN(CU434))*POWER(KKslave,SIGN(CV434))+CT434*POWER(MUslave,SIGN(CO434))*POWER(KLslave,SIGN(CP434))*POWER(INslave_IN,SIGN(CQ434))*POWER(CHslave,SIGN(CR434))*POWER(FFslave,SIGN(CS434))*POWER(KOslave,SIGN(CU434))*POWER(KKslave,SIGN(CV434))+CU434*POWER(MUslave,SIGN(CO434))*POWER(KLslave,SIGN(CP434))*POWER(INslave_IN,SIGN(CQ434))*POWER(CHslave,SIGN(CR434))*POWER(FFslave,SIGN(CS434))*POWER(GEslave,SIGN(CT434))*POWER(KKslave,SIGN(CV434))+CV434*POWER(MUslave,SIGN(CO434))*POWER(KLslave,SIGN(CP434))*POWER(INslave_IN,SIGN(CQ434))*POWER(CHslave,SIGN(CR434))*POWER(FFslave,SIGN(CS434))*POWER(GEslave,SIGN(CT434))*POWER(KOslave,SIGN(CU434))</f>
        <v>2304</v>
      </c>
      <c r="DA434" s="233">
        <f>CO434*CP434*CHslave+CO434*KLslave*CR434+MUslave*CP434*CR434</f>
        <v>3456</v>
      </c>
      <c r="DB434" s="221">
        <f>IFERROR(CO434^SIGN(CO434),1)*IFERROR(CP434^SIGN(CP434),1)*IFERROR(CQ434^SIGN(CQ434),1)*IFERROR(CR434^SIGN(CR434),1)*IFERROR(CS434^SIGN(CS434),1)*IFERROR(CT434^SIGN(CT434),1)*IFERROR(CU434^SIGN(CU434),1)*IFERROR(CV434^SIGN(CV434),1)</f>
        <v>1728</v>
      </c>
      <c r="DC434" s="78">
        <f t="shared" ref="DC434:DC439" si="4686">SUM(CZ434:DB434)</f>
        <v>7488</v>
      </c>
      <c r="DD434" s="219">
        <f t="shared" ref="DD434:DD439" si="4687">CW434*CZ434/DC434</f>
        <v>3.6923076923076925</v>
      </c>
      <c r="DE434" s="220">
        <f t="shared" ref="DE434:DE439" si="4688">CX434*DA434/DC434</f>
        <v>11.076923076923077</v>
      </c>
      <c r="DF434" s="241">
        <f t="shared" ref="DF434:DF439" si="4689">CY434*DB434/DC434</f>
        <v>8.3076923076923084</v>
      </c>
      <c r="DG434" s="241">
        <f t="shared" ref="DG434:DG439" si="4690">SUM(DD434:DF434)</f>
        <v>23.07692307692308</v>
      </c>
      <c r="DH434" s="252">
        <f t="shared" ref="DH434:DH439" si="4691">CE434</f>
        <v>0</v>
      </c>
      <c r="DI434" s="309">
        <f t="shared" ref="DI434:DI439" si="4692">DG434-DH434</f>
        <v>23.07692307692308</v>
      </c>
      <c r="DJ434" s="42">
        <f>IF(DG434&lt;=0,1,0)+IF(DG434&gt;0,DG434+1,0)*1+IF(DG434&gt;12,DG434-12,0)*1+IF(DG434&gt;13,DG434-13,0)*1+IF(DG434&gt;14,DG434-14,0)*1+IF(DG434&gt;15,DG434-15,0)*1+IF(DG434&gt;16,DG434-16,0)*1+IF(DG434&gt;17,DG434-17,0)*1+IF(DG434&gt;18,DG434-18,0)*1+IF(DG434&gt;19,DG434-19,0)*1+IF(DG434&gt;20,DG434-20,0)*1</f>
        <v>87.769230769230802</v>
      </c>
      <c r="DK434" s="78">
        <f>IF(DH434&lt;=0,1,0)+IF(DH434&gt;0,DH434+1,0)*1+IF(DH434&gt;12,DH434-12,0)*1+IF(DH434&gt;13,DH434-13,0)*1+IF(DH434&gt;14,DH434-14,0)*1+IF(DH434&gt;15,DH434-15,0)*1+IF(DH434&gt;16,DH434-16,0)*1+IF(DH434&gt;17,DH434-17,0)*1+IF(DH434&gt;18,DH434-18,0)*1+IF(DH434&gt;19,DH434-19,0)*1+IF(DH434&gt;20,DH434-20,0)*1</f>
        <v>1</v>
      </c>
      <c r="DL434" s="241">
        <f t="shared" ref="DL434:DL439" si="4693">IF((DJ434-DK434)&gt;0,DJ434-DK434,0)</f>
        <v>86.769230769230802</v>
      </c>
      <c r="DM434" s="42">
        <f t="shared" ref="DM434:DM439" si="4694">IF((DK434-DJ434)&gt;0,DK434-DJ434,0)</f>
        <v>0</v>
      </c>
      <c r="DO434" s="323" t="s">
        <v>235</v>
      </c>
      <c r="DP434" s="42" t="s">
        <v>84</v>
      </c>
      <c r="DQ434" s="220" t="s">
        <v>133</v>
      </c>
      <c r="DR434" s="236">
        <f>Konvention_1slave-MUslave</f>
        <v>12</v>
      </c>
      <c r="DS434" s="233">
        <f>Konvention_1slave-KLslave</f>
        <v>12</v>
      </c>
      <c r="DT434" s="233"/>
      <c r="DU434" s="233">
        <f>Konvention_1slave-CHslave_CH</f>
        <v>11</v>
      </c>
      <c r="DV434" s="233"/>
      <c r="DW434" s="233"/>
      <c r="DX434" s="233"/>
      <c r="DY434" s="221"/>
      <c r="DZ434" s="220">
        <f>(DR434+DS434+DT434+DU434+DV434+DW434+DX434+DY434)/3</f>
        <v>11.666666666666666</v>
      </c>
      <c r="EA434" s="220">
        <f t="shared" ref="EA434:EA439" si="4695">2*DZ434</f>
        <v>23.333333333333332</v>
      </c>
      <c r="EB434" s="233">
        <f t="shared" ref="EB434:EB439" si="4696">3*DZ434</f>
        <v>35</v>
      </c>
      <c r="EC434" s="236">
        <f>DR434*POWER(KLslave,SIGN(DS434))*POWER(INslave,SIGN(DT434))*POWER(CHslave_CH,SIGN(DU434))*POWER(FFslave,SIGN(DV434))*POWER(GEslave,SIGN(DW434))*POWER(KOslave,SIGN(DX434))*POWER(KKslave,SIGN(DY434))+DS434*POWER(MUslave,SIGN(DR434))*POWER(INslave,SIGN(DT434))*POWER(CHslave_CH,SIGN(DU434))*POWER(FFslave,SIGN(DV434))*POWER(GEslave,SIGN(DW434))*POWER(KOslave,SIGN(DX434))*POWER(KKslave,SIGN(DY434))+DT434*POWER(MUslave,SIGN(DR434))*POWER(KLslave,SIGN(DS434))*POWER(CHslave_CH,SIGN(DU434))*POWER(FFslave,SIGN(DV434))*POWER(GEslave,SIGN(DW434))*POWER(KOslave,SIGN(DX434))*POWER(KKslave,SIGN(DY434))+DU434*POWER(MUslave,SIGN(DR434))*POWER(KLslave,SIGN(DS434))*POWER(INslave,SIGN(DT434))*POWER(FFslave,SIGN(DV434))*POWER(GEslave,SIGN(DW434))*POWER(KOslave,SIGN(DX434))*POWER(KKslave,SIGN(DY434))+DV434*POWER(MUslave,SIGN(DR434))*POWER(KLslave,SIGN(DS434))*POWER(INslave,SIGN(DT434))*POWER(CHslave_CH,SIGN(DU434))*POWER(GEslave,SIGN(DW434))*POWER(KOslave,SIGN(DX434))*POWER(KKslave,SIGN(DY434))+DW434*POWER(MUslave,SIGN(DR434))*POWER(KLslave,SIGN(DS434))*POWER(INslave,SIGN(DT434))*POWER(CHslave_CH,SIGN(DU434))*POWER(FFslave,SIGN(DV434))*POWER(KOslave,SIGN(DX434))*POWER(KKslave,SIGN(DY434))+DX434*POWER(MUslave,SIGN(DR434))*POWER(KLslave,SIGN(DS434))*POWER(INslave,SIGN(DT434))*POWER(CHslave_CH,SIGN(DU434))*POWER(FFslave,SIGN(DV434))*POWER(GEslave,SIGN(DW434))*POWER(KKslave,SIGN(DY434))+DY434*POWER(MUslave,SIGN(DR434))*POWER(KLslave,SIGN(DS434))*POWER(INslave,SIGN(DT434))*POWER(CHslave_CH,SIGN(DU434))*POWER(FFslave,SIGN(DV434))*POWER(GEslave,SIGN(DW434))*POWER(KOslave,SIGN(DX434))</f>
        <v>2432</v>
      </c>
      <c r="ED434" s="233">
        <f>DR434*DS434*CHslave_CH+DR434*KLslave*DU434+MUslave*DS434*DU434</f>
        <v>3408</v>
      </c>
      <c r="EE434" s="221">
        <f>IFERROR(DR434^SIGN(DR434),1)*IFERROR(DS434^SIGN(DS434),1)*IFERROR(DT434^SIGN(DT434),1)*IFERROR(DU434^SIGN(DU434),1)*IFERROR(DV434^SIGN(DV434),1)*IFERROR(DW434^SIGN(DW434),1)*IFERROR(DX434^SIGN(DX434),1)*IFERROR(DY434^SIGN(DY434),1)</f>
        <v>1584</v>
      </c>
      <c r="EF434" s="78">
        <f t="shared" ref="EF434:EF439" si="4697">SUM(EC434:EE434)</f>
        <v>7424</v>
      </c>
      <c r="EG434" s="219">
        <f t="shared" ref="EG434:EG439" si="4698">DZ434*EC434/EF434</f>
        <v>3.8218390804597702</v>
      </c>
      <c r="EH434" s="220">
        <f t="shared" ref="EH434:EH439" si="4699">EA434*ED434/EF434</f>
        <v>10.711206896551724</v>
      </c>
      <c r="EI434" s="241">
        <f t="shared" ref="EI434:EI439" si="4700">EB434*EE434/EF434</f>
        <v>7.4676724137931032</v>
      </c>
      <c r="EJ434" s="241">
        <f t="shared" ref="EJ434:EJ439" si="4701">SUM(EG434:EI434)</f>
        <v>22.000718390804597</v>
      </c>
      <c r="EK434" s="252">
        <f t="shared" ref="EK434:EK439" si="4702">DH434</f>
        <v>0</v>
      </c>
      <c r="EL434" s="309">
        <f t="shared" ref="EL434:EL439" si="4703">EJ434-EK434</f>
        <v>22.000718390804597</v>
      </c>
      <c r="EM434" s="42">
        <f>IF(EJ434&lt;=0,1,0)+IF(EJ434&gt;0,EJ434+1,0)*1+IF(EJ434&gt;12,EJ434-12,0)*1+IF(EJ434&gt;13,EJ434-13,0)*1+IF(EJ434&gt;14,EJ434-14,0)*1+IF(EJ434&gt;15,EJ434-15,0)*1+IF(EJ434&gt;16,EJ434-16,0)*1+IF(EJ434&gt;17,EJ434-17,0)*1+IF(EJ434&gt;18,EJ434-18,0)*1+IF(EJ434&gt;19,EJ434-19,0)*1+IF(EJ434&gt;20,EJ434-20,0)*1</f>
        <v>77.007183908045945</v>
      </c>
      <c r="EN434" s="78">
        <f>IF(EK434&lt;=0,1,0)+IF(EK434&gt;0,EK434+1,0)*1+IF(EK434&gt;12,EK434-12,0)*1+IF(EK434&gt;13,EK434-13,0)*1+IF(EK434&gt;14,EK434-14,0)*1+IF(EK434&gt;15,EK434-15,0)*1+IF(EK434&gt;16,EK434-16,0)*1+IF(EK434&gt;17,EK434-17,0)*1+IF(EK434&gt;18,EK434-18,0)*1+IF(EK434&gt;19,EK434-19,0)*1+IF(EK434&gt;20,EK434-20,0)*1</f>
        <v>1</v>
      </c>
      <c r="EO434" s="241">
        <f t="shared" ref="EO434:EO439" si="4704">IF((EM434-EN434)&gt;0,EM434-EN434,0)</f>
        <v>76.007183908045945</v>
      </c>
      <c r="EP434" s="42">
        <f t="shared" ref="EP434:EP439" si="4705">IF((EN434-EM434)&gt;0,EN434-EM434,0)</f>
        <v>0</v>
      </c>
      <c r="ER434" s="323" t="s">
        <v>235</v>
      </c>
      <c r="ES434" s="42" t="s">
        <v>84</v>
      </c>
      <c r="ET434" s="220" t="s">
        <v>133</v>
      </c>
      <c r="EU434" s="236">
        <f>Konvention_1slave-MUslave</f>
        <v>12</v>
      </c>
      <c r="EV434" s="233">
        <f>Konvention_1slave-KLslave</f>
        <v>12</v>
      </c>
      <c r="EW434" s="233"/>
      <c r="EX434" s="233">
        <f>Konvention_1slave-CHslave</f>
        <v>12</v>
      </c>
      <c r="EY434" s="233"/>
      <c r="EZ434" s="233"/>
      <c r="FA434" s="233"/>
      <c r="FB434" s="221"/>
      <c r="FC434" s="220">
        <f>(EU434+EV434+EW434+EX434+EY434+EZ434+FA434+FB434)/3</f>
        <v>12</v>
      </c>
      <c r="FD434" s="220">
        <f t="shared" ref="FD434:FD439" si="4706">2*FC434</f>
        <v>24</v>
      </c>
      <c r="FE434" s="233">
        <f t="shared" ref="FE434:FE439" si="4707">3*FC434</f>
        <v>36</v>
      </c>
      <c r="FF434" s="236">
        <f>EU434*POWER(KLslave,SIGN(EV434))*POWER(INslave,SIGN(EW434))*POWER(CHslave,SIGN(EX434))*POWER(FFslave_FF,SIGN(EY434))*POWER(GEslave,SIGN(EZ434))*POWER(KOslave,SIGN(FA434))*POWER(KKslave,SIGN(FB434))+EV434*POWER(MUslave,SIGN(EU434))*POWER(INslave,SIGN(EW434))*POWER(CHslave,SIGN(EX434))*POWER(FFslave_FF,SIGN(EY434))*POWER(GEslave,SIGN(EZ434))*POWER(KOslave,SIGN(FA434))*POWER(KKslave,SIGN(FB434))+EW434*POWER(MUslave,SIGN(EU434))*POWER(KLslave,SIGN(EV434))*POWER(CHslave,SIGN(EX434))*POWER(FFslave_FF,SIGN(EY434))*POWER(GEslave,SIGN(EZ434))*POWER(KOslave,SIGN(FA434))*POWER(KKslave,SIGN(FB434))+EX434*POWER(MUslave,SIGN(EU434))*POWER(KLslave,SIGN(EV434))*POWER(INslave,SIGN(EW434))*POWER(FFslave_FF,SIGN(EY434))*POWER(GEslave,SIGN(EZ434))*POWER(KOslave,SIGN(FA434))*POWER(KKslave,SIGN(FB434))+EY434*POWER(MUslave,SIGN(EU434))*POWER(KLslave,SIGN(EV434))*POWER(INslave,SIGN(EW434))*POWER(CHslave,SIGN(EX434))*POWER(GEslave,SIGN(EZ434))*POWER(KOslave,SIGN(FA434))*POWER(KKslave,SIGN(FB434))+EZ434*POWER(MUslave,SIGN(EU434))*POWER(KLslave,SIGN(EV434))*POWER(INslave,SIGN(EW434))*POWER(CHslave,SIGN(EX434))*POWER(FFslave_FF,SIGN(EY434))*POWER(KOslave,SIGN(FA434))*POWER(KKslave,SIGN(FB434))+FA434*POWER(MUslave,SIGN(EU434))*POWER(KLslave,SIGN(EV434))*POWER(INslave,SIGN(EW434))*POWER(CHslave,SIGN(EX434))*POWER(FFslave_FF,SIGN(EY434))*POWER(GEslave,SIGN(EZ434))*POWER(KKslave,SIGN(FB434))+FB434*POWER(MUslave,SIGN(EU434))*POWER(KLslave,SIGN(EV434))*POWER(INslave,SIGN(EW434))*POWER(CHslave,SIGN(EX434))*POWER(FFslave_FF,SIGN(EY434))*POWER(GEslave,SIGN(EZ434))*POWER(KOslave,SIGN(FA434))</f>
        <v>2304</v>
      </c>
      <c r="FG434" s="233">
        <f>EU434*EV434*CHslave+EU434*KLslave*EX434+MUslave*EV434*EX434</f>
        <v>3456</v>
      </c>
      <c r="FH434" s="221">
        <f>IFERROR(EU434^SIGN(EU434),1)*IFERROR(EV434^SIGN(EV434),1)*IFERROR(EW434^SIGN(EW434),1)*IFERROR(EX434^SIGN(EX434),1)*IFERROR(EY434^SIGN(EY434),1)*IFERROR(EZ434^SIGN(EZ434),1)*IFERROR(FA434^SIGN(FA434),1)*IFERROR(FB434^SIGN(FB434),1)</f>
        <v>1728</v>
      </c>
      <c r="FI434" s="78">
        <f t="shared" ref="FI434:FI439" si="4708">SUM(FF434:FH434)</f>
        <v>7488</v>
      </c>
      <c r="FJ434" s="219">
        <f t="shared" ref="FJ434:FJ439" si="4709">FC434*FF434/FI434</f>
        <v>3.6923076923076925</v>
      </c>
      <c r="FK434" s="220">
        <f t="shared" ref="FK434:FK439" si="4710">FD434*FG434/FI434</f>
        <v>11.076923076923077</v>
      </c>
      <c r="FL434" s="241">
        <f t="shared" ref="FL434:FL439" si="4711">FE434*FH434/FI434</f>
        <v>8.3076923076923084</v>
      </c>
      <c r="FM434" s="241">
        <f t="shared" ref="FM434:FM439" si="4712">SUM(FJ434:FL434)</f>
        <v>23.07692307692308</v>
      </c>
      <c r="FN434" s="252">
        <f t="shared" ref="FN434:FN439" si="4713">EK434</f>
        <v>0</v>
      </c>
      <c r="FO434" s="309">
        <f t="shared" ref="FO434:FO439" si="4714">FM434-FN434</f>
        <v>23.07692307692308</v>
      </c>
      <c r="FP434" s="42">
        <f>IF(FM434&lt;=0,1,0)+IF(FM434&gt;0,FM434+1,0)*1+IF(FM434&gt;12,FM434-12,0)*1+IF(FM434&gt;13,FM434-13,0)*1+IF(FM434&gt;14,FM434-14,0)*1+IF(FM434&gt;15,FM434-15,0)*1+IF(FM434&gt;16,FM434-16,0)*1+IF(FM434&gt;17,FM434-17,0)*1+IF(FM434&gt;18,FM434-18,0)*1+IF(FM434&gt;19,FM434-19,0)*1+IF(FM434&gt;20,FM434-20,0)*1</f>
        <v>87.769230769230802</v>
      </c>
      <c r="FQ434" s="78">
        <f>IF(FN434&lt;=0,1,0)+IF(FN434&gt;0,FN434+1,0)*1+IF(FN434&gt;12,FN434-12,0)*1+IF(FN434&gt;13,FN434-13,0)*1+IF(FN434&gt;14,FN434-14,0)*1+IF(FN434&gt;15,FN434-15,0)*1+IF(FN434&gt;16,FN434-16,0)*1+IF(FN434&gt;17,FN434-17,0)*1+IF(FN434&gt;18,FN434-18,0)*1+IF(FN434&gt;19,FN434-19,0)*1+IF(FN434&gt;20,FN434-20,0)*1</f>
        <v>1</v>
      </c>
      <c r="FR434" s="241">
        <f t="shared" ref="FR434:FR439" si="4715">IF((FP434-FQ434)&gt;0,FP434-FQ434,0)</f>
        <v>86.769230769230802</v>
      </c>
      <c r="FS434" s="42">
        <f t="shared" ref="FS434:FS439" si="4716">IF((FQ434-FP434)&gt;0,FQ434-FP434,0)</f>
        <v>0</v>
      </c>
      <c r="FU434" s="323" t="s">
        <v>235</v>
      </c>
      <c r="FV434" s="42" t="s">
        <v>84</v>
      </c>
      <c r="FW434" s="220" t="s">
        <v>133</v>
      </c>
      <c r="FX434" s="236">
        <f>Konvention_1slave-MUslave</f>
        <v>12</v>
      </c>
      <c r="FY434" s="233">
        <f>Konvention_1slave-KLslave</f>
        <v>12</v>
      </c>
      <c r="FZ434" s="233"/>
      <c r="GA434" s="233">
        <f>Konvention_1slave-CHslave</f>
        <v>12</v>
      </c>
      <c r="GB434" s="233"/>
      <c r="GC434" s="233"/>
      <c r="GD434" s="233"/>
      <c r="GE434" s="221"/>
      <c r="GF434" s="220">
        <f>(FX434+FY434+FZ434+GA434+GB434+GC434+GD434+GE434)/3</f>
        <v>12</v>
      </c>
      <c r="GG434" s="220">
        <f t="shared" ref="GG434:GG439" si="4717">2*GF434</f>
        <v>24</v>
      </c>
      <c r="GH434" s="233">
        <f t="shared" ref="GH434:GH439" si="4718">3*GF434</f>
        <v>36</v>
      </c>
      <c r="GI434" s="236">
        <f>FX434*POWER(KLslave,SIGN(FY434))*POWER(INslave,SIGN(FZ434))*POWER(CHslave,SIGN(GA434))*POWER(FFslave,SIGN(GB434))*POWER(GEslave_GE,SIGN(GC434))*POWER(KOslave,SIGN(GD434))*POWER(KKslave,SIGN(GE434))+FY434*POWER(MUslave,SIGN(FX434))*POWER(INslave,SIGN(FZ434))*POWER(CHslave,SIGN(GA434))*POWER(FFslave,SIGN(GB434))*POWER(GEslave_GE,SIGN(GC434))*POWER(KOslave,SIGN(GD434))*POWER(KKslave,SIGN(GE434))+FZ434*POWER(MUslave,SIGN(FX434))*POWER(KLslave,SIGN(FY434))*POWER(CHslave,SIGN(GA434))*POWER(FFslave,SIGN(GB434))*POWER(GEslave_GE,SIGN(GC434))*POWER(KOslave,SIGN(GD434))*POWER(KKslave,SIGN(GE434))+GA434*POWER(MUslave,SIGN(FX434))*POWER(KLslave,SIGN(FY434))*POWER(INslave,SIGN(FZ434))*POWER(FFslave,SIGN(GB434))*POWER(GEslave_GE,SIGN(GC434))*POWER(KOslave,SIGN(GD434))*POWER(KKslave,SIGN(GE434))+GB434*POWER(MUslave,SIGN(FX434))*POWER(KLslave,SIGN(FY434))*POWER(INslave,SIGN(FZ434))*POWER(CHslave,SIGN(GA434))*POWER(GEslave_GE,SIGN(GC434))*POWER(KOslave,SIGN(GD434))*POWER(KKslave,SIGN(GE434))+GC434*POWER(MUslave,SIGN(FX434))*POWER(KLslave,SIGN(FY434))*POWER(INslave,SIGN(FZ434))*POWER(CHslave,SIGN(GA434))*POWER(FFslave,SIGN(GB434))*POWER(KOslave,SIGN(GD434))*POWER(KKslave,SIGN(GE434))+GD434*POWER(MUslave,SIGN(FX434))*POWER(KLslave,SIGN(FY434))*POWER(INslave,SIGN(FZ434))*POWER(CHslave,SIGN(GA434))*POWER(FFslave,SIGN(GB434))*POWER(GEslave_GE,SIGN(GC434))*POWER(KKslave,SIGN(GE434))+GE434*POWER(MUslave,SIGN(FX434))*POWER(KLslave,SIGN(FY434))*POWER(INslave,SIGN(FZ434))*POWER(CHslave,SIGN(GA434))*POWER(FFslave,SIGN(GB434))*POWER(GEslave_GE,SIGN(GC434))*POWER(KOslave,SIGN(GD434))</f>
        <v>2304</v>
      </c>
      <c r="GJ434" s="233">
        <f>FX434*FY434*CHslave+FX434*KLslave*GA434+MUslave*FY434*GA434</f>
        <v>3456</v>
      </c>
      <c r="GK434" s="221">
        <f>IFERROR(FX434^SIGN(FX434),1)*IFERROR(FY434^SIGN(FY434),1)*IFERROR(FZ434^SIGN(FZ434),1)*IFERROR(GA434^SIGN(GA434),1)*IFERROR(GB434^SIGN(GB434),1)*IFERROR(GC434^SIGN(GC434),1)*IFERROR(GD434^SIGN(GD434),1)*IFERROR(GE434^SIGN(GE434),1)</f>
        <v>1728</v>
      </c>
      <c r="GL434" s="78">
        <f t="shared" ref="GL434:GL439" si="4719">SUM(GI434:GK434)</f>
        <v>7488</v>
      </c>
      <c r="GM434" s="219">
        <f t="shared" ref="GM434:GM439" si="4720">GF434*GI434/GL434</f>
        <v>3.6923076923076925</v>
      </c>
      <c r="GN434" s="220">
        <f t="shared" ref="GN434:GN439" si="4721">GG434*GJ434/GL434</f>
        <v>11.076923076923077</v>
      </c>
      <c r="GO434" s="241">
        <f t="shared" ref="GO434:GO439" si="4722">GH434*GK434/GL434</f>
        <v>8.3076923076923084</v>
      </c>
      <c r="GP434" s="241">
        <f t="shared" ref="GP434:GP439" si="4723">SUM(GM434:GO434)</f>
        <v>23.07692307692308</v>
      </c>
      <c r="GQ434" s="252">
        <f t="shared" ref="GQ434:GQ439" si="4724">FN434</f>
        <v>0</v>
      </c>
      <c r="GR434" s="309">
        <f t="shared" ref="GR434:GR439" si="4725">GP434-GQ434</f>
        <v>23.07692307692308</v>
      </c>
      <c r="GS434" s="42">
        <f>IF(GP434&lt;=0,1,0)+IF(GP434&gt;0,GP434+1,0)*1+IF(GP434&gt;12,GP434-12,0)*1+IF(GP434&gt;13,GP434-13,0)*1+IF(GP434&gt;14,GP434-14,0)*1+IF(GP434&gt;15,GP434-15,0)*1+IF(GP434&gt;16,GP434-16,0)*1+IF(GP434&gt;17,GP434-17,0)*1+IF(GP434&gt;18,GP434-18,0)*1+IF(GP434&gt;19,GP434-19,0)*1+IF(GP434&gt;20,GP434-20,0)*1</f>
        <v>87.769230769230802</v>
      </c>
      <c r="GT434" s="78">
        <f>IF(GQ434&lt;=0,1,0)+IF(GQ434&gt;0,GQ434+1,0)*1+IF(GQ434&gt;12,GQ434-12,0)*1+IF(GQ434&gt;13,GQ434-13,0)*1+IF(GQ434&gt;14,GQ434-14,0)*1+IF(GQ434&gt;15,GQ434-15,0)*1+IF(GQ434&gt;16,GQ434-16,0)*1+IF(GQ434&gt;17,GQ434-17,0)*1+IF(GQ434&gt;18,GQ434-18,0)*1+IF(GQ434&gt;19,GQ434-19,0)*1+IF(GQ434&gt;20,GQ434-20,0)*1</f>
        <v>1</v>
      </c>
      <c r="GU434" s="241">
        <f t="shared" ref="GU434:GU439" si="4726">IF((GS434-GT434)&gt;0,GS434-GT434,0)</f>
        <v>86.769230769230802</v>
      </c>
      <c r="GV434" s="42">
        <f t="shared" ref="GV434:GV439" si="4727">IF((GT434-GS434)&gt;0,GT434-GS434,0)</f>
        <v>0</v>
      </c>
      <c r="GX434" s="323" t="s">
        <v>235</v>
      </c>
      <c r="GY434" s="42" t="s">
        <v>84</v>
      </c>
      <c r="GZ434" s="220" t="s">
        <v>133</v>
      </c>
      <c r="HA434" s="236">
        <f>Konvention_1slave-MUslave</f>
        <v>12</v>
      </c>
      <c r="HB434" s="233">
        <f>Konvention_1slave-KLslave</f>
        <v>12</v>
      </c>
      <c r="HC434" s="233"/>
      <c r="HD434" s="233">
        <f>Konvention_1slave-CHslave</f>
        <v>12</v>
      </c>
      <c r="HE434" s="233"/>
      <c r="HF434" s="233"/>
      <c r="HG434" s="233"/>
      <c r="HH434" s="221"/>
      <c r="HI434" s="220">
        <f>(HA434+HB434+HC434+HD434+HE434+HF434+HG434+HH434)/3</f>
        <v>12</v>
      </c>
      <c r="HJ434" s="220">
        <f t="shared" ref="HJ434:HJ439" si="4728">2*HI434</f>
        <v>24</v>
      </c>
      <c r="HK434" s="233">
        <f t="shared" ref="HK434:HK439" si="4729">3*HI434</f>
        <v>36</v>
      </c>
      <c r="HL434" s="236">
        <f>HA434*POWER(KLslave,SIGN(HB434))*POWER(INslave,SIGN(HC434))*POWER(CHslave,SIGN(HD434))*POWER(FFslave,SIGN(HE434))*POWER(GEslave,SIGN(HF434))*POWER(KOslave_KO,SIGN(HG434))*POWER(KKslave,SIGN(HH434))+HB434*POWER(MUslave,SIGN(HA434))*POWER(INslave,SIGN(HC434))*POWER(CHslave,SIGN(HD434))*POWER(FFslave,SIGN(HE434))*POWER(GEslave,SIGN(HF434))*POWER(KOslave_KO,SIGN(HG434))*POWER(KKslave,SIGN(HH434))+HC434*POWER(MUslave,SIGN(HA434))*POWER(KLslave,SIGN(HB434))*POWER(CHslave,SIGN(HD434))*POWER(FFslave,SIGN(HE434))*POWER(GEslave,SIGN(HF434))*POWER(KOslave_KO,SIGN(HG434))*POWER(KKslave,SIGN(HH434))+HD434*POWER(MUslave,SIGN(HA434))*POWER(KLslave,SIGN(HB434))*POWER(INslave,SIGN(HC434))*POWER(FFslave,SIGN(HE434))*POWER(GEslave,SIGN(HF434))*POWER(KOslave_KO,SIGN(HG434))*POWER(KKslave,SIGN(HH434))+HE434*POWER(MUslave,SIGN(HA434))*POWER(KLslave,SIGN(HB434))*POWER(INslave,SIGN(HC434))*POWER(CHslave,SIGN(HD434))*POWER(GEslave,SIGN(HF434))*POWER(KOslave_KO,SIGN(HG434))*POWER(KKslave,SIGN(HH434))+HF434*POWER(MUslave,SIGN(HA434))*POWER(KLslave,SIGN(HB434))*POWER(INslave,SIGN(HC434))*POWER(CHslave,SIGN(HD434))*POWER(FFslave,SIGN(HE434))*POWER(KOslave_KO,SIGN(HG434))*POWER(KKslave,SIGN(HH434))+HG434*POWER(MUslave,SIGN(HA434))*POWER(KLslave,SIGN(HB434))*POWER(INslave,SIGN(HC434))*POWER(CHslave,SIGN(HD434))*POWER(FFslave,SIGN(HE434))*POWER(GEslave,SIGN(HF434))*POWER(KKslave,SIGN(HH434))+HH434*POWER(MUslave,SIGN(HA434))*POWER(KLslave,SIGN(HB434))*POWER(INslave,SIGN(HC434))*POWER(CHslave,SIGN(HD434))*POWER(FFslave,SIGN(HE434))*POWER(GEslave,SIGN(HF434))*POWER(KOslave_KO,SIGN(HG434))</f>
        <v>2304</v>
      </c>
      <c r="HM434" s="233">
        <f>HA434*HB434*CHslave+HA434*KLslave*HD434+MUslave*HB434*HD434</f>
        <v>3456</v>
      </c>
      <c r="HN434" s="221">
        <f>IFERROR(HA434^SIGN(HA434),1)*IFERROR(HB434^SIGN(HB434),1)*IFERROR(HC434^SIGN(HC434),1)*IFERROR(HD434^SIGN(HD434),1)*IFERROR(HE434^SIGN(HE434),1)*IFERROR(HF434^SIGN(HF434),1)*IFERROR(HG434^SIGN(HG434),1)*IFERROR(HH434^SIGN(HH434),1)</f>
        <v>1728</v>
      </c>
      <c r="HO434" s="78">
        <f t="shared" ref="HO434:HO439" si="4730">SUM(HL434:HN434)</f>
        <v>7488</v>
      </c>
      <c r="HP434" s="219">
        <f t="shared" ref="HP434:HP439" si="4731">HI434*HL434/HO434</f>
        <v>3.6923076923076925</v>
      </c>
      <c r="HQ434" s="220">
        <f t="shared" ref="HQ434:HQ439" si="4732">HJ434*HM434/HO434</f>
        <v>11.076923076923077</v>
      </c>
      <c r="HR434" s="241">
        <f t="shared" ref="HR434:HR439" si="4733">HK434*HN434/HO434</f>
        <v>8.3076923076923084</v>
      </c>
      <c r="HS434" s="241">
        <f t="shared" ref="HS434:HS439" si="4734">SUM(HP434:HR434)</f>
        <v>23.07692307692308</v>
      </c>
      <c r="HT434" s="252">
        <f t="shared" ref="HT434:HT439" si="4735">GQ434</f>
        <v>0</v>
      </c>
      <c r="HU434" s="309">
        <f t="shared" ref="HU434:HU439" si="4736">HS434-HT434</f>
        <v>23.07692307692308</v>
      </c>
      <c r="HV434" s="42">
        <f>IF(HS434&lt;=0,1,0)+IF(HS434&gt;0,HS434+1,0)*1+IF(HS434&gt;12,HS434-12,0)*1+IF(HS434&gt;13,HS434-13,0)*1+IF(HS434&gt;14,HS434-14,0)*1+IF(HS434&gt;15,HS434-15,0)*1+IF(HS434&gt;16,HS434-16,0)*1+IF(HS434&gt;17,HS434-17,0)*1+IF(HS434&gt;18,HS434-18,0)*1+IF(HS434&gt;19,HS434-19,0)*1+IF(HS434&gt;20,HS434-20,0)*1</f>
        <v>87.769230769230802</v>
      </c>
      <c r="HW434" s="78">
        <f>IF(HT434&lt;=0,1,0)+IF(HT434&gt;0,HT434+1,0)*1+IF(HT434&gt;12,HT434-12,0)*1+IF(HT434&gt;13,HT434-13,0)*1+IF(HT434&gt;14,HT434-14,0)*1+IF(HT434&gt;15,HT434-15,0)*1+IF(HT434&gt;16,HT434-16,0)*1+IF(HT434&gt;17,HT434-17,0)*1+IF(HT434&gt;18,HT434-18,0)*1+IF(HT434&gt;19,HT434-19,0)*1+IF(HT434&gt;20,HT434-20,0)*1</f>
        <v>1</v>
      </c>
      <c r="HX434" s="241">
        <f t="shared" ref="HX434:HX439" si="4737">IF((HV434-HW434)&gt;0,HV434-HW434,0)</f>
        <v>86.769230769230802</v>
      </c>
      <c r="HY434" s="42">
        <f t="shared" ref="HY434:HY439" si="4738">IF((HW434-HV434)&gt;0,HW434-HV434,0)</f>
        <v>0</v>
      </c>
      <c r="IA434" s="323" t="s">
        <v>235</v>
      </c>
      <c r="IB434" s="42" t="s">
        <v>84</v>
      </c>
      <c r="IC434" s="220" t="s">
        <v>133</v>
      </c>
      <c r="ID434" s="236">
        <f>Konvention_1slave-MUslave</f>
        <v>12</v>
      </c>
      <c r="IE434" s="233">
        <f>Konvention_1slave-KLslave</f>
        <v>12</v>
      </c>
      <c r="IF434" s="233"/>
      <c r="IG434" s="233">
        <f>Konvention_1slave-CHslave</f>
        <v>12</v>
      </c>
      <c r="IH434" s="233"/>
      <c r="II434" s="233"/>
      <c r="IJ434" s="233"/>
      <c r="IK434" s="221"/>
      <c r="IL434" s="220">
        <f>(ID434+IE434+IF434+IG434+IH434+II434+IJ434+IK434)/3</f>
        <v>12</v>
      </c>
      <c r="IM434" s="220">
        <f t="shared" ref="IM434:IM439" si="4739">2*IL434</f>
        <v>24</v>
      </c>
      <c r="IN434" s="233">
        <f t="shared" ref="IN434:IN439" si="4740">3*IL434</f>
        <v>36</v>
      </c>
      <c r="IO434" s="236">
        <f>ID434*POWER(KLslave,SIGN(IE434))*POWER(INslave,SIGN(IF434))*POWER(CHslave,SIGN(IG434))*POWER(FFslave,SIGN(IH434))*POWER(GEslave,SIGN(II434))*POWER(KOslave,SIGN(IJ434))*POWER(KKslave_KK,SIGN(IK434))+IE434*POWER(MUslave,SIGN(ID434))*POWER(INslave,SIGN(IF434))*POWER(CHslave,SIGN(IG434))*POWER(FFslave,SIGN(IH434))*POWER(GEslave,SIGN(II434))*POWER(KOslave,SIGN(IJ434))*POWER(KKslave_KK,SIGN(IK434))+IF434*POWER(MUslave,SIGN(ID434))*POWER(KLslave,SIGN(IE434))*POWER(CHslave,SIGN(IG434))*POWER(FFslave,SIGN(IH434))*POWER(GEslave,SIGN(II434))*POWER(KOslave,SIGN(IJ434))*POWER(KKslave_KK,SIGN(IK434))+IG434*POWER(MUslave,SIGN(ID434))*POWER(KLslave,SIGN(IE434))*POWER(INslave,SIGN(IF434))*POWER(FFslave,SIGN(IH434))*POWER(GEslave,SIGN(II434))*POWER(KOslave,SIGN(IJ434))*POWER(KKslave_KK,SIGN(IK434))+IH434*POWER(MUslave,SIGN(ID434))*POWER(KLslave,SIGN(IE434))*POWER(INslave,SIGN(IF434))*POWER(CHslave,SIGN(IG434))*POWER(GEslave,SIGN(II434))*POWER(KOslave,SIGN(IJ434))*POWER(KKslave_KK,SIGN(IK434))+II434*POWER(MUslave,SIGN(ID434))*POWER(KLslave,SIGN(IE434))*POWER(INslave,SIGN(IF434))*POWER(CHslave,SIGN(IG434))*POWER(FFslave,SIGN(IH434))*POWER(KOslave,SIGN(IJ434))*POWER(KKslave_KK,SIGN(IK434))+IJ434*POWER(MUslave,SIGN(ID434))*POWER(KLslave,SIGN(IE434))*POWER(INslave,SIGN(IF434))*POWER(CHslave,SIGN(IG434))*POWER(FFslave,SIGN(IH434))*POWER(GEslave,SIGN(II434))*POWER(KKslave_KK,SIGN(IK434))+IK434*POWER(MUslave,SIGN(ID434))*POWER(KLslave,SIGN(IE434))*POWER(INslave,SIGN(IF434))*POWER(CHslave,SIGN(IG434))*POWER(FFslave,SIGN(IH434))*POWER(GEslave,SIGN(II434))*POWER(KOslave,SIGN(IJ434))</f>
        <v>2304</v>
      </c>
      <c r="IP434" s="233">
        <f>ID434*IE434*CHslave+ID434*KLslave*IG434+MUslave*IE434*IG434</f>
        <v>3456</v>
      </c>
      <c r="IQ434" s="221">
        <f>IFERROR(ID434^SIGN(ID434),1)*IFERROR(IE434^SIGN(IE434),1)*IFERROR(IF434^SIGN(IF434),1)*IFERROR(IG434^SIGN(IG434),1)*IFERROR(IH434^SIGN(IH434),1)*IFERROR(II434^SIGN(II434),1)*IFERROR(IJ434^SIGN(IJ434),1)*IFERROR(IK434^SIGN(IK434),1)</f>
        <v>1728</v>
      </c>
      <c r="IR434" s="78">
        <f t="shared" ref="IR434:IR439" si="4741">SUM(IO434:IQ434)</f>
        <v>7488</v>
      </c>
      <c r="IS434" s="219">
        <f t="shared" ref="IS434:IS439" si="4742">IL434*IO434/IR434</f>
        <v>3.6923076923076925</v>
      </c>
      <c r="IT434" s="220">
        <f t="shared" ref="IT434:IT439" si="4743">IM434*IP434/IR434</f>
        <v>11.076923076923077</v>
      </c>
      <c r="IU434" s="241">
        <f t="shared" ref="IU434:IU439" si="4744">IN434*IQ434/IR434</f>
        <v>8.3076923076923084</v>
      </c>
      <c r="IV434" s="241">
        <f t="shared" ref="IV434:IV439" si="4745">SUM(IS434:IU434)</f>
        <v>23.07692307692308</v>
      </c>
      <c r="IW434" s="252">
        <f t="shared" ref="IW434:IW439" si="4746">HT434</f>
        <v>0</v>
      </c>
      <c r="IX434" s="309">
        <f t="shared" ref="IX434:IX439" si="4747">IV434-IW434</f>
        <v>23.07692307692308</v>
      </c>
      <c r="IY434" s="42">
        <f>IF(IV434&lt;=0,1,0)+IF(IV434&gt;0,IV434+1,0)*1+IF(IV434&gt;12,IV434-12,0)*1+IF(IV434&gt;13,IV434-13,0)*1+IF(IV434&gt;14,IV434-14,0)*1+IF(IV434&gt;15,IV434-15,0)*1+IF(IV434&gt;16,IV434-16,0)*1+IF(IV434&gt;17,IV434-17,0)*1+IF(IV434&gt;18,IV434-18,0)*1+IF(IV434&gt;19,IV434-19,0)*1+IF(IV434&gt;20,IV434-20,0)*1</f>
        <v>87.769230769230802</v>
      </c>
      <c r="IZ434" s="78">
        <f>IF(IW434&lt;=0,1,0)+IF(IW434&gt;0,IW434+1,0)*1+IF(IW434&gt;12,IW434-12,0)*1+IF(IW434&gt;13,IW434-13,0)*1+IF(IW434&gt;14,IW434-14,0)*1+IF(IW434&gt;15,IW434-15,0)*1+IF(IW434&gt;16,IW434-16,0)*1+IF(IW434&gt;17,IW434-17,0)*1+IF(IW434&gt;18,IW434-18,0)*1+IF(IW434&gt;19,IW434-19,0)*1+IF(IW434&gt;20,IW434-20,0)*1</f>
        <v>1</v>
      </c>
      <c r="JA434" s="241">
        <f t="shared" ref="JA434:JA439" si="4748">IF((IY434-IZ434)&gt;0,IY434-IZ434,0)</f>
        <v>86.769230769230802</v>
      </c>
      <c r="JB434" s="42">
        <f t="shared" ref="JB434:JB439" si="4749">IF((IZ434-IY434)&gt;0,IZ434-IY434,0)</f>
        <v>0</v>
      </c>
      <c r="JE434" s="148"/>
    </row>
    <row r="435" spans="1:265" ht="15" hidden="1" customHeight="1" outlineLevel="2">
      <c r="B435" s="148">
        <v>2</v>
      </c>
      <c r="C435" s="325" t="e">
        <f>VLOOKUP(AF435,Attribute!C:T,1,FALSE)</f>
        <v>#N/A</v>
      </c>
      <c r="D435" s="86" t="s">
        <v>95</v>
      </c>
      <c r="E435" s="47" t="s">
        <v>133</v>
      </c>
      <c r="F435" s="114">
        <f>Konvention_1master-MUmaster</f>
        <v>12</v>
      </c>
      <c r="G435" s="113">
        <f>Konvention_1master-KLmaster</f>
        <v>12</v>
      </c>
      <c r="H435" s="113">
        <f>Konvention_1master-INmaster</f>
        <v>12</v>
      </c>
      <c r="I435" s="113"/>
      <c r="J435" s="113"/>
      <c r="K435" s="113"/>
      <c r="L435" s="113"/>
      <c r="M435" s="119"/>
      <c r="N435" s="223">
        <f>(F435+G435+H435+I435+J435+K435+L435+M435)/3</f>
        <v>12</v>
      </c>
      <c r="O435" s="223">
        <f t="shared" si="4652"/>
        <v>24</v>
      </c>
      <c r="P435" s="234">
        <f t="shared" si="4653"/>
        <v>36</v>
      </c>
      <c r="Q435" s="237">
        <f>F435*POWER(KLmaster,SIGN(G435))*POWER(INmaster,SIGN(H435))*POWER(CHmaster,SIGN(I435))*POWER(FFmaster,SIGN(J435))*POWER(GEmaster,SIGN(K435))*POWER(KOmaster,SIGN(L435))*POWER(KKmaster,SIGN(M435))+G435*POWER(MUmaster,SIGN(F435))*POWER(INmaster,SIGN(H435))*POWER(CHmaster,SIGN(I435))*POWER(FFmaster,SIGN(J435))*POWER(GEmaster,SIGN(K435))*POWER(KOmaster,SIGN(L435))*POWER(KKmaster,SIGN(M435))+H435*POWER(MUmaster,SIGN(F435))*POWER(KLmaster,SIGN(G435))*POWER(CHmaster,SIGN(I435))*POWER(FFmaster,SIGN(J435))*POWER(GEmaster,SIGN(K435))*POWER(KOmaster,SIGN(L435))*POWER(KKmaster,SIGN(M435))+I435*POWER(MUmaster,SIGN(F435))*POWER(KLmaster,SIGN(G435))*POWER(INmaster,SIGN(H435))*POWER(FFmaster,SIGN(J435))*POWER(GEmaster,SIGN(K435))*POWER(KOmaster,SIGN(L435))*POWER(KKmaster,SIGN(M435))+J435*POWER(MUmaster,SIGN(F435))*POWER(KLmaster,SIGN(G435))*POWER(INmaster,SIGN(H435))*POWER(CHmaster,SIGN(I435))*POWER(GEmaster,SIGN(K435))*POWER(KOmaster,SIGN(L435))*POWER(KKmaster,SIGN(M435))+K435*POWER(MUmaster,SIGN(F435))*POWER(KLmaster,SIGN(G435))*POWER(INmaster,SIGN(H435))*POWER(CHmaster,SIGN(I435))*POWER(FFmaster,SIGN(J435))*POWER(KOmaster,SIGN(L435))*POWER(KKmaster,SIGN(M435))+L435*POWER(MUmaster,SIGN(F435))*POWER(KLmaster,SIGN(G435))*POWER(INmaster,SIGN(H435))*POWER(CHmaster,SIGN(I435))*POWER(FFmaster,SIGN(J435))*POWER(GEmaster,SIGN(K435))*POWER(KKmaster,SIGN(M435))+M435*POWER(MUmaster,SIGN(F435))*POWER(KLmaster,SIGN(G435))*POWER(INmaster,SIGN(H435))*POWER(CHmaster,SIGN(I435))*POWER(FFmaster,SIGN(J435))*POWER(GEmaster,SIGN(K435))*POWER(KOmaster,SIGN(L435))</f>
        <v>2304</v>
      </c>
      <c r="R435" s="113">
        <f>F435*G435*INmaster+F435*KLmaster*H435+MUmaster*G435*H435</f>
        <v>3456</v>
      </c>
      <c r="S435" s="224">
        <f>IFERROR(F435^SIGN(F435),1)*IFERROR(G435^SIGN(G435),1)*IFERROR(H435^SIGN(H435),1)*IFERROR(I435^SIGN(I435),1)*IFERROR(J435^SIGN(J435),1)*IFERROR(K435^SIGN(K435),1)*IFERROR(L435^SIGN(L435),1)*IFERROR(M435^SIGN(M435),1)</f>
        <v>1728</v>
      </c>
      <c r="T435" s="242">
        <f t="shared" si="4654"/>
        <v>7488</v>
      </c>
      <c r="U435" s="222">
        <f t="shared" si="4655"/>
        <v>3.6923076923076925</v>
      </c>
      <c r="V435" s="223">
        <f t="shared" si="4656"/>
        <v>11.076923076923077</v>
      </c>
      <c r="W435" s="243">
        <f t="shared" si="4657"/>
        <v>8.3076923076923084</v>
      </c>
      <c r="X435" s="243">
        <f t="shared" si="4658"/>
        <v>23.07692307692308</v>
      </c>
      <c r="Y435" s="252">
        <v>0</v>
      </c>
      <c r="Z435" s="198">
        <f t="shared" si="4659"/>
        <v>23.07692307692308</v>
      </c>
      <c r="AA435" s="125">
        <f>IF(X435&lt;=0,1,0)+IF(X435&gt;0,X435+1,0)*1+IF(X435&gt;12,X435-12,0)*1+IF(X435&gt;13,X435-13,0)*1+IF(X435&gt;14,X435-14,0)*1+IF(X435&gt;15,X435-15,0)*1+IF(X435&gt;16,X435-16,0)*1+IF(X435&gt;17,X435-17,0)*1+IF(X435&gt;18,X435-18,0)*1+IF(X435&gt;19,X435-19,0)*1+IF(X435&gt;20,X435-20,0)*1</f>
        <v>87.769230769230802</v>
      </c>
      <c r="AB435" s="160">
        <f>IF(Y435&lt;=0,1,0)+IF(Y435&gt;0,Y435+1,0)*1+IF(Y435&gt;12,Y435-12,0)*1+IF(Y435&gt;13,Y435-13,0)*1+IF(Y435&gt;14,Y435-14,0)*1+IF(Y435&gt;15,Y435-15,0)*1+IF(Y435&gt;16,Y435-16,0)*1+IF(Y435&gt;17,Y435-17,0)*1+IF(Y435&gt;18,Y435-18,0)*1+IF(Y435&gt;19,Y435-19,0)*1+IF(Y435&gt;20,Y435-20,0)*1</f>
        <v>1</v>
      </c>
      <c r="AC435" s="127">
        <f t="shared" si="4660"/>
        <v>86.769230769230802</v>
      </c>
      <c r="AD435" s="125">
        <f t="shared" si="4661"/>
        <v>0</v>
      </c>
      <c r="AF435" s="177" t="s">
        <v>238</v>
      </c>
      <c r="AG435" s="125" t="s">
        <v>95</v>
      </c>
      <c r="AH435" s="47" t="s">
        <v>133</v>
      </c>
      <c r="AI435" s="114">
        <f>Konvention_1slave-MUslave_MU</f>
        <v>11</v>
      </c>
      <c r="AJ435" s="113">
        <f>Konvention_1slave-KLslave</f>
        <v>12</v>
      </c>
      <c r="AK435" s="113">
        <f>Konvention_1slave-INslave</f>
        <v>12</v>
      </c>
      <c r="AL435" s="113"/>
      <c r="AM435" s="113"/>
      <c r="AN435" s="113"/>
      <c r="AO435" s="113"/>
      <c r="AP435" s="119"/>
      <c r="AQ435" s="47">
        <f>(AI435+AJ435+AK435+AL435+AM435+AN435+AO435+AP435)/3</f>
        <v>11.666666666666666</v>
      </c>
      <c r="AR435" s="47">
        <f t="shared" si="4662"/>
        <v>23.333333333333332</v>
      </c>
      <c r="AS435" s="113">
        <f t="shared" si="4663"/>
        <v>35</v>
      </c>
      <c r="AT435" s="114">
        <f>AI435*POWER(KLslave,SIGN(AJ435))*POWER(INslave,SIGN(AK435))*POWER(CHslave,SIGN(AL435))*POWER(FFslave,SIGN(AM435))*POWER(GEslave,SIGN(AN435))*POWER(KOslave,SIGN(AO435))*POWER(KKslave,SIGN(AP435))+AJ435*POWER(MUslave_MU,SIGN(AI435))*POWER(INslave,SIGN(AK435))*POWER(CHslave,SIGN(AL435))*POWER(FFslave,SIGN(AM435))*POWER(GEslave,SIGN(AN435))*POWER(KOslave,SIGN(AO435))*POWER(KKslave,SIGN(AP435))+AK435*POWER(MUslave_MU,SIGN(AI435))*POWER(KLslave,SIGN(AJ435))*POWER(CHslave,SIGN(AL435))*POWER(FFslave,SIGN(AM435))*POWER(GEslave,SIGN(AN435))*POWER(KOslave,SIGN(AO435))*POWER(KKslave,SIGN(AP435))+AL435*POWER(MUslave_MU,SIGN(AI435))*POWER(KLslave,SIGN(AJ435))*POWER(INslave,SIGN(AK435))*POWER(FFslave,SIGN(AM435))*POWER(GEslave,SIGN(AN435))*POWER(KOslave,SIGN(AO435))*POWER(KKslave,SIGN(AP435))+AM435*POWER(MUslave_MU,SIGN(AI435))*POWER(KLslave,SIGN(AJ435))*POWER(INslave,SIGN(AK435))*POWER(CHslave,SIGN(AL435))*POWER(GEslave,SIGN(AN435))*POWER(KOslave,SIGN(AO435))*POWER(KKslave,SIGN(AP435))+AN435*POWER(MUslave_MU,SIGN(AI435))*POWER(KLslave,SIGN(AJ435))*POWER(INslave,SIGN(AK435))*POWER(CHslave,SIGN(AL435))*POWER(FFslave,SIGN(AM435))*POWER(KOslave,SIGN(AO435))*POWER(KKslave,SIGN(AP435))+AO435*POWER(MUslave_MU,SIGN(AI435))*POWER(KLslave,SIGN(AJ435))*POWER(INslave,SIGN(AK435))*POWER(CHslave,SIGN(AL435))*POWER(FFslave,SIGN(AM435))*POWER(GEslave,SIGN(AN435))*POWER(KKslave,SIGN(AP435))+AP435*POWER(MUslave_MU,SIGN(AI435))*POWER(KLslave,SIGN(AJ435))*POWER(INslave,SIGN(AK435))*POWER(CHslave,SIGN(AL435))*POWER(FFslave,SIGN(AM435))*POWER(GEslave,SIGN(AN435))*POWER(KOslave,SIGN(AO435))</f>
        <v>2432</v>
      </c>
      <c r="AU435" s="113">
        <f>AI435*AJ435*INslave+AI435*KLslave*AK435+MUslave_MU*AJ435*AK435</f>
        <v>3408</v>
      </c>
      <c r="AV435" s="119">
        <f>IFERROR(AI435^SIGN(AI435),1)*IFERROR(AJ435^SIGN(AJ435),1)*IFERROR(AK435^SIGN(AK435),1)*IFERROR(AL435^SIGN(AL435),1)*IFERROR(AM435^SIGN(AM435),1)*IFERROR(AN435^SIGN(AN435),1)*IFERROR(AO435^SIGN(AO435),1)*IFERROR(AP435^SIGN(AP435),1)</f>
        <v>1584</v>
      </c>
      <c r="AW435" s="160">
        <f t="shared" si="4664"/>
        <v>7424</v>
      </c>
      <c r="AX435" s="89">
        <f t="shared" si="4665"/>
        <v>3.8218390804597702</v>
      </c>
      <c r="AY435" s="47">
        <f t="shared" si="4666"/>
        <v>10.711206896551724</v>
      </c>
      <c r="AZ435" s="127">
        <f t="shared" si="4667"/>
        <v>7.4676724137931032</v>
      </c>
      <c r="BA435" s="127">
        <f t="shared" si="4668"/>
        <v>22.000718390804597</v>
      </c>
      <c r="BB435" s="165">
        <f t="shared" si="4669"/>
        <v>0</v>
      </c>
      <c r="BC435" s="198">
        <f t="shared" si="4670"/>
        <v>22.000718390804597</v>
      </c>
      <c r="BD435" s="125">
        <f>IF(BA435&lt;=0,1,0)+IF(BA435&gt;0,BA435+1,0)*1+IF(BA435&gt;12,BA435-12,0)*1+IF(BA435&gt;13,BA435-13,0)*1+IF(BA435&gt;14,BA435-14,0)*1+IF(BA435&gt;15,BA435-15,0)*1+IF(BA435&gt;16,BA435-16,0)*1+IF(BA435&gt;17,BA435-17,0)*1+IF(BA435&gt;18,BA435-18,0)*1+IF(BA435&gt;19,BA435-19,0)*1+IF(BA435&gt;20,BA435-20,0)*1</f>
        <v>77.007183908045945</v>
      </c>
      <c r="BE435" s="160">
        <f>IF(BB435&lt;=0,1,0)+IF(BB435&gt;0,BB435+1,0)*1+IF(BB435&gt;12,BB435-12,0)*1+IF(BB435&gt;13,BB435-13,0)*1+IF(BB435&gt;14,BB435-14,0)*1+IF(BB435&gt;15,BB435-15,0)*1+IF(BB435&gt;16,BB435-16,0)*1+IF(BB435&gt;17,BB435-17,0)*1+IF(BB435&gt;18,BB435-18,0)*1+IF(BB435&gt;19,BB435-19,0)*1+IF(BB435&gt;20,BB435-20,0)*1</f>
        <v>1</v>
      </c>
      <c r="BF435" s="243">
        <f t="shared" si="4671"/>
        <v>76.007183908045945</v>
      </c>
      <c r="BG435" s="218">
        <f t="shared" si="4672"/>
        <v>0</v>
      </c>
      <c r="BI435" s="325" t="s">
        <v>238</v>
      </c>
      <c r="BJ435" s="218" t="s">
        <v>95</v>
      </c>
      <c r="BK435" s="223" t="s">
        <v>133</v>
      </c>
      <c r="BL435" s="237">
        <f>Konvention_1slave-MUslave</f>
        <v>12</v>
      </c>
      <c r="BM435" s="234">
        <f>Konvention_1slave-KLslave_KL</f>
        <v>11</v>
      </c>
      <c r="BN435" s="234">
        <f>Konvention_1slave-INslave</f>
        <v>12</v>
      </c>
      <c r="BO435" s="234"/>
      <c r="BP435" s="234"/>
      <c r="BQ435" s="234"/>
      <c r="BR435" s="234"/>
      <c r="BS435" s="224"/>
      <c r="BT435" s="223">
        <f>(BL435+BM435+BN435+BO435+BP435+BQ435+BR435+BS435)/3</f>
        <v>11.666666666666666</v>
      </c>
      <c r="BU435" s="223">
        <f t="shared" si="4673"/>
        <v>23.333333333333332</v>
      </c>
      <c r="BV435" s="234">
        <f t="shared" si="4674"/>
        <v>35</v>
      </c>
      <c r="BW435" s="237">
        <f>BL435*POWER(KLslave_KL,SIGN(BM435))*POWER(INslave,SIGN(BN435))*POWER(CHslave,SIGN(BO435))*POWER(FFslave,SIGN(BP435))*POWER(GEslave,SIGN(BQ435))*POWER(KOslave,SIGN(BR435))*POWER(KKslave,SIGN(BS435))+BM435*POWER(MUslave,SIGN(BL435))*POWER(INslave,SIGN(BN435))*POWER(CHslave,SIGN(BO435))*POWER(FFslave,SIGN(BP435))*POWER(GEslave,SIGN(BQ435))*POWER(KOslave,SIGN(BR435))*POWER(KKslave,SIGN(BS435))+BN435*POWER(MUslave,SIGN(BL435))*POWER(KLslave_KL,SIGN(BM435))*POWER(CHslave,SIGN(BO435))*POWER(FFslave,SIGN(BP435))*POWER(GEslave,SIGN(BQ435))*POWER(KOslave,SIGN(BR435))*POWER(KKslave,SIGN(BS435))+BO435*POWER(MUslave,SIGN(BL435))*POWER(KLslave_KL,SIGN(BM435))*POWER(INslave,SIGN(BN435))*POWER(FFslave,SIGN(BP435))*POWER(GEslave,SIGN(BQ435))*POWER(KOslave,SIGN(BR435))*POWER(KKslave,SIGN(BS435))+BP435*POWER(MUslave,SIGN(BL435))*POWER(KLslave_KL,SIGN(BM435))*POWER(INslave,SIGN(BN435))*POWER(CHslave,SIGN(BO435))*POWER(GEslave,SIGN(BQ435))*POWER(KOslave,SIGN(BR435))*POWER(KKslave,SIGN(BS435))+BQ435*POWER(MUslave,SIGN(BL435))*POWER(KLslave_KL,SIGN(BM435))*POWER(INslave,SIGN(BN435))*POWER(CHslave,SIGN(BO435))*POWER(FFslave,SIGN(BP435))*POWER(KOslave,SIGN(BR435))*POWER(KKslave,SIGN(BS435))+BR435*POWER(MUslave,SIGN(BL435))*POWER(KLslave_KL,SIGN(BM435))*POWER(INslave,SIGN(BN435))*POWER(CHslave,SIGN(BO435))*POWER(FFslave,SIGN(BP435))*POWER(GEslave,SIGN(BQ435))*POWER(KKslave,SIGN(BS435))+BS435*POWER(MUslave,SIGN(BL435))*POWER(KLslave_KL,SIGN(BM435))*POWER(INslave,SIGN(BN435))*POWER(CHslave,SIGN(BO435))*POWER(FFslave,SIGN(BP435))*POWER(GEslave,SIGN(BQ435))*POWER(KOslave,SIGN(BR435))</f>
        <v>2432</v>
      </c>
      <c r="BX435" s="234">
        <f>BL435*BM435*INslave+BL435*KLslave_KL*BN435+MUslave*BM435*BN435</f>
        <v>3408</v>
      </c>
      <c r="BY435" s="224">
        <f>IFERROR(BL435^SIGN(BL435),1)*IFERROR(BM435^SIGN(BM435),1)*IFERROR(BN435^SIGN(BN435),1)*IFERROR(BO435^SIGN(BO435),1)*IFERROR(BP435^SIGN(BP435),1)*IFERROR(BQ435^SIGN(BQ435),1)*IFERROR(BR435^SIGN(BR435),1)*IFERROR(BS435^SIGN(BS435),1)</f>
        <v>1584</v>
      </c>
      <c r="BZ435" s="242">
        <f t="shared" si="4675"/>
        <v>7424</v>
      </c>
      <c r="CA435" s="222">
        <f t="shared" si="4676"/>
        <v>3.8218390804597702</v>
      </c>
      <c r="CB435" s="223">
        <f t="shared" si="4677"/>
        <v>10.711206896551724</v>
      </c>
      <c r="CC435" s="243">
        <f t="shared" si="4678"/>
        <v>7.4676724137931032</v>
      </c>
      <c r="CD435" s="243">
        <f t="shared" si="4679"/>
        <v>22.000718390804597</v>
      </c>
      <c r="CE435" s="252">
        <f t="shared" si="4680"/>
        <v>0</v>
      </c>
      <c r="CF435" s="309">
        <f t="shared" si="4681"/>
        <v>22.000718390804597</v>
      </c>
      <c r="CG435" s="218">
        <f>IF(CD435&lt;=0,1,0)+IF(CD435&gt;0,CD435+1,0)*1+IF(CD435&gt;12,CD435-12,0)*1+IF(CD435&gt;13,CD435-13,0)*1+IF(CD435&gt;14,CD435-14,0)*1+IF(CD435&gt;15,CD435-15,0)*1+IF(CD435&gt;16,CD435-16,0)*1+IF(CD435&gt;17,CD435-17,0)*1+IF(CD435&gt;18,CD435-18,0)*1+IF(CD435&gt;19,CD435-19,0)*1+IF(CD435&gt;20,CD435-20,0)*1</f>
        <v>77.007183908045945</v>
      </c>
      <c r="CH435" s="242">
        <f>IF(CE435&lt;=0,1,0)+IF(CE435&gt;0,CE435+1,0)*1+IF(CE435&gt;12,CE435-12,0)*1+IF(CE435&gt;13,CE435-13,0)*1+IF(CE435&gt;14,CE435-14,0)*1+IF(CE435&gt;15,CE435-15,0)*1+IF(CE435&gt;16,CE435-16,0)*1+IF(CE435&gt;17,CE435-17,0)*1+IF(CE435&gt;18,CE435-18,0)*1+IF(CE435&gt;19,CE435-19,0)*1+IF(CE435&gt;20,CE435-20,0)*1</f>
        <v>1</v>
      </c>
      <c r="CI435" s="243">
        <f t="shared" si="4682"/>
        <v>76.007183908045945</v>
      </c>
      <c r="CJ435" s="218">
        <f t="shared" si="4683"/>
        <v>0</v>
      </c>
      <c r="CL435" s="325" t="s">
        <v>238</v>
      </c>
      <c r="CM435" s="218" t="s">
        <v>95</v>
      </c>
      <c r="CN435" s="223" t="s">
        <v>133</v>
      </c>
      <c r="CO435" s="237">
        <f>Konvention_1slave-MUslave</f>
        <v>12</v>
      </c>
      <c r="CP435" s="234">
        <f>Konvention_1slave-KLslave</f>
        <v>12</v>
      </c>
      <c r="CQ435" s="234">
        <f>Konvention_1slave-INslave_IN</f>
        <v>11</v>
      </c>
      <c r="CR435" s="234"/>
      <c r="CS435" s="234"/>
      <c r="CT435" s="234"/>
      <c r="CU435" s="234"/>
      <c r="CV435" s="224"/>
      <c r="CW435" s="223">
        <f>(CO435+CP435+CQ435+CR435+CS435+CT435+CU435+CV435)/3</f>
        <v>11.666666666666666</v>
      </c>
      <c r="CX435" s="223">
        <f t="shared" si="4684"/>
        <v>23.333333333333332</v>
      </c>
      <c r="CY435" s="234">
        <f t="shared" si="4685"/>
        <v>35</v>
      </c>
      <c r="CZ435" s="237">
        <f>CO435*POWER(KLslave,SIGN(CP435))*POWER(INslave_IN,SIGN(CQ435))*POWER(CHslave,SIGN(CR435))*POWER(FFslave,SIGN(CS435))*POWER(GEslave,SIGN(CT435))*POWER(KOslave,SIGN(CU435))*POWER(KKslave,SIGN(CV435))+CP435*POWER(MUslave,SIGN(CO435))*POWER(INslave_IN,SIGN(CQ435))*POWER(CHslave,SIGN(CR435))*POWER(FFslave,SIGN(CS435))*POWER(GEslave,SIGN(CT435))*POWER(KOslave,SIGN(CU435))*POWER(KKslave,SIGN(CV435))+CQ435*POWER(MUslave,SIGN(CO435))*POWER(KLslave,SIGN(CP435))*POWER(CHslave,SIGN(CR435))*POWER(FFslave,SIGN(CS435))*POWER(GEslave,SIGN(CT435))*POWER(KOslave,SIGN(CU435))*POWER(KKslave,SIGN(CV435))+CR435*POWER(MUslave,SIGN(CO435))*POWER(KLslave,SIGN(CP435))*POWER(INslave_IN,SIGN(CQ435))*POWER(FFslave,SIGN(CS435))*POWER(GEslave,SIGN(CT435))*POWER(KOslave,SIGN(CU435))*POWER(KKslave,SIGN(CV435))+CS435*POWER(MUslave,SIGN(CO435))*POWER(KLslave,SIGN(CP435))*POWER(INslave_IN,SIGN(CQ435))*POWER(CHslave,SIGN(CR435))*POWER(GEslave,SIGN(CT435))*POWER(KOslave,SIGN(CU435))*POWER(KKslave,SIGN(CV435))+CT435*POWER(MUslave,SIGN(CO435))*POWER(KLslave,SIGN(CP435))*POWER(INslave_IN,SIGN(CQ435))*POWER(CHslave,SIGN(CR435))*POWER(FFslave,SIGN(CS435))*POWER(KOslave,SIGN(CU435))*POWER(KKslave,SIGN(CV435))+CU435*POWER(MUslave,SIGN(CO435))*POWER(KLslave,SIGN(CP435))*POWER(INslave_IN,SIGN(CQ435))*POWER(CHslave,SIGN(CR435))*POWER(FFslave,SIGN(CS435))*POWER(GEslave,SIGN(CT435))*POWER(KKslave,SIGN(CV435))+CV435*POWER(MUslave,SIGN(CO435))*POWER(KLslave,SIGN(CP435))*POWER(INslave_IN,SIGN(CQ435))*POWER(CHslave,SIGN(CR435))*POWER(FFslave,SIGN(CS435))*POWER(GEslave,SIGN(CT435))*POWER(KOslave,SIGN(CU435))</f>
        <v>2432</v>
      </c>
      <c r="DA435" s="234">
        <f>CO435*CP435*INslave_IN+CO435*KLslave*CQ435+MUslave*CP435*CQ435</f>
        <v>3408</v>
      </c>
      <c r="DB435" s="224">
        <f>IFERROR(CO435^SIGN(CO435),1)*IFERROR(CP435^SIGN(CP435),1)*IFERROR(CQ435^SIGN(CQ435),1)*IFERROR(CR435^SIGN(CR435),1)*IFERROR(CS435^SIGN(CS435),1)*IFERROR(CT435^SIGN(CT435),1)*IFERROR(CU435^SIGN(CU435),1)*IFERROR(CV435^SIGN(CV435),1)</f>
        <v>1584</v>
      </c>
      <c r="DC435" s="242">
        <f t="shared" si="4686"/>
        <v>7424</v>
      </c>
      <c r="DD435" s="222">
        <f t="shared" si="4687"/>
        <v>3.8218390804597702</v>
      </c>
      <c r="DE435" s="223">
        <f t="shared" si="4688"/>
        <v>10.711206896551724</v>
      </c>
      <c r="DF435" s="243">
        <f t="shared" si="4689"/>
        <v>7.4676724137931032</v>
      </c>
      <c r="DG435" s="243">
        <f t="shared" si="4690"/>
        <v>22.000718390804597</v>
      </c>
      <c r="DH435" s="252">
        <f t="shared" si="4691"/>
        <v>0</v>
      </c>
      <c r="DI435" s="309">
        <f t="shared" si="4692"/>
        <v>22.000718390804597</v>
      </c>
      <c r="DJ435" s="218">
        <f>IF(DG435&lt;=0,1,0)+IF(DG435&gt;0,DG435+1,0)*1+IF(DG435&gt;12,DG435-12,0)*1+IF(DG435&gt;13,DG435-13,0)*1+IF(DG435&gt;14,DG435-14,0)*1+IF(DG435&gt;15,DG435-15,0)*1+IF(DG435&gt;16,DG435-16,0)*1+IF(DG435&gt;17,DG435-17,0)*1+IF(DG435&gt;18,DG435-18,0)*1+IF(DG435&gt;19,DG435-19,0)*1+IF(DG435&gt;20,DG435-20,0)*1</f>
        <v>77.007183908045945</v>
      </c>
      <c r="DK435" s="242">
        <f>IF(DH435&lt;=0,1,0)+IF(DH435&gt;0,DH435+1,0)*1+IF(DH435&gt;12,DH435-12,0)*1+IF(DH435&gt;13,DH435-13,0)*1+IF(DH435&gt;14,DH435-14,0)*1+IF(DH435&gt;15,DH435-15,0)*1+IF(DH435&gt;16,DH435-16,0)*1+IF(DH435&gt;17,DH435-17,0)*1+IF(DH435&gt;18,DH435-18,0)*1+IF(DH435&gt;19,DH435-19,0)*1+IF(DH435&gt;20,DH435-20,0)*1</f>
        <v>1</v>
      </c>
      <c r="DL435" s="243">
        <f t="shared" si="4693"/>
        <v>76.007183908045945</v>
      </c>
      <c r="DM435" s="218">
        <f t="shared" si="4694"/>
        <v>0</v>
      </c>
      <c r="DO435" s="325" t="s">
        <v>238</v>
      </c>
      <c r="DP435" s="218" t="s">
        <v>95</v>
      </c>
      <c r="DQ435" s="223" t="s">
        <v>133</v>
      </c>
      <c r="DR435" s="237">
        <f>Konvention_1slave-MUslave</f>
        <v>12</v>
      </c>
      <c r="DS435" s="234">
        <f>Konvention_1slave-KLslave</f>
        <v>12</v>
      </c>
      <c r="DT435" s="234">
        <f>Konvention_1slave-INslave</f>
        <v>12</v>
      </c>
      <c r="DU435" s="234"/>
      <c r="DV435" s="234"/>
      <c r="DW435" s="234"/>
      <c r="DX435" s="234"/>
      <c r="DY435" s="224"/>
      <c r="DZ435" s="223">
        <f>(DR435+DS435+DT435+DU435+DV435+DW435+DX435+DY435)/3</f>
        <v>12</v>
      </c>
      <c r="EA435" s="223">
        <f t="shared" si="4695"/>
        <v>24</v>
      </c>
      <c r="EB435" s="234">
        <f t="shared" si="4696"/>
        <v>36</v>
      </c>
      <c r="EC435" s="237">
        <f>DR435*POWER(KLslave,SIGN(DS435))*POWER(INslave,SIGN(DT435))*POWER(CHslave_CH,SIGN(DU435))*POWER(FFslave,SIGN(DV435))*POWER(GEslave,SIGN(DW435))*POWER(KOslave,SIGN(DX435))*POWER(KKslave,SIGN(DY435))+DS435*POWER(MUslave,SIGN(DR435))*POWER(INslave,SIGN(DT435))*POWER(CHslave_CH,SIGN(DU435))*POWER(FFslave,SIGN(DV435))*POWER(GEslave,SIGN(DW435))*POWER(KOslave,SIGN(DX435))*POWER(KKslave,SIGN(DY435))+DT435*POWER(MUslave,SIGN(DR435))*POWER(KLslave,SIGN(DS435))*POWER(CHslave_CH,SIGN(DU435))*POWER(FFslave,SIGN(DV435))*POWER(GEslave,SIGN(DW435))*POWER(KOslave,SIGN(DX435))*POWER(KKslave,SIGN(DY435))+DU435*POWER(MUslave,SIGN(DR435))*POWER(KLslave,SIGN(DS435))*POWER(INslave,SIGN(DT435))*POWER(FFslave,SIGN(DV435))*POWER(GEslave,SIGN(DW435))*POWER(KOslave,SIGN(DX435))*POWER(KKslave,SIGN(DY435))+DV435*POWER(MUslave,SIGN(DR435))*POWER(KLslave,SIGN(DS435))*POWER(INslave,SIGN(DT435))*POWER(CHslave_CH,SIGN(DU435))*POWER(GEslave,SIGN(DW435))*POWER(KOslave,SIGN(DX435))*POWER(KKslave,SIGN(DY435))+DW435*POWER(MUslave,SIGN(DR435))*POWER(KLslave,SIGN(DS435))*POWER(INslave,SIGN(DT435))*POWER(CHslave_CH,SIGN(DU435))*POWER(FFslave,SIGN(DV435))*POWER(KOslave,SIGN(DX435))*POWER(KKslave,SIGN(DY435))+DX435*POWER(MUslave,SIGN(DR435))*POWER(KLslave,SIGN(DS435))*POWER(INslave,SIGN(DT435))*POWER(CHslave_CH,SIGN(DU435))*POWER(FFslave,SIGN(DV435))*POWER(GEslave,SIGN(DW435))*POWER(KKslave,SIGN(DY435))+DY435*POWER(MUslave,SIGN(DR435))*POWER(KLslave,SIGN(DS435))*POWER(INslave,SIGN(DT435))*POWER(CHslave_CH,SIGN(DU435))*POWER(FFslave,SIGN(DV435))*POWER(GEslave,SIGN(DW435))*POWER(KOslave,SIGN(DX435))</f>
        <v>2304</v>
      </c>
      <c r="ED435" s="234">
        <f>DR435*DS435*INslave+DR435*KLslave*DT435+MUslave*DS435*DT435</f>
        <v>3456</v>
      </c>
      <c r="EE435" s="224">
        <f>IFERROR(DR435^SIGN(DR435),1)*IFERROR(DS435^SIGN(DS435),1)*IFERROR(DT435^SIGN(DT435),1)*IFERROR(DU435^SIGN(DU435),1)*IFERROR(DV435^SIGN(DV435),1)*IFERROR(DW435^SIGN(DW435),1)*IFERROR(DX435^SIGN(DX435),1)*IFERROR(DY435^SIGN(DY435),1)</f>
        <v>1728</v>
      </c>
      <c r="EF435" s="242">
        <f t="shared" si="4697"/>
        <v>7488</v>
      </c>
      <c r="EG435" s="222">
        <f t="shared" si="4698"/>
        <v>3.6923076923076925</v>
      </c>
      <c r="EH435" s="223">
        <f t="shared" si="4699"/>
        <v>11.076923076923077</v>
      </c>
      <c r="EI435" s="243">
        <f t="shared" si="4700"/>
        <v>8.3076923076923084</v>
      </c>
      <c r="EJ435" s="243">
        <f t="shared" si="4701"/>
        <v>23.07692307692308</v>
      </c>
      <c r="EK435" s="252">
        <f t="shared" si="4702"/>
        <v>0</v>
      </c>
      <c r="EL435" s="309">
        <f t="shared" si="4703"/>
        <v>23.07692307692308</v>
      </c>
      <c r="EM435" s="218">
        <f>IF(EJ435&lt;=0,1,0)+IF(EJ435&gt;0,EJ435+1,0)*1+IF(EJ435&gt;12,EJ435-12,0)*1+IF(EJ435&gt;13,EJ435-13,0)*1+IF(EJ435&gt;14,EJ435-14,0)*1+IF(EJ435&gt;15,EJ435-15,0)*1+IF(EJ435&gt;16,EJ435-16,0)*1+IF(EJ435&gt;17,EJ435-17,0)*1+IF(EJ435&gt;18,EJ435-18,0)*1+IF(EJ435&gt;19,EJ435-19,0)*1+IF(EJ435&gt;20,EJ435-20,0)*1</f>
        <v>87.769230769230802</v>
      </c>
      <c r="EN435" s="242">
        <f>IF(EK435&lt;=0,1,0)+IF(EK435&gt;0,EK435+1,0)*1+IF(EK435&gt;12,EK435-12,0)*1+IF(EK435&gt;13,EK435-13,0)*1+IF(EK435&gt;14,EK435-14,0)*1+IF(EK435&gt;15,EK435-15,0)*1+IF(EK435&gt;16,EK435-16,0)*1+IF(EK435&gt;17,EK435-17,0)*1+IF(EK435&gt;18,EK435-18,0)*1+IF(EK435&gt;19,EK435-19,0)*1+IF(EK435&gt;20,EK435-20,0)*1</f>
        <v>1</v>
      </c>
      <c r="EO435" s="243">
        <f t="shared" si="4704"/>
        <v>86.769230769230802</v>
      </c>
      <c r="EP435" s="218">
        <f t="shared" si="4705"/>
        <v>0</v>
      </c>
      <c r="ER435" s="325" t="s">
        <v>238</v>
      </c>
      <c r="ES435" s="218" t="s">
        <v>95</v>
      </c>
      <c r="ET435" s="223" t="s">
        <v>133</v>
      </c>
      <c r="EU435" s="237">
        <f>Konvention_1slave-MUslave</f>
        <v>12</v>
      </c>
      <c r="EV435" s="234">
        <f>Konvention_1slave-KLslave</f>
        <v>12</v>
      </c>
      <c r="EW435" s="234">
        <f>Konvention_1slave-INslave</f>
        <v>12</v>
      </c>
      <c r="EX435" s="234"/>
      <c r="EY435" s="234"/>
      <c r="EZ435" s="234"/>
      <c r="FA435" s="234"/>
      <c r="FB435" s="224"/>
      <c r="FC435" s="223">
        <f>(EU435+EV435+EW435+EX435+EY435+EZ435+FA435+FB435)/3</f>
        <v>12</v>
      </c>
      <c r="FD435" s="223">
        <f t="shared" si="4706"/>
        <v>24</v>
      </c>
      <c r="FE435" s="234">
        <f t="shared" si="4707"/>
        <v>36</v>
      </c>
      <c r="FF435" s="237">
        <f>EU435*POWER(KLslave,SIGN(EV435))*POWER(INslave,SIGN(EW435))*POWER(CHslave,SIGN(EX435))*POWER(FFslave_FF,SIGN(EY435))*POWER(GEslave,SIGN(EZ435))*POWER(KOslave,SIGN(FA435))*POWER(KKslave,SIGN(FB435))+EV435*POWER(MUslave,SIGN(EU435))*POWER(INslave,SIGN(EW435))*POWER(CHslave,SIGN(EX435))*POWER(FFslave_FF,SIGN(EY435))*POWER(GEslave,SIGN(EZ435))*POWER(KOslave,SIGN(FA435))*POWER(KKslave,SIGN(FB435))+EW435*POWER(MUslave,SIGN(EU435))*POWER(KLslave,SIGN(EV435))*POWER(CHslave,SIGN(EX435))*POWER(FFslave_FF,SIGN(EY435))*POWER(GEslave,SIGN(EZ435))*POWER(KOslave,SIGN(FA435))*POWER(KKslave,SIGN(FB435))+EX435*POWER(MUslave,SIGN(EU435))*POWER(KLslave,SIGN(EV435))*POWER(INslave,SIGN(EW435))*POWER(FFslave_FF,SIGN(EY435))*POWER(GEslave,SIGN(EZ435))*POWER(KOslave,SIGN(FA435))*POWER(KKslave,SIGN(FB435))+EY435*POWER(MUslave,SIGN(EU435))*POWER(KLslave,SIGN(EV435))*POWER(INslave,SIGN(EW435))*POWER(CHslave,SIGN(EX435))*POWER(GEslave,SIGN(EZ435))*POWER(KOslave,SIGN(FA435))*POWER(KKslave,SIGN(FB435))+EZ435*POWER(MUslave,SIGN(EU435))*POWER(KLslave,SIGN(EV435))*POWER(INslave,SIGN(EW435))*POWER(CHslave,SIGN(EX435))*POWER(FFslave_FF,SIGN(EY435))*POWER(KOslave,SIGN(FA435))*POWER(KKslave,SIGN(FB435))+FA435*POWER(MUslave,SIGN(EU435))*POWER(KLslave,SIGN(EV435))*POWER(INslave,SIGN(EW435))*POWER(CHslave,SIGN(EX435))*POWER(FFslave_FF,SIGN(EY435))*POWER(GEslave,SIGN(EZ435))*POWER(KKslave,SIGN(FB435))+FB435*POWER(MUslave,SIGN(EU435))*POWER(KLslave,SIGN(EV435))*POWER(INslave,SIGN(EW435))*POWER(CHslave,SIGN(EX435))*POWER(FFslave_FF,SIGN(EY435))*POWER(GEslave,SIGN(EZ435))*POWER(KOslave,SIGN(FA435))</f>
        <v>2304</v>
      </c>
      <c r="FG435" s="234">
        <f>EU435*EV435*INslave+EU435*KLslave*EW435+MUslave*EV435*EW435</f>
        <v>3456</v>
      </c>
      <c r="FH435" s="224">
        <f>IFERROR(EU435^SIGN(EU435),1)*IFERROR(EV435^SIGN(EV435),1)*IFERROR(EW435^SIGN(EW435),1)*IFERROR(EX435^SIGN(EX435),1)*IFERROR(EY435^SIGN(EY435),1)*IFERROR(EZ435^SIGN(EZ435),1)*IFERROR(FA435^SIGN(FA435),1)*IFERROR(FB435^SIGN(FB435),1)</f>
        <v>1728</v>
      </c>
      <c r="FI435" s="242">
        <f t="shared" si="4708"/>
        <v>7488</v>
      </c>
      <c r="FJ435" s="222">
        <f t="shared" si="4709"/>
        <v>3.6923076923076925</v>
      </c>
      <c r="FK435" s="223">
        <f t="shared" si="4710"/>
        <v>11.076923076923077</v>
      </c>
      <c r="FL435" s="243">
        <f t="shared" si="4711"/>
        <v>8.3076923076923084</v>
      </c>
      <c r="FM435" s="243">
        <f t="shared" si="4712"/>
        <v>23.07692307692308</v>
      </c>
      <c r="FN435" s="252">
        <f t="shared" si="4713"/>
        <v>0</v>
      </c>
      <c r="FO435" s="309">
        <f t="shared" si="4714"/>
        <v>23.07692307692308</v>
      </c>
      <c r="FP435" s="218">
        <f>IF(FM435&lt;=0,1,0)+IF(FM435&gt;0,FM435+1,0)*1+IF(FM435&gt;12,FM435-12,0)*1+IF(FM435&gt;13,FM435-13,0)*1+IF(FM435&gt;14,FM435-14,0)*1+IF(FM435&gt;15,FM435-15,0)*1+IF(FM435&gt;16,FM435-16,0)*1+IF(FM435&gt;17,FM435-17,0)*1+IF(FM435&gt;18,FM435-18,0)*1+IF(FM435&gt;19,FM435-19,0)*1+IF(FM435&gt;20,FM435-20,0)*1</f>
        <v>87.769230769230802</v>
      </c>
      <c r="FQ435" s="242">
        <f>IF(FN435&lt;=0,1,0)+IF(FN435&gt;0,FN435+1,0)*1+IF(FN435&gt;12,FN435-12,0)*1+IF(FN435&gt;13,FN435-13,0)*1+IF(FN435&gt;14,FN435-14,0)*1+IF(FN435&gt;15,FN435-15,0)*1+IF(FN435&gt;16,FN435-16,0)*1+IF(FN435&gt;17,FN435-17,0)*1+IF(FN435&gt;18,FN435-18,0)*1+IF(FN435&gt;19,FN435-19,0)*1+IF(FN435&gt;20,FN435-20,0)*1</f>
        <v>1</v>
      </c>
      <c r="FR435" s="243">
        <f t="shared" si="4715"/>
        <v>86.769230769230802</v>
      </c>
      <c r="FS435" s="218">
        <f t="shared" si="4716"/>
        <v>0</v>
      </c>
      <c r="FU435" s="325" t="s">
        <v>238</v>
      </c>
      <c r="FV435" s="218" t="s">
        <v>95</v>
      </c>
      <c r="FW435" s="223" t="s">
        <v>133</v>
      </c>
      <c r="FX435" s="237">
        <f>Konvention_1slave-MUslave</f>
        <v>12</v>
      </c>
      <c r="FY435" s="234">
        <f>Konvention_1slave-KLslave</f>
        <v>12</v>
      </c>
      <c r="FZ435" s="234">
        <f>Konvention_1slave-INslave</f>
        <v>12</v>
      </c>
      <c r="GA435" s="234"/>
      <c r="GB435" s="234"/>
      <c r="GC435" s="234"/>
      <c r="GD435" s="234"/>
      <c r="GE435" s="224"/>
      <c r="GF435" s="223">
        <f>(FX435+FY435+FZ435+GA435+GB435+GC435+GD435+GE435)/3</f>
        <v>12</v>
      </c>
      <c r="GG435" s="223">
        <f t="shared" si="4717"/>
        <v>24</v>
      </c>
      <c r="GH435" s="234">
        <f t="shared" si="4718"/>
        <v>36</v>
      </c>
      <c r="GI435" s="237">
        <f>FX435*POWER(KLslave,SIGN(FY435))*POWER(INslave,SIGN(FZ435))*POWER(CHslave,SIGN(GA435))*POWER(FFslave,SIGN(GB435))*POWER(GEslave_GE,SIGN(GC435))*POWER(KOslave,SIGN(GD435))*POWER(KKslave,SIGN(GE435))+FY435*POWER(MUslave,SIGN(FX435))*POWER(INslave,SIGN(FZ435))*POWER(CHslave,SIGN(GA435))*POWER(FFslave,SIGN(GB435))*POWER(GEslave_GE,SIGN(GC435))*POWER(KOslave,SIGN(GD435))*POWER(KKslave,SIGN(GE435))+FZ435*POWER(MUslave,SIGN(FX435))*POWER(KLslave,SIGN(FY435))*POWER(CHslave,SIGN(GA435))*POWER(FFslave,SIGN(GB435))*POWER(GEslave_GE,SIGN(GC435))*POWER(KOslave,SIGN(GD435))*POWER(KKslave,SIGN(GE435))+GA435*POWER(MUslave,SIGN(FX435))*POWER(KLslave,SIGN(FY435))*POWER(INslave,SIGN(FZ435))*POWER(FFslave,SIGN(GB435))*POWER(GEslave_GE,SIGN(GC435))*POWER(KOslave,SIGN(GD435))*POWER(KKslave,SIGN(GE435))+GB435*POWER(MUslave,SIGN(FX435))*POWER(KLslave,SIGN(FY435))*POWER(INslave,SIGN(FZ435))*POWER(CHslave,SIGN(GA435))*POWER(GEslave_GE,SIGN(GC435))*POWER(KOslave,SIGN(GD435))*POWER(KKslave,SIGN(GE435))+GC435*POWER(MUslave,SIGN(FX435))*POWER(KLslave,SIGN(FY435))*POWER(INslave,SIGN(FZ435))*POWER(CHslave,SIGN(GA435))*POWER(FFslave,SIGN(GB435))*POWER(KOslave,SIGN(GD435))*POWER(KKslave,SIGN(GE435))+GD435*POWER(MUslave,SIGN(FX435))*POWER(KLslave,SIGN(FY435))*POWER(INslave,SIGN(FZ435))*POWER(CHslave,SIGN(GA435))*POWER(FFslave,SIGN(GB435))*POWER(GEslave_GE,SIGN(GC435))*POWER(KKslave,SIGN(GE435))+GE435*POWER(MUslave,SIGN(FX435))*POWER(KLslave,SIGN(FY435))*POWER(INslave,SIGN(FZ435))*POWER(CHslave,SIGN(GA435))*POWER(FFslave,SIGN(GB435))*POWER(GEslave_GE,SIGN(GC435))*POWER(KOslave,SIGN(GD435))</f>
        <v>2304</v>
      </c>
      <c r="GJ435" s="234">
        <f>FX435*FY435*INslave+FX435*KLslave*FZ435+MUslave*FY435*FZ435</f>
        <v>3456</v>
      </c>
      <c r="GK435" s="224">
        <f>IFERROR(FX435^SIGN(FX435),1)*IFERROR(FY435^SIGN(FY435),1)*IFERROR(FZ435^SIGN(FZ435),1)*IFERROR(GA435^SIGN(GA435),1)*IFERROR(GB435^SIGN(GB435),1)*IFERROR(GC435^SIGN(GC435),1)*IFERROR(GD435^SIGN(GD435),1)*IFERROR(GE435^SIGN(GE435),1)</f>
        <v>1728</v>
      </c>
      <c r="GL435" s="242">
        <f t="shared" si="4719"/>
        <v>7488</v>
      </c>
      <c r="GM435" s="222">
        <f t="shared" si="4720"/>
        <v>3.6923076923076925</v>
      </c>
      <c r="GN435" s="223">
        <f t="shared" si="4721"/>
        <v>11.076923076923077</v>
      </c>
      <c r="GO435" s="243">
        <f t="shared" si="4722"/>
        <v>8.3076923076923084</v>
      </c>
      <c r="GP435" s="243">
        <f t="shared" si="4723"/>
        <v>23.07692307692308</v>
      </c>
      <c r="GQ435" s="252">
        <f t="shared" si="4724"/>
        <v>0</v>
      </c>
      <c r="GR435" s="309">
        <f t="shared" si="4725"/>
        <v>23.07692307692308</v>
      </c>
      <c r="GS435" s="218">
        <f>IF(GP435&lt;=0,1,0)+IF(GP435&gt;0,GP435+1,0)*1+IF(GP435&gt;12,GP435-12,0)*1+IF(GP435&gt;13,GP435-13,0)*1+IF(GP435&gt;14,GP435-14,0)*1+IF(GP435&gt;15,GP435-15,0)*1+IF(GP435&gt;16,GP435-16,0)*1+IF(GP435&gt;17,GP435-17,0)*1+IF(GP435&gt;18,GP435-18,0)*1+IF(GP435&gt;19,GP435-19,0)*1+IF(GP435&gt;20,GP435-20,0)*1</f>
        <v>87.769230769230802</v>
      </c>
      <c r="GT435" s="242">
        <f>IF(GQ435&lt;=0,1,0)+IF(GQ435&gt;0,GQ435+1,0)*1+IF(GQ435&gt;12,GQ435-12,0)*1+IF(GQ435&gt;13,GQ435-13,0)*1+IF(GQ435&gt;14,GQ435-14,0)*1+IF(GQ435&gt;15,GQ435-15,0)*1+IF(GQ435&gt;16,GQ435-16,0)*1+IF(GQ435&gt;17,GQ435-17,0)*1+IF(GQ435&gt;18,GQ435-18,0)*1+IF(GQ435&gt;19,GQ435-19,0)*1+IF(GQ435&gt;20,GQ435-20,0)*1</f>
        <v>1</v>
      </c>
      <c r="GU435" s="243">
        <f t="shared" si="4726"/>
        <v>86.769230769230802</v>
      </c>
      <c r="GV435" s="218">
        <f t="shared" si="4727"/>
        <v>0</v>
      </c>
      <c r="GX435" s="325" t="s">
        <v>238</v>
      </c>
      <c r="GY435" s="218" t="s">
        <v>95</v>
      </c>
      <c r="GZ435" s="223" t="s">
        <v>133</v>
      </c>
      <c r="HA435" s="237">
        <f>Konvention_1slave-MUslave</f>
        <v>12</v>
      </c>
      <c r="HB435" s="234">
        <f>Konvention_1slave-KLslave</f>
        <v>12</v>
      </c>
      <c r="HC435" s="234">
        <f>Konvention_1slave-INslave</f>
        <v>12</v>
      </c>
      <c r="HD435" s="234"/>
      <c r="HE435" s="234"/>
      <c r="HF435" s="234"/>
      <c r="HG435" s="234"/>
      <c r="HH435" s="224"/>
      <c r="HI435" s="223">
        <f>(HA435+HB435+HC435+HD435+HE435+HF435+HG435+HH435)/3</f>
        <v>12</v>
      </c>
      <c r="HJ435" s="223">
        <f t="shared" si="4728"/>
        <v>24</v>
      </c>
      <c r="HK435" s="234">
        <f t="shared" si="4729"/>
        <v>36</v>
      </c>
      <c r="HL435" s="237">
        <f>HA435*POWER(KLslave,SIGN(HB435))*POWER(INslave,SIGN(HC435))*POWER(CHslave,SIGN(HD435))*POWER(FFslave,SIGN(HE435))*POWER(GEslave,SIGN(HF435))*POWER(KOslave_KO,SIGN(HG435))*POWER(KKslave,SIGN(HH435))+HB435*POWER(MUslave,SIGN(HA435))*POWER(INslave,SIGN(HC435))*POWER(CHslave,SIGN(HD435))*POWER(FFslave,SIGN(HE435))*POWER(GEslave,SIGN(HF435))*POWER(KOslave_KO,SIGN(HG435))*POWER(KKslave,SIGN(HH435))+HC435*POWER(MUslave,SIGN(HA435))*POWER(KLslave,SIGN(HB435))*POWER(CHslave,SIGN(HD435))*POWER(FFslave,SIGN(HE435))*POWER(GEslave,SIGN(HF435))*POWER(KOslave_KO,SIGN(HG435))*POWER(KKslave,SIGN(HH435))+HD435*POWER(MUslave,SIGN(HA435))*POWER(KLslave,SIGN(HB435))*POWER(INslave,SIGN(HC435))*POWER(FFslave,SIGN(HE435))*POWER(GEslave,SIGN(HF435))*POWER(KOslave_KO,SIGN(HG435))*POWER(KKslave,SIGN(HH435))+HE435*POWER(MUslave,SIGN(HA435))*POWER(KLslave,SIGN(HB435))*POWER(INslave,SIGN(HC435))*POWER(CHslave,SIGN(HD435))*POWER(GEslave,SIGN(HF435))*POWER(KOslave_KO,SIGN(HG435))*POWER(KKslave,SIGN(HH435))+HF435*POWER(MUslave,SIGN(HA435))*POWER(KLslave,SIGN(HB435))*POWER(INslave,SIGN(HC435))*POWER(CHslave,SIGN(HD435))*POWER(FFslave,SIGN(HE435))*POWER(KOslave_KO,SIGN(HG435))*POWER(KKslave,SIGN(HH435))+HG435*POWER(MUslave,SIGN(HA435))*POWER(KLslave,SIGN(HB435))*POWER(INslave,SIGN(HC435))*POWER(CHslave,SIGN(HD435))*POWER(FFslave,SIGN(HE435))*POWER(GEslave,SIGN(HF435))*POWER(KKslave,SIGN(HH435))+HH435*POWER(MUslave,SIGN(HA435))*POWER(KLslave,SIGN(HB435))*POWER(INslave,SIGN(HC435))*POWER(CHslave,SIGN(HD435))*POWER(FFslave,SIGN(HE435))*POWER(GEslave,SIGN(HF435))*POWER(KOslave_KO,SIGN(HG435))</f>
        <v>2304</v>
      </c>
      <c r="HM435" s="234">
        <f>HA435*HB435*INslave+HA435*KLslave*HC435+MUslave*HB435*HC435</f>
        <v>3456</v>
      </c>
      <c r="HN435" s="224">
        <f>IFERROR(HA435^SIGN(HA435),1)*IFERROR(HB435^SIGN(HB435),1)*IFERROR(HC435^SIGN(HC435),1)*IFERROR(HD435^SIGN(HD435),1)*IFERROR(HE435^SIGN(HE435),1)*IFERROR(HF435^SIGN(HF435),1)*IFERROR(HG435^SIGN(HG435),1)*IFERROR(HH435^SIGN(HH435),1)</f>
        <v>1728</v>
      </c>
      <c r="HO435" s="242">
        <f t="shared" si="4730"/>
        <v>7488</v>
      </c>
      <c r="HP435" s="222">
        <f t="shared" si="4731"/>
        <v>3.6923076923076925</v>
      </c>
      <c r="HQ435" s="223">
        <f t="shared" si="4732"/>
        <v>11.076923076923077</v>
      </c>
      <c r="HR435" s="243">
        <f t="shared" si="4733"/>
        <v>8.3076923076923084</v>
      </c>
      <c r="HS435" s="243">
        <f t="shared" si="4734"/>
        <v>23.07692307692308</v>
      </c>
      <c r="HT435" s="252">
        <f t="shared" si="4735"/>
        <v>0</v>
      </c>
      <c r="HU435" s="309">
        <f t="shared" si="4736"/>
        <v>23.07692307692308</v>
      </c>
      <c r="HV435" s="218">
        <f>IF(HS435&lt;=0,1,0)+IF(HS435&gt;0,HS435+1,0)*1+IF(HS435&gt;12,HS435-12,0)*1+IF(HS435&gt;13,HS435-13,0)*1+IF(HS435&gt;14,HS435-14,0)*1+IF(HS435&gt;15,HS435-15,0)*1+IF(HS435&gt;16,HS435-16,0)*1+IF(HS435&gt;17,HS435-17,0)*1+IF(HS435&gt;18,HS435-18,0)*1+IF(HS435&gt;19,HS435-19,0)*1+IF(HS435&gt;20,HS435-20,0)*1</f>
        <v>87.769230769230802</v>
      </c>
      <c r="HW435" s="242">
        <f>IF(HT435&lt;=0,1,0)+IF(HT435&gt;0,HT435+1,0)*1+IF(HT435&gt;12,HT435-12,0)*1+IF(HT435&gt;13,HT435-13,0)*1+IF(HT435&gt;14,HT435-14,0)*1+IF(HT435&gt;15,HT435-15,0)*1+IF(HT435&gt;16,HT435-16,0)*1+IF(HT435&gt;17,HT435-17,0)*1+IF(HT435&gt;18,HT435-18,0)*1+IF(HT435&gt;19,HT435-19,0)*1+IF(HT435&gt;20,HT435-20,0)*1</f>
        <v>1</v>
      </c>
      <c r="HX435" s="243">
        <f t="shared" si="4737"/>
        <v>86.769230769230802</v>
      </c>
      <c r="HY435" s="218">
        <f t="shared" si="4738"/>
        <v>0</v>
      </c>
      <c r="IA435" s="325" t="s">
        <v>238</v>
      </c>
      <c r="IB435" s="218" t="s">
        <v>95</v>
      </c>
      <c r="IC435" s="223" t="s">
        <v>133</v>
      </c>
      <c r="ID435" s="237">
        <f>Konvention_1slave-MUslave</f>
        <v>12</v>
      </c>
      <c r="IE435" s="234">
        <f>Konvention_1slave-KLslave</f>
        <v>12</v>
      </c>
      <c r="IF435" s="234">
        <f>Konvention_1slave-INslave</f>
        <v>12</v>
      </c>
      <c r="IG435" s="234"/>
      <c r="IH435" s="234"/>
      <c r="II435" s="234"/>
      <c r="IJ435" s="234"/>
      <c r="IK435" s="224"/>
      <c r="IL435" s="223">
        <f>(ID435+IE435+IF435+IG435+IH435+II435+IJ435+IK435)/3</f>
        <v>12</v>
      </c>
      <c r="IM435" s="223">
        <f t="shared" si="4739"/>
        <v>24</v>
      </c>
      <c r="IN435" s="234">
        <f t="shared" si="4740"/>
        <v>36</v>
      </c>
      <c r="IO435" s="237">
        <f>ID435*POWER(KLslave,SIGN(IE435))*POWER(INslave,SIGN(IF435))*POWER(CHslave,SIGN(IG435))*POWER(FFslave,SIGN(IH435))*POWER(GEslave,SIGN(II435))*POWER(KOslave,SIGN(IJ435))*POWER(KKslave_KK,SIGN(IK435))+IE435*POWER(MUslave,SIGN(ID435))*POWER(INslave,SIGN(IF435))*POWER(CHslave,SIGN(IG435))*POWER(FFslave,SIGN(IH435))*POWER(GEslave,SIGN(II435))*POWER(KOslave,SIGN(IJ435))*POWER(KKslave_KK,SIGN(IK435))+IF435*POWER(MUslave,SIGN(ID435))*POWER(KLslave,SIGN(IE435))*POWER(CHslave,SIGN(IG435))*POWER(FFslave,SIGN(IH435))*POWER(GEslave,SIGN(II435))*POWER(KOslave,SIGN(IJ435))*POWER(KKslave_KK,SIGN(IK435))+IG435*POWER(MUslave,SIGN(ID435))*POWER(KLslave,SIGN(IE435))*POWER(INslave,SIGN(IF435))*POWER(FFslave,SIGN(IH435))*POWER(GEslave,SIGN(II435))*POWER(KOslave,SIGN(IJ435))*POWER(KKslave_KK,SIGN(IK435))+IH435*POWER(MUslave,SIGN(ID435))*POWER(KLslave,SIGN(IE435))*POWER(INslave,SIGN(IF435))*POWER(CHslave,SIGN(IG435))*POWER(GEslave,SIGN(II435))*POWER(KOslave,SIGN(IJ435))*POWER(KKslave_KK,SIGN(IK435))+II435*POWER(MUslave,SIGN(ID435))*POWER(KLslave,SIGN(IE435))*POWER(INslave,SIGN(IF435))*POWER(CHslave,SIGN(IG435))*POWER(FFslave,SIGN(IH435))*POWER(KOslave,SIGN(IJ435))*POWER(KKslave_KK,SIGN(IK435))+IJ435*POWER(MUslave,SIGN(ID435))*POWER(KLslave,SIGN(IE435))*POWER(INslave,SIGN(IF435))*POWER(CHslave,SIGN(IG435))*POWER(FFslave,SIGN(IH435))*POWER(GEslave,SIGN(II435))*POWER(KKslave_KK,SIGN(IK435))+IK435*POWER(MUslave,SIGN(ID435))*POWER(KLslave,SIGN(IE435))*POWER(INslave,SIGN(IF435))*POWER(CHslave,SIGN(IG435))*POWER(FFslave,SIGN(IH435))*POWER(GEslave,SIGN(II435))*POWER(KOslave,SIGN(IJ435))</f>
        <v>2304</v>
      </c>
      <c r="IP435" s="234">
        <f>ID435*IE435*INslave+ID435*KLslave*IF435+MUslave*IE435*IF435</f>
        <v>3456</v>
      </c>
      <c r="IQ435" s="224">
        <f>IFERROR(ID435^SIGN(ID435),1)*IFERROR(IE435^SIGN(IE435),1)*IFERROR(IF435^SIGN(IF435),1)*IFERROR(IG435^SIGN(IG435),1)*IFERROR(IH435^SIGN(IH435),1)*IFERROR(II435^SIGN(II435),1)*IFERROR(IJ435^SIGN(IJ435),1)*IFERROR(IK435^SIGN(IK435),1)</f>
        <v>1728</v>
      </c>
      <c r="IR435" s="242">
        <f t="shared" si="4741"/>
        <v>7488</v>
      </c>
      <c r="IS435" s="222">
        <f t="shared" si="4742"/>
        <v>3.6923076923076925</v>
      </c>
      <c r="IT435" s="223">
        <f t="shared" si="4743"/>
        <v>11.076923076923077</v>
      </c>
      <c r="IU435" s="243">
        <f t="shared" si="4744"/>
        <v>8.3076923076923084</v>
      </c>
      <c r="IV435" s="243">
        <f t="shared" si="4745"/>
        <v>23.07692307692308</v>
      </c>
      <c r="IW435" s="252">
        <f t="shared" si="4746"/>
        <v>0</v>
      </c>
      <c r="IX435" s="309">
        <f t="shared" si="4747"/>
        <v>23.07692307692308</v>
      </c>
      <c r="IY435" s="218">
        <f>IF(IV435&lt;=0,1,0)+IF(IV435&gt;0,IV435+1,0)*1+IF(IV435&gt;12,IV435-12,0)*1+IF(IV435&gt;13,IV435-13,0)*1+IF(IV435&gt;14,IV435-14,0)*1+IF(IV435&gt;15,IV435-15,0)*1+IF(IV435&gt;16,IV435-16,0)*1+IF(IV435&gt;17,IV435-17,0)*1+IF(IV435&gt;18,IV435-18,0)*1+IF(IV435&gt;19,IV435-19,0)*1+IF(IV435&gt;20,IV435-20,0)*1</f>
        <v>87.769230769230802</v>
      </c>
      <c r="IZ435" s="242">
        <f>IF(IW435&lt;=0,1,0)+IF(IW435&gt;0,IW435+1,0)*1+IF(IW435&gt;12,IW435-12,0)*1+IF(IW435&gt;13,IW435-13,0)*1+IF(IW435&gt;14,IW435-14,0)*1+IF(IW435&gt;15,IW435-15,0)*1+IF(IW435&gt;16,IW435-16,0)*1+IF(IW435&gt;17,IW435-17,0)*1+IF(IW435&gt;18,IW435-18,0)*1+IF(IW435&gt;19,IW435-19,0)*1+IF(IW435&gt;20,IW435-20,0)*1</f>
        <v>1</v>
      </c>
      <c r="JA435" s="243">
        <f t="shared" si="4748"/>
        <v>86.769230769230802</v>
      </c>
      <c r="JB435" s="218">
        <f t="shared" si="4749"/>
        <v>0</v>
      </c>
      <c r="JE435" s="148"/>
    </row>
    <row r="436" spans="1:265" ht="15" hidden="1" customHeight="1" outlineLevel="2">
      <c r="B436" s="148">
        <v>3</v>
      </c>
      <c r="C436" s="325" t="e">
        <f>VLOOKUP(AF436,Attribute!C:T,1,FALSE)</f>
        <v>#N/A</v>
      </c>
      <c r="D436" s="86" t="s">
        <v>86</v>
      </c>
      <c r="E436" s="47" t="s">
        <v>132</v>
      </c>
      <c r="F436" s="114">
        <f>Konvention_1master-MUmaster</f>
        <v>12</v>
      </c>
      <c r="G436" s="113"/>
      <c r="H436" s="113">
        <f>Konvention_1master-INmaster</f>
        <v>12</v>
      </c>
      <c r="I436" s="113">
        <f>Konvention_1master-CHmaster</f>
        <v>12</v>
      </c>
      <c r="J436" s="113"/>
      <c r="K436" s="113"/>
      <c r="L436" s="113"/>
      <c r="M436" s="119"/>
      <c r="N436" s="223">
        <f>(F436+G436+H436+I436+J436+K436+L436+M436)/3</f>
        <v>12</v>
      </c>
      <c r="O436" s="223">
        <f t="shared" si="4652"/>
        <v>24</v>
      </c>
      <c r="P436" s="234">
        <f t="shared" si="4653"/>
        <v>36</v>
      </c>
      <c r="Q436" s="237">
        <f>F436*POWER(KLmaster,SIGN(G436))*POWER(INmaster,SIGN(H436))*POWER(CHmaster,SIGN(I436))*POWER(FFmaster,SIGN(J436))*POWER(GEmaster,SIGN(K436))*POWER(KOmaster,SIGN(L436))*POWER(KKmaster,SIGN(M436))+G436*POWER(MUmaster,SIGN(F436))*POWER(INmaster,SIGN(H436))*POWER(CHmaster,SIGN(I436))*POWER(FFmaster,SIGN(J436))*POWER(GEmaster,SIGN(K436))*POWER(KOmaster,SIGN(L436))*POWER(KKmaster,SIGN(M436))+H436*POWER(MUmaster,SIGN(F436))*POWER(KLmaster,SIGN(G436))*POWER(CHmaster,SIGN(I436))*POWER(FFmaster,SIGN(J436))*POWER(GEmaster,SIGN(K436))*POWER(KOmaster,SIGN(L436))*POWER(KKmaster,SIGN(M436))+I436*POWER(MUmaster,SIGN(F436))*POWER(KLmaster,SIGN(G436))*POWER(INmaster,SIGN(H436))*POWER(FFmaster,SIGN(J436))*POWER(GEmaster,SIGN(K436))*POWER(KOmaster,SIGN(L436))*POWER(KKmaster,SIGN(M436))+J436*POWER(MUmaster,SIGN(F436))*POWER(KLmaster,SIGN(G436))*POWER(INmaster,SIGN(H436))*POWER(CHmaster,SIGN(I436))*POWER(GEmaster,SIGN(K436))*POWER(KOmaster,SIGN(L436))*POWER(KKmaster,SIGN(M436))+K436*POWER(MUmaster,SIGN(F436))*POWER(KLmaster,SIGN(G436))*POWER(INmaster,SIGN(H436))*POWER(CHmaster,SIGN(I436))*POWER(FFmaster,SIGN(J436))*POWER(KOmaster,SIGN(L436))*POWER(KKmaster,SIGN(M436))+L436*POWER(MUmaster,SIGN(F436))*POWER(KLmaster,SIGN(G436))*POWER(INmaster,SIGN(H436))*POWER(CHmaster,SIGN(I436))*POWER(FFmaster,SIGN(J436))*POWER(GEmaster,SIGN(K436))*POWER(KKmaster,SIGN(M436))+M436*POWER(MUmaster,SIGN(F436))*POWER(KLmaster,SIGN(G436))*POWER(INmaster,SIGN(H436))*POWER(CHmaster,SIGN(I436))*POWER(FFmaster,SIGN(J436))*POWER(GEmaster,SIGN(K436))*POWER(KOmaster,SIGN(L436))</f>
        <v>2304</v>
      </c>
      <c r="R436" s="113">
        <f>F436*H436*CHmaster+F436*INmaster*I436+MUmaster*H436*I436</f>
        <v>3456</v>
      </c>
      <c r="S436" s="224">
        <f>IFERROR(F436^SIGN(F436),1)*IFERROR(G436^SIGN(G436),1)*IFERROR(H436^SIGN(H436),1)*IFERROR(I436^SIGN(I436),1)*IFERROR(J436^SIGN(J436),1)*IFERROR(K436^SIGN(K436),1)*IFERROR(L436^SIGN(L436),1)*IFERROR(M436^SIGN(M436),1)</f>
        <v>1728</v>
      </c>
      <c r="T436" s="242">
        <f t="shared" si="4654"/>
        <v>7488</v>
      </c>
      <c r="U436" s="222">
        <f t="shared" si="4655"/>
        <v>3.6923076923076925</v>
      </c>
      <c r="V436" s="223">
        <f t="shared" si="4656"/>
        <v>11.076923076923077</v>
      </c>
      <c r="W436" s="243">
        <f t="shared" si="4657"/>
        <v>8.3076923076923084</v>
      </c>
      <c r="X436" s="243">
        <f t="shared" si="4658"/>
        <v>23.07692307692308</v>
      </c>
      <c r="Y436" s="252">
        <v>0</v>
      </c>
      <c r="Z436" s="198">
        <f t="shared" si="4659"/>
        <v>23.07692307692308</v>
      </c>
      <c r="AA436" s="125">
        <f>IF(X436&lt;=0,2,0)+IF(X436&gt;0,X436+1,0)*2+IF(X436&gt;12,X436-12,0)*2+IF(X436&gt;13,X436-13,0)*2+IF(X436&gt;14,X436-14,0)*2+IF(X436&gt;15,X436-15,0)*2+IF(X436&gt;16,X436-16,0)*2+IF(X436&gt;17,X436-17,0)*2+IF(X436&gt;18,X436-18,0)*2+IF(X436&gt;19,X436-19,0)*2+IF(X436&gt;20,X436-20,0)*2</f>
        <v>175.5384615384616</v>
      </c>
      <c r="AB436" s="160">
        <f>IF(Y436&lt;=0,2,0)+IF(Y436&gt;0,Y436+1,0)*2+IF(Y436&gt;12,Y436-12,0)*2+IF(Y436&gt;13,Y436-13,0)*2+IF(Y436&gt;14,Y436-14,0)*2+IF(Y436&gt;15,Y436-15,0)*2+IF(Y436&gt;16,Y436-16,0)*2+IF(Y436&gt;17,Y436-17,0)*2+IF(Y436&gt;18,Y436-18,0)*2+IF(Y436&gt;19,Y436-19,0)*2+IF(Y436&gt;20,Y436-20,0)*2</f>
        <v>2</v>
      </c>
      <c r="AC436" s="127">
        <f t="shared" si="4660"/>
        <v>173.5384615384616</v>
      </c>
      <c r="AD436" s="125">
        <f t="shared" si="4661"/>
        <v>0</v>
      </c>
      <c r="AF436" s="177" t="s">
        <v>249</v>
      </c>
      <c r="AG436" s="125" t="s">
        <v>86</v>
      </c>
      <c r="AH436" s="47" t="s">
        <v>132</v>
      </c>
      <c r="AI436" s="114">
        <f>Konvention_1slave-MUslave_MU</f>
        <v>11</v>
      </c>
      <c r="AJ436" s="113"/>
      <c r="AK436" s="113">
        <f>Konvention_1slave-INslave</f>
        <v>12</v>
      </c>
      <c r="AL436" s="113">
        <f>Konvention_1slave-CHslave</f>
        <v>12</v>
      </c>
      <c r="AM436" s="113"/>
      <c r="AN436" s="113"/>
      <c r="AO436" s="113"/>
      <c r="AP436" s="119"/>
      <c r="AQ436" s="47">
        <f>(AI436+AJ436+AK436+AL436+AM436+AN436+AO436+AP436)/3</f>
        <v>11.666666666666666</v>
      </c>
      <c r="AR436" s="47">
        <f t="shared" si="4662"/>
        <v>23.333333333333332</v>
      </c>
      <c r="AS436" s="113">
        <f t="shared" si="4663"/>
        <v>35</v>
      </c>
      <c r="AT436" s="114">
        <f>AI436*POWER(KLslave,SIGN(AJ436))*POWER(INslave,SIGN(AK436))*POWER(CHslave,SIGN(AL436))*POWER(FFslave,SIGN(AM436))*POWER(GEslave,SIGN(AN436))*POWER(KOslave,SIGN(AO436))*POWER(KKslave,SIGN(AP436))+AJ436*POWER(MUslave_MU,SIGN(AI436))*POWER(INslave,SIGN(AK436))*POWER(CHslave,SIGN(AL436))*POWER(FFslave,SIGN(AM436))*POWER(GEslave,SIGN(AN436))*POWER(KOslave,SIGN(AO436))*POWER(KKslave,SIGN(AP436))+AK436*POWER(MUslave_MU,SIGN(AI436))*POWER(KLslave,SIGN(AJ436))*POWER(CHslave,SIGN(AL436))*POWER(FFslave,SIGN(AM436))*POWER(GEslave,SIGN(AN436))*POWER(KOslave,SIGN(AO436))*POWER(KKslave,SIGN(AP436))+AL436*POWER(MUslave_MU,SIGN(AI436))*POWER(KLslave,SIGN(AJ436))*POWER(INslave,SIGN(AK436))*POWER(FFslave,SIGN(AM436))*POWER(GEslave,SIGN(AN436))*POWER(KOslave,SIGN(AO436))*POWER(KKslave,SIGN(AP436))+AM436*POWER(MUslave_MU,SIGN(AI436))*POWER(KLslave,SIGN(AJ436))*POWER(INslave,SIGN(AK436))*POWER(CHslave,SIGN(AL436))*POWER(GEslave,SIGN(AN436))*POWER(KOslave,SIGN(AO436))*POWER(KKslave,SIGN(AP436))+AN436*POWER(MUslave_MU,SIGN(AI436))*POWER(KLslave,SIGN(AJ436))*POWER(INslave,SIGN(AK436))*POWER(CHslave,SIGN(AL436))*POWER(FFslave,SIGN(AM436))*POWER(KOslave,SIGN(AO436))*POWER(KKslave,SIGN(AP436))+AO436*POWER(MUslave_MU,SIGN(AI436))*POWER(KLslave,SIGN(AJ436))*POWER(INslave,SIGN(AK436))*POWER(CHslave,SIGN(AL436))*POWER(FFslave,SIGN(AM436))*POWER(GEslave,SIGN(AN436))*POWER(KKslave,SIGN(AP436))+AP436*POWER(MUslave_MU,SIGN(AI436))*POWER(KLslave,SIGN(AJ436))*POWER(INslave,SIGN(AK436))*POWER(CHslave,SIGN(AL436))*POWER(FFslave,SIGN(AM436))*POWER(GEslave,SIGN(AN436))*POWER(KOslave,SIGN(AO436))</f>
        <v>2432</v>
      </c>
      <c r="AU436" s="113">
        <f>AI436*AK436*CHslave+AI436*INslave*AL436+MUslave_MU*AK436*AL436</f>
        <v>3408</v>
      </c>
      <c r="AV436" s="119">
        <f>IFERROR(AI436^SIGN(AI436),1)*IFERROR(AJ436^SIGN(AJ436),1)*IFERROR(AK436^SIGN(AK436),1)*IFERROR(AL436^SIGN(AL436),1)*IFERROR(AM436^SIGN(AM436),1)*IFERROR(AN436^SIGN(AN436),1)*IFERROR(AO436^SIGN(AO436),1)*IFERROR(AP436^SIGN(AP436),1)</f>
        <v>1584</v>
      </c>
      <c r="AW436" s="160">
        <f t="shared" si="4664"/>
        <v>7424</v>
      </c>
      <c r="AX436" s="89">
        <f t="shared" si="4665"/>
        <v>3.8218390804597702</v>
      </c>
      <c r="AY436" s="47">
        <f t="shared" si="4666"/>
        <v>10.711206896551724</v>
      </c>
      <c r="AZ436" s="127">
        <f t="shared" si="4667"/>
        <v>7.4676724137931032</v>
      </c>
      <c r="BA436" s="127">
        <f t="shared" si="4668"/>
        <v>22.000718390804597</v>
      </c>
      <c r="BB436" s="165">
        <f t="shared" si="4669"/>
        <v>0</v>
      </c>
      <c r="BC436" s="198">
        <f t="shared" si="4670"/>
        <v>22.000718390804597</v>
      </c>
      <c r="BD436" s="125">
        <f>IF(BA436&lt;=0,2,0)+IF(BA436&gt;0,BA436+1,0)*2+IF(BA436&gt;12,BA436-12,0)*2+IF(BA436&gt;13,BA436-13,0)*2+IF(BA436&gt;14,BA436-14,0)*2+IF(BA436&gt;15,BA436-15,0)*2+IF(BA436&gt;16,BA436-16,0)*2+IF(BA436&gt;17,BA436-17,0)*2+IF(BA436&gt;18,BA436-18,0)*2+IF(BA436&gt;19,BA436-19,0)*2+IF(BA436&gt;20,BA436-20,0)*2</f>
        <v>154.01436781609189</v>
      </c>
      <c r="BE436" s="160">
        <f>IF(BB436&lt;=0,2,0)+IF(BB436&gt;0,BB436+1,0)*2+IF(BB436&gt;12,BB436-12,0)*2+IF(BB436&gt;13,BB436-13,0)*2+IF(BB436&gt;14,BB436-14,0)*2+IF(BB436&gt;15,BB436-15,0)*2+IF(BB436&gt;16,BB436-16,0)*2+IF(BB436&gt;17,BB436-17,0)*2+IF(BB436&gt;18,BB436-18,0)*2+IF(BB436&gt;19,BB436-19,0)*2+IF(BB436&gt;20,BB436-20,0)*2</f>
        <v>2</v>
      </c>
      <c r="BF436" s="243">
        <f t="shared" si="4671"/>
        <v>152.01436781609189</v>
      </c>
      <c r="BG436" s="218">
        <f t="shared" si="4672"/>
        <v>0</v>
      </c>
      <c r="BI436" s="325" t="s">
        <v>249</v>
      </c>
      <c r="BJ436" s="218" t="s">
        <v>86</v>
      </c>
      <c r="BK436" s="223" t="s">
        <v>132</v>
      </c>
      <c r="BL436" s="237">
        <f>Konvention_1slave-MUslave</f>
        <v>12</v>
      </c>
      <c r="BM436" s="234"/>
      <c r="BN436" s="234">
        <f>Konvention_1slave-INslave</f>
        <v>12</v>
      </c>
      <c r="BO436" s="234">
        <f>Konvention_1slave-CHslave</f>
        <v>12</v>
      </c>
      <c r="BP436" s="234"/>
      <c r="BQ436" s="234"/>
      <c r="BR436" s="234"/>
      <c r="BS436" s="224"/>
      <c r="BT436" s="223">
        <f>(BL436+BM436+BN436+BO436+BP436+BQ436+BR436+BS436)/3</f>
        <v>12</v>
      </c>
      <c r="BU436" s="223">
        <f t="shared" si="4673"/>
        <v>24</v>
      </c>
      <c r="BV436" s="234">
        <f t="shared" si="4674"/>
        <v>36</v>
      </c>
      <c r="BW436" s="237">
        <f>BL436*POWER(KLslave_KL,SIGN(BM436))*POWER(INslave,SIGN(BN436))*POWER(CHslave,SIGN(BO436))*POWER(FFslave,SIGN(BP436))*POWER(GEslave,SIGN(BQ436))*POWER(KOslave,SIGN(BR436))*POWER(KKslave,SIGN(BS436))+BM436*POWER(MUslave,SIGN(BL436))*POWER(INslave,SIGN(BN436))*POWER(CHslave,SIGN(BO436))*POWER(FFslave,SIGN(BP436))*POWER(GEslave,SIGN(BQ436))*POWER(KOslave,SIGN(BR436))*POWER(KKslave,SIGN(BS436))+BN436*POWER(MUslave,SIGN(BL436))*POWER(KLslave_KL,SIGN(BM436))*POWER(CHslave,SIGN(BO436))*POWER(FFslave,SIGN(BP436))*POWER(GEslave,SIGN(BQ436))*POWER(KOslave,SIGN(BR436))*POWER(KKslave,SIGN(BS436))+BO436*POWER(MUslave,SIGN(BL436))*POWER(KLslave_KL,SIGN(BM436))*POWER(INslave,SIGN(BN436))*POWER(FFslave,SIGN(BP436))*POWER(GEslave,SIGN(BQ436))*POWER(KOslave,SIGN(BR436))*POWER(KKslave,SIGN(BS436))+BP436*POWER(MUslave,SIGN(BL436))*POWER(KLslave_KL,SIGN(BM436))*POWER(INslave,SIGN(BN436))*POWER(CHslave,SIGN(BO436))*POWER(GEslave,SIGN(BQ436))*POWER(KOslave,SIGN(BR436))*POWER(KKslave,SIGN(BS436))+BQ436*POWER(MUslave,SIGN(BL436))*POWER(KLslave_KL,SIGN(BM436))*POWER(INslave,SIGN(BN436))*POWER(CHslave,SIGN(BO436))*POWER(FFslave,SIGN(BP436))*POWER(KOslave,SIGN(BR436))*POWER(KKslave,SIGN(BS436))+BR436*POWER(MUslave,SIGN(BL436))*POWER(KLslave_KL,SIGN(BM436))*POWER(INslave,SIGN(BN436))*POWER(CHslave,SIGN(BO436))*POWER(FFslave,SIGN(BP436))*POWER(GEslave,SIGN(BQ436))*POWER(KKslave,SIGN(BS436))+BS436*POWER(MUslave,SIGN(BL436))*POWER(KLslave_KL,SIGN(BM436))*POWER(INslave,SIGN(BN436))*POWER(CHslave,SIGN(BO436))*POWER(FFslave,SIGN(BP436))*POWER(GEslave,SIGN(BQ436))*POWER(KOslave,SIGN(BR436))</f>
        <v>2304</v>
      </c>
      <c r="BX436" s="234">
        <f>BL436*BN436*CHslave+BL436*INslave*BO436+MUslave*BN436*BO436</f>
        <v>3456</v>
      </c>
      <c r="BY436" s="224">
        <f>IFERROR(BL436^SIGN(BL436),1)*IFERROR(BM436^SIGN(BM436),1)*IFERROR(BN436^SIGN(BN436),1)*IFERROR(BO436^SIGN(BO436),1)*IFERROR(BP436^SIGN(BP436),1)*IFERROR(BQ436^SIGN(BQ436),1)*IFERROR(BR436^SIGN(BR436),1)*IFERROR(BS436^SIGN(BS436),1)</f>
        <v>1728</v>
      </c>
      <c r="BZ436" s="242">
        <f t="shared" si="4675"/>
        <v>7488</v>
      </c>
      <c r="CA436" s="222">
        <f t="shared" si="4676"/>
        <v>3.6923076923076925</v>
      </c>
      <c r="CB436" s="223">
        <f t="shared" si="4677"/>
        <v>11.076923076923077</v>
      </c>
      <c r="CC436" s="243">
        <f t="shared" si="4678"/>
        <v>8.3076923076923084</v>
      </c>
      <c r="CD436" s="243">
        <f t="shared" si="4679"/>
        <v>23.07692307692308</v>
      </c>
      <c r="CE436" s="252">
        <f t="shared" si="4680"/>
        <v>0</v>
      </c>
      <c r="CF436" s="309">
        <f t="shared" si="4681"/>
        <v>23.07692307692308</v>
      </c>
      <c r="CG436" s="218">
        <f>IF(CD436&lt;=0,2,0)+IF(CD436&gt;0,CD436+1,0)*2+IF(CD436&gt;12,CD436-12,0)*2+IF(CD436&gt;13,CD436-13,0)*2+IF(CD436&gt;14,CD436-14,0)*2+IF(CD436&gt;15,CD436-15,0)*2+IF(CD436&gt;16,CD436-16,0)*2+IF(CD436&gt;17,CD436-17,0)*2+IF(CD436&gt;18,CD436-18,0)*2+IF(CD436&gt;19,CD436-19,0)*2+IF(CD436&gt;20,CD436-20,0)*2</f>
        <v>175.5384615384616</v>
      </c>
      <c r="CH436" s="242">
        <f>IF(CE436&lt;=0,2,0)+IF(CE436&gt;0,CE436+1,0)*2+IF(CE436&gt;12,CE436-12,0)*2+IF(CE436&gt;13,CE436-13,0)*2+IF(CE436&gt;14,CE436-14,0)*2+IF(CE436&gt;15,CE436-15,0)*2+IF(CE436&gt;16,CE436-16,0)*2+IF(CE436&gt;17,CE436-17,0)*2+IF(CE436&gt;18,CE436-18,0)*2+IF(CE436&gt;19,CE436-19,0)*2+IF(CE436&gt;20,CE436-20,0)*2</f>
        <v>2</v>
      </c>
      <c r="CI436" s="243">
        <f t="shared" si="4682"/>
        <v>173.5384615384616</v>
      </c>
      <c r="CJ436" s="218">
        <f t="shared" si="4683"/>
        <v>0</v>
      </c>
      <c r="CL436" s="325" t="s">
        <v>249</v>
      </c>
      <c r="CM436" s="218" t="s">
        <v>86</v>
      </c>
      <c r="CN436" s="223" t="s">
        <v>132</v>
      </c>
      <c r="CO436" s="237">
        <f>Konvention_1slave-MUslave</f>
        <v>12</v>
      </c>
      <c r="CP436" s="234"/>
      <c r="CQ436" s="234">
        <f>Konvention_1slave-INslave_IN</f>
        <v>11</v>
      </c>
      <c r="CR436" s="234">
        <f>Konvention_1slave-CHslave</f>
        <v>12</v>
      </c>
      <c r="CS436" s="234"/>
      <c r="CT436" s="234"/>
      <c r="CU436" s="234"/>
      <c r="CV436" s="224"/>
      <c r="CW436" s="223">
        <f>(CO436+CP436+CQ436+CR436+CS436+CT436+CU436+CV436)/3</f>
        <v>11.666666666666666</v>
      </c>
      <c r="CX436" s="223">
        <f t="shared" si="4684"/>
        <v>23.333333333333332</v>
      </c>
      <c r="CY436" s="234">
        <f t="shared" si="4685"/>
        <v>35</v>
      </c>
      <c r="CZ436" s="237">
        <f>CO436*POWER(KLslave,SIGN(CP436))*POWER(INslave_IN,SIGN(CQ436))*POWER(CHslave,SIGN(CR436))*POWER(FFslave,SIGN(CS436))*POWER(GEslave,SIGN(CT436))*POWER(KOslave,SIGN(CU436))*POWER(KKslave,SIGN(CV436))+CP436*POWER(MUslave,SIGN(CO436))*POWER(INslave_IN,SIGN(CQ436))*POWER(CHslave,SIGN(CR436))*POWER(FFslave,SIGN(CS436))*POWER(GEslave,SIGN(CT436))*POWER(KOslave,SIGN(CU436))*POWER(KKslave,SIGN(CV436))+CQ436*POWER(MUslave,SIGN(CO436))*POWER(KLslave,SIGN(CP436))*POWER(CHslave,SIGN(CR436))*POWER(FFslave,SIGN(CS436))*POWER(GEslave,SIGN(CT436))*POWER(KOslave,SIGN(CU436))*POWER(KKslave,SIGN(CV436))+CR436*POWER(MUslave,SIGN(CO436))*POWER(KLslave,SIGN(CP436))*POWER(INslave_IN,SIGN(CQ436))*POWER(FFslave,SIGN(CS436))*POWER(GEslave,SIGN(CT436))*POWER(KOslave,SIGN(CU436))*POWER(KKslave,SIGN(CV436))+CS436*POWER(MUslave,SIGN(CO436))*POWER(KLslave,SIGN(CP436))*POWER(INslave_IN,SIGN(CQ436))*POWER(CHslave,SIGN(CR436))*POWER(GEslave,SIGN(CT436))*POWER(KOslave,SIGN(CU436))*POWER(KKslave,SIGN(CV436))+CT436*POWER(MUslave,SIGN(CO436))*POWER(KLslave,SIGN(CP436))*POWER(INslave_IN,SIGN(CQ436))*POWER(CHslave,SIGN(CR436))*POWER(FFslave,SIGN(CS436))*POWER(KOslave,SIGN(CU436))*POWER(KKslave,SIGN(CV436))+CU436*POWER(MUslave,SIGN(CO436))*POWER(KLslave,SIGN(CP436))*POWER(INslave_IN,SIGN(CQ436))*POWER(CHslave,SIGN(CR436))*POWER(FFslave,SIGN(CS436))*POWER(GEslave,SIGN(CT436))*POWER(KKslave,SIGN(CV436))+CV436*POWER(MUslave,SIGN(CO436))*POWER(KLslave,SIGN(CP436))*POWER(INslave_IN,SIGN(CQ436))*POWER(CHslave,SIGN(CR436))*POWER(FFslave,SIGN(CS436))*POWER(GEslave,SIGN(CT436))*POWER(KOslave,SIGN(CU436))</f>
        <v>2432</v>
      </c>
      <c r="DA436" s="234">
        <f>CO436*CQ436*CHslave+CO436*INslave_IN*CR436+MUslave*CQ436*CR436</f>
        <v>3408</v>
      </c>
      <c r="DB436" s="224">
        <f>IFERROR(CO436^SIGN(CO436),1)*IFERROR(CP436^SIGN(CP436),1)*IFERROR(CQ436^SIGN(CQ436),1)*IFERROR(CR436^SIGN(CR436),1)*IFERROR(CS436^SIGN(CS436),1)*IFERROR(CT436^SIGN(CT436),1)*IFERROR(CU436^SIGN(CU436),1)*IFERROR(CV436^SIGN(CV436),1)</f>
        <v>1584</v>
      </c>
      <c r="DC436" s="242">
        <f t="shared" si="4686"/>
        <v>7424</v>
      </c>
      <c r="DD436" s="222">
        <f t="shared" si="4687"/>
        <v>3.8218390804597702</v>
      </c>
      <c r="DE436" s="223">
        <f t="shared" si="4688"/>
        <v>10.711206896551724</v>
      </c>
      <c r="DF436" s="243">
        <f t="shared" si="4689"/>
        <v>7.4676724137931032</v>
      </c>
      <c r="DG436" s="243">
        <f t="shared" si="4690"/>
        <v>22.000718390804597</v>
      </c>
      <c r="DH436" s="252">
        <f t="shared" si="4691"/>
        <v>0</v>
      </c>
      <c r="DI436" s="309">
        <f t="shared" si="4692"/>
        <v>22.000718390804597</v>
      </c>
      <c r="DJ436" s="218">
        <f>IF(DG436&lt;=0,2,0)+IF(DG436&gt;0,DG436+1,0)*2+IF(DG436&gt;12,DG436-12,0)*2+IF(DG436&gt;13,DG436-13,0)*2+IF(DG436&gt;14,DG436-14,0)*2+IF(DG436&gt;15,DG436-15,0)*2+IF(DG436&gt;16,DG436-16,0)*2+IF(DG436&gt;17,DG436-17,0)*2+IF(DG436&gt;18,DG436-18,0)*2+IF(DG436&gt;19,DG436-19,0)*2+IF(DG436&gt;20,DG436-20,0)*2</f>
        <v>154.01436781609189</v>
      </c>
      <c r="DK436" s="242">
        <f>IF(DH436&lt;=0,2,0)+IF(DH436&gt;0,DH436+1,0)*2+IF(DH436&gt;12,DH436-12,0)*2+IF(DH436&gt;13,DH436-13,0)*2+IF(DH436&gt;14,DH436-14,0)*2+IF(DH436&gt;15,DH436-15,0)*2+IF(DH436&gt;16,DH436-16,0)*2+IF(DH436&gt;17,DH436-17,0)*2+IF(DH436&gt;18,DH436-18,0)*2+IF(DH436&gt;19,DH436-19,0)*2+IF(DH436&gt;20,DH436-20,0)*2</f>
        <v>2</v>
      </c>
      <c r="DL436" s="243">
        <f t="shared" si="4693"/>
        <v>152.01436781609189</v>
      </c>
      <c r="DM436" s="218">
        <f t="shared" si="4694"/>
        <v>0</v>
      </c>
      <c r="DO436" s="325" t="s">
        <v>249</v>
      </c>
      <c r="DP436" s="218" t="s">
        <v>86</v>
      </c>
      <c r="DQ436" s="223" t="s">
        <v>132</v>
      </c>
      <c r="DR436" s="237">
        <f>Konvention_1slave-MUslave</f>
        <v>12</v>
      </c>
      <c r="DS436" s="234"/>
      <c r="DT436" s="234">
        <f>Konvention_1slave-INslave</f>
        <v>12</v>
      </c>
      <c r="DU436" s="234">
        <f>Konvention_1slave-CHslave_CH</f>
        <v>11</v>
      </c>
      <c r="DV436" s="234"/>
      <c r="DW436" s="234"/>
      <c r="DX436" s="234"/>
      <c r="DY436" s="224"/>
      <c r="DZ436" s="223">
        <f>(DR436+DS436+DT436+DU436+DV436+DW436+DX436+DY436)/3</f>
        <v>11.666666666666666</v>
      </c>
      <c r="EA436" s="223">
        <f t="shared" si="4695"/>
        <v>23.333333333333332</v>
      </c>
      <c r="EB436" s="234">
        <f t="shared" si="4696"/>
        <v>35</v>
      </c>
      <c r="EC436" s="237">
        <f>DR436*POWER(KLslave,SIGN(DS436))*POWER(INslave,SIGN(DT436))*POWER(CHslave_CH,SIGN(DU436))*POWER(FFslave,SIGN(DV436))*POWER(GEslave,SIGN(DW436))*POWER(KOslave,SIGN(DX436))*POWER(KKslave,SIGN(DY436))+DS436*POWER(MUslave,SIGN(DR436))*POWER(INslave,SIGN(DT436))*POWER(CHslave_CH,SIGN(DU436))*POWER(FFslave,SIGN(DV436))*POWER(GEslave,SIGN(DW436))*POWER(KOslave,SIGN(DX436))*POWER(KKslave,SIGN(DY436))+DT436*POWER(MUslave,SIGN(DR436))*POWER(KLslave,SIGN(DS436))*POWER(CHslave_CH,SIGN(DU436))*POWER(FFslave,SIGN(DV436))*POWER(GEslave,SIGN(DW436))*POWER(KOslave,SIGN(DX436))*POWER(KKslave,SIGN(DY436))+DU436*POWER(MUslave,SIGN(DR436))*POWER(KLslave,SIGN(DS436))*POWER(INslave,SIGN(DT436))*POWER(FFslave,SIGN(DV436))*POWER(GEslave,SIGN(DW436))*POWER(KOslave,SIGN(DX436))*POWER(KKslave,SIGN(DY436))+DV436*POWER(MUslave,SIGN(DR436))*POWER(KLslave,SIGN(DS436))*POWER(INslave,SIGN(DT436))*POWER(CHslave_CH,SIGN(DU436))*POWER(GEslave,SIGN(DW436))*POWER(KOslave,SIGN(DX436))*POWER(KKslave,SIGN(DY436))+DW436*POWER(MUslave,SIGN(DR436))*POWER(KLslave,SIGN(DS436))*POWER(INslave,SIGN(DT436))*POWER(CHslave_CH,SIGN(DU436))*POWER(FFslave,SIGN(DV436))*POWER(KOslave,SIGN(DX436))*POWER(KKslave,SIGN(DY436))+DX436*POWER(MUslave,SIGN(DR436))*POWER(KLslave,SIGN(DS436))*POWER(INslave,SIGN(DT436))*POWER(CHslave_CH,SIGN(DU436))*POWER(FFslave,SIGN(DV436))*POWER(GEslave,SIGN(DW436))*POWER(KKslave,SIGN(DY436))+DY436*POWER(MUslave,SIGN(DR436))*POWER(KLslave,SIGN(DS436))*POWER(INslave,SIGN(DT436))*POWER(CHslave_CH,SIGN(DU436))*POWER(FFslave,SIGN(DV436))*POWER(GEslave,SIGN(DW436))*POWER(KOslave,SIGN(DX436))</f>
        <v>2432</v>
      </c>
      <c r="ED436" s="234">
        <f>DR436*DT436*CHslave_CH+DR436*INslave*DU436+MUslave*DT436*DU436</f>
        <v>3408</v>
      </c>
      <c r="EE436" s="224">
        <f>IFERROR(DR436^SIGN(DR436),1)*IFERROR(DS436^SIGN(DS436),1)*IFERROR(DT436^SIGN(DT436),1)*IFERROR(DU436^SIGN(DU436),1)*IFERROR(DV436^SIGN(DV436),1)*IFERROR(DW436^SIGN(DW436),1)*IFERROR(DX436^SIGN(DX436),1)*IFERROR(DY436^SIGN(DY436),1)</f>
        <v>1584</v>
      </c>
      <c r="EF436" s="242">
        <f t="shared" si="4697"/>
        <v>7424</v>
      </c>
      <c r="EG436" s="222">
        <f t="shared" si="4698"/>
        <v>3.8218390804597702</v>
      </c>
      <c r="EH436" s="223">
        <f t="shared" si="4699"/>
        <v>10.711206896551724</v>
      </c>
      <c r="EI436" s="243">
        <f t="shared" si="4700"/>
        <v>7.4676724137931032</v>
      </c>
      <c r="EJ436" s="243">
        <f t="shared" si="4701"/>
        <v>22.000718390804597</v>
      </c>
      <c r="EK436" s="252">
        <f t="shared" si="4702"/>
        <v>0</v>
      </c>
      <c r="EL436" s="309">
        <f t="shared" si="4703"/>
        <v>22.000718390804597</v>
      </c>
      <c r="EM436" s="218">
        <f>IF(EJ436&lt;=0,2,0)+IF(EJ436&gt;0,EJ436+1,0)*2+IF(EJ436&gt;12,EJ436-12,0)*2+IF(EJ436&gt;13,EJ436-13,0)*2+IF(EJ436&gt;14,EJ436-14,0)*2+IF(EJ436&gt;15,EJ436-15,0)*2+IF(EJ436&gt;16,EJ436-16,0)*2+IF(EJ436&gt;17,EJ436-17,0)*2+IF(EJ436&gt;18,EJ436-18,0)*2+IF(EJ436&gt;19,EJ436-19,0)*2+IF(EJ436&gt;20,EJ436-20,0)*2</f>
        <v>154.01436781609189</v>
      </c>
      <c r="EN436" s="242">
        <f>IF(EK436&lt;=0,2,0)+IF(EK436&gt;0,EK436+1,0)*2+IF(EK436&gt;12,EK436-12,0)*2+IF(EK436&gt;13,EK436-13,0)*2+IF(EK436&gt;14,EK436-14,0)*2+IF(EK436&gt;15,EK436-15,0)*2+IF(EK436&gt;16,EK436-16,0)*2+IF(EK436&gt;17,EK436-17,0)*2+IF(EK436&gt;18,EK436-18,0)*2+IF(EK436&gt;19,EK436-19,0)*2+IF(EK436&gt;20,EK436-20,0)*2</f>
        <v>2</v>
      </c>
      <c r="EO436" s="243">
        <f t="shared" si="4704"/>
        <v>152.01436781609189</v>
      </c>
      <c r="EP436" s="218">
        <f t="shared" si="4705"/>
        <v>0</v>
      </c>
      <c r="ER436" s="325" t="s">
        <v>249</v>
      </c>
      <c r="ES436" s="218" t="s">
        <v>86</v>
      </c>
      <c r="ET436" s="223" t="s">
        <v>132</v>
      </c>
      <c r="EU436" s="237">
        <f>Konvention_1slave-MUslave</f>
        <v>12</v>
      </c>
      <c r="EV436" s="234"/>
      <c r="EW436" s="234">
        <f>Konvention_1slave-INslave</f>
        <v>12</v>
      </c>
      <c r="EX436" s="234">
        <f>Konvention_1slave-CHslave</f>
        <v>12</v>
      </c>
      <c r="EY436" s="234"/>
      <c r="EZ436" s="234"/>
      <c r="FA436" s="234"/>
      <c r="FB436" s="224"/>
      <c r="FC436" s="223">
        <f>(EU436+EV436+EW436+EX436+EY436+EZ436+FA436+FB436)/3</f>
        <v>12</v>
      </c>
      <c r="FD436" s="223">
        <f t="shared" si="4706"/>
        <v>24</v>
      </c>
      <c r="FE436" s="234">
        <f t="shared" si="4707"/>
        <v>36</v>
      </c>
      <c r="FF436" s="237">
        <f>EU436*POWER(KLslave,SIGN(EV436))*POWER(INslave,SIGN(EW436))*POWER(CHslave,SIGN(EX436))*POWER(FFslave_FF,SIGN(EY436))*POWER(GEslave,SIGN(EZ436))*POWER(KOslave,SIGN(FA436))*POWER(KKslave,SIGN(FB436))+EV436*POWER(MUslave,SIGN(EU436))*POWER(INslave,SIGN(EW436))*POWER(CHslave,SIGN(EX436))*POWER(FFslave_FF,SIGN(EY436))*POWER(GEslave,SIGN(EZ436))*POWER(KOslave,SIGN(FA436))*POWER(KKslave,SIGN(FB436))+EW436*POWER(MUslave,SIGN(EU436))*POWER(KLslave,SIGN(EV436))*POWER(CHslave,SIGN(EX436))*POWER(FFslave_FF,SIGN(EY436))*POWER(GEslave,SIGN(EZ436))*POWER(KOslave,SIGN(FA436))*POWER(KKslave,SIGN(FB436))+EX436*POWER(MUslave,SIGN(EU436))*POWER(KLslave,SIGN(EV436))*POWER(INslave,SIGN(EW436))*POWER(FFslave_FF,SIGN(EY436))*POWER(GEslave,SIGN(EZ436))*POWER(KOslave,SIGN(FA436))*POWER(KKslave,SIGN(FB436))+EY436*POWER(MUslave,SIGN(EU436))*POWER(KLslave,SIGN(EV436))*POWER(INslave,SIGN(EW436))*POWER(CHslave,SIGN(EX436))*POWER(GEslave,SIGN(EZ436))*POWER(KOslave,SIGN(FA436))*POWER(KKslave,SIGN(FB436))+EZ436*POWER(MUslave,SIGN(EU436))*POWER(KLslave,SIGN(EV436))*POWER(INslave,SIGN(EW436))*POWER(CHslave,SIGN(EX436))*POWER(FFslave_FF,SIGN(EY436))*POWER(KOslave,SIGN(FA436))*POWER(KKslave,SIGN(FB436))+FA436*POWER(MUslave,SIGN(EU436))*POWER(KLslave,SIGN(EV436))*POWER(INslave,SIGN(EW436))*POWER(CHslave,SIGN(EX436))*POWER(FFslave_FF,SIGN(EY436))*POWER(GEslave,SIGN(EZ436))*POWER(KKslave,SIGN(FB436))+FB436*POWER(MUslave,SIGN(EU436))*POWER(KLslave,SIGN(EV436))*POWER(INslave,SIGN(EW436))*POWER(CHslave,SIGN(EX436))*POWER(FFslave_FF,SIGN(EY436))*POWER(GEslave,SIGN(EZ436))*POWER(KOslave,SIGN(FA436))</f>
        <v>2304</v>
      </c>
      <c r="FG436" s="234">
        <f>EU436*EW436*CHslave+EU436*INslave*EX436+MUslave*EW436*EX436</f>
        <v>3456</v>
      </c>
      <c r="FH436" s="224">
        <f>IFERROR(EU436^SIGN(EU436),1)*IFERROR(EV436^SIGN(EV436),1)*IFERROR(EW436^SIGN(EW436),1)*IFERROR(EX436^SIGN(EX436),1)*IFERROR(EY436^SIGN(EY436),1)*IFERROR(EZ436^SIGN(EZ436),1)*IFERROR(FA436^SIGN(FA436),1)*IFERROR(FB436^SIGN(FB436),1)</f>
        <v>1728</v>
      </c>
      <c r="FI436" s="242">
        <f t="shared" si="4708"/>
        <v>7488</v>
      </c>
      <c r="FJ436" s="222">
        <f t="shared" si="4709"/>
        <v>3.6923076923076925</v>
      </c>
      <c r="FK436" s="223">
        <f t="shared" si="4710"/>
        <v>11.076923076923077</v>
      </c>
      <c r="FL436" s="243">
        <f t="shared" si="4711"/>
        <v>8.3076923076923084</v>
      </c>
      <c r="FM436" s="243">
        <f t="shared" si="4712"/>
        <v>23.07692307692308</v>
      </c>
      <c r="FN436" s="252">
        <f t="shared" si="4713"/>
        <v>0</v>
      </c>
      <c r="FO436" s="309">
        <f t="shared" si="4714"/>
        <v>23.07692307692308</v>
      </c>
      <c r="FP436" s="218">
        <f>IF(FM436&lt;=0,2,0)+IF(FM436&gt;0,FM436+1,0)*2+IF(FM436&gt;12,FM436-12,0)*2+IF(FM436&gt;13,FM436-13,0)*2+IF(FM436&gt;14,FM436-14,0)*2+IF(FM436&gt;15,FM436-15,0)*2+IF(FM436&gt;16,FM436-16,0)*2+IF(FM436&gt;17,FM436-17,0)*2+IF(FM436&gt;18,FM436-18,0)*2+IF(FM436&gt;19,FM436-19,0)*2+IF(FM436&gt;20,FM436-20,0)*2</f>
        <v>175.5384615384616</v>
      </c>
      <c r="FQ436" s="242">
        <f>IF(FN436&lt;=0,2,0)+IF(FN436&gt;0,FN436+1,0)*2+IF(FN436&gt;12,FN436-12,0)*2+IF(FN436&gt;13,FN436-13,0)*2+IF(FN436&gt;14,FN436-14,0)*2+IF(FN436&gt;15,FN436-15,0)*2+IF(FN436&gt;16,FN436-16,0)*2+IF(FN436&gt;17,FN436-17,0)*2+IF(FN436&gt;18,FN436-18,0)*2+IF(FN436&gt;19,FN436-19,0)*2+IF(FN436&gt;20,FN436-20,0)*2</f>
        <v>2</v>
      </c>
      <c r="FR436" s="243">
        <f t="shared" si="4715"/>
        <v>173.5384615384616</v>
      </c>
      <c r="FS436" s="218">
        <f t="shared" si="4716"/>
        <v>0</v>
      </c>
      <c r="FU436" s="325" t="s">
        <v>249</v>
      </c>
      <c r="FV436" s="218" t="s">
        <v>86</v>
      </c>
      <c r="FW436" s="223" t="s">
        <v>132</v>
      </c>
      <c r="FX436" s="237">
        <f>Konvention_1slave-MUslave</f>
        <v>12</v>
      </c>
      <c r="FY436" s="234"/>
      <c r="FZ436" s="234">
        <f>Konvention_1slave-INslave</f>
        <v>12</v>
      </c>
      <c r="GA436" s="234">
        <f>Konvention_1slave-CHslave</f>
        <v>12</v>
      </c>
      <c r="GB436" s="234"/>
      <c r="GC436" s="234"/>
      <c r="GD436" s="234"/>
      <c r="GE436" s="224"/>
      <c r="GF436" s="223">
        <f>(FX436+FY436+FZ436+GA436+GB436+GC436+GD436+GE436)/3</f>
        <v>12</v>
      </c>
      <c r="GG436" s="223">
        <f t="shared" si="4717"/>
        <v>24</v>
      </c>
      <c r="GH436" s="234">
        <f t="shared" si="4718"/>
        <v>36</v>
      </c>
      <c r="GI436" s="237">
        <f>FX436*POWER(KLslave,SIGN(FY436))*POWER(INslave,SIGN(FZ436))*POWER(CHslave,SIGN(GA436))*POWER(FFslave,SIGN(GB436))*POWER(GEslave_GE,SIGN(GC436))*POWER(KOslave,SIGN(GD436))*POWER(KKslave,SIGN(GE436))+FY436*POWER(MUslave,SIGN(FX436))*POWER(INslave,SIGN(FZ436))*POWER(CHslave,SIGN(GA436))*POWER(FFslave,SIGN(GB436))*POWER(GEslave_GE,SIGN(GC436))*POWER(KOslave,SIGN(GD436))*POWER(KKslave,SIGN(GE436))+FZ436*POWER(MUslave,SIGN(FX436))*POWER(KLslave,SIGN(FY436))*POWER(CHslave,SIGN(GA436))*POWER(FFslave,SIGN(GB436))*POWER(GEslave_GE,SIGN(GC436))*POWER(KOslave,SIGN(GD436))*POWER(KKslave,SIGN(GE436))+GA436*POWER(MUslave,SIGN(FX436))*POWER(KLslave,SIGN(FY436))*POWER(INslave,SIGN(FZ436))*POWER(FFslave,SIGN(GB436))*POWER(GEslave_GE,SIGN(GC436))*POWER(KOslave,SIGN(GD436))*POWER(KKslave,SIGN(GE436))+GB436*POWER(MUslave,SIGN(FX436))*POWER(KLslave,SIGN(FY436))*POWER(INslave,SIGN(FZ436))*POWER(CHslave,SIGN(GA436))*POWER(GEslave_GE,SIGN(GC436))*POWER(KOslave,SIGN(GD436))*POWER(KKslave,SIGN(GE436))+GC436*POWER(MUslave,SIGN(FX436))*POWER(KLslave,SIGN(FY436))*POWER(INslave,SIGN(FZ436))*POWER(CHslave,SIGN(GA436))*POWER(FFslave,SIGN(GB436))*POWER(KOslave,SIGN(GD436))*POWER(KKslave,SIGN(GE436))+GD436*POWER(MUslave,SIGN(FX436))*POWER(KLslave,SIGN(FY436))*POWER(INslave,SIGN(FZ436))*POWER(CHslave,SIGN(GA436))*POWER(FFslave,SIGN(GB436))*POWER(GEslave_GE,SIGN(GC436))*POWER(KKslave,SIGN(GE436))+GE436*POWER(MUslave,SIGN(FX436))*POWER(KLslave,SIGN(FY436))*POWER(INslave,SIGN(FZ436))*POWER(CHslave,SIGN(GA436))*POWER(FFslave,SIGN(GB436))*POWER(GEslave_GE,SIGN(GC436))*POWER(KOslave,SIGN(GD436))</f>
        <v>2304</v>
      </c>
      <c r="GJ436" s="234">
        <f>FX436*FZ436*CHslave+FX436*INslave*GA436+MUslave*FZ436*GA436</f>
        <v>3456</v>
      </c>
      <c r="GK436" s="224">
        <f>IFERROR(FX436^SIGN(FX436),1)*IFERROR(FY436^SIGN(FY436),1)*IFERROR(FZ436^SIGN(FZ436),1)*IFERROR(GA436^SIGN(GA436),1)*IFERROR(GB436^SIGN(GB436),1)*IFERROR(GC436^SIGN(GC436),1)*IFERROR(GD436^SIGN(GD436),1)*IFERROR(GE436^SIGN(GE436),1)</f>
        <v>1728</v>
      </c>
      <c r="GL436" s="242">
        <f t="shared" si="4719"/>
        <v>7488</v>
      </c>
      <c r="GM436" s="222">
        <f t="shared" si="4720"/>
        <v>3.6923076923076925</v>
      </c>
      <c r="GN436" s="223">
        <f t="shared" si="4721"/>
        <v>11.076923076923077</v>
      </c>
      <c r="GO436" s="243">
        <f t="shared" si="4722"/>
        <v>8.3076923076923084</v>
      </c>
      <c r="GP436" s="243">
        <f t="shared" si="4723"/>
        <v>23.07692307692308</v>
      </c>
      <c r="GQ436" s="252">
        <f t="shared" si="4724"/>
        <v>0</v>
      </c>
      <c r="GR436" s="309">
        <f t="shared" si="4725"/>
        <v>23.07692307692308</v>
      </c>
      <c r="GS436" s="218">
        <f>IF(GP436&lt;=0,2,0)+IF(GP436&gt;0,GP436+1,0)*2+IF(GP436&gt;12,GP436-12,0)*2+IF(GP436&gt;13,GP436-13,0)*2+IF(GP436&gt;14,GP436-14,0)*2+IF(GP436&gt;15,GP436-15,0)*2+IF(GP436&gt;16,GP436-16,0)*2+IF(GP436&gt;17,GP436-17,0)*2+IF(GP436&gt;18,GP436-18,0)*2+IF(GP436&gt;19,GP436-19,0)*2+IF(GP436&gt;20,GP436-20,0)*2</f>
        <v>175.5384615384616</v>
      </c>
      <c r="GT436" s="242">
        <f>IF(GQ436&lt;=0,2,0)+IF(GQ436&gt;0,GQ436+1,0)*2+IF(GQ436&gt;12,GQ436-12,0)*2+IF(GQ436&gt;13,GQ436-13,0)*2+IF(GQ436&gt;14,GQ436-14,0)*2+IF(GQ436&gt;15,GQ436-15,0)*2+IF(GQ436&gt;16,GQ436-16,0)*2+IF(GQ436&gt;17,GQ436-17,0)*2+IF(GQ436&gt;18,GQ436-18,0)*2+IF(GQ436&gt;19,GQ436-19,0)*2+IF(GQ436&gt;20,GQ436-20,0)*2</f>
        <v>2</v>
      </c>
      <c r="GU436" s="243">
        <f t="shared" si="4726"/>
        <v>173.5384615384616</v>
      </c>
      <c r="GV436" s="218">
        <f t="shared" si="4727"/>
        <v>0</v>
      </c>
      <c r="GX436" s="325" t="s">
        <v>249</v>
      </c>
      <c r="GY436" s="218" t="s">
        <v>86</v>
      </c>
      <c r="GZ436" s="223" t="s">
        <v>132</v>
      </c>
      <c r="HA436" s="237">
        <f>Konvention_1slave-MUslave</f>
        <v>12</v>
      </c>
      <c r="HB436" s="234"/>
      <c r="HC436" s="234">
        <f>Konvention_1slave-INslave</f>
        <v>12</v>
      </c>
      <c r="HD436" s="234">
        <f>Konvention_1slave-CHslave</f>
        <v>12</v>
      </c>
      <c r="HE436" s="234"/>
      <c r="HF436" s="234"/>
      <c r="HG436" s="234"/>
      <c r="HH436" s="224"/>
      <c r="HI436" s="223">
        <f>(HA436+HB436+HC436+HD436+HE436+HF436+HG436+HH436)/3</f>
        <v>12</v>
      </c>
      <c r="HJ436" s="223">
        <f t="shared" si="4728"/>
        <v>24</v>
      </c>
      <c r="HK436" s="234">
        <f t="shared" si="4729"/>
        <v>36</v>
      </c>
      <c r="HL436" s="237">
        <f>HA436*POWER(KLslave,SIGN(HB436))*POWER(INslave,SIGN(HC436))*POWER(CHslave,SIGN(HD436))*POWER(FFslave,SIGN(HE436))*POWER(GEslave,SIGN(HF436))*POWER(KOslave_KO,SIGN(HG436))*POWER(KKslave,SIGN(HH436))+HB436*POWER(MUslave,SIGN(HA436))*POWER(INslave,SIGN(HC436))*POWER(CHslave,SIGN(HD436))*POWER(FFslave,SIGN(HE436))*POWER(GEslave,SIGN(HF436))*POWER(KOslave_KO,SIGN(HG436))*POWER(KKslave,SIGN(HH436))+HC436*POWER(MUslave,SIGN(HA436))*POWER(KLslave,SIGN(HB436))*POWER(CHslave,SIGN(HD436))*POWER(FFslave,SIGN(HE436))*POWER(GEslave,SIGN(HF436))*POWER(KOslave_KO,SIGN(HG436))*POWER(KKslave,SIGN(HH436))+HD436*POWER(MUslave,SIGN(HA436))*POWER(KLslave,SIGN(HB436))*POWER(INslave,SIGN(HC436))*POWER(FFslave,SIGN(HE436))*POWER(GEslave,SIGN(HF436))*POWER(KOslave_KO,SIGN(HG436))*POWER(KKslave,SIGN(HH436))+HE436*POWER(MUslave,SIGN(HA436))*POWER(KLslave,SIGN(HB436))*POWER(INslave,SIGN(HC436))*POWER(CHslave,SIGN(HD436))*POWER(GEslave,SIGN(HF436))*POWER(KOslave_KO,SIGN(HG436))*POWER(KKslave,SIGN(HH436))+HF436*POWER(MUslave,SIGN(HA436))*POWER(KLslave,SIGN(HB436))*POWER(INslave,SIGN(HC436))*POWER(CHslave,SIGN(HD436))*POWER(FFslave,SIGN(HE436))*POWER(KOslave_KO,SIGN(HG436))*POWER(KKslave,SIGN(HH436))+HG436*POWER(MUslave,SIGN(HA436))*POWER(KLslave,SIGN(HB436))*POWER(INslave,SIGN(HC436))*POWER(CHslave,SIGN(HD436))*POWER(FFslave,SIGN(HE436))*POWER(GEslave,SIGN(HF436))*POWER(KKslave,SIGN(HH436))+HH436*POWER(MUslave,SIGN(HA436))*POWER(KLslave,SIGN(HB436))*POWER(INslave,SIGN(HC436))*POWER(CHslave,SIGN(HD436))*POWER(FFslave,SIGN(HE436))*POWER(GEslave,SIGN(HF436))*POWER(KOslave_KO,SIGN(HG436))</f>
        <v>2304</v>
      </c>
      <c r="HM436" s="234">
        <f>HA436*HC436*CHslave+HA436*INslave*HD436+MUslave*HC436*HD436</f>
        <v>3456</v>
      </c>
      <c r="HN436" s="224">
        <f>IFERROR(HA436^SIGN(HA436),1)*IFERROR(HB436^SIGN(HB436),1)*IFERROR(HC436^SIGN(HC436),1)*IFERROR(HD436^SIGN(HD436),1)*IFERROR(HE436^SIGN(HE436),1)*IFERROR(HF436^SIGN(HF436),1)*IFERROR(HG436^SIGN(HG436),1)*IFERROR(HH436^SIGN(HH436),1)</f>
        <v>1728</v>
      </c>
      <c r="HO436" s="242">
        <f t="shared" si="4730"/>
        <v>7488</v>
      </c>
      <c r="HP436" s="222">
        <f t="shared" si="4731"/>
        <v>3.6923076923076925</v>
      </c>
      <c r="HQ436" s="223">
        <f t="shared" si="4732"/>
        <v>11.076923076923077</v>
      </c>
      <c r="HR436" s="243">
        <f t="shared" si="4733"/>
        <v>8.3076923076923084</v>
      </c>
      <c r="HS436" s="243">
        <f t="shared" si="4734"/>
        <v>23.07692307692308</v>
      </c>
      <c r="HT436" s="252">
        <f t="shared" si="4735"/>
        <v>0</v>
      </c>
      <c r="HU436" s="309">
        <f t="shared" si="4736"/>
        <v>23.07692307692308</v>
      </c>
      <c r="HV436" s="218">
        <f>IF(HS436&lt;=0,2,0)+IF(HS436&gt;0,HS436+1,0)*2+IF(HS436&gt;12,HS436-12,0)*2+IF(HS436&gt;13,HS436-13,0)*2+IF(HS436&gt;14,HS436-14,0)*2+IF(HS436&gt;15,HS436-15,0)*2+IF(HS436&gt;16,HS436-16,0)*2+IF(HS436&gt;17,HS436-17,0)*2+IF(HS436&gt;18,HS436-18,0)*2+IF(HS436&gt;19,HS436-19,0)*2+IF(HS436&gt;20,HS436-20,0)*2</f>
        <v>175.5384615384616</v>
      </c>
      <c r="HW436" s="242">
        <f>IF(HT436&lt;=0,2,0)+IF(HT436&gt;0,HT436+1,0)*2+IF(HT436&gt;12,HT436-12,0)*2+IF(HT436&gt;13,HT436-13,0)*2+IF(HT436&gt;14,HT436-14,0)*2+IF(HT436&gt;15,HT436-15,0)*2+IF(HT436&gt;16,HT436-16,0)*2+IF(HT436&gt;17,HT436-17,0)*2+IF(HT436&gt;18,HT436-18,0)*2+IF(HT436&gt;19,HT436-19,0)*2+IF(HT436&gt;20,HT436-20,0)*2</f>
        <v>2</v>
      </c>
      <c r="HX436" s="243">
        <f t="shared" si="4737"/>
        <v>173.5384615384616</v>
      </c>
      <c r="HY436" s="218">
        <f t="shared" si="4738"/>
        <v>0</v>
      </c>
      <c r="IA436" s="325" t="s">
        <v>249</v>
      </c>
      <c r="IB436" s="218" t="s">
        <v>86</v>
      </c>
      <c r="IC436" s="223" t="s">
        <v>132</v>
      </c>
      <c r="ID436" s="237">
        <f>Konvention_1slave-MUslave</f>
        <v>12</v>
      </c>
      <c r="IE436" s="234"/>
      <c r="IF436" s="234">
        <f>Konvention_1slave-INslave</f>
        <v>12</v>
      </c>
      <c r="IG436" s="234">
        <f>Konvention_1slave-CHslave</f>
        <v>12</v>
      </c>
      <c r="IH436" s="234"/>
      <c r="II436" s="234"/>
      <c r="IJ436" s="234"/>
      <c r="IK436" s="224"/>
      <c r="IL436" s="223">
        <f>(ID436+IE436+IF436+IG436+IH436+II436+IJ436+IK436)/3</f>
        <v>12</v>
      </c>
      <c r="IM436" s="223">
        <f t="shared" si="4739"/>
        <v>24</v>
      </c>
      <c r="IN436" s="234">
        <f t="shared" si="4740"/>
        <v>36</v>
      </c>
      <c r="IO436" s="237">
        <f>ID436*POWER(KLslave,SIGN(IE436))*POWER(INslave,SIGN(IF436))*POWER(CHslave,SIGN(IG436))*POWER(FFslave,SIGN(IH436))*POWER(GEslave,SIGN(II436))*POWER(KOslave,SIGN(IJ436))*POWER(KKslave_KK,SIGN(IK436))+IE436*POWER(MUslave,SIGN(ID436))*POWER(INslave,SIGN(IF436))*POWER(CHslave,SIGN(IG436))*POWER(FFslave,SIGN(IH436))*POWER(GEslave,SIGN(II436))*POWER(KOslave,SIGN(IJ436))*POWER(KKslave_KK,SIGN(IK436))+IF436*POWER(MUslave,SIGN(ID436))*POWER(KLslave,SIGN(IE436))*POWER(CHslave,SIGN(IG436))*POWER(FFslave,SIGN(IH436))*POWER(GEslave,SIGN(II436))*POWER(KOslave,SIGN(IJ436))*POWER(KKslave_KK,SIGN(IK436))+IG436*POWER(MUslave,SIGN(ID436))*POWER(KLslave,SIGN(IE436))*POWER(INslave,SIGN(IF436))*POWER(FFslave,SIGN(IH436))*POWER(GEslave,SIGN(II436))*POWER(KOslave,SIGN(IJ436))*POWER(KKslave_KK,SIGN(IK436))+IH436*POWER(MUslave,SIGN(ID436))*POWER(KLslave,SIGN(IE436))*POWER(INslave,SIGN(IF436))*POWER(CHslave,SIGN(IG436))*POWER(GEslave,SIGN(II436))*POWER(KOslave,SIGN(IJ436))*POWER(KKslave_KK,SIGN(IK436))+II436*POWER(MUslave,SIGN(ID436))*POWER(KLslave,SIGN(IE436))*POWER(INslave,SIGN(IF436))*POWER(CHslave,SIGN(IG436))*POWER(FFslave,SIGN(IH436))*POWER(KOslave,SIGN(IJ436))*POWER(KKslave_KK,SIGN(IK436))+IJ436*POWER(MUslave,SIGN(ID436))*POWER(KLslave,SIGN(IE436))*POWER(INslave,SIGN(IF436))*POWER(CHslave,SIGN(IG436))*POWER(FFslave,SIGN(IH436))*POWER(GEslave,SIGN(II436))*POWER(KKslave_KK,SIGN(IK436))+IK436*POWER(MUslave,SIGN(ID436))*POWER(KLslave,SIGN(IE436))*POWER(INslave,SIGN(IF436))*POWER(CHslave,SIGN(IG436))*POWER(FFslave,SIGN(IH436))*POWER(GEslave,SIGN(II436))*POWER(KOslave,SIGN(IJ436))</f>
        <v>2304</v>
      </c>
      <c r="IP436" s="234">
        <f>ID436*IF436*CHslave+ID436*INslave*IG436+MUslave*IF436*IG436</f>
        <v>3456</v>
      </c>
      <c r="IQ436" s="224">
        <f>IFERROR(ID436^SIGN(ID436),1)*IFERROR(IE436^SIGN(IE436),1)*IFERROR(IF436^SIGN(IF436),1)*IFERROR(IG436^SIGN(IG436),1)*IFERROR(IH436^SIGN(IH436),1)*IFERROR(II436^SIGN(II436),1)*IFERROR(IJ436^SIGN(IJ436),1)*IFERROR(IK436^SIGN(IK436),1)</f>
        <v>1728</v>
      </c>
      <c r="IR436" s="242">
        <f t="shared" si="4741"/>
        <v>7488</v>
      </c>
      <c r="IS436" s="222">
        <f t="shared" si="4742"/>
        <v>3.6923076923076925</v>
      </c>
      <c r="IT436" s="223">
        <f t="shared" si="4743"/>
        <v>11.076923076923077</v>
      </c>
      <c r="IU436" s="243">
        <f t="shared" si="4744"/>
        <v>8.3076923076923084</v>
      </c>
      <c r="IV436" s="243">
        <f t="shared" si="4745"/>
        <v>23.07692307692308</v>
      </c>
      <c r="IW436" s="252">
        <f t="shared" si="4746"/>
        <v>0</v>
      </c>
      <c r="IX436" s="309">
        <f t="shared" si="4747"/>
        <v>23.07692307692308</v>
      </c>
      <c r="IY436" s="218">
        <f>IF(IV436&lt;=0,2,0)+IF(IV436&gt;0,IV436+1,0)*2+IF(IV436&gt;12,IV436-12,0)*2+IF(IV436&gt;13,IV436-13,0)*2+IF(IV436&gt;14,IV436-14,0)*2+IF(IV436&gt;15,IV436-15,0)*2+IF(IV436&gt;16,IV436-16,0)*2+IF(IV436&gt;17,IV436-17,0)*2+IF(IV436&gt;18,IV436-18,0)*2+IF(IV436&gt;19,IV436-19,0)*2+IF(IV436&gt;20,IV436-20,0)*2</f>
        <v>175.5384615384616</v>
      </c>
      <c r="IZ436" s="242">
        <f>IF(IW436&lt;=0,2,0)+IF(IW436&gt;0,IW436+1,0)*2+IF(IW436&gt;12,IW436-12,0)*2+IF(IW436&gt;13,IW436-13,0)*2+IF(IW436&gt;14,IW436-14,0)*2+IF(IW436&gt;15,IW436-15,0)*2+IF(IW436&gt;16,IW436-16,0)*2+IF(IW436&gt;17,IW436-17,0)*2+IF(IW436&gt;18,IW436-18,0)*2+IF(IW436&gt;19,IW436-19,0)*2+IF(IW436&gt;20,IW436-20,0)*2</f>
        <v>2</v>
      </c>
      <c r="JA436" s="243">
        <f t="shared" si="4748"/>
        <v>173.5384615384616</v>
      </c>
      <c r="JB436" s="218">
        <f t="shared" si="4749"/>
        <v>0</v>
      </c>
      <c r="JE436" s="148"/>
    </row>
    <row r="437" spans="1:265" ht="15" hidden="1" customHeight="1" outlineLevel="2">
      <c r="B437" s="148">
        <v>4</v>
      </c>
      <c r="C437" s="325" t="e">
        <f>VLOOKUP(AF437,Attribute!C:T,1,FALSE)</f>
        <v>#N/A</v>
      </c>
      <c r="D437" s="86" t="s">
        <v>86</v>
      </c>
      <c r="E437" s="47" t="s">
        <v>135</v>
      </c>
      <c r="F437" s="114">
        <f>Konvention_1master-MUmaster</f>
        <v>12</v>
      </c>
      <c r="G437" s="113"/>
      <c r="H437" s="113">
        <f>Konvention_1master-INmaster</f>
        <v>12</v>
      </c>
      <c r="I437" s="113">
        <f>Konvention_1master-CHmaster</f>
        <v>12</v>
      </c>
      <c r="J437" s="113"/>
      <c r="K437" s="113"/>
      <c r="L437" s="113"/>
      <c r="M437" s="119"/>
      <c r="N437" s="223">
        <f>(F437+G437+H437+I437+J437+K437+L437+M437)/3</f>
        <v>12</v>
      </c>
      <c r="O437" s="223">
        <f t="shared" si="4652"/>
        <v>24</v>
      </c>
      <c r="P437" s="234">
        <f t="shared" si="4653"/>
        <v>36</v>
      </c>
      <c r="Q437" s="237">
        <f>F437*POWER(KLmaster,SIGN(G437))*POWER(INmaster,SIGN(H437))*POWER(CHmaster,SIGN(I437))*POWER(FFmaster,SIGN(J437))*POWER(GEmaster,SIGN(K437))*POWER(KOmaster,SIGN(L437))*POWER(KKmaster,SIGN(M437))+G437*POWER(MUmaster,SIGN(F437))*POWER(INmaster,SIGN(H437))*POWER(CHmaster,SIGN(I437))*POWER(FFmaster,SIGN(J437))*POWER(GEmaster,SIGN(K437))*POWER(KOmaster,SIGN(L437))*POWER(KKmaster,SIGN(M437))+H437*POWER(MUmaster,SIGN(F437))*POWER(KLmaster,SIGN(G437))*POWER(CHmaster,SIGN(I437))*POWER(FFmaster,SIGN(J437))*POWER(GEmaster,SIGN(K437))*POWER(KOmaster,SIGN(L437))*POWER(KKmaster,SIGN(M437))+I437*POWER(MUmaster,SIGN(F437))*POWER(KLmaster,SIGN(G437))*POWER(INmaster,SIGN(H437))*POWER(FFmaster,SIGN(J437))*POWER(GEmaster,SIGN(K437))*POWER(KOmaster,SIGN(L437))*POWER(KKmaster,SIGN(M437))+J437*POWER(MUmaster,SIGN(F437))*POWER(KLmaster,SIGN(G437))*POWER(INmaster,SIGN(H437))*POWER(CHmaster,SIGN(I437))*POWER(GEmaster,SIGN(K437))*POWER(KOmaster,SIGN(L437))*POWER(KKmaster,SIGN(M437))+K437*POWER(MUmaster,SIGN(F437))*POWER(KLmaster,SIGN(G437))*POWER(INmaster,SIGN(H437))*POWER(CHmaster,SIGN(I437))*POWER(FFmaster,SIGN(J437))*POWER(KOmaster,SIGN(L437))*POWER(KKmaster,SIGN(M437))+L437*POWER(MUmaster,SIGN(F437))*POWER(KLmaster,SIGN(G437))*POWER(INmaster,SIGN(H437))*POWER(CHmaster,SIGN(I437))*POWER(FFmaster,SIGN(J437))*POWER(GEmaster,SIGN(K437))*POWER(KKmaster,SIGN(M437))+M437*POWER(MUmaster,SIGN(F437))*POWER(KLmaster,SIGN(G437))*POWER(INmaster,SIGN(H437))*POWER(CHmaster,SIGN(I437))*POWER(FFmaster,SIGN(J437))*POWER(GEmaster,SIGN(K437))*POWER(KOmaster,SIGN(L437))</f>
        <v>2304</v>
      </c>
      <c r="R437" s="113">
        <f>F437*H437*CHmaster+F437*INmaster*I437+MUmaster*H437*I437</f>
        <v>3456</v>
      </c>
      <c r="S437" s="224">
        <f>IFERROR(F437^SIGN(F437),1)*IFERROR(G437^SIGN(G437),1)*IFERROR(H437^SIGN(H437),1)*IFERROR(I437^SIGN(I437),1)*IFERROR(J437^SIGN(J437),1)*IFERROR(K437^SIGN(K437),1)*IFERROR(L437^SIGN(L437),1)*IFERROR(M437^SIGN(M437),1)</f>
        <v>1728</v>
      </c>
      <c r="T437" s="242">
        <f t="shared" si="4654"/>
        <v>7488</v>
      </c>
      <c r="U437" s="222">
        <f t="shared" si="4655"/>
        <v>3.6923076923076925</v>
      </c>
      <c r="V437" s="223">
        <f t="shared" si="4656"/>
        <v>11.076923076923077</v>
      </c>
      <c r="W437" s="243">
        <f t="shared" si="4657"/>
        <v>8.3076923076923084</v>
      </c>
      <c r="X437" s="243">
        <f t="shared" si="4658"/>
        <v>23.07692307692308</v>
      </c>
      <c r="Y437" s="252">
        <v>0</v>
      </c>
      <c r="Z437" s="198">
        <f t="shared" si="4659"/>
        <v>23.07692307692308</v>
      </c>
      <c r="AA437" s="125">
        <f>IF(X437&lt;=0,3,0)+IF(X437&gt;0,X437+1,0)*3+IF(X437&gt;12,X437-12,0)*3+IF(X437&gt;13,X437-13,0)*3+IF(X437&gt;14,X437-14,0)*3+IF(X437&gt;15,X437-15,0)*3+IF(X437&gt;16,X437-16,0)*3+IF(X437&gt;17,X437-17,0)*3+IF(X437&gt;18,X437-18,0)*3+IF(X437&gt;19,X437-19,0)*3+IF(X437&gt;20,X437-20,0)*3</f>
        <v>263.30769230769232</v>
      </c>
      <c r="AB437" s="160">
        <f>IF(Y437&lt;=0,3,0)+IF(Y437&gt;0,Y437+1,0)*3+IF(Y437&gt;12,Y437-12,0)*3+IF(Y437&gt;13,Y437-13,0)*3+IF(Y437&gt;14,Y437-14,0)*3+IF(Y437&gt;15,Y437-15,0)*3+IF(Y437&gt;16,Y437-16,0)*3+IF(Y437&gt;17,Y437-17,0)*3+IF(Y437&gt;18,Y437-18,0)*3+IF(Y437&gt;19,Y437-19,0)*3+IF(Y437&gt;20,Y437-20,0)*3</f>
        <v>3</v>
      </c>
      <c r="AC437" s="127">
        <f t="shared" si="4660"/>
        <v>260.30769230769232</v>
      </c>
      <c r="AD437" s="125">
        <f t="shared" si="4661"/>
        <v>0</v>
      </c>
      <c r="AF437" s="177" t="s">
        <v>252</v>
      </c>
      <c r="AG437" s="125" t="s">
        <v>86</v>
      </c>
      <c r="AH437" s="47" t="s">
        <v>135</v>
      </c>
      <c r="AI437" s="114">
        <f>Konvention_1slave-MUslave_MU</f>
        <v>11</v>
      </c>
      <c r="AJ437" s="113"/>
      <c r="AK437" s="113">
        <f>Konvention_1slave-INslave</f>
        <v>12</v>
      </c>
      <c r="AL437" s="113">
        <f>Konvention_1slave-CHslave</f>
        <v>12</v>
      </c>
      <c r="AM437" s="113"/>
      <c r="AN437" s="113"/>
      <c r="AO437" s="113"/>
      <c r="AP437" s="119"/>
      <c r="AQ437" s="47">
        <f>(AI437+AJ437+AK437+AL437+AM437+AN437+AO437+AP437)/3</f>
        <v>11.666666666666666</v>
      </c>
      <c r="AR437" s="47">
        <f t="shared" si="4662"/>
        <v>23.333333333333332</v>
      </c>
      <c r="AS437" s="113">
        <f t="shared" si="4663"/>
        <v>35</v>
      </c>
      <c r="AT437" s="114">
        <f>AI437*POWER(KLslave,SIGN(AJ437))*POWER(INslave,SIGN(AK437))*POWER(CHslave,SIGN(AL437))*POWER(FFslave,SIGN(AM437))*POWER(GEslave,SIGN(AN437))*POWER(KOslave,SIGN(AO437))*POWER(KKslave,SIGN(AP437))+AJ437*POWER(MUslave_MU,SIGN(AI437))*POWER(INslave,SIGN(AK437))*POWER(CHslave,SIGN(AL437))*POWER(FFslave,SIGN(AM437))*POWER(GEslave,SIGN(AN437))*POWER(KOslave,SIGN(AO437))*POWER(KKslave,SIGN(AP437))+AK437*POWER(MUslave_MU,SIGN(AI437))*POWER(KLslave,SIGN(AJ437))*POWER(CHslave,SIGN(AL437))*POWER(FFslave,SIGN(AM437))*POWER(GEslave,SIGN(AN437))*POWER(KOslave,SIGN(AO437))*POWER(KKslave,SIGN(AP437))+AL437*POWER(MUslave_MU,SIGN(AI437))*POWER(KLslave,SIGN(AJ437))*POWER(INslave,SIGN(AK437))*POWER(FFslave,SIGN(AM437))*POWER(GEslave,SIGN(AN437))*POWER(KOslave,SIGN(AO437))*POWER(KKslave,SIGN(AP437))+AM437*POWER(MUslave_MU,SIGN(AI437))*POWER(KLslave,SIGN(AJ437))*POWER(INslave,SIGN(AK437))*POWER(CHslave,SIGN(AL437))*POWER(GEslave,SIGN(AN437))*POWER(KOslave,SIGN(AO437))*POWER(KKslave,SIGN(AP437))+AN437*POWER(MUslave_MU,SIGN(AI437))*POWER(KLslave,SIGN(AJ437))*POWER(INslave,SIGN(AK437))*POWER(CHslave,SIGN(AL437))*POWER(FFslave,SIGN(AM437))*POWER(KOslave,SIGN(AO437))*POWER(KKslave,SIGN(AP437))+AO437*POWER(MUslave_MU,SIGN(AI437))*POWER(KLslave,SIGN(AJ437))*POWER(INslave,SIGN(AK437))*POWER(CHslave,SIGN(AL437))*POWER(FFslave,SIGN(AM437))*POWER(GEslave,SIGN(AN437))*POWER(KKslave,SIGN(AP437))+AP437*POWER(MUslave_MU,SIGN(AI437))*POWER(KLslave,SIGN(AJ437))*POWER(INslave,SIGN(AK437))*POWER(CHslave,SIGN(AL437))*POWER(FFslave,SIGN(AM437))*POWER(GEslave,SIGN(AN437))*POWER(KOslave,SIGN(AO437))</f>
        <v>2432</v>
      </c>
      <c r="AU437" s="113">
        <f>AI437*AK437*CHslave+AI437*INslave*AL437+MUslave_MU*AK437*AL437</f>
        <v>3408</v>
      </c>
      <c r="AV437" s="119">
        <f>IFERROR(AI437^SIGN(AI437),1)*IFERROR(AJ437^SIGN(AJ437),1)*IFERROR(AK437^SIGN(AK437),1)*IFERROR(AL437^SIGN(AL437),1)*IFERROR(AM437^SIGN(AM437),1)*IFERROR(AN437^SIGN(AN437),1)*IFERROR(AO437^SIGN(AO437),1)*IFERROR(AP437^SIGN(AP437),1)</f>
        <v>1584</v>
      </c>
      <c r="AW437" s="160">
        <f t="shared" si="4664"/>
        <v>7424</v>
      </c>
      <c r="AX437" s="89">
        <f t="shared" si="4665"/>
        <v>3.8218390804597702</v>
      </c>
      <c r="AY437" s="47">
        <f t="shared" si="4666"/>
        <v>10.711206896551724</v>
      </c>
      <c r="AZ437" s="127">
        <f t="shared" si="4667"/>
        <v>7.4676724137931032</v>
      </c>
      <c r="BA437" s="127">
        <f t="shared" si="4668"/>
        <v>22.000718390804597</v>
      </c>
      <c r="BB437" s="165">
        <f t="shared" si="4669"/>
        <v>0</v>
      </c>
      <c r="BC437" s="198">
        <f t="shared" si="4670"/>
        <v>22.000718390804597</v>
      </c>
      <c r="BD437" s="125">
        <f>IF(BA437&lt;=0,3,0)+IF(BA437&gt;0,BA437+1,0)*3+IF(BA437&gt;12,BA437-12,0)*3+IF(BA437&gt;13,BA437-13,0)*3+IF(BA437&gt;14,BA437-14,0)*3+IF(BA437&gt;15,BA437-15,0)*3+IF(BA437&gt;16,BA437-16,0)*3+IF(BA437&gt;17,BA437-17,0)*3+IF(BA437&gt;18,BA437-18,0)*3+IF(BA437&gt;19,BA437-19,0)*3+IF(BA437&gt;20,BA437-20,0)*3</f>
        <v>231.02155172413785</v>
      </c>
      <c r="BE437" s="160">
        <f>IF(BB437&lt;=0,3,0)+IF(BB437&gt;0,BB437+1,0)*3+IF(BB437&gt;12,BB437-12,0)*3+IF(BB437&gt;13,BB437-13,0)*3+IF(BB437&gt;14,BB437-14,0)*3+IF(BB437&gt;15,BB437-15,0)*3+IF(BB437&gt;16,BB437-16,0)*3+IF(BB437&gt;17,BB437-17,0)*3+IF(BB437&gt;18,BB437-18,0)*3+IF(BB437&gt;19,BB437-19,0)*3+IF(BB437&gt;20,BB437-20,0)*3</f>
        <v>3</v>
      </c>
      <c r="BF437" s="243">
        <f t="shared" si="4671"/>
        <v>228.02155172413785</v>
      </c>
      <c r="BG437" s="218">
        <f t="shared" si="4672"/>
        <v>0</v>
      </c>
      <c r="BI437" s="325" t="s">
        <v>252</v>
      </c>
      <c r="BJ437" s="218" t="s">
        <v>86</v>
      </c>
      <c r="BK437" s="223" t="s">
        <v>135</v>
      </c>
      <c r="BL437" s="237">
        <f>Konvention_1slave-MUslave</f>
        <v>12</v>
      </c>
      <c r="BM437" s="234"/>
      <c r="BN437" s="234">
        <f>Konvention_1slave-INslave</f>
        <v>12</v>
      </c>
      <c r="BO437" s="234">
        <f>Konvention_1slave-CHslave</f>
        <v>12</v>
      </c>
      <c r="BP437" s="234"/>
      <c r="BQ437" s="234"/>
      <c r="BR437" s="234"/>
      <c r="BS437" s="224"/>
      <c r="BT437" s="223">
        <f>(BL437+BM437+BN437+BO437+BP437+BQ437+BR437+BS437)/3</f>
        <v>12</v>
      </c>
      <c r="BU437" s="223">
        <f t="shared" si="4673"/>
        <v>24</v>
      </c>
      <c r="BV437" s="234">
        <f t="shared" si="4674"/>
        <v>36</v>
      </c>
      <c r="BW437" s="237">
        <f>BL437*POWER(KLslave_KL,SIGN(BM437))*POWER(INslave,SIGN(BN437))*POWER(CHslave,SIGN(BO437))*POWER(FFslave,SIGN(BP437))*POWER(GEslave,SIGN(BQ437))*POWER(KOslave,SIGN(BR437))*POWER(KKslave,SIGN(BS437))+BM437*POWER(MUslave,SIGN(BL437))*POWER(INslave,SIGN(BN437))*POWER(CHslave,SIGN(BO437))*POWER(FFslave,SIGN(BP437))*POWER(GEslave,SIGN(BQ437))*POWER(KOslave,SIGN(BR437))*POWER(KKslave,SIGN(BS437))+BN437*POWER(MUslave,SIGN(BL437))*POWER(KLslave_KL,SIGN(BM437))*POWER(CHslave,SIGN(BO437))*POWER(FFslave,SIGN(BP437))*POWER(GEslave,SIGN(BQ437))*POWER(KOslave,SIGN(BR437))*POWER(KKslave,SIGN(BS437))+BO437*POWER(MUslave,SIGN(BL437))*POWER(KLslave_KL,SIGN(BM437))*POWER(INslave,SIGN(BN437))*POWER(FFslave,SIGN(BP437))*POWER(GEslave,SIGN(BQ437))*POWER(KOslave,SIGN(BR437))*POWER(KKslave,SIGN(BS437))+BP437*POWER(MUslave,SIGN(BL437))*POWER(KLslave_KL,SIGN(BM437))*POWER(INslave,SIGN(BN437))*POWER(CHslave,SIGN(BO437))*POWER(GEslave,SIGN(BQ437))*POWER(KOslave,SIGN(BR437))*POWER(KKslave,SIGN(BS437))+BQ437*POWER(MUslave,SIGN(BL437))*POWER(KLslave_KL,SIGN(BM437))*POWER(INslave,SIGN(BN437))*POWER(CHslave,SIGN(BO437))*POWER(FFslave,SIGN(BP437))*POWER(KOslave,SIGN(BR437))*POWER(KKslave,SIGN(BS437))+BR437*POWER(MUslave,SIGN(BL437))*POWER(KLslave_KL,SIGN(BM437))*POWER(INslave,SIGN(BN437))*POWER(CHslave,SIGN(BO437))*POWER(FFslave,SIGN(BP437))*POWER(GEslave,SIGN(BQ437))*POWER(KKslave,SIGN(BS437))+BS437*POWER(MUslave,SIGN(BL437))*POWER(KLslave_KL,SIGN(BM437))*POWER(INslave,SIGN(BN437))*POWER(CHslave,SIGN(BO437))*POWER(FFslave,SIGN(BP437))*POWER(GEslave,SIGN(BQ437))*POWER(KOslave,SIGN(BR437))</f>
        <v>2304</v>
      </c>
      <c r="BX437" s="234">
        <f>BL437*BN437*CHslave+BL437*INslave*BO437+MUslave*BN437*BO437</f>
        <v>3456</v>
      </c>
      <c r="BY437" s="224">
        <f>IFERROR(BL437^SIGN(BL437),1)*IFERROR(BM437^SIGN(BM437),1)*IFERROR(BN437^SIGN(BN437),1)*IFERROR(BO437^SIGN(BO437),1)*IFERROR(BP437^SIGN(BP437),1)*IFERROR(BQ437^SIGN(BQ437),1)*IFERROR(BR437^SIGN(BR437),1)*IFERROR(BS437^SIGN(BS437),1)</f>
        <v>1728</v>
      </c>
      <c r="BZ437" s="242">
        <f t="shared" si="4675"/>
        <v>7488</v>
      </c>
      <c r="CA437" s="222">
        <f t="shared" si="4676"/>
        <v>3.6923076923076925</v>
      </c>
      <c r="CB437" s="223">
        <f t="shared" si="4677"/>
        <v>11.076923076923077</v>
      </c>
      <c r="CC437" s="243">
        <f t="shared" si="4678"/>
        <v>8.3076923076923084</v>
      </c>
      <c r="CD437" s="243">
        <f t="shared" si="4679"/>
        <v>23.07692307692308</v>
      </c>
      <c r="CE437" s="252">
        <f t="shared" si="4680"/>
        <v>0</v>
      </c>
      <c r="CF437" s="309">
        <f t="shared" si="4681"/>
        <v>23.07692307692308</v>
      </c>
      <c r="CG437" s="218">
        <f>IF(CD437&lt;=0,3,0)+IF(CD437&gt;0,CD437+1,0)*3+IF(CD437&gt;12,CD437-12,0)*3+IF(CD437&gt;13,CD437-13,0)*3+IF(CD437&gt;14,CD437-14,0)*3+IF(CD437&gt;15,CD437-15,0)*3+IF(CD437&gt;16,CD437-16,0)*3+IF(CD437&gt;17,CD437-17,0)*3+IF(CD437&gt;18,CD437-18,0)*3+IF(CD437&gt;19,CD437-19,0)*3+IF(CD437&gt;20,CD437-20,0)*3</f>
        <v>263.30769230769232</v>
      </c>
      <c r="CH437" s="242">
        <f>IF(CE437&lt;=0,3,0)+IF(CE437&gt;0,CE437+1,0)*3+IF(CE437&gt;12,CE437-12,0)*3+IF(CE437&gt;13,CE437-13,0)*3+IF(CE437&gt;14,CE437-14,0)*3+IF(CE437&gt;15,CE437-15,0)*3+IF(CE437&gt;16,CE437-16,0)*3+IF(CE437&gt;17,CE437-17,0)*3+IF(CE437&gt;18,CE437-18,0)*3+IF(CE437&gt;19,CE437-19,0)*3+IF(CE437&gt;20,CE437-20,0)*3</f>
        <v>3</v>
      </c>
      <c r="CI437" s="243">
        <f t="shared" si="4682"/>
        <v>260.30769230769232</v>
      </c>
      <c r="CJ437" s="218">
        <f t="shared" si="4683"/>
        <v>0</v>
      </c>
      <c r="CL437" s="325" t="s">
        <v>252</v>
      </c>
      <c r="CM437" s="218" t="s">
        <v>86</v>
      </c>
      <c r="CN437" s="223" t="s">
        <v>135</v>
      </c>
      <c r="CO437" s="237">
        <f>Konvention_1slave-MUslave</f>
        <v>12</v>
      </c>
      <c r="CP437" s="234"/>
      <c r="CQ437" s="234">
        <f>Konvention_1slave-INslave_IN</f>
        <v>11</v>
      </c>
      <c r="CR437" s="234">
        <f>Konvention_1slave-CHslave</f>
        <v>12</v>
      </c>
      <c r="CS437" s="234"/>
      <c r="CT437" s="234"/>
      <c r="CU437" s="234"/>
      <c r="CV437" s="224"/>
      <c r="CW437" s="223">
        <f>(CO437+CP437+CQ437+CR437+CS437+CT437+CU437+CV437)/3</f>
        <v>11.666666666666666</v>
      </c>
      <c r="CX437" s="223">
        <f t="shared" si="4684"/>
        <v>23.333333333333332</v>
      </c>
      <c r="CY437" s="234">
        <f t="shared" si="4685"/>
        <v>35</v>
      </c>
      <c r="CZ437" s="237">
        <f>CO437*POWER(KLslave,SIGN(CP437))*POWER(INslave_IN,SIGN(CQ437))*POWER(CHslave,SIGN(CR437))*POWER(FFslave,SIGN(CS437))*POWER(GEslave,SIGN(CT437))*POWER(KOslave,SIGN(CU437))*POWER(KKslave,SIGN(CV437))+CP437*POWER(MUslave,SIGN(CO437))*POWER(INslave_IN,SIGN(CQ437))*POWER(CHslave,SIGN(CR437))*POWER(FFslave,SIGN(CS437))*POWER(GEslave,SIGN(CT437))*POWER(KOslave,SIGN(CU437))*POWER(KKslave,SIGN(CV437))+CQ437*POWER(MUslave,SIGN(CO437))*POWER(KLslave,SIGN(CP437))*POWER(CHslave,SIGN(CR437))*POWER(FFslave,SIGN(CS437))*POWER(GEslave,SIGN(CT437))*POWER(KOslave,SIGN(CU437))*POWER(KKslave,SIGN(CV437))+CR437*POWER(MUslave,SIGN(CO437))*POWER(KLslave,SIGN(CP437))*POWER(INslave_IN,SIGN(CQ437))*POWER(FFslave,SIGN(CS437))*POWER(GEslave,SIGN(CT437))*POWER(KOslave,SIGN(CU437))*POWER(KKslave,SIGN(CV437))+CS437*POWER(MUslave,SIGN(CO437))*POWER(KLslave,SIGN(CP437))*POWER(INslave_IN,SIGN(CQ437))*POWER(CHslave,SIGN(CR437))*POWER(GEslave,SIGN(CT437))*POWER(KOslave,SIGN(CU437))*POWER(KKslave,SIGN(CV437))+CT437*POWER(MUslave,SIGN(CO437))*POWER(KLslave,SIGN(CP437))*POWER(INslave_IN,SIGN(CQ437))*POWER(CHslave,SIGN(CR437))*POWER(FFslave,SIGN(CS437))*POWER(KOslave,SIGN(CU437))*POWER(KKslave,SIGN(CV437))+CU437*POWER(MUslave,SIGN(CO437))*POWER(KLslave,SIGN(CP437))*POWER(INslave_IN,SIGN(CQ437))*POWER(CHslave,SIGN(CR437))*POWER(FFslave,SIGN(CS437))*POWER(GEslave,SIGN(CT437))*POWER(KKslave,SIGN(CV437))+CV437*POWER(MUslave,SIGN(CO437))*POWER(KLslave,SIGN(CP437))*POWER(INslave_IN,SIGN(CQ437))*POWER(CHslave,SIGN(CR437))*POWER(FFslave,SIGN(CS437))*POWER(GEslave,SIGN(CT437))*POWER(KOslave,SIGN(CU437))</f>
        <v>2432</v>
      </c>
      <c r="DA437" s="234">
        <f>CO437*CQ437*CHslave+CO437*INslave_IN*CR437+MUslave*CQ437*CR437</f>
        <v>3408</v>
      </c>
      <c r="DB437" s="224">
        <f>IFERROR(CO437^SIGN(CO437),1)*IFERROR(CP437^SIGN(CP437),1)*IFERROR(CQ437^SIGN(CQ437),1)*IFERROR(CR437^SIGN(CR437),1)*IFERROR(CS437^SIGN(CS437),1)*IFERROR(CT437^SIGN(CT437),1)*IFERROR(CU437^SIGN(CU437),1)*IFERROR(CV437^SIGN(CV437),1)</f>
        <v>1584</v>
      </c>
      <c r="DC437" s="242">
        <f t="shared" si="4686"/>
        <v>7424</v>
      </c>
      <c r="DD437" s="222">
        <f t="shared" si="4687"/>
        <v>3.8218390804597702</v>
      </c>
      <c r="DE437" s="223">
        <f t="shared" si="4688"/>
        <v>10.711206896551724</v>
      </c>
      <c r="DF437" s="243">
        <f t="shared" si="4689"/>
        <v>7.4676724137931032</v>
      </c>
      <c r="DG437" s="243">
        <f t="shared" si="4690"/>
        <v>22.000718390804597</v>
      </c>
      <c r="DH437" s="252">
        <f t="shared" si="4691"/>
        <v>0</v>
      </c>
      <c r="DI437" s="309">
        <f t="shared" si="4692"/>
        <v>22.000718390804597</v>
      </c>
      <c r="DJ437" s="218">
        <f>IF(DG437&lt;=0,3,0)+IF(DG437&gt;0,DG437+1,0)*3+IF(DG437&gt;12,DG437-12,0)*3+IF(DG437&gt;13,DG437-13,0)*3+IF(DG437&gt;14,DG437-14,0)*3+IF(DG437&gt;15,DG437-15,0)*3+IF(DG437&gt;16,DG437-16,0)*3+IF(DG437&gt;17,DG437-17,0)*3+IF(DG437&gt;18,DG437-18,0)*3+IF(DG437&gt;19,DG437-19,0)*3+IF(DG437&gt;20,DG437-20,0)*3</f>
        <v>231.02155172413785</v>
      </c>
      <c r="DK437" s="242">
        <f>IF(DH437&lt;=0,3,0)+IF(DH437&gt;0,DH437+1,0)*3+IF(DH437&gt;12,DH437-12,0)*3+IF(DH437&gt;13,DH437-13,0)*3+IF(DH437&gt;14,DH437-14,0)*3+IF(DH437&gt;15,DH437-15,0)*3+IF(DH437&gt;16,DH437-16,0)*3+IF(DH437&gt;17,DH437-17,0)*3+IF(DH437&gt;18,DH437-18,0)*3+IF(DH437&gt;19,DH437-19,0)*3+IF(DH437&gt;20,DH437-20,0)*3</f>
        <v>3</v>
      </c>
      <c r="DL437" s="243">
        <f t="shared" si="4693"/>
        <v>228.02155172413785</v>
      </c>
      <c r="DM437" s="218">
        <f t="shared" si="4694"/>
        <v>0</v>
      </c>
      <c r="DO437" s="325" t="s">
        <v>252</v>
      </c>
      <c r="DP437" s="218" t="s">
        <v>86</v>
      </c>
      <c r="DQ437" s="223" t="s">
        <v>135</v>
      </c>
      <c r="DR437" s="237">
        <f>Konvention_1slave-MUslave</f>
        <v>12</v>
      </c>
      <c r="DS437" s="234"/>
      <c r="DT437" s="234">
        <f>Konvention_1slave-INslave</f>
        <v>12</v>
      </c>
      <c r="DU437" s="234">
        <f>Konvention_1slave-CHslave_CH</f>
        <v>11</v>
      </c>
      <c r="DV437" s="234"/>
      <c r="DW437" s="234"/>
      <c r="DX437" s="234"/>
      <c r="DY437" s="224"/>
      <c r="DZ437" s="223">
        <f>(DR437+DS437+DT437+DU437+DV437+DW437+DX437+DY437)/3</f>
        <v>11.666666666666666</v>
      </c>
      <c r="EA437" s="223">
        <f t="shared" si="4695"/>
        <v>23.333333333333332</v>
      </c>
      <c r="EB437" s="234">
        <f t="shared" si="4696"/>
        <v>35</v>
      </c>
      <c r="EC437" s="237">
        <f>DR437*POWER(KLslave,SIGN(DS437))*POWER(INslave,SIGN(DT437))*POWER(CHslave_CH,SIGN(DU437))*POWER(FFslave,SIGN(DV437))*POWER(GEslave,SIGN(DW437))*POWER(KOslave,SIGN(DX437))*POWER(KKslave,SIGN(DY437))+DS437*POWER(MUslave,SIGN(DR437))*POWER(INslave,SIGN(DT437))*POWER(CHslave_CH,SIGN(DU437))*POWER(FFslave,SIGN(DV437))*POWER(GEslave,SIGN(DW437))*POWER(KOslave,SIGN(DX437))*POWER(KKslave,SIGN(DY437))+DT437*POWER(MUslave,SIGN(DR437))*POWER(KLslave,SIGN(DS437))*POWER(CHslave_CH,SIGN(DU437))*POWER(FFslave,SIGN(DV437))*POWER(GEslave,SIGN(DW437))*POWER(KOslave,SIGN(DX437))*POWER(KKslave,SIGN(DY437))+DU437*POWER(MUslave,SIGN(DR437))*POWER(KLslave,SIGN(DS437))*POWER(INslave,SIGN(DT437))*POWER(FFslave,SIGN(DV437))*POWER(GEslave,SIGN(DW437))*POWER(KOslave,SIGN(DX437))*POWER(KKslave,SIGN(DY437))+DV437*POWER(MUslave,SIGN(DR437))*POWER(KLslave,SIGN(DS437))*POWER(INslave,SIGN(DT437))*POWER(CHslave_CH,SIGN(DU437))*POWER(GEslave,SIGN(DW437))*POWER(KOslave,SIGN(DX437))*POWER(KKslave,SIGN(DY437))+DW437*POWER(MUslave,SIGN(DR437))*POWER(KLslave,SIGN(DS437))*POWER(INslave,SIGN(DT437))*POWER(CHslave_CH,SIGN(DU437))*POWER(FFslave,SIGN(DV437))*POWER(KOslave,SIGN(DX437))*POWER(KKslave,SIGN(DY437))+DX437*POWER(MUslave,SIGN(DR437))*POWER(KLslave,SIGN(DS437))*POWER(INslave,SIGN(DT437))*POWER(CHslave_CH,SIGN(DU437))*POWER(FFslave,SIGN(DV437))*POWER(GEslave,SIGN(DW437))*POWER(KKslave,SIGN(DY437))+DY437*POWER(MUslave,SIGN(DR437))*POWER(KLslave,SIGN(DS437))*POWER(INslave,SIGN(DT437))*POWER(CHslave_CH,SIGN(DU437))*POWER(FFslave,SIGN(DV437))*POWER(GEslave,SIGN(DW437))*POWER(KOslave,SIGN(DX437))</f>
        <v>2432</v>
      </c>
      <c r="ED437" s="234">
        <f>DR437*DT437*CHslave_CH+DR437*INslave*DU437+MUslave*DT437*DU437</f>
        <v>3408</v>
      </c>
      <c r="EE437" s="224">
        <f>IFERROR(DR437^SIGN(DR437),1)*IFERROR(DS437^SIGN(DS437),1)*IFERROR(DT437^SIGN(DT437),1)*IFERROR(DU437^SIGN(DU437),1)*IFERROR(DV437^SIGN(DV437),1)*IFERROR(DW437^SIGN(DW437),1)*IFERROR(DX437^SIGN(DX437),1)*IFERROR(DY437^SIGN(DY437),1)</f>
        <v>1584</v>
      </c>
      <c r="EF437" s="242">
        <f t="shared" si="4697"/>
        <v>7424</v>
      </c>
      <c r="EG437" s="222">
        <f t="shared" si="4698"/>
        <v>3.8218390804597702</v>
      </c>
      <c r="EH437" s="223">
        <f t="shared" si="4699"/>
        <v>10.711206896551724</v>
      </c>
      <c r="EI437" s="243">
        <f t="shared" si="4700"/>
        <v>7.4676724137931032</v>
      </c>
      <c r="EJ437" s="243">
        <f t="shared" si="4701"/>
        <v>22.000718390804597</v>
      </c>
      <c r="EK437" s="252">
        <f t="shared" si="4702"/>
        <v>0</v>
      </c>
      <c r="EL437" s="309">
        <f t="shared" si="4703"/>
        <v>22.000718390804597</v>
      </c>
      <c r="EM437" s="218">
        <f>IF(EJ437&lt;=0,3,0)+IF(EJ437&gt;0,EJ437+1,0)*3+IF(EJ437&gt;12,EJ437-12,0)*3+IF(EJ437&gt;13,EJ437-13,0)*3+IF(EJ437&gt;14,EJ437-14,0)*3+IF(EJ437&gt;15,EJ437-15,0)*3+IF(EJ437&gt;16,EJ437-16,0)*3+IF(EJ437&gt;17,EJ437-17,0)*3+IF(EJ437&gt;18,EJ437-18,0)*3+IF(EJ437&gt;19,EJ437-19,0)*3+IF(EJ437&gt;20,EJ437-20,0)*3</f>
        <v>231.02155172413785</v>
      </c>
      <c r="EN437" s="242">
        <f>IF(EK437&lt;=0,3,0)+IF(EK437&gt;0,EK437+1,0)*3+IF(EK437&gt;12,EK437-12,0)*3+IF(EK437&gt;13,EK437-13,0)*3+IF(EK437&gt;14,EK437-14,0)*3+IF(EK437&gt;15,EK437-15,0)*3+IF(EK437&gt;16,EK437-16,0)*3+IF(EK437&gt;17,EK437-17,0)*3+IF(EK437&gt;18,EK437-18,0)*3+IF(EK437&gt;19,EK437-19,0)*3+IF(EK437&gt;20,EK437-20,0)*3</f>
        <v>3</v>
      </c>
      <c r="EO437" s="243">
        <f t="shared" si="4704"/>
        <v>228.02155172413785</v>
      </c>
      <c r="EP437" s="218">
        <f t="shared" si="4705"/>
        <v>0</v>
      </c>
      <c r="ER437" s="325" t="s">
        <v>252</v>
      </c>
      <c r="ES437" s="218" t="s">
        <v>86</v>
      </c>
      <c r="ET437" s="223" t="s">
        <v>135</v>
      </c>
      <c r="EU437" s="237">
        <f>Konvention_1slave-MUslave</f>
        <v>12</v>
      </c>
      <c r="EV437" s="234"/>
      <c r="EW437" s="234">
        <f>Konvention_1slave-INslave</f>
        <v>12</v>
      </c>
      <c r="EX437" s="234">
        <f>Konvention_1slave-CHslave</f>
        <v>12</v>
      </c>
      <c r="EY437" s="234"/>
      <c r="EZ437" s="234"/>
      <c r="FA437" s="234"/>
      <c r="FB437" s="224"/>
      <c r="FC437" s="223">
        <f>(EU437+EV437+EW437+EX437+EY437+EZ437+FA437+FB437)/3</f>
        <v>12</v>
      </c>
      <c r="FD437" s="223">
        <f t="shared" si="4706"/>
        <v>24</v>
      </c>
      <c r="FE437" s="234">
        <f t="shared" si="4707"/>
        <v>36</v>
      </c>
      <c r="FF437" s="237">
        <f>EU437*POWER(KLslave,SIGN(EV437))*POWER(INslave,SIGN(EW437))*POWER(CHslave,SIGN(EX437))*POWER(FFslave_FF,SIGN(EY437))*POWER(GEslave,SIGN(EZ437))*POWER(KOslave,SIGN(FA437))*POWER(KKslave,SIGN(FB437))+EV437*POWER(MUslave,SIGN(EU437))*POWER(INslave,SIGN(EW437))*POWER(CHslave,SIGN(EX437))*POWER(FFslave_FF,SIGN(EY437))*POWER(GEslave,SIGN(EZ437))*POWER(KOslave,SIGN(FA437))*POWER(KKslave,SIGN(FB437))+EW437*POWER(MUslave,SIGN(EU437))*POWER(KLslave,SIGN(EV437))*POWER(CHslave,SIGN(EX437))*POWER(FFslave_FF,SIGN(EY437))*POWER(GEslave,SIGN(EZ437))*POWER(KOslave,SIGN(FA437))*POWER(KKslave,SIGN(FB437))+EX437*POWER(MUslave,SIGN(EU437))*POWER(KLslave,SIGN(EV437))*POWER(INslave,SIGN(EW437))*POWER(FFslave_FF,SIGN(EY437))*POWER(GEslave,SIGN(EZ437))*POWER(KOslave,SIGN(FA437))*POWER(KKslave,SIGN(FB437))+EY437*POWER(MUslave,SIGN(EU437))*POWER(KLslave,SIGN(EV437))*POWER(INslave,SIGN(EW437))*POWER(CHslave,SIGN(EX437))*POWER(GEslave,SIGN(EZ437))*POWER(KOslave,SIGN(FA437))*POWER(KKslave,SIGN(FB437))+EZ437*POWER(MUslave,SIGN(EU437))*POWER(KLslave,SIGN(EV437))*POWER(INslave,SIGN(EW437))*POWER(CHslave,SIGN(EX437))*POWER(FFslave_FF,SIGN(EY437))*POWER(KOslave,SIGN(FA437))*POWER(KKslave,SIGN(FB437))+FA437*POWER(MUslave,SIGN(EU437))*POWER(KLslave,SIGN(EV437))*POWER(INslave,SIGN(EW437))*POWER(CHslave,SIGN(EX437))*POWER(FFslave_FF,SIGN(EY437))*POWER(GEslave,SIGN(EZ437))*POWER(KKslave,SIGN(FB437))+FB437*POWER(MUslave,SIGN(EU437))*POWER(KLslave,SIGN(EV437))*POWER(INslave,SIGN(EW437))*POWER(CHslave,SIGN(EX437))*POWER(FFslave_FF,SIGN(EY437))*POWER(GEslave,SIGN(EZ437))*POWER(KOslave,SIGN(FA437))</f>
        <v>2304</v>
      </c>
      <c r="FG437" s="234">
        <f>EU437*EW437*CHslave+EU437*INslave*EX437+MUslave*EW437*EX437</f>
        <v>3456</v>
      </c>
      <c r="FH437" s="224">
        <f>IFERROR(EU437^SIGN(EU437),1)*IFERROR(EV437^SIGN(EV437),1)*IFERROR(EW437^SIGN(EW437),1)*IFERROR(EX437^SIGN(EX437),1)*IFERROR(EY437^SIGN(EY437),1)*IFERROR(EZ437^SIGN(EZ437),1)*IFERROR(FA437^SIGN(FA437),1)*IFERROR(FB437^SIGN(FB437),1)</f>
        <v>1728</v>
      </c>
      <c r="FI437" s="242">
        <f t="shared" si="4708"/>
        <v>7488</v>
      </c>
      <c r="FJ437" s="222">
        <f t="shared" si="4709"/>
        <v>3.6923076923076925</v>
      </c>
      <c r="FK437" s="223">
        <f t="shared" si="4710"/>
        <v>11.076923076923077</v>
      </c>
      <c r="FL437" s="243">
        <f t="shared" si="4711"/>
        <v>8.3076923076923084</v>
      </c>
      <c r="FM437" s="243">
        <f t="shared" si="4712"/>
        <v>23.07692307692308</v>
      </c>
      <c r="FN437" s="252">
        <f t="shared" si="4713"/>
        <v>0</v>
      </c>
      <c r="FO437" s="309">
        <f t="shared" si="4714"/>
        <v>23.07692307692308</v>
      </c>
      <c r="FP437" s="218">
        <f>IF(FM437&lt;=0,3,0)+IF(FM437&gt;0,FM437+1,0)*3+IF(FM437&gt;12,FM437-12,0)*3+IF(FM437&gt;13,FM437-13,0)*3+IF(FM437&gt;14,FM437-14,0)*3+IF(FM437&gt;15,FM437-15,0)*3+IF(FM437&gt;16,FM437-16,0)*3+IF(FM437&gt;17,FM437-17,0)*3+IF(FM437&gt;18,FM437-18,0)*3+IF(FM437&gt;19,FM437-19,0)*3+IF(FM437&gt;20,FM437-20,0)*3</f>
        <v>263.30769230769232</v>
      </c>
      <c r="FQ437" s="242">
        <f>IF(FN437&lt;=0,3,0)+IF(FN437&gt;0,FN437+1,0)*3+IF(FN437&gt;12,FN437-12,0)*3+IF(FN437&gt;13,FN437-13,0)*3+IF(FN437&gt;14,FN437-14,0)*3+IF(FN437&gt;15,FN437-15,0)*3+IF(FN437&gt;16,FN437-16,0)*3+IF(FN437&gt;17,FN437-17,0)*3+IF(FN437&gt;18,FN437-18,0)*3+IF(FN437&gt;19,FN437-19,0)*3+IF(FN437&gt;20,FN437-20,0)*3</f>
        <v>3</v>
      </c>
      <c r="FR437" s="243">
        <f t="shared" si="4715"/>
        <v>260.30769230769232</v>
      </c>
      <c r="FS437" s="218">
        <f t="shared" si="4716"/>
        <v>0</v>
      </c>
      <c r="FU437" s="325" t="s">
        <v>252</v>
      </c>
      <c r="FV437" s="218" t="s">
        <v>86</v>
      </c>
      <c r="FW437" s="223" t="s">
        <v>135</v>
      </c>
      <c r="FX437" s="237">
        <f>Konvention_1slave-MUslave</f>
        <v>12</v>
      </c>
      <c r="FY437" s="234"/>
      <c r="FZ437" s="234">
        <f>Konvention_1slave-INslave</f>
        <v>12</v>
      </c>
      <c r="GA437" s="234">
        <f>Konvention_1slave-CHslave</f>
        <v>12</v>
      </c>
      <c r="GB437" s="234"/>
      <c r="GC437" s="234"/>
      <c r="GD437" s="234"/>
      <c r="GE437" s="224"/>
      <c r="GF437" s="223">
        <f>(FX437+FY437+FZ437+GA437+GB437+GC437+GD437+GE437)/3</f>
        <v>12</v>
      </c>
      <c r="GG437" s="223">
        <f t="shared" si="4717"/>
        <v>24</v>
      </c>
      <c r="GH437" s="234">
        <f t="shared" si="4718"/>
        <v>36</v>
      </c>
      <c r="GI437" s="237">
        <f>FX437*POWER(KLslave,SIGN(FY437))*POWER(INslave,SIGN(FZ437))*POWER(CHslave,SIGN(GA437))*POWER(FFslave,SIGN(GB437))*POWER(GEslave_GE,SIGN(GC437))*POWER(KOslave,SIGN(GD437))*POWER(KKslave,SIGN(GE437))+FY437*POWER(MUslave,SIGN(FX437))*POWER(INslave,SIGN(FZ437))*POWER(CHslave,SIGN(GA437))*POWER(FFslave,SIGN(GB437))*POWER(GEslave_GE,SIGN(GC437))*POWER(KOslave,SIGN(GD437))*POWER(KKslave,SIGN(GE437))+FZ437*POWER(MUslave,SIGN(FX437))*POWER(KLslave,SIGN(FY437))*POWER(CHslave,SIGN(GA437))*POWER(FFslave,SIGN(GB437))*POWER(GEslave_GE,SIGN(GC437))*POWER(KOslave,SIGN(GD437))*POWER(KKslave,SIGN(GE437))+GA437*POWER(MUslave,SIGN(FX437))*POWER(KLslave,SIGN(FY437))*POWER(INslave,SIGN(FZ437))*POWER(FFslave,SIGN(GB437))*POWER(GEslave_GE,SIGN(GC437))*POWER(KOslave,SIGN(GD437))*POWER(KKslave,SIGN(GE437))+GB437*POWER(MUslave,SIGN(FX437))*POWER(KLslave,SIGN(FY437))*POWER(INslave,SIGN(FZ437))*POWER(CHslave,SIGN(GA437))*POWER(GEslave_GE,SIGN(GC437))*POWER(KOslave,SIGN(GD437))*POWER(KKslave,SIGN(GE437))+GC437*POWER(MUslave,SIGN(FX437))*POWER(KLslave,SIGN(FY437))*POWER(INslave,SIGN(FZ437))*POWER(CHslave,SIGN(GA437))*POWER(FFslave,SIGN(GB437))*POWER(KOslave,SIGN(GD437))*POWER(KKslave,SIGN(GE437))+GD437*POWER(MUslave,SIGN(FX437))*POWER(KLslave,SIGN(FY437))*POWER(INslave,SIGN(FZ437))*POWER(CHslave,SIGN(GA437))*POWER(FFslave,SIGN(GB437))*POWER(GEslave_GE,SIGN(GC437))*POWER(KKslave,SIGN(GE437))+GE437*POWER(MUslave,SIGN(FX437))*POWER(KLslave,SIGN(FY437))*POWER(INslave,SIGN(FZ437))*POWER(CHslave,SIGN(GA437))*POWER(FFslave,SIGN(GB437))*POWER(GEslave_GE,SIGN(GC437))*POWER(KOslave,SIGN(GD437))</f>
        <v>2304</v>
      </c>
      <c r="GJ437" s="234">
        <f>FX437*FZ437*CHslave+FX437*INslave*GA437+MUslave*FZ437*GA437</f>
        <v>3456</v>
      </c>
      <c r="GK437" s="224">
        <f>IFERROR(FX437^SIGN(FX437),1)*IFERROR(FY437^SIGN(FY437),1)*IFERROR(FZ437^SIGN(FZ437),1)*IFERROR(GA437^SIGN(GA437),1)*IFERROR(GB437^SIGN(GB437),1)*IFERROR(GC437^SIGN(GC437),1)*IFERROR(GD437^SIGN(GD437),1)*IFERROR(GE437^SIGN(GE437),1)</f>
        <v>1728</v>
      </c>
      <c r="GL437" s="242">
        <f t="shared" si="4719"/>
        <v>7488</v>
      </c>
      <c r="GM437" s="222">
        <f t="shared" si="4720"/>
        <v>3.6923076923076925</v>
      </c>
      <c r="GN437" s="223">
        <f t="shared" si="4721"/>
        <v>11.076923076923077</v>
      </c>
      <c r="GO437" s="243">
        <f t="shared" si="4722"/>
        <v>8.3076923076923084</v>
      </c>
      <c r="GP437" s="243">
        <f t="shared" si="4723"/>
        <v>23.07692307692308</v>
      </c>
      <c r="GQ437" s="252">
        <f t="shared" si="4724"/>
        <v>0</v>
      </c>
      <c r="GR437" s="309">
        <f t="shared" si="4725"/>
        <v>23.07692307692308</v>
      </c>
      <c r="GS437" s="218">
        <f>IF(GP437&lt;=0,3,0)+IF(GP437&gt;0,GP437+1,0)*3+IF(GP437&gt;12,GP437-12,0)*3+IF(GP437&gt;13,GP437-13,0)*3+IF(GP437&gt;14,GP437-14,0)*3+IF(GP437&gt;15,GP437-15,0)*3+IF(GP437&gt;16,GP437-16,0)*3+IF(GP437&gt;17,GP437-17,0)*3+IF(GP437&gt;18,GP437-18,0)*3+IF(GP437&gt;19,GP437-19,0)*3+IF(GP437&gt;20,GP437-20,0)*3</f>
        <v>263.30769230769232</v>
      </c>
      <c r="GT437" s="242">
        <f>IF(GQ437&lt;=0,3,0)+IF(GQ437&gt;0,GQ437+1,0)*3+IF(GQ437&gt;12,GQ437-12,0)*3+IF(GQ437&gt;13,GQ437-13,0)*3+IF(GQ437&gt;14,GQ437-14,0)*3+IF(GQ437&gt;15,GQ437-15,0)*3+IF(GQ437&gt;16,GQ437-16,0)*3+IF(GQ437&gt;17,GQ437-17,0)*3+IF(GQ437&gt;18,GQ437-18,0)*3+IF(GQ437&gt;19,GQ437-19,0)*3+IF(GQ437&gt;20,GQ437-20,0)*3</f>
        <v>3</v>
      </c>
      <c r="GU437" s="243">
        <f t="shared" si="4726"/>
        <v>260.30769230769232</v>
      </c>
      <c r="GV437" s="218">
        <f t="shared" si="4727"/>
        <v>0</v>
      </c>
      <c r="GX437" s="325" t="s">
        <v>252</v>
      </c>
      <c r="GY437" s="218" t="s">
        <v>86</v>
      </c>
      <c r="GZ437" s="223" t="s">
        <v>135</v>
      </c>
      <c r="HA437" s="237">
        <f>Konvention_1slave-MUslave</f>
        <v>12</v>
      </c>
      <c r="HB437" s="234"/>
      <c r="HC437" s="234">
        <f>Konvention_1slave-INslave</f>
        <v>12</v>
      </c>
      <c r="HD437" s="234">
        <f>Konvention_1slave-CHslave</f>
        <v>12</v>
      </c>
      <c r="HE437" s="234"/>
      <c r="HF437" s="234"/>
      <c r="HG437" s="234"/>
      <c r="HH437" s="224"/>
      <c r="HI437" s="223">
        <f>(HA437+HB437+HC437+HD437+HE437+HF437+HG437+HH437)/3</f>
        <v>12</v>
      </c>
      <c r="HJ437" s="223">
        <f t="shared" si="4728"/>
        <v>24</v>
      </c>
      <c r="HK437" s="234">
        <f t="shared" si="4729"/>
        <v>36</v>
      </c>
      <c r="HL437" s="237">
        <f>HA437*POWER(KLslave,SIGN(HB437))*POWER(INslave,SIGN(HC437))*POWER(CHslave,SIGN(HD437))*POWER(FFslave,SIGN(HE437))*POWER(GEslave,SIGN(HF437))*POWER(KOslave_KO,SIGN(HG437))*POWER(KKslave,SIGN(HH437))+HB437*POWER(MUslave,SIGN(HA437))*POWER(INslave,SIGN(HC437))*POWER(CHslave,SIGN(HD437))*POWER(FFslave,SIGN(HE437))*POWER(GEslave,SIGN(HF437))*POWER(KOslave_KO,SIGN(HG437))*POWER(KKslave,SIGN(HH437))+HC437*POWER(MUslave,SIGN(HA437))*POWER(KLslave,SIGN(HB437))*POWER(CHslave,SIGN(HD437))*POWER(FFslave,SIGN(HE437))*POWER(GEslave,SIGN(HF437))*POWER(KOslave_KO,SIGN(HG437))*POWER(KKslave,SIGN(HH437))+HD437*POWER(MUslave,SIGN(HA437))*POWER(KLslave,SIGN(HB437))*POWER(INslave,SIGN(HC437))*POWER(FFslave,SIGN(HE437))*POWER(GEslave,SIGN(HF437))*POWER(KOslave_KO,SIGN(HG437))*POWER(KKslave,SIGN(HH437))+HE437*POWER(MUslave,SIGN(HA437))*POWER(KLslave,SIGN(HB437))*POWER(INslave,SIGN(HC437))*POWER(CHslave,SIGN(HD437))*POWER(GEslave,SIGN(HF437))*POWER(KOslave_KO,SIGN(HG437))*POWER(KKslave,SIGN(HH437))+HF437*POWER(MUslave,SIGN(HA437))*POWER(KLslave,SIGN(HB437))*POWER(INslave,SIGN(HC437))*POWER(CHslave,SIGN(HD437))*POWER(FFslave,SIGN(HE437))*POWER(KOslave_KO,SIGN(HG437))*POWER(KKslave,SIGN(HH437))+HG437*POWER(MUslave,SIGN(HA437))*POWER(KLslave,SIGN(HB437))*POWER(INslave,SIGN(HC437))*POWER(CHslave,SIGN(HD437))*POWER(FFslave,SIGN(HE437))*POWER(GEslave,SIGN(HF437))*POWER(KKslave,SIGN(HH437))+HH437*POWER(MUslave,SIGN(HA437))*POWER(KLslave,SIGN(HB437))*POWER(INslave,SIGN(HC437))*POWER(CHslave,SIGN(HD437))*POWER(FFslave,SIGN(HE437))*POWER(GEslave,SIGN(HF437))*POWER(KOslave_KO,SIGN(HG437))</f>
        <v>2304</v>
      </c>
      <c r="HM437" s="234">
        <f>HA437*HC437*CHslave+HA437*INslave*HD437+MUslave*HC437*HD437</f>
        <v>3456</v>
      </c>
      <c r="HN437" s="224">
        <f>IFERROR(HA437^SIGN(HA437),1)*IFERROR(HB437^SIGN(HB437),1)*IFERROR(HC437^SIGN(HC437),1)*IFERROR(HD437^SIGN(HD437),1)*IFERROR(HE437^SIGN(HE437),1)*IFERROR(HF437^SIGN(HF437),1)*IFERROR(HG437^SIGN(HG437),1)*IFERROR(HH437^SIGN(HH437),1)</f>
        <v>1728</v>
      </c>
      <c r="HO437" s="242">
        <f t="shared" si="4730"/>
        <v>7488</v>
      </c>
      <c r="HP437" s="222">
        <f t="shared" si="4731"/>
        <v>3.6923076923076925</v>
      </c>
      <c r="HQ437" s="223">
        <f t="shared" si="4732"/>
        <v>11.076923076923077</v>
      </c>
      <c r="HR437" s="243">
        <f t="shared" si="4733"/>
        <v>8.3076923076923084</v>
      </c>
      <c r="HS437" s="243">
        <f t="shared" si="4734"/>
        <v>23.07692307692308</v>
      </c>
      <c r="HT437" s="252">
        <f t="shared" si="4735"/>
        <v>0</v>
      </c>
      <c r="HU437" s="309">
        <f t="shared" si="4736"/>
        <v>23.07692307692308</v>
      </c>
      <c r="HV437" s="218">
        <f>IF(HS437&lt;=0,3,0)+IF(HS437&gt;0,HS437+1,0)*3+IF(HS437&gt;12,HS437-12,0)*3+IF(HS437&gt;13,HS437-13,0)*3+IF(HS437&gt;14,HS437-14,0)*3+IF(HS437&gt;15,HS437-15,0)*3+IF(HS437&gt;16,HS437-16,0)*3+IF(HS437&gt;17,HS437-17,0)*3+IF(HS437&gt;18,HS437-18,0)*3+IF(HS437&gt;19,HS437-19,0)*3+IF(HS437&gt;20,HS437-20,0)*3</f>
        <v>263.30769230769232</v>
      </c>
      <c r="HW437" s="242">
        <f>IF(HT437&lt;=0,3,0)+IF(HT437&gt;0,HT437+1,0)*3+IF(HT437&gt;12,HT437-12,0)*3+IF(HT437&gt;13,HT437-13,0)*3+IF(HT437&gt;14,HT437-14,0)*3+IF(HT437&gt;15,HT437-15,0)*3+IF(HT437&gt;16,HT437-16,0)*3+IF(HT437&gt;17,HT437-17,0)*3+IF(HT437&gt;18,HT437-18,0)*3+IF(HT437&gt;19,HT437-19,0)*3+IF(HT437&gt;20,HT437-20,0)*3</f>
        <v>3</v>
      </c>
      <c r="HX437" s="243">
        <f t="shared" si="4737"/>
        <v>260.30769230769232</v>
      </c>
      <c r="HY437" s="218">
        <f t="shared" si="4738"/>
        <v>0</v>
      </c>
      <c r="IA437" s="325" t="s">
        <v>252</v>
      </c>
      <c r="IB437" s="218" t="s">
        <v>86</v>
      </c>
      <c r="IC437" s="223" t="s">
        <v>135</v>
      </c>
      <c r="ID437" s="237">
        <f>Konvention_1slave-MUslave</f>
        <v>12</v>
      </c>
      <c r="IE437" s="234"/>
      <c r="IF437" s="234">
        <f>Konvention_1slave-INslave</f>
        <v>12</v>
      </c>
      <c r="IG437" s="234">
        <f>Konvention_1slave-CHslave</f>
        <v>12</v>
      </c>
      <c r="IH437" s="234"/>
      <c r="II437" s="234"/>
      <c r="IJ437" s="234"/>
      <c r="IK437" s="224"/>
      <c r="IL437" s="223">
        <f>(ID437+IE437+IF437+IG437+IH437+II437+IJ437+IK437)/3</f>
        <v>12</v>
      </c>
      <c r="IM437" s="223">
        <f t="shared" si="4739"/>
        <v>24</v>
      </c>
      <c r="IN437" s="234">
        <f t="shared" si="4740"/>
        <v>36</v>
      </c>
      <c r="IO437" s="237">
        <f>ID437*POWER(KLslave,SIGN(IE437))*POWER(INslave,SIGN(IF437))*POWER(CHslave,SIGN(IG437))*POWER(FFslave,SIGN(IH437))*POWER(GEslave,SIGN(II437))*POWER(KOslave,SIGN(IJ437))*POWER(KKslave_KK,SIGN(IK437))+IE437*POWER(MUslave,SIGN(ID437))*POWER(INslave,SIGN(IF437))*POWER(CHslave,SIGN(IG437))*POWER(FFslave,SIGN(IH437))*POWER(GEslave,SIGN(II437))*POWER(KOslave,SIGN(IJ437))*POWER(KKslave_KK,SIGN(IK437))+IF437*POWER(MUslave,SIGN(ID437))*POWER(KLslave,SIGN(IE437))*POWER(CHslave,SIGN(IG437))*POWER(FFslave,SIGN(IH437))*POWER(GEslave,SIGN(II437))*POWER(KOslave,SIGN(IJ437))*POWER(KKslave_KK,SIGN(IK437))+IG437*POWER(MUslave,SIGN(ID437))*POWER(KLslave,SIGN(IE437))*POWER(INslave,SIGN(IF437))*POWER(FFslave,SIGN(IH437))*POWER(GEslave,SIGN(II437))*POWER(KOslave,SIGN(IJ437))*POWER(KKslave_KK,SIGN(IK437))+IH437*POWER(MUslave,SIGN(ID437))*POWER(KLslave,SIGN(IE437))*POWER(INslave,SIGN(IF437))*POWER(CHslave,SIGN(IG437))*POWER(GEslave,SIGN(II437))*POWER(KOslave,SIGN(IJ437))*POWER(KKslave_KK,SIGN(IK437))+II437*POWER(MUslave,SIGN(ID437))*POWER(KLslave,SIGN(IE437))*POWER(INslave,SIGN(IF437))*POWER(CHslave,SIGN(IG437))*POWER(FFslave,SIGN(IH437))*POWER(KOslave,SIGN(IJ437))*POWER(KKslave_KK,SIGN(IK437))+IJ437*POWER(MUslave,SIGN(ID437))*POWER(KLslave,SIGN(IE437))*POWER(INslave,SIGN(IF437))*POWER(CHslave,SIGN(IG437))*POWER(FFslave,SIGN(IH437))*POWER(GEslave,SIGN(II437))*POWER(KKslave_KK,SIGN(IK437))+IK437*POWER(MUslave,SIGN(ID437))*POWER(KLslave,SIGN(IE437))*POWER(INslave,SIGN(IF437))*POWER(CHslave,SIGN(IG437))*POWER(FFslave,SIGN(IH437))*POWER(GEslave,SIGN(II437))*POWER(KOslave,SIGN(IJ437))</f>
        <v>2304</v>
      </c>
      <c r="IP437" s="234">
        <f>ID437*IF437*CHslave+ID437*INslave*IG437+MUslave*IF437*IG437</f>
        <v>3456</v>
      </c>
      <c r="IQ437" s="224">
        <f>IFERROR(ID437^SIGN(ID437),1)*IFERROR(IE437^SIGN(IE437),1)*IFERROR(IF437^SIGN(IF437),1)*IFERROR(IG437^SIGN(IG437),1)*IFERROR(IH437^SIGN(IH437),1)*IFERROR(II437^SIGN(II437),1)*IFERROR(IJ437^SIGN(IJ437),1)*IFERROR(IK437^SIGN(IK437),1)</f>
        <v>1728</v>
      </c>
      <c r="IR437" s="242">
        <f t="shared" si="4741"/>
        <v>7488</v>
      </c>
      <c r="IS437" s="222">
        <f t="shared" si="4742"/>
        <v>3.6923076923076925</v>
      </c>
      <c r="IT437" s="223">
        <f t="shared" si="4743"/>
        <v>11.076923076923077</v>
      </c>
      <c r="IU437" s="243">
        <f t="shared" si="4744"/>
        <v>8.3076923076923084</v>
      </c>
      <c r="IV437" s="243">
        <f t="shared" si="4745"/>
        <v>23.07692307692308</v>
      </c>
      <c r="IW437" s="252">
        <f t="shared" si="4746"/>
        <v>0</v>
      </c>
      <c r="IX437" s="309">
        <f t="shared" si="4747"/>
        <v>23.07692307692308</v>
      </c>
      <c r="IY437" s="218">
        <f>IF(IV437&lt;=0,3,0)+IF(IV437&gt;0,IV437+1,0)*3+IF(IV437&gt;12,IV437-12,0)*3+IF(IV437&gt;13,IV437-13,0)*3+IF(IV437&gt;14,IV437-14,0)*3+IF(IV437&gt;15,IV437-15,0)*3+IF(IV437&gt;16,IV437-16,0)*3+IF(IV437&gt;17,IV437-17,0)*3+IF(IV437&gt;18,IV437-18,0)*3+IF(IV437&gt;19,IV437-19,0)*3+IF(IV437&gt;20,IV437-20,0)*3</f>
        <v>263.30769230769232</v>
      </c>
      <c r="IZ437" s="242">
        <f>IF(IW437&lt;=0,3,0)+IF(IW437&gt;0,IW437+1,0)*3+IF(IW437&gt;12,IW437-12,0)*3+IF(IW437&gt;13,IW437-13,0)*3+IF(IW437&gt;14,IW437-14,0)*3+IF(IW437&gt;15,IW437-15,0)*3+IF(IW437&gt;16,IW437-16,0)*3+IF(IW437&gt;17,IW437-17,0)*3+IF(IW437&gt;18,IW437-18,0)*3+IF(IW437&gt;19,IW437-19,0)*3+IF(IW437&gt;20,IW437-20,0)*3</f>
        <v>3</v>
      </c>
      <c r="JA437" s="243">
        <f t="shared" si="4748"/>
        <v>260.30769230769232</v>
      </c>
      <c r="JB437" s="218">
        <f t="shared" si="4749"/>
        <v>0</v>
      </c>
      <c r="JE437" s="148"/>
    </row>
    <row r="438" spans="1:265" ht="15" hidden="1" customHeight="1" outlineLevel="2">
      <c r="B438" s="148">
        <v>5</v>
      </c>
      <c r="C438" s="325" t="e">
        <f>VLOOKUP(AF438,Attribute!C:T,1,FALSE)</f>
        <v>#N/A</v>
      </c>
      <c r="D438" s="125" t="s">
        <v>80</v>
      </c>
      <c r="E438" s="47" t="s">
        <v>133</v>
      </c>
      <c r="F438" s="114"/>
      <c r="G438" s="113">
        <f>Konvention_1master-KLmaster</f>
        <v>12</v>
      </c>
      <c r="H438" s="113">
        <f>Konvention_1master-INmaster</f>
        <v>12</v>
      </c>
      <c r="I438" s="113"/>
      <c r="J438" s="113"/>
      <c r="K438" s="113"/>
      <c r="L438" s="113"/>
      <c r="M438" s="119"/>
      <c r="N438" s="223">
        <f>(G438+H438+H438)/3</f>
        <v>12</v>
      </c>
      <c r="O438" s="223">
        <f t="shared" si="4652"/>
        <v>24</v>
      </c>
      <c r="P438" s="234">
        <f t="shared" si="4653"/>
        <v>36</v>
      </c>
      <c r="Q438" s="237">
        <f>H438*POWER(KLmaster,SIGN(G438))*POWER(INmaster,SIGN(H438))+H438*POWER(KLmaster,SIGN(G438))*POWER(INmaster,SIGN(H438))+G438*POWER(INmaster,SIGN(H438))*POWER(INmaster,SIGN(H438))</f>
        <v>2304</v>
      </c>
      <c r="R438" s="113">
        <f>G438*H438*INmaster+G438*INmaster*H438+KLmaster*H438*H438</f>
        <v>3456</v>
      </c>
      <c r="S438" s="224">
        <f>G438*H438*H438</f>
        <v>1728</v>
      </c>
      <c r="T438" s="242">
        <f t="shared" si="4654"/>
        <v>7488</v>
      </c>
      <c r="U438" s="222">
        <f t="shared" si="4655"/>
        <v>3.6923076923076925</v>
      </c>
      <c r="V438" s="223">
        <f t="shared" si="4656"/>
        <v>11.076923076923077</v>
      </c>
      <c r="W438" s="243">
        <f t="shared" si="4657"/>
        <v>8.3076923076923084</v>
      </c>
      <c r="X438" s="243">
        <f t="shared" si="4658"/>
        <v>23.07692307692308</v>
      </c>
      <c r="Y438" s="252">
        <v>0</v>
      </c>
      <c r="Z438" s="198">
        <f t="shared" si="4659"/>
        <v>23.07692307692308</v>
      </c>
      <c r="AA438" s="125">
        <f>IF(X438&lt;=0,1,0)+IF(X438&gt;0,X438+1,0)*1+IF(X438&gt;12,X438-12,0)*1+IF(X438&gt;13,X438-13,0)*1+IF(X438&gt;14,X438-14,0)*1+IF(X438&gt;15,X438-15,0)*1+IF(X438&gt;16,X438-16,0)*1+IF(X438&gt;17,X438-17,0)*1+IF(X438&gt;18,X438-18,0)*1+IF(X438&gt;19,X438-19,0)*1+IF(X438&gt;20,X438-20,0)*1</f>
        <v>87.769230769230802</v>
      </c>
      <c r="AB438" s="160">
        <f>IF(Y438&lt;=0,1,0)+IF(Y438&gt;0,Y438+1,0)*1+IF(Y438&gt;12,Y438-12,0)*1+IF(Y438&gt;13,Y438-13,0)*1+IF(Y438&gt;14,Y438-14,0)*1+IF(Y438&gt;15,Y438-15,0)*1+IF(Y438&gt;16,Y438-16,0)*1+IF(Y438&gt;17,Y438-17,0)*1+IF(Y438&gt;18,Y438-18,0)*1+IF(Y438&gt;19,Y438-19,0)*1+IF(Y438&gt;20,Y438-20,0)*1</f>
        <v>1</v>
      </c>
      <c r="AC438" s="127">
        <f t="shared" si="4660"/>
        <v>86.769230769230802</v>
      </c>
      <c r="AD438" s="125">
        <f t="shared" si="4661"/>
        <v>0</v>
      </c>
      <c r="AF438" s="177" t="s">
        <v>253</v>
      </c>
      <c r="AG438" s="125" t="s">
        <v>80</v>
      </c>
      <c r="AH438" s="47" t="s">
        <v>133</v>
      </c>
      <c r="AI438" s="114"/>
      <c r="AJ438" s="113">
        <f>Konvention_1slave-KLslave</f>
        <v>12</v>
      </c>
      <c r="AK438" s="113">
        <f>Konvention_1slave-INslave</f>
        <v>12</v>
      </c>
      <c r="AL438" s="113"/>
      <c r="AM438" s="113"/>
      <c r="AN438" s="113"/>
      <c r="AO438" s="113"/>
      <c r="AP438" s="119"/>
      <c r="AQ438" s="47">
        <f>(AJ438+AK438+AK438)/3</f>
        <v>12</v>
      </c>
      <c r="AR438" s="47">
        <f t="shared" si="4662"/>
        <v>24</v>
      </c>
      <c r="AS438" s="113">
        <f t="shared" si="4663"/>
        <v>36</v>
      </c>
      <c r="AT438" s="114">
        <f>AK438*POWER(KLslave,SIGN(AJ438))*POWER(INslave,SIGN(AK438))+AK438*POWER(KLslave,SIGN(AJ438))*POWER(INslave,SIGN(AK438))+AJ438*POWER(INslave,SIGN(AK438))*POWER(INslave,SIGN(AK438))</f>
        <v>2304</v>
      </c>
      <c r="AU438" s="113">
        <f>AJ438*AK438*INslave+AJ438*INslave*AK438+KLslave*AK438*AK438</f>
        <v>3456</v>
      </c>
      <c r="AV438" s="119">
        <f>AJ438*AK438*AK438</f>
        <v>1728</v>
      </c>
      <c r="AW438" s="160">
        <f t="shared" si="4664"/>
        <v>7488</v>
      </c>
      <c r="AX438" s="89">
        <f t="shared" si="4665"/>
        <v>3.6923076923076925</v>
      </c>
      <c r="AY438" s="47">
        <f t="shared" si="4666"/>
        <v>11.076923076923077</v>
      </c>
      <c r="AZ438" s="127">
        <f t="shared" si="4667"/>
        <v>8.3076923076923084</v>
      </c>
      <c r="BA438" s="127">
        <f t="shared" si="4668"/>
        <v>23.07692307692308</v>
      </c>
      <c r="BB438" s="165">
        <f t="shared" si="4669"/>
        <v>0</v>
      </c>
      <c r="BC438" s="198">
        <f t="shared" si="4670"/>
        <v>23.07692307692308</v>
      </c>
      <c r="BD438" s="125">
        <f>IF(BA438&lt;=0,1,0)+IF(BA438&gt;0,BA438+1,0)*1+IF(BA438&gt;12,BA438-12,0)*1+IF(BA438&gt;13,BA438-13,0)*1+IF(BA438&gt;14,BA438-14,0)*1+IF(BA438&gt;15,BA438-15,0)*1+IF(BA438&gt;16,BA438-16,0)*1+IF(BA438&gt;17,BA438-17,0)*1+IF(BA438&gt;18,BA438-18,0)*1+IF(BA438&gt;19,BA438-19,0)*1+IF(BA438&gt;20,BA438-20,0)*1</f>
        <v>87.769230769230802</v>
      </c>
      <c r="BE438" s="160">
        <f>IF(BB438&lt;=0,1,0)+IF(BB438&gt;0,BB438+1,0)*1+IF(BB438&gt;12,BB438-12,0)*1+IF(BB438&gt;13,BB438-13,0)*1+IF(BB438&gt;14,BB438-14,0)*1+IF(BB438&gt;15,BB438-15,0)*1+IF(BB438&gt;16,BB438-16,0)*1+IF(BB438&gt;17,BB438-17,0)*1+IF(BB438&gt;18,BB438-18,0)*1+IF(BB438&gt;19,BB438-19,0)*1+IF(BB438&gt;20,BB438-20,0)*1</f>
        <v>1</v>
      </c>
      <c r="BF438" s="243">
        <f t="shared" si="4671"/>
        <v>86.769230769230802</v>
      </c>
      <c r="BG438" s="218">
        <f t="shared" si="4672"/>
        <v>0</v>
      </c>
      <c r="BI438" s="325" t="s">
        <v>253</v>
      </c>
      <c r="BJ438" s="218" t="s">
        <v>80</v>
      </c>
      <c r="BK438" s="223" t="s">
        <v>133</v>
      </c>
      <c r="BL438" s="237"/>
      <c r="BM438" s="234">
        <f>Konvention_1slave-KLslave_KL</f>
        <v>11</v>
      </c>
      <c r="BN438" s="234">
        <f>Konvention_1slave-INslave</f>
        <v>12</v>
      </c>
      <c r="BO438" s="234"/>
      <c r="BP438" s="234"/>
      <c r="BQ438" s="234"/>
      <c r="BR438" s="234"/>
      <c r="BS438" s="224"/>
      <c r="BT438" s="223">
        <f>(BM438+BN438+BN438)/3</f>
        <v>11.666666666666666</v>
      </c>
      <c r="BU438" s="223">
        <f t="shared" si="4673"/>
        <v>23.333333333333332</v>
      </c>
      <c r="BV438" s="234">
        <f t="shared" si="4674"/>
        <v>35</v>
      </c>
      <c r="BW438" s="237">
        <f>BN438*POWER(KLslave_KL,SIGN(BM438))*POWER(INslave,SIGN(BN438))+BN438*POWER(KLslave_KL,SIGN(BM438))*POWER(INslave,SIGN(BN438))+BM438*POWER(INslave,SIGN(BN438))*POWER(INslave,SIGN(BN438))</f>
        <v>2432</v>
      </c>
      <c r="BX438" s="234">
        <f>BM438*BN438*INslave+BM438*INslave*BN438+KLslave_KL*BN438*BN438</f>
        <v>3408</v>
      </c>
      <c r="BY438" s="224">
        <f>BM438*BN438*BN438</f>
        <v>1584</v>
      </c>
      <c r="BZ438" s="242">
        <f t="shared" si="4675"/>
        <v>7424</v>
      </c>
      <c r="CA438" s="222">
        <f t="shared" si="4676"/>
        <v>3.8218390804597702</v>
      </c>
      <c r="CB438" s="223">
        <f t="shared" si="4677"/>
        <v>10.711206896551724</v>
      </c>
      <c r="CC438" s="243">
        <f t="shared" si="4678"/>
        <v>7.4676724137931032</v>
      </c>
      <c r="CD438" s="243">
        <f t="shared" si="4679"/>
        <v>22.000718390804597</v>
      </c>
      <c r="CE438" s="252">
        <f t="shared" si="4680"/>
        <v>0</v>
      </c>
      <c r="CF438" s="309">
        <f t="shared" si="4681"/>
        <v>22.000718390804597</v>
      </c>
      <c r="CG438" s="218">
        <f>IF(CD438&lt;=0,1,0)+IF(CD438&gt;0,CD438+1,0)*1+IF(CD438&gt;12,CD438-12,0)*1+IF(CD438&gt;13,CD438-13,0)*1+IF(CD438&gt;14,CD438-14,0)*1+IF(CD438&gt;15,CD438-15,0)*1+IF(CD438&gt;16,CD438-16,0)*1+IF(CD438&gt;17,CD438-17,0)*1+IF(CD438&gt;18,CD438-18,0)*1+IF(CD438&gt;19,CD438-19,0)*1+IF(CD438&gt;20,CD438-20,0)*1</f>
        <v>77.007183908045945</v>
      </c>
      <c r="CH438" s="242">
        <f>IF(CE438&lt;=0,1,0)+IF(CE438&gt;0,CE438+1,0)*1+IF(CE438&gt;12,CE438-12,0)*1+IF(CE438&gt;13,CE438-13,0)*1+IF(CE438&gt;14,CE438-14,0)*1+IF(CE438&gt;15,CE438-15,0)*1+IF(CE438&gt;16,CE438-16,0)*1+IF(CE438&gt;17,CE438-17,0)*1+IF(CE438&gt;18,CE438-18,0)*1+IF(CE438&gt;19,CE438-19,0)*1+IF(CE438&gt;20,CE438-20,0)*1</f>
        <v>1</v>
      </c>
      <c r="CI438" s="243">
        <f t="shared" si="4682"/>
        <v>76.007183908045945</v>
      </c>
      <c r="CJ438" s="218">
        <f t="shared" si="4683"/>
        <v>0</v>
      </c>
      <c r="CL438" s="325" t="s">
        <v>253</v>
      </c>
      <c r="CM438" s="218" t="s">
        <v>80</v>
      </c>
      <c r="CN438" s="223" t="s">
        <v>133</v>
      </c>
      <c r="CO438" s="237"/>
      <c r="CP438" s="234">
        <f>Konvention_1slave-KLslave</f>
        <v>12</v>
      </c>
      <c r="CQ438" s="234">
        <f>Konvention_1slave-INslave_IN</f>
        <v>11</v>
      </c>
      <c r="CR438" s="234"/>
      <c r="CS438" s="234"/>
      <c r="CT438" s="234"/>
      <c r="CU438" s="234"/>
      <c r="CV438" s="224"/>
      <c r="CW438" s="223">
        <f>(CP438+CQ438+CQ438)/3</f>
        <v>11.333333333333334</v>
      </c>
      <c r="CX438" s="223">
        <f t="shared" si="4684"/>
        <v>22.666666666666668</v>
      </c>
      <c r="CY438" s="234">
        <f t="shared" si="4685"/>
        <v>34</v>
      </c>
      <c r="CZ438" s="237">
        <f>CQ438*POWER(KLslave,SIGN(CP438))*POWER(INslave_IN,SIGN(CQ438))+CQ438*POWER(KLslave,SIGN(CP438))*POWER(INslave_IN,SIGN(CQ438))+CP438*POWER(INslave_IN,SIGN(CQ438))*POWER(INslave_IN,SIGN(CQ438))</f>
        <v>2556</v>
      </c>
      <c r="DA438" s="234">
        <f>CP438*CQ438*INslave_IN+CP438*INslave_IN*CQ438+KLslave*CQ438*CQ438</f>
        <v>3344</v>
      </c>
      <c r="DB438" s="224">
        <f>CP438*CQ438*CQ438</f>
        <v>1452</v>
      </c>
      <c r="DC438" s="242">
        <f t="shared" si="4686"/>
        <v>7352</v>
      </c>
      <c r="DD438" s="222">
        <f t="shared" si="4687"/>
        <v>3.940152339499456</v>
      </c>
      <c r="DE438" s="223">
        <f t="shared" si="4688"/>
        <v>10.309756982227059</v>
      </c>
      <c r="DF438" s="243">
        <f t="shared" si="4689"/>
        <v>6.714907508161045</v>
      </c>
      <c r="DG438" s="243">
        <f t="shared" si="4690"/>
        <v>20.96481682988756</v>
      </c>
      <c r="DH438" s="252">
        <f t="shared" si="4691"/>
        <v>0</v>
      </c>
      <c r="DI438" s="309">
        <f t="shared" si="4692"/>
        <v>20.96481682988756</v>
      </c>
      <c r="DJ438" s="218">
        <f>IF(DG438&lt;=0,1,0)+IF(DG438&gt;0,DG438+1,0)*1+IF(DG438&gt;12,DG438-12,0)*1+IF(DG438&gt;13,DG438-13,0)*1+IF(DG438&gt;14,DG438-14,0)*1+IF(DG438&gt;15,DG438-15,0)*1+IF(DG438&gt;16,DG438-16,0)*1+IF(DG438&gt;17,DG438-17,0)*1+IF(DG438&gt;18,DG438-18,0)*1+IF(DG438&gt;19,DG438-19,0)*1+IF(DG438&gt;20,DG438-20,0)*1</f>
        <v>66.648168298875589</v>
      </c>
      <c r="DK438" s="242">
        <f>IF(DH438&lt;=0,1,0)+IF(DH438&gt;0,DH438+1,0)*1+IF(DH438&gt;12,DH438-12,0)*1+IF(DH438&gt;13,DH438-13,0)*1+IF(DH438&gt;14,DH438-14,0)*1+IF(DH438&gt;15,DH438-15,0)*1+IF(DH438&gt;16,DH438-16,0)*1+IF(DH438&gt;17,DH438-17,0)*1+IF(DH438&gt;18,DH438-18,0)*1+IF(DH438&gt;19,DH438-19,0)*1+IF(DH438&gt;20,DH438-20,0)*1</f>
        <v>1</v>
      </c>
      <c r="DL438" s="243">
        <f t="shared" si="4693"/>
        <v>65.648168298875589</v>
      </c>
      <c r="DM438" s="218">
        <f t="shared" si="4694"/>
        <v>0</v>
      </c>
      <c r="DO438" s="325" t="s">
        <v>253</v>
      </c>
      <c r="DP438" s="218" t="s">
        <v>80</v>
      </c>
      <c r="DQ438" s="223" t="s">
        <v>133</v>
      </c>
      <c r="DR438" s="237"/>
      <c r="DS438" s="234">
        <f>Konvention_1slave-KLslave</f>
        <v>12</v>
      </c>
      <c r="DT438" s="234">
        <f>Konvention_1slave-INslave</f>
        <v>12</v>
      </c>
      <c r="DU438" s="234"/>
      <c r="DV438" s="234"/>
      <c r="DW438" s="234"/>
      <c r="DX438" s="234"/>
      <c r="DY438" s="224"/>
      <c r="DZ438" s="223">
        <f>(DS438+DT438+DT438)/3</f>
        <v>12</v>
      </c>
      <c r="EA438" s="223">
        <f t="shared" si="4695"/>
        <v>24</v>
      </c>
      <c r="EB438" s="234">
        <f t="shared" si="4696"/>
        <v>36</v>
      </c>
      <c r="EC438" s="237">
        <f>DT438*POWER(KLslave,SIGN(DS438))*POWER(INslave,SIGN(DT438))+DT438*POWER(KLslave,SIGN(DS438))*POWER(INslave,SIGN(DT438))+DS438*POWER(INslave,SIGN(DT438))*POWER(INslave,SIGN(DT438))</f>
        <v>2304</v>
      </c>
      <c r="ED438" s="234">
        <f>DS438*DT438*INslave+DS438*INslave*DT438+KLslave*DT438*DT438</f>
        <v>3456</v>
      </c>
      <c r="EE438" s="224">
        <f>DS438*DT438*DT438</f>
        <v>1728</v>
      </c>
      <c r="EF438" s="242">
        <f t="shared" si="4697"/>
        <v>7488</v>
      </c>
      <c r="EG438" s="222">
        <f t="shared" si="4698"/>
        <v>3.6923076923076925</v>
      </c>
      <c r="EH438" s="223">
        <f t="shared" si="4699"/>
        <v>11.076923076923077</v>
      </c>
      <c r="EI438" s="243">
        <f t="shared" si="4700"/>
        <v>8.3076923076923084</v>
      </c>
      <c r="EJ438" s="243">
        <f t="shared" si="4701"/>
        <v>23.07692307692308</v>
      </c>
      <c r="EK438" s="252">
        <f t="shared" si="4702"/>
        <v>0</v>
      </c>
      <c r="EL438" s="309">
        <f t="shared" si="4703"/>
        <v>23.07692307692308</v>
      </c>
      <c r="EM438" s="218">
        <f>IF(EJ438&lt;=0,1,0)+IF(EJ438&gt;0,EJ438+1,0)*1+IF(EJ438&gt;12,EJ438-12,0)*1+IF(EJ438&gt;13,EJ438-13,0)*1+IF(EJ438&gt;14,EJ438-14,0)*1+IF(EJ438&gt;15,EJ438-15,0)*1+IF(EJ438&gt;16,EJ438-16,0)*1+IF(EJ438&gt;17,EJ438-17,0)*1+IF(EJ438&gt;18,EJ438-18,0)*1+IF(EJ438&gt;19,EJ438-19,0)*1+IF(EJ438&gt;20,EJ438-20,0)*1</f>
        <v>87.769230769230802</v>
      </c>
      <c r="EN438" s="242">
        <f>IF(EK438&lt;=0,1,0)+IF(EK438&gt;0,EK438+1,0)*1+IF(EK438&gt;12,EK438-12,0)*1+IF(EK438&gt;13,EK438-13,0)*1+IF(EK438&gt;14,EK438-14,0)*1+IF(EK438&gt;15,EK438-15,0)*1+IF(EK438&gt;16,EK438-16,0)*1+IF(EK438&gt;17,EK438-17,0)*1+IF(EK438&gt;18,EK438-18,0)*1+IF(EK438&gt;19,EK438-19,0)*1+IF(EK438&gt;20,EK438-20,0)*1</f>
        <v>1</v>
      </c>
      <c r="EO438" s="243">
        <f t="shared" si="4704"/>
        <v>86.769230769230802</v>
      </c>
      <c r="EP438" s="218">
        <f t="shared" si="4705"/>
        <v>0</v>
      </c>
      <c r="ER438" s="325" t="s">
        <v>253</v>
      </c>
      <c r="ES438" s="218" t="s">
        <v>80</v>
      </c>
      <c r="ET438" s="223" t="s">
        <v>133</v>
      </c>
      <c r="EU438" s="237"/>
      <c r="EV438" s="234">
        <f>Konvention_1slave-KLslave</f>
        <v>12</v>
      </c>
      <c r="EW438" s="234">
        <f>Konvention_1slave-INslave</f>
        <v>12</v>
      </c>
      <c r="EX438" s="234"/>
      <c r="EY438" s="234"/>
      <c r="EZ438" s="234"/>
      <c r="FA438" s="234"/>
      <c r="FB438" s="224"/>
      <c r="FC438" s="223">
        <f>(EV438+EW438+EW438)/3</f>
        <v>12</v>
      </c>
      <c r="FD438" s="223">
        <f t="shared" si="4706"/>
        <v>24</v>
      </c>
      <c r="FE438" s="234">
        <f t="shared" si="4707"/>
        <v>36</v>
      </c>
      <c r="FF438" s="237">
        <f>EW438*POWER(KLslave,SIGN(EV438))*POWER(INslave,SIGN(EW438))+EW438*POWER(KLslave,SIGN(EV438))*POWER(INslave,SIGN(EW438))+EV438*POWER(INslave,SIGN(EW438))*POWER(INslave,SIGN(EW438))</f>
        <v>2304</v>
      </c>
      <c r="FG438" s="234">
        <f>EV438*EW438*INslave+EV438*INslave*EW438+KLslave*EW438*EW438</f>
        <v>3456</v>
      </c>
      <c r="FH438" s="224">
        <f>EV438*EW438*EW438</f>
        <v>1728</v>
      </c>
      <c r="FI438" s="242">
        <f t="shared" si="4708"/>
        <v>7488</v>
      </c>
      <c r="FJ438" s="222">
        <f t="shared" si="4709"/>
        <v>3.6923076923076925</v>
      </c>
      <c r="FK438" s="223">
        <f t="shared" si="4710"/>
        <v>11.076923076923077</v>
      </c>
      <c r="FL438" s="243">
        <f t="shared" si="4711"/>
        <v>8.3076923076923084</v>
      </c>
      <c r="FM438" s="243">
        <f t="shared" si="4712"/>
        <v>23.07692307692308</v>
      </c>
      <c r="FN438" s="252">
        <f t="shared" si="4713"/>
        <v>0</v>
      </c>
      <c r="FO438" s="309">
        <f t="shared" si="4714"/>
        <v>23.07692307692308</v>
      </c>
      <c r="FP438" s="218">
        <f>IF(FM438&lt;=0,1,0)+IF(FM438&gt;0,FM438+1,0)*1+IF(FM438&gt;12,FM438-12,0)*1+IF(FM438&gt;13,FM438-13,0)*1+IF(FM438&gt;14,FM438-14,0)*1+IF(FM438&gt;15,FM438-15,0)*1+IF(FM438&gt;16,FM438-16,0)*1+IF(FM438&gt;17,FM438-17,0)*1+IF(FM438&gt;18,FM438-18,0)*1+IF(FM438&gt;19,FM438-19,0)*1+IF(FM438&gt;20,FM438-20,0)*1</f>
        <v>87.769230769230802</v>
      </c>
      <c r="FQ438" s="242">
        <f>IF(FN438&lt;=0,1,0)+IF(FN438&gt;0,FN438+1,0)*1+IF(FN438&gt;12,FN438-12,0)*1+IF(FN438&gt;13,FN438-13,0)*1+IF(FN438&gt;14,FN438-14,0)*1+IF(FN438&gt;15,FN438-15,0)*1+IF(FN438&gt;16,FN438-16,0)*1+IF(FN438&gt;17,FN438-17,0)*1+IF(FN438&gt;18,FN438-18,0)*1+IF(FN438&gt;19,FN438-19,0)*1+IF(FN438&gt;20,FN438-20,0)*1</f>
        <v>1</v>
      </c>
      <c r="FR438" s="243">
        <f t="shared" si="4715"/>
        <v>86.769230769230802</v>
      </c>
      <c r="FS438" s="218">
        <f t="shared" si="4716"/>
        <v>0</v>
      </c>
      <c r="FU438" s="325" t="s">
        <v>253</v>
      </c>
      <c r="FV438" s="218" t="s">
        <v>80</v>
      </c>
      <c r="FW438" s="223" t="s">
        <v>133</v>
      </c>
      <c r="FX438" s="237"/>
      <c r="FY438" s="234">
        <f>Konvention_1slave-KLslave</f>
        <v>12</v>
      </c>
      <c r="FZ438" s="234">
        <f>Konvention_1slave-INslave</f>
        <v>12</v>
      </c>
      <c r="GA438" s="234"/>
      <c r="GB438" s="234"/>
      <c r="GC438" s="234"/>
      <c r="GD438" s="234"/>
      <c r="GE438" s="224"/>
      <c r="GF438" s="223">
        <f>(FY438+FZ438+FZ438)/3</f>
        <v>12</v>
      </c>
      <c r="GG438" s="223">
        <f t="shared" si="4717"/>
        <v>24</v>
      </c>
      <c r="GH438" s="234">
        <f t="shared" si="4718"/>
        <v>36</v>
      </c>
      <c r="GI438" s="237">
        <f>FZ438*POWER(KLslave,SIGN(FY438))*POWER(INslave,SIGN(FZ438))+FZ438*POWER(KLslave,SIGN(FY438))*POWER(INslave,SIGN(FZ438))+FY438*POWER(INslave,SIGN(FZ438))*POWER(INslave,SIGN(FZ438))</f>
        <v>2304</v>
      </c>
      <c r="GJ438" s="234">
        <f>FY438*FZ438*INslave+FY438*INslave*FZ438+KLslave*FZ438*FZ438</f>
        <v>3456</v>
      </c>
      <c r="GK438" s="224">
        <f>FY438*FZ438*FZ438</f>
        <v>1728</v>
      </c>
      <c r="GL438" s="242">
        <f t="shared" si="4719"/>
        <v>7488</v>
      </c>
      <c r="GM438" s="222">
        <f t="shared" si="4720"/>
        <v>3.6923076923076925</v>
      </c>
      <c r="GN438" s="223">
        <f t="shared" si="4721"/>
        <v>11.076923076923077</v>
      </c>
      <c r="GO438" s="243">
        <f t="shared" si="4722"/>
        <v>8.3076923076923084</v>
      </c>
      <c r="GP438" s="243">
        <f t="shared" si="4723"/>
        <v>23.07692307692308</v>
      </c>
      <c r="GQ438" s="252">
        <f t="shared" si="4724"/>
        <v>0</v>
      </c>
      <c r="GR438" s="309">
        <f t="shared" si="4725"/>
        <v>23.07692307692308</v>
      </c>
      <c r="GS438" s="218">
        <f>IF(GP438&lt;=0,1,0)+IF(GP438&gt;0,GP438+1,0)*1+IF(GP438&gt;12,GP438-12,0)*1+IF(GP438&gt;13,GP438-13,0)*1+IF(GP438&gt;14,GP438-14,0)*1+IF(GP438&gt;15,GP438-15,0)*1+IF(GP438&gt;16,GP438-16,0)*1+IF(GP438&gt;17,GP438-17,0)*1+IF(GP438&gt;18,GP438-18,0)*1+IF(GP438&gt;19,GP438-19,0)*1+IF(GP438&gt;20,GP438-20,0)*1</f>
        <v>87.769230769230802</v>
      </c>
      <c r="GT438" s="242">
        <f>IF(GQ438&lt;=0,1,0)+IF(GQ438&gt;0,GQ438+1,0)*1+IF(GQ438&gt;12,GQ438-12,0)*1+IF(GQ438&gt;13,GQ438-13,0)*1+IF(GQ438&gt;14,GQ438-14,0)*1+IF(GQ438&gt;15,GQ438-15,0)*1+IF(GQ438&gt;16,GQ438-16,0)*1+IF(GQ438&gt;17,GQ438-17,0)*1+IF(GQ438&gt;18,GQ438-18,0)*1+IF(GQ438&gt;19,GQ438-19,0)*1+IF(GQ438&gt;20,GQ438-20,0)*1</f>
        <v>1</v>
      </c>
      <c r="GU438" s="243">
        <f t="shared" si="4726"/>
        <v>86.769230769230802</v>
      </c>
      <c r="GV438" s="218">
        <f t="shared" si="4727"/>
        <v>0</v>
      </c>
      <c r="GX438" s="325" t="s">
        <v>253</v>
      </c>
      <c r="GY438" s="218" t="s">
        <v>80</v>
      </c>
      <c r="GZ438" s="223" t="s">
        <v>133</v>
      </c>
      <c r="HA438" s="237"/>
      <c r="HB438" s="234">
        <f>Konvention_1slave-KLslave</f>
        <v>12</v>
      </c>
      <c r="HC438" s="234">
        <f>Konvention_1slave-INslave</f>
        <v>12</v>
      </c>
      <c r="HD438" s="234"/>
      <c r="HE438" s="234"/>
      <c r="HF438" s="234"/>
      <c r="HG438" s="234"/>
      <c r="HH438" s="224"/>
      <c r="HI438" s="223">
        <f>(HB438+HC438+HC438)/3</f>
        <v>12</v>
      </c>
      <c r="HJ438" s="223">
        <f t="shared" si="4728"/>
        <v>24</v>
      </c>
      <c r="HK438" s="234">
        <f t="shared" si="4729"/>
        <v>36</v>
      </c>
      <c r="HL438" s="237">
        <f>HC438*POWER(KLslave,SIGN(HB438))*POWER(INslave,SIGN(HC438))+HC438*POWER(KLslave,SIGN(HB438))*POWER(INslave,SIGN(HC438))+HB438*POWER(INslave,SIGN(HC438))*POWER(INslave,SIGN(HC438))</f>
        <v>2304</v>
      </c>
      <c r="HM438" s="234">
        <f>HB438*HC438*INslave+HB438*INslave*HC438+KLslave*HC438*HC438</f>
        <v>3456</v>
      </c>
      <c r="HN438" s="224">
        <f>HB438*HC438*HC438</f>
        <v>1728</v>
      </c>
      <c r="HO438" s="242">
        <f t="shared" si="4730"/>
        <v>7488</v>
      </c>
      <c r="HP438" s="222">
        <f t="shared" si="4731"/>
        <v>3.6923076923076925</v>
      </c>
      <c r="HQ438" s="223">
        <f t="shared" si="4732"/>
        <v>11.076923076923077</v>
      </c>
      <c r="HR438" s="243">
        <f t="shared" si="4733"/>
        <v>8.3076923076923084</v>
      </c>
      <c r="HS438" s="243">
        <f t="shared" si="4734"/>
        <v>23.07692307692308</v>
      </c>
      <c r="HT438" s="252">
        <f t="shared" si="4735"/>
        <v>0</v>
      </c>
      <c r="HU438" s="309">
        <f t="shared" si="4736"/>
        <v>23.07692307692308</v>
      </c>
      <c r="HV438" s="218">
        <f>IF(HS438&lt;=0,1,0)+IF(HS438&gt;0,HS438+1,0)*1+IF(HS438&gt;12,HS438-12,0)*1+IF(HS438&gt;13,HS438-13,0)*1+IF(HS438&gt;14,HS438-14,0)*1+IF(HS438&gt;15,HS438-15,0)*1+IF(HS438&gt;16,HS438-16,0)*1+IF(HS438&gt;17,HS438-17,0)*1+IF(HS438&gt;18,HS438-18,0)*1+IF(HS438&gt;19,HS438-19,0)*1+IF(HS438&gt;20,HS438-20,0)*1</f>
        <v>87.769230769230802</v>
      </c>
      <c r="HW438" s="242">
        <f>IF(HT438&lt;=0,1,0)+IF(HT438&gt;0,HT438+1,0)*1+IF(HT438&gt;12,HT438-12,0)*1+IF(HT438&gt;13,HT438-13,0)*1+IF(HT438&gt;14,HT438-14,0)*1+IF(HT438&gt;15,HT438-15,0)*1+IF(HT438&gt;16,HT438-16,0)*1+IF(HT438&gt;17,HT438-17,0)*1+IF(HT438&gt;18,HT438-18,0)*1+IF(HT438&gt;19,HT438-19,0)*1+IF(HT438&gt;20,HT438-20,0)*1</f>
        <v>1</v>
      </c>
      <c r="HX438" s="243">
        <f t="shared" si="4737"/>
        <v>86.769230769230802</v>
      </c>
      <c r="HY438" s="218">
        <f t="shared" si="4738"/>
        <v>0</v>
      </c>
      <c r="IA438" s="325" t="s">
        <v>253</v>
      </c>
      <c r="IB438" s="218" t="s">
        <v>80</v>
      </c>
      <c r="IC438" s="223" t="s">
        <v>133</v>
      </c>
      <c r="ID438" s="237"/>
      <c r="IE438" s="234">
        <f>Konvention_1slave-KLslave</f>
        <v>12</v>
      </c>
      <c r="IF438" s="234">
        <f>Konvention_1slave-INslave</f>
        <v>12</v>
      </c>
      <c r="IG438" s="234"/>
      <c r="IH438" s="234"/>
      <c r="II438" s="234"/>
      <c r="IJ438" s="234"/>
      <c r="IK438" s="224"/>
      <c r="IL438" s="223">
        <f>(IE438+IF438+IF438)/3</f>
        <v>12</v>
      </c>
      <c r="IM438" s="223">
        <f t="shared" si="4739"/>
        <v>24</v>
      </c>
      <c r="IN438" s="234">
        <f t="shared" si="4740"/>
        <v>36</v>
      </c>
      <c r="IO438" s="237">
        <f>IF438*POWER(KLslave,SIGN(IE438))*POWER(INslave,SIGN(IF438))+IF438*POWER(KLslave,SIGN(IE438))*POWER(INslave,SIGN(IF438))+IE438*POWER(INslave,SIGN(IF438))*POWER(INslave,SIGN(IF438))</f>
        <v>2304</v>
      </c>
      <c r="IP438" s="234">
        <f>IE438*IF438*INslave+IE438*INslave*IF438+KLslave*IF438*IF438</f>
        <v>3456</v>
      </c>
      <c r="IQ438" s="224">
        <f>IE438*IF438*IF438</f>
        <v>1728</v>
      </c>
      <c r="IR438" s="242">
        <f t="shared" si="4741"/>
        <v>7488</v>
      </c>
      <c r="IS438" s="222">
        <f t="shared" si="4742"/>
        <v>3.6923076923076925</v>
      </c>
      <c r="IT438" s="223">
        <f t="shared" si="4743"/>
        <v>11.076923076923077</v>
      </c>
      <c r="IU438" s="243">
        <f t="shared" si="4744"/>
        <v>8.3076923076923084</v>
      </c>
      <c r="IV438" s="243">
        <f t="shared" si="4745"/>
        <v>23.07692307692308</v>
      </c>
      <c r="IW438" s="252">
        <f t="shared" si="4746"/>
        <v>0</v>
      </c>
      <c r="IX438" s="309">
        <f t="shared" si="4747"/>
        <v>23.07692307692308</v>
      </c>
      <c r="IY438" s="218">
        <f>IF(IV438&lt;=0,1,0)+IF(IV438&gt;0,IV438+1,0)*1+IF(IV438&gt;12,IV438-12,0)*1+IF(IV438&gt;13,IV438-13,0)*1+IF(IV438&gt;14,IV438-14,0)*1+IF(IV438&gt;15,IV438-15,0)*1+IF(IV438&gt;16,IV438-16,0)*1+IF(IV438&gt;17,IV438-17,0)*1+IF(IV438&gt;18,IV438-18,0)*1+IF(IV438&gt;19,IV438-19,0)*1+IF(IV438&gt;20,IV438-20,0)*1</f>
        <v>87.769230769230802</v>
      </c>
      <c r="IZ438" s="242">
        <f>IF(IW438&lt;=0,1,0)+IF(IW438&gt;0,IW438+1,0)*1+IF(IW438&gt;12,IW438-12,0)*1+IF(IW438&gt;13,IW438-13,0)*1+IF(IW438&gt;14,IW438-14,0)*1+IF(IW438&gt;15,IW438-15,0)*1+IF(IW438&gt;16,IW438-16,0)*1+IF(IW438&gt;17,IW438-17,0)*1+IF(IW438&gt;18,IW438-18,0)*1+IF(IW438&gt;19,IW438-19,0)*1+IF(IW438&gt;20,IW438-20,0)*1</f>
        <v>1</v>
      </c>
      <c r="JA438" s="243">
        <f t="shared" si="4748"/>
        <v>86.769230769230802</v>
      </c>
      <c r="JB438" s="218">
        <f t="shared" si="4749"/>
        <v>0</v>
      </c>
      <c r="JE438" s="148"/>
    </row>
    <row r="439" spans="1:265" ht="15" hidden="1" customHeight="1" outlineLevel="2">
      <c r="B439" s="148">
        <v>6</v>
      </c>
      <c r="C439" s="326" t="e">
        <f>VLOOKUP(AF439,Attribute!C:T,1,FALSE)</f>
        <v>#N/A</v>
      </c>
      <c r="D439" s="87" t="s">
        <v>95</v>
      </c>
      <c r="E439" s="88" t="s">
        <v>135</v>
      </c>
      <c r="F439" s="115">
        <f>Konvention_1master-MUmaster</f>
        <v>12</v>
      </c>
      <c r="G439" s="122">
        <f>Konvention_1master-KLmaster</f>
        <v>12</v>
      </c>
      <c r="H439" s="122">
        <f>Konvention_1master-INmaster</f>
        <v>12</v>
      </c>
      <c r="I439" s="122"/>
      <c r="J439" s="122"/>
      <c r="K439" s="122"/>
      <c r="L439" s="122"/>
      <c r="M439" s="123"/>
      <c r="N439" s="226">
        <f>(F439+G439+H439+I439+J439+K439+L439+M439)/3</f>
        <v>12</v>
      </c>
      <c r="O439" s="226">
        <f t="shared" si="4652"/>
        <v>24</v>
      </c>
      <c r="P439" s="235">
        <f t="shared" si="4653"/>
        <v>36</v>
      </c>
      <c r="Q439" s="238">
        <f>F439*POWER(KLmaster,SIGN(G439))*POWER(INmaster,SIGN(H439))*POWER(CHmaster,SIGN(I439))*POWER(FFmaster,SIGN(J439))*POWER(GEmaster,SIGN(K439))*POWER(KOmaster,SIGN(L439))*POWER(KKmaster,SIGN(M439))+G439*POWER(MUmaster,SIGN(F439))*POWER(INmaster,SIGN(H439))*POWER(CHmaster,SIGN(I439))*POWER(FFmaster,SIGN(J439))*POWER(GEmaster,SIGN(K439))*POWER(KOmaster,SIGN(L439))*POWER(KKmaster,SIGN(M439))+H439*POWER(MUmaster,SIGN(F439))*POWER(KLmaster,SIGN(G439))*POWER(CHmaster,SIGN(I439))*POWER(FFmaster,SIGN(J439))*POWER(GEmaster,SIGN(K439))*POWER(KOmaster,SIGN(L439))*POWER(KKmaster,SIGN(M439))+I439*POWER(MUmaster,SIGN(F439))*POWER(KLmaster,SIGN(G439))*POWER(INmaster,SIGN(H439))*POWER(FFmaster,SIGN(J439))*POWER(GEmaster,SIGN(K439))*POWER(KOmaster,SIGN(L439))*POWER(KKmaster,SIGN(M439))+J439*POWER(MUmaster,SIGN(F439))*POWER(KLmaster,SIGN(G439))*POWER(INmaster,SIGN(H439))*POWER(CHmaster,SIGN(I439))*POWER(GEmaster,SIGN(K439))*POWER(KOmaster,SIGN(L439))*POWER(KKmaster,SIGN(M439))+K439*POWER(MUmaster,SIGN(F439))*POWER(KLmaster,SIGN(G439))*POWER(INmaster,SIGN(H439))*POWER(CHmaster,SIGN(I439))*POWER(FFmaster,SIGN(J439))*POWER(KOmaster,SIGN(L439))*POWER(KKmaster,SIGN(M439))+L439*POWER(MUmaster,SIGN(F439))*POWER(KLmaster,SIGN(G439))*POWER(INmaster,SIGN(H439))*POWER(CHmaster,SIGN(I439))*POWER(FFmaster,SIGN(J439))*POWER(GEmaster,SIGN(K439))*POWER(KKmaster,SIGN(M439))+M439*POWER(MUmaster,SIGN(F439))*POWER(KLmaster,SIGN(G439))*POWER(INmaster,SIGN(H439))*POWER(CHmaster,SIGN(I439))*POWER(FFmaster,SIGN(J439))*POWER(GEmaster,SIGN(K439))*POWER(KOmaster,SIGN(L439))</f>
        <v>2304</v>
      </c>
      <c r="R439" s="122">
        <f>F439*G439*INmaster+F439*KLmaster*H439+MUmaster*G439*H439</f>
        <v>3456</v>
      </c>
      <c r="S439" s="227">
        <f>IFERROR(F439^SIGN(F439),1)*IFERROR(G439^SIGN(G439),1)*IFERROR(H439^SIGN(H439),1)*IFERROR(I439^SIGN(I439),1)*IFERROR(J439^SIGN(J439),1)*IFERROR(K439^SIGN(K439),1)*IFERROR(L439^SIGN(L439),1)*IFERROR(M439^SIGN(M439),1)</f>
        <v>1728</v>
      </c>
      <c r="T439" s="244">
        <f t="shared" si="4654"/>
        <v>7488</v>
      </c>
      <c r="U439" s="225">
        <f t="shared" si="4655"/>
        <v>3.6923076923076925</v>
      </c>
      <c r="V439" s="226">
        <f t="shared" si="4656"/>
        <v>11.076923076923077</v>
      </c>
      <c r="W439" s="245">
        <f t="shared" si="4657"/>
        <v>8.3076923076923084</v>
      </c>
      <c r="X439" s="245">
        <f t="shared" si="4658"/>
        <v>23.07692307692308</v>
      </c>
      <c r="Y439" s="252">
        <v>0</v>
      </c>
      <c r="Z439" s="198">
        <f t="shared" si="4659"/>
        <v>23.07692307692308</v>
      </c>
      <c r="AA439" s="159">
        <f>IF(X439&lt;=0,3,0)+IF(X439&gt;0,X439+1,0)*3+IF(X439&gt;12,X439-12,0)*3+IF(X439&gt;13,X439-13,0)*3+IF(X439&gt;14,X439-14,0)*3+IF(X439&gt;15,X439-15,0)*3+IF(X439&gt;16,X439-16,0)*3+IF(X439&gt;17,X439-17,0)*3+IF(X439&gt;18,X439-18,0)*3+IF(X439&gt;19,X439-19,0)*3+IF(X439&gt;20,X439-20,0)*3</f>
        <v>263.30769230769232</v>
      </c>
      <c r="AB439" s="161">
        <f>IF(Y439&lt;=0,3,0)+IF(Y439&gt;0,Y439+1,0)*3+IF(Y439&gt;12,Y439-12,0)*3+IF(Y439&gt;13,Y439-13,0)*3+IF(Y439&gt;14,Y439-14,0)*3+IF(Y439&gt;15,Y439-15,0)*3+IF(Y439&gt;16,Y439-16,0)*3+IF(Y439&gt;17,Y439-17,0)*3+IF(Y439&gt;18,Y439-18,0)*3+IF(Y439&gt;19,Y439-19,0)*3+IF(Y439&gt;20,Y439-20,0)*3</f>
        <v>3</v>
      </c>
      <c r="AC439" s="128">
        <f t="shared" si="4660"/>
        <v>260.30769230769232</v>
      </c>
      <c r="AD439" s="159">
        <f t="shared" si="4661"/>
        <v>0</v>
      </c>
      <c r="AF439" s="178" t="s">
        <v>266</v>
      </c>
      <c r="AG439" s="159" t="s">
        <v>95</v>
      </c>
      <c r="AH439" s="88" t="s">
        <v>135</v>
      </c>
      <c r="AI439" s="115">
        <f>Konvention_1slave-MUslave_MU</f>
        <v>11</v>
      </c>
      <c r="AJ439" s="122">
        <f>Konvention_1slave-KLslave</f>
        <v>12</v>
      </c>
      <c r="AK439" s="122">
        <f>Konvention_1slave-INslave</f>
        <v>12</v>
      </c>
      <c r="AL439" s="122"/>
      <c r="AM439" s="122"/>
      <c r="AN439" s="122"/>
      <c r="AO439" s="122"/>
      <c r="AP439" s="123"/>
      <c r="AQ439" s="88">
        <f>(AI439+AJ439+AK439+AL439+AM439+AN439+AO439+AP439)/3</f>
        <v>11.666666666666666</v>
      </c>
      <c r="AR439" s="88">
        <f t="shared" si="4662"/>
        <v>23.333333333333332</v>
      </c>
      <c r="AS439" s="122">
        <f t="shared" si="4663"/>
        <v>35</v>
      </c>
      <c r="AT439" s="115">
        <f>AI439*POWER(KLslave,SIGN(AJ439))*POWER(INslave,SIGN(AK439))*POWER(CHslave,SIGN(AL439))*POWER(FFslave,SIGN(AM439))*POWER(GEslave,SIGN(AN439))*POWER(KOslave,SIGN(AO439))*POWER(KKslave,SIGN(AP439))+AJ439*POWER(MUslave_MU,SIGN(AI439))*POWER(INslave,SIGN(AK439))*POWER(CHslave,SIGN(AL439))*POWER(FFslave,SIGN(AM439))*POWER(GEslave,SIGN(AN439))*POWER(KOslave,SIGN(AO439))*POWER(KKslave,SIGN(AP439))+AK439*POWER(MUslave_MU,SIGN(AI439))*POWER(KLslave,SIGN(AJ439))*POWER(CHslave,SIGN(AL439))*POWER(FFslave,SIGN(AM439))*POWER(GEslave,SIGN(AN439))*POWER(KOslave,SIGN(AO439))*POWER(KKslave,SIGN(AP439))+AL439*POWER(MUslave_MU,SIGN(AI439))*POWER(KLslave,SIGN(AJ439))*POWER(INslave,SIGN(AK439))*POWER(FFslave,SIGN(AM439))*POWER(GEslave,SIGN(AN439))*POWER(KOslave,SIGN(AO439))*POWER(KKslave,SIGN(AP439))+AM439*POWER(MUslave_MU,SIGN(AI439))*POWER(KLslave,SIGN(AJ439))*POWER(INslave,SIGN(AK439))*POWER(CHslave,SIGN(AL439))*POWER(GEslave,SIGN(AN439))*POWER(KOslave,SIGN(AO439))*POWER(KKslave,SIGN(AP439))+AN439*POWER(MUslave_MU,SIGN(AI439))*POWER(KLslave,SIGN(AJ439))*POWER(INslave,SIGN(AK439))*POWER(CHslave,SIGN(AL439))*POWER(FFslave,SIGN(AM439))*POWER(KOslave,SIGN(AO439))*POWER(KKslave,SIGN(AP439))+AO439*POWER(MUslave_MU,SIGN(AI439))*POWER(KLslave,SIGN(AJ439))*POWER(INslave,SIGN(AK439))*POWER(CHslave,SIGN(AL439))*POWER(FFslave,SIGN(AM439))*POWER(GEslave,SIGN(AN439))*POWER(KKslave,SIGN(AP439))+AP439*POWER(MUslave_MU,SIGN(AI439))*POWER(KLslave,SIGN(AJ439))*POWER(INslave,SIGN(AK439))*POWER(CHslave,SIGN(AL439))*POWER(FFslave,SIGN(AM439))*POWER(GEslave,SIGN(AN439))*POWER(KOslave,SIGN(AO439))</f>
        <v>2432</v>
      </c>
      <c r="AU439" s="122">
        <f>AI439*AJ439*INslave+AI439*KLslave*AK439+MUslave_MU*AJ439*AK439</f>
        <v>3408</v>
      </c>
      <c r="AV439" s="123">
        <f>IFERROR(AI439^SIGN(AI439),1)*IFERROR(AJ439^SIGN(AJ439),1)*IFERROR(AK439^SIGN(AK439),1)*IFERROR(AL439^SIGN(AL439),1)*IFERROR(AM439^SIGN(AM439),1)*IFERROR(AN439^SIGN(AN439),1)*IFERROR(AO439^SIGN(AO439),1)*IFERROR(AP439^SIGN(AP439),1)</f>
        <v>1584</v>
      </c>
      <c r="AW439" s="161">
        <f t="shared" si="4664"/>
        <v>7424</v>
      </c>
      <c r="AX439" s="90">
        <f t="shared" si="4665"/>
        <v>3.8218390804597702</v>
      </c>
      <c r="AY439" s="88">
        <f t="shared" si="4666"/>
        <v>10.711206896551724</v>
      </c>
      <c r="AZ439" s="128">
        <f t="shared" si="4667"/>
        <v>7.4676724137931032</v>
      </c>
      <c r="BA439" s="128">
        <f t="shared" si="4668"/>
        <v>22.000718390804597</v>
      </c>
      <c r="BB439" s="165">
        <f t="shared" si="4669"/>
        <v>0</v>
      </c>
      <c r="BC439" s="198">
        <f t="shared" si="4670"/>
        <v>22.000718390804597</v>
      </c>
      <c r="BD439" s="159">
        <f>IF(BA439&lt;=0,3,0)+IF(BA439&gt;0,BA439+1,0)*3+IF(BA439&gt;12,BA439-12,0)*3+IF(BA439&gt;13,BA439-13,0)*3+IF(BA439&gt;14,BA439-14,0)*3+IF(BA439&gt;15,BA439-15,0)*3+IF(BA439&gt;16,BA439-16,0)*3+IF(BA439&gt;17,BA439-17,0)*3+IF(BA439&gt;18,BA439-18,0)*3+IF(BA439&gt;19,BA439-19,0)*3+IF(BA439&gt;20,BA439-20,0)*3</f>
        <v>231.02155172413785</v>
      </c>
      <c r="BE439" s="161">
        <f>IF(BB439&lt;=0,3,0)+IF(BB439&gt;0,BB439+1,0)*3+IF(BB439&gt;12,BB439-12,0)*3+IF(BB439&gt;13,BB439-13,0)*3+IF(BB439&gt;14,BB439-14,0)*3+IF(BB439&gt;15,BB439-15,0)*3+IF(BB439&gt;16,BB439-16,0)*3+IF(BB439&gt;17,BB439-17,0)*3+IF(BB439&gt;18,BB439-18,0)*3+IF(BB439&gt;19,BB439-19,0)*3+IF(BB439&gt;20,BB439-20,0)*3</f>
        <v>3</v>
      </c>
      <c r="BF439" s="245">
        <f t="shared" si="4671"/>
        <v>228.02155172413785</v>
      </c>
      <c r="BG439" s="246">
        <f t="shared" si="4672"/>
        <v>0</v>
      </c>
      <c r="BI439" s="326" t="s">
        <v>266</v>
      </c>
      <c r="BJ439" s="246" t="s">
        <v>95</v>
      </c>
      <c r="BK439" s="226" t="s">
        <v>135</v>
      </c>
      <c r="BL439" s="238">
        <f>Konvention_1slave-MUslave</f>
        <v>12</v>
      </c>
      <c r="BM439" s="235">
        <f>Konvention_1slave-KLslave_KL</f>
        <v>11</v>
      </c>
      <c r="BN439" s="235">
        <f>Konvention_1slave-INslave</f>
        <v>12</v>
      </c>
      <c r="BO439" s="235"/>
      <c r="BP439" s="235"/>
      <c r="BQ439" s="235"/>
      <c r="BR439" s="235"/>
      <c r="BS439" s="227"/>
      <c r="BT439" s="226">
        <f>(BL439+BM439+BN439+BO439+BP439+BQ439+BR439+BS439)/3</f>
        <v>11.666666666666666</v>
      </c>
      <c r="BU439" s="226">
        <f t="shared" si="4673"/>
        <v>23.333333333333332</v>
      </c>
      <c r="BV439" s="235">
        <f t="shared" si="4674"/>
        <v>35</v>
      </c>
      <c r="BW439" s="238">
        <f>BL439*POWER(KLslave_KL,SIGN(BM439))*POWER(INslave,SIGN(BN439))*POWER(CHslave,SIGN(BO439))*POWER(FFslave,SIGN(BP439))*POWER(GEslave,SIGN(BQ439))*POWER(KOslave,SIGN(BR439))*POWER(KKslave,SIGN(BS439))+BM439*POWER(MUslave,SIGN(BL439))*POWER(INslave,SIGN(BN439))*POWER(CHslave,SIGN(BO439))*POWER(FFslave,SIGN(BP439))*POWER(GEslave,SIGN(BQ439))*POWER(KOslave,SIGN(BR439))*POWER(KKslave,SIGN(BS439))+BN439*POWER(MUslave,SIGN(BL439))*POWER(KLslave_KL,SIGN(BM439))*POWER(CHslave,SIGN(BO439))*POWER(FFslave,SIGN(BP439))*POWER(GEslave,SIGN(BQ439))*POWER(KOslave,SIGN(BR439))*POWER(KKslave,SIGN(BS439))+BO439*POWER(MUslave,SIGN(BL439))*POWER(KLslave_KL,SIGN(BM439))*POWER(INslave,SIGN(BN439))*POWER(FFslave,SIGN(BP439))*POWER(GEslave,SIGN(BQ439))*POWER(KOslave,SIGN(BR439))*POWER(KKslave,SIGN(BS439))+BP439*POWER(MUslave,SIGN(BL439))*POWER(KLslave_KL,SIGN(BM439))*POWER(INslave,SIGN(BN439))*POWER(CHslave,SIGN(BO439))*POWER(GEslave,SIGN(BQ439))*POWER(KOslave,SIGN(BR439))*POWER(KKslave,SIGN(BS439))+BQ439*POWER(MUslave,SIGN(BL439))*POWER(KLslave_KL,SIGN(BM439))*POWER(INslave,SIGN(BN439))*POWER(CHslave,SIGN(BO439))*POWER(FFslave,SIGN(BP439))*POWER(KOslave,SIGN(BR439))*POWER(KKslave,SIGN(BS439))+BR439*POWER(MUslave,SIGN(BL439))*POWER(KLslave_KL,SIGN(BM439))*POWER(INslave,SIGN(BN439))*POWER(CHslave,SIGN(BO439))*POWER(FFslave,SIGN(BP439))*POWER(GEslave,SIGN(BQ439))*POWER(KKslave,SIGN(BS439))+BS439*POWER(MUslave,SIGN(BL439))*POWER(KLslave_KL,SIGN(BM439))*POWER(INslave,SIGN(BN439))*POWER(CHslave,SIGN(BO439))*POWER(FFslave,SIGN(BP439))*POWER(GEslave,SIGN(BQ439))*POWER(KOslave,SIGN(BR439))</f>
        <v>2432</v>
      </c>
      <c r="BX439" s="235">
        <f>BL439*BM439*INslave+BL439*KLslave_KL*BN439+MUslave*BM439*BN439</f>
        <v>3408</v>
      </c>
      <c r="BY439" s="227">
        <f>IFERROR(BL439^SIGN(BL439),1)*IFERROR(BM439^SIGN(BM439),1)*IFERROR(BN439^SIGN(BN439),1)*IFERROR(BO439^SIGN(BO439),1)*IFERROR(BP439^SIGN(BP439),1)*IFERROR(BQ439^SIGN(BQ439),1)*IFERROR(BR439^SIGN(BR439),1)*IFERROR(BS439^SIGN(BS439),1)</f>
        <v>1584</v>
      </c>
      <c r="BZ439" s="244">
        <f t="shared" si="4675"/>
        <v>7424</v>
      </c>
      <c r="CA439" s="225">
        <f t="shared" si="4676"/>
        <v>3.8218390804597702</v>
      </c>
      <c r="CB439" s="226">
        <f t="shared" si="4677"/>
        <v>10.711206896551724</v>
      </c>
      <c r="CC439" s="245">
        <f t="shared" si="4678"/>
        <v>7.4676724137931032</v>
      </c>
      <c r="CD439" s="245">
        <f t="shared" si="4679"/>
        <v>22.000718390804597</v>
      </c>
      <c r="CE439" s="252">
        <f t="shared" si="4680"/>
        <v>0</v>
      </c>
      <c r="CF439" s="309">
        <f t="shared" si="4681"/>
        <v>22.000718390804597</v>
      </c>
      <c r="CG439" s="246">
        <f>IF(CD439&lt;=0,3,0)+IF(CD439&gt;0,CD439+1,0)*3+IF(CD439&gt;12,CD439-12,0)*3+IF(CD439&gt;13,CD439-13,0)*3+IF(CD439&gt;14,CD439-14,0)*3+IF(CD439&gt;15,CD439-15,0)*3+IF(CD439&gt;16,CD439-16,0)*3+IF(CD439&gt;17,CD439-17,0)*3+IF(CD439&gt;18,CD439-18,0)*3+IF(CD439&gt;19,CD439-19,0)*3+IF(CD439&gt;20,CD439-20,0)*3</f>
        <v>231.02155172413785</v>
      </c>
      <c r="CH439" s="244">
        <f>IF(CE439&lt;=0,3,0)+IF(CE439&gt;0,CE439+1,0)*3+IF(CE439&gt;12,CE439-12,0)*3+IF(CE439&gt;13,CE439-13,0)*3+IF(CE439&gt;14,CE439-14,0)*3+IF(CE439&gt;15,CE439-15,0)*3+IF(CE439&gt;16,CE439-16,0)*3+IF(CE439&gt;17,CE439-17,0)*3+IF(CE439&gt;18,CE439-18,0)*3+IF(CE439&gt;19,CE439-19,0)*3+IF(CE439&gt;20,CE439-20,0)*3</f>
        <v>3</v>
      </c>
      <c r="CI439" s="245">
        <f t="shared" si="4682"/>
        <v>228.02155172413785</v>
      </c>
      <c r="CJ439" s="246">
        <f t="shared" si="4683"/>
        <v>0</v>
      </c>
      <c r="CL439" s="326" t="s">
        <v>266</v>
      </c>
      <c r="CM439" s="246" t="s">
        <v>95</v>
      </c>
      <c r="CN439" s="226" t="s">
        <v>135</v>
      </c>
      <c r="CO439" s="238">
        <f>Konvention_1slave-MUslave</f>
        <v>12</v>
      </c>
      <c r="CP439" s="235">
        <f>Konvention_1slave-KLslave</f>
        <v>12</v>
      </c>
      <c r="CQ439" s="235">
        <f>Konvention_1slave-INslave_IN</f>
        <v>11</v>
      </c>
      <c r="CR439" s="235"/>
      <c r="CS439" s="235"/>
      <c r="CT439" s="235"/>
      <c r="CU439" s="235"/>
      <c r="CV439" s="227"/>
      <c r="CW439" s="226">
        <f>(CO439+CP439+CQ439+CR439+CS439+CT439+CU439+CV439)/3</f>
        <v>11.666666666666666</v>
      </c>
      <c r="CX439" s="226">
        <f t="shared" si="4684"/>
        <v>23.333333333333332</v>
      </c>
      <c r="CY439" s="235">
        <f t="shared" si="4685"/>
        <v>35</v>
      </c>
      <c r="CZ439" s="238">
        <f>CO439*POWER(KLslave,SIGN(CP439))*POWER(INslave_IN,SIGN(CQ439))*POWER(CHslave,SIGN(CR439))*POWER(FFslave,SIGN(CS439))*POWER(GEslave,SIGN(CT439))*POWER(KOslave,SIGN(CU439))*POWER(KKslave,SIGN(CV439))+CP439*POWER(MUslave,SIGN(CO439))*POWER(INslave_IN,SIGN(CQ439))*POWER(CHslave,SIGN(CR439))*POWER(FFslave,SIGN(CS439))*POWER(GEslave,SIGN(CT439))*POWER(KOslave,SIGN(CU439))*POWER(KKslave,SIGN(CV439))+CQ439*POWER(MUslave,SIGN(CO439))*POWER(KLslave,SIGN(CP439))*POWER(CHslave,SIGN(CR439))*POWER(FFslave,SIGN(CS439))*POWER(GEslave,SIGN(CT439))*POWER(KOslave,SIGN(CU439))*POWER(KKslave,SIGN(CV439))+CR439*POWER(MUslave,SIGN(CO439))*POWER(KLslave,SIGN(CP439))*POWER(INslave_IN,SIGN(CQ439))*POWER(FFslave,SIGN(CS439))*POWER(GEslave,SIGN(CT439))*POWER(KOslave,SIGN(CU439))*POWER(KKslave,SIGN(CV439))+CS439*POWER(MUslave,SIGN(CO439))*POWER(KLslave,SIGN(CP439))*POWER(INslave_IN,SIGN(CQ439))*POWER(CHslave,SIGN(CR439))*POWER(GEslave,SIGN(CT439))*POWER(KOslave,SIGN(CU439))*POWER(KKslave,SIGN(CV439))+CT439*POWER(MUslave,SIGN(CO439))*POWER(KLslave,SIGN(CP439))*POWER(INslave_IN,SIGN(CQ439))*POWER(CHslave,SIGN(CR439))*POWER(FFslave,SIGN(CS439))*POWER(KOslave,SIGN(CU439))*POWER(KKslave,SIGN(CV439))+CU439*POWER(MUslave,SIGN(CO439))*POWER(KLslave,SIGN(CP439))*POWER(INslave_IN,SIGN(CQ439))*POWER(CHslave,SIGN(CR439))*POWER(FFslave,SIGN(CS439))*POWER(GEslave,SIGN(CT439))*POWER(KKslave,SIGN(CV439))+CV439*POWER(MUslave,SIGN(CO439))*POWER(KLslave,SIGN(CP439))*POWER(INslave_IN,SIGN(CQ439))*POWER(CHslave,SIGN(CR439))*POWER(FFslave,SIGN(CS439))*POWER(GEslave,SIGN(CT439))*POWER(KOslave,SIGN(CU439))</f>
        <v>2432</v>
      </c>
      <c r="DA439" s="235">
        <f>CO439*CP439*INslave_IN+CO439*KLslave*CQ439+MUslave*CP439*CQ439</f>
        <v>3408</v>
      </c>
      <c r="DB439" s="227">
        <f>IFERROR(CO439^SIGN(CO439),1)*IFERROR(CP439^SIGN(CP439),1)*IFERROR(CQ439^SIGN(CQ439),1)*IFERROR(CR439^SIGN(CR439),1)*IFERROR(CS439^SIGN(CS439),1)*IFERROR(CT439^SIGN(CT439),1)*IFERROR(CU439^SIGN(CU439),1)*IFERROR(CV439^SIGN(CV439),1)</f>
        <v>1584</v>
      </c>
      <c r="DC439" s="244">
        <f t="shared" si="4686"/>
        <v>7424</v>
      </c>
      <c r="DD439" s="225">
        <f t="shared" si="4687"/>
        <v>3.8218390804597702</v>
      </c>
      <c r="DE439" s="226">
        <f t="shared" si="4688"/>
        <v>10.711206896551724</v>
      </c>
      <c r="DF439" s="245">
        <f t="shared" si="4689"/>
        <v>7.4676724137931032</v>
      </c>
      <c r="DG439" s="245">
        <f t="shared" si="4690"/>
        <v>22.000718390804597</v>
      </c>
      <c r="DH439" s="252">
        <f t="shared" si="4691"/>
        <v>0</v>
      </c>
      <c r="DI439" s="309">
        <f t="shared" si="4692"/>
        <v>22.000718390804597</v>
      </c>
      <c r="DJ439" s="246">
        <f>IF(DG439&lt;=0,3,0)+IF(DG439&gt;0,DG439+1,0)*3+IF(DG439&gt;12,DG439-12,0)*3+IF(DG439&gt;13,DG439-13,0)*3+IF(DG439&gt;14,DG439-14,0)*3+IF(DG439&gt;15,DG439-15,0)*3+IF(DG439&gt;16,DG439-16,0)*3+IF(DG439&gt;17,DG439-17,0)*3+IF(DG439&gt;18,DG439-18,0)*3+IF(DG439&gt;19,DG439-19,0)*3+IF(DG439&gt;20,DG439-20,0)*3</f>
        <v>231.02155172413785</v>
      </c>
      <c r="DK439" s="244">
        <f>IF(DH439&lt;=0,3,0)+IF(DH439&gt;0,DH439+1,0)*3+IF(DH439&gt;12,DH439-12,0)*3+IF(DH439&gt;13,DH439-13,0)*3+IF(DH439&gt;14,DH439-14,0)*3+IF(DH439&gt;15,DH439-15,0)*3+IF(DH439&gt;16,DH439-16,0)*3+IF(DH439&gt;17,DH439-17,0)*3+IF(DH439&gt;18,DH439-18,0)*3+IF(DH439&gt;19,DH439-19,0)*3+IF(DH439&gt;20,DH439-20,0)*3</f>
        <v>3</v>
      </c>
      <c r="DL439" s="245">
        <f t="shared" si="4693"/>
        <v>228.02155172413785</v>
      </c>
      <c r="DM439" s="246">
        <f t="shared" si="4694"/>
        <v>0</v>
      </c>
      <c r="DO439" s="326" t="s">
        <v>266</v>
      </c>
      <c r="DP439" s="246" t="s">
        <v>95</v>
      </c>
      <c r="DQ439" s="226" t="s">
        <v>135</v>
      </c>
      <c r="DR439" s="238">
        <f>Konvention_1slave-MUslave</f>
        <v>12</v>
      </c>
      <c r="DS439" s="235">
        <f>Konvention_1slave-KLslave</f>
        <v>12</v>
      </c>
      <c r="DT439" s="235">
        <f>Konvention_1slave-INslave</f>
        <v>12</v>
      </c>
      <c r="DU439" s="235"/>
      <c r="DV439" s="235"/>
      <c r="DW439" s="235"/>
      <c r="DX439" s="235"/>
      <c r="DY439" s="227"/>
      <c r="DZ439" s="226">
        <f>(DR439+DS439+DT439+DU439+DV439+DW439+DX439+DY439)/3</f>
        <v>12</v>
      </c>
      <c r="EA439" s="226">
        <f t="shared" si="4695"/>
        <v>24</v>
      </c>
      <c r="EB439" s="235">
        <f t="shared" si="4696"/>
        <v>36</v>
      </c>
      <c r="EC439" s="238">
        <f>DR439*POWER(KLslave,SIGN(DS439))*POWER(INslave,SIGN(DT439))*POWER(CHslave_CH,SIGN(DU439))*POWER(FFslave,SIGN(DV439))*POWER(GEslave,SIGN(DW439))*POWER(KOslave,SIGN(DX439))*POWER(KKslave,SIGN(DY439))+DS439*POWER(MUslave,SIGN(DR439))*POWER(INslave,SIGN(DT439))*POWER(CHslave_CH,SIGN(DU439))*POWER(FFslave,SIGN(DV439))*POWER(GEslave,SIGN(DW439))*POWER(KOslave,SIGN(DX439))*POWER(KKslave,SIGN(DY439))+DT439*POWER(MUslave,SIGN(DR439))*POWER(KLslave,SIGN(DS439))*POWER(CHslave_CH,SIGN(DU439))*POWER(FFslave,SIGN(DV439))*POWER(GEslave,SIGN(DW439))*POWER(KOslave,SIGN(DX439))*POWER(KKslave,SIGN(DY439))+DU439*POWER(MUslave,SIGN(DR439))*POWER(KLslave,SIGN(DS439))*POWER(INslave,SIGN(DT439))*POWER(FFslave,SIGN(DV439))*POWER(GEslave,SIGN(DW439))*POWER(KOslave,SIGN(DX439))*POWER(KKslave,SIGN(DY439))+DV439*POWER(MUslave,SIGN(DR439))*POWER(KLslave,SIGN(DS439))*POWER(INslave,SIGN(DT439))*POWER(CHslave_CH,SIGN(DU439))*POWER(GEslave,SIGN(DW439))*POWER(KOslave,SIGN(DX439))*POWER(KKslave,SIGN(DY439))+DW439*POWER(MUslave,SIGN(DR439))*POWER(KLslave,SIGN(DS439))*POWER(INslave,SIGN(DT439))*POWER(CHslave_CH,SIGN(DU439))*POWER(FFslave,SIGN(DV439))*POWER(KOslave,SIGN(DX439))*POWER(KKslave,SIGN(DY439))+DX439*POWER(MUslave,SIGN(DR439))*POWER(KLslave,SIGN(DS439))*POWER(INslave,SIGN(DT439))*POWER(CHslave_CH,SIGN(DU439))*POWER(FFslave,SIGN(DV439))*POWER(GEslave,SIGN(DW439))*POWER(KKslave,SIGN(DY439))+DY439*POWER(MUslave,SIGN(DR439))*POWER(KLslave,SIGN(DS439))*POWER(INslave,SIGN(DT439))*POWER(CHslave_CH,SIGN(DU439))*POWER(FFslave,SIGN(DV439))*POWER(GEslave,SIGN(DW439))*POWER(KOslave,SIGN(DX439))</f>
        <v>2304</v>
      </c>
      <c r="ED439" s="235">
        <f>DR439*DS439*INslave+DR439*KLslave*DT439+MUslave*DS439*DT439</f>
        <v>3456</v>
      </c>
      <c r="EE439" s="227">
        <f>IFERROR(DR439^SIGN(DR439),1)*IFERROR(DS439^SIGN(DS439),1)*IFERROR(DT439^SIGN(DT439),1)*IFERROR(DU439^SIGN(DU439),1)*IFERROR(DV439^SIGN(DV439),1)*IFERROR(DW439^SIGN(DW439),1)*IFERROR(DX439^SIGN(DX439),1)*IFERROR(DY439^SIGN(DY439),1)</f>
        <v>1728</v>
      </c>
      <c r="EF439" s="244">
        <f t="shared" si="4697"/>
        <v>7488</v>
      </c>
      <c r="EG439" s="225">
        <f t="shared" si="4698"/>
        <v>3.6923076923076925</v>
      </c>
      <c r="EH439" s="226">
        <f t="shared" si="4699"/>
        <v>11.076923076923077</v>
      </c>
      <c r="EI439" s="245">
        <f t="shared" si="4700"/>
        <v>8.3076923076923084</v>
      </c>
      <c r="EJ439" s="245">
        <f t="shared" si="4701"/>
        <v>23.07692307692308</v>
      </c>
      <c r="EK439" s="252">
        <f t="shared" si="4702"/>
        <v>0</v>
      </c>
      <c r="EL439" s="309">
        <f t="shared" si="4703"/>
        <v>23.07692307692308</v>
      </c>
      <c r="EM439" s="246">
        <f>IF(EJ439&lt;=0,3,0)+IF(EJ439&gt;0,EJ439+1,0)*3+IF(EJ439&gt;12,EJ439-12,0)*3+IF(EJ439&gt;13,EJ439-13,0)*3+IF(EJ439&gt;14,EJ439-14,0)*3+IF(EJ439&gt;15,EJ439-15,0)*3+IF(EJ439&gt;16,EJ439-16,0)*3+IF(EJ439&gt;17,EJ439-17,0)*3+IF(EJ439&gt;18,EJ439-18,0)*3+IF(EJ439&gt;19,EJ439-19,0)*3+IF(EJ439&gt;20,EJ439-20,0)*3</f>
        <v>263.30769230769232</v>
      </c>
      <c r="EN439" s="244">
        <f>IF(EK439&lt;=0,3,0)+IF(EK439&gt;0,EK439+1,0)*3+IF(EK439&gt;12,EK439-12,0)*3+IF(EK439&gt;13,EK439-13,0)*3+IF(EK439&gt;14,EK439-14,0)*3+IF(EK439&gt;15,EK439-15,0)*3+IF(EK439&gt;16,EK439-16,0)*3+IF(EK439&gt;17,EK439-17,0)*3+IF(EK439&gt;18,EK439-18,0)*3+IF(EK439&gt;19,EK439-19,0)*3+IF(EK439&gt;20,EK439-20,0)*3</f>
        <v>3</v>
      </c>
      <c r="EO439" s="245">
        <f t="shared" si="4704"/>
        <v>260.30769230769232</v>
      </c>
      <c r="EP439" s="246">
        <f t="shared" si="4705"/>
        <v>0</v>
      </c>
      <c r="ER439" s="326" t="s">
        <v>266</v>
      </c>
      <c r="ES439" s="246" t="s">
        <v>95</v>
      </c>
      <c r="ET439" s="226" t="s">
        <v>135</v>
      </c>
      <c r="EU439" s="238">
        <f>Konvention_1slave-MUslave</f>
        <v>12</v>
      </c>
      <c r="EV439" s="235">
        <f>Konvention_1slave-KLslave</f>
        <v>12</v>
      </c>
      <c r="EW439" s="235">
        <f>Konvention_1slave-INslave</f>
        <v>12</v>
      </c>
      <c r="EX439" s="235"/>
      <c r="EY439" s="235"/>
      <c r="EZ439" s="235"/>
      <c r="FA439" s="235"/>
      <c r="FB439" s="227"/>
      <c r="FC439" s="226">
        <f>(EU439+EV439+EW439+EX439+EY439+EZ439+FA439+FB439)/3</f>
        <v>12</v>
      </c>
      <c r="FD439" s="226">
        <f t="shared" si="4706"/>
        <v>24</v>
      </c>
      <c r="FE439" s="235">
        <f t="shared" si="4707"/>
        <v>36</v>
      </c>
      <c r="FF439" s="238">
        <f>EU439*POWER(KLslave,SIGN(EV439))*POWER(INslave,SIGN(EW439))*POWER(CHslave,SIGN(EX439))*POWER(FFslave_FF,SIGN(EY439))*POWER(GEslave,SIGN(EZ439))*POWER(KOslave,SIGN(FA439))*POWER(KKslave,SIGN(FB439))+EV439*POWER(MUslave,SIGN(EU439))*POWER(INslave,SIGN(EW439))*POWER(CHslave,SIGN(EX439))*POWER(FFslave_FF,SIGN(EY439))*POWER(GEslave,SIGN(EZ439))*POWER(KOslave,SIGN(FA439))*POWER(KKslave,SIGN(FB439))+EW439*POWER(MUslave,SIGN(EU439))*POWER(KLslave,SIGN(EV439))*POWER(CHslave,SIGN(EX439))*POWER(FFslave_FF,SIGN(EY439))*POWER(GEslave,SIGN(EZ439))*POWER(KOslave,SIGN(FA439))*POWER(KKslave,SIGN(FB439))+EX439*POWER(MUslave,SIGN(EU439))*POWER(KLslave,SIGN(EV439))*POWER(INslave,SIGN(EW439))*POWER(FFslave_FF,SIGN(EY439))*POWER(GEslave,SIGN(EZ439))*POWER(KOslave,SIGN(FA439))*POWER(KKslave,SIGN(FB439))+EY439*POWER(MUslave,SIGN(EU439))*POWER(KLslave,SIGN(EV439))*POWER(INslave,SIGN(EW439))*POWER(CHslave,SIGN(EX439))*POWER(GEslave,SIGN(EZ439))*POWER(KOslave,SIGN(FA439))*POWER(KKslave,SIGN(FB439))+EZ439*POWER(MUslave,SIGN(EU439))*POWER(KLslave,SIGN(EV439))*POWER(INslave,SIGN(EW439))*POWER(CHslave,SIGN(EX439))*POWER(FFslave_FF,SIGN(EY439))*POWER(KOslave,SIGN(FA439))*POWER(KKslave,SIGN(FB439))+FA439*POWER(MUslave,SIGN(EU439))*POWER(KLslave,SIGN(EV439))*POWER(INslave,SIGN(EW439))*POWER(CHslave,SIGN(EX439))*POWER(FFslave_FF,SIGN(EY439))*POWER(GEslave,SIGN(EZ439))*POWER(KKslave,SIGN(FB439))+FB439*POWER(MUslave,SIGN(EU439))*POWER(KLslave,SIGN(EV439))*POWER(INslave,SIGN(EW439))*POWER(CHslave,SIGN(EX439))*POWER(FFslave_FF,SIGN(EY439))*POWER(GEslave,SIGN(EZ439))*POWER(KOslave,SIGN(FA439))</f>
        <v>2304</v>
      </c>
      <c r="FG439" s="235">
        <f>EU439*EV439*INslave+EU439*KLslave*EW439+MUslave*EV439*EW439</f>
        <v>3456</v>
      </c>
      <c r="FH439" s="227">
        <f>IFERROR(EU439^SIGN(EU439),1)*IFERROR(EV439^SIGN(EV439),1)*IFERROR(EW439^SIGN(EW439),1)*IFERROR(EX439^SIGN(EX439),1)*IFERROR(EY439^SIGN(EY439),1)*IFERROR(EZ439^SIGN(EZ439),1)*IFERROR(FA439^SIGN(FA439),1)*IFERROR(FB439^SIGN(FB439),1)</f>
        <v>1728</v>
      </c>
      <c r="FI439" s="244">
        <f t="shared" si="4708"/>
        <v>7488</v>
      </c>
      <c r="FJ439" s="225">
        <f t="shared" si="4709"/>
        <v>3.6923076923076925</v>
      </c>
      <c r="FK439" s="226">
        <f t="shared" si="4710"/>
        <v>11.076923076923077</v>
      </c>
      <c r="FL439" s="245">
        <f t="shared" si="4711"/>
        <v>8.3076923076923084</v>
      </c>
      <c r="FM439" s="245">
        <f t="shared" si="4712"/>
        <v>23.07692307692308</v>
      </c>
      <c r="FN439" s="252">
        <f t="shared" si="4713"/>
        <v>0</v>
      </c>
      <c r="FO439" s="309">
        <f t="shared" si="4714"/>
        <v>23.07692307692308</v>
      </c>
      <c r="FP439" s="246">
        <f>IF(FM439&lt;=0,3,0)+IF(FM439&gt;0,FM439+1,0)*3+IF(FM439&gt;12,FM439-12,0)*3+IF(FM439&gt;13,FM439-13,0)*3+IF(FM439&gt;14,FM439-14,0)*3+IF(FM439&gt;15,FM439-15,0)*3+IF(FM439&gt;16,FM439-16,0)*3+IF(FM439&gt;17,FM439-17,0)*3+IF(FM439&gt;18,FM439-18,0)*3+IF(FM439&gt;19,FM439-19,0)*3+IF(FM439&gt;20,FM439-20,0)*3</f>
        <v>263.30769230769232</v>
      </c>
      <c r="FQ439" s="244">
        <f>IF(FN439&lt;=0,3,0)+IF(FN439&gt;0,FN439+1,0)*3+IF(FN439&gt;12,FN439-12,0)*3+IF(FN439&gt;13,FN439-13,0)*3+IF(FN439&gt;14,FN439-14,0)*3+IF(FN439&gt;15,FN439-15,0)*3+IF(FN439&gt;16,FN439-16,0)*3+IF(FN439&gt;17,FN439-17,0)*3+IF(FN439&gt;18,FN439-18,0)*3+IF(FN439&gt;19,FN439-19,0)*3+IF(FN439&gt;20,FN439-20,0)*3</f>
        <v>3</v>
      </c>
      <c r="FR439" s="245">
        <f t="shared" si="4715"/>
        <v>260.30769230769232</v>
      </c>
      <c r="FS439" s="246">
        <f t="shared" si="4716"/>
        <v>0</v>
      </c>
      <c r="FU439" s="326" t="s">
        <v>266</v>
      </c>
      <c r="FV439" s="246" t="s">
        <v>95</v>
      </c>
      <c r="FW439" s="226" t="s">
        <v>135</v>
      </c>
      <c r="FX439" s="238">
        <f>Konvention_1slave-MUslave</f>
        <v>12</v>
      </c>
      <c r="FY439" s="235">
        <f>Konvention_1slave-KLslave</f>
        <v>12</v>
      </c>
      <c r="FZ439" s="235">
        <f>Konvention_1slave-INslave</f>
        <v>12</v>
      </c>
      <c r="GA439" s="235"/>
      <c r="GB439" s="235"/>
      <c r="GC439" s="235"/>
      <c r="GD439" s="235"/>
      <c r="GE439" s="227"/>
      <c r="GF439" s="226">
        <f>(FX439+FY439+FZ439+GA439+GB439+GC439+GD439+GE439)/3</f>
        <v>12</v>
      </c>
      <c r="GG439" s="226">
        <f t="shared" si="4717"/>
        <v>24</v>
      </c>
      <c r="GH439" s="235">
        <f t="shared" si="4718"/>
        <v>36</v>
      </c>
      <c r="GI439" s="238">
        <f>FX439*POWER(KLslave,SIGN(FY439))*POWER(INslave,SIGN(FZ439))*POWER(CHslave,SIGN(GA439))*POWER(FFslave,SIGN(GB439))*POWER(GEslave_GE,SIGN(GC439))*POWER(KOslave,SIGN(GD439))*POWER(KKslave,SIGN(GE439))+FY439*POWER(MUslave,SIGN(FX439))*POWER(INslave,SIGN(FZ439))*POWER(CHslave,SIGN(GA439))*POWER(FFslave,SIGN(GB439))*POWER(GEslave_GE,SIGN(GC439))*POWER(KOslave,SIGN(GD439))*POWER(KKslave,SIGN(GE439))+FZ439*POWER(MUslave,SIGN(FX439))*POWER(KLslave,SIGN(FY439))*POWER(CHslave,SIGN(GA439))*POWER(FFslave,SIGN(GB439))*POWER(GEslave_GE,SIGN(GC439))*POWER(KOslave,SIGN(GD439))*POWER(KKslave,SIGN(GE439))+GA439*POWER(MUslave,SIGN(FX439))*POWER(KLslave,SIGN(FY439))*POWER(INslave,SIGN(FZ439))*POWER(FFslave,SIGN(GB439))*POWER(GEslave_GE,SIGN(GC439))*POWER(KOslave,SIGN(GD439))*POWER(KKslave,SIGN(GE439))+GB439*POWER(MUslave,SIGN(FX439))*POWER(KLslave,SIGN(FY439))*POWER(INslave,SIGN(FZ439))*POWER(CHslave,SIGN(GA439))*POWER(GEslave_GE,SIGN(GC439))*POWER(KOslave,SIGN(GD439))*POWER(KKslave,SIGN(GE439))+GC439*POWER(MUslave,SIGN(FX439))*POWER(KLslave,SIGN(FY439))*POWER(INslave,SIGN(FZ439))*POWER(CHslave,SIGN(GA439))*POWER(FFslave,SIGN(GB439))*POWER(KOslave,SIGN(GD439))*POWER(KKslave,SIGN(GE439))+GD439*POWER(MUslave,SIGN(FX439))*POWER(KLslave,SIGN(FY439))*POWER(INslave,SIGN(FZ439))*POWER(CHslave,SIGN(GA439))*POWER(FFslave,SIGN(GB439))*POWER(GEslave_GE,SIGN(GC439))*POWER(KKslave,SIGN(GE439))+GE439*POWER(MUslave,SIGN(FX439))*POWER(KLslave,SIGN(FY439))*POWER(INslave,SIGN(FZ439))*POWER(CHslave,SIGN(GA439))*POWER(FFslave,SIGN(GB439))*POWER(GEslave_GE,SIGN(GC439))*POWER(KOslave,SIGN(GD439))</f>
        <v>2304</v>
      </c>
      <c r="GJ439" s="235">
        <f>FX439*FY439*INslave+FX439*KLslave*FZ439+MUslave*FY439*FZ439</f>
        <v>3456</v>
      </c>
      <c r="GK439" s="227">
        <f>IFERROR(FX439^SIGN(FX439),1)*IFERROR(FY439^SIGN(FY439),1)*IFERROR(FZ439^SIGN(FZ439),1)*IFERROR(GA439^SIGN(GA439),1)*IFERROR(GB439^SIGN(GB439),1)*IFERROR(GC439^SIGN(GC439),1)*IFERROR(GD439^SIGN(GD439),1)*IFERROR(GE439^SIGN(GE439),1)</f>
        <v>1728</v>
      </c>
      <c r="GL439" s="244">
        <f t="shared" si="4719"/>
        <v>7488</v>
      </c>
      <c r="GM439" s="225">
        <f t="shared" si="4720"/>
        <v>3.6923076923076925</v>
      </c>
      <c r="GN439" s="226">
        <f t="shared" si="4721"/>
        <v>11.076923076923077</v>
      </c>
      <c r="GO439" s="245">
        <f t="shared" si="4722"/>
        <v>8.3076923076923084</v>
      </c>
      <c r="GP439" s="245">
        <f t="shared" si="4723"/>
        <v>23.07692307692308</v>
      </c>
      <c r="GQ439" s="252">
        <f t="shared" si="4724"/>
        <v>0</v>
      </c>
      <c r="GR439" s="309">
        <f t="shared" si="4725"/>
        <v>23.07692307692308</v>
      </c>
      <c r="GS439" s="246">
        <f>IF(GP439&lt;=0,3,0)+IF(GP439&gt;0,GP439+1,0)*3+IF(GP439&gt;12,GP439-12,0)*3+IF(GP439&gt;13,GP439-13,0)*3+IF(GP439&gt;14,GP439-14,0)*3+IF(GP439&gt;15,GP439-15,0)*3+IF(GP439&gt;16,GP439-16,0)*3+IF(GP439&gt;17,GP439-17,0)*3+IF(GP439&gt;18,GP439-18,0)*3+IF(GP439&gt;19,GP439-19,0)*3+IF(GP439&gt;20,GP439-20,0)*3</f>
        <v>263.30769230769232</v>
      </c>
      <c r="GT439" s="244">
        <f>IF(GQ439&lt;=0,3,0)+IF(GQ439&gt;0,GQ439+1,0)*3+IF(GQ439&gt;12,GQ439-12,0)*3+IF(GQ439&gt;13,GQ439-13,0)*3+IF(GQ439&gt;14,GQ439-14,0)*3+IF(GQ439&gt;15,GQ439-15,0)*3+IF(GQ439&gt;16,GQ439-16,0)*3+IF(GQ439&gt;17,GQ439-17,0)*3+IF(GQ439&gt;18,GQ439-18,0)*3+IF(GQ439&gt;19,GQ439-19,0)*3+IF(GQ439&gt;20,GQ439-20,0)*3</f>
        <v>3</v>
      </c>
      <c r="GU439" s="245">
        <f t="shared" si="4726"/>
        <v>260.30769230769232</v>
      </c>
      <c r="GV439" s="246">
        <f t="shared" si="4727"/>
        <v>0</v>
      </c>
      <c r="GX439" s="326" t="s">
        <v>266</v>
      </c>
      <c r="GY439" s="246" t="s">
        <v>95</v>
      </c>
      <c r="GZ439" s="226" t="s">
        <v>135</v>
      </c>
      <c r="HA439" s="238">
        <f>Konvention_1slave-MUslave</f>
        <v>12</v>
      </c>
      <c r="HB439" s="235">
        <f>Konvention_1slave-KLslave</f>
        <v>12</v>
      </c>
      <c r="HC439" s="235">
        <f>Konvention_1slave-INslave</f>
        <v>12</v>
      </c>
      <c r="HD439" s="235"/>
      <c r="HE439" s="235"/>
      <c r="HF439" s="235"/>
      <c r="HG439" s="235"/>
      <c r="HH439" s="227"/>
      <c r="HI439" s="226">
        <f>(HA439+HB439+HC439+HD439+HE439+HF439+HG439+HH439)/3</f>
        <v>12</v>
      </c>
      <c r="HJ439" s="226">
        <f t="shared" si="4728"/>
        <v>24</v>
      </c>
      <c r="HK439" s="235">
        <f t="shared" si="4729"/>
        <v>36</v>
      </c>
      <c r="HL439" s="238">
        <f>HA439*POWER(KLslave,SIGN(HB439))*POWER(INslave,SIGN(HC439))*POWER(CHslave,SIGN(HD439))*POWER(FFslave,SIGN(HE439))*POWER(GEslave,SIGN(HF439))*POWER(KOslave_KO,SIGN(HG439))*POWER(KKslave,SIGN(HH439))+HB439*POWER(MUslave,SIGN(HA439))*POWER(INslave,SIGN(HC439))*POWER(CHslave,SIGN(HD439))*POWER(FFslave,SIGN(HE439))*POWER(GEslave,SIGN(HF439))*POWER(KOslave_KO,SIGN(HG439))*POWER(KKslave,SIGN(HH439))+HC439*POWER(MUslave,SIGN(HA439))*POWER(KLslave,SIGN(HB439))*POWER(CHslave,SIGN(HD439))*POWER(FFslave,SIGN(HE439))*POWER(GEslave,SIGN(HF439))*POWER(KOslave_KO,SIGN(HG439))*POWER(KKslave,SIGN(HH439))+HD439*POWER(MUslave,SIGN(HA439))*POWER(KLslave,SIGN(HB439))*POWER(INslave,SIGN(HC439))*POWER(FFslave,SIGN(HE439))*POWER(GEslave,SIGN(HF439))*POWER(KOslave_KO,SIGN(HG439))*POWER(KKslave,SIGN(HH439))+HE439*POWER(MUslave,SIGN(HA439))*POWER(KLslave,SIGN(HB439))*POWER(INslave,SIGN(HC439))*POWER(CHslave,SIGN(HD439))*POWER(GEslave,SIGN(HF439))*POWER(KOslave_KO,SIGN(HG439))*POWER(KKslave,SIGN(HH439))+HF439*POWER(MUslave,SIGN(HA439))*POWER(KLslave,SIGN(HB439))*POWER(INslave,SIGN(HC439))*POWER(CHslave,SIGN(HD439))*POWER(FFslave,SIGN(HE439))*POWER(KOslave_KO,SIGN(HG439))*POWER(KKslave,SIGN(HH439))+HG439*POWER(MUslave,SIGN(HA439))*POWER(KLslave,SIGN(HB439))*POWER(INslave,SIGN(HC439))*POWER(CHslave,SIGN(HD439))*POWER(FFslave,SIGN(HE439))*POWER(GEslave,SIGN(HF439))*POWER(KKslave,SIGN(HH439))+HH439*POWER(MUslave,SIGN(HA439))*POWER(KLslave,SIGN(HB439))*POWER(INslave,SIGN(HC439))*POWER(CHslave,SIGN(HD439))*POWER(FFslave,SIGN(HE439))*POWER(GEslave,SIGN(HF439))*POWER(KOslave_KO,SIGN(HG439))</f>
        <v>2304</v>
      </c>
      <c r="HM439" s="235">
        <f>HA439*HB439*INslave+HA439*KLslave*HC439+MUslave*HB439*HC439</f>
        <v>3456</v>
      </c>
      <c r="HN439" s="227">
        <f>IFERROR(HA439^SIGN(HA439),1)*IFERROR(HB439^SIGN(HB439),1)*IFERROR(HC439^SIGN(HC439),1)*IFERROR(HD439^SIGN(HD439),1)*IFERROR(HE439^SIGN(HE439),1)*IFERROR(HF439^SIGN(HF439),1)*IFERROR(HG439^SIGN(HG439),1)*IFERROR(HH439^SIGN(HH439),1)</f>
        <v>1728</v>
      </c>
      <c r="HO439" s="244">
        <f t="shared" si="4730"/>
        <v>7488</v>
      </c>
      <c r="HP439" s="225">
        <f t="shared" si="4731"/>
        <v>3.6923076923076925</v>
      </c>
      <c r="HQ439" s="226">
        <f t="shared" si="4732"/>
        <v>11.076923076923077</v>
      </c>
      <c r="HR439" s="245">
        <f t="shared" si="4733"/>
        <v>8.3076923076923084</v>
      </c>
      <c r="HS439" s="245">
        <f t="shared" si="4734"/>
        <v>23.07692307692308</v>
      </c>
      <c r="HT439" s="252">
        <f t="shared" si="4735"/>
        <v>0</v>
      </c>
      <c r="HU439" s="309">
        <f t="shared" si="4736"/>
        <v>23.07692307692308</v>
      </c>
      <c r="HV439" s="246">
        <f>IF(HS439&lt;=0,3,0)+IF(HS439&gt;0,HS439+1,0)*3+IF(HS439&gt;12,HS439-12,0)*3+IF(HS439&gt;13,HS439-13,0)*3+IF(HS439&gt;14,HS439-14,0)*3+IF(HS439&gt;15,HS439-15,0)*3+IF(HS439&gt;16,HS439-16,0)*3+IF(HS439&gt;17,HS439-17,0)*3+IF(HS439&gt;18,HS439-18,0)*3+IF(HS439&gt;19,HS439-19,0)*3+IF(HS439&gt;20,HS439-20,0)*3</f>
        <v>263.30769230769232</v>
      </c>
      <c r="HW439" s="244">
        <f>IF(HT439&lt;=0,3,0)+IF(HT439&gt;0,HT439+1,0)*3+IF(HT439&gt;12,HT439-12,0)*3+IF(HT439&gt;13,HT439-13,0)*3+IF(HT439&gt;14,HT439-14,0)*3+IF(HT439&gt;15,HT439-15,0)*3+IF(HT439&gt;16,HT439-16,0)*3+IF(HT439&gt;17,HT439-17,0)*3+IF(HT439&gt;18,HT439-18,0)*3+IF(HT439&gt;19,HT439-19,0)*3+IF(HT439&gt;20,HT439-20,0)*3</f>
        <v>3</v>
      </c>
      <c r="HX439" s="245">
        <f t="shared" si="4737"/>
        <v>260.30769230769232</v>
      </c>
      <c r="HY439" s="246">
        <f t="shared" si="4738"/>
        <v>0</v>
      </c>
      <c r="IA439" s="326" t="s">
        <v>266</v>
      </c>
      <c r="IB439" s="246" t="s">
        <v>95</v>
      </c>
      <c r="IC439" s="226" t="s">
        <v>135</v>
      </c>
      <c r="ID439" s="238">
        <f>Konvention_1slave-MUslave</f>
        <v>12</v>
      </c>
      <c r="IE439" s="235">
        <f>Konvention_1slave-KLslave</f>
        <v>12</v>
      </c>
      <c r="IF439" s="235">
        <f>Konvention_1slave-INslave</f>
        <v>12</v>
      </c>
      <c r="IG439" s="235"/>
      <c r="IH439" s="235"/>
      <c r="II439" s="235"/>
      <c r="IJ439" s="235"/>
      <c r="IK439" s="227"/>
      <c r="IL439" s="226">
        <f>(ID439+IE439+IF439+IG439+IH439+II439+IJ439+IK439)/3</f>
        <v>12</v>
      </c>
      <c r="IM439" s="226">
        <f t="shared" si="4739"/>
        <v>24</v>
      </c>
      <c r="IN439" s="235">
        <f t="shared" si="4740"/>
        <v>36</v>
      </c>
      <c r="IO439" s="238">
        <f>ID439*POWER(KLslave,SIGN(IE439))*POWER(INslave,SIGN(IF439))*POWER(CHslave,SIGN(IG439))*POWER(FFslave,SIGN(IH439))*POWER(GEslave,SIGN(II439))*POWER(KOslave,SIGN(IJ439))*POWER(KKslave_KK,SIGN(IK439))+IE439*POWER(MUslave,SIGN(ID439))*POWER(INslave,SIGN(IF439))*POWER(CHslave,SIGN(IG439))*POWER(FFslave,SIGN(IH439))*POWER(GEslave,SIGN(II439))*POWER(KOslave,SIGN(IJ439))*POWER(KKslave_KK,SIGN(IK439))+IF439*POWER(MUslave,SIGN(ID439))*POWER(KLslave,SIGN(IE439))*POWER(CHslave,SIGN(IG439))*POWER(FFslave,SIGN(IH439))*POWER(GEslave,SIGN(II439))*POWER(KOslave,SIGN(IJ439))*POWER(KKslave_KK,SIGN(IK439))+IG439*POWER(MUslave,SIGN(ID439))*POWER(KLslave,SIGN(IE439))*POWER(INslave,SIGN(IF439))*POWER(FFslave,SIGN(IH439))*POWER(GEslave,SIGN(II439))*POWER(KOslave,SIGN(IJ439))*POWER(KKslave_KK,SIGN(IK439))+IH439*POWER(MUslave,SIGN(ID439))*POWER(KLslave,SIGN(IE439))*POWER(INslave,SIGN(IF439))*POWER(CHslave,SIGN(IG439))*POWER(GEslave,SIGN(II439))*POWER(KOslave,SIGN(IJ439))*POWER(KKslave_KK,SIGN(IK439))+II439*POWER(MUslave,SIGN(ID439))*POWER(KLslave,SIGN(IE439))*POWER(INslave,SIGN(IF439))*POWER(CHslave,SIGN(IG439))*POWER(FFslave,SIGN(IH439))*POWER(KOslave,SIGN(IJ439))*POWER(KKslave_KK,SIGN(IK439))+IJ439*POWER(MUslave,SIGN(ID439))*POWER(KLslave,SIGN(IE439))*POWER(INslave,SIGN(IF439))*POWER(CHslave,SIGN(IG439))*POWER(FFslave,SIGN(IH439))*POWER(GEslave,SIGN(II439))*POWER(KKslave_KK,SIGN(IK439))+IK439*POWER(MUslave,SIGN(ID439))*POWER(KLslave,SIGN(IE439))*POWER(INslave,SIGN(IF439))*POWER(CHslave,SIGN(IG439))*POWER(FFslave,SIGN(IH439))*POWER(GEslave,SIGN(II439))*POWER(KOslave,SIGN(IJ439))</f>
        <v>2304</v>
      </c>
      <c r="IP439" s="235">
        <f>ID439*IE439*INslave+ID439*KLslave*IF439+MUslave*IE439*IF439</f>
        <v>3456</v>
      </c>
      <c r="IQ439" s="227">
        <f>IFERROR(ID439^SIGN(ID439),1)*IFERROR(IE439^SIGN(IE439),1)*IFERROR(IF439^SIGN(IF439),1)*IFERROR(IG439^SIGN(IG439),1)*IFERROR(IH439^SIGN(IH439),1)*IFERROR(II439^SIGN(II439),1)*IFERROR(IJ439^SIGN(IJ439),1)*IFERROR(IK439^SIGN(IK439),1)</f>
        <v>1728</v>
      </c>
      <c r="IR439" s="244">
        <f t="shared" si="4741"/>
        <v>7488</v>
      </c>
      <c r="IS439" s="225">
        <f t="shared" si="4742"/>
        <v>3.6923076923076925</v>
      </c>
      <c r="IT439" s="226">
        <f t="shared" si="4743"/>
        <v>11.076923076923077</v>
      </c>
      <c r="IU439" s="245">
        <f t="shared" si="4744"/>
        <v>8.3076923076923084</v>
      </c>
      <c r="IV439" s="245">
        <f t="shared" si="4745"/>
        <v>23.07692307692308</v>
      </c>
      <c r="IW439" s="252">
        <f t="shared" si="4746"/>
        <v>0</v>
      </c>
      <c r="IX439" s="309">
        <f t="shared" si="4747"/>
        <v>23.07692307692308</v>
      </c>
      <c r="IY439" s="246">
        <f>IF(IV439&lt;=0,3,0)+IF(IV439&gt;0,IV439+1,0)*3+IF(IV439&gt;12,IV439-12,0)*3+IF(IV439&gt;13,IV439-13,0)*3+IF(IV439&gt;14,IV439-14,0)*3+IF(IV439&gt;15,IV439-15,0)*3+IF(IV439&gt;16,IV439-16,0)*3+IF(IV439&gt;17,IV439-17,0)*3+IF(IV439&gt;18,IV439-18,0)*3+IF(IV439&gt;19,IV439-19,0)*3+IF(IV439&gt;20,IV439-20,0)*3</f>
        <v>263.30769230769232</v>
      </c>
      <c r="IZ439" s="244">
        <f>IF(IW439&lt;=0,3,0)+IF(IW439&gt;0,IW439+1,0)*3+IF(IW439&gt;12,IW439-12,0)*3+IF(IW439&gt;13,IW439-13,0)*3+IF(IW439&gt;14,IW439-14,0)*3+IF(IW439&gt;15,IW439-15,0)*3+IF(IW439&gt;16,IW439-16,0)*3+IF(IW439&gt;17,IW439-17,0)*3+IF(IW439&gt;18,IW439-18,0)*3+IF(IW439&gt;19,IW439-19,0)*3+IF(IW439&gt;20,IW439-20,0)*3</f>
        <v>3</v>
      </c>
      <c r="JA439" s="245">
        <f t="shared" si="4748"/>
        <v>260.30769230769232</v>
      </c>
      <c r="JB439" s="246">
        <f t="shared" si="4749"/>
        <v>0</v>
      </c>
      <c r="JE439" s="148"/>
    </row>
    <row r="440" spans="1:265" ht="15" hidden="1" customHeight="1" outlineLevel="1" collapsed="1">
      <c r="B440" s="134" t="s">
        <v>321</v>
      </c>
      <c r="C440" s="307" t="s">
        <v>281</v>
      </c>
      <c r="D440" s="84" t="s">
        <v>279</v>
      </c>
      <c r="E440" s="84" t="s">
        <v>280</v>
      </c>
      <c r="Y440" s="251"/>
      <c r="Z440" s="197"/>
      <c r="AF440" s="83" t="s">
        <v>281</v>
      </c>
      <c r="AG440" s="84" t="s">
        <v>279</v>
      </c>
      <c r="AH440" s="84" t="s">
        <v>280</v>
      </c>
      <c r="BB440" s="197"/>
      <c r="BC440" s="197"/>
      <c r="BI440" s="307" t="s">
        <v>281</v>
      </c>
      <c r="BJ440" s="308" t="s">
        <v>279</v>
      </c>
      <c r="BK440" s="308" t="s">
        <v>280</v>
      </c>
      <c r="CE440" s="251"/>
      <c r="CF440" s="251"/>
      <c r="CL440" s="307" t="s">
        <v>281</v>
      </c>
      <c r="CM440" s="308" t="s">
        <v>279</v>
      </c>
      <c r="CN440" s="308" t="s">
        <v>280</v>
      </c>
      <c r="DH440" s="251"/>
      <c r="DI440" s="251"/>
      <c r="DO440" s="307" t="s">
        <v>281</v>
      </c>
      <c r="DP440" s="308" t="s">
        <v>279</v>
      </c>
      <c r="DQ440" s="308" t="s">
        <v>280</v>
      </c>
      <c r="EK440" s="251"/>
      <c r="EL440" s="251"/>
      <c r="ER440" s="307" t="s">
        <v>281</v>
      </c>
      <c r="ES440" s="308" t="s">
        <v>279</v>
      </c>
      <c r="ET440" s="308" t="s">
        <v>280</v>
      </c>
      <c r="FN440" s="251"/>
      <c r="FO440" s="251"/>
      <c r="FU440" s="307" t="s">
        <v>281</v>
      </c>
      <c r="FV440" s="308" t="s">
        <v>279</v>
      </c>
      <c r="FW440" s="308" t="s">
        <v>280</v>
      </c>
      <c r="GQ440" s="251"/>
      <c r="GR440" s="251"/>
      <c r="GX440" s="307" t="s">
        <v>281</v>
      </c>
      <c r="GY440" s="308" t="s">
        <v>279</v>
      </c>
      <c r="GZ440" s="308" t="s">
        <v>280</v>
      </c>
      <c r="HT440" s="251"/>
      <c r="HU440" s="251"/>
      <c r="IA440" s="307" t="s">
        <v>281</v>
      </c>
      <c r="IB440" s="308" t="s">
        <v>279</v>
      </c>
      <c r="IC440" s="308" t="s">
        <v>280</v>
      </c>
      <c r="IW440" s="251"/>
      <c r="IX440" s="251"/>
      <c r="JE440" s="148"/>
    </row>
    <row r="441" spans="1:265" ht="15" hidden="1" customHeight="1" outlineLevel="2">
      <c r="B441" s="148">
        <v>1</v>
      </c>
      <c r="C441" s="323" t="e">
        <f>VLOOKUP(AF441,Attribute!C:T,1,FALSE)</f>
        <v>#N/A</v>
      </c>
      <c r="D441" s="85" t="s">
        <v>86</v>
      </c>
      <c r="E441" s="116" t="s">
        <v>132</v>
      </c>
      <c r="F441" s="191">
        <f>Konvention_1master-MUmaster</f>
        <v>12</v>
      </c>
      <c r="G441" s="118"/>
      <c r="H441" s="118">
        <f>Konvention_1master-INmaster</f>
        <v>12</v>
      </c>
      <c r="I441" s="118">
        <f>Konvention_1master-CHmaster</f>
        <v>12</v>
      </c>
      <c r="J441" s="118"/>
      <c r="K441" s="118"/>
      <c r="L441" s="118"/>
      <c r="M441" s="92"/>
      <c r="N441" s="220">
        <f>(F441+G441+H441+I441+J441+K441+L441+M441)/3</f>
        <v>12</v>
      </c>
      <c r="O441" s="220">
        <f>2*N441</f>
        <v>24</v>
      </c>
      <c r="P441" s="233">
        <f>3*N441</f>
        <v>36</v>
      </c>
      <c r="Q441" s="236">
        <f>F441*POWER(KLmaster,SIGN(G441))*POWER(INmaster,SIGN(H441))*POWER(CHmaster,SIGN(I441))*POWER(FFmaster,SIGN(J441))*POWER(GEmaster,SIGN(K441))*POWER(KOmaster,SIGN(L441))*POWER(KKmaster,SIGN(M441))+G441*POWER(MUmaster,SIGN(F441))*POWER(INmaster,SIGN(H441))*POWER(CHmaster,SIGN(I441))*POWER(FFmaster,SIGN(J441))*POWER(GEmaster,SIGN(K441))*POWER(KOmaster,SIGN(L441))*POWER(KKmaster,SIGN(M441))+H441*POWER(MUmaster,SIGN(F441))*POWER(KLmaster,SIGN(G441))*POWER(CHmaster,SIGN(I441))*POWER(FFmaster,SIGN(J441))*POWER(GEmaster,SIGN(K441))*POWER(KOmaster,SIGN(L441))*POWER(KKmaster,SIGN(M441))+I441*POWER(MUmaster,SIGN(F441))*POWER(KLmaster,SIGN(G441))*POWER(INmaster,SIGN(H441))*POWER(FFmaster,SIGN(J441))*POWER(GEmaster,SIGN(K441))*POWER(KOmaster,SIGN(L441))*POWER(KKmaster,SIGN(M441))+J441*POWER(MUmaster,SIGN(F441))*POWER(KLmaster,SIGN(G441))*POWER(INmaster,SIGN(H441))*POWER(CHmaster,SIGN(I441))*POWER(GEmaster,SIGN(K441))*POWER(KOmaster,SIGN(L441))*POWER(KKmaster,SIGN(M441))+K441*POWER(MUmaster,SIGN(F441))*POWER(KLmaster,SIGN(G441))*POWER(INmaster,SIGN(H441))*POWER(CHmaster,SIGN(I441))*POWER(FFmaster,SIGN(J441))*POWER(KOmaster,SIGN(L441))*POWER(KKmaster,SIGN(M441))+L441*POWER(MUmaster,SIGN(F441))*POWER(KLmaster,SIGN(G441))*POWER(INmaster,SIGN(H441))*POWER(CHmaster,SIGN(I441))*POWER(FFmaster,SIGN(J441))*POWER(GEmaster,SIGN(K441))*POWER(KKmaster,SIGN(M441))+M441*POWER(MUmaster,SIGN(F441))*POWER(KLmaster,SIGN(G441))*POWER(INmaster,SIGN(H441))*POWER(CHmaster,SIGN(I441))*POWER(FFmaster,SIGN(J441))*POWER(GEmaster,SIGN(K441))*POWER(KOmaster,SIGN(L441))</f>
        <v>2304</v>
      </c>
      <c r="R441" s="118">
        <f>F441*H441*CHmaster+F441*INmaster*I441+MUmaster*H441*I441</f>
        <v>3456</v>
      </c>
      <c r="S441" s="221">
        <f>IFERROR(F441^SIGN(F441),1)*IFERROR(G441^SIGN(G441),1)*IFERROR(H441^SIGN(H441),1)*IFERROR(I441^SIGN(I441),1)*IFERROR(J441^SIGN(J441),1)*IFERROR(K441^SIGN(K441),1)*IFERROR(L441^SIGN(L441),1)*IFERROR(M441^SIGN(M441),1)</f>
        <v>1728</v>
      </c>
      <c r="T441" s="78">
        <f>SUM(Q441:S441)</f>
        <v>7488</v>
      </c>
      <c r="U441" s="219">
        <f>N441*Q441/T441</f>
        <v>3.6923076923076925</v>
      </c>
      <c r="V441" s="220">
        <f>O441*R441/T441</f>
        <v>11.076923076923077</v>
      </c>
      <c r="W441" s="241">
        <f>P441*S441/T441</f>
        <v>8.3076923076923084</v>
      </c>
      <c r="X441" s="241">
        <f>SUM(U441:W441)</f>
        <v>23.07692307692308</v>
      </c>
      <c r="Y441" s="252">
        <v>0</v>
      </c>
      <c r="Z441" s="198">
        <f>X441-Y441</f>
        <v>23.07692307692308</v>
      </c>
      <c r="AA441" s="158">
        <f>IF(X441&lt;=0,2,0)+IF(X441&gt;0,X441+1,0)*2+IF(X441&gt;12,X441-12,0)*2+IF(X441&gt;13,X441-13,0)*2+IF(X441&gt;14,X441-14,0)*2+IF(X441&gt;15,X441-15,0)*2+IF(X441&gt;16,X441-16,0)*2+IF(X441&gt;17,X441-17,0)*2+IF(X441&gt;18,X441-18,0)*2+IF(X441&gt;19,X441-19,0)*2+IF(X441&gt;20,X441-20,0)*2</f>
        <v>175.5384615384616</v>
      </c>
      <c r="AB441" s="91">
        <f>IF(Y441&lt;=0,2,0)+IF(Y441&gt;0,Y441+1,0)*2+IF(Y441&gt;12,Y441-12,0)*2+IF(Y441&gt;13,Y441-13,0)*2+IF(Y441&gt;14,Y441-14,0)*2+IF(Y441&gt;15,Y441-15,0)*2+IF(Y441&gt;16,Y441-16,0)*2+IF(Y441&gt;17,Y441-17,0)*2+IF(Y441&gt;18,Y441-18,0)*2+IF(Y441&gt;19,Y441-19,0)*2+IF(Y441&gt;20,Y441-20,0)*2</f>
        <v>2</v>
      </c>
      <c r="AC441" s="126">
        <f>IF((AA441-AB441)&gt;0,AA441-AB441,0)</f>
        <v>173.5384615384616</v>
      </c>
      <c r="AD441" s="158">
        <f>IF((AB441-AA441)&gt;0,AB441-AA441,0)</f>
        <v>0</v>
      </c>
      <c r="AF441" s="176" t="s">
        <v>239</v>
      </c>
      <c r="AG441" s="158" t="s">
        <v>86</v>
      </c>
      <c r="AH441" s="116" t="s">
        <v>132</v>
      </c>
      <c r="AI441" s="191">
        <f>Konvention_1slave-MUslave_MU</f>
        <v>11</v>
      </c>
      <c r="AJ441" s="118"/>
      <c r="AK441" s="118">
        <f>Konvention_1slave-INslave</f>
        <v>12</v>
      </c>
      <c r="AL441" s="118">
        <f>Konvention_1slave-CHslave</f>
        <v>12</v>
      </c>
      <c r="AM441" s="118"/>
      <c r="AN441" s="118"/>
      <c r="AO441" s="118"/>
      <c r="AP441" s="92"/>
      <c r="AQ441" s="116">
        <f>(AI441+AJ441+AK441+AL441+AM441+AN441+AO441+AP441)/3</f>
        <v>11.666666666666666</v>
      </c>
      <c r="AR441" s="116">
        <f>2*AQ441</f>
        <v>23.333333333333332</v>
      </c>
      <c r="AS441" s="118">
        <f>3*AQ441</f>
        <v>35</v>
      </c>
      <c r="AT441" s="191">
        <f>AI441*POWER(KLslave,SIGN(AJ441))*POWER(INslave,SIGN(AK441))*POWER(CHslave,SIGN(AL441))*POWER(FFslave,SIGN(AM441))*POWER(GEslave,SIGN(AN441))*POWER(KOslave,SIGN(AO441))*POWER(KKslave,SIGN(AP441))+AJ441*POWER(MUslave_MU,SIGN(AI441))*POWER(INslave,SIGN(AK441))*POWER(CHslave,SIGN(AL441))*POWER(FFslave,SIGN(AM441))*POWER(GEslave,SIGN(AN441))*POWER(KOslave,SIGN(AO441))*POWER(KKslave,SIGN(AP441))+AK441*POWER(MUslave_MU,SIGN(AI441))*POWER(KLslave,SIGN(AJ441))*POWER(CHslave,SIGN(AL441))*POWER(FFslave,SIGN(AM441))*POWER(GEslave,SIGN(AN441))*POWER(KOslave,SIGN(AO441))*POWER(KKslave,SIGN(AP441))+AL441*POWER(MUslave_MU,SIGN(AI441))*POWER(KLslave,SIGN(AJ441))*POWER(INslave,SIGN(AK441))*POWER(FFslave,SIGN(AM441))*POWER(GEslave,SIGN(AN441))*POWER(KOslave,SIGN(AO441))*POWER(KKslave,SIGN(AP441))+AM441*POWER(MUslave_MU,SIGN(AI441))*POWER(KLslave,SIGN(AJ441))*POWER(INslave,SIGN(AK441))*POWER(CHslave,SIGN(AL441))*POWER(GEslave,SIGN(AN441))*POWER(KOslave,SIGN(AO441))*POWER(KKslave,SIGN(AP441))+AN441*POWER(MUslave_MU,SIGN(AI441))*POWER(KLslave,SIGN(AJ441))*POWER(INslave,SIGN(AK441))*POWER(CHslave,SIGN(AL441))*POWER(FFslave,SIGN(AM441))*POWER(KOslave,SIGN(AO441))*POWER(KKslave,SIGN(AP441))+AO441*POWER(MUslave_MU,SIGN(AI441))*POWER(KLslave,SIGN(AJ441))*POWER(INslave,SIGN(AK441))*POWER(CHslave,SIGN(AL441))*POWER(FFslave,SIGN(AM441))*POWER(GEslave,SIGN(AN441))*POWER(KKslave,SIGN(AP441))+AP441*POWER(MUslave_MU,SIGN(AI441))*POWER(KLslave,SIGN(AJ441))*POWER(INslave,SIGN(AK441))*POWER(CHslave,SIGN(AL441))*POWER(FFslave,SIGN(AM441))*POWER(GEslave,SIGN(AN441))*POWER(KOslave,SIGN(AO441))</f>
        <v>2432</v>
      </c>
      <c r="AU441" s="118">
        <f>AI441*AK441*CHslave+AI441*INslave*AL441+MUslave_MU*AK441*AL441</f>
        <v>3408</v>
      </c>
      <c r="AV441" s="92">
        <f>IFERROR(AI441^SIGN(AI441),1)*IFERROR(AJ441^SIGN(AJ441),1)*IFERROR(AK441^SIGN(AK441),1)*IFERROR(AL441^SIGN(AL441),1)*IFERROR(AM441^SIGN(AM441),1)*IFERROR(AN441^SIGN(AN441),1)*IFERROR(AO441^SIGN(AO441),1)*IFERROR(AP441^SIGN(AP441),1)</f>
        <v>1584</v>
      </c>
      <c r="AW441" s="91">
        <f>SUM(AT441:AV441)</f>
        <v>7424</v>
      </c>
      <c r="AX441" s="193">
        <f>AQ441*AT441/AW441</f>
        <v>3.8218390804597702</v>
      </c>
      <c r="AY441" s="116">
        <f>AR441*AU441/AW441</f>
        <v>10.711206896551724</v>
      </c>
      <c r="AZ441" s="126">
        <f>AS441*AV441/AW441</f>
        <v>7.4676724137931032</v>
      </c>
      <c r="BA441" s="126">
        <f>SUM(AX441:AZ441)</f>
        <v>22.000718390804597</v>
      </c>
      <c r="BB441" s="165">
        <f t="shared" ref="BB441:BB444" si="4750">Y441</f>
        <v>0</v>
      </c>
      <c r="BC441" s="198">
        <f>BA441-BB441</f>
        <v>22.000718390804597</v>
      </c>
      <c r="BD441" s="158">
        <f>IF(BA441&lt;=0,2,0)+IF(BA441&gt;0,BA441+1,0)*2+IF(BA441&gt;12,BA441-12,0)*2+IF(BA441&gt;13,BA441-13,0)*2+IF(BA441&gt;14,BA441-14,0)*2+IF(BA441&gt;15,BA441-15,0)*2+IF(BA441&gt;16,BA441-16,0)*2+IF(BA441&gt;17,BA441-17,0)*2+IF(BA441&gt;18,BA441-18,0)*2+IF(BA441&gt;19,BA441-19,0)*2+IF(BA441&gt;20,BA441-20,0)*2</f>
        <v>154.01436781609189</v>
      </c>
      <c r="BE441" s="91">
        <f>IF(BB441&lt;=0,2,0)+IF(BB441&gt;0,BB441+1,0)*2+IF(BB441&gt;12,BB441-12,0)*2+IF(BB441&gt;13,BB441-13,0)*2+IF(BB441&gt;14,BB441-14,0)*2+IF(BB441&gt;15,BB441-15,0)*2+IF(BB441&gt;16,BB441-16,0)*2+IF(BB441&gt;17,BB441-17,0)*2+IF(BB441&gt;18,BB441-18,0)*2+IF(BB441&gt;19,BB441-19,0)*2+IF(BB441&gt;20,BB441-20,0)*2</f>
        <v>2</v>
      </c>
      <c r="BF441" s="241">
        <f>IF((BD441-BE441)&gt;0,BD441-BE441,0)</f>
        <v>152.01436781609189</v>
      </c>
      <c r="BG441" s="42">
        <f>IF((BE441-BD441)&gt;0,BE441-BD441,0)</f>
        <v>0</v>
      </c>
      <c r="BI441" s="323" t="s">
        <v>239</v>
      </c>
      <c r="BJ441" s="42" t="s">
        <v>86</v>
      </c>
      <c r="BK441" s="220" t="s">
        <v>132</v>
      </c>
      <c r="BL441" s="236">
        <f>Konvention_1slave-MUslave</f>
        <v>12</v>
      </c>
      <c r="BM441" s="233"/>
      <c r="BN441" s="233">
        <f>Konvention_1slave-INslave</f>
        <v>12</v>
      </c>
      <c r="BO441" s="233">
        <f>Konvention_1slave-CHslave</f>
        <v>12</v>
      </c>
      <c r="BP441" s="233"/>
      <c r="BQ441" s="233"/>
      <c r="BR441" s="233"/>
      <c r="BS441" s="221"/>
      <c r="BT441" s="220">
        <f>(BL441+BM441+BN441+BO441+BP441+BQ441+BR441+BS441)/3</f>
        <v>12</v>
      </c>
      <c r="BU441" s="220">
        <f>2*BT441</f>
        <v>24</v>
      </c>
      <c r="BV441" s="233">
        <f>3*BT441</f>
        <v>36</v>
      </c>
      <c r="BW441" s="236">
        <f>BL441*POWER(KLslave_KL,SIGN(BM441))*POWER(INslave,SIGN(BN441))*POWER(CHslave,SIGN(BO441))*POWER(FFslave,SIGN(BP441))*POWER(GEslave,SIGN(BQ441))*POWER(KOslave,SIGN(BR441))*POWER(KKslave,SIGN(BS441))+BM441*POWER(MUslave,SIGN(BL441))*POWER(INslave,SIGN(BN441))*POWER(CHslave,SIGN(BO441))*POWER(FFslave,SIGN(BP441))*POWER(GEslave,SIGN(BQ441))*POWER(KOslave,SIGN(BR441))*POWER(KKslave,SIGN(BS441))+BN441*POWER(MUslave,SIGN(BL441))*POWER(KLslave_KL,SIGN(BM441))*POWER(CHslave,SIGN(BO441))*POWER(FFslave,SIGN(BP441))*POWER(GEslave,SIGN(BQ441))*POWER(KOslave,SIGN(BR441))*POWER(KKslave,SIGN(BS441))+BO441*POWER(MUslave,SIGN(BL441))*POWER(KLslave_KL,SIGN(BM441))*POWER(INslave,SIGN(BN441))*POWER(FFslave,SIGN(BP441))*POWER(GEslave,SIGN(BQ441))*POWER(KOslave,SIGN(BR441))*POWER(KKslave,SIGN(BS441))+BP441*POWER(MUslave,SIGN(BL441))*POWER(KLslave_KL,SIGN(BM441))*POWER(INslave,SIGN(BN441))*POWER(CHslave,SIGN(BO441))*POWER(GEslave,SIGN(BQ441))*POWER(KOslave,SIGN(BR441))*POWER(KKslave,SIGN(BS441))+BQ441*POWER(MUslave,SIGN(BL441))*POWER(KLslave_KL,SIGN(BM441))*POWER(INslave,SIGN(BN441))*POWER(CHslave,SIGN(BO441))*POWER(FFslave,SIGN(BP441))*POWER(KOslave,SIGN(BR441))*POWER(KKslave,SIGN(BS441))+BR441*POWER(MUslave,SIGN(BL441))*POWER(KLslave_KL,SIGN(BM441))*POWER(INslave,SIGN(BN441))*POWER(CHslave,SIGN(BO441))*POWER(FFslave,SIGN(BP441))*POWER(GEslave,SIGN(BQ441))*POWER(KKslave,SIGN(BS441))+BS441*POWER(MUslave,SIGN(BL441))*POWER(KLslave_KL,SIGN(BM441))*POWER(INslave,SIGN(BN441))*POWER(CHslave,SIGN(BO441))*POWER(FFslave,SIGN(BP441))*POWER(GEslave,SIGN(BQ441))*POWER(KOslave,SIGN(BR441))</f>
        <v>2304</v>
      </c>
      <c r="BX441" s="233">
        <f>BL441*BN441*CHslave+BL441*INslave*BO441+MUslave*BN441*BO441</f>
        <v>3456</v>
      </c>
      <c r="BY441" s="221">
        <f>IFERROR(BL441^SIGN(BL441),1)*IFERROR(BM441^SIGN(BM441),1)*IFERROR(BN441^SIGN(BN441),1)*IFERROR(BO441^SIGN(BO441),1)*IFERROR(BP441^SIGN(BP441),1)*IFERROR(BQ441^SIGN(BQ441),1)*IFERROR(BR441^SIGN(BR441),1)*IFERROR(BS441^SIGN(BS441),1)</f>
        <v>1728</v>
      </c>
      <c r="BZ441" s="78">
        <f>SUM(BW441:BY441)</f>
        <v>7488</v>
      </c>
      <c r="CA441" s="219">
        <f>BT441*BW441/BZ441</f>
        <v>3.6923076923076925</v>
      </c>
      <c r="CB441" s="220">
        <f>BU441*BX441/BZ441</f>
        <v>11.076923076923077</v>
      </c>
      <c r="CC441" s="241">
        <f>BV441*BY441/BZ441</f>
        <v>8.3076923076923084</v>
      </c>
      <c r="CD441" s="241">
        <f>SUM(CA441:CC441)</f>
        <v>23.07692307692308</v>
      </c>
      <c r="CE441" s="252">
        <f t="shared" ref="CE441:CE444" si="4751">BB441</f>
        <v>0</v>
      </c>
      <c r="CF441" s="309">
        <f>CD441-CE441</f>
        <v>23.07692307692308</v>
      </c>
      <c r="CG441" s="42">
        <f>IF(CD441&lt;=0,2,0)+IF(CD441&gt;0,CD441+1,0)*2+IF(CD441&gt;12,CD441-12,0)*2+IF(CD441&gt;13,CD441-13,0)*2+IF(CD441&gt;14,CD441-14,0)*2+IF(CD441&gt;15,CD441-15,0)*2+IF(CD441&gt;16,CD441-16,0)*2+IF(CD441&gt;17,CD441-17,0)*2+IF(CD441&gt;18,CD441-18,0)*2+IF(CD441&gt;19,CD441-19,0)*2+IF(CD441&gt;20,CD441-20,0)*2</f>
        <v>175.5384615384616</v>
      </c>
      <c r="CH441" s="78">
        <f>IF(CE441&lt;=0,2,0)+IF(CE441&gt;0,CE441+1,0)*2+IF(CE441&gt;12,CE441-12,0)*2+IF(CE441&gt;13,CE441-13,0)*2+IF(CE441&gt;14,CE441-14,0)*2+IF(CE441&gt;15,CE441-15,0)*2+IF(CE441&gt;16,CE441-16,0)*2+IF(CE441&gt;17,CE441-17,0)*2+IF(CE441&gt;18,CE441-18,0)*2+IF(CE441&gt;19,CE441-19,0)*2+IF(CE441&gt;20,CE441-20,0)*2</f>
        <v>2</v>
      </c>
      <c r="CI441" s="241">
        <f>IF((CG441-CH441)&gt;0,CG441-CH441,0)</f>
        <v>173.5384615384616</v>
      </c>
      <c r="CJ441" s="42">
        <f>IF((CH441-CG441)&gt;0,CH441-CG441,0)</f>
        <v>0</v>
      </c>
      <c r="CL441" s="323" t="s">
        <v>239</v>
      </c>
      <c r="CM441" s="42" t="s">
        <v>86</v>
      </c>
      <c r="CN441" s="220" t="s">
        <v>132</v>
      </c>
      <c r="CO441" s="236">
        <f>Konvention_1slave-MUslave</f>
        <v>12</v>
      </c>
      <c r="CP441" s="233"/>
      <c r="CQ441" s="233">
        <f>Konvention_1slave-INslave_IN</f>
        <v>11</v>
      </c>
      <c r="CR441" s="233">
        <f>Konvention_1slave-CHslave</f>
        <v>12</v>
      </c>
      <c r="CS441" s="233"/>
      <c r="CT441" s="233"/>
      <c r="CU441" s="233"/>
      <c r="CV441" s="221"/>
      <c r="CW441" s="220">
        <f>(CO441+CP441+CQ441+CR441+CS441+CT441+CU441+CV441)/3</f>
        <v>11.666666666666666</v>
      </c>
      <c r="CX441" s="220">
        <f>2*CW441</f>
        <v>23.333333333333332</v>
      </c>
      <c r="CY441" s="233">
        <f>3*CW441</f>
        <v>35</v>
      </c>
      <c r="CZ441" s="236">
        <f>CO441*POWER(KLslave,SIGN(CP441))*POWER(INslave_IN,SIGN(CQ441))*POWER(CHslave,SIGN(CR441))*POWER(FFslave,SIGN(CS441))*POWER(GEslave,SIGN(CT441))*POWER(KOslave,SIGN(CU441))*POWER(KKslave,SIGN(CV441))+CP441*POWER(MUslave,SIGN(CO441))*POWER(INslave_IN,SIGN(CQ441))*POWER(CHslave,SIGN(CR441))*POWER(FFslave,SIGN(CS441))*POWER(GEslave,SIGN(CT441))*POWER(KOslave,SIGN(CU441))*POWER(KKslave,SIGN(CV441))+CQ441*POWER(MUslave,SIGN(CO441))*POWER(KLslave,SIGN(CP441))*POWER(CHslave,SIGN(CR441))*POWER(FFslave,SIGN(CS441))*POWER(GEslave,SIGN(CT441))*POWER(KOslave,SIGN(CU441))*POWER(KKslave,SIGN(CV441))+CR441*POWER(MUslave,SIGN(CO441))*POWER(KLslave,SIGN(CP441))*POWER(INslave_IN,SIGN(CQ441))*POWER(FFslave,SIGN(CS441))*POWER(GEslave,SIGN(CT441))*POWER(KOslave,SIGN(CU441))*POWER(KKslave,SIGN(CV441))+CS441*POWER(MUslave,SIGN(CO441))*POWER(KLslave,SIGN(CP441))*POWER(INslave_IN,SIGN(CQ441))*POWER(CHslave,SIGN(CR441))*POWER(GEslave,SIGN(CT441))*POWER(KOslave,SIGN(CU441))*POWER(KKslave,SIGN(CV441))+CT441*POWER(MUslave,SIGN(CO441))*POWER(KLslave,SIGN(CP441))*POWER(INslave_IN,SIGN(CQ441))*POWER(CHslave,SIGN(CR441))*POWER(FFslave,SIGN(CS441))*POWER(KOslave,SIGN(CU441))*POWER(KKslave,SIGN(CV441))+CU441*POWER(MUslave,SIGN(CO441))*POWER(KLslave,SIGN(CP441))*POWER(INslave_IN,SIGN(CQ441))*POWER(CHslave,SIGN(CR441))*POWER(FFslave,SIGN(CS441))*POWER(GEslave,SIGN(CT441))*POWER(KKslave,SIGN(CV441))+CV441*POWER(MUslave,SIGN(CO441))*POWER(KLslave,SIGN(CP441))*POWER(INslave_IN,SIGN(CQ441))*POWER(CHslave,SIGN(CR441))*POWER(FFslave,SIGN(CS441))*POWER(GEslave,SIGN(CT441))*POWER(KOslave,SIGN(CU441))</f>
        <v>2432</v>
      </c>
      <c r="DA441" s="233">
        <f>CO441*CQ441*CHslave+CO441*INslave_IN*CR441+MUslave*CQ441*CR441</f>
        <v>3408</v>
      </c>
      <c r="DB441" s="221">
        <f>IFERROR(CO441^SIGN(CO441),1)*IFERROR(CP441^SIGN(CP441),1)*IFERROR(CQ441^SIGN(CQ441),1)*IFERROR(CR441^SIGN(CR441),1)*IFERROR(CS441^SIGN(CS441),1)*IFERROR(CT441^SIGN(CT441),1)*IFERROR(CU441^SIGN(CU441),1)*IFERROR(CV441^SIGN(CV441),1)</f>
        <v>1584</v>
      </c>
      <c r="DC441" s="78">
        <f>SUM(CZ441:DB441)</f>
        <v>7424</v>
      </c>
      <c r="DD441" s="219">
        <f>CW441*CZ441/DC441</f>
        <v>3.8218390804597702</v>
      </c>
      <c r="DE441" s="220">
        <f>CX441*DA441/DC441</f>
        <v>10.711206896551724</v>
      </c>
      <c r="DF441" s="241">
        <f>CY441*DB441/DC441</f>
        <v>7.4676724137931032</v>
      </c>
      <c r="DG441" s="241">
        <f>SUM(DD441:DF441)</f>
        <v>22.000718390804597</v>
      </c>
      <c r="DH441" s="252">
        <f t="shared" ref="DH441:DH444" si="4752">CE441</f>
        <v>0</v>
      </c>
      <c r="DI441" s="309">
        <f>DG441-DH441</f>
        <v>22.000718390804597</v>
      </c>
      <c r="DJ441" s="42">
        <f>IF(DG441&lt;=0,2,0)+IF(DG441&gt;0,DG441+1,0)*2+IF(DG441&gt;12,DG441-12,0)*2+IF(DG441&gt;13,DG441-13,0)*2+IF(DG441&gt;14,DG441-14,0)*2+IF(DG441&gt;15,DG441-15,0)*2+IF(DG441&gt;16,DG441-16,0)*2+IF(DG441&gt;17,DG441-17,0)*2+IF(DG441&gt;18,DG441-18,0)*2+IF(DG441&gt;19,DG441-19,0)*2+IF(DG441&gt;20,DG441-20,0)*2</f>
        <v>154.01436781609189</v>
      </c>
      <c r="DK441" s="78">
        <f>IF(DH441&lt;=0,2,0)+IF(DH441&gt;0,DH441+1,0)*2+IF(DH441&gt;12,DH441-12,0)*2+IF(DH441&gt;13,DH441-13,0)*2+IF(DH441&gt;14,DH441-14,0)*2+IF(DH441&gt;15,DH441-15,0)*2+IF(DH441&gt;16,DH441-16,0)*2+IF(DH441&gt;17,DH441-17,0)*2+IF(DH441&gt;18,DH441-18,0)*2+IF(DH441&gt;19,DH441-19,0)*2+IF(DH441&gt;20,DH441-20,0)*2</f>
        <v>2</v>
      </c>
      <c r="DL441" s="241">
        <f>IF((DJ441-DK441)&gt;0,DJ441-DK441,0)</f>
        <v>152.01436781609189</v>
      </c>
      <c r="DM441" s="42">
        <f>IF((DK441-DJ441)&gt;0,DK441-DJ441,0)</f>
        <v>0</v>
      </c>
      <c r="DO441" s="323" t="s">
        <v>239</v>
      </c>
      <c r="DP441" s="42" t="s">
        <v>86</v>
      </c>
      <c r="DQ441" s="220" t="s">
        <v>132</v>
      </c>
      <c r="DR441" s="236">
        <f>Konvention_1slave-MUslave</f>
        <v>12</v>
      </c>
      <c r="DS441" s="233"/>
      <c r="DT441" s="233">
        <f>Konvention_1slave-INslave</f>
        <v>12</v>
      </c>
      <c r="DU441" s="233">
        <f>Konvention_1slave-CHslave_CH</f>
        <v>11</v>
      </c>
      <c r="DV441" s="233"/>
      <c r="DW441" s="233"/>
      <c r="DX441" s="233"/>
      <c r="DY441" s="221"/>
      <c r="DZ441" s="220">
        <f>(DR441+DS441+DT441+DU441+DV441+DW441+DX441+DY441)/3</f>
        <v>11.666666666666666</v>
      </c>
      <c r="EA441" s="220">
        <f>2*DZ441</f>
        <v>23.333333333333332</v>
      </c>
      <c r="EB441" s="233">
        <f>3*DZ441</f>
        <v>35</v>
      </c>
      <c r="EC441" s="236">
        <f>DR441*POWER(KLslave,SIGN(DS441))*POWER(INslave,SIGN(DT441))*POWER(CHslave_CH,SIGN(DU441))*POWER(FFslave,SIGN(DV441))*POWER(GEslave,SIGN(DW441))*POWER(KOslave,SIGN(DX441))*POWER(KKslave,SIGN(DY441))+DS441*POWER(MUslave,SIGN(DR441))*POWER(INslave,SIGN(DT441))*POWER(CHslave_CH,SIGN(DU441))*POWER(FFslave,SIGN(DV441))*POWER(GEslave,SIGN(DW441))*POWER(KOslave,SIGN(DX441))*POWER(KKslave,SIGN(DY441))+DT441*POWER(MUslave,SIGN(DR441))*POWER(KLslave,SIGN(DS441))*POWER(CHslave_CH,SIGN(DU441))*POWER(FFslave,SIGN(DV441))*POWER(GEslave,SIGN(DW441))*POWER(KOslave,SIGN(DX441))*POWER(KKslave,SIGN(DY441))+DU441*POWER(MUslave,SIGN(DR441))*POWER(KLslave,SIGN(DS441))*POWER(INslave,SIGN(DT441))*POWER(FFslave,SIGN(DV441))*POWER(GEslave,SIGN(DW441))*POWER(KOslave,SIGN(DX441))*POWER(KKslave,SIGN(DY441))+DV441*POWER(MUslave,SIGN(DR441))*POWER(KLslave,SIGN(DS441))*POWER(INslave,SIGN(DT441))*POWER(CHslave_CH,SIGN(DU441))*POWER(GEslave,SIGN(DW441))*POWER(KOslave,SIGN(DX441))*POWER(KKslave,SIGN(DY441))+DW441*POWER(MUslave,SIGN(DR441))*POWER(KLslave,SIGN(DS441))*POWER(INslave,SIGN(DT441))*POWER(CHslave_CH,SIGN(DU441))*POWER(FFslave,SIGN(DV441))*POWER(KOslave,SIGN(DX441))*POWER(KKslave,SIGN(DY441))+DX441*POWER(MUslave,SIGN(DR441))*POWER(KLslave,SIGN(DS441))*POWER(INslave,SIGN(DT441))*POWER(CHslave_CH,SIGN(DU441))*POWER(FFslave,SIGN(DV441))*POWER(GEslave,SIGN(DW441))*POWER(KKslave,SIGN(DY441))+DY441*POWER(MUslave,SIGN(DR441))*POWER(KLslave,SIGN(DS441))*POWER(INslave,SIGN(DT441))*POWER(CHslave_CH,SIGN(DU441))*POWER(FFslave,SIGN(DV441))*POWER(GEslave,SIGN(DW441))*POWER(KOslave,SIGN(DX441))</f>
        <v>2432</v>
      </c>
      <c r="ED441" s="233">
        <f>DR441*DT441*CHslave_CH+DR441*INslave*DU441+MUslave*DT441*DU441</f>
        <v>3408</v>
      </c>
      <c r="EE441" s="221">
        <f>IFERROR(DR441^SIGN(DR441),1)*IFERROR(DS441^SIGN(DS441),1)*IFERROR(DT441^SIGN(DT441),1)*IFERROR(DU441^SIGN(DU441),1)*IFERROR(DV441^SIGN(DV441),1)*IFERROR(DW441^SIGN(DW441),1)*IFERROR(DX441^SIGN(DX441),1)*IFERROR(DY441^SIGN(DY441),1)</f>
        <v>1584</v>
      </c>
      <c r="EF441" s="78">
        <f>SUM(EC441:EE441)</f>
        <v>7424</v>
      </c>
      <c r="EG441" s="219">
        <f>DZ441*EC441/EF441</f>
        <v>3.8218390804597702</v>
      </c>
      <c r="EH441" s="220">
        <f>EA441*ED441/EF441</f>
        <v>10.711206896551724</v>
      </c>
      <c r="EI441" s="241">
        <f>EB441*EE441/EF441</f>
        <v>7.4676724137931032</v>
      </c>
      <c r="EJ441" s="241">
        <f>SUM(EG441:EI441)</f>
        <v>22.000718390804597</v>
      </c>
      <c r="EK441" s="252">
        <f t="shared" ref="EK441:EK444" si="4753">DH441</f>
        <v>0</v>
      </c>
      <c r="EL441" s="309">
        <f>EJ441-EK441</f>
        <v>22.000718390804597</v>
      </c>
      <c r="EM441" s="42">
        <f>IF(EJ441&lt;=0,2,0)+IF(EJ441&gt;0,EJ441+1,0)*2+IF(EJ441&gt;12,EJ441-12,0)*2+IF(EJ441&gt;13,EJ441-13,0)*2+IF(EJ441&gt;14,EJ441-14,0)*2+IF(EJ441&gt;15,EJ441-15,0)*2+IF(EJ441&gt;16,EJ441-16,0)*2+IF(EJ441&gt;17,EJ441-17,0)*2+IF(EJ441&gt;18,EJ441-18,0)*2+IF(EJ441&gt;19,EJ441-19,0)*2+IF(EJ441&gt;20,EJ441-20,0)*2</f>
        <v>154.01436781609189</v>
      </c>
      <c r="EN441" s="78">
        <f>IF(EK441&lt;=0,2,0)+IF(EK441&gt;0,EK441+1,0)*2+IF(EK441&gt;12,EK441-12,0)*2+IF(EK441&gt;13,EK441-13,0)*2+IF(EK441&gt;14,EK441-14,0)*2+IF(EK441&gt;15,EK441-15,0)*2+IF(EK441&gt;16,EK441-16,0)*2+IF(EK441&gt;17,EK441-17,0)*2+IF(EK441&gt;18,EK441-18,0)*2+IF(EK441&gt;19,EK441-19,0)*2+IF(EK441&gt;20,EK441-20,0)*2</f>
        <v>2</v>
      </c>
      <c r="EO441" s="241">
        <f>IF((EM441-EN441)&gt;0,EM441-EN441,0)</f>
        <v>152.01436781609189</v>
      </c>
      <c r="EP441" s="42">
        <f>IF((EN441-EM441)&gt;0,EN441-EM441,0)</f>
        <v>0</v>
      </c>
      <c r="ER441" s="323" t="s">
        <v>239</v>
      </c>
      <c r="ES441" s="42" t="s">
        <v>86</v>
      </c>
      <c r="ET441" s="220" t="s">
        <v>132</v>
      </c>
      <c r="EU441" s="236">
        <f>Konvention_1slave-MUslave</f>
        <v>12</v>
      </c>
      <c r="EV441" s="233"/>
      <c r="EW441" s="233">
        <f>Konvention_1slave-INslave</f>
        <v>12</v>
      </c>
      <c r="EX441" s="233">
        <f>Konvention_1slave-CHslave</f>
        <v>12</v>
      </c>
      <c r="EY441" s="233"/>
      <c r="EZ441" s="233"/>
      <c r="FA441" s="233"/>
      <c r="FB441" s="221"/>
      <c r="FC441" s="220">
        <f>(EU441+EV441+EW441+EX441+EY441+EZ441+FA441+FB441)/3</f>
        <v>12</v>
      </c>
      <c r="FD441" s="220">
        <f>2*FC441</f>
        <v>24</v>
      </c>
      <c r="FE441" s="233">
        <f>3*FC441</f>
        <v>36</v>
      </c>
      <c r="FF441" s="236">
        <f>EU441*POWER(KLslave,SIGN(EV441))*POWER(INslave,SIGN(EW441))*POWER(CHslave,SIGN(EX441))*POWER(FFslave_FF,SIGN(EY441))*POWER(GEslave,SIGN(EZ441))*POWER(KOslave,SIGN(FA441))*POWER(KKslave,SIGN(FB441))+EV441*POWER(MUslave,SIGN(EU441))*POWER(INslave,SIGN(EW441))*POWER(CHslave,SIGN(EX441))*POWER(FFslave_FF,SIGN(EY441))*POWER(GEslave,SIGN(EZ441))*POWER(KOslave,SIGN(FA441))*POWER(KKslave,SIGN(FB441))+EW441*POWER(MUslave,SIGN(EU441))*POWER(KLslave,SIGN(EV441))*POWER(CHslave,SIGN(EX441))*POWER(FFslave_FF,SIGN(EY441))*POWER(GEslave,SIGN(EZ441))*POWER(KOslave,SIGN(FA441))*POWER(KKslave,SIGN(FB441))+EX441*POWER(MUslave,SIGN(EU441))*POWER(KLslave,SIGN(EV441))*POWER(INslave,SIGN(EW441))*POWER(FFslave_FF,SIGN(EY441))*POWER(GEslave,SIGN(EZ441))*POWER(KOslave,SIGN(FA441))*POWER(KKslave,SIGN(FB441))+EY441*POWER(MUslave,SIGN(EU441))*POWER(KLslave,SIGN(EV441))*POWER(INslave,SIGN(EW441))*POWER(CHslave,SIGN(EX441))*POWER(GEslave,SIGN(EZ441))*POWER(KOslave,SIGN(FA441))*POWER(KKslave,SIGN(FB441))+EZ441*POWER(MUslave,SIGN(EU441))*POWER(KLslave,SIGN(EV441))*POWER(INslave,SIGN(EW441))*POWER(CHslave,SIGN(EX441))*POWER(FFslave_FF,SIGN(EY441))*POWER(KOslave,SIGN(FA441))*POWER(KKslave,SIGN(FB441))+FA441*POWER(MUslave,SIGN(EU441))*POWER(KLslave,SIGN(EV441))*POWER(INslave,SIGN(EW441))*POWER(CHslave,SIGN(EX441))*POWER(FFslave_FF,SIGN(EY441))*POWER(GEslave,SIGN(EZ441))*POWER(KKslave,SIGN(FB441))+FB441*POWER(MUslave,SIGN(EU441))*POWER(KLslave,SIGN(EV441))*POWER(INslave,SIGN(EW441))*POWER(CHslave,SIGN(EX441))*POWER(FFslave_FF,SIGN(EY441))*POWER(GEslave,SIGN(EZ441))*POWER(KOslave,SIGN(FA441))</f>
        <v>2304</v>
      </c>
      <c r="FG441" s="233">
        <f>EU441*EW441*CHslave+EU441*INslave*EX441+MUslave*EW441*EX441</f>
        <v>3456</v>
      </c>
      <c r="FH441" s="221">
        <f>IFERROR(EU441^SIGN(EU441),1)*IFERROR(EV441^SIGN(EV441),1)*IFERROR(EW441^SIGN(EW441),1)*IFERROR(EX441^SIGN(EX441),1)*IFERROR(EY441^SIGN(EY441),1)*IFERROR(EZ441^SIGN(EZ441),1)*IFERROR(FA441^SIGN(FA441),1)*IFERROR(FB441^SIGN(FB441),1)</f>
        <v>1728</v>
      </c>
      <c r="FI441" s="78">
        <f>SUM(FF441:FH441)</f>
        <v>7488</v>
      </c>
      <c r="FJ441" s="219">
        <f>FC441*FF441/FI441</f>
        <v>3.6923076923076925</v>
      </c>
      <c r="FK441" s="220">
        <f>FD441*FG441/FI441</f>
        <v>11.076923076923077</v>
      </c>
      <c r="FL441" s="241">
        <f>FE441*FH441/FI441</f>
        <v>8.3076923076923084</v>
      </c>
      <c r="FM441" s="241">
        <f>SUM(FJ441:FL441)</f>
        <v>23.07692307692308</v>
      </c>
      <c r="FN441" s="252">
        <f t="shared" ref="FN441:FN444" si="4754">EK441</f>
        <v>0</v>
      </c>
      <c r="FO441" s="309">
        <f>FM441-FN441</f>
        <v>23.07692307692308</v>
      </c>
      <c r="FP441" s="42">
        <f>IF(FM441&lt;=0,2,0)+IF(FM441&gt;0,FM441+1,0)*2+IF(FM441&gt;12,FM441-12,0)*2+IF(FM441&gt;13,FM441-13,0)*2+IF(FM441&gt;14,FM441-14,0)*2+IF(FM441&gt;15,FM441-15,0)*2+IF(FM441&gt;16,FM441-16,0)*2+IF(FM441&gt;17,FM441-17,0)*2+IF(FM441&gt;18,FM441-18,0)*2+IF(FM441&gt;19,FM441-19,0)*2+IF(FM441&gt;20,FM441-20,0)*2</f>
        <v>175.5384615384616</v>
      </c>
      <c r="FQ441" s="78">
        <f>IF(FN441&lt;=0,2,0)+IF(FN441&gt;0,FN441+1,0)*2+IF(FN441&gt;12,FN441-12,0)*2+IF(FN441&gt;13,FN441-13,0)*2+IF(FN441&gt;14,FN441-14,0)*2+IF(FN441&gt;15,FN441-15,0)*2+IF(FN441&gt;16,FN441-16,0)*2+IF(FN441&gt;17,FN441-17,0)*2+IF(FN441&gt;18,FN441-18,0)*2+IF(FN441&gt;19,FN441-19,0)*2+IF(FN441&gt;20,FN441-20,0)*2</f>
        <v>2</v>
      </c>
      <c r="FR441" s="241">
        <f>IF((FP441-FQ441)&gt;0,FP441-FQ441,0)</f>
        <v>173.5384615384616</v>
      </c>
      <c r="FS441" s="42">
        <f>IF((FQ441-FP441)&gt;0,FQ441-FP441,0)</f>
        <v>0</v>
      </c>
      <c r="FU441" s="323" t="s">
        <v>239</v>
      </c>
      <c r="FV441" s="42" t="s">
        <v>86</v>
      </c>
      <c r="FW441" s="220" t="s">
        <v>132</v>
      </c>
      <c r="FX441" s="236">
        <f>Konvention_1slave-MUslave</f>
        <v>12</v>
      </c>
      <c r="FY441" s="233"/>
      <c r="FZ441" s="233">
        <f>Konvention_1slave-INslave</f>
        <v>12</v>
      </c>
      <c r="GA441" s="233">
        <f>Konvention_1slave-CHslave</f>
        <v>12</v>
      </c>
      <c r="GB441" s="233"/>
      <c r="GC441" s="233"/>
      <c r="GD441" s="233"/>
      <c r="GE441" s="221"/>
      <c r="GF441" s="220">
        <f>(FX441+FY441+FZ441+GA441+GB441+GC441+GD441+GE441)/3</f>
        <v>12</v>
      </c>
      <c r="GG441" s="220">
        <f>2*GF441</f>
        <v>24</v>
      </c>
      <c r="GH441" s="233">
        <f>3*GF441</f>
        <v>36</v>
      </c>
      <c r="GI441" s="236">
        <f>FX441*POWER(KLslave,SIGN(FY441))*POWER(INslave,SIGN(FZ441))*POWER(CHslave,SIGN(GA441))*POWER(FFslave,SIGN(GB441))*POWER(GEslave_GE,SIGN(GC441))*POWER(KOslave,SIGN(GD441))*POWER(KKslave,SIGN(GE441))+FY441*POWER(MUslave,SIGN(FX441))*POWER(INslave,SIGN(FZ441))*POWER(CHslave,SIGN(GA441))*POWER(FFslave,SIGN(GB441))*POWER(GEslave_GE,SIGN(GC441))*POWER(KOslave,SIGN(GD441))*POWER(KKslave,SIGN(GE441))+FZ441*POWER(MUslave,SIGN(FX441))*POWER(KLslave,SIGN(FY441))*POWER(CHslave,SIGN(GA441))*POWER(FFslave,SIGN(GB441))*POWER(GEslave_GE,SIGN(GC441))*POWER(KOslave,SIGN(GD441))*POWER(KKslave,SIGN(GE441))+GA441*POWER(MUslave,SIGN(FX441))*POWER(KLslave,SIGN(FY441))*POWER(INslave,SIGN(FZ441))*POWER(FFslave,SIGN(GB441))*POWER(GEslave_GE,SIGN(GC441))*POWER(KOslave,SIGN(GD441))*POWER(KKslave,SIGN(GE441))+GB441*POWER(MUslave,SIGN(FX441))*POWER(KLslave,SIGN(FY441))*POWER(INslave,SIGN(FZ441))*POWER(CHslave,SIGN(GA441))*POWER(GEslave_GE,SIGN(GC441))*POWER(KOslave,SIGN(GD441))*POWER(KKslave,SIGN(GE441))+GC441*POWER(MUslave,SIGN(FX441))*POWER(KLslave,SIGN(FY441))*POWER(INslave,SIGN(FZ441))*POWER(CHslave,SIGN(GA441))*POWER(FFslave,SIGN(GB441))*POWER(KOslave,SIGN(GD441))*POWER(KKslave,SIGN(GE441))+GD441*POWER(MUslave,SIGN(FX441))*POWER(KLslave,SIGN(FY441))*POWER(INslave,SIGN(FZ441))*POWER(CHslave,SIGN(GA441))*POWER(FFslave,SIGN(GB441))*POWER(GEslave_GE,SIGN(GC441))*POWER(KKslave,SIGN(GE441))+GE441*POWER(MUslave,SIGN(FX441))*POWER(KLslave,SIGN(FY441))*POWER(INslave,SIGN(FZ441))*POWER(CHslave,SIGN(GA441))*POWER(FFslave,SIGN(GB441))*POWER(GEslave_GE,SIGN(GC441))*POWER(KOslave,SIGN(GD441))</f>
        <v>2304</v>
      </c>
      <c r="GJ441" s="233">
        <f>FX441*FZ441*CHslave+FX441*INslave*GA441+MUslave*FZ441*GA441</f>
        <v>3456</v>
      </c>
      <c r="GK441" s="221">
        <f>IFERROR(FX441^SIGN(FX441),1)*IFERROR(FY441^SIGN(FY441),1)*IFERROR(FZ441^SIGN(FZ441),1)*IFERROR(GA441^SIGN(GA441),1)*IFERROR(GB441^SIGN(GB441),1)*IFERROR(GC441^SIGN(GC441),1)*IFERROR(GD441^SIGN(GD441),1)*IFERROR(GE441^SIGN(GE441),1)</f>
        <v>1728</v>
      </c>
      <c r="GL441" s="78">
        <f>SUM(GI441:GK441)</f>
        <v>7488</v>
      </c>
      <c r="GM441" s="219">
        <f>GF441*GI441/GL441</f>
        <v>3.6923076923076925</v>
      </c>
      <c r="GN441" s="220">
        <f>GG441*GJ441/GL441</f>
        <v>11.076923076923077</v>
      </c>
      <c r="GO441" s="241">
        <f>GH441*GK441/GL441</f>
        <v>8.3076923076923084</v>
      </c>
      <c r="GP441" s="241">
        <f>SUM(GM441:GO441)</f>
        <v>23.07692307692308</v>
      </c>
      <c r="GQ441" s="252">
        <f t="shared" ref="GQ441:GQ444" si="4755">FN441</f>
        <v>0</v>
      </c>
      <c r="GR441" s="309">
        <f>GP441-GQ441</f>
        <v>23.07692307692308</v>
      </c>
      <c r="GS441" s="42">
        <f>IF(GP441&lt;=0,2,0)+IF(GP441&gt;0,GP441+1,0)*2+IF(GP441&gt;12,GP441-12,0)*2+IF(GP441&gt;13,GP441-13,0)*2+IF(GP441&gt;14,GP441-14,0)*2+IF(GP441&gt;15,GP441-15,0)*2+IF(GP441&gt;16,GP441-16,0)*2+IF(GP441&gt;17,GP441-17,0)*2+IF(GP441&gt;18,GP441-18,0)*2+IF(GP441&gt;19,GP441-19,0)*2+IF(GP441&gt;20,GP441-20,0)*2</f>
        <v>175.5384615384616</v>
      </c>
      <c r="GT441" s="78">
        <f>IF(GQ441&lt;=0,2,0)+IF(GQ441&gt;0,GQ441+1,0)*2+IF(GQ441&gt;12,GQ441-12,0)*2+IF(GQ441&gt;13,GQ441-13,0)*2+IF(GQ441&gt;14,GQ441-14,0)*2+IF(GQ441&gt;15,GQ441-15,0)*2+IF(GQ441&gt;16,GQ441-16,0)*2+IF(GQ441&gt;17,GQ441-17,0)*2+IF(GQ441&gt;18,GQ441-18,0)*2+IF(GQ441&gt;19,GQ441-19,0)*2+IF(GQ441&gt;20,GQ441-20,0)*2</f>
        <v>2</v>
      </c>
      <c r="GU441" s="241">
        <f>IF((GS441-GT441)&gt;0,GS441-GT441,0)</f>
        <v>173.5384615384616</v>
      </c>
      <c r="GV441" s="42">
        <f>IF((GT441-GS441)&gt;0,GT441-GS441,0)</f>
        <v>0</v>
      </c>
      <c r="GX441" s="323" t="s">
        <v>239</v>
      </c>
      <c r="GY441" s="42" t="s">
        <v>86</v>
      </c>
      <c r="GZ441" s="220" t="s">
        <v>132</v>
      </c>
      <c r="HA441" s="236">
        <f>Konvention_1slave-MUslave</f>
        <v>12</v>
      </c>
      <c r="HB441" s="233"/>
      <c r="HC441" s="233">
        <f>Konvention_1slave-INslave</f>
        <v>12</v>
      </c>
      <c r="HD441" s="233">
        <f>Konvention_1slave-CHslave</f>
        <v>12</v>
      </c>
      <c r="HE441" s="233"/>
      <c r="HF441" s="233"/>
      <c r="HG441" s="233"/>
      <c r="HH441" s="221"/>
      <c r="HI441" s="220">
        <f>(HA441+HB441+HC441+HD441+HE441+HF441+HG441+HH441)/3</f>
        <v>12</v>
      </c>
      <c r="HJ441" s="220">
        <f>2*HI441</f>
        <v>24</v>
      </c>
      <c r="HK441" s="233">
        <f>3*HI441</f>
        <v>36</v>
      </c>
      <c r="HL441" s="236">
        <f>HA441*POWER(KLslave,SIGN(HB441))*POWER(INslave,SIGN(HC441))*POWER(CHslave,SIGN(HD441))*POWER(FFslave,SIGN(HE441))*POWER(GEslave,SIGN(HF441))*POWER(KOslave_KO,SIGN(HG441))*POWER(KKslave,SIGN(HH441))+HB441*POWER(MUslave,SIGN(HA441))*POWER(INslave,SIGN(HC441))*POWER(CHslave,SIGN(HD441))*POWER(FFslave,SIGN(HE441))*POWER(GEslave,SIGN(HF441))*POWER(KOslave_KO,SIGN(HG441))*POWER(KKslave,SIGN(HH441))+HC441*POWER(MUslave,SIGN(HA441))*POWER(KLslave,SIGN(HB441))*POWER(CHslave,SIGN(HD441))*POWER(FFslave,SIGN(HE441))*POWER(GEslave,SIGN(HF441))*POWER(KOslave_KO,SIGN(HG441))*POWER(KKslave,SIGN(HH441))+HD441*POWER(MUslave,SIGN(HA441))*POWER(KLslave,SIGN(HB441))*POWER(INslave,SIGN(HC441))*POWER(FFslave,SIGN(HE441))*POWER(GEslave,SIGN(HF441))*POWER(KOslave_KO,SIGN(HG441))*POWER(KKslave,SIGN(HH441))+HE441*POWER(MUslave,SIGN(HA441))*POWER(KLslave,SIGN(HB441))*POWER(INslave,SIGN(HC441))*POWER(CHslave,SIGN(HD441))*POWER(GEslave,SIGN(HF441))*POWER(KOslave_KO,SIGN(HG441))*POWER(KKslave,SIGN(HH441))+HF441*POWER(MUslave,SIGN(HA441))*POWER(KLslave,SIGN(HB441))*POWER(INslave,SIGN(HC441))*POWER(CHslave,SIGN(HD441))*POWER(FFslave,SIGN(HE441))*POWER(KOslave_KO,SIGN(HG441))*POWER(KKslave,SIGN(HH441))+HG441*POWER(MUslave,SIGN(HA441))*POWER(KLslave,SIGN(HB441))*POWER(INslave,SIGN(HC441))*POWER(CHslave,SIGN(HD441))*POWER(FFslave,SIGN(HE441))*POWER(GEslave,SIGN(HF441))*POWER(KKslave,SIGN(HH441))+HH441*POWER(MUslave,SIGN(HA441))*POWER(KLslave,SIGN(HB441))*POWER(INslave,SIGN(HC441))*POWER(CHslave,SIGN(HD441))*POWER(FFslave,SIGN(HE441))*POWER(GEslave,SIGN(HF441))*POWER(KOslave_KO,SIGN(HG441))</f>
        <v>2304</v>
      </c>
      <c r="HM441" s="233">
        <f>HA441*HC441*CHslave+HA441*INslave*HD441+MUslave*HC441*HD441</f>
        <v>3456</v>
      </c>
      <c r="HN441" s="221">
        <f>IFERROR(HA441^SIGN(HA441),1)*IFERROR(HB441^SIGN(HB441),1)*IFERROR(HC441^SIGN(HC441),1)*IFERROR(HD441^SIGN(HD441),1)*IFERROR(HE441^SIGN(HE441),1)*IFERROR(HF441^SIGN(HF441),1)*IFERROR(HG441^SIGN(HG441),1)*IFERROR(HH441^SIGN(HH441),1)</f>
        <v>1728</v>
      </c>
      <c r="HO441" s="78">
        <f>SUM(HL441:HN441)</f>
        <v>7488</v>
      </c>
      <c r="HP441" s="219">
        <f>HI441*HL441/HO441</f>
        <v>3.6923076923076925</v>
      </c>
      <c r="HQ441" s="220">
        <f>HJ441*HM441/HO441</f>
        <v>11.076923076923077</v>
      </c>
      <c r="HR441" s="241">
        <f>HK441*HN441/HO441</f>
        <v>8.3076923076923084</v>
      </c>
      <c r="HS441" s="241">
        <f>SUM(HP441:HR441)</f>
        <v>23.07692307692308</v>
      </c>
      <c r="HT441" s="252">
        <f t="shared" ref="HT441:HT444" si="4756">GQ441</f>
        <v>0</v>
      </c>
      <c r="HU441" s="309">
        <f>HS441-HT441</f>
        <v>23.07692307692308</v>
      </c>
      <c r="HV441" s="42">
        <f>IF(HS441&lt;=0,2,0)+IF(HS441&gt;0,HS441+1,0)*2+IF(HS441&gt;12,HS441-12,0)*2+IF(HS441&gt;13,HS441-13,0)*2+IF(HS441&gt;14,HS441-14,0)*2+IF(HS441&gt;15,HS441-15,0)*2+IF(HS441&gt;16,HS441-16,0)*2+IF(HS441&gt;17,HS441-17,0)*2+IF(HS441&gt;18,HS441-18,0)*2+IF(HS441&gt;19,HS441-19,0)*2+IF(HS441&gt;20,HS441-20,0)*2</f>
        <v>175.5384615384616</v>
      </c>
      <c r="HW441" s="78">
        <f>IF(HT441&lt;=0,2,0)+IF(HT441&gt;0,HT441+1,0)*2+IF(HT441&gt;12,HT441-12,0)*2+IF(HT441&gt;13,HT441-13,0)*2+IF(HT441&gt;14,HT441-14,0)*2+IF(HT441&gt;15,HT441-15,0)*2+IF(HT441&gt;16,HT441-16,0)*2+IF(HT441&gt;17,HT441-17,0)*2+IF(HT441&gt;18,HT441-18,0)*2+IF(HT441&gt;19,HT441-19,0)*2+IF(HT441&gt;20,HT441-20,0)*2</f>
        <v>2</v>
      </c>
      <c r="HX441" s="241">
        <f>IF((HV441-HW441)&gt;0,HV441-HW441,0)</f>
        <v>173.5384615384616</v>
      </c>
      <c r="HY441" s="42">
        <f>IF((HW441-HV441)&gt;0,HW441-HV441,0)</f>
        <v>0</v>
      </c>
      <c r="IA441" s="323" t="s">
        <v>239</v>
      </c>
      <c r="IB441" s="42" t="s">
        <v>86</v>
      </c>
      <c r="IC441" s="220" t="s">
        <v>132</v>
      </c>
      <c r="ID441" s="236">
        <f>Konvention_1slave-MUslave</f>
        <v>12</v>
      </c>
      <c r="IE441" s="233"/>
      <c r="IF441" s="233">
        <f>Konvention_1slave-INslave</f>
        <v>12</v>
      </c>
      <c r="IG441" s="233">
        <f>Konvention_1slave-CHslave</f>
        <v>12</v>
      </c>
      <c r="IH441" s="233"/>
      <c r="II441" s="233"/>
      <c r="IJ441" s="233"/>
      <c r="IK441" s="221"/>
      <c r="IL441" s="220">
        <f>(ID441+IE441+IF441+IG441+IH441+II441+IJ441+IK441)/3</f>
        <v>12</v>
      </c>
      <c r="IM441" s="220">
        <f>2*IL441</f>
        <v>24</v>
      </c>
      <c r="IN441" s="233">
        <f>3*IL441</f>
        <v>36</v>
      </c>
      <c r="IO441" s="236">
        <f>ID441*POWER(KLslave,SIGN(IE441))*POWER(INslave,SIGN(IF441))*POWER(CHslave,SIGN(IG441))*POWER(FFslave,SIGN(IH441))*POWER(GEslave,SIGN(II441))*POWER(KOslave,SIGN(IJ441))*POWER(KKslave_KK,SIGN(IK441))+IE441*POWER(MUslave,SIGN(ID441))*POWER(INslave,SIGN(IF441))*POWER(CHslave,SIGN(IG441))*POWER(FFslave,SIGN(IH441))*POWER(GEslave,SIGN(II441))*POWER(KOslave,SIGN(IJ441))*POWER(KKslave_KK,SIGN(IK441))+IF441*POWER(MUslave,SIGN(ID441))*POWER(KLslave,SIGN(IE441))*POWER(CHslave,SIGN(IG441))*POWER(FFslave,SIGN(IH441))*POWER(GEslave,SIGN(II441))*POWER(KOslave,SIGN(IJ441))*POWER(KKslave_KK,SIGN(IK441))+IG441*POWER(MUslave,SIGN(ID441))*POWER(KLslave,SIGN(IE441))*POWER(INslave,SIGN(IF441))*POWER(FFslave,SIGN(IH441))*POWER(GEslave,SIGN(II441))*POWER(KOslave,SIGN(IJ441))*POWER(KKslave_KK,SIGN(IK441))+IH441*POWER(MUslave,SIGN(ID441))*POWER(KLslave,SIGN(IE441))*POWER(INslave,SIGN(IF441))*POWER(CHslave,SIGN(IG441))*POWER(GEslave,SIGN(II441))*POWER(KOslave,SIGN(IJ441))*POWER(KKslave_KK,SIGN(IK441))+II441*POWER(MUslave,SIGN(ID441))*POWER(KLslave,SIGN(IE441))*POWER(INslave,SIGN(IF441))*POWER(CHslave,SIGN(IG441))*POWER(FFslave,SIGN(IH441))*POWER(KOslave,SIGN(IJ441))*POWER(KKslave_KK,SIGN(IK441))+IJ441*POWER(MUslave,SIGN(ID441))*POWER(KLslave,SIGN(IE441))*POWER(INslave,SIGN(IF441))*POWER(CHslave,SIGN(IG441))*POWER(FFslave,SIGN(IH441))*POWER(GEslave,SIGN(II441))*POWER(KKslave_KK,SIGN(IK441))+IK441*POWER(MUslave,SIGN(ID441))*POWER(KLslave,SIGN(IE441))*POWER(INslave,SIGN(IF441))*POWER(CHslave,SIGN(IG441))*POWER(FFslave,SIGN(IH441))*POWER(GEslave,SIGN(II441))*POWER(KOslave,SIGN(IJ441))</f>
        <v>2304</v>
      </c>
      <c r="IP441" s="233">
        <f>ID441*IF441*CHslave+ID441*INslave*IG441+MUslave*IF441*IG441</f>
        <v>3456</v>
      </c>
      <c r="IQ441" s="221">
        <f>IFERROR(ID441^SIGN(ID441),1)*IFERROR(IE441^SIGN(IE441),1)*IFERROR(IF441^SIGN(IF441),1)*IFERROR(IG441^SIGN(IG441),1)*IFERROR(IH441^SIGN(IH441),1)*IFERROR(II441^SIGN(II441),1)*IFERROR(IJ441^SIGN(IJ441),1)*IFERROR(IK441^SIGN(IK441),1)</f>
        <v>1728</v>
      </c>
      <c r="IR441" s="78">
        <f>SUM(IO441:IQ441)</f>
        <v>7488</v>
      </c>
      <c r="IS441" s="219">
        <f>IL441*IO441/IR441</f>
        <v>3.6923076923076925</v>
      </c>
      <c r="IT441" s="220">
        <f>IM441*IP441/IR441</f>
        <v>11.076923076923077</v>
      </c>
      <c r="IU441" s="241">
        <f>IN441*IQ441/IR441</f>
        <v>8.3076923076923084</v>
      </c>
      <c r="IV441" s="241">
        <f>SUM(IS441:IU441)</f>
        <v>23.07692307692308</v>
      </c>
      <c r="IW441" s="252">
        <f t="shared" ref="IW441:IW444" si="4757">HT441</f>
        <v>0</v>
      </c>
      <c r="IX441" s="309">
        <f>IV441-IW441</f>
        <v>23.07692307692308</v>
      </c>
      <c r="IY441" s="42">
        <f>IF(IV441&lt;=0,2,0)+IF(IV441&gt;0,IV441+1,0)*2+IF(IV441&gt;12,IV441-12,0)*2+IF(IV441&gt;13,IV441-13,0)*2+IF(IV441&gt;14,IV441-14,0)*2+IF(IV441&gt;15,IV441-15,0)*2+IF(IV441&gt;16,IV441-16,0)*2+IF(IV441&gt;17,IV441-17,0)*2+IF(IV441&gt;18,IV441-18,0)*2+IF(IV441&gt;19,IV441-19,0)*2+IF(IV441&gt;20,IV441-20,0)*2</f>
        <v>175.5384615384616</v>
      </c>
      <c r="IZ441" s="78">
        <f>IF(IW441&lt;=0,2,0)+IF(IW441&gt;0,IW441+1,0)*2+IF(IW441&gt;12,IW441-12,0)*2+IF(IW441&gt;13,IW441-13,0)*2+IF(IW441&gt;14,IW441-14,0)*2+IF(IW441&gt;15,IW441-15,0)*2+IF(IW441&gt;16,IW441-16,0)*2+IF(IW441&gt;17,IW441-17,0)*2+IF(IW441&gt;18,IW441-18,0)*2+IF(IW441&gt;19,IW441-19,0)*2+IF(IW441&gt;20,IW441-20,0)*2</f>
        <v>2</v>
      </c>
      <c r="JA441" s="241">
        <f>IF((IY441-IZ441)&gt;0,IY441-IZ441,0)</f>
        <v>173.5384615384616</v>
      </c>
      <c r="JB441" s="42">
        <f>IF((IZ441-IY441)&gt;0,IZ441-IY441,0)</f>
        <v>0</v>
      </c>
      <c r="JE441" s="148"/>
    </row>
    <row r="442" spans="1:265" ht="15" hidden="1" customHeight="1" outlineLevel="2">
      <c r="B442" s="148">
        <v>2</v>
      </c>
      <c r="C442" s="325" t="e">
        <f>VLOOKUP(AF442,Attribute!C:T,1,FALSE)</f>
        <v>#N/A</v>
      </c>
      <c r="D442" s="86" t="s">
        <v>86</v>
      </c>
      <c r="E442" s="47" t="s">
        <v>132</v>
      </c>
      <c r="F442" s="114">
        <f>Konvention_1master-MUmaster</f>
        <v>12</v>
      </c>
      <c r="G442" s="113"/>
      <c r="H442" s="113">
        <f>Konvention_1master-INmaster</f>
        <v>12</v>
      </c>
      <c r="I442" s="113">
        <f>Konvention_1master-CHmaster</f>
        <v>12</v>
      </c>
      <c r="J442" s="113"/>
      <c r="K442" s="113"/>
      <c r="L442" s="113"/>
      <c r="M442" s="119"/>
      <c r="N442" s="223">
        <f>(F442+G442+H442+I442+J442+K442+L442+M442)/3</f>
        <v>12</v>
      </c>
      <c r="O442" s="223">
        <f>2*N442</f>
        <v>24</v>
      </c>
      <c r="P442" s="234">
        <f>3*N442</f>
        <v>36</v>
      </c>
      <c r="Q442" s="237">
        <f>F442*POWER(KLmaster,SIGN(G442))*POWER(INmaster,SIGN(H442))*POWER(CHmaster,SIGN(I442))*POWER(FFmaster,SIGN(J442))*POWER(GEmaster,SIGN(K442))*POWER(KOmaster,SIGN(L442))*POWER(KKmaster,SIGN(M442))+G442*POWER(MUmaster,SIGN(F442))*POWER(INmaster,SIGN(H442))*POWER(CHmaster,SIGN(I442))*POWER(FFmaster,SIGN(J442))*POWER(GEmaster,SIGN(K442))*POWER(KOmaster,SIGN(L442))*POWER(KKmaster,SIGN(M442))+H442*POWER(MUmaster,SIGN(F442))*POWER(KLmaster,SIGN(G442))*POWER(CHmaster,SIGN(I442))*POWER(FFmaster,SIGN(J442))*POWER(GEmaster,SIGN(K442))*POWER(KOmaster,SIGN(L442))*POWER(KKmaster,SIGN(M442))+I442*POWER(MUmaster,SIGN(F442))*POWER(KLmaster,SIGN(G442))*POWER(INmaster,SIGN(H442))*POWER(FFmaster,SIGN(J442))*POWER(GEmaster,SIGN(K442))*POWER(KOmaster,SIGN(L442))*POWER(KKmaster,SIGN(M442))+J442*POWER(MUmaster,SIGN(F442))*POWER(KLmaster,SIGN(G442))*POWER(INmaster,SIGN(H442))*POWER(CHmaster,SIGN(I442))*POWER(GEmaster,SIGN(K442))*POWER(KOmaster,SIGN(L442))*POWER(KKmaster,SIGN(M442))+K442*POWER(MUmaster,SIGN(F442))*POWER(KLmaster,SIGN(G442))*POWER(INmaster,SIGN(H442))*POWER(CHmaster,SIGN(I442))*POWER(FFmaster,SIGN(J442))*POWER(KOmaster,SIGN(L442))*POWER(KKmaster,SIGN(M442))+L442*POWER(MUmaster,SIGN(F442))*POWER(KLmaster,SIGN(G442))*POWER(INmaster,SIGN(H442))*POWER(CHmaster,SIGN(I442))*POWER(FFmaster,SIGN(J442))*POWER(GEmaster,SIGN(K442))*POWER(KKmaster,SIGN(M442))+M442*POWER(MUmaster,SIGN(F442))*POWER(KLmaster,SIGN(G442))*POWER(INmaster,SIGN(H442))*POWER(CHmaster,SIGN(I442))*POWER(FFmaster,SIGN(J442))*POWER(GEmaster,SIGN(K442))*POWER(KOmaster,SIGN(L442))</f>
        <v>2304</v>
      </c>
      <c r="R442" s="113">
        <f>F442*H442*CHmaster+F442*INmaster*I442+MUmaster*H442*I442</f>
        <v>3456</v>
      </c>
      <c r="S442" s="224">
        <f>IFERROR(F442^SIGN(F442),1)*IFERROR(G442^SIGN(G442),1)*IFERROR(H442^SIGN(H442),1)*IFERROR(I442^SIGN(I442),1)*IFERROR(J442^SIGN(J442),1)*IFERROR(K442^SIGN(K442),1)*IFERROR(L442^SIGN(L442),1)*IFERROR(M442^SIGN(M442),1)</f>
        <v>1728</v>
      </c>
      <c r="T442" s="242">
        <f>SUM(Q442:S442)</f>
        <v>7488</v>
      </c>
      <c r="U442" s="222">
        <f>N442*Q442/T442</f>
        <v>3.6923076923076925</v>
      </c>
      <c r="V442" s="223">
        <f>O442*R442/T442</f>
        <v>11.076923076923077</v>
      </c>
      <c r="W442" s="243">
        <f>P442*S442/T442</f>
        <v>8.3076923076923084</v>
      </c>
      <c r="X442" s="243">
        <f>SUM(U442:W442)</f>
        <v>23.07692307692308</v>
      </c>
      <c r="Y442" s="252">
        <v>0</v>
      </c>
      <c r="Z442" s="198">
        <f>X442-Y442</f>
        <v>23.07692307692308</v>
      </c>
      <c r="AA442" s="125">
        <f>IF(X442&lt;=0,2,0)+IF(X442&gt;0,X442+1,0)*2+IF(X442&gt;12,X442-12,0)*2+IF(X442&gt;13,X442-13,0)*2+IF(X442&gt;14,X442-14,0)*2+IF(X442&gt;15,X442-15,0)*2+IF(X442&gt;16,X442-16,0)*2+IF(X442&gt;17,X442-17,0)*2+IF(X442&gt;18,X442-18,0)*2+IF(X442&gt;19,X442-19,0)*2+IF(X442&gt;20,X442-20,0)*2</f>
        <v>175.5384615384616</v>
      </c>
      <c r="AB442" s="160">
        <f>IF(Y442&lt;=0,2,0)+IF(Y442&gt;0,Y442+1,0)*2+IF(Y442&gt;12,Y442-12,0)*2+IF(Y442&gt;13,Y442-13,0)*2+IF(Y442&gt;14,Y442-14,0)*2+IF(Y442&gt;15,Y442-15,0)*2+IF(Y442&gt;16,Y442-16,0)*2+IF(Y442&gt;17,Y442-17,0)*2+IF(Y442&gt;18,Y442-18,0)*2+IF(Y442&gt;19,Y442-19,0)*2+IF(Y442&gt;20,Y442-20,0)*2</f>
        <v>2</v>
      </c>
      <c r="AC442" s="127">
        <f>IF((AA442-AB442)&gt;0,AA442-AB442,0)</f>
        <v>173.5384615384616</v>
      </c>
      <c r="AD442" s="125">
        <f>IF((AB442-AA442)&gt;0,AB442-AA442,0)</f>
        <v>0</v>
      </c>
      <c r="AF442" s="177" t="s">
        <v>241</v>
      </c>
      <c r="AG442" s="125" t="s">
        <v>86</v>
      </c>
      <c r="AH442" s="47" t="s">
        <v>132</v>
      </c>
      <c r="AI442" s="114">
        <f>Konvention_1slave-MUslave_MU</f>
        <v>11</v>
      </c>
      <c r="AJ442" s="113"/>
      <c r="AK442" s="113">
        <f>Konvention_1slave-INslave</f>
        <v>12</v>
      </c>
      <c r="AL442" s="113">
        <f>Konvention_1slave-CHslave</f>
        <v>12</v>
      </c>
      <c r="AM442" s="113"/>
      <c r="AN442" s="113"/>
      <c r="AO442" s="113"/>
      <c r="AP442" s="119"/>
      <c r="AQ442" s="47">
        <f>(AI442+AJ442+AK442+AL442+AM442+AN442+AO442+AP442)/3</f>
        <v>11.666666666666666</v>
      </c>
      <c r="AR442" s="47">
        <f>2*AQ442</f>
        <v>23.333333333333332</v>
      </c>
      <c r="AS442" s="113">
        <f>3*AQ442</f>
        <v>35</v>
      </c>
      <c r="AT442" s="114">
        <f>AI442*POWER(KLslave,SIGN(AJ442))*POWER(INslave,SIGN(AK442))*POWER(CHslave,SIGN(AL442))*POWER(FFslave,SIGN(AM442))*POWER(GEslave,SIGN(AN442))*POWER(KOslave,SIGN(AO442))*POWER(KKslave,SIGN(AP442))+AJ442*POWER(MUslave_MU,SIGN(AI442))*POWER(INslave,SIGN(AK442))*POWER(CHslave,SIGN(AL442))*POWER(FFslave,SIGN(AM442))*POWER(GEslave,SIGN(AN442))*POWER(KOslave,SIGN(AO442))*POWER(KKslave,SIGN(AP442))+AK442*POWER(MUslave_MU,SIGN(AI442))*POWER(KLslave,SIGN(AJ442))*POWER(CHslave,SIGN(AL442))*POWER(FFslave,SIGN(AM442))*POWER(GEslave,SIGN(AN442))*POWER(KOslave,SIGN(AO442))*POWER(KKslave,SIGN(AP442))+AL442*POWER(MUslave_MU,SIGN(AI442))*POWER(KLslave,SIGN(AJ442))*POWER(INslave,SIGN(AK442))*POWER(FFslave,SIGN(AM442))*POWER(GEslave,SIGN(AN442))*POWER(KOslave,SIGN(AO442))*POWER(KKslave,SIGN(AP442))+AM442*POWER(MUslave_MU,SIGN(AI442))*POWER(KLslave,SIGN(AJ442))*POWER(INslave,SIGN(AK442))*POWER(CHslave,SIGN(AL442))*POWER(GEslave,SIGN(AN442))*POWER(KOslave,SIGN(AO442))*POWER(KKslave,SIGN(AP442))+AN442*POWER(MUslave_MU,SIGN(AI442))*POWER(KLslave,SIGN(AJ442))*POWER(INslave,SIGN(AK442))*POWER(CHslave,SIGN(AL442))*POWER(FFslave,SIGN(AM442))*POWER(KOslave,SIGN(AO442))*POWER(KKslave,SIGN(AP442))+AO442*POWER(MUslave_MU,SIGN(AI442))*POWER(KLslave,SIGN(AJ442))*POWER(INslave,SIGN(AK442))*POWER(CHslave,SIGN(AL442))*POWER(FFslave,SIGN(AM442))*POWER(GEslave,SIGN(AN442))*POWER(KKslave,SIGN(AP442))+AP442*POWER(MUslave_MU,SIGN(AI442))*POWER(KLslave,SIGN(AJ442))*POWER(INslave,SIGN(AK442))*POWER(CHslave,SIGN(AL442))*POWER(FFslave,SIGN(AM442))*POWER(GEslave,SIGN(AN442))*POWER(KOslave,SIGN(AO442))</f>
        <v>2432</v>
      </c>
      <c r="AU442" s="113">
        <f>AI442*AK442*CHslave+AI442*INslave*AL442+MUslave_MU*AK442*AL442</f>
        <v>3408</v>
      </c>
      <c r="AV442" s="119">
        <f>IFERROR(AI442^SIGN(AI442),1)*IFERROR(AJ442^SIGN(AJ442),1)*IFERROR(AK442^SIGN(AK442),1)*IFERROR(AL442^SIGN(AL442),1)*IFERROR(AM442^SIGN(AM442),1)*IFERROR(AN442^SIGN(AN442),1)*IFERROR(AO442^SIGN(AO442),1)*IFERROR(AP442^SIGN(AP442),1)</f>
        <v>1584</v>
      </c>
      <c r="AW442" s="160">
        <f>SUM(AT442:AV442)</f>
        <v>7424</v>
      </c>
      <c r="AX442" s="89">
        <f>AQ442*AT442/AW442</f>
        <v>3.8218390804597702</v>
      </c>
      <c r="AY442" s="47">
        <f>AR442*AU442/AW442</f>
        <v>10.711206896551724</v>
      </c>
      <c r="AZ442" s="127">
        <f>AS442*AV442/AW442</f>
        <v>7.4676724137931032</v>
      </c>
      <c r="BA442" s="127">
        <f>SUM(AX442:AZ442)</f>
        <v>22.000718390804597</v>
      </c>
      <c r="BB442" s="165">
        <f t="shared" si="4750"/>
        <v>0</v>
      </c>
      <c r="BC442" s="198">
        <f>BA442-BB442</f>
        <v>22.000718390804597</v>
      </c>
      <c r="BD442" s="125">
        <f>IF(BA442&lt;=0,2,0)+IF(BA442&gt;0,BA442+1,0)*2+IF(BA442&gt;12,BA442-12,0)*2+IF(BA442&gt;13,BA442-13,0)*2+IF(BA442&gt;14,BA442-14,0)*2+IF(BA442&gt;15,BA442-15,0)*2+IF(BA442&gt;16,BA442-16,0)*2+IF(BA442&gt;17,BA442-17,0)*2+IF(BA442&gt;18,BA442-18,0)*2+IF(BA442&gt;19,BA442-19,0)*2+IF(BA442&gt;20,BA442-20,0)*2</f>
        <v>154.01436781609189</v>
      </c>
      <c r="BE442" s="160">
        <f>IF(BB442&lt;=0,2,0)+IF(BB442&gt;0,BB442+1,0)*2+IF(BB442&gt;12,BB442-12,0)*2+IF(BB442&gt;13,BB442-13,0)*2+IF(BB442&gt;14,BB442-14,0)*2+IF(BB442&gt;15,BB442-15,0)*2+IF(BB442&gt;16,BB442-16,0)*2+IF(BB442&gt;17,BB442-17,0)*2+IF(BB442&gt;18,BB442-18,0)*2+IF(BB442&gt;19,BB442-19,0)*2+IF(BB442&gt;20,BB442-20,0)*2</f>
        <v>2</v>
      </c>
      <c r="BF442" s="243">
        <f>IF((BD442-BE442)&gt;0,BD442-BE442,0)</f>
        <v>152.01436781609189</v>
      </c>
      <c r="BG442" s="218">
        <f>IF((BE442-BD442)&gt;0,BE442-BD442,0)</f>
        <v>0</v>
      </c>
      <c r="BI442" s="325" t="s">
        <v>241</v>
      </c>
      <c r="BJ442" s="218" t="s">
        <v>86</v>
      </c>
      <c r="BK442" s="223" t="s">
        <v>132</v>
      </c>
      <c r="BL442" s="237">
        <f>Konvention_1slave-MUslave</f>
        <v>12</v>
      </c>
      <c r="BM442" s="234"/>
      <c r="BN442" s="234">
        <f>Konvention_1slave-INslave</f>
        <v>12</v>
      </c>
      <c r="BO442" s="234">
        <f>Konvention_1slave-CHslave</f>
        <v>12</v>
      </c>
      <c r="BP442" s="234"/>
      <c r="BQ442" s="234"/>
      <c r="BR442" s="234"/>
      <c r="BS442" s="224"/>
      <c r="BT442" s="223">
        <f>(BL442+BM442+BN442+BO442+BP442+BQ442+BR442+BS442)/3</f>
        <v>12</v>
      </c>
      <c r="BU442" s="223">
        <f>2*BT442</f>
        <v>24</v>
      </c>
      <c r="BV442" s="234">
        <f>3*BT442</f>
        <v>36</v>
      </c>
      <c r="BW442" s="237">
        <f>BL442*POWER(KLslave_KL,SIGN(BM442))*POWER(INslave,SIGN(BN442))*POWER(CHslave,SIGN(BO442))*POWER(FFslave,SIGN(BP442))*POWER(GEslave,SIGN(BQ442))*POWER(KOslave,SIGN(BR442))*POWER(KKslave,SIGN(BS442))+BM442*POWER(MUslave,SIGN(BL442))*POWER(INslave,SIGN(BN442))*POWER(CHslave,SIGN(BO442))*POWER(FFslave,SIGN(BP442))*POWER(GEslave,SIGN(BQ442))*POWER(KOslave,SIGN(BR442))*POWER(KKslave,SIGN(BS442))+BN442*POWER(MUslave,SIGN(BL442))*POWER(KLslave_KL,SIGN(BM442))*POWER(CHslave,SIGN(BO442))*POWER(FFslave,SIGN(BP442))*POWER(GEslave,SIGN(BQ442))*POWER(KOslave,SIGN(BR442))*POWER(KKslave,SIGN(BS442))+BO442*POWER(MUslave,SIGN(BL442))*POWER(KLslave_KL,SIGN(BM442))*POWER(INslave,SIGN(BN442))*POWER(FFslave,SIGN(BP442))*POWER(GEslave,SIGN(BQ442))*POWER(KOslave,SIGN(BR442))*POWER(KKslave,SIGN(BS442))+BP442*POWER(MUslave,SIGN(BL442))*POWER(KLslave_KL,SIGN(BM442))*POWER(INslave,SIGN(BN442))*POWER(CHslave,SIGN(BO442))*POWER(GEslave,SIGN(BQ442))*POWER(KOslave,SIGN(BR442))*POWER(KKslave,SIGN(BS442))+BQ442*POWER(MUslave,SIGN(BL442))*POWER(KLslave_KL,SIGN(BM442))*POWER(INslave,SIGN(BN442))*POWER(CHslave,SIGN(BO442))*POWER(FFslave,SIGN(BP442))*POWER(KOslave,SIGN(BR442))*POWER(KKslave,SIGN(BS442))+BR442*POWER(MUslave,SIGN(BL442))*POWER(KLslave_KL,SIGN(BM442))*POWER(INslave,SIGN(BN442))*POWER(CHslave,SIGN(BO442))*POWER(FFslave,SIGN(BP442))*POWER(GEslave,SIGN(BQ442))*POWER(KKslave,SIGN(BS442))+BS442*POWER(MUslave,SIGN(BL442))*POWER(KLslave_KL,SIGN(BM442))*POWER(INslave,SIGN(BN442))*POWER(CHslave,SIGN(BO442))*POWER(FFslave,SIGN(BP442))*POWER(GEslave,SIGN(BQ442))*POWER(KOslave,SIGN(BR442))</f>
        <v>2304</v>
      </c>
      <c r="BX442" s="234">
        <f>BL442*BN442*CHslave+BL442*INslave*BO442+MUslave*BN442*BO442</f>
        <v>3456</v>
      </c>
      <c r="BY442" s="224">
        <f>IFERROR(BL442^SIGN(BL442),1)*IFERROR(BM442^SIGN(BM442),1)*IFERROR(BN442^SIGN(BN442),1)*IFERROR(BO442^SIGN(BO442),1)*IFERROR(BP442^SIGN(BP442),1)*IFERROR(BQ442^SIGN(BQ442),1)*IFERROR(BR442^SIGN(BR442),1)*IFERROR(BS442^SIGN(BS442),1)</f>
        <v>1728</v>
      </c>
      <c r="BZ442" s="242">
        <f>SUM(BW442:BY442)</f>
        <v>7488</v>
      </c>
      <c r="CA442" s="222">
        <f>BT442*BW442/BZ442</f>
        <v>3.6923076923076925</v>
      </c>
      <c r="CB442" s="223">
        <f>BU442*BX442/BZ442</f>
        <v>11.076923076923077</v>
      </c>
      <c r="CC442" s="243">
        <f>BV442*BY442/BZ442</f>
        <v>8.3076923076923084</v>
      </c>
      <c r="CD442" s="243">
        <f>SUM(CA442:CC442)</f>
        <v>23.07692307692308</v>
      </c>
      <c r="CE442" s="252">
        <f t="shared" si="4751"/>
        <v>0</v>
      </c>
      <c r="CF442" s="309">
        <f>CD442-CE442</f>
        <v>23.07692307692308</v>
      </c>
      <c r="CG442" s="218">
        <f>IF(CD442&lt;=0,2,0)+IF(CD442&gt;0,CD442+1,0)*2+IF(CD442&gt;12,CD442-12,0)*2+IF(CD442&gt;13,CD442-13,0)*2+IF(CD442&gt;14,CD442-14,0)*2+IF(CD442&gt;15,CD442-15,0)*2+IF(CD442&gt;16,CD442-16,0)*2+IF(CD442&gt;17,CD442-17,0)*2+IF(CD442&gt;18,CD442-18,0)*2+IF(CD442&gt;19,CD442-19,0)*2+IF(CD442&gt;20,CD442-20,0)*2</f>
        <v>175.5384615384616</v>
      </c>
      <c r="CH442" s="242">
        <f>IF(CE442&lt;=0,2,0)+IF(CE442&gt;0,CE442+1,0)*2+IF(CE442&gt;12,CE442-12,0)*2+IF(CE442&gt;13,CE442-13,0)*2+IF(CE442&gt;14,CE442-14,0)*2+IF(CE442&gt;15,CE442-15,0)*2+IF(CE442&gt;16,CE442-16,0)*2+IF(CE442&gt;17,CE442-17,0)*2+IF(CE442&gt;18,CE442-18,0)*2+IF(CE442&gt;19,CE442-19,0)*2+IF(CE442&gt;20,CE442-20,0)*2</f>
        <v>2</v>
      </c>
      <c r="CI442" s="243">
        <f>IF((CG442-CH442)&gt;0,CG442-CH442,0)</f>
        <v>173.5384615384616</v>
      </c>
      <c r="CJ442" s="218">
        <f>IF((CH442-CG442)&gt;0,CH442-CG442,0)</f>
        <v>0</v>
      </c>
      <c r="CL442" s="325" t="s">
        <v>241</v>
      </c>
      <c r="CM442" s="218" t="s">
        <v>86</v>
      </c>
      <c r="CN442" s="223" t="s">
        <v>132</v>
      </c>
      <c r="CO442" s="237">
        <f>Konvention_1slave-MUslave</f>
        <v>12</v>
      </c>
      <c r="CP442" s="234"/>
      <c r="CQ442" s="234">
        <f>Konvention_1slave-INslave_IN</f>
        <v>11</v>
      </c>
      <c r="CR442" s="234">
        <f>Konvention_1slave-CHslave</f>
        <v>12</v>
      </c>
      <c r="CS442" s="234"/>
      <c r="CT442" s="234"/>
      <c r="CU442" s="234"/>
      <c r="CV442" s="224"/>
      <c r="CW442" s="223">
        <f>(CO442+CP442+CQ442+CR442+CS442+CT442+CU442+CV442)/3</f>
        <v>11.666666666666666</v>
      </c>
      <c r="CX442" s="223">
        <f>2*CW442</f>
        <v>23.333333333333332</v>
      </c>
      <c r="CY442" s="234">
        <f>3*CW442</f>
        <v>35</v>
      </c>
      <c r="CZ442" s="237">
        <f>CO442*POWER(KLslave,SIGN(CP442))*POWER(INslave_IN,SIGN(CQ442))*POWER(CHslave,SIGN(CR442))*POWER(FFslave,SIGN(CS442))*POWER(GEslave,SIGN(CT442))*POWER(KOslave,SIGN(CU442))*POWER(KKslave,SIGN(CV442))+CP442*POWER(MUslave,SIGN(CO442))*POWER(INslave_IN,SIGN(CQ442))*POWER(CHslave,SIGN(CR442))*POWER(FFslave,SIGN(CS442))*POWER(GEslave,SIGN(CT442))*POWER(KOslave,SIGN(CU442))*POWER(KKslave,SIGN(CV442))+CQ442*POWER(MUslave,SIGN(CO442))*POWER(KLslave,SIGN(CP442))*POWER(CHslave,SIGN(CR442))*POWER(FFslave,SIGN(CS442))*POWER(GEslave,SIGN(CT442))*POWER(KOslave,SIGN(CU442))*POWER(KKslave,SIGN(CV442))+CR442*POWER(MUslave,SIGN(CO442))*POWER(KLslave,SIGN(CP442))*POWER(INslave_IN,SIGN(CQ442))*POWER(FFslave,SIGN(CS442))*POWER(GEslave,SIGN(CT442))*POWER(KOslave,SIGN(CU442))*POWER(KKslave,SIGN(CV442))+CS442*POWER(MUslave,SIGN(CO442))*POWER(KLslave,SIGN(CP442))*POWER(INslave_IN,SIGN(CQ442))*POWER(CHslave,SIGN(CR442))*POWER(GEslave,SIGN(CT442))*POWER(KOslave,SIGN(CU442))*POWER(KKslave,SIGN(CV442))+CT442*POWER(MUslave,SIGN(CO442))*POWER(KLslave,SIGN(CP442))*POWER(INslave_IN,SIGN(CQ442))*POWER(CHslave,SIGN(CR442))*POWER(FFslave,SIGN(CS442))*POWER(KOslave,SIGN(CU442))*POWER(KKslave,SIGN(CV442))+CU442*POWER(MUslave,SIGN(CO442))*POWER(KLslave,SIGN(CP442))*POWER(INslave_IN,SIGN(CQ442))*POWER(CHslave,SIGN(CR442))*POWER(FFslave,SIGN(CS442))*POWER(GEslave,SIGN(CT442))*POWER(KKslave,SIGN(CV442))+CV442*POWER(MUslave,SIGN(CO442))*POWER(KLslave,SIGN(CP442))*POWER(INslave_IN,SIGN(CQ442))*POWER(CHslave,SIGN(CR442))*POWER(FFslave,SIGN(CS442))*POWER(GEslave,SIGN(CT442))*POWER(KOslave,SIGN(CU442))</f>
        <v>2432</v>
      </c>
      <c r="DA442" s="234">
        <f>CO442*CQ442*CHslave+CO442*INslave_IN*CR442+MUslave*CQ442*CR442</f>
        <v>3408</v>
      </c>
      <c r="DB442" s="224">
        <f>IFERROR(CO442^SIGN(CO442),1)*IFERROR(CP442^SIGN(CP442),1)*IFERROR(CQ442^SIGN(CQ442),1)*IFERROR(CR442^SIGN(CR442),1)*IFERROR(CS442^SIGN(CS442),1)*IFERROR(CT442^SIGN(CT442),1)*IFERROR(CU442^SIGN(CU442),1)*IFERROR(CV442^SIGN(CV442),1)</f>
        <v>1584</v>
      </c>
      <c r="DC442" s="242">
        <f>SUM(CZ442:DB442)</f>
        <v>7424</v>
      </c>
      <c r="DD442" s="222">
        <f>CW442*CZ442/DC442</f>
        <v>3.8218390804597702</v>
      </c>
      <c r="DE442" s="223">
        <f>CX442*DA442/DC442</f>
        <v>10.711206896551724</v>
      </c>
      <c r="DF442" s="243">
        <f>CY442*DB442/DC442</f>
        <v>7.4676724137931032</v>
      </c>
      <c r="DG442" s="243">
        <f>SUM(DD442:DF442)</f>
        <v>22.000718390804597</v>
      </c>
      <c r="DH442" s="252">
        <f t="shared" si="4752"/>
        <v>0</v>
      </c>
      <c r="DI442" s="309">
        <f>DG442-DH442</f>
        <v>22.000718390804597</v>
      </c>
      <c r="DJ442" s="218">
        <f>IF(DG442&lt;=0,2,0)+IF(DG442&gt;0,DG442+1,0)*2+IF(DG442&gt;12,DG442-12,0)*2+IF(DG442&gt;13,DG442-13,0)*2+IF(DG442&gt;14,DG442-14,0)*2+IF(DG442&gt;15,DG442-15,0)*2+IF(DG442&gt;16,DG442-16,0)*2+IF(DG442&gt;17,DG442-17,0)*2+IF(DG442&gt;18,DG442-18,0)*2+IF(DG442&gt;19,DG442-19,0)*2+IF(DG442&gt;20,DG442-20,0)*2</f>
        <v>154.01436781609189</v>
      </c>
      <c r="DK442" s="242">
        <f>IF(DH442&lt;=0,2,0)+IF(DH442&gt;0,DH442+1,0)*2+IF(DH442&gt;12,DH442-12,0)*2+IF(DH442&gt;13,DH442-13,0)*2+IF(DH442&gt;14,DH442-14,0)*2+IF(DH442&gt;15,DH442-15,0)*2+IF(DH442&gt;16,DH442-16,0)*2+IF(DH442&gt;17,DH442-17,0)*2+IF(DH442&gt;18,DH442-18,0)*2+IF(DH442&gt;19,DH442-19,0)*2+IF(DH442&gt;20,DH442-20,0)*2</f>
        <v>2</v>
      </c>
      <c r="DL442" s="243">
        <f>IF((DJ442-DK442)&gt;0,DJ442-DK442,0)</f>
        <v>152.01436781609189</v>
      </c>
      <c r="DM442" s="218">
        <f>IF((DK442-DJ442)&gt;0,DK442-DJ442,0)</f>
        <v>0</v>
      </c>
      <c r="DO442" s="325" t="s">
        <v>241</v>
      </c>
      <c r="DP442" s="218" t="s">
        <v>86</v>
      </c>
      <c r="DQ442" s="223" t="s">
        <v>132</v>
      </c>
      <c r="DR442" s="237">
        <f>Konvention_1slave-MUslave</f>
        <v>12</v>
      </c>
      <c r="DS442" s="234"/>
      <c r="DT442" s="234">
        <f>Konvention_1slave-INslave</f>
        <v>12</v>
      </c>
      <c r="DU442" s="234">
        <f>Konvention_1slave-CHslave_CH</f>
        <v>11</v>
      </c>
      <c r="DV442" s="234"/>
      <c r="DW442" s="234"/>
      <c r="DX442" s="234"/>
      <c r="DY442" s="224"/>
      <c r="DZ442" s="223">
        <f>(DR442+DS442+DT442+DU442+DV442+DW442+DX442+DY442)/3</f>
        <v>11.666666666666666</v>
      </c>
      <c r="EA442" s="223">
        <f>2*DZ442</f>
        <v>23.333333333333332</v>
      </c>
      <c r="EB442" s="234">
        <f>3*DZ442</f>
        <v>35</v>
      </c>
      <c r="EC442" s="237">
        <f>DR442*POWER(KLslave,SIGN(DS442))*POWER(INslave,SIGN(DT442))*POWER(CHslave_CH,SIGN(DU442))*POWER(FFslave,SIGN(DV442))*POWER(GEslave,SIGN(DW442))*POWER(KOslave,SIGN(DX442))*POWER(KKslave,SIGN(DY442))+DS442*POWER(MUslave,SIGN(DR442))*POWER(INslave,SIGN(DT442))*POWER(CHslave_CH,SIGN(DU442))*POWER(FFslave,SIGN(DV442))*POWER(GEslave,SIGN(DW442))*POWER(KOslave,SIGN(DX442))*POWER(KKslave,SIGN(DY442))+DT442*POWER(MUslave,SIGN(DR442))*POWER(KLslave,SIGN(DS442))*POWER(CHslave_CH,SIGN(DU442))*POWER(FFslave,SIGN(DV442))*POWER(GEslave,SIGN(DW442))*POWER(KOslave,SIGN(DX442))*POWER(KKslave,SIGN(DY442))+DU442*POWER(MUslave,SIGN(DR442))*POWER(KLslave,SIGN(DS442))*POWER(INslave,SIGN(DT442))*POWER(FFslave,SIGN(DV442))*POWER(GEslave,SIGN(DW442))*POWER(KOslave,SIGN(DX442))*POWER(KKslave,SIGN(DY442))+DV442*POWER(MUslave,SIGN(DR442))*POWER(KLslave,SIGN(DS442))*POWER(INslave,SIGN(DT442))*POWER(CHslave_CH,SIGN(DU442))*POWER(GEslave,SIGN(DW442))*POWER(KOslave,SIGN(DX442))*POWER(KKslave,SIGN(DY442))+DW442*POWER(MUslave,SIGN(DR442))*POWER(KLslave,SIGN(DS442))*POWER(INslave,SIGN(DT442))*POWER(CHslave_CH,SIGN(DU442))*POWER(FFslave,SIGN(DV442))*POWER(KOslave,SIGN(DX442))*POWER(KKslave,SIGN(DY442))+DX442*POWER(MUslave,SIGN(DR442))*POWER(KLslave,SIGN(DS442))*POWER(INslave,SIGN(DT442))*POWER(CHslave_CH,SIGN(DU442))*POWER(FFslave,SIGN(DV442))*POWER(GEslave,SIGN(DW442))*POWER(KKslave,SIGN(DY442))+DY442*POWER(MUslave,SIGN(DR442))*POWER(KLslave,SIGN(DS442))*POWER(INslave,SIGN(DT442))*POWER(CHslave_CH,SIGN(DU442))*POWER(FFslave,SIGN(DV442))*POWER(GEslave,SIGN(DW442))*POWER(KOslave,SIGN(DX442))</f>
        <v>2432</v>
      </c>
      <c r="ED442" s="234">
        <f>DR442*DT442*CHslave_CH+DR442*INslave*DU442+MUslave*DT442*DU442</f>
        <v>3408</v>
      </c>
      <c r="EE442" s="224">
        <f>IFERROR(DR442^SIGN(DR442),1)*IFERROR(DS442^SIGN(DS442),1)*IFERROR(DT442^SIGN(DT442),1)*IFERROR(DU442^SIGN(DU442),1)*IFERROR(DV442^SIGN(DV442),1)*IFERROR(DW442^SIGN(DW442),1)*IFERROR(DX442^SIGN(DX442),1)*IFERROR(DY442^SIGN(DY442),1)</f>
        <v>1584</v>
      </c>
      <c r="EF442" s="242">
        <f>SUM(EC442:EE442)</f>
        <v>7424</v>
      </c>
      <c r="EG442" s="222">
        <f>DZ442*EC442/EF442</f>
        <v>3.8218390804597702</v>
      </c>
      <c r="EH442" s="223">
        <f>EA442*ED442/EF442</f>
        <v>10.711206896551724</v>
      </c>
      <c r="EI442" s="243">
        <f>EB442*EE442/EF442</f>
        <v>7.4676724137931032</v>
      </c>
      <c r="EJ442" s="243">
        <f>SUM(EG442:EI442)</f>
        <v>22.000718390804597</v>
      </c>
      <c r="EK442" s="252">
        <f t="shared" si="4753"/>
        <v>0</v>
      </c>
      <c r="EL442" s="309">
        <f>EJ442-EK442</f>
        <v>22.000718390804597</v>
      </c>
      <c r="EM442" s="218">
        <f>IF(EJ442&lt;=0,2,0)+IF(EJ442&gt;0,EJ442+1,0)*2+IF(EJ442&gt;12,EJ442-12,0)*2+IF(EJ442&gt;13,EJ442-13,0)*2+IF(EJ442&gt;14,EJ442-14,0)*2+IF(EJ442&gt;15,EJ442-15,0)*2+IF(EJ442&gt;16,EJ442-16,0)*2+IF(EJ442&gt;17,EJ442-17,0)*2+IF(EJ442&gt;18,EJ442-18,0)*2+IF(EJ442&gt;19,EJ442-19,0)*2+IF(EJ442&gt;20,EJ442-20,0)*2</f>
        <v>154.01436781609189</v>
      </c>
      <c r="EN442" s="242">
        <f>IF(EK442&lt;=0,2,0)+IF(EK442&gt;0,EK442+1,0)*2+IF(EK442&gt;12,EK442-12,0)*2+IF(EK442&gt;13,EK442-13,0)*2+IF(EK442&gt;14,EK442-14,0)*2+IF(EK442&gt;15,EK442-15,0)*2+IF(EK442&gt;16,EK442-16,0)*2+IF(EK442&gt;17,EK442-17,0)*2+IF(EK442&gt;18,EK442-18,0)*2+IF(EK442&gt;19,EK442-19,0)*2+IF(EK442&gt;20,EK442-20,0)*2</f>
        <v>2</v>
      </c>
      <c r="EO442" s="243">
        <f>IF((EM442-EN442)&gt;0,EM442-EN442,0)</f>
        <v>152.01436781609189</v>
      </c>
      <c r="EP442" s="218">
        <f>IF((EN442-EM442)&gt;0,EN442-EM442,0)</f>
        <v>0</v>
      </c>
      <c r="ER442" s="325" t="s">
        <v>241</v>
      </c>
      <c r="ES442" s="218" t="s">
        <v>86</v>
      </c>
      <c r="ET442" s="223" t="s">
        <v>132</v>
      </c>
      <c r="EU442" s="237">
        <f>Konvention_1slave-MUslave</f>
        <v>12</v>
      </c>
      <c r="EV442" s="234"/>
      <c r="EW442" s="234">
        <f>Konvention_1slave-INslave</f>
        <v>12</v>
      </c>
      <c r="EX442" s="234">
        <f>Konvention_1slave-CHslave</f>
        <v>12</v>
      </c>
      <c r="EY442" s="234"/>
      <c r="EZ442" s="234"/>
      <c r="FA442" s="234"/>
      <c r="FB442" s="224"/>
      <c r="FC442" s="223">
        <f>(EU442+EV442+EW442+EX442+EY442+EZ442+FA442+FB442)/3</f>
        <v>12</v>
      </c>
      <c r="FD442" s="223">
        <f>2*FC442</f>
        <v>24</v>
      </c>
      <c r="FE442" s="234">
        <f>3*FC442</f>
        <v>36</v>
      </c>
      <c r="FF442" s="237">
        <f>EU442*POWER(KLslave,SIGN(EV442))*POWER(INslave,SIGN(EW442))*POWER(CHslave,SIGN(EX442))*POWER(FFslave_FF,SIGN(EY442))*POWER(GEslave,SIGN(EZ442))*POWER(KOslave,SIGN(FA442))*POWER(KKslave,SIGN(FB442))+EV442*POWER(MUslave,SIGN(EU442))*POWER(INslave,SIGN(EW442))*POWER(CHslave,SIGN(EX442))*POWER(FFslave_FF,SIGN(EY442))*POWER(GEslave,SIGN(EZ442))*POWER(KOslave,SIGN(FA442))*POWER(KKslave,SIGN(FB442))+EW442*POWER(MUslave,SIGN(EU442))*POWER(KLslave,SIGN(EV442))*POWER(CHslave,SIGN(EX442))*POWER(FFslave_FF,SIGN(EY442))*POWER(GEslave,SIGN(EZ442))*POWER(KOslave,SIGN(FA442))*POWER(KKslave,SIGN(FB442))+EX442*POWER(MUslave,SIGN(EU442))*POWER(KLslave,SIGN(EV442))*POWER(INslave,SIGN(EW442))*POWER(FFslave_FF,SIGN(EY442))*POWER(GEslave,SIGN(EZ442))*POWER(KOslave,SIGN(FA442))*POWER(KKslave,SIGN(FB442))+EY442*POWER(MUslave,SIGN(EU442))*POWER(KLslave,SIGN(EV442))*POWER(INslave,SIGN(EW442))*POWER(CHslave,SIGN(EX442))*POWER(GEslave,SIGN(EZ442))*POWER(KOslave,SIGN(FA442))*POWER(KKslave,SIGN(FB442))+EZ442*POWER(MUslave,SIGN(EU442))*POWER(KLslave,SIGN(EV442))*POWER(INslave,SIGN(EW442))*POWER(CHslave,SIGN(EX442))*POWER(FFslave_FF,SIGN(EY442))*POWER(KOslave,SIGN(FA442))*POWER(KKslave,SIGN(FB442))+FA442*POWER(MUslave,SIGN(EU442))*POWER(KLslave,SIGN(EV442))*POWER(INslave,SIGN(EW442))*POWER(CHslave,SIGN(EX442))*POWER(FFslave_FF,SIGN(EY442))*POWER(GEslave,SIGN(EZ442))*POWER(KKslave,SIGN(FB442))+FB442*POWER(MUslave,SIGN(EU442))*POWER(KLslave,SIGN(EV442))*POWER(INslave,SIGN(EW442))*POWER(CHslave,SIGN(EX442))*POWER(FFslave_FF,SIGN(EY442))*POWER(GEslave,SIGN(EZ442))*POWER(KOslave,SIGN(FA442))</f>
        <v>2304</v>
      </c>
      <c r="FG442" s="234">
        <f>EU442*EW442*CHslave+EU442*INslave*EX442+MUslave*EW442*EX442</f>
        <v>3456</v>
      </c>
      <c r="FH442" s="224">
        <f>IFERROR(EU442^SIGN(EU442),1)*IFERROR(EV442^SIGN(EV442),1)*IFERROR(EW442^SIGN(EW442),1)*IFERROR(EX442^SIGN(EX442),1)*IFERROR(EY442^SIGN(EY442),1)*IFERROR(EZ442^SIGN(EZ442),1)*IFERROR(FA442^SIGN(FA442),1)*IFERROR(FB442^SIGN(FB442),1)</f>
        <v>1728</v>
      </c>
      <c r="FI442" s="242">
        <f>SUM(FF442:FH442)</f>
        <v>7488</v>
      </c>
      <c r="FJ442" s="222">
        <f>FC442*FF442/FI442</f>
        <v>3.6923076923076925</v>
      </c>
      <c r="FK442" s="223">
        <f>FD442*FG442/FI442</f>
        <v>11.076923076923077</v>
      </c>
      <c r="FL442" s="243">
        <f>FE442*FH442/FI442</f>
        <v>8.3076923076923084</v>
      </c>
      <c r="FM442" s="243">
        <f>SUM(FJ442:FL442)</f>
        <v>23.07692307692308</v>
      </c>
      <c r="FN442" s="252">
        <f t="shared" si="4754"/>
        <v>0</v>
      </c>
      <c r="FO442" s="309">
        <f>FM442-FN442</f>
        <v>23.07692307692308</v>
      </c>
      <c r="FP442" s="218">
        <f>IF(FM442&lt;=0,2,0)+IF(FM442&gt;0,FM442+1,0)*2+IF(FM442&gt;12,FM442-12,0)*2+IF(FM442&gt;13,FM442-13,0)*2+IF(FM442&gt;14,FM442-14,0)*2+IF(FM442&gt;15,FM442-15,0)*2+IF(FM442&gt;16,FM442-16,0)*2+IF(FM442&gt;17,FM442-17,0)*2+IF(FM442&gt;18,FM442-18,0)*2+IF(FM442&gt;19,FM442-19,0)*2+IF(FM442&gt;20,FM442-20,0)*2</f>
        <v>175.5384615384616</v>
      </c>
      <c r="FQ442" s="242">
        <f>IF(FN442&lt;=0,2,0)+IF(FN442&gt;0,FN442+1,0)*2+IF(FN442&gt;12,FN442-12,0)*2+IF(FN442&gt;13,FN442-13,0)*2+IF(FN442&gt;14,FN442-14,0)*2+IF(FN442&gt;15,FN442-15,0)*2+IF(FN442&gt;16,FN442-16,0)*2+IF(FN442&gt;17,FN442-17,0)*2+IF(FN442&gt;18,FN442-18,0)*2+IF(FN442&gt;19,FN442-19,0)*2+IF(FN442&gt;20,FN442-20,0)*2</f>
        <v>2</v>
      </c>
      <c r="FR442" s="243">
        <f>IF((FP442-FQ442)&gt;0,FP442-FQ442,0)</f>
        <v>173.5384615384616</v>
      </c>
      <c r="FS442" s="218">
        <f>IF((FQ442-FP442)&gt;0,FQ442-FP442,0)</f>
        <v>0</v>
      </c>
      <c r="FU442" s="325" t="s">
        <v>241</v>
      </c>
      <c r="FV442" s="218" t="s">
        <v>86</v>
      </c>
      <c r="FW442" s="223" t="s">
        <v>132</v>
      </c>
      <c r="FX442" s="237">
        <f>Konvention_1slave-MUslave</f>
        <v>12</v>
      </c>
      <c r="FY442" s="234"/>
      <c r="FZ442" s="234">
        <f>Konvention_1slave-INslave</f>
        <v>12</v>
      </c>
      <c r="GA442" s="234">
        <f>Konvention_1slave-CHslave</f>
        <v>12</v>
      </c>
      <c r="GB442" s="234"/>
      <c r="GC442" s="234"/>
      <c r="GD442" s="234"/>
      <c r="GE442" s="224"/>
      <c r="GF442" s="223">
        <f>(FX442+FY442+FZ442+GA442+GB442+GC442+GD442+GE442)/3</f>
        <v>12</v>
      </c>
      <c r="GG442" s="223">
        <f>2*GF442</f>
        <v>24</v>
      </c>
      <c r="GH442" s="234">
        <f>3*GF442</f>
        <v>36</v>
      </c>
      <c r="GI442" s="237">
        <f>FX442*POWER(KLslave,SIGN(FY442))*POWER(INslave,SIGN(FZ442))*POWER(CHslave,SIGN(GA442))*POWER(FFslave,SIGN(GB442))*POWER(GEslave_GE,SIGN(GC442))*POWER(KOslave,SIGN(GD442))*POWER(KKslave,SIGN(GE442))+FY442*POWER(MUslave,SIGN(FX442))*POWER(INslave,SIGN(FZ442))*POWER(CHslave,SIGN(GA442))*POWER(FFslave,SIGN(GB442))*POWER(GEslave_GE,SIGN(GC442))*POWER(KOslave,SIGN(GD442))*POWER(KKslave,SIGN(GE442))+FZ442*POWER(MUslave,SIGN(FX442))*POWER(KLslave,SIGN(FY442))*POWER(CHslave,SIGN(GA442))*POWER(FFslave,SIGN(GB442))*POWER(GEslave_GE,SIGN(GC442))*POWER(KOslave,SIGN(GD442))*POWER(KKslave,SIGN(GE442))+GA442*POWER(MUslave,SIGN(FX442))*POWER(KLslave,SIGN(FY442))*POWER(INslave,SIGN(FZ442))*POWER(FFslave,SIGN(GB442))*POWER(GEslave_GE,SIGN(GC442))*POWER(KOslave,SIGN(GD442))*POWER(KKslave,SIGN(GE442))+GB442*POWER(MUslave,SIGN(FX442))*POWER(KLslave,SIGN(FY442))*POWER(INslave,SIGN(FZ442))*POWER(CHslave,SIGN(GA442))*POWER(GEslave_GE,SIGN(GC442))*POWER(KOslave,SIGN(GD442))*POWER(KKslave,SIGN(GE442))+GC442*POWER(MUslave,SIGN(FX442))*POWER(KLslave,SIGN(FY442))*POWER(INslave,SIGN(FZ442))*POWER(CHslave,SIGN(GA442))*POWER(FFslave,SIGN(GB442))*POWER(KOslave,SIGN(GD442))*POWER(KKslave,SIGN(GE442))+GD442*POWER(MUslave,SIGN(FX442))*POWER(KLslave,SIGN(FY442))*POWER(INslave,SIGN(FZ442))*POWER(CHslave,SIGN(GA442))*POWER(FFslave,SIGN(GB442))*POWER(GEslave_GE,SIGN(GC442))*POWER(KKslave,SIGN(GE442))+GE442*POWER(MUslave,SIGN(FX442))*POWER(KLslave,SIGN(FY442))*POWER(INslave,SIGN(FZ442))*POWER(CHslave,SIGN(GA442))*POWER(FFslave,SIGN(GB442))*POWER(GEslave_GE,SIGN(GC442))*POWER(KOslave,SIGN(GD442))</f>
        <v>2304</v>
      </c>
      <c r="GJ442" s="234">
        <f>FX442*FZ442*CHslave+FX442*INslave*GA442+MUslave*FZ442*GA442</f>
        <v>3456</v>
      </c>
      <c r="GK442" s="224">
        <f>IFERROR(FX442^SIGN(FX442),1)*IFERROR(FY442^SIGN(FY442),1)*IFERROR(FZ442^SIGN(FZ442),1)*IFERROR(GA442^SIGN(GA442),1)*IFERROR(GB442^SIGN(GB442),1)*IFERROR(GC442^SIGN(GC442),1)*IFERROR(GD442^SIGN(GD442),1)*IFERROR(GE442^SIGN(GE442),1)</f>
        <v>1728</v>
      </c>
      <c r="GL442" s="242">
        <f>SUM(GI442:GK442)</f>
        <v>7488</v>
      </c>
      <c r="GM442" s="222">
        <f>GF442*GI442/GL442</f>
        <v>3.6923076923076925</v>
      </c>
      <c r="GN442" s="223">
        <f>GG442*GJ442/GL442</f>
        <v>11.076923076923077</v>
      </c>
      <c r="GO442" s="243">
        <f>GH442*GK442/GL442</f>
        <v>8.3076923076923084</v>
      </c>
      <c r="GP442" s="243">
        <f>SUM(GM442:GO442)</f>
        <v>23.07692307692308</v>
      </c>
      <c r="GQ442" s="252">
        <f t="shared" si="4755"/>
        <v>0</v>
      </c>
      <c r="GR442" s="309">
        <f>GP442-GQ442</f>
        <v>23.07692307692308</v>
      </c>
      <c r="GS442" s="218">
        <f>IF(GP442&lt;=0,2,0)+IF(GP442&gt;0,GP442+1,0)*2+IF(GP442&gt;12,GP442-12,0)*2+IF(GP442&gt;13,GP442-13,0)*2+IF(GP442&gt;14,GP442-14,0)*2+IF(GP442&gt;15,GP442-15,0)*2+IF(GP442&gt;16,GP442-16,0)*2+IF(GP442&gt;17,GP442-17,0)*2+IF(GP442&gt;18,GP442-18,0)*2+IF(GP442&gt;19,GP442-19,0)*2+IF(GP442&gt;20,GP442-20,0)*2</f>
        <v>175.5384615384616</v>
      </c>
      <c r="GT442" s="242">
        <f>IF(GQ442&lt;=0,2,0)+IF(GQ442&gt;0,GQ442+1,0)*2+IF(GQ442&gt;12,GQ442-12,0)*2+IF(GQ442&gt;13,GQ442-13,0)*2+IF(GQ442&gt;14,GQ442-14,0)*2+IF(GQ442&gt;15,GQ442-15,0)*2+IF(GQ442&gt;16,GQ442-16,0)*2+IF(GQ442&gt;17,GQ442-17,0)*2+IF(GQ442&gt;18,GQ442-18,0)*2+IF(GQ442&gt;19,GQ442-19,0)*2+IF(GQ442&gt;20,GQ442-20,0)*2</f>
        <v>2</v>
      </c>
      <c r="GU442" s="243">
        <f>IF((GS442-GT442)&gt;0,GS442-GT442,0)</f>
        <v>173.5384615384616</v>
      </c>
      <c r="GV442" s="218">
        <f>IF((GT442-GS442)&gt;0,GT442-GS442,0)</f>
        <v>0</v>
      </c>
      <c r="GX442" s="325" t="s">
        <v>241</v>
      </c>
      <c r="GY442" s="218" t="s">
        <v>86</v>
      </c>
      <c r="GZ442" s="223" t="s">
        <v>132</v>
      </c>
      <c r="HA442" s="237">
        <f>Konvention_1slave-MUslave</f>
        <v>12</v>
      </c>
      <c r="HB442" s="234"/>
      <c r="HC442" s="234">
        <f>Konvention_1slave-INslave</f>
        <v>12</v>
      </c>
      <c r="HD442" s="234">
        <f>Konvention_1slave-CHslave</f>
        <v>12</v>
      </c>
      <c r="HE442" s="234"/>
      <c r="HF442" s="234"/>
      <c r="HG442" s="234"/>
      <c r="HH442" s="224"/>
      <c r="HI442" s="223">
        <f>(HA442+HB442+HC442+HD442+HE442+HF442+HG442+HH442)/3</f>
        <v>12</v>
      </c>
      <c r="HJ442" s="223">
        <f>2*HI442</f>
        <v>24</v>
      </c>
      <c r="HK442" s="234">
        <f>3*HI442</f>
        <v>36</v>
      </c>
      <c r="HL442" s="237">
        <f>HA442*POWER(KLslave,SIGN(HB442))*POWER(INslave,SIGN(HC442))*POWER(CHslave,SIGN(HD442))*POWER(FFslave,SIGN(HE442))*POWER(GEslave,SIGN(HF442))*POWER(KOslave_KO,SIGN(HG442))*POWER(KKslave,SIGN(HH442))+HB442*POWER(MUslave,SIGN(HA442))*POWER(INslave,SIGN(HC442))*POWER(CHslave,SIGN(HD442))*POWER(FFslave,SIGN(HE442))*POWER(GEslave,SIGN(HF442))*POWER(KOslave_KO,SIGN(HG442))*POWER(KKslave,SIGN(HH442))+HC442*POWER(MUslave,SIGN(HA442))*POWER(KLslave,SIGN(HB442))*POWER(CHslave,SIGN(HD442))*POWER(FFslave,SIGN(HE442))*POWER(GEslave,SIGN(HF442))*POWER(KOslave_KO,SIGN(HG442))*POWER(KKslave,SIGN(HH442))+HD442*POWER(MUslave,SIGN(HA442))*POWER(KLslave,SIGN(HB442))*POWER(INslave,SIGN(HC442))*POWER(FFslave,SIGN(HE442))*POWER(GEslave,SIGN(HF442))*POWER(KOslave_KO,SIGN(HG442))*POWER(KKslave,SIGN(HH442))+HE442*POWER(MUslave,SIGN(HA442))*POWER(KLslave,SIGN(HB442))*POWER(INslave,SIGN(HC442))*POWER(CHslave,SIGN(HD442))*POWER(GEslave,SIGN(HF442))*POWER(KOslave_KO,SIGN(HG442))*POWER(KKslave,SIGN(HH442))+HF442*POWER(MUslave,SIGN(HA442))*POWER(KLslave,SIGN(HB442))*POWER(INslave,SIGN(HC442))*POWER(CHslave,SIGN(HD442))*POWER(FFslave,SIGN(HE442))*POWER(KOslave_KO,SIGN(HG442))*POWER(KKslave,SIGN(HH442))+HG442*POWER(MUslave,SIGN(HA442))*POWER(KLslave,SIGN(HB442))*POWER(INslave,SIGN(HC442))*POWER(CHslave,SIGN(HD442))*POWER(FFslave,SIGN(HE442))*POWER(GEslave,SIGN(HF442))*POWER(KKslave,SIGN(HH442))+HH442*POWER(MUslave,SIGN(HA442))*POWER(KLslave,SIGN(HB442))*POWER(INslave,SIGN(HC442))*POWER(CHslave,SIGN(HD442))*POWER(FFslave,SIGN(HE442))*POWER(GEslave,SIGN(HF442))*POWER(KOslave_KO,SIGN(HG442))</f>
        <v>2304</v>
      </c>
      <c r="HM442" s="234">
        <f>HA442*HC442*CHslave+HA442*INslave*HD442+MUslave*HC442*HD442</f>
        <v>3456</v>
      </c>
      <c r="HN442" s="224">
        <f>IFERROR(HA442^SIGN(HA442),1)*IFERROR(HB442^SIGN(HB442),1)*IFERROR(HC442^SIGN(HC442),1)*IFERROR(HD442^SIGN(HD442),1)*IFERROR(HE442^SIGN(HE442),1)*IFERROR(HF442^SIGN(HF442),1)*IFERROR(HG442^SIGN(HG442),1)*IFERROR(HH442^SIGN(HH442),1)</f>
        <v>1728</v>
      </c>
      <c r="HO442" s="242">
        <f>SUM(HL442:HN442)</f>
        <v>7488</v>
      </c>
      <c r="HP442" s="222">
        <f>HI442*HL442/HO442</f>
        <v>3.6923076923076925</v>
      </c>
      <c r="HQ442" s="223">
        <f>HJ442*HM442/HO442</f>
        <v>11.076923076923077</v>
      </c>
      <c r="HR442" s="243">
        <f>HK442*HN442/HO442</f>
        <v>8.3076923076923084</v>
      </c>
      <c r="HS442" s="243">
        <f>SUM(HP442:HR442)</f>
        <v>23.07692307692308</v>
      </c>
      <c r="HT442" s="252">
        <f t="shared" si="4756"/>
        <v>0</v>
      </c>
      <c r="HU442" s="309">
        <f>HS442-HT442</f>
        <v>23.07692307692308</v>
      </c>
      <c r="HV442" s="218">
        <f>IF(HS442&lt;=0,2,0)+IF(HS442&gt;0,HS442+1,0)*2+IF(HS442&gt;12,HS442-12,0)*2+IF(HS442&gt;13,HS442-13,0)*2+IF(HS442&gt;14,HS442-14,0)*2+IF(HS442&gt;15,HS442-15,0)*2+IF(HS442&gt;16,HS442-16,0)*2+IF(HS442&gt;17,HS442-17,0)*2+IF(HS442&gt;18,HS442-18,0)*2+IF(HS442&gt;19,HS442-19,0)*2+IF(HS442&gt;20,HS442-20,0)*2</f>
        <v>175.5384615384616</v>
      </c>
      <c r="HW442" s="242">
        <f>IF(HT442&lt;=0,2,0)+IF(HT442&gt;0,HT442+1,0)*2+IF(HT442&gt;12,HT442-12,0)*2+IF(HT442&gt;13,HT442-13,0)*2+IF(HT442&gt;14,HT442-14,0)*2+IF(HT442&gt;15,HT442-15,0)*2+IF(HT442&gt;16,HT442-16,0)*2+IF(HT442&gt;17,HT442-17,0)*2+IF(HT442&gt;18,HT442-18,0)*2+IF(HT442&gt;19,HT442-19,0)*2+IF(HT442&gt;20,HT442-20,0)*2</f>
        <v>2</v>
      </c>
      <c r="HX442" s="243">
        <f>IF((HV442-HW442)&gt;0,HV442-HW442,0)</f>
        <v>173.5384615384616</v>
      </c>
      <c r="HY442" s="218">
        <f>IF((HW442-HV442)&gt;0,HW442-HV442,0)</f>
        <v>0</v>
      </c>
      <c r="IA442" s="325" t="s">
        <v>241</v>
      </c>
      <c r="IB442" s="218" t="s">
        <v>86</v>
      </c>
      <c r="IC442" s="223" t="s">
        <v>132</v>
      </c>
      <c r="ID442" s="237">
        <f>Konvention_1slave-MUslave</f>
        <v>12</v>
      </c>
      <c r="IE442" s="234"/>
      <c r="IF442" s="234">
        <f>Konvention_1slave-INslave</f>
        <v>12</v>
      </c>
      <c r="IG442" s="234">
        <f>Konvention_1slave-CHslave</f>
        <v>12</v>
      </c>
      <c r="IH442" s="234"/>
      <c r="II442" s="234"/>
      <c r="IJ442" s="234"/>
      <c r="IK442" s="224"/>
      <c r="IL442" s="223">
        <f>(ID442+IE442+IF442+IG442+IH442+II442+IJ442+IK442)/3</f>
        <v>12</v>
      </c>
      <c r="IM442" s="223">
        <f>2*IL442</f>
        <v>24</v>
      </c>
      <c r="IN442" s="234">
        <f>3*IL442</f>
        <v>36</v>
      </c>
      <c r="IO442" s="237">
        <f>ID442*POWER(KLslave,SIGN(IE442))*POWER(INslave,SIGN(IF442))*POWER(CHslave,SIGN(IG442))*POWER(FFslave,SIGN(IH442))*POWER(GEslave,SIGN(II442))*POWER(KOslave,SIGN(IJ442))*POWER(KKslave_KK,SIGN(IK442))+IE442*POWER(MUslave,SIGN(ID442))*POWER(INslave,SIGN(IF442))*POWER(CHslave,SIGN(IG442))*POWER(FFslave,SIGN(IH442))*POWER(GEslave,SIGN(II442))*POWER(KOslave,SIGN(IJ442))*POWER(KKslave_KK,SIGN(IK442))+IF442*POWER(MUslave,SIGN(ID442))*POWER(KLslave,SIGN(IE442))*POWER(CHslave,SIGN(IG442))*POWER(FFslave,SIGN(IH442))*POWER(GEslave,SIGN(II442))*POWER(KOslave,SIGN(IJ442))*POWER(KKslave_KK,SIGN(IK442))+IG442*POWER(MUslave,SIGN(ID442))*POWER(KLslave,SIGN(IE442))*POWER(INslave,SIGN(IF442))*POWER(FFslave,SIGN(IH442))*POWER(GEslave,SIGN(II442))*POWER(KOslave,SIGN(IJ442))*POWER(KKslave_KK,SIGN(IK442))+IH442*POWER(MUslave,SIGN(ID442))*POWER(KLslave,SIGN(IE442))*POWER(INslave,SIGN(IF442))*POWER(CHslave,SIGN(IG442))*POWER(GEslave,SIGN(II442))*POWER(KOslave,SIGN(IJ442))*POWER(KKslave_KK,SIGN(IK442))+II442*POWER(MUslave,SIGN(ID442))*POWER(KLslave,SIGN(IE442))*POWER(INslave,SIGN(IF442))*POWER(CHslave,SIGN(IG442))*POWER(FFslave,SIGN(IH442))*POWER(KOslave,SIGN(IJ442))*POWER(KKslave_KK,SIGN(IK442))+IJ442*POWER(MUslave,SIGN(ID442))*POWER(KLslave,SIGN(IE442))*POWER(INslave,SIGN(IF442))*POWER(CHslave,SIGN(IG442))*POWER(FFslave,SIGN(IH442))*POWER(GEslave,SIGN(II442))*POWER(KKslave_KK,SIGN(IK442))+IK442*POWER(MUslave,SIGN(ID442))*POWER(KLslave,SIGN(IE442))*POWER(INslave,SIGN(IF442))*POWER(CHslave,SIGN(IG442))*POWER(FFslave,SIGN(IH442))*POWER(GEslave,SIGN(II442))*POWER(KOslave,SIGN(IJ442))</f>
        <v>2304</v>
      </c>
      <c r="IP442" s="234">
        <f>ID442*IF442*CHslave+ID442*INslave*IG442+MUslave*IF442*IG442</f>
        <v>3456</v>
      </c>
      <c r="IQ442" s="224">
        <f>IFERROR(ID442^SIGN(ID442),1)*IFERROR(IE442^SIGN(IE442),1)*IFERROR(IF442^SIGN(IF442),1)*IFERROR(IG442^SIGN(IG442),1)*IFERROR(IH442^SIGN(IH442),1)*IFERROR(II442^SIGN(II442),1)*IFERROR(IJ442^SIGN(IJ442),1)*IFERROR(IK442^SIGN(IK442),1)</f>
        <v>1728</v>
      </c>
      <c r="IR442" s="242">
        <f>SUM(IO442:IQ442)</f>
        <v>7488</v>
      </c>
      <c r="IS442" s="222">
        <f>IL442*IO442/IR442</f>
        <v>3.6923076923076925</v>
      </c>
      <c r="IT442" s="223">
        <f>IM442*IP442/IR442</f>
        <v>11.076923076923077</v>
      </c>
      <c r="IU442" s="243">
        <f>IN442*IQ442/IR442</f>
        <v>8.3076923076923084</v>
      </c>
      <c r="IV442" s="243">
        <f>SUM(IS442:IU442)</f>
        <v>23.07692307692308</v>
      </c>
      <c r="IW442" s="252">
        <f t="shared" si="4757"/>
        <v>0</v>
      </c>
      <c r="IX442" s="309">
        <f>IV442-IW442</f>
        <v>23.07692307692308</v>
      </c>
      <c r="IY442" s="218">
        <f>IF(IV442&lt;=0,2,0)+IF(IV442&gt;0,IV442+1,0)*2+IF(IV442&gt;12,IV442-12,0)*2+IF(IV442&gt;13,IV442-13,0)*2+IF(IV442&gt;14,IV442-14,0)*2+IF(IV442&gt;15,IV442-15,0)*2+IF(IV442&gt;16,IV442-16,0)*2+IF(IV442&gt;17,IV442-17,0)*2+IF(IV442&gt;18,IV442-18,0)*2+IF(IV442&gt;19,IV442-19,0)*2+IF(IV442&gt;20,IV442-20,0)*2</f>
        <v>175.5384615384616</v>
      </c>
      <c r="IZ442" s="242">
        <f>IF(IW442&lt;=0,2,0)+IF(IW442&gt;0,IW442+1,0)*2+IF(IW442&gt;12,IW442-12,0)*2+IF(IW442&gt;13,IW442-13,0)*2+IF(IW442&gt;14,IW442-14,0)*2+IF(IW442&gt;15,IW442-15,0)*2+IF(IW442&gt;16,IW442-16,0)*2+IF(IW442&gt;17,IW442-17,0)*2+IF(IW442&gt;18,IW442-18,0)*2+IF(IW442&gt;19,IW442-19,0)*2+IF(IW442&gt;20,IW442-20,0)*2</f>
        <v>2</v>
      </c>
      <c r="JA442" s="243">
        <f>IF((IY442-IZ442)&gt;0,IY442-IZ442,0)</f>
        <v>173.5384615384616</v>
      </c>
      <c r="JB442" s="218">
        <f>IF((IZ442-IY442)&gt;0,IZ442-IY442,0)</f>
        <v>0</v>
      </c>
      <c r="JE442" s="148"/>
    </row>
    <row r="443" spans="1:265" ht="15" hidden="1" customHeight="1" outlineLevel="2">
      <c r="B443" s="137">
        <v>3</v>
      </c>
      <c r="C443" s="325" t="e">
        <f>VLOOKUP(AF443,Attribute!C:T,1,FALSE)</f>
        <v>#N/A</v>
      </c>
      <c r="D443" s="125" t="s">
        <v>100</v>
      </c>
      <c r="E443" s="47" t="s">
        <v>135</v>
      </c>
      <c r="F443" s="114">
        <f>Konvention_1master-MUmaster</f>
        <v>12</v>
      </c>
      <c r="G443" s="113"/>
      <c r="H443" s="113">
        <f>Konvention_1master-INmaster</f>
        <v>12</v>
      </c>
      <c r="I443" s="113"/>
      <c r="J443" s="113"/>
      <c r="K443" s="113"/>
      <c r="L443" s="113">
        <f>Konvention_1master-KOmaster</f>
        <v>12</v>
      </c>
      <c r="M443" s="119"/>
      <c r="N443" s="223">
        <f>(F443+G443+H443+I443+J443+K443+L443+M443)/3</f>
        <v>12</v>
      </c>
      <c r="O443" s="223">
        <f>2*N443</f>
        <v>24</v>
      </c>
      <c r="P443" s="234">
        <f>3*N443</f>
        <v>36</v>
      </c>
      <c r="Q443" s="237">
        <f>F443*POWER(KLmaster,SIGN(G443))*POWER(INmaster,SIGN(H443))*POWER(CHmaster,SIGN(I443))*POWER(FFmaster,SIGN(J443))*POWER(GEmaster,SIGN(K443))*POWER(KOmaster,SIGN(L443))*POWER(KKmaster,SIGN(M443))+G443*POWER(MUmaster,SIGN(F443))*POWER(INmaster,SIGN(H443))*POWER(CHmaster,SIGN(I443))*POWER(FFmaster,SIGN(J443))*POWER(GEmaster,SIGN(K443))*POWER(KOmaster,SIGN(L443))*POWER(KKmaster,SIGN(M443))+H443*POWER(MUmaster,SIGN(F443))*POWER(KLmaster,SIGN(G443))*POWER(CHmaster,SIGN(I443))*POWER(FFmaster,SIGN(J443))*POWER(GEmaster,SIGN(K443))*POWER(KOmaster,SIGN(L443))*POWER(KKmaster,SIGN(M443))+I443*POWER(MUmaster,SIGN(F443))*POWER(KLmaster,SIGN(G443))*POWER(INmaster,SIGN(H443))*POWER(FFmaster,SIGN(J443))*POWER(GEmaster,SIGN(K443))*POWER(KOmaster,SIGN(L443))*POWER(KKmaster,SIGN(M443))+J443*POWER(MUmaster,SIGN(F443))*POWER(KLmaster,SIGN(G443))*POWER(INmaster,SIGN(H443))*POWER(CHmaster,SIGN(I443))*POWER(GEmaster,SIGN(K443))*POWER(KOmaster,SIGN(L443))*POWER(KKmaster,SIGN(M443))+K443*POWER(MUmaster,SIGN(F443))*POWER(KLmaster,SIGN(G443))*POWER(INmaster,SIGN(H443))*POWER(CHmaster,SIGN(I443))*POWER(FFmaster,SIGN(J443))*POWER(KOmaster,SIGN(L443))*POWER(KKmaster,SIGN(M443))+L443*POWER(MUmaster,SIGN(F443))*POWER(KLmaster,SIGN(G443))*POWER(INmaster,SIGN(H443))*POWER(CHmaster,SIGN(I443))*POWER(FFmaster,SIGN(J443))*POWER(GEmaster,SIGN(K443))*POWER(KKmaster,SIGN(M443))+M443*POWER(MUmaster,SIGN(F443))*POWER(KLmaster,SIGN(G443))*POWER(INmaster,SIGN(H443))*POWER(CHmaster,SIGN(I443))*POWER(FFmaster,SIGN(J443))*POWER(GEmaster,SIGN(K443))*POWER(KOmaster,SIGN(L443))</f>
        <v>2304</v>
      </c>
      <c r="R443" s="113">
        <f>F443*H443*KOmaster+F443*INmaster*L443+MUmaster*H443*L443</f>
        <v>3456</v>
      </c>
      <c r="S443" s="224">
        <f>IFERROR(F443^SIGN(F443),1)*IFERROR(G443^SIGN(G443),1)*IFERROR(H443^SIGN(H443),1)*IFERROR(I443^SIGN(I443),1)*IFERROR(J443^SIGN(J443),1)*IFERROR(K443^SIGN(K443),1)*IFERROR(L443^SIGN(L443),1)*IFERROR(M443^SIGN(M443),1)</f>
        <v>1728</v>
      </c>
      <c r="T443" s="242">
        <f>SUM(Q443:S443)</f>
        <v>7488</v>
      </c>
      <c r="U443" s="222">
        <f>N443*Q443/T443</f>
        <v>3.6923076923076925</v>
      </c>
      <c r="V443" s="223">
        <f>O443*R443/T443</f>
        <v>11.076923076923077</v>
      </c>
      <c r="W443" s="243">
        <f>P443*S443/T443</f>
        <v>8.3076923076923084</v>
      </c>
      <c r="X443" s="243">
        <f>SUM(U443:W443)</f>
        <v>23.07692307692308</v>
      </c>
      <c r="Y443" s="252">
        <v>0</v>
      </c>
      <c r="Z443" s="198">
        <f>X443-Y443</f>
        <v>23.07692307692308</v>
      </c>
      <c r="AA443" s="125">
        <f>IF(X443&lt;=0,3,0)+IF(X443&gt;0,X443+1,0)*3+IF(X443&gt;12,X443-12,0)*3+IF(X443&gt;13,X443-13,0)*3+IF(X443&gt;14,X443-14,0)*3+IF(X443&gt;15,X443-15,0)*3+IF(X443&gt;16,X443-16,0)*3+IF(X443&gt;17,X443-17,0)*3+IF(X443&gt;18,X443-18,0)*3+IF(X443&gt;19,X443-19,0)*3+IF(X443&gt;20,X443-20,0)*3</f>
        <v>263.30769230769232</v>
      </c>
      <c r="AB443" s="160">
        <f>IF(Y443&lt;=0,3,0)+IF(Y443&gt;0,Y443+1,0)*3+IF(Y443&gt;12,Y443-12,0)*3+IF(Y443&gt;13,Y443-13,0)*3+IF(Y443&gt;14,Y443-14,0)*3+IF(Y443&gt;15,Y443-15,0)*3+IF(Y443&gt;16,Y443-16,0)*3+IF(Y443&gt;17,Y443-17,0)*3+IF(Y443&gt;18,Y443-18,0)*3+IF(Y443&gt;19,Y443-19,0)*3+IF(Y443&gt;20,Y443-20,0)*3</f>
        <v>3</v>
      </c>
      <c r="AC443" s="127">
        <f>IF((AA443-AB443)&gt;0,AA443-AB443,0)</f>
        <v>260.30769230769232</v>
      </c>
      <c r="AD443" s="125">
        <f>IF((AB443-AA443)&gt;0,AB443-AA443,0)</f>
        <v>0</v>
      </c>
      <c r="AF443" s="177" t="s">
        <v>263</v>
      </c>
      <c r="AG443" s="125" t="s">
        <v>100</v>
      </c>
      <c r="AH443" s="47" t="s">
        <v>135</v>
      </c>
      <c r="AI443" s="114">
        <f>Konvention_1slave-MUslave_MU</f>
        <v>11</v>
      </c>
      <c r="AJ443" s="113"/>
      <c r="AK443" s="113">
        <f>Konvention_1slave-INslave</f>
        <v>12</v>
      </c>
      <c r="AL443" s="113"/>
      <c r="AM443" s="113"/>
      <c r="AN443" s="113"/>
      <c r="AO443" s="113">
        <f>Konvention_1slave-KOslave</f>
        <v>12</v>
      </c>
      <c r="AP443" s="119"/>
      <c r="AQ443" s="47">
        <f>(AI443+AJ443+AK443+AL443+AM443+AN443+AO443+AP443)/3</f>
        <v>11.666666666666666</v>
      </c>
      <c r="AR443" s="47">
        <f>2*AQ443</f>
        <v>23.333333333333332</v>
      </c>
      <c r="AS443" s="113">
        <f>3*AQ443</f>
        <v>35</v>
      </c>
      <c r="AT443" s="114">
        <f>AI443*POWER(KLslave,SIGN(AJ443))*POWER(INslave,SIGN(AK443))*POWER(CHslave,SIGN(AL443))*POWER(FFslave,SIGN(AM443))*POWER(GEslave,SIGN(AN443))*POWER(KOslave,SIGN(AO443))*POWER(KKslave,SIGN(AP443))+AJ443*POWER(MUslave_MU,SIGN(AI443))*POWER(INslave,SIGN(AK443))*POWER(CHslave,SIGN(AL443))*POWER(FFslave,SIGN(AM443))*POWER(GEslave,SIGN(AN443))*POWER(KOslave,SIGN(AO443))*POWER(KKslave,SIGN(AP443))+AK443*POWER(MUslave_MU,SIGN(AI443))*POWER(KLslave,SIGN(AJ443))*POWER(CHslave,SIGN(AL443))*POWER(FFslave,SIGN(AM443))*POWER(GEslave,SIGN(AN443))*POWER(KOslave,SIGN(AO443))*POWER(KKslave,SIGN(AP443))+AL443*POWER(MUslave_MU,SIGN(AI443))*POWER(KLslave,SIGN(AJ443))*POWER(INslave,SIGN(AK443))*POWER(FFslave,SIGN(AM443))*POWER(GEslave,SIGN(AN443))*POWER(KOslave,SIGN(AO443))*POWER(KKslave,SIGN(AP443))+AM443*POWER(MUslave_MU,SIGN(AI443))*POWER(KLslave,SIGN(AJ443))*POWER(INslave,SIGN(AK443))*POWER(CHslave,SIGN(AL443))*POWER(GEslave,SIGN(AN443))*POWER(KOslave,SIGN(AO443))*POWER(KKslave,SIGN(AP443))+AN443*POWER(MUslave_MU,SIGN(AI443))*POWER(KLslave,SIGN(AJ443))*POWER(INslave,SIGN(AK443))*POWER(CHslave,SIGN(AL443))*POWER(FFslave,SIGN(AM443))*POWER(KOslave,SIGN(AO443))*POWER(KKslave,SIGN(AP443))+AO443*POWER(MUslave_MU,SIGN(AI443))*POWER(KLslave,SIGN(AJ443))*POWER(INslave,SIGN(AK443))*POWER(CHslave,SIGN(AL443))*POWER(FFslave,SIGN(AM443))*POWER(GEslave,SIGN(AN443))*POWER(KKslave,SIGN(AP443))+AP443*POWER(MUslave_MU,SIGN(AI443))*POWER(KLslave,SIGN(AJ443))*POWER(INslave,SIGN(AK443))*POWER(CHslave,SIGN(AL443))*POWER(FFslave,SIGN(AM443))*POWER(GEslave,SIGN(AN443))*POWER(KOslave,SIGN(AO443))</f>
        <v>2432</v>
      </c>
      <c r="AU443" s="113">
        <f>AI443*AK443*KOslave+AI443*INslave*AO443+MUslave_MU*AK443*AO443</f>
        <v>3408</v>
      </c>
      <c r="AV443" s="119">
        <f>IFERROR(AI443^SIGN(AI443),1)*IFERROR(AJ443^SIGN(AJ443),1)*IFERROR(AK443^SIGN(AK443),1)*IFERROR(AL443^SIGN(AL443),1)*IFERROR(AM443^SIGN(AM443),1)*IFERROR(AN443^SIGN(AN443),1)*IFERROR(AO443^SIGN(AO443),1)*IFERROR(AP443^SIGN(AP443),1)</f>
        <v>1584</v>
      </c>
      <c r="AW443" s="160">
        <f>SUM(AT443:AV443)</f>
        <v>7424</v>
      </c>
      <c r="AX443" s="89">
        <f>AQ443*AT443/AW443</f>
        <v>3.8218390804597702</v>
      </c>
      <c r="AY443" s="47">
        <f>AR443*AU443/AW443</f>
        <v>10.711206896551724</v>
      </c>
      <c r="AZ443" s="127">
        <f>AS443*AV443/AW443</f>
        <v>7.4676724137931032</v>
      </c>
      <c r="BA443" s="127">
        <f>SUM(AX443:AZ443)</f>
        <v>22.000718390804597</v>
      </c>
      <c r="BB443" s="165">
        <f t="shared" si="4750"/>
        <v>0</v>
      </c>
      <c r="BC443" s="198">
        <f>BA443-BB443</f>
        <v>22.000718390804597</v>
      </c>
      <c r="BD443" s="125">
        <f>IF(BA443&lt;=0,3,0)+IF(BA443&gt;0,BA443+1,0)*3+IF(BA443&gt;12,BA443-12,0)*3+IF(BA443&gt;13,BA443-13,0)*3+IF(BA443&gt;14,BA443-14,0)*3+IF(BA443&gt;15,BA443-15,0)*3+IF(BA443&gt;16,BA443-16,0)*3+IF(BA443&gt;17,BA443-17,0)*3+IF(BA443&gt;18,BA443-18,0)*3+IF(BA443&gt;19,BA443-19,0)*3+IF(BA443&gt;20,BA443-20,0)*3</f>
        <v>231.02155172413785</v>
      </c>
      <c r="BE443" s="160">
        <f>IF(BB443&lt;=0,3,0)+IF(BB443&gt;0,BB443+1,0)*3+IF(BB443&gt;12,BB443-12,0)*3+IF(BB443&gt;13,BB443-13,0)*3+IF(BB443&gt;14,BB443-14,0)*3+IF(BB443&gt;15,BB443-15,0)*3+IF(BB443&gt;16,BB443-16,0)*3+IF(BB443&gt;17,BB443-17,0)*3+IF(BB443&gt;18,BB443-18,0)*3+IF(BB443&gt;19,BB443-19,0)*3+IF(BB443&gt;20,BB443-20,0)*3</f>
        <v>3</v>
      </c>
      <c r="BF443" s="243">
        <f>IF((BD443-BE443)&gt;0,BD443-BE443,0)</f>
        <v>228.02155172413785</v>
      </c>
      <c r="BG443" s="218">
        <f>IF((BE443-BD443)&gt;0,BE443-BD443,0)</f>
        <v>0</v>
      </c>
      <c r="BI443" s="325" t="s">
        <v>263</v>
      </c>
      <c r="BJ443" s="218" t="s">
        <v>100</v>
      </c>
      <c r="BK443" s="223" t="s">
        <v>135</v>
      </c>
      <c r="BL443" s="237">
        <f>Konvention_1slave-MUslave</f>
        <v>12</v>
      </c>
      <c r="BM443" s="234"/>
      <c r="BN443" s="234">
        <f>Konvention_1slave-INslave</f>
        <v>12</v>
      </c>
      <c r="BO443" s="234"/>
      <c r="BP443" s="234"/>
      <c r="BQ443" s="234"/>
      <c r="BR443" s="234">
        <f>Konvention_1slave-KOslave</f>
        <v>12</v>
      </c>
      <c r="BS443" s="224"/>
      <c r="BT443" s="223">
        <f>(BL443+BM443+BN443+BO443+BP443+BQ443+BR443+BS443)/3</f>
        <v>12</v>
      </c>
      <c r="BU443" s="223">
        <f>2*BT443</f>
        <v>24</v>
      </c>
      <c r="BV443" s="234">
        <f>3*BT443</f>
        <v>36</v>
      </c>
      <c r="BW443" s="237">
        <f>BL443*POWER(KLslave_KL,SIGN(BM443))*POWER(INslave,SIGN(BN443))*POWER(CHslave,SIGN(BO443))*POWER(FFslave,SIGN(BP443))*POWER(GEslave,SIGN(BQ443))*POWER(KOslave,SIGN(BR443))*POWER(KKslave,SIGN(BS443))+BM443*POWER(MUslave,SIGN(BL443))*POWER(INslave,SIGN(BN443))*POWER(CHslave,SIGN(BO443))*POWER(FFslave,SIGN(BP443))*POWER(GEslave,SIGN(BQ443))*POWER(KOslave,SIGN(BR443))*POWER(KKslave,SIGN(BS443))+BN443*POWER(MUslave,SIGN(BL443))*POWER(KLslave_KL,SIGN(BM443))*POWER(CHslave,SIGN(BO443))*POWER(FFslave,SIGN(BP443))*POWER(GEslave,SIGN(BQ443))*POWER(KOslave,SIGN(BR443))*POWER(KKslave,SIGN(BS443))+BO443*POWER(MUslave,SIGN(BL443))*POWER(KLslave_KL,SIGN(BM443))*POWER(INslave,SIGN(BN443))*POWER(FFslave,SIGN(BP443))*POWER(GEslave,SIGN(BQ443))*POWER(KOslave,SIGN(BR443))*POWER(KKslave,SIGN(BS443))+BP443*POWER(MUslave,SIGN(BL443))*POWER(KLslave_KL,SIGN(BM443))*POWER(INslave,SIGN(BN443))*POWER(CHslave,SIGN(BO443))*POWER(GEslave,SIGN(BQ443))*POWER(KOslave,SIGN(BR443))*POWER(KKslave,SIGN(BS443))+BQ443*POWER(MUslave,SIGN(BL443))*POWER(KLslave_KL,SIGN(BM443))*POWER(INslave,SIGN(BN443))*POWER(CHslave,SIGN(BO443))*POWER(FFslave,SIGN(BP443))*POWER(KOslave,SIGN(BR443))*POWER(KKslave,SIGN(BS443))+BR443*POWER(MUslave,SIGN(BL443))*POWER(KLslave_KL,SIGN(BM443))*POWER(INslave,SIGN(BN443))*POWER(CHslave,SIGN(BO443))*POWER(FFslave,SIGN(BP443))*POWER(GEslave,SIGN(BQ443))*POWER(KKslave,SIGN(BS443))+BS443*POWER(MUslave,SIGN(BL443))*POWER(KLslave_KL,SIGN(BM443))*POWER(INslave,SIGN(BN443))*POWER(CHslave,SIGN(BO443))*POWER(FFslave,SIGN(BP443))*POWER(GEslave,SIGN(BQ443))*POWER(KOslave,SIGN(BR443))</f>
        <v>2304</v>
      </c>
      <c r="BX443" s="234">
        <f>BL443*BN443*KOslave+BL443*INslave*BR443+MUslave*BN443*BR443</f>
        <v>3456</v>
      </c>
      <c r="BY443" s="224">
        <f>IFERROR(BL443^SIGN(BL443),1)*IFERROR(BM443^SIGN(BM443),1)*IFERROR(BN443^SIGN(BN443),1)*IFERROR(BO443^SIGN(BO443),1)*IFERROR(BP443^SIGN(BP443),1)*IFERROR(BQ443^SIGN(BQ443),1)*IFERROR(BR443^SIGN(BR443),1)*IFERROR(BS443^SIGN(BS443),1)</f>
        <v>1728</v>
      </c>
      <c r="BZ443" s="242">
        <f>SUM(BW443:BY443)</f>
        <v>7488</v>
      </c>
      <c r="CA443" s="222">
        <f>BT443*BW443/BZ443</f>
        <v>3.6923076923076925</v>
      </c>
      <c r="CB443" s="223">
        <f>BU443*BX443/BZ443</f>
        <v>11.076923076923077</v>
      </c>
      <c r="CC443" s="243">
        <f>BV443*BY443/BZ443</f>
        <v>8.3076923076923084</v>
      </c>
      <c r="CD443" s="243">
        <f>SUM(CA443:CC443)</f>
        <v>23.07692307692308</v>
      </c>
      <c r="CE443" s="252">
        <f t="shared" si="4751"/>
        <v>0</v>
      </c>
      <c r="CF443" s="309">
        <f>CD443-CE443</f>
        <v>23.07692307692308</v>
      </c>
      <c r="CG443" s="218">
        <f>IF(CD443&lt;=0,3,0)+IF(CD443&gt;0,CD443+1,0)*3+IF(CD443&gt;12,CD443-12,0)*3+IF(CD443&gt;13,CD443-13,0)*3+IF(CD443&gt;14,CD443-14,0)*3+IF(CD443&gt;15,CD443-15,0)*3+IF(CD443&gt;16,CD443-16,0)*3+IF(CD443&gt;17,CD443-17,0)*3+IF(CD443&gt;18,CD443-18,0)*3+IF(CD443&gt;19,CD443-19,0)*3+IF(CD443&gt;20,CD443-20,0)*3</f>
        <v>263.30769230769232</v>
      </c>
      <c r="CH443" s="242">
        <f>IF(CE443&lt;=0,3,0)+IF(CE443&gt;0,CE443+1,0)*3+IF(CE443&gt;12,CE443-12,0)*3+IF(CE443&gt;13,CE443-13,0)*3+IF(CE443&gt;14,CE443-14,0)*3+IF(CE443&gt;15,CE443-15,0)*3+IF(CE443&gt;16,CE443-16,0)*3+IF(CE443&gt;17,CE443-17,0)*3+IF(CE443&gt;18,CE443-18,0)*3+IF(CE443&gt;19,CE443-19,0)*3+IF(CE443&gt;20,CE443-20,0)*3</f>
        <v>3</v>
      </c>
      <c r="CI443" s="243">
        <f>IF((CG443-CH443)&gt;0,CG443-CH443,0)</f>
        <v>260.30769230769232</v>
      </c>
      <c r="CJ443" s="218">
        <f>IF((CH443-CG443)&gt;0,CH443-CG443,0)</f>
        <v>0</v>
      </c>
      <c r="CL443" s="325" t="s">
        <v>263</v>
      </c>
      <c r="CM443" s="218" t="s">
        <v>100</v>
      </c>
      <c r="CN443" s="223" t="s">
        <v>135</v>
      </c>
      <c r="CO443" s="237">
        <f>Konvention_1slave-MUslave</f>
        <v>12</v>
      </c>
      <c r="CP443" s="234"/>
      <c r="CQ443" s="234">
        <f>Konvention_1slave-INslave_IN</f>
        <v>11</v>
      </c>
      <c r="CR443" s="234"/>
      <c r="CS443" s="234"/>
      <c r="CT443" s="234"/>
      <c r="CU443" s="234">
        <f>Konvention_1slave-KOslave</f>
        <v>12</v>
      </c>
      <c r="CV443" s="224"/>
      <c r="CW443" s="223">
        <f>(CO443+CP443+CQ443+CR443+CS443+CT443+CU443+CV443)/3</f>
        <v>11.666666666666666</v>
      </c>
      <c r="CX443" s="223">
        <f>2*CW443</f>
        <v>23.333333333333332</v>
      </c>
      <c r="CY443" s="234">
        <f>3*CW443</f>
        <v>35</v>
      </c>
      <c r="CZ443" s="237">
        <f>CO443*POWER(KLslave,SIGN(CP443))*POWER(INslave_IN,SIGN(CQ443))*POWER(CHslave,SIGN(CR443))*POWER(FFslave,SIGN(CS443))*POWER(GEslave,SIGN(CT443))*POWER(KOslave,SIGN(CU443))*POWER(KKslave,SIGN(CV443))+CP443*POWER(MUslave,SIGN(CO443))*POWER(INslave_IN,SIGN(CQ443))*POWER(CHslave,SIGN(CR443))*POWER(FFslave,SIGN(CS443))*POWER(GEslave,SIGN(CT443))*POWER(KOslave,SIGN(CU443))*POWER(KKslave,SIGN(CV443))+CQ443*POWER(MUslave,SIGN(CO443))*POWER(KLslave,SIGN(CP443))*POWER(CHslave,SIGN(CR443))*POWER(FFslave,SIGN(CS443))*POWER(GEslave,SIGN(CT443))*POWER(KOslave,SIGN(CU443))*POWER(KKslave,SIGN(CV443))+CR443*POWER(MUslave,SIGN(CO443))*POWER(KLslave,SIGN(CP443))*POWER(INslave_IN,SIGN(CQ443))*POWER(FFslave,SIGN(CS443))*POWER(GEslave,SIGN(CT443))*POWER(KOslave,SIGN(CU443))*POWER(KKslave,SIGN(CV443))+CS443*POWER(MUslave,SIGN(CO443))*POWER(KLslave,SIGN(CP443))*POWER(INslave_IN,SIGN(CQ443))*POWER(CHslave,SIGN(CR443))*POWER(GEslave,SIGN(CT443))*POWER(KOslave,SIGN(CU443))*POWER(KKslave,SIGN(CV443))+CT443*POWER(MUslave,SIGN(CO443))*POWER(KLslave,SIGN(CP443))*POWER(INslave_IN,SIGN(CQ443))*POWER(CHslave,SIGN(CR443))*POWER(FFslave,SIGN(CS443))*POWER(KOslave,SIGN(CU443))*POWER(KKslave,SIGN(CV443))+CU443*POWER(MUslave,SIGN(CO443))*POWER(KLslave,SIGN(CP443))*POWER(INslave_IN,SIGN(CQ443))*POWER(CHslave,SIGN(CR443))*POWER(FFslave,SIGN(CS443))*POWER(GEslave,SIGN(CT443))*POWER(KKslave,SIGN(CV443))+CV443*POWER(MUslave,SIGN(CO443))*POWER(KLslave,SIGN(CP443))*POWER(INslave_IN,SIGN(CQ443))*POWER(CHslave,SIGN(CR443))*POWER(FFslave,SIGN(CS443))*POWER(GEslave,SIGN(CT443))*POWER(KOslave,SIGN(CU443))</f>
        <v>2432</v>
      </c>
      <c r="DA443" s="234">
        <f>CO443*CQ443*KOslave+CO443*INslave_IN*CU443+MUslave*CQ443*CU443</f>
        <v>3408</v>
      </c>
      <c r="DB443" s="224">
        <f>IFERROR(CO443^SIGN(CO443),1)*IFERROR(CP443^SIGN(CP443),1)*IFERROR(CQ443^SIGN(CQ443),1)*IFERROR(CR443^SIGN(CR443),1)*IFERROR(CS443^SIGN(CS443),1)*IFERROR(CT443^SIGN(CT443),1)*IFERROR(CU443^SIGN(CU443),1)*IFERROR(CV443^SIGN(CV443),1)</f>
        <v>1584</v>
      </c>
      <c r="DC443" s="242">
        <f>SUM(CZ443:DB443)</f>
        <v>7424</v>
      </c>
      <c r="DD443" s="222">
        <f>CW443*CZ443/DC443</f>
        <v>3.8218390804597702</v>
      </c>
      <c r="DE443" s="223">
        <f>CX443*DA443/DC443</f>
        <v>10.711206896551724</v>
      </c>
      <c r="DF443" s="243">
        <f>CY443*DB443/DC443</f>
        <v>7.4676724137931032</v>
      </c>
      <c r="DG443" s="243">
        <f>SUM(DD443:DF443)</f>
        <v>22.000718390804597</v>
      </c>
      <c r="DH443" s="252">
        <f t="shared" si="4752"/>
        <v>0</v>
      </c>
      <c r="DI443" s="309">
        <f>DG443-DH443</f>
        <v>22.000718390804597</v>
      </c>
      <c r="DJ443" s="218">
        <f>IF(DG443&lt;=0,3,0)+IF(DG443&gt;0,DG443+1,0)*3+IF(DG443&gt;12,DG443-12,0)*3+IF(DG443&gt;13,DG443-13,0)*3+IF(DG443&gt;14,DG443-14,0)*3+IF(DG443&gt;15,DG443-15,0)*3+IF(DG443&gt;16,DG443-16,0)*3+IF(DG443&gt;17,DG443-17,0)*3+IF(DG443&gt;18,DG443-18,0)*3+IF(DG443&gt;19,DG443-19,0)*3+IF(DG443&gt;20,DG443-20,0)*3</f>
        <v>231.02155172413785</v>
      </c>
      <c r="DK443" s="242">
        <f>IF(DH443&lt;=0,3,0)+IF(DH443&gt;0,DH443+1,0)*3+IF(DH443&gt;12,DH443-12,0)*3+IF(DH443&gt;13,DH443-13,0)*3+IF(DH443&gt;14,DH443-14,0)*3+IF(DH443&gt;15,DH443-15,0)*3+IF(DH443&gt;16,DH443-16,0)*3+IF(DH443&gt;17,DH443-17,0)*3+IF(DH443&gt;18,DH443-18,0)*3+IF(DH443&gt;19,DH443-19,0)*3+IF(DH443&gt;20,DH443-20,0)*3</f>
        <v>3</v>
      </c>
      <c r="DL443" s="243">
        <f>IF((DJ443-DK443)&gt;0,DJ443-DK443,0)</f>
        <v>228.02155172413785</v>
      </c>
      <c r="DM443" s="218">
        <f>IF((DK443-DJ443)&gt;0,DK443-DJ443,0)</f>
        <v>0</v>
      </c>
      <c r="DO443" s="325" t="s">
        <v>263</v>
      </c>
      <c r="DP443" s="218" t="s">
        <v>100</v>
      </c>
      <c r="DQ443" s="223" t="s">
        <v>135</v>
      </c>
      <c r="DR443" s="237">
        <f>Konvention_1slave-MUslave</f>
        <v>12</v>
      </c>
      <c r="DS443" s="234"/>
      <c r="DT443" s="234">
        <f>Konvention_1slave-INslave</f>
        <v>12</v>
      </c>
      <c r="DU443" s="234"/>
      <c r="DV443" s="234"/>
      <c r="DW443" s="234"/>
      <c r="DX443" s="234">
        <f>Konvention_1slave-KOslave</f>
        <v>12</v>
      </c>
      <c r="DY443" s="224"/>
      <c r="DZ443" s="223">
        <f>(DR443+DS443+DT443+DU443+DV443+DW443+DX443+DY443)/3</f>
        <v>12</v>
      </c>
      <c r="EA443" s="223">
        <f>2*DZ443</f>
        <v>24</v>
      </c>
      <c r="EB443" s="234">
        <f>3*DZ443</f>
        <v>36</v>
      </c>
      <c r="EC443" s="237">
        <f>DR443*POWER(KLslave,SIGN(DS443))*POWER(INslave,SIGN(DT443))*POWER(CHslave_CH,SIGN(DU443))*POWER(FFslave,SIGN(DV443))*POWER(GEslave,SIGN(DW443))*POWER(KOslave,SIGN(DX443))*POWER(KKslave,SIGN(DY443))+DS443*POWER(MUslave,SIGN(DR443))*POWER(INslave,SIGN(DT443))*POWER(CHslave_CH,SIGN(DU443))*POWER(FFslave,SIGN(DV443))*POWER(GEslave,SIGN(DW443))*POWER(KOslave,SIGN(DX443))*POWER(KKslave,SIGN(DY443))+DT443*POWER(MUslave,SIGN(DR443))*POWER(KLslave,SIGN(DS443))*POWER(CHslave_CH,SIGN(DU443))*POWER(FFslave,SIGN(DV443))*POWER(GEslave,SIGN(DW443))*POWER(KOslave,SIGN(DX443))*POWER(KKslave,SIGN(DY443))+DU443*POWER(MUslave,SIGN(DR443))*POWER(KLslave,SIGN(DS443))*POWER(INslave,SIGN(DT443))*POWER(FFslave,SIGN(DV443))*POWER(GEslave,SIGN(DW443))*POWER(KOslave,SIGN(DX443))*POWER(KKslave,SIGN(DY443))+DV443*POWER(MUslave,SIGN(DR443))*POWER(KLslave,SIGN(DS443))*POWER(INslave,SIGN(DT443))*POWER(CHslave_CH,SIGN(DU443))*POWER(GEslave,SIGN(DW443))*POWER(KOslave,SIGN(DX443))*POWER(KKslave,SIGN(DY443))+DW443*POWER(MUslave,SIGN(DR443))*POWER(KLslave,SIGN(DS443))*POWER(INslave,SIGN(DT443))*POWER(CHslave_CH,SIGN(DU443))*POWER(FFslave,SIGN(DV443))*POWER(KOslave,SIGN(DX443))*POWER(KKslave,SIGN(DY443))+DX443*POWER(MUslave,SIGN(DR443))*POWER(KLslave,SIGN(DS443))*POWER(INslave,SIGN(DT443))*POWER(CHslave_CH,SIGN(DU443))*POWER(FFslave,SIGN(DV443))*POWER(GEslave,SIGN(DW443))*POWER(KKslave,SIGN(DY443))+DY443*POWER(MUslave,SIGN(DR443))*POWER(KLslave,SIGN(DS443))*POWER(INslave,SIGN(DT443))*POWER(CHslave_CH,SIGN(DU443))*POWER(FFslave,SIGN(DV443))*POWER(GEslave,SIGN(DW443))*POWER(KOslave,SIGN(DX443))</f>
        <v>2304</v>
      </c>
      <c r="ED443" s="234">
        <f>DR443*DT443*KOslave+DR443*INslave*DX443+MUslave*DT443*DX443</f>
        <v>3456</v>
      </c>
      <c r="EE443" s="224">
        <f>IFERROR(DR443^SIGN(DR443),1)*IFERROR(DS443^SIGN(DS443),1)*IFERROR(DT443^SIGN(DT443),1)*IFERROR(DU443^SIGN(DU443),1)*IFERROR(DV443^SIGN(DV443),1)*IFERROR(DW443^SIGN(DW443),1)*IFERROR(DX443^SIGN(DX443),1)*IFERROR(DY443^SIGN(DY443),1)</f>
        <v>1728</v>
      </c>
      <c r="EF443" s="242">
        <f>SUM(EC443:EE443)</f>
        <v>7488</v>
      </c>
      <c r="EG443" s="222">
        <f>DZ443*EC443/EF443</f>
        <v>3.6923076923076925</v>
      </c>
      <c r="EH443" s="223">
        <f>EA443*ED443/EF443</f>
        <v>11.076923076923077</v>
      </c>
      <c r="EI443" s="243">
        <f>EB443*EE443/EF443</f>
        <v>8.3076923076923084</v>
      </c>
      <c r="EJ443" s="243">
        <f>SUM(EG443:EI443)</f>
        <v>23.07692307692308</v>
      </c>
      <c r="EK443" s="252">
        <f t="shared" si="4753"/>
        <v>0</v>
      </c>
      <c r="EL443" s="309">
        <f>EJ443-EK443</f>
        <v>23.07692307692308</v>
      </c>
      <c r="EM443" s="218">
        <f>IF(EJ443&lt;=0,3,0)+IF(EJ443&gt;0,EJ443+1,0)*3+IF(EJ443&gt;12,EJ443-12,0)*3+IF(EJ443&gt;13,EJ443-13,0)*3+IF(EJ443&gt;14,EJ443-14,0)*3+IF(EJ443&gt;15,EJ443-15,0)*3+IF(EJ443&gt;16,EJ443-16,0)*3+IF(EJ443&gt;17,EJ443-17,0)*3+IF(EJ443&gt;18,EJ443-18,0)*3+IF(EJ443&gt;19,EJ443-19,0)*3+IF(EJ443&gt;20,EJ443-20,0)*3</f>
        <v>263.30769230769232</v>
      </c>
      <c r="EN443" s="242">
        <f>IF(EK443&lt;=0,3,0)+IF(EK443&gt;0,EK443+1,0)*3+IF(EK443&gt;12,EK443-12,0)*3+IF(EK443&gt;13,EK443-13,0)*3+IF(EK443&gt;14,EK443-14,0)*3+IF(EK443&gt;15,EK443-15,0)*3+IF(EK443&gt;16,EK443-16,0)*3+IF(EK443&gt;17,EK443-17,0)*3+IF(EK443&gt;18,EK443-18,0)*3+IF(EK443&gt;19,EK443-19,0)*3+IF(EK443&gt;20,EK443-20,0)*3</f>
        <v>3</v>
      </c>
      <c r="EO443" s="243">
        <f>IF((EM443-EN443)&gt;0,EM443-EN443,0)</f>
        <v>260.30769230769232</v>
      </c>
      <c r="EP443" s="218">
        <f>IF((EN443-EM443)&gt;0,EN443-EM443,0)</f>
        <v>0</v>
      </c>
      <c r="ER443" s="325" t="s">
        <v>263</v>
      </c>
      <c r="ES443" s="218" t="s">
        <v>100</v>
      </c>
      <c r="ET443" s="223" t="s">
        <v>135</v>
      </c>
      <c r="EU443" s="237">
        <f>Konvention_1slave-MUslave</f>
        <v>12</v>
      </c>
      <c r="EV443" s="234"/>
      <c r="EW443" s="234">
        <f>Konvention_1slave-INslave</f>
        <v>12</v>
      </c>
      <c r="EX443" s="234"/>
      <c r="EY443" s="234"/>
      <c r="EZ443" s="234"/>
      <c r="FA443" s="234">
        <f>Konvention_1slave-KOslave</f>
        <v>12</v>
      </c>
      <c r="FB443" s="224"/>
      <c r="FC443" s="223">
        <f>(EU443+EV443+EW443+EX443+EY443+EZ443+FA443+FB443)/3</f>
        <v>12</v>
      </c>
      <c r="FD443" s="223">
        <f>2*FC443</f>
        <v>24</v>
      </c>
      <c r="FE443" s="234">
        <f>3*FC443</f>
        <v>36</v>
      </c>
      <c r="FF443" s="237">
        <f>EU443*POWER(KLslave,SIGN(EV443))*POWER(INslave,SIGN(EW443))*POWER(CHslave,SIGN(EX443))*POWER(FFslave_FF,SIGN(EY443))*POWER(GEslave,SIGN(EZ443))*POWER(KOslave,SIGN(FA443))*POWER(KKslave,SIGN(FB443))+EV443*POWER(MUslave,SIGN(EU443))*POWER(INslave,SIGN(EW443))*POWER(CHslave,SIGN(EX443))*POWER(FFslave_FF,SIGN(EY443))*POWER(GEslave,SIGN(EZ443))*POWER(KOslave,SIGN(FA443))*POWER(KKslave,SIGN(FB443))+EW443*POWER(MUslave,SIGN(EU443))*POWER(KLslave,SIGN(EV443))*POWER(CHslave,SIGN(EX443))*POWER(FFslave_FF,SIGN(EY443))*POWER(GEslave,SIGN(EZ443))*POWER(KOslave,SIGN(FA443))*POWER(KKslave,SIGN(FB443))+EX443*POWER(MUslave,SIGN(EU443))*POWER(KLslave,SIGN(EV443))*POWER(INslave,SIGN(EW443))*POWER(FFslave_FF,SIGN(EY443))*POWER(GEslave,SIGN(EZ443))*POWER(KOslave,SIGN(FA443))*POWER(KKslave,SIGN(FB443))+EY443*POWER(MUslave,SIGN(EU443))*POWER(KLslave,SIGN(EV443))*POWER(INslave,SIGN(EW443))*POWER(CHslave,SIGN(EX443))*POWER(GEslave,SIGN(EZ443))*POWER(KOslave,SIGN(FA443))*POWER(KKslave,SIGN(FB443))+EZ443*POWER(MUslave,SIGN(EU443))*POWER(KLslave,SIGN(EV443))*POWER(INslave,SIGN(EW443))*POWER(CHslave,SIGN(EX443))*POWER(FFslave_FF,SIGN(EY443))*POWER(KOslave,SIGN(FA443))*POWER(KKslave,SIGN(FB443))+FA443*POWER(MUslave,SIGN(EU443))*POWER(KLslave,SIGN(EV443))*POWER(INslave,SIGN(EW443))*POWER(CHslave,SIGN(EX443))*POWER(FFslave_FF,SIGN(EY443))*POWER(GEslave,SIGN(EZ443))*POWER(KKslave,SIGN(FB443))+FB443*POWER(MUslave,SIGN(EU443))*POWER(KLslave,SIGN(EV443))*POWER(INslave,SIGN(EW443))*POWER(CHslave,SIGN(EX443))*POWER(FFslave_FF,SIGN(EY443))*POWER(GEslave,SIGN(EZ443))*POWER(KOslave,SIGN(FA443))</f>
        <v>2304</v>
      </c>
      <c r="FG443" s="234">
        <f>EU443*EW443*KOslave+EU443*INslave*FA443+MUslave*EW443*FA443</f>
        <v>3456</v>
      </c>
      <c r="FH443" s="224">
        <f>IFERROR(EU443^SIGN(EU443),1)*IFERROR(EV443^SIGN(EV443),1)*IFERROR(EW443^SIGN(EW443),1)*IFERROR(EX443^SIGN(EX443),1)*IFERROR(EY443^SIGN(EY443),1)*IFERROR(EZ443^SIGN(EZ443),1)*IFERROR(FA443^SIGN(FA443),1)*IFERROR(FB443^SIGN(FB443),1)</f>
        <v>1728</v>
      </c>
      <c r="FI443" s="242">
        <f>SUM(FF443:FH443)</f>
        <v>7488</v>
      </c>
      <c r="FJ443" s="222">
        <f>FC443*FF443/FI443</f>
        <v>3.6923076923076925</v>
      </c>
      <c r="FK443" s="223">
        <f>FD443*FG443/FI443</f>
        <v>11.076923076923077</v>
      </c>
      <c r="FL443" s="243">
        <f>FE443*FH443/FI443</f>
        <v>8.3076923076923084</v>
      </c>
      <c r="FM443" s="243">
        <f>SUM(FJ443:FL443)</f>
        <v>23.07692307692308</v>
      </c>
      <c r="FN443" s="252">
        <f t="shared" si="4754"/>
        <v>0</v>
      </c>
      <c r="FO443" s="309">
        <f>FM443-FN443</f>
        <v>23.07692307692308</v>
      </c>
      <c r="FP443" s="218">
        <f>IF(FM443&lt;=0,3,0)+IF(FM443&gt;0,FM443+1,0)*3+IF(FM443&gt;12,FM443-12,0)*3+IF(FM443&gt;13,FM443-13,0)*3+IF(FM443&gt;14,FM443-14,0)*3+IF(FM443&gt;15,FM443-15,0)*3+IF(FM443&gt;16,FM443-16,0)*3+IF(FM443&gt;17,FM443-17,0)*3+IF(FM443&gt;18,FM443-18,0)*3+IF(FM443&gt;19,FM443-19,0)*3+IF(FM443&gt;20,FM443-20,0)*3</f>
        <v>263.30769230769232</v>
      </c>
      <c r="FQ443" s="242">
        <f>IF(FN443&lt;=0,3,0)+IF(FN443&gt;0,FN443+1,0)*3+IF(FN443&gt;12,FN443-12,0)*3+IF(FN443&gt;13,FN443-13,0)*3+IF(FN443&gt;14,FN443-14,0)*3+IF(FN443&gt;15,FN443-15,0)*3+IF(FN443&gt;16,FN443-16,0)*3+IF(FN443&gt;17,FN443-17,0)*3+IF(FN443&gt;18,FN443-18,0)*3+IF(FN443&gt;19,FN443-19,0)*3+IF(FN443&gt;20,FN443-20,0)*3</f>
        <v>3</v>
      </c>
      <c r="FR443" s="243">
        <f>IF((FP443-FQ443)&gt;0,FP443-FQ443,0)</f>
        <v>260.30769230769232</v>
      </c>
      <c r="FS443" s="218">
        <f>IF((FQ443-FP443)&gt;0,FQ443-FP443,0)</f>
        <v>0</v>
      </c>
      <c r="FU443" s="325" t="s">
        <v>263</v>
      </c>
      <c r="FV443" s="218" t="s">
        <v>100</v>
      </c>
      <c r="FW443" s="223" t="s">
        <v>135</v>
      </c>
      <c r="FX443" s="237">
        <f>Konvention_1slave-MUslave</f>
        <v>12</v>
      </c>
      <c r="FY443" s="234"/>
      <c r="FZ443" s="234">
        <f>Konvention_1slave-INslave</f>
        <v>12</v>
      </c>
      <c r="GA443" s="234"/>
      <c r="GB443" s="234"/>
      <c r="GC443" s="234"/>
      <c r="GD443" s="234">
        <f>Konvention_1slave-KOslave</f>
        <v>12</v>
      </c>
      <c r="GE443" s="224"/>
      <c r="GF443" s="223">
        <f>(FX443+FY443+FZ443+GA443+GB443+GC443+GD443+GE443)/3</f>
        <v>12</v>
      </c>
      <c r="GG443" s="223">
        <f>2*GF443</f>
        <v>24</v>
      </c>
      <c r="GH443" s="234">
        <f>3*GF443</f>
        <v>36</v>
      </c>
      <c r="GI443" s="237">
        <f>FX443*POWER(KLslave,SIGN(FY443))*POWER(INslave,SIGN(FZ443))*POWER(CHslave,SIGN(GA443))*POWER(FFslave,SIGN(GB443))*POWER(GEslave_GE,SIGN(GC443))*POWER(KOslave,SIGN(GD443))*POWER(KKslave,SIGN(GE443))+FY443*POWER(MUslave,SIGN(FX443))*POWER(INslave,SIGN(FZ443))*POWER(CHslave,SIGN(GA443))*POWER(FFslave,SIGN(GB443))*POWER(GEslave_GE,SIGN(GC443))*POWER(KOslave,SIGN(GD443))*POWER(KKslave,SIGN(GE443))+FZ443*POWER(MUslave,SIGN(FX443))*POWER(KLslave,SIGN(FY443))*POWER(CHslave,SIGN(GA443))*POWER(FFslave,SIGN(GB443))*POWER(GEslave_GE,SIGN(GC443))*POWER(KOslave,SIGN(GD443))*POWER(KKslave,SIGN(GE443))+GA443*POWER(MUslave,SIGN(FX443))*POWER(KLslave,SIGN(FY443))*POWER(INslave,SIGN(FZ443))*POWER(FFslave,SIGN(GB443))*POWER(GEslave_GE,SIGN(GC443))*POWER(KOslave,SIGN(GD443))*POWER(KKslave,SIGN(GE443))+GB443*POWER(MUslave,SIGN(FX443))*POWER(KLslave,SIGN(FY443))*POWER(INslave,SIGN(FZ443))*POWER(CHslave,SIGN(GA443))*POWER(GEslave_GE,SIGN(GC443))*POWER(KOslave,SIGN(GD443))*POWER(KKslave,SIGN(GE443))+GC443*POWER(MUslave,SIGN(FX443))*POWER(KLslave,SIGN(FY443))*POWER(INslave,SIGN(FZ443))*POWER(CHslave,SIGN(GA443))*POWER(FFslave,SIGN(GB443))*POWER(KOslave,SIGN(GD443))*POWER(KKslave,SIGN(GE443))+GD443*POWER(MUslave,SIGN(FX443))*POWER(KLslave,SIGN(FY443))*POWER(INslave,SIGN(FZ443))*POWER(CHslave,SIGN(GA443))*POWER(FFslave,SIGN(GB443))*POWER(GEslave_GE,SIGN(GC443))*POWER(KKslave,SIGN(GE443))+GE443*POWER(MUslave,SIGN(FX443))*POWER(KLslave,SIGN(FY443))*POWER(INslave,SIGN(FZ443))*POWER(CHslave,SIGN(GA443))*POWER(FFslave,SIGN(GB443))*POWER(GEslave_GE,SIGN(GC443))*POWER(KOslave,SIGN(GD443))</f>
        <v>2304</v>
      </c>
      <c r="GJ443" s="234">
        <f>FX443*FZ443*KOslave+FX443*INslave*GD443+MUslave*FZ443*GD443</f>
        <v>3456</v>
      </c>
      <c r="GK443" s="224">
        <f>IFERROR(FX443^SIGN(FX443),1)*IFERROR(FY443^SIGN(FY443),1)*IFERROR(FZ443^SIGN(FZ443),1)*IFERROR(GA443^SIGN(GA443),1)*IFERROR(GB443^SIGN(GB443),1)*IFERROR(GC443^SIGN(GC443),1)*IFERROR(GD443^SIGN(GD443),1)*IFERROR(GE443^SIGN(GE443),1)</f>
        <v>1728</v>
      </c>
      <c r="GL443" s="242">
        <f>SUM(GI443:GK443)</f>
        <v>7488</v>
      </c>
      <c r="GM443" s="222">
        <f>GF443*GI443/GL443</f>
        <v>3.6923076923076925</v>
      </c>
      <c r="GN443" s="223">
        <f>GG443*GJ443/GL443</f>
        <v>11.076923076923077</v>
      </c>
      <c r="GO443" s="243">
        <f>GH443*GK443/GL443</f>
        <v>8.3076923076923084</v>
      </c>
      <c r="GP443" s="243">
        <f>SUM(GM443:GO443)</f>
        <v>23.07692307692308</v>
      </c>
      <c r="GQ443" s="252">
        <f t="shared" si="4755"/>
        <v>0</v>
      </c>
      <c r="GR443" s="309">
        <f>GP443-GQ443</f>
        <v>23.07692307692308</v>
      </c>
      <c r="GS443" s="218">
        <f>IF(GP443&lt;=0,3,0)+IF(GP443&gt;0,GP443+1,0)*3+IF(GP443&gt;12,GP443-12,0)*3+IF(GP443&gt;13,GP443-13,0)*3+IF(GP443&gt;14,GP443-14,0)*3+IF(GP443&gt;15,GP443-15,0)*3+IF(GP443&gt;16,GP443-16,0)*3+IF(GP443&gt;17,GP443-17,0)*3+IF(GP443&gt;18,GP443-18,0)*3+IF(GP443&gt;19,GP443-19,0)*3+IF(GP443&gt;20,GP443-20,0)*3</f>
        <v>263.30769230769232</v>
      </c>
      <c r="GT443" s="242">
        <f>IF(GQ443&lt;=0,3,0)+IF(GQ443&gt;0,GQ443+1,0)*3+IF(GQ443&gt;12,GQ443-12,0)*3+IF(GQ443&gt;13,GQ443-13,0)*3+IF(GQ443&gt;14,GQ443-14,0)*3+IF(GQ443&gt;15,GQ443-15,0)*3+IF(GQ443&gt;16,GQ443-16,0)*3+IF(GQ443&gt;17,GQ443-17,0)*3+IF(GQ443&gt;18,GQ443-18,0)*3+IF(GQ443&gt;19,GQ443-19,0)*3+IF(GQ443&gt;20,GQ443-20,0)*3</f>
        <v>3</v>
      </c>
      <c r="GU443" s="243">
        <f>IF((GS443-GT443)&gt;0,GS443-GT443,0)</f>
        <v>260.30769230769232</v>
      </c>
      <c r="GV443" s="218">
        <f>IF((GT443-GS443)&gt;0,GT443-GS443,0)</f>
        <v>0</v>
      </c>
      <c r="GX443" s="325" t="s">
        <v>263</v>
      </c>
      <c r="GY443" s="218" t="s">
        <v>100</v>
      </c>
      <c r="GZ443" s="223" t="s">
        <v>135</v>
      </c>
      <c r="HA443" s="237">
        <f>Konvention_1slave-MUslave</f>
        <v>12</v>
      </c>
      <c r="HB443" s="234"/>
      <c r="HC443" s="234">
        <f>Konvention_1slave-INslave</f>
        <v>12</v>
      </c>
      <c r="HD443" s="234"/>
      <c r="HE443" s="234"/>
      <c r="HF443" s="234"/>
      <c r="HG443" s="234">
        <f>Konvention_1slave-KOslave_KO</f>
        <v>11</v>
      </c>
      <c r="HH443" s="224"/>
      <c r="HI443" s="223">
        <f>(HA443+HB443+HC443+HD443+HE443+HF443+HG443+HH443)/3</f>
        <v>11.666666666666666</v>
      </c>
      <c r="HJ443" s="223">
        <f>2*HI443</f>
        <v>23.333333333333332</v>
      </c>
      <c r="HK443" s="234">
        <f>3*HI443</f>
        <v>35</v>
      </c>
      <c r="HL443" s="237">
        <f>HA443*POWER(KLslave,SIGN(HB443))*POWER(INslave,SIGN(HC443))*POWER(CHslave,SIGN(HD443))*POWER(FFslave,SIGN(HE443))*POWER(GEslave,SIGN(HF443))*POWER(KOslave_KO,SIGN(HG443))*POWER(KKslave,SIGN(HH443))+HB443*POWER(MUslave,SIGN(HA443))*POWER(INslave,SIGN(HC443))*POWER(CHslave,SIGN(HD443))*POWER(FFslave,SIGN(HE443))*POWER(GEslave,SIGN(HF443))*POWER(KOslave_KO,SIGN(HG443))*POWER(KKslave,SIGN(HH443))+HC443*POWER(MUslave,SIGN(HA443))*POWER(KLslave,SIGN(HB443))*POWER(CHslave,SIGN(HD443))*POWER(FFslave,SIGN(HE443))*POWER(GEslave,SIGN(HF443))*POWER(KOslave_KO,SIGN(HG443))*POWER(KKslave,SIGN(HH443))+HD443*POWER(MUslave,SIGN(HA443))*POWER(KLslave,SIGN(HB443))*POWER(INslave,SIGN(HC443))*POWER(FFslave,SIGN(HE443))*POWER(GEslave,SIGN(HF443))*POWER(KOslave_KO,SIGN(HG443))*POWER(KKslave,SIGN(HH443))+HE443*POWER(MUslave,SIGN(HA443))*POWER(KLslave,SIGN(HB443))*POWER(INslave,SIGN(HC443))*POWER(CHslave,SIGN(HD443))*POWER(GEslave,SIGN(HF443))*POWER(KOslave_KO,SIGN(HG443))*POWER(KKslave,SIGN(HH443))+HF443*POWER(MUslave,SIGN(HA443))*POWER(KLslave,SIGN(HB443))*POWER(INslave,SIGN(HC443))*POWER(CHslave,SIGN(HD443))*POWER(FFslave,SIGN(HE443))*POWER(KOslave_KO,SIGN(HG443))*POWER(KKslave,SIGN(HH443))+HG443*POWER(MUslave,SIGN(HA443))*POWER(KLslave,SIGN(HB443))*POWER(INslave,SIGN(HC443))*POWER(CHslave,SIGN(HD443))*POWER(FFslave,SIGN(HE443))*POWER(GEslave,SIGN(HF443))*POWER(KKslave,SIGN(HH443))+HH443*POWER(MUslave,SIGN(HA443))*POWER(KLslave,SIGN(HB443))*POWER(INslave,SIGN(HC443))*POWER(CHslave,SIGN(HD443))*POWER(FFslave,SIGN(HE443))*POWER(GEslave,SIGN(HF443))*POWER(KOslave_KO,SIGN(HG443))</f>
        <v>2432</v>
      </c>
      <c r="HM443" s="234">
        <f>HA443*HC443*KOslave_KO+HA443*INslave*HG443+MUslave*HC443*HG443</f>
        <v>3408</v>
      </c>
      <c r="HN443" s="224">
        <f>IFERROR(HA443^SIGN(HA443),1)*IFERROR(HB443^SIGN(HB443),1)*IFERROR(HC443^SIGN(HC443),1)*IFERROR(HD443^SIGN(HD443),1)*IFERROR(HE443^SIGN(HE443),1)*IFERROR(HF443^SIGN(HF443),1)*IFERROR(HG443^SIGN(HG443),1)*IFERROR(HH443^SIGN(HH443),1)</f>
        <v>1584</v>
      </c>
      <c r="HO443" s="242">
        <f>SUM(HL443:HN443)</f>
        <v>7424</v>
      </c>
      <c r="HP443" s="222">
        <f>HI443*HL443/HO443</f>
        <v>3.8218390804597702</v>
      </c>
      <c r="HQ443" s="223">
        <f>HJ443*HM443/HO443</f>
        <v>10.711206896551724</v>
      </c>
      <c r="HR443" s="243">
        <f>HK443*HN443/HO443</f>
        <v>7.4676724137931032</v>
      </c>
      <c r="HS443" s="243">
        <f>SUM(HP443:HR443)</f>
        <v>22.000718390804597</v>
      </c>
      <c r="HT443" s="252">
        <f t="shared" si="4756"/>
        <v>0</v>
      </c>
      <c r="HU443" s="309">
        <f>HS443-HT443</f>
        <v>22.000718390804597</v>
      </c>
      <c r="HV443" s="218">
        <f>IF(HS443&lt;=0,3,0)+IF(HS443&gt;0,HS443+1,0)*3+IF(HS443&gt;12,HS443-12,0)*3+IF(HS443&gt;13,HS443-13,0)*3+IF(HS443&gt;14,HS443-14,0)*3+IF(HS443&gt;15,HS443-15,0)*3+IF(HS443&gt;16,HS443-16,0)*3+IF(HS443&gt;17,HS443-17,0)*3+IF(HS443&gt;18,HS443-18,0)*3+IF(HS443&gt;19,HS443-19,0)*3+IF(HS443&gt;20,HS443-20,0)*3</f>
        <v>231.02155172413785</v>
      </c>
      <c r="HW443" s="242">
        <f>IF(HT443&lt;=0,3,0)+IF(HT443&gt;0,HT443+1,0)*3+IF(HT443&gt;12,HT443-12,0)*3+IF(HT443&gt;13,HT443-13,0)*3+IF(HT443&gt;14,HT443-14,0)*3+IF(HT443&gt;15,HT443-15,0)*3+IF(HT443&gt;16,HT443-16,0)*3+IF(HT443&gt;17,HT443-17,0)*3+IF(HT443&gt;18,HT443-18,0)*3+IF(HT443&gt;19,HT443-19,0)*3+IF(HT443&gt;20,HT443-20,0)*3</f>
        <v>3</v>
      </c>
      <c r="HX443" s="243">
        <f>IF((HV443-HW443)&gt;0,HV443-HW443,0)</f>
        <v>228.02155172413785</v>
      </c>
      <c r="HY443" s="218">
        <f>IF((HW443-HV443)&gt;0,HW443-HV443,0)</f>
        <v>0</v>
      </c>
      <c r="IA443" s="325" t="s">
        <v>263</v>
      </c>
      <c r="IB443" s="218" t="s">
        <v>100</v>
      </c>
      <c r="IC443" s="223" t="s">
        <v>135</v>
      </c>
      <c r="ID443" s="237">
        <f>Konvention_1slave-MUslave</f>
        <v>12</v>
      </c>
      <c r="IE443" s="234"/>
      <c r="IF443" s="234">
        <f>Konvention_1slave-INslave</f>
        <v>12</v>
      </c>
      <c r="IG443" s="234"/>
      <c r="IH443" s="234"/>
      <c r="II443" s="234"/>
      <c r="IJ443" s="234">
        <f>Konvention_1slave-KOslave</f>
        <v>12</v>
      </c>
      <c r="IK443" s="224"/>
      <c r="IL443" s="223">
        <f>(ID443+IE443+IF443+IG443+IH443+II443+IJ443+IK443)/3</f>
        <v>12</v>
      </c>
      <c r="IM443" s="223">
        <f>2*IL443</f>
        <v>24</v>
      </c>
      <c r="IN443" s="234">
        <f>3*IL443</f>
        <v>36</v>
      </c>
      <c r="IO443" s="237">
        <f>ID443*POWER(KLslave,SIGN(IE443))*POWER(INslave,SIGN(IF443))*POWER(CHslave,SIGN(IG443))*POWER(FFslave,SIGN(IH443))*POWER(GEslave,SIGN(II443))*POWER(KOslave,SIGN(IJ443))*POWER(KKslave_KK,SIGN(IK443))+IE443*POWER(MUslave,SIGN(ID443))*POWER(INslave,SIGN(IF443))*POWER(CHslave,SIGN(IG443))*POWER(FFslave,SIGN(IH443))*POWER(GEslave,SIGN(II443))*POWER(KOslave,SIGN(IJ443))*POWER(KKslave_KK,SIGN(IK443))+IF443*POWER(MUslave,SIGN(ID443))*POWER(KLslave,SIGN(IE443))*POWER(CHslave,SIGN(IG443))*POWER(FFslave,SIGN(IH443))*POWER(GEslave,SIGN(II443))*POWER(KOslave,SIGN(IJ443))*POWER(KKslave_KK,SIGN(IK443))+IG443*POWER(MUslave,SIGN(ID443))*POWER(KLslave,SIGN(IE443))*POWER(INslave,SIGN(IF443))*POWER(FFslave,SIGN(IH443))*POWER(GEslave,SIGN(II443))*POWER(KOslave,SIGN(IJ443))*POWER(KKslave_KK,SIGN(IK443))+IH443*POWER(MUslave,SIGN(ID443))*POWER(KLslave,SIGN(IE443))*POWER(INslave,SIGN(IF443))*POWER(CHslave,SIGN(IG443))*POWER(GEslave,SIGN(II443))*POWER(KOslave,SIGN(IJ443))*POWER(KKslave_KK,SIGN(IK443))+II443*POWER(MUslave,SIGN(ID443))*POWER(KLslave,SIGN(IE443))*POWER(INslave,SIGN(IF443))*POWER(CHslave,SIGN(IG443))*POWER(FFslave,SIGN(IH443))*POWER(KOslave,SIGN(IJ443))*POWER(KKslave_KK,SIGN(IK443))+IJ443*POWER(MUslave,SIGN(ID443))*POWER(KLslave,SIGN(IE443))*POWER(INslave,SIGN(IF443))*POWER(CHslave,SIGN(IG443))*POWER(FFslave,SIGN(IH443))*POWER(GEslave,SIGN(II443))*POWER(KKslave_KK,SIGN(IK443))+IK443*POWER(MUslave,SIGN(ID443))*POWER(KLslave,SIGN(IE443))*POWER(INslave,SIGN(IF443))*POWER(CHslave,SIGN(IG443))*POWER(FFslave,SIGN(IH443))*POWER(GEslave,SIGN(II443))*POWER(KOslave,SIGN(IJ443))</f>
        <v>2304</v>
      </c>
      <c r="IP443" s="234">
        <f>ID443*IF443*KOslave+ID443*INslave*IJ443+MUslave*IF443*IJ443</f>
        <v>3456</v>
      </c>
      <c r="IQ443" s="224">
        <f>IFERROR(ID443^SIGN(ID443),1)*IFERROR(IE443^SIGN(IE443),1)*IFERROR(IF443^SIGN(IF443),1)*IFERROR(IG443^SIGN(IG443),1)*IFERROR(IH443^SIGN(IH443),1)*IFERROR(II443^SIGN(II443),1)*IFERROR(IJ443^SIGN(IJ443),1)*IFERROR(IK443^SIGN(IK443),1)</f>
        <v>1728</v>
      </c>
      <c r="IR443" s="242">
        <f>SUM(IO443:IQ443)</f>
        <v>7488</v>
      </c>
      <c r="IS443" s="222">
        <f>IL443*IO443/IR443</f>
        <v>3.6923076923076925</v>
      </c>
      <c r="IT443" s="223">
        <f>IM443*IP443/IR443</f>
        <v>11.076923076923077</v>
      </c>
      <c r="IU443" s="243">
        <f>IN443*IQ443/IR443</f>
        <v>8.3076923076923084</v>
      </c>
      <c r="IV443" s="243">
        <f>SUM(IS443:IU443)</f>
        <v>23.07692307692308</v>
      </c>
      <c r="IW443" s="252">
        <f t="shared" si="4757"/>
        <v>0</v>
      </c>
      <c r="IX443" s="309">
        <f>IV443-IW443</f>
        <v>23.07692307692308</v>
      </c>
      <c r="IY443" s="218">
        <f>IF(IV443&lt;=0,3,0)+IF(IV443&gt;0,IV443+1,0)*3+IF(IV443&gt;12,IV443-12,0)*3+IF(IV443&gt;13,IV443-13,0)*3+IF(IV443&gt;14,IV443-14,0)*3+IF(IV443&gt;15,IV443-15,0)*3+IF(IV443&gt;16,IV443-16,0)*3+IF(IV443&gt;17,IV443-17,0)*3+IF(IV443&gt;18,IV443-18,0)*3+IF(IV443&gt;19,IV443-19,0)*3+IF(IV443&gt;20,IV443-20,0)*3</f>
        <v>263.30769230769232</v>
      </c>
      <c r="IZ443" s="242">
        <f>IF(IW443&lt;=0,3,0)+IF(IW443&gt;0,IW443+1,0)*3+IF(IW443&gt;12,IW443-12,0)*3+IF(IW443&gt;13,IW443-13,0)*3+IF(IW443&gt;14,IW443-14,0)*3+IF(IW443&gt;15,IW443-15,0)*3+IF(IW443&gt;16,IW443-16,0)*3+IF(IW443&gt;17,IW443-17,0)*3+IF(IW443&gt;18,IW443-18,0)*3+IF(IW443&gt;19,IW443-19,0)*3+IF(IW443&gt;20,IW443-20,0)*3</f>
        <v>3</v>
      </c>
      <c r="JA443" s="243">
        <f>IF((IY443-IZ443)&gt;0,IY443-IZ443,0)</f>
        <v>260.30769230769232</v>
      </c>
      <c r="JB443" s="218">
        <f>IF((IZ443-IY443)&gt;0,IZ443-IY443,0)</f>
        <v>0</v>
      </c>
      <c r="JE443" s="148"/>
    </row>
    <row r="444" spans="1:265" ht="15" hidden="1" customHeight="1" outlineLevel="2">
      <c r="B444" s="148">
        <v>4</v>
      </c>
      <c r="C444" s="326" t="e">
        <f>VLOOKUP(AF444,Attribute!C:T,1,FALSE)</f>
        <v>#N/A</v>
      </c>
      <c r="D444" s="87" t="s">
        <v>86</v>
      </c>
      <c r="E444" s="88" t="s">
        <v>132</v>
      </c>
      <c r="F444" s="115">
        <f>Konvention_1master-MUmaster</f>
        <v>12</v>
      </c>
      <c r="G444" s="122"/>
      <c r="H444" s="122">
        <f>Konvention_1master-INmaster</f>
        <v>12</v>
      </c>
      <c r="I444" s="122">
        <f>Konvention_1master-CHmaster</f>
        <v>12</v>
      </c>
      <c r="J444" s="122"/>
      <c r="K444" s="122"/>
      <c r="L444" s="122"/>
      <c r="M444" s="123"/>
      <c r="N444" s="226">
        <f>(F444+G444+H444+I444+J444+K444+L444+M444)/3</f>
        <v>12</v>
      </c>
      <c r="O444" s="226">
        <f>2*N444</f>
        <v>24</v>
      </c>
      <c r="P444" s="235">
        <f>3*N444</f>
        <v>36</v>
      </c>
      <c r="Q444" s="238">
        <f>F444*POWER(KLmaster,SIGN(G444))*POWER(INmaster,SIGN(H444))*POWER(CHmaster,SIGN(I444))*POWER(FFmaster,SIGN(J444))*POWER(GEmaster,SIGN(K444))*POWER(KOmaster,SIGN(L444))*POWER(KKmaster,SIGN(M444))+G444*POWER(MUmaster,SIGN(F444))*POWER(INmaster,SIGN(H444))*POWER(CHmaster,SIGN(I444))*POWER(FFmaster,SIGN(J444))*POWER(GEmaster,SIGN(K444))*POWER(KOmaster,SIGN(L444))*POWER(KKmaster,SIGN(M444))+H444*POWER(MUmaster,SIGN(F444))*POWER(KLmaster,SIGN(G444))*POWER(CHmaster,SIGN(I444))*POWER(FFmaster,SIGN(J444))*POWER(GEmaster,SIGN(K444))*POWER(KOmaster,SIGN(L444))*POWER(KKmaster,SIGN(M444))+I444*POWER(MUmaster,SIGN(F444))*POWER(KLmaster,SIGN(G444))*POWER(INmaster,SIGN(H444))*POWER(FFmaster,SIGN(J444))*POWER(GEmaster,SIGN(K444))*POWER(KOmaster,SIGN(L444))*POWER(KKmaster,SIGN(M444))+J444*POWER(MUmaster,SIGN(F444))*POWER(KLmaster,SIGN(G444))*POWER(INmaster,SIGN(H444))*POWER(CHmaster,SIGN(I444))*POWER(GEmaster,SIGN(K444))*POWER(KOmaster,SIGN(L444))*POWER(KKmaster,SIGN(M444))+K444*POWER(MUmaster,SIGN(F444))*POWER(KLmaster,SIGN(G444))*POWER(INmaster,SIGN(H444))*POWER(CHmaster,SIGN(I444))*POWER(FFmaster,SIGN(J444))*POWER(KOmaster,SIGN(L444))*POWER(KKmaster,SIGN(M444))+L444*POWER(MUmaster,SIGN(F444))*POWER(KLmaster,SIGN(G444))*POWER(INmaster,SIGN(H444))*POWER(CHmaster,SIGN(I444))*POWER(FFmaster,SIGN(J444))*POWER(GEmaster,SIGN(K444))*POWER(KKmaster,SIGN(M444))+M444*POWER(MUmaster,SIGN(F444))*POWER(KLmaster,SIGN(G444))*POWER(INmaster,SIGN(H444))*POWER(CHmaster,SIGN(I444))*POWER(FFmaster,SIGN(J444))*POWER(GEmaster,SIGN(K444))*POWER(KOmaster,SIGN(L444))</f>
        <v>2304</v>
      </c>
      <c r="R444" s="122">
        <f>F444*H444*CHmaster+F444*INmaster*I444+MUmaster*H444*I444</f>
        <v>3456</v>
      </c>
      <c r="S444" s="227">
        <f>IFERROR(F444^SIGN(F444),1)*IFERROR(G444^SIGN(G444),1)*IFERROR(H444^SIGN(H444),1)*IFERROR(I444^SIGN(I444),1)*IFERROR(J444^SIGN(J444),1)*IFERROR(K444^SIGN(K444),1)*IFERROR(L444^SIGN(L444),1)*IFERROR(M444^SIGN(M444),1)</f>
        <v>1728</v>
      </c>
      <c r="T444" s="244">
        <f>SUM(Q444:S444)</f>
        <v>7488</v>
      </c>
      <c r="U444" s="225">
        <f>N444*Q444/T444</f>
        <v>3.6923076923076925</v>
      </c>
      <c r="V444" s="226">
        <f>O444*R444/T444</f>
        <v>11.076923076923077</v>
      </c>
      <c r="W444" s="245">
        <f>P444*S444/T444</f>
        <v>8.3076923076923084</v>
      </c>
      <c r="X444" s="245">
        <f>SUM(U444:W444)</f>
        <v>23.07692307692308</v>
      </c>
      <c r="Y444" s="252">
        <v>0</v>
      </c>
      <c r="Z444" s="198">
        <f>X444-Y444</f>
        <v>23.07692307692308</v>
      </c>
      <c r="AA444" s="159">
        <f>IF(X444&lt;=0,2,0)+IF(X444&gt;0,X444+1,0)*2+IF(X444&gt;12,X444-12,0)*2+IF(X444&gt;13,X444-13,0)*2+IF(X444&gt;14,X444-14,0)*2+IF(X444&gt;15,X444-15,0)*2+IF(X444&gt;16,X444-16,0)*2+IF(X444&gt;17,X444-17,0)*2+IF(X444&gt;18,X444-18,0)*2+IF(X444&gt;19,X444-19,0)*2+IF(X444&gt;20,X444-20,0)*2</f>
        <v>175.5384615384616</v>
      </c>
      <c r="AB444" s="161">
        <f>IF(Y444&lt;=0,2,0)+IF(Y444&gt;0,Y444+1,0)*2+IF(Y444&gt;12,Y444-12,0)*2+IF(Y444&gt;13,Y444-13,0)*2+IF(Y444&gt;14,Y444-14,0)*2+IF(Y444&gt;15,Y444-15,0)*2+IF(Y444&gt;16,Y444-16,0)*2+IF(Y444&gt;17,Y444-17,0)*2+IF(Y444&gt;18,Y444-18,0)*2+IF(Y444&gt;19,Y444-19,0)*2+IF(Y444&gt;20,Y444-20,0)*2</f>
        <v>2</v>
      </c>
      <c r="AC444" s="128">
        <f>IF((AA444-AB444)&gt;0,AA444-AB444,0)</f>
        <v>173.5384615384616</v>
      </c>
      <c r="AD444" s="159">
        <f>IF((AB444-AA444)&gt;0,AB444-AA444,0)</f>
        <v>0</v>
      </c>
      <c r="AF444" s="178" t="s">
        <v>264</v>
      </c>
      <c r="AG444" s="159" t="s">
        <v>86</v>
      </c>
      <c r="AH444" s="88" t="s">
        <v>132</v>
      </c>
      <c r="AI444" s="115">
        <f>Konvention_1slave-MUslave_MU</f>
        <v>11</v>
      </c>
      <c r="AJ444" s="122"/>
      <c r="AK444" s="122">
        <f>Konvention_1slave-INslave</f>
        <v>12</v>
      </c>
      <c r="AL444" s="122">
        <f>Konvention_1slave-CHslave</f>
        <v>12</v>
      </c>
      <c r="AM444" s="122"/>
      <c r="AN444" s="122"/>
      <c r="AO444" s="122"/>
      <c r="AP444" s="123"/>
      <c r="AQ444" s="88">
        <f>(AI444+AJ444+AK444+AL444+AM444+AN444+AO444+AP444)/3</f>
        <v>11.666666666666666</v>
      </c>
      <c r="AR444" s="88">
        <f>2*AQ444</f>
        <v>23.333333333333332</v>
      </c>
      <c r="AS444" s="122">
        <f>3*AQ444</f>
        <v>35</v>
      </c>
      <c r="AT444" s="115">
        <f>AI444*POWER(KLslave,SIGN(AJ444))*POWER(INslave,SIGN(AK444))*POWER(CHslave,SIGN(AL444))*POWER(FFslave,SIGN(AM444))*POWER(GEslave,SIGN(AN444))*POWER(KOslave,SIGN(AO444))*POWER(KKslave,SIGN(AP444))+AJ444*POWER(MUslave_MU,SIGN(AI444))*POWER(INslave,SIGN(AK444))*POWER(CHslave,SIGN(AL444))*POWER(FFslave,SIGN(AM444))*POWER(GEslave,SIGN(AN444))*POWER(KOslave,SIGN(AO444))*POWER(KKslave,SIGN(AP444))+AK444*POWER(MUslave_MU,SIGN(AI444))*POWER(KLslave,SIGN(AJ444))*POWER(CHslave,SIGN(AL444))*POWER(FFslave,SIGN(AM444))*POWER(GEslave,SIGN(AN444))*POWER(KOslave,SIGN(AO444))*POWER(KKslave,SIGN(AP444))+AL444*POWER(MUslave_MU,SIGN(AI444))*POWER(KLslave,SIGN(AJ444))*POWER(INslave,SIGN(AK444))*POWER(FFslave,SIGN(AM444))*POWER(GEslave,SIGN(AN444))*POWER(KOslave,SIGN(AO444))*POWER(KKslave,SIGN(AP444))+AM444*POWER(MUslave_MU,SIGN(AI444))*POWER(KLslave,SIGN(AJ444))*POWER(INslave,SIGN(AK444))*POWER(CHslave,SIGN(AL444))*POWER(GEslave,SIGN(AN444))*POWER(KOslave,SIGN(AO444))*POWER(KKslave,SIGN(AP444))+AN444*POWER(MUslave_MU,SIGN(AI444))*POWER(KLslave,SIGN(AJ444))*POWER(INslave,SIGN(AK444))*POWER(CHslave,SIGN(AL444))*POWER(FFslave,SIGN(AM444))*POWER(KOslave,SIGN(AO444))*POWER(KKslave,SIGN(AP444))+AO444*POWER(MUslave_MU,SIGN(AI444))*POWER(KLslave,SIGN(AJ444))*POWER(INslave,SIGN(AK444))*POWER(CHslave,SIGN(AL444))*POWER(FFslave,SIGN(AM444))*POWER(GEslave,SIGN(AN444))*POWER(KKslave,SIGN(AP444))+AP444*POWER(MUslave_MU,SIGN(AI444))*POWER(KLslave,SIGN(AJ444))*POWER(INslave,SIGN(AK444))*POWER(CHslave,SIGN(AL444))*POWER(FFslave,SIGN(AM444))*POWER(GEslave,SIGN(AN444))*POWER(KOslave,SIGN(AO444))</f>
        <v>2432</v>
      </c>
      <c r="AU444" s="122">
        <f>AI444*AK444*CHslave+AI444*INslave*AL444+MUslave_MU*AK444*AL444</f>
        <v>3408</v>
      </c>
      <c r="AV444" s="123">
        <f>IFERROR(AI444^SIGN(AI444),1)*IFERROR(AJ444^SIGN(AJ444),1)*IFERROR(AK444^SIGN(AK444),1)*IFERROR(AL444^SIGN(AL444),1)*IFERROR(AM444^SIGN(AM444),1)*IFERROR(AN444^SIGN(AN444),1)*IFERROR(AO444^SIGN(AO444),1)*IFERROR(AP444^SIGN(AP444),1)</f>
        <v>1584</v>
      </c>
      <c r="AW444" s="161">
        <f>SUM(AT444:AV444)</f>
        <v>7424</v>
      </c>
      <c r="AX444" s="90">
        <f>AQ444*AT444/AW444</f>
        <v>3.8218390804597702</v>
      </c>
      <c r="AY444" s="88">
        <f>AR444*AU444/AW444</f>
        <v>10.711206896551724</v>
      </c>
      <c r="AZ444" s="128">
        <f>AS444*AV444/AW444</f>
        <v>7.4676724137931032</v>
      </c>
      <c r="BA444" s="128">
        <f>SUM(AX444:AZ444)</f>
        <v>22.000718390804597</v>
      </c>
      <c r="BB444" s="165">
        <f t="shared" si="4750"/>
        <v>0</v>
      </c>
      <c r="BC444" s="198">
        <f>BA444-BB444</f>
        <v>22.000718390804597</v>
      </c>
      <c r="BD444" s="159">
        <f>IF(BA444&lt;=0,2,0)+IF(BA444&gt;0,BA444+1,0)*2+IF(BA444&gt;12,BA444-12,0)*2+IF(BA444&gt;13,BA444-13,0)*2+IF(BA444&gt;14,BA444-14,0)*2+IF(BA444&gt;15,BA444-15,0)*2+IF(BA444&gt;16,BA444-16,0)*2+IF(BA444&gt;17,BA444-17,0)*2+IF(BA444&gt;18,BA444-18,0)*2+IF(BA444&gt;19,BA444-19,0)*2+IF(BA444&gt;20,BA444-20,0)*2</f>
        <v>154.01436781609189</v>
      </c>
      <c r="BE444" s="161">
        <f>IF(BB444&lt;=0,2,0)+IF(BB444&gt;0,BB444+1,0)*2+IF(BB444&gt;12,BB444-12,0)*2+IF(BB444&gt;13,BB444-13,0)*2+IF(BB444&gt;14,BB444-14,0)*2+IF(BB444&gt;15,BB444-15,0)*2+IF(BB444&gt;16,BB444-16,0)*2+IF(BB444&gt;17,BB444-17,0)*2+IF(BB444&gt;18,BB444-18,0)*2+IF(BB444&gt;19,BB444-19,0)*2+IF(BB444&gt;20,BB444-20,0)*2</f>
        <v>2</v>
      </c>
      <c r="BF444" s="245">
        <f>IF((BD444-BE444)&gt;0,BD444-BE444,0)</f>
        <v>152.01436781609189</v>
      </c>
      <c r="BG444" s="246">
        <f>IF((BE444-BD444)&gt;0,BE444-BD444,0)</f>
        <v>0</v>
      </c>
      <c r="BI444" s="326" t="s">
        <v>264</v>
      </c>
      <c r="BJ444" s="246" t="s">
        <v>86</v>
      </c>
      <c r="BK444" s="226" t="s">
        <v>132</v>
      </c>
      <c r="BL444" s="238">
        <f>Konvention_1slave-MUslave</f>
        <v>12</v>
      </c>
      <c r="BM444" s="235"/>
      <c r="BN444" s="235">
        <f>Konvention_1slave-INslave</f>
        <v>12</v>
      </c>
      <c r="BO444" s="235">
        <f>Konvention_1slave-CHslave</f>
        <v>12</v>
      </c>
      <c r="BP444" s="235"/>
      <c r="BQ444" s="235"/>
      <c r="BR444" s="235"/>
      <c r="BS444" s="227"/>
      <c r="BT444" s="226">
        <f>(BL444+BM444+BN444+BO444+BP444+BQ444+BR444+BS444)/3</f>
        <v>12</v>
      </c>
      <c r="BU444" s="226">
        <f>2*BT444</f>
        <v>24</v>
      </c>
      <c r="BV444" s="235">
        <f>3*BT444</f>
        <v>36</v>
      </c>
      <c r="BW444" s="238">
        <f>BL444*POWER(KLslave_KL,SIGN(BM444))*POWER(INslave,SIGN(BN444))*POWER(CHslave,SIGN(BO444))*POWER(FFslave,SIGN(BP444))*POWER(GEslave,SIGN(BQ444))*POWER(KOslave,SIGN(BR444))*POWER(KKslave,SIGN(BS444))+BM444*POWER(MUslave,SIGN(BL444))*POWER(INslave,SIGN(BN444))*POWER(CHslave,SIGN(BO444))*POWER(FFslave,SIGN(BP444))*POWER(GEslave,SIGN(BQ444))*POWER(KOslave,SIGN(BR444))*POWER(KKslave,SIGN(BS444))+BN444*POWER(MUslave,SIGN(BL444))*POWER(KLslave_KL,SIGN(BM444))*POWER(CHslave,SIGN(BO444))*POWER(FFslave,SIGN(BP444))*POWER(GEslave,SIGN(BQ444))*POWER(KOslave,SIGN(BR444))*POWER(KKslave,SIGN(BS444))+BO444*POWER(MUslave,SIGN(BL444))*POWER(KLslave_KL,SIGN(BM444))*POWER(INslave,SIGN(BN444))*POWER(FFslave,SIGN(BP444))*POWER(GEslave,SIGN(BQ444))*POWER(KOslave,SIGN(BR444))*POWER(KKslave,SIGN(BS444))+BP444*POWER(MUslave,SIGN(BL444))*POWER(KLslave_KL,SIGN(BM444))*POWER(INslave,SIGN(BN444))*POWER(CHslave,SIGN(BO444))*POWER(GEslave,SIGN(BQ444))*POWER(KOslave,SIGN(BR444))*POWER(KKslave,SIGN(BS444))+BQ444*POWER(MUslave,SIGN(BL444))*POWER(KLslave_KL,SIGN(BM444))*POWER(INslave,SIGN(BN444))*POWER(CHslave,SIGN(BO444))*POWER(FFslave,SIGN(BP444))*POWER(KOslave,SIGN(BR444))*POWER(KKslave,SIGN(BS444))+BR444*POWER(MUslave,SIGN(BL444))*POWER(KLslave_KL,SIGN(BM444))*POWER(INslave,SIGN(BN444))*POWER(CHslave,SIGN(BO444))*POWER(FFslave,SIGN(BP444))*POWER(GEslave,SIGN(BQ444))*POWER(KKslave,SIGN(BS444))+BS444*POWER(MUslave,SIGN(BL444))*POWER(KLslave_KL,SIGN(BM444))*POWER(INslave,SIGN(BN444))*POWER(CHslave,SIGN(BO444))*POWER(FFslave,SIGN(BP444))*POWER(GEslave,SIGN(BQ444))*POWER(KOslave,SIGN(BR444))</f>
        <v>2304</v>
      </c>
      <c r="BX444" s="235">
        <f>BL444*BN444*CHslave+BL444*INslave*BO444+MUslave*BN444*BO444</f>
        <v>3456</v>
      </c>
      <c r="BY444" s="227">
        <f>IFERROR(BL444^SIGN(BL444),1)*IFERROR(BM444^SIGN(BM444),1)*IFERROR(BN444^SIGN(BN444),1)*IFERROR(BO444^SIGN(BO444),1)*IFERROR(BP444^SIGN(BP444),1)*IFERROR(BQ444^SIGN(BQ444),1)*IFERROR(BR444^SIGN(BR444),1)*IFERROR(BS444^SIGN(BS444),1)</f>
        <v>1728</v>
      </c>
      <c r="BZ444" s="244">
        <f>SUM(BW444:BY444)</f>
        <v>7488</v>
      </c>
      <c r="CA444" s="225">
        <f>BT444*BW444/BZ444</f>
        <v>3.6923076923076925</v>
      </c>
      <c r="CB444" s="226">
        <f>BU444*BX444/BZ444</f>
        <v>11.076923076923077</v>
      </c>
      <c r="CC444" s="245">
        <f>BV444*BY444/BZ444</f>
        <v>8.3076923076923084</v>
      </c>
      <c r="CD444" s="245">
        <f>SUM(CA444:CC444)</f>
        <v>23.07692307692308</v>
      </c>
      <c r="CE444" s="252">
        <f t="shared" si="4751"/>
        <v>0</v>
      </c>
      <c r="CF444" s="309">
        <f>CD444-CE444</f>
        <v>23.07692307692308</v>
      </c>
      <c r="CG444" s="246">
        <f>IF(CD444&lt;=0,2,0)+IF(CD444&gt;0,CD444+1,0)*2+IF(CD444&gt;12,CD444-12,0)*2+IF(CD444&gt;13,CD444-13,0)*2+IF(CD444&gt;14,CD444-14,0)*2+IF(CD444&gt;15,CD444-15,0)*2+IF(CD444&gt;16,CD444-16,0)*2+IF(CD444&gt;17,CD444-17,0)*2+IF(CD444&gt;18,CD444-18,0)*2+IF(CD444&gt;19,CD444-19,0)*2+IF(CD444&gt;20,CD444-20,0)*2</f>
        <v>175.5384615384616</v>
      </c>
      <c r="CH444" s="244">
        <f>IF(CE444&lt;=0,2,0)+IF(CE444&gt;0,CE444+1,0)*2+IF(CE444&gt;12,CE444-12,0)*2+IF(CE444&gt;13,CE444-13,0)*2+IF(CE444&gt;14,CE444-14,0)*2+IF(CE444&gt;15,CE444-15,0)*2+IF(CE444&gt;16,CE444-16,0)*2+IF(CE444&gt;17,CE444-17,0)*2+IF(CE444&gt;18,CE444-18,0)*2+IF(CE444&gt;19,CE444-19,0)*2+IF(CE444&gt;20,CE444-20,0)*2</f>
        <v>2</v>
      </c>
      <c r="CI444" s="245">
        <f>IF((CG444-CH444)&gt;0,CG444-CH444,0)</f>
        <v>173.5384615384616</v>
      </c>
      <c r="CJ444" s="246">
        <f>IF((CH444-CG444)&gt;0,CH444-CG444,0)</f>
        <v>0</v>
      </c>
      <c r="CL444" s="326" t="s">
        <v>264</v>
      </c>
      <c r="CM444" s="246" t="s">
        <v>86</v>
      </c>
      <c r="CN444" s="226" t="s">
        <v>132</v>
      </c>
      <c r="CO444" s="238">
        <f>Konvention_1slave-MUslave</f>
        <v>12</v>
      </c>
      <c r="CP444" s="235"/>
      <c r="CQ444" s="235">
        <f>Konvention_1slave-INslave_IN</f>
        <v>11</v>
      </c>
      <c r="CR444" s="235">
        <f>Konvention_1slave-CHslave</f>
        <v>12</v>
      </c>
      <c r="CS444" s="235"/>
      <c r="CT444" s="235"/>
      <c r="CU444" s="235"/>
      <c r="CV444" s="227"/>
      <c r="CW444" s="226">
        <f>(CO444+CP444+CQ444+CR444+CS444+CT444+CU444+CV444)/3</f>
        <v>11.666666666666666</v>
      </c>
      <c r="CX444" s="226">
        <f>2*CW444</f>
        <v>23.333333333333332</v>
      </c>
      <c r="CY444" s="235">
        <f>3*CW444</f>
        <v>35</v>
      </c>
      <c r="CZ444" s="238">
        <f>CO444*POWER(KLslave,SIGN(CP444))*POWER(INslave_IN,SIGN(CQ444))*POWER(CHslave,SIGN(CR444))*POWER(FFslave,SIGN(CS444))*POWER(GEslave,SIGN(CT444))*POWER(KOslave,SIGN(CU444))*POWER(KKslave,SIGN(CV444))+CP444*POWER(MUslave,SIGN(CO444))*POWER(INslave_IN,SIGN(CQ444))*POWER(CHslave,SIGN(CR444))*POWER(FFslave,SIGN(CS444))*POWER(GEslave,SIGN(CT444))*POWER(KOslave,SIGN(CU444))*POWER(KKslave,SIGN(CV444))+CQ444*POWER(MUslave,SIGN(CO444))*POWER(KLslave,SIGN(CP444))*POWER(CHslave,SIGN(CR444))*POWER(FFslave,SIGN(CS444))*POWER(GEslave,SIGN(CT444))*POWER(KOslave,SIGN(CU444))*POWER(KKslave,SIGN(CV444))+CR444*POWER(MUslave,SIGN(CO444))*POWER(KLslave,SIGN(CP444))*POWER(INslave_IN,SIGN(CQ444))*POWER(FFslave,SIGN(CS444))*POWER(GEslave,SIGN(CT444))*POWER(KOslave,SIGN(CU444))*POWER(KKslave,SIGN(CV444))+CS444*POWER(MUslave,SIGN(CO444))*POWER(KLslave,SIGN(CP444))*POWER(INslave_IN,SIGN(CQ444))*POWER(CHslave,SIGN(CR444))*POWER(GEslave,SIGN(CT444))*POWER(KOslave,SIGN(CU444))*POWER(KKslave,SIGN(CV444))+CT444*POWER(MUslave,SIGN(CO444))*POWER(KLslave,SIGN(CP444))*POWER(INslave_IN,SIGN(CQ444))*POWER(CHslave,SIGN(CR444))*POWER(FFslave,SIGN(CS444))*POWER(KOslave,SIGN(CU444))*POWER(KKslave,SIGN(CV444))+CU444*POWER(MUslave,SIGN(CO444))*POWER(KLslave,SIGN(CP444))*POWER(INslave_IN,SIGN(CQ444))*POWER(CHslave,SIGN(CR444))*POWER(FFslave,SIGN(CS444))*POWER(GEslave,SIGN(CT444))*POWER(KKslave,SIGN(CV444))+CV444*POWER(MUslave,SIGN(CO444))*POWER(KLslave,SIGN(CP444))*POWER(INslave_IN,SIGN(CQ444))*POWER(CHslave,SIGN(CR444))*POWER(FFslave,SIGN(CS444))*POWER(GEslave,SIGN(CT444))*POWER(KOslave,SIGN(CU444))</f>
        <v>2432</v>
      </c>
      <c r="DA444" s="235">
        <f>CO444*CQ444*CHslave+CO444*INslave_IN*CR444+MUslave*CQ444*CR444</f>
        <v>3408</v>
      </c>
      <c r="DB444" s="227">
        <f>IFERROR(CO444^SIGN(CO444),1)*IFERROR(CP444^SIGN(CP444),1)*IFERROR(CQ444^SIGN(CQ444),1)*IFERROR(CR444^SIGN(CR444),1)*IFERROR(CS444^SIGN(CS444),1)*IFERROR(CT444^SIGN(CT444),1)*IFERROR(CU444^SIGN(CU444),1)*IFERROR(CV444^SIGN(CV444),1)</f>
        <v>1584</v>
      </c>
      <c r="DC444" s="244">
        <f>SUM(CZ444:DB444)</f>
        <v>7424</v>
      </c>
      <c r="DD444" s="225">
        <f>CW444*CZ444/DC444</f>
        <v>3.8218390804597702</v>
      </c>
      <c r="DE444" s="226">
        <f>CX444*DA444/DC444</f>
        <v>10.711206896551724</v>
      </c>
      <c r="DF444" s="245">
        <f>CY444*DB444/DC444</f>
        <v>7.4676724137931032</v>
      </c>
      <c r="DG444" s="245">
        <f>SUM(DD444:DF444)</f>
        <v>22.000718390804597</v>
      </c>
      <c r="DH444" s="252">
        <f t="shared" si="4752"/>
        <v>0</v>
      </c>
      <c r="DI444" s="309">
        <f>DG444-DH444</f>
        <v>22.000718390804597</v>
      </c>
      <c r="DJ444" s="246">
        <f>IF(DG444&lt;=0,2,0)+IF(DG444&gt;0,DG444+1,0)*2+IF(DG444&gt;12,DG444-12,0)*2+IF(DG444&gt;13,DG444-13,0)*2+IF(DG444&gt;14,DG444-14,0)*2+IF(DG444&gt;15,DG444-15,0)*2+IF(DG444&gt;16,DG444-16,0)*2+IF(DG444&gt;17,DG444-17,0)*2+IF(DG444&gt;18,DG444-18,0)*2+IF(DG444&gt;19,DG444-19,0)*2+IF(DG444&gt;20,DG444-20,0)*2</f>
        <v>154.01436781609189</v>
      </c>
      <c r="DK444" s="244">
        <f>IF(DH444&lt;=0,2,0)+IF(DH444&gt;0,DH444+1,0)*2+IF(DH444&gt;12,DH444-12,0)*2+IF(DH444&gt;13,DH444-13,0)*2+IF(DH444&gt;14,DH444-14,0)*2+IF(DH444&gt;15,DH444-15,0)*2+IF(DH444&gt;16,DH444-16,0)*2+IF(DH444&gt;17,DH444-17,0)*2+IF(DH444&gt;18,DH444-18,0)*2+IF(DH444&gt;19,DH444-19,0)*2+IF(DH444&gt;20,DH444-20,0)*2</f>
        <v>2</v>
      </c>
      <c r="DL444" s="245">
        <f>IF((DJ444-DK444)&gt;0,DJ444-DK444,0)</f>
        <v>152.01436781609189</v>
      </c>
      <c r="DM444" s="246">
        <f>IF((DK444-DJ444)&gt;0,DK444-DJ444,0)</f>
        <v>0</v>
      </c>
      <c r="DO444" s="326" t="s">
        <v>264</v>
      </c>
      <c r="DP444" s="246" t="s">
        <v>86</v>
      </c>
      <c r="DQ444" s="226" t="s">
        <v>132</v>
      </c>
      <c r="DR444" s="238">
        <f>Konvention_1slave-MUslave</f>
        <v>12</v>
      </c>
      <c r="DS444" s="235"/>
      <c r="DT444" s="235">
        <f>Konvention_1slave-INslave</f>
        <v>12</v>
      </c>
      <c r="DU444" s="235">
        <f>Konvention_1slave-CHslave_CH</f>
        <v>11</v>
      </c>
      <c r="DV444" s="235"/>
      <c r="DW444" s="235"/>
      <c r="DX444" s="235"/>
      <c r="DY444" s="227"/>
      <c r="DZ444" s="226">
        <f>(DR444+DS444+DT444+DU444+DV444+DW444+DX444+DY444)/3</f>
        <v>11.666666666666666</v>
      </c>
      <c r="EA444" s="226">
        <f>2*DZ444</f>
        <v>23.333333333333332</v>
      </c>
      <c r="EB444" s="235">
        <f>3*DZ444</f>
        <v>35</v>
      </c>
      <c r="EC444" s="238">
        <f>DR444*POWER(KLslave,SIGN(DS444))*POWER(INslave,SIGN(DT444))*POWER(CHslave_CH,SIGN(DU444))*POWER(FFslave,SIGN(DV444))*POWER(GEslave,SIGN(DW444))*POWER(KOslave,SIGN(DX444))*POWER(KKslave,SIGN(DY444))+DS444*POWER(MUslave,SIGN(DR444))*POWER(INslave,SIGN(DT444))*POWER(CHslave_CH,SIGN(DU444))*POWER(FFslave,SIGN(DV444))*POWER(GEslave,SIGN(DW444))*POWER(KOslave,SIGN(DX444))*POWER(KKslave,SIGN(DY444))+DT444*POWER(MUslave,SIGN(DR444))*POWER(KLslave,SIGN(DS444))*POWER(CHslave_CH,SIGN(DU444))*POWER(FFslave,SIGN(DV444))*POWER(GEslave,SIGN(DW444))*POWER(KOslave,SIGN(DX444))*POWER(KKslave,SIGN(DY444))+DU444*POWER(MUslave,SIGN(DR444))*POWER(KLslave,SIGN(DS444))*POWER(INslave,SIGN(DT444))*POWER(FFslave,SIGN(DV444))*POWER(GEslave,SIGN(DW444))*POWER(KOslave,SIGN(DX444))*POWER(KKslave,SIGN(DY444))+DV444*POWER(MUslave,SIGN(DR444))*POWER(KLslave,SIGN(DS444))*POWER(INslave,SIGN(DT444))*POWER(CHslave_CH,SIGN(DU444))*POWER(GEslave,SIGN(DW444))*POWER(KOslave,SIGN(DX444))*POWER(KKslave,SIGN(DY444))+DW444*POWER(MUslave,SIGN(DR444))*POWER(KLslave,SIGN(DS444))*POWER(INslave,SIGN(DT444))*POWER(CHslave_CH,SIGN(DU444))*POWER(FFslave,SIGN(DV444))*POWER(KOslave,SIGN(DX444))*POWER(KKslave,SIGN(DY444))+DX444*POWER(MUslave,SIGN(DR444))*POWER(KLslave,SIGN(DS444))*POWER(INslave,SIGN(DT444))*POWER(CHslave_CH,SIGN(DU444))*POWER(FFslave,SIGN(DV444))*POWER(GEslave,SIGN(DW444))*POWER(KKslave,SIGN(DY444))+DY444*POWER(MUslave,SIGN(DR444))*POWER(KLslave,SIGN(DS444))*POWER(INslave,SIGN(DT444))*POWER(CHslave_CH,SIGN(DU444))*POWER(FFslave,SIGN(DV444))*POWER(GEslave,SIGN(DW444))*POWER(KOslave,SIGN(DX444))</f>
        <v>2432</v>
      </c>
      <c r="ED444" s="235">
        <f>DR444*DT444*CHslave_CH+DR444*INslave*DU444+MUslave*DT444*DU444</f>
        <v>3408</v>
      </c>
      <c r="EE444" s="227">
        <f>IFERROR(DR444^SIGN(DR444),1)*IFERROR(DS444^SIGN(DS444),1)*IFERROR(DT444^SIGN(DT444),1)*IFERROR(DU444^SIGN(DU444),1)*IFERROR(DV444^SIGN(DV444),1)*IFERROR(DW444^SIGN(DW444),1)*IFERROR(DX444^SIGN(DX444),1)*IFERROR(DY444^SIGN(DY444),1)</f>
        <v>1584</v>
      </c>
      <c r="EF444" s="244">
        <f>SUM(EC444:EE444)</f>
        <v>7424</v>
      </c>
      <c r="EG444" s="225">
        <f>DZ444*EC444/EF444</f>
        <v>3.8218390804597702</v>
      </c>
      <c r="EH444" s="226">
        <f>EA444*ED444/EF444</f>
        <v>10.711206896551724</v>
      </c>
      <c r="EI444" s="245">
        <f>EB444*EE444/EF444</f>
        <v>7.4676724137931032</v>
      </c>
      <c r="EJ444" s="245">
        <f>SUM(EG444:EI444)</f>
        <v>22.000718390804597</v>
      </c>
      <c r="EK444" s="252">
        <f t="shared" si="4753"/>
        <v>0</v>
      </c>
      <c r="EL444" s="309">
        <f>EJ444-EK444</f>
        <v>22.000718390804597</v>
      </c>
      <c r="EM444" s="246">
        <f>IF(EJ444&lt;=0,2,0)+IF(EJ444&gt;0,EJ444+1,0)*2+IF(EJ444&gt;12,EJ444-12,0)*2+IF(EJ444&gt;13,EJ444-13,0)*2+IF(EJ444&gt;14,EJ444-14,0)*2+IF(EJ444&gt;15,EJ444-15,0)*2+IF(EJ444&gt;16,EJ444-16,0)*2+IF(EJ444&gt;17,EJ444-17,0)*2+IF(EJ444&gt;18,EJ444-18,0)*2+IF(EJ444&gt;19,EJ444-19,0)*2+IF(EJ444&gt;20,EJ444-20,0)*2</f>
        <v>154.01436781609189</v>
      </c>
      <c r="EN444" s="244">
        <f>IF(EK444&lt;=0,2,0)+IF(EK444&gt;0,EK444+1,0)*2+IF(EK444&gt;12,EK444-12,0)*2+IF(EK444&gt;13,EK444-13,0)*2+IF(EK444&gt;14,EK444-14,0)*2+IF(EK444&gt;15,EK444-15,0)*2+IF(EK444&gt;16,EK444-16,0)*2+IF(EK444&gt;17,EK444-17,0)*2+IF(EK444&gt;18,EK444-18,0)*2+IF(EK444&gt;19,EK444-19,0)*2+IF(EK444&gt;20,EK444-20,0)*2</f>
        <v>2</v>
      </c>
      <c r="EO444" s="245">
        <f>IF((EM444-EN444)&gt;0,EM444-EN444,0)</f>
        <v>152.01436781609189</v>
      </c>
      <c r="EP444" s="246">
        <f>IF((EN444-EM444)&gt;0,EN444-EM444,0)</f>
        <v>0</v>
      </c>
      <c r="ER444" s="326" t="s">
        <v>264</v>
      </c>
      <c r="ES444" s="246" t="s">
        <v>86</v>
      </c>
      <c r="ET444" s="226" t="s">
        <v>132</v>
      </c>
      <c r="EU444" s="238">
        <f>Konvention_1slave-MUslave</f>
        <v>12</v>
      </c>
      <c r="EV444" s="235"/>
      <c r="EW444" s="235">
        <f>Konvention_1slave-INslave</f>
        <v>12</v>
      </c>
      <c r="EX444" s="235">
        <f>Konvention_1slave-CHslave</f>
        <v>12</v>
      </c>
      <c r="EY444" s="235"/>
      <c r="EZ444" s="235"/>
      <c r="FA444" s="235"/>
      <c r="FB444" s="227"/>
      <c r="FC444" s="226">
        <f>(EU444+EV444+EW444+EX444+EY444+EZ444+FA444+FB444)/3</f>
        <v>12</v>
      </c>
      <c r="FD444" s="226">
        <f>2*FC444</f>
        <v>24</v>
      </c>
      <c r="FE444" s="235">
        <f>3*FC444</f>
        <v>36</v>
      </c>
      <c r="FF444" s="238">
        <f>EU444*POWER(KLslave,SIGN(EV444))*POWER(INslave,SIGN(EW444))*POWER(CHslave,SIGN(EX444))*POWER(FFslave_FF,SIGN(EY444))*POWER(GEslave,SIGN(EZ444))*POWER(KOslave,SIGN(FA444))*POWER(KKslave,SIGN(FB444))+EV444*POWER(MUslave,SIGN(EU444))*POWER(INslave,SIGN(EW444))*POWER(CHslave,SIGN(EX444))*POWER(FFslave_FF,SIGN(EY444))*POWER(GEslave,SIGN(EZ444))*POWER(KOslave,SIGN(FA444))*POWER(KKslave,SIGN(FB444))+EW444*POWER(MUslave,SIGN(EU444))*POWER(KLslave,SIGN(EV444))*POWER(CHslave,SIGN(EX444))*POWER(FFslave_FF,SIGN(EY444))*POWER(GEslave,SIGN(EZ444))*POWER(KOslave,SIGN(FA444))*POWER(KKslave,SIGN(FB444))+EX444*POWER(MUslave,SIGN(EU444))*POWER(KLslave,SIGN(EV444))*POWER(INslave,SIGN(EW444))*POWER(FFslave_FF,SIGN(EY444))*POWER(GEslave,SIGN(EZ444))*POWER(KOslave,SIGN(FA444))*POWER(KKslave,SIGN(FB444))+EY444*POWER(MUslave,SIGN(EU444))*POWER(KLslave,SIGN(EV444))*POWER(INslave,SIGN(EW444))*POWER(CHslave,SIGN(EX444))*POWER(GEslave,SIGN(EZ444))*POWER(KOslave,SIGN(FA444))*POWER(KKslave,SIGN(FB444))+EZ444*POWER(MUslave,SIGN(EU444))*POWER(KLslave,SIGN(EV444))*POWER(INslave,SIGN(EW444))*POWER(CHslave,SIGN(EX444))*POWER(FFslave_FF,SIGN(EY444))*POWER(KOslave,SIGN(FA444))*POWER(KKslave,SIGN(FB444))+FA444*POWER(MUslave,SIGN(EU444))*POWER(KLslave,SIGN(EV444))*POWER(INslave,SIGN(EW444))*POWER(CHslave,SIGN(EX444))*POWER(FFslave_FF,SIGN(EY444))*POWER(GEslave,SIGN(EZ444))*POWER(KKslave,SIGN(FB444))+FB444*POWER(MUslave,SIGN(EU444))*POWER(KLslave,SIGN(EV444))*POWER(INslave,SIGN(EW444))*POWER(CHslave,SIGN(EX444))*POWER(FFslave_FF,SIGN(EY444))*POWER(GEslave,SIGN(EZ444))*POWER(KOslave,SIGN(FA444))</f>
        <v>2304</v>
      </c>
      <c r="FG444" s="235">
        <f>EU444*EW444*CHslave+EU444*INslave*EX444+MUslave*EW444*EX444</f>
        <v>3456</v>
      </c>
      <c r="FH444" s="227">
        <f>IFERROR(EU444^SIGN(EU444),1)*IFERROR(EV444^SIGN(EV444),1)*IFERROR(EW444^SIGN(EW444),1)*IFERROR(EX444^SIGN(EX444),1)*IFERROR(EY444^SIGN(EY444),1)*IFERROR(EZ444^SIGN(EZ444),1)*IFERROR(FA444^SIGN(FA444),1)*IFERROR(FB444^SIGN(FB444),1)</f>
        <v>1728</v>
      </c>
      <c r="FI444" s="244">
        <f>SUM(FF444:FH444)</f>
        <v>7488</v>
      </c>
      <c r="FJ444" s="225">
        <f>FC444*FF444/FI444</f>
        <v>3.6923076923076925</v>
      </c>
      <c r="FK444" s="226">
        <f>FD444*FG444/FI444</f>
        <v>11.076923076923077</v>
      </c>
      <c r="FL444" s="245">
        <f>FE444*FH444/FI444</f>
        <v>8.3076923076923084</v>
      </c>
      <c r="FM444" s="245">
        <f>SUM(FJ444:FL444)</f>
        <v>23.07692307692308</v>
      </c>
      <c r="FN444" s="252">
        <f t="shared" si="4754"/>
        <v>0</v>
      </c>
      <c r="FO444" s="309">
        <f>FM444-FN444</f>
        <v>23.07692307692308</v>
      </c>
      <c r="FP444" s="246">
        <f>IF(FM444&lt;=0,2,0)+IF(FM444&gt;0,FM444+1,0)*2+IF(FM444&gt;12,FM444-12,0)*2+IF(FM444&gt;13,FM444-13,0)*2+IF(FM444&gt;14,FM444-14,0)*2+IF(FM444&gt;15,FM444-15,0)*2+IF(FM444&gt;16,FM444-16,0)*2+IF(FM444&gt;17,FM444-17,0)*2+IF(FM444&gt;18,FM444-18,0)*2+IF(FM444&gt;19,FM444-19,0)*2+IF(FM444&gt;20,FM444-20,0)*2</f>
        <v>175.5384615384616</v>
      </c>
      <c r="FQ444" s="244">
        <f>IF(FN444&lt;=0,2,0)+IF(FN444&gt;0,FN444+1,0)*2+IF(FN444&gt;12,FN444-12,0)*2+IF(FN444&gt;13,FN444-13,0)*2+IF(FN444&gt;14,FN444-14,0)*2+IF(FN444&gt;15,FN444-15,0)*2+IF(FN444&gt;16,FN444-16,0)*2+IF(FN444&gt;17,FN444-17,0)*2+IF(FN444&gt;18,FN444-18,0)*2+IF(FN444&gt;19,FN444-19,0)*2+IF(FN444&gt;20,FN444-20,0)*2</f>
        <v>2</v>
      </c>
      <c r="FR444" s="245">
        <f>IF((FP444-FQ444)&gt;0,FP444-FQ444,0)</f>
        <v>173.5384615384616</v>
      </c>
      <c r="FS444" s="246">
        <f>IF((FQ444-FP444)&gt;0,FQ444-FP444,0)</f>
        <v>0</v>
      </c>
      <c r="FU444" s="326" t="s">
        <v>264</v>
      </c>
      <c r="FV444" s="246" t="s">
        <v>86</v>
      </c>
      <c r="FW444" s="226" t="s">
        <v>132</v>
      </c>
      <c r="FX444" s="238">
        <f>Konvention_1slave-MUslave</f>
        <v>12</v>
      </c>
      <c r="FY444" s="235"/>
      <c r="FZ444" s="235">
        <f>Konvention_1slave-INslave</f>
        <v>12</v>
      </c>
      <c r="GA444" s="235">
        <f>Konvention_1slave-CHslave</f>
        <v>12</v>
      </c>
      <c r="GB444" s="235"/>
      <c r="GC444" s="235"/>
      <c r="GD444" s="235"/>
      <c r="GE444" s="227"/>
      <c r="GF444" s="226">
        <f>(FX444+FY444+FZ444+GA444+GB444+GC444+GD444+GE444)/3</f>
        <v>12</v>
      </c>
      <c r="GG444" s="226">
        <f>2*GF444</f>
        <v>24</v>
      </c>
      <c r="GH444" s="235">
        <f>3*GF444</f>
        <v>36</v>
      </c>
      <c r="GI444" s="238">
        <f>FX444*POWER(KLslave,SIGN(FY444))*POWER(INslave,SIGN(FZ444))*POWER(CHslave,SIGN(GA444))*POWER(FFslave,SIGN(GB444))*POWER(GEslave_GE,SIGN(GC444))*POWER(KOslave,SIGN(GD444))*POWER(KKslave,SIGN(GE444))+FY444*POWER(MUslave,SIGN(FX444))*POWER(INslave,SIGN(FZ444))*POWER(CHslave,SIGN(GA444))*POWER(FFslave,SIGN(GB444))*POWER(GEslave_GE,SIGN(GC444))*POWER(KOslave,SIGN(GD444))*POWER(KKslave,SIGN(GE444))+FZ444*POWER(MUslave,SIGN(FX444))*POWER(KLslave,SIGN(FY444))*POWER(CHslave,SIGN(GA444))*POWER(FFslave,SIGN(GB444))*POWER(GEslave_GE,SIGN(GC444))*POWER(KOslave,SIGN(GD444))*POWER(KKslave,SIGN(GE444))+GA444*POWER(MUslave,SIGN(FX444))*POWER(KLslave,SIGN(FY444))*POWER(INslave,SIGN(FZ444))*POWER(FFslave,SIGN(GB444))*POWER(GEslave_GE,SIGN(GC444))*POWER(KOslave,SIGN(GD444))*POWER(KKslave,SIGN(GE444))+GB444*POWER(MUslave,SIGN(FX444))*POWER(KLslave,SIGN(FY444))*POWER(INslave,SIGN(FZ444))*POWER(CHslave,SIGN(GA444))*POWER(GEslave_GE,SIGN(GC444))*POWER(KOslave,SIGN(GD444))*POWER(KKslave,SIGN(GE444))+GC444*POWER(MUslave,SIGN(FX444))*POWER(KLslave,SIGN(FY444))*POWER(INslave,SIGN(FZ444))*POWER(CHslave,SIGN(GA444))*POWER(FFslave,SIGN(GB444))*POWER(KOslave,SIGN(GD444))*POWER(KKslave,SIGN(GE444))+GD444*POWER(MUslave,SIGN(FX444))*POWER(KLslave,SIGN(FY444))*POWER(INslave,SIGN(FZ444))*POWER(CHslave,SIGN(GA444))*POWER(FFslave,SIGN(GB444))*POWER(GEslave_GE,SIGN(GC444))*POWER(KKslave,SIGN(GE444))+GE444*POWER(MUslave,SIGN(FX444))*POWER(KLslave,SIGN(FY444))*POWER(INslave,SIGN(FZ444))*POWER(CHslave,SIGN(GA444))*POWER(FFslave,SIGN(GB444))*POWER(GEslave_GE,SIGN(GC444))*POWER(KOslave,SIGN(GD444))</f>
        <v>2304</v>
      </c>
      <c r="GJ444" s="235">
        <f>FX444*FZ444*CHslave+FX444*INslave*GA444+MUslave*FZ444*GA444</f>
        <v>3456</v>
      </c>
      <c r="GK444" s="227">
        <f>IFERROR(FX444^SIGN(FX444),1)*IFERROR(FY444^SIGN(FY444),1)*IFERROR(FZ444^SIGN(FZ444),1)*IFERROR(GA444^SIGN(GA444),1)*IFERROR(GB444^SIGN(GB444),1)*IFERROR(GC444^SIGN(GC444),1)*IFERROR(GD444^SIGN(GD444),1)*IFERROR(GE444^SIGN(GE444),1)</f>
        <v>1728</v>
      </c>
      <c r="GL444" s="244">
        <f>SUM(GI444:GK444)</f>
        <v>7488</v>
      </c>
      <c r="GM444" s="225">
        <f>GF444*GI444/GL444</f>
        <v>3.6923076923076925</v>
      </c>
      <c r="GN444" s="226">
        <f>GG444*GJ444/GL444</f>
        <v>11.076923076923077</v>
      </c>
      <c r="GO444" s="245">
        <f>GH444*GK444/GL444</f>
        <v>8.3076923076923084</v>
      </c>
      <c r="GP444" s="245">
        <f>SUM(GM444:GO444)</f>
        <v>23.07692307692308</v>
      </c>
      <c r="GQ444" s="252">
        <f t="shared" si="4755"/>
        <v>0</v>
      </c>
      <c r="GR444" s="309">
        <f>GP444-GQ444</f>
        <v>23.07692307692308</v>
      </c>
      <c r="GS444" s="246">
        <f>IF(GP444&lt;=0,2,0)+IF(GP444&gt;0,GP444+1,0)*2+IF(GP444&gt;12,GP444-12,0)*2+IF(GP444&gt;13,GP444-13,0)*2+IF(GP444&gt;14,GP444-14,0)*2+IF(GP444&gt;15,GP444-15,0)*2+IF(GP444&gt;16,GP444-16,0)*2+IF(GP444&gt;17,GP444-17,0)*2+IF(GP444&gt;18,GP444-18,0)*2+IF(GP444&gt;19,GP444-19,0)*2+IF(GP444&gt;20,GP444-20,0)*2</f>
        <v>175.5384615384616</v>
      </c>
      <c r="GT444" s="244">
        <f>IF(GQ444&lt;=0,2,0)+IF(GQ444&gt;0,GQ444+1,0)*2+IF(GQ444&gt;12,GQ444-12,0)*2+IF(GQ444&gt;13,GQ444-13,0)*2+IF(GQ444&gt;14,GQ444-14,0)*2+IF(GQ444&gt;15,GQ444-15,0)*2+IF(GQ444&gt;16,GQ444-16,0)*2+IF(GQ444&gt;17,GQ444-17,0)*2+IF(GQ444&gt;18,GQ444-18,0)*2+IF(GQ444&gt;19,GQ444-19,0)*2+IF(GQ444&gt;20,GQ444-20,0)*2</f>
        <v>2</v>
      </c>
      <c r="GU444" s="245">
        <f>IF((GS444-GT444)&gt;0,GS444-GT444,0)</f>
        <v>173.5384615384616</v>
      </c>
      <c r="GV444" s="246">
        <f>IF((GT444-GS444)&gt;0,GT444-GS444,0)</f>
        <v>0</v>
      </c>
      <c r="GX444" s="326" t="s">
        <v>264</v>
      </c>
      <c r="GY444" s="246" t="s">
        <v>86</v>
      </c>
      <c r="GZ444" s="226" t="s">
        <v>132</v>
      </c>
      <c r="HA444" s="238">
        <f>Konvention_1slave-MUslave</f>
        <v>12</v>
      </c>
      <c r="HB444" s="235"/>
      <c r="HC444" s="235">
        <f>Konvention_1slave-INslave</f>
        <v>12</v>
      </c>
      <c r="HD444" s="235">
        <f>Konvention_1slave-CHslave</f>
        <v>12</v>
      </c>
      <c r="HE444" s="235"/>
      <c r="HF444" s="235"/>
      <c r="HG444" s="235"/>
      <c r="HH444" s="227"/>
      <c r="HI444" s="226">
        <f>(HA444+HB444+HC444+HD444+HE444+HF444+HG444+HH444)/3</f>
        <v>12</v>
      </c>
      <c r="HJ444" s="226">
        <f>2*HI444</f>
        <v>24</v>
      </c>
      <c r="HK444" s="235">
        <f>3*HI444</f>
        <v>36</v>
      </c>
      <c r="HL444" s="238">
        <f>HA444*POWER(KLslave,SIGN(HB444))*POWER(INslave,SIGN(HC444))*POWER(CHslave,SIGN(HD444))*POWER(FFslave,SIGN(HE444))*POWER(GEslave,SIGN(HF444))*POWER(KOslave_KO,SIGN(HG444))*POWER(KKslave,SIGN(HH444))+HB444*POWER(MUslave,SIGN(HA444))*POWER(INslave,SIGN(HC444))*POWER(CHslave,SIGN(HD444))*POWER(FFslave,SIGN(HE444))*POWER(GEslave,SIGN(HF444))*POWER(KOslave_KO,SIGN(HG444))*POWER(KKslave,SIGN(HH444))+HC444*POWER(MUslave,SIGN(HA444))*POWER(KLslave,SIGN(HB444))*POWER(CHslave,SIGN(HD444))*POWER(FFslave,SIGN(HE444))*POWER(GEslave,SIGN(HF444))*POWER(KOslave_KO,SIGN(HG444))*POWER(KKslave,SIGN(HH444))+HD444*POWER(MUslave,SIGN(HA444))*POWER(KLslave,SIGN(HB444))*POWER(INslave,SIGN(HC444))*POWER(FFslave,SIGN(HE444))*POWER(GEslave,SIGN(HF444))*POWER(KOslave_KO,SIGN(HG444))*POWER(KKslave,SIGN(HH444))+HE444*POWER(MUslave,SIGN(HA444))*POWER(KLslave,SIGN(HB444))*POWER(INslave,SIGN(HC444))*POWER(CHslave,SIGN(HD444))*POWER(GEslave,SIGN(HF444))*POWER(KOslave_KO,SIGN(HG444))*POWER(KKslave,SIGN(HH444))+HF444*POWER(MUslave,SIGN(HA444))*POWER(KLslave,SIGN(HB444))*POWER(INslave,SIGN(HC444))*POWER(CHslave,SIGN(HD444))*POWER(FFslave,SIGN(HE444))*POWER(KOslave_KO,SIGN(HG444))*POWER(KKslave,SIGN(HH444))+HG444*POWER(MUslave,SIGN(HA444))*POWER(KLslave,SIGN(HB444))*POWER(INslave,SIGN(HC444))*POWER(CHslave,SIGN(HD444))*POWER(FFslave,SIGN(HE444))*POWER(GEslave,SIGN(HF444))*POWER(KKslave,SIGN(HH444))+HH444*POWER(MUslave,SIGN(HA444))*POWER(KLslave,SIGN(HB444))*POWER(INslave,SIGN(HC444))*POWER(CHslave,SIGN(HD444))*POWER(FFslave,SIGN(HE444))*POWER(GEslave,SIGN(HF444))*POWER(KOslave_KO,SIGN(HG444))</f>
        <v>2304</v>
      </c>
      <c r="HM444" s="235">
        <f>HA444*HC444*CHslave+HA444*INslave*HD444+MUslave*HC444*HD444</f>
        <v>3456</v>
      </c>
      <c r="HN444" s="227">
        <f>IFERROR(HA444^SIGN(HA444),1)*IFERROR(HB444^SIGN(HB444),1)*IFERROR(HC444^SIGN(HC444),1)*IFERROR(HD444^SIGN(HD444),1)*IFERROR(HE444^SIGN(HE444),1)*IFERROR(HF444^SIGN(HF444),1)*IFERROR(HG444^SIGN(HG444),1)*IFERROR(HH444^SIGN(HH444),1)</f>
        <v>1728</v>
      </c>
      <c r="HO444" s="244">
        <f>SUM(HL444:HN444)</f>
        <v>7488</v>
      </c>
      <c r="HP444" s="225">
        <f>HI444*HL444/HO444</f>
        <v>3.6923076923076925</v>
      </c>
      <c r="HQ444" s="226">
        <f>HJ444*HM444/HO444</f>
        <v>11.076923076923077</v>
      </c>
      <c r="HR444" s="245">
        <f>HK444*HN444/HO444</f>
        <v>8.3076923076923084</v>
      </c>
      <c r="HS444" s="245">
        <f>SUM(HP444:HR444)</f>
        <v>23.07692307692308</v>
      </c>
      <c r="HT444" s="252">
        <f t="shared" si="4756"/>
        <v>0</v>
      </c>
      <c r="HU444" s="309">
        <f>HS444-HT444</f>
        <v>23.07692307692308</v>
      </c>
      <c r="HV444" s="246">
        <f>IF(HS444&lt;=0,2,0)+IF(HS444&gt;0,HS444+1,0)*2+IF(HS444&gt;12,HS444-12,0)*2+IF(HS444&gt;13,HS444-13,0)*2+IF(HS444&gt;14,HS444-14,0)*2+IF(HS444&gt;15,HS444-15,0)*2+IF(HS444&gt;16,HS444-16,0)*2+IF(HS444&gt;17,HS444-17,0)*2+IF(HS444&gt;18,HS444-18,0)*2+IF(HS444&gt;19,HS444-19,0)*2+IF(HS444&gt;20,HS444-20,0)*2</f>
        <v>175.5384615384616</v>
      </c>
      <c r="HW444" s="244">
        <f>IF(HT444&lt;=0,2,0)+IF(HT444&gt;0,HT444+1,0)*2+IF(HT444&gt;12,HT444-12,0)*2+IF(HT444&gt;13,HT444-13,0)*2+IF(HT444&gt;14,HT444-14,0)*2+IF(HT444&gt;15,HT444-15,0)*2+IF(HT444&gt;16,HT444-16,0)*2+IF(HT444&gt;17,HT444-17,0)*2+IF(HT444&gt;18,HT444-18,0)*2+IF(HT444&gt;19,HT444-19,0)*2+IF(HT444&gt;20,HT444-20,0)*2</f>
        <v>2</v>
      </c>
      <c r="HX444" s="245">
        <f>IF((HV444-HW444)&gt;0,HV444-HW444,0)</f>
        <v>173.5384615384616</v>
      </c>
      <c r="HY444" s="246">
        <f>IF((HW444-HV444)&gt;0,HW444-HV444,0)</f>
        <v>0</v>
      </c>
      <c r="IA444" s="326" t="s">
        <v>264</v>
      </c>
      <c r="IB444" s="246" t="s">
        <v>86</v>
      </c>
      <c r="IC444" s="226" t="s">
        <v>132</v>
      </c>
      <c r="ID444" s="238">
        <f>Konvention_1slave-MUslave</f>
        <v>12</v>
      </c>
      <c r="IE444" s="235"/>
      <c r="IF444" s="235">
        <f>Konvention_1slave-INslave</f>
        <v>12</v>
      </c>
      <c r="IG444" s="235">
        <f>Konvention_1slave-CHslave</f>
        <v>12</v>
      </c>
      <c r="IH444" s="235"/>
      <c r="II444" s="235"/>
      <c r="IJ444" s="235"/>
      <c r="IK444" s="227"/>
      <c r="IL444" s="226">
        <f>(ID444+IE444+IF444+IG444+IH444+II444+IJ444+IK444)/3</f>
        <v>12</v>
      </c>
      <c r="IM444" s="226">
        <f>2*IL444</f>
        <v>24</v>
      </c>
      <c r="IN444" s="235">
        <f>3*IL444</f>
        <v>36</v>
      </c>
      <c r="IO444" s="238">
        <f>ID444*POWER(KLslave,SIGN(IE444))*POWER(INslave,SIGN(IF444))*POWER(CHslave,SIGN(IG444))*POWER(FFslave,SIGN(IH444))*POWER(GEslave,SIGN(II444))*POWER(KOslave,SIGN(IJ444))*POWER(KKslave_KK,SIGN(IK444))+IE444*POWER(MUslave,SIGN(ID444))*POWER(INslave,SIGN(IF444))*POWER(CHslave,SIGN(IG444))*POWER(FFslave,SIGN(IH444))*POWER(GEslave,SIGN(II444))*POWER(KOslave,SIGN(IJ444))*POWER(KKslave_KK,SIGN(IK444))+IF444*POWER(MUslave,SIGN(ID444))*POWER(KLslave,SIGN(IE444))*POWER(CHslave,SIGN(IG444))*POWER(FFslave,SIGN(IH444))*POWER(GEslave,SIGN(II444))*POWER(KOslave,SIGN(IJ444))*POWER(KKslave_KK,SIGN(IK444))+IG444*POWER(MUslave,SIGN(ID444))*POWER(KLslave,SIGN(IE444))*POWER(INslave,SIGN(IF444))*POWER(FFslave,SIGN(IH444))*POWER(GEslave,SIGN(II444))*POWER(KOslave,SIGN(IJ444))*POWER(KKslave_KK,SIGN(IK444))+IH444*POWER(MUslave,SIGN(ID444))*POWER(KLslave,SIGN(IE444))*POWER(INslave,SIGN(IF444))*POWER(CHslave,SIGN(IG444))*POWER(GEslave,SIGN(II444))*POWER(KOslave,SIGN(IJ444))*POWER(KKslave_KK,SIGN(IK444))+II444*POWER(MUslave,SIGN(ID444))*POWER(KLslave,SIGN(IE444))*POWER(INslave,SIGN(IF444))*POWER(CHslave,SIGN(IG444))*POWER(FFslave,SIGN(IH444))*POWER(KOslave,SIGN(IJ444))*POWER(KKslave_KK,SIGN(IK444))+IJ444*POWER(MUslave,SIGN(ID444))*POWER(KLslave,SIGN(IE444))*POWER(INslave,SIGN(IF444))*POWER(CHslave,SIGN(IG444))*POWER(FFslave,SIGN(IH444))*POWER(GEslave,SIGN(II444))*POWER(KKslave_KK,SIGN(IK444))+IK444*POWER(MUslave,SIGN(ID444))*POWER(KLslave,SIGN(IE444))*POWER(INslave,SIGN(IF444))*POWER(CHslave,SIGN(IG444))*POWER(FFslave,SIGN(IH444))*POWER(GEslave,SIGN(II444))*POWER(KOslave,SIGN(IJ444))</f>
        <v>2304</v>
      </c>
      <c r="IP444" s="235">
        <f>ID444*IF444*CHslave+ID444*INslave*IG444+MUslave*IF444*IG444</f>
        <v>3456</v>
      </c>
      <c r="IQ444" s="227">
        <f>IFERROR(ID444^SIGN(ID444),1)*IFERROR(IE444^SIGN(IE444),1)*IFERROR(IF444^SIGN(IF444),1)*IFERROR(IG444^SIGN(IG444),1)*IFERROR(IH444^SIGN(IH444),1)*IFERROR(II444^SIGN(II444),1)*IFERROR(IJ444^SIGN(IJ444),1)*IFERROR(IK444^SIGN(IK444),1)</f>
        <v>1728</v>
      </c>
      <c r="IR444" s="244">
        <f>SUM(IO444:IQ444)</f>
        <v>7488</v>
      </c>
      <c r="IS444" s="225">
        <f>IL444*IO444/IR444</f>
        <v>3.6923076923076925</v>
      </c>
      <c r="IT444" s="226">
        <f>IM444*IP444/IR444</f>
        <v>11.076923076923077</v>
      </c>
      <c r="IU444" s="245">
        <f>IN444*IQ444/IR444</f>
        <v>8.3076923076923084</v>
      </c>
      <c r="IV444" s="245">
        <f>SUM(IS444:IU444)</f>
        <v>23.07692307692308</v>
      </c>
      <c r="IW444" s="252">
        <f t="shared" si="4757"/>
        <v>0</v>
      </c>
      <c r="IX444" s="309">
        <f>IV444-IW444</f>
        <v>23.07692307692308</v>
      </c>
      <c r="IY444" s="246">
        <f>IF(IV444&lt;=0,2,0)+IF(IV444&gt;0,IV444+1,0)*2+IF(IV444&gt;12,IV444-12,0)*2+IF(IV444&gt;13,IV444-13,0)*2+IF(IV444&gt;14,IV444-14,0)*2+IF(IV444&gt;15,IV444-15,0)*2+IF(IV444&gt;16,IV444-16,0)*2+IF(IV444&gt;17,IV444-17,0)*2+IF(IV444&gt;18,IV444-18,0)*2+IF(IV444&gt;19,IV444-19,0)*2+IF(IV444&gt;20,IV444-20,0)*2</f>
        <v>175.5384615384616</v>
      </c>
      <c r="IZ444" s="244">
        <f>IF(IW444&lt;=0,2,0)+IF(IW444&gt;0,IW444+1,0)*2+IF(IW444&gt;12,IW444-12,0)*2+IF(IW444&gt;13,IW444-13,0)*2+IF(IW444&gt;14,IW444-14,0)*2+IF(IW444&gt;15,IW444-15,0)*2+IF(IW444&gt;16,IW444-16,0)*2+IF(IW444&gt;17,IW444-17,0)*2+IF(IW444&gt;18,IW444-18,0)*2+IF(IW444&gt;19,IW444-19,0)*2+IF(IW444&gt;20,IW444-20,0)*2</f>
        <v>2</v>
      </c>
      <c r="JA444" s="245">
        <f>IF((IY444-IZ444)&gt;0,IY444-IZ444,0)</f>
        <v>173.5384615384616</v>
      </c>
      <c r="JB444" s="246">
        <f>IF((IZ444-IY444)&gt;0,IZ444-IY444,0)</f>
        <v>0</v>
      </c>
      <c r="JE444" s="148"/>
    </row>
    <row r="445" spans="1:265" ht="15" hidden="1" customHeight="1" outlineLevel="1" collapsed="1" thickBot="1">
      <c r="C445" s="248"/>
      <c r="Y445" s="251"/>
      <c r="Z445" s="197"/>
      <c r="AF445" s="140"/>
      <c r="BB445" s="197"/>
      <c r="BC445" s="197"/>
      <c r="BI445" s="248"/>
      <c r="CE445" s="251"/>
      <c r="CF445" s="251"/>
      <c r="CL445" s="248"/>
      <c r="DH445" s="251"/>
      <c r="DI445" s="251"/>
      <c r="DO445" s="248"/>
      <c r="EK445" s="251"/>
      <c r="EL445" s="251"/>
      <c r="ER445" s="248"/>
      <c r="FN445" s="251"/>
      <c r="FO445" s="251"/>
      <c r="FU445" s="248"/>
      <c r="GQ445" s="251"/>
      <c r="GR445" s="251"/>
      <c r="GX445" s="248"/>
      <c r="HT445" s="251"/>
      <c r="HU445" s="251"/>
      <c r="IA445" s="248"/>
      <c r="IW445" s="251"/>
      <c r="IX445" s="251"/>
      <c r="JE445" s="148"/>
    </row>
    <row r="446" spans="1:265" ht="15.75" collapsed="1" thickBot="1">
      <c r="A446" s="135" t="s">
        <v>269</v>
      </c>
      <c r="C446" s="248"/>
      <c r="X446" s="248"/>
      <c r="Y446" s="251"/>
      <c r="Z446" s="197"/>
      <c r="AF446" s="140"/>
      <c r="BA446" s="140"/>
      <c r="BB446" s="197"/>
      <c r="BC446" s="197"/>
      <c r="BI446" s="248"/>
      <c r="CD446" s="248"/>
      <c r="CE446" s="251"/>
      <c r="CF446" s="251"/>
      <c r="CL446" s="248"/>
      <c r="DG446" s="248"/>
      <c r="DH446" s="251"/>
      <c r="DI446" s="251"/>
      <c r="DO446" s="248"/>
      <c r="EJ446" s="248"/>
      <c r="EK446" s="251"/>
      <c r="EL446" s="251"/>
      <c r="ER446" s="248"/>
      <c r="FM446" s="248"/>
      <c r="FN446" s="251"/>
      <c r="FO446" s="251"/>
      <c r="FU446" s="248"/>
      <c r="GP446" s="248"/>
      <c r="GQ446" s="251"/>
      <c r="GR446" s="251"/>
      <c r="GX446" s="248"/>
      <c r="HS446" s="248"/>
      <c r="HT446" s="251"/>
      <c r="HU446" s="251"/>
      <c r="IA446" s="248"/>
      <c r="IV446" s="248"/>
      <c r="IW446" s="251"/>
      <c r="IX446" s="251"/>
      <c r="JE446" s="148"/>
    </row>
    <row r="447" spans="1:265" hidden="1" outlineLevel="1">
      <c r="B447" s="134" t="s">
        <v>327</v>
      </c>
      <c r="C447" s="248" t="s">
        <v>281</v>
      </c>
      <c r="D447" s="201" t="s">
        <v>279</v>
      </c>
      <c r="E447" s="201" t="s">
        <v>280</v>
      </c>
      <c r="Y447" s="251"/>
      <c r="Z447" s="197"/>
      <c r="AF447" s="140" t="s">
        <v>281</v>
      </c>
      <c r="AG447" s="148" t="s">
        <v>279</v>
      </c>
      <c r="AH447" s="148" t="s">
        <v>280</v>
      </c>
      <c r="BB447" s="197"/>
      <c r="BC447" s="197"/>
      <c r="BI447" s="248" t="s">
        <v>281</v>
      </c>
      <c r="BJ447" s="217" t="s">
        <v>279</v>
      </c>
      <c r="BK447" s="217" t="s">
        <v>280</v>
      </c>
      <c r="CE447" s="251"/>
      <c r="CF447" s="251"/>
      <c r="CL447" s="248" t="s">
        <v>281</v>
      </c>
      <c r="CM447" s="217" t="s">
        <v>279</v>
      </c>
      <c r="CN447" s="217" t="s">
        <v>280</v>
      </c>
      <c r="DH447" s="251"/>
      <c r="DI447" s="251"/>
      <c r="DO447" s="248" t="s">
        <v>281</v>
      </c>
      <c r="DP447" s="217" t="s">
        <v>279</v>
      </c>
      <c r="DQ447" s="217" t="s">
        <v>280</v>
      </c>
      <c r="EK447" s="251"/>
      <c r="EL447" s="251"/>
      <c r="ER447" s="248" t="s">
        <v>281</v>
      </c>
      <c r="ES447" s="217" t="s">
        <v>279</v>
      </c>
      <c r="ET447" s="217" t="s">
        <v>280</v>
      </c>
      <c r="FN447" s="251"/>
      <c r="FO447" s="251"/>
      <c r="FU447" s="248" t="s">
        <v>281</v>
      </c>
      <c r="FV447" s="217" t="s">
        <v>279</v>
      </c>
      <c r="FW447" s="217" t="s">
        <v>280</v>
      </c>
      <c r="GQ447" s="251"/>
      <c r="GR447" s="251"/>
      <c r="GX447" s="248" t="s">
        <v>281</v>
      </c>
      <c r="GY447" s="217" t="s">
        <v>279</v>
      </c>
      <c r="GZ447" s="217" t="s">
        <v>280</v>
      </c>
      <c r="HT447" s="251"/>
      <c r="HU447" s="251"/>
      <c r="IA447" s="248" t="s">
        <v>281</v>
      </c>
      <c r="IB447" s="217" t="s">
        <v>279</v>
      </c>
      <c r="IC447" s="217" t="s">
        <v>280</v>
      </c>
      <c r="IW447" s="251"/>
      <c r="IX447" s="251"/>
      <c r="JE447" s="148"/>
    </row>
    <row r="448" spans="1:265" hidden="1" outlineLevel="2">
      <c r="B448" s="148">
        <v>1</v>
      </c>
      <c r="C448" s="302" t="e">
        <f>VLOOKUP(AF448,Attribute!C:T,1,FALSE)</f>
        <v>#N/A</v>
      </c>
      <c r="D448" s="85" t="s">
        <v>86</v>
      </c>
      <c r="E448" s="126" t="s">
        <v>132</v>
      </c>
      <c r="F448" s="191">
        <f>Konvention_1master-MUmaster</f>
        <v>12</v>
      </c>
      <c r="G448" s="118"/>
      <c r="H448" s="118">
        <f>Konvention_1master-INmaster</f>
        <v>12</v>
      </c>
      <c r="I448" s="118">
        <f>Konvention_1master-CHmaster</f>
        <v>12</v>
      </c>
      <c r="J448" s="118"/>
      <c r="K448" s="118"/>
      <c r="L448" s="118"/>
      <c r="M448" s="92"/>
      <c r="N448" s="220">
        <f>(F448+G448+H448+I448+J448+K448+L448+M448)/3</f>
        <v>12</v>
      </c>
      <c r="O448" s="220">
        <f>2*N448</f>
        <v>24</v>
      </c>
      <c r="P448" s="221">
        <f>3*N448</f>
        <v>36</v>
      </c>
      <c r="Q448" s="236">
        <f>F448*POWER(KLmaster,SIGN(G448))*POWER(INmaster,SIGN(H448))*POWER(CHmaster,SIGN(I448))*POWER(FFmaster,SIGN(J448))*POWER(GEmaster,SIGN(K448))*POWER(KOmaster,SIGN(L448))*POWER(KKmaster,SIGN(M448))+G448*POWER(MUmaster,SIGN(F448))*POWER(INmaster,SIGN(H448))*POWER(CHmaster,SIGN(I448))*POWER(FFmaster,SIGN(J448))*POWER(GEmaster,SIGN(K448))*POWER(KOmaster,SIGN(L448))*POWER(KKmaster,SIGN(M448))+H448*POWER(MUmaster,SIGN(F448))*POWER(KLmaster,SIGN(G448))*POWER(CHmaster,SIGN(I448))*POWER(FFmaster,SIGN(J448))*POWER(GEmaster,SIGN(K448))*POWER(KOmaster,SIGN(L448))*POWER(KKmaster,SIGN(M448))+I448*POWER(MUmaster,SIGN(F448))*POWER(KLmaster,SIGN(G448))*POWER(INmaster,SIGN(H448))*POWER(FFmaster,SIGN(J448))*POWER(GEmaster,SIGN(K448))*POWER(KOmaster,SIGN(L448))*POWER(KKmaster,SIGN(M448))+J448*POWER(MUmaster,SIGN(F448))*POWER(KLmaster,SIGN(G448))*POWER(INmaster,SIGN(H448))*POWER(CHmaster,SIGN(I448))*POWER(GEmaster,SIGN(K448))*POWER(KOmaster,SIGN(L448))*POWER(KKmaster,SIGN(M448))+K448*POWER(MUmaster,SIGN(F448))*POWER(KLmaster,SIGN(G448))*POWER(INmaster,SIGN(H448))*POWER(CHmaster,SIGN(I448))*POWER(FFmaster,SIGN(J448))*POWER(KOmaster,SIGN(L448))*POWER(KKmaster,SIGN(M448))+L448*POWER(MUmaster,SIGN(F448))*POWER(KLmaster,SIGN(G448))*POWER(INmaster,SIGN(H448))*POWER(CHmaster,SIGN(I448))*POWER(FFmaster,SIGN(J448))*POWER(GEmaster,SIGN(K448))*POWER(KKmaster,SIGN(M448))+M448*POWER(MUmaster,SIGN(F448))*POWER(KLmaster,SIGN(G448))*POWER(INmaster,SIGN(H448))*POWER(CHmaster,SIGN(I448))*POWER(FFmaster,SIGN(J448))*POWER(GEmaster,SIGN(K448))*POWER(KOmaster,SIGN(L448))</f>
        <v>2304</v>
      </c>
      <c r="R448" s="118">
        <f>F448*H448*CHmaster+F448*INmaster*I448+MUmaster*H448*I448</f>
        <v>3456</v>
      </c>
      <c r="S448" s="221">
        <f>IFERROR(F448^SIGN(F448),1)*IFERROR(G448^SIGN(G448),1)*IFERROR(H448^SIGN(H448),1)*IFERROR(I448^SIGN(I448),1)*IFERROR(J448^SIGN(J448),1)*IFERROR(K448^SIGN(K448),1)*IFERROR(L448^SIGN(L448),1)*IFERROR(M448^SIGN(M448),1)</f>
        <v>1728</v>
      </c>
      <c r="T448" s="221">
        <f>SUM(Q448:S448)</f>
        <v>7488</v>
      </c>
      <c r="U448" s="219">
        <f>N448*Q448/T448</f>
        <v>3.6923076923076925</v>
      </c>
      <c r="V448" s="220">
        <f>O448*R448/T448</f>
        <v>11.076923076923077</v>
      </c>
      <c r="W448" s="241">
        <f>P448*S448/T448</f>
        <v>8.3076923076923084</v>
      </c>
      <c r="X448" s="241">
        <f>SUM(U448:W448)</f>
        <v>23.07692307692308</v>
      </c>
      <c r="Y448" s="252">
        <v>0</v>
      </c>
      <c r="Z448" s="198">
        <f>X448-Y448</f>
        <v>23.07692307692308</v>
      </c>
      <c r="AA448" s="158">
        <f>IF(X448&lt;=0,2,0)+IF(X448&gt;0,X448+1,0)*2+IF(X448&gt;12,X448-12,0)*2+IF(X448&gt;13,X448-13,0)*2+IF(X448&gt;14,X448-14,0)*2+IF(X448&gt;15,X448-15,0)*2+IF(X448&gt;16,X448-16,0)*2+IF(X448&gt;17,X448-17,0)*2+IF(X448&gt;18,X448-18,0)*2+IF(X448&gt;19,X448-19,0)*2+IF(X448&gt;20,X448-20,0)*2</f>
        <v>175.5384615384616</v>
      </c>
      <c r="AB448" s="91">
        <f>IF(Y448&lt;=0,2,0)+IF(Y448&gt;0,Y448+1,0)*2+IF(Y448&gt;12,Y448-12,0)*2+IF(Y448&gt;13,Y448-13,0)*2+IF(Y448&gt;14,Y448-14,0)*2+IF(Y448&gt;15,Y448-15,0)*2+IF(Y448&gt;16,Y448-16,0)*2+IF(Y448&gt;17,Y448-17,0)*2+IF(Y448&gt;18,Y448-18,0)*2+IF(Y448&gt;19,Y448-19,0)*2+IF(Y448&gt;20,Y448-20,0)*2</f>
        <v>2</v>
      </c>
      <c r="AC448" s="126">
        <f>IF((AA448-AB448)&gt;0,AA448-AB448,0)</f>
        <v>173.5384615384616</v>
      </c>
      <c r="AD448" s="158">
        <f>IF((AB448-AA448)&gt;0,AB448-AA448,0)</f>
        <v>0</v>
      </c>
      <c r="AF448" s="162" t="s">
        <v>271</v>
      </c>
      <c r="AG448" s="158" t="s">
        <v>86</v>
      </c>
      <c r="AH448" s="126" t="s">
        <v>132</v>
      </c>
      <c r="AI448" s="191">
        <f>Konvention_1slave-MUslave_MU</f>
        <v>11</v>
      </c>
      <c r="AJ448" s="118"/>
      <c r="AK448" s="118">
        <f>Konvention_1slave-INslave</f>
        <v>12</v>
      </c>
      <c r="AL448" s="118">
        <f>Konvention_1slave-CHslave</f>
        <v>12</v>
      </c>
      <c r="AM448" s="118"/>
      <c r="AN448" s="118"/>
      <c r="AO448" s="118"/>
      <c r="AP448" s="92"/>
      <c r="AQ448" s="116">
        <f>(AI448+AJ448+AK448+AL448+AM448+AN448+AO448+AP448)/3</f>
        <v>11.666666666666666</v>
      </c>
      <c r="AR448" s="116">
        <f>2*AQ448</f>
        <v>23.333333333333332</v>
      </c>
      <c r="AS448" s="92">
        <f>3*AQ448</f>
        <v>35</v>
      </c>
      <c r="AT448" s="191">
        <f>AI448*POWER(KLslave,SIGN(AJ448))*POWER(INslave,SIGN(AK448))*POWER(CHslave,SIGN(AL448))*POWER(FFslave,SIGN(AM448))*POWER(GEslave,SIGN(AN448))*POWER(KOslave,SIGN(AO448))*POWER(KKslave,SIGN(AP448))+AJ448*POWER(MUslave_MU,SIGN(AI448))*POWER(INslave,SIGN(AK448))*POWER(CHslave,SIGN(AL448))*POWER(FFslave,SIGN(AM448))*POWER(GEslave,SIGN(AN448))*POWER(KOslave,SIGN(AO448))*POWER(KKslave,SIGN(AP448))+AK448*POWER(MUslave_MU,SIGN(AI448))*POWER(KLslave,SIGN(AJ448))*POWER(CHslave,SIGN(AL448))*POWER(FFslave,SIGN(AM448))*POWER(GEslave,SIGN(AN448))*POWER(KOslave,SIGN(AO448))*POWER(KKslave,SIGN(AP448))+AL448*POWER(MUslave_MU,SIGN(AI448))*POWER(KLslave,SIGN(AJ448))*POWER(INslave,SIGN(AK448))*POWER(FFslave,SIGN(AM448))*POWER(GEslave,SIGN(AN448))*POWER(KOslave,SIGN(AO448))*POWER(KKslave,SIGN(AP448))+AM448*POWER(MUslave_MU,SIGN(AI448))*POWER(KLslave,SIGN(AJ448))*POWER(INslave,SIGN(AK448))*POWER(CHslave,SIGN(AL448))*POWER(GEslave,SIGN(AN448))*POWER(KOslave,SIGN(AO448))*POWER(KKslave,SIGN(AP448))+AN448*POWER(MUslave_MU,SIGN(AI448))*POWER(KLslave,SIGN(AJ448))*POWER(INslave,SIGN(AK448))*POWER(CHslave,SIGN(AL448))*POWER(FFslave,SIGN(AM448))*POWER(KOslave,SIGN(AO448))*POWER(KKslave,SIGN(AP448))+AO448*POWER(MUslave_MU,SIGN(AI448))*POWER(KLslave,SIGN(AJ448))*POWER(INslave,SIGN(AK448))*POWER(CHslave,SIGN(AL448))*POWER(FFslave,SIGN(AM448))*POWER(GEslave,SIGN(AN448))*POWER(KKslave,SIGN(AP448))+AP448*POWER(MUslave_MU,SIGN(AI448))*POWER(KLslave,SIGN(AJ448))*POWER(INslave,SIGN(AK448))*POWER(CHslave,SIGN(AL448))*POWER(FFslave,SIGN(AM448))*POWER(GEslave,SIGN(AN448))*POWER(KOslave,SIGN(AO448))</f>
        <v>2432</v>
      </c>
      <c r="AU448" s="118">
        <f>AI448*AK448*CHslave+AI448*INslave*AL448+MUslave_MU*AK448*AL448</f>
        <v>3408</v>
      </c>
      <c r="AV448" s="92">
        <f>IFERROR(AI448^SIGN(AI448),1)*IFERROR(AJ448^SIGN(AJ448),1)*IFERROR(AK448^SIGN(AK448),1)*IFERROR(AL448^SIGN(AL448),1)*IFERROR(AM448^SIGN(AM448),1)*IFERROR(AN448^SIGN(AN448),1)*IFERROR(AO448^SIGN(AO448),1)*IFERROR(AP448^SIGN(AP448),1)</f>
        <v>1584</v>
      </c>
      <c r="AW448" s="92">
        <f>SUM(AT448:AV448)</f>
        <v>7424</v>
      </c>
      <c r="AX448" s="193">
        <f>AQ448*AT448/AW448</f>
        <v>3.8218390804597702</v>
      </c>
      <c r="AY448" s="116">
        <f>AR448*AU448/AW448</f>
        <v>10.711206896551724</v>
      </c>
      <c r="AZ448" s="126">
        <f>AS448*AV448/AW448</f>
        <v>7.4676724137931032</v>
      </c>
      <c r="BA448" s="126">
        <f>SUM(AX448:AZ448)</f>
        <v>22.000718390804597</v>
      </c>
      <c r="BB448" s="165">
        <f t="shared" ref="BB448:BB449" si="4758">Y448</f>
        <v>0</v>
      </c>
      <c r="BC448" s="198">
        <f>BA448-BB448</f>
        <v>22.000718390804597</v>
      </c>
      <c r="BD448" s="158">
        <f>IF(BA448&lt;=0,2,0)+IF(BA448&gt;0,BA448+1,0)*2+IF(BA448&gt;12,BA448-12,0)*2+IF(BA448&gt;13,BA448-13,0)*2+IF(BA448&gt;14,BA448-14,0)*2+IF(BA448&gt;15,BA448-15,0)*2+IF(BA448&gt;16,BA448-16,0)*2+IF(BA448&gt;17,BA448-17,0)*2+IF(BA448&gt;18,BA448-18,0)*2+IF(BA448&gt;19,BA448-19,0)*2+IF(BA448&gt;20,BA448-20,0)*2</f>
        <v>154.01436781609189</v>
      </c>
      <c r="BE448" s="91">
        <f>IF(BB448&lt;=0,2,0)+IF(BB448&gt;0,BB448+1,0)*2+IF(BB448&gt;12,BB448-12,0)*2+IF(BB448&gt;13,BB448-13,0)*2+IF(BB448&gt;14,BB448-14,0)*2+IF(BB448&gt;15,BB448-15,0)*2+IF(BB448&gt;16,BB448-16,0)*2+IF(BB448&gt;17,BB448-17,0)*2+IF(BB448&gt;18,BB448-18,0)*2+IF(BB448&gt;19,BB448-19,0)*2+IF(BB448&gt;20,BB448-20,0)*2</f>
        <v>2</v>
      </c>
      <c r="BF448" s="241">
        <f>IF((BD448-BE448)&gt;0,BD448-BE448,0)</f>
        <v>152.01436781609189</v>
      </c>
      <c r="BG448" s="42">
        <f>IF((BE448-BD448)&gt;0,BE448-BD448,0)</f>
        <v>0</v>
      </c>
      <c r="BI448" s="302" t="s">
        <v>271</v>
      </c>
      <c r="BJ448" s="42" t="s">
        <v>86</v>
      </c>
      <c r="BK448" s="241" t="s">
        <v>132</v>
      </c>
      <c r="BL448" s="236">
        <f>Konvention_1slave-MUslave</f>
        <v>12</v>
      </c>
      <c r="BM448" s="233"/>
      <c r="BN448" s="233">
        <f>Konvention_1slave-INslave</f>
        <v>12</v>
      </c>
      <c r="BO448" s="233">
        <f>Konvention_1slave-CHslave</f>
        <v>12</v>
      </c>
      <c r="BP448" s="233"/>
      <c r="BQ448" s="233"/>
      <c r="BR448" s="233"/>
      <c r="BS448" s="221"/>
      <c r="BT448" s="220">
        <f>(BL448+BM448+BN448+BO448+BP448+BQ448+BR448+BS448)/3</f>
        <v>12</v>
      </c>
      <c r="BU448" s="220">
        <f>2*BT448</f>
        <v>24</v>
      </c>
      <c r="BV448" s="221">
        <f>3*BT448</f>
        <v>36</v>
      </c>
      <c r="BW448" s="236">
        <f>BL448*POWER(KLslave_KL,SIGN(BM448))*POWER(INslave,SIGN(BN448))*POWER(CHslave,SIGN(BO448))*POWER(FFslave,SIGN(BP448))*POWER(GEslave,SIGN(BQ448))*POWER(KOslave,SIGN(BR448))*POWER(KKslave,SIGN(BS448))+BM448*POWER(MUslave,SIGN(BL448))*POWER(INslave,SIGN(BN448))*POWER(CHslave,SIGN(BO448))*POWER(FFslave,SIGN(BP448))*POWER(GEslave,SIGN(BQ448))*POWER(KOslave,SIGN(BR448))*POWER(KKslave,SIGN(BS448))+BN448*POWER(MUslave,SIGN(BL448))*POWER(KLslave_KL,SIGN(BM448))*POWER(CHslave,SIGN(BO448))*POWER(FFslave,SIGN(BP448))*POWER(GEslave,SIGN(BQ448))*POWER(KOslave,SIGN(BR448))*POWER(KKslave,SIGN(BS448))+BO448*POWER(MUslave,SIGN(BL448))*POWER(KLslave_KL,SIGN(BM448))*POWER(INslave,SIGN(BN448))*POWER(FFslave,SIGN(BP448))*POWER(GEslave,SIGN(BQ448))*POWER(KOslave,SIGN(BR448))*POWER(KKslave,SIGN(BS448))+BP448*POWER(MUslave,SIGN(BL448))*POWER(KLslave_KL,SIGN(BM448))*POWER(INslave,SIGN(BN448))*POWER(CHslave,SIGN(BO448))*POWER(GEslave,SIGN(BQ448))*POWER(KOslave,SIGN(BR448))*POWER(KKslave,SIGN(BS448))+BQ448*POWER(MUslave,SIGN(BL448))*POWER(KLslave_KL,SIGN(BM448))*POWER(INslave,SIGN(BN448))*POWER(CHslave,SIGN(BO448))*POWER(FFslave,SIGN(BP448))*POWER(KOslave,SIGN(BR448))*POWER(KKslave,SIGN(BS448))+BR448*POWER(MUslave,SIGN(BL448))*POWER(KLslave_KL,SIGN(BM448))*POWER(INslave,SIGN(BN448))*POWER(CHslave,SIGN(BO448))*POWER(FFslave,SIGN(BP448))*POWER(GEslave,SIGN(BQ448))*POWER(KKslave,SIGN(BS448))+BS448*POWER(MUslave,SIGN(BL448))*POWER(KLslave_KL,SIGN(BM448))*POWER(INslave,SIGN(BN448))*POWER(CHslave,SIGN(BO448))*POWER(FFslave,SIGN(BP448))*POWER(GEslave,SIGN(BQ448))*POWER(KOslave,SIGN(BR448))</f>
        <v>2304</v>
      </c>
      <c r="BX448" s="233">
        <f>BL448*BN448*CHslave+BL448*INslave*BO448+MUslave*BN448*BO448</f>
        <v>3456</v>
      </c>
      <c r="BY448" s="221">
        <f>IFERROR(BL448^SIGN(BL448),1)*IFERROR(BM448^SIGN(BM448),1)*IFERROR(BN448^SIGN(BN448),1)*IFERROR(BO448^SIGN(BO448),1)*IFERROR(BP448^SIGN(BP448),1)*IFERROR(BQ448^SIGN(BQ448),1)*IFERROR(BR448^SIGN(BR448),1)*IFERROR(BS448^SIGN(BS448),1)</f>
        <v>1728</v>
      </c>
      <c r="BZ448" s="221">
        <f>SUM(BW448:BY448)</f>
        <v>7488</v>
      </c>
      <c r="CA448" s="219">
        <f>BT448*BW448/BZ448</f>
        <v>3.6923076923076925</v>
      </c>
      <c r="CB448" s="220">
        <f>BU448*BX448/BZ448</f>
        <v>11.076923076923077</v>
      </c>
      <c r="CC448" s="241">
        <f>BV448*BY448/BZ448</f>
        <v>8.3076923076923084</v>
      </c>
      <c r="CD448" s="241">
        <f>SUM(CA448:CC448)</f>
        <v>23.07692307692308</v>
      </c>
      <c r="CE448" s="252">
        <f t="shared" ref="CE448:CE449" si="4759">BB448</f>
        <v>0</v>
      </c>
      <c r="CF448" s="309">
        <f>CD448-CE448</f>
        <v>23.07692307692308</v>
      </c>
      <c r="CG448" s="42">
        <f>IF(CD448&lt;=0,2,0)+IF(CD448&gt;0,CD448+1,0)*2+IF(CD448&gt;12,CD448-12,0)*2+IF(CD448&gt;13,CD448-13,0)*2+IF(CD448&gt;14,CD448-14,0)*2+IF(CD448&gt;15,CD448-15,0)*2+IF(CD448&gt;16,CD448-16,0)*2+IF(CD448&gt;17,CD448-17,0)*2+IF(CD448&gt;18,CD448-18,0)*2+IF(CD448&gt;19,CD448-19,0)*2+IF(CD448&gt;20,CD448-20,0)*2</f>
        <v>175.5384615384616</v>
      </c>
      <c r="CH448" s="78">
        <f>IF(CE448&lt;=0,2,0)+IF(CE448&gt;0,CE448+1,0)*2+IF(CE448&gt;12,CE448-12,0)*2+IF(CE448&gt;13,CE448-13,0)*2+IF(CE448&gt;14,CE448-14,0)*2+IF(CE448&gt;15,CE448-15,0)*2+IF(CE448&gt;16,CE448-16,0)*2+IF(CE448&gt;17,CE448-17,0)*2+IF(CE448&gt;18,CE448-18,0)*2+IF(CE448&gt;19,CE448-19,0)*2+IF(CE448&gt;20,CE448-20,0)*2</f>
        <v>2</v>
      </c>
      <c r="CI448" s="241">
        <f>IF((CG448-CH448)&gt;0,CG448-CH448,0)</f>
        <v>173.5384615384616</v>
      </c>
      <c r="CJ448" s="42">
        <f>IF((CH448-CG448)&gt;0,CH448-CG448,0)</f>
        <v>0</v>
      </c>
      <c r="CL448" s="302" t="s">
        <v>271</v>
      </c>
      <c r="CM448" s="42" t="s">
        <v>86</v>
      </c>
      <c r="CN448" s="241" t="s">
        <v>132</v>
      </c>
      <c r="CO448" s="236">
        <f>Konvention_1slave-MUslave</f>
        <v>12</v>
      </c>
      <c r="CP448" s="233"/>
      <c r="CQ448" s="233">
        <f>Konvention_1slave-INslave_IN</f>
        <v>11</v>
      </c>
      <c r="CR448" s="233">
        <f>Konvention_1slave-CHslave</f>
        <v>12</v>
      </c>
      <c r="CS448" s="233"/>
      <c r="CT448" s="233"/>
      <c r="CU448" s="233"/>
      <c r="CV448" s="221"/>
      <c r="CW448" s="220">
        <f>(CO448+CP448+CQ448+CR448+CS448+CT448+CU448+CV448)/3</f>
        <v>11.666666666666666</v>
      </c>
      <c r="CX448" s="220">
        <f>2*CW448</f>
        <v>23.333333333333332</v>
      </c>
      <c r="CY448" s="221">
        <f>3*CW448</f>
        <v>35</v>
      </c>
      <c r="CZ448" s="236">
        <f>CO448*POWER(KLslave,SIGN(CP448))*POWER(INslave_IN,SIGN(CQ448))*POWER(CHslave,SIGN(CR448))*POWER(FFslave,SIGN(CS448))*POWER(GEslave,SIGN(CT448))*POWER(KOslave,SIGN(CU448))*POWER(KKslave,SIGN(CV448))+CP448*POWER(MUslave,SIGN(CO448))*POWER(INslave_IN,SIGN(CQ448))*POWER(CHslave,SIGN(CR448))*POWER(FFslave,SIGN(CS448))*POWER(GEslave,SIGN(CT448))*POWER(KOslave,SIGN(CU448))*POWER(KKslave,SIGN(CV448))+CQ448*POWER(MUslave,SIGN(CO448))*POWER(KLslave,SIGN(CP448))*POWER(CHslave,SIGN(CR448))*POWER(FFslave,SIGN(CS448))*POWER(GEslave,SIGN(CT448))*POWER(KOslave,SIGN(CU448))*POWER(KKslave,SIGN(CV448))+CR448*POWER(MUslave,SIGN(CO448))*POWER(KLslave,SIGN(CP448))*POWER(INslave_IN,SIGN(CQ448))*POWER(FFslave,SIGN(CS448))*POWER(GEslave,SIGN(CT448))*POWER(KOslave,SIGN(CU448))*POWER(KKslave,SIGN(CV448))+CS448*POWER(MUslave,SIGN(CO448))*POWER(KLslave,SIGN(CP448))*POWER(INslave_IN,SIGN(CQ448))*POWER(CHslave,SIGN(CR448))*POWER(GEslave,SIGN(CT448))*POWER(KOslave,SIGN(CU448))*POWER(KKslave,SIGN(CV448))+CT448*POWER(MUslave,SIGN(CO448))*POWER(KLslave,SIGN(CP448))*POWER(INslave_IN,SIGN(CQ448))*POWER(CHslave,SIGN(CR448))*POWER(FFslave,SIGN(CS448))*POWER(KOslave,SIGN(CU448))*POWER(KKslave,SIGN(CV448))+CU448*POWER(MUslave,SIGN(CO448))*POWER(KLslave,SIGN(CP448))*POWER(INslave_IN,SIGN(CQ448))*POWER(CHslave,SIGN(CR448))*POWER(FFslave,SIGN(CS448))*POWER(GEslave,SIGN(CT448))*POWER(KKslave,SIGN(CV448))+CV448*POWER(MUslave,SIGN(CO448))*POWER(KLslave,SIGN(CP448))*POWER(INslave_IN,SIGN(CQ448))*POWER(CHslave,SIGN(CR448))*POWER(FFslave,SIGN(CS448))*POWER(GEslave,SIGN(CT448))*POWER(KOslave,SIGN(CU448))</f>
        <v>2432</v>
      </c>
      <c r="DA448" s="233">
        <f>CO448*CQ448*CHslave+CO448*INslave_IN*CR448+MUslave*CQ448*CR448</f>
        <v>3408</v>
      </c>
      <c r="DB448" s="221">
        <f>IFERROR(CO448^SIGN(CO448),1)*IFERROR(CP448^SIGN(CP448),1)*IFERROR(CQ448^SIGN(CQ448),1)*IFERROR(CR448^SIGN(CR448),1)*IFERROR(CS448^SIGN(CS448),1)*IFERROR(CT448^SIGN(CT448),1)*IFERROR(CU448^SIGN(CU448),1)*IFERROR(CV448^SIGN(CV448),1)</f>
        <v>1584</v>
      </c>
      <c r="DC448" s="221">
        <f>SUM(CZ448:DB448)</f>
        <v>7424</v>
      </c>
      <c r="DD448" s="219">
        <f>CW448*CZ448/DC448</f>
        <v>3.8218390804597702</v>
      </c>
      <c r="DE448" s="220">
        <f>CX448*DA448/DC448</f>
        <v>10.711206896551724</v>
      </c>
      <c r="DF448" s="241">
        <f>CY448*DB448/DC448</f>
        <v>7.4676724137931032</v>
      </c>
      <c r="DG448" s="241">
        <f>SUM(DD448:DF448)</f>
        <v>22.000718390804597</v>
      </c>
      <c r="DH448" s="252">
        <f t="shared" ref="DH448:DH449" si="4760">CE448</f>
        <v>0</v>
      </c>
      <c r="DI448" s="309">
        <f>DG448-DH448</f>
        <v>22.000718390804597</v>
      </c>
      <c r="DJ448" s="42">
        <f>IF(DG448&lt;=0,2,0)+IF(DG448&gt;0,DG448+1,0)*2+IF(DG448&gt;12,DG448-12,0)*2+IF(DG448&gt;13,DG448-13,0)*2+IF(DG448&gt;14,DG448-14,0)*2+IF(DG448&gt;15,DG448-15,0)*2+IF(DG448&gt;16,DG448-16,0)*2+IF(DG448&gt;17,DG448-17,0)*2+IF(DG448&gt;18,DG448-18,0)*2+IF(DG448&gt;19,DG448-19,0)*2+IF(DG448&gt;20,DG448-20,0)*2</f>
        <v>154.01436781609189</v>
      </c>
      <c r="DK448" s="78">
        <f>IF(DH448&lt;=0,2,0)+IF(DH448&gt;0,DH448+1,0)*2+IF(DH448&gt;12,DH448-12,0)*2+IF(DH448&gt;13,DH448-13,0)*2+IF(DH448&gt;14,DH448-14,0)*2+IF(DH448&gt;15,DH448-15,0)*2+IF(DH448&gt;16,DH448-16,0)*2+IF(DH448&gt;17,DH448-17,0)*2+IF(DH448&gt;18,DH448-18,0)*2+IF(DH448&gt;19,DH448-19,0)*2+IF(DH448&gt;20,DH448-20,0)*2</f>
        <v>2</v>
      </c>
      <c r="DL448" s="241">
        <f>IF((DJ448-DK448)&gt;0,DJ448-DK448,0)</f>
        <v>152.01436781609189</v>
      </c>
      <c r="DM448" s="42">
        <f>IF((DK448-DJ448)&gt;0,DK448-DJ448,0)</f>
        <v>0</v>
      </c>
      <c r="DO448" s="302" t="s">
        <v>271</v>
      </c>
      <c r="DP448" s="42" t="s">
        <v>86</v>
      </c>
      <c r="DQ448" s="241" t="s">
        <v>132</v>
      </c>
      <c r="DR448" s="236">
        <f>Konvention_1slave-MUslave</f>
        <v>12</v>
      </c>
      <c r="DS448" s="233"/>
      <c r="DT448" s="233">
        <f>Konvention_1slave-INslave</f>
        <v>12</v>
      </c>
      <c r="DU448" s="233">
        <f>Konvention_1slave-CHslave_CH</f>
        <v>11</v>
      </c>
      <c r="DV448" s="233"/>
      <c r="DW448" s="233"/>
      <c r="DX448" s="233"/>
      <c r="DY448" s="221"/>
      <c r="DZ448" s="220">
        <f>(DR448+DS448+DT448+DU448+DV448+DW448+DX448+DY448)/3</f>
        <v>11.666666666666666</v>
      </c>
      <c r="EA448" s="220">
        <f>2*DZ448</f>
        <v>23.333333333333332</v>
      </c>
      <c r="EB448" s="221">
        <f>3*DZ448</f>
        <v>35</v>
      </c>
      <c r="EC448" s="236">
        <f>DR448*POWER(KLslave,SIGN(DS448))*POWER(INslave,SIGN(DT448))*POWER(CHslave_CH,SIGN(DU448))*POWER(FFslave,SIGN(DV448))*POWER(GEslave,SIGN(DW448))*POWER(KOslave,SIGN(DX448))*POWER(KKslave,SIGN(DY448))+DS448*POWER(MUslave,SIGN(DR448))*POWER(INslave,SIGN(DT448))*POWER(CHslave_CH,SIGN(DU448))*POWER(FFslave,SIGN(DV448))*POWER(GEslave,SIGN(DW448))*POWER(KOslave,SIGN(DX448))*POWER(KKslave,SIGN(DY448))+DT448*POWER(MUslave,SIGN(DR448))*POWER(KLslave,SIGN(DS448))*POWER(CHslave_CH,SIGN(DU448))*POWER(FFslave,SIGN(DV448))*POWER(GEslave,SIGN(DW448))*POWER(KOslave,SIGN(DX448))*POWER(KKslave,SIGN(DY448))+DU448*POWER(MUslave,SIGN(DR448))*POWER(KLslave,SIGN(DS448))*POWER(INslave,SIGN(DT448))*POWER(FFslave,SIGN(DV448))*POWER(GEslave,SIGN(DW448))*POWER(KOslave,SIGN(DX448))*POWER(KKslave,SIGN(DY448))+DV448*POWER(MUslave,SIGN(DR448))*POWER(KLslave,SIGN(DS448))*POWER(INslave,SIGN(DT448))*POWER(CHslave_CH,SIGN(DU448))*POWER(GEslave,SIGN(DW448))*POWER(KOslave,SIGN(DX448))*POWER(KKslave,SIGN(DY448))+DW448*POWER(MUslave,SIGN(DR448))*POWER(KLslave,SIGN(DS448))*POWER(INslave,SIGN(DT448))*POWER(CHslave_CH,SIGN(DU448))*POWER(FFslave,SIGN(DV448))*POWER(KOslave,SIGN(DX448))*POWER(KKslave,SIGN(DY448))+DX448*POWER(MUslave,SIGN(DR448))*POWER(KLslave,SIGN(DS448))*POWER(INslave,SIGN(DT448))*POWER(CHslave_CH,SIGN(DU448))*POWER(FFslave,SIGN(DV448))*POWER(GEslave,SIGN(DW448))*POWER(KKslave,SIGN(DY448))+DY448*POWER(MUslave,SIGN(DR448))*POWER(KLslave,SIGN(DS448))*POWER(INslave,SIGN(DT448))*POWER(CHslave_CH,SIGN(DU448))*POWER(FFslave,SIGN(DV448))*POWER(GEslave,SIGN(DW448))*POWER(KOslave,SIGN(DX448))</f>
        <v>2432</v>
      </c>
      <c r="ED448" s="233">
        <f>DR448*DT448*CHslave_CH+DR448*INslave*DU448+MUslave*DT448*DU448</f>
        <v>3408</v>
      </c>
      <c r="EE448" s="221">
        <f>IFERROR(DR448^SIGN(DR448),1)*IFERROR(DS448^SIGN(DS448),1)*IFERROR(DT448^SIGN(DT448),1)*IFERROR(DU448^SIGN(DU448),1)*IFERROR(DV448^SIGN(DV448),1)*IFERROR(DW448^SIGN(DW448),1)*IFERROR(DX448^SIGN(DX448),1)*IFERROR(DY448^SIGN(DY448),1)</f>
        <v>1584</v>
      </c>
      <c r="EF448" s="221">
        <f>SUM(EC448:EE448)</f>
        <v>7424</v>
      </c>
      <c r="EG448" s="219">
        <f>DZ448*EC448/EF448</f>
        <v>3.8218390804597702</v>
      </c>
      <c r="EH448" s="220">
        <f>EA448*ED448/EF448</f>
        <v>10.711206896551724</v>
      </c>
      <c r="EI448" s="241">
        <f>EB448*EE448/EF448</f>
        <v>7.4676724137931032</v>
      </c>
      <c r="EJ448" s="241">
        <f>SUM(EG448:EI448)</f>
        <v>22.000718390804597</v>
      </c>
      <c r="EK448" s="252">
        <f t="shared" ref="EK448:EK449" si="4761">DH448</f>
        <v>0</v>
      </c>
      <c r="EL448" s="309">
        <f>EJ448-EK448</f>
        <v>22.000718390804597</v>
      </c>
      <c r="EM448" s="42">
        <f>IF(EJ448&lt;=0,2,0)+IF(EJ448&gt;0,EJ448+1,0)*2+IF(EJ448&gt;12,EJ448-12,0)*2+IF(EJ448&gt;13,EJ448-13,0)*2+IF(EJ448&gt;14,EJ448-14,0)*2+IF(EJ448&gt;15,EJ448-15,0)*2+IF(EJ448&gt;16,EJ448-16,0)*2+IF(EJ448&gt;17,EJ448-17,0)*2+IF(EJ448&gt;18,EJ448-18,0)*2+IF(EJ448&gt;19,EJ448-19,0)*2+IF(EJ448&gt;20,EJ448-20,0)*2</f>
        <v>154.01436781609189</v>
      </c>
      <c r="EN448" s="78">
        <f>IF(EK448&lt;=0,2,0)+IF(EK448&gt;0,EK448+1,0)*2+IF(EK448&gt;12,EK448-12,0)*2+IF(EK448&gt;13,EK448-13,0)*2+IF(EK448&gt;14,EK448-14,0)*2+IF(EK448&gt;15,EK448-15,0)*2+IF(EK448&gt;16,EK448-16,0)*2+IF(EK448&gt;17,EK448-17,0)*2+IF(EK448&gt;18,EK448-18,0)*2+IF(EK448&gt;19,EK448-19,0)*2+IF(EK448&gt;20,EK448-20,0)*2</f>
        <v>2</v>
      </c>
      <c r="EO448" s="241">
        <f>IF((EM448-EN448)&gt;0,EM448-EN448,0)</f>
        <v>152.01436781609189</v>
      </c>
      <c r="EP448" s="42">
        <f>IF((EN448-EM448)&gt;0,EN448-EM448,0)</f>
        <v>0</v>
      </c>
      <c r="ER448" s="302" t="s">
        <v>271</v>
      </c>
      <c r="ES448" s="42" t="s">
        <v>86</v>
      </c>
      <c r="ET448" s="241" t="s">
        <v>132</v>
      </c>
      <c r="EU448" s="236">
        <f>Konvention_1slave-MUslave</f>
        <v>12</v>
      </c>
      <c r="EV448" s="233"/>
      <c r="EW448" s="233">
        <f>Konvention_1slave-INslave</f>
        <v>12</v>
      </c>
      <c r="EX448" s="233">
        <f>Konvention_1slave-CHslave</f>
        <v>12</v>
      </c>
      <c r="EY448" s="233"/>
      <c r="EZ448" s="233"/>
      <c r="FA448" s="233"/>
      <c r="FB448" s="221"/>
      <c r="FC448" s="220">
        <f>(EU448+EV448+EW448+EX448+EY448+EZ448+FA448+FB448)/3</f>
        <v>12</v>
      </c>
      <c r="FD448" s="220">
        <f>2*FC448</f>
        <v>24</v>
      </c>
      <c r="FE448" s="221">
        <f>3*FC448</f>
        <v>36</v>
      </c>
      <c r="FF448" s="236">
        <f>EU448*POWER(KLslave,SIGN(EV448))*POWER(INslave,SIGN(EW448))*POWER(CHslave,SIGN(EX448))*POWER(FFslave_FF,SIGN(EY448))*POWER(GEslave,SIGN(EZ448))*POWER(KOslave,SIGN(FA448))*POWER(KKslave,SIGN(FB448))+EV448*POWER(MUslave,SIGN(EU448))*POWER(INslave,SIGN(EW448))*POWER(CHslave,SIGN(EX448))*POWER(FFslave_FF,SIGN(EY448))*POWER(GEslave,SIGN(EZ448))*POWER(KOslave,SIGN(FA448))*POWER(KKslave,SIGN(FB448))+EW448*POWER(MUslave,SIGN(EU448))*POWER(KLslave,SIGN(EV448))*POWER(CHslave,SIGN(EX448))*POWER(FFslave_FF,SIGN(EY448))*POWER(GEslave,SIGN(EZ448))*POWER(KOslave,SIGN(FA448))*POWER(KKslave,SIGN(FB448))+EX448*POWER(MUslave,SIGN(EU448))*POWER(KLslave,SIGN(EV448))*POWER(INslave,SIGN(EW448))*POWER(FFslave_FF,SIGN(EY448))*POWER(GEslave,SIGN(EZ448))*POWER(KOslave,SIGN(FA448))*POWER(KKslave,SIGN(FB448))+EY448*POWER(MUslave,SIGN(EU448))*POWER(KLslave,SIGN(EV448))*POWER(INslave,SIGN(EW448))*POWER(CHslave,SIGN(EX448))*POWER(GEslave,SIGN(EZ448))*POWER(KOslave,SIGN(FA448))*POWER(KKslave,SIGN(FB448))+EZ448*POWER(MUslave,SIGN(EU448))*POWER(KLslave,SIGN(EV448))*POWER(INslave,SIGN(EW448))*POWER(CHslave,SIGN(EX448))*POWER(FFslave_FF,SIGN(EY448))*POWER(KOslave,SIGN(FA448))*POWER(KKslave,SIGN(FB448))+FA448*POWER(MUslave,SIGN(EU448))*POWER(KLslave,SIGN(EV448))*POWER(INslave,SIGN(EW448))*POWER(CHslave,SIGN(EX448))*POWER(FFslave_FF,SIGN(EY448))*POWER(GEslave,SIGN(EZ448))*POWER(KKslave,SIGN(FB448))+FB448*POWER(MUslave,SIGN(EU448))*POWER(KLslave,SIGN(EV448))*POWER(INslave,SIGN(EW448))*POWER(CHslave,SIGN(EX448))*POWER(FFslave_FF,SIGN(EY448))*POWER(GEslave,SIGN(EZ448))*POWER(KOslave,SIGN(FA448))</f>
        <v>2304</v>
      </c>
      <c r="FG448" s="233">
        <f>EU448*EW448*CHslave+EU448*INslave*EX448+MUslave*EW448*EX448</f>
        <v>3456</v>
      </c>
      <c r="FH448" s="221">
        <f>IFERROR(EU448^SIGN(EU448),1)*IFERROR(EV448^SIGN(EV448),1)*IFERROR(EW448^SIGN(EW448),1)*IFERROR(EX448^SIGN(EX448),1)*IFERROR(EY448^SIGN(EY448),1)*IFERROR(EZ448^SIGN(EZ448),1)*IFERROR(FA448^SIGN(FA448),1)*IFERROR(FB448^SIGN(FB448),1)</f>
        <v>1728</v>
      </c>
      <c r="FI448" s="221">
        <f>SUM(FF448:FH448)</f>
        <v>7488</v>
      </c>
      <c r="FJ448" s="219">
        <f>FC448*FF448/FI448</f>
        <v>3.6923076923076925</v>
      </c>
      <c r="FK448" s="220">
        <f>FD448*FG448/FI448</f>
        <v>11.076923076923077</v>
      </c>
      <c r="FL448" s="241">
        <f>FE448*FH448/FI448</f>
        <v>8.3076923076923084</v>
      </c>
      <c r="FM448" s="241">
        <f>SUM(FJ448:FL448)</f>
        <v>23.07692307692308</v>
      </c>
      <c r="FN448" s="252">
        <f t="shared" ref="FN448:FN449" si="4762">EK448</f>
        <v>0</v>
      </c>
      <c r="FO448" s="309">
        <f>FM448-FN448</f>
        <v>23.07692307692308</v>
      </c>
      <c r="FP448" s="42">
        <f>IF(FM448&lt;=0,2,0)+IF(FM448&gt;0,FM448+1,0)*2+IF(FM448&gt;12,FM448-12,0)*2+IF(FM448&gt;13,FM448-13,0)*2+IF(FM448&gt;14,FM448-14,0)*2+IF(FM448&gt;15,FM448-15,0)*2+IF(FM448&gt;16,FM448-16,0)*2+IF(FM448&gt;17,FM448-17,0)*2+IF(FM448&gt;18,FM448-18,0)*2+IF(FM448&gt;19,FM448-19,0)*2+IF(FM448&gt;20,FM448-20,0)*2</f>
        <v>175.5384615384616</v>
      </c>
      <c r="FQ448" s="78">
        <f>IF(FN448&lt;=0,2,0)+IF(FN448&gt;0,FN448+1,0)*2+IF(FN448&gt;12,FN448-12,0)*2+IF(FN448&gt;13,FN448-13,0)*2+IF(FN448&gt;14,FN448-14,0)*2+IF(FN448&gt;15,FN448-15,0)*2+IF(FN448&gt;16,FN448-16,0)*2+IF(FN448&gt;17,FN448-17,0)*2+IF(FN448&gt;18,FN448-18,0)*2+IF(FN448&gt;19,FN448-19,0)*2+IF(FN448&gt;20,FN448-20,0)*2</f>
        <v>2</v>
      </c>
      <c r="FR448" s="241">
        <f>IF((FP448-FQ448)&gt;0,FP448-FQ448,0)</f>
        <v>173.5384615384616</v>
      </c>
      <c r="FS448" s="42">
        <f>IF((FQ448-FP448)&gt;0,FQ448-FP448,0)</f>
        <v>0</v>
      </c>
      <c r="FU448" s="302" t="s">
        <v>271</v>
      </c>
      <c r="FV448" s="42" t="s">
        <v>86</v>
      </c>
      <c r="FW448" s="241" t="s">
        <v>132</v>
      </c>
      <c r="FX448" s="236">
        <f>Konvention_1slave-MUslave</f>
        <v>12</v>
      </c>
      <c r="FY448" s="233"/>
      <c r="FZ448" s="233">
        <f>Konvention_1slave-INslave</f>
        <v>12</v>
      </c>
      <c r="GA448" s="233">
        <f>Konvention_1slave-CHslave</f>
        <v>12</v>
      </c>
      <c r="GB448" s="233"/>
      <c r="GC448" s="233"/>
      <c r="GD448" s="233"/>
      <c r="GE448" s="221"/>
      <c r="GF448" s="220">
        <f>(FX448+FY448+FZ448+GA448+GB448+GC448+GD448+GE448)/3</f>
        <v>12</v>
      </c>
      <c r="GG448" s="220">
        <f>2*GF448</f>
        <v>24</v>
      </c>
      <c r="GH448" s="221">
        <f>3*GF448</f>
        <v>36</v>
      </c>
      <c r="GI448" s="236">
        <f>FX448*POWER(KLslave,SIGN(FY448))*POWER(INslave,SIGN(FZ448))*POWER(CHslave,SIGN(GA448))*POWER(FFslave,SIGN(GB448))*POWER(GEslave_GE,SIGN(GC448))*POWER(KOslave,SIGN(GD448))*POWER(KKslave,SIGN(GE448))+FY448*POWER(MUslave,SIGN(FX448))*POWER(INslave,SIGN(FZ448))*POWER(CHslave,SIGN(GA448))*POWER(FFslave,SIGN(GB448))*POWER(GEslave_GE,SIGN(GC448))*POWER(KOslave,SIGN(GD448))*POWER(KKslave,SIGN(GE448))+FZ448*POWER(MUslave,SIGN(FX448))*POWER(KLslave,SIGN(FY448))*POWER(CHslave,SIGN(GA448))*POWER(FFslave,SIGN(GB448))*POWER(GEslave_GE,SIGN(GC448))*POWER(KOslave,SIGN(GD448))*POWER(KKslave,SIGN(GE448))+GA448*POWER(MUslave,SIGN(FX448))*POWER(KLslave,SIGN(FY448))*POWER(INslave,SIGN(FZ448))*POWER(FFslave,SIGN(GB448))*POWER(GEslave_GE,SIGN(GC448))*POWER(KOslave,SIGN(GD448))*POWER(KKslave,SIGN(GE448))+GB448*POWER(MUslave,SIGN(FX448))*POWER(KLslave,SIGN(FY448))*POWER(INslave,SIGN(FZ448))*POWER(CHslave,SIGN(GA448))*POWER(GEslave_GE,SIGN(GC448))*POWER(KOslave,SIGN(GD448))*POWER(KKslave,SIGN(GE448))+GC448*POWER(MUslave,SIGN(FX448))*POWER(KLslave,SIGN(FY448))*POWER(INslave,SIGN(FZ448))*POWER(CHslave,SIGN(GA448))*POWER(FFslave,SIGN(GB448))*POWER(KOslave,SIGN(GD448))*POWER(KKslave,SIGN(GE448))+GD448*POWER(MUslave,SIGN(FX448))*POWER(KLslave,SIGN(FY448))*POWER(INslave,SIGN(FZ448))*POWER(CHslave,SIGN(GA448))*POWER(FFslave,SIGN(GB448))*POWER(GEslave_GE,SIGN(GC448))*POWER(KKslave,SIGN(GE448))+GE448*POWER(MUslave,SIGN(FX448))*POWER(KLslave,SIGN(FY448))*POWER(INslave,SIGN(FZ448))*POWER(CHslave,SIGN(GA448))*POWER(FFslave,SIGN(GB448))*POWER(GEslave_GE,SIGN(GC448))*POWER(KOslave,SIGN(GD448))</f>
        <v>2304</v>
      </c>
      <c r="GJ448" s="233">
        <f>FX448*FZ448*CHslave+FX448*INslave*GA448+MUslave*FZ448*GA448</f>
        <v>3456</v>
      </c>
      <c r="GK448" s="221">
        <f>IFERROR(FX448^SIGN(FX448),1)*IFERROR(FY448^SIGN(FY448),1)*IFERROR(FZ448^SIGN(FZ448),1)*IFERROR(GA448^SIGN(GA448),1)*IFERROR(GB448^SIGN(GB448),1)*IFERROR(GC448^SIGN(GC448),1)*IFERROR(GD448^SIGN(GD448),1)*IFERROR(GE448^SIGN(GE448),1)</f>
        <v>1728</v>
      </c>
      <c r="GL448" s="221">
        <f>SUM(GI448:GK448)</f>
        <v>7488</v>
      </c>
      <c r="GM448" s="219">
        <f>GF448*GI448/GL448</f>
        <v>3.6923076923076925</v>
      </c>
      <c r="GN448" s="220">
        <f>GG448*GJ448/GL448</f>
        <v>11.076923076923077</v>
      </c>
      <c r="GO448" s="241">
        <f>GH448*GK448/GL448</f>
        <v>8.3076923076923084</v>
      </c>
      <c r="GP448" s="241">
        <f>SUM(GM448:GO448)</f>
        <v>23.07692307692308</v>
      </c>
      <c r="GQ448" s="252">
        <f t="shared" ref="GQ448:GQ449" si="4763">FN448</f>
        <v>0</v>
      </c>
      <c r="GR448" s="309">
        <f>GP448-GQ448</f>
        <v>23.07692307692308</v>
      </c>
      <c r="GS448" s="42">
        <f>IF(GP448&lt;=0,2,0)+IF(GP448&gt;0,GP448+1,0)*2+IF(GP448&gt;12,GP448-12,0)*2+IF(GP448&gt;13,GP448-13,0)*2+IF(GP448&gt;14,GP448-14,0)*2+IF(GP448&gt;15,GP448-15,0)*2+IF(GP448&gt;16,GP448-16,0)*2+IF(GP448&gt;17,GP448-17,0)*2+IF(GP448&gt;18,GP448-18,0)*2+IF(GP448&gt;19,GP448-19,0)*2+IF(GP448&gt;20,GP448-20,0)*2</f>
        <v>175.5384615384616</v>
      </c>
      <c r="GT448" s="78">
        <f>IF(GQ448&lt;=0,2,0)+IF(GQ448&gt;0,GQ448+1,0)*2+IF(GQ448&gt;12,GQ448-12,0)*2+IF(GQ448&gt;13,GQ448-13,0)*2+IF(GQ448&gt;14,GQ448-14,0)*2+IF(GQ448&gt;15,GQ448-15,0)*2+IF(GQ448&gt;16,GQ448-16,0)*2+IF(GQ448&gt;17,GQ448-17,0)*2+IF(GQ448&gt;18,GQ448-18,0)*2+IF(GQ448&gt;19,GQ448-19,0)*2+IF(GQ448&gt;20,GQ448-20,0)*2</f>
        <v>2</v>
      </c>
      <c r="GU448" s="241">
        <f>IF((GS448-GT448)&gt;0,GS448-GT448,0)</f>
        <v>173.5384615384616</v>
      </c>
      <c r="GV448" s="42">
        <f>IF((GT448-GS448)&gt;0,GT448-GS448,0)</f>
        <v>0</v>
      </c>
      <c r="GX448" s="302" t="s">
        <v>271</v>
      </c>
      <c r="GY448" s="42" t="s">
        <v>86</v>
      </c>
      <c r="GZ448" s="241" t="s">
        <v>132</v>
      </c>
      <c r="HA448" s="236">
        <f>Konvention_1slave-MUslave</f>
        <v>12</v>
      </c>
      <c r="HB448" s="233"/>
      <c r="HC448" s="233">
        <f>Konvention_1slave-INslave</f>
        <v>12</v>
      </c>
      <c r="HD448" s="233">
        <f>Konvention_1slave-CHslave</f>
        <v>12</v>
      </c>
      <c r="HE448" s="233"/>
      <c r="HF448" s="233"/>
      <c r="HG448" s="233"/>
      <c r="HH448" s="221"/>
      <c r="HI448" s="220">
        <f>(HA448+HB448+HC448+HD448+HE448+HF448+HG448+HH448)/3</f>
        <v>12</v>
      </c>
      <c r="HJ448" s="220">
        <f>2*HI448</f>
        <v>24</v>
      </c>
      <c r="HK448" s="221">
        <f>3*HI448</f>
        <v>36</v>
      </c>
      <c r="HL448" s="236">
        <f>HA448*POWER(KLslave,SIGN(HB448))*POWER(INslave,SIGN(HC448))*POWER(CHslave,SIGN(HD448))*POWER(FFslave,SIGN(HE448))*POWER(GEslave,SIGN(HF448))*POWER(KOslave_KO,SIGN(HG448))*POWER(KKslave,SIGN(HH448))+HB448*POWER(MUslave,SIGN(HA448))*POWER(INslave,SIGN(HC448))*POWER(CHslave,SIGN(HD448))*POWER(FFslave,SIGN(HE448))*POWER(GEslave,SIGN(HF448))*POWER(KOslave_KO,SIGN(HG448))*POWER(KKslave,SIGN(HH448))+HC448*POWER(MUslave,SIGN(HA448))*POWER(KLslave,SIGN(HB448))*POWER(CHslave,SIGN(HD448))*POWER(FFslave,SIGN(HE448))*POWER(GEslave,SIGN(HF448))*POWER(KOslave_KO,SIGN(HG448))*POWER(KKslave,SIGN(HH448))+HD448*POWER(MUslave,SIGN(HA448))*POWER(KLslave,SIGN(HB448))*POWER(INslave,SIGN(HC448))*POWER(FFslave,SIGN(HE448))*POWER(GEslave,SIGN(HF448))*POWER(KOslave_KO,SIGN(HG448))*POWER(KKslave,SIGN(HH448))+HE448*POWER(MUslave,SIGN(HA448))*POWER(KLslave,SIGN(HB448))*POWER(INslave,SIGN(HC448))*POWER(CHslave,SIGN(HD448))*POWER(GEslave,SIGN(HF448))*POWER(KOslave_KO,SIGN(HG448))*POWER(KKslave,SIGN(HH448))+HF448*POWER(MUslave,SIGN(HA448))*POWER(KLslave,SIGN(HB448))*POWER(INslave,SIGN(HC448))*POWER(CHslave,SIGN(HD448))*POWER(FFslave,SIGN(HE448))*POWER(KOslave_KO,SIGN(HG448))*POWER(KKslave,SIGN(HH448))+HG448*POWER(MUslave,SIGN(HA448))*POWER(KLslave,SIGN(HB448))*POWER(INslave,SIGN(HC448))*POWER(CHslave,SIGN(HD448))*POWER(FFslave,SIGN(HE448))*POWER(GEslave,SIGN(HF448))*POWER(KKslave,SIGN(HH448))+HH448*POWER(MUslave,SIGN(HA448))*POWER(KLslave,SIGN(HB448))*POWER(INslave,SIGN(HC448))*POWER(CHslave,SIGN(HD448))*POWER(FFslave,SIGN(HE448))*POWER(GEslave,SIGN(HF448))*POWER(KOslave_KO,SIGN(HG448))</f>
        <v>2304</v>
      </c>
      <c r="HM448" s="233">
        <f>HA448*HC448*CHslave+HA448*INslave*HD448+MUslave*HC448*HD448</f>
        <v>3456</v>
      </c>
      <c r="HN448" s="221">
        <f>IFERROR(HA448^SIGN(HA448),1)*IFERROR(HB448^SIGN(HB448),1)*IFERROR(HC448^SIGN(HC448),1)*IFERROR(HD448^SIGN(HD448),1)*IFERROR(HE448^SIGN(HE448),1)*IFERROR(HF448^SIGN(HF448),1)*IFERROR(HG448^SIGN(HG448),1)*IFERROR(HH448^SIGN(HH448),1)</f>
        <v>1728</v>
      </c>
      <c r="HO448" s="221">
        <f>SUM(HL448:HN448)</f>
        <v>7488</v>
      </c>
      <c r="HP448" s="219">
        <f>HI448*HL448/HO448</f>
        <v>3.6923076923076925</v>
      </c>
      <c r="HQ448" s="220">
        <f>HJ448*HM448/HO448</f>
        <v>11.076923076923077</v>
      </c>
      <c r="HR448" s="241">
        <f>HK448*HN448/HO448</f>
        <v>8.3076923076923084</v>
      </c>
      <c r="HS448" s="241">
        <f>SUM(HP448:HR448)</f>
        <v>23.07692307692308</v>
      </c>
      <c r="HT448" s="252">
        <f t="shared" ref="HT448:HT449" si="4764">GQ448</f>
        <v>0</v>
      </c>
      <c r="HU448" s="309">
        <f>HS448-HT448</f>
        <v>23.07692307692308</v>
      </c>
      <c r="HV448" s="42">
        <f>IF(HS448&lt;=0,2,0)+IF(HS448&gt;0,HS448+1,0)*2+IF(HS448&gt;12,HS448-12,0)*2+IF(HS448&gt;13,HS448-13,0)*2+IF(HS448&gt;14,HS448-14,0)*2+IF(HS448&gt;15,HS448-15,0)*2+IF(HS448&gt;16,HS448-16,0)*2+IF(HS448&gt;17,HS448-17,0)*2+IF(HS448&gt;18,HS448-18,0)*2+IF(HS448&gt;19,HS448-19,0)*2+IF(HS448&gt;20,HS448-20,0)*2</f>
        <v>175.5384615384616</v>
      </c>
      <c r="HW448" s="78">
        <f>IF(HT448&lt;=0,2,0)+IF(HT448&gt;0,HT448+1,0)*2+IF(HT448&gt;12,HT448-12,0)*2+IF(HT448&gt;13,HT448-13,0)*2+IF(HT448&gt;14,HT448-14,0)*2+IF(HT448&gt;15,HT448-15,0)*2+IF(HT448&gt;16,HT448-16,0)*2+IF(HT448&gt;17,HT448-17,0)*2+IF(HT448&gt;18,HT448-18,0)*2+IF(HT448&gt;19,HT448-19,0)*2+IF(HT448&gt;20,HT448-20,0)*2</f>
        <v>2</v>
      </c>
      <c r="HX448" s="241">
        <f>IF((HV448-HW448)&gt;0,HV448-HW448,0)</f>
        <v>173.5384615384616</v>
      </c>
      <c r="HY448" s="42">
        <f>IF((HW448-HV448)&gt;0,HW448-HV448,0)</f>
        <v>0</v>
      </c>
      <c r="IA448" s="302" t="s">
        <v>271</v>
      </c>
      <c r="IB448" s="42" t="s">
        <v>86</v>
      </c>
      <c r="IC448" s="241" t="s">
        <v>132</v>
      </c>
      <c r="ID448" s="236">
        <f>Konvention_1slave-MUslave</f>
        <v>12</v>
      </c>
      <c r="IE448" s="233"/>
      <c r="IF448" s="233">
        <f>Konvention_1slave-INslave</f>
        <v>12</v>
      </c>
      <c r="IG448" s="233">
        <f>Konvention_1slave-CHslave</f>
        <v>12</v>
      </c>
      <c r="IH448" s="233"/>
      <c r="II448" s="233"/>
      <c r="IJ448" s="233"/>
      <c r="IK448" s="221"/>
      <c r="IL448" s="220">
        <f>(ID448+IE448+IF448+IG448+IH448+II448+IJ448+IK448)/3</f>
        <v>12</v>
      </c>
      <c r="IM448" s="220">
        <f>2*IL448</f>
        <v>24</v>
      </c>
      <c r="IN448" s="221">
        <f>3*IL448</f>
        <v>36</v>
      </c>
      <c r="IO448" s="236">
        <f>ID448*POWER(KLslave,SIGN(IE448))*POWER(INslave,SIGN(IF448))*POWER(CHslave,SIGN(IG448))*POWER(FFslave,SIGN(IH448))*POWER(GEslave,SIGN(II448))*POWER(KOslave,SIGN(IJ448))*POWER(KKslave_KK,SIGN(IK448))+IE448*POWER(MUslave,SIGN(ID448))*POWER(INslave,SIGN(IF448))*POWER(CHslave,SIGN(IG448))*POWER(FFslave,SIGN(IH448))*POWER(GEslave,SIGN(II448))*POWER(KOslave,SIGN(IJ448))*POWER(KKslave_KK,SIGN(IK448))+IF448*POWER(MUslave,SIGN(ID448))*POWER(KLslave,SIGN(IE448))*POWER(CHslave,SIGN(IG448))*POWER(FFslave,SIGN(IH448))*POWER(GEslave,SIGN(II448))*POWER(KOslave,SIGN(IJ448))*POWER(KKslave_KK,SIGN(IK448))+IG448*POWER(MUslave,SIGN(ID448))*POWER(KLslave,SIGN(IE448))*POWER(INslave,SIGN(IF448))*POWER(FFslave,SIGN(IH448))*POWER(GEslave,SIGN(II448))*POWER(KOslave,SIGN(IJ448))*POWER(KKslave_KK,SIGN(IK448))+IH448*POWER(MUslave,SIGN(ID448))*POWER(KLslave,SIGN(IE448))*POWER(INslave,SIGN(IF448))*POWER(CHslave,SIGN(IG448))*POWER(GEslave,SIGN(II448))*POWER(KOslave,SIGN(IJ448))*POWER(KKslave_KK,SIGN(IK448))+II448*POWER(MUslave,SIGN(ID448))*POWER(KLslave,SIGN(IE448))*POWER(INslave,SIGN(IF448))*POWER(CHslave,SIGN(IG448))*POWER(FFslave,SIGN(IH448))*POWER(KOslave,SIGN(IJ448))*POWER(KKslave_KK,SIGN(IK448))+IJ448*POWER(MUslave,SIGN(ID448))*POWER(KLslave,SIGN(IE448))*POWER(INslave,SIGN(IF448))*POWER(CHslave,SIGN(IG448))*POWER(FFslave,SIGN(IH448))*POWER(GEslave,SIGN(II448))*POWER(KKslave_KK,SIGN(IK448))+IK448*POWER(MUslave,SIGN(ID448))*POWER(KLslave,SIGN(IE448))*POWER(INslave,SIGN(IF448))*POWER(CHslave,SIGN(IG448))*POWER(FFslave,SIGN(IH448))*POWER(GEslave,SIGN(II448))*POWER(KOslave,SIGN(IJ448))</f>
        <v>2304</v>
      </c>
      <c r="IP448" s="233">
        <f>ID448*IF448*CHslave+ID448*INslave*IG448+MUslave*IF448*IG448</f>
        <v>3456</v>
      </c>
      <c r="IQ448" s="221">
        <f>IFERROR(ID448^SIGN(ID448),1)*IFERROR(IE448^SIGN(IE448),1)*IFERROR(IF448^SIGN(IF448),1)*IFERROR(IG448^SIGN(IG448),1)*IFERROR(IH448^SIGN(IH448),1)*IFERROR(II448^SIGN(II448),1)*IFERROR(IJ448^SIGN(IJ448),1)*IFERROR(IK448^SIGN(IK448),1)</f>
        <v>1728</v>
      </c>
      <c r="IR448" s="221">
        <f>SUM(IO448:IQ448)</f>
        <v>7488</v>
      </c>
      <c r="IS448" s="219">
        <f>IL448*IO448/IR448</f>
        <v>3.6923076923076925</v>
      </c>
      <c r="IT448" s="220">
        <f>IM448*IP448/IR448</f>
        <v>11.076923076923077</v>
      </c>
      <c r="IU448" s="241">
        <f>IN448*IQ448/IR448</f>
        <v>8.3076923076923084</v>
      </c>
      <c r="IV448" s="241">
        <f>SUM(IS448:IU448)</f>
        <v>23.07692307692308</v>
      </c>
      <c r="IW448" s="252">
        <f t="shared" ref="IW448:IW449" si="4765">HT448</f>
        <v>0</v>
      </c>
      <c r="IX448" s="309">
        <f>IV448-IW448</f>
        <v>23.07692307692308</v>
      </c>
      <c r="IY448" s="42">
        <f>IF(IV448&lt;=0,2,0)+IF(IV448&gt;0,IV448+1,0)*2+IF(IV448&gt;12,IV448-12,0)*2+IF(IV448&gt;13,IV448-13,0)*2+IF(IV448&gt;14,IV448-14,0)*2+IF(IV448&gt;15,IV448-15,0)*2+IF(IV448&gt;16,IV448-16,0)*2+IF(IV448&gt;17,IV448-17,0)*2+IF(IV448&gt;18,IV448-18,0)*2+IF(IV448&gt;19,IV448-19,0)*2+IF(IV448&gt;20,IV448-20,0)*2</f>
        <v>175.5384615384616</v>
      </c>
      <c r="IZ448" s="78">
        <f>IF(IW448&lt;=0,2,0)+IF(IW448&gt;0,IW448+1,0)*2+IF(IW448&gt;12,IW448-12,0)*2+IF(IW448&gt;13,IW448-13,0)*2+IF(IW448&gt;14,IW448-14,0)*2+IF(IW448&gt;15,IW448-15,0)*2+IF(IW448&gt;16,IW448-16,0)*2+IF(IW448&gt;17,IW448-17,0)*2+IF(IW448&gt;18,IW448-18,0)*2+IF(IW448&gt;19,IW448-19,0)*2+IF(IW448&gt;20,IW448-20,0)*2</f>
        <v>2</v>
      </c>
      <c r="JA448" s="241">
        <f>IF((IY448-IZ448)&gt;0,IY448-IZ448,0)</f>
        <v>173.5384615384616</v>
      </c>
      <c r="JB448" s="42">
        <f>IF((IZ448-IY448)&gt;0,IZ448-IY448,0)</f>
        <v>0</v>
      </c>
      <c r="JE448" s="148"/>
    </row>
    <row r="449" spans="2:265" hidden="1" outlineLevel="2">
      <c r="B449" s="148">
        <v>2</v>
      </c>
      <c r="C449" s="306" t="e">
        <f>VLOOKUP(AF449,Attribute!C:T,1,FALSE)</f>
        <v>#N/A</v>
      </c>
      <c r="D449" s="87" t="s">
        <v>87</v>
      </c>
      <c r="E449" s="128" t="s">
        <v>135</v>
      </c>
      <c r="F449" s="115"/>
      <c r="G449" s="122">
        <f>Konvention_1master-KLmaster</f>
        <v>12</v>
      </c>
      <c r="H449" s="122">
        <f>Konvention_1master-INmaster</f>
        <v>12</v>
      </c>
      <c r="I449" s="122">
        <f>Konvention_1master-CHmaster</f>
        <v>12</v>
      </c>
      <c r="J449" s="122"/>
      <c r="K449" s="122"/>
      <c r="L449" s="122"/>
      <c r="M449" s="123"/>
      <c r="N449" s="226">
        <f>(F449+G449+H449+I449+J449+K449+L449+M449)/3</f>
        <v>12</v>
      </c>
      <c r="O449" s="226">
        <f>2*N449</f>
        <v>24</v>
      </c>
      <c r="P449" s="227">
        <f>3*N449</f>
        <v>36</v>
      </c>
      <c r="Q449" s="238">
        <f>F449*POWER(KLmaster,SIGN(G449))*POWER(INmaster,SIGN(H449))*POWER(CHmaster,SIGN(I449))*POWER(FFmaster,SIGN(J449))*POWER(GEmaster,SIGN(K449))*POWER(KOmaster,SIGN(L449))*POWER(KKmaster,SIGN(M449))+G449*POWER(MUmaster,SIGN(F449))*POWER(INmaster,SIGN(H449))*POWER(CHmaster,SIGN(I449))*POWER(FFmaster,SIGN(J449))*POWER(GEmaster,SIGN(K449))*POWER(KOmaster,SIGN(L449))*POWER(KKmaster,SIGN(M449))+H449*POWER(MUmaster,SIGN(F449))*POWER(KLmaster,SIGN(G449))*POWER(CHmaster,SIGN(I449))*POWER(FFmaster,SIGN(J449))*POWER(GEmaster,SIGN(K449))*POWER(KOmaster,SIGN(L449))*POWER(KKmaster,SIGN(M449))+I449*POWER(MUmaster,SIGN(F449))*POWER(KLmaster,SIGN(G449))*POWER(INmaster,SIGN(H449))*POWER(FFmaster,SIGN(J449))*POWER(GEmaster,SIGN(K449))*POWER(KOmaster,SIGN(L449))*POWER(KKmaster,SIGN(M449))+J449*POWER(MUmaster,SIGN(F449))*POWER(KLmaster,SIGN(G449))*POWER(INmaster,SIGN(H449))*POWER(CHmaster,SIGN(I449))*POWER(GEmaster,SIGN(K449))*POWER(KOmaster,SIGN(L449))*POWER(KKmaster,SIGN(M449))+K449*POWER(MUmaster,SIGN(F449))*POWER(KLmaster,SIGN(G449))*POWER(INmaster,SIGN(H449))*POWER(CHmaster,SIGN(I449))*POWER(FFmaster,SIGN(J449))*POWER(KOmaster,SIGN(L449))*POWER(KKmaster,SIGN(M449))+L449*POWER(MUmaster,SIGN(F449))*POWER(KLmaster,SIGN(G449))*POWER(INmaster,SIGN(H449))*POWER(CHmaster,SIGN(I449))*POWER(FFmaster,SIGN(J449))*POWER(GEmaster,SIGN(K449))*POWER(KKmaster,SIGN(M449))+M449*POWER(MUmaster,SIGN(F449))*POWER(KLmaster,SIGN(G449))*POWER(INmaster,SIGN(H449))*POWER(CHmaster,SIGN(I449))*POWER(FFmaster,SIGN(J449))*POWER(GEmaster,SIGN(K449))*POWER(KOmaster,SIGN(L449))</f>
        <v>2304</v>
      </c>
      <c r="R449" s="122">
        <f>G449*H449*CHmaster+G449*INmaster*I449+KLmaster*H449*I449</f>
        <v>3456</v>
      </c>
      <c r="S449" s="227">
        <f>IFERROR(F449^SIGN(F449),1)*IFERROR(G449^SIGN(G449),1)*IFERROR(H449^SIGN(H449),1)*IFERROR(I449^SIGN(I449),1)*IFERROR(J449^SIGN(J449),1)*IFERROR(K449^SIGN(K449),1)*IFERROR(L449^SIGN(L449),1)*IFERROR(M449^SIGN(M449),1)</f>
        <v>1728</v>
      </c>
      <c r="T449" s="227">
        <f>SUM(Q449:S449)</f>
        <v>7488</v>
      </c>
      <c r="U449" s="225">
        <f>N449*Q449/T449</f>
        <v>3.6923076923076925</v>
      </c>
      <c r="V449" s="226">
        <f>O449*R449/T449</f>
        <v>11.076923076923077</v>
      </c>
      <c r="W449" s="245">
        <f>P449*S449/T449</f>
        <v>8.3076923076923084</v>
      </c>
      <c r="X449" s="245">
        <f>SUM(U449:W449)</f>
        <v>23.07692307692308</v>
      </c>
      <c r="Y449" s="252">
        <v>0</v>
      </c>
      <c r="Z449" s="198">
        <f>X449-Y449</f>
        <v>23.07692307692308</v>
      </c>
      <c r="AA449" s="159">
        <f>IF(X449&lt;=0,3,0)+IF(X449&gt;0,X449+1,0)*3+IF(X449&gt;12,X449-12,0)*3+IF(X449&gt;13,X449-13,0)*3+IF(X449&gt;14,X449-14,0)*3+IF(X449&gt;15,X449-15,0)*3+IF(X449&gt;16,X449-16,0)*3+IF(X449&gt;17,X449-17,0)*3+IF(X449&gt;18,X449-18,0)*3+IF(X449&gt;19,X449-19,0)*3+IF(X449&gt;20,X449-20,0)*3</f>
        <v>263.30769230769232</v>
      </c>
      <c r="AB449" s="161">
        <f>IF(Y449&lt;=0,3,0)+IF(Y449&gt;0,Y449+1,0)*3+IF(Y449&gt;12,Y449-12,0)*3+IF(Y449&gt;13,Y449-13,0)*3+IF(Y449&gt;14,Y449-14,0)*3+IF(Y449&gt;15,Y449-15,0)*3+IF(Y449&gt;16,Y449-16,0)*3+IF(Y449&gt;17,Y449-17,0)*3+IF(Y449&gt;18,Y449-18,0)*3+IF(Y449&gt;19,Y449-19,0)*3+IF(Y449&gt;20,Y449-20,0)*3</f>
        <v>3</v>
      </c>
      <c r="AC449" s="128">
        <f>IF((AA449-AB449)&gt;0,AA449-AB449,0)</f>
        <v>260.30769230769232</v>
      </c>
      <c r="AD449" s="159">
        <f>IF((AB449-AA449)&gt;0,AB449-AA449,0)</f>
        <v>0</v>
      </c>
      <c r="AF449" s="164" t="s">
        <v>275</v>
      </c>
      <c r="AG449" s="159" t="s">
        <v>87</v>
      </c>
      <c r="AH449" s="128" t="s">
        <v>135</v>
      </c>
      <c r="AI449" s="115"/>
      <c r="AJ449" s="122">
        <f>Konvention_1slave-KLslave</f>
        <v>12</v>
      </c>
      <c r="AK449" s="122">
        <f>Konvention_1slave-INslave</f>
        <v>12</v>
      </c>
      <c r="AL449" s="122">
        <f>Konvention_1slave-CHslave</f>
        <v>12</v>
      </c>
      <c r="AM449" s="122"/>
      <c r="AN449" s="122"/>
      <c r="AO449" s="122"/>
      <c r="AP449" s="123"/>
      <c r="AQ449" s="88">
        <f>(AI449+AJ449+AK449+AL449+AM449+AN449+AO449+AP449)/3</f>
        <v>12</v>
      </c>
      <c r="AR449" s="88">
        <f>2*AQ449</f>
        <v>24</v>
      </c>
      <c r="AS449" s="123">
        <f>3*AQ449</f>
        <v>36</v>
      </c>
      <c r="AT449" s="115">
        <f>AI449*POWER(KLslave,SIGN(AJ449))*POWER(INslave,SIGN(AK449))*POWER(CHslave,SIGN(AL449))*POWER(FFslave,SIGN(AM449))*POWER(GEslave,SIGN(AN449))*POWER(KOslave,SIGN(AO449))*POWER(KKslave,SIGN(AP449))+AJ449*POWER(MUslave_MU,SIGN(AI449))*POWER(INslave,SIGN(AK449))*POWER(CHslave,SIGN(AL449))*POWER(FFslave,SIGN(AM449))*POWER(GEslave,SIGN(AN449))*POWER(KOslave,SIGN(AO449))*POWER(KKslave,SIGN(AP449))+AK449*POWER(MUslave_MU,SIGN(AI449))*POWER(KLslave,SIGN(AJ449))*POWER(CHslave,SIGN(AL449))*POWER(FFslave,SIGN(AM449))*POWER(GEslave,SIGN(AN449))*POWER(KOslave,SIGN(AO449))*POWER(KKslave,SIGN(AP449))+AL449*POWER(MUslave_MU,SIGN(AI449))*POWER(KLslave,SIGN(AJ449))*POWER(INslave,SIGN(AK449))*POWER(FFslave,SIGN(AM449))*POWER(GEslave,SIGN(AN449))*POWER(KOslave,SIGN(AO449))*POWER(KKslave,SIGN(AP449))+AM449*POWER(MUslave_MU,SIGN(AI449))*POWER(KLslave,SIGN(AJ449))*POWER(INslave,SIGN(AK449))*POWER(CHslave,SIGN(AL449))*POWER(GEslave,SIGN(AN449))*POWER(KOslave,SIGN(AO449))*POWER(KKslave,SIGN(AP449))+AN449*POWER(MUslave_MU,SIGN(AI449))*POWER(KLslave,SIGN(AJ449))*POWER(INslave,SIGN(AK449))*POWER(CHslave,SIGN(AL449))*POWER(FFslave,SIGN(AM449))*POWER(KOslave,SIGN(AO449))*POWER(KKslave,SIGN(AP449))+AO449*POWER(MUslave_MU,SIGN(AI449))*POWER(KLslave,SIGN(AJ449))*POWER(INslave,SIGN(AK449))*POWER(CHslave,SIGN(AL449))*POWER(FFslave,SIGN(AM449))*POWER(GEslave,SIGN(AN449))*POWER(KKslave,SIGN(AP449))+AP449*POWER(MUslave_MU,SIGN(AI449))*POWER(KLslave,SIGN(AJ449))*POWER(INslave,SIGN(AK449))*POWER(CHslave,SIGN(AL449))*POWER(FFslave,SIGN(AM449))*POWER(GEslave,SIGN(AN449))*POWER(KOslave,SIGN(AO449))</f>
        <v>2304</v>
      </c>
      <c r="AU449" s="122">
        <f>AJ449*AK449*CHslave+AJ449*INslave*AL449+KLslave*AK449*AL449</f>
        <v>3456</v>
      </c>
      <c r="AV449" s="123">
        <f>IFERROR(AI449^SIGN(AI449),1)*IFERROR(AJ449^SIGN(AJ449),1)*IFERROR(AK449^SIGN(AK449),1)*IFERROR(AL449^SIGN(AL449),1)*IFERROR(AM449^SIGN(AM449),1)*IFERROR(AN449^SIGN(AN449),1)*IFERROR(AO449^SIGN(AO449),1)*IFERROR(AP449^SIGN(AP449),1)</f>
        <v>1728</v>
      </c>
      <c r="AW449" s="123">
        <f>SUM(AT449:AV449)</f>
        <v>7488</v>
      </c>
      <c r="AX449" s="90">
        <f>AQ449*AT449/AW449</f>
        <v>3.6923076923076925</v>
      </c>
      <c r="AY449" s="88">
        <f>AR449*AU449/AW449</f>
        <v>11.076923076923077</v>
      </c>
      <c r="AZ449" s="128">
        <f>AS449*AV449/AW449</f>
        <v>8.3076923076923084</v>
      </c>
      <c r="BA449" s="128">
        <f>SUM(AX449:AZ449)</f>
        <v>23.07692307692308</v>
      </c>
      <c r="BB449" s="165">
        <f t="shared" si="4758"/>
        <v>0</v>
      </c>
      <c r="BC449" s="198">
        <f>BA449-BB449</f>
        <v>23.07692307692308</v>
      </c>
      <c r="BD449" s="159">
        <f>IF(BA449&lt;=0,3,0)+IF(BA449&gt;0,BA449+1,0)*3+IF(BA449&gt;12,BA449-12,0)*3+IF(BA449&gt;13,BA449-13,0)*3+IF(BA449&gt;14,BA449-14,0)*3+IF(BA449&gt;15,BA449-15,0)*3+IF(BA449&gt;16,BA449-16,0)*3+IF(BA449&gt;17,BA449-17,0)*3+IF(BA449&gt;18,BA449-18,0)*3+IF(BA449&gt;19,BA449-19,0)*3+IF(BA449&gt;20,BA449-20,0)*3</f>
        <v>263.30769230769232</v>
      </c>
      <c r="BE449" s="161">
        <f>IF(BB449&lt;=0,3,0)+IF(BB449&gt;0,BB449+1,0)*3+IF(BB449&gt;12,BB449-12,0)*3+IF(BB449&gt;13,BB449-13,0)*3+IF(BB449&gt;14,BB449-14,0)*3+IF(BB449&gt;15,BB449-15,0)*3+IF(BB449&gt;16,BB449-16,0)*3+IF(BB449&gt;17,BB449-17,0)*3+IF(BB449&gt;18,BB449-18,0)*3+IF(BB449&gt;19,BB449-19,0)*3+IF(BB449&gt;20,BB449-20,0)*3</f>
        <v>3</v>
      </c>
      <c r="BF449" s="245">
        <f>IF((BD449-BE449)&gt;0,BD449-BE449,0)</f>
        <v>260.30769230769232</v>
      </c>
      <c r="BG449" s="246">
        <f>IF((BE449-BD449)&gt;0,BE449-BD449,0)</f>
        <v>0</v>
      </c>
      <c r="BI449" s="306" t="s">
        <v>275</v>
      </c>
      <c r="BJ449" s="246" t="s">
        <v>87</v>
      </c>
      <c r="BK449" s="245" t="s">
        <v>135</v>
      </c>
      <c r="BL449" s="238"/>
      <c r="BM449" s="235">
        <f>Konvention_1slave-KLslave_KL</f>
        <v>11</v>
      </c>
      <c r="BN449" s="235">
        <f>Konvention_1slave-INslave</f>
        <v>12</v>
      </c>
      <c r="BO449" s="235">
        <f>Konvention_1slave-CHslave</f>
        <v>12</v>
      </c>
      <c r="BP449" s="235"/>
      <c r="BQ449" s="235"/>
      <c r="BR449" s="235"/>
      <c r="BS449" s="227"/>
      <c r="BT449" s="226">
        <f>(BL449+BM449+BN449+BO449+BP449+BQ449+BR449+BS449)/3</f>
        <v>11.666666666666666</v>
      </c>
      <c r="BU449" s="226">
        <f>2*BT449</f>
        <v>23.333333333333332</v>
      </c>
      <c r="BV449" s="227">
        <f>3*BT449</f>
        <v>35</v>
      </c>
      <c r="BW449" s="238">
        <f>BL449*POWER(KLslave_KL,SIGN(BM449))*POWER(INslave,SIGN(BN449))*POWER(CHslave,SIGN(BO449))*POWER(FFslave,SIGN(BP449))*POWER(GEslave,SIGN(BQ449))*POWER(KOslave,SIGN(BR449))*POWER(KKslave,SIGN(BS449))+BM449*POWER(MUslave,SIGN(BL449))*POWER(INslave,SIGN(BN449))*POWER(CHslave,SIGN(BO449))*POWER(FFslave,SIGN(BP449))*POWER(GEslave,SIGN(BQ449))*POWER(KOslave,SIGN(BR449))*POWER(KKslave,SIGN(BS449))+BN449*POWER(MUslave,SIGN(BL449))*POWER(KLslave_KL,SIGN(BM449))*POWER(CHslave,SIGN(BO449))*POWER(FFslave,SIGN(BP449))*POWER(GEslave,SIGN(BQ449))*POWER(KOslave,SIGN(BR449))*POWER(KKslave,SIGN(BS449))+BO449*POWER(MUslave,SIGN(BL449))*POWER(KLslave_KL,SIGN(BM449))*POWER(INslave,SIGN(BN449))*POWER(FFslave,SIGN(BP449))*POWER(GEslave,SIGN(BQ449))*POWER(KOslave,SIGN(BR449))*POWER(KKslave,SIGN(BS449))+BP449*POWER(MUslave,SIGN(BL449))*POWER(KLslave_KL,SIGN(BM449))*POWER(INslave,SIGN(BN449))*POWER(CHslave,SIGN(BO449))*POWER(GEslave,SIGN(BQ449))*POWER(KOslave,SIGN(BR449))*POWER(KKslave,SIGN(BS449))+BQ449*POWER(MUslave,SIGN(BL449))*POWER(KLslave_KL,SIGN(BM449))*POWER(INslave,SIGN(BN449))*POWER(CHslave,SIGN(BO449))*POWER(FFslave,SIGN(BP449))*POWER(KOslave,SIGN(BR449))*POWER(KKslave,SIGN(BS449))+BR449*POWER(MUslave,SIGN(BL449))*POWER(KLslave_KL,SIGN(BM449))*POWER(INslave,SIGN(BN449))*POWER(CHslave,SIGN(BO449))*POWER(FFslave,SIGN(BP449))*POWER(GEslave,SIGN(BQ449))*POWER(KKslave,SIGN(BS449))+BS449*POWER(MUslave,SIGN(BL449))*POWER(KLslave_KL,SIGN(BM449))*POWER(INslave,SIGN(BN449))*POWER(CHslave,SIGN(BO449))*POWER(FFslave,SIGN(BP449))*POWER(GEslave,SIGN(BQ449))*POWER(KOslave,SIGN(BR449))</f>
        <v>2432</v>
      </c>
      <c r="BX449" s="235">
        <f>BM449*BN449*CHslave+BM449*INslave*BO449+KLslave_KL*BN449*BO449</f>
        <v>3408</v>
      </c>
      <c r="BY449" s="227">
        <f>IFERROR(BL449^SIGN(BL449),1)*IFERROR(BM449^SIGN(BM449),1)*IFERROR(BN449^SIGN(BN449),1)*IFERROR(BO449^SIGN(BO449),1)*IFERROR(BP449^SIGN(BP449),1)*IFERROR(BQ449^SIGN(BQ449),1)*IFERROR(BR449^SIGN(BR449),1)*IFERROR(BS449^SIGN(BS449),1)</f>
        <v>1584</v>
      </c>
      <c r="BZ449" s="227">
        <f>SUM(BW449:BY449)</f>
        <v>7424</v>
      </c>
      <c r="CA449" s="225">
        <f>BT449*BW449/BZ449</f>
        <v>3.8218390804597702</v>
      </c>
      <c r="CB449" s="226">
        <f>BU449*BX449/BZ449</f>
        <v>10.711206896551724</v>
      </c>
      <c r="CC449" s="245">
        <f>BV449*BY449/BZ449</f>
        <v>7.4676724137931032</v>
      </c>
      <c r="CD449" s="245">
        <f>SUM(CA449:CC449)</f>
        <v>22.000718390804597</v>
      </c>
      <c r="CE449" s="252">
        <f t="shared" si="4759"/>
        <v>0</v>
      </c>
      <c r="CF449" s="309">
        <f>CD449-CE449</f>
        <v>22.000718390804597</v>
      </c>
      <c r="CG449" s="246">
        <f>IF(CD449&lt;=0,3,0)+IF(CD449&gt;0,CD449+1,0)*3+IF(CD449&gt;12,CD449-12,0)*3+IF(CD449&gt;13,CD449-13,0)*3+IF(CD449&gt;14,CD449-14,0)*3+IF(CD449&gt;15,CD449-15,0)*3+IF(CD449&gt;16,CD449-16,0)*3+IF(CD449&gt;17,CD449-17,0)*3+IF(CD449&gt;18,CD449-18,0)*3+IF(CD449&gt;19,CD449-19,0)*3+IF(CD449&gt;20,CD449-20,0)*3</f>
        <v>231.02155172413785</v>
      </c>
      <c r="CH449" s="244">
        <f>IF(CE449&lt;=0,3,0)+IF(CE449&gt;0,CE449+1,0)*3+IF(CE449&gt;12,CE449-12,0)*3+IF(CE449&gt;13,CE449-13,0)*3+IF(CE449&gt;14,CE449-14,0)*3+IF(CE449&gt;15,CE449-15,0)*3+IF(CE449&gt;16,CE449-16,0)*3+IF(CE449&gt;17,CE449-17,0)*3+IF(CE449&gt;18,CE449-18,0)*3+IF(CE449&gt;19,CE449-19,0)*3+IF(CE449&gt;20,CE449-20,0)*3</f>
        <v>3</v>
      </c>
      <c r="CI449" s="245">
        <f>IF((CG449-CH449)&gt;0,CG449-CH449,0)</f>
        <v>228.02155172413785</v>
      </c>
      <c r="CJ449" s="246">
        <f>IF((CH449-CG449)&gt;0,CH449-CG449,0)</f>
        <v>0</v>
      </c>
      <c r="CL449" s="306" t="s">
        <v>275</v>
      </c>
      <c r="CM449" s="246" t="s">
        <v>87</v>
      </c>
      <c r="CN449" s="245" t="s">
        <v>135</v>
      </c>
      <c r="CO449" s="238"/>
      <c r="CP449" s="235">
        <f>Konvention_1slave-KLslave</f>
        <v>12</v>
      </c>
      <c r="CQ449" s="235">
        <f>Konvention_1slave-INslave_IN</f>
        <v>11</v>
      </c>
      <c r="CR449" s="235">
        <f>Konvention_1slave-CHslave</f>
        <v>12</v>
      </c>
      <c r="CS449" s="235"/>
      <c r="CT449" s="235"/>
      <c r="CU449" s="235"/>
      <c r="CV449" s="227"/>
      <c r="CW449" s="226">
        <f>(CO449+CP449+CQ449+CR449+CS449+CT449+CU449+CV449)/3</f>
        <v>11.666666666666666</v>
      </c>
      <c r="CX449" s="226">
        <f>2*CW449</f>
        <v>23.333333333333332</v>
      </c>
      <c r="CY449" s="227">
        <f>3*CW449</f>
        <v>35</v>
      </c>
      <c r="CZ449" s="238">
        <f>CO449*POWER(KLslave,SIGN(CP449))*POWER(INslave_IN,SIGN(CQ449))*POWER(CHslave,SIGN(CR449))*POWER(FFslave,SIGN(CS449))*POWER(GEslave,SIGN(CT449))*POWER(KOslave,SIGN(CU449))*POWER(KKslave,SIGN(CV449))+CP449*POWER(MUslave,SIGN(CO449))*POWER(INslave_IN,SIGN(CQ449))*POWER(CHslave,SIGN(CR449))*POWER(FFslave,SIGN(CS449))*POWER(GEslave,SIGN(CT449))*POWER(KOslave,SIGN(CU449))*POWER(KKslave,SIGN(CV449))+CQ449*POWER(MUslave,SIGN(CO449))*POWER(KLslave,SIGN(CP449))*POWER(CHslave,SIGN(CR449))*POWER(FFslave,SIGN(CS449))*POWER(GEslave,SIGN(CT449))*POWER(KOslave,SIGN(CU449))*POWER(KKslave,SIGN(CV449))+CR449*POWER(MUslave,SIGN(CO449))*POWER(KLslave,SIGN(CP449))*POWER(INslave_IN,SIGN(CQ449))*POWER(FFslave,SIGN(CS449))*POWER(GEslave,SIGN(CT449))*POWER(KOslave,SIGN(CU449))*POWER(KKslave,SIGN(CV449))+CS449*POWER(MUslave,SIGN(CO449))*POWER(KLslave,SIGN(CP449))*POWER(INslave_IN,SIGN(CQ449))*POWER(CHslave,SIGN(CR449))*POWER(GEslave,SIGN(CT449))*POWER(KOslave,SIGN(CU449))*POWER(KKslave,SIGN(CV449))+CT449*POWER(MUslave,SIGN(CO449))*POWER(KLslave,SIGN(CP449))*POWER(INslave_IN,SIGN(CQ449))*POWER(CHslave,SIGN(CR449))*POWER(FFslave,SIGN(CS449))*POWER(KOslave,SIGN(CU449))*POWER(KKslave,SIGN(CV449))+CU449*POWER(MUslave,SIGN(CO449))*POWER(KLslave,SIGN(CP449))*POWER(INslave_IN,SIGN(CQ449))*POWER(CHslave,SIGN(CR449))*POWER(FFslave,SIGN(CS449))*POWER(GEslave,SIGN(CT449))*POWER(KKslave,SIGN(CV449))+CV449*POWER(MUslave,SIGN(CO449))*POWER(KLslave,SIGN(CP449))*POWER(INslave_IN,SIGN(CQ449))*POWER(CHslave,SIGN(CR449))*POWER(FFslave,SIGN(CS449))*POWER(GEslave,SIGN(CT449))*POWER(KOslave,SIGN(CU449))</f>
        <v>2432</v>
      </c>
      <c r="DA449" s="235">
        <f>CP449*CQ449*CHslave+CP449*INslave_IN*CR449+KLslave*CQ449*CR449</f>
        <v>3408</v>
      </c>
      <c r="DB449" s="227">
        <f>IFERROR(CO449^SIGN(CO449),1)*IFERROR(CP449^SIGN(CP449),1)*IFERROR(CQ449^SIGN(CQ449),1)*IFERROR(CR449^SIGN(CR449),1)*IFERROR(CS449^SIGN(CS449),1)*IFERROR(CT449^SIGN(CT449),1)*IFERROR(CU449^SIGN(CU449),1)*IFERROR(CV449^SIGN(CV449),1)</f>
        <v>1584</v>
      </c>
      <c r="DC449" s="227">
        <f>SUM(CZ449:DB449)</f>
        <v>7424</v>
      </c>
      <c r="DD449" s="225">
        <f>CW449*CZ449/DC449</f>
        <v>3.8218390804597702</v>
      </c>
      <c r="DE449" s="226">
        <f>CX449*DA449/DC449</f>
        <v>10.711206896551724</v>
      </c>
      <c r="DF449" s="245">
        <f>CY449*DB449/DC449</f>
        <v>7.4676724137931032</v>
      </c>
      <c r="DG449" s="245">
        <f>SUM(DD449:DF449)</f>
        <v>22.000718390804597</v>
      </c>
      <c r="DH449" s="252">
        <f t="shared" si="4760"/>
        <v>0</v>
      </c>
      <c r="DI449" s="309">
        <f>DG449-DH449</f>
        <v>22.000718390804597</v>
      </c>
      <c r="DJ449" s="246">
        <f>IF(DG449&lt;=0,3,0)+IF(DG449&gt;0,DG449+1,0)*3+IF(DG449&gt;12,DG449-12,0)*3+IF(DG449&gt;13,DG449-13,0)*3+IF(DG449&gt;14,DG449-14,0)*3+IF(DG449&gt;15,DG449-15,0)*3+IF(DG449&gt;16,DG449-16,0)*3+IF(DG449&gt;17,DG449-17,0)*3+IF(DG449&gt;18,DG449-18,0)*3+IF(DG449&gt;19,DG449-19,0)*3+IF(DG449&gt;20,DG449-20,0)*3</f>
        <v>231.02155172413785</v>
      </c>
      <c r="DK449" s="244">
        <f>IF(DH449&lt;=0,3,0)+IF(DH449&gt;0,DH449+1,0)*3+IF(DH449&gt;12,DH449-12,0)*3+IF(DH449&gt;13,DH449-13,0)*3+IF(DH449&gt;14,DH449-14,0)*3+IF(DH449&gt;15,DH449-15,0)*3+IF(DH449&gt;16,DH449-16,0)*3+IF(DH449&gt;17,DH449-17,0)*3+IF(DH449&gt;18,DH449-18,0)*3+IF(DH449&gt;19,DH449-19,0)*3+IF(DH449&gt;20,DH449-20,0)*3</f>
        <v>3</v>
      </c>
      <c r="DL449" s="245">
        <f>IF((DJ449-DK449)&gt;0,DJ449-DK449,0)</f>
        <v>228.02155172413785</v>
      </c>
      <c r="DM449" s="246">
        <f>IF((DK449-DJ449)&gt;0,DK449-DJ449,0)</f>
        <v>0</v>
      </c>
      <c r="DO449" s="306" t="s">
        <v>275</v>
      </c>
      <c r="DP449" s="246" t="s">
        <v>87</v>
      </c>
      <c r="DQ449" s="245" t="s">
        <v>135</v>
      </c>
      <c r="DR449" s="238"/>
      <c r="DS449" s="235">
        <f>Konvention_1slave-KLslave</f>
        <v>12</v>
      </c>
      <c r="DT449" s="235">
        <f>Konvention_1slave-INslave</f>
        <v>12</v>
      </c>
      <c r="DU449" s="235">
        <f>Konvention_1slave-CHslave_CH</f>
        <v>11</v>
      </c>
      <c r="DV449" s="235"/>
      <c r="DW449" s="235"/>
      <c r="DX449" s="235"/>
      <c r="DY449" s="227"/>
      <c r="DZ449" s="226">
        <f>(DR449+DS449+DT449+DU449+DV449+DW449+DX449+DY449)/3</f>
        <v>11.666666666666666</v>
      </c>
      <c r="EA449" s="226">
        <f>2*DZ449</f>
        <v>23.333333333333332</v>
      </c>
      <c r="EB449" s="227">
        <f>3*DZ449</f>
        <v>35</v>
      </c>
      <c r="EC449" s="238">
        <f>DR449*POWER(KLslave,SIGN(DS449))*POWER(INslave,SIGN(DT449))*POWER(CHslave_CH,SIGN(DU449))*POWER(FFslave,SIGN(DV449))*POWER(GEslave,SIGN(DW449))*POWER(KOslave,SIGN(DX449))*POWER(KKslave,SIGN(DY449))+DS449*POWER(MUslave,SIGN(DR449))*POWER(INslave,SIGN(DT449))*POWER(CHslave_CH,SIGN(DU449))*POWER(FFslave,SIGN(DV449))*POWER(GEslave,SIGN(DW449))*POWER(KOslave,SIGN(DX449))*POWER(KKslave,SIGN(DY449))+DT449*POWER(MUslave,SIGN(DR449))*POWER(KLslave,SIGN(DS449))*POWER(CHslave_CH,SIGN(DU449))*POWER(FFslave,SIGN(DV449))*POWER(GEslave,SIGN(DW449))*POWER(KOslave,SIGN(DX449))*POWER(KKslave,SIGN(DY449))+DU449*POWER(MUslave,SIGN(DR449))*POWER(KLslave,SIGN(DS449))*POWER(INslave,SIGN(DT449))*POWER(FFslave,SIGN(DV449))*POWER(GEslave,SIGN(DW449))*POWER(KOslave,SIGN(DX449))*POWER(KKslave,SIGN(DY449))+DV449*POWER(MUslave,SIGN(DR449))*POWER(KLslave,SIGN(DS449))*POWER(INslave,SIGN(DT449))*POWER(CHslave_CH,SIGN(DU449))*POWER(GEslave,SIGN(DW449))*POWER(KOslave,SIGN(DX449))*POWER(KKslave,SIGN(DY449))+DW449*POWER(MUslave,SIGN(DR449))*POWER(KLslave,SIGN(DS449))*POWER(INslave,SIGN(DT449))*POWER(CHslave_CH,SIGN(DU449))*POWER(FFslave,SIGN(DV449))*POWER(KOslave,SIGN(DX449))*POWER(KKslave,SIGN(DY449))+DX449*POWER(MUslave,SIGN(DR449))*POWER(KLslave,SIGN(DS449))*POWER(INslave,SIGN(DT449))*POWER(CHslave_CH,SIGN(DU449))*POWER(FFslave,SIGN(DV449))*POWER(GEslave,SIGN(DW449))*POWER(KKslave,SIGN(DY449))+DY449*POWER(MUslave,SIGN(DR449))*POWER(KLslave,SIGN(DS449))*POWER(INslave,SIGN(DT449))*POWER(CHslave_CH,SIGN(DU449))*POWER(FFslave,SIGN(DV449))*POWER(GEslave,SIGN(DW449))*POWER(KOslave,SIGN(DX449))</f>
        <v>2432</v>
      </c>
      <c r="ED449" s="235">
        <f>DS449*DT449*CHslave_CH+DS449*INslave*DU449+KLslave*DT449*DU449</f>
        <v>3408</v>
      </c>
      <c r="EE449" s="227">
        <f>IFERROR(DR449^SIGN(DR449),1)*IFERROR(DS449^SIGN(DS449),1)*IFERROR(DT449^SIGN(DT449),1)*IFERROR(DU449^SIGN(DU449),1)*IFERROR(DV449^SIGN(DV449),1)*IFERROR(DW449^SIGN(DW449),1)*IFERROR(DX449^SIGN(DX449),1)*IFERROR(DY449^SIGN(DY449),1)</f>
        <v>1584</v>
      </c>
      <c r="EF449" s="227">
        <f>SUM(EC449:EE449)</f>
        <v>7424</v>
      </c>
      <c r="EG449" s="225">
        <f>DZ449*EC449/EF449</f>
        <v>3.8218390804597702</v>
      </c>
      <c r="EH449" s="226">
        <f>EA449*ED449/EF449</f>
        <v>10.711206896551724</v>
      </c>
      <c r="EI449" s="245">
        <f>EB449*EE449/EF449</f>
        <v>7.4676724137931032</v>
      </c>
      <c r="EJ449" s="245">
        <f>SUM(EG449:EI449)</f>
        <v>22.000718390804597</v>
      </c>
      <c r="EK449" s="252">
        <f t="shared" si="4761"/>
        <v>0</v>
      </c>
      <c r="EL449" s="309">
        <f>EJ449-EK449</f>
        <v>22.000718390804597</v>
      </c>
      <c r="EM449" s="246">
        <f>IF(EJ449&lt;=0,3,0)+IF(EJ449&gt;0,EJ449+1,0)*3+IF(EJ449&gt;12,EJ449-12,0)*3+IF(EJ449&gt;13,EJ449-13,0)*3+IF(EJ449&gt;14,EJ449-14,0)*3+IF(EJ449&gt;15,EJ449-15,0)*3+IF(EJ449&gt;16,EJ449-16,0)*3+IF(EJ449&gt;17,EJ449-17,0)*3+IF(EJ449&gt;18,EJ449-18,0)*3+IF(EJ449&gt;19,EJ449-19,0)*3+IF(EJ449&gt;20,EJ449-20,0)*3</f>
        <v>231.02155172413785</v>
      </c>
      <c r="EN449" s="244">
        <f>IF(EK449&lt;=0,3,0)+IF(EK449&gt;0,EK449+1,0)*3+IF(EK449&gt;12,EK449-12,0)*3+IF(EK449&gt;13,EK449-13,0)*3+IF(EK449&gt;14,EK449-14,0)*3+IF(EK449&gt;15,EK449-15,0)*3+IF(EK449&gt;16,EK449-16,0)*3+IF(EK449&gt;17,EK449-17,0)*3+IF(EK449&gt;18,EK449-18,0)*3+IF(EK449&gt;19,EK449-19,0)*3+IF(EK449&gt;20,EK449-20,0)*3</f>
        <v>3</v>
      </c>
      <c r="EO449" s="245">
        <f>IF((EM449-EN449)&gt;0,EM449-EN449,0)</f>
        <v>228.02155172413785</v>
      </c>
      <c r="EP449" s="246">
        <f>IF((EN449-EM449)&gt;0,EN449-EM449,0)</f>
        <v>0</v>
      </c>
      <c r="ER449" s="306" t="s">
        <v>275</v>
      </c>
      <c r="ES449" s="246" t="s">
        <v>87</v>
      </c>
      <c r="ET449" s="245" t="s">
        <v>135</v>
      </c>
      <c r="EU449" s="238"/>
      <c r="EV449" s="235">
        <f>Konvention_1slave-KLslave</f>
        <v>12</v>
      </c>
      <c r="EW449" s="235">
        <f>Konvention_1slave-INslave</f>
        <v>12</v>
      </c>
      <c r="EX449" s="235">
        <f>Konvention_1slave-CHslave</f>
        <v>12</v>
      </c>
      <c r="EY449" s="235"/>
      <c r="EZ449" s="235"/>
      <c r="FA449" s="235"/>
      <c r="FB449" s="227"/>
      <c r="FC449" s="226">
        <f>(EU449+EV449+EW449+EX449+EY449+EZ449+FA449+FB449)/3</f>
        <v>12</v>
      </c>
      <c r="FD449" s="226">
        <f>2*FC449</f>
        <v>24</v>
      </c>
      <c r="FE449" s="227">
        <f>3*FC449</f>
        <v>36</v>
      </c>
      <c r="FF449" s="238">
        <f>EU449*POWER(KLslave,SIGN(EV449))*POWER(INslave,SIGN(EW449))*POWER(CHslave,SIGN(EX449))*POWER(FFslave_FF,SIGN(EY449))*POWER(GEslave,SIGN(EZ449))*POWER(KOslave,SIGN(FA449))*POWER(KKslave,SIGN(FB449))+EV449*POWER(MUslave,SIGN(EU449))*POWER(INslave,SIGN(EW449))*POWER(CHslave,SIGN(EX449))*POWER(FFslave_FF,SIGN(EY449))*POWER(GEslave,SIGN(EZ449))*POWER(KOslave,SIGN(FA449))*POWER(KKslave,SIGN(FB449))+EW449*POWER(MUslave,SIGN(EU449))*POWER(KLslave,SIGN(EV449))*POWER(CHslave,SIGN(EX449))*POWER(FFslave_FF,SIGN(EY449))*POWER(GEslave,SIGN(EZ449))*POWER(KOslave,SIGN(FA449))*POWER(KKslave,SIGN(FB449))+EX449*POWER(MUslave,SIGN(EU449))*POWER(KLslave,SIGN(EV449))*POWER(INslave,SIGN(EW449))*POWER(FFslave_FF,SIGN(EY449))*POWER(GEslave,SIGN(EZ449))*POWER(KOslave,SIGN(FA449))*POWER(KKslave,SIGN(FB449))+EY449*POWER(MUslave,SIGN(EU449))*POWER(KLslave,SIGN(EV449))*POWER(INslave,SIGN(EW449))*POWER(CHslave,SIGN(EX449))*POWER(GEslave,SIGN(EZ449))*POWER(KOslave,SIGN(FA449))*POWER(KKslave,SIGN(FB449))+EZ449*POWER(MUslave,SIGN(EU449))*POWER(KLslave,SIGN(EV449))*POWER(INslave,SIGN(EW449))*POWER(CHslave,SIGN(EX449))*POWER(FFslave_FF,SIGN(EY449))*POWER(KOslave,SIGN(FA449))*POWER(KKslave,SIGN(FB449))+FA449*POWER(MUslave,SIGN(EU449))*POWER(KLslave,SIGN(EV449))*POWER(INslave,SIGN(EW449))*POWER(CHslave,SIGN(EX449))*POWER(FFslave_FF,SIGN(EY449))*POWER(GEslave,SIGN(EZ449))*POWER(KKslave,SIGN(FB449))+FB449*POWER(MUslave,SIGN(EU449))*POWER(KLslave,SIGN(EV449))*POWER(INslave,SIGN(EW449))*POWER(CHslave,SIGN(EX449))*POWER(FFslave_FF,SIGN(EY449))*POWER(GEslave,SIGN(EZ449))*POWER(KOslave,SIGN(FA449))</f>
        <v>2304</v>
      </c>
      <c r="FG449" s="235">
        <f>EV449*EW449*CHslave+EV449*INslave*EX449+KLslave*EW449*EX449</f>
        <v>3456</v>
      </c>
      <c r="FH449" s="227">
        <f>IFERROR(EU449^SIGN(EU449),1)*IFERROR(EV449^SIGN(EV449),1)*IFERROR(EW449^SIGN(EW449),1)*IFERROR(EX449^SIGN(EX449),1)*IFERROR(EY449^SIGN(EY449),1)*IFERROR(EZ449^SIGN(EZ449),1)*IFERROR(FA449^SIGN(FA449),1)*IFERROR(FB449^SIGN(FB449),1)</f>
        <v>1728</v>
      </c>
      <c r="FI449" s="227">
        <f>SUM(FF449:FH449)</f>
        <v>7488</v>
      </c>
      <c r="FJ449" s="225">
        <f>FC449*FF449/FI449</f>
        <v>3.6923076923076925</v>
      </c>
      <c r="FK449" s="226">
        <f>FD449*FG449/FI449</f>
        <v>11.076923076923077</v>
      </c>
      <c r="FL449" s="245">
        <f>FE449*FH449/FI449</f>
        <v>8.3076923076923084</v>
      </c>
      <c r="FM449" s="245">
        <f>SUM(FJ449:FL449)</f>
        <v>23.07692307692308</v>
      </c>
      <c r="FN449" s="252">
        <f t="shared" si="4762"/>
        <v>0</v>
      </c>
      <c r="FO449" s="309">
        <f>FM449-FN449</f>
        <v>23.07692307692308</v>
      </c>
      <c r="FP449" s="246">
        <f>IF(FM449&lt;=0,3,0)+IF(FM449&gt;0,FM449+1,0)*3+IF(FM449&gt;12,FM449-12,0)*3+IF(FM449&gt;13,FM449-13,0)*3+IF(FM449&gt;14,FM449-14,0)*3+IF(FM449&gt;15,FM449-15,0)*3+IF(FM449&gt;16,FM449-16,0)*3+IF(FM449&gt;17,FM449-17,0)*3+IF(FM449&gt;18,FM449-18,0)*3+IF(FM449&gt;19,FM449-19,0)*3+IF(FM449&gt;20,FM449-20,0)*3</f>
        <v>263.30769230769232</v>
      </c>
      <c r="FQ449" s="244">
        <f>IF(FN449&lt;=0,3,0)+IF(FN449&gt;0,FN449+1,0)*3+IF(FN449&gt;12,FN449-12,0)*3+IF(FN449&gt;13,FN449-13,0)*3+IF(FN449&gt;14,FN449-14,0)*3+IF(FN449&gt;15,FN449-15,0)*3+IF(FN449&gt;16,FN449-16,0)*3+IF(FN449&gt;17,FN449-17,0)*3+IF(FN449&gt;18,FN449-18,0)*3+IF(FN449&gt;19,FN449-19,0)*3+IF(FN449&gt;20,FN449-20,0)*3</f>
        <v>3</v>
      </c>
      <c r="FR449" s="245">
        <f>IF((FP449-FQ449)&gt;0,FP449-FQ449,0)</f>
        <v>260.30769230769232</v>
      </c>
      <c r="FS449" s="246">
        <f>IF((FQ449-FP449)&gt;0,FQ449-FP449,0)</f>
        <v>0</v>
      </c>
      <c r="FU449" s="306" t="s">
        <v>275</v>
      </c>
      <c r="FV449" s="246" t="s">
        <v>87</v>
      </c>
      <c r="FW449" s="245" t="s">
        <v>135</v>
      </c>
      <c r="FX449" s="238"/>
      <c r="FY449" s="235">
        <f>Konvention_1slave-KLslave</f>
        <v>12</v>
      </c>
      <c r="FZ449" s="235">
        <f>Konvention_1slave-INslave</f>
        <v>12</v>
      </c>
      <c r="GA449" s="235">
        <f>Konvention_1slave-CHslave</f>
        <v>12</v>
      </c>
      <c r="GB449" s="235"/>
      <c r="GC449" s="235"/>
      <c r="GD449" s="235"/>
      <c r="GE449" s="227"/>
      <c r="GF449" s="226">
        <f>(FX449+FY449+FZ449+GA449+GB449+GC449+GD449+GE449)/3</f>
        <v>12</v>
      </c>
      <c r="GG449" s="226">
        <f>2*GF449</f>
        <v>24</v>
      </c>
      <c r="GH449" s="227">
        <f>3*GF449</f>
        <v>36</v>
      </c>
      <c r="GI449" s="238">
        <f>FX449*POWER(KLslave,SIGN(FY449))*POWER(INslave,SIGN(FZ449))*POWER(CHslave,SIGN(GA449))*POWER(FFslave,SIGN(GB449))*POWER(GEslave_GE,SIGN(GC449))*POWER(KOslave,SIGN(GD449))*POWER(KKslave,SIGN(GE449))+FY449*POWER(MUslave,SIGN(FX449))*POWER(INslave,SIGN(FZ449))*POWER(CHslave,SIGN(GA449))*POWER(FFslave,SIGN(GB449))*POWER(GEslave_GE,SIGN(GC449))*POWER(KOslave,SIGN(GD449))*POWER(KKslave,SIGN(GE449))+FZ449*POWER(MUslave,SIGN(FX449))*POWER(KLslave,SIGN(FY449))*POWER(CHslave,SIGN(GA449))*POWER(FFslave,SIGN(GB449))*POWER(GEslave_GE,SIGN(GC449))*POWER(KOslave,SIGN(GD449))*POWER(KKslave,SIGN(GE449))+GA449*POWER(MUslave,SIGN(FX449))*POWER(KLslave,SIGN(FY449))*POWER(INslave,SIGN(FZ449))*POWER(FFslave,SIGN(GB449))*POWER(GEslave_GE,SIGN(GC449))*POWER(KOslave,SIGN(GD449))*POWER(KKslave,SIGN(GE449))+GB449*POWER(MUslave,SIGN(FX449))*POWER(KLslave,SIGN(FY449))*POWER(INslave,SIGN(FZ449))*POWER(CHslave,SIGN(GA449))*POWER(GEslave_GE,SIGN(GC449))*POWER(KOslave,SIGN(GD449))*POWER(KKslave,SIGN(GE449))+GC449*POWER(MUslave,SIGN(FX449))*POWER(KLslave,SIGN(FY449))*POWER(INslave,SIGN(FZ449))*POWER(CHslave,SIGN(GA449))*POWER(FFslave,SIGN(GB449))*POWER(KOslave,SIGN(GD449))*POWER(KKslave,SIGN(GE449))+GD449*POWER(MUslave,SIGN(FX449))*POWER(KLslave,SIGN(FY449))*POWER(INslave,SIGN(FZ449))*POWER(CHslave,SIGN(GA449))*POWER(FFslave,SIGN(GB449))*POWER(GEslave_GE,SIGN(GC449))*POWER(KKslave,SIGN(GE449))+GE449*POWER(MUslave,SIGN(FX449))*POWER(KLslave,SIGN(FY449))*POWER(INslave,SIGN(FZ449))*POWER(CHslave,SIGN(GA449))*POWER(FFslave,SIGN(GB449))*POWER(GEslave_GE,SIGN(GC449))*POWER(KOslave,SIGN(GD449))</f>
        <v>2304</v>
      </c>
      <c r="GJ449" s="235">
        <f>FY449*FZ449*CHslave+FY449*INslave*GA449+KLslave*FZ449*GA449</f>
        <v>3456</v>
      </c>
      <c r="GK449" s="227">
        <f>IFERROR(FX449^SIGN(FX449),1)*IFERROR(FY449^SIGN(FY449),1)*IFERROR(FZ449^SIGN(FZ449),1)*IFERROR(GA449^SIGN(GA449),1)*IFERROR(GB449^SIGN(GB449),1)*IFERROR(GC449^SIGN(GC449),1)*IFERROR(GD449^SIGN(GD449),1)*IFERROR(GE449^SIGN(GE449),1)</f>
        <v>1728</v>
      </c>
      <c r="GL449" s="227">
        <f>SUM(GI449:GK449)</f>
        <v>7488</v>
      </c>
      <c r="GM449" s="225">
        <f>GF449*GI449/GL449</f>
        <v>3.6923076923076925</v>
      </c>
      <c r="GN449" s="226">
        <f>GG449*GJ449/GL449</f>
        <v>11.076923076923077</v>
      </c>
      <c r="GO449" s="245">
        <f>GH449*GK449/GL449</f>
        <v>8.3076923076923084</v>
      </c>
      <c r="GP449" s="245">
        <f>SUM(GM449:GO449)</f>
        <v>23.07692307692308</v>
      </c>
      <c r="GQ449" s="252">
        <f t="shared" si="4763"/>
        <v>0</v>
      </c>
      <c r="GR449" s="309">
        <f>GP449-GQ449</f>
        <v>23.07692307692308</v>
      </c>
      <c r="GS449" s="246">
        <f>IF(GP449&lt;=0,3,0)+IF(GP449&gt;0,GP449+1,0)*3+IF(GP449&gt;12,GP449-12,0)*3+IF(GP449&gt;13,GP449-13,0)*3+IF(GP449&gt;14,GP449-14,0)*3+IF(GP449&gt;15,GP449-15,0)*3+IF(GP449&gt;16,GP449-16,0)*3+IF(GP449&gt;17,GP449-17,0)*3+IF(GP449&gt;18,GP449-18,0)*3+IF(GP449&gt;19,GP449-19,0)*3+IF(GP449&gt;20,GP449-20,0)*3</f>
        <v>263.30769230769232</v>
      </c>
      <c r="GT449" s="244">
        <f>IF(GQ449&lt;=0,3,0)+IF(GQ449&gt;0,GQ449+1,0)*3+IF(GQ449&gt;12,GQ449-12,0)*3+IF(GQ449&gt;13,GQ449-13,0)*3+IF(GQ449&gt;14,GQ449-14,0)*3+IF(GQ449&gt;15,GQ449-15,0)*3+IF(GQ449&gt;16,GQ449-16,0)*3+IF(GQ449&gt;17,GQ449-17,0)*3+IF(GQ449&gt;18,GQ449-18,0)*3+IF(GQ449&gt;19,GQ449-19,0)*3+IF(GQ449&gt;20,GQ449-20,0)*3</f>
        <v>3</v>
      </c>
      <c r="GU449" s="245">
        <f>IF((GS449-GT449)&gt;0,GS449-GT449,0)</f>
        <v>260.30769230769232</v>
      </c>
      <c r="GV449" s="246">
        <f>IF((GT449-GS449)&gt;0,GT449-GS449,0)</f>
        <v>0</v>
      </c>
      <c r="GX449" s="306" t="s">
        <v>275</v>
      </c>
      <c r="GY449" s="246" t="s">
        <v>87</v>
      </c>
      <c r="GZ449" s="245" t="s">
        <v>135</v>
      </c>
      <c r="HA449" s="238"/>
      <c r="HB449" s="235">
        <f>Konvention_1slave-KLslave</f>
        <v>12</v>
      </c>
      <c r="HC449" s="235">
        <f>Konvention_1slave-INslave</f>
        <v>12</v>
      </c>
      <c r="HD449" s="235">
        <f>Konvention_1slave-CHslave</f>
        <v>12</v>
      </c>
      <c r="HE449" s="235"/>
      <c r="HF449" s="235"/>
      <c r="HG449" s="235"/>
      <c r="HH449" s="227"/>
      <c r="HI449" s="226">
        <f>(HA449+HB449+HC449+HD449+HE449+HF449+HG449+HH449)/3</f>
        <v>12</v>
      </c>
      <c r="HJ449" s="226">
        <f>2*HI449</f>
        <v>24</v>
      </c>
      <c r="HK449" s="227">
        <f>3*HI449</f>
        <v>36</v>
      </c>
      <c r="HL449" s="238">
        <f>HA449*POWER(KLslave,SIGN(HB449))*POWER(INslave,SIGN(HC449))*POWER(CHslave,SIGN(HD449))*POWER(FFslave,SIGN(HE449))*POWER(GEslave,SIGN(HF449))*POWER(KOslave_KO,SIGN(HG449))*POWER(KKslave,SIGN(HH449))+HB449*POWER(MUslave,SIGN(HA449))*POWER(INslave,SIGN(HC449))*POWER(CHslave,SIGN(HD449))*POWER(FFslave,SIGN(HE449))*POWER(GEslave,SIGN(HF449))*POWER(KOslave_KO,SIGN(HG449))*POWER(KKslave,SIGN(HH449))+HC449*POWER(MUslave,SIGN(HA449))*POWER(KLslave,SIGN(HB449))*POWER(CHslave,SIGN(HD449))*POWER(FFslave,SIGN(HE449))*POWER(GEslave,SIGN(HF449))*POWER(KOslave_KO,SIGN(HG449))*POWER(KKslave,SIGN(HH449))+HD449*POWER(MUslave,SIGN(HA449))*POWER(KLslave,SIGN(HB449))*POWER(INslave,SIGN(HC449))*POWER(FFslave,SIGN(HE449))*POWER(GEslave,SIGN(HF449))*POWER(KOslave_KO,SIGN(HG449))*POWER(KKslave,SIGN(HH449))+HE449*POWER(MUslave,SIGN(HA449))*POWER(KLslave,SIGN(HB449))*POWER(INslave,SIGN(HC449))*POWER(CHslave,SIGN(HD449))*POWER(GEslave,SIGN(HF449))*POWER(KOslave_KO,SIGN(HG449))*POWER(KKslave,SIGN(HH449))+HF449*POWER(MUslave,SIGN(HA449))*POWER(KLslave,SIGN(HB449))*POWER(INslave,SIGN(HC449))*POWER(CHslave,SIGN(HD449))*POWER(FFslave,SIGN(HE449))*POWER(KOslave_KO,SIGN(HG449))*POWER(KKslave,SIGN(HH449))+HG449*POWER(MUslave,SIGN(HA449))*POWER(KLslave,SIGN(HB449))*POWER(INslave,SIGN(HC449))*POWER(CHslave,SIGN(HD449))*POWER(FFslave,SIGN(HE449))*POWER(GEslave,SIGN(HF449))*POWER(KKslave,SIGN(HH449))+HH449*POWER(MUslave,SIGN(HA449))*POWER(KLslave,SIGN(HB449))*POWER(INslave,SIGN(HC449))*POWER(CHslave,SIGN(HD449))*POWER(FFslave,SIGN(HE449))*POWER(GEslave,SIGN(HF449))*POWER(KOslave_KO,SIGN(HG449))</f>
        <v>2304</v>
      </c>
      <c r="HM449" s="235">
        <f>HB449*HC449*CHslave+HB449*INslave*HD449+KLslave*HC449*HD449</f>
        <v>3456</v>
      </c>
      <c r="HN449" s="227">
        <f>IFERROR(HA449^SIGN(HA449),1)*IFERROR(HB449^SIGN(HB449),1)*IFERROR(HC449^SIGN(HC449),1)*IFERROR(HD449^SIGN(HD449),1)*IFERROR(HE449^SIGN(HE449),1)*IFERROR(HF449^SIGN(HF449),1)*IFERROR(HG449^SIGN(HG449),1)*IFERROR(HH449^SIGN(HH449),1)</f>
        <v>1728</v>
      </c>
      <c r="HO449" s="227">
        <f>SUM(HL449:HN449)</f>
        <v>7488</v>
      </c>
      <c r="HP449" s="225">
        <f>HI449*HL449/HO449</f>
        <v>3.6923076923076925</v>
      </c>
      <c r="HQ449" s="226">
        <f>HJ449*HM449/HO449</f>
        <v>11.076923076923077</v>
      </c>
      <c r="HR449" s="245">
        <f>HK449*HN449/HO449</f>
        <v>8.3076923076923084</v>
      </c>
      <c r="HS449" s="245">
        <f>SUM(HP449:HR449)</f>
        <v>23.07692307692308</v>
      </c>
      <c r="HT449" s="252">
        <f t="shared" si="4764"/>
        <v>0</v>
      </c>
      <c r="HU449" s="309">
        <f>HS449-HT449</f>
        <v>23.07692307692308</v>
      </c>
      <c r="HV449" s="246">
        <f>IF(HS449&lt;=0,3,0)+IF(HS449&gt;0,HS449+1,0)*3+IF(HS449&gt;12,HS449-12,0)*3+IF(HS449&gt;13,HS449-13,0)*3+IF(HS449&gt;14,HS449-14,0)*3+IF(HS449&gt;15,HS449-15,0)*3+IF(HS449&gt;16,HS449-16,0)*3+IF(HS449&gt;17,HS449-17,0)*3+IF(HS449&gt;18,HS449-18,0)*3+IF(HS449&gt;19,HS449-19,0)*3+IF(HS449&gt;20,HS449-20,0)*3</f>
        <v>263.30769230769232</v>
      </c>
      <c r="HW449" s="244">
        <f>IF(HT449&lt;=0,3,0)+IF(HT449&gt;0,HT449+1,0)*3+IF(HT449&gt;12,HT449-12,0)*3+IF(HT449&gt;13,HT449-13,0)*3+IF(HT449&gt;14,HT449-14,0)*3+IF(HT449&gt;15,HT449-15,0)*3+IF(HT449&gt;16,HT449-16,0)*3+IF(HT449&gt;17,HT449-17,0)*3+IF(HT449&gt;18,HT449-18,0)*3+IF(HT449&gt;19,HT449-19,0)*3+IF(HT449&gt;20,HT449-20,0)*3</f>
        <v>3</v>
      </c>
      <c r="HX449" s="245">
        <f>IF((HV449-HW449)&gt;0,HV449-HW449,0)</f>
        <v>260.30769230769232</v>
      </c>
      <c r="HY449" s="246">
        <f>IF((HW449-HV449)&gt;0,HW449-HV449,0)</f>
        <v>0</v>
      </c>
      <c r="IA449" s="306" t="s">
        <v>275</v>
      </c>
      <c r="IB449" s="246" t="s">
        <v>87</v>
      </c>
      <c r="IC449" s="245" t="s">
        <v>135</v>
      </c>
      <c r="ID449" s="238"/>
      <c r="IE449" s="235">
        <f>Konvention_1slave-KLslave</f>
        <v>12</v>
      </c>
      <c r="IF449" s="235">
        <f>Konvention_1slave-INslave</f>
        <v>12</v>
      </c>
      <c r="IG449" s="235">
        <f>Konvention_1slave-CHslave</f>
        <v>12</v>
      </c>
      <c r="IH449" s="235"/>
      <c r="II449" s="235"/>
      <c r="IJ449" s="235"/>
      <c r="IK449" s="227"/>
      <c r="IL449" s="226">
        <f>(ID449+IE449+IF449+IG449+IH449+II449+IJ449+IK449)/3</f>
        <v>12</v>
      </c>
      <c r="IM449" s="226">
        <f>2*IL449</f>
        <v>24</v>
      </c>
      <c r="IN449" s="227">
        <f>3*IL449</f>
        <v>36</v>
      </c>
      <c r="IO449" s="238">
        <f>ID449*POWER(KLslave,SIGN(IE449))*POWER(INslave,SIGN(IF449))*POWER(CHslave,SIGN(IG449))*POWER(FFslave,SIGN(IH449))*POWER(GEslave,SIGN(II449))*POWER(KOslave,SIGN(IJ449))*POWER(KKslave_KK,SIGN(IK449))+IE449*POWER(MUslave,SIGN(ID449))*POWER(INslave,SIGN(IF449))*POWER(CHslave,SIGN(IG449))*POWER(FFslave,SIGN(IH449))*POWER(GEslave,SIGN(II449))*POWER(KOslave,SIGN(IJ449))*POWER(KKslave_KK,SIGN(IK449))+IF449*POWER(MUslave,SIGN(ID449))*POWER(KLslave,SIGN(IE449))*POWER(CHslave,SIGN(IG449))*POWER(FFslave,SIGN(IH449))*POWER(GEslave,SIGN(II449))*POWER(KOslave,SIGN(IJ449))*POWER(KKslave_KK,SIGN(IK449))+IG449*POWER(MUslave,SIGN(ID449))*POWER(KLslave,SIGN(IE449))*POWER(INslave,SIGN(IF449))*POWER(FFslave,SIGN(IH449))*POWER(GEslave,SIGN(II449))*POWER(KOslave,SIGN(IJ449))*POWER(KKslave_KK,SIGN(IK449))+IH449*POWER(MUslave,SIGN(ID449))*POWER(KLslave,SIGN(IE449))*POWER(INslave,SIGN(IF449))*POWER(CHslave,SIGN(IG449))*POWER(GEslave,SIGN(II449))*POWER(KOslave,SIGN(IJ449))*POWER(KKslave_KK,SIGN(IK449))+II449*POWER(MUslave,SIGN(ID449))*POWER(KLslave,SIGN(IE449))*POWER(INslave,SIGN(IF449))*POWER(CHslave,SIGN(IG449))*POWER(FFslave,SIGN(IH449))*POWER(KOslave,SIGN(IJ449))*POWER(KKslave_KK,SIGN(IK449))+IJ449*POWER(MUslave,SIGN(ID449))*POWER(KLslave,SIGN(IE449))*POWER(INslave,SIGN(IF449))*POWER(CHslave,SIGN(IG449))*POWER(FFslave,SIGN(IH449))*POWER(GEslave,SIGN(II449))*POWER(KKslave_KK,SIGN(IK449))+IK449*POWER(MUslave,SIGN(ID449))*POWER(KLslave,SIGN(IE449))*POWER(INslave,SIGN(IF449))*POWER(CHslave,SIGN(IG449))*POWER(FFslave,SIGN(IH449))*POWER(GEslave,SIGN(II449))*POWER(KOslave,SIGN(IJ449))</f>
        <v>2304</v>
      </c>
      <c r="IP449" s="235">
        <f>IE449*IF449*CHslave+IE449*INslave*IG449+KLslave*IF449*IG449</f>
        <v>3456</v>
      </c>
      <c r="IQ449" s="227">
        <f>IFERROR(ID449^SIGN(ID449),1)*IFERROR(IE449^SIGN(IE449),1)*IFERROR(IF449^SIGN(IF449),1)*IFERROR(IG449^SIGN(IG449),1)*IFERROR(IH449^SIGN(IH449),1)*IFERROR(II449^SIGN(II449),1)*IFERROR(IJ449^SIGN(IJ449),1)*IFERROR(IK449^SIGN(IK449),1)</f>
        <v>1728</v>
      </c>
      <c r="IR449" s="227">
        <f>SUM(IO449:IQ449)</f>
        <v>7488</v>
      </c>
      <c r="IS449" s="225">
        <f>IL449*IO449/IR449</f>
        <v>3.6923076923076925</v>
      </c>
      <c r="IT449" s="226">
        <f>IM449*IP449/IR449</f>
        <v>11.076923076923077</v>
      </c>
      <c r="IU449" s="245">
        <f>IN449*IQ449/IR449</f>
        <v>8.3076923076923084</v>
      </c>
      <c r="IV449" s="245">
        <f>SUM(IS449:IU449)</f>
        <v>23.07692307692308</v>
      </c>
      <c r="IW449" s="252">
        <f t="shared" si="4765"/>
        <v>0</v>
      </c>
      <c r="IX449" s="309">
        <f>IV449-IW449</f>
        <v>23.07692307692308</v>
      </c>
      <c r="IY449" s="246">
        <f>IF(IV449&lt;=0,3,0)+IF(IV449&gt;0,IV449+1,0)*3+IF(IV449&gt;12,IV449-12,0)*3+IF(IV449&gt;13,IV449-13,0)*3+IF(IV449&gt;14,IV449-14,0)*3+IF(IV449&gt;15,IV449-15,0)*3+IF(IV449&gt;16,IV449-16,0)*3+IF(IV449&gt;17,IV449-17,0)*3+IF(IV449&gt;18,IV449-18,0)*3+IF(IV449&gt;19,IV449-19,0)*3+IF(IV449&gt;20,IV449-20,0)*3</f>
        <v>263.30769230769232</v>
      </c>
      <c r="IZ449" s="244">
        <f>IF(IW449&lt;=0,3,0)+IF(IW449&gt;0,IW449+1,0)*3+IF(IW449&gt;12,IW449-12,0)*3+IF(IW449&gt;13,IW449-13,0)*3+IF(IW449&gt;14,IW449-14,0)*3+IF(IW449&gt;15,IW449-15,0)*3+IF(IW449&gt;16,IW449-16,0)*3+IF(IW449&gt;17,IW449-17,0)*3+IF(IW449&gt;18,IW449-18,0)*3+IF(IW449&gt;19,IW449-19,0)*3+IF(IW449&gt;20,IW449-20,0)*3</f>
        <v>3</v>
      </c>
      <c r="JA449" s="245">
        <f>IF((IY449-IZ449)&gt;0,IY449-IZ449,0)</f>
        <v>260.30769230769232</v>
      </c>
      <c r="JB449" s="246">
        <f>IF((IZ449-IY449)&gt;0,IZ449-IY449,0)</f>
        <v>0</v>
      </c>
      <c r="JE449" s="148"/>
    </row>
    <row r="450" spans="2:265" hidden="1" outlineLevel="1" collapsed="1">
      <c r="B450" s="134" t="s">
        <v>326</v>
      </c>
      <c r="C450" s="307" t="s">
        <v>281</v>
      </c>
      <c r="D450" s="84" t="s">
        <v>279</v>
      </c>
      <c r="E450" s="84" t="s">
        <v>280</v>
      </c>
      <c r="Y450" s="251"/>
      <c r="Z450" s="197"/>
      <c r="AF450" s="83" t="s">
        <v>281</v>
      </c>
      <c r="AG450" s="84" t="s">
        <v>279</v>
      </c>
      <c r="AH450" s="84" t="s">
        <v>280</v>
      </c>
      <c r="BB450" s="197"/>
      <c r="BC450" s="197"/>
      <c r="BI450" s="307" t="s">
        <v>281</v>
      </c>
      <c r="BJ450" s="308" t="s">
        <v>279</v>
      </c>
      <c r="BK450" s="308" t="s">
        <v>280</v>
      </c>
      <c r="CE450" s="251"/>
      <c r="CF450" s="251"/>
      <c r="CL450" s="307" t="s">
        <v>281</v>
      </c>
      <c r="CM450" s="308" t="s">
        <v>279</v>
      </c>
      <c r="CN450" s="308" t="s">
        <v>280</v>
      </c>
      <c r="DH450" s="251"/>
      <c r="DI450" s="251"/>
      <c r="DO450" s="307" t="s">
        <v>281</v>
      </c>
      <c r="DP450" s="308" t="s">
        <v>279</v>
      </c>
      <c r="DQ450" s="308" t="s">
        <v>280</v>
      </c>
      <c r="EK450" s="251"/>
      <c r="EL450" s="251"/>
      <c r="ER450" s="307" t="s">
        <v>281</v>
      </c>
      <c r="ES450" s="308" t="s">
        <v>279</v>
      </c>
      <c r="ET450" s="308" t="s">
        <v>280</v>
      </c>
      <c r="FN450" s="251"/>
      <c r="FO450" s="251"/>
      <c r="FU450" s="307" t="s">
        <v>281</v>
      </c>
      <c r="FV450" s="308" t="s">
        <v>279</v>
      </c>
      <c r="FW450" s="308" t="s">
        <v>280</v>
      </c>
      <c r="GQ450" s="251"/>
      <c r="GR450" s="251"/>
      <c r="GX450" s="307" t="s">
        <v>281</v>
      </c>
      <c r="GY450" s="308" t="s">
        <v>279</v>
      </c>
      <c r="GZ450" s="308" t="s">
        <v>280</v>
      </c>
      <c r="HT450" s="251"/>
      <c r="HU450" s="251"/>
      <c r="IA450" s="307" t="s">
        <v>281</v>
      </c>
      <c r="IB450" s="308" t="s">
        <v>279</v>
      </c>
      <c r="IC450" s="308" t="s">
        <v>280</v>
      </c>
      <c r="IW450" s="251"/>
      <c r="IX450" s="251"/>
      <c r="JE450" s="148"/>
    </row>
    <row r="451" spans="2:265" hidden="1" outlineLevel="2">
      <c r="B451" s="148">
        <v>0</v>
      </c>
      <c r="C451" s="216"/>
      <c r="D451" s="40"/>
      <c r="E451" s="182"/>
      <c r="F451" s="17"/>
      <c r="G451" s="183"/>
      <c r="H451" s="183"/>
      <c r="I451" s="183"/>
      <c r="J451" s="183"/>
      <c r="K451" s="183"/>
      <c r="L451" s="183"/>
      <c r="M451" s="180"/>
      <c r="N451" s="231"/>
      <c r="O451" s="231"/>
      <c r="P451" s="232"/>
      <c r="Q451" s="239"/>
      <c r="R451" s="183"/>
      <c r="S451" s="232"/>
      <c r="T451" s="232"/>
      <c r="U451" s="230"/>
      <c r="V451" s="231"/>
      <c r="W451" s="247"/>
      <c r="X451" s="247"/>
      <c r="Y451" s="216"/>
      <c r="Z451" s="198"/>
      <c r="AA451" s="40"/>
      <c r="AB451" s="189"/>
      <c r="AC451" s="182"/>
      <c r="AD451" s="40"/>
      <c r="AF451" s="134"/>
      <c r="AG451" s="40"/>
      <c r="AH451" s="182"/>
      <c r="AI451" s="17"/>
      <c r="AJ451" s="183"/>
      <c r="AK451" s="183"/>
      <c r="AL451" s="183"/>
      <c r="AM451" s="183"/>
      <c r="AN451" s="183"/>
      <c r="AO451" s="183"/>
      <c r="AP451" s="180"/>
      <c r="AQ451" s="179"/>
      <c r="AR451" s="179"/>
      <c r="AS451" s="180"/>
      <c r="AT451" s="17"/>
      <c r="AU451" s="183"/>
      <c r="AV451" s="180"/>
      <c r="AW451" s="180"/>
      <c r="AX451" s="166"/>
      <c r="AY451" s="179"/>
      <c r="AZ451" s="182"/>
      <c r="BA451" s="182"/>
      <c r="BB451" s="134"/>
      <c r="BC451" s="198"/>
      <c r="BD451" s="40"/>
      <c r="BE451" s="189"/>
      <c r="BF451" s="247"/>
      <c r="BG451" s="45"/>
      <c r="BI451" s="216"/>
      <c r="BJ451" s="45"/>
      <c r="BK451" s="247"/>
      <c r="BL451" s="239"/>
      <c r="BM451" s="240"/>
      <c r="BN451" s="240"/>
      <c r="BO451" s="240"/>
      <c r="BP451" s="240"/>
      <c r="BQ451" s="240"/>
      <c r="BR451" s="240"/>
      <c r="BS451" s="232"/>
      <c r="BT451" s="231"/>
      <c r="BU451" s="231"/>
      <c r="BV451" s="232"/>
      <c r="BW451" s="239"/>
      <c r="BX451" s="240"/>
      <c r="BY451" s="232"/>
      <c r="BZ451" s="232"/>
      <c r="CA451" s="230"/>
      <c r="CB451" s="231"/>
      <c r="CC451" s="247"/>
      <c r="CD451" s="247"/>
      <c r="CE451" s="216"/>
      <c r="CF451" s="309"/>
      <c r="CG451" s="45"/>
      <c r="CH451" s="79"/>
      <c r="CI451" s="247"/>
      <c r="CJ451" s="45"/>
      <c r="CL451" s="216"/>
      <c r="CM451" s="45"/>
      <c r="CN451" s="247"/>
      <c r="CO451" s="239"/>
      <c r="CP451" s="240"/>
      <c r="CQ451" s="240"/>
      <c r="CR451" s="240"/>
      <c r="CS451" s="240"/>
      <c r="CT451" s="240"/>
      <c r="CU451" s="240"/>
      <c r="CV451" s="232"/>
      <c r="CW451" s="231"/>
      <c r="CX451" s="231"/>
      <c r="CY451" s="232"/>
      <c r="CZ451" s="239"/>
      <c r="DA451" s="240"/>
      <c r="DB451" s="232"/>
      <c r="DC451" s="232"/>
      <c r="DD451" s="230"/>
      <c r="DE451" s="231"/>
      <c r="DF451" s="247"/>
      <c r="DG451" s="247"/>
      <c r="DH451" s="216"/>
      <c r="DI451" s="309"/>
      <c r="DJ451" s="45"/>
      <c r="DK451" s="79"/>
      <c r="DL451" s="247"/>
      <c r="DM451" s="45"/>
      <c r="DO451" s="216"/>
      <c r="DP451" s="45"/>
      <c r="DQ451" s="247"/>
      <c r="DR451" s="239"/>
      <c r="DS451" s="240"/>
      <c r="DT451" s="240"/>
      <c r="DU451" s="240"/>
      <c r="DV451" s="240"/>
      <c r="DW451" s="240"/>
      <c r="DX451" s="240"/>
      <c r="DY451" s="232"/>
      <c r="DZ451" s="231"/>
      <c r="EA451" s="231"/>
      <c r="EB451" s="232"/>
      <c r="EC451" s="239"/>
      <c r="ED451" s="240"/>
      <c r="EE451" s="232"/>
      <c r="EF451" s="232"/>
      <c r="EG451" s="230"/>
      <c r="EH451" s="231"/>
      <c r="EI451" s="247"/>
      <c r="EJ451" s="247"/>
      <c r="EK451" s="216"/>
      <c r="EL451" s="309"/>
      <c r="EM451" s="45"/>
      <c r="EN451" s="79"/>
      <c r="EO451" s="247"/>
      <c r="EP451" s="45"/>
      <c r="ER451" s="216"/>
      <c r="ES451" s="45"/>
      <c r="ET451" s="247"/>
      <c r="EU451" s="239"/>
      <c r="EV451" s="240"/>
      <c r="EW451" s="240"/>
      <c r="EX451" s="240"/>
      <c r="EY451" s="240"/>
      <c r="EZ451" s="240"/>
      <c r="FA451" s="240"/>
      <c r="FB451" s="232"/>
      <c r="FC451" s="231"/>
      <c r="FD451" s="231"/>
      <c r="FE451" s="232"/>
      <c r="FF451" s="239"/>
      <c r="FG451" s="240"/>
      <c r="FH451" s="232"/>
      <c r="FI451" s="232"/>
      <c r="FJ451" s="230"/>
      <c r="FK451" s="231"/>
      <c r="FL451" s="247"/>
      <c r="FM451" s="247"/>
      <c r="FN451" s="216"/>
      <c r="FO451" s="309"/>
      <c r="FP451" s="45"/>
      <c r="FQ451" s="79"/>
      <c r="FR451" s="247"/>
      <c r="FS451" s="45"/>
      <c r="FU451" s="216"/>
      <c r="FV451" s="45"/>
      <c r="FW451" s="247"/>
      <c r="FX451" s="239"/>
      <c r="FY451" s="240"/>
      <c r="FZ451" s="240"/>
      <c r="GA451" s="240"/>
      <c r="GB451" s="240"/>
      <c r="GC451" s="240"/>
      <c r="GD451" s="240"/>
      <c r="GE451" s="232"/>
      <c r="GF451" s="231"/>
      <c r="GG451" s="231"/>
      <c r="GH451" s="232"/>
      <c r="GI451" s="239"/>
      <c r="GJ451" s="240"/>
      <c r="GK451" s="232"/>
      <c r="GL451" s="232"/>
      <c r="GM451" s="230"/>
      <c r="GN451" s="231"/>
      <c r="GO451" s="247"/>
      <c r="GP451" s="247"/>
      <c r="GQ451" s="216"/>
      <c r="GR451" s="309"/>
      <c r="GS451" s="45"/>
      <c r="GT451" s="79"/>
      <c r="GU451" s="247"/>
      <c r="GV451" s="45"/>
      <c r="GX451" s="216"/>
      <c r="GY451" s="45"/>
      <c r="GZ451" s="247"/>
      <c r="HA451" s="239"/>
      <c r="HB451" s="240"/>
      <c r="HC451" s="240"/>
      <c r="HD451" s="240"/>
      <c r="HE451" s="240"/>
      <c r="HF451" s="240"/>
      <c r="HG451" s="240"/>
      <c r="HH451" s="232"/>
      <c r="HI451" s="231"/>
      <c r="HJ451" s="231"/>
      <c r="HK451" s="232"/>
      <c r="HL451" s="239"/>
      <c r="HM451" s="240"/>
      <c r="HN451" s="232"/>
      <c r="HO451" s="232"/>
      <c r="HP451" s="230"/>
      <c r="HQ451" s="231"/>
      <c r="HR451" s="247"/>
      <c r="HS451" s="247"/>
      <c r="HT451" s="216"/>
      <c r="HU451" s="309"/>
      <c r="HV451" s="45"/>
      <c r="HW451" s="79"/>
      <c r="HX451" s="247"/>
      <c r="HY451" s="45"/>
      <c r="IA451" s="216"/>
      <c r="IB451" s="45"/>
      <c r="IC451" s="247"/>
      <c r="ID451" s="239"/>
      <c r="IE451" s="240"/>
      <c r="IF451" s="240"/>
      <c r="IG451" s="240"/>
      <c r="IH451" s="240"/>
      <c r="II451" s="240"/>
      <c r="IJ451" s="240"/>
      <c r="IK451" s="232"/>
      <c r="IL451" s="231"/>
      <c r="IM451" s="231"/>
      <c r="IN451" s="232"/>
      <c r="IO451" s="239"/>
      <c r="IP451" s="240"/>
      <c r="IQ451" s="232"/>
      <c r="IR451" s="232"/>
      <c r="IS451" s="230"/>
      <c r="IT451" s="231"/>
      <c r="IU451" s="247"/>
      <c r="IV451" s="247"/>
      <c r="IW451" s="216"/>
      <c r="IX451" s="309"/>
      <c r="IY451" s="45"/>
      <c r="IZ451" s="79"/>
      <c r="JA451" s="247"/>
      <c r="JB451" s="45"/>
      <c r="JE451" s="148"/>
    </row>
    <row r="452" spans="2:265" hidden="1" outlineLevel="1" collapsed="1">
      <c r="B452" s="134" t="s">
        <v>325</v>
      </c>
      <c r="C452" s="307" t="s">
        <v>281</v>
      </c>
      <c r="D452" s="84" t="s">
        <v>279</v>
      </c>
      <c r="E452" s="84" t="s">
        <v>280</v>
      </c>
      <c r="Y452" s="251"/>
      <c r="Z452" s="197"/>
      <c r="AF452" s="83" t="s">
        <v>281</v>
      </c>
      <c r="AG452" s="84" t="s">
        <v>279</v>
      </c>
      <c r="AH452" s="84" t="s">
        <v>280</v>
      </c>
      <c r="BB452" s="197"/>
      <c r="BC452" s="197"/>
      <c r="BI452" s="307" t="s">
        <v>281</v>
      </c>
      <c r="BJ452" s="308" t="s">
        <v>279</v>
      </c>
      <c r="BK452" s="308" t="s">
        <v>280</v>
      </c>
      <c r="CE452" s="251"/>
      <c r="CF452" s="251"/>
      <c r="CL452" s="307" t="s">
        <v>281</v>
      </c>
      <c r="CM452" s="308" t="s">
        <v>279</v>
      </c>
      <c r="CN452" s="308" t="s">
        <v>280</v>
      </c>
      <c r="DH452" s="251"/>
      <c r="DI452" s="251"/>
      <c r="DO452" s="307" t="s">
        <v>281</v>
      </c>
      <c r="DP452" s="308" t="s">
        <v>279</v>
      </c>
      <c r="DQ452" s="308" t="s">
        <v>280</v>
      </c>
      <c r="EK452" s="251"/>
      <c r="EL452" s="251"/>
      <c r="ER452" s="307" t="s">
        <v>281</v>
      </c>
      <c r="ES452" s="308" t="s">
        <v>279</v>
      </c>
      <c r="ET452" s="308" t="s">
        <v>280</v>
      </c>
      <c r="FN452" s="251"/>
      <c r="FO452" s="251"/>
      <c r="FU452" s="307" t="s">
        <v>281</v>
      </c>
      <c r="FV452" s="308" t="s">
        <v>279</v>
      </c>
      <c r="FW452" s="308" t="s">
        <v>280</v>
      </c>
      <c r="GQ452" s="251"/>
      <c r="GR452" s="251"/>
      <c r="GX452" s="307" t="s">
        <v>281</v>
      </c>
      <c r="GY452" s="308" t="s">
        <v>279</v>
      </c>
      <c r="GZ452" s="308" t="s">
        <v>280</v>
      </c>
      <c r="HT452" s="251"/>
      <c r="HU452" s="251"/>
      <c r="IA452" s="307" t="s">
        <v>281</v>
      </c>
      <c r="IB452" s="308" t="s">
        <v>279</v>
      </c>
      <c r="IC452" s="308" t="s">
        <v>280</v>
      </c>
      <c r="IW452" s="251"/>
      <c r="IX452" s="251"/>
      <c r="JE452" s="148"/>
    </row>
    <row r="453" spans="2:265" hidden="1" outlineLevel="2">
      <c r="B453" s="148">
        <v>0</v>
      </c>
      <c r="C453" s="216"/>
      <c r="D453" s="40"/>
      <c r="E453" s="182"/>
      <c r="F453" s="17"/>
      <c r="G453" s="183"/>
      <c r="H453" s="183"/>
      <c r="I453" s="183"/>
      <c r="J453" s="183"/>
      <c r="K453" s="183"/>
      <c r="L453" s="183"/>
      <c r="M453" s="180"/>
      <c r="N453" s="231"/>
      <c r="O453" s="231"/>
      <c r="P453" s="232"/>
      <c r="Q453" s="239"/>
      <c r="R453" s="183"/>
      <c r="S453" s="232"/>
      <c r="T453" s="232"/>
      <c r="U453" s="230"/>
      <c r="V453" s="231"/>
      <c r="W453" s="247"/>
      <c r="X453" s="247"/>
      <c r="Y453" s="216"/>
      <c r="Z453" s="198"/>
      <c r="AA453" s="40"/>
      <c r="AB453" s="189"/>
      <c r="AC453" s="182"/>
      <c r="AD453" s="40"/>
      <c r="AF453" s="134"/>
      <c r="AG453" s="40"/>
      <c r="AH453" s="182"/>
      <c r="AI453" s="17"/>
      <c r="AJ453" s="183"/>
      <c r="AK453" s="183"/>
      <c r="AL453" s="183"/>
      <c r="AM453" s="183"/>
      <c r="AN453" s="183"/>
      <c r="AO453" s="183"/>
      <c r="AP453" s="180"/>
      <c r="AQ453" s="179"/>
      <c r="AR453" s="179"/>
      <c r="AS453" s="180"/>
      <c r="AT453" s="17"/>
      <c r="AU453" s="183"/>
      <c r="AV453" s="180"/>
      <c r="AW453" s="180"/>
      <c r="AX453" s="166"/>
      <c r="AY453" s="179"/>
      <c r="AZ453" s="182"/>
      <c r="BA453" s="182"/>
      <c r="BB453" s="134"/>
      <c r="BC453" s="198"/>
      <c r="BD453" s="40"/>
      <c r="BE453" s="189"/>
      <c r="BF453" s="247"/>
      <c r="BG453" s="45"/>
      <c r="BI453" s="216"/>
      <c r="BJ453" s="45"/>
      <c r="BK453" s="247"/>
      <c r="BL453" s="239"/>
      <c r="BM453" s="240"/>
      <c r="BN453" s="240"/>
      <c r="BO453" s="240"/>
      <c r="BP453" s="240"/>
      <c r="BQ453" s="240"/>
      <c r="BR453" s="240"/>
      <c r="BS453" s="232"/>
      <c r="BT453" s="231"/>
      <c r="BU453" s="231"/>
      <c r="BV453" s="232"/>
      <c r="BW453" s="239"/>
      <c r="BX453" s="240"/>
      <c r="BY453" s="232"/>
      <c r="BZ453" s="232"/>
      <c r="CA453" s="230"/>
      <c r="CB453" s="231"/>
      <c r="CC453" s="247"/>
      <c r="CD453" s="247"/>
      <c r="CE453" s="216"/>
      <c r="CF453" s="309"/>
      <c r="CG453" s="45"/>
      <c r="CH453" s="79"/>
      <c r="CI453" s="247"/>
      <c r="CJ453" s="45"/>
      <c r="CL453" s="216"/>
      <c r="CM453" s="45"/>
      <c r="CN453" s="247"/>
      <c r="CO453" s="239"/>
      <c r="CP453" s="240"/>
      <c r="CQ453" s="240"/>
      <c r="CR453" s="240"/>
      <c r="CS453" s="240"/>
      <c r="CT453" s="240"/>
      <c r="CU453" s="240"/>
      <c r="CV453" s="232"/>
      <c r="CW453" s="231"/>
      <c r="CX453" s="231"/>
      <c r="CY453" s="232"/>
      <c r="CZ453" s="239"/>
      <c r="DA453" s="240"/>
      <c r="DB453" s="232"/>
      <c r="DC453" s="232"/>
      <c r="DD453" s="230"/>
      <c r="DE453" s="231"/>
      <c r="DF453" s="247"/>
      <c r="DG453" s="247"/>
      <c r="DH453" s="216"/>
      <c r="DI453" s="309"/>
      <c r="DJ453" s="45"/>
      <c r="DK453" s="79"/>
      <c r="DL453" s="247"/>
      <c r="DM453" s="45"/>
      <c r="DO453" s="216"/>
      <c r="DP453" s="45"/>
      <c r="DQ453" s="247"/>
      <c r="DR453" s="239"/>
      <c r="DS453" s="240"/>
      <c r="DT453" s="240"/>
      <c r="DU453" s="240"/>
      <c r="DV453" s="240"/>
      <c r="DW453" s="240"/>
      <c r="DX453" s="240"/>
      <c r="DY453" s="232"/>
      <c r="DZ453" s="231"/>
      <c r="EA453" s="231"/>
      <c r="EB453" s="232"/>
      <c r="EC453" s="239"/>
      <c r="ED453" s="240"/>
      <c r="EE453" s="232"/>
      <c r="EF453" s="232"/>
      <c r="EG453" s="230"/>
      <c r="EH453" s="231"/>
      <c r="EI453" s="247"/>
      <c r="EJ453" s="247"/>
      <c r="EK453" s="216"/>
      <c r="EL453" s="309"/>
      <c r="EM453" s="45"/>
      <c r="EN453" s="79"/>
      <c r="EO453" s="247"/>
      <c r="EP453" s="45"/>
      <c r="ER453" s="216"/>
      <c r="ES453" s="45"/>
      <c r="ET453" s="247"/>
      <c r="EU453" s="239"/>
      <c r="EV453" s="240"/>
      <c r="EW453" s="240"/>
      <c r="EX453" s="240"/>
      <c r="EY453" s="240"/>
      <c r="EZ453" s="240"/>
      <c r="FA453" s="240"/>
      <c r="FB453" s="232"/>
      <c r="FC453" s="231"/>
      <c r="FD453" s="231"/>
      <c r="FE453" s="232"/>
      <c r="FF453" s="239"/>
      <c r="FG453" s="240"/>
      <c r="FH453" s="232"/>
      <c r="FI453" s="232"/>
      <c r="FJ453" s="230"/>
      <c r="FK453" s="231"/>
      <c r="FL453" s="247"/>
      <c r="FM453" s="247"/>
      <c r="FN453" s="216"/>
      <c r="FO453" s="309"/>
      <c r="FP453" s="45"/>
      <c r="FQ453" s="79"/>
      <c r="FR453" s="247"/>
      <c r="FS453" s="45"/>
      <c r="FU453" s="216"/>
      <c r="FV453" s="45"/>
      <c r="FW453" s="247"/>
      <c r="FX453" s="239"/>
      <c r="FY453" s="240"/>
      <c r="FZ453" s="240"/>
      <c r="GA453" s="240"/>
      <c r="GB453" s="240"/>
      <c r="GC453" s="240"/>
      <c r="GD453" s="240"/>
      <c r="GE453" s="232"/>
      <c r="GF453" s="231"/>
      <c r="GG453" s="231"/>
      <c r="GH453" s="232"/>
      <c r="GI453" s="239"/>
      <c r="GJ453" s="240"/>
      <c r="GK453" s="232"/>
      <c r="GL453" s="232"/>
      <c r="GM453" s="230"/>
      <c r="GN453" s="231"/>
      <c r="GO453" s="247"/>
      <c r="GP453" s="247"/>
      <c r="GQ453" s="216"/>
      <c r="GR453" s="309"/>
      <c r="GS453" s="45"/>
      <c r="GT453" s="79"/>
      <c r="GU453" s="247"/>
      <c r="GV453" s="45"/>
      <c r="GX453" s="216"/>
      <c r="GY453" s="45"/>
      <c r="GZ453" s="247"/>
      <c r="HA453" s="239"/>
      <c r="HB453" s="240"/>
      <c r="HC453" s="240"/>
      <c r="HD453" s="240"/>
      <c r="HE453" s="240"/>
      <c r="HF453" s="240"/>
      <c r="HG453" s="240"/>
      <c r="HH453" s="232"/>
      <c r="HI453" s="231"/>
      <c r="HJ453" s="231"/>
      <c r="HK453" s="232"/>
      <c r="HL453" s="239"/>
      <c r="HM453" s="240"/>
      <c r="HN453" s="232"/>
      <c r="HO453" s="232"/>
      <c r="HP453" s="230"/>
      <c r="HQ453" s="231"/>
      <c r="HR453" s="247"/>
      <c r="HS453" s="247"/>
      <c r="HT453" s="216"/>
      <c r="HU453" s="309"/>
      <c r="HV453" s="45"/>
      <c r="HW453" s="79"/>
      <c r="HX453" s="247"/>
      <c r="HY453" s="45"/>
      <c r="IA453" s="216"/>
      <c r="IB453" s="45"/>
      <c r="IC453" s="247"/>
      <c r="ID453" s="239"/>
      <c r="IE453" s="240"/>
      <c r="IF453" s="240"/>
      <c r="IG453" s="240"/>
      <c r="IH453" s="240"/>
      <c r="II453" s="240"/>
      <c r="IJ453" s="240"/>
      <c r="IK453" s="232"/>
      <c r="IL453" s="231"/>
      <c r="IM453" s="231"/>
      <c r="IN453" s="232"/>
      <c r="IO453" s="239"/>
      <c r="IP453" s="240"/>
      <c r="IQ453" s="232"/>
      <c r="IR453" s="232"/>
      <c r="IS453" s="230"/>
      <c r="IT453" s="231"/>
      <c r="IU453" s="247"/>
      <c r="IV453" s="247"/>
      <c r="IW453" s="216"/>
      <c r="IX453" s="309"/>
      <c r="IY453" s="45"/>
      <c r="IZ453" s="79"/>
      <c r="JA453" s="247"/>
      <c r="JB453" s="45"/>
      <c r="JE453" s="148"/>
    </row>
    <row r="454" spans="2:265" hidden="1" outlineLevel="1" collapsed="1">
      <c r="B454" s="134" t="s">
        <v>324</v>
      </c>
      <c r="C454" s="307" t="s">
        <v>281</v>
      </c>
      <c r="D454" s="84" t="s">
        <v>279</v>
      </c>
      <c r="E454" s="84" t="s">
        <v>280</v>
      </c>
      <c r="Y454" s="251"/>
      <c r="Z454" s="197"/>
      <c r="AF454" s="83" t="s">
        <v>281</v>
      </c>
      <c r="AG454" s="84" t="s">
        <v>279</v>
      </c>
      <c r="AH454" s="84" t="s">
        <v>280</v>
      </c>
      <c r="BB454" s="197"/>
      <c r="BC454" s="197"/>
      <c r="BI454" s="307" t="s">
        <v>281</v>
      </c>
      <c r="BJ454" s="308" t="s">
        <v>279</v>
      </c>
      <c r="BK454" s="308" t="s">
        <v>280</v>
      </c>
      <c r="CE454" s="251"/>
      <c r="CF454" s="251"/>
      <c r="CL454" s="307" t="s">
        <v>281</v>
      </c>
      <c r="CM454" s="308" t="s">
        <v>279</v>
      </c>
      <c r="CN454" s="308" t="s">
        <v>280</v>
      </c>
      <c r="DH454" s="251"/>
      <c r="DI454" s="251"/>
      <c r="DO454" s="307" t="s">
        <v>281</v>
      </c>
      <c r="DP454" s="308" t="s">
        <v>279</v>
      </c>
      <c r="DQ454" s="308" t="s">
        <v>280</v>
      </c>
      <c r="EK454" s="251"/>
      <c r="EL454" s="251"/>
      <c r="ER454" s="307" t="s">
        <v>281</v>
      </c>
      <c r="ES454" s="308" t="s">
        <v>279</v>
      </c>
      <c r="ET454" s="308" t="s">
        <v>280</v>
      </c>
      <c r="FN454" s="251"/>
      <c r="FO454" s="251"/>
      <c r="FU454" s="307" t="s">
        <v>281</v>
      </c>
      <c r="FV454" s="308" t="s">
        <v>279</v>
      </c>
      <c r="FW454" s="308" t="s">
        <v>280</v>
      </c>
      <c r="GQ454" s="251"/>
      <c r="GR454" s="251"/>
      <c r="GX454" s="307" t="s">
        <v>281</v>
      </c>
      <c r="GY454" s="308" t="s">
        <v>279</v>
      </c>
      <c r="GZ454" s="308" t="s">
        <v>280</v>
      </c>
      <c r="HT454" s="251"/>
      <c r="HU454" s="251"/>
      <c r="IA454" s="307" t="s">
        <v>281</v>
      </c>
      <c r="IB454" s="308" t="s">
        <v>279</v>
      </c>
      <c r="IC454" s="308" t="s">
        <v>280</v>
      </c>
      <c r="IW454" s="251"/>
      <c r="IX454" s="251"/>
      <c r="JE454" s="148"/>
    </row>
    <row r="455" spans="2:265" hidden="1" outlineLevel="2">
      <c r="B455" s="148">
        <v>1</v>
      </c>
      <c r="C455" s="321" t="e">
        <f>VLOOKUP(AF455,Attribute!C:T,1,FALSE)</f>
        <v>#N/A</v>
      </c>
      <c r="D455" s="186" t="s">
        <v>95</v>
      </c>
      <c r="E455" s="182" t="s">
        <v>132</v>
      </c>
      <c r="F455" s="17">
        <f>Konvention_1master-MUmaster</f>
        <v>12</v>
      </c>
      <c r="G455" s="183">
        <f>Konvention_1master-KLmaster</f>
        <v>12</v>
      </c>
      <c r="H455" s="183">
        <f>Konvention_1master-INmaster</f>
        <v>12</v>
      </c>
      <c r="I455" s="183"/>
      <c r="J455" s="183"/>
      <c r="K455" s="183"/>
      <c r="L455" s="183"/>
      <c r="M455" s="180"/>
      <c r="N455" s="231">
        <f>(F455+G455+H455+I455+J455+K455+L455+M455)/3</f>
        <v>12</v>
      </c>
      <c r="O455" s="231">
        <f>2*N455</f>
        <v>24</v>
      </c>
      <c r="P455" s="232">
        <f>3*N455</f>
        <v>36</v>
      </c>
      <c r="Q455" s="239">
        <f>F455*POWER(KLmaster,SIGN(G455))*POWER(INmaster,SIGN(H455))*POWER(CHmaster,SIGN(I455))*POWER(FFmaster,SIGN(J455))*POWER(GEmaster,SIGN(K455))*POWER(KOmaster,SIGN(L455))*POWER(KKmaster,SIGN(M455))+G455*POWER(MUmaster,SIGN(F455))*POWER(INmaster,SIGN(H455))*POWER(CHmaster,SIGN(I455))*POWER(FFmaster,SIGN(J455))*POWER(GEmaster,SIGN(K455))*POWER(KOmaster,SIGN(L455))*POWER(KKmaster,SIGN(M455))+H455*POWER(MUmaster,SIGN(F455))*POWER(KLmaster,SIGN(G455))*POWER(CHmaster,SIGN(I455))*POWER(FFmaster,SIGN(J455))*POWER(GEmaster,SIGN(K455))*POWER(KOmaster,SIGN(L455))*POWER(KKmaster,SIGN(M455))+I455*POWER(MUmaster,SIGN(F455))*POWER(KLmaster,SIGN(G455))*POWER(INmaster,SIGN(H455))*POWER(FFmaster,SIGN(J455))*POWER(GEmaster,SIGN(K455))*POWER(KOmaster,SIGN(L455))*POWER(KKmaster,SIGN(M455))+J455*POWER(MUmaster,SIGN(F455))*POWER(KLmaster,SIGN(G455))*POWER(INmaster,SIGN(H455))*POWER(CHmaster,SIGN(I455))*POWER(GEmaster,SIGN(K455))*POWER(KOmaster,SIGN(L455))*POWER(KKmaster,SIGN(M455))+K455*POWER(MUmaster,SIGN(F455))*POWER(KLmaster,SIGN(G455))*POWER(INmaster,SIGN(H455))*POWER(CHmaster,SIGN(I455))*POWER(FFmaster,SIGN(J455))*POWER(KOmaster,SIGN(L455))*POWER(KKmaster,SIGN(M455))+L455*POWER(MUmaster,SIGN(F455))*POWER(KLmaster,SIGN(G455))*POWER(INmaster,SIGN(H455))*POWER(CHmaster,SIGN(I455))*POWER(FFmaster,SIGN(J455))*POWER(GEmaster,SIGN(K455))*POWER(KKmaster,SIGN(M455))+M455*POWER(MUmaster,SIGN(F455))*POWER(KLmaster,SIGN(G455))*POWER(INmaster,SIGN(H455))*POWER(CHmaster,SIGN(I455))*POWER(FFmaster,SIGN(J455))*POWER(GEmaster,SIGN(K455))*POWER(KOmaster,SIGN(L455))</f>
        <v>2304</v>
      </c>
      <c r="R455" s="183">
        <f>F455*G455*INmaster+F455*KLmaster*H455+MUmaster*G455*H455</f>
        <v>3456</v>
      </c>
      <c r="S455" s="232">
        <f>IFERROR(F455^SIGN(F455),1)*IFERROR(G455^SIGN(G455),1)*IFERROR(H455^SIGN(H455),1)*IFERROR(I455^SIGN(I455),1)*IFERROR(J455^SIGN(J455),1)*IFERROR(K455^SIGN(K455),1)*IFERROR(L455^SIGN(L455),1)*IFERROR(M455^SIGN(M455),1)</f>
        <v>1728</v>
      </c>
      <c r="T455" s="232">
        <f>SUM(Q455:S455)</f>
        <v>7488</v>
      </c>
      <c r="U455" s="230">
        <f>N455*Q455/T455</f>
        <v>3.6923076923076925</v>
      </c>
      <c r="V455" s="231">
        <f>O455*R455/T455</f>
        <v>11.076923076923077</v>
      </c>
      <c r="W455" s="247">
        <f>P455*S455/T455</f>
        <v>8.3076923076923084</v>
      </c>
      <c r="X455" s="247">
        <f>SUM(U455:W455)</f>
        <v>23.07692307692308</v>
      </c>
      <c r="Y455" s="252">
        <v>0</v>
      </c>
      <c r="Z455" s="198">
        <f>X455-Y455</f>
        <v>23.07692307692308</v>
      </c>
      <c r="AA455" s="40">
        <f>IF(X455&lt;=0,2,0)+IF(X455&gt;0,X455+1,0)*2+IF(X455&gt;12,X455-12,0)*2+IF(X455&gt;13,X455-13,0)*2+IF(X455&gt;14,X455-14,0)*2+IF(X455&gt;15,X455-15,0)*2+IF(X455&gt;16,X455-16,0)*2+IF(X455&gt;17,X455-17,0)*2+IF(X455&gt;18,X455-18,0)*2+IF(X455&gt;19,X455-19,0)*2+IF(X455&gt;20,X455-20,0)*2</f>
        <v>175.5384615384616</v>
      </c>
      <c r="AB455" s="189">
        <f>IF(Y455&lt;=0,2,0)+IF(Y455&gt;0,Y455+1,0)*2+IF(Y455&gt;12,Y455-12,0)*2+IF(Y455&gt;13,Y455-13,0)*2+IF(Y455&gt;14,Y455-14,0)*2+IF(Y455&gt;15,Y455-15,0)*2+IF(Y455&gt;16,Y455-16,0)*2+IF(Y455&gt;17,Y455-17,0)*2+IF(Y455&gt;18,Y455-18,0)*2+IF(Y455&gt;19,Y455-19,0)*2+IF(Y455&gt;20,Y455-20,0)*2</f>
        <v>2</v>
      </c>
      <c r="AC455" s="182">
        <f>IF((AA455-AB455)&gt;0,AA455-AB455,0)</f>
        <v>173.5384615384616</v>
      </c>
      <c r="AD455" s="40">
        <f>IF((AB455-AA455)&gt;0,AB455-AA455,0)</f>
        <v>0</v>
      </c>
      <c r="AF455" s="181" t="s">
        <v>270</v>
      </c>
      <c r="AG455" s="40" t="s">
        <v>95</v>
      </c>
      <c r="AH455" s="182" t="s">
        <v>132</v>
      </c>
      <c r="AI455" s="17">
        <f>Konvention_1slave-MUslave_MU</f>
        <v>11</v>
      </c>
      <c r="AJ455" s="183">
        <f>Konvention_1slave-KLslave</f>
        <v>12</v>
      </c>
      <c r="AK455" s="183">
        <f>Konvention_1slave-INslave</f>
        <v>12</v>
      </c>
      <c r="AL455" s="183"/>
      <c r="AM455" s="183"/>
      <c r="AN455" s="183"/>
      <c r="AO455" s="183"/>
      <c r="AP455" s="180"/>
      <c r="AQ455" s="179">
        <f>(AI455+AJ455+AK455+AL455+AM455+AN455+AO455+AP455)/3</f>
        <v>11.666666666666666</v>
      </c>
      <c r="AR455" s="179">
        <f>2*AQ455</f>
        <v>23.333333333333332</v>
      </c>
      <c r="AS455" s="180">
        <f>3*AQ455</f>
        <v>35</v>
      </c>
      <c r="AT455" s="17">
        <f>AI455*POWER(KLslave,SIGN(AJ455))*POWER(INslave,SIGN(AK455))*POWER(CHslave,SIGN(AL455))*POWER(FFslave,SIGN(AM455))*POWER(GEslave,SIGN(AN455))*POWER(KOslave,SIGN(AO455))*POWER(KKslave,SIGN(AP455))+AJ455*POWER(MUslave_MU,SIGN(AI455))*POWER(INslave,SIGN(AK455))*POWER(CHslave,SIGN(AL455))*POWER(FFslave,SIGN(AM455))*POWER(GEslave,SIGN(AN455))*POWER(KOslave,SIGN(AO455))*POWER(KKslave,SIGN(AP455))+AK455*POWER(MUslave_MU,SIGN(AI455))*POWER(KLslave,SIGN(AJ455))*POWER(CHslave,SIGN(AL455))*POWER(FFslave,SIGN(AM455))*POWER(GEslave,SIGN(AN455))*POWER(KOslave,SIGN(AO455))*POWER(KKslave,SIGN(AP455))+AL455*POWER(MUslave_MU,SIGN(AI455))*POWER(KLslave,SIGN(AJ455))*POWER(INslave,SIGN(AK455))*POWER(FFslave,SIGN(AM455))*POWER(GEslave,SIGN(AN455))*POWER(KOslave,SIGN(AO455))*POWER(KKslave,SIGN(AP455))+AM455*POWER(MUslave_MU,SIGN(AI455))*POWER(KLslave,SIGN(AJ455))*POWER(INslave,SIGN(AK455))*POWER(CHslave,SIGN(AL455))*POWER(GEslave,SIGN(AN455))*POWER(KOslave,SIGN(AO455))*POWER(KKslave,SIGN(AP455))+AN455*POWER(MUslave_MU,SIGN(AI455))*POWER(KLslave,SIGN(AJ455))*POWER(INslave,SIGN(AK455))*POWER(CHslave,SIGN(AL455))*POWER(FFslave,SIGN(AM455))*POWER(KOslave,SIGN(AO455))*POWER(KKslave,SIGN(AP455))+AO455*POWER(MUslave_MU,SIGN(AI455))*POWER(KLslave,SIGN(AJ455))*POWER(INslave,SIGN(AK455))*POWER(CHslave,SIGN(AL455))*POWER(FFslave,SIGN(AM455))*POWER(GEslave,SIGN(AN455))*POWER(KKslave,SIGN(AP455))+AP455*POWER(MUslave_MU,SIGN(AI455))*POWER(KLslave,SIGN(AJ455))*POWER(INslave,SIGN(AK455))*POWER(CHslave,SIGN(AL455))*POWER(FFslave,SIGN(AM455))*POWER(GEslave,SIGN(AN455))*POWER(KOslave,SIGN(AO455))</f>
        <v>2432</v>
      </c>
      <c r="AU455" s="183">
        <f>AI455*AJ455*INslave+AI455*KLslave*AK455+MUslave_MU*AJ455*AK455</f>
        <v>3408</v>
      </c>
      <c r="AV455" s="180">
        <f>IFERROR(AI455^SIGN(AI455),1)*IFERROR(AJ455^SIGN(AJ455),1)*IFERROR(AK455^SIGN(AK455),1)*IFERROR(AL455^SIGN(AL455),1)*IFERROR(AM455^SIGN(AM455),1)*IFERROR(AN455^SIGN(AN455),1)*IFERROR(AO455^SIGN(AO455),1)*IFERROR(AP455^SIGN(AP455),1)</f>
        <v>1584</v>
      </c>
      <c r="AW455" s="180">
        <f>SUM(AT455:AV455)</f>
        <v>7424</v>
      </c>
      <c r="AX455" s="166">
        <f>AQ455*AT455/AW455</f>
        <v>3.8218390804597702</v>
      </c>
      <c r="AY455" s="179">
        <f>AR455*AU455/AW455</f>
        <v>10.711206896551724</v>
      </c>
      <c r="AZ455" s="182">
        <f>AS455*AV455/AW455</f>
        <v>7.4676724137931032</v>
      </c>
      <c r="BA455" s="182">
        <f>SUM(AX455:AZ455)</f>
        <v>22.000718390804597</v>
      </c>
      <c r="BB455" s="165">
        <f t="shared" ref="BB455" si="4766">Y455</f>
        <v>0</v>
      </c>
      <c r="BC455" s="198">
        <f>BA455-BB455</f>
        <v>22.000718390804597</v>
      </c>
      <c r="BD455" s="40">
        <f>IF(BA455&lt;=0,2,0)+IF(BA455&gt;0,BA455+1,0)*2+IF(BA455&gt;12,BA455-12,0)*2+IF(BA455&gt;13,BA455-13,0)*2+IF(BA455&gt;14,BA455-14,0)*2+IF(BA455&gt;15,BA455-15,0)*2+IF(BA455&gt;16,BA455-16,0)*2+IF(BA455&gt;17,BA455-17,0)*2+IF(BA455&gt;18,BA455-18,0)*2+IF(BA455&gt;19,BA455-19,0)*2+IF(BA455&gt;20,BA455-20,0)*2</f>
        <v>154.01436781609189</v>
      </c>
      <c r="BE455" s="189">
        <f>IF(BB455&lt;=0,2,0)+IF(BB455&gt;0,BB455+1,0)*2+IF(BB455&gt;12,BB455-12,0)*2+IF(BB455&gt;13,BB455-13,0)*2+IF(BB455&gt;14,BB455-14,0)*2+IF(BB455&gt;15,BB455-15,0)*2+IF(BB455&gt;16,BB455-16,0)*2+IF(BB455&gt;17,BB455-17,0)*2+IF(BB455&gt;18,BB455-18,0)*2+IF(BB455&gt;19,BB455-19,0)*2+IF(BB455&gt;20,BB455-20,0)*2</f>
        <v>2</v>
      </c>
      <c r="BF455" s="247">
        <f>IF((BD455-BE455)&gt;0,BD455-BE455,0)</f>
        <v>152.01436781609189</v>
      </c>
      <c r="BG455" s="45">
        <f>IF((BE455-BD455)&gt;0,BE455-BD455,0)</f>
        <v>0</v>
      </c>
      <c r="BI455" s="321" t="s">
        <v>270</v>
      </c>
      <c r="BJ455" s="45" t="s">
        <v>95</v>
      </c>
      <c r="BK455" s="247" t="s">
        <v>132</v>
      </c>
      <c r="BL455" s="239">
        <f>Konvention_1slave-MUslave</f>
        <v>12</v>
      </c>
      <c r="BM455" s="240">
        <f>Konvention_1slave-KLslave_KL</f>
        <v>11</v>
      </c>
      <c r="BN455" s="240">
        <f>Konvention_1slave-INslave</f>
        <v>12</v>
      </c>
      <c r="BO455" s="240"/>
      <c r="BP455" s="240"/>
      <c r="BQ455" s="240"/>
      <c r="BR455" s="240"/>
      <c r="BS455" s="232"/>
      <c r="BT455" s="231">
        <f>(BL455+BM455+BN455+BO455+BP455+BQ455+BR455+BS455)/3</f>
        <v>11.666666666666666</v>
      </c>
      <c r="BU455" s="231">
        <f>2*BT455</f>
        <v>23.333333333333332</v>
      </c>
      <c r="BV455" s="232">
        <f>3*BT455</f>
        <v>35</v>
      </c>
      <c r="BW455" s="239">
        <f>BL455*POWER(KLslave_KL,SIGN(BM455))*POWER(INslave,SIGN(BN455))*POWER(CHslave,SIGN(BO455))*POWER(FFslave,SIGN(BP455))*POWER(GEslave,SIGN(BQ455))*POWER(KOslave,SIGN(BR455))*POWER(KKslave,SIGN(BS455))+BM455*POWER(MUslave,SIGN(BL455))*POWER(INslave,SIGN(BN455))*POWER(CHslave,SIGN(BO455))*POWER(FFslave,SIGN(BP455))*POWER(GEslave,SIGN(BQ455))*POWER(KOslave,SIGN(BR455))*POWER(KKslave,SIGN(BS455))+BN455*POWER(MUslave,SIGN(BL455))*POWER(KLslave_KL,SIGN(BM455))*POWER(CHslave,SIGN(BO455))*POWER(FFslave,SIGN(BP455))*POWER(GEslave,SIGN(BQ455))*POWER(KOslave,SIGN(BR455))*POWER(KKslave,SIGN(BS455))+BO455*POWER(MUslave,SIGN(BL455))*POWER(KLslave_KL,SIGN(BM455))*POWER(INslave,SIGN(BN455))*POWER(FFslave,SIGN(BP455))*POWER(GEslave,SIGN(BQ455))*POWER(KOslave,SIGN(BR455))*POWER(KKslave,SIGN(BS455))+BP455*POWER(MUslave,SIGN(BL455))*POWER(KLslave_KL,SIGN(BM455))*POWER(INslave,SIGN(BN455))*POWER(CHslave,SIGN(BO455))*POWER(GEslave,SIGN(BQ455))*POWER(KOslave,SIGN(BR455))*POWER(KKslave,SIGN(BS455))+BQ455*POWER(MUslave,SIGN(BL455))*POWER(KLslave_KL,SIGN(BM455))*POWER(INslave,SIGN(BN455))*POWER(CHslave,SIGN(BO455))*POWER(FFslave,SIGN(BP455))*POWER(KOslave,SIGN(BR455))*POWER(KKslave,SIGN(BS455))+BR455*POWER(MUslave,SIGN(BL455))*POWER(KLslave_KL,SIGN(BM455))*POWER(INslave,SIGN(BN455))*POWER(CHslave,SIGN(BO455))*POWER(FFslave,SIGN(BP455))*POWER(GEslave,SIGN(BQ455))*POWER(KKslave,SIGN(BS455))+BS455*POWER(MUslave,SIGN(BL455))*POWER(KLslave_KL,SIGN(BM455))*POWER(INslave,SIGN(BN455))*POWER(CHslave,SIGN(BO455))*POWER(FFslave,SIGN(BP455))*POWER(GEslave,SIGN(BQ455))*POWER(KOslave,SIGN(BR455))</f>
        <v>2432</v>
      </c>
      <c r="BX455" s="240">
        <f>BL455*BM455*INslave+BL455*KLslave_KL*BN455+MUslave*BM455*BN455</f>
        <v>3408</v>
      </c>
      <c r="BY455" s="232">
        <f>IFERROR(BL455^SIGN(BL455),1)*IFERROR(BM455^SIGN(BM455),1)*IFERROR(BN455^SIGN(BN455),1)*IFERROR(BO455^SIGN(BO455),1)*IFERROR(BP455^SIGN(BP455),1)*IFERROR(BQ455^SIGN(BQ455),1)*IFERROR(BR455^SIGN(BR455),1)*IFERROR(BS455^SIGN(BS455),1)</f>
        <v>1584</v>
      </c>
      <c r="BZ455" s="232">
        <f>SUM(BW455:BY455)</f>
        <v>7424</v>
      </c>
      <c r="CA455" s="230">
        <f>BT455*BW455/BZ455</f>
        <v>3.8218390804597702</v>
      </c>
      <c r="CB455" s="231">
        <f>BU455*BX455/BZ455</f>
        <v>10.711206896551724</v>
      </c>
      <c r="CC455" s="247">
        <f>BV455*BY455/BZ455</f>
        <v>7.4676724137931032</v>
      </c>
      <c r="CD455" s="247">
        <f>SUM(CA455:CC455)</f>
        <v>22.000718390804597</v>
      </c>
      <c r="CE455" s="252">
        <f t="shared" ref="CE455" si="4767">BB455</f>
        <v>0</v>
      </c>
      <c r="CF455" s="309">
        <f>CD455-CE455</f>
        <v>22.000718390804597</v>
      </c>
      <c r="CG455" s="45">
        <f>IF(CD455&lt;=0,2,0)+IF(CD455&gt;0,CD455+1,0)*2+IF(CD455&gt;12,CD455-12,0)*2+IF(CD455&gt;13,CD455-13,0)*2+IF(CD455&gt;14,CD455-14,0)*2+IF(CD455&gt;15,CD455-15,0)*2+IF(CD455&gt;16,CD455-16,0)*2+IF(CD455&gt;17,CD455-17,0)*2+IF(CD455&gt;18,CD455-18,0)*2+IF(CD455&gt;19,CD455-19,0)*2+IF(CD455&gt;20,CD455-20,0)*2</f>
        <v>154.01436781609189</v>
      </c>
      <c r="CH455" s="79">
        <f>IF(CE455&lt;=0,2,0)+IF(CE455&gt;0,CE455+1,0)*2+IF(CE455&gt;12,CE455-12,0)*2+IF(CE455&gt;13,CE455-13,0)*2+IF(CE455&gt;14,CE455-14,0)*2+IF(CE455&gt;15,CE455-15,0)*2+IF(CE455&gt;16,CE455-16,0)*2+IF(CE455&gt;17,CE455-17,0)*2+IF(CE455&gt;18,CE455-18,0)*2+IF(CE455&gt;19,CE455-19,0)*2+IF(CE455&gt;20,CE455-20,0)*2</f>
        <v>2</v>
      </c>
      <c r="CI455" s="247">
        <f>IF((CG455-CH455)&gt;0,CG455-CH455,0)</f>
        <v>152.01436781609189</v>
      </c>
      <c r="CJ455" s="45">
        <f>IF((CH455-CG455)&gt;0,CH455-CG455,0)</f>
        <v>0</v>
      </c>
      <c r="CL455" s="321" t="s">
        <v>270</v>
      </c>
      <c r="CM455" s="45" t="s">
        <v>95</v>
      </c>
      <c r="CN455" s="247" t="s">
        <v>132</v>
      </c>
      <c r="CO455" s="239">
        <f>Konvention_1slave-MUslave</f>
        <v>12</v>
      </c>
      <c r="CP455" s="240">
        <f>Konvention_1slave-KLslave</f>
        <v>12</v>
      </c>
      <c r="CQ455" s="240">
        <f>Konvention_1slave-INslave_IN</f>
        <v>11</v>
      </c>
      <c r="CR455" s="240"/>
      <c r="CS455" s="240"/>
      <c r="CT455" s="240"/>
      <c r="CU455" s="240"/>
      <c r="CV455" s="232"/>
      <c r="CW455" s="231">
        <f>(CO455+CP455+CQ455+CR455+CS455+CT455+CU455+CV455)/3</f>
        <v>11.666666666666666</v>
      </c>
      <c r="CX455" s="231">
        <f>2*CW455</f>
        <v>23.333333333333332</v>
      </c>
      <c r="CY455" s="232">
        <f>3*CW455</f>
        <v>35</v>
      </c>
      <c r="CZ455" s="239">
        <f>CO455*POWER(KLslave,SIGN(CP455))*POWER(INslave_IN,SIGN(CQ455))*POWER(CHslave,SIGN(CR455))*POWER(FFslave,SIGN(CS455))*POWER(GEslave,SIGN(CT455))*POWER(KOslave,SIGN(CU455))*POWER(KKslave,SIGN(CV455))+CP455*POWER(MUslave,SIGN(CO455))*POWER(INslave_IN,SIGN(CQ455))*POWER(CHslave,SIGN(CR455))*POWER(FFslave,SIGN(CS455))*POWER(GEslave,SIGN(CT455))*POWER(KOslave,SIGN(CU455))*POWER(KKslave,SIGN(CV455))+CQ455*POWER(MUslave,SIGN(CO455))*POWER(KLslave,SIGN(CP455))*POWER(CHslave,SIGN(CR455))*POWER(FFslave,SIGN(CS455))*POWER(GEslave,SIGN(CT455))*POWER(KOslave,SIGN(CU455))*POWER(KKslave,SIGN(CV455))+CR455*POWER(MUslave,SIGN(CO455))*POWER(KLslave,SIGN(CP455))*POWER(INslave_IN,SIGN(CQ455))*POWER(FFslave,SIGN(CS455))*POWER(GEslave,SIGN(CT455))*POWER(KOslave,SIGN(CU455))*POWER(KKslave,SIGN(CV455))+CS455*POWER(MUslave,SIGN(CO455))*POWER(KLslave,SIGN(CP455))*POWER(INslave_IN,SIGN(CQ455))*POWER(CHslave,SIGN(CR455))*POWER(GEslave,SIGN(CT455))*POWER(KOslave,SIGN(CU455))*POWER(KKslave,SIGN(CV455))+CT455*POWER(MUslave,SIGN(CO455))*POWER(KLslave,SIGN(CP455))*POWER(INslave_IN,SIGN(CQ455))*POWER(CHslave,SIGN(CR455))*POWER(FFslave,SIGN(CS455))*POWER(KOslave,SIGN(CU455))*POWER(KKslave,SIGN(CV455))+CU455*POWER(MUslave,SIGN(CO455))*POWER(KLslave,SIGN(CP455))*POWER(INslave_IN,SIGN(CQ455))*POWER(CHslave,SIGN(CR455))*POWER(FFslave,SIGN(CS455))*POWER(GEslave,SIGN(CT455))*POWER(KKslave,SIGN(CV455))+CV455*POWER(MUslave,SIGN(CO455))*POWER(KLslave,SIGN(CP455))*POWER(INslave_IN,SIGN(CQ455))*POWER(CHslave,SIGN(CR455))*POWER(FFslave,SIGN(CS455))*POWER(GEslave,SIGN(CT455))*POWER(KOslave,SIGN(CU455))</f>
        <v>2432</v>
      </c>
      <c r="DA455" s="240">
        <f>CO455*CP455*INslave_IN+CO455*KLslave*CQ455+MUslave*CP455*CQ455</f>
        <v>3408</v>
      </c>
      <c r="DB455" s="232">
        <f>IFERROR(CO455^SIGN(CO455),1)*IFERROR(CP455^SIGN(CP455),1)*IFERROR(CQ455^SIGN(CQ455),1)*IFERROR(CR455^SIGN(CR455),1)*IFERROR(CS455^SIGN(CS455),1)*IFERROR(CT455^SIGN(CT455),1)*IFERROR(CU455^SIGN(CU455),1)*IFERROR(CV455^SIGN(CV455),1)</f>
        <v>1584</v>
      </c>
      <c r="DC455" s="232">
        <f>SUM(CZ455:DB455)</f>
        <v>7424</v>
      </c>
      <c r="DD455" s="230">
        <f>CW455*CZ455/DC455</f>
        <v>3.8218390804597702</v>
      </c>
      <c r="DE455" s="231">
        <f>CX455*DA455/DC455</f>
        <v>10.711206896551724</v>
      </c>
      <c r="DF455" s="247">
        <f>CY455*DB455/DC455</f>
        <v>7.4676724137931032</v>
      </c>
      <c r="DG455" s="247">
        <f>SUM(DD455:DF455)</f>
        <v>22.000718390804597</v>
      </c>
      <c r="DH455" s="252">
        <f t="shared" ref="DH455" si="4768">CE455</f>
        <v>0</v>
      </c>
      <c r="DI455" s="309">
        <f>DG455-DH455</f>
        <v>22.000718390804597</v>
      </c>
      <c r="DJ455" s="45">
        <f>IF(DG455&lt;=0,2,0)+IF(DG455&gt;0,DG455+1,0)*2+IF(DG455&gt;12,DG455-12,0)*2+IF(DG455&gt;13,DG455-13,0)*2+IF(DG455&gt;14,DG455-14,0)*2+IF(DG455&gt;15,DG455-15,0)*2+IF(DG455&gt;16,DG455-16,0)*2+IF(DG455&gt;17,DG455-17,0)*2+IF(DG455&gt;18,DG455-18,0)*2+IF(DG455&gt;19,DG455-19,0)*2+IF(DG455&gt;20,DG455-20,0)*2</f>
        <v>154.01436781609189</v>
      </c>
      <c r="DK455" s="79">
        <f>IF(DH455&lt;=0,2,0)+IF(DH455&gt;0,DH455+1,0)*2+IF(DH455&gt;12,DH455-12,0)*2+IF(DH455&gt;13,DH455-13,0)*2+IF(DH455&gt;14,DH455-14,0)*2+IF(DH455&gt;15,DH455-15,0)*2+IF(DH455&gt;16,DH455-16,0)*2+IF(DH455&gt;17,DH455-17,0)*2+IF(DH455&gt;18,DH455-18,0)*2+IF(DH455&gt;19,DH455-19,0)*2+IF(DH455&gt;20,DH455-20,0)*2</f>
        <v>2</v>
      </c>
      <c r="DL455" s="247">
        <f>IF((DJ455-DK455)&gt;0,DJ455-DK455,0)</f>
        <v>152.01436781609189</v>
      </c>
      <c r="DM455" s="45">
        <f>IF((DK455-DJ455)&gt;0,DK455-DJ455,0)</f>
        <v>0</v>
      </c>
      <c r="DO455" s="321" t="s">
        <v>270</v>
      </c>
      <c r="DP455" s="45" t="s">
        <v>95</v>
      </c>
      <c r="DQ455" s="247" t="s">
        <v>132</v>
      </c>
      <c r="DR455" s="239">
        <f>Konvention_1slave-MUslave</f>
        <v>12</v>
      </c>
      <c r="DS455" s="240">
        <f>Konvention_1slave-KLslave</f>
        <v>12</v>
      </c>
      <c r="DT455" s="240">
        <f>Konvention_1slave-INslave</f>
        <v>12</v>
      </c>
      <c r="DU455" s="240"/>
      <c r="DV455" s="240"/>
      <c r="DW455" s="240"/>
      <c r="DX455" s="240"/>
      <c r="DY455" s="232"/>
      <c r="DZ455" s="231">
        <f>(DR455+DS455+DT455+DU455+DV455+DW455+DX455+DY455)/3</f>
        <v>12</v>
      </c>
      <c r="EA455" s="231">
        <f>2*DZ455</f>
        <v>24</v>
      </c>
      <c r="EB455" s="232">
        <f>3*DZ455</f>
        <v>36</v>
      </c>
      <c r="EC455" s="239">
        <f>DR455*POWER(KLslave,SIGN(DS455))*POWER(INslave,SIGN(DT455))*POWER(CHslave_CH,SIGN(DU455))*POWER(FFslave,SIGN(DV455))*POWER(GEslave,SIGN(DW455))*POWER(KOslave,SIGN(DX455))*POWER(KKslave,SIGN(DY455))+DS455*POWER(MUslave,SIGN(DR455))*POWER(INslave,SIGN(DT455))*POWER(CHslave_CH,SIGN(DU455))*POWER(FFslave,SIGN(DV455))*POWER(GEslave,SIGN(DW455))*POWER(KOslave,SIGN(DX455))*POWER(KKslave,SIGN(DY455))+DT455*POWER(MUslave,SIGN(DR455))*POWER(KLslave,SIGN(DS455))*POWER(CHslave_CH,SIGN(DU455))*POWER(FFslave,SIGN(DV455))*POWER(GEslave,SIGN(DW455))*POWER(KOslave,SIGN(DX455))*POWER(KKslave,SIGN(DY455))+DU455*POWER(MUslave,SIGN(DR455))*POWER(KLslave,SIGN(DS455))*POWER(INslave,SIGN(DT455))*POWER(FFslave,SIGN(DV455))*POWER(GEslave,SIGN(DW455))*POWER(KOslave,SIGN(DX455))*POWER(KKslave,SIGN(DY455))+DV455*POWER(MUslave,SIGN(DR455))*POWER(KLslave,SIGN(DS455))*POWER(INslave,SIGN(DT455))*POWER(CHslave_CH,SIGN(DU455))*POWER(GEslave,SIGN(DW455))*POWER(KOslave,SIGN(DX455))*POWER(KKslave,SIGN(DY455))+DW455*POWER(MUslave,SIGN(DR455))*POWER(KLslave,SIGN(DS455))*POWER(INslave,SIGN(DT455))*POWER(CHslave_CH,SIGN(DU455))*POWER(FFslave,SIGN(DV455))*POWER(KOslave,SIGN(DX455))*POWER(KKslave,SIGN(DY455))+DX455*POWER(MUslave,SIGN(DR455))*POWER(KLslave,SIGN(DS455))*POWER(INslave,SIGN(DT455))*POWER(CHslave_CH,SIGN(DU455))*POWER(FFslave,SIGN(DV455))*POWER(GEslave,SIGN(DW455))*POWER(KKslave,SIGN(DY455))+DY455*POWER(MUslave,SIGN(DR455))*POWER(KLslave,SIGN(DS455))*POWER(INslave,SIGN(DT455))*POWER(CHslave_CH,SIGN(DU455))*POWER(FFslave,SIGN(DV455))*POWER(GEslave,SIGN(DW455))*POWER(KOslave,SIGN(DX455))</f>
        <v>2304</v>
      </c>
      <c r="ED455" s="240">
        <f>DR455*DS455*INslave+DR455*KLslave*DT455+MUslave*DS455*DT455</f>
        <v>3456</v>
      </c>
      <c r="EE455" s="232">
        <f>IFERROR(DR455^SIGN(DR455),1)*IFERROR(DS455^SIGN(DS455),1)*IFERROR(DT455^SIGN(DT455),1)*IFERROR(DU455^SIGN(DU455),1)*IFERROR(DV455^SIGN(DV455),1)*IFERROR(DW455^SIGN(DW455),1)*IFERROR(DX455^SIGN(DX455),1)*IFERROR(DY455^SIGN(DY455),1)</f>
        <v>1728</v>
      </c>
      <c r="EF455" s="232">
        <f>SUM(EC455:EE455)</f>
        <v>7488</v>
      </c>
      <c r="EG455" s="230">
        <f>DZ455*EC455/EF455</f>
        <v>3.6923076923076925</v>
      </c>
      <c r="EH455" s="231">
        <f>EA455*ED455/EF455</f>
        <v>11.076923076923077</v>
      </c>
      <c r="EI455" s="247">
        <f>EB455*EE455/EF455</f>
        <v>8.3076923076923084</v>
      </c>
      <c r="EJ455" s="247">
        <f>SUM(EG455:EI455)</f>
        <v>23.07692307692308</v>
      </c>
      <c r="EK455" s="252">
        <f t="shared" ref="EK455" si="4769">DH455</f>
        <v>0</v>
      </c>
      <c r="EL455" s="309">
        <f>EJ455-EK455</f>
        <v>23.07692307692308</v>
      </c>
      <c r="EM455" s="45">
        <f>IF(EJ455&lt;=0,2,0)+IF(EJ455&gt;0,EJ455+1,0)*2+IF(EJ455&gt;12,EJ455-12,0)*2+IF(EJ455&gt;13,EJ455-13,0)*2+IF(EJ455&gt;14,EJ455-14,0)*2+IF(EJ455&gt;15,EJ455-15,0)*2+IF(EJ455&gt;16,EJ455-16,0)*2+IF(EJ455&gt;17,EJ455-17,0)*2+IF(EJ455&gt;18,EJ455-18,0)*2+IF(EJ455&gt;19,EJ455-19,0)*2+IF(EJ455&gt;20,EJ455-20,0)*2</f>
        <v>175.5384615384616</v>
      </c>
      <c r="EN455" s="79">
        <f>IF(EK455&lt;=0,2,0)+IF(EK455&gt;0,EK455+1,0)*2+IF(EK455&gt;12,EK455-12,0)*2+IF(EK455&gt;13,EK455-13,0)*2+IF(EK455&gt;14,EK455-14,0)*2+IF(EK455&gt;15,EK455-15,0)*2+IF(EK455&gt;16,EK455-16,0)*2+IF(EK455&gt;17,EK455-17,0)*2+IF(EK455&gt;18,EK455-18,0)*2+IF(EK455&gt;19,EK455-19,0)*2+IF(EK455&gt;20,EK455-20,0)*2</f>
        <v>2</v>
      </c>
      <c r="EO455" s="247">
        <f>IF((EM455-EN455)&gt;0,EM455-EN455,0)</f>
        <v>173.5384615384616</v>
      </c>
      <c r="EP455" s="45">
        <f>IF((EN455-EM455)&gt;0,EN455-EM455,0)</f>
        <v>0</v>
      </c>
      <c r="ER455" s="321" t="s">
        <v>270</v>
      </c>
      <c r="ES455" s="45" t="s">
        <v>95</v>
      </c>
      <c r="ET455" s="247" t="s">
        <v>132</v>
      </c>
      <c r="EU455" s="239">
        <f>Konvention_1slave-MUslave</f>
        <v>12</v>
      </c>
      <c r="EV455" s="240">
        <f>Konvention_1slave-KLslave</f>
        <v>12</v>
      </c>
      <c r="EW455" s="240">
        <f>Konvention_1slave-INslave</f>
        <v>12</v>
      </c>
      <c r="EX455" s="240"/>
      <c r="EY455" s="240"/>
      <c r="EZ455" s="240"/>
      <c r="FA455" s="240"/>
      <c r="FB455" s="232"/>
      <c r="FC455" s="231">
        <f>(EU455+EV455+EW455+EX455+EY455+EZ455+FA455+FB455)/3</f>
        <v>12</v>
      </c>
      <c r="FD455" s="231">
        <f>2*FC455</f>
        <v>24</v>
      </c>
      <c r="FE455" s="232">
        <f>3*FC455</f>
        <v>36</v>
      </c>
      <c r="FF455" s="239">
        <f>EU455*POWER(KLslave,SIGN(EV455))*POWER(INslave,SIGN(EW455))*POWER(CHslave,SIGN(EX455))*POWER(FFslave_FF,SIGN(EY455))*POWER(GEslave,SIGN(EZ455))*POWER(KOslave,SIGN(FA455))*POWER(KKslave,SIGN(FB455))+EV455*POWER(MUslave,SIGN(EU455))*POWER(INslave,SIGN(EW455))*POWER(CHslave,SIGN(EX455))*POWER(FFslave_FF,SIGN(EY455))*POWER(GEslave,SIGN(EZ455))*POWER(KOslave,SIGN(FA455))*POWER(KKslave,SIGN(FB455))+EW455*POWER(MUslave,SIGN(EU455))*POWER(KLslave,SIGN(EV455))*POWER(CHslave,SIGN(EX455))*POWER(FFslave_FF,SIGN(EY455))*POWER(GEslave,SIGN(EZ455))*POWER(KOslave,SIGN(FA455))*POWER(KKslave,SIGN(FB455))+EX455*POWER(MUslave,SIGN(EU455))*POWER(KLslave,SIGN(EV455))*POWER(INslave,SIGN(EW455))*POWER(FFslave_FF,SIGN(EY455))*POWER(GEslave,SIGN(EZ455))*POWER(KOslave,SIGN(FA455))*POWER(KKslave,SIGN(FB455))+EY455*POWER(MUslave,SIGN(EU455))*POWER(KLslave,SIGN(EV455))*POWER(INslave,SIGN(EW455))*POWER(CHslave,SIGN(EX455))*POWER(GEslave,SIGN(EZ455))*POWER(KOslave,SIGN(FA455))*POWER(KKslave,SIGN(FB455))+EZ455*POWER(MUslave,SIGN(EU455))*POWER(KLslave,SIGN(EV455))*POWER(INslave,SIGN(EW455))*POWER(CHslave,SIGN(EX455))*POWER(FFslave_FF,SIGN(EY455))*POWER(KOslave,SIGN(FA455))*POWER(KKslave,SIGN(FB455))+FA455*POWER(MUslave,SIGN(EU455))*POWER(KLslave,SIGN(EV455))*POWER(INslave,SIGN(EW455))*POWER(CHslave,SIGN(EX455))*POWER(FFslave_FF,SIGN(EY455))*POWER(GEslave,SIGN(EZ455))*POWER(KKslave,SIGN(FB455))+FB455*POWER(MUslave,SIGN(EU455))*POWER(KLslave,SIGN(EV455))*POWER(INslave,SIGN(EW455))*POWER(CHslave,SIGN(EX455))*POWER(FFslave_FF,SIGN(EY455))*POWER(GEslave,SIGN(EZ455))*POWER(KOslave,SIGN(FA455))</f>
        <v>2304</v>
      </c>
      <c r="FG455" s="240">
        <f>EU455*EV455*INslave+EU455*KLslave*EW455+MUslave*EV455*EW455</f>
        <v>3456</v>
      </c>
      <c r="FH455" s="232">
        <f>IFERROR(EU455^SIGN(EU455),1)*IFERROR(EV455^SIGN(EV455),1)*IFERROR(EW455^SIGN(EW455),1)*IFERROR(EX455^SIGN(EX455),1)*IFERROR(EY455^SIGN(EY455),1)*IFERROR(EZ455^SIGN(EZ455),1)*IFERROR(FA455^SIGN(FA455),1)*IFERROR(FB455^SIGN(FB455),1)</f>
        <v>1728</v>
      </c>
      <c r="FI455" s="232">
        <f>SUM(FF455:FH455)</f>
        <v>7488</v>
      </c>
      <c r="FJ455" s="230">
        <f>FC455*FF455/FI455</f>
        <v>3.6923076923076925</v>
      </c>
      <c r="FK455" s="231">
        <f>FD455*FG455/FI455</f>
        <v>11.076923076923077</v>
      </c>
      <c r="FL455" s="247">
        <f>FE455*FH455/FI455</f>
        <v>8.3076923076923084</v>
      </c>
      <c r="FM455" s="247">
        <f>SUM(FJ455:FL455)</f>
        <v>23.07692307692308</v>
      </c>
      <c r="FN455" s="252">
        <f t="shared" ref="FN455" si="4770">EK455</f>
        <v>0</v>
      </c>
      <c r="FO455" s="309">
        <f>FM455-FN455</f>
        <v>23.07692307692308</v>
      </c>
      <c r="FP455" s="45">
        <f>IF(FM455&lt;=0,2,0)+IF(FM455&gt;0,FM455+1,0)*2+IF(FM455&gt;12,FM455-12,0)*2+IF(FM455&gt;13,FM455-13,0)*2+IF(FM455&gt;14,FM455-14,0)*2+IF(FM455&gt;15,FM455-15,0)*2+IF(FM455&gt;16,FM455-16,0)*2+IF(FM455&gt;17,FM455-17,0)*2+IF(FM455&gt;18,FM455-18,0)*2+IF(FM455&gt;19,FM455-19,0)*2+IF(FM455&gt;20,FM455-20,0)*2</f>
        <v>175.5384615384616</v>
      </c>
      <c r="FQ455" s="79">
        <f>IF(FN455&lt;=0,2,0)+IF(FN455&gt;0,FN455+1,0)*2+IF(FN455&gt;12,FN455-12,0)*2+IF(FN455&gt;13,FN455-13,0)*2+IF(FN455&gt;14,FN455-14,0)*2+IF(FN455&gt;15,FN455-15,0)*2+IF(FN455&gt;16,FN455-16,0)*2+IF(FN455&gt;17,FN455-17,0)*2+IF(FN455&gt;18,FN455-18,0)*2+IF(FN455&gt;19,FN455-19,0)*2+IF(FN455&gt;20,FN455-20,0)*2</f>
        <v>2</v>
      </c>
      <c r="FR455" s="247">
        <f>IF((FP455-FQ455)&gt;0,FP455-FQ455,0)</f>
        <v>173.5384615384616</v>
      </c>
      <c r="FS455" s="45">
        <f>IF((FQ455-FP455)&gt;0,FQ455-FP455,0)</f>
        <v>0</v>
      </c>
      <c r="FU455" s="321" t="s">
        <v>270</v>
      </c>
      <c r="FV455" s="45" t="s">
        <v>95</v>
      </c>
      <c r="FW455" s="247" t="s">
        <v>132</v>
      </c>
      <c r="FX455" s="239">
        <f>Konvention_1slave-MUslave</f>
        <v>12</v>
      </c>
      <c r="FY455" s="240">
        <f>Konvention_1slave-KLslave</f>
        <v>12</v>
      </c>
      <c r="FZ455" s="240">
        <f>Konvention_1slave-INslave</f>
        <v>12</v>
      </c>
      <c r="GA455" s="240"/>
      <c r="GB455" s="240"/>
      <c r="GC455" s="240"/>
      <c r="GD455" s="240"/>
      <c r="GE455" s="232"/>
      <c r="GF455" s="231">
        <f>(FX455+FY455+FZ455+GA455+GB455+GC455+GD455+GE455)/3</f>
        <v>12</v>
      </c>
      <c r="GG455" s="231">
        <f>2*GF455</f>
        <v>24</v>
      </c>
      <c r="GH455" s="232">
        <f>3*GF455</f>
        <v>36</v>
      </c>
      <c r="GI455" s="239">
        <f>FX455*POWER(KLslave,SIGN(FY455))*POWER(INslave,SIGN(FZ455))*POWER(CHslave,SIGN(GA455))*POWER(FFslave,SIGN(GB455))*POWER(GEslave_GE,SIGN(GC455))*POWER(KOslave,SIGN(GD455))*POWER(KKslave,SIGN(GE455))+FY455*POWER(MUslave,SIGN(FX455))*POWER(INslave,SIGN(FZ455))*POWER(CHslave,SIGN(GA455))*POWER(FFslave,SIGN(GB455))*POWER(GEslave_GE,SIGN(GC455))*POWER(KOslave,SIGN(GD455))*POWER(KKslave,SIGN(GE455))+FZ455*POWER(MUslave,SIGN(FX455))*POWER(KLslave,SIGN(FY455))*POWER(CHslave,SIGN(GA455))*POWER(FFslave,SIGN(GB455))*POWER(GEslave_GE,SIGN(GC455))*POWER(KOslave,SIGN(GD455))*POWER(KKslave,SIGN(GE455))+GA455*POWER(MUslave,SIGN(FX455))*POWER(KLslave,SIGN(FY455))*POWER(INslave,SIGN(FZ455))*POWER(FFslave,SIGN(GB455))*POWER(GEslave_GE,SIGN(GC455))*POWER(KOslave,SIGN(GD455))*POWER(KKslave,SIGN(GE455))+GB455*POWER(MUslave,SIGN(FX455))*POWER(KLslave,SIGN(FY455))*POWER(INslave,SIGN(FZ455))*POWER(CHslave,SIGN(GA455))*POWER(GEslave_GE,SIGN(GC455))*POWER(KOslave,SIGN(GD455))*POWER(KKslave,SIGN(GE455))+GC455*POWER(MUslave,SIGN(FX455))*POWER(KLslave,SIGN(FY455))*POWER(INslave,SIGN(FZ455))*POWER(CHslave,SIGN(GA455))*POWER(FFslave,SIGN(GB455))*POWER(KOslave,SIGN(GD455))*POWER(KKslave,SIGN(GE455))+GD455*POWER(MUslave,SIGN(FX455))*POWER(KLslave,SIGN(FY455))*POWER(INslave,SIGN(FZ455))*POWER(CHslave,SIGN(GA455))*POWER(FFslave,SIGN(GB455))*POWER(GEslave_GE,SIGN(GC455))*POWER(KKslave,SIGN(GE455))+GE455*POWER(MUslave,SIGN(FX455))*POWER(KLslave,SIGN(FY455))*POWER(INslave,SIGN(FZ455))*POWER(CHslave,SIGN(GA455))*POWER(FFslave,SIGN(GB455))*POWER(GEslave_GE,SIGN(GC455))*POWER(KOslave,SIGN(GD455))</f>
        <v>2304</v>
      </c>
      <c r="GJ455" s="240">
        <f>FX455*FY455*INslave+FX455*KLslave*FZ455+MUslave*FY455*FZ455</f>
        <v>3456</v>
      </c>
      <c r="GK455" s="232">
        <f>IFERROR(FX455^SIGN(FX455),1)*IFERROR(FY455^SIGN(FY455),1)*IFERROR(FZ455^SIGN(FZ455),1)*IFERROR(GA455^SIGN(GA455),1)*IFERROR(GB455^SIGN(GB455),1)*IFERROR(GC455^SIGN(GC455),1)*IFERROR(GD455^SIGN(GD455),1)*IFERROR(GE455^SIGN(GE455),1)</f>
        <v>1728</v>
      </c>
      <c r="GL455" s="232">
        <f>SUM(GI455:GK455)</f>
        <v>7488</v>
      </c>
      <c r="GM455" s="230">
        <f>GF455*GI455/GL455</f>
        <v>3.6923076923076925</v>
      </c>
      <c r="GN455" s="231">
        <f>GG455*GJ455/GL455</f>
        <v>11.076923076923077</v>
      </c>
      <c r="GO455" s="247">
        <f>GH455*GK455/GL455</f>
        <v>8.3076923076923084</v>
      </c>
      <c r="GP455" s="247">
        <f>SUM(GM455:GO455)</f>
        <v>23.07692307692308</v>
      </c>
      <c r="GQ455" s="252">
        <f t="shared" ref="GQ455" si="4771">FN455</f>
        <v>0</v>
      </c>
      <c r="GR455" s="309">
        <f>GP455-GQ455</f>
        <v>23.07692307692308</v>
      </c>
      <c r="GS455" s="45">
        <f>IF(GP455&lt;=0,2,0)+IF(GP455&gt;0,GP455+1,0)*2+IF(GP455&gt;12,GP455-12,0)*2+IF(GP455&gt;13,GP455-13,0)*2+IF(GP455&gt;14,GP455-14,0)*2+IF(GP455&gt;15,GP455-15,0)*2+IF(GP455&gt;16,GP455-16,0)*2+IF(GP455&gt;17,GP455-17,0)*2+IF(GP455&gt;18,GP455-18,0)*2+IF(GP455&gt;19,GP455-19,0)*2+IF(GP455&gt;20,GP455-20,0)*2</f>
        <v>175.5384615384616</v>
      </c>
      <c r="GT455" s="79">
        <f>IF(GQ455&lt;=0,2,0)+IF(GQ455&gt;0,GQ455+1,0)*2+IF(GQ455&gt;12,GQ455-12,0)*2+IF(GQ455&gt;13,GQ455-13,0)*2+IF(GQ455&gt;14,GQ455-14,0)*2+IF(GQ455&gt;15,GQ455-15,0)*2+IF(GQ455&gt;16,GQ455-16,0)*2+IF(GQ455&gt;17,GQ455-17,0)*2+IF(GQ455&gt;18,GQ455-18,0)*2+IF(GQ455&gt;19,GQ455-19,0)*2+IF(GQ455&gt;20,GQ455-20,0)*2</f>
        <v>2</v>
      </c>
      <c r="GU455" s="247">
        <f>IF((GS455-GT455)&gt;0,GS455-GT455,0)</f>
        <v>173.5384615384616</v>
      </c>
      <c r="GV455" s="45">
        <f>IF((GT455-GS455)&gt;0,GT455-GS455,0)</f>
        <v>0</v>
      </c>
      <c r="GX455" s="321" t="s">
        <v>270</v>
      </c>
      <c r="GY455" s="45" t="s">
        <v>95</v>
      </c>
      <c r="GZ455" s="247" t="s">
        <v>132</v>
      </c>
      <c r="HA455" s="239">
        <f>Konvention_1slave-MUslave</f>
        <v>12</v>
      </c>
      <c r="HB455" s="240">
        <f>Konvention_1slave-KLslave</f>
        <v>12</v>
      </c>
      <c r="HC455" s="240">
        <f>Konvention_1slave-INslave</f>
        <v>12</v>
      </c>
      <c r="HD455" s="240"/>
      <c r="HE455" s="240"/>
      <c r="HF455" s="240"/>
      <c r="HG455" s="240"/>
      <c r="HH455" s="232"/>
      <c r="HI455" s="231">
        <f>(HA455+HB455+HC455+HD455+HE455+HF455+HG455+HH455)/3</f>
        <v>12</v>
      </c>
      <c r="HJ455" s="231">
        <f>2*HI455</f>
        <v>24</v>
      </c>
      <c r="HK455" s="232">
        <f>3*HI455</f>
        <v>36</v>
      </c>
      <c r="HL455" s="239">
        <f>HA455*POWER(KLslave,SIGN(HB455))*POWER(INslave,SIGN(HC455))*POWER(CHslave,SIGN(HD455))*POWER(FFslave,SIGN(HE455))*POWER(GEslave,SIGN(HF455))*POWER(KOslave_KO,SIGN(HG455))*POWER(KKslave,SIGN(HH455))+HB455*POWER(MUslave,SIGN(HA455))*POWER(INslave,SIGN(HC455))*POWER(CHslave,SIGN(HD455))*POWER(FFslave,SIGN(HE455))*POWER(GEslave,SIGN(HF455))*POWER(KOslave_KO,SIGN(HG455))*POWER(KKslave,SIGN(HH455))+HC455*POWER(MUslave,SIGN(HA455))*POWER(KLslave,SIGN(HB455))*POWER(CHslave,SIGN(HD455))*POWER(FFslave,SIGN(HE455))*POWER(GEslave,SIGN(HF455))*POWER(KOslave_KO,SIGN(HG455))*POWER(KKslave,SIGN(HH455))+HD455*POWER(MUslave,SIGN(HA455))*POWER(KLslave,SIGN(HB455))*POWER(INslave,SIGN(HC455))*POWER(FFslave,SIGN(HE455))*POWER(GEslave,SIGN(HF455))*POWER(KOslave_KO,SIGN(HG455))*POWER(KKslave,SIGN(HH455))+HE455*POWER(MUslave,SIGN(HA455))*POWER(KLslave,SIGN(HB455))*POWER(INslave,SIGN(HC455))*POWER(CHslave,SIGN(HD455))*POWER(GEslave,SIGN(HF455))*POWER(KOslave_KO,SIGN(HG455))*POWER(KKslave,SIGN(HH455))+HF455*POWER(MUslave,SIGN(HA455))*POWER(KLslave,SIGN(HB455))*POWER(INslave,SIGN(HC455))*POWER(CHslave,SIGN(HD455))*POWER(FFslave,SIGN(HE455))*POWER(KOslave_KO,SIGN(HG455))*POWER(KKslave,SIGN(HH455))+HG455*POWER(MUslave,SIGN(HA455))*POWER(KLslave,SIGN(HB455))*POWER(INslave,SIGN(HC455))*POWER(CHslave,SIGN(HD455))*POWER(FFslave,SIGN(HE455))*POWER(GEslave,SIGN(HF455))*POWER(KKslave,SIGN(HH455))+HH455*POWER(MUslave,SIGN(HA455))*POWER(KLslave,SIGN(HB455))*POWER(INslave,SIGN(HC455))*POWER(CHslave,SIGN(HD455))*POWER(FFslave,SIGN(HE455))*POWER(GEslave,SIGN(HF455))*POWER(KOslave_KO,SIGN(HG455))</f>
        <v>2304</v>
      </c>
      <c r="HM455" s="240">
        <f>HA455*HB455*INslave+HA455*KLslave*HC455+MUslave*HB455*HC455</f>
        <v>3456</v>
      </c>
      <c r="HN455" s="232">
        <f>IFERROR(HA455^SIGN(HA455),1)*IFERROR(HB455^SIGN(HB455),1)*IFERROR(HC455^SIGN(HC455),1)*IFERROR(HD455^SIGN(HD455),1)*IFERROR(HE455^SIGN(HE455),1)*IFERROR(HF455^SIGN(HF455),1)*IFERROR(HG455^SIGN(HG455),1)*IFERROR(HH455^SIGN(HH455),1)</f>
        <v>1728</v>
      </c>
      <c r="HO455" s="232">
        <f>SUM(HL455:HN455)</f>
        <v>7488</v>
      </c>
      <c r="HP455" s="230">
        <f>HI455*HL455/HO455</f>
        <v>3.6923076923076925</v>
      </c>
      <c r="HQ455" s="231">
        <f>HJ455*HM455/HO455</f>
        <v>11.076923076923077</v>
      </c>
      <c r="HR455" s="247">
        <f>HK455*HN455/HO455</f>
        <v>8.3076923076923084</v>
      </c>
      <c r="HS455" s="247">
        <f>SUM(HP455:HR455)</f>
        <v>23.07692307692308</v>
      </c>
      <c r="HT455" s="252">
        <f t="shared" ref="HT455" si="4772">GQ455</f>
        <v>0</v>
      </c>
      <c r="HU455" s="309">
        <f>HS455-HT455</f>
        <v>23.07692307692308</v>
      </c>
      <c r="HV455" s="45">
        <f>IF(HS455&lt;=0,2,0)+IF(HS455&gt;0,HS455+1,0)*2+IF(HS455&gt;12,HS455-12,0)*2+IF(HS455&gt;13,HS455-13,0)*2+IF(HS455&gt;14,HS455-14,0)*2+IF(HS455&gt;15,HS455-15,0)*2+IF(HS455&gt;16,HS455-16,0)*2+IF(HS455&gt;17,HS455-17,0)*2+IF(HS455&gt;18,HS455-18,0)*2+IF(HS455&gt;19,HS455-19,0)*2+IF(HS455&gt;20,HS455-20,0)*2</f>
        <v>175.5384615384616</v>
      </c>
      <c r="HW455" s="79">
        <f>IF(HT455&lt;=0,2,0)+IF(HT455&gt;0,HT455+1,0)*2+IF(HT455&gt;12,HT455-12,0)*2+IF(HT455&gt;13,HT455-13,0)*2+IF(HT455&gt;14,HT455-14,0)*2+IF(HT455&gt;15,HT455-15,0)*2+IF(HT455&gt;16,HT455-16,0)*2+IF(HT455&gt;17,HT455-17,0)*2+IF(HT455&gt;18,HT455-18,0)*2+IF(HT455&gt;19,HT455-19,0)*2+IF(HT455&gt;20,HT455-20,0)*2</f>
        <v>2</v>
      </c>
      <c r="HX455" s="247">
        <f>IF((HV455-HW455)&gt;0,HV455-HW455,0)</f>
        <v>173.5384615384616</v>
      </c>
      <c r="HY455" s="45">
        <f>IF((HW455-HV455)&gt;0,HW455-HV455,0)</f>
        <v>0</v>
      </c>
      <c r="IA455" s="321" t="s">
        <v>270</v>
      </c>
      <c r="IB455" s="45" t="s">
        <v>95</v>
      </c>
      <c r="IC455" s="247" t="s">
        <v>132</v>
      </c>
      <c r="ID455" s="239">
        <f>Konvention_1slave-MUslave</f>
        <v>12</v>
      </c>
      <c r="IE455" s="240">
        <f>Konvention_1slave-KLslave</f>
        <v>12</v>
      </c>
      <c r="IF455" s="240">
        <f>Konvention_1slave-INslave</f>
        <v>12</v>
      </c>
      <c r="IG455" s="240"/>
      <c r="IH455" s="240"/>
      <c r="II455" s="240"/>
      <c r="IJ455" s="240"/>
      <c r="IK455" s="232"/>
      <c r="IL455" s="231">
        <f>(ID455+IE455+IF455+IG455+IH455+II455+IJ455+IK455)/3</f>
        <v>12</v>
      </c>
      <c r="IM455" s="231">
        <f>2*IL455</f>
        <v>24</v>
      </c>
      <c r="IN455" s="232">
        <f>3*IL455</f>
        <v>36</v>
      </c>
      <c r="IO455" s="239">
        <f>ID455*POWER(KLslave,SIGN(IE455))*POWER(INslave,SIGN(IF455))*POWER(CHslave,SIGN(IG455))*POWER(FFslave,SIGN(IH455))*POWER(GEslave,SIGN(II455))*POWER(KOslave,SIGN(IJ455))*POWER(KKslave_KK,SIGN(IK455))+IE455*POWER(MUslave,SIGN(ID455))*POWER(INslave,SIGN(IF455))*POWER(CHslave,SIGN(IG455))*POWER(FFslave,SIGN(IH455))*POWER(GEslave,SIGN(II455))*POWER(KOslave,SIGN(IJ455))*POWER(KKslave_KK,SIGN(IK455))+IF455*POWER(MUslave,SIGN(ID455))*POWER(KLslave,SIGN(IE455))*POWER(CHslave,SIGN(IG455))*POWER(FFslave,SIGN(IH455))*POWER(GEslave,SIGN(II455))*POWER(KOslave,SIGN(IJ455))*POWER(KKslave_KK,SIGN(IK455))+IG455*POWER(MUslave,SIGN(ID455))*POWER(KLslave,SIGN(IE455))*POWER(INslave,SIGN(IF455))*POWER(FFslave,SIGN(IH455))*POWER(GEslave,SIGN(II455))*POWER(KOslave,SIGN(IJ455))*POWER(KKslave_KK,SIGN(IK455))+IH455*POWER(MUslave,SIGN(ID455))*POWER(KLslave,SIGN(IE455))*POWER(INslave,SIGN(IF455))*POWER(CHslave,SIGN(IG455))*POWER(GEslave,SIGN(II455))*POWER(KOslave,SIGN(IJ455))*POWER(KKslave_KK,SIGN(IK455))+II455*POWER(MUslave,SIGN(ID455))*POWER(KLslave,SIGN(IE455))*POWER(INslave,SIGN(IF455))*POWER(CHslave,SIGN(IG455))*POWER(FFslave,SIGN(IH455))*POWER(KOslave,SIGN(IJ455))*POWER(KKslave_KK,SIGN(IK455))+IJ455*POWER(MUslave,SIGN(ID455))*POWER(KLslave,SIGN(IE455))*POWER(INslave,SIGN(IF455))*POWER(CHslave,SIGN(IG455))*POWER(FFslave,SIGN(IH455))*POWER(GEslave,SIGN(II455))*POWER(KKslave_KK,SIGN(IK455))+IK455*POWER(MUslave,SIGN(ID455))*POWER(KLslave,SIGN(IE455))*POWER(INslave,SIGN(IF455))*POWER(CHslave,SIGN(IG455))*POWER(FFslave,SIGN(IH455))*POWER(GEslave,SIGN(II455))*POWER(KOslave,SIGN(IJ455))</f>
        <v>2304</v>
      </c>
      <c r="IP455" s="240">
        <f>ID455*IE455*INslave+ID455*KLslave*IF455+MUslave*IE455*IF455</f>
        <v>3456</v>
      </c>
      <c r="IQ455" s="232">
        <f>IFERROR(ID455^SIGN(ID455),1)*IFERROR(IE455^SIGN(IE455),1)*IFERROR(IF455^SIGN(IF455),1)*IFERROR(IG455^SIGN(IG455),1)*IFERROR(IH455^SIGN(IH455),1)*IFERROR(II455^SIGN(II455),1)*IFERROR(IJ455^SIGN(IJ455),1)*IFERROR(IK455^SIGN(IK455),1)</f>
        <v>1728</v>
      </c>
      <c r="IR455" s="232">
        <f>SUM(IO455:IQ455)</f>
        <v>7488</v>
      </c>
      <c r="IS455" s="230">
        <f>IL455*IO455/IR455</f>
        <v>3.6923076923076925</v>
      </c>
      <c r="IT455" s="231">
        <f>IM455*IP455/IR455</f>
        <v>11.076923076923077</v>
      </c>
      <c r="IU455" s="247">
        <f>IN455*IQ455/IR455</f>
        <v>8.3076923076923084</v>
      </c>
      <c r="IV455" s="247">
        <f>SUM(IS455:IU455)</f>
        <v>23.07692307692308</v>
      </c>
      <c r="IW455" s="252">
        <f t="shared" ref="IW455" si="4773">HT455</f>
        <v>0</v>
      </c>
      <c r="IX455" s="309">
        <f>IV455-IW455</f>
        <v>23.07692307692308</v>
      </c>
      <c r="IY455" s="45">
        <f>IF(IV455&lt;=0,2,0)+IF(IV455&gt;0,IV455+1,0)*2+IF(IV455&gt;12,IV455-12,0)*2+IF(IV455&gt;13,IV455-13,0)*2+IF(IV455&gt;14,IV455-14,0)*2+IF(IV455&gt;15,IV455-15,0)*2+IF(IV455&gt;16,IV455-16,0)*2+IF(IV455&gt;17,IV455-17,0)*2+IF(IV455&gt;18,IV455-18,0)*2+IF(IV455&gt;19,IV455-19,0)*2+IF(IV455&gt;20,IV455-20,0)*2</f>
        <v>175.5384615384616</v>
      </c>
      <c r="IZ455" s="79">
        <f>IF(IW455&lt;=0,2,0)+IF(IW455&gt;0,IW455+1,0)*2+IF(IW455&gt;12,IW455-12,0)*2+IF(IW455&gt;13,IW455-13,0)*2+IF(IW455&gt;14,IW455-14,0)*2+IF(IW455&gt;15,IW455-15,0)*2+IF(IW455&gt;16,IW455-16,0)*2+IF(IW455&gt;17,IW455-17,0)*2+IF(IW455&gt;18,IW455-18,0)*2+IF(IW455&gt;19,IW455-19,0)*2+IF(IW455&gt;20,IW455-20,0)*2</f>
        <v>2</v>
      </c>
      <c r="JA455" s="247">
        <f>IF((IY455-IZ455)&gt;0,IY455-IZ455,0)</f>
        <v>173.5384615384616</v>
      </c>
      <c r="JB455" s="45">
        <f>IF((IZ455-IY455)&gt;0,IZ455-IY455,0)</f>
        <v>0</v>
      </c>
      <c r="JE455" s="148"/>
    </row>
    <row r="456" spans="2:265" hidden="1" outlineLevel="1" collapsed="1">
      <c r="B456" s="134" t="s">
        <v>323</v>
      </c>
      <c r="C456" s="307" t="s">
        <v>281</v>
      </c>
      <c r="D456" s="84" t="s">
        <v>279</v>
      </c>
      <c r="E456" s="84" t="s">
        <v>280</v>
      </c>
      <c r="Y456" s="251"/>
      <c r="Z456" s="197"/>
      <c r="AF456" s="83" t="s">
        <v>281</v>
      </c>
      <c r="AG456" s="84" t="s">
        <v>279</v>
      </c>
      <c r="AH456" s="84" t="s">
        <v>280</v>
      </c>
      <c r="BB456" s="197"/>
      <c r="BC456" s="197"/>
      <c r="BI456" s="307" t="s">
        <v>281</v>
      </c>
      <c r="BJ456" s="308" t="s">
        <v>279</v>
      </c>
      <c r="BK456" s="308" t="s">
        <v>280</v>
      </c>
      <c r="CE456" s="251"/>
      <c r="CF456" s="251"/>
      <c r="CL456" s="307" t="s">
        <v>281</v>
      </c>
      <c r="CM456" s="308" t="s">
        <v>279</v>
      </c>
      <c r="CN456" s="308" t="s">
        <v>280</v>
      </c>
      <c r="DH456" s="251"/>
      <c r="DI456" s="251"/>
      <c r="DO456" s="307" t="s">
        <v>281</v>
      </c>
      <c r="DP456" s="308" t="s">
        <v>279</v>
      </c>
      <c r="DQ456" s="308" t="s">
        <v>280</v>
      </c>
      <c r="EK456" s="251"/>
      <c r="EL456" s="251"/>
      <c r="ER456" s="307" t="s">
        <v>281</v>
      </c>
      <c r="ES456" s="308" t="s">
        <v>279</v>
      </c>
      <c r="ET456" s="308" t="s">
        <v>280</v>
      </c>
      <c r="FN456" s="251"/>
      <c r="FO456" s="251"/>
      <c r="FU456" s="307" t="s">
        <v>281</v>
      </c>
      <c r="FV456" s="308" t="s">
        <v>279</v>
      </c>
      <c r="FW456" s="308" t="s">
        <v>280</v>
      </c>
      <c r="GQ456" s="251"/>
      <c r="GR456" s="251"/>
      <c r="GX456" s="307" t="s">
        <v>281</v>
      </c>
      <c r="GY456" s="308" t="s">
        <v>279</v>
      </c>
      <c r="GZ456" s="308" t="s">
        <v>280</v>
      </c>
      <c r="HT456" s="251"/>
      <c r="HU456" s="251"/>
      <c r="IA456" s="307" t="s">
        <v>281</v>
      </c>
      <c r="IB456" s="308" t="s">
        <v>279</v>
      </c>
      <c r="IC456" s="308" t="s">
        <v>280</v>
      </c>
      <c r="IW456" s="251"/>
      <c r="IX456" s="251"/>
      <c r="JE456" s="148"/>
    </row>
    <row r="457" spans="2:265" hidden="1" outlineLevel="2">
      <c r="B457" s="148">
        <v>1</v>
      </c>
      <c r="C457" s="321" t="e">
        <f>VLOOKUP(AF457,Attribute!C:T,1,FALSE)</f>
        <v>#N/A</v>
      </c>
      <c r="D457" s="186" t="s">
        <v>87</v>
      </c>
      <c r="E457" s="182" t="s">
        <v>132</v>
      </c>
      <c r="F457" s="17"/>
      <c r="G457" s="183">
        <f>Konvention_1master-KLmaster</f>
        <v>12</v>
      </c>
      <c r="H457" s="183">
        <f>Konvention_1master-INmaster</f>
        <v>12</v>
      </c>
      <c r="I457" s="183">
        <f>Konvention_1master-CHmaster</f>
        <v>12</v>
      </c>
      <c r="J457" s="183"/>
      <c r="K457" s="183"/>
      <c r="L457" s="183"/>
      <c r="M457" s="180"/>
      <c r="N457" s="231">
        <f>(F457+G457+H457+I457+J457+K457+L457+M457)/3</f>
        <v>12</v>
      </c>
      <c r="O457" s="231">
        <f>2*N457</f>
        <v>24</v>
      </c>
      <c r="P457" s="232">
        <f>3*N457</f>
        <v>36</v>
      </c>
      <c r="Q457" s="239">
        <f>F457*POWER(KLmaster,SIGN(G457))*POWER(INmaster,SIGN(H457))*POWER(CHmaster,SIGN(I457))*POWER(FFmaster,SIGN(J457))*POWER(GEmaster,SIGN(K457))*POWER(KOmaster,SIGN(L457))*POWER(KKmaster,SIGN(M457))+G457*POWER(MUmaster,SIGN(F457))*POWER(INmaster,SIGN(H457))*POWER(CHmaster,SIGN(I457))*POWER(FFmaster,SIGN(J457))*POWER(GEmaster,SIGN(K457))*POWER(KOmaster,SIGN(L457))*POWER(KKmaster,SIGN(M457))+H457*POWER(MUmaster,SIGN(F457))*POWER(KLmaster,SIGN(G457))*POWER(CHmaster,SIGN(I457))*POWER(FFmaster,SIGN(J457))*POWER(GEmaster,SIGN(K457))*POWER(KOmaster,SIGN(L457))*POWER(KKmaster,SIGN(M457))+I457*POWER(MUmaster,SIGN(F457))*POWER(KLmaster,SIGN(G457))*POWER(INmaster,SIGN(H457))*POWER(FFmaster,SIGN(J457))*POWER(GEmaster,SIGN(K457))*POWER(KOmaster,SIGN(L457))*POWER(KKmaster,SIGN(M457))+J457*POWER(MUmaster,SIGN(F457))*POWER(KLmaster,SIGN(G457))*POWER(INmaster,SIGN(H457))*POWER(CHmaster,SIGN(I457))*POWER(GEmaster,SIGN(K457))*POWER(KOmaster,SIGN(L457))*POWER(KKmaster,SIGN(M457))+K457*POWER(MUmaster,SIGN(F457))*POWER(KLmaster,SIGN(G457))*POWER(INmaster,SIGN(H457))*POWER(CHmaster,SIGN(I457))*POWER(FFmaster,SIGN(J457))*POWER(KOmaster,SIGN(L457))*POWER(KKmaster,SIGN(M457))+L457*POWER(MUmaster,SIGN(F457))*POWER(KLmaster,SIGN(G457))*POWER(INmaster,SIGN(H457))*POWER(CHmaster,SIGN(I457))*POWER(FFmaster,SIGN(J457))*POWER(GEmaster,SIGN(K457))*POWER(KKmaster,SIGN(M457))+M457*POWER(MUmaster,SIGN(F457))*POWER(KLmaster,SIGN(G457))*POWER(INmaster,SIGN(H457))*POWER(CHmaster,SIGN(I457))*POWER(FFmaster,SIGN(J457))*POWER(GEmaster,SIGN(K457))*POWER(KOmaster,SIGN(L457))</f>
        <v>2304</v>
      </c>
      <c r="R457" s="183">
        <f>G457*H457*CHmaster+G457*INmaster*I457+KLmaster*H457*I457</f>
        <v>3456</v>
      </c>
      <c r="S457" s="232">
        <f>IFERROR(F457^SIGN(F457),1)*IFERROR(G457^SIGN(G457),1)*IFERROR(H457^SIGN(H457),1)*IFERROR(I457^SIGN(I457),1)*IFERROR(J457^SIGN(J457),1)*IFERROR(K457^SIGN(K457),1)*IFERROR(L457^SIGN(L457),1)*IFERROR(M457^SIGN(M457),1)</f>
        <v>1728</v>
      </c>
      <c r="T457" s="232">
        <f>SUM(Q457:S457)</f>
        <v>7488</v>
      </c>
      <c r="U457" s="230">
        <f>N457*Q457/T457</f>
        <v>3.6923076923076925</v>
      </c>
      <c r="V457" s="231">
        <f>O457*R457/T457</f>
        <v>11.076923076923077</v>
      </c>
      <c r="W457" s="247">
        <f>P457*S457/T457</f>
        <v>8.3076923076923084</v>
      </c>
      <c r="X457" s="247">
        <f>SUM(U457:W457)</f>
        <v>23.07692307692308</v>
      </c>
      <c r="Y457" s="252">
        <v>0</v>
      </c>
      <c r="Z457" s="198">
        <f>X457-Y457</f>
        <v>23.07692307692308</v>
      </c>
      <c r="AA457" s="40">
        <f>IF(X457&lt;=0,2,0)+IF(X457&gt;0,X457+1,0)*2+IF(X457&gt;12,X457-12,0)*2+IF(X457&gt;13,X457-13,0)*2+IF(X457&gt;14,X457-14,0)*2+IF(X457&gt;15,X457-15,0)*2+IF(X457&gt;16,X457-16,0)*2+IF(X457&gt;17,X457-17,0)*2+IF(X457&gt;18,X457-18,0)*2+IF(X457&gt;19,X457-19,0)*2+IF(X457&gt;20,X457-20,0)*2</f>
        <v>175.5384615384616</v>
      </c>
      <c r="AB457" s="189">
        <f>IF(Y457&lt;=0,2,0)+IF(Y457&gt;0,Y457+1,0)*2+IF(Y457&gt;12,Y457-12,0)*2+IF(Y457&gt;13,Y457-13,0)*2+IF(Y457&gt;14,Y457-14,0)*2+IF(Y457&gt;15,Y457-15,0)*2+IF(Y457&gt;16,Y457-16,0)*2+IF(Y457&gt;17,Y457-17,0)*2+IF(Y457&gt;18,Y457-18,0)*2+IF(Y457&gt;19,Y457-19,0)*2+IF(Y457&gt;20,Y457-20,0)*2</f>
        <v>2</v>
      </c>
      <c r="AC457" s="182">
        <f>IF((AA457-AB457)&gt;0,AA457-AB457,0)</f>
        <v>173.5384615384616</v>
      </c>
      <c r="AD457" s="40">
        <f>IF((AB457-AA457)&gt;0,AB457-AA457,0)</f>
        <v>0</v>
      </c>
      <c r="AF457" s="181" t="s">
        <v>274</v>
      </c>
      <c r="AG457" s="40" t="s">
        <v>87</v>
      </c>
      <c r="AH457" s="182" t="s">
        <v>132</v>
      </c>
      <c r="AI457" s="17"/>
      <c r="AJ457" s="183">
        <f>Konvention_1slave-KLslave</f>
        <v>12</v>
      </c>
      <c r="AK457" s="183">
        <f>Konvention_1slave-INslave</f>
        <v>12</v>
      </c>
      <c r="AL457" s="183">
        <f>Konvention_1slave-CHslave</f>
        <v>12</v>
      </c>
      <c r="AM457" s="183"/>
      <c r="AN457" s="183"/>
      <c r="AO457" s="183"/>
      <c r="AP457" s="180"/>
      <c r="AQ457" s="179">
        <f>(AI457+AJ457+AK457+AL457+AM457+AN457+AO457+AP457)/3</f>
        <v>12</v>
      </c>
      <c r="AR457" s="179">
        <f>2*AQ457</f>
        <v>24</v>
      </c>
      <c r="AS457" s="180">
        <f>3*AQ457</f>
        <v>36</v>
      </c>
      <c r="AT457" s="17">
        <f>AI457*POWER(KLslave,SIGN(AJ457))*POWER(INslave,SIGN(AK457))*POWER(CHslave,SIGN(AL457))*POWER(FFslave,SIGN(AM457))*POWER(GEslave,SIGN(AN457))*POWER(KOslave,SIGN(AO457))*POWER(KKslave,SIGN(AP457))+AJ457*POWER(MUslave_MU,SIGN(AI457))*POWER(INslave,SIGN(AK457))*POWER(CHslave,SIGN(AL457))*POWER(FFslave,SIGN(AM457))*POWER(GEslave,SIGN(AN457))*POWER(KOslave,SIGN(AO457))*POWER(KKslave,SIGN(AP457))+AK457*POWER(MUslave_MU,SIGN(AI457))*POWER(KLslave,SIGN(AJ457))*POWER(CHslave,SIGN(AL457))*POWER(FFslave,SIGN(AM457))*POWER(GEslave,SIGN(AN457))*POWER(KOslave,SIGN(AO457))*POWER(KKslave,SIGN(AP457))+AL457*POWER(MUslave_MU,SIGN(AI457))*POWER(KLslave,SIGN(AJ457))*POWER(INslave,SIGN(AK457))*POWER(FFslave,SIGN(AM457))*POWER(GEslave,SIGN(AN457))*POWER(KOslave,SIGN(AO457))*POWER(KKslave,SIGN(AP457))+AM457*POWER(MUslave_MU,SIGN(AI457))*POWER(KLslave,SIGN(AJ457))*POWER(INslave,SIGN(AK457))*POWER(CHslave,SIGN(AL457))*POWER(GEslave,SIGN(AN457))*POWER(KOslave,SIGN(AO457))*POWER(KKslave,SIGN(AP457))+AN457*POWER(MUslave_MU,SIGN(AI457))*POWER(KLslave,SIGN(AJ457))*POWER(INslave,SIGN(AK457))*POWER(CHslave,SIGN(AL457))*POWER(FFslave,SIGN(AM457))*POWER(KOslave,SIGN(AO457))*POWER(KKslave,SIGN(AP457))+AO457*POWER(MUslave_MU,SIGN(AI457))*POWER(KLslave,SIGN(AJ457))*POWER(INslave,SIGN(AK457))*POWER(CHslave,SIGN(AL457))*POWER(FFslave,SIGN(AM457))*POWER(GEslave,SIGN(AN457))*POWER(KKslave,SIGN(AP457))+AP457*POWER(MUslave_MU,SIGN(AI457))*POWER(KLslave,SIGN(AJ457))*POWER(INslave,SIGN(AK457))*POWER(CHslave,SIGN(AL457))*POWER(FFslave,SIGN(AM457))*POWER(GEslave,SIGN(AN457))*POWER(KOslave,SIGN(AO457))</f>
        <v>2304</v>
      </c>
      <c r="AU457" s="183">
        <f>AJ457*AK457*CHslave+AJ457*INslave*AL457+KLslave*AK457*AL457</f>
        <v>3456</v>
      </c>
      <c r="AV457" s="180">
        <f>IFERROR(AI457^SIGN(AI457),1)*IFERROR(AJ457^SIGN(AJ457),1)*IFERROR(AK457^SIGN(AK457),1)*IFERROR(AL457^SIGN(AL457),1)*IFERROR(AM457^SIGN(AM457),1)*IFERROR(AN457^SIGN(AN457),1)*IFERROR(AO457^SIGN(AO457),1)*IFERROR(AP457^SIGN(AP457),1)</f>
        <v>1728</v>
      </c>
      <c r="AW457" s="180">
        <f>SUM(AT457:AV457)</f>
        <v>7488</v>
      </c>
      <c r="AX457" s="166">
        <f>AQ457*AT457/AW457</f>
        <v>3.6923076923076925</v>
      </c>
      <c r="AY457" s="179">
        <f>AR457*AU457/AW457</f>
        <v>11.076923076923077</v>
      </c>
      <c r="AZ457" s="182">
        <f>AS457*AV457/AW457</f>
        <v>8.3076923076923084</v>
      </c>
      <c r="BA457" s="182">
        <f>SUM(AX457:AZ457)</f>
        <v>23.07692307692308</v>
      </c>
      <c r="BB457" s="165">
        <f t="shared" ref="BB457" si="4774">Y457</f>
        <v>0</v>
      </c>
      <c r="BC457" s="198">
        <f>BA457-BB457</f>
        <v>23.07692307692308</v>
      </c>
      <c r="BD457" s="40">
        <f>IF(BA457&lt;=0,2,0)+IF(BA457&gt;0,BA457+1,0)*2+IF(BA457&gt;12,BA457-12,0)*2+IF(BA457&gt;13,BA457-13,0)*2+IF(BA457&gt;14,BA457-14,0)*2+IF(BA457&gt;15,BA457-15,0)*2+IF(BA457&gt;16,BA457-16,0)*2+IF(BA457&gt;17,BA457-17,0)*2+IF(BA457&gt;18,BA457-18,0)*2+IF(BA457&gt;19,BA457-19,0)*2+IF(BA457&gt;20,BA457-20,0)*2</f>
        <v>175.5384615384616</v>
      </c>
      <c r="BE457" s="189">
        <f>IF(BB457&lt;=0,2,0)+IF(BB457&gt;0,BB457+1,0)*2+IF(BB457&gt;12,BB457-12,0)*2+IF(BB457&gt;13,BB457-13,0)*2+IF(BB457&gt;14,BB457-14,0)*2+IF(BB457&gt;15,BB457-15,0)*2+IF(BB457&gt;16,BB457-16,0)*2+IF(BB457&gt;17,BB457-17,0)*2+IF(BB457&gt;18,BB457-18,0)*2+IF(BB457&gt;19,BB457-19,0)*2+IF(BB457&gt;20,BB457-20,0)*2</f>
        <v>2</v>
      </c>
      <c r="BF457" s="247">
        <f>IF((BD457-BE457)&gt;0,BD457-BE457,0)</f>
        <v>173.5384615384616</v>
      </c>
      <c r="BG457" s="45">
        <f>IF((BE457-BD457)&gt;0,BE457-BD457,0)</f>
        <v>0</v>
      </c>
      <c r="BI457" s="321" t="s">
        <v>274</v>
      </c>
      <c r="BJ457" s="45" t="s">
        <v>87</v>
      </c>
      <c r="BK457" s="247" t="s">
        <v>132</v>
      </c>
      <c r="BL457" s="239"/>
      <c r="BM457" s="240">
        <f>Konvention_1slave-KLslave_KL</f>
        <v>11</v>
      </c>
      <c r="BN457" s="240">
        <f>Konvention_1slave-INslave</f>
        <v>12</v>
      </c>
      <c r="BO457" s="240">
        <f>Konvention_1slave-CHslave</f>
        <v>12</v>
      </c>
      <c r="BP457" s="240"/>
      <c r="BQ457" s="240"/>
      <c r="BR457" s="240"/>
      <c r="BS457" s="232"/>
      <c r="BT457" s="231">
        <f>(BL457+BM457+BN457+BO457+BP457+BQ457+BR457+BS457)/3</f>
        <v>11.666666666666666</v>
      </c>
      <c r="BU457" s="231">
        <f>2*BT457</f>
        <v>23.333333333333332</v>
      </c>
      <c r="BV457" s="232">
        <f>3*BT457</f>
        <v>35</v>
      </c>
      <c r="BW457" s="239">
        <f>BL457*POWER(KLslave_KL,SIGN(BM457))*POWER(INslave,SIGN(BN457))*POWER(CHslave,SIGN(BO457))*POWER(FFslave,SIGN(BP457))*POWER(GEslave,SIGN(BQ457))*POWER(KOslave,SIGN(BR457))*POWER(KKslave,SIGN(BS457))+BM457*POWER(MUslave,SIGN(BL457))*POWER(INslave,SIGN(BN457))*POWER(CHslave,SIGN(BO457))*POWER(FFslave,SIGN(BP457))*POWER(GEslave,SIGN(BQ457))*POWER(KOslave,SIGN(BR457))*POWER(KKslave,SIGN(BS457))+BN457*POWER(MUslave,SIGN(BL457))*POWER(KLslave_KL,SIGN(BM457))*POWER(CHslave,SIGN(BO457))*POWER(FFslave,SIGN(BP457))*POWER(GEslave,SIGN(BQ457))*POWER(KOslave,SIGN(BR457))*POWER(KKslave,SIGN(BS457))+BO457*POWER(MUslave,SIGN(BL457))*POWER(KLslave_KL,SIGN(BM457))*POWER(INslave,SIGN(BN457))*POWER(FFslave,SIGN(BP457))*POWER(GEslave,SIGN(BQ457))*POWER(KOslave,SIGN(BR457))*POWER(KKslave,SIGN(BS457))+BP457*POWER(MUslave,SIGN(BL457))*POWER(KLslave_KL,SIGN(BM457))*POWER(INslave,SIGN(BN457))*POWER(CHslave,SIGN(BO457))*POWER(GEslave,SIGN(BQ457))*POWER(KOslave,SIGN(BR457))*POWER(KKslave,SIGN(BS457))+BQ457*POWER(MUslave,SIGN(BL457))*POWER(KLslave_KL,SIGN(BM457))*POWER(INslave,SIGN(BN457))*POWER(CHslave,SIGN(BO457))*POWER(FFslave,SIGN(BP457))*POWER(KOslave,SIGN(BR457))*POWER(KKslave,SIGN(BS457))+BR457*POWER(MUslave,SIGN(BL457))*POWER(KLslave_KL,SIGN(BM457))*POWER(INslave,SIGN(BN457))*POWER(CHslave,SIGN(BO457))*POWER(FFslave,SIGN(BP457))*POWER(GEslave,SIGN(BQ457))*POWER(KKslave,SIGN(BS457))+BS457*POWER(MUslave,SIGN(BL457))*POWER(KLslave_KL,SIGN(BM457))*POWER(INslave,SIGN(BN457))*POWER(CHslave,SIGN(BO457))*POWER(FFslave,SIGN(BP457))*POWER(GEslave,SIGN(BQ457))*POWER(KOslave,SIGN(BR457))</f>
        <v>2432</v>
      </c>
      <c r="BX457" s="240">
        <f>BM457*BN457*CHslave+BM457*INslave*BO457+KLslave_KL*BN457*BO457</f>
        <v>3408</v>
      </c>
      <c r="BY457" s="232">
        <f>IFERROR(BL457^SIGN(BL457),1)*IFERROR(BM457^SIGN(BM457),1)*IFERROR(BN457^SIGN(BN457),1)*IFERROR(BO457^SIGN(BO457),1)*IFERROR(BP457^SIGN(BP457),1)*IFERROR(BQ457^SIGN(BQ457),1)*IFERROR(BR457^SIGN(BR457),1)*IFERROR(BS457^SIGN(BS457),1)</f>
        <v>1584</v>
      </c>
      <c r="BZ457" s="232">
        <f>SUM(BW457:BY457)</f>
        <v>7424</v>
      </c>
      <c r="CA457" s="230">
        <f>BT457*BW457/BZ457</f>
        <v>3.8218390804597702</v>
      </c>
      <c r="CB457" s="231">
        <f>BU457*BX457/BZ457</f>
        <v>10.711206896551724</v>
      </c>
      <c r="CC457" s="247">
        <f>BV457*BY457/BZ457</f>
        <v>7.4676724137931032</v>
      </c>
      <c r="CD457" s="247">
        <f>SUM(CA457:CC457)</f>
        <v>22.000718390804597</v>
      </c>
      <c r="CE457" s="252">
        <f t="shared" ref="CE457" si="4775">BB457</f>
        <v>0</v>
      </c>
      <c r="CF457" s="309">
        <f>CD457-CE457</f>
        <v>22.000718390804597</v>
      </c>
      <c r="CG457" s="45">
        <f>IF(CD457&lt;=0,2,0)+IF(CD457&gt;0,CD457+1,0)*2+IF(CD457&gt;12,CD457-12,0)*2+IF(CD457&gt;13,CD457-13,0)*2+IF(CD457&gt;14,CD457-14,0)*2+IF(CD457&gt;15,CD457-15,0)*2+IF(CD457&gt;16,CD457-16,0)*2+IF(CD457&gt;17,CD457-17,0)*2+IF(CD457&gt;18,CD457-18,0)*2+IF(CD457&gt;19,CD457-19,0)*2+IF(CD457&gt;20,CD457-20,0)*2</f>
        <v>154.01436781609189</v>
      </c>
      <c r="CH457" s="79">
        <f>IF(CE457&lt;=0,2,0)+IF(CE457&gt;0,CE457+1,0)*2+IF(CE457&gt;12,CE457-12,0)*2+IF(CE457&gt;13,CE457-13,0)*2+IF(CE457&gt;14,CE457-14,0)*2+IF(CE457&gt;15,CE457-15,0)*2+IF(CE457&gt;16,CE457-16,0)*2+IF(CE457&gt;17,CE457-17,0)*2+IF(CE457&gt;18,CE457-18,0)*2+IF(CE457&gt;19,CE457-19,0)*2+IF(CE457&gt;20,CE457-20,0)*2</f>
        <v>2</v>
      </c>
      <c r="CI457" s="247">
        <f>IF((CG457-CH457)&gt;0,CG457-CH457,0)</f>
        <v>152.01436781609189</v>
      </c>
      <c r="CJ457" s="45">
        <f>IF((CH457-CG457)&gt;0,CH457-CG457,0)</f>
        <v>0</v>
      </c>
      <c r="CL457" s="321" t="s">
        <v>274</v>
      </c>
      <c r="CM457" s="45" t="s">
        <v>87</v>
      </c>
      <c r="CN457" s="247" t="s">
        <v>132</v>
      </c>
      <c r="CO457" s="239"/>
      <c r="CP457" s="240">
        <f>Konvention_1slave-KLslave</f>
        <v>12</v>
      </c>
      <c r="CQ457" s="240">
        <f>Konvention_1slave-INslave_IN</f>
        <v>11</v>
      </c>
      <c r="CR457" s="240">
        <f>Konvention_1slave-CHslave</f>
        <v>12</v>
      </c>
      <c r="CS457" s="240"/>
      <c r="CT457" s="240"/>
      <c r="CU457" s="240"/>
      <c r="CV457" s="232"/>
      <c r="CW457" s="231">
        <f>(CO457+CP457+CQ457+CR457+CS457+CT457+CU457+CV457)/3</f>
        <v>11.666666666666666</v>
      </c>
      <c r="CX457" s="231">
        <f>2*CW457</f>
        <v>23.333333333333332</v>
      </c>
      <c r="CY457" s="232">
        <f>3*CW457</f>
        <v>35</v>
      </c>
      <c r="CZ457" s="239">
        <f>CO457*POWER(KLslave,SIGN(CP457))*POWER(INslave_IN,SIGN(CQ457))*POWER(CHslave,SIGN(CR457))*POWER(FFslave,SIGN(CS457))*POWER(GEslave,SIGN(CT457))*POWER(KOslave,SIGN(CU457))*POWER(KKslave,SIGN(CV457))+CP457*POWER(MUslave,SIGN(CO457))*POWER(INslave_IN,SIGN(CQ457))*POWER(CHslave,SIGN(CR457))*POWER(FFslave,SIGN(CS457))*POWER(GEslave,SIGN(CT457))*POWER(KOslave,SIGN(CU457))*POWER(KKslave,SIGN(CV457))+CQ457*POWER(MUslave,SIGN(CO457))*POWER(KLslave,SIGN(CP457))*POWER(CHslave,SIGN(CR457))*POWER(FFslave,SIGN(CS457))*POWER(GEslave,SIGN(CT457))*POWER(KOslave,SIGN(CU457))*POWER(KKslave,SIGN(CV457))+CR457*POWER(MUslave,SIGN(CO457))*POWER(KLslave,SIGN(CP457))*POWER(INslave_IN,SIGN(CQ457))*POWER(FFslave,SIGN(CS457))*POWER(GEslave,SIGN(CT457))*POWER(KOslave,SIGN(CU457))*POWER(KKslave,SIGN(CV457))+CS457*POWER(MUslave,SIGN(CO457))*POWER(KLslave,SIGN(CP457))*POWER(INslave_IN,SIGN(CQ457))*POWER(CHslave,SIGN(CR457))*POWER(GEslave,SIGN(CT457))*POWER(KOslave,SIGN(CU457))*POWER(KKslave,SIGN(CV457))+CT457*POWER(MUslave,SIGN(CO457))*POWER(KLslave,SIGN(CP457))*POWER(INslave_IN,SIGN(CQ457))*POWER(CHslave,SIGN(CR457))*POWER(FFslave,SIGN(CS457))*POWER(KOslave,SIGN(CU457))*POWER(KKslave,SIGN(CV457))+CU457*POWER(MUslave,SIGN(CO457))*POWER(KLslave,SIGN(CP457))*POWER(INslave_IN,SIGN(CQ457))*POWER(CHslave,SIGN(CR457))*POWER(FFslave,SIGN(CS457))*POWER(GEslave,SIGN(CT457))*POWER(KKslave,SIGN(CV457))+CV457*POWER(MUslave,SIGN(CO457))*POWER(KLslave,SIGN(CP457))*POWER(INslave_IN,SIGN(CQ457))*POWER(CHslave,SIGN(CR457))*POWER(FFslave,SIGN(CS457))*POWER(GEslave,SIGN(CT457))*POWER(KOslave,SIGN(CU457))</f>
        <v>2432</v>
      </c>
      <c r="DA457" s="240">
        <f>CP457*CQ457*CHslave+CP457*INslave_IN*CR457+KLslave*CQ457*CR457</f>
        <v>3408</v>
      </c>
      <c r="DB457" s="232">
        <f>IFERROR(CO457^SIGN(CO457),1)*IFERROR(CP457^SIGN(CP457),1)*IFERROR(CQ457^SIGN(CQ457),1)*IFERROR(CR457^SIGN(CR457),1)*IFERROR(CS457^SIGN(CS457),1)*IFERROR(CT457^SIGN(CT457),1)*IFERROR(CU457^SIGN(CU457),1)*IFERROR(CV457^SIGN(CV457),1)</f>
        <v>1584</v>
      </c>
      <c r="DC457" s="232">
        <f>SUM(CZ457:DB457)</f>
        <v>7424</v>
      </c>
      <c r="DD457" s="230">
        <f>CW457*CZ457/DC457</f>
        <v>3.8218390804597702</v>
      </c>
      <c r="DE457" s="231">
        <f>CX457*DA457/DC457</f>
        <v>10.711206896551724</v>
      </c>
      <c r="DF457" s="247">
        <f>CY457*DB457/DC457</f>
        <v>7.4676724137931032</v>
      </c>
      <c r="DG457" s="247">
        <f>SUM(DD457:DF457)</f>
        <v>22.000718390804597</v>
      </c>
      <c r="DH457" s="252">
        <f t="shared" ref="DH457" si="4776">CE457</f>
        <v>0</v>
      </c>
      <c r="DI457" s="309">
        <f>DG457-DH457</f>
        <v>22.000718390804597</v>
      </c>
      <c r="DJ457" s="45">
        <f>IF(DG457&lt;=0,2,0)+IF(DG457&gt;0,DG457+1,0)*2+IF(DG457&gt;12,DG457-12,0)*2+IF(DG457&gt;13,DG457-13,0)*2+IF(DG457&gt;14,DG457-14,0)*2+IF(DG457&gt;15,DG457-15,0)*2+IF(DG457&gt;16,DG457-16,0)*2+IF(DG457&gt;17,DG457-17,0)*2+IF(DG457&gt;18,DG457-18,0)*2+IF(DG457&gt;19,DG457-19,0)*2+IF(DG457&gt;20,DG457-20,0)*2</f>
        <v>154.01436781609189</v>
      </c>
      <c r="DK457" s="79">
        <f>IF(DH457&lt;=0,2,0)+IF(DH457&gt;0,DH457+1,0)*2+IF(DH457&gt;12,DH457-12,0)*2+IF(DH457&gt;13,DH457-13,0)*2+IF(DH457&gt;14,DH457-14,0)*2+IF(DH457&gt;15,DH457-15,0)*2+IF(DH457&gt;16,DH457-16,0)*2+IF(DH457&gt;17,DH457-17,0)*2+IF(DH457&gt;18,DH457-18,0)*2+IF(DH457&gt;19,DH457-19,0)*2+IF(DH457&gt;20,DH457-20,0)*2</f>
        <v>2</v>
      </c>
      <c r="DL457" s="247">
        <f>IF((DJ457-DK457)&gt;0,DJ457-DK457,0)</f>
        <v>152.01436781609189</v>
      </c>
      <c r="DM457" s="45">
        <f>IF((DK457-DJ457)&gt;0,DK457-DJ457,0)</f>
        <v>0</v>
      </c>
      <c r="DO457" s="321" t="s">
        <v>274</v>
      </c>
      <c r="DP457" s="45" t="s">
        <v>87</v>
      </c>
      <c r="DQ457" s="247" t="s">
        <v>132</v>
      </c>
      <c r="DR457" s="239"/>
      <c r="DS457" s="240">
        <f>Konvention_1slave-KLslave</f>
        <v>12</v>
      </c>
      <c r="DT457" s="240">
        <f>Konvention_1slave-INslave</f>
        <v>12</v>
      </c>
      <c r="DU457" s="240">
        <f>Konvention_1slave-CHslave_CH</f>
        <v>11</v>
      </c>
      <c r="DV457" s="240"/>
      <c r="DW457" s="240"/>
      <c r="DX457" s="240"/>
      <c r="DY457" s="232"/>
      <c r="DZ457" s="231">
        <f>(DR457+DS457+DT457+DU457+DV457+DW457+DX457+DY457)/3</f>
        <v>11.666666666666666</v>
      </c>
      <c r="EA457" s="231">
        <f>2*DZ457</f>
        <v>23.333333333333332</v>
      </c>
      <c r="EB457" s="232">
        <f>3*DZ457</f>
        <v>35</v>
      </c>
      <c r="EC457" s="239">
        <f>DR457*POWER(KLslave,SIGN(DS457))*POWER(INslave,SIGN(DT457))*POWER(CHslave_CH,SIGN(DU457))*POWER(FFslave,SIGN(DV457))*POWER(GEslave,SIGN(DW457))*POWER(KOslave,SIGN(DX457))*POWER(KKslave,SIGN(DY457))+DS457*POWER(MUslave,SIGN(DR457))*POWER(INslave,SIGN(DT457))*POWER(CHslave_CH,SIGN(DU457))*POWER(FFslave,SIGN(DV457))*POWER(GEslave,SIGN(DW457))*POWER(KOslave,SIGN(DX457))*POWER(KKslave,SIGN(DY457))+DT457*POWER(MUslave,SIGN(DR457))*POWER(KLslave,SIGN(DS457))*POWER(CHslave_CH,SIGN(DU457))*POWER(FFslave,SIGN(DV457))*POWER(GEslave,SIGN(DW457))*POWER(KOslave,SIGN(DX457))*POWER(KKslave,SIGN(DY457))+DU457*POWER(MUslave,SIGN(DR457))*POWER(KLslave,SIGN(DS457))*POWER(INslave,SIGN(DT457))*POWER(FFslave,SIGN(DV457))*POWER(GEslave,SIGN(DW457))*POWER(KOslave,SIGN(DX457))*POWER(KKslave,SIGN(DY457))+DV457*POWER(MUslave,SIGN(DR457))*POWER(KLslave,SIGN(DS457))*POWER(INslave,SIGN(DT457))*POWER(CHslave_CH,SIGN(DU457))*POWER(GEslave,SIGN(DW457))*POWER(KOslave,SIGN(DX457))*POWER(KKslave,SIGN(DY457))+DW457*POWER(MUslave,SIGN(DR457))*POWER(KLslave,SIGN(DS457))*POWER(INslave,SIGN(DT457))*POWER(CHslave_CH,SIGN(DU457))*POWER(FFslave,SIGN(DV457))*POWER(KOslave,SIGN(DX457))*POWER(KKslave,SIGN(DY457))+DX457*POWER(MUslave,SIGN(DR457))*POWER(KLslave,SIGN(DS457))*POWER(INslave,SIGN(DT457))*POWER(CHslave_CH,SIGN(DU457))*POWER(FFslave,SIGN(DV457))*POWER(GEslave,SIGN(DW457))*POWER(KKslave,SIGN(DY457))+DY457*POWER(MUslave,SIGN(DR457))*POWER(KLslave,SIGN(DS457))*POWER(INslave,SIGN(DT457))*POWER(CHslave_CH,SIGN(DU457))*POWER(FFslave,SIGN(DV457))*POWER(GEslave,SIGN(DW457))*POWER(KOslave,SIGN(DX457))</f>
        <v>2432</v>
      </c>
      <c r="ED457" s="240">
        <f>DS457*DT457*CHslave_CH+DS457*INslave*DU457+KLslave*DT457*DU457</f>
        <v>3408</v>
      </c>
      <c r="EE457" s="232">
        <f>IFERROR(DR457^SIGN(DR457),1)*IFERROR(DS457^SIGN(DS457),1)*IFERROR(DT457^SIGN(DT457),1)*IFERROR(DU457^SIGN(DU457),1)*IFERROR(DV457^SIGN(DV457),1)*IFERROR(DW457^SIGN(DW457),1)*IFERROR(DX457^SIGN(DX457),1)*IFERROR(DY457^SIGN(DY457),1)</f>
        <v>1584</v>
      </c>
      <c r="EF457" s="232">
        <f>SUM(EC457:EE457)</f>
        <v>7424</v>
      </c>
      <c r="EG457" s="230">
        <f>DZ457*EC457/EF457</f>
        <v>3.8218390804597702</v>
      </c>
      <c r="EH457" s="231">
        <f>EA457*ED457/EF457</f>
        <v>10.711206896551724</v>
      </c>
      <c r="EI457" s="247">
        <f>EB457*EE457/EF457</f>
        <v>7.4676724137931032</v>
      </c>
      <c r="EJ457" s="247">
        <f>SUM(EG457:EI457)</f>
        <v>22.000718390804597</v>
      </c>
      <c r="EK457" s="252">
        <f t="shared" ref="EK457" si="4777">DH457</f>
        <v>0</v>
      </c>
      <c r="EL457" s="309">
        <f>EJ457-EK457</f>
        <v>22.000718390804597</v>
      </c>
      <c r="EM457" s="45">
        <f>IF(EJ457&lt;=0,2,0)+IF(EJ457&gt;0,EJ457+1,0)*2+IF(EJ457&gt;12,EJ457-12,0)*2+IF(EJ457&gt;13,EJ457-13,0)*2+IF(EJ457&gt;14,EJ457-14,0)*2+IF(EJ457&gt;15,EJ457-15,0)*2+IF(EJ457&gt;16,EJ457-16,0)*2+IF(EJ457&gt;17,EJ457-17,0)*2+IF(EJ457&gt;18,EJ457-18,0)*2+IF(EJ457&gt;19,EJ457-19,0)*2+IF(EJ457&gt;20,EJ457-20,0)*2</f>
        <v>154.01436781609189</v>
      </c>
      <c r="EN457" s="79">
        <f>IF(EK457&lt;=0,2,0)+IF(EK457&gt;0,EK457+1,0)*2+IF(EK457&gt;12,EK457-12,0)*2+IF(EK457&gt;13,EK457-13,0)*2+IF(EK457&gt;14,EK457-14,0)*2+IF(EK457&gt;15,EK457-15,0)*2+IF(EK457&gt;16,EK457-16,0)*2+IF(EK457&gt;17,EK457-17,0)*2+IF(EK457&gt;18,EK457-18,0)*2+IF(EK457&gt;19,EK457-19,0)*2+IF(EK457&gt;20,EK457-20,0)*2</f>
        <v>2</v>
      </c>
      <c r="EO457" s="247">
        <f>IF((EM457-EN457)&gt;0,EM457-EN457,0)</f>
        <v>152.01436781609189</v>
      </c>
      <c r="EP457" s="45">
        <f>IF((EN457-EM457)&gt;0,EN457-EM457,0)</f>
        <v>0</v>
      </c>
      <c r="ER457" s="321" t="s">
        <v>274</v>
      </c>
      <c r="ES457" s="45" t="s">
        <v>87</v>
      </c>
      <c r="ET457" s="247" t="s">
        <v>132</v>
      </c>
      <c r="EU457" s="239"/>
      <c r="EV457" s="240">
        <f>Konvention_1slave-KLslave</f>
        <v>12</v>
      </c>
      <c r="EW457" s="240">
        <f>Konvention_1slave-INslave</f>
        <v>12</v>
      </c>
      <c r="EX457" s="240">
        <f>Konvention_1slave-CHslave</f>
        <v>12</v>
      </c>
      <c r="EY457" s="240"/>
      <c r="EZ457" s="240"/>
      <c r="FA457" s="240"/>
      <c r="FB457" s="232"/>
      <c r="FC457" s="231">
        <f>(EU457+EV457+EW457+EX457+EY457+EZ457+FA457+FB457)/3</f>
        <v>12</v>
      </c>
      <c r="FD457" s="231">
        <f>2*FC457</f>
        <v>24</v>
      </c>
      <c r="FE457" s="232">
        <f>3*FC457</f>
        <v>36</v>
      </c>
      <c r="FF457" s="239">
        <f>EU457*POWER(KLslave,SIGN(EV457))*POWER(INslave,SIGN(EW457))*POWER(CHslave,SIGN(EX457))*POWER(FFslave_FF,SIGN(EY457))*POWER(GEslave,SIGN(EZ457))*POWER(KOslave,SIGN(FA457))*POWER(KKslave,SIGN(FB457))+EV457*POWER(MUslave,SIGN(EU457))*POWER(INslave,SIGN(EW457))*POWER(CHslave,SIGN(EX457))*POWER(FFslave_FF,SIGN(EY457))*POWER(GEslave,SIGN(EZ457))*POWER(KOslave,SIGN(FA457))*POWER(KKslave,SIGN(FB457))+EW457*POWER(MUslave,SIGN(EU457))*POWER(KLslave,SIGN(EV457))*POWER(CHslave,SIGN(EX457))*POWER(FFslave_FF,SIGN(EY457))*POWER(GEslave,SIGN(EZ457))*POWER(KOslave,SIGN(FA457))*POWER(KKslave,SIGN(FB457))+EX457*POWER(MUslave,SIGN(EU457))*POWER(KLslave,SIGN(EV457))*POWER(INslave,SIGN(EW457))*POWER(FFslave_FF,SIGN(EY457))*POWER(GEslave,SIGN(EZ457))*POWER(KOslave,SIGN(FA457))*POWER(KKslave,SIGN(FB457))+EY457*POWER(MUslave,SIGN(EU457))*POWER(KLslave,SIGN(EV457))*POWER(INslave,SIGN(EW457))*POWER(CHslave,SIGN(EX457))*POWER(GEslave,SIGN(EZ457))*POWER(KOslave,SIGN(FA457))*POWER(KKslave,SIGN(FB457))+EZ457*POWER(MUslave,SIGN(EU457))*POWER(KLslave,SIGN(EV457))*POWER(INslave,SIGN(EW457))*POWER(CHslave,SIGN(EX457))*POWER(FFslave_FF,SIGN(EY457))*POWER(KOslave,SIGN(FA457))*POWER(KKslave,SIGN(FB457))+FA457*POWER(MUslave,SIGN(EU457))*POWER(KLslave,SIGN(EV457))*POWER(INslave,SIGN(EW457))*POWER(CHslave,SIGN(EX457))*POWER(FFslave_FF,SIGN(EY457))*POWER(GEslave,SIGN(EZ457))*POWER(KKslave,SIGN(FB457))+FB457*POWER(MUslave,SIGN(EU457))*POWER(KLslave,SIGN(EV457))*POWER(INslave,SIGN(EW457))*POWER(CHslave,SIGN(EX457))*POWER(FFslave_FF,SIGN(EY457))*POWER(GEslave,SIGN(EZ457))*POWER(KOslave,SIGN(FA457))</f>
        <v>2304</v>
      </c>
      <c r="FG457" s="240">
        <f>EV457*EW457*CHslave+EV457*INslave*EX457+KLslave*EW457*EX457</f>
        <v>3456</v>
      </c>
      <c r="FH457" s="232">
        <f>IFERROR(EU457^SIGN(EU457),1)*IFERROR(EV457^SIGN(EV457),1)*IFERROR(EW457^SIGN(EW457),1)*IFERROR(EX457^SIGN(EX457),1)*IFERROR(EY457^SIGN(EY457),1)*IFERROR(EZ457^SIGN(EZ457),1)*IFERROR(FA457^SIGN(FA457),1)*IFERROR(FB457^SIGN(FB457),1)</f>
        <v>1728</v>
      </c>
      <c r="FI457" s="232">
        <f>SUM(FF457:FH457)</f>
        <v>7488</v>
      </c>
      <c r="FJ457" s="230">
        <f>FC457*FF457/FI457</f>
        <v>3.6923076923076925</v>
      </c>
      <c r="FK457" s="231">
        <f>FD457*FG457/FI457</f>
        <v>11.076923076923077</v>
      </c>
      <c r="FL457" s="247">
        <f>FE457*FH457/FI457</f>
        <v>8.3076923076923084</v>
      </c>
      <c r="FM457" s="247">
        <f>SUM(FJ457:FL457)</f>
        <v>23.07692307692308</v>
      </c>
      <c r="FN457" s="252">
        <f t="shared" ref="FN457" si="4778">EK457</f>
        <v>0</v>
      </c>
      <c r="FO457" s="309">
        <f>FM457-FN457</f>
        <v>23.07692307692308</v>
      </c>
      <c r="FP457" s="45">
        <f>IF(FM457&lt;=0,2,0)+IF(FM457&gt;0,FM457+1,0)*2+IF(FM457&gt;12,FM457-12,0)*2+IF(FM457&gt;13,FM457-13,0)*2+IF(FM457&gt;14,FM457-14,0)*2+IF(FM457&gt;15,FM457-15,0)*2+IF(FM457&gt;16,FM457-16,0)*2+IF(FM457&gt;17,FM457-17,0)*2+IF(FM457&gt;18,FM457-18,0)*2+IF(FM457&gt;19,FM457-19,0)*2+IF(FM457&gt;20,FM457-20,0)*2</f>
        <v>175.5384615384616</v>
      </c>
      <c r="FQ457" s="79">
        <f>IF(FN457&lt;=0,2,0)+IF(FN457&gt;0,FN457+1,0)*2+IF(FN457&gt;12,FN457-12,0)*2+IF(FN457&gt;13,FN457-13,0)*2+IF(FN457&gt;14,FN457-14,0)*2+IF(FN457&gt;15,FN457-15,0)*2+IF(FN457&gt;16,FN457-16,0)*2+IF(FN457&gt;17,FN457-17,0)*2+IF(FN457&gt;18,FN457-18,0)*2+IF(FN457&gt;19,FN457-19,0)*2+IF(FN457&gt;20,FN457-20,0)*2</f>
        <v>2</v>
      </c>
      <c r="FR457" s="247">
        <f>IF((FP457-FQ457)&gt;0,FP457-FQ457,0)</f>
        <v>173.5384615384616</v>
      </c>
      <c r="FS457" s="45">
        <f>IF((FQ457-FP457)&gt;0,FQ457-FP457,0)</f>
        <v>0</v>
      </c>
      <c r="FU457" s="321" t="s">
        <v>274</v>
      </c>
      <c r="FV457" s="45" t="s">
        <v>87</v>
      </c>
      <c r="FW457" s="247" t="s">
        <v>132</v>
      </c>
      <c r="FX457" s="239"/>
      <c r="FY457" s="240">
        <f>Konvention_1slave-KLslave</f>
        <v>12</v>
      </c>
      <c r="FZ457" s="240">
        <f>Konvention_1slave-INslave</f>
        <v>12</v>
      </c>
      <c r="GA457" s="240">
        <f>Konvention_1slave-CHslave</f>
        <v>12</v>
      </c>
      <c r="GB457" s="240"/>
      <c r="GC457" s="240"/>
      <c r="GD457" s="240"/>
      <c r="GE457" s="232"/>
      <c r="GF457" s="231">
        <f>(FX457+FY457+FZ457+GA457+GB457+GC457+GD457+GE457)/3</f>
        <v>12</v>
      </c>
      <c r="GG457" s="231">
        <f>2*GF457</f>
        <v>24</v>
      </c>
      <c r="GH457" s="232">
        <f>3*GF457</f>
        <v>36</v>
      </c>
      <c r="GI457" s="239">
        <f>FX457*POWER(KLslave,SIGN(FY457))*POWER(INslave,SIGN(FZ457))*POWER(CHslave,SIGN(GA457))*POWER(FFslave,SIGN(GB457))*POWER(GEslave_GE,SIGN(GC457))*POWER(KOslave,SIGN(GD457))*POWER(KKslave,SIGN(GE457))+FY457*POWER(MUslave,SIGN(FX457))*POWER(INslave,SIGN(FZ457))*POWER(CHslave,SIGN(GA457))*POWER(FFslave,SIGN(GB457))*POWER(GEslave_GE,SIGN(GC457))*POWER(KOslave,SIGN(GD457))*POWER(KKslave,SIGN(GE457))+FZ457*POWER(MUslave,SIGN(FX457))*POWER(KLslave,SIGN(FY457))*POWER(CHslave,SIGN(GA457))*POWER(FFslave,SIGN(GB457))*POWER(GEslave_GE,SIGN(GC457))*POWER(KOslave,SIGN(GD457))*POWER(KKslave,SIGN(GE457))+GA457*POWER(MUslave,SIGN(FX457))*POWER(KLslave,SIGN(FY457))*POWER(INslave,SIGN(FZ457))*POWER(FFslave,SIGN(GB457))*POWER(GEslave_GE,SIGN(GC457))*POWER(KOslave,SIGN(GD457))*POWER(KKslave,SIGN(GE457))+GB457*POWER(MUslave,SIGN(FX457))*POWER(KLslave,SIGN(FY457))*POWER(INslave,SIGN(FZ457))*POWER(CHslave,SIGN(GA457))*POWER(GEslave_GE,SIGN(GC457))*POWER(KOslave,SIGN(GD457))*POWER(KKslave,SIGN(GE457))+GC457*POWER(MUslave,SIGN(FX457))*POWER(KLslave,SIGN(FY457))*POWER(INslave,SIGN(FZ457))*POWER(CHslave,SIGN(GA457))*POWER(FFslave,SIGN(GB457))*POWER(KOslave,SIGN(GD457))*POWER(KKslave,SIGN(GE457))+GD457*POWER(MUslave,SIGN(FX457))*POWER(KLslave,SIGN(FY457))*POWER(INslave,SIGN(FZ457))*POWER(CHslave,SIGN(GA457))*POWER(FFslave,SIGN(GB457))*POWER(GEslave_GE,SIGN(GC457))*POWER(KKslave,SIGN(GE457))+GE457*POWER(MUslave,SIGN(FX457))*POWER(KLslave,SIGN(FY457))*POWER(INslave,SIGN(FZ457))*POWER(CHslave,SIGN(GA457))*POWER(FFslave,SIGN(GB457))*POWER(GEslave_GE,SIGN(GC457))*POWER(KOslave,SIGN(GD457))</f>
        <v>2304</v>
      </c>
      <c r="GJ457" s="240">
        <f>FY457*FZ457*CHslave+FY457*INslave*GA457+KLslave*FZ457*GA457</f>
        <v>3456</v>
      </c>
      <c r="GK457" s="232">
        <f>IFERROR(FX457^SIGN(FX457),1)*IFERROR(FY457^SIGN(FY457),1)*IFERROR(FZ457^SIGN(FZ457),1)*IFERROR(GA457^SIGN(GA457),1)*IFERROR(GB457^SIGN(GB457),1)*IFERROR(GC457^SIGN(GC457),1)*IFERROR(GD457^SIGN(GD457),1)*IFERROR(GE457^SIGN(GE457),1)</f>
        <v>1728</v>
      </c>
      <c r="GL457" s="232">
        <f>SUM(GI457:GK457)</f>
        <v>7488</v>
      </c>
      <c r="GM457" s="230">
        <f>GF457*GI457/GL457</f>
        <v>3.6923076923076925</v>
      </c>
      <c r="GN457" s="231">
        <f>GG457*GJ457/GL457</f>
        <v>11.076923076923077</v>
      </c>
      <c r="GO457" s="247">
        <f>GH457*GK457/GL457</f>
        <v>8.3076923076923084</v>
      </c>
      <c r="GP457" s="247">
        <f>SUM(GM457:GO457)</f>
        <v>23.07692307692308</v>
      </c>
      <c r="GQ457" s="252">
        <f t="shared" ref="GQ457" si="4779">FN457</f>
        <v>0</v>
      </c>
      <c r="GR457" s="309">
        <f>GP457-GQ457</f>
        <v>23.07692307692308</v>
      </c>
      <c r="GS457" s="45">
        <f>IF(GP457&lt;=0,2,0)+IF(GP457&gt;0,GP457+1,0)*2+IF(GP457&gt;12,GP457-12,0)*2+IF(GP457&gt;13,GP457-13,0)*2+IF(GP457&gt;14,GP457-14,0)*2+IF(GP457&gt;15,GP457-15,0)*2+IF(GP457&gt;16,GP457-16,0)*2+IF(GP457&gt;17,GP457-17,0)*2+IF(GP457&gt;18,GP457-18,0)*2+IF(GP457&gt;19,GP457-19,0)*2+IF(GP457&gt;20,GP457-20,0)*2</f>
        <v>175.5384615384616</v>
      </c>
      <c r="GT457" s="79">
        <f>IF(GQ457&lt;=0,2,0)+IF(GQ457&gt;0,GQ457+1,0)*2+IF(GQ457&gt;12,GQ457-12,0)*2+IF(GQ457&gt;13,GQ457-13,0)*2+IF(GQ457&gt;14,GQ457-14,0)*2+IF(GQ457&gt;15,GQ457-15,0)*2+IF(GQ457&gt;16,GQ457-16,0)*2+IF(GQ457&gt;17,GQ457-17,0)*2+IF(GQ457&gt;18,GQ457-18,0)*2+IF(GQ457&gt;19,GQ457-19,0)*2+IF(GQ457&gt;20,GQ457-20,0)*2</f>
        <v>2</v>
      </c>
      <c r="GU457" s="247">
        <f>IF((GS457-GT457)&gt;0,GS457-GT457,0)</f>
        <v>173.5384615384616</v>
      </c>
      <c r="GV457" s="45">
        <f>IF((GT457-GS457)&gt;0,GT457-GS457,0)</f>
        <v>0</v>
      </c>
      <c r="GX457" s="321" t="s">
        <v>274</v>
      </c>
      <c r="GY457" s="45" t="s">
        <v>87</v>
      </c>
      <c r="GZ457" s="247" t="s">
        <v>132</v>
      </c>
      <c r="HA457" s="239"/>
      <c r="HB457" s="240">
        <f>Konvention_1slave-KLslave</f>
        <v>12</v>
      </c>
      <c r="HC457" s="240">
        <f>Konvention_1slave-INslave</f>
        <v>12</v>
      </c>
      <c r="HD457" s="240">
        <f>Konvention_1slave-CHslave</f>
        <v>12</v>
      </c>
      <c r="HE457" s="240"/>
      <c r="HF457" s="240"/>
      <c r="HG457" s="240"/>
      <c r="HH457" s="232"/>
      <c r="HI457" s="231">
        <f>(HA457+HB457+HC457+HD457+HE457+HF457+HG457+HH457)/3</f>
        <v>12</v>
      </c>
      <c r="HJ457" s="231">
        <f>2*HI457</f>
        <v>24</v>
      </c>
      <c r="HK457" s="232">
        <f>3*HI457</f>
        <v>36</v>
      </c>
      <c r="HL457" s="239">
        <f>HA457*POWER(KLslave,SIGN(HB457))*POWER(INslave,SIGN(HC457))*POWER(CHslave,SIGN(HD457))*POWER(FFslave,SIGN(HE457))*POWER(GEslave,SIGN(HF457))*POWER(KOslave_KO,SIGN(HG457))*POWER(KKslave,SIGN(HH457))+HB457*POWER(MUslave,SIGN(HA457))*POWER(INslave,SIGN(HC457))*POWER(CHslave,SIGN(HD457))*POWER(FFslave,SIGN(HE457))*POWER(GEslave,SIGN(HF457))*POWER(KOslave_KO,SIGN(HG457))*POWER(KKslave,SIGN(HH457))+HC457*POWER(MUslave,SIGN(HA457))*POWER(KLslave,SIGN(HB457))*POWER(CHslave,SIGN(HD457))*POWER(FFslave,SIGN(HE457))*POWER(GEslave,SIGN(HF457))*POWER(KOslave_KO,SIGN(HG457))*POWER(KKslave,SIGN(HH457))+HD457*POWER(MUslave,SIGN(HA457))*POWER(KLslave,SIGN(HB457))*POWER(INslave,SIGN(HC457))*POWER(FFslave,SIGN(HE457))*POWER(GEslave,SIGN(HF457))*POWER(KOslave_KO,SIGN(HG457))*POWER(KKslave,SIGN(HH457))+HE457*POWER(MUslave,SIGN(HA457))*POWER(KLslave,SIGN(HB457))*POWER(INslave,SIGN(HC457))*POWER(CHslave,SIGN(HD457))*POWER(GEslave,SIGN(HF457))*POWER(KOslave_KO,SIGN(HG457))*POWER(KKslave,SIGN(HH457))+HF457*POWER(MUslave,SIGN(HA457))*POWER(KLslave,SIGN(HB457))*POWER(INslave,SIGN(HC457))*POWER(CHslave,SIGN(HD457))*POWER(FFslave,SIGN(HE457))*POWER(KOslave_KO,SIGN(HG457))*POWER(KKslave,SIGN(HH457))+HG457*POWER(MUslave,SIGN(HA457))*POWER(KLslave,SIGN(HB457))*POWER(INslave,SIGN(HC457))*POWER(CHslave,SIGN(HD457))*POWER(FFslave,SIGN(HE457))*POWER(GEslave,SIGN(HF457))*POWER(KKslave,SIGN(HH457))+HH457*POWER(MUslave,SIGN(HA457))*POWER(KLslave,SIGN(HB457))*POWER(INslave,SIGN(HC457))*POWER(CHslave,SIGN(HD457))*POWER(FFslave,SIGN(HE457))*POWER(GEslave,SIGN(HF457))*POWER(KOslave_KO,SIGN(HG457))</f>
        <v>2304</v>
      </c>
      <c r="HM457" s="240">
        <f>HB457*HC457*CHslave+HB457*INslave*HD457+KLslave*HC457*HD457</f>
        <v>3456</v>
      </c>
      <c r="HN457" s="232">
        <f>IFERROR(HA457^SIGN(HA457),1)*IFERROR(HB457^SIGN(HB457),1)*IFERROR(HC457^SIGN(HC457),1)*IFERROR(HD457^SIGN(HD457),1)*IFERROR(HE457^SIGN(HE457),1)*IFERROR(HF457^SIGN(HF457),1)*IFERROR(HG457^SIGN(HG457),1)*IFERROR(HH457^SIGN(HH457),1)</f>
        <v>1728</v>
      </c>
      <c r="HO457" s="232">
        <f>SUM(HL457:HN457)</f>
        <v>7488</v>
      </c>
      <c r="HP457" s="230">
        <f>HI457*HL457/HO457</f>
        <v>3.6923076923076925</v>
      </c>
      <c r="HQ457" s="231">
        <f>HJ457*HM457/HO457</f>
        <v>11.076923076923077</v>
      </c>
      <c r="HR457" s="247">
        <f>HK457*HN457/HO457</f>
        <v>8.3076923076923084</v>
      </c>
      <c r="HS457" s="247">
        <f>SUM(HP457:HR457)</f>
        <v>23.07692307692308</v>
      </c>
      <c r="HT457" s="252">
        <f t="shared" ref="HT457" si="4780">GQ457</f>
        <v>0</v>
      </c>
      <c r="HU457" s="309">
        <f>HS457-HT457</f>
        <v>23.07692307692308</v>
      </c>
      <c r="HV457" s="45">
        <f>IF(HS457&lt;=0,2,0)+IF(HS457&gt;0,HS457+1,0)*2+IF(HS457&gt;12,HS457-12,0)*2+IF(HS457&gt;13,HS457-13,0)*2+IF(HS457&gt;14,HS457-14,0)*2+IF(HS457&gt;15,HS457-15,0)*2+IF(HS457&gt;16,HS457-16,0)*2+IF(HS457&gt;17,HS457-17,0)*2+IF(HS457&gt;18,HS457-18,0)*2+IF(HS457&gt;19,HS457-19,0)*2+IF(HS457&gt;20,HS457-20,0)*2</f>
        <v>175.5384615384616</v>
      </c>
      <c r="HW457" s="79">
        <f>IF(HT457&lt;=0,2,0)+IF(HT457&gt;0,HT457+1,0)*2+IF(HT457&gt;12,HT457-12,0)*2+IF(HT457&gt;13,HT457-13,0)*2+IF(HT457&gt;14,HT457-14,0)*2+IF(HT457&gt;15,HT457-15,0)*2+IF(HT457&gt;16,HT457-16,0)*2+IF(HT457&gt;17,HT457-17,0)*2+IF(HT457&gt;18,HT457-18,0)*2+IF(HT457&gt;19,HT457-19,0)*2+IF(HT457&gt;20,HT457-20,0)*2</f>
        <v>2</v>
      </c>
      <c r="HX457" s="247">
        <f>IF((HV457-HW457)&gt;0,HV457-HW457,0)</f>
        <v>173.5384615384616</v>
      </c>
      <c r="HY457" s="45">
        <f>IF((HW457-HV457)&gt;0,HW457-HV457,0)</f>
        <v>0</v>
      </c>
      <c r="IA457" s="321" t="s">
        <v>274</v>
      </c>
      <c r="IB457" s="45" t="s">
        <v>87</v>
      </c>
      <c r="IC457" s="247" t="s">
        <v>132</v>
      </c>
      <c r="ID457" s="239"/>
      <c r="IE457" s="240">
        <f>Konvention_1slave-KLslave</f>
        <v>12</v>
      </c>
      <c r="IF457" s="240">
        <f>Konvention_1slave-INslave</f>
        <v>12</v>
      </c>
      <c r="IG457" s="240">
        <f>Konvention_1slave-CHslave</f>
        <v>12</v>
      </c>
      <c r="IH457" s="240"/>
      <c r="II457" s="240"/>
      <c r="IJ457" s="240"/>
      <c r="IK457" s="232"/>
      <c r="IL457" s="231">
        <f>(ID457+IE457+IF457+IG457+IH457+II457+IJ457+IK457)/3</f>
        <v>12</v>
      </c>
      <c r="IM457" s="231">
        <f>2*IL457</f>
        <v>24</v>
      </c>
      <c r="IN457" s="232">
        <f>3*IL457</f>
        <v>36</v>
      </c>
      <c r="IO457" s="239">
        <f>ID457*POWER(KLslave,SIGN(IE457))*POWER(INslave,SIGN(IF457))*POWER(CHslave,SIGN(IG457))*POWER(FFslave,SIGN(IH457))*POWER(GEslave,SIGN(II457))*POWER(KOslave,SIGN(IJ457))*POWER(KKslave_KK,SIGN(IK457))+IE457*POWER(MUslave,SIGN(ID457))*POWER(INslave,SIGN(IF457))*POWER(CHslave,SIGN(IG457))*POWER(FFslave,SIGN(IH457))*POWER(GEslave,SIGN(II457))*POWER(KOslave,SIGN(IJ457))*POWER(KKslave_KK,SIGN(IK457))+IF457*POWER(MUslave,SIGN(ID457))*POWER(KLslave,SIGN(IE457))*POWER(CHslave,SIGN(IG457))*POWER(FFslave,SIGN(IH457))*POWER(GEslave,SIGN(II457))*POWER(KOslave,SIGN(IJ457))*POWER(KKslave_KK,SIGN(IK457))+IG457*POWER(MUslave,SIGN(ID457))*POWER(KLslave,SIGN(IE457))*POWER(INslave,SIGN(IF457))*POWER(FFslave,SIGN(IH457))*POWER(GEslave,SIGN(II457))*POWER(KOslave,SIGN(IJ457))*POWER(KKslave_KK,SIGN(IK457))+IH457*POWER(MUslave,SIGN(ID457))*POWER(KLslave,SIGN(IE457))*POWER(INslave,SIGN(IF457))*POWER(CHslave,SIGN(IG457))*POWER(GEslave,SIGN(II457))*POWER(KOslave,SIGN(IJ457))*POWER(KKslave_KK,SIGN(IK457))+II457*POWER(MUslave,SIGN(ID457))*POWER(KLslave,SIGN(IE457))*POWER(INslave,SIGN(IF457))*POWER(CHslave,SIGN(IG457))*POWER(FFslave,SIGN(IH457))*POWER(KOslave,SIGN(IJ457))*POWER(KKslave_KK,SIGN(IK457))+IJ457*POWER(MUslave,SIGN(ID457))*POWER(KLslave,SIGN(IE457))*POWER(INslave,SIGN(IF457))*POWER(CHslave,SIGN(IG457))*POWER(FFslave,SIGN(IH457))*POWER(GEslave,SIGN(II457))*POWER(KKslave_KK,SIGN(IK457))+IK457*POWER(MUslave,SIGN(ID457))*POWER(KLslave,SIGN(IE457))*POWER(INslave,SIGN(IF457))*POWER(CHslave,SIGN(IG457))*POWER(FFslave,SIGN(IH457))*POWER(GEslave,SIGN(II457))*POWER(KOslave,SIGN(IJ457))</f>
        <v>2304</v>
      </c>
      <c r="IP457" s="240">
        <f>IE457*IF457*CHslave+IE457*INslave*IG457+KLslave*IF457*IG457</f>
        <v>3456</v>
      </c>
      <c r="IQ457" s="232">
        <f>IFERROR(ID457^SIGN(ID457),1)*IFERROR(IE457^SIGN(IE457),1)*IFERROR(IF457^SIGN(IF457),1)*IFERROR(IG457^SIGN(IG457),1)*IFERROR(IH457^SIGN(IH457),1)*IFERROR(II457^SIGN(II457),1)*IFERROR(IJ457^SIGN(IJ457),1)*IFERROR(IK457^SIGN(IK457),1)</f>
        <v>1728</v>
      </c>
      <c r="IR457" s="232">
        <f>SUM(IO457:IQ457)</f>
        <v>7488</v>
      </c>
      <c r="IS457" s="230">
        <f>IL457*IO457/IR457</f>
        <v>3.6923076923076925</v>
      </c>
      <c r="IT457" s="231">
        <f>IM457*IP457/IR457</f>
        <v>11.076923076923077</v>
      </c>
      <c r="IU457" s="247">
        <f>IN457*IQ457/IR457</f>
        <v>8.3076923076923084</v>
      </c>
      <c r="IV457" s="247">
        <f>SUM(IS457:IU457)</f>
        <v>23.07692307692308</v>
      </c>
      <c r="IW457" s="252">
        <f t="shared" ref="IW457" si="4781">HT457</f>
        <v>0</v>
      </c>
      <c r="IX457" s="309">
        <f>IV457-IW457</f>
        <v>23.07692307692308</v>
      </c>
      <c r="IY457" s="45">
        <f>IF(IV457&lt;=0,2,0)+IF(IV457&gt;0,IV457+1,0)*2+IF(IV457&gt;12,IV457-12,0)*2+IF(IV457&gt;13,IV457-13,0)*2+IF(IV457&gt;14,IV457-14,0)*2+IF(IV457&gt;15,IV457-15,0)*2+IF(IV457&gt;16,IV457-16,0)*2+IF(IV457&gt;17,IV457-17,0)*2+IF(IV457&gt;18,IV457-18,0)*2+IF(IV457&gt;19,IV457-19,0)*2+IF(IV457&gt;20,IV457-20,0)*2</f>
        <v>175.5384615384616</v>
      </c>
      <c r="IZ457" s="79">
        <f>IF(IW457&lt;=0,2,0)+IF(IW457&gt;0,IW457+1,0)*2+IF(IW457&gt;12,IW457-12,0)*2+IF(IW457&gt;13,IW457-13,0)*2+IF(IW457&gt;14,IW457-14,0)*2+IF(IW457&gt;15,IW457-15,0)*2+IF(IW457&gt;16,IW457-16,0)*2+IF(IW457&gt;17,IW457-17,0)*2+IF(IW457&gt;18,IW457-18,0)*2+IF(IW457&gt;19,IW457-19,0)*2+IF(IW457&gt;20,IW457-20,0)*2</f>
        <v>2</v>
      </c>
      <c r="JA457" s="247">
        <f>IF((IY457-IZ457)&gt;0,IY457-IZ457,0)</f>
        <v>173.5384615384616</v>
      </c>
      <c r="JB457" s="45">
        <f>IF((IZ457-IY457)&gt;0,IZ457-IY457,0)</f>
        <v>0</v>
      </c>
      <c r="JE457" s="148"/>
    </row>
    <row r="458" spans="2:265" hidden="1" outlineLevel="1" collapsed="1">
      <c r="B458" s="134" t="s">
        <v>322</v>
      </c>
      <c r="C458" s="307" t="s">
        <v>281</v>
      </c>
      <c r="D458" s="84" t="s">
        <v>279</v>
      </c>
      <c r="E458" s="84" t="s">
        <v>280</v>
      </c>
      <c r="Y458" s="251"/>
      <c r="Z458" s="197"/>
      <c r="AF458" s="83" t="s">
        <v>281</v>
      </c>
      <c r="AG458" s="84" t="s">
        <v>279</v>
      </c>
      <c r="AH458" s="84" t="s">
        <v>280</v>
      </c>
      <c r="BB458" s="197"/>
      <c r="BC458" s="197"/>
      <c r="BI458" s="307" t="s">
        <v>281</v>
      </c>
      <c r="BJ458" s="308" t="s">
        <v>279</v>
      </c>
      <c r="BK458" s="308" t="s">
        <v>280</v>
      </c>
      <c r="CE458" s="251"/>
      <c r="CF458" s="251"/>
      <c r="CL458" s="307" t="s">
        <v>281</v>
      </c>
      <c r="CM458" s="308" t="s">
        <v>279</v>
      </c>
      <c r="CN458" s="308" t="s">
        <v>280</v>
      </c>
      <c r="DH458" s="251"/>
      <c r="DI458" s="251"/>
      <c r="DO458" s="307" t="s">
        <v>281</v>
      </c>
      <c r="DP458" s="308" t="s">
        <v>279</v>
      </c>
      <c r="DQ458" s="308" t="s">
        <v>280</v>
      </c>
      <c r="EK458" s="251"/>
      <c r="EL458" s="251"/>
      <c r="ER458" s="307" t="s">
        <v>281</v>
      </c>
      <c r="ES458" s="308" t="s">
        <v>279</v>
      </c>
      <c r="ET458" s="308" t="s">
        <v>280</v>
      </c>
      <c r="FN458" s="251"/>
      <c r="FO458" s="251"/>
      <c r="FU458" s="307" t="s">
        <v>281</v>
      </c>
      <c r="FV458" s="308" t="s">
        <v>279</v>
      </c>
      <c r="FW458" s="308" t="s">
        <v>280</v>
      </c>
      <c r="GQ458" s="251"/>
      <c r="GR458" s="251"/>
      <c r="GX458" s="307" t="s">
        <v>281</v>
      </c>
      <c r="GY458" s="308" t="s">
        <v>279</v>
      </c>
      <c r="GZ458" s="308" t="s">
        <v>280</v>
      </c>
      <c r="HT458" s="251"/>
      <c r="HU458" s="251"/>
      <c r="IA458" s="307" t="s">
        <v>281</v>
      </c>
      <c r="IB458" s="308" t="s">
        <v>279</v>
      </c>
      <c r="IC458" s="308" t="s">
        <v>280</v>
      </c>
      <c r="IW458" s="251"/>
      <c r="IX458" s="251"/>
      <c r="JE458" s="148"/>
    </row>
    <row r="459" spans="2:265" hidden="1" outlineLevel="2">
      <c r="B459" s="148">
        <v>0</v>
      </c>
      <c r="C459" s="216"/>
      <c r="D459" s="40"/>
      <c r="E459" s="182"/>
      <c r="F459" s="17"/>
      <c r="G459" s="183"/>
      <c r="H459" s="183"/>
      <c r="I459" s="183"/>
      <c r="J459" s="183"/>
      <c r="K459" s="183"/>
      <c r="L459" s="183"/>
      <c r="M459" s="180"/>
      <c r="N459" s="231"/>
      <c r="O459" s="231"/>
      <c r="P459" s="232"/>
      <c r="Q459" s="239"/>
      <c r="R459" s="183"/>
      <c r="S459" s="232"/>
      <c r="T459" s="232"/>
      <c r="U459" s="230"/>
      <c r="V459" s="231"/>
      <c r="W459" s="247"/>
      <c r="X459" s="247"/>
      <c r="Y459" s="216"/>
      <c r="Z459" s="198"/>
      <c r="AA459" s="40"/>
      <c r="AB459" s="189"/>
      <c r="AC459" s="182"/>
      <c r="AD459" s="40"/>
      <c r="AF459" s="134"/>
      <c r="AG459" s="40"/>
      <c r="AH459" s="182"/>
      <c r="AI459" s="17"/>
      <c r="AJ459" s="183"/>
      <c r="AK459" s="183"/>
      <c r="AL459" s="183"/>
      <c r="AM459" s="183"/>
      <c r="AN459" s="183"/>
      <c r="AO459" s="183"/>
      <c r="AP459" s="180"/>
      <c r="AQ459" s="179"/>
      <c r="AR459" s="179"/>
      <c r="AS459" s="180"/>
      <c r="AT459" s="17"/>
      <c r="AU459" s="183"/>
      <c r="AV459" s="180"/>
      <c r="AW459" s="180"/>
      <c r="AX459" s="166"/>
      <c r="AY459" s="179"/>
      <c r="AZ459" s="182"/>
      <c r="BA459" s="182"/>
      <c r="BB459" s="134"/>
      <c r="BC459" s="198"/>
      <c r="BD459" s="40"/>
      <c r="BE459" s="189"/>
      <c r="BF459" s="247"/>
      <c r="BG459" s="45"/>
      <c r="BI459" s="216"/>
      <c r="BJ459" s="45"/>
      <c r="BK459" s="247"/>
      <c r="BL459" s="239"/>
      <c r="BM459" s="240"/>
      <c r="BN459" s="240"/>
      <c r="BO459" s="240"/>
      <c r="BP459" s="240"/>
      <c r="BQ459" s="240"/>
      <c r="BR459" s="240"/>
      <c r="BS459" s="232"/>
      <c r="BT459" s="231"/>
      <c r="BU459" s="231"/>
      <c r="BV459" s="232"/>
      <c r="BW459" s="239"/>
      <c r="BX459" s="240"/>
      <c r="BY459" s="232"/>
      <c r="BZ459" s="232"/>
      <c r="CA459" s="230"/>
      <c r="CB459" s="231"/>
      <c r="CC459" s="247"/>
      <c r="CD459" s="247"/>
      <c r="CE459" s="216"/>
      <c r="CF459" s="309"/>
      <c r="CG459" s="45"/>
      <c r="CH459" s="79"/>
      <c r="CI459" s="247"/>
      <c r="CJ459" s="45"/>
      <c r="CL459" s="216"/>
      <c r="CM459" s="45"/>
      <c r="CN459" s="247"/>
      <c r="CO459" s="239"/>
      <c r="CP459" s="240"/>
      <c r="CQ459" s="240"/>
      <c r="CR459" s="240"/>
      <c r="CS459" s="240"/>
      <c r="CT459" s="240"/>
      <c r="CU459" s="240"/>
      <c r="CV459" s="232"/>
      <c r="CW459" s="231"/>
      <c r="CX459" s="231"/>
      <c r="CY459" s="232"/>
      <c r="CZ459" s="239"/>
      <c r="DA459" s="240"/>
      <c r="DB459" s="232"/>
      <c r="DC459" s="232"/>
      <c r="DD459" s="230"/>
      <c r="DE459" s="231"/>
      <c r="DF459" s="247"/>
      <c r="DG459" s="247"/>
      <c r="DH459" s="216"/>
      <c r="DI459" s="309"/>
      <c r="DJ459" s="45"/>
      <c r="DK459" s="79"/>
      <c r="DL459" s="247"/>
      <c r="DM459" s="45"/>
      <c r="DO459" s="216"/>
      <c r="DP459" s="45"/>
      <c r="DQ459" s="247"/>
      <c r="DR459" s="239"/>
      <c r="DS459" s="240"/>
      <c r="DT459" s="240"/>
      <c r="DU459" s="240"/>
      <c r="DV459" s="240"/>
      <c r="DW459" s="240"/>
      <c r="DX459" s="240"/>
      <c r="DY459" s="232"/>
      <c r="DZ459" s="231"/>
      <c r="EA459" s="231"/>
      <c r="EB459" s="232"/>
      <c r="EC459" s="239"/>
      <c r="ED459" s="240"/>
      <c r="EE459" s="232"/>
      <c r="EF459" s="232"/>
      <c r="EG459" s="230"/>
      <c r="EH459" s="231"/>
      <c r="EI459" s="247"/>
      <c r="EJ459" s="247"/>
      <c r="EK459" s="216"/>
      <c r="EL459" s="309"/>
      <c r="EM459" s="45"/>
      <c r="EN459" s="79"/>
      <c r="EO459" s="247"/>
      <c r="EP459" s="45"/>
      <c r="ER459" s="216"/>
      <c r="ES459" s="45"/>
      <c r="ET459" s="247"/>
      <c r="EU459" s="239"/>
      <c r="EV459" s="240"/>
      <c r="EW459" s="240"/>
      <c r="EX459" s="240"/>
      <c r="EY459" s="240"/>
      <c r="EZ459" s="240"/>
      <c r="FA459" s="240"/>
      <c r="FB459" s="232"/>
      <c r="FC459" s="231"/>
      <c r="FD459" s="231"/>
      <c r="FE459" s="232"/>
      <c r="FF459" s="239"/>
      <c r="FG459" s="240"/>
      <c r="FH459" s="232"/>
      <c r="FI459" s="232"/>
      <c r="FJ459" s="230"/>
      <c r="FK459" s="231"/>
      <c r="FL459" s="247"/>
      <c r="FM459" s="247"/>
      <c r="FN459" s="216"/>
      <c r="FO459" s="309"/>
      <c r="FP459" s="45"/>
      <c r="FQ459" s="79"/>
      <c r="FR459" s="247"/>
      <c r="FS459" s="45"/>
      <c r="FU459" s="216"/>
      <c r="FV459" s="45"/>
      <c r="FW459" s="247"/>
      <c r="FX459" s="239"/>
      <c r="FY459" s="240"/>
      <c r="FZ459" s="240"/>
      <c r="GA459" s="240"/>
      <c r="GB459" s="240"/>
      <c r="GC459" s="240"/>
      <c r="GD459" s="240"/>
      <c r="GE459" s="232"/>
      <c r="GF459" s="231"/>
      <c r="GG459" s="231"/>
      <c r="GH459" s="232"/>
      <c r="GI459" s="239"/>
      <c r="GJ459" s="240"/>
      <c r="GK459" s="232"/>
      <c r="GL459" s="232"/>
      <c r="GM459" s="230"/>
      <c r="GN459" s="231"/>
      <c r="GO459" s="247"/>
      <c r="GP459" s="247"/>
      <c r="GQ459" s="216"/>
      <c r="GR459" s="309"/>
      <c r="GS459" s="45"/>
      <c r="GT459" s="79"/>
      <c r="GU459" s="247"/>
      <c r="GV459" s="45"/>
      <c r="GX459" s="216"/>
      <c r="GY459" s="45"/>
      <c r="GZ459" s="247"/>
      <c r="HA459" s="239"/>
      <c r="HB459" s="240"/>
      <c r="HC459" s="240"/>
      <c r="HD459" s="240"/>
      <c r="HE459" s="240"/>
      <c r="HF459" s="240"/>
      <c r="HG459" s="240"/>
      <c r="HH459" s="232"/>
      <c r="HI459" s="231"/>
      <c r="HJ459" s="231"/>
      <c r="HK459" s="232"/>
      <c r="HL459" s="239"/>
      <c r="HM459" s="240"/>
      <c r="HN459" s="232"/>
      <c r="HO459" s="232"/>
      <c r="HP459" s="230"/>
      <c r="HQ459" s="231"/>
      <c r="HR459" s="247"/>
      <c r="HS459" s="247"/>
      <c r="HT459" s="216"/>
      <c r="HU459" s="309"/>
      <c r="HV459" s="45"/>
      <c r="HW459" s="79"/>
      <c r="HX459" s="247"/>
      <c r="HY459" s="45"/>
      <c r="IA459" s="216"/>
      <c r="IB459" s="45"/>
      <c r="IC459" s="247"/>
      <c r="ID459" s="239"/>
      <c r="IE459" s="240"/>
      <c r="IF459" s="240"/>
      <c r="IG459" s="240"/>
      <c r="IH459" s="240"/>
      <c r="II459" s="240"/>
      <c r="IJ459" s="240"/>
      <c r="IK459" s="232"/>
      <c r="IL459" s="231"/>
      <c r="IM459" s="231"/>
      <c r="IN459" s="232"/>
      <c r="IO459" s="239"/>
      <c r="IP459" s="240"/>
      <c r="IQ459" s="232"/>
      <c r="IR459" s="232"/>
      <c r="IS459" s="230"/>
      <c r="IT459" s="231"/>
      <c r="IU459" s="247"/>
      <c r="IV459" s="247"/>
      <c r="IW459" s="216"/>
      <c r="IX459" s="309"/>
      <c r="IY459" s="45"/>
      <c r="IZ459" s="79"/>
      <c r="JA459" s="247"/>
      <c r="JB459" s="45"/>
      <c r="JE459" s="148"/>
    </row>
    <row r="460" spans="2:265" hidden="1" outlineLevel="1" collapsed="1">
      <c r="B460" s="134" t="s">
        <v>321</v>
      </c>
      <c r="C460" s="307" t="s">
        <v>281</v>
      </c>
      <c r="D460" s="84" t="s">
        <v>279</v>
      </c>
      <c r="E460" s="84" t="s">
        <v>280</v>
      </c>
      <c r="Y460" s="251"/>
      <c r="Z460" s="197"/>
      <c r="AF460" s="83" t="s">
        <v>281</v>
      </c>
      <c r="AG460" s="84" t="s">
        <v>279</v>
      </c>
      <c r="AH460" s="84" t="s">
        <v>280</v>
      </c>
      <c r="BB460" s="197"/>
      <c r="BC460" s="197"/>
      <c r="BI460" s="307" t="s">
        <v>281</v>
      </c>
      <c r="BJ460" s="308" t="s">
        <v>279</v>
      </c>
      <c r="BK460" s="308" t="s">
        <v>280</v>
      </c>
      <c r="CE460" s="251"/>
      <c r="CF460" s="251"/>
      <c r="CL460" s="307" t="s">
        <v>281</v>
      </c>
      <c r="CM460" s="308" t="s">
        <v>279</v>
      </c>
      <c r="CN460" s="308" t="s">
        <v>280</v>
      </c>
      <c r="DH460" s="251"/>
      <c r="DI460" s="251"/>
      <c r="DO460" s="307" t="s">
        <v>281</v>
      </c>
      <c r="DP460" s="308" t="s">
        <v>279</v>
      </c>
      <c r="DQ460" s="308" t="s">
        <v>280</v>
      </c>
      <c r="EK460" s="251"/>
      <c r="EL460" s="251"/>
      <c r="ER460" s="307" t="s">
        <v>281</v>
      </c>
      <c r="ES460" s="308" t="s">
        <v>279</v>
      </c>
      <c r="ET460" s="308" t="s">
        <v>280</v>
      </c>
      <c r="FN460" s="251"/>
      <c r="FO460" s="251"/>
      <c r="FU460" s="307" t="s">
        <v>281</v>
      </c>
      <c r="FV460" s="308" t="s">
        <v>279</v>
      </c>
      <c r="FW460" s="308" t="s">
        <v>280</v>
      </c>
      <c r="GQ460" s="251"/>
      <c r="GR460" s="251"/>
      <c r="GX460" s="307" t="s">
        <v>281</v>
      </c>
      <c r="GY460" s="308" t="s">
        <v>279</v>
      </c>
      <c r="GZ460" s="308" t="s">
        <v>280</v>
      </c>
      <c r="HT460" s="251"/>
      <c r="HU460" s="251"/>
      <c r="IA460" s="307" t="s">
        <v>281</v>
      </c>
      <c r="IB460" s="308" t="s">
        <v>279</v>
      </c>
      <c r="IC460" s="308" t="s">
        <v>280</v>
      </c>
      <c r="IW460" s="251"/>
      <c r="IX460" s="251"/>
      <c r="JE460" s="148"/>
    </row>
    <row r="461" spans="2:265" hidden="1" outlineLevel="2">
      <c r="B461" s="148">
        <v>1</v>
      </c>
      <c r="C461" s="302" t="e">
        <f>VLOOKUP(AF461,Attribute!C:T,1,FALSE)</f>
        <v>#N/A</v>
      </c>
      <c r="D461" s="85" t="s">
        <v>86</v>
      </c>
      <c r="E461" s="126" t="s">
        <v>132</v>
      </c>
      <c r="F461" s="191">
        <f>Konvention_1master-MUmaster</f>
        <v>12</v>
      </c>
      <c r="G461" s="118"/>
      <c r="H461" s="118">
        <f>Konvention_1master-INmaster</f>
        <v>12</v>
      </c>
      <c r="I461" s="118">
        <f>Konvention_1master-CHmaster</f>
        <v>12</v>
      </c>
      <c r="J461" s="118"/>
      <c r="K461" s="118"/>
      <c r="L461" s="118"/>
      <c r="M461" s="92"/>
      <c r="N461" s="220">
        <f>(F461+G461+H461+I461+J461+K461+L461+M461)/3</f>
        <v>12</v>
      </c>
      <c r="O461" s="220">
        <f>2*N461</f>
        <v>24</v>
      </c>
      <c r="P461" s="221">
        <f>3*N461</f>
        <v>36</v>
      </c>
      <c r="Q461" s="236">
        <f>F461*POWER(KLmaster,SIGN(G461))*POWER(INmaster,SIGN(H461))*POWER(CHmaster,SIGN(I461))*POWER(FFmaster,SIGN(J461))*POWER(GEmaster,SIGN(K461))*POWER(KOmaster,SIGN(L461))*POWER(KKmaster,SIGN(M461))+G461*POWER(MUmaster,SIGN(F461))*POWER(INmaster,SIGN(H461))*POWER(CHmaster,SIGN(I461))*POWER(FFmaster,SIGN(J461))*POWER(GEmaster,SIGN(K461))*POWER(KOmaster,SIGN(L461))*POWER(KKmaster,SIGN(M461))+H461*POWER(MUmaster,SIGN(F461))*POWER(KLmaster,SIGN(G461))*POWER(CHmaster,SIGN(I461))*POWER(FFmaster,SIGN(J461))*POWER(GEmaster,SIGN(K461))*POWER(KOmaster,SIGN(L461))*POWER(KKmaster,SIGN(M461))+I461*POWER(MUmaster,SIGN(F461))*POWER(KLmaster,SIGN(G461))*POWER(INmaster,SIGN(H461))*POWER(FFmaster,SIGN(J461))*POWER(GEmaster,SIGN(K461))*POWER(KOmaster,SIGN(L461))*POWER(KKmaster,SIGN(M461))+J461*POWER(MUmaster,SIGN(F461))*POWER(KLmaster,SIGN(G461))*POWER(INmaster,SIGN(H461))*POWER(CHmaster,SIGN(I461))*POWER(GEmaster,SIGN(K461))*POWER(KOmaster,SIGN(L461))*POWER(KKmaster,SIGN(M461))+K461*POWER(MUmaster,SIGN(F461))*POWER(KLmaster,SIGN(G461))*POWER(INmaster,SIGN(H461))*POWER(CHmaster,SIGN(I461))*POWER(FFmaster,SIGN(J461))*POWER(KOmaster,SIGN(L461))*POWER(KKmaster,SIGN(M461))+L461*POWER(MUmaster,SIGN(F461))*POWER(KLmaster,SIGN(G461))*POWER(INmaster,SIGN(H461))*POWER(CHmaster,SIGN(I461))*POWER(FFmaster,SIGN(J461))*POWER(GEmaster,SIGN(K461))*POWER(KKmaster,SIGN(M461))+M461*POWER(MUmaster,SIGN(F461))*POWER(KLmaster,SIGN(G461))*POWER(INmaster,SIGN(H461))*POWER(CHmaster,SIGN(I461))*POWER(FFmaster,SIGN(J461))*POWER(GEmaster,SIGN(K461))*POWER(KOmaster,SIGN(L461))</f>
        <v>2304</v>
      </c>
      <c r="R461" s="118">
        <f>F461*H461*CHmaster+F461*INmaster*I461+MUmaster*H461*I461</f>
        <v>3456</v>
      </c>
      <c r="S461" s="221">
        <f>IFERROR(F461^SIGN(F461),1)*IFERROR(G461^SIGN(G461),1)*IFERROR(H461^SIGN(H461),1)*IFERROR(I461^SIGN(I461),1)*IFERROR(J461^SIGN(J461),1)*IFERROR(K461^SIGN(K461),1)*IFERROR(L461^SIGN(L461),1)*IFERROR(M461^SIGN(M461),1)</f>
        <v>1728</v>
      </c>
      <c r="T461" s="221">
        <f>SUM(Q461:S461)</f>
        <v>7488</v>
      </c>
      <c r="U461" s="219">
        <f>N461*Q461/T461</f>
        <v>3.6923076923076925</v>
      </c>
      <c r="V461" s="220">
        <f>O461*R461/T461</f>
        <v>11.076923076923077</v>
      </c>
      <c r="W461" s="241">
        <f>P461*S461/T461</f>
        <v>8.3076923076923084</v>
      </c>
      <c r="X461" s="241">
        <f>SUM(U461:W461)</f>
        <v>23.07692307692308</v>
      </c>
      <c r="Y461" s="252">
        <v>0</v>
      </c>
      <c r="Z461" s="198">
        <f>X461-Y461</f>
        <v>23.07692307692308</v>
      </c>
      <c r="AA461" s="158">
        <f>IF(X461&lt;=0,2,0)+IF(X461&gt;0,X461+1,0)*2+IF(X461&gt;12,X461-12,0)*2+IF(X461&gt;13,X461-13,0)*2+IF(X461&gt;14,X461-14,0)*2+IF(X461&gt;15,X461-15,0)*2+IF(X461&gt;16,X461-16,0)*2+IF(X461&gt;17,X461-17,0)*2+IF(X461&gt;18,X461-18,0)*2+IF(X461&gt;19,X461-19,0)*2+IF(X461&gt;20,X461-20,0)*2</f>
        <v>175.5384615384616</v>
      </c>
      <c r="AB461" s="91">
        <f>IF(Y461&lt;=0,2,0)+IF(Y461&gt;0,Y461+1,0)*2+IF(Y461&gt;12,Y461-12,0)*2+IF(Y461&gt;13,Y461-13,0)*2+IF(Y461&gt;14,Y461-14,0)*2+IF(Y461&gt;15,Y461-15,0)*2+IF(Y461&gt;16,Y461-16,0)*2+IF(Y461&gt;17,Y461-17,0)*2+IF(Y461&gt;18,Y461-18,0)*2+IF(Y461&gt;19,Y461-19,0)*2+IF(Y461&gt;20,Y461-20,0)*2</f>
        <v>2</v>
      </c>
      <c r="AC461" s="126">
        <f>IF((AA461-AB461)&gt;0,AA461-AB461,0)</f>
        <v>173.5384615384616</v>
      </c>
      <c r="AD461" s="158">
        <f>IF((AB461-AA461)&gt;0,AB461-AA461,0)</f>
        <v>0</v>
      </c>
      <c r="AF461" s="162" t="s">
        <v>272</v>
      </c>
      <c r="AG461" s="158" t="s">
        <v>86</v>
      </c>
      <c r="AH461" s="126" t="s">
        <v>132</v>
      </c>
      <c r="AI461" s="191">
        <f>Konvention_1slave-MUslave_MU</f>
        <v>11</v>
      </c>
      <c r="AJ461" s="118"/>
      <c r="AK461" s="118">
        <f>Konvention_1slave-INslave</f>
        <v>12</v>
      </c>
      <c r="AL461" s="118">
        <f>Konvention_1slave-CHslave</f>
        <v>12</v>
      </c>
      <c r="AM461" s="118"/>
      <c r="AN461" s="118"/>
      <c r="AO461" s="118"/>
      <c r="AP461" s="92"/>
      <c r="AQ461" s="116">
        <f>(AI461+AJ461+AK461+AL461+AM461+AN461+AO461+AP461)/3</f>
        <v>11.666666666666666</v>
      </c>
      <c r="AR461" s="116">
        <f>2*AQ461</f>
        <v>23.333333333333332</v>
      </c>
      <c r="AS461" s="92">
        <f>3*AQ461</f>
        <v>35</v>
      </c>
      <c r="AT461" s="191">
        <f>AI461*POWER(KLslave,SIGN(AJ461))*POWER(INslave,SIGN(AK461))*POWER(CHslave,SIGN(AL461))*POWER(FFslave,SIGN(AM461))*POWER(GEslave,SIGN(AN461))*POWER(KOslave,SIGN(AO461))*POWER(KKslave,SIGN(AP461))+AJ461*POWER(MUslave_MU,SIGN(AI461))*POWER(INslave,SIGN(AK461))*POWER(CHslave,SIGN(AL461))*POWER(FFslave,SIGN(AM461))*POWER(GEslave,SIGN(AN461))*POWER(KOslave,SIGN(AO461))*POWER(KKslave,SIGN(AP461))+AK461*POWER(MUslave_MU,SIGN(AI461))*POWER(KLslave,SIGN(AJ461))*POWER(CHslave,SIGN(AL461))*POWER(FFslave,SIGN(AM461))*POWER(GEslave,SIGN(AN461))*POWER(KOslave,SIGN(AO461))*POWER(KKslave,SIGN(AP461))+AL461*POWER(MUslave_MU,SIGN(AI461))*POWER(KLslave,SIGN(AJ461))*POWER(INslave,SIGN(AK461))*POWER(FFslave,SIGN(AM461))*POWER(GEslave,SIGN(AN461))*POWER(KOslave,SIGN(AO461))*POWER(KKslave,SIGN(AP461))+AM461*POWER(MUslave_MU,SIGN(AI461))*POWER(KLslave,SIGN(AJ461))*POWER(INslave,SIGN(AK461))*POWER(CHslave,SIGN(AL461))*POWER(GEslave,SIGN(AN461))*POWER(KOslave,SIGN(AO461))*POWER(KKslave,SIGN(AP461))+AN461*POWER(MUslave_MU,SIGN(AI461))*POWER(KLslave,SIGN(AJ461))*POWER(INslave,SIGN(AK461))*POWER(CHslave,SIGN(AL461))*POWER(FFslave,SIGN(AM461))*POWER(KOslave,SIGN(AO461))*POWER(KKslave,SIGN(AP461))+AO461*POWER(MUslave_MU,SIGN(AI461))*POWER(KLslave,SIGN(AJ461))*POWER(INslave,SIGN(AK461))*POWER(CHslave,SIGN(AL461))*POWER(FFslave,SIGN(AM461))*POWER(GEslave,SIGN(AN461))*POWER(KKslave,SIGN(AP461))+AP461*POWER(MUslave_MU,SIGN(AI461))*POWER(KLslave,SIGN(AJ461))*POWER(INslave,SIGN(AK461))*POWER(CHslave,SIGN(AL461))*POWER(FFslave,SIGN(AM461))*POWER(GEslave,SIGN(AN461))*POWER(KOslave,SIGN(AO461))</f>
        <v>2432</v>
      </c>
      <c r="AU461" s="118">
        <f>AI461*AK461*CHslave+AI461*INslave*AL461+MUslave_MU*AK461*AL461</f>
        <v>3408</v>
      </c>
      <c r="AV461" s="92">
        <f>IFERROR(AI461^SIGN(AI461),1)*IFERROR(AJ461^SIGN(AJ461),1)*IFERROR(AK461^SIGN(AK461),1)*IFERROR(AL461^SIGN(AL461),1)*IFERROR(AM461^SIGN(AM461),1)*IFERROR(AN461^SIGN(AN461),1)*IFERROR(AO461^SIGN(AO461),1)*IFERROR(AP461^SIGN(AP461),1)</f>
        <v>1584</v>
      </c>
      <c r="AW461" s="92">
        <f>SUM(AT461:AV461)</f>
        <v>7424</v>
      </c>
      <c r="AX461" s="193">
        <f>AQ461*AT461/AW461</f>
        <v>3.8218390804597702</v>
      </c>
      <c r="AY461" s="116">
        <f>AR461*AU461/AW461</f>
        <v>10.711206896551724</v>
      </c>
      <c r="AZ461" s="126">
        <f>AS461*AV461/AW461</f>
        <v>7.4676724137931032</v>
      </c>
      <c r="BA461" s="126">
        <f>SUM(AX461:AZ461)</f>
        <v>22.000718390804597</v>
      </c>
      <c r="BB461" s="165">
        <f t="shared" ref="BB461:BB462" si="4782">Y461</f>
        <v>0</v>
      </c>
      <c r="BC461" s="198">
        <f>BA461-BB461</f>
        <v>22.000718390804597</v>
      </c>
      <c r="BD461" s="158">
        <f>IF(BA461&lt;=0,2,0)+IF(BA461&gt;0,BA461+1,0)*2+IF(BA461&gt;12,BA461-12,0)*2+IF(BA461&gt;13,BA461-13,0)*2+IF(BA461&gt;14,BA461-14,0)*2+IF(BA461&gt;15,BA461-15,0)*2+IF(BA461&gt;16,BA461-16,0)*2+IF(BA461&gt;17,BA461-17,0)*2+IF(BA461&gt;18,BA461-18,0)*2+IF(BA461&gt;19,BA461-19,0)*2+IF(BA461&gt;20,BA461-20,0)*2</f>
        <v>154.01436781609189</v>
      </c>
      <c r="BE461" s="91">
        <f>IF(BB461&lt;=0,2,0)+IF(BB461&gt;0,BB461+1,0)*2+IF(BB461&gt;12,BB461-12,0)*2+IF(BB461&gt;13,BB461-13,0)*2+IF(BB461&gt;14,BB461-14,0)*2+IF(BB461&gt;15,BB461-15,0)*2+IF(BB461&gt;16,BB461-16,0)*2+IF(BB461&gt;17,BB461-17,0)*2+IF(BB461&gt;18,BB461-18,0)*2+IF(BB461&gt;19,BB461-19,0)*2+IF(BB461&gt;20,BB461-20,0)*2</f>
        <v>2</v>
      </c>
      <c r="BF461" s="241">
        <f>IF((BD461-BE461)&gt;0,BD461-BE461,0)</f>
        <v>152.01436781609189</v>
      </c>
      <c r="BG461" s="42">
        <f>IF((BE461-BD461)&gt;0,BE461-BD461,0)</f>
        <v>0</v>
      </c>
      <c r="BI461" s="302" t="s">
        <v>272</v>
      </c>
      <c r="BJ461" s="42" t="s">
        <v>86</v>
      </c>
      <c r="BK461" s="241" t="s">
        <v>132</v>
      </c>
      <c r="BL461" s="236">
        <f>Konvention_1slave-MUslave</f>
        <v>12</v>
      </c>
      <c r="BM461" s="233"/>
      <c r="BN461" s="233">
        <f>Konvention_1slave-INslave</f>
        <v>12</v>
      </c>
      <c r="BO461" s="233">
        <f>Konvention_1slave-CHslave</f>
        <v>12</v>
      </c>
      <c r="BP461" s="233"/>
      <c r="BQ461" s="233"/>
      <c r="BR461" s="233"/>
      <c r="BS461" s="221"/>
      <c r="BT461" s="220">
        <f>(BL461+BM461+BN461+BO461+BP461+BQ461+BR461+BS461)/3</f>
        <v>12</v>
      </c>
      <c r="BU461" s="220">
        <f>2*BT461</f>
        <v>24</v>
      </c>
      <c r="BV461" s="221">
        <f>3*BT461</f>
        <v>36</v>
      </c>
      <c r="BW461" s="236">
        <f>BL461*POWER(KLslave_KL,SIGN(BM461))*POWER(INslave,SIGN(BN461))*POWER(CHslave,SIGN(BO461))*POWER(FFslave,SIGN(BP461))*POWER(GEslave,SIGN(BQ461))*POWER(KOslave,SIGN(BR461))*POWER(KKslave,SIGN(BS461))+BM461*POWER(MUslave,SIGN(BL461))*POWER(INslave,SIGN(BN461))*POWER(CHslave,SIGN(BO461))*POWER(FFslave,SIGN(BP461))*POWER(GEslave,SIGN(BQ461))*POWER(KOslave,SIGN(BR461))*POWER(KKslave,SIGN(BS461))+BN461*POWER(MUslave,SIGN(BL461))*POWER(KLslave_KL,SIGN(BM461))*POWER(CHslave,SIGN(BO461))*POWER(FFslave,SIGN(BP461))*POWER(GEslave,SIGN(BQ461))*POWER(KOslave,SIGN(BR461))*POWER(KKslave,SIGN(BS461))+BO461*POWER(MUslave,SIGN(BL461))*POWER(KLslave_KL,SIGN(BM461))*POWER(INslave,SIGN(BN461))*POWER(FFslave,SIGN(BP461))*POWER(GEslave,SIGN(BQ461))*POWER(KOslave,SIGN(BR461))*POWER(KKslave,SIGN(BS461))+BP461*POWER(MUslave,SIGN(BL461))*POWER(KLslave_KL,SIGN(BM461))*POWER(INslave,SIGN(BN461))*POWER(CHslave,SIGN(BO461))*POWER(GEslave,SIGN(BQ461))*POWER(KOslave,SIGN(BR461))*POWER(KKslave,SIGN(BS461))+BQ461*POWER(MUslave,SIGN(BL461))*POWER(KLslave_KL,SIGN(BM461))*POWER(INslave,SIGN(BN461))*POWER(CHslave,SIGN(BO461))*POWER(FFslave,SIGN(BP461))*POWER(KOslave,SIGN(BR461))*POWER(KKslave,SIGN(BS461))+BR461*POWER(MUslave,SIGN(BL461))*POWER(KLslave_KL,SIGN(BM461))*POWER(INslave,SIGN(BN461))*POWER(CHslave,SIGN(BO461))*POWER(FFslave,SIGN(BP461))*POWER(GEslave,SIGN(BQ461))*POWER(KKslave,SIGN(BS461))+BS461*POWER(MUslave,SIGN(BL461))*POWER(KLslave_KL,SIGN(BM461))*POWER(INslave,SIGN(BN461))*POWER(CHslave,SIGN(BO461))*POWER(FFslave,SIGN(BP461))*POWER(GEslave,SIGN(BQ461))*POWER(KOslave,SIGN(BR461))</f>
        <v>2304</v>
      </c>
      <c r="BX461" s="233">
        <f>BL461*BN461*CHslave+BL461*INslave*BO461+MUslave*BN461*BO461</f>
        <v>3456</v>
      </c>
      <c r="BY461" s="221">
        <f>IFERROR(BL461^SIGN(BL461),1)*IFERROR(BM461^SIGN(BM461),1)*IFERROR(BN461^SIGN(BN461),1)*IFERROR(BO461^SIGN(BO461),1)*IFERROR(BP461^SIGN(BP461),1)*IFERROR(BQ461^SIGN(BQ461),1)*IFERROR(BR461^SIGN(BR461),1)*IFERROR(BS461^SIGN(BS461),1)</f>
        <v>1728</v>
      </c>
      <c r="BZ461" s="221">
        <f>SUM(BW461:BY461)</f>
        <v>7488</v>
      </c>
      <c r="CA461" s="219">
        <f>BT461*BW461/BZ461</f>
        <v>3.6923076923076925</v>
      </c>
      <c r="CB461" s="220">
        <f>BU461*BX461/BZ461</f>
        <v>11.076923076923077</v>
      </c>
      <c r="CC461" s="241">
        <f>BV461*BY461/BZ461</f>
        <v>8.3076923076923084</v>
      </c>
      <c r="CD461" s="241">
        <f>SUM(CA461:CC461)</f>
        <v>23.07692307692308</v>
      </c>
      <c r="CE461" s="252">
        <f t="shared" ref="CE461:CE462" si="4783">BB461</f>
        <v>0</v>
      </c>
      <c r="CF461" s="309">
        <f>CD461-CE461</f>
        <v>23.07692307692308</v>
      </c>
      <c r="CG461" s="42">
        <f>IF(CD461&lt;=0,2,0)+IF(CD461&gt;0,CD461+1,0)*2+IF(CD461&gt;12,CD461-12,0)*2+IF(CD461&gt;13,CD461-13,0)*2+IF(CD461&gt;14,CD461-14,0)*2+IF(CD461&gt;15,CD461-15,0)*2+IF(CD461&gt;16,CD461-16,0)*2+IF(CD461&gt;17,CD461-17,0)*2+IF(CD461&gt;18,CD461-18,0)*2+IF(CD461&gt;19,CD461-19,0)*2+IF(CD461&gt;20,CD461-20,0)*2</f>
        <v>175.5384615384616</v>
      </c>
      <c r="CH461" s="78">
        <f>IF(CE461&lt;=0,2,0)+IF(CE461&gt;0,CE461+1,0)*2+IF(CE461&gt;12,CE461-12,0)*2+IF(CE461&gt;13,CE461-13,0)*2+IF(CE461&gt;14,CE461-14,0)*2+IF(CE461&gt;15,CE461-15,0)*2+IF(CE461&gt;16,CE461-16,0)*2+IF(CE461&gt;17,CE461-17,0)*2+IF(CE461&gt;18,CE461-18,0)*2+IF(CE461&gt;19,CE461-19,0)*2+IF(CE461&gt;20,CE461-20,0)*2</f>
        <v>2</v>
      </c>
      <c r="CI461" s="241">
        <f>IF((CG461-CH461)&gt;0,CG461-CH461,0)</f>
        <v>173.5384615384616</v>
      </c>
      <c r="CJ461" s="42">
        <f>IF((CH461-CG461)&gt;0,CH461-CG461,0)</f>
        <v>0</v>
      </c>
      <c r="CL461" s="302" t="s">
        <v>272</v>
      </c>
      <c r="CM461" s="42" t="s">
        <v>86</v>
      </c>
      <c r="CN461" s="241" t="s">
        <v>132</v>
      </c>
      <c r="CO461" s="236">
        <f>Konvention_1slave-MUslave</f>
        <v>12</v>
      </c>
      <c r="CP461" s="233"/>
      <c r="CQ461" s="233">
        <f>Konvention_1slave-INslave_IN</f>
        <v>11</v>
      </c>
      <c r="CR461" s="233">
        <f>Konvention_1slave-CHslave</f>
        <v>12</v>
      </c>
      <c r="CS461" s="233"/>
      <c r="CT461" s="233"/>
      <c r="CU461" s="233"/>
      <c r="CV461" s="221"/>
      <c r="CW461" s="220">
        <f>(CO461+CP461+CQ461+CR461+CS461+CT461+CU461+CV461)/3</f>
        <v>11.666666666666666</v>
      </c>
      <c r="CX461" s="220">
        <f>2*CW461</f>
        <v>23.333333333333332</v>
      </c>
      <c r="CY461" s="221">
        <f>3*CW461</f>
        <v>35</v>
      </c>
      <c r="CZ461" s="236">
        <f>CO461*POWER(KLslave,SIGN(CP461))*POWER(INslave_IN,SIGN(CQ461))*POWER(CHslave,SIGN(CR461))*POWER(FFslave,SIGN(CS461))*POWER(GEslave,SIGN(CT461))*POWER(KOslave,SIGN(CU461))*POWER(KKslave,SIGN(CV461))+CP461*POWER(MUslave,SIGN(CO461))*POWER(INslave_IN,SIGN(CQ461))*POWER(CHslave,SIGN(CR461))*POWER(FFslave,SIGN(CS461))*POWER(GEslave,SIGN(CT461))*POWER(KOslave,SIGN(CU461))*POWER(KKslave,SIGN(CV461))+CQ461*POWER(MUslave,SIGN(CO461))*POWER(KLslave,SIGN(CP461))*POWER(CHslave,SIGN(CR461))*POWER(FFslave,SIGN(CS461))*POWER(GEslave,SIGN(CT461))*POWER(KOslave,SIGN(CU461))*POWER(KKslave,SIGN(CV461))+CR461*POWER(MUslave,SIGN(CO461))*POWER(KLslave,SIGN(CP461))*POWER(INslave_IN,SIGN(CQ461))*POWER(FFslave,SIGN(CS461))*POWER(GEslave,SIGN(CT461))*POWER(KOslave,SIGN(CU461))*POWER(KKslave,SIGN(CV461))+CS461*POWER(MUslave,SIGN(CO461))*POWER(KLslave,SIGN(CP461))*POWER(INslave_IN,SIGN(CQ461))*POWER(CHslave,SIGN(CR461))*POWER(GEslave,SIGN(CT461))*POWER(KOslave,SIGN(CU461))*POWER(KKslave,SIGN(CV461))+CT461*POWER(MUslave,SIGN(CO461))*POWER(KLslave,SIGN(CP461))*POWER(INslave_IN,SIGN(CQ461))*POWER(CHslave,SIGN(CR461))*POWER(FFslave,SIGN(CS461))*POWER(KOslave,SIGN(CU461))*POWER(KKslave,SIGN(CV461))+CU461*POWER(MUslave,SIGN(CO461))*POWER(KLslave,SIGN(CP461))*POWER(INslave_IN,SIGN(CQ461))*POWER(CHslave,SIGN(CR461))*POWER(FFslave,SIGN(CS461))*POWER(GEslave,SIGN(CT461))*POWER(KKslave,SIGN(CV461))+CV461*POWER(MUslave,SIGN(CO461))*POWER(KLslave,SIGN(CP461))*POWER(INslave_IN,SIGN(CQ461))*POWER(CHslave,SIGN(CR461))*POWER(FFslave,SIGN(CS461))*POWER(GEslave,SIGN(CT461))*POWER(KOslave,SIGN(CU461))</f>
        <v>2432</v>
      </c>
      <c r="DA461" s="233">
        <f>CO461*CQ461*CHslave+CO461*INslave_IN*CR461+MUslave*CQ461*CR461</f>
        <v>3408</v>
      </c>
      <c r="DB461" s="221">
        <f>IFERROR(CO461^SIGN(CO461),1)*IFERROR(CP461^SIGN(CP461),1)*IFERROR(CQ461^SIGN(CQ461),1)*IFERROR(CR461^SIGN(CR461),1)*IFERROR(CS461^SIGN(CS461),1)*IFERROR(CT461^SIGN(CT461),1)*IFERROR(CU461^SIGN(CU461),1)*IFERROR(CV461^SIGN(CV461),1)</f>
        <v>1584</v>
      </c>
      <c r="DC461" s="221">
        <f>SUM(CZ461:DB461)</f>
        <v>7424</v>
      </c>
      <c r="DD461" s="219">
        <f>CW461*CZ461/DC461</f>
        <v>3.8218390804597702</v>
      </c>
      <c r="DE461" s="220">
        <f>CX461*DA461/DC461</f>
        <v>10.711206896551724</v>
      </c>
      <c r="DF461" s="241">
        <f>CY461*DB461/DC461</f>
        <v>7.4676724137931032</v>
      </c>
      <c r="DG461" s="241">
        <f>SUM(DD461:DF461)</f>
        <v>22.000718390804597</v>
      </c>
      <c r="DH461" s="252">
        <f t="shared" ref="DH461:DH462" si="4784">CE461</f>
        <v>0</v>
      </c>
      <c r="DI461" s="309">
        <f>DG461-DH461</f>
        <v>22.000718390804597</v>
      </c>
      <c r="DJ461" s="42">
        <f>IF(DG461&lt;=0,2,0)+IF(DG461&gt;0,DG461+1,0)*2+IF(DG461&gt;12,DG461-12,0)*2+IF(DG461&gt;13,DG461-13,0)*2+IF(DG461&gt;14,DG461-14,0)*2+IF(DG461&gt;15,DG461-15,0)*2+IF(DG461&gt;16,DG461-16,0)*2+IF(DG461&gt;17,DG461-17,0)*2+IF(DG461&gt;18,DG461-18,0)*2+IF(DG461&gt;19,DG461-19,0)*2+IF(DG461&gt;20,DG461-20,0)*2</f>
        <v>154.01436781609189</v>
      </c>
      <c r="DK461" s="78">
        <f>IF(DH461&lt;=0,2,0)+IF(DH461&gt;0,DH461+1,0)*2+IF(DH461&gt;12,DH461-12,0)*2+IF(DH461&gt;13,DH461-13,0)*2+IF(DH461&gt;14,DH461-14,0)*2+IF(DH461&gt;15,DH461-15,0)*2+IF(DH461&gt;16,DH461-16,0)*2+IF(DH461&gt;17,DH461-17,0)*2+IF(DH461&gt;18,DH461-18,0)*2+IF(DH461&gt;19,DH461-19,0)*2+IF(DH461&gt;20,DH461-20,0)*2</f>
        <v>2</v>
      </c>
      <c r="DL461" s="241">
        <f>IF((DJ461-DK461)&gt;0,DJ461-DK461,0)</f>
        <v>152.01436781609189</v>
      </c>
      <c r="DM461" s="42">
        <f>IF((DK461-DJ461)&gt;0,DK461-DJ461,0)</f>
        <v>0</v>
      </c>
      <c r="DO461" s="302" t="s">
        <v>272</v>
      </c>
      <c r="DP461" s="42" t="s">
        <v>86</v>
      </c>
      <c r="DQ461" s="241" t="s">
        <v>132</v>
      </c>
      <c r="DR461" s="236">
        <f>Konvention_1slave-MUslave</f>
        <v>12</v>
      </c>
      <c r="DS461" s="233"/>
      <c r="DT461" s="233">
        <f>Konvention_1slave-INslave</f>
        <v>12</v>
      </c>
      <c r="DU461" s="233">
        <f>Konvention_1slave-CHslave_CH</f>
        <v>11</v>
      </c>
      <c r="DV461" s="233"/>
      <c r="DW461" s="233"/>
      <c r="DX461" s="233"/>
      <c r="DY461" s="221"/>
      <c r="DZ461" s="220">
        <f>(DR461+DS461+DT461+DU461+DV461+DW461+DX461+DY461)/3</f>
        <v>11.666666666666666</v>
      </c>
      <c r="EA461" s="220">
        <f>2*DZ461</f>
        <v>23.333333333333332</v>
      </c>
      <c r="EB461" s="221">
        <f>3*DZ461</f>
        <v>35</v>
      </c>
      <c r="EC461" s="236">
        <f>DR461*POWER(KLslave,SIGN(DS461))*POWER(INslave,SIGN(DT461))*POWER(CHslave_CH,SIGN(DU461))*POWER(FFslave,SIGN(DV461))*POWER(GEslave,SIGN(DW461))*POWER(KOslave,SIGN(DX461))*POWER(KKslave,SIGN(DY461))+DS461*POWER(MUslave,SIGN(DR461))*POWER(INslave,SIGN(DT461))*POWER(CHslave_CH,SIGN(DU461))*POWER(FFslave,SIGN(DV461))*POWER(GEslave,SIGN(DW461))*POWER(KOslave,SIGN(DX461))*POWER(KKslave,SIGN(DY461))+DT461*POWER(MUslave,SIGN(DR461))*POWER(KLslave,SIGN(DS461))*POWER(CHslave_CH,SIGN(DU461))*POWER(FFslave,SIGN(DV461))*POWER(GEslave,SIGN(DW461))*POWER(KOslave,SIGN(DX461))*POWER(KKslave,SIGN(DY461))+DU461*POWER(MUslave,SIGN(DR461))*POWER(KLslave,SIGN(DS461))*POWER(INslave,SIGN(DT461))*POWER(FFslave,SIGN(DV461))*POWER(GEslave,SIGN(DW461))*POWER(KOslave,SIGN(DX461))*POWER(KKslave,SIGN(DY461))+DV461*POWER(MUslave,SIGN(DR461))*POWER(KLslave,SIGN(DS461))*POWER(INslave,SIGN(DT461))*POWER(CHslave_CH,SIGN(DU461))*POWER(GEslave,SIGN(DW461))*POWER(KOslave,SIGN(DX461))*POWER(KKslave,SIGN(DY461))+DW461*POWER(MUslave,SIGN(DR461))*POWER(KLslave,SIGN(DS461))*POWER(INslave,SIGN(DT461))*POWER(CHslave_CH,SIGN(DU461))*POWER(FFslave,SIGN(DV461))*POWER(KOslave,SIGN(DX461))*POWER(KKslave,SIGN(DY461))+DX461*POWER(MUslave,SIGN(DR461))*POWER(KLslave,SIGN(DS461))*POWER(INslave,SIGN(DT461))*POWER(CHslave_CH,SIGN(DU461))*POWER(FFslave,SIGN(DV461))*POWER(GEslave,SIGN(DW461))*POWER(KKslave,SIGN(DY461))+DY461*POWER(MUslave,SIGN(DR461))*POWER(KLslave,SIGN(DS461))*POWER(INslave,SIGN(DT461))*POWER(CHslave_CH,SIGN(DU461))*POWER(FFslave,SIGN(DV461))*POWER(GEslave,SIGN(DW461))*POWER(KOslave,SIGN(DX461))</f>
        <v>2432</v>
      </c>
      <c r="ED461" s="233">
        <f>DR461*DT461*CHslave_CH+DR461*INslave*DU461+MUslave*DT461*DU461</f>
        <v>3408</v>
      </c>
      <c r="EE461" s="221">
        <f>IFERROR(DR461^SIGN(DR461),1)*IFERROR(DS461^SIGN(DS461),1)*IFERROR(DT461^SIGN(DT461),1)*IFERROR(DU461^SIGN(DU461),1)*IFERROR(DV461^SIGN(DV461),1)*IFERROR(DW461^SIGN(DW461),1)*IFERROR(DX461^SIGN(DX461),1)*IFERROR(DY461^SIGN(DY461),1)</f>
        <v>1584</v>
      </c>
      <c r="EF461" s="221">
        <f>SUM(EC461:EE461)</f>
        <v>7424</v>
      </c>
      <c r="EG461" s="219">
        <f>DZ461*EC461/EF461</f>
        <v>3.8218390804597702</v>
      </c>
      <c r="EH461" s="220">
        <f>EA461*ED461/EF461</f>
        <v>10.711206896551724</v>
      </c>
      <c r="EI461" s="241">
        <f>EB461*EE461/EF461</f>
        <v>7.4676724137931032</v>
      </c>
      <c r="EJ461" s="241">
        <f>SUM(EG461:EI461)</f>
        <v>22.000718390804597</v>
      </c>
      <c r="EK461" s="252">
        <f t="shared" ref="EK461:EK462" si="4785">DH461</f>
        <v>0</v>
      </c>
      <c r="EL461" s="309">
        <f>EJ461-EK461</f>
        <v>22.000718390804597</v>
      </c>
      <c r="EM461" s="42">
        <f>IF(EJ461&lt;=0,2,0)+IF(EJ461&gt;0,EJ461+1,0)*2+IF(EJ461&gt;12,EJ461-12,0)*2+IF(EJ461&gt;13,EJ461-13,0)*2+IF(EJ461&gt;14,EJ461-14,0)*2+IF(EJ461&gt;15,EJ461-15,0)*2+IF(EJ461&gt;16,EJ461-16,0)*2+IF(EJ461&gt;17,EJ461-17,0)*2+IF(EJ461&gt;18,EJ461-18,0)*2+IF(EJ461&gt;19,EJ461-19,0)*2+IF(EJ461&gt;20,EJ461-20,0)*2</f>
        <v>154.01436781609189</v>
      </c>
      <c r="EN461" s="78">
        <f>IF(EK461&lt;=0,2,0)+IF(EK461&gt;0,EK461+1,0)*2+IF(EK461&gt;12,EK461-12,0)*2+IF(EK461&gt;13,EK461-13,0)*2+IF(EK461&gt;14,EK461-14,0)*2+IF(EK461&gt;15,EK461-15,0)*2+IF(EK461&gt;16,EK461-16,0)*2+IF(EK461&gt;17,EK461-17,0)*2+IF(EK461&gt;18,EK461-18,0)*2+IF(EK461&gt;19,EK461-19,0)*2+IF(EK461&gt;20,EK461-20,0)*2</f>
        <v>2</v>
      </c>
      <c r="EO461" s="241">
        <f>IF((EM461-EN461)&gt;0,EM461-EN461,0)</f>
        <v>152.01436781609189</v>
      </c>
      <c r="EP461" s="42">
        <f>IF((EN461-EM461)&gt;0,EN461-EM461,0)</f>
        <v>0</v>
      </c>
      <c r="ER461" s="302" t="s">
        <v>272</v>
      </c>
      <c r="ES461" s="42" t="s">
        <v>86</v>
      </c>
      <c r="ET461" s="241" t="s">
        <v>132</v>
      </c>
      <c r="EU461" s="236">
        <f>Konvention_1slave-MUslave</f>
        <v>12</v>
      </c>
      <c r="EV461" s="233"/>
      <c r="EW461" s="233">
        <f>Konvention_1slave-INslave</f>
        <v>12</v>
      </c>
      <c r="EX461" s="233">
        <f>Konvention_1slave-CHslave</f>
        <v>12</v>
      </c>
      <c r="EY461" s="233"/>
      <c r="EZ461" s="233"/>
      <c r="FA461" s="233"/>
      <c r="FB461" s="221"/>
      <c r="FC461" s="220">
        <f>(EU461+EV461+EW461+EX461+EY461+EZ461+FA461+FB461)/3</f>
        <v>12</v>
      </c>
      <c r="FD461" s="220">
        <f>2*FC461</f>
        <v>24</v>
      </c>
      <c r="FE461" s="221">
        <f>3*FC461</f>
        <v>36</v>
      </c>
      <c r="FF461" s="236">
        <f>EU461*POWER(KLslave,SIGN(EV461))*POWER(INslave,SIGN(EW461))*POWER(CHslave,SIGN(EX461))*POWER(FFslave_FF,SIGN(EY461))*POWER(GEslave,SIGN(EZ461))*POWER(KOslave,SIGN(FA461))*POWER(KKslave,SIGN(FB461))+EV461*POWER(MUslave,SIGN(EU461))*POWER(INslave,SIGN(EW461))*POWER(CHslave,SIGN(EX461))*POWER(FFslave_FF,SIGN(EY461))*POWER(GEslave,SIGN(EZ461))*POWER(KOslave,SIGN(FA461))*POWER(KKslave,SIGN(FB461))+EW461*POWER(MUslave,SIGN(EU461))*POWER(KLslave,SIGN(EV461))*POWER(CHslave,SIGN(EX461))*POWER(FFslave_FF,SIGN(EY461))*POWER(GEslave,SIGN(EZ461))*POWER(KOslave,SIGN(FA461))*POWER(KKslave,SIGN(FB461))+EX461*POWER(MUslave,SIGN(EU461))*POWER(KLslave,SIGN(EV461))*POWER(INslave,SIGN(EW461))*POWER(FFslave_FF,SIGN(EY461))*POWER(GEslave,SIGN(EZ461))*POWER(KOslave,SIGN(FA461))*POWER(KKslave,SIGN(FB461))+EY461*POWER(MUslave,SIGN(EU461))*POWER(KLslave,SIGN(EV461))*POWER(INslave,SIGN(EW461))*POWER(CHslave,SIGN(EX461))*POWER(GEslave,SIGN(EZ461))*POWER(KOslave,SIGN(FA461))*POWER(KKslave,SIGN(FB461))+EZ461*POWER(MUslave,SIGN(EU461))*POWER(KLslave,SIGN(EV461))*POWER(INslave,SIGN(EW461))*POWER(CHslave,SIGN(EX461))*POWER(FFslave_FF,SIGN(EY461))*POWER(KOslave,SIGN(FA461))*POWER(KKslave,SIGN(FB461))+FA461*POWER(MUslave,SIGN(EU461))*POWER(KLslave,SIGN(EV461))*POWER(INslave,SIGN(EW461))*POWER(CHslave,SIGN(EX461))*POWER(FFslave_FF,SIGN(EY461))*POWER(GEslave,SIGN(EZ461))*POWER(KKslave,SIGN(FB461))+FB461*POWER(MUslave,SIGN(EU461))*POWER(KLslave,SIGN(EV461))*POWER(INslave,SIGN(EW461))*POWER(CHslave,SIGN(EX461))*POWER(FFslave_FF,SIGN(EY461))*POWER(GEslave,SIGN(EZ461))*POWER(KOslave,SIGN(FA461))</f>
        <v>2304</v>
      </c>
      <c r="FG461" s="233">
        <f>EU461*EW461*CHslave+EU461*INslave*EX461+MUslave*EW461*EX461</f>
        <v>3456</v>
      </c>
      <c r="FH461" s="221">
        <f>IFERROR(EU461^SIGN(EU461),1)*IFERROR(EV461^SIGN(EV461),1)*IFERROR(EW461^SIGN(EW461),1)*IFERROR(EX461^SIGN(EX461),1)*IFERROR(EY461^SIGN(EY461),1)*IFERROR(EZ461^SIGN(EZ461),1)*IFERROR(FA461^SIGN(FA461),1)*IFERROR(FB461^SIGN(FB461),1)</f>
        <v>1728</v>
      </c>
      <c r="FI461" s="221">
        <f>SUM(FF461:FH461)</f>
        <v>7488</v>
      </c>
      <c r="FJ461" s="219">
        <f>FC461*FF461/FI461</f>
        <v>3.6923076923076925</v>
      </c>
      <c r="FK461" s="220">
        <f>FD461*FG461/FI461</f>
        <v>11.076923076923077</v>
      </c>
      <c r="FL461" s="241">
        <f>FE461*FH461/FI461</f>
        <v>8.3076923076923084</v>
      </c>
      <c r="FM461" s="241">
        <f>SUM(FJ461:FL461)</f>
        <v>23.07692307692308</v>
      </c>
      <c r="FN461" s="252">
        <f t="shared" ref="FN461:FN462" si="4786">EK461</f>
        <v>0</v>
      </c>
      <c r="FO461" s="309">
        <f>FM461-FN461</f>
        <v>23.07692307692308</v>
      </c>
      <c r="FP461" s="42">
        <f>IF(FM461&lt;=0,2,0)+IF(FM461&gt;0,FM461+1,0)*2+IF(FM461&gt;12,FM461-12,0)*2+IF(FM461&gt;13,FM461-13,0)*2+IF(FM461&gt;14,FM461-14,0)*2+IF(FM461&gt;15,FM461-15,0)*2+IF(FM461&gt;16,FM461-16,0)*2+IF(FM461&gt;17,FM461-17,0)*2+IF(FM461&gt;18,FM461-18,0)*2+IF(FM461&gt;19,FM461-19,0)*2+IF(FM461&gt;20,FM461-20,0)*2</f>
        <v>175.5384615384616</v>
      </c>
      <c r="FQ461" s="78">
        <f>IF(FN461&lt;=0,2,0)+IF(FN461&gt;0,FN461+1,0)*2+IF(FN461&gt;12,FN461-12,0)*2+IF(FN461&gt;13,FN461-13,0)*2+IF(FN461&gt;14,FN461-14,0)*2+IF(FN461&gt;15,FN461-15,0)*2+IF(FN461&gt;16,FN461-16,0)*2+IF(FN461&gt;17,FN461-17,0)*2+IF(FN461&gt;18,FN461-18,0)*2+IF(FN461&gt;19,FN461-19,0)*2+IF(FN461&gt;20,FN461-20,0)*2</f>
        <v>2</v>
      </c>
      <c r="FR461" s="241">
        <f>IF((FP461-FQ461)&gt;0,FP461-FQ461,0)</f>
        <v>173.5384615384616</v>
      </c>
      <c r="FS461" s="42">
        <f>IF((FQ461-FP461)&gt;0,FQ461-FP461,0)</f>
        <v>0</v>
      </c>
      <c r="FU461" s="302" t="s">
        <v>272</v>
      </c>
      <c r="FV461" s="42" t="s">
        <v>86</v>
      </c>
      <c r="FW461" s="241" t="s">
        <v>132</v>
      </c>
      <c r="FX461" s="236">
        <f>Konvention_1slave-MUslave</f>
        <v>12</v>
      </c>
      <c r="FY461" s="233"/>
      <c r="FZ461" s="233">
        <f>Konvention_1slave-INslave</f>
        <v>12</v>
      </c>
      <c r="GA461" s="233">
        <f>Konvention_1slave-CHslave</f>
        <v>12</v>
      </c>
      <c r="GB461" s="233"/>
      <c r="GC461" s="233"/>
      <c r="GD461" s="233"/>
      <c r="GE461" s="221"/>
      <c r="GF461" s="220">
        <f>(FX461+FY461+FZ461+GA461+GB461+GC461+GD461+GE461)/3</f>
        <v>12</v>
      </c>
      <c r="GG461" s="220">
        <f>2*GF461</f>
        <v>24</v>
      </c>
      <c r="GH461" s="221">
        <f>3*GF461</f>
        <v>36</v>
      </c>
      <c r="GI461" s="236">
        <f>FX461*POWER(KLslave,SIGN(FY461))*POWER(INslave,SIGN(FZ461))*POWER(CHslave,SIGN(GA461))*POWER(FFslave,SIGN(GB461))*POWER(GEslave_GE,SIGN(GC461))*POWER(KOslave,SIGN(GD461))*POWER(KKslave,SIGN(GE461))+FY461*POWER(MUslave,SIGN(FX461))*POWER(INslave,SIGN(FZ461))*POWER(CHslave,SIGN(GA461))*POWER(FFslave,SIGN(GB461))*POWER(GEslave_GE,SIGN(GC461))*POWER(KOslave,SIGN(GD461))*POWER(KKslave,SIGN(GE461))+FZ461*POWER(MUslave,SIGN(FX461))*POWER(KLslave,SIGN(FY461))*POWER(CHslave,SIGN(GA461))*POWER(FFslave,SIGN(GB461))*POWER(GEslave_GE,SIGN(GC461))*POWER(KOslave,SIGN(GD461))*POWER(KKslave,SIGN(GE461))+GA461*POWER(MUslave,SIGN(FX461))*POWER(KLslave,SIGN(FY461))*POWER(INslave,SIGN(FZ461))*POWER(FFslave,SIGN(GB461))*POWER(GEslave_GE,SIGN(GC461))*POWER(KOslave,SIGN(GD461))*POWER(KKslave,SIGN(GE461))+GB461*POWER(MUslave,SIGN(FX461))*POWER(KLslave,SIGN(FY461))*POWER(INslave,SIGN(FZ461))*POWER(CHslave,SIGN(GA461))*POWER(GEslave_GE,SIGN(GC461))*POWER(KOslave,SIGN(GD461))*POWER(KKslave,SIGN(GE461))+GC461*POWER(MUslave,SIGN(FX461))*POWER(KLslave,SIGN(FY461))*POWER(INslave,SIGN(FZ461))*POWER(CHslave,SIGN(GA461))*POWER(FFslave,SIGN(GB461))*POWER(KOslave,SIGN(GD461))*POWER(KKslave,SIGN(GE461))+GD461*POWER(MUslave,SIGN(FX461))*POWER(KLslave,SIGN(FY461))*POWER(INslave,SIGN(FZ461))*POWER(CHslave,SIGN(GA461))*POWER(FFslave,SIGN(GB461))*POWER(GEslave_GE,SIGN(GC461))*POWER(KKslave,SIGN(GE461))+GE461*POWER(MUslave,SIGN(FX461))*POWER(KLslave,SIGN(FY461))*POWER(INslave,SIGN(FZ461))*POWER(CHslave,SIGN(GA461))*POWER(FFslave,SIGN(GB461))*POWER(GEslave_GE,SIGN(GC461))*POWER(KOslave,SIGN(GD461))</f>
        <v>2304</v>
      </c>
      <c r="GJ461" s="233">
        <f>FX461*FZ461*CHslave+FX461*INslave*GA461+MUslave*FZ461*GA461</f>
        <v>3456</v>
      </c>
      <c r="GK461" s="221">
        <f>IFERROR(FX461^SIGN(FX461),1)*IFERROR(FY461^SIGN(FY461),1)*IFERROR(FZ461^SIGN(FZ461),1)*IFERROR(GA461^SIGN(GA461),1)*IFERROR(GB461^SIGN(GB461),1)*IFERROR(GC461^SIGN(GC461),1)*IFERROR(GD461^SIGN(GD461),1)*IFERROR(GE461^SIGN(GE461),1)</f>
        <v>1728</v>
      </c>
      <c r="GL461" s="221">
        <f>SUM(GI461:GK461)</f>
        <v>7488</v>
      </c>
      <c r="GM461" s="219">
        <f>GF461*GI461/GL461</f>
        <v>3.6923076923076925</v>
      </c>
      <c r="GN461" s="220">
        <f>GG461*GJ461/GL461</f>
        <v>11.076923076923077</v>
      </c>
      <c r="GO461" s="241">
        <f>GH461*GK461/GL461</f>
        <v>8.3076923076923084</v>
      </c>
      <c r="GP461" s="241">
        <f>SUM(GM461:GO461)</f>
        <v>23.07692307692308</v>
      </c>
      <c r="GQ461" s="252">
        <f t="shared" ref="GQ461:GQ462" si="4787">FN461</f>
        <v>0</v>
      </c>
      <c r="GR461" s="309">
        <f>GP461-GQ461</f>
        <v>23.07692307692308</v>
      </c>
      <c r="GS461" s="42">
        <f>IF(GP461&lt;=0,2,0)+IF(GP461&gt;0,GP461+1,0)*2+IF(GP461&gt;12,GP461-12,0)*2+IF(GP461&gt;13,GP461-13,0)*2+IF(GP461&gt;14,GP461-14,0)*2+IF(GP461&gt;15,GP461-15,0)*2+IF(GP461&gt;16,GP461-16,0)*2+IF(GP461&gt;17,GP461-17,0)*2+IF(GP461&gt;18,GP461-18,0)*2+IF(GP461&gt;19,GP461-19,0)*2+IF(GP461&gt;20,GP461-20,0)*2</f>
        <v>175.5384615384616</v>
      </c>
      <c r="GT461" s="78">
        <f>IF(GQ461&lt;=0,2,0)+IF(GQ461&gt;0,GQ461+1,0)*2+IF(GQ461&gt;12,GQ461-12,0)*2+IF(GQ461&gt;13,GQ461-13,0)*2+IF(GQ461&gt;14,GQ461-14,0)*2+IF(GQ461&gt;15,GQ461-15,0)*2+IF(GQ461&gt;16,GQ461-16,0)*2+IF(GQ461&gt;17,GQ461-17,0)*2+IF(GQ461&gt;18,GQ461-18,0)*2+IF(GQ461&gt;19,GQ461-19,0)*2+IF(GQ461&gt;20,GQ461-20,0)*2</f>
        <v>2</v>
      </c>
      <c r="GU461" s="241">
        <f>IF((GS461-GT461)&gt;0,GS461-GT461,0)</f>
        <v>173.5384615384616</v>
      </c>
      <c r="GV461" s="42">
        <f>IF((GT461-GS461)&gt;0,GT461-GS461,0)</f>
        <v>0</v>
      </c>
      <c r="GX461" s="302" t="s">
        <v>272</v>
      </c>
      <c r="GY461" s="42" t="s">
        <v>86</v>
      </c>
      <c r="GZ461" s="241" t="s">
        <v>132</v>
      </c>
      <c r="HA461" s="236">
        <f>Konvention_1slave-MUslave</f>
        <v>12</v>
      </c>
      <c r="HB461" s="233"/>
      <c r="HC461" s="233">
        <f>Konvention_1slave-INslave</f>
        <v>12</v>
      </c>
      <c r="HD461" s="233">
        <f>Konvention_1slave-CHslave</f>
        <v>12</v>
      </c>
      <c r="HE461" s="233"/>
      <c r="HF461" s="233"/>
      <c r="HG461" s="233"/>
      <c r="HH461" s="221"/>
      <c r="HI461" s="220">
        <f>(HA461+HB461+HC461+HD461+HE461+HF461+HG461+HH461)/3</f>
        <v>12</v>
      </c>
      <c r="HJ461" s="220">
        <f>2*HI461</f>
        <v>24</v>
      </c>
      <c r="HK461" s="221">
        <f>3*HI461</f>
        <v>36</v>
      </c>
      <c r="HL461" s="236">
        <f>HA461*POWER(KLslave,SIGN(HB461))*POWER(INslave,SIGN(HC461))*POWER(CHslave,SIGN(HD461))*POWER(FFslave,SIGN(HE461))*POWER(GEslave,SIGN(HF461))*POWER(KOslave_KO,SIGN(HG461))*POWER(KKslave,SIGN(HH461))+HB461*POWER(MUslave,SIGN(HA461))*POWER(INslave,SIGN(HC461))*POWER(CHslave,SIGN(HD461))*POWER(FFslave,SIGN(HE461))*POWER(GEslave,SIGN(HF461))*POWER(KOslave_KO,SIGN(HG461))*POWER(KKslave,SIGN(HH461))+HC461*POWER(MUslave,SIGN(HA461))*POWER(KLslave,SIGN(HB461))*POWER(CHslave,SIGN(HD461))*POWER(FFslave,SIGN(HE461))*POWER(GEslave,SIGN(HF461))*POWER(KOslave_KO,SIGN(HG461))*POWER(KKslave,SIGN(HH461))+HD461*POWER(MUslave,SIGN(HA461))*POWER(KLslave,SIGN(HB461))*POWER(INslave,SIGN(HC461))*POWER(FFslave,SIGN(HE461))*POWER(GEslave,SIGN(HF461))*POWER(KOslave_KO,SIGN(HG461))*POWER(KKslave,SIGN(HH461))+HE461*POWER(MUslave,SIGN(HA461))*POWER(KLslave,SIGN(HB461))*POWER(INslave,SIGN(HC461))*POWER(CHslave,SIGN(HD461))*POWER(GEslave,SIGN(HF461))*POWER(KOslave_KO,SIGN(HG461))*POWER(KKslave,SIGN(HH461))+HF461*POWER(MUslave,SIGN(HA461))*POWER(KLslave,SIGN(HB461))*POWER(INslave,SIGN(HC461))*POWER(CHslave,SIGN(HD461))*POWER(FFslave,SIGN(HE461))*POWER(KOslave_KO,SIGN(HG461))*POWER(KKslave,SIGN(HH461))+HG461*POWER(MUslave,SIGN(HA461))*POWER(KLslave,SIGN(HB461))*POWER(INslave,SIGN(HC461))*POWER(CHslave,SIGN(HD461))*POWER(FFslave,SIGN(HE461))*POWER(GEslave,SIGN(HF461))*POWER(KKslave,SIGN(HH461))+HH461*POWER(MUslave,SIGN(HA461))*POWER(KLslave,SIGN(HB461))*POWER(INslave,SIGN(HC461))*POWER(CHslave,SIGN(HD461))*POWER(FFslave,SIGN(HE461))*POWER(GEslave,SIGN(HF461))*POWER(KOslave_KO,SIGN(HG461))</f>
        <v>2304</v>
      </c>
      <c r="HM461" s="233">
        <f>HA461*HC461*CHslave+HA461*INslave*HD461+MUslave*HC461*HD461</f>
        <v>3456</v>
      </c>
      <c r="HN461" s="221">
        <f>IFERROR(HA461^SIGN(HA461),1)*IFERROR(HB461^SIGN(HB461),1)*IFERROR(HC461^SIGN(HC461),1)*IFERROR(HD461^SIGN(HD461),1)*IFERROR(HE461^SIGN(HE461),1)*IFERROR(HF461^SIGN(HF461),1)*IFERROR(HG461^SIGN(HG461),1)*IFERROR(HH461^SIGN(HH461),1)</f>
        <v>1728</v>
      </c>
      <c r="HO461" s="221">
        <f>SUM(HL461:HN461)</f>
        <v>7488</v>
      </c>
      <c r="HP461" s="219">
        <f>HI461*HL461/HO461</f>
        <v>3.6923076923076925</v>
      </c>
      <c r="HQ461" s="220">
        <f>HJ461*HM461/HO461</f>
        <v>11.076923076923077</v>
      </c>
      <c r="HR461" s="241">
        <f>HK461*HN461/HO461</f>
        <v>8.3076923076923084</v>
      </c>
      <c r="HS461" s="241">
        <f>SUM(HP461:HR461)</f>
        <v>23.07692307692308</v>
      </c>
      <c r="HT461" s="252">
        <f t="shared" ref="HT461:HT462" si="4788">GQ461</f>
        <v>0</v>
      </c>
      <c r="HU461" s="309">
        <f>HS461-HT461</f>
        <v>23.07692307692308</v>
      </c>
      <c r="HV461" s="42">
        <f>IF(HS461&lt;=0,2,0)+IF(HS461&gt;0,HS461+1,0)*2+IF(HS461&gt;12,HS461-12,0)*2+IF(HS461&gt;13,HS461-13,0)*2+IF(HS461&gt;14,HS461-14,0)*2+IF(HS461&gt;15,HS461-15,0)*2+IF(HS461&gt;16,HS461-16,0)*2+IF(HS461&gt;17,HS461-17,0)*2+IF(HS461&gt;18,HS461-18,0)*2+IF(HS461&gt;19,HS461-19,0)*2+IF(HS461&gt;20,HS461-20,0)*2</f>
        <v>175.5384615384616</v>
      </c>
      <c r="HW461" s="78">
        <f>IF(HT461&lt;=0,2,0)+IF(HT461&gt;0,HT461+1,0)*2+IF(HT461&gt;12,HT461-12,0)*2+IF(HT461&gt;13,HT461-13,0)*2+IF(HT461&gt;14,HT461-14,0)*2+IF(HT461&gt;15,HT461-15,0)*2+IF(HT461&gt;16,HT461-16,0)*2+IF(HT461&gt;17,HT461-17,0)*2+IF(HT461&gt;18,HT461-18,0)*2+IF(HT461&gt;19,HT461-19,0)*2+IF(HT461&gt;20,HT461-20,0)*2</f>
        <v>2</v>
      </c>
      <c r="HX461" s="241">
        <f>IF((HV461-HW461)&gt;0,HV461-HW461,0)</f>
        <v>173.5384615384616</v>
      </c>
      <c r="HY461" s="42">
        <f>IF((HW461-HV461)&gt;0,HW461-HV461,0)</f>
        <v>0</v>
      </c>
      <c r="IA461" s="302" t="s">
        <v>272</v>
      </c>
      <c r="IB461" s="42" t="s">
        <v>86</v>
      </c>
      <c r="IC461" s="241" t="s">
        <v>132</v>
      </c>
      <c r="ID461" s="236">
        <f>Konvention_1slave-MUslave</f>
        <v>12</v>
      </c>
      <c r="IE461" s="233"/>
      <c r="IF461" s="233">
        <f>Konvention_1slave-INslave</f>
        <v>12</v>
      </c>
      <c r="IG461" s="233">
        <f>Konvention_1slave-CHslave</f>
        <v>12</v>
      </c>
      <c r="IH461" s="233"/>
      <c r="II461" s="233"/>
      <c r="IJ461" s="233"/>
      <c r="IK461" s="221"/>
      <c r="IL461" s="220">
        <f>(ID461+IE461+IF461+IG461+IH461+II461+IJ461+IK461)/3</f>
        <v>12</v>
      </c>
      <c r="IM461" s="220">
        <f>2*IL461</f>
        <v>24</v>
      </c>
      <c r="IN461" s="221">
        <f>3*IL461</f>
        <v>36</v>
      </c>
      <c r="IO461" s="236">
        <f>ID461*POWER(KLslave,SIGN(IE461))*POWER(INslave,SIGN(IF461))*POWER(CHslave,SIGN(IG461))*POWER(FFslave,SIGN(IH461))*POWER(GEslave,SIGN(II461))*POWER(KOslave,SIGN(IJ461))*POWER(KKslave_KK,SIGN(IK461))+IE461*POWER(MUslave,SIGN(ID461))*POWER(INslave,SIGN(IF461))*POWER(CHslave,SIGN(IG461))*POWER(FFslave,SIGN(IH461))*POWER(GEslave,SIGN(II461))*POWER(KOslave,SIGN(IJ461))*POWER(KKslave_KK,SIGN(IK461))+IF461*POWER(MUslave,SIGN(ID461))*POWER(KLslave,SIGN(IE461))*POWER(CHslave,SIGN(IG461))*POWER(FFslave,SIGN(IH461))*POWER(GEslave,SIGN(II461))*POWER(KOslave,SIGN(IJ461))*POWER(KKslave_KK,SIGN(IK461))+IG461*POWER(MUslave,SIGN(ID461))*POWER(KLslave,SIGN(IE461))*POWER(INslave,SIGN(IF461))*POWER(FFslave,SIGN(IH461))*POWER(GEslave,SIGN(II461))*POWER(KOslave,SIGN(IJ461))*POWER(KKslave_KK,SIGN(IK461))+IH461*POWER(MUslave,SIGN(ID461))*POWER(KLslave,SIGN(IE461))*POWER(INslave,SIGN(IF461))*POWER(CHslave,SIGN(IG461))*POWER(GEslave,SIGN(II461))*POWER(KOslave,SIGN(IJ461))*POWER(KKslave_KK,SIGN(IK461))+II461*POWER(MUslave,SIGN(ID461))*POWER(KLslave,SIGN(IE461))*POWER(INslave,SIGN(IF461))*POWER(CHslave,SIGN(IG461))*POWER(FFslave,SIGN(IH461))*POWER(KOslave,SIGN(IJ461))*POWER(KKslave_KK,SIGN(IK461))+IJ461*POWER(MUslave,SIGN(ID461))*POWER(KLslave,SIGN(IE461))*POWER(INslave,SIGN(IF461))*POWER(CHslave,SIGN(IG461))*POWER(FFslave,SIGN(IH461))*POWER(GEslave,SIGN(II461))*POWER(KKslave_KK,SIGN(IK461))+IK461*POWER(MUslave,SIGN(ID461))*POWER(KLslave,SIGN(IE461))*POWER(INslave,SIGN(IF461))*POWER(CHslave,SIGN(IG461))*POWER(FFslave,SIGN(IH461))*POWER(GEslave,SIGN(II461))*POWER(KOslave,SIGN(IJ461))</f>
        <v>2304</v>
      </c>
      <c r="IP461" s="233">
        <f>ID461*IF461*CHslave+ID461*INslave*IG461+MUslave*IF461*IG461</f>
        <v>3456</v>
      </c>
      <c r="IQ461" s="221">
        <f>IFERROR(ID461^SIGN(ID461),1)*IFERROR(IE461^SIGN(IE461),1)*IFERROR(IF461^SIGN(IF461),1)*IFERROR(IG461^SIGN(IG461),1)*IFERROR(IH461^SIGN(IH461),1)*IFERROR(II461^SIGN(II461),1)*IFERROR(IJ461^SIGN(IJ461),1)*IFERROR(IK461^SIGN(IK461),1)</f>
        <v>1728</v>
      </c>
      <c r="IR461" s="221">
        <f>SUM(IO461:IQ461)</f>
        <v>7488</v>
      </c>
      <c r="IS461" s="219">
        <f>IL461*IO461/IR461</f>
        <v>3.6923076923076925</v>
      </c>
      <c r="IT461" s="220">
        <f>IM461*IP461/IR461</f>
        <v>11.076923076923077</v>
      </c>
      <c r="IU461" s="241">
        <f>IN461*IQ461/IR461</f>
        <v>8.3076923076923084</v>
      </c>
      <c r="IV461" s="241">
        <f>SUM(IS461:IU461)</f>
        <v>23.07692307692308</v>
      </c>
      <c r="IW461" s="252">
        <f t="shared" ref="IW461:IW462" si="4789">HT461</f>
        <v>0</v>
      </c>
      <c r="IX461" s="309">
        <f>IV461-IW461</f>
        <v>23.07692307692308</v>
      </c>
      <c r="IY461" s="42">
        <f>IF(IV461&lt;=0,2,0)+IF(IV461&gt;0,IV461+1,0)*2+IF(IV461&gt;12,IV461-12,0)*2+IF(IV461&gt;13,IV461-13,0)*2+IF(IV461&gt;14,IV461-14,0)*2+IF(IV461&gt;15,IV461-15,0)*2+IF(IV461&gt;16,IV461-16,0)*2+IF(IV461&gt;17,IV461-17,0)*2+IF(IV461&gt;18,IV461-18,0)*2+IF(IV461&gt;19,IV461-19,0)*2+IF(IV461&gt;20,IV461-20,0)*2</f>
        <v>175.5384615384616</v>
      </c>
      <c r="IZ461" s="78">
        <f>IF(IW461&lt;=0,2,0)+IF(IW461&gt;0,IW461+1,0)*2+IF(IW461&gt;12,IW461-12,0)*2+IF(IW461&gt;13,IW461-13,0)*2+IF(IW461&gt;14,IW461-14,0)*2+IF(IW461&gt;15,IW461-15,0)*2+IF(IW461&gt;16,IW461-16,0)*2+IF(IW461&gt;17,IW461-17,0)*2+IF(IW461&gt;18,IW461-18,0)*2+IF(IW461&gt;19,IW461-19,0)*2+IF(IW461&gt;20,IW461-20,0)*2</f>
        <v>2</v>
      </c>
      <c r="JA461" s="241">
        <f>IF((IY461-IZ461)&gt;0,IY461-IZ461,0)</f>
        <v>173.5384615384616</v>
      </c>
      <c r="JB461" s="42">
        <f>IF((IZ461-IY461)&gt;0,IZ461-IY461,0)</f>
        <v>0</v>
      </c>
      <c r="JE461" s="148"/>
    </row>
    <row r="462" spans="2:265" hidden="1" outlineLevel="2">
      <c r="B462" s="148">
        <v>2</v>
      </c>
      <c r="C462" s="306" t="e">
        <f>VLOOKUP(AF462,Attribute!C:T,1,FALSE)</f>
        <v>#N/A</v>
      </c>
      <c r="D462" s="87" t="s">
        <v>95</v>
      </c>
      <c r="E462" s="128" t="s">
        <v>132</v>
      </c>
      <c r="F462" s="115">
        <f>Konvention_1master-MUmaster</f>
        <v>12</v>
      </c>
      <c r="G462" s="122">
        <f>Konvention_1master-KLmaster</f>
        <v>12</v>
      </c>
      <c r="H462" s="122">
        <f>Konvention_1master-INmaster</f>
        <v>12</v>
      </c>
      <c r="I462" s="122"/>
      <c r="J462" s="122"/>
      <c r="K462" s="122"/>
      <c r="L462" s="122"/>
      <c r="M462" s="123"/>
      <c r="N462" s="226">
        <f>(F462+G462+H462+I462+J462+K462+L462+M462)/3</f>
        <v>12</v>
      </c>
      <c r="O462" s="226">
        <f>2*N462</f>
        <v>24</v>
      </c>
      <c r="P462" s="227">
        <f>3*N462</f>
        <v>36</v>
      </c>
      <c r="Q462" s="238">
        <f>F462*POWER(KLmaster,SIGN(G462))*POWER(INmaster,SIGN(H462))*POWER(CHmaster,SIGN(I462))*POWER(FFmaster,SIGN(J462))*POWER(GEmaster,SIGN(K462))*POWER(KOmaster,SIGN(L462))*POWER(KKmaster,SIGN(M462))+G462*POWER(MUmaster,SIGN(F462))*POWER(INmaster,SIGN(H462))*POWER(CHmaster,SIGN(I462))*POWER(FFmaster,SIGN(J462))*POWER(GEmaster,SIGN(K462))*POWER(KOmaster,SIGN(L462))*POWER(KKmaster,SIGN(M462))+H462*POWER(MUmaster,SIGN(F462))*POWER(KLmaster,SIGN(G462))*POWER(CHmaster,SIGN(I462))*POWER(FFmaster,SIGN(J462))*POWER(GEmaster,SIGN(K462))*POWER(KOmaster,SIGN(L462))*POWER(KKmaster,SIGN(M462))+I462*POWER(MUmaster,SIGN(F462))*POWER(KLmaster,SIGN(G462))*POWER(INmaster,SIGN(H462))*POWER(FFmaster,SIGN(J462))*POWER(GEmaster,SIGN(K462))*POWER(KOmaster,SIGN(L462))*POWER(KKmaster,SIGN(M462))+J462*POWER(MUmaster,SIGN(F462))*POWER(KLmaster,SIGN(G462))*POWER(INmaster,SIGN(H462))*POWER(CHmaster,SIGN(I462))*POWER(GEmaster,SIGN(K462))*POWER(KOmaster,SIGN(L462))*POWER(KKmaster,SIGN(M462))+K462*POWER(MUmaster,SIGN(F462))*POWER(KLmaster,SIGN(G462))*POWER(INmaster,SIGN(H462))*POWER(CHmaster,SIGN(I462))*POWER(FFmaster,SIGN(J462))*POWER(KOmaster,SIGN(L462))*POWER(KKmaster,SIGN(M462))+L462*POWER(MUmaster,SIGN(F462))*POWER(KLmaster,SIGN(G462))*POWER(INmaster,SIGN(H462))*POWER(CHmaster,SIGN(I462))*POWER(FFmaster,SIGN(J462))*POWER(GEmaster,SIGN(K462))*POWER(KKmaster,SIGN(M462))+M462*POWER(MUmaster,SIGN(F462))*POWER(KLmaster,SIGN(G462))*POWER(INmaster,SIGN(H462))*POWER(CHmaster,SIGN(I462))*POWER(FFmaster,SIGN(J462))*POWER(GEmaster,SIGN(K462))*POWER(KOmaster,SIGN(L462))</f>
        <v>2304</v>
      </c>
      <c r="R462" s="122">
        <f>F462*G462*INmaster+F462*KLmaster*H462+MUmaster*G462*H462</f>
        <v>3456</v>
      </c>
      <c r="S462" s="227">
        <f>IFERROR(F462^SIGN(F462),1)*IFERROR(G462^SIGN(G462),1)*IFERROR(H462^SIGN(H462),1)*IFERROR(I462^SIGN(I462),1)*IFERROR(J462^SIGN(J462),1)*IFERROR(K462^SIGN(K462),1)*IFERROR(L462^SIGN(L462),1)*IFERROR(M462^SIGN(M462),1)</f>
        <v>1728</v>
      </c>
      <c r="T462" s="227">
        <f>SUM(Q462:S462)</f>
        <v>7488</v>
      </c>
      <c r="U462" s="225">
        <f>N462*Q462/T462</f>
        <v>3.6923076923076925</v>
      </c>
      <c r="V462" s="226">
        <f>O462*R462/T462</f>
        <v>11.076923076923077</v>
      </c>
      <c r="W462" s="245">
        <f>P462*S462/T462</f>
        <v>8.3076923076923084</v>
      </c>
      <c r="X462" s="245">
        <f>SUM(U462:W462)</f>
        <v>23.07692307692308</v>
      </c>
      <c r="Y462" s="252">
        <v>0</v>
      </c>
      <c r="Z462" s="198">
        <f>X462-Y462</f>
        <v>23.07692307692308</v>
      </c>
      <c r="AA462" s="159">
        <f>IF(X462&lt;=0,2,0)+IF(X462&gt;0,X462+1,0)*2+IF(X462&gt;12,X462-12,0)*2+IF(X462&gt;13,X462-13,0)*2+IF(X462&gt;14,X462-14,0)*2+IF(X462&gt;15,X462-15,0)*2+IF(X462&gt;16,X462-16,0)*2+IF(X462&gt;17,X462-17,0)*2+IF(X462&gt;18,X462-18,0)*2+IF(X462&gt;19,X462-19,0)*2+IF(X462&gt;20,X462-20,0)*2</f>
        <v>175.5384615384616</v>
      </c>
      <c r="AB462" s="161">
        <f>IF(Y462&lt;=0,2,0)+IF(Y462&gt;0,Y462+1,0)*2+IF(Y462&gt;12,Y462-12,0)*2+IF(Y462&gt;13,Y462-13,0)*2+IF(Y462&gt;14,Y462-14,0)*2+IF(Y462&gt;15,Y462-15,0)*2+IF(Y462&gt;16,Y462-16,0)*2+IF(Y462&gt;17,Y462-17,0)*2+IF(Y462&gt;18,Y462-18,0)*2+IF(Y462&gt;19,Y462-19,0)*2+IF(Y462&gt;20,Y462-20,0)*2</f>
        <v>2</v>
      </c>
      <c r="AC462" s="128">
        <f>IF((AA462-AB462)&gt;0,AA462-AB462,0)</f>
        <v>173.5384615384616</v>
      </c>
      <c r="AD462" s="159">
        <f>IF((AB462-AA462)&gt;0,AB462-AA462,0)</f>
        <v>0</v>
      </c>
      <c r="AF462" s="164" t="s">
        <v>273</v>
      </c>
      <c r="AG462" s="159" t="s">
        <v>95</v>
      </c>
      <c r="AH462" s="128" t="s">
        <v>132</v>
      </c>
      <c r="AI462" s="115">
        <f>Konvention_1slave-MUslave_MU</f>
        <v>11</v>
      </c>
      <c r="AJ462" s="122">
        <f>Konvention_1slave-KLslave</f>
        <v>12</v>
      </c>
      <c r="AK462" s="122">
        <f>Konvention_1slave-INslave</f>
        <v>12</v>
      </c>
      <c r="AL462" s="122"/>
      <c r="AM462" s="122"/>
      <c r="AN462" s="122"/>
      <c r="AO462" s="122"/>
      <c r="AP462" s="123"/>
      <c r="AQ462" s="88">
        <f>(AI462+AJ462+AK462+AL462+AM462+AN462+AO462+AP462)/3</f>
        <v>11.666666666666666</v>
      </c>
      <c r="AR462" s="88">
        <f>2*AQ462</f>
        <v>23.333333333333332</v>
      </c>
      <c r="AS462" s="123">
        <f>3*AQ462</f>
        <v>35</v>
      </c>
      <c r="AT462" s="115">
        <f>AI462*POWER(KLslave,SIGN(AJ462))*POWER(INslave,SIGN(AK462))*POWER(CHslave,SIGN(AL462))*POWER(FFslave,SIGN(AM462))*POWER(GEslave,SIGN(AN462))*POWER(KOslave,SIGN(AO462))*POWER(KKslave,SIGN(AP462))+AJ462*POWER(MUslave_MU,SIGN(AI462))*POWER(INslave,SIGN(AK462))*POWER(CHslave,SIGN(AL462))*POWER(FFslave,SIGN(AM462))*POWER(GEslave,SIGN(AN462))*POWER(KOslave,SIGN(AO462))*POWER(KKslave,SIGN(AP462))+AK462*POWER(MUslave_MU,SIGN(AI462))*POWER(KLslave,SIGN(AJ462))*POWER(CHslave,SIGN(AL462))*POWER(FFslave,SIGN(AM462))*POWER(GEslave,SIGN(AN462))*POWER(KOslave,SIGN(AO462))*POWER(KKslave,SIGN(AP462))+AL462*POWER(MUslave_MU,SIGN(AI462))*POWER(KLslave,SIGN(AJ462))*POWER(INslave,SIGN(AK462))*POWER(FFslave,SIGN(AM462))*POWER(GEslave,SIGN(AN462))*POWER(KOslave,SIGN(AO462))*POWER(KKslave,SIGN(AP462))+AM462*POWER(MUslave_MU,SIGN(AI462))*POWER(KLslave,SIGN(AJ462))*POWER(INslave,SIGN(AK462))*POWER(CHslave,SIGN(AL462))*POWER(GEslave,SIGN(AN462))*POWER(KOslave,SIGN(AO462))*POWER(KKslave,SIGN(AP462))+AN462*POWER(MUslave_MU,SIGN(AI462))*POWER(KLslave,SIGN(AJ462))*POWER(INslave,SIGN(AK462))*POWER(CHslave,SIGN(AL462))*POWER(FFslave,SIGN(AM462))*POWER(KOslave,SIGN(AO462))*POWER(KKslave,SIGN(AP462))+AO462*POWER(MUslave_MU,SIGN(AI462))*POWER(KLslave,SIGN(AJ462))*POWER(INslave,SIGN(AK462))*POWER(CHslave,SIGN(AL462))*POWER(FFslave,SIGN(AM462))*POWER(GEslave,SIGN(AN462))*POWER(KKslave,SIGN(AP462))+AP462*POWER(MUslave_MU,SIGN(AI462))*POWER(KLslave,SIGN(AJ462))*POWER(INslave,SIGN(AK462))*POWER(CHslave,SIGN(AL462))*POWER(FFslave,SIGN(AM462))*POWER(GEslave,SIGN(AN462))*POWER(KOslave,SIGN(AO462))</f>
        <v>2432</v>
      </c>
      <c r="AU462" s="122">
        <f>AI462*AJ462*INslave+AI462*KLslave*AK462+MUslave_MU*AJ462*AK462</f>
        <v>3408</v>
      </c>
      <c r="AV462" s="123">
        <f>IFERROR(AI462^SIGN(AI462),1)*IFERROR(AJ462^SIGN(AJ462),1)*IFERROR(AK462^SIGN(AK462),1)*IFERROR(AL462^SIGN(AL462),1)*IFERROR(AM462^SIGN(AM462),1)*IFERROR(AN462^SIGN(AN462),1)*IFERROR(AO462^SIGN(AO462),1)*IFERROR(AP462^SIGN(AP462),1)</f>
        <v>1584</v>
      </c>
      <c r="AW462" s="123">
        <f>SUM(AT462:AV462)</f>
        <v>7424</v>
      </c>
      <c r="AX462" s="90">
        <f>AQ462*AT462/AW462</f>
        <v>3.8218390804597702</v>
      </c>
      <c r="AY462" s="88">
        <f>AR462*AU462/AW462</f>
        <v>10.711206896551724</v>
      </c>
      <c r="AZ462" s="128">
        <f>AS462*AV462/AW462</f>
        <v>7.4676724137931032</v>
      </c>
      <c r="BA462" s="128">
        <f>SUM(AX462:AZ462)</f>
        <v>22.000718390804597</v>
      </c>
      <c r="BB462" s="165">
        <f t="shared" si="4782"/>
        <v>0</v>
      </c>
      <c r="BC462" s="198">
        <f>BA462-BB462</f>
        <v>22.000718390804597</v>
      </c>
      <c r="BD462" s="159">
        <f>IF(BA462&lt;=0,2,0)+IF(BA462&gt;0,BA462+1,0)*2+IF(BA462&gt;12,BA462-12,0)*2+IF(BA462&gt;13,BA462-13,0)*2+IF(BA462&gt;14,BA462-14,0)*2+IF(BA462&gt;15,BA462-15,0)*2+IF(BA462&gt;16,BA462-16,0)*2+IF(BA462&gt;17,BA462-17,0)*2+IF(BA462&gt;18,BA462-18,0)*2+IF(BA462&gt;19,BA462-19,0)*2+IF(BA462&gt;20,BA462-20,0)*2</f>
        <v>154.01436781609189</v>
      </c>
      <c r="BE462" s="161">
        <f>IF(BB462&lt;=0,2,0)+IF(BB462&gt;0,BB462+1,0)*2+IF(BB462&gt;12,BB462-12,0)*2+IF(BB462&gt;13,BB462-13,0)*2+IF(BB462&gt;14,BB462-14,0)*2+IF(BB462&gt;15,BB462-15,0)*2+IF(BB462&gt;16,BB462-16,0)*2+IF(BB462&gt;17,BB462-17,0)*2+IF(BB462&gt;18,BB462-18,0)*2+IF(BB462&gt;19,BB462-19,0)*2+IF(BB462&gt;20,BB462-20,0)*2</f>
        <v>2</v>
      </c>
      <c r="BF462" s="245">
        <f>IF((BD462-BE462)&gt;0,BD462-BE462,0)</f>
        <v>152.01436781609189</v>
      </c>
      <c r="BG462" s="246">
        <f>IF((BE462-BD462)&gt;0,BE462-BD462,0)</f>
        <v>0</v>
      </c>
      <c r="BI462" s="306" t="s">
        <v>273</v>
      </c>
      <c r="BJ462" s="246" t="s">
        <v>95</v>
      </c>
      <c r="BK462" s="245" t="s">
        <v>132</v>
      </c>
      <c r="BL462" s="238">
        <f>Konvention_1slave-MUslave</f>
        <v>12</v>
      </c>
      <c r="BM462" s="235">
        <f>Konvention_1slave-KLslave_KL</f>
        <v>11</v>
      </c>
      <c r="BN462" s="235">
        <f>Konvention_1slave-INslave</f>
        <v>12</v>
      </c>
      <c r="BO462" s="235"/>
      <c r="BP462" s="235"/>
      <c r="BQ462" s="235"/>
      <c r="BR462" s="235"/>
      <c r="BS462" s="227"/>
      <c r="BT462" s="226">
        <f>(BL462+BM462+BN462+BO462+BP462+BQ462+BR462+BS462)/3</f>
        <v>11.666666666666666</v>
      </c>
      <c r="BU462" s="226">
        <f>2*BT462</f>
        <v>23.333333333333332</v>
      </c>
      <c r="BV462" s="227">
        <f>3*BT462</f>
        <v>35</v>
      </c>
      <c r="BW462" s="238">
        <f>BL462*POWER(KLslave_KL,SIGN(BM462))*POWER(INslave,SIGN(BN462))*POWER(CHslave,SIGN(BO462))*POWER(FFslave,SIGN(BP462))*POWER(GEslave,SIGN(BQ462))*POWER(KOslave,SIGN(BR462))*POWER(KKslave,SIGN(BS462))+BM462*POWER(MUslave,SIGN(BL462))*POWER(INslave,SIGN(BN462))*POWER(CHslave,SIGN(BO462))*POWER(FFslave,SIGN(BP462))*POWER(GEslave,SIGN(BQ462))*POWER(KOslave,SIGN(BR462))*POWER(KKslave,SIGN(BS462))+BN462*POWER(MUslave,SIGN(BL462))*POWER(KLslave_KL,SIGN(BM462))*POWER(CHslave,SIGN(BO462))*POWER(FFslave,SIGN(BP462))*POWER(GEslave,SIGN(BQ462))*POWER(KOslave,SIGN(BR462))*POWER(KKslave,SIGN(BS462))+BO462*POWER(MUslave,SIGN(BL462))*POWER(KLslave_KL,SIGN(BM462))*POWER(INslave,SIGN(BN462))*POWER(FFslave,SIGN(BP462))*POWER(GEslave,SIGN(BQ462))*POWER(KOslave,SIGN(BR462))*POWER(KKslave,SIGN(BS462))+BP462*POWER(MUslave,SIGN(BL462))*POWER(KLslave_KL,SIGN(BM462))*POWER(INslave,SIGN(BN462))*POWER(CHslave,SIGN(BO462))*POWER(GEslave,SIGN(BQ462))*POWER(KOslave,SIGN(BR462))*POWER(KKslave,SIGN(BS462))+BQ462*POWER(MUslave,SIGN(BL462))*POWER(KLslave_KL,SIGN(BM462))*POWER(INslave,SIGN(BN462))*POWER(CHslave,SIGN(BO462))*POWER(FFslave,SIGN(BP462))*POWER(KOslave,SIGN(BR462))*POWER(KKslave,SIGN(BS462))+BR462*POWER(MUslave,SIGN(BL462))*POWER(KLslave_KL,SIGN(BM462))*POWER(INslave,SIGN(BN462))*POWER(CHslave,SIGN(BO462))*POWER(FFslave,SIGN(BP462))*POWER(GEslave,SIGN(BQ462))*POWER(KKslave,SIGN(BS462))+BS462*POWER(MUslave,SIGN(BL462))*POWER(KLslave_KL,SIGN(BM462))*POWER(INslave,SIGN(BN462))*POWER(CHslave,SIGN(BO462))*POWER(FFslave,SIGN(BP462))*POWER(GEslave,SIGN(BQ462))*POWER(KOslave,SIGN(BR462))</f>
        <v>2432</v>
      </c>
      <c r="BX462" s="235">
        <f>BL462*BM462*INslave+BL462*KLslave_KL*BN462+MUslave*BM462*BN462</f>
        <v>3408</v>
      </c>
      <c r="BY462" s="227">
        <f>IFERROR(BL462^SIGN(BL462),1)*IFERROR(BM462^SIGN(BM462),1)*IFERROR(BN462^SIGN(BN462),1)*IFERROR(BO462^SIGN(BO462),1)*IFERROR(BP462^SIGN(BP462),1)*IFERROR(BQ462^SIGN(BQ462),1)*IFERROR(BR462^SIGN(BR462),1)*IFERROR(BS462^SIGN(BS462),1)</f>
        <v>1584</v>
      </c>
      <c r="BZ462" s="227">
        <f>SUM(BW462:BY462)</f>
        <v>7424</v>
      </c>
      <c r="CA462" s="225">
        <f>BT462*BW462/BZ462</f>
        <v>3.8218390804597702</v>
      </c>
      <c r="CB462" s="226">
        <f>BU462*BX462/BZ462</f>
        <v>10.711206896551724</v>
      </c>
      <c r="CC462" s="245">
        <f>BV462*BY462/BZ462</f>
        <v>7.4676724137931032</v>
      </c>
      <c r="CD462" s="245">
        <f>SUM(CA462:CC462)</f>
        <v>22.000718390804597</v>
      </c>
      <c r="CE462" s="252">
        <f t="shared" si="4783"/>
        <v>0</v>
      </c>
      <c r="CF462" s="309">
        <f>CD462-CE462</f>
        <v>22.000718390804597</v>
      </c>
      <c r="CG462" s="246">
        <f>IF(CD462&lt;=0,2,0)+IF(CD462&gt;0,CD462+1,0)*2+IF(CD462&gt;12,CD462-12,0)*2+IF(CD462&gt;13,CD462-13,0)*2+IF(CD462&gt;14,CD462-14,0)*2+IF(CD462&gt;15,CD462-15,0)*2+IF(CD462&gt;16,CD462-16,0)*2+IF(CD462&gt;17,CD462-17,0)*2+IF(CD462&gt;18,CD462-18,0)*2+IF(CD462&gt;19,CD462-19,0)*2+IF(CD462&gt;20,CD462-20,0)*2</f>
        <v>154.01436781609189</v>
      </c>
      <c r="CH462" s="244">
        <f>IF(CE462&lt;=0,2,0)+IF(CE462&gt;0,CE462+1,0)*2+IF(CE462&gt;12,CE462-12,0)*2+IF(CE462&gt;13,CE462-13,0)*2+IF(CE462&gt;14,CE462-14,0)*2+IF(CE462&gt;15,CE462-15,0)*2+IF(CE462&gt;16,CE462-16,0)*2+IF(CE462&gt;17,CE462-17,0)*2+IF(CE462&gt;18,CE462-18,0)*2+IF(CE462&gt;19,CE462-19,0)*2+IF(CE462&gt;20,CE462-20,0)*2</f>
        <v>2</v>
      </c>
      <c r="CI462" s="245">
        <f>IF((CG462-CH462)&gt;0,CG462-CH462,0)</f>
        <v>152.01436781609189</v>
      </c>
      <c r="CJ462" s="246">
        <f>IF((CH462-CG462)&gt;0,CH462-CG462,0)</f>
        <v>0</v>
      </c>
      <c r="CL462" s="306" t="s">
        <v>273</v>
      </c>
      <c r="CM462" s="246" t="s">
        <v>95</v>
      </c>
      <c r="CN462" s="245" t="s">
        <v>132</v>
      </c>
      <c r="CO462" s="238">
        <f>Konvention_1slave-MUslave</f>
        <v>12</v>
      </c>
      <c r="CP462" s="235">
        <f>Konvention_1slave-KLslave</f>
        <v>12</v>
      </c>
      <c r="CQ462" s="235">
        <f>Konvention_1slave-INslave_IN</f>
        <v>11</v>
      </c>
      <c r="CR462" s="235"/>
      <c r="CS462" s="235"/>
      <c r="CT462" s="235"/>
      <c r="CU462" s="235"/>
      <c r="CV462" s="227"/>
      <c r="CW462" s="226">
        <f>(CO462+CP462+CQ462+CR462+CS462+CT462+CU462+CV462)/3</f>
        <v>11.666666666666666</v>
      </c>
      <c r="CX462" s="226">
        <f>2*CW462</f>
        <v>23.333333333333332</v>
      </c>
      <c r="CY462" s="227">
        <f>3*CW462</f>
        <v>35</v>
      </c>
      <c r="CZ462" s="238">
        <f>CO462*POWER(KLslave,SIGN(CP462))*POWER(INslave_IN,SIGN(CQ462))*POWER(CHslave,SIGN(CR462))*POWER(FFslave,SIGN(CS462))*POWER(GEslave,SIGN(CT462))*POWER(KOslave,SIGN(CU462))*POWER(KKslave,SIGN(CV462))+CP462*POWER(MUslave,SIGN(CO462))*POWER(INslave_IN,SIGN(CQ462))*POWER(CHslave,SIGN(CR462))*POWER(FFslave,SIGN(CS462))*POWER(GEslave,SIGN(CT462))*POWER(KOslave,SIGN(CU462))*POWER(KKslave,SIGN(CV462))+CQ462*POWER(MUslave,SIGN(CO462))*POWER(KLslave,SIGN(CP462))*POWER(CHslave,SIGN(CR462))*POWER(FFslave,SIGN(CS462))*POWER(GEslave,SIGN(CT462))*POWER(KOslave,SIGN(CU462))*POWER(KKslave,SIGN(CV462))+CR462*POWER(MUslave,SIGN(CO462))*POWER(KLslave,SIGN(CP462))*POWER(INslave_IN,SIGN(CQ462))*POWER(FFslave,SIGN(CS462))*POWER(GEslave,SIGN(CT462))*POWER(KOslave,SIGN(CU462))*POWER(KKslave,SIGN(CV462))+CS462*POWER(MUslave,SIGN(CO462))*POWER(KLslave,SIGN(CP462))*POWER(INslave_IN,SIGN(CQ462))*POWER(CHslave,SIGN(CR462))*POWER(GEslave,SIGN(CT462))*POWER(KOslave,SIGN(CU462))*POWER(KKslave,SIGN(CV462))+CT462*POWER(MUslave,SIGN(CO462))*POWER(KLslave,SIGN(CP462))*POWER(INslave_IN,SIGN(CQ462))*POWER(CHslave,SIGN(CR462))*POWER(FFslave,SIGN(CS462))*POWER(KOslave,SIGN(CU462))*POWER(KKslave,SIGN(CV462))+CU462*POWER(MUslave,SIGN(CO462))*POWER(KLslave,SIGN(CP462))*POWER(INslave_IN,SIGN(CQ462))*POWER(CHslave,SIGN(CR462))*POWER(FFslave,SIGN(CS462))*POWER(GEslave,SIGN(CT462))*POWER(KKslave,SIGN(CV462))+CV462*POWER(MUslave,SIGN(CO462))*POWER(KLslave,SIGN(CP462))*POWER(INslave_IN,SIGN(CQ462))*POWER(CHslave,SIGN(CR462))*POWER(FFslave,SIGN(CS462))*POWER(GEslave,SIGN(CT462))*POWER(KOslave,SIGN(CU462))</f>
        <v>2432</v>
      </c>
      <c r="DA462" s="235">
        <f>CO462*CP462*INslave_IN+CO462*KLslave*CQ462+MUslave*CP462*CQ462</f>
        <v>3408</v>
      </c>
      <c r="DB462" s="227">
        <f>IFERROR(CO462^SIGN(CO462),1)*IFERROR(CP462^SIGN(CP462),1)*IFERROR(CQ462^SIGN(CQ462),1)*IFERROR(CR462^SIGN(CR462),1)*IFERROR(CS462^SIGN(CS462),1)*IFERROR(CT462^SIGN(CT462),1)*IFERROR(CU462^SIGN(CU462),1)*IFERROR(CV462^SIGN(CV462),1)</f>
        <v>1584</v>
      </c>
      <c r="DC462" s="227">
        <f>SUM(CZ462:DB462)</f>
        <v>7424</v>
      </c>
      <c r="DD462" s="225">
        <f>CW462*CZ462/DC462</f>
        <v>3.8218390804597702</v>
      </c>
      <c r="DE462" s="226">
        <f>CX462*DA462/DC462</f>
        <v>10.711206896551724</v>
      </c>
      <c r="DF462" s="245">
        <f>CY462*DB462/DC462</f>
        <v>7.4676724137931032</v>
      </c>
      <c r="DG462" s="245">
        <f>SUM(DD462:DF462)</f>
        <v>22.000718390804597</v>
      </c>
      <c r="DH462" s="252">
        <f t="shared" si="4784"/>
        <v>0</v>
      </c>
      <c r="DI462" s="309">
        <f>DG462-DH462</f>
        <v>22.000718390804597</v>
      </c>
      <c r="DJ462" s="246">
        <f>IF(DG462&lt;=0,2,0)+IF(DG462&gt;0,DG462+1,0)*2+IF(DG462&gt;12,DG462-12,0)*2+IF(DG462&gt;13,DG462-13,0)*2+IF(DG462&gt;14,DG462-14,0)*2+IF(DG462&gt;15,DG462-15,0)*2+IF(DG462&gt;16,DG462-16,0)*2+IF(DG462&gt;17,DG462-17,0)*2+IF(DG462&gt;18,DG462-18,0)*2+IF(DG462&gt;19,DG462-19,0)*2+IF(DG462&gt;20,DG462-20,0)*2</f>
        <v>154.01436781609189</v>
      </c>
      <c r="DK462" s="244">
        <f>IF(DH462&lt;=0,2,0)+IF(DH462&gt;0,DH462+1,0)*2+IF(DH462&gt;12,DH462-12,0)*2+IF(DH462&gt;13,DH462-13,0)*2+IF(DH462&gt;14,DH462-14,0)*2+IF(DH462&gt;15,DH462-15,0)*2+IF(DH462&gt;16,DH462-16,0)*2+IF(DH462&gt;17,DH462-17,0)*2+IF(DH462&gt;18,DH462-18,0)*2+IF(DH462&gt;19,DH462-19,0)*2+IF(DH462&gt;20,DH462-20,0)*2</f>
        <v>2</v>
      </c>
      <c r="DL462" s="245">
        <f>IF((DJ462-DK462)&gt;0,DJ462-DK462,0)</f>
        <v>152.01436781609189</v>
      </c>
      <c r="DM462" s="246">
        <f>IF((DK462-DJ462)&gt;0,DK462-DJ462,0)</f>
        <v>0</v>
      </c>
      <c r="DO462" s="306" t="s">
        <v>273</v>
      </c>
      <c r="DP462" s="246" t="s">
        <v>95</v>
      </c>
      <c r="DQ462" s="245" t="s">
        <v>132</v>
      </c>
      <c r="DR462" s="238">
        <f>Konvention_1slave-MUslave</f>
        <v>12</v>
      </c>
      <c r="DS462" s="235">
        <f>Konvention_1slave-KLslave</f>
        <v>12</v>
      </c>
      <c r="DT462" s="235">
        <f>Konvention_1slave-INslave</f>
        <v>12</v>
      </c>
      <c r="DU462" s="235"/>
      <c r="DV462" s="235"/>
      <c r="DW462" s="235"/>
      <c r="DX462" s="235"/>
      <c r="DY462" s="227"/>
      <c r="DZ462" s="226">
        <f>(DR462+DS462+DT462+DU462+DV462+DW462+DX462+DY462)/3</f>
        <v>12</v>
      </c>
      <c r="EA462" s="226">
        <f>2*DZ462</f>
        <v>24</v>
      </c>
      <c r="EB462" s="227">
        <f>3*DZ462</f>
        <v>36</v>
      </c>
      <c r="EC462" s="238">
        <f>DR462*POWER(KLslave,SIGN(DS462))*POWER(INslave,SIGN(DT462))*POWER(CHslave_CH,SIGN(DU462))*POWER(FFslave,SIGN(DV462))*POWER(GEslave,SIGN(DW462))*POWER(KOslave,SIGN(DX462))*POWER(KKslave,SIGN(DY462))+DS462*POWER(MUslave,SIGN(DR462))*POWER(INslave,SIGN(DT462))*POWER(CHslave_CH,SIGN(DU462))*POWER(FFslave,SIGN(DV462))*POWER(GEslave,SIGN(DW462))*POWER(KOslave,SIGN(DX462))*POWER(KKslave,SIGN(DY462))+DT462*POWER(MUslave,SIGN(DR462))*POWER(KLslave,SIGN(DS462))*POWER(CHslave_CH,SIGN(DU462))*POWER(FFslave,SIGN(DV462))*POWER(GEslave,SIGN(DW462))*POWER(KOslave,SIGN(DX462))*POWER(KKslave,SIGN(DY462))+DU462*POWER(MUslave,SIGN(DR462))*POWER(KLslave,SIGN(DS462))*POWER(INslave,SIGN(DT462))*POWER(FFslave,SIGN(DV462))*POWER(GEslave,SIGN(DW462))*POWER(KOslave,SIGN(DX462))*POWER(KKslave,SIGN(DY462))+DV462*POWER(MUslave,SIGN(DR462))*POWER(KLslave,SIGN(DS462))*POWER(INslave,SIGN(DT462))*POWER(CHslave_CH,SIGN(DU462))*POWER(GEslave,SIGN(DW462))*POWER(KOslave,SIGN(DX462))*POWER(KKslave,SIGN(DY462))+DW462*POWER(MUslave,SIGN(DR462))*POWER(KLslave,SIGN(DS462))*POWER(INslave,SIGN(DT462))*POWER(CHslave_CH,SIGN(DU462))*POWER(FFslave,SIGN(DV462))*POWER(KOslave,SIGN(DX462))*POWER(KKslave,SIGN(DY462))+DX462*POWER(MUslave,SIGN(DR462))*POWER(KLslave,SIGN(DS462))*POWER(INslave,SIGN(DT462))*POWER(CHslave_CH,SIGN(DU462))*POWER(FFslave,SIGN(DV462))*POWER(GEslave,SIGN(DW462))*POWER(KKslave,SIGN(DY462))+DY462*POWER(MUslave,SIGN(DR462))*POWER(KLslave,SIGN(DS462))*POWER(INslave,SIGN(DT462))*POWER(CHslave_CH,SIGN(DU462))*POWER(FFslave,SIGN(DV462))*POWER(GEslave,SIGN(DW462))*POWER(KOslave,SIGN(DX462))</f>
        <v>2304</v>
      </c>
      <c r="ED462" s="235">
        <f>DR462*DS462*INslave+DR462*KLslave*DT462+MUslave*DS462*DT462</f>
        <v>3456</v>
      </c>
      <c r="EE462" s="227">
        <f>IFERROR(DR462^SIGN(DR462),1)*IFERROR(DS462^SIGN(DS462),1)*IFERROR(DT462^SIGN(DT462),1)*IFERROR(DU462^SIGN(DU462),1)*IFERROR(DV462^SIGN(DV462),1)*IFERROR(DW462^SIGN(DW462),1)*IFERROR(DX462^SIGN(DX462),1)*IFERROR(DY462^SIGN(DY462),1)</f>
        <v>1728</v>
      </c>
      <c r="EF462" s="227">
        <f>SUM(EC462:EE462)</f>
        <v>7488</v>
      </c>
      <c r="EG462" s="225">
        <f>DZ462*EC462/EF462</f>
        <v>3.6923076923076925</v>
      </c>
      <c r="EH462" s="226">
        <f>EA462*ED462/EF462</f>
        <v>11.076923076923077</v>
      </c>
      <c r="EI462" s="245">
        <f>EB462*EE462/EF462</f>
        <v>8.3076923076923084</v>
      </c>
      <c r="EJ462" s="245">
        <f>SUM(EG462:EI462)</f>
        <v>23.07692307692308</v>
      </c>
      <c r="EK462" s="252">
        <f t="shared" si="4785"/>
        <v>0</v>
      </c>
      <c r="EL462" s="309">
        <f>EJ462-EK462</f>
        <v>23.07692307692308</v>
      </c>
      <c r="EM462" s="246">
        <f>IF(EJ462&lt;=0,2,0)+IF(EJ462&gt;0,EJ462+1,0)*2+IF(EJ462&gt;12,EJ462-12,0)*2+IF(EJ462&gt;13,EJ462-13,0)*2+IF(EJ462&gt;14,EJ462-14,0)*2+IF(EJ462&gt;15,EJ462-15,0)*2+IF(EJ462&gt;16,EJ462-16,0)*2+IF(EJ462&gt;17,EJ462-17,0)*2+IF(EJ462&gt;18,EJ462-18,0)*2+IF(EJ462&gt;19,EJ462-19,0)*2+IF(EJ462&gt;20,EJ462-20,0)*2</f>
        <v>175.5384615384616</v>
      </c>
      <c r="EN462" s="244">
        <f>IF(EK462&lt;=0,2,0)+IF(EK462&gt;0,EK462+1,0)*2+IF(EK462&gt;12,EK462-12,0)*2+IF(EK462&gt;13,EK462-13,0)*2+IF(EK462&gt;14,EK462-14,0)*2+IF(EK462&gt;15,EK462-15,0)*2+IF(EK462&gt;16,EK462-16,0)*2+IF(EK462&gt;17,EK462-17,0)*2+IF(EK462&gt;18,EK462-18,0)*2+IF(EK462&gt;19,EK462-19,0)*2+IF(EK462&gt;20,EK462-20,0)*2</f>
        <v>2</v>
      </c>
      <c r="EO462" s="245">
        <f>IF((EM462-EN462)&gt;0,EM462-EN462,0)</f>
        <v>173.5384615384616</v>
      </c>
      <c r="EP462" s="246">
        <f>IF((EN462-EM462)&gt;0,EN462-EM462,0)</f>
        <v>0</v>
      </c>
      <c r="ER462" s="306" t="s">
        <v>273</v>
      </c>
      <c r="ES462" s="246" t="s">
        <v>95</v>
      </c>
      <c r="ET462" s="245" t="s">
        <v>132</v>
      </c>
      <c r="EU462" s="238">
        <f>Konvention_1slave-MUslave</f>
        <v>12</v>
      </c>
      <c r="EV462" s="235">
        <f>Konvention_1slave-KLslave</f>
        <v>12</v>
      </c>
      <c r="EW462" s="235">
        <f>Konvention_1slave-INslave</f>
        <v>12</v>
      </c>
      <c r="EX462" s="235"/>
      <c r="EY462" s="235"/>
      <c r="EZ462" s="235"/>
      <c r="FA462" s="235"/>
      <c r="FB462" s="227"/>
      <c r="FC462" s="226">
        <f>(EU462+EV462+EW462+EX462+EY462+EZ462+FA462+FB462)/3</f>
        <v>12</v>
      </c>
      <c r="FD462" s="226">
        <f>2*FC462</f>
        <v>24</v>
      </c>
      <c r="FE462" s="227">
        <f>3*FC462</f>
        <v>36</v>
      </c>
      <c r="FF462" s="238">
        <f>EU462*POWER(KLslave,SIGN(EV462))*POWER(INslave,SIGN(EW462))*POWER(CHslave,SIGN(EX462))*POWER(FFslave_FF,SIGN(EY462))*POWER(GEslave,SIGN(EZ462))*POWER(KOslave,SIGN(FA462))*POWER(KKslave,SIGN(FB462))+EV462*POWER(MUslave,SIGN(EU462))*POWER(INslave,SIGN(EW462))*POWER(CHslave,SIGN(EX462))*POWER(FFslave_FF,SIGN(EY462))*POWER(GEslave,SIGN(EZ462))*POWER(KOslave,SIGN(FA462))*POWER(KKslave,SIGN(FB462))+EW462*POWER(MUslave,SIGN(EU462))*POWER(KLslave,SIGN(EV462))*POWER(CHslave,SIGN(EX462))*POWER(FFslave_FF,SIGN(EY462))*POWER(GEslave,SIGN(EZ462))*POWER(KOslave,SIGN(FA462))*POWER(KKslave,SIGN(FB462))+EX462*POWER(MUslave,SIGN(EU462))*POWER(KLslave,SIGN(EV462))*POWER(INslave,SIGN(EW462))*POWER(FFslave_FF,SIGN(EY462))*POWER(GEslave,SIGN(EZ462))*POWER(KOslave,SIGN(FA462))*POWER(KKslave,SIGN(FB462))+EY462*POWER(MUslave,SIGN(EU462))*POWER(KLslave,SIGN(EV462))*POWER(INslave,SIGN(EW462))*POWER(CHslave,SIGN(EX462))*POWER(GEslave,SIGN(EZ462))*POWER(KOslave,SIGN(FA462))*POWER(KKslave,SIGN(FB462))+EZ462*POWER(MUslave,SIGN(EU462))*POWER(KLslave,SIGN(EV462))*POWER(INslave,SIGN(EW462))*POWER(CHslave,SIGN(EX462))*POWER(FFslave_FF,SIGN(EY462))*POWER(KOslave,SIGN(FA462))*POWER(KKslave,SIGN(FB462))+FA462*POWER(MUslave,SIGN(EU462))*POWER(KLslave,SIGN(EV462))*POWER(INslave,SIGN(EW462))*POWER(CHslave,SIGN(EX462))*POWER(FFslave_FF,SIGN(EY462))*POWER(GEslave,SIGN(EZ462))*POWER(KKslave,SIGN(FB462))+FB462*POWER(MUslave,SIGN(EU462))*POWER(KLslave,SIGN(EV462))*POWER(INslave,SIGN(EW462))*POWER(CHslave,SIGN(EX462))*POWER(FFslave_FF,SIGN(EY462))*POWER(GEslave,SIGN(EZ462))*POWER(KOslave,SIGN(FA462))</f>
        <v>2304</v>
      </c>
      <c r="FG462" s="235">
        <f>EU462*EV462*INslave+EU462*KLslave*EW462+MUslave*EV462*EW462</f>
        <v>3456</v>
      </c>
      <c r="FH462" s="227">
        <f>IFERROR(EU462^SIGN(EU462),1)*IFERROR(EV462^SIGN(EV462),1)*IFERROR(EW462^SIGN(EW462),1)*IFERROR(EX462^SIGN(EX462),1)*IFERROR(EY462^SIGN(EY462),1)*IFERROR(EZ462^SIGN(EZ462),1)*IFERROR(FA462^SIGN(FA462),1)*IFERROR(FB462^SIGN(FB462),1)</f>
        <v>1728</v>
      </c>
      <c r="FI462" s="227">
        <f>SUM(FF462:FH462)</f>
        <v>7488</v>
      </c>
      <c r="FJ462" s="225">
        <f>FC462*FF462/FI462</f>
        <v>3.6923076923076925</v>
      </c>
      <c r="FK462" s="226">
        <f>FD462*FG462/FI462</f>
        <v>11.076923076923077</v>
      </c>
      <c r="FL462" s="245">
        <f>FE462*FH462/FI462</f>
        <v>8.3076923076923084</v>
      </c>
      <c r="FM462" s="245">
        <f>SUM(FJ462:FL462)</f>
        <v>23.07692307692308</v>
      </c>
      <c r="FN462" s="252">
        <f t="shared" si="4786"/>
        <v>0</v>
      </c>
      <c r="FO462" s="309">
        <f>FM462-FN462</f>
        <v>23.07692307692308</v>
      </c>
      <c r="FP462" s="246">
        <f>IF(FM462&lt;=0,2,0)+IF(FM462&gt;0,FM462+1,0)*2+IF(FM462&gt;12,FM462-12,0)*2+IF(FM462&gt;13,FM462-13,0)*2+IF(FM462&gt;14,FM462-14,0)*2+IF(FM462&gt;15,FM462-15,0)*2+IF(FM462&gt;16,FM462-16,0)*2+IF(FM462&gt;17,FM462-17,0)*2+IF(FM462&gt;18,FM462-18,0)*2+IF(FM462&gt;19,FM462-19,0)*2+IF(FM462&gt;20,FM462-20,0)*2</f>
        <v>175.5384615384616</v>
      </c>
      <c r="FQ462" s="244">
        <f>IF(FN462&lt;=0,2,0)+IF(FN462&gt;0,FN462+1,0)*2+IF(FN462&gt;12,FN462-12,0)*2+IF(FN462&gt;13,FN462-13,0)*2+IF(FN462&gt;14,FN462-14,0)*2+IF(FN462&gt;15,FN462-15,0)*2+IF(FN462&gt;16,FN462-16,0)*2+IF(FN462&gt;17,FN462-17,0)*2+IF(FN462&gt;18,FN462-18,0)*2+IF(FN462&gt;19,FN462-19,0)*2+IF(FN462&gt;20,FN462-20,0)*2</f>
        <v>2</v>
      </c>
      <c r="FR462" s="245">
        <f>IF((FP462-FQ462)&gt;0,FP462-FQ462,0)</f>
        <v>173.5384615384616</v>
      </c>
      <c r="FS462" s="246">
        <f>IF((FQ462-FP462)&gt;0,FQ462-FP462,0)</f>
        <v>0</v>
      </c>
      <c r="FU462" s="306" t="s">
        <v>273</v>
      </c>
      <c r="FV462" s="246" t="s">
        <v>95</v>
      </c>
      <c r="FW462" s="245" t="s">
        <v>132</v>
      </c>
      <c r="FX462" s="238">
        <f>Konvention_1slave-MUslave</f>
        <v>12</v>
      </c>
      <c r="FY462" s="235">
        <f>Konvention_1slave-KLslave</f>
        <v>12</v>
      </c>
      <c r="FZ462" s="235">
        <f>Konvention_1slave-INslave</f>
        <v>12</v>
      </c>
      <c r="GA462" s="235"/>
      <c r="GB462" s="235"/>
      <c r="GC462" s="235"/>
      <c r="GD462" s="235"/>
      <c r="GE462" s="227"/>
      <c r="GF462" s="226">
        <f>(FX462+FY462+FZ462+GA462+GB462+GC462+GD462+GE462)/3</f>
        <v>12</v>
      </c>
      <c r="GG462" s="226">
        <f>2*GF462</f>
        <v>24</v>
      </c>
      <c r="GH462" s="227">
        <f>3*GF462</f>
        <v>36</v>
      </c>
      <c r="GI462" s="238">
        <f>FX462*POWER(KLslave,SIGN(FY462))*POWER(INslave,SIGN(FZ462))*POWER(CHslave,SIGN(GA462))*POWER(FFslave,SIGN(GB462))*POWER(GEslave_GE,SIGN(GC462))*POWER(KOslave,SIGN(GD462))*POWER(KKslave,SIGN(GE462))+FY462*POWER(MUslave,SIGN(FX462))*POWER(INslave,SIGN(FZ462))*POWER(CHslave,SIGN(GA462))*POWER(FFslave,SIGN(GB462))*POWER(GEslave_GE,SIGN(GC462))*POWER(KOslave,SIGN(GD462))*POWER(KKslave,SIGN(GE462))+FZ462*POWER(MUslave,SIGN(FX462))*POWER(KLslave,SIGN(FY462))*POWER(CHslave,SIGN(GA462))*POWER(FFslave,SIGN(GB462))*POWER(GEslave_GE,SIGN(GC462))*POWER(KOslave,SIGN(GD462))*POWER(KKslave,SIGN(GE462))+GA462*POWER(MUslave,SIGN(FX462))*POWER(KLslave,SIGN(FY462))*POWER(INslave,SIGN(FZ462))*POWER(FFslave,SIGN(GB462))*POWER(GEslave_GE,SIGN(GC462))*POWER(KOslave,SIGN(GD462))*POWER(KKslave,SIGN(GE462))+GB462*POWER(MUslave,SIGN(FX462))*POWER(KLslave,SIGN(FY462))*POWER(INslave,SIGN(FZ462))*POWER(CHslave,SIGN(GA462))*POWER(GEslave_GE,SIGN(GC462))*POWER(KOslave,SIGN(GD462))*POWER(KKslave,SIGN(GE462))+GC462*POWER(MUslave,SIGN(FX462))*POWER(KLslave,SIGN(FY462))*POWER(INslave,SIGN(FZ462))*POWER(CHslave,SIGN(GA462))*POWER(FFslave,SIGN(GB462))*POWER(KOslave,SIGN(GD462))*POWER(KKslave,SIGN(GE462))+GD462*POWER(MUslave,SIGN(FX462))*POWER(KLslave,SIGN(FY462))*POWER(INslave,SIGN(FZ462))*POWER(CHslave,SIGN(GA462))*POWER(FFslave,SIGN(GB462))*POWER(GEslave_GE,SIGN(GC462))*POWER(KKslave,SIGN(GE462))+GE462*POWER(MUslave,SIGN(FX462))*POWER(KLslave,SIGN(FY462))*POWER(INslave,SIGN(FZ462))*POWER(CHslave,SIGN(GA462))*POWER(FFslave,SIGN(GB462))*POWER(GEslave_GE,SIGN(GC462))*POWER(KOslave,SIGN(GD462))</f>
        <v>2304</v>
      </c>
      <c r="GJ462" s="235">
        <f>FX462*FY462*INslave+FX462*KLslave*FZ462+MUslave*FY462*FZ462</f>
        <v>3456</v>
      </c>
      <c r="GK462" s="227">
        <f>IFERROR(FX462^SIGN(FX462),1)*IFERROR(FY462^SIGN(FY462),1)*IFERROR(FZ462^SIGN(FZ462),1)*IFERROR(GA462^SIGN(GA462),1)*IFERROR(GB462^SIGN(GB462),1)*IFERROR(GC462^SIGN(GC462),1)*IFERROR(GD462^SIGN(GD462),1)*IFERROR(GE462^SIGN(GE462),1)</f>
        <v>1728</v>
      </c>
      <c r="GL462" s="227">
        <f>SUM(GI462:GK462)</f>
        <v>7488</v>
      </c>
      <c r="GM462" s="225">
        <f>GF462*GI462/GL462</f>
        <v>3.6923076923076925</v>
      </c>
      <c r="GN462" s="226">
        <f>GG462*GJ462/GL462</f>
        <v>11.076923076923077</v>
      </c>
      <c r="GO462" s="245">
        <f>GH462*GK462/GL462</f>
        <v>8.3076923076923084</v>
      </c>
      <c r="GP462" s="245">
        <f>SUM(GM462:GO462)</f>
        <v>23.07692307692308</v>
      </c>
      <c r="GQ462" s="252">
        <f t="shared" si="4787"/>
        <v>0</v>
      </c>
      <c r="GR462" s="309">
        <f>GP462-GQ462</f>
        <v>23.07692307692308</v>
      </c>
      <c r="GS462" s="246">
        <f>IF(GP462&lt;=0,2,0)+IF(GP462&gt;0,GP462+1,0)*2+IF(GP462&gt;12,GP462-12,0)*2+IF(GP462&gt;13,GP462-13,0)*2+IF(GP462&gt;14,GP462-14,0)*2+IF(GP462&gt;15,GP462-15,0)*2+IF(GP462&gt;16,GP462-16,0)*2+IF(GP462&gt;17,GP462-17,0)*2+IF(GP462&gt;18,GP462-18,0)*2+IF(GP462&gt;19,GP462-19,0)*2+IF(GP462&gt;20,GP462-20,0)*2</f>
        <v>175.5384615384616</v>
      </c>
      <c r="GT462" s="244">
        <f>IF(GQ462&lt;=0,2,0)+IF(GQ462&gt;0,GQ462+1,0)*2+IF(GQ462&gt;12,GQ462-12,0)*2+IF(GQ462&gt;13,GQ462-13,0)*2+IF(GQ462&gt;14,GQ462-14,0)*2+IF(GQ462&gt;15,GQ462-15,0)*2+IF(GQ462&gt;16,GQ462-16,0)*2+IF(GQ462&gt;17,GQ462-17,0)*2+IF(GQ462&gt;18,GQ462-18,0)*2+IF(GQ462&gt;19,GQ462-19,0)*2+IF(GQ462&gt;20,GQ462-20,0)*2</f>
        <v>2</v>
      </c>
      <c r="GU462" s="245">
        <f>IF((GS462-GT462)&gt;0,GS462-GT462,0)</f>
        <v>173.5384615384616</v>
      </c>
      <c r="GV462" s="246">
        <f>IF((GT462-GS462)&gt;0,GT462-GS462,0)</f>
        <v>0</v>
      </c>
      <c r="GX462" s="306" t="s">
        <v>273</v>
      </c>
      <c r="GY462" s="246" t="s">
        <v>95</v>
      </c>
      <c r="GZ462" s="245" t="s">
        <v>132</v>
      </c>
      <c r="HA462" s="238">
        <f>Konvention_1slave-MUslave</f>
        <v>12</v>
      </c>
      <c r="HB462" s="235">
        <f>Konvention_1slave-KLslave</f>
        <v>12</v>
      </c>
      <c r="HC462" s="235">
        <f>Konvention_1slave-INslave</f>
        <v>12</v>
      </c>
      <c r="HD462" s="235"/>
      <c r="HE462" s="235"/>
      <c r="HF462" s="235"/>
      <c r="HG462" s="235"/>
      <c r="HH462" s="227"/>
      <c r="HI462" s="226">
        <f>(HA462+HB462+HC462+HD462+HE462+HF462+HG462+HH462)/3</f>
        <v>12</v>
      </c>
      <c r="HJ462" s="226">
        <f>2*HI462</f>
        <v>24</v>
      </c>
      <c r="HK462" s="227">
        <f>3*HI462</f>
        <v>36</v>
      </c>
      <c r="HL462" s="238">
        <f>HA462*POWER(KLslave,SIGN(HB462))*POWER(INslave,SIGN(HC462))*POWER(CHslave,SIGN(HD462))*POWER(FFslave,SIGN(HE462))*POWER(GEslave,SIGN(HF462))*POWER(KOslave_KO,SIGN(HG462))*POWER(KKslave,SIGN(HH462))+HB462*POWER(MUslave,SIGN(HA462))*POWER(INslave,SIGN(HC462))*POWER(CHslave,SIGN(HD462))*POWER(FFslave,SIGN(HE462))*POWER(GEslave,SIGN(HF462))*POWER(KOslave_KO,SIGN(HG462))*POWER(KKslave,SIGN(HH462))+HC462*POWER(MUslave,SIGN(HA462))*POWER(KLslave,SIGN(HB462))*POWER(CHslave,SIGN(HD462))*POWER(FFslave,SIGN(HE462))*POWER(GEslave,SIGN(HF462))*POWER(KOslave_KO,SIGN(HG462))*POWER(KKslave,SIGN(HH462))+HD462*POWER(MUslave,SIGN(HA462))*POWER(KLslave,SIGN(HB462))*POWER(INslave,SIGN(HC462))*POWER(FFslave,SIGN(HE462))*POWER(GEslave,SIGN(HF462))*POWER(KOslave_KO,SIGN(HG462))*POWER(KKslave,SIGN(HH462))+HE462*POWER(MUslave,SIGN(HA462))*POWER(KLslave,SIGN(HB462))*POWER(INslave,SIGN(HC462))*POWER(CHslave,SIGN(HD462))*POWER(GEslave,SIGN(HF462))*POWER(KOslave_KO,SIGN(HG462))*POWER(KKslave,SIGN(HH462))+HF462*POWER(MUslave,SIGN(HA462))*POWER(KLslave,SIGN(HB462))*POWER(INslave,SIGN(HC462))*POWER(CHslave,SIGN(HD462))*POWER(FFslave,SIGN(HE462))*POWER(KOslave_KO,SIGN(HG462))*POWER(KKslave,SIGN(HH462))+HG462*POWER(MUslave,SIGN(HA462))*POWER(KLslave,SIGN(HB462))*POWER(INslave,SIGN(HC462))*POWER(CHslave,SIGN(HD462))*POWER(FFslave,SIGN(HE462))*POWER(GEslave,SIGN(HF462))*POWER(KKslave,SIGN(HH462))+HH462*POWER(MUslave,SIGN(HA462))*POWER(KLslave,SIGN(HB462))*POWER(INslave,SIGN(HC462))*POWER(CHslave,SIGN(HD462))*POWER(FFslave,SIGN(HE462))*POWER(GEslave,SIGN(HF462))*POWER(KOslave_KO,SIGN(HG462))</f>
        <v>2304</v>
      </c>
      <c r="HM462" s="235">
        <f>HA462*HB462*INslave+HA462*KLslave*HC462+MUslave*HB462*HC462</f>
        <v>3456</v>
      </c>
      <c r="HN462" s="227">
        <f>IFERROR(HA462^SIGN(HA462),1)*IFERROR(HB462^SIGN(HB462),1)*IFERROR(HC462^SIGN(HC462),1)*IFERROR(HD462^SIGN(HD462),1)*IFERROR(HE462^SIGN(HE462),1)*IFERROR(HF462^SIGN(HF462),1)*IFERROR(HG462^SIGN(HG462),1)*IFERROR(HH462^SIGN(HH462),1)</f>
        <v>1728</v>
      </c>
      <c r="HO462" s="227">
        <f>SUM(HL462:HN462)</f>
        <v>7488</v>
      </c>
      <c r="HP462" s="225">
        <f>HI462*HL462/HO462</f>
        <v>3.6923076923076925</v>
      </c>
      <c r="HQ462" s="226">
        <f>HJ462*HM462/HO462</f>
        <v>11.076923076923077</v>
      </c>
      <c r="HR462" s="245">
        <f>HK462*HN462/HO462</f>
        <v>8.3076923076923084</v>
      </c>
      <c r="HS462" s="245">
        <f>SUM(HP462:HR462)</f>
        <v>23.07692307692308</v>
      </c>
      <c r="HT462" s="252">
        <f t="shared" si="4788"/>
        <v>0</v>
      </c>
      <c r="HU462" s="309">
        <f>HS462-HT462</f>
        <v>23.07692307692308</v>
      </c>
      <c r="HV462" s="246">
        <f>IF(HS462&lt;=0,2,0)+IF(HS462&gt;0,HS462+1,0)*2+IF(HS462&gt;12,HS462-12,0)*2+IF(HS462&gt;13,HS462-13,0)*2+IF(HS462&gt;14,HS462-14,0)*2+IF(HS462&gt;15,HS462-15,0)*2+IF(HS462&gt;16,HS462-16,0)*2+IF(HS462&gt;17,HS462-17,0)*2+IF(HS462&gt;18,HS462-18,0)*2+IF(HS462&gt;19,HS462-19,0)*2+IF(HS462&gt;20,HS462-20,0)*2</f>
        <v>175.5384615384616</v>
      </c>
      <c r="HW462" s="244">
        <f>IF(HT462&lt;=0,2,0)+IF(HT462&gt;0,HT462+1,0)*2+IF(HT462&gt;12,HT462-12,0)*2+IF(HT462&gt;13,HT462-13,0)*2+IF(HT462&gt;14,HT462-14,0)*2+IF(HT462&gt;15,HT462-15,0)*2+IF(HT462&gt;16,HT462-16,0)*2+IF(HT462&gt;17,HT462-17,0)*2+IF(HT462&gt;18,HT462-18,0)*2+IF(HT462&gt;19,HT462-19,0)*2+IF(HT462&gt;20,HT462-20,0)*2</f>
        <v>2</v>
      </c>
      <c r="HX462" s="245">
        <f>IF((HV462-HW462)&gt;0,HV462-HW462,0)</f>
        <v>173.5384615384616</v>
      </c>
      <c r="HY462" s="246">
        <f>IF((HW462-HV462)&gt;0,HW462-HV462,0)</f>
        <v>0</v>
      </c>
      <c r="IA462" s="306" t="s">
        <v>273</v>
      </c>
      <c r="IB462" s="246" t="s">
        <v>95</v>
      </c>
      <c r="IC462" s="245" t="s">
        <v>132</v>
      </c>
      <c r="ID462" s="238">
        <f>Konvention_1slave-MUslave</f>
        <v>12</v>
      </c>
      <c r="IE462" s="235">
        <f>Konvention_1slave-KLslave</f>
        <v>12</v>
      </c>
      <c r="IF462" s="235">
        <f>Konvention_1slave-INslave</f>
        <v>12</v>
      </c>
      <c r="IG462" s="235"/>
      <c r="IH462" s="235"/>
      <c r="II462" s="235"/>
      <c r="IJ462" s="235"/>
      <c r="IK462" s="227"/>
      <c r="IL462" s="226">
        <f>(ID462+IE462+IF462+IG462+IH462+II462+IJ462+IK462)/3</f>
        <v>12</v>
      </c>
      <c r="IM462" s="226">
        <f>2*IL462</f>
        <v>24</v>
      </c>
      <c r="IN462" s="227">
        <f>3*IL462</f>
        <v>36</v>
      </c>
      <c r="IO462" s="238">
        <f>ID462*POWER(KLslave,SIGN(IE462))*POWER(INslave,SIGN(IF462))*POWER(CHslave,SIGN(IG462))*POWER(FFslave,SIGN(IH462))*POWER(GEslave,SIGN(II462))*POWER(KOslave,SIGN(IJ462))*POWER(KKslave_KK,SIGN(IK462))+IE462*POWER(MUslave,SIGN(ID462))*POWER(INslave,SIGN(IF462))*POWER(CHslave,SIGN(IG462))*POWER(FFslave,SIGN(IH462))*POWER(GEslave,SIGN(II462))*POWER(KOslave,SIGN(IJ462))*POWER(KKslave_KK,SIGN(IK462))+IF462*POWER(MUslave,SIGN(ID462))*POWER(KLslave,SIGN(IE462))*POWER(CHslave,SIGN(IG462))*POWER(FFslave,SIGN(IH462))*POWER(GEslave,SIGN(II462))*POWER(KOslave,SIGN(IJ462))*POWER(KKslave_KK,SIGN(IK462))+IG462*POWER(MUslave,SIGN(ID462))*POWER(KLslave,SIGN(IE462))*POWER(INslave,SIGN(IF462))*POWER(FFslave,SIGN(IH462))*POWER(GEslave,SIGN(II462))*POWER(KOslave,SIGN(IJ462))*POWER(KKslave_KK,SIGN(IK462))+IH462*POWER(MUslave,SIGN(ID462))*POWER(KLslave,SIGN(IE462))*POWER(INslave,SIGN(IF462))*POWER(CHslave,SIGN(IG462))*POWER(GEslave,SIGN(II462))*POWER(KOslave,SIGN(IJ462))*POWER(KKslave_KK,SIGN(IK462))+II462*POWER(MUslave,SIGN(ID462))*POWER(KLslave,SIGN(IE462))*POWER(INslave,SIGN(IF462))*POWER(CHslave,SIGN(IG462))*POWER(FFslave,SIGN(IH462))*POWER(KOslave,SIGN(IJ462))*POWER(KKslave_KK,SIGN(IK462))+IJ462*POWER(MUslave,SIGN(ID462))*POWER(KLslave,SIGN(IE462))*POWER(INslave,SIGN(IF462))*POWER(CHslave,SIGN(IG462))*POWER(FFslave,SIGN(IH462))*POWER(GEslave,SIGN(II462))*POWER(KKslave_KK,SIGN(IK462))+IK462*POWER(MUslave,SIGN(ID462))*POWER(KLslave,SIGN(IE462))*POWER(INslave,SIGN(IF462))*POWER(CHslave,SIGN(IG462))*POWER(FFslave,SIGN(IH462))*POWER(GEslave,SIGN(II462))*POWER(KOslave,SIGN(IJ462))</f>
        <v>2304</v>
      </c>
      <c r="IP462" s="235">
        <f>ID462*IE462*INslave+ID462*KLslave*IF462+MUslave*IE462*IF462</f>
        <v>3456</v>
      </c>
      <c r="IQ462" s="227">
        <f>IFERROR(ID462^SIGN(ID462),1)*IFERROR(IE462^SIGN(IE462),1)*IFERROR(IF462^SIGN(IF462),1)*IFERROR(IG462^SIGN(IG462),1)*IFERROR(IH462^SIGN(IH462),1)*IFERROR(II462^SIGN(II462),1)*IFERROR(IJ462^SIGN(IJ462),1)*IFERROR(IK462^SIGN(IK462),1)</f>
        <v>1728</v>
      </c>
      <c r="IR462" s="227">
        <f>SUM(IO462:IQ462)</f>
        <v>7488</v>
      </c>
      <c r="IS462" s="225">
        <f>IL462*IO462/IR462</f>
        <v>3.6923076923076925</v>
      </c>
      <c r="IT462" s="226">
        <f>IM462*IP462/IR462</f>
        <v>11.076923076923077</v>
      </c>
      <c r="IU462" s="245">
        <f>IN462*IQ462/IR462</f>
        <v>8.3076923076923084</v>
      </c>
      <c r="IV462" s="245">
        <f>SUM(IS462:IU462)</f>
        <v>23.07692307692308</v>
      </c>
      <c r="IW462" s="252">
        <f t="shared" si="4789"/>
        <v>0</v>
      </c>
      <c r="IX462" s="309">
        <f>IV462-IW462</f>
        <v>23.07692307692308</v>
      </c>
      <c r="IY462" s="246">
        <f>IF(IV462&lt;=0,2,0)+IF(IV462&gt;0,IV462+1,0)*2+IF(IV462&gt;12,IV462-12,0)*2+IF(IV462&gt;13,IV462-13,0)*2+IF(IV462&gt;14,IV462-14,0)*2+IF(IV462&gt;15,IV462-15,0)*2+IF(IV462&gt;16,IV462-16,0)*2+IF(IV462&gt;17,IV462-17,0)*2+IF(IV462&gt;18,IV462-18,0)*2+IF(IV462&gt;19,IV462-19,0)*2+IF(IV462&gt;20,IV462-20,0)*2</f>
        <v>175.5384615384616</v>
      </c>
      <c r="IZ462" s="244">
        <f>IF(IW462&lt;=0,2,0)+IF(IW462&gt;0,IW462+1,0)*2+IF(IW462&gt;12,IW462-12,0)*2+IF(IW462&gt;13,IW462-13,0)*2+IF(IW462&gt;14,IW462-14,0)*2+IF(IW462&gt;15,IW462-15,0)*2+IF(IW462&gt;16,IW462-16,0)*2+IF(IW462&gt;17,IW462-17,0)*2+IF(IW462&gt;18,IW462-18,0)*2+IF(IW462&gt;19,IW462-19,0)*2+IF(IW462&gt;20,IW462-20,0)*2</f>
        <v>2</v>
      </c>
      <c r="JA462" s="245">
        <f>IF((IY462-IZ462)&gt;0,IY462-IZ462,0)</f>
        <v>173.5384615384616</v>
      </c>
      <c r="JB462" s="246">
        <f>IF((IZ462-IY462)&gt;0,IZ462-IY462,0)</f>
        <v>0</v>
      </c>
      <c r="JE462" s="148"/>
    </row>
    <row r="463" spans="2:265" hidden="1" outlineLevel="1" collapsed="1">
      <c r="JE463" s="148"/>
    </row>
    <row r="464" spans="2:265" collapsed="1">
      <c r="JE464" s="148"/>
    </row>
    <row r="465" spans="265:265">
      <c r="JE465" s="148"/>
    </row>
    <row r="466" spans="265:265">
      <c r="JE466" s="148"/>
    </row>
  </sheetData>
  <mergeCells count="4">
    <mergeCell ref="F7:M7"/>
    <mergeCell ref="N7:P7"/>
    <mergeCell ref="Q7:S7"/>
    <mergeCell ref="U7:W7"/>
  </mergeCells>
  <conditionalFormatting sqref="C400:C402 C404:C409 C411:C417 C419:C423 C425:C432 C434:C439 C441:C444 C448:C449 C455 C457 C461:C462 C11:C24 C26:C34 C36:C42 C44:C55 C57:C73 C78:C98 C100:C126 C128:C151 C357:C365 C367:C374 C376:C386 C153:C211 C213:C257 C259 C388:C389 C391 C393:C395 C352:C355 C261:C296 C298:C321 C323:C348">
    <cfRule type="notContainsErrors" dxfId="68" priority="941">
      <formula>NOT(ISERROR(C11))</formula>
    </cfRule>
  </conditionalFormatting>
  <conditionalFormatting sqref="AF400:AF402 AF404:AF409 AF411:AF417 AF419:AF423 AF425:AF432 AF434:AF439 AF441:AF444 AF448:AF449 AF455 AF457 AF461:AF462 AF11:AF24 AF26:AF34 AF36:AF42 AF44:AF55 AF57:AF73 AF78:AF98 AF100:AF126 AF128:AF151 AF357:AF365 AF367:AF374 AF376:AF386 AF153:AF211 AF213:AF257 AF259 AF388:AF389 AF391 AF393:AF395 AF352:AF355 AF323:AF348 AF261:AF296 AF298:AF321">
    <cfRule type="notContainsErrors" dxfId="67" priority="937">
      <formula>NOT(ISERROR(AF11))</formula>
    </cfRule>
  </conditionalFormatting>
  <conditionalFormatting sqref="BI400:BI402 BI404:BI409 BI411:BI417 BI419:BI423 BI425:BI432 BI434:BI439 BI441:BI444 BI448:BI449 BI455 BI457 BI461:BI462 BI11:BI24 BI26:BI34 BI36:BI42 BI44:BI55 BI57:BI73 BI78:BI98 BI100:BI126 BI128:BI151 BI357:BI365 BI367:BI374 BI376:BI386 BI153:BI211 BI213:BI257 BI259 BI388:BI389 BI391 BI393:BI395 BI352:BI355 BI261:BI296 BI298:BI321 BI323:BI348">
    <cfRule type="notContainsErrors" dxfId="66" priority="933">
      <formula>NOT(ISERROR(BI11))</formula>
    </cfRule>
  </conditionalFormatting>
  <conditionalFormatting sqref="CL400:CL402 CL404:CL409 CL411:CL417 CL419:CL423 CL425:CL432 CL434:CL439 CL441:CL444 CL448:CL449 CL455 CL457 CL461:CL462 CL11:CL24 CL26:CL34 CL36:CL42 CL44:CL55 CL57:CL73 CL78:CL98 CL100:CL126 CL128:CL151 CL357:CL365 CL367:CL374 CL376:CL386 CL153:CL211 CL213:CL257 CL259 CL388:CL389 CL391 CL393:CL395 CL352:CL355 CL323:CL348 CL261:CL296 CL298:CL321">
    <cfRule type="notContainsErrors" dxfId="65" priority="929">
      <formula>NOT(ISERROR(CL11))</formula>
    </cfRule>
  </conditionalFormatting>
  <conditionalFormatting sqref="DO400:DO402 DO404:DO409 DO411:DO417 DO419:DO423 DO425:DO432 DO434:DO439 DO441:DO444 DO448:DO449 DO455 DO457 DO461:DO462 DO11:DO24 DO26:DO34 DO36:DO42 DO44:DO55 DO57:DO73 DO78:DO98 DO100:DO126 DO128:DO151 DO357:DO365 DO367:DO374 DO376:DO386 DO153:DO211 DO213:DO257 DO259 DO388:DO389 DO391 DO393:DO395 DO352:DO355 DO261:DO296 DO298:DO321 DO323:DO348">
    <cfRule type="notContainsErrors" dxfId="64" priority="925">
      <formula>NOT(ISERROR(DO11))</formula>
    </cfRule>
  </conditionalFormatting>
  <conditionalFormatting sqref="ER400:ER402 ER404:ER409 ER411:ER417 ER419:ER423 ER425:ER432 ER434:ER439 ER441:ER444 ER448:ER449 ER455 ER457 ER461:ER462 ER11:ER24 ER26:ER34 ER36:ER42 ER44:ER55 ER57:ER73 ER78:ER98 ER100:ER126 ER128:ER151 ER357:ER365 ER367:ER374 ER376:ER386 ER153:ER211 ER213:ER257 ER259 ER388:ER389 ER391 ER393:ER395 ER352:ER355 ER323:ER348 ER261:ER296 ER298:ER321">
    <cfRule type="notContainsErrors" dxfId="63" priority="921">
      <formula>NOT(ISERROR(ER11))</formula>
    </cfRule>
  </conditionalFormatting>
  <conditionalFormatting sqref="FU400:FU402 FU404:FU409 FU411:FU417 FU419:FU423 FU425:FU432 FU434:FU439 FU441:FU444 FU448:FU449 FU455 FU457 FU461:FU462 FU11:FU24 FU26:FU34 FU36:FU42 FU44:FU55 FU57:FU73 FU78:FU98 FU100:FU126 FU128:FU151 FU357:FU365 FU367:FU374 FU376:FU386 FU153:FU211 FU213:FU257 FU259 FU388:FU389 FU391 FU393:FU395 FU352:FU355 FU261:FU296 FU298:FU321 FU323:FU348">
    <cfRule type="notContainsErrors" dxfId="62" priority="917">
      <formula>NOT(ISERROR(FU11))</formula>
    </cfRule>
  </conditionalFormatting>
  <conditionalFormatting sqref="Z11:Z462">
    <cfRule type="colorScale" priority="940">
      <colorScale>
        <cfvo type="min" val="0"/>
        <cfvo type="formula" val="noch_benötigte_Punkte_Avg/2"/>
        <cfvo type="max" val="0"/>
        <color rgb="FF00B050"/>
        <color rgb="FFFFFF00"/>
        <color rgb="FFFF0000"/>
      </colorScale>
    </cfRule>
  </conditionalFormatting>
  <conditionalFormatting sqref="AC11:AC462">
    <cfRule type="colorScale" priority="939">
      <colorScale>
        <cfvo type="min" val="0"/>
        <cfvo type="formula" val="AP_noch_Avg/2"/>
        <cfvo type="max" val="0"/>
        <color rgb="FF63BE7B"/>
        <color rgb="FFFFEB84"/>
        <color rgb="FFF8696B"/>
      </colorScale>
    </cfRule>
  </conditionalFormatting>
  <conditionalFormatting sqref="AD11:AD462">
    <cfRule type="colorScale" priority="938">
      <colorScale>
        <cfvo type="num" val="0.01"/>
        <cfvo type="max" val="0"/>
        <color rgb="FF63BE7B"/>
        <color rgb="FFF8696B"/>
      </colorScale>
    </cfRule>
  </conditionalFormatting>
  <conditionalFormatting sqref="BC11:BC462">
    <cfRule type="colorScale" priority="936">
      <colorScale>
        <cfvo type="min" val="0"/>
        <cfvo type="formula" val="noch_benötigte_Punkte_Avg/2"/>
        <cfvo type="max" val="0"/>
        <color rgb="FF00B050"/>
        <color rgb="FFFFFF00"/>
        <color rgb="FFFF0000"/>
      </colorScale>
    </cfRule>
  </conditionalFormatting>
  <conditionalFormatting sqref="BF11:BF462">
    <cfRule type="colorScale" priority="935">
      <colorScale>
        <cfvo type="min" val="0"/>
        <cfvo type="formula" val="AP_noch_Avg/2"/>
        <cfvo type="max" val="0"/>
        <color rgb="FF63BE7B"/>
        <color rgb="FFFFEB84"/>
        <color rgb="FFF8696B"/>
      </colorScale>
    </cfRule>
  </conditionalFormatting>
  <conditionalFormatting sqref="BG11:BG462">
    <cfRule type="colorScale" priority="934">
      <colorScale>
        <cfvo type="num" val="0.01"/>
        <cfvo type="max" val="0"/>
        <color rgb="FF63BE7B"/>
        <color rgb="FFF8696B"/>
      </colorScale>
    </cfRule>
  </conditionalFormatting>
  <conditionalFormatting sqref="CF11:CF462">
    <cfRule type="colorScale" priority="932">
      <colorScale>
        <cfvo type="min" val="0"/>
        <cfvo type="formula" val="noch_benötigte_Punkte_Avg/2"/>
        <cfvo type="max" val="0"/>
        <color rgb="FF00B050"/>
        <color rgb="FFFFFF00"/>
        <color rgb="FFFF0000"/>
      </colorScale>
    </cfRule>
  </conditionalFormatting>
  <conditionalFormatting sqref="CI11:CI462">
    <cfRule type="colorScale" priority="931">
      <colorScale>
        <cfvo type="min" val="0"/>
        <cfvo type="formula" val="AP_noch_Avg/2"/>
        <cfvo type="max" val="0"/>
        <color rgb="FF63BE7B"/>
        <color rgb="FFFFEB84"/>
        <color rgb="FFF8696B"/>
      </colorScale>
    </cfRule>
  </conditionalFormatting>
  <conditionalFormatting sqref="CJ11:CJ462">
    <cfRule type="colorScale" priority="930">
      <colorScale>
        <cfvo type="num" val="0.01"/>
        <cfvo type="max" val="0"/>
        <color rgb="FF63BE7B"/>
        <color rgb="FFF8696B"/>
      </colorScale>
    </cfRule>
  </conditionalFormatting>
  <conditionalFormatting sqref="DI11:DI462">
    <cfRule type="colorScale" priority="928">
      <colorScale>
        <cfvo type="min" val="0"/>
        <cfvo type="formula" val="noch_benötigte_Punkte_Avg/2"/>
        <cfvo type="max" val="0"/>
        <color rgb="FF00B050"/>
        <color rgb="FFFFFF00"/>
        <color rgb="FFFF0000"/>
      </colorScale>
    </cfRule>
  </conditionalFormatting>
  <conditionalFormatting sqref="DL11:DL462">
    <cfRule type="colorScale" priority="927">
      <colorScale>
        <cfvo type="min" val="0"/>
        <cfvo type="formula" val="AP_noch_Avg/2"/>
        <cfvo type="max" val="0"/>
        <color rgb="FF63BE7B"/>
        <color rgb="FFFFEB84"/>
        <color rgb="FFF8696B"/>
      </colorScale>
    </cfRule>
  </conditionalFormatting>
  <conditionalFormatting sqref="DM11:DM462">
    <cfRule type="colorScale" priority="926">
      <colorScale>
        <cfvo type="num" val="0.01"/>
        <cfvo type="max" val="0"/>
        <color rgb="FF63BE7B"/>
        <color rgb="FFF8696B"/>
      </colorScale>
    </cfRule>
  </conditionalFormatting>
  <conditionalFormatting sqref="EL11:EL462">
    <cfRule type="colorScale" priority="924">
      <colorScale>
        <cfvo type="min" val="0"/>
        <cfvo type="formula" val="noch_benötigte_Punkte_Avg/2"/>
        <cfvo type="max" val="0"/>
        <color rgb="FF00B050"/>
        <color rgb="FFFFFF00"/>
        <color rgb="FFFF0000"/>
      </colorScale>
    </cfRule>
  </conditionalFormatting>
  <conditionalFormatting sqref="EO11:EO462">
    <cfRule type="colorScale" priority="923">
      <colorScale>
        <cfvo type="min" val="0"/>
        <cfvo type="formula" val="AP_noch_Avg/2"/>
        <cfvo type="max" val="0"/>
        <color rgb="FF63BE7B"/>
        <color rgb="FFFFEB84"/>
        <color rgb="FFF8696B"/>
      </colorScale>
    </cfRule>
  </conditionalFormatting>
  <conditionalFormatting sqref="EP11:EP462">
    <cfRule type="colorScale" priority="922">
      <colorScale>
        <cfvo type="num" val="0.01"/>
        <cfvo type="max" val="0"/>
        <color rgb="FF63BE7B"/>
        <color rgb="FFF8696B"/>
      </colorScale>
    </cfRule>
  </conditionalFormatting>
  <conditionalFormatting sqref="FO11:FO462">
    <cfRule type="colorScale" priority="920">
      <colorScale>
        <cfvo type="min" val="0"/>
        <cfvo type="formula" val="noch_benötigte_Punkte_Avg/2"/>
        <cfvo type="max" val="0"/>
        <color rgb="FF00B050"/>
        <color rgb="FFFFFF00"/>
        <color rgb="FFFF0000"/>
      </colorScale>
    </cfRule>
  </conditionalFormatting>
  <conditionalFormatting sqref="FR11:FR462">
    <cfRule type="colorScale" priority="919">
      <colorScale>
        <cfvo type="min" val="0"/>
        <cfvo type="formula" val="AP_noch_Avg/2"/>
        <cfvo type="max" val="0"/>
        <color rgb="FF63BE7B"/>
        <color rgb="FFFFEB84"/>
        <color rgb="FFF8696B"/>
      </colorScale>
    </cfRule>
  </conditionalFormatting>
  <conditionalFormatting sqref="FS11:FS462">
    <cfRule type="colorScale" priority="918">
      <colorScale>
        <cfvo type="num" val="0.01"/>
        <cfvo type="max" val="0"/>
        <color rgb="FF63BE7B"/>
        <color rgb="FFF8696B"/>
      </colorScale>
    </cfRule>
  </conditionalFormatting>
  <conditionalFormatting sqref="GR11:GR462">
    <cfRule type="colorScale" priority="916">
      <colorScale>
        <cfvo type="min" val="0"/>
        <cfvo type="formula" val="noch_benötigte_Punkte_Avg/2"/>
        <cfvo type="max" val="0"/>
        <color rgb="FF00B050"/>
        <color rgb="FFFFFF00"/>
        <color rgb="FFFF0000"/>
      </colorScale>
    </cfRule>
  </conditionalFormatting>
  <conditionalFormatting sqref="GU11:GU462">
    <cfRule type="colorScale" priority="915">
      <colorScale>
        <cfvo type="min" val="0"/>
        <cfvo type="formula" val="AP_noch_Avg/2"/>
        <cfvo type="max" val="0"/>
        <color rgb="FF63BE7B"/>
        <color rgb="FFFFEB84"/>
        <color rgb="FFF8696B"/>
      </colorScale>
    </cfRule>
  </conditionalFormatting>
  <conditionalFormatting sqref="GV11:GV462">
    <cfRule type="colorScale" priority="914">
      <colorScale>
        <cfvo type="num" val="0.01"/>
        <cfvo type="max" val="0"/>
        <color rgb="FF63BE7B"/>
        <color rgb="FFF8696B"/>
      </colorScale>
    </cfRule>
  </conditionalFormatting>
  <conditionalFormatting sqref="GX400:GX402 GX404:GX409 GX411:GX417 GX419:GX423 GX425:GX432 GX434:GX439 GX441:GX444 GX448:GX449 GX455 GX457 GX461:GX462 GX11:GX24 GX26:GX34 GX36:GX42 GX44:GX55 GX57:GX73 GX78:GX98 GX100:GX126 GX128:GX151 GX357:GX365 GX367:GX374 GX376:GX386 GX153:GX211 GX213:GX257 GX259 GX388:GX389 GX391 GX393:GX395 GX352:GX355 GX323:GX348 GX261:GX296 GX298:GX321">
    <cfRule type="notContainsErrors" dxfId="61" priority="913">
      <formula>NOT(ISERROR(GX11))</formula>
    </cfRule>
  </conditionalFormatting>
  <conditionalFormatting sqref="HU11:HU462">
    <cfRule type="colorScale" priority="912">
      <colorScale>
        <cfvo type="min" val="0"/>
        <cfvo type="formula" val="noch_benötigte_Punkte_Avg/2"/>
        <cfvo type="max" val="0"/>
        <color rgb="FF00B050"/>
        <color rgb="FFFFFF00"/>
        <color rgb="FFFF0000"/>
      </colorScale>
    </cfRule>
  </conditionalFormatting>
  <conditionalFormatting sqref="HX11:HX462">
    <cfRule type="colorScale" priority="911">
      <colorScale>
        <cfvo type="min" val="0"/>
        <cfvo type="formula" val="AP_noch_Avg/2"/>
        <cfvo type="max" val="0"/>
        <color rgb="FF63BE7B"/>
        <color rgb="FFFFEB84"/>
        <color rgb="FFF8696B"/>
      </colorScale>
    </cfRule>
  </conditionalFormatting>
  <conditionalFormatting sqref="HY11:HY462">
    <cfRule type="colorScale" priority="910">
      <colorScale>
        <cfvo type="num" val="0.01"/>
        <cfvo type="max" val="0"/>
        <color rgb="FF63BE7B"/>
        <color rgb="FFF8696B"/>
      </colorScale>
    </cfRule>
  </conditionalFormatting>
  <conditionalFormatting sqref="IA400:IA402 IA404:IA409 IA411:IA417 IA419:IA423 IA425:IA432 IA434:IA439 IA441:IA444 IA448:IA449 IA455 IA457 IA461:IA462 IA11:IA24 IA26:IA34 IA36:IA42 IA44:IA55 IA57:IA73 IA78:IA98 IA100:IA126 IA128:IA151 IA357:IA365 IA367:IA374 IA376:IA386 IA153:IA211 IA213:IA257 IA259 IA388:IA389 IA391 IA393:IA395 IA352:IA355 IA261:IA296 IA298:IA321 IA323:IA348">
    <cfRule type="notContainsErrors" dxfId="60" priority="909">
      <formula>NOT(ISERROR(IA11))</formula>
    </cfRule>
  </conditionalFormatting>
  <conditionalFormatting sqref="IX11:IX462">
    <cfRule type="colorScale" priority="908">
      <colorScale>
        <cfvo type="min" val="0"/>
        <cfvo type="formula" val="noch_benötigte_Punkte_Avg/2"/>
        <cfvo type="max" val="0"/>
        <color rgb="FF00B050"/>
        <color rgb="FFFFFF00"/>
        <color rgb="FFFF0000"/>
      </colorScale>
    </cfRule>
  </conditionalFormatting>
  <conditionalFormatting sqref="JA11:JA462">
    <cfRule type="colorScale" priority="907">
      <colorScale>
        <cfvo type="min" val="0"/>
        <cfvo type="formula" val="AP_noch_Avg/2"/>
        <cfvo type="max" val="0"/>
        <color rgb="FF63BE7B"/>
        <color rgb="FFFFEB84"/>
        <color rgb="FFF8696B"/>
      </colorScale>
    </cfRule>
  </conditionalFormatting>
  <conditionalFormatting sqref="JB11:JB462">
    <cfRule type="colorScale" priority="906">
      <colorScale>
        <cfvo type="num" val="0.01"/>
        <cfvo type="max" val="0"/>
        <color rgb="FF63BE7B"/>
        <color rgb="FFF8696B"/>
      </colorScale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64FF64"/>
  </sheetPr>
  <dimension ref="A1:AE499"/>
  <sheetViews>
    <sheetView zoomScaleNormal="100" workbookViewId="0"/>
  </sheetViews>
  <sheetFormatPr baseColWidth="10" defaultColWidth="9.140625" defaultRowHeight="15" outlineLevelRow="2" outlineLevelCol="1"/>
  <cols>
    <col min="1" max="1" width="11.85546875" style="148" customWidth="1"/>
    <col min="2" max="2" width="19.28515625" style="148" customWidth="1"/>
    <col min="3" max="3" width="31.7109375" style="140" customWidth="1"/>
    <col min="4" max="4" width="13.140625" customWidth="1"/>
    <col min="5" max="5" width="2.28515625" customWidth="1"/>
    <col min="6" max="13" width="9.28515625" customWidth="1"/>
    <col min="14" max="16" width="15.42578125" customWidth="1"/>
    <col min="17" max="19" width="12.42578125" customWidth="1"/>
    <col min="20" max="20" width="23.5703125" bestFit="1" customWidth="1"/>
    <col min="21" max="23" width="13" hidden="1" customWidth="1" outlineLevel="1"/>
    <col min="24" max="24" width="24" hidden="1" customWidth="1" outlineLevel="1"/>
    <col min="25" max="25" width="18.42578125" style="197" hidden="1" customWidth="1" outlineLevel="1"/>
    <col min="26" max="26" width="21.5703125" style="197" hidden="1" customWidth="1" outlineLevel="1"/>
    <col min="27" max="27" width="11.85546875" hidden="1" customWidth="1" outlineLevel="1"/>
    <col min="28" max="28" width="14" hidden="1" customWidth="1" outlineLevel="1"/>
    <col min="29" max="29" width="13.42578125" hidden="1" customWidth="1" outlineLevel="1"/>
    <col min="30" max="30" width="14.42578125" hidden="1" customWidth="1" outlineLevel="1"/>
    <col min="31" max="31" width="9.140625" collapsed="1"/>
  </cols>
  <sheetData>
    <row r="1" spans="1:31" s="4" customFormat="1">
      <c r="A1" s="124"/>
      <c r="C1" s="3"/>
      <c r="F1" s="93" t="s">
        <v>0</v>
      </c>
      <c r="G1" s="94" t="s">
        <v>1</v>
      </c>
      <c r="H1" s="94" t="s">
        <v>2</v>
      </c>
      <c r="I1" s="94" t="s">
        <v>3</v>
      </c>
      <c r="J1" s="94" t="s">
        <v>4</v>
      </c>
      <c r="K1" s="94" t="s">
        <v>5</v>
      </c>
      <c r="L1" s="94" t="s">
        <v>6</v>
      </c>
      <c r="M1" s="95" t="s">
        <v>7</v>
      </c>
      <c r="N1" s="32" t="s">
        <v>118</v>
      </c>
      <c r="O1" s="40" t="s">
        <v>283</v>
      </c>
      <c r="P1" s="67"/>
      <c r="Q1" s="6"/>
      <c r="R1" s="6"/>
      <c r="S1" s="6"/>
      <c r="T1" s="6"/>
      <c r="Y1" s="70"/>
      <c r="Z1" s="1"/>
      <c r="AA1" s="35"/>
      <c r="AB1" s="22"/>
      <c r="AC1" s="35"/>
      <c r="AD1" s="36"/>
    </row>
    <row r="2" spans="1:31" s="4" customFormat="1">
      <c r="A2" s="150"/>
      <c r="C2" s="3"/>
      <c r="F2" s="98">
        <f>MUmaster+1</f>
        <v>9</v>
      </c>
      <c r="G2" s="98">
        <f>KLmaster</f>
        <v>8</v>
      </c>
      <c r="H2" s="98">
        <f>INmaster</f>
        <v>8</v>
      </c>
      <c r="I2" s="98">
        <f>CHmaster</f>
        <v>8</v>
      </c>
      <c r="J2" s="98">
        <f>FFmaster</f>
        <v>8</v>
      </c>
      <c r="K2" s="98">
        <f>GEmaster</f>
        <v>8</v>
      </c>
      <c r="L2" s="98">
        <f>KOmaster</f>
        <v>8</v>
      </c>
      <c r="M2" s="98">
        <f>KKmaster</f>
        <v>8</v>
      </c>
      <c r="N2" s="5">
        <f>MUslave_MU+KLslave+INslave+CHslave+FFslave+GEslave+KOslave+KKslave</f>
        <v>65</v>
      </c>
      <c r="O2" s="68">
        <v>20</v>
      </c>
      <c r="P2" s="6"/>
      <c r="Q2" s="6"/>
      <c r="R2" s="6"/>
      <c r="S2" s="6"/>
      <c r="T2" s="6"/>
      <c r="Y2" s="71"/>
      <c r="Z2" s="1"/>
      <c r="AA2" s="35"/>
      <c r="AB2" s="22"/>
      <c r="AC2" s="35"/>
      <c r="AD2" s="36"/>
    </row>
    <row r="3" spans="1:31" s="37" customFormat="1">
      <c r="B3" s="31"/>
      <c r="C3" s="141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Y3" s="71"/>
      <c r="Z3" s="38"/>
      <c r="AA3" s="34"/>
      <c r="AB3" s="67"/>
      <c r="AC3" s="34"/>
      <c r="AD3" s="39"/>
    </row>
    <row r="4" spans="1:31" s="37" customFormat="1">
      <c r="B4" s="31"/>
      <c r="C4" s="141"/>
      <c r="F4" s="287" t="s">
        <v>139</v>
      </c>
      <c r="G4" s="288"/>
      <c r="H4" s="288"/>
      <c r="I4" s="288"/>
      <c r="J4" s="288"/>
      <c r="K4" s="288"/>
      <c r="L4" s="288"/>
      <c r="M4" s="288"/>
      <c r="N4" s="91" t="s">
        <v>334</v>
      </c>
      <c r="O4" s="91" t="s">
        <v>154</v>
      </c>
      <c r="P4" s="191" t="s">
        <v>144</v>
      </c>
      <c r="Q4" s="91" t="s">
        <v>142</v>
      </c>
      <c r="R4" s="92" t="s">
        <v>143</v>
      </c>
      <c r="S4" s="29"/>
      <c r="T4" s="29"/>
      <c r="Y4" s="71"/>
      <c r="Z4" s="38"/>
      <c r="AA4" s="34"/>
      <c r="AB4" s="67"/>
      <c r="AC4" s="34"/>
      <c r="AD4" s="39"/>
    </row>
    <row r="5" spans="1:31" s="37" customFormat="1">
      <c r="B5" s="31"/>
      <c r="C5" s="141"/>
      <c r="F5" s="190">
        <f>MUslave_MU*15+IF(MUslave_MU&gt;14,MUslave_MU-14,0)*15+IF(MUslave_MU&gt;15,MUslave_MU-15,0)*15+IF(MUslave_MU&gt;16,MUslave_MU-16,0)*15+IF(MUslave_MU&gt;17,MUslave_MU-17,0)*15+IF(MUslave_MU&gt;18,MUslave_MU-18,0)*15+IF(MUslave_MU&gt;19,MUslave_MU-19,0)*15+IF(MUslave_MU&gt;20,MUslave_MU-20,0)*15+IF(MUslave_MU&gt;21,MUslave_MU-21,0)*15+IF(MUslave_MU&gt;22,MUslave_MU-22,0)*15+IF(MUslave_MU&gt;23,MUslave_MU-23,0)*15+IF(MUslave_MU&gt;24,MUslave_MU-24,0)*15-120</f>
        <v>15</v>
      </c>
      <c r="G5" s="190">
        <f>KLslave*15+IF(KLslave&gt;14,KLslave-14,0)*15+IF(KLslave&gt;15,KLslave-15,0)*15+IF(KLslave&gt;16,KLslave-16,0)*15+IF(KLslave&gt;17,KLslave-17,0)*15+IF(KLslave&gt;18,KLslave-18,0)*15+IF(KLslave&gt;19,KLslave-19,0)*15+IF(KLslave&gt;20,KLslave-20,0)*15+IF(KLslave&gt;21,KLslave-21,0)*15+IF(KLslave&gt;22,KLslave-22,0)*15+IF(KLslave&gt;23,KLslave-23,0)*15+IF(KLslave&gt;24,KLslave-24,0)*15-120</f>
        <v>0</v>
      </c>
      <c r="H5" s="189">
        <f>INslave*15+IF(INslave&gt;14,INslave-14,0)*15+IF(INslave&gt;15,INslave-15,0)*15+IF(INslave&gt;16,INslave-16,0)*15+IF(INslave&gt;17,INslave-17,0)*15+IF(INslave&gt;18,INslave-18,0)*15+IF(INslave&gt;19,INslave-19,0)*15+IF(INslave&gt;20,INslave-20,0)*15+IF(INslave&gt;21,INslave-21,0)*15+IF(INslave&gt;22,INslave-22,0)*15+IF(INslave&gt;23,INslave-23,0)*15+IF(INslave&gt;24,INslave-24,0)*15-120</f>
        <v>0</v>
      </c>
      <c r="I5" s="189">
        <f>CHslave*15+IF(CHslave&gt;14,CHslave-14,0)*15+IF(CHslave&gt;15,CHslave-15,0)*15+IF(CHslave&gt;16,CHslave-16,0)*15+IF(CHslave&gt;17,CHslave-17,0)*15+IF(CHslave&gt;18,CHslave-18,0)*15+IF(CHslave&gt;19,CHslave-19,0)*15+IF(CHslave&gt;20,CHslave-20,0)*15+IF(CHslave&gt;21,CHslave-21,0)*15+IF(CHslave&gt;22,CHslave-22,0)*15+IF(CHslave&gt;23,CHslave-23,0)*15+IF(CHslave&gt;24,CHslave-24,0)*15-120</f>
        <v>0</v>
      </c>
      <c r="J5" s="189">
        <f>FFslave*15+IF(FFslave&gt;14,FFslave-14,0)*15+IF(FFslave&gt;15,FFslave-15,0)*15+IF(FFslave&gt;16,FFslave-16,0)*15+IF(FFslave&gt;17,FFslave-17,0)*15+IF(FFslave&gt;18,FFslave-18,0)*15+IF(FFslave&gt;19,FFslave-19,0)*15+IF(FFslave&gt;20,FFslave-20,0)*15+IF(FFslave&gt;21,FFslave-21,0)*15+IF(FFslave&gt;22,FFslave-22,0)*15+IF(FFslave&gt;23,FFslave-23,0)*15+IF(FFslave&gt;24,FFslave-24,0)*15-120</f>
        <v>0</v>
      </c>
      <c r="K5" s="189">
        <f>GEslave*15+IF(GEslave&gt;14,GEslave-14,0)*15+IF(GEslave&gt;15,GEslave-15,0)*15+IF(GEslave&gt;16,GEslave-16,0)*15+IF(GEslave&gt;17,GEslave-17,0)*15+IF(GEslave&gt;18,GEslave-18,0)*15+IF(GEslave&gt;19,GEslave-19,0)*15+IF(GEslave&gt;20,GEslave-20,0)*15+IF(GEslave&gt;21,GEslave-21,0)*15+IF(GEslave&gt;22,GEslave-22,0)*15+IF(GEslave&gt;23,GEslave-23,0)*15+IF(GEslave&gt;24,GEslave-24,0)*15-120</f>
        <v>0</v>
      </c>
      <c r="L5" s="189">
        <f>KOslave*15+IF(KOslave&gt;14,KOslave-14,0)*15+IF(KOslave&gt;15,KOslave-15,0)*15+IF(KOslave&gt;16,KOslave-16,0)*15+IF(KOslave&gt;17,KOslave-17,0)*15+IF(KOslave&gt;18,KOslave-18,0)*15+IF(KOslave&gt;19,KOslave-19,0)*15+IF(KOslave&gt;20,KOslave-20,0)*15+IF(KOslave&gt;21,KOslave-21,0)*15+IF(KOslave&gt;22,KOslave-22,0)*15+IF(KOslave&gt;23,KOslave-23,0)*15+IF(KOslave&gt;24,KOslave-24,0)*15-120</f>
        <v>0</v>
      </c>
      <c r="M5" s="189">
        <f>KKslave*15+IF(KKslave&gt;14,KKslave-14,0)*15+IF(KKslave&gt;15,KKslave-15,0)*15+IF(KKslave&gt;16,KKslave-16,0)*15+IF(KKslave&gt;17,KKslave-17,0)*15+IF(KKslave&gt;18,KKslave-18,0)*15+IF(KKslave&gt;19,KKslave-19,0)*15+IF(KKslave&gt;20,KKslave-20,0)*15+IF(KKslave&gt;21,KKslave-21,0)*15+IF(KKslave&gt;22,KKslave-22,0)*15+IF(KKslave&gt;23,KKslave-23,0)*15+IF(KKslave&gt;24,KKslave-24,0)*15-120</f>
        <v>0</v>
      </c>
      <c r="N5" s="189">
        <f>SUM(F5:M5)</f>
        <v>15</v>
      </c>
      <c r="O5" s="189">
        <f>AP_in_Talenten_MU</f>
        <v>0</v>
      </c>
      <c r="P5" s="17">
        <f>AP_in_Attributen_MU+AP_in_Talenten_MU</f>
        <v>15</v>
      </c>
      <c r="Q5" s="99">
        <v>1100</v>
      </c>
      <c r="R5" s="189">
        <f>Q5-P5</f>
        <v>1085</v>
      </c>
      <c r="S5" s="29"/>
      <c r="T5" s="29"/>
      <c r="X5" s="34"/>
      <c r="Y5" s="71"/>
      <c r="Z5" s="38"/>
      <c r="AA5" s="34"/>
      <c r="AB5" s="67"/>
      <c r="AC5" s="34"/>
      <c r="AD5" s="39"/>
    </row>
    <row r="6" spans="1:31" s="4" customFormat="1">
      <c r="A6" s="150"/>
      <c r="C6" s="3"/>
      <c r="F6" s="6"/>
      <c r="G6" s="6"/>
      <c r="H6" s="6"/>
      <c r="I6" s="6"/>
      <c r="J6" s="6"/>
      <c r="K6" s="6"/>
      <c r="L6" s="6"/>
      <c r="M6" s="6"/>
      <c r="P6" s="6"/>
      <c r="Q6" s="6"/>
      <c r="R6" s="6"/>
      <c r="S6" s="6"/>
      <c r="T6" s="6"/>
      <c r="Y6" s="71"/>
      <c r="Z6" s="1"/>
      <c r="AA6" s="35"/>
      <c r="AB6" s="22"/>
      <c r="AC6" s="35"/>
      <c r="AD6" s="36"/>
    </row>
    <row r="7" spans="1:31" s="4" customFormat="1">
      <c r="A7" s="150"/>
      <c r="C7" s="3"/>
      <c r="F7" s="289" t="s">
        <v>126</v>
      </c>
      <c r="G7" s="290"/>
      <c r="H7" s="290"/>
      <c r="I7" s="290"/>
      <c r="J7" s="290"/>
      <c r="K7" s="290"/>
      <c r="L7" s="290"/>
      <c r="M7" s="291"/>
      <c r="N7" s="292" t="s">
        <v>151</v>
      </c>
      <c r="O7" s="293"/>
      <c r="P7" s="294"/>
      <c r="Q7" s="289" t="s">
        <v>150</v>
      </c>
      <c r="R7" s="290"/>
      <c r="S7" s="291"/>
      <c r="T7" s="101" t="s">
        <v>114</v>
      </c>
      <c r="U7" s="292" t="s">
        <v>152</v>
      </c>
      <c r="V7" s="293"/>
      <c r="W7" s="294"/>
      <c r="X7" s="14" t="s">
        <v>153</v>
      </c>
      <c r="Y7" s="72" t="s">
        <v>138</v>
      </c>
      <c r="Z7" s="41" t="s">
        <v>120</v>
      </c>
      <c r="AA7" s="42" t="s">
        <v>130</v>
      </c>
      <c r="AB7" s="78" t="s">
        <v>130</v>
      </c>
      <c r="AC7" s="42" t="s">
        <v>130</v>
      </c>
      <c r="AD7" s="43" t="s">
        <v>130</v>
      </c>
    </row>
    <row r="8" spans="1:31" s="4" customFormat="1" ht="15.75" thickBot="1">
      <c r="A8" s="150"/>
      <c r="B8" s="3"/>
      <c r="C8" s="3"/>
      <c r="D8" s="3"/>
      <c r="F8" s="190" t="s">
        <v>0</v>
      </c>
      <c r="G8" s="190" t="s">
        <v>1</v>
      </c>
      <c r="H8" s="190" t="s">
        <v>2</v>
      </c>
      <c r="I8" s="190" t="s">
        <v>3</v>
      </c>
      <c r="J8" s="190" t="s">
        <v>4</v>
      </c>
      <c r="K8" s="190" t="s">
        <v>5</v>
      </c>
      <c r="L8" s="190" t="s">
        <v>6</v>
      </c>
      <c r="M8" s="190" t="s">
        <v>7</v>
      </c>
      <c r="N8" s="33" t="s">
        <v>109</v>
      </c>
      <c r="O8" s="33" t="s">
        <v>110</v>
      </c>
      <c r="P8" s="190" t="s">
        <v>111</v>
      </c>
      <c r="Q8" s="190" t="s">
        <v>106</v>
      </c>
      <c r="R8" s="190" t="s">
        <v>107</v>
      </c>
      <c r="S8" s="190" t="s">
        <v>108</v>
      </c>
      <c r="T8" s="190" t="s">
        <v>115</v>
      </c>
      <c r="U8" s="40" t="s">
        <v>127</v>
      </c>
      <c r="V8" s="40" t="s">
        <v>128</v>
      </c>
      <c r="W8" s="40" t="s">
        <v>129</v>
      </c>
      <c r="X8" s="33" t="s">
        <v>119</v>
      </c>
      <c r="Y8" s="73" t="s">
        <v>125</v>
      </c>
      <c r="Z8" s="44" t="s">
        <v>343</v>
      </c>
      <c r="AA8" s="45" t="s">
        <v>157</v>
      </c>
      <c r="AB8" s="79" t="s">
        <v>159</v>
      </c>
      <c r="AC8" s="45" t="s">
        <v>155</v>
      </c>
      <c r="AD8" s="46" t="s">
        <v>137</v>
      </c>
    </row>
    <row r="9" spans="1:31" ht="15.75" thickBot="1">
      <c r="A9" s="135" t="s">
        <v>333</v>
      </c>
      <c r="D9" s="148"/>
      <c r="E9" s="148"/>
      <c r="F9" s="148"/>
      <c r="G9" s="148"/>
      <c r="H9" s="148"/>
      <c r="I9" s="148"/>
      <c r="J9" s="148"/>
      <c r="K9" s="148"/>
      <c r="L9" s="148"/>
      <c r="M9" s="148"/>
      <c r="N9" s="148"/>
      <c r="O9" s="148"/>
      <c r="P9" s="148"/>
      <c r="Q9" s="148"/>
      <c r="R9" s="148"/>
      <c r="S9" s="148"/>
      <c r="T9" s="148"/>
      <c r="U9" s="148"/>
      <c r="V9" s="148"/>
      <c r="W9" s="148"/>
      <c r="X9" s="148"/>
      <c r="AA9" s="148"/>
      <c r="AB9" s="148"/>
      <c r="AC9" s="148"/>
      <c r="AD9" s="148"/>
      <c r="AE9" s="148"/>
    </row>
    <row r="10" spans="1:31" ht="15" hidden="1" customHeight="1" outlineLevel="1">
      <c r="B10" s="134" t="s">
        <v>68</v>
      </c>
      <c r="D10" s="148"/>
      <c r="E10" s="148"/>
      <c r="F10" s="148"/>
      <c r="G10" s="148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AA10" s="148"/>
      <c r="AB10" s="148"/>
      <c r="AC10" s="148"/>
      <c r="AD10" s="148"/>
      <c r="AE10" s="148"/>
    </row>
    <row r="11" spans="1:31" ht="15" hidden="1" customHeight="1" outlineLevel="2">
      <c r="B11" s="148">
        <v>1</v>
      </c>
      <c r="C11" s="176" t="str">
        <f>Attribute!C11</f>
        <v>---</v>
      </c>
      <c r="D11" s="126" t="str">
        <f>VLOOKUP(C11,'Talente &amp; Stuff'!AF:BG,2,FALSE)</f>
        <v>--/--/--</v>
      </c>
      <c r="E11" s="158" t="str">
        <f>VLOOKUP(C11,'Talente &amp; Stuff'!AF:BG,3,FALSE)</f>
        <v>-</v>
      </c>
      <c r="F11" s="191">
        <f>VLOOKUP(C11,'Talente &amp; Stuff'!AF:BG,4,FALSE)</f>
        <v>0</v>
      </c>
      <c r="G11" s="118">
        <f>VLOOKUP(C11,'Talente &amp; Stuff'!AF:BG,5,FALSE)</f>
        <v>0</v>
      </c>
      <c r="H11" s="118">
        <f>VLOOKUP(C11,'Talente &amp; Stuff'!AF:BG,6,FALSE)</f>
        <v>0</v>
      </c>
      <c r="I11" s="118">
        <f>VLOOKUP(C11,'Talente &amp; Stuff'!AF:BG,7,FALSE)</f>
        <v>0</v>
      </c>
      <c r="J11" s="118">
        <f>VLOOKUP(C11,'Talente &amp; Stuff'!AF:BG,8,FALSE)</f>
        <v>0</v>
      </c>
      <c r="K11" s="118">
        <f>VLOOKUP(C11,'Talente &amp; Stuff'!AF:BG,9,FALSE)</f>
        <v>0</v>
      </c>
      <c r="L11" s="118">
        <f>VLOOKUP(C11,'Talente &amp; Stuff'!AF:BG,10,FALSE)</f>
        <v>0</v>
      </c>
      <c r="M11" s="92">
        <f>VLOOKUP(C11,'Talente &amp; Stuff'!AF:BG,11,FALSE)</f>
        <v>0</v>
      </c>
      <c r="N11" s="193">
        <f>VLOOKUP(C11,'Talente &amp; Stuff'!AF:BG,12,FALSE)</f>
        <v>0</v>
      </c>
      <c r="O11" s="116">
        <f>VLOOKUP(C11,'Talente &amp; Stuff'!AF:BG,13,FALSE)</f>
        <v>0</v>
      </c>
      <c r="P11" s="92">
        <f>VLOOKUP(C11,'Talente &amp; Stuff'!AF:BG,14,FALSE)</f>
        <v>0</v>
      </c>
      <c r="Q11" s="191">
        <f>VLOOKUP(C11,'Talente &amp; Stuff'!AF:BG,15,FALSE)</f>
        <v>0</v>
      </c>
      <c r="R11" s="118">
        <f>VLOOKUP(C11,'Talente &amp; Stuff'!AF:BG,16,FALSE)</f>
        <v>0</v>
      </c>
      <c r="S11" s="92">
        <f>VLOOKUP(C11,'Talente &amp; Stuff'!AF:BG,17,FALSE)</f>
        <v>0</v>
      </c>
      <c r="T11" s="91">
        <f>VLOOKUP(C11,'Talente &amp; Stuff'!AF:BG,18,FALSE)</f>
        <v>0</v>
      </c>
      <c r="U11" s="193">
        <f>VLOOKUP(C11,'Talente &amp; Stuff'!AF:BG,19,FALSE)</f>
        <v>0</v>
      </c>
      <c r="V11" s="116">
        <f>VLOOKUP(C11,'Talente &amp; Stuff'!AF:BG,20,FALSE)</f>
        <v>0</v>
      </c>
      <c r="W11" s="126">
        <f>VLOOKUP(C11,'Talente &amp; Stuff'!AF:BG,21,FALSE)</f>
        <v>0</v>
      </c>
      <c r="X11" s="158">
        <f>VLOOKUP(C11,'Talente &amp; Stuff'!AF:BG,22,FALSE)</f>
        <v>0</v>
      </c>
      <c r="Y11" s="165">
        <f t="shared" ref="Y11:Y24" si="0">VLOOKUP(C11,Ausgewählte_Talente_Körpertalente,52,FALSE)</f>
        <v>0</v>
      </c>
      <c r="Z11" s="44">
        <f t="shared" ref="Z11:Z24" si="1">VLOOKUP(C11,Ausgewählte_Talente_Körpertalente,53,FALSE)</f>
        <v>0</v>
      </c>
      <c r="AA11" s="158">
        <f>VLOOKUP(C11,'Talente &amp; Stuff'!AF:BG,25,FALSE)</f>
        <v>0</v>
      </c>
      <c r="AB11" s="91">
        <f>VLOOKUP(C11,'Talente &amp; Stuff'!AF:BG,26,FALSE)</f>
        <v>0</v>
      </c>
      <c r="AC11" s="126">
        <f>VLOOKUP(C11,'Talente &amp; Stuff'!AF:BG,27,FALSE)</f>
        <v>0</v>
      </c>
      <c r="AD11" s="158">
        <f>VLOOKUP(C11,'Talente &amp; Stuff'!AF:BG,28,FALSE)</f>
        <v>0</v>
      </c>
      <c r="AE11" s="28"/>
    </row>
    <row r="12" spans="1:31" ht="15" hidden="1" customHeight="1" outlineLevel="2">
      <c r="B12" s="148">
        <v>2</v>
      </c>
      <c r="C12" s="177" t="str">
        <f>Attribute!C12</f>
        <v>---</v>
      </c>
      <c r="D12" s="127" t="str">
        <f>VLOOKUP(C12,'Talente &amp; Stuff'!AF:BG,2,FALSE)</f>
        <v>--/--/--</v>
      </c>
      <c r="E12" s="125" t="str">
        <f>VLOOKUP(C12,'Talente &amp; Stuff'!AF:BG,3,FALSE)</f>
        <v>-</v>
      </c>
      <c r="F12" s="114">
        <f>VLOOKUP(C12,'Talente &amp; Stuff'!AF:BG,4,FALSE)</f>
        <v>0</v>
      </c>
      <c r="G12" s="113">
        <f>VLOOKUP(C12,'Talente &amp; Stuff'!AF:BG,5,FALSE)</f>
        <v>0</v>
      </c>
      <c r="H12" s="113">
        <f>VLOOKUP(C12,'Talente &amp; Stuff'!AF:BG,6,FALSE)</f>
        <v>0</v>
      </c>
      <c r="I12" s="113">
        <f>VLOOKUP(C12,'Talente &amp; Stuff'!AF:BG,7,FALSE)</f>
        <v>0</v>
      </c>
      <c r="J12" s="113">
        <f>VLOOKUP(C12,'Talente &amp; Stuff'!AF:BG,8,FALSE)</f>
        <v>0</v>
      </c>
      <c r="K12" s="113">
        <f>VLOOKUP(C12,'Talente &amp; Stuff'!AF:BG,9,FALSE)</f>
        <v>0</v>
      </c>
      <c r="L12" s="113">
        <f>VLOOKUP(C12,'Talente &amp; Stuff'!AF:BG,10,FALSE)</f>
        <v>0</v>
      </c>
      <c r="M12" s="119">
        <f>VLOOKUP(C12,'Talente &amp; Stuff'!AF:BG,11,FALSE)</f>
        <v>0</v>
      </c>
      <c r="N12" s="89">
        <f>VLOOKUP(C12,'Talente &amp; Stuff'!AF:BG,12,FALSE)</f>
        <v>0</v>
      </c>
      <c r="O12" s="47">
        <f>VLOOKUP(C12,'Talente &amp; Stuff'!AF:BG,13,FALSE)</f>
        <v>0</v>
      </c>
      <c r="P12" s="119">
        <f>VLOOKUP(C12,'Talente &amp; Stuff'!AF:BG,14,FALSE)</f>
        <v>0</v>
      </c>
      <c r="Q12" s="114">
        <f>VLOOKUP(C12,'Talente &amp; Stuff'!AF:BG,15,FALSE)</f>
        <v>0</v>
      </c>
      <c r="R12" s="113">
        <f>VLOOKUP(C12,'Talente &amp; Stuff'!AF:BG,16,FALSE)</f>
        <v>0</v>
      </c>
      <c r="S12" s="119">
        <f>VLOOKUP(C12,'Talente &amp; Stuff'!AF:BG,17,FALSE)</f>
        <v>0</v>
      </c>
      <c r="T12" s="160">
        <f>VLOOKUP(C12,'Talente &amp; Stuff'!AF:BG,18,FALSE)</f>
        <v>0</v>
      </c>
      <c r="U12" s="89">
        <f>VLOOKUP(C12,'Talente &amp; Stuff'!AF:BG,19,FALSE)</f>
        <v>0</v>
      </c>
      <c r="V12" s="47">
        <f>VLOOKUP(C12,'Talente &amp; Stuff'!AF:BG,20,FALSE)</f>
        <v>0</v>
      </c>
      <c r="W12" s="127">
        <f>VLOOKUP(C12,'Talente &amp; Stuff'!AF:BG,21,FALSE)</f>
        <v>0</v>
      </c>
      <c r="X12" s="125">
        <f>VLOOKUP(C12,'Talente &amp; Stuff'!AF:BG,22,FALSE)</f>
        <v>0</v>
      </c>
      <c r="Y12" s="165">
        <f t="shared" si="0"/>
        <v>0</v>
      </c>
      <c r="Z12" s="44">
        <f t="shared" si="1"/>
        <v>0</v>
      </c>
      <c r="AA12" s="125">
        <f>VLOOKUP(C12,'Talente &amp; Stuff'!AF:BG,25,FALSE)</f>
        <v>0</v>
      </c>
      <c r="AB12" s="160">
        <f>VLOOKUP(C12,'Talente &amp; Stuff'!AF:BG,26,FALSE)</f>
        <v>0</v>
      </c>
      <c r="AC12" s="127">
        <f>VLOOKUP(C12,'Talente &amp; Stuff'!AF:BG,27,FALSE)</f>
        <v>0</v>
      </c>
      <c r="AD12" s="125">
        <f>VLOOKUP(C12,'Talente &amp; Stuff'!AF:BG,28,FALSE)</f>
        <v>0</v>
      </c>
      <c r="AE12" s="28"/>
    </row>
    <row r="13" spans="1:31" ht="15" hidden="1" customHeight="1" outlineLevel="2">
      <c r="B13" s="148">
        <v>3</v>
      </c>
      <c r="C13" s="177" t="str">
        <f>Attribute!C13</f>
        <v>---</v>
      </c>
      <c r="D13" s="127" t="str">
        <f>VLOOKUP(C13,'Talente &amp; Stuff'!AF:BG,2,FALSE)</f>
        <v>--/--/--</v>
      </c>
      <c r="E13" s="125" t="str">
        <f>VLOOKUP(C13,'Talente &amp; Stuff'!AF:BG,3,FALSE)</f>
        <v>-</v>
      </c>
      <c r="F13" s="114">
        <f>VLOOKUP(C13,'Talente &amp; Stuff'!AF:BG,4,FALSE)</f>
        <v>0</v>
      </c>
      <c r="G13" s="113">
        <f>VLOOKUP(C13,'Talente &amp; Stuff'!AF:BG,5,FALSE)</f>
        <v>0</v>
      </c>
      <c r="H13" s="113">
        <f>VLOOKUP(C13,'Talente &amp; Stuff'!AF:BG,6,FALSE)</f>
        <v>0</v>
      </c>
      <c r="I13" s="113">
        <f>VLOOKUP(C13,'Talente &amp; Stuff'!AF:BG,7,FALSE)</f>
        <v>0</v>
      </c>
      <c r="J13" s="113">
        <f>VLOOKUP(C13,'Talente &amp; Stuff'!AF:BG,8,FALSE)</f>
        <v>0</v>
      </c>
      <c r="K13" s="113">
        <f>VLOOKUP(C13,'Talente &amp; Stuff'!AF:BG,9,FALSE)</f>
        <v>0</v>
      </c>
      <c r="L13" s="113">
        <f>VLOOKUP(C13,'Talente &amp; Stuff'!AF:BG,10,FALSE)</f>
        <v>0</v>
      </c>
      <c r="M13" s="119">
        <f>VLOOKUP(C13,'Talente &amp; Stuff'!AF:BG,11,FALSE)</f>
        <v>0</v>
      </c>
      <c r="N13" s="89">
        <f>VLOOKUP(C13,'Talente &amp; Stuff'!AF:BG,12,FALSE)</f>
        <v>0</v>
      </c>
      <c r="O13" s="47">
        <f>VLOOKUP(C13,'Talente &amp; Stuff'!AF:BG,13,FALSE)</f>
        <v>0</v>
      </c>
      <c r="P13" s="119">
        <f>VLOOKUP(C13,'Talente &amp; Stuff'!AF:BG,14,FALSE)</f>
        <v>0</v>
      </c>
      <c r="Q13" s="114">
        <f>VLOOKUP(C13,'Talente &amp; Stuff'!AF:BG,15,FALSE)</f>
        <v>0</v>
      </c>
      <c r="R13" s="113">
        <f>VLOOKUP(C13,'Talente &amp; Stuff'!AF:BG,16,FALSE)</f>
        <v>0</v>
      </c>
      <c r="S13" s="119">
        <f>VLOOKUP(C13,'Talente &amp; Stuff'!AF:BG,17,FALSE)</f>
        <v>0</v>
      </c>
      <c r="T13" s="160">
        <f>VLOOKUP(C13,'Talente &amp; Stuff'!AF:BG,18,FALSE)</f>
        <v>0</v>
      </c>
      <c r="U13" s="89">
        <f>VLOOKUP(C13,'Talente &amp; Stuff'!AF:BG,19,FALSE)</f>
        <v>0</v>
      </c>
      <c r="V13" s="47">
        <f>VLOOKUP(C13,'Talente &amp; Stuff'!AF:BG,20,FALSE)</f>
        <v>0</v>
      </c>
      <c r="W13" s="127">
        <f>VLOOKUP(C13,'Talente &amp; Stuff'!AF:BG,21,FALSE)</f>
        <v>0</v>
      </c>
      <c r="X13" s="125">
        <f>VLOOKUP(C13,'Talente &amp; Stuff'!AF:BG,22,FALSE)</f>
        <v>0</v>
      </c>
      <c r="Y13" s="165">
        <f t="shared" si="0"/>
        <v>0</v>
      </c>
      <c r="Z13" s="44">
        <f t="shared" si="1"/>
        <v>0</v>
      </c>
      <c r="AA13" s="125">
        <f>VLOOKUP(C13,'Talente &amp; Stuff'!AF:BG,25,FALSE)</f>
        <v>0</v>
      </c>
      <c r="AB13" s="160">
        <f>VLOOKUP(C13,'Talente &amp; Stuff'!AF:BG,26,FALSE)</f>
        <v>0</v>
      </c>
      <c r="AC13" s="127">
        <f>VLOOKUP(C13,'Talente &amp; Stuff'!AF:BG,27,FALSE)</f>
        <v>0</v>
      </c>
      <c r="AD13" s="125">
        <f>VLOOKUP(C13,'Talente &amp; Stuff'!AF:BG,28,FALSE)</f>
        <v>0</v>
      </c>
      <c r="AE13" s="28"/>
    </row>
    <row r="14" spans="1:31" ht="15" hidden="1" customHeight="1" outlineLevel="2">
      <c r="B14" s="148">
        <v>4</v>
      </c>
      <c r="C14" s="177" t="str">
        <f>Attribute!C14</f>
        <v>---</v>
      </c>
      <c r="D14" s="127" t="str">
        <f>VLOOKUP(C14,'Talente &amp; Stuff'!AF:BG,2,FALSE)</f>
        <v>--/--/--</v>
      </c>
      <c r="E14" s="125" t="str">
        <f>VLOOKUP(C14,'Talente &amp; Stuff'!AF:BG,3,FALSE)</f>
        <v>-</v>
      </c>
      <c r="F14" s="114">
        <f>VLOOKUP(C14,'Talente &amp; Stuff'!AF:BG,4,FALSE)</f>
        <v>0</v>
      </c>
      <c r="G14" s="113">
        <f>VLOOKUP(C14,'Talente &amp; Stuff'!AF:BG,5,FALSE)</f>
        <v>0</v>
      </c>
      <c r="H14" s="113">
        <f>VLOOKUP(C14,'Talente &amp; Stuff'!AF:BG,6,FALSE)</f>
        <v>0</v>
      </c>
      <c r="I14" s="113">
        <f>VLOOKUP(C14,'Talente &amp; Stuff'!AF:BG,7,FALSE)</f>
        <v>0</v>
      </c>
      <c r="J14" s="113">
        <f>VLOOKUP(C14,'Talente &amp; Stuff'!AF:BG,8,FALSE)</f>
        <v>0</v>
      </c>
      <c r="K14" s="113">
        <f>VLOOKUP(C14,'Talente &amp; Stuff'!AF:BG,9,FALSE)</f>
        <v>0</v>
      </c>
      <c r="L14" s="113">
        <f>VLOOKUP(C14,'Talente &amp; Stuff'!AF:BG,10,FALSE)</f>
        <v>0</v>
      </c>
      <c r="M14" s="119">
        <f>VLOOKUP(C14,'Talente &amp; Stuff'!AF:BG,11,FALSE)</f>
        <v>0</v>
      </c>
      <c r="N14" s="89">
        <f>VLOOKUP(C14,'Talente &amp; Stuff'!AF:BG,12,FALSE)</f>
        <v>0</v>
      </c>
      <c r="O14" s="47">
        <f>VLOOKUP(C14,'Talente &amp; Stuff'!AF:BG,13,FALSE)</f>
        <v>0</v>
      </c>
      <c r="P14" s="119">
        <f>VLOOKUP(C14,'Talente &amp; Stuff'!AF:BG,14,FALSE)</f>
        <v>0</v>
      </c>
      <c r="Q14" s="114">
        <f>VLOOKUP(C14,'Talente &amp; Stuff'!AF:BG,15,FALSE)</f>
        <v>0</v>
      </c>
      <c r="R14" s="113">
        <f>VLOOKUP(C14,'Talente &amp; Stuff'!AF:BG,16,FALSE)</f>
        <v>0</v>
      </c>
      <c r="S14" s="119">
        <f>VLOOKUP(C14,'Talente &amp; Stuff'!AF:BG,17,FALSE)</f>
        <v>0</v>
      </c>
      <c r="T14" s="160">
        <f>VLOOKUP(C14,'Talente &amp; Stuff'!AF:BG,18,FALSE)</f>
        <v>0</v>
      </c>
      <c r="U14" s="89">
        <f>VLOOKUP(C14,'Talente &amp; Stuff'!AF:BG,19,FALSE)</f>
        <v>0</v>
      </c>
      <c r="V14" s="47">
        <f>VLOOKUP(C14,'Talente &amp; Stuff'!AF:BG,20,FALSE)</f>
        <v>0</v>
      </c>
      <c r="W14" s="127">
        <f>VLOOKUP(C14,'Talente &amp; Stuff'!AF:BG,21,FALSE)</f>
        <v>0</v>
      </c>
      <c r="X14" s="125">
        <f>VLOOKUP(C14,'Talente &amp; Stuff'!AF:BG,22,FALSE)</f>
        <v>0</v>
      </c>
      <c r="Y14" s="165">
        <f t="shared" si="0"/>
        <v>0</v>
      </c>
      <c r="Z14" s="44">
        <f t="shared" si="1"/>
        <v>0</v>
      </c>
      <c r="AA14" s="125">
        <f>VLOOKUP(C14,'Talente &amp; Stuff'!AF:BG,25,FALSE)</f>
        <v>0</v>
      </c>
      <c r="AB14" s="160">
        <f>VLOOKUP(C14,'Talente &amp; Stuff'!AF:BG,26,FALSE)</f>
        <v>0</v>
      </c>
      <c r="AC14" s="127">
        <f>VLOOKUP(C14,'Talente &amp; Stuff'!AF:BG,27,FALSE)</f>
        <v>0</v>
      </c>
      <c r="AD14" s="125">
        <f>VLOOKUP(C14,'Talente &amp; Stuff'!AF:BG,28,FALSE)</f>
        <v>0</v>
      </c>
      <c r="AE14" s="28"/>
    </row>
    <row r="15" spans="1:31" ht="15" hidden="1" customHeight="1" outlineLevel="2">
      <c r="B15" s="148">
        <v>5</v>
      </c>
      <c r="C15" s="177" t="str">
        <f>Attribute!C15</f>
        <v>---</v>
      </c>
      <c r="D15" s="127" t="str">
        <f>VLOOKUP(C15,'Talente &amp; Stuff'!AF:BG,2,FALSE)</f>
        <v>--/--/--</v>
      </c>
      <c r="E15" s="125" t="str">
        <f>VLOOKUP(C15,'Talente &amp; Stuff'!AF:BG,3,FALSE)</f>
        <v>-</v>
      </c>
      <c r="F15" s="114">
        <f>VLOOKUP(C15,'Talente &amp; Stuff'!AF:BG,4,FALSE)</f>
        <v>0</v>
      </c>
      <c r="G15" s="113">
        <f>VLOOKUP(C15,'Talente &amp; Stuff'!AF:BG,5,FALSE)</f>
        <v>0</v>
      </c>
      <c r="H15" s="113">
        <f>VLOOKUP(C15,'Talente &amp; Stuff'!AF:BG,6,FALSE)</f>
        <v>0</v>
      </c>
      <c r="I15" s="113">
        <f>VLOOKUP(C15,'Talente &amp; Stuff'!AF:BG,7,FALSE)</f>
        <v>0</v>
      </c>
      <c r="J15" s="113">
        <f>VLOOKUP(C15,'Talente &amp; Stuff'!AF:BG,8,FALSE)</f>
        <v>0</v>
      </c>
      <c r="K15" s="113">
        <f>VLOOKUP(C15,'Talente &amp; Stuff'!AF:BG,9,FALSE)</f>
        <v>0</v>
      </c>
      <c r="L15" s="113">
        <f>VLOOKUP(C15,'Talente &amp; Stuff'!AF:BG,10,FALSE)</f>
        <v>0</v>
      </c>
      <c r="M15" s="119">
        <f>VLOOKUP(C15,'Talente &amp; Stuff'!AF:BG,11,FALSE)</f>
        <v>0</v>
      </c>
      <c r="N15" s="89">
        <f>VLOOKUP(C15,'Talente &amp; Stuff'!AF:BG,12,FALSE)</f>
        <v>0</v>
      </c>
      <c r="O15" s="47">
        <f>VLOOKUP(C15,'Talente &amp; Stuff'!AF:BG,13,FALSE)</f>
        <v>0</v>
      </c>
      <c r="P15" s="119">
        <f>VLOOKUP(C15,'Talente &amp; Stuff'!AF:BG,14,FALSE)</f>
        <v>0</v>
      </c>
      <c r="Q15" s="114">
        <f>VLOOKUP(C15,'Talente &amp; Stuff'!AF:BG,15,FALSE)</f>
        <v>0</v>
      </c>
      <c r="R15" s="113">
        <f>VLOOKUP(C15,'Talente &amp; Stuff'!AF:BG,16,FALSE)</f>
        <v>0</v>
      </c>
      <c r="S15" s="119">
        <f>VLOOKUP(C15,'Talente &amp; Stuff'!AF:BG,17,FALSE)</f>
        <v>0</v>
      </c>
      <c r="T15" s="160">
        <f>VLOOKUP(C15,'Talente &amp; Stuff'!AF:BG,18,FALSE)</f>
        <v>0</v>
      </c>
      <c r="U15" s="89">
        <f>VLOOKUP(C15,'Talente &amp; Stuff'!AF:BG,19,FALSE)</f>
        <v>0</v>
      </c>
      <c r="V15" s="47">
        <f>VLOOKUP(C15,'Talente &amp; Stuff'!AF:BG,20,FALSE)</f>
        <v>0</v>
      </c>
      <c r="W15" s="127">
        <f>VLOOKUP(C15,'Talente &amp; Stuff'!AF:BG,21,FALSE)</f>
        <v>0</v>
      </c>
      <c r="X15" s="125">
        <f>VLOOKUP(C15,'Talente &amp; Stuff'!AF:BG,22,FALSE)</f>
        <v>0</v>
      </c>
      <c r="Y15" s="165">
        <f t="shared" si="0"/>
        <v>0</v>
      </c>
      <c r="Z15" s="44">
        <f t="shared" si="1"/>
        <v>0</v>
      </c>
      <c r="AA15" s="125">
        <f>VLOOKUP(C15,'Talente &amp; Stuff'!AF:BG,25,FALSE)</f>
        <v>0</v>
      </c>
      <c r="AB15" s="160">
        <f>VLOOKUP(C15,'Talente &amp; Stuff'!AF:BG,26,FALSE)</f>
        <v>0</v>
      </c>
      <c r="AC15" s="127">
        <f>VLOOKUP(C15,'Talente &amp; Stuff'!AF:BG,27,FALSE)</f>
        <v>0</v>
      </c>
      <c r="AD15" s="125">
        <f>VLOOKUP(C15,'Talente &amp; Stuff'!AF:BG,28,FALSE)</f>
        <v>0</v>
      </c>
      <c r="AE15" s="28"/>
    </row>
    <row r="16" spans="1:31" ht="15" hidden="1" customHeight="1" outlineLevel="2">
      <c r="B16" s="148">
        <v>6</v>
      </c>
      <c r="C16" s="177" t="str">
        <f>Attribute!C16</f>
        <v>---</v>
      </c>
      <c r="D16" s="127" t="str">
        <f>VLOOKUP(C16,'Talente &amp; Stuff'!AF:BG,2,FALSE)</f>
        <v>--/--/--</v>
      </c>
      <c r="E16" s="125" t="str">
        <f>VLOOKUP(C16,'Talente &amp; Stuff'!AF:BG,3,FALSE)</f>
        <v>-</v>
      </c>
      <c r="F16" s="114">
        <f>VLOOKUP(C16,'Talente &amp; Stuff'!AF:BG,4,FALSE)</f>
        <v>0</v>
      </c>
      <c r="G16" s="113">
        <f>VLOOKUP(C16,'Talente &amp; Stuff'!AF:BG,5,FALSE)</f>
        <v>0</v>
      </c>
      <c r="H16" s="113">
        <f>VLOOKUP(C16,'Talente &amp; Stuff'!AF:BG,6,FALSE)</f>
        <v>0</v>
      </c>
      <c r="I16" s="113">
        <f>VLOOKUP(C16,'Talente &amp; Stuff'!AF:BG,7,FALSE)</f>
        <v>0</v>
      </c>
      <c r="J16" s="113">
        <f>VLOOKUP(C16,'Talente &amp; Stuff'!AF:BG,8,FALSE)</f>
        <v>0</v>
      </c>
      <c r="K16" s="113">
        <f>VLOOKUP(C16,'Talente &amp; Stuff'!AF:BG,9,FALSE)</f>
        <v>0</v>
      </c>
      <c r="L16" s="113">
        <f>VLOOKUP(C16,'Talente &amp; Stuff'!AF:BG,10,FALSE)</f>
        <v>0</v>
      </c>
      <c r="M16" s="119">
        <f>VLOOKUP(C16,'Talente &amp; Stuff'!AF:BG,11,FALSE)</f>
        <v>0</v>
      </c>
      <c r="N16" s="89">
        <f>VLOOKUP(C16,'Talente &amp; Stuff'!AF:BG,12,FALSE)</f>
        <v>0</v>
      </c>
      <c r="O16" s="47">
        <f>VLOOKUP(C16,'Talente &amp; Stuff'!AF:BG,13,FALSE)</f>
        <v>0</v>
      </c>
      <c r="P16" s="119">
        <f>VLOOKUP(C16,'Talente &amp; Stuff'!AF:BG,14,FALSE)</f>
        <v>0</v>
      </c>
      <c r="Q16" s="114">
        <f>VLOOKUP(C16,'Talente &amp; Stuff'!AF:BG,15,FALSE)</f>
        <v>0</v>
      </c>
      <c r="R16" s="113">
        <f>VLOOKUP(C16,'Talente &amp; Stuff'!AF:BG,16,FALSE)</f>
        <v>0</v>
      </c>
      <c r="S16" s="119">
        <f>VLOOKUP(C16,'Talente &amp; Stuff'!AF:BG,17,FALSE)</f>
        <v>0</v>
      </c>
      <c r="T16" s="160">
        <f>VLOOKUP(C16,'Talente &amp; Stuff'!AF:BG,18,FALSE)</f>
        <v>0</v>
      </c>
      <c r="U16" s="89">
        <f>VLOOKUP(C16,'Talente &amp; Stuff'!AF:BG,19,FALSE)</f>
        <v>0</v>
      </c>
      <c r="V16" s="47">
        <f>VLOOKUP(C16,'Talente &amp; Stuff'!AF:BG,20,FALSE)</f>
        <v>0</v>
      </c>
      <c r="W16" s="127">
        <f>VLOOKUP(C16,'Talente &amp; Stuff'!AF:BG,21,FALSE)</f>
        <v>0</v>
      </c>
      <c r="X16" s="125">
        <f>VLOOKUP(C16,'Talente &amp; Stuff'!AF:BG,22,FALSE)</f>
        <v>0</v>
      </c>
      <c r="Y16" s="165">
        <f t="shared" si="0"/>
        <v>0</v>
      </c>
      <c r="Z16" s="44">
        <f t="shared" si="1"/>
        <v>0</v>
      </c>
      <c r="AA16" s="125">
        <f>VLOOKUP(C16,'Talente &amp; Stuff'!AF:BG,25,FALSE)</f>
        <v>0</v>
      </c>
      <c r="AB16" s="160">
        <f>VLOOKUP(C16,'Talente &amp; Stuff'!AF:BG,26,FALSE)</f>
        <v>0</v>
      </c>
      <c r="AC16" s="127">
        <f>VLOOKUP(C16,'Talente &amp; Stuff'!AF:BG,27,FALSE)</f>
        <v>0</v>
      </c>
      <c r="AD16" s="125">
        <f>VLOOKUP(C16,'Talente &amp; Stuff'!AF:BG,28,FALSE)</f>
        <v>0</v>
      </c>
      <c r="AE16" s="28"/>
    </row>
    <row r="17" spans="2:31" ht="15" hidden="1" customHeight="1" outlineLevel="2">
      <c r="B17" s="148">
        <v>7</v>
      </c>
      <c r="C17" s="177" t="str">
        <f>Attribute!C17</f>
        <v>---</v>
      </c>
      <c r="D17" s="127" t="str">
        <f>VLOOKUP(C17,'Talente &amp; Stuff'!AF:BG,2,FALSE)</f>
        <v>--/--/--</v>
      </c>
      <c r="E17" s="125" t="str">
        <f>VLOOKUP(C17,'Talente &amp; Stuff'!AF:BG,3,FALSE)</f>
        <v>-</v>
      </c>
      <c r="F17" s="114">
        <f>VLOOKUP(C17,'Talente &amp; Stuff'!AF:BG,4,FALSE)</f>
        <v>0</v>
      </c>
      <c r="G17" s="113">
        <f>VLOOKUP(C17,'Talente &amp; Stuff'!AF:BG,5,FALSE)</f>
        <v>0</v>
      </c>
      <c r="H17" s="113">
        <f>VLOOKUP(C17,'Talente &amp; Stuff'!AF:BG,6,FALSE)</f>
        <v>0</v>
      </c>
      <c r="I17" s="113">
        <f>VLOOKUP(C17,'Talente &amp; Stuff'!AF:BG,7,FALSE)</f>
        <v>0</v>
      </c>
      <c r="J17" s="113">
        <f>VLOOKUP(C17,'Talente &amp; Stuff'!AF:BG,8,FALSE)</f>
        <v>0</v>
      </c>
      <c r="K17" s="113">
        <f>VLOOKUP(C17,'Talente &amp; Stuff'!AF:BG,9,FALSE)</f>
        <v>0</v>
      </c>
      <c r="L17" s="113">
        <f>VLOOKUP(C17,'Talente &amp; Stuff'!AF:BG,10,FALSE)</f>
        <v>0</v>
      </c>
      <c r="M17" s="119">
        <f>VLOOKUP(C17,'Talente &amp; Stuff'!AF:BG,11,FALSE)</f>
        <v>0</v>
      </c>
      <c r="N17" s="89">
        <f>VLOOKUP(C17,'Talente &amp; Stuff'!AF:BG,12,FALSE)</f>
        <v>0</v>
      </c>
      <c r="O17" s="47">
        <f>VLOOKUP(C17,'Talente &amp; Stuff'!AF:BG,13,FALSE)</f>
        <v>0</v>
      </c>
      <c r="P17" s="119">
        <f>VLOOKUP(C17,'Talente &amp; Stuff'!AF:BG,14,FALSE)</f>
        <v>0</v>
      </c>
      <c r="Q17" s="114">
        <f>VLOOKUP(C17,'Talente &amp; Stuff'!AF:BG,15,FALSE)</f>
        <v>0</v>
      </c>
      <c r="R17" s="113">
        <f>VLOOKUP(C17,'Talente &amp; Stuff'!AF:BG,16,FALSE)</f>
        <v>0</v>
      </c>
      <c r="S17" s="119">
        <f>VLOOKUP(C17,'Talente &amp; Stuff'!AF:BG,17,FALSE)</f>
        <v>0</v>
      </c>
      <c r="T17" s="160">
        <f>VLOOKUP(C17,'Talente &amp; Stuff'!AF:BG,18,FALSE)</f>
        <v>0</v>
      </c>
      <c r="U17" s="89">
        <f>VLOOKUP(C17,'Talente &amp; Stuff'!AF:BG,19,FALSE)</f>
        <v>0</v>
      </c>
      <c r="V17" s="47">
        <f>VLOOKUP(C17,'Talente &amp; Stuff'!AF:BG,20,FALSE)</f>
        <v>0</v>
      </c>
      <c r="W17" s="127">
        <f>VLOOKUP(C17,'Talente &amp; Stuff'!AF:BG,21,FALSE)</f>
        <v>0</v>
      </c>
      <c r="X17" s="125">
        <f>VLOOKUP(C17,'Talente &amp; Stuff'!AF:BG,22,FALSE)</f>
        <v>0</v>
      </c>
      <c r="Y17" s="165">
        <f t="shared" si="0"/>
        <v>0</v>
      </c>
      <c r="Z17" s="44">
        <f t="shared" si="1"/>
        <v>0</v>
      </c>
      <c r="AA17" s="125">
        <f>VLOOKUP(C17,'Talente &amp; Stuff'!AF:BG,25,FALSE)</f>
        <v>0</v>
      </c>
      <c r="AB17" s="160">
        <f>VLOOKUP(C17,'Talente &amp; Stuff'!AF:BG,26,FALSE)</f>
        <v>0</v>
      </c>
      <c r="AC17" s="127">
        <f>VLOOKUP(C17,'Talente &amp; Stuff'!AF:BG,27,FALSE)</f>
        <v>0</v>
      </c>
      <c r="AD17" s="125">
        <f>VLOOKUP(C17,'Talente &amp; Stuff'!AF:BG,28,FALSE)</f>
        <v>0</v>
      </c>
      <c r="AE17" s="28"/>
    </row>
    <row r="18" spans="2:31" ht="15" hidden="1" customHeight="1" outlineLevel="2">
      <c r="B18" s="148">
        <v>8</v>
      </c>
      <c r="C18" s="177" t="str">
        <f>Attribute!C18</f>
        <v>---</v>
      </c>
      <c r="D18" s="127" t="str">
        <f>VLOOKUP(C18,'Talente &amp; Stuff'!AF:BG,2,FALSE)</f>
        <v>--/--/--</v>
      </c>
      <c r="E18" s="125" t="str">
        <f>VLOOKUP(C18,'Talente &amp; Stuff'!AF:BG,3,FALSE)</f>
        <v>-</v>
      </c>
      <c r="F18" s="114">
        <f>VLOOKUP(C18,'Talente &amp; Stuff'!AF:BG,4,FALSE)</f>
        <v>0</v>
      </c>
      <c r="G18" s="113">
        <f>VLOOKUP(C18,'Talente &amp; Stuff'!AF:BG,5,FALSE)</f>
        <v>0</v>
      </c>
      <c r="H18" s="113">
        <f>VLOOKUP(C18,'Talente &amp; Stuff'!AF:BG,6,FALSE)</f>
        <v>0</v>
      </c>
      <c r="I18" s="113">
        <f>VLOOKUP(C18,'Talente &amp; Stuff'!AF:BG,7,FALSE)</f>
        <v>0</v>
      </c>
      <c r="J18" s="113">
        <f>VLOOKUP(C18,'Talente &amp; Stuff'!AF:BG,8,FALSE)</f>
        <v>0</v>
      </c>
      <c r="K18" s="113">
        <f>VLOOKUP(C18,'Talente &amp; Stuff'!AF:BG,9,FALSE)</f>
        <v>0</v>
      </c>
      <c r="L18" s="113">
        <f>VLOOKUP(C18,'Talente &amp; Stuff'!AF:BG,10,FALSE)</f>
        <v>0</v>
      </c>
      <c r="M18" s="119">
        <f>VLOOKUP(C18,'Talente &amp; Stuff'!AF:BG,11,FALSE)</f>
        <v>0</v>
      </c>
      <c r="N18" s="89">
        <f>VLOOKUP(C18,'Talente &amp; Stuff'!AF:BG,12,FALSE)</f>
        <v>0</v>
      </c>
      <c r="O18" s="47">
        <f>VLOOKUP(C18,'Talente &amp; Stuff'!AF:BG,13,FALSE)</f>
        <v>0</v>
      </c>
      <c r="P18" s="119">
        <f>VLOOKUP(C18,'Talente &amp; Stuff'!AF:BG,14,FALSE)</f>
        <v>0</v>
      </c>
      <c r="Q18" s="114">
        <f>VLOOKUP(C18,'Talente &amp; Stuff'!AF:BG,15,FALSE)</f>
        <v>0</v>
      </c>
      <c r="R18" s="113">
        <f>VLOOKUP(C18,'Talente &amp; Stuff'!AF:BG,16,FALSE)</f>
        <v>0</v>
      </c>
      <c r="S18" s="119">
        <f>VLOOKUP(C18,'Talente &amp; Stuff'!AF:BG,17,FALSE)</f>
        <v>0</v>
      </c>
      <c r="T18" s="160">
        <f>VLOOKUP(C18,'Talente &amp; Stuff'!AF:BG,18,FALSE)</f>
        <v>0</v>
      </c>
      <c r="U18" s="89">
        <f>VLOOKUP(C18,'Talente &amp; Stuff'!AF:BG,19,FALSE)</f>
        <v>0</v>
      </c>
      <c r="V18" s="47">
        <f>VLOOKUP(C18,'Talente &amp; Stuff'!AF:BG,20,FALSE)</f>
        <v>0</v>
      </c>
      <c r="W18" s="127">
        <f>VLOOKUP(C18,'Talente &amp; Stuff'!AF:BG,21,FALSE)</f>
        <v>0</v>
      </c>
      <c r="X18" s="125">
        <f>VLOOKUP(C18,'Talente &amp; Stuff'!AF:BG,22,FALSE)</f>
        <v>0</v>
      </c>
      <c r="Y18" s="165">
        <f t="shared" si="0"/>
        <v>0</v>
      </c>
      <c r="Z18" s="44">
        <f t="shared" si="1"/>
        <v>0</v>
      </c>
      <c r="AA18" s="125">
        <f>VLOOKUP(C18,'Talente &amp; Stuff'!AF:BG,25,FALSE)</f>
        <v>0</v>
      </c>
      <c r="AB18" s="160">
        <f>VLOOKUP(C18,'Talente &amp; Stuff'!AF:BG,26,FALSE)</f>
        <v>0</v>
      </c>
      <c r="AC18" s="127">
        <f>VLOOKUP(C18,'Talente &amp; Stuff'!AF:BG,27,FALSE)</f>
        <v>0</v>
      </c>
      <c r="AD18" s="125">
        <f>VLOOKUP(C18,'Talente &amp; Stuff'!AF:BG,28,FALSE)</f>
        <v>0</v>
      </c>
      <c r="AE18" s="28"/>
    </row>
    <row r="19" spans="2:31" ht="15" hidden="1" customHeight="1" outlineLevel="2">
      <c r="B19" s="148">
        <v>9</v>
      </c>
      <c r="C19" s="177" t="str">
        <f>Attribute!C19</f>
        <v>---</v>
      </c>
      <c r="D19" s="127" t="str">
        <f>VLOOKUP(C19,'Talente &amp; Stuff'!AF:BG,2,FALSE)</f>
        <v>--/--/--</v>
      </c>
      <c r="E19" s="125" t="str">
        <f>VLOOKUP(C19,'Talente &amp; Stuff'!AF:BG,3,FALSE)</f>
        <v>-</v>
      </c>
      <c r="F19" s="114">
        <f>VLOOKUP(C19,'Talente &amp; Stuff'!AF:BG,4,FALSE)</f>
        <v>0</v>
      </c>
      <c r="G19" s="113">
        <f>VLOOKUP(C19,'Talente &amp; Stuff'!AF:BG,5,FALSE)</f>
        <v>0</v>
      </c>
      <c r="H19" s="113">
        <f>VLOOKUP(C19,'Talente &amp; Stuff'!AF:BG,6,FALSE)</f>
        <v>0</v>
      </c>
      <c r="I19" s="113">
        <f>VLOOKUP(C19,'Talente &amp; Stuff'!AF:BG,7,FALSE)</f>
        <v>0</v>
      </c>
      <c r="J19" s="113">
        <f>VLOOKUP(C19,'Talente &amp; Stuff'!AF:BG,8,FALSE)</f>
        <v>0</v>
      </c>
      <c r="K19" s="113">
        <f>VLOOKUP(C19,'Talente &amp; Stuff'!AF:BG,9,FALSE)</f>
        <v>0</v>
      </c>
      <c r="L19" s="113">
        <f>VLOOKUP(C19,'Talente &amp; Stuff'!AF:BG,10,FALSE)</f>
        <v>0</v>
      </c>
      <c r="M19" s="119">
        <f>VLOOKUP(C19,'Talente &amp; Stuff'!AF:BG,11,FALSE)</f>
        <v>0</v>
      </c>
      <c r="N19" s="89">
        <f>VLOOKUP(C19,'Talente &amp; Stuff'!AF:BG,12,FALSE)</f>
        <v>0</v>
      </c>
      <c r="O19" s="47">
        <f>VLOOKUP(C19,'Talente &amp; Stuff'!AF:BG,13,FALSE)</f>
        <v>0</v>
      </c>
      <c r="P19" s="119">
        <f>VLOOKUP(C19,'Talente &amp; Stuff'!AF:BG,14,FALSE)</f>
        <v>0</v>
      </c>
      <c r="Q19" s="114">
        <f>VLOOKUP(C19,'Talente &amp; Stuff'!AF:BG,15,FALSE)</f>
        <v>0</v>
      </c>
      <c r="R19" s="113">
        <f>VLOOKUP(C19,'Talente &amp; Stuff'!AF:BG,16,FALSE)</f>
        <v>0</v>
      </c>
      <c r="S19" s="119">
        <f>VLOOKUP(C19,'Talente &amp; Stuff'!AF:BG,17,FALSE)</f>
        <v>0</v>
      </c>
      <c r="T19" s="160">
        <f>VLOOKUP(C19,'Talente &amp; Stuff'!AF:BG,18,FALSE)</f>
        <v>0</v>
      </c>
      <c r="U19" s="89">
        <f>VLOOKUP(C19,'Talente &amp; Stuff'!AF:BG,19,FALSE)</f>
        <v>0</v>
      </c>
      <c r="V19" s="47">
        <f>VLOOKUP(C19,'Talente &amp; Stuff'!AF:BG,20,FALSE)</f>
        <v>0</v>
      </c>
      <c r="W19" s="127">
        <f>VLOOKUP(C19,'Talente &amp; Stuff'!AF:BG,21,FALSE)</f>
        <v>0</v>
      </c>
      <c r="X19" s="125">
        <f>VLOOKUP(C19,'Talente &amp; Stuff'!AF:BG,22,FALSE)</f>
        <v>0</v>
      </c>
      <c r="Y19" s="165">
        <f t="shared" si="0"/>
        <v>0</v>
      </c>
      <c r="Z19" s="44">
        <f t="shared" si="1"/>
        <v>0</v>
      </c>
      <c r="AA19" s="125">
        <f>VLOOKUP(C19,'Talente &amp; Stuff'!AF:BG,25,FALSE)</f>
        <v>0</v>
      </c>
      <c r="AB19" s="160">
        <f>VLOOKUP(C19,'Talente &amp; Stuff'!AF:BG,26,FALSE)</f>
        <v>0</v>
      </c>
      <c r="AC19" s="127">
        <f>VLOOKUP(C19,'Talente &amp; Stuff'!AF:BG,27,FALSE)</f>
        <v>0</v>
      </c>
      <c r="AD19" s="125">
        <f>VLOOKUP(C19,'Talente &amp; Stuff'!AF:BG,28,FALSE)</f>
        <v>0</v>
      </c>
      <c r="AE19" s="28"/>
    </row>
    <row r="20" spans="2:31" ht="15" hidden="1" customHeight="1" outlineLevel="2">
      <c r="B20" s="148">
        <v>10</v>
      </c>
      <c r="C20" s="177" t="str">
        <f>Attribute!C20</f>
        <v>---</v>
      </c>
      <c r="D20" s="127" t="str">
        <f>VLOOKUP(C20,'Talente &amp; Stuff'!AF:BG,2,FALSE)</f>
        <v>--/--/--</v>
      </c>
      <c r="E20" s="125" t="str">
        <f>VLOOKUP(C20,'Talente &amp; Stuff'!AF:BG,3,FALSE)</f>
        <v>-</v>
      </c>
      <c r="F20" s="114">
        <f>VLOOKUP(C20,'Talente &amp; Stuff'!AF:BG,4,FALSE)</f>
        <v>0</v>
      </c>
      <c r="G20" s="113">
        <f>VLOOKUP(C20,'Talente &amp; Stuff'!AF:BG,5,FALSE)</f>
        <v>0</v>
      </c>
      <c r="H20" s="113">
        <f>VLOOKUP(C20,'Talente &amp; Stuff'!AF:BG,6,FALSE)</f>
        <v>0</v>
      </c>
      <c r="I20" s="113">
        <f>VLOOKUP(C20,'Talente &amp; Stuff'!AF:BG,7,FALSE)</f>
        <v>0</v>
      </c>
      <c r="J20" s="113">
        <f>VLOOKUP(C20,'Talente &amp; Stuff'!AF:BG,8,FALSE)</f>
        <v>0</v>
      </c>
      <c r="K20" s="113">
        <f>VLOOKUP(C20,'Talente &amp; Stuff'!AF:BG,9,FALSE)</f>
        <v>0</v>
      </c>
      <c r="L20" s="113">
        <f>VLOOKUP(C20,'Talente &amp; Stuff'!AF:BG,10,FALSE)</f>
        <v>0</v>
      </c>
      <c r="M20" s="119">
        <f>VLOOKUP(C20,'Talente &amp; Stuff'!AF:BG,11,FALSE)</f>
        <v>0</v>
      </c>
      <c r="N20" s="89">
        <f>VLOOKUP(C20,'Talente &amp; Stuff'!AF:BG,12,FALSE)</f>
        <v>0</v>
      </c>
      <c r="O20" s="47">
        <f>VLOOKUP(C20,'Talente &amp; Stuff'!AF:BG,13,FALSE)</f>
        <v>0</v>
      </c>
      <c r="P20" s="119">
        <f>VLOOKUP(C20,'Talente &amp; Stuff'!AF:BG,14,FALSE)</f>
        <v>0</v>
      </c>
      <c r="Q20" s="114">
        <f>VLOOKUP(C20,'Talente &amp; Stuff'!AF:BG,15,FALSE)</f>
        <v>0</v>
      </c>
      <c r="R20" s="113">
        <f>VLOOKUP(C20,'Talente &amp; Stuff'!AF:BG,16,FALSE)</f>
        <v>0</v>
      </c>
      <c r="S20" s="119">
        <f>VLOOKUP(C20,'Talente &amp; Stuff'!AF:BG,17,FALSE)</f>
        <v>0</v>
      </c>
      <c r="T20" s="160">
        <f>VLOOKUP(C20,'Talente &amp; Stuff'!AF:BG,18,FALSE)</f>
        <v>0</v>
      </c>
      <c r="U20" s="89">
        <f>VLOOKUP(C20,'Talente &amp; Stuff'!AF:BG,19,FALSE)</f>
        <v>0</v>
      </c>
      <c r="V20" s="47">
        <f>VLOOKUP(C20,'Talente &amp; Stuff'!AF:BG,20,FALSE)</f>
        <v>0</v>
      </c>
      <c r="W20" s="127">
        <f>VLOOKUP(C20,'Talente &amp; Stuff'!AF:BG,21,FALSE)</f>
        <v>0</v>
      </c>
      <c r="X20" s="125">
        <f>VLOOKUP(C20,'Talente &amp; Stuff'!AF:BG,22,FALSE)</f>
        <v>0</v>
      </c>
      <c r="Y20" s="165">
        <f t="shared" si="0"/>
        <v>0</v>
      </c>
      <c r="Z20" s="44">
        <f t="shared" si="1"/>
        <v>0</v>
      </c>
      <c r="AA20" s="125">
        <f>VLOOKUP(C20,'Talente &amp; Stuff'!AF:BG,25,FALSE)</f>
        <v>0</v>
      </c>
      <c r="AB20" s="160">
        <f>VLOOKUP(C20,'Talente &amp; Stuff'!AF:BG,26,FALSE)</f>
        <v>0</v>
      </c>
      <c r="AC20" s="127">
        <f>VLOOKUP(C20,'Talente &amp; Stuff'!AF:BG,27,FALSE)</f>
        <v>0</v>
      </c>
      <c r="AD20" s="125">
        <f>VLOOKUP(C20,'Talente &amp; Stuff'!AF:BG,28,FALSE)</f>
        <v>0</v>
      </c>
      <c r="AE20" s="28"/>
    </row>
    <row r="21" spans="2:31" ht="15" hidden="1" customHeight="1" outlineLevel="2">
      <c r="B21" s="148">
        <v>11</v>
      </c>
      <c r="C21" s="177" t="str">
        <f>Attribute!C21</f>
        <v>---</v>
      </c>
      <c r="D21" s="127" t="str">
        <f>VLOOKUP(C21,'Talente &amp; Stuff'!AF:BG,2,FALSE)</f>
        <v>--/--/--</v>
      </c>
      <c r="E21" s="125" t="str">
        <f>VLOOKUP(C21,'Talente &amp; Stuff'!AF:BG,3,FALSE)</f>
        <v>-</v>
      </c>
      <c r="F21" s="114">
        <f>VLOOKUP(C21,'Talente &amp; Stuff'!AF:BG,4,FALSE)</f>
        <v>0</v>
      </c>
      <c r="G21" s="113">
        <f>VLOOKUP(C21,'Talente &amp; Stuff'!AF:BG,5,FALSE)</f>
        <v>0</v>
      </c>
      <c r="H21" s="113">
        <f>VLOOKUP(C21,'Talente &amp; Stuff'!AF:BG,6,FALSE)</f>
        <v>0</v>
      </c>
      <c r="I21" s="113">
        <f>VLOOKUP(C21,'Talente &amp; Stuff'!AF:BG,7,FALSE)</f>
        <v>0</v>
      </c>
      <c r="J21" s="113">
        <f>VLOOKUP(C21,'Talente &amp; Stuff'!AF:BG,8,FALSE)</f>
        <v>0</v>
      </c>
      <c r="K21" s="113">
        <f>VLOOKUP(C21,'Talente &amp; Stuff'!AF:BG,9,FALSE)</f>
        <v>0</v>
      </c>
      <c r="L21" s="113">
        <f>VLOOKUP(C21,'Talente &amp; Stuff'!AF:BG,10,FALSE)</f>
        <v>0</v>
      </c>
      <c r="M21" s="119">
        <f>VLOOKUP(C21,'Talente &amp; Stuff'!AF:BG,11,FALSE)</f>
        <v>0</v>
      </c>
      <c r="N21" s="89">
        <f>VLOOKUP(C21,'Talente &amp; Stuff'!AF:BG,12,FALSE)</f>
        <v>0</v>
      </c>
      <c r="O21" s="47">
        <f>VLOOKUP(C21,'Talente &amp; Stuff'!AF:BG,13,FALSE)</f>
        <v>0</v>
      </c>
      <c r="P21" s="119">
        <f>VLOOKUP(C21,'Talente &amp; Stuff'!AF:BG,14,FALSE)</f>
        <v>0</v>
      </c>
      <c r="Q21" s="114">
        <f>VLOOKUP(C21,'Talente &amp; Stuff'!AF:BG,15,FALSE)</f>
        <v>0</v>
      </c>
      <c r="R21" s="113">
        <f>VLOOKUP(C21,'Talente &amp; Stuff'!AF:BG,16,FALSE)</f>
        <v>0</v>
      </c>
      <c r="S21" s="119">
        <f>VLOOKUP(C21,'Talente &amp; Stuff'!AF:BG,17,FALSE)</f>
        <v>0</v>
      </c>
      <c r="T21" s="160">
        <f>VLOOKUP(C21,'Talente &amp; Stuff'!AF:BG,18,FALSE)</f>
        <v>0</v>
      </c>
      <c r="U21" s="89">
        <f>VLOOKUP(C21,'Talente &amp; Stuff'!AF:BG,19,FALSE)</f>
        <v>0</v>
      </c>
      <c r="V21" s="47">
        <f>VLOOKUP(C21,'Talente &amp; Stuff'!AF:BG,20,FALSE)</f>
        <v>0</v>
      </c>
      <c r="W21" s="127">
        <f>VLOOKUP(C21,'Talente &amp; Stuff'!AF:BG,21,FALSE)</f>
        <v>0</v>
      </c>
      <c r="X21" s="125">
        <f>VLOOKUP(C21,'Talente &amp; Stuff'!AF:BG,22,FALSE)</f>
        <v>0</v>
      </c>
      <c r="Y21" s="165">
        <f t="shared" si="0"/>
        <v>0</v>
      </c>
      <c r="Z21" s="44">
        <f t="shared" si="1"/>
        <v>0</v>
      </c>
      <c r="AA21" s="125">
        <f>VLOOKUP(C21,'Talente &amp; Stuff'!AF:BG,25,FALSE)</f>
        <v>0</v>
      </c>
      <c r="AB21" s="160">
        <f>VLOOKUP(C21,'Talente &amp; Stuff'!AF:BG,26,FALSE)</f>
        <v>0</v>
      </c>
      <c r="AC21" s="127">
        <f>VLOOKUP(C21,'Talente &amp; Stuff'!AF:BG,27,FALSE)</f>
        <v>0</v>
      </c>
      <c r="AD21" s="125">
        <f>VLOOKUP(C21,'Talente &amp; Stuff'!AF:BG,28,FALSE)</f>
        <v>0</v>
      </c>
      <c r="AE21" s="28"/>
    </row>
    <row r="22" spans="2:31" ht="15" hidden="1" customHeight="1" outlineLevel="2">
      <c r="B22" s="148">
        <v>12</v>
      </c>
      <c r="C22" s="177" t="str">
        <f>Attribute!C22</f>
        <v>---</v>
      </c>
      <c r="D22" s="127" t="str">
        <f>VLOOKUP(C22,'Talente &amp; Stuff'!AF:BG,2,FALSE)</f>
        <v>--/--/--</v>
      </c>
      <c r="E22" s="125" t="str">
        <f>VLOOKUP(C22,'Talente &amp; Stuff'!AF:BG,3,FALSE)</f>
        <v>-</v>
      </c>
      <c r="F22" s="114">
        <f>VLOOKUP(C22,'Talente &amp; Stuff'!AF:BG,4,FALSE)</f>
        <v>0</v>
      </c>
      <c r="G22" s="113">
        <f>VLOOKUP(C22,'Talente &amp; Stuff'!AF:BG,5,FALSE)</f>
        <v>0</v>
      </c>
      <c r="H22" s="113">
        <f>VLOOKUP(C22,'Talente &amp; Stuff'!AF:BG,6,FALSE)</f>
        <v>0</v>
      </c>
      <c r="I22" s="113">
        <f>VLOOKUP(C22,'Talente &amp; Stuff'!AF:BG,7,FALSE)</f>
        <v>0</v>
      </c>
      <c r="J22" s="113">
        <f>VLOOKUP(C22,'Talente &amp; Stuff'!AF:BG,8,FALSE)</f>
        <v>0</v>
      </c>
      <c r="K22" s="113">
        <f>VLOOKUP(C22,'Talente &amp; Stuff'!AF:BG,9,FALSE)</f>
        <v>0</v>
      </c>
      <c r="L22" s="113">
        <f>VLOOKUP(C22,'Talente &amp; Stuff'!AF:BG,10,FALSE)</f>
        <v>0</v>
      </c>
      <c r="M22" s="119">
        <f>VLOOKUP(C22,'Talente &amp; Stuff'!AF:BG,11,FALSE)</f>
        <v>0</v>
      </c>
      <c r="N22" s="89">
        <f>VLOOKUP(C22,'Talente &amp; Stuff'!AF:BG,12,FALSE)</f>
        <v>0</v>
      </c>
      <c r="O22" s="47">
        <f>VLOOKUP(C22,'Talente &amp; Stuff'!AF:BG,13,FALSE)</f>
        <v>0</v>
      </c>
      <c r="P22" s="119">
        <f>VLOOKUP(C22,'Talente &amp; Stuff'!AF:BG,14,FALSE)</f>
        <v>0</v>
      </c>
      <c r="Q22" s="114">
        <f>VLOOKUP(C22,'Talente &amp; Stuff'!AF:BG,15,FALSE)</f>
        <v>0</v>
      </c>
      <c r="R22" s="113">
        <f>VLOOKUP(C22,'Talente &amp; Stuff'!AF:BG,16,FALSE)</f>
        <v>0</v>
      </c>
      <c r="S22" s="119">
        <f>VLOOKUP(C22,'Talente &amp; Stuff'!AF:BG,17,FALSE)</f>
        <v>0</v>
      </c>
      <c r="T22" s="160">
        <f>VLOOKUP(C22,'Talente &amp; Stuff'!AF:BG,18,FALSE)</f>
        <v>0</v>
      </c>
      <c r="U22" s="89">
        <f>VLOOKUP(C22,'Talente &amp; Stuff'!AF:BG,19,FALSE)</f>
        <v>0</v>
      </c>
      <c r="V22" s="47">
        <f>VLOOKUP(C22,'Talente &amp; Stuff'!AF:BG,20,FALSE)</f>
        <v>0</v>
      </c>
      <c r="W22" s="127">
        <f>VLOOKUP(C22,'Talente &amp; Stuff'!AF:BG,21,FALSE)</f>
        <v>0</v>
      </c>
      <c r="X22" s="125">
        <f>VLOOKUP(C22,'Talente &amp; Stuff'!AF:BG,22,FALSE)</f>
        <v>0</v>
      </c>
      <c r="Y22" s="165">
        <f t="shared" si="0"/>
        <v>0</v>
      </c>
      <c r="Z22" s="44">
        <f t="shared" si="1"/>
        <v>0</v>
      </c>
      <c r="AA22" s="125">
        <f>VLOOKUP(C22,'Talente &amp; Stuff'!AF:BG,25,FALSE)</f>
        <v>0</v>
      </c>
      <c r="AB22" s="160">
        <f>VLOOKUP(C22,'Talente &amp; Stuff'!AF:BG,26,FALSE)</f>
        <v>0</v>
      </c>
      <c r="AC22" s="127">
        <f>VLOOKUP(C22,'Talente &amp; Stuff'!AF:BG,27,FALSE)</f>
        <v>0</v>
      </c>
      <c r="AD22" s="125">
        <f>VLOOKUP(C22,'Talente &amp; Stuff'!AF:BG,28,FALSE)</f>
        <v>0</v>
      </c>
      <c r="AE22" s="28"/>
    </row>
    <row r="23" spans="2:31" ht="15" hidden="1" customHeight="1" outlineLevel="2">
      <c r="B23" s="148">
        <v>13</v>
      </c>
      <c r="C23" s="177" t="str">
        <f>Attribute!C23</f>
        <v>---</v>
      </c>
      <c r="D23" s="127" t="str">
        <f>VLOOKUP(C23,'Talente &amp; Stuff'!AF:BG,2,FALSE)</f>
        <v>--/--/--</v>
      </c>
      <c r="E23" s="125" t="str">
        <f>VLOOKUP(C23,'Talente &amp; Stuff'!AF:BG,3,FALSE)</f>
        <v>-</v>
      </c>
      <c r="F23" s="114">
        <f>VLOOKUP(C23,'Talente &amp; Stuff'!AF:BG,4,FALSE)</f>
        <v>0</v>
      </c>
      <c r="G23" s="113">
        <f>VLOOKUP(C23,'Talente &amp; Stuff'!AF:BG,5,FALSE)</f>
        <v>0</v>
      </c>
      <c r="H23" s="113">
        <f>VLOOKUP(C23,'Talente &amp; Stuff'!AF:BG,6,FALSE)</f>
        <v>0</v>
      </c>
      <c r="I23" s="113">
        <f>VLOOKUP(C23,'Talente &amp; Stuff'!AF:BG,7,FALSE)</f>
        <v>0</v>
      </c>
      <c r="J23" s="113">
        <f>VLOOKUP(C23,'Talente &amp; Stuff'!AF:BG,8,FALSE)</f>
        <v>0</v>
      </c>
      <c r="K23" s="113">
        <f>VLOOKUP(C23,'Talente &amp; Stuff'!AF:BG,9,FALSE)</f>
        <v>0</v>
      </c>
      <c r="L23" s="113">
        <f>VLOOKUP(C23,'Talente &amp; Stuff'!AF:BG,10,FALSE)</f>
        <v>0</v>
      </c>
      <c r="M23" s="119">
        <f>VLOOKUP(C23,'Talente &amp; Stuff'!AF:BG,11,FALSE)</f>
        <v>0</v>
      </c>
      <c r="N23" s="89">
        <f>VLOOKUP(C23,'Talente &amp; Stuff'!AF:BG,12,FALSE)</f>
        <v>0</v>
      </c>
      <c r="O23" s="47">
        <f>VLOOKUP(C23,'Talente &amp; Stuff'!AF:BG,13,FALSE)</f>
        <v>0</v>
      </c>
      <c r="P23" s="119">
        <f>VLOOKUP(C23,'Talente &amp; Stuff'!AF:BG,14,FALSE)</f>
        <v>0</v>
      </c>
      <c r="Q23" s="114">
        <f>VLOOKUP(C23,'Talente &amp; Stuff'!AF:BG,15,FALSE)</f>
        <v>0</v>
      </c>
      <c r="R23" s="113">
        <f>VLOOKUP(C23,'Talente &amp; Stuff'!AF:BG,16,FALSE)</f>
        <v>0</v>
      </c>
      <c r="S23" s="119">
        <f>VLOOKUP(C23,'Talente &amp; Stuff'!AF:BG,17,FALSE)</f>
        <v>0</v>
      </c>
      <c r="T23" s="160">
        <f>VLOOKUP(C23,'Talente &amp; Stuff'!AF:BG,18,FALSE)</f>
        <v>0</v>
      </c>
      <c r="U23" s="89">
        <f>VLOOKUP(C23,'Talente &amp; Stuff'!AF:BG,19,FALSE)</f>
        <v>0</v>
      </c>
      <c r="V23" s="47">
        <f>VLOOKUP(C23,'Talente &amp; Stuff'!AF:BG,20,FALSE)</f>
        <v>0</v>
      </c>
      <c r="W23" s="127">
        <f>VLOOKUP(C23,'Talente &amp; Stuff'!AF:BG,21,FALSE)</f>
        <v>0</v>
      </c>
      <c r="X23" s="125">
        <f>VLOOKUP(C23,'Talente &amp; Stuff'!AF:BG,22,FALSE)</f>
        <v>0</v>
      </c>
      <c r="Y23" s="165">
        <f t="shared" si="0"/>
        <v>0</v>
      </c>
      <c r="Z23" s="44">
        <f t="shared" si="1"/>
        <v>0</v>
      </c>
      <c r="AA23" s="125">
        <f>VLOOKUP(C23,'Talente &amp; Stuff'!AF:BG,25,FALSE)</f>
        <v>0</v>
      </c>
      <c r="AB23" s="160">
        <f>VLOOKUP(C23,'Talente &amp; Stuff'!AF:BG,26,FALSE)</f>
        <v>0</v>
      </c>
      <c r="AC23" s="127">
        <f>VLOOKUP(C23,'Talente &amp; Stuff'!AF:BG,27,FALSE)</f>
        <v>0</v>
      </c>
      <c r="AD23" s="125">
        <f>VLOOKUP(C23,'Talente &amp; Stuff'!AF:BG,28,FALSE)</f>
        <v>0</v>
      </c>
      <c r="AE23" s="28"/>
    </row>
    <row r="24" spans="2:31" ht="15" hidden="1" customHeight="1" outlineLevel="2">
      <c r="B24" s="148">
        <v>14</v>
      </c>
      <c r="C24" s="178" t="str">
        <f>Attribute!C24</f>
        <v>---</v>
      </c>
      <c r="D24" s="128" t="str">
        <f>VLOOKUP(C24,'Talente &amp; Stuff'!AF:BG,2,FALSE)</f>
        <v>--/--/--</v>
      </c>
      <c r="E24" s="159" t="str">
        <f>VLOOKUP(C24,'Talente &amp; Stuff'!AF:BG,3,FALSE)</f>
        <v>-</v>
      </c>
      <c r="F24" s="115">
        <f>VLOOKUP(C24,'Talente &amp; Stuff'!AF:BG,4,FALSE)</f>
        <v>0</v>
      </c>
      <c r="G24" s="122">
        <f>VLOOKUP(C24,'Talente &amp; Stuff'!AF:BG,5,FALSE)</f>
        <v>0</v>
      </c>
      <c r="H24" s="122">
        <f>VLOOKUP(C24,'Talente &amp; Stuff'!AF:BG,6,FALSE)</f>
        <v>0</v>
      </c>
      <c r="I24" s="122">
        <f>VLOOKUP(C24,'Talente &amp; Stuff'!AF:BG,7,FALSE)</f>
        <v>0</v>
      </c>
      <c r="J24" s="122">
        <f>VLOOKUP(C24,'Talente &amp; Stuff'!AF:BG,8,FALSE)</f>
        <v>0</v>
      </c>
      <c r="K24" s="122">
        <f>VLOOKUP(C24,'Talente &amp; Stuff'!AF:BG,9,FALSE)</f>
        <v>0</v>
      </c>
      <c r="L24" s="122">
        <f>VLOOKUP(C24,'Talente &amp; Stuff'!AF:BG,10,FALSE)</f>
        <v>0</v>
      </c>
      <c r="M24" s="123">
        <f>VLOOKUP(C24,'Talente &amp; Stuff'!AF:BG,11,FALSE)</f>
        <v>0</v>
      </c>
      <c r="N24" s="90">
        <f>VLOOKUP(C24,'Talente &amp; Stuff'!AF:BG,12,FALSE)</f>
        <v>0</v>
      </c>
      <c r="O24" s="88">
        <f>VLOOKUP(C24,'Talente &amp; Stuff'!AF:BG,13,FALSE)</f>
        <v>0</v>
      </c>
      <c r="P24" s="123">
        <f>VLOOKUP(C24,'Talente &amp; Stuff'!AF:BG,14,FALSE)</f>
        <v>0</v>
      </c>
      <c r="Q24" s="115">
        <f>VLOOKUP(C24,'Talente &amp; Stuff'!AF:BG,15,FALSE)</f>
        <v>0</v>
      </c>
      <c r="R24" s="122">
        <f>VLOOKUP(C24,'Talente &amp; Stuff'!AF:BG,16,FALSE)</f>
        <v>0</v>
      </c>
      <c r="S24" s="123">
        <f>VLOOKUP(C24,'Talente &amp; Stuff'!AF:BG,17,FALSE)</f>
        <v>0</v>
      </c>
      <c r="T24" s="161">
        <f>VLOOKUP(C24,'Talente &amp; Stuff'!AF:BG,18,FALSE)</f>
        <v>0</v>
      </c>
      <c r="U24" s="90">
        <f>VLOOKUP(C24,'Talente &amp; Stuff'!AF:BG,19,FALSE)</f>
        <v>0</v>
      </c>
      <c r="V24" s="88">
        <f>VLOOKUP(C24,'Talente &amp; Stuff'!AF:BG,20,FALSE)</f>
        <v>0</v>
      </c>
      <c r="W24" s="128">
        <f>VLOOKUP(C24,'Talente &amp; Stuff'!AF:BG,21,FALSE)</f>
        <v>0</v>
      </c>
      <c r="X24" s="159">
        <f>VLOOKUP(C24,'Talente &amp; Stuff'!AF:BG,22,FALSE)</f>
        <v>0</v>
      </c>
      <c r="Y24" s="165">
        <f t="shared" si="0"/>
        <v>0</v>
      </c>
      <c r="Z24" s="44">
        <f t="shared" si="1"/>
        <v>0</v>
      </c>
      <c r="AA24" s="159">
        <f>VLOOKUP(C24,'Talente &amp; Stuff'!AF:BG,25,FALSE)</f>
        <v>0</v>
      </c>
      <c r="AB24" s="161">
        <f>VLOOKUP(C24,'Talente &amp; Stuff'!AF:BG,26,FALSE)</f>
        <v>0</v>
      </c>
      <c r="AC24" s="128">
        <f>VLOOKUP(C24,'Talente &amp; Stuff'!AF:BG,27,FALSE)</f>
        <v>0</v>
      </c>
      <c r="AD24" s="159">
        <f>VLOOKUP(C24,'Talente &amp; Stuff'!AF:BG,28,FALSE)</f>
        <v>0</v>
      </c>
      <c r="AE24" s="28"/>
    </row>
    <row r="25" spans="2:31" ht="15" hidden="1" customHeight="1" outlineLevel="1" collapsed="1">
      <c r="B25" s="134" t="s">
        <v>278</v>
      </c>
      <c r="C25" s="83"/>
      <c r="D25" s="84"/>
      <c r="E25" s="84"/>
      <c r="F25" s="30"/>
      <c r="G25" s="30"/>
      <c r="H25" s="30"/>
      <c r="I25" s="30"/>
      <c r="J25" s="30"/>
      <c r="K25" s="30"/>
      <c r="L25" s="30"/>
      <c r="M25" s="30"/>
      <c r="N25" s="31"/>
      <c r="O25" s="31"/>
      <c r="P25" s="30"/>
      <c r="Q25" s="30"/>
      <c r="R25" s="30"/>
      <c r="S25" s="30"/>
      <c r="T25" s="30"/>
      <c r="U25" s="31"/>
      <c r="V25" s="31"/>
      <c r="W25" s="31"/>
      <c r="X25" s="31"/>
      <c r="Y25" s="65"/>
      <c r="AA25" s="148"/>
      <c r="AB25" s="148"/>
      <c r="AC25" s="148"/>
      <c r="AD25" s="148"/>
      <c r="AE25" s="148"/>
    </row>
    <row r="26" spans="2:31" ht="15" hidden="1" customHeight="1" outlineLevel="2">
      <c r="B26" s="148">
        <v>1</v>
      </c>
      <c r="C26" s="176" t="str">
        <f>Attribute!C26</f>
        <v>---</v>
      </c>
      <c r="D26" s="126" t="str">
        <f>VLOOKUP(C26,'Talente &amp; Stuff'!AF:BG,2,FALSE)</f>
        <v>--/--/--</v>
      </c>
      <c r="E26" s="158" t="str">
        <f>VLOOKUP(C26,'Talente &amp; Stuff'!AF:BG,3,FALSE)</f>
        <v>-</v>
      </c>
      <c r="F26" s="191">
        <f>VLOOKUP(C26,'Talente &amp; Stuff'!AF:BG,4,FALSE)</f>
        <v>0</v>
      </c>
      <c r="G26" s="118">
        <f>VLOOKUP(C26,'Talente &amp; Stuff'!AF:BG,5,FALSE)</f>
        <v>0</v>
      </c>
      <c r="H26" s="118">
        <f>VLOOKUP(C26,'Talente &amp; Stuff'!AF:BG,6,FALSE)</f>
        <v>0</v>
      </c>
      <c r="I26" s="118">
        <f>VLOOKUP(C26,'Talente &amp; Stuff'!AF:BG,7,FALSE)</f>
        <v>0</v>
      </c>
      <c r="J26" s="118">
        <f>VLOOKUP(C26,'Talente &amp; Stuff'!AF:BG,8,FALSE)</f>
        <v>0</v>
      </c>
      <c r="K26" s="118">
        <f>VLOOKUP(C26,'Talente &amp; Stuff'!AF:BG,9,FALSE)</f>
        <v>0</v>
      </c>
      <c r="L26" s="118">
        <f>VLOOKUP(C26,'Talente &amp; Stuff'!AF:BG,10,FALSE)</f>
        <v>0</v>
      </c>
      <c r="M26" s="92">
        <f>VLOOKUP(C26,'Talente &amp; Stuff'!AF:BG,11,FALSE)</f>
        <v>0</v>
      </c>
      <c r="N26" s="193">
        <f>VLOOKUP(C26,'Talente &amp; Stuff'!AF:BG,12,FALSE)</f>
        <v>0</v>
      </c>
      <c r="O26" s="116">
        <f>VLOOKUP(C26,'Talente &amp; Stuff'!AF:BG,13,FALSE)</f>
        <v>0</v>
      </c>
      <c r="P26" s="92">
        <f>VLOOKUP(C26,'Talente &amp; Stuff'!AF:BG,14,FALSE)</f>
        <v>0</v>
      </c>
      <c r="Q26" s="191">
        <f>VLOOKUP(C26,'Talente &amp; Stuff'!AF:BG,15,FALSE)</f>
        <v>0</v>
      </c>
      <c r="R26" s="118">
        <f>VLOOKUP(C26,'Talente &amp; Stuff'!AF:BG,16,FALSE)</f>
        <v>0</v>
      </c>
      <c r="S26" s="92">
        <f>VLOOKUP(C26,'Talente &amp; Stuff'!AF:BG,17,FALSE)</f>
        <v>0</v>
      </c>
      <c r="T26" s="91">
        <f>VLOOKUP(C26,'Talente &amp; Stuff'!AF:BG,18,FALSE)</f>
        <v>0</v>
      </c>
      <c r="U26" s="193">
        <f>VLOOKUP(C26,'Talente &amp; Stuff'!AF:BG,19,FALSE)</f>
        <v>0</v>
      </c>
      <c r="V26" s="116">
        <f>VLOOKUP(C26,'Talente &amp; Stuff'!AF:BG,20,FALSE)</f>
        <v>0</v>
      </c>
      <c r="W26" s="126">
        <f>VLOOKUP(C26,'Talente &amp; Stuff'!AF:BG,21,FALSE)</f>
        <v>0</v>
      </c>
      <c r="X26" s="158">
        <f>VLOOKUP(C26,'Talente &amp; Stuff'!AF:BG,22,FALSE)</f>
        <v>0</v>
      </c>
      <c r="Y26" s="165">
        <f t="shared" ref="Y26:Y34" si="2">VLOOKUP(C26,Ausgewählte_Talente_Gesellschaftstalente,52,FALSE)</f>
        <v>0</v>
      </c>
      <c r="Z26" s="44">
        <f t="shared" ref="Z26:Z34" si="3">VLOOKUP(C26,Ausgewählte_Talente_Gesellschaftstalente,53,FALSE)</f>
        <v>0</v>
      </c>
      <c r="AA26" s="158">
        <f>VLOOKUP(C26,'Talente &amp; Stuff'!AF:BG,25,FALSE)</f>
        <v>0</v>
      </c>
      <c r="AB26" s="91">
        <f>VLOOKUP(C26,'Talente &amp; Stuff'!AF:BG,26,FALSE)</f>
        <v>0</v>
      </c>
      <c r="AC26" s="126">
        <f>VLOOKUP(C26,'Talente &amp; Stuff'!AF:BG,27,FALSE)</f>
        <v>0</v>
      </c>
      <c r="AD26" s="158">
        <f>VLOOKUP(C26,'Talente &amp; Stuff'!AF:BG,28,FALSE)</f>
        <v>0</v>
      </c>
      <c r="AE26" s="28"/>
    </row>
    <row r="27" spans="2:31" ht="15" hidden="1" customHeight="1" outlineLevel="2">
      <c r="B27" s="148">
        <v>2</v>
      </c>
      <c r="C27" s="177" t="str">
        <f>Attribute!C27</f>
        <v>---</v>
      </c>
      <c r="D27" s="127" t="str">
        <f>VLOOKUP(C27,'Talente &amp; Stuff'!AF:BG,2,FALSE)</f>
        <v>--/--/--</v>
      </c>
      <c r="E27" s="125" t="str">
        <f>VLOOKUP(C27,'Talente &amp; Stuff'!AF:BG,3,FALSE)</f>
        <v>-</v>
      </c>
      <c r="F27" s="114">
        <f>VLOOKUP(C27,'Talente &amp; Stuff'!AF:BG,4,FALSE)</f>
        <v>0</v>
      </c>
      <c r="G27" s="113">
        <f>VLOOKUP(C27,'Talente &amp; Stuff'!AF:BG,5,FALSE)</f>
        <v>0</v>
      </c>
      <c r="H27" s="113">
        <f>VLOOKUP(C27,'Talente &amp; Stuff'!AF:BG,6,FALSE)</f>
        <v>0</v>
      </c>
      <c r="I27" s="113">
        <f>VLOOKUP(C27,'Talente &amp; Stuff'!AF:BG,7,FALSE)</f>
        <v>0</v>
      </c>
      <c r="J27" s="113">
        <f>VLOOKUP(C27,'Talente &amp; Stuff'!AF:BG,8,FALSE)</f>
        <v>0</v>
      </c>
      <c r="K27" s="113">
        <f>VLOOKUP(C27,'Talente &amp; Stuff'!AF:BG,9,FALSE)</f>
        <v>0</v>
      </c>
      <c r="L27" s="113">
        <f>VLOOKUP(C27,'Talente &amp; Stuff'!AF:BG,10,FALSE)</f>
        <v>0</v>
      </c>
      <c r="M27" s="119">
        <f>VLOOKUP(C27,'Talente &amp; Stuff'!AF:BG,11,FALSE)</f>
        <v>0</v>
      </c>
      <c r="N27" s="89">
        <f>VLOOKUP(C27,'Talente &amp; Stuff'!AF:BG,12,FALSE)</f>
        <v>0</v>
      </c>
      <c r="O27" s="47">
        <f>VLOOKUP(C27,'Talente &amp; Stuff'!AF:BG,13,FALSE)</f>
        <v>0</v>
      </c>
      <c r="P27" s="119">
        <f>VLOOKUP(C27,'Talente &amp; Stuff'!AF:BG,14,FALSE)</f>
        <v>0</v>
      </c>
      <c r="Q27" s="114">
        <f>VLOOKUP(C27,'Talente &amp; Stuff'!AF:BG,15,FALSE)</f>
        <v>0</v>
      </c>
      <c r="R27" s="113">
        <f>VLOOKUP(C27,'Talente &amp; Stuff'!AF:BG,16,FALSE)</f>
        <v>0</v>
      </c>
      <c r="S27" s="119">
        <f>VLOOKUP(C27,'Talente &amp; Stuff'!AF:BG,17,FALSE)</f>
        <v>0</v>
      </c>
      <c r="T27" s="160">
        <f>VLOOKUP(C27,'Talente &amp; Stuff'!AF:BG,18,FALSE)</f>
        <v>0</v>
      </c>
      <c r="U27" s="89">
        <f>VLOOKUP(C27,'Talente &amp; Stuff'!AF:BG,19,FALSE)</f>
        <v>0</v>
      </c>
      <c r="V27" s="47">
        <f>VLOOKUP(C27,'Talente &amp; Stuff'!AF:BG,20,FALSE)</f>
        <v>0</v>
      </c>
      <c r="W27" s="127">
        <f>VLOOKUP(C27,'Talente &amp; Stuff'!AF:BG,21,FALSE)</f>
        <v>0</v>
      </c>
      <c r="X27" s="125">
        <f>VLOOKUP(C27,'Talente &amp; Stuff'!AF:BG,22,FALSE)</f>
        <v>0</v>
      </c>
      <c r="Y27" s="165">
        <f t="shared" si="2"/>
        <v>0</v>
      </c>
      <c r="Z27" s="44">
        <f t="shared" si="3"/>
        <v>0</v>
      </c>
      <c r="AA27" s="125">
        <f>VLOOKUP(C27,'Talente &amp; Stuff'!AF:BG,25,FALSE)</f>
        <v>0</v>
      </c>
      <c r="AB27" s="160">
        <f>VLOOKUP(C27,'Talente &amp; Stuff'!AF:BG,26,FALSE)</f>
        <v>0</v>
      </c>
      <c r="AC27" s="127">
        <f>VLOOKUP(C27,'Talente &amp; Stuff'!AF:BG,27,FALSE)</f>
        <v>0</v>
      </c>
      <c r="AD27" s="125">
        <f>VLOOKUP(C27,'Talente &amp; Stuff'!AF:BG,28,FALSE)</f>
        <v>0</v>
      </c>
      <c r="AE27" s="28"/>
    </row>
    <row r="28" spans="2:31" ht="15" hidden="1" customHeight="1" outlineLevel="2">
      <c r="B28" s="148">
        <v>3</v>
      </c>
      <c r="C28" s="177" t="str">
        <f>Attribute!C28</f>
        <v>---</v>
      </c>
      <c r="D28" s="127" t="str">
        <f>VLOOKUP(C28,'Talente &amp; Stuff'!AF:BG,2,FALSE)</f>
        <v>--/--/--</v>
      </c>
      <c r="E28" s="125" t="str">
        <f>VLOOKUP(C28,'Talente &amp; Stuff'!AF:BG,3,FALSE)</f>
        <v>-</v>
      </c>
      <c r="F28" s="114">
        <f>VLOOKUP(C28,'Talente &amp; Stuff'!AF:BG,4,FALSE)</f>
        <v>0</v>
      </c>
      <c r="G28" s="113">
        <f>VLOOKUP(C28,'Talente &amp; Stuff'!AF:BG,5,FALSE)</f>
        <v>0</v>
      </c>
      <c r="H28" s="113">
        <f>VLOOKUP(C28,'Talente &amp; Stuff'!AF:BG,6,FALSE)</f>
        <v>0</v>
      </c>
      <c r="I28" s="113">
        <f>VLOOKUP(C28,'Talente &amp; Stuff'!AF:BG,7,FALSE)</f>
        <v>0</v>
      </c>
      <c r="J28" s="113">
        <f>VLOOKUP(C28,'Talente &amp; Stuff'!AF:BG,8,FALSE)</f>
        <v>0</v>
      </c>
      <c r="K28" s="113">
        <f>VLOOKUP(C28,'Talente &amp; Stuff'!AF:BG,9,FALSE)</f>
        <v>0</v>
      </c>
      <c r="L28" s="113">
        <f>VLOOKUP(C28,'Talente &amp; Stuff'!AF:BG,10,FALSE)</f>
        <v>0</v>
      </c>
      <c r="M28" s="119">
        <f>VLOOKUP(C28,'Talente &amp; Stuff'!AF:BG,11,FALSE)</f>
        <v>0</v>
      </c>
      <c r="N28" s="89">
        <f>VLOOKUP(C28,'Talente &amp; Stuff'!AF:BG,12,FALSE)</f>
        <v>0</v>
      </c>
      <c r="O28" s="47">
        <f>VLOOKUP(C28,'Talente &amp; Stuff'!AF:BG,13,FALSE)</f>
        <v>0</v>
      </c>
      <c r="P28" s="119">
        <f>VLOOKUP(C28,'Talente &amp; Stuff'!AF:BG,14,FALSE)</f>
        <v>0</v>
      </c>
      <c r="Q28" s="114">
        <f>VLOOKUP(C28,'Talente &amp; Stuff'!AF:BG,15,FALSE)</f>
        <v>0</v>
      </c>
      <c r="R28" s="113">
        <f>VLOOKUP(C28,'Talente &amp; Stuff'!AF:BG,16,FALSE)</f>
        <v>0</v>
      </c>
      <c r="S28" s="119">
        <f>VLOOKUP(C28,'Talente &amp; Stuff'!AF:BG,17,FALSE)</f>
        <v>0</v>
      </c>
      <c r="T28" s="160">
        <f>VLOOKUP(C28,'Talente &amp; Stuff'!AF:BG,18,FALSE)</f>
        <v>0</v>
      </c>
      <c r="U28" s="89">
        <f>VLOOKUP(C28,'Talente &amp; Stuff'!AF:BG,19,FALSE)</f>
        <v>0</v>
      </c>
      <c r="V28" s="47">
        <f>VLOOKUP(C28,'Talente &amp; Stuff'!AF:BG,20,FALSE)</f>
        <v>0</v>
      </c>
      <c r="W28" s="127">
        <f>VLOOKUP(C28,'Talente &amp; Stuff'!AF:BG,21,FALSE)</f>
        <v>0</v>
      </c>
      <c r="X28" s="125">
        <f>VLOOKUP(C28,'Talente &amp; Stuff'!AF:BG,22,FALSE)</f>
        <v>0</v>
      </c>
      <c r="Y28" s="165">
        <f t="shared" si="2"/>
        <v>0</v>
      </c>
      <c r="Z28" s="44">
        <f t="shared" si="3"/>
        <v>0</v>
      </c>
      <c r="AA28" s="125">
        <f>VLOOKUP(C28,'Talente &amp; Stuff'!AF:BG,25,FALSE)</f>
        <v>0</v>
      </c>
      <c r="AB28" s="160">
        <f>VLOOKUP(C28,'Talente &amp; Stuff'!AF:BG,26,FALSE)</f>
        <v>0</v>
      </c>
      <c r="AC28" s="127">
        <f>VLOOKUP(C28,'Talente &amp; Stuff'!AF:BG,27,FALSE)</f>
        <v>0</v>
      </c>
      <c r="AD28" s="125">
        <f>VLOOKUP(C28,'Talente &amp; Stuff'!AF:BG,28,FALSE)</f>
        <v>0</v>
      </c>
      <c r="AE28" s="28"/>
    </row>
    <row r="29" spans="2:31" ht="15" hidden="1" customHeight="1" outlineLevel="2">
      <c r="B29" s="148">
        <v>4</v>
      </c>
      <c r="C29" s="177" t="str">
        <f>Attribute!C29</f>
        <v>---</v>
      </c>
      <c r="D29" s="127" t="str">
        <f>VLOOKUP(C29,'Talente &amp; Stuff'!AF:BG,2,FALSE)</f>
        <v>--/--/--</v>
      </c>
      <c r="E29" s="125" t="str">
        <f>VLOOKUP(C29,'Talente &amp; Stuff'!AF:BG,3,FALSE)</f>
        <v>-</v>
      </c>
      <c r="F29" s="114">
        <f>VLOOKUP(C29,'Talente &amp; Stuff'!AF:BG,4,FALSE)</f>
        <v>0</v>
      </c>
      <c r="G29" s="113">
        <f>VLOOKUP(C29,'Talente &amp; Stuff'!AF:BG,5,FALSE)</f>
        <v>0</v>
      </c>
      <c r="H29" s="113">
        <f>VLOOKUP(C29,'Talente &amp; Stuff'!AF:BG,6,FALSE)</f>
        <v>0</v>
      </c>
      <c r="I29" s="113">
        <f>VLOOKUP(C29,'Talente &amp; Stuff'!AF:BG,7,FALSE)</f>
        <v>0</v>
      </c>
      <c r="J29" s="113">
        <f>VLOOKUP(C29,'Talente &amp; Stuff'!AF:BG,8,FALSE)</f>
        <v>0</v>
      </c>
      <c r="K29" s="113">
        <f>VLOOKUP(C29,'Talente &amp; Stuff'!AF:BG,9,FALSE)</f>
        <v>0</v>
      </c>
      <c r="L29" s="113">
        <f>VLOOKUP(C29,'Talente &amp; Stuff'!AF:BG,10,FALSE)</f>
        <v>0</v>
      </c>
      <c r="M29" s="119">
        <f>VLOOKUP(C29,'Talente &amp; Stuff'!AF:BG,11,FALSE)</f>
        <v>0</v>
      </c>
      <c r="N29" s="89">
        <f>VLOOKUP(C29,'Talente &amp; Stuff'!AF:BG,12,FALSE)</f>
        <v>0</v>
      </c>
      <c r="O29" s="47">
        <f>VLOOKUP(C29,'Talente &amp; Stuff'!AF:BG,13,FALSE)</f>
        <v>0</v>
      </c>
      <c r="P29" s="119">
        <f>VLOOKUP(C29,'Talente &amp; Stuff'!AF:BG,14,FALSE)</f>
        <v>0</v>
      </c>
      <c r="Q29" s="114">
        <f>VLOOKUP(C29,'Talente &amp; Stuff'!AF:BG,15,FALSE)</f>
        <v>0</v>
      </c>
      <c r="R29" s="113">
        <f>VLOOKUP(C29,'Talente &amp; Stuff'!AF:BG,16,FALSE)</f>
        <v>0</v>
      </c>
      <c r="S29" s="119">
        <f>VLOOKUP(C29,'Talente &amp; Stuff'!AF:BG,17,FALSE)</f>
        <v>0</v>
      </c>
      <c r="T29" s="160">
        <f>VLOOKUP(C29,'Talente &amp; Stuff'!AF:BG,18,FALSE)</f>
        <v>0</v>
      </c>
      <c r="U29" s="89">
        <f>VLOOKUP(C29,'Talente &amp; Stuff'!AF:BG,19,FALSE)</f>
        <v>0</v>
      </c>
      <c r="V29" s="47">
        <f>VLOOKUP(C29,'Talente &amp; Stuff'!AF:BG,20,FALSE)</f>
        <v>0</v>
      </c>
      <c r="W29" s="127">
        <f>VLOOKUP(C29,'Talente &amp; Stuff'!AF:BG,21,FALSE)</f>
        <v>0</v>
      </c>
      <c r="X29" s="125">
        <f>VLOOKUP(C29,'Talente &amp; Stuff'!AF:BG,22,FALSE)</f>
        <v>0</v>
      </c>
      <c r="Y29" s="165">
        <f t="shared" si="2"/>
        <v>0</v>
      </c>
      <c r="Z29" s="44">
        <f t="shared" si="3"/>
        <v>0</v>
      </c>
      <c r="AA29" s="125">
        <f>VLOOKUP(C29,'Talente &amp; Stuff'!AF:BG,25,FALSE)</f>
        <v>0</v>
      </c>
      <c r="AB29" s="160">
        <f>VLOOKUP(C29,'Talente &amp; Stuff'!AF:BG,26,FALSE)</f>
        <v>0</v>
      </c>
      <c r="AC29" s="127">
        <f>VLOOKUP(C29,'Talente &amp; Stuff'!AF:BG,27,FALSE)</f>
        <v>0</v>
      </c>
      <c r="AD29" s="125">
        <f>VLOOKUP(C29,'Talente &amp; Stuff'!AF:BG,28,FALSE)</f>
        <v>0</v>
      </c>
      <c r="AE29" s="28"/>
    </row>
    <row r="30" spans="2:31" ht="15" hidden="1" customHeight="1" outlineLevel="2">
      <c r="B30" s="148">
        <v>5</v>
      </c>
      <c r="C30" s="177" t="str">
        <f>Attribute!C30</f>
        <v>---</v>
      </c>
      <c r="D30" s="127" t="str">
        <f>VLOOKUP(C30,'Talente &amp; Stuff'!AF:BG,2,FALSE)</f>
        <v>--/--/--</v>
      </c>
      <c r="E30" s="125" t="str">
        <f>VLOOKUP(C30,'Talente &amp; Stuff'!AF:BG,3,FALSE)</f>
        <v>-</v>
      </c>
      <c r="F30" s="114">
        <f>VLOOKUP(C30,'Talente &amp; Stuff'!AF:BG,4,FALSE)</f>
        <v>0</v>
      </c>
      <c r="G30" s="113">
        <f>VLOOKUP(C30,'Talente &amp; Stuff'!AF:BG,5,FALSE)</f>
        <v>0</v>
      </c>
      <c r="H30" s="113">
        <f>VLOOKUP(C30,'Talente &amp; Stuff'!AF:BG,6,FALSE)</f>
        <v>0</v>
      </c>
      <c r="I30" s="113">
        <f>VLOOKUP(C30,'Talente &amp; Stuff'!AF:BG,7,FALSE)</f>
        <v>0</v>
      </c>
      <c r="J30" s="113">
        <f>VLOOKUP(C30,'Talente &amp; Stuff'!AF:BG,8,FALSE)</f>
        <v>0</v>
      </c>
      <c r="K30" s="113">
        <f>VLOOKUP(C30,'Talente &amp; Stuff'!AF:BG,9,FALSE)</f>
        <v>0</v>
      </c>
      <c r="L30" s="113">
        <f>VLOOKUP(C30,'Talente &amp; Stuff'!AF:BG,10,FALSE)</f>
        <v>0</v>
      </c>
      <c r="M30" s="119">
        <f>VLOOKUP(C30,'Talente &amp; Stuff'!AF:BG,11,FALSE)</f>
        <v>0</v>
      </c>
      <c r="N30" s="89">
        <f>VLOOKUP(C30,'Talente &amp; Stuff'!AF:BG,12,FALSE)</f>
        <v>0</v>
      </c>
      <c r="O30" s="47">
        <f>VLOOKUP(C30,'Talente &amp; Stuff'!AF:BG,13,FALSE)</f>
        <v>0</v>
      </c>
      <c r="P30" s="119">
        <f>VLOOKUP(C30,'Talente &amp; Stuff'!AF:BG,14,FALSE)</f>
        <v>0</v>
      </c>
      <c r="Q30" s="114">
        <f>VLOOKUP(C30,'Talente &amp; Stuff'!AF:BG,15,FALSE)</f>
        <v>0</v>
      </c>
      <c r="R30" s="113">
        <f>VLOOKUP(C30,'Talente &amp; Stuff'!AF:BG,16,FALSE)</f>
        <v>0</v>
      </c>
      <c r="S30" s="119">
        <f>VLOOKUP(C30,'Talente &amp; Stuff'!AF:BG,17,FALSE)</f>
        <v>0</v>
      </c>
      <c r="T30" s="160">
        <f>VLOOKUP(C30,'Talente &amp; Stuff'!AF:BG,18,FALSE)</f>
        <v>0</v>
      </c>
      <c r="U30" s="89">
        <f>VLOOKUP(C30,'Talente &amp; Stuff'!AF:BG,19,FALSE)</f>
        <v>0</v>
      </c>
      <c r="V30" s="47">
        <f>VLOOKUP(C30,'Talente &amp; Stuff'!AF:BG,20,FALSE)</f>
        <v>0</v>
      </c>
      <c r="W30" s="127">
        <f>VLOOKUP(C30,'Talente &amp; Stuff'!AF:BG,21,FALSE)</f>
        <v>0</v>
      </c>
      <c r="X30" s="125">
        <f>VLOOKUP(C30,'Talente &amp; Stuff'!AF:BG,22,FALSE)</f>
        <v>0</v>
      </c>
      <c r="Y30" s="165">
        <f t="shared" si="2"/>
        <v>0</v>
      </c>
      <c r="Z30" s="44">
        <f t="shared" si="3"/>
        <v>0</v>
      </c>
      <c r="AA30" s="125">
        <f>VLOOKUP(C30,'Talente &amp; Stuff'!AF:BG,25,FALSE)</f>
        <v>0</v>
      </c>
      <c r="AB30" s="160">
        <f>VLOOKUP(C30,'Talente &amp; Stuff'!AF:BG,26,FALSE)</f>
        <v>0</v>
      </c>
      <c r="AC30" s="127">
        <f>VLOOKUP(C30,'Talente &amp; Stuff'!AF:BG,27,FALSE)</f>
        <v>0</v>
      </c>
      <c r="AD30" s="125">
        <f>VLOOKUP(C30,'Talente &amp; Stuff'!AF:BG,28,FALSE)</f>
        <v>0</v>
      </c>
      <c r="AE30" s="28"/>
    </row>
    <row r="31" spans="2:31" ht="15" hidden="1" customHeight="1" outlineLevel="2">
      <c r="B31" s="148">
        <v>6</v>
      </c>
      <c r="C31" s="177" t="str">
        <f>Attribute!C31</f>
        <v>---</v>
      </c>
      <c r="D31" s="127" t="str">
        <f>VLOOKUP(C31,'Talente &amp; Stuff'!AF:BG,2,FALSE)</f>
        <v>--/--/--</v>
      </c>
      <c r="E31" s="125" t="str">
        <f>VLOOKUP(C31,'Talente &amp; Stuff'!AF:BG,3,FALSE)</f>
        <v>-</v>
      </c>
      <c r="F31" s="114">
        <f>VLOOKUP(C31,'Talente &amp; Stuff'!AF:BG,4,FALSE)</f>
        <v>0</v>
      </c>
      <c r="G31" s="113">
        <f>VLOOKUP(C31,'Talente &amp; Stuff'!AF:BG,5,FALSE)</f>
        <v>0</v>
      </c>
      <c r="H31" s="113">
        <f>VLOOKUP(C31,'Talente &amp; Stuff'!AF:BG,6,FALSE)</f>
        <v>0</v>
      </c>
      <c r="I31" s="113">
        <f>VLOOKUP(C31,'Talente &amp; Stuff'!AF:BG,7,FALSE)</f>
        <v>0</v>
      </c>
      <c r="J31" s="113">
        <f>VLOOKUP(C31,'Talente &amp; Stuff'!AF:BG,8,FALSE)</f>
        <v>0</v>
      </c>
      <c r="K31" s="113">
        <f>VLOOKUP(C31,'Talente &amp; Stuff'!AF:BG,9,FALSE)</f>
        <v>0</v>
      </c>
      <c r="L31" s="113">
        <f>VLOOKUP(C31,'Talente &amp; Stuff'!AF:BG,10,FALSE)</f>
        <v>0</v>
      </c>
      <c r="M31" s="119">
        <f>VLOOKUP(C31,'Talente &amp; Stuff'!AF:BG,11,FALSE)</f>
        <v>0</v>
      </c>
      <c r="N31" s="89">
        <f>VLOOKUP(C31,'Talente &amp; Stuff'!AF:BG,12,FALSE)</f>
        <v>0</v>
      </c>
      <c r="O31" s="47">
        <f>VLOOKUP(C31,'Talente &amp; Stuff'!AF:BG,13,FALSE)</f>
        <v>0</v>
      </c>
      <c r="P31" s="119">
        <f>VLOOKUP(C31,'Talente &amp; Stuff'!AF:BG,14,FALSE)</f>
        <v>0</v>
      </c>
      <c r="Q31" s="114">
        <f>VLOOKUP(C31,'Talente &amp; Stuff'!AF:BG,15,FALSE)</f>
        <v>0</v>
      </c>
      <c r="R31" s="113">
        <f>VLOOKUP(C31,'Talente &amp; Stuff'!AF:BG,16,FALSE)</f>
        <v>0</v>
      </c>
      <c r="S31" s="119">
        <f>VLOOKUP(C31,'Talente &amp; Stuff'!AF:BG,17,FALSE)</f>
        <v>0</v>
      </c>
      <c r="T31" s="160">
        <f>VLOOKUP(C31,'Talente &amp; Stuff'!AF:BG,18,FALSE)</f>
        <v>0</v>
      </c>
      <c r="U31" s="89">
        <f>VLOOKUP(C31,'Talente &amp; Stuff'!AF:BG,19,FALSE)</f>
        <v>0</v>
      </c>
      <c r="V31" s="47">
        <f>VLOOKUP(C31,'Talente &amp; Stuff'!AF:BG,20,FALSE)</f>
        <v>0</v>
      </c>
      <c r="W31" s="127">
        <f>VLOOKUP(C31,'Talente &amp; Stuff'!AF:BG,21,FALSE)</f>
        <v>0</v>
      </c>
      <c r="X31" s="125">
        <f>VLOOKUP(C31,'Talente &amp; Stuff'!AF:BG,22,FALSE)</f>
        <v>0</v>
      </c>
      <c r="Y31" s="165">
        <f t="shared" si="2"/>
        <v>0</v>
      </c>
      <c r="Z31" s="44">
        <f t="shared" si="3"/>
        <v>0</v>
      </c>
      <c r="AA31" s="125">
        <f>VLOOKUP(C31,'Talente &amp; Stuff'!AF:BG,25,FALSE)</f>
        <v>0</v>
      </c>
      <c r="AB31" s="160">
        <f>VLOOKUP(C31,'Talente &amp; Stuff'!AF:BG,26,FALSE)</f>
        <v>0</v>
      </c>
      <c r="AC31" s="127">
        <f>VLOOKUP(C31,'Talente &amp; Stuff'!AF:BG,27,FALSE)</f>
        <v>0</v>
      </c>
      <c r="AD31" s="125">
        <f>VLOOKUP(C31,'Talente &amp; Stuff'!AF:BG,28,FALSE)</f>
        <v>0</v>
      </c>
      <c r="AE31" s="28"/>
    </row>
    <row r="32" spans="2:31" ht="15" hidden="1" customHeight="1" outlineLevel="2">
      <c r="B32" s="148">
        <v>7</v>
      </c>
      <c r="C32" s="177" t="str">
        <f>Attribute!C32</f>
        <v>---</v>
      </c>
      <c r="D32" s="127" t="str">
        <f>VLOOKUP(C32,'Talente &amp; Stuff'!AF:BG,2,FALSE)</f>
        <v>--/--/--</v>
      </c>
      <c r="E32" s="125" t="str">
        <f>VLOOKUP(C32,'Talente &amp; Stuff'!AF:BG,3,FALSE)</f>
        <v>-</v>
      </c>
      <c r="F32" s="114">
        <f>VLOOKUP(C32,'Talente &amp; Stuff'!AF:BG,4,FALSE)</f>
        <v>0</v>
      </c>
      <c r="G32" s="113">
        <f>VLOOKUP(C32,'Talente &amp; Stuff'!AF:BG,5,FALSE)</f>
        <v>0</v>
      </c>
      <c r="H32" s="113">
        <f>VLOOKUP(C32,'Talente &amp; Stuff'!AF:BG,6,FALSE)</f>
        <v>0</v>
      </c>
      <c r="I32" s="113">
        <f>VLOOKUP(C32,'Talente &amp; Stuff'!AF:BG,7,FALSE)</f>
        <v>0</v>
      </c>
      <c r="J32" s="113">
        <f>VLOOKUP(C32,'Talente &amp; Stuff'!AF:BG,8,FALSE)</f>
        <v>0</v>
      </c>
      <c r="K32" s="113">
        <f>VLOOKUP(C32,'Talente &amp; Stuff'!AF:BG,9,FALSE)</f>
        <v>0</v>
      </c>
      <c r="L32" s="113">
        <f>VLOOKUP(C32,'Talente &amp; Stuff'!AF:BG,10,FALSE)</f>
        <v>0</v>
      </c>
      <c r="M32" s="119">
        <f>VLOOKUP(C32,'Talente &amp; Stuff'!AF:BG,11,FALSE)</f>
        <v>0</v>
      </c>
      <c r="N32" s="89">
        <f>VLOOKUP(C32,'Talente &amp; Stuff'!AF:BG,12,FALSE)</f>
        <v>0</v>
      </c>
      <c r="O32" s="47">
        <f>VLOOKUP(C32,'Talente &amp; Stuff'!AF:BG,13,FALSE)</f>
        <v>0</v>
      </c>
      <c r="P32" s="119">
        <f>VLOOKUP(C32,'Talente &amp; Stuff'!AF:BG,14,FALSE)</f>
        <v>0</v>
      </c>
      <c r="Q32" s="114">
        <f>VLOOKUP(C32,'Talente &amp; Stuff'!AF:BG,15,FALSE)</f>
        <v>0</v>
      </c>
      <c r="R32" s="113">
        <f>VLOOKUP(C32,'Talente &amp; Stuff'!AF:BG,16,FALSE)</f>
        <v>0</v>
      </c>
      <c r="S32" s="119">
        <f>VLOOKUP(C32,'Talente &amp; Stuff'!AF:BG,17,FALSE)</f>
        <v>0</v>
      </c>
      <c r="T32" s="160">
        <f>VLOOKUP(C32,'Talente &amp; Stuff'!AF:BG,18,FALSE)</f>
        <v>0</v>
      </c>
      <c r="U32" s="89">
        <f>VLOOKUP(C32,'Talente &amp; Stuff'!AF:BG,19,FALSE)</f>
        <v>0</v>
      </c>
      <c r="V32" s="47">
        <f>VLOOKUP(C32,'Talente &amp; Stuff'!AF:BG,20,FALSE)</f>
        <v>0</v>
      </c>
      <c r="W32" s="127">
        <f>VLOOKUP(C32,'Talente &amp; Stuff'!AF:BG,21,FALSE)</f>
        <v>0</v>
      </c>
      <c r="X32" s="125">
        <f>VLOOKUP(C32,'Talente &amp; Stuff'!AF:BG,22,FALSE)</f>
        <v>0</v>
      </c>
      <c r="Y32" s="165">
        <f t="shared" si="2"/>
        <v>0</v>
      </c>
      <c r="Z32" s="44">
        <f t="shared" si="3"/>
        <v>0</v>
      </c>
      <c r="AA32" s="125">
        <f>VLOOKUP(C32,'Talente &amp; Stuff'!AF:BG,25,FALSE)</f>
        <v>0</v>
      </c>
      <c r="AB32" s="160">
        <f>VLOOKUP(C32,'Talente &amp; Stuff'!AF:BG,26,FALSE)</f>
        <v>0</v>
      </c>
      <c r="AC32" s="127">
        <f>VLOOKUP(C32,'Talente &amp; Stuff'!AF:BG,27,FALSE)</f>
        <v>0</v>
      </c>
      <c r="AD32" s="125">
        <f>VLOOKUP(C32,'Talente &amp; Stuff'!AF:BG,28,FALSE)</f>
        <v>0</v>
      </c>
      <c r="AE32" s="28"/>
    </row>
    <row r="33" spans="2:31" ht="15" hidden="1" customHeight="1" outlineLevel="2">
      <c r="B33" s="148">
        <v>8</v>
      </c>
      <c r="C33" s="177" t="str">
        <f>Attribute!C33</f>
        <v>---</v>
      </c>
      <c r="D33" s="127" t="str">
        <f>VLOOKUP(C33,'Talente &amp; Stuff'!AF:BG,2,FALSE)</f>
        <v>--/--/--</v>
      </c>
      <c r="E33" s="125" t="str">
        <f>VLOOKUP(C33,'Talente &amp; Stuff'!AF:BG,3,FALSE)</f>
        <v>-</v>
      </c>
      <c r="F33" s="114">
        <f>VLOOKUP(C33,'Talente &amp; Stuff'!AF:BG,4,FALSE)</f>
        <v>0</v>
      </c>
      <c r="G33" s="113">
        <f>VLOOKUP(C33,'Talente &amp; Stuff'!AF:BG,5,FALSE)</f>
        <v>0</v>
      </c>
      <c r="H33" s="113">
        <f>VLOOKUP(C33,'Talente &amp; Stuff'!AF:BG,6,FALSE)</f>
        <v>0</v>
      </c>
      <c r="I33" s="113">
        <f>VLOOKUP(C33,'Talente &amp; Stuff'!AF:BG,7,FALSE)</f>
        <v>0</v>
      </c>
      <c r="J33" s="113">
        <f>VLOOKUP(C33,'Talente &amp; Stuff'!AF:BG,8,FALSE)</f>
        <v>0</v>
      </c>
      <c r="K33" s="113">
        <f>VLOOKUP(C33,'Talente &amp; Stuff'!AF:BG,9,FALSE)</f>
        <v>0</v>
      </c>
      <c r="L33" s="113">
        <f>VLOOKUP(C33,'Talente &amp; Stuff'!AF:BG,10,FALSE)</f>
        <v>0</v>
      </c>
      <c r="M33" s="119">
        <f>VLOOKUP(C33,'Talente &amp; Stuff'!AF:BG,11,FALSE)</f>
        <v>0</v>
      </c>
      <c r="N33" s="89">
        <f>VLOOKUP(C33,'Talente &amp; Stuff'!AF:BG,12,FALSE)</f>
        <v>0</v>
      </c>
      <c r="O33" s="47">
        <f>VLOOKUP(C33,'Talente &amp; Stuff'!AF:BG,13,FALSE)</f>
        <v>0</v>
      </c>
      <c r="P33" s="119">
        <f>VLOOKUP(C33,'Talente &amp; Stuff'!AF:BG,14,FALSE)</f>
        <v>0</v>
      </c>
      <c r="Q33" s="114">
        <f>VLOOKUP(C33,'Talente &amp; Stuff'!AF:BG,15,FALSE)</f>
        <v>0</v>
      </c>
      <c r="R33" s="113">
        <f>VLOOKUP(C33,'Talente &amp; Stuff'!AF:BG,16,FALSE)</f>
        <v>0</v>
      </c>
      <c r="S33" s="119">
        <f>VLOOKUP(C33,'Talente &amp; Stuff'!AF:BG,17,FALSE)</f>
        <v>0</v>
      </c>
      <c r="T33" s="160">
        <f>VLOOKUP(C33,'Talente &amp; Stuff'!AF:BG,18,FALSE)</f>
        <v>0</v>
      </c>
      <c r="U33" s="89">
        <f>VLOOKUP(C33,'Talente &amp; Stuff'!AF:BG,19,FALSE)</f>
        <v>0</v>
      </c>
      <c r="V33" s="47">
        <f>VLOOKUP(C33,'Talente &amp; Stuff'!AF:BG,20,FALSE)</f>
        <v>0</v>
      </c>
      <c r="W33" s="127">
        <f>VLOOKUP(C33,'Talente &amp; Stuff'!AF:BG,21,FALSE)</f>
        <v>0</v>
      </c>
      <c r="X33" s="125">
        <f>VLOOKUP(C33,'Talente &amp; Stuff'!AF:BG,22,FALSE)</f>
        <v>0</v>
      </c>
      <c r="Y33" s="165">
        <f t="shared" si="2"/>
        <v>0</v>
      </c>
      <c r="Z33" s="44">
        <f t="shared" si="3"/>
        <v>0</v>
      </c>
      <c r="AA33" s="125">
        <f>VLOOKUP(C33,'Talente &amp; Stuff'!AF:BG,25,FALSE)</f>
        <v>0</v>
      </c>
      <c r="AB33" s="160">
        <f>VLOOKUP(C33,'Talente &amp; Stuff'!AF:BG,26,FALSE)</f>
        <v>0</v>
      </c>
      <c r="AC33" s="127">
        <f>VLOOKUP(C33,'Talente &amp; Stuff'!AF:BG,27,FALSE)</f>
        <v>0</v>
      </c>
      <c r="AD33" s="125">
        <f>VLOOKUP(C33,'Talente &amp; Stuff'!AF:BG,28,FALSE)</f>
        <v>0</v>
      </c>
      <c r="AE33" s="28"/>
    </row>
    <row r="34" spans="2:31" ht="15" hidden="1" customHeight="1" outlineLevel="2">
      <c r="B34" s="148">
        <v>9</v>
      </c>
      <c r="C34" s="178" t="str">
        <f>Attribute!C34</f>
        <v>---</v>
      </c>
      <c r="D34" s="128" t="str">
        <f>VLOOKUP(C34,'Talente &amp; Stuff'!AF:BG,2,FALSE)</f>
        <v>--/--/--</v>
      </c>
      <c r="E34" s="159" t="str">
        <f>VLOOKUP(C34,'Talente &amp; Stuff'!AF:BG,3,FALSE)</f>
        <v>-</v>
      </c>
      <c r="F34" s="115">
        <f>VLOOKUP(C34,'Talente &amp; Stuff'!AF:BG,4,FALSE)</f>
        <v>0</v>
      </c>
      <c r="G34" s="122">
        <f>VLOOKUP(C34,'Talente &amp; Stuff'!AF:BG,5,FALSE)</f>
        <v>0</v>
      </c>
      <c r="H34" s="122">
        <f>VLOOKUP(C34,'Talente &amp; Stuff'!AF:BG,6,FALSE)</f>
        <v>0</v>
      </c>
      <c r="I34" s="122">
        <f>VLOOKUP(C34,'Talente &amp; Stuff'!AF:BG,7,FALSE)</f>
        <v>0</v>
      </c>
      <c r="J34" s="122">
        <f>VLOOKUP(C34,'Talente &amp; Stuff'!AF:BG,8,FALSE)</f>
        <v>0</v>
      </c>
      <c r="K34" s="122">
        <f>VLOOKUP(C34,'Talente &amp; Stuff'!AF:BG,9,FALSE)</f>
        <v>0</v>
      </c>
      <c r="L34" s="122">
        <f>VLOOKUP(C34,'Talente &amp; Stuff'!AF:BG,10,FALSE)</f>
        <v>0</v>
      </c>
      <c r="M34" s="123">
        <f>VLOOKUP(C34,'Talente &amp; Stuff'!AF:BG,11,FALSE)</f>
        <v>0</v>
      </c>
      <c r="N34" s="90">
        <f>VLOOKUP(C34,'Talente &amp; Stuff'!AF:BG,12,FALSE)</f>
        <v>0</v>
      </c>
      <c r="O34" s="88">
        <f>VLOOKUP(C34,'Talente &amp; Stuff'!AF:BG,13,FALSE)</f>
        <v>0</v>
      </c>
      <c r="P34" s="123">
        <f>VLOOKUP(C34,'Talente &amp; Stuff'!AF:BG,14,FALSE)</f>
        <v>0</v>
      </c>
      <c r="Q34" s="115">
        <f>VLOOKUP(C34,'Talente &amp; Stuff'!AF:BG,15,FALSE)</f>
        <v>0</v>
      </c>
      <c r="R34" s="122">
        <f>VLOOKUP(C34,'Talente &amp; Stuff'!AF:BG,16,FALSE)</f>
        <v>0</v>
      </c>
      <c r="S34" s="123">
        <f>VLOOKUP(C34,'Talente &amp; Stuff'!AF:BG,17,FALSE)</f>
        <v>0</v>
      </c>
      <c r="T34" s="161">
        <f>VLOOKUP(C34,'Talente &amp; Stuff'!AF:BG,18,FALSE)</f>
        <v>0</v>
      </c>
      <c r="U34" s="90">
        <f>VLOOKUP(C34,'Talente &amp; Stuff'!AF:BG,19,FALSE)</f>
        <v>0</v>
      </c>
      <c r="V34" s="88">
        <f>VLOOKUP(C34,'Talente &amp; Stuff'!AF:BG,20,FALSE)</f>
        <v>0</v>
      </c>
      <c r="W34" s="128">
        <f>VLOOKUP(C34,'Talente &amp; Stuff'!AF:BG,21,FALSE)</f>
        <v>0</v>
      </c>
      <c r="X34" s="159">
        <f>VLOOKUP(C34,'Talente &amp; Stuff'!AF:BG,22,FALSE)</f>
        <v>0</v>
      </c>
      <c r="Y34" s="165">
        <f t="shared" si="2"/>
        <v>0</v>
      </c>
      <c r="Z34" s="44">
        <f t="shared" si="3"/>
        <v>0</v>
      </c>
      <c r="AA34" s="159">
        <f>VLOOKUP(C34,'Talente &amp; Stuff'!AF:BG,25,FALSE)</f>
        <v>0</v>
      </c>
      <c r="AB34" s="161">
        <f>VLOOKUP(C34,'Talente &amp; Stuff'!AF:BG,26,FALSE)</f>
        <v>0</v>
      </c>
      <c r="AC34" s="128">
        <f>VLOOKUP(C34,'Talente &amp; Stuff'!AF:BG,27,FALSE)</f>
        <v>0</v>
      </c>
      <c r="AD34" s="159">
        <f>VLOOKUP(C34,'Talente &amp; Stuff'!AF:BG,28,FALSE)</f>
        <v>0</v>
      </c>
      <c r="AE34" s="28"/>
    </row>
    <row r="35" spans="2:31" ht="15" hidden="1" customHeight="1" outlineLevel="1" collapsed="1">
      <c r="B35" s="134" t="s">
        <v>69</v>
      </c>
      <c r="C35" s="83"/>
      <c r="D35" s="84"/>
      <c r="E35" s="84"/>
      <c r="F35" s="30"/>
      <c r="G35" s="30"/>
      <c r="H35" s="30"/>
      <c r="I35" s="30"/>
      <c r="J35" s="30"/>
      <c r="K35" s="30"/>
      <c r="L35" s="30"/>
      <c r="M35" s="30"/>
      <c r="N35" s="31"/>
      <c r="O35" s="31"/>
      <c r="P35" s="30"/>
      <c r="Q35" s="30"/>
      <c r="R35" s="30"/>
      <c r="S35" s="30"/>
      <c r="T35" s="30"/>
      <c r="U35" s="31"/>
      <c r="V35" s="31"/>
      <c r="W35" s="31"/>
      <c r="X35" s="31"/>
      <c r="Y35" s="65"/>
      <c r="AA35" s="148"/>
      <c r="AB35" s="148"/>
      <c r="AC35" s="148"/>
      <c r="AD35" s="148"/>
      <c r="AE35" s="148"/>
    </row>
    <row r="36" spans="2:31" ht="15" hidden="1" customHeight="1" outlineLevel="2">
      <c r="B36" s="148">
        <v>1</v>
      </c>
      <c r="C36" s="176" t="str">
        <f>Attribute!C36</f>
        <v>---</v>
      </c>
      <c r="D36" s="126" t="str">
        <f>VLOOKUP(C36,'Talente &amp; Stuff'!AF:BG,2,FALSE)</f>
        <v>--/--/--</v>
      </c>
      <c r="E36" s="158" t="str">
        <f>VLOOKUP(C36,'Talente &amp; Stuff'!AF:BG,3,FALSE)</f>
        <v>-</v>
      </c>
      <c r="F36" s="191">
        <f>VLOOKUP(C36,'Talente &amp; Stuff'!AF:BG,4,FALSE)</f>
        <v>0</v>
      </c>
      <c r="G36" s="118">
        <f>VLOOKUP(C36,'Talente &amp; Stuff'!AF:BG,5,FALSE)</f>
        <v>0</v>
      </c>
      <c r="H36" s="118">
        <f>VLOOKUP(C36,'Talente &amp; Stuff'!AF:BG,6,FALSE)</f>
        <v>0</v>
      </c>
      <c r="I36" s="118">
        <f>VLOOKUP(C36,'Talente &amp; Stuff'!AF:BG,7,FALSE)</f>
        <v>0</v>
      </c>
      <c r="J36" s="118">
        <f>VLOOKUP(C36,'Talente &amp; Stuff'!AF:BG,8,FALSE)</f>
        <v>0</v>
      </c>
      <c r="K36" s="118">
        <f>VLOOKUP(C36,'Talente &amp; Stuff'!AF:BG,9,FALSE)</f>
        <v>0</v>
      </c>
      <c r="L36" s="118">
        <f>VLOOKUP(C36,'Talente &amp; Stuff'!AF:BG,10,FALSE)</f>
        <v>0</v>
      </c>
      <c r="M36" s="92">
        <f>VLOOKUP(C36,'Talente &amp; Stuff'!AF:BG,11,FALSE)</f>
        <v>0</v>
      </c>
      <c r="N36" s="193">
        <f>VLOOKUP(C36,'Talente &amp; Stuff'!AF:BG,12,FALSE)</f>
        <v>0</v>
      </c>
      <c r="O36" s="116">
        <f>VLOOKUP(C36,'Talente &amp; Stuff'!AF:BG,13,FALSE)</f>
        <v>0</v>
      </c>
      <c r="P36" s="92">
        <f>VLOOKUP(C36,'Talente &amp; Stuff'!AF:BG,14,FALSE)</f>
        <v>0</v>
      </c>
      <c r="Q36" s="191">
        <f>VLOOKUP(C36,'Talente &amp; Stuff'!AF:BG,15,FALSE)</f>
        <v>0</v>
      </c>
      <c r="R36" s="118">
        <f>VLOOKUP(C36,'Talente &amp; Stuff'!AF:BG,16,FALSE)</f>
        <v>0</v>
      </c>
      <c r="S36" s="92">
        <f>VLOOKUP(C36,'Talente &amp; Stuff'!AF:BG,17,FALSE)</f>
        <v>0</v>
      </c>
      <c r="T36" s="91">
        <f>VLOOKUP(C36,'Talente &amp; Stuff'!AF:BG,18,FALSE)</f>
        <v>0</v>
      </c>
      <c r="U36" s="193">
        <f>VLOOKUP(C36,'Talente &amp; Stuff'!AF:BG,19,FALSE)</f>
        <v>0</v>
      </c>
      <c r="V36" s="116">
        <f>VLOOKUP(C36,'Talente &amp; Stuff'!AF:BG,20,FALSE)</f>
        <v>0</v>
      </c>
      <c r="W36" s="126">
        <f>VLOOKUP(C36,'Talente &amp; Stuff'!AF:BG,21,FALSE)</f>
        <v>0</v>
      </c>
      <c r="X36" s="158">
        <f>VLOOKUP(C36,'Talente &amp; Stuff'!AF:BG,22,FALSE)</f>
        <v>0</v>
      </c>
      <c r="Y36" s="165">
        <f t="shared" ref="Y36:Y42" si="4">VLOOKUP(C36,Ausgewählte_Talente_Naturtalente,52,FALSE)</f>
        <v>0</v>
      </c>
      <c r="Z36" s="44">
        <f t="shared" ref="Z36:Z42" si="5">VLOOKUP(C36,Ausgewählte_Talente_Naturtalente,53,FALSE)</f>
        <v>0</v>
      </c>
      <c r="AA36" s="158">
        <f>VLOOKUP(C36,'Talente &amp; Stuff'!AF:BG,25,FALSE)</f>
        <v>0</v>
      </c>
      <c r="AB36" s="91">
        <f>VLOOKUP(C36,'Talente &amp; Stuff'!AF:BG,26,FALSE)</f>
        <v>0</v>
      </c>
      <c r="AC36" s="126">
        <f>VLOOKUP(C36,'Talente &amp; Stuff'!AF:BG,27,FALSE)</f>
        <v>0</v>
      </c>
      <c r="AD36" s="158">
        <f>VLOOKUP(C36,'Talente &amp; Stuff'!AF:BG,28,FALSE)</f>
        <v>0</v>
      </c>
      <c r="AE36" s="28"/>
    </row>
    <row r="37" spans="2:31" ht="15" hidden="1" customHeight="1" outlineLevel="2">
      <c r="B37" s="148">
        <v>2</v>
      </c>
      <c r="C37" s="177" t="str">
        <f>Attribute!C37</f>
        <v>---</v>
      </c>
      <c r="D37" s="127" t="str">
        <f>VLOOKUP(C37,'Talente &amp; Stuff'!AF:BG,2,FALSE)</f>
        <v>--/--/--</v>
      </c>
      <c r="E37" s="125" t="str">
        <f>VLOOKUP(C37,'Talente &amp; Stuff'!AF:BG,3,FALSE)</f>
        <v>-</v>
      </c>
      <c r="F37" s="114">
        <f>VLOOKUP(C37,'Talente &amp; Stuff'!AF:BG,4,FALSE)</f>
        <v>0</v>
      </c>
      <c r="G37" s="113">
        <f>VLOOKUP(C37,'Talente &amp; Stuff'!AF:BG,5,FALSE)</f>
        <v>0</v>
      </c>
      <c r="H37" s="113">
        <f>VLOOKUP(C37,'Talente &amp; Stuff'!AF:BG,6,FALSE)</f>
        <v>0</v>
      </c>
      <c r="I37" s="113">
        <f>VLOOKUP(C37,'Talente &amp; Stuff'!AF:BG,7,FALSE)</f>
        <v>0</v>
      </c>
      <c r="J37" s="113">
        <f>VLOOKUP(C37,'Talente &amp; Stuff'!AF:BG,8,FALSE)</f>
        <v>0</v>
      </c>
      <c r="K37" s="113">
        <f>VLOOKUP(C37,'Talente &amp; Stuff'!AF:BG,9,FALSE)</f>
        <v>0</v>
      </c>
      <c r="L37" s="113">
        <f>VLOOKUP(C37,'Talente &amp; Stuff'!AF:BG,10,FALSE)</f>
        <v>0</v>
      </c>
      <c r="M37" s="119">
        <f>VLOOKUP(C37,'Talente &amp; Stuff'!AF:BG,11,FALSE)</f>
        <v>0</v>
      </c>
      <c r="N37" s="89">
        <f>VLOOKUP(C37,'Talente &amp; Stuff'!AF:BG,12,FALSE)</f>
        <v>0</v>
      </c>
      <c r="O37" s="47">
        <f>VLOOKUP(C37,'Talente &amp; Stuff'!AF:BG,13,FALSE)</f>
        <v>0</v>
      </c>
      <c r="P37" s="119">
        <f>VLOOKUP(C37,'Talente &amp; Stuff'!AF:BG,14,FALSE)</f>
        <v>0</v>
      </c>
      <c r="Q37" s="114">
        <f>VLOOKUP(C37,'Talente &amp; Stuff'!AF:BG,15,FALSE)</f>
        <v>0</v>
      </c>
      <c r="R37" s="113">
        <f>VLOOKUP(C37,'Talente &amp; Stuff'!AF:BG,16,FALSE)</f>
        <v>0</v>
      </c>
      <c r="S37" s="119">
        <f>VLOOKUP(C37,'Talente &amp; Stuff'!AF:BG,17,FALSE)</f>
        <v>0</v>
      </c>
      <c r="T37" s="160">
        <f>VLOOKUP(C37,'Talente &amp; Stuff'!AF:BG,18,FALSE)</f>
        <v>0</v>
      </c>
      <c r="U37" s="89">
        <f>VLOOKUP(C37,'Talente &amp; Stuff'!AF:BG,19,FALSE)</f>
        <v>0</v>
      </c>
      <c r="V37" s="47">
        <f>VLOOKUP(C37,'Talente &amp; Stuff'!AF:BG,20,FALSE)</f>
        <v>0</v>
      </c>
      <c r="W37" s="127">
        <f>VLOOKUP(C37,'Talente &amp; Stuff'!AF:BG,21,FALSE)</f>
        <v>0</v>
      </c>
      <c r="X37" s="125">
        <f>VLOOKUP(C37,'Talente &amp; Stuff'!AF:BG,22,FALSE)</f>
        <v>0</v>
      </c>
      <c r="Y37" s="165">
        <f t="shared" si="4"/>
        <v>0</v>
      </c>
      <c r="Z37" s="44">
        <f t="shared" si="5"/>
        <v>0</v>
      </c>
      <c r="AA37" s="125">
        <f>VLOOKUP(C37,'Talente &amp; Stuff'!AF:BG,25,FALSE)</f>
        <v>0</v>
      </c>
      <c r="AB37" s="160">
        <f>VLOOKUP(C37,'Talente &amp; Stuff'!AF:BG,26,FALSE)</f>
        <v>0</v>
      </c>
      <c r="AC37" s="127">
        <f>VLOOKUP(C37,'Talente &amp; Stuff'!AF:BG,27,FALSE)</f>
        <v>0</v>
      </c>
      <c r="AD37" s="125">
        <f>VLOOKUP(C37,'Talente &amp; Stuff'!AF:BG,28,FALSE)</f>
        <v>0</v>
      </c>
      <c r="AE37" s="28"/>
    </row>
    <row r="38" spans="2:31" ht="15" hidden="1" customHeight="1" outlineLevel="2">
      <c r="B38" s="148">
        <v>3</v>
      </c>
      <c r="C38" s="177" t="str">
        <f>Attribute!C38</f>
        <v>---</v>
      </c>
      <c r="D38" s="127" t="str">
        <f>VLOOKUP(C38,'Talente &amp; Stuff'!AF:BG,2,FALSE)</f>
        <v>--/--/--</v>
      </c>
      <c r="E38" s="125" t="str">
        <f>VLOOKUP(C38,'Talente &amp; Stuff'!AF:BG,3,FALSE)</f>
        <v>-</v>
      </c>
      <c r="F38" s="114">
        <f>VLOOKUP(C38,'Talente &amp; Stuff'!AF:BG,4,FALSE)</f>
        <v>0</v>
      </c>
      <c r="G38" s="113">
        <f>VLOOKUP(C38,'Talente &amp; Stuff'!AF:BG,5,FALSE)</f>
        <v>0</v>
      </c>
      <c r="H38" s="113">
        <f>VLOOKUP(C38,'Talente &amp; Stuff'!AF:BG,6,FALSE)</f>
        <v>0</v>
      </c>
      <c r="I38" s="113">
        <f>VLOOKUP(C38,'Talente &amp; Stuff'!AF:BG,7,FALSE)</f>
        <v>0</v>
      </c>
      <c r="J38" s="113">
        <f>VLOOKUP(C38,'Talente &amp; Stuff'!AF:BG,8,FALSE)</f>
        <v>0</v>
      </c>
      <c r="K38" s="113">
        <f>VLOOKUP(C38,'Talente &amp; Stuff'!AF:BG,9,FALSE)</f>
        <v>0</v>
      </c>
      <c r="L38" s="113">
        <f>VLOOKUP(C38,'Talente &amp; Stuff'!AF:BG,10,FALSE)</f>
        <v>0</v>
      </c>
      <c r="M38" s="119">
        <f>VLOOKUP(C38,'Talente &amp; Stuff'!AF:BG,11,FALSE)</f>
        <v>0</v>
      </c>
      <c r="N38" s="89">
        <f>VLOOKUP(C38,'Talente &amp; Stuff'!AF:BG,12,FALSE)</f>
        <v>0</v>
      </c>
      <c r="O38" s="47">
        <f>VLOOKUP(C38,'Talente &amp; Stuff'!AF:BG,13,FALSE)</f>
        <v>0</v>
      </c>
      <c r="P38" s="119">
        <f>VLOOKUP(C38,'Talente &amp; Stuff'!AF:BG,14,FALSE)</f>
        <v>0</v>
      </c>
      <c r="Q38" s="114">
        <f>VLOOKUP(C38,'Talente &amp; Stuff'!AF:BG,15,FALSE)</f>
        <v>0</v>
      </c>
      <c r="R38" s="113">
        <f>VLOOKUP(C38,'Talente &amp; Stuff'!AF:BG,16,FALSE)</f>
        <v>0</v>
      </c>
      <c r="S38" s="119">
        <f>VLOOKUP(C38,'Talente &amp; Stuff'!AF:BG,17,FALSE)</f>
        <v>0</v>
      </c>
      <c r="T38" s="160">
        <f>VLOOKUP(C38,'Talente &amp; Stuff'!AF:BG,18,FALSE)</f>
        <v>0</v>
      </c>
      <c r="U38" s="89">
        <f>VLOOKUP(C38,'Talente &amp; Stuff'!AF:BG,19,FALSE)</f>
        <v>0</v>
      </c>
      <c r="V38" s="47">
        <f>VLOOKUP(C38,'Talente &amp; Stuff'!AF:BG,20,FALSE)</f>
        <v>0</v>
      </c>
      <c r="W38" s="127">
        <f>VLOOKUP(C38,'Talente &amp; Stuff'!AF:BG,21,FALSE)</f>
        <v>0</v>
      </c>
      <c r="X38" s="125">
        <f>VLOOKUP(C38,'Talente &amp; Stuff'!AF:BG,22,FALSE)</f>
        <v>0</v>
      </c>
      <c r="Y38" s="165">
        <f t="shared" si="4"/>
        <v>0</v>
      </c>
      <c r="Z38" s="44">
        <f t="shared" si="5"/>
        <v>0</v>
      </c>
      <c r="AA38" s="125">
        <f>VLOOKUP(C38,'Talente &amp; Stuff'!AF:BG,25,FALSE)</f>
        <v>0</v>
      </c>
      <c r="AB38" s="160">
        <f>VLOOKUP(C38,'Talente &amp; Stuff'!AF:BG,26,FALSE)</f>
        <v>0</v>
      </c>
      <c r="AC38" s="127">
        <f>VLOOKUP(C38,'Talente &amp; Stuff'!AF:BG,27,FALSE)</f>
        <v>0</v>
      </c>
      <c r="AD38" s="125">
        <f>VLOOKUP(C38,'Talente &amp; Stuff'!AF:BG,28,FALSE)</f>
        <v>0</v>
      </c>
      <c r="AE38" s="28"/>
    </row>
    <row r="39" spans="2:31" ht="15" hidden="1" customHeight="1" outlineLevel="2">
      <c r="B39" s="148">
        <v>4</v>
      </c>
      <c r="C39" s="177" t="str">
        <f>Attribute!C39</f>
        <v>---</v>
      </c>
      <c r="D39" s="127" t="str">
        <f>VLOOKUP(C39,'Talente &amp; Stuff'!AF:BG,2,FALSE)</f>
        <v>--/--/--</v>
      </c>
      <c r="E39" s="125" t="str">
        <f>VLOOKUP(C39,'Talente &amp; Stuff'!AF:BG,3,FALSE)</f>
        <v>-</v>
      </c>
      <c r="F39" s="114">
        <f>VLOOKUP(C39,'Talente &amp; Stuff'!AF:BG,4,FALSE)</f>
        <v>0</v>
      </c>
      <c r="G39" s="113">
        <f>VLOOKUP(C39,'Talente &amp; Stuff'!AF:BG,5,FALSE)</f>
        <v>0</v>
      </c>
      <c r="H39" s="113">
        <f>VLOOKUP(C39,'Talente &amp; Stuff'!AF:BG,6,FALSE)</f>
        <v>0</v>
      </c>
      <c r="I39" s="113">
        <f>VLOOKUP(C39,'Talente &amp; Stuff'!AF:BG,7,FALSE)</f>
        <v>0</v>
      </c>
      <c r="J39" s="113">
        <f>VLOOKUP(C39,'Talente &amp; Stuff'!AF:BG,8,FALSE)</f>
        <v>0</v>
      </c>
      <c r="K39" s="113">
        <f>VLOOKUP(C39,'Talente &amp; Stuff'!AF:BG,9,FALSE)</f>
        <v>0</v>
      </c>
      <c r="L39" s="113">
        <f>VLOOKUP(C39,'Talente &amp; Stuff'!AF:BG,10,FALSE)</f>
        <v>0</v>
      </c>
      <c r="M39" s="119">
        <f>VLOOKUP(C39,'Talente &amp; Stuff'!AF:BG,11,FALSE)</f>
        <v>0</v>
      </c>
      <c r="N39" s="89">
        <f>VLOOKUP(C39,'Talente &amp; Stuff'!AF:BG,12,FALSE)</f>
        <v>0</v>
      </c>
      <c r="O39" s="47">
        <f>VLOOKUP(C39,'Talente &amp; Stuff'!AF:BG,13,FALSE)</f>
        <v>0</v>
      </c>
      <c r="P39" s="119">
        <f>VLOOKUP(C39,'Talente &amp; Stuff'!AF:BG,14,FALSE)</f>
        <v>0</v>
      </c>
      <c r="Q39" s="114">
        <f>VLOOKUP(C39,'Talente &amp; Stuff'!AF:BG,15,FALSE)</f>
        <v>0</v>
      </c>
      <c r="R39" s="113">
        <f>VLOOKUP(C39,'Talente &amp; Stuff'!AF:BG,16,FALSE)</f>
        <v>0</v>
      </c>
      <c r="S39" s="119">
        <f>VLOOKUP(C39,'Talente &amp; Stuff'!AF:BG,17,FALSE)</f>
        <v>0</v>
      </c>
      <c r="T39" s="160">
        <f>VLOOKUP(C39,'Talente &amp; Stuff'!AF:BG,18,FALSE)</f>
        <v>0</v>
      </c>
      <c r="U39" s="89">
        <f>VLOOKUP(C39,'Talente &amp; Stuff'!AF:BG,19,FALSE)</f>
        <v>0</v>
      </c>
      <c r="V39" s="47">
        <f>VLOOKUP(C39,'Talente &amp; Stuff'!AF:BG,20,FALSE)</f>
        <v>0</v>
      </c>
      <c r="W39" s="127">
        <f>VLOOKUP(C39,'Talente &amp; Stuff'!AF:BG,21,FALSE)</f>
        <v>0</v>
      </c>
      <c r="X39" s="125">
        <f>VLOOKUP(C39,'Talente &amp; Stuff'!AF:BG,22,FALSE)</f>
        <v>0</v>
      </c>
      <c r="Y39" s="165">
        <f t="shared" si="4"/>
        <v>0</v>
      </c>
      <c r="Z39" s="44">
        <f t="shared" si="5"/>
        <v>0</v>
      </c>
      <c r="AA39" s="125">
        <f>VLOOKUP(C39,'Talente &amp; Stuff'!AF:BG,25,FALSE)</f>
        <v>0</v>
      </c>
      <c r="AB39" s="160">
        <f>VLOOKUP(C39,'Talente &amp; Stuff'!AF:BG,26,FALSE)</f>
        <v>0</v>
      </c>
      <c r="AC39" s="127">
        <f>VLOOKUP(C39,'Talente &amp; Stuff'!AF:BG,27,FALSE)</f>
        <v>0</v>
      </c>
      <c r="AD39" s="125">
        <f>VLOOKUP(C39,'Talente &amp; Stuff'!AF:BG,28,FALSE)</f>
        <v>0</v>
      </c>
      <c r="AE39" s="28"/>
    </row>
    <row r="40" spans="2:31" ht="15" hidden="1" customHeight="1" outlineLevel="2">
      <c r="B40" s="148">
        <v>5</v>
      </c>
      <c r="C40" s="177" t="str">
        <f>Attribute!C40</f>
        <v>---</v>
      </c>
      <c r="D40" s="127" t="str">
        <f>VLOOKUP(C40,'Talente &amp; Stuff'!AF:BG,2,FALSE)</f>
        <v>--/--/--</v>
      </c>
      <c r="E40" s="125" t="str">
        <f>VLOOKUP(C40,'Talente &amp; Stuff'!AF:BG,3,FALSE)</f>
        <v>-</v>
      </c>
      <c r="F40" s="114">
        <f>VLOOKUP(C40,'Talente &amp; Stuff'!AF:BG,4,FALSE)</f>
        <v>0</v>
      </c>
      <c r="G40" s="113">
        <f>VLOOKUP(C40,'Talente &amp; Stuff'!AF:BG,5,FALSE)</f>
        <v>0</v>
      </c>
      <c r="H40" s="113">
        <f>VLOOKUP(C40,'Talente &amp; Stuff'!AF:BG,6,FALSE)</f>
        <v>0</v>
      </c>
      <c r="I40" s="113">
        <f>VLOOKUP(C40,'Talente &amp; Stuff'!AF:BG,7,FALSE)</f>
        <v>0</v>
      </c>
      <c r="J40" s="113">
        <f>VLOOKUP(C40,'Talente &amp; Stuff'!AF:BG,8,FALSE)</f>
        <v>0</v>
      </c>
      <c r="K40" s="113">
        <f>VLOOKUP(C40,'Talente &amp; Stuff'!AF:BG,9,FALSE)</f>
        <v>0</v>
      </c>
      <c r="L40" s="113">
        <f>VLOOKUP(C40,'Talente &amp; Stuff'!AF:BG,10,FALSE)</f>
        <v>0</v>
      </c>
      <c r="M40" s="119">
        <f>VLOOKUP(C40,'Talente &amp; Stuff'!AF:BG,11,FALSE)</f>
        <v>0</v>
      </c>
      <c r="N40" s="89">
        <f>VLOOKUP(C40,'Talente &amp; Stuff'!AF:BG,12,FALSE)</f>
        <v>0</v>
      </c>
      <c r="O40" s="47">
        <f>VLOOKUP(C40,'Talente &amp; Stuff'!AF:BG,13,FALSE)</f>
        <v>0</v>
      </c>
      <c r="P40" s="119">
        <f>VLOOKUP(C40,'Talente &amp; Stuff'!AF:BG,14,FALSE)</f>
        <v>0</v>
      </c>
      <c r="Q40" s="114">
        <f>VLOOKUP(C40,'Talente &amp; Stuff'!AF:BG,15,FALSE)</f>
        <v>0</v>
      </c>
      <c r="R40" s="113">
        <f>VLOOKUP(C40,'Talente &amp; Stuff'!AF:BG,16,FALSE)</f>
        <v>0</v>
      </c>
      <c r="S40" s="119">
        <f>VLOOKUP(C40,'Talente &amp; Stuff'!AF:BG,17,FALSE)</f>
        <v>0</v>
      </c>
      <c r="T40" s="160">
        <f>VLOOKUP(C40,'Talente &amp; Stuff'!AF:BG,18,FALSE)</f>
        <v>0</v>
      </c>
      <c r="U40" s="89">
        <f>VLOOKUP(C40,'Talente &amp; Stuff'!AF:BG,19,FALSE)</f>
        <v>0</v>
      </c>
      <c r="V40" s="47">
        <f>VLOOKUP(C40,'Talente &amp; Stuff'!AF:BG,20,FALSE)</f>
        <v>0</v>
      </c>
      <c r="W40" s="127">
        <f>VLOOKUP(C40,'Talente &amp; Stuff'!AF:BG,21,FALSE)</f>
        <v>0</v>
      </c>
      <c r="X40" s="125">
        <f>VLOOKUP(C40,'Talente &amp; Stuff'!AF:BG,22,FALSE)</f>
        <v>0</v>
      </c>
      <c r="Y40" s="165">
        <f t="shared" si="4"/>
        <v>0</v>
      </c>
      <c r="Z40" s="44">
        <f t="shared" si="5"/>
        <v>0</v>
      </c>
      <c r="AA40" s="125">
        <f>VLOOKUP(C40,'Talente &amp; Stuff'!AF:BG,25,FALSE)</f>
        <v>0</v>
      </c>
      <c r="AB40" s="160">
        <f>VLOOKUP(C40,'Talente &amp; Stuff'!AF:BG,26,FALSE)</f>
        <v>0</v>
      </c>
      <c r="AC40" s="127">
        <f>VLOOKUP(C40,'Talente &amp; Stuff'!AF:BG,27,FALSE)</f>
        <v>0</v>
      </c>
      <c r="AD40" s="125">
        <f>VLOOKUP(C40,'Talente &amp; Stuff'!AF:BG,28,FALSE)</f>
        <v>0</v>
      </c>
      <c r="AE40" s="28"/>
    </row>
    <row r="41" spans="2:31" ht="15" hidden="1" customHeight="1" outlineLevel="2">
      <c r="B41" s="148">
        <v>6</v>
      </c>
      <c r="C41" s="177" t="str">
        <f>Attribute!C41</f>
        <v>---</v>
      </c>
      <c r="D41" s="127" t="str">
        <f>VLOOKUP(C41,'Talente &amp; Stuff'!AF:BG,2,FALSE)</f>
        <v>--/--/--</v>
      </c>
      <c r="E41" s="125" t="str">
        <f>VLOOKUP(C41,'Talente &amp; Stuff'!AF:BG,3,FALSE)</f>
        <v>-</v>
      </c>
      <c r="F41" s="114">
        <f>VLOOKUP(C41,'Talente &amp; Stuff'!AF:BG,4,FALSE)</f>
        <v>0</v>
      </c>
      <c r="G41" s="113">
        <f>VLOOKUP(C41,'Talente &amp; Stuff'!AF:BG,5,FALSE)</f>
        <v>0</v>
      </c>
      <c r="H41" s="113">
        <f>VLOOKUP(C41,'Talente &amp; Stuff'!AF:BG,6,FALSE)</f>
        <v>0</v>
      </c>
      <c r="I41" s="113">
        <f>VLOOKUP(C41,'Talente &amp; Stuff'!AF:BG,7,FALSE)</f>
        <v>0</v>
      </c>
      <c r="J41" s="113">
        <f>VLOOKUP(C41,'Talente &amp; Stuff'!AF:BG,8,FALSE)</f>
        <v>0</v>
      </c>
      <c r="K41" s="113">
        <f>VLOOKUP(C41,'Talente &amp; Stuff'!AF:BG,9,FALSE)</f>
        <v>0</v>
      </c>
      <c r="L41" s="113">
        <f>VLOOKUP(C41,'Talente &amp; Stuff'!AF:BG,10,FALSE)</f>
        <v>0</v>
      </c>
      <c r="M41" s="119">
        <f>VLOOKUP(C41,'Talente &amp; Stuff'!AF:BG,11,FALSE)</f>
        <v>0</v>
      </c>
      <c r="N41" s="89">
        <f>VLOOKUP(C41,'Talente &amp; Stuff'!AF:BG,12,FALSE)</f>
        <v>0</v>
      </c>
      <c r="O41" s="47">
        <f>VLOOKUP(C41,'Talente &amp; Stuff'!AF:BG,13,FALSE)</f>
        <v>0</v>
      </c>
      <c r="P41" s="119">
        <f>VLOOKUP(C41,'Talente &amp; Stuff'!AF:BG,14,FALSE)</f>
        <v>0</v>
      </c>
      <c r="Q41" s="114">
        <f>VLOOKUP(C41,'Talente &amp; Stuff'!AF:BG,15,FALSE)</f>
        <v>0</v>
      </c>
      <c r="R41" s="113">
        <f>VLOOKUP(C41,'Talente &amp; Stuff'!AF:BG,16,FALSE)</f>
        <v>0</v>
      </c>
      <c r="S41" s="119">
        <f>VLOOKUP(C41,'Talente &amp; Stuff'!AF:BG,17,FALSE)</f>
        <v>0</v>
      </c>
      <c r="T41" s="160">
        <f>VLOOKUP(C41,'Talente &amp; Stuff'!AF:BG,18,FALSE)</f>
        <v>0</v>
      </c>
      <c r="U41" s="89">
        <f>VLOOKUP(C41,'Talente &amp; Stuff'!AF:BG,19,FALSE)</f>
        <v>0</v>
      </c>
      <c r="V41" s="47">
        <f>VLOOKUP(C41,'Talente &amp; Stuff'!AF:BG,20,FALSE)</f>
        <v>0</v>
      </c>
      <c r="W41" s="127">
        <f>VLOOKUP(C41,'Talente &amp; Stuff'!AF:BG,21,FALSE)</f>
        <v>0</v>
      </c>
      <c r="X41" s="125">
        <f>VLOOKUP(C41,'Talente &amp; Stuff'!AF:BG,22,FALSE)</f>
        <v>0</v>
      </c>
      <c r="Y41" s="165">
        <f t="shared" si="4"/>
        <v>0</v>
      </c>
      <c r="Z41" s="44">
        <f t="shared" si="5"/>
        <v>0</v>
      </c>
      <c r="AA41" s="125">
        <f>VLOOKUP(C41,'Talente &amp; Stuff'!AF:BG,25,FALSE)</f>
        <v>0</v>
      </c>
      <c r="AB41" s="160">
        <f>VLOOKUP(C41,'Talente &amp; Stuff'!AF:BG,26,FALSE)</f>
        <v>0</v>
      </c>
      <c r="AC41" s="127">
        <f>VLOOKUP(C41,'Talente &amp; Stuff'!AF:BG,27,FALSE)</f>
        <v>0</v>
      </c>
      <c r="AD41" s="125">
        <f>VLOOKUP(C41,'Talente &amp; Stuff'!AF:BG,28,FALSE)</f>
        <v>0</v>
      </c>
      <c r="AE41" s="28"/>
    </row>
    <row r="42" spans="2:31" ht="15" hidden="1" customHeight="1" outlineLevel="2">
      <c r="B42" s="148">
        <v>7</v>
      </c>
      <c r="C42" s="178" t="str">
        <f>Attribute!C42</f>
        <v>---</v>
      </c>
      <c r="D42" s="128" t="str">
        <f>VLOOKUP(C42,'Talente &amp; Stuff'!AF:BG,2,FALSE)</f>
        <v>--/--/--</v>
      </c>
      <c r="E42" s="159" t="str">
        <f>VLOOKUP(C42,'Talente &amp; Stuff'!AF:BG,3,FALSE)</f>
        <v>-</v>
      </c>
      <c r="F42" s="115">
        <f>VLOOKUP(C42,'Talente &amp; Stuff'!AF:BG,4,FALSE)</f>
        <v>0</v>
      </c>
      <c r="G42" s="122">
        <f>VLOOKUP(C42,'Talente &amp; Stuff'!AF:BG,5,FALSE)</f>
        <v>0</v>
      </c>
      <c r="H42" s="122">
        <f>VLOOKUP(C42,'Talente &amp; Stuff'!AF:BG,6,FALSE)</f>
        <v>0</v>
      </c>
      <c r="I42" s="122">
        <f>VLOOKUP(C42,'Talente &amp; Stuff'!AF:BG,7,FALSE)</f>
        <v>0</v>
      </c>
      <c r="J42" s="122">
        <f>VLOOKUP(C42,'Talente &amp; Stuff'!AF:BG,8,FALSE)</f>
        <v>0</v>
      </c>
      <c r="K42" s="122">
        <f>VLOOKUP(C42,'Talente &amp; Stuff'!AF:BG,9,FALSE)</f>
        <v>0</v>
      </c>
      <c r="L42" s="122">
        <f>VLOOKUP(C42,'Talente &amp; Stuff'!AF:BG,10,FALSE)</f>
        <v>0</v>
      </c>
      <c r="M42" s="123">
        <f>VLOOKUP(C42,'Talente &amp; Stuff'!AF:BG,11,FALSE)</f>
        <v>0</v>
      </c>
      <c r="N42" s="90">
        <f>VLOOKUP(C42,'Talente &amp; Stuff'!AF:BG,12,FALSE)</f>
        <v>0</v>
      </c>
      <c r="O42" s="88">
        <f>VLOOKUP(C42,'Talente &amp; Stuff'!AF:BG,13,FALSE)</f>
        <v>0</v>
      </c>
      <c r="P42" s="123">
        <f>VLOOKUP(C42,'Talente &amp; Stuff'!AF:BG,14,FALSE)</f>
        <v>0</v>
      </c>
      <c r="Q42" s="115">
        <f>VLOOKUP(C42,'Talente &amp; Stuff'!AF:BG,15,FALSE)</f>
        <v>0</v>
      </c>
      <c r="R42" s="122">
        <f>VLOOKUP(C42,'Talente &amp; Stuff'!AF:BG,16,FALSE)</f>
        <v>0</v>
      </c>
      <c r="S42" s="123">
        <f>VLOOKUP(C42,'Talente &amp; Stuff'!AF:BG,17,FALSE)</f>
        <v>0</v>
      </c>
      <c r="T42" s="161">
        <f>VLOOKUP(C42,'Talente &amp; Stuff'!AF:BG,18,FALSE)</f>
        <v>0</v>
      </c>
      <c r="U42" s="90">
        <f>VLOOKUP(C42,'Talente &amp; Stuff'!AF:BG,19,FALSE)</f>
        <v>0</v>
      </c>
      <c r="V42" s="88">
        <f>VLOOKUP(C42,'Talente &amp; Stuff'!AF:BG,20,FALSE)</f>
        <v>0</v>
      </c>
      <c r="W42" s="128">
        <f>VLOOKUP(C42,'Talente &amp; Stuff'!AF:BG,21,FALSE)</f>
        <v>0</v>
      </c>
      <c r="X42" s="159">
        <f>VLOOKUP(C42,'Talente &amp; Stuff'!AF:BG,22,FALSE)</f>
        <v>0</v>
      </c>
      <c r="Y42" s="165">
        <f t="shared" si="4"/>
        <v>0</v>
      </c>
      <c r="Z42" s="44">
        <f t="shared" si="5"/>
        <v>0</v>
      </c>
      <c r="AA42" s="159">
        <f>VLOOKUP(C42,'Talente &amp; Stuff'!AF:BG,25,FALSE)</f>
        <v>0</v>
      </c>
      <c r="AB42" s="161">
        <f>VLOOKUP(C42,'Talente &amp; Stuff'!AF:BG,26,FALSE)</f>
        <v>0</v>
      </c>
      <c r="AC42" s="128">
        <f>VLOOKUP(C42,'Talente &amp; Stuff'!AF:BG,27,FALSE)</f>
        <v>0</v>
      </c>
      <c r="AD42" s="159">
        <f>VLOOKUP(C42,'Talente &amp; Stuff'!AF:BG,28,FALSE)</f>
        <v>0</v>
      </c>
      <c r="AE42" s="28"/>
    </row>
    <row r="43" spans="2:31" ht="15" hidden="1" customHeight="1" outlineLevel="1" collapsed="1">
      <c r="B43" s="134" t="s">
        <v>70</v>
      </c>
      <c r="C43" s="83"/>
      <c r="D43" s="84"/>
      <c r="E43" s="84"/>
      <c r="F43" s="30"/>
      <c r="G43" s="30"/>
      <c r="H43" s="30"/>
      <c r="I43" s="30"/>
      <c r="J43" s="30"/>
      <c r="K43" s="30"/>
      <c r="L43" s="30"/>
      <c r="M43" s="30"/>
      <c r="N43" s="31"/>
      <c r="O43" s="31"/>
      <c r="P43" s="30"/>
      <c r="Q43" s="30"/>
      <c r="R43" s="30"/>
      <c r="S43" s="30"/>
      <c r="T43" s="30"/>
      <c r="U43" s="31"/>
      <c r="V43" s="31"/>
      <c r="W43" s="31"/>
      <c r="X43" s="31"/>
      <c r="Y43" s="65"/>
      <c r="AA43" s="148"/>
      <c r="AB43" s="148"/>
      <c r="AC43" s="148"/>
      <c r="AD43" s="148"/>
      <c r="AE43" s="148"/>
    </row>
    <row r="44" spans="2:31" ht="15" hidden="1" customHeight="1" outlineLevel="2">
      <c r="B44" s="148">
        <v>1</v>
      </c>
      <c r="C44" s="176" t="str">
        <f>Attribute!C44</f>
        <v>---</v>
      </c>
      <c r="D44" s="126" t="str">
        <f>VLOOKUP(C44,'Talente &amp; Stuff'!AF:BG,2,FALSE)</f>
        <v>--/--/--</v>
      </c>
      <c r="E44" s="158" t="str">
        <f>VLOOKUP(C44,'Talente &amp; Stuff'!AF:BG,3,FALSE)</f>
        <v>-</v>
      </c>
      <c r="F44" s="191">
        <f>VLOOKUP(C44,'Talente &amp; Stuff'!AF:BG,4,FALSE)</f>
        <v>0</v>
      </c>
      <c r="G44" s="118">
        <f>VLOOKUP(C44,'Talente &amp; Stuff'!AF:BG,5,FALSE)</f>
        <v>0</v>
      </c>
      <c r="H44" s="118">
        <f>VLOOKUP(C44,'Talente &amp; Stuff'!AF:BG,6,FALSE)</f>
        <v>0</v>
      </c>
      <c r="I44" s="118">
        <f>VLOOKUP(C44,'Talente &amp; Stuff'!AF:BG,7,FALSE)</f>
        <v>0</v>
      </c>
      <c r="J44" s="118">
        <f>VLOOKUP(C44,'Talente &amp; Stuff'!AF:BG,8,FALSE)</f>
        <v>0</v>
      </c>
      <c r="K44" s="118">
        <f>VLOOKUP(C44,'Talente &amp; Stuff'!AF:BG,9,FALSE)</f>
        <v>0</v>
      </c>
      <c r="L44" s="118">
        <f>VLOOKUP(C44,'Talente &amp; Stuff'!AF:BG,10,FALSE)</f>
        <v>0</v>
      </c>
      <c r="M44" s="92">
        <f>VLOOKUP(C44,'Talente &amp; Stuff'!AF:BG,11,FALSE)</f>
        <v>0</v>
      </c>
      <c r="N44" s="193">
        <f>VLOOKUP(C44,'Talente &amp; Stuff'!AF:BG,12,FALSE)</f>
        <v>0</v>
      </c>
      <c r="O44" s="116">
        <f>VLOOKUP(C44,'Talente &amp; Stuff'!AF:BG,13,FALSE)</f>
        <v>0</v>
      </c>
      <c r="P44" s="92">
        <f>VLOOKUP(C44,'Talente &amp; Stuff'!AF:BG,14,FALSE)</f>
        <v>0</v>
      </c>
      <c r="Q44" s="191">
        <f>VLOOKUP(C44,'Talente &amp; Stuff'!AF:BG,15,FALSE)</f>
        <v>0</v>
      </c>
      <c r="R44" s="118">
        <f>VLOOKUP(C44,'Talente &amp; Stuff'!AF:BG,16,FALSE)</f>
        <v>0</v>
      </c>
      <c r="S44" s="92">
        <f>VLOOKUP(C44,'Talente &amp; Stuff'!AF:BG,17,FALSE)</f>
        <v>0</v>
      </c>
      <c r="T44" s="91">
        <f>VLOOKUP(C44,'Talente &amp; Stuff'!AF:BG,18,FALSE)</f>
        <v>0</v>
      </c>
      <c r="U44" s="193">
        <f>VLOOKUP(C44,'Talente &amp; Stuff'!AF:BG,19,FALSE)</f>
        <v>0</v>
      </c>
      <c r="V44" s="116">
        <f>VLOOKUP(C44,'Talente &amp; Stuff'!AF:BG,20,FALSE)</f>
        <v>0</v>
      </c>
      <c r="W44" s="126">
        <f>VLOOKUP(C44,'Talente &amp; Stuff'!AF:BG,21,FALSE)</f>
        <v>0</v>
      </c>
      <c r="X44" s="158">
        <f>VLOOKUP(C44,'Talente &amp; Stuff'!AF:BG,22,FALSE)</f>
        <v>0</v>
      </c>
      <c r="Y44" s="165">
        <f t="shared" ref="Y44:Y55" si="6">VLOOKUP(C44,Ausgewählte_Talente_Wissenstalente,52,FALSE)</f>
        <v>0</v>
      </c>
      <c r="Z44" s="44">
        <f t="shared" ref="Z44:Z55" si="7">VLOOKUP(C44,Ausgewählte_Talente_Wissenstalente,53,FALSE)</f>
        <v>0</v>
      </c>
      <c r="AA44" s="158">
        <f>VLOOKUP(C44,'Talente &amp; Stuff'!AF:BG,25,FALSE)</f>
        <v>0</v>
      </c>
      <c r="AB44" s="91">
        <f>VLOOKUP(C44,'Talente &amp; Stuff'!AF:BG,26,FALSE)</f>
        <v>0</v>
      </c>
      <c r="AC44" s="126">
        <f>VLOOKUP(C44,'Talente &amp; Stuff'!AF:BG,27,FALSE)</f>
        <v>0</v>
      </c>
      <c r="AD44" s="158">
        <f>VLOOKUP(C44,'Talente &amp; Stuff'!AF:BG,28,FALSE)</f>
        <v>0</v>
      </c>
      <c r="AE44" s="28"/>
    </row>
    <row r="45" spans="2:31" ht="15" hidden="1" customHeight="1" outlineLevel="2">
      <c r="B45" s="148">
        <v>2</v>
      </c>
      <c r="C45" s="177" t="str">
        <f>Attribute!C45</f>
        <v>---</v>
      </c>
      <c r="D45" s="127" t="str">
        <f>VLOOKUP(C45,'Talente &amp; Stuff'!AF:BG,2,FALSE)</f>
        <v>--/--/--</v>
      </c>
      <c r="E45" s="125" t="str">
        <f>VLOOKUP(C45,'Talente &amp; Stuff'!AF:BG,3,FALSE)</f>
        <v>-</v>
      </c>
      <c r="F45" s="114">
        <f>VLOOKUP(C45,'Talente &amp; Stuff'!AF:BG,4,FALSE)</f>
        <v>0</v>
      </c>
      <c r="G45" s="113">
        <f>VLOOKUP(C45,'Talente &amp; Stuff'!AF:BG,5,FALSE)</f>
        <v>0</v>
      </c>
      <c r="H45" s="113">
        <f>VLOOKUP(C45,'Talente &amp; Stuff'!AF:BG,6,FALSE)</f>
        <v>0</v>
      </c>
      <c r="I45" s="113">
        <f>VLOOKUP(C45,'Talente &amp; Stuff'!AF:BG,7,FALSE)</f>
        <v>0</v>
      </c>
      <c r="J45" s="113">
        <f>VLOOKUP(C45,'Talente &amp; Stuff'!AF:BG,8,FALSE)</f>
        <v>0</v>
      </c>
      <c r="K45" s="113">
        <f>VLOOKUP(C45,'Talente &amp; Stuff'!AF:BG,9,FALSE)</f>
        <v>0</v>
      </c>
      <c r="L45" s="113">
        <f>VLOOKUP(C45,'Talente &amp; Stuff'!AF:BG,10,FALSE)</f>
        <v>0</v>
      </c>
      <c r="M45" s="119">
        <f>VLOOKUP(C45,'Talente &amp; Stuff'!AF:BG,11,FALSE)</f>
        <v>0</v>
      </c>
      <c r="N45" s="89">
        <f>VLOOKUP(C45,'Talente &amp; Stuff'!AF:BG,12,FALSE)</f>
        <v>0</v>
      </c>
      <c r="O45" s="47">
        <f>VLOOKUP(C45,'Talente &amp; Stuff'!AF:BG,13,FALSE)</f>
        <v>0</v>
      </c>
      <c r="P45" s="119">
        <f>VLOOKUP(C45,'Talente &amp; Stuff'!AF:BG,14,FALSE)</f>
        <v>0</v>
      </c>
      <c r="Q45" s="114">
        <f>VLOOKUP(C45,'Talente &amp; Stuff'!AF:BG,15,FALSE)</f>
        <v>0</v>
      </c>
      <c r="R45" s="113">
        <f>VLOOKUP(C45,'Talente &amp; Stuff'!AF:BG,16,FALSE)</f>
        <v>0</v>
      </c>
      <c r="S45" s="119">
        <f>VLOOKUP(C45,'Talente &amp; Stuff'!AF:BG,17,FALSE)</f>
        <v>0</v>
      </c>
      <c r="T45" s="160">
        <f>VLOOKUP(C45,'Talente &amp; Stuff'!AF:BG,18,FALSE)</f>
        <v>0</v>
      </c>
      <c r="U45" s="89">
        <f>VLOOKUP(C45,'Talente &amp; Stuff'!AF:BG,19,FALSE)</f>
        <v>0</v>
      </c>
      <c r="V45" s="47">
        <f>VLOOKUP(C45,'Talente &amp; Stuff'!AF:BG,20,FALSE)</f>
        <v>0</v>
      </c>
      <c r="W45" s="127">
        <f>VLOOKUP(C45,'Talente &amp; Stuff'!AF:BG,21,FALSE)</f>
        <v>0</v>
      </c>
      <c r="X45" s="125">
        <f>VLOOKUP(C45,'Talente &amp; Stuff'!AF:BG,22,FALSE)</f>
        <v>0</v>
      </c>
      <c r="Y45" s="165">
        <f t="shared" si="6"/>
        <v>0</v>
      </c>
      <c r="Z45" s="44">
        <f t="shared" si="7"/>
        <v>0</v>
      </c>
      <c r="AA45" s="125">
        <f>VLOOKUP(C45,'Talente &amp; Stuff'!AF:BG,25,FALSE)</f>
        <v>0</v>
      </c>
      <c r="AB45" s="160">
        <f>VLOOKUP(C45,'Talente &amp; Stuff'!AF:BG,26,FALSE)</f>
        <v>0</v>
      </c>
      <c r="AC45" s="127">
        <f>VLOOKUP(C45,'Talente &amp; Stuff'!AF:BG,27,FALSE)</f>
        <v>0</v>
      </c>
      <c r="AD45" s="125">
        <f>VLOOKUP(C45,'Talente &amp; Stuff'!AF:BG,28,FALSE)</f>
        <v>0</v>
      </c>
      <c r="AE45" s="28"/>
    </row>
    <row r="46" spans="2:31" ht="15" hidden="1" customHeight="1" outlineLevel="2">
      <c r="B46" s="148">
        <v>3</v>
      </c>
      <c r="C46" s="177" t="str">
        <f>Attribute!C46</f>
        <v>---</v>
      </c>
      <c r="D46" s="127" t="str">
        <f>VLOOKUP(C46,'Talente &amp; Stuff'!AF:BG,2,FALSE)</f>
        <v>--/--/--</v>
      </c>
      <c r="E46" s="125" t="str">
        <f>VLOOKUP(C46,'Talente &amp; Stuff'!AF:BG,3,FALSE)</f>
        <v>-</v>
      </c>
      <c r="F46" s="114">
        <f>VLOOKUP(C46,'Talente &amp; Stuff'!AF:BG,4,FALSE)</f>
        <v>0</v>
      </c>
      <c r="G46" s="113">
        <f>VLOOKUP(C46,'Talente &amp; Stuff'!AF:BG,5,FALSE)</f>
        <v>0</v>
      </c>
      <c r="H46" s="113">
        <f>VLOOKUP(C46,'Talente &amp; Stuff'!AF:BG,6,FALSE)</f>
        <v>0</v>
      </c>
      <c r="I46" s="113">
        <f>VLOOKUP(C46,'Talente &amp; Stuff'!AF:BG,7,FALSE)</f>
        <v>0</v>
      </c>
      <c r="J46" s="113">
        <f>VLOOKUP(C46,'Talente &amp; Stuff'!AF:BG,8,FALSE)</f>
        <v>0</v>
      </c>
      <c r="K46" s="113">
        <f>VLOOKUP(C46,'Talente &amp; Stuff'!AF:BG,9,FALSE)</f>
        <v>0</v>
      </c>
      <c r="L46" s="113">
        <f>VLOOKUP(C46,'Talente &amp; Stuff'!AF:BG,10,FALSE)</f>
        <v>0</v>
      </c>
      <c r="M46" s="119">
        <f>VLOOKUP(C46,'Talente &amp; Stuff'!AF:BG,11,FALSE)</f>
        <v>0</v>
      </c>
      <c r="N46" s="89">
        <f>VLOOKUP(C46,'Talente &amp; Stuff'!AF:BG,12,FALSE)</f>
        <v>0</v>
      </c>
      <c r="O46" s="47">
        <f>VLOOKUP(C46,'Talente &amp; Stuff'!AF:BG,13,FALSE)</f>
        <v>0</v>
      </c>
      <c r="P46" s="119">
        <f>VLOOKUP(C46,'Talente &amp; Stuff'!AF:BG,14,FALSE)</f>
        <v>0</v>
      </c>
      <c r="Q46" s="114">
        <f>VLOOKUP(C46,'Talente &amp; Stuff'!AF:BG,15,FALSE)</f>
        <v>0</v>
      </c>
      <c r="R46" s="113">
        <f>VLOOKUP(C46,'Talente &amp; Stuff'!AF:BG,16,FALSE)</f>
        <v>0</v>
      </c>
      <c r="S46" s="119">
        <f>VLOOKUP(C46,'Talente &amp; Stuff'!AF:BG,17,FALSE)</f>
        <v>0</v>
      </c>
      <c r="T46" s="160">
        <f>VLOOKUP(C46,'Talente &amp; Stuff'!AF:BG,18,FALSE)</f>
        <v>0</v>
      </c>
      <c r="U46" s="89">
        <f>VLOOKUP(C46,'Talente &amp; Stuff'!AF:BG,19,FALSE)</f>
        <v>0</v>
      </c>
      <c r="V46" s="47">
        <f>VLOOKUP(C46,'Talente &amp; Stuff'!AF:BG,20,FALSE)</f>
        <v>0</v>
      </c>
      <c r="W46" s="127">
        <f>VLOOKUP(C46,'Talente &amp; Stuff'!AF:BG,21,FALSE)</f>
        <v>0</v>
      </c>
      <c r="X46" s="125">
        <f>VLOOKUP(C46,'Talente &amp; Stuff'!AF:BG,22,FALSE)</f>
        <v>0</v>
      </c>
      <c r="Y46" s="165">
        <f t="shared" si="6"/>
        <v>0</v>
      </c>
      <c r="Z46" s="44">
        <f t="shared" si="7"/>
        <v>0</v>
      </c>
      <c r="AA46" s="125">
        <f>VLOOKUP(C46,'Talente &amp; Stuff'!AF:BG,25,FALSE)</f>
        <v>0</v>
      </c>
      <c r="AB46" s="160">
        <f>VLOOKUP(C46,'Talente &amp; Stuff'!AF:BG,26,FALSE)</f>
        <v>0</v>
      </c>
      <c r="AC46" s="127">
        <f>VLOOKUP(C46,'Talente &amp; Stuff'!AF:BG,27,FALSE)</f>
        <v>0</v>
      </c>
      <c r="AD46" s="125">
        <f>VLOOKUP(C46,'Talente &amp; Stuff'!AF:BG,28,FALSE)</f>
        <v>0</v>
      </c>
      <c r="AE46" s="28"/>
    </row>
    <row r="47" spans="2:31" ht="15" hidden="1" customHeight="1" outlineLevel="2">
      <c r="B47" s="148">
        <v>4</v>
      </c>
      <c r="C47" s="177" t="str">
        <f>Attribute!C47</f>
        <v>---</v>
      </c>
      <c r="D47" s="127" t="str">
        <f>VLOOKUP(C47,'Talente &amp; Stuff'!AF:BG,2,FALSE)</f>
        <v>--/--/--</v>
      </c>
      <c r="E47" s="125" t="str">
        <f>VLOOKUP(C47,'Talente &amp; Stuff'!AF:BG,3,FALSE)</f>
        <v>-</v>
      </c>
      <c r="F47" s="114">
        <f>VLOOKUP(C47,'Talente &amp; Stuff'!AF:BG,4,FALSE)</f>
        <v>0</v>
      </c>
      <c r="G47" s="113">
        <f>VLOOKUP(C47,'Talente &amp; Stuff'!AF:BG,5,FALSE)</f>
        <v>0</v>
      </c>
      <c r="H47" s="113">
        <f>VLOOKUP(C47,'Talente &amp; Stuff'!AF:BG,6,FALSE)</f>
        <v>0</v>
      </c>
      <c r="I47" s="113">
        <f>VLOOKUP(C47,'Talente &amp; Stuff'!AF:BG,7,FALSE)</f>
        <v>0</v>
      </c>
      <c r="J47" s="113">
        <f>VLOOKUP(C47,'Talente &amp; Stuff'!AF:BG,8,FALSE)</f>
        <v>0</v>
      </c>
      <c r="K47" s="113">
        <f>VLOOKUP(C47,'Talente &amp; Stuff'!AF:BG,9,FALSE)</f>
        <v>0</v>
      </c>
      <c r="L47" s="113">
        <f>VLOOKUP(C47,'Talente &amp; Stuff'!AF:BG,10,FALSE)</f>
        <v>0</v>
      </c>
      <c r="M47" s="119">
        <f>VLOOKUP(C47,'Talente &amp; Stuff'!AF:BG,11,FALSE)</f>
        <v>0</v>
      </c>
      <c r="N47" s="89">
        <f>VLOOKUP(C47,'Talente &amp; Stuff'!AF:BG,12,FALSE)</f>
        <v>0</v>
      </c>
      <c r="O47" s="47">
        <f>VLOOKUP(C47,'Talente &amp; Stuff'!AF:BG,13,FALSE)</f>
        <v>0</v>
      </c>
      <c r="P47" s="119">
        <f>VLOOKUP(C47,'Talente &amp; Stuff'!AF:BG,14,FALSE)</f>
        <v>0</v>
      </c>
      <c r="Q47" s="114">
        <f>VLOOKUP(C47,'Talente &amp; Stuff'!AF:BG,15,FALSE)</f>
        <v>0</v>
      </c>
      <c r="R47" s="113">
        <f>VLOOKUP(C47,'Talente &amp; Stuff'!AF:BG,16,FALSE)</f>
        <v>0</v>
      </c>
      <c r="S47" s="119">
        <f>VLOOKUP(C47,'Talente &amp; Stuff'!AF:BG,17,FALSE)</f>
        <v>0</v>
      </c>
      <c r="T47" s="160">
        <f>VLOOKUP(C47,'Talente &amp; Stuff'!AF:BG,18,FALSE)</f>
        <v>0</v>
      </c>
      <c r="U47" s="89">
        <f>VLOOKUP(C47,'Talente &amp; Stuff'!AF:BG,19,FALSE)</f>
        <v>0</v>
      </c>
      <c r="V47" s="47">
        <f>VLOOKUP(C47,'Talente &amp; Stuff'!AF:BG,20,FALSE)</f>
        <v>0</v>
      </c>
      <c r="W47" s="127">
        <f>VLOOKUP(C47,'Talente &amp; Stuff'!AF:BG,21,FALSE)</f>
        <v>0</v>
      </c>
      <c r="X47" s="125">
        <f>VLOOKUP(C47,'Talente &amp; Stuff'!AF:BG,22,FALSE)</f>
        <v>0</v>
      </c>
      <c r="Y47" s="165">
        <f t="shared" si="6"/>
        <v>0</v>
      </c>
      <c r="Z47" s="44">
        <f t="shared" si="7"/>
        <v>0</v>
      </c>
      <c r="AA47" s="125">
        <f>VLOOKUP(C47,'Talente &amp; Stuff'!AF:BG,25,FALSE)</f>
        <v>0</v>
      </c>
      <c r="AB47" s="160">
        <f>VLOOKUP(C47,'Talente &amp; Stuff'!AF:BG,26,FALSE)</f>
        <v>0</v>
      </c>
      <c r="AC47" s="127">
        <f>VLOOKUP(C47,'Talente &amp; Stuff'!AF:BG,27,FALSE)</f>
        <v>0</v>
      </c>
      <c r="AD47" s="125">
        <f>VLOOKUP(C47,'Talente &amp; Stuff'!AF:BG,28,FALSE)</f>
        <v>0</v>
      </c>
      <c r="AE47" s="28"/>
    </row>
    <row r="48" spans="2:31" ht="15" hidden="1" customHeight="1" outlineLevel="2">
      <c r="B48" s="148">
        <v>5</v>
      </c>
      <c r="C48" s="177" t="str">
        <f>Attribute!C48</f>
        <v>---</v>
      </c>
      <c r="D48" s="127" t="str">
        <f>VLOOKUP(C48,'Talente &amp; Stuff'!AF:BG,2,FALSE)</f>
        <v>--/--/--</v>
      </c>
      <c r="E48" s="125" t="str">
        <f>VLOOKUP(C48,'Talente &amp; Stuff'!AF:BG,3,FALSE)</f>
        <v>-</v>
      </c>
      <c r="F48" s="114">
        <f>VLOOKUP(C48,'Talente &amp; Stuff'!AF:BG,4,FALSE)</f>
        <v>0</v>
      </c>
      <c r="G48" s="113">
        <f>VLOOKUP(C48,'Talente &amp; Stuff'!AF:BG,5,FALSE)</f>
        <v>0</v>
      </c>
      <c r="H48" s="113">
        <f>VLOOKUP(C48,'Talente &amp; Stuff'!AF:BG,6,FALSE)</f>
        <v>0</v>
      </c>
      <c r="I48" s="113">
        <f>VLOOKUP(C48,'Talente &amp; Stuff'!AF:BG,7,FALSE)</f>
        <v>0</v>
      </c>
      <c r="J48" s="113">
        <f>VLOOKUP(C48,'Talente &amp; Stuff'!AF:BG,8,FALSE)</f>
        <v>0</v>
      </c>
      <c r="K48" s="113">
        <f>VLOOKUP(C48,'Talente &amp; Stuff'!AF:BG,9,FALSE)</f>
        <v>0</v>
      </c>
      <c r="L48" s="113">
        <f>VLOOKUP(C48,'Talente &amp; Stuff'!AF:BG,10,FALSE)</f>
        <v>0</v>
      </c>
      <c r="M48" s="119">
        <f>VLOOKUP(C48,'Talente &amp; Stuff'!AF:BG,11,FALSE)</f>
        <v>0</v>
      </c>
      <c r="N48" s="89">
        <f>VLOOKUP(C48,'Talente &amp; Stuff'!AF:BG,12,FALSE)</f>
        <v>0</v>
      </c>
      <c r="O48" s="47">
        <f>VLOOKUP(C48,'Talente &amp; Stuff'!AF:BG,13,FALSE)</f>
        <v>0</v>
      </c>
      <c r="P48" s="119">
        <f>VLOOKUP(C48,'Talente &amp; Stuff'!AF:BG,14,FALSE)</f>
        <v>0</v>
      </c>
      <c r="Q48" s="114">
        <f>VLOOKUP(C48,'Talente &amp; Stuff'!AF:BG,15,FALSE)</f>
        <v>0</v>
      </c>
      <c r="R48" s="113">
        <f>VLOOKUP(C48,'Talente &amp; Stuff'!AF:BG,16,FALSE)</f>
        <v>0</v>
      </c>
      <c r="S48" s="119">
        <f>VLOOKUP(C48,'Talente &amp; Stuff'!AF:BG,17,FALSE)</f>
        <v>0</v>
      </c>
      <c r="T48" s="160">
        <f>VLOOKUP(C48,'Talente &amp; Stuff'!AF:BG,18,FALSE)</f>
        <v>0</v>
      </c>
      <c r="U48" s="89">
        <f>VLOOKUP(C48,'Talente &amp; Stuff'!AF:BG,19,FALSE)</f>
        <v>0</v>
      </c>
      <c r="V48" s="47">
        <f>VLOOKUP(C48,'Talente &amp; Stuff'!AF:BG,20,FALSE)</f>
        <v>0</v>
      </c>
      <c r="W48" s="127">
        <f>VLOOKUP(C48,'Talente &amp; Stuff'!AF:BG,21,FALSE)</f>
        <v>0</v>
      </c>
      <c r="X48" s="125">
        <f>VLOOKUP(C48,'Talente &amp; Stuff'!AF:BG,22,FALSE)</f>
        <v>0</v>
      </c>
      <c r="Y48" s="165">
        <f t="shared" si="6"/>
        <v>0</v>
      </c>
      <c r="Z48" s="44">
        <f t="shared" si="7"/>
        <v>0</v>
      </c>
      <c r="AA48" s="125">
        <f>VLOOKUP(C48,'Talente &amp; Stuff'!AF:BG,25,FALSE)</f>
        <v>0</v>
      </c>
      <c r="AB48" s="160">
        <f>VLOOKUP(C48,'Talente &amp; Stuff'!AF:BG,26,FALSE)</f>
        <v>0</v>
      </c>
      <c r="AC48" s="127">
        <f>VLOOKUP(C48,'Talente &amp; Stuff'!AF:BG,27,FALSE)</f>
        <v>0</v>
      </c>
      <c r="AD48" s="125">
        <f>VLOOKUP(C48,'Talente &amp; Stuff'!AF:BG,28,FALSE)</f>
        <v>0</v>
      </c>
      <c r="AE48" s="28"/>
    </row>
    <row r="49" spans="2:31" ht="15" hidden="1" customHeight="1" outlineLevel="2">
      <c r="B49" s="148">
        <v>6</v>
      </c>
      <c r="C49" s="177" t="str">
        <f>Attribute!C49</f>
        <v>---</v>
      </c>
      <c r="D49" s="127" t="str">
        <f>VLOOKUP(C49,'Talente &amp; Stuff'!AF:BG,2,FALSE)</f>
        <v>--/--/--</v>
      </c>
      <c r="E49" s="125" t="str">
        <f>VLOOKUP(C49,'Talente &amp; Stuff'!AF:BG,3,FALSE)</f>
        <v>-</v>
      </c>
      <c r="F49" s="114">
        <f>VLOOKUP(C49,'Talente &amp; Stuff'!AF:BG,4,FALSE)</f>
        <v>0</v>
      </c>
      <c r="G49" s="113">
        <f>VLOOKUP(C49,'Talente &amp; Stuff'!AF:BG,5,FALSE)</f>
        <v>0</v>
      </c>
      <c r="H49" s="113">
        <f>VLOOKUP(C49,'Talente &amp; Stuff'!AF:BG,6,FALSE)</f>
        <v>0</v>
      </c>
      <c r="I49" s="113">
        <f>VLOOKUP(C49,'Talente &amp; Stuff'!AF:BG,7,FALSE)</f>
        <v>0</v>
      </c>
      <c r="J49" s="113">
        <f>VLOOKUP(C49,'Talente &amp; Stuff'!AF:BG,8,FALSE)</f>
        <v>0</v>
      </c>
      <c r="K49" s="113">
        <f>VLOOKUP(C49,'Talente &amp; Stuff'!AF:BG,9,FALSE)</f>
        <v>0</v>
      </c>
      <c r="L49" s="113">
        <f>VLOOKUP(C49,'Talente &amp; Stuff'!AF:BG,10,FALSE)</f>
        <v>0</v>
      </c>
      <c r="M49" s="119">
        <f>VLOOKUP(C49,'Talente &amp; Stuff'!AF:BG,11,FALSE)</f>
        <v>0</v>
      </c>
      <c r="N49" s="89">
        <f>VLOOKUP(C49,'Talente &amp; Stuff'!AF:BG,12,FALSE)</f>
        <v>0</v>
      </c>
      <c r="O49" s="47">
        <f>VLOOKUP(C49,'Talente &amp; Stuff'!AF:BG,13,FALSE)</f>
        <v>0</v>
      </c>
      <c r="P49" s="119">
        <f>VLOOKUP(C49,'Talente &amp; Stuff'!AF:BG,14,FALSE)</f>
        <v>0</v>
      </c>
      <c r="Q49" s="114">
        <f>VLOOKUP(C49,'Talente &amp; Stuff'!AF:BG,15,FALSE)</f>
        <v>0</v>
      </c>
      <c r="R49" s="113">
        <f>VLOOKUP(C49,'Talente &amp; Stuff'!AF:BG,16,FALSE)</f>
        <v>0</v>
      </c>
      <c r="S49" s="119">
        <f>VLOOKUP(C49,'Talente &amp; Stuff'!AF:BG,17,FALSE)</f>
        <v>0</v>
      </c>
      <c r="T49" s="160">
        <f>VLOOKUP(C49,'Talente &amp; Stuff'!AF:BG,18,FALSE)</f>
        <v>0</v>
      </c>
      <c r="U49" s="89">
        <f>VLOOKUP(C49,'Talente &amp; Stuff'!AF:BG,19,FALSE)</f>
        <v>0</v>
      </c>
      <c r="V49" s="47">
        <f>VLOOKUP(C49,'Talente &amp; Stuff'!AF:BG,20,FALSE)</f>
        <v>0</v>
      </c>
      <c r="W49" s="127">
        <f>VLOOKUP(C49,'Talente &amp; Stuff'!AF:BG,21,FALSE)</f>
        <v>0</v>
      </c>
      <c r="X49" s="125">
        <f>VLOOKUP(C49,'Talente &amp; Stuff'!AF:BG,22,FALSE)</f>
        <v>0</v>
      </c>
      <c r="Y49" s="165">
        <f t="shared" si="6"/>
        <v>0</v>
      </c>
      <c r="Z49" s="44">
        <f t="shared" si="7"/>
        <v>0</v>
      </c>
      <c r="AA49" s="125">
        <f>VLOOKUP(C49,'Talente &amp; Stuff'!AF:BG,25,FALSE)</f>
        <v>0</v>
      </c>
      <c r="AB49" s="160">
        <f>VLOOKUP(C49,'Talente &amp; Stuff'!AF:BG,26,FALSE)</f>
        <v>0</v>
      </c>
      <c r="AC49" s="127">
        <f>VLOOKUP(C49,'Talente &amp; Stuff'!AF:BG,27,FALSE)</f>
        <v>0</v>
      </c>
      <c r="AD49" s="125">
        <f>VLOOKUP(C49,'Talente &amp; Stuff'!AF:BG,28,FALSE)</f>
        <v>0</v>
      </c>
      <c r="AE49" s="28"/>
    </row>
    <row r="50" spans="2:31" ht="15" hidden="1" customHeight="1" outlineLevel="2">
      <c r="B50" s="148">
        <v>7</v>
      </c>
      <c r="C50" s="177" t="str">
        <f>Attribute!C50</f>
        <v>---</v>
      </c>
      <c r="D50" s="127" t="str">
        <f>VLOOKUP(C50,'Talente &amp; Stuff'!AF:BG,2,FALSE)</f>
        <v>--/--/--</v>
      </c>
      <c r="E50" s="125" t="str">
        <f>VLOOKUP(C50,'Talente &amp; Stuff'!AF:BG,3,FALSE)</f>
        <v>-</v>
      </c>
      <c r="F50" s="114">
        <f>VLOOKUP(C50,'Talente &amp; Stuff'!AF:BG,4,FALSE)</f>
        <v>0</v>
      </c>
      <c r="G50" s="113">
        <f>VLOOKUP(C50,'Talente &amp; Stuff'!AF:BG,5,FALSE)</f>
        <v>0</v>
      </c>
      <c r="H50" s="113">
        <f>VLOOKUP(C50,'Talente &amp; Stuff'!AF:BG,6,FALSE)</f>
        <v>0</v>
      </c>
      <c r="I50" s="113">
        <f>VLOOKUP(C50,'Talente &amp; Stuff'!AF:BG,7,FALSE)</f>
        <v>0</v>
      </c>
      <c r="J50" s="113">
        <f>VLOOKUP(C50,'Talente &amp; Stuff'!AF:BG,8,FALSE)</f>
        <v>0</v>
      </c>
      <c r="K50" s="113">
        <f>VLOOKUP(C50,'Talente &amp; Stuff'!AF:BG,9,FALSE)</f>
        <v>0</v>
      </c>
      <c r="L50" s="113">
        <f>VLOOKUP(C50,'Talente &amp; Stuff'!AF:BG,10,FALSE)</f>
        <v>0</v>
      </c>
      <c r="M50" s="119">
        <f>VLOOKUP(C50,'Talente &amp; Stuff'!AF:BG,11,FALSE)</f>
        <v>0</v>
      </c>
      <c r="N50" s="89">
        <f>VLOOKUP(C50,'Talente &amp; Stuff'!AF:BG,12,FALSE)</f>
        <v>0</v>
      </c>
      <c r="O50" s="47">
        <f>VLOOKUP(C50,'Talente &amp; Stuff'!AF:BG,13,FALSE)</f>
        <v>0</v>
      </c>
      <c r="P50" s="119">
        <f>VLOOKUP(C50,'Talente &amp; Stuff'!AF:BG,14,FALSE)</f>
        <v>0</v>
      </c>
      <c r="Q50" s="114">
        <f>VLOOKUP(C50,'Talente &amp; Stuff'!AF:BG,15,FALSE)</f>
        <v>0</v>
      </c>
      <c r="R50" s="113">
        <f>VLOOKUP(C50,'Talente &amp; Stuff'!AF:BG,16,FALSE)</f>
        <v>0</v>
      </c>
      <c r="S50" s="119">
        <f>VLOOKUP(C50,'Talente &amp; Stuff'!AF:BG,17,FALSE)</f>
        <v>0</v>
      </c>
      <c r="T50" s="160">
        <f>VLOOKUP(C50,'Talente &amp; Stuff'!AF:BG,18,FALSE)</f>
        <v>0</v>
      </c>
      <c r="U50" s="89">
        <f>VLOOKUP(C50,'Talente &amp; Stuff'!AF:BG,19,FALSE)</f>
        <v>0</v>
      </c>
      <c r="V50" s="47">
        <f>VLOOKUP(C50,'Talente &amp; Stuff'!AF:BG,20,FALSE)</f>
        <v>0</v>
      </c>
      <c r="W50" s="127">
        <f>VLOOKUP(C50,'Talente &amp; Stuff'!AF:BG,21,FALSE)</f>
        <v>0</v>
      </c>
      <c r="X50" s="125">
        <f>VLOOKUP(C50,'Talente &amp; Stuff'!AF:BG,22,FALSE)</f>
        <v>0</v>
      </c>
      <c r="Y50" s="165">
        <f t="shared" si="6"/>
        <v>0</v>
      </c>
      <c r="Z50" s="44">
        <f t="shared" si="7"/>
        <v>0</v>
      </c>
      <c r="AA50" s="125">
        <f>VLOOKUP(C50,'Talente &amp; Stuff'!AF:BG,25,FALSE)</f>
        <v>0</v>
      </c>
      <c r="AB50" s="160">
        <f>VLOOKUP(C50,'Talente &amp; Stuff'!AF:BG,26,FALSE)</f>
        <v>0</v>
      </c>
      <c r="AC50" s="127">
        <f>VLOOKUP(C50,'Talente &amp; Stuff'!AF:BG,27,FALSE)</f>
        <v>0</v>
      </c>
      <c r="AD50" s="125">
        <f>VLOOKUP(C50,'Talente &amp; Stuff'!AF:BG,28,FALSE)</f>
        <v>0</v>
      </c>
      <c r="AE50" s="28"/>
    </row>
    <row r="51" spans="2:31" ht="15" hidden="1" customHeight="1" outlineLevel="2">
      <c r="B51" s="148">
        <v>8</v>
      </c>
      <c r="C51" s="177" t="str">
        <f>Attribute!C51</f>
        <v>---</v>
      </c>
      <c r="D51" s="127" t="str">
        <f>VLOOKUP(C51,'Talente &amp; Stuff'!AF:BG,2,FALSE)</f>
        <v>--/--/--</v>
      </c>
      <c r="E51" s="125" t="str">
        <f>VLOOKUP(C51,'Talente &amp; Stuff'!AF:BG,3,FALSE)</f>
        <v>-</v>
      </c>
      <c r="F51" s="114">
        <f>VLOOKUP(C51,'Talente &amp; Stuff'!AF:BG,4,FALSE)</f>
        <v>0</v>
      </c>
      <c r="G51" s="113">
        <f>VLOOKUP(C51,'Talente &amp; Stuff'!AF:BG,5,FALSE)</f>
        <v>0</v>
      </c>
      <c r="H51" s="113">
        <f>VLOOKUP(C51,'Talente &amp; Stuff'!AF:BG,6,FALSE)</f>
        <v>0</v>
      </c>
      <c r="I51" s="113">
        <f>VLOOKUP(C51,'Talente &amp; Stuff'!AF:BG,7,FALSE)</f>
        <v>0</v>
      </c>
      <c r="J51" s="113">
        <f>VLOOKUP(C51,'Talente &amp; Stuff'!AF:BG,8,FALSE)</f>
        <v>0</v>
      </c>
      <c r="K51" s="113">
        <f>VLOOKUP(C51,'Talente &amp; Stuff'!AF:BG,9,FALSE)</f>
        <v>0</v>
      </c>
      <c r="L51" s="113">
        <f>VLOOKUP(C51,'Talente &amp; Stuff'!AF:BG,10,FALSE)</f>
        <v>0</v>
      </c>
      <c r="M51" s="119">
        <f>VLOOKUP(C51,'Talente &amp; Stuff'!AF:BG,11,FALSE)</f>
        <v>0</v>
      </c>
      <c r="N51" s="89">
        <f>VLOOKUP(C51,'Talente &amp; Stuff'!AF:BG,12,FALSE)</f>
        <v>0</v>
      </c>
      <c r="O51" s="47">
        <f>VLOOKUP(C51,'Talente &amp; Stuff'!AF:BG,13,FALSE)</f>
        <v>0</v>
      </c>
      <c r="P51" s="119">
        <f>VLOOKUP(C51,'Talente &amp; Stuff'!AF:BG,14,FALSE)</f>
        <v>0</v>
      </c>
      <c r="Q51" s="114">
        <f>VLOOKUP(C51,'Talente &amp; Stuff'!AF:BG,15,FALSE)</f>
        <v>0</v>
      </c>
      <c r="R51" s="113">
        <f>VLOOKUP(C51,'Talente &amp; Stuff'!AF:BG,16,FALSE)</f>
        <v>0</v>
      </c>
      <c r="S51" s="119">
        <f>VLOOKUP(C51,'Talente &amp; Stuff'!AF:BG,17,FALSE)</f>
        <v>0</v>
      </c>
      <c r="T51" s="160">
        <f>VLOOKUP(C51,'Talente &amp; Stuff'!AF:BG,18,FALSE)</f>
        <v>0</v>
      </c>
      <c r="U51" s="89">
        <f>VLOOKUP(C51,'Talente &amp; Stuff'!AF:BG,19,FALSE)</f>
        <v>0</v>
      </c>
      <c r="V51" s="47">
        <f>VLOOKUP(C51,'Talente &amp; Stuff'!AF:BG,20,FALSE)</f>
        <v>0</v>
      </c>
      <c r="W51" s="127">
        <f>VLOOKUP(C51,'Talente &amp; Stuff'!AF:BG,21,FALSE)</f>
        <v>0</v>
      </c>
      <c r="X51" s="125">
        <f>VLOOKUP(C51,'Talente &amp; Stuff'!AF:BG,22,FALSE)</f>
        <v>0</v>
      </c>
      <c r="Y51" s="165">
        <f t="shared" si="6"/>
        <v>0</v>
      </c>
      <c r="Z51" s="44">
        <f t="shared" si="7"/>
        <v>0</v>
      </c>
      <c r="AA51" s="125">
        <f>VLOOKUP(C51,'Talente &amp; Stuff'!AF:BG,25,FALSE)</f>
        <v>0</v>
      </c>
      <c r="AB51" s="160">
        <f>VLOOKUP(C51,'Talente &amp; Stuff'!AF:BG,26,FALSE)</f>
        <v>0</v>
      </c>
      <c r="AC51" s="127">
        <f>VLOOKUP(C51,'Talente &amp; Stuff'!AF:BG,27,FALSE)</f>
        <v>0</v>
      </c>
      <c r="AD51" s="125">
        <f>VLOOKUP(C51,'Talente &amp; Stuff'!AF:BG,28,FALSE)</f>
        <v>0</v>
      </c>
      <c r="AE51" s="28"/>
    </row>
    <row r="52" spans="2:31" ht="15" hidden="1" customHeight="1" outlineLevel="2">
      <c r="B52" s="148">
        <v>9</v>
      </c>
      <c r="C52" s="177" t="str">
        <f>Attribute!C52</f>
        <v>---</v>
      </c>
      <c r="D52" s="127" t="str">
        <f>VLOOKUP(C52,'Talente &amp; Stuff'!AF:BG,2,FALSE)</f>
        <v>--/--/--</v>
      </c>
      <c r="E52" s="125" t="str">
        <f>VLOOKUP(C52,'Talente &amp; Stuff'!AF:BG,3,FALSE)</f>
        <v>-</v>
      </c>
      <c r="F52" s="114">
        <f>VLOOKUP(C52,'Talente &amp; Stuff'!AF:BG,4,FALSE)</f>
        <v>0</v>
      </c>
      <c r="G52" s="113">
        <f>VLOOKUP(C52,'Talente &amp; Stuff'!AF:BG,5,FALSE)</f>
        <v>0</v>
      </c>
      <c r="H52" s="113">
        <f>VLOOKUP(C52,'Talente &amp; Stuff'!AF:BG,6,FALSE)</f>
        <v>0</v>
      </c>
      <c r="I52" s="113">
        <f>VLOOKUP(C52,'Talente &amp; Stuff'!AF:BG,7,FALSE)</f>
        <v>0</v>
      </c>
      <c r="J52" s="113">
        <f>VLOOKUP(C52,'Talente &amp; Stuff'!AF:BG,8,FALSE)</f>
        <v>0</v>
      </c>
      <c r="K52" s="113">
        <f>VLOOKUP(C52,'Talente &amp; Stuff'!AF:BG,9,FALSE)</f>
        <v>0</v>
      </c>
      <c r="L52" s="113">
        <f>VLOOKUP(C52,'Talente &amp; Stuff'!AF:BG,10,FALSE)</f>
        <v>0</v>
      </c>
      <c r="M52" s="119">
        <f>VLOOKUP(C52,'Talente &amp; Stuff'!AF:BG,11,FALSE)</f>
        <v>0</v>
      </c>
      <c r="N52" s="89">
        <f>VLOOKUP(C52,'Talente &amp; Stuff'!AF:BG,12,FALSE)</f>
        <v>0</v>
      </c>
      <c r="O52" s="47">
        <f>VLOOKUP(C52,'Talente &amp; Stuff'!AF:BG,13,FALSE)</f>
        <v>0</v>
      </c>
      <c r="P52" s="119">
        <f>VLOOKUP(C52,'Talente &amp; Stuff'!AF:BG,14,FALSE)</f>
        <v>0</v>
      </c>
      <c r="Q52" s="114">
        <f>VLOOKUP(C52,'Talente &amp; Stuff'!AF:BG,15,FALSE)</f>
        <v>0</v>
      </c>
      <c r="R52" s="113">
        <f>VLOOKUP(C52,'Talente &amp; Stuff'!AF:BG,16,FALSE)</f>
        <v>0</v>
      </c>
      <c r="S52" s="119">
        <f>VLOOKUP(C52,'Talente &amp; Stuff'!AF:BG,17,FALSE)</f>
        <v>0</v>
      </c>
      <c r="T52" s="160">
        <f>VLOOKUP(C52,'Talente &amp; Stuff'!AF:BG,18,FALSE)</f>
        <v>0</v>
      </c>
      <c r="U52" s="89">
        <f>VLOOKUP(C52,'Talente &amp; Stuff'!AF:BG,19,FALSE)</f>
        <v>0</v>
      </c>
      <c r="V52" s="47">
        <f>VLOOKUP(C52,'Talente &amp; Stuff'!AF:BG,20,FALSE)</f>
        <v>0</v>
      </c>
      <c r="W52" s="127">
        <f>VLOOKUP(C52,'Talente &amp; Stuff'!AF:BG,21,FALSE)</f>
        <v>0</v>
      </c>
      <c r="X52" s="125">
        <f>VLOOKUP(C52,'Talente &amp; Stuff'!AF:BG,22,FALSE)</f>
        <v>0</v>
      </c>
      <c r="Y52" s="165">
        <f t="shared" si="6"/>
        <v>0</v>
      </c>
      <c r="Z52" s="44">
        <f t="shared" si="7"/>
        <v>0</v>
      </c>
      <c r="AA52" s="125">
        <f>VLOOKUP(C52,'Talente &amp; Stuff'!AF:BG,25,FALSE)</f>
        <v>0</v>
      </c>
      <c r="AB52" s="160">
        <f>VLOOKUP(C52,'Talente &amp; Stuff'!AF:BG,26,FALSE)</f>
        <v>0</v>
      </c>
      <c r="AC52" s="127">
        <f>VLOOKUP(C52,'Talente &amp; Stuff'!AF:BG,27,FALSE)</f>
        <v>0</v>
      </c>
      <c r="AD52" s="125">
        <f>VLOOKUP(C52,'Talente &amp; Stuff'!AF:BG,28,FALSE)</f>
        <v>0</v>
      </c>
      <c r="AE52" s="28"/>
    </row>
    <row r="53" spans="2:31" ht="15" hidden="1" customHeight="1" outlineLevel="2">
      <c r="B53" s="148">
        <v>10</v>
      </c>
      <c r="C53" s="177" t="str">
        <f>Attribute!C53</f>
        <v>---</v>
      </c>
      <c r="D53" s="127" t="str">
        <f>VLOOKUP(C53,'Talente &amp; Stuff'!AF:BG,2,FALSE)</f>
        <v>--/--/--</v>
      </c>
      <c r="E53" s="125" t="str">
        <f>VLOOKUP(C53,'Talente &amp; Stuff'!AF:BG,3,FALSE)</f>
        <v>-</v>
      </c>
      <c r="F53" s="114">
        <f>VLOOKUP(C53,'Talente &amp; Stuff'!AF:BG,4,FALSE)</f>
        <v>0</v>
      </c>
      <c r="G53" s="113">
        <f>VLOOKUP(C53,'Talente &amp; Stuff'!AF:BG,5,FALSE)</f>
        <v>0</v>
      </c>
      <c r="H53" s="113">
        <f>VLOOKUP(C53,'Talente &amp; Stuff'!AF:BG,6,FALSE)</f>
        <v>0</v>
      </c>
      <c r="I53" s="113">
        <f>VLOOKUP(C53,'Talente &amp; Stuff'!AF:BG,7,FALSE)</f>
        <v>0</v>
      </c>
      <c r="J53" s="113">
        <f>VLOOKUP(C53,'Talente &amp; Stuff'!AF:BG,8,FALSE)</f>
        <v>0</v>
      </c>
      <c r="K53" s="113">
        <f>VLOOKUP(C53,'Talente &amp; Stuff'!AF:BG,9,FALSE)</f>
        <v>0</v>
      </c>
      <c r="L53" s="113">
        <f>VLOOKUP(C53,'Talente &amp; Stuff'!AF:BG,10,FALSE)</f>
        <v>0</v>
      </c>
      <c r="M53" s="119">
        <f>VLOOKUP(C53,'Talente &amp; Stuff'!AF:BG,11,FALSE)</f>
        <v>0</v>
      </c>
      <c r="N53" s="89">
        <f>VLOOKUP(C53,'Talente &amp; Stuff'!AF:BG,12,FALSE)</f>
        <v>0</v>
      </c>
      <c r="O53" s="47">
        <f>VLOOKUP(C53,'Talente &amp; Stuff'!AF:BG,13,FALSE)</f>
        <v>0</v>
      </c>
      <c r="P53" s="119">
        <f>VLOOKUP(C53,'Talente &amp; Stuff'!AF:BG,14,FALSE)</f>
        <v>0</v>
      </c>
      <c r="Q53" s="114">
        <f>VLOOKUP(C53,'Talente &amp; Stuff'!AF:BG,15,FALSE)</f>
        <v>0</v>
      </c>
      <c r="R53" s="113">
        <f>VLOOKUP(C53,'Talente &amp; Stuff'!AF:BG,16,FALSE)</f>
        <v>0</v>
      </c>
      <c r="S53" s="119">
        <f>VLOOKUP(C53,'Talente &amp; Stuff'!AF:BG,17,FALSE)</f>
        <v>0</v>
      </c>
      <c r="T53" s="160">
        <f>VLOOKUP(C53,'Talente &amp; Stuff'!AF:BG,18,FALSE)</f>
        <v>0</v>
      </c>
      <c r="U53" s="89">
        <f>VLOOKUP(C53,'Talente &amp; Stuff'!AF:BG,19,FALSE)</f>
        <v>0</v>
      </c>
      <c r="V53" s="47">
        <f>VLOOKUP(C53,'Talente &amp; Stuff'!AF:BG,20,FALSE)</f>
        <v>0</v>
      </c>
      <c r="W53" s="127">
        <f>VLOOKUP(C53,'Talente &amp; Stuff'!AF:BG,21,FALSE)</f>
        <v>0</v>
      </c>
      <c r="X53" s="125">
        <f>VLOOKUP(C53,'Talente &amp; Stuff'!AF:BG,22,FALSE)</f>
        <v>0</v>
      </c>
      <c r="Y53" s="165">
        <f t="shared" si="6"/>
        <v>0</v>
      </c>
      <c r="Z53" s="44">
        <f t="shared" si="7"/>
        <v>0</v>
      </c>
      <c r="AA53" s="125">
        <f>VLOOKUP(C53,'Talente &amp; Stuff'!AF:BG,25,FALSE)</f>
        <v>0</v>
      </c>
      <c r="AB53" s="160">
        <f>VLOOKUP(C53,'Talente &amp; Stuff'!AF:BG,26,FALSE)</f>
        <v>0</v>
      </c>
      <c r="AC53" s="127">
        <f>VLOOKUP(C53,'Talente &amp; Stuff'!AF:BG,27,FALSE)</f>
        <v>0</v>
      </c>
      <c r="AD53" s="125">
        <f>VLOOKUP(C53,'Talente &amp; Stuff'!AF:BG,28,FALSE)</f>
        <v>0</v>
      </c>
      <c r="AE53" s="28"/>
    </row>
    <row r="54" spans="2:31" ht="15" hidden="1" customHeight="1" outlineLevel="2">
      <c r="B54" s="148">
        <v>11</v>
      </c>
      <c r="C54" s="177" t="str">
        <f>Attribute!C54</f>
        <v>---</v>
      </c>
      <c r="D54" s="127" t="str">
        <f>VLOOKUP(C54,'Talente &amp; Stuff'!AF:BG,2,FALSE)</f>
        <v>--/--/--</v>
      </c>
      <c r="E54" s="125" t="str">
        <f>VLOOKUP(C54,'Talente &amp; Stuff'!AF:BG,3,FALSE)</f>
        <v>-</v>
      </c>
      <c r="F54" s="114">
        <f>VLOOKUP(C54,'Talente &amp; Stuff'!AF:BG,4,FALSE)</f>
        <v>0</v>
      </c>
      <c r="G54" s="113">
        <f>VLOOKUP(C54,'Talente &amp; Stuff'!AF:BG,5,FALSE)</f>
        <v>0</v>
      </c>
      <c r="H54" s="113">
        <f>VLOOKUP(C54,'Talente &amp; Stuff'!AF:BG,6,FALSE)</f>
        <v>0</v>
      </c>
      <c r="I54" s="113">
        <f>VLOOKUP(C54,'Talente &amp; Stuff'!AF:BG,7,FALSE)</f>
        <v>0</v>
      </c>
      <c r="J54" s="113">
        <f>VLOOKUP(C54,'Talente &amp; Stuff'!AF:BG,8,FALSE)</f>
        <v>0</v>
      </c>
      <c r="K54" s="113">
        <f>VLOOKUP(C54,'Talente &amp; Stuff'!AF:BG,9,FALSE)</f>
        <v>0</v>
      </c>
      <c r="L54" s="113">
        <f>VLOOKUP(C54,'Talente &amp; Stuff'!AF:BG,10,FALSE)</f>
        <v>0</v>
      </c>
      <c r="M54" s="119">
        <f>VLOOKUP(C54,'Talente &amp; Stuff'!AF:BG,11,FALSE)</f>
        <v>0</v>
      </c>
      <c r="N54" s="89">
        <f>VLOOKUP(C54,'Talente &amp; Stuff'!AF:BG,12,FALSE)</f>
        <v>0</v>
      </c>
      <c r="O54" s="47">
        <f>VLOOKUP(C54,'Talente &amp; Stuff'!AF:BG,13,FALSE)</f>
        <v>0</v>
      </c>
      <c r="P54" s="119">
        <f>VLOOKUP(C54,'Talente &amp; Stuff'!AF:BG,14,FALSE)</f>
        <v>0</v>
      </c>
      <c r="Q54" s="114">
        <f>VLOOKUP(C54,'Talente &amp; Stuff'!AF:BG,15,FALSE)</f>
        <v>0</v>
      </c>
      <c r="R54" s="113">
        <f>VLOOKUP(C54,'Talente &amp; Stuff'!AF:BG,16,FALSE)</f>
        <v>0</v>
      </c>
      <c r="S54" s="119">
        <f>VLOOKUP(C54,'Talente &amp; Stuff'!AF:BG,17,FALSE)</f>
        <v>0</v>
      </c>
      <c r="T54" s="160">
        <f>VLOOKUP(C54,'Talente &amp; Stuff'!AF:BG,18,FALSE)</f>
        <v>0</v>
      </c>
      <c r="U54" s="89">
        <f>VLOOKUP(C54,'Talente &amp; Stuff'!AF:BG,19,FALSE)</f>
        <v>0</v>
      </c>
      <c r="V54" s="47">
        <f>VLOOKUP(C54,'Talente &amp; Stuff'!AF:BG,20,FALSE)</f>
        <v>0</v>
      </c>
      <c r="W54" s="127">
        <f>VLOOKUP(C54,'Talente &amp; Stuff'!AF:BG,21,FALSE)</f>
        <v>0</v>
      </c>
      <c r="X54" s="125">
        <f>VLOOKUP(C54,'Talente &amp; Stuff'!AF:BG,22,FALSE)</f>
        <v>0</v>
      </c>
      <c r="Y54" s="165">
        <f t="shared" si="6"/>
        <v>0</v>
      </c>
      <c r="Z54" s="44">
        <f t="shared" si="7"/>
        <v>0</v>
      </c>
      <c r="AA54" s="125">
        <f>VLOOKUP(C54,'Talente &amp; Stuff'!AF:BG,25,FALSE)</f>
        <v>0</v>
      </c>
      <c r="AB54" s="160">
        <f>VLOOKUP(C54,'Talente &amp; Stuff'!AF:BG,26,FALSE)</f>
        <v>0</v>
      </c>
      <c r="AC54" s="127">
        <f>VLOOKUP(C54,'Talente &amp; Stuff'!AF:BG,27,FALSE)</f>
        <v>0</v>
      </c>
      <c r="AD54" s="125">
        <f>VLOOKUP(C54,'Talente &amp; Stuff'!AF:BG,28,FALSE)</f>
        <v>0</v>
      </c>
      <c r="AE54" s="28"/>
    </row>
    <row r="55" spans="2:31" ht="15" hidden="1" customHeight="1" outlineLevel="2">
      <c r="B55" s="148">
        <v>12</v>
      </c>
      <c r="C55" s="178" t="str">
        <f>Attribute!C55</f>
        <v>---</v>
      </c>
      <c r="D55" s="128" t="str">
        <f>VLOOKUP(C55,'Talente &amp; Stuff'!AF:BG,2,FALSE)</f>
        <v>--/--/--</v>
      </c>
      <c r="E55" s="159" t="str">
        <f>VLOOKUP(C55,'Talente &amp; Stuff'!AF:BG,3,FALSE)</f>
        <v>-</v>
      </c>
      <c r="F55" s="115">
        <f>VLOOKUP(C55,'Talente &amp; Stuff'!AF:BG,4,FALSE)</f>
        <v>0</v>
      </c>
      <c r="G55" s="122">
        <f>VLOOKUP(C55,'Talente &amp; Stuff'!AF:BG,5,FALSE)</f>
        <v>0</v>
      </c>
      <c r="H55" s="122">
        <f>VLOOKUP(C55,'Talente &amp; Stuff'!AF:BG,6,FALSE)</f>
        <v>0</v>
      </c>
      <c r="I55" s="122">
        <f>VLOOKUP(C55,'Talente &amp; Stuff'!AF:BG,7,FALSE)</f>
        <v>0</v>
      </c>
      <c r="J55" s="122">
        <f>VLOOKUP(C55,'Talente &amp; Stuff'!AF:BG,8,FALSE)</f>
        <v>0</v>
      </c>
      <c r="K55" s="122">
        <f>VLOOKUP(C55,'Talente &amp; Stuff'!AF:BG,9,FALSE)</f>
        <v>0</v>
      </c>
      <c r="L55" s="122">
        <f>VLOOKUP(C55,'Talente &amp; Stuff'!AF:BG,10,FALSE)</f>
        <v>0</v>
      </c>
      <c r="M55" s="123">
        <f>VLOOKUP(C55,'Talente &amp; Stuff'!AF:BG,11,FALSE)</f>
        <v>0</v>
      </c>
      <c r="N55" s="90">
        <f>VLOOKUP(C55,'Talente &amp; Stuff'!AF:BG,12,FALSE)</f>
        <v>0</v>
      </c>
      <c r="O55" s="88">
        <f>VLOOKUP(C55,'Talente &amp; Stuff'!AF:BG,13,FALSE)</f>
        <v>0</v>
      </c>
      <c r="P55" s="123">
        <f>VLOOKUP(C55,'Talente &amp; Stuff'!AF:BG,14,FALSE)</f>
        <v>0</v>
      </c>
      <c r="Q55" s="115">
        <f>VLOOKUP(C55,'Talente &amp; Stuff'!AF:BG,15,FALSE)</f>
        <v>0</v>
      </c>
      <c r="R55" s="122">
        <f>VLOOKUP(C55,'Talente &amp; Stuff'!AF:BG,16,FALSE)</f>
        <v>0</v>
      </c>
      <c r="S55" s="123">
        <f>VLOOKUP(C55,'Talente &amp; Stuff'!AF:BG,17,FALSE)</f>
        <v>0</v>
      </c>
      <c r="T55" s="161">
        <f>VLOOKUP(C55,'Talente &amp; Stuff'!AF:BG,18,FALSE)</f>
        <v>0</v>
      </c>
      <c r="U55" s="90">
        <f>VLOOKUP(C55,'Talente &amp; Stuff'!AF:BG,19,FALSE)</f>
        <v>0</v>
      </c>
      <c r="V55" s="88">
        <f>VLOOKUP(C55,'Talente &amp; Stuff'!AF:BG,20,FALSE)</f>
        <v>0</v>
      </c>
      <c r="W55" s="128">
        <f>VLOOKUP(C55,'Talente &amp; Stuff'!AF:BG,21,FALSE)</f>
        <v>0</v>
      </c>
      <c r="X55" s="159">
        <f>VLOOKUP(C55,'Talente &amp; Stuff'!AF:BG,22,FALSE)</f>
        <v>0</v>
      </c>
      <c r="Y55" s="165">
        <f t="shared" si="6"/>
        <v>0</v>
      </c>
      <c r="Z55" s="44">
        <f t="shared" si="7"/>
        <v>0</v>
      </c>
      <c r="AA55" s="159">
        <f>VLOOKUP(C55,'Talente &amp; Stuff'!AF:BG,25,FALSE)</f>
        <v>0</v>
      </c>
      <c r="AB55" s="161">
        <f>VLOOKUP(C55,'Talente &amp; Stuff'!AF:BG,26,FALSE)</f>
        <v>0</v>
      </c>
      <c r="AC55" s="128">
        <f>VLOOKUP(C55,'Talente &amp; Stuff'!AF:BG,27,FALSE)</f>
        <v>0</v>
      </c>
      <c r="AD55" s="159">
        <f>VLOOKUP(C55,'Talente &amp; Stuff'!AF:BG,28,FALSE)</f>
        <v>0</v>
      </c>
      <c r="AE55" s="28"/>
    </row>
    <row r="56" spans="2:31" ht="15" hidden="1" customHeight="1" outlineLevel="1" collapsed="1">
      <c r="B56" s="134" t="s">
        <v>71</v>
      </c>
      <c r="C56" s="83"/>
      <c r="D56" s="84"/>
      <c r="E56" s="84"/>
      <c r="F56" s="30"/>
      <c r="G56" s="30"/>
      <c r="H56" s="30"/>
      <c r="I56" s="30"/>
      <c r="J56" s="30"/>
      <c r="K56" s="30"/>
      <c r="L56" s="30"/>
      <c r="M56" s="30"/>
      <c r="N56" s="31"/>
      <c r="O56" s="31"/>
      <c r="P56" s="30"/>
      <c r="Q56" s="30"/>
      <c r="R56" s="30"/>
      <c r="S56" s="30"/>
      <c r="T56" s="30"/>
      <c r="U56" s="31"/>
      <c r="V56" s="31"/>
      <c r="W56" s="31"/>
      <c r="X56" s="31"/>
      <c r="Y56" s="65"/>
      <c r="AA56" s="148"/>
      <c r="AB56" s="148"/>
      <c r="AC56" s="148"/>
      <c r="AD56" s="148"/>
      <c r="AE56" s="148"/>
    </row>
    <row r="57" spans="2:31" ht="15" hidden="1" customHeight="1" outlineLevel="2">
      <c r="B57" s="148">
        <v>1</v>
      </c>
      <c r="C57" s="176" t="str">
        <f>Attribute!C57</f>
        <v>---</v>
      </c>
      <c r="D57" s="126" t="str">
        <f>VLOOKUP(C57,'Talente &amp; Stuff'!AF:BG,2,FALSE)</f>
        <v>--/--/--</v>
      </c>
      <c r="E57" s="158" t="str">
        <f>VLOOKUP(C57,'Talente &amp; Stuff'!AF:BG,3,FALSE)</f>
        <v>-</v>
      </c>
      <c r="F57" s="191">
        <f>VLOOKUP(C57,'Talente &amp; Stuff'!AF:BG,4,FALSE)</f>
        <v>0</v>
      </c>
      <c r="G57" s="118">
        <f>VLOOKUP(C57,'Talente &amp; Stuff'!AF:BG,5,FALSE)</f>
        <v>0</v>
      </c>
      <c r="H57" s="118">
        <f>VLOOKUP(C57,'Talente &amp; Stuff'!AF:BG,6,FALSE)</f>
        <v>0</v>
      </c>
      <c r="I57" s="118">
        <f>VLOOKUP(C57,'Talente &amp; Stuff'!AF:BG,7,FALSE)</f>
        <v>0</v>
      </c>
      <c r="J57" s="118">
        <f>VLOOKUP(C57,'Talente &amp; Stuff'!AF:BG,8,FALSE)</f>
        <v>0</v>
      </c>
      <c r="K57" s="118">
        <f>VLOOKUP(C57,'Talente &amp; Stuff'!AF:BG,9,FALSE)</f>
        <v>0</v>
      </c>
      <c r="L57" s="118">
        <f>VLOOKUP(C57,'Talente &amp; Stuff'!AF:BG,10,FALSE)</f>
        <v>0</v>
      </c>
      <c r="M57" s="92">
        <f>VLOOKUP(C57,'Talente &amp; Stuff'!AF:BG,11,FALSE)</f>
        <v>0</v>
      </c>
      <c r="N57" s="193">
        <f>VLOOKUP(C57,'Talente &amp; Stuff'!AF:BG,12,FALSE)</f>
        <v>0</v>
      </c>
      <c r="O57" s="116">
        <f>VLOOKUP(C57,'Talente &amp; Stuff'!AF:BG,13,FALSE)</f>
        <v>0</v>
      </c>
      <c r="P57" s="92">
        <f>VLOOKUP(C57,'Talente &amp; Stuff'!AF:BG,14,FALSE)</f>
        <v>0</v>
      </c>
      <c r="Q57" s="191">
        <f>VLOOKUP(C57,'Talente &amp; Stuff'!AF:BG,15,FALSE)</f>
        <v>0</v>
      </c>
      <c r="R57" s="118">
        <f>VLOOKUP(C57,'Talente &amp; Stuff'!AF:BG,16,FALSE)</f>
        <v>0</v>
      </c>
      <c r="S57" s="92">
        <f>VLOOKUP(C57,'Talente &amp; Stuff'!AF:BG,17,FALSE)</f>
        <v>0</v>
      </c>
      <c r="T57" s="91">
        <f>VLOOKUP(C57,'Talente &amp; Stuff'!AF:BG,18,FALSE)</f>
        <v>0</v>
      </c>
      <c r="U57" s="193">
        <f>VLOOKUP(C57,'Talente &amp; Stuff'!AF:BG,19,FALSE)</f>
        <v>0</v>
      </c>
      <c r="V57" s="116">
        <f>VLOOKUP(C57,'Talente &amp; Stuff'!AF:BG,20,FALSE)</f>
        <v>0</v>
      </c>
      <c r="W57" s="126">
        <f>VLOOKUP(C57,'Talente &amp; Stuff'!AF:BG,21,FALSE)</f>
        <v>0</v>
      </c>
      <c r="X57" s="158">
        <f>VLOOKUP(C57,'Talente &amp; Stuff'!AF:BG,22,FALSE)</f>
        <v>0</v>
      </c>
      <c r="Y57" s="165">
        <f t="shared" ref="Y57:Y73" si="8">VLOOKUP(C57,Ausgewählte_Talente_Handwerkstalente,52,FALSE)</f>
        <v>0</v>
      </c>
      <c r="Z57" s="44">
        <f t="shared" ref="Z57:Z73" si="9">VLOOKUP(C57,Ausgewählte_Talente_Handwerkstalente,53,FALSE)</f>
        <v>0</v>
      </c>
      <c r="AA57" s="158">
        <f>VLOOKUP(C57,'Talente &amp; Stuff'!AF:BG,25,FALSE)</f>
        <v>0</v>
      </c>
      <c r="AB57" s="91">
        <f>VLOOKUP(C57,'Talente &amp; Stuff'!AF:BG,26,FALSE)</f>
        <v>0</v>
      </c>
      <c r="AC57" s="126">
        <f>VLOOKUP(C57,'Talente &amp; Stuff'!AF:BG,27,FALSE)</f>
        <v>0</v>
      </c>
      <c r="AD57" s="158">
        <f>VLOOKUP(C57,'Talente &amp; Stuff'!AF:BG,28,FALSE)</f>
        <v>0</v>
      </c>
      <c r="AE57" s="28"/>
    </row>
    <row r="58" spans="2:31" ht="15" hidden="1" customHeight="1" outlineLevel="2">
      <c r="B58" s="148">
        <v>2</v>
      </c>
      <c r="C58" s="177" t="str">
        <f>Attribute!C58</f>
        <v>---</v>
      </c>
      <c r="D58" s="127" t="str">
        <f>VLOOKUP(C58,'Talente &amp; Stuff'!AF:BG,2,FALSE)</f>
        <v>--/--/--</v>
      </c>
      <c r="E58" s="125" t="str">
        <f>VLOOKUP(C58,'Talente &amp; Stuff'!AF:BG,3,FALSE)</f>
        <v>-</v>
      </c>
      <c r="F58" s="114">
        <f>VLOOKUP(C58,'Talente &amp; Stuff'!AF:BG,4,FALSE)</f>
        <v>0</v>
      </c>
      <c r="G58" s="113">
        <f>VLOOKUP(C58,'Talente &amp; Stuff'!AF:BG,5,FALSE)</f>
        <v>0</v>
      </c>
      <c r="H58" s="113">
        <f>VLOOKUP(C58,'Talente &amp; Stuff'!AF:BG,6,FALSE)</f>
        <v>0</v>
      </c>
      <c r="I58" s="113">
        <f>VLOOKUP(C58,'Talente &amp; Stuff'!AF:BG,7,FALSE)</f>
        <v>0</v>
      </c>
      <c r="J58" s="113">
        <f>VLOOKUP(C58,'Talente &amp; Stuff'!AF:BG,8,FALSE)</f>
        <v>0</v>
      </c>
      <c r="K58" s="113">
        <f>VLOOKUP(C58,'Talente &amp; Stuff'!AF:BG,9,FALSE)</f>
        <v>0</v>
      </c>
      <c r="L58" s="113">
        <f>VLOOKUP(C58,'Talente &amp; Stuff'!AF:BG,10,FALSE)</f>
        <v>0</v>
      </c>
      <c r="M58" s="119">
        <f>VLOOKUP(C58,'Talente &amp; Stuff'!AF:BG,11,FALSE)</f>
        <v>0</v>
      </c>
      <c r="N58" s="89">
        <f>VLOOKUP(C58,'Talente &amp; Stuff'!AF:BG,12,FALSE)</f>
        <v>0</v>
      </c>
      <c r="O58" s="47">
        <f>VLOOKUP(C58,'Talente &amp; Stuff'!AF:BG,13,FALSE)</f>
        <v>0</v>
      </c>
      <c r="P58" s="119">
        <f>VLOOKUP(C58,'Talente &amp; Stuff'!AF:BG,14,FALSE)</f>
        <v>0</v>
      </c>
      <c r="Q58" s="114">
        <f>VLOOKUP(C58,'Talente &amp; Stuff'!AF:BG,15,FALSE)</f>
        <v>0</v>
      </c>
      <c r="R58" s="113">
        <f>VLOOKUP(C58,'Talente &amp; Stuff'!AF:BG,16,FALSE)</f>
        <v>0</v>
      </c>
      <c r="S58" s="119">
        <f>VLOOKUP(C58,'Talente &amp; Stuff'!AF:BG,17,FALSE)</f>
        <v>0</v>
      </c>
      <c r="T58" s="160">
        <f>VLOOKUP(C58,'Talente &amp; Stuff'!AF:BG,18,FALSE)</f>
        <v>0</v>
      </c>
      <c r="U58" s="89">
        <f>VLOOKUP(C58,'Talente &amp; Stuff'!AF:BG,19,FALSE)</f>
        <v>0</v>
      </c>
      <c r="V58" s="47">
        <f>VLOOKUP(C58,'Talente &amp; Stuff'!AF:BG,20,FALSE)</f>
        <v>0</v>
      </c>
      <c r="W58" s="127">
        <f>VLOOKUP(C58,'Talente &amp; Stuff'!AF:BG,21,FALSE)</f>
        <v>0</v>
      </c>
      <c r="X58" s="125">
        <f>VLOOKUP(C58,'Talente &amp; Stuff'!AF:BG,22,FALSE)</f>
        <v>0</v>
      </c>
      <c r="Y58" s="165">
        <f t="shared" si="8"/>
        <v>0</v>
      </c>
      <c r="Z58" s="44">
        <f t="shared" si="9"/>
        <v>0</v>
      </c>
      <c r="AA58" s="125">
        <f>VLOOKUP(C58,'Talente &amp; Stuff'!AF:BG,25,FALSE)</f>
        <v>0</v>
      </c>
      <c r="AB58" s="160">
        <f>VLOOKUP(C58,'Talente &amp; Stuff'!AF:BG,26,FALSE)</f>
        <v>0</v>
      </c>
      <c r="AC58" s="127">
        <f>VLOOKUP(C58,'Talente &amp; Stuff'!AF:BG,27,FALSE)</f>
        <v>0</v>
      </c>
      <c r="AD58" s="125">
        <f>VLOOKUP(C58,'Talente &amp; Stuff'!AF:BG,28,FALSE)</f>
        <v>0</v>
      </c>
      <c r="AE58" s="28"/>
    </row>
    <row r="59" spans="2:31" ht="15" hidden="1" customHeight="1" outlineLevel="2">
      <c r="B59" s="148">
        <v>3</v>
      </c>
      <c r="C59" s="177" t="str">
        <f>Attribute!C59</f>
        <v>---</v>
      </c>
      <c r="D59" s="127" t="str">
        <f>VLOOKUP(C59,'Talente &amp; Stuff'!AF:BG,2,FALSE)</f>
        <v>--/--/--</v>
      </c>
      <c r="E59" s="125" t="str">
        <f>VLOOKUP(C59,'Talente &amp; Stuff'!AF:BG,3,FALSE)</f>
        <v>-</v>
      </c>
      <c r="F59" s="114">
        <f>VLOOKUP(C59,'Talente &amp; Stuff'!AF:BG,4,FALSE)</f>
        <v>0</v>
      </c>
      <c r="G59" s="113">
        <f>VLOOKUP(C59,'Talente &amp; Stuff'!AF:BG,5,FALSE)</f>
        <v>0</v>
      </c>
      <c r="H59" s="113">
        <f>VLOOKUP(C59,'Talente &amp; Stuff'!AF:BG,6,FALSE)</f>
        <v>0</v>
      </c>
      <c r="I59" s="113">
        <f>VLOOKUP(C59,'Talente &amp; Stuff'!AF:BG,7,FALSE)</f>
        <v>0</v>
      </c>
      <c r="J59" s="113">
        <f>VLOOKUP(C59,'Talente &amp; Stuff'!AF:BG,8,FALSE)</f>
        <v>0</v>
      </c>
      <c r="K59" s="113">
        <f>VLOOKUP(C59,'Talente &amp; Stuff'!AF:BG,9,FALSE)</f>
        <v>0</v>
      </c>
      <c r="L59" s="113">
        <f>VLOOKUP(C59,'Talente &amp; Stuff'!AF:BG,10,FALSE)</f>
        <v>0</v>
      </c>
      <c r="M59" s="119">
        <f>VLOOKUP(C59,'Talente &amp; Stuff'!AF:BG,11,FALSE)</f>
        <v>0</v>
      </c>
      <c r="N59" s="89">
        <f>VLOOKUP(C59,'Talente &amp; Stuff'!AF:BG,12,FALSE)</f>
        <v>0</v>
      </c>
      <c r="O59" s="47">
        <f>VLOOKUP(C59,'Talente &amp; Stuff'!AF:BG,13,FALSE)</f>
        <v>0</v>
      </c>
      <c r="P59" s="119">
        <f>VLOOKUP(C59,'Talente &amp; Stuff'!AF:BG,14,FALSE)</f>
        <v>0</v>
      </c>
      <c r="Q59" s="114">
        <f>VLOOKUP(C59,'Talente &amp; Stuff'!AF:BG,15,FALSE)</f>
        <v>0</v>
      </c>
      <c r="R59" s="113">
        <f>VLOOKUP(C59,'Talente &amp; Stuff'!AF:BG,16,FALSE)</f>
        <v>0</v>
      </c>
      <c r="S59" s="119">
        <f>VLOOKUP(C59,'Talente &amp; Stuff'!AF:BG,17,FALSE)</f>
        <v>0</v>
      </c>
      <c r="T59" s="160">
        <f>VLOOKUP(C59,'Talente &amp; Stuff'!AF:BG,18,FALSE)</f>
        <v>0</v>
      </c>
      <c r="U59" s="89">
        <f>VLOOKUP(C59,'Talente &amp; Stuff'!AF:BG,19,FALSE)</f>
        <v>0</v>
      </c>
      <c r="V59" s="47">
        <f>VLOOKUP(C59,'Talente &amp; Stuff'!AF:BG,20,FALSE)</f>
        <v>0</v>
      </c>
      <c r="W59" s="127">
        <f>VLOOKUP(C59,'Talente &amp; Stuff'!AF:BG,21,FALSE)</f>
        <v>0</v>
      </c>
      <c r="X59" s="125">
        <f>VLOOKUP(C59,'Talente &amp; Stuff'!AF:BG,22,FALSE)</f>
        <v>0</v>
      </c>
      <c r="Y59" s="165">
        <f t="shared" si="8"/>
        <v>0</v>
      </c>
      <c r="Z59" s="44">
        <f t="shared" si="9"/>
        <v>0</v>
      </c>
      <c r="AA59" s="125">
        <f>VLOOKUP(C59,'Talente &amp; Stuff'!AF:BG,25,FALSE)</f>
        <v>0</v>
      </c>
      <c r="AB59" s="160">
        <f>VLOOKUP(C59,'Talente &amp; Stuff'!AF:BG,26,FALSE)</f>
        <v>0</v>
      </c>
      <c r="AC59" s="127">
        <f>VLOOKUP(C59,'Talente &amp; Stuff'!AF:BG,27,FALSE)</f>
        <v>0</v>
      </c>
      <c r="AD59" s="125">
        <f>VLOOKUP(C59,'Talente &amp; Stuff'!AF:BG,28,FALSE)</f>
        <v>0</v>
      </c>
      <c r="AE59" s="28"/>
    </row>
    <row r="60" spans="2:31" ht="15" hidden="1" customHeight="1" outlineLevel="2">
      <c r="B60" s="148">
        <v>4</v>
      </c>
      <c r="C60" s="177" t="str">
        <f>Attribute!C60</f>
        <v>---</v>
      </c>
      <c r="D60" s="127" t="str">
        <f>VLOOKUP(C60,'Talente &amp; Stuff'!AF:BG,2,FALSE)</f>
        <v>--/--/--</v>
      </c>
      <c r="E60" s="125" t="str">
        <f>VLOOKUP(C60,'Talente &amp; Stuff'!AF:BG,3,FALSE)</f>
        <v>-</v>
      </c>
      <c r="F60" s="114">
        <f>VLOOKUP(C60,'Talente &amp; Stuff'!AF:BG,4,FALSE)</f>
        <v>0</v>
      </c>
      <c r="G60" s="113">
        <f>VLOOKUP(C60,'Talente &amp; Stuff'!AF:BG,5,FALSE)</f>
        <v>0</v>
      </c>
      <c r="H60" s="113">
        <f>VLOOKUP(C60,'Talente &amp; Stuff'!AF:BG,6,FALSE)</f>
        <v>0</v>
      </c>
      <c r="I60" s="113">
        <f>VLOOKUP(C60,'Talente &amp; Stuff'!AF:BG,7,FALSE)</f>
        <v>0</v>
      </c>
      <c r="J60" s="113">
        <f>VLOOKUP(C60,'Talente &amp; Stuff'!AF:BG,8,FALSE)</f>
        <v>0</v>
      </c>
      <c r="K60" s="113">
        <f>VLOOKUP(C60,'Talente &amp; Stuff'!AF:BG,9,FALSE)</f>
        <v>0</v>
      </c>
      <c r="L60" s="113">
        <f>VLOOKUP(C60,'Talente &amp; Stuff'!AF:BG,10,FALSE)</f>
        <v>0</v>
      </c>
      <c r="M60" s="119">
        <f>VLOOKUP(C60,'Talente &amp; Stuff'!AF:BG,11,FALSE)</f>
        <v>0</v>
      </c>
      <c r="N60" s="89">
        <f>VLOOKUP(C60,'Talente &amp; Stuff'!AF:BG,12,FALSE)</f>
        <v>0</v>
      </c>
      <c r="O60" s="47">
        <f>VLOOKUP(C60,'Talente &amp; Stuff'!AF:BG,13,FALSE)</f>
        <v>0</v>
      </c>
      <c r="P60" s="119">
        <f>VLOOKUP(C60,'Talente &amp; Stuff'!AF:BG,14,FALSE)</f>
        <v>0</v>
      </c>
      <c r="Q60" s="114">
        <f>VLOOKUP(C60,'Talente &amp; Stuff'!AF:BG,15,FALSE)</f>
        <v>0</v>
      </c>
      <c r="R60" s="113">
        <f>VLOOKUP(C60,'Talente &amp; Stuff'!AF:BG,16,FALSE)</f>
        <v>0</v>
      </c>
      <c r="S60" s="119">
        <f>VLOOKUP(C60,'Talente &amp; Stuff'!AF:BG,17,FALSE)</f>
        <v>0</v>
      </c>
      <c r="T60" s="160">
        <f>VLOOKUP(C60,'Talente &amp; Stuff'!AF:BG,18,FALSE)</f>
        <v>0</v>
      </c>
      <c r="U60" s="89">
        <f>VLOOKUP(C60,'Talente &amp; Stuff'!AF:BG,19,FALSE)</f>
        <v>0</v>
      </c>
      <c r="V60" s="47">
        <f>VLOOKUP(C60,'Talente &amp; Stuff'!AF:BG,20,FALSE)</f>
        <v>0</v>
      </c>
      <c r="W60" s="127">
        <f>VLOOKUP(C60,'Talente &amp; Stuff'!AF:BG,21,FALSE)</f>
        <v>0</v>
      </c>
      <c r="X60" s="125">
        <f>VLOOKUP(C60,'Talente &amp; Stuff'!AF:BG,22,FALSE)</f>
        <v>0</v>
      </c>
      <c r="Y60" s="165">
        <f t="shared" si="8"/>
        <v>0</v>
      </c>
      <c r="Z60" s="44">
        <f t="shared" si="9"/>
        <v>0</v>
      </c>
      <c r="AA60" s="125">
        <f>VLOOKUP(C60,'Talente &amp; Stuff'!AF:BG,25,FALSE)</f>
        <v>0</v>
      </c>
      <c r="AB60" s="160">
        <f>VLOOKUP(C60,'Talente &amp; Stuff'!AF:BG,26,FALSE)</f>
        <v>0</v>
      </c>
      <c r="AC60" s="127">
        <f>VLOOKUP(C60,'Talente &amp; Stuff'!AF:BG,27,FALSE)</f>
        <v>0</v>
      </c>
      <c r="AD60" s="125">
        <f>VLOOKUP(C60,'Talente &amp; Stuff'!AF:BG,28,FALSE)</f>
        <v>0</v>
      </c>
      <c r="AE60" s="28"/>
    </row>
    <row r="61" spans="2:31" ht="15" hidden="1" customHeight="1" outlineLevel="2">
      <c r="B61" s="148">
        <v>5</v>
      </c>
      <c r="C61" s="177" t="str">
        <f>Attribute!C61</f>
        <v>---</v>
      </c>
      <c r="D61" s="127" t="str">
        <f>VLOOKUP(C61,'Talente &amp; Stuff'!AF:BG,2,FALSE)</f>
        <v>--/--/--</v>
      </c>
      <c r="E61" s="125" t="str">
        <f>VLOOKUP(C61,'Talente &amp; Stuff'!AF:BG,3,FALSE)</f>
        <v>-</v>
      </c>
      <c r="F61" s="114">
        <f>VLOOKUP(C61,'Talente &amp; Stuff'!AF:BG,4,FALSE)</f>
        <v>0</v>
      </c>
      <c r="G61" s="113">
        <f>VLOOKUP(C61,'Talente &amp; Stuff'!AF:BG,5,FALSE)</f>
        <v>0</v>
      </c>
      <c r="H61" s="113">
        <f>VLOOKUP(C61,'Talente &amp; Stuff'!AF:BG,6,FALSE)</f>
        <v>0</v>
      </c>
      <c r="I61" s="113">
        <f>VLOOKUP(C61,'Talente &amp; Stuff'!AF:BG,7,FALSE)</f>
        <v>0</v>
      </c>
      <c r="J61" s="113">
        <f>VLOOKUP(C61,'Talente &amp; Stuff'!AF:BG,8,FALSE)</f>
        <v>0</v>
      </c>
      <c r="K61" s="113">
        <f>VLOOKUP(C61,'Talente &amp; Stuff'!AF:BG,9,FALSE)</f>
        <v>0</v>
      </c>
      <c r="L61" s="113">
        <f>VLOOKUP(C61,'Talente &amp; Stuff'!AF:BG,10,FALSE)</f>
        <v>0</v>
      </c>
      <c r="M61" s="119">
        <f>VLOOKUP(C61,'Talente &amp; Stuff'!AF:BG,11,FALSE)</f>
        <v>0</v>
      </c>
      <c r="N61" s="89">
        <f>VLOOKUP(C61,'Talente &amp; Stuff'!AF:BG,12,FALSE)</f>
        <v>0</v>
      </c>
      <c r="O61" s="47">
        <f>VLOOKUP(C61,'Talente &amp; Stuff'!AF:BG,13,FALSE)</f>
        <v>0</v>
      </c>
      <c r="P61" s="119">
        <f>VLOOKUP(C61,'Talente &amp; Stuff'!AF:BG,14,FALSE)</f>
        <v>0</v>
      </c>
      <c r="Q61" s="114">
        <f>VLOOKUP(C61,'Talente &amp; Stuff'!AF:BG,15,FALSE)</f>
        <v>0</v>
      </c>
      <c r="R61" s="113">
        <f>VLOOKUP(C61,'Talente &amp; Stuff'!AF:BG,16,FALSE)</f>
        <v>0</v>
      </c>
      <c r="S61" s="119">
        <f>VLOOKUP(C61,'Talente &amp; Stuff'!AF:BG,17,FALSE)</f>
        <v>0</v>
      </c>
      <c r="T61" s="160">
        <f>VLOOKUP(C61,'Talente &amp; Stuff'!AF:BG,18,FALSE)</f>
        <v>0</v>
      </c>
      <c r="U61" s="89">
        <f>VLOOKUP(C61,'Talente &amp; Stuff'!AF:BG,19,FALSE)</f>
        <v>0</v>
      </c>
      <c r="V61" s="47">
        <f>VLOOKUP(C61,'Talente &amp; Stuff'!AF:BG,20,FALSE)</f>
        <v>0</v>
      </c>
      <c r="W61" s="127">
        <f>VLOOKUP(C61,'Talente &amp; Stuff'!AF:BG,21,FALSE)</f>
        <v>0</v>
      </c>
      <c r="X61" s="125">
        <f>VLOOKUP(C61,'Talente &amp; Stuff'!AF:BG,22,FALSE)</f>
        <v>0</v>
      </c>
      <c r="Y61" s="165">
        <f t="shared" si="8"/>
        <v>0</v>
      </c>
      <c r="Z61" s="44">
        <f t="shared" si="9"/>
        <v>0</v>
      </c>
      <c r="AA61" s="125">
        <f>VLOOKUP(C61,'Talente &amp; Stuff'!AF:BG,25,FALSE)</f>
        <v>0</v>
      </c>
      <c r="AB61" s="160">
        <f>VLOOKUP(C61,'Talente &amp; Stuff'!AF:BG,26,FALSE)</f>
        <v>0</v>
      </c>
      <c r="AC61" s="127">
        <f>VLOOKUP(C61,'Talente &amp; Stuff'!AF:BG,27,FALSE)</f>
        <v>0</v>
      </c>
      <c r="AD61" s="125">
        <f>VLOOKUP(C61,'Talente &amp; Stuff'!AF:BG,28,FALSE)</f>
        <v>0</v>
      </c>
      <c r="AE61" s="28"/>
    </row>
    <row r="62" spans="2:31" ht="15" hidden="1" customHeight="1" outlineLevel="2">
      <c r="B62" s="148">
        <v>6</v>
      </c>
      <c r="C62" s="177" t="str">
        <f>Attribute!C62</f>
        <v>---</v>
      </c>
      <c r="D62" s="127" t="str">
        <f>VLOOKUP(C62,'Talente &amp; Stuff'!AF:BG,2,FALSE)</f>
        <v>--/--/--</v>
      </c>
      <c r="E62" s="125" t="str">
        <f>VLOOKUP(C62,'Talente &amp; Stuff'!AF:BG,3,FALSE)</f>
        <v>-</v>
      </c>
      <c r="F62" s="114">
        <f>VLOOKUP(C62,'Talente &amp; Stuff'!AF:BG,4,FALSE)</f>
        <v>0</v>
      </c>
      <c r="G62" s="113">
        <f>VLOOKUP(C62,'Talente &amp; Stuff'!AF:BG,5,FALSE)</f>
        <v>0</v>
      </c>
      <c r="H62" s="113">
        <f>VLOOKUP(C62,'Talente &amp; Stuff'!AF:BG,6,FALSE)</f>
        <v>0</v>
      </c>
      <c r="I62" s="113">
        <f>VLOOKUP(C62,'Talente &amp; Stuff'!AF:BG,7,FALSE)</f>
        <v>0</v>
      </c>
      <c r="J62" s="113">
        <f>VLOOKUP(C62,'Talente &amp; Stuff'!AF:BG,8,FALSE)</f>
        <v>0</v>
      </c>
      <c r="K62" s="113">
        <f>VLOOKUP(C62,'Talente &amp; Stuff'!AF:BG,9,FALSE)</f>
        <v>0</v>
      </c>
      <c r="L62" s="113">
        <f>VLOOKUP(C62,'Talente &amp; Stuff'!AF:BG,10,FALSE)</f>
        <v>0</v>
      </c>
      <c r="M62" s="119">
        <f>VLOOKUP(C62,'Talente &amp; Stuff'!AF:BG,11,FALSE)</f>
        <v>0</v>
      </c>
      <c r="N62" s="89">
        <f>VLOOKUP(C62,'Talente &amp; Stuff'!AF:BG,12,FALSE)</f>
        <v>0</v>
      </c>
      <c r="O62" s="47">
        <f>VLOOKUP(C62,'Talente &amp; Stuff'!AF:BG,13,FALSE)</f>
        <v>0</v>
      </c>
      <c r="P62" s="119">
        <f>VLOOKUP(C62,'Talente &amp; Stuff'!AF:BG,14,FALSE)</f>
        <v>0</v>
      </c>
      <c r="Q62" s="114">
        <f>VLOOKUP(C62,'Talente &amp; Stuff'!AF:BG,15,FALSE)</f>
        <v>0</v>
      </c>
      <c r="R62" s="113">
        <f>VLOOKUP(C62,'Talente &amp; Stuff'!AF:BG,16,FALSE)</f>
        <v>0</v>
      </c>
      <c r="S62" s="119">
        <f>VLOOKUP(C62,'Talente &amp; Stuff'!AF:BG,17,FALSE)</f>
        <v>0</v>
      </c>
      <c r="T62" s="160">
        <f>VLOOKUP(C62,'Talente &amp; Stuff'!AF:BG,18,FALSE)</f>
        <v>0</v>
      </c>
      <c r="U62" s="89">
        <f>VLOOKUP(C62,'Talente &amp; Stuff'!AF:BG,19,FALSE)</f>
        <v>0</v>
      </c>
      <c r="V62" s="47">
        <f>VLOOKUP(C62,'Talente &amp; Stuff'!AF:BG,20,FALSE)</f>
        <v>0</v>
      </c>
      <c r="W62" s="127">
        <f>VLOOKUP(C62,'Talente &amp; Stuff'!AF:BG,21,FALSE)</f>
        <v>0</v>
      </c>
      <c r="X62" s="125">
        <f>VLOOKUP(C62,'Talente &amp; Stuff'!AF:BG,22,FALSE)</f>
        <v>0</v>
      </c>
      <c r="Y62" s="165">
        <f t="shared" si="8"/>
        <v>0</v>
      </c>
      <c r="Z62" s="44">
        <f t="shared" si="9"/>
        <v>0</v>
      </c>
      <c r="AA62" s="125">
        <f>VLOOKUP(C62,'Talente &amp; Stuff'!AF:BG,25,FALSE)</f>
        <v>0</v>
      </c>
      <c r="AB62" s="160">
        <f>VLOOKUP(C62,'Talente &amp; Stuff'!AF:BG,26,FALSE)</f>
        <v>0</v>
      </c>
      <c r="AC62" s="127">
        <f>VLOOKUP(C62,'Talente &amp; Stuff'!AF:BG,27,FALSE)</f>
        <v>0</v>
      </c>
      <c r="AD62" s="125">
        <f>VLOOKUP(C62,'Talente &amp; Stuff'!AF:BG,28,FALSE)</f>
        <v>0</v>
      </c>
      <c r="AE62" s="28"/>
    </row>
    <row r="63" spans="2:31" ht="15" hidden="1" customHeight="1" outlineLevel="2">
      <c r="B63" s="148">
        <v>7</v>
      </c>
      <c r="C63" s="177" t="str">
        <f>Attribute!C63</f>
        <v>---</v>
      </c>
      <c r="D63" s="127" t="str">
        <f>VLOOKUP(C63,'Talente &amp; Stuff'!AF:BG,2,FALSE)</f>
        <v>--/--/--</v>
      </c>
      <c r="E63" s="125" t="str">
        <f>VLOOKUP(C63,'Talente &amp; Stuff'!AF:BG,3,FALSE)</f>
        <v>-</v>
      </c>
      <c r="F63" s="114">
        <f>VLOOKUP(C63,'Talente &amp; Stuff'!AF:BG,4,FALSE)</f>
        <v>0</v>
      </c>
      <c r="G63" s="113">
        <f>VLOOKUP(C63,'Talente &amp; Stuff'!AF:BG,5,FALSE)</f>
        <v>0</v>
      </c>
      <c r="H63" s="113">
        <f>VLOOKUP(C63,'Talente &amp; Stuff'!AF:BG,6,FALSE)</f>
        <v>0</v>
      </c>
      <c r="I63" s="113">
        <f>VLOOKUP(C63,'Talente &amp; Stuff'!AF:BG,7,FALSE)</f>
        <v>0</v>
      </c>
      <c r="J63" s="113">
        <f>VLOOKUP(C63,'Talente &amp; Stuff'!AF:BG,8,FALSE)</f>
        <v>0</v>
      </c>
      <c r="K63" s="113">
        <f>VLOOKUP(C63,'Talente &amp; Stuff'!AF:BG,9,FALSE)</f>
        <v>0</v>
      </c>
      <c r="L63" s="113">
        <f>VLOOKUP(C63,'Talente &amp; Stuff'!AF:BG,10,FALSE)</f>
        <v>0</v>
      </c>
      <c r="M63" s="119">
        <f>VLOOKUP(C63,'Talente &amp; Stuff'!AF:BG,11,FALSE)</f>
        <v>0</v>
      </c>
      <c r="N63" s="89">
        <f>VLOOKUP(C63,'Talente &amp; Stuff'!AF:BG,12,FALSE)</f>
        <v>0</v>
      </c>
      <c r="O63" s="47">
        <f>VLOOKUP(C63,'Talente &amp; Stuff'!AF:BG,13,FALSE)</f>
        <v>0</v>
      </c>
      <c r="P63" s="119">
        <f>VLOOKUP(C63,'Talente &amp; Stuff'!AF:BG,14,FALSE)</f>
        <v>0</v>
      </c>
      <c r="Q63" s="114">
        <f>VLOOKUP(C63,'Talente &amp; Stuff'!AF:BG,15,FALSE)</f>
        <v>0</v>
      </c>
      <c r="R63" s="113">
        <f>VLOOKUP(C63,'Talente &amp; Stuff'!AF:BG,16,FALSE)</f>
        <v>0</v>
      </c>
      <c r="S63" s="119">
        <f>VLOOKUP(C63,'Talente &amp; Stuff'!AF:BG,17,FALSE)</f>
        <v>0</v>
      </c>
      <c r="T63" s="160">
        <f>VLOOKUP(C63,'Talente &amp; Stuff'!AF:BG,18,FALSE)</f>
        <v>0</v>
      </c>
      <c r="U63" s="89">
        <f>VLOOKUP(C63,'Talente &amp; Stuff'!AF:BG,19,FALSE)</f>
        <v>0</v>
      </c>
      <c r="V63" s="47">
        <f>VLOOKUP(C63,'Talente &amp; Stuff'!AF:BG,20,FALSE)</f>
        <v>0</v>
      </c>
      <c r="W63" s="127">
        <f>VLOOKUP(C63,'Talente &amp; Stuff'!AF:BG,21,FALSE)</f>
        <v>0</v>
      </c>
      <c r="X63" s="125">
        <f>VLOOKUP(C63,'Talente &amp; Stuff'!AF:BG,22,FALSE)</f>
        <v>0</v>
      </c>
      <c r="Y63" s="165">
        <f t="shared" si="8"/>
        <v>0</v>
      </c>
      <c r="Z63" s="44">
        <f t="shared" si="9"/>
        <v>0</v>
      </c>
      <c r="AA63" s="125">
        <f>VLOOKUP(C63,'Talente &amp; Stuff'!AF:BG,25,FALSE)</f>
        <v>0</v>
      </c>
      <c r="AB63" s="160">
        <f>VLOOKUP(C63,'Talente &amp; Stuff'!AF:BG,26,FALSE)</f>
        <v>0</v>
      </c>
      <c r="AC63" s="127">
        <f>VLOOKUP(C63,'Talente &amp; Stuff'!AF:BG,27,FALSE)</f>
        <v>0</v>
      </c>
      <c r="AD63" s="125">
        <f>VLOOKUP(C63,'Talente &amp; Stuff'!AF:BG,28,FALSE)</f>
        <v>0</v>
      </c>
      <c r="AE63" s="28"/>
    </row>
    <row r="64" spans="2:31" ht="15" hidden="1" customHeight="1" outlineLevel="2">
      <c r="B64" s="148">
        <v>8</v>
      </c>
      <c r="C64" s="177" t="str">
        <f>Attribute!C64</f>
        <v>---</v>
      </c>
      <c r="D64" s="127" t="str">
        <f>VLOOKUP(C64,'Talente &amp; Stuff'!AF:BG,2,FALSE)</f>
        <v>--/--/--</v>
      </c>
      <c r="E64" s="125" t="str">
        <f>VLOOKUP(C64,'Talente &amp; Stuff'!AF:BG,3,FALSE)</f>
        <v>-</v>
      </c>
      <c r="F64" s="114">
        <f>VLOOKUP(C64,'Talente &amp; Stuff'!AF:BG,4,FALSE)</f>
        <v>0</v>
      </c>
      <c r="G64" s="113">
        <f>VLOOKUP(C64,'Talente &amp; Stuff'!AF:BG,5,FALSE)</f>
        <v>0</v>
      </c>
      <c r="H64" s="113">
        <f>VLOOKUP(C64,'Talente &amp; Stuff'!AF:BG,6,FALSE)</f>
        <v>0</v>
      </c>
      <c r="I64" s="113">
        <f>VLOOKUP(C64,'Talente &amp; Stuff'!AF:BG,7,FALSE)</f>
        <v>0</v>
      </c>
      <c r="J64" s="113">
        <f>VLOOKUP(C64,'Talente &amp; Stuff'!AF:BG,8,FALSE)</f>
        <v>0</v>
      </c>
      <c r="K64" s="113">
        <f>VLOOKUP(C64,'Talente &amp; Stuff'!AF:BG,9,FALSE)</f>
        <v>0</v>
      </c>
      <c r="L64" s="113">
        <f>VLOOKUP(C64,'Talente &amp; Stuff'!AF:BG,10,FALSE)</f>
        <v>0</v>
      </c>
      <c r="M64" s="119">
        <f>VLOOKUP(C64,'Talente &amp; Stuff'!AF:BG,11,FALSE)</f>
        <v>0</v>
      </c>
      <c r="N64" s="89">
        <f>VLOOKUP(C64,'Talente &amp; Stuff'!AF:BG,12,FALSE)</f>
        <v>0</v>
      </c>
      <c r="O64" s="47">
        <f>VLOOKUP(C64,'Talente &amp; Stuff'!AF:BG,13,FALSE)</f>
        <v>0</v>
      </c>
      <c r="P64" s="119">
        <f>VLOOKUP(C64,'Talente &amp; Stuff'!AF:BG,14,FALSE)</f>
        <v>0</v>
      </c>
      <c r="Q64" s="114">
        <f>VLOOKUP(C64,'Talente &amp; Stuff'!AF:BG,15,FALSE)</f>
        <v>0</v>
      </c>
      <c r="R64" s="113">
        <f>VLOOKUP(C64,'Talente &amp; Stuff'!AF:BG,16,FALSE)</f>
        <v>0</v>
      </c>
      <c r="S64" s="119">
        <f>VLOOKUP(C64,'Talente &amp; Stuff'!AF:BG,17,FALSE)</f>
        <v>0</v>
      </c>
      <c r="T64" s="160">
        <f>VLOOKUP(C64,'Talente &amp; Stuff'!AF:BG,18,FALSE)</f>
        <v>0</v>
      </c>
      <c r="U64" s="89">
        <f>VLOOKUP(C64,'Talente &amp; Stuff'!AF:BG,19,FALSE)</f>
        <v>0</v>
      </c>
      <c r="V64" s="47">
        <f>VLOOKUP(C64,'Talente &amp; Stuff'!AF:BG,20,FALSE)</f>
        <v>0</v>
      </c>
      <c r="W64" s="127">
        <f>VLOOKUP(C64,'Talente &amp; Stuff'!AF:BG,21,FALSE)</f>
        <v>0</v>
      </c>
      <c r="X64" s="125">
        <f>VLOOKUP(C64,'Talente &amp; Stuff'!AF:BG,22,FALSE)</f>
        <v>0</v>
      </c>
      <c r="Y64" s="165">
        <f t="shared" si="8"/>
        <v>0</v>
      </c>
      <c r="Z64" s="44">
        <f t="shared" si="9"/>
        <v>0</v>
      </c>
      <c r="AA64" s="125">
        <f>VLOOKUP(C64,'Talente &amp; Stuff'!AF:BG,25,FALSE)</f>
        <v>0</v>
      </c>
      <c r="AB64" s="160">
        <f>VLOOKUP(C64,'Talente &amp; Stuff'!AF:BG,26,FALSE)</f>
        <v>0</v>
      </c>
      <c r="AC64" s="127">
        <f>VLOOKUP(C64,'Talente &amp; Stuff'!AF:BG,27,FALSE)</f>
        <v>0</v>
      </c>
      <c r="AD64" s="125">
        <f>VLOOKUP(C64,'Talente &amp; Stuff'!AF:BG,28,FALSE)</f>
        <v>0</v>
      </c>
      <c r="AE64" s="28"/>
    </row>
    <row r="65" spans="1:31" ht="15" hidden="1" customHeight="1" outlineLevel="2">
      <c r="B65" s="148">
        <v>9</v>
      </c>
      <c r="C65" s="177" t="str">
        <f>Attribute!C65</f>
        <v>---</v>
      </c>
      <c r="D65" s="127" t="str">
        <f>VLOOKUP(C65,'Talente &amp; Stuff'!AF:BG,2,FALSE)</f>
        <v>--/--/--</v>
      </c>
      <c r="E65" s="125" t="str">
        <f>VLOOKUP(C65,'Talente &amp; Stuff'!AF:BG,3,FALSE)</f>
        <v>-</v>
      </c>
      <c r="F65" s="114">
        <f>VLOOKUP(C65,'Talente &amp; Stuff'!AF:BG,4,FALSE)</f>
        <v>0</v>
      </c>
      <c r="G65" s="113">
        <f>VLOOKUP(C65,'Talente &amp; Stuff'!AF:BG,5,FALSE)</f>
        <v>0</v>
      </c>
      <c r="H65" s="113">
        <f>VLOOKUP(C65,'Talente &amp; Stuff'!AF:BG,6,FALSE)</f>
        <v>0</v>
      </c>
      <c r="I65" s="113">
        <f>VLOOKUP(C65,'Talente &amp; Stuff'!AF:BG,7,FALSE)</f>
        <v>0</v>
      </c>
      <c r="J65" s="113">
        <f>VLOOKUP(C65,'Talente &amp; Stuff'!AF:BG,8,FALSE)</f>
        <v>0</v>
      </c>
      <c r="K65" s="113">
        <f>VLOOKUP(C65,'Talente &amp; Stuff'!AF:BG,9,FALSE)</f>
        <v>0</v>
      </c>
      <c r="L65" s="113">
        <f>VLOOKUP(C65,'Talente &amp; Stuff'!AF:BG,10,FALSE)</f>
        <v>0</v>
      </c>
      <c r="M65" s="119">
        <f>VLOOKUP(C65,'Talente &amp; Stuff'!AF:BG,11,FALSE)</f>
        <v>0</v>
      </c>
      <c r="N65" s="89">
        <f>VLOOKUP(C65,'Talente &amp; Stuff'!AF:BG,12,FALSE)</f>
        <v>0</v>
      </c>
      <c r="O65" s="47">
        <f>VLOOKUP(C65,'Talente &amp; Stuff'!AF:BG,13,FALSE)</f>
        <v>0</v>
      </c>
      <c r="P65" s="119">
        <f>VLOOKUP(C65,'Talente &amp; Stuff'!AF:BG,14,FALSE)</f>
        <v>0</v>
      </c>
      <c r="Q65" s="114">
        <f>VLOOKUP(C65,'Talente &amp; Stuff'!AF:BG,15,FALSE)</f>
        <v>0</v>
      </c>
      <c r="R65" s="113">
        <f>VLOOKUP(C65,'Talente &amp; Stuff'!AF:BG,16,FALSE)</f>
        <v>0</v>
      </c>
      <c r="S65" s="119">
        <f>VLOOKUP(C65,'Talente &amp; Stuff'!AF:BG,17,FALSE)</f>
        <v>0</v>
      </c>
      <c r="T65" s="160">
        <f>VLOOKUP(C65,'Talente &amp; Stuff'!AF:BG,18,FALSE)</f>
        <v>0</v>
      </c>
      <c r="U65" s="89">
        <f>VLOOKUP(C65,'Talente &amp; Stuff'!AF:BG,19,FALSE)</f>
        <v>0</v>
      </c>
      <c r="V65" s="47">
        <f>VLOOKUP(C65,'Talente &amp; Stuff'!AF:BG,20,FALSE)</f>
        <v>0</v>
      </c>
      <c r="W65" s="127">
        <f>VLOOKUP(C65,'Talente &amp; Stuff'!AF:BG,21,FALSE)</f>
        <v>0</v>
      </c>
      <c r="X65" s="125">
        <f>VLOOKUP(C65,'Talente &amp; Stuff'!AF:BG,22,FALSE)</f>
        <v>0</v>
      </c>
      <c r="Y65" s="165">
        <f t="shared" si="8"/>
        <v>0</v>
      </c>
      <c r="Z65" s="44">
        <f t="shared" si="9"/>
        <v>0</v>
      </c>
      <c r="AA65" s="125">
        <f>VLOOKUP(C65,'Talente &amp; Stuff'!AF:BG,25,FALSE)</f>
        <v>0</v>
      </c>
      <c r="AB65" s="160">
        <f>VLOOKUP(C65,'Talente &amp; Stuff'!AF:BG,26,FALSE)</f>
        <v>0</v>
      </c>
      <c r="AC65" s="127">
        <f>VLOOKUP(C65,'Talente &amp; Stuff'!AF:BG,27,FALSE)</f>
        <v>0</v>
      </c>
      <c r="AD65" s="125">
        <f>VLOOKUP(C65,'Talente &amp; Stuff'!AF:BG,28,FALSE)</f>
        <v>0</v>
      </c>
      <c r="AE65" s="28"/>
    </row>
    <row r="66" spans="1:31" ht="15" hidden="1" customHeight="1" outlineLevel="2">
      <c r="B66" s="148">
        <v>10</v>
      </c>
      <c r="C66" s="177" t="str">
        <f>Attribute!C66</f>
        <v>---</v>
      </c>
      <c r="D66" s="127" t="str">
        <f>VLOOKUP(C66,'Talente &amp; Stuff'!AF:BG,2,FALSE)</f>
        <v>--/--/--</v>
      </c>
      <c r="E66" s="125" t="str">
        <f>VLOOKUP(C66,'Talente &amp; Stuff'!AF:BG,3,FALSE)</f>
        <v>-</v>
      </c>
      <c r="F66" s="114">
        <f>VLOOKUP(C66,'Talente &amp; Stuff'!AF:BG,4,FALSE)</f>
        <v>0</v>
      </c>
      <c r="G66" s="113">
        <f>VLOOKUP(C66,'Talente &amp; Stuff'!AF:BG,5,FALSE)</f>
        <v>0</v>
      </c>
      <c r="H66" s="113">
        <f>VLOOKUP(C66,'Talente &amp; Stuff'!AF:BG,6,FALSE)</f>
        <v>0</v>
      </c>
      <c r="I66" s="113">
        <f>VLOOKUP(C66,'Talente &amp; Stuff'!AF:BG,7,FALSE)</f>
        <v>0</v>
      </c>
      <c r="J66" s="113">
        <f>VLOOKUP(C66,'Talente &amp; Stuff'!AF:BG,8,FALSE)</f>
        <v>0</v>
      </c>
      <c r="K66" s="113">
        <f>VLOOKUP(C66,'Talente &amp; Stuff'!AF:BG,9,FALSE)</f>
        <v>0</v>
      </c>
      <c r="L66" s="113">
        <f>VLOOKUP(C66,'Talente &amp; Stuff'!AF:BG,10,FALSE)</f>
        <v>0</v>
      </c>
      <c r="M66" s="119">
        <f>VLOOKUP(C66,'Talente &amp; Stuff'!AF:BG,11,FALSE)</f>
        <v>0</v>
      </c>
      <c r="N66" s="89">
        <f>VLOOKUP(C66,'Talente &amp; Stuff'!AF:BG,12,FALSE)</f>
        <v>0</v>
      </c>
      <c r="O66" s="47">
        <f>VLOOKUP(C66,'Talente &amp; Stuff'!AF:BG,13,FALSE)</f>
        <v>0</v>
      </c>
      <c r="P66" s="119">
        <f>VLOOKUP(C66,'Talente &amp; Stuff'!AF:BG,14,FALSE)</f>
        <v>0</v>
      </c>
      <c r="Q66" s="114">
        <f>VLOOKUP(C66,'Talente &amp; Stuff'!AF:BG,15,FALSE)</f>
        <v>0</v>
      </c>
      <c r="R66" s="113">
        <f>VLOOKUP(C66,'Talente &amp; Stuff'!AF:BG,16,FALSE)</f>
        <v>0</v>
      </c>
      <c r="S66" s="119">
        <f>VLOOKUP(C66,'Talente &amp; Stuff'!AF:BG,17,FALSE)</f>
        <v>0</v>
      </c>
      <c r="T66" s="160">
        <f>VLOOKUP(C66,'Talente &amp; Stuff'!AF:BG,18,FALSE)</f>
        <v>0</v>
      </c>
      <c r="U66" s="89">
        <f>VLOOKUP(C66,'Talente &amp; Stuff'!AF:BG,19,FALSE)</f>
        <v>0</v>
      </c>
      <c r="V66" s="47">
        <f>VLOOKUP(C66,'Talente &amp; Stuff'!AF:BG,20,FALSE)</f>
        <v>0</v>
      </c>
      <c r="W66" s="127">
        <f>VLOOKUP(C66,'Talente &amp; Stuff'!AF:BG,21,FALSE)</f>
        <v>0</v>
      </c>
      <c r="X66" s="125">
        <f>VLOOKUP(C66,'Talente &amp; Stuff'!AF:BG,22,FALSE)</f>
        <v>0</v>
      </c>
      <c r="Y66" s="165">
        <f t="shared" si="8"/>
        <v>0</v>
      </c>
      <c r="Z66" s="44">
        <f t="shared" si="9"/>
        <v>0</v>
      </c>
      <c r="AA66" s="125">
        <f>VLOOKUP(C66,'Talente &amp; Stuff'!AF:BG,25,FALSE)</f>
        <v>0</v>
      </c>
      <c r="AB66" s="160">
        <f>VLOOKUP(C66,'Talente &amp; Stuff'!AF:BG,26,FALSE)</f>
        <v>0</v>
      </c>
      <c r="AC66" s="127">
        <f>VLOOKUP(C66,'Talente &amp; Stuff'!AF:BG,27,FALSE)</f>
        <v>0</v>
      </c>
      <c r="AD66" s="125">
        <f>VLOOKUP(C66,'Talente &amp; Stuff'!AF:BG,28,FALSE)</f>
        <v>0</v>
      </c>
      <c r="AE66" s="28"/>
    </row>
    <row r="67" spans="1:31" ht="15" hidden="1" customHeight="1" outlineLevel="2">
      <c r="B67" s="148">
        <v>11</v>
      </c>
      <c r="C67" s="177" t="str">
        <f>Attribute!C67</f>
        <v>---</v>
      </c>
      <c r="D67" s="127" t="str">
        <f>VLOOKUP(C67,'Talente &amp; Stuff'!AF:BG,2,FALSE)</f>
        <v>--/--/--</v>
      </c>
      <c r="E67" s="125" t="str">
        <f>VLOOKUP(C67,'Talente &amp; Stuff'!AF:BG,3,FALSE)</f>
        <v>-</v>
      </c>
      <c r="F67" s="114">
        <f>VLOOKUP(C67,'Talente &amp; Stuff'!AF:BG,4,FALSE)</f>
        <v>0</v>
      </c>
      <c r="G67" s="113">
        <f>VLOOKUP(C67,'Talente &amp; Stuff'!AF:BG,5,FALSE)</f>
        <v>0</v>
      </c>
      <c r="H67" s="113">
        <f>VLOOKUP(C67,'Talente &amp; Stuff'!AF:BG,6,FALSE)</f>
        <v>0</v>
      </c>
      <c r="I67" s="113">
        <f>VLOOKUP(C67,'Talente &amp; Stuff'!AF:BG,7,FALSE)</f>
        <v>0</v>
      </c>
      <c r="J67" s="113">
        <f>VLOOKUP(C67,'Talente &amp; Stuff'!AF:BG,8,FALSE)</f>
        <v>0</v>
      </c>
      <c r="K67" s="113">
        <f>VLOOKUP(C67,'Talente &amp; Stuff'!AF:BG,9,FALSE)</f>
        <v>0</v>
      </c>
      <c r="L67" s="113">
        <f>VLOOKUP(C67,'Talente &amp; Stuff'!AF:BG,10,FALSE)</f>
        <v>0</v>
      </c>
      <c r="M67" s="119">
        <f>VLOOKUP(C67,'Talente &amp; Stuff'!AF:BG,11,FALSE)</f>
        <v>0</v>
      </c>
      <c r="N67" s="89">
        <f>VLOOKUP(C67,'Talente &amp; Stuff'!AF:BG,12,FALSE)</f>
        <v>0</v>
      </c>
      <c r="O67" s="47">
        <f>VLOOKUP(C67,'Talente &amp; Stuff'!AF:BG,13,FALSE)</f>
        <v>0</v>
      </c>
      <c r="P67" s="119">
        <f>VLOOKUP(C67,'Talente &amp; Stuff'!AF:BG,14,FALSE)</f>
        <v>0</v>
      </c>
      <c r="Q67" s="114">
        <f>VLOOKUP(C67,'Talente &amp; Stuff'!AF:BG,15,FALSE)</f>
        <v>0</v>
      </c>
      <c r="R67" s="113">
        <f>VLOOKUP(C67,'Talente &amp; Stuff'!AF:BG,16,FALSE)</f>
        <v>0</v>
      </c>
      <c r="S67" s="119">
        <f>VLOOKUP(C67,'Talente &amp; Stuff'!AF:BG,17,FALSE)</f>
        <v>0</v>
      </c>
      <c r="T67" s="160">
        <f>VLOOKUP(C67,'Talente &amp; Stuff'!AF:BG,18,FALSE)</f>
        <v>0</v>
      </c>
      <c r="U67" s="89">
        <f>VLOOKUP(C67,'Talente &amp; Stuff'!AF:BG,19,FALSE)</f>
        <v>0</v>
      </c>
      <c r="V67" s="47">
        <f>VLOOKUP(C67,'Talente &amp; Stuff'!AF:BG,20,FALSE)</f>
        <v>0</v>
      </c>
      <c r="W67" s="127">
        <f>VLOOKUP(C67,'Talente &amp; Stuff'!AF:BG,21,FALSE)</f>
        <v>0</v>
      </c>
      <c r="X67" s="125">
        <f>VLOOKUP(C67,'Talente &amp; Stuff'!AF:BG,22,FALSE)</f>
        <v>0</v>
      </c>
      <c r="Y67" s="165">
        <f t="shared" si="8"/>
        <v>0</v>
      </c>
      <c r="Z67" s="44">
        <f t="shared" si="9"/>
        <v>0</v>
      </c>
      <c r="AA67" s="125">
        <f>VLOOKUP(C67,'Talente &amp; Stuff'!AF:BG,25,FALSE)</f>
        <v>0</v>
      </c>
      <c r="AB67" s="160">
        <f>VLOOKUP(C67,'Talente &amp; Stuff'!AF:BG,26,FALSE)</f>
        <v>0</v>
      </c>
      <c r="AC67" s="127">
        <f>VLOOKUP(C67,'Talente &amp; Stuff'!AF:BG,27,FALSE)</f>
        <v>0</v>
      </c>
      <c r="AD67" s="125">
        <f>VLOOKUP(C67,'Talente &amp; Stuff'!AF:BG,28,FALSE)</f>
        <v>0</v>
      </c>
      <c r="AE67" s="28"/>
    </row>
    <row r="68" spans="1:31" ht="15" hidden="1" customHeight="1" outlineLevel="2">
      <c r="B68" s="148">
        <v>12</v>
      </c>
      <c r="C68" s="177" t="str">
        <f>Attribute!C68</f>
        <v>---</v>
      </c>
      <c r="D68" s="127" t="str">
        <f>VLOOKUP(C68,'Talente &amp; Stuff'!AF:BG,2,FALSE)</f>
        <v>--/--/--</v>
      </c>
      <c r="E68" s="125" t="str">
        <f>VLOOKUP(C68,'Talente &amp; Stuff'!AF:BG,3,FALSE)</f>
        <v>-</v>
      </c>
      <c r="F68" s="114">
        <f>VLOOKUP(C68,'Talente &amp; Stuff'!AF:BG,4,FALSE)</f>
        <v>0</v>
      </c>
      <c r="G68" s="113">
        <f>VLOOKUP(C68,'Talente &amp; Stuff'!AF:BG,5,FALSE)</f>
        <v>0</v>
      </c>
      <c r="H68" s="113">
        <f>VLOOKUP(C68,'Talente &amp; Stuff'!AF:BG,6,FALSE)</f>
        <v>0</v>
      </c>
      <c r="I68" s="113">
        <f>VLOOKUP(C68,'Talente &amp; Stuff'!AF:BG,7,FALSE)</f>
        <v>0</v>
      </c>
      <c r="J68" s="113">
        <f>VLOOKUP(C68,'Talente &amp; Stuff'!AF:BG,8,FALSE)</f>
        <v>0</v>
      </c>
      <c r="K68" s="113">
        <f>VLOOKUP(C68,'Talente &amp; Stuff'!AF:BG,9,FALSE)</f>
        <v>0</v>
      </c>
      <c r="L68" s="113">
        <f>VLOOKUP(C68,'Talente &amp; Stuff'!AF:BG,10,FALSE)</f>
        <v>0</v>
      </c>
      <c r="M68" s="119">
        <f>VLOOKUP(C68,'Talente &amp; Stuff'!AF:BG,11,FALSE)</f>
        <v>0</v>
      </c>
      <c r="N68" s="89">
        <f>VLOOKUP(C68,'Talente &amp; Stuff'!AF:BG,12,FALSE)</f>
        <v>0</v>
      </c>
      <c r="O68" s="47">
        <f>VLOOKUP(C68,'Talente &amp; Stuff'!AF:BG,13,FALSE)</f>
        <v>0</v>
      </c>
      <c r="P68" s="119">
        <f>VLOOKUP(C68,'Talente &amp; Stuff'!AF:BG,14,FALSE)</f>
        <v>0</v>
      </c>
      <c r="Q68" s="114">
        <f>VLOOKUP(C68,'Talente &amp; Stuff'!AF:BG,15,FALSE)</f>
        <v>0</v>
      </c>
      <c r="R68" s="113">
        <f>VLOOKUP(C68,'Talente &amp; Stuff'!AF:BG,16,FALSE)</f>
        <v>0</v>
      </c>
      <c r="S68" s="119">
        <f>VLOOKUP(C68,'Talente &amp; Stuff'!AF:BG,17,FALSE)</f>
        <v>0</v>
      </c>
      <c r="T68" s="160">
        <f>VLOOKUP(C68,'Talente &amp; Stuff'!AF:BG,18,FALSE)</f>
        <v>0</v>
      </c>
      <c r="U68" s="89">
        <f>VLOOKUP(C68,'Talente &amp; Stuff'!AF:BG,19,FALSE)</f>
        <v>0</v>
      </c>
      <c r="V68" s="47">
        <f>VLOOKUP(C68,'Talente &amp; Stuff'!AF:BG,20,FALSE)</f>
        <v>0</v>
      </c>
      <c r="W68" s="127">
        <f>VLOOKUP(C68,'Talente &amp; Stuff'!AF:BG,21,FALSE)</f>
        <v>0</v>
      </c>
      <c r="X68" s="125">
        <f>VLOOKUP(C68,'Talente &amp; Stuff'!AF:BG,22,FALSE)</f>
        <v>0</v>
      </c>
      <c r="Y68" s="165">
        <f t="shared" si="8"/>
        <v>0</v>
      </c>
      <c r="Z68" s="44">
        <f t="shared" si="9"/>
        <v>0</v>
      </c>
      <c r="AA68" s="125">
        <f>VLOOKUP(C68,'Talente &amp; Stuff'!AF:BG,25,FALSE)</f>
        <v>0</v>
      </c>
      <c r="AB68" s="160">
        <f>VLOOKUP(C68,'Talente &amp; Stuff'!AF:BG,26,FALSE)</f>
        <v>0</v>
      </c>
      <c r="AC68" s="127">
        <f>VLOOKUP(C68,'Talente &amp; Stuff'!AF:BG,27,FALSE)</f>
        <v>0</v>
      </c>
      <c r="AD68" s="125">
        <f>VLOOKUP(C68,'Talente &amp; Stuff'!AF:BG,28,FALSE)</f>
        <v>0</v>
      </c>
      <c r="AE68" s="28"/>
    </row>
    <row r="69" spans="1:31" ht="15" hidden="1" customHeight="1" outlineLevel="2">
      <c r="B69" s="148">
        <v>13</v>
      </c>
      <c r="C69" s="177" t="str">
        <f>Attribute!C69</f>
        <v>---</v>
      </c>
      <c r="D69" s="127" t="str">
        <f>VLOOKUP(C69,'Talente &amp; Stuff'!AF:BG,2,FALSE)</f>
        <v>--/--/--</v>
      </c>
      <c r="E69" s="125" t="str">
        <f>VLOOKUP(C69,'Talente &amp; Stuff'!AF:BG,3,FALSE)</f>
        <v>-</v>
      </c>
      <c r="F69" s="114">
        <f>VLOOKUP(C69,'Talente &amp; Stuff'!AF:BG,4,FALSE)</f>
        <v>0</v>
      </c>
      <c r="G69" s="113">
        <f>VLOOKUP(C69,'Talente &amp; Stuff'!AF:BG,5,FALSE)</f>
        <v>0</v>
      </c>
      <c r="H69" s="113">
        <f>VLOOKUP(C69,'Talente &amp; Stuff'!AF:BG,6,FALSE)</f>
        <v>0</v>
      </c>
      <c r="I69" s="113">
        <f>VLOOKUP(C69,'Talente &amp; Stuff'!AF:BG,7,FALSE)</f>
        <v>0</v>
      </c>
      <c r="J69" s="113">
        <f>VLOOKUP(C69,'Talente &amp; Stuff'!AF:BG,8,FALSE)</f>
        <v>0</v>
      </c>
      <c r="K69" s="113">
        <f>VLOOKUP(C69,'Talente &amp; Stuff'!AF:BG,9,FALSE)</f>
        <v>0</v>
      </c>
      <c r="L69" s="113">
        <f>VLOOKUP(C69,'Talente &amp; Stuff'!AF:BG,10,FALSE)</f>
        <v>0</v>
      </c>
      <c r="M69" s="119">
        <f>VLOOKUP(C69,'Talente &amp; Stuff'!AF:BG,11,FALSE)</f>
        <v>0</v>
      </c>
      <c r="N69" s="89">
        <f>VLOOKUP(C69,'Talente &amp; Stuff'!AF:BG,12,FALSE)</f>
        <v>0</v>
      </c>
      <c r="O69" s="47">
        <f>VLOOKUP(C69,'Talente &amp; Stuff'!AF:BG,13,FALSE)</f>
        <v>0</v>
      </c>
      <c r="P69" s="119">
        <f>VLOOKUP(C69,'Talente &amp; Stuff'!AF:BG,14,FALSE)</f>
        <v>0</v>
      </c>
      <c r="Q69" s="114">
        <f>VLOOKUP(C69,'Talente &amp; Stuff'!AF:BG,15,FALSE)</f>
        <v>0</v>
      </c>
      <c r="R69" s="113">
        <f>VLOOKUP(C69,'Talente &amp; Stuff'!AF:BG,16,FALSE)</f>
        <v>0</v>
      </c>
      <c r="S69" s="119">
        <f>VLOOKUP(C69,'Talente &amp; Stuff'!AF:BG,17,FALSE)</f>
        <v>0</v>
      </c>
      <c r="T69" s="160">
        <f>VLOOKUP(C69,'Talente &amp; Stuff'!AF:BG,18,FALSE)</f>
        <v>0</v>
      </c>
      <c r="U69" s="89">
        <f>VLOOKUP(C69,'Talente &amp; Stuff'!AF:BG,19,FALSE)</f>
        <v>0</v>
      </c>
      <c r="V69" s="47">
        <f>VLOOKUP(C69,'Talente &amp; Stuff'!AF:BG,20,FALSE)</f>
        <v>0</v>
      </c>
      <c r="W69" s="127">
        <f>VLOOKUP(C69,'Talente &amp; Stuff'!AF:BG,21,FALSE)</f>
        <v>0</v>
      </c>
      <c r="X69" s="125">
        <f>VLOOKUP(C69,'Talente &amp; Stuff'!AF:BG,22,FALSE)</f>
        <v>0</v>
      </c>
      <c r="Y69" s="165">
        <f t="shared" si="8"/>
        <v>0</v>
      </c>
      <c r="Z69" s="44">
        <f t="shared" si="9"/>
        <v>0</v>
      </c>
      <c r="AA69" s="125">
        <f>VLOOKUP(C69,'Talente &amp; Stuff'!AF:BG,25,FALSE)</f>
        <v>0</v>
      </c>
      <c r="AB69" s="160">
        <f>VLOOKUP(C69,'Talente &amp; Stuff'!AF:BG,26,FALSE)</f>
        <v>0</v>
      </c>
      <c r="AC69" s="127">
        <f>VLOOKUP(C69,'Talente &amp; Stuff'!AF:BG,27,FALSE)</f>
        <v>0</v>
      </c>
      <c r="AD69" s="125">
        <f>VLOOKUP(C69,'Talente &amp; Stuff'!AF:BG,28,FALSE)</f>
        <v>0</v>
      </c>
      <c r="AE69" s="28"/>
    </row>
    <row r="70" spans="1:31" ht="15" hidden="1" customHeight="1" outlineLevel="2">
      <c r="B70" s="148">
        <v>14</v>
      </c>
      <c r="C70" s="177" t="str">
        <f>Attribute!C70</f>
        <v>---</v>
      </c>
      <c r="D70" s="127" t="str">
        <f>VLOOKUP(C70,'Talente &amp; Stuff'!AF:BG,2,FALSE)</f>
        <v>--/--/--</v>
      </c>
      <c r="E70" s="125" t="str">
        <f>VLOOKUP(C70,'Talente &amp; Stuff'!AF:BG,3,FALSE)</f>
        <v>-</v>
      </c>
      <c r="F70" s="114">
        <f>VLOOKUP(C70,'Talente &amp; Stuff'!AF:BG,4,FALSE)</f>
        <v>0</v>
      </c>
      <c r="G70" s="113">
        <f>VLOOKUP(C70,'Talente &amp; Stuff'!AF:BG,5,FALSE)</f>
        <v>0</v>
      </c>
      <c r="H70" s="113">
        <f>VLOOKUP(C70,'Talente &amp; Stuff'!AF:BG,6,FALSE)</f>
        <v>0</v>
      </c>
      <c r="I70" s="113">
        <f>VLOOKUP(C70,'Talente &amp; Stuff'!AF:BG,7,FALSE)</f>
        <v>0</v>
      </c>
      <c r="J70" s="113">
        <f>VLOOKUP(C70,'Talente &amp; Stuff'!AF:BG,8,FALSE)</f>
        <v>0</v>
      </c>
      <c r="K70" s="113">
        <f>VLOOKUP(C70,'Talente &amp; Stuff'!AF:BG,9,FALSE)</f>
        <v>0</v>
      </c>
      <c r="L70" s="113">
        <f>VLOOKUP(C70,'Talente &amp; Stuff'!AF:BG,10,FALSE)</f>
        <v>0</v>
      </c>
      <c r="M70" s="119">
        <f>VLOOKUP(C70,'Talente &amp; Stuff'!AF:BG,11,FALSE)</f>
        <v>0</v>
      </c>
      <c r="N70" s="89">
        <f>VLOOKUP(C70,'Talente &amp; Stuff'!AF:BG,12,FALSE)</f>
        <v>0</v>
      </c>
      <c r="O70" s="47">
        <f>VLOOKUP(C70,'Talente &amp; Stuff'!AF:BG,13,FALSE)</f>
        <v>0</v>
      </c>
      <c r="P70" s="119">
        <f>VLOOKUP(C70,'Talente &amp; Stuff'!AF:BG,14,FALSE)</f>
        <v>0</v>
      </c>
      <c r="Q70" s="114">
        <f>VLOOKUP(C70,'Talente &amp; Stuff'!AF:BG,15,FALSE)</f>
        <v>0</v>
      </c>
      <c r="R70" s="113">
        <f>VLOOKUP(C70,'Talente &amp; Stuff'!AF:BG,16,FALSE)</f>
        <v>0</v>
      </c>
      <c r="S70" s="119">
        <f>VLOOKUP(C70,'Talente &amp; Stuff'!AF:BG,17,FALSE)</f>
        <v>0</v>
      </c>
      <c r="T70" s="160">
        <f>VLOOKUP(C70,'Talente &amp; Stuff'!AF:BG,18,FALSE)</f>
        <v>0</v>
      </c>
      <c r="U70" s="89">
        <f>VLOOKUP(C70,'Talente &amp; Stuff'!AF:BG,19,FALSE)</f>
        <v>0</v>
      </c>
      <c r="V70" s="47">
        <f>VLOOKUP(C70,'Talente &amp; Stuff'!AF:BG,20,FALSE)</f>
        <v>0</v>
      </c>
      <c r="W70" s="127">
        <f>VLOOKUP(C70,'Talente &amp; Stuff'!AF:BG,21,FALSE)</f>
        <v>0</v>
      </c>
      <c r="X70" s="125">
        <f>VLOOKUP(C70,'Talente &amp; Stuff'!AF:BG,22,FALSE)</f>
        <v>0</v>
      </c>
      <c r="Y70" s="165">
        <f t="shared" si="8"/>
        <v>0</v>
      </c>
      <c r="Z70" s="44">
        <f t="shared" si="9"/>
        <v>0</v>
      </c>
      <c r="AA70" s="125">
        <f>VLOOKUP(C70,'Talente &amp; Stuff'!AF:BG,25,FALSE)</f>
        <v>0</v>
      </c>
      <c r="AB70" s="160">
        <f>VLOOKUP(C70,'Talente &amp; Stuff'!AF:BG,26,FALSE)</f>
        <v>0</v>
      </c>
      <c r="AC70" s="127">
        <f>VLOOKUP(C70,'Talente &amp; Stuff'!AF:BG,27,FALSE)</f>
        <v>0</v>
      </c>
      <c r="AD70" s="125">
        <f>VLOOKUP(C70,'Talente &amp; Stuff'!AF:BG,28,FALSE)</f>
        <v>0</v>
      </c>
      <c r="AE70" s="28"/>
    </row>
    <row r="71" spans="1:31" ht="15" hidden="1" customHeight="1" outlineLevel="2">
      <c r="B71" s="148">
        <v>15</v>
      </c>
      <c r="C71" s="177" t="str">
        <f>Attribute!C71</f>
        <v>---</v>
      </c>
      <c r="D71" s="127" t="str">
        <f>VLOOKUP(C71,'Talente &amp; Stuff'!AF:BG,2,FALSE)</f>
        <v>--/--/--</v>
      </c>
      <c r="E71" s="125" t="str">
        <f>VLOOKUP(C71,'Talente &amp; Stuff'!AF:BG,3,FALSE)</f>
        <v>-</v>
      </c>
      <c r="F71" s="114">
        <f>VLOOKUP(C71,'Talente &amp; Stuff'!AF:BG,4,FALSE)</f>
        <v>0</v>
      </c>
      <c r="G71" s="113">
        <f>VLOOKUP(C71,'Talente &amp; Stuff'!AF:BG,5,FALSE)</f>
        <v>0</v>
      </c>
      <c r="H71" s="113">
        <f>VLOOKUP(C71,'Talente &amp; Stuff'!AF:BG,6,FALSE)</f>
        <v>0</v>
      </c>
      <c r="I71" s="113">
        <f>VLOOKUP(C71,'Talente &amp; Stuff'!AF:BG,7,FALSE)</f>
        <v>0</v>
      </c>
      <c r="J71" s="113">
        <f>VLOOKUP(C71,'Talente &amp; Stuff'!AF:BG,8,FALSE)</f>
        <v>0</v>
      </c>
      <c r="K71" s="113">
        <f>VLOOKUP(C71,'Talente &amp; Stuff'!AF:BG,9,FALSE)</f>
        <v>0</v>
      </c>
      <c r="L71" s="113">
        <f>VLOOKUP(C71,'Talente &amp; Stuff'!AF:BG,10,FALSE)</f>
        <v>0</v>
      </c>
      <c r="M71" s="119">
        <f>VLOOKUP(C71,'Talente &amp; Stuff'!AF:BG,11,FALSE)</f>
        <v>0</v>
      </c>
      <c r="N71" s="89">
        <f>VLOOKUP(C71,'Talente &amp; Stuff'!AF:BG,12,FALSE)</f>
        <v>0</v>
      </c>
      <c r="O71" s="47">
        <f>VLOOKUP(C71,'Talente &amp; Stuff'!AF:BG,13,FALSE)</f>
        <v>0</v>
      </c>
      <c r="P71" s="119">
        <f>VLOOKUP(C71,'Talente &amp; Stuff'!AF:BG,14,FALSE)</f>
        <v>0</v>
      </c>
      <c r="Q71" s="114">
        <f>VLOOKUP(C71,'Talente &amp; Stuff'!AF:BG,15,FALSE)</f>
        <v>0</v>
      </c>
      <c r="R71" s="113">
        <f>VLOOKUP(C71,'Talente &amp; Stuff'!AF:BG,16,FALSE)</f>
        <v>0</v>
      </c>
      <c r="S71" s="119">
        <f>VLOOKUP(C71,'Talente &amp; Stuff'!AF:BG,17,FALSE)</f>
        <v>0</v>
      </c>
      <c r="T71" s="160">
        <f>VLOOKUP(C71,'Talente &amp; Stuff'!AF:BG,18,FALSE)</f>
        <v>0</v>
      </c>
      <c r="U71" s="89">
        <f>VLOOKUP(C71,'Talente &amp; Stuff'!AF:BG,19,FALSE)</f>
        <v>0</v>
      </c>
      <c r="V71" s="47">
        <f>VLOOKUP(C71,'Talente &amp; Stuff'!AF:BG,20,FALSE)</f>
        <v>0</v>
      </c>
      <c r="W71" s="127">
        <f>VLOOKUP(C71,'Talente &amp; Stuff'!AF:BG,21,FALSE)</f>
        <v>0</v>
      </c>
      <c r="X71" s="125">
        <f>VLOOKUP(C71,'Talente &amp; Stuff'!AF:BG,22,FALSE)</f>
        <v>0</v>
      </c>
      <c r="Y71" s="165">
        <f t="shared" si="8"/>
        <v>0</v>
      </c>
      <c r="Z71" s="44">
        <f t="shared" si="9"/>
        <v>0</v>
      </c>
      <c r="AA71" s="125">
        <f>VLOOKUP(C71,'Talente &amp; Stuff'!AF:BG,25,FALSE)</f>
        <v>0</v>
      </c>
      <c r="AB71" s="160">
        <f>VLOOKUP(C71,'Talente &amp; Stuff'!AF:BG,26,FALSE)</f>
        <v>0</v>
      </c>
      <c r="AC71" s="127">
        <f>VLOOKUP(C71,'Talente &amp; Stuff'!AF:BG,27,FALSE)</f>
        <v>0</v>
      </c>
      <c r="AD71" s="125">
        <f>VLOOKUP(C71,'Talente &amp; Stuff'!AF:BG,28,FALSE)</f>
        <v>0</v>
      </c>
      <c r="AE71" s="28"/>
    </row>
    <row r="72" spans="1:31" ht="15" hidden="1" customHeight="1" outlineLevel="2">
      <c r="B72" s="148">
        <v>16</v>
      </c>
      <c r="C72" s="177" t="str">
        <f>Attribute!C72</f>
        <v>---</v>
      </c>
      <c r="D72" s="127" t="str">
        <f>VLOOKUP(C72,'Talente &amp; Stuff'!AF:BG,2,FALSE)</f>
        <v>--/--/--</v>
      </c>
      <c r="E72" s="125" t="str">
        <f>VLOOKUP(C72,'Talente &amp; Stuff'!AF:BG,3,FALSE)</f>
        <v>-</v>
      </c>
      <c r="F72" s="114">
        <f>VLOOKUP(C72,'Talente &amp; Stuff'!AF:BG,4,FALSE)</f>
        <v>0</v>
      </c>
      <c r="G72" s="113">
        <f>VLOOKUP(C72,'Talente &amp; Stuff'!AF:BG,5,FALSE)</f>
        <v>0</v>
      </c>
      <c r="H72" s="113">
        <f>VLOOKUP(C72,'Talente &amp; Stuff'!AF:BG,6,FALSE)</f>
        <v>0</v>
      </c>
      <c r="I72" s="113">
        <f>VLOOKUP(C72,'Talente &amp; Stuff'!AF:BG,7,FALSE)</f>
        <v>0</v>
      </c>
      <c r="J72" s="113">
        <f>VLOOKUP(C72,'Talente &amp; Stuff'!AF:BG,8,FALSE)</f>
        <v>0</v>
      </c>
      <c r="K72" s="113">
        <f>VLOOKUP(C72,'Talente &amp; Stuff'!AF:BG,9,FALSE)</f>
        <v>0</v>
      </c>
      <c r="L72" s="113">
        <f>VLOOKUP(C72,'Talente &amp; Stuff'!AF:BG,10,FALSE)</f>
        <v>0</v>
      </c>
      <c r="M72" s="119">
        <f>VLOOKUP(C72,'Talente &amp; Stuff'!AF:BG,11,FALSE)</f>
        <v>0</v>
      </c>
      <c r="N72" s="89">
        <f>VLOOKUP(C72,'Talente &amp; Stuff'!AF:BG,12,FALSE)</f>
        <v>0</v>
      </c>
      <c r="O72" s="47">
        <f>VLOOKUP(C72,'Talente &amp; Stuff'!AF:BG,13,FALSE)</f>
        <v>0</v>
      </c>
      <c r="P72" s="119">
        <f>VLOOKUP(C72,'Talente &amp; Stuff'!AF:BG,14,FALSE)</f>
        <v>0</v>
      </c>
      <c r="Q72" s="114">
        <f>VLOOKUP(C72,'Talente &amp; Stuff'!AF:BG,15,FALSE)</f>
        <v>0</v>
      </c>
      <c r="R72" s="113">
        <f>VLOOKUP(C72,'Talente &amp; Stuff'!AF:BG,16,FALSE)</f>
        <v>0</v>
      </c>
      <c r="S72" s="119">
        <f>VLOOKUP(C72,'Talente &amp; Stuff'!AF:BG,17,FALSE)</f>
        <v>0</v>
      </c>
      <c r="T72" s="160">
        <f>VLOOKUP(C72,'Talente &amp; Stuff'!AF:BG,18,FALSE)</f>
        <v>0</v>
      </c>
      <c r="U72" s="89">
        <f>VLOOKUP(C72,'Talente &amp; Stuff'!AF:BG,19,FALSE)</f>
        <v>0</v>
      </c>
      <c r="V72" s="47">
        <f>VLOOKUP(C72,'Talente &amp; Stuff'!AF:BG,20,FALSE)</f>
        <v>0</v>
      </c>
      <c r="W72" s="127">
        <f>VLOOKUP(C72,'Talente &amp; Stuff'!AF:BG,21,FALSE)</f>
        <v>0</v>
      </c>
      <c r="X72" s="125">
        <f>VLOOKUP(C72,'Talente &amp; Stuff'!AF:BG,22,FALSE)</f>
        <v>0</v>
      </c>
      <c r="Y72" s="165">
        <f t="shared" si="8"/>
        <v>0</v>
      </c>
      <c r="Z72" s="44">
        <f t="shared" si="9"/>
        <v>0</v>
      </c>
      <c r="AA72" s="125">
        <f>VLOOKUP(C72,'Talente &amp; Stuff'!AF:BG,25,FALSE)</f>
        <v>0</v>
      </c>
      <c r="AB72" s="160">
        <f>VLOOKUP(C72,'Talente &amp; Stuff'!AF:BG,26,FALSE)</f>
        <v>0</v>
      </c>
      <c r="AC72" s="127">
        <f>VLOOKUP(C72,'Talente &amp; Stuff'!AF:BG,27,FALSE)</f>
        <v>0</v>
      </c>
      <c r="AD72" s="125">
        <f>VLOOKUP(C72,'Talente &amp; Stuff'!AF:BG,28,FALSE)</f>
        <v>0</v>
      </c>
      <c r="AE72" s="28"/>
    </row>
    <row r="73" spans="1:31" ht="15" hidden="1" customHeight="1" outlineLevel="2">
      <c r="B73" s="148">
        <v>17</v>
      </c>
      <c r="C73" s="178" t="str">
        <f>Attribute!C73</f>
        <v>---</v>
      </c>
      <c r="D73" s="128" t="str">
        <f>VLOOKUP(C73,'Talente &amp; Stuff'!AF:BG,2,FALSE)</f>
        <v>--/--/--</v>
      </c>
      <c r="E73" s="159" t="str">
        <f>VLOOKUP(C73,'Talente &amp; Stuff'!AF:BG,3,FALSE)</f>
        <v>-</v>
      </c>
      <c r="F73" s="115">
        <f>VLOOKUP(C73,'Talente &amp; Stuff'!AF:BG,4,FALSE)</f>
        <v>0</v>
      </c>
      <c r="G73" s="122">
        <f>VLOOKUP(C73,'Talente &amp; Stuff'!AF:BG,5,FALSE)</f>
        <v>0</v>
      </c>
      <c r="H73" s="122">
        <f>VLOOKUP(C73,'Talente &amp; Stuff'!AF:BG,6,FALSE)</f>
        <v>0</v>
      </c>
      <c r="I73" s="122">
        <f>VLOOKUP(C73,'Talente &amp; Stuff'!AF:BG,7,FALSE)</f>
        <v>0</v>
      </c>
      <c r="J73" s="122">
        <f>VLOOKUP(C73,'Talente &amp; Stuff'!AF:BG,8,FALSE)</f>
        <v>0</v>
      </c>
      <c r="K73" s="122">
        <f>VLOOKUP(C73,'Talente &amp; Stuff'!AF:BG,9,FALSE)</f>
        <v>0</v>
      </c>
      <c r="L73" s="122">
        <f>VLOOKUP(C73,'Talente &amp; Stuff'!AF:BG,10,FALSE)</f>
        <v>0</v>
      </c>
      <c r="M73" s="123">
        <f>VLOOKUP(C73,'Talente &amp; Stuff'!AF:BG,11,FALSE)</f>
        <v>0</v>
      </c>
      <c r="N73" s="90">
        <f>VLOOKUP(C73,'Talente &amp; Stuff'!AF:BG,12,FALSE)</f>
        <v>0</v>
      </c>
      <c r="O73" s="88">
        <f>VLOOKUP(C73,'Talente &amp; Stuff'!AF:BG,13,FALSE)</f>
        <v>0</v>
      </c>
      <c r="P73" s="123">
        <f>VLOOKUP(C73,'Talente &amp; Stuff'!AF:BG,14,FALSE)</f>
        <v>0</v>
      </c>
      <c r="Q73" s="115">
        <f>VLOOKUP(C73,'Talente &amp; Stuff'!AF:BG,15,FALSE)</f>
        <v>0</v>
      </c>
      <c r="R73" s="122">
        <f>VLOOKUP(C73,'Talente &amp; Stuff'!AF:BG,16,FALSE)</f>
        <v>0</v>
      </c>
      <c r="S73" s="123">
        <f>VLOOKUP(C73,'Talente &amp; Stuff'!AF:BG,17,FALSE)</f>
        <v>0</v>
      </c>
      <c r="T73" s="161">
        <f>VLOOKUP(C73,'Talente &amp; Stuff'!AF:BG,18,FALSE)</f>
        <v>0</v>
      </c>
      <c r="U73" s="90">
        <f>VLOOKUP(C73,'Talente &amp; Stuff'!AF:BG,19,FALSE)</f>
        <v>0</v>
      </c>
      <c r="V73" s="88">
        <f>VLOOKUP(C73,'Talente &amp; Stuff'!AF:BG,20,FALSE)</f>
        <v>0</v>
      </c>
      <c r="W73" s="128">
        <f>VLOOKUP(C73,'Talente &amp; Stuff'!AF:BG,21,FALSE)</f>
        <v>0</v>
      </c>
      <c r="X73" s="159">
        <f>VLOOKUP(C73,'Talente &amp; Stuff'!AF:BG,22,FALSE)</f>
        <v>0</v>
      </c>
      <c r="Y73" s="165">
        <f t="shared" si="8"/>
        <v>0</v>
      </c>
      <c r="Z73" s="44">
        <f t="shared" si="9"/>
        <v>0</v>
      </c>
      <c r="AA73" s="159">
        <f>VLOOKUP(C73,'Talente &amp; Stuff'!AF:BG,25,FALSE)</f>
        <v>0</v>
      </c>
      <c r="AB73" s="161">
        <f>VLOOKUP(C73,'Talente &amp; Stuff'!AF:BG,26,FALSE)</f>
        <v>0</v>
      </c>
      <c r="AC73" s="128">
        <f>VLOOKUP(C73,'Talente &amp; Stuff'!AF:BG,27,FALSE)</f>
        <v>0</v>
      </c>
      <c r="AD73" s="159">
        <f>VLOOKUP(C73,'Talente &amp; Stuff'!AF:BG,28,FALSE)</f>
        <v>0</v>
      </c>
      <c r="AE73" s="28"/>
    </row>
    <row r="74" spans="1:31" ht="15" hidden="1" customHeight="1" outlineLevel="1" collapsed="1">
      <c r="D74" s="148"/>
      <c r="E74" s="148"/>
      <c r="F74" s="148"/>
      <c r="G74" s="148"/>
      <c r="H74" s="148"/>
      <c r="I74" s="148"/>
      <c r="J74" s="148"/>
      <c r="K74" s="148"/>
      <c r="L74" s="148"/>
      <c r="M74" s="148"/>
      <c r="N74" s="148"/>
      <c r="O74" s="148"/>
      <c r="P74" s="148"/>
      <c r="Q74" s="148"/>
      <c r="R74" s="148"/>
      <c r="S74" s="148"/>
      <c r="T74" s="148"/>
      <c r="U74" s="148"/>
      <c r="V74" s="148"/>
      <c r="W74" s="148"/>
      <c r="X74" s="148"/>
      <c r="AA74" s="148"/>
      <c r="AB74" s="148"/>
      <c r="AC74" s="148"/>
      <c r="AD74" s="148"/>
      <c r="AE74" s="148"/>
    </row>
    <row r="75" spans="1:31" ht="15.75" collapsed="1" thickBot="1"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AA75" s="148"/>
      <c r="AB75" s="148"/>
      <c r="AC75" s="148"/>
      <c r="AD75" s="148"/>
      <c r="AE75" s="148"/>
    </row>
    <row r="76" spans="1:31" ht="15.75" thickBot="1">
      <c r="A76" s="135" t="s">
        <v>332</v>
      </c>
      <c r="D76" s="148"/>
      <c r="E76" s="148"/>
      <c r="F76" s="148"/>
      <c r="G76" s="148"/>
      <c r="H76" s="148"/>
      <c r="I76" s="148"/>
      <c r="J76" s="148"/>
      <c r="K76" s="148"/>
      <c r="L76" s="148"/>
      <c r="M76" s="148"/>
      <c r="N76" s="148"/>
      <c r="O76" s="148"/>
      <c r="P76" s="148"/>
      <c r="Q76" s="148"/>
      <c r="R76" s="148"/>
      <c r="S76" s="148"/>
      <c r="T76" s="148"/>
      <c r="U76" s="148"/>
      <c r="V76" s="148"/>
      <c r="W76" s="148"/>
      <c r="X76" s="148"/>
      <c r="AA76" s="148"/>
      <c r="AB76" s="148"/>
      <c r="AC76" s="148"/>
      <c r="AD76" s="148"/>
      <c r="AE76" s="148"/>
    </row>
    <row r="77" spans="1:31" ht="15" hidden="1" customHeight="1" outlineLevel="1">
      <c r="B77" s="134" t="s">
        <v>327</v>
      </c>
      <c r="C77" s="142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AA77" s="148"/>
      <c r="AB77" s="148"/>
      <c r="AC77" s="148"/>
      <c r="AD77" s="148"/>
      <c r="AE77" s="148"/>
    </row>
    <row r="78" spans="1:31" ht="15" hidden="1" customHeight="1" outlineLevel="2">
      <c r="B78" s="148">
        <v>1</v>
      </c>
      <c r="C78" s="176" t="str">
        <f>Attribute!C78</f>
        <v>---</v>
      </c>
      <c r="D78" s="158" t="str">
        <f>VLOOKUP(C78,'Talente &amp; Stuff'!AF:BG,2,FALSE)</f>
        <v>--/--/--</v>
      </c>
      <c r="E78" s="126" t="str">
        <f>VLOOKUP(C78,'Talente &amp; Stuff'!AF:BG,3,FALSE)</f>
        <v>-</v>
      </c>
      <c r="F78" s="191">
        <f>VLOOKUP(C78,'Talente &amp; Stuff'!AF:BG,4,FALSE)</f>
        <v>0</v>
      </c>
      <c r="G78" s="118">
        <f>VLOOKUP(C78,'Talente &amp; Stuff'!AF:BG,5,FALSE)</f>
        <v>0</v>
      </c>
      <c r="H78" s="118">
        <f>VLOOKUP(C78,'Talente &amp; Stuff'!AF:BG,6,FALSE)</f>
        <v>0</v>
      </c>
      <c r="I78" s="118">
        <f>VLOOKUP(C78,'Talente &amp; Stuff'!AF:BG,7,FALSE)</f>
        <v>0</v>
      </c>
      <c r="J78" s="118">
        <f>VLOOKUP(C78,'Talente &amp; Stuff'!AF:BG,8,FALSE)</f>
        <v>0</v>
      </c>
      <c r="K78" s="118">
        <f>VLOOKUP(C78,'Talente &amp; Stuff'!AF:BG,9,FALSE)</f>
        <v>0</v>
      </c>
      <c r="L78" s="118">
        <f>VLOOKUP(C78,'Talente &amp; Stuff'!AF:BG,10,FALSE)</f>
        <v>0</v>
      </c>
      <c r="M78" s="92">
        <f>VLOOKUP(C78,'Talente &amp; Stuff'!AF:BG,11,FALSE)</f>
        <v>0</v>
      </c>
      <c r="N78" s="116">
        <f>VLOOKUP(C78,'Talente &amp; Stuff'!AF:BG,12,FALSE)</f>
        <v>0</v>
      </c>
      <c r="O78" s="116">
        <f>VLOOKUP(C78,'Talente &amp; Stuff'!AF:BG,13,FALSE)</f>
        <v>0</v>
      </c>
      <c r="P78" s="92">
        <f>VLOOKUP(C78,'Talente &amp; Stuff'!AF:BG,14,FALSE)</f>
        <v>0</v>
      </c>
      <c r="Q78" s="191">
        <f>VLOOKUP(C78,'Talente &amp; Stuff'!AF:BG,15,FALSE)</f>
        <v>0</v>
      </c>
      <c r="R78" s="118">
        <f>VLOOKUP(C78,'Talente &amp; Stuff'!AF:BG,16,FALSE)</f>
        <v>0</v>
      </c>
      <c r="S78" s="92">
        <f>VLOOKUP(C78,'Talente &amp; Stuff'!AF:BG,17,FALSE)</f>
        <v>0</v>
      </c>
      <c r="T78" s="92">
        <f>VLOOKUP(C78,'Talente &amp; Stuff'!AF:BG,18,FALSE)</f>
        <v>0</v>
      </c>
      <c r="U78" s="193">
        <f>VLOOKUP(C78,'Talente &amp; Stuff'!AF:BG,19,FALSE)</f>
        <v>0</v>
      </c>
      <c r="V78" s="116">
        <f>VLOOKUP(C78,'Talente &amp; Stuff'!AF:BG,20,FALSE)</f>
        <v>0</v>
      </c>
      <c r="W78" s="126">
        <f>VLOOKUP(C78,'Talente &amp; Stuff'!AF:BG,21,FALSE)</f>
        <v>0</v>
      </c>
      <c r="X78" s="126">
        <f>VLOOKUP(C78,'Talente &amp; Stuff'!AF:BG,22,FALSE)</f>
        <v>0</v>
      </c>
      <c r="Y78" s="165">
        <f t="shared" ref="Y78:Y98" si="10">VLOOKUP(C78,Ausgewählte_Zauber_Allgemein,52,FALSE)</f>
        <v>0</v>
      </c>
      <c r="Z78" s="44">
        <f t="shared" ref="Z78:Z98" si="11">VLOOKUP(C78,Ausgewählte_Zauber_Allgemein,53,FALSE)</f>
        <v>0</v>
      </c>
      <c r="AA78" s="158">
        <f>VLOOKUP(C78,'Talente &amp; Stuff'!AF:BG,25,FALSE)</f>
        <v>0</v>
      </c>
      <c r="AB78" s="91">
        <f>VLOOKUP(C78,'Talente &amp; Stuff'!AF:BG,26,FALSE)</f>
        <v>0</v>
      </c>
      <c r="AC78" s="126">
        <f>VLOOKUP(C78,'Talente &amp; Stuff'!AF:BG,27,FALSE)</f>
        <v>0</v>
      </c>
      <c r="AD78" s="158">
        <f>VLOOKUP(C78,'Talente &amp; Stuff'!AF:BG,28,FALSE)</f>
        <v>0</v>
      </c>
      <c r="AE78" s="28"/>
    </row>
    <row r="79" spans="1:31" ht="15" hidden="1" customHeight="1" outlineLevel="2">
      <c r="B79" s="148">
        <v>2</v>
      </c>
      <c r="C79" s="177" t="str">
        <f>Attribute!C79</f>
        <v>---</v>
      </c>
      <c r="D79" s="125" t="str">
        <f>VLOOKUP(C79,'Talente &amp; Stuff'!AF:BG,2,FALSE)</f>
        <v>--/--/--</v>
      </c>
      <c r="E79" s="127" t="str">
        <f>VLOOKUP(C79,'Talente &amp; Stuff'!AF:BG,3,FALSE)</f>
        <v>-</v>
      </c>
      <c r="F79" s="114">
        <f>VLOOKUP(C79,'Talente &amp; Stuff'!AF:BG,4,FALSE)</f>
        <v>0</v>
      </c>
      <c r="G79" s="113">
        <f>VLOOKUP(C79,'Talente &amp; Stuff'!AF:BG,5,FALSE)</f>
        <v>0</v>
      </c>
      <c r="H79" s="113">
        <f>VLOOKUP(C79,'Talente &amp; Stuff'!AF:BG,6,FALSE)</f>
        <v>0</v>
      </c>
      <c r="I79" s="113">
        <f>VLOOKUP(C79,'Talente &amp; Stuff'!AF:BG,7,FALSE)</f>
        <v>0</v>
      </c>
      <c r="J79" s="113">
        <f>VLOOKUP(C79,'Talente &amp; Stuff'!AF:BG,8,FALSE)</f>
        <v>0</v>
      </c>
      <c r="K79" s="113">
        <f>VLOOKUP(C79,'Talente &amp; Stuff'!AF:BG,9,FALSE)</f>
        <v>0</v>
      </c>
      <c r="L79" s="113">
        <f>VLOOKUP(C79,'Talente &amp; Stuff'!AF:BG,10,FALSE)</f>
        <v>0</v>
      </c>
      <c r="M79" s="119">
        <f>VLOOKUP(C79,'Talente &amp; Stuff'!AF:BG,11,FALSE)</f>
        <v>0</v>
      </c>
      <c r="N79" s="89">
        <f>VLOOKUP(C79,'Talente &amp; Stuff'!AF:BG,12,FALSE)</f>
        <v>0</v>
      </c>
      <c r="O79" s="47">
        <f>VLOOKUP(C79,'Talente &amp; Stuff'!AF:BG,13,FALSE)</f>
        <v>0</v>
      </c>
      <c r="P79" s="119">
        <f>VLOOKUP(C79,'Talente &amp; Stuff'!AF:BG,14,FALSE)</f>
        <v>0</v>
      </c>
      <c r="Q79" s="114">
        <f>VLOOKUP(C79,'Talente &amp; Stuff'!AF:BG,15,FALSE)</f>
        <v>0</v>
      </c>
      <c r="R79" s="113">
        <f>VLOOKUP(C79,'Talente &amp; Stuff'!AF:BG,16,FALSE)</f>
        <v>0</v>
      </c>
      <c r="S79" s="119">
        <f>VLOOKUP(C79,'Talente &amp; Stuff'!AF:BG,17,FALSE)</f>
        <v>0</v>
      </c>
      <c r="T79" s="160">
        <f>VLOOKUP(C79,'Talente &amp; Stuff'!AF:BG,18,FALSE)</f>
        <v>0</v>
      </c>
      <c r="U79" s="89">
        <f>VLOOKUP(C79,'Talente &amp; Stuff'!AF:BG,19,FALSE)</f>
        <v>0</v>
      </c>
      <c r="V79" s="47">
        <f>VLOOKUP(C79,'Talente &amp; Stuff'!AF:BG,20,FALSE)</f>
        <v>0</v>
      </c>
      <c r="W79" s="127">
        <f>VLOOKUP(C79,'Talente &amp; Stuff'!AF:BG,21,FALSE)</f>
        <v>0</v>
      </c>
      <c r="X79" s="127">
        <f>VLOOKUP(C79,'Talente &amp; Stuff'!AF:BG,22,FALSE)</f>
        <v>0</v>
      </c>
      <c r="Y79" s="165">
        <f t="shared" si="10"/>
        <v>0</v>
      </c>
      <c r="Z79" s="44">
        <f t="shared" si="11"/>
        <v>0</v>
      </c>
      <c r="AA79" s="125">
        <f>VLOOKUP(C79,'Talente &amp; Stuff'!AF:BG,25,FALSE)</f>
        <v>0</v>
      </c>
      <c r="AB79" s="160">
        <f>VLOOKUP(C79,'Talente &amp; Stuff'!AF:BG,26,FALSE)</f>
        <v>0</v>
      </c>
      <c r="AC79" s="127">
        <f>VLOOKUP(C79,'Talente &amp; Stuff'!AF:BG,27,FALSE)</f>
        <v>0</v>
      </c>
      <c r="AD79" s="125">
        <f>VLOOKUP(C79,'Talente &amp; Stuff'!AF:BG,28,FALSE)</f>
        <v>0</v>
      </c>
      <c r="AE79" s="28"/>
    </row>
    <row r="80" spans="1:31" ht="15" hidden="1" customHeight="1" outlineLevel="2">
      <c r="B80" s="148">
        <v>3</v>
      </c>
      <c r="C80" s="177" t="str">
        <f>Attribute!C80</f>
        <v>---</v>
      </c>
      <c r="D80" s="125" t="str">
        <f>VLOOKUP(C80,'Talente &amp; Stuff'!AF:BG,2,FALSE)</f>
        <v>--/--/--</v>
      </c>
      <c r="E80" s="127" t="str">
        <f>VLOOKUP(C80,'Talente &amp; Stuff'!AF:BG,3,FALSE)</f>
        <v>-</v>
      </c>
      <c r="F80" s="114">
        <f>VLOOKUP(C80,'Talente &amp; Stuff'!AF:BG,4,FALSE)</f>
        <v>0</v>
      </c>
      <c r="G80" s="113">
        <f>VLOOKUP(C80,'Talente &amp; Stuff'!AF:BG,5,FALSE)</f>
        <v>0</v>
      </c>
      <c r="H80" s="113">
        <f>VLOOKUP(C80,'Talente &amp; Stuff'!AF:BG,6,FALSE)</f>
        <v>0</v>
      </c>
      <c r="I80" s="113">
        <f>VLOOKUP(C80,'Talente &amp; Stuff'!AF:BG,7,FALSE)</f>
        <v>0</v>
      </c>
      <c r="J80" s="113">
        <f>VLOOKUP(C80,'Talente &amp; Stuff'!AF:BG,8,FALSE)</f>
        <v>0</v>
      </c>
      <c r="K80" s="113">
        <f>VLOOKUP(C80,'Talente &amp; Stuff'!AF:BG,9,FALSE)</f>
        <v>0</v>
      </c>
      <c r="L80" s="113">
        <f>VLOOKUP(C80,'Talente &amp; Stuff'!AF:BG,10,FALSE)</f>
        <v>0</v>
      </c>
      <c r="M80" s="119">
        <f>VLOOKUP(C80,'Talente &amp; Stuff'!AF:BG,11,FALSE)</f>
        <v>0</v>
      </c>
      <c r="N80" s="89">
        <f>VLOOKUP(C80,'Talente &amp; Stuff'!AF:BG,12,FALSE)</f>
        <v>0</v>
      </c>
      <c r="O80" s="47">
        <f>VLOOKUP(C80,'Talente &amp; Stuff'!AF:BG,13,FALSE)</f>
        <v>0</v>
      </c>
      <c r="P80" s="119">
        <f>VLOOKUP(C80,'Talente &amp; Stuff'!AF:BG,14,FALSE)</f>
        <v>0</v>
      </c>
      <c r="Q80" s="114">
        <f>VLOOKUP(C80,'Talente &amp; Stuff'!AF:BG,15,FALSE)</f>
        <v>0</v>
      </c>
      <c r="R80" s="113">
        <f>VLOOKUP(C80,'Talente &amp; Stuff'!AF:BG,16,FALSE)</f>
        <v>0</v>
      </c>
      <c r="S80" s="119">
        <f>VLOOKUP(C80,'Talente &amp; Stuff'!AF:BG,17,FALSE)</f>
        <v>0</v>
      </c>
      <c r="T80" s="160">
        <f>VLOOKUP(C80,'Talente &amp; Stuff'!AF:BG,18,FALSE)</f>
        <v>0</v>
      </c>
      <c r="U80" s="89">
        <f>VLOOKUP(C80,'Talente &amp; Stuff'!AF:BG,19,FALSE)</f>
        <v>0</v>
      </c>
      <c r="V80" s="47">
        <f>VLOOKUP(C80,'Talente &amp; Stuff'!AF:BG,20,FALSE)</f>
        <v>0</v>
      </c>
      <c r="W80" s="127">
        <f>VLOOKUP(C80,'Talente &amp; Stuff'!AF:BG,21,FALSE)</f>
        <v>0</v>
      </c>
      <c r="X80" s="127">
        <f>VLOOKUP(C80,'Talente &amp; Stuff'!AF:BG,22,FALSE)</f>
        <v>0</v>
      </c>
      <c r="Y80" s="165">
        <f t="shared" si="10"/>
        <v>0</v>
      </c>
      <c r="Z80" s="44">
        <f t="shared" si="11"/>
        <v>0</v>
      </c>
      <c r="AA80" s="125">
        <f>VLOOKUP(C80,'Talente &amp; Stuff'!AF:BG,25,FALSE)</f>
        <v>0</v>
      </c>
      <c r="AB80" s="160">
        <f>VLOOKUP(C80,'Talente &amp; Stuff'!AF:BG,26,FALSE)</f>
        <v>0</v>
      </c>
      <c r="AC80" s="127">
        <f>VLOOKUP(C80,'Talente &amp; Stuff'!AF:BG,27,FALSE)</f>
        <v>0</v>
      </c>
      <c r="AD80" s="125">
        <f>VLOOKUP(C80,'Talente &amp; Stuff'!AF:BG,28,FALSE)</f>
        <v>0</v>
      </c>
      <c r="AE80" s="28"/>
    </row>
    <row r="81" spans="2:31" ht="15" hidden="1" customHeight="1" outlineLevel="2">
      <c r="B81" s="148">
        <v>4</v>
      </c>
      <c r="C81" s="177" t="str">
        <f>Attribute!C81</f>
        <v>---</v>
      </c>
      <c r="D81" s="125" t="str">
        <f>VLOOKUP(C81,'Talente &amp; Stuff'!AF:BG,2,FALSE)</f>
        <v>--/--/--</v>
      </c>
      <c r="E81" s="127" t="str">
        <f>VLOOKUP(C81,'Talente &amp; Stuff'!AF:BG,3,FALSE)</f>
        <v>-</v>
      </c>
      <c r="F81" s="114">
        <f>VLOOKUP(C81,'Talente &amp; Stuff'!AF:BG,4,FALSE)</f>
        <v>0</v>
      </c>
      <c r="G81" s="113">
        <f>VLOOKUP(C81,'Talente &amp; Stuff'!AF:BG,5,FALSE)</f>
        <v>0</v>
      </c>
      <c r="H81" s="113">
        <f>VLOOKUP(C81,'Talente &amp; Stuff'!AF:BG,6,FALSE)</f>
        <v>0</v>
      </c>
      <c r="I81" s="113">
        <f>VLOOKUP(C81,'Talente &amp; Stuff'!AF:BG,7,FALSE)</f>
        <v>0</v>
      </c>
      <c r="J81" s="113">
        <f>VLOOKUP(C81,'Talente &amp; Stuff'!AF:BG,8,FALSE)</f>
        <v>0</v>
      </c>
      <c r="K81" s="113">
        <f>VLOOKUP(C81,'Talente &amp; Stuff'!AF:BG,9,FALSE)</f>
        <v>0</v>
      </c>
      <c r="L81" s="113">
        <f>VLOOKUP(C81,'Talente &amp; Stuff'!AF:BG,10,FALSE)</f>
        <v>0</v>
      </c>
      <c r="M81" s="119">
        <f>VLOOKUP(C81,'Talente &amp; Stuff'!AF:BG,11,FALSE)</f>
        <v>0</v>
      </c>
      <c r="N81" s="89">
        <f>VLOOKUP(C81,'Talente &amp; Stuff'!AF:BG,12,FALSE)</f>
        <v>0</v>
      </c>
      <c r="O81" s="47">
        <f>VLOOKUP(C81,'Talente &amp; Stuff'!AF:BG,13,FALSE)</f>
        <v>0</v>
      </c>
      <c r="P81" s="119">
        <f>VLOOKUP(C81,'Talente &amp; Stuff'!AF:BG,14,FALSE)</f>
        <v>0</v>
      </c>
      <c r="Q81" s="114">
        <f>VLOOKUP(C81,'Talente &amp; Stuff'!AF:BG,15,FALSE)</f>
        <v>0</v>
      </c>
      <c r="R81" s="113">
        <f>VLOOKUP(C81,'Talente &amp; Stuff'!AF:BG,16,FALSE)</f>
        <v>0</v>
      </c>
      <c r="S81" s="119">
        <f>VLOOKUP(C81,'Talente &amp; Stuff'!AF:BG,17,FALSE)</f>
        <v>0</v>
      </c>
      <c r="T81" s="160">
        <f>VLOOKUP(C81,'Talente &amp; Stuff'!AF:BG,18,FALSE)</f>
        <v>0</v>
      </c>
      <c r="U81" s="89">
        <f>VLOOKUP(C81,'Talente &amp; Stuff'!AF:BG,19,FALSE)</f>
        <v>0</v>
      </c>
      <c r="V81" s="47">
        <f>VLOOKUP(C81,'Talente &amp; Stuff'!AF:BG,20,FALSE)</f>
        <v>0</v>
      </c>
      <c r="W81" s="127">
        <f>VLOOKUP(C81,'Talente &amp; Stuff'!AF:BG,21,FALSE)</f>
        <v>0</v>
      </c>
      <c r="X81" s="127">
        <f>VLOOKUP(C81,'Talente &amp; Stuff'!AF:BG,22,FALSE)</f>
        <v>0</v>
      </c>
      <c r="Y81" s="165">
        <f t="shared" si="10"/>
        <v>0</v>
      </c>
      <c r="Z81" s="44">
        <f t="shared" si="11"/>
        <v>0</v>
      </c>
      <c r="AA81" s="125">
        <f>VLOOKUP(C81,'Talente &amp; Stuff'!AF:BG,25,FALSE)</f>
        <v>0</v>
      </c>
      <c r="AB81" s="160">
        <f>VLOOKUP(C81,'Talente &amp; Stuff'!AF:BG,26,FALSE)</f>
        <v>0</v>
      </c>
      <c r="AC81" s="127">
        <f>VLOOKUP(C81,'Talente &amp; Stuff'!AF:BG,27,FALSE)</f>
        <v>0</v>
      </c>
      <c r="AD81" s="125">
        <f>VLOOKUP(C81,'Talente &amp; Stuff'!AF:BG,28,FALSE)</f>
        <v>0</v>
      </c>
      <c r="AE81" s="28"/>
    </row>
    <row r="82" spans="2:31" ht="15" hidden="1" customHeight="1" outlineLevel="2">
      <c r="B82" s="148">
        <v>5</v>
      </c>
      <c r="C82" s="177" t="str">
        <f>Attribute!C82</f>
        <v>---</v>
      </c>
      <c r="D82" s="125" t="str">
        <f>VLOOKUP(C82,'Talente &amp; Stuff'!AF:BG,2,FALSE)</f>
        <v>--/--/--</v>
      </c>
      <c r="E82" s="127" t="str">
        <f>VLOOKUP(C82,'Talente &amp; Stuff'!AF:BG,3,FALSE)</f>
        <v>-</v>
      </c>
      <c r="F82" s="114">
        <f>VLOOKUP(C82,'Talente &amp; Stuff'!AF:BG,4,FALSE)</f>
        <v>0</v>
      </c>
      <c r="G82" s="113">
        <f>VLOOKUP(C82,'Talente &amp; Stuff'!AF:BG,5,FALSE)</f>
        <v>0</v>
      </c>
      <c r="H82" s="113">
        <f>VLOOKUP(C82,'Talente &amp; Stuff'!AF:BG,6,FALSE)</f>
        <v>0</v>
      </c>
      <c r="I82" s="113">
        <f>VLOOKUP(C82,'Talente &amp; Stuff'!AF:BG,7,FALSE)</f>
        <v>0</v>
      </c>
      <c r="J82" s="113">
        <f>VLOOKUP(C82,'Talente &amp; Stuff'!AF:BG,8,FALSE)</f>
        <v>0</v>
      </c>
      <c r="K82" s="113">
        <f>VLOOKUP(C82,'Talente &amp; Stuff'!AF:BG,9,FALSE)</f>
        <v>0</v>
      </c>
      <c r="L82" s="113">
        <f>VLOOKUP(C82,'Talente &amp; Stuff'!AF:BG,10,FALSE)</f>
        <v>0</v>
      </c>
      <c r="M82" s="119">
        <f>VLOOKUP(C82,'Talente &amp; Stuff'!AF:BG,11,FALSE)</f>
        <v>0</v>
      </c>
      <c r="N82" s="89">
        <f>VLOOKUP(C82,'Talente &amp; Stuff'!AF:BG,12,FALSE)</f>
        <v>0</v>
      </c>
      <c r="O82" s="47">
        <f>VLOOKUP(C82,'Talente &amp; Stuff'!AF:BG,13,FALSE)</f>
        <v>0</v>
      </c>
      <c r="P82" s="119">
        <f>VLOOKUP(C82,'Talente &amp; Stuff'!AF:BG,14,FALSE)</f>
        <v>0</v>
      </c>
      <c r="Q82" s="114">
        <f>VLOOKUP(C82,'Talente &amp; Stuff'!AF:BG,15,FALSE)</f>
        <v>0</v>
      </c>
      <c r="R82" s="113">
        <f>VLOOKUP(C82,'Talente &amp; Stuff'!AF:BG,16,FALSE)</f>
        <v>0</v>
      </c>
      <c r="S82" s="119">
        <f>VLOOKUP(C82,'Talente &amp; Stuff'!AF:BG,17,FALSE)</f>
        <v>0</v>
      </c>
      <c r="T82" s="160">
        <f>VLOOKUP(C82,'Talente &amp; Stuff'!AF:BG,18,FALSE)</f>
        <v>0</v>
      </c>
      <c r="U82" s="89">
        <f>VLOOKUP(C82,'Talente &amp; Stuff'!AF:BG,19,FALSE)</f>
        <v>0</v>
      </c>
      <c r="V82" s="47">
        <f>VLOOKUP(C82,'Talente &amp; Stuff'!AF:BG,20,FALSE)</f>
        <v>0</v>
      </c>
      <c r="W82" s="127">
        <f>VLOOKUP(C82,'Talente &amp; Stuff'!AF:BG,21,FALSE)</f>
        <v>0</v>
      </c>
      <c r="X82" s="127">
        <f>VLOOKUP(C82,'Talente &amp; Stuff'!AF:BG,22,FALSE)</f>
        <v>0</v>
      </c>
      <c r="Y82" s="165">
        <f t="shared" si="10"/>
        <v>0</v>
      </c>
      <c r="Z82" s="44">
        <f t="shared" si="11"/>
        <v>0</v>
      </c>
      <c r="AA82" s="125">
        <f>VLOOKUP(C82,'Talente &amp; Stuff'!AF:BG,25,FALSE)</f>
        <v>0</v>
      </c>
      <c r="AB82" s="160">
        <f>VLOOKUP(C82,'Talente &amp; Stuff'!AF:BG,26,FALSE)</f>
        <v>0</v>
      </c>
      <c r="AC82" s="127">
        <f>VLOOKUP(C82,'Talente &amp; Stuff'!AF:BG,27,FALSE)</f>
        <v>0</v>
      </c>
      <c r="AD82" s="125">
        <f>VLOOKUP(C82,'Talente &amp; Stuff'!AF:BG,28,FALSE)</f>
        <v>0</v>
      </c>
      <c r="AE82" s="28"/>
    </row>
    <row r="83" spans="2:31" s="148" customFormat="1" ht="15" hidden="1" customHeight="1" outlineLevel="2">
      <c r="B83" s="148">
        <v>6</v>
      </c>
      <c r="C83" s="177" t="str">
        <f>Attribute!C83</f>
        <v>---</v>
      </c>
      <c r="D83" s="125" t="str">
        <f>VLOOKUP(C83,'Talente &amp; Stuff'!AF:BG,2,FALSE)</f>
        <v>--/--/--</v>
      </c>
      <c r="E83" s="127" t="str">
        <f>VLOOKUP(C83,'Talente &amp; Stuff'!AF:BG,3,FALSE)</f>
        <v>-</v>
      </c>
      <c r="F83" s="114">
        <f>VLOOKUP(C83,'Talente &amp; Stuff'!AF:BG,4,FALSE)</f>
        <v>0</v>
      </c>
      <c r="G83" s="113">
        <f>VLOOKUP(C83,'Talente &amp; Stuff'!AF:BG,5,FALSE)</f>
        <v>0</v>
      </c>
      <c r="H83" s="113">
        <f>VLOOKUP(C83,'Talente &amp; Stuff'!AF:BG,6,FALSE)</f>
        <v>0</v>
      </c>
      <c r="I83" s="113">
        <f>VLOOKUP(C83,'Talente &amp; Stuff'!AF:BG,7,FALSE)</f>
        <v>0</v>
      </c>
      <c r="J83" s="113">
        <f>VLOOKUP(C83,'Talente &amp; Stuff'!AF:BG,8,FALSE)</f>
        <v>0</v>
      </c>
      <c r="K83" s="113">
        <f>VLOOKUP(C83,'Talente &amp; Stuff'!AF:BG,9,FALSE)</f>
        <v>0</v>
      </c>
      <c r="L83" s="113">
        <f>VLOOKUP(C83,'Talente &amp; Stuff'!AF:BG,10,FALSE)</f>
        <v>0</v>
      </c>
      <c r="M83" s="119">
        <f>VLOOKUP(C83,'Talente &amp; Stuff'!AF:BG,11,FALSE)</f>
        <v>0</v>
      </c>
      <c r="N83" s="89">
        <f>VLOOKUP(C83,'Talente &amp; Stuff'!AF:BG,12,FALSE)</f>
        <v>0</v>
      </c>
      <c r="O83" s="47">
        <f>VLOOKUP(C83,'Talente &amp; Stuff'!AF:BG,13,FALSE)</f>
        <v>0</v>
      </c>
      <c r="P83" s="119">
        <f>VLOOKUP(C83,'Talente &amp; Stuff'!AF:BG,14,FALSE)</f>
        <v>0</v>
      </c>
      <c r="Q83" s="114">
        <f>VLOOKUP(C83,'Talente &amp; Stuff'!AF:BG,15,FALSE)</f>
        <v>0</v>
      </c>
      <c r="R83" s="113">
        <f>VLOOKUP(C83,'Talente &amp; Stuff'!AF:BG,16,FALSE)</f>
        <v>0</v>
      </c>
      <c r="S83" s="119">
        <f>VLOOKUP(C83,'Talente &amp; Stuff'!AF:BG,17,FALSE)</f>
        <v>0</v>
      </c>
      <c r="T83" s="160">
        <f>VLOOKUP(C83,'Talente &amp; Stuff'!AF:BG,18,FALSE)</f>
        <v>0</v>
      </c>
      <c r="U83" s="89">
        <f>VLOOKUP(C83,'Talente &amp; Stuff'!AF:BG,19,FALSE)</f>
        <v>0</v>
      </c>
      <c r="V83" s="47">
        <f>VLOOKUP(C83,'Talente &amp; Stuff'!AF:BG,20,FALSE)</f>
        <v>0</v>
      </c>
      <c r="W83" s="127">
        <f>VLOOKUP(C83,'Talente &amp; Stuff'!AF:BG,21,FALSE)</f>
        <v>0</v>
      </c>
      <c r="X83" s="127">
        <f>VLOOKUP(C83,'Talente &amp; Stuff'!AF:BG,22,FALSE)</f>
        <v>0</v>
      </c>
      <c r="Y83" s="165">
        <f t="shared" si="10"/>
        <v>0</v>
      </c>
      <c r="Z83" s="44">
        <f t="shared" si="11"/>
        <v>0</v>
      </c>
      <c r="AA83" s="125">
        <f>VLOOKUP(C83,'Talente &amp; Stuff'!AF:BG,25,FALSE)</f>
        <v>0</v>
      </c>
      <c r="AB83" s="160">
        <f>VLOOKUP(C83,'Talente &amp; Stuff'!AF:BG,26,FALSE)</f>
        <v>0</v>
      </c>
      <c r="AC83" s="127">
        <f>VLOOKUP(C83,'Talente &amp; Stuff'!AF:BG,27,FALSE)</f>
        <v>0</v>
      </c>
      <c r="AD83" s="125">
        <f>VLOOKUP(C83,'Talente &amp; Stuff'!AF:BG,28,FALSE)</f>
        <v>0</v>
      </c>
      <c r="AE83" s="28"/>
    </row>
    <row r="84" spans="2:31" s="148" customFormat="1" ht="15" hidden="1" customHeight="1" outlineLevel="2">
      <c r="B84" s="148">
        <v>7</v>
      </c>
      <c r="C84" s="177" t="str">
        <f>Attribute!C84</f>
        <v>---</v>
      </c>
      <c r="D84" s="125" t="str">
        <f>VLOOKUP(C84,'Talente &amp; Stuff'!AF:BG,2,FALSE)</f>
        <v>--/--/--</v>
      </c>
      <c r="E84" s="127" t="str">
        <f>VLOOKUP(C84,'Talente &amp; Stuff'!AF:BG,3,FALSE)</f>
        <v>-</v>
      </c>
      <c r="F84" s="114">
        <f>VLOOKUP(C84,'Talente &amp; Stuff'!AF:BG,4,FALSE)</f>
        <v>0</v>
      </c>
      <c r="G84" s="113">
        <f>VLOOKUP(C84,'Talente &amp; Stuff'!AF:BG,5,FALSE)</f>
        <v>0</v>
      </c>
      <c r="H84" s="113">
        <f>VLOOKUP(C84,'Talente &amp; Stuff'!AF:BG,6,FALSE)</f>
        <v>0</v>
      </c>
      <c r="I84" s="113">
        <f>VLOOKUP(C84,'Talente &amp; Stuff'!AF:BG,7,FALSE)</f>
        <v>0</v>
      </c>
      <c r="J84" s="113">
        <f>VLOOKUP(C84,'Talente &amp; Stuff'!AF:BG,8,FALSE)</f>
        <v>0</v>
      </c>
      <c r="K84" s="113">
        <f>VLOOKUP(C84,'Talente &amp; Stuff'!AF:BG,9,FALSE)</f>
        <v>0</v>
      </c>
      <c r="L84" s="113">
        <f>VLOOKUP(C84,'Talente &amp; Stuff'!AF:BG,10,FALSE)</f>
        <v>0</v>
      </c>
      <c r="M84" s="119">
        <f>VLOOKUP(C84,'Talente &amp; Stuff'!AF:BG,11,FALSE)</f>
        <v>0</v>
      </c>
      <c r="N84" s="89">
        <f>VLOOKUP(C84,'Talente &amp; Stuff'!AF:BG,12,FALSE)</f>
        <v>0</v>
      </c>
      <c r="O84" s="47">
        <f>VLOOKUP(C84,'Talente &amp; Stuff'!AF:BG,13,FALSE)</f>
        <v>0</v>
      </c>
      <c r="P84" s="119">
        <f>VLOOKUP(C84,'Talente &amp; Stuff'!AF:BG,14,FALSE)</f>
        <v>0</v>
      </c>
      <c r="Q84" s="114">
        <f>VLOOKUP(C84,'Talente &amp; Stuff'!AF:BG,15,FALSE)</f>
        <v>0</v>
      </c>
      <c r="R84" s="113">
        <f>VLOOKUP(C84,'Talente &amp; Stuff'!AF:BG,16,FALSE)</f>
        <v>0</v>
      </c>
      <c r="S84" s="119">
        <f>VLOOKUP(C84,'Talente &amp; Stuff'!AF:BG,17,FALSE)</f>
        <v>0</v>
      </c>
      <c r="T84" s="160">
        <f>VLOOKUP(C84,'Talente &amp; Stuff'!AF:BG,18,FALSE)</f>
        <v>0</v>
      </c>
      <c r="U84" s="89">
        <f>VLOOKUP(C84,'Talente &amp; Stuff'!AF:BG,19,FALSE)</f>
        <v>0</v>
      </c>
      <c r="V84" s="47">
        <f>VLOOKUP(C84,'Talente &amp; Stuff'!AF:BG,20,FALSE)</f>
        <v>0</v>
      </c>
      <c r="W84" s="127">
        <f>VLOOKUP(C84,'Talente &amp; Stuff'!AF:BG,21,FALSE)</f>
        <v>0</v>
      </c>
      <c r="X84" s="127">
        <f>VLOOKUP(C84,'Talente &amp; Stuff'!AF:BG,22,FALSE)</f>
        <v>0</v>
      </c>
      <c r="Y84" s="165">
        <f t="shared" si="10"/>
        <v>0</v>
      </c>
      <c r="Z84" s="44">
        <f t="shared" si="11"/>
        <v>0</v>
      </c>
      <c r="AA84" s="125">
        <f>VLOOKUP(C84,'Talente &amp; Stuff'!AF:BG,25,FALSE)</f>
        <v>0</v>
      </c>
      <c r="AB84" s="160">
        <f>VLOOKUP(C84,'Talente &amp; Stuff'!AF:BG,26,FALSE)</f>
        <v>0</v>
      </c>
      <c r="AC84" s="127">
        <f>VLOOKUP(C84,'Talente &amp; Stuff'!AF:BG,27,FALSE)</f>
        <v>0</v>
      </c>
      <c r="AD84" s="125">
        <f>VLOOKUP(C84,'Talente &amp; Stuff'!AF:BG,28,FALSE)</f>
        <v>0</v>
      </c>
      <c r="AE84" s="28"/>
    </row>
    <row r="85" spans="2:31" s="148" customFormat="1" ht="15" hidden="1" customHeight="1" outlineLevel="2">
      <c r="B85" s="148">
        <v>8</v>
      </c>
      <c r="C85" s="177" t="str">
        <f>Attribute!C85</f>
        <v>---</v>
      </c>
      <c r="D85" s="125" t="str">
        <f>VLOOKUP(C85,'Talente &amp; Stuff'!AF:BG,2,FALSE)</f>
        <v>--/--/--</v>
      </c>
      <c r="E85" s="127" t="str">
        <f>VLOOKUP(C85,'Talente &amp; Stuff'!AF:BG,3,FALSE)</f>
        <v>-</v>
      </c>
      <c r="F85" s="114">
        <f>VLOOKUP(C85,'Talente &amp; Stuff'!AF:BG,4,FALSE)</f>
        <v>0</v>
      </c>
      <c r="G85" s="113">
        <f>VLOOKUP(C85,'Talente &amp; Stuff'!AF:BG,5,FALSE)</f>
        <v>0</v>
      </c>
      <c r="H85" s="113">
        <f>VLOOKUP(C85,'Talente &amp; Stuff'!AF:BG,6,FALSE)</f>
        <v>0</v>
      </c>
      <c r="I85" s="113">
        <f>VLOOKUP(C85,'Talente &amp; Stuff'!AF:BG,7,FALSE)</f>
        <v>0</v>
      </c>
      <c r="J85" s="113">
        <f>VLOOKUP(C85,'Talente &amp; Stuff'!AF:BG,8,FALSE)</f>
        <v>0</v>
      </c>
      <c r="K85" s="113">
        <f>VLOOKUP(C85,'Talente &amp; Stuff'!AF:BG,9,FALSE)</f>
        <v>0</v>
      </c>
      <c r="L85" s="113">
        <f>VLOOKUP(C85,'Talente &amp; Stuff'!AF:BG,10,FALSE)</f>
        <v>0</v>
      </c>
      <c r="M85" s="119">
        <f>VLOOKUP(C85,'Talente &amp; Stuff'!AF:BG,11,FALSE)</f>
        <v>0</v>
      </c>
      <c r="N85" s="89">
        <f>VLOOKUP(C85,'Talente &amp; Stuff'!AF:BG,12,FALSE)</f>
        <v>0</v>
      </c>
      <c r="O85" s="47">
        <f>VLOOKUP(C85,'Talente &amp; Stuff'!AF:BG,13,FALSE)</f>
        <v>0</v>
      </c>
      <c r="P85" s="119">
        <f>VLOOKUP(C85,'Talente &amp; Stuff'!AF:BG,14,FALSE)</f>
        <v>0</v>
      </c>
      <c r="Q85" s="114">
        <f>VLOOKUP(C85,'Talente &amp; Stuff'!AF:BG,15,FALSE)</f>
        <v>0</v>
      </c>
      <c r="R85" s="113">
        <f>VLOOKUP(C85,'Talente &amp; Stuff'!AF:BG,16,FALSE)</f>
        <v>0</v>
      </c>
      <c r="S85" s="119">
        <f>VLOOKUP(C85,'Talente &amp; Stuff'!AF:BG,17,FALSE)</f>
        <v>0</v>
      </c>
      <c r="T85" s="160">
        <f>VLOOKUP(C85,'Talente &amp; Stuff'!AF:BG,18,FALSE)</f>
        <v>0</v>
      </c>
      <c r="U85" s="89">
        <f>VLOOKUP(C85,'Talente &amp; Stuff'!AF:BG,19,FALSE)</f>
        <v>0</v>
      </c>
      <c r="V85" s="47">
        <f>VLOOKUP(C85,'Talente &amp; Stuff'!AF:BG,20,FALSE)</f>
        <v>0</v>
      </c>
      <c r="W85" s="127">
        <f>VLOOKUP(C85,'Talente &amp; Stuff'!AF:BG,21,FALSE)</f>
        <v>0</v>
      </c>
      <c r="X85" s="127">
        <f>VLOOKUP(C85,'Talente &amp; Stuff'!AF:BG,22,FALSE)</f>
        <v>0</v>
      </c>
      <c r="Y85" s="165">
        <f t="shared" si="10"/>
        <v>0</v>
      </c>
      <c r="Z85" s="44">
        <f t="shared" si="11"/>
        <v>0</v>
      </c>
      <c r="AA85" s="125">
        <f>VLOOKUP(C85,'Talente &amp; Stuff'!AF:BG,25,FALSE)</f>
        <v>0</v>
      </c>
      <c r="AB85" s="160">
        <f>VLOOKUP(C85,'Talente &amp; Stuff'!AF:BG,26,FALSE)</f>
        <v>0</v>
      </c>
      <c r="AC85" s="127">
        <f>VLOOKUP(C85,'Talente &amp; Stuff'!AF:BG,27,FALSE)</f>
        <v>0</v>
      </c>
      <c r="AD85" s="125">
        <f>VLOOKUP(C85,'Talente &amp; Stuff'!AF:BG,28,FALSE)</f>
        <v>0</v>
      </c>
      <c r="AE85" s="28"/>
    </row>
    <row r="86" spans="2:31" s="148" customFormat="1" ht="15" hidden="1" customHeight="1" outlineLevel="2">
      <c r="B86" s="148">
        <v>9</v>
      </c>
      <c r="C86" s="177" t="str">
        <f>Attribute!C86</f>
        <v>---</v>
      </c>
      <c r="D86" s="125" t="str">
        <f>VLOOKUP(C86,'Talente &amp; Stuff'!AF:BG,2,FALSE)</f>
        <v>--/--/--</v>
      </c>
      <c r="E86" s="127" t="str">
        <f>VLOOKUP(C86,'Talente &amp; Stuff'!AF:BG,3,FALSE)</f>
        <v>-</v>
      </c>
      <c r="F86" s="114">
        <f>VLOOKUP(C86,'Talente &amp; Stuff'!AF:BG,4,FALSE)</f>
        <v>0</v>
      </c>
      <c r="G86" s="113">
        <f>VLOOKUP(C86,'Talente &amp; Stuff'!AF:BG,5,FALSE)</f>
        <v>0</v>
      </c>
      <c r="H86" s="113">
        <f>VLOOKUP(C86,'Talente &amp; Stuff'!AF:BG,6,FALSE)</f>
        <v>0</v>
      </c>
      <c r="I86" s="113">
        <f>VLOOKUP(C86,'Talente &amp; Stuff'!AF:BG,7,FALSE)</f>
        <v>0</v>
      </c>
      <c r="J86" s="113">
        <f>VLOOKUP(C86,'Talente &amp; Stuff'!AF:BG,8,FALSE)</f>
        <v>0</v>
      </c>
      <c r="K86" s="113">
        <f>VLOOKUP(C86,'Talente &amp; Stuff'!AF:BG,9,FALSE)</f>
        <v>0</v>
      </c>
      <c r="L86" s="113">
        <f>VLOOKUP(C86,'Talente &amp; Stuff'!AF:BG,10,FALSE)</f>
        <v>0</v>
      </c>
      <c r="M86" s="119">
        <f>VLOOKUP(C86,'Talente &amp; Stuff'!AF:BG,11,FALSE)</f>
        <v>0</v>
      </c>
      <c r="N86" s="89">
        <f>VLOOKUP(C86,'Talente &amp; Stuff'!AF:BG,12,FALSE)</f>
        <v>0</v>
      </c>
      <c r="O86" s="47">
        <f>VLOOKUP(C86,'Talente &amp; Stuff'!AF:BG,13,FALSE)</f>
        <v>0</v>
      </c>
      <c r="P86" s="119">
        <f>VLOOKUP(C86,'Talente &amp; Stuff'!AF:BG,14,FALSE)</f>
        <v>0</v>
      </c>
      <c r="Q86" s="114">
        <f>VLOOKUP(C86,'Talente &amp; Stuff'!AF:BG,15,FALSE)</f>
        <v>0</v>
      </c>
      <c r="R86" s="113">
        <f>VLOOKUP(C86,'Talente &amp; Stuff'!AF:BG,16,FALSE)</f>
        <v>0</v>
      </c>
      <c r="S86" s="119">
        <f>VLOOKUP(C86,'Talente &amp; Stuff'!AF:BG,17,FALSE)</f>
        <v>0</v>
      </c>
      <c r="T86" s="160">
        <f>VLOOKUP(C86,'Talente &amp; Stuff'!AF:BG,18,FALSE)</f>
        <v>0</v>
      </c>
      <c r="U86" s="89">
        <f>VLOOKUP(C86,'Talente &amp; Stuff'!AF:BG,19,FALSE)</f>
        <v>0</v>
      </c>
      <c r="V86" s="47">
        <f>VLOOKUP(C86,'Talente &amp; Stuff'!AF:BG,20,FALSE)</f>
        <v>0</v>
      </c>
      <c r="W86" s="127">
        <f>VLOOKUP(C86,'Talente &amp; Stuff'!AF:BG,21,FALSE)</f>
        <v>0</v>
      </c>
      <c r="X86" s="127">
        <f>VLOOKUP(C86,'Talente &amp; Stuff'!AF:BG,22,FALSE)</f>
        <v>0</v>
      </c>
      <c r="Y86" s="165">
        <f t="shared" si="10"/>
        <v>0</v>
      </c>
      <c r="Z86" s="44">
        <f t="shared" si="11"/>
        <v>0</v>
      </c>
      <c r="AA86" s="125">
        <f>VLOOKUP(C86,'Talente &amp; Stuff'!AF:BG,25,FALSE)</f>
        <v>0</v>
      </c>
      <c r="AB86" s="160">
        <f>VLOOKUP(C86,'Talente &amp; Stuff'!AF:BG,26,FALSE)</f>
        <v>0</v>
      </c>
      <c r="AC86" s="127">
        <f>VLOOKUP(C86,'Talente &amp; Stuff'!AF:BG,27,FALSE)</f>
        <v>0</v>
      </c>
      <c r="AD86" s="125">
        <f>VLOOKUP(C86,'Talente &amp; Stuff'!AF:BG,28,FALSE)</f>
        <v>0</v>
      </c>
      <c r="AE86" s="28"/>
    </row>
    <row r="87" spans="2:31" s="148" customFormat="1" ht="15" hidden="1" customHeight="1" outlineLevel="2">
      <c r="B87" s="148">
        <v>10</v>
      </c>
      <c r="C87" s="177" t="str">
        <f>Attribute!C87</f>
        <v>---</v>
      </c>
      <c r="D87" s="125" t="str">
        <f>VLOOKUP(C87,'Talente &amp; Stuff'!AF:BG,2,FALSE)</f>
        <v>--/--/--</v>
      </c>
      <c r="E87" s="127" t="str">
        <f>VLOOKUP(C87,'Talente &amp; Stuff'!AF:BG,3,FALSE)</f>
        <v>-</v>
      </c>
      <c r="F87" s="114">
        <f>VLOOKUP(C87,'Talente &amp; Stuff'!AF:BG,4,FALSE)</f>
        <v>0</v>
      </c>
      <c r="G87" s="113">
        <f>VLOOKUP(C87,'Talente &amp; Stuff'!AF:BG,5,FALSE)</f>
        <v>0</v>
      </c>
      <c r="H87" s="113">
        <f>VLOOKUP(C87,'Talente &amp; Stuff'!AF:BG,6,FALSE)</f>
        <v>0</v>
      </c>
      <c r="I87" s="113">
        <f>VLOOKUP(C87,'Talente &amp; Stuff'!AF:BG,7,FALSE)</f>
        <v>0</v>
      </c>
      <c r="J87" s="113">
        <f>VLOOKUP(C87,'Talente &amp; Stuff'!AF:BG,8,FALSE)</f>
        <v>0</v>
      </c>
      <c r="K87" s="113">
        <f>VLOOKUP(C87,'Talente &amp; Stuff'!AF:BG,9,FALSE)</f>
        <v>0</v>
      </c>
      <c r="L87" s="113">
        <f>VLOOKUP(C87,'Talente &amp; Stuff'!AF:BG,10,FALSE)</f>
        <v>0</v>
      </c>
      <c r="M87" s="119">
        <f>VLOOKUP(C87,'Talente &amp; Stuff'!AF:BG,11,FALSE)</f>
        <v>0</v>
      </c>
      <c r="N87" s="89">
        <f>VLOOKUP(C87,'Talente &amp; Stuff'!AF:BG,12,FALSE)</f>
        <v>0</v>
      </c>
      <c r="O87" s="47">
        <f>VLOOKUP(C87,'Talente &amp; Stuff'!AF:BG,13,FALSE)</f>
        <v>0</v>
      </c>
      <c r="P87" s="119">
        <f>VLOOKUP(C87,'Talente &amp; Stuff'!AF:BG,14,FALSE)</f>
        <v>0</v>
      </c>
      <c r="Q87" s="114">
        <f>VLOOKUP(C87,'Talente &amp; Stuff'!AF:BG,15,FALSE)</f>
        <v>0</v>
      </c>
      <c r="R87" s="113">
        <f>VLOOKUP(C87,'Talente &amp; Stuff'!AF:BG,16,FALSE)</f>
        <v>0</v>
      </c>
      <c r="S87" s="119">
        <f>VLOOKUP(C87,'Talente &amp; Stuff'!AF:BG,17,FALSE)</f>
        <v>0</v>
      </c>
      <c r="T87" s="160">
        <f>VLOOKUP(C87,'Talente &amp; Stuff'!AF:BG,18,FALSE)</f>
        <v>0</v>
      </c>
      <c r="U87" s="89">
        <f>VLOOKUP(C87,'Talente &amp; Stuff'!AF:BG,19,FALSE)</f>
        <v>0</v>
      </c>
      <c r="V87" s="47">
        <f>VLOOKUP(C87,'Talente &amp; Stuff'!AF:BG,20,FALSE)</f>
        <v>0</v>
      </c>
      <c r="W87" s="127">
        <f>VLOOKUP(C87,'Talente &amp; Stuff'!AF:BG,21,FALSE)</f>
        <v>0</v>
      </c>
      <c r="X87" s="127">
        <f>VLOOKUP(C87,'Talente &amp; Stuff'!AF:BG,22,FALSE)</f>
        <v>0</v>
      </c>
      <c r="Y87" s="165">
        <f t="shared" si="10"/>
        <v>0</v>
      </c>
      <c r="Z87" s="44">
        <f t="shared" si="11"/>
        <v>0</v>
      </c>
      <c r="AA87" s="125">
        <f>VLOOKUP(C87,'Talente &amp; Stuff'!AF:BG,25,FALSE)</f>
        <v>0</v>
      </c>
      <c r="AB87" s="160">
        <f>VLOOKUP(C87,'Talente &amp; Stuff'!AF:BG,26,FALSE)</f>
        <v>0</v>
      </c>
      <c r="AC87" s="127">
        <f>VLOOKUP(C87,'Talente &amp; Stuff'!AF:BG,27,FALSE)</f>
        <v>0</v>
      </c>
      <c r="AD87" s="125">
        <f>VLOOKUP(C87,'Talente &amp; Stuff'!AF:BG,28,FALSE)</f>
        <v>0</v>
      </c>
      <c r="AE87" s="28"/>
    </row>
    <row r="88" spans="2:31" s="148" customFormat="1" ht="15" hidden="1" customHeight="1" outlineLevel="2">
      <c r="B88" s="148">
        <v>11</v>
      </c>
      <c r="C88" s="177" t="str">
        <f>Attribute!C88</f>
        <v>---</v>
      </c>
      <c r="D88" s="125" t="str">
        <f>VLOOKUP(C88,'Talente &amp; Stuff'!AF:BG,2,FALSE)</f>
        <v>--/--/--</v>
      </c>
      <c r="E88" s="127" t="str">
        <f>VLOOKUP(C88,'Talente &amp; Stuff'!AF:BG,3,FALSE)</f>
        <v>-</v>
      </c>
      <c r="F88" s="114">
        <f>VLOOKUP(C88,'Talente &amp; Stuff'!AF:BG,4,FALSE)</f>
        <v>0</v>
      </c>
      <c r="G88" s="113">
        <f>VLOOKUP(C88,'Talente &amp; Stuff'!AF:BG,5,FALSE)</f>
        <v>0</v>
      </c>
      <c r="H88" s="113">
        <f>VLOOKUP(C88,'Talente &amp; Stuff'!AF:BG,6,FALSE)</f>
        <v>0</v>
      </c>
      <c r="I88" s="113">
        <f>VLOOKUP(C88,'Talente &amp; Stuff'!AF:BG,7,FALSE)</f>
        <v>0</v>
      </c>
      <c r="J88" s="113">
        <f>VLOOKUP(C88,'Talente &amp; Stuff'!AF:BG,8,FALSE)</f>
        <v>0</v>
      </c>
      <c r="K88" s="113">
        <f>VLOOKUP(C88,'Talente &amp; Stuff'!AF:BG,9,FALSE)</f>
        <v>0</v>
      </c>
      <c r="L88" s="113">
        <f>VLOOKUP(C88,'Talente &amp; Stuff'!AF:BG,10,FALSE)</f>
        <v>0</v>
      </c>
      <c r="M88" s="119">
        <f>VLOOKUP(C88,'Talente &amp; Stuff'!AF:BG,11,FALSE)</f>
        <v>0</v>
      </c>
      <c r="N88" s="89">
        <f>VLOOKUP(C88,'Talente &amp; Stuff'!AF:BG,12,FALSE)</f>
        <v>0</v>
      </c>
      <c r="O88" s="47">
        <f>VLOOKUP(C88,'Talente &amp; Stuff'!AF:BG,13,FALSE)</f>
        <v>0</v>
      </c>
      <c r="P88" s="119">
        <f>VLOOKUP(C88,'Talente &amp; Stuff'!AF:BG,14,FALSE)</f>
        <v>0</v>
      </c>
      <c r="Q88" s="114">
        <f>VLOOKUP(C88,'Talente &amp; Stuff'!AF:BG,15,FALSE)</f>
        <v>0</v>
      </c>
      <c r="R88" s="113">
        <f>VLOOKUP(C88,'Talente &amp; Stuff'!AF:BG,16,FALSE)</f>
        <v>0</v>
      </c>
      <c r="S88" s="119">
        <f>VLOOKUP(C88,'Talente &amp; Stuff'!AF:BG,17,FALSE)</f>
        <v>0</v>
      </c>
      <c r="T88" s="160">
        <f>VLOOKUP(C88,'Talente &amp; Stuff'!AF:BG,18,FALSE)</f>
        <v>0</v>
      </c>
      <c r="U88" s="89">
        <f>VLOOKUP(C88,'Talente &amp; Stuff'!AF:BG,19,FALSE)</f>
        <v>0</v>
      </c>
      <c r="V88" s="47">
        <f>VLOOKUP(C88,'Talente &amp; Stuff'!AF:BG,20,FALSE)</f>
        <v>0</v>
      </c>
      <c r="W88" s="127">
        <f>VLOOKUP(C88,'Talente &amp; Stuff'!AF:BG,21,FALSE)</f>
        <v>0</v>
      </c>
      <c r="X88" s="127">
        <f>VLOOKUP(C88,'Talente &amp; Stuff'!AF:BG,22,FALSE)</f>
        <v>0</v>
      </c>
      <c r="Y88" s="165">
        <f t="shared" si="10"/>
        <v>0</v>
      </c>
      <c r="Z88" s="44">
        <f t="shared" si="11"/>
        <v>0</v>
      </c>
      <c r="AA88" s="125">
        <f>VLOOKUP(C88,'Talente &amp; Stuff'!AF:BG,25,FALSE)</f>
        <v>0</v>
      </c>
      <c r="AB88" s="160">
        <f>VLOOKUP(C88,'Talente &amp; Stuff'!AF:BG,26,FALSE)</f>
        <v>0</v>
      </c>
      <c r="AC88" s="127">
        <f>VLOOKUP(C88,'Talente &amp; Stuff'!AF:BG,27,FALSE)</f>
        <v>0</v>
      </c>
      <c r="AD88" s="125">
        <f>VLOOKUP(C88,'Talente &amp; Stuff'!AF:BG,28,FALSE)</f>
        <v>0</v>
      </c>
      <c r="AE88" s="28"/>
    </row>
    <row r="89" spans="2:31" ht="15" hidden="1" customHeight="1" outlineLevel="2">
      <c r="B89" s="148">
        <v>12</v>
      </c>
      <c r="C89" s="177" t="str">
        <f>Attribute!C89</f>
        <v>---</v>
      </c>
      <c r="D89" s="125" t="str">
        <f>VLOOKUP(C89,'Talente &amp; Stuff'!AF:BG,2,FALSE)</f>
        <v>--/--/--</v>
      </c>
      <c r="E89" s="127" t="str">
        <f>VLOOKUP(C89,'Talente &amp; Stuff'!AF:BG,3,FALSE)</f>
        <v>-</v>
      </c>
      <c r="F89" s="114">
        <f>VLOOKUP(C89,'Talente &amp; Stuff'!AF:BG,4,FALSE)</f>
        <v>0</v>
      </c>
      <c r="G89" s="113">
        <f>VLOOKUP(C89,'Talente &amp; Stuff'!AF:BG,5,FALSE)</f>
        <v>0</v>
      </c>
      <c r="H89" s="113">
        <f>VLOOKUP(C89,'Talente &amp; Stuff'!AF:BG,6,FALSE)</f>
        <v>0</v>
      </c>
      <c r="I89" s="113">
        <f>VLOOKUP(C89,'Talente &amp; Stuff'!AF:BG,7,FALSE)</f>
        <v>0</v>
      </c>
      <c r="J89" s="113">
        <f>VLOOKUP(C89,'Talente &amp; Stuff'!AF:BG,8,FALSE)</f>
        <v>0</v>
      </c>
      <c r="K89" s="113">
        <f>VLOOKUP(C89,'Talente &amp; Stuff'!AF:BG,9,FALSE)</f>
        <v>0</v>
      </c>
      <c r="L89" s="113">
        <f>VLOOKUP(C89,'Talente &amp; Stuff'!AF:BG,10,FALSE)</f>
        <v>0</v>
      </c>
      <c r="M89" s="119">
        <f>VLOOKUP(C89,'Talente &amp; Stuff'!AF:BG,11,FALSE)</f>
        <v>0</v>
      </c>
      <c r="N89" s="89">
        <f>VLOOKUP(C89,'Talente &amp; Stuff'!AF:BG,12,FALSE)</f>
        <v>0</v>
      </c>
      <c r="O89" s="47">
        <f>VLOOKUP(C89,'Talente &amp; Stuff'!AF:BG,13,FALSE)</f>
        <v>0</v>
      </c>
      <c r="P89" s="119">
        <f>VLOOKUP(C89,'Talente &amp; Stuff'!AF:BG,14,FALSE)</f>
        <v>0</v>
      </c>
      <c r="Q89" s="114">
        <f>VLOOKUP(C89,'Talente &amp; Stuff'!AF:BG,15,FALSE)</f>
        <v>0</v>
      </c>
      <c r="R89" s="113">
        <f>VLOOKUP(C89,'Talente &amp; Stuff'!AF:BG,16,FALSE)</f>
        <v>0</v>
      </c>
      <c r="S89" s="119">
        <f>VLOOKUP(C89,'Talente &amp; Stuff'!AF:BG,17,FALSE)</f>
        <v>0</v>
      </c>
      <c r="T89" s="160">
        <f>VLOOKUP(C89,'Talente &amp; Stuff'!AF:BG,18,FALSE)</f>
        <v>0</v>
      </c>
      <c r="U89" s="89">
        <f>VLOOKUP(C89,'Talente &amp; Stuff'!AF:BG,19,FALSE)</f>
        <v>0</v>
      </c>
      <c r="V89" s="47">
        <f>VLOOKUP(C89,'Talente &amp; Stuff'!AF:BG,20,FALSE)</f>
        <v>0</v>
      </c>
      <c r="W89" s="127">
        <f>VLOOKUP(C89,'Talente &amp; Stuff'!AF:BG,21,FALSE)</f>
        <v>0</v>
      </c>
      <c r="X89" s="127">
        <f>VLOOKUP(C89,'Talente &amp; Stuff'!AF:BG,22,FALSE)</f>
        <v>0</v>
      </c>
      <c r="Y89" s="165">
        <f t="shared" si="10"/>
        <v>0</v>
      </c>
      <c r="Z89" s="44">
        <f t="shared" si="11"/>
        <v>0</v>
      </c>
      <c r="AA89" s="125">
        <f>VLOOKUP(C89,'Talente &amp; Stuff'!AF:BG,25,FALSE)</f>
        <v>0</v>
      </c>
      <c r="AB89" s="160">
        <f>VLOOKUP(C89,'Talente &amp; Stuff'!AF:BG,26,FALSE)</f>
        <v>0</v>
      </c>
      <c r="AC89" s="127">
        <f>VLOOKUP(C89,'Talente &amp; Stuff'!AF:BG,27,FALSE)</f>
        <v>0</v>
      </c>
      <c r="AD89" s="125">
        <f>VLOOKUP(C89,'Talente &amp; Stuff'!AF:BG,28,FALSE)</f>
        <v>0</v>
      </c>
      <c r="AE89" s="28"/>
    </row>
    <row r="90" spans="2:31" ht="15" hidden="1" customHeight="1" outlineLevel="2">
      <c r="B90" s="148">
        <v>13</v>
      </c>
      <c r="C90" s="177" t="str">
        <f>Attribute!C90</f>
        <v>---</v>
      </c>
      <c r="D90" s="125" t="str">
        <f>VLOOKUP(C90,'Talente &amp; Stuff'!AF:BG,2,FALSE)</f>
        <v>--/--/--</v>
      </c>
      <c r="E90" s="127" t="str">
        <f>VLOOKUP(C90,'Talente &amp; Stuff'!AF:BG,3,FALSE)</f>
        <v>-</v>
      </c>
      <c r="F90" s="114">
        <f>VLOOKUP(C90,'Talente &amp; Stuff'!AF:BG,4,FALSE)</f>
        <v>0</v>
      </c>
      <c r="G90" s="113">
        <f>VLOOKUP(C90,'Talente &amp; Stuff'!AF:BG,5,FALSE)</f>
        <v>0</v>
      </c>
      <c r="H90" s="113">
        <f>VLOOKUP(C90,'Talente &amp; Stuff'!AF:BG,6,FALSE)</f>
        <v>0</v>
      </c>
      <c r="I90" s="113">
        <f>VLOOKUP(C90,'Talente &amp; Stuff'!AF:BG,7,FALSE)</f>
        <v>0</v>
      </c>
      <c r="J90" s="113">
        <f>VLOOKUP(C90,'Talente &amp; Stuff'!AF:BG,8,FALSE)</f>
        <v>0</v>
      </c>
      <c r="K90" s="113">
        <f>VLOOKUP(C90,'Talente &amp; Stuff'!AF:BG,9,FALSE)</f>
        <v>0</v>
      </c>
      <c r="L90" s="113">
        <f>VLOOKUP(C90,'Talente &amp; Stuff'!AF:BG,10,FALSE)</f>
        <v>0</v>
      </c>
      <c r="M90" s="119">
        <f>VLOOKUP(C90,'Talente &amp; Stuff'!AF:BG,11,FALSE)</f>
        <v>0</v>
      </c>
      <c r="N90" s="89">
        <f>VLOOKUP(C90,'Talente &amp; Stuff'!AF:BG,12,FALSE)</f>
        <v>0</v>
      </c>
      <c r="O90" s="47">
        <f>VLOOKUP(C90,'Talente &amp; Stuff'!AF:BG,13,FALSE)</f>
        <v>0</v>
      </c>
      <c r="P90" s="119">
        <f>VLOOKUP(C90,'Talente &amp; Stuff'!AF:BG,14,FALSE)</f>
        <v>0</v>
      </c>
      <c r="Q90" s="114">
        <f>VLOOKUP(C90,'Talente &amp; Stuff'!AF:BG,15,FALSE)</f>
        <v>0</v>
      </c>
      <c r="R90" s="113">
        <f>VLOOKUP(C90,'Talente &amp; Stuff'!AF:BG,16,FALSE)</f>
        <v>0</v>
      </c>
      <c r="S90" s="119">
        <f>VLOOKUP(C90,'Talente &amp; Stuff'!AF:BG,17,FALSE)</f>
        <v>0</v>
      </c>
      <c r="T90" s="160">
        <f>VLOOKUP(C90,'Talente &amp; Stuff'!AF:BG,18,FALSE)</f>
        <v>0</v>
      </c>
      <c r="U90" s="89">
        <f>VLOOKUP(C90,'Talente &amp; Stuff'!AF:BG,19,FALSE)</f>
        <v>0</v>
      </c>
      <c r="V90" s="47">
        <f>VLOOKUP(C90,'Talente &amp; Stuff'!AF:BG,20,FALSE)</f>
        <v>0</v>
      </c>
      <c r="W90" s="127">
        <f>VLOOKUP(C90,'Talente &amp; Stuff'!AF:BG,21,FALSE)</f>
        <v>0</v>
      </c>
      <c r="X90" s="127">
        <f>VLOOKUP(C90,'Talente &amp; Stuff'!AF:BG,22,FALSE)</f>
        <v>0</v>
      </c>
      <c r="Y90" s="165">
        <f t="shared" si="10"/>
        <v>0</v>
      </c>
      <c r="Z90" s="44">
        <f t="shared" si="11"/>
        <v>0</v>
      </c>
      <c r="AA90" s="125">
        <f>VLOOKUP(C90,'Talente &amp; Stuff'!AF:BG,25,FALSE)</f>
        <v>0</v>
      </c>
      <c r="AB90" s="160">
        <f>VLOOKUP(C90,'Talente &amp; Stuff'!AF:BG,26,FALSE)</f>
        <v>0</v>
      </c>
      <c r="AC90" s="127">
        <f>VLOOKUP(C90,'Talente &amp; Stuff'!AF:BG,27,FALSE)</f>
        <v>0</v>
      </c>
      <c r="AD90" s="125">
        <f>VLOOKUP(C90,'Talente &amp; Stuff'!AF:BG,28,FALSE)</f>
        <v>0</v>
      </c>
      <c r="AE90" s="28"/>
    </row>
    <row r="91" spans="2:31" ht="15" hidden="1" customHeight="1" outlineLevel="2">
      <c r="B91" s="148">
        <v>14</v>
      </c>
      <c r="C91" s="177" t="str">
        <f>Attribute!C91</f>
        <v>---</v>
      </c>
      <c r="D91" s="125" t="str">
        <f>VLOOKUP(C91,'Talente &amp; Stuff'!AF:BG,2,FALSE)</f>
        <v>--/--/--</v>
      </c>
      <c r="E91" s="127" t="str">
        <f>VLOOKUP(C91,'Talente &amp; Stuff'!AF:BG,3,FALSE)</f>
        <v>-</v>
      </c>
      <c r="F91" s="114">
        <f>VLOOKUP(C91,'Talente &amp; Stuff'!AF:BG,4,FALSE)</f>
        <v>0</v>
      </c>
      <c r="G91" s="113">
        <f>VLOOKUP(C91,'Talente &amp; Stuff'!AF:BG,5,FALSE)</f>
        <v>0</v>
      </c>
      <c r="H91" s="113">
        <f>VLOOKUP(C91,'Talente &amp; Stuff'!AF:BG,6,FALSE)</f>
        <v>0</v>
      </c>
      <c r="I91" s="113">
        <f>VLOOKUP(C91,'Talente &amp; Stuff'!AF:BG,7,FALSE)</f>
        <v>0</v>
      </c>
      <c r="J91" s="113">
        <f>VLOOKUP(C91,'Talente &amp; Stuff'!AF:BG,8,FALSE)</f>
        <v>0</v>
      </c>
      <c r="K91" s="113">
        <f>VLOOKUP(C91,'Talente &amp; Stuff'!AF:BG,9,FALSE)</f>
        <v>0</v>
      </c>
      <c r="L91" s="113">
        <f>VLOOKUP(C91,'Talente &amp; Stuff'!AF:BG,10,FALSE)</f>
        <v>0</v>
      </c>
      <c r="M91" s="119">
        <f>VLOOKUP(C91,'Talente &amp; Stuff'!AF:BG,11,FALSE)</f>
        <v>0</v>
      </c>
      <c r="N91" s="89">
        <f>VLOOKUP(C91,'Talente &amp; Stuff'!AF:BG,12,FALSE)</f>
        <v>0</v>
      </c>
      <c r="O91" s="47">
        <f>VLOOKUP(C91,'Talente &amp; Stuff'!AF:BG,13,FALSE)</f>
        <v>0</v>
      </c>
      <c r="P91" s="119">
        <f>VLOOKUP(C91,'Talente &amp; Stuff'!AF:BG,14,FALSE)</f>
        <v>0</v>
      </c>
      <c r="Q91" s="114">
        <f>VLOOKUP(C91,'Talente &amp; Stuff'!AF:BG,15,FALSE)</f>
        <v>0</v>
      </c>
      <c r="R91" s="113">
        <f>VLOOKUP(C91,'Talente &amp; Stuff'!AF:BG,16,FALSE)</f>
        <v>0</v>
      </c>
      <c r="S91" s="119">
        <f>VLOOKUP(C91,'Talente &amp; Stuff'!AF:BG,17,FALSE)</f>
        <v>0</v>
      </c>
      <c r="T91" s="160">
        <f>VLOOKUP(C91,'Talente &amp; Stuff'!AF:BG,18,FALSE)</f>
        <v>0</v>
      </c>
      <c r="U91" s="89">
        <f>VLOOKUP(C91,'Talente &amp; Stuff'!AF:BG,19,FALSE)</f>
        <v>0</v>
      </c>
      <c r="V91" s="47">
        <f>VLOOKUP(C91,'Talente &amp; Stuff'!AF:BG,20,FALSE)</f>
        <v>0</v>
      </c>
      <c r="W91" s="127">
        <f>VLOOKUP(C91,'Talente &amp; Stuff'!AF:BG,21,FALSE)</f>
        <v>0</v>
      </c>
      <c r="X91" s="127">
        <f>VLOOKUP(C91,'Talente &amp; Stuff'!AF:BG,22,FALSE)</f>
        <v>0</v>
      </c>
      <c r="Y91" s="165">
        <f t="shared" si="10"/>
        <v>0</v>
      </c>
      <c r="Z91" s="44">
        <f t="shared" si="11"/>
        <v>0</v>
      </c>
      <c r="AA91" s="125">
        <f>VLOOKUP(C91,'Talente &amp; Stuff'!AF:BG,25,FALSE)</f>
        <v>0</v>
      </c>
      <c r="AB91" s="160">
        <f>VLOOKUP(C91,'Talente &amp; Stuff'!AF:BG,26,FALSE)</f>
        <v>0</v>
      </c>
      <c r="AC91" s="127">
        <f>VLOOKUP(C91,'Talente &amp; Stuff'!AF:BG,27,FALSE)</f>
        <v>0</v>
      </c>
      <c r="AD91" s="125">
        <f>VLOOKUP(C91,'Talente &amp; Stuff'!AF:BG,28,FALSE)</f>
        <v>0</v>
      </c>
      <c r="AE91" s="28"/>
    </row>
    <row r="92" spans="2:31" ht="15" hidden="1" customHeight="1" outlineLevel="2">
      <c r="B92" s="148">
        <v>15</v>
      </c>
      <c r="C92" s="177" t="str">
        <f>Attribute!C92</f>
        <v>---</v>
      </c>
      <c r="D92" s="86" t="str">
        <f>VLOOKUP(C92,'Talente &amp; Stuff'!AF:BG,2,FALSE)</f>
        <v>--/--/--</v>
      </c>
      <c r="E92" s="127" t="str">
        <f>VLOOKUP(C92,'Talente &amp; Stuff'!AF:BG,3,FALSE)</f>
        <v>-</v>
      </c>
      <c r="F92" s="114">
        <f>VLOOKUP(C92,'Talente &amp; Stuff'!AF:BG,4,FALSE)</f>
        <v>0</v>
      </c>
      <c r="G92" s="113">
        <f>VLOOKUP(C92,'Talente &amp; Stuff'!AF:BG,5,FALSE)</f>
        <v>0</v>
      </c>
      <c r="H92" s="113">
        <f>VLOOKUP(C92,'Talente &amp; Stuff'!AF:BG,6,FALSE)</f>
        <v>0</v>
      </c>
      <c r="I92" s="113">
        <f>VLOOKUP(C92,'Talente &amp; Stuff'!AF:BG,7,FALSE)</f>
        <v>0</v>
      </c>
      <c r="J92" s="113">
        <f>VLOOKUP(C92,'Talente &amp; Stuff'!AF:BG,8,FALSE)</f>
        <v>0</v>
      </c>
      <c r="K92" s="113">
        <f>VLOOKUP(C92,'Talente &amp; Stuff'!AF:BG,9,FALSE)</f>
        <v>0</v>
      </c>
      <c r="L92" s="113">
        <f>VLOOKUP(C92,'Talente &amp; Stuff'!AF:BG,10,FALSE)</f>
        <v>0</v>
      </c>
      <c r="M92" s="119">
        <f>VLOOKUP(C92,'Talente &amp; Stuff'!AF:BG,11,FALSE)</f>
        <v>0</v>
      </c>
      <c r="N92" s="89">
        <f>VLOOKUP(C92,'Talente &amp; Stuff'!AF:BG,12,FALSE)</f>
        <v>0</v>
      </c>
      <c r="O92" s="47">
        <f>VLOOKUP(C92,'Talente &amp; Stuff'!AF:BG,13,FALSE)</f>
        <v>0</v>
      </c>
      <c r="P92" s="119">
        <f>VLOOKUP(C92,'Talente &amp; Stuff'!AF:BG,14,FALSE)</f>
        <v>0</v>
      </c>
      <c r="Q92" s="114">
        <f>VLOOKUP(C92,'Talente &amp; Stuff'!AF:BG,15,FALSE)</f>
        <v>0</v>
      </c>
      <c r="R92" s="113">
        <f>VLOOKUP(C92,'Talente &amp; Stuff'!AF:BG,16,FALSE)</f>
        <v>0</v>
      </c>
      <c r="S92" s="119">
        <f>VLOOKUP(C92,'Talente &amp; Stuff'!AF:BG,17,FALSE)</f>
        <v>0</v>
      </c>
      <c r="T92" s="160">
        <f>VLOOKUP(C92,'Talente &amp; Stuff'!AF:BG,18,FALSE)</f>
        <v>0</v>
      </c>
      <c r="U92" s="89">
        <f>VLOOKUP(C92,'Talente &amp; Stuff'!AF:BG,19,FALSE)</f>
        <v>0</v>
      </c>
      <c r="V92" s="47">
        <f>VLOOKUP(C92,'Talente &amp; Stuff'!AF:BG,20,FALSE)</f>
        <v>0</v>
      </c>
      <c r="W92" s="127">
        <f>VLOOKUP(C92,'Talente &amp; Stuff'!AF:BG,21,FALSE)</f>
        <v>0</v>
      </c>
      <c r="X92" s="127">
        <f>VLOOKUP(C92,'Talente &amp; Stuff'!AF:BG,22,FALSE)</f>
        <v>0</v>
      </c>
      <c r="Y92" s="165">
        <f t="shared" si="10"/>
        <v>0</v>
      </c>
      <c r="Z92" s="44">
        <f t="shared" si="11"/>
        <v>0</v>
      </c>
      <c r="AA92" s="125">
        <f>VLOOKUP(C92,'Talente &amp; Stuff'!AF:BG,25,FALSE)</f>
        <v>0</v>
      </c>
      <c r="AB92" s="160">
        <f>VLOOKUP(C92,'Talente &amp; Stuff'!AF:BG,26,FALSE)</f>
        <v>0</v>
      </c>
      <c r="AC92" s="127">
        <f>VLOOKUP(C92,'Talente &amp; Stuff'!AF:BG,27,FALSE)</f>
        <v>0</v>
      </c>
      <c r="AD92" s="125">
        <f>VLOOKUP(C92,'Talente &amp; Stuff'!AF:BG,28,FALSE)</f>
        <v>0</v>
      </c>
      <c r="AE92" s="28"/>
    </row>
    <row r="93" spans="2:31" ht="15" hidden="1" customHeight="1" outlineLevel="2">
      <c r="B93" s="148">
        <v>16</v>
      </c>
      <c r="C93" s="177" t="str">
        <f>Attribute!C93</f>
        <v>---</v>
      </c>
      <c r="D93" s="125" t="str">
        <f>VLOOKUP(C93,'Talente &amp; Stuff'!AF:BG,2,FALSE)</f>
        <v>--/--/--</v>
      </c>
      <c r="E93" s="127" t="str">
        <f>VLOOKUP(C93,'Talente &amp; Stuff'!AF:BG,3,FALSE)</f>
        <v>-</v>
      </c>
      <c r="F93" s="114">
        <f>VLOOKUP(C93,'Talente &amp; Stuff'!AF:BG,4,FALSE)</f>
        <v>0</v>
      </c>
      <c r="G93" s="113">
        <f>VLOOKUP(C93,'Talente &amp; Stuff'!AF:BG,5,FALSE)</f>
        <v>0</v>
      </c>
      <c r="H93" s="113">
        <f>VLOOKUP(C93,'Talente &amp; Stuff'!AF:BG,6,FALSE)</f>
        <v>0</v>
      </c>
      <c r="I93" s="113">
        <f>VLOOKUP(C93,'Talente &amp; Stuff'!AF:BG,7,FALSE)</f>
        <v>0</v>
      </c>
      <c r="J93" s="113">
        <f>VLOOKUP(C93,'Talente &amp; Stuff'!AF:BG,8,FALSE)</f>
        <v>0</v>
      </c>
      <c r="K93" s="113">
        <f>VLOOKUP(C93,'Talente &amp; Stuff'!AF:BG,9,FALSE)</f>
        <v>0</v>
      </c>
      <c r="L93" s="113">
        <f>VLOOKUP(C93,'Talente &amp; Stuff'!AF:BG,10,FALSE)</f>
        <v>0</v>
      </c>
      <c r="M93" s="119">
        <f>VLOOKUP(C93,'Talente &amp; Stuff'!AF:BG,11,FALSE)</f>
        <v>0</v>
      </c>
      <c r="N93" s="89">
        <f>VLOOKUP(C93,'Talente &amp; Stuff'!AF:BG,12,FALSE)</f>
        <v>0</v>
      </c>
      <c r="O93" s="47">
        <f>VLOOKUP(C93,'Talente &amp; Stuff'!AF:BG,13,FALSE)</f>
        <v>0</v>
      </c>
      <c r="P93" s="119">
        <f>VLOOKUP(C93,'Talente &amp; Stuff'!AF:BG,14,FALSE)</f>
        <v>0</v>
      </c>
      <c r="Q93" s="114">
        <f>VLOOKUP(C93,'Talente &amp; Stuff'!AF:BG,15,FALSE)</f>
        <v>0</v>
      </c>
      <c r="R93" s="113">
        <f>VLOOKUP(C93,'Talente &amp; Stuff'!AF:BG,16,FALSE)</f>
        <v>0</v>
      </c>
      <c r="S93" s="119">
        <f>VLOOKUP(C93,'Talente &amp; Stuff'!AF:BG,17,FALSE)</f>
        <v>0</v>
      </c>
      <c r="T93" s="160">
        <f>VLOOKUP(C93,'Talente &amp; Stuff'!AF:BG,18,FALSE)</f>
        <v>0</v>
      </c>
      <c r="U93" s="89">
        <f>VLOOKUP(C93,'Talente &amp; Stuff'!AF:BG,19,FALSE)</f>
        <v>0</v>
      </c>
      <c r="V93" s="47">
        <f>VLOOKUP(C93,'Talente &amp; Stuff'!AF:BG,20,FALSE)</f>
        <v>0</v>
      </c>
      <c r="W93" s="127">
        <f>VLOOKUP(C93,'Talente &amp; Stuff'!AF:BG,21,FALSE)</f>
        <v>0</v>
      </c>
      <c r="X93" s="127">
        <f>VLOOKUP(C93,'Talente &amp; Stuff'!AF:BG,22,FALSE)</f>
        <v>0</v>
      </c>
      <c r="Y93" s="165">
        <f t="shared" si="10"/>
        <v>0</v>
      </c>
      <c r="Z93" s="44">
        <f t="shared" si="11"/>
        <v>0</v>
      </c>
      <c r="AA93" s="125">
        <f>VLOOKUP(C93,'Talente &amp; Stuff'!AF:BG,25,FALSE)</f>
        <v>0</v>
      </c>
      <c r="AB93" s="160">
        <f>VLOOKUP(C93,'Talente &amp; Stuff'!AF:BG,26,FALSE)</f>
        <v>0</v>
      </c>
      <c r="AC93" s="127">
        <f>VLOOKUP(C93,'Talente &amp; Stuff'!AF:BG,27,FALSE)</f>
        <v>0</v>
      </c>
      <c r="AD93" s="125">
        <f>VLOOKUP(C93,'Talente &amp; Stuff'!AF:BG,28,FALSE)</f>
        <v>0</v>
      </c>
      <c r="AE93" s="28"/>
    </row>
    <row r="94" spans="2:31" ht="15" hidden="1" customHeight="1" outlineLevel="2">
      <c r="B94" s="148">
        <v>17</v>
      </c>
      <c r="C94" s="177" t="str">
        <f>Attribute!C94</f>
        <v>---</v>
      </c>
      <c r="D94" s="125" t="str">
        <f>VLOOKUP(C94,'Talente &amp; Stuff'!AF:BG,2,FALSE)</f>
        <v>--/--/--</v>
      </c>
      <c r="E94" s="127" t="str">
        <f>VLOOKUP(C94,'Talente &amp; Stuff'!AF:BG,3,FALSE)</f>
        <v>-</v>
      </c>
      <c r="F94" s="114">
        <f>VLOOKUP(C94,'Talente &amp; Stuff'!AF:BG,4,FALSE)</f>
        <v>0</v>
      </c>
      <c r="G94" s="113">
        <f>VLOOKUP(C94,'Talente &amp; Stuff'!AF:BG,5,FALSE)</f>
        <v>0</v>
      </c>
      <c r="H94" s="113">
        <f>VLOOKUP(C94,'Talente &amp; Stuff'!AF:BG,6,FALSE)</f>
        <v>0</v>
      </c>
      <c r="I94" s="113">
        <f>VLOOKUP(C94,'Talente &amp; Stuff'!AF:BG,7,FALSE)</f>
        <v>0</v>
      </c>
      <c r="J94" s="113">
        <f>VLOOKUP(C94,'Talente &amp; Stuff'!AF:BG,8,FALSE)</f>
        <v>0</v>
      </c>
      <c r="K94" s="113">
        <f>VLOOKUP(C94,'Talente &amp; Stuff'!AF:BG,9,FALSE)</f>
        <v>0</v>
      </c>
      <c r="L94" s="113">
        <f>VLOOKUP(C94,'Talente &amp; Stuff'!AF:BG,10,FALSE)</f>
        <v>0</v>
      </c>
      <c r="M94" s="119">
        <f>VLOOKUP(C94,'Talente &amp; Stuff'!AF:BG,11,FALSE)</f>
        <v>0</v>
      </c>
      <c r="N94" s="89">
        <f>VLOOKUP(C94,'Talente &amp; Stuff'!AF:BG,12,FALSE)</f>
        <v>0</v>
      </c>
      <c r="O94" s="47">
        <f>VLOOKUP(C94,'Talente &amp; Stuff'!AF:BG,13,FALSE)</f>
        <v>0</v>
      </c>
      <c r="P94" s="119">
        <f>VLOOKUP(C94,'Talente &amp; Stuff'!AF:BG,14,FALSE)</f>
        <v>0</v>
      </c>
      <c r="Q94" s="114">
        <f>VLOOKUP(C94,'Talente &amp; Stuff'!AF:BG,15,FALSE)</f>
        <v>0</v>
      </c>
      <c r="R94" s="113">
        <f>VLOOKUP(C94,'Talente &amp; Stuff'!AF:BG,16,FALSE)</f>
        <v>0</v>
      </c>
      <c r="S94" s="119">
        <f>VLOOKUP(C94,'Talente &amp; Stuff'!AF:BG,17,FALSE)</f>
        <v>0</v>
      </c>
      <c r="T94" s="160">
        <f>VLOOKUP(C94,'Talente &amp; Stuff'!AF:BG,18,FALSE)</f>
        <v>0</v>
      </c>
      <c r="U94" s="89">
        <f>VLOOKUP(C94,'Talente &amp; Stuff'!AF:BG,19,FALSE)</f>
        <v>0</v>
      </c>
      <c r="V94" s="47">
        <f>VLOOKUP(C94,'Talente &amp; Stuff'!AF:BG,20,FALSE)</f>
        <v>0</v>
      </c>
      <c r="W94" s="127">
        <f>VLOOKUP(C94,'Talente &amp; Stuff'!AF:BG,21,FALSE)</f>
        <v>0</v>
      </c>
      <c r="X94" s="127">
        <f>VLOOKUP(C94,'Talente &amp; Stuff'!AF:BG,22,FALSE)</f>
        <v>0</v>
      </c>
      <c r="Y94" s="165">
        <f t="shared" si="10"/>
        <v>0</v>
      </c>
      <c r="Z94" s="44">
        <f t="shared" si="11"/>
        <v>0</v>
      </c>
      <c r="AA94" s="125">
        <f>VLOOKUP(C94,'Talente &amp; Stuff'!AF:BG,25,FALSE)</f>
        <v>0</v>
      </c>
      <c r="AB94" s="160">
        <f>VLOOKUP(C94,'Talente &amp; Stuff'!AF:BG,26,FALSE)</f>
        <v>0</v>
      </c>
      <c r="AC94" s="127">
        <f>VLOOKUP(C94,'Talente &amp; Stuff'!AF:BG,27,FALSE)</f>
        <v>0</v>
      </c>
      <c r="AD94" s="125">
        <f>VLOOKUP(C94,'Talente &amp; Stuff'!AF:BG,28,FALSE)</f>
        <v>0</v>
      </c>
      <c r="AE94" s="28"/>
    </row>
    <row r="95" spans="2:31" ht="15" hidden="1" customHeight="1" outlineLevel="2">
      <c r="B95" s="148">
        <v>18</v>
      </c>
      <c r="C95" s="177" t="str">
        <f>Attribute!C95</f>
        <v>---</v>
      </c>
      <c r="D95" s="125" t="str">
        <f>VLOOKUP(C95,'Talente &amp; Stuff'!AF:BG,2,FALSE)</f>
        <v>--/--/--</v>
      </c>
      <c r="E95" s="127" t="str">
        <f>VLOOKUP(C95,'Talente &amp; Stuff'!AF:BG,3,FALSE)</f>
        <v>-</v>
      </c>
      <c r="F95" s="114">
        <f>VLOOKUP(C95,'Talente &amp; Stuff'!AF:BG,4,FALSE)</f>
        <v>0</v>
      </c>
      <c r="G95" s="113">
        <f>VLOOKUP(C95,'Talente &amp; Stuff'!AF:BG,5,FALSE)</f>
        <v>0</v>
      </c>
      <c r="H95" s="113">
        <f>VLOOKUP(C95,'Talente &amp; Stuff'!AF:BG,6,FALSE)</f>
        <v>0</v>
      </c>
      <c r="I95" s="113">
        <f>VLOOKUP(C95,'Talente &amp; Stuff'!AF:BG,7,FALSE)</f>
        <v>0</v>
      </c>
      <c r="J95" s="113">
        <f>VLOOKUP(C95,'Talente &amp; Stuff'!AF:BG,8,FALSE)</f>
        <v>0</v>
      </c>
      <c r="K95" s="113">
        <f>VLOOKUP(C95,'Talente &amp; Stuff'!AF:BG,9,FALSE)</f>
        <v>0</v>
      </c>
      <c r="L95" s="113">
        <f>VLOOKUP(C95,'Talente &amp; Stuff'!AF:BG,10,FALSE)</f>
        <v>0</v>
      </c>
      <c r="M95" s="119">
        <f>VLOOKUP(C95,'Talente &amp; Stuff'!AF:BG,11,FALSE)</f>
        <v>0</v>
      </c>
      <c r="N95" s="89">
        <f>VLOOKUP(C95,'Talente &amp; Stuff'!AF:BG,12,FALSE)</f>
        <v>0</v>
      </c>
      <c r="O95" s="47">
        <f>VLOOKUP(C95,'Talente &amp; Stuff'!AF:BG,13,FALSE)</f>
        <v>0</v>
      </c>
      <c r="P95" s="119">
        <f>VLOOKUP(C95,'Talente &amp; Stuff'!AF:BG,14,FALSE)</f>
        <v>0</v>
      </c>
      <c r="Q95" s="114">
        <f>VLOOKUP(C95,'Talente &amp; Stuff'!AF:BG,15,FALSE)</f>
        <v>0</v>
      </c>
      <c r="R95" s="113">
        <f>VLOOKUP(C95,'Talente &amp; Stuff'!AF:BG,16,FALSE)</f>
        <v>0</v>
      </c>
      <c r="S95" s="119">
        <f>VLOOKUP(C95,'Talente &amp; Stuff'!AF:BG,17,FALSE)</f>
        <v>0</v>
      </c>
      <c r="T95" s="160">
        <f>VLOOKUP(C95,'Talente &amp; Stuff'!AF:BG,18,FALSE)</f>
        <v>0</v>
      </c>
      <c r="U95" s="89">
        <f>VLOOKUP(C95,'Talente &amp; Stuff'!AF:BG,19,FALSE)</f>
        <v>0</v>
      </c>
      <c r="V95" s="47">
        <f>VLOOKUP(C95,'Talente &amp; Stuff'!AF:BG,20,FALSE)</f>
        <v>0</v>
      </c>
      <c r="W95" s="127">
        <f>VLOOKUP(C95,'Talente &amp; Stuff'!AF:BG,21,FALSE)</f>
        <v>0</v>
      </c>
      <c r="X95" s="127">
        <f>VLOOKUP(C95,'Talente &amp; Stuff'!AF:BG,22,FALSE)</f>
        <v>0</v>
      </c>
      <c r="Y95" s="165">
        <f t="shared" si="10"/>
        <v>0</v>
      </c>
      <c r="Z95" s="44">
        <f t="shared" si="11"/>
        <v>0</v>
      </c>
      <c r="AA95" s="125">
        <f>VLOOKUP(C95,'Talente &amp; Stuff'!AF:BG,25,FALSE)</f>
        <v>0</v>
      </c>
      <c r="AB95" s="160">
        <f>VLOOKUP(C95,'Talente &amp; Stuff'!AF:BG,26,FALSE)</f>
        <v>0</v>
      </c>
      <c r="AC95" s="127">
        <f>VLOOKUP(C95,'Talente &amp; Stuff'!AF:BG,27,FALSE)</f>
        <v>0</v>
      </c>
      <c r="AD95" s="125">
        <f>VLOOKUP(C95,'Talente &amp; Stuff'!AF:BG,28,FALSE)</f>
        <v>0</v>
      </c>
      <c r="AE95" s="28"/>
    </row>
    <row r="96" spans="2:31" ht="15" hidden="1" customHeight="1" outlineLevel="2">
      <c r="B96" s="148">
        <v>19</v>
      </c>
      <c r="C96" s="177" t="str">
        <f>Attribute!C96</f>
        <v>---</v>
      </c>
      <c r="D96" s="125" t="str">
        <f>VLOOKUP(C96,'Talente &amp; Stuff'!AF:BG,2,FALSE)</f>
        <v>--/--/--</v>
      </c>
      <c r="E96" s="127" t="str">
        <f>VLOOKUP(C96,'Talente &amp; Stuff'!AF:BG,3,FALSE)</f>
        <v>-</v>
      </c>
      <c r="F96" s="114">
        <f>VLOOKUP(C96,'Talente &amp; Stuff'!AF:BG,4,FALSE)</f>
        <v>0</v>
      </c>
      <c r="G96" s="113">
        <f>VLOOKUP(C96,'Talente &amp; Stuff'!AF:BG,5,FALSE)</f>
        <v>0</v>
      </c>
      <c r="H96" s="113">
        <f>VLOOKUP(C96,'Talente &amp; Stuff'!AF:BG,6,FALSE)</f>
        <v>0</v>
      </c>
      <c r="I96" s="113">
        <f>VLOOKUP(C96,'Talente &amp; Stuff'!AF:BG,7,FALSE)</f>
        <v>0</v>
      </c>
      <c r="J96" s="113">
        <f>VLOOKUP(C96,'Talente &amp; Stuff'!AF:BG,8,FALSE)</f>
        <v>0</v>
      </c>
      <c r="K96" s="113">
        <f>VLOOKUP(C96,'Talente &amp; Stuff'!AF:BG,9,FALSE)</f>
        <v>0</v>
      </c>
      <c r="L96" s="113">
        <f>VLOOKUP(C96,'Talente &amp; Stuff'!AF:BG,10,FALSE)</f>
        <v>0</v>
      </c>
      <c r="M96" s="119">
        <f>VLOOKUP(C96,'Talente &amp; Stuff'!AF:BG,11,FALSE)</f>
        <v>0</v>
      </c>
      <c r="N96" s="89">
        <f>VLOOKUP(C96,'Talente &amp; Stuff'!AF:BG,12,FALSE)</f>
        <v>0</v>
      </c>
      <c r="O96" s="47">
        <f>VLOOKUP(C96,'Talente &amp; Stuff'!AF:BG,13,FALSE)</f>
        <v>0</v>
      </c>
      <c r="P96" s="119">
        <f>VLOOKUP(C96,'Talente &amp; Stuff'!AF:BG,14,FALSE)</f>
        <v>0</v>
      </c>
      <c r="Q96" s="114">
        <f>VLOOKUP(C96,'Talente &amp; Stuff'!AF:BG,15,FALSE)</f>
        <v>0</v>
      </c>
      <c r="R96" s="113">
        <f>VLOOKUP(C96,'Talente &amp; Stuff'!AF:BG,16,FALSE)</f>
        <v>0</v>
      </c>
      <c r="S96" s="119">
        <f>VLOOKUP(C96,'Talente &amp; Stuff'!AF:BG,17,FALSE)</f>
        <v>0</v>
      </c>
      <c r="T96" s="160">
        <f>VLOOKUP(C96,'Talente &amp; Stuff'!AF:BG,18,FALSE)</f>
        <v>0</v>
      </c>
      <c r="U96" s="89">
        <f>VLOOKUP(C96,'Talente &amp; Stuff'!AF:BG,19,FALSE)</f>
        <v>0</v>
      </c>
      <c r="V96" s="47">
        <f>VLOOKUP(C96,'Talente &amp; Stuff'!AF:BG,20,FALSE)</f>
        <v>0</v>
      </c>
      <c r="W96" s="127">
        <f>VLOOKUP(C96,'Talente &amp; Stuff'!AF:BG,21,FALSE)</f>
        <v>0</v>
      </c>
      <c r="X96" s="127">
        <f>VLOOKUP(C96,'Talente &amp; Stuff'!AF:BG,22,FALSE)</f>
        <v>0</v>
      </c>
      <c r="Y96" s="165">
        <f t="shared" si="10"/>
        <v>0</v>
      </c>
      <c r="Z96" s="44">
        <f t="shared" si="11"/>
        <v>0</v>
      </c>
      <c r="AA96" s="125">
        <f>VLOOKUP(C96,'Talente &amp; Stuff'!AF:BG,25,FALSE)</f>
        <v>0</v>
      </c>
      <c r="AB96" s="160">
        <f>VLOOKUP(C96,'Talente &amp; Stuff'!AF:BG,26,FALSE)</f>
        <v>0</v>
      </c>
      <c r="AC96" s="127">
        <f>VLOOKUP(C96,'Talente &amp; Stuff'!AF:BG,27,FALSE)</f>
        <v>0</v>
      </c>
      <c r="AD96" s="125">
        <f>VLOOKUP(C96,'Talente &amp; Stuff'!AF:BG,28,FALSE)</f>
        <v>0</v>
      </c>
      <c r="AE96" s="28"/>
    </row>
    <row r="97" spans="2:31" ht="15" hidden="1" customHeight="1" outlineLevel="2">
      <c r="B97" s="148">
        <v>20</v>
      </c>
      <c r="C97" s="177" t="str">
        <f>Attribute!C97</f>
        <v>---</v>
      </c>
      <c r="D97" s="125" t="str">
        <f>VLOOKUP(C97,'Talente &amp; Stuff'!AF:BG,2,FALSE)</f>
        <v>--/--/--</v>
      </c>
      <c r="E97" s="127" t="str">
        <f>VLOOKUP(C97,'Talente &amp; Stuff'!AF:BG,3,FALSE)</f>
        <v>-</v>
      </c>
      <c r="F97" s="114">
        <f>VLOOKUP(C97,'Talente &amp; Stuff'!AF:BG,4,FALSE)</f>
        <v>0</v>
      </c>
      <c r="G97" s="113">
        <f>VLOOKUP(C97,'Talente &amp; Stuff'!AF:BG,5,FALSE)</f>
        <v>0</v>
      </c>
      <c r="H97" s="113">
        <f>VLOOKUP(C97,'Talente &amp; Stuff'!AF:BG,6,FALSE)</f>
        <v>0</v>
      </c>
      <c r="I97" s="113">
        <f>VLOOKUP(C97,'Talente &amp; Stuff'!AF:BG,7,FALSE)</f>
        <v>0</v>
      </c>
      <c r="J97" s="113">
        <f>VLOOKUP(C97,'Talente &amp; Stuff'!AF:BG,8,FALSE)</f>
        <v>0</v>
      </c>
      <c r="K97" s="113">
        <f>VLOOKUP(C97,'Talente &amp; Stuff'!AF:BG,9,FALSE)</f>
        <v>0</v>
      </c>
      <c r="L97" s="113">
        <f>VLOOKUP(C97,'Talente &amp; Stuff'!AF:BG,10,FALSE)</f>
        <v>0</v>
      </c>
      <c r="M97" s="119">
        <f>VLOOKUP(C97,'Talente &amp; Stuff'!AF:BG,11,FALSE)</f>
        <v>0</v>
      </c>
      <c r="N97" s="89">
        <f>VLOOKUP(C97,'Talente &amp; Stuff'!AF:BG,12,FALSE)</f>
        <v>0</v>
      </c>
      <c r="O97" s="47">
        <f>VLOOKUP(C97,'Talente &amp; Stuff'!AF:BG,13,FALSE)</f>
        <v>0</v>
      </c>
      <c r="P97" s="119">
        <f>VLOOKUP(C97,'Talente &amp; Stuff'!AF:BG,14,FALSE)</f>
        <v>0</v>
      </c>
      <c r="Q97" s="114">
        <f>VLOOKUP(C97,'Talente &amp; Stuff'!AF:BG,15,FALSE)</f>
        <v>0</v>
      </c>
      <c r="R97" s="113">
        <f>VLOOKUP(C97,'Talente &amp; Stuff'!AF:BG,16,FALSE)</f>
        <v>0</v>
      </c>
      <c r="S97" s="119">
        <f>VLOOKUP(C97,'Talente &amp; Stuff'!AF:BG,17,FALSE)</f>
        <v>0</v>
      </c>
      <c r="T97" s="160">
        <f>VLOOKUP(C97,'Talente &amp; Stuff'!AF:BG,18,FALSE)</f>
        <v>0</v>
      </c>
      <c r="U97" s="89">
        <f>VLOOKUP(C97,'Talente &amp; Stuff'!AF:BG,19,FALSE)</f>
        <v>0</v>
      </c>
      <c r="V97" s="47">
        <f>VLOOKUP(C97,'Talente &amp; Stuff'!AF:BG,20,FALSE)</f>
        <v>0</v>
      </c>
      <c r="W97" s="127">
        <f>VLOOKUP(C97,'Talente &amp; Stuff'!AF:BG,21,FALSE)</f>
        <v>0</v>
      </c>
      <c r="X97" s="127">
        <f>VLOOKUP(C97,'Talente &amp; Stuff'!AF:BG,22,FALSE)</f>
        <v>0</v>
      </c>
      <c r="Y97" s="165">
        <f t="shared" si="10"/>
        <v>0</v>
      </c>
      <c r="Z97" s="44">
        <f t="shared" si="11"/>
        <v>0</v>
      </c>
      <c r="AA97" s="125">
        <f>VLOOKUP(C97,'Talente &amp; Stuff'!AF:BG,25,FALSE)</f>
        <v>0</v>
      </c>
      <c r="AB97" s="160">
        <f>VLOOKUP(C97,'Talente &amp; Stuff'!AF:BG,26,FALSE)</f>
        <v>0</v>
      </c>
      <c r="AC97" s="127">
        <f>VLOOKUP(C97,'Talente &amp; Stuff'!AF:BG,27,FALSE)</f>
        <v>0</v>
      </c>
      <c r="AD97" s="125">
        <f>VLOOKUP(C97,'Talente &amp; Stuff'!AF:BG,28,FALSE)</f>
        <v>0</v>
      </c>
      <c r="AE97" s="28"/>
    </row>
    <row r="98" spans="2:31" ht="15" hidden="1" customHeight="1" outlineLevel="2">
      <c r="B98" s="148">
        <v>21</v>
      </c>
      <c r="C98" s="178" t="str">
        <f>Attribute!C98</f>
        <v>---</v>
      </c>
      <c r="D98" s="87" t="str">
        <f>VLOOKUP(C98,'Talente &amp; Stuff'!AF:BG,2,FALSE)</f>
        <v>--/--/--</v>
      </c>
      <c r="E98" s="128" t="str">
        <f>VLOOKUP(C98,'Talente &amp; Stuff'!AF:BG,3,FALSE)</f>
        <v>-</v>
      </c>
      <c r="F98" s="115">
        <f>VLOOKUP(C98,'Talente &amp; Stuff'!AF:BG,4,FALSE)</f>
        <v>0</v>
      </c>
      <c r="G98" s="122">
        <f>VLOOKUP(C98,'Talente &amp; Stuff'!AF:BG,5,FALSE)</f>
        <v>0</v>
      </c>
      <c r="H98" s="122">
        <f>VLOOKUP(C98,'Talente &amp; Stuff'!AF:BG,6,FALSE)</f>
        <v>0</v>
      </c>
      <c r="I98" s="122">
        <f>VLOOKUP(C98,'Talente &amp; Stuff'!AF:BG,7,FALSE)</f>
        <v>0</v>
      </c>
      <c r="J98" s="122">
        <f>VLOOKUP(C98,'Talente &amp; Stuff'!AF:BG,8,FALSE)</f>
        <v>0</v>
      </c>
      <c r="K98" s="122">
        <f>VLOOKUP(C98,'Talente &amp; Stuff'!AF:BG,9,FALSE)</f>
        <v>0</v>
      </c>
      <c r="L98" s="122">
        <f>VLOOKUP(C98,'Talente &amp; Stuff'!AF:BG,10,FALSE)</f>
        <v>0</v>
      </c>
      <c r="M98" s="123">
        <f>VLOOKUP(C98,'Talente &amp; Stuff'!AF:BG,11,FALSE)</f>
        <v>0</v>
      </c>
      <c r="N98" s="88">
        <f>VLOOKUP(C98,'Talente &amp; Stuff'!AF:BG,12,FALSE)</f>
        <v>0</v>
      </c>
      <c r="O98" s="2">
        <f>VLOOKUP(C98,'Talente &amp; Stuff'!AF:BG,13,FALSE)</f>
        <v>0</v>
      </c>
      <c r="P98" s="173">
        <f>VLOOKUP(C98,'Talente &amp; Stuff'!AF:BG,14,FALSE)</f>
        <v>0</v>
      </c>
      <c r="Q98" s="115">
        <f>VLOOKUP(C98,'Talente &amp; Stuff'!AF:BG,15,FALSE)</f>
        <v>0</v>
      </c>
      <c r="R98" s="169">
        <f>VLOOKUP(C98,'Talente &amp; Stuff'!AF:BG,16,FALSE)</f>
        <v>0</v>
      </c>
      <c r="S98" s="123">
        <f>VLOOKUP(C98,'Talente &amp; Stuff'!AF:BG,17,FALSE)</f>
        <v>0</v>
      </c>
      <c r="T98" s="123">
        <f>VLOOKUP(C98,'Talente &amp; Stuff'!AF:BG,18,FALSE)</f>
        <v>0</v>
      </c>
      <c r="U98" s="90">
        <f>VLOOKUP(C98,'Talente &amp; Stuff'!AF:BG,19,FALSE)</f>
        <v>0</v>
      </c>
      <c r="V98" s="88">
        <f>VLOOKUP(C98,'Talente &amp; Stuff'!AF:BG,20,FALSE)</f>
        <v>0</v>
      </c>
      <c r="W98" s="128">
        <f>VLOOKUP(C98,'Talente &amp; Stuff'!AF:BG,21,FALSE)</f>
        <v>0</v>
      </c>
      <c r="X98" s="128">
        <f>VLOOKUP(C98,'Talente &amp; Stuff'!AF:BG,22,FALSE)</f>
        <v>0</v>
      </c>
      <c r="Y98" s="165">
        <f t="shared" si="10"/>
        <v>0</v>
      </c>
      <c r="Z98" s="44">
        <f t="shared" si="11"/>
        <v>0</v>
      </c>
      <c r="AA98" s="159">
        <f>VLOOKUP(C98,'Talente &amp; Stuff'!AF:BG,25,FALSE)</f>
        <v>0</v>
      </c>
      <c r="AB98" s="161">
        <f>VLOOKUP(C98,'Talente &amp; Stuff'!AF:BG,26,FALSE)</f>
        <v>0</v>
      </c>
      <c r="AC98" s="128">
        <f>VLOOKUP(C98,'Talente &amp; Stuff'!AF:BG,27,FALSE)</f>
        <v>0</v>
      </c>
      <c r="AD98" s="159">
        <f>VLOOKUP(C98,'Talente &amp; Stuff'!AF:BG,28,FALSE)</f>
        <v>0</v>
      </c>
      <c r="AE98" s="28"/>
    </row>
    <row r="99" spans="2:31" ht="15" hidden="1" customHeight="1" outlineLevel="1" collapsed="1">
      <c r="B99" s="134" t="s">
        <v>331</v>
      </c>
      <c r="C99" s="83"/>
      <c r="D99" s="84"/>
      <c r="E99" s="84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  <c r="W99" s="148"/>
      <c r="X99" s="148"/>
      <c r="AA99" s="148"/>
      <c r="AB99" s="148"/>
      <c r="AC99" s="148"/>
      <c r="AD99" s="148"/>
      <c r="AE99" s="148"/>
    </row>
    <row r="100" spans="2:31" ht="15" hidden="1" customHeight="1" outlineLevel="2">
      <c r="B100" s="148">
        <v>1</v>
      </c>
      <c r="C100" s="176" t="str">
        <f>Attribute!C100</f>
        <v>---</v>
      </c>
      <c r="D100" s="85" t="str">
        <f>VLOOKUP(C100,'Talente &amp; Stuff'!AF:BG,2,FALSE)</f>
        <v>--/--/--</v>
      </c>
      <c r="E100" s="126" t="str">
        <f>VLOOKUP(C100,'Talente &amp; Stuff'!AF:BG,3,FALSE)</f>
        <v>-</v>
      </c>
      <c r="F100" s="191">
        <f>VLOOKUP(C100,'Talente &amp; Stuff'!AF:BG,4,FALSE)</f>
        <v>0</v>
      </c>
      <c r="G100" s="118">
        <f>VLOOKUP(C100,'Talente &amp; Stuff'!AF:BG,5,FALSE)</f>
        <v>0</v>
      </c>
      <c r="H100" s="118">
        <f>VLOOKUP(C100,'Talente &amp; Stuff'!AF:BG,6,FALSE)</f>
        <v>0</v>
      </c>
      <c r="I100" s="118">
        <f>VLOOKUP(C100,'Talente &amp; Stuff'!AF:BG,7,FALSE)</f>
        <v>0</v>
      </c>
      <c r="J100" s="118">
        <f>VLOOKUP(C100,'Talente &amp; Stuff'!AF:BG,8,FALSE)</f>
        <v>0</v>
      </c>
      <c r="K100" s="118">
        <f>VLOOKUP(C100,'Talente &amp; Stuff'!AF:BG,9,FALSE)</f>
        <v>0</v>
      </c>
      <c r="L100" s="118">
        <f>VLOOKUP(C100,'Talente &amp; Stuff'!AF:BG,10,FALSE)</f>
        <v>0</v>
      </c>
      <c r="M100" s="92">
        <f>VLOOKUP(C100,'Talente &amp; Stuff'!AF:BG,11,FALSE)</f>
        <v>0</v>
      </c>
      <c r="N100" s="116">
        <f>VLOOKUP(C100,'Talente &amp; Stuff'!AF:BG,12,FALSE)</f>
        <v>0</v>
      </c>
      <c r="O100" s="194">
        <f>VLOOKUP(C100,'Talente &amp; Stuff'!AF:BG,13,FALSE)</f>
        <v>0</v>
      </c>
      <c r="P100" s="192">
        <f>VLOOKUP(C100,'Talente &amp; Stuff'!AF:BG,14,FALSE)</f>
        <v>0</v>
      </c>
      <c r="Q100" s="191">
        <f>VLOOKUP(C100,'Talente &amp; Stuff'!AF:BG,15,FALSE)</f>
        <v>0</v>
      </c>
      <c r="R100" s="170">
        <f>VLOOKUP(C100,'Talente &amp; Stuff'!AF:BG,16,FALSE)</f>
        <v>0</v>
      </c>
      <c r="S100" s="92">
        <f>VLOOKUP(C100,'Talente &amp; Stuff'!AF:BG,17,FALSE)</f>
        <v>0</v>
      </c>
      <c r="T100" s="92">
        <f>VLOOKUP(C100,'Talente &amp; Stuff'!AF:BG,18,FALSE)</f>
        <v>0</v>
      </c>
      <c r="U100" s="193">
        <f>VLOOKUP(C100,'Talente &amp; Stuff'!AF:BG,19,FALSE)</f>
        <v>0</v>
      </c>
      <c r="V100" s="116">
        <f>VLOOKUP(C100,'Talente &amp; Stuff'!AF:BG,20,FALSE)</f>
        <v>0</v>
      </c>
      <c r="W100" s="126">
        <f>VLOOKUP(C100,'Talente &amp; Stuff'!AF:BG,21,FALSE)</f>
        <v>0</v>
      </c>
      <c r="X100" s="126">
        <f>VLOOKUP(C100,'Talente &amp; Stuff'!AF:BG,22,FALSE)</f>
        <v>0</v>
      </c>
      <c r="Y100" s="165">
        <f t="shared" ref="Y100:Y126" si="12">VLOOKUP(C100,Ausgewählte_Zauber_Druiden,52,FALSE)</f>
        <v>0</v>
      </c>
      <c r="Z100" s="44">
        <f t="shared" ref="Z100:Z126" si="13">VLOOKUP(C100,Ausgewählte_Zauber_Druiden,53,FALSE)</f>
        <v>0</v>
      </c>
      <c r="AA100" s="158">
        <f>VLOOKUP(C100,'Talente &amp; Stuff'!AF:BG,25,FALSE)</f>
        <v>0</v>
      </c>
      <c r="AB100" s="91">
        <f>VLOOKUP(C100,'Talente &amp; Stuff'!AF:BG,26,FALSE)</f>
        <v>0</v>
      </c>
      <c r="AC100" s="126">
        <f>VLOOKUP(C100,'Talente &amp; Stuff'!AF:BG,27,FALSE)</f>
        <v>0</v>
      </c>
      <c r="AD100" s="158">
        <f>VLOOKUP(C100,'Talente &amp; Stuff'!AF:BG,28,FALSE)</f>
        <v>0</v>
      </c>
      <c r="AE100" s="28"/>
    </row>
    <row r="101" spans="2:31" s="148" customFormat="1" ht="15" hidden="1" customHeight="1" outlineLevel="2">
      <c r="B101" s="148">
        <v>2</v>
      </c>
      <c r="C101" s="177" t="str">
        <f>Attribute!C101</f>
        <v>---</v>
      </c>
      <c r="D101" s="86" t="str">
        <f>VLOOKUP(C101,'Talente &amp; Stuff'!AF:BG,2,FALSE)</f>
        <v>--/--/--</v>
      </c>
      <c r="E101" s="167" t="str">
        <f>VLOOKUP(C101,'Talente &amp; Stuff'!AF:BG,3,FALSE)</f>
        <v>-</v>
      </c>
      <c r="F101" s="120">
        <f>VLOOKUP(C101,'Talente &amp; Stuff'!AF:BG,4,FALSE)</f>
        <v>0</v>
      </c>
      <c r="G101" s="117">
        <f>VLOOKUP(C101,'Talente &amp; Stuff'!AF:BG,5,FALSE)</f>
        <v>0</v>
      </c>
      <c r="H101" s="117">
        <f>VLOOKUP(C101,'Talente &amp; Stuff'!AF:BG,6,FALSE)</f>
        <v>0</v>
      </c>
      <c r="I101" s="117">
        <f>VLOOKUP(C101,'Talente &amp; Stuff'!AF:BG,7,FALSE)</f>
        <v>0</v>
      </c>
      <c r="J101" s="117">
        <f>VLOOKUP(C101,'Talente &amp; Stuff'!AF:BG,8,FALSE)</f>
        <v>0</v>
      </c>
      <c r="K101" s="117">
        <f>VLOOKUP(C101,'Talente &amp; Stuff'!AF:BG,9,FALSE)</f>
        <v>0</v>
      </c>
      <c r="L101" s="117">
        <f>VLOOKUP(C101,'Talente &amp; Stuff'!AF:BG,10,FALSE)</f>
        <v>0</v>
      </c>
      <c r="M101" s="121">
        <f>VLOOKUP(C101,'Talente &amp; Stuff'!AF:BG,11,FALSE)</f>
        <v>0</v>
      </c>
      <c r="N101" s="47">
        <f>VLOOKUP(C101,'Talente &amp; Stuff'!AF:BG,12,FALSE)</f>
        <v>0</v>
      </c>
      <c r="O101" s="3">
        <f>VLOOKUP(C101,'Talente &amp; Stuff'!AF:BG,13,FALSE)</f>
        <v>0</v>
      </c>
      <c r="P101" s="174">
        <f>VLOOKUP(C101,'Talente &amp; Stuff'!AF:BG,14,FALSE)</f>
        <v>0</v>
      </c>
      <c r="Q101" s="114">
        <f>VLOOKUP(C101,'Talente &amp; Stuff'!AF:BG,15,FALSE)</f>
        <v>0</v>
      </c>
      <c r="R101" s="117">
        <f>VLOOKUP(C101,'Talente &amp; Stuff'!AF:BG,16,FALSE)</f>
        <v>0</v>
      </c>
      <c r="S101" s="119">
        <f>VLOOKUP(C101,'Talente &amp; Stuff'!AF:BG,17,FALSE)</f>
        <v>0</v>
      </c>
      <c r="T101" s="119">
        <f>VLOOKUP(C101,'Talente &amp; Stuff'!AF:BG,18,FALSE)</f>
        <v>0</v>
      </c>
      <c r="U101" s="89">
        <f>VLOOKUP(C101,'Talente &amp; Stuff'!AF:BG,19,FALSE)</f>
        <v>0</v>
      </c>
      <c r="V101" s="47">
        <f>VLOOKUP(C101,'Talente &amp; Stuff'!AF:BG,20,FALSE)</f>
        <v>0</v>
      </c>
      <c r="W101" s="127">
        <f>VLOOKUP(C101,'Talente &amp; Stuff'!AF:BG,21,FALSE)</f>
        <v>0</v>
      </c>
      <c r="X101" s="127">
        <f>VLOOKUP(C101,'Talente &amp; Stuff'!AF:BG,22,FALSE)</f>
        <v>0</v>
      </c>
      <c r="Y101" s="165">
        <f t="shared" si="12"/>
        <v>0</v>
      </c>
      <c r="Z101" s="44">
        <f t="shared" si="13"/>
        <v>0</v>
      </c>
      <c r="AA101" s="125">
        <f>VLOOKUP(C101,'Talente &amp; Stuff'!AF:BG,25,FALSE)</f>
        <v>0</v>
      </c>
      <c r="AB101" s="160">
        <f>VLOOKUP(C101,'Talente &amp; Stuff'!AF:BG,26,FALSE)</f>
        <v>0</v>
      </c>
      <c r="AC101" s="127">
        <f>VLOOKUP(C101,'Talente &amp; Stuff'!AF:BG,27,FALSE)</f>
        <v>0</v>
      </c>
      <c r="AD101" s="125">
        <f>VLOOKUP(C101,'Talente &amp; Stuff'!AF:BG,28,FALSE)</f>
        <v>0</v>
      </c>
      <c r="AE101" s="28"/>
    </row>
    <row r="102" spans="2:31" s="148" customFormat="1" ht="15" hidden="1" customHeight="1" outlineLevel="2">
      <c r="B102" s="148">
        <v>3</v>
      </c>
      <c r="C102" s="177" t="str">
        <f>Attribute!C102</f>
        <v>---</v>
      </c>
      <c r="D102" s="86" t="str">
        <f>VLOOKUP(C102,'Talente &amp; Stuff'!AF:BG,2,FALSE)</f>
        <v>--/--/--</v>
      </c>
      <c r="E102" s="167" t="str">
        <f>VLOOKUP(C102,'Talente &amp; Stuff'!AF:BG,3,FALSE)</f>
        <v>-</v>
      </c>
      <c r="F102" s="120">
        <f>VLOOKUP(C102,'Talente &amp; Stuff'!AF:BG,4,FALSE)</f>
        <v>0</v>
      </c>
      <c r="G102" s="117">
        <f>VLOOKUP(C102,'Talente &amp; Stuff'!AF:BG,5,FALSE)</f>
        <v>0</v>
      </c>
      <c r="H102" s="117">
        <f>VLOOKUP(C102,'Talente &amp; Stuff'!AF:BG,6,FALSE)</f>
        <v>0</v>
      </c>
      <c r="I102" s="117">
        <f>VLOOKUP(C102,'Talente &amp; Stuff'!AF:BG,7,FALSE)</f>
        <v>0</v>
      </c>
      <c r="J102" s="117">
        <f>VLOOKUP(C102,'Talente &amp; Stuff'!AF:BG,8,FALSE)</f>
        <v>0</v>
      </c>
      <c r="K102" s="117">
        <f>VLOOKUP(C102,'Talente &amp; Stuff'!AF:BG,9,FALSE)</f>
        <v>0</v>
      </c>
      <c r="L102" s="117">
        <f>VLOOKUP(C102,'Talente &amp; Stuff'!AF:BG,10,FALSE)</f>
        <v>0</v>
      </c>
      <c r="M102" s="121">
        <f>VLOOKUP(C102,'Talente &amp; Stuff'!AF:BG,11,FALSE)</f>
        <v>0</v>
      </c>
      <c r="N102" s="47">
        <f>VLOOKUP(C102,'Talente &amp; Stuff'!AF:BG,12,FALSE)</f>
        <v>0</v>
      </c>
      <c r="O102" s="3">
        <f>VLOOKUP(C102,'Talente &amp; Stuff'!AF:BG,13,FALSE)</f>
        <v>0</v>
      </c>
      <c r="P102" s="174">
        <f>VLOOKUP(C102,'Talente &amp; Stuff'!AF:BG,14,FALSE)</f>
        <v>0</v>
      </c>
      <c r="Q102" s="114">
        <f>VLOOKUP(C102,'Talente &amp; Stuff'!AF:BG,15,FALSE)</f>
        <v>0</v>
      </c>
      <c r="R102" s="117">
        <f>VLOOKUP(C102,'Talente &amp; Stuff'!AF:BG,16,FALSE)</f>
        <v>0</v>
      </c>
      <c r="S102" s="119">
        <f>VLOOKUP(C102,'Talente &amp; Stuff'!AF:BG,17,FALSE)</f>
        <v>0</v>
      </c>
      <c r="T102" s="119">
        <f>VLOOKUP(C102,'Talente &amp; Stuff'!AF:BG,18,FALSE)</f>
        <v>0</v>
      </c>
      <c r="U102" s="89">
        <f>VLOOKUP(C102,'Talente &amp; Stuff'!AF:BG,19,FALSE)</f>
        <v>0</v>
      </c>
      <c r="V102" s="47">
        <f>VLOOKUP(C102,'Talente &amp; Stuff'!AF:BG,20,FALSE)</f>
        <v>0</v>
      </c>
      <c r="W102" s="127">
        <f>VLOOKUP(C102,'Talente &amp; Stuff'!AF:BG,21,FALSE)</f>
        <v>0</v>
      </c>
      <c r="X102" s="127">
        <f>VLOOKUP(C102,'Talente &amp; Stuff'!AF:BG,22,FALSE)</f>
        <v>0</v>
      </c>
      <c r="Y102" s="165">
        <f t="shared" si="12"/>
        <v>0</v>
      </c>
      <c r="Z102" s="44">
        <f t="shared" si="13"/>
        <v>0</v>
      </c>
      <c r="AA102" s="125">
        <f>VLOOKUP(C102,'Talente &amp; Stuff'!AF:BG,25,FALSE)</f>
        <v>0</v>
      </c>
      <c r="AB102" s="160">
        <f>VLOOKUP(C102,'Talente &amp; Stuff'!AF:BG,26,FALSE)</f>
        <v>0</v>
      </c>
      <c r="AC102" s="127">
        <f>VLOOKUP(C102,'Talente &amp; Stuff'!AF:BG,27,FALSE)</f>
        <v>0</v>
      </c>
      <c r="AD102" s="125">
        <f>VLOOKUP(C102,'Talente &amp; Stuff'!AF:BG,28,FALSE)</f>
        <v>0</v>
      </c>
      <c r="AE102" s="28"/>
    </row>
    <row r="103" spans="2:31" s="148" customFormat="1" ht="15" hidden="1" customHeight="1" outlineLevel="2">
      <c r="B103" s="148">
        <v>4</v>
      </c>
      <c r="C103" s="177" t="str">
        <f>Attribute!C103</f>
        <v>---</v>
      </c>
      <c r="D103" s="86" t="str">
        <f>VLOOKUP(C103,'Talente &amp; Stuff'!AF:BG,2,FALSE)</f>
        <v>--/--/--</v>
      </c>
      <c r="E103" s="167" t="str">
        <f>VLOOKUP(C103,'Talente &amp; Stuff'!AF:BG,3,FALSE)</f>
        <v>-</v>
      </c>
      <c r="F103" s="120">
        <f>VLOOKUP(C103,'Talente &amp; Stuff'!AF:BG,4,FALSE)</f>
        <v>0</v>
      </c>
      <c r="G103" s="117">
        <f>VLOOKUP(C103,'Talente &amp; Stuff'!AF:BG,5,FALSE)</f>
        <v>0</v>
      </c>
      <c r="H103" s="117">
        <f>VLOOKUP(C103,'Talente &amp; Stuff'!AF:BG,6,FALSE)</f>
        <v>0</v>
      </c>
      <c r="I103" s="117">
        <f>VLOOKUP(C103,'Talente &amp; Stuff'!AF:BG,7,FALSE)</f>
        <v>0</v>
      </c>
      <c r="J103" s="117">
        <f>VLOOKUP(C103,'Talente &amp; Stuff'!AF:BG,8,FALSE)</f>
        <v>0</v>
      </c>
      <c r="K103" s="117">
        <f>VLOOKUP(C103,'Talente &amp; Stuff'!AF:BG,9,FALSE)</f>
        <v>0</v>
      </c>
      <c r="L103" s="117">
        <f>VLOOKUP(C103,'Talente &amp; Stuff'!AF:BG,10,FALSE)</f>
        <v>0</v>
      </c>
      <c r="M103" s="121">
        <f>VLOOKUP(C103,'Talente &amp; Stuff'!AF:BG,11,FALSE)</f>
        <v>0</v>
      </c>
      <c r="N103" s="47">
        <f>VLOOKUP(C103,'Talente &amp; Stuff'!AF:BG,12,FALSE)</f>
        <v>0</v>
      </c>
      <c r="O103" s="3">
        <f>VLOOKUP(C103,'Talente &amp; Stuff'!AF:BG,13,FALSE)</f>
        <v>0</v>
      </c>
      <c r="P103" s="174">
        <f>VLOOKUP(C103,'Talente &amp; Stuff'!AF:BG,14,FALSE)</f>
        <v>0</v>
      </c>
      <c r="Q103" s="114">
        <f>VLOOKUP(C103,'Talente &amp; Stuff'!AF:BG,15,FALSE)</f>
        <v>0</v>
      </c>
      <c r="R103" s="117">
        <f>VLOOKUP(C103,'Talente &amp; Stuff'!AF:BG,16,FALSE)</f>
        <v>0</v>
      </c>
      <c r="S103" s="119">
        <f>VLOOKUP(C103,'Talente &amp; Stuff'!AF:BG,17,FALSE)</f>
        <v>0</v>
      </c>
      <c r="T103" s="119">
        <f>VLOOKUP(C103,'Talente &amp; Stuff'!AF:BG,18,FALSE)</f>
        <v>0</v>
      </c>
      <c r="U103" s="89">
        <f>VLOOKUP(C103,'Talente &amp; Stuff'!AF:BG,19,FALSE)</f>
        <v>0</v>
      </c>
      <c r="V103" s="47">
        <f>VLOOKUP(C103,'Talente &amp; Stuff'!AF:BG,20,FALSE)</f>
        <v>0</v>
      </c>
      <c r="W103" s="127">
        <f>VLOOKUP(C103,'Talente &amp; Stuff'!AF:BG,21,FALSE)</f>
        <v>0</v>
      </c>
      <c r="X103" s="127">
        <f>VLOOKUP(C103,'Talente &amp; Stuff'!AF:BG,22,FALSE)</f>
        <v>0</v>
      </c>
      <c r="Y103" s="165">
        <f t="shared" si="12"/>
        <v>0</v>
      </c>
      <c r="Z103" s="44">
        <f t="shared" si="13"/>
        <v>0</v>
      </c>
      <c r="AA103" s="125">
        <f>VLOOKUP(C103,'Talente &amp; Stuff'!AF:BG,25,FALSE)</f>
        <v>0</v>
      </c>
      <c r="AB103" s="160">
        <f>VLOOKUP(C103,'Talente &amp; Stuff'!AF:BG,26,FALSE)</f>
        <v>0</v>
      </c>
      <c r="AC103" s="127">
        <f>VLOOKUP(C103,'Talente &amp; Stuff'!AF:BG,27,FALSE)</f>
        <v>0</v>
      </c>
      <c r="AD103" s="125">
        <f>VLOOKUP(C103,'Talente &amp; Stuff'!AF:BG,28,FALSE)</f>
        <v>0</v>
      </c>
      <c r="AE103" s="28"/>
    </row>
    <row r="104" spans="2:31" s="148" customFormat="1" ht="15" hidden="1" customHeight="1" outlineLevel="2">
      <c r="B104" s="148">
        <v>5</v>
      </c>
      <c r="C104" s="177" t="str">
        <f>Attribute!C104</f>
        <v>---</v>
      </c>
      <c r="D104" s="86" t="str">
        <f>VLOOKUP(C104,'Talente &amp; Stuff'!AF:BG,2,FALSE)</f>
        <v>--/--/--</v>
      </c>
      <c r="E104" s="167" t="str">
        <f>VLOOKUP(C104,'Talente &amp; Stuff'!AF:BG,3,FALSE)</f>
        <v>-</v>
      </c>
      <c r="F104" s="120">
        <f>VLOOKUP(C104,'Talente &amp; Stuff'!AF:BG,4,FALSE)</f>
        <v>0</v>
      </c>
      <c r="G104" s="117">
        <f>VLOOKUP(C104,'Talente &amp; Stuff'!AF:BG,5,FALSE)</f>
        <v>0</v>
      </c>
      <c r="H104" s="117">
        <f>VLOOKUP(C104,'Talente &amp; Stuff'!AF:BG,6,FALSE)</f>
        <v>0</v>
      </c>
      <c r="I104" s="117">
        <f>VLOOKUP(C104,'Talente &amp; Stuff'!AF:BG,7,FALSE)</f>
        <v>0</v>
      </c>
      <c r="J104" s="117">
        <f>VLOOKUP(C104,'Talente &amp; Stuff'!AF:BG,8,FALSE)</f>
        <v>0</v>
      </c>
      <c r="K104" s="117">
        <f>VLOOKUP(C104,'Talente &amp; Stuff'!AF:BG,9,FALSE)</f>
        <v>0</v>
      </c>
      <c r="L104" s="117">
        <f>VLOOKUP(C104,'Talente &amp; Stuff'!AF:BG,10,FALSE)</f>
        <v>0</v>
      </c>
      <c r="M104" s="121">
        <f>VLOOKUP(C104,'Talente &amp; Stuff'!AF:BG,11,FALSE)</f>
        <v>0</v>
      </c>
      <c r="N104" s="47">
        <f>VLOOKUP(C104,'Talente &amp; Stuff'!AF:BG,12,FALSE)</f>
        <v>0</v>
      </c>
      <c r="O104" s="3">
        <f>VLOOKUP(C104,'Talente &amp; Stuff'!AF:BG,13,FALSE)</f>
        <v>0</v>
      </c>
      <c r="P104" s="174">
        <f>VLOOKUP(C104,'Talente &amp; Stuff'!AF:BG,14,FALSE)</f>
        <v>0</v>
      </c>
      <c r="Q104" s="114">
        <f>VLOOKUP(C104,'Talente &amp; Stuff'!AF:BG,15,FALSE)</f>
        <v>0</v>
      </c>
      <c r="R104" s="117">
        <f>VLOOKUP(C104,'Talente &amp; Stuff'!AF:BG,16,FALSE)</f>
        <v>0</v>
      </c>
      <c r="S104" s="119">
        <f>VLOOKUP(C104,'Talente &amp; Stuff'!AF:BG,17,FALSE)</f>
        <v>0</v>
      </c>
      <c r="T104" s="119">
        <f>VLOOKUP(C104,'Talente &amp; Stuff'!AF:BG,18,FALSE)</f>
        <v>0</v>
      </c>
      <c r="U104" s="89">
        <f>VLOOKUP(C104,'Talente &amp; Stuff'!AF:BG,19,FALSE)</f>
        <v>0</v>
      </c>
      <c r="V104" s="47">
        <f>VLOOKUP(C104,'Talente &amp; Stuff'!AF:BG,20,FALSE)</f>
        <v>0</v>
      </c>
      <c r="W104" s="127">
        <f>VLOOKUP(C104,'Talente &amp; Stuff'!AF:BG,21,FALSE)</f>
        <v>0</v>
      </c>
      <c r="X104" s="127">
        <f>VLOOKUP(C104,'Talente &amp; Stuff'!AF:BG,22,FALSE)</f>
        <v>0</v>
      </c>
      <c r="Y104" s="165">
        <f t="shared" si="12"/>
        <v>0</v>
      </c>
      <c r="Z104" s="44">
        <f t="shared" si="13"/>
        <v>0</v>
      </c>
      <c r="AA104" s="125">
        <f>VLOOKUP(C104,'Talente &amp; Stuff'!AF:BG,25,FALSE)</f>
        <v>0</v>
      </c>
      <c r="AB104" s="160">
        <f>VLOOKUP(C104,'Talente &amp; Stuff'!AF:BG,26,FALSE)</f>
        <v>0</v>
      </c>
      <c r="AC104" s="127">
        <f>VLOOKUP(C104,'Talente &amp; Stuff'!AF:BG,27,FALSE)</f>
        <v>0</v>
      </c>
      <c r="AD104" s="125">
        <f>VLOOKUP(C104,'Talente &amp; Stuff'!AF:BG,28,FALSE)</f>
        <v>0</v>
      </c>
      <c r="AE104" s="28"/>
    </row>
    <row r="105" spans="2:31" s="148" customFormat="1" ht="15" hidden="1" customHeight="1" outlineLevel="2">
      <c r="B105" s="148">
        <v>6</v>
      </c>
      <c r="C105" s="177" t="str">
        <f>Attribute!C105</f>
        <v>---</v>
      </c>
      <c r="D105" s="86" t="str">
        <f>VLOOKUP(C105,'Talente &amp; Stuff'!AF:BG,2,FALSE)</f>
        <v>--/--/--</v>
      </c>
      <c r="E105" s="167" t="str">
        <f>VLOOKUP(C105,'Talente &amp; Stuff'!AF:BG,3,FALSE)</f>
        <v>-</v>
      </c>
      <c r="F105" s="120">
        <f>VLOOKUP(C105,'Talente &amp; Stuff'!AF:BG,4,FALSE)</f>
        <v>0</v>
      </c>
      <c r="G105" s="117">
        <f>VLOOKUP(C105,'Talente &amp; Stuff'!AF:BG,5,FALSE)</f>
        <v>0</v>
      </c>
      <c r="H105" s="117">
        <f>VLOOKUP(C105,'Talente &amp; Stuff'!AF:BG,6,FALSE)</f>
        <v>0</v>
      </c>
      <c r="I105" s="117">
        <f>VLOOKUP(C105,'Talente &amp; Stuff'!AF:BG,7,FALSE)</f>
        <v>0</v>
      </c>
      <c r="J105" s="117">
        <f>VLOOKUP(C105,'Talente &amp; Stuff'!AF:BG,8,FALSE)</f>
        <v>0</v>
      </c>
      <c r="K105" s="117">
        <f>VLOOKUP(C105,'Talente &amp; Stuff'!AF:BG,9,FALSE)</f>
        <v>0</v>
      </c>
      <c r="L105" s="117">
        <f>VLOOKUP(C105,'Talente &amp; Stuff'!AF:BG,10,FALSE)</f>
        <v>0</v>
      </c>
      <c r="M105" s="121">
        <f>VLOOKUP(C105,'Talente &amp; Stuff'!AF:BG,11,FALSE)</f>
        <v>0</v>
      </c>
      <c r="N105" s="47">
        <f>VLOOKUP(C105,'Talente &amp; Stuff'!AF:BG,12,FALSE)</f>
        <v>0</v>
      </c>
      <c r="O105" s="3">
        <f>VLOOKUP(C105,'Talente &amp; Stuff'!AF:BG,13,FALSE)</f>
        <v>0</v>
      </c>
      <c r="P105" s="174">
        <f>VLOOKUP(C105,'Talente &amp; Stuff'!AF:BG,14,FALSE)</f>
        <v>0</v>
      </c>
      <c r="Q105" s="114">
        <f>VLOOKUP(C105,'Talente &amp; Stuff'!AF:BG,15,FALSE)</f>
        <v>0</v>
      </c>
      <c r="R105" s="117">
        <f>VLOOKUP(C105,'Talente &amp; Stuff'!AF:BG,16,FALSE)</f>
        <v>0</v>
      </c>
      <c r="S105" s="119">
        <f>VLOOKUP(C105,'Talente &amp; Stuff'!AF:BG,17,FALSE)</f>
        <v>0</v>
      </c>
      <c r="T105" s="119">
        <f>VLOOKUP(C105,'Talente &amp; Stuff'!AF:BG,18,FALSE)</f>
        <v>0</v>
      </c>
      <c r="U105" s="89">
        <f>VLOOKUP(C105,'Talente &amp; Stuff'!AF:BG,19,FALSE)</f>
        <v>0</v>
      </c>
      <c r="V105" s="47">
        <f>VLOOKUP(C105,'Talente &amp; Stuff'!AF:BG,20,FALSE)</f>
        <v>0</v>
      </c>
      <c r="W105" s="127">
        <f>VLOOKUP(C105,'Talente &amp; Stuff'!AF:BG,21,FALSE)</f>
        <v>0</v>
      </c>
      <c r="X105" s="127">
        <f>VLOOKUP(C105,'Talente &amp; Stuff'!AF:BG,22,FALSE)</f>
        <v>0</v>
      </c>
      <c r="Y105" s="165">
        <f t="shared" si="12"/>
        <v>0</v>
      </c>
      <c r="Z105" s="44">
        <f t="shared" si="13"/>
        <v>0</v>
      </c>
      <c r="AA105" s="125">
        <f>VLOOKUP(C105,'Talente &amp; Stuff'!AF:BG,25,FALSE)</f>
        <v>0</v>
      </c>
      <c r="AB105" s="160">
        <f>VLOOKUP(C105,'Talente &amp; Stuff'!AF:BG,26,FALSE)</f>
        <v>0</v>
      </c>
      <c r="AC105" s="127">
        <f>VLOOKUP(C105,'Talente &amp; Stuff'!AF:BG,27,FALSE)</f>
        <v>0</v>
      </c>
      <c r="AD105" s="125">
        <f>VLOOKUP(C105,'Talente &amp; Stuff'!AF:BG,28,FALSE)</f>
        <v>0</v>
      </c>
      <c r="AE105" s="28"/>
    </row>
    <row r="106" spans="2:31" s="148" customFormat="1" ht="15" hidden="1" customHeight="1" outlineLevel="2">
      <c r="B106" s="148">
        <v>7</v>
      </c>
      <c r="C106" s="177" t="str">
        <f>Attribute!C106</f>
        <v>---</v>
      </c>
      <c r="D106" s="86" t="str">
        <f>VLOOKUP(C106,'Talente &amp; Stuff'!AF:BG,2,FALSE)</f>
        <v>--/--/--</v>
      </c>
      <c r="E106" s="167" t="str">
        <f>VLOOKUP(C106,'Talente &amp; Stuff'!AF:BG,3,FALSE)</f>
        <v>-</v>
      </c>
      <c r="F106" s="120">
        <f>VLOOKUP(C106,'Talente &amp; Stuff'!AF:BG,4,FALSE)</f>
        <v>0</v>
      </c>
      <c r="G106" s="117">
        <f>VLOOKUP(C106,'Talente &amp; Stuff'!AF:BG,5,FALSE)</f>
        <v>0</v>
      </c>
      <c r="H106" s="117">
        <f>VLOOKUP(C106,'Talente &amp; Stuff'!AF:BG,6,FALSE)</f>
        <v>0</v>
      </c>
      <c r="I106" s="117">
        <f>VLOOKUP(C106,'Talente &amp; Stuff'!AF:BG,7,FALSE)</f>
        <v>0</v>
      </c>
      <c r="J106" s="117">
        <f>VLOOKUP(C106,'Talente &amp; Stuff'!AF:BG,8,FALSE)</f>
        <v>0</v>
      </c>
      <c r="K106" s="117">
        <f>VLOOKUP(C106,'Talente &amp; Stuff'!AF:BG,9,FALSE)</f>
        <v>0</v>
      </c>
      <c r="L106" s="117">
        <f>VLOOKUP(C106,'Talente &amp; Stuff'!AF:BG,10,FALSE)</f>
        <v>0</v>
      </c>
      <c r="M106" s="121">
        <f>VLOOKUP(C106,'Talente &amp; Stuff'!AF:BG,11,FALSE)</f>
        <v>0</v>
      </c>
      <c r="N106" s="47">
        <f>VLOOKUP(C106,'Talente &amp; Stuff'!AF:BG,12,FALSE)</f>
        <v>0</v>
      </c>
      <c r="O106" s="3">
        <f>VLOOKUP(C106,'Talente &amp; Stuff'!AF:BG,13,FALSE)</f>
        <v>0</v>
      </c>
      <c r="P106" s="174">
        <f>VLOOKUP(C106,'Talente &amp; Stuff'!AF:BG,14,FALSE)</f>
        <v>0</v>
      </c>
      <c r="Q106" s="114">
        <f>VLOOKUP(C106,'Talente &amp; Stuff'!AF:BG,15,FALSE)</f>
        <v>0</v>
      </c>
      <c r="R106" s="117">
        <f>VLOOKUP(C106,'Talente &amp; Stuff'!AF:BG,16,FALSE)</f>
        <v>0</v>
      </c>
      <c r="S106" s="119">
        <f>VLOOKUP(C106,'Talente &amp; Stuff'!AF:BG,17,FALSE)</f>
        <v>0</v>
      </c>
      <c r="T106" s="119">
        <f>VLOOKUP(C106,'Talente &amp; Stuff'!AF:BG,18,FALSE)</f>
        <v>0</v>
      </c>
      <c r="U106" s="89">
        <f>VLOOKUP(C106,'Talente &amp; Stuff'!AF:BG,19,FALSE)</f>
        <v>0</v>
      </c>
      <c r="V106" s="47">
        <f>VLOOKUP(C106,'Talente &amp; Stuff'!AF:BG,20,FALSE)</f>
        <v>0</v>
      </c>
      <c r="W106" s="127">
        <f>VLOOKUP(C106,'Talente &amp; Stuff'!AF:BG,21,FALSE)</f>
        <v>0</v>
      </c>
      <c r="X106" s="127">
        <f>VLOOKUP(C106,'Talente &amp; Stuff'!AF:BG,22,FALSE)</f>
        <v>0</v>
      </c>
      <c r="Y106" s="165">
        <f t="shared" si="12"/>
        <v>0</v>
      </c>
      <c r="Z106" s="44">
        <f t="shared" si="13"/>
        <v>0</v>
      </c>
      <c r="AA106" s="125">
        <f>VLOOKUP(C106,'Talente &amp; Stuff'!AF:BG,25,FALSE)</f>
        <v>0</v>
      </c>
      <c r="AB106" s="160">
        <f>VLOOKUP(C106,'Talente &amp; Stuff'!AF:BG,26,FALSE)</f>
        <v>0</v>
      </c>
      <c r="AC106" s="127">
        <f>VLOOKUP(C106,'Talente &amp; Stuff'!AF:BG,27,FALSE)</f>
        <v>0</v>
      </c>
      <c r="AD106" s="125">
        <f>VLOOKUP(C106,'Talente &amp; Stuff'!AF:BG,28,FALSE)</f>
        <v>0</v>
      </c>
      <c r="AE106" s="28"/>
    </row>
    <row r="107" spans="2:31" s="148" customFormat="1" ht="15" hidden="1" customHeight="1" outlineLevel="2">
      <c r="B107" s="148">
        <v>8</v>
      </c>
      <c r="C107" s="177" t="str">
        <f>Attribute!C107</f>
        <v>---</v>
      </c>
      <c r="D107" s="86" t="str">
        <f>VLOOKUP(C107,'Talente &amp; Stuff'!AF:BG,2,FALSE)</f>
        <v>--/--/--</v>
      </c>
      <c r="E107" s="167" t="str">
        <f>VLOOKUP(C107,'Talente &amp; Stuff'!AF:BG,3,FALSE)</f>
        <v>-</v>
      </c>
      <c r="F107" s="120">
        <f>VLOOKUP(C107,'Talente &amp; Stuff'!AF:BG,4,FALSE)</f>
        <v>0</v>
      </c>
      <c r="G107" s="117">
        <f>VLOOKUP(C107,'Talente &amp; Stuff'!AF:BG,5,FALSE)</f>
        <v>0</v>
      </c>
      <c r="H107" s="117">
        <f>VLOOKUP(C107,'Talente &amp; Stuff'!AF:BG,6,FALSE)</f>
        <v>0</v>
      </c>
      <c r="I107" s="117">
        <f>VLOOKUP(C107,'Talente &amp; Stuff'!AF:BG,7,FALSE)</f>
        <v>0</v>
      </c>
      <c r="J107" s="117">
        <f>VLOOKUP(C107,'Talente &amp; Stuff'!AF:BG,8,FALSE)</f>
        <v>0</v>
      </c>
      <c r="K107" s="117">
        <f>VLOOKUP(C107,'Talente &amp; Stuff'!AF:BG,9,FALSE)</f>
        <v>0</v>
      </c>
      <c r="L107" s="117">
        <f>VLOOKUP(C107,'Talente &amp; Stuff'!AF:BG,10,FALSE)</f>
        <v>0</v>
      </c>
      <c r="M107" s="121">
        <f>VLOOKUP(C107,'Talente &amp; Stuff'!AF:BG,11,FALSE)</f>
        <v>0</v>
      </c>
      <c r="N107" s="47">
        <f>VLOOKUP(C107,'Talente &amp; Stuff'!AF:BG,12,FALSE)</f>
        <v>0</v>
      </c>
      <c r="O107" s="3">
        <f>VLOOKUP(C107,'Talente &amp; Stuff'!AF:BG,13,FALSE)</f>
        <v>0</v>
      </c>
      <c r="P107" s="174">
        <f>VLOOKUP(C107,'Talente &amp; Stuff'!AF:BG,14,FALSE)</f>
        <v>0</v>
      </c>
      <c r="Q107" s="114">
        <f>VLOOKUP(C107,'Talente &amp; Stuff'!AF:BG,15,FALSE)</f>
        <v>0</v>
      </c>
      <c r="R107" s="117">
        <f>VLOOKUP(C107,'Talente &amp; Stuff'!AF:BG,16,FALSE)</f>
        <v>0</v>
      </c>
      <c r="S107" s="119">
        <f>VLOOKUP(C107,'Talente &amp; Stuff'!AF:BG,17,FALSE)</f>
        <v>0</v>
      </c>
      <c r="T107" s="119">
        <f>VLOOKUP(C107,'Talente &amp; Stuff'!AF:BG,18,FALSE)</f>
        <v>0</v>
      </c>
      <c r="U107" s="89">
        <f>VLOOKUP(C107,'Talente &amp; Stuff'!AF:BG,19,FALSE)</f>
        <v>0</v>
      </c>
      <c r="V107" s="47">
        <f>VLOOKUP(C107,'Talente &amp; Stuff'!AF:BG,20,FALSE)</f>
        <v>0</v>
      </c>
      <c r="W107" s="127">
        <f>VLOOKUP(C107,'Talente &amp; Stuff'!AF:BG,21,FALSE)</f>
        <v>0</v>
      </c>
      <c r="X107" s="127">
        <f>VLOOKUP(C107,'Talente &amp; Stuff'!AF:BG,22,FALSE)</f>
        <v>0</v>
      </c>
      <c r="Y107" s="165">
        <f t="shared" si="12"/>
        <v>0</v>
      </c>
      <c r="Z107" s="44">
        <f t="shared" si="13"/>
        <v>0</v>
      </c>
      <c r="AA107" s="125">
        <f>VLOOKUP(C107,'Talente &amp; Stuff'!AF:BG,25,FALSE)</f>
        <v>0</v>
      </c>
      <c r="AB107" s="160">
        <f>VLOOKUP(C107,'Talente &amp; Stuff'!AF:BG,26,FALSE)</f>
        <v>0</v>
      </c>
      <c r="AC107" s="127">
        <f>VLOOKUP(C107,'Talente &amp; Stuff'!AF:BG,27,FALSE)</f>
        <v>0</v>
      </c>
      <c r="AD107" s="125">
        <f>VLOOKUP(C107,'Talente &amp; Stuff'!AF:BG,28,FALSE)</f>
        <v>0</v>
      </c>
      <c r="AE107" s="28"/>
    </row>
    <row r="108" spans="2:31" s="148" customFormat="1" ht="15" hidden="1" customHeight="1" outlineLevel="2">
      <c r="B108" s="148">
        <v>9</v>
      </c>
      <c r="C108" s="177" t="str">
        <f>Attribute!C108</f>
        <v>---</v>
      </c>
      <c r="D108" s="86" t="str">
        <f>VLOOKUP(C108,'Talente &amp; Stuff'!AF:BG,2,FALSE)</f>
        <v>--/--/--</v>
      </c>
      <c r="E108" s="167" t="str">
        <f>VLOOKUP(C108,'Talente &amp; Stuff'!AF:BG,3,FALSE)</f>
        <v>-</v>
      </c>
      <c r="F108" s="120">
        <f>VLOOKUP(C108,'Talente &amp; Stuff'!AF:BG,4,FALSE)</f>
        <v>0</v>
      </c>
      <c r="G108" s="117">
        <f>VLOOKUP(C108,'Talente &amp; Stuff'!AF:BG,5,FALSE)</f>
        <v>0</v>
      </c>
      <c r="H108" s="117">
        <f>VLOOKUP(C108,'Talente &amp; Stuff'!AF:BG,6,FALSE)</f>
        <v>0</v>
      </c>
      <c r="I108" s="117">
        <f>VLOOKUP(C108,'Talente &amp; Stuff'!AF:BG,7,FALSE)</f>
        <v>0</v>
      </c>
      <c r="J108" s="117">
        <f>VLOOKUP(C108,'Talente &amp; Stuff'!AF:BG,8,FALSE)</f>
        <v>0</v>
      </c>
      <c r="K108" s="117">
        <f>VLOOKUP(C108,'Talente &amp; Stuff'!AF:BG,9,FALSE)</f>
        <v>0</v>
      </c>
      <c r="L108" s="117">
        <f>VLOOKUP(C108,'Talente &amp; Stuff'!AF:BG,10,FALSE)</f>
        <v>0</v>
      </c>
      <c r="M108" s="121">
        <f>VLOOKUP(C108,'Talente &amp; Stuff'!AF:BG,11,FALSE)</f>
        <v>0</v>
      </c>
      <c r="N108" s="47">
        <f>VLOOKUP(C108,'Talente &amp; Stuff'!AF:BG,12,FALSE)</f>
        <v>0</v>
      </c>
      <c r="O108" s="3">
        <f>VLOOKUP(C108,'Talente &amp; Stuff'!AF:BG,13,FALSE)</f>
        <v>0</v>
      </c>
      <c r="P108" s="174">
        <f>VLOOKUP(C108,'Talente &amp; Stuff'!AF:BG,14,FALSE)</f>
        <v>0</v>
      </c>
      <c r="Q108" s="114">
        <f>VLOOKUP(C108,'Talente &amp; Stuff'!AF:BG,15,FALSE)</f>
        <v>0</v>
      </c>
      <c r="R108" s="117">
        <f>VLOOKUP(C108,'Talente &amp; Stuff'!AF:BG,16,FALSE)</f>
        <v>0</v>
      </c>
      <c r="S108" s="119">
        <f>VLOOKUP(C108,'Talente &amp; Stuff'!AF:BG,17,FALSE)</f>
        <v>0</v>
      </c>
      <c r="T108" s="119">
        <f>VLOOKUP(C108,'Talente &amp; Stuff'!AF:BG,18,FALSE)</f>
        <v>0</v>
      </c>
      <c r="U108" s="89">
        <f>VLOOKUP(C108,'Talente &amp; Stuff'!AF:BG,19,FALSE)</f>
        <v>0</v>
      </c>
      <c r="V108" s="47">
        <f>VLOOKUP(C108,'Talente &amp; Stuff'!AF:BG,20,FALSE)</f>
        <v>0</v>
      </c>
      <c r="W108" s="127">
        <f>VLOOKUP(C108,'Talente &amp; Stuff'!AF:BG,21,FALSE)</f>
        <v>0</v>
      </c>
      <c r="X108" s="127">
        <f>VLOOKUP(C108,'Talente &amp; Stuff'!AF:BG,22,FALSE)</f>
        <v>0</v>
      </c>
      <c r="Y108" s="165">
        <f t="shared" si="12"/>
        <v>0</v>
      </c>
      <c r="Z108" s="44">
        <f t="shared" si="13"/>
        <v>0</v>
      </c>
      <c r="AA108" s="125">
        <f>VLOOKUP(C108,'Talente &amp; Stuff'!AF:BG,25,FALSE)</f>
        <v>0</v>
      </c>
      <c r="AB108" s="160">
        <f>VLOOKUP(C108,'Talente &amp; Stuff'!AF:BG,26,FALSE)</f>
        <v>0</v>
      </c>
      <c r="AC108" s="127">
        <f>VLOOKUP(C108,'Talente &amp; Stuff'!AF:BG,27,FALSE)</f>
        <v>0</v>
      </c>
      <c r="AD108" s="125">
        <f>VLOOKUP(C108,'Talente &amp; Stuff'!AF:BG,28,FALSE)</f>
        <v>0</v>
      </c>
      <c r="AE108" s="28"/>
    </row>
    <row r="109" spans="2:31" s="148" customFormat="1" ht="15" hidden="1" customHeight="1" outlineLevel="2">
      <c r="B109" s="148">
        <v>10</v>
      </c>
      <c r="C109" s="177" t="str">
        <f>Attribute!C109</f>
        <v>---</v>
      </c>
      <c r="D109" s="86" t="str">
        <f>VLOOKUP(C109,'Talente &amp; Stuff'!AF:BG,2,FALSE)</f>
        <v>--/--/--</v>
      </c>
      <c r="E109" s="167" t="str">
        <f>VLOOKUP(C109,'Talente &amp; Stuff'!AF:BG,3,FALSE)</f>
        <v>-</v>
      </c>
      <c r="F109" s="120">
        <f>VLOOKUP(C109,'Talente &amp; Stuff'!AF:BG,4,FALSE)</f>
        <v>0</v>
      </c>
      <c r="G109" s="117">
        <f>VLOOKUP(C109,'Talente &amp; Stuff'!AF:BG,5,FALSE)</f>
        <v>0</v>
      </c>
      <c r="H109" s="117">
        <f>VLOOKUP(C109,'Talente &amp; Stuff'!AF:BG,6,FALSE)</f>
        <v>0</v>
      </c>
      <c r="I109" s="117">
        <f>VLOOKUP(C109,'Talente &amp; Stuff'!AF:BG,7,FALSE)</f>
        <v>0</v>
      </c>
      <c r="J109" s="117">
        <f>VLOOKUP(C109,'Talente &amp; Stuff'!AF:BG,8,FALSE)</f>
        <v>0</v>
      </c>
      <c r="K109" s="117">
        <f>VLOOKUP(C109,'Talente &amp; Stuff'!AF:BG,9,FALSE)</f>
        <v>0</v>
      </c>
      <c r="L109" s="117">
        <f>VLOOKUP(C109,'Talente &amp; Stuff'!AF:BG,10,FALSE)</f>
        <v>0</v>
      </c>
      <c r="M109" s="121">
        <f>VLOOKUP(C109,'Talente &amp; Stuff'!AF:BG,11,FALSE)</f>
        <v>0</v>
      </c>
      <c r="N109" s="47">
        <f>VLOOKUP(C109,'Talente &amp; Stuff'!AF:BG,12,FALSE)</f>
        <v>0</v>
      </c>
      <c r="O109" s="3">
        <f>VLOOKUP(C109,'Talente &amp; Stuff'!AF:BG,13,FALSE)</f>
        <v>0</v>
      </c>
      <c r="P109" s="174">
        <f>VLOOKUP(C109,'Talente &amp; Stuff'!AF:BG,14,FALSE)</f>
        <v>0</v>
      </c>
      <c r="Q109" s="114">
        <f>VLOOKUP(C109,'Talente &amp; Stuff'!AF:BG,15,FALSE)</f>
        <v>0</v>
      </c>
      <c r="R109" s="117">
        <f>VLOOKUP(C109,'Talente &amp; Stuff'!AF:BG,16,FALSE)</f>
        <v>0</v>
      </c>
      <c r="S109" s="119">
        <f>VLOOKUP(C109,'Talente &amp; Stuff'!AF:BG,17,FALSE)</f>
        <v>0</v>
      </c>
      <c r="T109" s="119">
        <f>VLOOKUP(C109,'Talente &amp; Stuff'!AF:BG,18,FALSE)</f>
        <v>0</v>
      </c>
      <c r="U109" s="89">
        <f>VLOOKUP(C109,'Talente &amp; Stuff'!AF:BG,19,FALSE)</f>
        <v>0</v>
      </c>
      <c r="V109" s="47">
        <f>VLOOKUP(C109,'Talente &amp; Stuff'!AF:BG,20,FALSE)</f>
        <v>0</v>
      </c>
      <c r="W109" s="127">
        <f>VLOOKUP(C109,'Talente &amp; Stuff'!AF:BG,21,FALSE)</f>
        <v>0</v>
      </c>
      <c r="X109" s="127">
        <f>VLOOKUP(C109,'Talente &amp; Stuff'!AF:BG,22,FALSE)</f>
        <v>0</v>
      </c>
      <c r="Y109" s="165">
        <f t="shared" si="12"/>
        <v>0</v>
      </c>
      <c r="Z109" s="44">
        <f t="shared" si="13"/>
        <v>0</v>
      </c>
      <c r="AA109" s="125">
        <f>VLOOKUP(C109,'Talente &amp; Stuff'!AF:BG,25,FALSE)</f>
        <v>0</v>
      </c>
      <c r="AB109" s="160">
        <f>VLOOKUP(C109,'Talente &amp; Stuff'!AF:BG,26,FALSE)</f>
        <v>0</v>
      </c>
      <c r="AC109" s="127">
        <f>VLOOKUP(C109,'Talente &amp; Stuff'!AF:BG,27,FALSE)</f>
        <v>0</v>
      </c>
      <c r="AD109" s="125">
        <f>VLOOKUP(C109,'Talente &amp; Stuff'!AF:BG,28,FALSE)</f>
        <v>0</v>
      </c>
      <c r="AE109" s="28"/>
    </row>
    <row r="110" spans="2:31" s="148" customFormat="1" ht="15" hidden="1" customHeight="1" outlineLevel="2">
      <c r="B110" s="148">
        <v>11</v>
      </c>
      <c r="C110" s="177" t="str">
        <f>Attribute!C110</f>
        <v>---</v>
      </c>
      <c r="D110" s="86" t="str">
        <f>VLOOKUP(C110,'Talente &amp; Stuff'!AF:BG,2,FALSE)</f>
        <v>--/--/--</v>
      </c>
      <c r="E110" s="167" t="str">
        <f>VLOOKUP(C110,'Talente &amp; Stuff'!AF:BG,3,FALSE)</f>
        <v>-</v>
      </c>
      <c r="F110" s="120">
        <f>VLOOKUP(C110,'Talente &amp; Stuff'!AF:BG,4,FALSE)</f>
        <v>0</v>
      </c>
      <c r="G110" s="117">
        <f>VLOOKUP(C110,'Talente &amp; Stuff'!AF:BG,5,FALSE)</f>
        <v>0</v>
      </c>
      <c r="H110" s="117">
        <f>VLOOKUP(C110,'Talente &amp; Stuff'!AF:BG,6,FALSE)</f>
        <v>0</v>
      </c>
      <c r="I110" s="117">
        <f>VLOOKUP(C110,'Talente &amp; Stuff'!AF:BG,7,FALSE)</f>
        <v>0</v>
      </c>
      <c r="J110" s="117">
        <f>VLOOKUP(C110,'Talente &amp; Stuff'!AF:BG,8,FALSE)</f>
        <v>0</v>
      </c>
      <c r="K110" s="117">
        <f>VLOOKUP(C110,'Talente &amp; Stuff'!AF:BG,9,FALSE)</f>
        <v>0</v>
      </c>
      <c r="L110" s="117">
        <f>VLOOKUP(C110,'Talente &amp; Stuff'!AF:BG,10,FALSE)</f>
        <v>0</v>
      </c>
      <c r="M110" s="121">
        <f>VLOOKUP(C110,'Talente &amp; Stuff'!AF:BG,11,FALSE)</f>
        <v>0</v>
      </c>
      <c r="N110" s="47">
        <f>VLOOKUP(C110,'Talente &amp; Stuff'!AF:BG,12,FALSE)</f>
        <v>0</v>
      </c>
      <c r="O110" s="3">
        <f>VLOOKUP(C110,'Talente &amp; Stuff'!AF:BG,13,FALSE)</f>
        <v>0</v>
      </c>
      <c r="P110" s="174">
        <f>VLOOKUP(C110,'Talente &amp; Stuff'!AF:BG,14,FALSE)</f>
        <v>0</v>
      </c>
      <c r="Q110" s="114">
        <f>VLOOKUP(C110,'Talente &amp; Stuff'!AF:BG,15,FALSE)</f>
        <v>0</v>
      </c>
      <c r="R110" s="117">
        <f>VLOOKUP(C110,'Talente &amp; Stuff'!AF:BG,16,FALSE)</f>
        <v>0</v>
      </c>
      <c r="S110" s="119">
        <f>VLOOKUP(C110,'Talente &amp; Stuff'!AF:BG,17,FALSE)</f>
        <v>0</v>
      </c>
      <c r="T110" s="119">
        <f>VLOOKUP(C110,'Talente &amp; Stuff'!AF:BG,18,FALSE)</f>
        <v>0</v>
      </c>
      <c r="U110" s="89">
        <f>VLOOKUP(C110,'Talente &amp; Stuff'!AF:BG,19,FALSE)</f>
        <v>0</v>
      </c>
      <c r="V110" s="47">
        <f>VLOOKUP(C110,'Talente &amp; Stuff'!AF:BG,20,FALSE)</f>
        <v>0</v>
      </c>
      <c r="W110" s="127">
        <f>VLOOKUP(C110,'Talente &amp; Stuff'!AF:BG,21,FALSE)</f>
        <v>0</v>
      </c>
      <c r="X110" s="127">
        <f>VLOOKUP(C110,'Talente &amp; Stuff'!AF:BG,22,FALSE)</f>
        <v>0</v>
      </c>
      <c r="Y110" s="165">
        <f t="shared" si="12"/>
        <v>0</v>
      </c>
      <c r="Z110" s="44">
        <f t="shared" si="13"/>
        <v>0</v>
      </c>
      <c r="AA110" s="125">
        <f>VLOOKUP(C110,'Talente &amp; Stuff'!AF:BG,25,FALSE)</f>
        <v>0</v>
      </c>
      <c r="AB110" s="160">
        <f>VLOOKUP(C110,'Talente &amp; Stuff'!AF:BG,26,FALSE)</f>
        <v>0</v>
      </c>
      <c r="AC110" s="127">
        <f>VLOOKUP(C110,'Talente &amp; Stuff'!AF:BG,27,FALSE)</f>
        <v>0</v>
      </c>
      <c r="AD110" s="125">
        <f>VLOOKUP(C110,'Talente &amp; Stuff'!AF:BG,28,FALSE)</f>
        <v>0</v>
      </c>
      <c r="AE110" s="28"/>
    </row>
    <row r="111" spans="2:31" s="148" customFormat="1" ht="15" hidden="1" customHeight="1" outlineLevel="2">
      <c r="B111" s="148">
        <v>12</v>
      </c>
      <c r="C111" s="177" t="str">
        <f>Attribute!C111</f>
        <v>---</v>
      </c>
      <c r="D111" s="86" t="str">
        <f>VLOOKUP(C111,'Talente &amp; Stuff'!AF:BG,2,FALSE)</f>
        <v>--/--/--</v>
      </c>
      <c r="E111" s="167" t="str">
        <f>VLOOKUP(C111,'Talente &amp; Stuff'!AF:BG,3,FALSE)</f>
        <v>-</v>
      </c>
      <c r="F111" s="120">
        <f>VLOOKUP(C111,'Talente &amp; Stuff'!AF:BG,4,FALSE)</f>
        <v>0</v>
      </c>
      <c r="G111" s="117">
        <f>VLOOKUP(C111,'Talente &amp; Stuff'!AF:BG,5,FALSE)</f>
        <v>0</v>
      </c>
      <c r="H111" s="117">
        <f>VLOOKUP(C111,'Talente &amp; Stuff'!AF:BG,6,FALSE)</f>
        <v>0</v>
      </c>
      <c r="I111" s="117">
        <f>VLOOKUP(C111,'Talente &amp; Stuff'!AF:BG,7,FALSE)</f>
        <v>0</v>
      </c>
      <c r="J111" s="117">
        <f>VLOOKUP(C111,'Talente &amp; Stuff'!AF:BG,8,FALSE)</f>
        <v>0</v>
      </c>
      <c r="K111" s="117">
        <f>VLOOKUP(C111,'Talente &amp; Stuff'!AF:BG,9,FALSE)</f>
        <v>0</v>
      </c>
      <c r="L111" s="117">
        <f>VLOOKUP(C111,'Talente &amp; Stuff'!AF:BG,10,FALSE)</f>
        <v>0</v>
      </c>
      <c r="M111" s="121">
        <f>VLOOKUP(C111,'Talente &amp; Stuff'!AF:BG,11,FALSE)</f>
        <v>0</v>
      </c>
      <c r="N111" s="47">
        <f>VLOOKUP(C111,'Talente &amp; Stuff'!AF:BG,12,FALSE)</f>
        <v>0</v>
      </c>
      <c r="O111" s="3">
        <f>VLOOKUP(C111,'Talente &amp; Stuff'!AF:BG,13,FALSE)</f>
        <v>0</v>
      </c>
      <c r="P111" s="174">
        <f>VLOOKUP(C111,'Talente &amp; Stuff'!AF:BG,14,FALSE)</f>
        <v>0</v>
      </c>
      <c r="Q111" s="114">
        <f>VLOOKUP(C111,'Talente &amp; Stuff'!AF:BG,15,FALSE)</f>
        <v>0</v>
      </c>
      <c r="R111" s="117">
        <f>VLOOKUP(C111,'Talente &amp; Stuff'!AF:BG,16,FALSE)</f>
        <v>0</v>
      </c>
      <c r="S111" s="119">
        <f>VLOOKUP(C111,'Talente &amp; Stuff'!AF:BG,17,FALSE)</f>
        <v>0</v>
      </c>
      <c r="T111" s="119">
        <f>VLOOKUP(C111,'Talente &amp; Stuff'!AF:BG,18,FALSE)</f>
        <v>0</v>
      </c>
      <c r="U111" s="89">
        <f>VLOOKUP(C111,'Talente &amp; Stuff'!AF:BG,19,FALSE)</f>
        <v>0</v>
      </c>
      <c r="V111" s="47">
        <f>VLOOKUP(C111,'Talente &amp; Stuff'!AF:BG,20,FALSE)</f>
        <v>0</v>
      </c>
      <c r="W111" s="127">
        <f>VLOOKUP(C111,'Talente &amp; Stuff'!AF:BG,21,FALSE)</f>
        <v>0</v>
      </c>
      <c r="X111" s="127">
        <f>VLOOKUP(C111,'Talente &amp; Stuff'!AF:BG,22,FALSE)</f>
        <v>0</v>
      </c>
      <c r="Y111" s="165">
        <f t="shared" si="12"/>
        <v>0</v>
      </c>
      <c r="Z111" s="44">
        <f t="shared" si="13"/>
        <v>0</v>
      </c>
      <c r="AA111" s="125">
        <f>VLOOKUP(C111,'Talente &amp; Stuff'!AF:BG,25,FALSE)</f>
        <v>0</v>
      </c>
      <c r="AB111" s="160">
        <f>VLOOKUP(C111,'Talente &amp; Stuff'!AF:BG,26,FALSE)</f>
        <v>0</v>
      </c>
      <c r="AC111" s="127">
        <f>VLOOKUP(C111,'Talente &amp; Stuff'!AF:BG,27,FALSE)</f>
        <v>0</v>
      </c>
      <c r="AD111" s="125">
        <f>VLOOKUP(C111,'Talente &amp; Stuff'!AF:BG,28,FALSE)</f>
        <v>0</v>
      </c>
      <c r="AE111" s="28"/>
    </row>
    <row r="112" spans="2:31" s="148" customFormat="1" ht="15" hidden="1" customHeight="1" outlineLevel="2">
      <c r="B112" s="148">
        <v>13</v>
      </c>
      <c r="C112" s="177" t="str">
        <f>Attribute!C112</f>
        <v>---</v>
      </c>
      <c r="D112" s="86" t="str">
        <f>VLOOKUP(C112,'Talente &amp; Stuff'!AF:BG,2,FALSE)</f>
        <v>--/--/--</v>
      </c>
      <c r="E112" s="167" t="str">
        <f>VLOOKUP(C112,'Talente &amp; Stuff'!AF:BG,3,FALSE)</f>
        <v>-</v>
      </c>
      <c r="F112" s="120">
        <f>VLOOKUP(C112,'Talente &amp; Stuff'!AF:BG,4,FALSE)</f>
        <v>0</v>
      </c>
      <c r="G112" s="117">
        <f>VLOOKUP(C112,'Talente &amp; Stuff'!AF:BG,5,FALSE)</f>
        <v>0</v>
      </c>
      <c r="H112" s="117">
        <f>VLOOKUP(C112,'Talente &amp; Stuff'!AF:BG,6,FALSE)</f>
        <v>0</v>
      </c>
      <c r="I112" s="117">
        <f>VLOOKUP(C112,'Talente &amp; Stuff'!AF:BG,7,FALSE)</f>
        <v>0</v>
      </c>
      <c r="J112" s="117">
        <f>VLOOKUP(C112,'Talente &amp; Stuff'!AF:BG,8,FALSE)</f>
        <v>0</v>
      </c>
      <c r="K112" s="117">
        <f>VLOOKUP(C112,'Talente &amp; Stuff'!AF:BG,9,FALSE)</f>
        <v>0</v>
      </c>
      <c r="L112" s="117">
        <f>VLOOKUP(C112,'Talente &amp; Stuff'!AF:BG,10,FALSE)</f>
        <v>0</v>
      </c>
      <c r="M112" s="121">
        <f>VLOOKUP(C112,'Talente &amp; Stuff'!AF:BG,11,FALSE)</f>
        <v>0</v>
      </c>
      <c r="N112" s="47">
        <f>VLOOKUP(C112,'Talente &amp; Stuff'!AF:BG,12,FALSE)</f>
        <v>0</v>
      </c>
      <c r="O112" s="3">
        <f>VLOOKUP(C112,'Talente &amp; Stuff'!AF:BG,13,FALSE)</f>
        <v>0</v>
      </c>
      <c r="P112" s="174">
        <f>VLOOKUP(C112,'Talente &amp; Stuff'!AF:BG,14,FALSE)</f>
        <v>0</v>
      </c>
      <c r="Q112" s="114">
        <f>VLOOKUP(C112,'Talente &amp; Stuff'!AF:BG,15,FALSE)</f>
        <v>0</v>
      </c>
      <c r="R112" s="117">
        <f>VLOOKUP(C112,'Talente &amp; Stuff'!AF:BG,16,FALSE)</f>
        <v>0</v>
      </c>
      <c r="S112" s="119">
        <f>VLOOKUP(C112,'Talente &amp; Stuff'!AF:BG,17,FALSE)</f>
        <v>0</v>
      </c>
      <c r="T112" s="119">
        <f>VLOOKUP(C112,'Talente &amp; Stuff'!AF:BG,18,FALSE)</f>
        <v>0</v>
      </c>
      <c r="U112" s="89">
        <f>VLOOKUP(C112,'Talente &amp; Stuff'!AF:BG,19,FALSE)</f>
        <v>0</v>
      </c>
      <c r="V112" s="47">
        <f>VLOOKUP(C112,'Talente &amp; Stuff'!AF:BG,20,FALSE)</f>
        <v>0</v>
      </c>
      <c r="W112" s="127">
        <f>VLOOKUP(C112,'Talente &amp; Stuff'!AF:BG,21,FALSE)</f>
        <v>0</v>
      </c>
      <c r="X112" s="127">
        <f>VLOOKUP(C112,'Talente &amp; Stuff'!AF:BG,22,FALSE)</f>
        <v>0</v>
      </c>
      <c r="Y112" s="165">
        <f t="shared" si="12"/>
        <v>0</v>
      </c>
      <c r="Z112" s="44">
        <f t="shared" si="13"/>
        <v>0</v>
      </c>
      <c r="AA112" s="125">
        <f>VLOOKUP(C112,'Talente &amp; Stuff'!AF:BG,25,FALSE)</f>
        <v>0</v>
      </c>
      <c r="AB112" s="160">
        <f>VLOOKUP(C112,'Talente &amp; Stuff'!AF:BG,26,FALSE)</f>
        <v>0</v>
      </c>
      <c r="AC112" s="127">
        <f>VLOOKUP(C112,'Talente &amp; Stuff'!AF:BG,27,FALSE)</f>
        <v>0</v>
      </c>
      <c r="AD112" s="125">
        <f>VLOOKUP(C112,'Talente &amp; Stuff'!AF:BG,28,FALSE)</f>
        <v>0</v>
      </c>
      <c r="AE112" s="28"/>
    </row>
    <row r="113" spans="2:31" s="148" customFormat="1" ht="15" hidden="1" customHeight="1" outlineLevel="2">
      <c r="B113" s="148">
        <v>14</v>
      </c>
      <c r="C113" s="177" t="str">
        <f>Attribute!C113</f>
        <v>---</v>
      </c>
      <c r="D113" s="86" t="str">
        <f>VLOOKUP(C113,'Talente &amp; Stuff'!AF:BG,2,FALSE)</f>
        <v>--/--/--</v>
      </c>
      <c r="E113" s="167" t="str">
        <f>VLOOKUP(C113,'Talente &amp; Stuff'!AF:BG,3,FALSE)</f>
        <v>-</v>
      </c>
      <c r="F113" s="120">
        <f>VLOOKUP(C113,'Talente &amp; Stuff'!AF:BG,4,FALSE)</f>
        <v>0</v>
      </c>
      <c r="G113" s="117">
        <f>VLOOKUP(C113,'Talente &amp; Stuff'!AF:BG,5,FALSE)</f>
        <v>0</v>
      </c>
      <c r="H113" s="117">
        <f>VLOOKUP(C113,'Talente &amp; Stuff'!AF:BG,6,FALSE)</f>
        <v>0</v>
      </c>
      <c r="I113" s="117">
        <f>VLOOKUP(C113,'Talente &amp; Stuff'!AF:BG,7,FALSE)</f>
        <v>0</v>
      </c>
      <c r="J113" s="117">
        <f>VLOOKUP(C113,'Talente &amp; Stuff'!AF:BG,8,FALSE)</f>
        <v>0</v>
      </c>
      <c r="K113" s="117">
        <f>VLOOKUP(C113,'Talente &amp; Stuff'!AF:BG,9,FALSE)</f>
        <v>0</v>
      </c>
      <c r="L113" s="117">
        <f>VLOOKUP(C113,'Talente &amp; Stuff'!AF:BG,10,FALSE)</f>
        <v>0</v>
      </c>
      <c r="M113" s="121">
        <f>VLOOKUP(C113,'Talente &amp; Stuff'!AF:BG,11,FALSE)</f>
        <v>0</v>
      </c>
      <c r="N113" s="47">
        <f>VLOOKUP(C113,'Talente &amp; Stuff'!AF:BG,12,FALSE)</f>
        <v>0</v>
      </c>
      <c r="O113" s="3">
        <f>VLOOKUP(C113,'Talente &amp; Stuff'!AF:BG,13,FALSE)</f>
        <v>0</v>
      </c>
      <c r="P113" s="174">
        <f>VLOOKUP(C113,'Talente &amp; Stuff'!AF:BG,14,FALSE)</f>
        <v>0</v>
      </c>
      <c r="Q113" s="114">
        <f>VLOOKUP(C113,'Talente &amp; Stuff'!AF:BG,15,FALSE)</f>
        <v>0</v>
      </c>
      <c r="R113" s="117">
        <f>VLOOKUP(C113,'Talente &amp; Stuff'!AF:BG,16,FALSE)</f>
        <v>0</v>
      </c>
      <c r="S113" s="119">
        <f>VLOOKUP(C113,'Talente &amp; Stuff'!AF:BG,17,FALSE)</f>
        <v>0</v>
      </c>
      <c r="T113" s="119">
        <f>VLOOKUP(C113,'Talente &amp; Stuff'!AF:BG,18,FALSE)</f>
        <v>0</v>
      </c>
      <c r="U113" s="89">
        <f>VLOOKUP(C113,'Talente &amp; Stuff'!AF:BG,19,FALSE)</f>
        <v>0</v>
      </c>
      <c r="V113" s="47">
        <f>VLOOKUP(C113,'Talente &amp; Stuff'!AF:BG,20,FALSE)</f>
        <v>0</v>
      </c>
      <c r="W113" s="127">
        <f>VLOOKUP(C113,'Talente &amp; Stuff'!AF:BG,21,FALSE)</f>
        <v>0</v>
      </c>
      <c r="X113" s="127">
        <f>VLOOKUP(C113,'Talente &amp; Stuff'!AF:BG,22,FALSE)</f>
        <v>0</v>
      </c>
      <c r="Y113" s="165">
        <f t="shared" si="12"/>
        <v>0</v>
      </c>
      <c r="Z113" s="44">
        <f t="shared" si="13"/>
        <v>0</v>
      </c>
      <c r="AA113" s="125">
        <f>VLOOKUP(C113,'Talente &amp; Stuff'!AF:BG,25,FALSE)</f>
        <v>0</v>
      </c>
      <c r="AB113" s="160">
        <f>VLOOKUP(C113,'Talente &amp; Stuff'!AF:BG,26,FALSE)</f>
        <v>0</v>
      </c>
      <c r="AC113" s="127">
        <f>VLOOKUP(C113,'Talente &amp; Stuff'!AF:BG,27,FALSE)</f>
        <v>0</v>
      </c>
      <c r="AD113" s="125">
        <f>VLOOKUP(C113,'Talente &amp; Stuff'!AF:BG,28,FALSE)</f>
        <v>0</v>
      </c>
      <c r="AE113" s="28"/>
    </row>
    <row r="114" spans="2:31" s="148" customFormat="1" ht="15" hidden="1" customHeight="1" outlineLevel="2">
      <c r="B114" s="148">
        <v>15</v>
      </c>
      <c r="C114" s="177" t="str">
        <f>Attribute!C114</f>
        <v>---</v>
      </c>
      <c r="D114" s="86" t="str">
        <f>VLOOKUP(C114,'Talente &amp; Stuff'!AF:BG,2,FALSE)</f>
        <v>--/--/--</v>
      </c>
      <c r="E114" s="167" t="str">
        <f>VLOOKUP(C114,'Talente &amp; Stuff'!AF:BG,3,FALSE)</f>
        <v>-</v>
      </c>
      <c r="F114" s="120">
        <f>VLOOKUP(C114,'Talente &amp; Stuff'!AF:BG,4,FALSE)</f>
        <v>0</v>
      </c>
      <c r="G114" s="117">
        <f>VLOOKUP(C114,'Talente &amp; Stuff'!AF:BG,5,FALSE)</f>
        <v>0</v>
      </c>
      <c r="H114" s="117">
        <f>VLOOKUP(C114,'Talente &amp; Stuff'!AF:BG,6,FALSE)</f>
        <v>0</v>
      </c>
      <c r="I114" s="117">
        <f>VLOOKUP(C114,'Talente &amp; Stuff'!AF:BG,7,FALSE)</f>
        <v>0</v>
      </c>
      <c r="J114" s="117">
        <f>VLOOKUP(C114,'Talente &amp; Stuff'!AF:BG,8,FALSE)</f>
        <v>0</v>
      </c>
      <c r="K114" s="117">
        <f>VLOOKUP(C114,'Talente &amp; Stuff'!AF:BG,9,FALSE)</f>
        <v>0</v>
      </c>
      <c r="L114" s="117">
        <f>VLOOKUP(C114,'Talente &amp; Stuff'!AF:BG,10,FALSE)</f>
        <v>0</v>
      </c>
      <c r="M114" s="121">
        <f>VLOOKUP(C114,'Talente &amp; Stuff'!AF:BG,11,FALSE)</f>
        <v>0</v>
      </c>
      <c r="N114" s="47">
        <f>VLOOKUP(C114,'Talente &amp; Stuff'!AF:BG,12,FALSE)</f>
        <v>0</v>
      </c>
      <c r="O114" s="3">
        <f>VLOOKUP(C114,'Talente &amp; Stuff'!AF:BG,13,FALSE)</f>
        <v>0</v>
      </c>
      <c r="P114" s="174">
        <f>VLOOKUP(C114,'Talente &amp; Stuff'!AF:BG,14,FALSE)</f>
        <v>0</v>
      </c>
      <c r="Q114" s="114">
        <f>VLOOKUP(C114,'Talente &amp; Stuff'!AF:BG,15,FALSE)</f>
        <v>0</v>
      </c>
      <c r="R114" s="117">
        <f>VLOOKUP(C114,'Talente &amp; Stuff'!AF:BG,16,FALSE)</f>
        <v>0</v>
      </c>
      <c r="S114" s="119">
        <f>VLOOKUP(C114,'Talente &amp; Stuff'!AF:BG,17,FALSE)</f>
        <v>0</v>
      </c>
      <c r="T114" s="119">
        <f>VLOOKUP(C114,'Talente &amp; Stuff'!AF:BG,18,FALSE)</f>
        <v>0</v>
      </c>
      <c r="U114" s="89">
        <f>VLOOKUP(C114,'Talente &amp; Stuff'!AF:BG,19,FALSE)</f>
        <v>0</v>
      </c>
      <c r="V114" s="47">
        <f>VLOOKUP(C114,'Talente &amp; Stuff'!AF:BG,20,FALSE)</f>
        <v>0</v>
      </c>
      <c r="W114" s="127">
        <f>VLOOKUP(C114,'Talente &amp; Stuff'!AF:BG,21,FALSE)</f>
        <v>0</v>
      </c>
      <c r="X114" s="127">
        <f>VLOOKUP(C114,'Talente &amp; Stuff'!AF:BG,22,FALSE)</f>
        <v>0</v>
      </c>
      <c r="Y114" s="165">
        <f t="shared" si="12"/>
        <v>0</v>
      </c>
      <c r="Z114" s="44">
        <f t="shared" si="13"/>
        <v>0</v>
      </c>
      <c r="AA114" s="125">
        <f>VLOOKUP(C114,'Talente &amp; Stuff'!AF:BG,25,FALSE)</f>
        <v>0</v>
      </c>
      <c r="AB114" s="160">
        <f>VLOOKUP(C114,'Talente &amp; Stuff'!AF:BG,26,FALSE)</f>
        <v>0</v>
      </c>
      <c r="AC114" s="127">
        <f>VLOOKUP(C114,'Talente &amp; Stuff'!AF:BG,27,FALSE)</f>
        <v>0</v>
      </c>
      <c r="AD114" s="125">
        <f>VLOOKUP(C114,'Talente &amp; Stuff'!AF:BG,28,FALSE)</f>
        <v>0</v>
      </c>
      <c r="AE114" s="28"/>
    </row>
    <row r="115" spans="2:31" s="148" customFormat="1" ht="15" hidden="1" customHeight="1" outlineLevel="2">
      <c r="B115" s="148">
        <v>16</v>
      </c>
      <c r="C115" s="177" t="str">
        <f>Attribute!C115</f>
        <v>---</v>
      </c>
      <c r="D115" s="86" t="str">
        <f>VLOOKUP(C115,'Talente &amp; Stuff'!AF:BG,2,FALSE)</f>
        <v>--/--/--</v>
      </c>
      <c r="E115" s="167" t="str">
        <f>VLOOKUP(C115,'Talente &amp; Stuff'!AF:BG,3,FALSE)</f>
        <v>-</v>
      </c>
      <c r="F115" s="120">
        <f>VLOOKUP(C115,'Talente &amp; Stuff'!AF:BG,4,FALSE)</f>
        <v>0</v>
      </c>
      <c r="G115" s="117">
        <f>VLOOKUP(C115,'Talente &amp; Stuff'!AF:BG,5,FALSE)</f>
        <v>0</v>
      </c>
      <c r="H115" s="117">
        <f>VLOOKUP(C115,'Talente &amp; Stuff'!AF:BG,6,FALSE)</f>
        <v>0</v>
      </c>
      <c r="I115" s="117">
        <f>VLOOKUP(C115,'Talente &amp; Stuff'!AF:BG,7,FALSE)</f>
        <v>0</v>
      </c>
      <c r="J115" s="117">
        <f>VLOOKUP(C115,'Talente &amp; Stuff'!AF:BG,8,FALSE)</f>
        <v>0</v>
      </c>
      <c r="K115" s="117">
        <f>VLOOKUP(C115,'Talente &amp; Stuff'!AF:BG,9,FALSE)</f>
        <v>0</v>
      </c>
      <c r="L115" s="117">
        <f>VLOOKUP(C115,'Talente &amp; Stuff'!AF:BG,10,FALSE)</f>
        <v>0</v>
      </c>
      <c r="M115" s="121">
        <f>VLOOKUP(C115,'Talente &amp; Stuff'!AF:BG,11,FALSE)</f>
        <v>0</v>
      </c>
      <c r="N115" s="47">
        <f>VLOOKUP(C115,'Talente &amp; Stuff'!AF:BG,12,FALSE)</f>
        <v>0</v>
      </c>
      <c r="O115" s="3">
        <f>VLOOKUP(C115,'Talente &amp; Stuff'!AF:BG,13,FALSE)</f>
        <v>0</v>
      </c>
      <c r="P115" s="174">
        <f>VLOOKUP(C115,'Talente &amp; Stuff'!AF:BG,14,FALSE)</f>
        <v>0</v>
      </c>
      <c r="Q115" s="114">
        <f>VLOOKUP(C115,'Talente &amp; Stuff'!AF:BG,15,FALSE)</f>
        <v>0</v>
      </c>
      <c r="R115" s="117">
        <f>VLOOKUP(C115,'Talente &amp; Stuff'!AF:BG,16,FALSE)</f>
        <v>0</v>
      </c>
      <c r="S115" s="119">
        <f>VLOOKUP(C115,'Talente &amp; Stuff'!AF:BG,17,FALSE)</f>
        <v>0</v>
      </c>
      <c r="T115" s="119">
        <f>VLOOKUP(C115,'Talente &amp; Stuff'!AF:BG,18,FALSE)</f>
        <v>0</v>
      </c>
      <c r="U115" s="89">
        <f>VLOOKUP(C115,'Talente &amp; Stuff'!AF:BG,19,FALSE)</f>
        <v>0</v>
      </c>
      <c r="V115" s="47">
        <f>VLOOKUP(C115,'Talente &amp; Stuff'!AF:BG,20,FALSE)</f>
        <v>0</v>
      </c>
      <c r="W115" s="127">
        <f>VLOOKUP(C115,'Talente &amp; Stuff'!AF:BG,21,FALSE)</f>
        <v>0</v>
      </c>
      <c r="X115" s="127">
        <f>VLOOKUP(C115,'Talente &amp; Stuff'!AF:BG,22,FALSE)</f>
        <v>0</v>
      </c>
      <c r="Y115" s="165">
        <f t="shared" si="12"/>
        <v>0</v>
      </c>
      <c r="Z115" s="44">
        <f t="shared" si="13"/>
        <v>0</v>
      </c>
      <c r="AA115" s="125">
        <f>VLOOKUP(C115,'Talente &amp; Stuff'!AF:BG,25,FALSE)</f>
        <v>0</v>
      </c>
      <c r="AB115" s="160">
        <f>VLOOKUP(C115,'Talente &amp; Stuff'!AF:BG,26,FALSE)</f>
        <v>0</v>
      </c>
      <c r="AC115" s="127">
        <f>VLOOKUP(C115,'Talente &amp; Stuff'!AF:BG,27,FALSE)</f>
        <v>0</v>
      </c>
      <c r="AD115" s="125">
        <f>VLOOKUP(C115,'Talente &amp; Stuff'!AF:BG,28,FALSE)</f>
        <v>0</v>
      </c>
      <c r="AE115" s="28"/>
    </row>
    <row r="116" spans="2:31" s="148" customFormat="1" ht="15" hidden="1" customHeight="1" outlineLevel="2">
      <c r="B116" s="148">
        <v>17</v>
      </c>
      <c r="C116" s="177" t="str">
        <f>Attribute!C116</f>
        <v>---</v>
      </c>
      <c r="D116" s="86" t="str">
        <f>VLOOKUP(C116,'Talente &amp; Stuff'!AF:BG,2,FALSE)</f>
        <v>--/--/--</v>
      </c>
      <c r="E116" s="167" t="str">
        <f>VLOOKUP(C116,'Talente &amp; Stuff'!AF:BG,3,FALSE)</f>
        <v>-</v>
      </c>
      <c r="F116" s="120">
        <f>VLOOKUP(C116,'Talente &amp; Stuff'!AF:BG,4,FALSE)</f>
        <v>0</v>
      </c>
      <c r="G116" s="117">
        <f>VLOOKUP(C116,'Talente &amp; Stuff'!AF:BG,5,FALSE)</f>
        <v>0</v>
      </c>
      <c r="H116" s="117">
        <f>VLOOKUP(C116,'Talente &amp; Stuff'!AF:BG,6,FALSE)</f>
        <v>0</v>
      </c>
      <c r="I116" s="117">
        <f>VLOOKUP(C116,'Talente &amp; Stuff'!AF:BG,7,FALSE)</f>
        <v>0</v>
      </c>
      <c r="J116" s="117">
        <f>VLOOKUP(C116,'Talente &amp; Stuff'!AF:BG,8,FALSE)</f>
        <v>0</v>
      </c>
      <c r="K116" s="117">
        <f>VLOOKUP(C116,'Talente &amp; Stuff'!AF:BG,9,FALSE)</f>
        <v>0</v>
      </c>
      <c r="L116" s="117">
        <f>VLOOKUP(C116,'Talente &amp; Stuff'!AF:BG,10,FALSE)</f>
        <v>0</v>
      </c>
      <c r="M116" s="121">
        <f>VLOOKUP(C116,'Talente &amp; Stuff'!AF:BG,11,FALSE)</f>
        <v>0</v>
      </c>
      <c r="N116" s="47">
        <f>VLOOKUP(C116,'Talente &amp; Stuff'!AF:BG,12,FALSE)</f>
        <v>0</v>
      </c>
      <c r="O116" s="3">
        <f>VLOOKUP(C116,'Talente &amp; Stuff'!AF:BG,13,FALSE)</f>
        <v>0</v>
      </c>
      <c r="P116" s="174">
        <f>VLOOKUP(C116,'Talente &amp; Stuff'!AF:BG,14,FALSE)</f>
        <v>0</v>
      </c>
      <c r="Q116" s="114">
        <f>VLOOKUP(C116,'Talente &amp; Stuff'!AF:BG,15,FALSE)</f>
        <v>0</v>
      </c>
      <c r="R116" s="117">
        <f>VLOOKUP(C116,'Talente &amp; Stuff'!AF:BG,16,FALSE)</f>
        <v>0</v>
      </c>
      <c r="S116" s="119">
        <f>VLOOKUP(C116,'Talente &amp; Stuff'!AF:BG,17,FALSE)</f>
        <v>0</v>
      </c>
      <c r="T116" s="119">
        <f>VLOOKUP(C116,'Talente &amp; Stuff'!AF:BG,18,FALSE)</f>
        <v>0</v>
      </c>
      <c r="U116" s="89">
        <f>VLOOKUP(C116,'Talente &amp; Stuff'!AF:BG,19,FALSE)</f>
        <v>0</v>
      </c>
      <c r="V116" s="47">
        <f>VLOOKUP(C116,'Talente &amp; Stuff'!AF:BG,20,FALSE)</f>
        <v>0</v>
      </c>
      <c r="W116" s="127">
        <f>VLOOKUP(C116,'Talente &amp; Stuff'!AF:BG,21,FALSE)</f>
        <v>0</v>
      </c>
      <c r="X116" s="127">
        <f>VLOOKUP(C116,'Talente &amp; Stuff'!AF:BG,22,FALSE)</f>
        <v>0</v>
      </c>
      <c r="Y116" s="165">
        <f t="shared" si="12"/>
        <v>0</v>
      </c>
      <c r="Z116" s="44">
        <f t="shared" si="13"/>
        <v>0</v>
      </c>
      <c r="AA116" s="125">
        <f>VLOOKUP(C116,'Talente &amp; Stuff'!AF:BG,25,FALSE)</f>
        <v>0</v>
      </c>
      <c r="AB116" s="160">
        <f>VLOOKUP(C116,'Talente &amp; Stuff'!AF:BG,26,FALSE)</f>
        <v>0</v>
      </c>
      <c r="AC116" s="127">
        <f>VLOOKUP(C116,'Talente &amp; Stuff'!AF:BG,27,FALSE)</f>
        <v>0</v>
      </c>
      <c r="AD116" s="125">
        <f>VLOOKUP(C116,'Talente &amp; Stuff'!AF:BG,28,FALSE)</f>
        <v>0</v>
      </c>
      <c r="AE116" s="28"/>
    </row>
    <row r="117" spans="2:31" s="148" customFormat="1" ht="15" hidden="1" customHeight="1" outlineLevel="2">
      <c r="B117" s="148">
        <v>18</v>
      </c>
      <c r="C117" s="177" t="str">
        <f>Attribute!C117</f>
        <v>---</v>
      </c>
      <c r="D117" s="86" t="str">
        <f>VLOOKUP(C117,'Talente &amp; Stuff'!AF:BG,2,FALSE)</f>
        <v>--/--/--</v>
      </c>
      <c r="E117" s="167" t="str">
        <f>VLOOKUP(C117,'Talente &amp; Stuff'!AF:BG,3,FALSE)</f>
        <v>-</v>
      </c>
      <c r="F117" s="120">
        <f>VLOOKUP(C117,'Talente &amp; Stuff'!AF:BG,4,FALSE)</f>
        <v>0</v>
      </c>
      <c r="G117" s="117">
        <f>VLOOKUP(C117,'Talente &amp; Stuff'!AF:BG,5,FALSE)</f>
        <v>0</v>
      </c>
      <c r="H117" s="117">
        <f>VLOOKUP(C117,'Talente &amp; Stuff'!AF:BG,6,FALSE)</f>
        <v>0</v>
      </c>
      <c r="I117" s="117">
        <f>VLOOKUP(C117,'Talente &amp; Stuff'!AF:BG,7,FALSE)</f>
        <v>0</v>
      </c>
      <c r="J117" s="117">
        <f>VLOOKUP(C117,'Talente &amp; Stuff'!AF:BG,8,FALSE)</f>
        <v>0</v>
      </c>
      <c r="K117" s="117">
        <f>VLOOKUP(C117,'Talente &amp; Stuff'!AF:BG,9,FALSE)</f>
        <v>0</v>
      </c>
      <c r="L117" s="117">
        <f>VLOOKUP(C117,'Talente &amp; Stuff'!AF:BG,10,FALSE)</f>
        <v>0</v>
      </c>
      <c r="M117" s="121">
        <f>VLOOKUP(C117,'Talente &amp; Stuff'!AF:BG,11,FALSE)</f>
        <v>0</v>
      </c>
      <c r="N117" s="47">
        <f>VLOOKUP(C117,'Talente &amp; Stuff'!AF:BG,12,FALSE)</f>
        <v>0</v>
      </c>
      <c r="O117" s="3">
        <f>VLOOKUP(C117,'Talente &amp; Stuff'!AF:BG,13,FALSE)</f>
        <v>0</v>
      </c>
      <c r="P117" s="174">
        <f>VLOOKUP(C117,'Talente &amp; Stuff'!AF:BG,14,FALSE)</f>
        <v>0</v>
      </c>
      <c r="Q117" s="114">
        <f>VLOOKUP(C117,'Talente &amp; Stuff'!AF:BG,15,FALSE)</f>
        <v>0</v>
      </c>
      <c r="R117" s="117">
        <f>VLOOKUP(C117,'Talente &amp; Stuff'!AF:BG,16,FALSE)</f>
        <v>0</v>
      </c>
      <c r="S117" s="119">
        <f>VLOOKUP(C117,'Talente &amp; Stuff'!AF:BG,17,FALSE)</f>
        <v>0</v>
      </c>
      <c r="T117" s="119">
        <f>VLOOKUP(C117,'Talente &amp; Stuff'!AF:BG,18,FALSE)</f>
        <v>0</v>
      </c>
      <c r="U117" s="89">
        <f>VLOOKUP(C117,'Talente &amp; Stuff'!AF:BG,19,FALSE)</f>
        <v>0</v>
      </c>
      <c r="V117" s="47">
        <f>VLOOKUP(C117,'Talente &amp; Stuff'!AF:BG,20,FALSE)</f>
        <v>0</v>
      </c>
      <c r="W117" s="127">
        <f>VLOOKUP(C117,'Talente &amp; Stuff'!AF:BG,21,FALSE)</f>
        <v>0</v>
      </c>
      <c r="X117" s="127">
        <f>VLOOKUP(C117,'Talente &amp; Stuff'!AF:BG,22,FALSE)</f>
        <v>0</v>
      </c>
      <c r="Y117" s="165">
        <f t="shared" si="12"/>
        <v>0</v>
      </c>
      <c r="Z117" s="44">
        <f t="shared" si="13"/>
        <v>0</v>
      </c>
      <c r="AA117" s="125">
        <f>VLOOKUP(C117,'Talente &amp; Stuff'!AF:BG,25,FALSE)</f>
        <v>0</v>
      </c>
      <c r="AB117" s="160">
        <f>VLOOKUP(C117,'Talente &amp; Stuff'!AF:BG,26,FALSE)</f>
        <v>0</v>
      </c>
      <c r="AC117" s="127">
        <f>VLOOKUP(C117,'Talente &amp; Stuff'!AF:BG,27,FALSE)</f>
        <v>0</v>
      </c>
      <c r="AD117" s="125">
        <f>VLOOKUP(C117,'Talente &amp; Stuff'!AF:BG,28,FALSE)</f>
        <v>0</v>
      </c>
      <c r="AE117" s="28"/>
    </row>
    <row r="118" spans="2:31" ht="15" hidden="1" customHeight="1" outlineLevel="2">
      <c r="B118" s="148">
        <v>19</v>
      </c>
      <c r="C118" s="177" t="str">
        <f>Attribute!C118</f>
        <v>---</v>
      </c>
      <c r="D118" s="86" t="str">
        <f>VLOOKUP(C118,'Talente &amp; Stuff'!AF:BG,2,FALSE)</f>
        <v>--/--/--</v>
      </c>
      <c r="E118" s="167" t="str">
        <f>VLOOKUP(C118,'Talente &amp; Stuff'!AF:BG,3,FALSE)</f>
        <v>-</v>
      </c>
      <c r="F118" s="120">
        <f>VLOOKUP(C118,'Talente &amp; Stuff'!AF:BG,4,FALSE)</f>
        <v>0</v>
      </c>
      <c r="G118" s="117">
        <f>VLOOKUP(C118,'Talente &amp; Stuff'!AF:BG,5,FALSE)</f>
        <v>0</v>
      </c>
      <c r="H118" s="117">
        <f>VLOOKUP(C118,'Talente &amp; Stuff'!AF:BG,6,FALSE)</f>
        <v>0</v>
      </c>
      <c r="I118" s="117">
        <f>VLOOKUP(C118,'Talente &amp; Stuff'!AF:BG,7,FALSE)</f>
        <v>0</v>
      </c>
      <c r="J118" s="117">
        <f>VLOOKUP(C118,'Talente &amp; Stuff'!AF:BG,8,FALSE)</f>
        <v>0</v>
      </c>
      <c r="K118" s="117">
        <f>VLOOKUP(C118,'Talente &amp; Stuff'!AF:BG,9,FALSE)</f>
        <v>0</v>
      </c>
      <c r="L118" s="117">
        <f>VLOOKUP(C118,'Talente &amp; Stuff'!AF:BG,10,FALSE)</f>
        <v>0</v>
      </c>
      <c r="M118" s="121">
        <f>VLOOKUP(C118,'Talente &amp; Stuff'!AF:BG,11,FALSE)</f>
        <v>0</v>
      </c>
      <c r="N118" s="47">
        <f>VLOOKUP(C118,'Talente &amp; Stuff'!AF:BG,12,FALSE)</f>
        <v>0</v>
      </c>
      <c r="O118" s="3">
        <f>VLOOKUP(C118,'Talente &amp; Stuff'!AF:BG,13,FALSE)</f>
        <v>0</v>
      </c>
      <c r="P118" s="174">
        <f>VLOOKUP(C118,'Talente &amp; Stuff'!AF:BG,14,FALSE)</f>
        <v>0</v>
      </c>
      <c r="Q118" s="114">
        <f>VLOOKUP(C118,'Talente &amp; Stuff'!AF:BG,15,FALSE)</f>
        <v>0</v>
      </c>
      <c r="R118" s="117">
        <f>VLOOKUP(C118,'Talente &amp; Stuff'!AF:BG,16,FALSE)</f>
        <v>0</v>
      </c>
      <c r="S118" s="119">
        <f>VLOOKUP(C118,'Talente &amp; Stuff'!AF:BG,17,FALSE)</f>
        <v>0</v>
      </c>
      <c r="T118" s="119">
        <f>VLOOKUP(C118,'Talente &amp; Stuff'!AF:BG,18,FALSE)</f>
        <v>0</v>
      </c>
      <c r="U118" s="89">
        <f>VLOOKUP(C118,'Talente &amp; Stuff'!AF:BG,19,FALSE)</f>
        <v>0</v>
      </c>
      <c r="V118" s="47">
        <f>VLOOKUP(C118,'Talente &amp; Stuff'!AF:BG,20,FALSE)</f>
        <v>0</v>
      </c>
      <c r="W118" s="127">
        <f>VLOOKUP(C118,'Talente &amp; Stuff'!AF:BG,21,FALSE)</f>
        <v>0</v>
      </c>
      <c r="X118" s="127">
        <f>VLOOKUP(C118,'Talente &amp; Stuff'!AF:BG,22,FALSE)</f>
        <v>0</v>
      </c>
      <c r="Y118" s="165">
        <f t="shared" si="12"/>
        <v>0</v>
      </c>
      <c r="Z118" s="44">
        <f t="shared" si="13"/>
        <v>0</v>
      </c>
      <c r="AA118" s="125">
        <f>VLOOKUP(C118,'Talente &amp; Stuff'!AF:BG,25,FALSE)</f>
        <v>0</v>
      </c>
      <c r="AB118" s="160">
        <f>VLOOKUP(C118,'Talente &amp; Stuff'!AF:BG,26,FALSE)</f>
        <v>0</v>
      </c>
      <c r="AC118" s="127">
        <f>VLOOKUP(C118,'Talente &amp; Stuff'!AF:BG,27,FALSE)</f>
        <v>0</v>
      </c>
      <c r="AD118" s="125">
        <f>VLOOKUP(C118,'Talente &amp; Stuff'!AF:BG,28,FALSE)</f>
        <v>0</v>
      </c>
      <c r="AE118" s="28"/>
    </row>
    <row r="119" spans="2:31" ht="15" hidden="1" customHeight="1" outlineLevel="2">
      <c r="B119" s="148">
        <v>20</v>
      </c>
      <c r="C119" s="177" t="str">
        <f>Attribute!C119</f>
        <v>---</v>
      </c>
      <c r="D119" s="86" t="str">
        <f>VLOOKUP(C119,'Talente &amp; Stuff'!AF:BG,2,FALSE)</f>
        <v>--/--/--</v>
      </c>
      <c r="E119" s="167" t="str">
        <f>VLOOKUP(C119,'Talente &amp; Stuff'!AF:BG,3,FALSE)</f>
        <v>-</v>
      </c>
      <c r="F119" s="120">
        <f>VLOOKUP(C119,'Talente &amp; Stuff'!AF:BG,4,FALSE)</f>
        <v>0</v>
      </c>
      <c r="G119" s="117">
        <f>VLOOKUP(C119,'Talente &amp; Stuff'!AF:BG,5,FALSE)</f>
        <v>0</v>
      </c>
      <c r="H119" s="117">
        <f>VLOOKUP(C119,'Talente &amp; Stuff'!AF:BG,6,FALSE)</f>
        <v>0</v>
      </c>
      <c r="I119" s="117">
        <f>VLOOKUP(C119,'Talente &amp; Stuff'!AF:BG,7,FALSE)</f>
        <v>0</v>
      </c>
      <c r="J119" s="117">
        <f>VLOOKUP(C119,'Talente &amp; Stuff'!AF:BG,8,FALSE)</f>
        <v>0</v>
      </c>
      <c r="K119" s="117">
        <f>VLOOKUP(C119,'Talente &amp; Stuff'!AF:BG,9,FALSE)</f>
        <v>0</v>
      </c>
      <c r="L119" s="117">
        <f>VLOOKUP(C119,'Talente &amp; Stuff'!AF:BG,10,FALSE)</f>
        <v>0</v>
      </c>
      <c r="M119" s="121">
        <f>VLOOKUP(C119,'Talente &amp; Stuff'!AF:BG,11,FALSE)</f>
        <v>0</v>
      </c>
      <c r="N119" s="47">
        <f>VLOOKUP(C119,'Talente &amp; Stuff'!AF:BG,12,FALSE)</f>
        <v>0</v>
      </c>
      <c r="O119" s="3">
        <f>VLOOKUP(C119,'Talente &amp; Stuff'!AF:BG,13,FALSE)</f>
        <v>0</v>
      </c>
      <c r="P119" s="174">
        <f>VLOOKUP(C119,'Talente &amp; Stuff'!AF:BG,14,FALSE)</f>
        <v>0</v>
      </c>
      <c r="Q119" s="114">
        <f>VLOOKUP(C119,'Talente &amp; Stuff'!AF:BG,15,FALSE)</f>
        <v>0</v>
      </c>
      <c r="R119" s="117">
        <f>VLOOKUP(C119,'Talente &amp; Stuff'!AF:BG,16,FALSE)</f>
        <v>0</v>
      </c>
      <c r="S119" s="119">
        <f>VLOOKUP(C119,'Talente &amp; Stuff'!AF:BG,17,FALSE)</f>
        <v>0</v>
      </c>
      <c r="T119" s="119">
        <f>VLOOKUP(C119,'Talente &amp; Stuff'!AF:BG,18,FALSE)</f>
        <v>0</v>
      </c>
      <c r="U119" s="89">
        <f>VLOOKUP(C119,'Talente &amp; Stuff'!AF:BG,19,FALSE)</f>
        <v>0</v>
      </c>
      <c r="V119" s="47">
        <f>VLOOKUP(C119,'Talente &amp; Stuff'!AF:BG,20,FALSE)</f>
        <v>0</v>
      </c>
      <c r="W119" s="127">
        <f>VLOOKUP(C119,'Talente &amp; Stuff'!AF:BG,21,FALSE)</f>
        <v>0</v>
      </c>
      <c r="X119" s="127">
        <f>VLOOKUP(C119,'Talente &amp; Stuff'!AF:BG,22,FALSE)</f>
        <v>0</v>
      </c>
      <c r="Y119" s="165">
        <f t="shared" si="12"/>
        <v>0</v>
      </c>
      <c r="Z119" s="44">
        <f t="shared" si="13"/>
        <v>0</v>
      </c>
      <c r="AA119" s="125">
        <f>VLOOKUP(C119,'Talente &amp; Stuff'!AF:BG,25,FALSE)</f>
        <v>0</v>
      </c>
      <c r="AB119" s="160">
        <f>VLOOKUP(C119,'Talente &amp; Stuff'!AF:BG,26,FALSE)</f>
        <v>0</v>
      </c>
      <c r="AC119" s="127">
        <f>VLOOKUP(C119,'Talente &amp; Stuff'!AF:BG,27,FALSE)</f>
        <v>0</v>
      </c>
      <c r="AD119" s="125">
        <f>VLOOKUP(C119,'Talente &amp; Stuff'!AF:BG,28,FALSE)</f>
        <v>0</v>
      </c>
      <c r="AE119" s="28"/>
    </row>
    <row r="120" spans="2:31" ht="15" hidden="1" customHeight="1" outlineLevel="2">
      <c r="B120" s="148">
        <v>21</v>
      </c>
      <c r="C120" s="177" t="str">
        <f>Attribute!C120</f>
        <v>---</v>
      </c>
      <c r="D120" s="86" t="str">
        <f>VLOOKUP(C120,'Talente &amp; Stuff'!AF:BG,2,FALSE)</f>
        <v>--/--/--</v>
      </c>
      <c r="E120" s="167" t="str">
        <f>VLOOKUP(C120,'Talente &amp; Stuff'!AF:BG,3,FALSE)</f>
        <v>-</v>
      </c>
      <c r="F120" s="120">
        <f>VLOOKUP(C120,'Talente &amp; Stuff'!AF:BG,4,FALSE)</f>
        <v>0</v>
      </c>
      <c r="G120" s="117">
        <f>VLOOKUP(C120,'Talente &amp; Stuff'!AF:BG,5,FALSE)</f>
        <v>0</v>
      </c>
      <c r="H120" s="117">
        <f>VLOOKUP(C120,'Talente &amp; Stuff'!AF:BG,6,FALSE)</f>
        <v>0</v>
      </c>
      <c r="I120" s="117">
        <f>VLOOKUP(C120,'Talente &amp; Stuff'!AF:BG,7,FALSE)</f>
        <v>0</v>
      </c>
      <c r="J120" s="117">
        <f>VLOOKUP(C120,'Talente &amp; Stuff'!AF:BG,8,FALSE)</f>
        <v>0</v>
      </c>
      <c r="K120" s="117">
        <f>VLOOKUP(C120,'Talente &amp; Stuff'!AF:BG,9,FALSE)</f>
        <v>0</v>
      </c>
      <c r="L120" s="117">
        <f>VLOOKUP(C120,'Talente &amp; Stuff'!AF:BG,10,FALSE)</f>
        <v>0</v>
      </c>
      <c r="M120" s="121">
        <f>VLOOKUP(C120,'Talente &amp; Stuff'!AF:BG,11,FALSE)</f>
        <v>0</v>
      </c>
      <c r="N120" s="47">
        <f>VLOOKUP(C120,'Talente &amp; Stuff'!AF:BG,12,FALSE)</f>
        <v>0</v>
      </c>
      <c r="O120" s="3">
        <f>VLOOKUP(C120,'Talente &amp; Stuff'!AF:BG,13,FALSE)</f>
        <v>0</v>
      </c>
      <c r="P120" s="174">
        <f>VLOOKUP(C120,'Talente &amp; Stuff'!AF:BG,14,FALSE)</f>
        <v>0</v>
      </c>
      <c r="Q120" s="114">
        <f>VLOOKUP(C120,'Talente &amp; Stuff'!AF:BG,15,FALSE)</f>
        <v>0</v>
      </c>
      <c r="R120" s="117">
        <f>VLOOKUP(C120,'Talente &amp; Stuff'!AF:BG,16,FALSE)</f>
        <v>0</v>
      </c>
      <c r="S120" s="119">
        <f>VLOOKUP(C120,'Talente &amp; Stuff'!AF:BG,17,FALSE)</f>
        <v>0</v>
      </c>
      <c r="T120" s="119">
        <f>VLOOKUP(C120,'Talente &amp; Stuff'!AF:BG,18,FALSE)</f>
        <v>0</v>
      </c>
      <c r="U120" s="89">
        <f>VLOOKUP(C120,'Talente &amp; Stuff'!AF:BG,19,FALSE)</f>
        <v>0</v>
      </c>
      <c r="V120" s="47">
        <f>VLOOKUP(C120,'Talente &amp; Stuff'!AF:BG,20,FALSE)</f>
        <v>0</v>
      </c>
      <c r="W120" s="127">
        <f>VLOOKUP(C120,'Talente &amp; Stuff'!AF:BG,21,FALSE)</f>
        <v>0</v>
      </c>
      <c r="X120" s="127">
        <f>VLOOKUP(C120,'Talente &amp; Stuff'!AF:BG,22,FALSE)</f>
        <v>0</v>
      </c>
      <c r="Y120" s="165">
        <f t="shared" si="12"/>
        <v>0</v>
      </c>
      <c r="Z120" s="44">
        <f t="shared" si="13"/>
        <v>0</v>
      </c>
      <c r="AA120" s="125">
        <f>VLOOKUP(C120,'Talente &amp; Stuff'!AF:BG,25,FALSE)</f>
        <v>0</v>
      </c>
      <c r="AB120" s="160">
        <f>VLOOKUP(C120,'Talente &amp; Stuff'!AF:BG,26,FALSE)</f>
        <v>0</v>
      </c>
      <c r="AC120" s="127">
        <f>VLOOKUP(C120,'Talente &amp; Stuff'!AF:BG,27,FALSE)</f>
        <v>0</v>
      </c>
      <c r="AD120" s="125">
        <f>VLOOKUP(C120,'Talente &amp; Stuff'!AF:BG,28,FALSE)</f>
        <v>0</v>
      </c>
      <c r="AE120" s="28"/>
    </row>
    <row r="121" spans="2:31" ht="15" hidden="1" customHeight="1" outlineLevel="2">
      <c r="B121" s="148">
        <v>22</v>
      </c>
      <c r="C121" s="177" t="str">
        <f>Attribute!C121</f>
        <v>---</v>
      </c>
      <c r="D121" s="86" t="str">
        <f>VLOOKUP(C121,'Talente &amp; Stuff'!AF:BG,2,FALSE)</f>
        <v>--/--/--</v>
      </c>
      <c r="E121" s="167" t="str">
        <f>VLOOKUP(C121,'Talente &amp; Stuff'!AF:BG,3,FALSE)</f>
        <v>-</v>
      </c>
      <c r="F121" s="120">
        <f>VLOOKUP(C121,'Talente &amp; Stuff'!AF:BG,4,FALSE)</f>
        <v>0</v>
      </c>
      <c r="G121" s="117">
        <f>VLOOKUP(C121,'Talente &amp; Stuff'!AF:BG,5,FALSE)</f>
        <v>0</v>
      </c>
      <c r="H121" s="117">
        <f>VLOOKUP(C121,'Talente &amp; Stuff'!AF:BG,6,FALSE)</f>
        <v>0</v>
      </c>
      <c r="I121" s="117">
        <f>VLOOKUP(C121,'Talente &amp; Stuff'!AF:BG,7,FALSE)</f>
        <v>0</v>
      </c>
      <c r="J121" s="117">
        <f>VLOOKUP(C121,'Talente &amp; Stuff'!AF:BG,8,FALSE)</f>
        <v>0</v>
      </c>
      <c r="K121" s="117">
        <f>VLOOKUP(C121,'Talente &amp; Stuff'!AF:BG,9,FALSE)</f>
        <v>0</v>
      </c>
      <c r="L121" s="117">
        <f>VLOOKUP(C121,'Talente &amp; Stuff'!AF:BG,10,FALSE)</f>
        <v>0</v>
      </c>
      <c r="M121" s="121">
        <f>VLOOKUP(C121,'Talente &amp; Stuff'!AF:BG,11,FALSE)</f>
        <v>0</v>
      </c>
      <c r="N121" s="47">
        <f>VLOOKUP(C121,'Talente &amp; Stuff'!AF:BG,12,FALSE)</f>
        <v>0</v>
      </c>
      <c r="O121" s="3">
        <f>VLOOKUP(C121,'Talente &amp; Stuff'!AF:BG,13,FALSE)</f>
        <v>0</v>
      </c>
      <c r="P121" s="174">
        <f>VLOOKUP(C121,'Talente &amp; Stuff'!AF:BG,14,FALSE)</f>
        <v>0</v>
      </c>
      <c r="Q121" s="114">
        <f>VLOOKUP(C121,'Talente &amp; Stuff'!AF:BG,15,FALSE)</f>
        <v>0</v>
      </c>
      <c r="R121" s="117">
        <f>VLOOKUP(C121,'Talente &amp; Stuff'!AF:BG,16,FALSE)</f>
        <v>0</v>
      </c>
      <c r="S121" s="119">
        <f>VLOOKUP(C121,'Talente &amp; Stuff'!AF:BG,17,FALSE)</f>
        <v>0</v>
      </c>
      <c r="T121" s="119">
        <f>VLOOKUP(C121,'Talente &amp; Stuff'!AF:BG,18,FALSE)</f>
        <v>0</v>
      </c>
      <c r="U121" s="89">
        <f>VLOOKUP(C121,'Talente &amp; Stuff'!AF:BG,19,FALSE)</f>
        <v>0</v>
      </c>
      <c r="V121" s="47">
        <f>VLOOKUP(C121,'Talente &amp; Stuff'!AF:BG,20,FALSE)</f>
        <v>0</v>
      </c>
      <c r="W121" s="127">
        <f>VLOOKUP(C121,'Talente &amp; Stuff'!AF:BG,21,FALSE)</f>
        <v>0</v>
      </c>
      <c r="X121" s="127">
        <f>VLOOKUP(C121,'Talente &amp; Stuff'!AF:BG,22,FALSE)</f>
        <v>0</v>
      </c>
      <c r="Y121" s="165">
        <f t="shared" si="12"/>
        <v>0</v>
      </c>
      <c r="Z121" s="44">
        <f t="shared" si="13"/>
        <v>0</v>
      </c>
      <c r="AA121" s="125">
        <f>VLOOKUP(C121,'Talente &amp; Stuff'!AF:BG,25,FALSE)</f>
        <v>0</v>
      </c>
      <c r="AB121" s="160">
        <f>VLOOKUP(C121,'Talente &amp; Stuff'!AF:BG,26,FALSE)</f>
        <v>0</v>
      </c>
      <c r="AC121" s="127">
        <f>VLOOKUP(C121,'Talente &amp; Stuff'!AF:BG,27,FALSE)</f>
        <v>0</v>
      </c>
      <c r="AD121" s="125">
        <f>VLOOKUP(C121,'Talente &amp; Stuff'!AF:BG,28,FALSE)</f>
        <v>0</v>
      </c>
      <c r="AE121" s="28"/>
    </row>
    <row r="122" spans="2:31" ht="15" hidden="1" customHeight="1" outlineLevel="2">
      <c r="B122" s="148">
        <v>23</v>
      </c>
      <c r="C122" s="177" t="str">
        <f>Attribute!C122</f>
        <v>---</v>
      </c>
      <c r="D122" s="86" t="str">
        <f>VLOOKUP(C122,'Talente &amp; Stuff'!AF:BG,2,FALSE)</f>
        <v>--/--/--</v>
      </c>
      <c r="E122" s="127" t="str">
        <f>VLOOKUP(C122,'Talente &amp; Stuff'!AF:BG,3,FALSE)</f>
        <v>-</v>
      </c>
      <c r="F122" s="114">
        <f>VLOOKUP(C122,'Talente &amp; Stuff'!AF:BG,4,FALSE)</f>
        <v>0</v>
      </c>
      <c r="G122" s="113">
        <f>VLOOKUP(C122,'Talente &amp; Stuff'!AF:BG,5,FALSE)</f>
        <v>0</v>
      </c>
      <c r="H122" s="113">
        <f>VLOOKUP(C122,'Talente &amp; Stuff'!AF:BG,6,FALSE)</f>
        <v>0</v>
      </c>
      <c r="I122" s="113">
        <f>VLOOKUP(C122,'Talente &amp; Stuff'!AF:BG,7,FALSE)</f>
        <v>0</v>
      </c>
      <c r="J122" s="113">
        <f>VLOOKUP(C122,'Talente &amp; Stuff'!AF:BG,8,FALSE)</f>
        <v>0</v>
      </c>
      <c r="K122" s="113">
        <f>VLOOKUP(C122,'Talente &amp; Stuff'!AF:BG,9,FALSE)</f>
        <v>0</v>
      </c>
      <c r="L122" s="113">
        <f>VLOOKUP(C122,'Talente &amp; Stuff'!AF:BG,10,FALSE)</f>
        <v>0</v>
      </c>
      <c r="M122" s="119">
        <f>VLOOKUP(C122,'Talente &amp; Stuff'!AF:BG,11,FALSE)</f>
        <v>0</v>
      </c>
      <c r="N122" s="47">
        <f>VLOOKUP(C122,'Talente &amp; Stuff'!AF:BG,12,FALSE)</f>
        <v>0</v>
      </c>
      <c r="O122" s="3">
        <f>VLOOKUP(C122,'Talente &amp; Stuff'!AF:BG,13,FALSE)</f>
        <v>0</v>
      </c>
      <c r="P122" s="174">
        <f>VLOOKUP(C122,'Talente &amp; Stuff'!AF:BG,14,FALSE)</f>
        <v>0</v>
      </c>
      <c r="Q122" s="114">
        <f>VLOOKUP(C122,'Talente &amp; Stuff'!AF:BG,15,FALSE)</f>
        <v>0</v>
      </c>
      <c r="R122" s="117">
        <f>VLOOKUP(C122,'Talente &amp; Stuff'!AF:BG,16,FALSE)</f>
        <v>0</v>
      </c>
      <c r="S122" s="119">
        <f>VLOOKUP(C122,'Talente &amp; Stuff'!AF:BG,17,FALSE)</f>
        <v>0</v>
      </c>
      <c r="T122" s="119">
        <f>VLOOKUP(C122,'Talente &amp; Stuff'!AF:BG,18,FALSE)</f>
        <v>0</v>
      </c>
      <c r="U122" s="89">
        <f>VLOOKUP(C122,'Talente &amp; Stuff'!AF:BG,19,FALSE)</f>
        <v>0</v>
      </c>
      <c r="V122" s="47">
        <f>VLOOKUP(C122,'Talente &amp; Stuff'!AF:BG,20,FALSE)</f>
        <v>0</v>
      </c>
      <c r="W122" s="127">
        <f>VLOOKUP(C122,'Talente &amp; Stuff'!AF:BG,21,FALSE)</f>
        <v>0</v>
      </c>
      <c r="X122" s="127">
        <f>VLOOKUP(C122,'Talente &amp; Stuff'!AF:BG,22,FALSE)</f>
        <v>0</v>
      </c>
      <c r="Y122" s="165">
        <f t="shared" si="12"/>
        <v>0</v>
      </c>
      <c r="Z122" s="44">
        <f t="shared" si="13"/>
        <v>0</v>
      </c>
      <c r="AA122" s="125">
        <f>VLOOKUP(C122,'Talente &amp; Stuff'!AF:BG,25,FALSE)</f>
        <v>0</v>
      </c>
      <c r="AB122" s="160">
        <f>VLOOKUP(C122,'Talente &amp; Stuff'!AF:BG,26,FALSE)</f>
        <v>0</v>
      </c>
      <c r="AC122" s="127">
        <f>VLOOKUP(C122,'Talente &amp; Stuff'!AF:BG,27,FALSE)</f>
        <v>0</v>
      </c>
      <c r="AD122" s="125">
        <f>VLOOKUP(C122,'Talente &amp; Stuff'!AF:BG,28,FALSE)</f>
        <v>0</v>
      </c>
      <c r="AE122" s="28"/>
    </row>
    <row r="123" spans="2:31" ht="15" hidden="1" customHeight="1" outlineLevel="2">
      <c r="B123" s="148">
        <v>24</v>
      </c>
      <c r="C123" s="177" t="str">
        <f>Attribute!C123</f>
        <v>---</v>
      </c>
      <c r="D123" s="86" t="str">
        <f>VLOOKUP(C123,'Talente &amp; Stuff'!AF:BG,2,FALSE)</f>
        <v>--/--/--</v>
      </c>
      <c r="E123" s="127" t="str">
        <f>VLOOKUP(C123,'Talente &amp; Stuff'!AF:BG,3,FALSE)</f>
        <v>-</v>
      </c>
      <c r="F123" s="114">
        <f>VLOOKUP(C123,'Talente &amp; Stuff'!AF:BG,4,FALSE)</f>
        <v>0</v>
      </c>
      <c r="G123" s="113">
        <f>VLOOKUP(C123,'Talente &amp; Stuff'!AF:BG,5,FALSE)</f>
        <v>0</v>
      </c>
      <c r="H123" s="113">
        <f>VLOOKUP(C123,'Talente &amp; Stuff'!AF:BG,6,FALSE)</f>
        <v>0</v>
      </c>
      <c r="I123" s="113">
        <f>VLOOKUP(C123,'Talente &amp; Stuff'!AF:BG,7,FALSE)</f>
        <v>0</v>
      </c>
      <c r="J123" s="113">
        <f>VLOOKUP(C123,'Talente &amp; Stuff'!AF:BG,8,FALSE)</f>
        <v>0</v>
      </c>
      <c r="K123" s="113">
        <f>VLOOKUP(C123,'Talente &amp; Stuff'!AF:BG,9,FALSE)</f>
        <v>0</v>
      </c>
      <c r="L123" s="113">
        <f>VLOOKUP(C123,'Talente &amp; Stuff'!AF:BG,10,FALSE)</f>
        <v>0</v>
      </c>
      <c r="M123" s="119">
        <f>VLOOKUP(C123,'Talente &amp; Stuff'!AF:BG,11,FALSE)</f>
        <v>0</v>
      </c>
      <c r="N123" s="47">
        <f>VLOOKUP(C123,'Talente &amp; Stuff'!AF:BG,12,FALSE)</f>
        <v>0</v>
      </c>
      <c r="O123" s="3">
        <f>VLOOKUP(C123,'Talente &amp; Stuff'!AF:BG,13,FALSE)</f>
        <v>0</v>
      </c>
      <c r="P123" s="174">
        <f>VLOOKUP(C123,'Talente &amp; Stuff'!AF:BG,14,FALSE)</f>
        <v>0</v>
      </c>
      <c r="Q123" s="114">
        <f>VLOOKUP(C123,'Talente &amp; Stuff'!AF:BG,15,FALSE)</f>
        <v>0</v>
      </c>
      <c r="R123" s="117">
        <f>VLOOKUP(C123,'Talente &amp; Stuff'!AF:BG,16,FALSE)</f>
        <v>0</v>
      </c>
      <c r="S123" s="119">
        <f>VLOOKUP(C123,'Talente &amp; Stuff'!AF:BG,17,FALSE)</f>
        <v>0</v>
      </c>
      <c r="T123" s="119">
        <f>VLOOKUP(C123,'Talente &amp; Stuff'!AF:BG,18,FALSE)</f>
        <v>0</v>
      </c>
      <c r="U123" s="89">
        <f>VLOOKUP(C123,'Talente &amp; Stuff'!AF:BG,19,FALSE)</f>
        <v>0</v>
      </c>
      <c r="V123" s="47">
        <f>VLOOKUP(C123,'Talente &amp; Stuff'!AF:BG,20,FALSE)</f>
        <v>0</v>
      </c>
      <c r="W123" s="127">
        <f>VLOOKUP(C123,'Talente &amp; Stuff'!AF:BG,21,FALSE)</f>
        <v>0</v>
      </c>
      <c r="X123" s="127">
        <f>VLOOKUP(C123,'Talente &amp; Stuff'!AF:BG,22,FALSE)</f>
        <v>0</v>
      </c>
      <c r="Y123" s="165">
        <f t="shared" si="12"/>
        <v>0</v>
      </c>
      <c r="Z123" s="44">
        <f t="shared" si="13"/>
        <v>0</v>
      </c>
      <c r="AA123" s="125">
        <f>VLOOKUP(C123,'Talente &amp; Stuff'!AF:BG,25,FALSE)</f>
        <v>0</v>
      </c>
      <c r="AB123" s="160">
        <f>VLOOKUP(C123,'Talente &amp; Stuff'!AF:BG,26,FALSE)</f>
        <v>0</v>
      </c>
      <c r="AC123" s="127">
        <f>VLOOKUP(C123,'Talente &amp; Stuff'!AF:BG,27,FALSE)</f>
        <v>0</v>
      </c>
      <c r="AD123" s="125">
        <f>VLOOKUP(C123,'Talente &amp; Stuff'!AF:BG,28,FALSE)</f>
        <v>0</v>
      </c>
      <c r="AE123" s="28"/>
    </row>
    <row r="124" spans="2:31" ht="15" hidden="1" customHeight="1" outlineLevel="2">
      <c r="B124" s="148">
        <v>25</v>
      </c>
      <c r="C124" s="177" t="str">
        <f>Attribute!C124</f>
        <v>---</v>
      </c>
      <c r="D124" s="86" t="str">
        <f>VLOOKUP(C124,'Talente &amp; Stuff'!AF:BG,2,FALSE)</f>
        <v>--/--/--</v>
      </c>
      <c r="E124" s="127" t="str">
        <f>VLOOKUP(C124,'Talente &amp; Stuff'!AF:BG,3,FALSE)</f>
        <v>-</v>
      </c>
      <c r="F124" s="114">
        <f>VLOOKUP(C124,'Talente &amp; Stuff'!AF:BG,4,FALSE)</f>
        <v>0</v>
      </c>
      <c r="G124" s="113">
        <f>VLOOKUP(C124,'Talente &amp; Stuff'!AF:BG,5,FALSE)</f>
        <v>0</v>
      </c>
      <c r="H124" s="113">
        <f>VLOOKUP(C124,'Talente &amp; Stuff'!AF:BG,6,FALSE)</f>
        <v>0</v>
      </c>
      <c r="I124" s="113">
        <f>VLOOKUP(C124,'Talente &amp; Stuff'!AF:BG,7,FALSE)</f>
        <v>0</v>
      </c>
      <c r="J124" s="113">
        <f>VLOOKUP(C124,'Talente &amp; Stuff'!AF:BG,8,FALSE)</f>
        <v>0</v>
      </c>
      <c r="K124" s="113">
        <f>VLOOKUP(C124,'Talente &amp; Stuff'!AF:BG,9,FALSE)</f>
        <v>0</v>
      </c>
      <c r="L124" s="113">
        <f>VLOOKUP(C124,'Talente &amp; Stuff'!AF:BG,10,FALSE)</f>
        <v>0</v>
      </c>
      <c r="M124" s="119">
        <f>VLOOKUP(C124,'Talente &amp; Stuff'!AF:BG,11,FALSE)</f>
        <v>0</v>
      </c>
      <c r="N124" s="47">
        <f>VLOOKUP(C124,'Talente &amp; Stuff'!AF:BG,12,FALSE)</f>
        <v>0</v>
      </c>
      <c r="O124" s="3">
        <f>VLOOKUP(C124,'Talente &amp; Stuff'!AF:BG,13,FALSE)</f>
        <v>0</v>
      </c>
      <c r="P124" s="174">
        <f>VLOOKUP(C124,'Talente &amp; Stuff'!AF:BG,14,FALSE)</f>
        <v>0</v>
      </c>
      <c r="Q124" s="114">
        <f>VLOOKUP(C124,'Talente &amp; Stuff'!AF:BG,15,FALSE)</f>
        <v>0</v>
      </c>
      <c r="R124" s="117">
        <f>VLOOKUP(C124,'Talente &amp; Stuff'!AF:BG,16,FALSE)</f>
        <v>0</v>
      </c>
      <c r="S124" s="119">
        <f>VLOOKUP(C124,'Talente &amp; Stuff'!AF:BG,17,FALSE)</f>
        <v>0</v>
      </c>
      <c r="T124" s="119">
        <f>VLOOKUP(C124,'Talente &amp; Stuff'!AF:BG,18,FALSE)</f>
        <v>0</v>
      </c>
      <c r="U124" s="89">
        <f>VLOOKUP(C124,'Talente &amp; Stuff'!AF:BG,19,FALSE)</f>
        <v>0</v>
      </c>
      <c r="V124" s="47">
        <f>VLOOKUP(C124,'Talente &amp; Stuff'!AF:BG,20,FALSE)</f>
        <v>0</v>
      </c>
      <c r="W124" s="127">
        <f>VLOOKUP(C124,'Talente &amp; Stuff'!AF:BG,21,FALSE)</f>
        <v>0</v>
      </c>
      <c r="X124" s="127">
        <f>VLOOKUP(C124,'Talente &amp; Stuff'!AF:BG,22,FALSE)</f>
        <v>0</v>
      </c>
      <c r="Y124" s="165">
        <f t="shared" si="12"/>
        <v>0</v>
      </c>
      <c r="Z124" s="44">
        <f t="shared" si="13"/>
        <v>0</v>
      </c>
      <c r="AA124" s="125">
        <f>VLOOKUP(C124,'Talente &amp; Stuff'!AF:BG,25,FALSE)</f>
        <v>0</v>
      </c>
      <c r="AB124" s="160">
        <f>VLOOKUP(C124,'Talente &amp; Stuff'!AF:BG,26,FALSE)</f>
        <v>0</v>
      </c>
      <c r="AC124" s="127">
        <f>VLOOKUP(C124,'Talente &amp; Stuff'!AF:BG,27,FALSE)</f>
        <v>0</v>
      </c>
      <c r="AD124" s="125">
        <f>VLOOKUP(C124,'Talente &amp; Stuff'!AF:BG,28,FALSE)</f>
        <v>0</v>
      </c>
      <c r="AE124" s="28"/>
    </row>
    <row r="125" spans="2:31" ht="15" hidden="1" customHeight="1" outlineLevel="2">
      <c r="B125" s="148">
        <v>26</v>
      </c>
      <c r="C125" s="177" t="str">
        <f>Attribute!C125</f>
        <v>---</v>
      </c>
      <c r="D125" s="86" t="str">
        <f>VLOOKUP(C125,'Talente &amp; Stuff'!AF:BG,2,FALSE)</f>
        <v>--/--/--</v>
      </c>
      <c r="E125" s="127" t="str">
        <f>VLOOKUP(C125,'Talente &amp; Stuff'!AF:BG,3,FALSE)</f>
        <v>-</v>
      </c>
      <c r="F125" s="114">
        <f>VLOOKUP(C125,'Talente &amp; Stuff'!AF:BG,4,FALSE)</f>
        <v>0</v>
      </c>
      <c r="G125" s="113">
        <f>VLOOKUP(C125,'Talente &amp; Stuff'!AF:BG,5,FALSE)</f>
        <v>0</v>
      </c>
      <c r="H125" s="113">
        <f>VLOOKUP(C125,'Talente &amp; Stuff'!AF:BG,6,FALSE)</f>
        <v>0</v>
      </c>
      <c r="I125" s="113">
        <f>VLOOKUP(C125,'Talente &amp; Stuff'!AF:BG,7,FALSE)</f>
        <v>0</v>
      </c>
      <c r="J125" s="113">
        <f>VLOOKUP(C125,'Talente &amp; Stuff'!AF:BG,8,FALSE)</f>
        <v>0</v>
      </c>
      <c r="K125" s="113">
        <f>VLOOKUP(C125,'Talente &amp; Stuff'!AF:BG,9,FALSE)</f>
        <v>0</v>
      </c>
      <c r="L125" s="113">
        <f>VLOOKUP(C125,'Talente &amp; Stuff'!AF:BG,10,FALSE)</f>
        <v>0</v>
      </c>
      <c r="M125" s="119">
        <f>VLOOKUP(C125,'Talente &amp; Stuff'!AF:BG,11,FALSE)</f>
        <v>0</v>
      </c>
      <c r="N125" s="47">
        <f>VLOOKUP(C125,'Talente &amp; Stuff'!AF:BG,12,FALSE)</f>
        <v>0</v>
      </c>
      <c r="O125" s="3">
        <f>VLOOKUP(C125,'Talente &amp; Stuff'!AF:BG,13,FALSE)</f>
        <v>0</v>
      </c>
      <c r="P125" s="174">
        <f>VLOOKUP(C125,'Talente &amp; Stuff'!AF:BG,14,FALSE)</f>
        <v>0</v>
      </c>
      <c r="Q125" s="114">
        <f>VLOOKUP(C125,'Talente &amp; Stuff'!AF:BG,15,FALSE)</f>
        <v>0</v>
      </c>
      <c r="R125" s="117">
        <f>VLOOKUP(C125,'Talente &amp; Stuff'!AF:BG,16,FALSE)</f>
        <v>0</v>
      </c>
      <c r="S125" s="119">
        <f>VLOOKUP(C125,'Talente &amp; Stuff'!AF:BG,17,FALSE)</f>
        <v>0</v>
      </c>
      <c r="T125" s="119">
        <f>VLOOKUP(C125,'Talente &amp; Stuff'!AF:BG,18,FALSE)</f>
        <v>0</v>
      </c>
      <c r="U125" s="89">
        <f>VLOOKUP(C125,'Talente &amp; Stuff'!AF:BG,19,FALSE)</f>
        <v>0</v>
      </c>
      <c r="V125" s="47">
        <f>VLOOKUP(C125,'Talente &amp; Stuff'!AF:BG,20,FALSE)</f>
        <v>0</v>
      </c>
      <c r="W125" s="127">
        <f>VLOOKUP(C125,'Talente &amp; Stuff'!AF:BG,21,FALSE)</f>
        <v>0</v>
      </c>
      <c r="X125" s="127">
        <f>VLOOKUP(C125,'Talente &amp; Stuff'!AF:BG,22,FALSE)</f>
        <v>0</v>
      </c>
      <c r="Y125" s="165">
        <f t="shared" si="12"/>
        <v>0</v>
      </c>
      <c r="Z125" s="44">
        <f t="shared" si="13"/>
        <v>0</v>
      </c>
      <c r="AA125" s="125">
        <f>VLOOKUP(C125,'Talente &amp; Stuff'!AF:BG,25,FALSE)</f>
        <v>0</v>
      </c>
      <c r="AB125" s="160">
        <f>VLOOKUP(C125,'Talente &amp; Stuff'!AF:BG,26,FALSE)</f>
        <v>0</v>
      </c>
      <c r="AC125" s="127">
        <f>VLOOKUP(C125,'Talente &amp; Stuff'!AF:BG,27,FALSE)</f>
        <v>0</v>
      </c>
      <c r="AD125" s="125">
        <f>VLOOKUP(C125,'Talente &amp; Stuff'!AF:BG,28,FALSE)</f>
        <v>0</v>
      </c>
      <c r="AE125" s="28"/>
    </row>
    <row r="126" spans="2:31" ht="15" hidden="1" customHeight="1" outlineLevel="2">
      <c r="B126" s="148">
        <v>27</v>
      </c>
      <c r="C126" s="178" t="str">
        <f>Attribute!C126</f>
        <v>---</v>
      </c>
      <c r="D126" s="23" t="str">
        <f>VLOOKUP(C126,'Talente &amp; Stuff'!AF:BG,2,FALSE)</f>
        <v>--/--/--</v>
      </c>
      <c r="E126" s="128" t="str">
        <f>VLOOKUP(C126,'Talente &amp; Stuff'!AF:BG,3,FALSE)</f>
        <v>-</v>
      </c>
      <c r="F126" s="115">
        <f>VLOOKUP(C126,'Talente &amp; Stuff'!AF:BG,4,FALSE)</f>
        <v>0</v>
      </c>
      <c r="G126" s="122">
        <f>VLOOKUP(C126,'Talente &amp; Stuff'!AF:BG,5,FALSE)</f>
        <v>0</v>
      </c>
      <c r="H126" s="122">
        <f>VLOOKUP(C126,'Talente &amp; Stuff'!AF:BG,6,FALSE)</f>
        <v>0</v>
      </c>
      <c r="I126" s="122">
        <f>VLOOKUP(C126,'Talente &amp; Stuff'!AF:BG,7,FALSE)</f>
        <v>0</v>
      </c>
      <c r="J126" s="122">
        <f>VLOOKUP(C126,'Talente &amp; Stuff'!AF:BG,8,FALSE)</f>
        <v>0</v>
      </c>
      <c r="K126" s="122">
        <f>VLOOKUP(C126,'Talente &amp; Stuff'!AF:BG,9,FALSE)</f>
        <v>0</v>
      </c>
      <c r="L126" s="122">
        <f>VLOOKUP(C126,'Talente &amp; Stuff'!AF:BG,10,FALSE)</f>
        <v>0</v>
      </c>
      <c r="M126" s="123">
        <f>VLOOKUP(C126,'Talente &amp; Stuff'!AF:BG,11,FALSE)</f>
        <v>0</v>
      </c>
      <c r="N126" s="88">
        <f>VLOOKUP(C126,'Talente &amp; Stuff'!AF:BG,12,FALSE)</f>
        <v>0</v>
      </c>
      <c r="O126" s="2">
        <f>VLOOKUP(C126,'Talente &amp; Stuff'!AF:BG,13,FALSE)</f>
        <v>0</v>
      </c>
      <c r="P126" s="173">
        <f>VLOOKUP(C126,'Talente &amp; Stuff'!AF:BG,14,FALSE)</f>
        <v>0</v>
      </c>
      <c r="Q126" s="115">
        <f>VLOOKUP(C126,'Talente &amp; Stuff'!AF:BG,15,FALSE)</f>
        <v>0</v>
      </c>
      <c r="R126" s="169">
        <f>VLOOKUP(C126,'Talente &amp; Stuff'!AF:BG,16,FALSE)</f>
        <v>0</v>
      </c>
      <c r="S126" s="123">
        <f>VLOOKUP(C126,'Talente &amp; Stuff'!AF:BG,17,FALSE)</f>
        <v>0</v>
      </c>
      <c r="T126" s="123">
        <f>VLOOKUP(C126,'Talente &amp; Stuff'!AF:BG,18,FALSE)</f>
        <v>0</v>
      </c>
      <c r="U126" s="90">
        <f>VLOOKUP(C126,'Talente &amp; Stuff'!AF:BG,19,FALSE)</f>
        <v>0</v>
      </c>
      <c r="V126" s="88">
        <f>VLOOKUP(C126,'Talente &amp; Stuff'!AF:BG,20,FALSE)</f>
        <v>0</v>
      </c>
      <c r="W126" s="128">
        <f>VLOOKUP(C126,'Talente &amp; Stuff'!AF:BG,21,FALSE)</f>
        <v>0</v>
      </c>
      <c r="X126" s="128">
        <f>VLOOKUP(C126,'Talente &amp; Stuff'!AF:BG,22,FALSE)</f>
        <v>0</v>
      </c>
      <c r="Y126" s="165">
        <f t="shared" si="12"/>
        <v>0</v>
      </c>
      <c r="Z126" s="44">
        <f t="shared" si="13"/>
        <v>0</v>
      </c>
      <c r="AA126" s="159">
        <f>VLOOKUP(C126,'Talente &amp; Stuff'!AF:BG,25,FALSE)</f>
        <v>0</v>
      </c>
      <c r="AB126" s="161">
        <f>VLOOKUP(C126,'Talente &amp; Stuff'!AF:BG,26,FALSE)</f>
        <v>0</v>
      </c>
      <c r="AC126" s="128">
        <f>VLOOKUP(C126,'Talente &amp; Stuff'!AF:BG,27,FALSE)</f>
        <v>0</v>
      </c>
      <c r="AD126" s="159">
        <f>VLOOKUP(C126,'Talente &amp; Stuff'!AF:BG,28,FALSE)</f>
        <v>0</v>
      </c>
      <c r="AE126" s="28"/>
    </row>
    <row r="127" spans="2:31" ht="15" hidden="1" customHeight="1" outlineLevel="1" collapsed="1">
      <c r="B127" s="134" t="s">
        <v>330</v>
      </c>
      <c r="C127" s="83"/>
      <c r="D127" s="84"/>
      <c r="E127" s="84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  <c r="W127" s="148"/>
      <c r="X127" s="148"/>
      <c r="AA127" s="148"/>
      <c r="AB127" s="148"/>
      <c r="AC127" s="148"/>
      <c r="AD127" s="148"/>
      <c r="AE127" s="148"/>
    </row>
    <row r="128" spans="2:31" ht="15" hidden="1" customHeight="1" outlineLevel="2">
      <c r="B128" s="148">
        <v>1</v>
      </c>
      <c r="C128" s="176" t="str">
        <f>Attribute!C128</f>
        <v>---</v>
      </c>
      <c r="D128" s="158" t="str">
        <f>VLOOKUP(C128,'Talente &amp; Stuff'!AF:BG,2,FALSE)</f>
        <v>--/--/--</v>
      </c>
      <c r="E128" s="126" t="str">
        <f>VLOOKUP(C128,'Talente &amp; Stuff'!AF:BG,3,FALSE)</f>
        <v>-</v>
      </c>
      <c r="F128" s="191">
        <f>VLOOKUP(C128,'Talente &amp; Stuff'!AF:BG,4,FALSE)</f>
        <v>0</v>
      </c>
      <c r="G128" s="118">
        <f>VLOOKUP(C128,'Talente &amp; Stuff'!AF:BG,5,FALSE)</f>
        <v>0</v>
      </c>
      <c r="H128" s="118">
        <f>VLOOKUP(C128,'Talente &amp; Stuff'!AF:BG,6,FALSE)</f>
        <v>0</v>
      </c>
      <c r="I128" s="118">
        <f>VLOOKUP(C128,'Talente &amp; Stuff'!AF:BG,7,FALSE)</f>
        <v>0</v>
      </c>
      <c r="J128" s="118">
        <f>VLOOKUP(C128,'Talente &amp; Stuff'!AF:BG,8,FALSE)</f>
        <v>0</v>
      </c>
      <c r="K128" s="118">
        <f>VLOOKUP(C128,'Talente &amp; Stuff'!AF:BG,9,FALSE)</f>
        <v>0</v>
      </c>
      <c r="L128" s="118">
        <f>VLOOKUP(C128,'Talente &amp; Stuff'!AF:BG,10,FALSE)</f>
        <v>0</v>
      </c>
      <c r="M128" s="92">
        <f>VLOOKUP(C128,'Talente &amp; Stuff'!AF:BG,11,FALSE)</f>
        <v>0</v>
      </c>
      <c r="N128" s="116">
        <f>VLOOKUP(C128,'Talente &amp; Stuff'!AF:BG,12,FALSE)</f>
        <v>0</v>
      </c>
      <c r="O128" s="116">
        <f>VLOOKUP(C128,'Talente &amp; Stuff'!AF:BG,13,FALSE)</f>
        <v>0</v>
      </c>
      <c r="P128" s="92">
        <f>VLOOKUP(C128,'Talente &amp; Stuff'!AF:BG,14,FALSE)</f>
        <v>0</v>
      </c>
      <c r="Q128" s="191">
        <f>VLOOKUP(C128,'Talente &amp; Stuff'!AF:BG,15,FALSE)</f>
        <v>0</v>
      </c>
      <c r="R128" s="118">
        <f>VLOOKUP(C128,'Talente &amp; Stuff'!AF:BG,16,FALSE)</f>
        <v>0</v>
      </c>
      <c r="S128" s="92">
        <f>VLOOKUP(C128,'Talente &amp; Stuff'!AF:BG,17,FALSE)</f>
        <v>0</v>
      </c>
      <c r="T128" s="92">
        <f>VLOOKUP(C128,'Talente &amp; Stuff'!AF:BG,18,FALSE)</f>
        <v>0</v>
      </c>
      <c r="U128" s="193">
        <f>VLOOKUP(C128,'Talente &amp; Stuff'!AF:BG,19,FALSE)</f>
        <v>0</v>
      </c>
      <c r="V128" s="116">
        <f>VLOOKUP(C128,'Talente &amp; Stuff'!AF:BG,20,FALSE)</f>
        <v>0</v>
      </c>
      <c r="W128" s="126">
        <f>VLOOKUP(C128,'Talente &amp; Stuff'!AF:BG,21,FALSE)</f>
        <v>0</v>
      </c>
      <c r="X128" s="126">
        <f>VLOOKUP(C128,'Talente &amp; Stuff'!AF:BG,22,FALSE)</f>
        <v>0</v>
      </c>
      <c r="Y128" s="165">
        <f t="shared" ref="Y128:Y151" si="14">VLOOKUP(C128,Ausgewählte_Zauber_Elfen,52,FALSE)</f>
        <v>0</v>
      </c>
      <c r="Z128" s="44">
        <f t="shared" ref="Z128:Z151" si="15">VLOOKUP(C128,Ausgewählte_Zauber_Elfen,53,FALSE)</f>
        <v>0</v>
      </c>
      <c r="AA128" s="158">
        <f>VLOOKUP(C128,'Talente &amp; Stuff'!AF:BG,25,FALSE)</f>
        <v>0</v>
      </c>
      <c r="AB128" s="91">
        <f>VLOOKUP(C128,'Talente &amp; Stuff'!AF:BG,26,FALSE)</f>
        <v>0</v>
      </c>
      <c r="AC128" s="126">
        <f>VLOOKUP(C128,'Talente &amp; Stuff'!AF:BG,27,FALSE)</f>
        <v>0</v>
      </c>
      <c r="AD128" s="158">
        <f>VLOOKUP(C128,'Talente &amp; Stuff'!AF:BG,28,FALSE)</f>
        <v>0</v>
      </c>
      <c r="AE128" s="28"/>
    </row>
    <row r="129" spans="2:31" s="148" customFormat="1" ht="15" hidden="1" customHeight="1" outlineLevel="2">
      <c r="B129" s="148">
        <v>2</v>
      </c>
      <c r="C129" s="177" t="str">
        <f>Attribute!C129</f>
        <v>---</v>
      </c>
      <c r="D129" s="125" t="str">
        <f>VLOOKUP(C129,'Talente &amp; Stuff'!AF:BG,2,FALSE)</f>
        <v>--/--/--</v>
      </c>
      <c r="E129" s="127" t="str">
        <f>VLOOKUP(C129,'Talente &amp; Stuff'!AF:BG,3,FALSE)</f>
        <v>-</v>
      </c>
      <c r="F129" s="114">
        <f>VLOOKUP(C129,'Talente &amp; Stuff'!AF:BG,4,FALSE)</f>
        <v>0</v>
      </c>
      <c r="G129" s="113">
        <f>VLOOKUP(C129,'Talente &amp; Stuff'!AF:BG,5,FALSE)</f>
        <v>0</v>
      </c>
      <c r="H129" s="113">
        <f>VLOOKUP(C129,'Talente &amp; Stuff'!AF:BG,6,FALSE)</f>
        <v>0</v>
      </c>
      <c r="I129" s="113">
        <f>VLOOKUP(C129,'Talente &amp; Stuff'!AF:BG,7,FALSE)</f>
        <v>0</v>
      </c>
      <c r="J129" s="113">
        <f>VLOOKUP(C129,'Talente &amp; Stuff'!AF:BG,8,FALSE)</f>
        <v>0</v>
      </c>
      <c r="K129" s="113">
        <f>VLOOKUP(C129,'Talente &amp; Stuff'!AF:BG,9,FALSE)</f>
        <v>0</v>
      </c>
      <c r="L129" s="113">
        <f>VLOOKUP(C129,'Talente &amp; Stuff'!AF:BG,10,FALSE)</f>
        <v>0</v>
      </c>
      <c r="M129" s="119">
        <f>VLOOKUP(C129,'Talente &amp; Stuff'!AF:BG,11,FALSE)</f>
        <v>0</v>
      </c>
      <c r="N129" s="47">
        <f>VLOOKUP(C129,'Talente &amp; Stuff'!AF:BG,12,FALSE)</f>
        <v>0</v>
      </c>
      <c r="O129" s="47">
        <f>VLOOKUP(C129,'Talente &amp; Stuff'!AF:BG,13,FALSE)</f>
        <v>0</v>
      </c>
      <c r="P129" s="119">
        <f>VLOOKUP(C129,'Talente &amp; Stuff'!AF:BG,14,FALSE)</f>
        <v>0</v>
      </c>
      <c r="Q129" s="114">
        <f>VLOOKUP(C129,'Talente &amp; Stuff'!AF:BG,15,FALSE)</f>
        <v>0</v>
      </c>
      <c r="R129" s="113">
        <f>VLOOKUP(C129,'Talente &amp; Stuff'!AF:BG,16,FALSE)</f>
        <v>0</v>
      </c>
      <c r="S129" s="119">
        <f>VLOOKUP(C129,'Talente &amp; Stuff'!AF:BG,17,FALSE)</f>
        <v>0</v>
      </c>
      <c r="T129" s="119">
        <f>VLOOKUP(C129,'Talente &amp; Stuff'!AF:BG,18,FALSE)</f>
        <v>0</v>
      </c>
      <c r="U129" s="89">
        <f>VLOOKUP(C129,'Talente &amp; Stuff'!AF:BG,19,FALSE)</f>
        <v>0</v>
      </c>
      <c r="V129" s="47">
        <f>VLOOKUP(C129,'Talente &amp; Stuff'!AF:BG,20,FALSE)</f>
        <v>0</v>
      </c>
      <c r="W129" s="127">
        <f>VLOOKUP(C129,'Talente &amp; Stuff'!AF:BG,21,FALSE)</f>
        <v>0</v>
      </c>
      <c r="X129" s="127">
        <f>VLOOKUP(C129,'Talente &amp; Stuff'!AF:BG,22,FALSE)</f>
        <v>0</v>
      </c>
      <c r="Y129" s="165">
        <f t="shared" si="14"/>
        <v>0</v>
      </c>
      <c r="Z129" s="44">
        <f t="shared" si="15"/>
        <v>0</v>
      </c>
      <c r="AA129" s="125">
        <f>VLOOKUP(C129,'Talente &amp; Stuff'!AF:BG,25,FALSE)</f>
        <v>0</v>
      </c>
      <c r="AB129" s="160">
        <f>VLOOKUP(C129,'Talente &amp; Stuff'!AF:BG,26,FALSE)</f>
        <v>0</v>
      </c>
      <c r="AC129" s="127">
        <f>VLOOKUP(C129,'Talente &amp; Stuff'!AF:BG,27,FALSE)</f>
        <v>0</v>
      </c>
      <c r="AD129" s="125">
        <f>VLOOKUP(C129,'Talente &amp; Stuff'!AF:BG,28,FALSE)</f>
        <v>0</v>
      </c>
      <c r="AE129" s="28"/>
    </row>
    <row r="130" spans="2:31" s="148" customFormat="1" ht="15" hidden="1" customHeight="1" outlineLevel="2">
      <c r="B130" s="148">
        <v>3</v>
      </c>
      <c r="C130" s="177" t="str">
        <f>Attribute!C130</f>
        <v>---</v>
      </c>
      <c r="D130" s="125" t="str">
        <f>VLOOKUP(C130,'Talente &amp; Stuff'!AF:BG,2,FALSE)</f>
        <v>--/--/--</v>
      </c>
      <c r="E130" s="127" t="str">
        <f>VLOOKUP(C130,'Talente &amp; Stuff'!AF:BG,3,FALSE)</f>
        <v>-</v>
      </c>
      <c r="F130" s="114">
        <f>VLOOKUP(C130,'Talente &amp; Stuff'!AF:BG,4,FALSE)</f>
        <v>0</v>
      </c>
      <c r="G130" s="113">
        <f>VLOOKUP(C130,'Talente &amp; Stuff'!AF:BG,5,FALSE)</f>
        <v>0</v>
      </c>
      <c r="H130" s="113">
        <f>VLOOKUP(C130,'Talente &amp; Stuff'!AF:BG,6,FALSE)</f>
        <v>0</v>
      </c>
      <c r="I130" s="113">
        <f>VLOOKUP(C130,'Talente &amp; Stuff'!AF:BG,7,FALSE)</f>
        <v>0</v>
      </c>
      <c r="J130" s="113">
        <f>VLOOKUP(C130,'Talente &amp; Stuff'!AF:BG,8,FALSE)</f>
        <v>0</v>
      </c>
      <c r="K130" s="113">
        <f>VLOOKUP(C130,'Talente &amp; Stuff'!AF:BG,9,FALSE)</f>
        <v>0</v>
      </c>
      <c r="L130" s="113">
        <f>VLOOKUP(C130,'Talente &amp; Stuff'!AF:BG,10,FALSE)</f>
        <v>0</v>
      </c>
      <c r="M130" s="119">
        <f>VLOOKUP(C130,'Talente &amp; Stuff'!AF:BG,11,FALSE)</f>
        <v>0</v>
      </c>
      <c r="N130" s="47">
        <f>VLOOKUP(C130,'Talente &amp; Stuff'!AF:BG,12,FALSE)</f>
        <v>0</v>
      </c>
      <c r="O130" s="47">
        <f>VLOOKUP(C130,'Talente &amp; Stuff'!AF:BG,13,FALSE)</f>
        <v>0</v>
      </c>
      <c r="P130" s="119">
        <f>VLOOKUP(C130,'Talente &amp; Stuff'!AF:BG,14,FALSE)</f>
        <v>0</v>
      </c>
      <c r="Q130" s="114">
        <f>VLOOKUP(C130,'Talente &amp; Stuff'!AF:BG,15,FALSE)</f>
        <v>0</v>
      </c>
      <c r="R130" s="113">
        <f>VLOOKUP(C130,'Talente &amp; Stuff'!AF:BG,16,FALSE)</f>
        <v>0</v>
      </c>
      <c r="S130" s="119">
        <f>VLOOKUP(C130,'Talente &amp; Stuff'!AF:BG,17,FALSE)</f>
        <v>0</v>
      </c>
      <c r="T130" s="119">
        <f>VLOOKUP(C130,'Talente &amp; Stuff'!AF:BG,18,FALSE)</f>
        <v>0</v>
      </c>
      <c r="U130" s="89">
        <f>VLOOKUP(C130,'Talente &amp; Stuff'!AF:BG,19,FALSE)</f>
        <v>0</v>
      </c>
      <c r="V130" s="47">
        <f>VLOOKUP(C130,'Talente &amp; Stuff'!AF:BG,20,FALSE)</f>
        <v>0</v>
      </c>
      <c r="W130" s="127">
        <f>VLOOKUP(C130,'Talente &amp; Stuff'!AF:BG,21,FALSE)</f>
        <v>0</v>
      </c>
      <c r="X130" s="127">
        <f>VLOOKUP(C130,'Talente &amp; Stuff'!AF:BG,22,FALSE)</f>
        <v>0</v>
      </c>
      <c r="Y130" s="165">
        <f t="shared" si="14"/>
        <v>0</v>
      </c>
      <c r="Z130" s="44">
        <f t="shared" si="15"/>
        <v>0</v>
      </c>
      <c r="AA130" s="125">
        <f>VLOOKUP(C130,'Talente &amp; Stuff'!AF:BG,25,FALSE)</f>
        <v>0</v>
      </c>
      <c r="AB130" s="160">
        <f>VLOOKUP(C130,'Talente &amp; Stuff'!AF:BG,26,FALSE)</f>
        <v>0</v>
      </c>
      <c r="AC130" s="127">
        <f>VLOOKUP(C130,'Talente &amp; Stuff'!AF:BG,27,FALSE)</f>
        <v>0</v>
      </c>
      <c r="AD130" s="125">
        <f>VLOOKUP(C130,'Talente &amp; Stuff'!AF:BG,28,FALSE)</f>
        <v>0</v>
      </c>
      <c r="AE130" s="28"/>
    </row>
    <row r="131" spans="2:31" s="148" customFormat="1" ht="15" hidden="1" customHeight="1" outlineLevel="2">
      <c r="B131" s="148">
        <v>4</v>
      </c>
      <c r="C131" s="177" t="str">
        <f>Attribute!C131</f>
        <v>---</v>
      </c>
      <c r="D131" s="125" t="str">
        <f>VLOOKUP(C131,'Talente &amp; Stuff'!AF:BG,2,FALSE)</f>
        <v>--/--/--</v>
      </c>
      <c r="E131" s="127" t="str">
        <f>VLOOKUP(C131,'Talente &amp; Stuff'!AF:BG,3,FALSE)</f>
        <v>-</v>
      </c>
      <c r="F131" s="114">
        <f>VLOOKUP(C131,'Talente &amp; Stuff'!AF:BG,4,FALSE)</f>
        <v>0</v>
      </c>
      <c r="G131" s="113">
        <f>VLOOKUP(C131,'Talente &amp; Stuff'!AF:BG,5,FALSE)</f>
        <v>0</v>
      </c>
      <c r="H131" s="113">
        <f>VLOOKUP(C131,'Talente &amp; Stuff'!AF:BG,6,FALSE)</f>
        <v>0</v>
      </c>
      <c r="I131" s="113">
        <f>VLOOKUP(C131,'Talente &amp; Stuff'!AF:BG,7,FALSE)</f>
        <v>0</v>
      </c>
      <c r="J131" s="113">
        <f>VLOOKUP(C131,'Talente &amp; Stuff'!AF:BG,8,FALSE)</f>
        <v>0</v>
      </c>
      <c r="K131" s="113">
        <f>VLOOKUP(C131,'Talente &amp; Stuff'!AF:BG,9,FALSE)</f>
        <v>0</v>
      </c>
      <c r="L131" s="113">
        <f>VLOOKUP(C131,'Talente &amp; Stuff'!AF:BG,10,FALSE)</f>
        <v>0</v>
      </c>
      <c r="M131" s="119">
        <f>VLOOKUP(C131,'Talente &amp; Stuff'!AF:BG,11,FALSE)</f>
        <v>0</v>
      </c>
      <c r="N131" s="47">
        <f>VLOOKUP(C131,'Talente &amp; Stuff'!AF:BG,12,FALSE)</f>
        <v>0</v>
      </c>
      <c r="O131" s="47">
        <f>VLOOKUP(C131,'Talente &amp; Stuff'!AF:BG,13,FALSE)</f>
        <v>0</v>
      </c>
      <c r="P131" s="119">
        <f>VLOOKUP(C131,'Talente &amp; Stuff'!AF:BG,14,FALSE)</f>
        <v>0</v>
      </c>
      <c r="Q131" s="114">
        <f>VLOOKUP(C131,'Talente &amp; Stuff'!AF:BG,15,FALSE)</f>
        <v>0</v>
      </c>
      <c r="R131" s="113">
        <f>VLOOKUP(C131,'Talente &amp; Stuff'!AF:BG,16,FALSE)</f>
        <v>0</v>
      </c>
      <c r="S131" s="119">
        <f>VLOOKUP(C131,'Talente &amp; Stuff'!AF:BG,17,FALSE)</f>
        <v>0</v>
      </c>
      <c r="T131" s="119">
        <f>VLOOKUP(C131,'Talente &amp; Stuff'!AF:BG,18,FALSE)</f>
        <v>0</v>
      </c>
      <c r="U131" s="89">
        <f>VLOOKUP(C131,'Talente &amp; Stuff'!AF:BG,19,FALSE)</f>
        <v>0</v>
      </c>
      <c r="V131" s="47">
        <f>VLOOKUP(C131,'Talente &amp; Stuff'!AF:BG,20,FALSE)</f>
        <v>0</v>
      </c>
      <c r="W131" s="127">
        <f>VLOOKUP(C131,'Talente &amp; Stuff'!AF:BG,21,FALSE)</f>
        <v>0</v>
      </c>
      <c r="X131" s="127">
        <f>VLOOKUP(C131,'Talente &amp; Stuff'!AF:BG,22,FALSE)</f>
        <v>0</v>
      </c>
      <c r="Y131" s="165">
        <f t="shared" si="14"/>
        <v>0</v>
      </c>
      <c r="Z131" s="44">
        <f t="shared" si="15"/>
        <v>0</v>
      </c>
      <c r="AA131" s="125">
        <f>VLOOKUP(C131,'Talente &amp; Stuff'!AF:BG,25,FALSE)</f>
        <v>0</v>
      </c>
      <c r="AB131" s="160">
        <f>VLOOKUP(C131,'Talente &amp; Stuff'!AF:BG,26,FALSE)</f>
        <v>0</v>
      </c>
      <c r="AC131" s="127">
        <f>VLOOKUP(C131,'Talente &amp; Stuff'!AF:BG,27,FALSE)</f>
        <v>0</v>
      </c>
      <c r="AD131" s="125">
        <f>VLOOKUP(C131,'Talente &amp; Stuff'!AF:BG,28,FALSE)</f>
        <v>0</v>
      </c>
      <c r="AE131" s="28"/>
    </row>
    <row r="132" spans="2:31" s="148" customFormat="1" ht="15" hidden="1" customHeight="1" outlineLevel="2">
      <c r="B132" s="148">
        <v>5</v>
      </c>
      <c r="C132" s="177" t="str">
        <f>Attribute!C132</f>
        <v>---</v>
      </c>
      <c r="D132" s="125" t="str">
        <f>VLOOKUP(C132,'Talente &amp; Stuff'!AF:BG,2,FALSE)</f>
        <v>--/--/--</v>
      </c>
      <c r="E132" s="127" t="str">
        <f>VLOOKUP(C132,'Talente &amp; Stuff'!AF:BG,3,FALSE)</f>
        <v>-</v>
      </c>
      <c r="F132" s="114">
        <f>VLOOKUP(C132,'Talente &amp; Stuff'!AF:BG,4,FALSE)</f>
        <v>0</v>
      </c>
      <c r="G132" s="113">
        <f>VLOOKUP(C132,'Talente &amp; Stuff'!AF:BG,5,FALSE)</f>
        <v>0</v>
      </c>
      <c r="H132" s="113">
        <f>VLOOKUP(C132,'Talente &amp; Stuff'!AF:BG,6,FALSE)</f>
        <v>0</v>
      </c>
      <c r="I132" s="113">
        <f>VLOOKUP(C132,'Talente &amp; Stuff'!AF:BG,7,FALSE)</f>
        <v>0</v>
      </c>
      <c r="J132" s="113">
        <f>VLOOKUP(C132,'Talente &amp; Stuff'!AF:BG,8,FALSE)</f>
        <v>0</v>
      </c>
      <c r="K132" s="113">
        <f>VLOOKUP(C132,'Talente &amp; Stuff'!AF:BG,9,FALSE)</f>
        <v>0</v>
      </c>
      <c r="L132" s="113">
        <f>VLOOKUP(C132,'Talente &amp; Stuff'!AF:BG,10,FALSE)</f>
        <v>0</v>
      </c>
      <c r="M132" s="119">
        <f>VLOOKUP(C132,'Talente &amp; Stuff'!AF:BG,11,FALSE)</f>
        <v>0</v>
      </c>
      <c r="N132" s="47">
        <f>VLOOKUP(C132,'Talente &amp; Stuff'!AF:BG,12,FALSE)</f>
        <v>0</v>
      </c>
      <c r="O132" s="47">
        <f>VLOOKUP(C132,'Talente &amp; Stuff'!AF:BG,13,FALSE)</f>
        <v>0</v>
      </c>
      <c r="P132" s="119">
        <f>VLOOKUP(C132,'Talente &amp; Stuff'!AF:BG,14,FALSE)</f>
        <v>0</v>
      </c>
      <c r="Q132" s="114">
        <f>VLOOKUP(C132,'Talente &amp; Stuff'!AF:BG,15,FALSE)</f>
        <v>0</v>
      </c>
      <c r="R132" s="113">
        <f>VLOOKUP(C132,'Talente &amp; Stuff'!AF:BG,16,FALSE)</f>
        <v>0</v>
      </c>
      <c r="S132" s="119">
        <f>VLOOKUP(C132,'Talente &amp; Stuff'!AF:BG,17,FALSE)</f>
        <v>0</v>
      </c>
      <c r="T132" s="119">
        <f>VLOOKUP(C132,'Talente &amp; Stuff'!AF:BG,18,FALSE)</f>
        <v>0</v>
      </c>
      <c r="U132" s="89">
        <f>VLOOKUP(C132,'Talente &amp; Stuff'!AF:BG,19,FALSE)</f>
        <v>0</v>
      </c>
      <c r="V132" s="47">
        <f>VLOOKUP(C132,'Talente &amp; Stuff'!AF:BG,20,FALSE)</f>
        <v>0</v>
      </c>
      <c r="W132" s="127">
        <f>VLOOKUP(C132,'Talente &amp; Stuff'!AF:BG,21,FALSE)</f>
        <v>0</v>
      </c>
      <c r="X132" s="127">
        <f>VLOOKUP(C132,'Talente &amp; Stuff'!AF:BG,22,FALSE)</f>
        <v>0</v>
      </c>
      <c r="Y132" s="165">
        <f t="shared" si="14"/>
        <v>0</v>
      </c>
      <c r="Z132" s="44">
        <f t="shared" si="15"/>
        <v>0</v>
      </c>
      <c r="AA132" s="125">
        <f>VLOOKUP(C132,'Talente &amp; Stuff'!AF:BG,25,FALSE)</f>
        <v>0</v>
      </c>
      <c r="AB132" s="160">
        <f>VLOOKUP(C132,'Talente &amp; Stuff'!AF:BG,26,FALSE)</f>
        <v>0</v>
      </c>
      <c r="AC132" s="127">
        <f>VLOOKUP(C132,'Talente &amp; Stuff'!AF:BG,27,FALSE)</f>
        <v>0</v>
      </c>
      <c r="AD132" s="125">
        <f>VLOOKUP(C132,'Talente &amp; Stuff'!AF:BG,28,FALSE)</f>
        <v>0</v>
      </c>
      <c r="AE132" s="28"/>
    </row>
    <row r="133" spans="2:31" s="148" customFormat="1" ht="15" hidden="1" customHeight="1" outlineLevel="2">
      <c r="B133" s="148">
        <v>6</v>
      </c>
      <c r="C133" s="177" t="str">
        <f>Attribute!C133</f>
        <v>---</v>
      </c>
      <c r="D133" s="125" t="str">
        <f>VLOOKUP(C133,'Talente &amp; Stuff'!AF:BG,2,FALSE)</f>
        <v>--/--/--</v>
      </c>
      <c r="E133" s="127" t="str">
        <f>VLOOKUP(C133,'Talente &amp; Stuff'!AF:BG,3,FALSE)</f>
        <v>-</v>
      </c>
      <c r="F133" s="114">
        <f>VLOOKUP(C133,'Talente &amp; Stuff'!AF:BG,4,FALSE)</f>
        <v>0</v>
      </c>
      <c r="G133" s="113">
        <f>VLOOKUP(C133,'Talente &amp; Stuff'!AF:BG,5,FALSE)</f>
        <v>0</v>
      </c>
      <c r="H133" s="113">
        <f>VLOOKUP(C133,'Talente &amp; Stuff'!AF:BG,6,FALSE)</f>
        <v>0</v>
      </c>
      <c r="I133" s="113">
        <f>VLOOKUP(C133,'Talente &amp; Stuff'!AF:BG,7,FALSE)</f>
        <v>0</v>
      </c>
      <c r="J133" s="113">
        <f>VLOOKUP(C133,'Talente &amp; Stuff'!AF:BG,8,FALSE)</f>
        <v>0</v>
      </c>
      <c r="K133" s="113">
        <f>VLOOKUP(C133,'Talente &amp; Stuff'!AF:BG,9,FALSE)</f>
        <v>0</v>
      </c>
      <c r="L133" s="113">
        <f>VLOOKUP(C133,'Talente &amp; Stuff'!AF:BG,10,FALSE)</f>
        <v>0</v>
      </c>
      <c r="M133" s="119">
        <f>VLOOKUP(C133,'Talente &amp; Stuff'!AF:BG,11,FALSE)</f>
        <v>0</v>
      </c>
      <c r="N133" s="47">
        <f>VLOOKUP(C133,'Talente &amp; Stuff'!AF:BG,12,FALSE)</f>
        <v>0</v>
      </c>
      <c r="O133" s="47">
        <f>VLOOKUP(C133,'Talente &amp; Stuff'!AF:BG,13,FALSE)</f>
        <v>0</v>
      </c>
      <c r="P133" s="119">
        <f>VLOOKUP(C133,'Talente &amp; Stuff'!AF:BG,14,FALSE)</f>
        <v>0</v>
      </c>
      <c r="Q133" s="114">
        <f>VLOOKUP(C133,'Talente &amp; Stuff'!AF:BG,15,FALSE)</f>
        <v>0</v>
      </c>
      <c r="R133" s="113">
        <f>VLOOKUP(C133,'Talente &amp; Stuff'!AF:BG,16,FALSE)</f>
        <v>0</v>
      </c>
      <c r="S133" s="119">
        <f>VLOOKUP(C133,'Talente &amp; Stuff'!AF:BG,17,FALSE)</f>
        <v>0</v>
      </c>
      <c r="T133" s="119">
        <f>VLOOKUP(C133,'Talente &amp; Stuff'!AF:BG,18,FALSE)</f>
        <v>0</v>
      </c>
      <c r="U133" s="89">
        <f>VLOOKUP(C133,'Talente &amp; Stuff'!AF:BG,19,FALSE)</f>
        <v>0</v>
      </c>
      <c r="V133" s="47">
        <f>VLOOKUP(C133,'Talente &amp; Stuff'!AF:BG,20,FALSE)</f>
        <v>0</v>
      </c>
      <c r="W133" s="127">
        <f>VLOOKUP(C133,'Talente &amp; Stuff'!AF:BG,21,FALSE)</f>
        <v>0</v>
      </c>
      <c r="X133" s="127">
        <f>VLOOKUP(C133,'Talente &amp; Stuff'!AF:BG,22,FALSE)</f>
        <v>0</v>
      </c>
      <c r="Y133" s="165">
        <f t="shared" si="14"/>
        <v>0</v>
      </c>
      <c r="Z133" s="44">
        <f t="shared" si="15"/>
        <v>0</v>
      </c>
      <c r="AA133" s="125">
        <f>VLOOKUP(C133,'Talente &amp; Stuff'!AF:BG,25,FALSE)</f>
        <v>0</v>
      </c>
      <c r="AB133" s="160">
        <f>VLOOKUP(C133,'Talente &amp; Stuff'!AF:BG,26,FALSE)</f>
        <v>0</v>
      </c>
      <c r="AC133" s="127">
        <f>VLOOKUP(C133,'Talente &amp; Stuff'!AF:BG,27,FALSE)</f>
        <v>0</v>
      </c>
      <c r="AD133" s="125">
        <f>VLOOKUP(C133,'Talente &amp; Stuff'!AF:BG,28,FALSE)</f>
        <v>0</v>
      </c>
      <c r="AE133" s="28"/>
    </row>
    <row r="134" spans="2:31" s="148" customFormat="1" ht="15" hidden="1" customHeight="1" outlineLevel="2">
      <c r="B134" s="148">
        <v>7</v>
      </c>
      <c r="C134" s="177" t="str">
        <f>Attribute!C134</f>
        <v>---</v>
      </c>
      <c r="D134" s="125" t="str">
        <f>VLOOKUP(C134,'Talente &amp; Stuff'!AF:BG,2,FALSE)</f>
        <v>--/--/--</v>
      </c>
      <c r="E134" s="127" t="str">
        <f>VLOOKUP(C134,'Talente &amp; Stuff'!AF:BG,3,FALSE)</f>
        <v>-</v>
      </c>
      <c r="F134" s="114">
        <f>VLOOKUP(C134,'Talente &amp; Stuff'!AF:BG,4,FALSE)</f>
        <v>0</v>
      </c>
      <c r="G134" s="113">
        <f>VLOOKUP(C134,'Talente &amp; Stuff'!AF:BG,5,FALSE)</f>
        <v>0</v>
      </c>
      <c r="H134" s="113">
        <f>VLOOKUP(C134,'Talente &amp; Stuff'!AF:BG,6,FALSE)</f>
        <v>0</v>
      </c>
      <c r="I134" s="113">
        <f>VLOOKUP(C134,'Talente &amp; Stuff'!AF:BG,7,FALSE)</f>
        <v>0</v>
      </c>
      <c r="J134" s="113">
        <f>VLOOKUP(C134,'Talente &amp; Stuff'!AF:BG,8,FALSE)</f>
        <v>0</v>
      </c>
      <c r="K134" s="113">
        <f>VLOOKUP(C134,'Talente &amp; Stuff'!AF:BG,9,FALSE)</f>
        <v>0</v>
      </c>
      <c r="L134" s="113">
        <f>VLOOKUP(C134,'Talente &amp; Stuff'!AF:BG,10,FALSE)</f>
        <v>0</v>
      </c>
      <c r="M134" s="119">
        <f>VLOOKUP(C134,'Talente &amp; Stuff'!AF:BG,11,FALSE)</f>
        <v>0</v>
      </c>
      <c r="N134" s="47">
        <f>VLOOKUP(C134,'Talente &amp; Stuff'!AF:BG,12,FALSE)</f>
        <v>0</v>
      </c>
      <c r="O134" s="47">
        <f>VLOOKUP(C134,'Talente &amp; Stuff'!AF:BG,13,FALSE)</f>
        <v>0</v>
      </c>
      <c r="P134" s="119">
        <f>VLOOKUP(C134,'Talente &amp; Stuff'!AF:BG,14,FALSE)</f>
        <v>0</v>
      </c>
      <c r="Q134" s="114">
        <f>VLOOKUP(C134,'Talente &amp; Stuff'!AF:BG,15,FALSE)</f>
        <v>0</v>
      </c>
      <c r="R134" s="113">
        <f>VLOOKUP(C134,'Talente &amp; Stuff'!AF:BG,16,FALSE)</f>
        <v>0</v>
      </c>
      <c r="S134" s="119">
        <f>VLOOKUP(C134,'Talente &amp; Stuff'!AF:BG,17,FALSE)</f>
        <v>0</v>
      </c>
      <c r="T134" s="119">
        <f>VLOOKUP(C134,'Talente &amp; Stuff'!AF:BG,18,FALSE)</f>
        <v>0</v>
      </c>
      <c r="U134" s="89">
        <f>VLOOKUP(C134,'Talente &amp; Stuff'!AF:BG,19,FALSE)</f>
        <v>0</v>
      </c>
      <c r="V134" s="47">
        <f>VLOOKUP(C134,'Talente &amp; Stuff'!AF:BG,20,FALSE)</f>
        <v>0</v>
      </c>
      <c r="W134" s="127">
        <f>VLOOKUP(C134,'Talente &amp; Stuff'!AF:BG,21,FALSE)</f>
        <v>0</v>
      </c>
      <c r="X134" s="127">
        <f>VLOOKUP(C134,'Talente &amp; Stuff'!AF:BG,22,FALSE)</f>
        <v>0</v>
      </c>
      <c r="Y134" s="165">
        <f t="shared" si="14"/>
        <v>0</v>
      </c>
      <c r="Z134" s="44">
        <f t="shared" si="15"/>
        <v>0</v>
      </c>
      <c r="AA134" s="125">
        <f>VLOOKUP(C134,'Talente &amp; Stuff'!AF:BG,25,FALSE)</f>
        <v>0</v>
      </c>
      <c r="AB134" s="160">
        <f>VLOOKUP(C134,'Talente &amp; Stuff'!AF:BG,26,FALSE)</f>
        <v>0</v>
      </c>
      <c r="AC134" s="127">
        <f>VLOOKUP(C134,'Talente &amp; Stuff'!AF:BG,27,FALSE)</f>
        <v>0</v>
      </c>
      <c r="AD134" s="125">
        <f>VLOOKUP(C134,'Talente &amp; Stuff'!AF:BG,28,FALSE)</f>
        <v>0</v>
      </c>
      <c r="AE134" s="28"/>
    </row>
    <row r="135" spans="2:31" s="148" customFormat="1" ht="15" hidden="1" customHeight="1" outlineLevel="2">
      <c r="B135" s="148">
        <v>8</v>
      </c>
      <c r="C135" s="177" t="str">
        <f>Attribute!C135</f>
        <v>---</v>
      </c>
      <c r="D135" s="125" t="str">
        <f>VLOOKUP(C135,'Talente &amp; Stuff'!AF:BG,2,FALSE)</f>
        <v>--/--/--</v>
      </c>
      <c r="E135" s="127" t="str">
        <f>VLOOKUP(C135,'Talente &amp; Stuff'!AF:BG,3,FALSE)</f>
        <v>-</v>
      </c>
      <c r="F135" s="114">
        <f>VLOOKUP(C135,'Talente &amp; Stuff'!AF:BG,4,FALSE)</f>
        <v>0</v>
      </c>
      <c r="G135" s="113">
        <f>VLOOKUP(C135,'Talente &amp; Stuff'!AF:BG,5,FALSE)</f>
        <v>0</v>
      </c>
      <c r="H135" s="113">
        <f>VLOOKUP(C135,'Talente &amp; Stuff'!AF:BG,6,FALSE)</f>
        <v>0</v>
      </c>
      <c r="I135" s="113">
        <f>VLOOKUP(C135,'Talente &amp; Stuff'!AF:BG,7,FALSE)</f>
        <v>0</v>
      </c>
      <c r="J135" s="113">
        <f>VLOOKUP(C135,'Talente &amp; Stuff'!AF:BG,8,FALSE)</f>
        <v>0</v>
      </c>
      <c r="K135" s="113">
        <f>VLOOKUP(C135,'Talente &amp; Stuff'!AF:BG,9,FALSE)</f>
        <v>0</v>
      </c>
      <c r="L135" s="113">
        <f>VLOOKUP(C135,'Talente &amp; Stuff'!AF:BG,10,FALSE)</f>
        <v>0</v>
      </c>
      <c r="M135" s="119">
        <f>VLOOKUP(C135,'Talente &amp; Stuff'!AF:BG,11,FALSE)</f>
        <v>0</v>
      </c>
      <c r="N135" s="47">
        <f>VLOOKUP(C135,'Talente &amp; Stuff'!AF:BG,12,FALSE)</f>
        <v>0</v>
      </c>
      <c r="O135" s="47">
        <f>VLOOKUP(C135,'Talente &amp; Stuff'!AF:BG,13,FALSE)</f>
        <v>0</v>
      </c>
      <c r="P135" s="119">
        <f>VLOOKUP(C135,'Talente &amp; Stuff'!AF:BG,14,FALSE)</f>
        <v>0</v>
      </c>
      <c r="Q135" s="114">
        <f>VLOOKUP(C135,'Talente &amp; Stuff'!AF:BG,15,FALSE)</f>
        <v>0</v>
      </c>
      <c r="R135" s="113">
        <f>VLOOKUP(C135,'Talente &amp; Stuff'!AF:BG,16,FALSE)</f>
        <v>0</v>
      </c>
      <c r="S135" s="119">
        <f>VLOOKUP(C135,'Talente &amp; Stuff'!AF:BG,17,FALSE)</f>
        <v>0</v>
      </c>
      <c r="T135" s="119">
        <f>VLOOKUP(C135,'Talente &amp; Stuff'!AF:BG,18,FALSE)</f>
        <v>0</v>
      </c>
      <c r="U135" s="89">
        <f>VLOOKUP(C135,'Talente &amp; Stuff'!AF:BG,19,FALSE)</f>
        <v>0</v>
      </c>
      <c r="V135" s="47">
        <f>VLOOKUP(C135,'Talente &amp; Stuff'!AF:BG,20,FALSE)</f>
        <v>0</v>
      </c>
      <c r="W135" s="127">
        <f>VLOOKUP(C135,'Talente &amp; Stuff'!AF:BG,21,FALSE)</f>
        <v>0</v>
      </c>
      <c r="X135" s="127">
        <f>VLOOKUP(C135,'Talente &amp; Stuff'!AF:BG,22,FALSE)</f>
        <v>0</v>
      </c>
      <c r="Y135" s="165">
        <f t="shared" si="14"/>
        <v>0</v>
      </c>
      <c r="Z135" s="44">
        <f t="shared" si="15"/>
        <v>0</v>
      </c>
      <c r="AA135" s="125">
        <f>VLOOKUP(C135,'Talente &amp; Stuff'!AF:BG,25,FALSE)</f>
        <v>0</v>
      </c>
      <c r="AB135" s="160">
        <f>VLOOKUP(C135,'Talente &amp; Stuff'!AF:BG,26,FALSE)</f>
        <v>0</v>
      </c>
      <c r="AC135" s="127">
        <f>VLOOKUP(C135,'Talente &amp; Stuff'!AF:BG,27,FALSE)</f>
        <v>0</v>
      </c>
      <c r="AD135" s="125">
        <f>VLOOKUP(C135,'Talente &amp; Stuff'!AF:BG,28,FALSE)</f>
        <v>0</v>
      </c>
      <c r="AE135" s="28"/>
    </row>
    <row r="136" spans="2:31" s="148" customFormat="1" ht="15" hidden="1" customHeight="1" outlineLevel="2">
      <c r="B136" s="148">
        <v>9</v>
      </c>
      <c r="C136" s="177" t="str">
        <f>Attribute!C136</f>
        <v>---</v>
      </c>
      <c r="D136" s="125" t="str">
        <f>VLOOKUP(C136,'Talente &amp; Stuff'!AF:BG,2,FALSE)</f>
        <v>--/--/--</v>
      </c>
      <c r="E136" s="127" t="str">
        <f>VLOOKUP(C136,'Talente &amp; Stuff'!AF:BG,3,FALSE)</f>
        <v>-</v>
      </c>
      <c r="F136" s="114">
        <f>VLOOKUP(C136,'Talente &amp; Stuff'!AF:BG,4,FALSE)</f>
        <v>0</v>
      </c>
      <c r="G136" s="113">
        <f>VLOOKUP(C136,'Talente &amp; Stuff'!AF:BG,5,FALSE)</f>
        <v>0</v>
      </c>
      <c r="H136" s="113">
        <f>VLOOKUP(C136,'Talente &amp; Stuff'!AF:BG,6,FALSE)</f>
        <v>0</v>
      </c>
      <c r="I136" s="113">
        <f>VLOOKUP(C136,'Talente &amp; Stuff'!AF:BG,7,FALSE)</f>
        <v>0</v>
      </c>
      <c r="J136" s="113">
        <f>VLOOKUP(C136,'Talente &amp; Stuff'!AF:BG,8,FALSE)</f>
        <v>0</v>
      </c>
      <c r="K136" s="113">
        <f>VLOOKUP(C136,'Talente &amp; Stuff'!AF:BG,9,FALSE)</f>
        <v>0</v>
      </c>
      <c r="L136" s="113">
        <f>VLOOKUP(C136,'Talente &amp; Stuff'!AF:BG,10,FALSE)</f>
        <v>0</v>
      </c>
      <c r="M136" s="119">
        <f>VLOOKUP(C136,'Talente &amp; Stuff'!AF:BG,11,FALSE)</f>
        <v>0</v>
      </c>
      <c r="N136" s="47">
        <f>VLOOKUP(C136,'Talente &amp; Stuff'!AF:BG,12,FALSE)</f>
        <v>0</v>
      </c>
      <c r="O136" s="47">
        <f>VLOOKUP(C136,'Talente &amp; Stuff'!AF:BG,13,FALSE)</f>
        <v>0</v>
      </c>
      <c r="P136" s="119">
        <f>VLOOKUP(C136,'Talente &amp; Stuff'!AF:BG,14,FALSE)</f>
        <v>0</v>
      </c>
      <c r="Q136" s="114">
        <f>VLOOKUP(C136,'Talente &amp; Stuff'!AF:BG,15,FALSE)</f>
        <v>0</v>
      </c>
      <c r="R136" s="113">
        <f>VLOOKUP(C136,'Talente &amp; Stuff'!AF:BG,16,FALSE)</f>
        <v>0</v>
      </c>
      <c r="S136" s="119">
        <f>VLOOKUP(C136,'Talente &amp; Stuff'!AF:BG,17,FALSE)</f>
        <v>0</v>
      </c>
      <c r="T136" s="119">
        <f>VLOOKUP(C136,'Talente &amp; Stuff'!AF:BG,18,FALSE)</f>
        <v>0</v>
      </c>
      <c r="U136" s="89">
        <f>VLOOKUP(C136,'Talente &amp; Stuff'!AF:BG,19,FALSE)</f>
        <v>0</v>
      </c>
      <c r="V136" s="47">
        <f>VLOOKUP(C136,'Talente &amp; Stuff'!AF:BG,20,FALSE)</f>
        <v>0</v>
      </c>
      <c r="W136" s="127">
        <f>VLOOKUP(C136,'Talente &amp; Stuff'!AF:BG,21,FALSE)</f>
        <v>0</v>
      </c>
      <c r="X136" s="127">
        <f>VLOOKUP(C136,'Talente &amp; Stuff'!AF:BG,22,FALSE)</f>
        <v>0</v>
      </c>
      <c r="Y136" s="165">
        <f t="shared" si="14"/>
        <v>0</v>
      </c>
      <c r="Z136" s="44">
        <f t="shared" si="15"/>
        <v>0</v>
      </c>
      <c r="AA136" s="125">
        <f>VLOOKUP(C136,'Talente &amp; Stuff'!AF:BG,25,FALSE)</f>
        <v>0</v>
      </c>
      <c r="AB136" s="160">
        <f>VLOOKUP(C136,'Talente &amp; Stuff'!AF:BG,26,FALSE)</f>
        <v>0</v>
      </c>
      <c r="AC136" s="127">
        <f>VLOOKUP(C136,'Talente &amp; Stuff'!AF:BG,27,FALSE)</f>
        <v>0</v>
      </c>
      <c r="AD136" s="125">
        <f>VLOOKUP(C136,'Talente &amp; Stuff'!AF:BG,28,FALSE)</f>
        <v>0</v>
      </c>
      <c r="AE136" s="28"/>
    </row>
    <row r="137" spans="2:31" s="148" customFormat="1" ht="15" hidden="1" customHeight="1" outlineLevel="2">
      <c r="B137" s="148">
        <v>10</v>
      </c>
      <c r="C137" s="177" t="str">
        <f>Attribute!C137</f>
        <v>---</v>
      </c>
      <c r="D137" s="125" t="str">
        <f>VLOOKUP(C137,'Talente &amp; Stuff'!AF:BG,2,FALSE)</f>
        <v>--/--/--</v>
      </c>
      <c r="E137" s="127" t="str">
        <f>VLOOKUP(C137,'Talente &amp; Stuff'!AF:BG,3,FALSE)</f>
        <v>-</v>
      </c>
      <c r="F137" s="114">
        <f>VLOOKUP(C137,'Talente &amp; Stuff'!AF:BG,4,FALSE)</f>
        <v>0</v>
      </c>
      <c r="G137" s="113">
        <f>VLOOKUP(C137,'Talente &amp; Stuff'!AF:BG,5,FALSE)</f>
        <v>0</v>
      </c>
      <c r="H137" s="113">
        <f>VLOOKUP(C137,'Talente &amp; Stuff'!AF:BG,6,FALSE)</f>
        <v>0</v>
      </c>
      <c r="I137" s="113">
        <f>VLOOKUP(C137,'Talente &amp; Stuff'!AF:BG,7,FALSE)</f>
        <v>0</v>
      </c>
      <c r="J137" s="113">
        <f>VLOOKUP(C137,'Talente &amp; Stuff'!AF:BG,8,FALSE)</f>
        <v>0</v>
      </c>
      <c r="K137" s="113">
        <f>VLOOKUP(C137,'Talente &amp; Stuff'!AF:BG,9,FALSE)</f>
        <v>0</v>
      </c>
      <c r="L137" s="113">
        <f>VLOOKUP(C137,'Talente &amp; Stuff'!AF:BG,10,FALSE)</f>
        <v>0</v>
      </c>
      <c r="M137" s="119">
        <f>VLOOKUP(C137,'Talente &amp; Stuff'!AF:BG,11,FALSE)</f>
        <v>0</v>
      </c>
      <c r="N137" s="47">
        <f>VLOOKUP(C137,'Talente &amp; Stuff'!AF:BG,12,FALSE)</f>
        <v>0</v>
      </c>
      <c r="O137" s="47">
        <f>VLOOKUP(C137,'Talente &amp; Stuff'!AF:BG,13,FALSE)</f>
        <v>0</v>
      </c>
      <c r="P137" s="119">
        <f>VLOOKUP(C137,'Talente &amp; Stuff'!AF:BG,14,FALSE)</f>
        <v>0</v>
      </c>
      <c r="Q137" s="114">
        <f>VLOOKUP(C137,'Talente &amp; Stuff'!AF:BG,15,FALSE)</f>
        <v>0</v>
      </c>
      <c r="R137" s="113">
        <f>VLOOKUP(C137,'Talente &amp; Stuff'!AF:BG,16,FALSE)</f>
        <v>0</v>
      </c>
      <c r="S137" s="119">
        <f>VLOOKUP(C137,'Talente &amp; Stuff'!AF:BG,17,FALSE)</f>
        <v>0</v>
      </c>
      <c r="T137" s="119">
        <f>VLOOKUP(C137,'Talente &amp; Stuff'!AF:BG,18,FALSE)</f>
        <v>0</v>
      </c>
      <c r="U137" s="89">
        <f>VLOOKUP(C137,'Talente &amp; Stuff'!AF:BG,19,FALSE)</f>
        <v>0</v>
      </c>
      <c r="V137" s="47">
        <f>VLOOKUP(C137,'Talente &amp; Stuff'!AF:BG,20,FALSE)</f>
        <v>0</v>
      </c>
      <c r="W137" s="127">
        <f>VLOOKUP(C137,'Talente &amp; Stuff'!AF:BG,21,FALSE)</f>
        <v>0</v>
      </c>
      <c r="X137" s="127">
        <f>VLOOKUP(C137,'Talente &amp; Stuff'!AF:BG,22,FALSE)</f>
        <v>0</v>
      </c>
      <c r="Y137" s="165">
        <f t="shared" si="14"/>
        <v>0</v>
      </c>
      <c r="Z137" s="44">
        <f t="shared" si="15"/>
        <v>0</v>
      </c>
      <c r="AA137" s="125">
        <f>VLOOKUP(C137,'Talente &amp; Stuff'!AF:BG,25,FALSE)</f>
        <v>0</v>
      </c>
      <c r="AB137" s="160">
        <f>VLOOKUP(C137,'Talente &amp; Stuff'!AF:BG,26,FALSE)</f>
        <v>0</v>
      </c>
      <c r="AC137" s="127">
        <f>VLOOKUP(C137,'Talente &amp; Stuff'!AF:BG,27,FALSE)</f>
        <v>0</v>
      </c>
      <c r="AD137" s="125">
        <f>VLOOKUP(C137,'Talente &amp; Stuff'!AF:BG,28,FALSE)</f>
        <v>0</v>
      </c>
      <c r="AE137" s="28"/>
    </row>
    <row r="138" spans="2:31" s="148" customFormat="1" ht="15" hidden="1" customHeight="1" outlineLevel="2">
      <c r="B138" s="148">
        <v>11</v>
      </c>
      <c r="C138" s="177" t="str">
        <f>Attribute!C138</f>
        <v>---</v>
      </c>
      <c r="D138" s="125" t="str">
        <f>VLOOKUP(C138,'Talente &amp; Stuff'!AF:BG,2,FALSE)</f>
        <v>--/--/--</v>
      </c>
      <c r="E138" s="127" t="str">
        <f>VLOOKUP(C138,'Talente &amp; Stuff'!AF:BG,3,FALSE)</f>
        <v>-</v>
      </c>
      <c r="F138" s="114">
        <f>VLOOKUP(C138,'Talente &amp; Stuff'!AF:BG,4,FALSE)</f>
        <v>0</v>
      </c>
      <c r="G138" s="113">
        <f>VLOOKUP(C138,'Talente &amp; Stuff'!AF:BG,5,FALSE)</f>
        <v>0</v>
      </c>
      <c r="H138" s="113">
        <f>VLOOKUP(C138,'Talente &amp; Stuff'!AF:BG,6,FALSE)</f>
        <v>0</v>
      </c>
      <c r="I138" s="113">
        <f>VLOOKUP(C138,'Talente &amp; Stuff'!AF:BG,7,FALSE)</f>
        <v>0</v>
      </c>
      <c r="J138" s="113">
        <f>VLOOKUP(C138,'Talente &amp; Stuff'!AF:BG,8,FALSE)</f>
        <v>0</v>
      </c>
      <c r="K138" s="113">
        <f>VLOOKUP(C138,'Talente &amp; Stuff'!AF:BG,9,FALSE)</f>
        <v>0</v>
      </c>
      <c r="L138" s="113">
        <f>VLOOKUP(C138,'Talente &amp; Stuff'!AF:BG,10,FALSE)</f>
        <v>0</v>
      </c>
      <c r="M138" s="119">
        <f>VLOOKUP(C138,'Talente &amp; Stuff'!AF:BG,11,FALSE)</f>
        <v>0</v>
      </c>
      <c r="N138" s="47">
        <f>VLOOKUP(C138,'Talente &amp; Stuff'!AF:BG,12,FALSE)</f>
        <v>0</v>
      </c>
      <c r="O138" s="47">
        <f>VLOOKUP(C138,'Talente &amp; Stuff'!AF:BG,13,FALSE)</f>
        <v>0</v>
      </c>
      <c r="P138" s="119">
        <f>VLOOKUP(C138,'Talente &amp; Stuff'!AF:BG,14,FALSE)</f>
        <v>0</v>
      </c>
      <c r="Q138" s="114">
        <f>VLOOKUP(C138,'Talente &amp; Stuff'!AF:BG,15,FALSE)</f>
        <v>0</v>
      </c>
      <c r="R138" s="113">
        <f>VLOOKUP(C138,'Talente &amp; Stuff'!AF:BG,16,FALSE)</f>
        <v>0</v>
      </c>
      <c r="S138" s="119">
        <f>VLOOKUP(C138,'Talente &amp; Stuff'!AF:BG,17,FALSE)</f>
        <v>0</v>
      </c>
      <c r="T138" s="119">
        <f>VLOOKUP(C138,'Talente &amp; Stuff'!AF:BG,18,FALSE)</f>
        <v>0</v>
      </c>
      <c r="U138" s="89">
        <f>VLOOKUP(C138,'Talente &amp; Stuff'!AF:BG,19,FALSE)</f>
        <v>0</v>
      </c>
      <c r="V138" s="47">
        <f>VLOOKUP(C138,'Talente &amp; Stuff'!AF:BG,20,FALSE)</f>
        <v>0</v>
      </c>
      <c r="W138" s="127">
        <f>VLOOKUP(C138,'Talente &amp; Stuff'!AF:BG,21,FALSE)</f>
        <v>0</v>
      </c>
      <c r="X138" s="127">
        <f>VLOOKUP(C138,'Talente &amp; Stuff'!AF:BG,22,FALSE)</f>
        <v>0</v>
      </c>
      <c r="Y138" s="165">
        <f t="shared" si="14"/>
        <v>0</v>
      </c>
      <c r="Z138" s="44">
        <f t="shared" si="15"/>
        <v>0</v>
      </c>
      <c r="AA138" s="125">
        <f>VLOOKUP(C138,'Talente &amp; Stuff'!AF:BG,25,FALSE)</f>
        <v>0</v>
      </c>
      <c r="AB138" s="160">
        <f>VLOOKUP(C138,'Talente &amp; Stuff'!AF:BG,26,FALSE)</f>
        <v>0</v>
      </c>
      <c r="AC138" s="127">
        <f>VLOOKUP(C138,'Talente &amp; Stuff'!AF:BG,27,FALSE)</f>
        <v>0</v>
      </c>
      <c r="AD138" s="125">
        <f>VLOOKUP(C138,'Talente &amp; Stuff'!AF:BG,28,FALSE)</f>
        <v>0</v>
      </c>
      <c r="AE138" s="28"/>
    </row>
    <row r="139" spans="2:31" s="148" customFormat="1" ht="15" hidden="1" customHeight="1" outlineLevel="2">
      <c r="B139" s="148">
        <v>12</v>
      </c>
      <c r="C139" s="177" t="str">
        <f>Attribute!C139</f>
        <v>---</v>
      </c>
      <c r="D139" s="125" t="str">
        <f>VLOOKUP(C139,'Talente &amp; Stuff'!AF:BG,2,FALSE)</f>
        <v>--/--/--</v>
      </c>
      <c r="E139" s="127" t="str">
        <f>VLOOKUP(C139,'Talente &amp; Stuff'!AF:BG,3,FALSE)</f>
        <v>-</v>
      </c>
      <c r="F139" s="114">
        <f>VLOOKUP(C139,'Talente &amp; Stuff'!AF:BG,4,FALSE)</f>
        <v>0</v>
      </c>
      <c r="G139" s="113">
        <f>VLOOKUP(C139,'Talente &amp; Stuff'!AF:BG,5,FALSE)</f>
        <v>0</v>
      </c>
      <c r="H139" s="113">
        <f>VLOOKUP(C139,'Talente &amp; Stuff'!AF:BG,6,FALSE)</f>
        <v>0</v>
      </c>
      <c r="I139" s="113">
        <f>VLOOKUP(C139,'Talente &amp; Stuff'!AF:BG,7,FALSE)</f>
        <v>0</v>
      </c>
      <c r="J139" s="113">
        <f>VLOOKUP(C139,'Talente &amp; Stuff'!AF:BG,8,FALSE)</f>
        <v>0</v>
      </c>
      <c r="K139" s="113">
        <f>VLOOKUP(C139,'Talente &amp; Stuff'!AF:BG,9,FALSE)</f>
        <v>0</v>
      </c>
      <c r="L139" s="113">
        <f>VLOOKUP(C139,'Talente &amp; Stuff'!AF:BG,10,FALSE)</f>
        <v>0</v>
      </c>
      <c r="M139" s="119">
        <f>VLOOKUP(C139,'Talente &amp; Stuff'!AF:BG,11,FALSE)</f>
        <v>0</v>
      </c>
      <c r="N139" s="47">
        <f>VLOOKUP(C139,'Talente &amp; Stuff'!AF:BG,12,FALSE)</f>
        <v>0</v>
      </c>
      <c r="O139" s="47">
        <f>VLOOKUP(C139,'Talente &amp; Stuff'!AF:BG,13,FALSE)</f>
        <v>0</v>
      </c>
      <c r="P139" s="119">
        <f>VLOOKUP(C139,'Talente &amp; Stuff'!AF:BG,14,FALSE)</f>
        <v>0</v>
      </c>
      <c r="Q139" s="114">
        <f>VLOOKUP(C139,'Talente &amp; Stuff'!AF:BG,15,FALSE)</f>
        <v>0</v>
      </c>
      <c r="R139" s="113">
        <f>VLOOKUP(C139,'Talente &amp; Stuff'!AF:BG,16,FALSE)</f>
        <v>0</v>
      </c>
      <c r="S139" s="119">
        <f>VLOOKUP(C139,'Talente &amp; Stuff'!AF:BG,17,FALSE)</f>
        <v>0</v>
      </c>
      <c r="T139" s="119">
        <f>VLOOKUP(C139,'Talente &amp; Stuff'!AF:BG,18,FALSE)</f>
        <v>0</v>
      </c>
      <c r="U139" s="89">
        <f>VLOOKUP(C139,'Talente &amp; Stuff'!AF:BG,19,FALSE)</f>
        <v>0</v>
      </c>
      <c r="V139" s="47">
        <f>VLOOKUP(C139,'Talente &amp; Stuff'!AF:BG,20,FALSE)</f>
        <v>0</v>
      </c>
      <c r="W139" s="127">
        <f>VLOOKUP(C139,'Talente &amp; Stuff'!AF:BG,21,FALSE)</f>
        <v>0</v>
      </c>
      <c r="X139" s="127">
        <f>VLOOKUP(C139,'Talente &amp; Stuff'!AF:BG,22,FALSE)</f>
        <v>0</v>
      </c>
      <c r="Y139" s="165">
        <f t="shared" si="14"/>
        <v>0</v>
      </c>
      <c r="Z139" s="44">
        <f t="shared" si="15"/>
        <v>0</v>
      </c>
      <c r="AA139" s="125">
        <f>VLOOKUP(C139,'Talente &amp; Stuff'!AF:BG,25,FALSE)</f>
        <v>0</v>
      </c>
      <c r="AB139" s="160">
        <f>VLOOKUP(C139,'Talente &amp; Stuff'!AF:BG,26,FALSE)</f>
        <v>0</v>
      </c>
      <c r="AC139" s="127">
        <f>VLOOKUP(C139,'Talente &amp; Stuff'!AF:BG,27,FALSE)</f>
        <v>0</v>
      </c>
      <c r="AD139" s="125">
        <f>VLOOKUP(C139,'Talente &amp; Stuff'!AF:BG,28,FALSE)</f>
        <v>0</v>
      </c>
      <c r="AE139" s="28"/>
    </row>
    <row r="140" spans="2:31" s="148" customFormat="1" ht="15" hidden="1" customHeight="1" outlineLevel="2">
      <c r="B140" s="148">
        <v>13</v>
      </c>
      <c r="C140" s="177" t="str">
        <f>Attribute!C140</f>
        <v>---</v>
      </c>
      <c r="D140" s="125" t="str">
        <f>VLOOKUP(C140,'Talente &amp; Stuff'!AF:BG,2,FALSE)</f>
        <v>--/--/--</v>
      </c>
      <c r="E140" s="127" t="str">
        <f>VLOOKUP(C140,'Talente &amp; Stuff'!AF:BG,3,FALSE)</f>
        <v>-</v>
      </c>
      <c r="F140" s="114">
        <f>VLOOKUP(C140,'Talente &amp; Stuff'!AF:BG,4,FALSE)</f>
        <v>0</v>
      </c>
      <c r="G140" s="113">
        <f>VLOOKUP(C140,'Talente &amp; Stuff'!AF:BG,5,FALSE)</f>
        <v>0</v>
      </c>
      <c r="H140" s="113">
        <f>VLOOKUP(C140,'Talente &amp; Stuff'!AF:BG,6,FALSE)</f>
        <v>0</v>
      </c>
      <c r="I140" s="113">
        <f>VLOOKUP(C140,'Talente &amp; Stuff'!AF:BG,7,FALSE)</f>
        <v>0</v>
      </c>
      <c r="J140" s="113">
        <f>VLOOKUP(C140,'Talente &amp; Stuff'!AF:BG,8,FALSE)</f>
        <v>0</v>
      </c>
      <c r="K140" s="113">
        <f>VLOOKUP(C140,'Talente &amp; Stuff'!AF:BG,9,FALSE)</f>
        <v>0</v>
      </c>
      <c r="L140" s="113">
        <f>VLOOKUP(C140,'Talente &amp; Stuff'!AF:BG,10,FALSE)</f>
        <v>0</v>
      </c>
      <c r="M140" s="119">
        <f>VLOOKUP(C140,'Talente &amp; Stuff'!AF:BG,11,FALSE)</f>
        <v>0</v>
      </c>
      <c r="N140" s="47">
        <f>VLOOKUP(C140,'Talente &amp; Stuff'!AF:BG,12,FALSE)</f>
        <v>0</v>
      </c>
      <c r="O140" s="47">
        <f>VLOOKUP(C140,'Talente &amp; Stuff'!AF:BG,13,FALSE)</f>
        <v>0</v>
      </c>
      <c r="P140" s="119">
        <f>VLOOKUP(C140,'Talente &amp; Stuff'!AF:BG,14,FALSE)</f>
        <v>0</v>
      </c>
      <c r="Q140" s="114">
        <f>VLOOKUP(C140,'Talente &amp; Stuff'!AF:BG,15,FALSE)</f>
        <v>0</v>
      </c>
      <c r="R140" s="113">
        <f>VLOOKUP(C140,'Talente &amp; Stuff'!AF:BG,16,FALSE)</f>
        <v>0</v>
      </c>
      <c r="S140" s="119">
        <f>VLOOKUP(C140,'Talente &amp; Stuff'!AF:BG,17,FALSE)</f>
        <v>0</v>
      </c>
      <c r="T140" s="119">
        <f>VLOOKUP(C140,'Talente &amp; Stuff'!AF:BG,18,FALSE)</f>
        <v>0</v>
      </c>
      <c r="U140" s="89">
        <f>VLOOKUP(C140,'Talente &amp; Stuff'!AF:BG,19,FALSE)</f>
        <v>0</v>
      </c>
      <c r="V140" s="47">
        <f>VLOOKUP(C140,'Talente &amp; Stuff'!AF:BG,20,FALSE)</f>
        <v>0</v>
      </c>
      <c r="W140" s="127">
        <f>VLOOKUP(C140,'Talente &amp; Stuff'!AF:BG,21,FALSE)</f>
        <v>0</v>
      </c>
      <c r="X140" s="127">
        <f>VLOOKUP(C140,'Talente &amp; Stuff'!AF:BG,22,FALSE)</f>
        <v>0</v>
      </c>
      <c r="Y140" s="165">
        <f t="shared" si="14"/>
        <v>0</v>
      </c>
      <c r="Z140" s="44">
        <f t="shared" si="15"/>
        <v>0</v>
      </c>
      <c r="AA140" s="125">
        <f>VLOOKUP(C140,'Talente &amp; Stuff'!AF:BG,25,FALSE)</f>
        <v>0</v>
      </c>
      <c r="AB140" s="160">
        <f>VLOOKUP(C140,'Talente &amp; Stuff'!AF:BG,26,FALSE)</f>
        <v>0</v>
      </c>
      <c r="AC140" s="127">
        <f>VLOOKUP(C140,'Talente &amp; Stuff'!AF:BG,27,FALSE)</f>
        <v>0</v>
      </c>
      <c r="AD140" s="125">
        <f>VLOOKUP(C140,'Talente &amp; Stuff'!AF:BG,28,FALSE)</f>
        <v>0</v>
      </c>
      <c r="AE140" s="28"/>
    </row>
    <row r="141" spans="2:31" s="148" customFormat="1" ht="15" hidden="1" customHeight="1" outlineLevel="2">
      <c r="B141" s="148">
        <v>14</v>
      </c>
      <c r="C141" s="177" t="str">
        <f>Attribute!C141</f>
        <v>---</v>
      </c>
      <c r="D141" s="125" t="str">
        <f>VLOOKUP(C141,'Talente &amp; Stuff'!AF:BG,2,FALSE)</f>
        <v>--/--/--</v>
      </c>
      <c r="E141" s="127" t="str">
        <f>VLOOKUP(C141,'Talente &amp; Stuff'!AF:BG,3,FALSE)</f>
        <v>-</v>
      </c>
      <c r="F141" s="114">
        <f>VLOOKUP(C141,'Talente &amp; Stuff'!AF:BG,4,FALSE)</f>
        <v>0</v>
      </c>
      <c r="G141" s="113">
        <f>VLOOKUP(C141,'Talente &amp; Stuff'!AF:BG,5,FALSE)</f>
        <v>0</v>
      </c>
      <c r="H141" s="113">
        <f>VLOOKUP(C141,'Talente &amp; Stuff'!AF:BG,6,FALSE)</f>
        <v>0</v>
      </c>
      <c r="I141" s="113">
        <f>VLOOKUP(C141,'Talente &amp; Stuff'!AF:BG,7,FALSE)</f>
        <v>0</v>
      </c>
      <c r="J141" s="113">
        <f>VLOOKUP(C141,'Talente &amp; Stuff'!AF:BG,8,FALSE)</f>
        <v>0</v>
      </c>
      <c r="K141" s="113">
        <f>VLOOKUP(C141,'Talente &amp; Stuff'!AF:BG,9,FALSE)</f>
        <v>0</v>
      </c>
      <c r="L141" s="113">
        <f>VLOOKUP(C141,'Talente &amp; Stuff'!AF:BG,10,FALSE)</f>
        <v>0</v>
      </c>
      <c r="M141" s="119">
        <f>VLOOKUP(C141,'Talente &amp; Stuff'!AF:BG,11,FALSE)</f>
        <v>0</v>
      </c>
      <c r="N141" s="47">
        <f>VLOOKUP(C141,'Talente &amp; Stuff'!AF:BG,12,FALSE)</f>
        <v>0</v>
      </c>
      <c r="O141" s="47">
        <f>VLOOKUP(C141,'Talente &amp; Stuff'!AF:BG,13,FALSE)</f>
        <v>0</v>
      </c>
      <c r="P141" s="119">
        <f>VLOOKUP(C141,'Talente &amp; Stuff'!AF:BG,14,FALSE)</f>
        <v>0</v>
      </c>
      <c r="Q141" s="114">
        <f>VLOOKUP(C141,'Talente &amp; Stuff'!AF:BG,15,FALSE)</f>
        <v>0</v>
      </c>
      <c r="R141" s="113">
        <f>VLOOKUP(C141,'Talente &amp; Stuff'!AF:BG,16,FALSE)</f>
        <v>0</v>
      </c>
      <c r="S141" s="119">
        <f>VLOOKUP(C141,'Talente &amp; Stuff'!AF:BG,17,FALSE)</f>
        <v>0</v>
      </c>
      <c r="T141" s="119">
        <f>VLOOKUP(C141,'Talente &amp; Stuff'!AF:BG,18,FALSE)</f>
        <v>0</v>
      </c>
      <c r="U141" s="89">
        <f>VLOOKUP(C141,'Talente &amp; Stuff'!AF:BG,19,FALSE)</f>
        <v>0</v>
      </c>
      <c r="V141" s="47">
        <f>VLOOKUP(C141,'Talente &amp; Stuff'!AF:BG,20,FALSE)</f>
        <v>0</v>
      </c>
      <c r="W141" s="127">
        <f>VLOOKUP(C141,'Talente &amp; Stuff'!AF:BG,21,FALSE)</f>
        <v>0</v>
      </c>
      <c r="X141" s="127">
        <f>VLOOKUP(C141,'Talente &amp; Stuff'!AF:BG,22,FALSE)</f>
        <v>0</v>
      </c>
      <c r="Y141" s="165">
        <f t="shared" si="14"/>
        <v>0</v>
      </c>
      <c r="Z141" s="44">
        <f t="shared" si="15"/>
        <v>0</v>
      </c>
      <c r="AA141" s="125">
        <f>VLOOKUP(C141,'Talente &amp; Stuff'!AF:BG,25,FALSE)</f>
        <v>0</v>
      </c>
      <c r="AB141" s="160">
        <f>VLOOKUP(C141,'Talente &amp; Stuff'!AF:BG,26,FALSE)</f>
        <v>0</v>
      </c>
      <c r="AC141" s="127">
        <f>VLOOKUP(C141,'Talente &amp; Stuff'!AF:BG,27,FALSE)</f>
        <v>0</v>
      </c>
      <c r="AD141" s="125">
        <f>VLOOKUP(C141,'Talente &amp; Stuff'!AF:BG,28,FALSE)</f>
        <v>0</v>
      </c>
      <c r="AE141" s="28"/>
    </row>
    <row r="142" spans="2:31" ht="15" hidden="1" customHeight="1" outlineLevel="2">
      <c r="B142" s="148">
        <v>15</v>
      </c>
      <c r="C142" s="177" t="str">
        <f>Attribute!C142</f>
        <v>---</v>
      </c>
      <c r="D142" s="125" t="str">
        <f>VLOOKUP(C142,'Talente &amp; Stuff'!AF:BG,2,FALSE)</f>
        <v>--/--/--</v>
      </c>
      <c r="E142" s="127" t="str">
        <f>VLOOKUP(C142,'Talente &amp; Stuff'!AF:BG,3,FALSE)</f>
        <v>-</v>
      </c>
      <c r="F142" s="114">
        <f>VLOOKUP(C142,'Talente &amp; Stuff'!AF:BG,4,FALSE)</f>
        <v>0</v>
      </c>
      <c r="G142" s="113">
        <f>VLOOKUP(C142,'Talente &amp; Stuff'!AF:BG,5,FALSE)</f>
        <v>0</v>
      </c>
      <c r="H142" s="113">
        <f>VLOOKUP(C142,'Talente &amp; Stuff'!AF:BG,6,FALSE)</f>
        <v>0</v>
      </c>
      <c r="I142" s="113">
        <f>VLOOKUP(C142,'Talente &amp; Stuff'!AF:BG,7,FALSE)</f>
        <v>0</v>
      </c>
      <c r="J142" s="113">
        <f>VLOOKUP(C142,'Talente &amp; Stuff'!AF:BG,8,FALSE)</f>
        <v>0</v>
      </c>
      <c r="K142" s="113">
        <f>VLOOKUP(C142,'Talente &amp; Stuff'!AF:BG,9,FALSE)</f>
        <v>0</v>
      </c>
      <c r="L142" s="113">
        <f>VLOOKUP(C142,'Talente &amp; Stuff'!AF:BG,10,FALSE)</f>
        <v>0</v>
      </c>
      <c r="M142" s="119">
        <f>VLOOKUP(C142,'Talente &amp; Stuff'!AF:BG,11,FALSE)</f>
        <v>0</v>
      </c>
      <c r="N142" s="47">
        <f>VLOOKUP(C142,'Talente &amp; Stuff'!AF:BG,12,FALSE)</f>
        <v>0</v>
      </c>
      <c r="O142" s="47">
        <f>VLOOKUP(C142,'Talente &amp; Stuff'!AF:BG,13,FALSE)</f>
        <v>0</v>
      </c>
      <c r="P142" s="119">
        <f>VLOOKUP(C142,'Talente &amp; Stuff'!AF:BG,14,FALSE)</f>
        <v>0</v>
      </c>
      <c r="Q142" s="114">
        <f>VLOOKUP(C142,'Talente &amp; Stuff'!AF:BG,15,FALSE)</f>
        <v>0</v>
      </c>
      <c r="R142" s="113">
        <f>VLOOKUP(C142,'Talente &amp; Stuff'!AF:BG,16,FALSE)</f>
        <v>0</v>
      </c>
      <c r="S142" s="119">
        <f>VLOOKUP(C142,'Talente &amp; Stuff'!AF:BG,17,FALSE)</f>
        <v>0</v>
      </c>
      <c r="T142" s="119">
        <f>VLOOKUP(C142,'Talente &amp; Stuff'!AF:BG,18,FALSE)</f>
        <v>0</v>
      </c>
      <c r="U142" s="89">
        <f>VLOOKUP(C142,'Talente &amp; Stuff'!AF:BG,19,FALSE)</f>
        <v>0</v>
      </c>
      <c r="V142" s="47">
        <f>VLOOKUP(C142,'Talente &amp; Stuff'!AF:BG,20,FALSE)</f>
        <v>0</v>
      </c>
      <c r="W142" s="127">
        <f>VLOOKUP(C142,'Talente &amp; Stuff'!AF:BG,21,FALSE)</f>
        <v>0</v>
      </c>
      <c r="X142" s="127">
        <f>VLOOKUP(C142,'Talente &amp; Stuff'!AF:BG,22,FALSE)</f>
        <v>0</v>
      </c>
      <c r="Y142" s="165">
        <f t="shared" si="14"/>
        <v>0</v>
      </c>
      <c r="Z142" s="44">
        <f t="shared" si="15"/>
        <v>0</v>
      </c>
      <c r="AA142" s="125">
        <f>VLOOKUP(C142,'Talente &amp; Stuff'!AF:BG,25,FALSE)</f>
        <v>0</v>
      </c>
      <c r="AB142" s="160">
        <f>VLOOKUP(C142,'Talente &amp; Stuff'!AF:BG,26,FALSE)</f>
        <v>0</v>
      </c>
      <c r="AC142" s="127">
        <f>VLOOKUP(C142,'Talente &amp; Stuff'!AF:BG,27,FALSE)</f>
        <v>0</v>
      </c>
      <c r="AD142" s="125">
        <f>VLOOKUP(C142,'Talente &amp; Stuff'!AF:BG,28,FALSE)</f>
        <v>0</v>
      </c>
      <c r="AE142" s="28"/>
    </row>
    <row r="143" spans="2:31" ht="15" hidden="1" customHeight="1" outlineLevel="2">
      <c r="B143" s="148">
        <v>16</v>
      </c>
      <c r="C143" s="177" t="str">
        <f>Attribute!C143</f>
        <v>---</v>
      </c>
      <c r="D143" s="86" t="str">
        <f>VLOOKUP(C143,'Talente &amp; Stuff'!AF:BG,2,FALSE)</f>
        <v>--/--/--</v>
      </c>
      <c r="E143" s="167" t="str">
        <f>VLOOKUP(C143,'Talente &amp; Stuff'!AF:BG,3,FALSE)</f>
        <v>-</v>
      </c>
      <c r="F143" s="120">
        <f>VLOOKUP(C143,'Talente &amp; Stuff'!AF:BG,4,FALSE)</f>
        <v>0</v>
      </c>
      <c r="G143" s="117">
        <f>VLOOKUP(C143,'Talente &amp; Stuff'!AF:BG,5,FALSE)</f>
        <v>0</v>
      </c>
      <c r="H143" s="117">
        <f>VLOOKUP(C143,'Talente &amp; Stuff'!AF:BG,6,FALSE)</f>
        <v>0</v>
      </c>
      <c r="I143" s="117">
        <f>VLOOKUP(C143,'Talente &amp; Stuff'!AF:BG,7,FALSE)</f>
        <v>0</v>
      </c>
      <c r="J143" s="117">
        <f>VLOOKUP(C143,'Talente &amp; Stuff'!AF:BG,8,FALSE)</f>
        <v>0</v>
      </c>
      <c r="K143" s="117">
        <f>VLOOKUP(C143,'Talente &amp; Stuff'!AF:BG,9,FALSE)</f>
        <v>0</v>
      </c>
      <c r="L143" s="117">
        <f>VLOOKUP(C143,'Talente &amp; Stuff'!AF:BG,10,FALSE)</f>
        <v>0</v>
      </c>
      <c r="M143" s="121">
        <f>VLOOKUP(C143,'Talente &amp; Stuff'!AF:BG,11,FALSE)</f>
        <v>0</v>
      </c>
      <c r="N143" s="47">
        <f>VLOOKUP(C143,'Talente &amp; Stuff'!AF:BG,12,FALSE)</f>
        <v>0</v>
      </c>
      <c r="O143" s="3">
        <f>VLOOKUP(C143,'Talente &amp; Stuff'!AF:BG,13,FALSE)</f>
        <v>0</v>
      </c>
      <c r="P143" s="174">
        <f>VLOOKUP(C143,'Talente &amp; Stuff'!AF:BG,14,FALSE)</f>
        <v>0</v>
      </c>
      <c r="Q143" s="114">
        <f>VLOOKUP(C143,'Talente &amp; Stuff'!AF:BG,15,FALSE)</f>
        <v>0</v>
      </c>
      <c r="R143" s="117">
        <f>VLOOKUP(C143,'Talente &amp; Stuff'!AF:BG,16,FALSE)</f>
        <v>0</v>
      </c>
      <c r="S143" s="119">
        <f>VLOOKUP(C143,'Talente &amp; Stuff'!AF:BG,17,FALSE)</f>
        <v>0</v>
      </c>
      <c r="T143" s="119">
        <f>VLOOKUP(C143,'Talente &amp; Stuff'!AF:BG,18,FALSE)</f>
        <v>0</v>
      </c>
      <c r="U143" s="89">
        <f>VLOOKUP(C143,'Talente &amp; Stuff'!AF:BG,19,FALSE)</f>
        <v>0</v>
      </c>
      <c r="V143" s="47">
        <f>VLOOKUP(C143,'Talente &amp; Stuff'!AF:BG,20,FALSE)</f>
        <v>0</v>
      </c>
      <c r="W143" s="127">
        <f>VLOOKUP(C143,'Talente &amp; Stuff'!AF:BG,21,FALSE)</f>
        <v>0</v>
      </c>
      <c r="X143" s="127">
        <f>VLOOKUP(C143,'Talente &amp; Stuff'!AF:BG,22,FALSE)</f>
        <v>0</v>
      </c>
      <c r="Y143" s="165">
        <f t="shared" si="14"/>
        <v>0</v>
      </c>
      <c r="Z143" s="44">
        <f t="shared" si="15"/>
        <v>0</v>
      </c>
      <c r="AA143" s="125">
        <f>VLOOKUP(C143,'Talente &amp; Stuff'!AF:BG,25,FALSE)</f>
        <v>0</v>
      </c>
      <c r="AB143" s="160">
        <f>VLOOKUP(C143,'Talente &amp; Stuff'!AF:BG,26,FALSE)</f>
        <v>0</v>
      </c>
      <c r="AC143" s="127">
        <f>VLOOKUP(C143,'Talente &amp; Stuff'!AF:BG,27,FALSE)</f>
        <v>0</v>
      </c>
      <c r="AD143" s="125">
        <f>VLOOKUP(C143,'Talente &amp; Stuff'!AF:BG,28,FALSE)</f>
        <v>0</v>
      </c>
      <c r="AE143" s="28"/>
    </row>
    <row r="144" spans="2:31" ht="15" hidden="1" customHeight="1" outlineLevel="2">
      <c r="B144" s="148">
        <v>17</v>
      </c>
      <c r="C144" s="177" t="str">
        <f>Attribute!C144</f>
        <v>---</v>
      </c>
      <c r="D144" s="125" t="str">
        <f>VLOOKUP(C144,'Talente &amp; Stuff'!AF:BG,2,FALSE)</f>
        <v>--/--/--</v>
      </c>
      <c r="E144" s="127" t="str">
        <f>VLOOKUP(C144,'Talente &amp; Stuff'!AF:BG,3,FALSE)</f>
        <v>-</v>
      </c>
      <c r="F144" s="114">
        <f>VLOOKUP(C144,'Talente &amp; Stuff'!AF:BG,4,FALSE)</f>
        <v>0</v>
      </c>
      <c r="G144" s="113">
        <f>VLOOKUP(C144,'Talente &amp; Stuff'!AF:BG,5,FALSE)</f>
        <v>0</v>
      </c>
      <c r="H144" s="113">
        <f>VLOOKUP(C144,'Talente &amp; Stuff'!AF:BG,6,FALSE)</f>
        <v>0</v>
      </c>
      <c r="I144" s="113">
        <f>VLOOKUP(C144,'Talente &amp; Stuff'!AF:BG,7,FALSE)</f>
        <v>0</v>
      </c>
      <c r="J144" s="113">
        <f>VLOOKUP(C144,'Talente &amp; Stuff'!AF:BG,8,FALSE)</f>
        <v>0</v>
      </c>
      <c r="K144" s="113">
        <f>VLOOKUP(C144,'Talente &amp; Stuff'!AF:BG,9,FALSE)</f>
        <v>0</v>
      </c>
      <c r="L144" s="113">
        <f>VLOOKUP(C144,'Talente &amp; Stuff'!AF:BG,10,FALSE)</f>
        <v>0</v>
      </c>
      <c r="M144" s="119">
        <f>VLOOKUP(C144,'Talente &amp; Stuff'!AF:BG,11,FALSE)</f>
        <v>0</v>
      </c>
      <c r="N144" s="47">
        <f>VLOOKUP(C144,'Talente &amp; Stuff'!AF:BG,12,FALSE)</f>
        <v>0</v>
      </c>
      <c r="O144" s="47">
        <f>VLOOKUP(C144,'Talente &amp; Stuff'!AF:BG,13,FALSE)</f>
        <v>0</v>
      </c>
      <c r="P144" s="119">
        <f>VLOOKUP(C144,'Talente &amp; Stuff'!AF:BG,14,FALSE)</f>
        <v>0</v>
      </c>
      <c r="Q144" s="114">
        <f>VLOOKUP(C144,'Talente &amp; Stuff'!AF:BG,15,FALSE)</f>
        <v>0</v>
      </c>
      <c r="R144" s="113">
        <f>VLOOKUP(C144,'Talente &amp; Stuff'!AF:BG,16,FALSE)</f>
        <v>0</v>
      </c>
      <c r="S144" s="119">
        <f>VLOOKUP(C144,'Talente &amp; Stuff'!AF:BG,17,FALSE)</f>
        <v>0</v>
      </c>
      <c r="T144" s="119">
        <f>VLOOKUP(C144,'Talente &amp; Stuff'!AF:BG,18,FALSE)</f>
        <v>0</v>
      </c>
      <c r="U144" s="89">
        <f>VLOOKUP(C144,'Talente &amp; Stuff'!AF:BG,19,FALSE)</f>
        <v>0</v>
      </c>
      <c r="V144" s="47">
        <f>VLOOKUP(C144,'Talente &amp; Stuff'!AF:BG,20,FALSE)</f>
        <v>0</v>
      </c>
      <c r="W144" s="127">
        <f>VLOOKUP(C144,'Talente &amp; Stuff'!AF:BG,21,FALSE)</f>
        <v>0</v>
      </c>
      <c r="X144" s="127">
        <f>VLOOKUP(C144,'Talente &amp; Stuff'!AF:BG,22,FALSE)</f>
        <v>0</v>
      </c>
      <c r="Y144" s="165">
        <f t="shared" si="14"/>
        <v>0</v>
      </c>
      <c r="Z144" s="44">
        <f t="shared" si="15"/>
        <v>0</v>
      </c>
      <c r="AA144" s="125">
        <f>VLOOKUP(C144,'Talente &amp; Stuff'!AF:BG,25,FALSE)</f>
        <v>0</v>
      </c>
      <c r="AB144" s="160">
        <f>VLOOKUP(C144,'Talente &amp; Stuff'!AF:BG,26,FALSE)</f>
        <v>0</v>
      </c>
      <c r="AC144" s="127">
        <f>VLOOKUP(C144,'Talente &amp; Stuff'!AF:BG,27,FALSE)</f>
        <v>0</v>
      </c>
      <c r="AD144" s="125">
        <f>VLOOKUP(C144,'Talente &amp; Stuff'!AF:BG,28,FALSE)</f>
        <v>0</v>
      </c>
      <c r="AE144" s="28"/>
    </row>
    <row r="145" spans="2:31" ht="15" hidden="1" customHeight="1" outlineLevel="2">
      <c r="B145" s="148">
        <v>18</v>
      </c>
      <c r="C145" s="177" t="str">
        <f>Attribute!C145</f>
        <v>---</v>
      </c>
      <c r="D145" s="125" t="str">
        <f>VLOOKUP(C145,'Talente &amp; Stuff'!AF:BG,2,FALSE)</f>
        <v>--/--/--</v>
      </c>
      <c r="E145" s="127" t="str">
        <f>VLOOKUP(C145,'Talente &amp; Stuff'!AF:BG,3,FALSE)</f>
        <v>-</v>
      </c>
      <c r="F145" s="114">
        <f>VLOOKUP(C145,'Talente &amp; Stuff'!AF:BG,4,FALSE)</f>
        <v>0</v>
      </c>
      <c r="G145" s="113">
        <f>VLOOKUP(C145,'Talente &amp; Stuff'!AF:BG,5,FALSE)</f>
        <v>0</v>
      </c>
      <c r="H145" s="113">
        <f>VLOOKUP(C145,'Talente &amp; Stuff'!AF:BG,6,FALSE)</f>
        <v>0</v>
      </c>
      <c r="I145" s="113">
        <f>VLOOKUP(C145,'Talente &amp; Stuff'!AF:BG,7,FALSE)</f>
        <v>0</v>
      </c>
      <c r="J145" s="113">
        <f>VLOOKUP(C145,'Talente &amp; Stuff'!AF:BG,8,FALSE)</f>
        <v>0</v>
      </c>
      <c r="K145" s="113">
        <f>VLOOKUP(C145,'Talente &amp; Stuff'!AF:BG,9,FALSE)</f>
        <v>0</v>
      </c>
      <c r="L145" s="113">
        <f>VLOOKUP(C145,'Talente &amp; Stuff'!AF:BG,10,FALSE)</f>
        <v>0</v>
      </c>
      <c r="M145" s="119">
        <f>VLOOKUP(C145,'Talente &amp; Stuff'!AF:BG,11,FALSE)</f>
        <v>0</v>
      </c>
      <c r="N145" s="47">
        <f>VLOOKUP(C145,'Talente &amp; Stuff'!AF:BG,12,FALSE)</f>
        <v>0</v>
      </c>
      <c r="O145" s="47">
        <f>VLOOKUP(C145,'Talente &amp; Stuff'!AF:BG,13,FALSE)</f>
        <v>0</v>
      </c>
      <c r="P145" s="119">
        <f>VLOOKUP(C145,'Talente &amp; Stuff'!AF:BG,14,FALSE)</f>
        <v>0</v>
      </c>
      <c r="Q145" s="114">
        <f>VLOOKUP(C145,'Talente &amp; Stuff'!AF:BG,15,FALSE)</f>
        <v>0</v>
      </c>
      <c r="R145" s="113">
        <f>VLOOKUP(C145,'Talente &amp; Stuff'!AF:BG,16,FALSE)</f>
        <v>0</v>
      </c>
      <c r="S145" s="119">
        <f>VLOOKUP(C145,'Talente &amp; Stuff'!AF:BG,17,FALSE)</f>
        <v>0</v>
      </c>
      <c r="T145" s="119">
        <f>VLOOKUP(C145,'Talente &amp; Stuff'!AF:BG,18,FALSE)</f>
        <v>0</v>
      </c>
      <c r="U145" s="89">
        <f>VLOOKUP(C145,'Talente &amp; Stuff'!AF:BG,19,FALSE)</f>
        <v>0</v>
      </c>
      <c r="V145" s="47">
        <f>VLOOKUP(C145,'Talente &amp; Stuff'!AF:BG,20,FALSE)</f>
        <v>0</v>
      </c>
      <c r="W145" s="127">
        <f>VLOOKUP(C145,'Talente &amp; Stuff'!AF:BG,21,FALSE)</f>
        <v>0</v>
      </c>
      <c r="X145" s="127">
        <f>VLOOKUP(C145,'Talente &amp; Stuff'!AF:BG,22,FALSE)</f>
        <v>0</v>
      </c>
      <c r="Y145" s="165">
        <f t="shared" si="14"/>
        <v>0</v>
      </c>
      <c r="Z145" s="44">
        <f t="shared" si="15"/>
        <v>0</v>
      </c>
      <c r="AA145" s="125">
        <f>VLOOKUP(C145,'Talente &amp; Stuff'!AF:BG,25,FALSE)</f>
        <v>0</v>
      </c>
      <c r="AB145" s="160">
        <f>VLOOKUP(C145,'Talente &amp; Stuff'!AF:BG,26,FALSE)</f>
        <v>0</v>
      </c>
      <c r="AC145" s="127">
        <f>VLOOKUP(C145,'Talente &amp; Stuff'!AF:BG,27,FALSE)</f>
        <v>0</v>
      </c>
      <c r="AD145" s="125">
        <f>VLOOKUP(C145,'Talente &amp; Stuff'!AF:BG,28,FALSE)</f>
        <v>0</v>
      </c>
      <c r="AE145" s="28"/>
    </row>
    <row r="146" spans="2:31" ht="15" hidden="1" customHeight="1" outlineLevel="2">
      <c r="B146" s="148">
        <v>19</v>
      </c>
      <c r="C146" s="177" t="str">
        <f>Attribute!C146</f>
        <v>---</v>
      </c>
      <c r="D146" s="125" t="str">
        <f>VLOOKUP(C146,'Talente &amp; Stuff'!AF:BG,2,FALSE)</f>
        <v>--/--/--</v>
      </c>
      <c r="E146" s="127" t="str">
        <f>VLOOKUP(C146,'Talente &amp; Stuff'!AF:BG,3,FALSE)</f>
        <v>-</v>
      </c>
      <c r="F146" s="114">
        <f>VLOOKUP(C146,'Talente &amp; Stuff'!AF:BG,4,FALSE)</f>
        <v>0</v>
      </c>
      <c r="G146" s="113">
        <f>VLOOKUP(C146,'Talente &amp; Stuff'!AF:BG,5,FALSE)</f>
        <v>0</v>
      </c>
      <c r="H146" s="113">
        <f>VLOOKUP(C146,'Talente &amp; Stuff'!AF:BG,6,FALSE)</f>
        <v>0</v>
      </c>
      <c r="I146" s="113">
        <f>VLOOKUP(C146,'Talente &amp; Stuff'!AF:BG,7,FALSE)</f>
        <v>0</v>
      </c>
      <c r="J146" s="113">
        <f>VLOOKUP(C146,'Talente &amp; Stuff'!AF:BG,8,FALSE)</f>
        <v>0</v>
      </c>
      <c r="K146" s="113">
        <f>VLOOKUP(C146,'Talente &amp; Stuff'!AF:BG,9,FALSE)</f>
        <v>0</v>
      </c>
      <c r="L146" s="113">
        <f>VLOOKUP(C146,'Talente &amp; Stuff'!AF:BG,10,FALSE)</f>
        <v>0</v>
      </c>
      <c r="M146" s="119">
        <f>VLOOKUP(C146,'Talente &amp; Stuff'!AF:BG,11,FALSE)</f>
        <v>0</v>
      </c>
      <c r="N146" s="47">
        <f>VLOOKUP(C146,'Talente &amp; Stuff'!AF:BG,12,FALSE)</f>
        <v>0</v>
      </c>
      <c r="O146" s="47">
        <f>VLOOKUP(C146,'Talente &amp; Stuff'!AF:BG,13,FALSE)</f>
        <v>0</v>
      </c>
      <c r="P146" s="119">
        <f>VLOOKUP(C146,'Talente &amp; Stuff'!AF:BG,14,FALSE)</f>
        <v>0</v>
      </c>
      <c r="Q146" s="114">
        <f>VLOOKUP(C146,'Talente &amp; Stuff'!AF:BG,15,FALSE)</f>
        <v>0</v>
      </c>
      <c r="R146" s="113">
        <f>VLOOKUP(C146,'Talente &amp; Stuff'!AF:BG,16,FALSE)</f>
        <v>0</v>
      </c>
      <c r="S146" s="119">
        <f>VLOOKUP(C146,'Talente &amp; Stuff'!AF:BG,17,FALSE)</f>
        <v>0</v>
      </c>
      <c r="T146" s="119">
        <f>VLOOKUP(C146,'Talente &amp; Stuff'!AF:BG,18,FALSE)</f>
        <v>0</v>
      </c>
      <c r="U146" s="89">
        <f>VLOOKUP(C146,'Talente &amp; Stuff'!AF:BG,19,FALSE)</f>
        <v>0</v>
      </c>
      <c r="V146" s="47">
        <f>VLOOKUP(C146,'Talente &amp; Stuff'!AF:BG,20,FALSE)</f>
        <v>0</v>
      </c>
      <c r="W146" s="127">
        <f>VLOOKUP(C146,'Talente &amp; Stuff'!AF:BG,21,FALSE)</f>
        <v>0</v>
      </c>
      <c r="X146" s="127">
        <f>VLOOKUP(C146,'Talente &amp; Stuff'!AF:BG,22,FALSE)</f>
        <v>0</v>
      </c>
      <c r="Y146" s="165">
        <f t="shared" si="14"/>
        <v>0</v>
      </c>
      <c r="Z146" s="44">
        <f t="shared" si="15"/>
        <v>0</v>
      </c>
      <c r="AA146" s="125">
        <f>VLOOKUP(C146,'Talente &amp; Stuff'!AF:BG,25,FALSE)</f>
        <v>0</v>
      </c>
      <c r="AB146" s="160">
        <f>VLOOKUP(C146,'Talente &amp; Stuff'!AF:BG,26,FALSE)</f>
        <v>0</v>
      </c>
      <c r="AC146" s="127">
        <f>VLOOKUP(C146,'Talente &amp; Stuff'!AF:BG,27,FALSE)</f>
        <v>0</v>
      </c>
      <c r="AD146" s="125">
        <f>VLOOKUP(C146,'Talente &amp; Stuff'!AF:BG,28,FALSE)</f>
        <v>0</v>
      </c>
      <c r="AE146" s="28"/>
    </row>
    <row r="147" spans="2:31" ht="15" hidden="1" customHeight="1" outlineLevel="2">
      <c r="B147" s="148">
        <v>20</v>
      </c>
      <c r="C147" s="177" t="str">
        <f>Attribute!C147</f>
        <v>---</v>
      </c>
      <c r="D147" s="125" t="str">
        <f>VLOOKUP(C147,'Talente &amp; Stuff'!AF:BG,2,FALSE)</f>
        <v>--/--/--</v>
      </c>
      <c r="E147" s="127" t="str">
        <f>VLOOKUP(C147,'Talente &amp; Stuff'!AF:BG,3,FALSE)</f>
        <v>-</v>
      </c>
      <c r="F147" s="114">
        <f>VLOOKUP(C147,'Talente &amp; Stuff'!AF:BG,4,FALSE)</f>
        <v>0</v>
      </c>
      <c r="G147" s="113">
        <f>VLOOKUP(C147,'Talente &amp; Stuff'!AF:BG,5,FALSE)</f>
        <v>0</v>
      </c>
      <c r="H147" s="113">
        <f>VLOOKUP(C147,'Talente &amp; Stuff'!AF:BG,6,FALSE)</f>
        <v>0</v>
      </c>
      <c r="I147" s="113">
        <f>VLOOKUP(C147,'Talente &amp; Stuff'!AF:BG,7,FALSE)</f>
        <v>0</v>
      </c>
      <c r="J147" s="113">
        <f>VLOOKUP(C147,'Talente &amp; Stuff'!AF:BG,8,FALSE)</f>
        <v>0</v>
      </c>
      <c r="K147" s="113">
        <f>VLOOKUP(C147,'Talente &amp; Stuff'!AF:BG,9,FALSE)</f>
        <v>0</v>
      </c>
      <c r="L147" s="113">
        <f>VLOOKUP(C147,'Talente &amp; Stuff'!AF:BG,10,FALSE)</f>
        <v>0</v>
      </c>
      <c r="M147" s="119">
        <f>VLOOKUP(C147,'Talente &amp; Stuff'!AF:BG,11,FALSE)</f>
        <v>0</v>
      </c>
      <c r="N147" s="47">
        <f>VLOOKUP(C147,'Talente &amp; Stuff'!AF:BG,12,FALSE)</f>
        <v>0</v>
      </c>
      <c r="O147" s="47">
        <f>VLOOKUP(C147,'Talente &amp; Stuff'!AF:BG,13,FALSE)</f>
        <v>0</v>
      </c>
      <c r="P147" s="119">
        <f>VLOOKUP(C147,'Talente &amp; Stuff'!AF:BG,14,FALSE)</f>
        <v>0</v>
      </c>
      <c r="Q147" s="114">
        <f>VLOOKUP(C147,'Talente &amp; Stuff'!AF:BG,15,FALSE)</f>
        <v>0</v>
      </c>
      <c r="R147" s="113">
        <f>VLOOKUP(C147,'Talente &amp; Stuff'!AF:BG,16,FALSE)</f>
        <v>0</v>
      </c>
      <c r="S147" s="119">
        <f>VLOOKUP(C147,'Talente &amp; Stuff'!AF:BG,17,FALSE)</f>
        <v>0</v>
      </c>
      <c r="T147" s="119">
        <f>VLOOKUP(C147,'Talente &amp; Stuff'!AF:BG,18,FALSE)</f>
        <v>0</v>
      </c>
      <c r="U147" s="89">
        <f>VLOOKUP(C147,'Talente &amp; Stuff'!AF:BG,19,FALSE)</f>
        <v>0</v>
      </c>
      <c r="V147" s="47">
        <f>VLOOKUP(C147,'Talente &amp; Stuff'!AF:BG,20,FALSE)</f>
        <v>0</v>
      </c>
      <c r="W147" s="127">
        <f>VLOOKUP(C147,'Talente &amp; Stuff'!AF:BG,21,FALSE)</f>
        <v>0</v>
      </c>
      <c r="X147" s="127">
        <f>VLOOKUP(C147,'Talente &amp; Stuff'!AF:BG,22,FALSE)</f>
        <v>0</v>
      </c>
      <c r="Y147" s="165">
        <f t="shared" si="14"/>
        <v>0</v>
      </c>
      <c r="Z147" s="44">
        <f t="shared" si="15"/>
        <v>0</v>
      </c>
      <c r="AA147" s="125">
        <f>VLOOKUP(C147,'Talente &amp; Stuff'!AF:BG,25,FALSE)</f>
        <v>0</v>
      </c>
      <c r="AB147" s="160">
        <f>VLOOKUP(C147,'Talente &amp; Stuff'!AF:BG,26,FALSE)</f>
        <v>0</v>
      </c>
      <c r="AC147" s="127">
        <f>VLOOKUP(C147,'Talente &amp; Stuff'!AF:BG,27,FALSE)</f>
        <v>0</v>
      </c>
      <c r="AD147" s="125">
        <f>VLOOKUP(C147,'Talente &amp; Stuff'!AF:BG,28,FALSE)</f>
        <v>0</v>
      </c>
      <c r="AE147" s="28"/>
    </row>
    <row r="148" spans="2:31" ht="15" hidden="1" customHeight="1" outlineLevel="2">
      <c r="B148" s="148">
        <v>21</v>
      </c>
      <c r="C148" s="177" t="str">
        <f>Attribute!C148</f>
        <v>---</v>
      </c>
      <c r="D148" s="125" t="str">
        <f>VLOOKUP(C148,'Talente &amp; Stuff'!AF:BG,2,FALSE)</f>
        <v>--/--/--</v>
      </c>
      <c r="E148" s="127" t="str">
        <f>VLOOKUP(C148,'Talente &amp; Stuff'!AF:BG,3,FALSE)</f>
        <v>-</v>
      </c>
      <c r="F148" s="114">
        <f>VLOOKUP(C148,'Talente &amp; Stuff'!AF:BG,4,FALSE)</f>
        <v>0</v>
      </c>
      <c r="G148" s="113">
        <f>VLOOKUP(C148,'Talente &amp; Stuff'!AF:BG,5,FALSE)</f>
        <v>0</v>
      </c>
      <c r="H148" s="113">
        <f>VLOOKUP(C148,'Talente &amp; Stuff'!AF:BG,6,FALSE)</f>
        <v>0</v>
      </c>
      <c r="I148" s="113">
        <f>VLOOKUP(C148,'Talente &amp; Stuff'!AF:BG,7,FALSE)</f>
        <v>0</v>
      </c>
      <c r="J148" s="113">
        <f>VLOOKUP(C148,'Talente &amp; Stuff'!AF:BG,8,FALSE)</f>
        <v>0</v>
      </c>
      <c r="K148" s="113">
        <f>VLOOKUP(C148,'Talente &amp; Stuff'!AF:BG,9,FALSE)</f>
        <v>0</v>
      </c>
      <c r="L148" s="113">
        <f>VLOOKUP(C148,'Talente &amp; Stuff'!AF:BG,10,FALSE)</f>
        <v>0</v>
      </c>
      <c r="M148" s="119">
        <f>VLOOKUP(C148,'Talente &amp; Stuff'!AF:BG,11,FALSE)</f>
        <v>0</v>
      </c>
      <c r="N148" s="47">
        <f>VLOOKUP(C148,'Talente &amp; Stuff'!AF:BG,12,FALSE)</f>
        <v>0</v>
      </c>
      <c r="O148" s="47">
        <f>VLOOKUP(C148,'Talente &amp; Stuff'!AF:BG,13,FALSE)</f>
        <v>0</v>
      </c>
      <c r="P148" s="119">
        <f>VLOOKUP(C148,'Talente &amp; Stuff'!AF:BG,14,FALSE)</f>
        <v>0</v>
      </c>
      <c r="Q148" s="114">
        <f>VLOOKUP(C148,'Talente &amp; Stuff'!AF:BG,15,FALSE)</f>
        <v>0</v>
      </c>
      <c r="R148" s="113">
        <f>VLOOKUP(C148,'Talente &amp; Stuff'!AF:BG,16,FALSE)</f>
        <v>0</v>
      </c>
      <c r="S148" s="119">
        <f>VLOOKUP(C148,'Talente &amp; Stuff'!AF:BG,17,FALSE)</f>
        <v>0</v>
      </c>
      <c r="T148" s="119">
        <f>VLOOKUP(C148,'Talente &amp; Stuff'!AF:BG,18,FALSE)</f>
        <v>0</v>
      </c>
      <c r="U148" s="89">
        <f>VLOOKUP(C148,'Talente &amp; Stuff'!AF:BG,19,FALSE)</f>
        <v>0</v>
      </c>
      <c r="V148" s="47">
        <f>VLOOKUP(C148,'Talente &amp; Stuff'!AF:BG,20,FALSE)</f>
        <v>0</v>
      </c>
      <c r="W148" s="127">
        <f>VLOOKUP(C148,'Talente &amp; Stuff'!AF:BG,21,FALSE)</f>
        <v>0</v>
      </c>
      <c r="X148" s="127">
        <f>VLOOKUP(C148,'Talente &amp; Stuff'!AF:BG,22,FALSE)</f>
        <v>0</v>
      </c>
      <c r="Y148" s="165">
        <f t="shared" si="14"/>
        <v>0</v>
      </c>
      <c r="Z148" s="44">
        <f t="shared" si="15"/>
        <v>0</v>
      </c>
      <c r="AA148" s="125">
        <f>VLOOKUP(C148,'Talente &amp; Stuff'!AF:BG,25,FALSE)</f>
        <v>0</v>
      </c>
      <c r="AB148" s="160">
        <f>VLOOKUP(C148,'Talente &amp; Stuff'!AF:BG,26,FALSE)</f>
        <v>0</v>
      </c>
      <c r="AC148" s="127">
        <f>VLOOKUP(C148,'Talente &amp; Stuff'!AF:BG,27,FALSE)</f>
        <v>0</v>
      </c>
      <c r="AD148" s="125">
        <f>VLOOKUP(C148,'Talente &amp; Stuff'!AF:BG,28,FALSE)</f>
        <v>0</v>
      </c>
      <c r="AE148" s="28"/>
    </row>
    <row r="149" spans="2:31" ht="15" hidden="1" customHeight="1" outlineLevel="2">
      <c r="B149" s="148">
        <v>22</v>
      </c>
      <c r="C149" s="177" t="str">
        <f>Attribute!C149</f>
        <v>---</v>
      </c>
      <c r="D149" s="125" t="str">
        <f>VLOOKUP(C149,'Talente &amp; Stuff'!AF:BG,2,FALSE)</f>
        <v>--/--/--</v>
      </c>
      <c r="E149" s="127" t="str">
        <f>VLOOKUP(C149,'Talente &amp; Stuff'!AF:BG,3,FALSE)</f>
        <v>-</v>
      </c>
      <c r="F149" s="114">
        <f>VLOOKUP(C149,'Talente &amp; Stuff'!AF:BG,4,FALSE)</f>
        <v>0</v>
      </c>
      <c r="G149" s="113">
        <f>VLOOKUP(C149,'Talente &amp; Stuff'!AF:BG,5,FALSE)</f>
        <v>0</v>
      </c>
      <c r="H149" s="113">
        <f>VLOOKUP(C149,'Talente &amp; Stuff'!AF:BG,6,FALSE)</f>
        <v>0</v>
      </c>
      <c r="I149" s="113">
        <f>VLOOKUP(C149,'Talente &amp; Stuff'!AF:BG,7,FALSE)</f>
        <v>0</v>
      </c>
      <c r="J149" s="113">
        <f>VLOOKUP(C149,'Talente &amp; Stuff'!AF:BG,8,FALSE)</f>
        <v>0</v>
      </c>
      <c r="K149" s="113">
        <f>VLOOKUP(C149,'Talente &amp; Stuff'!AF:BG,9,FALSE)</f>
        <v>0</v>
      </c>
      <c r="L149" s="113">
        <f>VLOOKUP(C149,'Talente &amp; Stuff'!AF:BG,10,FALSE)</f>
        <v>0</v>
      </c>
      <c r="M149" s="119">
        <f>VLOOKUP(C149,'Talente &amp; Stuff'!AF:BG,11,FALSE)</f>
        <v>0</v>
      </c>
      <c r="N149" s="47">
        <f>VLOOKUP(C149,'Talente &amp; Stuff'!AF:BG,12,FALSE)</f>
        <v>0</v>
      </c>
      <c r="O149" s="47">
        <f>VLOOKUP(C149,'Talente &amp; Stuff'!AF:BG,13,FALSE)</f>
        <v>0</v>
      </c>
      <c r="P149" s="119">
        <f>VLOOKUP(C149,'Talente &amp; Stuff'!AF:BG,14,FALSE)</f>
        <v>0</v>
      </c>
      <c r="Q149" s="114">
        <f>VLOOKUP(C149,'Talente &amp; Stuff'!AF:BG,15,FALSE)</f>
        <v>0</v>
      </c>
      <c r="R149" s="113">
        <f>VLOOKUP(C149,'Talente &amp; Stuff'!AF:BG,16,FALSE)</f>
        <v>0</v>
      </c>
      <c r="S149" s="119">
        <f>VLOOKUP(C149,'Talente &amp; Stuff'!AF:BG,17,FALSE)</f>
        <v>0</v>
      </c>
      <c r="T149" s="119">
        <f>VLOOKUP(C149,'Talente &amp; Stuff'!AF:BG,18,FALSE)</f>
        <v>0</v>
      </c>
      <c r="U149" s="89">
        <f>VLOOKUP(C149,'Talente &amp; Stuff'!AF:BG,19,FALSE)</f>
        <v>0</v>
      </c>
      <c r="V149" s="47">
        <f>VLOOKUP(C149,'Talente &amp; Stuff'!AF:BG,20,FALSE)</f>
        <v>0</v>
      </c>
      <c r="W149" s="127">
        <f>VLOOKUP(C149,'Talente &amp; Stuff'!AF:BG,21,FALSE)</f>
        <v>0</v>
      </c>
      <c r="X149" s="127">
        <f>VLOOKUP(C149,'Talente &amp; Stuff'!AF:BG,22,FALSE)</f>
        <v>0</v>
      </c>
      <c r="Y149" s="165">
        <f t="shared" si="14"/>
        <v>0</v>
      </c>
      <c r="Z149" s="44">
        <f t="shared" si="15"/>
        <v>0</v>
      </c>
      <c r="AA149" s="125">
        <f>VLOOKUP(C149,'Talente &amp; Stuff'!AF:BG,25,FALSE)</f>
        <v>0</v>
      </c>
      <c r="AB149" s="160">
        <f>VLOOKUP(C149,'Talente &amp; Stuff'!AF:BG,26,FALSE)</f>
        <v>0</v>
      </c>
      <c r="AC149" s="127">
        <f>VLOOKUP(C149,'Talente &amp; Stuff'!AF:BG,27,FALSE)</f>
        <v>0</v>
      </c>
      <c r="AD149" s="125">
        <f>VLOOKUP(C149,'Talente &amp; Stuff'!AF:BG,28,FALSE)</f>
        <v>0</v>
      </c>
      <c r="AE149" s="28"/>
    </row>
    <row r="150" spans="2:31" ht="15" hidden="1" customHeight="1" outlineLevel="2">
      <c r="B150" s="148">
        <v>23</v>
      </c>
      <c r="C150" s="177" t="str">
        <f>Attribute!C150</f>
        <v>---</v>
      </c>
      <c r="D150" s="125" t="str">
        <f>VLOOKUP(C150,'Talente &amp; Stuff'!AF:BG,2,FALSE)</f>
        <v>--/--/--</v>
      </c>
      <c r="E150" s="127" t="str">
        <f>VLOOKUP(C150,'Talente &amp; Stuff'!AF:BG,3,FALSE)</f>
        <v>-</v>
      </c>
      <c r="F150" s="114">
        <f>VLOOKUP(C150,'Talente &amp; Stuff'!AF:BG,4,FALSE)</f>
        <v>0</v>
      </c>
      <c r="G150" s="113">
        <f>VLOOKUP(C150,'Talente &amp; Stuff'!AF:BG,5,FALSE)</f>
        <v>0</v>
      </c>
      <c r="H150" s="113">
        <f>VLOOKUP(C150,'Talente &amp; Stuff'!AF:BG,6,FALSE)</f>
        <v>0</v>
      </c>
      <c r="I150" s="113">
        <f>VLOOKUP(C150,'Talente &amp; Stuff'!AF:BG,7,FALSE)</f>
        <v>0</v>
      </c>
      <c r="J150" s="113">
        <f>VLOOKUP(C150,'Talente &amp; Stuff'!AF:BG,8,FALSE)</f>
        <v>0</v>
      </c>
      <c r="K150" s="113">
        <f>VLOOKUP(C150,'Talente &amp; Stuff'!AF:BG,9,FALSE)</f>
        <v>0</v>
      </c>
      <c r="L150" s="113">
        <f>VLOOKUP(C150,'Talente &amp; Stuff'!AF:BG,10,FALSE)</f>
        <v>0</v>
      </c>
      <c r="M150" s="119">
        <f>VLOOKUP(C150,'Talente &amp; Stuff'!AF:BG,11,FALSE)</f>
        <v>0</v>
      </c>
      <c r="N150" s="47">
        <f>VLOOKUP(C150,'Talente &amp; Stuff'!AF:BG,12,FALSE)</f>
        <v>0</v>
      </c>
      <c r="O150" s="47">
        <f>VLOOKUP(C150,'Talente &amp; Stuff'!AF:BG,13,FALSE)</f>
        <v>0</v>
      </c>
      <c r="P150" s="119">
        <f>VLOOKUP(C150,'Talente &amp; Stuff'!AF:BG,14,FALSE)</f>
        <v>0</v>
      </c>
      <c r="Q150" s="114">
        <f>VLOOKUP(C150,'Talente &amp; Stuff'!AF:BG,15,FALSE)</f>
        <v>0</v>
      </c>
      <c r="R150" s="113">
        <f>VLOOKUP(C150,'Talente &amp; Stuff'!AF:BG,16,FALSE)</f>
        <v>0</v>
      </c>
      <c r="S150" s="119">
        <f>VLOOKUP(C150,'Talente &amp; Stuff'!AF:BG,17,FALSE)</f>
        <v>0</v>
      </c>
      <c r="T150" s="119">
        <f>VLOOKUP(C150,'Talente &amp; Stuff'!AF:BG,18,FALSE)</f>
        <v>0</v>
      </c>
      <c r="U150" s="89">
        <f>VLOOKUP(C150,'Talente &amp; Stuff'!AF:BG,19,FALSE)</f>
        <v>0</v>
      </c>
      <c r="V150" s="47">
        <f>VLOOKUP(C150,'Talente &amp; Stuff'!AF:BG,20,FALSE)</f>
        <v>0</v>
      </c>
      <c r="W150" s="127">
        <f>VLOOKUP(C150,'Talente &amp; Stuff'!AF:BG,21,FALSE)</f>
        <v>0</v>
      </c>
      <c r="X150" s="127">
        <f>VLOOKUP(C150,'Talente &amp; Stuff'!AF:BG,22,FALSE)</f>
        <v>0</v>
      </c>
      <c r="Y150" s="165">
        <f t="shared" si="14"/>
        <v>0</v>
      </c>
      <c r="Z150" s="44">
        <f t="shared" si="15"/>
        <v>0</v>
      </c>
      <c r="AA150" s="125">
        <f>VLOOKUP(C150,'Talente &amp; Stuff'!AF:BG,25,FALSE)</f>
        <v>0</v>
      </c>
      <c r="AB150" s="160">
        <f>VLOOKUP(C150,'Talente &amp; Stuff'!AF:BG,26,FALSE)</f>
        <v>0</v>
      </c>
      <c r="AC150" s="127">
        <f>VLOOKUP(C150,'Talente &amp; Stuff'!AF:BG,27,FALSE)</f>
        <v>0</v>
      </c>
      <c r="AD150" s="125">
        <f>VLOOKUP(C150,'Talente &amp; Stuff'!AF:BG,28,FALSE)</f>
        <v>0</v>
      </c>
      <c r="AE150" s="28"/>
    </row>
    <row r="151" spans="2:31" ht="15" hidden="1" customHeight="1" outlineLevel="2">
      <c r="B151" s="148">
        <v>24</v>
      </c>
      <c r="C151" s="178" t="str">
        <f>Attribute!C151</f>
        <v>---</v>
      </c>
      <c r="D151" s="159" t="str">
        <f>VLOOKUP(C151,'Talente &amp; Stuff'!AF:BG,2,FALSE)</f>
        <v>--/--/--</v>
      </c>
      <c r="E151" s="128" t="str">
        <f>VLOOKUP(C151,'Talente &amp; Stuff'!AF:BG,3,FALSE)</f>
        <v>-</v>
      </c>
      <c r="F151" s="115">
        <f>VLOOKUP(C151,'Talente &amp; Stuff'!AF:BG,4,FALSE)</f>
        <v>0</v>
      </c>
      <c r="G151" s="122">
        <f>VLOOKUP(C151,'Talente &amp; Stuff'!AF:BG,5,FALSE)</f>
        <v>0</v>
      </c>
      <c r="H151" s="122">
        <f>VLOOKUP(C151,'Talente &amp; Stuff'!AF:BG,6,FALSE)</f>
        <v>0</v>
      </c>
      <c r="I151" s="122">
        <f>VLOOKUP(C151,'Talente &amp; Stuff'!AF:BG,7,FALSE)</f>
        <v>0</v>
      </c>
      <c r="J151" s="122">
        <f>VLOOKUP(C151,'Talente &amp; Stuff'!AF:BG,8,FALSE)</f>
        <v>0</v>
      </c>
      <c r="K151" s="122">
        <f>VLOOKUP(C151,'Talente &amp; Stuff'!AF:BG,9,FALSE)</f>
        <v>0</v>
      </c>
      <c r="L151" s="122">
        <f>VLOOKUP(C151,'Talente &amp; Stuff'!AF:BG,10,FALSE)</f>
        <v>0</v>
      </c>
      <c r="M151" s="123">
        <f>VLOOKUP(C151,'Talente &amp; Stuff'!AF:BG,11,FALSE)</f>
        <v>0</v>
      </c>
      <c r="N151" s="88">
        <f>VLOOKUP(C151,'Talente &amp; Stuff'!AF:BG,12,FALSE)</f>
        <v>0</v>
      </c>
      <c r="O151" s="88">
        <f>VLOOKUP(C151,'Talente &amp; Stuff'!AF:BG,13,FALSE)</f>
        <v>0</v>
      </c>
      <c r="P151" s="123">
        <f>VLOOKUP(C151,'Talente &amp; Stuff'!AF:BG,14,FALSE)</f>
        <v>0</v>
      </c>
      <c r="Q151" s="115">
        <f>VLOOKUP(C151,'Talente &amp; Stuff'!AF:BG,15,FALSE)</f>
        <v>0</v>
      </c>
      <c r="R151" s="122">
        <f>VLOOKUP(C151,'Talente &amp; Stuff'!AF:BG,16,FALSE)</f>
        <v>0</v>
      </c>
      <c r="S151" s="123">
        <f>VLOOKUP(C151,'Talente &amp; Stuff'!AF:BG,17,FALSE)</f>
        <v>0</v>
      </c>
      <c r="T151" s="123">
        <f>VLOOKUP(C151,'Talente &amp; Stuff'!AF:BG,18,FALSE)</f>
        <v>0</v>
      </c>
      <c r="U151" s="90">
        <f>VLOOKUP(C151,'Talente &amp; Stuff'!AF:BG,19,FALSE)</f>
        <v>0</v>
      </c>
      <c r="V151" s="88">
        <f>VLOOKUP(C151,'Talente &amp; Stuff'!AF:BG,20,FALSE)</f>
        <v>0</v>
      </c>
      <c r="W151" s="128">
        <f>VLOOKUP(C151,'Talente &amp; Stuff'!AF:BG,21,FALSE)</f>
        <v>0</v>
      </c>
      <c r="X151" s="128">
        <f>VLOOKUP(C151,'Talente &amp; Stuff'!AF:BG,22,FALSE)</f>
        <v>0</v>
      </c>
      <c r="Y151" s="165">
        <f t="shared" si="14"/>
        <v>0</v>
      </c>
      <c r="Z151" s="44">
        <f t="shared" si="15"/>
        <v>0</v>
      </c>
      <c r="AA151" s="159">
        <f>VLOOKUP(C151,'Talente &amp; Stuff'!AF:BG,25,FALSE)</f>
        <v>0</v>
      </c>
      <c r="AB151" s="161">
        <f>VLOOKUP(C151,'Talente &amp; Stuff'!AF:BG,26,FALSE)</f>
        <v>0</v>
      </c>
      <c r="AC151" s="128">
        <f>VLOOKUP(C151,'Talente &amp; Stuff'!AF:BG,27,FALSE)</f>
        <v>0</v>
      </c>
      <c r="AD151" s="159">
        <f>VLOOKUP(C151,'Talente &amp; Stuff'!AF:BG,28,FALSE)</f>
        <v>0</v>
      </c>
      <c r="AE151" s="28"/>
    </row>
    <row r="152" spans="2:31" ht="15" hidden="1" customHeight="1" outlineLevel="1" collapsed="1">
      <c r="B152" s="134" t="s">
        <v>329</v>
      </c>
      <c r="C152" s="83"/>
      <c r="D152" s="84"/>
      <c r="E152" s="84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AA152" s="148"/>
      <c r="AB152" s="148"/>
      <c r="AC152" s="148"/>
      <c r="AD152" s="148"/>
      <c r="AE152" s="148"/>
    </row>
    <row r="153" spans="2:31" ht="15" hidden="1" customHeight="1" outlineLevel="2">
      <c r="B153" s="148">
        <v>1</v>
      </c>
      <c r="C153" s="176" t="str">
        <f>Attribute!C153</f>
        <v>---</v>
      </c>
      <c r="D153" s="85" t="str">
        <f>VLOOKUP(C153,'Talente &amp; Stuff'!AF:BG,2,FALSE)</f>
        <v>--/--/--</v>
      </c>
      <c r="E153" s="168" t="str">
        <f>VLOOKUP(C153,'Talente &amp; Stuff'!AF:BG,3,FALSE)</f>
        <v>-</v>
      </c>
      <c r="F153" s="171">
        <f>VLOOKUP(C153,'Talente &amp; Stuff'!AF:BG,4,FALSE)</f>
        <v>0</v>
      </c>
      <c r="G153" s="170">
        <f>VLOOKUP(C153,'Talente &amp; Stuff'!AF:BG,5,FALSE)</f>
        <v>0</v>
      </c>
      <c r="H153" s="170">
        <f>VLOOKUP(C153,'Talente &amp; Stuff'!AF:BG,6,FALSE)</f>
        <v>0</v>
      </c>
      <c r="I153" s="170">
        <f>VLOOKUP(C153,'Talente &amp; Stuff'!AF:BG,7,FALSE)</f>
        <v>0</v>
      </c>
      <c r="J153" s="170">
        <f>VLOOKUP(C153,'Talente &amp; Stuff'!AF:BG,8,FALSE)</f>
        <v>0</v>
      </c>
      <c r="K153" s="170">
        <f>VLOOKUP(C153,'Talente &amp; Stuff'!AF:BG,9,FALSE)</f>
        <v>0</v>
      </c>
      <c r="L153" s="170">
        <f>VLOOKUP(C153,'Talente &amp; Stuff'!AF:BG,10,FALSE)</f>
        <v>0</v>
      </c>
      <c r="M153" s="172">
        <f>VLOOKUP(C153,'Talente &amp; Stuff'!AF:BG,11,FALSE)</f>
        <v>0</v>
      </c>
      <c r="N153" s="116">
        <f>VLOOKUP(C153,'Talente &amp; Stuff'!AF:BG,12,FALSE)</f>
        <v>0</v>
      </c>
      <c r="O153" s="194">
        <f>VLOOKUP(C153,'Talente &amp; Stuff'!AF:BG,13,FALSE)</f>
        <v>0</v>
      </c>
      <c r="P153" s="192">
        <f>VLOOKUP(C153,'Talente &amp; Stuff'!AF:BG,14,FALSE)</f>
        <v>0</v>
      </c>
      <c r="Q153" s="191">
        <f>VLOOKUP(C153,'Talente &amp; Stuff'!AF:BG,15,FALSE)</f>
        <v>0</v>
      </c>
      <c r="R153" s="170">
        <f>VLOOKUP(C153,'Talente &amp; Stuff'!AF:BG,16,FALSE)</f>
        <v>0</v>
      </c>
      <c r="S153" s="92">
        <f>VLOOKUP(C153,'Talente &amp; Stuff'!AF:BG,17,FALSE)</f>
        <v>0</v>
      </c>
      <c r="T153" s="92">
        <f>VLOOKUP(C153,'Talente &amp; Stuff'!AF:BG,18,FALSE)</f>
        <v>0</v>
      </c>
      <c r="U153" s="193">
        <f>VLOOKUP(C153,'Talente &amp; Stuff'!AF:BG,19,FALSE)</f>
        <v>0</v>
      </c>
      <c r="V153" s="116">
        <f>VLOOKUP(C153,'Talente &amp; Stuff'!AF:BG,20,FALSE)</f>
        <v>0</v>
      </c>
      <c r="W153" s="126">
        <f>VLOOKUP(C153,'Talente &amp; Stuff'!AF:BG,21,FALSE)</f>
        <v>0</v>
      </c>
      <c r="X153" s="126">
        <f>VLOOKUP(C153,'Talente &amp; Stuff'!AF:BG,22,FALSE)</f>
        <v>0</v>
      </c>
      <c r="Y153" s="165">
        <f t="shared" ref="Y153:Y184" si="16">VLOOKUP(C153,Ausgewählte_Zauber_Gildenmagier,52,FALSE)</f>
        <v>0</v>
      </c>
      <c r="Z153" s="44">
        <f t="shared" ref="Z153:Z184" si="17">VLOOKUP(C153,Ausgewählte_Zauber_Gildenmagier,53,FALSE)</f>
        <v>0</v>
      </c>
      <c r="AA153" s="158">
        <f>VLOOKUP(C153,'Talente &amp; Stuff'!AF:BG,25,FALSE)</f>
        <v>0</v>
      </c>
      <c r="AB153" s="91">
        <f>VLOOKUP(C153,'Talente &amp; Stuff'!AF:BG,26,FALSE)</f>
        <v>0</v>
      </c>
      <c r="AC153" s="126">
        <f>VLOOKUP(C153,'Talente &amp; Stuff'!AF:BG,27,FALSE)</f>
        <v>0</v>
      </c>
      <c r="AD153" s="158">
        <f>VLOOKUP(C153,'Talente &amp; Stuff'!AF:BG,28,FALSE)</f>
        <v>0</v>
      </c>
      <c r="AE153" s="28"/>
    </row>
    <row r="154" spans="2:31" s="148" customFormat="1" ht="15" hidden="1" customHeight="1" outlineLevel="2">
      <c r="B154" s="148">
        <v>2</v>
      </c>
      <c r="C154" s="177" t="str">
        <f>Attribute!C154</f>
        <v>---</v>
      </c>
      <c r="D154" s="86" t="str">
        <f>VLOOKUP(C154,'Talente &amp; Stuff'!AF:BG,2,FALSE)</f>
        <v>--/--/--</v>
      </c>
      <c r="E154" s="167" t="str">
        <f>VLOOKUP(C154,'Talente &amp; Stuff'!AF:BG,3,FALSE)</f>
        <v>-</v>
      </c>
      <c r="F154" s="120">
        <f>VLOOKUP(C154,'Talente &amp; Stuff'!AF:BG,4,FALSE)</f>
        <v>0</v>
      </c>
      <c r="G154" s="117">
        <f>VLOOKUP(C154,'Talente &amp; Stuff'!AF:BG,5,FALSE)</f>
        <v>0</v>
      </c>
      <c r="H154" s="117">
        <f>VLOOKUP(C154,'Talente &amp; Stuff'!AF:BG,6,FALSE)</f>
        <v>0</v>
      </c>
      <c r="I154" s="117">
        <f>VLOOKUP(C154,'Talente &amp; Stuff'!AF:BG,7,FALSE)</f>
        <v>0</v>
      </c>
      <c r="J154" s="117">
        <f>VLOOKUP(C154,'Talente &amp; Stuff'!AF:BG,8,FALSE)</f>
        <v>0</v>
      </c>
      <c r="K154" s="117">
        <f>VLOOKUP(C154,'Talente &amp; Stuff'!AF:BG,9,FALSE)</f>
        <v>0</v>
      </c>
      <c r="L154" s="117">
        <f>VLOOKUP(C154,'Talente &amp; Stuff'!AF:BG,10,FALSE)</f>
        <v>0</v>
      </c>
      <c r="M154" s="121">
        <f>VLOOKUP(C154,'Talente &amp; Stuff'!AF:BG,11,FALSE)</f>
        <v>0</v>
      </c>
      <c r="N154" s="47">
        <f>VLOOKUP(C154,'Talente &amp; Stuff'!AF:BG,12,FALSE)</f>
        <v>0</v>
      </c>
      <c r="O154" s="3">
        <f>VLOOKUP(C154,'Talente &amp; Stuff'!AF:BG,13,FALSE)</f>
        <v>0</v>
      </c>
      <c r="P154" s="174">
        <f>VLOOKUP(C154,'Talente &amp; Stuff'!AF:BG,14,FALSE)</f>
        <v>0</v>
      </c>
      <c r="Q154" s="114">
        <f>VLOOKUP(C154,'Talente &amp; Stuff'!AF:BG,15,FALSE)</f>
        <v>0</v>
      </c>
      <c r="R154" s="117">
        <f>VLOOKUP(C154,'Talente &amp; Stuff'!AF:BG,16,FALSE)</f>
        <v>0</v>
      </c>
      <c r="S154" s="119">
        <f>VLOOKUP(C154,'Talente &amp; Stuff'!AF:BG,17,FALSE)</f>
        <v>0</v>
      </c>
      <c r="T154" s="119">
        <f>VLOOKUP(C154,'Talente &amp; Stuff'!AF:BG,18,FALSE)</f>
        <v>0</v>
      </c>
      <c r="U154" s="89">
        <f>VLOOKUP(C154,'Talente &amp; Stuff'!AF:BG,19,FALSE)</f>
        <v>0</v>
      </c>
      <c r="V154" s="47">
        <f>VLOOKUP(C154,'Talente &amp; Stuff'!AF:BG,20,FALSE)</f>
        <v>0</v>
      </c>
      <c r="W154" s="127">
        <f>VLOOKUP(C154,'Talente &amp; Stuff'!AF:BG,21,FALSE)</f>
        <v>0</v>
      </c>
      <c r="X154" s="127">
        <f>VLOOKUP(C154,'Talente &amp; Stuff'!AF:BG,22,FALSE)</f>
        <v>0</v>
      </c>
      <c r="Y154" s="165">
        <f t="shared" si="16"/>
        <v>0</v>
      </c>
      <c r="Z154" s="44">
        <f t="shared" si="17"/>
        <v>0</v>
      </c>
      <c r="AA154" s="125">
        <f>VLOOKUP(C154,'Talente &amp; Stuff'!AF:BG,25,FALSE)</f>
        <v>0</v>
      </c>
      <c r="AB154" s="160">
        <f>VLOOKUP(C154,'Talente &amp; Stuff'!AF:BG,26,FALSE)</f>
        <v>0</v>
      </c>
      <c r="AC154" s="127">
        <f>VLOOKUP(C154,'Talente &amp; Stuff'!AF:BG,27,FALSE)</f>
        <v>0</v>
      </c>
      <c r="AD154" s="125">
        <f>VLOOKUP(C154,'Talente &amp; Stuff'!AF:BG,28,FALSE)</f>
        <v>0</v>
      </c>
      <c r="AE154" s="28"/>
    </row>
    <row r="155" spans="2:31" s="148" customFormat="1" ht="15" hidden="1" customHeight="1" outlineLevel="2">
      <c r="B155" s="148">
        <v>3</v>
      </c>
      <c r="C155" s="177" t="str">
        <f>Attribute!C155</f>
        <v>---</v>
      </c>
      <c r="D155" s="86" t="str">
        <f>VLOOKUP(C155,'Talente &amp; Stuff'!AF:BG,2,FALSE)</f>
        <v>--/--/--</v>
      </c>
      <c r="E155" s="167" t="str">
        <f>VLOOKUP(C155,'Talente &amp; Stuff'!AF:BG,3,FALSE)</f>
        <v>-</v>
      </c>
      <c r="F155" s="120">
        <f>VLOOKUP(C155,'Talente &amp; Stuff'!AF:BG,4,FALSE)</f>
        <v>0</v>
      </c>
      <c r="G155" s="117">
        <f>VLOOKUP(C155,'Talente &amp; Stuff'!AF:BG,5,FALSE)</f>
        <v>0</v>
      </c>
      <c r="H155" s="117">
        <f>VLOOKUP(C155,'Talente &amp; Stuff'!AF:BG,6,FALSE)</f>
        <v>0</v>
      </c>
      <c r="I155" s="117">
        <f>VLOOKUP(C155,'Talente &amp; Stuff'!AF:BG,7,FALSE)</f>
        <v>0</v>
      </c>
      <c r="J155" s="117">
        <f>VLOOKUP(C155,'Talente &amp; Stuff'!AF:BG,8,FALSE)</f>
        <v>0</v>
      </c>
      <c r="K155" s="117">
        <f>VLOOKUP(C155,'Talente &amp; Stuff'!AF:BG,9,FALSE)</f>
        <v>0</v>
      </c>
      <c r="L155" s="117">
        <f>VLOOKUP(C155,'Talente &amp; Stuff'!AF:BG,10,FALSE)</f>
        <v>0</v>
      </c>
      <c r="M155" s="121">
        <f>VLOOKUP(C155,'Talente &amp; Stuff'!AF:BG,11,FALSE)</f>
        <v>0</v>
      </c>
      <c r="N155" s="47">
        <f>VLOOKUP(C155,'Talente &amp; Stuff'!AF:BG,12,FALSE)</f>
        <v>0</v>
      </c>
      <c r="O155" s="3">
        <f>VLOOKUP(C155,'Talente &amp; Stuff'!AF:BG,13,FALSE)</f>
        <v>0</v>
      </c>
      <c r="P155" s="174">
        <f>VLOOKUP(C155,'Talente &amp; Stuff'!AF:BG,14,FALSE)</f>
        <v>0</v>
      </c>
      <c r="Q155" s="114">
        <f>VLOOKUP(C155,'Talente &amp; Stuff'!AF:BG,15,FALSE)</f>
        <v>0</v>
      </c>
      <c r="R155" s="117">
        <f>VLOOKUP(C155,'Talente &amp; Stuff'!AF:BG,16,FALSE)</f>
        <v>0</v>
      </c>
      <c r="S155" s="119">
        <f>VLOOKUP(C155,'Talente &amp; Stuff'!AF:BG,17,FALSE)</f>
        <v>0</v>
      </c>
      <c r="T155" s="119">
        <f>VLOOKUP(C155,'Talente &amp; Stuff'!AF:BG,18,FALSE)</f>
        <v>0</v>
      </c>
      <c r="U155" s="89">
        <f>VLOOKUP(C155,'Talente &amp; Stuff'!AF:BG,19,FALSE)</f>
        <v>0</v>
      </c>
      <c r="V155" s="47">
        <f>VLOOKUP(C155,'Talente &amp; Stuff'!AF:BG,20,FALSE)</f>
        <v>0</v>
      </c>
      <c r="W155" s="127">
        <f>VLOOKUP(C155,'Talente &amp; Stuff'!AF:BG,21,FALSE)</f>
        <v>0</v>
      </c>
      <c r="X155" s="127">
        <f>VLOOKUP(C155,'Talente &amp; Stuff'!AF:BG,22,FALSE)</f>
        <v>0</v>
      </c>
      <c r="Y155" s="165">
        <f t="shared" si="16"/>
        <v>0</v>
      </c>
      <c r="Z155" s="44">
        <f t="shared" si="17"/>
        <v>0</v>
      </c>
      <c r="AA155" s="125">
        <f>VLOOKUP(C155,'Talente &amp; Stuff'!AF:BG,25,FALSE)</f>
        <v>0</v>
      </c>
      <c r="AB155" s="160">
        <f>VLOOKUP(C155,'Talente &amp; Stuff'!AF:BG,26,FALSE)</f>
        <v>0</v>
      </c>
      <c r="AC155" s="127">
        <f>VLOOKUP(C155,'Talente &amp; Stuff'!AF:BG,27,FALSE)</f>
        <v>0</v>
      </c>
      <c r="AD155" s="125">
        <f>VLOOKUP(C155,'Talente &amp; Stuff'!AF:BG,28,FALSE)</f>
        <v>0</v>
      </c>
      <c r="AE155" s="28"/>
    </row>
    <row r="156" spans="2:31" s="148" customFormat="1" ht="15" hidden="1" customHeight="1" outlineLevel="2">
      <c r="B156" s="148">
        <v>4</v>
      </c>
      <c r="C156" s="177" t="str">
        <f>Attribute!C156</f>
        <v>---</v>
      </c>
      <c r="D156" s="86" t="str">
        <f>VLOOKUP(C156,'Talente &amp; Stuff'!AF:BG,2,FALSE)</f>
        <v>--/--/--</v>
      </c>
      <c r="E156" s="167" t="str">
        <f>VLOOKUP(C156,'Talente &amp; Stuff'!AF:BG,3,FALSE)</f>
        <v>-</v>
      </c>
      <c r="F156" s="120">
        <f>VLOOKUP(C156,'Talente &amp; Stuff'!AF:BG,4,FALSE)</f>
        <v>0</v>
      </c>
      <c r="G156" s="117">
        <f>VLOOKUP(C156,'Talente &amp; Stuff'!AF:BG,5,FALSE)</f>
        <v>0</v>
      </c>
      <c r="H156" s="117">
        <f>VLOOKUP(C156,'Talente &amp; Stuff'!AF:BG,6,FALSE)</f>
        <v>0</v>
      </c>
      <c r="I156" s="117">
        <f>VLOOKUP(C156,'Talente &amp; Stuff'!AF:BG,7,FALSE)</f>
        <v>0</v>
      </c>
      <c r="J156" s="117">
        <f>VLOOKUP(C156,'Talente &amp; Stuff'!AF:BG,8,FALSE)</f>
        <v>0</v>
      </c>
      <c r="K156" s="117">
        <f>VLOOKUP(C156,'Talente &amp; Stuff'!AF:BG,9,FALSE)</f>
        <v>0</v>
      </c>
      <c r="L156" s="117">
        <f>VLOOKUP(C156,'Talente &amp; Stuff'!AF:BG,10,FALSE)</f>
        <v>0</v>
      </c>
      <c r="M156" s="121">
        <f>VLOOKUP(C156,'Talente &amp; Stuff'!AF:BG,11,FALSE)</f>
        <v>0</v>
      </c>
      <c r="N156" s="47">
        <f>VLOOKUP(C156,'Talente &amp; Stuff'!AF:BG,12,FALSE)</f>
        <v>0</v>
      </c>
      <c r="O156" s="3">
        <f>VLOOKUP(C156,'Talente &amp; Stuff'!AF:BG,13,FALSE)</f>
        <v>0</v>
      </c>
      <c r="P156" s="174">
        <f>VLOOKUP(C156,'Talente &amp; Stuff'!AF:BG,14,FALSE)</f>
        <v>0</v>
      </c>
      <c r="Q156" s="114">
        <f>VLOOKUP(C156,'Talente &amp; Stuff'!AF:BG,15,FALSE)</f>
        <v>0</v>
      </c>
      <c r="R156" s="117">
        <f>VLOOKUP(C156,'Talente &amp; Stuff'!AF:BG,16,FALSE)</f>
        <v>0</v>
      </c>
      <c r="S156" s="119">
        <f>VLOOKUP(C156,'Talente &amp; Stuff'!AF:BG,17,FALSE)</f>
        <v>0</v>
      </c>
      <c r="T156" s="119">
        <f>VLOOKUP(C156,'Talente &amp; Stuff'!AF:BG,18,FALSE)</f>
        <v>0</v>
      </c>
      <c r="U156" s="89">
        <f>VLOOKUP(C156,'Talente &amp; Stuff'!AF:BG,19,FALSE)</f>
        <v>0</v>
      </c>
      <c r="V156" s="47">
        <f>VLOOKUP(C156,'Talente &amp; Stuff'!AF:BG,20,FALSE)</f>
        <v>0</v>
      </c>
      <c r="W156" s="127">
        <f>VLOOKUP(C156,'Talente &amp; Stuff'!AF:BG,21,FALSE)</f>
        <v>0</v>
      </c>
      <c r="X156" s="127">
        <f>VLOOKUP(C156,'Talente &amp; Stuff'!AF:BG,22,FALSE)</f>
        <v>0</v>
      </c>
      <c r="Y156" s="165">
        <f t="shared" si="16"/>
        <v>0</v>
      </c>
      <c r="Z156" s="44">
        <f t="shared" si="17"/>
        <v>0</v>
      </c>
      <c r="AA156" s="125">
        <f>VLOOKUP(C156,'Talente &amp; Stuff'!AF:BG,25,FALSE)</f>
        <v>0</v>
      </c>
      <c r="AB156" s="160">
        <f>VLOOKUP(C156,'Talente &amp; Stuff'!AF:BG,26,FALSE)</f>
        <v>0</v>
      </c>
      <c r="AC156" s="127">
        <f>VLOOKUP(C156,'Talente &amp; Stuff'!AF:BG,27,FALSE)</f>
        <v>0</v>
      </c>
      <c r="AD156" s="125">
        <f>VLOOKUP(C156,'Talente &amp; Stuff'!AF:BG,28,FALSE)</f>
        <v>0</v>
      </c>
      <c r="AE156" s="28"/>
    </row>
    <row r="157" spans="2:31" s="148" customFormat="1" ht="15" hidden="1" customHeight="1" outlineLevel="2">
      <c r="B157" s="148">
        <v>5</v>
      </c>
      <c r="C157" s="177" t="str">
        <f>Attribute!C157</f>
        <v>---</v>
      </c>
      <c r="D157" s="86" t="str">
        <f>VLOOKUP(C157,'Talente &amp; Stuff'!AF:BG,2,FALSE)</f>
        <v>--/--/--</v>
      </c>
      <c r="E157" s="167" t="str">
        <f>VLOOKUP(C157,'Talente &amp; Stuff'!AF:BG,3,FALSE)</f>
        <v>-</v>
      </c>
      <c r="F157" s="120">
        <f>VLOOKUP(C157,'Talente &amp; Stuff'!AF:BG,4,FALSE)</f>
        <v>0</v>
      </c>
      <c r="G157" s="117">
        <f>VLOOKUP(C157,'Talente &amp; Stuff'!AF:BG,5,FALSE)</f>
        <v>0</v>
      </c>
      <c r="H157" s="117">
        <f>VLOOKUP(C157,'Talente &amp; Stuff'!AF:BG,6,FALSE)</f>
        <v>0</v>
      </c>
      <c r="I157" s="117">
        <f>VLOOKUP(C157,'Talente &amp; Stuff'!AF:BG,7,FALSE)</f>
        <v>0</v>
      </c>
      <c r="J157" s="117">
        <f>VLOOKUP(C157,'Talente &amp; Stuff'!AF:BG,8,FALSE)</f>
        <v>0</v>
      </c>
      <c r="K157" s="117">
        <f>VLOOKUP(C157,'Talente &amp; Stuff'!AF:BG,9,FALSE)</f>
        <v>0</v>
      </c>
      <c r="L157" s="117">
        <f>VLOOKUP(C157,'Talente &amp; Stuff'!AF:BG,10,FALSE)</f>
        <v>0</v>
      </c>
      <c r="M157" s="121">
        <f>VLOOKUP(C157,'Talente &amp; Stuff'!AF:BG,11,FALSE)</f>
        <v>0</v>
      </c>
      <c r="N157" s="47">
        <f>VLOOKUP(C157,'Talente &amp; Stuff'!AF:BG,12,FALSE)</f>
        <v>0</v>
      </c>
      <c r="O157" s="3">
        <f>VLOOKUP(C157,'Talente &amp; Stuff'!AF:BG,13,FALSE)</f>
        <v>0</v>
      </c>
      <c r="P157" s="174">
        <f>VLOOKUP(C157,'Talente &amp; Stuff'!AF:BG,14,FALSE)</f>
        <v>0</v>
      </c>
      <c r="Q157" s="114">
        <f>VLOOKUP(C157,'Talente &amp; Stuff'!AF:BG,15,FALSE)</f>
        <v>0</v>
      </c>
      <c r="R157" s="117">
        <f>VLOOKUP(C157,'Talente &amp; Stuff'!AF:BG,16,FALSE)</f>
        <v>0</v>
      </c>
      <c r="S157" s="119">
        <f>VLOOKUP(C157,'Talente &amp; Stuff'!AF:BG,17,FALSE)</f>
        <v>0</v>
      </c>
      <c r="T157" s="119">
        <f>VLOOKUP(C157,'Talente &amp; Stuff'!AF:BG,18,FALSE)</f>
        <v>0</v>
      </c>
      <c r="U157" s="89">
        <f>VLOOKUP(C157,'Talente &amp; Stuff'!AF:BG,19,FALSE)</f>
        <v>0</v>
      </c>
      <c r="V157" s="47">
        <f>VLOOKUP(C157,'Talente &amp; Stuff'!AF:BG,20,FALSE)</f>
        <v>0</v>
      </c>
      <c r="W157" s="127">
        <f>VLOOKUP(C157,'Talente &amp; Stuff'!AF:BG,21,FALSE)</f>
        <v>0</v>
      </c>
      <c r="X157" s="127">
        <f>VLOOKUP(C157,'Talente &amp; Stuff'!AF:BG,22,FALSE)</f>
        <v>0</v>
      </c>
      <c r="Y157" s="165">
        <f t="shared" si="16"/>
        <v>0</v>
      </c>
      <c r="Z157" s="44">
        <f t="shared" si="17"/>
        <v>0</v>
      </c>
      <c r="AA157" s="125">
        <f>VLOOKUP(C157,'Talente &amp; Stuff'!AF:BG,25,FALSE)</f>
        <v>0</v>
      </c>
      <c r="AB157" s="160">
        <f>VLOOKUP(C157,'Talente &amp; Stuff'!AF:BG,26,FALSE)</f>
        <v>0</v>
      </c>
      <c r="AC157" s="127">
        <f>VLOOKUP(C157,'Talente &amp; Stuff'!AF:BG,27,FALSE)</f>
        <v>0</v>
      </c>
      <c r="AD157" s="125">
        <f>VLOOKUP(C157,'Talente &amp; Stuff'!AF:BG,28,FALSE)</f>
        <v>0</v>
      </c>
      <c r="AE157" s="28"/>
    </row>
    <row r="158" spans="2:31" s="148" customFormat="1" ht="15" hidden="1" customHeight="1" outlineLevel="2">
      <c r="B158" s="148">
        <v>6</v>
      </c>
      <c r="C158" s="177" t="str">
        <f>Attribute!C158</f>
        <v>---</v>
      </c>
      <c r="D158" s="86" t="str">
        <f>VLOOKUP(C158,'Talente &amp; Stuff'!AF:BG,2,FALSE)</f>
        <v>--/--/--</v>
      </c>
      <c r="E158" s="167" t="str">
        <f>VLOOKUP(C158,'Talente &amp; Stuff'!AF:BG,3,FALSE)</f>
        <v>-</v>
      </c>
      <c r="F158" s="120">
        <f>VLOOKUP(C158,'Talente &amp; Stuff'!AF:BG,4,FALSE)</f>
        <v>0</v>
      </c>
      <c r="G158" s="117">
        <f>VLOOKUP(C158,'Talente &amp; Stuff'!AF:BG,5,FALSE)</f>
        <v>0</v>
      </c>
      <c r="H158" s="117">
        <f>VLOOKUP(C158,'Talente &amp; Stuff'!AF:BG,6,FALSE)</f>
        <v>0</v>
      </c>
      <c r="I158" s="117">
        <f>VLOOKUP(C158,'Talente &amp; Stuff'!AF:BG,7,FALSE)</f>
        <v>0</v>
      </c>
      <c r="J158" s="117">
        <f>VLOOKUP(C158,'Talente &amp; Stuff'!AF:BG,8,FALSE)</f>
        <v>0</v>
      </c>
      <c r="K158" s="117">
        <f>VLOOKUP(C158,'Talente &amp; Stuff'!AF:BG,9,FALSE)</f>
        <v>0</v>
      </c>
      <c r="L158" s="117">
        <f>VLOOKUP(C158,'Talente &amp; Stuff'!AF:BG,10,FALSE)</f>
        <v>0</v>
      </c>
      <c r="M158" s="121">
        <f>VLOOKUP(C158,'Talente &amp; Stuff'!AF:BG,11,FALSE)</f>
        <v>0</v>
      </c>
      <c r="N158" s="47">
        <f>VLOOKUP(C158,'Talente &amp; Stuff'!AF:BG,12,FALSE)</f>
        <v>0</v>
      </c>
      <c r="O158" s="3">
        <f>VLOOKUP(C158,'Talente &amp; Stuff'!AF:BG,13,FALSE)</f>
        <v>0</v>
      </c>
      <c r="P158" s="174">
        <f>VLOOKUP(C158,'Talente &amp; Stuff'!AF:BG,14,FALSE)</f>
        <v>0</v>
      </c>
      <c r="Q158" s="114">
        <f>VLOOKUP(C158,'Talente &amp; Stuff'!AF:BG,15,FALSE)</f>
        <v>0</v>
      </c>
      <c r="R158" s="117">
        <f>VLOOKUP(C158,'Talente &amp; Stuff'!AF:BG,16,FALSE)</f>
        <v>0</v>
      </c>
      <c r="S158" s="119">
        <f>VLOOKUP(C158,'Talente &amp; Stuff'!AF:BG,17,FALSE)</f>
        <v>0</v>
      </c>
      <c r="T158" s="119">
        <f>VLOOKUP(C158,'Talente &amp; Stuff'!AF:BG,18,FALSE)</f>
        <v>0</v>
      </c>
      <c r="U158" s="89">
        <f>VLOOKUP(C158,'Talente &amp; Stuff'!AF:BG,19,FALSE)</f>
        <v>0</v>
      </c>
      <c r="V158" s="47">
        <f>VLOOKUP(C158,'Talente &amp; Stuff'!AF:BG,20,FALSE)</f>
        <v>0</v>
      </c>
      <c r="W158" s="127">
        <f>VLOOKUP(C158,'Talente &amp; Stuff'!AF:BG,21,FALSE)</f>
        <v>0</v>
      </c>
      <c r="X158" s="127">
        <f>VLOOKUP(C158,'Talente &amp; Stuff'!AF:BG,22,FALSE)</f>
        <v>0</v>
      </c>
      <c r="Y158" s="165">
        <f t="shared" si="16"/>
        <v>0</v>
      </c>
      <c r="Z158" s="44">
        <f t="shared" si="17"/>
        <v>0</v>
      </c>
      <c r="AA158" s="125">
        <f>VLOOKUP(C158,'Talente &amp; Stuff'!AF:BG,25,FALSE)</f>
        <v>0</v>
      </c>
      <c r="AB158" s="160">
        <f>VLOOKUP(C158,'Talente &amp; Stuff'!AF:BG,26,FALSE)</f>
        <v>0</v>
      </c>
      <c r="AC158" s="127">
        <f>VLOOKUP(C158,'Talente &amp; Stuff'!AF:BG,27,FALSE)</f>
        <v>0</v>
      </c>
      <c r="AD158" s="125">
        <f>VLOOKUP(C158,'Talente &amp; Stuff'!AF:BG,28,FALSE)</f>
        <v>0</v>
      </c>
      <c r="AE158" s="28"/>
    </row>
    <row r="159" spans="2:31" s="148" customFormat="1" ht="15" hidden="1" customHeight="1" outlineLevel="2">
      <c r="B159" s="148">
        <v>7</v>
      </c>
      <c r="C159" s="177" t="str">
        <f>Attribute!C159</f>
        <v>---</v>
      </c>
      <c r="D159" s="86" t="str">
        <f>VLOOKUP(C159,'Talente &amp; Stuff'!AF:BG,2,FALSE)</f>
        <v>--/--/--</v>
      </c>
      <c r="E159" s="167" t="str">
        <f>VLOOKUP(C159,'Talente &amp; Stuff'!AF:BG,3,FALSE)</f>
        <v>-</v>
      </c>
      <c r="F159" s="120">
        <f>VLOOKUP(C159,'Talente &amp; Stuff'!AF:BG,4,FALSE)</f>
        <v>0</v>
      </c>
      <c r="G159" s="117">
        <f>VLOOKUP(C159,'Talente &amp; Stuff'!AF:BG,5,FALSE)</f>
        <v>0</v>
      </c>
      <c r="H159" s="117">
        <f>VLOOKUP(C159,'Talente &amp; Stuff'!AF:BG,6,FALSE)</f>
        <v>0</v>
      </c>
      <c r="I159" s="117">
        <f>VLOOKUP(C159,'Talente &amp; Stuff'!AF:BG,7,FALSE)</f>
        <v>0</v>
      </c>
      <c r="J159" s="117">
        <f>VLOOKUP(C159,'Talente &amp; Stuff'!AF:BG,8,FALSE)</f>
        <v>0</v>
      </c>
      <c r="K159" s="117">
        <f>VLOOKUP(C159,'Talente &amp; Stuff'!AF:BG,9,FALSE)</f>
        <v>0</v>
      </c>
      <c r="L159" s="117">
        <f>VLOOKUP(C159,'Talente &amp; Stuff'!AF:BG,10,FALSE)</f>
        <v>0</v>
      </c>
      <c r="M159" s="121">
        <f>VLOOKUP(C159,'Talente &amp; Stuff'!AF:BG,11,FALSE)</f>
        <v>0</v>
      </c>
      <c r="N159" s="47">
        <f>VLOOKUP(C159,'Talente &amp; Stuff'!AF:BG,12,FALSE)</f>
        <v>0</v>
      </c>
      <c r="O159" s="3">
        <f>VLOOKUP(C159,'Talente &amp; Stuff'!AF:BG,13,FALSE)</f>
        <v>0</v>
      </c>
      <c r="P159" s="174">
        <f>VLOOKUP(C159,'Talente &amp; Stuff'!AF:BG,14,FALSE)</f>
        <v>0</v>
      </c>
      <c r="Q159" s="114">
        <f>VLOOKUP(C159,'Talente &amp; Stuff'!AF:BG,15,FALSE)</f>
        <v>0</v>
      </c>
      <c r="R159" s="117">
        <f>VLOOKUP(C159,'Talente &amp; Stuff'!AF:BG,16,FALSE)</f>
        <v>0</v>
      </c>
      <c r="S159" s="119">
        <f>VLOOKUP(C159,'Talente &amp; Stuff'!AF:BG,17,FALSE)</f>
        <v>0</v>
      </c>
      <c r="T159" s="119">
        <f>VLOOKUP(C159,'Talente &amp; Stuff'!AF:BG,18,FALSE)</f>
        <v>0</v>
      </c>
      <c r="U159" s="89">
        <f>VLOOKUP(C159,'Talente &amp; Stuff'!AF:BG,19,FALSE)</f>
        <v>0</v>
      </c>
      <c r="V159" s="47">
        <f>VLOOKUP(C159,'Talente &amp; Stuff'!AF:BG,20,FALSE)</f>
        <v>0</v>
      </c>
      <c r="W159" s="127">
        <f>VLOOKUP(C159,'Talente &amp; Stuff'!AF:BG,21,FALSE)</f>
        <v>0</v>
      </c>
      <c r="X159" s="127">
        <f>VLOOKUP(C159,'Talente &amp; Stuff'!AF:BG,22,FALSE)</f>
        <v>0</v>
      </c>
      <c r="Y159" s="165">
        <f t="shared" si="16"/>
        <v>0</v>
      </c>
      <c r="Z159" s="44">
        <f t="shared" si="17"/>
        <v>0</v>
      </c>
      <c r="AA159" s="125">
        <f>VLOOKUP(C159,'Talente &amp; Stuff'!AF:BG,25,FALSE)</f>
        <v>0</v>
      </c>
      <c r="AB159" s="160">
        <f>VLOOKUP(C159,'Talente &amp; Stuff'!AF:BG,26,FALSE)</f>
        <v>0</v>
      </c>
      <c r="AC159" s="127">
        <f>VLOOKUP(C159,'Talente &amp; Stuff'!AF:BG,27,FALSE)</f>
        <v>0</v>
      </c>
      <c r="AD159" s="125">
        <f>VLOOKUP(C159,'Talente &amp; Stuff'!AF:BG,28,FALSE)</f>
        <v>0</v>
      </c>
      <c r="AE159" s="28"/>
    </row>
    <row r="160" spans="2:31" s="148" customFormat="1" ht="15" hidden="1" customHeight="1" outlineLevel="2">
      <c r="B160" s="148">
        <v>8</v>
      </c>
      <c r="C160" s="177" t="str">
        <f>Attribute!C160</f>
        <v>---</v>
      </c>
      <c r="D160" s="86" t="str">
        <f>VLOOKUP(C160,'Talente &amp; Stuff'!AF:BG,2,FALSE)</f>
        <v>--/--/--</v>
      </c>
      <c r="E160" s="167" t="str">
        <f>VLOOKUP(C160,'Talente &amp; Stuff'!AF:BG,3,FALSE)</f>
        <v>-</v>
      </c>
      <c r="F160" s="120">
        <f>VLOOKUP(C160,'Talente &amp; Stuff'!AF:BG,4,FALSE)</f>
        <v>0</v>
      </c>
      <c r="G160" s="117">
        <f>VLOOKUP(C160,'Talente &amp; Stuff'!AF:BG,5,FALSE)</f>
        <v>0</v>
      </c>
      <c r="H160" s="117">
        <f>VLOOKUP(C160,'Talente &amp; Stuff'!AF:BG,6,FALSE)</f>
        <v>0</v>
      </c>
      <c r="I160" s="117">
        <f>VLOOKUP(C160,'Talente &amp; Stuff'!AF:BG,7,FALSE)</f>
        <v>0</v>
      </c>
      <c r="J160" s="117">
        <f>VLOOKUP(C160,'Talente &amp; Stuff'!AF:BG,8,FALSE)</f>
        <v>0</v>
      </c>
      <c r="K160" s="117">
        <f>VLOOKUP(C160,'Talente &amp; Stuff'!AF:BG,9,FALSE)</f>
        <v>0</v>
      </c>
      <c r="L160" s="117">
        <f>VLOOKUP(C160,'Talente &amp; Stuff'!AF:BG,10,FALSE)</f>
        <v>0</v>
      </c>
      <c r="M160" s="121">
        <f>VLOOKUP(C160,'Talente &amp; Stuff'!AF:BG,11,FALSE)</f>
        <v>0</v>
      </c>
      <c r="N160" s="47">
        <f>VLOOKUP(C160,'Talente &amp; Stuff'!AF:BG,12,FALSE)</f>
        <v>0</v>
      </c>
      <c r="O160" s="3">
        <f>VLOOKUP(C160,'Talente &amp; Stuff'!AF:BG,13,FALSE)</f>
        <v>0</v>
      </c>
      <c r="P160" s="174">
        <f>VLOOKUP(C160,'Talente &amp; Stuff'!AF:BG,14,FALSE)</f>
        <v>0</v>
      </c>
      <c r="Q160" s="114">
        <f>VLOOKUP(C160,'Talente &amp; Stuff'!AF:BG,15,FALSE)</f>
        <v>0</v>
      </c>
      <c r="R160" s="117">
        <f>VLOOKUP(C160,'Talente &amp; Stuff'!AF:BG,16,FALSE)</f>
        <v>0</v>
      </c>
      <c r="S160" s="119">
        <f>VLOOKUP(C160,'Talente &amp; Stuff'!AF:BG,17,FALSE)</f>
        <v>0</v>
      </c>
      <c r="T160" s="119">
        <f>VLOOKUP(C160,'Talente &amp; Stuff'!AF:BG,18,FALSE)</f>
        <v>0</v>
      </c>
      <c r="U160" s="89">
        <f>VLOOKUP(C160,'Talente &amp; Stuff'!AF:BG,19,FALSE)</f>
        <v>0</v>
      </c>
      <c r="V160" s="47">
        <f>VLOOKUP(C160,'Talente &amp; Stuff'!AF:BG,20,FALSE)</f>
        <v>0</v>
      </c>
      <c r="W160" s="127">
        <f>VLOOKUP(C160,'Talente &amp; Stuff'!AF:BG,21,FALSE)</f>
        <v>0</v>
      </c>
      <c r="X160" s="127">
        <f>VLOOKUP(C160,'Talente &amp; Stuff'!AF:BG,22,FALSE)</f>
        <v>0</v>
      </c>
      <c r="Y160" s="165">
        <f t="shared" si="16"/>
        <v>0</v>
      </c>
      <c r="Z160" s="44">
        <f t="shared" si="17"/>
        <v>0</v>
      </c>
      <c r="AA160" s="125">
        <f>VLOOKUP(C160,'Talente &amp; Stuff'!AF:BG,25,FALSE)</f>
        <v>0</v>
      </c>
      <c r="AB160" s="160">
        <f>VLOOKUP(C160,'Talente &amp; Stuff'!AF:BG,26,FALSE)</f>
        <v>0</v>
      </c>
      <c r="AC160" s="127">
        <f>VLOOKUP(C160,'Talente &amp; Stuff'!AF:BG,27,FALSE)</f>
        <v>0</v>
      </c>
      <c r="AD160" s="125">
        <f>VLOOKUP(C160,'Talente &amp; Stuff'!AF:BG,28,FALSE)</f>
        <v>0</v>
      </c>
      <c r="AE160" s="28"/>
    </row>
    <row r="161" spans="2:31" s="148" customFormat="1" ht="15" hidden="1" customHeight="1" outlineLevel="2">
      <c r="B161" s="148">
        <v>9</v>
      </c>
      <c r="C161" s="177" t="str">
        <f>Attribute!C161</f>
        <v>---</v>
      </c>
      <c r="D161" s="86" t="str">
        <f>VLOOKUP(C161,'Talente &amp; Stuff'!AF:BG,2,FALSE)</f>
        <v>--/--/--</v>
      </c>
      <c r="E161" s="167" t="str">
        <f>VLOOKUP(C161,'Talente &amp; Stuff'!AF:BG,3,FALSE)</f>
        <v>-</v>
      </c>
      <c r="F161" s="120">
        <f>VLOOKUP(C161,'Talente &amp; Stuff'!AF:BG,4,FALSE)</f>
        <v>0</v>
      </c>
      <c r="G161" s="117">
        <f>VLOOKUP(C161,'Talente &amp; Stuff'!AF:BG,5,FALSE)</f>
        <v>0</v>
      </c>
      <c r="H161" s="117">
        <f>VLOOKUP(C161,'Talente &amp; Stuff'!AF:BG,6,FALSE)</f>
        <v>0</v>
      </c>
      <c r="I161" s="117">
        <f>VLOOKUP(C161,'Talente &amp; Stuff'!AF:BG,7,FALSE)</f>
        <v>0</v>
      </c>
      <c r="J161" s="117">
        <f>VLOOKUP(C161,'Talente &amp; Stuff'!AF:BG,8,FALSE)</f>
        <v>0</v>
      </c>
      <c r="K161" s="117">
        <f>VLOOKUP(C161,'Talente &amp; Stuff'!AF:BG,9,FALSE)</f>
        <v>0</v>
      </c>
      <c r="L161" s="117">
        <f>VLOOKUP(C161,'Talente &amp; Stuff'!AF:BG,10,FALSE)</f>
        <v>0</v>
      </c>
      <c r="M161" s="121">
        <f>VLOOKUP(C161,'Talente &amp; Stuff'!AF:BG,11,FALSE)</f>
        <v>0</v>
      </c>
      <c r="N161" s="47">
        <f>VLOOKUP(C161,'Talente &amp; Stuff'!AF:BG,12,FALSE)</f>
        <v>0</v>
      </c>
      <c r="O161" s="3">
        <f>VLOOKUP(C161,'Talente &amp; Stuff'!AF:BG,13,FALSE)</f>
        <v>0</v>
      </c>
      <c r="P161" s="174">
        <f>VLOOKUP(C161,'Talente &amp; Stuff'!AF:BG,14,FALSE)</f>
        <v>0</v>
      </c>
      <c r="Q161" s="114">
        <f>VLOOKUP(C161,'Talente &amp; Stuff'!AF:BG,15,FALSE)</f>
        <v>0</v>
      </c>
      <c r="R161" s="117">
        <f>VLOOKUP(C161,'Talente &amp; Stuff'!AF:BG,16,FALSE)</f>
        <v>0</v>
      </c>
      <c r="S161" s="119">
        <f>VLOOKUP(C161,'Talente &amp; Stuff'!AF:BG,17,FALSE)</f>
        <v>0</v>
      </c>
      <c r="T161" s="119">
        <f>VLOOKUP(C161,'Talente &amp; Stuff'!AF:BG,18,FALSE)</f>
        <v>0</v>
      </c>
      <c r="U161" s="89">
        <f>VLOOKUP(C161,'Talente &amp; Stuff'!AF:BG,19,FALSE)</f>
        <v>0</v>
      </c>
      <c r="V161" s="47">
        <f>VLOOKUP(C161,'Talente &amp; Stuff'!AF:BG,20,FALSE)</f>
        <v>0</v>
      </c>
      <c r="W161" s="127">
        <f>VLOOKUP(C161,'Talente &amp; Stuff'!AF:BG,21,FALSE)</f>
        <v>0</v>
      </c>
      <c r="X161" s="127">
        <f>VLOOKUP(C161,'Talente &amp; Stuff'!AF:BG,22,FALSE)</f>
        <v>0</v>
      </c>
      <c r="Y161" s="165">
        <f t="shared" si="16"/>
        <v>0</v>
      </c>
      <c r="Z161" s="44">
        <f t="shared" si="17"/>
        <v>0</v>
      </c>
      <c r="AA161" s="125">
        <f>VLOOKUP(C161,'Talente &amp; Stuff'!AF:BG,25,FALSE)</f>
        <v>0</v>
      </c>
      <c r="AB161" s="160">
        <f>VLOOKUP(C161,'Talente &amp; Stuff'!AF:BG,26,FALSE)</f>
        <v>0</v>
      </c>
      <c r="AC161" s="127">
        <f>VLOOKUP(C161,'Talente &amp; Stuff'!AF:BG,27,FALSE)</f>
        <v>0</v>
      </c>
      <c r="AD161" s="125">
        <f>VLOOKUP(C161,'Talente &amp; Stuff'!AF:BG,28,FALSE)</f>
        <v>0</v>
      </c>
      <c r="AE161" s="28"/>
    </row>
    <row r="162" spans="2:31" s="148" customFormat="1" ht="15" hidden="1" customHeight="1" outlineLevel="2">
      <c r="B162" s="148">
        <v>10</v>
      </c>
      <c r="C162" s="177" t="str">
        <f>Attribute!C162</f>
        <v>---</v>
      </c>
      <c r="D162" s="86" t="str">
        <f>VLOOKUP(C162,'Talente &amp; Stuff'!AF:BG,2,FALSE)</f>
        <v>--/--/--</v>
      </c>
      <c r="E162" s="167" t="str">
        <f>VLOOKUP(C162,'Talente &amp; Stuff'!AF:BG,3,FALSE)</f>
        <v>-</v>
      </c>
      <c r="F162" s="120">
        <f>VLOOKUP(C162,'Talente &amp; Stuff'!AF:BG,4,FALSE)</f>
        <v>0</v>
      </c>
      <c r="G162" s="117">
        <f>VLOOKUP(C162,'Talente &amp; Stuff'!AF:BG,5,FALSE)</f>
        <v>0</v>
      </c>
      <c r="H162" s="117">
        <f>VLOOKUP(C162,'Talente &amp; Stuff'!AF:BG,6,FALSE)</f>
        <v>0</v>
      </c>
      <c r="I162" s="117">
        <f>VLOOKUP(C162,'Talente &amp; Stuff'!AF:BG,7,FALSE)</f>
        <v>0</v>
      </c>
      <c r="J162" s="117">
        <f>VLOOKUP(C162,'Talente &amp; Stuff'!AF:BG,8,FALSE)</f>
        <v>0</v>
      </c>
      <c r="K162" s="117">
        <f>VLOOKUP(C162,'Talente &amp; Stuff'!AF:BG,9,FALSE)</f>
        <v>0</v>
      </c>
      <c r="L162" s="117">
        <f>VLOOKUP(C162,'Talente &amp; Stuff'!AF:BG,10,FALSE)</f>
        <v>0</v>
      </c>
      <c r="M162" s="121">
        <f>VLOOKUP(C162,'Talente &amp; Stuff'!AF:BG,11,FALSE)</f>
        <v>0</v>
      </c>
      <c r="N162" s="47">
        <f>VLOOKUP(C162,'Talente &amp; Stuff'!AF:BG,12,FALSE)</f>
        <v>0</v>
      </c>
      <c r="O162" s="3">
        <f>VLOOKUP(C162,'Talente &amp; Stuff'!AF:BG,13,FALSE)</f>
        <v>0</v>
      </c>
      <c r="P162" s="174">
        <f>VLOOKUP(C162,'Talente &amp; Stuff'!AF:BG,14,FALSE)</f>
        <v>0</v>
      </c>
      <c r="Q162" s="114">
        <f>VLOOKUP(C162,'Talente &amp; Stuff'!AF:BG,15,FALSE)</f>
        <v>0</v>
      </c>
      <c r="R162" s="117">
        <f>VLOOKUP(C162,'Talente &amp; Stuff'!AF:BG,16,FALSE)</f>
        <v>0</v>
      </c>
      <c r="S162" s="119">
        <f>VLOOKUP(C162,'Talente &amp; Stuff'!AF:BG,17,FALSE)</f>
        <v>0</v>
      </c>
      <c r="T162" s="119">
        <f>VLOOKUP(C162,'Talente &amp; Stuff'!AF:BG,18,FALSE)</f>
        <v>0</v>
      </c>
      <c r="U162" s="89">
        <f>VLOOKUP(C162,'Talente &amp; Stuff'!AF:BG,19,FALSE)</f>
        <v>0</v>
      </c>
      <c r="V162" s="47">
        <f>VLOOKUP(C162,'Talente &amp; Stuff'!AF:BG,20,FALSE)</f>
        <v>0</v>
      </c>
      <c r="W162" s="127">
        <f>VLOOKUP(C162,'Talente &amp; Stuff'!AF:BG,21,FALSE)</f>
        <v>0</v>
      </c>
      <c r="X162" s="127">
        <f>VLOOKUP(C162,'Talente &amp; Stuff'!AF:BG,22,FALSE)</f>
        <v>0</v>
      </c>
      <c r="Y162" s="165">
        <f t="shared" si="16"/>
        <v>0</v>
      </c>
      <c r="Z162" s="44">
        <f t="shared" si="17"/>
        <v>0</v>
      </c>
      <c r="AA162" s="125">
        <f>VLOOKUP(C162,'Talente &amp; Stuff'!AF:BG,25,FALSE)</f>
        <v>0</v>
      </c>
      <c r="AB162" s="160">
        <f>VLOOKUP(C162,'Talente &amp; Stuff'!AF:BG,26,FALSE)</f>
        <v>0</v>
      </c>
      <c r="AC162" s="127">
        <f>VLOOKUP(C162,'Talente &amp; Stuff'!AF:BG,27,FALSE)</f>
        <v>0</v>
      </c>
      <c r="AD162" s="125">
        <f>VLOOKUP(C162,'Talente &amp; Stuff'!AF:BG,28,FALSE)</f>
        <v>0</v>
      </c>
      <c r="AE162" s="28"/>
    </row>
    <row r="163" spans="2:31" s="148" customFormat="1" ht="15" hidden="1" customHeight="1" outlineLevel="2">
      <c r="B163" s="148">
        <v>11</v>
      </c>
      <c r="C163" s="177" t="str">
        <f>Attribute!C163</f>
        <v>---</v>
      </c>
      <c r="D163" s="86" t="str">
        <f>VLOOKUP(C163,'Talente &amp; Stuff'!AF:BG,2,FALSE)</f>
        <v>--/--/--</v>
      </c>
      <c r="E163" s="167" t="str">
        <f>VLOOKUP(C163,'Talente &amp; Stuff'!AF:BG,3,FALSE)</f>
        <v>-</v>
      </c>
      <c r="F163" s="120">
        <f>VLOOKUP(C163,'Talente &amp; Stuff'!AF:BG,4,FALSE)</f>
        <v>0</v>
      </c>
      <c r="G163" s="117">
        <f>VLOOKUP(C163,'Talente &amp; Stuff'!AF:BG,5,FALSE)</f>
        <v>0</v>
      </c>
      <c r="H163" s="117">
        <f>VLOOKUP(C163,'Talente &amp; Stuff'!AF:BG,6,FALSE)</f>
        <v>0</v>
      </c>
      <c r="I163" s="117">
        <f>VLOOKUP(C163,'Talente &amp; Stuff'!AF:BG,7,FALSE)</f>
        <v>0</v>
      </c>
      <c r="J163" s="117">
        <f>VLOOKUP(C163,'Talente &amp; Stuff'!AF:BG,8,FALSE)</f>
        <v>0</v>
      </c>
      <c r="K163" s="117">
        <f>VLOOKUP(C163,'Talente &amp; Stuff'!AF:BG,9,FALSE)</f>
        <v>0</v>
      </c>
      <c r="L163" s="117">
        <f>VLOOKUP(C163,'Talente &amp; Stuff'!AF:BG,10,FALSE)</f>
        <v>0</v>
      </c>
      <c r="M163" s="121">
        <f>VLOOKUP(C163,'Talente &amp; Stuff'!AF:BG,11,FALSE)</f>
        <v>0</v>
      </c>
      <c r="N163" s="47">
        <f>VLOOKUP(C163,'Talente &amp; Stuff'!AF:BG,12,FALSE)</f>
        <v>0</v>
      </c>
      <c r="O163" s="3">
        <f>VLOOKUP(C163,'Talente &amp; Stuff'!AF:BG,13,FALSE)</f>
        <v>0</v>
      </c>
      <c r="P163" s="174">
        <f>VLOOKUP(C163,'Talente &amp; Stuff'!AF:BG,14,FALSE)</f>
        <v>0</v>
      </c>
      <c r="Q163" s="114">
        <f>VLOOKUP(C163,'Talente &amp; Stuff'!AF:BG,15,FALSE)</f>
        <v>0</v>
      </c>
      <c r="R163" s="117">
        <f>VLOOKUP(C163,'Talente &amp; Stuff'!AF:BG,16,FALSE)</f>
        <v>0</v>
      </c>
      <c r="S163" s="119">
        <f>VLOOKUP(C163,'Talente &amp; Stuff'!AF:BG,17,FALSE)</f>
        <v>0</v>
      </c>
      <c r="T163" s="119">
        <f>VLOOKUP(C163,'Talente &amp; Stuff'!AF:BG,18,FALSE)</f>
        <v>0</v>
      </c>
      <c r="U163" s="89">
        <f>VLOOKUP(C163,'Talente &amp; Stuff'!AF:BG,19,FALSE)</f>
        <v>0</v>
      </c>
      <c r="V163" s="47">
        <f>VLOOKUP(C163,'Talente &amp; Stuff'!AF:BG,20,FALSE)</f>
        <v>0</v>
      </c>
      <c r="W163" s="127">
        <f>VLOOKUP(C163,'Talente &amp; Stuff'!AF:BG,21,FALSE)</f>
        <v>0</v>
      </c>
      <c r="X163" s="127">
        <f>VLOOKUP(C163,'Talente &amp; Stuff'!AF:BG,22,FALSE)</f>
        <v>0</v>
      </c>
      <c r="Y163" s="165">
        <f t="shared" si="16"/>
        <v>0</v>
      </c>
      <c r="Z163" s="44">
        <f t="shared" si="17"/>
        <v>0</v>
      </c>
      <c r="AA163" s="125">
        <f>VLOOKUP(C163,'Talente &amp; Stuff'!AF:BG,25,FALSE)</f>
        <v>0</v>
      </c>
      <c r="AB163" s="160">
        <f>VLOOKUP(C163,'Talente &amp; Stuff'!AF:BG,26,FALSE)</f>
        <v>0</v>
      </c>
      <c r="AC163" s="127">
        <f>VLOOKUP(C163,'Talente &amp; Stuff'!AF:BG,27,FALSE)</f>
        <v>0</v>
      </c>
      <c r="AD163" s="125">
        <f>VLOOKUP(C163,'Talente &amp; Stuff'!AF:BG,28,FALSE)</f>
        <v>0</v>
      </c>
      <c r="AE163" s="28"/>
    </row>
    <row r="164" spans="2:31" s="148" customFormat="1" ht="15" hidden="1" customHeight="1" outlineLevel="2">
      <c r="B164" s="148">
        <v>12</v>
      </c>
      <c r="C164" s="177" t="str">
        <f>Attribute!C164</f>
        <v>---</v>
      </c>
      <c r="D164" s="86" t="str">
        <f>VLOOKUP(C164,'Talente &amp; Stuff'!AF:BG,2,FALSE)</f>
        <v>--/--/--</v>
      </c>
      <c r="E164" s="167" t="str">
        <f>VLOOKUP(C164,'Talente &amp; Stuff'!AF:BG,3,FALSE)</f>
        <v>-</v>
      </c>
      <c r="F164" s="120">
        <f>VLOOKUP(C164,'Talente &amp; Stuff'!AF:BG,4,FALSE)</f>
        <v>0</v>
      </c>
      <c r="G164" s="117">
        <f>VLOOKUP(C164,'Talente &amp; Stuff'!AF:BG,5,FALSE)</f>
        <v>0</v>
      </c>
      <c r="H164" s="117">
        <f>VLOOKUP(C164,'Talente &amp; Stuff'!AF:BG,6,FALSE)</f>
        <v>0</v>
      </c>
      <c r="I164" s="117">
        <f>VLOOKUP(C164,'Talente &amp; Stuff'!AF:BG,7,FALSE)</f>
        <v>0</v>
      </c>
      <c r="J164" s="117">
        <f>VLOOKUP(C164,'Talente &amp; Stuff'!AF:BG,8,FALSE)</f>
        <v>0</v>
      </c>
      <c r="K164" s="117">
        <f>VLOOKUP(C164,'Talente &amp; Stuff'!AF:BG,9,FALSE)</f>
        <v>0</v>
      </c>
      <c r="L164" s="117">
        <f>VLOOKUP(C164,'Talente &amp; Stuff'!AF:BG,10,FALSE)</f>
        <v>0</v>
      </c>
      <c r="M164" s="121">
        <f>VLOOKUP(C164,'Talente &amp; Stuff'!AF:BG,11,FALSE)</f>
        <v>0</v>
      </c>
      <c r="N164" s="47">
        <f>VLOOKUP(C164,'Talente &amp; Stuff'!AF:BG,12,FALSE)</f>
        <v>0</v>
      </c>
      <c r="O164" s="3">
        <f>VLOOKUP(C164,'Talente &amp; Stuff'!AF:BG,13,FALSE)</f>
        <v>0</v>
      </c>
      <c r="P164" s="174">
        <f>VLOOKUP(C164,'Talente &amp; Stuff'!AF:BG,14,FALSE)</f>
        <v>0</v>
      </c>
      <c r="Q164" s="114">
        <f>VLOOKUP(C164,'Talente &amp; Stuff'!AF:BG,15,FALSE)</f>
        <v>0</v>
      </c>
      <c r="R164" s="117">
        <f>VLOOKUP(C164,'Talente &amp; Stuff'!AF:BG,16,FALSE)</f>
        <v>0</v>
      </c>
      <c r="S164" s="119">
        <f>VLOOKUP(C164,'Talente &amp; Stuff'!AF:BG,17,FALSE)</f>
        <v>0</v>
      </c>
      <c r="T164" s="119">
        <f>VLOOKUP(C164,'Talente &amp; Stuff'!AF:BG,18,FALSE)</f>
        <v>0</v>
      </c>
      <c r="U164" s="89">
        <f>VLOOKUP(C164,'Talente &amp; Stuff'!AF:BG,19,FALSE)</f>
        <v>0</v>
      </c>
      <c r="V164" s="47">
        <f>VLOOKUP(C164,'Talente &amp; Stuff'!AF:BG,20,FALSE)</f>
        <v>0</v>
      </c>
      <c r="W164" s="127">
        <f>VLOOKUP(C164,'Talente &amp; Stuff'!AF:BG,21,FALSE)</f>
        <v>0</v>
      </c>
      <c r="X164" s="127">
        <f>VLOOKUP(C164,'Talente &amp; Stuff'!AF:BG,22,FALSE)</f>
        <v>0</v>
      </c>
      <c r="Y164" s="165">
        <f t="shared" si="16"/>
        <v>0</v>
      </c>
      <c r="Z164" s="44">
        <f t="shared" si="17"/>
        <v>0</v>
      </c>
      <c r="AA164" s="125">
        <f>VLOOKUP(C164,'Talente &amp; Stuff'!AF:BG,25,FALSE)</f>
        <v>0</v>
      </c>
      <c r="AB164" s="160">
        <f>VLOOKUP(C164,'Talente &amp; Stuff'!AF:BG,26,FALSE)</f>
        <v>0</v>
      </c>
      <c r="AC164" s="127">
        <f>VLOOKUP(C164,'Talente &amp; Stuff'!AF:BG,27,FALSE)</f>
        <v>0</v>
      </c>
      <c r="AD164" s="125">
        <f>VLOOKUP(C164,'Talente &amp; Stuff'!AF:BG,28,FALSE)</f>
        <v>0</v>
      </c>
      <c r="AE164" s="28"/>
    </row>
    <row r="165" spans="2:31" s="148" customFormat="1" ht="15" hidden="1" customHeight="1" outlineLevel="2">
      <c r="B165" s="148">
        <v>13</v>
      </c>
      <c r="C165" s="177" t="str">
        <f>Attribute!C165</f>
        <v>---</v>
      </c>
      <c r="D165" s="86" t="str">
        <f>VLOOKUP(C165,'Talente &amp; Stuff'!AF:BG,2,FALSE)</f>
        <v>--/--/--</v>
      </c>
      <c r="E165" s="167" t="str">
        <f>VLOOKUP(C165,'Talente &amp; Stuff'!AF:BG,3,FALSE)</f>
        <v>-</v>
      </c>
      <c r="F165" s="120">
        <f>VLOOKUP(C165,'Talente &amp; Stuff'!AF:BG,4,FALSE)</f>
        <v>0</v>
      </c>
      <c r="G165" s="117">
        <f>VLOOKUP(C165,'Talente &amp; Stuff'!AF:BG,5,FALSE)</f>
        <v>0</v>
      </c>
      <c r="H165" s="117">
        <f>VLOOKUP(C165,'Talente &amp; Stuff'!AF:BG,6,FALSE)</f>
        <v>0</v>
      </c>
      <c r="I165" s="117">
        <f>VLOOKUP(C165,'Talente &amp; Stuff'!AF:BG,7,FALSE)</f>
        <v>0</v>
      </c>
      <c r="J165" s="117">
        <f>VLOOKUP(C165,'Talente &amp; Stuff'!AF:BG,8,FALSE)</f>
        <v>0</v>
      </c>
      <c r="K165" s="117">
        <f>VLOOKUP(C165,'Talente &amp; Stuff'!AF:BG,9,FALSE)</f>
        <v>0</v>
      </c>
      <c r="L165" s="117">
        <f>VLOOKUP(C165,'Talente &amp; Stuff'!AF:BG,10,FALSE)</f>
        <v>0</v>
      </c>
      <c r="M165" s="121">
        <f>VLOOKUP(C165,'Talente &amp; Stuff'!AF:BG,11,FALSE)</f>
        <v>0</v>
      </c>
      <c r="N165" s="47">
        <f>VLOOKUP(C165,'Talente &amp; Stuff'!AF:BG,12,FALSE)</f>
        <v>0</v>
      </c>
      <c r="O165" s="3">
        <f>VLOOKUP(C165,'Talente &amp; Stuff'!AF:BG,13,FALSE)</f>
        <v>0</v>
      </c>
      <c r="P165" s="174">
        <f>VLOOKUP(C165,'Talente &amp; Stuff'!AF:BG,14,FALSE)</f>
        <v>0</v>
      </c>
      <c r="Q165" s="114">
        <f>VLOOKUP(C165,'Talente &amp; Stuff'!AF:BG,15,FALSE)</f>
        <v>0</v>
      </c>
      <c r="R165" s="117">
        <f>VLOOKUP(C165,'Talente &amp; Stuff'!AF:BG,16,FALSE)</f>
        <v>0</v>
      </c>
      <c r="S165" s="119">
        <f>VLOOKUP(C165,'Talente &amp; Stuff'!AF:BG,17,FALSE)</f>
        <v>0</v>
      </c>
      <c r="T165" s="119">
        <f>VLOOKUP(C165,'Talente &amp; Stuff'!AF:BG,18,FALSE)</f>
        <v>0</v>
      </c>
      <c r="U165" s="89">
        <f>VLOOKUP(C165,'Talente &amp; Stuff'!AF:BG,19,FALSE)</f>
        <v>0</v>
      </c>
      <c r="V165" s="47">
        <f>VLOOKUP(C165,'Talente &amp; Stuff'!AF:BG,20,FALSE)</f>
        <v>0</v>
      </c>
      <c r="W165" s="127">
        <f>VLOOKUP(C165,'Talente &amp; Stuff'!AF:BG,21,FALSE)</f>
        <v>0</v>
      </c>
      <c r="X165" s="127">
        <f>VLOOKUP(C165,'Talente &amp; Stuff'!AF:BG,22,FALSE)</f>
        <v>0</v>
      </c>
      <c r="Y165" s="165">
        <f t="shared" si="16"/>
        <v>0</v>
      </c>
      <c r="Z165" s="44">
        <f t="shared" si="17"/>
        <v>0</v>
      </c>
      <c r="AA165" s="125">
        <f>VLOOKUP(C165,'Talente &amp; Stuff'!AF:BG,25,FALSE)</f>
        <v>0</v>
      </c>
      <c r="AB165" s="160">
        <f>VLOOKUP(C165,'Talente &amp; Stuff'!AF:BG,26,FALSE)</f>
        <v>0</v>
      </c>
      <c r="AC165" s="127">
        <f>VLOOKUP(C165,'Talente &amp; Stuff'!AF:BG,27,FALSE)</f>
        <v>0</v>
      </c>
      <c r="AD165" s="125">
        <f>VLOOKUP(C165,'Talente &amp; Stuff'!AF:BG,28,FALSE)</f>
        <v>0</v>
      </c>
      <c r="AE165" s="28"/>
    </row>
    <row r="166" spans="2:31" s="148" customFormat="1" ht="15" hidden="1" customHeight="1" outlineLevel="2">
      <c r="B166" s="148">
        <v>14</v>
      </c>
      <c r="C166" s="177" t="str">
        <f>Attribute!C166</f>
        <v>---</v>
      </c>
      <c r="D166" s="86" t="str">
        <f>VLOOKUP(C166,'Talente &amp; Stuff'!AF:BG,2,FALSE)</f>
        <v>--/--/--</v>
      </c>
      <c r="E166" s="167" t="str">
        <f>VLOOKUP(C166,'Talente &amp; Stuff'!AF:BG,3,FALSE)</f>
        <v>-</v>
      </c>
      <c r="F166" s="120">
        <f>VLOOKUP(C166,'Talente &amp; Stuff'!AF:BG,4,FALSE)</f>
        <v>0</v>
      </c>
      <c r="G166" s="117">
        <f>VLOOKUP(C166,'Talente &amp; Stuff'!AF:BG,5,FALSE)</f>
        <v>0</v>
      </c>
      <c r="H166" s="117">
        <f>VLOOKUP(C166,'Talente &amp; Stuff'!AF:BG,6,FALSE)</f>
        <v>0</v>
      </c>
      <c r="I166" s="117">
        <f>VLOOKUP(C166,'Talente &amp; Stuff'!AF:BG,7,FALSE)</f>
        <v>0</v>
      </c>
      <c r="J166" s="117">
        <f>VLOOKUP(C166,'Talente &amp; Stuff'!AF:BG,8,FALSE)</f>
        <v>0</v>
      </c>
      <c r="K166" s="117">
        <f>VLOOKUP(C166,'Talente &amp; Stuff'!AF:BG,9,FALSE)</f>
        <v>0</v>
      </c>
      <c r="L166" s="117">
        <f>VLOOKUP(C166,'Talente &amp; Stuff'!AF:BG,10,FALSE)</f>
        <v>0</v>
      </c>
      <c r="M166" s="121">
        <f>VLOOKUP(C166,'Talente &amp; Stuff'!AF:BG,11,FALSE)</f>
        <v>0</v>
      </c>
      <c r="N166" s="47">
        <f>VLOOKUP(C166,'Talente &amp; Stuff'!AF:BG,12,FALSE)</f>
        <v>0</v>
      </c>
      <c r="O166" s="3">
        <f>VLOOKUP(C166,'Talente &amp; Stuff'!AF:BG,13,FALSE)</f>
        <v>0</v>
      </c>
      <c r="P166" s="174">
        <f>VLOOKUP(C166,'Talente &amp; Stuff'!AF:BG,14,FALSE)</f>
        <v>0</v>
      </c>
      <c r="Q166" s="114">
        <f>VLOOKUP(C166,'Talente &amp; Stuff'!AF:BG,15,FALSE)</f>
        <v>0</v>
      </c>
      <c r="R166" s="117">
        <f>VLOOKUP(C166,'Talente &amp; Stuff'!AF:BG,16,FALSE)</f>
        <v>0</v>
      </c>
      <c r="S166" s="119">
        <f>VLOOKUP(C166,'Talente &amp; Stuff'!AF:BG,17,FALSE)</f>
        <v>0</v>
      </c>
      <c r="T166" s="119">
        <f>VLOOKUP(C166,'Talente &amp; Stuff'!AF:BG,18,FALSE)</f>
        <v>0</v>
      </c>
      <c r="U166" s="89">
        <f>VLOOKUP(C166,'Talente &amp; Stuff'!AF:BG,19,FALSE)</f>
        <v>0</v>
      </c>
      <c r="V166" s="47">
        <f>VLOOKUP(C166,'Talente &amp; Stuff'!AF:BG,20,FALSE)</f>
        <v>0</v>
      </c>
      <c r="W166" s="127">
        <f>VLOOKUP(C166,'Talente &amp; Stuff'!AF:BG,21,FALSE)</f>
        <v>0</v>
      </c>
      <c r="X166" s="127">
        <f>VLOOKUP(C166,'Talente &amp; Stuff'!AF:BG,22,FALSE)</f>
        <v>0</v>
      </c>
      <c r="Y166" s="165">
        <f t="shared" si="16"/>
        <v>0</v>
      </c>
      <c r="Z166" s="44">
        <f t="shared" si="17"/>
        <v>0</v>
      </c>
      <c r="AA166" s="125">
        <f>VLOOKUP(C166,'Talente &amp; Stuff'!AF:BG,25,FALSE)</f>
        <v>0</v>
      </c>
      <c r="AB166" s="160">
        <f>VLOOKUP(C166,'Talente &amp; Stuff'!AF:BG,26,FALSE)</f>
        <v>0</v>
      </c>
      <c r="AC166" s="127">
        <f>VLOOKUP(C166,'Talente &amp; Stuff'!AF:BG,27,FALSE)</f>
        <v>0</v>
      </c>
      <c r="AD166" s="125">
        <f>VLOOKUP(C166,'Talente &amp; Stuff'!AF:BG,28,FALSE)</f>
        <v>0</v>
      </c>
      <c r="AE166" s="28"/>
    </row>
    <row r="167" spans="2:31" s="148" customFormat="1" ht="15" hidden="1" customHeight="1" outlineLevel="2">
      <c r="B167" s="148">
        <v>15</v>
      </c>
      <c r="C167" s="177" t="str">
        <f>Attribute!C167</f>
        <v>---</v>
      </c>
      <c r="D167" s="86" t="str">
        <f>VLOOKUP(C167,'Talente &amp; Stuff'!AF:BG,2,FALSE)</f>
        <v>--/--/--</v>
      </c>
      <c r="E167" s="167" t="str">
        <f>VLOOKUP(C167,'Talente &amp; Stuff'!AF:BG,3,FALSE)</f>
        <v>-</v>
      </c>
      <c r="F167" s="120">
        <f>VLOOKUP(C167,'Talente &amp; Stuff'!AF:BG,4,FALSE)</f>
        <v>0</v>
      </c>
      <c r="G167" s="117">
        <f>VLOOKUP(C167,'Talente &amp; Stuff'!AF:BG,5,FALSE)</f>
        <v>0</v>
      </c>
      <c r="H167" s="117">
        <f>VLOOKUP(C167,'Talente &amp; Stuff'!AF:BG,6,FALSE)</f>
        <v>0</v>
      </c>
      <c r="I167" s="117">
        <f>VLOOKUP(C167,'Talente &amp; Stuff'!AF:BG,7,FALSE)</f>
        <v>0</v>
      </c>
      <c r="J167" s="117">
        <f>VLOOKUP(C167,'Talente &amp; Stuff'!AF:BG,8,FALSE)</f>
        <v>0</v>
      </c>
      <c r="K167" s="117">
        <f>VLOOKUP(C167,'Talente &amp; Stuff'!AF:BG,9,FALSE)</f>
        <v>0</v>
      </c>
      <c r="L167" s="117">
        <f>VLOOKUP(C167,'Talente &amp; Stuff'!AF:BG,10,FALSE)</f>
        <v>0</v>
      </c>
      <c r="M167" s="121">
        <f>VLOOKUP(C167,'Talente &amp; Stuff'!AF:BG,11,FALSE)</f>
        <v>0</v>
      </c>
      <c r="N167" s="47">
        <f>VLOOKUP(C167,'Talente &amp; Stuff'!AF:BG,12,FALSE)</f>
        <v>0</v>
      </c>
      <c r="O167" s="3">
        <f>VLOOKUP(C167,'Talente &amp; Stuff'!AF:BG,13,FALSE)</f>
        <v>0</v>
      </c>
      <c r="P167" s="174">
        <f>VLOOKUP(C167,'Talente &amp; Stuff'!AF:BG,14,FALSE)</f>
        <v>0</v>
      </c>
      <c r="Q167" s="114">
        <f>VLOOKUP(C167,'Talente &amp; Stuff'!AF:BG,15,FALSE)</f>
        <v>0</v>
      </c>
      <c r="R167" s="117">
        <f>VLOOKUP(C167,'Talente &amp; Stuff'!AF:BG,16,FALSE)</f>
        <v>0</v>
      </c>
      <c r="S167" s="119">
        <f>VLOOKUP(C167,'Talente &amp; Stuff'!AF:BG,17,FALSE)</f>
        <v>0</v>
      </c>
      <c r="T167" s="119">
        <f>VLOOKUP(C167,'Talente &amp; Stuff'!AF:BG,18,FALSE)</f>
        <v>0</v>
      </c>
      <c r="U167" s="89">
        <f>VLOOKUP(C167,'Talente &amp; Stuff'!AF:BG,19,FALSE)</f>
        <v>0</v>
      </c>
      <c r="V167" s="47">
        <f>VLOOKUP(C167,'Talente &amp; Stuff'!AF:BG,20,FALSE)</f>
        <v>0</v>
      </c>
      <c r="W167" s="127">
        <f>VLOOKUP(C167,'Talente &amp; Stuff'!AF:BG,21,FALSE)</f>
        <v>0</v>
      </c>
      <c r="X167" s="127">
        <f>VLOOKUP(C167,'Talente &amp; Stuff'!AF:BG,22,FALSE)</f>
        <v>0</v>
      </c>
      <c r="Y167" s="165">
        <f t="shared" si="16"/>
        <v>0</v>
      </c>
      <c r="Z167" s="44">
        <f t="shared" si="17"/>
        <v>0</v>
      </c>
      <c r="AA167" s="125">
        <f>VLOOKUP(C167,'Talente &amp; Stuff'!AF:BG,25,FALSE)</f>
        <v>0</v>
      </c>
      <c r="AB167" s="160">
        <f>VLOOKUP(C167,'Talente &amp; Stuff'!AF:BG,26,FALSE)</f>
        <v>0</v>
      </c>
      <c r="AC167" s="127">
        <f>VLOOKUP(C167,'Talente &amp; Stuff'!AF:BG,27,FALSE)</f>
        <v>0</v>
      </c>
      <c r="AD167" s="125">
        <f>VLOOKUP(C167,'Talente &amp; Stuff'!AF:BG,28,FALSE)</f>
        <v>0</v>
      </c>
      <c r="AE167" s="28"/>
    </row>
    <row r="168" spans="2:31" s="148" customFormat="1" ht="15" hidden="1" customHeight="1" outlineLevel="2">
      <c r="B168" s="148">
        <v>16</v>
      </c>
      <c r="C168" s="177" t="str">
        <f>Attribute!C168</f>
        <v>---</v>
      </c>
      <c r="D168" s="86" t="str">
        <f>VLOOKUP(C168,'Talente &amp; Stuff'!AF:BG,2,FALSE)</f>
        <v>--/--/--</v>
      </c>
      <c r="E168" s="167" t="str">
        <f>VLOOKUP(C168,'Talente &amp; Stuff'!AF:BG,3,FALSE)</f>
        <v>-</v>
      </c>
      <c r="F168" s="120">
        <f>VLOOKUP(C168,'Talente &amp; Stuff'!AF:BG,4,FALSE)</f>
        <v>0</v>
      </c>
      <c r="G168" s="117">
        <f>VLOOKUP(C168,'Talente &amp; Stuff'!AF:BG,5,FALSE)</f>
        <v>0</v>
      </c>
      <c r="H168" s="117">
        <f>VLOOKUP(C168,'Talente &amp; Stuff'!AF:BG,6,FALSE)</f>
        <v>0</v>
      </c>
      <c r="I168" s="117">
        <f>VLOOKUP(C168,'Talente &amp; Stuff'!AF:BG,7,FALSE)</f>
        <v>0</v>
      </c>
      <c r="J168" s="117">
        <f>VLOOKUP(C168,'Talente &amp; Stuff'!AF:BG,8,FALSE)</f>
        <v>0</v>
      </c>
      <c r="K168" s="117">
        <f>VLOOKUP(C168,'Talente &amp; Stuff'!AF:BG,9,FALSE)</f>
        <v>0</v>
      </c>
      <c r="L168" s="117">
        <f>VLOOKUP(C168,'Talente &amp; Stuff'!AF:BG,10,FALSE)</f>
        <v>0</v>
      </c>
      <c r="M168" s="121">
        <f>VLOOKUP(C168,'Talente &amp; Stuff'!AF:BG,11,FALSE)</f>
        <v>0</v>
      </c>
      <c r="N168" s="47">
        <f>VLOOKUP(C168,'Talente &amp; Stuff'!AF:BG,12,FALSE)</f>
        <v>0</v>
      </c>
      <c r="O168" s="3">
        <f>VLOOKUP(C168,'Talente &amp; Stuff'!AF:BG,13,FALSE)</f>
        <v>0</v>
      </c>
      <c r="P168" s="174">
        <f>VLOOKUP(C168,'Talente &amp; Stuff'!AF:BG,14,FALSE)</f>
        <v>0</v>
      </c>
      <c r="Q168" s="114">
        <f>VLOOKUP(C168,'Talente &amp; Stuff'!AF:BG,15,FALSE)</f>
        <v>0</v>
      </c>
      <c r="R168" s="117">
        <f>VLOOKUP(C168,'Talente &amp; Stuff'!AF:BG,16,FALSE)</f>
        <v>0</v>
      </c>
      <c r="S168" s="119">
        <f>VLOOKUP(C168,'Talente &amp; Stuff'!AF:BG,17,FALSE)</f>
        <v>0</v>
      </c>
      <c r="T168" s="119">
        <f>VLOOKUP(C168,'Talente &amp; Stuff'!AF:BG,18,FALSE)</f>
        <v>0</v>
      </c>
      <c r="U168" s="89">
        <f>VLOOKUP(C168,'Talente &amp; Stuff'!AF:BG,19,FALSE)</f>
        <v>0</v>
      </c>
      <c r="V168" s="47">
        <f>VLOOKUP(C168,'Talente &amp; Stuff'!AF:BG,20,FALSE)</f>
        <v>0</v>
      </c>
      <c r="W168" s="127">
        <f>VLOOKUP(C168,'Talente &amp; Stuff'!AF:BG,21,FALSE)</f>
        <v>0</v>
      </c>
      <c r="X168" s="127">
        <f>VLOOKUP(C168,'Talente &amp; Stuff'!AF:BG,22,FALSE)</f>
        <v>0</v>
      </c>
      <c r="Y168" s="165">
        <f t="shared" si="16"/>
        <v>0</v>
      </c>
      <c r="Z168" s="44">
        <f t="shared" si="17"/>
        <v>0</v>
      </c>
      <c r="AA168" s="125">
        <f>VLOOKUP(C168,'Talente &amp; Stuff'!AF:BG,25,FALSE)</f>
        <v>0</v>
      </c>
      <c r="AB168" s="160">
        <f>VLOOKUP(C168,'Talente &amp; Stuff'!AF:BG,26,FALSE)</f>
        <v>0</v>
      </c>
      <c r="AC168" s="127">
        <f>VLOOKUP(C168,'Talente &amp; Stuff'!AF:BG,27,FALSE)</f>
        <v>0</v>
      </c>
      <c r="AD168" s="125">
        <f>VLOOKUP(C168,'Talente &amp; Stuff'!AF:BG,28,FALSE)</f>
        <v>0</v>
      </c>
      <c r="AE168" s="28"/>
    </row>
    <row r="169" spans="2:31" s="148" customFormat="1" ht="15" hidden="1" customHeight="1" outlineLevel="2">
      <c r="B169" s="148">
        <v>17</v>
      </c>
      <c r="C169" s="177" t="str">
        <f>Attribute!C169</f>
        <v>---</v>
      </c>
      <c r="D169" s="86" t="str">
        <f>VLOOKUP(C169,'Talente &amp; Stuff'!AF:BG,2,FALSE)</f>
        <v>--/--/--</v>
      </c>
      <c r="E169" s="167" t="str">
        <f>VLOOKUP(C169,'Talente &amp; Stuff'!AF:BG,3,FALSE)</f>
        <v>-</v>
      </c>
      <c r="F169" s="120">
        <f>VLOOKUP(C169,'Talente &amp; Stuff'!AF:BG,4,FALSE)</f>
        <v>0</v>
      </c>
      <c r="G169" s="117">
        <f>VLOOKUP(C169,'Talente &amp; Stuff'!AF:BG,5,FALSE)</f>
        <v>0</v>
      </c>
      <c r="H169" s="117">
        <f>VLOOKUP(C169,'Talente &amp; Stuff'!AF:BG,6,FALSE)</f>
        <v>0</v>
      </c>
      <c r="I169" s="117">
        <f>VLOOKUP(C169,'Talente &amp; Stuff'!AF:BG,7,FALSE)</f>
        <v>0</v>
      </c>
      <c r="J169" s="117">
        <f>VLOOKUP(C169,'Talente &amp; Stuff'!AF:BG,8,FALSE)</f>
        <v>0</v>
      </c>
      <c r="K169" s="117">
        <f>VLOOKUP(C169,'Talente &amp; Stuff'!AF:BG,9,FALSE)</f>
        <v>0</v>
      </c>
      <c r="L169" s="117">
        <f>VLOOKUP(C169,'Talente &amp; Stuff'!AF:BG,10,FALSE)</f>
        <v>0</v>
      </c>
      <c r="M169" s="121">
        <f>VLOOKUP(C169,'Talente &amp; Stuff'!AF:BG,11,FALSE)</f>
        <v>0</v>
      </c>
      <c r="N169" s="47">
        <f>VLOOKUP(C169,'Talente &amp; Stuff'!AF:BG,12,FALSE)</f>
        <v>0</v>
      </c>
      <c r="O169" s="3">
        <f>VLOOKUP(C169,'Talente &amp; Stuff'!AF:BG,13,FALSE)</f>
        <v>0</v>
      </c>
      <c r="P169" s="174">
        <f>VLOOKUP(C169,'Talente &amp; Stuff'!AF:BG,14,FALSE)</f>
        <v>0</v>
      </c>
      <c r="Q169" s="114">
        <f>VLOOKUP(C169,'Talente &amp; Stuff'!AF:BG,15,FALSE)</f>
        <v>0</v>
      </c>
      <c r="R169" s="117">
        <f>VLOOKUP(C169,'Talente &amp; Stuff'!AF:BG,16,FALSE)</f>
        <v>0</v>
      </c>
      <c r="S169" s="119">
        <f>VLOOKUP(C169,'Talente &amp; Stuff'!AF:BG,17,FALSE)</f>
        <v>0</v>
      </c>
      <c r="T169" s="119">
        <f>VLOOKUP(C169,'Talente &amp; Stuff'!AF:BG,18,FALSE)</f>
        <v>0</v>
      </c>
      <c r="U169" s="89">
        <f>VLOOKUP(C169,'Talente &amp; Stuff'!AF:BG,19,FALSE)</f>
        <v>0</v>
      </c>
      <c r="V169" s="47">
        <f>VLOOKUP(C169,'Talente &amp; Stuff'!AF:BG,20,FALSE)</f>
        <v>0</v>
      </c>
      <c r="W169" s="127">
        <f>VLOOKUP(C169,'Talente &amp; Stuff'!AF:BG,21,FALSE)</f>
        <v>0</v>
      </c>
      <c r="X169" s="127">
        <f>VLOOKUP(C169,'Talente &amp; Stuff'!AF:BG,22,FALSE)</f>
        <v>0</v>
      </c>
      <c r="Y169" s="165">
        <f t="shared" si="16"/>
        <v>0</v>
      </c>
      <c r="Z169" s="44">
        <f t="shared" si="17"/>
        <v>0</v>
      </c>
      <c r="AA169" s="125">
        <f>VLOOKUP(C169,'Talente &amp; Stuff'!AF:BG,25,FALSE)</f>
        <v>0</v>
      </c>
      <c r="AB169" s="160">
        <f>VLOOKUP(C169,'Talente &amp; Stuff'!AF:BG,26,FALSE)</f>
        <v>0</v>
      </c>
      <c r="AC169" s="127">
        <f>VLOOKUP(C169,'Talente &amp; Stuff'!AF:BG,27,FALSE)</f>
        <v>0</v>
      </c>
      <c r="AD169" s="125">
        <f>VLOOKUP(C169,'Talente &amp; Stuff'!AF:BG,28,FALSE)</f>
        <v>0</v>
      </c>
      <c r="AE169" s="28"/>
    </row>
    <row r="170" spans="2:31" s="148" customFormat="1" ht="15" hidden="1" customHeight="1" outlineLevel="2">
      <c r="B170" s="148">
        <v>18</v>
      </c>
      <c r="C170" s="177" t="str">
        <f>Attribute!C170</f>
        <v>---</v>
      </c>
      <c r="D170" s="86" t="str">
        <f>VLOOKUP(C170,'Talente &amp; Stuff'!AF:BG,2,FALSE)</f>
        <v>--/--/--</v>
      </c>
      <c r="E170" s="167" t="str">
        <f>VLOOKUP(C170,'Talente &amp; Stuff'!AF:BG,3,FALSE)</f>
        <v>-</v>
      </c>
      <c r="F170" s="120">
        <f>VLOOKUP(C170,'Talente &amp; Stuff'!AF:BG,4,FALSE)</f>
        <v>0</v>
      </c>
      <c r="G170" s="117">
        <f>VLOOKUP(C170,'Talente &amp; Stuff'!AF:BG,5,FALSE)</f>
        <v>0</v>
      </c>
      <c r="H170" s="117">
        <f>VLOOKUP(C170,'Talente &amp; Stuff'!AF:BG,6,FALSE)</f>
        <v>0</v>
      </c>
      <c r="I170" s="117">
        <f>VLOOKUP(C170,'Talente &amp; Stuff'!AF:BG,7,FALSE)</f>
        <v>0</v>
      </c>
      <c r="J170" s="117">
        <f>VLOOKUP(C170,'Talente &amp; Stuff'!AF:BG,8,FALSE)</f>
        <v>0</v>
      </c>
      <c r="K170" s="117">
        <f>VLOOKUP(C170,'Talente &amp; Stuff'!AF:BG,9,FALSE)</f>
        <v>0</v>
      </c>
      <c r="L170" s="117">
        <f>VLOOKUP(C170,'Talente &amp; Stuff'!AF:BG,10,FALSE)</f>
        <v>0</v>
      </c>
      <c r="M170" s="121">
        <f>VLOOKUP(C170,'Talente &amp; Stuff'!AF:BG,11,FALSE)</f>
        <v>0</v>
      </c>
      <c r="N170" s="47">
        <f>VLOOKUP(C170,'Talente &amp; Stuff'!AF:BG,12,FALSE)</f>
        <v>0</v>
      </c>
      <c r="O170" s="3">
        <f>VLOOKUP(C170,'Talente &amp; Stuff'!AF:BG,13,FALSE)</f>
        <v>0</v>
      </c>
      <c r="P170" s="174">
        <f>VLOOKUP(C170,'Talente &amp; Stuff'!AF:BG,14,FALSE)</f>
        <v>0</v>
      </c>
      <c r="Q170" s="114">
        <f>VLOOKUP(C170,'Talente &amp; Stuff'!AF:BG,15,FALSE)</f>
        <v>0</v>
      </c>
      <c r="R170" s="117">
        <f>VLOOKUP(C170,'Talente &amp; Stuff'!AF:BG,16,FALSE)</f>
        <v>0</v>
      </c>
      <c r="S170" s="119">
        <f>VLOOKUP(C170,'Talente &amp; Stuff'!AF:BG,17,FALSE)</f>
        <v>0</v>
      </c>
      <c r="T170" s="119">
        <f>VLOOKUP(C170,'Talente &amp; Stuff'!AF:BG,18,FALSE)</f>
        <v>0</v>
      </c>
      <c r="U170" s="89">
        <f>VLOOKUP(C170,'Talente &amp; Stuff'!AF:BG,19,FALSE)</f>
        <v>0</v>
      </c>
      <c r="V170" s="47">
        <f>VLOOKUP(C170,'Talente &amp; Stuff'!AF:BG,20,FALSE)</f>
        <v>0</v>
      </c>
      <c r="W170" s="127">
        <f>VLOOKUP(C170,'Talente &amp; Stuff'!AF:BG,21,FALSE)</f>
        <v>0</v>
      </c>
      <c r="X170" s="127">
        <f>VLOOKUP(C170,'Talente &amp; Stuff'!AF:BG,22,FALSE)</f>
        <v>0</v>
      </c>
      <c r="Y170" s="165">
        <f t="shared" si="16"/>
        <v>0</v>
      </c>
      <c r="Z170" s="44">
        <f t="shared" si="17"/>
        <v>0</v>
      </c>
      <c r="AA170" s="125">
        <f>VLOOKUP(C170,'Talente &amp; Stuff'!AF:BG,25,FALSE)</f>
        <v>0</v>
      </c>
      <c r="AB170" s="160">
        <f>VLOOKUP(C170,'Talente &amp; Stuff'!AF:BG,26,FALSE)</f>
        <v>0</v>
      </c>
      <c r="AC170" s="127">
        <f>VLOOKUP(C170,'Talente &amp; Stuff'!AF:BG,27,FALSE)</f>
        <v>0</v>
      </c>
      <c r="AD170" s="125">
        <f>VLOOKUP(C170,'Talente &amp; Stuff'!AF:BG,28,FALSE)</f>
        <v>0</v>
      </c>
      <c r="AE170" s="28"/>
    </row>
    <row r="171" spans="2:31" s="148" customFormat="1" ht="15" hidden="1" customHeight="1" outlineLevel="2">
      <c r="B171" s="148">
        <v>19</v>
      </c>
      <c r="C171" s="177" t="str">
        <f>Attribute!C171</f>
        <v>---</v>
      </c>
      <c r="D171" s="86" t="str">
        <f>VLOOKUP(C171,'Talente &amp; Stuff'!AF:BG,2,FALSE)</f>
        <v>--/--/--</v>
      </c>
      <c r="E171" s="167" t="str">
        <f>VLOOKUP(C171,'Talente &amp; Stuff'!AF:BG,3,FALSE)</f>
        <v>-</v>
      </c>
      <c r="F171" s="120">
        <f>VLOOKUP(C171,'Talente &amp; Stuff'!AF:BG,4,FALSE)</f>
        <v>0</v>
      </c>
      <c r="G171" s="117">
        <f>VLOOKUP(C171,'Talente &amp; Stuff'!AF:BG,5,FALSE)</f>
        <v>0</v>
      </c>
      <c r="H171" s="117">
        <f>VLOOKUP(C171,'Talente &amp; Stuff'!AF:BG,6,FALSE)</f>
        <v>0</v>
      </c>
      <c r="I171" s="117">
        <f>VLOOKUP(C171,'Talente &amp; Stuff'!AF:BG,7,FALSE)</f>
        <v>0</v>
      </c>
      <c r="J171" s="117">
        <f>VLOOKUP(C171,'Talente &amp; Stuff'!AF:BG,8,FALSE)</f>
        <v>0</v>
      </c>
      <c r="K171" s="117">
        <f>VLOOKUP(C171,'Talente &amp; Stuff'!AF:BG,9,FALSE)</f>
        <v>0</v>
      </c>
      <c r="L171" s="117">
        <f>VLOOKUP(C171,'Talente &amp; Stuff'!AF:BG,10,FALSE)</f>
        <v>0</v>
      </c>
      <c r="M171" s="121">
        <f>VLOOKUP(C171,'Talente &amp; Stuff'!AF:BG,11,FALSE)</f>
        <v>0</v>
      </c>
      <c r="N171" s="47">
        <f>VLOOKUP(C171,'Talente &amp; Stuff'!AF:BG,12,FALSE)</f>
        <v>0</v>
      </c>
      <c r="O171" s="3">
        <f>VLOOKUP(C171,'Talente &amp; Stuff'!AF:BG,13,FALSE)</f>
        <v>0</v>
      </c>
      <c r="P171" s="174">
        <f>VLOOKUP(C171,'Talente &amp; Stuff'!AF:BG,14,FALSE)</f>
        <v>0</v>
      </c>
      <c r="Q171" s="114">
        <f>VLOOKUP(C171,'Talente &amp; Stuff'!AF:BG,15,FALSE)</f>
        <v>0</v>
      </c>
      <c r="R171" s="117">
        <f>VLOOKUP(C171,'Talente &amp; Stuff'!AF:BG,16,FALSE)</f>
        <v>0</v>
      </c>
      <c r="S171" s="119">
        <f>VLOOKUP(C171,'Talente &amp; Stuff'!AF:BG,17,FALSE)</f>
        <v>0</v>
      </c>
      <c r="T171" s="119">
        <f>VLOOKUP(C171,'Talente &amp; Stuff'!AF:BG,18,FALSE)</f>
        <v>0</v>
      </c>
      <c r="U171" s="89">
        <f>VLOOKUP(C171,'Talente &amp; Stuff'!AF:BG,19,FALSE)</f>
        <v>0</v>
      </c>
      <c r="V171" s="47">
        <f>VLOOKUP(C171,'Talente &amp; Stuff'!AF:BG,20,FALSE)</f>
        <v>0</v>
      </c>
      <c r="W171" s="127">
        <f>VLOOKUP(C171,'Talente &amp; Stuff'!AF:BG,21,FALSE)</f>
        <v>0</v>
      </c>
      <c r="X171" s="127">
        <f>VLOOKUP(C171,'Talente &amp; Stuff'!AF:BG,22,FALSE)</f>
        <v>0</v>
      </c>
      <c r="Y171" s="165">
        <f t="shared" si="16"/>
        <v>0</v>
      </c>
      <c r="Z171" s="44">
        <f t="shared" si="17"/>
        <v>0</v>
      </c>
      <c r="AA171" s="125">
        <f>VLOOKUP(C171,'Talente &amp; Stuff'!AF:BG,25,FALSE)</f>
        <v>0</v>
      </c>
      <c r="AB171" s="160">
        <f>VLOOKUP(C171,'Talente &amp; Stuff'!AF:BG,26,FALSE)</f>
        <v>0</v>
      </c>
      <c r="AC171" s="127">
        <f>VLOOKUP(C171,'Talente &amp; Stuff'!AF:BG,27,FALSE)</f>
        <v>0</v>
      </c>
      <c r="AD171" s="125">
        <f>VLOOKUP(C171,'Talente &amp; Stuff'!AF:BG,28,FALSE)</f>
        <v>0</v>
      </c>
      <c r="AE171" s="28"/>
    </row>
    <row r="172" spans="2:31" s="148" customFormat="1" ht="15" hidden="1" customHeight="1" outlineLevel="2">
      <c r="B172" s="148">
        <v>20</v>
      </c>
      <c r="C172" s="177" t="str">
        <f>Attribute!C172</f>
        <v>---</v>
      </c>
      <c r="D172" s="86" t="str">
        <f>VLOOKUP(C172,'Talente &amp; Stuff'!AF:BG,2,FALSE)</f>
        <v>--/--/--</v>
      </c>
      <c r="E172" s="167" t="str">
        <f>VLOOKUP(C172,'Talente &amp; Stuff'!AF:BG,3,FALSE)</f>
        <v>-</v>
      </c>
      <c r="F172" s="120">
        <f>VLOOKUP(C172,'Talente &amp; Stuff'!AF:BG,4,FALSE)</f>
        <v>0</v>
      </c>
      <c r="G172" s="117">
        <f>VLOOKUP(C172,'Talente &amp; Stuff'!AF:BG,5,FALSE)</f>
        <v>0</v>
      </c>
      <c r="H172" s="117">
        <f>VLOOKUP(C172,'Talente &amp; Stuff'!AF:BG,6,FALSE)</f>
        <v>0</v>
      </c>
      <c r="I172" s="117">
        <f>VLOOKUP(C172,'Talente &amp; Stuff'!AF:BG,7,FALSE)</f>
        <v>0</v>
      </c>
      <c r="J172" s="117">
        <f>VLOOKUP(C172,'Talente &amp; Stuff'!AF:BG,8,FALSE)</f>
        <v>0</v>
      </c>
      <c r="K172" s="117">
        <f>VLOOKUP(C172,'Talente &amp; Stuff'!AF:BG,9,FALSE)</f>
        <v>0</v>
      </c>
      <c r="L172" s="117">
        <f>VLOOKUP(C172,'Talente &amp; Stuff'!AF:BG,10,FALSE)</f>
        <v>0</v>
      </c>
      <c r="M172" s="121">
        <f>VLOOKUP(C172,'Talente &amp; Stuff'!AF:BG,11,FALSE)</f>
        <v>0</v>
      </c>
      <c r="N172" s="47">
        <f>VLOOKUP(C172,'Talente &amp; Stuff'!AF:BG,12,FALSE)</f>
        <v>0</v>
      </c>
      <c r="O172" s="3">
        <f>VLOOKUP(C172,'Talente &amp; Stuff'!AF:BG,13,FALSE)</f>
        <v>0</v>
      </c>
      <c r="P172" s="174">
        <f>VLOOKUP(C172,'Talente &amp; Stuff'!AF:BG,14,FALSE)</f>
        <v>0</v>
      </c>
      <c r="Q172" s="114">
        <f>VLOOKUP(C172,'Talente &amp; Stuff'!AF:BG,15,FALSE)</f>
        <v>0</v>
      </c>
      <c r="R172" s="117">
        <f>VLOOKUP(C172,'Talente &amp; Stuff'!AF:BG,16,FALSE)</f>
        <v>0</v>
      </c>
      <c r="S172" s="119">
        <f>VLOOKUP(C172,'Talente &amp; Stuff'!AF:BG,17,FALSE)</f>
        <v>0</v>
      </c>
      <c r="T172" s="119">
        <f>VLOOKUP(C172,'Talente &amp; Stuff'!AF:BG,18,FALSE)</f>
        <v>0</v>
      </c>
      <c r="U172" s="89">
        <f>VLOOKUP(C172,'Talente &amp; Stuff'!AF:BG,19,FALSE)</f>
        <v>0</v>
      </c>
      <c r="V172" s="47">
        <f>VLOOKUP(C172,'Talente &amp; Stuff'!AF:BG,20,FALSE)</f>
        <v>0</v>
      </c>
      <c r="W172" s="127">
        <f>VLOOKUP(C172,'Talente &amp; Stuff'!AF:BG,21,FALSE)</f>
        <v>0</v>
      </c>
      <c r="X172" s="127">
        <f>VLOOKUP(C172,'Talente &amp; Stuff'!AF:BG,22,FALSE)</f>
        <v>0</v>
      </c>
      <c r="Y172" s="165">
        <f t="shared" si="16"/>
        <v>0</v>
      </c>
      <c r="Z172" s="44">
        <f t="shared" si="17"/>
        <v>0</v>
      </c>
      <c r="AA172" s="125">
        <f>VLOOKUP(C172,'Talente &amp; Stuff'!AF:BG,25,FALSE)</f>
        <v>0</v>
      </c>
      <c r="AB172" s="160">
        <f>VLOOKUP(C172,'Talente &amp; Stuff'!AF:BG,26,FALSE)</f>
        <v>0</v>
      </c>
      <c r="AC172" s="127">
        <f>VLOOKUP(C172,'Talente &amp; Stuff'!AF:BG,27,FALSE)</f>
        <v>0</v>
      </c>
      <c r="AD172" s="125">
        <f>VLOOKUP(C172,'Talente &amp; Stuff'!AF:BG,28,FALSE)</f>
        <v>0</v>
      </c>
      <c r="AE172" s="28"/>
    </row>
    <row r="173" spans="2:31" s="148" customFormat="1" ht="15" hidden="1" customHeight="1" outlineLevel="2">
      <c r="B173" s="148">
        <v>21</v>
      </c>
      <c r="C173" s="177" t="str">
        <f>Attribute!C173</f>
        <v>---</v>
      </c>
      <c r="D173" s="86" t="str">
        <f>VLOOKUP(C173,'Talente &amp; Stuff'!AF:BG,2,FALSE)</f>
        <v>--/--/--</v>
      </c>
      <c r="E173" s="167" t="str">
        <f>VLOOKUP(C173,'Talente &amp; Stuff'!AF:BG,3,FALSE)</f>
        <v>-</v>
      </c>
      <c r="F173" s="120">
        <f>VLOOKUP(C173,'Talente &amp; Stuff'!AF:BG,4,FALSE)</f>
        <v>0</v>
      </c>
      <c r="G173" s="117">
        <f>VLOOKUP(C173,'Talente &amp; Stuff'!AF:BG,5,FALSE)</f>
        <v>0</v>
      </c>
      <c r="H173" s="117">
        <f>VLOOKUP(C173,'Talente &amp; Stuff'!AF:BG,6,FALSE)</f>
        <v>0</v>
      </c>
      <c r="I173" s="117">
        <f>VLOOKUP(C173,'Talente &amp; Stuff'!AF:BG,7,FALSE)</f>
        <v>0</v>
      </c>
      <c r="J173" s="117">
        <f>VLOOKUP(C173,'Talente &amp; Stuff'!AF:BG,8,FALSE)</f>
        <v>0</v>
      </c>
      <c r="K173" s="117">
        <f>VLOOKUP(C173,'Talente &amp; Stuff'!AF:BG,9,FALSE)</f>
        <v>0</v>
      </c>
      <c r="L173" s="117">
        <f>VLOOKUP(C173,'Talente &amp; Stuff'!AF:BG,10,FALSE)</f>
        <v>0</v>
      </c>
      <c r="M173" s="121">
        <f>VLOOKUP(C173,'Talente &amp; Stuff'!AF:BG,11,FALSE)</f>
        <v>0</v>
      </c>
      <c r="N173" s="47">
        <f>VLOOKUP(C173,'Talente &amp; Stuff'!AF:BG,12,FALSE)</f>
        <v>0</v>
      </c>
      <c r="O173" s="3">
        <f>VLOOKUP(C173,'Talente &amp; Stuff'!AF:BG,13,FALSE)</f>
        <v>0</v>
      </c>
      <c r="P173" s="174">
        <f>VLOOKUP(C173,'Talente &amp; Stuff'!AF:BG,14,FALSE)</f>
        <v>0</v>
      </c>
      <c r="Q173" s="114">
        <f>VLOOKUP(C173,'Talente &amp; Stuff'!AF:BG,15,FALSE)</f>
        <v>0</v>
      </c>
      <c r="R173" s="117">
        <f>VLOOKUP(C173,'Talente &amp; Stuff'!AF:BG,16,FALSE)</f>
        <v>0</v>
      </c>
      <c r="S173" s="119">
        <f>VLOOKUP(C173,'Talente &amp; Stuff'!AF:BG,17,FALSE)</f>
        <v>0</v>
      </c>
      <c r="T173" s="119">
        <f>VLOOKUP(C173,'Talente &amp; Stuff'!AF:BG,18,FALSE)</f>
        <v>0</v>
      </c>
      <c r="U173" s="89">
        <f>VLOOKUP(C173,'Talente &amp; Stuff'!AF:BG,19,FALSE)</f>
        <v>0</v>
      </c>
      <c r="V173" s="47">
        <f>VLOOKUP(C173,'Talente &amp; Stuff'!AF:BG,20,FALSE)</f>
        <v>0</v>
      </c>
      <c r="W173" s="127">
        <f>VLOOKUP(C173,'Talente &amp; Stuff'!AF:BG,21,FALSE)</f>
        <v>0</v>
      </c>
      <c r="X173" s="127">
        <f>VLOOKUP(C173,'Talente &amp; Stuff'!AF:BG,22,FALSE)</f>
        <v>0</v>
      </c>
      <c r="Y173" s="165">
        <f t="shared" si="16"/>
        <v>0</v>
      </c>
      <c r="Z173" s="44">
        <f t="shared" si="17"/>
        <v>0</v>
      </c>
      <c r="AA173" s="125">
        <f>VLOOKUP(C173,'Talente &amp; Stuff'!AF:BG,25,FALSE)</f>
        <v>0</v>
      </c>
      <c r="AB173" s="160">
        <f>VLOOKUP(C173,'Talente &amp; Stuff'!AF:BG,26,FALSE)</f>
        <v>0</v>
      </c>
      <c r="AC173" s="127">
        <f>VLOOKUP(C173,'Talente &amp; Stuff'!AF:BG,27,FALSE)</f>
        <v>0</v>
      </c>
      <c r="AD173" s="125">
        <f>VLOOKUP(C173,'Talente &amp; Stuff'!AF:BG,28,FALSE)</f>
        <v>0</v>
      </c>
      <c r="AE173" s="28"/>
    </row>
    <row r="174" spans="2:31" s="148" customFormat="1" ht="15" hidden="1" customHeight="1" outlineLevel="2">
      <c r="B174" s="148">
        <v>22</v>
      </c>
      <c r="C174" s="177" t="str">
        <f>Attribute!C174</f>
        <v>---</v>
      </c>
      <c r="D174" s="86" t="str">
        <f>VLOOKUP(C174,'Talente &amp; Stuff'!AF:BG,2,FALSE)</f>
        <v>--/--/--</v>
      </c>
      <c r="E174" s="167" t="str">
        <f>VLOOKUP(C174,'Talente &amp; Stuff'!AF:BG,3,FALSE)</f>
        <v>-</v>
      </c>
      <c r="F174" s="120">
        <f>VLOOKUP(C174,'Talente &amp; Stuff'!AF:BG,4,FALSE)</f>
        <v>0</v>
      </c>
      <c r="G174" s="117">
        <f>VLOOKUP(C174,'Talente &amp; Stuff'!AF:BG,5,FALSE)</f>
        <v>0</v>
      </c>
      <c r="H174" s="117">
        <f>VLOOKUP(C174,'Talente &amp; Stuff'!AF:BG,6,FALSE)</f>
        <v>0</v>
      </c>
      <c r="I174" s="117">
        <f>VLOOKUP(C174,'Talente &amp; Stuff'!AF:BG,7,FALSE)</f>
        <v>0</v>
      </c>
      <c r="J174" s="117">
        <f>VLOOKUP(C174,'Talente &amp; Stuff'!AF:BG,8,FALSE)</f>
        <v>0</v>
      </c>
      <c r="K174" s="117">
        <f>VLOOKUP(C174,'Talente &amp; Stuff'!AF:BG,9,FALSE)</f>
        <v>0</v>
      </c>
      <c r="L174" s="117">
        <f>VLOOKUP(C174,'Talente &amp; Stuff'!AF:BG,10,FALSE)</f>
        <v>0</v>
      </c>
      <c r="M174" s="121">
        <f>VLOOKUP(C174,'Talente &amp; Stuff'!AF:BG,11,FALSE)</f>
        <v>0</v>
      </c>
      <c r="N174" s="47">
        <f>VLOOKUP(C174,'Talente &amp; Stuff'!AF:BG,12,FALSE)</f>
        <v>0</v>
      </c>
      <c r="O174" s="3">
        <f>VLOOKUP(C174,'Talente &amp; Stuff'!AF:BG,13,FALSE)</f>
        <v>0</v>
      </c>
      <c r="P174" s="174">
        <f>VLOOKUP(C174,'Talente &amp; Stuff'!AF:BG,14,FALSE)</f>
        <v>0</v>
      </c>
      <c r="Q174" s="114">
        <f>VLOOKUP(C174,'Talente &amp; Stuff'!AF:BG,15,FALSE)</f>
        <v>0</v>
      </c>
      <c r="R174" s="117">
        <f>VLOOKUP(C174,'Talente &amp; Stuff'!AF:BG,16,FALSE)</f>
        <v>0</v>
      </c>
      <c r="S174" s="119">
        <f>VLOOKUP(C174,'Talente &amp; Stuff'!AF:BG,17,FALSE)</f>
        <v>0</v>
      </c>
      <c r="T174" s="119">
        <f>VLOOKUP(C174,'Talente &amp; Stuff'!AF:BG,18,FALSE)</f>
        <v>0</v>
      </c>
      <c r="U174" s="89">
        <f>VLOOKUP(C174,'Talente &amp; Stuff'!AF:BG,19,FALSE)</f>
        <v>0</v>
      </c>
      <c r="V174" s="47">
        <f>VLOOKUP(C174,'Talente &amp; Stuff'!AF:BG,20,FALSE)</f>
        <v>0</v>
      </c>
      <c r="W174" s="127">
        <f>VLOOKUP(C174,'Talente &amp; Stuff'!AF:BG,21,FALSE)</f>
        <v>0</v>
      </c>
      <c r="X174" s="127">
        <f>VLOOKUP(C174,'Talente &amp; Stuff'!AF:BG,22,FALSE)</f>
        <v>0</v>
      </c>
      <c r="Y174" s="165">
        <f t="shared" si="16"/>
        <v>0</v>
      </c>
      <c r="Z174" s="44">
        <f t="shared" si="17"/>
        <v>0</v>
      </c>
      <c r="AA174" s="125">
        <f>VLOOKUP(C174,'Talente &amp; Stuff'!AF:BG,25,FALSE)</f>
        <v>0</v>
      </c>
      <c r="AB174" s="160">
        <f>VLOOKUP(C174,'Talente &amp; Stuff'!AF:BG,26,FALSE)</f>
        <v>0</v>
      </c>
      <c r="AC174" s="127">
        <f>VLOOKUP(C174,'Talente &amp; Stuff'!AF:BG,27,FALSE)</f>
        <v>0</v>
      </c>
      <c r="AD174" s="125">
        <f>VLOOKUP(C174,'Talente &amp; Stuff'!AF:BG,28,FALSE)</f>
        <v>0</v>
      </c>
      <c r="AE174" s="28"/>
    </row>
    <row r="175" spans="2:31" s="148" customFormat="1" ht="15" hidden="1" customHeight="1" outlineLevel="2">
      <c r="B175" s="148">
        <v>23</v>
      </c>
      <c r="C175" s="177" t="str">
        <f>Attribute!C175</f>
        <v>---</v>
      </c>
      <c r="D175" s="86" t="str">
        <f>VLOOKUP(C175,'Talente &amp; Stuff'!AF:BG,2,FALSE)</f>
        <v>--/--/--</v>
      </c>
      <c r="E175" s="167" t="str">
        <f>VLOOKUP(C175,'Talente &amp; Stuff'!AF:BG,3,FALSE)</f>
        <v>-</v>
      </c>
      <c r="F175" s="120">
        <f>VLOOKUP(C175,'Talente &amp; Stuff'!AF:BG,4,FALSE)</f>
        <v>0</v>
      </c>
      <c r="G175" s="117">
        <f>VLOOKUP(C175,'Talente &amp; Stuff'!AF:BG,5,FALSE)</f>
        <v>0</v>
      </c>
      <c r="H175" s="117">
        <f>VLOOKUP(C175,'Talente &amp; Stuff'!AF:BG,6,FALSE)</f>
        <v>0</v>
      </c>
      <c r="I175" s="117">
        <f>VLOOKUP(C175,'Talente &amp; Stuff'!AF:BG,7,FALSE)</f>
        <v>0</v>
      </c>
      <c r="J175" s="117">
        <f>VLOOKUP(C175,'Talente &amp; Stuff'!AF:BG,8,FALSE)</f>
        <v>0</v>
      </c>
      <c r="K175" s="117">
        <f>VLOOKUP(C175,'Talente &amp; Stuff'!AF:BG,9,FALSE)</f>
        <v>0</v>
      </c>
      <c r="L175" s="117">
        <f>VLOOKUP(C175,'Talente &amp; Stuff'!AF:BG,10,FALSE)</f>
        <v>0</v>
      </c>
      <c r="M175" s="121">
        <f>VLOOKUP(C175,'Talente &amp; Stuff'!AF:BG,11,FALSE)</f>
        <v>0</v>
      </c>
      <c r="N175" s="47">
        <f>VLOOKUP(C175,'Talente &amp; Stuff'!AF:BG,12,FALSE)</f>
        <v>0</v>
      </c>
      <c r="O175" s="3">
        <f>VLOOKUP(C175,'Talente &amp; Stuff'!AF:BG,13,FALSE)</f>
        <v>0</v>
      </c>
      <c r="P175" s="174">
        <f>VLOOKUP(C175,'Talente &amp; Stuff'!AF:BG,14,FALSE)</f>
        <v>0</v>
      </c>
      <c r="Q175" s="114">
        <f>VLOOKUP(C175,'Talente &amp; Stuff'!AF:BG,15,FALSE)</f>
        <v>0</v>
      </c>
      <c r="R175" s="117">
        <f>VLOOKUP(C175,'Talente &amp; Stuff'!AF:BG,16,FALSE)</f>
        <v>0</v>
      </c>
      <c r="S175" s="119">
        <f>VLOOKUP(C175,'Talente &amp; Stuff'!AF:BG,17,FALSE)</f>
        <v>0</v>
      </c>
      <c r="T175" s="119">
        <f>VLOOKUP(C175,'Talente &amp; Stuff'!AF:BG,18,FALSE)</f>
        <v>0</v>
      </c>
      <c r="U175" s="89">
        <f>VLOOKUP(C175,'Talente &amp; Stuff'!AF:BG,19,FALSE)</f>
        <v>0</v>
      </c>
      <c r="V175" s="47">
        <f>VLOOKUP(C175,'Talente &amp; Stuff'!AF:BG,20,FALSE)</f>
        <v>0</v>
      </c>
      <c r="W175" s="127">
        <f>VLOOKUP(C175,'Talente &amp; Stuff'!AF:BG,21,FALSE)</f>
        <v>0</v>
      </c>
      <c r="X175" s="127">
        <f>VLOOKUP(C175,'Talente &amp; Stuff'!AF:BG,22,FALSE)</f>
        <v>0</v>
      </c>
      <c r="Y175" s="165">
        <f t="shared" si="16"/>
        <v>0</v>
      </c>
      <c r="Z175" s="44">
        <f t="shared" si="17"/>
        <v>0</v>
      </c>
      <c r="AA175" s="125">
        <f>VLOOKUP(C175,'Talente &amp; Stuff'!AF:BG,25,FALSE)</f>
        <v>0</v>
      </c>
      <c r="AB175" s="160">
        <f>VLOOKUP(C175,'Talente &amp; Stuff'!AF:BG,26,FALSE)</f>
        <v>0</v>
      </c>
      <c r="AC175" s="127">
        <f>VLOOKUP(C175,'Talente &amp; Stuff'!AF:BG,27,FALSE)</f>
        <v>0</v>
      </c>
      <c r="AD175" s="125">
        <f>VLOOKUP(C175,'Talente &amp; Stuff'!AF:BG,28,FALSE)</f>
        <v>0</v>
      </c>
      <c r="AE175" s="28"/>
    </row>
    <row r="176" spans="2:31" s="148" customFormat="1" ht="15" hidden="1" customHeight="1" outlineLevel="2">
      <c r="B176" s="148">
        <v>24</v>
      </c>
      <c r="C176" s="177" t="str">
        <f>Attribute!C176</f>
        <v>---</v>
      </c>
      <c r="D176" s="86" t="str">
        <f>VLOOKUP(C176,'Talente &amp; Stuff'!AF:BG,2,FALSE)</f>
        <v>--/--/--</v>
      </c>
      <c r="E176" s="167" t="str">
        <f>VLOOKUP(C176,'Talente &amp; Stuff'!AF:BG,3,FALSE)</f>
        <v>-</v>
      </c>
      <c r="F176" s="120">
        <f>VLOOKUP(C176,'Talente &amp; Stuff'!AF:BG,4,FALSE)</f>
        <v>0</v>
      </c>
      <c r="G176" s="117">
        <f>VLOOKUP(C176,'Talente &amp; Stuff'!AF:BG,5,FALSE)</f>
        <v>0</v>
      </c>
      <c r="H176" s="117">
        <f>VLOOKUP(C176,'Talente &amp; Stuff'!AF:BG,6,FALSE)</f>
        <v>0</v>
      </c>
      <c r="I176" s="117">
        <f>VLOOKUP(C176,'Talente &amp; Stuff'!AF:BG,7,FALSE)</f>
        <v>0</v>
      </c>
      <c r="J176" s="117">
        <f>VLOOKUP(C176,'Talente &amp; Stuff'!AF:BG,8,FALSE)</f>
        <v>0</v>
      </c>
      <c r="K176" s="117">
        <f>VLOOKUP(C176,'Talente &amp; Stuff'!AF:BG,9,FALSE)</f>
        <v>0</v>
      </c>
      <c r="L176" s="117">
        <f>VLOOKUP(C176,'Talente &amp; Stuff'!AF:BG,10,FALSE)</f>
        <v>0</v>
      </c>
      <c r="M176" s="121">
        <f>VLOOKUP(C176,'Talente &amp; Stuff'!AF:BG,11,FALSE)</f>
        <v>0</v>
      </c>
      <c r="N176" s="47">
        <f>VLOOKUP(C176,'Talente &amp; Stuff'!AF:BG,12,FALSE)</f>
        <v>0</v>
      </c>
      <c r="O176" s="3">
        <f>VLOOKUP(C176,'Talente &amp; Stuff'!AF:BG,13,FALSE)</f>
        <v>0</v>
      </c>
      <c r="P176" s="174">
        <f>VLOOKUP(C176,'Talente &amp; Stuff'!AF:BG,14,FALSE)</f>
        <v>0</v>
      </c>
      <c r="Q176" s="114">
        <f>VLOOKUP(C176,'Talente &amp; Stuff'!AF:BG,15,FALSE)</f>
        <v>0</v>
      </c>
      <c r="R176" s="117">
        <f>VLOOKUP(C176,'Talente &amp; Stuff'!AF:BG,16,FALSE)</f>
        <v>0</v>
      </c>
      <c r="S176" s="119">
        <f>VLOOKUP(C176,'Talente &amp; Stuff'!AF:BG,17,FALSE)</f>
        <v>0</v>
      </c>
      <c r="T176" s="119">
        <f>VLOOKUP(C176,'Talente &amp; Stuff'!AF:BG,18,FALSE)</f>
        <v>0</v>
      </c>
      <c r="U176" s="89">
        <f>VLOOKUP(C176,'Talente &amp; Stuff'!AF:BG,19,FALSE)</f>
        <v>0</v>
      </c>
      <c r="V176" s="47">
        <f>VLOOKUP(C176,'Talente &amp; Stuff'!AF:BG,20,FALSE)</f>
        <v>0</v>
      </c>
      <c r="W176" s="127">
        <f>VLOOKUP(C176,'Talente &amp; Stuff'!AF:BG,21,FALSE)</f>
        <v>0</v>
      </c>
      <c r="X176" s="127">
        <f>VLOOKUP(C176,'Talente &amp; Stuff'!AF:BG,22,FALSE)</f>
        <v>0</v>
      </c>
      <c r="Y176" s="165">
        <f t="shared" si="16"/>
        <v>0</v>
      </c>
      <c r="Z176" s="44">
        <f t="shared" si="17"/>
        <v>0</v>
      </c>
      <c r="AA176" s="125">
        <f>VLOOKUP(C176,'Talente &amp; Stuff'!AF:BG,25,FALSE)</f>
        <v>0</v>
      </c>
      <c r="AB176" s="160">
        <f>VLOOKUP(C176,'Talente &amp; Stuff'!AF:BG,26,FALSE)</f>
        <v>0</v>
      </c>
      <c r="AC176" s="127">
        <f>VLOOKUP(C176,'Talente &amp; Stuff'!AF:BG,27,FALSE)</f>
        <v>0</v>
      </c>
      <c r="AD176" s="125">
        <f>VLOOKUP(C176,'Talente &amp; Stuff'!AF:BG,28,FALSE)</f>
        <v>0</v>
      </c>
      <c r="AE176" s="28"/>
    </row>
    <row r="177" spans="2:31" s="148" customFormat="1" ht="15" hidden="1" customHeight="1" outlineLevel="2">
      <c r="B177" s="148">
        <v>25</v>
      </c>
      <c r="C177" s="177" t="str">
        <f>Attribute!C177</f>
        <v>---</v>
      </c>
      <c r="D177" s="86" t="str">
        <f>VLOOKUP(C177,'Talente &amp; Stuff'!AF:BG,2,FALSE)</f>
        <v>--/--/--</v>
      </c>
      <c r="E177" s="167" t="str">
        <f>VLOOKUP(C177,'Talente &amp; Stuff'!AF:BG,3,FALSE)</f>
        <v>-</v>
      </c>
      <c r="F177" s="120">
        <f>VLOOKUP(C177,'Talente &amp; Stuff'!AF:BG,4,FALSE)</f>
        <v>0</v>
      </c>
      <c r="G177" s="117">
        <f>VLOOKUP(C177,'Talente &amp; Stuff'!AF:BG,5,FALSE)</f>
        <v>0</v>
      </c>
      <c r="H177" s="117">
        <f>VLOOKUP(C177,'Talente &amp; Stuff'!AF:BG,6,FALSE)</f>
        <v>0</v>
      </c>
      <c r="I177" s="117">
        <f>VLOOKUP(C177,'Talente &amp; Stuff'!AF:BG,7,FALSE)</f>
        <v>0</v>
      </c>
      <c r="J177" s="117">
        <f>VLOOKUP(C177,'Talente &amp; Stuff'!AF:BG,8,FALSE)</f>
        <v>0</v>
      </c>
      <c r="K177" s="117">
        <f>VLOOKUP(C177,'Talente &amp; Stuff'!AF:BG,9,FALSE)</f>
        <v>0</v>
      </c>
      <c r="L177" s="117">
        <f>VLOOKUP(C177,'Talente &amp; Stuff'!AF:BG,10,FALSE)</f>
        <v>0</v>
      </c>
      <c r="M177" s="121">
        <f>VLOOKUP(C177,'Talente &amp; Stuff'!AF:BG,11,FALSE)</f>
        <v>0</v>
      </c>
      <c r="N177" s="47">
        <f>VLOOKUP(C177,'Talente &amp; Stuff'!AF:BG,12,FALSE)</f>
        <v>0</v>
      </c>
      <c r="O177" s="3">
        <f>VLOOKUP(C177,'Talente &amp; Stuff'!AF:BG,13,FALSE)</f>
        <v>0</v>
      </c>
      <c r="P177" s="174">
        <f>VLOOKUP(C177,'Talente &amp; Stuff'!AF:BG,14,FALSE)</f>
        <v>0</v>
      </c>
      <c r="Q177" s="114">
        <f>VLOOKUP(C177,'Talente &amp; Stuff'!AF:BG,15,FALSE)</f>
        <v>0</v>
      </c>
      <c r="R177" s="117">
        <f>VLOOKUP(C177,'Talente &amp; Stuff'!AF:BG,16,FALSE)</f>
        <v>0</v>
      </c>
      <c r="S177" s="119">
        <f>VLOOKUP(C177,'Talente &amp; Stuff'!AF:BG,17,FALSE)</f>
        <v>0</v>
      </c>
      <c r="T177" s="119">
        <f>VLOOKUP(C177,'Talente &amp; Stuff'!AF:BG,18,FALSE)</f>
        <v>0</v>
      </c>
      <c r="U177" s="89">
        <f>VLOOKUP(C177,'Talente &amp; Stuff'!AF:BG,19,FALSE)</f>
        <v>0</v>
      </c>
      <c r="V177" s="47">
        <f>VLOOKUP(C177,'Talente &amp; Stuff'!AF:BG,20,FALSE)</f>
        <v>0</v>
      </c>
      <c r="W177" s="127">
        <f>VLOOKUP(C177,'Talente &amp; Stuff'!AF:BG,21,FALSE)</f>
        <v>0</v>
      </c>
      <c r="X177" s="127">
        <f>VLOOKUP(C177,'Talente &amp; Stuff'!AF:BG,22,FALSE)</f>
        <v>0</v>
      </c>
      <c r="Y177" s="165">
        <f t="shared" si="16"/>
        <v>0</v>
      </c>
      <c r="Z177" s="44">
        <f t="shared" si="17"/>
        <v>0</v>
      </c>
      <c r="AA177" s="125">
        <f>VLOOKUP(C177,'Talente &amp; Stuff'!AF:BG,25,FALSE)</f>
        <v>0</v>
      </c>
      <c r="AB177" s="160">
        <f>VLOOKUP(C177,'Talente &amp; Stuff'!AF:BG,26,FALSE)</f>
        <v>0</v>
      </c>
      <c r="AC177" s="127">
        <f>VLOOKUP(C177,'Talente &amp; Stuff'!AF:BG,27,FALSE)</f>
        <v>0</v>
      </c>
      <c r="AD177" s="125">
        <f>VLOOKUP(C177,'Talente &amp; Stuff'!AF:BG,28,FALSE)</f>
        <v>0</v>
      </c>
      <c r="AE177" s="28"/>
    </row>
    <row r="178" spans="2:31" s="148" customFormat="1" ht="15" hidden="1" customHeight="1" outlineLevel="2">
      <c r="B178" s="148">
        <v>26</v>
      </c>
      <c r="C178" s="177" t="str">
        <f>Attribute!C178</f>
        <v>---</v>
      </c>
      <c r="D178" s="86" t="str">
        <f>VLOOKUP(C178,'Talente &amp; Stuff'!AF:BG,2,FALSE)</f>
        <v>--/--/--</v>
      </c>
      <c r="E178" s="167" t="str">
        <f>VLOOKUP(C178,'Talente &amp; Stuff'!AF:BG,3,FALSE)</f>
        <v>-</v>
      </c>
      <c r="F178" s="120">
        <f>VLOOKUP(C178,'Talente &amp; Stuff'!AF:BG,4,FALSE)</f>
        <v>0</v>
      </c>
      <c r="G178" s="117">
        <f>VLOOKUP(C178,'Talente &amp; Stuff'!AF:BG,5,FALSE)</f>
        <v>0</v>
      </c>
      <c r="H178" s="117">
        <f>VLOOKUP(C178,'Talente &amp; Stuff'!AF:BG,6,FALSE)</f>
        <v>0</v>
      </c>
      <c r="I178" s="117">
        <f>VLOOKUP(C178,'Talente &amp; Stuff'!AF:BG,7,FALSE)</f>
        <v>0</v>
      </c>
      <c r="J178" s="117">
        <f>VLOOKUP(C178,'Talente &amp; Stuff'!AF:BG,8,FALSE)</f>
        <v>0</v>
      </c>
      <c r="K178" s="117">
        <f>VLOOKUP(C178,'Talente &amp; Stuff'!AF:BG,9,FALSE)</f>
        <v>0</v>
      </c>
      <c r="L178" s="117">
        <f>VLOOKUP(C178,'Talente &amp; Stuff'!AF:BG,10,FALSE)</f>
        <v>0</v>
      </c>
      <c r="M178" s="121">
        <f>VLOOKUP(C178,'Talente &amp; Stuff'!AF:BG,11,FALSE)</f>
        <v>0</v>
      </c>
      <c r="N178" s="47">
        <f>VLOOKUP(C178,'Talente &amp; Stuff'!AF:BG,12,FALSE)</f>
        <v>0</v>
      </c>
      <c r="O178" s="3">
        <f>VLOOKUP(C178,'Talente &amp; Stuff'!AF:BG,13,FALSE)</f>
        <v>0</v>
      </c>
      <c r="P178" s="174">
        <f>VLOOKUP(C178,'Talente &amp; Stuff'!AF:BG,14,FALSE)</f>
        <v>0</v>
      </c>
      <c r="Q178" s="114">
        <f>VLOOKUP(C178,'Talente &amp; Stuff'!AF:BG,15,FALSE)</f>
        <v>0</v>
      </c>
      <c r="R178" s="117">
        <f>VLOOKUP(C178,'Talente &amp; Stuff'!AF:BG,16,FALSE)</f>
        <v>0</v>
      </c>
      <c r="S178" s="119">
        <f>VLOOKUP(C178,'Talente &amp; Stuff'!AF:BG,17,FALSE)</f>
        <v>0</v>
      </c>
      <c r="T178" s="119">
        <f>VLOOKUP(C178,'Talente &amp; Stuff'!AF:BG,18,FALSE)</f>
        <v>0</v>
      </c>
      <c r="U178" s="89">
        <f>VLOOKUP(C178,'Talente &amp; Stuff'!AF:BG,19,FALSE)</f>
        <v>0</v>
      </c>
      <c r="V178" s="47">
        <f>VLOOKUP(C178,'Talente &amp; Stuff'!AF:BG,20,FALSE)</f>
        <v>0</v>
      </c>
      <c r="W178" s="127">
        <f>VLOOKUP(C178,'Talente &amp; Stuff'!AF:BG,21,FALSE)</f>
        <v>0</v>
      </c>
      <c r="X178" s="127">
        <f>VLOOKUP(C178,'Talente &amp; Stuff'!AF:BG,22,FALSE)</f>
        <v>0</v>
      </c>
      <c r="Y178" s="165">
        <f t="shared" si="16"/>
        <v>0</v>
      </c>
      <c r="Z178" s="44">
        <f t="shared" si="17"/>
        <v>0</v>
      </c>
      <c r="AA178" s="125">
        <f>VLOOKUP(C178,'Talente &amp; Stuff'!AF:BG,25,FALSE)</f>
        <v>0</v>
      </c>
      <c r="AB178" s="160">
        <f>VLOOKUP(C178,'Talente &amp; Stuff'!AF:BG,26,FALSE)</f>
        <v>0</v>
      </c>
      <c r="AC178" s="127">
        <f>VLOOKUP(C178,'Talente &amp; Stuff'!AF:BG,27,FALSE)</f>
        <v>0</v>
      </c>
      <c r="AD178" s="125">
        <f>VLOOKUP(C178,'Talente &amp; Stuff'!AF:BG,28,FALSE)</f>
        <v>0</v>
      </c>
      <c r="AE178" s="28"/>
    </row>
    <row r="179" spans="2:31" s="148" customFormat="1" ht="15" hidden="1" customHeight="1" outlineLevel="2">
      <c r="B179" s="148">
        <v>27</v>
      </c>
      <c r="C179" s="177" t="str">
        <f>Attribute!C179</f>
        <v>---</v>
      </c>
      <c r="D179" s="86" t="str">
        <f>VLOOKUP(C179,'Talente &amp; Stuff'!AF:BG,2,FALSE)</f>
        <v>--/--/--</v>
      </c>
      <c r="E179" s="167" t="str">
        <f>VLOOKUP(C179,'Talente &amp; Stuff'!AF:BG,3,FALSE)</f>
        <v>-</v>
      </c>
      <c r="F179" s="120">
        <f>VLOOKUP(C179,'Talente &amp; Stuff'!AF:BG,4,FALSE)</f>
        <v>0</v>
      </c>
      <c r="G179" s="117">
        <f>VLOOKUP(C179,'Talente &amp; Stuff'!AF:BG,5,FALSE)</f>
        <v>0</v>
      </c>
      <c r="H179" s="117">
        <f>VLOOKUP(C179,'Talente &amp; Stuff'!AF:BG,6,FALSE)</f>
        <v>0</v>
      </c>
      <c r="I179" s="117">
        <f>VLOOKUP(C179,'Talente &amp; Stuff'!AF:BG,7,FALSE)</f>
        <v>0</v>
      </c>
      <c r="J179" s="117">
        <f>VLOOKUP(C179,'Talente &amp; Stuff'!AF:BG,8,FALSE)</f>
        <v>0</v>
      </c>
      <c r="K179" s="117">
        <f>VLOOKUP(C179,'Talente &amp; Stuff'!AF:BG,9,FALSE)</f>
        <v>0</v>
      </c>
      <c r="L179" s="117">
        <f>VLOOKUP(C179,'Talente &amp; Stuff'!AF:BG,10,FALSE)</f>
        <v>0</v>
      </c>
      <c r="M179" s="121">
        <f>VLOOKUP(C179,'Talente &amp; Stuff'!AF:BG,11,FALSE)</f>
        <v>0</v>
      </c>
      <c r="N179" s="47">
        <f>VLOOKUP(C179,'Talente &amp; Stuff'!AF:BG,12,FALSE)</f>
        <v>0</v>
      </c>
      <c r="O179" s="3">
        <f>VLOOKUP(C179,'Talente &amp; Stuff'!AF:BG,13,FALSE)</f>
        <v>0</v>
      </c>
      <c r="P179" s="174">
        <f>VLOOKUP(C179,'Talente &amp; Stuff'!AF:BG,14,FALSE)</f>
        <v>0</v>
      </c>
      <c r="Q179" s="114">
        <f>VLOOKUP(C179,'Talente &amp; Stuff'!AF:BG,15,FALSE)</f>
        <v>0</v>
      </c>
      <c r="R179" s="117">
        <f>VLOOKUP(C179,'Talente &amp; Stuff'!AF:BG,16,FALSE)</f>
        <v>0</v>
      </c>
      <c r="S179" s="119">
        <f>VLOOKUP(C179,'Talente &amp; Stuff'!AF:BG,17,FALSE)</f>
        <v>0</v>
      </c>
      <c r="T179" s="119">
        <f>VLOOKUP(C179,'Talente &amp; Stuff'!AF:BG,18,FALSE)</f>
        <v>0</v>
      </c>
      <c r="U179" s="89">
        <f>VLOOKUP(C179,'Talente &amp; Stuff'!AF:BG,19,FALSE)</f>
        <v>0</v>
      </c>
      <c r="V179" s="47">
        <f>VLOOKUP(C179,'Talente &amp; Stuff'!AF:BG,20,FALSE)</f>
        <v>0</v>
      </c>
      <c r="W179" s="127">
        <f>VLOOKUP(C179,'Talente &amp; Stuff'!AF:BG,21,FALSE)</f>
        <v>0</v>
      </c>
      <c r="X179" s="127">
        <f>VLOOKUP(C179,'Talente &amp; Stuff'!AF:BG,22,FALSE)</f>
        <v>0</v>
      </c>
      <c r="Y179" s="165">
        <f t="shared" si="16"/>
        <v>0</v>
      </c>
      <c r="Z179" s="44">
        <f t="shared" si="17"/>
        <v>0</v>
      </c>
      <c r="AA179" s="125">
        <f>VLOOKUP(C179,'Talente &amp; Stuff'!AF:BG,25,FALSE)</f>
        <v>0</v>
      </c>
      <c r="AB179" s="160">
        <f>VLOOKUP(C179,'Talente &amp; Stuff'!AF:BG,26,FALSE)</f>
        <v>0</v>
      </c>
      <c r="AC179" s="127">
        <f>VLOOKUP(C179,'Talente &amp; Stuff'!AF:BG,27,FALSE)</f>
        <v>0</v>
      </c>
      <c r="AD179" s="125">
        <f>VLOOKUP(C179,'Talente &amp; Stuff'!AF:BG,28,FALSE)</f>
        <v>0</v>
      </c>
      <c r="AE179" s="28"/>
    </row>
    <row r="180" spans="2:31" s="148" customFormat="1" ht="15" hidden="1" customHeight="1" outlineLevel="2">
      <c r="B180" s="148">
        <v>28</v>
      </c>
      <c r="C180" s="177" t="str">
        <f>Attribute!C180</f>
        <v>---</v>
      </c>
      <c r="D180" s="86" t="str">
        <f>VLOOKUP(C180,'Talente &amp; Stuff'!AF:BG,2,FALSE)</f>
        <v>--/--/--</v>
      </c>
      <c r="E180" s="167" t="str">
        <f>VLOOKUP(C180,'Talente &amp; Stuff'!AF:BG,3,FALSE)</f>
        <v>-</v>
      </c>
      <c r="F180" s="120">
        <f>VLOOKUP(C180,'Talente &amp; Stuff'!AF:BG,4,FALSE)</f>
        <v>0</v>
      </c>
      <c r="G180" s="117">
        <f>VLOOKUP(C180,'Talente &amp; Stuff'!AF:BG,5,FALSE)</f>
        <v>0</v>
      </c>
      <c r="H180" s="117">
        <f>VLOOKUP(C180,'Talente &amp; Stuff'!AF:BG,6,FALSE)</f>
        <v>0</v>
      </c>
      <c r="I180" s="117">
        <f>VLOOKUP(C180,'Talente &amp; Stuff'!AF:BG,7,FALSE)</f>
        <v>0</v>
      </c>
      <c r="J180" s="117">
        <f>VLOOKUP(C180,'Talente &amp; Stuff'!AF:BG,8,FALSE)</f>
        <v>0</v>
      </c>
      <c r="K180" s="117">
        <f>VLOOKUP(C180,'Talente &amp; Stuff'!AF:BG,9,FALSE)</f>
        <v>0</v>
      </c>
      <c r="L180" s="117">
        <f>VLOOKUP(C180,'Talente &amp; Stuff'!AF:BG,10,FALSE)</f>
        <v>0</v>
      </c>
      <c r="M180" s="121">
        <f>VLOOKUP(C180,'Talente &amp; Stuff'!AF:BG,11,FALSE)</f>
        <v>0</v>
      </c>
      <c r="N180" s="47">
        <f>VLOOKUP(C180,'Talente &amp; Stuff'!AF:BG,12,FALSE)</f>
        <v>0</v>
      </c>
      <c r="O180" s="3">
        <f>VLOOKUP(C180,'Talente &amp; Stuff'!AF:BG,13,FALSE)</f>
        <v>0</v>
      </c>
      <c r="P180" s="174">
        <f>VLOOKUP(C180,'Talente &amp; Stuff'!AF:BG,14,FALSE)</f>
        <v>0</v>
      </c>
      <c r="Q180" s="114">
        <f>VLOOKUP(C180,'Talente &amp; Stuff'!AF:BG,15,FALSE)</f>
        <v>0</v>
      </c>
      <c r="R180" s="117">
        <f>VLOOKUP(C180,'Talente &amp; Stuff'!AF:BG,16,FALSE)</f>
        <v>0</v>
      </c>
      <c r="S180" s="119">
        <f>VLOOKUP(C180,'Talente &amp; Stuff'!AF:BG,17,FALSE)</f>
        <v>0</v>
      </c>
      <c r="T180" s="119">
        <f>VLOOKUP(C180,'Talente &amp; Stuff'!AF:BG,18,FALSE)</f>
        <v>0</v>
      </c>
      <c r="U180" s="89">
        <f>VLOOKUP(C180,'Talente &amp; Stuff'!AF:BG,19,FALSE)</f>
        <v>0</v>
      </c>
      <c r="V180" s="47">
        <f>VLOOKUP(C180,'Talente &amp; Stuff'!AF:BG,20,FALSE)</f>
        <v>0</v>
      </c>
      <c r="W180" s="127">
        <f>VLOOKUP(C180,'Talente &amp; Stuff'!AF:BG,21,FALSE)</f>
        <v>0</v>
      </c>
      <c r="X180" s="127">
        <f>VLOOKUP(C180,'Talente &amp; Stuff'!AF:BG,22,FALSE)</f>
        <v>0</v>
      </c>
      <c r="Y180" s="165">
        <f t="shared" si="16"/>
        <v>0</v>
      </c>
      <c r="Z180" s="44">
        <f t="shared" si="17"/>
        <v>0</v>
      </c>
      <c r="AA180" s="125">
        <f>VLOOKUP(C180,'Talente &amp; Stuff'!AF:BG,25,FALSE)</f>
        <v>0</v>
      </c>
      <c r="AB180" s="160">
        <f>VLOOKUP(C180,'Talente &amp; Stuff'!AF:BG,26,FALSE)</f>
        <v>0</v>
      </c>
      <c r="AC180" s="127">
        <f>VLOOKUP(C180,'Talente &amp; Stuff'!AF:BG,27,FALSE)</f>
        <v>0</v>
      </c>
      <c r="AD180" s="125">
        <f>VLOOKUP(C180,'Talente &amp; Stuff'!AF:BG,28,FALSE)</f>
        <v>0</v>
      </c>
      <c r="AE180" s="28"/>
    </row>
    <row r="181" spans="2:31" s="148" customFormat="1" ht="15" hidden="1" customHeight="1" outlineLevel="2">
      <c r="B181" s="148">
        <v>29</v>
      </c>
      <c r="C181" s="177" t="str">
        <f>Attribute!C181</f>
        <v>---</v>
      </c>
      <c r="D181" s="86" t="str">
        <f>VLOOKUP(C181,'Talente &amp; Stuff'!AF:BG,2,FALSE)</f>
        <v>--/--/--</v>
      </c>
      <c r="E181" s="167" t="str">
        <f>VLOOKUP(C181,'Talente &amp; Stuff'!AF:BG,3,FALSE)</f>
        <v>-</v>
      </c>
      <c r="F181" s="120">
        <f>VLOOKUP(C181,'Talente &amp; Stuff'!AF:BG,4,FALSE)</f>
        <v>0</v>
      </c>
      <c r="G181" s="117">
        <f>VLOOKUP(C181,'Talente &amp; Stuff'!AF:BG,5,FALSE)</f>
        <v>0</v>
      </c>
      <c r="H181" s="117">
        <f>VLOOKUP(C181,'Talente &amp; Stuff'!AF:BG,6,FALSE)</f>
        <v>0</v>
      </c>
      <c r="I181" s="117">
        <f>VLOOKUP(C181,'Talente &amp; Stuff'!AF:BG,7,FALSE)</f>
        <v>0</v>
      </c>
      <c r="J181" s="117">
        <f>VLOOKUP(C181,'Talente &amp; Stuff'!AF:BG,8,FALSE)</f>
        <v>0</v>
      </c>
      <c r="K181" s="117">
        <f>VLOOKUP(C181,'Talente &amp; Stuff'!AF:BG,9,FALSE)</f>
        <v>0</v>
      </c>
      <c r="L181" s="117">
        <f>VLOOKUP(C181,'Talente &amp; Stuff'!AF:BG,10,FALSE)</f>
        <v>0</v>
      </c>
      <c r="M181" s="121">
        <f>VLOOKUP(C181,'Talente &amp; Stuff'!AF:BG,11,FALSE)</f>
        <v>0</v>
      </c>
      <c r="N181" s="47">
        <f>VLOOKUP(C181,'Talente &amp; Stuff'!AF:BG,12,FALSE)</f>
        <v>0</v>
      </c>
      <c r="O181" s="3">
        <f>VLOOKUP(C181,'Talente &amp; Stuff'!AF:BG,13,FALSE)</f>
        <v>0</v>
      </c>
      <c r="P181" s="174">
        <f>VLOOKUP(C181,'Talente &amp; Stuff'!AF:BG,14,FALSE)</f>
        <v>0</v>
      </c>
      <c r="Q181" s="114">
        <f>VLOOKUP(C181,'Talente &amp; Stuff'!AF:BG,15,FALSE)</f>
        <v>0</v>
      </c>
      <c r="R181" s="117">
        <f>VLOOKUP(C181,'Talente &amp; Stuff'!AF:BG,16,FALSE)</f>
        <v>0</v>
      </c>
      <c r="S181" s="119">
        <f>VLOOKUP(C181,'Talente &amp; Stuff'!AF:BG,17,FALSE)</f>
        <v>0</v>
      </c>
      <c r="T181" s="119">
        <f>VLOOKUP(C181,'Talente &amp; Stuff'!AF:BG,18,FALSE)</f>
        <v>0</v>
      </c>
      <c r="U181" s="89">
        <f>VLOOKUP(C181,'Talente &amp; Stuff'!AF:BG,19,FALSE)</f>
        <v>0</v>
      </c>
      <c r="V181" s="47">
        <f>VLOOKUP(C181,'Talente &amp; Stuff'!AF:BG,20,FALSE)</f>
        <v>0</v>
      </c>
      <c r="W181" s="127">
        <f>VLOOKUP(C181,'Talente &amp; Stuff'!AF:BG,21,FALSE)</f>
        <v>0</v>
      </c>
      <c r="X181" s="127">
        <f>VLOOKUP(C181,'Talente &amp; Stuff'!AF:BG,22,FALSE)</f>
        <v>0</v>
      </c>
      <c r="Y181" s="165">
        <f t="shared" si="16"/>
        <v>0</v>
      </c>
      <c r="Z181" s="44">
        <f t="shared" si="17"/>
        <v>0</v>
      </c>
      <c r="AA181" s="125">
        <f>VLOOKUP(C181,'Talente &amp; Stuff'!AF:BG,25,FALSE)</f>
        <v>0</v>
      </c>
      <c r="AB181" s="160">
        <f>VLOOKUP(C181,'Talente &amp; Stuff'!AF:BG,26,FALSE)</f>
        <v>0</v>
      </c>
      <c r="AC181" s="127">
        <f>VLOOKUP(C181,'Talente &amp; Stuff'!AF:BG,27,FALSE)</f>
        <v>0</v>
      </c>
      <c r="AD181" s="125">
        <f>VLOOKUP(C181,'Talente &amp; Stuff'!AF:BG,28,FALSE)</f>
        <v>0</v>
      </c>
      <c r="AE181" s="28"/>
    </row>
    <row r="182" spans="2:31" s="148" customFormat="1" ht="15" hidden="1" customHeight="1" outlineLevel="2">
      <c r="B182" s="148">
        <v>30</v>
      </c>
      <c r="C182" s="177" t="str">
        <f>Attribute!C182</f>
        <v>---</v>
      </c>
      <c r="D182" s="86" t="str">
        <f>VLOOKUP(C182,'Talente &amp; Stuff'!AF:BG,2,FALSE)</f>
        <v>--/--/--</v>
      </c>
      <c r="E182" s="167" t="str">
        <f>VLOOKUP(C182,'Talente &amp; Stuff'!AF:BG,3,FALSE)</f>
        <v>-</v>
      </c>
      <c r="F182" s="120">
        <f>VLOOKUP(C182,'Talente &amp; Stuff'!AF:BG,4,FALSE)</f>
        <v>0</v>
      </c>
      <c r="G182" s="117">
        <f>VLOOKUP(C182,'Talente &amp; Stuff'!AF:BG,5,FALSE)</f>
        <v>0</v>
      </c>
      <c r="H182" s="117">
        <f>VLOOKUP(C182,'Talente &amp; Stuff'!AF:BG,6,FALSE)</f>
        <v>0</v>
      </c>
      <c r="I182" s="117">
        <f>VLOOKUP(C182,'Talente &amp; Stuff'!AF:BG,7,FALSE)</f>
        <v>0</v>
      </c>
      <c r="J182" s="117">
        <f>VLOOKUP(C182,'Talente &amp; Stuff'!AF:BG,8,FALSE)</f>
        <v>0</v>
      </c>
      <c r="K182" s="117">
        <f>VLOOKUP(C182,'Talente &amp; Stuff'!AF:BG,9,FALSE)</f>
        <v>0</v>
      </c>
      <c r="L182" s="117">
        <f>VLOOKUP(C182,'Talente &amp; Stuff'!AF:BG,10,FALSE)</f>
        <v>0</v>
      </c>
      <c r="M182" s="121">
        <f>VLOOKUP(C182,'Talente &amp; Stuff'!AF:BG,11,FALSE)</f>
        <v>0</v>
      </c>
      <c r="N182" s="47">
        <f>VLOOKUP(C182,'Talente &amp; Stuff'!AF:BG,12,FALSE)</f>
        <v>0</v>
      </c>
      <c r="O182" s="3">
        <f>VLOOKUP(C182,'Talente &amp; Stuff'!AF:BG,13,FALSE)</f>
        <v>0</v>
      </c>
      <c r="P182" s="174">
        <f>VLOOKUP(C182,'Talente &amp; Stuff'!AF:BG,14,FALSE)</f>
        <v>0</v>
      </c>
      <c r="Q182" s="114">
        <f>VLOOKUP(C182,'Talente &amp; Stuff'!AF:BG,15,FALSE)</f>
        <v>0</v>
      </c>
      <c r="R182" s="117">
        <f>VLOOKUP(C182,'Talente &amp; Stuff'!AF:BG,16,FALSE)</f>
        <v>0</v>
      </c>
      <c r="S182" s="119">
        <f>VLOOKUP(C182,'Talente &amp; Stuff'!AF:BG,17,FALSE)</f>
        <v>0</v>
      </c>
      <c r="T182" s="119">
        <f>VLOOKUP(C182,'Talente &amp; Stuff'!AF:BG,18,FALSE)</f>
        <v>0</v>
      </c>
      <c r="U182" s="89">
        <f>VLOOKUP(C182,'Talente &amp; Stuff'!AF:BG,19,FALSE)</f>
        <v>0</v>
      </c>
      <c r="V182" s="47">
        <f>VLOOKUP(C182,'Talente &amp; Stuff'!AF:BG,20,FALSE)</f>
        <v>0</v>
      </c>
      <c r="W182" s="127">
        <f>VLOOKUP(C182,'Talente &amp; Stuff'!AF:BG,21,FALSE)</f>
        <v>0</v>
      </c>
      <c r="X182" s="127">
        <f>VLOOKUP(C182,'Talente &amp; Stuff'!AF:BG,22,FALSE)</f>
        <v>0</v>
      </c>
      <c r="Y182" s="165">
        <f t="shared" si="16"/>
        <v>0</v>
      </c>
      <c r="Z182" s="44">
        <f t="shared" si="17"/>
        <v>0</v>
      </c>
      <c r="AA182" s="125">
        <f>VLOOKUP(C182,'Talente &amp; Stuff'!AF:BG,25,FALSE)</f>
        <v>0</v>
      </c>
      <c r="AB182" s="160">
        <f>VLOOKUP(C182,'Talente &amp; Stuff'!AF:BG,26,FALSE)</f>
        <v>0</v>
      </c>
      <c r="AC182" s="127">
        <f>VLOOKUP(C182,'Talente &amp; Stuff'!AF:BG,27,FALSE)</f>
        <v>0</v>
      </c>
      <c r="AD182" s="125">
        <f>VLOOKUP(C182,'Talente &amp; Stuff'!AF:BG,28,FALSE)</f>
        <v>0</v>
      </c>
      <c r="AE182" s="28"/>
    </row>
    <row r="183" spans="2:31" s="148" customFormat="1" ht="15" hidden="1" customHeight="1" outlineLevel="2">
      <c r="B183" s="148">
        <v>31</v>
      </c>
      <c r="C183" s="177" t="str">
        <f>Attribute!C183</f>
        <v>---</v>
      </c>
      <c r="D183" s="86" t="str">
        <f>VLOOKUP(C183,'Talente &amp; Stuff'!AF:BG,2,FALSE)</f>
        <v>--/--/--</v>
      </c>
      <c r="E183" s="167" t="str">
        <f>VLOOKUP(C183,'Talente &amp; Stuff'!AF:BG,3,FALSE)</f>
        <v>-</v>
      </c>
      <c r="F183" s="120">
        <f>VLOOKUP(C183,'Talente &amp; Stuff'!AF:BG,4,FALSE)</f>
        <v>0</v>
      </c>
      <c r="G183" s="117">
        <f>VLOOKUP(C183,'Talente &amp; Stuff'!AF:BG,5,FALSE)</f>
        <v>0</v>
      </c>
      <c r="H183" s="117">
        <f>VLOOKUP(C183,'Talente &amp; Stuff'!AF:BG,6,FALSE)</f>
        <v>0</v>
      </c>
      <c r="I183" s="117">
        <f>VLOOKUP(C183,'Talente &amp; Stuff'!AF:BG,7,FALSE)</f>
        <v>0</v>
      </c>
      <c r="J183" s="117">
        <f>VLOOKUP(C183,'Talente &amp; Stuff'!AF:BG,8,FALSE)</f>
        <v>0</v>
      </c>
      <c r="K183" s="117">
        <f>VLOOKUP(C183,'Talente &amp; Stuff'!AF:BG,9,FALSE)</f>
        <v>0</v>
      </c>
      <c r="L183" s="117">
        <f>VLOOKUP(C183,'Talente &amp; Stuff'!AF:BG,10,FALSE)</f>
        <v>0</v>
      </c>
      <c r="M183" s="121">
        <f>VLOOKUP(C183,'Talente &amp; Stuff'!AF:BG,11,FALSE)</f>
        <v>0</v>
      </c>
      <c r="N183" s="47">
        <f>VLOOKUP(C183,'Talente &amp; Stuff'!AF:BG,12,FALSE)</f>
        <v>0</v>
      </c>
      <c r="O183" s="3">
        <f>VLOOKUP(C183,'Talente &amp; Stuff'!AF:BG,13,FALSE)</f>
        <v>0</v>
      </c>
      <c r="P183" s="174">
        <f>VLOOKUP(C183,'Talente &amp; Stuff'!AF:BG,14,FALSE)</f>
        <v>0</v>
      </c>
      <c r="Q183" s="114">
        <f>VLOOKUP(C183,'Talente &amp; Stuff'!AF:BG,15,FALSE)</f>
        <v>0</v>
      </c>
      <c r="R183" s="117">
        <f>VLOOKUP(C183,'Talente &amp; Stuff'!AF:BG,16,FALSE)</f>
        <v>0</v>
      </c>
      <c r="S183" s="119">
        <f>VLOOKUP(C183,'Talente &amp; Stuff'!AF:BG,17,FALSE)</f>
        <v>0</v>
      </c>
      <c r="T183" s="119">
        <f>VLOOKUP(C183,'Talente &amp; Stuff'!AF:BG,18,FALSE)</f>
        <v>0</v>
      </c>
      <c r="U183" s="89">
        <f>VLOOKUP(C183,'Talente &amp; Stuff'!AF:BG,19,FALSE)</f>
        <v>0</v>
      </c>
      <c r="V183" s="47">
        <f>VLOOKUP(C183,'Talente &amp; Stuff'!AF:BG,20,FALSE)</f>
        <v>0</v>
      </c>
      <c r="W183" s="127">
        <f>VLOOKUP(C183,'Talente &amp; Stuff'!AF:BG,21,FALSE)</f>
        <v>0</v>
      </c>
      <c r="X183" s="127">
        <f>VLOOKUP(C183,'Talente &amp; Stuff'!AF:BG,22,FALSE)</f>
        <v>0</v>
      </c>
      <c r="Y183" s="165">
        <f t="shared" si="16"/>
        <v>0</v>
      </c>
      <c r="Z183" s="44">
        <f t="shared" si="17"/>
        <v>0</v>
      </c>
      <c r="AA183" s="125">
        <f>VLOOKUP(C183,'Talente &amp; Stuff'!AF:BG,25,FALSE)</f>
        <v>0</v>
      </c>
      <c r="AB183" s="160">
        <f>VLOOKUP(C183,'Talente &amp; Stuff'!AF:BG,26,FALSE)</f>
        <v>0</v>
      </c>
      <c r="AC183" s="127">
        <f>VLOOKUP(C183,'Talente &amp; Stuff'!AF:BG,27,FALSE)</f>
        <v>0</v>
      </c>
      <c r="AD183" s="125">
        <f>VLOOKUP(C183,'Talente &amp; Stuff'!AF:BG,28,FALSE)</f>
        <v>0</v>
      </c>
      <c r="AE183" s="28"/>
    </row>
    <row r="184" spans="2:31" s="148" customFormat="1" ht="15" hidden="1" customHeight="1" outlineLevel="2">
      <c r="B184" s="148">
        <v>32</v>
      </c>
      <c r="C184" s="177" t="str">
        <f>Attribute!C184</f>
        <v>---</v>
      </c>
      <c r="D184" s="86" t="str">
        <f>VLOOKUP(C184,'Talente &amp; Stuff'!AF:BG,2,FALSE)</f>
        <v>--/--/--</v>
      </c>
      <c r="E184" s="167" t="str">
        <f>VLOOKUP(C184,'Talente &amp; Stuff'!AF:BG,3,FALSE)</f>
        <v>-</v>
      </c>
      <c r="F184" s="120">
        <f>VLOOKUP(C184,'Talente &amp; Stuff'!AF:BG,4,FALSE)</f>
        <v>0</v>
      </c>
      <c r="G184" s="117">
        <f>VLOOKUP(C184,'Talente &amp; Stuff'!AF:BG,5,FALSE)</f>
        <v>0</v>
      </c>
      <c r="H184" s="117">
        <f>VLOOKUP(C184,'Talente &amp; Stuff'!AF:BG,6,FALSE)</f>
        <v>0</v>
      </c>
      <c r="I184" s="117">
        <f>VLOOKUP(C184,'Talente &amp; Stuff'!AF:BG,7,FALSE)</f>
        <v>0</v>
      </c>
      <c r="J184" s="117">
        <f>VLOOKUP(C184,'Talente &amp; Stuff'!AF:BG,8,FALSE)</f>
        <v>0</v>
      </c>
      <c r="K184" s="117">
        <f>VLOOKUP(C184,'Talente &amp; Stuff'!AF:BG,9,FALSE)</f>
        <v>0</v>
      </c>
      <c r="L184" s="117">
        <f>VLOOKUP(C184,'Talente &amp; Stuff'!AF:BG,10,FALSE)</f>
        <v>0</v>
      </c>
      <c r="M184" s="121">
        <f>VLOOKUP(C184,'Talente &amp; Stuff'!AF:BG,11,FALSE)</f>
        <v>0</v>
      </c>
      <c r="N184" s="47">
        <f>VLOOKUP(C184,'Talente &amp; Stuff'!AF:BG,12,FALSE)</f>
        <v>0</v>
      </c>
      <c r="O184" s="3">
        <f>VLOOKUP(C184,'Talente &amp; Stuff'!AF:BG,13,FALSE)</f>
        <v>0</v>
      </c>
      <c r="P184" s="174">
        <f>VLOOKUP(C184,'Talente &amp; Stuff'!AF:BG,14,FALSE)</f>
        <v>0</v>
      </c>
      <c r="Q184" s="114">
        <f>VLOOKUP(C184,'Talente &amp; Stuff'!AF:BG,15,FALSE)</f>
        <v>0</v>
      </c>
      <c r="R184" s="117">
        <f>VLOOKUP(C184,'Talente &amp; Stuff'!AF:BG,16,FALSE)</f>
        <v>0</v>
      </c>
      <c r="S184" s="119">
        <f>VLOOKUP(C184,'Talente &amp; Stuff'!AF:BG,17,FALSE)</f>
        <v>0</v>
      </c>
      <c r="T184" s="119">
        <f>VLOOKUP(C184,'Talente &amp; Stuff'!AF:BG,18,FALSE)</f>
        <v>0</v>
      </c>
      <c r="U184" s="89">
        <f>VLOOKUP(C184,'Talente &amp; Stuff'!AF:BG,19,FALSE)</f>
        <v>0</v>
      </c>
      <c r="V184" s="47">
        <f>VLOOKUP(C184,'Talente &amp; Stuff'!AF:BG,20,FALSE)</f>
        <v>0</v>
      </c>
      <c r="W184" s="127">
        <f>VLOOKUP(C184,'Talente &amp; Stuff'!AF:BG,21,FALSE)</f>
        <v>0</v>
      </c>
      <c r="X184" s="127">
        <f>VLOOKUP(C184,'Talente &amp; Stuff'!AF:BG,22,FALSE)</f>
        <v>0</v>
      </c>
      <c r="Y184" s="165">
        <f t="shared" si="16"/>
        <v>0</v>
      </c>
      <c r="Z184" s="44">
        <f t="shared" si="17"/>
        <v>0</v>
      </c>
      <c r="AA184" s="125">
        <f>VLOOKUP(C184,'Talente &amp; Stuff'!AF:BG,25,FALSE)</f>
        <v>0</v>
      </c>
      <c r="AB184" s="160">
        <f>VLOOKUP(C184,'Talente &amp; Stuff'!AF:BG,26,FALSE)</f>
        <v>0</v>
      </c>
      <c r="AC184" s="127">
        <f>VLOOKUP(C184,'Talente &amp; Stuff'!AF:BG,27,FALSE)</f>
        <v>0</v>
      </c>
      <c r="AD184" s="125">
        <f>VLOOKUP(C184,'Talente &amp; Stuff'!AF:BG,28,FALSE)</f>
        <v>0</v>
      </c>
      <c r="AE184" s="28"/>
    </row>
    <row r="185" spans="2:31" s="148" customFormat="1" ht="15" hidden="1" customHeight="1" outlineLevel="2">
      <c r="B185" s="148">
        <v>33</v>
      </c>
      <c r="C185" s="177" t="str">
        <f>Attribute!C185</f>
        <v>---</v>
      </c>
      <c r="D185" s="86" t="str">
        <f>VLOOKUP(C185,'Talente &amp; Stuff'!AF:BG,2,FALSE)</f>
        <v>--/--/--</v>
      </c>
      <c r="E185" s="167" t="str">
        <f>VLOOKUP(C185,'Talente &amp; Stuff'!AF:BG,3,FALSE)</f>
        <v>-</v>
      </c>
      <c r="F185" s="120">
        <f>VLOOKUP(C185,'Talente &amp; Stuff'!AF:BG,4,FALSE)</f>
        <v>0</v>
      </c>
      <c r="G185" s="117">
        <f>VLOOKUP(C185,'Talente &amp; Stuff'!AF:BG,5,FALSE)</f>
        <v>0</v>
      </c>
      <c r="H185" s="117">
        <f>VLOOKUP(C185,'Talente &amp; Stuff'!AF:BG,6,FALSE)</f>
        <v>0</v>
      </c>
      <c r="I185" s="117">
        <f>VLOOKUP(C185,'Talente &amp; Stuff'!AF:BG,7,FALSE)</f>
        <v>0</v>
      </c>
      <c r="J185" s="117">
        <f>VLOOKUP(C185,'Talente &amp; Stuff'!AF:BG,8,FALSE)</f>
        <v>0</v>
      </c>
      <c r="K185" s="117">
        <f>VLOOKUP(C185,'Talente &amp; Stuff'!AF:BG,9,FALSE)</f>
        <v>0</v>
      </c>
      <c r="L185" s="117">
        <f>VLOOKUP(C185,'Talente &amp; Stuff'!AF:BG,10,FALSE)</f>
        <v>0</v>
      </c>
      <c r="M185" s="121">
        <f>VLOOKUP(C185,'Talente &amp; Stuff'!AF:BG,11,FALSE)</f>
        <v>0</v>
      </c>
      <c r="N185" s="47">
        <f>VLOOKUP(C185,'Talente &amp; Stuff'!AF:BG,12,FALSE)</f>
        <v>0</v>
      </c>
      <c r="O185" s="3">
        <f>VLOOKUP(C185,'Talente &amp; Stuff'!AF:BG,13,FALSE)</f>
        <v>0</v>
      </c>
      <c r="P185" s="174">
        <f>VLOOKUP(C185,'Talente &amp; Stuff'!AF:BG,14,FALSE)</f>
        <v>0</v>
      </c>
      <c r="Q185" s="114">
        <f>VLOOKUP(C185,'Talente &amp; Stuff'!AF:BG,15,FALSE)</f>
        <v>0</v>
      </c>
      <c r="R185" s="117">
        <f>VLOOKUP(C185,'Talente &amp; Stuff'!AF:BG,16,FALSE)</f>
        <v>0</v>
      </c>
      <c r="S185" s="119">
        <f>VLOOKUP(C185,'Talente &amp; Stuff'!AF:BG,17,FALSE)</f>
        <v>0</v>
      </c>
      <c r="T185" s="119">
        <f>VLOOKUP(C185,'Talente &amp; Stuff'!AF:BG,18,FALSE)</f>
        <v>0</v>
      </c>
      <c r="U185" s="89">
        <f>VLOOKUP(C185,'Talente &amp; Stuff'!AF:BG,19,FALSE)</f>
        <v>0</v>
      </c>
      <c r="V185" s="47">
        <f>VLOOKUP(C185,'Talente &amp; Stuff'!AF:BG,20,FALSE)</f>
        <v>0</v>
      </c>
      <c r="W185" s="127">
        <f>VLOOKUP(C185,'Talente &amp; Stuff'!AF:BG,21,FALSE)</f>
        <v>0</v>
      </c>
      <c r="X185" s="127">
        <f>VLOOKUP(C185,'Talente &amp; Stuff'!AF:BG,22,FALSE)</f>
        <v>0</v>
      </c>
      <c r="Y185" s="165">
        <f t="shared" ref="Y185:Y211" si="18">VLOOKUP(C185,Ausgewählte_Zauber_Gildenmagier,52,FALSE)</f>
        <v>0</v>
      </c>
      <c r="Z185" s="44">
        <f t="shared" ref="Z185:Z211" si="19">VLOOKUP(C185,Ausgewählte_Zauber_Gildenmagier,53,FALSE)</f>
        <v>0</v>
      </c>
      <c r="AA185" s="125">
        <f>VLOOKUP(C185,'Talente &amp; Stuff'!AF:BG,25,FALSE)</f>
        <v>0</v>
      </c>
      <c r="AB185" s="160">
        <f>VLOOKUP(C185,'Talente &amp; Stuff'!AF:BG,26,FALSE)</f>
        <v>0</v>
      </c>
      <c r="AC185" s="127">
        <f>VLOOKUP(C185,'Talente &amp; Stuff'!AF:BG,27,FALSE)</f>
        <v>0</v>
      </c>
      <c r="AD185" s="125">
        <f>VLOOKUP(C185,'Talente &amp; Stuff'!AF:BG,28,FALSE)</f>
        <v>0</v>
      </c>
      <c r="AE185" s="28"/>
    </row>
    <row r="186" spans="2:31" s="148" customFormat="1" ht="15" hidden="1" customHeight="1" outlineLevel="2">
      <c r="B186" s="148">
        <v>34</v>
      </c>
      <c r="C186" s="177" t="str">
        <f>Attribute!C186</f>
        <v>---</v>
      </c>
      <c r="D186" s="86" t="str">
        <f>VLOOKUP(C186,'Talente &amp; Stuff'!AF:BG,2,FALSE)</f>
        <v>--/--/--</v>
      </c>
      <c r="E186" s="167" t="str">
        <f>VLOOKUP(C186,'Talente &amp; Stuff'!AF:BG,3,FALSE)</f>
        <v>-</v>
      </c>
      <c r="F186" s="120">
        <f>VLOOKUP(C186,'Talente &amp; Stuff'!AF:BG,4,FALSE)</f>
        <v>0</v>
      </c>
      <c r="G186" s="117">
        <f>VLOOKUP(C186,'Talente &amp; Stuff'!AF:BG,5,FALSE)</f>
        <v>0</v>
      </c>
      <c r="H186" s="117">
        <f>VLOOKUP(C186,'Talente &amp; Stuff'!AF:BG,6,FALSE)</f>
        <v>0</v>
      </c>
      <c r="I186" s="117">
        <f>VLOOKUP(C186,'Talente &amp; Stuff'!AF:BG,7,FALSE)</f>
        <v>0</v>
      </c>
      <c r="J186" s="117">
        <f>VLOOKUP(C186,'Talente &amp; Stuff'!AF:BG,8,FALSE)</f>
        <v>0</v>
      </c>
      <c r="K186" s="117">
        <f>VLOOKUP(C186,'Talente &amp; Stuff'!AF:BG,9,FALSE)</f>
        <v>0</v>
      </c>
      <c r="L186" s="117">
        <f>VLOOKUP(C186,'Talente &amp; Stuff'!AF:BG,10,FALSE)</f>
        <v>0</v>
      </c>
      <c r="M186" s="121">
        <f>VLOOKUP(C186,'Talente &amp; Stuff'!AF:BG,11,FALSE)</f>
        <v>0</v>
      </c>
      <c r="N186" s="47">
        <f>VLOOKUP(C186,'Talente &amp; Stuff'!AF:BG,12,FALSE)</f>
        <v>0</v>
      </c>
      <c r="O186" s="3">
        <f>VLOOKUP(C186,'Talente &amp; Stuff'!AF:BG,13,FALSE)</f>
        <v>0</v>
      </c>
      <c r="P186" s="174">
        <f>VLOOKUP(C186,'Talente &amp; Stuff'!AF:BG,14,FALSE)</f>
        <v>0</v>
      </c>
      <c r="Q186" s="114">
        <f>VLOOKUP(C186,'Talente &amp; Stuff'!AF:BG,15,FALSE)</f>
        <v>0</v>
      </c>
      <c r="R186" s="117">
        <f>VLOOKUP(C186,'Talente &amp; Stuff'!AF:BG,16,FALSE)</f>
        <v>0</v>
      </c>
      <c r="S186" s="119">
        <f>VLOOKUP(C186,'Talente &amp; Stuff'!AF:BG,17,FALSE)</f>
        <v>0</v>
      </c>
      <c r="T186" s="119">
        <f>VLOOKUP(C186,'Talente &amp; Stuff'!AF:BG,18,FALSE)</f>
        <v>0</v>
      </c>
      <c r="U186" s="89">
        <f>VLOOKUP(C186,'Talente &amp; Stuff'!AF:BG,19,FALSE)</f>
        <v>0</v>
      </c>
      <c r="V186" s="47">
        <f>VLOOKUP(C186,'Talente &amp; Stuff'!AF:BG,20,FALSE)</f>
        <v>0</v>
      </c>
      <c r="W186" s="127">
        <f>VLOOKUP(C186,'Talente &amp; Stuff'!AF:BG,21,FALSE)</f>
        <v>0</v>
      </c>
      <c r="X186" s="127">
        <f>VLOOKUP(C186,'Talente &amp; Stuff'!AF:BG,22,FALSE)</f>
        <v>0</v>
      </c>
      <c r="Y186" s="165">
        <f t="shared" si="18"/>
        <v>0</v>
      </c>
      <c r="Z186" s="44">
        <f t="shared" si="19"/>
        <v>0</v>
      </c>
      <c r="AA186" s="125">
        <f>VLOOKUP(C186,'Talente &amp; Stuff'!AF:BG,25,FALSE)</f>
        <v>0</v>
      </c>
      <c r="AB186" s="160">
        <f>VLOOKUP(C186,'Talente &amp; Stuff'!AF:BG,26,FALSE)</f>
        <v>0</v>
      </c>
      <c r="AC186" s="127">
        <f>VLOOKUP(C186,'Talente &amp; Stuff'!AF:BG,27,FALSE)</f>
        <v>0</v>
      </c>
      <c r="AD186" s="125">
        <f>VLOOKUP(C186,'Talente &amp; Stuff'!AF:BG,28,FALSE)</f>
        <v>0</v>
      </c>
      <c r="AE186" s="28"/>
    </row>
    <row r="187" spans="2:31" s="148" customFormat="1" ht="15" hidden="1" customHeight="1" outlineLevel="2">
      <c r="B187" s="148">
        <v>35</v>
      </c>
      <c r="C187" s="177" t="str">
        <f>Attribute!C187</f>
        <v>---</v>
      </c>
      <c r="D187" s="86" t="str">
        <f>VLOOKUP(C187,'Talente &amp; Stuff'!AF:BG,2,FALSE)</f>
        <v>--/--/--</v>
      </c>
      <c r="E187" s="167" t="str">
        <f>VLOOKUP(C187,'Talente &amp; Stuff'!AF:BG,3,FALSE)</f>
        <v>-</v>
      </c>
      <c r="F187" s="120">
        <f>VLOOKUP(C187,'Talente &amp; Stuff'!AF:BG,4,FALSE)</f>
        <v>0</v>
      </c>
      <c r="G187" s="117">
        <f>VLOOKUP(C187,'Talente &amp; Stuff'!AF:BG,5,FALSE)</f>
        <v>0</v>
      </c>
      <c r="H187" s="117">
        <f>VLOOKUP(C187,'Talente &amp; Stuff'!AF:BG,6,FALSE)</f>
        <v>0</v>
      </c>
      <c r="I187" s="117">
        <f>VLOOKUP(C187,'Talente &amp; Stuff'!AF:BG,7,FALSE)</f>
        <v>0</v>
      </c>
      <c r="J187" s="117">
        <f>VLOOKUP(C187,'Talente &amp; Stuff'!AF:BG,8,FALSE)</f>
        <v>0</v>
      </c>
      <c r="K187" s="117">
        <f>VLOOKUP(C187,'Talente &amp; Stuff'!AF:BG,9,FALSE)</f>
        <v>0</v>
      </c>
      <c r="L187" s="117">
        <f>VLOOKUP(C187,'Talente &amp; Stuff'!AF:BG,10,FALSE)</f>
        <v>0</v>
      </c>
      <c r="M187" s="121">
        <f>VLOOKUP(C187,'Talente &amp; Stuff'!AF:BG,11,FALSE)</f>
        <v>0</v>
      </c>
      <c r="N187" s="47">
        <f>VLOOKUP(C187,'Talente &amp; Stuff'!AF:BG,12,FALSE)</f>
        <v>0</v>
      </c>
      <c r="O187" s="3">
        <f>VLOOKUP(C187,'Talente &amp; Stuff'!AF:BG,13,FALSE)</f>
        <v>0</v>
      </c>
      <c r="P187" s="174">
        <f>VLOOKUP(C187,'Talente &amp; Stuff'!AF:BG,14,FALSE)</f>
        <v>0</v>
      </c>
      <c r="Q187" s="114">
        <f>VLOOKUP(C187,'Talente &amp; Stuff'!AF:BG,15,FALSE)</f>
        <v>0</v>
      </c>
      <c r="R187" s="117">
        <f>VLOOKUP(C187,'Talente &amp; Stuff'!AF:BG,16,FALSE)</f>
        <v>0</v>
      </c>
      <c r="S187" s="119">
        <f>VLOOKUP(C187,'Talente &amp; Stuff'!AF:BG,17,FALSE)</f>
        <v>0</v>
      </c>
      <c r="T187" s="119">
        <f>VLOOKUP(C187,'Talente &amp; Stuff'!AF:BG,18,FALSE)</f>
        <v>0</v>
      </c>
      <c r="U187" s="89">
        <f>VLOOKUP(C187,'Talente &amp; Stuff'!AF:BG,19,FALSE)</f>
        <v>0</v>
      </c>
      <c r="V187" s="47">
        <f>VLOOKUP(C187,'Talente &amp; Stuff'!AF:BG,20,FALSE)</f>
        <v>0</v>
      </c>
      <c r="W187" s="127">
        <f>VLOOKUP(C187,'Talente &amp; Stuff'!AF:BG,21,FALSE)</f>
        <v>0</v>
      </c>
      <c r="X187" s="127">
        <f>VLOOKUP(C187,'Talente &amp; Stuff'!AF:BG,22,FALSE)</f>
        <v>0</v>
      </c>
      <c r="Y187" s="165">
        <f t="shared" si="18"/>
        <v>0</v>
      </c>
      <c r="Z187" s="44">
        <f t="shared" si="19"/>
        <v>0</v>
      </c>
      <c r="AA187" s="125">
        <f>VLOOKUP(C187,'Talente &amp; Stuff'!AF:BG,25,FALSE)</f>
        <v>0</v>
      </c>
      <c r="AB187" s="160">
        <f>VLOOKUP(C187,'Talente &amp; Stuff'!AF:BG,26,FALSE)</f>
        <v>0</v>
      </c>
      <c r="AC187" s="127">
        <f>VLOOKUP(C187,'Talente &amp; Stuff'!AF:BG,27,FALSE)</f>
        <v>0</v>
      </c>
      <c r="AD187" s="125">
        <f>VLOOKUP(C187,'Talente &amp; Stuff'!AF:BG,28,FALSE)</f>
        <v>0</v>
      </c>
      <c r="AE187" s="28"/>
    </row>
    <row r="188" spans="2:31" s="148" customFormat="1" ht="15" hidden="1" customHeight="1" outlineLevel="2">
      <c r="B188" s="148">
        <v>36</v>
      </c>
      <c r="C188" s="177" t="str">
        <f>Attribute!C188</f>
        <v>---</v>
      </c>
      <c r="D188" s="86" t="str">
        <f>VLOOKUP(C188,'Talente &amp; Stuff'!AF:BG,2,FALSE)</f>
        <v>--/--/--</v>
      </c>
      <c r="E188" s="167" t="str">
        <f>VLOOKUP(C188,'Talente &amp; Stuff'!AF:BG,3,FALSE)</f>
        <v>-</v>
      </c>
      <c r="F188" s="120">
        <f>VLOOKUP(C188,'Talente &amp; Stuff'!AF:BG,4,FALSE)</f>
        <v>0</v>
      </c>
      <c r="G188" s="117">
        <f>VLOOKUP(C188,'Talente &amp; Stuff'!AF:BG,5,FALSE)</f>
        <v>0</v>
      </c>
      <c r="H188" s="117">
        <f>VLOOKUP(C188,'Talente &amp; Stuff'!AF:BG,6,FALSE)</f>
        <v>0</v>
      </c>
      <c r="I188" s="117">
        <f>VLOOKUP(C188,'Talente &amp; Stuff'!AF:BG,7,FALSE)</f>
        <v>0</v>
      </c>
      <c r="J188" s="117">
        <f>VLOOKUP(C188,'Talente &amp; Stuff'!AF:BG,8,FALSE)</f>
        <v>0</v>
      </c>
      <c r="K188" s="117">
        <f>VLOOKUP(C188,'Talente &amp; Stuff'!AF:BG,9,FALSE)</f>
        <v>0</v>
      </c>
      <c r="L188" s="117">
        <f>VLOOKUP(C188,'Talente &amp; Stuff'!AF:BG,10,FALSE)</f>
        <v>0</v>
      </c>
      <c r="M188" s="121">
        <f>VLOOKUP(C188,'Talente &amp; Stuff'!AF:BG,11,FALSE)</f>
        <v>0</v>
      </c>
      <c r="N188" s="47">
        <f>VLOOKUP(C188,'Talente &amp; Stuff'!AF:BG,12,FALSE)</f>
        <v>0</v>
      </c>
      <c r="O188" s="3">
        <f>VLOOKUP(C188,'Talente &amp; Stuff'!AF:BG,13,FALSE)</f>
        <v>0</v>
      </c>
      <c r="P188" s="174">
        <f>VLOOKUP(C188,'Talente &amp; Stuff'!AF:BG,14,FALSE)</f>
        <v>0</v>
      </c>
      <c r="Q188" s="114">
        <f>VLOOKUP(C188,'Talente &amp; Stuff'!AF:BG,15,FALSE)</f>
        <v>0</v>
      </c>
      <c r="R188" s="117">
        <f>VLOOKUP(C188,'Talente &amp; Stuff'!AF:BG,16,FALSE)</f>
        <v>0</v>
      </c>
      <c r="S188" s="119">
        <f>VLOOKUP(C188,'Talente &amp; Stuff'!AF:BG,17,FALSE)</f>
        <v>0</v>
      </c>
      <c r="T188" s="119">
        <f>VLOOKUP(C188,'Talente &amp; Stuff'!AF:BG,18,FALSE)</f>
        <v>0</v>
      </c>
      <c r="U188" s="89">
        <f>VLOOKUP(C188,'Talente &amp; Stuff'!AF:BG,19,FALSE)</f>
        <v>0</v>
      </c>
      <c r="V188" s="47">
        <f>VLOOKUP(C188,'Talente &amp; Stuff'!AF:BG,20,FALSE)</f>
        <v>0</v>
      </c>
      <c r="W188" s="127">
        <f>VLOOKUP(C188,'Talente &amp; Stuff'!AF:BG,21,FALSE)</f>
        <v>0</v>
      </c>
      <c r="X188" s="127">
        <f>VLOOKUP(C188,'Talente &amp; Stuff'!AF:BG,22,FALSE)</f>
        <v>0</v>
      </c>
      <c r="Y188" s="165">
        <f t="shared" si="18"/>
        <v>0</v>
      </c>
      <c r="Z188" s="44">
        <f t="shared" si="19"/>
        <v>0</v>
      </c>
      <c r="AA188" s="125">
        <f>VLOOKUP(C188,'Talente &amp; Stuff'!AF:BG,25,FALSE)</f>
        <v>0</v>
      </c>
      <c r="AB188" s="160">
        <f>VLOOKUP(C188,'Talente &amp; Stuff'!AF:BG,26,FALSE)</f>
        <v>0</v>
      </c>
      <c r="AC188" s="127">
        <f>VLOOKUP(C188,'Talente &amp; Stuff'!AF:BG,27,FALSE)</f>
        <v>0</v>
      </c>
      <c r="AD188" s="125">
        <f>VLOOKUP(C188,'Talente &amp; Stuff'!AF:BG,28,FALSE)</f>
        <v>0</v>
      </c>
      <c r="AE188" s="28"/>
    </row>
    <row r="189" spans="2:31" s="148" customFormat="1" ht="15" hidden="1" customHeight="1" outlineLevel="2">
      <c r="B189" s="148">
        <v>37</v>
      </c>
      <c r="C189" s="177" t="str">
        <f>Attribute!C189</f>
        <v>---</v>
      </c>
      <c r="D189" s="86" t="str">
        <f>VLOOKUP(C189,'Talente &amp; Stuff'!AF:BG,2,FALSE)</f>
        <v>--/--/--</v>
      </c>
      <c r="E189" s="167" t="str">
        <f>VLOOKUP(C189,'Talente &amp; Stuff'!AF:BG,3,FALSE)</f>
        <v>-</v>
      </c>
      <c r="F189" s="120">
        <f>VLOOKUP(C189,'Talente &amp; Stuff'!AF:BG,4,FALSE)</f>
        <v>0</v>
      </c>
      <c r="G189" s="117">
        <f>VLOOKUP(C189,'Talente &amp; Stuff'!AF:BG,5,FALSE)</f>
        <v>0</v>
      </c>
      <c r="H189" s="117">
        <f>VLOOKUP(C189,'Talente &amp; Stuff'!AF:BG,6,FALSE)</f>
        <v>0</v>
      </c>
      <c r="I189" s="117">
        <f>VLOOKUP(C189,'Talente &amp; Stuff'!AF:BG,7,FALSE)</f>
        <v>0</v>
      </c>
      <c r="J189" s="117">
        <f>VLOOKUP(C189,'Talente &amp; Stuff'!AF:BG,8,FALSE)</f>
        <v>0</v>
      </c>
      <c r="K189" s="117">
        <f>VLOOKUP(C189,'Talente &amp; Stuff'!AF:BG,9,FALSE)</f>
        <v>0</v>
      </c>
      <c r="L189" s="117">
        <f>VLOOKUP(C189,'Talente &amp; Stuff'!AF:BG,10,FALSE)</f>
        <v>0</v>
      </c>
      <c r="M189" s="121">
        <f>VLOOKUP(C189,'Talente &amp; Stuff'!AF:BG,11,FALSE)</f>
        <v>0</v>
      </c>
      <c r="N189" s="47">
        <f>VLOOKUP(C189,'Talente &amp; Stuff'!AF:BG,12,FALSE)</f>
        <v>0</v>
      </c>
      <c r="O189" s="3">
        <f>VLOOKUP(C189,'Talente &amp; Stuff'!AF:BG,13,FALSE)</f>
        <v>0</v>
      </c>
      <c r="P189" s="174">
        <f>VLOOKUP(C189,'Talente &amp; Stuff'!AF:BG,14,FALSE)</f>
        <v>0</v>
      </c>
      <c r="Q189" s="114">
        <f>VLOOKUP(C189,'Talente &amp; Stuff'!AF:BG,15,FALSE)</f>
        <v>0</v>
      </c>
      <c r="R189" s="117">
        <f>VLOOKUP(C189,'Talente &amp; Stuff'!AF:BG,16,FALSE)</f>
        <v>0</v>
      </c>
      <c r="S189" s="119">
        <f>VLOOKUP(C189,'Talente &amp; Stuff'!AF:BG,17,FALSE)</f>
        <v>0</v>
      </c>
      <c r="T189" s="119">
        <f>VLOOKUP(C189,'Talente &amp; Stuff'!AF:BG,18,FALSE)</f>
        <v>0</v>
      </c>
      <c r="U189" s="89">
        <f>VLOOKUP(C189,'Talente &amp; Stuff'!AF:BG,19,FALSE)</f>
        <v>0</v>
      </c>
      <c r="V189" s="47">
        <f>VLOOKUP(C189,'Talente &amp; Stuff'!AF:BG,20,FALSE)</f>
        <v>0</v>
      </c>
      <c r="W189" s="127">
        <f>VLOOKUP(C189,'Talente &amp; Stuff'!AF:BG,21,FALSE)</f>
        <v>0</v>
      </c>
      <c r="X189" s="127">
        <f>VLOOKUP(C189,'Talente &amp; Stuff'!AF:BG,22,FALSE)</f>
        <v>0</v>
      </c>
      <c r="Y189" s="165">
        <f t="shared" si="18"/>
        <v>0</v>
      </c>
      <c r="Z189" s="44">
        <f t="shared" si="19"/>
        <v>0</v>
      </c>
      <c r="AA189" s="125">
        <f>VLOOKUP(C189,'Talente &amp; Stuff'!AF:BG,25,FALSE)</f>
        <v>0</v>
      </c>
      <c r="AB189" s="160">
        <f>VLOOKUP(C189,'Talente &amp; Stuff'!AF:BG,26,FALSE)</f>
        <v>0</v>
      </c>
      <c r="AC189" s="127">
        <f>VLOOKUP(C189,'Talente &amp; Stuff'!AF:BG,27,FALSE)</f>
        <v>0</v>
      </c>
      <c r="AD189" s="125">
        <f>VLOOKUP(C189,'Talente &amp; Stuff'!AF:BG,28,FALSE)</f>
        <v>0</v>
      </c>
      <c r="AE189" s="28"/>
    </row>
    <row r="190" spans="2:31" s="148" customFormat="1" ht="15" hidden="1" customHeight="1" outlineLevel="2">
      <c r="B190" s="148">
        <v>38</v>
      </c>
      <c r="C190" s="177" t="str">
        <f>Attribute!C190</f>
        <v>---</v>
      </c>
      <c r="D190" s="86" t="str">
        <f>VLOOKUP(C190,'Talente &amp; Stuff'!AF:BG,2,FALSE)</f>
        <v>--/--/--</v>
      </c>
      <c r="E190" s="167" t="str">
        <f>VLOOKUP(C190,'Talente &amp; Stuff'!AF:BG,3,FALSE)</f>
        <v>-</v>
      </c>
      <c r="F190" s="120">
        <f>VLOOKUP(C190,'Talente &amp; Stuff'!AF:BG,4,FALSE)</f>
        <v>0</v>
      </c>
      <c r="G190" s="117">
        <f>VLOOKUP(C190,'Talente &amp; Stuff'!AF:BG,5,FALSE)</f>
        <v>0</v>
      </c>
      <c r="H190" s="117">
        <f>VLOOKUP(C190,'Talente &amp; Stuff'!AF:BG,6,FALSE)</f>
        <v>0</v>
      </c>
      <c r="I190" s="117">
        <f>VLOOKUP(C190,'Talente &amp; Stuff'!AF:BG,7,FALSE)</f>
        <v>0</v>
      </c>
      <c r="J190" s="117">
        <f>VLOOKUP(C190,'Talente &amp; Stuff'!AF:BG,8,FALSE)</f>
        <v>0</v>
      </c>
      <c r="K190" s="117">
        <f>VLOOKUP(C190,'Talente &amp; Stuff'!AF:BG,9,FALSE)</f>
        <v>0</v>
      </c>
      <c r="L190" s="117">
        <f>VLOOKUP(C190,'Talente &amp; Stuff'!AF:BG,10,FALSE)</f>
        <v>0</v>
      </c>
      <c r="M190" s="121">
        <f>VLOOKUP(C190,'Talente &amp; Stuff'!AF:BG,11,FALSE)</f>
        <v>0</v>
      </c>
      <c r="N190" s="47">
        <f>VLOOKUP(C190,'Talente &amp; Stuff'!AF:BG,12,FALSE)</f>
        <v>0</v>
      </c>
      <c r="O190" s="3">
        <f>VLOOKUP(C190,'Talente &amp; Stuff'!AF:BG,13,FALSE)</f>
        <v>0</v>
      </c>
      <c r="P190" s="174">
        <f>VLOOKUP(C190,'Talente &amp; Stuff'!AF:BG,14,FALSE)</f>
        <v>0</v>
      </c>
      <c r="Q190" s="114">
        <f>VLOOKUP(C190,'Talente &amp; Stuff'!AF:BG,15,FALSE)</f>
        <v>0</v>
      </c>
      <c r="R190" s="117">
        <f>VLOOKUP(C190,'Talente &amp; Stuff'!AF:BG,16,FALSE)</f>
        <v>0</v>
      </c>
      <c r="S190" s="119">
        <f>VLOOKUP(C190,'Talente &amp; Stuff'!AF:BG,17,FALSE)</f>
        <v>0</v>
      </c>
      <c r="T190" s="119">
        <f>VLOOKUP(C190,'Talente &amp; Stuff'!AF:BG,18,FALSE)</f>
        <v>0</v>
      </c>
      <c r="U190" s="89">
        <f>VLOOKUP(C190,'Talente &amp; Stuff'!AF:BG,19,FALSE)</f>
        <v>0</v>
      </c>
      <c r="V190" s="47">
        <f>VLOOKUP(C190,'Talente &amp; Stuff'!AF:BG,20,FALSE)</f>
        <v>0</v>
      </c>
      <c r="W190" s="127">
        <f>VLOOKUP(C190,'Talente &amp; Stuff'!AF:BG,21,FALSE)</f>
        <v>0</v>
      </c>
      <c r="X190" s="127">
        <f>VLOOKUP(C190,'Talente &amp; Stuff'!AF:BG,22,FALSE)</f>
        <v>0</v>
      </c>
      <c r="Y190" s="165">
        <f t="shared" si="18"/>
        <v>0</v>
      </c>
      <c r="Z190" s="44">
        <f t="shared" si="19"/>
        <v>0</v>
      </c>
      <c r="AA190" s="125">
        <f>VLOOKUP(C190,'Talente &amp; Stuff'!AF:BG,25,FALSE)</f>
        <v>0</v>
      </c>
      <c r="AB190" s="160">
        <f>VLOOKUP(C190,'Talente &amp; Stuff'!AF:BG,26,FALSE)</f>
        <v>0</v>
      </c>
      <c r="AC190" s="127">
        <f>VLOOKUP(C190,'Talente &amp; Stuff'!AF:BG,27,FALSE)</f>
        <v>0</v>
      </c>
      <c r="AD190" s="125">
        <f>VLOOKUP(C190,'Talente &amp; Stuff'!AF:BG,28,FALSE)</f>
        <v>0</v>
      </c>
      <c r="AE190" s="28"/>
    </row>
    <row r="191" spans="2:31" ht="15" hidden="1" customHeight="1" outlineLevel="2">
      <c r="B191" s="148">
        <v>39</v>
      </c>
      <c r="C191" s="177" t="str">
        <f>Attribute!C191</f>
        <v>---</v>
      </c>
      <c r="D191" s="86" t="str">
        <f>VLOOKUP(C191,'Talente &amp; Stuff'!AF:BG,2,FALSE)</f>
        <v>--/--/--</v>
      </c>
      <c r="E191" s="167" t="str">
        <f>VLOOKUP(C191,'Talente &amp; Stuff'!AF:BG,3,FALSE)</f>
        <v>-</v>
      </c>
      <c r="F191" s="120">
        <f>VLOOKUP(C191,'Talente &amp; Stuff'!AF:BG,4,FALSE)</f>
        <v>0</v>
      </c>
      <c r="G191" s="117">
        <f>VLOOKUP(C191,'Talente &amp; Stuff'!AF:BG,5,FALSE)</f>
        <v>0</v>
      </c>
      <c r="H191" s="117">
        <f>VLOOKUP(C191,'Talente &amp; Stuff'!AF:BG,6,FALSE)</f>
        <v>0</v>
      </c>
      <c r="I191" s="117">
        <f>VLOOKUP(C191,'Talente &amp; Stuff'!AF:BG,7,FALSE)</f>
        <v>0</v>
      </c>
      <c r="J191" s="117">
        <f>VLOOKUP(C191,'Talente &amp; Stuff'!AF:BG,8,FALSE)</f>
        <v>0</v>
      </c>
      <c r="K191" s="117">
        <f>VLOOKUP(C191,'Talente &amp; Stuff'!AF:BG,9,FALSE)</f>
        <v>0</v>
      </c>
      <c r="L191" s="117">
        <f>VLOOKUP(C191,'Talente &amp; Stuff'!AF:BG,10,FALSE)</f>
        <v>0</v>
      </c>
      <c r="M191" s="121">
        <f>VLOOKUP(C191,'Talente &amp; Stuff'!AF:BG,11,FALSE)</f>
        <v>0</v>
      </c>
      <c r="N191" s="47">
        <f>VLOOKUP(C191,'Talente &amp; Stuff'!AF:BG,12,FALSE)</f>
        <v>0</v>
      </c>
      <c r="O191" s="3">
        <f>VLOOKUP(C191,'Talente &amp; Stuff'!AF:BG,13,FALSE)</f>
        <v>0</v>
      </c>
      <c r="P191" s="174">
        <f>VLOOKUP(C191,'Talente &amp; Stuff'!AF:BG,14,FALSE)</f>
        <v>0</v>
      </c>
      <c r="Q191" s="114">
        <f>VLOOKUP(C191,'Talente &amp; Stuff'!AF:BG,15,FALSE)</f>
        <v>0</v>
      </c>
      <c r="R191" s="117">
        <f>VLOOKUP(C191,'Talente &amp; Stuff'!AF:BG,16,FALSE)</f>
        <v>0</v>
      </c>
      <c r="S191" s="119">
        <f>VLOOKUP(C191,'Talente &amp; Stuff'!AF:BG,17,FALSE)</f>
        <v>0</v>
      </c>
      <c r="T191" s="119">
        <f>VLOOKUP(C191,'Talente &amp; Stuff'!AF:BG,18,FALSE)</f>
        <v>0</v>
      </c>
      <c r="U191" s="89">
        <f>VLOOKUP(C191,'Talente &amp; Stuff'!AF:BG,19,FALSE)</f>
        <v>0</v>
      </c>
      <c r="V191" s="47">
        <f>VLOOKUP(C191,'Talente &amp; Stuff'!AF:BG,20,FALSE)</f>
        <v>0</v>
      </c>
      <c r="W191" s="127">
        <f>VLOOKUP(C191,'Talente &amp; Stuff'!AF:BG,21,FALSE)</f>
        <v>0</v>
      </c>
      <c r="X191" s="127">
        <f>VLOOKUP(C191,'Talente &amp; Stuff'!AF:BG,22,FALSE)</f>
        <v>0</v>
      </c>
      <c r="Y191" s="165">
        <f t="shared" si="18"/>
        <v>0</v>
      </c>
      <c r="Z191" s="44">
        <f t="shared" si="19"/>
        <v>0</v>
      </c>
      <c r="AA191" s="125">
        <f>VLOOKUP(C191,'Talente &amp; Stuff'!AF:BG,25,FALSE)</f>
        <v>0</v>
      </c>
      <c r="AB191" s="160">
        <f>VLOOKUP(C191,'Talente &amp; Stuff'!AF:BG,26,FALSE)</f>
        <v>0</v>
      </c>
      <c r="AC191" s="127">
        <f>VLOOKUP(C191,'Talente &amp; Stuff'!AF:BG,27,FALSE)</f>
        <v>0</v>
      </c>
      <c r="AD191" s="125">
        <f>VLOOKUP(C191,'Talente &amp; Stuff'!AF:BG,28,FALSE)</f>
        <v>0</v>
      </c>
      <c r="AE191" s="28"/>
    </row>
    <row r="192" spans="2:31" ht="15" hidden="1" customHeight="1" outlineLevel="2">
      <c r="B192" s="148">
        <v>40</v>
      </c>
      <c r="C192" s="177" t="str">
        <f>Attribute!C192</f>
        <v>---</v>
      </c>
      <c r="D192" s="125" t="str">
        <f>VLOOKUP(C192,'Talente &amp; Stuff'!AF:BG,2,FALSE)</f>
        <v>--/--/--</v>
      </c>
      <c r="E192" s="127" t="str">
        <f>VLOOKUP(C192,'Talente &amp; Stuff'!AF:BG,3,FALSE)</f>
        <v>-</v>
      </c>
      <c r="F192" s="114">
        <f>VLOOKUP(C192,'Talente &amp; Stuff'!AF:BG,4,FALSE)</f>
        <v>0</v>
      </c>
      <c r="G192" s="113">
        <f>VLOOKUP(C192,'Talente &amp; Stuff'!AF:BG,5,FALSE)</f>
        <v>0</v>
      </c>
      <c r="H192" s="113">
        <f>VLOOKUP(C192,'Talente &amp; Stuff'!AF:BG,6,FALSE)</f>
        <v>0</v>
      </c>
      <c r="I192" s="113">
        <f>VLOOKUP(C192,'Talente &amp; Stuff'!AF:BG,7,FALSE)</f>
        <v>0</v>
      </c>
      <c r="J192" s="113">
        <f>VLOOKUP(C192,'Talente &amp; Stuff'!AF:BG,8,FALSE)</f>
        <v>0</v>
      </c>
      <c r="K192" s="113">
        <f>VLOOKUP(C192,'Talente &amp; Stuff'!AF:BG,9,FALSE)</f>
        <v>0</v>
      </c>
      <c r="L192" s="113">
        <f>VLOOKUP(C192,'Talente &amp; Stuff'!AF:BG,10,FALSE)</f>
        <v>0</v>
      </c>
      <c r="M192" s="119">
        <f>VLOOKUP(C192,'Talente &amp; Stuff'!AF:BG,11,FALSE)</f>
        <v>0</v>
      </c>
      <c r="N192" s="47">
        <f>VLOOKUP(C192,'Talente &amp; Stuff'!AF:BG,12,FALSE)</f>
        <v>0</v>
      </c>
      <c r="O192" s="47">
        <f>VLOOKUP(C192,'Talente &amp; Stuff'!AF:BG,13,FALSE)</f>
        <v>0</v>
      </c>
      <c r="P192" s="119">
        <f>VLOOKUP(C192,'Talente &amp; Stuff'!AF:BG,14,FALSE)</f>
        <v>0</v>
      </c>
      <c r="Q192" s="114">
        <f>VLOOKUP(C192,'Talente &amp; Stuff'!AF:BG,15,FALSE)</f>
        <v>0</v>
      </c>
      <c r="R192" s="113">
        <f>VLOOKUP(C192,'Talente &amp; Stuff'!AF:BG,16,FALSE)</f>
        <v>0</v>
      </c>
      <c r="S192" s="119">
        <f>VLOOKUP(C192,'Talente &amp; Stuff'!AF:BG,17,FALSE)</f>
        <v>0</v>
      </c>
      <c r="T192" s="119">
        <f>VLOOKUP(C192,'Talente &amp; Stuff'!AF:BG,18,FALSE)</f>
        <v>0</v>
      </c>
      <c r="U192" s="89">
        <f>VLOOKUP(C192,'Talente &amp; Stuff'!AF:BG,19,FALSE)</f>
        <v>0</v>
      </c>
      <c r="V192" s="47">
        <f>VLOOKUP(C192,'Talente &amp; Stuff'!AF:BG,20,FALSE)</f>
        <v>0</v>
      </c>
      <c r="W192" s="127">
        <f>VLOOKUP(C192,'Talente &amp; Stuff'!AF:BG,21,FALSE)</f>
        <v>0</v>
      </c>
      <c r="X192" s="127">
        <f>VLOOKUP(C192,'Talente &amp; Stuff'!AF:BG,22,FALSE)</f>
        <v>0</v>
      </c>
      <c r="Y192" s="165">
        <f t="shared" si="18"/>
        <v>0</v>
      </c>
      <c r="Z192" s="44">
        <f t="shared" si="19"/>
        <v>0</v>
      </c>
      <c r="AA192" s="125">
        <f>VLOOKUP(C192,'Talente &amp; Stuff'!AF:BG,25,FALSE)</f>
        <v>0</v>
      </c>
      <c r="AB192" s="160">
        <f>VLOOKUP(C192,'Talente &amp; Stuff'!AF:BG,26,FALSE)</f>
        <v>0</v>
      </c>
      <c r="AC192" s="127">
        <f>VLOOKUP(C192,'Talente &amp; Stuff'!AF:BG,27,FALSE)</f>
        <v>0</v>
      </c>
      <c r="AD192" s="125">
        <f>VLOOKUP(C192,'Talente &amp; Stuff'!AF:BG,28,FALSE)</f>
        <v>0</v>
      </c>
      <c r="AE192" s="28"/>
    </row>
    <row r="193" spans="2:31" ht="15" hidden="1" customHeight="1" outlineLevel="2">
      <c r="B193" s="148">
        <v>41</v>
      </c>
      <c r="C193" s="177" t="str">
        <f>Attribute!C193</f>
        <v>---</v>
      </c>
      <c r="D193" s="86" t="str">
        <f>VLOOKUP(C193,'Talente &amp; Stuff'!AF:BG,2,FALSE)</f>
        <v>--/--/--</v>
      </c>
      <c r="E193" s="167" t="str">
        <f>VLOOKUP(C193,'Talente &amp; Stuff'!AF:BG,3,FALSE)</f>
        <v>-</v>
      </c>
      <c r="F193" s="120">
        <f>VLOOKUP(C193,'Talente &amp; Stuff'!AF:BG,4,FALSE)</f>
        <v>0</v>
      </c>
      <c r="G193" s="117">
        <f>VLOOKUP(C193,'Talente &amp; Stuff'!AF:BG,5,FALSE)</f>
        <v>0</v>
      </c>
      <c r="H193" s="117">
        <f>VLOOKUP(C193,'Talente &amp; Stuff'!AF:BG,6,FALSE)</f>
        <v>0</v>
      </c>
      <c r="I193" s="117">
        <f>VLOOKUP(C193,'Talente &amp; Stuff'!AF:BG,7,FALSE)</f>
        <v>0</v>
      </c>
      <c r="J193" s="117">
        <f>VLOOKUP(C193,'Talente &amp; Stuff'!AF:BG,8,FALSE)</f>
        <v>0</v>
      </c>
      <c r="K193" s="117">
        <f>VLOOKUP(C193,'Talente &amp; Stuff'!AF:BG,9,FALSE)</f>
        <v>0</v>
      </c>
      <c r="L193" s="117">
        <f>VLOOKUP(C193,'Talente &amp; Stuff'!AF:BG,10,FALSE)</f>
        <v>0</v>
      </c>
      <c r="M193" s="121">
        <f>VLOOKUP(C193,'Talente &amp; Stuff'!AF:BG,11,FALSE)</f>
        <v>0</v>
      </c>
      <c r="N193" s="47">
        <f>VLOOKUP(C193,'Talente &amp; Stuff'!AF:BG,12,FALSE)</f>
        <v>0</v>
      </c>
      <c r="O193" s="3">
        <f>VLOOKUP(C193,'Talente &amp; Stuff'!AF:BG,13,FALSE)</f>
        <v>0</v>
      </c>
      <c r="P193" s="174">
        <f>VLOOKUP(C193,'Talente &amp; Stuff'!AF:BG,14,FALSE)</f>
        <v>0</v>
      </c>
      <c r="Q193" s="114">
        <f>VLOOKUP(C193,'Talente &amp; Stuff'!AF:BG,15,FALSE)</f>
        <v>0</v>
      </c>
      <c r="R193" s="117">
        <f>VLOOKUP(C193,'Talente &amp; Stuff'!AF:BG,16,FALSE)</f>
        <v>0</v>
      </c>
      <c r="S193" s="119">
        <f>VLOOKUP(C193,'Talente &amp; Stuff'!AF:BG,17,FALSE)</f>
        <v>0</v>
      </c>
      <c r="T193" s="119">
        <f>VLOOKUP(C193,'Talente &amp; Stuff'!AF:BG,18,FALSE)</f>
        <v>0</v>
      </c>
      <c r="U193" s="89">
        <f>VLOOKUP(C193,'Talente &amp; Stuff'!AF:BG,19,FALSE)</f>
        <v>0</v>
      </c>
      <c r="V193" s="47">
        <f>VLOOKUP(C193,'Talente &amp; Stuff'!AF:BG,20,FALSE)</f>
        <v>0</v>
      </c>
      <c r="W193" s="127">
        <f>VLOOKUP(C193,'Talente &amp; Stuff'!AF:BG,21,FALSE)</f>
        <v>0</v>
      </c>
      <c r="X193" s="127">
        <f>VLOOKUP(C193,'Talente &amp; Stuff'!AF:BG,22,FALSE)</f>
        <v>0</v>
      </c>
      <c r="Y193" s="165">
        <f t="shared" si="18"/>
        <v>0</v>
      </c>
      <c r="Z193" s="44">
        <f t="shared" si="19"/>
        <v>0</v>
      </c>
      <c r="AA193" s="125">
        <f>VLOOKUP(C193,'Talente &amp; Stuff'!AF:BG,25,FALSE)</f>
        <v>0</v>
      </c>
      <c r="AB193" s="160">
        <f>VLOOKUP(C193,'Talente &amp; Stuff'!AF:BG,26,FALSE)</f>
        <v>0</v>
      </c>
      <c r="AC193" s="127">
        <f>VLOOKUP(C193,'Talente &amp; Stuff'!AF:BG,27,FALSE)</f>
        <v>0</v>
      </c>
      <c r="AD193" s="125">
        <f>VLOOKUP(C193,'Talente &amp; Stuff'!AF:BG,28,FALSE)</f>
        <v>0</v>
      </c>
      <c r="AE193" s="28"/>
    </row>
    <row r="194" spans="2:31" ht="15" hidden="1" customHeight="1" outlineLevel="2">
      <c r="B194" s="148">
        <v>42</v>
      </c>
      <c r="C194" s="177" t="str">
        <f>Attribute!C194</f>
        <v>---</v>
      </c>
      <c r="D194" s="86" t="str">
        <f>VLOOKUP(C194,'Talente &amp; Stuff'!AF:BG,2,FALSE)</f>
        <v>--/--/--</v>
      </c>
      <c r="E194" s="167" t="str">
        <f>VLOOKUP(C194,'Talente &amp; Stuff'!AF:BG,3,FALSE)</f>
        <v>-</v>
      </c>
      <c r="F194" s="120">
        <f>VLOOKUP(C194,'Talente &amp; Stuff'!AF:BG,4,FALSE)</f>
        <v>0</v>
      </c>
      <c r="G194" s="117">
        <f>VLOOKUP(C194,'Talente &amp; Stuff'!AF:BG,5,FALSE)</f>
        <v>0</v>
      </c>
      <c r="H194" s="117">
        <f>VLOOKUP(C194,'Talente &amp; Stuff'!AF:BG,6,FALSE)</f>
        <v>0</v>
      </c>
      <c r="I194" s="117">
        <f>VLOOKUP(C194,'Talente &amp; Stuff'!AF:BG,7,FALSE)</f>
        <v>0</v>
      </c>
      <c r="J194" s="117">
        <f>VLOOKUP(C194,'Talente &amp; Stuff'!AF:BG,8,FALSE)</f>
        <v>0</v>
      </c>
      <c r="K194" s="117">
        <f>VLOOKUP(C194,'Talente &amp; Stuff'!AF:BG,9,FALSE)</f>
        <v>0</v>
      </c>
      <c r="L194" s="117">
        <f>VLOOKUP(C194,'Talente &amp; Stuff'!AF:BG,10,FALSE)</f>
        <v>0</v>
      </c>
      <c r="M194" s="121">
        <f>VLOOKUP(C194,'Talente &amp; Stuff'!AF:BG,11,FALSE)</f>
        <v>0</v>
      </c>
      <c r="N194" s="47">
        <f>VLOOKUP(C194,'Talente &amp; Stuff'!AF:BG,12,FALSE)</f>
        <v>0</v>
      </c>
      <c r="O194" s="3">
        <f>VLOOKUP(C194,'Talente &amp; Stuff'!AF:BG,13,FALSE)</f>
        <v>0</v>
      </c>
      <c r="P194" s="174">
        <f>VLOOKUP(C194,'Talente &amp; Stuff'!AF:BG,14,FALSE)</f>
        <v>0</v>
      </c>
      <c r="Q194" s="114">
        <f>VLOOKUP(C194,'Talente &amp; Stuff'!AF:BG,15,FALSE)</f>
        <v>0</v>
      </c>
      <c r="R194" s="117">
        <f>VLOOKUP(C194,'Talente &amp; Stuff'!AF:BG,16,FALSE)</f>
        <v>0</v>
      </c>
      <c r="S194" s="119">
        <f>VLOOKUP(C194,'Talente &amp; Stuff'!AF:BG,17,FALSE)</f>
        <v>0</v>
      </c>
      <c r="T194" s="119">
        <f>VLOOKUP(C194,'Talente &amp; Stuff'!AF:BG,18,FALSE)</f>
        <v>0</v>
      </c>
      <c r="U194" s="89">
        <f>VLOOKUP(C194,'Talente &amp; Stuff'!AF:BG,19,FALSE)</f>
        <v>0</v>
      </c>
      <c r="V194" s="47">
        <f>VLOOKUP(C194,'Talente &amp; Stuff'!AF:BG,20,FALSE)</f>
        <v>0</v>
      </c>
      <c r="W194" s="127">
        <f>VLOOKUP(C194,'Talente &amp; Stuff'!AF:BG,21,FALSE)</f>
        <v>0</v>
      </c>
      <c r="X194" s="127">
        <f>VLOOKUP(C194,'Talente &amp; Stuff'!AF:BG,22,FALSE)</f>
        <v>0</v>
      </c>
      <c r="Y194" s="165">
        <f t="shared" si="18"/>
        <v>0</v>
      </c>
      <c r="Z194" s="44">
        <f t="shared" si="19"/>
        <v>0</v>
      </c>
      <c r="AA194" s="125">
        <f>VLOOKUP(C194,'Talente &amp; Stuff'!AF:BG,25,FALSE)</f>
        <v>0</v>
      </c>
      <c r="AB194" s="160">
        <f>VLOOKUP(C194,'Talente &amp; Stuff'!AF:BG,26,FALSE)</f>
        <v>0</v>
      </c>
      <c r="AC194" s="127">
        <f>VLOOKUP(C194,'Talente &amp; Stuff'!AF:BG,27,FALSE)</f>
        <v>0</v>
      </c>
      <c r="AD194" s="125">
        <f>VLOOKUP(C194,'Talente &amp; Stuff'!AF:BG,28,FALSE)</f>
        <v>0</v>
      </c>
      <c r="AE194" s="28"/>
    </row>
    <row r="195" spans="2:31" ht="15" hidden="1" customHeight="1" outlineLevel="2">
      <c r="B195" s="148">
        <v>43</v>
      </c>
      <c r="C195" s="177" t="str">
        <f>Attribute!C195</f>
        <v>---</v>
      </c>
      <c r="D195" s="125" t="str">
        <f>VLOOKUP(C195,'Talente &amp; Stuff'!AF:BG,2,FALSE)</f>
        <v>--/--/--</v>
      </c>
      <c r="E195" s="127" t="str">
        <f>VLOOKUP(C195,'Talente &amp; Stuff'!AF:BG,3,FALSE)</f>
        <v>-</v>
      </c>
      <c r="F195" s="114">
        <f>VLOOKUP(C195,'Talente &amp; Stuff'!AF:BG,4,FALSE)</f>
        <v>0</v>
      </c>
      <c r="G195" s="113">
        <f>VLOOKUP(C195,'Talente &amp; Stuff'!AF:BG,5,FALSE)</f>
        <v>0</v>
      </c>
      <c r="H195" s="113">
        <f>VLOOKUP(C195,'Talente &amp; Stuff'!AF:BG,6,FALSE)</f>
        <v>0</v>
      </c>
      <c r="I195" s="113">
        <f>VLOOKUP(C195,'Talente &amp; Stuff'!AF:BG,7,FALSE)</f>
        <v>0</v>
      </c>
      <c r="J195" s="113">
        <f>VLOOKUP(C195,'Talente &amp; Stuff'!AF:BG,8,FALSE)</f>
        <v>0</v>
      </c>
      <c r="K195" s="113">
        <f>VLOOKUP(C195,'Talente &amp; Stuff'!AF:BG,9,FALSE)</f>
        <v>0</v>
      </c>
      <c r="L195" s="113">
        <f>VLOOKUP(C195,'Talente &amp; Stuff'!AF:BG,10,FALSE)</f>
        <v>0</v>
      </c>
      <c r="M195" s="119">
        <f>VLOOKUP(C195,'Talente &amp; Stuff'!AF:BG,11,FALSE)</f>
        <v>0</v>
      </c>
      <c r="N195" s="47">
        <f>VLOOKUP(C195,'Talente &amp; Stuff'!AF:BG,12,FALSE)</f>
        <v>0</v>
      </c>
      <c r="O195" s="47">
        <f>VLOOKUP(C195,'Talente &amp; Stuff'!AF:BG,13,FALSE)</f>
        <v>0</v>
      </c>
      <c r="P195" s="119">
        <f>VLOOKUP(C195,'Talente &amp; Stuff'!AF:BG,14,FALSE)</f>
        <v>0</v>
      </c>
      <c r="Q195" s="114">
        <f>VLOOKUP(C195,'Talente &amp; Stuff'!AF:BG,15,FALSE)</f>
        <v>0</v>
      </c>
      <c r="R195" s="113">
        <f>VLOOKUP(C195,'Talente &amp; Stuff'!AF:BG,16,FALSE)</f>
        <v>0</v>
      </c>
      <c r="S195" s="119">
        <f>VLOOKUP(C195,'Talente &amp; Stuff'!AF:BG,17,FALSE)</f>
        <v>0</v>
      </c>
      <c r="T195" s="119">
        <f>VLOOKUP(C195,'Talente &amp; Stuff'!AF:BG,18,FALSE)</f>
        <v>0</v>
      </c>
      <c r="U195" s="89">
        <f>VLOOKUP(C195,'Talente &amp; Stuff'!AF:BG,19,FALSE)</f>
        <v>0</v>
      </c>
      <c r="V195" s="47">
        <f>VLOOKUP(C195,'Talente &amp; Stuff'!AF:BG,20,FALSE)</f>
        <v>0</v>
      </c>
      <c r="W195" s="127">
        <f>VLOOKUP(C195,'Talente &amp; Stuff'!AF:BG,21,FALSE)</f>
        <v>0</v>
      </c>
      <c r="X195" s="127">
        <f>VLOOKUP(C195,'Talente &amp; Stuff'!AF:BG,22,FALSE)</f>
        <v>0</v>
      </c>
      <c r="Y195" s="165">
        <f t="shared" si="18"/>
        <v>0</v>
      </c>
      <c r="Z195" s="44">
        <f t="shared" si="19"/>
        <v>0</v>
      </c>
      <c r="AA195" s="125">
        <f>VLOOKUP(C195,'Talente &amp; Stuff'!AF:BG,25,FALSE)</f>
        <v>0</v>
      </c>
      <c r="AB195" s="160">
        <f>VLOOKUP(C195,'Talente &amp; Stuff'!AF:BG,26,FALSE)</f>
        <v>0</v>
      </c>
      <c r="AC195" s="127">
        <f>VLOOKUP(C195,'Talente &amp; Stuff'!AF:BG,27,FALSE)</f>
        <v>0</v>
      </c>
      <c r="AD195" s="125">
        <f>VLOOKUP(C195,'Talente &amp; Stuff'!AF:BG,28,FALSE)</f>
        <v>0</v>
      </c>
      <c r="AE195" s="28"/>
    </row>
    <row r="196" spans="2:31" ht="15" hidden="1" customHeight="1" outlineLevel="2">
      <c r="B196" s="148">
        <v>44</v>
      </c>
      <c r="C196" s="177" t="str">
        <f>Attribute!C196</f>
        <v>---</v>
      </c>
      <c r="D196" s="86" t="str">
        <f>VLOOKUP(C196,'Talente &amp; Stuff'!AF:BG,2,FALSE)</f>
        <v>--/--/--</v>
      </c>
      <c r="E196" s="167" t="str">
        <f>VLOOKUP(C196,'Talente &amp; Stuff'!AF:BG,3,FALSE)</f>
        <v>-</v>
      </c>
      <c r="F196" s="120">
        <f>VLOOKUP(C196,'Talente &amp; Stuff'!AF:BG,4,FALSE)</f>
        <v>0</v>
      </c>
      <c r="G196" s="117">
        <f>VLOOKUP(C196,'Talente &amp; Stuff'!AF:BG,5,FALSE)</f>
        <v>0</v>
      </c>
      <c r="H196" s="117">
        <f>VLOOKUP(C196,'Talente &amp; Stuff'!AF:BG,6,FALSE)</f>
        <v>0</v>
      </c>
      <c r="I196" s="117">
        <f>VLOOKUP(C196,'Talente &amp; Stuff'!AF:BG,7,FALSE)</f>
        <v>0</v>
      </c>
      <c r="J196" s="117">
        <f>VLOOKUP(C196,'Talente &amp; Stuff'!AF:BG,8,FALSE)</f>
        <v>0</v>
      </c>
      <c r="K196" s="117">
        <f>VLOOKUP(C196,'Talente &amp; Stuff'!AF:BG,9,FALSE)</f>
        <v>0</v>
      </c>
      <c r="L196" s="117">
        <f>VLOOKUP(C196,'Talente &amp; Stuff'!AF:BG,10,FALSE)</f>
        <v>0</v>
      </c>
      <c r="M196" s="121">
        <f>VLOOKUP(C196,'Talente &amp; Stuff'!AF:BG,11,FALSE)</f>
        <v>0</v>
      </c>
      <c r="N196" s="47">
        <f>VLOOKUP(C196,'Talente &amp; Stuff'!AF:BG,12,FALSE)</f>
        <v>0</v>
      </c>
      <c r="O196" s="3">
        <f>VLOOKUP(C196,'Talente &amp; Stuff'!AF:BG,13,FALSE)</f>
        <v>0</v>
      </c>
      <c r="P196" s="174">
        <f>VLOOKUP(C196,'Talente &amp; Stuff'!AF:BG,14,FALSE)</f>
        <v>0</v>
      </c>
      <c r="Q196" s="114">
        <f>VLOOKUP(C196,'Talente &amp; Stuff'!AF:BG,15,FALSE)</f>
        <v>0</v>
      </c>
      <c r="R196" s="117">
        <f>VLOOKUP(C196,'Talente &amp; Stuff'!AF:BG,16,FALSE)</f>
        <v>0</v>
      </c>
      <c r="S196" s="119">
        <f>VLOOKUP(C196,'Talente &amp; Stuff'!AF:BG,17,FALSE)</f>
        <v>0</v>
      </c>
      <c r="T196" s="119">
        <f>VLOOKUP(C196,'Talente &amp; Stuff'!AF:BG,18,FALSE)</f>
        <v>0</v>
      </c>
      <c r="U196" s="89">
        <f>VLOOKUP(C196,'Talente &amp; Stuff'!AF:BG,19,FALSE)</f>
        <v>0</v>
      </c>
      <c r="V196" s="47">
        <f>VLOOKUP(C196,'Talente &amp; Stuff'!AF:BG,20,FALSE)</f>
        <v>0</v>
      </c>
      <c r="W196" s="127">
        <f>VLOOKUP(C196,'Talente &amp; Stuff'!AF:BG,21,FALSE)</f>
        <v>0</v>
      </c>
      <c r="X196" s="127">
        <f>VLOOKUP(C196,'Talente &amp; Stuff'!AF:BG,22,FALSE)</f>
        <v>0</v>
      </c>
      <c r="Y196" s="165">
        <f t="shared" si="18"/>
        <v>0</v>
      </c>
      <c r="Z196" s="44">
        <f t="shared" si="19"/>
        <v>0</v>
      </c>
      <c r="AA196" s="125">
        <f>VLOOKUP(C196,'Talente &amp; Stuff'!AF:BG,25,FALSE)</f>
        <v>0</v>
      </c>
      <c r="AB196" s="160">
        <f>VLOOKUP(C196,'Talente &amp; Stuff'!AF:BG,26,FALSE)</f>
        <v>0</v>
      </c>
      <c r="AC196" s="127">
        <f>VLOOKUP(C196,'Talente &amp; Stuff'!AF:BG,27,FALSE)</f>
        <v>0</v>
      </c>
      <c r="AD196" s="125">
        <f>VLOOKUP(C196,'Talente &amp; Stuff'!AF:BG,28,FALSE)</f>
        <v>0</v>
      </c>
      <c r="AE196" s="28"/>
    </row>
    <row r="197" spans="2:31" ht="15" hidden="1" customHeight="1" outlineLevel="2">
      <c r="B197" s="148">
        <v>45</v>
      </c>
      <c r="C197" s="177" t="str">
        <f>Attribute!C197</f>
        <v>---</v>
      </c>
      <c r="D197" s="86" t="str">
        <f>VLOOKUP(C197,'Talente &amp; Stuff'!AF:BG,2,FALSE)</f>
        <v>--/--/--</v>
      </c>
      <c r="E197" s="167" t="str">
        <f>VLOOKUP(C197,'Talente &amp; Stuff'!AF:BG,3,FALSE)</f>
        <v>-</v>
      </c>
      <c r="F197" s="120">
        <f>VLOOKUP(C197,'Talente &amp; Stuff'!AF:BG,4,FALSE)</f>
        <v>0</v>
      </c>
      <c r="G197" s="117">
        <f>VLOOKUP(C197,'Talente &amp; Stuff'!AF:BG,5,FALSE)</f>
        <v>0</v>
      </c>
      <c r="H197" s="117">
        <f>VLOOKUP(C197,'Talente &amp; Stuff'!AF:BG,6,FALSE)</f>
        <v>0</v>
      </c>
      <c r="I197" s="117">
        <f>VLOOKUP(C197,'Talente &amp; Stuff'!AF:BG,7,FALSE)</f>
        <v>0</v>
      </c>
      <c r="J197" s="117">
        <f>VLOOKUP(C197,'Talente &amp; Stuff'!AF:BG,8,FALSE)</f>
        <v>0</v>
      </c>
      <c r="K197" s="117">
        <f>VLOOKUP(C197,'Talente &amp; Stuff'!AF:BG,9,FALSE)</f>
        <v>0</v>
      </c>
      <c r="L197" s="117">
        <f>VLOOKUP(C197,'Talente &amp; Stuff'!AF:BG,10,FALSE)</f>
        <v>0</v>
      </c>
      <c r="M197" s="121">
        <f>VLOOKUP(C197,'Talente &amp; Stuff'!AF:BG,11,FALSE)</f>
        <v>0</v>
      </c>
      <c r="N197" s="47">
        <f>VLOOKUP(C197,'Talente &amp; Stuff'!AF:BG,12,FALSE)</f>
        <v>0</v>
      </c>
      <c r="O197" s="3">
        <f>VLOOKUP(C197,'Talente &amp; Stuff'!AF:BG,13,FALSE)</f>
        <v>0</v>
      </c>
      <c r="P197" s="174">
        <f>VLOOKUP(C197,'Talente &amp; Stuff'!AF:BG,14,FALSE)</f>
        <v>0</v>
      </c>
      <c r="Q197" s="114">
        <f>VLOOKUP(C197,'Talente &amp; Stuff'!AF:BG,15,FALSE)</f>
        <v>0</v>
      </c>
      <c r="R197" s="117">
        <f>VLOOKUP(C197,'Talente &amp; Stuff'!AF:BG,16,FALSE)</f>
        <v>0</v>
      </c>
      <c r="S197" s="119">
        <f>VLOOKUP(C197,'Talente &amp; Stuff'!AF:BG,17,FALSE)</f>
        <v>0</v>
      </c>
      <c r="T197" s="119">
        <f>VLOOKUP(C197,'Talente &amp; Stuff'!AF:BG,18,FALSE)</f>
        <v>0</v>
      </c>
      <c r="U197" s="89">
        <f>VLOOKUP(C197,'Talente &amp; Stuff'!AF:BG,19,FALSE)</f>
        <v>0</v>
      </c>
      <c r="V197" s="47">
        <f>VLOOKUP(C197,'Talente &amp; Stuff'!AF:BG,20,FALSE)</f>
        <v>0</v>
      </c>
      <c r="W197" s="127">
        <f>VLOOKUP(C197,'Talente &amp; Stuff'!AF:BG,21,FALSE)</f>
        <v>0</v>
      </c>
      <c r="X197" s="127">
        <f>VLOOKUP(C197,'Talente &amp; Stuff'!AF:BG,22,FALSE)</f>
        <v>0</v>
      </c>
      <c r="Y197" s="165">
        <f t="shared" si="18"/>
        <v>0</v>
      </c>
      <c r="Z197" s="44">
        <f t="shared" si="19"/>
        <v>0</v>
      </c>
      <c r="AA197" s="125">
        <f>VLOOKUP(C197,'Talente &amp; Stuff'!AF:BG,25,FALSE)</f>
        <v>0</v>
      </c>
      <c r="AB197" s="160">
        <f>VLOOKUP(C197,'Talente &amp; Stuff'!AF:BG,26,FALSE)</f>
        <v>0</v>
      </c>
      <c r="AC197" s="127">
        <f>VLOOKUP(C197,'Talente &amp; Stuff'!AF:BG,27,FALSE)</f>
        <v>0</v>
      </c>
      <c r="AD197" s="125">
        <f>VLOOKUP(C197,'Talente &amp; Stuff'!AF:BG,28,FALSE)</f>
        <v>0</v>
      </c>
      <c r="AE197" s="28"/>
    </row>
    <row r="198" spans="2:31" ht="15" hidden="1" customHeight="1" outlineLevel="2">
      <c r="B198" s="148">
        <v>46</v>
      </c>
      <c r="C198" s="177" t="str">
        <f>Attribute!C198</f>
        <v>---</v>
      </c>
      <c r="D198" s="86" t="str">
        <f>VLOOKUP(C198,'Talente &amp; Stuff'!AF:BG,2,FALSE)</f>
        <v>--/--/--</v>
      </c>
      <c r="E198" s="167" t="str">
        <f>VLOOKUP(C198,'Talente &amp; Stuff'!AF:BG,3,FALSE)</f>
        <v>-</v>
      </c>
      <c r="F198" s="120">
        <f>VLOOKUP(C198,'Talente &amp; Stuff'!AF:BG,4,FALSE)</f>
        <v>0</v>
      </c>
      <c r="G198" s="117">
        <f>VLOOKUP(C198,'Talente &amp; Stuff'!AF:BG,5,FALSE)</f>
        <v>0</v>
      </c>
      <c r="H198" s="117">
        <f>VLOOKUP(C198,'Talente &amp; Stuff'!AF:BG,6,FALSE)</f>
        <v>0</v>
      </c>
      <c r="I198" s="117">
        <f>VLOOKUP(C198,'Talente &amp; Stuff'!AF:BG,7,FALSE)</f>
        <v>0</v>
      </c>
      <c r="J198" s="117">
        <f>VLOOKUP(C198,'Talente &amp; Stuff'!AF:BG,8,FALSE)</f>
        <v>0</v>
      </c>
      <c r="K198" s="117">
        <f>VLOOKUP(C198,'Talente &amp; Stuff'!AF:BG,9,FALSE)</f>
        <v>0</v>
      </c>
      <c r="L198" s="117">
        <f>VLOOKUP(C198,'Talente &amp; Stuff'!AF:BG,10,FALSE)</f>
        <v>0</v>
      </c>
      <c r="M198" s="121">
        <f>VLOOKUP(C198,'Talente &amp; Stuff'!AF:BG,11,FALSE)</f>
        <v>0</v>
      </c>
      <c r="N198" s="47">
        <f>VLOOKUP(C198,'Talente &amp; Stuff'!AF:BG,12,FALSE)</f>
        <v>0</v>
      </c>
      <c r="O198" s="3">
        <f>VLOOKUP(C198,'Talente &amp; Stuff'!AF:BG,13,FALSE)</f>
        <v>0</v>
      </c>
      <c r="P198" s="174">
        <f>VLOOKUP(C198,'Talente &amp; Stuff'!AF:BG,14,FALSE)</f>
        <v>0</v>
      </c>
      <c r="Q198" s="114">
        <f>VLOOKUP(C198,'Talente &amp; Stuff'!AF:BG,15,FALSE)</f>
        <v>0</v>
      </c>
      <c r="R198" s="117">
        <f>VLOOKUP(C198,'Talente &amp; Stuff'!AF:BG,16,FALSE)</f>
        <v>0</v>
      </c>
      <c r="S198" s="119">
        <f>VLOOKUP(C198,'Talente &amp; Stuff'!AF:BG,17,FALSE)</f>
        <v>0</v>
      </c>
      <c r="T198" s="119">
        <f>VLOOKUP(C198,'Talente &amp; Stuff'!AF:BG,18,FALSE)</f>
        <v>0</v>
      </c>
      <c r="U198" s="89">
        <f>VLOOKUP(C198,'Talente &amp; Stuff'!AF:BG,19,FALSE)</f>
        <v>0</v>
      </c>
      <c r="V198" s="47">
        <f>VLOOKUP(C198,'Talente &amp; Stuff'!AF:BG,20,FALSE)</f>
        <v>0</v>
      </c>
      <c r="W198" s="127">
        <f>VLOOKUP(C198,'Talente &amp; Stuff'!AF:BG,21,FALSE)</f>
        <v>0</v>
      </c>
      <c r="X198" s="127">
        <f>VLOOKUP(C198,'Talente &amp; Stuff'!AF:BG,22,FALSE)</f>
        <v>0</v>
      </c>
      <c r="Y198" s="165">
        <f t="shared" si="18"/>
        <v>0</v>
      </c>
      <c r="Z198" s="44">
        <f t="shared" si="19"/>
        <v>0</v>
      </c>
      <c r="AA198" s="125">
        <f>VLOOKUP(C198,'Talente &amp; Stuff'!AF:BG,25,FALSE)</f>
        <v>0</v>
      </c>
      <c r="AB198" s="160">
        <f>VLOOKUP(C198,'Talente &amp; Stuff'!AF:BG,26,FALSE)</f>
        <v>0</v>
      </c>
      <c r="AC198" s="127">
        <f>VLOOKUP(C198,'Talente &amp; Stuff'!AF:BG,27,FALSE)</f>
        <v>0</v>
      </c>
      <c r="AD198" s="125">
        <f>VLOOKUP(C198,'Talente &amp; Stuff'!AF:BG,28,FALSE)</f>
        <v>0</v>
      </c>
      <c r="AE198" s="28"/>
    </row>
    <row r="199" spans="2:31" ht="15" hidden="1" customHeight="1" outlineLevel="2">
      <c r="B199" s="148">
        <v>47</v>
      </c>
      <c r="C199" s="177" t="str">
        <f>Attribute!C199</f>
        <v>---</v>
      </c>
      <c r="D199" s="125" t="str">
        <f>VLOOKUP(C199,'Talente &amp; Stuff'!AF:BG,2,FALSE)</f>
        <v>--/--/--</v>
      </c>
      <c r="E199" s="127" t="str">
        <f>VLOOKUP(C199,'Talente &amp; Stuff'!AF:BG,3,FALSE)</f>
        <v>-</v>
      </c>
      <c r="F199" s="114">
        <f>VLOOKUP(C199,'Talente &amp; Stuff'!AF:BG,4,FALSE)</f>
        <v>0</v>
      </c>
      <c r="G199" s="113">
        <f>VLOOKUP(C199,'Talente &amp; Stuff'!AF:BG,5,FALSE)</f>
        <v>0</v>
      </c>
      <c r="H199" s="113">
        <f>VLOOKUP(C199,'Talente &amp; Stuff'!AF:BG,6,FALSE)</f>
        <v>0</v>
      </c>
      <c r="I199" s="113">
        <f>VLOOKUP(C199,'Talente &amp; Stuff'!AF:BG,7,FALSE)</f>
        <v>0</v>
      </c>
      <c r="J199" s="113">
        <f>VLOOKUP(C199,'Talente &amp; Stuff'!AF:BG,8,FALSE)</f>
        <v>0</v>
      </c>
      <c r="K199" s="113">
        <f>VLOOKUP(C199,'Talente &amp; Stuff'!AF:BG,9,FALSE)</f>
        <v>0</v>
      </c>
      <c r="L199" s="113">
        <f>VLOOKUP(C199,'Talente &amp; Stuff'!AF:BG,10,FALSE)</f>
        <v>0</v>
      </c>
      <c r="M199" s="119">
        <f>VLOOKUP(C199,'Talente &amp; Stuff'!AF:BG,11,FALSE)</f>
        <v>0</v>
      </c>
      <c r="N199" s="47">
        <f>VLOOKUP(C199,'Talente &amp; Stuff'!AF:BG,12,FALSE)</f>
        <v>0</v>
      </c>
      <c r="O199" s="47">
        <f>VLOOKUP(C199,'Talente &amp; Stuff'!AF:BG,13,FALSE)</f>
        <v>0</v>
      </c>
      <c r="P199" s="119">
        <f>VLOOKUP(C199,'Talente &amp; Stuff'!AF:BG,14,FALSE)</f>
        <v>0</v>
      </c>
      <c r="Q199" s="114">
        <f>VLOOKUP(C199,'Talente &amp; Stuff'!AF:BG,15,FALSE)</f>
        <v>0</v>
      </c>
      <c r="R199" s="113">
        <f>VLOOKUP(C199,'Talente &amp; Stuff'!AF:BG,16,FALSE)</f>
        <v>0</v>
      </c>
      <c r="S199" s="119">
        <f>VLOOKUP(C199,'Talente &amp; Stuff'!AF:BG,17,FALSE)</f>
        <v>0</v>
      </c>
      <c r="T199" s="119">
        <f>VLOOKUP(C199,'Talente &amp; Stuff'!AF:BG,18,FALSE)</f>
        <v>0</v>
      </c>
      <c r="U199" s="89">
        <f>VLOOKUP(C199,'Talente &amp; Stuff'!AF:BG,19,FALSE)</f>
        <v>0</v>
      </c>
      <c r="V199" s="47">
        <f>VLOOKUP(C199,'Talente &amp; Stuff'!AF:BG,20,FALSE)</f>
        <v>0</v>
      </c>
      <c r="W199" s="127">
        <f>VLOOKUP(C199,'Talente &amp; Stuff'!AF:BG,21,FALSE)</f>
        <v>0</v>
      </c>
      <c r="X199" s="127">
        <f>VLOOKUP(C199,'Talente &amp; Stuff'!AF:BG,22,FALSE)</f>
        <v>0</v>
      </c>
      <c r="Y199" s="165">
        <f t="shared" si="18"/>
        <v>0</v>
      </c>
      <c r="Z199" s="44">
        <f t="shared" si="19"/>
        <v>0</v>
      </c>
      <c r="AA199" s="125">
        <f>VLOOKUP(C199,'Talente &amp; Stuff'!AF:BG,25,FALSE)</f>
        <v>0</v>
      </c>
      <c r="AB199" s="160">
        <f>VLOOKUP(C199,'Talente &amp; Stuff'!AF:BG,26,FALSE)</f>
        <v>0</v>
      </c>
      <c r="AC199" s="127">
        <f>VLOOKUP(C199,'Talente &amp; Stuff'!AF:BG,27,FALSE)</f>
        <v>0</v>
      </c>
      <c r="AD199" s="125">
        <f>VLOOKUP(C199,'Talente &amp; Stuff'!AF:BG,28,FALSE)</f>
        <v>0</v>
      </c>
      <c r="AE199" s="28"/>
    </row>
    <row r="200" spans="2:31" ht="15" hidden="1" customHeight="1" outlineLevel="2">
      <c r="B200" s="148">
        <v>48</v>
      </c>
      <c r="C200" s="177" t="str">
        <f>Attribute!C200</f>
        <v>---</v>
      </c>
      <c r="D200" s="86" t="str">
        <f>VLOOKUP(C200,'Talente &amp; Stuff'!AF:BG,2,FALSE)</f>
        <v>--/--/--</v>
      </c>
      <c r="E200" s="167" t="str">
        <f>VLOOKUP(C200,'Talente &amp; Stuff'!AF:BG,3,FALSE)</f>
        <v>-</v>
      </c>
      <c r="F200" s="120">
        <f>VLOOKUP(C200,'Talente &amp; Stuff'!AF:BG,4,FALSE)</f>
        <v>0</v>
      </c>
      <c r="G200" s="117">
        <f>VLOOKUP(C200,'Talente &amp; Stuff'!AF:BG,5,FALSE)</f>
        <v>0</v>
      </c>
      <c r="H200" s="117">
        <f>VLOOKUP(C200,'Talente &amp; Stuff'!AF:BG,6,FALSE)</f>
        <v>0</v>
      </c>
      <c r="I200" s="117">
        <f>VLOOKUP(C200,'Talente &amp; Stuff'!AF:BG,7,FALSE)</f>
        <v>0</v>
      </c>
      <c r="J200" s="117">
        <f>VLOOKUP(C200,'Talente &amp; Stuff'!AF:BG,8,FALSE)</f>
        <v>0</v>
      </c>
      <c r="K200" s="117">
        <f>VLOOKUP(C200,'Talente &amp; Stuff'!AF:BG,9,FALSE)</f>
        <v>0</v>
      </c>
      <c r="L200" s="117">
        <f>VLOOKUP(C200,'Talente &amp; Stuff'!AF:BG,10,FALSE)</f>
        <v>0</v>
      </c>
      <c r="M200" s="121">
        <f>VLOOKUP(C200,'Talente &amp; Stuff'!AF:BG,11,FALSE)</f>
        <v>0</v>
      </c>
      <c r="N200" s="47">
        <f>VLOOKUP(C200,'Talente &amp; Stuff'!AF:BG,12,FALSE)</f>
        <v>0</v>
      </c>
      <c r="O200" s="3">
        <f>VLOOKUP(C200,'Talente &amp; Stuff'!AF:BG,13,FALSE)</f>
        <v>0</v>
      </c>
      <c r="P200" s="174">
        <f>VLOOKUP(C200,'Talente &amp; Stuff'!AF:BG,14,FALSE)</f>
        <v>0</v>
      </c>
      <c r="Q200" s="114">
        <f>VLOOKUP(C200,'Talente &amp; Stuff'!AF:BG,15,FALSE)</f>
        <v>0</v>
      </c>
      <c r="R200" s="117">
        <f>VLOOKUP(C200,'Talente &amp; Stuff'!AF:BG,16,FALSE)</f>
        <v>0</v>
      </c>
      <c r="S200" s="119">
        <f>VLOOKUP(C200,'Talente &amp; Stuff'!AF:BG,17,FALSE)</f>
        <v>0</v>
      </c>
      <c r="T200" s="119">
        <f>VLOOKUP(C200,'Talente &amp; Stuff'!AF:BG,18,FALSE)</f>
        <v>0</v>
      </c>
      <c r="U200" s="89">
        <f>VLOOKUP(C200,'Talente &amp; Stuff'!AF:BG,19,FALSE)</f>
        <v>0</v>
      </c>
      <c r="V200" s="47">
        <f>VLOOKUP(C200,'Talente &amp; Stuff'!AF:BG,20,FALSE)</f>
        <v>0</v>
      </c>
      <c r="W200" s="127">
        <f>VLOOKUP(C200,'Talente &amp; Stuff'!AF:BG,21,FALSE)</f>
        <v>0</v>
      </c>
      <c r="X200" s="127">
        <f>VLOOKUP(C200,'Talente &amp; Stuff'!AF:BG,22,FALSE)</f>
        <v>0</v>
      </c>
      <c r="Y200" s="165">
        <f t="shared" si="18"/>
        <v>0</v>
      </c>
      <c r="Z200" s="44">
        <f t="shared" si="19"/>
        <v>0</v>
      </c>
      <c r="AA200" s="125">
        <f>VLOOKUP(C200,'Talente &amp; Stuff'!AF:BG,25,FALSE)</f>
        <v>0</v>
      </c>
      <c r="AB200" s="160">
        <f>VLOOKUP(C200,'Talente &amp; Stuff'!AF:BG,26,FALSE)</f>
        <v>0</v>
      </c>
      <c r="AC200" s="127">
        <f>VLOOKUP(C200,'Talente &amp; Stuff'!AF:BG,27,FALSE)</f>
        <v>0</v>
      </c>
      <c r="AD200" s="125">
        <f>VLOOKUP(C200,'Talente &amp; Stuff'!AF:BG,28,FALSE)</f>
        <v>0</v>
      </c>
      <c r="AE200" s="28"/>
    </row>
    <row r="201" spans="2:31" ht="15" hidden="1" customHeight="1" outlineLevel="2">
      <c r="B201" s="148">
        <v>49</v>
      </c>
      <c r="C201" s="177" t="str">
        <f>Attribute!C201</f>
        <v>---</v>
      </c>
      <c r="D201" s="125" t="str">
        <f>VLOOKUP(C201,'Talente &amp; Stuff'!AF:BG,2,FALSE)</f>
        <v>--/--/--</v>
      </c>
      <c r="E201" s="127" t="str">
        <f>VLOOKUP(C201,'Talente &amp; Stuff'!AF:BG,3,FALSE)</f>
        <v>-</v>
      </c>
      <c r="F201" s="114">
        <f>VLOOKUP(C201,'Talente &amp; Stuff'!AF:BG,4,FALSE)</f>
        <v>0</v>
      </c>
      <c r="G201" s="113">
        <f>VLOOKUP(C201,'Talente &amp; Stuff'!AF:BG,5,FALSE)</f>
        <v>0</v>
      </c>
      <c r="H201" s="113">
        <f>VLOOKUP(C201,'Talente &amp; Stuff'!AF:BG,6,FALSE)</f>
        <v>0</v>
      </c>
      <c r="I201" s="113">
        <f>VLOOKUP(C201,'Talente &amp; Stuff'!AF:BG,7,FALSE)</f>
        <v>0</v>
      </c>
      <c r="J201" s="113">
        <f>VLOOKUP(C201,'Talente &amp; Stuff'!AF:BG,8,FALSE)</f>
        <v>0</v>
      </c>
      <c r="K201" s="113">
        <f>VLOOKUP(C201,'Talente &amp; Stuff'!AF:BG,9,FALSE)</f>
        <v>0</v>
      </c>
      <c r="L201" s="113">
        <f>VLOOKUP(C201,'Talente &amp; Stuff'!AF:BG,10,FALSE)</f>
        <v>0</v>
      </c>
      <c r="M201" s="119">
        <f>VLOOKUP(C201,'Talente &amp; Stuff'!AF:BG,11,FALSE)</f>
        <v>0</v>
      </c>
      <c r="N201" s="47">
        <f>VLOOKUP(C201,'Talente &amp; Stuff'!AF:BG,12,FALSE)</f>
        <v>0</v>
      </c>
      <c r="O201" s="47">
        <f>VLOOKUP(C201,'Talente &amp; Stuff'!AF:BG,13,FALSE)</f>
        <v>0</v>
      </c>
      <c r="P201" s="119">
        <f>VLOOKUP(C201,'Talente &amp; Stuff'!AF:BG,14,FALSE)</f>
        <v>0</v>
      </c>
      <c r="Q201" s="114">
        <f>VLOOKUP(C201,'Talente &amp; Stuff'!AF:BG,15,FALSE)</f>
        <v>0</v>
      </c>
      <c r="R201" s="113">
        <f>VLOOKUP(C201,'Talente &amp; Stuff'!AF:BG,16,FALSE)</f>
        <v>0</v>
      </c>
      <c r="S201" s="119">
        <f>VLOOKUP(C201,'Talente &amp; Stuff'!AF:BG,17,FALSE)</f>
        <v>0</v>
      </c>
      <c r="T201" s="119">
        <f>VLOOKUP(C201,'Talente &amp; Stuff'!AF:BG,18,FALSE)</f>
        <v>0</v>
      </c>
      <c r="U201" s="89">
        <f>VLOOKUP(C201,'Talente &amp; Stuff'!AF:BG,19,FALSE)</f>
        <v>0</v>
      </c>
      <c r="V201" s="47">
        <f>VLOOKUP(C201,'Talente &amp; Stuff'!AF:BG,20,FALSE)</f>
        <v>0</v>
      </c>
      <c r="W201" s="127">
        <f>VLOOKUP(C201,'Talente &amp; Stuff'!AF:BG,21,FALSE)</f>
        <v>0</v>
      </c>
      <c r="X201" s="127">
        <f>VLOOKUP(C201,'Talente &amp; Stuff'!AF:BG,22,FALSE)</f>
        <v>0</v>
      </c>
      <c r="Y201" s="165">
        <f t="shared" si="18"/>
        <v>0</v>
      </c>
      <c r="Z201" s="44">
        <f t="shared" si="19"/>
        <v>0</v>
      </c>
      <c r="AA201" s="125">
        <f>VLOOKUP(C201,'Talente &amp; Stuff'!AF:BG,25,FALSE)</f>
        <v>0</v>
      </c>
      <c r="AB201" s="160">
        <f>VLOOKUP(C201,'Talente &amp; Stuff'!AF:BG,26,FALSE)</f>
        <v>0</v>
      </c>
      <c r="AC201" s="127">
        <f>VLOOKUP(C201,'Talente &amp; Stuff'!AF:BG,27,FALSE)</f>
        <v>0</v>
      </c>
      <c r="AD201" s="125">
        <f>VLOOKUP(C201,'Talente &amp; Stuff'!AF:BG,28,FALSE)</f>
        <v>0</v>
      </c>
      <c r="AE201" s="28"/>
    </row>
    <row r="202" spans="2:31" ht="15" hidden="1" customHeight="1" outlineLevel="2">
      <c r="B202" s="148">
        <v>50</v>
      </c>
      <c r="C202" s="177" t="str">
        <f>Attribute!C202</f>
        <v>---</v>
      </c>
      <c r="D202" s="125" t="str">
        <f>VLOOKUP(C202,'Talente &amp; Stuff'!AF:BG,2,FALSE)</f>
        <v>--/--/--</v>
      </c>
      <c r="E202" s="127" t="str">
        <f>VLOOKUP(C202,'Talente &amp; Stuff'!AF:BG,3,FALSE)</f>
        <v>-</v>
      </c>
      <c r="F202" s="114">
        <f>VLOOKUP(C202,'Talente &amp; Stuff'!AF:BG,4,FALSE)</f>
        <v>0</v>
      </c>
      <c r="G202" s="113">
        <f>VLOOKUP(C202,'Talente &amp; Stuff'!AF:BG,5,FALSE)</f>
        <v>0</v>
      </c>
      <c r="H202" s="113">
        <f>VLOOKUP(C202,'Talente &amp; Stuff'!AF:BG,6,FALSE)</f>
        <v>0</v>
      </c>
      <c r="I202" s="113">
        <f>VLOOKUP(C202,'Talente &amp; Stuff'!AF:BG,7,FALSE)</f>
        <v>0</v>
      </c>
      <c r="J202" s="113">
        <f>VLOOKUP(C202,'Talente &amp; Stuff'!AF:BG,8,FALSE)</f>
        <v>0</v>
      </c>
      <c r="K202" s="113">
        <f>VLOOKUP(C202,'Talente &amp; Stuff'!AF:BG,9,FALSE)</f>
        <v>0</v>
      </c>
      <c r="L202" s="113">
        <f>VLOOKUP(C202,'Talente &amp; Stuff'!AF:BG,10,FALSE)</f>
        <v>0</v>
      </c>
      <c r="M202" s="119">
        <f>VLOOKUP(C202,'Talente &amp; Stuff'!AF:BG,11,FALSE)</f>
        <v>0</v>
      </c>
      <c r="N202" s="47">
        <f>VLOOKUP(C202,'Talente &amp; Stuff'!AF:BG,12,FALSE)</f>
        <v>0</v>
      </c>
      <c r="O202" s="47">
        <f>VLOOKUP(C202,'Talente &amp; Stuff'!AF:BG,13,FALSE)</f>
        <v>0</v>
      </c>
      <c r="P202" s="119">
        <f>VLOOKUP(C202,'Talente &amp; Stuff'!AF:BG,14,FALSE)</f>
        <v>0</v>
      </c>
      <c r="Q202" s="114">
        <f>VLOOKUP(C202,'Talente &amp; Stuff'!AF:BG,15,FALSE)</f>
        <v>0</v>
      </c>
      <c r="R202" s="113">
        <f>VLOOKUP(C202,'Talente &amp; Stuff'!AF:BG,16,FALSE)</f>
        <v>0</v>
      </c>
      <c r="S202" s="119">
        <f>VLOOKUP(C202,'Talente &amp; Stuff'!AF:BG,17,FALSE)</f>
        <v>0</v>
      </c>
      <c r="T202" s="119">
        <f>VLOOKUP(C202,'Talente &amp; Stuff'!AF:BG,18,FALSE)</f>
        <v>0</v>
      </c>
      <c r="U202" s="89">
        <f>VLOOKUP(C202,'Talente &amp; Stuff'!AF:BG,19,FALSE)</f>
        <v>0</v>
      </c>
      <c r="V202" s="47">
        <f>VLOOKUP(C202,'Talente &amp; Stuff'!AF:BG,20,FALSE)</f>
        <v>0</v>
      </c>
      <c r="W202" s="127">
        <f>VLOOKUP(C202,'Talente &amp; Stuff'!AF:BG,21,FALSE)</f>
        <v>0</v>
      </c>
      <c r="X202" s="127">
        <f>VLOOKUP(C202,'Talente &amp; Stuff'!AF:BG,22,FALSE)</f>
        <v>0</v>
      </c>
      <c r="Y202" s="165">
        <f t="shared" si="18"/>
        <v>0</v>
      </c>
      <c r="Z202" s="44">
        <f t="shared" si="19"/>
        <v>0</v>
      </c>
      <c r="AA202" s="125">
        <f>VLOOKUP(C202,'Talente &amp; Stuff'!AF:BG,25,FALSE)</f>
        <v>0</v>
      </c>
      <c r="AB202" s="160">
        <f>VLOOKUP(C202,'Talente &amp; Stuff'!AF:BG,26,FALSE)</f>
        <v>0</v>
      </c>
      <c r="AC202" s="127">
        <f>VLOOKUP(C202,'Talente &amp; Stuff'!AF:BG,27,FALSE)</f>
        <v>0</v>
      </c>
      <c r="AD202" s="125">
        <f>VLOOKUP(C202,'Talente &amp; Stuff'!AF:BG,28,FALSE)</f>
        <v>0</v>
      </c>
      <c r="AE202" s="28"/>
    </row>
    <row r="203" spans="2:31" ht="15" hidden="1" customHeight="1" outlineLevel="2">
      <c r="B203" s="148">
        <v>51</v>
      </c>
      <c r="C203" s="177" t="str">
        <f>Attribute!C203</f>
        <v>---</v>
      </c>
      <c r="D203" s="86" t="str">
        <f>VLOOKUP(C203,'Talente &amp; Stuff'!AF:BG,2,FALSE)</f>
        <v>--/--/--</v>
      </c>
      <c r="E203" s="167" t="str">
        <f>VLOOKUP(C203,'Talente &amp; Stuff'!AF:BG,3,FALSE)</f>
        <v>-</v>
      </c>
      <c r="F203" s="120">
        <f>VLOOKUP(C203,'Talente &amp; Stuff'!AF:BG,4,FALSE)</f>
        <v>0</v>
      </c>
      <c r="G203" s="117">
        <f>VLOOKUP(C203,'Talente &amp; Stuff'!AF:BG,5,FALSE)</f>
        <v>0</v>
      </c>
      <c r="H203" s="117">
        <f>VLOOKUP(C203,'Talente &amp; Stuff'!AF:BG,6,FALSE)</f>
        <v>0</v>
      </c>
      <c r="I203" s="117">
        <f>VLOOKUP(C203,'Talente &amp; Stuff'!AF:BG,7,FALSE)</f>
        <v>0</v>
      </c>
      <c r="J203" s="117">
        <f>VLOOKUP(C203,'Talente &amp; Stuff'!AF:BG,8,FALSE)</f>
        <v>0</v>
      </c>
      <c r="K203" s="117">
        <f>VLOOKUP(C203,'Talente &amp; Stuff'!AF:BG,9,FALSE)</f>
        <v>0</v>
      </c>
      <c r="L203" s="117">
        <f>VLOOKUP(C203,'Talente &amp; Stuff'!AF:BG,10,FALSE)</f>
        <v>0</v>
      </c>
      <c r="M203" s="121">
        <f>VLOOKUP(C203,'Talente &amp; Stuff'!AF:BG,11,FALSE)</f>
        <v>0</v>
      </c>
      <c r="N203" s="47">
        <f>VLOOKUP(C203,'Talente &amp; Stuff'!AF:BG,12,FALSE)</f>
        <v>0</v>
      </c>
      <c r="O203" s="3">
        <f>VLOOKUP(C203,'Talente &amp; Stuff'!AF:BG,13,FALSE)</f>
        <v>0</v>
      </c>
      <c r="P203" s="174">
        <f>VLOOKUP(C203,'Talente &amp; Stuff'!AF:BG,14,FALSE)</f>
        <v>0</v>
      </c>
      <c r="Q203" s="114">
        <f>VLOOKUP(C203,'Talente &amp; Stuff'!AF:BG,15,FALSE)</f>
        <v>0</v>
      </c>
      <c r="R203" s="117">
        <f>VLOOKUP(C203,'Talente &amp; Stuff'!AF:BG,16,FALSE)</f>
        <v>0</v>
      </c>
      <c r="S203" s="119">
        <f>VLOOKUP(C203,'Talente &amp; Stuff'!AF:BG,17,FALSE)</f>
        <v>0</v>
      </c>
      <c r="T203" s="119">
        <f>VLOOKUP(C203,'Talente &amp; Stuff'!AF:BG,18,FALSE)</f>
        <v>0</v>
      </c>
      <c r="U203" s="89">
        <f>VLOOKUP(C203,'Talente &amp; Stuff'!AF:BG,19,FALSE)</f>
        <v>0</v>
      </c>
      <c r="V203" s="47">
        <f>VLOOKUP(C203,'Talente &amp; Stuff'!AF:BG,20,FALSE)</f>
        <v>0</v>
      </c>
      <c r="W203" s="127">
        <f>VLOOKUP(C203,'Talente &amp; Stuff'!AF:BG,21,FALSE)</f>
        <v>0</v>
      </c>
      <c r="X203" s="127">
        <f>VLOOKUP(C203,'Talente &amp; Stuff'!AF:BG,22,FALSE)</f>
        <v>0</v>
      </c>
      <c r="Y203" s="165">
        <f t="shared" si="18"/>
        <v>0</v>
      </c>
      <c r="Z203" s="44">
        <f t="shared" si="19"/>
        <v>0</v>
      </c>
      <c r="AA203" s="125">
        <f>VLOOKUP(C203,'Talente &amp; Stuff'!AF:BG,25,FALSE)</f>
        <v>0</v>
      </c>
      <c r="AB203" s="160">
        <f>VLOOKUP(C203,'Talente &amp; Stuff'!AF:BG,26,FALSE)</f>
        <v>0</v>
      </c>
      <c r="AC203" s="127">
        <f>VLOOKUP(C203,'Talente &amp; Stuff'!AF:BG,27,FALSE)</f>
        <v>0</v>
      </c>
      <c r="AD203" s="125">
        <f>VLOOKUP(C203,'Talente &amp; Stuff'!AF:BG,28,FALSE)</f>
        <v>0</v>
      </c>
      <c r="AE203" s="28"/>
    </row>
    <row r="204" spans="2:31" ht="15" hidden="1" customHeight="1" outlineLevel="2">
      <c r="B204" s="148">
        <v>52</v>
      </c>
      <c r="C204" s="177" t="str">
        <f>Attribute!C204</f>
        <v>---</v>
      </c>
      <c r="D204" s="125" t="str">
        <f>VLOOKUP(C204,'Talente &amp; Stuff'!AF:BG,2,FALSE)</f>
        <v>--/--/--</v>
      </c>
      <c r="E204" s="127" t="str">
        <f>VLOOKUP(C204,'Talente &amp; Stuff'!AF:BG,3,FALSE)</f>
        <v>-</v>
      </c>
      <c r="F204" s="114">
        <f>VLOOKUP(C204,'Talente &amp; Stuff'!AF:BG,4,FALSE)</f>
        <v>0</v>
      </c>
      <c r="G204" s="113">
        <f>VLOOKUP(C204,'Talente &amp; Stuff'!AF:BG,5,FALSE)</f>
        <v>0</v>
      </c>
      <c r="H204" s="113">
        <f>VLOOKUP(C204,'Talente &amp; Stuff'!AF:BG,6,FALSE)</f>
        <v>0</v>
      </c>
      <c r="I204" s="113">
        <f>VLOOKUP(C204,'Talente &amp; Stuff'!AF:BG,7,FALSE)</f>
        <v>0</v>
      </c>
      <c r="J204" s="113">
        <f>VLOOKUP(C204,'Talente &amp; Stuff'!AF:BG,8,FALSE)</f>
        <v>0</v>
      </c>
      <c r="K204" s="113">
        <f>VLOOKUP(C204,'Talente &amp; Stuff'!AF:BG,9,FALSE)</f>
        <v>0</v>
      </c>
      <c r="L204" s="113">
        <f>VLOOKUP(C204,'Talente &amp; Stuff'!AF:BG,10,FALSE)</f>
        <v>0</v>
      </c>
      <c r="M204" s="119">
        <f>VLOOKUP(C204,'Talente &amp; Stuff'!AF:BG,11,FALSE)</f>
        <v>0</v>
      </c>
      <c r="N204" s="47">
        <f>VLOOKUP(C204,'Talente &amp; Stuff'!AF:BG,12,FALSE)</f>
        <v>0</v>
      </c>
      <c r="O204" s="47">
        <f>VLOOKUP(C204,'Talente &amp; Stuff'!AF:BG,13,FALSE)</f>
        <v>0</v>
      </c>
      <c r="P204" s="119">
        <f>VLOOKUP(C204,'Talente &amp; Stuff'!AF:BG,14,FALSE)</f>
        <v>0</v>
      </c>
      <c r="Q204" s="114">
        <f>VLOOKUP(C204,'Talente &amp; Stuff'!AF:BG,15,FALSE)</f>
        <v>0</v>
      </c>
      <c r="R204" s="113">
        <f>VLOOKUP(C204,'Talente &amp; Stuff'!AF:BG,16,FALSE)</f>
        <v>0</v>
      </c>
      <c r="S204" s="119">
        <f>VLOOKUP(C204,'Talente &amp; Stuff'!AF:BG,17,FALSE)</f>
        <v>0</v>
      </c>
      <c r="T204" s="119">
        <f>VLOOKUP(C204,'Talente &amp; Stuff'!AF:BG,18,FALSE)</f>
        <v>0</v>
      </c>
      <c r="U204" s="89">
        <f>VLOOKUP(C204,'Talente &amp; Stuff'!AF:BG,19,FALSE)</f>
        <v>0</v>
      </c>
      <c r="V204" s="47">
        <f>VLOOKUP(C204,'Talente &amp; Stuff'!AF:BG,20,FALSE)</f>
        <v>0</v>
      </c>
      <c r="W204" s="127">
        <f>VLOOKUP(C204,'Talente &amp; Stuff'!AF:BG,21,FALSE)</f>
        <v>0</v>
      </c>
      <c r="X204" s="127">
        <f>VLOOKUP(C204,'Talente &amp; Stuff'!AF:BG,22,FALSE)</f>
        <v>0</v>
      </c>
      <c r="Y204" s="165">
        <f t="shared" si="18"/>
        <v>0</v>
      </c>
      <c r="Z204" s="44">
        <f t="shared" si="19"/>
        <v>0</v>
      </c>
      <c r="AA204" s="125">
        <f>VLOOKUP(C204,'Talente &amp; Stuff'!AF:BG,25,FALSE)</f>
        <v>0</v>
      </c>
      <c r="AB204" s="160">
        <f>VLOOKUP(C204,'Talente &amp; Stuff'!AF:BG,26,FALSE)</f>
        <v>0</v>
      </c>
      <c r="AC204" s="127">
        <f>VLOOKUP(C204,'Talente &amp; Stuff'!AF:BG,27,FALSE)</f>
        <v>0</v>
      </c>
      <c r="AD204" s="125">
        <f>VLOOKUP(C204,'Talente &amp; Stuff'!AF:BG,28,FALSE)</f>
        <v>0</v>
      </c>
      <c r="AE204" s="28"/>
    </row>
    <row r="205" spans="2:31" ht="15" hidden="1" customHeight="1" outlineLevel="2">
      <c r="B205" s="148">
        <v>53</v>
      </c>
      <c r="C205" s="177" t="str">
        <f>Attribute!C205</f>
        <v>---</v>
      </c>
      <c r="D205" s="86" t="str">
        <f>VLOOKUP(C205,'Talente &amp; Stuff'!AF:BG,2,FALSE)</f>
        <v>--/--/--</v>
      </c>
      <c r="E205" s="127" t="str">
        <f>VLOOKUP(C205,'Talente &amp; Stuff'!AF:BG,3,FALSE)</f>
        <v>-</v>
      </c>
      <c r="F205" s="114">
        <f>VLOOKUP(C205,'Talente &amp; Stuff'!AF:BG,4,FALSE)</f>
        <v>0</v>
      </c>
      <c r="G205" s="113">
        <f>VLOOKUP(C205,'Talente &amp; Stuff'!AF:BG,5,FALSE)</f>
        <v>0</v>
      </c>
      <c r="H205" s="113">
        <f>VLOOKUP(C205,'Talente &amp; Stuff'!AF:BG,6,FALSE)</f>
        <v>0</v>
      </c>
      <c r="I205" s="113">
        <f>VLOOKUP(C205,'Talente &amp; Stuff'!AF:BG,7,FALSE)</f>
        <v>0</v>
      </c>
      <c r="J205" s="113">
        <f>VLOOKUP(C205,'Talente &amp; Stuff'!AF:BG,8,FALSE)</f>
        <v>0</v>
      </c>
      <c r="K205" s="113">
        <f>VLOOKUP(C205,'Talente &amp; Stuff'!AF:BG,9,FALSE)</f>
        <v>0</v>
      </c>
      <c r="L205" s="113">
        <f>VLOOKUP(C205,'Talente &amp; Stuff'!AF:BG,10,FALSE)</f>
        <v>0</v>
      </c>
      <c r="M205" s="119">
        <f>VLOOKUP(C205,'Talente &amp; Stuff'!AF:BG,11,FALSE)</f>
        <v>0</v>
      </c>
      <c r="N205" s="47">
        <f>VLOOKUP(C205,'Talente &amp; Stuff'!AF:BG,12,FALSE)</f>
        <v>0</v>
      </c>
      <c r="O205" s="3">
        <f>VLOOKUP(C205,'Talente &amp; Stuff'!AF:BG,13,FALSE)</f>
        <v>0</v>
      </c>
      <c r="P205" s="174">
        <f>VLOOKUP(C205,'Talente &amp; Stuff'!AF:BG,14,FALSE)</f>
        <v>0</v>
      </c>
      <c r="Q205" s="114">
        <f>VLOOKUP(C205,'Talente &amp; Stuff'!AF:BG,15,FALSE)</f>
        <v>0</v>
      </c>
      <c r="R205" s="117">
        <f>VLOOKUP(C205,'Talente &amp; Stuff'!AF:BG,16,FALSE)</f>
        <v>0</v>
      </c>
      <c r="S205" s="119">
        <f>VLOOKUP(C205,'Talente &amp; Stuff'!AF:BG,17,FALSE)</f>
        <v>0</v>
      </c>
      <c r="T205" s="119">
        <f>VLOOKUP(C205,'Talente &amp; Stuff'!AF:BG,18,FALSE)</f>
        <v>0</v>
      </c>
      <c r="U205" s="89">
        <f>VLOOKUP(C205,'Talente &amp; Stuff'!AF:BG,19,FALSE)</f>
        <v>0</v>
      </c>
      <c r="V205" s="47">
        <f>VLOOKUP(C205,'Talente &amp; Stuff'!AF:BG,20,FALSE)</f>
        <v>0</v>
      </c>
      <c r="W205" s="127">
        <f>VLOOKUP(C205,'Talente &amp; Stuff'!AF:BG,21,FALSE)</f>
        <v>0</v>
      </c>
      <c r="X205" s="127">
        <f>VLOOKUP(C205,'Talente &amp; Stuff'!AF:BG,22,FALSE)</f>
        <v>0</v>
      </c>
      <c r="Y205" s="165">
        <f t="shared" si="18"/>
        <v>0</v>
      </c>
      <c r="Z205" s="44">
        <f t="shared" si="19"/>
        <v>0</v>
      </c>
      <c r="AA205" s="125">
        <f>VLOOKUP(C205,'Talente &amp; Stuff'!AF:BG,25,FALSE)</f>
        <v>0</v>
      </c>
      <c r="AB205" s="160">
        <f>VLOOKUP(C205,'Talente &amp; Stuff'!AF:BG,26,FALSE)</f>
        <v>0</v>
      </c>
      <c r="AC205" s="127">
        <f>VLOOKUP(C205,'Talente &amp; Stuff'!AF:BG,27,FALSE)</f>
        <v>0</v>
      </c>
      <c r="AD205" s="125">
        <f>VLOOKUP(C205,'Talente &amp; Stuff'!AF:BG,28,FALSE)</f>
        <v>0</v>
      </c>
      <c r="AE205" s="28"/>
    </row>
    <row r="206" spans="2:31" ht="15" hidden="1" customHeight="1" outlineLevel="2">
      <c r="B206" s="148">
        <v>54</v>
      </c>
      <c r="C206" s="177" t="str">
        <f>Attribute!C206</f>
        <v>---</v>
      </c>
      <c r="D206" s="125" t="str">
        <f>VLOOKUP(C206,'Talente &amp; Stuff'!AF:BG,2,FALSE)</f>
        <v>--/--/--</v>
      </c>
      <c r="E206" s="127" t="str">
        <f>VLOOKUP(C206,'Talente &amp; Stuff'!AF:BG,3,FALSE)</f>
        <v>-</v>
      </c>
      <c r="F206" s="114">
        <f>VLOOKUP(C206,'Talente &amp; Stuff'!AF:BG,4,FALSE)</f>
        <v>0</v>
      </c>
      <c r="G206" s="113">
        <f>VLOOKUP(C206,'Talente &amp; Stuff'!AF:BG,5,FALSE)</f>
        <v>0</v>
      </c>
      <c r="H206" s="113">
        <f>VLOOKUP(C206,'Talente &amp; Stuff'!AF:BG,6,FALSE)</f>
        <v>0</v>
      </c>
      <c r="I206" s="113">
        <f>VLOOKUP(C206,'Talente &amp; Stuff'!AF:BG,7,FALSE)</f>
        <v>0</v>
      </c>
      <c r="J206" s="113">
        <f>VLOOKUP(C206,'Talente &amp; Stuff'!AF:BG,8,FALSE)</f>
        <v>0</v>
      </c>
      <c r="K206" s="113">
        <f>VLOOKUP(C206,'Talente &amp; Stuff'!AF:BG,9,FALSE)</f>
        <v>0</v>
      </c>
      <c r="L206" s="113">
        <f>VLOOKUP(C206,'Talente &amp; Stuff'!AF:BG,10,FALSE)</f>
        <v>0</v>
      </c>
      <c r="M206" s="119">
        <f>VLOOKUP(C206,'Talente &amp; Stuff'!AF:BG,11,FALSE)</f>
        <v>0</v>
      </c>
      <c r="N206" s="47">
        <f>VLOOKUP(C206,'Talente &amp; Stuff'!AF:BG,12,FALSE)</f>
        <v>0</v>
      </c>
      <c r="O206" s="47">
        <f>VLOOKUP(C206,'Talente &amp; Stuff'!AF:BG,13,FALSE)</f>
        <v>0</v>
      </c>
      <c r="P206" s="119">
        <f>VLOOKUP(C206,'Talente &amp; Stuff'!AF:BG,14,FALSE)</f>
        <v>0</v>
      </c>
      <c r="Q206" s="114">
        <f>VLOOKUP(C206,'Talente &amp; Stuff'!AF:BG,15,FALSE)</f>
        <v>0</v>
      </c>
      <c r="R206" s="113">
        <f>VLOOKUP(C206,'Talente &amp; Stuff'!AF:BG,16,FALSE)</f>
        <v>0</v>
      </c>
      <c r="S206" s="119">
        <f>VLOOKUP(C206,'Talente &amp; Stuff'!AF:BG,17,FALSE)</f>
        <v>0</v>
      </c>
      <c r="T206" s="119">
        <f>VLOOKUP(C206,'Talente &amp; Stuff'!AF:BG,18,FALSE)</f>
        <v>0</v>
      </c>
      <c r="U206" s="89">
        <f>VLOOKUP(C206,'Talente &amp; Stuff'!AF:BG,19,FALSE)</f>
        <v>0</v>
      </c>
      <c r="V206" s="47">
        <f>VLOOKUP(C206,'Talente &amp; Stuff'!AF:BG,20,FALSE)</f>
        <v>0</v>
      </c>
      <c r="W206" s="127">
        <f>VLOOKUP(C206,'Talente &amp; Stuff'!AF:BG,21,FALSE)</f>
        <v>0</v>
      </c>
      <c r="X206" s="127">
        <f>VLOOKUP(C206,'Talente &amp; Stuff'!AF:BG,22,FALSE)</f>
        <v>0</v>
      </c>
      <c r="Y206" s="165">
        <f t="shared" si="18"/>
        <v>0</v>
      </c>
      <c r="Z206" s="44">
        <f t="shared" si="19"/>
        <v>0</v>
      </c>
      <c r="AA206" s="125">
        <f>VLOOKUP(C206,'Talente &amp; Stuff'!AF:BG,25,FALSE)</f>
        <v>0</v>
      </c>
      <c r="AB206" s="160">
        <f>VLOOKUP(C206,'Talente &amp; Stuff'!AF:BG,26,FALSE)</f>
        <v>0</v>
      </c>
      <c r="AC206" s="127">
        <f>VLOOKUP(C206,'Talente &amp; Stuff'!AF:BG,27,FALSE)</f>
        <v>0</v>
      </c>
      <c r="AD206" s="125">
        <f>VLOOKUP(C206,'Talente &amp; Stuff'!AF:BG,28,FALSE)</f>
        <v>0</v>
      </c>
      <c r="AE206" s="28"/>
    </row>
    <row r="207" spans="2:31" ht="15" hidden="1" customHeight="1" outlineLevel="2">
      <c r="B207" s="148">
        <v>55</v>
      </c>
      <c r="C207" s="177" t="str">
        <f>Attribute!C207</f>
        <v>---</v>
      </c>
      <c r="D207" s="125" t="str">
        <f>VLOOKUP(C207,'Talente &amp; Stuff'!AF:BG,2,FALSE)</f>
        <v>--/--/--</v>
      </c>
      <c r="E207" s="127" t="str">
        <f>VLOOKUP(C207,'Talente &amp; Stuff'!AF:BG,3,FALSE)</f>
        <v>-</v>
      </c>
      <c r="F207" s="114">
        <f>VLOOKUP(C207,'Talente &amp; Stuff'!AF:BG,4,FALSE)</f>
        <v>0</v>
      </c>
      <c r="G207" s="113">
        <f>VLOOKUP(C207,'Talente &amp; Stuff'!AF:BG,5,FALSE)</f>
        <v>0</v>
      </c>
      <c r="H207" s="113">
        <f>VLOOKUP(C207,'Talente &amp; Stuff'!AF:BG,6,FALSE)</f>
        <v>0</v>
      </c>
      <c r="I207" s="113">
        <f>VLOOKUP(C207,'Talente &amp; Stuff'!AF:BG,7,FALSE)</f>
        <v>0</v>
      </c>
      <c r="J207" s="113">
        <f>VLOOKUP(C207,'Talente &amp; Stuff'!AF:BG,8,FALSE)</f>
        <v>0</v>
      </c>
      <c r="K207" s="113">
        <f>VLOOKUP(C207,'Talente &amp; Stuff'!AF:BG,9,FALSE)</f>
        <v>0</v>
      </c>
      <c r="L207" s="113">
        <f>VLOOKUP(C207,'Talente &amp; Stuff'!AF:BG,10,FALSE)</f>
        <v>0</v>
      </c>
      <c r="M207" s="119">
        <f>VLOOKUP(C207,'Talente &amp; Stuff'!AF:BG,11,FALSE)</f>
        <v>0</v>
      </c>
      <c r="N207" s="47">
        <f>VLOOKUP(C207,'Talente &amp; Stuff'!AF:BG,12,FALSE)</f>
        <v>0</v>
      </c>
      <c r="O207" s="47">
        <f>VLOOKUP(C207,'Talente &amp; Stuff'!AF:BG,13,FALSE)</f>
        <v>0</v>
      </c>
      <c r="P207" s="119">
        <f>VLOOKUP(C207,'Talente &amp; Stuff'!AF:BG,14,FALSE)</f>
        <v>0</v>
      </c>
      <c r="Q207" s="114">
        <f>VLOOKUP(C207,'Talente &amp; Stuff'!AF:BG,15,FALSE)</f>
        <v>0</v>
      </c>
      <c r="R207" s="113">
        <f>VLOOKUP(C207,'Talente &amp; Stuff'!AF:BG,16,FALSE)</f>
        <v>0</v>
      </c>
      <c r="S207" s="119">
        <f>VLOOKUP(C207,'Talente &amp; Stuff'!AF:BG,17,FALSE)</f>
        <v>0</v>
      </c>
      <c r="T207" s="119">
        <f>VLOOKUP(C207,'Talente &amp; Stuff'!AF:BG,18,FALSE)</f>
        <v>0</v>
      </c>
      <c r="U207" s="89">
        <f>VLOOKUP(C207,'Talente &amp; Stuff'!AF:BG,19,FALSE)</f>
        <v>0</v>
      </c>
      <c r="V207" s="47">
        <f>VLOOKUP(C207,'Talente &amp; Stuff'!AF:BG,20,FALSE)</f>
        <v>0</v>
      </c>
      <c r="W207" s="127">
        <f>VLOOKUP(C207,'Talente &amp; Stuff'!AF:BG,21,FALSE)</f>
        <v>0</v>
      </c>
      <c r="X207" s="127">
        <f>VLOOKUP(C207,'Talente &amp; Stuff'!AF:BG,22,FALSE)</f>
        <v>0</v>
      </c>
      <c r="Y207" s="165">
        <f t="shared" si="18"/>
        <v>0</v>
      </c>
      <c r="Z207" s="44">
        <f t="shared" si="19"/>
        <v>0</v>
      </c>
      <c r="AA207" s="125">
        <f>VLOOKUP(C207,'Talente &amp; Stuff'!AF:BG,25,FALSE)</f>
        <v>0</v>
      </c>
      <c r="AB207" s="160">
        <f>VLOOKUP(C207,'Talente &amp; Stuff'!AF:BG,26,FALSE)</f>
        <v>0</v>
      </c>
      <c r="AC207" s="127">
        <f>VLOOKUP(C207,'Talente &amp; Stuff'!AF:BG,27,FALSE)</f>
        <v>0</v>
      </c>
      <c r="AD207" s="125">
        <f>VLOOKUP(C207,'Talente &amp; Stuff'!AF:BG,28,FALSE)</f>
        <v>0</v>
      </c>
      <c r="AE207" s="28"/>
    </row>
    <row r="208" spans="2:31" ht="15" hidden="1" customHeight="1" outlineLevel="2">
      <c r="B208" s="148">
        <v>56</v>
      </c>
      <c r="C208" s="177" t="str">
        <f>Attribute!C208</f>
        <v>---</v>
      </c>
      <c r="D208" s="125" t="str">
        <f>VLOOKUP(C208,'Talente &amp; Stuff'!AF:BG,2,FALSE)</f>
        <v>--/--/--</v>
      </c>
      <c r="E208" s="127" t="str">
        <f>VLOOKUP(C208,'Talente &amp; Stuff'!AF:BG,3,FALSE)</f>
        <v>-</v>
      </c>
      <c r="F208" s="114">
        <f>VLOOKUP(C208,'Talente &amp; Stuff'!AF:BG,4,FALSE)</f>
        <v>0</v>
      </c>
      <c r="G208" s="113">
        <f>VLOOKUP(C208,'Talente &amp; Stuff'!AF:BG,5,FALSE)</f>
        <v>0</v>
      </c>
      <c r="H208" s="113">
        <f>VLOOKUP(C208,'Talente &amp; Stuff'!AF:BG,6,FALSE)</f>
        <v>0</v>
      </c>
      <c r="I208" s="113">
        <f>VLOOKUP(C208,'Talente &amp; Stuff'!AF:BG,7,FALSE)</f>
        <v>0</v>
      </c>
      <c r="J208" s="113">
        <f>VLOOKUP(C208,'Talente &amp; Stuff'!AF:BG,8,FALSE)</f>
        <v>0</v>
      </c>
      <c r="K208" s="113">
        <f>VLOOKUP(C208,'Talente &amp; Stuff'!AF:BG,9,FALSE)</f>
        <v>0</v>
      </c>
      <c r="L208" s="113">
        <f>VLOOKUP(C208,'Talente &amp; Stuff'!AF:BG,10,FALSE)</f>
        <v>0</v>
      </c>
      <c r="M208" s="119">
        <f>VLOOKUP(C208,'Talente &amp; Stuff'!AF:BG,11,FALSE)</f>
        <v>0</v>
      </c>
      <c r="N208" s="47">
        <f>VLOOKUP(C208,'Talente &amp; Stuff'!AF:BG,12,FALSE)</f>
        <v>0</v>
      </c>
      <c r="O208" s="47">
        <f>VLOOKUP(C208,'Talente &amp; Stuff'!AF:BG,13,FALSE)</f>
        <v>0</v>
      </c>
      <c r="P208" s="119">
        <f>VLOOKUP(C208,'Talente &amp; Stuff'!AF:BG,14,FALSE)</f>
        <v>0</v>
      </c>
      <c r="Q208" s="114">
        <f>VLOOKUP(C208,'Talente &amp; Stuff'!AF:BG,15,FALSE)</f>
        <v>0</v>
      </c>
      <c r="R208" s="113">
        <f>VLOOKUP(C208,'Talente &amp; Stuff'!AF:BG,16,FALSE)</f>
        <v>0</v>
      </c>
      <c r="S208" s="119">
        <f>VLOOKUP(C208,'Talente &amp; Stuff'!AF:BG,17,FALSE)</f>
        <v>0</v>
      </c>
      <c r="T208" s="119">
        <f>VLOOKUP(C208,'Talente &amp; Stuff'!AF:BG,18,FALSE)</f>
        <v>0</v>
      </c>
      <c r="U208" s="89">
        <f>VLOOKUP(C208,'Talente &amp; Stuff'!AF:BG,19,FALSE)</f>
        <v>0</v>
      </c>
      <c r="V208" s="47">
        <f>VLOOKUP(C208,'Talente &amp; Stuff'!AF:BG,20,FALSE)</f>
        <v>0</v>
      </c>
      <c r="W208" s="127">
        <f>VLOOKUP(C208,'Talente &amp; Stuff'!AF:BG,21,FALSE)</f>
        <v>0</v>
      </c>
      <c r="X208" s="127">
        <f>VLOOKUP(C208,'Talente &amp; Stuff'!AF:BG,22,FALSE)</f>
        <v>0</v>
      </c>
      <c r="Y208" s="165">
        <f t="shared" si="18"/>
        <v>0</v>
      </c>
      <c r="Z208" s="44">
        <f t="shared" si="19"/>
        <v>0</v>
      </c>
      <c r="AA208" s="125">
        <f>VLOOKUP(C208,'Talente &amp; Stuff'!AF:BG,25,FALSE)</f>
        <v>0</v>
      </c>
      <c r="AB208" s="160">
        <f>VLOOKUP(C208,'Talente &amp; Stuff'!AF:BG,26,FALSE)</f>
        <v>0</v>
      </c>
      <c r="AC208" s="127">
        <f>VLOOKUP(C208,'Talente &amp; Stuff'!AF:BG,27,FALSE)</f>
        <v>0</v>
      </c>
      <c r="AD208" s="125">
        <f>VLOOKUP(C208,'Talente &amp; Stuff'!AF:BG,28,FALSE)</f>
        <v>0</v>
      </c>
      <c r="AE208" s="28"/>
    </row>
    <row r="209" spans="2:31" ht="15" hidden="1" customHeight="1" outlineLevel="2">
      <c r="B209" s="148">
        <v>57</v>
      </c>
      <c r="C209" s="177" t="str">
        <f>Attribute!C209</f>
        <v>---</v>
      </c>
      <c r="D209" s="125" t="str">
        <f>VLOOKUP(C209,'Talente &amp; Stuff'!AF:BG,2,FALSE)</f>
        <v>--/--/--</v>
      </c>
      <c r="E209" s="127" t="str">
        <f>VLOOKUP(C209,'Talente &amp; Stuff'!AF:BG,3,FALSE)</f>
        <v>-</v>
      </c>
      <c r="F209" s="114">
        <f>VLOOKUP(C209,'Talente &amp; Stuff'!AF:BG,4,FALSE)</f>
        <v>0</v>
      </c>
      <c r="G209" s="113">
        <f>VLOOKUP(C209,'Talente &amp; Stuff'!AF:BG,5,FALSE)</f>
        <v>0</v>
      </c>
      <c r="H209" s="113">
        <f>VLOOKUP(C209,'Talente &amp; Stuff'!AF:BG,6,FALSE)</f>
        <v>0</v>
      </c>
      <c r="I209" s="113">
        <f>VLOOKUP(C209,'Talente &amp; Stuff'!AF:BG,7,FALSE)</f>
        <v>0</v>
      </c>
      <c r="J209" s="113">
        <f>VLOOKUP(C209,'Talente &amp; Stuff'!AF:BG,8,FALSE)</f>
        <v>0</v>
      </c>
      <c r="K209" s="113">
        <f>VLOOKUP(C209,'Talente &amp; Stuff'!AF:BG,9,FALSE)</f>
        <v>0</v>
      </c>
      <c r="L209" s="113">
        <f>VLOOKUP(C209,'Talente &amp; Stuff'!AF:BG,10,FALSE)</f>
        <v>0</v>
      </c>
      <c r="M209" s="119">
        <f>VLOOKUP(C209,'Talente &amp; Stuff'!AF:BG,11,FALSE)</f>
        <v>0</v>
      </c>
      <c r="N209" s="47">
        <f>VLOOKUP(C209,'Talente &amp; Stuff'!AF:BG,12,FALSE)</f>
        <v>0</v>
      </c>
      <c r="O209" s="47">
        <f>VLOOKUP(C209,'Talente &amp; Stuff'!AF:BG,13,FALSE)</f>
        <v>0</v>
      </c>
      <c r="P209" s="119">
        <f>VLOOKUP(C209,'Talente &amp; Stuff'!AF:BG,14,FALSE)</f>
        <v>0</v>
      </c>
      <c r="Q209" s="114">
        <f>VLOOKUP(C209,'Talente &amp; Stuff'!AF:BG,15,FALSE)</f>
        <v>0</v>
      </c>
      <c r="R209" s="113">
        <f>VLOOKUP(C209,'Talente &amp; Stuff'!AF:BG,16,FALSE)</f>
        <v>0</v>
      </c>
      <c r="S209" s="119">
        <f>VLOOKUP(C209,'Talente &amp; Stuff'!AF:BG,17,FALSE)</f>
        <v>0</v>
      </c>
      <c r="T209" s="119">
        <f>VLOOKUP(C209,'Talente &amp; Stuff'!AF:BG,18,FALSE)</f>
        <v>0</v>
      </c>
      <c r="U209" s="89">
        <f>VLOOKUP(C209,'Talente &amp; Stuff'!AF:BG,19,FALSE)</f>
        <v>0</v>
      </c>
      <c r="V209" s="47">
        <f>VLOOKUP(C209,'Talente &amp; Stuff'!AF:BG,20,FALSE)</f>
        <v>0</v>
      </c>
      <c r="W209" s="127">
        <f>VLOOKUP(C209,'Talente &amp; Stuff'!AF:BG,21,FALSE)</f>
        <v>0</v>
      </c>
      <c r="X209" s="127">
        <f>VLOOKUP(C209,'Talente &amp; Stuff'!AF:BG,22,FALSE)</f>
        <v>0</v>
      </c>
      <c r="Y209" s="165">
        <f t="shared" si="18"/>
        <v>0</v>
      </c>
      <c r="Z209" s="44">
        <f t="shared" si="19"/>
        <v>0</v>
      </c>
      <c r="AA209" s="125">
        <f>VLOOKUP(C209,'Talente &amp; Stuff'!AF:BG,25,FALSE)</f>
        <v>0</v>
      </c>
      <c r="AB209" s="160">
        <f>VLOOKUP(C209,'Talente &amp; Stuff'!AF:BG,26,FALSE)</f>
        <v>0</v>
      </c>
      <c r="AC209" s="127">
        <f>VLOOKUP(C209,'Talente &amp; Stuff'!AF:BG,27,FALSE)</f>
        <v>0</v>
      </c>
      <c r="AD209" s="125">
        <f>VLOOKUP(C209,'Talente &amp; Stuff'!AF:BG,28,FALSE)</f>
        <v>0</v>
      </c>
      <c r="AE209" s="28"/>
    </row>
    <row r="210" spans="2:31" ht="15" hidden="1" customHeight="1" outlineLevel="2">
      <c r="B210" s="148">
        <v>58</v>
      </c>
      <c r="C210" s="177" t="str">
        <f>Attribute!C210</f>
        <v>---</v>
      </c>
      <c r="D210" s="125" t="str">
        <f>VLOOKUP(C210,'Talente &amp; Stuff'!AF:BG,2,FALSE)</f>
        <v>--/--/--</v>
      </c>
      <c r="E210" s="127" t="str">
        <f>VLOOKUP(C210,'Talente &amp; Stuff'!AF:BG,3,FALSE)</f>
        <v>-</v>
      </c>
      <c r="F210" s="114">
        <f>VLOOKUP(C210,'Talente &amp; Stuff'!AF:BG,4,FALSE)</f>
        <v>0</v>
      </c>
      <c r="G210" s="113">
        <f>VLOOKUP(C210,'Talente &amp; Stuff'!AF:BG,5,FALSE)</f>
        <v>0</v>
      </c>
      <c r="H210" s="113">
        <f>VLOOKUP(C210,'Talente &amp; Stuff'!AF:BG,6,FALSE)</f>
        <v>0</v>
      </c>
      <c r="I210" s="113">
        <f>VLOOKUP(C210,'Talente &amp; Stuff'!AF:BG,7,FALSE)</f>
        <v>0</v>
      </c>
      <c r="J210" s="113">
        <f>VLOOKUP(C210,'Talente &amp; Stuff'!AF:BG,8,FALSE)</f>
        <v>0</v>
      </c>
      <c r="K210" s="113">
        <f>VLOOKUP(C210,'Talente &amp; Stuff'!AF:BG,9,FALSE)</f>
        <v>0</v>
      </c>
      <c r="L210" s="113">
        <f>VLOOKUP(C210,'Talente &amp; Stuff'!AF:BG,10,FALSE)</f>
        <v>0</v>
      </c>
      <c r="M210" s="119">
        <f>VLOOKUP(C210,'Talente &amp; Stuff'!AF:BG,11,FALSE)</f>
        <v>0</v>
      </c>
      <c r="N210" s="47">
        <f>VLOOKUP(C210,'Talente &amp; Stuff'!AF:BG,12,FALSE)</f>
        <v>0</v>
      </c>
      <c r="O210" s="47">
        <f>VLOOKUP(C210,'Talente &amp; Stuff'!AF:BG,13,FALSE)</f>
        <v>0</v>
      </c>
      <c r="P210" s="119">
        <f>VLOOKUP(C210,'Talente &amp; Stuff'!AF:BG,14,FALSE)</f>
        <v>0</v>
      </c>
      <c r="Q210" s="114">
        <f>VLOOKUP(C210,'Talente &amp; Stuff'!AF:BG,15,FALSE)</f>
        <v>0</v>
      </c>
      <c r="R210" s="113">
        <f>VLOOKUP(C210,'Talente &amp; Stuff'!AF:BG,16,FALSE)</f>
        <v>0</v>
      </c>
      <c r="S210" s="119">
        <f>VLOOKUP(C210,'Talente &amp; Stuff'!AF:BG,17,FALSE)</f>
        <v>0</v>
      </c>
      <c r="T210" s="119">
        <f>VLOOKUP(C210,'Talente &amp; Stuff'!AF:BG,18,FALSE)</f>
        <v>0</v>
      </c>
      <c r="U210" s="89">
        <f>VLOOKUP(C210,'Talente &amp; Stuff'!AF:BG,19,FALSE)</f>
        <v>0</v>
      </c>
      <c r="V210" s="47">
        <f>VLOOKUP(C210,'Talente &amp; Stuff'!AF:BG,20,FALSE)</f>
        <v>0</v>
      </c>
      <c r="W210" s="127">
        <f>VLOOKUP(C210,'Talente &amp; Stuff'!AF:BG,21,FALSE)</f>
        <v>0</v>
      </c>
      <c r="X210" s="127">
        <f>VLOOKUP(C210,'Talente &amp; Stuff'!AF:BG,22,FALSE)</f>
        <v>0</v>
      </c>
      <c r="Y210" s="165">
        <f t="shared" si="18"/>
        <v>0</v>
      </c>
      <c r="Z210" s="44">
        <f t="shared" si="19"/>
        <v>0</v>
      </c>
      <c r="AA210" s="125">
        <f>VLOOKUP(C210,'Talente &amp; Stuff'!AF:BG,25,FALSE)</f>
        <v>0</v>
      </c>
      <c r="AB210" s="160">
        <f>VLOOKUP(C210,'Talente &amp; Stuff'!AF:BG,26,FALSE)</f>
        <v>0</v>
      </c>
      <c r="AC210" s="127">
        <f>VLOOKUP(C210,'Talente &amp; Stuff'!AF:BG,27,FALSE)</f>
        <v>0</v>
      </c>
      <c r="AD210" s="125">
        <f>VLOOKUP(C210,'Talente &amp; Stuff'!AF:BG,28,FALSE)</f>
        <v>0</v>
      </c>
      <c r="AE210" s="28"/>
    </row>
    <row r="211" spans="2:31" ht="15" hidden="1" customHeight="1" outlineLevel="2">
      <c r="B211" s="148">
        <v>59</v>
      </c>
      <c r="C211" s="177" t="str">
        <f>Attribute!C211</f>
        <v>---</v>
      </c>
      <c r="D211" s="159" t="str">
        <f>VLOOKUP(C211,'Talente &amp; Stuff'!AF:BG,2,FALSE)</f>
        <v>--/--/--</v>
      </c>
      <c r="E211" s="128" t="str">
        <f>VLOOKUP(C211,'Talente &amp; Stuff'!AF:BG,3,FALSE)</f>
        <v>-</v>
      </c>
      <c r="F211" s="115">
        <f>VLOOKUP(C211,'Talente &amp; Stuff'!AF:BG,4,FALSE)</f>
        <v>0</v>
      </c>
      <c r="G211" s="122">
        <f>VLOOKUP(C211,'Talente &amp; Stuff'!AF:BG,5,FALSE)</f>
        <v>0</v>
      </c>
      <c r="H211" s="122">
        <f>VLOOKUP(C211,'Talente &amp; Stuff'!AF:BG,6,FALSE)</f>
        <v>0</v>
      </c>
      <c r="I211" s="122">
        <f>VLOOKUP(C211,'Talente &amp; Stuff'!AF:BG,7,FALSE)</f>
        <v>0</v>
      </c>
      <c r="J211" s="122">
        <f>VLOOKUP(C211,'Talente &amp; Stuff'!AF:BG,8,FALSE)</f>
        <v>0</v>
      </c>
      <c r="K211" s="122">
        <f>VLOOKUP(C211,'Talente &amp; Stuff'!AF:BG,9,FALSE)</f>
        <v>0</v>
      </c>
      <c r="L211" s="122">
        <f>VLOOKUP(C211,'Talente &amp; Stuff'!AF:BG,10,FALSE)</f>
        <v>0</v>
      </c>
      <c r="M211" s="123">
        <f>VLOOKUP(C211,'Talente &amp; Stuff'!AF:BG,11,FALSE)</f>
        <v>0</v>
      </c>
      <c r="N211" s="88">
        <f>VLOOKUP(C211,'Talente &amp; Stuff'!AF:BG,12,FALSE)</f>
        <v>0</v>
      </c>
      <c r="O211" s="88">
        <f>VLOOKUP(C211,'Talente &amp; Stuff'!AF:BG,13,FALSE)</f>
        <v>0</v>
      </c>
      <c r="P211" s="123">
        <f>VLOOKUP(C211,'Talente &amp; Stuff'!AF:BG,14,FALSE)</f>
        <v>0</v>
      </c>
      <c r="Q211" s="115">
        <f>VLOOKUP(C211,'Talente &amp; Stuff'!AF:BG,15,FALSE)</f>
        <v>0</v>
      </c>
      <c r="R211" s="122">
        <f>VLOOKUP(C211,'Talente &amp; Stuff'!AF:BG,16,FALSE)</f>
        <v>0</v>
      </c>
      <c r="S211" s="123">
        <f>VLOOKUP(C211,'Talente &amp; Stuff'!AF:BG,17,FALSE)</f>
        <v>0</v>
      </c>
      <c r="T211" s="123">
        <f>VLOOKUP(C211,'Talente &amp; Stuff'!AF:BG,18,FALSE)</f>
        <v>0</v>
      </c>
      <c r="U211" s="90">
        <f>VLOOKUP(C211,'Talente &amp; Stuff'!AF:BG,19,FALSE)</f>
        <v>0</v>
      </c>
      <c r="V211" s="88">
        <f>VLOOKUP(C211,'Talente &amp; Stuff'!AF:BG,20,FALSE)</f>
        <v>0</v>
      </c>
      <c r="W211" s="128">
        <f>VLOOKUP(C211,'Talente &amp; Stuff'!AF:BG,21,FALSE)</f>
        <v>0</v>
      </c>
      <c r="X211" s="128">
        <f>VLOOKUP(C211,'Talente &amp; Stuff'!AF:BG,22,FALSE)</f>
        <v>0</v>
      </c>
      <c r="Y211" s="165">
        <f t="shared" si="18"/>
        <v>0</v>
      </c>
      <c r="Z211" s="44">
        <f t="shared" si="19"/>
        <v>0</v>
      </c>
      <c r="AA211" s="159">
        <f>VLOOKUP(C211,'Talente &amp; Stuff'!AF:BG,25,FALSE)</f>
        <v>0</v>
      </c>
      <c r="AB211" s="161">
        <f>VLOOKUP(C211,'Talente &amp; Stuff'!AF:BG,26,FALSE)</f>
        <v>0</v>
      </c>
      <c r="AC211" s="128">
        <f>VLOOKUP(C211,'Talente &amp; Stuff'!AF:BG,27,FALSE)</f>
        <v>0</v>
      </c>
      <c r="AD211" s="159">
        <f>VLOOKUP(C211,'Talente &amp; Stuff'!AF:BG,28,FALSE)</f>
        <v>0</v>
      </c>
      <c r="AE211" s="28"/>
    </row>
    <row r="212" spans="2:31" ht="15" hidden="1" customHeight="1" outlineLevel="1" collapsed="1">
      <c r="B212" s="134" t="s">
        <v>328</v>
      </c>
      <c r="C212" s="83"/>
      <c r="D212" s="84"/>
      <c r="E212" s="84"/>
      <c r="F212" s="148"/>
      <c r="G212" s="148"/>
      <c r="H212" s="148"/>
      <c r="I212" s="148"/>
      <c r="J212" s="148"/>
      <c r="K212" s="148"/>
      <c r="L212" s="148"/>
      <c r="M212" s="148"/>
      <c r="N212" s="148"/>
      <c r="O212" s="148"/>
      <c r="P212" s="148"/>
      <c r="Q212" s="148"/>
      <c r="R212" s="148"/>
      <c r="S212" s="148"/>
      <c r="T212" s="148"/>
      <c r="U212" s="148"/>
      <c r="V212" s="148"/>
      <c r="W212" s="148"/>
      <c r="X212" s="148"/>
      <c r="AA212" s="148"/>
      <c r="AB212" s="148"/>
      <c r="AC212" s="148"/>
      <c r="AD212" s="148"/>
      <c r="AE212" s="148"/>
    </row>
    <row r="213" spans="2:31" ht="15" hidden="1" customHeight="1" outlineLevel="2">
      <c r="B213" s="148">
        <v>1</v>
      </c>
      <c r="C213" s="177" t="str">
        <f>Attribute!C213</f>
        <v>---</v>
      </c>
      <c r="D213" s="85" t="str">
        <f>VLOOKUP(C213,'Talente &amp; Stuff'!AF:BG,2,FALSE)</f>
        <v>--/--/--</v>
      </c>
      <c r="E213" s="126" t="str">
        <f>VLOOKUP(C213,'Talente &amp; Stuff'!AF:BG,3,FALSE)</f>
        <v>-</v>
      </c>
      <c r="F213" s="191">
        <f>VLOOKUP(C213,'Talente &amp; Stuff'!AF:BG,4,FALSE)</f>
        <v>0</v>
      </c>
      <c r="G213" s="118">
        <f>VLOOKUP(C213,'Talente &amp; Stuff'!AF:BG,5,FALSE)</f>
        <v>0</v>
      </c>
      <c r="H213" s="118">
        <f>VLOOKUP(C213,'Talente &amp; Stuff'!AF:BG,6,FALSE)</f>
        <v>0</v>
      </c>
      <c r="I213" s="118">
        <f>VLOOKUP(C213,'Talente &amp; Stuff'!AF:BG,7,FALSE)</f>
        <v>0</v>
      </c>
      <c r="J213" s="118">
        <f>VLOOKUP(C213,'Talente &amp; Stuff'!AF:BG,8,FALSE)</f>
        <v>0</v>
      </c>
      <c r="K213" s="118">
        <f>VLOOKUP(C213,'Talente &amp; Stuff'!AF:BG,9,FALSE)</f>
        <v>0</v>
      </c>
      <c r="L213" s="118">
        <f>VLOOKUP(C213,'Talente &amp; Stuff'!AF:BG,10,FALSE)</f>
        <v>0</v>
      </c>
      <c r="M213" s="92">
        <f>VLOOKUP(C213,'Talente &amp; Stuff'!AF:BG,11,FALSE)</f>
        <v>0</v>
      </c>
      <c r="N213" s="116">
        <f>VLOOKUP(C213,'Talente &amp; Stuff'!AF:BG,12,FALSE)</f>
        <v>0</v>
      </c>
      <c r="O213" s="194">
        <f>VLOOKUP(C213,'Talente &amp; Stuff'!AF:BG,13,FALSE)</f>
        <v>0</v>
      </c>
      <c r="P213" s="192">
        <f>VLOOKUP(C213,'Talente &amp; Stuff'!AF:BG,14,FALSE)</f>
        <v>0</v>
      </c>
      <c r="Q213" s="191">
        <f>VLOOKUP(C213,'Talente &amp; Stuff'!AF:BG,15,FALSE)</f>
        <v>0</v>
      </c>
      <c r="R213" s="170">
        <f>VLOOKUP(C213,'Talente &amp; Stuff'!AF:BG,16,FALSE)</f>
        <v>0</v>
      </c>
      <c r="S213" s="92">
        <f>VLOOKUP(C213,'Talente &amp; Stuff'!AF:BG,17,FALSE)</f>
        <v>0</v>
      </c>
      <c r="T213" s="92">
        <f>VLOOKUP(C213,'Talente &amp; Stuff'!AF:BG,18,FALSE)</f>
        <v>0</v>
      </c>
      <c r="U213" s="193">
        <f>VLOOKUP(C213,'Talente &amp; Stuff'!AF:BG,19,FALSE)</f>
        <v>0</v>
      </c>
      <c r="V213" s="116">
        <f>VLOOKUP(C213,'Talente &amp; Stuff'!AF:BG,20,FALSE)</f>
        <v>0</v>
      </c>
      <c r="W213" s="126">
        <f>VLOOKUP(C213,'Talente &amp; Stuff'!AF:BG,21,FALSE)</f>
        <v>0</v>
      </c>
      <c r="X213" s="126">
        <f>VLOOKUP(C213,'Talente &amp; Stuff'!AF:BG,22,FALSE)</f>
        <v>0</v>
      </c>
      <c r="Y213" s="165">
        <f t="shared" ref="Y213:Y257" si="20">VLOOKUP(C213,Ausgewählte_Zauber_Hexen,52,FALSE)</f>
        <v>0</v>
      </c>
      <c r="Z213" s="44">
        <f t="shared" ref="Z213:Z257" si="21">VLOOKUP(C213,Ausgewählte_Zauber_Hexen,53,FALSE)</f>
        <v>0</v>
      </c>
      <c r="AA213" s="158">
        <f>VLOOKUP(C213,'Talente &amp; Stuff'!AF:BG,25,FALSE)</f>
        <v>0</v>
      </c>
      <c r="AB213" s="91">
        <f>VLOOKUP(C213,'Talente &amp; Stuff'!AF:BG,26,FALSE)</f>
        <v>0</v>
      </c>
      <c r="AC213" s="126">
        <f>VLOOKUP(C213,'Talente &amp; Stuff'!AF:BG,27,FALSE)</f>
        <v>0</v>
      </c>
      <c r="AD213" s="158">
        <f>VLOOKUP(C213,'Talente &amp; Stuff'!AF:BG,28,FALSE)</f>
        <v>0</v>
      </c>
      <c r="AE213" s="28"/>
    </row>
    <row r="214" spans="2:31" ht="15" hidden="1" customHeight="1" outlineLevel="2">
      <c r="B214" s="148">
        <v>2</v>
      </c>
      <c r="C214" s="177" t="str">
        <f>Attribute!C214</f>
        <v>---</v>
      </c>
      <c r="D214" s="125" t="str">
        <f>VLOOKUP(C214,'Talente &amp; Stuff'!AF:BG,2,FALSE)</f>
        <v>--/--/--</v>
      </c>
      <c r="E214" s="127" t="str">
        <f>VLOOKUP(C214,'Talente &amp; Stuff'!AF:BG,3,FALSE)</f>
        <v>-</v>
      </c>
      <c r="F214" s="114">
        <f>VLOOKUP(C214,'Talente &amp; Stuff'!AF:BG,4,FALSE)</f>
        <v>0</v>
      </c>
      <c r="G214" s="113">
        <f>VLOOKUP(C214,'Talente &amp; Stuff'!AF:BG,5,FALSE)</f>
        <v>0</v>
      </c>
      <c r="H214" s="113">
        <f>VLOOKUP(C214,'Talente &amp; Stuff'!AF:BG,6,FALSE)</f>
        <v>0</v>
      </c>
      <c r="I214" s="113">
        <f>VLOOKUP(C214,'Talente &amp; Stuff'!AF:BG,7,FALSE)</f>
        <v>0</v>
      </c>
      <c r="J214" s="113">
        <f>VLOOKUP(C214,'Talente &amp; Stuff'!AF:BG,8,FALSE)</f>
        <v>0</v>
      </c>
      <c r="K214" s="113">
        <f>VLOOKUP(C214,'Talente &amp; Stuff'!AF:BG,9,FALSE)</f>
        <v>0</v>
      </c>
      <c r="L214" s="113">
        <f>VLOOKUP(C214,'Talente &amp; Stuff'!AF:BG,10,FALSE)</f>
        <v>0</v>
      </c>
      <c r="M214" s="119">
        <f>VLOOKUP(C214,'Talente &amp; Stuff'!AF:BG,11,FALSE)</f>
        <v>0</v>
      </c>
      <c r="N214" s="47">
        <f>VLOOKUP(C214,'Talente &amp; Stuff'!AF:BG,12,FALSE)</f>
        <v>0</v>
      </c>
      <c r="O214" s="47">
        <f>VLOOKUP(C214,'Talente &amp; Stuff'!AF:BG,13,FALSE)</f>
        <v>0</v>
      </c>
      <c r="P214" s="119">
        <f>VLOOKUP(C214,'Talente &amp; Stuff'!AF:BG,14,FALSE)</f>
        <v>0</v>
      </c>
      <c r="Q214" s="114">
        <f>VLOOKUP(C214,'Talente &amp; Stuff'!AF:BG,15,FALSE)</f>
        <v>0</v>
      </c>
      <c r="R214" s="113">
        <f>VLOOKUP(C214,'Talente &amp; Stuff'!AF:BG,16,FALSE)</f>
        <v>0</v>
      </c>
      <c r="S214" s="119">
        <f>VLOOKUP(C214,'Talente &amp; Stuff'!AF:BG,17,FALSE)</f>
        <v>0</v>
      </c>
      <c r="T214" s="119">
        <f>VLOOKUP(C214,'Talente &amp; Stuff'!AF:BG,18,FALSE)</f>
        <v>0</v>
      </c>
      <c r="U214" s="89">
        <f>VLOOKUP(C214,'Talente &amp; Stuff'!AF:BG,19,FALSE)</f>
        <v>0</v>
      </c>
      <c r="V214" s="47">
        <f>VLOOKUP(C214,'Talente &amp; Stuff'!AF:BG,20,FALSE)</f>
        <v>0</v>
      </c>
      <c r="W214" s="127">
        <f>VLOOKUP(C214,'Talente &amp; Stuff'!AF:BG,21,FALSE)</f>
        <v>0</v>
      </c>
      <c r="X214" s="127">
        <f>VLOOKUP(C214,'Talente &amp; Stuff'!AF:BG,22,FALSE)</f>
        <v>0</v>
      </c>
      <c r="Y214" s="165">
        <f t="shared" si="20"/>
        <v>0</v>
      </c>
      <c r="Z214" s="44">
        <f t="shared" si="21"/>
        <v>0</v>
      </c>
      <c r="AA214" s="125">
        <f>VLOOKUP(C214,'Talente &amp; Stuff'!AF:BG,25,FALSE)</f>
        <v>0</v>
      </c>
      <c r="AB214" s="160">
        <f>VLOOKUP(C214,'Talente &amp; Stuff'!AF:BG,26,FALSE)</f>
        <v>0</v>
      </c>
      <c r="AC214" s="127">
        <f>VLOOKUP(C214,'Talente &amp; Stuff'!AF:BG,27,FALSE)</f>
        <v>0</v>
      </c>
      <c r="AD214" s="125">
        <f>VLOOKUP(C214,'Talente &amp; Stuff'!AF:BG,28,FALSE)</f>
        <v>0</v>
      </c>
      <c r="AE214" s="28"/>
    </row>
    <row r="215" spans="2:31" ht="15" hidden="1" customHeight="1" outlineLevel="2">
      <c r="B215" s="148">
        <v>3</v>
      </c>
      <c r="C215" s="177" t="str">
        <f>Attribute!C215</f>
        <v>---</v>
      </c>
      <c r="D215" s="125" t="str">
        <f>VLOOKUP(C215,'Talente &amp; Stuff'!AF:BG,2,FALSE)</f>
        <v>--/--/--</v>
      </c>
      <c r="E215" s="127" t="str">
        <f>VLOOKUP(C215,'Talente &amp; Stuff'!AF:BG,3,FALSE)</f>
        <v>-</v>
      </c>
      <c r="F215" s="114">
        <f>VLOOKUP(C215,'Talente &amp; Stuff'!AF:BG,4,FALSE)</f>
        <v>0</v>
      </c>
      <c r="G215" s="113">
        <f>VLOOKUP(C215,'Talente &amp; Stuff'!AF:BG,5,FALSE)</f>
        <v>0</v>
      </c>
      <c r="H215" s="113">
        <f>VLOOKUP(C215,'Talente &amp; Stuff'!AF:BG,6,FALSE)</f>
        <v>0</v>
      </c>
      <c r="I215" s="113">
        <f>VLOOKUP(C215,'Talente &amp; Stuff'!AF:BG,7,FALSE)</f>
        <v>0</v>
      </c>
      <c r="J215" s="113">
        <f>VLOOKUP(C215,'Talente &amp; Stuff'!AF:BG,8,FALSE)</f>
        <v>0</v>
      </c>
      <c r="K215" s="113">
        <f>VLOOKUP(C215,'Talente &amp; Stuff'!AF:BG,9,FALSE)</f>
        <v>0</v>
      </c>
      <c r="L215" s="113">
        <f>VLOOKUP(C215,'Talente &amp; Stuff'!AF:BG,10,FALSE)</f>
        <v>0</v>
      </c>
      <c r="M215" s="119">
        <f>VLOOKUP(C215,'Talente &amp; Stuff'!AF:BG,11,FALSE)</f>
        <v>0</v>
      </c>
      <c r="N215" s="47">
        <f>VLOOKUP(C215,'Talente &amp; Stuff'!AF:BG,12,FALSE)</f>
        <v>0</v>
      </c>
      <c r="O215" s="47">
        <f>VLOOKUP(C215,'Talente &amp; Stuff'!AF:BG,13,FALSE)</f>
        <v>0</v>
      </c>
      <c r="P215" s="119">
        <f>VLOOKUP(C215,'Talente &amp; Stuff'!AF:BG,14,FALSE)</f>
        <v>0</v>
      </c>
      <c r="Q215" s="114">
        <f>VLOOKUP(C215,'Talente &amp; Stuff'!AF:BG,15,FALSE)</f>
        <v>0</v>
      </c>
      <c r="R215" s="113">
        <f>VLOOKUP(C215,'Talente &amp; Stuff'!AF:BG,16,FALSE)</f>
        <v>0</v>
      </c>
      <c r="S215" s="119">
        <f>VLOOKUP(C215,'Talente &amp; Stuff'!AF:BG,17,FALSE)</f>
        <v>0</v>
      </c>
      <c r="T215" s="119">
        <f>VLOOKUP(C215,'Talente &amp; Stuff'!AF:BG,18,FALSE)</f>
        <v>0</v>
      </c>
      <c r="U215" s="89">
        <f>VLOOKUP(C215,'Talente &amp; Stuff'!AF:BG,19,FALSE)</f>
        <v>0</v>
      </c>
      <c r="V215" s="47">
        <f>VLOOKUP(C215,'Talente &amp; Stuff'!AF:BG,20,FALSE)</f>
        <v>0</v>
      </c>
      <c r="W215" s="127">
        <f>VLOOKUP(C215,'Talente &amp; Stuff'!AF:BG,21,FALSE)</f>
        <v>0</v>
      </c>
      <c r="X215" s="127">
        <f>VLOOKUP(C215,'Talente &amp; Stuff'!AF:BG,22,FALSE)</f>
        <v>0</v>
      </c>
      <c r="Y215" s="165">
        <f t="shared" si="20"/>
        <v>0</v>
      </c>
      <c r="Z215" s="44">
        <f t="shared" si="21"/>
        <v>0</v>
      </c>
      <c r="AA215" s="125">
        <f>VLOOKUP(C215,'Talente &amp; Stuff'!AF:BG,25,FALSE)</f>
        <v>0</v>
      </c>
      <c r="AB215" s="160">
        <f>VLOOKUP(C215,'Talente &amp; Stuff'!AF:BG,26,FALSE)</f>
        <v>0</v>
      </c>
      <c r="AC215" s="127">
        <f>VLOOKUP(C215,'Talente &amp; Stuff'!AF:BG,27,FALSE)</f>
        <v>0</v>
      </c>
      <c r="AD215" s="125">
        <f>VLOOKUP(C215,'Talente &amp; Stuff'!AF:BG,28,FALSE)</f>
        <v>0</v>
      </c>
      <c r="AE215" s="28"/>
    </row>
    <row r="216" spans="2:31" ht="15" hidden="1" customHeight="1" outlineLevel="2">
      <c r="B216" s="148">
        <v>4</v>
      </c>
      <c r="C216" s="177" t="str">
        <f>Attribute!C216</f>
        <v>---</v>
      </c>
      <c r="D216" s="86" t="str">
        <f>VLOOKUP(C216,'Talente &amp; Stuff'!AF:BG,2,FALSE)</f>
        <v>--/--/--</v>
      </c>
      <c r="E216" s="167" t="str">
        <f>VLOOKUP(C216,'Talente &amp; Stuff'!AF:BG,3,FALSE)</f>
        <v>-</v>
      </c>
      <c r="F216" s="120">
        <f>VLOOKUP(C216,'Talente &amp; Stuff'!AF:BG,4,FALSE)</f>
        <v>0</v>
      </c>
      <c r="G216" s="117">
        <f>VLOOKUP(C216,'Talente &amp; Stuff'!AF:BG,5,FALSE)</f>
        <v>0</v>
      </c>
      <c r="H216" s="117">
        <f>VLOOKUP(C216,'Talente &amp; Stuff'!AF:BG,6,FALSE)</f>
        <v>0</v>
      </c>
      <c r="I216" s="117">
        <f>VLOOKUP(C216,'Talente &amp; Stuff'!AF:BG,7,FALSE)</f>
        <v>0</v>
      </c>
      <c r="J216" s="117">
        <f>VLOOKUP(C216,'Talente &amp; Stuff'!AF:BG,8,FALSE)</f>
        <v>0</v>
      </c>
      <c r="K216" s="117">
        <f>VLOOKUP(C216,'Talente &amp; Stuff'!AF:BG,9,FALSE)</f>
        <v>0</v>
      </c>
      <c r="L216" s="117">
        <f>VLOOKUP(C216,'Talente &amp; Stuff'!AF:BG,10,FALSE)</f>
        <v>0</v>
      </c>
      <c r="M216" s="121">
        <f>VLOOKUP(C216,'Talente &amp; Stuff'!AF:BG,11,FALSE)</f>
        <v>0</v>
      </c>
      <c r="N216" s="47">
        <f>VLOOKUP(C216,'Talente &amp; Stuff'!AF:BG,12,FALSE)</f>
        <v>0</v>
      </c>
      <c r="O216" s="3">
        <f>VLOOKUP(C216,'Talente &amp; Stuff'!AF:BG,13,FALSE)</f>
        <v>0</v>
      </c>
      <c r="P216" s="174">
        <f>VLOOKUP(C216,'Talente &amp; Stuff'!AF:BG,14,FALSE)</f>
        <v>0</v>
      </c>
      <c r="Q216" s="114">
        <f>VLOOKUP(C216,'Talente &amp; Stuff'!AF:BG,15,FALSE)</f>
        <v>0</v>
      </c>
      <c r="R216" s="117">
        <f>VLOOKUP(C216,'Talente &amp; Stuff'!AF:BG,16,FALSE)</f>
        <v>0</v>
      </c>
      <c r="S216" s="119">
        <f>VLOOKUP(C216,'Talente &amp; Stuff'!AF:BG,17,FALSE)</f>
        <v>0</v>
      </c>
      <c r="T216" s="119">
        <f>VLOOKUP(C216,'Talente &amp; Stuff'!AF:BG,18,FALSE)</f>
        <v>0</v>
      </c>
      <c r="U216" s="89">
        <f>VLOOKUP(C216,'Talente &amp; Stuff'!AF:BG,19,FALSE)</f>
        <v>0</v>
      </c>
      <c r="V216" s="47">
        <f>VLOOKUP(C216,'Talente &amp; Stuff'!AF:BG,20,FALSE)</f>
        <v>0</v>
      </c>
      <c r="W216" s="127">
        <f>VLOOKUP(C216,'Talente &amp; Stuff'!AF:BG,21,FALSE)</f>
        <v>0</v>
      </c>
      <c r="X216" s="127">
        <f>VLOOKUP(C216,'Talente &amp; Stuff'!AF:BG,22,FALSE)</f>
        <v>0</v>
      </c>
      <c r="Y216" s="165">
        <f t="shared" si="20"/>
        <v>0</v>
      </c>
      <c r="Z216" s="44">
        <f t="shared" si="21"/>
        <v>0</v>
      </c>
      <c r="AA216" s="125">
        <f>VLOOKUP(C216,'Talente &amp; Stuff'!AF:BG,25,FALSE)</f>
        <v>0</v>
      </c>
      <c r="AB216" s="160">
        <f>VLOOKUP(C216,'Talente &amp; Stuff'!AF:BG,26,FALSE)</f>
        <v>0</v>
      </c>
      <c r="AC216" s="127">
        <f>VLOOKUP(C216,'Talente &amp; Stuff'!AF:BG,27,FALSE)</f>
        <v>0</v>
      </c>
      <c r="AD216" s="125">
        <f>VLOOKUP(C216,'Talente &amp; Stuff'!AF:BG,28,FALSE)</f>
        <v>0</v>
      </c>
      <c r="AE216" s="28"/>
    </row>
    <row r="217" spans="2:31" ht="15" hidden="1" customHeight="1" outlineLevel="2">
      <c r="B217" s="148">
        <v>5</v>
      </c>
      <c r="C217" s="177" t="str">
        <f>Attribute!C217</f>
        <v>---</v>
      </c>
      <c r="D217" s="86" t="str">
        <f>VLOOKUP(C217,'Talente &amp; Stuff'!AF:BG,2,FALSE)</f>
        <v>--/--/--</v>
      </c>
      <c r="E217" s="167" t="str">
        <f>VLOOKUP(C217,'Talente &amp; Stuff'!AF:BG,3,FALSE)</f>
        <v>-</v>
      </c>
      <c r="F217" s="120">
        <f>VLOOKUP(C217,'Talente &amp; Stuff'!AF:BG,4,FALSE)</f>
        <v>0</v>
      </c>
      <c r="G217" s="117">
        <f>VLOOKUP(C217,'Talente &amp; Stuff'!AF:BG,5,FALSE)</f>
        <v>0</v>
      </c>
      <c r="H217" s="117">
        <f>VLOOKUP(C217,'Talente &amp; Stuff'!AF:BG,6,FALSE)</f>
        <v>0</v>
      </c>
      <c r="I217" s="117">
        <f>VLOOKUP(C217,'Talente &amp; Stuff'!AF:BG,7,FALSE)</f>
        <v>0</v>
      </c>
      <c r="J217" s="117">
        <f>VLOOKUP(C217,'Talente &amp; Stuff'!AF:BG,8,FALSE)</f>
        <v>0</v>
      </c>
      <c r="K217" s="117">
        <f>VLOOKUP(C217,'Talente &amp; Stuff'!AF:BG,9,FALSE)</f>
        <v>0</v>
      </c>
      <c r="L217" s="117">
        <f>VLOOKUP(C217,'Talente &amp; Stuff'!AF:BG,10,FALSE)</f>
        <v>0</v>
      </c>
      <c r="M217" s="121">
        <f>VLOOKUP(C217,'Talente &amp; Stuff'!AF:BG,11,FALSE)</f>
        <v>0</v>
      </c>
      <c r="N217" s="47">
        <f>VLOOKUP(C217,'Talente &amp; Stuff'!AF:BG,12,FALSE)</f>
        <v>0</v>
      </c>
      <c r="O217" s="3">
        <f>VLOOKUP(C217,'Talente &amp; Stuff'!AF:BG,13,FALSE)</f>
        <v>0</v>
      </c>
      <c r="P217" s="174">
        <f>VLOOKUP(C217,'Talente &amp; Stuff'!AF:BG,14,FALSE)</f>
        <v>0</v>
      </c>
      <c r="Q217" s="114">
        <f>VLOOKUP(C217,'Talente &amp; Stuff'!AF:BG,15,FALSE)</f>
        <v>0</v>
      </c>
      <c r="R217" s="117">
        <f>VLOOKUP(C217,'Talente &amp; Stuff'!AF:BG,16,FALSE)</f>
        <v>0</v>
      </c>
      <c r="S217" s="119">
        <f>VLOOKUP(C217,'Talente &amp; Stuff'!AF:BG,17,FALSE)</f>
        <v>0</v>
      </c>
      <c r="T217" s="119">
        <f>VLOOKUP(C217,'Talente &amp; Stuff'!AF:BG,18,FALSE)</f>
        <v>0</v>
      </c>
      <c r="U217" s="89">
        <f>VLOOKUP(C217,'Talente &amp; Stuff'!AF:BG,19,FALSE)</f>
        <v>0</v>
      </c>
      <c r="V217" s="47">
        <f>VLOOKUP(C217,'Talente &amp; Stuff'!AF:BG,20,FALSE)</f>
        <v>0</v>
      </c>
      <c r="W217" s="127">
        <f>VLOOKUP(C217,'Talente &amp; Stuff'!AF:BG,21,FALSE)</f>
        <v>0</v>
      </c>
      <c r="X217" s="127">
        <f>VLOOKUP(C217,'Talente &amp; Stuff'!AF:BG,22,FALSE)</f>
        <v>0</v>
      </c>
      <c r="Y217" s="165">
        <f t="shared" si="20"/>
        <v>0</v>
      </c>
      <c r="Z217" s="44">
        <f t="shared" si="21"/>
        <v>0</v>
      </c>
      <c r="AA217" s="125">
        <f>VLOOKUP(C217,'Talente &amp; Stuff'!AF:BG,25,FALSE)</f>
        <v>0</v>
      </c>
      <c r="AB217" s="160">
        <f>VLOOKUP(C217,'Talente &amp; Stuff'!AF:BG,26,FALSE)</f>
        <v>0</v>
      </c>
      <c r="AC217" s="127">
        <f>VLOOKUP(C217,'Talente &amp; Stuff'!AF:BG,27,FALSE)</f>
        <v>0</v>
      </c>
      <c r="AD217" s="125">
        <f>VLOOKUP(C217,'Talente &amp; Stuff'!AF:BG,28,FALSE)</f>
        <v>0</v>
      </c>
      <c r="AE217" s="28"/>
    </row>
    <row r="218" spans="2:31" ht="15" hidden="1" customHeight="1" outlineLevel="2">
      <c r="B218" s="148">
        <v>6</v>
      </c>
      <c r="C218" s="177" t="str">
        <f>Attribute!C218</f>
        <v>---</v>
      </c>
      <c r="D218" s="125" t="str">
        <f>VLOOKUP(C218,'Talente &amp; Stuff'!AF:BG,2,FALSE)</f>
        <v>--/--/--</v>
      </c>
      <c r="E218" s="127" t="str">
        <f>VLOOKUP(C218,'Talente &amp; Stuff'!AF:BG,3,FALSE)</f>
        <v>-</v>
      </c>
      <c r="F218" s="114">
        <f>VLOOKUP(C218,'Talente &amp; Stuff'!AF:BG,4,FALSE)</f>
        <v>0</v>
      </c>
      <c r="G218" s="113">
        <f>VLOOKUP(C218,'Talente &amp; Stuff'!AF:BG,5,FALSE)</f>
        <v>0</v>
      </c>
      <c r="H218" s="113">
        <f>VLOOKUP(C218,'Talente &amp; Stuff'!AF:BG,6,FALSE)</f>
        <v>0</v>
      </c>
      <c r="I218" s="113">
        <f>VLOOKUP(C218,'Talente &amp; Stuff'!AF:BG,7,FALSE)</f>
        <v>0</v>
      </c>
      <c r="J218" s="113">
        <f>VLOOKUP(C218,'Talente &amp; Stuff'!AF:BG,8,FALSE)</f>
        <v>0</v>
      </c>
      <c r="K218" s="113">
        <f>VLOOKUP(C218,'Talente &amp; Stuff'!AF:BG,9,FALSE)</f>
        <v>0</v>
      </c>
      <c r="L218" s="113">
        <f>VLOOKUP(C218,'Talente &amp; Stuff'!AF:BG,10,FALSE)</f>
        <v>0</v>
      </c>
      <c r="M218" s="119">
        <f>VLOOKUP(C218,'Talente &amp; Stuff'!AF:BG,11,FALSE)</f>
        <v>0</v>
      </c>
      <c r="N218" s="47">
        <f>VLOOKUP(C218,'Talente &amp; Stuff'!AF:BG,12,FALSE)</f>
        <v>0</v>
      </c>
      <c r="O218" s="47">
        <f>VLOOKUP(C218,'Talente &amp; Stuff'!AF:BG,13,FALSE)</f>
        <v>0</v>
      </c>
      <c r="P218" s="119">
        <f>VLOOKUP(C218,'Talente &amp; Stuff'!AF:BG,14,FALSE)</f>
        <v>0</v>
      </c>
      <c r="Q218" s="114">
        <f>VLOOKUP(C218,'Talente &amp; Stuff'!AF:BG,15,FALSE)</f>
        <v>0</v>
      </c>
      <c r="R218" s="113">
        <f>VLOOKUP(C218,'Talente &amp; Stuff'!AF:BG,16,FALSE)</f>
        <v>0</v>
      </c>
      <c r="S218" s="119">
        <f>VLOOKUP(C218,'Talente &amp; Stuff'!AF:BG,17,FALSE)</f>
        <v>0</v>
      </c>
      <c r="T218" s="119">
        <f>VLOOKUP(C218,'Talente &amp; Stuff'!AF:BG,18,FALSE)</f>
        <v>0</v>
      </c>
      <c r="U218" s="89">
        <f>VLOOKUP(C218,'Talente &amp; Stuff'!AF:BG,19,FALSE)</f>
        <v>0</v>
      </c>
      <c r="V218" s="47">
        <f>VLOOKUP(C218,'Talente &amp; Stuff'!AF:BG,20,FALSE)</f>
        <v>0</v>
      </c>
      <c r="W218" s="127">
        <f>VLOOKUP(C218,'Talente &amp; Stuff'!AF:BG,21,FALSE)</f>
        <v>0</v>
      </c>
      <c r="X218" s="127">
        <f>VLOOKUP(C218,'Talente &amp; Stuff'!AF:BG,22,FALSE)</f>
        <v>0</v>
      </c>
      <c r="Y218" s="165">
        <f t="shared" si="20"/>
        <v>0</v>
      </c>
      <c r="Z218" s="44">
        <f t="shared" si="21"/>
        <v>0</v>
      </c>
      <c r="AA218" s="125">
        <f>VLOOKUP(C218,'Talente &amp; Stuff'!AF:BG,25,FALSE)</f>
        <v>0</v>
      </c>
      <c r="AB218" s="160">
        <f>VLOOKUP(C218,'Talente &amp; Stuff'!AF:BG,26,FALSE)</f>
        <v>0</v>
      </c>
      <c r="AC218" s="127">
        <f>VLOOKUP(C218,'Talente &amp; Stuff'!AF:BG,27,FALSE)</f>
        <v>0</v>
      </c>
      <c r="AD218" s="125">
        <f>VLOOKUP(C218,'Talente &amp; Stuff'!AF:BG,28,FALSE)</f>
        <v>0</v>
      </c>
      <c r="AE218" s="28"/>
    </row>
    <row r="219" spans="2:31" ht="15" hidden="1" customHeight="1" outlineLevel="2">
      <c r="B219" s="148">
        <v>7</v>
      </c>
      <c r="C219" s="177" t="str">
        <f>Attribute!C219</f>
        <v>---</v>
      </c>
      <c r="D219" s="125" t="str">
        <f>VLOOKUP(C219,'Talente &amp; Stuff'!AF:BG,2,FALSE)</f>
        <v>--/--/--</v>
      </c>
      <c r="E219" s="127" t="str">
        <f>VLOOKUP(C219,'Talente &amp; Stuff'!AF:BG,3,FALSE)</f>
        <v>-</v>
      </c>
      <c r="F219" s="114">
        <f>VLOOKUP(C219,'Talente &amp; Stuff'!AF:BG,4,FALSE)</f>
        <v>0</v>
      </c>
      <c r="G219" s="113">
        <f>VLOOKUP(C219,'Talente &amp; Stuff'!AF:BG,5,FALSE)</f>
        <v>0</v>
      </c>
      <c r="H219" s="113">
        <f>VLOOKUP(C219,'Talente &amp; Stuff'!AF:BG,6,FALSE)</f>
        <v>0</v>
      </c>
      <c r="I219" s="113">
        <f>VLOOKUP(C219,'Talente &amp; Stuff'!AF:BG,7,FALSE)</f>
        <v>0</v>
      </c>
      <c r="J219" s="113">
        <f>VLOOKUP(C219,'Talente &amp; Stuff'!AF:BG,8,FALSE)</f>
        <v>0</v>
      </c>
      <c r="K219" s="113">
        <f>VLOOKUP(C219,'Talente &amp; Stuff'!AF:BG,9,FALSE)</f>
        <v>0</v>
      </c>
      <c r="L219" s="113">
        <f>VLOOKUP(C219,'Talente &amp; Stuff'!AF:BG,10,FALSE)</f>
        <v>0</v>
      </c>
      <c r="M219" s="119">
        <f>VLOOKUP(C219,'Talente &amp; Stuff'!AF:BG,11,FALSE)</f>
        <v>0</v>
      </c>
      <c r="N219" s="47">
        <f>VLOOKUP(C219,'Talente &amp; Stuff'!AF:BG,12,FALSE)</f>
        <v>0</v>
      </c>
      <c r="O219" s="47">
        <f>VLOOKUP(C219,'Talente &amp; Stuff'!AF:BG,13,FALSE)</f>
        <v>0</v>
      </c>
      <c r="P219" s="119">
        <f>VLOOKUP(C219,'Talente &amp; Stuff'!AF:BG,14,FALSE)</f>
        <v>0</v>
      </c>
      <c r="Q219" s="114">
        <f>VLOOKUP(C219,'Talente &amp; Stuff'!AF:BG,15,FALSE)</f>
        <v>0</v>
      </c>
      <c r="R219" s="113">
        <f>VLOOKUP(C219,'Talente &amp; Stuff'!AF:BG,16,FALSE)</f>
        <v>0</v>
      </c>
      <c r="S219" s="119">
        <f>VLOOKUP(C219,'Talente &amp; Stuff'!AF:BG,17,FALSE)</f>
        <v>0</v>
      </c>
      <c r="T219" s="119">
        <f>VLOOKUP(C219,'Talente &amp; Stuff'!AF:BG,18,FALSE)</f>
        <v>0</v>
      </c>
      <c r="U219" s="89">
        <f>VLOOKUP(C219,'Talente &amp; Stuff'!AF:BG,19,FALSE)</f>
        <v>0</v>
      </c>
      <c r="V219" s="47">
        <f>VLOOKUP(C219,'Talente &amp; Stuff'!AF:BG,20,FALSE)</f>
        <v>0</v>
      </c>
      <c r="W219" s="127">
        <f>VLOOKUP(C219,'Talente &amp; Stuff'!AF:BG,21,FALSE)</f>
        <v>0</v>
      </c>
      <c r="X219" s="127">
        <f>VLOOKUP(C219,'Talente &amp; Stuff'!AF:BG,22,FALSE)</f>
        <v>0</v>
      </c>
      <c r="Y219" s="165">
        <f t="shared" si="20"/>
        <v>0</v>
      </c>
      <c r="Z219" s="44">
        <f t="shared" si="21"/>
        <v>0</v>
      </c>
      <c r="AA219" s="125">
        <f>VLOOKUP(C219,'Talente &amp; Stuff'!AF:BG,25,FALSE)</f>
        <v>0</v>
      </c>
      <c r="AB219" s="160">
        <f>VLOOKUP(C219,'Talente &amp; Stuff'!AF:BG,26,FALSE)</f>
        <v>0</v>
      </c>
      <c r="AC219" s="127">
        <f>VLOOKUP(C219,'Talente &amp; Stuff'!AF:BG,27,FALSE)</f>
        <v>0</v>
      </c>
      <c r="AD219" s="125">
        <f>VLOOKUP(C219,'Talente &amp; Stuff'!AF:BG,28,FALSE)</f>
        <v>0</v>
      </c>
      <c r="AE219" s="28"/>
    </row>
    <row r="220" spans="2:31" ht="15" hidden="1" customHeight="1" outlineLevel="2">
      <c r="B220" s="148">
        <v>8</v>
      </c>
      <c r="C220" s="177" t="str">
        <f>Attribute!C220</f>
        <v>---</v>
      </c>
      <c r="D220" s="125" t="str">
        <f>VLOOKUP(C220,'Talente &amp; Stuff'!AF:BG,2,FALSE)</f>
        <v>--/--/--</v>
      </c>
      <c r="E220" s="127" t="str">
        <f>VLOOKUP(C220,'Talente &amp; Stuff'!AF:BG,3,FALSE)</f>
        <v>-</v>
      </c>
      <c r="F220" s="114">
        <f>VLOOKUP(C220,'Talente &amp; Stuff'!AF:BG,4,FALSE)</f>
        <v>0</v>
      </c>
      <c r="G220" s="113">
        <f>VLOOKUP(C220,'Talente &amp; Stuff'!AF:BG,5,FALSE)</f>
        <v>0</v>
      </c>
      <c r="H220" s="113">
        <f>VLOOKUP(C220,'Talente &amp; Stuff'!AF:BG,6,FALSE)</f>
        <v>0</v>
      </c>
      <c r="I220" s="113">
        <f>VLOOKUP(C220,'Talente &amp; Stuff'!AF:BG,7,FALSE)</f>
        <v>0</v>
      </c>
      <c r="J220" s="113">
        <f>VLOOKUP(C220,'Talente &amp; Stuff'!AF:BG,8,FALSE)</f>
        <v>0</v>
      </c>
      <c r="K220" s="113">
        <f>VLOOKUP(C220,'Talente &amp; Stuff'!AF:BG,9,FALSE)</f>
        <v>0</v>
      </c>
      <c r="L220" s="113">
        <f>VLOOKUP(C220,'Talente &amp; Stuff'!AF:BG,10,FALSE)</f>
        <v>0</v>
      </c>
      <c r="M220" s="119">
        <f>VLOOKUP(C220,'Talente &amp; Stuff'!AF:BG,11,FALSE)</f>
        <v>0</v>
      </c>
      <c r="N220" s="47">
        <f>VLOOKUP(C220,'Talente &amp; Stuff'!AF:BG,12,FALSE)</f>
        <v>0</v>
      </c>
      <c r="O220" s="47">
        <f>VLOOKUP(C220,'Talente &amp; Stuff'!AF:BG,13,FALSE)</f>
        <v>0</v>
      </c>
      <c r="P220" s="119">
        <f>VLOOKUP(C220,'Talente &amp; Stuff'!AF:BG,14,FALSE)</f>
        <v>0</v>
      </c>
      <c r="Q220" s="114">
        <f>VLOOKUP(C220,'Talente &amp; Stuff'!AF:BG,15,FALSE)</f>
        <v>0</v>
      </c>
      <c r="R220" s="113">
        <f>VLOOKUP(C220,'Talente &amp; Stuff'!AF:BG,16,FALSE)</f>
        <v>0</v>
      </c>
      <c r="S220" s="119">
        <f>VLOOKUP(C220,'Talente &amp; Stuff'!AF:BG,17,FALSE)</f>
        <v>0</v>
      </c>
      <c r="T220" s="119">
        <f>VLOOKUP(C220,'Talente &amp; Stuff'!AF:BG,18,FALSE)</f>
        <v>0</v>
      </c>
      <c r="U220" s="89">
        <f>VLOOKUP(C220,'Talente &amp; Stuff'!AF:BG,19,FALSE)</f>
        <v>0</v>
      </c>
      <c r="V220" s="47">
        <f>VLOOKUP(C220,'Talente &amp; Stuff'!AF:BG,20,FALSE)</f>
        <v>0</v>
      </c>
      <c r="W220" s="127">
        <f>VLOOKUP(C220,'Talente &amp; Stuff'!AF:BG,21,FALSE)</f>
        <v>0</v>
      </c>
      <c r="X220" s="127">
        <f>VLOOKUP(C220,'Talente &amp; Stuff'!AF:BG,22,FALSE)</f>
        <v>0</v>
      </c>
      <c r="Y220" s="165">
        <f t="shared" si="20"/>
        <v>0</v>
      </c>
      <c r="Z220" s="44">
        <f t="shared" si="21"/>
        <v>0</v>
      </c>
      <c r="AA220" s="125">
        <f>VLOOKUP(C220,'Talente &amp; Stuff'!AF:BG,25,FALSE)</f>
        <v>0</v>
      </c>
      <c r="AB220" s="160">
        <f>VLOOKUP(C220,'Talente &amp; Stuff'!AF:BG,26,FALSE)</f>
        <v>0</v>
      </c>
      <c r="AC220" s="127">
        <f>VLOOKUP(C220,'Talente &amp; Stuff'!AF:BG,27,FALSE)</f>
        <v>0</v>
      </c>
      <c r="AD220" s="125">
        <f>VLOOKUP(C220,'Talente &amp; Stuff'!AF:BG,28,FALSE)</f>
        <v>0</v>
      </c>
      <c r="AE220" s="28"/>
    </row>
    <row r="221" spans="2:31" ht="15" hidden="1" customHeight="1" outlineLevel="2">
      <c r="B221" s="148">
        <v>9</v>
      </c>
      <c r="C221" s="177" t="str">
        <f>Attribute!C221</f>
        <v>---</v>
      </c>
      <c r="D221" s="125" t="str">
        <f>VLOOKUP(C221,'Talente &amp; Stuff'!AF:BG,2,FALSE)</f>
        <v>--/--/--</v>
      </c>
      <c r="E221" s="127" t="str">
        <f>VLOOKUP(C221,'Talente &amp; Stuff'!AF:BG,3,FALSE)</f>
        <v>-</v>
      </c>
      <c r="F221" s="114">
        <f>VLOOKUP(C221,'Talente &amp; Stuff'!AF:BG,4,FALSE)</f>
        <v>0</v>
      </c>
      <c r="G221" s="113">
        <f>VLOOKUP(C221,'Talente &amp; Stuff'!AF:BG,5,FALSE)</f>
        <v>0</v>
      </c>
      <c r="H221" s="113">
        <f>VLOOKUP(C221,'Talente &amp; Stuff'!AF:BG,6,FALSE)</f>
        <v>0</v>
      </c>
      <c r="I221" s="113">
        <f>VLOOKUP(C221,'Talente &amp; Stuff'!AF:BG,7,FALSE)</f>
        <v>0</v>
      </c>
      <c r="J221" s="113">
        <f>VLOOKUP(C221,'Talente &amp; Stuff'!AF:BG,8,FALSE)</f>
        <v>0</v>
      </c>
      <c r="K221" s="113">
        <f>VLOOKUP(C221,'Talente &amp; Stuff'!AF:BG,9,FALSE)</f>
        <v>0</v>
      </c>
      <c r="L221" s="113">
        <f>VLOOKUP(C221,'Talente &amp; Stuff'!AF:BG,10,FALSE)</f>
        <v>0</v>
      </c>
      <c r="M221" s="119">
        <f>VLOOKUP(C221,'Talente &amp; Stuff'!AF:BG,11,FALSE)</f>
        <v>0</v>
      </c>
      <c r="N221" s="47">
        <f>VLOOKUP(C221,'Talente &amp; Stuff'!AF:BG,12,FALSE)</f>
        <v>0</v>
      </c>
      <c r="O221" s="47">
        <f>VLOOKUP(C221,'Talente &amp; Stuff'!AF:BG,13,FALSE)</f>
        <v>0</v>
      </c>
      <c r="P221" s="119">
        <f>VLOOKUP(C221,'Talente &amp; Stuff'!AF:BG,14,FALSE)</f>
        <v>0</v>
      </c>
      <c r="Q221" s="114">
        <f>VLOOKUP(C221,'Talente &amp; Stuff'!AF:BG,15,FALSE)</f>
        <v>0</v>
      </c>
      <c r="R221" s="113">
        <f>VLOOKUP(C221,'Talente &amp; Stuff'!AF:BG,16,FALSE)</f>
        <v>0</v>
      </c>
      <c r="S221" s="119">
        <f>VLOOKUP(C221,'Talente &amp; Stuff'!AF:BG,17,FALSE)</f>
        <v>0</v>
      </c>
      <c r="T221" s="119">
        <f>VLOOKUP(C221,'Talente &amp; Stuff'!AF:BG,18,FALSE)</f>
        <v>0</v>
      </c>
      <c r="U221" s="89">
        <f>VLOOKUP(C221,'Talente &amp; Stuff'!AF:BG,19,FALSE)</f>
        <v>0</v>
      </c>
      <c r="V221" s="47">
        <f>VLOOKUP(C221,'Talente &amp; Stuff'!AF:BG,20,FALSE)</f>
        <v>0</v>
      </c>
      <c r="W221" s="127">
        <f>VLOOKUP(C221,'Talente &amp; Stuff'!AF:BG,21,FALSE)</f>
        <v>0</v>
      </c>
      <c r="X221" s="127">
        <f>VLOOKUP(C221,'Talente &amp; Stuff'!AF:BG,22,FALSE)</f>
        <v>0</v>
      </c>
      <c r="Y221" s="165">
        <f t="shared" si="20"/>
        <v>0</v>
      </c>
      <c r="Z221" s="44">
        <f t="shared" si="21"/>
        <v>0</v>
      </c>
      <c r="AA221" s="125">
        <f>VLOOKUP(C221,'Talente &amp; Stuff'!AF:BG,25,FALSE)</f>
        <v>0</v>
      </c>
      <c r="AB221" s="160">
        <f>VLOOKUP(C221,'Talente &amp; Stuff'!AF:BG,26,FALSE)</f>
        <v>0</v>
      </c>
      <c r="AC221" s="127">
        <f>VLOOKUP(C221,'Talente &amp; Stuff'!AF:BG,27,FALSE)</f>
        <v>0</v>
      </c>
      <c r="AD221" s="125">
        <f>VLOOKUP(C221,'Talente &amp; Stuff'!AF:BG,28,FALSE)</f>
        <v>0</v>
      </c>
      <c r="AE221" s="28"/>
    </row>
    <row r="222" spans="2:31" s="148" customFormat="1" ht="15" hidden="1" customHeight="1" outlineLevel="2">
      <c r="B222" s="148">
        <v>10</v>
      </c>
      <c r="C222" s="177" t="str">
        <f>Attribute!C222</f>
        <v>---</v>
      </c>
      <c r="D222" s="86" t="str">
        <f>VLOOKUP(C222,'Talente &amp; Stuff'!AF:BG,2,FALSE)</f>
        <v>--/--/--</v>
      </c>
      <c r="E222" s="167" t="str">
        <f>VLOOKUP(C222,'Talente &amp; Stuff'!AF:BG,3,FALSE)</f>
        <v>-</v>
      </c>
      <c r="F222" s="120">
        <f>VLOOKUP(C222,'Talente &amp; Stuff'!AF:BG,4,FALSE)</f>
        <v>0</v>
      </c>
      <c r="G222" s="117">
        <f>VLOOKUP(C222,'Talente &amp; Stuff'!AF:BG,5,FALSE)</f>
        <v>0</v>
      </c>
      <c r="H222" s="117">
        <f>VLOOKUP(C222,'Talente &amp; Stuff'!AF:BG,6,FALSE)</f>
        <v>0</v>
      </c>
      <c r="I222" s="117">
        <f>VLOOKUP(C222,'Talente &amp; Stuff'!AF:BG,7,FALSE)</f>
        <v>0</v>
      </c>
      <c r="J222" s="117">
        <f>VLOOKUP(C222,'Talente &amp; Stuff'!AF:BG,8,FALSE)</f>
        <v>0</v>
      </c>
      <c r="K222" s="117">
        <f>VLOOKUP(C222,'Talente &amp; Stuff'!AF:BG,9,FALSE)</f>
        <v>0</v>
      </c>
      <c r="L222" s="117">
        <f>VLOOKUP(C222,'Talente &amp; Stuff'!AF:BG,10,FALSE)</f>
        <v>0</v>
      </c>
      <c r="M222" s="121">
        <f>VLOOKUP(C222,'Talente &amp; Stuff'!AF:BG,11,FALSE)</f>
        <v>0</v>
      </c>
      <c r="N222" s="47">
        <f>VLOOKUP(C222,'Talente &amp; Stuff'!AF:BG,12,FALSE)</f>
        <v>0</v>
      </c>
      <c r="O222" s="3">
        <f>VLOOKUP(C222,'Talente &amp; Stuff'!AF:BG,13,FALSE)</f>
        <v>0</v>
      </c>
      <c r="P222" s="174">
        <f>VLOOKUP(C222,'Talente &amp; Stuff'!AF:BG,14,FALSE)</f>
        <v>0</v>
      </c>
      <c r="Q222" s="114">
        <f>VLOOKUP(C222,'Talente &amp; Stuff'!AF:BG,15,FALSE)</f>
        <v>0</v>
      </c>
      <c r="R222" s="117">
        <f>VLOOKUP(C222,'Talente &amp; Stuff'!AF:BG,16,FALSE)</f>
        <v>0</v>
      </c>
      <c r="S222" s="119">
        <f>VLOOKUP(C222,'Talente &amp; Stuff'!AF:BG,17,FALSE)</f>
        <v>0</v>
      </c>
      <c r="T222" s="119">
        <f>VLOOKUP(C222,'Talente &amp; Stuff'!AF:BG,18,FALSE)</f>
        <v>0</v>
      </c>
      <c r="U222" s="89">
        <f>VLOOKUP(C222,'Talente &amp; Stuff'!AF:BG,19,FALSE)</f>
        <v>0</v>
      </c>
      <c r="V222" s="47">
        <f>VLOOKUP(C222,'Talente &amp; Stuff'!AF:BG,20,FALSE)</f>
        <v>0</v>
      </c>
      <c r="W222" s="127">
        <f>VLOOKUP(C222,'Talente &amp; Stuff'!AF:BG,21,FALSE)</f>
        <v>0</v>
      </c>
      <c r="X222" s="127">
        <f>VLOOKUP(C222,'Talente &amp; Stuff'!AF:BG,22,FALSE)</f>
        <v>0</v>
      </c>
      <c r="Y222" s="165">
        <f t="shared" si="20"/>
        <v>0</v>
      </c>
      <c r="Z222" s="44">
        <f t="shared" si="21"/>
        <v>0</v>
      </c>
      <c r="AA222" s="125">
        <f>VLOOKUP(C222,'Talente &amp; Stuff'!AF:BG,25,FALSE)</f>
        <v>0</v>
      </c>
      <c r="AB222" s="160">
        <f>VLOOKUP(C222,'Talente &amp; Stuff'!AF:BG,26,FALSE)</f>
        <v>0</v>
      </c>
      <c r="AC222" s="127">
        <f>VLOOKUP(C222,'Talente &amp; Stuff'!AF:BG,27,FALSE)</f>
        <v>0</v>
      </c>
      <c r="AD222" s="125">
        <f>VLOOKUP(C222,'Talente &amp; Stuff'!AF:BG,28,FALSE)</f>
        <v>0</v>
      </c>
      <c r="AE222" s="28"/>
    </row>
    <row r="223" spans="2:31" s="148" customFormat="1" ht="15" hidden="1" customHeight="1" outlineLevel="2">
      <c r="B223" s="148">
        <v>11</v>
      </c>
      <c r="C223" s="177" t="str">
        <f>Attribute!C223</f>
        <v>---</v>
      </c>
      <c r="D223" s="86" t="str">
        <f>VLOOKUP(C223,'Talente &amp; Stuff'!AF:BG,2,FALSE)</f>
        <v>--/--/--</v>
      </c>
      <c r="E223" s="167" t="str">
        <f>VLOOKUP(C223,'Talente &amp; Stuff'!AF:BG,3,FALSE)</f>
        <v>-</v>
      </c>
      <c r="F223" s="120">
        <f>VLOOKUP(C223,'Talente &amp; Stuff'!AF:BG,4,FALSE)</f>
        <v>0</v>
      </c>
      <c r="G223" s="117">
        <f>VLOOKUP(C223,'Talente &amp; Stuff'!AF:BG,5,FALSE)</f>
        <v>0</v>
      </c>
      <c r="H223" s="117">
        <f>VLOOKUP(C223,'Talente &amp; Stuff'!AF:BG,6,FALSE)</f>
        <v>0</v>
      </c>
      <c r="I223" s="117">
        <f>VLOOKUP(C223,'Talente &amp; Stuff'!AF:BG,7,FALSE)</f>
        <v>0</v>
      </c>
      <c r="J223" s="117">
        <f>VLOOKUP(C223,'Talente &amp; Stuff'!AF:BG,8,FALSE)</f>
        <v>0</v>
      </c>
      <c r="K223" s="117">
        <f>VLOOKUP(C223,'Talente &amp; Stuff'!AF:BG,9,FALSE)</f>
        <v>0</v>
      </c>
      <c r="L223" s="117">
        <f>VLOOKUP(C223,'Talente &amp; Stuff'!AF:BG,10,FALSE)</f>
        <v>0</v>
      </c>
      <c r="M223" s="121">
        <f>VLOOKUP(C223,'Talente &amp; Stuff'!AF:BG,11,FALSE)</f>
        <v>0</v>
      </c>
      <c r="N223" s="47">
        <f>VLOOKUP(C223,'Talente &amp; Stuff'!AF:BG,12,FALSE)</f>
        <v>0</v>
      </c>
      <c r="O223" s="3">
        <f>VLOOKUP(C223,'Talente &amp; Stuff'!AF:BG,13,FALSE)</f>
        <v>0</v>
      </c>
      <c r="P223" s="174">
        <f>VLOOKUP(C223,'Talente &amp; Stuff'!AF:BG,14,FALSE)</f>
        <v>0</v>
      </c>
      <c r="Q223" s="114">
        <f>VLOOKUP(C223,'Talente &amp; Stuff'!AF:BG,15,FALSE)</f>
        <v>0</v>
      </c>
      <c r="R223" s="117">
        <f>VLOOKUP(C223,'Talente &amp; Stuff'!AF:BG,16,FALSE)</f>
        <v>0</v>
      </c>
      <c r="S223" s="119">
        <f>VLOOKUP(C223,'Talente &amp; Stuff'!AF:BG,17,FALSE)</f>
        <v>0</v>
      </c>
      <c r="T223" s="119">
        <f>VLOOKUP(C223,'Talente &amp; Stuff'!AF:BG,18,FALSE)</f>
        <v>0</v>
      </c>
      <c r="U223" s="89">
        <f>VLOOKUP(C223,'Talente &amp; Stuff'!AF:BG,19,FALSE)</f>
        <v>0</v>
      </c>
      <c r="V223" s="47">
        <f>VLOOKUP(C223,'Talente &amp; Stuff'!AF:BG,20,FALSE)</f>
        <v>0</v>
      </c>
      <c r="W223" s="127">
        <f>VLOOKUP(C223,'Talente &amp; Stuff'!AF:BG,21,FALSE)</f>
        <v>0</v>
      </c>
      <c r="X223" s="127">
        <f>VLOOKUP(C223,'Talente &amp; Stuff'!AF:BG,22,FALSE)</f>
        <v>0</v>
      </c>
      <c r="Y223" s="165">
        <f t="shared" si="20"/>
        <v>0</v>
      </c>
      <c r="Z223" s="44">
        <f t="shared" si="21"/>
        <v>0</v>
      </c>
      <c r="AA223" s="125">
        <f>VLOOKUP(C223,'Talente &amp; Stuff'!AF:BG,25,FALSE)</f>
        <v>0</v>
      </c>
      <c r="AB223" s="160">
        <f>VLOOKUP(C223,'Talente &amp; Stuff'!AF:BG,26,FALSE)</f>
        <v>0</v>
      </c>
      <c r="AC223" s="127">
        <f>VLOOKUP(C223,'Talente &amp; Stuff'!AF:BG,27,FALSE)</f>
        <v>0</v>
      </c>
      <c r="AD223" s="125">
        <f>VLOOKUP(C223,'Talente &amp; Stuff'!AF:BG,28,FALSE)</f>
        <v>0</v>
      </c>
      <c r="AE223" s="28"/>
    </row>
    <row r="224" spans="2:31" s="148" customFormat="1" ht="15" hidden="1" customHeight="1" outlineLevel="2">
      <c r="B224" s="148">
        <v>12</v>
      </c>
      <c r="C224" s="177" t="str">
        <f>Attribute!C224</f>
        <v>---</v>
      </c>
      <c r="D224" s="86" t="str">
        <f>VLOOKUP(C224,'Talente &amp; Stuff'!AF:BG,2,FALSE)</f>
        <v>--/--/--</v>
      </c>
      <c r="E224" s="167" t="str">
        <f>VLOOKUP(C224,'Talente &amp; Stuff'!AF:BG,3,FALSE)</f>
        <v>-</v>
      </c>
      <c r="F224" s="120">
        <f>VLOOKUP(C224,'Talente &amp; Stuff'!AF:BG,4,FALSE)</f>
        <v>0</v>
      </c>
      <c r="G224" s="117">
        <f>VLOOKUP(C224,'Talente &amp; Stuff'!AF:BG,5,FALSE)</f>
        <v>0</v>
      </c>
      <c r="H224" s="117">
        <f>VLOOKUP(C224,'Talente &amp; Stuff'!AF:BG,6,FALSE)</f>
        <v>0</v>
      </c>
      <c r="I224" s="117">
        <f>VLOOKUP(C224,'Talente &amp; Stuff'!AF:BG,7,FALSE)</f>
        <v>0</v>
      </c>
      <c r="J224" s="117">
        <f>VLOOKUP(C224,'Talente &amp; Stuff'!AF:BG,8,FALSE)</f>
        <v>0</v>
      </c>
      <c r="K224" s="117">
        <f>VLOOKUP(C224,'Talente &amp; Stuff'!AF:BG,9,FALSE)</f>
        <v>0</v>
      </c>
      <c r="L224" s="117">
        <f>VLOOKUP(C224,'Talente &amp; Stuff'!AF:BG,10,FALSE)</f>
        <v>0</v>
      </c>
      <c r="M224" s="121">
        <f>VLOOKUP(C224,'Talente &amp; Stuff'!AF:BG,11,FALSE)</f>
        <v>0</v>
      </c>
      <c r="N224" s="47">
        <f>VLOOKUP(C224,'Talente &amp; Stuff'!AF:BG,12,FALSE)</f>
        <v>0</v>
      </c>
      <c r="O224" s="3">
        <f>VLOOKUP(C224,'Talente &amp; Stuff'!AF:BG,13,FALSE)</f>
        <v>0</v>
      </c>
      <c r="P224" s="174">
        <f>VLOOKUP(C224,'Talente &amp; Stuff'!AF:BG,14,FALSE)</f>
        <v>0</v>
      </c>
      <c r="Q224" s="114">
        <f>VLOOKUP(C224,'Talente &amp; Stuff'!AF:BG,15,FALSE)</f>
        <v>0</v>
      </c>
      <c r="R224" s="117">
        <f>VLOOKUP(C224,'Talente &amp; Stuff'!AF:BG,16,FALSE)</f>
        <v>0</v>
      </c>
      <c r="S224" s="119">
        <f>VLOOKUP(C224,'Talente &amp; Stuff'!AF:BG,17,FALSE)</f>
        <v>0</v>
      </c>
      <c r="T224" s="119">
        <f>VLOOKUP(C224,'Talente &amp; Stuff'!AF:BG,18,FALSE)</f>
        <v>0</v>
      </c>
      <c r="U224" s="89">
        <f>VLOOKUP(C224,'Talente &amp; Stuff'!AF:BG,19,FALSE)</f>
        <v>0</v>
      </c>
      <c r="V224" s="47">
        <f>VLOOKUP(C224,'Talente &amp; Stuff'!AF:BG,20,FALSE)</f>
        <v>0</v>
      </c>
      <c r="W224" s="127">
        <f>VLOOKUP(C224,'Talente &amp; Stuff'!AF:BG,21,FALSE)</f>
        <v>0</v>
      </c>
      <c r="X224" s="127">
        <f>VLOOKUP(C224,'Talente &amp; Stuff'!AF:BG,22,FALSE)</f>
        <v>0</v>
      </c>
      <c r="Y224" s="165">
        <f t="shared" si="20"/>
        <v>0</v>
      </c>
      <c r="Z224" s="44">
        <f t="shared" si="21"/>
        <v>0</v>
      </c>
      <c r="AA224" s="125">
        <f>VLOOKUP(C224,'Talente &amp; Stuff'!AF:BG,25,FALSE)</f>
        <v>0</v>
      </c>
      <c r="AB224" s="160">
        <f>VLOOKUP(C224,'Talente &amp; Stuff'!AF:BG,26,FALSE)</f>
        <v>0</v>
      </c>
      <c r="AC224" s="127">
        <f>VLOOKUP(C224,'Talente &amp; Stuff'!AF:BG,27,FALSE)</f>
        <v>0</v>
      </c>
      <c r="AD224" s="125">
        <f>VLOOKUP(C224,'Talente &amp; Stuff'!AF:BG,28,FALSE)</f>
        <v>0</v>
      </c>
      <c r="AE224" s="28"/>
    </row>
    <row r="225" spans="2:31" s="148" customFormat="1" ht="15" hidden="1" customHeight="1" outlineLevel="2">
      <c r="B225" s="148">
        <v>13</v>
      </c>
      <c r="C225" s="177" t="str">
        <f>Attribute!C225</f>
        <v>---</v>
      </c>
      <c r="D225" s="86" t="str">
        <f>VLOOKUP(C225,'Talente &amp; Stuff'!AF:BG,2,FALSE)</f>
        <v>--/--/--</v>
      </c>
      <c r="E225" s="167" t="str">
        <f>VLOOKUP(C225,'Talente &amp; Stuff'!AF:BG,3,FALSE)</f>
        <v>-</v>
      </c>
      <c r="F225" s="120">
        <f>VLOOKUP(C225,'Talente &amp; Stuff'!AF:BG,4,FALSE)</f>
        <v>0</v>
      </c>
      <c r="G225" s="117">
        <f>VLOOKUP(C225,'Talente &amp; Stuff'!AF:BG,5,FALSE)</f>
        <v>0</v>
      </c>
      <c r="H225" s="117">
        <f>VLOOKUP(C225,'Talente &amp; Stuff'!AF:BG,6,FALSE)</f>
        <v>0</v>
      </c>
      <c r="I225" s="117">
        <f>VLOOKUP(C225,'Talente &amp; Stuff'!AF:BG,7,FALSE)</f>
        <v>0</v>
      </c>
      <c r="J225" s="117">
        <f>VLOOKUP(C225,'Talente &amp; Stuff'!AF:BG,8,FALSE)</f>
        <v>0</v>
      </c>
      <c r="K225" s="117">
        <f>VLOOKUP(C225,'Talente &amp; Stuff'!AF:BG,9,FALSE)</f>
        <v>0</v>
      </c>
      <c r="L225" s="117">
        <f>VLOOKUP(C225,'Talente &amp; Stuff'!AF:BG,10,FALSE)</f>
        <v>0</v>
      </c>
      <c r="M225" s="121">
        <f>VLOOKUP(C225,'Talente &amp; Stuff'!AF:BG,11,FALSE)</f>
        <v>0</v>
      </c>
      <c r="N225" s="47">
        <f>VLOOKUP(C225,'Talente &amp; Stuff'!AF:BG,12,FALSE)</f>
        <v>0</v>
      </c>
      <c r="O225" s="3">
        <f>VLOOKUP(C225,'Talente &amp; Stuff'!AF:BG,13,FALSE)</f>
        <v>0</v>
      </c>
      <c r="P225" s="174">
        <f>VLOOKUP(C225,'Talente &amp; Stuff'!AF:BG,14,FALSE)</f>
        <v>0</v>
      </c>
      <c r="Q225" s="114">
        <f>VLOOKUP(C225,'Talente &amp; Stuff'!AF:BG,15,FALSE)</f>
        <v>0</v>
      </c>
      <c r="R225" s="117">
        <f>VLOOKUP(C225,'Talente &amp; Stuff'!AF:BG,16,FALSE)</f>
        <v>0</v>
      </c>
      <c r="S225" s="119">
        <f>VLOOKUP(C225,'Talente &amp; Stuff'!AF:BG,17,FALSE)</f>
        <v>0</v>
      </c>
      <c r="T225" s="119">
        <f>VLOOKUP(C225,'Talente &amp; Stuff'!AF:BG,18,FALSE)</f>
        <v>0</v>
      </c>
      <c r="U225" s="89">
        <f>VLOOKUP(C225,'Talente &amp; Stuff'!AF:BG,19,FALSE)</f>
        <v>0</v>
      </c>
      <c r="V225" s="47">
        <f>VLOOKUP(C225,'Talente &amp; Stuff'!AF:BG,20,FALSE)</f>
        <v>0</v>
      </c>
      <c r="W225" s="127">
        <f>VLOOKUP(C225,'Talente &amp; Stuff'!AF:BG,21,FALSE)</f>
        <v>0</v>
      </c>
      <c r="X225" s="127">
        <f>VLOOKUP(C225,'Talente &amp; Stuff'!AF:BG,22,FALSE)</f>
        <v>0</v>
      </c>
      <c r="Y225" s="165">
        <f t="shared" si="20"/>
        <v>0</v>
      </c>
      <c r="Z225" s="44">
        <f t="shared" si="21"/>
        <v>0</v>
      </c>
      <c r="AA225" s="125">
        <f>VLOOKUP(C225,'Talente &amp; Stuff'!AF:BG,25,FALSE)</f>
        <v>0</v>
      </c>
      <c r="AB225" s="160">
        <f>VLOOKUP(C225,'Talente &amp; Stuff'!AF:BG,26,FALSE)</f>
        <v>0</v>
      </c>
      <c r="AC225" s="127">
        <f>VLOOKUP(C225,'Talente &amp; Stuff'!AF:BG,27,FALSE)</f>
        <v>0</v>
      </c>
      <c r="AD225" s="125">
        <f>VLOOKUP(C225,'Talente &amp; Stuff'!AF:BG,28,FALSE)</f>
        <v>0</v>
      </c>
      <c r="AE225" s="28"/>
    </row>
    <row r="226" spans="2:31" s="148" customFormat="1" ht="15" hidden="1" customHeight="1" outlineLevel="2">
      <c r="B226" s="148">
        <v>14</v>
      </c>
      <c r="C226" s="177" t="str">
        <f>Attribute!C226</f>
        <v>---</v>
      </c>
      <c r="D226" s="86" t="str">
        <f>VLOOKUP(C226,'Talente &amp; Stuff'!AF:BG,2,FALSE)</f>
        <v>--/--/--</v>
      </c>
      <c r="E226" s="167" t="str">
        <f>VLOOKUP(C226,'Talente &amp; Stuff'!AF:BG,3,FALSE)</f>
        <v>-</v>
      </c>
      <c r="F226" s="120">
        <f>VLOOKUP(C226,'Talente &amp; Stuff'!AF:BG,4,FALSE)</f>
        <v>0</v>
      </c>
      <c r="G226" s="117">
        <f>VLOOKUP(C226,'Talente &amp; Stuff'!AF:BG,5,FALSE)</f>
        <v>0</v>
      </c>
      <c r="H226" s="117">
        <f>VLOOKUP(C226,'Talente &amp; Stuff'!AF:BG,6,FALSE)</f>
        <v>0</v>
      </c>
      <c r="I226" s="117">
        <f>VLOOKUP(C226,'Talente &amp; Stuff'!AF:BG,7,FALSE)</f>
        <v>0</v>
      </c>
      <c r="J226" s="117">
        <f>VLOOKUP(C226,'Talente &amp; Stuff'!AF:BG,8,FALSE)</f>
        <v>0</v>
      </c>
      <c r="K226" s="117">
        <f>VLOOKUP(C226,'Talente &amp; Stuff'!AF:BG,9,FALSE)</f>
        <v>0</v>
      </c>
      <c r="L226" s="117">
        <f>VLOOKUP(C226,'Talente &amp; Stuff'!AF:BG,10,FALSE)</f>
        <v>0</v>
      </c>
      <c r="M226" s="121">
        <f>VLOOKUP(C226,'Talente &amp; Stuff'!AF:BG,11,FALSE)</f>
        <v>0</v>
      </c>
      <c r="N226" s="47">
        <f>VLOOKUP(C226,'Talente &amp; Stuff'!AF:BG,12,FALSE)</f>
        <v>0</v>
      </c>
      <c r="O226" s="3">
        <f>VLOOKUP(C226,'Talente &amp; Stuff'!AF:BG,13,FALSE)</f>
        <v>0</v>
      </c>
      <c r="P226" s="174">
        <f>VLOOKUP(C226,'Talente &amp; Stuff'!AF:BG,14,FALSE)</f>
        <v>0</v>
      </c>
      <c r="Q226" s="114">
        <f>VLOOKUP(C226,'Talente &amp; Stuff'!AF:BG,15,FALSE)</f>
        <v>0</v>
      </c>
      <c r="R226" s="117">
        <f>VLOOKUP(C226,'Talente &amp; Stuff'!AF:BG,16,FALSE)</f>
        <v>0</v>
      </c>
      <c r="S226" s="119">
        <f>VLOOKUP(C226,'Talente &amp; Stuff'!AF:BG,17,FALSE)</f>
        <v>0</v>
      </c>
      <c r="T226" s="119">
        <f>VLOOKUP(C226,'Talente &amp; Stuff'!AF:BG,18,FALSE)</f>
        <v>0</v>
      </c>
      <c r="U226" s="89">
        <f>VLOOKUP(C226,'Talente &amp; Stuff'!AF:BG,19,FALSE)</f>
        <v>0</v>
      </c>
      <c r="V226" s="47">
        <f>VLOOKUP(C226,'Talente &amp; Stuff'!AF:BG,20,FALSE)</f>
        <v>0</v>
      </c>
      <c r="W226" s="127">
        <f>VLOOKUP(C226,'Talente &amp; Stuff'!AF:BG,21,FALSE)</f>
        <v>0</v>
      </c>
      <c r="X226" s="127">
        <f>VLOOKUP(C226,'Talente &amp; Stuff'!AF:BG,22,FALSE)</f>
        <v>0</v>
      </c>
      <c r="Y226" s="165">
        <f t="shared" si="20"/>
        <v>0</v>
      </c>
      <c r="Z226" s="44">
        <f t="shared" si="21"/>
        <v>0</v>
      </c>
      <c r="AA226" s="125">
        <f>VLOOKUP(C226,'Talente &amp; Stuff'!AF:BG,25,FALSE)</f>
        <v>0</v>
      </c>
      <c r="AB226" s="160">
        <f>VLOOKUP(C226,'Talente &amp; Stuff'!AF:BG,26,FALSE)</f>
        <v>0</v>
      </c>
      <c r="AC226" s="127">
        <f>VLOOKUP(C226,'Talente &amp; Stuff'!AF:BG,27,FALSE)</f>
        <v>0</v>
      </c>
      <c r="AD226" s="125">
        <f>VLOOKUP(C226,'Talente &amp; Stuff'!AF:BG,28,FALSE)</f>
        <v>0</v>
      </c>
      <c r="AE226" s="28"/>
    </row>
    <row r="227" spans="2:31" s="148" customFormat="1" ht="15" hidden="1" customHeight="1" outlineLevel="2">
      <c r="B227" s="148">
        <v>15</v>
      </c>
      <c r="C227" s="177" t="str">
        <f>Attribute!C227</f>
        <v>---</v>
      </c>
      <c r="D227" s="86" t="str">
        <f>VLOOKUP(C227,'Talente &amp; Stuff'!AF:BG,2,FALSE)</f>
        <v>--/--/--</v>
      </c>
      <c r="E227" s="167" t="str">
        <f>VLOOKUP(C227,'Talente &amp; Stuff'!AF:BG,3,FALSE)</f>
        <v>-</v>
      </c>
      <c r="F227" s="120">
        <f>VLOOKUP(C227,'Talente &amp; Stuff'!AF:BG,4,FALSE)</f>
        <v>0</v>
      </c>
      <c r="G227" s="117">
        <f>VLOOKUP(C227,'Talente &amp; Stuff'!AF:BG,5,FALSE)</f>
        <v>0</v>
      </c>
      <c r="H227" s="117">
        <f>VLOOKUP(C227,'Talente &amp; Stuff'!AF:BG,6,FALSE)</f>
        <v>0</v>
      </c>
      <c r="I227" s="117">
        <f>VLOOKUP(C227,'Talente &amp; Stuff'!AF:BG,7,FALSE)</f>
        <v>0</v>
      </c>
      <c r="J227" s="117">
        <f>VLOOKUP(C227,'Talente &amp; Stuff'!AF:BG,8,FALSE)</f>
        <v>0</v>
      </c>
      <c r="K227" s="117">
        <f>VLOOKUP(C227,'Talente &amp; Stuff'!AF:BG,9,FALSE)</f>
        <v>0</v>
      </c>
      <c r="L227" s="117">
        <f>VLOOKUP(C227,'Talente &amp; Stuff'!AF:BG,10,FALSE)</f>
        <v>0</v>
      </c>
      <c r="M227" s="121">
        <f>VLOOKUP(C227,'Talente &amp; Stuff'!AF:BG,11,FALSE)</f>
        <v>0</v>
      </c>
      <c r="N227" s="47">
        <f>VLOOKUP(C227,'Talente &amp; Stuff'!AF:BG,12,FALSE)</f>
        <v>0</v>
      </c>
      <c r="O227" s="3">
        <f>VLOOKUP(C227,'Talente &amp; Stuff'!AF:BG,13,FALSE)</f>
        <v>0</v>
      </c>
      <c r="P227" s="174">
        <f>VLOOKUP(C227,'Talente &amp; Stuff'!AF:BG,14,FALSE)</f>
        <v>0</v>
      </c>
      <c r="Q227" s="114">
        <f>VLOOKUP(C227,'Talente &amp; Stuff'!AF:BG,15,FALSE)</f>
        <v>0</v>
      </c>
      <c r="R227" s="117">
        <f>VLOOKUP(C227,'Talente &amp; Stuff'!AF:BG,16,FALSE)</f>
        <v>0</v>
      </c>
      <c r="S227" s="119">
        <f>VLOOKUP(C227,'Talente &amp; Stuff'!AF:BG,17,FALSE)</f>
        <v>0</v>
      </c>
      <c r="T227" s="119">
        <f>VLOOKUP(C227,'Talente &amp; Stuff'!AF:BG,18,FALSE)</f>
        <v>0</v>
      </c>
      <c r="U227" s="89">
        <f>VLOOKUP(C227,'Talente &amp; Stuff'!AF:BG,19,FALSE)</f>
        <v>0</v>
      </c>
      <c r="V227" s="47">
        <f>VLOOKUP(C227,'Talente &amp; Stuff'!AF:BG,20,FALSE)</f>
        <v>0</v>
      </c>
      <c r="W227" s="127">
        <f>VLOOKUP(C227,'Talente &amp; Stuff'!AF:BG,21,FALSE)</f>
        <v>0</v>
      </c>
      <c r="X227" s="127">
        <f>VLOOKUP(C227,'Talente &amp; Stuff'!AF:BG,22,FALSE)</f>
        <v>0</v>
      </c>
      <c r="Y227" s="165">
        <f t="shared" si="20"/>
        <v>0</v>
      </c>
      <c r="Z227" s="44">
        <f t="shared" si="21"/>
        <v>0</v>
      </c>
      <c r="AA227" s="125">
        <f>VLOOKUP(C227,'Talente &amp; Stuff'!AF:BG,25,FALSE)</f>
        <v>0</v>
      </c>
      <c r="AB227" s="160">
        <f>VLOOKUP(C227,'Talente &amp; Stuff'!AF:BG,26,FALSE)</f>
        <v>0</v>
      </c>
      <c r="AC227" s="127">
        <f>VLOOKUP(C227,'Talente &amp; Stuff'!AF:BG,27,FALSE)</f>
        <v>0</v>
      </c>
      <c r="AD227" s="125">
        <f>VLOOKUP(C227,'Talente &amp; Stuff'!AF:BG,28,FALSE)</f>
        <v>0</v>
      </c>
      <c r="AE227" s="28"/>
    </row>
    <row r="228" spans="2:31" s="148" customFormat="1" ht="15" hidden="1" customHeight="1" outlineLevel="2">
      <c r="B228" s="148">
        <v>16</v>
      </c>
      <c r="C228" s="177" t="str">
        <f>Attribute!C228</f>
        <v>---</v>
      </c>
      <c r="D228" s="86" t="str">
        <f>VLOOKUP(C228,'Talente &amp; Stuff'!AF:BG,2,FALSE)</f>
        <v>--/--/--</v>
      </c>
      <c r="E228" s="167" t="str">
        <f>VLOOKUP(C228,'Talente &amp; Stuff'!AF:BG,3,FALSE)</f>
        <v>-</v>
      </c>
      <c r="F228" s="120">
        <f>VLOOKUP(C228,'Talente &amp; Stuff'!AF:BG,4,FALSE)</f>
        <v>0</v>
      </c>
      <c r="G228" s="117">
        <f>VLOOKUP(C228,'Talente &amp; Stuff'!AF:BG,5,FALSE)</f>
        <v>0</v>
      </c>
      <c r="H228" s="117">
        <f>VLOOKUP(C228,'Talente &amp; Stuff'!AF:BG,6,FALSE)</f>
        <v>0</v>
      </c>
      <c r="I228" s="117">
        <f>VLOOKUP(C228,'Talente &amp; Stuff'!AF:BG,7,FALSE)</f>
        <v>0</v>
      </c>
      <c r="J228" s="117">
        <f>VLOOKUP(C228,'Talente &amp; Stuff'!AF:BG,8,FALSE)</f>
        <v>0</v>
      </c>
      <c r="K228" s="117">
        <f>VLOOKUP(C228,'Talente &amp; Stuff'!AF:BG,9,FALSE)</f>
        <v>0</v>
      </c>
      <c r="L228" s="117">
        <f>VLOOKUP(C228,'Talente &amp; Stuff'!AF:BG,10,FALSE)</f>
        <v>0</v>
      </c>
      <c r="M228" s="121">
        <f>VLOOKUP(C228,'Talente &amp; Stuff'!AF:BG,11,FALSE)</f>
        <v>0</v>
      </c>
      <c r="N228" s="47">
        <f>VLOOKUP(C228,'Talente &amp; Stuff'!AF:BG,12,FALSE)</f>
        <v>0</v>
      </c>
      <c r="O228" s="3">
        <f>VLOOKUP(C228,'Talente &amp; Stuff'!AF:BG,13,FALSE)</f>
        <v>0</v>
      </c>
      <c r="P228" s="174">
        <f>VLOOKUP(C228,'Talente &amp; Stuff'!AF:BG,14,FALSE)</f>
        <v>0</v>
      </c>
      <c r="Q228" s="114">
        <f>VLOOKUP(C228,'Talente &amp; Stuff'!AF:BG,15,FALSE)</f>
        <v>0</v>
      </c>
      <c r="R228" s="117">
        <f>VLOOKUP(C228,'Talente &amp; Stuff'!AF:BG,16,FALSE)</f>
        <v>0</v>
      </c>
      <c r="S228" s="119">
        <f>VLOOKUP(C228,'Talente &amp; Stuff'!AF:BG,17,FALSE)</f>
        <v>0</v>
      </c>
      <c r="T228" s="119">
        <f>VLOOKUP(C228,'Talente &amp; Stuff'!AF:BG,18,FALSE)</f>
        <v>0</v>
      </c>
      <c r="U228" s="89">
        <f>VLOOKUP(C228,'Talente &amp; Stuff'!AF:BG,19,FALSE)</f>
        <v>0</v>
      </c>
      <c r="V228" s="47">
        <f>VLOOKUP(C228,'Talente &amp; Stuff'!AF:BG,20,FALSE)</f>
        <v>0</v>
      </c>
      <c r="W228" s="127">
        <f>VLOOKUP(C228,'Talente &amp; Stuff'!AF:BG,21,FALSE)</f>
        <v>0</v>
      </c>
      <c r="X228" s="127">
        <f>VLOOKUP(C228,'Talente &amp; Stuff'!AF:BG,22,FALSE)</f>
        <v>0</v>
      </c>
      <c r="Y228" s="165">
        <f t="shared" si="20"/>
        <v>0</v>
      </c>
      <c r="Z228" s="44">
        <f t="shared" si="21"/>
        <v>0</v>
      </c>
      <c r="AA228" s="125">
        <f>VLOOKUP(C228,'Talente &amp; Stuff'!AF:BG,25,FALSE)</f>
        <v>0</v>
      </c>
      <c r="AB228" s="160">
        <f>VLOOKUP(C228,'Talente &amp; Stuff'!AF:BG,26,FALSE)</f>
        <v>0</v>
      </c>
      <c r="AC228" s="127">
        <f>VLOOKUP(C228,'Talente &amp; Stuff'!AF:BG,27,FALSE)</f>
        <v>0</v>
      </c>
      <c r="AD228" s="125">
        <f>VLOOKUP(C228,'Talente &amp; Stuff'!AF:BG,28,FALSE)</f>
        <v>0</v>
      </c>
      <c r="AE228" s="28"/>
    </row>
    <row r="229" spans="2:31" s="148" customFormat="1" ht="15" hidden="1" customHeight="1" outlineLevel="2">
      <c r="B229" s="148">
        <v>17</v>
      </c>
      <c r="C229" s="177" t="str">
        <f>Attribute!C229</f>
        <v>---</v>
      </c>
      <c r="D229" s="86" t="str">
        <f>VLOOKUP(C229,'Talente &amp; Stuff'!AF:BG,2,FALSE)</f>
        <v>--/--/--</v>
      </c>
      <c r="E229" s="167" t="str">
        <f>VLOOKUP(C229,'Talente &amp; Stuff'!AF:BG,3,FALSE)</f>
        <v>-</v>
      </c>
      <c r="F229" s="120">
        <f>VLOOKUP(C229,'Talente &amp; Stuff'!AF:BG,4,FALSE)</f>
        <v>0</v>
      </c>
      <c r="G229" s="117">
        <f>VLOOKUP(C229,'Talente &amp; Stuff'!AF:BG,5,FALSE)</f>
        <v>0</v>
      </c>
      <c r="H229" s="117">
        <f>VLOOKUP(C229,'Talente &amp; Stuff'!AF:BG,6,FALSE)</f>
        <v>0</v>
      </c>
      <c r="I229" s="117">
        <f>VLOOKUP(C229,'Talente &amp; Stuff'!AF:BG,7,FALSE)</f>
        <v>0</v>
      </c>
      <c r="J229" s="117">
        <f>VLOOKUP(C229,'Talente &amp; Stuff'!AF:BG,8,FALSE)</f>
        <v>0</v>
      </c>
      <c r="K229" s="117">
        <f>VLOOKUP(C229,'Talente &amp; Stuff'!AF:BG,9,FALSE)</f>
        <v>0</v>
      </c>
      <c r="L229" s="117">
        <f>VLOOKUP(C229,'Talente &amp; Stuff'!AF:BG,10,FALSE)</f>
        <v>0</v>
      </c>
      <c r="M229" s="121">
        <f>VLOOKUP(C229,'Talente &amp; Stuff'!AF:BG,11,FALSE)</f>
        <v>0</v>
      </c>
      <c r="N229" s="47">
        <f>VLOOKUP(C229,'Talente &amp; Stuff'!AF:BG,12,FALSE)</f>
        <v>0</v>
      </c>
      <c r="O229" s="3">
        <f>VLOOKUP(C229,'Talente &amp; Stuff'!AF:BG,13,FALSE)</f>
        <v>0</v>
      </c>
      <c r="P229" s="174">
        <f>VLOOKUP(C229,'Talente &amp; Stuff'!AF:BG,14,FALSE)</f>
        <v>0</v>
      </c>
      <c r="Q229" s="114">
        <f>VLOOKUP(C229,'Talente &amp; Stuff'!AF:BG,15,FALSE)</f>
        <v>0</v>
      </c>
      <c r="R229" s="117">
        <f>VLOOKUP(C229,'Talente &amp; Stuff'!AF:BG,16,FALSE)</f>
        <v>0</v>
      </c>
      <c r="S229" s="119">
        <f>VLOOKUP(C229,'Talente &amp; Stuff'!AF:BG,17,FALSE)</f>
        <v>0</v>
      </c>
      <c r="T229" s="119">
        <f>VLOOKUP(C229,'Talente &amp; Stuff'!AF:BG,18,FALSE)</f>
        <v>0</v>
      </c>
      <c r="U229" s="89">
        <f>VLOOKUP(C229,'Talente &amp; Stuff'!AF:BG,19,FALSE)</f>
        <v>0</v>
      </c>
      <c r="V229" s="47">
        <f>VLOOKUP(C229,'Talente &amp; Stuff'!AF:BG,20,FALSE)</f>
        <v>0</v>
      </c>
      <c r="W229" s="127">
        <f>VLOOKUP(C229,'Talente &amp; Stuff'!AF:BG,21,FALSE)</f>
        <v>0</v>
      </c>
      <c r="X229" s="127">
        <f>VLOOKUP(C229,'Talente &amp; Stuff'!AF:BG,22,FALSE)</f>
        <v>0</v>
      </c>
      <c r="Y229" s="165">
        <f t="shared" si="20"/>
        <v>0</v>
      </c>
      <c r="Z229" s="44">
        <f t="shared" si="21"/>
        <v>0</v>
      </c>
      <c r="AA229" s="125">
        <f>VLOOKUP(C229,'Talente &amp; Stuff'!AF:BG,25,FALSE)</f>
        <v>0</v>
      </c>
      <c r="AB229" s="160">
        <f>VLOOKUP(C229,'Talente &amp; Stuff'!AF:BG,26,FALSE)</f>
        <v>0</v>
      </c>
      <c r="AC229" s="127">
        <f>VLOOKUP(C229,'Talente &amp; Stuff'!AF:BG,27,FALSE)</f>
        <v>0</v>
      </c>
      <c r="AD229" s="125">
        <f>VLOOKUP(C229,'Talente &amp; Stuff'!AF:BG,28,FALSE)</f>
        <v>0</v>
      </c>
      <c r="AE229" s="28"/>
    </row>
    <row r="230" spans="2:31" s="148" customFormat="1" ht="15" hidden="1" customHeight="1" outlineLevel="2">
      <c r="B230" s="148">
        <v>18</v>
      </c>
      <c r="C230" s="177" t="str">
        <f>Attribute!C230</f>
        <v>---</v>
      </c>
      <c r="D230" s="86" t="str">
        <f>VLOOKUP(C230,'Talente &amp; Stuff'!AF:BG,2,FALSE)</f>
        <v>--/--/--</v>
      </c>
      <c r="E230" s="167" t="str">
        <f>VLOOKUP(C230,'Talente &amp; Stuff'!AF:BG,3,FALSE)</f>
        <v>-</v>
      </c>
      <c r="F230" s="120">
        <f>VLOOKUP(C230,'Talente &amp; Stuff'!AF:BG,4,FALSE)</f>
        <v>0</v>
      </c>
      <c r="G230" s="117">
        <f>VLOOKUP(C230,'Talente &amp; Stuff'!AF:BG,5,FALSE)</f>
        <v>0</v>
      </c>
      <c r="H230" s="117">
        <f>VLOOKUP(C230,'Talente &amp; Stuff'!AF:BG,6,FALSE)</f>
        <v>0</v>
      </c>
      <c r="I230" s="117">
        <f>VLOOKUP(C230,'Talente &amp; Stuff'!AF:BG,7,FALSE)</f>
        <v>0</v>
      </c>
      <c r="J230" s="117">
        <f>VLOOKUP(C230,'Talente &amp; Stuff'!AF:BG,8,FALSE)</f>
        <v>0</v>
      </c>
      <c r="K230" s="117">
        <f>VLOOKUP(C230,'Talente &amp; Stuff'!AF:BG,9,FALSE)</f>
        <v>0</v>
      </c>
      <c r="L230" s="117">
        <f>VLOOKUP(C230,'Talente &amp; Stuff'!AF:BG,10,FALSE)</f>
        <v>0</v>
      </c>
      <c r="M230" s="121">
        <f>VLOOKUP(C230,'Talente &amp; Stuff'!AF:BG,11,FALSE)</f>
        <v>0</v>
      </c>
      <c r="N230" s="47">
        <f>VLOOKUP(C230,'Talente &amp; Stuff'!AF:BG,12,FALSE)</f>
        <v>0</v>
      </c>
      <c r="O230" s="3">
        <f>VLOOKUP(C230,'Talente &amp; Stuff'!AF:BG,13,FALSE)</f>
        <v>0</v>
      </c>
      <c r="P230" s="174">
        <f>VLOOKUP(C230,'Talente &amp; Stuff'!AF:BG,14,FALSE)</f>
        <v>0</v>
      </c>
      <c r="Q230" s="114">
        <f>VLOOKUP(C230,'Talente &amp; Stuff'!AF:BG,15,FALSE)</f>
        <v>0</v>
      </c>
      <c r="R230" s="117">
        <f>VLOOKUP(C230,'Talente &amp; Stuff'!AF:BG,16,FALSE)</f>
        <v>0</v>
      </c>
      <c r="S230" s="119">
        <f>VLOOKUP(C230,'Talente &amp; Stuff'!AF:BG,17,FALSE)</f>
        <v>0</v>
      </c>
      <c r="T230" s="119">
        <f>VLOOKUP(C230,'Talente &amp; Stuff'!AF:BG,18,FALSE)</f>
        <v>0</v>
      </c>
      <c r="U230" s="89">
        <f>VLOOKUP(C230,'Talente &amp; Stuff'!AF:BG,19,FALSE)</f>
        <v>0</v>
      </c>
      <c r="V230" s="47">
        <f>VLOOKUP(C230,'Talente &amp; Stuff'!AF:BG,20,FALSE)</f>
        <v>0</v>
      </c>
      <c r="W230" s="127">
        <f>VLOOKUP(C230,'Talente &amp; Stuff'!AF:BG,21,FALSE)</f>
        <v>0</v>
      </c>
      <c r="X230" s="127">
        <f>VLOOKUP(C230,'Talente &amp; Stuff'!AF:BG,22,FALSE)</f>
        <v>0</v>
      </c>
      <c r="Y230" s="165">
        <f t="shared" si="20"/>
        <v>0</v>
      </c>
      <c r="Z230" s="44">
        <f t="shared" si="21"/>
        <v>0</v>
      </c>
      <c r="AA230" s="125">
        <f>VLOOKUP(C230,'Talente &amp; Stuff'!AF:BG,25,FALSE)</f>
        <v>0</v>
      </c>
      <c r="AB230" s="160">
        <f>VLOOKUP(C230,'Talente &amp; Stuff'!AF:BG,26,FALSE)</f>
        <v>0</v>
      </c>
      <c r="AC230" s="127">
        <f>VLOOKUP(C230,'Talente &amp; Stuff'!AF:BG,27,FALSE)</f>
        <v>0</v>
      </c>
      <c r="AD230" s="125">
        <f>VLOOKUP(C230,'Talente &amp; Stuff'!AF:BG,28,FALSE)</f>
        <v>0</v>
      </c>
      <c r="AE230" s="28"/>
    </row>
    <row r="231" spans="2:31" s="148" customFormat="1" ht="15" hidden="1" customHeight="1" outlineLevel="2">
      <c r="B231" s="148">
        <v>19</v>
      </c>
      <c r="C231" s="177" t="str">
        <f>Attribute!C231</f>
        <v>---</v>
      </c>
      <c r="D231" s="86" t="str">
        <f>VLOOKUP(C231,'Talente &amp; Stuff'!AF:BG,2,FALSE)</f>
        <v>--/--/--</v>
      </c>
      <c r="E231" s="167" t="str">
        <f>VLOOKUP(C231,'Talente &amp; Stuff'!AF:BG,3,FALSE)</f>
        <v>-</v>
      </c>
      <c r="F231" s="120">
        <f>VLOOKUP(C231,'Talente &amp; Stuff'!AF:BG,4,FALSE)</f>
        <v>0</v>
      </c>
      <c r="G231" s="117">
        <f>VLOOKUP(C231,'Talente &amp; Stuff'!AF:BG,5,FALSE)</f>
        <v>0</v>
      </c>
      <c r="H231" s="117">
        <f>VLOOKUP(C231,'Talente &amp; Stuff'!AF:BG,6,FALSE)</f>
        <v>0</v>
      </c>
      <c r="I231" s="117">
        <f>VLOOKUP(C231,'Talente &amp; Stuff'!AF:BG,7,FALSE)</f>
        <v>0</v>
      </c>
      <c r="J231" s="117">
        <f>VLOOKUP(C231,'Talente &amp; Stuff'!AF:BG,8,FALSE)</f>
        <v>0</v>
      </c>
      <c r="K231" s="117">
        <f>VLOOKUP(C231,'Talente &amp; Stuff'!AF:BG,9,FALSE)</f>
        <v>0</v>
      </c>
      <c r="L231" s="117">
        <f>VLOOKUP(C231,'Talente &amp; Stuff'!AF:BG,10,FALSE)</f>
        <v>0</v>
      </c>
      <c r="M231" s="121">
        <f>VLOOKUP(C231,'Talente &amp; Stuff'!AF:BG,11,FALSE)</f>
        <v>0</v>
      </c>
      <c r="N231" s="47">
        <f>VLOOKUP(C231,'Talente &amp; Stuff'!AF:BG,12,FALSE)</f>
        <v>0</v>
      </c>
      <c r="O231" s="3">
        <f>VLOOKUP(C231,'Talente &amp; Stuff'!AF:BG,13,FALSE)</f>
        <v>0</v>
      </c>
      <c r="P231" s="174">
        <f>VLOOKUP(C231,'Talente &amp; Stuff'!AF:BG,14,FALSE)</f>
        <v>0</v>
      </c>
      <c r="Q231" s="114">
        <f>VLOOKUP(C231,'Talente &amp; Stuff'!AF:BG,15,FALSE)</f>
        <v>0</v>
      </c>
      <c r="R231" s="117">
        <f>VLOOKUP(C231,'Talente &amp; Stuff'!AF:BG,16,FALSE)</f>
        <v>0</v>
      </c>
      <c r="S231" s="119">
        <f>VLOOKUP(C231,'Talente &amp; Stuff'!AF:BG,17,FALSE)</f>
        <v>0</v>
      </c>
      <c r="T231" s="119">
        <f>VLOOKUP(C231,'Talente &amp; Stuff'!AF:BG,18,FALSE)</f>
        <v>0</v>
      </c>
      <c r="U231" s="89">
        <f>VLOOKUP(C231,'Talente &amp; Stuff'!AF:BG,19,FALSE)</f>
        <v>0</v>
      </c>
      <c r="V231" s="47">
        <f>VLOOKUP(C231,'Talente &amp; Stuff'!AF:BG,20,FALSE)</f>
        <v>0</v>
      </c>
      <c r="W231" s="127">
        <f>VLOOKUP(C231,'Talente &amp; Stuff'!AF:BG,21,FALSE)</f>
        <v>0</v>
      </c>
      <c r="X231" s="127">
        <f>VLOOKUP(C231,'Talente &amp; Stuff'!AF:BG,22,FALSE)</f>
        <v>0</v>
      </c>
      <c r="Y231" s="165">
        <f t="shared" si="20"/>
        <v>0</v>
      </c>
      <c r="Z231" s="44">
        <f t="shared" si="21"/>
        <v>0</v>
      </c>
      <c r="AA231" s="125">
        <f>VLOOKUP(C231,'Talente &amp; Stuff'!AF:BG,25,FALSE)</f>
        <v>0</v>
      </c>
      <c r="AB231" s="160">
        <f>VLOOKUP(C231,'Talente &amp; Stuff'!AF:BG,26,FALSE)</f>
        <v>0</v>
      </c>
      <c r="AC231" s="127">
        <f>VLOOKUP(C231,'Talente &amp; Stuff'!AF:BG,27,FALSE)</f>
        <v>0</v>
      </c>
      <c r="AD231" s="125">
        <f>VLOOKUP(C231,'Talente &amp; Stuff'!AF:BG,28,FALSE)</f>
        <v>0</v>
      </c>
      <c r="AE231" s="28"/>
    </row>
    <row r="232" spans="2:31" s="148" customFormat="1" ht="15" hidden="1" customHeight="1" outlineLevel="2">
      <c r="B232" s="148">
        <v>20</v>
      </c>
      <c r="C232" s="177" t="str">
        <f>Attribute!C232</f>
        <v>---</v>
      </c>
      <c r="D232" s="86" t="str">
        <f>VLOOKUP(C232,'Talente &amp; Stuff'!AF:BG,2,FALSE)</f>
        <v>--/--/--</v>
      </c>
      <c r="E232" s="167" t="str">
        <f>VLOOKUP(C232,'Talente &amp; Stuff'!AF:BG,3,FALSE)</f>
        <v>-</v>
      </c>
      <c r="F232" s="120">
        <f>VLOOKUP(C232,'Talente &amp; Stuff'!AF:BG,4,FALSE)</f>
        <v>0</v>
      </c>
      <c r="G232" s="117">
        <f>VLOOKUP(C232,'Talente &amp; Stuff'!AF:BG,5,FALSE)</f>
        <v>0</v>
      </c>
      <c r="H232" s="117">
        <f>VLOOKUP(C232,'Talente &amp; Stuff'!AF:BG,6,FALSE)</f>
        <v>0</v>
      </c>
      <c r="I232" s="117">
        <f>VLOOKUP(C232,'Talente &amp; Stuff'!AF:BG,7,FALSE)</f>
        <v>0</v>
      </c>
      <c r="J232" s="117">
        <f>VLOOKUP(C232,'Talente &amp; Stuff'!AF:BG,8,FALSE)</f>
        <v>0</v>
      </c>
      <c r="K232" s="117">
        <f>VLOOKUP(C232,'Talente &amp; Stuff'!AF:BG,9,FALSE)</f>
        <v>0</v>
      </c>
      <c r="L232" s="117">
        <f>VLOOKUP(C232,'Talente &amp; Stuff'!AF:BG,10,FALSE)</f>
        <v>0</v>
      </c>
      <c r="M232" s="121">
        <f>VLOOKUP(C232,'Talente &amp; Stuff'!AF:BG,11,FALSE)</f>
        <v>0</v>
      </c>
      <c r="N232" s="47">
        <f>VLOOKUP(C232,'Talente &amp; Stuff'!AF:BG,12,FALSE)</f>
        <v>0</v>
      </c>
      <c r="O232" s="3">
        <f>VLOOKUP(C232,'Talente &amp; Stuff'!AF:BG,13,FALSE)</f>
        <v>0</v>
      </c>
      <c r="P232" s="174">
        <f>VLOOKUP(C232,'Talente &amp; Stuff'!AF:BG,14,FALSE)</f>
        <v>0</v>
      </c>
      <c r="Q232" s="114">
        <f>VLOOKUP(C232,'Talente &amp; Stuff'!AF:BG,15,FALSE)</f>
        <v>0</v>
      </c>
      <c r="R232" s="117">
        <f>VLOOKUP(C232,'Talente &amp; Stuff'!AF:BG,16,FALSE)</f>
        <v>0</v>
      </c>
      <c r="S232" s="119">
        <f>VLOOKUP(C232,'Talente &amp; Stuff'!AF:BG,17,FALSE)</f>
        <v>0</v>
      </c>
      <c r="T232" s="119">
        <f>VLOOKUP(C232,'Talente &amp; Stuff'!AF:BG,18,FALSE)</f>
        <v>0</v>
      </c>
      <c r="U232" s="89">
        <f>VLOOKUP(C232,'Talente &amp; Stuff'!AF:BG,19,FALSE)</f>
        <v>0</v>
      </c>
      <c r="V232" s="47">
        <f>VLOOKUP(C232,'Talente &amp; Stuff'!AF:BG,20,FALSE)</f>
        <v>0</v>
      </c>
      <c r="W232" s="127">
        <f>VLOOKUP(C232,'Talente &amp; Stuff'!AF:BG,21,FALSE)</f>
        <v>0</v>
      </c>
      <c r="X232" s="127">
        <f>VLOOKUP(C232,'Talente &amp; Stuff'!AF:BG,22,FALSE)</f>
        <v>0</v>
      </c>
      <c r="Y232" s="165">
        <f t="shared" si="20"/>
        <v>0</v>
      </c>
      <c r="Z232" s="44">
        <f t="shared" si="21"/>
        <v>0</v>
      </c>
      <c r="AA232" s="125">
        <f>VLOOKUP(C232,'Talente &amp; Stuff'!AF:BG,25,FALSE)</f>
        <v>0</v>
      </c>
      <c r="AB232" s="160">
        <f>VLOOKUP(C232,'Talente &amp; Stuff'!AF:BG,26,FALSE)</f>
        <v>0</v>
      </c>
      <c r="AC232" s="127">
        <f>VLOOKUP(C232,'Talente &amp; Stuff'!AF:BG,27,FALSE)</f>
        <v>0</v>
      </c>
      <c r="AD232" s="125">
        <f>VLOOKUP(C232,'Talente &amp; Stuff'!AF:BG,28,FALSE)</f>
        <v>0</v>
      </c>
      <c r="AE232" s="28"/>
    </row>
    <row r="233" spans="2:31" s="148" customFormat="1" ht="15" hidden="1" customHeight="1" outlineLevel="2">
      <c r="B233" s="148">
        <v>21</v>
      </c>
      <c r="C233" s="177" t="str">
        <f>Attribute!C233</f>
        <v>---</v>
      </c>
      <c r="D233" s="86" t="str">
        <f>VLOOKUP(C233,'Talente &amp; Stuff'!AF:BG,2,FALSE)</f>
        <v>--/--/--</v>
      </c>
      <c r="E233" s="167" t="str">
        <f>VLOOKUP(C233,'Talente &amp; Stuff'!AF:BG,3,FALSE)</f>
        <v>-</v>
      </c>
      <c r="F233" s="120">
        <f>VLOOKUP(C233,'Talente &amp; Stuff'!AF:BG,4,FALSE)</f>
        <v>0</v>
      </c>
      <c r="G233" s="117">
        <f>VLOOKUP(C233,'Talente &amp; Stuff'!AF:BG,5,FALSE)</f>
        <v>0</v>
      </c>
      <c r="H233" s="117">
        <f>VLOOKUP(C233,'Talente &amp; Stuff'!AF:BG,6,FALSE)</f>
        <v>0</v>
      </c>
      <c r="I233" s="117">
        <f>VLOOKUP(C233,'Talente &amp; Stuff'!AF:BG,7,FALSE)</f>
        <v>0</v>
      </c>
      <c r="J233" s="117">
        <f>VLOOKUP(C233,'Talente &amp; Stuff'!AF:BG,8,FALSE)</f>
        <v>0</v>
      </c>
      <c r="K233" s="117">
        <f>VLOOKUP(C233,'Talente &amp; Stuff'!AF:BG,9,FALSE)</f>
        <v>0</v>
      </c>
      <c r="L233" s="117">
        <f>VLOOKUP(C233,'Talente &amp; Stuff'!AF:BG,10,FALSE)</f>
        <v>0</v>
      </c>
      <c r="M233" s="121">
        <f>VLOOKUP(C233,'Talente &amp; Stuff'!AF:BG,11,FALSE)</f>
        <v>0</v>
      </c>
      <c r="N233" s="47">
        <f>VLOOKUP(C233,'Talente &amp; Stuff'!AF:BG,12,FALSE)</f>
        <v>0</v>
      </c>
      <c r="O233" s="3">
        <f>VLOOKUP(C233,'Talente &amp; Stuff'!AF:BG,13,FALSE)</f>
        <v>0</v>
      </c>
      <c r="P233" s="174">
        <f>VLOOKUP(C233,'Talente &amp; Stuff'!AF:BG,14,FALSE)</f>
        <v>0</v>
      </c>
      <c r="Q233" s="114">
        <f>VLOOKUP(C233,'Talente &amp; Stuff'!AF:BG,15,FALSE)</f>
        <v>0</v>
      </c>
      <c r="R233" s="117">
        <f>VLOOKUP(C233,'Talente &amp; Stuff'!AF:BG,16,FALSE)</f>
        <v>0</v>
      </c>
      <c r="S233" s="119">
        <f>VLOOKUP(C233,'Talente &amp; Stuff'!AF:BG,17,FALSE)</f>
        <v>0</v>
      </c>
      <c r="T233" s="119">
        <f>VLOOKUP(C233,'Talente &amp; Stuff'!AF:BG,18,FALSE)</f>
        <v>0</v>
      </c>
      <c r="U233" s="89">
        <f>VLOOKUP(C233,'Talente &amp; Stuff'!AF:BG,19,FALSE)</f>
        <v>0</v>
      </c>
      <c r="V233" s="47">
        <f>VLOOKUP(C233,'Talente &amp; Stuff'!AF:BG,20,FALSE)</f>
        <v>0</v>
      </c>
      <c r="W233" s="127">
        <f>VLOOKUP(C233,'Talente &amp; Stuff'!AF:BG,21,FALSE)</f>
        <v>0</v>
      </c>
      <c r="X233" s="127">
        <f>VLOOKUP(C233,'Talente &amp; Stuff'!AF:BG,22,FALSE)</f>
        <v>0</v>
      </c>
      <c r="Y233" s="165">
        <f t="shared" si="20"/>
        <v>0</v>
      </c>
      <c r="Z233" s="44">
        <f t="shared" si="21"/>
        <v>0</v>
      </c>
      <c r="AA233" s="125">
        <f>VLOOKUP(C233,'Talente &amp; Stuff'!AF:BG,25,FALSE)</f>
        <v>0</v>
      </c>
      <c r="AB233" s="160">
        <f>VLOOKUP(C233,'Talente &amp; Stuff'!AF:BG,26,FALSE)</f>
        <v>0</v>
      </c>
      <c r="AC233" s="127">
        <f>VLOOKUP(C233,'Talente &amp; Stuff'!AF:BG,27,FALSE)</f>
        <v>0</v>
      </c>
      <c r="AD233" s="125">
        <f>VLOOKUP(C233,'Talente &amp; Stuff'!AF:BG,28,FALSE)</f>
        <v>0</v>
      </c>
      <c r="AE233" s="28"/>
    </row>
    <row r="234" spans="2:31" s="148" customFormat="1" ht="15" hidden="1" customHeight="1" outlineLevel="2">
      <c r="B234" s="148">
        <v>22</v>
      </c>
      <c r="C234" s="177" t="str">
        <f>Attribute!C234</f>
        <v>---</v>
      </c>
      <c r="D234" s="86" t="str">
        <f>VLOOKUP(C234,'Talente &amp; Stuff'!AF:BG,2,FALSE)</f>
        <v>--/--/--</v>
      </c>
      <c r="E234" s="167" t="str">
        <f>VLOOKUP(C234,'Talente &amp; Stuff'!AF:BG,3,FALSE)</f>
        <v>-</v>
      </c>
      <c r="F234" s="120">
        <f>VLOOKUP(C234,'Talente &amp; Stuff'!AF:BG,4,FALSE)</f>
        <v>0</v>
      </c>
      <c r="G234" s="117">
        <f>VLOOKUP(C234,'Talente &amp; Stuff'!AF:BG,5,FALSE)</f>
        <v>0</v>
      </c>
      <c r="H234" s="117">
        <f>VLOOKUP(C234,'Talente &amp; Stuff'!AF:BG,6,FALSE)</f>
        <v>0</v>
      </c>
      <c r="I234" s="117">
        <f>VLOOKUP(C234,'Talente &amp; Stuff'!AF:BG,7,FALSE)</f>
        <v>0</v>
      </c>
      <c r="J234" s="117">
        <f>VLOOKUP(C234,'Talente &amp; Stuff'!AF:BG,8,FALSE)</f>
        <v>0</v>
      </c>
      <c r="K234" s="117">
        <f>VLOOKUP(C234,'Talente &amp; Stuff'!AF:BG,9,FALSE)</f>
        <v>0</v>
      </c>
      <c r="L234" s="117">
        <f>VLOOKUP(C234,'Talente &amp; Stuff'!AF:BG,10,FALSE)</f>
        <v>0</v>
      </c>
      <c r="M234" s="121">
        <f>VLOOKUP(C234,'Talente &amp; Stuff'!AF:BG,11,FALSE)</f>
        <v>0</v>
      </c>
      <c r="N234" s="47">
        <f>VLOOKUP(C234,'Talente &amp; Stuff'!AF:BG,12,FALSE)</f>
        <v>0</v>
      </c>
      <c r="O234" s="3">
        <f>VLOOKUP(C234,'Talente &amp; Stuff'!AF:BG,13,FALSE)</f>
        <v>0</v>
      </c>
      <c r="P234" s="174">
        <f>VLOOKUP(C234,'Talente &amp; Stuff'!AF:BG,14,FALSE)</f>
        <v>0</v>
      </c>
      <c r="Q234" s="114">
        <f>VLOOKUP(C234,'Talente &amp; Stuff'!AF:BG,15,FALSE)</f>
        <v>0</v>
      </c>
      <c r="R234" s="117">
        <f>VLOOKUP(C234,'Talente &amp; Stuff'!AF:BG,16,FALSE)</f>
        <v>0</v>
      </c>
      <c r="S234" s="119">
        <f>VLOOKUP(C234,'Talente &amp; Stuff'!AF:BG,17,FALSE)</f>
        <v>0</v>
      </c>
      <c r="T234" s="119">
        <f>VLOOKUP(C234,'Talente &amp; Stuff'!AF:BG,18,FALSE)</f>
        <v>0</v>
      </c>
      <c r="U234" s="89">
        <f>VLOOKUP(C234,'Talente &amp; Stuff'!AF:BG,19,FALSE)</f>
        <v>0</v>
      </c>
      <c r="V234" s="47">
        <f>VLOOKUP(C234,'Talente &amp; Stuff'!AF:BG,20,FALSE)</f>
        <v>0</v>
      </c>
      <c r="W234" s="127">
        <f>VLOOKUP(C234,'Talente &amp; Stuff'!AF:BG,21,FALSE)</f>
        <v>0</v>
      </c>
      <c r="X234" s="127">
        <f>VLOOKUP(C234,'Talente &amp; Stuff'!AF:BG,22,FALSE)</f>
        <v>0</v>
      </c>
      <c r="Y234" s="165">
        <f t="shared" si="20"/>
        <v>0</v>
      </c>
      <c r="Z234" s="44">
        <f t="shared" si="21"/>
        <v>0</v>
      </c>
      <c r="AA234" s="125">
        <f>VLOOKUP(C234,'Talente &amp; Stuff'!AF:BG,25,FALSE)</f>
        <v>0</v>
      </c>
      <c r="AB234" s="160">
        <f>VLOOKUP(C234,'Talente &amp; Stuff'!AF:BG,26,FALSE)</f>
        <v>0</v>
      </c>
      <c r="AC234" s="127">
        <f>VLOOKUP(C234,'Talente &amp; Stuff'!AF:BG,27,FALSE)</f>
        <v>0</v>
      </c>
      <c r="AD234" s="125">
        <f>VLOOKUP(C234,'Talente &amp; Stuff'!AF:BG,28,FALSE)</f>
        <v>0</v>
      </c>
      <c r="AE234" s="28"/>
    </row>
    <row r="235" spans="2:31" s="148" customFormat="1" ht="15" hidden="1" customHeight="1" outlineLevel="2">
      <c r="B235" s="148">
        <v>23</v>
      </c>
      <c r="C235" s="177" t="str">
        <f>Attribute!C235</f>
        <v>---</v>
      </c>
      <c r="D235" s="86" t="str">
        <f>VLOOKUP(C235,'Talente &amp; Stuff'!AF:BG,2,FALSE)</f>
        <v>--/--/--</v>
      </c>
      <c r="E235" s="167" t="str">
        <f>VLOOKUP(C235,'Talente &amp; Stuff'!AF:BG,3,FALSE)</f>
        <v>-</v>
      </c>
      <c r="F235" s="120">
        <f>VLOOKUP(C235,'Talente &amp; Stuff'!AF:BG,4,FALSE)</f>
        <v>0</v>
      </c>
      <c r="G235" s="117">
        <f>VLOOKUP(C235,'Talente &amp; Stuff'!AF:BG,5,FALSE)</f>
        <v>0</v>
      </c>
      <c r="H235" s="117">
        <f>VLOOKUP(C235,'Talente &amp; Stuff'!AF:BG,6,FALSE)</f>
        <v>0</v>
      </c>
      <c r="I235" s="117">
        <f>VLOOKUP(C235,'Talente &amp; Stuff'!AF:BG,7,FALSE)</f>
        <v>0</v>
      </c>
      <c r="J235" s="117">
        <f>VLOOKUP(C235,'Talente &amp; Stuff'!AF:BG,8,FALSE)</f>
        <v>0</v>
      </c>
      <c r="K235" s="117">
        <f>VLOOKUP(C235,'Talente &amp; Stuff'!AF:BG,9,FALSE)</f>
        <v>0</v>
      </c>
      <c r="L235" s="117">
        <f>VLOOKUP(C235,'Talente &amp; Stuff'!AF:BG,10,FALSE)</f>
        <v>0</v>
      </c>
      <c r="M235" s="121">
        <f>VLOOKUP(C235,'Talente &amp; Stuff'!AF:BG,11,FALSE)</f>
        <v>0</v>
      </c>
      <c r="N235" s="47">
        <f>VLOOKUP(C235,'Talente &amp; Stuff'!AF:BG,12,FALSE)</f>
        <v>0</v>
      </c>
      <c r="O235" s="3">
        <f>VLOOKUP(C235,'Talente &amp; Stuff'!AF:BG,13,FALSE)</f>
        <v>0</v>
      </c>
      <c r="P235" s="174">
        <f>VLOOKUP(C235,'Talente &amp; Stuff'!AF:BG,14,FALSE)</f>
        <v>0</v>
      </c>
      <c r="Q235" s="114">
        <f>VLOOKUP(C235,'Talente &amp; Stuff'!AF:BG,15,FALSE)</f>
        <v>0</v>
      </c>
      <c r="R235" s="117">
        <f>VLOOKUP(C235,'Talente &amp; Stuff'!AF:BG,16,FALSE)</f>
        <v>0</v>
      </c>
      <c r="S235" s="119">
        <f>VLOOKUP(C235,'Talente &amp; Stuff'!AF:BG,17,FALSE)</f>
        <v>0</v>
      </c>
      <c r="T235" s="119">
        <f>VLOOKUP(C235,'Talente &amp; Stuff'!AF:BG,18,FALSE)</f>
        <v>0</v>
      </c>
      <c r="U235" s="89">
        <f>VLOOKUP(C235,'Talente &amp; Stuff'!AF:BG,19,FALSE)</f>
        <v>0</v>
      </c>
      <c r="V235" s="47">
        <f>VLOOKUP(C235,'Talente &amp; Stuff'!AF:BG,20,FALSE)</f>
        <v>0</v>
      </c>
      <c r="W235" s="127">
        <f>VLOOKUP(C235,'Talente &amp; Stuff'!AF:BG,21,FALSE)</f>
        <v>0</v>
      </c>
      <c r="X235" s="127">
        <f>VLOOKUP(C235,'Talente &amp; Stuff'!AF:BG,22,FALSE)</f>
        <v>0</v>
      </c>
      <c r="Y235" s="165">
        <f t="shared" si="20"/>
        <v>0</v>
      </c>
      <c r="Z235" s="44">
        <f t="shared" si="21"/>
        <v>0</v>
      </c>
      <c r="AA235" s="125">
        <f>VLOOKUP(C235,'Talente &amp; Stuff'!AF:BG,25,FALSE)</f>
        <v>0</v>
      </c>
      <c r="AB235" s="160">
        <f>VLOOKUP(C235,'Talente &amp; Stuff'!AF:BG,26,FALSE)</f>
        <v>0</v>
      </c>
      <c r="AC235" s="127">
        <f>VLOOKUP(C235,'Talente &amp; Stuff'!AF:BG,27,FALSE)</f>
        <v>0</v>
      </c>
      <c r="AD235" s="125">
        <f>VLOOKUP(C235,'Talente &amp; Stuff'!AF:BG,28,FALSE)</f>
        <v>0</v>
      </c>
      <c r="AE235" s="28"/>
    </row>
    <row r="236" spans="2:31" s="148" customFormat="1" ht="15" hidden="1" customHeight="1" outlineLevel="2">
      <c r="B236" s="148">
        <v>24</v>
      </c>
      <c r="C236" s="177" t="str">
        <f>Attribute!C236</f>
        <v>---</v>
      </c>
      <c r="D236" s="86" t="str">
        <f>VLOOKUP(C236,'Talente &amp; Stuff'!AF:BG,2,FALSE)</f>
        <v>--/--/--</v>
      </c>
      <c r="E236" s="167" t="str">
        <f>VLOOKUP(C236,'Talente &amp; Stuff'!AF:BG,3,FALSE)</f>
        <v>-</v>
      </c>
      <c r="F236" s="120">
        <f>VLOOKUP(C236,'Talente &amp; Stuff'!AF:BG,4,FALSE)</f>
        <v>0</v>
      </c>
      <c r="G236" s="117">
        <f>VLOOKUP(C236,'Talente &amp; Stuff'!AF:BG,5,FALSE)</f>
        <v>0</v>
      </c>
      <c r="H236" s="117">
        <f>VLOOKUP(C236,'Talente &amp; Stuff'!AF:BG,6,FALSE)</f>
        <v>0</v>
      </c>
      <c r="I236" s="117">
        <f>VLOOKUP(C236,'Talente &amp; Stuff'!AF:BG,7,FALSE)</f>
        <v>0</v>
      </c>
      <c r="J236" s="117">
        <f>VLOOKUP(C236,'Talente &amp; Stuff'!AF:BG,8,FALSE)</f>
        <v>0</v>
      </c>
      <c r="K236" s="117">
        <f>VLOOKUP(C236,'Talente &amp; Stuff'!AF:BG,9,FALSE)</f>
        <v>0</v>
      </c>
      <c r="L236" s="117">
        <f>VLOOKUP(C236,'Talente &amp; Stuff'!AF:BG,10,FALSE)</f>
        <v>0</v>
      </c>
      <c r="M236" s="121">
        <f>VLOOKUP(C236,'Talente &amp; Stuff'!AF:BG,11,FALSE)</f>
        <v>0</v>
      </c>
      <c r="N236" s="47">
        <f>VLOOKUP(C236,'Talente &amp; Stuff'!AF:BG,12,FALSE)</f>
        <v>0</v>
      </c>
      <c r="O236" s="3">
        <f>VLOOKUP(C236,'Talente &amp; Stuff'!AF:BG,13,FALSE)</f>
        <v>0</v>
      </c>
      <c r="P236" s="174">
        <f>VLOOKUP(C236,'Talente &amp; Stuff'!AF:BG,14,FALSE)</f>
        <v>0</v>
      </c>
      <c r="Q236" s="114">
        <f>VLOOKUP(C236,'Talente &amp; Stuff'!AF:BG,15,FALSE)</f>
        <v>0</v>
      </c>
      <c r="R236" s="117">
        <f>VLOOKUP(C236,'Talente &amp; Stuff'!AF:BG,16,FALSE)</f>
        <v>0</v>
      </c>
      <c r="S236" s="119">
        <f>VLOOKUP(C236,'Talente &amp; Stuff'!AF:BG,17,FALSE)</f>
        <v>0</v>
      </c>
      <c r="T236" s="119">
        <f>VLOOKUP(C236,'Talente &amp; Stuff'!AF:BG,18,FALSE)</f>
        <v>0</v>
      </c>
      <c r="U236" s="89">
        <f>VLOOKUP(C236,'Talente &amp; Stuff'!AF:BG,19,FALSE)</f>
        <v>0</v>
      </c>
      <c r="V236" s="47">
        <f>VLOOKUP(C236,'Talente &amp; Stuff'!AF:BG,20,FALSE)</f>
        <v>0</v>
      </c>
      <c r="W236" s="127">
        <f>VLOOKUP(C236,'Talente &amp; Stuff'!AF:BG,21,FALSE)</f>
        <v>0</v>
      </c>
      <c r="X236" s="127">
        <f>VLOOKUP(C236,'Talente &amp; Stuff'!AF:BG,22,FALSE)</f>
        <v>0</v>
      </c>
      <c r="Y236" s="165">
        <f t="shared" si="20"/>
        <v>0</v>
      </c>
      <c r="Z236" s="44">
        <f t="shared" si="21"/>
        <v>0</v>
      </c>
      <c r="AA236" s="125">
        <f>VLOOKUP(C236,'Talente &amp; Stuff'!AF:BG,25,FALSE)</f>
        <v>0</v>
      </c>
      <c r="AB236" s="160">
        <f>VLOOKUP(C236,'Talente &amp; Stuff'!AF:BG,26,FALSE)</f>
        <v>0</v>
      </c>
      <c r="AC236" s="127">
        <f>VLOOKUP(C236,'Talente &amp; Stuff'!AF:BG,27,FALSE)</f>
        <v>0</v>
      </c>
      <c r="AD236" s="125">
        <f>VLOOKUP(C236,'Talente &amp; Stuff'!AF:BG,28,FALSE)</f>
        <v>0</v>
      </c>
      <c r="AE236" s="28"/>
    </row>
    <row r="237" spans="2:31" s="148" customFormat="1" ht="15" hidden="1" customHeight="1" outlineLevel="2">
      <c r="B237" s="148">
        <v>25</v>
      </c>
      <c r="C237" s="177" t="str">
        <f>Attribute!C237</f>
        <v>---</v>
      </c>
      <c r="D237" s="86" t="str">
        <f>VLOOKUP(C237,'Talente &amp; Stuff'!AF:BG,2,FALSE)</f>
        <v>--/--/--</v>
      </c>
      <c r="E237" s="167" t="str">
        <f>VLOOKUP(C237,'Talente &amp; Stuff'!AF:BG,3,FALSE)</f>
        <v>-</v>
      </c>
      <c r="F237" s="120">
        <f>VLOOKUP(C237,'Talente &amp; Stuff'!AF:BG,4,FALSE)</f>
        <v>0</v>
      </c>
      <c r="G237" s="117">
        <f>VLOOKUP(C237,'Talente &amp; Stuff'!AF:BG,5,FALSE)</f>
        <v>0</v>
      </c>
      <c r="H237" s="117">
        <f>VLOOKUP(C237,'Talente &amp; Stuff'!AF:BG,6,FALSE)</f>
        <v>0</v>
      </c>
      <c r="I237" s="117">
        <f>VLOOKUP(C237,'Talente &amp; Stuff'!AF:BG,7,FALSE)</f>
        <v>0</v>
      </c>
      <c r="J237" s="117">
        <f>VLOOKUP(C237,'Talente &amp; Stuff'!AF:BG,8,FALSE)</f>
        <v>0</v>
      </c>
      <c r="K237" s="117">
        <f>VLOOKUP(C237,'Talente &amp; Stuff'!AF:BG,9,FALSE)</f>
        <v>0</v>
      </c>
      <c r="L237" s="117">
        <f>VLOOKUP(C237,'Talente &amp; Stuff'!AF:BG,10,FALSE)</f>
        <v>0</v>
      </c>
      <c r="M237" s="121">
        <f>VLOOKUP(C237,'Talente &amp; Stuff'!AF:BG,11,FALSE)</f>
        <v>0</v>
      </c>
      <c r="N237" s="47">
        <f>VLOOKUP(C237,'Talente &amp; Stuff'!AF:BG,12,FALSE)</f>
        <v>0</v>
      </c>
      <c r="O237" s="3">
        <f>VLOOKUP(C237,'Talente &amp; Stuff'!AF:BG,13,FALSE)</f>
        <v>0</v>
      </c>
      <c r="P237" s="174">
        <f>VLOOKUP(C237,'Talente &amp; Stuff'!AF:BG,14,FALSE)</f>
        <v>0</v>
      </c>
      <c r="Q237" s="114">
        <f>VLOOKUP(C237,'Talente &amp; Stuff'!AF:BG,15,FALSE)</f>
        <v>0</v>
      </c>
      <c r="R237" s="117">
        <f>VLOOKUP(C237,'Talente &amp; Stuff'!AF:BG,16,FALSE)</f>
        <v>0</v>
      </c>
      <c r="S237" s="119">
        <f>VLOOKUP(C237,'Talente &amp; Stuff'!AF:BG,17,FALSE)</f>
        <v>0</v>
      </c>
      <c r="T237" s="119">
        <f>VLOOKUP(C237,'Talente &amp; Stuff'!AF:BG,18,FALSE)</f>
        <v>0</v>
      </c>
      <c r="U237" s="89">
        <f>VLOOKUP(C237,'Talente &amp; Stuff'!AF:BG,19,FALSE)</f>
        <v>0</v>
      </c>
      <c r="V237" s="47">
        <f>VLOOKUP(C237,'Talente &amp; Stuff'!AF:BG,20,FALSE)</f>
        <v>0</v>
      </c>
      <c r="W237" s="127">
        <f>VLOOKUP(C237,'Talente &amp; Stuff'!AF:BG,21,FALSE)</f>
        <v>0</v>
      </c>
      <c r="X237" s="127">
        <f>VLOOKUP(C237,'Talente &amp; Stuff'!AF:BG,22,FALSE)</f>
        <v>0</v>
      </c>
      <c r="Y237" s="165">
        <f t="shared" si="20"/>
        <v>0</v>
      </c>
      <c r="Z237" s="44">
        <f t="shared" si="21"/>
        <v>0</v>
      </c>
      <c r="AA237" s="125">
        <f>VLOOKUP(C237,'Talente &amp; Stuff'!AF:BG,25,FALSE)</f>
        <v>0</v>
      </c>
      <c r="AB237" s="160">
        <f>VLOOKUP(C237,'Talente &amp; Stuff'!AF:BG,26,FALSE)</f>
        <v>0</v>
      </c>
      <c r="AC237" s="127">
        <f>VLOOKUP(C237,'Talente &amp; Stuff'!AF:BG,27,FALSE)</f>
        <v>0</v>
      </c>
      <c r="AD237" s="125">
        <f>VLOOKUP(C237,'Talente &amp; Stuff'!AF:BG,28,FALSE)</f>
        <v>0</v>
      </c>
      <c r="AE237" s="28"/>
    </row>
    <row r="238" spans="2:31" s="148" customFormat="1" ht="15" hidden="1" customHeight="1" outlineLevel="2">
      <c r="B238" s="148">
        <v>26</v>
      </c>
      <c r="C238" s="177" t="str">
        <f>Attribute!C238</f>
        <v>---</v>
      </c>
      <c r="D238" s="86" t="str">
        <f>VLOOKUP(C238,'Talente &amp; Stuff'!AF:BG,2,FALSE)</f>
        <v>--/--/--</v>
      </c>
      <c r="E238" s="167" t="str">
        <f>VLOOKUP(C238,'Talente &amp; Stuff'!AF:BG,3,FALSE)</f>
        <v>-</v>
      </c>
      <c r="F238" s="120">
        <f>VLOOKUP(C238,'Talente &amp; Stuff'!AF:BG,4,FALSE)</f>
        <v>0</v>
      </c>
      <c r="G238" s="117">
        <f>VLOOKUP(C238,'Talente &amp; Stuff'!AF:BG,5,FALSE)</f>
        <v>0</v>
      </c>
      <c r="H238" s="117">
        <f>VLOOKUP(C238,'Talente &amp; Stuff'!AF:BG,6,FALSE)</f>
        <v>0</v>
      </c>
      <c r="I238" s="117">
        <f>VLOOKUP(C238,'Talente &amp; Stuff'!AF:BG,7,FALSE)</f>
        <v>0</v>
      </c>
      <c r="J238" s="117">
        <f>VLOOKUP(C238,'Talente &amp; Stuff'!AF:BG,8,FALSE)</f>
        <v>0</v>
      </c>
      <c r="K238" s="117">
        <f>VLOOKUP(C238,'Talente &amp; Stuff'!AF:BG,9,FALSE)</f>
        <v>0</v>
      </c>
      <c r="L238" s="117">
        <f>VLOOKUP(C238,'Talente &amp; Stuff'!AF:BG,10,FALSE)</f>
        <v>0</v>
      </c>
      <c r="M238" s="121">
        <f>VLOOKUP(C238,'Talente &amp; Stuff'!AF:BG,11,FALSE)</f>
        <v>0</v>
      </c>
      <c r="N238" s="47">
        <f>VLOOKUP(C238,'Talente &amp; Stuff'!AF:BG,12,FALSE)</f>
        <v>0</v>
      </c>
      <c r="O238" s="3">
        <f>VLOOKUP(C238,'Talente &amp; Stuff'!AF:BG,13,FALSE)</f>
        <v>0</v>
      </c>
      <c r="P238" s="174">
        <f>VLOOKUP(C238,'Talente &amp; Stuff'!AF:BG,14,FALSE)</f>
        <v>0</v>
      </c>
      <c r="Q238" s="114">
        <f>VLOOKUP(C238,'Talente &amp; Stuff'!AF:BG,15,FALSE)</f>
        <v>0</v>
      </c>
      <c r="R238" s="117">
        <f>VLOOKUP(C238,'Talente &amp; Stuff'!AF:BG,16,FALSE)</f>
        <v>0</v>
      </c>
      <c r="S238" s="119">
        <f>VLOOKUP(C238,'Talente &amp; Stuff'!AF:BG,17,FALSE)</f>
        <v>0</v>
      </c>
      <c r="T238" s="119">
        <f>VLOOKUP(C238,'Talente &amp; Stuff'!AF:BG,18,FALSE)</f>
        <v>0</v>
      </c>
      <c r="U238" s="89">
        <f>VLOOKUP(C238,'Talente &amp; Stuff'!AF:BG,19,FALSE)</f>
        <v>0</v>
      </c>
      <c r="V238" s="47">
        <f>VLOOKUP(C238,'Talente &amp; Stuff'!AF:BG,20,FALSE)</f>
        <v>0</v>
      </c>
      <c r="W238" s="127">
        <f>VLOOKUP(C238,'Talente &amp; Stuff'!AF:BG,21,FALSE)</f>
        <v>0</v>
      </c>
      <c r="X238" s="127">
        <f>VLOOKUP(C238,'Talente &amp; Stuff'!AF:BG,22,FALSE)</f>
        <v>0</v>
      </c>
      <c r="Y238" s="165">
        <f t="shared" si="20"/>
        <v>0</v>
      </c>
      <c r="Z238" s="44">
        <f t="shared" si="21"/>
        <v>0</v>
      </c>
      <c r="AA238" s="125">
        <f>VLOOKUP(C238,'Talente &amp; Stuff'!AF:BG,25,FALSE)</f>
        <v>0</v>
      </c>
      <c r="AB238" s="160">
        <f>VLOOKUP(C238,'Talente &amp; Stuff'!AF:BG,26,FALSE)</f>
        <v>0</v>
      </c>
      <c r="AC238" s="127">
        <f>VLOOKUP(C238,'Talente &amp; Stuff'!AF:BG,27,FALSE)</f>
        <v>0</v>
      </c>
      <c r="AD238" s="125">
        <f>VLOOKUP(C238,'Talente &amp; Stuff'!AF:BG,28,FALSE)</f>
        <v>0</v>
      </c>
      <c r="AE238" s="28"/>
    </row>
    <row r="239" spans="2:31" ht="15" hidden="1" customHeight="1" outlineLevel="2">
      <c r="B239" s="148">
        <v>27</v>
      </c>
      <c r="C239" s="177" t="str">
        <f>Attribute!C239</f>
        <v>---</v>
      </c>
      <c r="D239" s="86" t="str">
        <f>VLOOKUP(C239,'Talente &amp; Stuff'!AF:BG,2,FALSE)</f>
        <v>--/--/--</v>
      </c>
      <c r="E239" s="167" t="str">
        <f>VLOOKUP(C239,'Talente &amp; Stuff'!AF:BG,3,FALSE)</f>
        <v>-</v>
      </c>
      <c r="F239" s="120">
        <f>VLOOKUP(C239,'Talente &amp; Stuff'!AF:BG,4,FALSE)</f>
        <v>0</v>
      </c>
      <c r="G239" s="117">
        <f>VLOOKUP(C239,'Talente &amp; Stuff'!AF:BG,5,FALSE)</f>
        <v>0</v>
      </c>
      <c r="H239" s="117">
        <f>VLOOKUP(C239,'Talente &amp; Stuff'!AF:BG,6,FALSE)</f>
        <v>0</v>
      </c>
      <c r="I239" s="117">
        <f>VLOOKUP(C239,'Talente &amp; Stuff'!AF:BG,7,FALSE)</f>
        <v>0</v>
      </c>
      <c r="J239" s="117">
        <f>VLOOKUP(C239,'Talente &amp; Stuff'!AF:BG,8,FALSE)</f>
        <v>0</v>
      </c>
      <c r="K239" s="117">
        <f>VLOOKUP(C239,'Talente &amp; Stuff'!AF:BG,9,FALSE)</f>
        <v>0</v>
      </c>
      <c r="L239" s="117">
        <f>VLOOKUP(C239,'Talente &amp; Stuff'!AF:BG,10,FALSE)</f>
        <v>0</v>
      </c>
      <c r="M239" s="121">
        <f>VLOOKUP(C239,'Talente &amp; Stuff'!AF:BG,11,FALSE)</f>
        <v>0</v>
      </c>
      <c r="N239" s="47">
        <f>VLOOKUP(C239,'Talente &amp; Stuff'!AF:BG,12,FALSE)</f>
        <v>0</v>
      </c>
      <c r="O239" s="3">
        <f>VLOOKUP(C239,'Talente &amp; Stuff'!AF:BG,13,FALSE)</f>
        <v>0</v>
      </c>
      <c r="P239" s="174">
        <f>VLOOKUP(C239,'Talente &amp; Stuff'!AF:BG,14,FALSE)</f>
        <v>0</v>
      </c>
      <c r="Q239" s="114">
        <f>VLOOKUP(C239,'Talente &amp; Stuff'!AF:BG,15,FALSE)</f>
        <v>0</v>
      </c>
      <c r="R239" s="117">
        <f>VLOOKUP(C239,'Talente &amp; Stuff'!AF:BG,16,FALSE)</f>
        <v>0</v>
      </c>
      <c r="S239" s="119">
        <f>VLOOKUP(C239,'Talente &amp; Stuff'!AF:BG,17,FALSE)</f>
        <v>0</v>
      </c>
      <c r="T239" s="119">
        <f>VLOOKUP(C239,'Talente &amp; Stuff'!AF:BG,18,FALSE)</f>
        <v>0</v>
      </c>
      <c r="U239" s="89">
        <f>VLOOKUP(C239,'Talente &amp; Stuff'!AF:BG,19,FALSE)</f>
        <v>0</v>
      </c>
      <c r="V239" s="47">
        <f>VLOOKUP(C239,'Talente &amp; Stuff'!AF:BG,20,FALSE)</f>
        <v>0</v>
      </c>
      <c r="W239" s="127">
        <f>VLOOKUP(C239,'Talente &amp; Stuff'!AF:BG,21,FALSE)</f>
        <v>0</v>
      </c>
      <c r="X239" s="127">
        <f>VLOOKUP(C239,'Talente &amp; Stuff'!AF:BG,22,FALSE)</f>
        <v>0</v>
      </c>
      <c r="Y239" s="165">
        <f t="shared" si="20"/>
        <v>0</v>
      </c>
      <c r="Z239" s="44">
        <f t="shared" si="21"/>
        <v>0</v>
      </c>
      <c r="AA239" s="125">
        <f>VLOOKUP(C239,'Talente &amp; Stuff'!AF:BG,25,FALSE)</f>
        <v>0</v>
      </c>
      <c r="AB239" s="160">
        <f>VLOOKUP(C239,'Talente &amp; Stuff'!AF:BG,26,FALSE)</f>
        <v>0</v>
      </c>
      <c r="AC239" s="127">
        <f>VLOOKUP(C239,'Talente &amp; Stuff'!AF:BG,27,FALSE)</f>
        <v>0</v>
      </c>
      <c r="AD239" s="125">
        <f>VLOOKUP(C239,'Talente &amp; Stuff'!AF:BG,28,FALSE)</f>
        <v>0</v>
      </c>
      <c r="AE239" s="28"/>
    </row>
    <row r="240" spans="2:31" ht="15" hidden="1" customHeight="1" outlineLevel="2">
      <c r="B240" s="148">
        <v>28</v>
      </c>
      <c r="C240" s="177" t="str">
        <f>Attribute!C240</f>
        <v>---</v>
      </c>
      <c r="D240" s="86" t="str">
        <f>VLOOKUP(C240,'Talente &amp; Stuff'!AF:BG,2,FALSE)</f>
        <v>--/--/--</v>
      </c>
      <c r="E240" s="167" t="str">
        <f>VLOOKUP(C240,'Talente &amp; Stuff'!AF:BG,3,FALSE)</f>
        <v>-</v>
      </c>
      <c r="F240" s="120">
        <f>VLOOKUP(C240,'Talente &amp; Stuff'!AF:BG,4,FALSE)</f>
        <v>0</v>
      </c>
      <c r="G240" s="117">
        <f>VLOOKUP(C240,'Talente &amp; Stuff'!AF:BG,5,FALSE)</f>
        <v>0</v>
      </c>
      <c r="H240" s="117">
        <f>VLOOKUP(C240,'Talente &amp; Stuff'!AF:BG,6,FALSE)</f>
        <v>0</v>
      </c>
      <c r="I240" s="117">
        <f>VLOOKUP(C240,'Talente &amp; Stuff'!AF:BG,7,FALSE)</f>
        <v>0</v>
      </c>
      <c r="J240" s="117">
        <f>VLOOKUP(C240,'Talente &amp; Stuff'!AF:BG,8,FALSE)</f>
        <v>0</v>
      </c>
      <c r="K240" s="117">
        <f>VLOOKUP(C240,'Talente &amp; Stuff'!AF:BG,9,FALSE)</f>
        <v>0</v>
      </c>
      <c r="L240" s="117">
        <f>VLOOKUP(C240,'Talente &amp; Stuff'!AF:BG,10,FALSE)</f>
        <v>0</v>
      </c>
      <c r="M240" s="121">
        <f>VLOOKUP(C240,'Talente &amp; Stuff'!AF:BG,11,FALSE)</f>
        <v>0</v>
      </c>
      <c r="N240" s="47">
        <f>VLOOKUP(C240,'Talente &amp; Stuff'!AF:BG,12,FALSE)</f>
        <v>0</v>
      </c>
      <c r="O240" s="3">
        <f>VLOOKUP(C240,'Talente &amp; Stuff'!AF:BG,13,FALSE)</f>
        <v>0</v>
      </c>
      <c r="P240" s="174">
        <f>VLOOKUP(C240,'Talente &amp; Stuff'!AF:BG,14,FALSE)</f>
        <v>0</v>
      </c>
      <c r="Q240" s="114">
        <f>VLOOKUP(C240,'Talente &amp; Stuff'!AF:BG,15,FALSE)</f>
        <v>0</v>
      </c>
      <c r="R240" s="117">
        <f>VLOOKUP(C240,'Talente &amp; Stuff'!AF:BG,16,FALSE)</f>
        <v>0</v>
      </c>
      <c r="S240" s="119">
        <f>VLOOKUP(C240,'Talente &amp; Stuff'!AF:BG,17,FALSE)</f>
        <v>0</v>
      </c>
      <c r="T240" s="119">
        <f>VLOOKUP(C240,'Talente &amp; Stuff'!AF:BG,18,FALSE)</f>
        <v>0</v>
      </c>
      <c r="U240" s="89">
        <f>VLOOKUP(C240,'Talente &amp; Stuff'!AF:BG,19,FALSE)</f>
        <v>0</v>
      </c>
      <c r="V240" s="47">
        <f>VLOOKUP(C240,'Talente &amp; Stuff'!AF:BG,20,FALSE)</f>
        <v>0</v>
      </c>
      <c r="W240" s="127">
        <f>VLOOKUP(C240,'Talente &amp; Stuff'!AF:BG,21,FALSE)</f>
        <v>0</v>
      </c>
      <c r="X240" s="127">
        <f>VLOOKUP(C240,'Talente &amp; Stuff'!AF:BG,22,FALSE)</f>
        <v>0</v>
      </c>
      <c r="Y240" s="165">
        <f t="shared" si="20"/>
        <v>0</v>
      </c>
      <c r="Z240" s="44">
        <f t="shared" si="21"/>
        <v>0</v>
      </c>
      <c r="AA240" s="125">
        <f>VLOOKUP(C240,'Talente &amp; Stuff'!AF:BG,25,FALSE)</f>
        <v>0</v>
      </c>
      <c r="AB240" s="160">
        <f>VLOOKUP(C240,'Talente &amp; Stuff'!AF:BG,26,FALSE)</f>
        <v>0</v>
      </c>
      <c r="AC240" s="127">
        <f>VLOOKUP(C240,'Talente &amp; Stuff'!AF:BG,27,FALSE)</f>
        <v>0</v>
      </c>
      <c r="AD240" s="125">
        <f>VLOOKUP(C240,'Talente &amp; Stuff'!AF:BG,28,FALSE)</f>
        <v>0</v>
      </c>
      <c r="AE240" s="28"/>
    </row>
    <row r="241" spans="2:31" ht="15" hidden="1" customHeight="1" outlineLevel="2">
      <c r="B241" s="148">
        <v>29</v>
      </c>
      <c r="C241" s="177" t="str">
        <f>Attribute!C241</f>
        <v>---</v>
      </c>
      <c r="D241" s="125" t="str">
        <f>VLOOKUP(C241,'Talente &amp; Stuff'!AF:BG,2,FALSE)</f>
        <v>--/--/--</v>
      </c>
      <c r="E241" s="127" t="str">
        <f>VLOOKUP(C241,'Talente &amp; Stuff'!AF:BG,3,FALSE)</f>
        <v>-</v>
      </c>
      <c r="F241" s="114">
        <f>VLOOKUP(C241,'Talente &amp; Stuff'!AF:BG,4,FALSE)</f>
        <v>0</v>
      </c>
      <c r="G241" s="113">
        <f>VLOOKUP(C241,'Talente &amp; Stuff'!AF:BG,5,FALSE)</f>
        <v>0</v>
      </c>
      <c r="H241" s="113">
        <f>VLOOKUP(C241,'Talente &amp; Stuff'!AF:BG,6,FALSE)</f>
        <v>0</v>
      </c>
      <c r="I241" s="113">
        <f>VLOOKUP(C241,'Talente &amp; Stuff'!AF:BG,7,FALSE)</f>
        <v>0</v>
      </c>
      <c r="J241" s="113">
        <f>VLOOKUP(C241,'Talente &amp; Stuff'!AF:BG,8,FALSE)</f>
        <v>0</v>
      </c>
      <c r="K241" s="113">
        <f>VLOOKUP(C241,'Talente &amp; Stuff'!AF:BG,9,FALSE)</f>
        <v>0</v>
      </c>
      <c r="L241" s="113">
        <f>VLOOKUP(C241,'Talente &amp; Stuff'!AF:BG,10,FALSE)</f>
        <v>0</v>
      </c>
      <c r="M241" s="119">
        <f>VLOOKUP(C241,'Talente &amp; Stuff'!AF:BG,11,FALSE)</f>
        <v>0</v>
      </c>
      <c r="N241" s="47">
        <f>VLOOKUP(C241,'Talente &amp; Stuff'!AF:BG,12,FALSE)</f>
        <v>0</v>
      </c>
      <c r="O241" s="47">
        <f>VLOOKUP(C241,'Talente &amp; Stuff'!AF:BG,13,FALSE)</f>
        <v>0</v>
      </c>
      <c r="P241" s="119">
        <f>VLOOKUP(C241,'Talente &amp; Stuff'!AF:BG,14,FALSE)</f>
        <v>0</v>
      </c>
      <c r="Q241" s="114">
        <f>VLOOKUP(C241,'Talente &amp; Stuff'!AF:BG,15,FALSE)</f>
        <v>0</v>
      </c>
      <c r="R241" s="113">
        <f>VLOOKUP(C241,'Talente &amp; Stuff'!AF:BG,16,FALSE)</f>
        <v>0</v>
      </c>
      <c r="S241" s="119">
        <f>VLOOKUP(C241,'Talente &amp; Stuff'!AF:BG,17,FALSE)</f>
        <v>0</v>
      </c>
      <c r="T241" s="119">
        <f>VLOOKUP(C241,'Talente &amp; Stuff'!AF:BG,18,FALSE)</f>
        <v>0</v>
      </c>
      <c r="U241" s="89">
        <f>VLOOKUP(C241,'Talente &amp; Stuff'!AF:BG,19,FALSE)</f>
        <v>0</v>
      </c>
      <c r="V241" s="47">
        <f>VLOOKUP(C241,'Talente &amp; Stuff'!AF:BG,20,FALSE)</f>
        <v>0</v>
      </c>
      <c r="W241" s="127">
        <f>VLOOKUP(C241,'Talente &amp; Stuff'!AF:BG,21,FALSE)</f>
        <v>0</v>
      </c>
      <c r="X241" s="127">
        <f>VLOOKUP(C241,'Talente &amp; Stuff'!AF:BG,22,FALSE)</f>
        <v>0</v>
      </c>
      <c r="Y241" s="165">
        <f t="shared" si="20"/>
        <v>0</v>
      </c>
      <c r="Z241" s="44">
        <f t="shared" si="21"/>
        <v>0</v>
      </c>
      <c r="AA241" s="125">
        <f>VLOOKUP(C241,'Talente &amp; Stuff'!AF:BG,25,FALSE)</f>
        <v>0</v>
      </c>
      <c r="AB241" s="160">
        <f>VLOOKUP(C241,'Talente &amp; Stuff'!AF:BG,26,FALSE)</f>
        <v>0</v>
      </c>
      <c r="AC241" s="127">
        <f>VLOOKUP(C241,'Talente &amp; Stuff'!AF:BG,27,FALSE)</f>
        <v>0</v>
      </c>
      <c r="AD241" s="125">
        <f>VLOOKUP(C241,'Talente &amp; Stuff'!AF:BG,28,FALSE)</f>
        <v>0</v>
      </c>
      <c r="AE241" s="28"/>
    </row>
    <row r="242" spans="2:31" ht="15" hidden="1" customHeight="1" outlineLevel="2">
      <c r="B242" s="148">
        <v>30</v>
      </c>
      <c r="C242" s="177" t="str">
        <f>Attribute!C242</f>
        <v>---</v>
      </c>
      <c r="D242" s="125" t="str">
        <f>VLOOKUP(C242,'Talente &amp; Stuff'!AF:BG,2,FALSE)</f>
        <v>--/--/--</v>
      </c>
      <c r="E242" s="127" t="str">
        <f>VLOOKUP(C242,'Talente &amp; Stuff'!AF:BG,3,FALSE)</f>
        <v>-</v>
      </c>
      <c r="F242" s="114">
        <f>VLOOKUP(C242,'Talente &amp; Stuff'!AF:BG,4,FALSE)</f>
        <v>0</v>
      </c>
      <c r="G242" s="113">
        <f>VLOOKUP(C242,'Talente &amp; Stuff'!AF:BG,5,FALSE)</f>
        <v>0</v>
      </c>
      <c r="H242" s="113">
        <f>VLOOKUP(C242,'Talente &amp; Stuff'!AF:BG,6,FALSE)</f>
        <v>0</v>
      </c>
      <c r="I242" s="113">
        <f>VLOOKUP(C242,'Talente &amp; Stuff'!AF:BG,7,FALSE)</f>
        <v>0</v>
      </c>
      <c r="J242" s="113">
        <f>VLOOKUP(C242,'Talente &amp; Stuff'!AF:BG,8,FALSE)</f>
        <v>0</v>
      </c>
      <c r="K242" s="113">
        <f>VLOOKUP(C242,'Talente &amp; Stuff'!AF:BG,9,FALSE)</f>
        <v>0</v>
      </c>
      <c r="L242" s="113">
        <f>VLOOKUP(C242,'Talente &amp; Stuff'!AF:BG,10,FALSE)</f>
        <v>0</v>
      </c>
      <c r="M242" s="119">
        <f>VLOOKUP(C242,'Talente &amp; Stuff'!AF:BG,11,FALSE)</f>
        <v>0</v>
      </c>
      <c r="N242" s="47">
        <f>VLOOKUP(C242,'Talente &amp; Stuff'!AF:BG,12,FALSE)</f>
        <v>0</v>
      </c>
      <c r="O242" s="47">
        <f>VLOOKUP(C242,'Talente &amp; Stuff'!AF:BG,13,FALSE)</f>
        <v>0</v>
      </c>
      <c r="P242" s="119">
        <f>VLOOKUP(C242,'Talente &amp; Stuff'!AF:BG,14,FALSE)</f>
        <v>0</v>
      </c>
      <c r="Q242" s="114">
        <f>VLOOKUP(C242,'Talente &amp; Stuff'!AF:BG,15,FALSE)</f>
        <v>0</v>
      </c>
      <c r="R242" s="113">
        <f>VLOOKUP(C242,'Talente &amp; Stuff'!AF:BG,16,FALSE)</f>
        <v>0</v>
      </c>
      <c r="S242" s="119">
        <f>VLOOKUP(C242,'Talente &amp; Stuff'!AF:BG,17,FALSE)</f>
        <v>0</v>
      </c>
      <c r="T242" s="119">
        <f>VLOOKUP(C242,'Talente &amp; Stuff'!AF:BG,18,FALSE)</f>
        <v>0</v>
      </c>
      <c r="U242" s="89">
        <f>VLOOKUP(C242,'Talente &amp; Stuff'!AF:BG,19,FALSE)</f>
        <v>0</v>
      </c>
      <c r="V242" s="47">
        <f>VLOOKUP(C242,'Talente &amp; Stuff'!AF:BG,20,FALSE)</f>
        <v>0</v>
      </c>
      <c r="W242" s="127">
        <f>VLOOKUP(C242,'Talente &amp; Stuff'!AF:BG,21,FALSE)</f>
        <v>0</v>
      </c>
      <c r="X242" s="127">
        <f>VLOOKUP(C242,'Talente &amp; Stuff'!AF:BG,22,FALSE)</f>
        <v>0</v>
      </c>
      <c r="Y242" s="165">
        <f t="shared" si="20"/>
        <v>0</v>
      </c>
      <c r="Z242" s="44">
        <f t="shared" si="21"/>
        <v>0</v>
      </c>
      <c r="AA242" s="125">
        <f>VLOOKUP(C242,'Talente &amp; Stuff'!AF:BG,25,FALSE)</f>
        <v>0</v>
      </c>
      <c r="AB242" s="160">
        <f>VLOOKUP(C242,'Talente &amp; Stuff'!AF:BG,26,FALSE)</f>
        <v>0</v>
      </c>
      <c r="AC242" s="127">
        <f>VLOOKUP(C242,'Talente &amp; Stuff'!AF:BG,27,FALSE)</f>
        <v>0</v>
      </c>
      <c r="AD242" s="125">
        <f>VLOOKUP(C242,'Talente &amp; Stuff'!AF:BG,28,FALSE)</f>
        <v>0</v>
      </c>
      <c r="AE242" s="28"/>
    </row>
    <row r="243" spans="2:31" ht="15" hidden="1" customHeight="1" outlineLevel="2">
      <c r="B243" s="148">
        <v>31</v>
      </c>
      <c r="C243" s="177" t="str">
        <f>Attribute!C243</f>
        <v>---</v>
      </c>
      <c r="D243" s="125" t="str">
        <f>VLOOKUP(C243,'Talente &amp; Stuff'!AF:BG,2,FALSE)</f>
        <v>--/--/--</v>
      </c>
      <c r="E243" s="127" t="str">
        <f>VLOOKUP(C243,'Talente &amp; Stuff'!AF:BG,3,FALSE)</f>
        <v>-</v>
      </c>
      <c r="F243" s="114">
        <f>VLOOKUP(C243,'Talente &amp; Stuff'!AF:BG,4,FALSE)</f>
        <v>0</v>
      </c>
      <c r="G243" s="113">
        <f>VLOOKUP(C243,'Talente &amp; Stuff'!AF:BG,5,FALSE)</f>
        <v>0</v>
      </c>
      <c r="H243" s="113">
        <f>VLOOKUP(C243,'Talente &amp; Stuff'!AF:BG,6,FALSE)</f>
        <v>0</v>
      </c>
      <c r="I243" s="113">
        <f>VLOOKUP(C243,'Talente &amp; Stuff'!AF:BG,7,FALSE)</f>
        <v>0</v>
      </c>
      <c r="J243" s="113">
        <f>VLOOKUP(C243,'Talente &amp; Stuff'!AF:BG,8,FALSE)</f>
        <v>0</v>
      </c>
      <c r="K243" s="113">
        <f>VLOOKUP(C243,'Talente &amp; Stuff'!AF:BG,9,FALSE)</f>
        <v>0</v>
      </c>
      <c r="L243" s="113">
        <f>VLOOKUP(C243,'Talente &amp; Stuff'!AF:BG,10,FALSE)</f>
        <v>0</v>
      </c>
      <c r="M243" s="119">
        <f>VLOOKUP(C243,'Talente &amp; Stuff'!AF:BG,11,FALSE)</f>
        <v>0</v>
      </c>
      <c r="N243" s="47">
        <f>VLOOKUP(C243,'Talente &amp; Stuff'!AF:BG,12,FALSE)</f>
        <v>0</v>
      </c>
      <c r="O243" s="47">
        <f>VLOOKUP(C243,'Talente &amp; Stuff'!AF:BG,13,FALSE)</f>
        <v>0</v>
      </c>
      <c r="P243" s="119">
        <f>VLOOKUP(C243,'Talente &amp; Stuff'!AF:BG,14,FALSE)</f>
        <v>0</v>
      </c>
      <c r="Q243" s="114">
        <f>VLOOKUP(C243,'Talente &amp; Stuff'!AF:BG,15,FALSE)</f>
        <v>0</v>
      </c>
      <c r="R243" s="113">
        <f>VLOOKUP(C243,'Talente &amp; Stuff'!AF:BG,16,FALSE)</f>
        <v>0</v>
      </c>
      <c r="S243" s="119">
        <f>VLOOKUP(C243,'Talente &amp; Stuff'!AF:BG,17,FALSE)</f>
        <v>0</v>
      </c>
      <c r="T243" s="119">
        <f>VLOOKUP(C243,'Talente &amp; Stuff'!AF:BG,18,FALSE)</f>
        <v>0</v>
      </c>
      <c r="U243" s="89">
        <f>VLOOKUP(C243,'Talente &amp; Stuff'!AF:BG,19,FALSE)</f>
        <v>0</v>
      </c>
      <c r="V243" s="47">
        <f>VLOOKUP(C243,'Talente &amp; Stuff'!AF:BG,20,FALSE)</f>
        <v>0</v>
      </c>
      <c r="W243" s="127">
        <f>VLOOKUP(C243,'Talente &amp; Stuff'!AF:BG,21,FALSE)</f>
        <v>0</v>
      </c>
      <c r="X243" s="127">
        <f>VLOOKUP(C243,'Talente &amp; Stuff'!AF:BG,22,FALSE)</f>
        <v>0</v>
      </c>
      <c r="Y243" s="165">
        <f t="shared" si="20"/>
        <v>0</v>
      </c>
      <c r="Z243" s="44">
        <f t="shared" si="21"/>
        <v>0</v>
      </c>
      <c r="AA243" s="125">
        <f>VLOOKUP(C243,'Talente &amp; Stuff'!AF:BG,25,FALSE)</f>
        <v>0</v>
      </c>
      <c r="AB243" s="160">
        <f>VLOOKUP(C243,'Talente &amp; Stuff'!AF:BG,26,FALSE)</f>
        <v>0</v>
      </c>
      <c r="AC243" s="127">
        <f>VLOOKUP(C243,'Talente &amp; Stuff'!AF:BG,27,FALSE)</f>
        <v>0</v>
      </c>
      <c r="AD243" s="125">
        <f>VLOOKUP(C243,'Talente &amp; Stuff'!AF:BG,28,FALSE)</f>
        <v>0</v>
      </c>
      <c r="AE243" s="28"/>
    </row>
    <row r="244" spans="2:31" ht="15" hidden="1" customHeight="1" outlineLevel="2">
      <c r="B244" s="148">
        <v>32</v>
      </c>
      <c r="C244" s="177" t="str">
        <f>Attribute!C244</f>
        <v>---</v>
      </c>
      <c r="D244" s="125" t="str">
        <f>VLOOKUP(C244,'Talente &amp; Stuff'!AF:BG,2,FALSE)</f>
        <v>--/--/--</v>
      </c>
      <c r="E244" s="127" t="str">
        <f>VLOOKUP(C244,'Talente &amp; Stuff'!AF:BG,3,FALSE)</f>
        <v>-</v>
      </c>
      <c r="F244" s="114">
        <f>VLOOKUP(C244,'Talente &amp; Stuff'!AF:BG,4,FALSE)</f>
        <v>0</v>
      </c>
      <c r="G244" s="113">
        <f>VLOOKUP(C244,'Talente &amp; Stuff'!AF:BG,5,FALSE)</f>
        <v>0</v>
      </c>
      <c r="H244" s="113">
        <f>VLOOKUP(C244,'Talente &amp; Stuff'!AF:BG,6,FALSE)</f>
        <v>0</v>
      </c>
      <c r="I244" s="113">
        <f>VLOOKUP(C244,'Talente &amp; Stuff'!AF:BG,7,FALSE)</f>
        <v>0</v>
      </c>
      <c r="J244" s="113">
        <f>VLOOKUP(C244,'Talente &amp; Stuff'!AF:BG,8,FALSE)</f>
        <v>0</v>
      </c>
      <c r="K244" s="113">
        <f>VLOOKUP(C244,'Talente &amp; Stuff'!AF:BG,9,FALSE)</f>
        <v>0</v>
      </c>
      <c r="L244" s="113">
        <f>VLOOKUP(C244,'Talente &amp; Stuff'!AF:BG,10,FALSE)</f>
        <v>0</v>
      </c>
      <c r="M244" s="119">
        <f>VLOOKUP(C244,'Talente &amp; Stuff'!AF:BG,11,FALSE)</f>
        <v>0</v>
      </c>
      <c r="N244" s="47">
        <f>VLOOKUP(C244,'Talente &amp; Stuff'!AF:BG,12,FALSE)</f>
        <v>0</v>
      </c>
      <c r="O244" s="47">
        <f>VLOOKUP(C244,'Talente &amp; Stuff'!AF:BG,13,FALSE)</f>
        <v>0</v>
      </c>
      <c r="P244" s="119">
        <f>VLOOKUP(C244,'Talente &amp; Stuff'!AF:BG,14,FALSE)</f>
        <v>0</v>
      </c>
      <c r="Q244" s="114">
        <f>VLOOKUP(C244,'Talente &amp; Stuff'!AF:BG,15,FALSE)</f>
        <v>0</v>
      </c>
      <c r="R244" s="113">
        <f>VLOOKUP(C244,'Talente &amp; Stuff'!AF:BG,16,FALSE)</f>
        <v>0</v>
      </c>
      <c r="S244" s="119">
        <f>VLOOKUP(C244,'Talente &amp; Stuff'!AF:BG,17,FALSE)</f>
        <v>0</v>
      </c>
      <c r="T244" s="119">
        <f>VLOOKUP(C244,'Talente &amp; Stuff'!AF:BG,18,FALSE)</f>
        <v>0</v>
      </c>
      <c r="U244" s="89">
        <f>VLOOKUP(C244,'Talente &amp; Stuff'!AF:BG,19,FALSE)</f>
        <v>0</v>
      </c>
      <c r="V244" s="47">
        <f>VLOOKUP(C244,'Talente &amp; Stuff'!AF:BG,20,FALSE)</f>
        <v>0</v>
      </c>
      <c r="W244" s="127">
        <f>VLOOKUP(C244,'Talente &amp; Stuff'!AF:BG,21,FALSE)</f>
        <v>0</v>
      </c>
      <c r="X244" s="127">
        <f>VLOOKUP(C244,'Talente &amp; Stuff'!AF:BG,22,FALSE)</f>
        <v>0</v>
      </c>
      <c r="Y244" s="165">
        <f t="shared" si="20"/>
        <v>0</v>
      </c>
      <c r="Z244" s="44">
        <f t="shared" si="21"/>
        <v>0</v>
      </c>
      <c r="AA244" s="125">
        <f>VLOOKUP(C244,'Talente &amp; Stuff'!AF:BG,25,FALSE)</f>
        <v>0</v>
      </c>
      <c r="AB244" s="160">
        <f>VLOOKUP(C244,'Talente &amp; Stuff'!AF:BG,26,FALSE)</f>
        <v>0</v>
      </c>
      <c r="AC244" s="127">
        <f>VLOOKUP(C244,'Talente &amp; Stuff'!AF:BG,27,FALSE)</f>
        <v>0</v>
      </c>
      <c r="AD244" s="125">
        <f>VLOOKUP(C244,'Talente &amp; Stuff'!AF:BG,28,FALSE)</f>
        <v>0</v>
      </c>
      <c r="AE244" s="28"/>
    </row>
    <row r="245" spans="2:31" ht="15" hidden="1" customHeight="1" outlineLevel="2">
      <c r="B245" s="148">
        <v>33</v>
      </c>
      <c r="C245" s="177" t="str">
        <f>Attribute!C245</f>
        <v>---</v>
      </c>
      <c r="D245" s="125" t="str">
        <f>VLOOKUP(C245,'Talente &amp; Stuff'!AF:BG,2,FALSE)</f>
        <v>--/--/--</v>
      </c>
      <c r="E245" s="127" t="str">
        <f>VLOOKUP(C245,'Talente &amp; Stuff'!AF:BG,3,FALSE)</f>
        <v>-</v>
      </c>
      <c r="F245" s="114">
        <f>VLOOKUP(C245,'Talente &amp; Stuff'!AF:BG,4,FALSE)</f>
        <v>0</v>
      </c>
      <c r="G245" s="113">
        <f>VLOOKUP(C245,'Talente &amp; Stuff'!AF:BG,5,FALSE)</f>
        <v>0</v>
      </c>
      <c r="H245" s="113">
        <f>VLOOKUP(C245,'Talente &amp; Stuff'!AF:BG,6,FALSE)</f>
        <v>0</v>
      </c>
      <c r="I245" s="113">
        <f>VLOOKUP(C245,'Talente &amp; Stuff'!AF:BG,7,FALSE)</f>
        <v>0</v>
      </c>
      <c r="J245" s="113">
        <f>VLOOKUP(C245,'Talente &amp; Stuff'!AF:BG,8,FALSE)</f>
        <v>0</v>
      </c>
      <c r="K245" s="113">
        <f>VLOOKUP(C245,'Talente &amp; Stuff'!AF:BG,9,FALSE)</f>
        <v>0</v>
      </c>
      <c r="L245" s="113">
        <f>VLOOKUP(C245,'Talente &amp; Stuff'!AF:BG,10,FALSE)</f>
        <v>0</v>
      </c>
      <c r="M245" s="119">
        <f>VLOOKUP(C245,'Talente &amp; Stuff'!AF:BG,11,FALSE)</f>
        <v>0</v>
      </c>
      <c r="N245" s="47">
        <f>VLOOKUP(C245,'Talente &amp; Stuff'!AF:BG,12,FALSE)</f>
        <v>0</v>
      </c>
      <c r="O245" s="47">
        <f>VLOOKUP(C245,'Talente &amp; Stuff'!AF:BG,13,FALSE)</f>
        <v>0</v>
      </c>
      <c r="P245" s="119">
        <f>VLOOKUP(C245,'Talente &amp; Stuff'!AF:BG,14,FALSE)</f>
        <v>0</v>
      </c>
      <c r="Q245" s="114">
        <f>VLOOKUP(C245,'Talente &amp; Stuff'!AF:BG,15,FALSE)</f>
        <v>0</v>
      </c>
      <c r="R245" s="113">
        <f>VLOOKUP(C245,'Talente &amp; Stuff'!AF:BG,16,FALSE)</f>
        <v>0</v>
      </c>
      <c r="S245" s="119">
        <f>VLOOKUP(C245,'Talente &amp; Stuff'!AF:BG,17,FALSE)</f>
        <v>0</v>
      </c>
      <c r="T245" s="119">
        <f>VLOOKUP(C245,'Talente &amp; Stuff'!AF:BG,18,FALSE)</f>
        <v>0</v>
      </c>
      <c r="U245" s="89">
        <f>VLOOKUP(C245,'Talente &amp; Stuff'!AF:BG,19,FALSE)</f>
        <v>0</v>
      </c>
      <c r="V245" s="47">
        <f>VLOOKUP(C245,'Talente &amp; Stuff'!AF:BG,20,FALSE)</f>
        <v>0</v>
      </c>
      <c r="W245" s="127">
        <f>VLOOKUP(C245,'Talente &amp; Stuff'!AF:BG,21,FALSE)</f>
        <v>0</v>
      </c>
      <c r="X245" s="127">
        <f>VLOOKUP(C245,'Talente &amp; Stuff'!AF:BG,22,FALSE)</f>
        <v>0</v>
      </c>
      <c r="Y245" s="165">
        <f t="shared" si="20"/>
        <v>0</v>
      </c>
      <c r="Z245" s="44">
        <f t="shared" si="21"/>
        <v>0</v>
      </c>
      <c r="AA245" s="125">
        <f>VLOOKUP(C245,'Talente &amp; Stuff'!AF:BG,25,FALSE)</f>
        <v>0</v>
      </c>
      <c r="AB245" s="160">
        <f>VLOOKUP(C245,'Talente &amp; Stuff'!AF:BG,26,FALSE)</f>
        <v>0</v>
      </c>
      <c r="AC245" s="127">
        <f>VLOOKUP(C245,'Talente &amp; Stuff'!AF:BG,27,FALSE)</f>
        <v>0</v>
      </c>
      <c r="AD245" s="125">
        <f>VLOOKUP(C245,'Talente &amp; Stuff'!AF:BG,28,FALSE)</f>
        <v>0</v>
      </c>
      <c r="AE245" s="28"/>
    </row>
    <row r="246" spans="2:31" ht="15" hidden="1" customHeight="1" outlineLevel="2">
      <c r="B246" s="148">
        <v>34</v>
      </c>
      <c r="C246" s="177" t="str">
        <f>Attribute!C246</f>
        <v>---</v>
      </c>
      <c r="D246" s="125" t="str">
        <f>VLOOKUP(C246,'Talente &amp; Stuff'!AF:BG,2,FALSE)</f>
        <v>--/--/--</v>
      </c>
      <c r="E246" s="127" t="str">
        <f>VLOOKUP(C246,'Talente &amp; Stuff'!AF:BG,3,FALSE)</f>
        <v>-</v>
      </c>
      <c r="F246" s="114">
        <f>VLOOKUP(C246,'Talente &amp; Stuff'!AF:BG,4,FALSE)</f>
        <v>0</v>
      </c>
      <c r="G246" s="113">
        <f>VLOOKUP(C246,'Talente &amp; Stuff'!AF:BG,5,FALSE)</f>
        <v>0</v>
      </c>
      <c r="H246" s="113">
        <f>VLOOKUP(C246,'Talente &amp; Stuff'!AF:BG,6,FALSE)</f>
        <v>0</v>
      </c>
      <c r="I246" s="113">
        <f>VLOOKUP(C246,'Talente &amp; Stuff'!AF:BG,7,FALSE)</f>
        <v>0</v>
      </c>
      <c r="J246" s="113">
        <f>VLOOKUP(C246,'Talente &amp; Stuff'!AF:BG,8,FALSE)</f>
        <v>0</v>
      </c>
      <c r="K246" s="113">
        <f>VLOOKUP(C246,'Talente &amp; Stuff'!AF:BG,9,FALSE)</f>
        <v>0</v>
      </c>
      <c r="L246" s="113">
        <f>VLOOKUP(C246,'Talente &amp; Stuff'!AF:BG,10,FALSE)</f>
        <v>0</v>
      </c>
      <c r="M246" s="119">
        <f>VLOOKUP(C246,'Talente &amp; Stuff'!AF:BG,11,FALSE)</f>
        <v>0</v>
      </c>
      <c r="N246" s="47">
        <f>VLOOKUP(C246,'Talente &amp; Stuff'!AF:BG,12,FALSE)</f>
        <v>0</v>
      </c>
      <c r="O246" s="47">
        <f>VLOOKUP(C246,'Talente &amp; Stuff'!AF:BG,13,FALSE)</f>
        <v>0</v>
      </c>
      <c r="P246" s="119">
        <f>VLOOKUP(C246,'Talente &amp; Stuff'!AF:BG,14,FALSE)</f>
        <v>0</v>
      </c>
      <c r="Q246" s="114">
        <f>VLOOKUP(C246,'Talente &amp; Stuff'!AF:BG,15,FALSE)</f>
        <v>0</v>
      </c>
      <c r="R246" s="113">
        <f>VLOOKUP(C246,'Talente &amp; Stuff'!AF:BG,16,FALSE)</f>
        <v>0</v>
      </c>
      <c r="S246" s="119">
        <f>VLOOKUP(C246,'Talente &amp; Stuff'!AF:BG,17,FALSE)</f>
        <v>0</v>
      </c>
      <c r="T246" s="119">
        <f>VLOOKUP(C246,'Talente &amp; Stuff'!AF:BG,18,FALSE)</f>
        <v>0</v>
      </c>
      <c r="U246" s="89">
        <f>VLOOKUP(C246,'Talente &amp; Stuff'!AF:BG,19,FALSE)</f>
        <v>0</v>
      </c>
      <c r="V246" s="47">
        <f>VLOOKUP(C246,'Talente &amp; Stuff'!AF:BG,20,FALSE)</f>
        <v>0</v>
      </c>
      <c r="W246" s="127">
        <f>VLOOKUP(C246,'Talente &amp; Stuff'!AF:BG,21,FALSE)</f>
        <v>0</v>
      </c>
      <c r="X246" s="127">
        <f>VLOOKUP(C246,'Talente &amp; Stuff'!AF:BG,22,FALSE)</f>
        <v>0</v>
      </c>
      <c r="Y246" s="165">
        <f t="shared" si="20"/>
        <v>0</v>
      </c>
      <c r="Z246" s="44">
        <f t="shared" si="21"/>
        <v>0</v>
      </c>
      <c r="AA246" s="125">
        <f>VLOOKUP(C246,'Talente &amp; Stuff'!AF:BG,25,FALSE)</f>
        <v>0</v>
      </c>
      <c r="AB246" s="160">
        <f>VLOOKUP(C246,'Talente &amp; Stuff'!AF:BG,26,FALSE)</f>
        <v>0</v>
      </c>
      <c r="AC246" s="127">
        <f>VLOOKUP(C246,'Talente &amp; Stuff'!AF:BG,27,FALSE)</f>
        <v>0</v>
      </c>
      <c r="AD246" s="125">
        <f>VLOOKUP(C246,'Talente &amp; Stuff'!AF:BG,28,FALSE)</f>
        <v>0</v>
      </c>
      <c r="AE246" s="28"/>
    </row>
    <row r="247" spans="2:31" ht="15" hidden="1" customHeight="1" outlineLevel="2">
      <c r="B247" s="148">
        <v>35</v>
      </c>
      <c r="C247" s="177" t="str">
        <f>Attribute!C247</f>
        <v>---</v>
      </c>
      <c r="D247" s="125" t="str">
        <f>VLOOKUP(C247,'Talente &amp; Stuff'!AF:BG,2,FALSE)</f>
        <v>--/--/--</v>
      </c>
      <c r="E247" s="127" t="str">
        <f>VLOOKUP(C247,'Talente &amp; Stuff'!AF:BG,3,FALSE)</f>
        <v>-</v>
      </c>
      <c r="F247" s="114">
        <f>VLOOKUP(C247,'Talente &amp; Stuff'!AF:BG,4,FALSE)</f>
        <v>0</v>
      </c>
      <c r="G247" s="113">
        <f>VLOOKUP(C247,'Talente &amp; Stuff'!AF:BG,5,FALSE)</f>
        <v>0</v>
      </c>
      <c r="H247" s="113">
        <f>VLOOKUP(C247,'Talente &amp; Stuff'!AF:BG,6,FALSE)</f>
        <v>0</v>
      </c>
      <c r="I247" s="113">
        <f>VLOOKUP(C247,'Talente &amp; Stuff'!AF:BG,7,FALSE)</f>
        <v>0</v>
      </c>
      <c r="J247" s="113">
        <f>VLOOKUP(C247,'Talente &amp; Stuff'!AF:BG,8,FALSE)</f>
        <v>0</v>
      </c>
      <c r="K247" s="113">
        <f>VLOOKUP(C247,'Talente &amp; Stuff'!AF:BG,9,FALSE)</f>
        <v>0</v>
      </c>
      <c r="L247" s="113">
        <f>VLOOKUP(C247,'Talente &amp; Stuff'!AF:BG,10,FALSE)</f>
        <v>0</v>
      </c>
      <c r="M247" s="119">
        <f>VLOOKUP(C247,'Talente &amp; Stuff'!AF:BG,11,FALSE)</f>
        <v>0</v>
      </c>
      <c r="N247" s="47">
        <f>VLOOKUP(C247,'Talente &amp; Stuff'!AF:BG,12,FALSE)</f>
        <v>0</v>
      </c>
      <c r="O247" s="47">
        <f>VLOOKUP(C247,'Talente &amp; Stuff'!AF:BG,13,FALSE)</f>
        <v>0</v>
      </c>
      <c r="P247" s="119">
        <f>VLOOKUP(C247,'Talente &amp; Stuff'!AF:BG,14,FALSE)</f>
        <v>0</v>
      </c>
      <c r="Q247" s="114">
        <f>VLOOKUP(C247,'Talente &amp; Stuff'!AF:BG,15,FALSE)</f>
        <v>0</v>
      </c>
      <c r="R247" s="113">
        <f>VLOOKUP(C247,'Talente &amp; Stuff'!AF:BG,16,FALSE)</f>
        <v>0</v>
      </c>
      <c r="S247" s="119">
        <f>VLOOKUP(C247,'Talente &amp; Stuff'!AF:BG,17,FALSE)</f>
        <v>0</v>
      </c>
      <c r="T247" s="119">
        <f>VLOOKUP(C247,'Talente &amp; Stuff'!AF:BG,18,FALSE)</f>
        <v>0</v>
      </c>
      <c r="U247" s="89">
        <f>VLOOKUP(C247,'Talente &amp; Stuff'!AF:BG,19,FALSE)</f>
        <v>0</v>
      </c>
      <c r="V247" s="47">
        <f>VLOOKUP(C247,'Talente &amp; Stuff'!AF:BG,20,FALSE)</f>
        <v>0</v>
      </c>
      <c r="W247" s="127">
        <f>VLOOKUP(C247,'Talente &amp; Stuff'!AF:BG,21,FALSE)</f>
        <v>0</v>
      </c>
      <c r="X247" s="127">
        <f>VLOOKUP(C247,'Talente &amp; Stuff'!AF:BG,22,FALSE)</f>
        <v>0</v>
      </c>
      <c r="Y247" s="165">
        <f t="shared" si="20"/>
        <v>0</v>
      </c>
      <c r="Z247" s="44">
        <f t="shared" si="21"/>
        <v>0</v>
      </c>
      <c r="AA247" s="125">
        <f>VLOOKUP(C247,'Talente &amp; Stuff'!AF:BG,25,FALSE)</f>
        <v>0</v>
      </c>
      <c r="AB247" s="160">
        <f>VLOOKUP(C247,'Talente &amp; Stuff'!AF:BG,26,FALSE)</f>
        <v>0</v>
      </c>
      <c r="AC247" s="127">
        <f>VLOOKUP(C247,'Talente &amp; Stuff'!AF:BG,27,FALSE)</f>
        <v>0</v>
      </c>
      <c r="AD247" s="125">
        <f>VLOOKUP(C247,'Talente &amp; Stuff'!AF:BG,28,FALSE)</f>
        <v>0</v>
      </c>
      <c r="AE247" s="28"/>
    </row>
    <row r="248" spans="2:31" ht="15" hidden="1" customHeight="1" outlineLevel="2">
      <c r="B248" s="148">
        <v>36</v>
      </c>
      <c r="C248" s="177" t="str">
        <f>Attribute!C248</f>
        <v>---</v>
      </c>
      <c r="D248" s="125" t="str">
        <f>VLOOKUP(C248,'Talente &amp; Stuff'!AF:BG,2,FALSE)</f>
        <v>--/--/--</v>
      </c>
      <c r="E248" s="127" t="str">
        <f>VLOOKUP(C248,'Talente &amp; Stuff'!AF:BG,3,FALSE)</f>
        <v>-</v>
      </c>
      <c r="F248" s="114">
        <f>VLOOKUP(C248,'Talente &amp; Stuff'!AF:BG,4,FALSE)</f>
        <v>0</v>
      </c>
      <c r="G248" s="113">
        <f>VLOOKUP(C248,'Talente &amp; Stuff'!AF:BG,5,FALSE)</f>
        <v>0</v>
      </c>
      <c r="H248" s="113">
        <f>VLOOKUP(C248,'Talente &amp; Stuff'!AF:BG,6,FALSE)</f>
        <v>0</v>
      </c>
      <c r="I248" s="113">
        <f>VLOOKUP(C248,'Talente &amp; Stuff'!AF:BG,7,FALSE)</f>
        <v>0</v>
      </c>
      <c r="J248" s="113">
        <f>VLOOKUP(C248,'Talente &amp; Stuff'!AF:BG,8,FALSE)</f>
        <v>0</v>
      </c>
      <c r="K248" s="113">
        <f>VLOOKUP(C248,'Talente &amp; Stuff'!AF:BG,9,FALSE)</f>
        <v>0</v>
      </c>
      <c r="L248" s="113">
        <f>VLOOKUP(C248,'Talente &amp; Stuff'!AF:BG,10,FALSE)</f>
        <v>0</v>
      </c>
      <c r="M248" s="119">
        <f>VLOOKUP(C248,'Talente &amp; Stuff'!AF:BG,11,FALSE)</f>
        <v>0</v>
      </c>
      <c r="N248" s="47">
        <f>VLOOKUP(C248,'Talente &amp; Stuff'!AF:BG,12,FALSE)</f>
        <v>0</v>
      </c>
      <c r="O248" s="47">
        <f>VLOOKUP(C248,'Talente &amp; Stuff'!AF:BG,13,FALSE)</f>
        <v>0</v>
      </c>
      <c r="P248" s="119">
        <f>VLOOKUP(C248,'Talente &amp; Stuff'!AF:BG,14,FALSE)</f>
        <v>0</v>
      </c>
      <c r="Q248" s="114">
        <f>VLOOKUP(C248,'Talente &amp; Stuff'!AF:BG,15,FALSE)</f>
        <v>0</v>
      </c>
      <c r="R248" s="113">
        <f>VLOOKUP(C248,'Talente &amp; Stuff'!AF:BG,16,FALSE)</f>
        <v>0</v>
      </c>
      <c r="S248" s="119">
        <f>VLOOKUP(C248,'Talente &amp; Stuff'!AF:BG,17,FALSE)</f>
        <v>0</v>
      </c>
      <c r="T248" s="119">
        <f>VLOOKUP(C248,'Talente &amp; Stuff'!AF:BG,18,FALSE)</f>
        <v>0</v>
      </c>
      <c r="U248" s="89">
        <f>VLOOKUP(C248,'Talente &amp; Stuff'!AF:BG,19,FALSE)</f>
        <v>0</v>
      </c>
      <c r="V248" s="47">
        <f>VLOOKUP(C248,'Talente &amp; Stuff'!AF:BG,20,FALSE)</f>
        <v>0</v>
      </c>
      <c r="W248" s="127">
        <f>VLOOKUP(C248,'Talente &amp; Stuff'!AF:BG,21,FALSE)</f>
        <v>0</v>
      </c>
      <c r="X248" s="127">
        <f>VLOOKUP(C248,'Talente &amp; Stuff'!AF:BG,22,FALSE)</f>
        <v>0</v>
      </c>
      <c r="Y248" s="165">
        <f t="shared" si="20"/>
        <v>0</v>
      </c>
      <c r="Z248" s="44">
        <f t="shared" si="21"/>
        <v>0</v>
      </c>
      <c r="AA248" s="125">
        <f>VLOOKUP(C248,'Talente &amp; Stuff'!AF:BG,25,FALSE)</f>
        <v>0</v>
      </c>
      <c r="AB248" s="160">
        <f>VLOOKUP(C248,'Talente &amp; Stuff'!AF:BG,26,FALSE)</f>
        <v>0</v>
      </c>
      <c r="AC248" s="127">
        <f>VLOOKUP(C248,'Talente &amp; Stuff'!AF:BG,27,FALSE)</f>
        <v>0</v>
      </c>
      <c r="AD248" s="125">
        <f>VLOOKUP(C248,'Talente &amp; Stuff'!AF:BG,28,FALSE)</f>
        <v>0</v>
      </c>
      <c r="AE248" s="28"/>
    </row>
    <row r="249" spans="2:31" ht="15" hidden="1" customHeight="1" outlineLevel="2">
      <c r="B249" s="148">
        <v>37</v>
      </c>
      <c r="C249" s="177" t="str">
        <f>Attribute!C249</f>
        <v>---</v>
      </c>
      <c r="D249" s="125" t="str">
        <f>VLOOKUP(C249,'Talente &amp; Stuff'!AF:BG,2,FALSE)</f>
        <v>--/--/--</v>
      </c>
      <c r="E249" s="127" t="str">
        <f>VLOOKUP(C249,'Talente &amp; Stuff'!AF:BG,3,FALSE)</f>
        <v>-</v>
      </c>
      <c r="F249" s="114">
        <f>VLOOKUP(C249,'Talente &amp; Stuff'!AF:BG,4,FALSE)</f>
        <v>0</v>
      </c>
      <c r="G249" s="113">
        <f>VLOOKUP(C249,'Talente &amp; Stuff'!AF:BG,5,FALSE)</f>
        <v>0</v>
      </c>
      <c r="H249" s="113">
        <f>VLOOKUP(C249,'Talente &amp; Stuff'!AF:BG,6,FALSE)</f>
        <v>0</v>
      </c>
      <c r="I249" s="113">
        <f>VLOOKUP(C249,'Talente &amp; Stuff'!AF:BG,7,FALSE)</f>
        <v>0</v>
      </c>
      <c r="J249" s="113">
        <f>VLOOKUP(C249,'Talente &amp; Stuff'!AF:BG,8,FALSE)</f>
        <v>0</v>
      </c>
      <c r="K249" s="113">
        <f>VLOOKUP(C249,'Talente &amp; Stuff'!AF:BG,9,FALSE)</f>
        <v>0</v>
      </c>
      <c r="L249" s="113">
        <f>VLOOKUP(C249,'Talente &amp; Stuff'!AF:BG,10,FALSE)</f>
        <v>0</v>
      </c>
      <c r="M249" s="119">
        <f>VLOOKUP(C249,'Talente &amp; Stuff'!AF:BG,11,FALSE)</f>
        <v>0</v>
      </c>
      <c r="N249" s="47">
        <f>VLOOKUP(C249,'Talente &amp; Stuff'!AF:BG,12,FALSE)</f>
        <v>0</v>
      </c>
      <c r="O249" s="47">
        <f>VLOOKUP(C249,'Talente &amp; Stuff'!AF:BG,13,FALSE)</f>
        <v>0</v>
      </c>
      <c r="P249" s="119">
        <f>VLOOKUP(C249,'Talente &amp; Stuff'!AF:BG,14,FALSE)</f>
        <v>0</v>
      </c>
      <c r="Q249" s="114">
        <f>VLOOKUP(C249,'Talente &amp; Stuff'!AF:BG,15,FALSE)</f>
        <v>0</v>
      </c>
      <c r="R249" s="113">
        <f>VLOOKUP(C249,'Talente &amp; Stuff'!AF:BG,16,FALSE)</f>
        <v>0</v>
      </c>
      <c r="S249" s="119">
        <f>VLOOKUP(C249,'Talente &amp; Stuff'!AF:BG,17,FALSE)</f>
        <v>0</v>
      </c>
      <c r="T249" s="119">
        <f>VLOOKUP(C249,'Talente &amp; Stuff'!AF:BG,18,FALSE)</f>
        <v>0</v>
      </c>
      <c r="U249" s="89">
        <f>VLOOKUP(C249,'Talente &amp; Stuff'!AF:BG,19,FALSE)</f>
        <v>0</v>
      </c>
      <c r="V249" s="47">
        <f>VLOOKUP(C249,'Talente &amp; Stuff'!AF:BG,20,FALSE)</f>
        <v>0</v>
      </c>
      <c r="W249" s="127">
        <f>VLOOKUP(C249,'Talente &amp; Stuff'!AF:BG,21,FALSE)</f>
        <v>0</v>
      </c>
      <c r="X249" s="127">
        <f>VLOOKUP(C249,'Talente &amp; Stuff'!AF:BG,22,FALSE)</f>
        <v>0</v>
      </c>
      <c r="Y249" s="165">
        <f t="shared" si="20"/>
        <v>0</v>
      </c>
      <c r="Z249" s="44">
        <f t="shared" si="21"/>
        <v>0</v>
      </c>
      <c r="AA249" s="125">
        <f>VLOOKUP(C249,'Talente &amp; Stuff'!AF:BG,25,FALSE)</f>
        <v>0</v>
      </c>
      <c r="AB249" s="160">
        <f>VLOOKUP(C249,'Talente &amp; Stuff'!AF:BG,26,FALSE)</f>
        <v>0</v>
      </c>
      <c r="AC249" s="127">
        <f>VLOOKUP(C249,'Talente &amp; Stuff'!AF:BG,27,FALSE)</f>
        <v>0</v>
      </c>
      <c r="AD249" s="125">
        <f>VLOOKUP(C249,'Talente &amp; Stuff'!AF:BG,28,FALSE)</f>
        <v>0</v>
      </c>
      <c r="AE249" s="28"/>
    </row>
    <row r="250" spans="2:31" ht="15" hidden="1" customHeight="1" outlineLevel="2">
      <c r="B250" s="148">
        <v>38</v>
      </c>
      <c r="C250" s="177" t="str">
        <f>Attribute!C250</f>
        <v>---</v>
      </c>
      <c r="D250" s="125" t="str">
        <f>VLOOKUP(C250,'Talente &amp; Stuff'!AF:BG,2,FALSE)</f>
        <v>--/--/--</v>
      </c>
      <c r="E250" s="127" t="str">
        <f>VLOOKUP(C250,'Talente &amp; Stuff'!AF:BG,3,FALSE)</f>
        <v>-</v>
      </c>
      <c r="F250" s="114">
        <f>VLOOKUP(C250,'Talente &amp; Stuff'!AF:BG,4,FALSE)</f>
        <v>0</v>
      </c>
      <c r="G250" s="113">
        <f>VLOOKUP(C250,'Talente &amp; Stuff'!AF:BG,5,FALSE)</f>
        <v>0</v>
      </c>
      <c r="H250" s="113">
        <f>VLOOKUP(C250,'Talente &amp; Stuff'!AF:BG,6,FALSE)</f>
        <v>0</v>
      </c>
      <c r="I250" s="113">
        <f>VLOOKUP(C250,'Talente &amp; Stuff'!AF:BG,7,FALSE)</f>
        <v>0</v>
      </c>
      <c r="J250" s="113">
        <f>VLOOKUP(C250,'Talente &amp; Stuff'!AF:BG,8,FALSE)</f>
        <v>0</v>
      </c>
      <c r="K250" s="113">
        <f>VLOOKUP(C250,'Talente &amp; Stuff'!AF:BG,9,FALSE)</f>
        <v>0</v>
      </c>
      <c r="L250" s="113">
        <f>VLOOKUP(C250,'Talente &amp; Stuff'!AF:BG,10,FALSE)</f>
        <v>0</v>
      </c>
      <c r="M250" s="119">
        <f>VLOOKUP(C250,'Talente &amp; Stuff'!AF:BG,11,FALSE)</f>
        <v>0</v>
      </c>
      <c r="N250" s="47">
        <f>VLOOKUP(C250,'Talente &amp; Stuff'!AF:BG,12,FALSE)</f>
        <v>0</v>
      </c>
      <c r="O250" s="47">
        <f>VLOOKUP(C250,'Talente &amp; Stuff'!AF:BG,13,FALSE)</f>
        <v>0</v>
      </c>
      <c r="P250" s="119">
        <f>VLOOKUP(C250,'Talente &amp; Stuff'!AF:BG,14,FALSE)</f>
        <v>0</v>
      </c>
      <c r="Q250" s="114">
        <f>VLOOKUP(C250,'Talente &amp; Stuff'!AF:BG,15,FALSE)</f>
        <v>0</v>
      </c>
      <c r="R250" s="113">
        <f>VLOOKUP(C250,'Talente &amp; Stuff'!AF:BG,16,FALSE)</f>
        <v>0</v>
      </c>
      <c r="S250" s="119">
        <f>VLOOKUP(C250,'Talente &amp; Stuff'!AF:BG,17,FALSE)</f>
        <v>0</v>
      </c>
      <c r="T250" s="119">
        <f>VLOOKUP(C250,'Talente &amp; Stuff'!AF:BG,18,FALSE)</f>
        <v>0</v>
      </c>
      <c r="U250" s="89">
        <f>VLOOKUP(C250,'Talente &amp; Stuff'!AF:BG,19,FALSE)</f>
        <v>0</v>
      </c>
      <c r="V250" s="47">
        <f>VLOOKUP(C250,'Talente &amp; Stuff'!AF:BG,20,FALSE)</f>
        <v>0</v>
      </c>
      <c r="W250" s="127">
        <f>VLOOKUP(C250,'Talente &amp; Stuff'!AF:BG,21,FALSE)</f>
        <v>0</v>
      </c>
      <c r="X250" s="127">
        <f>VLOOKUP(C250,'Talente &amp; Stuff'!AF:BG,22,FALSE)</f>
        <v>0</v>
      </c>
      <c r="Y250" s="165">
        <f t="shared" si="20"/>
        <v>0</v>
      </c>
      <c r="Z250" s="44">
        <f t="shared" si="21"/>
        <v>0</v>
      </c>
      <c r="AA250" s="125">
        <f>VLOOKUP(C250,'Talente &amp; Stuff'!AF:BG,25,FALSE)</f>
        <v>0</v>
      </c>
      <c r="AB250" s="160">
        <f>VLOOKUP(C250,'Talente &amp; Stuff'!AF:BG,26,FALSE)</f>
        <v>0</v>
      </c>
      <c r="AC250" s="127">
        <f>VLOOKUP(C250,'Talente &amp; Stuff'!AF:BG,27,FALSE)</f>
        <v>0</v>
      </c>
      <c r="AD250" s="125">
        <f>VLOOKUP(C250,'Talente &amp; Stuff'!AF:BG,28,FALSE)</f>
        <v>0</v>
      </c>
      <c r="AE250" s="28"/>
    </row>
    <row r="251" spans="2:31" ht="15" hidden="1" customHeight="1" outlineLevel="2">
      <c r="B251" s="148">
        <v>39</v>
      </c>
      <c r="C251" s="177" t="str">
        <f>Attribute!C251</f>
        <v>---</v>
      </c>
      <c r="D251" s="125" t="str">
        <f>VLOOKUP(C251,'Talente &amp; Stuff'!AF:BG,2,FALSE)</f>
        <v>--/--/--</v>
      </c>
      <c r="E251" s="127" t="str">
        <f>VLOOKUP(C251,'Talente &amp; Stuff'!AF:BG,3,FALSE)</f>
        <v>-</v>
      </c>
      <c r="F251" s="114">
        <f>VLOOKUP(C251,'Talente &amp; Stuff'!AF:BG,4,FALSE)</f>
        <v>0</v>
      </c>
      <c r="G251" s="113">
        <f>VLOOKUP(C251,'Talente &amp; Stuff'!AF:BG,5,FALSE)</f>
        <v>0</v>
      </c>
      <c r="H251" s="113">
        <f>VLOOKUP(C251,'Talente &amp; Stuff'!AF:BG,6,FALSE)</f>
        <v>0</v>
      </c>
      <c r="I251" s="113">
        <f>VLOOKUP(C251,'Talente &amp; Stuff'!AF:BG,7,FALSE)</f>
        <v>0</v>
      </c>
      <c r="J251" s="113">
        <f>VLOOKUP(C251,'Talente &amp; Stuff'!AF:BG,8,FALSE)</f>
        <v>0</v>
      </c>
      <c r="K251" s="113">
        <f>VLOOKUP(C251,'Talente &amp; Stuff'!AF:BG,9,FALSE)</f>
        <v>0</v>
      </c>
      <c r="L251" s="113">
        <f>VLOOKUP(C251,'Talente &amp; Stuff'!AF:BG,10,FALSE)</f>
        <v>0</v>
      </c>
      <c r="M251" s="119">
        <f>VLOOKUP(C251,'Talente &amp; Stuff'!AF:BG,11,FALSE)</f>
        <v>0</v>
      </c>
      <c r="N251" s="47">
        <f>VLOOKUP(C251,'Talente &amp; Stuff'!AF:BG,12,FALSE)</f>
        <v>0</v>
      </c>
      <c r="O251" s="47">
        <f>VLOOKUP(C251,'Talente &amp; Stuff'!AF:BG,13,FALSE)</f>
        <v>0</v>
      </c>
      <c r="P251" s="119">
        <f>VLOOKUP(C251,'Talente &amp; Stuff'!AF:BG,14,FALSE)</f>
        <v>0</v>
      </c>
      <c r="Q251" s="114">
        <f>VLOOKUP(C251,'Talente &amp; Stuff'!AF:BG,15,FALSE)</f>
        <v>0</v>
      </c>
      <c r="R251" s="113">
        <f>VLOOKUP(C251,'Talente &amp; Stuff'!AF:BG,16,FALSE)</f>
        <v>0</v>
      </c>
      <c r="S251" s="119">
        <f>VLOOKUP(C251,'Talente &amp; Stuff'!AF:BG,17,FALSE)</f>
        <v>0</v>
      </c>
      <c r="T251" s="119">
        <f>VLOOKUP(C251,'Talente &amp; Stuff'!AF:BG,18,FALSE)</f>
        <v>0</v>
      </c>
      <c r="U251" s="89">
        <f>VLOOKUP(C251,'Talente &amp; Stuff'!AF:BG,19,FALSE)</f>
        <v>0</v>
      </c>
      <c r="V251" s="47">
        <f>VLOOKUP(C251,'Talente &amp; Stuff'!AF:BG,20,FALSE)</f>
        <v>0</v>
      </c>
      <c r="W251" s="127">
        <f>VLOOKUP(C251,'Talente &amp; Stuff'!AF:BG,21,FALSE)</f>
        <v>0</v>
      </c>
      <c r="X251" s="127">
        <f>VLOOKUP(C251,'Talente &amp; Stuff'!AF:BG,22,FALSE)</f>
        <v>0</v>
      </c>
      <c r="Y251" s="165">
        <f t="shared" si="20"/>
        <v>0</v>
      </c>
      <c r="Z251" s="44">
        <f t="shared" si="21"/>
        <v>0</v>
      </c>
      <c r="AA251" s="125">
        <f>VLOOKUP(C251,'Talente &amp; Stuff'!AF:BG,25,FALSE)</f>
        <v>0</v>
      </c>
      <c r="AB251" s="160">
        <f>VLOOKUP(C251,'Talente &amp; Stuff'!AF:BG,26,FALSE)</f>
        <v>0</v>
      </c>
      <c r="AC251" s="127">
        <f>VLOOKUP(C251,'Talente &amp; Stuff'!AF:BG,27,FALSE)</f>
        <v>0</v>
      </c>
      <c r="AD251" s="125">
        <f>VLOOKUP(C251,'Talente &amp; Stuff'!AF:BG,28,FALSE)</f>
        <v>0</v>
      </c>
      <c r="AE251" s="28"/>
    </row>
    <row r="252" spans="2:31" ht="15" hidden="1" customHeight="1" outlineLevel="2">
      <c r="B252" s="148">
        <v>40</v>
      </c>
      <c r="C252" s="177" t="str">
        <f>Attribute!C252</f>
        <v>---</v>
      </c>
      <c r="D252" s="86" t="str">
        <f>VLOOKUP(C252,'Talente &amp; Stuff'!AF:BG,2,FALSE)</f>
        <v>--/--/--</v>
      </c>
      <c r="E252" s="127" t="str">
        <f>VLOOKUP(C252,'Talente &amp; Stuff'!AF:BG,3,FALSE)</f>
        <v>-</v>
      </c>
      <c r="F252" s="114">
        <f>VLOOKUP(C252,'Talente &amp; Stuff'!AF:BG,4,FALSE)</f>
        <v>0</v>
      </c>
      <c r="G252" s="113">
        <f>VLOOKUP(C252,'Talente &amp; Stuff'!AF:BG,5,FALSE)</f>
        <v>0</v>
      </c>
      <c r="H252" s="113">
        <f>VLOOKUP(C252,'Talente &amp; Stuff'!AF:BG,6,FALSE)</f>
        <v>0</v>
      </c>
      <c r="I252" s="113">
        <f>VLOOKUP(C252,'Talente &amp; Stuff'!AF:BG,7,FALSE)</f>
        <v>0</v>
      </c>
      <c r="J252" s="113">
        <f>VLOOKUP(C252,'Talente &amp; Stuff'!AF:BG,8,FALSE)</f>
        <v>0</v>
      </c>
      <c r="K252" s="113">
        <f>VLOOKUP(C252,'Talente &amp; Stuff'!AF:BG,9,FALSE)</f>
        <v>0</v>
      </c>
      <c r="L252" s="113">
        <f>VLOOKUP(C252,'Talente &amp; Stuff'!AF:BG,10,FALSE)</f>
        <v>0</v>
      </c>
      <c r="M252" s="119">
        <f>VLOOKUP(C252,'Talente &amp; Stuff'!AF:BG,11,FALSE)</f>
        <v>0</v>
      </c>
      <c r="N252" s="47">
        <f>VLOOKUP(C252,'Talente &amp; Stuff'!AF:BG,12,FALSE)</f>
        <v>0</v>
      </c>
      <c r="O252" s="3">
        <f>VLOOKUP(C252,'Talente &amp; Stuff'!AF:BG,13,FALSE)</f>
        <v>0</v>
      </c>
      <c r="P252" s="174">
        <f>VLOOKUP(C252,'Talente &amp; Stuff'!AF:BG,14,FALSE)</f>
        <v>0</v>
      </c>
      <c r="Q252" s="114">
        <f>VLOOKUP(C252,'Talente &amp; Stuff'!AF:BG,15,FALSE)</f>
        <v>0</v>
      </c>
      <c r="R252" s="113">
        <f>VLOOKUP(C252,'Talente &amp; Stuff'!AF:BG,16,FALSE)</f>
        <v>0</v>
      </c>
      <c r="S252" s="119">
        <f>VLOOKUP(C252,'Talente &amp; Stuff'!AF:BG,17,FALSE)</f>
        <v>0</v>
      </c>
      <c r="T252" s="119">
        <f>VLOOKUP(C252,'Talente &amp; Stuff'!AF:BG,18,FALSE)</f>
        <v>0</v>
      </c>
      <c r="U252" s="89">
        <f>VLOOKUP(C252,'Talente &amp; Stuff'!AF:BG,19,FALSE)</f>
        <v>0</v>
      </c>
      <c r="V252" s="47">
        <f>VLOOKUP(C252,'Talente &amp; Stuff'!AF:BG,20,FALSE)</f>
        <v>0</v>
      </c>
      <c r="W252" s="127">
        <f>VLOOKUP(C252,'Talente &amp; Stuff'!AF:BG,21,FALSE)</f>
        <v>0</v>
      </c>
      <c r="X252" s="127">
        <f>VLOOKUP(C252,'Talente &amp; Stuff'!AF:BG,22,FALSE)</f>
        <v>0</v>
      </c>
      <c r="Y252" s="165">
        <f t="shared" si="20"/>
        <v>0</v>
      </c>
      <c r="Z252" s="44">
        <f t="shared" si="21"/>
        <v>0</v>
      </c>
      <c r="AA252" s="125">
        <f>VLOOKUP(C252,'Talente &amp; Stuff'!AF:BG,25,FALSE)</f>
        <v>0</v>
      </c>
      <c r="AB252" s="160">
        <f>VLOOKUP(C252,'Talente &amp; Stuff'!AF:BG,26,FALSE)</f>
        <v>0</v>
      </c>
      <c r="AC252" s="127">
        <f>VLOOKUP(C252,'Talente &amp; Stuff'!AF:BG,27,FALSE)</f>
        <v>0</v>
      </c>
      <c r="AD252" s="125">
        <f>VLOOKUP(C252,'Talente &amp; Stuff'!AF:BG,28,FALSE)</f>
        <v>0</v>
      </c>
      <c r="AE252" s="28"/>
    </row>
    <row r="253" spans="2:31" ht="15" hidden="1" customHeight="1" outlineLevel="2">
      <c r="B253" s="148">
        <v>41</v>
      </c>
      <c r="C253" s="177" t="str">
        <f>Attribute!C253</f>
        <v>---</v>
      </c>
      <c r="D253" s="125" t="str">
        <f>VLOOKUP(C253,'Talente &amp; Stuff'!AF:BG,2,FALSE)</f>
        <v>--/--/--</v>
      </c>
      <c r="E253" s="127" t="str">
        <f>VLOOKUP(C253,'Talente &amp; Stuff'!AF:BG,3,FALSE)</f>
        <v>-</v>
      </c>
      <c r="F253" s="114">
        <f>VLOOKUP(C253,'Talente &amp; Stuff'!AF:BG,4,FALSE)</f>
        <v>0</v>
      </c>
      <c r="G253" s="113">
        <f>VLOOKUP(C253,'Talente &amp; Stuff'!AF:BG,5,FALSE)</f>
        <v>0</v>
      </c>
      <c r="H253" s="113">
        <f>VLOOKUP(C253,'Talente &amp; Stuff'!AF:BG,6,FALSE)</f>
        <v>0</v>
      </c>
      <c r="I253" s="113">
        <f>VLOOKUP(C253,'Talente &amp; Stuff'!AF:BG,7,FALSE)</f>
        <v>0</v>
      </c>
      <c r="J253" s="113">
        <f>VLOOKUP(C253,'Talente &amp; Stuff'!AF:BG,8,FALSE)</f>
        <v>0</v>
      </c>
      <c r="K253" s="113">
        <f>VLOOKUP(C253,'Talente &amp; Stuff'!AF:BG,9,FALSE)</f>
        <v>0</v>
      </c>
      <c r="L253" s="113">
        <f>VLOOKUP(C253,'Talente &amp; Stuff'!AF:BG,10,FALSE)</f>
        <v>0</v>
      </c>
      <c r="M253" s="119">
        <f>VLOOKUP(C253,'Talente &amp; Stuff'!AF:BG,11,FALSE)</f>
        <v>0</v>
      </c>
      <c r="N253" s="47">
        <f>VLOOKUP(C253,'Talente &amp; Stuff'!AF:BG,12,FALSE)</f>
        <v>0</v>
      </c>
      <c r="O253" s="47">
        <f>VLOOKUP(C253,'Talente &amp; Stuff'!AF:BG,13,FALSE)</f>
        <v>0</v>
      </c>
      <c r="P253" s="119">
        <f>VLOOKUP(C253,'Talente &amp; Stuff'!AF:BG,14,FALSE)</f>
        <v>0</v>
      </c>
      <c r="Q253" s="114">
        <f>VLOOKUP(C253,'Talente &amp; Stuff'!AF:BG,15,FALSE)</f>
        <v>0</v>
      </c>
      <c r="R253" s="113">
        <f>VLOOKUP(C253,'Talente &amp; Stuff'!AF:BG,16,FALSE)</f>
        <v>0</v>
      </c>
      <c r="S253" s="119">
        <f>VLOOKUP(C253,'Talente &amp; Stuff'!AF:BG,17,FALSE)</f>
        <v>0</v>
      </c>
      <c r="T253" s="119">
        <f>VLOOKUP(C253,'Talente &amp; Stuff'!AF:BG,18,FALSE)</f>
        <v>0</v>
      </c>
      <c r="U253" s="89">
        <f>VLOOKUP(C253,'Talente &amp; Stuff'!AF:BG,19,FALSE)</f>
        <v>0</v>
      </c>
      <c r="V253" s="47">
        <f>VLOOKUP(C253,'Talente &amp; Stuff'!AF:BG,20,FALSE)</f>
        <v>0</v>
      </c>
      <c r="W253" s="127">
        <f>VLOOKUP(C253,'Talente &amp; Stuff'!AF:BG,21,FALSE)</f>
        <v>0</v>
      </c>
      <c r="X253" s="127">
        <f>VLOOKUP(C253,'Talente &amp; Stuff'!AF:BG,22,FALSE)</f>
        <v>0</v>
      </c>
      <c r="Y253" s="165">
        <f t="shared" si="20"/>
        <v>0</v>
      </c>
      <c r="Z253" s="44">
        <f t="shared" si="21"/>
        <v>0</v>
      </c>
      <c r="AA253" s="125">
        <f>VLOOKUP(C253,'Talente &amp; Stuff'!AF:BG,25,FALSE)</f>
        <v>0</v>
      </c>
      <c r="AB253" s="160">
        <f>VLOOKUP(C253,'Talente &amp; Stuff'!AF:BG,26,FALSE)</f>
        <v>0</v>
      </c>
      <c r="AC253" s="127">
        <f>VLOOKUP(C253,'Talente &amp; Stuff'!AF:BG,27,FALSE)</f>
        <v>0</v>
      </c>
      <c r="AD253" s="125">
        <f>VLOOKUP(C253,'Talente &amp; Stuff'!AF:BG,28,FALSE)</f>
        <v>0</v>
      </c>
      <c r="AE253" s="28"/>
    </row>
    <row r="254" spans="2:31" ht="15" hidden="1" customHeight="1" outlineLevel="2">
      <c r="B254" s="148">
        <v>42</v>
      </c>
      <c r="C254" s="177" t="str">
        <f>Attribute!C254</f>
        <v>---</v>
      </c>
      <c r="D254" s="125" t="str">
        <f>VLOOKUP(C254,'Talente &amp; Stuff'!AF:BG,2,FALSE)</f>
        <v>--/--/--</v>
      </c>
      <c r="E254" s="127" t="str">
        <f>VLOOKUP(C254,'Talente &amp; Stuff'!AF:BG,3,FALSE)</f>
        <v>-</v>
      </c>
      <c r="F254" s="114">
        <f>VLOOKUP(C254,'Talente &amp; Stuff'!AF:BG,4,FALSE)</f>
        <v>0</v>
      </c>
      <c r="G254" s="113">
        <f>VLOOKUP(C254,'Talente &amp; Stuff'!AF:BG,5,FALSE)</f>
        <v>0</v>
      </c>
      <c r="H254" s="113">
        <f>VLOOKUP(C254,'Talente &amp; Stuff'!AF:BG,6,FALSE)</f>
        <v>0</v>
      </c>
      <c r="I254" s="113">
        <f>VLOOKUP(C254,'Talente &amp; Stuff'!AF:BG,7,FALSE)</f>
        <v>0</v>
      </c>
      <c r="J254" s="113">
        <f>VLOOKUP(C254,'Talente &amp; Stuff'!AF:BG,8,FALSE)</f>
        <v>0</v>
      </c>
      <c r="K254" s="113">
        <f>VLOOKUP(C254,'Talente &amp; Stuff'!AF:BG,9,FALSE)</f>
        <v>0</v>
      </c>
      <c r="L254" s="113">
        <f>VLOOKUP(C254,'Talente &amp; Stuff'!AF:BG,10,FALSE)</f>
        <v>0</v>
      </c>
      <c r="M254" s="119">
        <f>VLOOKUP(C254,'Talente &amp; Stuff'!AF:BG,11,FALSE)</f>
        <v>0</v>
      </c>
      <c r="N254" s="47">
        <f>VLOOKUP(C254,'Talente &amp; Stuff'!AF:BG,12,FALSE)</f>
        <v>0</v>
      </c>
      <c r="O254" s="47">
        <f>VLOOKUP(C254,'Talente &amp; Stuff'!AF:BG,13,FALSE)</f>
        <v>0</v>
      </c>
      <c r="P254" s="119">
        <f>VLOOKUP(C254,'Talente &amp; Stuff'!AF:BG,14,FALSE)</f>
        <v>0</v>
      </c>
      <c r="Q254" s="114">
        <f>VLOOKUP(C254,'Talente &amp; Stuff'!AF:BG,15,FALSE)</f>
        <v>0</v>
      </c>
      <c r="R254" s="113">
        <f>VLOOKUP(C254,'Talente &amp; Stuff'!AF:BG,16,FALSE)</f>
        <v>0</v>
      </c>
      <c r="S254" s="119">
        <f>VLOOKUP(C254,'Talente &amp; Stuff'!AF:BG,17,FALSE)</f>
        <v>0</v>
      </c>
      <c r="T254" s="119">
        <f>VLOOKUP(C254,'Talente &amp; Stuff'!AF:BG,18,FALSE)</f>
        <v>0</v>
      </c>
      <c r="U254" s="89">
        <f>VLOOKUP(C254,'Talente &amp; Stuff'!AF:BG,19,FALSE)</f>
        <v>0</v>
      </c>
      <c r="V254" s="47">
        <f>VLOOKUP(C254,'Talente &amp; Stuff'!AF:BG,20,FALSE)</f>
        <v>0</v>
      </c>
      <c r="W254" s="127">
        <f>VLOOKUP(C254,'Talente &amp; Stuff'!AF:BG,21,FALSE)</f>
        <v>0</v>
      </c>
      <c r="X254" s="127">
        <f>VLOOKUP(C254,'Talente &amp; Stuff'!AF:BG,22,FALSE)</f>
        <v>0</v>
      </c>
      <c r="Y254" s="165">
        <f t="shared" si="20"/>
        <v>0</v>
      </c>
      <c r="Z254" s="44">
        <f t="shared" si="21"/>
        <v>0</v>
      </c>
      <c r="AA254" s="125">
        <f>VLOOKUP(C254,'Talente &amp; Stuff'!AF:BG,25,FALSE)</f>
        <v>0</v>
      </c>
      <c r="AB254" s="160">
        <f>VLOOKUP(C254,'Talente &amp; Stuff'!AF:BG,26,FALSE)</f>
        <v>0</v>
      </c>
      <c r="AC254" s="127">
        <f>VLOOKUP(C254,'Talente &amp; Stuff'!AF:BG,27,FALSE)</f>
        <v>0</v>
      </c>
      <c r="AD254" s="125">
        <f>VLOOKUP(C254,'Talente &amp; Stuff'!AF:BG,28,FALSE)</f>
        <v>0</v>
      </c>
      <c r="AE254" s="28"/>
    </row>
    <row r="255" spans="2:31" ht="15" hidden="1" customHeight="1" outlineLevel="2">
      <c r="B255" s="148">
        <v>43</v>
      </c>
      <c r="C255" s="177" t="str">
        <f>Attribute!C255</f>
        <v>---</v>
      </c>
      <c r="D255" s="86" t="str">
        <f>VLOOKUP(C255,'Talente &amp; Stuff'!AF:BG,2,FALSE)</f>
        <v>--/--/--</v>
      </c>
      <c r="E255" s="127" t="str">
        <f>VLOOKUP(C255,'Talente &amp; Stuff'!AF:BG,3,FALSE)</f>
        <v>-</v>
      </c>
      <c r="F255" s="114">
        <f>VLOOKUP(C255,'Talente &amp; Stuff'!AF:BG,4,FALSE)</f>
        <v>0</v>
      </c>
      <c r="G255" s="113">
        <f>VLOOKUP(C255,'Talente &amp; Stuff'!AF:BG,5,FALSE)</f>
        <v>0</v>
      </c>
      <c r="H255" s="113">
        <f>VLOOKUP(C255,'Talente &amp; Stuff'!AF:BG,6,FALSE)</f>
        <v>0</v>
      </c>
      <c r="I255" s="113">
        <f>VLOOKUP(C255,'Talente &amp; Stuff'!AF:BG,7,FALSE)</f>
        <v>0</v>
      </c>
      <c r="J255" s="113">
        <f>VLOOKUP(C255,'Talente &amp; Stuff'!AF:BG,8,FALSE)</f>
        <v>0</v>
      </c>
      <c r="K255" s="113">
        <f>VLOOKUP(C255,'Talente &amp; Stuff'!AF:BG,9,FALSE)</f>
        <v>0</v>
      </c>
      <c r="L255" s="113">
        <f>VLOOKUP(C255,'Talente &amp; Stuff'!AF:BG,10,FALSE)</f>
        <v>0</v>
      </c>
      <c r="M255" s="119">
        <f>VLOOKUP(C255,'Talente &amp; Stuff'!AF:BG,11,FALSE)</f>
        <v>0</v>
      </c>
      <c r="N255" s="47">
        <f>VLOOKUP(C255,'Talente &amp; Stuff'!AF:BG,12,FALSE)</f>
        <v>0</v>
      </c>
      <c r="O255" s="3">
        <f>VLOOKUP(C255,'Talente &amp; Stuff'!AF:BG,13,FALSE)</f>
        <v>0</v>
      </c>
      <c r="P255" s="174">
        <f>VLOOKUP(C255,'Talente &amp; Stuff'!AF:BG,14,FALSE)</f>
        <v>0</v>
      </c>
      <c r="Q255" s="114">
        <f>VLOOKUP(C255,'Talente &amp; Stuff'!AF:BG,15,FALSE)</f>
        <v>0</v>
      </c>
      <c r="R255" s="113">
        <f>VLOOKUP(C255,'Talente &amp; Stuff'!AF:BG,16,FALSE)</f>
        <v>0</v>
      </c>
      <c r="S255" s="119">
        <f>VLOOKUP(C255,'Talente &amp; Stuff'!AF:BG,17,FALSE)</f>
        <v>0</v>
      </c>
      <c r="T255" s="119">
        <f>VLOOKUP(C255,'Talente &amp; Stuff'!AF:BG,18,FALSE)</f>
        <v>0</v>
      </c>
      <c r="U255" s="89">
        <f>VLOOKUP(C255,'Talente &amp; Stuff'!AF:BG,19,FALSE)</f>
        <v>0</v>
      </c>
      <c r="V255" s="47">
        <f>VLOOKUP(C255,'Talente &amp; Stuff'!AF:BG,20,FALSE)</f>
        <v>0</v>
      </c>
      <c r="W255" s="127">
        <f>VLOOKUP(C255,'Talente &amp; Stuff'!AF:BG,21,FALSE)</f>
        <v>0</v>
      </c>
      <c r="X255" s="127">
        <f>VLOOKUP(C255,'Talente &amp; Stuff'!AF:BG,22,FALSE)</f>
        <v>0</v>
      </c>
      <c r="Y255" s="165">
        <f t="shared" si="20"/>
        <v>0</v>
      </c>
      <c r="Z255" s="44">
        <f t="shared" si="21"/>
        <v>0</v>
      </c>
      <c r="AA255" s="125">
        <f>VLOOKUP(C255,'Talente &amp; Stuff'!AF:BG,25,FALSE)</f>
        <v>0</v>
      </c>
      <c r="AB255" s="160">
        <f>VLOOKUP(C255,'Talente &amp; Stuff'!AF:BG,26,FALSE)</f>
        <v>0</v>
      </c>
      <c r="AC255" s="127">
        <f>VLOOKUP(C255,'Talente &amp; Stuff'!AF:BG,27,FALSE)</f>
        <v>0</v>
      </c>
      <c r="AD255" s="125">
        <f>VLOOKUP(C255,'Talente &amp; Stuff'!AF:BG,28,FALSE)</f>
        <v>0</v>
      </c>
      <c r="AE255" s="28"/>
    </row>
    <row r="256" spans="2:31" ht="15" hidden="1" customHeight="1" outlineLevel="2">
      <c r="B256" s="148">
        <v>44</v>
      </c>
      <c r="C256" s="177" t="str">
        <f>Attribute!C256</f>
        <v>---</v>
      </c>
      <c r="D256" s="125" t="str">
        <f>VLOOKUP(C256,'Talente &amp; Stuff'!AF:BG,2,FALSE)</f>
        <v>--/--/--</v>
      </c>
      <c r="E256" s="127" t="str">
        <f>VLOOKUP(C256,'Talente &amp; Stuff'!AF:BG,3,FALSE)</f>
        <v>-</v>
      </c>
      <c r="F256" s="114">
        <f>VLOOKUP(C256,'Talente &amp; Stuff'!AF:BG,4,FALSE)</f>
        <v>0</v>
      </c>
      <c r="G256" s="113">
        <f>VLOOKUP(C256,'Talente &amp; Stuff'!AF:BG,5,FALSE)</f>
        <v>0</v>
      </c>
      <c r="H256" s="113">
        <f>VLOOKUP(C256,'Talente &amp; Stuff'!AF:BG,6,FALSE)</f>
        <v>0</v>
      </c>
      <c r="I256" s="113">
        <f>VLOOKUP(C256,'Talente &amp; Stuff'!AF:BG,7,FALSE)</f>
        <v>0</v>
      </c>
      <c r="J256" s="113">
        <f>VLOOKUP(C256,'Talente &amp; Stuff'!AF:BG,8,FALSE)</f>
        <v>0</v>
      </c>
      <c r="K256" s="113">
        <f>VLOOKUP(C256,'Talente &amp; Stuff'!AF:BG,9,FALSE)</f>
        <v>0</v>
      </c>
      <c r="L256" s="113">
        <f>VLOOKUP(C256,'Talente &amp; Stuff'!AF:BG,10,FALSE)</f>
        <v>0</v>
      </c>
      <c r="M256" s="119">
        <f>VLOOKUP(C256,'Talente &amp; Stuff'!AF:BG,11,FALSE)</f>
        <v>0</v>
      </c>
      <c r="N256" s="47">
        <f>VLOOKUP(C256,'Talente &amp; Stuff'!AF:BG,12,FALSE)</f>
        <v>0</v>
      </c>
      <c r="O256" s="47">
        <f>VLOOKUP(C256,'Talente &amp; Stuff'!AF:BG,13,FALSE)</f>
        <v>0</v>
      </c>
      <c r="P256" s="119">
        <f>VLOOKUP(C256,'Talente &amp; Stuff'!AF:BG,14,FALSE)</f>
        <v>0</v>
      </c>
      <c r="Q256" s="114">
        <f>VLOOKUP(C256,'Talente &amp; Stuff'!AF:BG,15,FALSE)</f>
        <v>0</v>
      </c>
      <c r="R256" s="113">
        <f>VLOOKUP(C256,'Talente &amp; Stuff'!AF:BG,16,FALSE)</f>
        <v>0</v>
      </c>
      <c r="S256" s="119">
        <f>VLOOKUP(C256,'Talente &amp; Stuff'!AF:BG,17,FALSE)</f>
        <v>0</v>
      </c>
      <c r="T256" s="119">
        <f>VLOOKUP(C256,'Talente &amp; Stuff'!AF:BG,18,FALSE)</f>
        <v>0</v>
      </c>
      <c r="U256" s="89">
        <f>VLOOKUP(C256,'Talente &amp; Stuff'!AF:BG,19,FALSE)</f>
        <v>0</v>
      </c>
      <c r="V256" s="47">
        <f>VLOOKUP(C256,'Talente &amp; Stuff'!AF:BG,20,FALSE)</f>
        <v>0</v>
      </c>
      <c r="W256" s="127">
        <f>VLOOKUP(C256,'Talente &amp; Stuff'!AF:BG,21,FALSE)</f>
        <v>0</v>
      </c>
      <c r="X256" s="127">
        <f>VLOOKUP(C256,'Talente &amp; Stuff'!AF:BG,22,FALSE)</f>
        <v>0</v>
      </c>
      <c r="Y256" s="165">
        <f t="shared" si="20"/>
        <v>0</v>
      </c>
      <c r="Z256" s="44">
        <f t="shared" si="21"/>
        <v>0</v>
      </c>
      <c r="AA256" s="125">
        <f>VLOOKUP(C256,'Talente &amp; Stuff'!AF:BG,25,FALSE)</f>
        <v>0</v>
      </c>
      <c r="AB256" s="160">
        <f>VLOOKUP(C256,'Talente &amp; Stuff'!AF:BG,26,FALSE)</f>
        <v>0</v>
      </c>
      <c r="AC256" s="127">
        <f>VLOOKUP(C256,'Talente &amp; Stuff'!AF:BG,27,FALSE)</f>
        <v>0</v>
      </c>
      <c r="AD256" s="125">
        <f>VLOOKUP(C256,'Talente &amp; Stuff'!AF:BG,28,FALSE)</f>
        <v>0</v>
      </c>
      <c r="AE256" s="28"/>
    </row>
    <row r="257" spans="2:31" ht="15" hidden="1" customHeight="1" outlineLevel="2">
      <c r="B257" s="148">
        <v>45</v>
      </c>
      <c r="C257" s="178" t="str">
        <f>Attribute!C257</f>
        <v>---</v>
      </c>
      <c r="D257" s="159" t="str">
        <f>VLOOKUP(C257,'Talente &amp; Stuff'!AF:BG,2,FALSE)</f>
        <v>--/--/--</v>
      </c>
      <c r="E257" s="128" t="str">
        <f>VLOOKUP(C257,'Talente &amp; Stuff'!AF:BG,3,FALSE)</f>
        <v>-</v>
      </c>
      <c r="F257" s="115">
        <f>VLOOKUP(C257,'Talente &amp; Stuff'!AF:BG,4,FALSE)</f>
        <v>0</v>
      </c>
      <c r="G257" s="122">
        <f>VLOOKUP(C257,'Talente &amp; Stuff'!AF:BG,5,FALSE)</f>
        <v>0</v>
      </c>
      <c r="H257" s="122">
        <f>VLOOKUP(C257,'Talente &amp; Stuff'!AF:BG,6,FALSE)</f>
        <v>0</v>
      </c>
      <c r="I257" s="122">
        <f>VLOOKUP(C257,'Talente &amp; Stuff'!AF:BG,7,FALSE)</f>
        <v>0</v>
      </c>
      <c r="J257" s="122">
        <f>VLOOKUP(C257,'Talente &amp; Stuff'!AF:BG,8,FALSE)</f>
        <v>0</v>
      </c>
      <c r="K257" s="122">
        <f>VLOOKUP(C257,'Talente &amp; Stuff'!AF:BG,9,FALSE)</f>
        <v>0</v>
      </c>
      <c r="L257" s="122">
        <f>VLOOKUP(C257,'Talente &amp; Stuff'!AF:BG,10,FALSE)</f>
        <v>0</v>
      </c>
      <c r="M257" s="123">
        <f>VLOOKUP(C257,'Talente &amp; Stuff'!AF:BG,11,FALSE)</f>
        <v>0</v>
      </c>
      <c r="N257" s="88">
        <f>VLOOKUP(C257,'Talente &amp; Stuff'!AF:BG,12,FALSE)</f>
        <v>0</v>
      </c>
      <c r="O257" s="88">
        <f>VLOOKUP(C257,'Talente &amp; Stuff'!AF:BG,13,FALSE)</f>
        <v>0</v>
      </c>
      <c r="P257" s="123">
        <f>VLOOKUP(C257,'Talente &amp; Stuff'!AF:BG,14,FALSE)</f>
        <v>0</v>
      </c>
      <c r="Q257" s="115">
        <f>VLOOKUP(C257,'Talente &amp; Stuff'!AF:BG,15,FALSE)</f>
        <v>0</v>
      </c>
      <c r="R257" s="122">
        <f>VLOOKUP(C257,'Talente &amp; Stuff'!AF:BG,16,FALSE)</f>
        <v>0</v>
      </c>
      <c r="S257" s="123">
        <f>VLOOKUP(C257,'Talente &amp; Stuff'!AF:BG,17,FALSE)</f>
        <v>0</v>
      </c>
      <c r="T257" s="123">
        <f>VLOOKUP(C257,'Talente &amp; Stuff'!AF:BG,18,FALSE)</f>
        <v>0</v>
      </c>
      <c r="U257" s="90">
        <f>VLOOKUP(C257,'Talente &amp; Stuff'!AF:BG,19,FALSE)</f>
        <v>0</v>
      </c>
      <c r="V257" s="88">
        <f>VLOOKUP(C257,'Talente &amp; Stuff'!AF:BG,20,FALSE)</f>
        <v>0</v>
      </c>
      <c r="W257" s="128">
        <f>VLOOKUP(C257,'Talente &amp; Stuff'!AF:BG,21,FALSE)</f>
        <v>0</v>
      </c>
      <c r="X257" s="128">
        <f>VLOOKUP(C257,'Talente &amp; Stuff'!AF:BG,22,FALSE)</f>
        <v>0</v>
      </c>
      <c r="Y257" s="165">
        <f t="shared" si="20"/>
        <v>0</v>
      </c>
      <c r="Z257" s="44">
        <f t="shared" si="21"/>
        <v>0</v>
      </c>
      <c r="AA257" s="159">
        <f>VLOOKUP(C257,'Talente &amp; Stuff'!AF:BG,25,FALSE)</f>
        <v>0</v>
      </c>
      <c r="AB257" s="161">
        <f>VLOOKUP(C257,'Talente &amp; Stuff'!AF:BG,26,FALSE)</f>
        <v>0</v>
      </c>
      <c r="AC257" s="128">
        <f>VLOOKUP(C257,'Talente &amp; Stuff'!AF:BG,27,FALSE)</f>
        <v>0</v>
      </c>
      <c r="AD257" s="159">
        <f>VLOOKUP(C257,'Talente &amp; Stuff'!AF:BG,28,FALSE)</f>
        <v>0</v>
      </c>
      <c r="AE257" s="28"/>
    </row>
    <row r="258" spans="2:31" s="148" customFormat="1" ht="15" hidden="1" customHeight="1" outlineLevel="1" collapsed="1">
      <c r="B258" s="134" t="s">
        <v>407</v>
      </c>
      <c r="C258" s="83"/>
      <c r="D258" s="84"/>
      <c r="E258" s="84"/>
      <c r="Y258" s="197"/>
      <c r="Z258" s="197"/>
    </row>
    <row r="259" spans="2:31" s="148" customFormat="1" ht="15" hidden="1" customHeight="1" outlineLevel="2">
      <c r="B259" s="148">
        <v>1</v>
      </c>
      <c r="C259" s="200" t="str">
        <f>Attribute!C259</f>
        <v>---</v>
      </c>
      <c r="D259" s="186" t="str">
        <f>VLOOKUP(C259,'Talente &amp; Stuff'!AF:BG,2,FALSE)</f>
        <v>--/--/--</v>
      </c>
      <c r="E259" s="40" t="str">
        <f>VLOOKUP(C259,'Talente &amp; Stuff'!AF:BG,3,FALSE)</f>
        <v>-</v>
      </c>
      <c r="F259" s="17">
        <f>VLOOKUP(C259,'Talente &amp; Stuff'!AF:BG,4,FALSE)</f>
        <v>0</v>
      </c>
      <c r="G259" s="183">
        <f>VLOOKUP(C259,'Talente &amp; Stuff'!AF:BG,5,FALSE)</f>
        <v>0</v>
      </c>
      <c r="H259" s="183">
        <f>VLOOKUP(C259,'Talente &amp; Stuff'!AF:BG,6,FALSE)</f>
        <v>0</v>
      </c>
      <c r="I259" s="183">
        <f>VLOOKUP(C259,'Talente &amp; Stuff'!AF:BG,7,FALSE)</f>
        <v>0</v>
      </c>
      <c r="J259" s="183">
        <f>VLOOKUP(C259,'Talente &amp; Stuff'!AF:BG,8,FALSE)</f>
        <v>0</v>
      </c>
      <c r="K259" s="183">
        <f>VLOOKUP(C259,'Talente &amp; Stuff'!AF:BG,9,FALSE)</f>
        <v>0</v>
      </c>
      <c r="L259" s="183">
        <f>VLOOKUP(C259,'Talente &amp; Stuff'!AF:BG,10,FALSE)</f>
        <v>0</v>
      </c>
      <c r="M259" s="180">
        <f>VLOOKUP(C259,'Talente &amp; Stuff'!AF:BG,11,FALSE)</f>
        <v>0</v>
      </c>
      <c r="N259" s="166">
        <f>VLOOKUP(C259,'Talente &amp; Stuff'!AF:BG,12,FALSE)</f>
        <v>0</v>
      </c>
      <c r="O259" s="32">
        <f>VLOOKUP(C259,'Talente &amp; Stuff'!AF:BG,13,FALSE)</f>
        <v>0</v>
      </c>
      <c r="P259" s="187">
        <f>VLOOKUP(C259,'Talente &amp; Stuff'!AF:BG,14,FALSE)</f>
        <v>0</v>
      </c>
      <c r="Q259" s="17">
        <f>VLOOKUP(C259,'Talente &amp; Stuff'!AF:BG,15,FALSE)</f>
        <v>0</v>
      </c>
      <c r="R259" s="188">
        <f>VLOOKUP(C259,'Talente &amp; Stuff'!AF:BG,16,FALSE)</f>
        <v>0</v>
      </c>
      <c r="S259" s="180">
        <f>VLOOKUP(C259,'Talente &amp; Stuff'!AF:BG,17,FALSE)</f>
        <v>0</v>
      </c>
      <c r="T259" s="189">
        <f>VLOOKUP(C259,'Talente &amp; Stuff'!AF:BG,18,FALSE)</f>
        <v>0</v>
      </c>
      <c r="U259" s="166">
        <f>VLOOKUP(C259,'Talente &amp; Stuff'!AF:BG,19,FALSE)</f>
        <v>0</v>
      </c>
      <c r="V259" s="179">
        <f>VLOOKUP(C259,'Talente &amp; Stuff'!AF:BG,20,FALSE)</f>
        <v>0</v>
      </c>
      <c r="W259" s="182">
        <f>VLOOKUP(C259,'Talente &amp; Stuff'!AF:BG,21,FALSE)</f>
        <v>0</v>
      </c>
      <c r="X259" s="182">
        <f>VLOOKUP(C259,'Talente &amp; Stuff'!AF:BG,22,FALSE)</f>
        <v>0</v>
      </c>
      <c r="Y259" s="165">
        <f>VLOOKUP(C259,Ausgewählte_Zauber_Kristallomanten,52,FALSE)</f>
        <v>0</v>
      </c>
      <c r="Z259" s="44">
        <f>VLOOKUP(C259,Ausgewählte_Zauber_Kristallomanten,53,FALSE)</f>
        <v>0</v>
      </c>
      <c r="AA259" s="40">
        <f>VLOOKUP(C259,'Talente &amp; Stuff'!AF:BG,25,FALSE)</f>
        <v>0</v>
      </c>
      <c r="AB259" s="189">
        <f>VLOOKUP(C259,'Talente &amp; Stuff'!AF:BG,26,FALSE)</f>
        <v>0</v>
      </c>
      <c r="AC259" s="182">
        <f>VLOOKUP(C259,'Talente &amp; Stuff'!AF:BG,27,FALSE)</f>
        <v>0</v>
      </c>
      <c r="AD259" s="40">
        <f>VLOOKUP(C259,'Talente &amp; Stuff'!AF:BG,28,FALSE)</f>
        <v>0</v>
      </c>
      <c r="AE259" s="28"/>
    </row>
    <row r="260" spans="2:31" s="148" customFormat="1" ht="15" hidden="1" customHeight="1" outlineLevel="1" collapsed="1">
      <c r="B260" s="134" t="s">
        <v>408</v>
      </c>
      <c r="C260" s="83"/>
      <c r="D260" s="84"/>
      <c r="E260" s="84"/>
      <c r="Y260" s="197"/>
      <c r="Z260" s="197"/>
    </row>
    <row r="261" spans="2:31" s="148" customFormat="1" ht="15" hidden="1" customHeight="1" outlineLevel="2">
      <c r="B261" s="148">
        <v>1</v>
      </c>
      <c r="C261" s="162" t="str">
        <f>Attribute!C261</f>
        <v>---</v>
      </c>
      <c r="D261" s="85" t="str">
        <f>VLOOKUP(C261,'Talente &amp; Stuff'!AF:BG,2,FALSE)</f>
        <v>--/--/--</v>
      </c>
      <c r="E261" s="126" t="str">
        <f>VLOOKUP(C261,'Talente &amp; Stuff'!AF:BG,3,FALSE)</f>
        <v>-</v>
      </c>
      <c r="F261" s="191">
        <f>VLOOKUP(C261,'Talente &amp; Stuff'!AF:BG,4,FALSE)</f>
        <v>0</v>
      </c>
      <c r="G261" s="118">
        <f>VLOOKUP(C261,'Talente &amp; Stuff'!AF:BG,5,FALSE)</f>
        <v>0</v>
      </c>
      <c r="H261" s="118">
        <f>VLOOKUP(C261,'Talente &amp; Stuff'!AF:BG,6,FALSE)</f>
        <v>0</v>
      </c>
      <c r="I261" s="118">
        <f>VLOOKUP(C261,'Talente &amp; Stuff'!AF:BG,7,FALSE)</f>
        <v>0</v>
      </c>
      <c r="J261" s="118">
        <f>VLOOKUP(C261,'Talente &amp; Stuff'!AF:BG,8,FALSE)</f>
        <v>0</v>
      </c>
      <c r="K261" s="118">
        <f>VLOOKUP(C261,'Talente &amp; Stuff'!AF:BG,9,FALSE)</f>
        <v>0</v>
      </c>
      <c r="L261" s="118">
        <f>VLOOKUP(C261,'Talente &amp; Stuff'!AF:BG,10,FALSE)</f>
        <v>0</v>
      </c>
      <c r="M261" s="92">
        <f>VLOOKUP(C261,'Talente &amp; Stuff'!AF:BG,11,FALSE)</f>
        <v>0</v>
      </c>
      <c r="N261" s="116">
        <f>VLOOKUP(C261,'Talente &amp; Stuff'!AF:BG,12,FALSE)</f>
        <v>0</v>
      </c>
      <c r="O261" s="194">
        <f>VLOOKUP(C261,'Talente &amp; Stuff'!AF:BG,13,FALSE)</f>
        <v>0</v>
      </c>
      <c r="P261" s="192">
        <f>VLOOKUP(C261,'Talente &amp; Stuff'!AF:BG,14,FALSE)</f>
        <v>0</v>
      </c>
      <c r="Q261" s="191">
        <f>VLOOKUP(C261,'Talente &amp; Stuff'!AF:BG,15,FALSE)</f>
        <v>0</v>
      </c>
      <c r="R261" s="170">
        <f>VLOOKUP(C261,'Talente &amp; Stuff'!AF:BG,16,FALSE)</f>
        <v>0</v>
      </c>
      <c r="S261" s="92">
        <f>VLOOKUP(C261,'Talente &amp; Stuff'!AF:BG,17,FALSE)</f>
        <v>0</v>
      </c>
      <c r="T261" s="92">
        <f>VLOOKUP(C261,'Talente &amp; Stuff'!AF:BG,18,FALSE)</f>
        <v>0</v>
      </c>
      <c r="U261" s="193">
        <f>VLOOKUP(C261,'Talente &amp; Stuff'!AF:BG,19,FALSE)</f>
        <v>0</v>
      </c>
      <c r="V261" s="116">
        <f>VLOOKUP(C261,'Talente &amp; Stuff'!AF:BG,20,FALSE)</f>
        <v>0</v>
      </c>
      <c r="W261" s="126">
        <f>VLOOKUP(C261,'Talente &amp; Stuff'!AF:BG,21,FALSE)</f>
        <v>0</v>
      </c>
      <c r="X261" s="126">
        <f>VLOOKUP(C261,'Talente &amp; Stuff'!AF:BG,22,FALSE)</f>
        <v>0</v>
      </c>
      <c r="Y261" s="165">
        <f t="shared" ref="Y261:Y296" si="22">VLOOKUP(C261,Ausgewählte_Zauber_Scharlatane,52,FALSE)</f>
        <v>0</v>
      </c>
      <c r="Z261" s="44">
        <f t="shared" ref="Z261:Z296" si="23">VLOOKUP(C261,Ausgewählte_Zauber_Scharlatane,53,FALSE)</f>
        <v>0</v>
      </c>
      <c r="AA261" s="158">
        <f>VLOOKUP(C261,'Talente &amp; Stuff'!AF:BG,25,FALSE)</f>
        <v>0</v>
      </c>
      <c r="AB261" s="91">
        <f>VLOOKUP(C261,'Talente &amp; Stuff'!AF:BG,26,FALSE)</f>
        <v>0</v>
      </c>
      <c r="AC261" s="126">
        <f>VLOOKUP(C261,'Talente &amp; Stuff'!AF:BG,27,FALSE)</f>
        <v>0</v>
      </c>
      <c r="AD261" s="158">
        <f>VLOOKUP(C261,'Talente &amp; Stuff'!AF:BG,28,FALSE)</f>
        <v>0</v>
      </c>
      <c r="AE261" s="28"/>
    </row>
    <row r="262" spans="2:31" s="148" customFormat="1" ht="15" hidden="1" customHeight="1" outlineLevel="2">
      <c r="B262" s="148">
        <v>2</v>
      </c>
      <c r="C262" s="163" t="str">
        <f>Attribute!C262</f>
        <v>---</v>
      </c>
      <c r="D262" s="125" t="str">
        <f>VLOOKUP(C262,'Talente &amp; Stuff'!AF:BG,2,FALSE)</f>
        <v>--/--/--</v>
      </c>
      <c r="E262" s="127" t="str">
        <f>VLOOKUP(C262,'Talente &amp; Stuff'!AF:BG,3,FALSE)</f>
        <v>-</v>
      </c>
      <c r="F262" s="114">
        <f>VLOOKUP(C262,'Talente &amp; Stuff'!AF:BG,4,FALSE)</f>
        <v>0</v>
      </c>
      <c r="G262" s="113">
        <f>VLOOKUP(C262,'Talente &amp; Stuff'!AF:BG,5,FALSE)</f>
        <v>0</v>
      </c>
      <c r="H262" s="113">
        <f>VLOOKUP(C262,'Talente &amp; Stuff'!AF:BG,6,FALSE)</f>
        <v>0</v>
      </c>
      <c r="I262" s="113">
        <f>VLOOKUP(C262,'Talente &amp; Stuff'!AF:BG,7,FALSE)</f>
        <v>0</v>
      </c>
      <c r="J262" s="113">
        <f>VLOOKUP(C262,'Talente &amp; Stuff'!AF:BG,8,FALSE)</f>
        <v>0</v>
      </c>
      <c r="K262" s="113">
        <f>VLOOKUP(C262,'Talente &amp; Stuff'!AF:BG,9,FALSE)</f>
        <v>0</v>
      </c>
      <c r="L262" s="113">
        <f>VLOOKUP(C262,'Talente &amp; Stuff'!AF:BG,10,FALSE)</f>
        <v>0</v>
      </c>
      <c r="M262" s="119">
        <f>VLOOKUP(C262,'Talente &amp; Stuff'!AF:BG,11,FALSE)</f>
        <v>0</v>
      </c>
      <c r="N262" s="47">
        <f>VLOOKUP(C262,'Talente &amp; Stuff'!AF:BG,12,FALSE)</f>
        <v>0</v>
      </c>
      <c r="O262" s="47">
        <f>VLOOKUP(C262,'Talente &amp; Stuff'!AF:BG,13,FALSE)</f>
        <v>0</v>
      </c>
      <c r="P262" s="119">
        <f>VLOOKUP(C262,'Talente &amp; Stuff'!AF:BG,14,FALSE)</f>
        <v>0</v>
      </c>
      <c r="Q262" s="114">
        <f>VLOOKUP(C262,'Talente &amp; Stuff'!AF:BG,15,FALSE)</f>
        <v>0</v>
      </c>
      <c r="R262" s="113">
        <f>VLOOKUP(C262,'Talente &amp; Stuff'!AF:BG,16,FALSE)</f>
        <v>0</v>
      </c>
      <c r="S262" s="119">
        <f>VLOOKUP(C262,'Talente &amp; Stuff'!AF:BG,17,FALSE)</f>
        <v>0</v>
      </c>
      <c r="T262" s="119">
        <f>VLOOKUP(C262,'Talente &amp; Stuff'!AF:BG,18,FALSE)</f>
        <v>0</v>
      </c>
      <c r="U262" s="89">
        <f>VLOOKUP(C262,'Talente &amp; Stuff'!AF:BG,19,FALSE)</f>
        <v>0</v>
      </c>
      <c r="V262" s="47">
        <f>VLOOKUP(C262,'Talente &amp; Stuff'!AF:BG,20,FALSE)</f>
        <v>0</v>
      </c>
      <c r="W262" s="127">
        <f>VLOOKUP(C262,'Talente &amp; Stuff'!AF:BG,21,FALSE)</f>
        <v>0</v>
      </c>
      <c r="X262" s="127">
        <f>VLOOKUP(C262,'Talente &amp; Stuff'!AF:BG,22,FALSE)</f>
        <v>0</v>
      </c>
      <c r="Y262" s="165">
        <f t="shared" si="22"/>
        <v>0</v>
      </c>
      <c r="Z262" s="44">
        <f t="shared" si="23"/>
        <v>0</v>
      </c>
      <c r="AA262" s="125">
        <f>VLOOKUP(C262,'Talente &amp; Stuff'!AF:BG,25,FALSE)</f>
        <v>0</v>
      </c>
      <c r="AB262" s="160">
        <f>VLOOKUP(C262,'Talente &amp; Stuff'!AF:BG,26,FALSE)</f>
        <v>0</v>
      </c>
      <c r="AC262" s="127">
        <f>VLOOKUP(C262,'Talente &amp; Stuff'!AF:BG,27,FALSE)</f>
        <v>0</v>
      </c>
      <c r="AD262" s="125">
        <f>VLOOKUP(C262,'Talente &amp; Stuff'!AF:BG,28,FALSE)</f>
        <v>0</v>
      </c>
      <c r="AE262" s="28"/>
    </row>
    <row r="263" spans="2:31" s="148" customFormat="1" ht="15" hidden="1" customHeight="1" outlineLevel="2">
      <c r="B263" s="148">
        <v>3</v>
      </c>
      <c r="C263" s="163" t="str">
        <f>Attribute!C263</f>
        <v>---</v>
      </c>
      <c r="D263" s="125" t="str">
        <f>VLOOKUP(C263,'Talente &amp; Stuff'!AF:BG,2,FALSE)</f>
        <v>--/--/--</v>
      </c>
      <c r="E263" s="127" t="str">
        <f>VLOOKUP(C263,'Talente &amp; Stuff'!AF:BG,3,FALSE)</f>
        <v>-</v>
      </c>
      <c r="F263" s="114">
        <f>VLOOKUP(C263,'Talente &amp; Stuff'!AF:BG,4,FALSE)</f>
        <v>0</v>
      </c>
      <c r="G263" s="113">
        <f>VLOOKUP(C263,'Talente &amp; Stuff'!AF:BG,5,FALSE)</f>
        <v>0</v>
      </c>
      <c r="H263" s="113">
        <f>VLOOKUP(C263,'Talente &amp; Stuff'!AF:BG,6,FALSE)</f>
        <v>0</v>
      </c>
      <c r="I263" s="113">
        <f>VLOOKUP(C263,'Talente &amp; Stuff'!AF:BG,7,FALSE)</f>
        <v>0</v>
      </c>
      <c r="J263" s="113">
        <f>VLOOKUP(C263,'Talente &amp; Stuff'!AF:BG,8,FALSE)</f>
        <v>0</v>
      </c>
      <c r="K263" s="113">
        <f>VLOOKUP(C263,'Talente &amp; Stuff'!AF:BG,9,FALSE)</f>
        <v>0</v>
      </c>
      <c r="L263" s="113">
        <f>VLOOKUP(C263,'Talente &amp; Stuff'!AF:BG,10,FALSE)</f>
        <v>0</v>
      </c>
      <c r="M263" s="119">
        <f>VLOOKUP(C263,'Talente &amp; Stuff'!AF:BG,11,FALSE)</f>
        <v>0</v>
      </c>
      <c r="N263" s="47">
        <f>VLOOKUP(C263,'Talente &amp; Stuff'!AF:BG,12,FALSE)</f>
        <v>0</v>
      </c>
      <c r="O263" s="47">
        <f>VLOOKUP(C263,'Talente &amp; Stuff'!AF:BG,13,FALSE)</f>
        <v>0</v>
      </c>
      <c r="P263" s="119">
        <f>VLOOKUP(C263,'Talente &amp; Stuff'!AF:BG,14,FALSE)</f>
        <v>0</v>
      </c>
      <c r="Q263" s="114">
        <f>VLOOKUP(C263,'Talente &amp; Stuff'!AF:BG,15,FALSE)</f>
        <v>0</v>
      </c>
      <c r="R263" s="113">
        <f>VLOOKUP(C263,'Talente &amp; Stuff'!AF:BG,16,FALSE)</f>
        <v>0</v>
      </c>
      <c r="S263" s="119">
        <f>VLOOKUP(C263,'Talente &amp; Stuff'!AF:BG,17,FALSE)</f>
        <v>0</v>
      </c>
      <c r="T263" s="119">
        <f>VLOOKUP(C263,'Talente &amp; Stuff'!AF:BG,18,FALSE)</f>
        <v>0</v>
      </c>
      <c r="U263" s="89">
        <f>VLOOKUP(C263,'Talente &amp; Stuff'!AF:BG,19,FALSE)</f>
        <v>0</v>
      </c>
      <c r="V263" s="47">
        <f>VLOOKUP(C263,'Talente &amp; Stuff'!AF:BG,20,FALSE)</f>
        <v>0</v>
      </c>
      <c r="W263" s="127">
        <f>VLOOKUP(C263,'Talente &amp; Stuff'!AF:BG,21,FALSE)</f>
        <v>0</v>
      </c>
      <c r="X263" s="127">
        <f>VLOOKUP(C263,'Talente &amp; Stuff'!AF:BG,22,FALSE)</f>
        <v>0</v>
      </c>
      <c r="Y263" s="165">
        <f t="shared" si="22"/>
        <v>0</v>
      </c>
      <c r="Z263" s="44">
        <f t="shared" si="23"/>
        <v>0</v>
      </c>
      <c r="AA263" s="125">
        <f>VLOOKUP(C263,'Talente &amp; Stuff'!AF:BG,25,FALSE)</f>
        <v>0</v>
      </c>
      <c r="AB263" s="160">
        <f>VLOOKUP(C263,'Talente &amp; Stuff'!AF:BG,26,FALSE)</f>
        <v>0</v>
      </c>
      <c r="AC263" s="127">
        <f>VLOOKUP(C263,'Talente &amp; Stuff'!AF:BG,27,FALSE)</f>
        <v>0</v>
      </c>
      <c r="AD263" s="125">
        <f>VLOOKUP(C263,'Talente &amp; Stuff'!AF:BG,28,FALSE)</f>
        <v>0</v>
      </c>
      <c r="AE263" s="28"/>
    </row>
    <row r="264" spans="2:31" s="148" customFormat="1" ht="15" hidden="1" customHeight="1" outlineLevel="2">
      <c r="B264" s="148">
        <v>4</v>
      </c>
      <c r="C264" s="163" t="str">
        <f>Attribute!C264</f>
        <v>---</v>
      </c>
      <c r="D264" s="86" t="str">
        <f>VLOOKUP(C264,'Talente &amp; Stuff'!AF:BG,2,FALSE)</f>
        <v>--/--/--</v>
      </c>
      <c r="E264" s="167" t="str">
        <f>VLOOKUP(C264,'Talente &amp; Stuff'!AF:BG,3,FALSE)</f>
        <v>-</v>
      </c>
      <c r="F264" s="120">
        <f>VLOOKUP(C264,'Talente &amp; Stuff'!AF:BG,4,FALSE)</f>
        <v>0</v>
      </c>
      <c r="G264" s="117">
        <f>VLOOKUP(C264,'Talente &amp; Stuff'!AF:BG,5,FALSE)</f>
        <v>0</v>
      </c>
      <c r="H264" s="117">
        <f>VLOOKUP(C264,'Talente &amp; Stuff'!AF:BG,6,FALSE)</f>
        <v>0</v>
      </c>
      <c r="I264" s="117">
        <f>VLOOKUP(C264,'Talente &amp; Stuff'!AF:BG,7,FALSE)</f>
        <v>0</v>
      </c>
      <c r="J264" s="117">
        <f>VLOOKUP(C264,'Talente &amp; Stuff'!AF:BG,8,FALSE)</f>
        <v>0</v>
      </c>
      <c r="K264" s="117">
        <f>VLOOKUP(C264,'Talente &amp; Stuff'!AF:BG,9,FALSE)</f>
        <v>0</v>
      </c>
      <c r="L264" s="117">
        <f>VLOOKUP(C264,'Talente &amp; Stuff'!AF:BG,10,FALSE)</f>
        <v>0</v>
      </c>
      <c r="M264" s="121">
        <f>VLOOKUP(C264,'Talente &amp; Stuff'!AF:BG,11,FALSE)</f>
        <v>0</v>
      </c>
      <c r="N264" s="47">
        <f>VLOOKUP(C264,'Talente &amp; Stuff'!AF:BG,12,FALSE)</f>
        <v>0</v>
      </c>
      <c r="O264" s="3">
        <f>VLOOKUP(C264,'Talente &amp; Stuff'!AF:BG,13,FALSE)</f>
        <v>0</v>
      </c>
      <c r="P264" s="174">
        <f>VLOOKUP(C264,'Talente &amp; Stuff'!AF:BG,14,FALSE)</f>
        <v>0</v>
      </c>
      <c r="Q264" s="114">
        <f>VLOOKUP(C264,'Talente &amp; Stuff'!AF:BG,15,FALSE)</f>
        <v>0</v>
      </c>
      <c r="R264" s="117">
        <f>VLOOKUP(C264,'Talente &amp; Stuff'!AF:BG,16,FALSE)</f>
        <v>0</v>
      </c>
      <c r="S264" s="119">
        <f>VLOOKUP(C264,'Talente &amp; Stuff'!AF:BG,17,FALSE)</f>
        <v>0</v>
      </c>
      <c r="T264" s="119">
        <f>VLOOKUP(C264,'Talente &amp; Stuff'!AF:BG,18,FALSE)</f>
        <v>0</v>
      </c>
      <c r="U264" s="89">
        <f>VLOOKUP(C264,'Talente &amp; Stuff'!AF:BG,19,FALSE)</f>
        <v>0</v>
      </c>
      <c r="V264" s="47">
        <f>VLOOKUP(C264,'Talente &amp; Stuff'!AF:BG,20,FALSE)</f>
        <v>0</v>
      </c>
      <c r="W264" s="127">
        <f>VLOOKUP(C264,'Talente &amp; Stuff'!AF:BG,21,FALSE)</f>
        <v>0</v>
      </c>
      <c r="X264" s="127">
        <f>VLOOKUP(C264,'Talente &amp; Stuff'!AF:BG,22,FALSE)</f>
        <v>0</v>
      </c>
      <c r="Y264" s="165">
        <f t="shared" si="22"/>
        <v>0</v>
      </c>
      <c r="Z264" s="44">
        <f t="shared" si="23"/>
        <v>0</v>
      </c>
      <c r="AA264" s="125">
        <f>VLOOKUP(C264,'Talente &amp; Stuff'!AF:BG,25,FALSE)</f>
        <v>0</v>
      </c>
      <c r="AB264" s="160">
        <f>VLOOKUP(C264,'Talente &amp; Stuff'!AF:BG,26,FALSE)</f>
        <v>0</v>
      </c>
      <c r="AC264" s="127">
        <f>VLOOKUP(C264,'Talente &amp; Stuff'!AF:BG,27,FALSE)</f>
        <v>0</v>
      </c>
      <c r="AD264" s="125">
        <f>VLOOKUP(C264,'Talente &amp; Stuff'!AF:BG,28,FALSE)</f>
        <v>0</v>
      </c>
      <c r="AE264" s="28"/>
    </row>
    <row r="265" spans="2:31" s="148" customFormat="1" ht="15" hidden="1" customHeight="1" outlineLevel="2">
      <c r="B265" s="148">
        <v>5</v>
      </c>
      <c r="C265" s="163" t="str">
        <f>Attribute!C265</f>
        <v>---</v>
      </c>
      <c r="D265" s="86" t="str">
        <f>VLOOKUP(C265,'Talente &amp; Stuff'!AF:BG,2,FALSE)</f>
        <v>--/--/--</v>
      </c>
      <c r="E265" s="167" t="str">
        <f>VLOOKUP(C265,'Talente &amp; Stuff'!AF:BG,3,FALSE)</f>
        <v>-</v>
      </c>
      <c r="F265" s="120">
        <f>VLOOKUP(C265,'Talente &amp; Stuff'!AF:BG,4,FALSE)</f>
        <v>0</v>
      </c>
      <c r="G265" s="117">
        <f>VLOOKUP(C265,'Talente &amp; Stuff'!AF:BG,5,FALSE)</f>
        <v>0</v>
      </c>
      <c r="H265" s="117">
        <f>VLOOKUP(C265,'Talente &amp; Stuff'!AF:BG,6,FALSE)</f>
        <v>0</v>
      </c>
      <c r="I265" s="117">
        <f>VLOOKUP(C265,'Talente &amp; Stuff'!AF:BG,7,FALSE)</f>
        <v>0</v>
      </c>
      <c r="J265" s="117">
        <f>VLOOKUP(C265,'Talente &amp; Stuff'!AF:BG,8,FALSE)</f>
        <v>0</v>
      </c>
      <c r="K265" s="117">
        <f>VLOOKUP(C265,'Talente &amp; Stuff'!AF:BG,9,FALSE)</f>
        <v>0</v>
      </c>
      <c r="L265" s="117">
        <f>VLOOKUP(C265,'Talente &amp; Stuff'!AF:BG,10,FALSE)</f>
        <v>0</v>
      </c>
      <c r="M265" s="121">
        <f>VLOOKUP(C265,'Talente &amp; Stuff'!AF:BG,11,FALSE)</f>
        <v>0</v>
      </c>
      <c r="N265" s="47">
        <f>VLOOKUP(C265,'Talente &amp; Stuff'!AF:BG,12,FALSE)</f>
        <v>0</v>
      </c>
      <c r="O265" s="3">
        <f>VLOOKUP(C265,'Talente &amp; Stuff'!AF:BG,13,FALSE)</f>
        <v>0</v>
      </c>
      <c r="P265" s="174">
        <f>VLOOKUP(C265,'Talente &amp; Stuff'!AF:BG,14,FALSE)</f>
        <v>0</v>
      </c>
      <c r="Q265" s="114">
        <f>VLOOKUP(C265,'Talente &amp; Stuff'!AF:BG,15,FALSE)</f>
        <v>0</v>
      </c>
      <c r="R265" s="117">
        <f>VLOOKUP(C265,'Talente &amp; Stuff'!AF:BG,16,FALSE)</f>
        <v>0</v>
      </c>
      <c r="S265" s="119">
        <f>VLOOKUP(C265,'Talente &amp; Stuff'!AF:BG,17,FALSE)</f>
        <v>0</v>
      </c>
      <c r="T265" s="119">
        <f>VLOOKUP(C265,'Talente &amp; Stuff'!AF:BG,18,FALSE)</f>
        <v>0</v>
      </c>
      <c r="U265" s="89">
        <f>VLOOKUP(C265,'Talente &amp; Stuff'!AF:BG,19,FALSE)</f>
        <v>0</v>
      </c>
      <c r="V265" s="47">
        <f>VLOOKUP(C265,'Talente &amp; Stuff'!AF:BG,20,FALSE)</f>
        <v>0</v>
      </c>
      <c r="W265" s="127">
        <f>VLOOKUP(C265,'Talente &amp; Stuff'!AF:BG,21,FALSE)</f>
        <v>0</v>
      </c>
      <c r="X265" s="127">
        <f>VLOOKUP(C265,'Talente &amp; Stuff'!AF:BG,22,FALSE)</f>
        <v>0</v>
      </c>
      <c r="Y265" s="165">
        <f t="shared" si="22"/>
        <v>0</v>
      </c>
      <c r="Z265" s="44">
        <f t="shared" si="23"/>
        <v>0</v>
      </c>
      <c r="AA265" s="125">
        <f>VLOOKUP(C265,'Talente &amp; Stuff'!AF:BG,25,FALSE)</f>
        <v>0</v>
      </c>
      <c r="AB265" s="160">
        <f>VLOOKUP(C265,'Talente &amp; Stuff'!AF:BG,26,FALSE)</f>
        <v>0</v>
      </c>
      <c r="AC265" s="127">
        <f>VLOOKUP(C265,'Talente &amp; Stuff'!AF:BG,27,FALSE)</f>
        <v>0</v>
      </c>
      <c r="AD265" s="125">
        <f>VLOOKUP(C265,'Talente &amp; Stuff'!AF:BG,28,FALSE)</f>
        <v>0</v>
      </c>
      <c r="AE265" s="28"/>
    </row>
    <row r="266" spans="2:31" s="148" customFormat="1" ht="15" hidden="1" customHeight="1" outlineLevel="2">
      <c r="B266" s="148">
        <v>6</v>
      </c>
      <c r="C266" s="163" t="str">
        <f>Attribute!C266</f>
        <v>---</v>
      </c>
      <c r="D266" s="125" t="str">
        <f>VLOOKUP(C266,'Talente &amp; Stuff'!AF:BG,2,FALSE)</f>
        <v>--/--/--</v>
      </c>
      <c r="E266" s="127" t="str">
        <f>VLOOKUP(C266,'Talente &amp; Stuff'!AF:BG,3,FALSE)</f>
        <v>-</v>
      </c>
      <c r="F266" s="114">
        <f>VLOOKUP(C266,'Talente &amp; Stuff'!AF:BG,4,FALSE)</f>
        <v>0</v>
      </c>
      <c r="G266" s="113">
        <f>VLOOKUP(C266,'Talente &amp; Stuff'!AF:BG,5,FALSE)</f>
        <v>0</v>
      </c>
      <c r="H266" s="113">
        <f>VLOOKUP(C266,'Talente &amp; Stuff'!AF:BG,6,FALSE)</f>
        <v>0</v>
      </c>
      <c r="I266" s="113">
        <f>VLOOKUP(C266,'Talente &amp; Stuff'!AF:BG,7,FALSE)</f>
        <v>0</v>
      </c>
      <c r="J266" s="113">
        <f>VLOOKUP(C266,'Talente &amp; Stuff'!AF:BG,8,FALSE)</f>
        <v>0</v>
      </c>
      <c r="K266" s="113">
        <f>VLOOKUP(C266,'Talente &amp; Stuff'!AF:BG,9,FALSE)</f>
        <v>0</v>
      </c>
      <c r="L266" s="113">
        <f>VLOOKUP(C266,'Talente &amp; Stuff'!AF:BG,10,FALSE)</f>
        <v>0</v>
      </c>
      <c r="M266" s="119">
        <f>VLOOKUP(C266,'Talente &amp; Stuff'!AF:BG,11,FALSE)</f>
        <v>0</v>
      </c>
      <c r="N266" s="47">
        <f>VLOOKUP(C266,'Talente &amp; Stuff'!AF:BG,12,FALSE)</f>
        <v>0</v>
      </c>
      <c r="O266" s="47">
        <f>VLOOKUP(C266,'Talente &amp; Stuff'!AF:BG,13,FALSE)</f>
        <v>0</v>
      </c>
      <c r="P266" s="119">
        <f>VLOOKUP(C266,'Talente &amp; Stuff'!AF:BG,14,FALSE)</f>
        <v>0</v>
      </c>
      <c r="Q266" s="114">
        <f>VLOOKUP(C266,'Talente &amp; Stuff'!AF:BG,15,FALSE)</f>
        <v>0</v>
      </c>
      <c r="R266" s="113">
        <f>VLOOKUP(C266,'Talente &amp; Stuff'!AF:BG,16,FALSE)</f>
        <v>0</v>
      </c>
      <c r="S266" s="119">
        <f>VLOOKUP(C266,'Talente &amp; Stuff'!AF:BG,17,FALSE)</f>
        <v>0</v>
      </c>
      <c r="T266" s="119">
        <f>VLOOKUP(C266,'Talente &amp; Stuff'!AF:BG,18,FALSE)</f>
        <v>0</v>
      </c>
      <c r="U266" s="89">
        <f>VLOOKUP(C266,'Talente &amp; Stuff'!AF:BG,19,FALSE)</f>
        <v>0</v>
      </c>
      <c r="V266" s="47">
        <f>VLOOKUP(C266,'Talente &amp; Stuff'!AF:BG,20,FALSE)</f>
        <v>0</v>
      </c>
      <c r="W266" s="127">
        <f>VLOOKUP(C266,'Talente &amp; Stuff'!AF:BG,21,FALSE)</f>
        <v>0</v>
      </c>
      <c r="X266" s="127">
        <f>VLOOKUP(C266,'Talente &amp; Stuff'!AF:BG,22,FALSE)</f>
        <v>0</v>
      </c>
      <c r="Y266" s="165">
        <f t="shared" si="22"/>
        <v>0</v>
      </c>
      <c r="Z266" s="44">
        <f t="shared" si="23"/>
        <v>0</v>
      </c>
      <c r="AA266" s="125">
        <f>VLOOKUP(C266,'Talente &amp; Stuff'!AF:BG,25,FALSE)</f>
        <v>0</v>
      </c>
      <c r="AB266" s="160">
        <f>VLOOKUP(C266,'Talente &amp; Stuff'!AF:BG,26,FALSE)</f>
        <v>0</v>
      </c>
      <c r="AC266" s="127">
        <f>VLOOKUP(C266,'Talente &amp; Stuff'!AF:BG,27,FALSE)</f>
        <v>0</v>
      </c>
      <c r="AD266" s="125">
        <f>VLOOKUP(C266,'Talente &amp; Stuff'!AF:BG,28,FALSE)</f>
        <v>0</v>
      </c>
      <c r="AE266" s="28"/>
    </row>
    <row r="267" spans="2:31" s="148" customFormat="1" ht="15" hidden="1" customHeight="1" outlineLevel="2">
      <c r="B267" s="148">
        <v>7</v>
      </c>
      <c r="C267" s="163" t="str">
        <f>Attribute!C267</f>
        <v>---</v>
      </c>
      <c r="D267" s="125" t="str">
        <f>VLOOKUP(C267,'Talente &amp; Stuff'!AF:BG,2,FALSE)</f>
        <v>--/--/--</v>
      </c>
      <c r="E267" s="127" t="str">
        <f>VLOOKUP(C267,'Talente &amp; Stuff'!AF:BG,3,FALSE)</f>
        <v>-</v>
      </c>
      <c r="F267" s="114">
        <f>VLOOKUP(C267,'Talente &amp; Stuff'!AF:BG,4,FALSE)</f>
        <v>0</v>
      </c>
      <c r="G267" s="113">
        <f>VLOOKUP(C267,'Talente &amp; Stuff'!AF:BG,5,FALSE)</f>
        <v>0</v>
      </c>
      <c r="H267" s="113">
        <f>VLOOKUP(C267,'Talente &amp; Stuff'!AF:BG,6,FALSE)</f>
        <v>0</v>
      </c>
      <c r="I267" s="113">
        <f>VLOOKUP(C267,'Talente &amp; Stuff'!AF:BG,7,FALSE)</f>
        <v>0</v>
      </c>
      <c r="J267" s="113">
        <f>VLOOKUP(C267,'Talente &amp; Stuff'!AF:BG,8,FALSE)</f>
        <v>0</v>
      </c>
      <c r="K267" s="113">
        <f>VLOOKUP(C267,'Talente &amp; Stuff'!AF:BG,9,FALSE)</f>
        <v>0</v>
      </c>
      <c r="L267" s="113">
        <f>VLOOKUP(C267,'Talente &amp; Stuff'!AF:BG,10,FALSE)</f>
        <v>0</v>
      </c>
      <c r="M267" s="119">
        <f>VLOOKUP(C267,'Talente &amp; Stuff'!AF:BG,11,FALSE)</f>
        <v>0</v>
      </c>
      <c r="N267" s="47">
        <f>VLOOKUP(C267,'Talente &amp; Stuff'!AF:BG,12,FALSE)</f>
        <v>0</v>
      </c>
      <c r="O267" s="47">
        <f>VLOOKUP(C267,'Talente &amp; Stuff'!AF:BG,13,FALSE)</f>
        <v>0</v>
      </c>
      <c r="P267" s="119">
        <f>VLOOKUP(C267,'Talente &amp; Stuff'!AF:BG,14,FALSE)</f>
        <v>0</v>
      </c>
      <c r="Q267" s="114">
        <f>VLOOKUP(C267,'Talente &amp; Stuff'!AF:BG,15,FALSE)</f>
        <v>0</v>
      </c>
      <c r="R267" s="113">
        <f>VLOOKUP(C267,'Talente &amp; Stuff'!AF:BG,16,FALSE)</f>
        <v>0</v>
      </c>
      <c r="S267" s="119">
        <f>VLOOKUP(C267,'Talente &amp; Stuff'!AF:BG,17,FALSE)</f>
        <v>0</v>
      </c>
      <c r="T267" s="119">
        <f>VLOOKUP(C267,'Talente &amp; Stuff'!AF:BG,18,FALSE)</f>
        <v>0</v>
      </c>
      <c r="U267" s="89">
        <f>VLOOKUP(C267,'Talente &amp; Stuff'!AF:BG,19,FALSE)</f>
        <v>0</v>
      </c>
      <c r="V267" s="47">
        <f>VLOOKUP(C267,'Talente &amp; Stuff'!AF:BG,20,FALSE)</f>
        <v>0</v>
      </c>
      <c r="W267" s="127">
        <f>VLOOKUP(C267,'Talente &amp; Stuff'!AF:BG,21,FALSE)</f>
        <v>0</v>
      </c>
      <c r="X267" s="127">
        <f>VLOOKUP(C267,'Talente &amp; Stuff'!AF:BG,22,FALSE)</f>
        <v>0</v>
      </c>
      <c r="Y267" s="165">
        <f t="shared" si="22"/>
        <v>0</v>
      </c>
      <c r="Z267" s="44">
        <f t="shared" si="23"/>
        <v>0</v>
      </c>
      <c r="AA267" s="125">
        <f>VLOOKUP(C267,'Talente &amp; Stuff'!AF:BG,25,FALSE)</f>
        <v>0</v>
      </c>
      <c r="AB267" s="160">
        <f>VLOOKUP(C267,'Talente &amp; Stuff'!AF:BG,26,FALSE)</f>
        <v>0</v>
      </c>
      <c r="AC267" s="127">
        <f>VLOOKUP(C267,'Talente &amp; Stuff'!AF:BG,27,FALSE)</f>
        <v>0</v>
      </c>
      <c r="AD267" s="125">
        <f>VLOOKUP(C267,'Talente &amp; Stuff'!AF:BG,28,FALSE)</f>
        <v>0</v>
      </c>
      <c r="AE267" s="28"/>
    </row>
    <row r="268" spans="2:31" s="148" customFormat="1" ht="15" hidden="1" customHeight="1" outlineLevel="2">
      <c r="B268" s="148">
        <v>8</v>
      </c>
      <c r="C268" s="163" t="str">
        <f>Attribute!C268</f>
        <v>---</v>
      </c>
      <c r="D268" s="125" t="str">
        <f>VLOOKUP(C268,'Talente &amp; Stuff'!AF:BG,2,FALSE)</f>
        <v>--/--/--</v>
      </c>
      <c r="E268" s="127" t="str">
        <f>VLOOKUP(C268,'Talente &amp; Stuff'!AF:BG,3,FALSE)</f>
        <v>-</v>
      </c>
      <c r="F268" s="114">
        <f>VLOOKUP(C268,'Talente &amp; Stuff'!AF:BG,4,FALSE)</f>
        <v>0</v>
      </c>
      <c r="G268" s="113">
        <f>VLOOKUP(C268,'Talente &amp; Stuff'!AF:BG,5,FALSE)</f>
        <v>0</v>
      </c>
      <c r="H268" s="113">
        <f>VLOOKUP(C268,'Talente &amp; Stuff'!AF:BG,6,FALSE)</f>
        <v>0</v>
      </c>
      <c r="I268" s="113">
        <f>VLOOKUP(C268,'Talente &amp; Stuff'!AF:BG,7,FALSE)</f>
        <v>0</v>
      </c>
      <c r="J268" s="113">
        <f>VLOOKUP(C268,'Talente &amp; Stuff'!AF:BG,8,FALSE)</f>
        <v>0</v>
      </c>
      <c r="K268" s="113">
        <f>VLOOKUP(C268,'Talente &amp; Stuff'!AF:BG,9,FALSE)</f>
        <v>0</v>
      </c>
      <c r="L268" s="113">
        <f>VLOOKUP(C268,'Talente &amp; Stuff'!AF:BG,10,FALSE)</f>
        <v>0</v>
      </c>
      <c r="M268" s="119">
        <f>VLOOKUP(C268,'Talente &amp; Stuff'!AF:BG,11,FALSE)</f>
        <v>0</v>
      </c>
      <c r="N268" s="47">
        <f>VLOOKUP(C268,'Talente &amp; Stuff'!AF:BG,12,FALSE)</f>
        <v>0</v>
      </c>
      <c r="O268" s="47">
        <f>VLOOKUP(C268,'Talente &amp; Stuff'!AF:BG,13,FALSE)</f>
        <v>0</v>
      </c>
      <c r="P268" s="119">
        <f>VLOOKUP(C268,'Talente &amp; Stuff'!AF:BG,14,FALSE)</f>
        <v>0</v>
      </c>
      <c r="Q268" s="114">
        <f>VLOOKUP(C268,'Talente &amp; Stuff'!AF:BG,15,FALSE)</f>
        <v>0</v>
      </c>
      <c r="R268" s="113">
        <f>VLOOKUP(C268,'Talente &amp; Stuff'!AF:BG,16,FALSE)</f>
        <v>0</v>
      </c>
      <c r="S268" s="119">
        <f>VLOOKUP(C268,'Talente &amp; Stuff'!AF:BG,17,FALSE)</f>
        <v>0</v>
      </c>
      <c r="T268" s="119">
        <f>VLOOKUP(C268,'Talente &amp; Stuff'!AF:BG,18,FALSE)</f>
        <v>0</v>
      </c>
      <c r="U268" s="89">
        <f>VLOOKUP(C268,'Talente &amp; Stuff'!AF:BG,19,FALSE)</f>
        <v>0</v>
      </c>
      <c r="V268" s="47">
        <f>VLOOKUP(C268,'Talente &amp; Stuff'!AF:BG,20,FALSE)</f>
        <v>0</v>
      </c>
      <c r="W268" s="127">
        <f>VLOOKUP(C268,'Talente &amp; Stuff'!AF:BG,21,FALSE)</f>
        <v>0</v>
      </c>
      <c r="X268" s="127">
        <f>VLOOKUP(C268,'Talente &amp; Stuff'!AF:BG,22,FALSE)</f>
        <v>0</v>
      </c>
      <c r="Y268" s="165">
        <f t="shared" si="22"/>
        <v>0</v>
      </c>
      <c r="Z268" s="44">
        <f t="shared" si="23"/>
        <v>0</v>
      </c>
      <c r="AA268" s="125">
        <f>VLOOKUP(C268,'Talente &amp; Stuff'!AF:BG,25,FALSE)</f>
        <v>0</v>
      </c>
      <c r="AB268" s="160">
        <f>VLOOKUP(C268,'Talente &amp; Stuff'!AF:BG,26,FALSE)</f>
        <v>0</v>
      </c>
      <c r="AC268" s="127">
        <f>VLOOKUP(C268,'Talente &amp; Stuff'!AF:BG,27,FALSE)</f>
        <v>0</v>
      </c>
      <c r="AD268" s="125">
        <f>VLOOKUP(C268,'Talente &amp; Stuff'!AF:BG,28,FALSE)</f>
        <v>0</v>
      </c>
      <c r="AE268" s="28"/>
    </row>
    <row r="269" spans="2:31" s="148" customFormat="1" ht="15" hidden="1" customHeight="1" outlineLevel="2">
      <c r="B269" s="148">
        <v>9</v>
      </c>
      <c r="C269" s="163" t="str">
        <f>Attribute!C269</f>
        <v>---</v>
      </c>
      <c r="D269" s="125" t="str">
        <f>VLOOKUP(C269,'Talente &amp; Stuff'!AF:BG,2,FALSE)</f>
        <v>--/--/--</v>
      </c>
      <c r="E269" s="127" t="str">
        <f>VLOOKUP(C269,'Talente &amp; Stuff'!AF:BG,3,FALSE)</f>
        <v>-</v>
      </c>
      <c r="F269" s="114">
        <f>VLOOKUP(C269,'Talente &amp; Stuff'!AF:BG,4,FALSE)</f>
        <v>0</v>
      </c>
      <c r="G269" s="113">
        <f>VLOOKUP(C269,'Talente &amp; Stuff'!AF:BG,5,FALSE)</f>
        <v>0</v>
      </c>
      <c r="H269" s="113">
        <f>VLOOKUP(C269,'Talente &amp; Stuff'!AF:BG,6,FALSE)</f>
        <v>0</v>
      </c>
      <c r="I269" s="113">
        <f>VLOOKUP(C269,'Talente &amp; Stuff'!AF:BG,7,FALSE)</f>
        <v>0</v>
      </c>
      <c r="J269" s="113">
        <f>VLOOKUP(C269,'Talente &amp; Stuff'!AF:BG,8,FALSE)</f>
        <v>0</v>
      </c>
      <c r="K269" s="113">
        <f>VLOOKUP(C269,'Talente &amp; Stuff'!AF:BG,9,FALSE)</f>
        <v>0</v>
      </c>
      <c r="L269" s="113">
        <f>VLOOKUP(C269,'Talente &amp; Stuff'!AF:BG,10,FALSE)</f>
        <v>0</v>
      </c>
      <c r="M269" s="119">
        <f>VLOOKUP(C269,'Talente &amp; Stuff'!AF:BG,11,FALSE)</f>
        <v>0</v>
      </c>
      <c r="N269" s="47">
        <f>VLOOKUP(C269,'Talente &amp; Stuff'!AF:BG,12,FALSE)</f>
        <v>0</v>
      </c>
      <c r="O269" s="47">
        <f>VLOOKUP(C269,'Talente &amp; Stuff'!AF:BG,13,FALSE)</f>
        <v>0</v>
      </c>
      <c r="P269" s="119">
        <f>VLOOKUP(C269,'Talente &amp; Stuff'!AF:BG,14,FALSE)</f>
        <v>0</v>
      </c>
      <c r="Q269" s="114">
        <f>VLOOKUP(C269,'Talente &amp; Stuff'!AF:BG,15,FALSE)</f>
        <v>0</v>
      </c>
      <c r="R269" s="113">
        <f>VLOOKUP(C269,'Talente &amp; Stuff'!AF:BG,16,FALSE)</f>
        <v>0</v>
      </c>
      <c r="S269" s="119">
        <f>VLOOKUP(C269,'Talente &amp; Stuff'!AF:BG,17,FALSE)</f>
        <v>0</v>
      </c>
      <c r="T269" s="119">
        <f>VLOOKUP(C269,'Talente &amp; Stuff'!AF:BG,18,FALSE)</f>
        <v>0</v>
      </c>
      <c r="U269" s="89">
        <f>VLOOKUP(C269,'Talente &amp; Stuff'!AF:BG,19,FALSE)</f>
        <v>0</v>
      </c>
      <c r="V269" s="47">
        <f>VLOOKUP(C269,'Talente &amp; Stuff'!AF:BG,20,FALSE)</f>
        <v>0</v>
      </c>
      <c r="W269" s="127">
        <f>VLOOKUP(C269,'Talente &amp; Stuff'!AF:BG,21,FALSE)</f>
        <v>0</v>
      </c>
      <c r="X269" s="127">
        <f>VLOOKUP(C269,'Talente &amp; Stuff'!AF:BG,22,FALSE)</f>
        <v>0</v>
      </c>
      <c r="Y269" s="165">
        <f t="shared" si="22"/>
        <v>0</v>
      </c>
      <c r="Z269" s="44">
        <f t="shared" si="23"/>
        <v>0</v>
      </c>
      <c r="AA269" s="125">
        <f>VLOOKUP(C269,'Talente &amp; Stuff'!AF:BG,25,FALSE)</f>
        <v>0</v>
      </c>
      <c r="AB269" s="160">
        <f>VLOOKUP(C269,'Talente &amp; Stuff'!AF:BG,26,FALSE)</f>
        <v>0</v>
      </c>
      <c r="AC269" s="127">
        <f>VLOOKUP(C269,'Talente &amp; Stuff'!AF:BG,27,FALSE)</f>
        <v>0</v>
      </c>
      <c r="AD269" s="125">
        <f>VLOOKUP(C269,'Talente &amp; Stuff'!AF:BG,28,FALSE)</f>
        <v>0</v>
      </c>
      <c r="AE269" s="28"/>
    </row>
    <row r="270" spans="2:31" s="148" customFormat="1" ht="15" hidden="1" customHeight="1" outlineLevel="2">
      <c r="B270" s="148">
        <v>10</v>
      </c>
      <c r="C270" s="163" t="str">
        <f>Attribute!C270</f>
        <v>---</v>
      </c>
      <c r="D270" s="86" t="str">
        <f>VLOOKUP(C270,'Talente &amp; Stuff'!AF:BG,2,FALSE)</f>
        <v>--/--/--</v>
      </c>
      <c r="E270" s="167" t="str">
        <f>VLOOKUP(C270,'Talente &amp; Stuff'!AF:BG,3,FALSE)</f>
        <v>-</v>
      </c>
      <c r="F270" s="120">
        <f>VLOOKUP(C270,'Talente &amp; Stuff'!AF:BG,4,FALSE)</f>
        <v>0</v>
      </c>
      <c r="G270" s="117">
        <f>VLOOKUP(C270,'Talente &amp; Stuff'!AF:BG,5,FALSE)</f>
        <v>0</v>
      </c>
      <c r="H270" s="117">
        <f>VLOOKUP(C270,'Talente &amp; Stuff'!AF:BG,6,FALSE)</f>
        <v>0</v>
      </c>
      <c r="I270" s="117">
        <f>VLOOKUP(C270,'Talente &amp; Stuff'!AF:BG,7,FALSE)</f>
        <v>0</v>
      </c>
      <c r="J270" s="117">
        <f>VLOOKUP(C270,'Talente &amp; Stuff'!AF:BG,8,FALSE)</f>
        <v>0</v>
      </c>
      <c r="K270" s="117">
        <f>VLOOKUP(C270,'Talente &amp; Stuff'!AF:BG,9,FALSE)</f>
        <v>0</v>
      </c>
      <c r="L270" s="117">
        <f>VLOOKUP(C270,'Talente &amp; Stuff'!AF:BG,10,FALSE)</f>
        <v>0</v>
      </c>
      <c r="M270" s="121">
        <f>VLOOKUP(C270,'Talente &amp; Stuff'!AF:BG,11,FALSE)</f>
        <v>0</v>
      </c>
      <c r="N270" s="47">
        <f>VLOOKUP(C270,'Talente &amp; Stuff'!AF:BG,12,FALSE)</f>
        <v>0</v>
      </c>
      <c r="O270" s="3">
        <f>VLOOKUP(C270,'Talente &amp; Stuff'!AF:BG,13,FALSE)</f>
        <v>0</v>
      </c>
      <c r="P270" s="174">
        <f>VLOOKUP(C270,'Talente &amp; Stuff'!AF:BG,14,FALSE)</f>
        <v>0</v>
      </c>
      <c r="Q270" s="114">
        <f>VLOOKUP(C270,'Talente &amp; Stuff'!AF:BG,15,FALSE)</f>
        <v>0</v>
      </c>
      <c r="R270" s="117">
        <f>VLOOKUP(C270,'Talente &amp; Stuff'!AF:BG,16,FALSE)</f>
        <v>0</v>
      </c>
      <c r="S270" s="119">
        <f>VLOOKUP(C270,'Talente &amp; Stuff'!AF:BG,17,FALSE)</f>
        <v>0</v>
      </c>
      <c r="T270" s="119">
        <f>VLOOKUP(C270,'Talente &amp; Stuff'!AF:BG,18,FALSE)</f>
        <v>0</v>
      </c>
      <c r="U270" s="89">
        <f>VLOOKUP(C270,'Talente &amp; Stuff'!AF:BG,19,FALSE)</f>
        <v>0</v>
      </c>
      <c r="V270" s="47">
        <f>VLOOKUP(C270,'Talente &amp; Stuff'!AF:BG,20,FALSE)</f>
        <v>0</v>
      </c>
      <c r="W270" s="127">
        <f>VLOOKUP(C270,'Talente &amp; Stuff'!AF:BG,21,FALSE)</f>
        <v>0</v>
      </c>
      <c r="X270" s="127">
        <f>VLOOKUP(C270,'Talente &amp; Stuff'!AF:BG,22,FALSE)</f>
        <v>0</v>
      </c>
      <c r="Y270" s="165">
        <f t="shared" si="22"/>
        <v>0</v>
      </c>
      <c r="Z270" s="44">
        <f t="shared" si="23"/>
        <v>0</v>
      </c>
      <c r="AA270" s="125">
        <f>VLOOKUP(C270,'Talente &amp; Stuff'!AF:BG,25,FALSE)</f>
        <v>0</v>
      </c>
      <c r="AB270" s="160">
        <f>VLOOKUP(C270,'Talente &amp; Stuff'!AF:BG,26,FALSE)</f>
        <v>0</v>
      </c>
      <c r="AC270" s="127">
        <f>VLOOKUP(C270,'Talente &amp; Stuff'!AF:BG,27,FALSE)</f>
        <v>0</v>
      </c>
      <c r="AD270" s="125">
        <f>VLOOKUP(C270,'Talente &amp; Stuff'!AF:BG,28,FALSE)</f>
        <v>0</v>
      </c>
      <c r="AE270" s="28"/>
    </row>
    <row r="271" spans="2:31" s="148" customFormat="1" ht="15" hidden="1" customHeight="1" outlineLevel="2">
      <c r="B271" s="148">
        <v>11</v>
      </c>
      <c r="C271" s="163" t="str">
        <f>Attribute!C271</f>
        <v>---</v>
      </c>
      <c r="D271" s="86" t="str">
        <f>VLOOKUP(C271,'Talente &amp; Stuff'!AF:BG,2,FALSE)</f>
        <v>--/--/--</v>
      </c>
      <c r="E271" s="167" t="str">
        <f>VLOOKUP(C271,'Talente &amp; Stuff'!AF:BG,3,FALSE)</f>
        <v>-</v>
      </c>
      <c r="F271" s="120">
        <f>VLOOKUP(C271,'Talente &amp; Stuff'!AF:BG,4,FALSE)</f>
        <v>0</v>
      </c>
      <c r="G271" s="117">
        <f>VLOOKUP(C271,'Talente &amp; Stuff'!AF:BG,5,FALSE)</f>
        <v>0</v>
      </c>
      <c r="H271" s="117">
        <f>VLOOKUP(C271,'Talente &amp; Stuff'!AF:BG,6,FALSE)</f>
        <v>0</v>
      </c>
      <c r="I271" s="117">
        <f>VLOOKUP(C271,'Talente &amp; Stuff'!AF:BG,7,FALSE)</f>
        <v>0</v>
      </c>
      <c r="J271" s="117">
        <f>VLOOKUP(C271,'Talente &amp; Stuff'!AF:BG,8,FALSE)</f>
        <v>0</v>
      </c>
      <c r="K271" s="117">
        <f>VLOOKUP(C271,'Talente &amp; Stuff'!AF:BG,9,FALSE)</f>
        <v>0</v>
      </c>
      <c r="L271" s="117">
        <f>VLOOKUP(C271,'Talente &amp; Stuff'!AF:BG,10,FALSE)</f>
        <v>0</v>
      </c>
      <c r="M271" s="121">
        <f>VLOOKUP(C271,'Talente &amp; Stuff'!AF:BG,11,FALSE)</f>
        <v>0</v>
      </c>
      <c r="N271" s="47">
        <f>VLOOKUP(C271,'Talente &amp; Stuff'!AF:BG,12,FALSE)</f>
        <v>0</v>
      </c>
      <c r="O271" s="3">
        <f>VLOOKUP(C271,'Talente &amp; Stuff'!AF:BG,13,FALSE)</f>
        <v>0</v>
      </c>
      <c r="P271" s="174">
        <f>VLOOKUP(C271,'Talente &amp; Stuff'!AF:BG,14,FALSE)</f>
        <v>0</v>
      </c>
      <c r="Q271" s="114">
        <f>VLOOKUP(C271,'Talente &amp; Stuff'!AF:BG,15,FALSE)</f>
        <v>0</v>
      </c>
      <c r="R271" s="117">
        <f>VLOOKUP(C271,'Talente &amp; Stuff'!AF:BG,16,FALSE)</f>
        <v>0</v>
      </c>
      <c r="S271" s="119">
        <f>VLOOKUP(C271,'Talente &amp; Stuff'!AF:BG,17,FALSE)</f>
        <v>0</v>
      </c>
      <c r="T271" s="119">
        <f>VLOOKUP(C271,'Talente &amp; Stuff'!AF:BG,18,FALSE)</f>
        <v>0</v>
      </c>
      <c r="U271" s="89">
        <f>VLOOKUP(C271,'Talente &amp; Stuff'!AF:BG,19,FALSE)</f>
        <v>0</v>
      </c>
      <c r="V271" s="47">
        <f>VLOOKUP(C271,'Talente &amp; Stuff'!AF:BG,20,FALSE)</f>
        <v>0</v>
      </c>
      <c r="W271" s="127">
        <f>VLOOKUP(C271,'Talente &amp; Stuff'!AF:BG,21,FALSE)</f>
        <v>0</v>
      </c>
      <c r="X271" s="127">
        <f>VLOOKUP(C271,'Talente &amp; Stuff'!AF:BG,22,FALSE)</f>
        <v>0</v>
      </c>
      <c r="Y271" s="165">
        <f t="shared" si="22"/>
        <v>0</v>
      </c>
      <c r="Z271" s="44">
        <f t="shared" si="23"/>
        <v>0</v>
      </c>
      <c r="AA271" s="125">
        <f>VLOOKUP(C271,'Talente &amp; Stuff'!AF:BG,25,FALSE)</f>
        <v>0</v>
      </c>
      <c r="AB271" s="160">
        <f>VLOOKUP(C271,'Talente &amp; Stuff'!AF:BG,26,FALSE)</f>
        <v>0</v>
      </c>
      <c r="AC271" s="127">
        <f>VLOOKUP(C271,'Talente &amp; Stuff'!AF:BG,27,FALSE)</f>
        <v>0</v>
      </c>
      <c r="AD271" s="125">
        <f>VLOOKUP(C271,'Talente &amp; Stuff'!AF:BG,28,FALSE)</f>
        <v>0</v>
      </c>
      <c r="AE271" s="28"/>
    </row>
    <row r="272" spans="2:31" s="148" customFormat="1" ht="15" hidden="1" customHeight="1" outlineLevel="2">
      <c r="B272" s="148">
        <v>12</v>
      </c>
      <c r="C272" s="163" t="str">
        <f>Attribute!C272</f>
        <v>---</v>
      </c>
      <c r="D272" s="86" t="str">
        <f>VLOOKUP(C272,'Talente &amp; Stuff'!AF:BG,2,FALSE)</f>
        <v>--/--/--</v>
      </c>
      <c r="E272" s="167" t="str">
        <f>VLOOKUP(C272,'Talente &amp; Stuff'!AF:BG,3,FALSE)</f>
        <v>-</v>
      </c>
      <c r="F272" s="120">
        <f>VLOOKUP(C272,'Talente &amp; Stuff'!AF:BG,4,FALSE)</f>
        <v>0</v>
      </c>
      <c r="G272" s="117">
        <f>VLOOKUP(C272,'Talente &amp; Stuff'!AF:BG,5,FALSE)</f>
        <v>0</v>
      </c>
      <c r="H272" s="117">
        <f>VLOOKUP(C272,'Talente &amp; Stuff'!AF:BG,6,FALSE)</f>
        <v>0</v>
      </c>
      <c r="I272" s="117">
        <f>VLOOKUP(C272,'Talente &amp; Stuff'!AF:BG,7,FALSE)</f>
        <v>0</v>
      </c>
      <c r="J272" s="117">
        <f>VLOOKUP(C272,'Talente &amp; Stuff'!AF:BG,8,FALSE)</f>
        <v>0</v>
      </c>
      <c r="K272" s="117">
        <f>VLOOKUP(C272,'Talente &amp; Stuff'!AF:BG,9,FALSE)</f>
        <v>0</v>
      </c>
      <c r="L272" s="117">
        <f>VLOOKUP(C272,'Talente &amp; Stuff'!AF:BG,10,FALSE)</f>
        <v>0</v>
      </c>
      <c r="M272" s="121">
        <f>VLOOKUP(C272,'Talente &amp; Stuff'!AF:BG,11,FALSE)</f>
        <v>0</v>
      </c>
      <c r="N272" s="47">
        <f>VLOOKUP(C272,'Talente &amp; Stuff'!AF:BG,12,FALSE)</f>
        <v>0</v>
      </c>
      <c r="O272" s="3">
        <f>VLOOKUP(C272,'Talente &amp; Stuff'!AF:BG,13,FALSE)</f>
        <v>0</v>
      </c>
      <c r="P272" s="174">
        <f>VLOOKUP(C272,'Talente &amp; Stuff'!AF:BG,14,FALSE)</f>
        <v>0</v>
      </c>
      <c r="Q272" s="114">
        <f>VLOOKUP(C272,'Talente &amp; Stuff'!AF:BG,15,FALSE)</f>
        <v>0</v>
      </c>
      <c r="R272" s="117">
        <f>VLOOKUP(C272,'Talente &amp; Stuff'!AF:BG,16,FALSE)</f>
        <v>0</v>
      </c>
      <c r="S272" s="119">
        <f>VLOOKUP(C272,'Talente &amp; Stuff'!AF:BG,17,FALSE)</f>
        <v>0</v>
      </c>
      <c r="T272" s="119">
        <f>VLOOKUP(C272,'Talente &amp; Stuff'!AF:BG,18,FALSE)</f>
        <v>0</v>
      </c>
      <c r="U272" s="89">
        <f>VLOOKUP(C272,'Talente &amp; Stuff'!AF:BG,19,FALSE)</f>
        <v>0</v>
      </c>
      <c r="V272" s="47">
        <f>VLOOKUP(C272,'Talente &amp; Stuff'!AF:BG,20,FALSE)</f>
        <v>0</v>
      </c>
      <c r="W272" s="127">
        <f>VLOOKUP(C272,'Talente &amp; Stuff'!AF:BG,21,FALSE)</f>
        <v>0</v>
      </c>
      <c r="X272" s="127">
        <f>VLOOKUP(C272,'Talente &amp; Stuff'!AF:BG,22,FALSE)</f>
        <v>0</v>
      </c>
      <c r="Y272" s="165">
        <f t="shared" si="22"/>
        <v>0</v>
      </c>
      <c r="Z272" s="44">
        <f t="shared" si="23"/>
        <v>0</v>
      </c>
      <c r="AA272" s="125">
        <f>VLOOKUP(C272,'Talente &amp; Stuff'!AF:BG,25,FALSE)</f>
        <v>0</v>
      </c>
      <c r="AB272" s="160">
        <f>VLOOKUP(C272,'Talente &amp; Stuff'!AF:BG,26,FALSE)</f>
        <v>0</v>
      </c>
      <c r="AC272" s="127">
        <f>VLOOKUP(C272,'Talente &amp; Stuff'!AF:BG,27,FALSE)</f>
        <v>0</v>
      </c>
      <c r="AD272" s="125">
        <f>VLOOKUP(C272,'Talente &amp; Stuff'!AF:BG,28,FALSE)</f>
        <v>0</v>
      </c>
      <c r="AE272" s="28"/>
    </row>
    <row r="273" spans="2:31" s="148" customFormat="1" ht="15" hidden="1" customHeight="1" outlineLevel="2">
      <c r="B273" s="148">
        <v>13</v>
      </c>
      <c r="C273" s="163" t="str">
        <f>Attribute!C273</f>
        <v>---</v>
      </c>
      <c r="D273" s="86" t="str">
        <f>VLOOKUP(C273,'Talente &amp; Stuff'!AF:BG,2,FALSE)</f>
        <v>--/--/--</v>
      </c>
      <c r="E273" s="167" t="str">
        <f>VLOOKUP(C273,'Talente &amp; Stuff'!AF:BG,3,FALSE)</f>
        <v>-</v>
      </c>
      <c r="F273" s="120">
        <f>VLOOKUP(C273,'Talente &amp; Stuff'!AF:BG,4,FALSE)</f>
        <v>0</v>
      </c>
      <c r="G273" s="117">
        <f>VLOOKUP(C273,'Talente &amp; Stuff'!AF:BG,5,FALSE)</f>
        <v>0</v>
      </c>
      <c r="H273" s="117">
        <f>VLOOKUP(C273,'Talente &amp; Stuff'!AF:BG,6,FALSE)</f>
        <v>0</v>
      </c>
      <c r="I273" s="117">
        <f>VLOOKUP(C273,'Talente &amp; Stuff'!AF:BG,7,FALSE)</f>
        <v>0</v>
      </c>
      <c r="J273" s="117">
        <f>VLOOKUP(C273,'Talente &amp; Stuff'!AF:BG,8,FALSE)</f>
        <v>0</v>
      </c>
      <c r="K273" s="117">
        <f>VLOOKUP(C273,'Talente &amp; Stuff'!AF:BG,9,FALSE)</f>
        <v>0</v>
      </c>
      <c r="L273" s="117">
        <f>VLOOKUP(C273,'Talente &amp; Stuff'!AF:BG,10,FALSE)</f>
        <v>0</v>
      </c>
      <c r="M273" s="121">
        <f>VLOOKUP(C273,'Talente &amp; Stuff'!AF:BG,11,FALSE)</f>
        <v>0</v>
      </c>
      <c r="N273" s="47">
        <f>VLOOKUP(C273,'Talente &amp; Stuff'!AF:BG,12,FALSE)</f>
        <v>0</v>
      </c>
      <c r="O273" s="3">
        <f>VLOOKUP(C273,'Talente &amp; Stuff'!AF:BG,13,FALSE)</f>
        <v>0</v>
      </c>
      <c r="P273" s="174">
        <f>VLOOKUP(C273,'Talente &amp; Stuff'!AF:BG,14,FALSE)</f>
        <v>0</v>
      </c>
      <c r="Q273" s="114">
        <f>VLOOKUP(C273,'Talente &amp; Stuff'!AF:BG,15,FALSE)</f>
        <v>0</v>
      </c>
      <c r="R273" s="117">
        <f>VLOOKUP(C273,'Talente &amp; Stuff'!AF:BG,16,FALSE)</f>
        <v>0</v>
      </c>
      <c r="S273" s="119">
        <f>VLOOKUP(C273,'Talente &amp; Stuff'!AF:BG,17,FALSE)</f>
        <v>0</v>
      </c>
      <c r="T273" s="119">
        <f>VLOOKUP(C273,'Talente &amp; Stuff'!AF:BG,18,FALSE)</f>
        <v>0</v>
      </c>
      <c r="U273" s="89">
        <f>VLOOKUP(C273,'Talente &amp; Stuff'!AF:BG,19,FALSE)</f>
        <v>0</v>
      </c>
      <c r="V273" s="47">
        <f>VLOOKUP(C273,'Talente &amp; Stuff'!AF:BG,20,FALSE)</f>
        <v>0</v>
      </c>
      <c r="W273" s="127">
        <f>VLOOKUP(C273,'Talente &amp; Stuff'!AF:BG,21,FALSE)</f>
        <v>0</v>
      </c>
      <c r="X273" s="127">
        <f>VLOOKUP(C273,'Talente &amp; Stuff'!AF:BG,22,FALSE)</f>
        <v>0</v>
      </c>
      <c r="Y273" s="165">
        <f t="shared" si="22"/>
        <v>0</v>
      </c>
      <c r="Z273" s="44">
        <f t="shared" si="23"/>
        <v>0</v>
      </c>
      <c r="AA273" s="125">
        <f>VLOOKUP(C273,'Talente &amp; Stuff'!AF:BG,25,FALSE)</f>
        <v>0</v>
      </c>
      <c r="AB273" s="160">
        <f>VLOOKUP(C273,'Talente &amp; Stuff'!AF:BG,26,FALSE)</f>
        <v>0</v>
      </c>
      <c r="AC273" s="127">
        <f>VLOOKUP(C273,'Talente &amp; Stuff'!AF:BG,27,FALSE)</f>
        <v>0</v>
      </c>
      <c r="AD273" s="125">
        <f>VLOOKUP(C273,'Talente &amp; Stuff'!AF:BG,28,FALSE)</f>
        <v>0</v>
      </c>
      <c r="AE273" s="28"/>
    </row>
    <row r="274" spans="2:31" s="148" customFormat="1" ht="15" hidden="1" customHeight="1" outlineLevel="2">
      <c r="B274" s="148">
        <v>14</v>
      </c>
      <c r="C274" s="163" t="str">
        <f>Attribute!C274</f>
        <v>---</v>
      </c>
      <c r="D274" s="86" t="str">
        <f>VLOOKUP(C274,'Talente &amp; Stuff'!AF:BG,2,FALSE)</f>
        <v>--/--/--</v>
      </c>
      <c r="E274" s="167" t="str">
        <f>VLOOKUP(C274,'Talente &amp; Stuff'!AF:BG,3,FALSE)</f>
        <v>-</v>
      </c>
      <c r="F274" s="120">
        <f>VLOOKUP(C274,'Talente &amp; Stuff'!AF:BG,4,FALSE)</f>
        <v>0</v>
      </c>
      <c r="G274" s="117">
        <f>VLOOKUP(C274,'Talente &amp; Stuff'!AF:BG,5,FALSE)</f>
        <v>0</v>
      </c>
      <c r="H274" s="117">
        <f>VLOOKUP(C274,'Talente &amp; Stuff'!AF:BG,6,FALSE)</f>
        <v>0</v>
      </c>
      <c r="I274" s="117">
        <f>VLOOKUP(C274,'Talente &amp; Stuff'!AF:BG,7,FALSE)</f>
        <v>0</v>
      </c>
      <c r="J274" s="117">
        <f>VLOOKUP(C274,'Talente &amp; Stuff'!AF:BG,8,FALSE)</f>
        <v>0</v>
      </c>
      <c r="K274" s="117">
        <f>VLOOKUP(C274,'Talente &amp; Stuff'!AF:BG,9,FALSE)</f>
        <v>0</v>
      </c>
      <c r="L274" s="117">
        <f>VLOOKUP(C274,'Talente &amp; Stuff'!AF:BG,10,FALSE)</f>
        <v>0</v>
      </c>
      <c r="M274" s="121">
        <f>VLOOKUP(C274,'Talente &amp; Stuff'!AF:BG,11,FALSE)</f>
        <v>0</v>
      </c>
      <c r="N274" s="47">
        <f>VLOOKUP(C274,'Talente &amp; Stuff'!AF:BG,12,FALSE)</f>
        <v>0</v>
      </c>
      <c r="O274" s="3">
        <f>VLOOKUP(C274,'Talente &amp; Stuff'!AF:BG,13,FALSE)</f>
        <v>0</v>
      </c>
      <c r="P274" s="174">
        <f>VLOOKUP(C274,'Talente &amp; Stuff'!AF:BG,14,FALSE)</f>
        <v>0</v>
      </c>
      <c r="Q274" s="114">
        <f>VLOOKUP(C274,'Talente &amp; Stuff'!AF:BG,15,FALSE)</f>
        <v>0</v>
      </c>
      <c r="R274" s="117">
        <f>VLOOKUP(C274,'Talente &amp; Stuff'!AF:BG,16,FALSE)</f>
        <v>0</v>
      </c>
      <c r="S274" s="119">
        <f>VLOOKUP(C274,'Talente &amp; Stuff'!AF:BG,17,FALSE)</f>
        <v>0</v>
      </c>
      <c r="T274" s="119">
        <f>VLOOKUP(C274,'Talente &amp; Stuff'!AF:BG,18,FALSE)</f>
        <v>0</v>
      </c>
      <c r="U274" s="89">
        <f>VLOOKUP(C274,'Talente &amp; Stuff'!AF:BG,19,FALSE)</f>
        <v>0</v>
      </c>
      <c r="V274" s="47">
        <f>VLOOKUP(C274,'Talente &amp; Stuff'!AF:BG,20,FALSE)</f>
        <v>0</v>
      </c>
      <c r="W274" s="127">
        <f>VLOOKUP(C274,'Talente &amp; Stuff'!AF:BG,21,FALSE)</f>
        <v>0</v>
      </c>
      <c r="X274" s="127">
        <f>VLOOKUP(C274,'Talente &amp; Stuff'!AF:BG,22,FALSE)</f>
        <v>0</v>
      </c>
      <c r="Y274" s="165">
        <f t="shared" si="22"/>
        <v>0</v>
      </c>
      <c r="Z274" s="44">
        <f t="shared" si="23"/>
        <v>0</v>
      </c>
      <c r="AA274" s="125">
        <f>VLOOKUP(C274,'Talente &amp; Stuff'!AF:BG,25,FALSE)</f>
        <v>0</v>
      </c>
      <c r="AB274" s="160">
        <f>VLOOKUP(C274,'Talente &amp; Stuff'!AF:BG,26,FALSE)</f>
        <v>0</v>
      </c>
      <c r="AC274" s="127">
        <f>VLOOKUP(C274,'Talente &amp; Stuff'!AF:BG,27,FALSE)</f>
        <v>0</v>
      </c>
      <c r="AD274" s="125">
        <f>VLOOKUP(C274,'Talente &amp; Stuff'!AF:BG,28,FALSE)</f>
        <v>0</v>
      </c>
      <c r="AE274" s="28"/>
    </row>
    <row r="275" spans="2:31" s="148" customFormat="1" ht="15" hidden="1" customHeight="1" outlineLevel="2">
      <c r="B275" s="148">
        <v>15</v>
      </c>
      <c r="C275" s="163" t="str">
        <f>Attribute!C275</f>
        <v>---</v>
      </c>
      <c r="D275" s="86" t="str">
        <f>VLOOKUP(C275,'Talente &amp; Stuff'!AF:BG,2,FALSE)</f>
        <v>--/--/--</v>
      </c>
      <c r="E275" s="167" t="str">
        <f>VLOOKUP(C275,'Talente &amp; Stuff'!AF:BG,3,FALSE)</f>
        <v>-</v>
      </c>
      <c r="F275" s="120">
        <f>VLOOKUP(C275,'Talente &amp; Stuff'!AF:BG,4,FALSE)</f>
        <v>0</v>
      </c>
      <c r="G275" s="117">
        <f>VLOOKUP(C275,'Talente &amp; Stuff'!AF:BG,5,FALSE)</f>
        <v>0</v>
      </c>
      <c r="H275" s="117">
        <f>VLOOKUP(C275,'Talente &amp; Stuff'!AF:BG,6,FALSE)</f>
        <v>0</v>
      </c>
      <c r="I275" s="117">
        <f>VLOOKUP(C275,'Talente &amp; Stuff'!AF:BG,7,FALSE)</f>
        <v>0</v>
      </c>
      <c r="J275" s="117">
        <f>VLOOKUP(C275,'Talente &amp; Stuff'!AF:BG,8,FALSE)</f>
        <v>0</v>
      </c>
      <c r="K275" s="117">
        <f>VLOOKUP(C275,'Talente &amp; Stuff'!AF:BG,9,FALSE)</f>
        <v>0</v>
      </c>
      <c r="L275" s="117">
        <f>VLOOKUP(C275,'Talente &amp; Stuff'!AF:BG,10,FALSE)</f>
        <v>0</v>
      </c>
      <c r="M275" s="121">
        <f>VLOOKUP(C275,'Talente &amp; Stuff'!AF:BG,11,FALSE)</f>
        <v>0</v>
      </c>
      <c r="N275" s="47">
        <f>VLOOKUP(C275,'Talente &amp; Stuff'!AF:BG,12,FALSE)</f>
        <v>0</v>
      </c>
      <c r="O275" s="3">
        <f>VLOOKUP(C275,'Talente &amp; Stuff'!AF:BG,13,FALSE)</f>
        <v>0</v>
      </c>
      <c r="P275" s="174">
        <f>VLOOKUP(C275,'Talente &amp; Stuff'!AF:BG,14,FALSE)</f>
        <v>0</v>
      </c>
      <c r="Q275" s="114">
        <f>VLOOKUP(C275,'Talente &amp; Stuff'!AF:BG,15,FALSE)</f>
        <v>0</v>
      </c>
      <c r="R275" s="117">
        <f>VLOOKUP(C275,'Talente &amp; Stuff'!AF:BG,16,FALSE)</f>
        <v>0</v>
      </c>
      <c r="S275" s="119">
        <f>VLOOKUP(C275,'Talente &amp; Stuff'!AF:BG,17,FALSE)</f>
        <v>0</v>
      </c>
      <c r="T275" s="119">
        <f>VLOOKUP(C275,'Talente &amp; Stuff'!AF:BG,18,FALSE)</f>
        <v>0</v>
      </c>
      <c r="U275" s="89">
        <f>VLOOKUP(C275,'Talente &amp; Stuff'!AF:BG,19,FALSE)</f>
        <v>0</v>
      </c>
      <c r="V275" s="47">
        <f>VLOOKUP(C275,'Talente &amp; Stuff'!AF:BG,20,FALSE)</f>
        <v>0</v>
      </c>
      <c r="W275" s="127">
        <f>VLOOKUP(C275,'Talente &amp; Stuff'!AF:BG,21,FALSE)</f>
        <v>0</v>
      </c>
      <c r="X275" s="127">
        <f>VLOOKUP(C275,'Talente &amp; Stuff'!AF:BG,22,FALSE)</f>
        <v>0</v>
      </c>
      <c r="Y275" s="165">
        <f t="shared" si="22"/>
        <v>0</v>
      </c>
      <c r="Z275" s="44">
        <f t="shared" si="23"/>
        <v>0</v>
      </c>
      <c r="AA275" s="125">
        <f>VLOOKUP(C275,'Talente &amp; Stuff'!AF:BG,25,FALSE)</f>
        <v>0</v>
      </c>
      <c r="AB275" s="160">
        <f>VLOOKUP(C275,'Talente &amp; Stuff'!AF:BG,26,FALSE)</f>
        <v>0</v>
      </c>
      <c r="AC275" s="127">
        <f>VLOOKUP(C275,'Talente &amp; Stuff'!AF:BG,27,FALSE)</f>
        <v>0</v>
      </c>
      <c r="AD275" s="125">
        <f>VLOOKUP(C275,'Talente &amp; Stuff'!AF:BG,28,FALSE)</f>
        <v>0</v>
      </c>
      <c r="AE275" s="28"/>
    </row>
    <row r="276" spans="2:31" s="148" customFormat="1" ht="15" hidden="1" customHeight="1" outlineLevel="2">
      <c r="B276" s="148">
        <v>16</v>
      </c>
      <c r="C276" s="163" t="str">
        <f>Attribute!C276</f>
        <v>---</v>
      </c>
      <c r="D276" s="86" t="str">
        <f>VLOOKUP(C276,'Talente &amp; Stuff'!AF:BG,2,FALSE)</f>
        <v>--/--/--</v>
      </c>
      <c r="E276" s="167" t="str">
        <f>VLOOKUP(C276,'Talente &amp; Stuff'!AF:BG,3,FALSE)</f>
        <v>-</v>
      </c>
      <c r="F276" s="120">
        <f>VLOOKUP(C276,'Talente &amp; Stuff'!AF:BG,4,FALSE)</f>
        <v>0</v>
      </c>
      <c r="G276" s="117">
        <f>VLOOKUP(C276,'Talente &amp; Stuff'!AF:BG,5,FALSE)</f>
        <v>0</v>
      </c>
      <c r="H276" s="117">
        <f>VLOOKUP(C276,'Talente &amp; Stuff'!AF:BG,6,FALSE)</f>
        <v>0</v>
      </c>
      <c r="I276" s="117">
        <f>VLOOKUP(C276,'Talente &amp; Stuff'!AF:BG,7,FALSE)</f>
        <v>0</v>
      </c>
      <c r="J276" s="117">
        <f>VLOOKUP(C276,'Talente &amp; Stuff'!AF:BG,8,FALSE)</f>
        <v>0</v>
      </c>
      <c r="K276" s="117">
        <f>VLOOKUP(C276,'Talente &amp; Stuff'!AF:BG,9,FALSE)</f>
        <v>0</v>
      </c>
      <c r="L276" s="117">
        <f>VLOOKUP(C276,'Talente &amp; Stuff'!AF:BG,10,FALSE)</f>
        <v>0</v>
      </c>
      <c r="M276" s="121">
        <f>VLOOKUP(C276,'Talente &amp; Stuff'!AF:BG,11,FALSE)</f>
        <v>0</v>
      </c>
      <c r="N276" s="47">
        <f>VLOOKUP(C276,'Talente &amp; Stuff'!AF:BG,12,FALSE)</f>
        <v>0</v>
      </c>
      <c r="O276" s="3">
        <f>VLOOKUP(C276,'Talente &amp; Stuff'!AF:BG,13,FALSE)</f>
        <v>0</v>
      </c>
      <c r="P276" s="174">
        <f>VLOOKUP(C276,'Talente &amp; Stuff'!AF:BG,14,FALSE)</f>
        <v>0</v>
      </c>
      <c r="Q276" s="114">
        <f>VLOOKUP(C276,'Talente &amp; Stuff'!AF:BG,15,FALSE)</f>
        <v>0</v>
      </c>
      <c r="R276" s="117">
        <f>VLOOKUP(C276,'Talente &amp; Stuff'!AF:BG,16,FALSE)</f>
        <v>0</v>
      </c>
      <c r="S276" s="119">
        <f>VLOOKUP(C276,'Talente &amp; Stuff'!AF:BG,17,FALSE)</f>
        <v>0</v>
      </c>
      <c r="T276" s="119">
        <f>VLOOKUP(C276,'Talente &amp; Stuff'!AF:BG,18,FALSE)</f>
        <v>0</v>
      </c>
      <c r="U276" s="89">
        <f>VLOOKUP(C276,'Talente &amp; Stuff'!AF:BG,19,FALSE)</f>
        <v>0</v>
      </c>
      <c r="V276" s="47">
        <f>VLOOKUP(C276,'Talente &amp; Stuff'!AF:BG,20,FALSE)</f>
        <v>0</v>
      </c>
      <c r="W276" s="127">
        <f>VLOOKUP(C276,'Talente &amp; Stuff'!AF:BG,21,FALSE)</f>
        <v>0</v>
      </c>
      <c r="X276" s="127">
        <f>VLOOKUP(C276,'Talente &amp; Stuff'!AF:BG,22,FALSE)</f>
        <v>0</v>
      </c>
      <c r="Y276" s="165">
        <f t="shared" si="22"/>
        <v>0</v>
      </c>
      <c r="Z276" s="44">
        <f t="shared" si="23"/>
        <v>0</v>
      </c>
      <c r="AA276" s="125">
        <f>VLOOKUP(C276,'Talente &amp; Stuff'!AF:BG,25,FALSE)</f>
        <v>0</v>
      </c>
      <c r="AB276" s="160">
        <f>VLOOKUP(C276,'Talente &amp; Stuff'!AF:BG,26,FALSE)</f>
        <v>0</v>
      </c>
      <c r="AC276" s="127">
        <f>VLOOKUP(C276,'Talente &amp; Stuff'!AF:BG,27,FALSE)</f>
        <v>0</v>
      </c>
      <c r="AD276" s="125">
        <f>VLOOKUP(C276,'Talente &amp; Stuff'!AF:BG,28,FALSE)</f>
        <v>0</v>
      </c>
      <c r="AE276" s="28"/>
    </row>
    <row r="277" spans="2:31" s="148" customFormat="1" ht="15" hidden="1" customHeight="1" outlineLevel="2">
      <c r="B277" s="148">
        <v>17</v>
      </c>
      <c r="C277" s="163" t="str">
        <f>Attribute!C277</f>
        <v>---</v>
      </c>
      <c r="D277" s="86" t="str">
        <f>VLOOKUP(C277,'Talente &amp; Stuff'!AF:BG,2,FALSE)</f>
        <v>--/--/--</v>
      </c>
      <c r="E277" s="167" t="str">
        <f>VLOOKUP(C277,'Talente &amp; Stuff'!AF:BG,3,FALSE)</f>
        <v>-</v>
      </c>
      <c r="F277" s="120">
        <f>VLOOKUP(C277,'Talente &amp; Stuff'!AF:BG,4,FALSE)</f>
        <v>0</v>
      </c>
      <c r="G277" s="117">
        <f>VLOOKUP(C277,'Talente &amp; Stuff'!AF:BG,5,FALSE)</f>
        <v>0</v>
      </c>
      <c r="H277" s="117">
        <f>VLOOKUP(C277,'Talente &amp; Stuff'!AF:BG,6,FALSE)</f>
        <v>0</v>
      </c>
      <c r="I277" s="117">
        <f>VLOOKUP(C277,'Talente &amp; Stuff'!AF:BG,7,FALSE)</f>
        <v>0</v>
      </c>
      <c r="J277" s="117">
        <f>VLOOKUP(C277,'Talente &amp; Stuff'!AF:BG,8,FALSE)</f>
        <v>0</v>
      </c>
      <c r="K277" s="117">
        <f>VLOOKUP(C277,'Talente &amp; Stuff'!AF:BG,9,FALSE)</f>
        <v>0</v>
      </c>
      <c r="L277" s="117">
        <f>VLOOKUP(C277,'Talente &amp; Stuff'!AF:BG,10,FALSE)</f>
        <v>0</v>
      </c>
      <c r="M277" s="121">
        <f>VLOOKUP(C277,'Talente &amp; Stuff'!AF:BG,11,FALSE)</f>
        <v>0</v>
      </c>
      <c r="N277" s="47">
        <f>VLOOKUP(C277,'Talente &amp; Stuff'!AF:BG,12,FALSE)</f>
        <v>0</v>
      </c>
      <c r="O277" s="3">
        <f>VLOOKUP(C277,'Talente &amp; Stuff'!AF:BG,13,FALSE)</f>
        <v>0</v>
      </c>
      <c r="P277" s="174">
        <f>VLOOKUP(C277,'Talente &amp; Stuff'!AF:BG,14,FALSE)</f>
        <v>0</v>
      </c>
      <c r="Q277" s="114">
        <f>VLOOKUP(C277,'Talente &amp; Stuff'!AF:BG,15,FALSE)</f>
        <v>0</v>
      </c>
      <c r="R277" s="117">
        <f>VLOOKUP(C277,'Talente &amp; Stuff'!AF:BG,16,FALSE)</f>
        <v>0</v>
      </c>
      <c r="S277" s="119">
        <f>VLOOKUP(C277,'Talente &amp; Stuff'!AF:BG,17,FALSE)</f>
        <v>0</v>
      </c>
      <c r="T277" s="119">
        <f>VLOOKUP(C277,'Talente &amp; Stuff'!AF:BG,18,FALSE)</f>
        <v>0</v>
      </c>
      <c r="U277" s="89">
        <f>VLOOKUP(C277,'Talente &amp; Stuff'!AF:BG,19,FALSE)</f>
        <v>0</v>
      </c>
      <c r="V277" s="47">
        <f>VLOOKUP(C277,'Talente &amp; Stuff'!AF:BG,20,FALSE)</f>
        <v>0</v>
      </c>
      <c r="W277" s="127">
        <f>VLOOKUP(C277,'Talente &amp; Stuff'!AF:BG,21,FALSE)</f>
        <v>0</v>
      </c>
      <c r="X277" s="127">
        <f>VLOOKUP(C277,'Talente &amp; Stuff'!AF:BG,22,FALSE)</f>
        <v>0</v>
      </c>
      <c r="Y277" s="165">
        <f t="shared" si="22"/>
        <v>0</v>
      </c>
      <c r="Z277" s="44">
        <f t="shared" si="23"/>
        <v>0</v>
      </c>
      <c r="AA277" s="125">
        <f>VLOOKUP(C277,'Talente &amp; Stuff'!AF:BG,25,FALSE)</f>
        <v>0</v>
      </c>
      <c r="AB277" s="160">
        <f>VLOOKUP(C277,'Talente &amp; Stuff'!AF:BG,26,FALSE)</f>
        <v>0</v>
      </c>
      <c r="AC277" s="127">
        <f>VLOOKUP(C277,'Talente &amp; Stuff'!AF:BG,27,FALSE)</f>
        <v>0</v>
      </c>
      <c r="AD277" s="125">
        <f>VLOOKUP(C277,'Talente &amp; Stuff'!AF:BG,28,FALSE)</f>
        <v>0</v>
      </c>
      <c r="AE277" s="28"/>
    </row>
    <row r="278" spans="2:31" s="148" customFormat="1" ht="15" hidden="1" customHeight="1" outlineLevel="2">
      <c r="B278" s="148">
        <v>18</v>
      </c>
      <c r="C278" s="163" t="str">
        <f>Attribute!C278</f>
        <v>---</v>
      </c>
      <c r="D278" s="86" t="str">
        <f>VLOOKUP(C278,'Talente &amp; Stuff'!AF:BG,2,FALSE)</f>
        <v>--/--/--</v>
      </c>
      <c r="E278" s="167" t="str">
        <f>VLOOKUP(C278,'Talente &amp; Stuff'!AF:BG,3,FALSE)</f>
        <v>-</v>
      </c>
      <c r="F278" s="120">
        <f>VLOOKUP(C278,'Talente &amp; Stuff'!AF:BG,4,FALSE)</f>
        <v>0</v>
      </c>
      <c r="G278" s="117">
        <f>VLOOKUP(C278,'Talente &amp; Stuff'!AF:BG,5,FALSE)</f>
        <v>0</v>
      </c>
      <c r="H278" s="117">
        <f>VLOOKUP(C278,'Talente &amp; Stuff'!AF:BG,6,FALSE)</f>
        <v>0</v>
      </c>
      <c r="I278" s="117">
        <f>VLOOKUP(C278,'Talente &amp; Stuff'!AF:BG,7,FALSE)</f>
        <v>0</v>
      </c>
      <c r="J278" s="117">
        <f>VLOOKUP(C278,'Talente &amp; Stuff'!AF:BG,8,FALSE)</f>
        <v>0</v>
      </c>
      <c r="K278" s="117">
        <f>VLOOKUP(C278,'Talente &amp; Stuff'!AF:BG,9,FALSE)</f>
        <v>0</v>
      </c>
      <c r="L278" s="117">
        <f>VLOOKUP(C278,'Talente &amp; Stuff'!AF:BG,10,FALSE)</f>
        <v>0</v>
      </c>
      <c r="M278" s="121">
        <f>VLOOKUP(C278,'Talente &amp; Stuff'!AF:BG,11,FALSE)</f>
        <v>0</v>
      </c>
      <c r="N278" s="47">
        <f>VLOOKUP(C278,'Talente &amp; Stuff'!AF:BG,12,FALSE)</f>
        <v>0</v>
      </c>
      <c r="O278" s="3">
        <f>VLOOKUP(C278,'Talente &amp; Stuff'!AF:BG,13,FALSE)</f>
        <v>0</v>
      </c>
      <c r="P278" s="174">
        <f>VLOOKUP(C278,'Talente &amp; Stuff'!AF:BG,14,FALSE)</f>
        <v>0</v>
      </c>
      <c r="Q278" s="114">
        <f>VLOOKUP(C278,'Talente &amp; Stuff'!AF:BG,15,FALSE)</f>
        <v>0</v>
      </c>
      <c r="R278" s="117">
        <f>VLOOKUP(C278,'Talente &amp; Stuff'!AF:BG,16,FALSE)</f>
        <v>0</v>
      </c>
      <c r="S278" s="119">
        <f>VLOOKUP(C278,'Talente &amp; Stuff'!AF:BG,17,FALSE)</f>
        <v>0</v>
      </c>
      <c r="T278" s="119">
        <f>VLOOKUP(C278,'Talente &amp; Stuff'!AF:BG,18,FALSE)</f>
        <v>0</v>
      </c>
      <c r="U278" s="89">
        <f>VLOOKUP(C278,'Talente &amp; Stuff'!AF:BG,19,FALSE)</f>
        <v>0</v>
      </c>
      <c r="V278" s="47">
        <f>VLOOKUP(C278,'Talente &amp; Stuff'!AF:BG,20,FALSE)</f>
        <v>0</v>
      </c>
      <c r="W278" s="127">
        <f>VLOOKUP(C278,'Talente &amp; Stuff'!AF:BG,21,FALSE)</f>
        <v>0</v>
      </c>
      <c r="X278" s="127">
        <f>VLOOKUP(C278,'Talente &amp; Stuff'!AF:BG,22,FALSE)</f>
        <v>0</v>
      </c>
      <c r="Y278" s="165">
        <f t="shared" si="22"/>
        <v>0</v>
      </c>
      <c r="Z278" s="44">
        <f t="shared" si="23"/>
        <v>0</v>
      </c>
      <c r="AA278" s="125">
        <f>VLOOKUP(C278,'Talente &amp; Stuff'!AF:BG,25,FALSE)</f>
        <v>0</v>
      </c>
      <c r="AB278" s="160">
        <f>VLOOKUP(C278,'Talente &amp; Stuff'!AF:BG,26,FALSE)</f>
        <v>0</v>
      </c>
      <c r="AC278" s="127">
        <f>VLOOKUP(C278,'Talente &amp; Stuff'!AF:BG,27,FALSE)</f>
        <v>0</v>
      </c>
      <c r="AD278" s="125">
        <f>VLOOKUP(C278,'Talente &amp; Stuff'!AF:BG,28,FALSE)</f>
        <v>0</v>
      </c>
      <c r="AE278" s="28"/>
    </row>
    <row r="279" spans="2:31" s="148" customFormat="1" ht="15" hidden="1" customHeight="1" outlineLevel="2">
      <c r="B279" s="148">
        <v>19</v>
      </c>
      <c r="C279" s="163" t="str">
        <f>Attribute!C279</f>
        <v>---</v>
      </c>
      <c r="D279" s="86" t="str">
        <f>VLOOKUP(C279,'Talente &amp; Stuff'!AF:BG,2,FALSE)</f>
        <v>--/--/--</v>
      </c>
      <c r="E279" s="167" t="str">
        <f>VLOOKUP(C279,'Talente &amp; Stuff'!AF:BG,3,FALSE)</f>
        <v>-</v>
      </c>
      <c r="F279" s="120">
        <f>VLOOKUP(C279,'Talente &amp; Stuff'!AF:BG,4,FALSE)</f>
        <v>0</v>
      </c>
      <c r="G279" s="117">
        <f>VLOOKUP(C279,'Talente &amp; Stuff'!AF:BG,5,FALSE)</f>
        <v>0</v>
      </c>
      <c r="H279" s="117">
        <f>VLOOKUP(C279,'Talente &amp; Stuff'!AF:BG,6,FALSE)</f>
        <v>0</v>
      </c>
      <c r="I279" s="117">
        <f>VLOOKUP(C279,'Talente &amp; Stuff'!AF:BG,7,FALSE)</f>
        <v>0</v>
      </c>
      <c r="J279" s="117">
        <f>VLOOKUP(C279,'Talente &amp; Stuff'!AF:BG,8,FALSE)</f>
        <v>0</v>
      </c>
      <c r="K279" s="117">
        <f>VLOOKUP(C279,'Talente &amp; Stuff'!AF:BG,9,FALSE)</f>
        <v>0</v>
      </c>
      <c r="L279" s="117">
        <f>VLOOKUP(C279,'Talente &amp; Stuff'!AF:BG,10,FALSE)</f>
        <v>0</v>
      </c>
      <c r="M279" s="121">
        <f>VLOOKUP(C279,'Talente &amp; Stuff'!AF:BG,11,FALSE)</f>
        <v>0</v>
      </c>
      <c r="N279" s="47">
        <f>VLOOKUP(C279,'Talente &amp; Stuff'!AF:BG,12,FALSE)</f>
        <v>0</v>
      </c>
      <c r="O279" s="3">
        <f>VLOOKUP(C279,'Talente &amp; Stuff'!AF:BG,13,FALSE)</f>
        <v>0</v>
      </c>
      <c r="P279" s="174">
        <f>VLOOKUP(C279,'Talente &amp; Stuff'!AF:BG,14,FALSE)</f>
        <v>0</v>
      </c>
      <c r="Q279" s="114">
        <f>VLOOKUP(C279,'Talente &amp; Stuff'!AF:BG,15,FALSE)</f>
        <v>0</v>
      </c>
      <c r="R279" s="117">
        <f>VLOOKUP(C279,'Talente &amp; Stuff'!AF:BG,16,FALSE)</f>
        <v>0</v>
      </c>
      <c r="S279" s="119">
        <f>VLOOKUP(C279,'Talente &amp; Stuff'!AF:BG,17,FALSE)</f>
        <v>0</v>
      </c>
      <c r="T279" s="119">
        <f>VLOOKUP(C279,'Talente &amp; Stuff'!AF:BG,18,FALSE)</f>
        <v>0</v>
      </c>
      <c r="U279" s="89">
        <f>VLOOKUP(C279,'Talente &amp; Stuff'!AF:BG,19,FALSE)</f>
        <v>0</v>
      </c>
      <c r="V279" s="47">
        <f>VLOOKUP(C279,'Talente &amp; Stuff'!AF:BG,20,FALSE)</f>
        <v>0</v>
      </c>
      <c r="W279" s="127">
        <f>VLOOKUP(C279,'Talente &amp; Stuff'!AF:BG,21,FALSE)</f>
        <v>0</v>
      </c>
      <c r="X279" s="127">
        <f>VLOOKUP(C279,'Talente &amp; Stuff'!AF:BG,22,FALSE)</f>
        <v>0</v>
      </c>
      <c r="Y279" s="165">
        <f t="shared" si="22"/>
        <v>0</v>
      </c>
      <c r="Z279" s="44">
        <f t="shared" si="23"/>
        <v>0</v>
      </c>
      <c r="AA279" s="125">
        <f>VLOOKUP(C279,'Talente &amp; Stuff'!AF:BG,25,FALSE)</f>
        <v>0</v>
      </c>
      <c r="AB279" s="160">
        <f>VLOOKUP(C279,'Talente &amp; Stuff'!AF:BG,26,FALSE)</f>
        <v>0</v>
      </c>
      <c r="AC279" s="127">
        <f>VLOOKUP(C279,'Talente &amp; Stuff'!AF:BG,27,FALSE)</f>
        <v>0</v>
      </c>
      <c r="AD279" s="125">
        <f>VLOOKUP(C279,'Talente &amp; Stuff'!AF:BG,28,FALSE)</f>
        <v>0</v>
      </c>
      <c r="AE279" s="28"/>
    </row>
    <row r="280" spans="2:31" s="148" customFormat="1" ht="15" hidden="1" customHeight="1" outlineLevel="2">
      <c r="B280" s="148">
        <v>20</v>
      </c>
      <c r="C280" s="163" t="str">
        <f>Attribute!C280</f>
        <v>---</v>
      </c>
      <c r="D280" s="86" t="str">
        <f>VLOOKUP(C280,'Talente &amp; Stuff'!AF:BG,2,FALSE)</f>
        <v>--/--/--</v>
      </c>
      <c r="E280" s="167" t="str">
        <f>VLOOKUP(C280,'Talente &amp; Stuff'!AF:BG,3,FALSE)</f>
        <v>-</v>
      </c>
      <c r="F280" s="120">
        <f>VLOOKUP(C280,'Talente &amp; Stuff'!AF:BG,4,FALSE)</f>
        <v>0</v>
      </c>
      <c r="G280" s="117">
        <f>VLOOKUP(C280,'Talente &amp; Stuff'!AF:BG,5,FALSE)</f>
        <v>0</v>
      </c>
      <c r="H280" s="117">
        <f>VLOOKUP(C280,'Talente &amp; Stuff'!AF:BG,6,FALSE)</f>
        <v>0</v>
      </c>
      <c r="I280" s="117">
        <f>VLOOKUP(C280,'Talente &amp; Stuff'!AF:BG,7,FALSE)</f>
        <v>0</v>
      </c>
      <c r="J280" s="117">
        <f>VLOOKUP(C280,'Talente &amp; Stuff'!AF:BG,8,FALSE)</f>
        <v>0</v>
      </c>
      <c r="K280" s="117">
        <f>VLOOKUP(C280,'Talente &amp; Stuff'!AF:BG,9,FALSE)</f>
        <v>0</v>
      </c>
      <c r="L280" s="117">
        <f>VLOOKUP(C280,'Talente &amp; Stuff'!AF:BG,10,FALSE)</f>
        <v>0</v>
      </c>
      <c r="M280" s="121">
        <f>VLOOKUP(C280,'Talente &amp; Stuff'!AF:BG,11,FALSE)</f>
        <v>0</v>
      </c>
      <c r="N280" s="47">
        <f>VLOOKUP(C280,'Talente &amp; Stuff'!AF:BG,12,FALSE)</f>
        <v>0</v>
      </c>
      <c r="O280" s="3">
        <f>VLOOKUP(C280,'Talente &amp; Stuff'!AF:BG,13,FALSE)</f>
        <v>0</v>
      </c>
      <c r="P280" s="174">
        <f>VLOOKUP(C280,'Talente &amp; Stuff'!AF:BG,14,FALSE)</f>
        <v>0</v>
      </c>
      <c r="Q280" s="114">
        <f>VLOOKUP(C280,'Talente &amp; Stuff'!AF:BG,15,FALSE)</f>
        <v>0</v>
      </c>
      <c r="R280" s="117">
        <f>VLOOKUP(C280,'Talente &amp; Stuff'!AF:BG,16,FALSE)</f>
        <v>0</v>
      </c>
      <c r="S280" s="119">
        <f>VLOOKUP(C280,'Talente &amp; Stuff'!AF:BG,17,FALSE)</f>
        <v>0</v>
      </c>
      <c r="T280" s="119">
        <f>VLOOKUP(C280,'Talente &amp; Stuff'!AF:BG,18,FALSE)</f>
        <v>0</v>
      </c>
      <c r="U280" s="89">
        <f>VLOOKUP(C280,'Talente &amp; Stuff'!AF:BG,19,FALSE)</f>
        <v>0</v>
      </c>
      <c r="V280" s="47">
        <f>VLOOKUP(C280,'Talente &amp; Stuff'!AF:BG,20,FALSE)</f>
        <v>0</v>
      </c>
      <c r="W280" s="127">
        <f>VLOOKUP(C280,'Talente &amp; Stuff'!AF:BG,21,FALSE)</f>
        <v>0</v>
      </c>
      <c r="X280" s="127">
        <f>VLOOKUP(C280,'Talente &amp; Stuff'!AF:BG,22,FALSE)</f>
        <v>0</v>
      </c>
      <c r="Y280" s="165">
        <f t="shared" si="22"/>
        <v>0</v>
      </c>
      <c r="Z280" s="44">
        <f t="shared" si="23"/>
        <v>0</v>
      </c>
      <c r="AA280" s="125">
        <f>VLOOKUP(C280,'Talente &amp; Stuff'!AF:BG,25,FALSE)</f>
        <v>0</v>
      </c>
      <c r="AB280" s="160">
        <f>VLOOKUP(C280,'Talente &amp; Stuff'!AF:BG,26,FALSE)</f>
        <v>0</v>
      </c>
      <c r="AC280" s="127">
        <f>VLOOKUP(C280,'Talente &amp; Stuff'!AF:BG,27,FALSE)</f>
        <v>0</v>
      </c>
      <c r="AD280" s="125">
        <f>VLOOKUP(C280,'Talente &amp; Stuff'!AF:BG,28,FALSE)</f>
        <v>0</v>
      </c>
      <c r="AE280" s="28"/>
    </row>
    <row r="281" spans="2:31" s="148" customFormat="1" ht="15" hidden="1" customHeight="1" outlineLevel="2">
      <c r="B281" s="148">
        <v>21</v>
      </c>
      <c r="C281" s="163" t="str">
        <f>Attribute!C281</f>
        <v>---</v>
      </c>
      <c r="D281" s="86" t="str">
        <f>VLOOKUP(C281,'Talente &amp; Stuff'!AF:BG,2,FALSE)</f>
        <v>--/--/--</v>
      </c>
      <c r="E281" s="167" t="str">
        <f>VLOOKUP(C281,'Talente &amp; Stuff'!AF:BG,3,FALSE)</f>
        <v>-</v>
      </c>
      <c r="F281" s="120">
        <f>VLOOKUP(C281,'Talente &amp; Stuff'!AF:BG,4,FALSE)</f>
        <v>0</v>
      </c>
      <c r="G281" s="117">
        <f>VLOOKUP(C281,'Talente &amp; Stuff'!AF:BG,5,FALSE)</f>
        <v>0</v>
      </c>
      <c r="H281" s="117">
        <f>VLOOKUP(C281,'Talente &amp; Stuff'!AF:BG,6,FALSE)</f>
        <v>0</v>
      </c>
      <c r="I281" s="117">
        <f>VLOOKUP(C281,'Talente &amp; Stuff'!AF:BG,7,FALSE)</f>
        <v>0</v>
      </c>
      <c r="J281" s="117">
        <f>VLOOKUP(C281,'Talente &amp; Stuff'!AF:BG,8,FALSE)</f>
        <v>0</v>
      </c>
      <c r="K281" s="117">
        <f>VLOOKUP(C281,'Talente &amp; Stuff'!AF:BG,9,FALSE)</f>
        <v>0</v>
      </c>
      <c r="L281" s="117">
        <f>VLOOKUP(C281,'Talente &amp; Stuff'!AF:BG,10,FALSE)</f>
        <v>0</v>
      </c>
      <c r="M281" s="121">
        <f>VLOOKUP(C281,'Talente &amp; Stuff'!AF:BG,11,FALSE)</f>
        <v>0</v>
      </c>
      <c r="N281" s="47">
        <f>VLOOKUP(C281,'Talente &amp; Stuff'!AF:BG,12,FALSE)</f>
        <v>0</v>
      </c>
      <c r="O281" s="3">
        <f>VLOOKUP(C281,'Talente &amp; Stuff'!AF:BG,13,FALSE)</f>
        <v>0</v>
      </c>
      <c r="P281" s="174">
        <f>VLOOKUP(C281,'Talente &amp; Stuff'!AF:BG,14,FALSE)</f>
        <v>0</v>
      </c>
      <c r="Q281" s="114">
        <f>VLOOKUP(C281,'Talente &amp; Stuff'!AF:BG,15,FALSE)</f>
        <v>0</v>
      </c>
      <c r="R281" s="117">
        <f>VLOOKUP(C281,'Talente &amp; Stuff'!AF:BG,16,FALSE)</f>
        <v>0</v>
      </c>
      <c r="S281" s="119">
        <f>VLOOKUP(C281,'Talente &amp; Stuff'!AF:BG,17,FALSE)</f>
        <v>0</v>
      </c>
      <c r="T281" s="119">
        <f>VLOOKUP(C281,'Talente &amp; Stuff'!AF:BG,18,FALSE)</f>
        <v>0</v>
      </c>
      <c r="U281" s="89">
        <f>VLOOKUP(C281,'Talente &amp; Stuff'!AF:BG,19,FALSE)</f>
        <v>0</v>
      </c>
      <c r="V281" s="47">
        <f>VLOOKUP(C281,'Talente &amp; Stuff'!AF:BG,20,FALSE)</f>
        <v>0</v>
      </c>
      <c r="W281" s="127">
        <f>VLOOKUP(C281,'Talente &amp; Stuff'!AF:BG,21,FALSE)</f>
        <v>0</v>
      </c>
      <c r="X281" s="127">
        <f>VLOOKUP(C281,'Talente &amp; Stuff'!AF:BG,22,FALSE)</f>
        <v>0</v>
      </c>
      <c r="Y281" s="165">
        <f t="shared" si="22"/>
        <v>0</v>
      </c>
      <c r="Z281" s="44">
        <f t="shared" si="23"/>
        <v>0</v>
      </c>
      <c r="AA281" s="125">
        <f>VLOOKUP(C281,'Talente &amp; Stuff'!AF:BG,25,FALSE)</f>
        <v>0</v>
      </c>
      <c r="AB281" s="160">
        <f>VLOOKUP(C281,'Talente &amp; Stuff'!AF:BG,26,FALSE)</f>
        <v>0</v>
      </c>
      <c r="AC281" s="127">
        <f>VLOOKUP(C281,'Talente &amp; Stuff'!AF:BG,27,FALSE)</f>
        <v>0</v>
      </c>
      <c r="AD281" s="125">
        <f>VLOOKUP(C281,'Talente &amp; Stuff'!AF:BG,28,FALSE)</f>
        <v>0</v>
      </c>
      <c r="AE281" s="28"/>
    </row>
    <row r="282" spans="2:31" s="148" customFormat="1" ht="15" hidden="1" customHeight="1" outlineLevel="2">
      <c r="B282" s="148">
        <v>22</v>
      </c>
      <c r="C282" s="163" t="str">
        <f>Attribute!C282</f>
        <v>---</v>
      </c>
      <c r="D282" s="86" t="str">
        <f>VLOOKUP(C282,'Talente &amp; Stuff'!AF:BG,2,FALSE)</f>
        <v>--/--/--</v>
      </c>
      <c r="E282" s="167" t="str">
        <f>VLOOKUP(C282,'Talente &amp; Stuff'!AF:BG,3,FALSE)</f>
        <v>-</v>
      </c>
      <c r="F282" s="120">
        <f>VLOOKUP(C282,'Talente &amp; Stuff'!AF:BG,4,FALSE)</f>
        <v>0</v>
      </c>
      <c r="G282" s="117">
        <f>VLOOKUP(C282,'Talente &amp; Stuff'!AF:BG,5,FALSE)</f>
        <v>0</v>
      </c>
      <c r="H282" s="117">
        <f>VLOOKUP(C282,'Talente &amp; Stuff'!AF:BG,6,FALSE)</f>
        <v>0</v>
      </c>
      <c r="I282" s="117">
        <f>VLOOKUP(C282,'Talente &amp; Stuff'!AF:BG,7,FALSE)</f>
        <v>0</v>
      </c>
      <c r="J282" s="117">
        <f>VLOOKUP(C282,'Talente &amp; Stuff'!AF:BG,8,FALSE)</f>
        <v>0</v>
      </c>
      <c r="K282" s="117">
        <f>VLOOKUP(C282,'Talente &amp; Stuff'!AF:BG,9,FALSE)</f>
        <v>0</v>
      </c>
      <c r="L282" s="117">
        <f>VLOOKUP(C282,'Talente &amp; Stuff'!AF:BG,10,FALSE)</f>
        <v>0</v>
      </c>
      <c r="M282" s="121">
        <f>VLOOKUP(C282,'Talente &amp; Stuff'!AF:BG,11,FALSE)</f>
        <v>0</v>
      </c>
      <c r="N282" s="47">
        <f>VLOOKUP(C282,'Talente &amp; Stuff'!AF:BG,12,FALSE)</f>
        <v>0</v>
      </c>
      <c r="O282" s="3">
        <f>VLOOKUP(C282,'Talente &amp; Stuff'!AF:BG,13,FALSE)</f>
        <v>0</v>
      </c>
      <c r="P282" s="174">
        <f>VLOOKUP(C282,'Talente &amp; Stuff'!AF:BG,14,FALSE)</f>
        <v>0</v>
      </c>
      <c r="Q282" s="114">
        <f>VLOOKUP(C282,'Talente &amp; Stuff'!AF:BG,15,FALSE)</f>
        <v>0</v>
      </c>
      <c r="R282" s="117">
        <f>VLOOKUP(C282,'Talente &amp; Stuff'!AF:BG,16,FALSE)</f>
        <v>0</v>
      </c>
      <c r="S282" s="119">
        <f>VLOOKUP(C282,'Talente &amp; Stuff'!AF:BG,17,FALSE)</f>
        <v>0</v>
      </c>
      <c r="T282" s="119">
        <f>VLOOKUP(C282,'Talente &amp; Stuff'!AF:BG,18,FALSE)</f>
        <v>0</v>
      </c>
      <c r="U282" s="89">
        <f>VLOOKUP(C282,'Talente &amp; Stuff'!AF:BG,19,FALSE)</f>
        <v>0</v>
      </c>
      <c r="V282" s="47">
        <f>VLOOKUP(C282,'Talente &amp; Stuff'!AF:BG,20,FALSE)</f>
        <v>0</v>
      </c>
      <c r="W282" s="127">
        <f>VLOOKUP(C282,'Talente &amp; Stuff'!AF:BG,21,FALSE)</f>
        <v>0</v>
      </c>
      <c r="X282" s="127">
        <f>VLOOKUP(C282,'Talente &amp; Stuff'!AF:BG,22,FALSE)</f>
        <v>0</v>
      </c>
      <c r="Y282" s="165">
        <f t="shared" si="22"/>
        <v>0</v>
      </c>
      <c r="Z282" s="44">
        <f t="shared" si="23"/>
        <v>0</v>
      </c>
      <c r="AA282" s="125">
        <f>VLOOKUP(C282,'Talente &amp; Stuff'!AF:BG,25,FALSE)</f>
        <v>0</v>
      </c>
      <c r="AB282" s="160">
        <f>VLOOKUP(C282,'Talente &amp; Stuff'!AF:BG,26,FALSE)</f>
        <v>0</v>
      </c>
      <c r="AC282" s="127">
        <f>VLOOKUP(C282,'Talente &amp; Stuff'!AF:BG,27,FALSE)</f>
        <v>0</v>
      </c>
      <c r="AD282" s="125">
        <f>VLOOKUP(C282,'Talente &amp; Stuff'!AF:BG,28,FALSE)</f>
        <v>0</v>
      </c>
      <c r="AE282" s="28"/>
    </row>
    <row r="283" spans="2:31" s="148" customFormat="1" ht="15" hidden="1" customHeight="1" outlineLevel="2">
      <c r="B283" s="148">
        <v>23</v>
      </c>
      <c r="C283" s="163" t="str">
        <f>Attribute!C283</f>
        <v>---</v>
      </c>
      <c r="D283" s="86" t="str">
        <f>VLOOKUP(C283,'Talente &amp; Stuff'!AF:BG,2,FALSE)</f>
        <v>--/--/--</v>
      </c>
      <c r="E283" s="167" t="str">
        <f>VLOOKUP(C283,'Talente &amp; Stuff'!AF:BG,3,FALSE)</f>
        <v>-</v>
      </c>
      <c r="F283" s="120">
        <f>VLOOKUP(C283,'Talente &amp; Stuff'!AF:BG,4,FALSE)</f>
        <v>0</v>
      </c>
      <c r="G283" s="117">
        <f>VLOOKUP(C283,'Talente &amp; Stuff'!AF:BG,5,FALSE)</f>
        <v>0</v>
      </c>
      <c r="H283" s="117">
        <f>VLOOKUP(C283,'Talente &amp; Stuff'!AF:BG,6,FALSE)</f>
        <v>0</v>
      </c>
      <c r="I283" s="117">
        <f>VLOOKUP(C283,'Talente &amp; Stuff'!AF:BG,7,FALSE)</f>
        <v>0</v>
      </c>
      <c r="J283" s="117">
        <f>VLOOKUP(C283,'Talente &amp; Stuff'!AF:BG,8,FALSE)</f>
        <v>0</v>
      </c>
      <c r="K283" s="117">
        <f>VLOOKUP(C283,'Talente &amp; Stuff'!AF:BG,9,FALSE)</f>
        <v>0</v>
      </c>
      <c r="L283" s="117">
        <f>VLOOKUP(C283,'Talente &amp; Stuff'!AF:BG,10,FALSE)</f>
        <v>0</v>
      </c>
      <c r="M283" s="121">
        <f>VLOOKUP(C283,'Talente &amp; Stuff'!AF:BG,11,FALSE)</f>
        <v>0</v>
      </c>
      <c r="N283" s="47">
        <f>VLOOKUP(C283,'Talente &amp; Stuff'!AF:BG,12,FALSE)</f>
        <v>0</v>
      </c>
      <c r="O283" s="3">
        <f>VLOOKUP(C283,'Talente &amp; Stuff'!AF:BG,13,FALSE)</f>
        <v>0</v>
      </c>
      <c r="P283" s="174">
        <f>VLOOKUP(C283,'Talente &amp; Stuff'!AF:BG,14,FALSE)</f>
        <v>0</v>
      </c>
      <c r="Q283" s="114">
        <f>VLOOKUP(C283,'Talente &amp; Stuff'!AF:BG,15,FALSE)</f>
        <v>0</v>
      </c>
      <c r="R283" s="117">
        <f>VLOOKUP(C283,'Talente &amp; Stuff'!AF:BG,16,FALSE)</f>
        <v>0</v>
      </c>
      <c r="S283" s="119">
        <f>VLOOKUP(C283,'Talente &amp; Stuff'!AF:BG,17,FALSE)</f>
        <v>0</v>
      </c>
      <c r="T283" s="119">
        <f>VLOOKUP(C283,'Talente &amp; Stuff'!AF:BG,18,FALSE)</f>
        <v>0</v>
      </c>
      <c r="U283" s="89">
        <f>VLOOKUP(C283,'Talente &amp; Stuff'!AF:BG,19,FALSE)</f>
        <v>0</v>
      </c>
      <c r="V283" s="47">
        <f>VLOOKUP(C283,'Talente &amp; Stuff'!AF:BG,20,FALSE)</f>
        <v>0</v>
      </c>
      <c r="W283" s="127">
        <f>VLOOKUP(C283,'Talente &amp; Stuff'!AF:BG,21,FALSE)</f>
        <v>0</v>
      </c>
      <c r="X283" s="127">
        <f>VLOOKUP(C283,'Talente &amp; Stuff'!AF:BG,22,FALSE)</f>
        <v>0</v>
      </c>
      <c r="Y283" s="165">
        <f t="shared" si="22"/>
        <v>0</v>
      </c>
      <c r="Z283" s="44">
        <f t="shared" si="23"/>
        <v>0</v>
      </c>
      <c r="AA283" s="125">
        <f>VLOOKUP(C283,'Talente &amp; Stuff'!AF:BG,25,FALSE)</f>
        <v>0</v>
      </c>
      <c r="AB283" s="160">
        <f>VLOOKUP(C283,'Talente &amp; Stuff'!AF:BG,26,FALSE)</f>
        <v>0</v>
      </c>
      <c r="AC283" s="127">
        <f>VLOOKUP(C283,'Talente &amp; Stuff'!AF:BG,27,FALSE)</f>
        <v>0</v>
      </c>
      <c r="AD283" s="125">
        <f>VLOOKUP(C283,'Talente &amp; Stuff'!AF:BG,28,FALSE)</f>
        <v>0</v>
      </c>
      <c r="AE283" s="28"/>
    </row>
    <row r="284" spans="2:31" s="148" customFormat="1" ht="15" hidden="1" customHeight="1" outlineLevel="2">
      <c r="B284" s="148">
        <v>24</v>
      </c>
      <c r="C284" s="163" t="str">
        <f>Attribute!C284</f>
        <v>---</v>
      </c>
      <c r="D284" s="86" t="str">
        <f>VLOOKUP(C284,'Talente &amp; Stuff'!AF:BG,2,FALSE)</f>
        <v>--/--/--</v>
      </c>
      <c r="E284" s="167" t="str">
        <f>VLOOKUP(C284,'Talente &amp; Stuff'!AF:BG,3,FALSE)</f>
        <v>-</v>
      </c>
      <c r="F284" s="120">
        <f>VLOOKUP(C284,'Talente &amp; Stuff'!AF:BG,4,FALSE)</f>
        <v>0</v>
      </c>
      <c r="G284" s="117">
        <f>VLOOKUP(C284,'Talente &amp; Stuff'!AF:BG,5,FALSE)</f>
        <v>0</v>
      </c>
      <c r="H284" s="117">
        <f>VLOOKUP(C284,'Talente &amp; Stuff'!AF:BG,6,FALSE)</f>
        <v>0</v>
      </c>
      <c r="I284" s="117">
        <f>VLOOKUP(C284,'Talente &amp; Stuff'!AF:BG,7,FALSE)</f>
        <v>0</v>
      </c>
      <c r="J284" s="117">
        <f>VLOOKUP(C284,'Talente &amp; Stuff'!AF:BG,8,FALSE)</f>
        <v>0</v>
      </c>
      <c r="K284" s="117">
        <f>VLOOKUP(C284,'Talente &amp; Stuff'!AF:BG,9,FALSE)</f>
        <v>0</v>
      </c>
      <c r="L284" s="117">
        <f>VLOOKUP(C284,'Talente &amp; Stuff'!AF:BG,10,FALSE)</f>
        <v>0</v>
      </c>
      <c r="M284" s="121">
        <f>VLOOKUP(C284,'Talente &amp; Stuff'!AF:BG,11,FALSE)</f>
        <v>0</v>
      </c>
      <c r="N284" s="47">
        <f>VLOOKUP(C284,'Talente &amp; Stuff'!AF:BG,12,FALSE)</f>
        <v>0</v>
      </c>
      <c r="O284" s="3">
        <f>VLOOKUP(C284,'Talente &amp; Stuff'!AF:BG,13,FALSE)</f>
        <v>0</v>
      </c>
      <c r="P284" s="174">
        <f>VLOOKUP(C284,'Talente &amp; Stuff'!AF:BG,14,FALSE)</f>
        <v>0</v>
      </c>
      <c r="Q284" s="114">
        <f>VLOOKUP(C284,'Talente &amp; Stuff'!AF:BG,15,FALSE)</f>
        <v>0</v>
      </c>
      <c r="R284" s="117">
        <f>VLOOKUP(C284,'Talente &amp; Stuff'!AF:BG,16,FALSE)</f>
        <v>0</v>
      </c>
      <c r="S284" s="119">
        <f>VLOOKUP(C284,'Talente &amp; Stuff'!AF:BG,17,FALSE)</f>
        <v>0</v>
      </c>
      <c r="T284" s="119">
        <f>VLOOKUP(C284,'Talente &amp; Stuff'!AF:BG,18,FALSE)</f>
        <v>0</v>
      </c>
      <c r="U284" s="89">
        <f>VLOOKUP(C284,'Talente &amp; Stuff'!AF:BG,19,FALSE)</f>
        <v>0</v>
      </c>
      <c r="V284" s="47">
        <f>VLOOKUP(C284,'Talente &amp; Stuff'!AF:BG,20,FALSE)</f>
        <v>0</v>
      </c>
      <c r="W284" s="127">
        <f>VLOOKUP(C284,'Talente &amp; Stuff'!AF:BG,21,FALSE)</f>
        <v>0</v>
      </c>
      <c r="X284" s="127">
        <f>VLOOKUP(C284,'Talente &amp; Stuff'!AF:BG,22,FALSE)</f>
        <v>0</v>
      </c>
      <c r="Y284" s="165">
        <f t="shared" si="22"/>
        <v>0</v>
      </c>
      <c r="Z284" s="44">
        <f t="shared" si="23"/>
        <v>0</v>
      </c>
      <c r="AA284" s="125">
        <f>VLOOKUP(C284,'Talente &amp; Stuff'!AF:BG,25,FALSE)</f>
        <v>0</v>
      </c>
      <c r="AB284" s="160">
        <f>VLOOKUP(C284,'Talente &amp; Stuff'!AF:BG,26,FALSE)</f>
        <v>0</v>
      </c>
      <c r="AC284" s="127">
        <f>VLOOKUP(C284,'Talente &amp; Stuff'!AF:BG,27,FALSE)</f>
        <v>0</v>
      </c>
      <c r="AD284" s="125">
        <f>VLOOKUP(C284,'Talente &amp; Stuff'!AF:BG,28,FALSE)</f>
        <v>0</v>
      </c>
      <c r="AE284" s="28"/>
    </row>
    <row r="285" spans="2:31" s="148" customFormat="1" ht="15" hidden="1" customHeight="1" outlineLevel="2">
      <c r="B285" s="148">
        <v>25</v>
      </c>
      <c r="C285" s="163" t="str">
        <f>Attribute!C285</f>
        <v>---</v>
      </c>
      <c r="D285" s="86" t="str">
        <f>VLOOKUP(C285,'Talente &amp; Stuff'!AF:BG,2,FALSE)</f>
        <v>--/--/--</v>
      </c>
      <c r="E285" s="167" t="str">
        <f>VLOOKUP(C285,'Talente &amp; Stuff'!AF:BG,3,FALSE)</f>
        <v>-</v>
      </c>
      <c r="F285" s="120">
        <f>VLOOKUP(C285,'Talente &amp; Stuff'!AF:BG,4,FALSE)</f>
        <v>0</v>
      </c>
      <c r="G285" s="117">
        <f>VLOOKUP(C285,'Talente &amp; Stuff'!AF:BG,5,FALSE)</f>
        <v>0</v>
      </c>
      <c r="H285" s="117">
        <f>VLOOKUP(C285,'Talente &amp; Stuff'!AF:BG,6,FALSE)</f>
        <v>0</v>
      </c>
      <c r="I285" s="117">
        <f>VLOOKUP(C285,'Talente &amp; Stuff'!AF:BG,7,FALSE)</f>
        <v>0</v>
      </c>
      <c r="J285" s="117">
        <f>VLOOKUP(C285,'Talente &amp; Stuff'!AF:BG,8,FALSE)</f>
        <v>0</v>
      </c>
      <c r="K285" s="117">
        <f>VLOOKUP(C285,'Talente &amp; Stuff'!AF:BG,9,FALSE)</f>
        <v>0</v>
      </c>
      <c r="L285" s="117">
        <f>VLOOKUP(C285,'Talente &amp; Stuff'!AF:BG,10,FALSE)</f>
        <v>0</v>
      </c>
      <c r="M285" s="121">
        <f>VLOOKUP(C285,'Talente &amp; Stuff'!AF:BG,11,FALSE)</f>
        <v>0</v>
      </c>
      <c r="N285" s="47">
        <f>VLOOKUP(C285,'Talente &amp; Stuff'!AF:BG,12,FALSE)</f>
        <v>0</v>
      </c>
      <c r="O285" s="3">
        <f>VLOOKUP(C285,'Talente &amp; Stuff'!AF:BG,13,FALSE)</f>
        <v>0</v>
      </c>
      <c r="P285" s="174">
        <f>VLOOKUP(C285,'Talente &amp; Stuff'!AF:BG,14,FALSE)</f>
        <v>0</v>
      </c>
      <c r="Q285" s="114">
        <f>VLOOKUP(C285,'Talente &amp; Stuff'!AF:BG,15,FALSE)</f>
        <v>0</v>
      </c>
      <c r="R285" s="117">
        <f>VLOOKUP(C285,'Talente &amp; Stuff'!AF:BG,16,FALSE)</f>
        <v>0</v>
      </c>
      <c r="S285" s="119">
        <f>VLOOKUP(C285,'Talente &amp; Stuff'!AF:BG,17,FALSE)</f>
        <v>0</v>
      </c>
      <c r="T285" s="119">
        <f>VLOOKUP(C285,'Talente &amp; Stuff'!AF:BG,18,FALSE)</f>
        <v>0</v>
      </c>
      <c r="U285" s="89">
        <f>VLOOKUP(C285,'Talente &amp; Stuff'!AF:BG,19,FALSE)</f>
        <v>0</v>
      </c>
      <c r="V285" s="47">
        <f>VLOOKUP(C285,'Talente &amp; Stuff'!AF:BG,20,FALSE)</f>
        <v>0</v>
      </c>
      <c r="W285" s="127">
        <f>VLOOKUP(C285,'Talente &amp; Stuff'!AF:BG,21,FALSE)</f>
        <v>0</v>
      </c>
      <c r="X285" s="127">
        <f>VLOOKUP(C285,'Talente &amp; Stuff'!AF:BG,22,FALSE)</f>
        <v>0</v>
      </c>
      <c r="Y285" s="165">
        <f t="shared" si="22"/>
        <v>0</v>
      </c>
      <c r="Z285" s="44">
        <f t="shared" si="23"/>
        <v>0</v>
      </c>
      <c r="AA285" s="125">
        <f>VLOOKUP(C285,'Talente &amp; Stuff'!AF:BG,25,FALSE)</f>
        <v>0</v>
      </c>
      <c r="AB285" s="160">
        <f>VLOOKUP(C285,'Talente &amp; Stuff'!AF:BG,26,FALSE)</f>
        <v>0</v>
      </c>
      <c r="AC285" s="127">
        <f>VLOOKUP(C285,'Talente &amp; Stuff'!AF:BG,27,FALSE)</f>
        <v>0</v>
      </c>
      <c r="AD285" s="125">
        <f>VLOOKUP(C285,'Talente &amp; Stuff'!AF:BG,28,FALSE)</f>
        <v>0</v>
      </c>
      <c r="AE285" s="28"/>
    </row>
    <row r="286" spans="2:31" s="148" customFormat="1" ht="15" hidden="1" customHeight="1" outlineLevel="2">
      <c r="B286" s="148">
        <v>26</v>
      </c>
      <c r="C286" s="163" t="str">
        <f>Attribute!C286</f>
        <v>---</v>
      </c>
      <c r="D286" s="86" t="str">
        <f>VLOOKUP(C286,'Talente &amp; Stuff'!AF:BG,2,FALSE)</f>
        <v>--/--/--</v>
      </c>
      <c r="E286" s="167" t="str">
        <f>VLOOKUP(C286,'Talente &amp; Stuff'!AF:BG,3,FALSE)</f>
        <v>-</v>
      </c>
      <c r="F286" s="120">
        <f>VLOOKUP(C286,'Talente &amp; Stuff'!AF:BG,4,FALSE)</f>
        <v>0</v>
      </c>
      <c r="G286" s="117">
        <f>VLOOKUP(C286,'Talente &amp; Stuff'!AF:BG,5,FALSE)</f>
        <v>0</v>
      </c>
      <c r="H286" s="117">
        <f>VLOOKUP(C286,'Talente &amp; Stuff'!AF:BG,6,FALSE)</f>
        <v>0</v>
      </c>
      <c r="I286" s="117">
        <f>VLOOKUP(C286,'Talente &amp; Stuff'!AF:BG,7,FALSE)</f>
        <v>0</v>
      </c>
      <c r="J286" s="117">
        <f>VLOOKUP(C286,'Talente &amp; Stuff'!AF:BG,8,FALSE)</f>
        <v>0</v>
      </c>
      <c r="K286" s="117">
        <f>VLOOKUP(C286,'Talente &amp; Stuff'!AF:BG,9,FALSE)</f>
        <v>0</v>
      </c>
      <c r="L286" s="117">
        <f>VLOOKUP(C286,'Talente &amp; Stuff'!AF:BG,10,FALSE)</f>
        <v>0</v>
      </c>
      <c r="M286" s="121">
        <f>VLOOKUP(C286,'Talente &amp; Stuff'!AF:BG,11,FALSE)</f>
        <v>0</v>
      </c>
      <c r="N286" s="47">
        <f>VLOOKUP(C286,'Talente &amp; Stuff'!AF:BG,12,FALSE)</f>
        <v>0</v>
      </c>
      <c r="O286" s="3">
        <f>VLOOKUP(C286,'Talente &amp; Stuff'!AF:BG,13,FALSE)</f>
        <v>0</v>
      </c>
      <c r="P286" s="174">
        <f>VLOOKUP(C286,'Talente &amp; Stuff'!AF:BG,14,FALSE)</f>
        <v>0</v>
      </c>
      <c r="Q286" s="114">
        <f>VLOOKUP(C286,'Talente &amp; Stuff'!AF:BG,15,FALSE)</f>
        <v>0</v>
      </c>
      <c r="R286" s="117">
        <f>VLOOKUP(C286,'Talente &amp; Stuff'!AF:BG,16,FALSE)</f>
        <v>0</v>
      </c>
      <c r="S286" s="119">
        <f>VLOOKUP(C286,'Talente &amp; Stuff'!AF:BG,17,FALSE)</f>
        <v>0</v>
      </c>
      <c r="T286" s="119">
        <f>VLOOKUP(C286,'Talente &amp; Stuff'!AF:BG,18,FALSE)</f>
        <v>0</v>
      </c>
      <c r="U286" s="89">
        <f>VLOOKUP(C286,'Talente &amp; Stuff'!AF:BG,19,FALSE)</f>
        <v>0</v>
      </c>
      <c r="V286" s="47">
        <f>VLOOKUP(C286,'Talente &amp; Stuff'!AF:BG,20,FALSE)</f>
        <v>0</v>
      </c>
      <c r="W286" s="127">
        <f>VLOOKUP(C286,'Talente &amp; Stuff'!AF:BG,21,FALSE)</f>
        <v>0</v>
      </c>
      <c r="X286" s="127">
        <f>VLOOKUP(C286,'Talente &amp; Stuff'!AF:BG,22,FALSE)</f>
        <v>0</v>
      </c>
      <c r="Y286" s="165">
        <f t="shared" si="22"/>
        <v>0</v>
      </c>
      <c r="Z286" s="44">
        <f t="shared" si="23"/>
        <v>0</v>
      </c>
      <c r="AA286" s="125">
        <f>VLOOKUP(C286,'Talente &amp; Stuff'!AF:BG,25,FALSE)</f>
        <v>0</v>
      </c>
      <c r="AB286" s="160">
        <f>VLOOKUP(C286,'Talente &amp; Stuff'!AF:BG,26,FALSE)</f>
        <v>0</v>
      </c>
      <c r="AC286" s="127">
        <f>VLOOKUP(C286,'Talente &amp; Stuff'!AF:BG,27,FALSE)</f>
        <v>0</v>
      </c>
      <c r="AD286" s="125">
        <f>VLOOKUP(C286,'Talente &amp; Stuff'!AF:BG,28,FALSE)</f>
        <v>0</v>
      </c>
      <c r="AE286" s="28"/>
    </row>
    <row r="287" spans="2:31" s="148" customFormat="1" ht="15" hidden="1" customHeight="1" outlineLevel="2">
      <c r="B287" s="148">
        <v>27</v>
      </c>
      <c r="C287" s="163" t="str">
        <f>Attribute!C287</f>
        <v>---</v>
      </c>
      <c r="D287" s="86" t="str">
        <f>VLOOKUP(C287,'Talente &amp; Stuff'!AF:BG,2,FALSE)</f>
        <v>--/--/--</v>
      </c>
      <c r="E287" s="167" t="str">
        <f>VLOOKUP(C287,'Talente &amp; Stuff'!AF:BG,3,FALSE)</f>
        <v>-</v>
      </c>
      <c r="F287" s="120">
        <f>VLOOKUP(C287,'Talente &amp; Stuff'!AF:BG,4,FALSE)</f>
        <v>0</v>
      </c>
      <c r="G287" s="117">
        <f>VLOOKUP(C287,'Talente &amp; Stuff'!AF:BG,5,FALSE)</f>
        <v>0</v>
      </c>
      <c r="H287" s="117">
        <f>VLOOKUP(C287,'Talente &amp; Stuff'!AF:BG,6,FALSE)</f>
        <v>0</v>
      </c>
      <c r="I287" s="117">
        <f>VLOOKUP(C287,'Talente &amp; Stuff'!AF:BG,7,FALSE)</f>
        <v>0</v>
      </c>
      <c r="J287" s="117">
        <f>VLOOKUP(C287,'Talente &amp; Stuff'!AF:BG,8,FALSE)</f>
        <v>0</v>
      </c>
      <c r="K287" s="117">
        <f>VLOOKUP(C287,'Talente &amp; Stuff'!AF:BG,9,FALSE)</f>
        <v>0</v>
      </c>
      <c r="L287" s="117">
        <f>VLOOKUP(C287,'Talente &amp; Stuff'!AF:BG,10,FALSE)</f>
        <v>0</v>
      </c>
      <c r="M287" s="121">
        <f>VLOOKUP(C287,'Talente &amp; Stuff'!AF:BG,11,FALSE)</f>
        <v>0</v>
      </c>
      <c r="N287" s="47">
        <f>VLOOKUP(C287,'Talente &amp; Stuff'!AF:BG,12,FALSE)</f>
        <v>0</v>
      </c>
      <c r="O287" s="3">
        <f>VLOOKUP(C287,'Talente &amp; Stuff'!AF:BG,13,FALSE)</f>
        <v>0</v>
      </c>
      <c r="P287" s="174">
        <f>VLOOKUP(C287,'Talente &amp; Stuff'!AF:BG,14,FALSE)</f>
        <v>0</v>
      </c>
      <c r="Q287" s="114">
        <f>VLOOKUP(C287,'Talente &amp; Stuff'!AF:BG,15,FALSE)</f>
        <v>0</v>
      </c>
      <c r="R287" s="117">
        <f>VLOOKUP(C287,'Talente &amp; Stuff'!AF:BG,16,FALSE)</f>
        <v>0</v>
      </c>
      <c r="S287" s="119">
        <f>VLOOKUP(C287,'Talente &amp; Stuff'!AF:BG,17,FALSE)</f>
        <v>0</v>
      </c>
      <c r="T287" s="119">
        <f>VLOOKUP(C287,'Talente &amp; Stuff'!AF:BG,18,FALSE)</f>
        <v>0</v>
      </c>
      <c r="U287" s="89">
        <f>VLOOKUP(C287,'Talente &amp; Stuff'!AF:BG,19,FALSE)</f>
        <v>0</v>
      </c>
      <c r="V287" s="47">
        <f>VLOOKUP(C287,'Talente &amp; Stuff'!AF:BG,20,FALSE)</f>
        <v>0</v>
      </c>
      <c r="W287" s="127">
        <f>VLOOKUP(C287,'Talente &amp; Stuff'!AF:BG,21,FALSE)</f>
        <v>0</v>
      </c>
      <c r="X287" s="127">
        <f>VLOOKUP(C287,'Talente &amp; Stuff'!AF:BG,22,FALSE)</f>
        <v>0</v>
      </c>
      <c r="Y287" s="165">
        <f t="shared" si="22"/>
        <v>0</v>
      </c>
      <c r="Z287" s="44">
        <f t="shared" si="23"/>
        <v>0</v>
      </c>
      <c r="AA287" s="125">
        <f>VLOOKUP(C287,'Talente &amp; Stuff'!AF:BG,25,FALSE)</f>
        <v>0</v>
      </c>
      <c r="AB287" s="160">
        <f>VLOOKUP(C287,'Talente &amp; Stuff'!AF:BG,26,FALSE)</f>
        <v>0</v>
      </c>
      <c r="AC287" s="127">
        <f>VLOOKUP(C287,'Talente &amp; Stuff'!AF:BG,27,FALSE)</f>
        <v>0</v>
      </c>
      <c r="AD287" s="125">
        <f>VLOOKUP(C287,'Talente &amp; Stuff'!AF:BG,28,FALSE)</f>
        <v>0</v>
      </c>
      <c r="AE287" s="28"/>
    </row>
    <row r="288" spans="2:31" s="148" customFormat="1" ht="15" hidden="1" customHeight="1" outlineLevel="2">
      <c r="B288" s="148">
        <v>28</v>
      </c>
      <c r="C288" s="163" t="str">
        <f>Attribute!C288</f>
        <v>---</v>
      </c>
      <c r="D288" s="86" t="str">
        <f>VLOOKUP(C288,'Talente &amp; Stuff'!AF:BG,2,FALSE)</f>
        <v>--/--/--</v>
      </c>
      <c r="E288" s="167" t="str">
        <f>VLOOKUP(C288,'Talente &amp; Stuff'!AF:BG,3,FALSE)</f>
        <v>-</v>
      </c>
      <c r="F288" s="120">
        <f>VLOOKUP(C288,'Talente &amp; Stuff'!AF:BG,4,FALSE)</f>
        <v>0</v>
      </c>
      <c r="G288" s="117">
        <f>VLOOKUP(C288,'Talente &amp; Stuff'!AF:BG,5,FALSE)</f>
        <v>0</v>
      </c>
      <c r="H288" s="117">
        <f>VLOOKUP(C288,'Talente &amp; Stuff'!AF:BG,6,FALSE)</f>
        <v>0</v>
      </c>
      <c r="I288" s="117">
        <f>VLOOKUP(C288,'Talente &amp; Stuff'!AF:BG,7,FALSE)</f>
        <v>0</v>
      </c>
      <c r="J288" s="117">
        <f>VLOOKUP(C288,'Talente &amp; Stuff'!AF:BG,8,FALSE)</f>
        <v>0</v>
      </c>
      <c r="K288" s="117">
        <f>VLOOKUP(C288,'Talente &amp; Stuff'!AF:BG,9,FALSE)</f>
        <v>0</v>
      </c>
      <c r="L288" s="117">
        <f>VLOOKUP(C288,'Talente &amp; Stuff'!AF:BG,10,FALSE)</f>
        <v>0</v>
      </c>
      <c r="M288" s="121">
        <f>VLOOKUP(C288,'Talente &amp; Stuff'!AF:BG,11,FALSE)</f>
        <v>0</v>
      </c>
      <c r="N288" s="47">
        <f>VLOOKUP(C288,'Talente &amp; Stuff'!AF:BG,12,FALSE)</f>
        <v>0</v>
      </c>
      <c r="O288" s="3">
        <f>VLOOKUP(C288,'Talente &amp; Stuff'!AF:BG,13,FALSE)</f>
        <v>0</v>
      </c>
      <c r="P288" s="174">
        <f>VLOOKUP(C288,'Talente &amp; Stuff'!AF:BG,14,FALSE)</f>
        <v>0</v>
      </c>
      <c r="Q288" s="114">
        <f>VLOOKUP(C288,'Talente &amp; Stuff'!AF:BG,15,FALSE)</f>
        <v>0</v>
      </c>
      <c r="R288" s="117">
        <f>VLOOKUP(C288,'Talente &amp; Stuff'!AF:BG,16,FALSE)</f>
        <v>0</v>
      </c>
      <c r="S288" s="119">
        <f>VLOOKUP(C288,'Talente &amp; Stuff'!AF:BG,17,FALSE)</f>
        <v>0</v>
      </c>
      <c r="T288" s="119">
        <f>VLOOKUP(C288,'Talente &amp; Stuff'!AF:BG,18,FALSE)</f>
        <v>0</v>
      </c>
      <c r="U288" s="89">
        <f>VLOOKUP(C288,'Talente &amp; Stuff'!AF:BG,19,FALSE)</f>
        <v>0</v>
      </c>
      <c r="V288" s="47">
        <f>VLOOKUP(C288,'Talente &amp; Stuff'!AF:BG,20,FALSE)</f>
        <v>0</v>
      </c>
      <c r="W288" s="127">
        <f>VLOOKUP(C288,'Talente &amp; Stuff'!AF:BG,21,FALSE)</f>
        <v>0</v>
      </c>
      <c r="X288" s="127">
        <f>VLOOKUP(C288,'Talente &amp; Stuff'!AF:BG,22,FALSE)</f>
        <v>0</v>
      </c>
      <c r="Y288" s="165">
        <f t="shared" si="22"/>
        <v>0</v>
      </c>
      <c r="Z288" s="44">
        <f t="shared" si="23"/>
        <v>0</v>
      </c>
      <c r="AA288" s="125">
        <f>VLOOKUP(C288,'Talente &amp; Stuff'!AF:BG,25,FALSE)</f>
        <v>0</v>
      </c>
      <c r="AB288" s="160">
        <f>VLOOKUP(C288,'Talente &amp; Stuff'!AF:BG,26,FALSE)</f>
        <v>0</v>
      </c>
      <c r="AC288" s="127">
        <f>VLOOKUP(C288,'Talente &amp; Stuff'!AF:BG,27,FALSE)</f>
        <v>0</v>
      </c>
      <c r="AD288" s="125">
        <f>VLOOKUP(C288,'Talente &amp; Stuff'!AF:BG,28,FALSE)</f>
        <v>0</v>
      </c>
      <c r="AE288" s="28"/>
    </row>
    <row r="289" spans="1:31" s="148" customFormat="1" ht="15" hidden="1" customHeight="1" outlineLevel="2">
      <c r="B289" s="148">
        <v>29</v>
      </c>
      <c r="C289" s="163" t="str">
        <f>Attribute!C289</f>
        <v>---</v>
      </c>
      <c r="D289" s="125" t="str">
        <f>VLOOKUP(C289,'Talente &amp; Stuff'!AF:BG,2,FALSE)</f>
        <v>--/--/--</v>
      </c>
      <c r="E289" s="127" t="str">
        <f>VLOOKUP(C289,'Talente &amp; Stuff'!AF:BG,3,FALSE)</f>
        <v>-</v>
      </c>
      <c r="F289" s="114">
        <f>VLOOKUP(C289,'Talente &amp; Stuff'!AF:BG,4,FALSE)</f>
        <v>0</v>
      </c>
      <c r="G289" s="113">
        <f>VLOOKUP(C289,'Talente &amp; Stuff'!AF:BG,5,FALSE)</f>
        <v>0</v>
      </c>
      <c r="H289" s="113">
        <f>VLOOKUP(C289,'Talente &amp; Stuff'!AF:BG,6,FALSE)</f>
        <v>0</v>
      </c>
      <c r="I289" s="113">
        <f>VLOOKUP(C289,'Talente &amp; Stuff'!AF:BG,7,FALSE)</f>
        <v>0</v>
      </c>
      <c r="J289" s="113">
        <f>VLOOKUP(C289,'Talente &amp; Stuff'!AF:BG,8,FALSE)</f>
        <v>0</v>
      </c>
      <c r="K289" s="113">
        <f>VLOOKUP(C289,'Talente &amp; Stuff'!AF:BG,9,FALSE)</f>
        <v>0</v>
      </c>
      <c r="L289" s="113">
        <f>VLOOKUP(C289,'Talente &amp; Stuff'!AF:BG,10,FALSE)</f>
        <v>0</v>
      </c>
      <c r="M289" s="119">
        <f>VLOOKUP(C289,'Talente &amp; Stuff'!AF:BG,11,FALSE)</f>
        <v>0</v>
      </c>
      <c r="N289" s="47">
        <f>VLOOKUP(C289,'Talente &amp; Stuff'!AF:BG,12,FALSE)</f>
        <v>0</v>
      </c>
      <c r="O289" s="47">
        <f>VLOOKUP(C289,'Talente &amp; Stuff'!AF:BG,13,FALSE)</f>
        <v>0</v>
      </c>
      <c r="P289" s="119">
        <f>VLOOKUP(C289,'Talente &amp; Stuff'!AF:BG,14,FALSE)</f>
        <v>0</v>
      </c>
      <c r="Q289" s="114">
        <f>VLOOKUP(C289,'Talente &amp; Stuff'!AF:BG,15,FALSE)</f>
        <v>0</v>
      </c>
      <c r="R289" s="113">
        <f>VLOOKUP(C289,'Talente &amp; Stuff'!AF:BG,16,FALSE)</f>
        <v>0</v>
      </c>
      <c r="S289" s="119">
        <f>VLOOKUP(C289,'Talente &amp; Stuff'!AF:BG,17,FALSE)</f>
        <v>0</v>
      </c>
      <c r="T289" s="119">
        <f>VLOOKUP(C289,'Talente &amp; Stuff'!AF:BG,18,FALSE)</f>
        <v>0</v>
      </c>
      <c r="U289" s="89">
        <f>VLOOKUP(C289,'Talente &amp; Stuff'!AF:BG,19,FALSE)</f>
        <v>0</v>
      </c>
      <c r="V289" s="47">
        <f>VLOOKUP(C289,'Talente &amp; Stuff'!AF:BG,20,FALSE)</f>
        <v>0</v>
      </c>
      <c r="W289" s="127">
        <f>VLOOKUP(C289,'Talente &amp; Stuff'!AF:BG,21,FALSE)</f>
        <v>0</v>
      </c>
      <c r="X289" s="127">
        <f>VLOOKUP(C289,'Talente &amp; Stuff'!AF:BG,22,FALSE)</f>
        <v>0</v>
      </c>
      <c r="Y289" s="165">
        <f t="shared" si="22"/>
        <v>0</v>
      </c>
      <c r="Z289" s="44">
        <f t="shared" si="23"/>
        <v>0</v>
      </c>
      <c r="AA289" s="125">
        <f>VLOOKUP(C289,'Talente &amp; Stuff'!AF:BG,25,FALSE)</f>
        <v>0</v>
      </c>
      <c r="AB289" s="160">
        <f>VLOOKUP(C289,'Talente &amp; Stuff'!AF:BG,26,FALSE)</f>
        <v>0</v>
      </c>
      <c r="AC289" s="127">
        <f>VLOOKUP(C289,'Talente &amp; Stuff'!AF:BG,27,FALSE)</f>
        <v>0</v>
      </c>
      <c r="AD289" s="125">
        <f>VLOOKUP(C289,'Talente &amp; Stuff'!AF:BG,28,FALSE)</f>
        <v>0</v>
      </c>
      <c r="AE289" s="28"/>
    </row>
    <row r="290" spans="1:31" s="148" customFormat="1" ht="15" hidden="1" customHeight="1" outlineLevel="2">
      <c r="B290" s="148">
        <v>30</v>
      </c>
      <c r="C290" s="163" t="str">
        <f>Attribute!C290</f>
        <v>---</v>
      </c>
      <c r="D290" s="125" t="str">
        <f>VLOOKUP(C290,'Talente &amp; Stuff'!AF:BG,2,FALSE)</f>
        <v>--/--/--</v>
      </c>
      <c r="E290" s="127" t="str">
        <f>VLOOKUP(C290,'Talente &amp; Stuff'!AF:BG,3,FALSE)</f>
        <v>-</v>
      </c>
      <c r="F290" s="114">
        <f>VLOOKUP(C290,'Talente &amp; Stuff'!AF:BG,4,FALSE)</f>
        <v>0</v>
      </c>
      <c r="G290" s="113">
        <f>VLOOKUP(C290,'Talente &amp; Stuff'!AF:BG,5,FALSE)</f>
        <v>0</v>
      </c>
      <c r="H290" s="113">
        <f>VLOOKUP(C290,'Talente &amp; Stuff'!AF:BG,6,FALSE)</f>
        <v>0</v>
      </c>
      <c r="I290" s="113">
        <f>VLOOKUP(C290,'Talente &amp; Stuff'!AF:BG,7,FALSE)</f>
        <v>0</v>
      </c>
      <c r="J290" s="113">
        <f>VLOOKUP(C290,'Talente &amp; Stuff'!AF:BG,8,FALSE)</f>
        <v>0</v>
      </c>
      <c r="K290" s="113">
        <f>VLOOKUP(C290,'Talente &amp; Stuff'!AF:BG,9,FALSE)</f>
        <v>0</v>
      </c>
      <c r="L290" s="113">
        <f>VLOOKUP(C290,'Talente &amp; Stuff'!AF:BG,10,FALSE)</f>
        <v>0</v>
      </c>
      <c r="M290" s="119">
        <f>VLOOKUP(C290,'Talente &amp; Stuff'!AF:BG,11,FALSE)</f>
        <v>0</v>
      </c>
      <c r="N290" s="47">
        <f>VLOOKUP(C290,'Talente &amp; Stuff'!AF:BG,12,FALSE)</f>
        <v>0</v>
      </c>
      <c r="O290" s="47">
        <f>VLOOKUP(C290,'Talente &amp; Stuff'!AF:BG,13,FALSE)</f>
        <v>0</v>
      </c>
      <c r="P290" s="119">
        <f>VLOOKUP(C290,'Talente &amp; Stuff'!AF:BG,14,FALSE)</f>
        <v>0</v>
      </c>
      <c r="Q290" s="114">
        <f>VLOOKUP(C290,'Talente &amp; Stuff'!AF:BG,15,FALSE)</f>
        <v>0</v>
      </c>
      <c r="R290" s="113">
        <f>VLOOKUP(C290,'Talente &amp; Stuff'!AF:BG,16,FALSE)</f>
        <v>0</v>
      </c>
      <c r="S290" s="119">
        <f>VLOOKUP(C290,'Talente &amp; Stuff'!AF:BG,17,FALSE)</f>
        <v>0</v>
      </c>
      <c r="T290" s="119">
        <f>VLOOKUP(C290,'Talente &amp; Stuff'!AF:BG,18,FALSE)</f>
        <v>0</v>
      </c>
      <c r="U290" s="89">
        <f>VLOOKUP(C290,'Talente &amp; Stuff'!AF:BG,19,FALSE)</f>
        <v>0</v>
      </c>
      <c r="V290" s="47">
        <f>VLOOKUP(C290,'Talente &amp; Stuff'!AF:BG,20,FALSE)</f>
        <v>0</v>
      </c>
      <c r="W290" s="127">
        <f>VLOOKUP(C290,'Talente &amp; Stuff'!AF:BG,21,FALSE)</f>
        <v>0</v>
      </c>
      <c r="X290" s="127">
        <f>VLOOKUP(C290,'Talente &amp; Stuff'!AF:BG,22,FALSE)</f>
        <v>0</v>
      </c>
      <c r="Y290" s="165">
        <f t="shared" si="22"/>
        <v>0</v>
      </c>
      <c r="Z290" s="44">
        <f t="shared" si="23"/>
        <v>0</v>
      </c>
      <c r="AA290" s="125">
        <f>VLOOKUP(C290,'Talente &amp; Stuff'!AF:BG,25,FALSE)</f>
        <v>0</v>
      </c>
      <c r="AB290" s="160">
        <f>VLOOKUP(C290,'Talente &amp; Stuff'!AF:BG,26,FALSE)</f>
        <v>0</v>
      </c>
      <c r="AC290" s="127">
        <f>VLOOKUP(C290,'Talente &amp; Stuff'!AF:BG,27,FALSE)</f>
        <v>0</v>
      </c>
      <c r="AD290" s="125">
        <f>VLOOKUP(C290,'Talente &amp; Stuff'!AF:BG,28,FALSE)</f>
        <v>0</v>
      </c>
      <c r="AE290" s="28"/>
    </row>
    <row r="291" spans="1:31" s="148" customFormat="1" ht="15" hidden="1" customHeight="1" outlineLevel="2">
      <c r="B291" s="148">
        <v>31</v>
      </c>
      <c r="C291" s="163" t="str">
        <f>Attribute!C291</f>
        <v>---</v>
      </c>
      <c r="D291" s="125" t="str">
        <f>VLOOKUP(C291,'Talente &amp; Stuff'!AF:BG,2,FALSE)</f>
        <v>--/--/--</v>
      </c>
      <c r="E291" s="127" t="str">
        <f>VLOOKUP(C291,'Talente &amp; Stuff'!AF:BG,3,FALSE)</f>
        <v>-</v>
      </c>
      <c r="F291" s="114">
        <f>VLOOKUP(C291,'Talente &amp; Stuff'!AF:BG,4,FALSE)</f>
        <v>0</v>
      </c>
      <c r="G291" s="113">
        <f>VLOOKUP(C291,'Talente &amp; Stuff'!AF:BG,5,FALSE)</f>
        <v>0</v>
      </c>
      <c r="H291" s="113">
        <f>VLOOKUP(C291,'Talente &amp; Stuff'!AF:BG,6,FALSE)</f>
        <v>0</v>
      </c>
      <c r="I291" s="113">
        <f>VLOOKUP(C291,'Talente &amp; Stuff'!AF:BG,7,FALSE)</f>
        <v>0</v>
      </c>
      <c r="J291" s="113">
        <f>VLOOKUP(C291,'Talente &amp; Stuff'!AF:BG,8,FALSE)</f>
        <v>0</v>
      </c>
      <c r="K291" s="113">
        <f>VLOOKUP(C291,'Talente &amp; Stuff'!AF:BG,9,FALSE)</f>
        <v>0</v>
      </c>
      <c r="L291" s="113">
        <f>VLOOKUP(C291,'Talente &amp; Stuff'!AF:BG,10,FALSE)</f>
        <v>0</v>
      </c>
      <c r="M291" s="119">
        <f>VLOOKUP(C291,'Talente &amp; Stuff'!AF:BG,11,FALSE)</f>
        <v>0</v>
      </c>
      <c r="N291" s="47">
        <f>VLOOKUP(C291,'Talente &amp; Stuff'!AF:BG,12,FALSE)</f>
        <v>0</v>
      </c>
      <c r="O291" s="47">
        <f>VLOOKUP(C291,'Talente &amp; Stuff'!AF:BG,13,FALSE)</f>
        <v>0</v>
      </c>
      <c r="P291" s="119">
        <f>VLOOKUP(C291,'Talente &amp; Stuff'!AF:BG,14,FALSE)</f>
        <v>0</v>
      </c>
      <c r="Q291" s="114">
        <f>VLOOKUP(C291,'Talente &amp; Stuff'!AF:BG,15,FALSE)</f>
        <v>0</v>
      </c>
      <c r="R291" s="113">
        <f>VLOOKUP(C291,'Talente &amp; Stuff'!AF:BG,16,FALSE)</f>
        <v>0</v>
      </c>
      <c r="S291" s="119">
        <f>VLOOKUP(C291,'Talente &amp; Stuff'!AF:BG,17,FALSE)</f>
        <v>0</v>
      </c>
      <c r="T291" s="119">
        <f>VLOOKUP(C291,'Talente &amp; Stuff'!AF:BG,18,FALSE)</f>
        <v>0</v>
      </c>
      <c r="U291" s="89">
        <f>VLOOKUP(C291,'Talente &amp; Stuff'!AF:BG,19,FALSE)</f>
        <v>0</v>
      </c>
      <c r="V291" s="47">
        <f>VLOOKUP(C291,'Talente &amp; Stuff'!AF:BG,20,FALSE)</f>
        <v>0</v>
      </c>
      <c r="W291" s="127">
        <f>VLOOKUP(C291,'Talente &amp; Stuff'!AF:BG,21,FALSE)</f>
        <v>0</v>
      </c>
      <c r="X291" s="127">
        <f>VLOOKUP(C291,'Talente &amp; Stuff'!AF:BG,22,FALSE)</f>
        <v>0</v>
      </c>
      <c r="Y291" s="165">
        <f t="shared" si="22"/>
        <v>0</v>
      </c>
      <c r="Z291" s="44">
        <f t="shared" si="23"/>
        <v>0</v>
      </c>
      <c r="AA291" s="125">
        <f>VLOOKUP(C291,'Talente &amp; Stuff'!AF:BG,25,FALSE)</f>
        <v>0</v>
      </c>
      <c r="AB291" s="160">
        <f>VLOOKUP(C291,'Talente &amp; Stuff'!AF:BG,26,FALSE)</f>
        <v>0</v>
      </c>
      <c r="AC291" s="127">
        <f>VLOOKUP(C291,'Talente &amp; Stuff'!AF:BG,27,FALSE)</f>
        <v>0</v>
      </c>
      <c r="AD291" s="125">
        <f>VLOOKUP(C291,'Talente &amp; Stuff'!AF:BG,28,FALSE)</f>
        <v>0</v>
      </c>
      <c r="AE291" s="28"/>
    </row>
    <row r="292" spans="1:31" s="148" customFormat="1" ht="15" hidden="1" customHeight="1" outlineLevel="2">
      <c r="B292" s="148">
        <v>32</v>
      </c>
      <c r="C292" s="163" t="str">
        <f>Attribute!C292</f>
        <v>---</v>
      </c>
      <c r="D292" s="125" t="str">
        <f>VLOOKUP(C292,'Talente &amp; Stuff'!AF:BG,2,FALSE)</f>
        <v>--/--/--</v>
      </c>
      <c r="E292" s="127" t="str">
        <f>VLOOKUP(C292,'Talente &amp; Stuff'!AF:BG,3,FALSE)</f>
        <v>-</v>
      </c>
      <c r="F292" s="114">
        <f>VLOOKUP(C292,'Talente &amp; Stuff'!AF:BG,4,FALSE)</f>
        <v>0</v>
      </c>
      <c r="G292" s="113">
        <f>VLOOKUP(C292,'Talente &amp; Stuff'!AF:BG,5,FALSE)</f>
        <v>0</v>
      </c>
      <c r="H292" s="113">
        <f>VLOOKUP(C292,'Talente &amp; Stuff'!AF:BG,6,FALSE)</f>
        <v>0</v>
      </c>
      <c r="I292" s="113">
        <f>VLOOKUP(C292,'Talente &amp; Stuff'!AF:BG,7,FALSE)</f>
        <v>0</v>
      </c>
      <c r="J292" s="113">
        <f>VLOOKUP(C292,'Talente &amp; Stuff'!AF:BG,8,FALSE)</f>
        <v>0</v>
      </c>
      <c r="K292" s="113">
        <f>VLOOKUP(C292,'Talente &amp; Stuff'!AF:BG,9,FALSE)</f>
        <v>0</v>
      </c>
      <c r="L292" s="113">
        <f>VLOOKUP(C292,'Talente &amp; Stuff'!AF:BG,10,FALSE)</f>
        <v>0</v>
      </c>
      <c r="M292" s="119">
        <f>VLOOKUP(C292,'Talente &amp; Stuff'!AF:BG,11,FALSE)</f>
        <v>0</v>
      </c>
      <c r="N292" s="47">
        <f>VLOOKUP(C292,'Talente &amp; Stuff'!AF:BG,12,FALSE)</f>
        <v>0</v>
      </c>
      <c r="O292" s="47">
        <f>VLOOKUP(C292,'Talente &amp; Stuff'!AF:BG,13,FALSE)</f>
        <v>0</v>
      </c>
      <c r="P292" s="119">
        <f>VLOOKUP(C292,'Talente &amp; Stuff'!AF:BG,14,FALSE)</f>
        <v>0</v>
      </c>
      <c r="Q292" s="114">
        <f>VLOOKUP(C292,'Talente &amp; Stuff'!AF:BG,15,FALSE)</f>
        <v>0</v>
      </c>
      <c r="R292" s="113">
        <f>VLOOKUP(C292,'Talente &amp; Stuff'!AF:BG,16,FALSE)</f>
        <v>0</v>
      </c>
      <c r="S292" s="119">
        <f>VLOOKUP(C292,'Talente &amp; Stuff'!AF:BG,17,FALSE)</f>
        <v>0</v>
      </c>
      <c r="T292" s="119">
        <f>VLOOKUP(C292,'Talente &amp; Stuff'!AF:BG,18,FALSE)</f>
        <v>0</v>
      </c>
      <c r="U292" s="89">
        <f>VLOOKUP(C292,'Talente &amp; Stuff'!AF:BG,19,FALSE)</f>
        <v>0</v>
      </c>
      <c r="V292" s="47">
        <f>VLOOKUP(C292,'Talente &amp; Stuff'!AF:BG,20,FALSE)</f>
        <v>0</v>
      </c>
      <c r="W292" s="127">
        <f>VLOOKUP(C292,'Talente &amp; Stuff'!AF:BG,21,FALSE)</f>
        <v>0</v>
      </c>
      <c r="X292" s="127">
        <f>VLOOKUP(C292,'Talente &amp; Stuff'!AF:BG,22,FALSE)</f>
        <v>0</v>
      </c>
      <c r="Y292" s="165">
        <f t="shared" si="22"/>
        <v>0</v>
      </c>
      <c r="Z292" s="44">
        <f t="shared" si="23"/>
        <v>0</v>
      </c>
      <c r="AA292" s="125">
        <f>VLOOKUP(C292,'Talente &amp; Stuff'!AF:BG,25,FALSE)</f>
        <v>0</v>
      </c>
      <c r="AB292" s="160">
        <f>VLOOKUP(C292,'Talente &amp; Stuff'!AF:BG,26,FALSE)</f>
        <v>0</v>
      </c>
      <c r="AC292" s="127">
        <f>VLOOKUP(C292,'Talente &amp; Stuff'!AF:BG,27,FALSE)</f>
        <v>0</v>
      </c>
      <c r="AD292" s="125">
        <f>VLOOKUP(C292,'Talente &amp; Stuff'!AF:BG,28,FALSE)</f>
        <v>0</v>
      </c>
      <c r="AE292" s="28"/>
    </row>
    <row r="293" spans="1:31" s="148" customFormat="1" ht="15" hidden="1" customHeight="1" outlineLevel="2">
      <c r="B293" s="148">
        <v>33</v>
      </c>
      <c r="C293" s="163" t="str">
        <f>Attribute!C293</f>
        <v>---</v>
      </c>
      <c r="D293" s="125" t="str">
        <f>VLOOKUP(C293,'Talente &amp; Stuff'!AF:BG,2,FALSE)</f>
        <v>--/--/--</v>
      </c>
      <c r="E293" s="127" t="str">
        <f>VLOOKUP(C293,'Talente &amp; Stuff'!AF:BG,3,FALSE)</f>
        <v>-</v>
      </c>
      <c r="F293" s="114">
        <f>VLOOKUP(C293,'Talente &amp; Stuff'!AF:BG,4,FALSE)</f>
        <v>0</v>
      </c>
      <c r="G293" s="113">
        <f>VLOOKUP(C293,'Talente &amp; Stuff'!AF:BG,5,FALSE)</f>
        <v>0</v>
      </c>
      <c r="H293" s="113">
        <f>VLOOKUP(C293,'Talente &amp; Stuff'!AF:BG,6,FALSE)</f>
        <v>0</v>
      </c>
      <c r="I293" s="113">
        <f>VLOOKUP(C293,'Talente &amp; Stuff'!AF:BG,7,FALSE)</f>
        <v>0</v>
      </c>
      <c r="J293" s="113">
        <f>VLOOKUP(C293,'Talente &amp; Stuff'!AF:BG,8,FALSE)</f>
        <v>0</v>
      </c>
      <c r="K293" s="113">
        <f>VLOOKUP(C293,'Talente &amp; Stuff'!AF:BG,9,FALSE)</f>
        <v>0</v>
      </c>
      <c r="L293" s="113">
        <f>VLOOKUP(C293,'Talente &amp; Stuff'!AF:BG,10,FALSE)</f>
        <v>0</v>
      </c>
      <c r="M293" s="119">
        <f>VLOOKUP(C293,'Talente &amp; Stuff'!AF:BG,11,FALSE)</f>
        <v>0</v>
      </c>
      <c r="N293" s="47">
        <f>VLOOKUP(C293,'Talente &amp; Stuff'!AF:BG,12,FALSE)</f>
        <v>0</v>
      </c>
      <c r="O293" s="47">
        <f>VLOOKUP(C293,'Talente &amp; Stuff'!AF:BG,13,FALSE)</f>
        <v>0</v>
      </c>
      <c r="P293" s="119">
        <f>VLOOKUP(C293,'Talente &amp; Stuff'!AF:BG,14,FALSE)</f>
        <v>0</v>
      </c>
      <c r="Q293" s="114">
        <f>VLOOKUP(C293,'Talente &amp; Stuff'!AF:BG,15,FALSE)</f>
        <v>0</v>
      </c>
      <c r="R293" s="113">
        <f>VLOOKUP(C293,'Talente &amp; Stuff'!AF:BG,16,FALSE)</f>
        <v>0</v>
      </c>
      <c r="S293" s="119">
        <f>VLOOKUP(C293,'Talente &amp; Stuff'!AF:BG,17,FALSE)</f>
        <v>0</v>
      </c>
      <c r="T293" s="119">
        <f>VLOOKUP(C293,'Talente &amp; Stuff'!AF:BG,18,FALSE)</f>
        <v>0</v>
      </c>
      <c r="U293" s="89">
        <f>VLOOKUP(C293,'Talente &amp; Stuff'!AF:BG,19,FALSE)</f>
        <v>0</v>
      </c>
      <c r="V293" s="47">
        <f>VLOOKUP(C293,'Talente &amp; Stuff'!AF:BG,20,FALSE)</f>
        <v>0</v>
      </c>
      <c r="W293" s="127">
        <f>VLOOKUP(C293,'Talente &amp; Stuff'!AF:BG,21,FALSE)</f>
        <v>0</v>
      </c>
      <c r="X293" s="127">
        <f>VLOOKUP(C293,'Talente &amp; Stuff'!AF:BG,22,FALSE)</f>
        <v>0</v>
      </c>
      <c r="Y293" s="165">
        <f t="shared" si="22"/>
        <v>0</v>
      </c>
      <c r="Z293" s="44">
        <f t="shared" si="23"/>
        <v>0</v>
      </c>
      <c r="AA293" s="125">
        <f>VLOOKUP(C293,'Talente &amp; Stuff'!AF:BG,25,FALSE)</f>
        <v>0</v>
      </c>
      <c r="AB293" s="160">
        <f>VLOOKUP(C293,'Talente &amp; Stuff'!AF:BG,26,FALSE)</f>
        <v>0</v>
      </c>
      <c r="AC293" s="127">
        <f>VLOOKUP(C293,'Talente &amp; Stuff'!AF:BG,27,FALSE)</f>
        <v>0</v>
      </c>
      <c r="AD293" s="125">
        <f>VLOOKUP(C293,'Talente &amp; Stuff'!AF:BG,28,FALSE)</f>
        <v>0</v>
      </c>
      <c r="AE293" s="28"/>
    </row>
    <row r="294" spans="1:31" s="148" customFormat="1" ht="15" hidden="1" customHeight="1" outlineLevel="2">
      <c r="B294" s="148">
        <v>34</v>
      </c>
      <c r="C294" s="163" t="str">
        <f>Attribute!C294</f>
        <v>---</v>
      </c>
      <c r="D294" s="125" t="str">
        <f>VLOOKUP(C294,'Talente &amp; Stuff'!AF:BG,2,FALSE)</f>
        <v>--/--/--</v>
      </c>
      <c r="E294" s="127" t="str">
        <f>VLOOKUP(C294,'Talente &amp; Stuff'!AF:BG,3,FALSE)</f>
        <v>-</v>
      </c>
      <c r="F294" s="114">
        <f>VLOOKUP(C294,'Talente &amp; Stuff'!AF:BG,4,FALSE)</f>
        <v>0</v>
      </c>
      <c r="G294" s="113">
        <f>VLOOKUP(C294,'Talente &amp; Stuff'!AF:BG,5,FALSE)</f>
        <v>0</v>
      </c>
      <c r="H294" s="113">
        <f>VLOOKUP(C294,'Talente &amp; Stuff'!AF:BG,6,FALSE)</f>
        <v>0</v>
      </c>
      <c r="I294" s="113">
        <f>VLOOKUP(C294,'Talente &amp; Stuff'!AF:BG,7,FALSE)</f>
        <v>0</v>
      </c>
      <c r="J294" s="113">
        <f>VLOOKUP(C294,'Talente &amp; Stuff'!AF:BG,8,FALSE)</f>
        <v>0</v>
      </c>
      <c r="K294" s="113">
        <f>VLOOKUP(C294,'Talente &amp; Stuff'!AF:BG,9,FALSE)</f>
        <v>0</v>
      </c>
      <c r="L294" s="113">
        <f>VLOOKUP(C294,'Talente &amp; Stuff'!AF:BG,10,FALSE)</f>
        <v>0</v>
      </c>
      <c r="M294" s="119">
        <f>VLOOKUP(C294,'Talente &amp; Stuff'!AF:BG,11,FALSE)</f>
        <v>0</v>
      </c>
      <c r="N294" s="47">
        <f>VLOOKUP(C294,'Talente &amp; Stuff'!AF:BG,12,FALSE)</f>
        <v>0</v>
      </c>
      <c r="O294" s="47">
        <f>VLOOKUP(C294,'Talente &amp; Stuff'!AF:BG,13,FALSE)</f>
        <v>0</v>
      </c>
      <c r="P294" s="119">
        <f>VLOOKUP(C294,'Talente &amp; Stuff'!AF:BG,14,FALSE)</f>
        <v>0</v>
      </c>
      <c r="Q294" s="114">
        <f>VLOOKUP(C294,'Talente &amp; Stuff'!AF:BG,15,FALSE)</f>
        <v>0</v>
      </c>
      <c r="R294" s="113">
        <f>VLOOKUP(C294,'Talente &amp; Stuff'!AF:BG,16,FALSE)</f>
        <v>0</v>
      </c>
      <c r="S294" s="119">
        <f>VLOOKUP(C294,'Talente &amp; Stuff'!AF:BG,17,FALSE)</f>
        <v>0</v>
      </c>
      <c r="T294" s="119">
        <f>VLOOKUP(C294,'Talente &amp; Stuff'!AF:BG,18,FALSE)</f>
        <v>0</v>
      </c>
      <c r="U294" s="89">
        <f>VLOOKUP(C294,'Talente &amp; Stuff'!AF:BG,19,FALSE)</f>
        <v>0</v>
      </c>
      <c r="V294" s="47">
        <f>VLOOKUP(C294,'Talente &amp; Stuff'!AF:BG,20,FALSE)</f>
        <v>0</v>
      </c>
      <c r="W294" s="127">
        <f>VLOOKUP(C294,'Talente &amp; Stuff'!AF:BG,21,FALSE)</f>
        <v>0</v>
      </c>
      <c r="X294" s="127">
        <f>VLOOKUP(C294,'Talente &amp; Stuff'!AF:BG,22,FALSE)</f>
        <v>0</v>
      </c>
      <c r="Y294" s="165">
        <f t="shared" si="22"/>
        <v>0</v>
      </c>
      <c r="Z294" s="44">
        <f t="shared" si="23"/>
        <v>0</v>
      </c>
      <c r="AA294" s="125">
        <f>VLOOKUP(C294,'Talente &amp; Stuff'!AF:BG,25,FALSE)</f>
        <v>0</v>
      </c>
      <c r="AB294" s="160">
        <f>VLOOKUP(C294,'Talente &amp; Stuff'!AF:BG,26,FALSE)</f>
        <v>0</v>
      </c>
      <c r="AC294" s="127">
        <f>VLOOKUP(C294,'Talente &amp; Stuff'!AF:BG,27,FALSE)</f>
        <v>0</v>
      </c>
      <c r="AD294" s="125">
        <f>VLOOKUP(C294,'Talente &amp; Stuff'!AF:BG,28,FALSE)</f>
        <v>0</v>
      </c>
      <c r="AE294" s="28"/>
    </row>
    <row r="295" spans="1:31" s="148" customFormat="1" ht="15" hidden="1" customHeight="1" outlineLevel="2">
      <c r="B295" s="148">
        <v>35</v>
      </c>
      <c r="C295" s="163" t="str">
        <f>Attribute!C295</f>
        <v>---</v>
      </c>
      <c r="D295" s="125" t="str">
        <f>VLOOKUP(C295,'Talente &amp; Stuff'!AF:BG,2,FALSE)</f>
        <v>--/--/--</v>
      </c>
      <c r="E295" s="127" t="str">
        <f>VLOOKUP(C295,'Talente &amp; Stuff'!AF:BG,3,FALSE)</f>
        <v>-</v>
      </c>
      <c r="F295" s="114">
        <f>VLOOKUP(C295,'Talente &amp; Stuff'!AF:BG,4,FALSE)</f>
        <v>0</v>
      </c>
      <c r="G295" s="113">
        <f>VLOOKUP(C295,'Talente &amp; Stuff'!AF:BG,5,FALSE)</f>
        <v>0</v>
      </c>
      <c r="H295" s="113">
        <f>VLOOKUP(C295,'Talente &amp; Stuff'!AF:BG,6,FALSE)</f>
        <v>0</v>
      </c>
      <c r="I295" s="113">
        <f>VLOOKUP(C295,'Talente &amp; Stuff'!AF:BG,7,FALSE)</f>
        <v>0</v>
      </c>
      <c r="J295" s="113">
        <f>VLOOKUP(C295,'Talente &amp; Stuff'!AF:BG,8,FALSE)</f>
        <v>0</v>
      </c>
      <c r="K295" s="113">
        <f>VLOOKUP(C295,'Talente &amp; Stuff'!AF:BG,9,FALSE)</f>
        <v>0</v>
      </c>
      <c r="L295" s="113">
        <f>VLOOKUP(C295,'Talente &amp; Stuff'!AF:BG,10,FALSE)</f>
        <v>0</v>
      </c>
      <c r="M295" s="119">
        <f>VLOOKUP(C295,'Talente &amp; Stuff'!AF:BG,11,FALSE)</f>
        <v>0</v>
      </c>
      <c r="N295" s="47">
        <f>VLOOKUP(C295,'Talente &amp; Stuff'!AF:BG,12,FALSE)</f>
        <v>0</v>
      </c>
      <c r="O295" s="47">
        <f>VLOOKUP(C295,'Talente &amp; Stuff'!AF:BG,13,FALSE)</f>
        <v>0</v>
      </c>
      <c r="P295" s="119">
        <f>VLOOKUP(C295,'Talente &amp; Stuff'!AF:BG,14,FALSE)</f>
        <v>0</v>
      </c>
      <c r="Q295" s="114">
        <f>VLOOKUP(C295,'Talente &amp; Stuff'!AF:BG,15,FALSE)</f>
        <v>0</v>
      </c>
      <c r="R295" s="113">
        <f>VLOOKUP(C295,'Talente &amp; Stuff'!AF:BG,16,FALSE)</f>
        <v>0</v>
      </c>
      <c r="S295" s="119">
        <f>VLOOKUP(C295,'Talente &amp; Stuff'!AF:BG,17,FALSE)</f>
        <v>0</v>
      </c>
      <c r="T295" s="119">
        <f>VLOOKUP(C295,'Talente &amp; Stuff'!AF:BG,18,FALSE)</f>
        <v>0</v>
      </c>
      <c r="U295" s="89">
        <f>VLOOKUP(C295,'Talente &amp; Stuff'!AF:BG,19,FALSE)</f>
        <v>0</v>
      </c>
      <c r="V295" s="47">
        <f>VLOOKUP(C295,'Talente &amp; Stuff'!AF:BG,20,FALSE)</f>
        <v>0</v>
      </c>
      <c r="W295" s="127">
        <f>VLOOKUP(C295,'Talente &amp; Stuff'!AF:BG,21,FALSE)</f>
        <v>0</v>
      </c>
      <c r="X295" s="127">
        <f>VLOOKUP(C295,'Talente &amp; Stuff'!AF:BG,22,FALSE)</f>
        <v>0</v>
      </c>
      <c r="Y295" s="165">
        <f t="shared" si="22"/>
        <v>0</v>
      </c>
      <c r="Z295" s="44">
        <f t="shared" si="23"/>
        <v>0</v>
      </c>
      <c r="AA295" s="125">
        <f>VLOOKUP(C295,'Talente &amp; Stuff'!AF:BG,25,FALSE)</f>
        <v>0</v>
      </c>
      <c r="AB295" s="160">
        <f>VLOOKUP(C295,'Talente &amp; Stuff'!AF:BG,26,FALSE)</f>
        <v>0</v>
      </c>
      <c r="AC295" s="127">
        <f>VLOOKUP(C295,'Talente &amp; Stuff'!AF:BG,27,FALSE)</f>
        <v>0</v>
      </c>
      <c r="AD295" s="125">
        <f>VLOOKUP(C295,'Talente &amp; Stuff'!AF:BG,28,FALSE)</f>
        <v>0</v>
      </c>
      <c r="AE295" s="28"/>
    </row>
    <row r="296" spans="1:31" s="148" customFormat="1" ht="15" hidden="1" customHeight="1" outlineLevel="2">
      <c r="B296" s="148">
        <v>36</v>
      </c>
      <c r="C296" s="164" t="str">
        <f>Attribute!C296</f>
        <v>---</v>
      </c>
      <c r="D296" s="159" t="str">
        <f>VLOOKUP(C296,'Talente &amp; Stuff'!AF:BG,2,FALSE)</f>
        <v>--/--/--</v>
      </c>
      <c r="E296" s="128" t="str">
        <f>VLOOKUP(C296,'Talente &amp; Stuff'!AF:BG,3,FALSE)</f>
        <v>-</v>
      </c>
      <c r="F296" s="115">
        <f>VLOOKUP(C296,'Talente &amp; Stuff'!AF:BG,4,FALSE)</f>
        <v>0</v>
      </c>
      <c r="G296" s="122">
        <f>VLOOKUP(C296,'Talente &amp; Stuff'!AF:BG,5,FALSE)</f>
        <v>0</v>
      </c>
      <c r="H296" s="122">
        <f>VLOOKUP(C296,'Talente &amp; Stuff'!AF:BG,6,FALSE)</f>
        <v>0</v>
      </c>
      <c r="I296" s="122">
        <f>VLOOKUP(C296,'Talente &amp; Stuff'!AF:BG,7,FALSE)</f>
        <v>0</v>
      </c>
      <c r="J296" s="122">
        <f>VLOOKUP(C296,'Talente &amp; Stuff'!AF:BG,8,FALSE)</f>
        <v>0</v>
      </c>
      <c r="K296" s="122">
        <f>VLOOKUP(C296,'Talente &amp; Stuff'!AF:BG,9,FALSE)</f>
        <v>0</v>
      </c>
      <c r="L296" s="122">
        <f>VLOOKUP(C296,'Talente &amp; Stuff'!AF:BG,10,FALSE)</f>
        <v>0</v>
      </c>
      <c r="M296" s="123">
        <f>VLOOKUP(C296,'Talente &amp; Stuff'!AF:BG,11,FALSE)</f>
        <v>0</v>
      </c>
      <c r="N296" s="88">
        <f>VLOOKUP(C296,'Talente &amp; Stuff'!AF:BG,12,FALSE)</f>
        <v>0</v>
      </c>
      <c r="O296" s="88">
        <f>VLOOKUP(C296,'Talente &amp; Stuff'!AF:BG,13,FALSE)</f>
        <v>0</v>
      </c>
      <c r="P296" s="123">
        <f>VLOOKUP(C296,'Talente &amp; Stuff'!AF:BG,14,FALSE)</f>
        <v>0</v>
      </c>
      <c r="Q296" s="115">
        <f>VLOOKUP(C296,'Talente &amp; Stuff'!AF:BG,15,FALSE)</f>
        <v>0</v>
      </c>
      <c r="R296" s="122">
        <f>VLOOKUP(C296,'Talente &amp; Stuff'!AF:BG,16,FALSE)</f>
        <v>0</v>
      </c>
      <c r="S296" s="123">
        <f>VLOOKUP(C296,'Talente &amp; Stuff'!AF:BG,17,FALSE)</f>
        <v>0</v>
      </c>
      <c r="T296" s="123">
        <f>VLOOKUP(C296,'Talente &amp; Stuff'!AF:BG,18,FALSE)</f>
        <v>0</v>
      </c>
      <c r="U296" s="90">
        <f>VLOOKUP(C296,'Talente &amp; Stuff'!AF:BG,19,FALSE)</f>
        <v>0</v>
      </c>
      <c r="V296" s="88">
        <f>VLOOKUP(C296,'Talente &amp; Stuff'!AF:BG,20,FALSE)</f>
        <v>0</v>
      </c>
      <c r="W296" s="128">
        <f>VLOOKUP(C296,'Talente &amp; Stuff'!AF:BG,21,FALSE)</f>
        <v>0</v>
      </c>
      <c r="X296" s="128">
        <f>VLOOKUP(C296,'Talente &amp; Stuff'!AF:BG,22,FALSE)</f>
        <v>0</v>
      </c>
      <c r="Y296" s="165">
        <f>VLOOKUP(C296,Ausgewählte_Zauber_Scharlatane,52,FALSE)</f>
        <v>0</v>
      </c>
      <c r="Z296" s="44">
        <f t="shared" si="23"/>
        <v>0</v>
      </c>
      <c r="AA296" s="159">
        <f>VLOOKUP(C296,'Talente &amp; Stuff'!AF:BG,25,FALSE)</f>
        <v>0</v>
      </c>
      <c r="AB296" s="161">
        <f>VLOOKUP(C296,'Talente &amp; Stuff'!AF:BG,26,FALSE)</f>
        <v>0</v>
      </c>
      <c r="AC296" s="128">
        <f>VLOOKUP(C296,'Talente &amp; Stuff'!AF:BG,27,FALSE)</f>
        <v>0</v>
      </c>
      <c r="AD296" s="159">
        <f>VLOOKUP(C296,'Talente &amp; Stuff'!AF:BG,28,FALSE)</f>
        <v>0</v>
      </c>
      <c r="AE296" s="28"/>
    </row>
    <row r="297" spans="1:31" s="217" customFormat="1" hidden="1" outlineLevel="1" collapsed="1">
      <c r="A297" s="185"/>
      <c r="B297" s="216" t="s">
        <v>445</v>
      </c>
      <c r="C297" s="307"/>
      <c r="D297" s="308"/>
      <c r="E297" s="308"/>
      <c r="Y297" s="251"/>
      <c r="Z297" s="251"/>
    </row>
    <row r="298" spans="1:31" s="217" customFormat="1" hidden="1" outlineLevel="2">
      <c r="A298" s="185"/>
      <c r="B298" s="217">
        <v>1</v>
      </c>
      <c r="C298" s="302" t="str">
        <f>Attribute!C298</f>
        <v>---</v>
      </c>
      <c r="D298" s="42" t="str">
        <f>VLOOKUP(C298,'Talente &amp; Stuff'!AF:BG,2,FALSE)</f>
        <v>--/--/--</v>
      </c>
      <c r="E298" s="241" t="str">
        <f>VLOOKUP(C298,'Talente &amp; Stuff'!AF:BG,3,FALSE)</f>
        <v>-</v>
      </c>
      <c r="F298" s="236">
        <f>VLOOKUP(C298,'Talente &amp; Stuff'!AF:BG,4,FALSE)</f>
        <v>0</v>
      </c>
      <c r="G298" s="233">
        <f>VLOOKUP(C298,'Talente &amp; Stuff'!AF:BG,5,FALSE)</f>
        <v>0</v>
      </c>
      <c r="H298" s="233">
        <f>VLOOKUP(C298,'Talente &amp; Stuff'!AF:BG,6,FALSE)</f>
        <v>0</v>
      </c>
      <c r="I298" s="233">
        <f>VLOOKUP(C298,'Talente &amp; Stuff'!AF:BG,7,FALSE)</f>
        <v>0</v>
      </c>
      <c r="J298" s="233">
        <f>VLOOKUP(C298,'Talente &amp; Stuff'!AF:BG,8,FALSE)</f>
        <v>0</v>
      </c>
      <c r="K298" s="233">
        <f>VLOOKUP(C298,'Talente &amp; Stuff'!AF:BG,9,FALSE)</f>
        <v>0</v>
      </c>
      <c r="L298" s="233">
        <f>VLOOKUP(C298,'Talente &amp; Stuff'!AF:BG,10,FALSE)</f>
        <v>0</v>
      </c>
      <c r="M298" s="221">
        <f>VLOOKUP(C298,'Talente &amp; Stuff'!AF:BG,11,FALSE)</f>
        <v>0</v>
      </c>
      <c r="N298" s="220">
        <f>VLOOKUP(C298,'Talente &amp; Stuff'!AF:BG,12,FALSE)</f>
        <v>0</v>
      </c>
      <c r="O298" s="220">
        <f>VLOOKUP(C298,'Talente &amp; Stuff'!AF:BG,13,FALSE)</f>
        <v>0</v>
      </c>
      <c r="P298" s="221">
        <f>VLOOKUP(C298,'Talente &amp; Stuff'!AF:BG,14,FALSE)</f>
        <v>0</v>
      </c>
      <c r="Q298" s="236">
        <f>VLOOKUP(C298,'Talente &amp; Stuff'!AF:BG,15,FALSE)</f>
        <v>0</v>
      </c>
      <c r="R298" s="233">
        <f>VLOOKUP(C298,'Talente &amp; Stuff'!AF:BG,16,FALSE)</f>
        <v>0</v>
      </c>
      <c r="S298" s="221">
        <f>VLOOKUP(C298,'Talente &amp; Stuff'!AF:BG,17,FALSE)</f>
        <v>0</v>
      </c>
      <c r="T298" s="221">
        <f>VLOOKUP(C298,'Talente &amp; Stuff'!AF:BG,18,FALSE)</f>
        <v>0</v>
      </c>
      <c r="U298" s="219">
        <f>VLOOKUP(C298,'Talente &amp; Stuff'!AF:BG,19,FALSE)</f>
        <v>0</v>
      </c>
      <c r="V298" s="220">
        <f>VLOOKUP(C298,'Talente &amp; Stuff'!AF:BG,20,FALSE)</f>
        <v>0</v>
      </c>
      <c r="W298" s="241">
        <f>VLOOKUP(C298,'Talente &amp; Stuff'!AF:BG,21,FALSE)</f>
        <v>0</v>
      </c>
      <c r="X298" s="241">
        <f>VLOOKUP(C298,'Talente &amp; Stuff'!AF:BG,22,FALSE)</f>
        <v>0</v>
      </c>
      <c r="Y298" s="252">
        <f>VLOOKUP(C298,Ausgewählte_Zauber_Zauberbarden,52,FALSE)</f>
        <v>0</v>
      </c>
      <c r="Z298" s="309">
        <f>VLOOKUP(C298,Ausgewählte_Zauber_Zauberbarden,53,FALSE)</f>
        <v>0</v>
      </c>
      <c r="AA298" s="42">
        <f>VLOOKUP(C298,'Talente &amp; Stuff'!AF:BG,25,FALSE)</f>
        <v>0</v>
      </c>
      <c r="AB298" s="78">
        <f>VLOOKUP(C298,'Talente &amp; Stuff'!AF:BG,26,FALSE)</f>
        <v>0</v>
      </c>
      <c r="AC298" s="241">
        <f>VLOOKUP(C298,'Talente &amp; Stuff'!AF:BG,27,FALSE)</f>
        <v>0</v>
      </c>
      <c r="AD298" s="42">
        <f>VLOOKUP(C298,'Talente &amp; Stuff'!AF:BG,28,FALSE)</f>
        <v>0</v>
      </c>
      <c r="AE298" s="343"/>
    </row>
    <row r="299" spans="1:31" s="217" customFormat="1" hidden="1" outlineLevel="2">
      <c r="A299" s="185"/>
      <c r="B299" s="217">
        <v>2</v>
      </c>
      <c r="C299" s="303" t="str">
        <f>Attribute!C299</f>
        <v>---</v>
      </c>
      <c r="D299" s="218" t="str">
        <f>VLOOKUP(C299,'Talente &amp; Stuff'!AF:BG,2,FALSE)</f>
        <v>--/--/--</v>
      </c>
      <c r="E299" s="243" t="str">
        <f>VLOOKUP(C299,'Talente &amp; Stuff'!AF:BG,3,FALSE)</f>
        <v>-</v>
      </c>
      <c r="F299" s="237">
        <f>VLOOKUP(C299,'Talente &amp; Stuff'!AF:BG,4,FALSE)</f>
        <v>0</v>
      </c>
      <c r="G299" s="234">
        <f>VLOOKUP(C299,'Talente &amp; Stuff'!AF:BG,5,FALSE)</f>
        <v>0</v>
      </c>
      <c r="H299" s="234">
        <f>VLOOKUP(C299,'Talente &amp; Stuff'!AF:BG,6,FALSE)</f>
        <v>0</v>
      </c>
      <c r="I299" s="234">
        <f>VLOOKUP(C299,'Talente &amp; Stuff'!AF:BG,7,FALSE)</f>
        <v>0</v>
      </c>
      <c r="J299" s="234">
        <f>VLOOKUP(C299,'Talente &amp; Stuff'!AF:BG,8,FALSE)</f>
        <v>0</v>
      </c>
      <c r="K299" s="234">
        <f>VLOOKUP(C299,'Talente &amp; Stuff'!AF:BG,9,FALSE)</f>
        <v>0</v>
      </c>
      <c r="L299" s="234">
        <f>VLOOKUP(C299,'Talente &amp; Stuff'!AF:BG,10,FALSE)</f>
        <v>0</v>
      </c>
      <c r="M299" s="224">
        <f>VLOOKUP(C299,'Talente &amp; Stuff'!AF:BG,11,FALSE)</f>
        <v>0</v>
      </c>
      <c r="N299" s="223">
        <f>VLOOKUP(C299,'Talente &amp; Stuff'!AF:BG,12,FALSE)</f>
        <v>0</v>
      </c>
      <c r="O299" s="223">
        <f>VLOOKUP(C299,'Talente &amp; Stuff'!AF:BG,13,FALSE)</f>
        <v>0</v>
      </c>
      <c r="P299" s="224">
        <f>VLOOKUP(C299,'Talente &amp; Stuff'!AF:BG,14,FALSE)</f>
        <v>0</v>
      </c>
      <c r="Q299" s="237">
        <f>VLOOKUP(C299,'Talente &amp; Stuff'!AF:BG,15,FALSE)</f>
        <v>0</v>
      </c>
      <c r="R299" s="234">
        <f>VLOOKUP(C299,'Talente &amp; Stuff'!AF:BG,16,FALSE)</f>
        <v>0</v>
      </c>
      <c r="S299" s="224">
        <f>VLOOKUP(C299,'Talente &amp; Stuff'!AF:BG,17,FALSE)</f>
        <v>0</v>
      </c>
      <c r="T299" s="224">
        <f>VLOOKUP(C299,'Talente &amp; Stuff'!AF:BG,18,FALSE)</f>
        <v>0</v>
      </c>
      <c r="U299" s="222">
        <f>VLOOKUP(C299,'Talente &amp; Stuff'!AF:BG,19,FALSE)</f>
        <v>0</v>
      </c>
      <c r="V299" s="223">
        <f>VLOOKUP(C299,'Talente &amp; Stuff'!AF:BG,20,FALSE)</f>
        <v>0</v>
      </c>
      <c r="W299" s="243">
        <f>VLOOKUP(C299,'Talente &amp; Stuff'!AF:BG,21,FALSE)</f>
        <v>0</v>
      </c>
      <c r="X299" s="243">
        <f>VLOOKUP(C299,'Talente &amp; Stuff'!AF:BG,22,FALSE)</f>
        <v>0</v>
      </c>
      <c r="Y299" s="252">
        <f>VLOOKUP(C299,Ausgewählte_Zauber_Zauberbarden,52,FALSE)</f>
        <v>0</v>
      </c>
      <c r="Z299" s="309">
        <f>VLOOKUP(C299,Ausgewählte_Zauber_Zauberbarden,53,FALSE)</f>
        <v>0</v>
      </c>
      <c r="AA299" s="218">
        <f>VLOOKUP(C299,'Talente &amp; Stuff'!AF:BG,25,FALSE)</f>
        <v>0</v>
      </c>
      <c r="AB299" s="242">
        <f>VLOOKUP(C299,'Talente &amp; Stuff'!AF:BG,26,FALSE)</f>
        <v>0</v>
      </c>
      <c r="AC299" s="243">
        <f>VLOOKUP(C299,'Talente &amp; Stuff'!AF:BG,27,FALSE)</f>
        <v>0</v>
      </c>
      <c r="AD299" s="218">
        <f>VLOOKUP(C299,'Talente &amp; Stuff'!AF:BG,28,FALSE)</f>
        <v>0</v>
      </c>
      <c r="AE299" s="343"/>
    </row>
    <row r="300" spans="1:31" s="217" customFormat="1" hidden="1" outlineLevel="2">
      <c r="A300" s="185"/>
      <c r="B300" s="217">
        <v>3</v>
      </c>
      <c r="C300" s="303" t="str">
        <f>Attribute!C300</f>
        <v>---</v>
      </c>
      <c r="D300" s="218" t="str">
        <f>VLOOKUP(C300,'Talente &amp; Stuff'!AF:BG,2,FALSE)</f>
        <v>--/--/--</v>
      </c>
      <c r="E300" s="243" t="str">
        <f>VLOOKUP(C300,'Talente &amp; Stuff'!AF:BG,3,FALSE)</f>
        <v>-</v>
      </c>
      <c r="F300" s="237">
        <f>VLOOKUP(C300,'Talente &amp; Stuff'!AF:BG,4,FALSE)</f>
        <v>0</v>
      </c>
      <c r="G300" s="234">
        <f>VLOOKUP(C300,'Talente &amp; Stuff'!AF:BG,5,FALSE)</f>
        <v>0</v>
      </c>
      <c r="H300" s="234">
        <f>VLOOKUP(C300,'Talente &amp; Stuff'!AF:BG,6,FALSE)</f>
        <v>0</v>
      </c>
      <c r="I300" s="234">
        <f>VLOOKUP(C300,'Talente &amp; Stuff'!AF:BG,7,FALSE)</f>
        <v>0</v>
      </c>
      <c r="J300" s="234">
        <f>VLOOKUP(C300,'Talente &amp; Stuff'!AF:BG,8,FALSE)</f>
        <v>0</v>
      </c>
      <c r="K300" s="234">
        <f>VLOOKUP(C300,'Talente &amp; Stuff'!AF:BG,9,FALSE)</f>
        <v>0</v>
      </c>
      <c r="L300" s="234">
        <f>VLOOKUP(C300,'Talente &amp; Stuff'!AF:BG,10,FALSE)</f>
        <v>0</v>
      </c>
      <c r="M300" s="224">
        <f>VLOOKUP(C300,'Talente &amp; Stuff'!AF:BG,11,FALSE)</f>
        <v>0</v>
      </c>
      <c r="N300" s="223">
        <f>VLOOKUP(C300,'Talente &amp; Stuff'!AF:BG,12,FALSE)</f>
        <v>0</v>
      </c>
      <c r="O300" s="223">
        <f>VLOOKUP(C300,'Talente &amp; Stuff'!AF:BG,13,FALSE)</f>
        <v>0</v>
      </c>
      <c r="P300" s="224">
        <f>VLOOKUP(C300,'Talente &amp; Stuff'!AF:BG,14,FALSE)</f>
        <v>0</v>
      </c>
      <c r="Q300" s="237">
        <f>VLOOKUP(C300,'Talente &amp; Stuff'!AF:BG,15,FALSE)</f>
        <v>0</v>
      </c>
      <c r="R300" s="234">
        <f>VLOOKUP(C300,'Talente &amp; Stuff'!AF:BG,16,FALSE)</f>
        <v>0</v>
      </c>
      <c r="S300" s="224">
        <f>VLOOKUP(C300,'Talente &amp; Stuff'!AF:BG,17,FALSE)</f>
        <v>0</v>
      </c>
      <c r="T300" s="224">
        <f>VLOOKUP(C300,'Talente &amp; Stuff'!AF:BG,18,FALSE)</f>
        <v>0</v>
      </c>
      <c r="U300" s="222">
        <f>VLOOKUP(C300,'Talente &amp; Stuff'!AF:BG,19,FALSE)</f>
        <v>0</v>
      </c>
      <c r="V300" s="223">
        <f>VLOOKUP(C300,'Talente &amp; Stuff'!AF:BG,20,FALSE)</f>
        <v>0</v>
      </c>
      <c r="W300" s="243">
        <f>VLOOKUP(C300,'Talente &amp; Stuff'!AF:BG,21,FALSE)</f>
        <v>0</v>
      </c>
      <c r="X300" s="243">
        <f>VLOOKUP(C300,'Talente &amp; Stuff'!AF:BG,22,FALSE)</f>
        <v>0</v>
      </c>
      <c r="Y300" s="252">
        <f>VLOOKUP(C300,Ausgewählte_Zauber_Zauberbarden,52,FALSE)</f>
        <v>0</v>
      </c>
      <c r="Z300" s="309">
        <f>VLOOKUP(C300,Ausgewählte_Zauber_Zauberbarden,53,FALSE)</f>
        <v>0</v>
      </c>
      <c r="AA300" s="218">
        <f>VLOOKUP(C300,'Talente &amp; Stuff'!AF:BG,25,FALSE)</f>
        <v>0</v>
      </c>
      <c r="AB300" s="242">
        <f>VLOOKUP(C300,'Talente &amp; Stuff'!AF:BG,26,FALSE)</f>
        <v>0</v>
      </c>
      <c r="AC300" s="243">
        <f>VLOOKUP(C300,'Talente &amp; Stuff'!AF:BG,27,FALSE)</f>
        <v>0</v>
      </c>
      <c r="AD300" s="218">
        <f>VLOOKUP(C300,'Talente &amp; Stuff'!AF:BG,28,FALSE)</f>
        <v>0</v>
      </c>
      <c r="AE300" s="343"/>
    </row>
    <row r="301" spans="1:31" s="217" customFormat="1" hidden="1" outlineLevel="2">
      <c r="A301" s="185"/>
      <c r="B301" s="217">
        <v>4</v>
      </c>
      <c r="C301" s="303" t="str">
        <f>Attribute!C301</f>
        <v>---</v>
      </c>
      <c r="D301" s="218" t="str">
        <f>VLOOKUP(C301,'Talente &amp; Stuff'!AF:BG,2,FALSE)</f>
        <v>--/--/--</v>
      </c>
      <c r="E301" s="243" t="str">
        <f>VLOOKUP(C301,'Talente &amp; Stuff'!AF:BG,3,FALSE)</f>
        <v>-</v>
      </c>
      <c r="F301" s="237">
        <f>VLOOKUP(C301,'Talente &amp; Stuff'!AF:BG,4,FALSE)</f>
        <v>0</v>
      </c>
      <c r="G301" s="234">
        <f>VLOOKUP(C301,'Talente &amp; Stuff'!AF:BG,5,FALSE)</f>
        <v>0</v>
      </c>
      <c r="H301" s="234">
        <f>VLOOKUP(C301,'Talente &amp; Stuff'!AF:BG,6,FALSE)</f>
        <v>0</v>
      </c>
      <c r="I301" s="234">
        <f>VLOOKUP(C301,'Talente &amp; Stuff'!AF:BG,7,FALSE)</f>
        <v>0</v>
      </c>
      <c r="J301" s="234">
        <f>VLOOKUP(C301,'Talente &amp; Stuff'!AF:BG,8,FALSE)</f>
        <v>0</v>
      </c>
      <c r="K301" s="234">
        <f>VLOOKUP(C301,'Talente &amp; Stuff'!AF:BG,9,FALSE)</f>
        <v>0</v>
      </c>
      <c r="L301" s="234">
        <f>VLOOKUP(C301,'Talente &amp; Stuff'!AF:BG,10,FALSE)</f>
        <v>0</v>
      </c>
      <c r="M301" s="224">
        <f>VLOOKUP(C301,'Talente &amp; Stuff'!AF:BG,11,FALSE)</f>
        <v>0</v>
      </c>
      <c r="N301" s="223">
        <f>VLOOKUP(C301,'Talente &amp; Stuff'!AF:BG,12,FALSE)</f>
        <v>0</v>
      </c>
      <c r="O301" s="223">
        <f>VLOOKUP(C301,'Talente &amp; Stuff'!AF:BG,13,FALSE)</f>
        <v>0</v>
      </c>
      <c r="P301" s="224">
        <f>VLOOKUP(C301,'Talente &amp; Stuff'!AF:BG,14,FALSE)</f>
        <v>0</v>
      </c>
      <c r="Q301" s="237">
        <f>VLOOKUP(C301,'Talente &amp; Stuff'!AF:BG,15,FALSE)</f>
        <v>0</v>
      </c>
      <c r="R301" s="234">
        <f>VLOOKUP(C301,'Talente &amp; Stuff'!AF:BG,16,FALSE)</f>
        <v>0</v>
      </c>
      <c r="S301" s="224">
        <f>VLOOKUP(C301,'Talente &amp; Stuff'!AF:BG,17,FALSE)</f>
        <v>0</v>
      </c>
      <c r="T301" s="224">
        <f>VLOOKUP(C301,'Talente &amp; Stuff'!AF:BG,18,FALSE)</f>
        <v>0</v>
      </c>
      <c r="U301" s="222">
        <f>VLOOKUP(C301,'Talente &amp; Stuff'!AF:BG,19,FALSE)</f>
        <v>0</v>
      </c>
      <c r="V301" s="223">
        <f>VLOOKUP(C301,'Talente &amp; Stuff'!AF:BG,20,FALSE)</f>
        <v>0</v>
      </c>
      <c r="W301" s="243">
        <f>VLOOKUP(C301,'Talente &amp; Stuff'!AF:BG,21,FALSE)</f>
        <v>0</v>
      </c>
      <c r="X301" s="243">
        <f>VLOOKUP(C301,'Talente &amp; Stuff'!AF:BG,22,FALSE)</f>
        <v>0</v>
      </c>
      <c r="Y301" s="252">
        <f>VLOOKUP(C301,Ausgewählte_Zauber_Zauberbarden,52,FALSE)</f>
        <v>0</v>
      </c>
      <c r="Z301" s="309">
        <f>VLOOKUP(C301,Ausgewählte_Zauber_Zauberbarden,53,FALSE)</f>
        <v>0</v>
      </c>
      <c r="AA301" s="218">
        <f>VLOOKUP(C301,'Talente &amp; Stuff'!AF:BG,25,FALSE)</f>
        <v>0</v>
      </c>
      <c r="AB301" s="242">
        <f>VLOOKUP(C301,'Talente &amp; Stuff'!AF:BG,26,FALSE)</f>
        <v>0</v>
      </c>
      <c r="AC301" s="243">
        <f>VLOOKUP(C301,'Talente &amp; Stuff'!AF:BG,27,FALSE)</f>
        <v>0</v>
      </c>
      <c r="AD301" s="218">
        <f>VLOOKUP(C301,'Talente &amp; Stuff'!AF:BG,28,FALSE)</f>
        <v>0</v>
      </c>
      <c r="AE301" s="343"/>
    </row>
    <row r="302" spans="1:31" s="217" customFormat="1" hidden="1" outlineLevel="2">
      <c r="A302" s="185"/>
      <c r="B302" s="217">
        <v>5</v>
      </c>
      <c r="C302" s="303" t="str">
        <f>Attribute!C302</f>
        <v>---</v>
      </c>
      <c r="D302" s="218" t="str">
        <f>VLOOKUP(C302,'Talente &amp; Stuff'!AF:BG,2,FALSE)</f>
        <v>--/--/--</v>
      </c>
      <c r="E302" s="243" t="str">
        <f>VLOOKUP(C302,'Talente &amp; Stuff'!AF:BG,3,FALSE)</f>
        <v>-</v>
      </c>
      <c r="F302" s="237">
        <f>VLOOKUP(C302,'Talente &amp; Stuff'!AF:BG,4,FALSE)</f>
        <v>0</v>
      </c>
      <c r="G302" s="234">
        <f>VLOOKUP(C302,'Talente &amp; Stuff'!AF:BG,5,FALSE)</f>
        <v>0</v>
      </c>
      <c r="H302" s="234">
        <f>VLOOKUP(C302,'Talente &amp; Stuff'!AF:BG,6,FALSE)</f>
        <v>0</v>
      </c>
      <c r="I302" s="234">
        <f>VLOOKUP(C302,'Talente &amp; Stuff'!AF:BG,7,FALSE)</f>
        <v>0</v>
      </c>
      <c r="J302" s="234">
        <f>VLOOKUP(C302,'Talente &amp; Stuff'!AF:BG,8,FALSE)</f>
        <v>0</v>
      </c>
      <c r="K302" s="234">
        <f>VLOOKUP(C302,'Talente &amp; Stuff'!AF:BG,9,FALSE)</f>
        <v>0</v>
      </c>
      <c r="L302" s="234">
        <f>VLOOKUP(C302,'Talente &amp; Stuff'!AF:BG,10,FALSE)</f>
        <v>0</v>
      </c>
      <c r="M302" s="224">
        <f>VLOOKUP(C302,'Talente &amp; Stuff'!AF:BG,11,FALSE)</f>
        <v>0</v>
      </c>
      <c r="N302" s="223">
        <f>VLOOKUP(C302,'Talente &amp; Stuff'!AF:BG,12,FALSE)</f>
        <v>0</v>
      </c>
      <c r="O302" s="223">
        <f>VLOOKUP(C302,'Talente &amp; Stuff'!AF:BG,13,FALSE)</f>
        <v>0</v>
      </c>
      <c r="P302" s="224">
        <f>VLOOKUP(C302,'Talente &amp; Stuff'!AF:BG,14,FALSE)</f>
        <v>0</v>
      </c>
      <c r="Q302" s="237">
        <f>VLOOKUP(C302,'Talente &amp; Stuff'!AF:BG,15,FALSE)</f>
        <v>0</v>
      </c>
      <c r="R302" s="234">
        <f>VLOOKUP(C302,'Talente &amp; Stuff'!AF:BG,16,FALSE)</f>
        <v>0</v>
      </c>
      <c r="S302" s="224">
        <f>VLOOKUP(C302,'Talente &amp; Stuff'!AF:BG,17,FALSE)</f>
        <v>0</v>
      </c>
      <c r="T302" s="224">
        <f>VLOOKUP(C302,'Talente &amp; Stuff'!AF:BG,18,FALSE)</f>
        <v>0</v>
      </c>
      <c r="U302" s="222">
        <f>VLOOKUP(C302,'Talente &amp; Stuff'!AF:BG,19,FALSE)</f>
        <v>0</v>
      </c>
      <c r="V302" s="223">
        <f>VLOOKUP(C302,'Talente &amp; Stuff'!AF:BG,20,FALSE)</f>
        <v>0</v>
      </c>
      <c r="W302" s="243">
        <f>VLOOKUP(C302,'Talente &amp; Stuff'!AF:BG,21,FALSE)</f>
        <v>0</v>
      </c>
      <c r="X302" s="243">
        <f>VLOOKUP(C302,'Talente &amp; Stuff'!AF:BG,22,FALSE)</f>
        <v>0</v>
      </c>
      <c r="Y302" s="252">
        <f>VLOOKUP(C302,Ausgewählte_Zauber_Zauberbarden,52,FALSE)</f>
        <v>0</v>
      </c>
      <c r="Z302" s="309">
        <f>VLOOKUP(C302,Ausgewählte_Zauber_Zauberbarden,53,FALSE)</f>
        <v>0</v>
      </c>
      <c r="AA302" s="218">
        <f>VLOOKUP(C302,'Talente &amp; Stuff'!AF:BG,25,FALSE)</f>
        <v>0</v>
      </c>
      <c r="AB302" s="242">
        <f>VLOOKUP(C302,'Talente &amp; Stuff'!AF:BG,26,FALSE)</f>
        <v>0</v>
      </c>
      <c r="AC302" s="243">
        <f>VLOOKUP(C302,'Talente &amp; Stuff'!AF:BG,27,FALSE)</f>
        <v>0</v>
      </c>
      <c r="AD302" s="218">
        <f>VLOOKUP(C302,'Talente &amp; Stuff'!AF:BG,28,FALSE)</f>
        <v>0</v>
      </c>
      <c r="AE302" s="343"/>
    </row>
    <row r="303" spans="1:31" s="217" customFormat="1" hidden="1" outlineLevel="2">
      <c r="A303" s="185"/>
      <c r="B303" s="217">
        <v>6</v>
      </c>
      <c r="C303" s="303" t="str">
        <f>Attribute!C303</f>
        <v>---</v>
      </c>
      <c r="D303" s="218" t="str">
        <f>VLOOKUP(C303,'Talente &amp; Stuff'!AF:BG,2,FALSE)</f>
        <v>--/--/--</v>
      </c>
      <c r="E303" s="243" t="str">
        <f>VLOOKUP(C303,'Talente &amp; Stuff'!AF:BG,3,FALSE)</f>
        <v>-</v>
      </c>
      <c r="F303" s="237">
        <f>VLOOKUP(C303,'Talente &amp; Stuff'!AF:BG,4,FALSE)</f>
        <v>0</v>
      </c>
      <c r="G303" s="234">
        <f>VLOOKUP(C303,'Talente &amp; Stuff'!AF:BG,5,FALSE)</f>
        <v>0</v>
      </c>
      <c r="H303" s="234">
        <f>VLOOKUP(C303,'Talente &amp; Stuff'!AF:BG,6,FALSE)</f>
        <v>0</v>
      </c>
      <c r="I303" s="234">
        <f>VLOOKUP(C303,'Talente &amp; Stuff'!AF:BG,7,FALSE)</f>
        <v>0</v>
      </c>
      <c r="J303" s="234">
        <f>VLOOKUP(C303,'Talente &amp; Stuff'!AF:BG,8,FALSE)</f>
        <v>0</v>
      </c>
      <c r="K303" s="234">
        <f>VLOOKUP(C303,'Talente &amp; Stuff'!AF:BG,9,FALSE)</f>
        <v>0</v>
      </c>
      <c r="L303" s="234">
        <f>VLOOKUP(C303,'Talente &amp; Stuff'!AF:BG,10,FALSE)</f>
        <v>0</v>
      </c>
      <c r="M303" s="224">
        <f>VLOOKUP(C303,'Talente &amp; Stuff'!AF:BG,11,FALSE)</f>
        <v>0</v>
      </c>
      <c r="N303" s="223">
        <f>VLOOKUP(C303,'Talente &amp; Stuff'!AF:BG,12,FALSE)</f>
        <v>0</v>
      </c>
      <c r="O303" s="223">
        <f>VLOOKUP(C303,'Talente &amp; Stuff'!AF:BG,13,FALSE)</f>
        <v>0</v>
      </c>
      <c r="P303" s="224">
        <f>VLOOKUP(C303,'Talente &amp; Stuff'!AF:BG,14,FALSE)</f>
        <v>0</v>
      </c>
      <c r="Q303" s="237">
        <f>VLOOKUP(C303,'Talente &amp; Stuff'!AF:BG,15,FALSE)</f>
        <v>0</v>
      </c>
      <c r="R303" s="234">
        <f>VLOOKUP(C303,'Talente &amp; Stuff'!AF:BG,16,FALSE)</f>
        <v>0</v>
      </c>
      <c r="S303" s="224">
        <f>VLOOKUP(C303,'Talente &amp; Stuff'!AF:BG,17,FALSE)</f>
        <v>0</v>
      </c>
      <c r="T303" s="224">
        <f>VLOOKUP(C303,'Talente &amp; Stuff'!AF:BG,18,FALSE)</f>
        <v>0</v>
      </c>
      <c r="U303" s="222">
        <f>VLOOKUP(C303,'Talente &amp; Stuff'!AF:BG,19,FALSE)</f>
        <v>0</v>
      </c>
      <c r="V303" s="223">
        <f>VLOOKUP(C303,'Talente &amp; Stuff'!AF:BG,20,FALSE)</f>
        <v>0</v>
      </c>
      <c r="W303" s="243">
        <f>VLOOKUP(C303,'Talente &amp; Stuff'!AF:BG,21,FALSE)</f>
        <v>0</v>
      </c>
      <c r="X303" s="243">
        <f>VLOOKUP(C303,'Talente &amp; Stuff'!AF:BG,22,FALSE)</f>
        <v>0</v>
      </c>
      <c r="Y303" s="252">
        <f>VLOOKUP(C303,Ausgewählte_Zauber_Zauberbarden,52,FALSE)</f>
        <v>0</v>
      </c>
      <c r="Z303" s="309">
        <f>VLOOKUP(C303,Ausgewählte_Zauber_Zauberbarden,53,FALSE)</f>
        <v>0</v>
      </c>
      <c r="AA303" s="218">
        <f>VLOOKUP(C303,'Talente &amp; Stuff'!AF:BG,25,FALSE)</f>
        <v>0</v>
      </c>
      <c r="AB303" s="242">
        <f>VLOOKUP(C303,'Talente &amp; Stuff'!AF:BG,26,FALSE)</f>
        <v>0</v>
      </c>
      <c r="AC303" s="243">
        <f>VLOOKUP(C303,'Talente &amp; Stuff'!AF:BG,27,FALSE)</f>
        <v>0</v>
      </c>
      <c r="AD303" s="218">
        <f>VLOOKUP(C303,'Talente &amp; Stuff'!AF:BG,28,FALSE)</f>
        <v>0</v>
      </c>
      <c r="AE303" s="343"/>
    </row>
    <row r="304" spans="1:31" s="217" customFormat="1" hidden="1" outlineLevel="2">
      <c r="A304" s="185"/>
      <c r="B304" s="217">
        <v>7</v>
      </c>
      <c r="C304" s="303" t="str">
        <f>Attribute!C304</f>
        <v>---</v>
      </c>
      <c r="D304" s="218" t="str">
        <f>VLOOKUP(C304,'Talente &amp; Stuff'!AF:BG,2,FALSE)</f>
        <v>--/--/--</v>
      </c>
      <c r="E304" s="243" t="str">
        <f>VLOOKUP(C304,'Talente &amp; Stuff'!AF:BG,3,FALSE)</f>
        <v>-</v>
      </c>
      <c r="F304" s="237">
        <f>VLOOKUP(C304,'Talente &amp; Stuff'!AF:BG,4,FALSE)</f>
        <v>0</v>
      </c>
      <c r="G304" s="234">
        <f>VLOOKUP(C304,'Talente &amp; Stuff'!AF:BG,5,FALSE)</f>
        <v>0</v>
      </c>
      <c r="H304" s="234">
        <f>VLOOKUP(C304,'Talente &amp; Stuff'!AF:BG,6,FALSE)</f>
        <v>0</v>
      </c>
      <c r="I304" s="234">
        <f>VLOOKUP(C304,'Talente &amp; Stuff'!AF:BG,7,FALSE)</f>
        <v>0</v>
      </c>
      <c r="J304" s="234">
        <f>VLOOKUP(C304,'Talente &amp; Stuff'!AF:BG,8,FALSE)</f>
        <v>0</v>
      </c>
      <c r="K304" s="234">
        <f>VLOOKUP(C304,'Talente &amp; Stuff'!AF:BG,9,FALSE)</f>
        <v>0</v>
      </c>
      <c r="L304" s="234">
        <f>VLOOKUP(C304,'Talente &amp; Stuff'!AF:BG,10,FALSE)</f>
        <v>0</v>
      </c>
      <c r="M304" s="224">
        <f>VLOOKUP(C304,'Talente &amp; Stuff'!AF:BG,11,FALSE)</f>
        <v>0</v>
      </c>
      <c r="N304" s="223">
        <f>VLOOKUP(C304,'Talente &amp; Stuff'!AF:BG,12,FALSE)</f>
        <v>0</v>
      </c>
      <c r="O304" s="223">
        <f>VLOOKUP(C304,'Talente &amp; Stuff'!AF:BG,13,FALSE)</f>
        <v>0</v>
      </c>
      <c r="P304" s="224">
        <f>VLOOKUP(C304,'Talente &amp; Stuff'!AF:BG,14,FALSE)</f>
        <v>0</v>
      </c>
      <c r="Q304" s="237">
        <f>VLOOKUP(C304,'Talente &amp; Stuff'!AF:BG,15,FALSE)</f>
        <v>0</v>
      </c>
      <c r="R304" s="234">
        <f>VLOOKUP(C304,'Talente &amp; Stuff'!AF:BG,16,FALSE)</f>
        <v>0</v>
      </c>
      <c r="S304" s="224">
        <f>VLOOKUP(C304,'Talente &amp; Stuff'!AF:BG,17,FALSE)</f>
        <v>0</v>
      </c>
      <c r="T304" s="224">
        <f>VLOOKUP(C304,'Talente &amp; Stuff'!AF:BG,18,FALSE)</f>
        <v>0</v>
      </c>
      <c r="U304" s="222">
        <f>VLOOKUP(C304,'Talente &amp; Stuff'!AF:BG,19,FALSE)</f>
        <v>0</v>
      </c>
      <c r="V304" s="223">
        <f>VLOOKUP(C304,'Talente &amp; Stuff'!AF:BG,20,FALSE)</f>
        <v>0</v>
      </c>
      <c r="W304" s="243">
        <f>VLOOKUP(C304,'Talente &amp; Stuff'!AF:BG,21,FALSE)</f>
        <v>0</v>
      </c>
      <c r="X304" s="243">
        <f>VLOOKUP(C304,'Talente &amp; Stuff'!AF:BG,22,FALSE)</f>
        <v>0</v>
      </c>
      <c r="Y304" s="252">
        <f>VLOOKUP(C304,Ausgewählte_Zauber_Zauberbarden,52,FALSE)</f>
        <v>0</v>
      </c>
      <c r="Z304" s="309">
        <f>VLOOKUP(C304,Ausgewählte_Zauber_Zauberbarden,53,FALSE)</f>
        <v>0</v>
      </c>
      <c r="AA304" s="218">
        <f>VLOOKUP(C304,'Talente &amp; Stuff'!AF:BG,25,FALSE)</f>
        <v>0</v>
      </c>
      <c r="AB304" s="242">
        <f>VLOOKUP(C304,'Talente &amp; Stuff'!AF:BG,26,FALSE)</f>
        <v>0</v>
      </c>
      <c r="AC304" s="243">
        <f>VLOOKUP(C304,'Talente &amp; Stuff'!AF:BG,27,FALSE)</f>
        <v>0</v>
      </c>
      <c r="AD304" s="218">
        <f>VLOOKUP(C304,'Talente &amp; Stuff'!AF:BG,28,FALSE)</f>
        <v>0</v>
      </c>
      <c r="AE304" s="343"/>
    </row>
    <row r="305" spans="1:31" s="217" customFormat="1" hidden="1" outlineLevel="2">
      <c r="A305" s="185"/>
      <c r="B305" s="217">
        <v>8</v>
      </c>
      <c r="C305" s="303" t="str">
        <f>Attribute!C305</f>
        <v>---</v>
      </c>
      <c r="D305" s="218" t="str">
        <f>VLOOKUP(C305,'Talente &amp; Stuff'!AF:BG,2,FALSE)</f>
        <v>--/--/--</v>
      </c>
      <c r="E305" s="243" t="str">
        <f>VLOOKUP(C305,'Talente &amp; Stuff'!AF:BG,3,FALSE)</f>
        <v>-</v>
      </c>
      <c r="F305" s="237">
        <f>VLOOKUP(C305,'Talente &amp; Stuff'!AF:BG,4,FALSE)</f>
        <v>0</v>
      </c>
      <c r="G305" s="234">
        <f>VLOOKUP(C305,'Talente &amp; Stuff'!AF:BG,5,FALSE)</f>
        <v>0</v>
      </c>
      <c r="H305" s="234">
        <f>VLOOKUP(C305,'Talente &amp; Stuff'!AF:BG,6,FALSE)</f>
        <v>0</v>
      </c>
      <c r="I305" s="234">
        <f>VLOOKUP(C305,'Talente &amp; Stuff'!AF:BG,7,FALSE)</f>
        <v>0</v>
      </c>
      <c r="J305" s="234">
        <f>VLOOKUP(C305,'Talente &amp; Stuff'!AF:BG,8,FALSE)</f>
        <v>0</v>
      </c>
      <c r="K305" s="234">
        <f>VLOOKUP(C305,'Talente &amp; Stuff'!AF:BG,9,FALSE)</f>
        <v>0</v>
      </c>
      <c r="L305" s="234">
        <f>VLOOKUP(C305,'Talente &amp; Stuff'!AF:BG,10,FALSE)</f>
        <v>0</v>
      </c>
      <c r="M305" s="224">
        <f>VLOOKUP(C305,'Talente &amp; Stuff'!AF:BG,11,FALSE)</f>
        <v>0</v>
      </c>
      <c r="N305" s="223">
        <f>VLOOKUP(C305,'Talente &amp; Stuff'!AF:BG,12,FALSE)</f>
        <v>0</v>
      </c>
      <c r="O305" s="223">
        <f>VLOOKUP(C305,'Talente &amp; Stuff'!AF:BG,13,FALSE)</f>
        <v>0</v>
      </c>
      <c r="P305" s="224">
        <f>VLOOKUP(C305,'Talente &amp; Stuff'!AF:BG,14,FALSE)</f>
        <v>0</v>
      </c>
      <c r="Q305" s="237">
        <f>VLOOKUP(C305,'Talente &amp; Stuff'!AF:BG,15,FALSE)</f>
        <v>0</v>
      </c>
      <c r="R305" s="234">
        <f>VLOOKUP(C305,'Talente &amp; Stuff'!AF:BG,16,FALSE)</f>
        <v>0</v>
      </c>
      <c r="S305" s="224">
        <f>VLOOKUP(C305,'Talente &amp; Stuff'!AF:BG,17,FALSE)</f>
        <v>0</v>
      </c>
      <c r="T305" s="224">
        <f>VLOOKUP(C305,'Talente &amp; Stuff'!AF:BG,18,FALSE)</f>
        <v>0</v>
      </c>
      <c r="U305" s="222">
        <f>VLOOKUP(C305,'Talente &amp; Stuff'!AF:BG,19,FALSE)</f>
        <v>0</v>
      </c>
      <c r="V305" s="223">
        <f>VLOOKUP(C305,'Talente &amp; Stuff'!AF:BG,20,FALSE)</f>
        <v>0</v>
      </c>
      <c r="W305" s="243">
        <f>VLOOKUP(C305,'Talente &amp; Stuff'!AF:BG,21,FALSE)</f>
        <v>0</v>
      </c>
      <c r="X305" s="243">
        <f>VLOOKUP(C305,'Talente &amp; Stuff'!AF:BG,22,FALSE)</f>
        <v>0</v>
      </c>
      <c r="Y305" s="252">
        <f>VLOOKUP(C305,Ausgewählte_Zauber_Zauberbarden,52,FALSE)</f>
        <v>0</v>
      </c>
      <c r="Z305" s="309">
        <f>VLOOKUP(C305,Ausgewählte_Zauber_Zauberbarden,53,FALSE)</f>
        <v>0</v>
      </c>
      <c r="AA305" s="218">
        <f>VLOOKUP(C305,'Talente &amp; Stuff'!AF:BG,25,FALSE)</f>
        <v>0</v>
      </c>
      <c r="AB305" s="242">
        <f>VLOOKUP(C305,'Talente &amp; Stuff'!AF:BG,26,FALSE)</f>
        <v>0</v>
      </c>
      <c r="AC305" s="243">
        <f>VLOOKUP(C305,'Talente &amp; Stuff'!AF:BG,27,FALSE)</f>
        <v>0</v>
      </c>
      <c r="AD305" s="218">
        <f>VLOOKUP(C305,'Talente &amp; Stuff'!AF:BG,28,FALSE)</f>
        <v>0</v>
      </c>
      <c r="AE305" s="343"/>
    </row>
    <row r="306" spans="1:31" s="217" customFormat="1" hidden="1" outlineLevel="2">
      <c r="A306" s="185"/>
      <c r="B306" s="217">
        <v>9</v>
      </c>
      <c r="C306" s="303" t="str">
        <f>Attribute!C306</f>
        <v>---</v>
      </c>
      <c r="D306" s="218" t="str">
        <f>VLOOKUP(C306,'Talente &amp; Stuff'!AF:BG,2,FALSE)</f>
        <v>--/--/--</v>
      </c>
      <c r="E306" s="243" t="str">
        <f>VLOOKUP(C306,'Talente &amp; Stuff'!AF:BG,3,FALSE)</f>
        <v>-</v>
      </c>
      <c r="F306" s="237">
        <f>VLOOKUP(C306,'Talente &amp; Stuff'!AF:BG,4,FALSE)</f>
        <v>0</v>
      </c>
      <c r="G306" s="234">
        <f>VLOOKUP(C306,'Talente &amp; Stuff'!AF:BG,5,FALSE)</f>
        <v>0</v>
      </c>
      <c r="H306" s="234">
        <f>VLOOKUP(C306,'Talente &amp; Stuff'!AF:BG,6,FALSE)</f>
        <v>0</v>
      </c>
      <c r="I306" s="234">
        <f>VLOOKUP(C306,'Talente &amp; Stuff'!AF:BG,7,FALSE)</f>
        <v>0</v>
      </c>
      <c r="J306" s="234">
        <f>VLOOKUP(C306,'Talente &amp; Stuff'!AF:BG,8,FALSE)</f>
        <v>0</v>
      </c>
      <c r="K306" s="234">
        <f>VLOOKUP(C306,'Talente &amp; Stuff'!AF:BG,9,FALSE)</f>
        <v>0</v>
      </c>
      <c r="L306" s="234">
        <f>VLOOKUP(C306,'Talente &amp; Stuff'!AF:BG,10,FALSE)</f>
        <v>0</v>
      </c>
      <c r="M306" s="224">
        <f>VLOOKUP(C306,'Talente &amp; Stuff'!AF:BG,11,FALSE)</f>
        <v>0</v>
      </c>
      <c r="N306" s="223">
        <f>VLOOKUP(C306,'Talente &amp; Stuff'!AF:BG,12,FALSE)</f>
        <v>0</v>
      </c>
      <c r="O306" s="223">
        <f>VLOOKUP(C306,'Talente &amp; Stuff'!AF:BG,13,FALSE)</f>
        <v>0</v>
      </c>
      <c r="P306" s="224">
        <f>VLOOKUP(C306,'Talente &amp; Stuff'!AF:BG,14,FALSE)</f>
        <v>0</v>
      </c>
      <c r="Q306" s="237">
        <f>VLOOKUP(C306,'Talente &amp; Stuff'!AF:BG,15,FALSE)</f>
        <v>0</v>
      </c>
      <c r="R306" s="234">
        <f>VLOOKUP(C306,'Talente &amp; Stuff'!AF:BG,16,FALSE)</f>
        <v>0</v>
      </c>
      <c r="S306" s="224">
        <f>VLOOKUP(C306,'Talente &amp; Stuff'!AF:BG,17,FALSE)</f>
        <v>0</v>
      </c>
      <c r="T306" s="224">
        <f>VLOOKUP(C306,'Talente &amp; Stuff'!AF:BG,18,FALSE)</f>
        <v>0</v>
      </c>
      <c r="U306" s="222">
        <f>VLOOKUP(C306,'Talente &amp; Stuff'!AF:BG,19,FALSE)</f>
        <v>0</v>
      </c>
      <c r="V306" s="223">
        <f>VLOOKUP(C306,'Talente &amp; Stuff'!AF:BG,20,FALSE)</f>
        <v>0</v>
      </c>
      <c r="W306" s="243">
        <f>VLOOKUP(C306,'Talente &amp; Stuff'!AF:BG,21,FALSE)</f>
        <v>0</v>
      </c>
      <c r="X306" s="243">
        <f>VLOOKUP(C306,'Talente &amp; Stuff'!AF:BG,22,FALSE)</f>
        <v>0</v>
      </c>
      <c r="Y306" s="252">
        <f>VLOOKUP(C306,Ausgewählte_Zauber_Zauberbarden,52,FALSE)</f>
        <v>0</v>
      </c>
      <c r="Z306" s="309">
        <f>VLOOKUP(C306,Ausgewählte_Zauber_Zauberbarden,53,FALSE)</f>
        <v>0</v>
      </c>
      <c r="AA306" s="218">
        <f>VLOOKUP(C306,'Talente &amp; Stuff'!AF:BG,25,FALSE)</f>
        <v>0</v>
      </c>
      <c r="AB306" s="242">
        <f>VLOOKUP(C306,'Talente &amp; Stuff'!AF:BG,26,FALSE)</f>
        <v>0</v>
      </c>
      <c r="AC306" s="243">
        <f>VLOOKUP(C306,'Talente &amp; Stuff'!AF:BG,27,FALSE)</f>
        <v>0</v>
      </c>
      <c r="AD306" s="218">
        <f>VLOOKUP(C306,'Talente &amp; Stuff'!AF:BG,28,FALSE)</f>
        <v>0</v>
      </c>
      <c r="AE306" s="343"/>
    </row>
    <row r="307" spans="1:31" s="217" customFormat="1" hidden="1" outlineLevel="2">
      <c r="A307" s="185"/>
      <c r="B307" s="217">
        <v>10</v>
      </c>
      <c r="C307" s="303" t="str">
        <f>Attribute!C307</f>
        <v>---</v>
      </c>
      <c r="D307" s="218" t="str">
        <f>VLOOKUP(C307,'Talente &amp; Stuff'!AF:BG,2,FALSE)</f>
        <v>--/--/--</v>
      </c>
      <c r="E307" s="243" t="str">
        <f>VLOOKUP(C307,'Talente &amp; Stuff'!AF:BG,3,FALSE)</f>
        <v>-</v>
      </c>
      <c r="F307" s="237">
        <f>VLOOKUP(C307,'Talente &amp; Stuff'!AF:BG,4,FALSE)</f>
        <v>0</v>
      </c>
      <c r="G307" s="234">
        <f>VLOOKUP(C307,'Talente &amp; Stuff'!AF:BG,5,FALSE)</f>
        <v>0</v>
      </c>
      <c r="H307" s="234">
        <f>VLOOKUP(C307,'Talente &amp; Stuff'!AF:BG,6,FALSE)</f>
        <v>0</v>
      </c>
      <c r="I307" s="234">
        <f>VLOOKUP(C307,'Talente &amp; Stuff'!AF:BG,7,FALSE)</f>
        <v>0</v>
      </c>
      <c r="J307" s="234">
        <f>VLOOKUP(C307,'Talente &amp; Stuff'!AF:BG,8,FALSE)</f>
        <v>0</v>
      </c>
      <c r="K307" s="234">
        <f>VLOOKUP(C307,'Talente &amp; Stuff'!AF:BG,9,FALSE)</f>
        <v>0</v>
      </c>
      <c r="L307" s="234">
        <f>VLOOKUP(C307,'Talente &amp; Stuff'!AF:BG,10,FALSE)</f>
        <v>0</v>
      </c>
      <c r="M307" s="224">
        <f>VLOOKUP(C307,'Talente &amp; Stuff'!AF:BG,11,FALSE)</f>
        <v>0</v>
      </c>
      <c r="N307" s="223">
        <f>VLOOKUP(C307,'Talente &amp; Stuff'!AF:BG,12,FALSE)</f>
        <v>0</v>
      </c>
      <c r="O307" s="223">
        <f>VLOOKUP(C307,'Talente &amp; Stuff'!AF:BG,13,FALSE)</f>
        <v>0</v>
      </c>
      <c r="P307" s="224">
        <f>VLOOKUP(C307,'Talente &amp; Stuff'!AF:BG,14,FALSE)</f>
        <v>0</v>
      </c>
      <c r="Q307" s="237">
        <f>VLOOKUP(C307,'Talente &amp; Stuff'!AF:BG,15,FALSE)</f>
        <v>0</v>
      </c>
      <c r="R307" s="234">
        <f>VLOOKUP(C307,'Talente &amp; Stuff'!AF:BG,16,FALSE)</f>
        <v>0</v>
      </c>
      <c r="S307" s="224">
        <f>VLOOKUP(C307,'Talente &amp; Stuff'!AF:BG,17,FALSE)</f>
        <v>0</v>
      </c>
      <c r="T307" s="224">
        <f>VLOOKUP(C307,'Talente &amp; Stuff'!AF:BG,18,FALSE)</f>
        <v>0</v>
      </c>
      <c r="U307" s="222">
        <f>VLOOKUP(C307,'Talente &amp; Stuff'!AF:BG,19,FALSE)</f>
        <v>0</v>
      </c>
      <c r="V307" s="223">
        <f>VLOOKUP(C307,'Talente &amp; Stuff'!AF:BG,20,FALSE)</f>
        <v>0</v>
      </c>
      <c r="W307" s="243">
        <f>VLOOKUP(C307,'Talente &amp; Stuff'!AF:BG,21,FALSE)</f>
        <v>0</v>
      </c>
      <c r="X307" s="243">
        <f>VLOOKUP(C307,'Talente &amp; Stuff'!AF:BG,22,FALSE)</f>
        <v>0</v>
      </c>
      <c r="Y307" s="252">
        <f>VLOOKUP(C307,Ausgewählte_Zauber_Zauberbarden,52,FALSE)</f>
        <v>0</v>
      </c>
      <c r="Z307" s="309">
        <f>VLOOKUP(C307,Ausgewählte_Zauber_Zauberbarden,53,FALSE)</f>
        <v>0</v>
      </c>
      <c r="AA307" s="218">
        <f>VLOOKUP(C307,'Talente &amp; Stuff'!AF:BG,25,FALSE)</f>
        <v>0</v>
      </c>
      <c r="AB307" s="242">
        <f>VLOOKUP(C307,'Talente &amp; Stuff'!AF:BG,26,FALSE)</f>
        <v>0</v>
      </c>
      <c r="AC307" s="243">
        <f>VLOOKUP(C307,'Talente &amp; Stuff'!AF:BG,27,FALSE)</f>
        <v>0</v>
      </c>
      <c r="AD307" s="218">
        <f>VLOOKUP(C307,'Talente &amp; Stuff'!AF:BG,28,FALSE)</f>
        <v>0</v>
      </c>
      <c r="AE307" s="343"/>
    </row>
    <row r="308" spans="1:31" s="217" customFormat="1" hidden="1" outlineLevel="2">
      <c r="A308" s="185"/>
      <c r="B308" s="217">
        <v>11</v>
      </c>
      <c r="C308" s="303" t="str">
        <f>Attribute!C308</f>
        <v>---</v>
      </c>
      <c r="D308" s="218" t="str">
        <f>VLOOKUP(C308,'Talente &amp; Stuff'!AF:BG,2,FALSE)</f>
        <v>--/--/--</v>
      </c>
      <c r="E308" s="243" t="str">
        <f>VLOOKUP(C308,'Talente &amp; Stuff'!AF:BG,3,FALSE)</f>
        <v>-</v>
      </c>
      <c r="F308" s="237">
        <f>VLOOKUP(C308,'Talente &amp; Stuff'!AF:BG,4,FALSE)</f>
        <v>0</v>
      </c>
      <c r="G308" s="234">
        <f>VLOOKUP(C308,'Talente &amp; Stuff'!AF:BG,5,FALSE)</f>
        <v>0</v>
      </c>
      <c r="H308" s="234">
        <f>VLOOKUP(C308,'Talente &amp; Stuff'!AF:BG,6,FALSE)</f>
        <v>0</v>
      </c>
      <c r="I308" s="234">
        <f>VLOOKUP(C308,'Talente &amp; Stuff'!AF:BG,7,FALSE)</f>
        <v>0</v>
      </c>
      <c r="J308" s="234">
        <f>VLOOKUP(C308,'Talente &amp; Stuff'!AF:BG,8,FALSE)</f>
        <v>0</v>
      </c>
      <c r="K308" s="234">
        <f>VLOOKUP(C308,'Talente &amp; Stuff'!AF:BG,9,FALSE)</f>
        <v>0</v>
      </c>
      <c r="L308" s="234">
        <f>VLOOKUP(C308,'Talente &amp; Stuff'!AF:BG,10,FALSE)</f>
        <v>0</v>
      </c>
      <c r="M308" s="224">
        <f>VLOOKUP(C308,'Talente &amp; Stuff'!AF:BG,11,FALSE)</f>
        <v>0</v>
      </c>
      <c r="N308" s="223">
        <f>VLOOKUP(C308,'Talente &amp; Stuff'!AF:BG,12,FALSE)</f>
        <v>0</v>
      </c>
      <c r="O308" s="223">
        <f>VLOOKUP(C308,'Talente &amp; Stuff'!AF:BG,13,FALSE)</f>
        <v>0</v>
      </c>
      <c r="P308" s="224">
        <f>VLOOKUP(C308,'Talente &amp; Stuff'!AF:BG,14,FALSE)</f>
        <v>0</v>
      </c>
      <c r="Q308" s="237">
        <f>VLOOKUP(C308,'Talente &amp; Stuff'!AF:BG,15,FALSE)</f>
        <v>0</v>
      </c>
      <c r="R308" s="234">
        <f>VLOOKUP(C308,'Talente &amp; Stuff'!AF:BG,16,FALSE)</f>
        <v>0</v>
      </c>
      <c r="S308" s="224">
        <f>VLOOKUP(C308,'Talente &amp; Stuff'!AF:BG,17,FALSE)</f>
        <v>0</v>
      </c>
      <c r="T308" s="224">
        <f>VLOOKUP(C308,'Talente &amp; Stuff'!AF:BG,18,FALSE)</f>
        <v>0</v>
      </c>
      <c r="U308" s="222">
        <f>VLOOKUP(C308,'Talente &amp; Stuff'!AF:BG,19,FALSE)</f>
        <v>0</v>
      </c>
      <c r="V308" s="223">
        <f>VLOOKUP(C308,'Talente &amp; Stuff'!AF:BG,20,FALSE)</f>
        <v>0</v>
      </c>
      <c r="W308" s="243">
        <f>VLOOKUP(C308,'Talente &amp; Stuff'!AF:BG,21,FALSE)</f>
        <v>0</v>
      </c>
      <c r="X308" s="243">
        <f>VLOOKUP(C308,'Talente &amp; Stuff'!AF:BG,22,FALSE)</f>
        <v>0</v>
      </c>
      <c r="Y308" s="252">
        <f>VLOOKUP(C308,Ausgewählte_Zauber_Zauberbarden,52,FALSE)</f>
        <v>0</v>
      </c>
      <c r="Z308" s="309">
        <f>VLOOKUP(C308,Ausgewählte_Zauber_Zauberbarden,53,FALSE)</f>
        <v>0</v>
      </c>
      <c r="AA308" s="218">
        <f>VLOOKUP(C308,'Talente &amp; Stuff'!AF:BG,25,FALSE)</f>
        <v>0</v>
      </c>
      <c r="AB308" s="242">
        <f>VLOOKUP(C308,'Talente &amp; Stuff'!AF:BG,26,FALSE)</f>
        <v>0</v>
      </c>
      <c r="AC308" s="243">
        <f>VLOOKUP(C308,'Talente &amp; Stuff'!AF:BG,27,FALSE)</f>
        <v>0</v>
      </c>
      <c r="AD308" s="218">
        <f>VLOOKUP(C308,'Talente &amp; Stuff'!AF:BG,28,FALSE)</f>
        <v>0</v>
      </c>
      <c r="AE308" s="343"/>
    </row>
    <row r="309" spans="1:31" s="217" customFormat="1" hidden="1" outlineLevel="2">
      <c r="A309" s="185"/>
      <c r="B309" s="217">
        <v>12</v>
      </c>
      <c r="C309" s="303" t="str">
        <f>Attribute!C309</f>
        <v>---</v>
      </c>
      <c r="D309" s="218" t="str">
        <f>VLOOKUP(C309,'Talente &amp; Stuff'!AF:BG,2,FALSE)</f>
        <v>--/--/--</v>
      </c>
      <c r="E309" s="243" t="str">
        <f>VLOOKUP(C309,'Talente &amp; Stuff'!AF:BG,3,FALSE)</f>
        <v>-</v>
      </c>
      <c r="F309" s="237">
        <f>VLOOKUP(C309,'Talente &amp; Stuff'!AF:BG,4,FALSE)</f>
        <v>0</v>
      </c>
      <c r="G309" s="234">
        <f>VLOOKUP(C309,'Talente &amp; Stuff'!AF:BG,5,FALSE)</f>
        <v>0</v>
      </c>
      <c r="H309" s="234">
        <f>VLOOKUP(C309,'Talente &amp; Stuff'!AF:BG,6,FALSE)</f>
        <v>0</v>
      </c>
      <c r="I309" s="234">
        <f>VLOOKUP(C309,'Talente &amp; Stuff'!AF:BG,7,FALSE)</f>
        <v>0</v>
      </c>
      <c r="J309" s="234">
        <f>VLOOKUP(C309,'Talente &amp; Stuff'!AF:BG,8,FALSE)</f>
        <v>0</v>
      </c>
      <c r="K309" s="234">
        <f>VLOOKUP(C309,'Talente &amp; Stuff'!AF:BG,9,FALSE)</f>
        <v>0</v>
      </c>
      <c r="L309" s="234">
        <f>VLOOKUP(C309,'Talente &amp; Stuff'!AF:BG,10,FALSE)</f>
        <v>0</v>
      </c>
      <c r="M309" s="224">
        <f>VLOOKUP(C309,'Talente &amp; Stuff'!AF:BG,11,FALSE)</f>
        <v>0</v>
      </c>
      <c r="N309" s="223">
        <f>VLOOKUP(C309,'Talente &amp; Stuff'!AF:BG,12,FALSE)</f>
        <v>0</v>
      </c>
      <c r="O309" s="223">
        <f>VLOOKUP(C309,'Talente &amp; Stuff'!AF:BG,13,FALSE)</f>
        <v>0</v>
      </c>
      <c r="P309" s="224">
        <f>VLOOKUP(C309,'Talente &amp; Stuff'!AF:BG,14,FALSE)</f>
        <v>0</v>
      </c>
      <c r="Q309" s="237">
        <f>VLOOKUP(C309,'Talente &amp; Stuff'!AF:BG,15,FALSE)</f>
        <v>0</v>
      </c>
      <c r="R309" s="234">
        <f>VLOOKUP(C309,'Talente &amp; Stuff'!AF:BG,16,FALSE)</f>
        <v>0</v>
      </c>
      <c r="S309" s="224">
        <f>VLOOKUP(C309,'Talente &amp; Stuff'!AF:BG,17,FALSE)</f>
        <v>0</v>
      </c>
      <c r="T309" s="224">
        <f>VLOOKUP(C309,'Talente &amp; Stuff'!AF:BG,18,FALSE)</f>
        <v>0</v>
      </c>
      <c r="U309" s="222">
        <f>VLOOKUP(C309,'Talente &amp; Stuff'!AF:BG,19,FALSE)</f>
        <v>0</v>
      </c>
      <c r="V309" s="223">
        <f>VLOOKUP(C309,'Talente &amp; Stuff'!AF:BG,20,FALSE)</f>
        <v>0</v>
      </c>
      <c r="W309" s="243">
        <f>VLOOKUP(C309,'Talente &amp; Stuff'!AF:BG,21,FALSE)</f>
        <v>0</v>
      </c>
      <c r="X309" s="243">
        <f>VLOOKUP(C309,'Talente &amp; Stuff'!AF:BG,22,FALSE)</f>
        <v>0</v>
      </c>
      <c r="Y309" s="252">
        <f>VLOOKUP(C309,Ausgewählte_Zauber_Zauberbarden,52,FALSE)</f>
        <v>0</v>
      </c>
      <c r="Z309" s="309">
        <f>VLOOKUP(C309,Ausgewählte_Zauber_Zauberbarden,53,FALSE)</f>
        <v>0</v>
      </c>
      <c r="AA309" s="218">
        <f>VLOOKUP(C309,'Talente &amp; Stuff'!AF:BG,25,FALSE)</f>
        <v>0</v>
      </c>
      <c r="AB309" s="242">
        <f>VLOOKUP(C309,'Talente &amp; Stuff'!AF:BG,26,FALSE)</f>
        <v>0</v>
      </c>
      <c r="AC309" s="243">
        <f>VLOOKUP(C309,'Talente &amp; Stuff'!AF:BG,27,FALSE)</f>
        <v>0</v>
      </c>
      <c r="AD309" s="218">
        <f>VLOOKUP(C309,'Talente &amp; Stuff'!AF:BG,28,FALSE)</f>
        <v>0</v>
      </c>
      <c r="AE309" s="343"/>
    </row>
    <row r="310" spans="1:31" s="217" customFormat="1" hidden="1" outlineLevel="2">
      <c r="A310" s="185"/>
      <c r="B310" s="217">
        <v>13</v>
      </c>
      <c r="C310" s="303" t="str">
        <f>Attribute!C310</f>
        <v>---</v>
      </c>
      <c r="D310" s="218" t="str">
        <f>VLOOKUP(C310,'Talente &amp; Stuff'!AF:BG,2,FALSE)</f>
        <v>--/--/--</v>
      </c>
      <c r="E310" s="243" t="str">
        <f>VLOOKUP(C310,'Talente &amp; Stuff'!AF:BG,3,FALSE)</f>
        <v>-</v>
      </c>
      <c r="F310" s="237">
        <f>VLOOKUP(C310,'Talente &amp; Stuff'!AF:BG,4,FALSE)</f>
        <v>0</v>
      </c>
      <c r="G310" s="234">
        <f>VLOOKUP(C310,'Talente &amp; Stuff'!AF:BG,5,FALSE)</f>
        <v>0</v>
      </c>
      <c r="H310" s="234">
        <f>VLOOKUP(C310,'Talente &amp; Stuff'!AF:BG,6,FALSE)</f>
        <v>0</v>
      </c>
      <c r="I310" s="234">
        <f>VLOOKUP(C310,'Talente &amp; Stuff'!AF:BG,7,FALSE)</f>
        <v>0</v>
      </c>
      <c r="J310" s="234">
        <f>VLOOKUP(C310,'Talente &amp; Stuff'!AF:BG,8,FALSE)</f>
        <v>0</v>
      </c>
      <c r="K310" s="234">
        <f>VLOOKUP(C310,'Talente &amp; Stuff'!AF:BG,9,FALSE)</f>
        <v>0</v>
      </c>
      <c r="L310" s="234">
        <f>VLOOKUP(C310,'Talente &amp; Stuff'!AF:BG,10,FALSE)</f>
        <v>0</v>
      </c>
      <c r="M310" s="224">
        <f>VLOOKUP(C310,'Talente &amp; Stuff'!AF:BG,11,FALSE)</f>
        <v>0</v>
      </c>
      <c r="N310" s="223">
        <f>VLOOKUP(C310,'Talente &amp; Stuff'!AF:BG,12,FALSE)</f>
        <v>0</v>
      </c>
      <c r="O310" s="223">
        <f>VLOOKUP(C310,'Talente &amp; Stuff'!AF:BG,13,FALSE)</f>
        <v>0</v>
      </c>
      <c r="P310" s="224">
        <f>VLOOKUP(C310,'Talente &amp; Stuff'!AF:BG,14,FALSE)</f>
        <v>0</v>
      </c>
      <c r="Q310" s="237">
        <f>VLOOKUP(C310,'Talente &amp; Stuff'!AF:BG,15,FALSE)</f>
        <v>0</v>
      </c>
      <c r="R310" s="234">
        <f>VLOOKUP(C310,'Talente &amp; Stuff'!AF:BG,16,FALSE)</f>
        <v>0</v>
      </c>
      <c r="S310" s="224">
        <f>VLOOKUP(C310,'Talente &amp; Stuff'!AF:BG,17,FALSE)</f>
        <v>0</v>
      </c>
      <c r="T310" s="224">
        <f>VLOOKUP(C310,'Talente &amp; Stuff'!AF:BG,18,FALSE)</f>
        <v>0</v>
      </c>
      <c r="U310" s="222">
        <f>VLOOKUP(C310,'Talente &amp; Stuff'!AF:BG,19,FALSE)</f>
        <v>0</v>
      </c>
      <c r="V310" s="223">
        <f>VLOOKUP(C310,'Talente &amp; Stuff'!AF:BG,20,FALSE)</f>
        <v>0</v>
      </c>
      <c r="W310" s="243">
        <f>VLOOKUP(C310,'Talente &amp; Stuff'!AF:BG,21,FALSE)</f>
        <v>0</v>
      </c>
      <c r="X310" s="243">
        <f>VLOOKUP(C310,'Talente &amp; Stuff'!AF:BG,22,FALSE)</f>
        <v>0</v>
      </c>
      <c r="Y310" s="252">
        <f>VLOOKUP(C310,Ausgewählte_Zauber_Zauberbarden,52,FALSE)</f>
        <v>0</v>
      </c>
      <c r="Z310" s="309">
        <f>VLOOKUP(C310,Ausgewählte_Zauber_Zauberbarden,53,FALSE)</f>
        <v>0</v>
      </c>
      <c r="AA310" s="218">
        <f>VLOOKUP(C310,'Talente &amp; Stuff'!AF:BG,25,FALSE)</f>
        <v>0</v>
      </c>
      <c r="AB310" s="242">
        <f>VLOOKUP(C310,'Talente &amp; Stuff'!AF:BG,26,FALSE)</f>
        <v>0</v>
      </c>
      <c r="AC310" s="243">
        <f>VLOOKUP(C310,'Talente &amp; Stuff'!AF:BG,27,FALSE)</f>
        <v>0</v>
      </c>
      <c r="AD310" s="218">
        <f>VLOOKUP(C310,'Talente &amp; Stuff'!AF:BG,28,FALSE)</f>
        <v>0</v>
      </c>
      <c r="AE310" s="343"/>
    </row>
    <row r="311" spans="1:31" s="217" customFormat="1" hidden="1" outlineLevel="2">
      <c r="A311" s="185"/>
      <c r="B311" s="217">
        <v>14</v>
      </c>
      <c r="C311" s="303" t="str">
        <f>Attribute!C311</f>
        <v>---</v>
      </c>
      <c r="D311" s="218" t="str">
        <f>VLOOKUP(C311,'Talente &amp; Stuff'!AF:BG,2,FALSE)</f>
        <v>--/--/--</v>
      </c>
      <c r="E311" s="243" t="str">
        <f>VLOOKUP(C311,'Talente &amp; Stuff'!AF:BG,3,FALSE)</f>
        <v>-</v>
      </c>
      <c r="F311" s="237">
        <f>VLOOKUP(C311,'Talente &amp; Stuff'!AF:BG,4,FALSE)</f>
        <v>0</v>
      </c>
      <c r="G311" s="234">
        <f>VLOOKUP(C311,'Talente &amp; Stuff'!AF:BG,5,FALSE)</f>
        <v>0</v>
      </c>
      <c r="H311" s="234">
        <f>VLOOKUP(C311,'Talente &amp; Stuff'!AF:BG,6,FALSE)</f>
        <v>0</v>
      </c>
      <c r="I311" s="234">
        <f>VLOOKUP(C311,'Talente &amp; Stuff'!AF:BG,7,FALSE)</f>
        <v>0</v>
      </c>
      <c r="J311" s="234">
        <f>VLOOKUP(C311,'Talente &amp; Stuff'!AF:BG,8,FALSE)</f>
        <v>0</v>
      </c>
      <c r="K311" s="234">
        <f>VLOOKUP(C311,'Talente &amp; Stuff'!AF:BG,9,FALSE)</f>
        <v>0</v>
      </c>
      <c r="L311" s="234">
        <f>VLOOKUP(C311,'Talente &amp; Stuff'!AF:BG,10,FALSE)</f>
        <v>0</v>
      </c>
      <c r="M311" s="224">
        <f>VLOOKUP(C311,'Talente &amp; Stuff'!AF:BG,11,FALSE)</f>
        <v>0</v>
      </c>
      <c r="N311" s="223">
        <f>VLOOKUP(C311,'Talente &amp; Stuff'!AF:BG,12,FALSE)</f>
        <v>0</v>
      </c>
      <c r="O311" s="223">
        <f>VLOOKUP(C311,'Talente &amp; Stuff'!AF:BG,13,FALSE)</f>
        <v>0</v>
      </c>
      <c r="P311" s="224">
        <f>VLOOKUP(C311,'Talente &amp; Stuff'!AF:BG,14,FALSE)</f>
        <v>0</v>
      </c>
      <c r="Q311" s="237">
        <f>VLOOKUP(C311,'Talente &amp; Stuff'!AF:BG,15,FALSE)</f>
        <v>0</v>
      </c>
      <c r="R311" s="234">
        <f>VLOOKUP(C311,'Talente &amp; Stuff'!AF:BG,16,FALSE)</f>
        <v>0</v>
      </c>
      <c r="S311" s="224">
        <f>VLOOKUP(C311,'Talente &amp; Stuff'!AF:BG,17,FALSE)</f>
        <v>0</v>
      </c>
      <c r="T311" s="224">
        <f>VLOOKUP(C311,'Talente &amp; Stuff'!AF:BG,18,FALSE)</f>
        <v>0</v>
      </c>
      <c r="U311" s="222">
        <f>VLOOKUP(C311,'Talente &amp; Stuff'!AF:BG,19,FALSE)</f>
        <v>0</v>
      </c>
      <c r="V311" s="223">
        <f>VLOOKUP(C311,'Talente &amp; Stuff'!AF:BG,20,FALSE)</f>
        <v>0</v>
      </c>
      <c r="W311" s="243">
        <f>VLOOKUP(C311,'Talente &amp; Stuff'!AF:BG,21,FALSE)</f>
        <v>0</v>
      </c>
      <c r="X311" s="243">
        <f>VLOOKUP(C311,'Talente &amp; Stuff'!AF:BG,22,FALSE)</f>
        <v>0</v>
      </c>
      <c r="Y311" s="252">
        <f>VLOOKUP(C311,Ausgewählte_Zauber_Zauberbarden,52,FALSE)</f>
        <v>0</v>
      </c>
      <c r="Z311" s="309">
        <f>VLOOKUP(C311,Ausgewählte_Zauber_Zauberbarden,53,FALSE)</f>
        <v>0</v>
      </c>
      <c r="AA311" s="218">
        <f>VLOOKUP(C311,'Talente &amp; Stuff'!AF:BG,25,FALSE)</f>
        <v>0</v>
      </c>
      <c r="AB311" s="242">
        <f>VLOOKUP(C311,'Talente &amp; Stuff'!AF:BG,26,FALSE)</f>
        <v>0</v>
      </c>
      <c r="AC311" s="243">
        <f>VLOOKUP(C311,'Talente &amp; Stuff'!AF:BG,27,FALSE)</f>
        <v>0</v>
      </c>
      <c r="AD311" s="218">
        <f>VLOOKUP(C311,'Talente &amp; Stuff'!AF:BG,28,FALSE)</f>
        <v>0</v>
      </c>
      <c r="AE311" s="343"/>
    </row>
    <row r="312" spans="1:31" s="217" customFormat="1" hidden="1" outlineLevel="2">
      <c r="A312" s="185"/>
      <c r="B312" s="217">
        <v>15</v>
      </c>
      <c r="C312" s="303" t="str">
        <f>Attribute!C312</f>
        <v>---</v>
      </c>
      <c r="D312" s="218" t="str">
        <f>VLOOKUP(C312,'Talente &amp; Stuff'!AF:BG,2,FALSE)</f>
        <v>--/--/--</v>
      </c>
      <c r="E312" s="243" t="str">
        <f>VLOOKUP(C312,'Talente &amp; Stuff'!AF:BG,3,FALSE)</f>
        <v>-</v>
      </c>
      <c r="F312" s="237">
        <f>VLOOKUP(C312,'Talente &amp; Stuff'!AF:BG,4,FALSE)</f>
        <v>0</v>
      </c>
      <c r="G312" s="234">
        <f>VLOOKUP(C312,'Talente &amp; Stuff'!AF:BG,5,FALSE)</f>
        <v>0</v>
      </c>
      <c r="H312" s="234">
        <f>VLOOKUP(C312,'Talente &amp; Stuff'!AF:BG,6,FALSE)</f>
        <v>0</v>
      </c>
      <c r="I312" s="234">
        <f>VLOOKUP(C312,'Talente &amp; Stuff'!AF:BG,7,FALSE)</f>
        <v>0</v>
      </c>
      <c r="J312" s="234">
        <f>VLOOKUP(C312,'Talente &amp; Stuff'!AF:BG,8,FALSE)</f>
        <v>0</v>
      </c>
      <c r="K312" s="234">
        <f>VLOOKUP(C312,'Talente &amp; Stuff'!AF:BG,9,FALSE)</f>
        <v>0</v>
      </c>
      <c r="L312" s="234">
        <f>VLOOKUP(C312,'Talente &amp; Stuff'!AF:BG,10,FALSE)</f>
        <v>0</v>
      </c>
      <c r="M312" s="224">
        <f>VLOOKUP(C312,'Talente &amp; Stuff'!AF:BG,11,FALSE)</f>
        <v>0</v>
      </c>
      <c r="N312" s="223">
        <f>VLOOKUP(C312,'Talente &amp; Stuff'!AF:BG,12,FALSE)</f>
        <v>0</v>
      </c>
      <c r="O312" s="223">
        <f>VLOOKUP(C312,'Talente &amp; Stuff'!AF:BG,13,FALSE)</f>
        <v>0</v>
      </c>
      <c r="P312" s="224">
        <f>VLOOKUP(C312,'Talente &amp; Stuff'!AF:BG,14,FALSE)</f>
        <v>0</v>
      </c>
      <c r="Q312" s="237">
        <f>VLOOKUP(C312,'Talente &amp; Stuff'!AF:BG,15,FALSE)</f>
        <v>0</v>
      </c>
      <c r="R312" s="234">
        <f>VLOOKUP(C312,'Talente &amp; Stuff'!AF:BG,16,FALSE)</f>
        <v>0</v>
      </c>
      <c r="S312" s="224">
        <f>VLOOKUP(C312,'Talente &amp; Stuff'!AF:BG,17,FALSE)</f>
        <v>0</v>
      </c>
      <c r="T312" s="224">
        <f>VLOOKUP(C312,'Talente &amp; Stuff'!AF:BG,18,FALSE)</f>
        <v>0</v>
      </c>
      <c r="U312" s="222">
        <f>VLOOKUP(C312,'Talente &amp; Stuff'!AF:BG,19,FALSE)</f>
        <v>0</v>
      </c>
      <c r="V312" s="223">
        <f>VLOOKUP(C312,'Talente &amp; Stuff'!AF:BG,20,FALSE)</f>
        <v>0</v>
      </c>
      <c r="W312" s="243">
        <f>VLOOKUP(C312,'Talente &amp; Stuff'!AF:BG,21,FALSE)</f>
        <v>0</v>
      </c>
      <c r="X312" s="243">
        <f>VLOOKUP(C312,'Talente &amp; Stuff'!AF:BG,22,FALSE)</f>
        <v>0</v>
      </c>
      <c r="Y312" s="252">
        <f>VLOOKUP(C312,Ausgewählte_Zauber_Zauberbarden,52,FALSE)</f>
        <v>0</v>
      </c>
      <c r="Z312" s="309">
        <f>VLOOKUP(C312,Ausgewählte_Zauber_Zauberbarden,53,FALSE)</f>
        <v>0</v>
      </c>
      <c r="AA312" s="218">
        <f>VLOOKUP(C312,'Talente &amp; Stuff'!AF:BG,25,FALSE)</f>
        <v>0</v>
      </c>
      <c r="AB312" s="242">
        <f>VLOOKUP(C312,'Talente &amp; Stuff'!AF:BG,26,FALSE)</f>
        <v>0</v>
      </c>
      <c r="AC312" s="243">
        <f>VLOOKUP(C312,'Talente &amp; Stuff'!AF:BG,27,FALSE)</f>
        <v>0</v>
      </c>
      <c r="AD312" s="218">
        <f>VLOOKUP(C312,'Talente &amp; Stuff'!AF:BG,28,FALSE)</f>
        <v>0</v>
      </c>
      <c r="AE312" s="343"/>
    </row>
    <row r="313" spans="1:31" s="217" customFormat="1" hidden="1" outlineLevel="2">
      <c r="A313" s="185"/>
      <c r="B313" s="217">
        <v>16</v>
      </c>
      <c r="C313" s="303" t="str">
        <f>Attribute!C313</f>
        <v>---</v>
      </c>
      <c r="D313" s="304" t="str">
        <f>VLOOKUP(C313,'Talente &amp; Stuff'!AF:BG,2,FALSE)</f>
        <v>--/--/--</v>
      </c>
      <c r="E313" s="305" t="str">
        <f>VLOOKUP(C313,'Talente &amp; Stuff'!AF:BG,3,FALSE)</f>
        <v>-</v>
      </c>
      <c r="F313" s="317">
        <f>VLOOKUP(C313,'Talente &amp; Stuff'!AF:BG,4,FALSE)</f>
        <v>0</v>
      </c>
      <c r="G313" s="254">
        <f>VLOOKUP(C313,'Talente &amp; Stuff'!AF:BG,5,FALSE)</f>
        <v>0</v>
      </c>
      <c r="H313" s="254">
        <f>VLOOKUP(C313,'Talente &amp; Stuff'!AF:BG,6,FALSE)</f>
        <v>0</v>
      </c>
      <c r="I313" s="254">
        <f>VLOOKUP(C313,'Talente &amp; Stuff'!AF:BG,7,FALSE)</f>
        <v>0</v>
      </c>
      <c r="J313" s="254">
        <f>VLOOKUP(C313,'Talente &amp; Stuff'!AF:BG,8,FALSE)</f>
        <v>0</v>
      </c>
      <c r="K313" s="254">
        <f>VLOOKUP(C313,'Talente &amp; Stuff'!AF:BG,9,FALSE)</f>
        <v>0</v>
      </c>
      <c r="L313" s="254">
        <f>VLOOKUP(C313,'Talente &amp; Stuff'!AF:BG,10,FALSE)</f>
        <v>0</v>
      </c>
      <c r="M313" s="318">
        <f>VLOOKUP(C313,'Talente &amp; Stuff'!AF:BG,11,FALSE)</f>
        <v>0</v>
      </c>
      <c r="N313" s="223">
        <f>VLOOKUP(C313,'Talente &amp; Stuff'!AF:BG,12,FALSE)</f>
        <v>0</v>
      </c>
      <c r="O313" s="223">
        <f>VLOOKUP(C313,'Talente &amp; Stuff'!AF:BG,13,FALSE)</f>
        <v>0</v>
      </c>
      <c r="P313" s="224">
        <f>VLOOKUP(C313,'Talente &amp; Stuff'!AF:BG,14,FALSE)</f>
        <v>0</v>
      </c>
      <c r="Q313" s="237">
        <f>VLOOKUP(C313,'Talente &amp; Stuff'!AF:BG,15,FALSE)</f>
        <v>0</v>
      </c>
      <c r="R313" s="254">
        <f>VLOOKUP(C313,'Talente &amp; Stuff'!AF:BG,16,FALSE)</f>
        <v>0</v>
      </c>
      <c r="S313" s="224">
        <f>VLOOKUP(C313,'Talente &amp; Stuff'!AF:BG,17,FALSE)</f>
        <v>0</v>
      </c>
      <c r="T313" s="224">
        <f>VLOOKUP(C313,'Talente &amp; Stuff'!AF:BG,18,FALSE)</f>
        <v>0</v>
      </c>
      <c r="U313" s="222">
        <f>VLOOKUP(C313,'Talente &amp; Stuff'!AF:BG,19,FALSE)</f>
        <v>0</v>
      </c>
      <c r="V313" s="223">
        <f>VLOOKUP(C313,'Talente &amp; Stuff'!AF:BG,20,FALSE)</f>
        <v>0</v>
      </c>
      <c r="W313" s="243">
        <f>VLOOKUP(C313,'Talente &amp; Stuff'!AF:BG,21,FALSE)</f>
        <v>0</v>
      </c>
      <c r="X313" s="243">
        <f>VLOOKUP(C313,'Talente &amp; Stuff'!AF:BG,22,FALSE)</f>
        <v>0</v>
      </c>
      <c r="Y313" s="252">
        <f>VLOOKUP(C313,Ausgewählte_Zauber_Zauberbarden,52,FALSE)</f>
        <v>0</v>
      </c>
      <c r="Z313" s="309">
        <f>VLOOKUP(C313,Ausgewählte_Zauber_Zauberbarden,53,FALSE)</f>
        <v>0</v>
      </c>
      <c r="AA313" s="218">
        <f>VLOOKUP(C313,'Talente &amp; Stuff'!AF:BG,25,FALSE)</f>
        <v>0</v>
      </c>
      <c r="AB313" s="242">
        <f>VLOOKUP(C313,'Talente &amp; Stuff'!AF:BG,26,FALSE)</f>
        <v>0</v>
      </c>
      <c r="AC313" s="243">
        <f>VLOOKUP(C313,'Talente &amp; Stuff'!AF:BG,27,FALSE)</f>
        <v>0</v>
      </c>
      <c r="AD313" s="218">
        <f>VLOOKUP(C313,'Talente &amp; Stuff'!AF:BG,28,FALSE)</f>
        <v>0</v>
      </c>
      <c r="AE313" s="343"/>
    </row>
    <row r="314" spans="1:31" s="217" customFormat="1" hidden="1" outlineLevel="2">
      <c r="A314" s="185"/>
      <c r="B314" s="217">
        <v>17</v>
      </c>
      <c r="C314" s="303" t="str">
        <f>Attribute!C314</f>
        <v>---</v>
      </c>
      <c r="D314" s="218" t="str">
        <f>VLOOKUP(C314,'Talente &amp; Stuff'!AF:BG,2,FALSE)</f>
        <v>--/--/--</v>
      </c>
      <c r="E314" s="243" t="str">
        <f>VLOOKUP(C314,'Talente &amp; Stuff'!AF:BG,3,FALSE)</f>
        <v>-</v>
      </c>
      <c r="F314" s="237">
        <f>VLOOKUP(C314,'Talente &amp; Stuff'!AF:BG,4,FALSE)</f>
        <v>0</v>
      </c>
      <c r="G314" s="234">
        <f>VLOOKUP(C314,'Talente &amp; Stuff'!AF:BG,5,FALSE)</f>
        <v>0</v>
      </c>
      <c r="H314" s="234">
        <f>VLOOKUP(C314,'Talente &amp; Stuff'!AF:BG,6,FALSE)</f>
        <v>0</v>
      </c>
      <c r="I314" s="234">
        <f>VLOOKUP(C314,'Talente &amp; Stuff'!AF:BG,7,FALSE)</f>
        <v>0</v>
      </c>
      <c r="J314" s="234">
        <f>VLOOKUP(C314,'Talente &amp; Stuff'!AF:BG,8,FALSE)</f>
        <v>0</v>
      </c>
      <c r="K314" s="234">
        <f>VLOOKUP(C314,'Talente &amp; Stuff'!AF:BG,9,FALSE)</f>
        <v>0</v>
      </c>
      <c r="L314" s="234">
        <f>VLOOKUP(C314,'Talente &amp; Stuff'!AF:BG,10,FALSE)</f>
        <v>0</v>
      </c>
      <c r="M314" s="224">
        <f>VLOOKUP(C314,'Talente &amp; Stuff'!AF:BG,11,FALSE)</f>
        <v>0</v>
      </c>
      <c r="N314" s="223">
        <f>VLOOKUP(C314,'Talente &amp; Stuff'!AF:BG,12,FALSE)</f>
        <v>0</v>
      </c>
      <c r="O314" s="223">
        <f>VLOOKUP(C314,'Talente &amp; Stuff'!AF:BG,13,FALSE)</f>
        <v>0</v>
      </c>
      <c r="P314" s="224">
        <f>VLOOKUP(C314,'Talente &amp; Stuff'!AF:BG,14,FALSE)</f>
        <v>0</v>
      </c>
      <c r="Q314" s="237">
        <f>VLOOKUP(C314,'Talente &amp; Stuff'!AF:BG,15,FALSE)</f>
        <v>0</v>
      </c>
      <c r="R314" s="234">
        <f>VLOOKUP(C314,'Talente &amp; Stuff'!AF:BG,16,FALSE)</f>
        <v>0</v>
      </c>
      <c r="S314" s="224">
        <f>VLOOKUP(C314,'Talente &amp; Stuff'!AF:BG,17,FALSE)</f>
        <v>0</v>
      </c>
      <c r="T314" s="224">
        <f>VLOOKUP(C314,'Talente &amp; Stuff'!AF:BG,18,FALSE)</f>
        <v>0</v>
      </c>
      <c r="U314" s="222">
        <f>VLOOKUP(C314,'Talente &amp; Stuff'!AF:BG,19,FALSE)</f>
        <v>0</v>
      </c>
      <c r="V314" s="223">
        <f>VLOOKUP(C314,'Talente &amp; Stuff'!AF:BG,20,FALSE)</f>
        <v>0</v>
      </c>
      <c r="W314" s="243">
        <f>VLOOKUP(C314,'Talente &amp; Stuff'!AF:BG,21,FALSE)</f>
        <v>0</v>
      </c>
      <c r="X314" s="243">
        <f>VLOOKUP(C314,'Talente &amp; Stuff'!AF:BG,22,FALSE)</f>
        <v>0</v>
      </c>
      <c r="Y314" s="252">
        <f>VLOOKUP(C314,Ausgewählte_Zauber_Zauberbarden,52,FALSE)</f>
        <v>0</v>
      </c>
      <c r="Z314" s="309">
        <f>VLOOKUP(C314,Ausgewählte_Zauber_Zauberbarden,53,FALSE)</f>
        <v>0</v>
      </c>
      <c r="AA314" s="218">
        <f>VLOOKUP(C314,'Talente &amp; Stuff'!AF:BG,25,FALSE)</f>
        <v>0</v>
      </c>
      <c r="AB314" s="242">
        <f>VLOOKUP(C314,'Talente &amp; Stuff'!AF:BG,26,FALSE)</f>
        <v>0</v>
      </c>
      <c r="AC314" s="243">
        <f>VLOOKUP(C314,'Talente &amp; Stuff'!AF:BG,27,FALSE)</f>
        <v>0</v>
      </c>
      <c r="AD314" s="218">
        <f>VLOOKUP(C314,'Talente &amp; Stuff'!AF:BG,28,FALSE)</f>
        <v>0</v>
      </c>
      <c r="AE314" s="343"/>
    </row>
    <row r="315" spans="1:31" s="217" customFormat="1" hidden="1" outlineLevel="2">
      <c r="A315" s="185"/>
      <c r="B315" s="217">
        <v>18</v>
      </c>
      <c r="C315" s="303" t="str">
        <f>Attribute!C315</f>
        <v>---</v>
      </c>
      <c r="D315" s="218" t="str">
        <f>VLOOKUP(C315,'Talente &amp; Stuff'!AF:BG,2,FALSE)</f>
        <v>--/--/--</v>
      </c>
      <c r="E315" s="243" t="str">
        <f>VLOOKUP(C315,'Talente &amp; Stuff'!AF:BG,3,FALSE)</f>
        <v>-</v>
      </c>
      <c r="F315" s="237">
        <f>VLOOKUP(C315,'Talente &amp; Stuff'!AF:BG,4,FALSE)</f>
        <v>0</v>
      </c>
      <c r="G315" s="234">
        <f>VLOOKUP(C315,'Talente &amp; Stuff'!AF:BG,5,FALSE)</f>
        <v>0</v>
      </c>
      <c r="H315" s="234">
        <f>VLOOKUP(C315,'Talente &amp; Stuff'!AF:BG,6,FALSE)</f>
        <v>0</v>
      </c>
      <c r="I315" s="234">
        <f>VLOOKUP(C315,'Talente &amp; Stuff'!AF:BG,7,FALSE)</f>
        <v>0</v>
      </c>
      <c r="J315" s="234">
        <f>VLOOKUP(C315,'Talente &amp; Stuff'!AF:BG,8,FALSE)</f>
        <v>0</v>
      </c>
      <c r="K315" s="234">
        <f>VLOOKUP(C315,'Talente &amp; Stuff'!AF:BG,9,FALSE)</f>
        <v>0</v>
      </c>
      <c r="L315" s="234">
        <f>VLOOKUP(C315,'Talente &amp; Stuff'!AF:BG,10,FALSE)</f>
        <v>0</v>
      </c>
      <c r="M315" s="224">
        <f>VLOOKUP(C315,'Talente &amp; Stuff'!AF:BG,11,FALSE)</f>
        <v>0</v>
      </c>
      <c r="N315" s="223">
        <f>VLOOKUP(C315,'Talente &amp; Stuff'!AF:BG,12,FALSE)</f>
        <v>0</v>
      </c>
      <c r="O315" s="223">
        <f>VLOOKUP(C315,'Talente &amp; Stuff'!AF:BG,13,FALSE)</f>
        <v>0</v>
      </c>
      <c r="P315" s="224">
        <f>VLOOKUP(C315,'Talente &amp; Stuff'!AF:BG,14,FALSE)</f>
        <v>0</v>
      </c>
      <c r="Q315" s="237">
        <f>VLOOKUP(C315,'Talente &amp; Stuff'!AF:BG,15,FALSE)</f>
        <v>0</v>
      </c>
      <c r="R315" s="234">
        <f>VLOOKUP(C315,'Talente &amp; Stuff'!AF:BG,16,FALSE)</f>
        <v>0</v>
      </c>
      <c r="S315" s="224">
        <f>VLOOKUP(C315,'Talente &amp; Stuff'!AF:BG,17,FALSE)</f>
        <v>0</v>
      </c>
      <c r="T315" s="224">
        <f>VLOOKUP(C315,'Talente &amp; Stuff'!AF:BG,18,FALSE)</f>
        <v>0</v>
      </c>
      <c r="U315" s="222">
        <f>VLOOKUP(C315,'Talente &amp; Stuff'!AF:BG,19,FALSE)</f>
        <v>0</v>
      </c>
      <c r="V315" s="223">
        <f>VLOOKUP(C315,'Talente &amp; Stuff'!AF:BG,20,FALSE)</f>
        <v>0</v>
      </c>
      <c r="W315" s="243">
        <f>VLOOKUP(C315,'Talente &amp; Stuff'!AF:BG,21,FALSE)</f>
        <v>0</v>
      </c>
      <c r="X315" s="243">
        <f>VLOOKUP(C315,'Talente &amp; Stuff'!AF:BG,22,FALSE)</f>
        <v>0</v>
      </c>
      <c r="Y315" s="252">
        <f>VLOOKUP(C315,Ausgewählte_Zauber_Zauberbarden,52,FALSE)</f>
        <v>0</v>
      </c>
      <c r="Z315" s="309">
        <f>VLOOKUP(C315,Ausgewählte_Zauber_Zauberbarden,53,FALSE)</f>
        <v>0</v>
      </c>
      <c r="AA315" s="218">
        <f>VLOOKUP(C315,'Talente &amp; Stuff'!AF:BG,25,FALSE)</f>
        <v>0</v>
      </c>
      <c r="AB315" s="242">
        <f>VLOOKUP(C315,'Talente &amp; Stuff'!AF:BG,26,FALSE)</f>
        <v>0</v>
      </c>
      <c r="AC315" s="243">
        <f>VLOOKUP(C315,'Talente &amp; Stuff'!AF:BG,27,FALSE)</f>
        <v>0</v>
      </c>
      <c r="AD315" s="218">
        <f>VLOOKUP(C315,'Talente &amp; Stuff'!AF:BG,28,FALSE)</f>
        <v>0</v>
      </c>
      <c r="AE315" s="343"/>
    </row>
    <row r="316" spans="1:31" s="217" customFormat="1" hidden="1" outlineLevel="2">
      <c r="A316" s="185"/>
      <c r="B316" s="217">
        <v>19</v>
      </c>
      <c r="C316" s="303" t="str">
        <f>Attribute!C316</f>
        <v>---</v>
      </c>
      <c r="D316" s="218" t="str">
        <f>VLOOKUP(C316,'Talente &amp; Stuff'!AF:BG,2,FALSE)</f>
        <v>--/--/--</v>
      </c>
      <c r="E316" s="243" t="str">
        <f>VLOOKUP(C316,'Talente &amp; Stuff'!AF:BG,3,FALSE)</f>
        <v>-</v>
      </c>
      <c r="F316" s="237">
        <f>VLOOKUP(C316,'Talente &amp; Stuff'!AF:BG,4,FALSE)</f>
        <v>0</v>
      </c>
      <c r="G316" s="234">
        <f>VLOOKUP(C316,'Talente &amp; Stuff'!AF:BG,5,FALSE)</f>
        <v>0</v>
      </c>
      <c r="H316" s="234">
        <f>VLOOKUP(C316,'Talente &amp; Stuff'!AF:BG,6,FALSE)</f>
        <v>0</v>
      </c>
      <c r="I316" s="234">
        <f>VLOOKUP(C316,'Talente &amp; Stuff'!AF:BG,7,FALSE)</f>
        <v>0</v>
      </c>
      <c r="J316" s="234">
        <f>VLOOKUP(C316,'Talente &amp; Stuff'!AF:BG,8,FALSE)</f>
        <v>0</v>
      </c>
      <c r="K316" s="234">
        <f>VLOOKUP(C316,'Talente &amp; Stuff'!AF:BG,9,FALSE)</f>
        <v>0</v>
      </c>
      <c r="L316" s="234">
        <f>VLOOKUP(C316,'Talente &amp; Stuff'!AF:BG,10,FALSE)</f>
        <v>0</v>
      </c>
      <c r="M316" s="224">
        <f>VLOOKUP(C316,'Talente &amp; Stuff'!AF:BG,11,FALSE)</f>
        <v>0</v>
      </c>
      <c r="N316" s="223">
        <f>VLOOKUP(C316,'Talente &amp; Stuff'!AF:BG,12,FALSE)</f>
        <v>0</v>
      </c>
      <c r="O316" s="223">
        <f>VLOOKUP(C316,'Talente &amp; Stuff'!AF:BG,13,FALSE)</f>
        <v>0</v>
      </c>
      <c r="P316" s="224">
        <f>VLOOKUP(C316,'Talente &amp; Stuff'!AF:BG,14,FALSE)</f>
        <v>0</v>
      </c>
      <c r="Q316" s="237">
        <f>VLOOKUP(C316,'Talente &amp; Stuff'!AF:BG,15,FALSE)</f>
        <v>0</v>
      </c>
      <c r="R316" s="234">
        <f>VLOOKUP(C316,'Talente &amp; Stuff'!AF:BG,16,FALSE)</f>
        <v>0</v>
      </c>
      <c r="S316" s="224">
        <f>VLOOKUP(C316,'Talente &amp; Stuff'!AF:BG,17,FALSE)</f>
        <v>0</v>
      </c>
      <c r="T316" s="224">
        <f>VLOOKUP(C316,'Talente &amp; Stuff'!AF:BG,18,FALSE)</f>
        <v>0</v>
      </c>
      <c r="U316" s="222">
        <f>VLOOKUP(C316,'Talente &amp; Stuff'!AF:BG,19,FALSE)</f>
        <v>0</v>
      </c>
      <c r="V316" s="223">
        <f>VLOOKUP(C316,'Talente &amp; Stuff'!AF:BG,20,FALSE)</f>
        <v>0</v>
      </c>
      <c r="W316" s="243">
        <f>VLOOKUP(C316,'Talente &amp; Stuff'!AF:BG,21,FALSE)</f>
        <v>0</v>
      </c>
      <c r="X316" s="243">
        <f>VLOOKUP(C316,'Talente &amp; Stuff'!AF:BG,22,FALSE)</f>
        <v>0</v>
      </c>
      <c r="Y316" s="252">
        <f>VLOOKUP(C316,Ausgewählte_Zauber_Zauberbarden,52,FALSE)</f>
        <v>0</v>
      </c>
      <c r="Z316" s="309">
        <f>VLOOKUP(C316,Ausgewählte_Zauber_Zauberbarden,53,FALSE)</f>
        <v>0</v>
      </c>
      <c r="AA316" s="218">
        <f>VLOOKUP(C316,'Talente &amp; Stuff'!AF:BG,25,FALSE)</f>
        <v>0</v>
      </c>
      <c r="AB316" s="242">
        <f>VLOOKUP(C316,'Talente &amp; Stuff'!AF:BG,26,FALSE)</f>
        <v>0</v>
      </c>
      <c r="AC316" s="243">
        <f>VLOOKUP(C316,'Talente &amp; Stuff'!AF:BG,27,FALSE)</f>
        <v>0</v>
      </c>
      <c r="AD316" s="218">
        <f>VLOOKUP(C316,'Talente &amp; Stuff'!AF:BG,28,FALSE)</f>
        <v>0</v>
      </c>
      <c r="AE316" s="343"/>
    </row>
    <row r="317" spans="1:31" s="217" customFormat="1" hidden="1" outlineLevel="2">
      <c r="A317" s="185"/>
      <c r="B317" s="217">
        <v>20</v>
      </c>
      <c r="C317" s="303" t="str">
        <f>Attribute!C317</f>
        <v>---</v>
      </c>
      <c r="D317" s="218" t="str">
        <f>VLOOKUP(C317,'Talente &amp; Stuff'!AF:BG,2,FALSE)</f>
        <v>--/--/--</v>
      </c>
      <c r="E317" s="243" t="str">
        <f>VLOOKUP(C317,'Talente &amp; Stuff'!AF:BG,3,FALSE)</f>
        <v>-</v>
      </c>
      <c r="F317" s="237">
        <f>VLOOKUP(C317,'Talente &amp; Stuff'!AF:BG,4,FALSE)</f>
        <v>0</v>
      </c>
      <c r="G317" s="234">
        <f>VLOOKUP(C317,'Talente &amp; Stuff'!AF:BG,5,FALSE)</f>
        <v>0</v>
      </c>
      <c r="H317" s="234">
        <f>VLOOKUP(C317,'Talente &amp; Stuff'!AF:BG,6,FALSE)</f>
        <v>0</v>
      </c>
      <c r="I317" s="234">
        <f>VLOOKUP(C317,'Talente &amp; Stuff'!AF:BG,7,FALSE)</f>
        <v>0</v>
      </c>
      <c r="J317" s="234">
        <f>VLOOKUP(C317,'Talente &amp; Stuff'!AF:BG,8,FALSE)</f>
        <v>0</v>
      </c>
      <c r="K317" s="234">
        <f>VLOOKUP(C317,'Talente &amp; Stuff'!AF:BG,9,FALSE)</f>
        <v>0</v>
      </c>
      <c r="L317" s="234">
        <f>VLOOKUP(C317,'Talente &amp; Stuff'!AF:BG,10,FALSE)</f>
        <v>0</v>
      </c>
      <c r="M317" s="224">
        <f>VLOOKUP(C317,'Talente &amp; Stuff'!AF:BG,11,FALSE)</f>
        <v>0</v>
      </c>
      <c r="N317" s="223">
        <f>VLOOKUP(C317,'Talente &amp; Stuff'!AF:BG,12,FALSE)</f>
        <v>0</v>
      </c>
      <c r="O317" s="223">
        <f>VLOOKUP(C317,'Talente &amp; Stuff'!AF:BG,13,FALSE)</f>
        <v>0</v>
      </c>
      <c r="P317" s="224">
        <f>VLOOKUP(C317,'Talente &amp; Stuff'!AF:BG,14,FALSE)</f>
        <v>0</v>
      </c>
      <c r="Q317" s="237">
        <f>VLOOKUP(C317,'Talente &amp; Stuff'!AF:BG,15,FALSE)</f>
        <v>0</v>
      </c>
      <c r="R317" s="234">
        <f>VLOOKUP(C317,'Talente &amp; Stuff'!AF:BG,16,FALSE)</f>
        <v>0</v>
      </c>
      <c r="S317" s="224">
        <f>VLOOKUP(C317,'Talente &amp; Stuff'!AF:BG,17,FALSE)</f>
        <v>0</v>
      </c>
      <c r="T317" s="224">
        <f>VLOOKUP(C317,'Talente &amp; Stuff'!AF:BG,18,FALSE)</f>
        <v>0</v>
      </c>
      <c r="U317" s="222">
        <f>VLOOKUP(C317,'Talente &amp; Stuff'!AF:BG,19,FALSE)</f>
        <v>0</v>
      </c>
      <c r="V317" s="223">
        <f>VLOOKUP(C317,'Talente &amp; Stuff'!AF:BG,20,FALSE)</f>
        <v>0</v>
      </c>
      <c r="W317" s="243">
        <f>VLOOKUP(C317,'Talente &amp; Stuff'!AF:BG,21,FALSE)</f>
        <v>0</v>
      </c>
      <c r="X317" s="243">
        <f>VLOOKUP(C317,'Talente &amp; Stuff'!AF:BG,22,FALSE)</f>
        <v>0</v>
      </c>
      <c r="Y317" s="252">
        <f>VLOOKUP(C317,Ausgewählte_Zauber_Zauberbarden,52,FALSE)</f>
        <v>0</v>
      </c>
      <c r="Z317" s="309">
        <f>VLOOKUP(C317,Ausgewählte_Zauber_Zauberbarden,53,FALSE)</f>
        <v>0</v>
      </c>
      <c r="AA317" s="218">
        <f>VLOOKUP(C317,'Talente &amp; Stuff'!AF:BG,25,FALSE)</f>
        <v>0</v>
      </c>
      <c r="AB317" s="242">
        <f>VLOOKUP(C317,'Talente &amp; Stuff'!AF:BG,26,FALSE)</f>
        <v>0</v>
      </c>
      <c r="AC317" s="243">
        <f>VLOOKUP(C317,'Talente &amp; Stuff'!AF:BG,27,FALSE)</f>
        <v>0</v>
      </c>
      <c r="AD317" s="218">
        <f>VLOOKUP(C317,'Talente &amp; Stuff'!AF:BG,28,FALSE)</f>
        <v>0</v>
      </c>
      <c r="AE317" s="343"/>
    </row>
    <row r="318" spans="1:31" s="217" customFormat="1" hidden="1" outlineLevel="2">
      <c r="A318" s="185"/>
      <c r="B318" s="217">
        <v>21</v>
      </c>
      <c r="C318" s="303" t="str">
        <f>Attribute!C318</f>
        <v>---</v>
      </c>
      <c r="D318" s="218" t="str">
        <f>VLOOKUP(C318,'Talente &amp; Stuff'!AF:BG,2,FALSE)</f>
        <v>--/--/--</v>
      </c>
      <c r="E318" s="243" t="str">
        <f>VLOOKUP(C318,'Talente &amp; Stuff'!AF:BG,3,FALSE)</f>
        <v>-</v>
      </c>
      <c r="F318" s="237">
        <f>VLOOKUP(C318,'Talente &amp; Stuff'!AF:BG,4,FALSE)</f>
        <v>0</v>
      </c>
      <c r="G318" s="234">
        <f>VLOOKUP(C318,'Talente &amp; Stuff'!AF:BG,5,FALSE)</f>
        <v>0</v>
      </c>
      <c r="H318" s="234">
        <f>VLOOKUP(C318,'Talente &amp; Stuff'!AF:BG,6,FALSE)</f>
        <v>0</v>
      </c>
      <c r="I318" s="234">
        <f>VLOOKUP(C318,'Talente &amp; Stuff'!AF:BG,7,FALSE)</f>
        <v>0</v>
      </c>
      <c r="J318" s="234">
        <f>VLOOKUP(C318,'Talente &amp; Stuff'!AF:BG,8,FALSE)</f>
        <v>0</v>
      </c>
      <c r="K318" s="234">
        <f>VLOOKUP(C318,'Talente &amp; Stuff'!AF:BG,9,FALSE)</f>
        <v>0</v>
      </c>
      <c r="L318" s="234">
        <f>VLOOKUP(C318,'Talente &amp; Stuff'!AF:BG,10,FALSE)</f>
        <v>0</v>
      </c>
      <c r="M318" s="224">
        <f>VLOOKUP(C318,'Talente &amp; Stuff'!AF:BG,11,FALSE)</f>
        <v>0</v>
      </c>
      <c r="N318" s="223">
        <f>VLOOKUP(C318,'Talente &amp; Stuff'!AF:BG,12,FALSE)</f>
        <v>0</v>
      </c>
      <c r="O318" s="223">
        <f>VLOOKUP(C318,'Talente &amp; Stuff'!AF:BG,13,FALSE)</f>
        <v>0</v>
      </c>
      <c r="P318" s="224">
        <f>VLOOKUP(C318,'Talente &amp; Stuff'!AF:BG,14,FALSE)</f>
        <v>0</v>
      </c>
      <c r="Q318" s="237">
        <f>VLOOKUP(C318,'Talente &amp; Stuff'!AF:BG,15,FALSE)</f>
        <v>0</v>
      </c>
      <c r="R318" s="234">
        <f>VLOOKUP(C318,'Talente &amp; Stuff'!AF:BG,16,FALSE)</f>
        <v>0</v>
      </c>
      <c r="S318" s="224">
        <f>VLOOKUP(C318,'Talente &amp; Stuff'!AF:BG,17,FALSE)</f>
        <v>0</v>
      </c>
      <c r="T318" s="224">
        <f>VLOOKUP(C318,'Talente &amp; Stuff'!AF:BG,18,FALSE)</f>
        <v>0</v>
      </c>
      <c r="U318" s="222">
        <f>VLOOKUP(C318,'Talente &amp; Stuff'!AF:BG,19,FALSE)</f>
        <v>0</v>
      </c>
      <c r="V318" s="223">
        <f>VLOOKUP(C318,'Talente &amp; Stuff'!AF:BG,20,FALSE)</f>
        <v>0</v>
      </c>
      <c r="W318" s="243">
        <f>VLOOKUP(C318,'Talente &amp; Stuff'!AF:BG,21,FALSE)</f>
        <v>0</v>
      </c>
      <c r="X318" s="243">
        <f>VLOOKUP(C318,'Talente &amp; Stuff'!AF:BG,22,FALSE)</f>
        <v>0</v>
      </c>
      <c r="Y318" s="252">
        <f>VLOOKUP(C318,Ausgewählte_Zauber_Zauberbarden,52,FALSE)</f>
        <v>0</v>
      </c>
      <c r="Z318" s="309">
        <f>VLOOKUP(C318,Ausgewählte_Zauber_Zauberbarden,53,FALSE)</f>
        <v>0</v>
      </c>
      <c r="AA318" s="218">
        <f>VLOOKUP(C318,'Talente &amp; Stuff'!AF:BG,25,FALSE)</f>
        <v>0</v>
      </c>
      <c r="AB318" s="242">
        <f>VLOOKUP(C318,'Talente &amp; Stuff'!AF:BG,26,FALSE)</f>
        <v>0</v>
      </c>
      <c r="AC318" s="243">
        <f>VLOOKUP(C318,'Talente &amp; Stuff'!AF:BG,27,FALSE)</f>
        <v>0</v>
      </c>
      <c r="AD318" s="218">
        <f>VLOOKUP(C318,'Talente &amp; Stuff'!AF:BG,28,FALSE)</f>
        <v>0</v>
      </c>
      <c r="AE318" s="343"/>
    </row>
    <row r="319" spans="1:31" s="217" customFormat="1" hidden="1" outlineLevel="2">
      <c r="A319" s="185"/>
      <c r="B319" s="217">
        <v>22</v>
      </c>
      <c r="C319" s="303" t="str">
        <f>Attribute!C319</f>
        <v>---</v>
      </c>
      <c r="D319" s="218" t="str">
        <f>VLOOKUP(C319,'Talente &amp; Stuff'!AF:BG,2,FALSE)</f>
        <v>--/--/--</v>
      </c>
      <c r="E319" s="243" t="str">
        <f>VLOOKUP(C319,'Talente &amp; Stuff'!AF:BG,3,FALSE)</f>
        <v>-</v>
      </c>
      <c r="F319" s="237">
        <f>VLOOKUP(C319,'Talente &amp; Stuff'!AF:BG,4,FALSE)</f>
        <v>0</v>
      </c>
      <c r="G319" s="234">
        <f>VLOOKUP(C319,'Talente &amp; Stuff'!AF:BG,5,FALSE)</f>
        <v>0</v>
      </c>
      <c r="H319" s="234">
        <f>VLOOKUP(C319,'Talente &amp; Stuff'!AF:BG,6,FALSE)</f>
        <v>0</v>
      </c>
      <c r="I319" s="234">
        <f>VLOOKUP(C319,'Talente &amp; Stuff'!AF:BG,7,FALSE)</f>
        <v>0</v>
      </c>
      <c r="J319" s="234">
        <f>VLOOKUP(C319,'Talente &amp; Stuff'!AF:BG,8,FALSE)</f>
        <v>0</v>
      </c>
      <c r="K319" s="234">
        <f>VLOOKUP(C319,'Talente &amp; Stuff'!AF:BG,9,FALSE)</f>
        <v>0</v>
      </c>
      <c r="L319" s="234">
        <f>VLOOKUP(C319,'Talente &amp; Stuff'!AF:BG,10,FALSE)</f>
        <v>0</v>
      </c>
      <c r="M319" s="224">
        <f>VLOOKUP(C319,'Talente &amp; Stuff'!AF:BG,11,FALSE)</f>
        <v>0</v>
      </c>
      <c r="N319" s="223">
        <f>VLOOKUP(C319,'Talente &amp; Stuff'!AF:BG,12,FALSE)</f>
        <v>0</v>
      </c>
      <c r="O319" s="223">
        <f>VLOOKUP(C319,'Talente &amp; Stuff'!AF:BG,13,FALSE)</f>
        <v>0</v>
      </c>
      <c r="P319" s="224">
        <f>VLOOKUP(C319,'Talente &amp; Stuff'!AF:BG,14,FALSE)</f>
        <v>0</v>
      </c>
      <c r="Q319" s="237">
        <f>VLOOKUP(C319,'Talente &amp; Stuff'!AF:BG,15,FALSE)</f>
        <v>0</v>
      </c>
      <c r="R319" s="234">
        <f>VLOOKUP(C319,'Talente &amp; Stuff'!AF:BG,16,FALSE)</f>
        <v>0</v>
      </c>
      <c r="S319" s="224">
        <f>VLOOKUP(C319,'Talente &amp; Stuff'!AF:BG,17,FALSE)</f>
        <v>0</v>
      </c>
      <c r="T319" s="224">
        <f>VLOOKUP(C319,'Talente &amp; Stuff'!AF:BG,18,FALSE)</f>
        <v>0</v>
      </c>
      <c r="U319" s="222">
        <f>VLOOKUP(C319,'Talente &amp; Stuff'!AF:BG,19,FALSE)</f>
        <v>0</v>
      </c>
      <c r="V319" s="223">
        <f>VLOOKUP(C319,'Talente &amp; Stuff'!AF:BG,20,FALSE)</f>
        <v>0</v>
      </c>
      <c r="W319" s="243">
        <f>VLOOKUP(C319,'Talente &amp; Stuff'!AF:BG,21,FALSE)</f>
        <v>0</v>
      </c>
      <c r="X319" s="243">
        <f>VLOOKUP(C319,'Talente &amp; Stuff'!AF:BG,22,FALSE)</f>
        <v>0</v>
      </c>
      <c r="Y319" s="252">
        <f>VLOOKUP(C319,Ausgewählte_Zauber_Zauberbarden,52,FALSE)</f>
        <v>0</v>
      </c>
      <c r="Z319" s="309">
        <f>VLOOKUP(C319,Ausgewählte_Zauber_Zauberbarden,53,FALSE)</f>
        <v>0</v>
      </c>
      <c r="AA319" s="218">
        <f>VLOOKUP(C319,'Talente &amp; Stuff'!AF:BG,25,FALSE)</f>
        <v>0</v>
      </c>
      <c r="AB319" s="242">
        <f>VLOOKUP(C319,'Talente &amp; Stuff'!AF:BG,26,FALSE)</f>
        <v>0</v>
      </c>
      <c r="AC319" s="243">
        <f>VLOOKUP(C319,'Talente &amp; Stuff'!AF:BG,27,FALSE)</f>
        <v>0</v>
      </c>
      <c r="AD319" s="218">
        <f>VLOOKUP(C319,'Talente &amp; Stuff'!AF:BG,28,FALSE)</f>
        <v>0</v>
      </c>
      <c r="AE319" s="343"/>
    </row>
    <row r="320" spans="1:31" s="217" customFormat="1" hidden="1" outlineLevel="2">
      <c r="A320" s="185"/>
      <c r="B320" s="217">
        <v>23</v>
      </c>
      <c r="C320" s="303" t="str">
        <f>Attribute!C320</f>
        <v>---</v>
      </c>
      <c r="D320" s="218" t="str">
        <f>VLOOKUP(C320,'Talente &amp; Stuff'!AF:BG,2,FALSE)</f>
        <v>--/--/--</v>
      </c>
      <c r="E320" s="243" t="str">
        <f>VLOOKUP(C320,'Talente &amp; Stuff'!AF:BG,3,FALSE)</f>
        <v>-</v>
      </c>
      <c r="F320" s="237">
        <f>VLOOKUP(C320,'Talente &amp; Stuff'!AF:BG,4,FALSE)</f>
        <v>0</v>
      </c>
      <c r="G320" s="234">
        <f>VLOOKUP(C320,'Talente &amp; Stuff'!AF:BG,5,FALSE)</f>
        <v>0</v>
      </c>
      <c r="H320" s="234">
        <f>VLOOKUP(C320,'Talente &amp; Stuff'!AF:BG,6,FALSE)</f>
        <v>0</v>
      </c>
      <c r="I320" s="234">
        <f>VLOOKUP(C320,'Talente &amp; Stuff'!AF:BG,7,FALSE)</f>
        <v>0</v>
      </c>
      <c r="J320" s="234">
        <f>VLOOKUP(C320,'Talente &amp; Stuff'!AF:BG,8,FALSE)</f>
        <v>0</v>
      </c>
      <c r="K320" s="234">
        <f>VLOOKUP(C320,'Talente &amp; Stuff'!AF:BG,9,FALSE)</f>
        <v>0</v>
      </c>
      <c r="L320" s="234">
        <f>VLOOKUP(C320,'Talente &amp; Stuff'!AF:BG,10,FALSE)</f>
        <v>0</v>
      </c>
      <c r="M320" s="224">
        <f>VLOOKUP(C320,'Talente &amp; Stuff'!AF:BG,11,FALSE)</f>
        <v>0</v>
      </c>
      <c r="N320" s="223">
        <f>VLOOKUP(C320,'Talente &amp; Stuff'!AF:BG,12,FALSE)</f>
        <v>0</v>
      </c>
      <c r="O320" s="223">
        <f>VLOOKUP(C320,'Talente &amp; Stuff'!AF:BG,13,FALSE)</f>
        <v>0</v>
      </c>
      <c r="P320" s="224">
        <f>VLOOKUP(C320,'Talente &amp; Stuff'!AF:BG,14,FALSE)</f>
        <v>0</v>
      </c>
      <c r="Q320" s="237">
        <f>VLOOKUP(C320,'Talente &amp; Stuff'!AF:BG,15,FALSE)</f>
        <v>0</v>
      </c>
      <c r="R320" s="234">
        <f>VLOOKUP(C320,'Talente &amp; Stuff'!AF:BG,16,FALSE)</f>
        <v>0</v>
      </c>
      <c r="S320" s="224">
        <f>VLOOKUP(C320,'Talente &amp; Stuff'!AF:BG,17,FALSE)</f>
        <v>0</v>
      </c>
      <c r="T320" s="224">
        <f>VLOOKUP(C320,'Talente &amp; Stuff'!AF:BG,18,FALSE)</f>
        <v>0</v>
      </c>
      <c r="U320" s="222">
        <f>VLOOKUP(C320,'Talente &amp; Stuff'!AF:BG,19,FALSE)</f>
        <v>0</v>
      </c>
      <c r="V320" s="223">
        <f>VLOOKUP(C320,'Talente &amp; Stuff'!AF:BG,20,FALSE)</f>
        <v>0</v>
      </c>
      <c r="W320" s="243">
        <f>VLOOKUP(C320,'Talente &amp; Stuff'!AF:BG,21,FALSE)</f>
        <v>0</v>
      </c>
      <c r="X320" s="243">
        <f>VLOOKUP(C320,'Talente &amp; Stuff'!AF:BG,22,FALSE)</f>
        <v>0</v>
      </c>
      <c r="Y320" s="252">
        <f>VLOOKUP(C320,Ausgewählte_Zauber_Zauberbarden,52,FALSE)</f>
        <v>0</v>
      </c>
      <c r="Z320" s="309">
        <f>VLOOKUP(C320,Ausgewählte_Zauber_Zauberbarden,53,FALSE)</f>
        <v>0</v>
      </c>
      <c r="AA320" s="218">
        <f>VLOOKUP(C320,'Talente &amp; Stuff'!AF:BG,25,FALSE)</f>
        <v>0</v>
      </c>
      <c r="AB320" s="242">
        <f>VLOOKUP(C320,'Talente &amp; Stuff'!AF:BG,26,FALSE)</f>
        <v>0</v>
      </c>
      <c r="AC320" s="243">
        <f>VLOOKUP(C320,'Talente &amp; Stuff'!AF:BG,27,FALSE)</f>
        <v>0</v>
      </c>
      <c r="AD320" s="218">
        <f>VLOOKUP(C320,'Talente &amp; Stuff'!AF:BG,28,FALSE)</f>
        <v>0</v>
      </c>
      <c r="AE320" s="343"/>
    </row>
    <row r="321" spans="1:31" s="217" customFormat="1" hidden="1" outlineLevel="2">
      <c r="A321" s="185"/>
      <c r="B321" s="217">
        <v>24</v>
      </c>
      <c r="C321" s="306" t="str">
        <f>Attribute!C321</f>
        <v>---</v>
      </c>
      <c r="D321" s="246" t="str">
        <f>VLOOKUP(C321,'Talente &amp; Stuff'!AF:BG,2,FALSE)</f>
        <v>--/--/--</v>
      </c>
      <c r="E321" s="245" t="str">
        <f>VLOOKUP(C321,'Talente &amp; Stuff'!AF:BG,3,FALSE)</f>
        <v>-</v>
      </c>
      <c r="F321" s="238">
        <f>VLOOKUP(C321,'Talente &amp; Stuff'!AF:BG,4,FALSE)</f>
        <v>0</v>
      </c>
      <c r="G321" s="235">
        <f>VLOOKUP(C321,'Talente &amp; Stuff'!AF:BG,5,FALSE)</f>
        <v>0</v>
      </c>
      <c r="H321" s="235">
        <f>VLOOKUP(C321,'Talente &amp; Stuff'!AF:BG,6,FALSE)</f>
        <v>0</v>
      </c>
      <c r="I321" s="235">
        <f>VLOOKUP(C321,'Talente &amp; Stuff'!AF:BG,7,FALSE)</f>
        <v>0</v>
      </c>
      <c r="J321" s="235">
        <f>VLOOKUP(C321,'Talente &amp; Stuff'!AF:BG,8,FALSE)</f>
        <v>0</v>
      </c>
      <c r="K321" s="235">
        <f>VLOOKUP(C321,'Talente &amp; Stuff'!AF:BG,9,FALSE)</f>
        <v>0</v>
      </c>
      <c r="L321" s="235">
        <f>VLOOKUP(C321,'Talente &amp; Stuff'!AF:BG,10,FALSE)</f>
        <v>0</v>
      </c>
      <c r="M321" s="227">
        <f>VLOOKUP(C321,'Talente &amp; Stuff'!AF:BG,11,FALSE)</f>
        <v>0</v>
      </c>
      <c r="N321" s="226">
        <f>VLOOKUP(C321,'Talente &amp; Stuff'!AF:BG,12,FALSE)</f>
        <v>0</v>
      </c>
      <c r="O321" s="226">
        <f>VLOOKUP(C321,'Talente &amp; Stuff'!AF:BG,13,FALSE)</f>
        <v>0</v>
      </c>
      <c r="P321" s="227">
        <f>VLOOKUP(C321,'Talente &amp; Stuff'!AF:BG,14,FALSE)</f>
        <v>0</v>
      </c>
      <c r="Q321" s="238">
        <f>VLOOKUP(C321,'Talente &amp; Stuff'!AF:BG,15,FALSE)</f>
        <v>0</v>
      </c>
      <c r="R321" s="235">
        <f>VLOOKUP(C321,'Talente &amp; Stuff'!AF:BG,16,FALSE)</f>
        <v>0</v>
      </c>
      <c r="S321" s="227">
        <f>VLOOKUP(C321,'Talente &amp; Stuff'!AF:BG,17,FALSE)</f>
        <v>0</v>
      </c>
      <c r="T321" s="227">
        <f>VLOOKUP(C321,'Talente &amp; Stuff'!AF:BG,18,FALSE)</f>
        <v>0</v>
      </c>
      <c r="U321" s="225">
        <f>VLOOKUP(C321,'Talente &amp; Stuff'!AF:BG,19,FALSE)</f>
        <v>0</v>
      </c>
      <c r="V321" s="226">
        <f>VLOOKUP(C321,'Talente &amp; Stuff'!AF:BG,20,FALSE)</f>
        <v>0</v>
      </c>
      <c r="W321" s="245">
        <f>VLOOKUP(C321,'Talente &amp; Stuff'!AF:BG,21,FALSE)</f>
        <v>0</v>
      </c>
      <c r="X321" s="245">
        <f>VLOOKUP(C321,'Talente &amp; Stuff'!AF:BG,22,FALSE)</f>
        <v>0</v>
      </c>
      <c r="Y321" s="252">
        <f>VLOOKUP(C321,Ausgewählte_Zauber_Zauberbarden,52,FALSE)</f>
        <v>0</v>
      </c>
      <c r="Z321" s="309">
        <f>VLOOKUP(C321,Ausgewählte_Zauber_Zauberbarden,53,FALSE)</f>
        <v>0</v>
      </c>
      <c r="AA321" s="246">
        <f>VLOOKUP(C321,'Talente &amp; Stuff'!AF:BG,25,FALSE)</f>
        <v>0</v>
      </c>
      <c r="AB321" s="244">
        <f>VLOOKUP(C321,'Talente &amp; Stuff'!AF:BG,26,FALSE)</f>
        <v>0</v>
      </c>
      <c r="AC321" s="245">
        <f>VLOOKUP(C321,'Talente &amp; Stuff'!AF:BG,27,FALSE)</f>
        <v>0</v>
      </c>
      <c r="AD321" s="246">
        <f>VLOOKUP(C321,'Talente &amp; Stuff'!AF:BG,28,FALSE)</f>
        <v>0</v>
      </c>
      <c r="AE321" s="343"/>
    </row>
    <row r="322" spans="1:31" s="217" customFormat="1" hidden="1" outlineLevel="1" collapsed="1">
      <c r="A322" s="185"/>
      <c r="B322" s="216" t="s">
        <v>446</v>
      </c>
      <c r="C322" s="307"/>
      <c r="D322" s="308"/>
      <c r="E322" s="308"/>
      <c r="Y322" s="251"/>
      <c r="Z322" s="251"/>
    </row>
    <row r="323" spans="1:31" s="217" customFormat="1" hidden="1" outlineLevel="2">
      <c r="A323" s="185"/>
      <c r="B323" s="217">
        <v>1</v>
      </c>
      <c r="C323" s="302" t="str">
        <f>Attribute!C323</f>
        <v>---</v>
      </c>
      <c r="D323" s="43" t="str">
        <f>VLOOKUP(C323,'Talente &amp; Stuff'!AF:BG,2,FALSE)</f>
        <v>--/--/--</v>
      </c>
      <c r="E323" s="42" t="str">
        <f>VLOOKUP(C323,'Talente &amp; Stuff'!AF:BG,3,FALSE)</f>
        <v>-</v>
      </c>
      <c r="F323" s="236">
        <f>VLOOKUP(C323,'Talente &amp; Stuff'!AF:BG,4,FALSE)</f>
        <v>0</v>
      </c>
      <c r="G323" s="233">
        <f>VLOOKUP(C323,'Talente &amp; Stuff'!AF:BG,5,FALSE)</f>
        <v>0</v>
      </c>
      <c r="H323" s="233">
        <f>VLOOKUP(C323,'Talente &amp; Stuff'!AF:BG,6,FALSE)</f>
        <v>0</v>
      </c>
      <c r="I323" s="233">
        <f>VLOOKUP(C323,'Talente &amp; Stuff'!AF:BG,7,FALSE)</f>
        <v>0</v>
      </c>
      <c r="J323" s="233">
        <f>VLOOKUP(C323,'Talente &amp; Stuff'!AF:BG,8,FALSE)</f>
        <v>0</v>
      </c>
      <c r="K323" s="233">
        <f>VLOOKUP(C323,'Talente &amp; Stuff'!AF:BG,9,FALSE)</f>
        <v>0</v>
      </c>
      <c r="L323" s="233">
        <f>VLOOKUP(C323,'Talente &amp; Stuff'!AF:BG,10,FALSE)</f>
        <v>0</v>
      </c>
      <c r="M323" s="221">
        <f>VLOOKUP(C323,'Talente &amp; Stuff'!AF:BG,11,FALSE)</f>
        <v>0</v>
      </c>
      <c r="N323" s="219">
        <f>VLOOKUP(C323,'Talente &amp; Stuff'!AF:BG,12,FALSE)</f>
        <v>0</v>
      </c>
      <c r="O323" s="220">
        <f>VLOOKUP(C323,'Talente &amp; Stuff'!AF:BG,13,FALSE)</f>
        <v>0</v>
      </c>
      <c r="P323" s="221">
        <f>VLOOKUP(C323,'Talente &amp; Stuff'!AF:BG,14,FALSE)</f>
        <v>0</v>
      </c>
      <c r="Q323" s="236">
        <f>VLOOKUP(C323,'Talente &amp; Stuff'!AF:BG,15,FALSE)</f>
        <v>0</v>
      </c>
      <c r="R323" s="316">
        <f>VLOOKUP(C323,'Talente &amp; Stuff'!AF:BG,16,FALSE)</f>
        <v>0</v>
      </c>
      <c r="S323" s="221">
        <f>VLOOKUP(C323,'Talente &amp; Stuff'!AF:BG,17,FALSE)</f>
        <v>0</v>
      </c>
      <c r="T323" s="78">
        <f>VLOOKUP(C323,'Talente &amp; Stuff'!AF:BG,18,FALSE)</f>
        <v>0</v>
      </c>
      <c r="U323" s="219">
        <f>VLOOKUP(C323,'Talente &amp; Stuff'!AF:BG,19,FALSE)</f>
        <v>0</v>
      </c>
      <c r="V323" s="220">
        <f>VLOOKUP(C323,'Talente &amp; Stuff'!AF:BG,20,FALSE)</f>
        <v>0</v>
      </c>
      <c r="W323" s="241">
        <f>VLOOKUP(C323,'Talente &amp; Stuff'!AF:BG,21,FALSE)</f>
        <v>0</v>
      </c>
      <c r="X323" s="42">
        <f>VLOOKUP(C323,'Talente &amp; Stuff'!AF:BG,22,FALSE)</f>
        <v>0</v>
      </c>
      <c r="Y323" s="252">
        <f>VLOOKUP(C323,Ausgewählte_Zauber_Zaubertänzer,52,FALSE)</f>
        <v>0</v>
      </c>
      <c r="Z323" s="309">
        <f>VLOOKUP(C323,Ausgewählte_Zauber_Zaubertänzer,53,FALSE)</f>
        <v>0</v>
      </c>
      <c r="AA323" s="42">
        <f>VLOOKUP(C323,'Talente &amp; Stuff'!AF:BG,25,FALSE)</f>
        <v>0</v>
      </c>
      <c r="AB323" s="78">
        <f>VLOOKUP(C323,'Talente &amp; Stuff'!AF:BG,26,FALSE)</f>
        <v>0</v>
      </c>
      <c r="AC323" s="42">
        <f>VLOOKUP(C323,'Talente &amp; Stuff'!AF:BG,27,FALSE)</f>
        <v>0</v>
      </c>
      <c r="AD323" s="42">
        <f>VLOOKUP(C323,'Talente &amp; Stuff'!AF:BG,28,FALSE)</f>
        <v>0</v>
      </c>
      <c r="AE323" s="343"/>
    </row>
    <row r="324" spans="1:31" s="217" customFormat="1" hidden="1" outlineLevel="2">
      <c r="A324" s="185"/>
      <c r="B324" s="217">
        <v>2</v>
      </c>
      <c r="C324" s="303" t="str">
        <f>Attribute!C324</f>
        <v>---</v>
      </c>
      <c r="D324" s="304" t="str">
        <f>VLOOKUP(C324,'Talente &amp; Stuff'!AF:BG,2,FALSE)</f>
        <v>--/--/--</v>
      </c>
      <c r="E324" s="304" t="str">
        <f>VLOOKUP(C324,'Talente &amp; Stuff'!AF:BG,3,FALSE)</f>
        <v>-</v>
      </c>
      <c r="F324" s="317">
        <f>VLOOKUP(C324,'Talente &amp; Stuff'!AF:BG,4,FALSE)</f>
        <v>0</v>
      </c>
      <c r="G324" s="254">
        <f>VLOOKUP(C324,'Talente &amp; Stuff'!AF:BG,5,FALSE)</f>
        <v>0</v>
      </c>
      <c r="H324" s="254">
        <f>VLOOKUP(C324,'Talente &amp; Stuff'!AF:BG,6,FALSE)</f>
        <v>0</v>
      </c>
      <c r="I324" s="254">
        <f>VLOOKUP(C324,'Talente &amp; Stuff'!AF:BG,7,FALSE)</f>
        <v>0</v>
      </c>
      <c r="J324" s="254">
        <f>VLOOKUP(C324,'Talente &amp; Stuff'!AF:BG,8,FALSE)</f>
        <v>0</v>
      </c>
      <c r="K324" s="254">
        <f>VLOOKUP(C324,'Talente &amp; Stuff'!AF:BG,9,FALSE)</f>
        <v>0</v>
      </c>
      <c r="L324" s="254">
        <f>VLOOKUP(C324,'Talente &amp; Stuff'!AF:BG,10,FALSE)</f>
        <v>0</v>
      </c>
      <c r="M324" s="318">
        <f>VLOOKUP(C324,'Talente &amp; Stuff'!AF:BG,11,FALSE)</f>
        <v>0</v>
      </c>
      <c r="N324" s="222">
        <f>VLOOKUP(C324,'Talente &amp; Stuff'!AF:BG,12,FALSE)</f>
        <v>0</v>
      </c>
      <c r="O324" s="223">
        <f>VLOOKUP(C324,'Talente &amp; Stuff'!AF:BG,13,FALSE)</f>
        <v>0</v>
      </c>
      <c r="P324" s="224">
        <f>VLOOKUP(C324,'Talente &amp; Stuff'!AF:BG,14,FALSE)</f>
        <v>0</v>
      </c>
      <c r="Q324" s="237">
        <f>VLOOKUP(C324,'Talente &amp; Stuff'!AF:BG,15,FALSE)</f>
        <v>0</v>
      </c>
      <c r="R324" s="254">
        <f>VLOOKUP(C324,'Talente &amp; Stuff'!AF:BG,16,FALSE)</f>
        <v>0</v>
      </c>
      <c r="S324" s="224">
        <f>VLOOKUP(C324,'Talente &amp; Stuff'!AF:BG,17,FALSE)</f>
        <v>0</v>
      </c>
      <c r="T324" s="242">
        <f>VLOOKUP(C324,'Talente &amp; Stuff'!AF:BG,18,FALSE)</f>
        <v>0</v>
      </c>
      <c r="U324" s="222">
        <f>VLOOKUP(C324,'Talente &amp; Stuff'!AF:BG,19,FALSE)</f>
        <v>0</v>
      </c>
      <c r="V324" s="223">
        <f>VLOOKUP(C324,'Talente &amp; Stuff'!AF:BG,20,FALSE)</f>
        <v>0</v>
      </c>
      <c r="W324" s="243">
        <f>VLOOKUP(C324,'Talente &amp; Stuff'!AF:BG,21,FALSE)</f>
        <v>0</v>
      </c>
      <c r="X324" s="218">
        <f>VLOOKUP(C324,'Talente &amp; Stuff'!AF:BG,22,FALSE)</f>
        <v>0</v>
      </c>
      <c r="Y324" s="252">
        <f>VLOOKUP(C324,Ausgewählte_Zauber_Zaubertänzer,52,FALSE)</f>
        <v>0</v>
      </c>
      <c r="Z324" s="309">
        <f>VLOOKUP(C324,Ausgewählte_Zauber_Zaubertänzer,53,FALSE)</f>
        <v>0</v>
      </c>
      <c r="AA324" s="218">
        <f>VLOOKUP(C324,'Talente &amp; Stuff'!AF:BG,25,FALSE)</f>
        <v>0</v>
      </c>
      <c r="AB324" s="242">
        <f>VLOOKUP(C324,'Talente &amp; Stuff'!AF:BG,26,FALSE)</f>
        <v>0</v>
      </c>
      <c r="AC324" s="218">
        <f>VLOOKUP(C324,'Talente &amp; Stuff'!AF:BG,27,FALSE)</f>
        <v>0</v>
      </c>
      <c r="AD324" s="218">
        <f>VLOOKUP(C324,'Talente &amp; Stuff'!AF:BG,28,FALSE)</f>
        <v>0</v>
      </c>
      <c r="AE324" s="343"/>
    </row>
    <row r="325" spans="1:31" s="217" customFormat="1" hidden="1" outlineLevel="2">
      <c r="A325" s="185"/>
      <c r="B325" s="217">
        <v>3</v>
      </c>
      <c r="C325" s="303" t="str">
        <f>Attribute!C325</f>
        <v>---</v>
      </c>
      <c r="D325" s="304" t="str">
        <f>VLOOKUP(C325,'Talente &amp; Stuff'!AF:BG,2,FALSE)</f>
        <v>--/--/--</v>
      </c>
      <c r="E325" s="304" t="str">
        <f>VLOOKUP(C325,'Talente &amp; Stuff'!AF:BG,3,FALSE)</f>
        <v>-</v>
      </c>
      <c r="F325" s="317">
        <f>VLOOKUP(C325,'Talente &amp; Stuff'!AF:BG,4,FALSE)</f>
        <v>0</v>
      </c>
      <c r="G325" s="254">
        <f>VLOOKUP(C325,'Talente &amp; Stuff'!AF:BG,5,FALSE)</f>
        <v>0</v>
      </c>
      <c r="H325" s="254">
        <f>VLOOKUP(C325,'Talente &amp; Stuff'!AF:BG,6,FALSE)</f>
        <v>0</v>
      </c>
      <c r="I325" s="254">
        <f>VLOOKUP(C325,'Talente &amp; Stuff'!AF:BG,7,FALSE)</f>
        <v>0</v>
      </c>
      <c r="J325" s="254">
        <f>VLOOKUP(C325,'Talente &amp; Stuff'!AF:BG,8,FALSE)</f>
        <v>0</v>
      </c>
      <c r="K325" s="254">
        <f>VLOOKUP(C325,'Talente &amp; Stuff'!AF:BG,9,FALSE)</f>
        <v>0</v>
      </c>
      <c r="L325" s="254">
        <f>VLOOKUP(C325,'Talente &amp; Stuff'!AF:BG,10,FALSE)</f>
        <v>0</v>
      </c>
      <c r="M325" s="318">
        <f>VLOOKUP(C325,'Talente &amp; Stuff'!AF:BG,11,FALSE)</f>
        <v>0</v>
      </c>
      <c r="N325" s="222">
        <f>VLOOKUP(C325,'Talente &amp; Stuff'!AF:BG,12,FALSE)</f>
        <v>0</v>
      </c>
      <c r="O325" s="223">
        <f>VLOOKUP(C325,'Talente &amp; Stuff'!AF:BG,13,FALSE)</f>
        <v>0</v>
      </c>
      <c r="P325" s="224">
        <f>VLOOKUP(C325,'Talente &amp; Stuff'!AF:BG,14,FALSE)</f>
        <v>0</v>
      </c>
      <c r="Q325" s="237">
        <f>VLOOKUP(C325,'Talente &amp; Stuff'!AF:BG,15,FALSE)</f>
        <v>0</v>
      </c>
      <c r="R325" s="254">
        <f>VLOOKUP(C325,'Talente &amp; Stuff'!AF:BG,16,FALSE)</f>
        <v>0</v>
      </c>
      <c r="S325" s="224">
        <f>VLOOKUP(C325,'Talente &amp; Stuff'!AF:BG,17,FALSE)</f>
        <v>0</v>
      </c>
      <c r="T325" s="242">
        <f>VLOOKUP(C325,'Talente &amp; Stuff'!AF:BG,18,FALSE)</f>
        <v>0</v>
      </c>
      <c r="U325" s="222">
        <f>VLOOKUP(C325,'Talente &amp; Stuff'!AF:BG,19,FALSE)</f>
        <v>0</v>
      </c>
      <c r="V325" s="223">
        <f>VLOOKUP(C325,'Talente &amp; Stuff'!AF:BG,20,FALSE)</f>
        <v>0</v>
      </c>
      <c r="W325" s="243">
        <f>VLOOKUP(C325,'Talente &amp; Stuff'!AF:BG,21,FALSE)</f>
        <v>0</v>
      </c>
      <c r="X325" s="218">
        <f>VLOOKUP(C325,'Talente &amp; Stuff'!AF:BG,22,FALSE)</f>
        <v>0</v>
      </c>
      <c r="Y325" s="252">
        <f>VLOOKUP(C325,Ausgewählte_Zauber_Zaubertänzer,52,FALSE)</f>
        <v>0</v>
      </c>
      <c r="Z325" s="309">
        <f>VLOOKUP(C325,Ausgewählte_Zauber_Zaubertänzer,53,FALSE)</f>
        <v>0</v>
      </c>
      <c r="AA325" s="218">
        <f>VLOOKUP(C325,'Talente &amp; Stuff'!AF:BG,25,FALSE)</f>
        <v>0</v>
      </c>
      <c r="AB325" s="242">
        <f>VLOOKUP(C325,'Talente &amp; Stuff'!AF:BG,26,FALSE)</f>
        <v>0</v>
      </c>
      <c r="AC325" s="218">
        <f>VLOOKUP(C325,'Talente &amp; Stuff'!AF:BG,27,FALSE)</f>
        <v>0</v>
      </c>
      <c r="AD325" s="218">
        <f>VLOOKUP(C325,'Talente &amp; Stuff'!AF:BG,28,FALSE)</f>
        <v>0</v>
      </c>
      <c r="AE325" s="343"/>
    </row>
    <row r="326" spans="1:31" s="217" customFormat="1" hidden="1" outlineLevel="2">
      <c r="A326" s="185"/>
      <c r="B326" s="217">
        <v>4</v>
      </c>
      <c r="C326" s="303" t="str">
        <f>Attribute!C326</f>
        <v>---</v>
      </c>
      <c r="D326" s="304" t="str">
        <f>VLOOKUP(C326,'Talente &amp; Stuff'!AF:BG,2,FALSE)</f>
        <v>--/--/--</v>
      </c>
      <c r="E326" s="304" t="str">
        <f>VLOOKUP(C326,'Talente &amp; Stuff'!AF:BG,3,FALSE)</f>
        <v>-</v>
      </c>
      <c r="F326" s="317">
        <f>VLOOKUP(C326,'Talente &amp; Stuff'!AF:BG,4,FALSE)</f>
        <v>0</v>
      </c>
      <c r="G326" s="254">
        <f>VLOOKUP(C326,'Talente &amp; Stuff'!AF:BG,5,FALSE)</f>
        <v>0</v>
      </c>
      <c r="H326" s="254">
        <f>VLOOKUP(C326,'Talente &amp; Stuff'!AF:BG,6,FALSE)</f>
        <v>0</v>
      </c>
      <c r="I326" s="254">
        <f>VLOOKUP(C326,'Talente &amp; Stuff'!AF:BG,7,FALSE)</f>
        <v>0</v>
      </c>
      <c r="J326" s="254">
        <f>VLOOKUP(C326,'Talente &amp; Stuff'!AF:BG,8,FALSE)</f>
        <v>0</v>
      </c>
      <c r="K326" s="254">
        <f>VLOOKUP(C326,'Talente &amp; Stuff'!AF:BG,9,FALSE)</f>
        <v>0</v>
      </c>
      <c r="L326" s="254">
        <f>VLOOKUP(C326,'Talente &amp; Stuff'!AF:BG,10,FALSE)</f>
        <v>0</v>
      </c>
      <c r="M326" s="318">
        <f>VLOOKUP(C326,'Talente &amp; Stuff'!AF:BG,11,FALSE)</f>
        <v>0</v>
      </c>
      <c r="N326" s="222">
        <f>VLOOKUP(C326,'Talente &amp; Stuff'!AF:BG,12,FALSE)</f>
        <v>0</v>
      </c>
      <c r="O326" s="223">
        <f>VLOOKUP(C326,'Talente &amp; Stuff'!AF:BG,13,FALSE)</f>
        <v>0</v>
      </c>
      <c r="P326" s="224">
        <f>VLOOKUP(C326,'Talente &amp; Stuff'!AF:BG,14,FALSE)</f>
        <v>0</v>
      </c>
      <c r="Q326" s="237">
        <f>VLOOKUP(C326,'Talente &amp; Stuff'!AF:BG,15,FALSE)</f>
        <v>0</v>
      </c>
      <c r="R326" s="254">
        <f>VLOOKUP(C326,'Talente &amp; Stuff'!AF:BG,16,FALSE)</f>
        <v>0</v>
      </c>
      <c r="S326" s="224">
        <f>VLOOKUP(C326,'Talente &amp; Stuff'!AF:BG,17,FALSE)</f>
        <v>0</v>
      </c>
      <c r="T326" s="242">
        <f>VLOOKUP(C326,'Talente &amp; Stuff'!AF:BG,18,FALSE)</f>
        <v>0</v>
      </c>
      <c r="U326" s="222">
        <f>VLOOKUP(C326,'Talente &amp; Stuff'!AF:BG,19,FALSE)</f>
        <v>0</v>
      </c>
      <c r="V326" s="223">
        <f>VLOOKUP(C326,'Talente &amp; Stuff'!AF:BG,20,FALSE)</f>
        <v>0</v>
      </c>
      <c r="W326" s="243">
        <f>VLOOKUP(C326,'Talente &amp; Stuff'!AF:BG,21,FALSE)</f>
        <v>0</v>
      </c>
      <c r="X326" s="218">
        <f>VLOOKUP(C326,'Talente &amp; Stuff'!AF:BG,22,FALSE)</f>
        <v>0</v>
      </c>
      <c r="Y326" s="252">
        <f>VLOOKUP(C326,Ausgewählte_Zauber_Zaubertänzer,52,FALSE)</f>
        <v>0</v>
      </c>
      <c r="Z326" s="309">
        <f>VLOOKUP(C326,Ausgewählte_Zauber_Zaubertänzer,53,FALSE)</f>
        <v>0</v>
      </c>
      <c r="AA326" s="218">
        <f>VLOOKUP(C326,'Talente &amp; Stuff'!AF:BG,25,FALSE)</f>
        <v>0</v>
      </c>
      <c r="AB326" s="242">
        <f>VLOOKUP(C326,'Talente &amp; Stuff'!AF:BG,26,FALSE)</f>
        <v>0</v>
      </c>
      <c r="AC326" s="218">
        <f>VLOOKUP(C326,'Talente &amp; Stuff'!AF:BG,27,FALSE)</f>
        <v>0</v>
      </c>
      <c r="AD326" s="218">
        <f>VLOOKUP(C326,'Talente &amp; Stuff'!AF:BG,28,FALSE)</f>
        <v>0</v>
      </c>
      <c r="AE326" s="343"/>
    </row>
    <row r="327" spans="1:31" s="217" customFormat="1" hidden="1" outlineLevel="2">
      <c r="A327" s="185"/>
      <c r="B327" s="217">
        <v>5</v>
      </c>
      <c r="C327" s="303" t="str">
        <f>Attribute!C327</f>
        <v>---</v>
      </c>
      <c r="D327" s="304" t="str">
        <f>VLOOKUP(C327,'Talente &amp; Stuff'!AF:BG,2,FALSE)</f>
        <v>--/--/--</v>
      </c>
      <c r="E327" s="304" t="str">
        <f>VLOOKUP(C327,'Talente &amp; Stuff'!AF:BG,3,FALSE)</f>
        <v>-</v>
      </c>
      <c r="F327" s="317">
        <f>VLOOKUP(C327,'Talente &amp; Stuff'!AF:BG,4,FALSE)</f>
        <v>0</v>
      </c>
      <c r="G327" s="254">
        <f>VLOOKUP(C327,'Talente &amp; Stuff'!AF:BG,5,FALSE)</f>
        <v>0</v>
      </c>
      <c r="H327" s="254">
        <f>VLOOKUP(C327,'Talente &amp; Stuff'!AF:BG,6,FALSE)</f>
        <v>0</v>
      </c>
      <c r="I327" s="254">
        <f>VLOOKUP(C327,'Talente &amp; Stuff'!AF:BG,7,FALSE)</f>
        <v>0</v>
      </c>
      <c r="J327" s="254">
        <f>VLOOKUP(C327,'Talente &amp; Stuff'!AF:BG,8,FALSE)</f>
        <v>0</v>
      </c>
      <c r="K327" s="254">
        <f>VLOOKUP(C327,'Talente &amp; Stuff'!AF:BG,9,FALSE)</f>
        <v>0</v>
      </c>
      <c r="L327" s="254">
        <f>VLOOKUP(C327,'Talente &amp; Stuff'!AF:BG,10,FALSE)</f>
        <v>0</v>
      </c>
      <c r="M327" s="318">
        <f>VLOOKUP(C327,'Talente &amp; Stuff'!AF:BG,11,FALSE)</f>
        <v>0</v>
      </c>
      <c r="N327" s="222">
        <f>VLOOKUP(C327,'Talente &amp; Stuff'!AF:BG,12,FALSE)</f>
        <v>0</v>
      </c>
      <c r="O327" s="223">
        <f>VLOOKUP(C327,'Talente &amp; Stuff'!AF:BG,13,FALSE)</f>
        <v>0</v>
      </c>
      <c r="P327" s="224">
        <f>VLOOKUP(C327,'Talente &amp; Stuff'!AF:BG,14,FALSE)</f>
        <v>0</v>
      </c>
      <c r="Q327" s="237">
        <f>VLOOKUP(C327,'Talente &amp; Stuff'!AF:BG,15,FALSE)</f>
        <v>0</v>
      </c>
      <c r="R327" s="254">
        <f>VLOOKUP(C327,'Talente &amp; Stuff'!AF:BG,16,FALSE)</f>
        <v>0</v>
      </c>
      <c r="S327" s="224">
        <f>VLOOKUP(C327,'Talente &amp; Stuff'!AF:BG,17,FALSE)</f>
        <v>0</v>
      </c>
      <c r="T327" s="242">
        <f>VLOOKUP(C327,'Talente &amp; Stuff'!AF:BG,18,FALSE)</f>
        <v>0</v>
      </c>
      <c r="U327" s="222">
        <f>VLOOKUP(C327,'Talente &amp; Stuff'!AF:BG,19,FALSE)</f>
        <v>0</v>
      </c>
      <c r="V327" s="223">
        <f>VLOOKUP(C327,'Talente &amp; Stuff'!AF:BG,20,FALSE)</f>
        <v>0</v>
      </c>
      <c r="W327" s="243">
        <f>VLOOKUP(C327,'Talente &amp; Stuff'!AF:BG,21,FALSE)</f>
        <v>0</v>
      </c>
      <c r="X327" s="218">
        <f>VLOOKUP(C327,'Talente &amp; Stuff'!AF:BG,22,FALSE)</f>
        <v>0</v>
      </c>
      <c r="Y327" s="252">
        <f>VLOOKUP(C327,Ausgewählte_Zauber_Zaubertänzer,52,FALSE)</f>
        <v>0</v>
      </c>
      <c r="Z327" s="309">
        <f>VLOOKUP(C327,Ausgewählte_Zauber_Zaubertänzer,53,FALSE)</f>
        <v>0</v>
      </c>
      <c r="AA327" s="218">
        <f>VLOOKUP(C327,'Talente &amp; Stuff'!AF:BG,25,FALSE)</f>
        <v>0</v>
      </c>
      <c r="AB327" s="242">
        <f>VLOOKUP(C327,'Talente &amp; Stuff'!AF:BG,26,FALSE)</f>
        <v>0</v>
      </c>
      <c r="AC327" s="218">
        <f>VLOOKUP(C327,'Talente &amp; Stuff'!AF:BG,27,FALSE)</f>
        <v>0</v>
      </c>
      <c r="AD327" s="218">
        <f>VLOOKUP(C327,'Talente &amp; Stuff'!AF:BG,28,FALSE)</f>
        <v>0</v>
      </c>
      <c r="AE327" s="343"/>
    </row>
    <row r="328" spans="1:31" s="217" customFormat="1" hidden="1" outlineLevel="2">
      <c r="A328" s="185"/>
      <c r="B328" s="217">
        <v>6</v>
      </c>
      <c r="C328" s="303" t="str">
        <f>Attribute!C328</f>
        <v>---</v>
      </c>
      <c r="D328" s="304" t="str">
        <f>VLOOKUP(C328,'Talente &amp; Stuff'!AF:BG,2,FALSE)</f>
        <v>--/--/--</v>
      </c>
      <c r="E328" s="304" t="str">
        <f>VLOOKUP(C328,'Talente &amp; Stuff'!AF:BG,3,FALSE)</f>
        <v>-</v>
      </c>
      <c r="F328" s="317">
        <f>VLOOKUP(C328,'Talente &amp; Stuff'!AF:BG,4,FALSE)</f>
        <v>0</v>
      </c>
      <c r="G328" s="254">
        <f>VLOOKUP(C328,'Talente &amp; Stuff'!AF:BG,5,FALSE)</f>
        <v>0</v>
      </c>
      <c r="H328" s="254">
        <f>VLOOKUP(C328,'Talente &amp; Stuff'!AF:BG,6,FALSE)</f>
        <v>0</v>
      </c>
      <c r="I328" s="254">
        <f>VLOOKUP(C328,'Talente &amp; Stuff'!AF:BG,7,FALSE)</f>
        <v>0</v>
      </c>
      <c r="J328" s="254">
        <f>VLOOKUP(C328,'Talente &amp; Stuff'!AF:BG,8,FALSE)</f>
        <v>0</v>
      </c>
      <c r="K328" s="254">
        <f>VLOOKUP(C328,'Talente &amp; Stuff'!AF:BG,9,FALSE)</f>
        <v>0</v>
      </c>
      <c r="L328" s="254">
        <f>VLOOKUP(C328,'Talente &amp; Stuff'!AF:BG,10,FALSE)</f>
        <v>0</v>
      </c>
      <c r="M328" s="318">
        <f>VLOOKUP(C328,'Talente &amp; Stuff'!AF:BG,11,FALSE)</f>
        <v>0</v>
      </c>
      <c r="N328" s="222">
        <f>VLOOKUP(C328,'Talente &amp; Stuff'!AF:BG,12,FALSE)</f>
        <v>0</v>
      </c>
      <c r="O328" s="223">
        <f>VLOOKUP(C328,'Talente &amp; Stuff'!AF:BG,13,FALSE)</f>
        <v>0</v>
      </c>
      <c r="P328" s="224">
        <f>VLOOKUP(C328,'Talente &amp; Stuff'!AF:BG,14,FALSE)</f>
        <v>0</v>
      </c>
      <c r="Q328" s="237">
        <f>VLOOKUP(C328,'Talente &amp; Stuff'!AF:BG,15,FALSE)</f>
        <v>0</v>
      </c>
      <c r="R328" s="254">
        <f>VLOOKUP(C328,'Talente &amp; Stuff'!AF:BG,16,FALSE)</f>
        <v>0</v>
      </c>
      <c r="S328" s="224">
        <f>VLOOKUP(C328,'Talente &amp; Stuff'!AF:BG,17,FALSE)</f>
        <v>0</v>
      </c>
      <c r="T328" s="242">
        <f>VLOOKUP(C328,'Talente &amp; Stuff'!AF:BG,18,FALSE)</f>
        <v>0</v>
      </c>
      <c r="U328" s="222">
        <f>VLOOKUP(C328,'Talente &amp; Stuff'!AF:BG,19,FALSE)</f>
        <v>0</v>
      </c>
      <c r="V328" s="223">
        <f>VLOOKUP(C328,'Talente &amp; Stuff'!AF:BG,20,FALSE)</f>
        <v>0</v>
      </c>
      <c r="W328" s="243">
        <f>VLOOKUP(C328,'Talente &amp; Stuff'!AF:BG,21,FALSE)</f>
        <v>0</v>
      </c>
      <c r="X328" s="218">
        <f>VLOOKUP(C328,'Talente &amp; Stuff'!AF:BG,22,FALSE)</f>
        <v>0</v>
      </c>
      <c r="Y328" s="252">
        <f>VLOOKUP(C328,Ausgewählte_Zauber_Zaubertänzer,52,FALSE)</f>
        <v>0</v>
      </c>
      <c r="Z328" s="309">
        <f>VLOOKUP(C328,Ausgewählte_Zauber_Zaubertänzer,53,FALSE)</f>
        <v>0</v>
      </c>
      <c r="AA328" s="218">
        <f>VLOOKUP(C328,'Talente &amp; Stuff'!AF:BG,25,FALSE)</f>
        <v>0</v>
      </c>
      <c r="AB328" s="242">
        <f>VLOOKUP(C328,'Talente &amp; Stuff'!AF:BG,26,FALSE)</f>
        <v>0</v>
      </c>
      <c r="AC328" s="218">
        <f>VLOOKUP(C328,'Talente &amp; Stuff'!AF:BG,27,FALSE)</f>
        <v>0</v>
      </c>
      <c r="AD328" s="218">
        <f>VLOOKUP(C328,'Talente &amp; Stuff'!AF:BG,28,FALSE)</f>
        <v>0</v>
      </c>
      <c r="AE328" s="343"/>
    </row>
    <row r="329" spans="1:31" s="217" customFormat="1" hidden="1" outlineLevel="2">
      <c r="A329" s="185"/>
      <c r="B329" s="217">
        <v>7</v>
      </c>
      <c r="C329" s="303" t="str">
        <f>Attribute!C329</f>
        <v>---</v>
      </c>
      <c r="D329" s="304" t="str">
        <f>VLOOKUP(C329,'Talente &amp; Stuff'!AF:BG,2,FALSE)</f>
        <v>--/--/--</v>
      </c>
      <c r="E329" s="304" t="str">
        <f>VLOOKUP(C329,'Talente &amp; Stuff'!AF:BG,3,FALSE)</f>
        <v>-</v>
      </c>
      <c r="F329" s="317">
        <f>VLOOKUP(C329,'Talente &amp; Stuff'!AF:BG,4,FALSE)</f>
        <v>0</v>
      </c>
      <c r="G329" s="254">
        <f>VLOOKUP(C329,'Talente &amp; Stuff'!AF:BG,5,FALSE)</f>
        <v>0</v>
      </c>
      <c r="H329" s="254">
        <f>VLOOKUP(C329,'Talente &amp; Stuff'!AF:BG,6,FALSE)</f>
        <v>0</v>
      </c>
      <c r="I329" s="254">
        <f>VLOOKUP(C329,'Talente &amp; Stuff'!AF:BG,7,FALSE)</f>
        <v>0</v>
      </c>
      <c r="J329" s="254">
        <f>VLOOKUP(C329,'Talente &amp; Stuff'!AF:BG,8,FALSE)</f>
        <v>0</v>
      </c>
      <c r="K329" s="254">
        <f>VLOOKUP(C329,'Talente &amp; Stuff'!AF:BG,9,FALSE)</f>
        <v>0</v>
      </c>
      <c r="L329" s="254">
        <f>VLOOKUP(C329,'Talente &amp; Stuff'!AF:BG,10,FALSE)</f>
        <v>0</v>
      </c>
      <c r="M329" s="318">
        <f>VLOOKUP(C329,'Talente &amp; Stuff'!AF:BG,11,FALSE)</f>
        <v>0</v>
      </c>
      <c r="N329" s="222">
        <f>VLOOKUP(C329,'Talente &amp; Stuff'!AF:BG,12,FALSE)</f>
        <v>0</v>
      </c>
      <c r="O329" s="223">
        <f>VLOOKUP(C329,'Talente &amp; Stuff'!AF:BG,13,FALSE)</f>
        <v>0</v>
      </c>
      <c r="P329" s="224">
        <f>VLOOKUP(C329,'Talente &amp; Stuff'!AF:BG,14,FALSE)</f>
        <v>0</v>
      </c>
      <c r="Q329" s="237">
        <f>VLOOKUP(C329,'Talente &amp; Stuff'!AF:BG,15,FALSE)</f>
        <v>0</v>
      </c>
      <c r="R329" s="254">
        <f>VLOOKUP(C329,'Talente &amp; Stuff'!AF:BG,16,FALSE)</f>
        <v>0</v>
      </c>
      <c r="S329" s="224">
        <f>VLOOKUP(C329,'Talente &amp; Stuff'!AF:BG,17,FALSE)</f>
        <v>0</v>
      </c>
      <c r="T329" s="242">
        <f>VLOOKUP(C329,'Talente &amp; Stuff'!AF:BG,18,FALSE)</f>
        <v>0</v>
      </c>
      <c r="U329" s="222">
        <f>VLOOKUP(C329,'Talente &amp; Stuff'!AF:BG,19,FALSE)</f>
        <v>0</v>
      </c>
      <c r="V329" s="223">
        <f>VLOOKUP(C329,'Talente &amp; Stuff'!AF:BG,20,FALSE)</f>
        <v>0</v>
      </c>
      <c r="W329" s="243">
        <f>VLOOKUP(C329,'Talente &amp; Stuff'!AF:BG,21,FALSE)</f>
        <v>0</v>
      </c>
      <c r="X329" s="218">
        <f>VLOOKUP(C329,'Talente &amp; Stuff'!AF:BG,22,FALSE)</f>
        <v>0</v>
      </c>
      <c r="Y329" s="252">
        <f>VLOOKUP(C329,Ausgewählte_Zauber_Zaubertänzer,52,FALSE)</f>
        <v>0</v>
      </c>
      <c r="Z329" s="309">
        <f>VLOOKUP(C329,Ausgewählte_Zauber_Zaubertänzer,53,FALSE)</f>
        <v>0</v>
      </c>
      <c r="AA329" s="218">
        <f>VLOOKUP(C329,'Talente &amp; Stuff'!AF:BG,25,FALSE)</f>
        <v>0</v>
      </c>
      <c r="AB329" s="242">
        <f>VLOOKUP(C329,'Talente &amp; Stuff'!AF:BG,26,FALSE)</f>
        <v>0</v>
      </c>
      <c r="AC329" s="218">
        <f>VLOOKUP(C329,'Talente &amp; Stuff'!AF:BG,27,FALSE)</f>
        <v>0</v>
      </c>
      <c r="AD329" s="218">
        <f>VLOOKUP(C329,'Talente &amp; Stuff'!AF:BG,28,FALSE)</f>
        <v>0</v>
      </c>
      <c r="AE329" s="343"/>
    </row>
    <row r="330" spans="1:31" s="217" customFormat="1" hidden="1" outlineLevel="2">
      <c r="A330" s="185"/>
      <c r="B330" s="217">
        <v>8</v>
      </c>
      <c r="C330" s="303" t="str">
        <f>Attribute!C330</f>
        <v>---</v>
      </c>
      <c r="D330" s="304" t="str">
        <f>VLOOKUP(C330,'Talente &amp; Stuff'!AF:BG,2,FALSE)</f>
        <v>--/--/--</v>
      </c>
      <c r="E330" s="304" t="str">
        <f>VLOOKUP(C330,'Talente &amp; Stuff'!AF:BG,3,FALSE)</f>
        <v>-</v>
      </c>
      <c r="F330" s="317">
        <f>VLOOKUP(C330,'Talente &amp; Stuff'!AF:BG,4,FALSE)</f>
        <v>0</v>
      </c>
      <c r="G330" s="254">
        <f>VLOOKUP(C330,'Talente &amp; Stuff'!AF:BG,5,FALSE)</f>
        <v>0</v>
      </c>
      <c r="H330" s="254">
        <f>VLOOKUP(C330,'Talente &amp; Stuff'!AF:BG,6,FALSE)</f>
        <v>0</v>
      </c>
      <c r="I330" s="254">
        <f>VLOOKUP(C330,'Talente &amp; Stuff'!AF:BG,7,FALSE)</f>
        <v>0</v>
      </c>
      <c r="J330" s="254">
        <f>VLOOKUP(C330,'Talente &amp; Stuff'!AF:BG,8,FALSE)</f>
        <v>0</v>
      </c>
      <c r="K330" s="254">
        <f>VLOOKUP(C330,'Talente &amp; Stuff'!AF:BG,9,FALSE)</f>
        <v>0</v>
      </c>
      <c r="L330" s="254">
        <f>VLOOKUP(C330,'Talente &amp; Stuff'!AF:BG,10,FALSE)</f>
        <v>0</v>
      </c>
      <c r="M330" s="318">
        <f>VLOOKUP(C330,'Talente &amp; Stuff'!AF:BG,11,FALSE)</f>
        <v>0</v>
      </c>
      <c r="N330" s="222">
        <f>VLOOKUP(C330,'Talente &amp; Stuff'!AF:BG,12,FALSE)</f>
        <v>0</v>
      </c>
      <c r="O330" s="223">
        <f>VLOOKUP(C330,'Talente &amp; Stuff'!AF:BG,13,FALSE)</f>
        <v>0</v>
      </c>
      <c r="P330" s="224">
        <f>VLOOKUP(C330,'Talente &amp; Stuff'!AF:BG,14,FALSE)</f>
        <v>0</v>
      </c>
      <c r="Q330" s="237">
        <f>VLOOKUP(C330,'Talente &amp; Stuff'!AF:BG,15,FALSE)</f>
        <v>0</v>
      </c>
      <c r="R330" s="254">
        <f>VLOOKUP(C330,'Talente &amp; Stuff'!AF:BG,16,FALSE)</f>
        <v>0</v>
      </c>
      <c r="S330" s="224">
        <f>VLOOKUP(C330,'Talente &amp; Stuff'!AF:BG,17,FALSE)</f>
        <v>0</v>
      </c>
      <c r="T330" s="242">
        <f>VLOOKUP(C330,'Talente &amp; Stuff'!AF:BG,18,FALSE)</f>
        <v>0</v>
      </c>
      <c r="U330" s="222">
        <f>VLOOKUP(C330,'Talente &amp; Stuff'!AF:BG,19,FALSE)</f>
        <v>0</v>
      </c>
      <c r="V330" s="223">
        <f>VLOOKUP(C330,'Talente &amp; Stuff'!AF:BG,20,FALSE)</f>
        <v>0</v>
      </c>
      <c r="W330" s="243">
        <f>VLOOKUP(C330,'Talente &amp; Stuff'!AF:BG,21,FALSE)</f>
        <v>0</v>
      </c>
      <c r="X330" s="218">
        <f>VLOOKUP(C330,'Talente &amp; Stuff'!AF:BG,22,FALSE)</f>
        <v>0</v>
      </c>
      <c r="Y330" s="252">
        <f>VLOOKUP(C330,Ausgewählte_Zauber_Zaubertänzer,52,FALSE)</f>
        <v>0</v>
      </c>
      <c r="Z330" s="309">
        <f>VLOOKUP(C330,Ausgewählte_Zauber_Zaubertänzer,53,FALSE)</f>
        <v>0</v>
      </c>
      <c r="AA330" s="218">
        <f>VLOOKUP(C330,'Talente &amp; Stuff'!AF:BG,25,FALSE)</f>
        <v>0</v>
      </c>
      <c r="AB330" s="242">
        <f>VLOOKUP(C330,'Talente &amp; Stuff'!AF:BG,26,FALSE)</f>
        <v>0</v>
      </c>
      <c r="AC330" s="218">
        <f>VLOOKUP(C330,'Talente &amp; Stuff'!AF:BG,27,FALSE)</f>
        <v>0</v>
      </c>
      <c r="AD330" s="218">
        <f>VLOOKUP(C330,'Talente &amp; Stuff'!AF:BG,28,FALSE)</f>
        <v>0</v>
      </c>
      <c r="AE330" s="343"/>
    </row>
    <row r="331" spans="1:31" s="217" customFormat="1" hidden="1" outlineLevel="2">
      <c r="A331" s="185"/>
      <c r="B331" s="217">
        <v>9</v>
      </c>
      <c r="C331" s="303" t="str">
        <f>Attribute!C331</f>
        <v>---</v>
      </c>
      <c r="D331" s="304" t="str">
        <f>VLOOKUP(C331,'Talente &amp; Stuff'!AF:BG,2,FALSE)</f>
        <v>--/--/--</v>
      </c>
      <c r="E331" s="304" t="str">
        <f>VLOOKUP(C331,'Talente &amp; Stuff'!AF:BG,3,FALSE)</f>
        <v>-</v>
      </c>
      <c r="F331" s="317">
        <f>VLOOKUP(C331,'Talente &amp; Stuff'!AF:BG,4,FALSE)</f>
        <v>0</v>
      </c>
      <c r="G331" s="254">
        <f>VLOOKUP(C331,'Talente &amp; Stuff'!AF:BG,5,FALSE)</f>
        <v>0</v>
      </c>
      <c r="H331" s="254">
        <f>VLOOKUP(C331,'Talente &amp; Stuff'!AF:BG,6,FALSE)</f>
        <v>0</v>
      </c>
      <c r="I331" s="254">
        <f>VLOOKUP(C331,'Talente &amp; Stuff'!AF:BG,7,FALSE)</f>
        <v>0</v>
      </c>
      <c r="J331" s="254">
        <f>VLOOKUP(C331,'Talente &amp; Stuff'!AF:BG,8,FALSE)</f>
        <v>0</v>
      </c>
      <c r="K331" s="254">
        <f>VLOOKUP(C331,'Talente &amp; Stuff'!AF:BG,9,FALSE)</f>
        <v>0</v>
      </c>
      <c r="L331" s="254">
        <f>VLOOKUP(C331,'Talente &amp; Stuff'!AF:BG,10,FALSE)</f>
        <v>0</v>
      </c>
      <c r="M331" s="318">
        <f>VLOOKUP(C331,'Talente &amp; Stuff'!AF:BG,11,FALSE)</f>
        <v>0</v>
      </c>
      <c r="N331" s="222">
        <f>VLOOKUP(C331,'Talente &amp; Stuff'!AF:BG,12,FALSE)</f>
        <v>0</v>
      </c>
      <c r="O331" s="223">
        <f>VLOOKUP(C331,'Talente &amp; Stuff'!AF:BG,13,FALSE)</f>
        <v>0</v>
      </c>
      <c r="P331" s="224">
        <f>VLOOKUP(C331,'Talente &amp; Stuff'!AF:BG,14,FALSE)</f>
        <v>0</v>
      </c>
      <c r="Q331" s="237">
        <f>VLOOKUP(C331,'Talente &amp; Stuff'!AF:BG,15,FALSE)</f>
        <v>0</v>
      </c>
      <c r="R331" s="254">
        <f>VLOOKUP(C331,'Talente &amp; Stuff'!AF:BG,16,FALSE)</f>
        <v>0</v>
      </c>
      <c r="S331" s="224">
        <f>VLOOKUP(C331,'Talente &amp; Stuff'!AF:BG,17,FALSE)</f>
        <v>0</v>
      </c>
      <c r="T331" s="242">
        <f>VLOOKUP(C331,'Talente &amp; Stuff'!AF:BG,18,FALSE)</f>
        <v>0</v>
      </c>
      <c r="U331" s="222">
        <f>VLOOKUP(C331,'Talente &amp; Stuff'!AF:BG,19,FALSE)</f>
        <v>0</v>
      </c>
      <c r="V331" s="223">
        <f>VLOOKUP(C331,'Talente &amp; Stuff'!AF:BG,20,FALSE)</f>
        <v>0</v>
      </c>
      <c r="W331" s="243">
        <f>VLOOKUP(C331,'Talente &amp; Stuff'!AF:BG,21,FALSE)</f>
        <v>0</v>
      </c>
      <c r="X331" s="218">
        <f>VLOOKUP(C331,'Talente &amp; Stuff'!AF:BG,22,FALSE)</f>
        <v>0</v>
      </c>
      <c r="Y331" s="252">
        <f>VLOOKUP(C331,Ausgewählte_Zauber_Zaubertänzer,52,FALSE)</f>
        <v>0</v>
      </c>
      <c r="Z331" s="309">
        <f>VLOOKUP(C331,Ausgewählte_Zauber_Zaubertänzer,53,FALSE)</f>
        <v>0</v>
      </c>
      <c r="AA331" s="218">
        <f>VLOOKUP(C331,'Talente &amp; Stuff'!AF:BG,25,FALSE)</f>
        <v>0</v>
      </c>
      <c r="AB331" s="242">
        <f>VLOOKUP(C331,'Talente &amp; Stuff'!AF:BG,26,FALSE)</f>
        <v>0</v>
      </c>
      <c r="AC331" s="218">
        <f>VLOOKUP(C331,'Talente &amp; Stuff'!AF:BG,27,FALSE)</f>
        <v>0</v>
      </c>
      <c r="AD331" s="218">
        <f>VLOOKUP(C331,'Talente &amp; Stuff'!AF:BG,28,FALSE)</f>
        <v>0</v>
      </c>
      <c r="AE331" s="343"/>
    </row>
    <row r="332" spans="1:31" s="217" customFormat="1" hidden="1" outlineLevel="2">
      <c r="A332" s="185"/>
      <c r="B332" s="217">
        <v>10</v>
      </c>
      <c r="C332" s="303" t="str">
        <f>Attribute!C332</f>
        <v>---</v>
      </c>
      <c r="D332" s="304" t="str">
        <f>VLOOKUP(C332,'Talente &amp; Stuff'!AF:BG,2,FALSE)</f>
        <v>--/--/--</v>
      </c>
      <c r="E332" s="304" t="str">
        <f>VLOOKUP(C332,'Talente &amp; Stuff'!AF:BG,3,FALSE)</f>
        <v>-</v>
      </c>
      <c r="F332" s="317">
        <f>VLOOKUP(C332,'Talente &amp; Stuff'!AF:BG,4,FALSE)</f>
        <v>0</v>
      </c>
      <c r="G332" s="254">
        <f>VLOOKUP(C332,'Talente &amp; Stuff'!AF:BG,5,FALSE)</f>
        <v>0</v>
      </c>
      <c r="H332" s="254">
        <f>VLOOKUP(C332,'Talente &amp; Stuff'!AF:BG,6,FALSE)</f>
        <v>0</v>
      </c>
      <c r="I332" s="254">
        <f>VLOOKUP(C332,'Talente &amp; Stuff'!AF:BG,7,FALSE)</f>
        <v>0</v>
      </c>
      <c r="J332" s="254">
        <f>VLOOKUP(C332,'Talente &amp; Stuff'!AF:BG,8,FALSE)</f>
        <v>0</v>
      </c>
      <c r="K332" s="254">
        <f>VLOOKUP(C332,'Talente &amp; Stuff'!AF:BG,9,FALSE)</f>
        <v>0</v>
      </c>
      <c r="L332" s="254">
        <f>VLOOKUP(C332,'Talente &amp; Stuff'!AF:BG,10,FALSE)</f>
        <v>0</v>
      </c>
      <c r="M332" s="318">
        <f>VLOOKUP(C332,'Talente &amp; Stuff'!AF:BG,11,FALSE)</f>
        <v>0</v>
      </c>
      <c r="N332" s="222">
        <f>VLOOKUP(C332,'Talente &amp; Stuff'!AF:BG,12,FALSE)</f>
        <v>0</v>
      </c>
      <c r="O332" s="223">
        <f>VLOOKUP(C332,'Talente &amp; Stuff'!AF:BG,13,FALSE)</f>
        <v>0</v>
      </c>
      <c r="P332" s="224">
        <f>VLOOKUP(C332,'Talente &amp; Stuff'!AF:BG,14,FALSE)</f>
        <v>0</v>
      </c>
      <c r="Q332" s="237">
        <f>VLOOKUP(C332,'Talente &amp; Stuff'!AF:BG,15,FALSE)</f>
        <v>0</v>
      </c>
      <c r="R332" s="254">
        <f>VLOOKUP(C332,'Talente &amp; Stuff'!AF:BG,16,FALSE)</f>
        <v>0</v>
      </c>
      <c r="S332" s="224">
        <f>VLOOKUP(C332,'Talente &amp; Stuff'!AF:BG,17,FALSE)</f>
        <v>0</v>
      </c>
      <c r="T332" s="242">
        <f>VLOOKUP(C332,'Talente &amp; Stuff'!AF:BG,18,FALSE)</f>
        <v>0</v>
      </c>
      <c r="U332" s="222">
        <f>VLOOKUP(C332,'Talente &amp; Stuff'!AF:BG,19,FALSE)</f>
        <v>0</v>
      </c>
      <c r="V332" s="223">
        <f>VLOOKUP(C332,'Talente &amp; Stuff'!AF:BG,20,FALSE)</f>
        <v>0</v>
      </c>
      <c r="W332" s="243">
        <f>VLOOKUP(C332,'Talente &amp; Stuff'!AF:BG,21,FALSE)</f>
        <v>0</v>
      </c>
      <c r="X332" s="218">
        <f>VLOOKUP(C332,'Talente &amp; Stuff'!AF:BG,22,FALSE)</f>
        <v>0</v>
      </c>
      <c r="Y332" s="252">
        <f>VLOOKUP(C332,Ausgewählte_Zauber_Zaubertänzer,52,FALSE)</f>
        <v>0</v>
      </c>
      <c r="Z332" s="309">
        <f>VLOOKUP(C332,Ausgewählte_Zauber_Zaubertänzer,53,FALSE)</f>
        <v>0</v>
      </c>
      <c r="AA332" s="218">
        <f>VLOOKUP(C332,'Talente &amp; Stuff'!AF:BG,25,FALSE)</f>
        <v>0</v>
      </c>
      <c r="AB332" s="242">
        <f>VLOOKUP(C332,'Talente &amp; Stuff'!AF:BG,26,FALSE)</f>
        <v>0</v>
      </c>
      <c r="AC332" s="218">
        <f>VLOOKUP(C332,'Talente &amp; Stuff'!AF:BG,27,FALSE)</f>
        <v>0</v>
      </c>
      <c r="AD332" s="218">
        <f>VLOOKUP(C332,'Talente &amp; Stuff'!AF:BG,28,FALSE)</f>
        <v>0</v>
      </c>
      <c r="AE332" s="343"/>
    </row>
    <row r="333" spans="1:31" s="217" customFormat="1" hidden="1" outlineLevel="2">
      <c r="A333" s="185"/>
      <c r="B333" s="217">
        <v>11</v>
      </c>
      <c r="C333" s="303" t="str">
        <f>Attribute!C333</f>
        <v>---</v>
      </c>
      <c r="D333" s="304" t="str">
        <f>VLOOKUP(C333,'Talente &amp; Stuff'!AF:BG,2,FALSE)</f>
        <v>--/--/--</v>
      </c>
      <c r="E333" s="304" t="str">
        <f>VLOOKUP(C333,'Talente &amp; Stuff'!AF:BG,3,FALSE)</f>
        <v>-</v>
      </c>
      <c r="F333" s="317">
        <f>VLOOKUP(C333,'Talente &amp; Stuff'!AF:BG,4,FALSE)</f>
        <v>0</v>
      </c>
      <c r="G333" s="254">
        <f>VLOOKUP(C333,'Talente &amp; Stuff'!AF:BG,5,FALSE)</f>
        <v>0</v>
      </c>
      <c r="H333" s="254">
        <f>VLOOKUP(C333,'Talente &amp; Stuff'!AF:BG,6,FALSE)</f>
        <v>0</v>
      </c>
      <c r="I333" s="254">
        <f>VLOOKUP(C333,'Talente &amp; Stuff'!AF:BG,7,FALSE)</f>
        <v>0</v>
      </c>
      <c r="J333" s="254">
        <f>VLOOKUP(C333,'Talente &amp; Stuff'!AF:BG,8,FALSE)</f>
        <v>0</v>
      </c>
      <c r="K333" s="254">
        <f>VLOOKUP(C333,'Talente &amp; Stuff'!AF:BG,9,FALSE)</f>
        <v>0</v>
      </c>
      <c r="L333" s="254">
        <f>VLOOKUP(C333,'Talente &amp; Stuff'!AF:BG,10,FALSE)</f>
        <v>0</v>
      </c>
      <c r="M333" s="318">
        <f>VLOOKUP(C333,'Talente &amp; Stuff'!AF:BG,11,FALSE)</f>
        <v>0</v>
      </c>
      <c r="N333" s="222">
        <f>VLOOKUP(C333,'Talente &amp; Stuff'!AF:BG,12,FALSE)</f>
        <v>0</v>
      </c>
      <c r="O333" s="223">
        <f>VLOOKUP(C333,'Talente &amp; Stuff'!AF:BG,13,FALSE)</f>
        <v>0</v>
      </c>
      <c r="P333" s="224">
        <f>VLOOKUP(C333,'Talente &amp; Stuff'!AF:BG,14,FALSE)</f>
        <v>0</v>
      </c>
      <c r="Q333" s="237">
        <f>VLOOKUP(C333,'Talente &amp; Stuff'!AF:BG,15,FALSE)</f>
        <v>0</v>
      </c>
      <c r="R333" s="254">
        <f>VLOOKUP(C333,'Talente &amp; Stuff'!AF:BG,16,FALSE)</f>
        <v>0</v>
      </c>
      <c r="S333" s="224">
        <f>VLOOKUP(C333,'Talente &amp; Stuff'!AF:BG,17,FALSE)</f>
        <v>0</v>
      </c>
      <c r="T333" s="242">
        <f>VLOOKUP(C333,'Talente &amp; Stuff'!AF:BG,18,FALSE)</f>
        <v>0</v>
      </c>
      <c r="U333" s="222">
        <f>VLOOKUP(C333,'Talente &amp; Stuff'!AF:BG,19,FALSE)</f>
        <v>0</v>
      </c>
      <c r="V333" s="223">
        <f>VLOOKUP(C333,'Talente &amp; Stuff'!AF:BG,20,FALSE)</f>
        <v>0</v>
      </c>
      <c r="W333" s="243">
        <f>VLOOKUP(C333,'Talente &amp; Stuff'!AF:BG,21,FALSE)</f>
        <v>0</v>
      </c>
      <c r="X333" s="218">
        <f>VLOOKUP(C333,'Talente &amp; Stuff'!AF:BG,22,FALSE)</f>
        <v>0</v>
      </c>
      <c r="Y333" s="252">
        <f>VLOOKUP(C333,Ausgewählte_Zauber_Zaubertänzer,52,FALSE)</f>
        <v>0</v>
      </c>
      <c r="Z333" s="309">
        <f>VLOOKUP(C333,Ausgewählte_Zauber_Zaubertänzer,53,FALSE)</f>
        <v>0</v>
      </c>
      <c r="AA333" s="218">
        <f>VLOOKUP(C333,'Talente &amp; Stuff'!AF:BG,25,FALSE)</f>
        <v>0</v>
      </c>
      <c r="AB333" s="242">
        <f>VLOOKUP(C333,'Talente &amp; Stuff'!AF:BG,26,FALSE)</f>
        <v>0</v>
      </c>
      <c r="AC333" s="218">
        <f>VLOOKUP(C333,'Talente &amp; Stuff'!AF:BG,27,FALSE)</f>
        <v>0</v>
      </c>
      <c r="AD333" s="218">
        <f>VLOOKUP(C333,'Talente &amp; Stuff'!AF:BG,28,FALSE)</f>
        <v>0</v>
      </c>
      <c r="AE333" s="343"/>
    </row>
    <row r="334" spans="1:31" s="217" customFormat="1" hidden="1" outlineLevel="2">
      <c r="A334" s="185"/>
      <c r="B334" s="217">
        <v>12</v>
      </c>
      <c r="C334" s="303" t="str">
        <f>Attribute!C334</f>
        <v>---</v>
      </c>
      <c r="D334" s="304" t="str">
        <f>VLOOKUP(C334,'Talente &amp; Stuff'!AF:BG,2,FALSE)</f>
        <v>--/--/--</v>
      </c>
      <c r="E334" s="304" t="str">
        <f>VLOOKUP(C334,'Talente &amp; Stuff'!AF:BG,3,FALSE)</f>
        <v>-</v>
      </c>
      <c r="F334" s="317">
        <f>VLOOKUP(C334,'Talente &amp; Stuff'!AF:BG,4,FALSE)</f>
        <v>0</v>
      </c>
      <c r="G334" s="254">
        <f>VLOOKUP(C334,'Talente &amp; Stuff'!AF:BG,5,FALSE)</f>
        <v>0</v>
      </c>
      <c r="H334" s="254">
        <f>VLOOKUP(C334,'Talente &amp; Stuff'!AF:BG,6,FALSE)</f>
        <v>0</v>
      </c>
      <c r="I334" s="254">
        <f>VLOOKUP(C334,'Talente &amp; Stuff'!AF:BG,7,FALSE)</f>
        <v>0</v>
      </c>
      <c r="J334" s="254">
        <f>VLOOKUP(C334,'Talente &amp; Stuff'!AF:BG,8,FALSE)</f>
        <v>0</v>
      </c>
      <c r="K334" s="254">
        <f>VLOOKUP(C334,'Talente &amp; Stuff'!AF:BG,9,FALSE)</f>
        <v>0</v>
      </c>
      <c r="L334" s="254">
        <f>VLOOKUP(C334,'Talente &amp; Stuff'!AF:BG,10,FALSE)</f>
        <v>0</v>
      </c>
      <c r="M334" s="318">
        <f>VLOOKUP(C334,'Talente &amp; Stuff'!AF:BG,11,FALSE)</f>
        <v>0</v>
      </c>
      <c r="N334" s="222">
        <f>VLOOKUP(C334,'Talente &amp; Stuff'!AF:BG,12,FALSE)</f>
        <v>0</v>
      </c>
      <c r="O334" s="223">
        <f>VLOOKUP(C334,'Talente &amp; Stuff'!AF:BG,13,FALSE)</f>
        <v>0</v>
      </c>
      <c r="P334" s="224">
        <f>VLOOKUP(C334,'Talente &amp; Stuff'!AF:BG,14,FALSE)</f>
        <v>0</v>
      </c>
      <c r="Q334" s="237">
        <f>VLOOKUP(C334,'Talente &amp; Stuff'!AF:BG,15,FALSE)</f>
        <v>0</v>
      </c>
      <c r="R334" s="254">
        <f>VLOOKUP(C334,'Talente &amp; Stuff'!AF:BG,16,FALSE)</f>
        <v>0</v>
      </c>
      <c r="S334" s="224">
        <f>VLOOKUP(C334,'Talente &amp; Stuff'!AF:BG,17,FALSE)</f>
        <v>0</v>
      </c>
      <c r="T334" s="242">
        <f>VLOOKUP(C334,'Talente &amp; Stuff'!AF:BG,18,FALSE)</f>
        <v>0</v>
      </c>
      <c r="U334" s="222">
        <f>VLOOKUP(C334,'Talente &amp; Stuff'!AF:BG,19,FALSE)</f>
        <v>0</v>
      </c>
      <c r="V334" s="223">
        <f>VLOOKUP(C334,'Talente &amp; Stuff'!AF:BG,20,FALSE)</f>
        <v>0</v>
      </c>
      <c r="W334" s="243">
        <f>VLOOKUP(C334,'Talente &amp; Stuff'!AF:BG,21,FALSE)</f>
        <v>0</v>
      </c>
      <c r="X334" s="218">
        <f>VLOOKUP(C334,'Talente &amp; Stuff'!AF:BG,22,FALSE)</f>
        <v>0</v>
      </c>
      <c r="Y334" s="252">
        <f>VLOOKUP(C334,Ausgewählte_Zauber_Zaubertänzer,52,FALSE)</f>
        <v>0</v>
      </c>
      <c r="Z334" s="309">
        <f>VLOOKUP(C334,Ausgewählte_Zauber_Zaubertänzer,53,FALSE)</f>
        <v>0</v>
      </c>
      <c r="AA334" s="218">
        <f>VLOOKUP(C334,'Talente &amp; Stuff'!AF:BG,25,FALSE)</f>
        <v>0</v>
      </c>
      <c r="AB334" s="242">
        <f>VLOOKUP(C334,'Talente &amp; Stuff'!AF:BG,26,FALSE)</f>
        <v>0</v>
      </c>
      <c r="AC334" s="218">
        <f>VLOOKUP(C334,'Talente &amp; Stuff'!AF:BG,27,FALSE)</f>
        <v>0</v>
      </c>
      <c r="AD334" s="218">
        <f>VLOOKUP(C334,'Talente &amp; Stuff'!AF:BG,28,FALSE)</f>
        <v>0</v>
      </c>
      <c r="AE334" s="343"/>
    </row>
    <row r="335" spans="1:31" s="217" customFormat="1" hidden="1" outlineLevel="2">
      <c r="A335" s="185"/>
      <c r="B335" s="217">
        <v>13</v>
      </c>
      <c r="C335" s="303" t="str">
        <f>Attribute!C335</f>
        <v>---</v>
      </c>
      <c r="D335" s="304" t="str">
        <f>VLOOKUP(C335,'Talente &amp; Stuff'!AF:BG,2,FALSE)</f>
        <v>--/--/--</v>
      </c>
      <c r="E335" s="304" t="str">
        <f>VLOOKUP(C335,'Talente &amp; Stuff'!AF:BG,3,FALSE)</f>
        <v>-</v>
      </c>
      <c r="F335" s="317">
        <f>VLOOKUP(C335,'Talente &amp; Stuff'!AF:BG,4,FALSE)</f>
        <v>0</v>
      </c>
      <c r="G335" s="254">
        <f>VLOOKUP(C335,'Talente &amp; Stuff'!AF:BG,5,FALSE)</f>
        <v>0</v>
      </c>
      <c r="H335" s="254">
        <f>VLOOKUP(C335,'Talente &amp; Stuff'!AF:BG,6,FALSE)</f>
        <v>0</v>
      </c>
      <c r="I335" s="254">
        <f>VLOOKUP(C335,'Talente &amp; Stuff'!AF:BG,7,FALSE)</f>
        <v>0</v>
      </c>
      <c r="J335" s="254">
        <f>VLOOKUP(C335,'Talente &amp; Stuff'!AF:BG,8,FALSE)</f>
        <v>0</v>
      </c>
      <c r="K335" s="254">
        <f>VLOOKUP(C335,'Talente &amp; Stuff'!AF:BG,9,FALSE)</f>
        <v>0</v>
      </c>
      <c r="L335" s="254">
        <f>VLOOKUP(C335,'Talente &amp; Stuff'!AF:BG,10,FALSE)</f>
        <v>0</v>
      </c>
      <c r="M335" s="318">
        <f>VLOOKUP(C335,'Talente &amp; Stuff'!AF:BG,11,FALSE)</f>
        <v>0</v>
      </c>
      <c r="N335" s="222">
        <f>VLOOKUP(C335,'Talente &amp; Stuff'!AF:BG,12,FALSE)</f>
        <v>0</v>
      </c>
      <c r="O335" s="223">
        <f>VLOOKUP(C335,'Talente &amp; Stuff'!AF:BG,13,FALSE)</f>
        <v>0</v>
      </c>
      <c r="P335" s="224">
        <f>VLOOKUP(C335,'Talente &amp; Stuff'!AF:BG,14,FALSE)</f>
        <v>0</v>
      </c>
      <c r="Q335" s="237">
        <f>VLOOKUP(C335,'Talente &amp; Stuff'!AF:BG,15,FALSE)</f>
        <v>0</v>
      </c>
      <c r="R335" s="254">
        <f>VLOOKUP(C335,'Talente &amp; Stuff'!AF:BG,16,FALSE)</f>
        <v>0</v>
      </c>
      <c r="S335" s="224">
        <f>VLOOKUP(C335,'Talente &amp; Stuff'!AF:BG,17,FALSE)</f>
        <v>0</v>
      </c>
      <c r="T335" s="242">
        <f>VLOOKUP(C335,'Talente &amp; Stuff'!AF:BG,18,FALSE)</f>
        <v>0</v>
      </c>
      <c r="U335" s="222">
        <f>VLOOKUP(C335,'Talente &amp; Stuff'!AF:BG,19,FALSE)</f>
        <v>0</v>
      </c>
      <c r="V335" s="223">
        <f>VLOOKUP(C335,'Talente &amp; Stuff'!AF:BG,20,FALSE)</f>
        <v>0</v>
      </c>
      <c r="W335" s="243">
        <f>VLOOKUP(C335,'Talente &amp; Stuff'!AF:BG,21,FALSE)</f>
        <v>0</v>
      </c>
      <c r="X335" s="218">
        <f>VLOOKUP(C335,'Talente &amp; Stuff'!AF:BG,22,FALSE)</f>
        <v>0</v>
      </c>
      <c r="Y335" s="252">
        <f>VLOOKUP(C335,Ausgewählte_Zauber_Zaubertänzer,52,FALSE)</f>
        <v>0</v>
      </c>
      <c r="Z335" s="309">
        <f>VLOOKUP(C335,Ausgewählte_Zauber_Zaubertänzer,53,FALSE)</f>
        <v>0</v>
      </c>
      <c r="AA335" s="218">
        <f>VLOOKUP(C335,'Talente &amp; Stuff'!AF:BG,25,FALSE)</f>
        <v>0</v>
      </c>
      <c r="AB335" s="242">
        <f>VLOOKUP(C335,'Talente &amp; Stuff'!AF:BG,26,FALSE)</f>
        <v>0</v>
      </c>
      <c r="AC335" s="218">
        <f>VLOOKUP(C335,'Talente &amp; Stuff'!AF:BG,27,FALSE)</f>
        <v>0</v>
      </c>
      <c r="AD335" s="218">
        <f>VLOOKUP(C335,'Talente &amp; Stuff'!AF:BG,28,FALSE)</f>
        <v>0</v>
      </c>
      <c r="AE335" s="343"/>
    </row>
    <row r="336" spans="1:31" s="217" customFormat="1" hidden="1" outlineLevel="2">
      <c r="A336" s="185"/>
      <c r="B336" s="217">
        <v>14</v>
      </c>
      <c r="C336" s="303" t="str">
        <f>Attribute!C336</f>
        <v>---</v>
      </c>
      <c r="D336" s="304" t="str">
        <f>VLOOKUP(C336,'Talente &amp; Stuff'!AF:BG,2,FALSE)</f>
        <v>--/--/--</v>
      </c>
      <c r="E336" s="304" t="str">
        <f>VLOOKUP(C336,'Talente &amp; Stuff'!AF:BG,3,FALSE)</f>
        <v>-</v>
      </c>
      <c r="F336" s="317">
        <f>VLOOKUP(C336,'Talente &amp; Stuff'!AF:BG,4,FALSE)</f>
        <v>0</v>
      </c>
      <c r="G336" s="254">
        <f>VLOOKUP(C336,'Talente &amp; Stuff'!AF:BG,5,FALSE)</f>
        <v>0</v>
      </c>
      <c r="H336" s="254">
        <f>VLOOKUP(C336,'Talente &amp; Stuff'!AF:BG,6,FALSE)</f>
        <v>0</v>
      </c>
      <c r="I336" s="254">
        <f>VLOOKUP(C336,'Talente &amp; Stuff'!AF:BG,7,FALSE)</f>
        <v>0</v>
      </c>
      <c r="J336" s="254">
        <f>VLOOKUP(C336,'Talente &amp; Stuff'!AF:BG,8,FALSE)</f>
        <v>0</v>
      </c>
      <c r="K336" s="254">
        <f>VLOOKUP(C336,'Talente &amp; Stuff'!AF:BG,9,FALSE)</f>
        <v>0</v>
      </c>
      <c r="L336" s="254">
        <f>VLOOKUP(C336,'Talente &amp; Stuff'!AF:BG,10,FALSE)</f>
        <v>0</v>
      </c>
      <c r="M336" s="318">
        <f>VLOOKUP(C336,'Talente &amp; Stuff'!AF:BG,11,FALSE)</f>
        <v>0</v>
      </c>
      <c r="N336" s="222">
        <f>VLOOKUP(C336,'Talente &amp; Stuff'!AF:BG,12,FALSE)</f>
        <v>0</v>
      </c>
      <c r="O336" s="223">
        <f>VLOOKUP(C336,'Talente &amp; Stuff'!AF:BG,13,FALSE)</f>
        <v>0</v>
      </c>
      <c r="P336" s="224">
        <f>VLOOKUP(C336,'Talente &amp; Stuff'!AF:BG,14,FALSE)</f>
        <v>0</v>
      </c>
      <c r="Q336" s="237">
        <f>VLOOKUP(C336,'Talente &amp; Stuff'!AF:BG,15,FALSE)</f>
        <v>0</v>
      </c>
      <c r="R336" s="254">
        <f>VLOOKUP(C336,'Talente &amp; Stuff'!AF:BG,16,FALSE)</f>
        <v>0</v>
      </c>
      <c r="S336" s="224">
        <f>VLOOKUP(C336,'Talente &amp; Stuff'!AF:BG,17,FALSE)</f>
        <v>0</v>
      </c>
      <c r="T336" s="242">
        <f>VLOOKUP(C336,'Talente &amp; Stuff'!AF:BG,18,FALSE)</f>
        <v>0</v>
      </c>
      <c r="U336" s="222">
        <f>VLOOKUP(C336,'Talente &amp; Stuff'!AF:BG,19,FALSE)</f>
        <v>0</v>
      </c>
      <c r="V336" s="223">
        <f>VLOOKUP(C336,'Talente &amp; Stuff'!AF:BG,20,FALSE)</f>
        <v>0</v>
      </c>
      <c r="W336" s="243">
        <f>VLOOKUP(C336,'Talente &amp; Stuff'!AF:BG,21,FALSE)</f>
        <v>0</v>
      </c>
      <c r="X336" s="218">
        <f>VLOOKUP(C336,'Talente &amp; Stuff'!AF:BG,22,FALSE)</f>
        <v>0</v>
      </c>
      <c r="Y336" s="252">
        <f>VLOOKUP(C336,Ausgewählte_Zauber_Zaubertänzer,52,FALSE)</f>
        <v>0</v>
      </c>
      <c r="Z336" s="309">
        <f>VLOOKUP(C336,Ausgewählte_Zauber_Zaubertänzer,53,FALSE)</f>
        <v>0</v>
      </c>
      <c r="AA336" s="218">
        <f>VLOOKUP(C336,'Talente &amp; Stuff'!AF:BG,25,FALSE)</f>
        <v>0</v>
      </c>
      <c r="AB336" s="242">
        <f>VLOOKUP(C336,'Talente &amp; Stuff'!AF:BG,26,FALSE)</f>
        <v>0</v>
      </c>
      <c r="AC336" s="218">
        <f>VLOOKUP(C336,'Talente &amp; Stuff'!AF:BG,27,FALSE)</f>
        <v>0</v>
      </c>
      <c r="AD336" s="218">
        <f>VLOOKUP(C336,'Talente &amp; Stuff'!AF:BG,28,FALSE)</f>
        <v>0</v>
      </c>
      <c r="AE336" s="343"/>
    </row>
    <row r="337" spans="1:31" s="217" customFormat="1" hidden="1" outlineLevel="2">
      <c r="A337" s="185"/>
      <c r="B337" s="217">
        <v>15</v>
      </c>
      <c r="C337" s="303" t="str">
        <f>Attribute!C337</f>
        <v>---</v>
      </c>
      <c r="D337" s="304" t="str">
        <f>VLOOKUP(C337,'Talente &amp; Stuff'!AF:BG,2,FALSE)</f>
        <v>--/--/--</v>
      </c>
      <c r="E337" s="304" t="str">
        <f>VLOOKUP(C337,'Talente &amp; Stuff'!AF:BG,3,FALSE)</f>
        <v>-</v>
      </c>
      <c r="F337" s="317">
        <f>VLOOKUP(C337,'Talente &amp; Stuff'!AF:BG,4,FALSE)</f>
        <v>0</v>
      </c>
      <c r="G337" s="254">
        <f>VLOOKUP(C337,'Talente &amp; Stuff'!AF:BG,5,FALSE)</f>
        <v>0</v>
      </c>
      <c r="H337" s="254">
        <f>VLOOKUP(C337,'Talente &amp; Stuff'!AF:BG,6,FALSE)</f>
        <v>0</v>
      </c>
      <c r="I337" s="254">
        <f>VLOOKUP(C337,'Talente &amp; Stuff'!AF:BG,7,FALSE)</f>
        <v>0</v>
      </c>
      <c r="J337" s="254">
        <f>VLOOKUP(C337,'Talente &amp; Stuff'!AF:BG,8,FALSE)</f>
        <v>0</v>
      </c>
      <c r="K337" s="254">
        <f>VLOOKUP(C337,'Talente &amp; Stuff'!AF:BG,9,FALSE)</f>
        <v>0</v>
      </c>
      <c r="L337" s="254">
        <f>VLOOKUP(C337,'Talente &amp; Stuff'!AF:BG,10,FALSE)</f>
        <v>0</v>
      </c>
      <c r="M337" s="318">
        <f>VLOOKUP(C337,'Talente &amp; Stuff'!AF:BG,11,FALSE)</f>
        <v>0</v>
      </c>
      <c r="N337" s="222">
        <f>VLOOKUP(C337,'Talente &amp; Stuff'!AF:BG,12,FALSE)</f>
        <v>0</v>
      </c>
      <c r="O337" s="223">
        <f>VLOOKUP(C337,'Talente &amp; Stuff'!AF:BG,13,FALSE)</f>
        <v>0</v>
      </c>
      <c r="P337" s="224">
        <f>VLOOKUP(C337,'Talente &amp; Stuff'!AF:BG,14,FALSE)</f>
        <v>0</v>
      </c>
      <c r="Q337" s="237">
        <f>VLOOKUP(C337,'Talente &amp; Stuff'!AF:BG,15,FALSE)</f>
        <v>0</v>
      </c>
      <c r="R337" s="254">
        <f>VLOOKUP(C337,'Talente &amp; Stuff'!AF:BG,16,FALSE)</f>
        <v>0</v>
      </c>
      <c r="S337" s="224">
        <f>VLOOKUP(C337,'Talente &amp; Stuff'!AF:BG,17,FALSE)</f>
        <v>0</v>
      </c>
      <c r="T337" s="242">
        <f>VLOOKUP(C337,'Talente &amp; Stuff'!AF:BG,18,FALSE)</f>
        <v>0</v>
      </c>
      <c r="U337" s="222">
        <f>VLOOKUP(C337,'Talente &amp; Stuff'!AF:BG,19,FALSE)</f>
        <v>0</v>
      </c>
      <c r="V337" s="223">
        <f>VLOOKUP(C337,'Talente &amp; Stuff'!AF:BG,20,FALSE)</f>
        <v>0</v>
      </c>
      <c r="W337" s="243">
        <f>VLOOKUP(C337,'Talente &amp; Stuff'!AF:BG,21,FALSE)</f>
        <v>0</v>
      </c>
      <c r="X337" s="218">
        <f>VLOOKUP(C337,'Talente &amp; Stuff'!AF:BG,22,FALSE)</f>
        <v>0</v>
      </c>
      <c r="Y337" s="252">
        <f>VLOOKUP(C337,Ausgewählte_Zauber_Zaubertänzer,52,FALSE)</f>
        <v>0</v>
      </c>
      <c r="Z337" s="309">
        <f>VLOOKUP(C337,Ausgewählte_Zauber_Zaubertänzer,53,FALSE)</f>
        <v>0</v>
      </c>
      <c r="AA337" s="218">
        <f>VLOOKUP(C337,'Talente &amp; Stuff'!AF:BG,25,FALSE)</f>
        <v>0</v>
      </c>
      <c r="AB337" s="242">
        <f>VLOOKUP(C337,'Talente &amp; Stuff'!AF:BG,26,FALSE)</f>
        <v>0</v>
      </c>
      <c r="AC337" s="218">
        <f>VLOOKUP(C337,'Talente &amp; Stuff'!AF:BG,27,FALSE)</f>
        <v>0</v>
      </c>
      <c r="AD337" s="218">
        <f>VLOOKUP(C337,'Talente &amp; Stuff'!AF:BG,28,FALSE)</f>
        <v>0</v>
      </c>
      <c r="AE337" s="343"/>
    </row>
    <row r="338" spans="1:31" s="217" customFormat="1" hidden="1" outlineLevel="2">
      <c r="A338" s="185"/>
      <c r="B338" s="217">
        <v>16</v>
      </c>
      <c r="C338" s="303" t="str">
        <f>Attribute!C338</f>
        <v>---</v>
      </c>
      <c r="D338" s="304" t="str">
        <f>VLOOKUP(C338,'Talente &amp; Stuff'!AF:BG,2,FALSE)</f>
        <v>--/--/--</v>
      </c>
      <c r="E338" s="304" t="str">
        <f>VLOOKUP(C338,'Talente &amp; Stuff'!AF:BG,3,FALSE)</f>
        <v>-</v>
      </c>
      <c r="F338" s="317">
        <f>VLOOKUP(C338,'Talente &amp; Stuff'!AF:BG,4,FALSE)</f>
        <v>0</v>
      </c>
      <c r="G338" s="254">
        <f>VLOOKUP(C338,'Talente &amp; Stuff'!AF:BG,5,FALSE)</f>
        <v>0</v>
      </c>
      <c r="H338" s="254">
        <f>VLOOKUP(C338,'Talente &amp; Stuff'!AF:BG,6,FALSE)</f>
        <v>0</v>
      </c>
      <c r="I338" s="254">
        <f>VLOOKUP(C338,'Talente &amp; Stuff'!AF:BG,7,FALSE)</f>
        <v>0</v>
      </c>
      <c r="J338" s="254">
        <f>VLOOKUP(C338,'Talente &amp; Stuff'!AF:BG,8,FALSE)</f>
        <v>0</v>
      </c>
      <c r="K338" s="254">
        <f>VLOOKUP(C338,'Talente &amp; Stuff'!AF:BG,9,FALSE)</f>
        <v>0</v>
      </c>
      <c r="L338" s="254">
        <f>VLOOKUP(C338,'Talente &amp; Stuff'!AF:BG,10,FALSE)</f>
        <v>0</v>
      </c>
      <c r="M338" s="318">
        <f>VLOOKUP(C338,'Talente &amp; Stuff'!AF:BG,11,FALSE)</f>
        <v>0</v>
      </c>
      <c r="N338" s="222">
        <f>VLOOKUP(C338,'Talente &amp; Stuff'!AF:BG,12,FALSE)</f>
        <v>0</v>
      </c>
      <c r="O338" s="223">
        <f>VLOOKUP(C338,'Talente &amp; Stuff'!AF:BG,13,FALSE)</f>
        <v>0</v>
      </c>
      <c r="P338" s="224">
        <f>VLOOKUP(C338,'Talente &amp; Stuff'!AF:BG,14,FALSE)</f>
        <v>0</v>
      </c>
      <c r="Q338" s="237">
        <f>VLOOKUP(C338,'Talente &amp; Stuff'!AF:BG,15,FALSE)</f>
        <v>0</v>
      </c>
      <c r="R338" s="254">
        <f>VLOOKUP(C338,'Talente &amp; Stuff'!AF:BG,16,FALSE)</f>
        <v>0</v>
      </c>
      <c r="S338" s="224">
        <f>VLOOKUP(C338,'Talente &amp; Stuff'!AF:BG,17,FALSE)</f>
        <v>0</v>
      </c>
      <c r="T338" s="242">
        <f>VLOOKUP(C338,'Talente &amp; Stuff'!AF:BG,18,FALSE)</f>
        <v>0</v>
      </c>
      <c r="U338" s="222">
        <f>VLOOKUP(C338,'Talente &amp; Stuff'!AF:BG,19,FALSE)</f>
        <v>0</v>
      </c>
      <c r="V338" s="223">
        <f>VLOOKUP(C338,'Talente &amp; Stuff'!AF:BG,20,FALSE)</f>
        <v>0</v>
      </c>
      <c r="W338" s="243">
        <f>VLOOKUP(C338,'Talente &amp; Stuff'!AF:BG,21,FALSE)</f>
        <v>0</v>
      </c>
      <c r="X338" s="218">
        <f>VLOOKUP(C338,'Talente &amp; Stuff'!AF:BG,22,FALSE)</f>
        <v>0</v>
      </c>
      <c r="Y338" s="252">
        <f>VLOOKUP(C338,Ausgewählte_Zauber_Zaubertänzer,52,FALSE)</f>
        <v>0</v>
      </c>
      <c r="Z338" s="309">
        <f>VLOOKUP(C338,Ausgewählte_Zauber_Zaubertänzer,53,FALSE)</f>
        <v>0</v>
      </c>
      <c r="AA338" s="218">
        <f>VLOOKUP(C338,'Talente &amp; Stuff'!AF:BG,25,FALSE)</f>
        <v>0</v>
      </c>
      <c r="AB338" s="242">
        <f>VLOOKUP(C338,'Talente &amp; Stuff'!AF:BG,26,FALSE)</f>
        <v>0</v>
      </c>
      <c r="AC338" s="218">
        <f>VLOOKUP(C338,'Talente &amp; Stuff'!AF:BG,27,FALSE)</f>
        <v>0</v>
      </c>
      <c r="AD338" s="218">
        <f>VLOOKUP(C338,'Talente &amp; Stuff'!AF:BG,28,FALSE)</f>
        <v>0</v>
      </c>
      <c r="AE338" s="343"/>
    </row>
    <row r="339" spans="1:31" s="217" customFormat="1" hidden="1" outlineLevel="2">
      <c r="A339" s="185"/>
      <c r="B339" s="217">
        <v>17</v>
      </c>
      <c r="C339" s="303" t="str">
        <f>Attribute!C339</f>
        <v>---</v>
      </c>
      <c r="D339" s="304" t="str">
        <f>VLOOKUP(C339,'Talente &amp; Stuff'!AF:BG,2,FALSE)</f>
        <v>--/--/--</v>
      </c>
      <c r="E339" s="304" t="str">
        <f>VLOOKUP(C339,'Talente &amp; Stuff'!AF:BG,3,FALSE)</f>
        <v>-</v>
      </c>
      <c r="F339" s="317">
        <f>VLOOKUP(C339,'Talente &amp; Stuff'!AF:BG,4,FALSE)</f>
        <v>0</v>
      </c>
      <c r="G339" s="254">
        <f>VLOOKUP(C339,'Talente &amp; Stuff'!AF:BG,5,FALSE)</f>
        <v>0</v>
      </c>
      <c r="H339" s="254">
        <f>VLOOKUP(C339,'Talente &amp; Stuff'!AF:BG,6,FALSE)</f>
        <v>0</v>
      </c>
      <c r="I339" s="254">
        <f>VLOOKUP(C339,'Talente &amp; Stuff'!AF:BG,7,FALSE)</f>
        <v>0</v>
      </c>
      <c r="J339" s="254">
        <f>VLOOKUP(C339,'Talente &amp; Stuff'!AF:BG,8,FALSE)</f>
        <v>0</v>
      </c>
      <c r="K339" s="254">
        <f>VLOOKUP(C339,'Talente &amp; Stuff'!AF:BG,9,FALSE)</f>
        <v>0</v>
      </c>
      <c r="L339" s="254">
        <f>VLOOKUP(C339,'Talente &amp; Stuff'!AF:BG,10,FALSE)</f>
        <v>0</v>
      </c>
      <c r="M339" s="318">
        <f>VLOOKUP(C339,'Talente &amp; Stuff'!AF:BG,11,FALSE)</f>
        <v>0</v>
      </c>
      <c r="N339" s="222">
        <f>VLOOKUP(C339,'Talente &amp; Stuff'!AF:BG,12,FALSE)</f>
        <v>0</v>
      </c>
      <c r="O339" s="223">
        <f>VLOOKUP(C339,'Talente &amp; Stuff'!AF:BG,13,FALSE)</f>
        <v>0</v>
      </c>
      <c r="P339" s="224">
        <f>VLOOKUP(C339,'Talente &amp; Stuff'!AF:BG,14,FALSE)</f>
        <v>0</v>
      </c>
      <c r="Q339" s="237">
        <f>VLOOKUP(C339,'Talente &amp; Stuff'!AF:BG,15,FALSE)</f>
        <v>0</v>
      </c>
      <c r="R339" s="254">
        <f>VLOOKUP(C339,'Talente &amp; Stuff'!AF:BG,16,FALSE)</f>
        <v>0</v>
      </c>
      <c r="S339" s="224">
        <f>VLOOKUP(C339,'Talente &amp; Stuff'!AF:BG,17,FALSE)</f>
        <v>0</v>
      </c>
      <c r="T339" s="242">
        <f>VLOOKUP(C339,'Talente &amp; Stuff'!AF:BG,18,FALSE)</f>
        <v>0</v>
      </c>
      <c r="U339" s="222">
        <f>VLOOKUP(C339,'Talente &amp; Stuff'!AF:BG,19,FALSE)</f>
        <v>0</v>
      </c>
      <c r="V339" s="223">
        <f>VLOOKUP(C339,'Talente &amp; Stuff'!AF:BG,20,FALSE)</f>
        <v>0</v>
      </c>
      <c r="W339" s="243">
        <f>VLOOKUP(C339,'Talente &amp; Stuff'!AF:BG,21,FALSE)</f>
        <v>0</v>
      </c>
      <c r="X339" s="218">
        <f>VLOOKUP(C339,'Talente &amp; Stuff'!AF:BG,22,FALSE)</f>
        <v>0</v>
      </c>
      <c r="Y339" s="252">
        <f>VLOOKUP(C339,Ausgewählte_Zauber_Zaubertänzer,52,FALSE)</f>
        <v>0</v>
      </c>
      <c r="Z339" s="309">
        <f>VLOOKUP(C339,Ausgewählte_Zauber_Zaubertänzer,53,FALSE)</f>
        <v>0</v>
      </c>
      <c r="AA339" s="218">
        <f>VLOOKUP(C339,'Talente &amp; Stuff'!AF:BG,25,FALSE)</f>
        <v>0</v>
      </c>
      <c r="AB339" s="242">
        <f>VLOOKUP(C339,'Talente &amp; Stuff'!AF:BG,26,FALSE)</f>
        <v>0</v>
      </c>
      <c r="AC339" s="218">
        <f>VLOOKUP(C339,'Talente &amp; Stuff'!AF:BG,27,FALSE)</f>
        <v>0</v>
      </c>
      <c r="AD339" s="218">
        <f>VLOOKUP(C339,'Talente &amp; Stuff'!AF:BG,28,FALSE)</f>
        <v>0</v>
      </c>
      <c r="AE339" s="343"/>
    </row>
    <row r="340" spans="1:31" s="217" customFormat="1" hidden="1" outlineLevel="2">
      <c r="A340" s="185"/>
      <c r="B340" s="217">
        <v>18</v>
      </c>
      <c r="C340" s="303" t="str">
        <f>Attribute!C340</f>
        <v>---</v>
      </c>
      <c r="D340" s="304" t="str">
        <f>VLOOKUP(C340,'Talente &amp; Stuff'!AF:BG,2,FALSE)</f>
        <v>--/--/--</v>
      </c>
      <c r="E340" s="304" t="str">
        <f>VLOOKUP(C340,'Talente &amp; Stuff'!AF:BG,3,FALSE)</f>
        <v>-</v>
      </c>
      <c r="F340" s="317">
        <f>VLOOKUP(C340,'Talente &amp; Stuff'!AF:BG,4,FALSE)</f>
        <v>0</v>
      </c>
      <c r="G340" s="254">
        <f>VLOOKUP(C340,'Talente &amp; Stuff'!AF:BG,5,FALSE)</f>
        <v>0</v>
      </c>
      <c r="H340" s="254">
        <f>VLOOKUP(C340,'Talente &amp; Stuff'!AF:BG,6,FALSE)</f>
        <v>0</v>
      </c>
      <c r="I340" s="254">
        <f>VLOOKUP(C340,'Talente &amp; Stuff'!AF:BG,7,FALSE)</f>
        <v>0</v>
      </c>
      <c r="J340" s="254">
        <f>VLOOKUP(C340,'Talente &amp; Stuff'!AF:BG,8,FALSE)</f>
        <v>0</v>
      </c>
      <c r="K340" s="254">
        <f>VLOOKUP(C340,'Talente &amp; Stuff'!AF:BG,9,FALSE)</f>
        <v>0</v>
      </c>
      <c r="L340" s="254">
        <f>VLOOKUP(C340,'Talente &amp; Stuff'!AF:BG,10,FALSE)</f>
        <v>0</v>
      </c>
      <c r="M340" s="318">
        <f>VLOOKUP(C340,'Talente &amp; Stuff'!AF:BG,11,FALSE)</f>
        <v>0</v>
      </c>
      <c r="N340" s="222">
        <f>VLOOKUP(C340,'Talente &amp; Stuff'!AF:BG,12,FALSE)</f>
        <v>0</v>
      </c>
      <c r="O340" s="223">
        <f>VLOOKUP(C340,'Talente &amp; Stuff'!AF:BG,13,FALSE)</f>
        <v>0</v>
      </c>
      <c r="P340" s="224">
        <f>VLOOKUP(C340,'Talente &amp; Stuff'!AF:BG,14,FALSE)</f>
        <v>0</v>
      </c>
      <c r="Q340" s="237">
        <f>VLOOKUP(C340,'Talente &amp; Stuff'!AF:BG,15,FALSE)</f>
        <v>0</v>
      </c>
      <c r="R340" s="254">
        <f>VLOOKUP(C340,'Talente &amp; Stuff'!AF:BG,16,FALSE)</f>
        <v>0</v>
      </c>
      <c r="S340" s="224">
        <f>VLOOKUP(C340,'Talente &amp; Stuff'!AF:BG,17,FALSE)</f>
        <v>0</v>
      </c>
      <c r="T340" s="242">
        <f>VLOOKUP(C340,'Talente &amp; Stuff'!AF:BG,18,FALSE)</f>
        <v>0</v>
      </c>
      <c r="U340" s="222">
        <f>VLOOKUP(C340,'Talente &amp; Stuff'!AF:BG,19,FALSE)</f>
        <v>0</v>
      </c>
      <c r="V340" s="223">
        <f>VLOOKUP(C340,'Talente &amp; Stuff'!AF:BG,20,FALSE)</f>
        <v>0</v>
      </c>
      <c r="W340" s="243">
        <f>VLOOKUP(C340,'Talente &amp; Stuff'!AF:BG,21,FALSE)</f>
        <v>0</v>
      </c>
      <c r="X340" s="218">
        <f>VLOOKUP(C340,'Talente &amp; Stuff'!AF:BG,22,FALSE)</f>
        <v>0</v>
      </c>
      <c r="Y340" s="252">
        <f>VLOOKUP(C340,Ausgewählte_Zauber_Zaubertänzer,52,FALSE)</f>
        <v>0</v>
      </c>
      <c r="Z340" s="309">
        <f>VLOOKUP(C340,Ausgewählte_Zauber_Zaubertänzer,53,FALSE)</f>
        <v>0</v>
      </c>
      <c r="AA340" s="218">
        <f>VLOOKUP(C340,'Talente &amp; Stuff'!AF:BG,25,FALSE)</f>
        <v>0</v>
      </c>
      <c r="AB340" s="242">
        <f>VLOOKUP(C340,'Talente &amp; Stuff'!AF:BG,26,FALSE)</f>
        <v>0</v>
      </c>
      <c r="AC340" s="218">
        <f>VLOOKUP(C340,'Talente &amp; Stuff'!AF:BG,27,FALSE)</f>
        <v>0</v>
      </c>
      <c r="AD340" s="218">
        <f>VLOOKUP(C340,'Talente &amp; Stuff'!AF:BG,28,FALSE)</f>
        <v>0</v>
      </c>
      <c r="AE340" s="343"/>
    </row>
    <row r="341" spans="1:31" s="217" customFormat="1" hidden="1" outlineLevel="2">
      <c r="A341" s="185"/>
      <c r="B341" s="217">
        <v>19</v>
      </c>
      <c r="C341" s="303" t="str">
        <f>Attribute!C341</f>
        <v>---</v>
      </c>
      <c r="D341" s="304" t="str">
        <f>VLOOKUP(C341,'Talente &amp; Stuff'!AF:BG,2,FALSE)</f>
        <v>--/--/--</v>
      </c>
      <c r="E341" s="304" t="str">
        <f>VLOOKUP(C341,'Talente &amp; Stuff'!AF:BG,3,FALSE)</f>
        <v>-</v>
      </c>
      <c r="F341" s="317">
        <f>VLOOKUP(C341,'Talente &amp; Stuff'!AF:BG,4,FALSE)</f>
        <v>0</v>
      </c>
      <c r="G341" s="254">
        <f>VLOOKUP(C341,'Talente &amp; Stuff'!AF:BG,5,FALSE)</f>
        <v>0</v>
      </c>
      <c r="H341" s="254">
        <f>VLOOKUP(C341,'Talente &amp; Stuff'!AF:BG,6,FALSE)</f>
        <v>0</v>
      </c>
      <c r="I341" s="254">
        <f>VLOOKUP(C341,'Talente &amp; Stuff'!AF:BG,7,FALSE)</f>
        <v>0</v>
      </c>
      <c r="J341" s="254">
        <f>VLOOKUP(C341,'Talente &amp; Stuff'!AF:BG,8,FALSE)</f>
        <v>0</v>
      </c>
      <c r="K341" s="254">
        <f>VLOOKUP(C341,'Talente &amp; Stuff'!AF:BG,9,FALSE)</f>
        <v>0</v>
      </c>
      <c r="L341" s="254">
        <f>VLOOKUP(C341,'Talente &amp; Stuff'!AF:BG,10,FALSE)</f>
        <v>0</v>
      </c>
      <c r="M341" s="318">
        <f>VLOOKUP(C341,'Talente &amp; Stuff'!AF:BG,11,FALSE)</f>
        <v>0</v>
      </c>
      <c r="N341" s="222">
        <f>VLOOKUP(C341,'Talente &amp; Stuff'!AF:BG,12,FALSE)</f>
        <v>0</v>
      </c>
      <c r="O341" s="223">
        <f>VLOOKUP(C341,'Talente &amp; Stuff'!AF:BG,13,FALSE)</f>
        <v>0</v>
      </c>
      <c r="P341" s="224">
        <f>VLOOKUP(C341,'Talente &amp; Stuff'!AF:BG,14,FALSE)</f>
        <v>0</v>
      </c>
      <c r="Q341" s="237">
        <f>VLOOKUP(C341,'Talente &amp; Stuff'!AF:BG,15,FALSE)</f>
        <v>0</v>
      </c>
      <c r="R341" s="254">
        <f>VLOOKUP(C341,'Talente &amp; Stuff'!AF:BG,16,FALSE)</f>
        <v>0</v>
      </c>
      <c r="S341" s="224">
        <f>VLOOKUP(C341,'Talente &amp; Stuff'!AF:BG,17,FALSE)</f>
        <v>0</v>
      </c>
      <c r="T341" s="242">
        <f>VLOOKUP(C341,'Talente &amp; Stuff'!AF:BG,18,FALSE)</f>
        <v>0</v>
      </c>
      <c r="U341" s="222">
        <f>VLOOKUP(C341,'Talente &amp; Stuff'!AF:BG,19,FALSE)</f>
        <v>0</v>
      </c>
      <c r="V341" s="223">
        <f>VLOOKUP(C341,'Talente &amp; Stuff'!AF:BG,20,FALSE)</f>
        <v>0</v>
      </c>
      <c r="W341" s="243">
        <f>VLOOKUP(C341,'Talente &amp; Stuff'!AF:BG,21,FALSE)</f>
        <v>0</v>
      </c>
      <c r="X341" s="218">
        <f>VLOOKUP(C341,'Talente &amp; Stuff'!AF:BG,22,FALSE)</f>
        <v>0</v>
      </c>
      <c r="Y341" s="252">
        <f>VLOOKUP(C341,Ausgewählte_Zauber_Zaubertänzer,52,FALSE)</f>
        <v>0</v>
      </c>
      <c r="Z341" s="309">
        <f>VLOOKUP(C341,Ausgewählte_Zauber_Zaubertänzer,53,FALSE)</f>
        <v>0</v>
      </c>
      <c r="AA341" s="218">
        <f>VLOOKUP(C341,'Talente &amp; Stuff'!AF:BG,25,FALSE)</f>
        <v>0</v>
      </c>
      <c r="AB341" s="242">
        <f>VLOOKUP(C341,'Talente &amp; Stuff'!AF:BG,26,FALSE)</f>
        <v>0</v>
      </c>
      <c r="AC341" s="218">
        <f>VLOOKUP(C341,'Talente &amp; Stuff'!AF:BG,27,FALSE)</f>
        <v>0</v>
      </c>
      <c r="AD341" s="218">
        <f>VLOOKUP(C341,'Talente &amp; Stuff'!AF:BG,28,FALSE)</f>
        <v>0</v>
      </c>
      <c r="AE341" s="343"/>
    </row>
    <row r="342" spans="1:31" s="217" customFormat="1" hidden="1" outlineLevel="2">
      <c r="A342" s="185"/>
      <c r="B342" s="217">
        <v>20</v>
      </c>
      <c r="C342" s="303" t="str">
        <f>Attribute!C342</f>
        <v>---</v>
      </c>
      <c r="D342" s="304" t="str">
        <f>VLOOKUP(C342,'Talente &amp; Stuff'!AF:BG,2,FALSE)</f>
        <v>--/--/--</v>
      </c>
      <c r="E342" s="304" t="str">
        <f>VLOOKUP(C342,'Talente &amp; Stuff'!AF:BG,3,FALSE)</f>
        <v>-</v>
      </c>
      <c r="F342" s="317">
        <f>VLOOKUP(C342,'Talente &amp; Stuff'!AF:BG,4,FALSE)</f>
        <v>0</v>
      </c>
      <c r="G342" s="254">
        <f>VLOOKUP(C342,'Talente &amp; Stuff'!AF:BG,5,FALSE)</f>
        <v>0</v>
      </c>
      <c r="H342" s="254">
        <f>VLOOKUP(C342,'Talente &amp; Stuff'!AF:BG,6,FALSE)</f>
        <v>0</v>
      </c>
      <c r="I342" s="254">
        <f>VLOOKUP(C342,'Talente &amp; Stuff'!AF:BG,7,FALSE)</f>
        <v>0</v>
      </c>
      <c r="J342" s="254">
        <f>VLOOKUP(C342,'Talente &amp; Stuff'!AF:BG,8,FALSE)</f>
        <v>0</v>
      </c>
      <c r="K342" s="254">
        <f>VLOOKUP(C342,'Talente &amp; Stuff'!AF:BG,9,FALSE)</f>
        <v>0</v>
      </c>
      <c r="L342" s="254">
        <f>VLOOKUP(C342,'Talente &amp; Stuff'!AF:BG,10,FALSE)</f>
        <v>0</v>
      </c>
      <c r="M342" s="318">
        <f>VLOOKUP(C342,'Talente &amp; Stuff'!AF:BG,11,FALSE)</f>
        <v>0</v>
      </c>
      <c r="N342" s="222">
        <f>VLOOKUP(C342,'Talente &amp; Stuff'!AF:BG,12,FALSE)</f>
        <v>0</v>
      </c>
      <c r="O342" s="223">
        <f>VLOOKUP(C342,'Talente &amp; Stuff'!AF:BG,13,FALSE)</f>
        <v>0</v>
      </c>
      <c r="P342" s="224">
        <f>VLOOKUP(C342,'Talente &amp; Stuff'!AF:BG,14,FALSE)</f>
        <v>0</v>
      </c>
      <c r="Q342" s="237">
        <f>VLOOKUP(C342,'Talente &amp; Stuff'!AF:BG,15,FALSE)</f>
        <v>0</v>
      </c>
      <c r="R342" s="254">
        <f>VLOOKUP(C342,'Talente &amp; Stuff'!AF:BG,16,FALSE)</f>
        <v>0</v>
      </c>
      <c r="S342" s="224">
        <f>VLOOKUP(C342,'Talente &amp; Stuff'!AF:BG,17,FALSE)</f>
        <v>0</v>
      </c>
      <c r="T342" s="242">
        <f>VLOOKUP(C342,'Talente &amp; Stuff'!AF:BG,18,FALSE)</f>
        <v>0</v>
      </c>
      <c r="U342" s="222">
        <f>VLOOKUP(C342,'Talente &amp; Stuff'!AF:BG,19,FALSE)</f>
        <v>0</v>
      </c>
      <c r="V342" s="223">
        <f>VLOOKUP(C342,'Talente &amp; Stuff'!AF:BG,20,FALSE)</f>
        <v>0</v>
      </c>
      <c r="W342" s="243">
        <f>VLOOKUP(C342,'Talente &amp; Stuff'!AF:BG,21,FALSE)</f>
        <v>0</v>
      </c>
      <c r="X342" s="218">
        <f>VLOOKUP(C342,'Talente &amp; Stuff'!AF:BG,22,FALSE)</f>
        <v>0</v>
      </c>
      <c r="Y342" s="252">
        <f>VLOOKUP(C342,Ausgewählte_Zauber_Zaubertänzer,52,FALSE)</f>
        <v>0</v>
      </c>
      <c r="Z342" s="309">
        <f>VLOOKUP(C342,Ausgewählte_Zauber_Zaubertänzer,53,FALSE)</f>
        <v>0</v>
      </c>
      <c r="AA342" s="218">
        <f>VLOOKUP(C342,'Talente &amp; Stuff'!AF:BG,25,FALSE)</f>
        <v>0</v>
      </c>
      <c r="AB342" s="242">
        <f>VLOOKUP(C342,'Talente &amp; Stuff'!AF:BG,26,FALSE)</f>
        <v>0</v>
      </c>
      <c r="AC342" s="218">
        <f>VLOOKUP(C342,'Talente &amp; Stuff'!AF:BG,27,FALSE)</f>
        <v>0</v>
      </c>
      <c r="AD342" s="218">
        <f>VLOOKUP(C342,'Talente &amp; Stuff'!AF:BG,28,FALSE)</f>
        <v>0</v>
      </c>
      <c r="AE342" s="343"/>
    </row>
    <row r="343" spans="1:31" s="217" customFormat="1" hidden="1" outlineLevel="2">
      <c r="A343" s="185"/>
      <c r="B343" s="217">
        <v>21</v>
      </c>
      <c r="C343" s="303" t="str">
        <f>Attribute!C343</f>
        <v>---</v>
      </c>
      <c r="D343" s="304" t="str">
        <f>VLOOKUP(C343,'Talente &amp; Stuff'!AF:BG,2,FALSE)</f>
        <v>--/--/--</v>
      </c>
      <c r="E343" s="304" t="str">
        <f>VLOOKUP(C343,'Talente &amp; Stuff'!AF:BG,3,FALSE)</f>
        <v>-</v>
      </c>
      <c r="F343" s="317">
        <f>VLOOKUP(C343,'Talente &amp; Stuff'!AF:BG,4,FALSE)</f>
        <v>0</v>
      </c>
      <c r="G343" s="254">
        <f>VLOOKUP(C343,'Talente &amp; Stuff'!AF:BG,5,FALSE)</f>
        <v>0</v>
      </c>
      <c r="H343" s="254">
        <f>VLOOKUP(C343,'Talente &amp; Stuff'!AF:BG,6,FALSE)</f>
        <v>0</v>
      </c>
      <c r="I343" s="254">
        <f>VLOOKUP(C343,'Talente &amp; Stuff'!AF:BG,7,FALSE)</f>
        <v>0</v>
      </c>
      <c r="J343" s="254">
        <f>VLOOKUP(C343,'Talente &amp; Stuff'!AF:BG,8,FALSE)</f>
        <v>0</v>
      </c>
      <c r="K343" s="254">
        <f>VLOOKUP(C343,'Talente &amp; Stuff'!AF:BG,9,FALSE)</f>
        <v>0</v>
      </c>
      <c r="L343" s="254">
        <f>VLOOKUP(C343,'Talente &amp; Stuff'!AF:BG,10,FALSE)</f>
        <v>0</v>
      </c>
      <c r="M343" s="318">
        <f>VLOOKUP(C343,'Talente &amp; Stuff'!AF:BG,11,FALSE)</f>
        <v>0</v>
      </c>
      <c r="N343" s="222">
        <f>VLOOKUP(C343,'Talente &amp; Stuff'!AF:BG,12,FALSE)</f>
        <v>0</v>
      </c>
      <c r="O343" s="223">
        <f>VLOOKUP(C343,'Talente &amp; Stuff'!AF:BG,13,FALSE)</f>
        <v>0</v>
      </c>
      <c r="P343" s="224">
        <f>VLOOKUP(C343,'Talente &amp; Stuff'!AF:BG,14,FALSE)</f>
        <v>0</v>
      </c>
      <c r="Q343" s="237">
        <f>VLOOKUP(C343,'Talente &amp; Stuff'!AF:BG,15,FALSE)</f>
        <v>0</v>
      </c>
      <c r="R343" s="254">
        <f>VLOOKUP(C343,'Talente &amp; Stuff'!AF:BG,16,FALSE)</f>
        <v>0</v>
      </c>
      <c r="S343" s="224">
        <f>VLOOKUP(C343,'Talente &amp; Stuff'!AF:BG,17,FALSE)</f>
        <v>0</v>
      </c>
      <c r="T343" s="242">
        <f>VLOOKUP(C343,'Talente &amp; Stuff'!AF:BG,18,FALSE)</f>
        <v>0</v>
      </c>
      <c r="U343" s="222">
        <f>VLOOKUP(C343,'Talente &amp; Stuff'!AF:BG,19,FALSE)</f>
        <v>0</v>
      </c>
      <c r="V343" s="223">
        <f>VLOOKUP(C343,'Talente &amp; Stuff'!AF:BG,20,FALSE)</f>
        <v>0</v>
      </c>
      <c r="W343" s="243">
        <f>VLOOKUP(C343,'Talente &amp; Stuff'!AF:BG,21,FALSE)</f>
        <v>0</v>
      </c>
      <c r="X343" s="218">
        <f>VLOOKUP(C343,'Talente &amp; Stuff'!AF:BG,22,FALSE)</f>
        <v>0</v>
      </c>
      <c r="Y343" s="252">
        <f>VLOOKUP(C343,Ausgewählte_Zauber_Zaubertänzer,52,FALSE)</f>
        <v>0</v>
      </c>
      <c r="Z343" s="309">
        <f>VLOOKUP(C343,Ausgewählte_Zauber_Zaubertänzer,53,FALSE)</f>
        <v>0</v>
      </c>
      <c r="AA343" s="218">
        <f>VLOOKUP(C343,'Talente &amp; Stuff'!AF:BG,25,FALSE)</f>
        <v>0</v>
      </c>
      <c r="AB343" s="242">
        <f>VLOOKUP(C343,'Talente &amp; Stuff'!AF:BG,26,FALSE)</f>
        <v>0</v>
      </c>
      <c r="AC343" s="218">
        <f>VLOOKUP(C343,'Talente &amp; Stuff'!AF:BG,27,FALSE)</f>
        <v>0</v>
      </c>
      <c r="AD343" s="218">
        <f>VLOOKUP(C343,'Talente &amp; Stuff'!AF:BG,28,FALSE)</f>
        <v>0</v>
      </c>
      <c r="AE343" s="343"/>
    </row>
    <row r="344" spans="1:31" s="217" customFormat="1" hidden="1" outlineLevel="2">
      <c r="A344" s="185"/>
      <c r="B344" s="217">
        <v>22</v>
      </c>
      <c r="C344" s="303" t="str">
        <f>Attribute!C344</f>
        <v>---</v>
      </c>
      <c r="D344" s="304" t="str">
        <f>VLOOKUP(C344,'Talente &amp; Stuff'!AF:BG,2,FALSE)</f>
        <v>--/--/--</v>
      </c>
      <c r="E344" s="304" t="str">
        <f>VLOOKUP(C344,'Talente &amp; Stuff'!AF:BG,3,FALSE)</f>
        <v>-</v>
      </c>
      <c r="F344" s="317">
        <f>VLOOKUP(C344,'Talente &amp; Stuff'!AF:BG,4,FALSE)</f>
        <v>0</v>
      </c>
      <c r="G344" s="254">
        <f>VLOOKUP(C344,'Talente &amp; Stuff'!AF:BG,5,FALSE)</f>
        <v>0</v>
      </c>
      <c r="H344" s="254">
        <f>VLOOKUP(C344,'Talente &amp; Stuff'!AF:BG,6,FALSE)</f>
        <v>0</v>
      </c>
      <c r="I344" s="254">
        <f>VLOOKUP(C344,'Talente &amp; Stuff'!AF:BG,7,FALSE)</f>
        <v>0</v>
      </c>
      <c r="J344" s="254">
        <f>VLOOKUP(C344,'Talente &amp; Stuff'!AF:BG,8,FALSE)</f>
        <v>0</v>
      </c>
      <c r="K344" s="254">
        <f>VLOOKUP(C344,'Talente &amp; Stuff'!AF:BG,9,FALSE)</f>
        <v>0</v>
      </c>
      <c r="L344" s="254">
        <f>VLOOKUP(C344,'Talente &amp; Stuff'!AF:BG,10,FALSE)</f>
        <v>0</v>
      </c>
      <c r="M344" s="318">
        <f>VLOOKUP(C344,'Talente &amp; Stuff'!AF:BG,11,FALSE)</f>
        <v>0</v>
      </c>
      <c r="N344" s="222">
        <f>VLOOKUP(C344,'Talente &amp; Stuff'!AF:BG,12,FALSE)</f>
        <v>0</v>
      </c>
      <c r="O344" s="223">
        <f>VLOOKUP(C344,'Talente &amp; Stuff'!AF:BG,13,FALSE)</f>
        <v>0</v>
      </c>
      <c r="P344" s="224">
        <f>VLOOKUP(C344,'Talente &amp; Stuff'!AF:BG,14,FALSE)</f>
        <v>0</v>
      </c>
      <c r="Q344" s="237">
        <f>VLOOKUP(C344,'Talente &amp; Stuff'!AF:BG,15,FALSE)</f>
        <v>0</v>
      </c>
      <c r="R344" s="254">
        <f>VLOOKUP(C344,'Talente &amp; Stuff'!AF:BG,16,FALSE)</f>
        <v>0</v>
      </c>
      <c r="S344" s="224">
        <f>VLOOKUP(C344,'Talente &amp; Stuff'!AF:BG,17,FALSE)</f>
        <v>0</v>
      </c>
      <c r="T344" s="242">
        <f>VLOOKUP(C344,'Talente &amp; Stuff'!AF:BG,18,FALSE)</f>
        <v>0</v>
      </c>
      <c r="U344" s="222">
        <f>VLOOKUP(C344,'Talente &amp; Stuff'!AF:BG,19,FALSE)</f>
        <v>0</v>
      </c>
      <c r="V344" s="223">
        <f>VLOOKUP(C344,'Talente &amp; Stuff'!AF:BG,20,FALSE)</f>
        <v>0</v>
      </c>
      <c r="W344" s="243">
        <f>VLOOKUP(C344,'Talente &amp; Stuff'!AF:BG,21,FALSE)</f>
        <v>0</v>
      </c>
      <c r="X344" s="218">
        <f>VLOOKUP(C344,'Talente &amp; Stuff'!AF:BG,22,FALSE)</f>
        <v>0</v>
      </c>
      <c r="Y344" s="252">
        <f>VLOOKUP(C344,Ausgewählte_Zauber_Zaubertänzer,52,FALSE)</f>
        <v>0</v>
      </c>
      <c r="Z344" s="309">
        <f>VLOOKUP(C344,Ausgewählte_Zauber_Zaubertänzer,53,FALSE)</f>
        <v>0</v>
      </c>
      <c r="AA344" s="218">
        <f>VLOOKUP(C344,'Talente &amp; Stuff'!AF:BG,25,FALSE)</f>
        <v>0</v>
      </c>
      <c r="AB344" s="242">
        <f>VLOOKUP(C344,'Talente &amp; Stuff'!AF:BG,26,FALSE)</f>
        <v>0</v>
      </c>
      <c r="AC344" s="218">
        <f>VLOOKUP(C344,'Talente &amp; Stuff'!AF:BG,27,FALSE)</f>
        <v>0</v>
      </c>
      <c r="AD344" s="218">
        <f>VLOOKUP(C344,'Talente &amp; Stuff'!AF:BG,28,FALSE)</f>
        <v>0</v>
      </c>
      <c r="AE344" s="343"/>
    </row>
    <row r="345" spans="1:31" s="217" customFormat="1" hidden="1" outlineLevel="2">
      <c r="A345" s="185"/>
      <c r="B345" s="217">
        <v>23</v>
      </c>
      <c r="C345" s="303" t="str">
        <f>Attribute!C345</f>
        <v>---</v>
      </c>
      <c r="D345" s="304" t="str">
        <f>VLOOKUP(C345,'Talente &amp; Stuff'!AF:BG,2,FALSE)</f>
        <v>--/--/--</v>
      </c>
      <c r="E345" s="218" t="str">
        <f>VLOOKUP(C345,'Talente &amp; Stuff'!AF:BG,3,FALSE)</f>
        <v>-</v>
      </c>
      <c r="F345" s="237">
        <f>VLOOKUP(C345,'Talente &amp; Stuff'!AF:BG,4,FALSE)</f>
        <v>0</v>
      </c>
      <c r="G345" s="234">
        <f>VLOOKUP(C345,'Talente &amp; Stuff'!AF:BG,5,FALSE)</f>
        <v>0</v>
      </c>
      <c r="H345" s="234">
        <f>VLOOKUP(C345,'Talente &amp; Stuff'!AF:BG,6,FALSE)</f>
        <v>0</v>
      </c>
      <c r="I345" s="234">
        <f>VLOOKUP(C345,'Talente &amp; Stuff'!AF:BG,7,FALSE)</f>
        <v>0</v>
      </c>
      <c r="J345" s="234">
        <f>VLOOKUP(C345,'Talente &amp; Stuff'!AF:BG,8,FALSE)</f>
        <v>0</v>
      </c>
      <c r="K345" s="234">
        <f>VLOOKUP(C345,'Talente &amp; Stuff'!AF:BG,9,FALSE)</f>
        <v>0</v>
      </c>
      <c r="L345" s="234">
        <f>VLOOKUP(C345,'Talente &amp; Stuff'!AF:BG,10,FALSE)</f>
        <v>0</v>
      </c>
      <c r="M345" s="224">
        <f>VLOOKUP(C345,'Talente &amp; Stuff'!AF:BG,11,FALSE)</f>
        <v>0</v>
      </c>
      <c r="N345" s="222">
        <f>VLOOKUP(C345,'Talente &amp; Stuff'!AF:BG,12,FALSE)</f>
        <v>0</v>
      </c>
      <c r="O345" s="223">
        <f>VLOOKUP(C345,'Talente &amp; Stuff'!AF:BG,13,FALSE)</f>
        <v>0</v>
      </c>
      <c r="P345" s="224">
        <f>VLOOKUP(C345,'Talente &amp; Stuff'!AF:BG,14,FALSE)</f>
        <v>0</v>
      </c>
      <c r="Q345" s="237">
        <f>VLOOKUP(C345,'Talente &amp; Stuff'!AF:BG,15,FALSE)</f>
        <v>0</v>
      </c>
      <c r="R345" s="254">
        <f>VLOOKUP(C345,'Talente &amp; Stuff'!AF:BG,16,FALSE)</f>
        <v>0</v>
      </c>
      <c r="S345" s="224">
        <f>VLOOKUP(C345,'Talente &amp; Stuff'!AF:BG,17,FALSE)</f>
        <v>0</v>
      </c>
      <c r="T345" s="242">
        <f>VLOOKUP(C345,'Talente &amp; Stuff'!AF:BG,18,FALSE)</f>
        <v>0</v>
      </c>
      <c r="U345" s="222">
        <f>VLOOKUP(C345,'Talente &amp; Stuff'!AF:BG,19,FALSE)</f>
        <v>0</v>
      </c>
      <c r="V345" s="223">
        <f>VLOOKUP(C345,'Talente &amp; Stuff'!AF:BG,20,FALSE)</f>
        <v>0</v>
      </c>
      <c r="W345" s="243">
        <f>VLOOKUP(C345,'Talente &amp; Stuff'!AF:BG,21,FALSE)</f>
        <v>0</v>
      </c>
      <c r="X345" s="218">
        <f>VLOOKUP(C345,'Talente &amp; Stuff'!AF:BG,22,FALSE)</f>
        <v>0</v>
      </c>
      <c r="Y345" s="252">
        <f>VLOOKUP(C345,Ausgewählte_Zauber_Zaubertänzer,52,FALSE)</f>
        <v>0</v>
      </c>
      <c r="Z345" s="309">
        <f>VLOOKUP(C345,Ausgewählte_Zauber_Zaubertänzer,53,FALSE)</f>
        <v>0</v>
      </c>
      <c r="AA345" s="218">
        <f>VLOOKUP(C345,'Talente &amp; Stuff'!AF:BG,25,FALSE)</f>
        <v>0</v>
      </c>
      <c r="AB345" s="242">
        <f>VLOOKUP(C345,'Talente &amp; Stuff'!AF:BG,26,FALSE)</f>
        <v>0</v>
      </c>
      <c r="AC345" s="218">
        <f>VLOOKUP(C345,'Talente &amp; Stuff'!AF:BG,27,FALSE)</f>
        <v>0</v>
      </c>
      <c r="AD345" s="218">
        <f>VLOOKUP(C345,'Talente &amp; Stuff'!AF:BG,28,FALSE)</f>
        <v>0</v>
      </c>
      <c r="AE345" s="343"/>
    </row>
    <row r="346" spans="1:31" s="217" customFormat="1" hidden="1" outlineLevel="2">
      <c r="A346" s="185"/>
      <c r="B346" s="217">
        <v>24</v>
      </c>
      <c r="C346" s="303" t="str">
        <f>Attribute!C346</f>
        <v>---</v>
      </c>
      <c r="D346" s="304" t="str">
        <f>VLOOKUP(C346,'Talente &amp; Stuff'!AF:BG,2,FALSE)</f>
        <v>--/--/--</v>
      </c>
      <c r="E346" s="218" t="str">
        <f>VLOOKUP(C346,'Talente &amp; Stuff'!AF:BG,3,FALSE)</f>
        <v>-</v>
      </c>
      <c r="F346" s="237">
        <f>VLOOKUP(C346,'Talente &amp; Stuff'!AF:BG,4,FALSE)</f>
        <v>0</v>
      </c>
      <c r="G346" s="234">
        <f>VLOOKUP(C346,'Talente &amp; Stuff'!AF:BG,5,FALSE)</f>
        <v>0</v>
      </c>
      <c r="H346" s="234">
        <f>VLOOKUP(C346,'Talente &amp; Stuff'!AF:BG,6,FALSE)</f>
        <v>0</v>
      </c>
      <c r="I346" s="234">
        <f>VLOOKUP(C346,'Talente &amp; Stuff'!AF:BG,7,FALSE)</f>
        <v>0</v>
      </c>
      <c r="J346" s="234">
        <f>VLOOKUP(C346,'Talente &amp; Stuff'!AF:BG,8,FALSE)</f>
        <v>0</v>
      </c>
      <c r="K346" s="234">
        <f>VLOOKUP(C346,'Talente &amp; Stuff'!AF:BG,9,FALSE)</f>
        <v>0</v>
      </c>
      <c r="L346" s="234">
        <f>VLOOKUP(C346,'Talente &amp; Stuff'!AF:BG,10,FALSE)</f>
        <v>0</v>
      </c>
      <c r="M346" s="224">
        <f>VLOOKUP(C346,'Talente &amp; Stuff'!AF:BG,11,FALSE)</f>
        <v>0</v>
      </c>
      <c r="N346" s="222">
        <f>VLOOKUP(C346,'Talente &amp; Stuff'!AF:BG,12,FALSE)</f>
        <v>0</v>
      </c>
      <c r="O346" s="223">
        <f>VLOOKUP(C346,'Talente &amp; Stuff'!AF:BG,13,FALSE)</f>
        <v>0</v>
      </c>
      <c r="P346" s="224">
        <f>VLOOKUP(C346,'Talente &amp; Stuff'!AF:BG,14,FALSE)</f>
        <v>0</v>
      </c>
      <c r="Q346" s="237">
        <f>VLOOKUP(C346,'Talente &amp; Stuff'!AF:BG,15,FALSE)</f>
        <v>0</v>
      </c>
      <c r="R346" s="254">
        <f>VLOOKUP(C346,'Talente &amp; Stuff'!AF:BG,16,FALSE)</f>
        <v>0</v>
      </c>
      <c r="S346" s="224">
        <f>VLOOKUP(C346,'Talente &amp; Stuff'!AF:BG,17,FALSE)</f>
        <v>0</v>
      </c>
      <c r="T346" s="242">
        <f>VLOOKUP(C346,'Talente &amp; Stuff'!AF:BG,18,FALSE)</f>
        <v>0</v>
      </c>
      <c r="U346" s="222">
        <f>VLOOKUP(C346,'Talente &amp; Stuff'!AF:BG,19,FALSE)</f>
        <v>0</v>
      </c>
      <c r="V346" s="223">
        <f>VLOOKUP(C346,'Talente &amp; Stuff'!AF:BG,20,FALSE)</f>
        <v>0</v>
      </c>
      <c r="W346" s="243">
        <f>VLOOKUP(C346,'Talente &amp; Stuff'!AF:BG,21,FALSE)</f>
        <v>0</v>
      </c>
      <c r="X346" s="218">
        <f>VLOOKUP(C346,'Talente &amp; Stuff'!AF:BG,22,FALSE)</f>
        <v>0</v>
      </c>
      <c r="Y346" s="252">
        <f>VLOOKUP(C346,Ausgewählte_Zauber_Zaubertänzer,52,FALSE)</f>
        <v>0</v>
      </c>
      <c r="Z346" s="309">
        <f>VLOOKUP(C346,Ausgewählte_Zauber_Zaubertänzer,53,FALSE)</f>
        <v>0</v>
      </c>
      <c r="AA346" s="218">
        <f>VLOOKUP(C346,'Talente &amp; Stuff'!AF:BG,25,FALSE)</f>
        <v>0</v>
      </c>
      <c r="AB346" s="242">
        <f>VLOOKUP(C346,'Talente &amp; Stuff'!AF:BG,26,FALSE)</f>
        <v>0</v>
      </c>
      <c r="AC346" s="218">
        <f>VLOOKUP(C346,'Talente &amp; Stuff'!AF:BG,27,FALSE)</f>
        <v>0</v>
      </c>
      <c r="AD346" s="218">
        <f>VLOOKUP(C346,'Talente &amp; Stuff'!AF:BG,28,FALSE)</f>
        <v>0</v>
      </c>
      <c r="AE346" s="343"/>
    </row>
    <row r="347" spans="1:31" s="217" customFormat="1" hidden="1" outlineLevel="2">
      <c r="A347" s="185"/>
      <c r="B347" s="217">
        <v>25</v>
      </c>
      <c r="C347" s="303" t="str">
        <f>Attribute!C347</f>
        <v>---</v>
      </c>
      <c r="D347" s="304" t="str">
        <f>VLOOKUP(C347,'Talente &amp; Stuff'!AF:BG,2,FALSE)</f>
        <v>--/--/--</v>
      </c>
      <c r="E347" s="218" t="str">
        <f>VLOOKUP(C347,'Talente &amp; Stuff'!AF:BG,3,FALSE)</f>
        <v>-</v>
      </c>
      <c r="F347" s="237">
        <f>VLOOKUP(C347,'Talente &amp; Stuff'!AF:BG,4,FALSE)</f>
        <v>0</v>
      </c>
      <c r="G347" s="234">
        <f>VLOOKUP(C347,'Talente &amp; Stuff'!AF:BG,5,FALSE)</f>
        <v>0</v>
      </c>
      <c r="H347" s="234">
        <f>VLOOKUP(C347,'Talente &amp; Stuff'!AF:BG,6,FALSE)</f>
        <v>0</v>
      </c>
      <c r="I347" s="234">
        <f>VLOOKUP(C347,'Talente &amp; Stuff'!AF:BG,7,FALSE)</f>
        <v>0</v>
      </c>
      <c r="J347" s="234">
        <f>VLOOKUP(C347,'Talente &amp; Stuff'!AF:BG,8,FALSE)</f>
        <v>0</v>
      </c>
      <c r="K347" s="234">
        <f>VLOOKUP(C347,'Talente &amp; Stuff'!AF:BG,9,FALSE)</f>
        <v>0</v>
      </c>
      <c r="L347" s="234">
        <f>VLOOKUP(C347,'Talente &amp; Stuff'!AF:BG,10,FALSE)</f>
        <v>0</v>
      </c>
      <c r="M347" s="224">
        <f>VLOOKUP(C347,'Talente &amp; Stuff'!AF:BG,11,FALSE)</f>
        <v>0</v>
      </c>
      <c r="N347" s="222">
        <f>VLOOKUP(C347,'Talente &amp; Stuff'!AF:BG,12,FALSE)</f>
        <v>0</v>
      </c>
      <c r="O347" s="223">
        <f>VLOOKUP(C347,'Talente &amp; Stuff'!AF:BG,13,FALSE)</f>
        <v>0</v>
      </c>
      <c r="P347" s="224">
        <f>VLOOKUP(C347,'Talente &amp; Stuff'!AF:BG,14,FALSE)</f>
        <v>0</v>
      </c>
      <c r="Q347" s="237">
        <f>VLOOKUP(C347,'Talente &amp; Stuff'!AF:BG,15,FALSE)</f>
        <v>0</v>
      </c>
      <c r="R347" s="254">
        <f>VLOOKUP(C347,'Talente &amp; Stuff'!AF:BG,16,FALSE)</f>
        <v>0</v>
      </c>
      <c r="S347" s="224">
        <f>VLOOKUP(C347,'Talente &amp; Stuff'!AF:BG,17,FALSE)</f>
        <v>0</v>
      </c>
      <c r="T347" s="242">
        <f>VLOOKUP(C347,'Talente &amp; Stuff'!AF:BG,18,FALSE)</f>
        <v>0</v>
      </c>
      <c r="U347" s="222">
        <f>VLOOKUP(C347,'Talente &amp; Stuff'!AF:BG,19,FALSE)</f>
        <v>0</v>
      </c>
      <c r="V347" s="223">
        <f>VLOOKUP(C347,'Talente &amp; Stuff'!AF:BG,20,FALSE)</f>
        <v>0</v>
      </c>
      <c r="W347" s="243">
        <f>VLOOKUP(C347,'Talente &amp; Stuff'!AF:BG,21,FALSE)</f>
        <v>0</v>
      </c>
      <c r="X347" s="218">
        <f>VLOOKUP(C347,'Talente &amp; Stuff'!AF:BG,22,FALSE)</f>
        <v>0</v>
      </c>
      <c r="Y347" s="252">
        <f>VLOOKUP(C347,Ausgewählte_Zauber_Zaubertänzer,52,FALSE)</f>
        <v>0</v>
      </c>
      <c r="Z347" s="309">
        <f>VLOOKUP(C347,Ausgewählte_Zauber_Zaubertänzer,53,FALSE)</f>
        <v>0</v>
      </c>
      <c r="AA347" s="218">
        <f>VLOOKUP(C347,'Talente &amp; Stuff'!AF:BG,25,FALSE)</f>
        <v>0</v>
      </c>
      <c r="AB347" s="242">
        <f>VLOOKUP(C347,'Talente &amp; Stuff'!AF:BG,26,FALSE)</f>
        <v>0</v>
      </c>
      <c r="AC347" s="218">
        <f>VLOOKUP(C347,'Talente &amp; Stuff'!AF:BG,27,FALSE)</f>
        <v>0</v>
      </c>
      <c r="AD347" s="218">
        <f>VLOOKUP(C347,'Talente &amp; Stuff'!AF:BG,28,FALSE)</f>
        <v>0</v>
      </c>
      <c r="AE347" s="343"/>
    </row>
    <row r="348" spans="1:31" s="217" customFormat="1" hidden="1" outlineLevel="2">
      <c r="A348" s="185"/>
      <c r="B348" s="217">
        <v>26</v>
      </c>
      <c r="C348" s="306" t="str">
        <f>Attribute!C348</f>
        <v>---</v>
      </c>
      <c r="D348" s="314" t="str">
        <f>VLOOKUP(C348,'Talente &amp; Stuff'!AF:BG,2,FALSE)</f>
        <v>--/--/--</v>
      </c>
      <c r="E348" s="246" t="str">
        <f>VLOOKUP(C348,'Talente &amp; Stuff'!AF:BG,3,FALSE)</f>
        <v>-</v>
      </c>
      <c r="F348" s="238">
        <f>VLOOKUP(C348,'Talente &amp; Stuff'!AF:BG,4,FALSE)</f>
        <v>0</v>
      </c>
      <c r="G348" s="235">
        <f>VLOOKUP(C348,'Talente &amp; Stuff'!AF:BG,5,FALSE)</f>
        <v>0</v>
      </c>
      <c r="H348" s="235">
        <f>VLOOKUP(C348,'Talente &amp; Stuff'!AF:BG,6,FALSE)</f>
        <v>0</v>
      </c>
      <c r="I348" s="235">
        <f>VLOOKUP(C348,'Talente &amp; Stuff'!AF:BG,7,FALSE)</f>
        <v>0</v>
      </c>
      <c r="J348" s="235">
        <f>VLOOKUP(C348,'Talente &amp; Stuff'!AF:BG,8,FALSE)</f>
        <v>0</v>
      </c>
      <c r="K348" s="235">
        <f>VLOOKUP(C348,'Talente &amp; Stuff'!AF:BG,9,FALSE)</f>
        <v>0</v>
      </c>
      <c r="L348" s="235">
        <f>VLOOKUP(C348,'Talente &amp; Stuff'!AF:BG,10,FALSE)</f>
        <v>0</v>
      </c>
      <c r="M348" s="227">
        <f>VLOOKUP(C348,'Talente &amp; Stuff'!AF:BG,11,FALSE)</f>
        <v>0</v>
      </c>
      <c r="N348" s="225">
        <f>VLOOKUP(C348,'Talente &amp; Stuff'!AF:BG,12,FALSE)</f>
        <v>0</v>
      </c>
      <c r="O348" s="226">
        <f>VLOOKUP(C348,'Talente &amp; Stuff'!AF:BG,13,FALSE)</f>
        <v>0</v>
      </c>
      <c r="P348" s="227">
        <f>VLOOKUP(C348,'Talente &amp; Stuff'!AF:BG,14,FALSE)</f>
        <v>0</v>
      </c>
      <c r="Q348" s="238">
        <f>VLOOKUP(C348,'Talente &amp; Stuff'!AF:BG,15,FALSE)</f>
        <v>0</v>
      </c>
      <c r="R348" s="315">
        <f>VLOOKUP(C348,'Talente &amp; Stuff'!AF:BG,16,FALSE)</f>
        <v>0</v>
      </c>
      <c r="S348" s="227">
        <f>VLOOKUP(C348,'Talente &amp; Stuff'!AF:BG,17,FALSE)</f>
        <v>0</v>
      </c>
      <c r="T348" s="244">
        <f>VLOOKUP(C348,'Talente &amp; Stuff'!AF:BG,18,FALSE)</f>
        <v>0</v>
      </c>
      <c r="U348" s="225">
        <f>VLOOKUP(C348,'Talente &amp; Stuff'!AF:BG,19,FALSE)</f>
        <v>0</v>
      </c>
      <c r="V348" s="226">
        <f>VLOOKUP(C348,'Talente &amp; Stuff'!AF:BG,20,FALSE)</f>
        <v>0</v>
      </c>
      <c r="W348" s="245">
        <f>VLOOKUP(C348,'Talente &amp; Stuff'!AF:BG,21,FALSE)</f>
        <v>0</v>
      </c>
      <c r="X348" s="246">
        <f>VLOOKUP(C348,'Talente &amp; Stuff'!AF:BG,22,FALSE)</f>
        <v>0</v>
      </c>
      <c r="Y348" s="252">
        <f>VLOOKUP(C348,Ausgewählte_Zauber_Zaubertänzer,52,FALSE)</f>
        <v>0</v>
      </c>
      <c r="Z348" s="309">
        <f>VLOOKUP(C348,Ausgewählte_Zauber_Zaubertänzer,53,FALSE)</f>
        <v>0</v>
      </c>
      <c r="AA348" s="246">
        <f>VLOOKUP(C348,'Talente &amp; Stuff'!AF:BG,25,FALSE)</f>
        <v>0</v>
      </c>
      <c r="AB348" s="244">
        <f>VLOOKUP(C348,'Talente &amp; Stuff'!AF:BG,26,FALSE)</f>
        <v>0</v>
      </c>
      <c r="AC348" s="246">
        <f>VLOOKUP(C348,'Talente &amp; Stuff'!AF:BG,27,FALSE)</f>
        <v>0</v>
      </c>
      <c r="AD348" s="246">
        <f>VLOOKUP(C348,'Talente &amp; Stuff'!AF:BG,28,FALSE)</f>
        <v>0</v>
      </c>
      <c r="AE348" s="343"/>
    </row>
    <row r="349" spans="1:31" ht="15.75" hidden="1" customHeight="1" outlineLevel="1" collapsed="1" thickBot="1">
      <c r="D349" s="148"/>
      <c r="E349" s="148"/>
      <c r="F349" s="148"/>
      <c r="G349" s="148"/>
      <c r="H349" s="148"/>
      <c r="I349" s="148"/>
      <c r="J349" s="148"/>
      <c r="K349" s="148"/>
      <c r="L349" s="148"/>
      <c r="M349" s="148"/>
      <c r="N349" s="148"/>
      <c r="O349" s="148"/>
      <c r="P349" s="148"/>
      <c r="Q349" s="148"/>
      <c r="R349" s="148"/>
      <c r="S349" s="148"/>
      <c r="T349" s="148"/>
      <c r="U349" s="148"/>
      <c r="V349" s="148"/>
      <c r="W349" s="148"/>
      <c r="X349" s="148"/>
      <c r="AA349" s="148"/>
      <c r="AB349" s="148"/>
      <c r="AC349" s="148"/>
      <c r="AD349" s="148"/>
      <c r="AE349" s="148"/>
    </row>
    <row r="350" spans="1:31" ht="15.75" collapsed="1" thickBot="1">
      <c r="A350" s="135" t="s">
        <v>311</v>
      </c>
      <c r="D350" s="148"/>
      <c r="E350" s="148"/>
      <c r="F350" s="148"/>
      <c r="G350" s="148"/>
      <c r="H350" s="148"/>
      <c r="I350" s="148"/>
      <c r="J350" s="148"/>
      <c r="K350" s="148"/>
      <c r="L350" s="148"/>
      <c r="M350" s="148"/>
      <c r="N350" s="148"/>
      <c r="O350" s="148"/>
      <c r="P350" s="148"/>
      <c r="Q350" s="148"/>
      <c r="R350" s="148"/>
      <c r="S350" s="148"/>
      <c r="T350" s="148"/>
      <c r="U350" s="148"/>
      <c r="V350" s="148"/>
      <c r="W350" s="148"/>
      <c r="X350" s="148"/>
      <c r="AA350" s="148"/>
      <c r="AB350" s="148"/>
      <c r="AC350" s="148"/>
      <c r="AD350" s="148"/>
      <c r="AE350" s="148"/>
    </row>
    <row r="351" spans="1:31" ht="15" hidden="1" customHeight="1" outlineLevel="1">
      <c r="B351" s="134" t="s">
        <v>327</v>
      </c>
      <c r="D351" s="148"/>
      <c r="E351" s="148"/>
      <c r="F351" s="148"/>
      <c r="G351" s="148"/>
      <c r="H351" s="148"/>
      <c r="I351" s="148"/>
      <c r="J351" s="148"/>
      <c r="K351" s="148"/>
      <c r="L351" s="148"/>
      <c r="M351" s="148"/>
      <c r="N351" s="148"/>
      <c r="O351" s="148"/>
      <c r="P351" s="148"/>
      <c r="Q351" s="148"/>
      <c r="R351" s="148"/>
      <c r="S351" s="148"/>
      <c r="T351" s="148"/>
      <c r="U351" s="148"/>
      <c r="V351" s="148"/>
      <c r="W351" s="148"/>
      <c r="X351" s="148"/>
      <c r="AA351" s="148"/>
      <c r="AB351" s="148"/>
      <c r="AC351" s="148"/>
      <c r="AD351" s="148"/>
      <c r="AE351" s="148"/>
    </row>
    <row r="352" spans="1:31" ht="15" hidden="1" customHeight="1" outlineLevel="2">
      <c r="B352" s="148">
        <v>1</v>
      </c>
      <c r="C352" s="176" t="str">
        <f>Attribute!C352</f>
        <v>---</v>
      </c>
      <c r="D352" s="85" t="str">
        <f>VLOOKUP(C352,'Talente &amp; Stuff'!AF:BG,2,FALSE)</f>
        <v>--/--/--</v>
      </c>
      <c r="E352" s="158" t="str">
        <f>VLOOKUP(C352,'Talente &amp; Stuff'!AF:BG,3,FALSE)</f>
        <v>-</v>
      </c>
      <c r="F352" s="118">
        <f>VLOOKUP(C352,'Talente &amp; Stuff'!AF:BG,4,FALSE)</f>
        <v>0</v>
      </c>
      <c r="G352" s="118">
        <f>VLOOKUP(C352,'Talente &amp; Stuff'!AF:BG,5,FALSE)</f>
        <v>0</v>
      </c>
      <c r="H352" s="118">
        <f>VLOOKUP(C352,'Talente &amp; Stuff'!AF:BG,6,FALSE)</f>
        <v>0</v>
      </c>
      <c r="I352" s="118">
        <f>VLOOKUP(C352,'Talente &amp; Stuff'!AF:BG,7,FALSE)</f>
        <v>0</v>
      </c>
      <c r="J352" s="118">
        <f>VLOOKUP(C352,'Talente &amp; Stuff'!AF:BG,8,FALSE)</f>
        <v>0</v>
      </c>
      <c r="K352" s="118">
        <f>VLOOKUP(C352,'Talente &amp; Stuff'!AF:BG,9,FALSE)</f>
        <v>0</v>
      </c>
      <c r="L352" s="118">
        <f>VLOOKUP(C352,'Talente &amp; Stuff'!AF:BG,10,FALSE)</f>
        <v>0</v>
      </c>
      <c r="M352" s="118">
        <f>VLOOKUP(C352,'Talente &amp; Stuff'!AF:BG,11,FALSE)</f>
        <v>0</v>
      </c>
      <c r="N352" s="193">
        <f>VLOOKUP(C352,'Talente &amp; Stuff'!AF:BG,12,FALSE)</f>
        <v>0</v>
      </c>
      <c r="O352" s="116">
        <f>VLOOKUP(C352,'Talente &amp; Stuff'!AF:BG,13,FALSE)</f>
        <v>0</v>
      </c>
      <c r="P352" s="92">
        <f>VLOOKUP(C352,'Talente &amp; Stuff'!AF:BG,14,FALSE)</f>
        <v>0</v>
      </c>
      <c r="Q352" s="118">
        <f>VLOOKUP(C352,'Talente &amp; Stuff'!AF:BG,15,FALSE)</f>
        <v>0</v>
      </c>
      <c r="R352" s="118">
        <f>VLOOKUP(C352,'Talente &amp; Stuff'!AF:BG,16,FALSE)</f>
        <v>0</v>
      </c>
      <c r="S352" s="118">
        <f>VLOOKUP(C352,'Talente &amp; Stuff'!AF:BG,17,FALSE)</f>
        <v>0</v>
      </c>
      <c r="T352" s="91">
        <f>VLOOKUP(C352,'Talente &amp; Stuff'!AF:BG,18,FALSE)</f>
        <v>0</v>
      </c>
      <c r="U352" s="116">
        <f>VLOOKUP(C352,'Talente &amp; Stuff'!AF:BG,19,FALSE)</f>
        <v>0</v>
      </c>
      <c r="V352" s="116">
        <f>VLOOKUP(C352,'Talente &amp; Stuff'!AF:BG,20,FALSE)</f>
        <v>0</v>
      </c>
      <c r="W352" s="116">
        <f>VLOOKUP(C352,'Talente &amp; Stuff'!AF:BG,21,FALSE)</f>
        <v>0</v>
      </c>
      <c r="X352" s="158">
        <f>VLOOKUP(C352,'Talente &amp; Stuff'!AF:BG,22,FALSE)</f>
        <v>0</v>
      </c>
      <c r="Y352" s="165">
        <f>VLOOKUP(C352,Ausgewählte_Rituale_Allgemein,52,FALSE)</f>
        <v>0</v>
      </c>
      <c r="Z352" s="44">
        <f>VLOOKUP(C352,Ausgewählte_Rituale_Allgemein,53,FALSE)</f>
        <v>0</v>
      </c>
      <c r="AA352" s="158">
        <f>VLOOKUP(C352,'Talente &amp; Stuff'!AF:BG,25,FALSE)</f>
        <v>0</v>
      </c>
      <c r="AB352" s="91">
        <f>VLOOKUP(C352,'Talente &amp; Stuff'!AF:BG,26,FALSE)</f>
        <v>0</v>
      </c>
      <c r="AC352" s="126">
        <f>VLOOKUP(C352,'Talente &amp; Stuff'!AF:BG,27,FALSE)</f>
        <v>0</v>
      </c>
      <c r="AD352" s="158">
        <f>VLOOKUP(C352,'Talente &amp; Stuff'!AF:BG,28,FALSE)</f>
        <v>0</v>
      </c>
      <c r="AE352" s="28"/>
    </row>
    <row r="353" spans="2:31" ht="15" hidden="1" customHeight="1" outlineLevel="2">
      <c r="B353" s="148">
        <v>2</v>
      </c>
      <c r="C353" s="177" t="str">
        <f>Attribute!C353</f>
        <v>---</v>
      </c>
      <c r="D353" s="86" t="str">
        <f>VLOOKUP(C353,'Talente &amp; Stuff'!AF:BG,2,FALSE)</f>
        <v>--/--/--</v>
      </c>
      <c r="E353" s="125" t="str">
        <f>VLOOKUP(C353,'Talente &amp; Stuff'!AF:BG,3,FALSE)</f>
        <v>-</v>
      </c>
      <c r="F353" s="113">
        <f>VLOOKUP(C353,'Talente &amp; Stuff'!AF:BG,4,FALSE)</f>
        <v>0</v>
      </c>
      <c r="G353" s="113">
        <f>VLOOKUP(C353,'Talente &amp; Stuff'!AF:BG,5,FALSE)</f>
        <v>0</v>
      </c>
      <c r="H353" s="113">
        <f>VLOOKUP(C353,'Talente &amp; Stuff'!AF:BG,6,FALSE)</f>
        <v>0</v>
      </c>
      <c r="I353" s="113">
        <f>VLOOKUP(C353,'Talente &amp; Stuff'!AF:BG,7,FALSE)</f>
        <v>0</v>
      </c>
      <c r="J353" s="113">
        <f>VLOOKUP(C353,'Talente &amp; Stuff'!AF:BG,8,FALSE)</f>
        <v>0</v>
      </c>
      <c r="K353" s="113">
        <f>VLOOKUP(C353,'Talente &amp; Stuff'!AF:BG,9,FALSE)</f>
        <v>0</v>
      </c>
      <c r="L353" s="113">
        <f>VLOOKUP(C353,'Talente &amp; Stuff'!AF:BG,10,FALSE)</f>
        <v>0</v>
      </c>
      <c r="M353" s="113">
        <f>VLOOKUP(C353,'Talente &amp; Stuff'!AF:BG,11,FALSE)</f>
        <v>0</v>
      </c>
      <c r="N353" s="89">
        <f>VLOOKUP(C353,'Talente &amp; Stuff'!AF:BG,12,FALSE)</f>
        <v>0</v>
      </c>
      <c r="O353" s="47">
        <f>VLOOKUP(C353,'Talente &amp; Stuff'!AF:BG,13,FALSE)</f>
        <v>0</v>
      </c>
      <c r="P353" s="119">
        <f>VLOOKUP(C353,'Talente &amp; Stuff'!AF:BG,14,FALSE)</f>
        <v>0</v>
      </c>
      <c r="Q353" s="113">
        <f>VLOOKUP(C353,'Talente &amp; Stuff'!AF:BG,15,FALSE)</f>
        <v>0</v>
      </c>
      <c r="R353" s="113">
        <f>VLOOKUP(C353,'Talente &amp; Stuff'!AF:BG,16,FALSE)</f>
        <v>0</v>
      </c>
      <c r="S353" s="113">
        <f>VLOOKUP(C353,'Talente &amp; Stuff'!AF:BG,17,FALSE)</f>
        <v>0</v>
      </c>
      <c r="T353" s="160">
        <f>VLOOKUP(C353,'Talente &amp; Stuff'!AF:BG,18,FALSE)</f>
        <v>0</v>
      </c>
      <c r="U353" s="47">
        <f>VLOOKUP(C353,'Talente &amp; Stuff'!AF:BG,19,FALSE)</f>
        <v>0</v>
      </c>
      <c r="V353" s="47">
        <f>VLOOKUP(C353,'Talente &amp; Stuff'!AF:BG,20,FALSE)</f>
        <v>0</v>
      </c>
      <c r="W353" s="47">
        <f>VLOOKUP(C353,'Talente &amp; Stuff'!AF:BG,21,FALSE)</f>
        <v>0</v>
      </c>
      <c r="X353" s="125">
        <f>VLOOKUP(C353,'Talente &amp; Stuff'!AF:BG,22,FALSE)</f>
        <v>0</v>
      </c>
      <c r="Y353" s="165">
        <f>VLOOKUP(C353,Ausgewählte_Rituale_Allgemein,52,FALSE)</f>
        <v>0</v>
      </c>
      <c r="Z353" s="44">
        <f>VLOOKUP(C353,Ausgewählte_Rituale_Allgemein,53,FALSE)</f>
        <v>0</v>
      </c>
      <c r="AA353" s="125">
        <f>VLOOKUP(C353,'Talente &amp; Stuff'!AF:BG,25,FALSE)</f>
        <v>0</v>
      </c>
      <c r="AB353" s="160">
        <f>VLOOKUP(C353,'Talente &amp; Stuff'!AF:BG,26,FALSE)</f>
        <v>0</v>
      </c>
      <c r="AC353" s="127">
        <f>VLOOKUP(C353,'Talente &amp; Stuff'!AF:BG,27,FALSE)</f>
        <v>0</v>
      </c>
      <c r="AD353" s="125">
        <f>VLOOKUP(C353,'Talente &amp; Stuff'!AF:BG,28,FALSE)</f>
        <v>0</v>
      </c>
      <c r="AE353" s="28"/>
    </row>
    <row r="354" spans="2:31" s="148" customFormat="1" ht="15" hidden="1" customHeight="1" outlineLevel="2">
      <c r="B354" s="148">
        <v>3</v>
      </c>
      <c r="C354" s="177" t="str">
        <f>Attribute!C354</f>
        <v>---</v>
      </c>
      <c r="D354" s="86" t="str">
        <f>VLOOKUP(C354,'Talente &amp; Stuff'!AF:BG,2,FALSE)</f>
        <v>--/--/--</v>
      </c>
      <c r="E354" s="125" t="str">
        <f>VLOOKUP(C354,'Talente &amp; Stuff'!AF:BG,3,FALSE)</f>
        <v>-</v>
      </c>
      <c r="F354" s="113">
        <f>VLOOKUP(C354,'Talente &amp; Stuff'!AF:BG,4,FALSE)</f>
        <v>0</v>
      </c>
      <c r="G354" s="113">
        <f>VLOOKUP(C354,'Talente &amp; Stuff'!AF:BG,5,FALSE)</f>
        <v>0</v>
      </c>
      <c r="H354" s="113">
        <f>VLOOKUP(C354,'Talente &amp; Stuff'!AF:BG,6,FALSE)</f>
        <v>0</v>
      </c>
      <c r="I354" s="113">
        <f>VLOOKUP(C354,'Talente &amp; Stuff'!AF:BG,7,FALSE)</f>
        <v>0</v>
      </c>
      <c r="J354" s="113">
        <f>VLOOKUP(C354,'Talente &amp; Stuff'!AF:BG,8,FALSE)</f>
        <v>0</v>
      </c>
      <c r="K354" s="113">
        <f>VLOOKUP(C354,'Talente &amp; Stuff'!AF:BG,9,FALSE)</f>
        <v>0</v>
      </c>
      <c r="L354" s="113">
        <f>VLOOKUP(C354,'Talente &amp; Stuff'!AF:BG,10,FALSE)</f>
        <v>0</v>
      </c>
      <c r="M354" s="113">
        <f>VLOOKUP(C354,'Talente &amp; Stuff'!AF:BG,11,FALSE)</f>
        <v>0</v>
      </c>
      <c r="N354" s="89">
        <f>VLOOKUP(C354,'Talente &amp; Stuff'!AF:BG,12,FALSE)</f>
        <v>0</v>
      </c>
      <c r="O354" s="47">
        <f>VLOOKUP(C354,'Talente &amp; Stuff'!AF:BG,13,FALSE)</f>
        <v>0</v>
      </c>
      <c r="P354" s="119">
        <f>VLOOKUP(C354,'Talente &amp; Stuff'!AF:BG,14,FALSE)</f>
        <v>0</v>
      </c>
      <c r="Q354" s="113">
        <f>VLOOKUP(C354,'Talente &amp; Stuff'!AF:BG,15,FALSE)</f>
        <v>0</v>
      </c>
      <c r="R354" s="113">
        <f>VLOOKUP(C354,'Talente &amp; Stuff'!AF:BG,16,FALSE)</f>
        <v>0</v>
      </c>
      <c r="S354" s="113">
        <f>VLOOKUP(C354,'Talente &amp; Stuff'!AF:BG,17,FALSE)</f>
        <v>0</v>
      </c>
      <c r="T354" s="160">
        <f>VLOOKUP(C354,'Talente &amp; Stuff'!AF:BG,18,FALSE)</f>
        <v>0</v>
      </c>
      <c r="U354" s="47">
        <f>VLOOKUP(C354,'Talente &amp; Stuff'!AF:BG,19,FALSE)</f>
        <v>0</v>
      </c>
      <c r="V354" s="47">
        <f>VLOOKUP(C354,'Talente &amp; Stuff'!AF:BG,20,FALSE)</f>
        <v>0</v>
      </c>
      <c r="W354" s="47">
        <f>VLOOKUP(C354,'Talente &amp; Stuff'!AF:BG,21,FALSE)</f>
        <v>0</v>
      </c>
      <c r="X354" s="125">
        <f>VLOOKUP(C354,'Talente &amp; Stuff'!AF:BG,22,FALSE)</f>
        <v>0</v>
      </c>
      <c r="Y354" s="165">
        <f>VLOOKUP(C354,Ausgewählte_Rituale_Allgemein,52,FALSE)</f>
        <v>0</v>
      </c>
      <c r="Z354" s="44">
        <f>VLOOKUP(C354,Ausgewählte_Rituale_Allgemein,53,FALSE)</f>
        <v>0</v>
      </c>
      <c r="AA354" s="125">
        <f>VLOOKUP(C354,'Talente &amp; Stuff'!AF:BG,25,FALSE)</f>
        <v>0</v>
      </c>
      <c r="AB354" s="160">
        <f>VLOOKUP(C354,'Talente &amp; Stuff'!AF:BG,26,FALSE)</f>
        <v>0</v>
      </c>
      <c r="AC354" s="127">
        <f>VLOOKUP(C354,'Talente &amp; Stuff'!AF:BG,27,FALSE)</f>
        <v>0</v>
      </c>
      <c r="AD354" s="125">
        <f>VLOOKUP(C354,'Talente &amp; Stuff'!AF:BG,28,FALSE)</f>
        <v>0</v>
      </c>
      <c r="AE354" s="28"/>
    </row>
    <row r="355" spans="2:31" ht="15" hidden="1" customHeight="1" outlineLevel="2">
      <c r="B355" s="148">
        <v>4</v>
      </c>
      <c r="C355" s="178" t="str">
        <f>Attribute!C355</f>
        <v>---</v>
      </c>
      <c r="D355" s="23" t="str">
        <f>VLOOKUP(C355,'Talente &amp; Stuff'!AF:BG,2,FALSE)</f>
        <v>--/--/--</v>
      </c>
      <c r="E355" s="159" t="str">
        <f>VLOOKUP(C355,'Talente &amp; Stuff'!AF:BG,3,FALSE)</f>
        <v>-</v>
      </c>
      <c r="F355" s="122">
        <f>VLOOKUP(C355,'Talente &amp; Stuff'!AF:BG,4,FALSE)</f>
        <v>0</v>
      </c>
      <c r="G355" s="122">
        <f>VLOOKUP(C355,'Talente &amp; Stuff'!AF:BG,5,FALSE)</f>
        <v>0</v>
      </c>
      <c r="H355" s="122">
        <f>VLOOKUP(C355,'Talente &amp; Stuff'!AF:BG,6,FALSE)</f>
        <v>0</v>
      </c>
      <c r="I355" s="122">
        <f>VLOOKUP(C355,'Talente &amp; Stuff'!AF:BG,7,FALSE)</f>
        <v>0</v>
      </c>
      <c r="J355" s="122">
        <f>VLOOKUP(C355,'Talente &amp; Stuff'!AF:BG,8,FALSE)</f>
        <v>0</v>
      </c>
      <c r="K355" s="122">
        <f>VLOOKUP(C355,'Talente &amp; Stuff'!AF:BG,9,FALSE)</f>
        <v>0</v>
      </c>
      <c r="L355" s="122">
        <f>VLOOKUP(C355,'Talente &amp; Stuff'!AF:BG,10,FALSE)</f>
        <v>0</v>
      </c>
      <c r="M355" s="122">
        <f>VLOOKUP(C355,'Talente &amp; Stuff'!AF:BG,11,FALSE)</f>
        <v>0</v>
      </c>
      <c r="N355" s="90">
        <f>VLOOKUP(C355,'Talente &amp; Stuff'!AF:BG,12,FALSE)</f>
        <v>0</v>
      </c>
      <c r="O355" s="88">
        <f>VLOOKUP(C355,'Talente &amp; Stuff'!AF:BG,13,FALSE)</f>
        <v>0</v>
      </c>
      <c r="P355" s="123">
        <f>VLOOKUP(C355,'Talente &amp; Stuff'!AF:BG,14,FALSE)</f>
        <v>0</v>
      </c>
      <c r="Q355" s="122">
        <f>VLOOKUP(C355,'Talente &amp; Stuff'!AF:BG,15,FALSE)</f>
        <v>0</v>
      </c>
      <c r="R355" s="122">
        <f>VLOOKUP(C355,'Talente &amp; Stuff'!AF:BG,16,FALSE)</f>
        <v>0</v>
      </c>
      <c r="S355" s="122">
        <f>VLOOKUP(C355,'Talente &amp; Stuff'!AF:BG,17,FALSE)</f>
        <v>0</v>
      </c>
      <c r="T355" s="161">
        <f>VLOOKUP(C355,'Talente &amp; Stuff'!AF:BG,18,FALSE)</f>
        <v>0</v>
      </c>
      <c r="U355" s="88">
        <f>VLOOKUP(C355,'Talente &amp; Stuff'!AF:BG,19,FALSE)</f>
        <v>0</v>
      </c>
      <c r="V355" s="88">
        <f>VLOOKUP(C355,'Talente &amp; Stuff'!AF:BG,20,FALSE)</f>
        <v>0</v>
      </c>
      <c r="W355" s="88">
        <f>VLOOKUP(C355,'Talente &amp; Stuff'!AF:BG,21,FALSE)</f>
        <v>0</v>
      </c>
      <c r="X355" s="159">
        <f>VLOOKUP(C355,'Talente &amp; Stuff'!AF:BG,22,FALSE)</f>
        <v>0</v>
      </c>
      <c r="Y355" s="165">
        <f>VLOOKUP(C355,Ausgewählte_Rituale_Allgemein,52,FALSE)</f>
        <v>0</v>
      </c>
      <c r="Z355" s="44">
        <f>VLOOKUP(C355,Ausgewählte_Rituale_Allgemein,53,FALSE)</f>
        <v>0</v>
      </c>
      <c r="AA355" s="159">
        <f>VLOOKUP(C355,'Talente &amp; Stuff'!AF:BG,25,FALSE)</f>
        <v>0</v>
      </c>
      <c r="AB355" s="161">
        <f>VLOOKUP(C355,'Talente &amp; Stuff'!AF:BG,26,FALSE)</f>
        <v>0</v>
      </c>
      <c r="AC355" s="128">
        <f>VLOOKUP(C355,'Talente &amp; Stuff'!AF:BG,27,FALSE)</f>
        <v>0</v>
      </c>
      <c r="AD355" s="159">
        <f>VLOOKUP(C355,'Talente &amp; Stuff'!AF:BG,28,FALSE)</f>
        <v>0</v>
      </c>
      <c r="AE355" s="28"/>
    </row>
    <row r="356" spans="2:31" ht="15" hidden="1" customHeight="1" outlineLevel="1" collapsed="1">
      <c r="B356" s="134" t="s">
        <v>331</v>
      </c>
      <c r="C356" s="83"/>
      <c r="D356" s="84"/>
      <c r="E356" s="84"/>
      <c r="F356" s="148"/>
      <c r="G356" s="148"/>
      <c r="H356" s="148"/>
      <c r="I356" s="148"/>
      <c r="J356" s="148"/>
      <c r="K356" s="148"/>
      <c r="L356" s="148"/>
      <c r="M356" s="148"/>
      <c r="N356" s="148"/>
      <c r="O356" s="148"/>
      <c r="P356" s="148"/>
      <c r="Q356" s="148"/>
      <c r="R356" s="148"/>
      <c r="S356" s="148"/>
      <c r="T356" s="148"/>
      <c r="U356" s="148"/>
      <c r="V356" s="148"/>
      <c r="W356" s="148"/>
      <c r="X356" s="148"/>
      <c r="AA356" s="148"/>
      <c r="AB356" s="148"/>
      <c r="AC356" s="148"/>
      <c r="AD356" s="148"/>
      <c r="AE356" s="148"/>
    </row>
    <row r="357" spans="2:31" ht="15" hidden="1" customHeight="1" outlineLevel="2">
      <c r="B357" s="148">
        <v>1</v>
      </c>
      <c r="C357" s="176" t="str">
        <f>Attribute!C357</f>
        <v>---</v>
      </c>
      <c r="D357" s="85" t="str">
        <f>VLOOKUP(C357,'Talente &amp; Stuff'!AF:BG,2,FALSE)</f>
        <v>--/--/--</v>
      </c>
      <c r="E357" s="158" t="str">
        <f>VLOOKUP(C357,'Talente &amp; Stuff'!AF:BG,3,FALSE)</f>
        <v>-</v>
      </c>
      <c r="F357" s="118">
        <f>VLOOKUP(C357,'Talente &amp; Stuff'!AF:BG,4,FALSE)</f>
        <v>0</v>
      </c>
      <c r="G357" s="118">
        <f>VLOOKUP(C357,'Talente &amp; Stuff'!AF:BG,5,FALSE)</f>
        <v>0</v>
      </c>
      <c r="H357" s="118">
        <f>VLOOKUP(C357,'Talente &amp; Stuff'!AF:BG,6,FALSE)</f>
        <v>0</v>
      </c>
      <c r="I357" s="118">
        <f>VLOOKUP(C357,'Talente &amp; Stuff'!AF:BG,7,FALSE)</f>
        <v>0</v>
      </c>
      <c r="J357" s="118">
        <f>VLOOKUP(C357,'Talente &amp; Stuff'!AF:BG,8,FALSE)</f>
        <v>0</v>
      </c>
      <c r="K357" s="118">
        <f>VLOOKUP(C357,'Talente &amp; Stuff'!AF:BG,9,FALSE)</f>
        <v>0</v>
      </c>
      <c r="L357" s="118">
        <f>VLOOKUP(C357,'Talente &amp; Stuff'!AF:BG,10,FALSE)</f>
        <v>0</v>
      </c>
      <c r="M357" s="118">
        <f>VLOOKUP(C357,'Talente &amp; Stuff'!AF:BG,11,FALSE)</f>
        <v>0</v>
      </c>
      <c r="N357" s="193">
        <f>VLOOKUP(C357,'Talente &amp; Stuff'!AF:BG,12,FALSE)</f>
        <v>0</v>
      </c>
      <c r="O357" s="116">
        <f>VLOOKUP(C357,'Talente &amp; Stuff'!AF:BG,13,FALSE)</f>
        <v>0</v>
      </c>
      <c r="P357" s="92">
        <f>VLOOKUP(C357,'Talente &amp; Stuff'!AF:BG,14,FALSE)</f>
        <v>0</v>
      </c>
      <c r="Q357" s="118">
        <f>VLOOKUP(C357,'Talente &amp; Stuff'!AF:BG,15,FALSE)</f>
        <v>0</v>
      </c>
      <c r="R357" s="118">
        <f>VLOOKUP(C357,'Talente &amp; Stuff'!AF:BG,16,FALSE)</f>
        <v>0</v>
      </c>
      <c r="S357" s="118">
        <f>VLOOKUP(C357,'Talente &amp; Stuff'!AF:BG,17,FALSE)</f>
        <v>0</v>
      </c>
      <c r="T357" s="91">
        <f>VLOOKUP(C357,'Talente &amp; Stuff'!AF:BG,18,FALSE)</f>
        <v>0</v>
      </c>
      <c r="U357" s="116">
        <f>VLOOKUP(C357,'Talente &amp; Stuff'!AF:BG,19,FALSE)</f>
        <v>0</v>
      </c>
      <c r="V357" s="116">
        <f>VLOOKUP(C357,'Talente &amp; Stuff'!AF:BG,20,FALSE)</f>
        <v>0</v>
      </c>
      <c r="W357" s="116">
        <f>VLOOKUP(C357,'Talente &amp; Stuff'!AF:BG,21,FALSE)</f>
        <v>0</v>
      </c>
      <c r="X357" s="158">
        <f>VLOOKUP(C357,'Talente &amp; Stuff'!AF:BG,22,FALSE)</f>
        <v>0</v>
      </c>
      <c r="Y357" s="165">
        <f t="shared" ref="Y357:Y365" si="24">VLOOKUP(C357,Ausgewählte_Rituale_Druiden,52,FALSE)</f>
        <v>0</v>
      </c>
      <c r="Z357" s="44">
        <f t="shared" ref="Z357:Z365" si="25">VLOOKUP(C357,Ausgewählte_Rituale_Druiden,53,FALSE)</f>
        <v>0</v>
      </c>
      <c r="AA357" s="158">
        <f>VLOOKUP(C357,'Talente &amp; Stuff'!AF:BG,25,FALSE)</f>
        <v>0</v>
      </c>
      <c r="AB357" s="91">
        <f>VLOOKUP(C357,'Talente &amp; Stuff'!AF:BG,26,FALSE)</f>
        <v>0</v>
      </c>
      <c r="AC357" s="126">
        <f>VLOOKUP(C357,'Talente &amp; Stuff'!AF:BG,27,FALSE)</f>
        <v>0</v>
      </c>
      <c r="AD357" s="158">
        <f>VLOOKUP(C357,'Talente &amp; Stuff'!AF:BG,28,FALSE)</f>
        <v>0</v>
      </c>
      <c r="AE357" s="28"/>
    </row>
    <row r="358" spans="2:31" ht="15" hidden="1" customHeight="1" outlineLevel="2">
      <c r="B358" s="148">
        <v>2</v>
      </c>
      <c r="C358" s="177" t="str">
        <f>Attribute!C358</f>
        <v>---</v>
      </c>
      <c r="D358" s="86" t="str">
        <f>VLOOKUP(C358,'Talente &amp; Stuff'!AF:BG,2,FALSE)</f>
        <v>--/--/--</v>
      </c>
      <c r="E358" s="125" t="str">
        <f>VLOOKUP(C358,'Talente &amp; Stuff'!AF:BG,3,FALSE)</f>
        <v>-</v>
      </c>
      <c r="F358" s="113">
        <f>VLOOKUP(C358,'Talente &amp; Stuff'!AF:BG,4,FALSE)</f>
        <v>0</v>
      </c>
      <c r="G358" s="113">
        <f>VLOOKUP(C358,'Talente &amp; Stuff'!AF:BG,5,FALSE)</f>
        <v>0</v>
      </c>
      <c r="H358" s="113">
        <f>VLOOKUP(C358,'Talente &amp; Stuff'!AF:BG,6,FALSE)</f>
        <v>0</v>
      </c>
      <c r="I358" s="113">
        <f>VLOOKUP(C358,'Talente &amp; Stuff'!AF:BG,7,FALSE)</f>
        <v>0</v>
      </c>
      <c r="J358" s="113">
        <f>VLOOKUP(C358,'Talente &amp; Stuff'!AF:BG,8,FALSE)</f>
        <v>0</v>
      </c>
      <c r="K358" s="113">
        <f>VLOOKUP(C358,'Talente &amp; Stuff'!AF:BG,9,FALSE)</f>
        <v>0</v>
      </c>
      <c r="L358" s="113">
        <f>VLOOKUP(C358,'Talente &amp; Stuff'!AF:BG,10,FALSE)</f>
        <v>0</v>
      </c>
      <c r="M358" s="113">
        <f>VLOOKUP(C358,'Talente &amp; Stuff'!AF:BG,11,FALSE)</f>
        <v>0</v>
      </c>
      <c r="N358" s="89">
        <f>VLOOKUP(C358,'Talente &amp; Stuff'!AF:BG,12,FALSE)</f>
        <v>0</v>
      </c>
      <c r="O358" s="47">
        <f>VLOOKUP(C358,'Talente &amp; Stuff'!AF:BG,13,FALSE)</f>
        <v>0</v>
      </c>
      <c r="P358" s="119">
        <f>VLOOKUP(C358,'Talente &amp; Stuff'!AF:BG,14,FALSE)</f>
        <v>0</v>
      </c>
      <c r="Q358" s="113">
        <f>VLOOKUP(C358,'Talente &amp; Stuff'!AF:BG,15,FALSE)</f>
        <v>0</v>
      </c>
      <c r="R358" s="113">
        <f>VLOOKUP(C358,'Talente &amp; Stuff'!AF:BG,16,FALSE)</f>
        <v>0</v>
      </c>
      <c r="S358" s="113">
        <f>VLOOKUP(C358,'Talente &amp; Stuff'!AF:BG,17,FALSE)</f>
        <v>0</v>
      </c>
      <c r="T358" s="160">
        <f>VLOOKUP(C358,'Talente &amp; Stuff'!AF:BG,18,FALSE)</f>
        <v>0</v>
      </c>
      <c r="U358" s="47">
        <f>VLOOKUP(C358,'Talente &amp; Stuff'!AF:BG,19,FALSE)</f>
        <v>0</v>
      </c>
      <c r="V358" s="47">
        <f>VLOOKUP(C358,'Talente &amp; Stuff'!AF:BG,20,FALSE)</f>
        <v>0</v>
      </c>
      <c r="W358" s="47">
        <f>VLOOKUP(C358,'Talente &amp; Stuff'!AF:BG,21,FALSE)</f>
        <v>0</v>
      </c>
      <c r="X358" s="125">
        <f>VLOOKUP(C358,'Talente &amp; Stuff'!AF:BG,22,FALSE)</f>
        <v>0</v>
      </c>
      <c r="Y358" s="165">
        <f t="shared" si="24"/>
        <v>0</v>
      </c>
      <c r="Z358" s="44">
        <f t="shared" si="25"/>
        <v>0</v>
      </c>
      <c r="AA358" s="125">
        <f>VLOOKUP(C358,'Talente &amp; Stuff'!AF:BG,25,FALSE)</f>
        <v>0</v>
      </c>
      <c r="AB358" s="160">
        <f>VLOOKUP(C358,'Talente &amp; Stuff'!AF:BG,26,FALSE)</f>
        <v>0</v>
      </c>
      <c r="AC358" s="127">
        <f>VLOOKUP(C358,'Talente &amp; Stuff'!AF:BG,27,FALSE)</f>
        <v>0</v>
      </c>
      <c r="AD358" s="125">
        <f>VLOOKUP(C358,'Talente &amp; Stuff'!AF:BG,28,FALSE)</f>
        <v>0</v>
      </c>
      <c r="AE358" s="28"/>
    </row>
    <row r="359" spans="2:31" s="148" customFormat="1" ht="15" hidden="1" customHeight="1" outlineLevel="2">
      <c r="B359" s="148">
        <v>3</v>
      </c>
      <c r="C359" s="177" t="str">
        <f>Attribute!C359</f>
        <v>---</v>
      </c>
      <c r="D359" s="86" t="str">
        <f>VLOOKUP(C359,'Talente &amp; Stuff'!AF:BG,2,FALSE)</f>
        <v>--/--/--</v>
      </c>
      <c r="E359" s="125" t="str">
        <f>VLOOKUP(C359,'Talente &amp; Stuff'!AF:BG,3,FALSE)</f>
        <v>-</v>
      </c>
      <c r="F359" s="113">
        <f>VLOOKUP(C359,'Talente &amp; Stuff'!AF:BG,4,FALSE)</f>
        <v>0</v>
      </c>
      <c r="G359" s="113">
        <f>VLOOKUP(C359,'Talente &amp; Stuff'!AF:BG,5,FALSE)</f>
        <v>0</v>
      </c>
      <c r="H359" s="113">
        <f>VLOOKUP(C359,'Talente &amp; Stuff'!AF:BG,6,FALSE)</f>
        <v>0</v>
      </c>
      <c r="I359" s="113">
        <f>VLOOKUP(C359,'Talente &amp; Stuff'!AF:BG,7,FALSE)</f>
        <v>0</v>
      </c>
      <c r="J359" s="113">
        <f>VLOOKUP(C359,'Talente &amp; Stuff'!AF:BG,8,FALSE)</f>
        <v>0</v>
      </c>
      <c r="K359" s="113">
        <f>VLOOKUP(C359,'Talente &amp; Stuff'!AF:BG,9,FALSE)</f>
        <v>0</v>
      </c>
      <c r="L359" s="113">
        <f>VLOOKUP(C359,'Talente &amp; Stuff'!AF:BG,10,FALSE)</f>
        <v>0</v>
      </c>
      <c r="M359" s="113">
        <f>VLOOKUP(C359,'Talente &amp; Stuff'!AF:BG,11,FALSE)</f>
        <v>0</v>
      </c>
      <c r="N359" s="89">
        <f>VLOOKUP(C359,'Talente &amp; Stuff'!AF:BG,12,FALSE)</f>
        <v>0</v>
      </c>
      <c r="O359" s="47">
        <f>VLOOKUP(C359,'Talente &amp; Stuff'!AF:BG,13,FALSE)</f>
        <v>0</v>
      </c>
      <c r="P359" s="119">
        <f>VLOOKUP(C359,'Talente &amp; Stuff'!AF:BG,14,FALSE)</f>
        <v>0</v>
      </c>
      <c r="Q359" s="113">
        <f>VLOOKUP(C359,'Talente &amp; Stuff'!AF:BG,15,FALSE)</f>
        <v>0</v>
      </c>
      <c r="R359" s="113">
        <f>VLOOKUP(C359,'Talente &amp; Stuff'!AF:BG,16,FALSE)</f>
        <v>0</v>
      </c>
      <c r="S359" s="113">
        <f>VLOOKUP(C359,'Talente &amp; Stuff'!AF:BG,17,FALSE)</f>
        <v>0</v>
      </c>
      <c r="T359" s="160">
        <f>VLOOKUP(C359,'Talente &amp; Stuff'!AF:BG,18,FALSE)</f>
        <v>0</v>
      </c>
      <c r="U359" s="47">
        <f>VLOOKUP(C359,'Talente &amp; Stuff'!AF:BG,19,FALSE)</f>
        <v>0</v>
      </c>
      <c r="V359" s="47">
        <f>VLOOKUP(C359,'Talente &amp; Stuff'!AF:BG,20,FALSE)</f>
        <v>0</v>
      </c>
      <c r="W359" s="47">
        <f>VLOOKUP(C359,'Talente &amp; Stuff'!AF:BG,21,FALSE)</f>
        <v>0</v>
      </c>
      <c r="X359" s="125">
        <f>VLOOKUP(C359,'Talente &amp; Stuff'!AF:BG,22,FALSE)</f>
        <v>0</v>
      </c>
      <c r="Y359" s="165">
        <f t="shared" si="24"/>
        <v>0</v>
      </c>
      <c r="Z359" s="44">
        <f t="shared" si="25"/>
        <v>0</v>
      </c>
      <c r="AA359" s="125">
        <f>VLOOKUP(C359,'Talente &amp; Stuff'!AF:BG,25,FALSE)</f>
        <v>0</v>
      </c>
      <c r="AB359" s="160">
        <f>VLOOKUP(C359,'Talente &amp; Stuff'!AF:BG,26,FALSE)</f>
        <v>0</v>
      </c>
      <c r="AC359" s="127">
        <f>VLOOKUP(C359,'Talente &amp; Stuff'!AF:BG,27,FALSE)</f>
        <v>0</v>
      </c>
      <c r="AD359" s="125">
        <f>VLOOKUP(C359,'Talente &amp; Stuff'!AF:BG,28,FALSE)</f>
        <v>0</v>
      </c>
      <c r="AE359" s="28"/>
    </row>
    <row r="360" spans="2:31" s="148" customFormat="1" ht="15" hidden="1" customHeight="1" outlineLevel="2">
      <c r="B360" s="148">
        <v>4</v>
      </c>
      <c r="C360" s="177" t="str">
        <f>Attribute!C360</f>
        <v>---</v>
      </c>
      <c r="D360" s="86" t="str">
        <f>VLOOKUP(C360,'Talente &amp; Stuff'!AF:BG,2,FALSE)</f>
        <v>--/--/--</v>
      </c>
      <c r="E360" s="125" t="str">
        <f>VLOOKUP(C360,'Talente &amp; Stuff'!AF:BG,3,FALSE)</f>
        <v>-</v>
      </c>
      <c r="F360" s="113">
        <f>VLOOKUP(C360,'Talente &amp; Stuff'!AF:BG,4,FALSE)</f>
        <v>0</v>
      </c>
      <c r="G360" s="113">
        <f>VLOOKUP(C360,'Talente &amp; Stuff'!AF:BG,5,FALSE)</f>
        <v>0</v>
      </c>
      <c r="H360" s="113">
        <f>VLOOKUP(C360,'Talente &amp; Stuff'!AF:BG,6,FALSE)</f>
        <v>0</v>
      </c>
      <c r="I360" s="113">
        <f>VLOOKUP(C360,'Talente &amp; Stuff'!AF:BG,7,FALSE)</f>
        <v>0</v>
      </c>
      <c r="J360" s="113">
        <f>VLOOKUP(C360,'Talente &amp; Stuff'!AF:BG,8,FALSE)</f>
        <v>0</v>
      </c>
      <c r="K360" s="113">
        <f>VLOOKUP(C360,'Talente &amp; Stuff'!AF:BG,9,FALSE)</f>
        <v>0</v>
      </c>
      <c r="L360" s="113">
        <f>VLOOKUP(C360,'Talente &amp; Stuff'!AF:BG,10,FALSE)</f>
        <v>0</v>
      </c>
      <c r="M360" s="113">
        <f>VLOOKUP(C360,'Talente &amp; Stuff'!AF:BG,11,FALSE)</f>
        <v>0</v>
      </c>
      <c r="N360" s="89">
        <f>VLOOKUP(C360,'Talente &amp; Stuff'!AF:BG,12,FALSE)</f>
        <v>0</v>
      </c>
      <c r="O360" s="47">
        <f>VLOOKUP(C360,'Talente &amp; Stuff'!AF:BG,13,FALSE)</f>
        <v>0</v>
      </c>
      <c r="P360" s="119">
        <f>VLOOKUP(C360,'Talente &amp; Stuff'!AF:BG,14,FALSE)</f>
        <v>0</v>
      </c>
      <c r="Q360" s="113">
        <f>VLOOKUP(C360,'Talente &amp; Stuff'!AF:BG,15,FALSE)</f>
        <v>0</v>
      </c>
      <c r="R360" s="113">
        <f>VLOOKUP(C360,'Talente &amp; Stuff'!AF:BG,16,FALSE)</f>
        <v>0</v>
      </c>
      <c r="S360" s="113">
        <f>VLOOKUP(C360,'Talente &amp; Stuff'!AF:BG,17,FALSE)</f>
        <v>0</v>
      </c>
      <c r="T360" s="160">
        <f>VLOOKUP(C360,'Talente &amp; Stuff'!AF:BG,18,FALSE)</f>
        <v>0</v>
      </c>
      <c r="U360" s="47">
        <f>VLOOKUP(C360,'Talente &amp; Stuff'!AF:BG,19,FALSE)</f>
        <v>0</v>
      </c>
      <c r="V360" s="47">
        <f>VLOOKUP(C360,'Talente &amp; Stuff'!AF:BG,20,FALSE)</f>
        <v>0</v>
      </c>
      <c r="W360" s="47">
        <f>VLOOKUP(C360,'Talente &amp; Stuff'!AF:BG,21,FALSE)</f>
        <v>0</v>
      </c>
      <c r="X360" s="125">
        <f>VLOOKUP(C360,'Talente &amp; Stuff'!AF:BG,22,FALSE)</f>
        <v>0</v>
      </c>
      <c r="Y360" s="165">
        <f t="shared" si="24"/>
        <v>0</v>
      </c>
      <c r="Z360" s="44">
        <f t="shared" si="25"/>
        <v>0</v>
      </c>
      <c r="AA360" s="125">
        <f>VLOOKUP(C360,'Talente &amp; Stuff'!AF:BG,25,FALSE)</f>
        <v>0</v>
      </c>
      <c r="AB360" s="160">
        <f>VLOOKUP(C360,'Talente &amp; Stuff'!AF:BG,26,FALSE)</f>
        <v>0</v>
      </c>
      <c r="AC360" s="127">
        <f>VLOOKUP(C360,'Talente &amp; Stuff'!AF:BG,27,FALSE)</f>
        <v>0</v>
      </c>
      <c r="AD360" s="125">
        <f>VLOOKUP(C360,'Talente &amp; Stuff'!AF:BG,28,FALSE)</f>
        <v>0</v>
      </c>
      <c r="AE360" s="28"/>
    </row>
    <row r="361" spans="2:31" s="148" customFormat="1" ht="15" hidden="1" customHeight="1" outlineLevel="2">
      <c r="B361" s="148">
        <v>5</v>
      </c>
      <c r="C361" s="177" t="str">
        <f>Attribute!C361</f>
        <v>---</v>
      </c>
      <c r="D361" s="86" t="str">
        <f>VLOOKUP(C361,'Talente &amp; Stuff'!AF:BG,2,FALSE)</f>
        <v>--/--/--</v>
      </c>
      <c r="E361" s="125" t="str">
        <f>VLOOKUP(C361,'Talente &amp; Stuff'!AF:BG,3,FALSE)</f>
        <v>-</v>
      </c>
      <c r="F361" s="113">
        <f>VLOOKUP(C361,'Talente &amp; Stuff'!AF:BG,4,FALSE)</f>
        <v>0</v>
      </c>
      <c r="G361" s="113">
        <f>VLOOKUP(C361,'Talente &amp; Stuff'!AF:BG,5,FALSE)</f>
        <v>0</v>
      </c>
      <c r="H361" s="113">
        <f>VLOOKUP(C361,'Talente &amp; Stuff'!AF:BG,6,FALSE)</f>
        <v>0</v>
      </c>
      <c r="I361" s="113">
        <f>VLOOKUP(C361,'Talente &amp; Stuff'!AF:BG,7,FALSE)</f>
        <v>0</v>
      </c>
      <c r="J361" s="113">
        <f>VLOOKUP(C361,'Talente &amp; Stuff'!AF:BG,8,FALSE)</f>
        <v>0</v>
      </c>
      <c r="K361" s="113">
        <f>VLOOKUP(C361,'Talente &amp; Stuff'!AF:BG,9,FALSE)</f>
        <v>0</v>
      </c>
      <c r="L361" s="113">
        <f>VLOOKUP(C361,'Talente &amp; Stuff'!AF:BG,10,FALSE)</f>
        <v>0</v>
      </c>
      <c r="M361" s="113">
        <f>VLOOKUP(C361,'Talente &amp; Stuff'!AF:BG,11,FALSE)</f>
        <v>0</v>
      </c>
      <c r="N361" s="89">
        <f>VLOOKUP(C361,'Talente &amp; Stuff'!AF:BG,12,FALSE)</f>
        <v>0</v>
      </c>
      <c r="O361" s="47">
        <f>VLOOKUP(C361,'Talente &amp; Stuff'!AF:BG,13,FALSE)</f>
        <v>0</v>
      </c>
      <c r="P361" s="119">
        <f>VLOOKUP(C361,'Talente &amp; Stuff'!AF:BG,14,FALSE)</f>
        <v>0</v>
      </c>
      <c r="Q361" s="113">
        <f>VLOOKUP(C361,'Talente &amp; Stuff'!AF:BG,15,FALSE)</f>
        <v>0</v>
      </c>
      <c r="R361" s="113">
        <f>VLOOKUP(C361,'Talente &amp; Stuff'!AF:BG,16,FALSE)</f>
        <v>0</v>
      </c>
      <c r="S361" s="113">
        <f>VLOOKUP(C361,'Talente &amp; Stuff'!AF:BG,17,FALSE)</f>
        <v>0</v>
      </c>
      <c r="T361" s="160">
        <f>VLOOKUP(C361,'Talente &amp; Stuff'!AF:BG,18,FALSE)</f>
        <v>0</v>
      </c>
      <c r="U361" s="47">
        <f>VLOOKUP(C361,'Talente &amp; Stuff'!AF:BG,19,FALSE)</f>
        <v>0</v>
      </c>
      <c r="V361" s="47">
        <f>VLOOKUP(C361,'Talente &amp; Stuff'!AF:BG,20,FALSE)</f>
        <v>0</v>
      </c>
      <c r="W361" s="47">
        <f>VLOOKUP(C361,'Talente &amp; Stuff'!AF:BG,21,FALSE)</f>
        <v>0</v>
      </c>
      <c r="X361" s="125">
        <f>VLOOKUP(C361,'Talente &amp; Stuff'!AF:BG,22,FALSE)</f>
        <v>0</v>
      </c>
      <c r="Y361" s="165">
        <f t="shared" si="24"/>
        <v>0</v>
      </c>
      <c r="Z361" s="44">
        <f t="shared" si="25"/>
        <v>0</v>
      </c>
      <c r="AA361" s="125">
        <f>VLOOKUP(C361,'Talente &amp; Stuff'!AF:BG,25,FALSE)</f>
        <v>0</v>
      </c>
      <c r="AB361" s="160">
        <f>VLOOKUP(C361,'Talente &amp; Stuff'!AF:BG,26,FALSE)</f>
        <v>0</v>
      </c>
      <c r="AC361" s="127">
        <f>VLOOKUP(C361,'Talente &amp; Stuff'!AF:BG,27,FALSE)</f>
        <v>0</v>
      </c>
      <c r="AD361" s="125">
        <f>VLOOKUP(C361,'Talente &amp; Stuff'!AF:BG,28,FALSE)</f>
        <v>0</v>
      </c>
      <c r="AE361" s="28"/>
    </row>
    <row r="362" spans="2:31" ht="15" hidden="1" customHeight="1" outlineLevel="2">
      <c r="B362" s="148">
        <v>6</v>
      </c>
      <c r="C362" s="177" t="str">
        <f>Attribute!C362</f>
        <v>---</v>
      </c>
      <c r="D362" s="86" t="str">
        <f>VLOOKUP(C362,'Talente &amp; Stuff'!AF:BG,2,FALSE)</f>
        <v>--/--/--</v>
      </c>
      <c r="E362" s="125" t="str">
        <f>VLOOKUP(C362,'Talente &amp; Stuff'!AF:BG,3,FALSE)</f>
        <v>-</v>
      </c>
      <c r="F362" s="113">
        <f>VLOOKUP(C362,'Talente &amp; Stuff'!AF:BG,4,FALSE)</f>
        <v>0</v>
      </c>
      <c r="G362" s="113">
        <f>VLOOKUP(C362,'Talente &amp; Stuff'!AF:BG,5,FALSE)</f>
        <v>0</v>
      </c>
      <c r="H362" s="113">
        <f>VLOOKUP(C362,'Talente &amp; Stuff'!AF:BG,6,FALSE)</f>
        <v>0</v>
      </c>
      <c r="I362" s="113">
        <f>VLOOKUP(C362,'Talente &amp; Stuff'!AF:BG,7,FALSE)</f>
        <v>0</v>
      </c>
      <c r="J362" s="113">
        <f>VLOOKUP(C362,'Talente &amp; Stuff'!AF:BG,8,FALSE)</f>
        <v>0</v>
      </c>
      <c r="K362" s="113">
        <f>VLOOKUP(C362,'Talente &amp; Stuff'!AF:BG,9,FALSE)</f>
        <v>0</v>
      </c>
      <c r="L362" s="113">
        <f>VLOOKUP(C362,'Talente &amp; Stuff'!AF:BG,10,FALSE)</f>
        <v>0</v>
      </c>
      <c r="M362" s="113">
        <f>VLOOKUP(C362,'Talente &amp; Stuff'!AF:BG,11,FALSE)</f>
        <v>0</v>
      </c>
      <c r="N362" s="89">
        <f>VLOOKUP(C362,'Talente &amp; Stuff'!AF:BG,12,FALSE)</f>
        <v>0</v>
      </c>
      <c r="O362" s="47">
        <f>VLOOKUP(C362,'Talente &amp; Stuff'!AF:BG,13,FALSE)</f>
        <v>0</v>
      </c>
      <c r="P362" s="119">
        <f>VLOOKUP(C362,'Talente &amp; Stuff'!AF:BG,14,FALSE)</f>
        <v>0</v>
      </c>
      <c r="Q362" s="113">
        <f>VLOOKUP(C362,'Talente &amp; Stuff'!AF:BG,15,FALSE)</f>
        <v>0</v>
      </c>
      <c r="R362" s="113">
        <f>VLOOKUP(C362,'Talente &amp; Stuff'!AF:BG,16,FALSE)</f>
        <v>0</v>
      </c>
      <c r="S362" s="113">
        <f>VLOOKUP(C362,'Talente &amp; Stuff'!AF:BG,17,FALSE)</f>
        <v>0</v>
      </c>
      <c r="T362" s="160">
        <f>VLOOKUP(C362,'Talente &amp; Stuff'!AF:BG,18,FALSE)</f>
        <v>0</v>
      </c>
      <c r="U362" s="47">
        <f>VLOOKUP(C362,'Talente &amp; Stuff'!AF:BG,19,FALSE)</f>
        <v>0</v>
      </c>
      <c r="V362" s="47">
        <f>VLOOKUP(C362,'Talente &amp; Stuff'!AF:BG,20,FALSE)</f>
        <v>0</v>
      </c>
      <c r="W362" s="47">
        <f>VLOOKUP(C362,'Talente &amp; Stuff'!AF:BG,21,FALSE)</f>
        <v>0</v>
      </c>
      <c r="X362" s="125">
        <f>VLOOKUP(C362,'Talente &amp; Stuff'!AF:BG,22,FALSE)</f>
        <v>0</v>
      </c>
      <c r="Y362" s="165">
        <f t="shared" si="24"/>
        <v>0</v>
      </c>
      <c r="Z362" s="44">
        <f t="shared" si="25"/>
        <v>0</v>
      </c>
      <c r="AA362" s="125">
        <f>VLOOKUP(C362,'Talente &amp; Stuff'!AF:BG,25,FALSE)</f>
        <v>0</v>
      </c>
      <c r="AB362" s="160">
        <f>VLOOKUP(C362,'Talente &amp; Stuff'!AF:BG,26,FALSE)</f>
        <v>0</v>
      </c>
      <c r="AC362" s="127">
        <f>VLOOKUP(C362,'Talente &amp; Stuff'!AF:BG,27,FALSE)</f>
        <v>0</v>
      </c>
      <c r="AD362" s="125">
        <f>VLOOKUP(C362,'Talente &amp; Stuff'!AF:BG,28,FALSE)</f>
        <v>0</v>
      </c>
      <c r="AE362" s="28"/>
    </row>
    <row r="363" spans="2:31" ht="15" hidden="1" customHeight="1" outlineLevel="2">
      <c r="B363" s="148">
        <v>7</v>
      </c>
      <c r="C363" s="177" t="str">
        <f>Attribute!C363</f>
        <v>---</v>
      </c>
      <c r="D363" s="86" t="str">
        <f>VLOOKUP(C363,'Talente &amp; Stuff'!AF:BG,2,FALSE)</f>
        <v>--/--/--</v>
      </c>
      <c r="E363" s="125" t="str">
        <f>VLOOKUP(C363,'Talente &amp; Stuff'!AF:BG,3,FALSE)</f>
        <v>-</v>
      </c>
      <c r="F363" s="113">
        <f>VLOOKUP(C363,'Talente &amp; Stuff'!AF:BG,4,FALSE)</f>
        <v>0</v>
      </c>
      <c r="G363" s="113">
        <f>VLOOKUP(C363,'Talente &amp; Stuff'!AF:BG,5,FALSE)</f>
        <v>0</v>
      </c>
      <c r="H363" s="113">
        <f>VLOOKUP(C363,'Talente &amp; Stuff'!AF:BG,6,FALSE)</f>
        <v>0</v>
      </c>
      <c r="I363" s="113">
        <f>VLOOKUP(C363,'Talente &amp; Stuff'!AF:BG,7,FALSE)</f>
        <v>0</v>
      </c>
      <c r="J363" s="113">
        <f>VLOOKUP(C363,'Talente &amp; Stuff'!AF:BG,8,FALSE)</f>
        <v>0</v>
      </c>
      <c r="K363" s="113">
        <f>VLOOKUP(C363,'Talente &amp; Stuff'!AF:BG,9,FALSE)</f>
        <v>0</v>
      </c>
      <c r="L363" s="113">
        <f>VLOOKUP(C363,'Talente &amp; Stuff'!AF:BG,10,FALSE)</f>
        <v>0</v>
      </c>
      <c r="M363" s="113">
        <f>VLOOKUP(C363,'Talente &amp; Stuff'!AF:BG,11,FALSE)</f>
        <v>0</v>
      </c>
      <c r="N363" s="89">
        <f>VLOOKUP(C363,'Talente &amp; Stuff'!AF:BG,12,FALSE)</f>
        <v>0</v>
      </c>
      <c r="O363" s="47">
        <f>VLOOKUP(C363,'Talente &amp; Stuff'!AF:BG,13,FALSE)</f>
        <v>0</v>
      </c>
      <c r="P363" s="119">
        <f>VLOOKUP(C363,'Talente &amp; Stuff'!AF:BG,14,FALSE)</f>
        <v>0</v>
      </c>
      <c r="Q363" s="113">
        <f>VLOOKUP(C363,'Talente &amp; Stuff'!AF:BG,15,FALSE)</f>
        <v>0</v>
      </c>
      <c r="R363" s="113">
        <f>VLOOKUP(C363,'Talente &amp; Stuff'!AF:BG,16,FALSE)</f>
        <v>0</v>
      </c>
      <c r="S363" s="113">
        <f>VLOOKUP(C363,'Talente &amp; Stuff'!AF:BG,17,FALSE)</f>
        <v>0</v>
      </c>
      <c r="T363" s="160">
        <f>VLOOKUP(C363,'Talente &amp; Stuff'!AF:BG,18,FALSE)</f>
        <v>0</v>
      </c>
      <c r="U363" s="47">
        <f>VLOOKUP(C363,'Talente &amp; Stuff'!AF:BG,19,FALSE)</f>
        <v>0</v>
      </c>
      <c r="V363" s="47">
        <f>VLOOKUP(C363,'Talente &amp; Stuff'!AF:BG,20,FALSE)</f>
        <v>0</v>
      </c>
      <c r="W363" s="47">
        <f>VLOOKUP(C363,'Talente &amp; Stuff'!AF:BG,21,FALSE)</f>
        <v>0</v>
      </c>
      <c r="X363" s="125">
        <f>VLOOKUP(C363,'Talente &amp; Stuff'!AF:BG,22,FALSE)</f>
        <v>0</v>
      </c>
      <c r="Y363" s="165">
        <f t="shared" si="24"/>
        <v>0</v>
      </c>
      <c r="Z363" s="44">
        <f t="shared" si="25"/>
        <v>0</v>
      </c>
      <c r="AA363" s="125">
        <f>VLOOKUP(C363,'Talente &amp; Stuff'!AF:BG,25,FALSE)</f>
        <v>0</v>
      </c>
      <c r="AB363" s="160">
        <f>VLOOKUP(C363,'Talente &amp; Stuff'!AF:BG,26,FALSE)</f>
        <v>0</v>
      </c>
      <c r="AC363" s="127">
        <f>VLOOKUP(C363,'Talente &amp; Stuff'!AF:BG,27,FALSE)</f>
        <v>0</v>
      </c>
      <c r="AD363" s="125">
        <f>VLOOKUP(C363,'Talente &amp; Stuff'!AF:BG,28,FALSE)</f>
        <v>0</v>
      </c>
      <c r="AE363" s="28"/>
    </row>
    <row r="364" spans="2:31" ht="15" hidden="1" customHeight="1" outlineLevel="2">
      <c r="B364" s="148">
        <v>8</v>
      </c>
      <c r="C364" s="177" t="str">
        <f>Attribute!C364</f>
        <v>---</v>
      </c>
      <c r="D364" s="86" t="str">
        <f>VLOOKUP(C364,'Talente &amp; Stuff'!AF:BG,2,FALSE)</f>
        <v>--/--/--</v>
      </c>
      <c r="E364" s="125" t="str">
        <f>VLOOKUP(C364,'Talente &amp; Stuff'!AF:BG,3,FALSE)</f>
        <v>-</v>
      </c>
      <c r="F364" s="113">
        <f>VLOOKUP(C364,'Talente &amp; Stuff'!AF:BG,4,FALSE)</f>
        <v>0</v>
      </c>
      <c r="G364" s="113">
        <f>VLOOKUP(C364,'Talente &amp; Stuff'!AF:BG,5,FALSE)</f>
        <v>0</v>
      </c>
      <c r="H364" s="113">
        <f>VLOOKUP(C364,'Talente &amp; Stuff'!AF:BG,6,FALSE)</f>
        <v>0</v>
      </c>
      <c r="I364" s="113">
        <f>VLOOKUP(C364,'Talente &amp; Stuff'!AF:BG,7,FALSE)</f>
        <v>0</v>
      </c>
      <c r="J364" s="113">
        <f>VLOOKUP(C364,'Talente &amp; Stuff'!AF:BG,8,FALSE)</f>
        <v>0</v>
      </c>
      <c r="K364" s="113">
        <f>VLOOKUP(C364,'Talente &amp; Stuff'!AF:BG,9,FALSE)</f>
        <v>0</v>
      </c>
      <c r="L364" s="113">
        <f>VLOOKUP(C364,'Talente &amp; Stuff'!AF:BG,10,FALSE)</f>
        <v>0</v>
      </c>
      <c r="M364" s="113">
        <f>VLOOKUP(C364,'Talente &amp; Stuff'!AF:BG,11,FALSE)</f>
        <v>0</v>
      </c>
      <c r="N364" s="89">
        <f>VLOOKUP(C364,'Talente &amp; Stuff'!AF:BG,12,FALSE)</f>
        <v>0</v>
      </c>
      <c r="O364" s="47">
        <f>VLOOKUP(C364,'Talente &amp; Stuff'!AF:BG,13,FALSE)</f>
        <v>0</v>
      </c>
      <c r="P364" s="119">
        <f>VLOOKUP(C364,'Talente &amp; Stuff'!AF:BG,14,FALSE)</f>
        <v>0</v>
      </c>
      <c r="Q364" s="113">
        <f>VLOOKUP(C364,'Talente &amp; Stuff'!AF:BG,15,FALSE)</f>
        <v>0</v>
      </c>
      <c r="R364" s="113">
        <f>VLOOKUP(C364,'Talente &amp; Stuff'!AF:BG,16,FALSE)</f>
        <v>0</v>
      </c>
      <c r="S364" s="113">
        <f>VLOOKUP(C364,'Talente &amp; Stuff'!AF:BG,17,FALSE)</f>
        <v>0</v>
      </c>
      <c r="T364" s="160">
        <f>VLOOKUP(C364,'Talente &amp; Stuff'!AF:BG,18,FALSE)</f>
        <v>0</v>
      </c>
      <c r="U364" s="47">
        <f>VLOOKUP(C364,'Talente &amp; Stuff'!AF:BG,19,FALSE)</f>
        <v>0</v>
      </c>
      <c r="V364" s="47">
        <f>VLOOKUP(C364,'Talente &amp; Stuff'!AF:BG,20,FALSE)</f>
        <v>0</v>
      </c>
      <c r="W364" s="47">
        <f>VLOOKUP(C364,'Talente &amp; Stuff'!AF:BG,21,FALSE)</f>
        <v>0</v>
      </c>
      <c r="X364" s="125">
        <f>VLOOKUP(C364,'Talente &amp; Stuff'!AF:BG,22,FALSE)</f>
        <v>0</v>
      </c>
      <c r="Y364" s="165">
        <f t="shared" si="24"/>
        <v>0</v>
      </c>
      <c r="Z364" s="44">
        <f t="shared" si="25"/>
        <v>0</v>
      </c>
      <c r="AA364" s="125">
        <f>VLOOKUP(C364,'Talente &amp; Stuff'!AF:BG,25,FALSE)</f>
        <v>0</v>
      </c>
      <c r="AB364" s="160">
        <f>VLOOKUP(C364,'Talente &amp; Stuff'!AF:BG,26,FALSE)</f>
        <v>0</v>
      </c>
      <c r="AC364" s="127">
        <f>VLOOKUP(C364,'Talente &amp; Stuff'!AF:BG,27,FALSE)</f>
        <v>0</v>
      </c>
      <c r="AD364" s="125">
        <f>VLOOKUP(C364,'Talente &amp; Stuff'!AF:BG,28,FALSE)</f>
        <v>0</v>
      </c>
      <c r="AE364" s="28"/>
    </row>
    <row r="365" spans="2:31" ht="15" hidden="1" customHeight="1" outlineLevel="2">
      <c r="B365" s="148">
        <v>9</v>
      </c>
      <c r="C365" s="178" t="str">
        <f>Attribute!C365</f>
        <v>---</v>
      </c>
      <c r="D365" s="87" t="str">
        <f>VLOOKUP(C365,'Talente &amp; Stuff'!AF:BG,2,FALSE)</f>
        <v>--/--/--</v>
      </c>
      <c r="E365" s="159" t="str">
        <f>VLOOKUP(C365,'Talente &amp; Stuff'!AF:BG,3,FALSE)</f>
        <v>-</v>
      </c>
      <c r="F365" s="122">
        <f>VLOOKUP(C365,'Talente &amp; Stuff'!AF:BG,4,FALSE)</f>
        <v>0</v>
      </c>
      <c r="G365" s="122">
        <f>VLOOKUP(C365,'Talente &amp; Stuff'!AF:BG,5,FALSE)</f>
        <v>0</v>
      </c>
      <c r="H365" s="122">
        <f>VLOOKUP(C365,'Talente &amp; Stuff'!AF:BG,6,FALSE)</f>
        <v>0</v>
      </c>
      <c r="I365" s="122">
        <f>VLOOKUP(C365,'Talente &amp; Stuff'!AF:BG,7,FALSE)</f>
        <v>0</v>
      </c>
      <c r="J365" s="122">
        <f>VLOOKUP(C365,'Talente &amp; Stuff'!AF:BG,8,FALSE)</f>
        <v>0</v>
      </c>
      <c r="K365" s="122">
        <f>VLOOKUP(C365,'Talente &amp; Stuff'!AF:BG,9,FALSE)</f>
        <v>0</v>
      </c>
      <c r="L365" s="122">
        <f>VLOOKUP(C365,'Talente &amp; Stuff'!AF:BG,10,FALSE)</f>
        <v>0</v>
      </c>
      <c r="M365" s="122">
        <f>VLOOKUP(C365,'Talente &amp; Stuff'!AF:BG,11,FALSE)</f>
        <v>0</v>
      </c>
      <c r="N365" s="90">
        <f>VLOOKUP(C365,'Talente &amp; Stuff'!AF:BG,12,FALSE)</f>
        <v>0</v>
      </c>
      <c r="O365" s="88">
        <f>VLOOKUP(C365,'Talente &amp; Stuff'!AF:BG,13,FALSE)</f>
        <v>0</v>
      </c>
      <c r="P365" s="123">
        <f>VLOOKUP(C365,'Talente &amp; Stuff'!AF:BG,14,FALSE)</f>
        <v>0</v>
      </c>
      <c r="Q365" s="122">
        <f>VLOOKUP(C365,'Talente &amp; Stuff'!AF:BG,15,FALSE)</f>
        <v>0</v>
      </c>
      <c r="R365" s="122">
        <f>VLOOKUP(C365,'Talente &amp; Stuff'!AF:BG,16,FALSE)</f>
        <v>0</v>
      </c>
      <c r="S365" s="122">
        <f>VLOOKUP(C365,'Talente &amp; Stuff'!AF:BG,17,FALSE)</f>
        <v>0</v>
      </c>
      <c r="T365" s="161">
        <f>VLOOKUP(C365,'Talente &amp; Stuff'!AF:BG,18,FALSE)</f>
        <v>0</v>
      </c>
      <c r="U365" s="88">
        <f>VLOOKUP(C365,'Talente &amp; Stuff'!AF:BG,19,FALSE)</f>
        <v>0</v>
      </c>
      <c r="V365" s="88">
        <f>VLOOKUP(C365,'Talente &amp; Stuff'!AF:BG,20,FALSE)</f>
        <v>0</v>
      </c>
      <c r="W365" s="88">
        <f>VLOOKUP(C365,'Talente &amp; Stuff'!AF:BG,21,FALSE)</f>
        <v>0</v>
      </c>
      <c r="X365" s="159">
        <f>VLOOKUP(C365,'Talente &amp; Stuff'!AF:BG,22,FALSE)</f>
        <v>0</v>
      </c>
      <c r="Y365" s="165">
        <f t="shared" si="24"/>
        <v>0</v>
      </c>
      <c r="Z365" s="44">
        <f t="shared" si="25"/>
        <v>0</v>
      </c>
      <c r="AA365" s="159">
        <f>VLOOKUP(C365,'Talente &amp; Stuff'!AF:BG,25,FALSE)</f>
        <v>0</v>
      </c>
      <c r="AB365" s="161">
        <f>VLOOKUP(C365,'Talente &amp; Stuff'!AF:BG,26,FALSE)</f>
        <v>0</v>
      </c>
      <c r="AC365" s="128">
        <f>VLOOKUP(C365,'Talente &amp; Stuff'!AF:BG,27,FALSE)</f>
        <v>0</v>
      </c>
      <c r="AD365" s="159">
        <f>VLOOKUP(C365,'Talente &amp; Stuff'!AF:BG,28,FALSE)</f>
        <v>0</v>
      </c>
      <c r="AE365" s="28"/>
    </row>
    <row r="366" spans="2:31" ht="15" hidden="1" customHeight="1" outlineLevel="1" collapsed="1">
      <c r="B366" s="134" t="s">
        <v>330</v>
      </c>
      <c r="C366" s="83"/>
      <c r="D366" s="84"/>
      <c r="E366" s="84"/>
      <c r="F366" s="148"/>
      <c r="G366" s="148"/>
      <c r="H366" s="148"/>
      <c r="I366" s="148"/>
      <c r="J366" s="148"/>
      <c r="K366" s="148"/>
      <c r="L366" s="148"/>
      <c r="M366" s="148"/>
      <c r="N366" s="148"/>
      <c r="O366" s="148"/>
      <c r="P366" s="148"/>
      <c r="Q366" s="148"/>
      <c r="R366" s="148"/>
      <c r="S366" s="148"/>
      <c r="T366" s="148"/>
      <c r="U366" s="148"/>
      <c r="V366" s="148"/>
      <c r="W366" s="148"/>
      <c r="X366" s="148"/>
      <c r="AA366" s="148"/>
      <c r="AB366" s="148"/>
      <c r="AC366" s="148"/>
      <c r="AD366" s="148"/>
      <c r="AE366" s="148"/>
    </row>
    <row r="367" spans="2:31" ht="15" hidden="1" customHeight="1" outlineLevel="2">
      <c r="B367" s="148">
        <v>1</v>
      </c>
      <c r="C367" s="176" t="str">
        <f>Attribute!C367</f>
        <v>---</v>
      </c>
      <c r="D367" s="158" t="str">
        <f>VLOOKUP(C367,'Talente &amp; Stuff'!AF:BG,2,FALSE)</f>
        <v>--/--/--</v>
      </c>
      <c r="E367" s="158" t="str">
        <f>VLOOKUP(C367,'Talente &amp; Stuff'!AF:BG,3,FALSE)</f>
        <v>-</v>
      </c>
      <c r="F367" s="118">
        <f>VLOOKUP(C367,'Talente &amp; Stuff'!AF:BG,4,FALSE)</f>
        <v>0</v>
      </c>
      <c r="G367" s="118">
        <f>VLOOKUP(C367,'Talente &amp; Stuff'!AF:BG,5,FALSE)</f>
        <v>0</v>
      </c>
      <c r="H367" s="118">
        <f>VLOOKUP(C367,'Talente &amp; Stuff'!AF:BG,6,FALSE)</f>
        <v>0</v>
      </c>
      <c r="I367" s="118">
        <f>VLOOKUP(C367,'Talente &amp; Stuff'!AF:BG,7,FALSE)</f>
        <v>0</v>
      </c>
      <c r="J367" s="118">
        <f>VLOOKUP(C367,'Talente &amp; Stuff'!AF:BG,8,FALSE)</f>
        <v>0</v>
      </c>
      <c r="K367" s="118">
        <f>VLOOKUP(C367,'Talente &amp; Stuff'!AF:BG,9,FALSE)</f>
        <v>0</v>
      </c>
      <c r="L367" s="118">
        <f>VLOOKUP(C367,'Talente &amp; Stuff'!AF:BG,10,FALSE)</f>
        <v>0</v>
      </c>
      <c r="M367" s="118">
        <f>VLOOKUP(C367,'Talente &amp; Stuff'!AF:BG,11,FALSE)</f>
        <v>0</v>
      </c>
      <c r="N367" s="193">
        <f>VLOOKUP(C367,'Talente &amp; Stuff'!AF:BG,12,FALSE)</f>
        <v>0</v>
      </c>
      <c r="O367" s="116">
        <f>VLOOKUP(C367,'Talente &amp; Stuff'!AF:BG,13,FALSE)</f>
        <v>0</v>
      </c>
      <c r="P367" s="92">
        <f>VLOOKUP(C367,'Talente &amp; Stuff'!AF:BG,14,FALSE)</f>
        <v>0</v>
      </c>
      <c r="Q367" s="118">
        <f>VLOOKUP(C367,'Talente &amp; Stuff'!AF:BG,15,FALSE)</f>
        <v>0</v>
      </c>
      <c r="R367" s="118">
        <f>VLOOKUP(C367,'Talente &amp; Stuff'!AF:BG,16,FALSE)</f>
        <v>0</v>
      </c>
      <c r="S367" s="118">
        <f>VLOOKUP(C367,'Talente &amp; Stuff'!AF:BG,17,FALSE)</f>
        <v>0</v>
      </c>
      <c r="T367" s="91">
        <f>VLOOKUP(C367,'Talente &amp; Stuff'!AF:BG,18,FALSE)</f>
        <v>0</v>
      </c>
      <c r="U367" s="116">
        <f>VLOOKUP(C367,'Talente &amp; Stuff'!AF:BG,19,FALSE)</f>
        <v>0</v>
      </c>
      <c r="V367" s="116">
        <f>VLOOKUP(C367,'Talente &amp; Stuff'!AF:BG,20,FALSE)</f>
        <v>0</v>
      </c>
      <c r="W367" s="116">
        <f>VLOOKUP(C367,'Talente &amp; Stuff'!AF:BG,21,FALSE)</f>
        <v>0</v>
      </c>
      <c r="X367" s="158">
        <f>VLOOKUP(C367,'Talente &amp; Stuff'!AF:BG,22,FALSE)</f>
        <v>0</v>
      </c>
      <c r="Y367" s="165">
        <f t="shared" ref="Y367:Y374" si="26">VLOOKUP(C367,Ausgewählte_Rituale_Elfen,52,FALSE)</f>
        <v>0</v>
      </c>
      <c r="Z367" s="44">
        <f t="shared" ref="Z367:Z374" si="27">VLOOKUP(C367,Ausgewählte_Rituale_Elfen,53,FALSE)</f>
        <v>0</v>
      </c>
      <c r="AA367" s="158">
        <f>VLOOKUP(C367,'Talente &amp; Stuff'!AF:BG,25,FALSE)</f>
        <v>0</v>
      </c>
      <c r="AB367" s="91">
        <f>VLOOKUP(C367,'Talente &amp; Stuff'!AF:BG,26,FALSE)</f>
        <v>0</v>
      </c>
      <c r="AC367" s="126">
        <f>VLOOKUP(C367,'Talente &amp; Stuff'!AF:BG,27,FALSE)</f>
        <v>0</v>
      </c>
      <c r="AD367" s="158">
        <f>VLOOKUP(C367,'Talente &amp; Stuff'!AF:BG,28,FALSE)</f>
        <v>0</v>
      </c>
      <c r="AE367" s="28"/>
    </row>
    <row r="368" spans="2:31" ht="15" hidden="1" customHeight="1" outlineLevel="2">
      <c r="B368" s="148">
        <v>2</v>
      </c>
      <c r="C368" s="177" t="str">
        <f>Attribute!C368</f>
        <v>---</v>
      </c>
      <c r="D368" s="125" t="str">
        <f>VLOOKUP(C368,'Talente &amp; Stuff'!AF:BG,2,FALSE)</f>
        <v>--/--/--</v>
      </c>
      <c r="E368" s="125" t="str">
        <f>VLOOKUP(C368,'Talente &amp; Stuff'!AF:BG,3,FALSE)</f>
        <v>-</v>
      </c>
      <c r="F368" s="113">
        <f>VLOOKUP(C368,'Talente &amp; Stuff'!AF:BG,4,FALSE)</f>
        <v>0</v>
      </c>
      <c r="G368" s="113">
        <f>VLOOKUP(C368,'Talente &amp; Stuff'!AF:BG,5,FALSE)</f>
        <v>0</v>
      </c>
      <c r="H368" s="113">
        <f>VLOOKUP(C368,'Talente &amp; Stuff'!AF:BG,6,FALSE)</f>
        <v>0</v>
      </c>
      <c r="I368" s="113">
        <f>VLOOKUP(C368,'Talente &amp; Stuff'!AF:BG,7,FALSE)</f>
        <v>0</v>
      </c>
      <c r="J368" s="113">
        <f>VLOOKUP(C368,'Talente &amp; Stuff'!AF:BG,8,FALSE)</f>
        <v>0</v>
      </c>
      <c r="K368" s="113">
        <f>VLOOKUP(C368,'Talente &amp; Stuff'!AF:BG,9,FALSE)</f>
        <v>0</v>
      </c>
      <c r="L368" s="113">
        <f>VLOOKUP(C368,'Talente &amp; Stuff'!AF:BG,10,FALSE)</f>
        <v>0</v>
      </c>
      <c r="M368" s="113">
        <f>VLOOKUP(C368,'Talente &amp; Stuff'!AF:BG,11,FALSE)</f>
        <v>0</v>
      </c>
      <c r="N368" s="89">
        <f>VLOOKUP(C368,'Talente &amp; Stuff'!AF:BG,12,FALSE)</f>
        <v>0</v>
      </c>
      <c r="O368" s="47">
        <f>VLOOKUP(C368,'Talente &amp; Stuff'!AF:BG,13,FALSE)</f>
        <v>0</v>
      </c>
      <c r="P368" s="119">
        <f>VLOOKUP(C368,'Talente &amp; Stuff'!AF:BG,14,FALSE)</f>
        <v>0</v>
      </c>
      <c r="Q368" s="113">
        <f>VLOOKUP(C368,'Talente &amp; Stuff'!AF:BG,15,FALSE)</f>
        <v>0</v>
      </c>
      <c r="R368" s="113">
        <f>VLOOKUP(C368,'Talente &amp; Stuff'!AF:BG,16,FALSE)</f>
        <v>0</v>
      </c>
      <c r="S368" s="113">
        <f>VLOOKUP(C368,'Talente &amp; Stuff'!AF:BG,17,FALSE)</f>
        <v>0</v>
      </c>
      <c r="T368" s="160">
        <f>VLOOKUP(C368,'Talente &amp; Stuff'!AF:BG,18,FALSE)</f>
        <v>0</v>
      </c>
      <c r="U368" s="47">
        <f>VLOOKUP(C368,'Talente &amp; Stuff'!AF:BG,19,FALSE)</f>
        <v>0</v>
      </c>
      <c r="V368" s="47">
        <f>VLOOKUP(C368,'Talente &amp; Stuff'!AF:BG,20,FALSE)</f>
        <v>0</v>
      </c>
      <c r="W368" s="47">
        <f>VLOOKUP(C368,'Talente &amp; Stuff'!AF:BG,21,FALSE)</f>
        <v>0</v>
      </c>
      <c r="X368" s="125">
        <f>VLOOKUP(C368,'Talente &amp; Stuff'!AF:BG,22,FALSE)</f>
        <v>0</v>
      </c>
      <c r="Y368" s="165">
        <f t="shared" si="26"/>
        <v>0</v>
      </c>
      <c r="Z368" s="44">
        <f t="shared" si="27"/>
        <v>0</v>
      </c>
      <c r="AA368" s="125">
        <f>VLOOKUP(C368,'Talente &amp; Stuff'!AF:BG,25,FALSE)</f>
        <v>0</v>
      </c>
      <c r="AB368" s="160">
        <f>VLOOKUP(C368,'Talente &amp; Stuff'!AF:BG,26,FALSE)</f>
        <v>0</v>
      </c>
      <c r="AC368" s="127">
        <f>VLOOKUP(C368,'Talente &amp; Stuff'!AF:BG,27,FALSE)</f>
        <v>0</v>
      </c>
      <c r="AD368" s="125">
        <f>VLOOKUP(C368,'Talente &amp; Stuff'!AF:BG,28,FALSE)</f>
        <v>0</v>
      </c>
      <c r="AE368" s="28"/>
    </row>
    <row r="369" spans="2:31" s="148" customFormat="1" ht="15" hidden="1" customHeight="1" outlineLevel="2">
      <c r="B369" s="148">
        <v>3</v>
      </c>
      <c r="C369" s="177" t="str">
        <f>Attribute!C369</f>
        <v>---</v>
      </c>
      <c r="D369" s="125" t="str">
        <f>VLOOKUP(C369,'Talente &amp; Stuff'!AF:BG,2,FALSE)</f>
        <v>--/--/--</v>
      </c>
      <c r="E369" s="125" t="str">
        <f>VLOOKUP(C369,'Talente &amp; Stuff'!AF:BG,3,FALSE)</f>
        <v>-</v>
      </c>
      <c r="F369" s="113">
        <f>VLOOKUP(C369,'Talente &amp; Stuff'!AF:BG,4,FALSE)</f>
        <v>0</v>
      </c>
      <c r="G369" s="113">
        <f>VLOOKUP(C369,'Talente &amp; Stuff'!AF:BG,5,FALSE)</f>
        <v>0</v>
      </c>
      <c r="H369" s="113">
        <f>VLOOKUP(C369,'Talente &amp; Stuff'!AF:BG,6,FALSE)</f>
        <v>0</v>
      </c>
      <c r="I369" s="113">
        <f>VLOOKUP(C369,'Talente &amp; Stuff'!AF:BG,7,FALSE)</f>
        <v>0</v>
      </c>
      <c r="J369" s="113">
        <f>VLOOKUP(C369,'Talente &amp; Stuff'!AF:BG,8,FALSE)</f>
        <v>0</v>
      </c>
      <c r="K369" s="113">
        <f>VLOOKUP(C369,'Talente &amp; Stuff'!AF:BG,9,FALSE)</f>
        <v>0</v>
      </c>
      <c r="L369" s="113">
        <f>VLOOKUP(C369,'Talente &amp; Stuff'!AF:BG,10,FALSE)</f>
        <v>0</v>
      </c>
      <c r="M369" s="113">
        <f>VLOOKUP(C369,'Talente &amp; Stuff'!AF:BG,11,FALSE)</f>
        <v>0</v>
      </c>
      <c r="N369" s="89">
        <f>VLOOKUP(C369,'Talente &amp; Stuff'!AF:BG,12,FALSE)</f>
        <v>0</v>
      </c>
      <c r="O369" s="47">
        <f>VLOOKUP(C369,'Talente &amp; Stuff'!AF:BG,13,FALSE)</f>
        <v>0</v>
      </c>
      <c r="P369" s="119">
        <f>VLOOKUP(C369,'Talente &amp; Stuff'!AF:BG,14,FALSE)</f>
        <v>0</v>
      </c>
      <c r="Q369" s="113">
        <f>VLOOKUP(C369,'Talente &amp; Stuff'!AF:BG,15,FALSE)</f>
        <v>0</v>
      </c>
      <c r="R369" s="113">
        <f>VLOOKUP(C369,'Talente &amp; Stuff'!AF:BG,16,FALSE)</f>
        <v>0</v>
      </c>
      <c r="S369" s="113">
        <f>VLOOKUP(C369,'Talente &amp; Stuff'!AF:BG,17,FALSE)</f>
        <v>0</v>
      </c>
      <c r="T369" s="160">
        <f>VLOOKUP(C369,'Talente &amp; Stuff'!AF:BG,18,FALSE)</f>
        <v>0</v>
      </c>
      <c r="U369" s="47">
        <f>VLOOKUP(C369,'Talente &amp; Stuff'!AF:BG,19,FALSE)</f>
        <v>0</v>
      </c>
      <c r="V369" s="47">
        <f>VLOOKUP(C369,'Talente &amp; Stuff'!AF:BG,20,FALSE)</f>
        <v>0</v>
      </c>
      <c r="W369" s="47">
        <f>VLOOKUP(C369,'Talente &amp; Stuff'!AF:BG,21,FALSE)</f>
        <v>0</v>
      </c>
      <c r="X369" s="125">
        <f>VLOOKUP(C369,'Talente &amp; Stuff'!AF:BG,22,FALSE)</f>
        <v>0</v>
      </c>
      <c r="Y369" s="165">
        <f t="shared" si="26"/>
        <v>0</v>
      </c>
      <c r="Z369" s="44">
        <f t="shared" si="27"/>
        <v>0</v>
      </c>
      <c r="AA369" s="125">
        <f>VLOOKUP(C369,'Talente &amp; Stuff'!AF:BG,25,FALSE)</f>
        <v>0</v>
      </c>
      <c r="AB369" s="160">
        <f>VLOOKUP(C369,'Talente &amp; Stuff'!AF:BG,26,FALSE)</f>
        <v>0</v>
      </c>
      <c r="AC369" s="127">
        <f>VLOOKUP(C369,'Talente &amp; Stuff'!AF:BG,27,FALSE)</f>
        <v>0</v>
      </c>
      <c r="AD369" s="125">
        <f>VLOOKUP(C369,'Talente &amp; Stuff'!AF:BG,28,FALSE)</f>
        <v>0</v>
      </c>
      <c r="AE369" s="28"/>
    </row>
    <row r="370" spans="2:31" s="148" customFormat="1" ht="15" hidden="1" customHeight="1" outlineLevel="2">
      <c r="B370" s="148">
        <v>4</v>
      </c>
      <c r="C370" s="177" t="str">
        <f>Attribute!C370</f>
        <v>---</v>
      </c>
      <c r="D370" s="125" t="str">
        <f>VLOOKUP(C370,'Talente &amp; Stuff'!AF:BG,2,FALSE)</f>
        <v>--/--/--</v>
      </c>
      <c r="E370" s="125" t="str">
        <f>VLOOKUP(C370,'Talente &amp; Stuff'!AF:BG,3,FALSE)</f>
        <v>-</v>
      </c>
      <c r="F370" s="113">
        <f>VLOOKUP(C370,'Talente &amp; Stuff'!AF:BG,4,FALSE)</f>
        <v>0</v>
      </c>
      <c r="G370" s="113">
        <f>VLOOKUP(C370,'Talente &amp; Stuff'!AF:BG,5,FALSE)</f>
        <v>0</v>
      </c>
      <c r="H370" s="113">
        <f>VLOOKUP(C370,'Talente &amp; Stuff'!AF:BG,6,FALSE)</f>
        <v>0</v>
      </c>
      <c r="I370" s="113">
        <f>VLOOKUP(C370,'Talente &amp; Stuff'!AF:BG,7,FALSE)</f>
        <v>0</v>
      </c>
      <c r="J370" s="113">
        <f>VLOOKUP(C370,'Talente &amp; Stuff'!AF:BG,8,FALSE)</f>
        <v>0</v>
      </c>
      <c r="K370" s="113">
        <f>VLOOKUP(C370,'Talente &amp; Stuff'!AF:BG,9,FALSE)</f>
        <v>0</v>
      </c>
      <c r="L370" s="113">
        <f>VLOOKUP(C370,'Talente &amp; Stuff'!AF:BG,10,FALSE)</f>
        <v>0</v>
      </c>
      <c r="M370" s="113">
        <f>VLOOKUP(C370,'Talente &amp; Stuff'!AF:BG,11,FALSE)</f>
        <v>0</v>
      </c>
      <c r="N370" s="89">
        <f>VLOOKUP(C370,'Talente &amp; Stuff'!AF:BG,12,FALSE)</f>
        <v>0</v>
      </c>
      <c r="O370" s="47">
        <f>VLOOKUP(C370,'Talente &amp; Stuff'!AF:BG,13,FALSE)</f>
        <v>0</v>
      </c>
      <c r="P370" s="119">
        <f>VLOOKUP(C370,'Talente &amp; Stuff'!AF:BG,14,FALSE)</f>
        <v>0</v>
      </c>
      <c r="Q370" s="113">
        <f>VLOOKUP(C370,'Talente &amp; Stuff'!AF:BG,15,FALSE)</f>
        <v>0</v>
      </c>
      <c r="R370" s="113">
        <f>VLOOKUP(C370,'Talente &amp; Stuff'!AF:BG,16,FALSE)</f>
        <v>0</v>
      </c>
      <c r="S370" s="113">
        <f>VLOOKUP(C370,'Talente &amp; Stuff'!AF:BG,17,FALSE)</f>
        <v>0</v>
      </c>
      <c r="T370" s="160">
        <f>VLOOKUP(C370,'Talente &amp; Stuff'!AF:BG,18,FALSE)</f>
        <v>0</v>
      </c>
      <c r="U370" s="47">
        <f>VLOOKUP(C370,'Talente &amp; Stuff'!AF:BG,19,FALSE)</f>
        <v>0</v>
      </c>
      <c r="V370" s="47">
        <f>VLOOKUP(C370,'Talente &amp; Stuff'!AF:BG,20,FALSE)</f>
        <v>0</v>
      </c>
      <c r="W370" s="47">
        <f>VLOOKUP(C370,'Talente &amp; Stuff'!AF:BG,21,FALSE)</f>
        <v>0</v>
      </c>
      <c r="X370" s="125">
        <f>VLOOKUP(C370,'Talente &amp; Stuff'!AF:BG,22,FALSE)</f>
        <v>0</v>
      </c>
      <c r="Y370" s="165">
        <f t="shared" si="26"/>
        <v>0</v>
      </c>
      <c r="Z370" s="44">
        <f t="shared" si="27"/>
        <v>0</v>
      </c>
      <c r="AA370" s="125">
        <f>VLOOKUP(C370,'Talente &amp; Stuff'!AF:BG,25,FALSE)</f>
        <v>0</v>
      </c>
      <c r="AB370" s="160">
        <f>VLOOKUP(C370,'Talente &amp; Stuff'!AF:BG,26,FALSE)</f>
        <v>0</v>
      </c>
      <c r="AC370" s="127">
        <f>VLOOKUP(C370,'Talente &amp; Stuff'!AF:BG,27,FALSE)</f>
        <v>0</v>
      </c>
      <c r="AD370" s="125">
        <f>VLOOKUP(C370,'Talente &amp; Stuff'!AF:BG,28,FALSE)</f>
        <v>0</v>
      </c>
      <c r="AE370" s="28"/>
    </row>
    <row r="371" spans="2:31" ht="15" hidden="1" customHeight="1" outlineLevel="2">
      <c r="B371" s="148">
        <v>5</v>
      </c>
      <c r="C371" s="177" t="str">
        <f>Attribute!C371</f>
        <v>---</v>
      </c>
      <c r="D371" s="125" t="str">
        <f>VLOOKUP(C371,'Talente &amp; Stuff'!AF:BG,2,FALSE)</f>
        <v>--/--/--</v>
      </c>
      <c r="E371" s="125" t="str">
        <f>VLOOKUP(C371,'Talente &amp; Stuff'!AF:BG,3,FALSE)</f>
        <v>-</v>
      </c>
      <c r="F371" s="113">
        <f>VLOOKUP(C371,'Talente &amp; Stuff'!AF:BG,4,FALSE)</f>
        <v>0</v>
      </c>
      <c r="G371" s="113">
        <f>VLOOKUP(C371,'Talente &amp; Stuff'!AF:BG,5,FALSE)</f>
        <v>0</v>
      </c>
      <c r="H371" s="113">
        <f>VLOOKUP(C371,'Talente &amp; Stuff'!AF:BG,6,FALSE)</f>
        <v>0</v>
      </c>
      <c r="I371" s="113">
        <f>VLOOKUP(C371,'Talente &amp; Stuff'!AF:BG,7,FALSE)</f>
        <v>0</v>
      </c>
      <c r="J371" s="113">
        <f>VLOOKUP(C371,'Talente &amp; Stuff'!AF:BG,8,FALSE)</f>
        <v>0</v>
      </c>
      <c r="K371" s="113">
        <f>VLOOKUP(C371,'Talente &amp; Stuff'!AF:BG,9,FALSE)</f>
        <v>0</v>
      </c>
      <c r="L371" s="113">
        <f>VLOOKUP(C371,'Talente &amp; Stuff'!AF:BG,10,FALSE)</f>
        <v>0</v>
      </c>
      <c r="M371" s="113">
        <f>VLOOKUP(C371,'Talente &amp; Stuff'!AF:BG,11,FALSE)</f>
        <v>0</v>
      </c>
      <c r="N371" s="89">
        <f>VLOOKUP(C371,'Talente &amp; Stuff'!AF:BG,12,FALSE)</f>
        <v>0</v>
      </c>
      <c r="O371" s="47">
        <f>VLOOKUP(C371,'Talente &amp; Stuff'!AF:BG,13,FALSE)</f>
        <v>0</v>
      </c>
      <c r="P371" s="119">
        <f>VLOOKUP(C371,'Talente &amp; Stuff'!AF:BG,14,FALSE)</f>
        <v>0</v>
      </c>
      <c r="Q371" s="113">
        <f>VLOOKUP(C371,'Talente &amp; Stuff'!AF:BG,15,FALSE)</f>
        <v>0</v>
      </c>
      <c r="R371" s="113">
        <f>VLOOKUP(C371,'Talente &amp; Stuff'!AF:BG,16,FALSE)</f>
        <v>0</v>
      </c>
      <c r="S371" s="113">
        <f>VLOOKUP(C371,'Talente &amp; Stuff'!AF:BG,17,FALSE)</f>
        <v>0</v>
      </c>
      <c r="T371" s="160">
        <f>VLOOKUP(C371,'Talente &amp; Stuff'!AF:BG,18,FALSE)</f>
        <v>0</v>
      </c>
      <c r="U371" s="47">
        <f>VLOOKUP(C371,'Talente &amp; Stuff'!AF:BG,19,FALSE)</f>
        <v>0</v>
      </c>
      <c r="V371" s="47">
        <f>VLOOKUP(C371,'Talente &amp; Stuff'!AF:BG,20,FALSE)</f>
        <v>0</v>
      </c>
      <c r="W371" s="47">
        <f>VLOOKUP(C371,'Talente &amp; Stuff'!AF:BG,21,FALSE)</f>
        <v>0</v>
      </c>
      <c r="X371" s="125">
        <f>VLOOKUP(C371,'Talente &amp; Stuff'!AF:BG,22,FALSE)</f>
        <v>0</v>
      </c>
      <c r="Y371" s="165">
        <f t="shared" si="26"/>
        <v>0</v>
      </c>
      <c r="Z371" s="44">
        <f t="shared" si="27"/>
        <v>0</v>
      </c>
      <c r="AA371" s="125">
        <f>VLOOKUP(C371,'Talente &amp; Stuff'!AF:BG,25,FALSE)</f>
        <v>0</v>
      </c>
      <c r="AB371" s="160">
        <f>VLOOKUP(C371,'Talente &amp; Stuff'!AF:BG,26,FALSE)</f>
        <v>0</v>
      </c>
      <c r="AC371" s="127">
        <f>VLOOKUP(C371,'Talente &amp; Stuff'!AF:BG,27,FALSE)</f>
        <v>0</v>
      </c>
      <c r="AD371" s="125">
        <f>VLOOKUP(C371,'Talente &amp; Stuff'!AF:BG,28,FALSE)</f>
        <v>0</v>
      </c>
      <c r="AE371" s="28"/>
    </row>
    <row r="372" spans="2:31" ht="15" hidden="1" customHeight="1" outlineLevel="2">
      <c r="B372" s="148">
        <v>6</v>
      </c>
      <c r="C372" s="177" t="str">
        <f>Attribute!C372</f>
        <v>---</v>
      </c>
      <c r="D372" s="125" t="str">
        <f>VLOOKUP(C372,'Talente &amp; Stuff'!AF:BG,2,FALSE)</f>
        <v>--/--/--</v>
      </c>
      <c r="E372" s="125" t="str">
        <f>VLOOKUP(C372,'Talente &amp; Stuff'!AF:BG,3,FALSE)</f>
        <v>-</v>
      </c>
      <c r="F372" s="113">
        <f>VLOOKUP(C372,'Talente &amp; Stuff'!AF:BG,4,FALSE)</f>
        <v>0</v>
      </c>
      <c r="G372" s="113">
        <f>VLOOKUP(C372,'Talente &amp; Stuff'!AF:BG,5,FALSE)</f>
        <v>0</v>
      </c>
      <c r="H372" s="113">
        <f>VLOOKUP(C372,'Talente &amp; Stuff'!AF:BG,6,FALSE)</f>
        <v>0</v>
      </c>
      <c r="I372" s="113">
        <f>VLOOKUP(C372,'Talente &amp; Stuff'!AF:BG,7,FALSE)</f>
        <v>0</v>
      </c>
      <c r="J372" s="113">
        <f>VLOOKUP(C372,'Talente &amp; Stuff'!AF:BG,8,FALSE)</f>
        <v>0</v>
      </c>
      <c r="K372" s="113">
        <f>VLOOKUP(C372,'Talente &amp; Stuff'!AF:BG,9,FALSE)</f>
        <v>0</v>
      </c>
      <c r="L372" s="113">
        <f>VLOOKUP(C372,'Talente &amp; Stuff'!AF:BG,10,FALSE)</f>
        <v>0</v>
      </c>
      <c r="M372" s="113">
        <f>VLOOKUP(C372,'Talente &amp; Stuff'!AF:BG,11,FALSE)</f>
        <v>0</v>
      </c>
      <c r="N372" s="89">
        <f>VLOOKUP(C372,'Talente &amp; Stuff'!AF:BG,12,FALSE)</f>
        <v>0</v>
      </c>
      <c r="O372" s="47">
        <f>VLOOKUP(C372,'Talente &amp; Stuff'!AF:BG,13,FALSE)</f>
        <v>0</v>
      </c>
      <c r="P372" s="119">
        <f>VLOOKUP(C372,'Talente &amp; Stuff'!AF:BG,14,FALSE)</f>
        <v>0</v>
      </c>
      <c r="Q372" s="113">
        <f>VLOOKUP(C372,'Talente &amp; Stuff'!AF:BG,15,FALSE)</f>
        <v>0</v>
      </c>
      <c r="R372" s="113">
        <f>VLOOKUP(C372,'Talente &amp; Stuff'!AF:BG,16,FALSE)</f>
        <v>0</v>
      </c>
      <c r="S372" s="113">
        <f>VLOOKUP(C372,'Talente &amp; Stuff'!AF:BG,17,FALSE)</f>
        <v>0</v>
      </c>
      <c r="T372" s="160">
        <f>VLOOKUP(C372,'Talente &amp; Stuff'!AF:BG,18,FALSE)</f>
        <v>0</v>
      </c>
      <c r="U372" s="47">
        <f>VLOOKUP(C372,'Talente &amp; Stuff'!AF:BG,19,FALSE)</f>
        <v>0</v>
      </c>
      <c r="V372" s="47">
        <f>VLOOKUP(C372,'Talente &amp; Stuff'!AF:BG,20,FALSE)</f>
        <v>0</v>
      </c>
      <c r="W372" s="47">
        <f>VLOOKUP(C372,'Talente &amp; Stuff'!AF:BG,21,FALSE)</f>
        <v>0</v>
      </c>
      <c r="X372" s="125">
        <f>VLOOKUP(C372,'Talente &amp; Stuff'!AF:BG,22,FALSE)</f>
        <v>0</v>
      </c>
      <c r="Y372" s="165">
        <f t="shared" si="26"/>
        <v>0</v>
      </c>
      <c r="Z372" s="44">
        <f t="shared" si="27"/>
        <v>0</v>
      </c>
      <c r="AA372" s="125">
        <f>VLOOKUP(C372,'Talente &amp; Stuff'!AF:BG,25,FALSE)</f>
        <v>0</v>
      </c>
      <c r="AB372" s="160">
        <f>VLOOKUP(C372,'Talente &amp; Stuff'!AF:BG,26,FALSE)</f>
        <v>0</v>
      </c>
      <c r="AC372" s="127">
        <f>VLOOKUP(C372,'Talente &amp; Stuff'!AF:BG,27,FALSE)</f>
        <v>0</v>
      </c>
      <c r="AD372" s="125">
        <f>VLOOKUP(C372,'Talente &amp; Stuff'!AF:BG,28,FALSE)</f>
        <v>0</v>
      </c>
      <c r="AE372" s="28"/>
    </row>
    <row r="373" spans="2:31" ht="15" hidden="1" customHeight="1" outlineLevel="2">
      <c r="B373" s="148">
        <v>7</v>
      </c>
      <c r="C373" s="177" t="str">
        <f>Attribute!C373</f>
        <v>---</v>
      </c>
      <c r="D373" s="125" t="str">
        <f>VLOOKUP(C373,'Talente &amp; Stuff'!AF:BG,2,FALSE)</f>
        <v>--/--/--</v>
      </c>
      <c r="E373" s="125" t="str">
        <f>VLOOKUP(C373,'Talente &amp; Stuff'!AF:BG,3,FALSE)</f>
        <v>-</v>
      </c>
      <c r="F373" s="113">
        <f>VLOOKUP(C373,'Talente &amp; Stuff'!AF:BG,4,FALSE)</f>
        <v>0</v>
      </c>
      <c r="G373" s="113">
        <f>VLOOKUP(C373,'Talente &amp; Stuff'!AF:BG,5,FALSE)</f>
        <v>0</v>
      </c>
      <c r="H373" s="113">
        <f>VLOOKUP(C373,'Talente &amp; Stuff'!AF:BG,6,FALSE)</f>
        <v>0</v>
      </c>
      <c r="I373" s="113">
        <f>VLOOKUP(C373,'Talente &amp; Stuff'!AF:BG,7,FALSE)</f>
        <v>0</v>
      </c>
      <c r="J373" s="113">
        <f>VLOOKUP(C373,'Talente &amp; Stuff'!AF:BG,8,FALSE)</f>
        <v>0</v>
      </c>
      <c r="K373" s="113">
        <f>VLOOKUP(C373,'Talente &amp; Stuff'!AF:BG,9,FALSE)</f>
        <v>0</v>
      </c>
      <c r="L373" s="113">
        <f>VLOOKUP(C373,'Talente &amp; Stuff'!AF:BG,10,FALSE)</f>
        <v>0</v>
      </c>
      <c r="M373" s="113">
        <f>VLOOKUP(C373,'Talente &amp; Stuff'!AF:BG,11,FALSE)</f>
        <v>0</v>
      </c>
      <c r="N373" s="89">
        <f>VLOOKUP(C373,'Talente &amp; Stuff'!AF:BG,12,FALSE)</f>
        <v>0</v>
      </c>
      <c r="O373" s="47">
        <f>VLOOKUP(C373,'Talente &amp; Stuff'!AF:BG,13,FALSE)</f>
        <v>0</v>
      </c>
      <c r="P373" s="119">
        <f>VLOOKUP(C373,'Talente &amp; Stuff'!AF:BG,14,FALSE)</f>
        <v>0</v>
      </c>
      <c r="Q373" s="113">
        <f>VLOOKUP(C373,'Talente &amp; Stuff'!AF:BG,15,FALSE)</f>
        <v>0</v>
      </c>
      <c r="R373" s="113">
        <f>VLOOKUP(C373,'Talente &amp; Stuff'!AF:BG,16,FALSE)</f>
        <v>0</v>
      </c>
      <c r="S373" s="113">
        <f>VLOOKUP(C373,'Talente &amp; Stuff'!AF:BG,17,FALSE)</f>
        <v>0</v>
      </c>
      <c r="T373" s="160">
        <f>VLOOKUP(C373,'Talente &amp; Stuff'!AF:BG,18,FALSE)</f>
        <v>0</v>
      </c>
      <c r="U373" s="47">
        <f>VLOOKUP(C373,'Talente &amp; Stuff'!AF:BG,19,FALSE)</f>
        <v>0</v>
      </c>
      <c r="V373" s="47">
        <f>VLOOKUP(C373,'Talente &amp; Stuff'!AF:BG,20,FALSE)</f>
        <v>0</v>
      </c>
      <c r="W373" s="47">
        <f>VLOOKUP(C373,'Talente &amp; Stuff'!AF:BG,21,FALSE)</f>
        <v>0</v>
      </c>
      <c r="X373" s="125">
        <f>VLOOKUP(C373,'Talente &amp; Stuff'!AF:BG,22,FALSE)</f>
        <v>0</v>
      </c>
      <c r="Y373" s="165">
        <f t="shared" si="26"/>
        <v>0</v>
      </c>
      <c r="Z373" s="44">
        <f t="shared" si="27"/>
        <v>0</v>
      </c>
      <c r="AA373" s="125">
        <f>VLOOKUP(C373,'Talente &amp; Stuff'!AF:BG,25,FALSE)</f>
        <v>0</v>
      </c>
      <c r="AB373" s="160">
        <f>VLOOKUP(C373,'Talente &amp; Stuff'!AF:BG,26,FALSE)</f>
        <v>0</v>
      </c>
      <c r="AC373" s="127">
        <f>VLOOKUP(C373,'Talente &amp; Stuff'!AF:BG,27,FALSE)</f>
        <v>0</v>
      </c>
      <c r="AD373" s="125">
        <f>VLOOKUP(C373,'Talente &amp; Stuff'!AF:BG,28,FALSE)</f>
        <v>0</v>
      </c>
      <c r="AE373" s="28"/>
    </row>
    <row r="374" spans="2:31" ht="15" hidden="1" customHeight="1" outlineLevel="2">
      <c r="B374" s="148">
        <v>8</v>
      </c>
      <c r="C374" s="178" t="str">
        <f>Attribute!C374</f>
        <v>---</v>
      </c>
      <c r="D374" s="159" t="str">
        <f>VLOOKUP(C374,'Talente &amp; Stuff'!AF:BG,2,FALSE)</f>
        <v>--/--/--</v>
      </c>
      <c r="E374" s="159" t="str">
        <f>VLOOKUP(C374,'Talente &amp; Stuff'!AF:BG,3,FALSE)</f>
        <v>-</v>
      </c>
      <c r="F374" s="122">
        <f>VLOOKUP(C374,'Talente &amp; Stuff'!AF:BG,4,FALSE)</f>
        <v>0</v>
      </c>
      <c r="G374" s="122">
        <f>VLOOKUP(C374,'Talente &amp; Stuff'!AF:BG,5,FALSE)</f>
        <v>0</v>
      </c>
      <c r="H374" s="122">
        <f>VLOOKUP(C374,'Talente &amp; Stuff'!AF:BG,6,FALSE)</f>
        <v>0</v>
      </c>
      <c r="I374" s="122">
        <f>VLOOKUP(C374,'Talente &amp; Stuff'!AF:BG,7,FALSE)</f>
        <v>0</v>
      </c>
      <c r="J374" s="122">
        <f>VLOOKUP(C374,'Talente &amp; Stuff'!AF:BG,8,FALSE)</f>
        <v>0</v>
      </c>
      <c r="K374" s="122">
        <f>VLOOKUP(C374,'Talente &amp; Stuff'!AF:BG,9,FALSE)</f>
        <v>0</v>
      </c>
      <c r="L374" s="122">
        <f>VLOOKUP(C374,'Talente &amp; Stuff'!AF:BG,10,FALSE)</f>
        <v>0</v>
      </c>
      <c r="M374" s="122">
        <f>VLOOKUP(C374,'Talente &amp; Stuff'!AF:BG,11,FALSE)</f>
        <v>0</v>
      </c>
      <c r="N374" s="90">
        <f>VLOOKUP(C374,'Talente &amp; Stuff'!AF:BG,12,FALSE)</f>
        <v>0</v>
      </c>
      <c r="O374" s="88">
        <f>VLOOKUP(C374,'Talente &amp; Stuff'!AF:BG,13,FALSE)</f>
        <v>0</v>
      </c>
      <c r="P374" s="123">
        <f>VLOOKUP(C374,'Talente &amp; Stuff'!AF:BG,14,FALSE)</f>
        <v>0</v>
      </c>
      <c r="Q374" s="122">
        <f>VLOOKUP(C374,'Talente &amp; Stuff'!AF:BG,15,FALSE)</f>
        <v>0</v>
      </c>
      <c r="R374" s="122">
        <f>VLOOKUP(C374,'Talente &amp; Stuff'!AF:BG,16,FALSE)</f>
        <v>0</v>
      </c>
      <c r="S374" s="122">
        <f>VLOOKUP(C374,'Talente &amp; Stuff'!AF:BG,17,FALSE)</f>
        <v>0</v>
      </c>
      <c r="T374" s="161">
        <f>VLOOKUP(C374,'Talente &amp; Stuff'!AF:BG,18,FALSE)</f>
        <v>0</v>
      </c>
      <c r="U374" s="88">
        <f>VLOOKUP(C374,'Talente &amp; Stuff'!AF:BG,19,FALSE)</f>
        <v>0</v>
      </c>
      <c r="V374" s="88">
        <f>VLOOKUP(C374,'Talente &amp; Stuff'!AF:BG,20,FALSE)</f>
        <v>0</v>
      </c>
      <c r="W374" s="88">
        <f>VLOOKUP(C374,'Talente &amp; Stuff'!AF:BG,21,FALSE)</f>
        <v>0</v>
      </c>
      <c r="X374" s="159">
        <f>VLOOKUP(C374,'Talente &amp; Stuff'!AF:BG,22,FALSE)</f>
        <v>0</v>
      </c>
      <c r="Y374" s="165">
        <f t="shared" si="26"/>
        <v>0</v>
      </c>
      <c r="Z374" s="44">
        <f t="shared" si="27"/>
        <v>0</v>
      </c>
      <c r="AA374" s="159">
        <f>VLOOKUP(C374,'Talente &amp; Stuff'!AF:BG,25,FALSE)</f>
        <v>0</v>
      </c>
      <c r="AB374" s="161">
        <f>VLOOKUP(C374,'Talente &amp; Stuff'!AF:BG,26,FALSE)</f>
        <v>0</v>
      </c>
      <c r="AC374" s="128">
        <f>VLOOKUP(C374,'Talente &amp; Stuff'!AF:BG,27,FALSE)</f>
        <v>0</v>
      </c>
      <c r="AD374" s="159">
        <f>VLOOKUP(C374,'Talente &amp; Stuff'!AF:BG,28,FALSE)</f>
        <v>0</v>
      </c>
      <c r="AE374" s="28"/>
    </row>
    <row r="375" spans="2:31" ht="15" hidden="1" customHeight="1" outlineLevel="1" collapsed="1">
      <c r="B375" s="134" t="s">
        <v>329</v>
      </c>
      <c r="C375" s="83"/>
      <c r="D375" s="84"/>
      <c r="E375" s="84"/>
      <c r="F375" s="148"/>
      <c r="G375" s="148"/>
      <c r="H375" s="148"/>
      <c r="I375" s="148"/>
      <c r="J375" s="148"/>
      <c r="K375" s="148"/>
      <c r="L375" s="148"/>
      <c r="M375" s="148"/>
      <c r="N375" s="148"/>
      <c r="O375" s="148"/>
      <c r="P375" s="148"/>
      <c r="Q375" s="148"/>
      <c r="R375" s="148"/>
      <c r="S375" s="148"/>
      <c r="T375" s="148"/>
      <c r="U375" s="148"/>
      <c r="V375" s="148"/>
      <c r="W375" s="148"/>
      <c r="X375" s="148"/>
      <c r="AA375" s="148"/>
      <c r="AB375" s="148"/>
      <c r="AC375" s="148"/>
      <c r="AD375" s="148"/>
      <c r="AE375" s="148"/>
    </row>
    <row r="376" spans="2:31" ht="15" hidden="1" customHeight="1" outlineLevel="2">
      <c r="B376" s="148">
        <v>1</v>
      </c>
      <c r="C376" s="176" t="str">
        <f>Attribute!C376</f>
        <v>---</v>
      </c>
      <c r="D376" s="85" t="str">
        <f>VLOOKUP(C376,'Talente &amp; Stuff'!AF:BG,2,FALSE)</f>
        <v>--/--/--</v>
      </c>
      <c r="E376" s="158" t="str">
        <f>VLOOKUP(C376,'Talente &amp; Stuff'!AF:BG,3,FALSE)</f>
        <v>-</v>
      </c>
      <c r="F376" s="118">
        <f>VLOOKUP(C376,'Talente &amp; Stuff'!AF:BG,4,FALSE)</f>
        <v>0</v>
      </c>
      <c r="G376" s="118">
        <f>VLOOKUP(C376,'Talente &amp; Stuff'!AF:BG,5,FALSE)</f>
        <v>0</v>
      </c>
      <c r="H376" s="118">
        <f>VLOOKUP(C376,'Talente &amp; Stuff'!AF:BG,6,FALSE)</f>
        <v>0</v>
      </c>
      <c r="I376" s="118">
        <f>VLOOKUP(C376,'Talente &amp; Stuff'!AF:BG,7,FALSE)</f>
        <v>0</v>
      </c>
      <c r="J376" s="118">
        <f>VLOOKUP(C376,'Talente &amp; Stuff'!AF:BG,8,FALSE)</f>
        <v>0</v>
      </c>
      <c r="K376" s="118">
        <f>VLOOKUP(C376,'Talente &amp; Stuff'!AF:BG,9,FALSE)</f>
        <v>0</v>
      </c>
      <c r="L376" s="118">
        <f>VLOOKUP(C376,'Talente &amp; Stuff'!AF:BG,10,FALSE)</f>
        <v>0</v>
      </c>
      <c r="M376" s="118">
        <f>VLOOKUP(C376,'Talente &amp; Stuff'!AF:BG,11,FALSE)</f>
        <v>0</v>
      </c>
      <c r="N376" s="193">
        <f>VLOOKUP(C376,'Talente &amp; Stuff'!AF:BG,12,FALSE)</f>
        <v>0</v>
      </c>
      <c r="O376" s="116">
        <f>VLOOKUP(C376,'Talente &amp; Stuff'!AF:BG,13,FALSE)</f>
        <v>0</v>
      </c>
      <c r="P376" s="92">
        <f>VLOOKUP(C376,'Talente &amp; Stuff'!AF:BG,14,FALSE)</f>
        <v>0</v>
      </c>
      <c r="Q376" s="118">
        <f>VLOOKUP(C376,'Talente &amp; Stuff'!AF:BG,15,FALSE)</f>
        <v>0</v>
      </c>
      <c r="R376" s="118">
        <f>VLOOKUP(C376,'Talente &amp; Stuff'!AF:BG,16,FALSE)</f>
        <v>0</v>
      </c>
      <c r="S376" s="118">
        <f>VLOOKUP(C376,'Talente &amp; Stuff'!AF:BG,17,FALSE)</f>
        <v>0</v>
      </c>
      <c r="T376" s="91">
        <f>VLOOKUP(C376,'Talente &amp; Stuff'!AF:BG,18,FALSE)</f>
        <v>0</v>
      </c>
      <c r="U376" s="116">
        <f>VLOOKUP(C376,'Talente &amp; Stuff'!AF:BG,19,FALSE)</f>
        <v>0</v>
      </c>
      <c r="V376" s="116">
        <f>VLOOKUP(C376,'Talente &amp; Stuff'!AF:BG,20,FALSE)</f>
        <v>0</v>
      </c>
      <c r="W376" s="116">
        <f>VLOOKUP(C376,'Talente &amp; Stuff'!AF:BG,21,FALSE)</f>
        <v>0</v>
      </c>
      <c r="X376" s="158">
        <f>VLOOKUP(C376,'Talente &amp; Stuff'!AF:BG,22,FALSE)</f>
        <v>0</v>
      </c>
      <c r="Y376" s="165">
        <f t="shared" ref="Y376:Y386" si="28">VLOOKUP(C376,Ausgewählte_Rituale_Gildenmagier,52,FALSE)</f>
        <v>0</v>
      </c>
      <c r="Z376" s="44">
        <f t="shared" ref="Z376:Z386" si="29">VLOOKUP(C376,Ausgewählte_Rituale_Gildenmagier,53,FALSE)</f>
        <v>0</v>
      </c>
      <c r="AA376" s="158">
        <f>VLOOKUP(C376,'Talente &amp; Stuff'!AF:BG,25,FALSE)</f>
        <v>0</v>
      </c>
      <c r="AB376" s="91">
        <f>VLOOKUP(C376,'Talente &amp; Stuff'!AF:BG,26,FALSE)</f>
        <v>0</v>
      </c>
      <c r="AC376" s="126">
        <f>VLOOKUP(C376,'Talente &amp; Stuff'!AF:BG,27,FALSE)</f>
        <v>0</v>
      </c>
      <c r="AD376" s="158">
        <f>VLOOKUP(C376,'Talente &amp; Stuff'!AF:BG,28,FALSE)</f>
        <v>0</v>
      </c>
      <c r="AE376" s="28"/>
    </row>
    <row r="377" spans="2:31" s="148" customFormat="1" ht="15" hidden="1" customHeight="1" outlineLevel="2">
      <c r="B377" s="148">
        <v>2</v>
      </c>
      <c r="C377" s="177" t="str">
        <f>Attribute!C377</f>
        <v>---</v>
      </c>
      <c r="D377" s="86" t="str">
        <f>VLOOKUP(C377,'Talente &amp; Stuff'!AF:BG,2,FALSE)</f>
        <v>--/--/--</v>
      </c>
      <c r="E377" s="125" t="str">
        <f>VLOOKUP(C377,'Talente &amp; Stuff'!AF:BG,3,FALSE)</f>
        <v>-</v>
      </c>
      <c r="F377" s="113">
        <f>VLOOKUP(C377,'Talente &amp; Stuff'!AF:BG,4,FALSE)</f>
        <v>0</v>
      </c>
      <c r="G377" s="113">
        <f>VLOOKUP(C377,'Talente &amp; Stuff'!AF:BG,5,FALSE)</f>
        <v>0</v>
      </c>
      <c r="H377" s="113">
        <f>VLOOKUP(C377,'Talente &amp; Stuff'!AF:BG,6,FALSE)</f>
        <v>0</v>
      </c>
      <c r="I377" s="113">
        <f>VLOOKUP(C377,'Talente &amp; Stuff'!AF:BG,7,FALSE)</f>
        <v>0</v>
      </c>
      <c r="J377" s="113">
        <f>VLOOKUP(C377,'Talente &amp; Stuff'!AF:BG,8,FALSE)</f>
        <v>0</v>
      </c>
      <c r="K377" s="113">
        <f>VLOOKUP(C377,'Talente &amp; Stuff'!AF:BG,9,FALSE)</f>
        <v>0</v>
      </c>
      <c r="L377" s="113">
        <f>VLOOKUP(C377,'Talente &amp; Stuff'!AF:BG,10,FALSE)</f>
        <v>0</v>
      </c>
      <c r="M377" s="113">
        <f>VLOOKUP(C377,'Talente &amp; Stuff'!AF:BG,11,FALSE)</f>
        <v>0</v>
      </c>
      <c r="N377" s="89">
        <f>VLOOKUP(C377,'Talente &amp; Stuff'!AF:BG,12,FALSE)</f>
        <v>0</v>
      </c>
      <c r="O377" s="47">
        <f>VLOOKUP(C377,'Talente &amp; Stuff'!AF:BG,13,FALSE)</f>
        <v>0</v>
      </c>
      <c r="P377" s="119">
        <f>VLOOKUP(C377,'Talente &amp; Stuff'!AF:BG,14,FALSE)</f>
        <v>0</v>
      </c>
      <c r="Q377" s="113">
        <f>VLOOKUP(C377,'Talente &amp; Stuff'!AF:BG,15,FALSE)</f>
        <v>0</v>
      </c>
      <c r="R377" s="113">
        <f>VLOOKUP(C377,'Talente &amp; Stuff'!AF:BG,16,FALSE)</f>
        <v>0</v>
      </c>
      <c r="S377" s="113">
        <f>VLOOKUP(C377,'Talente &amp; Stuff'!AF:BG,17,FALSE)</f>
        <v>0</v>
      </c>
      <c r="T377" s="160">
        <f>VLOOKUP(C377,'Talente &amp; Stuff'!AF:BG,18,FALSE)</f>
        <v>0</v>
      </c>
      <c r="U377" s="47">
        <f>VLOOKUP(C377,'Talente &amp; Stuff'!AF:BG,19,FALSE)</f>
        <v>0</v>
      </c>
      <c r="V377" s="47">
        <f>VLOOKUP(C377,'Talente &amp; Stuff'!AF:BG,20,FALSE)</f>
        <v>0</v>
      </c>
      <c r="W377" s="47">
        <f>VLOOKUP(C377,'Talente &amp; Stuff'!AF:BG,21,FALSE)</f>
        <v>0</v>
      </c>
      <c r="X377" s="125">
        <f>VLOOKUP(C377,'Talente &amp; Stuff'!AF:BG,22,FALSE)</f>
        <v>0</v>
      </c>
      <c r="Y377" s="165">
        <f t="shared" si="28"/>
        <v>0</v>
      </c>
      <c r="Z377" s="44">
        <f t="shared" si="29"/>
        <v>0</v>
      </c>
      <c r="AA377" s="125">
        <f>VLOOKUP(C377,'Talente &amp; Stuff'!AF:BG,25,FALSE)</f>
        <v>0</v>
      </c>
      <c r="AB377" s="160">
        <f>VLOOKUP(C377,'Talente &amp; Stuff'!AF:BG,26,FALSE)</f>
        <v>0</v>
      </c>
      <c r="AC377" s="127">
        <f>VLOOKUP(C377,'Talente &amp; Stuff'!AF:BG,27,FALSE)</f>
        <v>0</v>
      </c>
      <c r="AD377" s="125">
        <f>VLOOKUP(C377,'Talente &amp; Stuff'!AF:BG,28,FALSE)</f>
        <v>0</v>
      </c>
      <c r="AE377" s="28"/>
    </row>
    <row r="378" spans="2:31" s="148" customFormat="1" ht="15" hidden="1" customHeight="1" outlineLevel="2">
      <c r="B378" s="148">
        <v>3</v>
      </c>
      <c r="C378" s="177" t="str">
        <f>Attribute!C378</f>
        <v>---</v>
      </c>
      <c r="D378" s="86" t="str">
        <f>VLOOKUP(C378,'Talente &amp; Stuff'!AF:BG,2,FALSE)</f>
        <v>--/--/--</v>
      </c>
      <c r="E378" s="125" t="str">
        <f>VLOOKUP(C378,'Talente &amp; Stuff'!AF:BG,3,FALSE)</f>
        <v>-</v>
      </c>
      <c r="F378" s="113">
        <f>VLOOKUP(C378,'Talente &amp; Stuff'!AF:BG,4,FALSE)</f>
        <v>0</v>
      </c>
      <c r="G378" s="113">
        <f>VLOOKUP(C378,'Talente &amp; Stuff'!AF:BG,5,FALSE)</f>
        <v>0</v>
      </c>
      <c r="H378" s="113">
        <f>VLOOKUP(C378,'Talente &amp; Stuff'!AF:BG,6,FALSE)</f>
        <v>0</v>
      </c>
      <c r="I378" s="113">
        <f>VLOOKUP(C378,'Talente &amp; Stuff'!AF:BG,7,FALSE)</f>
        <v>0</v>
      </c>
      <c r="J378" s="113">
        <f>VLOOKUP(C378,'Talente &amp; Stuff'!AF:BG,8,FALSE)</f>
        <v>0</v>
      </c>
      <c r="K378" s="113">
        <f>VLOOKUP(C378,'Talente &amp; Stuff'!AF:BG,9,FALSE)</f>
        <v>0</v>
      </c>
      <c r="L378" s="113">
        <f>VLOOKUP(C378,'Talente &amp; Stuff'!AF:BG,10,FALSE)</f>
        <v>0</v>
      </c>
      <c r="M378" s="113">
        <f>VLOOKUP(C378,'Talente &amp; Stuff'!AF:BG,11,FALSE)</f>
        <v>0</v>
      </c>
      <c r="N378" s="89">
        <f>VLOOKUP(C378,'Talente &amp; Stuff'!AF:BG,12,FALSE)</f>
        <v>0</v>
      </c>
      <c r="O378" s="47">
        <f>VLOOKUP(C378,'Talente &amp; Stuff'!AF:BG,13,FALSE)</f>
        <v>0</v>
      </c>
      <c r="P378" s="119">
        <f>VLOOKUP(C378,'Talente &amp; Stuff'!AF:BG,14,FALSE)</f>
        <v>0</v>
      </c>
      <c r="Q378" s="113">
        <f>VLOOKUP(C378,'Talente &amp; Stuff'!AF:BG,15,FALSE)</f>
        <v>0</v>
      </c>
      <c r="R378" s="113">
        <f>VLOOKUP(C378,'Talente &amp; Stuff'!AF:BG,16,FALSE)</f>
        <v>0</v>
      </c>
      <c r="S378" s="113">
        <f>VLOOKUP(C378,'Talente &amp; Stuff'!AF:BG,17,FALSE)</f>
        <v>0</v>
      </c>
      <c r="T378" s="160">
        <f>VLOOKUP(C378,'Talente &amp; Stuff'!AF:BG,18,FALSE)</f>
        <v>0</v>
      </c>
      <c r="U378" s="47">
        <f>VLOOKUP(C378,'Talente &amp; Stuff'!AF:BG,19,FALSE)</f>
        <v>0</v>
      </c>
      <c r="V378" s="47">
        <f>VLOOKUP(C378,'Talente &amp; Stuff'!AF:BG,20,FALSE)</f>
        <v>0</v>
      </c>
      <c r="W378" s="47">
        <f>VLOOKUP(C378,'Talente &amp; Stuff'!AF:BG,21,FALSE)</f>
        <v>0</v>
      </c>
      <c r="X378" s="125">
        <f>VLOOKUP(C378,'Talente &amp; Stuff'!AF:BG,22,FALSE)</f>
        <v>0</v>
      </c>
      <c r="Y378" s="165">
        <f t="shared" si="28"/>
        <v>0</v>
      </c>
      <c r="Z378" s="44">
        <f t="shared" si="29"/>
        <v>0</v>
      </c>
      <c r="AA378" s="125">
        <f>VLOOKUP(C378,'Talente &amp; Stuff'!AF:BG,25,FALSE)</f>
        <v>0</v>
      </c>
      <c r="AB378" s="160">
        <f>VLOOKUP(C378,'Talente &amp; Stuff'!AF:BG,26,FALSE)</f>
        <v>0</v>
      </c>
      <c r="AC378" s="127">
        <f>VLOOKUP(C378,'Talente &amp; Stuff'!AF:BG,27,FALSE)</f>
        <v>0</v>
      </c>
      <c r="AD378" s="125">
        <f>VLOOKUP(C378,'Talente &amp; Stuff'!AF:BG,28,FALSE)</f>
        <v>0</v>
      </c>
      <c r="AE378" s="28"/>
    </row>
    <row r="379" spans="2:31" s="148" customFormat="1" ht="15" hidden="1" customHeight="1" outlineLevel="2">
      <c r="B379" s="148">
        <v>4</v>
      </c>
      <c r="C379" s="177" t="str">
        <f>Attribute!C379</f>
        <v>---</v>
      </c>
      <c r="D379" s="86" t="str">
        <f>VLOOKUP(C379,'Talente &amp; Stuff'!AF:BG,2,FALSE)</f>
        <v>--/--/--</v>
      </c>
      <c r="E379" s="125" t="str">
        <f>VLOOKUP(C379,'Talente &amp; Stuff'!AF:BG,3,FALSE)</f>
        <v>-</v>
      </c>
      <c r="F379" s="113">
        <f>VLOOKUP(C379,'Talente &amp; Stuff'!AF:BG,4,FALSE)</f>
        <v>0</v>
      </c>
      <c r="G379" s="113">
        <f>VLOOKUP(C379,'Talente &amp; Stuff'!AF:BG,5,FALSE)</f>
        <v>0</v>
      </c>
      <c r="H379" s="113">
        <f>VLOOKUP(C379,'Talente &amp; Stuff'!AF:BG,6,FALSE)</f>
        <v>0</v>
      </c>
      <c r="I379" s="113">
        <f>VLOOKUP(C379,'Talente &amp; Stuff'!AF:BG,7,FALSE)</f>
        <v>0</v>
      </c>
      <c r="J379" s="113">
        <f>VLOOKUP(C379,'Talente &amp; Stuff'!AF:BG,8,FALSE)</f>
        <v>0</v>
      </c>
      <c r="K379" s="113">
        <f>VLOOKUP(C379,'Talente &amp; Stuff'!AF:BG,9,FALSE)</f>
        <v>0</v>
      </c>
      <c r="L379" s="113">
        <f>VLOOKUP(C379,'Talente &amp; Stuff'!AF:BG,10,FALSE)</f>
        <v>0</v>
      </c>
      <c r="M379" s="113">
        <f>VLOOKUP(C379,'Talente &amp; Stuff'!AF:BG,11,FALSE)</f>
        <v>0</v>
      </c>
      <c r="N379" s="89">
        <f>VLOOKUP(C379,'Talente &amp; Stuff'!AF:BG,12,FALSE)</f>
        <v>0</v>
      </c>
      <c r="O379" s="47">
        <f>VLOOKUP(C379,'Talente &amp; Stuff'!AF:BG,13,FALSE)</f>
        <v>0</v>
      </c>
      <c r="P379" s="119">
        <f>VLOOKUP(C379,'Talente &amp; Stuff'!AF:BG,14,FALSE)</f>
        <v>0</v>
      </c>
      <c r="Q379" s="113">
        <f>VLOOKUP(C379,'Talente &amp; Stuff'!AF:BG,15,FALSE)</f>
        <v>0</v>
      </c>
      <c r="R379" s="113">
        <f>VLOOKUP(C379,'Talente &amp; Stuff'!AF:BG,16,FALSE)</f>
        <v>0</v>
      </c>
      <c r="S379" s="113">
        <f>VLOOKUP(C379,'Talente &amp; Stuff'!AF:BG,17,FALSE)</f>
        <v>0</v>
      </c>
      <c r="T379" s="160">
        <f>VLOOKUP(C379,'Talente &amp; Stuff'!AF:BG,18,FALSE)</f>
        <v>0</v>
      </c>
      <c r="U379" s="47">
        <f>VLOOKUP(C379,'Talente &amp; Stuff'!AF:BG,19,FALSE)</f>
        <v>0</v>
      </c>
      <c r="V379" s="47">
        <f>VLOOKUP(C379,'Talente &amp; Stuff'!AF:BG,20,FALSE)</f>
        <v>0</v>
      </c>
      <c r="W379" s="47">
        <f>VLOOKUP(C379,'Talente &amp; Stuff'!AF:BG,21,FALSE)</f>
        <v>0</v>
      </c>
      <c r="X379" s="125">
        <f>VLOOKUP(C379,'Talente &amp; Stuff'!AF:BG,22,FALSE)</f>
        <v>0</v>
      </c>
      <c r="Y379" s="165">
        <f t="shared" si="28"/>
        <v>0</v>
      </c>
      <c r="Z379" s="44">
        <f t="shared" si="29"/>
        <v>0</v>
      </c>
      <c r="AA379" s="125">
        <f>VLOOKUP(C379,'Talente &amp; Stuff'!AF:BG,25,FALSE)</f>
        <v>0</v>
      </c>
      <c r="AB379" s="160">
        <f>VLOOKUP(C379,'Talente &amp; Stuff'!AF:BG,26,FALSE)</f>
        <v>0</v>
      </c>
      <c r="AC379" s="127">
        <f>VLOOKUP(C379,'Talente &amp; Stuff'!AF:BG,27,FALSE)</f>
        <v>0</v>
      </c>
      <c r="AD379" s="125">
        <f>VLOOKUP(C379,'Talente &amp; Stuff'!AF:BG,28,FALSE)</f>
        <v>0</v>
      </c>
      <c r="AE379" s="28"/>
    </row>
    <row r="380" spans="2:31" s="148" customFormat="1" ht="15" hidden="1" customHeight="1" outlineLevel="2">
      <c r="B380" s="148">
        <v>5</v>
      </c>
      <c r="C380" s="177" t="str">
        <f>Attribute!C380</f>
        <v>---</v>
      </c>
      <c r="D380" s="86" t="str">
        <f>VLOOKUP(C380,'Talente &amp; Stuff'!AF:BG,2,FALSE)</f>
        <v>--/--/--</v>
      </c>
      <c r="E380" s="125" t="str">
        <f>VLOOKUP(C380,'Talente &amp; Stuff'!AF:BG,3,FALSE)</f>
        <v>-</v>
      </c>
      <c r="F380" s="113">
        <f>VLOOKUP(C380,'Talente &amp; Stuff'!AF:BG,4,FALSE)</f>
        <v>0</v>
      </c>
      <c r="G380" s="113">
        <f>VLOOKUP(C380,'Talente &amp; Stuff'!AF:BG,5,FALSE)</f>
        <v>0</v>
      </c>
      <c r="H380" s="113">
        <f>VLOOKUP(C380,'Talente &amp; Stuff'!AF:BG,6,FALSE)</f>
        <v>0</v>
      </c>
      <c r="I380" s="113">
        <f>VLOOKUP(C380,'Talente &amp; Stuff'!AF:BG,7,FALSE)</f>
        <v>0</v>
      </c>
      <c r="J380" s="113">
        <f>VLOOKUP(C380,'Talente &amp; Stuff'!AF:BG,8,FALSE)</f>
        <v>0</v>
      </c>
      <c r="K380" s="113">
        <f>VLOOKUP(C380,'Talente &amp; Stuff'!AF:BG,9,FALSE)</f>
        <v>0</v>
      </c>
      <c r="L380" s="113">
        <f>VLOOKUP(C380,'Talente &amp; Stuff'!AF:BG,10,FALSE)</f>
        <v>0</v>
      </c>
      <c r="M380" s="113">
        <f>VLOOKUP(C380,'Talente &amp; Stuff'!AF:BG,11,FALSE)</f>
        <v>0</v>
      </c>
      <c r="N380" s="89">
        <f>VLOOKUP(C380,'Talente &amp; Stuff'!AF:BG,12,FALSE)</f>
        <v>0</v>
      </c>
      <c r="O380" s="47">
        <f>VLOOKUP(C380,'Talente &amp; Stuff'!AF:BG,13,FALSE)</f>
        <v>0</v>
      </c>
      <c r="P380" s="119">
        <f>VLOOKUP(C380,'Talente &amp; Stuff'!AF:BG,14,FALSE)</f>
        <v>0</v>
      </c>
      <c r="Q380" s="113">
        <f>VLOOKUP(C380,'Talente &amp; Stuff'!AF:BG,15,FALSE)</f>
        <v>0</v>
      </c>
      <c r="R380" s="113">
        <f>VLOOKUP(C380,'Talente &amp; Stuff'!AF:BG,16,FALSE)</f>
        <v>0</v>
      </c>
      <c r="S380" s="113">
        <f>VLOOKUP(C380,'Talente &amp; Stuff'!AF:BG,17,FALSE)</f>
        <v>0</v>
      </c>
      <c r="T380" s="160">
        <f>VLOOKUP(C380,'Talente &amp; Stuff'!AF:BG,18,FALSE)</f>
        <v>0</v>
      </c>
      <c r="U380" s="47">
        <f>VLOOKUP(C380,'Talente &amp; Stuff'!AF:BG,19,FALSE)</f>
        <v>0</v>
      </c>
      <c r="V380" s="47">
        <f>VLOOKUP(C380,'Talente &amp; Stuff'!AF:BG,20,FALSE)</f>
        <v>0</v>
      </c>
      <c r="W380" s="47">
        <f>VLOOKUP(C380,'Talente &amp; Stuff'!AF:BG,21,FALSE)</f>
        <v>0</v>
      </c>
      <c r="X380" s="125">
        <f>VLOOKUP(C380,'Talente &amp; Stuff'!AF:BG,22,FALSE)</f>
        <v>0</v>
      </c>
      <c r="Y380" s="165">
        <f t="shared" si="28"/>
        <v>0</v>
      </c>
      <c r="Z380" s="44">
        <f t="shared" si="29"/>
        <v>0</v>
      </c>
      <c r="AA380" s="125">
        <f>VLOOKUP(C380,'Talente &amp; Stuff'!AF:BG,25,FALSE)</f>
        <v>0</v>
      </c>
      <c r="AB380" s="160">
        <f>VLOOKUP(C380,'Talente &amp; Stuff'!AF:BG,26,FALSE)</f>
        <v>0</v>
      </c>
      <c r="AC380" s="127">
        <f>VLOOKUP(C380,'Talente &amp; Stuff'!AF:BG,27,FALSE)</f>
        <v>0</v>
      </c>
      <c r="AD380" s="125">
        <f>VLOOKUP(C380,'Talente &amp; Stuff'!AF:BG,28,FALSE)</f>
        <v>0</v>
      </c>
      <c r="AE380" s="28"/>
    </row>
    <row r="381" spans="2:31" s="148" customFormat="1" ht="15" hidden="1" customHeight="1" outlineLevel="2">
      <c r="B381" s="148">
        <v>6</v>
      </c>
      <c r="C381" s="177" t="str">
        <f>Attribute!C381</f>
        <v>---</v>
      </c>
      <c r="D381" s="86" t="str">
        <f>VLOOKUP(C381,'Talente &amp; Stuff'!AF:BG,2,FALSE)</f>
        <v>--/--/--</v>
      </c>
      <c r="E381" s="125" t="str">
        <f>VLOOKUP(C381,'Talente &amp; Stuff'!AF:BG,3,FALSE)</f>
        <v>-</v>
      </c>
      <c r="F381" s="113">
        <f>VLOOKUP(C381,'Talente &amp; Stuff'!AF:BG,4,FALSE)</f>
        <v>0</v>
      </c>
      <c r="G381" s="113">
        <f>VLOOKUP(C381,'Talente &amp; Stuff'!AF:BG,5,FALSE)</f>
        <v>0</v>
      </c>
      <c r="H381" s="113">
        <f>VLOOKUP(C381,'Talente &amp; Stuff'!AF:BG,6,FALSE)</f>
        <v>0</v>
      </c>
      <c r="I381" s="113">
        <f>VLOOKUP(C381,'Talente &amp; Stuff'!AF:BG,7,FALSE)</f>
        <v>0</v>
      </c>
      <c r="J381" s="113">
        <f>VLOOKUP(C381,'Talente &amp; Stuff'!AF:BG,8,FALSE)</f>
        <v>0</v>
      </c>
      <c r="K381" s="113">
        <f>VLOOKUP(C381,'Talente &amp; Stuff'!AF:BG,9,FALSE)</f>
        <v>0</v>
      </c>
      <c r="L381" s="113">
        <f>VLOOKUP(C381,'Talente &amp; Stuff'!AF:BG,10,FALSE)</f>
        <v>0</v>
      </c>
      <c r="M381" s="113">
        <f>VLOOKUP(C381,'Talente &amp; Stuff'!AF:BG,11,FALSE)</f>
        <v>0</v>
      </c>
      <c r="N381" s="89">
        <f>VLOOKUP(C381,'Talente &amp; Stuff'!AF:BG,12,FALSE)</f>
        <v>0</v>
      </c>
      <c r="O381" s="47">
        <f>VLOOKUP(C381,'Talente &amp; Stuff'!AF:BG,13,FALSE)</f>
        <v>0</v>
      </c>
      <c r="P381" s="119">
        <f>VLOOKUP(C381,'Talente &amp; Stuff'!AF:BG,14,FALSE)</f>
        <v>0</v>
      </c>
      <c r="Q381" s="113">
        <f>VLOOKUP(C381,'Talente &amp; Stuff'!AF:BG,15,FALSE)</f>
        <v>0</v>
      </c>
      <c r="R381" s="113">
        <f>VLOOKUP(C381,'Talente &amp; Stuff'!AF:BG,16,FALSE)</f>
        <v>0</v>
      </c>
      <c r="S381" s="113">
        <f>VLOOKUP(C381,'Talente &amp; Stuff'!AF:BG,17,FALSE)</f>
        <v>0</v>
      </c>
      <c r="T381" s="160">
        <f>VLOOKUP(C381,'Talente &amp; Stuff'!AF:BG,18,FALSE)</f>
        <v>0</v>
      </c>
      <c r="U381" s="47">
        <f>VLOOKUP(C381,'Talente &amp; Stuff'!AF:BG,19,FALSE)</f>
        <v>0</v>
      </c>
      <c r="V381" s="47">
        <f>VLOOKUP(C381,'Talente &amp; Stuff'!AF:BG,20,FALSE)</f>
        <v>0</v>
      </c>
      <c r="W381" s="47">
        <f>VLOOKUP(C381,'Talente &amp; Stuff'!AF:BG,21,FALSE)</f>
        <v>0</v>
      </c>
      <c r="X381" s="125">
        <f>VLOOKUP(C381,'Talente &amp; Stuff'!AF:BG,22,FALSE)</f>
        <v>0</v>
      </c>
      <c r="Y381" s="165">
        <f t="shared" si="28"/>
        <v>0</v>
      </c>
      <c r="Z381" s="44">
        <f t="shared" si="29"/>
        <v>0</v>
      </c>
      <c r="AA381" s="125">
        <f>VLOOKUP(C381,'Talente &amp; Stuff'!AF:BG,25,FALSE)</f>
        <v>0</v>
      </c>
      <c r="AB381" s="160">
        <f>VLOOKUP(C381,'Talente &amp; Stuff'!AF:BG,26,FALSE)</f>
        <v>0</v>
      </c>
      <c r="AC381" s="127">
        <f>VLOOKUP(C381,'Talente &amp; Stuff'!AF:BG,27,FALSE)</f>
        <v>0</v>
      </c>
      <c r="AD381" s="125">
        <f>VLOOKUP(C381,'Talente &amp; Stuff'!AF:BG,28,FALSE)</f>
        <v>0</v>
      </c>
      <c r="AE381" s="28"/>
    </row>
    <row r="382" spans="2:31" s="148" customFormat="1" ht="15" hidden="1" customHeight="1" outlineLevel="2">
      <c r="B382" s="148">
        <v>7</v>
      </c>
      <c r="C382" s="177" t="str">
        <f>Attribute!C382</f>
        <v>---</v>
      </c>
      <c r="D382" s="86" t="str">
        <f>VLOOKUP(C382,'Talente &amp; Stuff'!AF:BG,2,FALSE)</f>
        <v>--/--/--</v>
      </c>
      <c r="E382" s="125" t="str">
        <f>VLOOKUP(C382,'Talente &amp; Stuff'!AF:BG,3,FALSE)</f>
        <v>-</v>
      </c>
      <c r="F382" s="113">
        <f>VLOOKUP(C382,'Talente &amp; Stuff'!AF:BG,4,FALSE)</f>
        <v>0</v>
      </c>
      <c r="G382" s="113">
        <f>VLOOKUP(C382,'Talente &amp; Stuff'!AF:BG,5,FALSE)</f>
        <v>0</v>
      </c>
      <c r="H382" s="113">
        <f>VLOOKUP(C382,'Talente &amp; Stuff'!AF:BG,6,FALSE)</f>
        <v>0</v>
      </c>
      <c r="I382" s="113">
        <f>VLOOKUP(C382,'Talente &amp; Stuff'!AF:BG,7,FALSE)</f>
        <v>0</v>
      </c>
      <c r="J382" s="113">
        <f>VLOOKUP(C382,'Talente &amp; Stuff'!AF:BG,8,FALSE)</f>
        <v>0</v>
      </c>
      <c r="K382" s="113">
        <f>VLOOKUP(C382,'Talente &amp; Stuff'!AF:BG,9,FALSE)</f>
        <v>0</v>
      </c>
      <c r="L382" s="113">
        <f>VLOOKUP(C382,'Talente &amp; Stuff'!AF:BG,10,FALSE)</f>
        <v>0</v>
      </c>
      <c r="M382" s="113">
        <f>VLOOKUP(C382,'Talente &amp; Stuff'!AF:BG,11,FALSE)</f>
        <v>0</v>
      </c>
      <c r="N382" s="89">
        <f>VLOOKUP(C382,'Talente &amp; Stuff'!AF:BG,12,FALSE)</f>
        <v>0</v>
      </c>
      <c r="O382" s="47">
        <f>VLOOKUP(C382,'Talente &amp; Stuff'!AF:BG,13,FALSE)</f>
        <v>0</v>
      </c>
      <c r="P382" s="119">
        <f>VLOOKUP(C382,'Talente &amp; Stuff'!AF:BG,14,FALSE)</f>
        <v>0</v>
      </c>
      <c r="Q382" s="113">
        <f>VLOOKUP(C382,'Talente &amp; Stuff'!AF:BG,15,FALSE)</f>
        <v>0</v>
      </c>
      <c r="R382" s="113">
        <f>VLOOKUP(C382,'Talente &amp; Stuff'!AF:BG,16,FALSE)</f>
        <v>0</v>
      </c>
      <c r="S382" s="113">
        <f>VLOOKUP(C382,'Talente &amp; Stuff'!AF:BG,17,FALSE)</f>
        <v>0</v>
      </c>
      <c r="T382" s="160">
        <f>VLOOKUP(C382,'Talente &amp; Stuff'!AF:BG,18,FALSE)</f>
        <v>0</v>
      </c>
      <c r="U382" s="47">
        <f>VLOOKUP(C382,'Talente &amp; Stuff'!AF:BG,19,FALSE)</f>
        <v>0</v>
      </c>
      <c r="V382" s="47">
        <f>VLOOKUP(C382,'Talente &amp; Stuff'!AF:BG,20,FALSE)</f>
        <v>0</v>
      </c>
      <c r="W382" s="47">
        <f>VLOOKUP(C382,'Talente &amp; Stuff'!AF:BG,21,FALSE)</f>
        <v>0</v>
      </c>
      <c r="X382" s="125">
        <f>VLOOKUP(C382,'Talente &amp; Stuff'!AF:BG,22,FALSE)</f>
        <v>0</v>
      </c>
      <c r="Y382" s="165">
        <f t="shared" si="28"/>
        <v>0</v>
      </c>
      <c r="Z382" s="44">
        <f t="shared" si="29"/>
        <v>0</v>
      </c>
      <c r="AA382" s="125">
        <f>VLOOKUP(C382,'Talente &amp; Stuff'!AF:BG,25,FALSE)</f>
        <v>0</v>
      </c>
      <c r="AB382" s="160">
        <f>VLOOKUP(C382,'Talente &amp; Stuff'!AF:BG,26,FALSE)</f>
        <v>0</v>
      </c>
      <c r="AC382" s="127">
        <f>VLOOKUP(C382,'Talente &amp; Stuff'!AF:BG,27,FALSE)</f>
        <v>0</v>
      </c>
      <c r="AD382" s="125">
        <f>VLOOKUP(C382,'Talente &amp; Stuff'!AF:BG,28,FALSE)</f>
        <v>0</v>
      </c>
      <c r="AE382" s="28"/>
    </row>
    <row r="383" spans="2:31" s="148" customFormat="1" ht="15" hidden="1" customHeight="1" outlineLevel="2">
      <c r="B383" s="148">
        <v>8</v>
      </c>
      <c r="C383" s="177" t="str">
        <f>Attribute!C383</f>
        <v>---</v>
      </c>
      <c r="D383" s="86" t="str">
        <f>VLOOKUP(C383,'Talente &amp; Stuff'!AF:BG,2,FALSE)</f>
        <v>--/--/--</v>
      </c>
      <c r="E383" s="125" t="str">
        <f>VLOOKUP(C383,'Talente &amp; Stuff'!AF:BG,3,FALSE)</f>
        <v>-</v>
      </c>
      <c r="F383" s="113">
        <f>VLOOKUP(C383,'Talente &amp; Stuff'!AF:BG,4,FALSE)</f>
        <v>0</v>
      </c>
      <c r="G383" s="113">
        <f>VLOOKUP(C383,'Talente &amp; Stuff'!AF:BG,5,FALSE)</f>
        <v>0</v>
      </c>
      <c r="H383" s="113">
        <f>VLOOKUP(C383,'Talente &amp; Stuff'!AF:BG,6,FALSE)</f>
        <v>0</v>
      </c>
      <c r="I383" s="113">
        <f>VLOOKUP(C383,'Talente &amp; Stuff'!AF:BG,7,FALSE)</f>
        <v>0</v>
      </c>
      <c r="J383" s="113">
        <f>VLOOKUP(C383,'Talente &amp; Stuff'!AF:BG,8,FALSE)</f>
        <v>0</v>
      </c>
      <c r="K383" s="113">
        <f>VLOOKUP(C383,'Talente &amp; Stuff'!AF:BG,9,FALSE)</f>
        <v>0</v>
      </c>
      <c r="L383" s="113">
        <f>VLOOKUP(C383,'Talente &amp; Stuff'!AF:BG,10,FALSE)</f>
        <v>0</v>
      </c>
      <c r="M383" s="113">
        <f>VLOOKUP(C383,'Talente &amp; Stuff'!AF:BG,11,FALSE)</f>
        <v>0</v>
      </c>
      <c r="N383" s="89">
        <f>VLOOKUP(C383,'Talente &amp; Stuff'!AF:BG,12,FALSE)</f>
        <v>0</v>
      </c>
      <c r="O383" s="47">
        <f>VLOOKUP(C383,'Talente &amp; Stuff'!AF:BG,13,FALSE)</f>
        <v>0</v>
      </c>
      <c r="P383" s="119">
        <f>VLOOKUP(C383,'Talente &amp; Stuff'!AF:BG,14,FALSE)</f>
        <v>0</v>
      </c>
      <c r="Q383" s="113">
        <f>VLOOKUP(C383,'Talente &amp; Stuff'!AF:BG,15,FALSE)</f>
        <v>0</v>
      </c>
      <c r="R383" s="113">
        <f>VLOOKUP(C383,'Talente &amp; Stuff'!AF:BG,16,FALSE)</f>
        <v>0</v>
      </c>
      <c r="S383" s="113">
        <f>VLOOKUP(C383,'Talente &amp; Stuff'!AF:BG,17,FALSE)</f>
        <v>0</v>
      </c>
      <c r="T383" s="160">
        <f>VLOOKUP(C383,'Talente &amp; Stuff'!AF:BG,18,FALSE)</f>
        <v>0</v>
      </c>
      <c r="U383" s="47">
        <f>VLOOKUP(C383,'Talente &amp; Stuff'!AF:BG,19,FALSE)</f>
        <v>0</v>
      </c>
      <c r="V383" s="47">
        <f>VLOOKUP(C383,'Talente &amp; Stuff'!AF:BG,20,FALSE)</f>
        <v>0</v>
      </c>
      <c r="W383" s="47">
        <f>VLOOKUP(C383,'Talente &amp; Stuff'!AF:BG,21,FALSE)</f>
        <v>0</v>
      </c>
      <c r="X383" s="125">
        <f>VLOOKUP(C383,'Talente &amp; Stuff'!AF:BG,22,FALSE)</f>
        <v>0</v>
      </c>
      <c r="Y383" s="165">
        <f t="shared" si="28"/>
        <v>0</v>
      </c>
      <c r="Z383" s="44">
        <f t="shared" si="29"/>
        <v>0</v>
      </c>
      <c r="AA383" s="125">
        <f>VLOOKUP(C383,'Talente &amp; Stuff'!AF:BG,25,FALSE)</f>
        <v>0</v>
      </c>
      <c r="AB383" s="160">
        <f>VLOOKUP(C383,'Talente &amp; Stuff'!AF:BG,26,FALSE)</f>
        <v>0</v>
      </c>
      <c r="AC383" s="127">
        <f>VLOOKUP(C383,'Talente &amp; Stuff'!AF:BG,27,FALSE)</f>
        <v>0</v>
      </c>
      <c r="AD383" s="125">
        <f>VLOOKUP(C383,'Talente &amp; Stuff'!AF:BG,28,FALSE)</f>
        <v>0</v>
      </c>
      <c r="AE383" s="28"/>
    </row>
    <row r="384" spans="2:31" ht="15" hidden="1" customHeight="1" outlineLevel="2">
      <c r="B384" s="148">
        <v>9</v>
      </c>
      <c r="C384" s="177" t="str">
        <f>Attribute!C384</f>
        <v>---</v>
      </c>
      <c r="D384" s="86" t="str">
        <f>VLOOKUP(C384,'Talente &amp; Stuff'!AF:BG,2,FALSE)</f>
        <v>--/--/--</v>
      </c>
      <c r="E384" s="125" t="str">
        <f>VLOOKUP(C384,'Talente &amp; Stuff'!AF:BG,3,FALSE)</f>
        <v>-</v>
      </c>
      <c r="F384" s="113">
        <f>VLOOKUP(C384,'Talente &amp; Stuff'!AF:BG,4,FALSE)</f>
        <v>0</v>
      </c>
      <c r="G384" s="113">
        <f>VLOOKUP(C384,'Talente &amp; Stuff'!AF:BG,5,FALSE)</f>
        <v>0</v>
      </c>
      <c r="H384" s="113">
        <f>VLOOKUP(C384,'Talente &amp; Stuff'!AF:BG,6,FALSE)</f>
        <v>0</v>
      </c>
      <c r="I384" s="113">
        <f>VLOOKUP(C384,'Talente &amp; Stuff'!AF:BG,7,FALSE)</f>
        <v>0</v>
      </c>
      <c r="J384" s="113">
        <f>VLOOKUP(C384,'Talente &amp; Stuff'!AF:BG,8,FALSE)</f>
        <v>0</v>
      </c>
      <c r="K384" s="113">
        <f>VLOOKUP(C384,'Talente &amp; Stuff'!AF:BG,9,FALSE)</f>
        <v>0</v>
      </c>
      <c r="L384" s="113">
        <f>VLOOKUP(C384,'Talente &amp; Stuff'!AF:BG,10,FALSE)</f>
        <v>0</v>
      </c>
      <c r="M384" s="113">
        <f>VLOOKUP(C384,'Talente &amp; Stuff'!AF:BG,11,FALSE)</f>
        <v>0</v>
      </c>
      <c r="N384" s="89">
        <f>VLOOKUP(C384,'Talente &amp; Stuff'!AF:BG,12,FALSE)</f>
        <v>0</v>
      </c>
      <c r="O384" s="47">
        <f>VLOOKUP(C384,'Talente &amp; Stuff'!AF:BG,13,FALSE)</f>
        <v>0</v>
      </c>
      <c r="P384" s="119">
        <f>VLOOKUP(C384,'Talente &amp; Stuff'!AF:BG,14,FALSE)</f>
        <v>0</v>
      </c>
      <c r="Q384" s="113">
        <f>VLOOKUP(C384,'Talente &amp; Stuff'!AF:BG,15,FALSE)</f>
        <v>0</v>
      </c>
      <c r="R384" s="113">
        <f>VLOOKUP(C384,'Talente &amp; Stuff'!AF:BG,16,FALSE)</f>
        <v>0</v>
      </c>
      <c r="S384" s="113">
        <f>VLOOKUP(C384,'Talente &amp; Stuff'!AF:BG,17,FALSE)</f>
        <v>0</v>
      </c>
      <c r="T384" s="160">
        <f>VLOOKUP(C384,'Talente &amp; Stuff'!AF:BG,18,FALSE)</f>
        <v>0</v>
      </c>
      <c r="U384" s="47">
        <f>VLOOKUP(C384,'Talente &amp; Stuff'!AF:BG,19,FALSE)</f>
        <v>0</v>
      </c>
      <c r="V384" s="47">
        <f>VLOOKUP(C384,'Talente &amp; Stuff'!AF:BG,20,FALSE)</f>
        <v>0</v>
      </c>
      <c r="W384" s="47">
        <f>VLOOKUP(C384,'Talente &amp; Stuff'!AF:BG,21,FALSE)</f>
        <v>0</v>
      </c>
      <c r="X384" s="125">
        <f>VLOOKUP(C384,'Talente &amp; Stuff'!AF:BG,22,FALSE)</f>
        <v>0</v>
      </c>
      <c r="Y384" s="165">
        <f t="shared" si="28"/>
        <v>0</v>
      </c>
      <c r="Z384" s="44">
        <f t="shared" si="29"/>
        <v>0</v>
      </c>
      <c r="AA384" s="125">
        <f>VLOOKUP(C384,'Talente &amp; Stuff'!AF:BG,25,FALSE)</f>
        <v>0</v>
      </c>
      <c r="AB384" s="160">
        <f>VLOOKUP(C384,'Talente &amp; Stuff'!AF:BG,26,FALSE)</f>
        <v>0</v>
      </c>
      <c r="AC384" s="127">
        <f>VLOOKUP(C384,'Talente &amp; Stuff'!AF:BG,27,FALSE)</f>
        <v>0</v>
      </c>
      <c r="AD384" s="125">
        <f>VLOOKUP(C384,'Talente &amp; Stuff'!AF:BG,28,FALSE)</f>
        <v>0</v>
      </c>
      <c r="AE384" s="28"/>
    </row>
    <row r="385" spans="1:31" ht="15" hidden="1" customHeight="1" outlineLevel="2">
      <c r="B385" s="148">
        <v>10</v>
      </c>
      <c r="C385" s="177" t="str">
        <f>Attribute!C385</f>
        <v>---</v>
      </c>
      <c r="D385" s="86" t="str">
        <f>VLOOKUP(C385,'Talente &amp; Stuff'!AF:BG,2,FALSE)</f>
        <v>--/--/--</v>
      </c>
      <c r="E385" s="125" t="str">
        <f>VLOOKUP(C385,'Talente &amp; Stuff'!AF:BG,3,FALSE)</f>
        <v>-</v>
      </c>
      <c r="F385" s="113">
        <f>VLOOKUP(C385,'Talente &amp; Stuff'!AF:BG,4,FALSE)</f>
        <v>0</v>
      </c>
      <c r="G385" s="113">
        <f>VLOOKUP(C385,'Talente &amp; Stuff'!AF:BG,5,FALSE)</f>
        <v>0</v>
      </c>
      <c r="H385" s="113">
        <f>VLOOKUP(C385,'Talente &amp; Stuff'!AF:BG,6,FALSE)</f>
        <v>0</v>
      </c>
      <c r="I385" s="113">
        <f>VLOOKUP(C385,'Talente &amp; Stuff'!AF:BG,7,FALSE)</f>
        <v>0</v>
      </c>
      <c r="J385" s="113">
        <f>VLOOKUP(C385,'Talente &amp; Stuff'!AF:BG,8,FALSE)</f>
        <v>0</v>
      </c>
      <c r="K385" s="113">
        <f>VLOOKUP(C385,'Talente &amp; Stuff'!AF:BG,9,FALSE)</f>
        <v>0</v>
      </c>
      <c r="L385" s="113">
        <f>VLOOKUP(C385,'Talente &amp; Stuff'!AF:BG,10,FALSE)</f>
        <v>0</v>
      </c>
      <c r="M385" s="113">
        <f>VLOOKUP(C385,'Talente &amp; Stuff'!AF:BG,11,FALSE)</f>
        <v>0</v>
      </c>
      <c r="N385" s="89">
        <f>VLOOKUP(C385,'Talente &amp; Stuff'!AF:BG,12,FALSE)</f>
        <v>0</v>
      </c>
      <c r="O385" s="47">
        <f>VLOOKUP(C385,'Talente &amp; Stuff'!AF:BG,13,FALSE)</f>
        <v>0</v>
      </c>
      <c r="P385" s="119">
        <f>VLOOKUP(C385,'Talente &amp; Stuff'!AF:BG,14,FALSE)</f>
        <v>0</v>
      </c>
      <c r="Q385" s="113">
        <f>VLOOKUP(C385,'Talente &amp; Stuff'!AF:BG,15,FALSE)</f>
        <v>0</v>
      </c>
      <c r="R385" s="113">
        <f>VLOOKUP(C385,'Talente &amp; Stuff'!AF:BG,16,FALSE)</f>
        <v>0</v>
      </c>
      <c r="S385" s="113">
        <f>VLOOKUP(C385,'Talente &amp; Stuff'!AF:BG,17,FALSE)</f>
        <v>0</v>
      </c>
      <c r="T385" s="160">
        <f>VLOOKUP(C385,'Talente &amp; Stuff'!AF:BG,18,FALSE)</f>
        <v>0</v>
      </c>
      <c r="U385" s="47">
        <f>VLOOKUP(C385,'Talente &amp; Stuff'!AF:BG,19,FALSE)</f>
        <v>0</v>
      </c>
      <c r="V385" s="47">
        <f>VLOOKUP(C385,'Talente &amp; Stuff'!AF:BG,20,FALSE)</f>
        <v>0</v>
      </c>
      <c r="W385" s="47">
        <f>VLOOKUP(C385,'Talente &amp; Stuff'!AF:BG,21,FALSE)</f>
        <v>0</v>
      </c>
      <c r="X385" s="125">
        <f>VLOOKUP(C385,'Talente &amp; Stuff'!AF:BG,22,FALSE)</f>
        <v>0</v>
      </c>
      <c r="Y385" s="165">
        <f t="shared" si="28"/>
        <v>0</v>
      </c>
      <c r="Z385" s="44">
        <f t="shared" si="29"/>
        <v>0</v>
      </c>
      <c r="AA385" s="125">
        <f>VLOOKUP(C385,'Talente &amp; Stuff'!AF:BG,25,FALSE)</f>
        <v>0</v>
      </c>
      <c r="AB385" s="160">
        <f>VLOOKUP(C385,'Talente &amp; Stuff'!AF:BG,26,FALSE)</f>
        <v>0</v>
      </c>
      <c r="AC385" s="127">
        <f>VLOOKUP(C385,'Talente &amp; Stuff'!AF:BG,27,FALSE)</f>
        <v>0</v>
      </c>
      <c r="AD385" s="125">
        <f>VLOOKUP(C385,'Talente &amp; Stuff'!AF:BG,28,FALSE)</f>
        <v>0</v>
      </c>
      <c r="AE385" s="28"/>
    </row>
    <row r="386" spans="1:31" ht="15" hidden="1" customHeight="1" outlineLevel="2">
      <c r="B386" s="148">
        <v>11</v>
      </c>
      <c r="C386" s="177" t="str">
        <f>Attribute!C386</f>
        <v>---</v>
      </c>
      <c r="D386" s="87" t="str">
        <f>VLOOKUP(C386,'Talente &amp; Stuff'!AF:BG,2,FALSE)</f>
        <v>--/--/--</v>
      </c>
      <c r="E386" s="159" t="str">
        <f>VLOOKUP(C386,'Talente &amp; Stuff'!AF:BG,3,FALSE)</f>
        <v>-</v>
      </c>
      <c r="F386" s="122">
        <f>VLOOKUP(C386,'Talente &amp; Stuff'!AF:BG,4,FALSE)</f>
        <v>0</v>
      </c>
      <c r="G386" s="122">
        <f>VLOOKUP(C386,'Talente &amp; Stuff'!AF:BG,5,FALSE)</f>
        <v>0</v>
      </c>
      <c r="H386" s="122">
        <f>VLOOKUP(C386,'Talente &amp; Stuff'!AF:BG,6,FALSE)</f>
        <v>0</v>
      </c>
      <c r="I386" s="122">
        <f>VLOOKUP(C386,'Talente &amp; Stuff'!AF:BG,7,FALSE)</f>
        <v>0</v>
      </c>
      <c r="J386" s="122">
        <f>VLOOKUP(C386,'Talente &amp; Stuff'!AF:BG,8,FALSE)</f>
        <v>0</v>
      </c>
      <c r="K386" s="122">
        <f>VLOOKUP(C386,'Talente &amp; Stuff'!AF:BG,9,FALSE)</f>
        <v>0</v>
      </c>
      <c r="L386" s="122">
        <f>VLOOKUP(C386,'Talente &amp; Stuff'!AF:BG,10,FALSE)</f>
        <v>0</v>
      </c>
      <c r="M386" s="122">
        <f>VLOOKUP(C386,'Talente &amp; Stuff'!AF:BG,11,FALSE)</f>
        <v>0</v>
      </c>
      <c r="N386" s="90">
        <f>VLOOKUP(C386,'Talente &amp; Stuff'!AF:BG,12,FALSE)</f>
        <v>0</v>
      </c>
      <c r="O386" s="88">
        <f>VLOOKUP(C386,'Talente &amp; Stuff'!AF:BG,13,FALSE)</f>
        <v>0</v>
      </c>
      <c r="P386" s="123">
        <f>VLOOKUP(C386,'Talente &amp; Stuff'!AF:BG,14,FALSE)</f>
        <v>0</v>
      </c>
      <c r="Q386" s="122">
        <f>VLOOKUP(C386,'Talente &amp; Stuff'!AF:BG,15,FALSE)</f>
        <v>0</v>
      </c>
      <c r="R386" s="122">
        <f>VLOOKUP(C386,'Talente &amp; Stuff'!AF:BG,16,FALSE)</f>
        <v>0</v>
      </c>
      <c r="S386" s="122">
        <f>VLOOKUP(C386,'Talente &amp; Stuff'!AF:BG,17,FALSE)</f>
        <v>0</v>
      </c>
      <c r="T386" s="161">
        <f>VLOOKUP(C386,'Talente &amp; Stuff'!AF:BG,18,FALSE)</f>
        <v>0</v>
      </c>
      <c r="U386" s="88">
        <f>VLOOKUP(C386,'Talente &amp; Stuff'!AF:BG,19,FALSE)</f>
        <v>0</v>
      </c>
      <c r="V386" s="88">
        <f>VLOOKUP(C386,'Talente &amp; Stuff'!AF:BG,20,FALSE)</f>
        <v>0</v>
      </c>
      <c r="W386" s="88">
        <f>VLOOKUP(C386,'Talente &amp; Stuff'!AF:BG,21,FALSE)</f>
        <v>0</v>
      </c>
      <c r="X386" s="159">
        <f>VLOOKUP(C386,'Talente &amp; Stuff'!AF:BG,22,FALSE)</f>
        <v>0</v>
      </c>
      <c r="Y386" s="165">
        <f t="shared" si="28"/>
        <v>0</v>
      </c>
      <c r="Z386" s="44">
        <f t="shared" si="29"/>
        <v>0</v>
      </c>
      <c r="AA386" s="159">
        <f>VLOOKUP(C386,'Talente &amp; Stuff'!AF:BG,25,FALSE)</f>
        <v>0</v>
      </c>
      <c r="AB386" s="161">
        <f>VLOOKUP(C386,'Talente &amp; Stuff'!AF:BG,26,FALSE)</f>
        <v>0</v>
      </c>
      <c r="AC386" s="128">
        <f>VLOOKUP(C386,'Talente &amp; Stuff'!AF:BG,27,FALSE)</f>
        <v>0</v>
      </c>
      <c r="AD386" s="159">
        <f>VLOOKUP(C386,'Talente &amp; Stuff'!AF:BG,28,FALSE)</f>
        <v>0</v>
      </c>
      <c r="AE386" s="28"/>
    </row>
    <row r="387" spans="1:31" ht="15" hidden="1" customHeight="1" outlineLevel="1" collapsed="1">
      <c r="B387" s="134" t="s">
        <v>328</v>
      </c>
      <c r="C387" s="83"/>
      <c r="D387" s="84"/>
      <c r="E387" s="84"/>
      <c r="F387" s="148"/>
      <c r="G387" s="148"/>
      <c r="H387" s="148"/>
      <c r="I387" s="148"/>
      <c r="J387" s="148"/>
      <c r="K387" s="148"/>
      <c r="L387" s="148"/>
      <c r="M387" s="148"/>
      <c r="N387" s="148"/>
      <c r="O387" s="148"/>
      <c r="P387" s="148"/>
      <c r="Q387" s="148"/>
      <c r="R387" s="148"/>
      <c r="S387" s="148"/>
      <c r="T387" s="148"/>
      <c r="U387" s="148"/>
      <c r="V387" s="148"/>
      <c r="W387" s="148"/>
      <c r="X387" s="148"/>
      <c r="AA387" s="148"/>
      <c r="AB387" s="148"/>
      <c r="AC387" s="148"/>
      <c r="AD387" s="148"/>
      <c r="AE387" s="148"/>
    </row>
    <row r="388" spans="1:31" ht="15" hidden="1" customHeight="1" outlineLevel="2">
      <c r="B388" s="148">
        <v>1</v>
      </c>
      <c r="C388" s="176" t="str">
        <f>Attribute!C388</f>
        <v>---</v>
      </c>
      <c r="D388" s="85" t="str">
        <f>VLOOKUP(C388,'Talente &amp; Stuff'!AF:BG,2,FALSE)</f>
        <v>--/--/--</v>
      </c>
      <c r="E388" s="158" t="str">
        <f>VLOOKUP(C388,'Talente &amp; Stuff'!AF:BG,3,FALSE)</f>
        <v>-</v>
      </c>
      <c r="F388" s="118">
        <f>VLOOKUP(C388,'Talente &amp; Stuff'!AF:BG,4,FALSE)</f>
        <v>0</v>
      </c>
      <c r="G388" s="118">
        <f>VLOOKUP(C388,'Talente &amp; Stuff'!AF:BG,5,FALSE)</f>
        <v>0</v>
      </c>
      <c r="H388" s="118">
        <f>VLOOKUP(C388,'Talente &amp; Stuff'!AF:BG,6,FALSE)</f>
        <v>0</v>
      </c>
      <c r="I388" s="118">
        <f>VLOOKUP(C388,'Talente &amp; Stuff'!AF:BG,7,FALSE)</f>
        <v>0</v>
      </c>
      <c r="J388" s="118">
        <f>VLOOKUP(C388,'Talente &amp; Stuff'!AF:BG,8,FALSE)</f>
        <v>0</v>
      </c>
      <c r="K388" s="118">
        <f>VLOOKUP(C388,'Talente &amp; Stuff'!AF:BG,9,FALSE)</f>
        <v>0</v>
      </c>
      <c r="L388" s="118">
        <f>VLOOKUP(C388,'Talente &amp; Stuff'!AF:BG,10,FALSE)</f>
        <v>0</v>
      </c>
      <c r="M388" s="118">
        <f>VLOOKUP(C388,'Talente &amp; Stuff'!AF:BG,11,FALSE)</f>
        <v>0</v>
      </c>
      <c r="N388" s="193">
        <f>VLOOKUP(C388,'Talente &amp; Stuff'!AF:BG,12,FALSE)</f>
        <v>0</v>
      </c>
      <c r="O388" s="116">
        <f>VLOOKUP(C388,'Talente &amp; Stuff'!AF:BG,13,FALSE)</f>
        <v>0</v>
      </c>
      <c r="P388" s="92">
        <f>VLOOKUP(C388,'Talente &amp; Stuff'!AF:BG,14,FALSE)</f>
        <v>0</v>
      </c>
      <c r="Q388" s="118">
        <f>VLOOKUP(C388,'Talente &amp; Stuff'!AF:BG,15,FALSE)</f>
        <v>0</v>
      </c>
      <c r="R388" s="118">
        <f>VLOOKUP(C388,'Talente &amp; Stuff'!AF:BG,16,FALSE)</f>
        <v>0</v>
      </c>
      <c r="S388" s="118">
        <f>VLOOKUP(C388,'Talente &amp; Stuff'!AF:BG,17,FALSE)</f>
        <v>0</v>
      </c>
      <c r="T388" s="91">
        <f>VLOOKUP(C388,'Talente &amp; Stuff'!AF:BG,18,FALSE)</f>
        <v>0</v>
      </c>
      <c r="U388" s="116">
        <f>VLOOKUP(C388,'Talente &amp; Stuff'!AF:BG,19,FALSE)</f>
        <v>0</v>
      </c>
      <c r="V388" s="116">
        <f>VLOOKUP(C388,'Talente &amp; Stuff'!AF:BG,20,FALSE)</f>
        <v>0</v>
      </c>
      <c r="W388" s="116">
        <f>VLOOKUP(C388,'Talente &amp; Stuff'!AF:BG,21,FALSE)</f>
        <v>0</v>
      </c>
      <c r="X388" s="158">
        <f>VLOOKUP(C388,'Talente &amp; Stuff'!AF:BG,22,FALSE)</f>
        <v>0</v>
      </c>
      <c r="Y388" s="165">
        <f>VLOOKUP(C388,Ausgewählte_Rituale_Hexen,52,FALSE)</f>
        <v>0</v>
      </c>
      <c r="Z388" s="44">
        <f>VLOOKUP(C388,Ausgewählte_Rituale_Hexen,53,FALSE)</f>
        <v>0</v>
      </c>
      <c r="AA388" s="158">
        <f>VLOOKUP(C388,'Talente &amp; Stuff'!AF:BG,25,FALSE)</f>
        <v>0</v>
      </c>
      <c r="AB388" s="91">
        <f>VLOOKUP(C388,'Talente &amp; Stuff'!AF:BG,26,FALSE)</f>
        <v>0</v>
      </c>
      <c r="AC388" s="126">
        <f>VLOOKUP(C388,'Talente &amp; Stuff'!AF:BG,27,FALSE)</f>
        <v>0</v>
      </c>
      <c r="AD388" s="158">
        <f>VLOOKUP(C388,'Talente &amp; Stuff'!AF:BG,28,FALSE)</f>
        <v>0</v>
      </c>
      <c r="AE388" s="28"/>
    </row>
    <row r="389" spans="1:31" ht="15" hidden="1" customHeight="1" outlineLevel="2">
      <c r="B389" s="148">
        <v>2</v>
      </c>
      <c r="C389" s="178" t="str">
        <f>Attribute!C389</f>
        <v>---</v>
      </c>
      <c r="D389" s="87" t="str">
        <f>VLOOKUP(C389,'Talente &amp; Stuff'!AF:BG,2,FALSE)</f>
        <v>--/--/--</v>
      </c>
      <c r="E389" s="159" t="str">
        <f>VLOOKUP(C389,'Talente &amp; Stuff'!AF:BG,3,FALSE)</f>
        <v>-</v>
      </c>
      <c r="F389" s="122">
        <f>VLOOKUP(C389,'Talente &amp; Stuff'!AF:BG,4,FALSE)</f>
        <v>0</v>
      </c>
      <c r="G389" s="122">
        <f>VLOOKUP(C389,'Talente &amp; Stuff'!AF:BG,5,FALSE)</f>
        <v>0</v>
      </c>
      <c r="H389" s="122">
        <f>VLOOKUP(C389,'Talente &amp; Stuff'!AF:BG,6,FALSE)</f>
        <v>0</v>
      </c>
      <c r="I389" s="122">
        <f>VLOOKUP(C389,'Talente &amp; Stuff'!AF:BG,7,FALSE)</f>
        <v>0</v>
      </c>
      <c r="J389" s="122">
        <f>VLOOKUP(C389,'Talente &amp; Stuff'!AF:BG,8,FALSE)</f>
        <v>0</v>
      </c>
      <c r="K389" s="122">
        <f>VLOOKUP(C389,'Talente &amp; Stuff'!AF:BG,9,FALSE)</f>
        <v>0</v>
      </c>
      <c r="L389" s="122">
        <f>VLOOKUP(C389,'Talente &amp; Stuff'!AF:BG,10,FALSE)</f>
        <v>0</v>
      </c>
      <c r="M389" s="122">
        <f>VLOOKUP(C389,'Talente &amp; Stuff'!AF:BG,11,FALSE)</f>
        <v>0</v>
      </c>
      <c r="N389" s="90">
        <f>VLOOKUP(C389,'Talente &amp; Stuff'!AF:BG,12,FALSE)</f>
        <v>0</v>
      </c>
      <c r="O389" s="88">
        <f>VLOOKUP(C389,'Talente &amp; Stuff'!AF:BG,13,FALSE)</f>
        <v>0</v>
      </c>
      <c r="P389" s="123">
        <f>VLOOKUP(C389,'Talente &amp; Stuff'!AF:BG,14,FALSE)</f>
        <v>0</v>
      </c>
      <c r="Q389" s="122">
        <f>VLOOKUP(C389,'Talente &amp; Stuff'!AF:BG,15,FALSE)</f>
        <v>0</v>
      </c>
      <c r="R389" s="122">
        <f>VLOOKUP(C389,'Talente &amp; Stuff'!AF:BG,16,FALSE)</f>
        <v>0</v>
      </c>
      <c r="S389" s="122">
        <f>VLOOKUP(C389,'Talente &amp; Stuff'!AF:BG,17,FALSE)</f>
        <v>0</v>
      </c>
      <c r="T389" s="161">
        <f>VLOOKUP(C389,'Talente &amp; Stuff'!AF:BG,18,FALSE)</f>
        <v>0</v>
      </c>
      <c r="U389" s="88">
        <f>VLOOKUP(C389,'Talente &amp; Stuff'!AF:BG,19,FALSE)</f>
        <v>0</v>
      </c>
      <c r="V389" s="88">
        <f>VLOOKUP(C389,'Talente &amp; Stuff'!AF:BG,20,FALSE)</f>
        <v>0</v>
      </c>
      <c r="W389" s="88">
        <f>VLOOKUP(C389,'Talente &amp; Stuff'!AF:BG,21,FALSE)</f>
        <v>0</v>
      </c>
      <c r="X389" s="159">
        <f>VLOOKUP(C389,'Talente &amp; Stuff'!AF:BG,22,FALSE)</f>
        <v>0</v>
      </c>
      <c r="Y389" s="165">
        <f>VLOOKUP(C389,Ausgewählte_Rituale_Hexen,52,FALSE)</f>
        <v>0</v>
      </c>
      <c r="Z389" s="44">
        <f>VLOOKUP(C389,Ausgewählte_Rituale_Hexen,53,FALSE)</f>
        <v>0</v>
      </c>
      <c r="AA389" s="159">
        <f>VLOOKUP(C389,'Talente &amp; Stuff'!AF:BG,25,FALSE)</f>
        <v>0</v>
      </c>
      <c r="AB389" s="161">
        <f>VLOOKUP(C389,'Talente &amp; Stuff'!AF:BG,26,FALSE)</f>
        <v>0</v>
      </c>
      <c r="AC389" s="128">
        <f>VLOOKUP(C389,'Talente &amp; Stuff'!AF:BG,27,FALSE)</f>
        <v>0</v>
      </c>
      <c r="AD389" s="159">
        <f>VLOOKUP(C389,'Talente &amp; Stuff'!AF:BG,28,FALSE)</f>
        <v>0</v>
      </c>
      <c r="AE389" s="28"/>
    </row>
    <row r="390" spans="1:31" s="148" customFormat="1" ht="15" hidden="1" customHeight="1" outlineLevel="1" collapsed="1">
      <c r="B390" s="134" t="s">
        <v>407</v>
      </c>
      <c r="C390" s="83"/>
      <c r="D390" s="84"/>
      <c r="E390" s="84"/>
      <c r="Y390" s="197"/>
      <c r="Z390" s="197"/>
    </row>
    <row r="391" spans="1:31" s="148" customFormat="1" ht="15" hidden="1" customHeight="1" outlineLevel="2">
      <c r="B391" s="148">
        <v>1</v>
      </c>
      <c r="C391" s="176" t="str">
        <f>Attribute!C391</f>
        <v>---</v>
      </c>
      <c r="D391" s="186" t="str">
        <f>VLOOKUP(C391,'Talente &amp; Stuff'!AF:BG,2,FALSE)</f>
        <v>--/--/--</v>
      </c>
      <c r="E391" s="40" t="str">
        <f>VLOOKUP(C391,'Talente &amp; Stuff'!AF:BG,3,FALSE)</f>
        <v>-</v>
      </c>
      <c r="F391" s="183">
        <f>VLOOKUP(C391,'Talente &amp; Stuff'!AF:BG,4,FALSE)</f>
        <v>0</v>
      </c>
      <c r="G391" s="183">
        <f>VLOOKUP(C391,'Talente &amp; Stuff'!AF:BG,5,FALSE)</f>
        <v>0</v>
      </c>
      <c r="H391" s="183">
        <f>VLOOKUP(C391,'Talente &amp; Stuff'!AF:BG,6,FALSE)</f>
        <v>0</v>
      </c>
      <c r="I391" s="183">
        <f>VLOOKUP(C391,'Talente &amp; Stuff'!AF:BG,7,FALSE)</f>
        <v>0</v>
      </c>
      <c r="J391" s="183">
        <f>VLOOKUP(C391,'Talente &amp; Stuff'!AF:BG,8,FALSE)</f>
        <v>0</v>
      </c>
      <c r="K391" s="183">
        <f>VLOOKUP(C391,'Talente &amp; Stuff'!AF:BG,9,FALSE)</f>
        <v>0</v>
      </c>
      <c r="L391" s="183">
        <f>VLOOKUP(C391,'Talente &amp; Stuff'!AF:BG,10,FALSE)</f>
        <v>0</v>
      </c>
      <c r="M391" s="183">
        <f>VLOOKUP(C391,'Talente &amp; Stuff'!AF:BG,11,FALSE)</f>
        <v>0</v>
      </c>
      <c r="N391" s="166">
        <f>VLOOKUP(C391,'Talente &amp; Stuff'!AF:BG,12,FALSE)</f>
        <v>0</v>
      </c>
      <c r="O391" s="179">
        <f>VLOOKUP(C391,'Talente &amp; Stuff'!AF:BG,13,FALSE)</f>
        <v>0</v>
      </c>
      <c r="P391" s="180">
        <f>VLOOKUP(C391,'Talente &amp; Stuff'!AF:BG,14,FALSE)</f>
        <v>0</v>
      </c>
      <c r="Q391" s="183">
        <f>VLOOKUP(C391,'Talente &amp; Stuff'!AF:BG,15,FALSE)</f>
        <v>0</v>
      </c>
      <c r="R391" s="183">
        <f>VLOOKUP(C391,'Talente &amp; Stuff'!AF:BG,16,FALSE)</f>
        <v>0</v>
      </c>
      <c r="S391" s="183">
        <f>VLOOKUP(C391,'Talente &amp; Stuff'!AF:BG,17,FALSE)</f>
        <v>0</v>
      </c>
      <c r="T391" s="189">
        <f>VLOOKUP(C391,'Talente &amp; Stuff'!AF:BG,18,FALSE)</f>
        <v>0</v>
      </c>
      <c r="U391" s="179">
        <f>VLOOKUP(C391,'Talente &amp; Stuff'!AF:BG,19,FALSE)</f>
        <v>0</v>
      </c>
      <c r="V391" s="179">
        <f>VLOOKUP(C391,'Talente &amp; Stuff'!AF:BG,20,FALSE)</f>
        <v>0</v>
      </c>
      <c r="W391" s="179">
        <f>VLOOKUP(C391,'Talente &amp; Stuff'!AF:BG,21,FALSE)</f>
        <v>0</v>
      </c>
      <c r="X391" s="40">
        <f>VLOOKUP(C391,'Talente &amp; Stuff'!AF:BG,22,FALSE)</f>
        <v>0</v>
      </c>
      <c r="Y391" s="165">
        <f>VLOOKUP(C391,Ausgewählte_Rituale_Kristallomanten,52,FALSE)</f>
        <v>0</v>
      </c>
      <c r="Z391" s="44">
        <f>VLOOKUP(C391,Ausgewählte_Rituale_Kristallomanten,53,FALSE)</f>
        <v>0</v>
      </c>
      <c r="AA391" s="40">
        <f>VLOOKUP(C391,'Talente &amp; Stuff'!AF:BG,25,FALSE)</f>
        <v>0</v>
      </c>
      <c r="AB391" s="189">
        <f>VLOOKUP(C391,'Talente &amp; Stuff'!AF:BG,26,FALSE)</f>
        <v>0</v>
      </c>
      <c r="AC391" s="182">
        <f>VLOOKUP(C391,'Talente &amp; Stuff'!AF:BG,27,FALSE)</f>
        <v>0</v>
      </c>
      <c r="AD391" s="40">
        <f>VLOOKUP(C391,'Talente &amp; Stuff'!AF:BG,28,FALSE)</f>
        <v>0</v>
      </c>
      <c r="AE391" s="28"/>
    </row>
    <row r="392" spans="1:31" s="148" customFormat="1" ht="15" hidden="1" customHeight="1" outlineLevel="1" collapsed="1">
      <c r="B392" s="134" t="s">
        <v>408</v>
      </c>
      <c r="C392" s="83"/>
      <c r="D392" s="84"/>
      <c r="E392" s="84"/>
      <c r="Y392" s="197"/>
      <c r="Z392" s="197"/>
    </row>
    <row r="393" spans="1:31" s="148" customFormat="1" ht="15" hidden="1" customHeight="1" outlineLevel="2">
      <c r="B393" s="148">
        <v>1</v>
      </c>
      <c r="C393" s="176" t="str">
        <f>Attribute!C393</f>
        <v>---</v>
      </c>
      <c r="D393" s="85" t="str">
        <f>VLOOKUP(C393,'Talente &amp; Stuff'!AF:BG,2,FALSE)</f>
        <v>--/--/--</v>
      </c>
      <c r="E393" s="193" t="str">
        <f>VLOOKUP(C393,'Talente &amp; Stuff'!AF:BG,3,FALSE)</f>
        <v>-</v>
      </c>
      <c r="F393" s="191">
        <f>VLOOKUP(C393,'Talente &amp; Stuff'!AF:BG,4,FALSE)</f>
        <v>0</v>
      </c>
      <c r="G393" s="118">
        <f>VLOOKUP(C393,'Talente &amp; Stuff'!AF:BG,5,FALSE)</f>
        <v>0</v>
      </c>
      <c r="H393" s="118">
        <f>VLOOKUP(C393,'Talente &amp; Stuff'!AF:BG,6,FALSE)</f>
        <v>0</v>
      </c>
      <c r="I393" s="118">
        <f>VLOOKUP(C393,'Talente &amp; Stuff'!AF:BG,7,FALSE)</f>
        <v>0</v>
      </c>
      <c r="J393" s="118">
        <f>VLOOKUP(C393,'Talente &amp; Stuff'!AF:BG,8,FALSE)</f>
        <v>0</v>
      </c>
      <c r="K393" s="118">
        <f>VLOOKUP(C393,'Talente &amp; Stuff'!AF:BG,9,FALSE)</f>
        <v>0</v>
      </c>
      <c r="L393" s="118">
        <f>VLOOKUP(C393,'Talente &amp; Stuff'!AF:BG,10,FALSE)</f>
        <v>0</v>
      </c>
      <c r="M393" s="92">
        <f>VLOOKUP(C393,'Talente &amp; Stuff'!AF:BG,11,FALSE)</f>
        <v>0</v>
      </c>
      <c r="N393" s="193">
        <f>VLOOKUP(C393,'Talente &amp; Stuff'!AF:BG,12,FALSE)</f>
        <v>0</v>
      </c>
      <c r="O393" s="116">
        <f>VLOOKUP(C393,'Talente &amp; Stuff'!AF:BG,13,FALSE)</f>
        <v>0</v>
      </c>
      <c r="P393" s="92">
        <f>VLOOKUP(C393,'Talente &amp; Stuff'!AF:BG,14,FALSE)</f>
        <v>0</v>
      </c>
      <c r="Q393" s="191">
        <f>VLOOKUP(C393,'Talente &amp; Stuff'!AF:BG,15,FALSE)</f>
        <v>0</v>
      </c>
      <c r="R393" s="118">
        <f>VLOOKUP(C393,'Talente &amp; Stuff'!AF:BG,16,FALSE)</f>
        <v>0</v>
      </c>
      <c r="S393" s="92">
        <f>VLOOKUP(C393,'Talente &amp; Stuff'!AF:BG,17,FALSE)</f>
        <v>0</v>
      </c>
      <c r="T393" s="92">
        <f>VLOOKUP(C393,'Talente &amp; Stuff'!AF:BG,18,FALSE)</f>
        <v>0</v>
      </c>
      <c r="U393" s="193">
        <f>VLOOKUP(C393,'Talente &amp; Stuff'!AF:BG,19,FALSE)</f>
        <v>0</v>
      </c>
      <c r="V393" s="116">
        <f>VLOOKUP(C393,'Talente &amp; Stuff'!AF:BG,20,FALSE)</f>
        <v>0</v>
      </c>
      <c r="W393" s="126">
        <f>VLOOKUP(C393,'Talente &amp; Stuff'!AF:BG,21,FALSE)</f>
        <v>0</v>
      </c>
      <c r="X393" s="158">
        <f>VLOOKUP(C393,'Talente &amp; Stuff'!AF:BG,22,FALSE)</f>
        <v>0</v>
      </c>
      <c r="Y393" s="165">
        <f>VLOOKUP(C393,Ausgewählte_Rituale_Scharlatane,52,FALSE)</f>
        <v>0</v>
      </c>
      <c r="Z393" s="44">
        <f>VLOOKUP(C393,Ausgewählte_Rituale_Scharlatane,53,FALSE)</f>
        <v>0</v>
      </c>
      <c r="AA393" s="158">
        <f>VLOOKUP(C393,'Talente &amp; Stuff'!AF:BG,25,FALSE)</f>
        <v>0</v>
      </c>
      <c r="AB393" s="191">
        <f>VLOOKUP(C393,'Talente &amp; Stuff'!AF:BG,26,FALSE)</f>
        <v>0</v>
      </c>
      <c r="AC393" s="158">
        <f>VLOOKUP(C393,'Talente &amp; Stuff'!AF:BG,27,FALSE)</f>
        <v>0</v>
      </c>
      <c r="AD393" s="158">
        <f>VLOOKUP(C393,'Talente &amp; Stuff'!AF:BG,28,FALSE)</f>
        <v>0</v>
      </c>
      <c r="AE393" s="28"/>
    </row>
    <row r="394" spans="1:31" s="148" customFormat="1" ht="15" hidden="1" customHeight="1" outlineLevel="2">
      <c r="B394" s="148">
        <v>2</v>
      </c>
      <c r="C394" s="177" t="str">
        <f>Attribute!C394</f>
        <v>---</v>
      </c>
      <c r="D394" s="86" t="str">
        <f>VLOOKUP(C394,'Talente &amp; Stuff'!AF:BG,2,FALSE)</f>
        <v>--/--/--</v>
      </c>
      <c r="E394" s="89" t="str">
        <f>VLOOKUP(C394,'Talente &amp; Stuff'!AF:BG,3,FALSE)</f>
        <v>-</v>
      </c>
      <c r="F394" s="114">
        <f>VLOOKUP(C394,'Talente &amp; Stuff'!AF:BG,4,FALSE)</f>
        <v>0</v>
      </c>
      <c r="G394" s="113">
        <f>VLOOKUP(C394,'Talente &amp; Stuff'!AF:BG,5,FALSE)</f>
        <v>0</v>
      </c>
      <c r="H394" s="113">
        <f>VLOOKUP(C394,'Talente &amp; Stuff'!AF:BG,6,FALSE)</f>
        <v>0</v>
      </c>
      <c r="I394" s="113">
        <f>VLOOKUP(C394,'Talente &amp; Stuff'!AF:BG,7,FALSE)</f>
        <v>0</v>
      </c>
      <c r="J394" s="113">
        <f>VLOOKUP(C394,'Talente &amp; Stuff'!AF:BG,8,FALSE)</f>
        <v>0</v>
      </c>
      <c r="K394" s="113">
        <f>VLOOKUP(C394,'Talente &amp; Stuff'!AF:BG,9,FALSE)</f>
        <v>0</v>
      </c>
      <c r="L394" s="113">
        <f>VLOOKUP(C394,'Talente &amp; Stuff'!AF:BG,10,FALSE)</f>
        <v>0</v>
      </c>
      <c r="M394" s="119">
        <f>VLOOKUP(C394,'Talente &amp; Stuff'!AF:BG,11,FALSE)</f>
        <v>0</v>
      </c>
      <c r="N394" s="89">
        <f>VLOOKUP(C394,'Talente &amp; Stuff'!AF:BG,12,FALSE)</f>
        <v>0</v>
      </c>
      <c r="O394" s="47">
        <f>VLOOKUP(C394,'Talente &amp; Stuff'!AF:BG,13,FALSE)</f>
        <v>0</v>
      </c>
      <c r="P394" s="119">
        <f>VLOOKUP(C394,'Talente &amp; Stuff'!AF:BG,14,FALSE)</f>
        <v>0</v>
      </c>
      <c r="Q394" s="114">
        <f>VLOOKUP(C394,'Talente &amp; Stuff'!AF:BG,15,FALSE)</f>
        <v>0</v>
      </c>
      <c r="R394" s="113">
        <f>VLOOKUP(C394,'Talente &amp; Stuff'!AF:BG,16,FALSE)</f>
        <v>0</v>
      </c>
      <c r="S394" s="119">
        <f>VLOOKUP(C394,'Talente &amp; Stuff'!AF:BG,17,FALSE)</f>
        <v>0</v>
      </c>
      <c r="T394" s="119">
        <f>VLOOKUP(C394,'Talente &amp; Stuff'!AF:BG,18,FALSE)</f>
        <v>0</v>
      </c>
      <c r="U394" s="89">
        <f>VLOOKUP(C394,'Talente &amp; Stuff'!AF:BG,19,FALSE)</f>
        <v>0</v>
      </c>
      <c r="V394" s="47">
        <f>VLOOKUP(C394,'Talente &amp; Stuff'!AF:BG,20,FALSE)</f>
        <v>0</v>
      </c>
      <c r="W394" s="127">
        <f>VLOOKUP(C394,'Talente &amp; Stuff'!AF:BG,21,FALSE)</f>
        <v>0</v>
      </c>
      <c r="X394" s="125">
        <f>VLOOKUP(C394,'Talente &amp; Stuff'!AF:BG,22,FALSE)</f>
        <v>0</v>
      </c>
      <c r="Y394" s="165">
        <f>VLOOKUP(C394,Ausgewählte_Rituale_Scharlatane,52,FALSE)</f>
        <v>0</v>
      </c>
      <c r="Z394" s="44">
        <f>VLOOKUP(C394,Ausgewählte_Rituale_Scharlatane,53,FALSE)</f>
        <v>0</v>
      </c>
      <c r="AA394" s="125">
        <f>VLOOKUP(C394,'Talente &amp; Stuff'!AF:BG,25,FALSE)</f>
        <v>0</v>
      </c>
      <c r="AB394" s="114">
        <f>VLOOKUP(C394,'Talente &amp; Stuff'!AF:BG,26,FALSE)</f>
        <v>0</v>
      </c>
      <c r="AC394" s="125">
        <f>VLOOKUP(C394,'Talente &amp; Stuff'!AF:BG,27,FALSE)</f>
        <v>0</v>
      </c>
      <c r="AD394" s="125">
        <f>VLOOKUP(C394,'Talente &amp; Stuff'!AF:BG,28,FALSE)</f>
        <v>0</v>
      </c>
      <c r="AE394" s="28"/>
    </row>
    <row r="395" spans="1:31" s="148" customFormat="1" ht="15" hidden="1" customHeight="1" outlineLevel="2">
      <c r="B395" s="148">
        <v>3</v>
      </c>
      <c r="C395" s="177" t="str">
        <f>Attribute!C395</f>
        <v>---</v>
      </c>
      <c r="D395" s="87" t="str">
        <f>VLOOKUP(C395,'Talente &amp; Stuff'!AF:BG,2,FALSE)</f>
        <v>--/--/--</v>
      </c>
      <c r="E395" s="90" t="str">
        <f>VLOOKUP(C395,'Talente &amp; Stuff'!AF:BG,3,FALSE)</f>
        <v>-</v>
      </c>
      <c r="F395" s="115">
        <f>VLOOKUP(C395,'Talente &amp; Stuff'!AF:BG,4,FALSE)</f>
        <v>0</v>
      </c>
      <c r="G395" s="122">
        <f>VLOOKUP(C395,'Talente &amp; Stuff'!AF:BG,5,FALSE)</f>
        <v>0</v>
      </c>
      <c r="H395" s="122">
        <f>VLOOKUP(C395,'Talente &amp; Stuff'!AF:BG,6,FALSE)</f>
        <v>0</v>
      </c>
      <c r="I395" s="122">
        <f>VLOOKUP(C395,'Talente &amp; Stuff'!AF:BG,7,FALSE)</f>
        <v>0</v>
      </c>
      <c r="J395" s="122">
        <f>VLOOKUP(C395,'Talente &amp; Stuff'!AF:BG,8,FALSE)</f>
        <v>0</v>
      </c>
      <c r="K395" s="122">
        <f>VLOOKUP(C395,'Talente &amp; Stuff'!AF:BG,9,FALSE)</f>
        <v>0</v>
      </c>
      <c r="L395" s="122">
        <f>VLOOKUP(C395,'Talente &amp; Stuff'!AF:BG,10,FALSE)</f>
        <v>0</v>
      </c>
      <c r="M395" s="123">
        <f>VLOOKUP(C395,'Talente &amp; Stuff'!AF:BG,11,FALSE)</f>
        <v>0</v>
      </c>
      <c r="N395" s="90">
        <f>VLOOKUP(C395,'Talente &amp; Stuff'!AF:BG,12,FALSE)</f>
        <v>0</v>
      </c>
      <c r="O395" s="88">
        <f>VLOOKUP(C395,'Talente &amp; Stuff'!AF:BG,13,FALSE)</f>
        <v>0</v>
      </c>
      <c r="P395" s="123">
        <f>VLOOKUP(C395,'Talente &amp; Stuff'!AF:BG,14,FALSE)</f>
        <v>0</v>
      </c>
      <c r="Q395" s="115">
        <f>VLOOKUP(C395,'Talente &amp; Stuff'!AF:BG,15,FALSE)</f>
        <v>0</v>
      </c>
      <c r="R395" s="122">
        <f>VLOOKUP(C395,'Talente &amp; Stuff'!AF:BG,16,FALSE)</f>
        <v>0</v>
      </c>
      <c r="S395" s="123">
        <f>VLOOKUP(C395,'Talente &amp; Stuff'!AF:BG,17,FALSE)</f>
        <v>0</v>
      </c>
      <c r="T395" s="123">
        <f>VLOOKUP(C395,'Talente &amp; Stuff'!AF:BG,18,FALSE)</f>
        <v>0</v>
      </c>
      <c r="U395" s="90">
        <f>VLOOKUP(C395,'Talente &amp; Stuff'!AF:BG,19,FALSE)</f>
        <v>0</v>
      </c>
      <c r="V395" s="88">
        <f>VLOOKUP(C395,'Talente &amp; Stuff'!AF:BG,20,FALSE)</f>
        <v>0</v>
      </c>
      <c r="W395" s="128">
        <f>VLOOKUP(C395,'Talente &amp; Stuff'!AF:BG,21,FALSE)</f>
        <v>0</v>
      </c>
      <c r="X395" s="159">
        <f>VLOOKUP(C395,'Talente &amp; Stuff'!AF:BG,22,FALSE)</f>
        <v>0</v>
      </c>
      <c r="Y395" s="165">
        <f>VLOOKUP(C395,Ausgewählte_Rituale_Scharlatane,52,FALSE)</f>
        <v>0</v>
      </c>
      <c r="Z395" s="44">
        <f>VLOOKUP(C395,Ausgewählte_Rituale_Scharlatane,53,FALSE)</f>
        <v>0</v>
      </c>
      <c r="AA395" s="159">
        <f>VLOOKUP(C395,'Talente &amp; Stuff'!AF:BG,25,FALSE)</f>
        <v>0</v>
      </c>
      <c r="AB395" s="115">
        <f>VLOOKUP(C395,'Talente &amp; Stuff'!AF:BG,26,FALSE)</f>
        <v>0</v>
      </c>
      <c r="AC395" s="159">
        <f>VLOOKUP(C395,'Talente &amp; Stuff'!AF:BG,27,FALSE)</f>
        <v>0</v>
      </c>
      <c r="AD395" s="159">
        <f>VLOOKUP(C395,'Talente &amp; Stuff'!AF:BG,28,FALSE)</f>
        <v>0</v>
      </c>
      <c r="AE395" s="28"/>
    </row>
    <row r="396" spans="1:31" ht="15" hidden="1" customHeight="1" outlineLevel="1" collapsed="1">
      <c r="D396" s="148"/>
      <c r="E396" s="148"/>
      <c r="F396" s="148"/>
      <c r="G396" s="148"/>
      <c r="H396" s="148"/>
      <c r="I396" s="148"/>
      <c r="J396" s="148"/>
      <c r="K396" s="148"/>
      <c r="L396" s="148"/>
      <c r="M396" s="148"/>
      <c r="N396" s="148"/>
      <c r="O396" s="148"/>
      <c r="P396" s="148"/>
      <c r="Q396" s="148"/>
      <c r="R396" s="148"/>
      <c r="S396" s="148"/>
      <c r="T396" s="148"/>
      <c r="U396" s="148"/>
      <c r="V396" s="148"/>
      <c r="W396" s="148"/>
      <c r="X396" s="148"/>
      <c r="AA396" s="148"/>
      <c r="AB396" s="148"/>
      <c r="AC396" s="148"/>
      <c r="AD396" s="148"/>
      <c r="AE396" s="148"/>
    </row>
    <row r="397" spans="1:31" ht="15.75" collapsed="1" thickBot="1">
      <c r="D397" s="148"/>
      <c r="E397" s="148"/>
      <c r="F397" s="148"/>
      <c r="G397" s="148"/>
      <c r="H397" s="148"/>
      <c r="I397" s="148"/>
      <c r="J397" s="148"/>
      <c r="K397" s="148"/>
      <c r="L397" s="148"/>
      <c r="M397" s="148"/>
      <c r="N397" s="148"/>
      <c r="O397" s="148"/>
      <c r="P397" s="148"/>
      <c r="Q397" s="148"/>
      <c r="R397" s="148"/>
      <c r="S397" s="148"/>
      <c r="T397" s="148"/>
      <c r="U397" s="148"/>
      <c r="V397" s="148"/>
      <c r="W397" s="148"/>
      <c r="X397" s="148"/>
      <c r="AA397" s="148"/>
      <c r="AB397" s="148"/>
      <c r="AC397" s="148"/>
      <c r="AD397" s="148"/>
      <c r="AE397" s="148"/>
    </row>
    <row r="398" spans="1:31" ht="15.75" thickBot="1">
      <c r="A398" s="135" t="s">
        <v>234</v>
      </c>
      <c r="D398" s="148"/>
      <c r="E398" s="148"/>
      <c r="F398" s="148"/>
      <c r="G398" s="148"/>
      <c r="H398" s="148"/>
      <c r="I398" s="148"/>
      <c r="J398" s="148"/>
      <c r="K398" s="148"/>
      <c r="L398" s="148"/>
      <c r="M398" s="148"/>
      <c r="N398" s="148"/>
      <c r="O398" s="148"/>
      <c r="P398" s="148"/>
      <c r="Q398" s="148"/>
      <c r="R398" s="148"/>
      <c r="S398" s="148"/>
      <c r="T398" s="148"/>
      <c r="U398" s="148"/>
      <c r="V398" s="148"/>
      <c r="W398" s="148"/>
      <c r="X398" s="148"/>
      <c r="AA398" s="148"/>
      <c r="AB398" s="148"/>
      <c r="AC398" s="148"/>
      <c r="AD398" s="148"/>
      <c r="AE398" s="148"/>
    </row>
    <row r="399" spans="1:31" ht="15" hidden="1" customHeight="1" outlineLevel="1">
      <c r="B399" s="134" t="s">
        <v>327</v>
      </c>
      <c r="D399" s="148"/>
      <c r="E399" s="148"/>
      <c r="F399" s="148"/>
      <c r="G399" s="148"/>
      <c r="H399" s="148"/>
      <c r="I399" s="148"/>
      <c r="J399" s="148"/>
      <c r="K399" s="148"/>
      <c r="L399" s="148"/>
      <c r="M399" s="148"/>
      <c r="N399" s="148"/>
      <c r="O399" s="148"/>
      <c r="P399" s="148"/>
      <c r="Q399" s="148"/>
      <c r="R399" s="148"/>
      <c r="S399" s="148"/>
      <c r="T399" s="148"/>
      <c r="U399" s="148"/>
      <c r="V399" s="148"/>
      <c r="W399" s="148"/>
      <c r="X399" s="148"/>
      <c r="AA399" s="148"/>
      <c r="AB399" s="148"/>
      <c r="AC399" s="148"/>
      <c r="AD399" s="148"/>
      <c r="AE399" s="148"/>
    </row>
    <row r="400" spans="1:31" ht="15" hidden="1" customHeight="1" outlineLevel="2">
      <c r="B400" s="148">
        <v>1</v>
      </c>
      <c r="C400" s="176" t="str">
        <f>Attribute!C400</f>
        <v>---</v>
      </c>
      <c r="D400" s="158" t="str">
        <f>VLOOKUP(C400,'Talente &amp; Stuff'!AF:BG,2,FALSE)</f>
        <v>--/--/--</v>
      </c>
      <c r="E400" s="116" t="str">
        <f>VLOOKUP(C400,'Talente &amp; Stuff'!AF:BG,3,FALSE)</f>
        <v>-</v>
      </c>
      <c r="F400" s="191">
        <f>VLOOKUP(C400,'Talente &amp; Stuff'!AF:BG,4,FALSE)</f>
        <v>0</v>
      </c>
      <c r="G400" s="118">
        <f>VLOOKUP(C400,'Talente &amp; Stuff'!AF:BG,5,FALSE)</f>
        <v>0</v>
      </c>
      <c r="H400" s="118">
        <f>VLOOKUP(C400,'Talente &amp; Stuff'!AF:BG,6,FALSE)</f>
        <v>0</v>
      </c>
      <c r="I400" s="118">
        <f>VLOOKUP(C400,'Talente &amp; Stuff'!AF:BG,7,FALSE)</f>
        <v>0</v>
      </c>
      <c r="J400" s="118">
        <f>VLOOKUP(C400,'Talente &amp; Stuff'!AF:BG,8,FALSE)</f>
        <v>0</v>
      </c>
      <c r="K400" s="118">
        <f>VLOOKUP(C400,'Talente &amp; Stuff'!AF:BG,9,FALSE)</f>
        <v>0</v>
      </c>
      <c r="L400" s="118">
        <f>VLOOKUP(C400,'Talente &amp; Stuff'!AF:BG,10,FALSE)</f>
        <v>0</v>
      </c>
      <c r="M400" s="92">
        <f>VLOOKUP(C400,'Talente &amp; Stuff'!AF:BG,11,FALSE)</f>
        <v>0</v>
      </c>
      <c r="N400" s="116">
        <f>VLOOKUP(C400,'Talente &amp; Stuff'!AF:BG,12,FALSE)</f>
        <v>0</v>
      </c>
      <c r="O400" s="116">
        <f>VLOOKUP(C400,'Talente &amp; Stuff'!AF:BG,13,FALSE)</f>
        <v>0</v>
      </c>
      <c r="P400" s="118">
        <f>VLOOKUP(C400,'Talente &amp; Stuff'!AF:BG,14,FALSE)</f>
        <v>0</v>
      </c>
      <c r="Q400" s="191">
        <f>VLOOKUP(C400,'Talente &amp; Stuff'!AF:BG,15,FALSE)</f>
        <v>0</v>
      </c>
      <c r="R400" s="118">
        <f>VLOOKUP(C400,'Talente &amp; Stuff'!AF:BG,16,FALSE)</f>
        <v>0</v>
      </c>
      <c r="S400" s="92">
        <f>VLOOKUP(C400,'Talente &amp; Stuff'!AF:BG,17,FALSE)</f>
        <v>0</v>
      </c>
      <c r="T400" s="91">
        <f>VLOOKUP(C400,'Talente &amp; Stuff'!AF:BG,18,FALSE)</f>
        <v>0</v>
      </c>
      <c r="U400" s="193">
        <f>VLOOKUP(C400,'Talente &amp; Stuff'!AF:BG,19,FALSE)</f>
        <v>0</v>
      </c>
      <c r="V400" s="116">
        <f>VLOOKUP(C400,'Talente &amp; Stuff'!AF:BG,20,FALSE)</f>
        <v>0</v>
      </c>
      <c r="W400" s="126">
        <f>VLOOKUP(C400,'Talente &amp; Stuff'!AF:BG,21,FALSE)</f>
        <v>0</v>
      </c>
      <c r="X400" s="126">
        <f>VLOOKUP(C400,'Talente &amp; Stuff'!AF:BG,22,FALSE)</f>
        <v>0</v>
      </c>
      <c r="Y400" s="165">
        <f>VLOOKUP(C400,Ausgewählte_Liturgien_Allgemein,52,FALSE)</f>
        <v>0</v>
      </c>
      <c r="Z400" s="44">
        <f>VLOOKUP(C400,Ausgewählte_Liturgien_Allgemein,53,FALSE)</f>
        <v>0</v>
      </c>
      <c r="AA400" s="158">
        <f>VLOOKUP(C400,'Talente &amp; Stuff'!AF:BG,25,FALSE)</f>
        <v>0</v>
      </c>
      <c r="AB400" s="91">
        <f>VLOOKUP(C400,'Talente &amp; Stuff'!AF:BG,26,FALSE)</f>
        <v>0</v>
      </c>
      <c r="AC400" s="126">
        <f>VLOOKUP(C400,'Talente &amp; Stuff'!AF:BG,27,FALSE)</f>
        <v>0</v>
      </c>
      <c r="AD400" s="158">
        <f>VLOOKUP(C400,'Talente &amp; Stuff'!AF:BG,28,FALSE)</f>
        <v>0</v>
      </c>
      <c r="AE400" s="28"/>
    </row>
    <row r="401" spans="2:31" ht="15" hidden="1" customHeight="1" outlineLevel="2">
      <c r="B401" s="148">
        <v>2</v>
      </c>
      <c r="C401" s="177" t="str">
        <f>Attribute!C401</f>
        <v>---</v>
      </c>
      <c r="D401" s="125" t="str">
        <f>VLOOKUP(C401,'Talente &amp; Stuff'!AF:BG,2,FALSE)</f>
        <v>--/--/--</v>
      </c>
      <c r="E401" s="47" t="str">
        <f>VLOOKUP(C401,'Talente &amp; Stuff'!AF:BG,3,FALSE)</f>
        <v>-</v>
      </c>
      <c r="F401" s="114">
        <f>VLOOKUP(C401,'Talente &amp; Stuff'!AF:BG,4,FALSE)</f>
        <v>0</v>
      </c>
      <c r="G401" s="113">
        <f>VLOOKUP(C401,'Talente &amp; Stuff'!AF:BG,5,FALSE)</f>
        <v>0</v>
      </c>
      <c r="H401" s="113">
        <f>VLOOKUP(C401,'Talente &amp; Stuff'!AF:BG,6,FALSE)</f>
        <v>0</v>
      </c>
      <c r="I401" s="113">
        <f>VLOOKUP(C401,'Talente &amp; Stuff'!AF:BG,7,FALSE)</f>
        <v>0</v>
      </c>
      <c r="J401" s="113">
        <f>VLOOKUP(C401,'Talente &amp; Stuff'!AF:BG,8,FALSE)</f>
        <v>0</v>
      </c>
      <c r="K401" s="113">
        <f>VLOOKUP(C401,'Talente &amp; Stuff'!AF:BG,9,FALSE)</f>
        <v>0</v>
      </c>
      <c r="L401" s="113">
        <f>VLOOKUP(C401,'Talente &amp; Stuff'!AF:BG,10,FALSE)</f>
        <v>0</v>
      </c>
      <c r="M401" s="119">
        <f>VLOOKUP(C401,'Talente &amp; Stuff'!AF:BG,11,FALSE)</f>
        <v>0</v>
      </c>
      <c r="N401" s="47">
        <f>VLOOKUP(C401,'Talente &amp; Stuff'!AF:BG,12,FALSE)</f>
        <v>0</v>
      </c>
      <c r="O401" s="47">
        <f>VLOOKUP(C401,'Talente &amp; Stuff'!AF:BG,13,FALSE)</f>
        <v>0</v>
      </c>
      <c r="P401" s="113">
        <f>VLOOKUP(C401,'Talente &amp; Stuff'!AF:BG,14,FALSE)</f>
        <v>0</v>
      </c>
      <c r="Q401" s="114">
        <f>VLOOKUP(C401,'Talente &amp; Stuff'!AF:BG,15,FALSE)</f>
        <v>0</v>
      </c>
      <c r="R401" s="113">
        <f>VLOOKUP(C401,'Talente &amp; Stuff'!AF:BG,16,FALSE)</f>
        <v>0</v>
      </c>
      <c r="S401" s="119">
        <f>VLOOKUP(C401,'Talente &amp; Stuff'!AF:BG,17,FALSE)</f>
        <v>0</v>
      </c>
      <c r="T401" s="160">
        <f>VLOOKUP(C401,'Talente &amp; Stuff'!AF:BG,18,FALSE)</f>
        <v>0</v>
      </c>
      <c r="U401" s="89">
        <f>VLOOKUP(C401,'Talente &amp; Stuff'!AF:BG,19,FALSE)</f>
        <v>0</v>
      </c>
      <c r="V401" s="47">
        <f>VLOOKUP(C401,'Talente &amp; Stuff'!AF:BG,20,FALSE)</f>
        <v>0</v>
      </c>
      <c r="W401" s="127">
        <f>VLOOKUP(C401,'Talente &amp; Stuff'!AF:BG,21,FALSE)</f>
        <v>0</v>
      </c>
      <c r="X401" s="127">
        <f>VLOOKUP(C401,'Talente &amp; Stuff'!AF:BG,22,FALSE)</f>
        <v>0</v>
      </c>
      <c r="Y401" s="165">
        <f>VLOOKUP(C401,Ausgewählte_Liturgien_Allgemein,52,FALSE)</f>
        <v>0</v>
      </c>
      <c r="Z401" s="44">
        <f>VLOOKUP(C401,Ausgewählte_Liturgien_Allgemein,53,FALSE)</f>
        <v>0</v>
      </c>
      <c r="AA401" s="125">
        <f>VLOOKUP(C401,'Talente &amp; Stuff'!AF:BG,25,FALSE)</f>
        <v>0</v>
      </c>
      <c r="AB401" s="160">
        <f>VLOOKUP(C401,'Talente &amp; Stuff'!AF:BG,26,FALSE)</f>
        <v>0</v>
      </c>
      <c r="AC401" s="127">
        <f>VLOOKUP(C401,'Talente &amp; Stuff'!AF:BG,27,FALSE)</f>
        <v>0</v>
      </c>
      <c r="AD401" s="125">
        <f>VLOOKUP(C401,'Talente &amp; Stuff'!AF:BG,28,FALSE)</f>
        <v>0</v>
      </c>
      <c r="AE401" s="28"/>
    </row>
    <row r="402" spans="2:31" ht="15" hidden="1" customHeight="1" outlineLevel="2">
      <c r="B402" s="148">
        <v>3</v>
      </c>
      <c r="C402" s="178" t="str">
        <f>Attribute!C402</f>
        <v>---</v>
      </c>
      <c r="D402" s="159" t="str">
        <f>VLOOKUP(C402,'Talente &amp; Stuff'!AF:BG,2,FALSE)</f>
        <v>--/--/--</v>
      </c>
      <c r="E402" s="88" t="str">
        <f>VLOOKUP(C402,'Talente &amp; Stuff'!AF:BG,3,FALSE)</f>
        <v>-</v>
      </c>
      <c r="F402" s="115">
        <f>VLOOKUP(C402,'Talente &amp; Stuff'!AF:BG,4,FALSE)</f>
        <v>0</v>
      </c>
      <c r="G402" s="122">
        <f>VLOOKUP(C402,'Talente &amp; Stuff'!AF:BG,5,FALSE)</f>
        <v>0</v>
      </c>
      <c r="H402" s="122">
        <f>VLOOKUP(C402,'Talente &amp; Stuff'!AF:BG,6,FALSE)</f>
        <v>0</v>
      </c>
      <c r="I402" s="122">
        <f>VLOOKUP(C402,'Talente &amp; Stuff'!AF:BG,7,FALSE)</f>
        <v>0</v>
      </c>
      <c r="J402" s="122">
        <f>VLOOKUP(C402,'Talente &amp; Stuff'!AF:BG,8,FALSE)</f>
        <v>0</v>
      </c>
      <c r="K402" s="122">
        <f>VLOOKUP(C402,'Talente &amp; Stuff'!AF:BG,9,FALSE)</f>
        <v>0</v>
      </c>
      <c r="L402" s="122">
        <f>VLOOKUP(C402,'Talente &amp; Stuff'!AF:BG,10,FALSE)</f>
        <v>0</v>
      </c>
      <c r="M402" s="123">
        <f>VLOOKUP(C402,'Talente &amp; Stuff'!AF:BG,11,FALSE)</f>
        <v>0</v>
      </c>
      <c r="N402" s="88">
        <f>VLOOKUP(C402,'Talente &amp; Stuff'!AF:BG,12,FALSE)</f>
        <v>0</v>
      </c>
      <c r="O402" s="88">
        <f>VLOOKUP(C402,'Talente &amp; Stuff'!AF:BG,13,FALSE)</f>
        <v>0</v>
      </c>
      <c r="P402" s="122">
        <f>VLOOKUP(C402,'Talente &amp; Stuff'!AF:BG,14,FALSE)</f>
        <v>0</v>
      </c>
      <c r="Q402" s="115">
        <f>VLOOKUP(C402,'Talente &amp; Stuff'!AF:BG,15,FALSE)</f>
        <v>0</v>
      </c>
      <c r="R402" s="122">
        <f>VLOOKUP(C402,'Talente &amp; Stuff'!AF:BG,16,FALSE)</f>
        <v>0</v>
      </c>
      <c r="S402" s="123">
        <f>VLOOKUP(C402,'Talente &amp; Stuff'!AF:BG,17,FALSE)</f>
        <v>0</v>
      </c>
      <c r="T402" s="161">
        <f>VLOOKUP(C402,'Talente &amp; Stuff'!AF:BG,18,FALSE)</f>
        <v>0</v>
      </c>
      <c r="U402" s="90">
        <f>VLOOKUP(C402,'Talente &amp; Stuff'!AF:BG,19,FALSE)</f>
        <v>0</v>
      </c>
      <c r="V402" s="88">
        <f>VLOOKUP(C402,'Talente &amp; Stuff'!AF:BG,20,FALSE)</f>
        <v>0</v>
      </c>
      <c r="W402" s="128">
        <f>VLOOKUP(C402,'Talente &amp; Stuff'!AF:BG,21,FALSE)</f>
        <v>0</v>
      </c>
      <c r="X402" s="128">
        <f>VLOOKUP(C402,'Talente &amp; Stuff'!AF:BG,22,FALSE)</f>
        <v>0</v>
      </c>
      <c r="Y402" s="165">
        <f>VLOOKUP(C402,Ausgewählte_Liturgien_Allgemein,52,FALSE)</f>
        <v>0</v>
      </c>
      <c r="Z402" s="44">
        <f>VLOOKUP(C402,Ausgewählte_Liturgien_Allgemein,53,FALSE)</f>
        <v>0</v>
      </c>
      <c r="AA402" s="159">
        <f>VLOOKUP(C402,'Talente &amp; Stuff'!AF:BG,25,FALSE)</f>
        <v>0</v>
      </c>
      <c r="AB402" s="161">
        <f>VLOOKUP(C402,'Talente &amp; Stuff'!AF:BG,26,FALSE)</f>
        <v>0</v>
      </c>
      <c r="AC402" s="128">
        <f>VLOOKUP(C402,'Talente &amp; Stuff'!AF:BG,27,FALSE)</f>
        <v>0</v>
      </c>
      <c r="AD402" s="159">
        <f>VLOOKUP(C402,'Talente &amp; Stuff'!AF:BG,28,FALSE)</f>
        <v>0</v>
      </c>
      <c r="AE402" s="28"/>
    </row>
    <row r="403" spans="2:31" ht="15" hidden="1" customHeight="1" outlineLevel="1" collapsed="1">
      <c r="B403" s="134" t="s">
        <v>326</v>
      </c>
      <c r="C403" s="83"/>
      <c r="D403" s="84"/>
      <c r="E403" s="84"/>
      <c r="F403" s="148"/>
      <c r="G403" s="148"/>
      <c r="H403" s="148"/>
      <c r="I403" s="148"/>
      <c r="J403" s="148"/>
      <c r="K403" s="148"/>
      <c r="L403" s="148"/>
      <c r="M403" s="148"/>
      <c r="N403" s="148"/>
      <c r="O403" s="148"/>
      <c r="P403" s="148"/>
      <c r="Q403" s="148"/>
      <c r="R403" s="148"/>
      <c r="S403" s="148"/>
      <c r="T403" s="148"/>
      <c r="U403" s="148"/>
      <c r="V403" s="148"/>
      <c r="W403" s="148"/>
      <c r="X403" s="148"/>
      <c r="AA403" s="148"/>
      <c r="AB403" s="148"/>
      <c r="AC403" s="148"/>
      <c r="AD403" s="148"/>
      <c r="AE403" s="148"/>
    </row>
    <row r="404" spans="2:31" ht="15" hidden="1" customHeight="1" outlineLevel="2">
      <c r="B404" s="148">
        <v>1</v>
      </c>
      <c r="C404" s="176" t="str">
        <f>Attribute!C404</f>
        <v>---</v>
      </c>
      <c r="D404" s="158" t="str">
        <f>VLOOKUP(C404,'Talente &amp; Stuff'!AF:BG,2,FALSE)</f>
        <v>--/--/--</v>
      </c>
      <c r="E404" s="116" t="str">
        <f>VLOOKUP(C404,'Talente &amp; Stuff'!AF:BG,3,FALSE)</f>
        <v>-</v>
      </c>
      <c r="F404" s="191">
        <f>VLOOKUP(C404,'Talente &amp; Stuff'!AF:BG,4,FALSE)</f>
        <v>0</v>
      </c>
      <c r="G404" s="118">
        <f>VLOOKUP(C404,'Talente &amp; Stuff'!AF:BG,5,FALSE)</f>
        <v>0</v>
      </c>
      <c r="H404" s="118">
        <f>VLOOKUP(C404,'Talente &amp; Stuff'!AF:BG,6,FALSE)</f>
        <v>0</v>
      </c>
      <c r="I404" s="118">
        <f>VLOOKUP(C404,'Talente &amp; Stuff'!AF:BG,7,FALSE)</f>
        <v>0</v>
      </c>
      <c r="J404" s="118">
        <f>VLOOKUP(C404,'Talente &amp; Stuff'!AF:BG,8,FALSE)</f>
        <v>0</v>
      </c>
      <c r="K404" s="118">
        <f>VLOOKUP(C404,'Talente &amp; Stuff'!AF:BG,9,FALSE)</f>
        <v>0</v>
      </c>
      <c r="L404" s="118">
        <f>VLOOKUP(C404,'Talente &amp; Stuff'!AF:BG,10,FALSE)</f>
        <v>0</v>
      </c>
      <c r="M404" s="92">
        <f>VLOOKUP(C404,'Talente &amp; Stuff'!AF:BG,11,FALSE)</f>
        <v>0</v>
      </c>
      <c r="N404" s="116">
        <f>VLOOKUP(C404,'Talente &amp; Stuff'!AF:BG,12,FALSE)</f>
        <v>0</v>
      </c>
      <c r="O404" s="116">
        <f>VLOOKUP(C404,'Talente &amp; Stuff'!AF:BG,13,FALSE)</f>
        <v>0</v>
      </c>
      <c r="P404" s="118">
        <f>VLOOKUP(C404,'Talente &amp; Stuff'!AF:BG,14,FALSE)</f>
        <v>0</v>
      </c>
      <c r="Q404" s="191">
        <f>VLOOKUP(C404,'Talente &amp; Stuff'!AF:BG,15,FALSE)</f>
        <v>0</v>
      </c>
      <c r="R404" s="118">
        <f>VLOOKUP(C404,'Talente &amp; Stuff'!AF:BG,16,FALSE)</f>
        <v>0</v>
      </c>
      <c r="S404" s="92">
        <f>VLOOKUP(C404,'Talente &amp; Stuff'!AF:BG,17,FALSE)</f>
        <v>0</v>
      </c>
      <c r="T404" s="91">
        <f>VLOOKUP(C404,'Talente &amp; Stuff'!AF:BG,18,FALSE)</f>
        <v>0</v>
      </c>
      <c r="U404" s="193">
        <f>VLOOKUP(C404,'Talente &amp; Stuff'!AF:BG,19,FALSE)</f>
        <v>0</v>
      </c>
      <c r="V404" s="116">
        <f>VLOOKUP(C404,'Talente &amp; Stuff'!AF:BG,20,FALSE)</f>
        <v>0</v>
      </c>
      <c r="W404" s="126">
        <f>VLOOKUP(C404,'Talente &amp; Stuff'!AF:BG,21,FALSE)</f>
        <v>0</v>
      </c>
      <c r="X404" s="126">
        <f>VLOOKUP(C404,'Talente &amp; Stuff'!AF:BG,22,FALSE)</f>
        <v>0</v>
      </c>
      <c r="Y404" s="165">
        <f t="shared" ref="Y404:Y409" si="30">VLOOKUP(C404,Ausgewählte_Liturgien_Boron,52,FALSE)</f>
        <v>0</v>
      </c>
      <c r="Z404" s="44">
        <f t="shared" ref="Z404:Z409" si="31">VLOOKUP(C404,Ausgewählte_Liturgien_Boron,53,FALSE)</f>
        <v>0</v>
      </c>
      <c r="AA404" s="158">
        <f>VLOOKUP(C404,'Talente &amp; Stuff'!AF:BG,25,FALSE)</f>
        <v>0</v>
      </c>
      <c r="AB404" s="91">
        <f>VLOOKUP(C404,'Talente &amp; Stuff'!AF:BG,26,FALSE)</f>
        <v>0</v>
      </c>
      <c r="AC404" s="126">
        <f>VLOOKUP(C404,'Talente &amp; Stuff'!AF:BG,27,FALSE)</f>
        <v>0</v>
      </c>
      <c r="AD404" s="158">
        <f>VLOOKUP(C404,'Talente &amp; Stuff'!AF:BG,28,FALSE)</f>
        <v>0</v>
      </c>
      <c r="AE404" s="28"/>
    </row>
    <row r="405" spans="2:31" ht="15" hidden="1" customHeight="1" outlineLevel="2">
      <c r="B405" s="148">
        <v>2</v>
      </c>
      <c r="C405" s="177" t="str">
        <f>Attribute!C405</f>
        <v>---</v>
      </c>
      <c r="D405" s="125" t="str">
        <f>VLOOKUP(C405,'Talente &amp; Stuff'!AF:BG,2,FALSE)</f>
        <v>--/--/--</v>
      </c>
      <c r="E405" s="47" t="str">
        <f>VLOOKUP(C405,'Talente &amp; Stuff'!AF:BG,3,FALSE)</f>
        <v>-</v>
      </c>
      <c r="F405" s="114">
        <f>VLOOKUP(C405,'Talente &amp; Stuff'!AF:BG,4,FALSE)</f>
        <v>0</v>
      </c>
      <c r="G405" s="113">
        <f>VLOOKUP(C405,'Talente &amp; Stuff'!AF:BG,5,FALSE)</f>
        <v>0</v>
      </c>
      <c r="H405" s="113">
        <f>VLOOKUP(C405,'Talente &amp; Stuff'!AF:BG,6,FALSE)</f>
        <v>0</v>
      </c>
      <c r="I405" s="113">
        <f>VLOOKUP(C405,'Talente &amp; Stuff'!AF:BG,7,FALSE)</f>
        <v>0</v>
      </c>
      <c r="J405" s="113">
        <f>VLOOKUP(C405,'Talente &amp; Stuff'!AF:BG,8,FALSE)</f>
        <v>0</v>
      </c>
      <c r="K405" s="113">
        <f>VLOOKUP(C405,'Talente &amp; Stuff'!AF:BG,9,FALSE)</f>
        <v>0</v>
      </c>
      <c r="L405" s="113">
        <f>VLOOKUP(C405,'Talente &amp; Stuff'!AF:BG,10,FALSE)</f>
        <v>0</v>
      </c>
      <c r="M405" s="119">
        <f>VLOOKUP(C405,'Talente &amp; Stuff'!AF:BG,11,FALSE)</f>
        <v>0</v>
      </c>
      <c r="N405" s="47">
        <f>VLOOKUP(C405,'Talente &amp; Stuff'!AF:BG,12,FALSE)</f>
        <v>0</v>
      </c>
      <c r="O405" s="47">
        <f>VLOOKUP(C405,'Talente &amp; Stuff'!AF:BG,13,FALSE)</f>
        <v>0</v>
      </c>
      <c r="P405" s="113">
        <f>VLOOKUP(C405,'Talente &amp; Stuff'!AF:BG,14,FALSE)</f>
        <v>0</v>
      </c>
      <c r="Q405" s="114">
        <f>VLOOKUP(C405,'Talente &amp; Stuff'!AF:BG,15,FALSE)</f>
        <v>0</v>
      </c>
      <c r="R405" s="113">
        <f>VLOOKUP(C405,'Talente &amp; Stuff'!AF:BG,16,FALSE)</f>
        <v>0</v>
      </c>
      <c r="S405" s="119">
        <f>VLOOKUP(C405,'Talente &amp; Stuff'!AF:BG,17,FALSE)</f>
        <v>0</v>
      </c>
      <c r="T405" s="160">
        <f>VLOOKUP(C405,'Talente &amp; Stuff'!AF:BG,18,FALSE)</f>
        <v>0</v>
      </c>
      <c r="U405" s="89">
        <f>VLOOKUP(C405,'Talente &amp; Stuff'!AF:BG,19,FALSE)</f>
        <v>0</v>
      </c>
      <c r="V405" s="47">
        <f>VLOOKUP(C405,'Talente &amp; Stuff'!AF:BG,20,FALSE)</f>
        <v>0</v>
      </c>
      <c r="W405" s="127">
        <f>VLOOKUP(C405,'Talente &amp; Stuff'!AF:BG,21,FALSE)</f>
        <v>0</v>
      </c>
      <c r="X405" s="127">
        <f>VLOOKUP(C405,'Talente &amp; Stuff'!AF:BG,22,FALSE)</f>
        <v>0</v>
      </c>
      <c r="Y405" s="165">
        <f t="shared" si="30"/>
        <v>0</v>
      </c>
      <c r="Z405" s="44">
        <f t="shared" si="31"/>
        <v>0</v>
      </c>
      <c r="AA405" s="125">
        <f>VLOOKUP(C405,'Talente &amp; Stuff'!AF:BG,25,FALSE)</f>
        <v>0</v>
      </c>
      <c r="AB405" s="160">
        <f>VLOOKUP(C405,'Talente &amp; Stuff'!AF:BG,26,FALSE)</f>
        <v>0</v>
      </c>
      <c r="AC405" s="127">
        <f>VLOOKUP(C405,'Talente &amp; Stuff'!AF:BG,27,FALSE)</f>
        <v>0</v>
      </c>
      <c r="AD405" s="125">
        <f>VLOOKUP(C405,'Talente &amp; Stuff'!AF:BG,28,FALSE)</f>
        <v>0</v>
      </c>
      <c r="AE405" s="28"/>
    </row>
    <row r="406" spans="2:31" ht="15" hidden="1" customHeight="1" outlineLevel="2">
      <c r="B406" s="148">
        <v>3</v>
      </c>
      <c r="C406" s="177" t="str">
        <f>Attribute!C406</f>
        <v>---</v>
      </c>
      <c r="D406" s="125" t="str">
        <f>VLOOKUP(C406,'Talente &amp; Stuff'!AF:BG,2,FALSE)</f>
        <v>--/--/--</v>
      </c>
      <c r="E406" s="47" t="str">
        <f>VLOOKUP(C406,'Talente &amp; Stuff'!AF:BG,3,FALSE)</f>
        <v>-</v>
      </c>
      <c r="F406" s="114">
        <f>VLOOKUP(C406,'Talente &amp; Stuff'!AF:BG,4,FALSE)</f>
        <v>0</v>
      </c>
      <c r="G406" s="113">
        <f>VLOOKUP(C406,'Talente &amp; Stuff'!AF:BG,5,FALSE)</f>
        <v>0</v>
      </c>
      <c r="H406" s="113">
        <f>VLOOKUP(C406,'Talente &amp; Stuff'!AF:BG,6,FALSE)</f>
        <v>0</v>
      </c>
      <c r="I406" s="113">
        <f>VLOOKUP(C406,'Talente &amp; Stuff'!AF:BG,7,FALSE)</f>
        <v>0</v>
      </c>
      <c r="J406" s="113">
        <f>VLOOKUP(C406,'Talente &amp; Stuff'!AF:BG,8,FALSE)</f>
        <v>0</v>
      </c>
      <c r="K406" s="113">
        <f>VLOOKUP(C406,'Talente &amp; Stuff'!AF:BG,9,FALSE)</f>
        <v>0</v>
      </c>
      <c r="L406" s="113">
        <f>VLOOKUP(C406,'Talente &amp; Stuff'!AF:BG,10,FALSE)</f>
        <v>0</v>
      </c>
      <c r="M406" s="119">
        <f>VLOOKUP(C406,'Talente &amp; Stuff'!AF:BG,11,FALSE)</f>
        <v>0</v>
      </c>
      <c r="N406" s="47">
        <f>VLOOKUP(C406,'Talente &amp; Stuff'!AF:BG,12,FALSE)</f>
        <v>0</v>
      </c>
      <c r="O406" s="47">
        <f>VLOOKUP(C406,'Talente &amp; Stuff'!AF:BG,13,FALSE)</f>
        <v>0</v>
      </c>
      <c r="P406" s="113">
        <f>VLOOKUP(C406,'Talente &amp; Stuff'!AF:BG,14,FALSE)</f>
        <v>0</v>
      </c>
      <c r="Q406" s="114">
        <f>VLOOKUP(C406,'Talente &amp; Stuff'!AF:BG,15,FALSE)</f>
        <v>0</v>
      </c>
      <c r="R406" s="113">
        <f>VLOOKUP(C406,'Talente &amp; Stuff'!AF:BG,16,FALSE)</f>
        <v>0</v>
      </c>
      <c r="S406" s="119">
        <f>VLOOKUP(C406,'Talente &amp; Stuff'!AF:BG,17,FALSE)</f>
        <v>0</v>
      </c>
      <c r="T406" s="160">
        <f>VLOOKUP(C406,'Talente &amp; Stuff'!AF:BG,18,FALSE)</f>
        <v>0</v>
      </c>
      <c r="U406" s="89">
        <f>VLOOKUP(C406,'Talente &amp; Stuff'!AF:BG,19,FALSE)</f>
        <v>0</v>
      </c>
      <c r="V406" s="47">
        <f>VLOOKUP(C406,'Talente &amp; Stuff'!AF:BG,20,FALSE)</f>
        <v>0</v>
      </c>
      <c r="W406" s="127">
        <f>VLOOKUP(C406,'Talente &amp; Stuff'!AF:BG,21,FALSE)</f>
        <v>0</v>
      </c>
      <c r="X406" s="127">
        <f>VLOOKUP(C406,'Talente &amp; Stuff'!AF:BG,22,FALSE)</f>
        <v>0</v>
      </c>
      <c r="Y406" s="165">
        <f t="shared" si="30"/>
        <v>0</v>
      </c>
      <c r="Z406" s="44">
        <f t="shared" si="31"/>
        <v>0</v>
      </c>
      <c r="AA406" s="125">
        <f>VLOOKUP(C406,'Talente &amp; Stuff'!AF:BG,25,FALSE)</f>
        <v>0</v>
      </c>
      <c r="AB406" s="160">
        <f>VLOOKUP(C406,'Talente &amp; Stuff'!AF:BG,26,FALSE)</f>
        <v>0</v>
      </c>
      <c r="AC406" s="127">
        <f>VLOOKUP(C406,'Talente &amp; Stuff'!AF:BG,27,FALSE)</f>
        <v>0</v>
      </c>
      <c r="AD406" s="125">
        <f>VLOOKUP(C406,'Talente &amp; Stuff'!AF:BG,28,FALSE)</f>
        <v>0</v>
      </c>
      <c r="AE406" s="28"/>
    </row>
    <row r="407" spans="2:31" ht="15" hidden="1" customHeight="1" outlineLevel="2">
      <c r="B407" s="148">
        <v>4</v>
      </c>
      <c r="C407" s="177" t="str">
        <f>Attribute!C407</f>
        <v>---</v>
      </c>
      <c r="D407" s="125" t="str">
        <f>VLOOKUP(C407,'Talente &amp; Stuff'!AF:BG,2,FALSE)</f>
        <v>--/--/--</v>
      </c>
      <c r="E407" s="47" t="str">
        <f>VLOOKUP(C407,'Talente &amp; Stuff'!AF:BG,3,FALSE)</f>
        <v>-</v>
      </c>
      <c r="F407" s="114">
        <f>VLOOKUP(C407,'Talente &amp; Stuff'!AF:BG,4,FALSE)</f>
        <v>0</v>
      </c>
      <c r="G407" s="113">
        <f>VLOOKUP(C407,'Talente &amp; Stuff'!AF:BG,5,FALSE)</f>
        <v>0</v>
      </c>
      <c r="H407" s="113">
        <f>VLOOKUP(C407,'Talente &amp; Stuff'!AF:BG,6,FALSE)</f>
        <v>0</v>
      </c>
      <c r="I407" s="113">
        <f>VLOOKUP(C407,'Talente &amp; Stuff'!AF:BG,7,FALSE)</f>
        <v>0</v>
      </c>
      <c r="J407" s="113">
        <f>VLOOKUP(C407,'Talente &amp; Stuff'!AF:BG,8,FALSE)</f>
        <v>0</v>
      </c>
      <c r="K407" s="113">
        <f>VLOOKUP(C407,'Talente &amp; Stuff'!AF:BG,9,FALSE)</f>
        <v>0</v>
      </c>
      <c r="L407" s="113">
        <f>VLOOKUP(C407,'Talente &amp; Stuff'!AF:BG,10,FALSE)</f>
        <v>0</v>
      </c>
      <c r="M407" s="119">
        <f>VLOOKUP(C407,'Talente &amp; Stuff'!AF:BG,11,FALSE)</f>
        <v>0</v>
      </c>
      <c r="N407" s="47">
        <f>VLOOKUP(C407,'Talente &amp; Stuff'!AF:BG,12,FALSE)</f>
        <v>0</v>
      </c>
      <c r="O407" s="47">
        <f>VLOOKUP(C407,'Talente &amp; Stuff'!AF:BG,13,FALSE)</f>
        <v>0</v>
      </c>
      <c r="P407" s="113">
        <f>VLOOKUP(C407,'Talente &amp; Stuff'!AF:BG,14,FALSE)</f>
        <v>0</v>
      </c>
      <c r="Q407" s="114">
        <f>VLOOKUP(C407,'Talente &amp; Stuff'!AF:BG,15,FALSE)</f>
        <v>0</v>
      </c>
      <c r="R407" s="113">
        <f>VLOOKUP(C407,'Talente &amp; Stuff'!AF:BG,16,FALSE)</f>
        <v>0</v>
      </c>
      <c r="S407" s="119">
        <f>VLOOKUP(C407,'Talente &amp; Stuff'!AF:BG,17,FALSE)</f>
        <v>0</v>
      </c>
      <c r="T407" s="160">
        <f>VLOOKUP(C407,'Talente &amp; Stuff'!AF:BG,18,FALSE)</f>
        <v>0</v>
      </c>
      <c r="U407" s="89">
        <f>VLOOKUP(C407,'Talente &amp; Stuff'!AF:BG,19,FALSE)</f>
        <v>0</v>
      </c>
      <c r="V407" s="47">
        <f>VLOOKUP(C407,'Talente &amp; Stuff'!AF:BG,20,FALSE)</f>
        <v>0</v>
      </c>
      <c r="W407" s="127">
        <f>VLOOKUP(C407,'Talente &amp; Stuff'!AF:BG,21,FALSE)</f>
        <v>0</v>
      </c>
      <c r="X407" s="127">
        <f>VLOOKUP(C407,'Talente &amp; Stuff'!AF:BG,22,FALSE)</f>
        <v>0</v>
      </c>
      <c r="Y407" s="165">
        <f t="shared" si="30"/>
        <v>0</v>
      </c>
      <c r="Z407" s="44">
        <f t="shared" si="31"/>
        <v>0</v>
      </c>
      <c r="AA407" s="125">
        <f>VLOOKUP(C407,'Talente &amp; Stuff'!AF:BG,25,FALSE)</f>
        <v>0</v>
      </c>
      <c r="AB407" s="160">
        <f>VLOOKUP(C407,'Talente &amp; Stuff'!AF:BG,26,FALSE)</f>
        <v>0</v>
      </c>
      <c r="AC407" s="127">
        <f>VLOOKUP(C407,'Talente &amp; Stuff'!AF:BG,27,FALSE)</f>
        <v>0</v>
      </c>
      <c r="AD407" s="125">
        <f>VLOOKUP(C407,'Talente &amp; Stuff'!AF:BG,28,FALSE)</f>
        <v>0</v>
      </c>
      <c r="AE407" s="28"/>
    </row>
    <row r="408" spans="2:31" ht="15" hidden="1" customHeight="1" outlineLevel="2">
      <c r="B408" s="148">
        <v>5</v>
      </c>
      <c r="C408" s="177" t="str">
        <f>Attribute!C408</f>
        <v>---</v>
      </c>
      <c r="D408" s="125" t="str">
        <f>VLOOKUP(C408,'Talente &amp; Stuff'!AF:BG,2,FALSE)</f>
        <v>--/--/--</v>
      </c>
      <c r="E408" s="47" t="str">
        <f>VLOOKUP(C408,'Talente &amp; Stuff'!AF:BG,3,FALSE)</f>
        <v>-</v>
      </c>
      <c r="F408" s="114">
        <f>VLOOKUP(C408,'Talente &amp; Stuff'!AF:BG,4,FALSE)</f>
        <v>0</v>
      </c>
      <c r="G408" s="113">
        <f>VLOOKUP(C408,'Talente &amp; Stuff'!AF:BG,5,FALSE)</f>
        <v>0</v>
      </c>
      <c r="H408" s="113">
        <f>VLOOKUP(C408,'Talente &amp; Stuff'!AF:BG,6,FALSE)</f>
        <v>0</v>
      </c>
      <c r="I408" s="113">
        <f>VLOOKUP(C408,'Talente &amp; Stuff'!AF:BG,7,FALSE)</f>
        <v>0</v>
      </c>
      <c r="J408" s="113">
        <f>VLOOKUP(C408,'Talente &amp; Stuff'!AF:BG,8,FALSE)</f>
        <v>0</v>
      </c>
      <c r="K408" s="113">
        <f>VLOOKUP(C408,'Talente &amp; Stuff'!AF:BG,9,FALSE)</f>
        <v>0</v>
      </c>
      <c r="L408" s="113">
        <f>VLOOKUP(C408,'Talente &amp; Stuff'!AF:BG,10,FALSE)</f>
        <v>0</v>
      </c>
      <c r="M408" s="119">
        <f>VLOOKUP(C408,'Talente &amp; Stuff'!AF:BG,11,FALSE)</f>
        <v>0</v>
      </c>
      <c r="N408" s="47">
        <f>VLOOKUP(C408,'Talente &amp; Stuff'!AF:BG,12,FALSE)</f>
        <v>0</v>
      </c>
      <c r="O408" s="47">
        <f>VLOOKUP(C408,'Talente &amp; Stuff'!AF:BG,13,FALSE)</f>
        <v>0</v>
      </c>
      <c r="P408" s="113">
        <f>VLOOKUP(C408,'Talente &amp; Stuff'!AF:BG,14,FALSE)</f>
        <v>0</v>
      </c>
      <c r="Q408" s="114">
        <f>VLOOKUP(C408,'Talente &amp; Stuff'!AF:BG,15,FALSE)</f>
        <v>0</v>
      </c>
      <c r="R408" s="113">
        <f>VLOOKUP(C408,'Talente &amp; Stuff'!AF:BG,16,FALSE)</f>
        <v>0</v>
      </c>
      <c r="S408" s="119">
        <f>VLOOKUP(C408,'Talente &amp; Stuff'!AF:BG,17,FALSE)</f>
        <v>0</v>
      </c>
      <c r="T408" s="160">
        <f>VLOOKUP(C408,'Talente &amp; Stuff'!AF:BG,18,FALSE)</f>
        <v>0</v>
      </c>
      <c r="U408" s="89">
        <f>VLOOKUP(C408,'Talente &amp; Stuff'!AF:BG,19,FALSE)</f>
        <v>0</v>
      </c>
      <c r="V408" s="47">
        <f>VLOOKUP(C408,'Talente &amp; Stuff'!AF:BG,20,FALSE)</f>
        <v>0</v>
      </c>
      <c r="W408" s="127">
        <f>VLOOKUP(C408,'Talente &amp; Stuff'!AF:BG,21,FALSE)</f>
        <v>0</v>
      </c>
      <c r="X408" s="127">
        <f>VLOOKUP(C408,'Talente &amp; Stuff'!AF:BG,22,FALSE)</f>
        <v>0</v>
      </c>
      <c r="Y408" s="165">
        <f t="shared" si="30"/>
        <v>0</v>
      </c>
      <c r="Z408" s="44">
        <f t="shared" si="31"/>
        <v>0</v>
      </c>
      <c r="AA408" s="125">
        <f>VLOOKUP(C408,'Talente &amp; Stuff'!AF:BG,25,FALSE)</f>
        <v>0</v>
      </c>
      <c r="AB408" s="160">
        <f>VLOOKUP(C408,'Talente &amp; Stuff'!AF:BG,26,FALSE)</f>
        <v>0</v>
      </c>
      <c r="AC408" s="127">
        <f>VLOOKUP(C408,'Talente &amp; Stuff'!AF:BG,27,FALSE)</f>
        <v>0</v>
      </c>
      <c r="AD408" s="125">
        <f>VLOOKUP(C408,'Talente &amp; Stuff'!AF:BG,28,FALSE)</f>
        <v>0</v>
      </c>
      <c r="AE408" s="28"/>
    </row>
    <row r="409" spans="2:31" ht="15" hidden="1" customHeight="1" outlineLevel="2">
      <c r="B409" s="148">
        <v>6</v>
      </c>
      <c r="C409" s="178" t="str">
        <f>Attribute!C409</f>
        <v>---</v>
      </c>
      <c r="D409" s="159" t="str">
        <f>VLOOKUP(C409,'Talente &amp; Stuff'!AF:BG,2,FALSE)</f>
        <v>--/--/--</v>
      </c>
      <c r="E409" s="88" t="str">
        <f>VLOOKUP(C409,'Talente &amp; Stuff'!AF:BG,3,FALSE)</f>
        <v>-</v>
      </c>
      <c r="F409" s="115">
        <f>VLOOKUP(C409,'Talente &amp; Stuff'!AF:BG,4,FALSE)</f>
        <v>0</v>
      </c>
      <c r="G409" s="122">
        <f>VLOOKUP(C409,'Talente &amp; Stuff'!AF:BG,5,FALSE)</f>
        <v>0</v>
      </c>
      <c r="H409" s="122">
        <f>VLOOKUP(C409,'Talente &amp; Stuff'!AF:BG,6,FALSE)</f>
        <v>0</v>
      </c>
      <c r="I409" s="122">
        <f>VLOOKUP(C409,'Talente &amp; Stuff'!AF:BG,7,FALSE)</f>
        <v>0</v>
      </c>
      <c r="J409" s="122">
        <f>VLOOKUP(C409,'Talente &amp; Stuff'!AF:BG,8,FALSE)</f>
        <v>0</v>
      </c>
      <c r="K409" s="122">
        <f>VLOOKUP(C409,'Talente &amp; Stuff'!AF:BG,9,FALSE)</f>
        <v>0</v>
      </c>
      <c r="L409" s="122">
        <f>VLOOKUP(C409,'Talente &amp; Stuff'!AF:BG,10,FALSE)</f>
        <v>0</v>
      </c>
      <c r="M409" s="123">
        <f>VLOOKUP(C409,'Talente &amp; Stuff'!AF:BG,11,FALSE)</f>
        <v>0</v>
      </c>
      <c r="N409" s="88">
        <f>VLOOKUP(C409,'Talente &amp; Stuff'!AF:BG,12,FALSE)</f>
        <v>0</v>
      </c>
      <c r="O409" s="88">
        <f>VLOOKUP(C409,'Talente &amp; Stuff'!AF:BG,13,FALSE)</f>
        <v>0</v>
      </c>
      <c r="P409" s="122">
        <f>VLOOKUP(C409,'Talente &amp; Stuff'!AF:BG,14,FALSE)</f>
        <v>0</v>
      </c>
      <c r="Q409" s="115">
        <f>VLOOKUP(C409,'Talente &amp; Stuff'!AF:BG,15,FALSE)</f>
        <v>0</v>
      </c>
      <c r="R409" s="122">
        <f>VLOOKUP(C409,'Talente &amp; Stuff'!AF:BG,16,FALSE)</f>
        <v>0</v>
      </c>
      <c r="S409" s="123">
        <f>VLOOKUP(C409,'Talente &amp; Stuff'!AF:BG,17,FALSE)</f>
        <v>0</v>
      </c>
      <c r="T409" s="161">
        <f>VLOOKUP(C409,'Talente &amp; Stuff'!AF:BG,18,FALSE)</f>
        <v>0</v>
      </c>
      <c r="U409" s="90">
        <f>VLOOKUP(C409,'Talente &amp; Stuff'!AF:BG,19,FALSE)</f>
        <v>0</v>
      </c>
      <c r="V409" s="88">
        <f>VLOOKUP(C409,'Talente &amp; Stuff'!AF:BG,20,FALSE)</f>
        <v>0</v>
      </c>
      <c r="W409" s="128">
        <f>VLOOKUP(C409,'Talente &amp; Stuff'!AF:BG,21,FALSE)</f>
        <v>0</v>
      </c>
      <c r="X409" s="128">
        <f>VLOOKUP(C409,'Talente &amp; Stuff'!AF:BG,22,FALSE)</f>
        <v>0</v>
      </c>
      <c r="Y409" s="165">
        <f t="shared" si="30"/>
        <v>0</v>
      </c>
      <c r="Z409" s="44">
        <f t="shared" si="31"/>
        <v>0</v>
      </c>
      <c r="AA409" s="159">
        <f>VLOOKUP(C409,'Talente &amp; Stuff'!AF:BG,25,FALSE)</f>
        <v>0</v>
      </c>
      <c r="AB409" s="161">
        <f>VLOOKUP(C409,'Talente &amp; Stuff'!AF:BG,26,FALSE)</f>
        <v>0</v>
      </c>
      <c r="AC409" s="128">
        <f>VLOOKUP(C409,'Talente &amp; Stuff'!AF:BG,27,FALSE)</f>
        <v>0</v>
      </c>
      <c r="AD409" s="159">
        <f>VLOOKUP(C409,'Talente &amp; Stuff'!AF:BG,28,FALSE)</f>
        <v>0</v>
      </c>
      <c r="AE409" s="28"/>
    </row>
    <row r="410" spans="2:31" ht="15" hidden="1" customHeight="1" outlineLevel="1" collapsed="1">
      <c r="B410" s="134" t="s">
        <v>325</v>
      </c>
      <c r="C410" s="83"/>
      <c r="D410" s="84"/>
      <c r="E410" s="84"/>
      <c r="F410" s="148"/>
      <c r="G410" s="148"/>
      <c r="H410" s="148"/>
      <c r="I410" s="148"/>
      <c r="J410" s="148"/>
      <c r="K410" s="148"/>
      <c r="L410" s="148"/>
      <c r="M410" s="148"/>
      <c r="N410" s="148"/>
      <c r="O410" s="148"/>
      <c r="P410" s="148"/>
      <c r="Q410" s="148"/>
      <c r="R410" s="148"/>
      <c r="S410" s="148"/>
      <c r="T410" s="148"/>
      <c r="U410" s="148"/>
      <c r="V410" s="148"/>
      <c r="W410" s="148"/>
      <c r="X410" s="148"/>
      <c r="AA410" s="148"/>
      <c r="AB410" s="148"/>
      <c r="AC410" s="148"/>
      <c r="AD410" s="148"/>
      <c r="AE410" s="148"/>
    </row>
    <row r="411" spans="2:31" ht="15" hidden="1" customHeight="1" outlineLevel="2">
      <c r="B411" s="148">
        <v>1</v>
      </c>
      <c r="C411" s="176" t="str">
        <f>Attribute!C411</f>
        <v>---</v>
      </c>
      <c r="D411" s="158" t="str">
        <f>VLOOKUP(C411,'Talente &amp; Stuff'!AF:BG,2,FALSE)</f>
        <v>--/--/--</v>
      </c>
      <c r="E411" s="116" t="str">
        <f>VLOOKUP(C411,'Talente &amp; Stuff'!AF:BG,3,FALSE)</f>
        <v>-</v>
      </c>
      <c r="F411" s="191">
        <f>VLOOKUP(C411,'Talente &amp; Stuff'!AF:BG,4,FALSE)</f>
        <v>0</v>
      </c>
      <c r="G411" s="118">
        <f>VLOOKUP(C411,'Talente &amp; Stuff'!AF:BG,5,FALSE)</f>
        <v>0</v>
      </c>
      <c r="H411" s="118">
        <f>VLOOKUP(C411,'Talente &amp; Stuff'!AF:BG,6,FALSE)</f>
        <v>0</v>
      </c>
      <c r="I411" s="118">
        <f>VLOOKUP(C411,'Talente &amp; Stuff'!AF:BG,7,FALSE)</f>
        <v>0</v>
      </c>
      <c r="J411" s="118">
        <f>VLOOKUP(C411,'Talente &amp; Stuff'!AF:BG,8,FALSE)</f>
        <v>0</v>
      </c>
      <c r="K411" s="118">
        <f>VLOOKUP(C411,'Talente &amp; Stuff'!AF:BG,9,FALSE)</f>
        <v>0</v>
      </c>
      <c r="L411" s="118">
        <f>VLOOKUP(C411,'Talente &amp; Stuff'!AF:BG,10,FALSE)</f>
        <v>0</v>
      </c>
      <c r="M411" s="92">
        <f>VLOOKUP(C411,'Talente &amp; Stuff'!AF:BG,11,FALSE)</f>
        <v>0</v>
      </c>
      <c r="N411" s="116">
        <f>VLOOKUP(C411,'Talente &amp; Stuff'!AF:BG,12,FALSE)</f>
        <v>0</v>
      </c>
      <c r="O411" s="116">
        <f>VLOOKUP(C411,'Talente &amp; Stuff'!AF:BG,13,FALSE)</f>
        <v>0</v>
      </c>
      <c r="P411" s="118">
        <f>VLOOKUP(C411,'Talente &amp; Stuff'!AF:BG,14,FALSE)</f>
        <v>0</v>
      </c>
      <c r="Q411" s="191">
        <f>VLOOKUP(C411,'Talente &amp; Stuff'!AF:BG,15,FALSE)</f>
        <v>0</v>
      </c>
      <c r="R411" s="118">
        <f>VLOOKUP(C411,'Talente &amp; Stuff'!AF:BG,16,FALSE)</f>
        <v>0</v>
      </c>
      <c r="S411" s="92">
        <f>VLOOKUP(C411,'Talente &amp; Stuff'!AF:BG,17,FALSE)</f>
        <v>0</v>
      </c>
      <c r="T411" s="91">
        <f>VLOOKUP(C411,'Talente &amp; Stuff'!AF:BG,18,FALSE)</f>
        <v>0</v>
      </c>
      <c r="U411" s="193">
        <f>VLOOKUP(C411,'Talente &amp; Stuff'!AF:BG,19,FALSE)</f>
        <v>0</v>
      </c>
      <c r="V411" s="116">
        <f>VLOOKUP(C411,'Talente &amp; Stuff'!AF:BG,20,FALSE)</f>
        <v>0</v>
      </c>
      <c r="W411" s="126">
        <f>VLOOKUP(C411,'Talente &amp; Stuff'!AF:BG,21,FALSE)</f>
        <v>0</v>
      </c>
      <c r="X411" s="126">
        <f>VLOOKUP(C411,'Talente &amp; Stuff'!AF:BG,22,FALSE)</f>
        <v>0</v>
      </c>
      <c r="Y411" s="165">
        <f t="shared" ref="Y411:Y417" si="32">VLOOKUP(C411,Ausgewählte_Liturgien_Hesinde,52,FALSE)</f>
        <v>0</v>
      </c>
      <c r="Z411" s="44">
        <f t="shared" ref="Z411:Z417" si="33">VLOOKUP(C411,Ausgewählte_Liturgien_Hesinde,53,FALSE)</f>
        <v>0</v>
      </c>
      <c r="AA411" s="158">
        <f>VLOOKUP(C411,'Talente &amp; Stuff'!AF:BG,25,FALSE)</f>
        <v>0</v>
      </c>
      <c r="AB411" s="91">
        <f>VLOOKUP(C411,'Talente &amp; Stuff'!AF:BG,26,FALSE)</f>
        <v>0</v>
      </c>
      <c r="AC411" s="126">
        <f>VLOOKUP(C411,'Talente &amp; Stuff'!AF:BG,27,FALSE)</f>
        <v>0</v>
      </c>
      <c r="AD411" s="158">
        <f>VLOOKUP(C411,'Talente &amp; Stuff'!AF:BG,28,FALSE)</f>
        <v>0</v>
      </c>
      <c r="AE411" s="28"/>
    </row>
    <row r="412" spans="2:31" ht="15" hidden="1" customHeight="1" outlineLevel="2">
      <c r="B412" s="148">
        <v>2</v>
      </c>
      <c r="C412" s="177" t="str">
        <f>Attribute!C412</f>
        <v>---</v>
      </c>
      <c r="D412" s="125" t="str">
        <f>VLOOKUP(C412,'Talente &amp; Stuff'!AF:BG,2,FALSE)</f>
        <v>--/--/--</v>
      </c>
      <c r="E412" s="47" t="str">
        <f>VLOOKUP(C412,'Talente &amp; Stuff'!AF:BG,3,FALSE)</f>
        <v>-</v>
      </c>
      <c r="F412" s="114">
        <f>VLOOKUP(C412,'Talente &amp; Stuff'!AF:BG,4,FALSE)</f>
        <v>0</v>
      </c>
      <c r="G412" s="113">
        <f>VLOOKUP(C412,'Talente &amp; Stuff'!AF:BG,5,FALSE)</f>
        <v>0</v>
      </c>
      <c r="H412" s="113">
        <f>VLOOKUP(C412,'Talente &amp; Stuff'!AF:BG,6,FALSE)</f>
        <v>0</v>
      </c>
      <c r="I412" s="113">
        <f>VLOOKUP(C412,'Talente &amp; Stuff'!AF:BG,7,FALSE)</f>
        <v>0</v>
      </c>
      <c r="J412" s="113">
        <f>VLOOKUP(C412,'Talente &amp; Stuff'!AF:BG,8,FALSE)</f>
        <v>0</v>
      </c>
      <c r="K412" s="113">
        <f>VLOOKUP(C412,'Talente &amp; Stuff'!AF:BG,9,FALSE)</f>
        <v>0</v>
      </c>
      <c r="L412" s="113">
        <f>VLOOKUP(C412,'Talente &amp; Stuff'!AF:BG,10,FALSE)</f>
        <v>0</v>
      </c>
      <c r="M412" s="119">
        <f>VLOOKUP(C412,'Talente &amp; Stuff'!AF:BG,11,FALSE)</f>
        <v>0</v>
      </c>
      <c r="N412" s="47">
        <f>VLOOKUP(C412,'Talente &amp; Stuff'!AF:BG,12,FALSE)</f>
        <v>0</v>
      </c>
      <c r="O412" s="47">
        <f>VLOOKUP(C412,'Talente &amp; Stuff'!AF:BG,13,FALSE)</f>
        <v>0</v>
      </c>
      <c r="P412" s="113">
        <f>VLOOKUP(C412,'Talente &amp; Stuff'!AF:BG,14,FALSE)</f>
        <v>0</v>
      </c>
      <c r="Q412" s="114">
        <f>VLOOKUP(C412,'Talente &amp; Stuff'!AF:BG,15,FALSE)</f>
        <v>0</v>
      </c>
      <c r="R412" s="113">
        <f>VLOOKUP(C412,'Talente &amp; Stuff'!AF:BG,16,FALSE)</f>
        <v>0</v>
      </c>
      <c r="S412" s="119">
        <f>VLOOKUP(C412,'Talente &amp; Stuff'!AF:BG,17,FALSE)</f>
        <v>0</v>
      </c>
      <c r="T412" s="160">
        <f>VLOOKUP(C412,'Talente &amp; Stuff'!AF:BG,18,FALSE)</f>
        <v>0</v>
      </c>
      <c r="U412" s="89">
        <f>VLOOKUP(C412,'Talente &amp; Stuff'!AF:BG,19,FALSE)</f>
        <v>0</v>
      </c>
      <c r="V412" s="47">
        <f>VLOOKUP(C412,'Talente &amp; Stuff'!AF:BG,20,FALSE)</f>
        <v>0</v>
      </c>
      <c r="W412" s="127">
        <f>VLOOKUP(C412,'Talente &amp; Stuff'!AF:BG,21,FALSE)</f>
        <v>0</v>
      </c>
      <c r="X412" s="127">
        <f>VLOOKUP(C412,'Talente &amp; Stuff'!AF:BG,22,FALSE)</f>
        <v>0</v>
      </c>
      <c r="Y412" s="165">
        <f t="shared" si="32"/>
        <v>0</v>
      </c>
      <c r="Z412" s="44">
        <f t="shared" si="33"/>
        <v>0</v>
      </c>
      <c r="AA412" s="125">
        <f>VLOOKUP(C412,'Talente &amp; Stuff'!AF:BG,25,FALSE)</f>
        <v>0</v>
      </c>
      <c r="AB412" s="160">
        <f>VLOOKUP(C412,'Talente &amp; Stuff'!AF:BG,26,FALSE)</f>
        <v>0</v>
      </c>
      <c r="AC412" s="127">
        <f>VLOOKUP(C412,'Talente &amp; Stuff'!AF:BG,27,FALSE)</f>
        <v>0</v>
      </c>
      <c r="AD412" s="125">
        <f>VLOOKUP(C412,'Talente &amp; Stuff'!AF:BG,28,FALSE)</f>
        <v>0</v>
      </c>
      <c r="AE412" s="28"/>
    </row>
    <row r="413" spans="2:31" ht="15" hidden="1" customHeight="1" outlineLevel="2">
      <c r="B413" s="148">
        <v>3</v>
      </c>
      <c r="C413" s="177" t="str">
        <f>Attribute!C413</f>
        <v>---</v>
      </c>
      <c r="D413" s="125" t="str">
        <f>VLOOKUP(C413,'Talente &amp; Stuff'!AF:BG,2,FALSE)</f>
        <v>--/--/--</v>
      </c>
      <c r="E413" s="47" t="str">
        <f>VLOOKUP(C413,'Talente &amp; Stuff'!AF:BG,3,FALSE)</f>
        <v>-</v>
      </c>
      <c r="F413" s="114">
        <f>VLOOKUP(C413,'Talente &amp; Stuff'!AF:BG,4,FALSE)</f>
        <v>0</v>
      </c>
      <c r="G413" s="113">
        <f>VLOOKUP(C413,'Talente &amp; Stuff'!AF:BG,5,FALSE)</f>
        <v>0</v>
      </c>
      <c r="H413" s="113">
        <f>VLOOKUP(C413,'Talente &amp; Stuff'!AF:BG,6,FALSE)</f>
        <v>0</v>
      </c>
      <c r="I413" s="113">
        <f>VLOOKUP(C413,'Talente &amp; Stuff'!AF:BG,7,FALSE)</f>
        <v>0</v>
      </c>
      <c r="J413" s="113">
        <f>VLOOKUP(C413,'Talente &amp; Stuff'!AF:BG,8,FALSE)</f>
        <v>0</v>
      </c>
      <c r="K413" s="113">
        <f>VLOOKUP(C413,'Talente &amp; Stuff'!AF:BG,9,FALSE)</f>
        <v>0</v>
      </c>
      <c r="L413" s="113">
        <f>VLOOKUP(C413,'Talente &amp; Stuff'!AF:BG,10,FALSE)</f>
        <v>0</v>
      </c>
      <c r="M413" s="119">
        <f>VLOOKUP(C413,'Talente &amp; Stuff'!AF:BG,11,FALSE)</f>
        <v>0</v>
      </c>
      <c r="N413" s="47">
        <f>VLOOKUP(C413,'Talente &amp; Stuff'!AF:BG,12,FALSE)</f>
        <v>0</v>
      </c>
      <c r="O413" s="47">
        <f>VLOOKUP(C413,'Talente &amp; Stuff'!AF:BG,13,FALSE)</f>
        <v>0</v>
      </c>
      <c r="P413" s="113">
        <f>VLOOKUP(C413,'Talente &amp; Stuff'!AF:BG,14,FALSE)</f>
        <v>0</v>
      </c>
      <c r="Q413" s="114">
        <f>VLOOKUP(C413,'Talente &amp; Stuff'!AF:BG,15,FALSE)</f>
        <v>0</v>
      </c>
      <c r="R413" s="113">
        <f>VLOOKUP(C413,'Talente &amp; Stuff'!AF:BG,16,FALSE)</f>
        <v>0</v>
      </c>
      <c r="S413" s="119">
        <f>VLOOKUP(C413,'Talente &amp; Stuff'!AF:BG,17,FALSE)</f>
        <v>0</v>
      </c>
      <c r="T413" s="160">
        <f>VLOOKUP(C413,'Talente &amp; Stuff'!AF:BG,18,FALSE)</f>
        <v>0</v>
      </c>
      <c r="U413" s="89">
        <f>VLOOKUP(C413,'Talente &amp; Stuff'!AF:BG,19,FALSE)</f>
        <v>0</v>
      </c>
      <c r="V413" s="47">
        <f>VLOOKUP(C413,'Talente &amp; Stuff'!AF:BG,20,FALSE)</f>
        <v>0</v>
      </c>
      <c r="W413" s="127">
        <f>VLOOKUP(C413,'Talente &amp; Stuff'!AF:BG,21,FALSE)</f>
        <v>0</v>
      </c>
      <c r="X413" s="127">
        <f>VLOOKUP(C413,'Talente &amp; Stuff'!AF:BG,22,FALSE)</f>
        <v>0</v>
      </c>
      <c r="Y413" s="165">
        <f t="shared" si="32"/>
        <v>0</v>
      </c>
      <c r="Z413" s="44">
        <f t="shared" si="33"/>
        <v>0</v>
      </c>
      <c r="AA413" s="125">
        <f>VLOOKUP(C413,'Talente &amp; Stuff'!AF:BG,25,FALSE)</f>
        <v>0</v>
      </c>
      <c r="AB413" s="160">
        <f>VLOOKUP(C413,'Talente &amp; Stuff'!AF:BG,26,FALSE)</f>
        <v>0</v>
      </c>
      <c r="AC413" s="127">
        <f>VLOOKUP(C413,'Talente &amp; Stuff'!AF:BG,27,FALSE)</f>
        <v>0</v>
      </c>
      <c r="AD413" s="125">
        <f>VLOOKUP(C413,'Talente &amp; Stuff'!AF:BG,28,FALSE)</f>
        <v>0</v>
      </c>
      <c r="AE413" s="28"/>
    </row>
    <row r="414" spans="2:31" ht="15" hidden="1" customHeight="1" outlineLevel="2">
      <c r="B414" s="148">
        <v>4</v>
      </c>
      <c r="C414" s="177" t="str">
        <f>Attribute!C414</f>
        <v>---</v>
      </c>
      <c r="D414" s="125" t="str">
        <f>VLOOKUP(C414,'Talente &amp; Stuff'!AF:BG,2,FALSE)</f>
        <v>--/--/--</v>
      </c>
      <c r="E414" s="47" t="str">
        <f>VLOOKUP(C414,'Talente &amp; Stuff'!AF:BG,3,FALSE)</f>
        <v>-</v>
      </c>
      <c r="F414" s="114">
        <f>VLOOKUP(C414,'Talente &amp; Stuff'!AF:BG,4,FALSE)</f>
        <v>0</v>
      </c>
      <c r="G414" s="113">
        <f>VLOOKUP(C414,'Talente &amp; Stuff'!AF:BG,5,FALSE)</f>
        <v>0</v>
      </c>
      <c r="H414" s="113">
        <f>VLOOKUP(C414,'Talente &amp; Stuff'!AF:BG,6,FALSE)</f>
        <v>0</v>
      </c>
      <c r="I414" s="113">
        <f>VLOOKUP(C414,'Talente &amp; Stuff'!AF:BG,7,FALSE)</f>
        <v>0</v>
      </c>
      <c r="J414" s="113">
        <f>VLOOKUP(C414,'Talente &amp; Stuff'!AF:BG,8,FALSE)</f>
        <v>0</v>
      </c>
      <c r="K414" s="113">
        <f>VLOOKUP(C414,'Talente &amp; Stuff'!AF:BG,9,FALSE)</f>
        <v>0</v>
      </c>
      <c r="L414" s="113">
        <f>VLOOKUP(C414,'Talente &amp; Stuff'!AF:BG,10,FALSE)</f>
        <v>0</v>
      </c>
      <c r="M414" s="119">
        <f>VLOOKUP(C414,'Talente &amp; Stuff'!AF:BG,11,FALSE)</f>
        <v>0</v>
      </c>
      <c r="N414" s="47">
        <f>VLOOKUP(C414,'Talente &amp; Stuff'!AF:BG,12,FALSE)</f>
        <v>0</v>
      </c>
      <c r="O414" s="47">
        <f>VLOOKUP(C414,'Talente &amp; Stuff'!AF:BG,13,FALSE)</f>
        <v>0</v>
      </c>
      <c r="P414" s="113">
        <f>VLOOKUP(C414,'Talente &amp; Stuff'!AF:BG,14,FALSE)</f>
        <v>0</v>
      </c>
      <c r="Q414" s="114">
        <f>VLOOKUP(C414,'Talente &amp; Stuff'!AF:BG,15,FALSE)</f>
        <v>0</v>
      </c>
      <c r="R414" s="113">
        <f>VLOOKUP(C414,'Talente &amp; Stuff'!AF:BG,16,FALSE)</f>
        <v>0</v>
      </c>
      <c r="S414" s="119">
        <f>VLOOKUP(C414,'Talente &amp; Stuff'!AF:BG,17,FALSE)</f>
        <v>0</v>
      </c>
      <c r="T414" s="160">
        <f>VLOOKUP(C414,'Talente &amp; Stuff'!AF:BG,18,FALSE)</f>
        <v>0</v>
      </c>
      <c r="U414" s="89">
        <f>VLOOKUP(C414,'Talente &amp; Stuff'!AF:BG,19,FALSE)</f>
        <v>0</v>
      </c>
      <c r="V414" s="47">
        <f>VLOOKUP(C414,'Talente &amp; Stuff'!AF:BG,20,FALSE)</f>
        <v>0</v>
      </c>
      <c r="W414" s="127">
        <f>VLOOKUP(C414,'Talente &amp; Stuff'!AF:BG,21,FALSE)</f>
        <v>0</v>
      </c>
      <c r="X414" s="127">
        <f>VLOOKUP(C414,'Talente &amp; Stuff'!AF:BG,22,FALSE)</f>
        <v>0</v>
      </c>
      <c r="Y414" s="165">
        <f t="shared" si="32"/>
        <v>0</v>
      </c>
      <c r="Z414" s="44">
        <f t="shared" si="33"/>
        <v>0</v>
      </c>
      <c r="AA414" s="125">
        <f>VLOOKUP(C414,'Talente &amp; Stuff'!AF:BG,25,FALSE)</f>
        <v>0</v>
      </c>
      <c r="AB414" s="160">
        <f>VLOOKUP(C414,'Talente &amp; Stuff'!AF:BG,26,FALSE)</f>
        <v>0</v>
      </c>
      <c r="AC414" s="127">
        <f>VLOOKUP(C414,'Talente &amp; Stuff'!AF:BG,27,FALSE)</f>
        <v>0</v>
      </c>
      <c r="AD414" s="125">
        <f>VLOOKUP(C414,'Talente &amp; Stuff'!AF:BG,28,FALSE)</f>
        <v>0</v>
      </c>
      <c r="AE414" s="28"/>
    </row>
    <row r="415" spans="2:31" ht="15" hidden="1" customHeight="1" outlineLevel="2">
      <c r="B415" s="148">
        <v>5</v>
      </c>
      <c r="C415" s="177" t="str">
        <f>Attribute!C415</f>
        <v>---</v>
      </c>
      <c r="D415" s="125" t="str">
        <f>VLOOKUP(C415,'Talente &amp; Stuff'!AF:BG,2,FALSE)</f>
        <v>--/--/--</v>
      </c>
      <c r="E415" s="47" t="str">
        <f>VLOOKUP(C415,'Talente &amp; Stuff'!AF:BG,3,FALSE)</f>
        <v>-</v>
      </c>
      <c r="F415" s="114">
        <f>VLOOKUP(C415,'Talente &amp; Stuff'!AF:BG,4,FALSE)</f>
        <v>0</v>
      </c>
      <c r="G415" s="113">
        <f>VLOOKUP(C415,'Talente &amp; Stuff'!AF:BG,5,FALSE)</f>
        <v>0</v>
      </c>
      <c r="H415" s="113">
        <f>VLOOKUP(C415,'Talente &amp; Stuff'!AF:BG,6,FALSE)</f>
        <v>0</v>
      </c>
      <c r="I415" s="113">
        <f>VLOOKUP(C415,'Talente &amp; Stuff'!AF:BG,7,FALSE)</f>
        <v>0</v>
      </c>
      <c r="J415" s="113">
        <f>VLOOKUP(C415,'Talente &amp; Stuff'!AF:BG,8,FALSE)</f>
        <v>0</v>
      </c>
      <c r="K415" s="113">
        <f>VLOOKUP(C415,'Talente &amp; Stuff'!AF:BG,9,FALSE)</f>
        <v>0</v>
      </c>
      <c r="L415" s="113">
        <f>VLOOKUP(C415,'Talente &amp; Stuff'!AF:BG,10,FALSE)</f>
        <v>0</v>
      </c>
      <c r="M415" s="119">
        <f>VLOOKUP(C415,'Talente &amp; Stuff'!AF:BG,11,FALSE)</f>
        <v>0</v>
      </c>
      <c r="N415" s="47">
        <f>VLOOKUP(C415,'Talente &amp; Stuff'!AF:BG,12,FALSE)</f>
        <v>0</v>
      </c>
      <c r="O415" s="47">
        <f>VLOOKUP(C415,'Talente &amp; Stuff'!AF:BG,13,FALSE)</f>
        <v>0</v>
      </c>
      <c r="P415" s="113">
        <f>VLOOKUP(C415,'Talente &amp; Stuff'!AF:BG,14,FALSE)</f>
        <v>0</v>
      </c>
      <c r="Q415" s="114">
        <f>VLOOKUP(C415,'Talente &amp; Stuff'!AF:BG,15,FALSE)</f>
        <v>0</v>
      </c>
      <c r="R415" s="113">
        <f>VLOOKUP(C415,'Talente &amp; Stuff'!AF:BG,16,FALSE)</f>
        <v>0</v>
      </c>
      <c r="S415" s="119">
        <f>VLOOKUP(C415,'Talente &amp; Stuff'!AF:BG,17,FALSE)</f>
        <v>0</v>
      </c>
      <c r="T415" s="160">
        <f>VLOOKUP(C415,'Talente &amp; Stuff'!AF:BG,18,FALSE)</f>
        <v>0</v>
      </c>
      <c r="U415" s="89">
        <f>VLOOKUP(C415,'Talente &amp; Stuff'!AF:BG,19,FALSE)</f>
        <v>0</v>
      </c>
      <c r="V415" s="47">
        <f>VLOOKUP(C415,'Talente &amp; Stuff'!AF:BG,20,FALSE)</f>
        <v>0</v>
      </c>
      <c r="W415" s="127">
        <f>VLOOKUP(C415,'Talente &amp; Stuff'!AF:BG,21,FALSE)</f>
        <v>0</v>
      </c>
      <c r="X415" s="127">
        <f>VLOOKUP(C415,'Talente &amp; Stuff'!AF:BG,22,FALSE)</f>
        <v>0</v>
      </c>
      <c r="Y415" s="165">
        <f t="shared" si="32"/>
        <v>0</v>
      </c>
      <c r="Z415" s="44">
        <f t="shared" si="33"/>
        <v>0</v>
      </c>
      <c r="AA415" s="125">
        <f>VLOOKUP(C415,'Talente &amp; Stuff'!AF:BG,25,FALSE)</f>
        <v>0</v>
      </c>
      <c r="AB415" s="160">
        <f>VLOOKUP(C415,'Talente &amp; Stuff'!AF:BG,26,FALSE)</f>
        <v>0</v>
      </c>
      <c r="AC415" s="127">
        <f>VLOOKUP(C415,'Talente &amp; Stuff'!AF:BG,27,FALSE)</f>
        <v>0</v>
      </c>
      <c r="AD415" s="125">
        <f>VLOOKUP(C415,'Talente &amp; Stuff'!AF:BG,28,FALSE)</f>
        <v>0</v>
      </c>
      <c r="AE415" s="28"/>
    </row>
    <row r="416" spans="2:31" ht="15" hidden="1" customHeight="1" outlineLevel="2">
      <c r="B416" s="148">
        <v>6</v>
      </c>
      <c r="C416" s="177" t="str">
        <f>Attribute!C416</f>
        <v>---</v>
      </c>
      <c r="D416" s="125" t="str">
        <f>VLOOKUP(C416,'Talente &amp; Stuff'!AF:BG,2,FALSE)</f>
        <v>--/--/--</v>
      </c>
      <c r="E416" s="47" t="str">
        <f>VLOOKUP(C416,'Talente &amp; Stuff'!AF:BG,3,FALSE)</f>
        <v>-</v>
      </c>
      <c r="F416" s="114">
        <f>VLOOKUP(C416,'Talente &amp; Stuff'!AF:BG,4,FALSE)</f>
        <v>0</v>
      </c>
      <c r="G416" s="113">
        <f>VLOOKUP(C416,'Talente &amp; Stuff'!AF:BG,5,FALSE)</f>
        <v>0</v>
      </c>
      <c r="H416" s="113">
        <f>VLOOKUP(C416,'Talente &amp; Stuff'!AF:BG,6,FALSE)</f>
        <v>0</v>
      </c>
      <c r="I416" s="113">
        <f>VLOOKUP(C416,'Talente &amp; Stuff'!AF:BG,7,FALSE)</f>
        <v>0</v>
      </c>
      <c r="J416" s="113">
        <f>VLOOKUP(C416,'Talente &amp; Stuff'!AF:BG,8,FALSE)</f>
        <v>0</v>
      </c>
      <c r="K416" s="113">
        <f>VLOOKUP(C416,'Talente &amp; Stuff'!AF:BG,9,FALSE)</f>
        <v>0</v>
      </c>
      <c r="L416" s="113">
        <f>VLOOKUP(C416,'Talente &amp; Stuff'!AF:BG,10,FALSE)</f>
        <v>0</v>
      </c>
      <c r="M416" s="119">
        <f>VLOOKUP(C416,'Talente &amp; Stuff'!AF:BG,11,FALSE)</f>
        <v>0</v>
      </c>
      <c r="N416" s="47">
        <f>VLOOKUP(C416,'Talente &amp; Stuff'!AF:BG,12,FALSE)</f>
        <v>0</v>
      </c>
      <c r="O416" s="47">
        <f>VLOOKUP(C416,'Talente &amp; Stuff'!AF:BG,13,FALSE)</f>
        <v>0</v>
      </c>
      <c r="P416" s="113">
        <f>VLOOKUP(C416,'Talente &amp; Stuff'!AF:BG,14,FALSE)</f>
        <v>0</v>
      </c>
      <c r="Q416" s="114">
        <f>VLOOKUP(C416,'Talente &amp; Stuff'!AF:BG,15,FALSE)</f>
        <v>0</v>
      </c>
      <c r="R416" s="113">
        <f>VLOOKUP(C416,'Talente &amp; Stuff'!AF:BG,16,FALSE)</f>
        <v>0</v>
      </c>
      <c r="S416" s="119">
        <f>VLOOKUP(C416,'Talente &amp; Stuff'!AF:BG,17,FALSE)</f>
        <v>0</v>
      </c>
      <c r="T416" s="160">
        <f>VLOOKUP(C416,'Talente &amp; Stuff'!AF:BG,18,FALSE)</f>
        <v>0</v>
      </c>
      <c r="U416" s="89">
        <f>VLOOKUP(C416,'Talente &amp; Stuff'!AF:BG,19,FALSE)</f>
        <v>0</v>
      </c>
      <c r="V416" s="47">
        <f>VLOOKUP(C416,'Talente &amp; Stuff'!AF:BG,20,FALSE)</f>
        <v>0</v>
      </c>
      <c r="W416" s="127">
        <f>VLOOKUP(C416,'Talente &amp; Stuff'!AF:BG,21,FALSE)</f>
        <v>0</v>
      </c>
      <c r="X416" s="127">
        <f>VLOOKUP(C416,'Talente &amp; Stuff'!AF:BG,22,FALSE)</f>
        <v>0</v>
      </c>
      <c r="Y416" s="165">
        <f t="shared" si="32"/>
        <v>0</v>
      </c>
      <c r="Z416" s="44">
        <f t="shared" si="33"/>
        <v>0</v>
      </c>
      <c r="AA416" s="125">
        <f>VLOOKUP(C416,'Talente &amp; Stuff'!AF:BG,25,FALSE)</f>
        <v>0</v>
      </c>
      <c r="AB416" s="160">
        <f>VLOOKUP(C416,'Talente &amp; Stuff'!AF:BG,26,FALSE)</f>
        <v>0</v>
      </c>
      <c r="AC416" s="127">
        <f>VLOOKUP(C416,'Talente &amp; Stuff'!AF:BG,27,FALSE)</f>
        <v>0</v>
      </c>
      <c r="AD416" s="125">
        <f>VLOOKUP(C416,'Talente &amp; Stuff'!AF:BG,28,FALSE)</f>
        <v>0</v>
      </c>
      <c r="AE416" s="28"/>
    </row>
    <row r="417" spans="2:31" ht="15" hidden="1" customHeight="1" outlineLevel="2">
      <c r="B417" s="148">
        <v>7</v>
      </c>
      <c r="C417" s="178" t="str">
        <f>Attribute!C417</f>
        <v>---</v>
      </c>
      <c r="D417" s="159" t="str">
        <f>VLOOKUP(C417,'Talente &amp; Stuff'!AF:BG,2,FALSE)</f>
        <v>--/--/--</v>
      </c>
      <c r="E417" s="88" t="str">
        <f>VLOOKUP(C417,'Talente &amp; Stuff'!AF:BG,3,FALSE)</f>
        <v>-</v>
      </c>
      <c r="F417" s="115">
        <f>VLOOKUP(C417,'Talente &amp; Stuff'!AF:BG,4,FALSE)</f>
        <v>0</v>
      </c>
      <c r="G417" s="122">
        <f>VLOOKUP(C417,'Talente &amp; Stuff'!AF:BG,5,FALSE)</f>
        <v>0</v>
      </c>
      <c r="H417" s="122">
        <f>VLOOKUP(C417,'Talente &amp; Stuff'!AF:BG,6,FALSE)</f>
        <v>0</v>
      </c>
      <c r="I417" s="122">
        <f>VLOOKUP(C417,'Talente &amp; Stuff'!AF:BG,7,FALSE)</f>
        <v>0</v>
      </c>
      <c r="J417" s="122">
        <f>VLOOKUP(C417,'Talente &amp; Stuff'!AF:BG,8,FALSE)</f>
        <v>0</v>
      </c>
      <c r="K417" s="122">
        <f>VLOOKUP(C417,'Talente &amp; Stuff'!AF:BG,9,FALSE)</f>
        <v>0</v>
      </c>
      <c r="L417" s="122">
        <f>VLOOKUP(C417,'Talente &amp; Stuff'!AF:BG,10,FALSE)</f>
        <v>0</v>
      </c>
      <c r="M417" s="123">
        <f>VLOOKUP(C417,'Talente &amp; Stuff'!AF:BG,11,FALSE)</f>
        <v>0</v>
      </c>
      <c r="N417" s="88">
        <f>VLOOKUP(C417,'Talente &amp; Stuff'!AF:BG,12,FALSE)</f>
        <v>0</v>
      </c>
      <c r="O417" s="88">
        <f>VLOOKUP(C417,'Talente &amp; Stuff'!AF:BG,13,FALSE)</f>
        <v>0</v>
      </c>
      <c r="P417" s="122">
        <f>VLOOKUP(C417,'Talente &amp; Stuff'!AF:BG,14,FALSE)</f>
        <v>0</v>
      </c>
      <c r="Q417" s="115">
        <f>VLOOKUP(C417,'Talente &amp; Stuff'!AF:BG,15,FALSE)</f>
        <v>0</v>
      </c>
      <c r="R417" s="122">
        <f>VLOOKUP(C417,'Talente &amp; Stuff'!AF:BG,16,FALSE)</f>
        <v>0</v>
      </c>
      <c r="S417" s="123">
        <f>VLOOKUP(C417,'Talente &amp; Stuff'!AF:BG,17,FALSE)</f>
        <v>0</v>
      </c>
      <c r="T417" s="161">
        <f>VLOOKUP(C417,'Talente &amp; Stuff'!AF:BG,18,FALSE)</f>
        <v>0</v>
      </c>
      <c r="U417" s="90">
        <f>VLOOKUP(C417,'Talente &amp; Stuff'!AF:BG,19,FALSE)</f>
        <v>0</v>
      </c>
      <c r="V417" s="88">
        <f>VLOOKUP(C417,'Talente &amp; Stuff'!AF:BG,20,FALSE)</f>
        <v>0</v>
      </c>
      <c r="W417" s="128">
        <f>VLOOKUP(C417,'Talente &amp; Stuff'!AF:BG,21,FALSE)</f>
        <v>0</v>
      </c>
      <c r="X417" s="128">
        <f>VLOOKUP(C417,'Talente &amp; Stuff'!AF:BG,22,FALSE)</f>
        <v>0</v>
      </c>
      <c r="Y417" s="165">
        <f t="shared" si="32"/>
        <v>0</v>
      </c>
      <c r="Z417" s="44">
        <f t="shared" si="33"/>
        <v>0</v>
      </c>
      <c r="AA417" s="159">
        <f>VLOOKUP(C417,'Talente &amp; Stuff'!AF:BG,25,FALSE)</f>
        <v>0</v>
      </c>
      <c r="AB417" s="161">
        <f>VLOOKUP(C417,'Talente &amp; Stuff'!AF:BG,26,FALSE)</f>
        <v>0</v>
      </c>
      <c r="AC417" s="128">
        <f>VLOOKUP(C417,'Talente &amp; Stuff'!AF:BG,27,FALSE)</f>
        <v>0</v>
      </c>
      <c r="AD417" s="159">
        <f>VLOOKUP(C417,'Talente &amp; Stuff'!AF:BG,28,FALSE)</f>
        <v>0</v>
      </c>
      <c r="AE417" s="28"/>
    </row>
    <row r="418" spans="2:31" ht="15" hidden="1" customHeight="1" outlineLevel="1" collapsed="1">
      <c r="B418" s="134" t="s">
        <v>324</v>
      </c>
      <c r="C418" s="83"/>
      <c r="D418" s="84"/>
      <c r="E418" s="84"/>
      <c r="F418" s="148"/>
      <c r="G418" s="148"/>
      <c r="H418" s="148"/>
      <c r="I418" s="148"/>
      <c r="J418" s="148"/>
      <c r="K418" s="148"/>
      <c r="L418" s="148"/>
      <c r="M418" s="148"/>
      <c r="N418" s="148"/>
      <c r="O418" s="148"/>
      <c r="P418" s="148"/>
      <c r="Q418" s="148"/>
      <c r="R418" s="148"/>
      <c r="S418" s="148"/>
      <c r="T418" s="148"/>
      <c r="U418" s="148"/>
      <c r="V418" s="148"/>
      <c r="W418" s="148"/>
      <c r="X418" s="148"/>
      <c r="AA418" s="148"/>
      <c r="AB418" s="148"/>
      <c r="AC418" s="148"/>
      <c r="AD418" s="148"/>
      <c r="AE418" s="148"/>
    </row>
    <row r="419" spans="2:31" ht="15" hidden="1" customHeight="1" outlineLevel="2">
      <c r="B419" s="148">
        <v>1</v>
      </c>
      <c r="C419" s="176" t="str">
        <f>Attribute!C419</f>
        <v>---</v>
      </c>
      <c r="D419" s="158" t="str">
        <f>VLOOKUP(C419,'Talente &amp; Stuff'!AF:BG,2,FALSE)</f>
        <v>--/--/--</v>
      </c>
      <c r="E419" s="116" t="str">
        <f>VLOOKUP(C419,'Talente &amp; Stuff'!AF:BG,3,FALSE)</f>
        <v>-</v>
      </c>
      <c r="F419" s="191">
        <f>VLOOKUP(C419,'Talente &amp; Stuff'!AF:BG,4,FALSE)</f>
        <v>0</v>
      </c>
      <c r="G419" s="118">
        <f>VLOOKUP(C419,'Talente &amp; Stuff'!AF:BG,5,FALSE)</f>
        <v>0</v>
      </c>
      <c r="H419" s="118">
        <f>VLOOKUP(C419,'Talente &amp; Stuff'!AF:BG,6,FALSE)</f>
        <v>0</v>
      </c>
      <c r="I419" s="118">
        <f>VLOOKUP(C419,'Talente &amp; Stuff'!AF:BG,7,FALSE)</f>
        <v>0</v>
      </c>
      <c r="J419" s="118">
        <f>VLOOKUP(C419,'Talente &amp; Stuff'!AF:BG,8,FALSE)</f>
        <v>0</v>
      </c>
      <c r="K419" s="118">
        <f>VLOOKUP(C419,'Talente &amp; Stuff'!AF:BG,9,FALSE)</f>
        <v>0</v>
      </c>
      <c r="L419" s="118">
        <f>VLOOKUP(C419,'Talente &amp; Stuff'!AF:BG,10,FALSE)</f>
        <v>0</v>
      </c>
      <c r="M419" s="92">
        <f>VLOOKUP(C419,'Talente &amp; Stuff'!AF:BG,11,FALSE)</f>
        <v>0</v>
      </c>
      <c r="N419" s="116">
        <f>VLOOKUP(C419,'Talente &amp; Stuff'!AF:BG,12,FALSE)</f>
        <v>0</v>
      </c>
      <c r="O419" s="116">
        <f>VLOOKUP(C419,'Talente &amp; Stuff'!AF:BG,13,FALSE)</f>
        <v>0</v>
      </c>
      <c r="P419" s="118">
        <f>VLOOKUP(C419,'Talente &amp; Stuff'!AF:BG,14,FALSE)</f>
        <v>0</v>
      </c>
      <c r="Q419" s="191">
        <f>VLOOKUP(C419,'Talente &amp; Stuff'!AF:BG,15,FALSE)</f>
        <v>0</v>
      </c>
      <c r="R419" s="118">
        <f>VLOOKUP(C419,'Talente &amp; Stuff'!AF:BG,16,FALSE)</f>
        <v>0</v>
      </c>
      <c r="S419" s="92">
        <f>VLOOKUP(C419,'Talente &amp; Stuff'!AF:BG,17,FALSE)</f>
        <v>0</v>
      </c>
      <c r="T419" s="91">
        <f>VLOOKUP(C419,'Talente &amp; Stuff'!AF:BG,18,FALSE)</f>
        <v>0</v>
      </c>
      <c r="U419" s="193">
        <f>VLOOKUP(C419,'Talente &amp; Stuff'!AF:BG,19,FALSE)</f>
        <v>0</v>
      </c>
      <c r="V419" s="116">
        <f>VLOOKUP(C419,'Talente &amp; Stuff'!AF:BG,20,FALSE)</f>
        <v>0</v>
      </c>
      <c r="W419" s="126">
        <f>VLOOKUP(C419,'Talente &amp; Stuff'!AF:BG,21,FALSE)</f>
        <v>0</v>
      </c>
      <c r="X419" s="126">
        <f>VLOOKUP(C419,'Talente &amp; Stuff'!AF:BG,22,FALSE)</f>
        <v>0</v>
      </c>
      <c r="Y419" s="165">
        <f>VLOOKUP(C419,Ausgewählte_Liturgien_Peraine,52,FALSE)</f>
        <v>0</v>
      </c>
      <c r="Z419" s="44">
        <f>VLOOKUP(C419,Ausgewählte_Liturgien_Peraine,53,FALSE)</f>
        <v>0</v>
      </c>
      <c r="AA419" s="158">
        <f>VLOOKUP(C419,'Talente &amp; Stuff'!AF:BG,25,FALSE)</f>
        <v>0</v>
      </c>
      <c r="AB419" s="91">
        <f>VLOOKUP(C419,'Talente &amp; Stuff'!AF:BG,26,FALSE)</f>
        <v>0</v>
      </c>
      <c r="AC419" s="126">
        <f>VLOOKUP(C419,'Talente &amp; Stuff'!AF:BG,27,FALSE)</f>
        <v>0</v>
      </c>
      <c r="AD419" s="158">
        <f>VLOOKUP(C419,'Talente &amp; Stuff'!AF:BG,28,FALSE)</f>
        <v>0</v>
      </c>
      <c r="AE419" s="28"/>
    </row>
    <row r="420" spans="2:31" ht="15" hidden="1" customHeight="1" outlineLevel="2">
      <c r="B420" s="148">
        <v>2</v>
      </c>
      <c r="C420" s="177" t="str">
        <f>Attribute!C420</f>
        <v>---</v>
      </c>
      <c r="D420" s="125" t="str">
        <f>VLOOKUP(C420,'Talente &amp; Stuff'!AF:BG,2,FALSE)</f>
        <v>--/--/--</v>
      </c>
      <c r="E420" s="47" t="str">
        <f>VLOOKUP(C420,'Talente &amp; Stuff'!AF:BG,3,FALSE)</f>
        <v>-</v>
      </c>
      <c r="F420" s="114">
        <f>VLOOKUP(C420,'Talente &amp; Stuff'!AF:BG,4,FALSE)</f>
        <v>0</v>
      </c>
      <c r="G420" s="113">
        <f>VLOOKUP(C420,'Talente &amp; Stuff'!AF:BG,5,FALSE)</f>
        <v>0</v>
      </c>
      <c r="H420" s="113">
        <f>VLOOKUP(C420,'Talente &amp; Stuff'!AF:BG,6,FALSE)</f>
        <v>0</v>
      </c>
      <c r="I420" s="113">
        <f>VLOOKUP(C420,'Talente &amp; Stuff'!AF:BG,7,FALSE)</f>
        <v>0</v>
      </c>
      <c r="J420" s="113">
        <f>VLOOKUP(C420,'Talente &amp; Stuff'!AF:BG,8,FALSE)</f>
        <v>0</v>
      </c>
      <c r="K420" s="113">
        <f>VLOOKUP(C420,'Talente &amp; Stuff'!AF:BG,9,FALSE)</f>
        <v>0</v>
      </c>
      <c r="L420" s="113">
        <f>VLOOKUP(C420,'Talente &amp; Stuff'!AF:BG,10,FALSE)</f>
        <v>0</v>
      </c>
      <c r="M420" s="119">
        <f>VLOOKUP(C420,'Talente &amp; Stuff'!AF:BG,11,FALSE)</f>
        <v>0</v>
      </c>
      <c r="N420" s="47">
        <f>VLOOKUP(C420,'Talente &amp; Stuff'!AF:BG,12,FALSE)</f>
        <v>0</v>
      </c>
      <c r="O420" s="47">
        <f>VLOOKUP(C420,'Talente &amp; Stuff'!AF:BG,13,FALSE)</f>
        <v>0</v>
      </c>
      <c r="P420" s="113">
        <f>VLOOKUP(C420,'Talente &amp; Stuff'!AF:BG,14,FALSE)</f>
        <v>0</v>
      </c>
      <c r="Q420" s="114">
        <f>VLOOKUP(C420,'Talente &amp; Stuff'!AF:BG,15,FALSE)</f>
        <v>0</v>
      </c>
      <c r="R420" s="113">
        <f>VLOOKUP(C420,'Talente &amp; Stuff'!AF:BG,16,FALSE)</f>
        <v>0</v>
      </c>
      <c r="S420" s="119">
        <f>VLOOKUP(C420,'Talente &amp; Stuff'!AF:BG,17,FALSE)</f>
        <v>0</v>
      </c>
      <c r="T420" s="160">
        <f>VLOOKUP(C420,'Talente &amp; Stuff'!AF:BG,18,FALSE)</f>
        <v>0</v>
      </c>
      <c r="U420" s="89">
        <f>VLOOKUP(C420,'Talente &amp; Stuff'!AF:BG,19,FALSE)</f>
        <v>0</v>
      </c>
      <c r="V420" s="47">
        <f>VLOOKUP(C420,'Talente &amp; Stuff'!AF:BG,20,FALSE)</f>
        <v>0</v>
      </c>
      <c r="W420" s="127">
        <f>VLOOKUP(C420,'Talente &amp; Stuff'!AF:BG,21,FALSE)</f>
        <v>0</v>
      </c>
      <c r="X420" s="127">
        <f>VLOOKUP(C420,'Talente &amp; Stuff'!AF:BG,22,FALSE)</f>
        <v>0</v>
      </c>
      <c r="Y420" s="165">
        <f>VLOOKUP(C420,Ausgewählte_Liturgien_Peraine,52,FALSE)</f>
        <v>0</v>
      </c>
      <c r="Z420" s="44">
        <f>VLOOKUP(C420,Ausgewählte_Liturgien_Peraine,53,FALSE)</f>
        <v>0</v>
      </c>
      <c r="AA420" s="125">
        <f>VLOOKUP(C420,'Talente &amp; Stuff'!AF:BG,25,FALSE)</f>
        <v>0</v>
      </c>
      <c r="AB420" s="160">
        <f>VLOOKUP(C420,'Talente &amp; Stuff'!AF:BG,26,FALSE)</f>
        <v>0</v>
      </c>
      <c r="AC420" s="127">
        <f>VLOOKUP(C420,'Talente &amp; Stuff'!AF:BG,27,FALSE)</f>
        <v>0</v>
      </c>
      <c r="AD420" s="125">
        <f>VLOOKUP(C420,'Talente &amp; Stuff'!AF:BG,28,FALSE)</f>
        <v>0</v>
      </c>
      <c r="AE420" s="28"/>
    </row>
    <row r="421" spans="2:31" ht="15" hidden="1" customHeight="1" outlineLevel="2">
      <c r="B421" s="148">
        <v>3</v>
      </c>
      <c r="C421" s="177" t="str">
        <f>Attribute!C421</f>
        <v>---</v>
      </c>
      <c r="D421" s="125" t="str">
        <f>VLOOKUP(C421,'Talente &amp; Stuff'!AF:BG,2,FALSE)</f>
        <v>--/--/--</v>
      </c>
      <c r="E421" s="47" t="str">
        <f>VLOOKUP(C421,'Talente &amp; Stuff'!AF:BG,3,FALSE)</f>
        <v>-</v>
      </c>
      <c r="F421" s="114">
        <f>VLOOKUP(C421,'Talente &amp; Stuff'!AF:BG,4,FALSE)</f>
        <v>0</v>
      </c>
      <c r="G421" s="113">
        <f>VLOOKUP(C421,'Talente &amp; Stuff'!AF:BG,5,FALSE)</f>
        <v>0</v>
      </c>
      <c r="H421" s="113">
        <f>VLOOKUP(C421,'Talente &amp; Stuff'!AF:BG,6,FALSE)</f>
        <v>0</v>
      </c>
      <c r="I421" s="113">
        <f>VLOOKUP(C421,'Talente &amp; Stuff'!AF:BG,7,FALSE)</f>
        <v>0</v>
      </c>
      <c r="J421" s="113">
        <f>VLOOKUP(C421,'Talente &amp; Stuff'!AF:BG,8,FALSE)</f>
        <v>0</v>
      </c>
      <c r="K421" s="113">
        <f>VLOOKUP(C421,'Talente &amp; Stuff'!AF:BG,9,FALSE)</f>
        <v>0</v>
      </c>
      <c r="L421" s="113">
        <f>VLOOKUP(C421,'Talente &amp; Stuff'!AF:BG,10,FALSE)</f>
        <v>0</v>
      </c>
      <c r="M421" s="119">
        <f>VLOOKUP(C421,'Talente &amp; Stuff'!AF:BG,11,FALSE)</f>
        <v>0</v>
      </c>
      <c r="N421" s="47">
        <f>VLOOKUP(C421,'Talente &amp; Stuff'!AF:BG,12,FALSE)</f>
        <v>0</v>
      </c>
      <c r="O421" s="47">
        <f>VLOOKUP(C421,'Talente &amp; Stuff'!AF:BG,13,FALSE)</f>
        <v>0</v>
      </c>
      <c r="P421" s="113">
        <f>VLOOKUP(C421,'Talente &amp; Stuff'!AF:BG,14,FALSE)</f>
        <v>0</v>
      </c>
      <c r="Q421" s="114">
        <f>VLOOKUP(C421,'Talente &amp; Stuff'!AF:BG,15,FALSE)</f>
        <v>0</v>
      </c>
      <c r="R421" s="113">
        <f>VLOOKUP(C421,'Talente &amp; Stuff'!AF:BG,16,FALSE)</f>
        <v>0</v>
      </c>
      <c r="S421" s="119">
        <f>VLOOKUP(C421,'Talente &amp; Stuff'!AF:BG,17,FALSE)</f>
        <v>0</v>
      </c>
      <c r="T421" s="160">
        <f>VLOOKUP(C421,'Talente &amp; Stuff'!AF:BG,18,FALSE)</f>
        <v>0</v>
      </c>
      <c r="U421" s="89">
        <f>VLOOKUP(C421,'Talente &amp; Stuff'!AF:BG,19,FALSE)</f>
        <v>0</v>
      </c>
      <c r="V421" s="47">
        <f>VLOOKUP(C421,'Talente &amp; Stuff'!AF:BG,20,FALSE)</f>
        <v>0</v>
      </c>
      <c r="W421" s="127">
        <f>VLOOKUP(C421,'Talente &amp; Stuff'!AF:BG,21,FALSE)</f>
        <v>0</v>
      </c>
      <c r="X421" s="127">
        <f>VLOOKUP(C421,'Talente &amp; Stuff'!AF:BG,22,FALSE)</f>
        <v>0</v>
      </c>
      <c r="Y421" s="165">
        <f>VLOOKUP(C421,Ausgewählte_Liturgien_Peraine,52,FALSE)</f>
        <v>0</v>
      </c>
      <c r="Z421" s="44">
        <f>VLOOKUP(C421,Ausgewählte_Liturgien_Peraine,53,FALSE)</f>
        <v>0</v>
      </c>
      <c r="AA421" s="125">
        <f>VLOOKUP(C421,'Talente &amp; Stuff'!AF:BG,25,FALSE)</f>
        <v>0</v>
      </c>
      <c r="AB421" s="160">
        <f>VLOOKUP(C421,'Talente &amp; Stuff'!AF:BG,26,FALSE)</f>
        <v>0</v>
      </c>
      <c r="AC421" s="127">
        <f>VLOOKUP(C421,'Talente &amp; Stuff'!AF:BG,27,FALSE)</f>
        <v>0</v>
      </c>
      <c r="AD421" s="125">
        <f>VLOOKUP(C421,'Talente &amp; Stuff'!AF:BG,28,FALSE)</f>
        <v>0</v>
      </c>
      <c r="AE421" s="28"/>
    </row>
    <row r="422" spans="2:31" ht="15" hidden="1" customHeight="1" outlineLevel="2">
      <c r="B422" s="148">
        <v>4</v>
      </c>
      <c r="C422" s="177" t="str">
        <f>Attribute!C422</f>
        <v>---</v>
      </c>
      <c r="D422" s="125" t="str">
        <f>VLOOKUP(C422,'Talente &amp; Stuff'!AF:BG,2,FALSE)</f>
        <v>--/--/--</v>
      </c>
      <c r="E422" s="47" t="str">
        <f>VLOOKUP(C422,'Talente &amp; Stuff'!AF:BG,3,FALSE)</f>
        <v>-</v>
      </c>
      <c r="F422" s="114">
        <f>VLOOKUP(C422,'Talente &amp; Stuff'!AF:BG,4,FALSE)</f>
        <v>0</v>
      </c>
      <c r="G422" s="113">
        <f>VLOOKUP(C422,'Talente &amp; Stuff'!AF:BG,5,FALSE)</f>
        <v>0</v>
      </c>
      <c r="H422" s="113">
        <f>VLOOKUP(C422,'Talente &amp; Stuff'!AF:BG,6,FALSE)</f>
        <v>0</v>
      </c>
      <c r="I422" s="113">
        <f>VLOOKUP(C422,'Talente &amp; Stuff'!AF:BG,7,FALSE)</f>
        <v>0</v>
      </c>
      <c r="J422" s="113">
        <f>VLOOKUP(C422,'Talente &amp; Stuff'!AF:BG,8,FALSE)</f>
        <v>0</v>
      </c>
      <c r="K422" s="113">
        <f>VLOOKUP(C422,'Talente &amp; Stuff'!AF:BG,9,FALSE)</f>
        <v>0</v>
      </c>
      <c r="L422" s="113">
        <f>VLOOKUP(C422,'Talente &amp; Stuff'!AF:BG,10,FALSE)</f>
        <v>0</v>
      </c>
      <c r="M422" s="119">
        <f>VLOOKUP(C422,'Talente &amp; Stuff'!AF:BG,11,FALSE)</f>
        <v>0</v>
      </c>
      <c r="N422" s="47">
        <f>VLOOKUP(C422,'Talente &amp; Stuff'!AF:BG,12,FALSE)</f>
        <v>0</v>
      </c>
      <c r="O422" s="47">
        <f>VLOOKUP(C422,'Talente &amp; Stuff'!AF:BG,13,FALSE)</f>
        <v>0</v>
      </c>
      <c r="P422" s="113">
        <f>VLOOKUP(C422,'Talente &amp; Stuff'!AF:BG,14,FALSE)</f>
        <v>0</v>
      </c>
      <c r="Q422" s="114">
        <f>VLOOKUP(C422,'Talente &amp; Stuff'!AF:BG,15,FALSE)</f>
        <v>0</v>
      </c>
      <c r="R422" s="113">
        <f>VLOOKUP(C422,'Talente &amp; Stuff'!AF:BG,16,FALSE)</f>
        <v>0</v>
      </c>
      <c r="S422" s="119">
        <f>VLOOKUP(C422,'Talente &amp; Stuff'!AF:BG,17,FALSE)</f>
        <v>0</v>
      </c>
      <c r="T422" s="160">
        <f>VLOOKUP(C422,'Talente &amp; Stuff'!AF:BG,18,FALSE)</f>
        <v>0</v>
      </c>
      <c r="U422" s="89">
        <f>VLOOKUP(C422,'Talente &amp; Stuff'!AF:BG,19,FALSE)</f>
        <v>0</v>
      </c>
      <c r="V422" s="47">
        <f>VLOOKUP(C422,'Talente &amp; Stuff'!AF:BG,20,FALSE)</f>
        <v>0</v>
      </c>
      <c r="W422" s="127">
        <f>VLOOKUP(C422,'Talente &amp; Stuff'!AF:BG,21,FALSE)</f>
        <v>0</v>
      </c>
      <c r="X422" s="127">
        <f>VLOOKUP(C422,'Talente &amp; Stuff'!AF:BG,22,FALSE)</f>
        <v>0</v>
      </c>
      <c r="Y422" s="165">
        <f>VLOOKUP(C422,Ausgewählte_Liturgien_Peraine,52,FALSE)</f>
        <v>0</v>
      </c>
      <c r="Z422" s="44">
        <f>VLOOKUP(C422,Ausgewählte_Liturgien_Peraine,53,FALSE)</f>
        <v>0</v>
      </c>
      <c r="AA422" s="125">
        <f>VLOOKUP(C422,'Talente &amp; Stuff'!AF:BG,25,FALSE)</f>
        <v>0</v>
      </c>
      <c r="AB422" s="160">
        <f>VLOOKUP(C422,'Talente &amp; Stuff'!AF:BG,26,FALSE)</f>
        <v>0</v>
      </c>
      <c r="AC422" s="127">
        <f>VLOOKUP(C422,'Talente &amp; Stuff'!AF:BG,27,FALSE)</f>
        <v>0</v>
      </c>
      <c r="AD422" s="125">
        <f>VLOOKUP(C422,'Talente &amp; Stuff'!AF:BG,28,FALSE)</f>
        <v>0</v>
      </c>
      <c r="AE422" s="28"/>
    </row>
    <row r="423" spans="2:31" ht="15" hidden="1" customHeight="1" outlineLevel="2">
      <c r="B423" s="137">
        <v>5</v>
      </c>
      <c r="C423" s="178" t="str">
        <f>Attribute!C423</f>
        <v>---</v>
      </c>
      <c r="D423" s="159" t="str">
        <f>VLOOKUP(C423,'Talente &amp; Stuff'!AF:BG,2,FALSE)</f>
        <v>--/--/--</v>
      </c>
      <c r="E423" s="88" t="str">
        <f>VLOOKUP(C423,'Talente &amp; Stuff'!AF:BG,3,FALSE)</f>
        <v>-</v>
      </c>
      <c r="F423" s="115">
        <f>VLOOKUP(C423,'Talente &amp; Stuff'!AF:BG,4,FALSE)</f>
        <v>0</v>
      </c>
      <c r="G423" s="122">
        <f>VLOOKUP(C423,'Talente &amp; Stuff'!AF:BG,5,FALSE)</f>
        <v>0</v>
      </c>
      <c r="H423" s="122">
        <f>VLOOKUP(C423,'Talente &amp; Stuff'!AF:BG,6,FALSE)</f>
        <v>0</v>
      </c>
      <c r="I423" s="122">
        <f>VLOOKUP(C423,'Talente &amp; Stuff'!AF:BG,7,FALSE)</f>
        <v>0</v>
      </c>
      <c r="J423" s="122">
        <f>VLOOKUP(C423,'Talente &amp; Stuff'!AF:BG,8,FALSE)</f>
        <v>0</v>
      </c>
      <c r="K423" s="122">
        <f>VLOOKUP(C423,'Talente &amp; Stuff'!AF:BG,9,FALSE)</f>
        <v>0</v>
      </c>
      <c r="L423" s="122">
        <f>VLOOKUP(C423,'Talente &amp; Stuff'!AF:BG,10,FALSE)</f>
        <v>0</v>
      </c>
      <c r="M423" s="123">
        <f>VLOOKUP(C423,'Talente &amp; Stuff'!AF:BG,11,FALSE)</f>
        <v>0</v>
      </c>
      <c r="N423" s="88">
        <f>VLOOKUP(C423,'Talente &amp; Stuff'!AF:BG,12,FALSE)</f>
        <v>0</v>
      </c>
      <c r="O423" s="88">
        <f>VLOOKUP(C423,'Talente &amp; Stuff'!AF:BG,13,FALSE)</f>
        <v>0</v>
      </c>
      <c r="P423" s="122">
        <f>VLOOKUP(C423,'Talente &amp; Stuff'!AF:BG,14,FALSE)</f>
        <v>0</v>
      </c>
      <c r="Q423" s="115">
        <f>VLOOKUP(C423,'Talente &amp; Stuff'!AF:BG,15,FALSE)</f>
        <v>0</v>
      </c>
      <c r="R423" s="122">
        <f>VLOOKUP(C423,'Talente &amp; Stuff'!AF:BG,16,FALSE)</f>
        <v>0</v>
      </c>
      <c r="S423" s="123">
        <f>VLOOKUP(C423,'Talente &amp; Stuff'!AF:BG,17,FALSE)</f>
        <v>0</v>
      </c>
      <c r="T423" s="161">
        <f>VLOOKUP(C423,'Talente &amp; Stuff'!AF:BG,18,FALSE)</f>
        <v>0</v>
      </c>
      <c r="U423" s="90">
        <f>VLOOKUP(C423,'Talente &amp; Stuff'!AF:BG,19,FALSE)</f>
        <v>0</v>
      </c>
      <c r="V423" s="88">
        <f>VLOOKUP(C423,'Talente &amp; Stuff'!AF:BG,20,FALSE)</f>
        <v>0</v>
      </c>
      <c r="W423" s="128">
        <f>VLOOKUP(C423,'Talente &amp; Stuff'!AF:BG,21,FALSE)</f>
        <v>0</v>
      </c>
      <c r="X423" s="128">
        <f>VLOOKUP(C423,'Talente &amp; Stuff'!AF:BG,22,FALSE)</f>
        <v>0</v>
      </c>
      <c r="Y423" s="165">
        <f>VLOOKUP(C423,Ausgewählte_Liturgien_Peraine,52,FALSE)</f>
        <v>0</v>
      </c>
      <c r="Z423" s="44">
        <f>VLOOKUP(C423,Ausgewählte_Liturgien_Peraine,53,FALSE)</f>
        <v>0</v>
      </c>
      <c r="AA423" s="159">
        <f>VLOOKUP(C423,'Talente &amp; Stuff'!AF:BG,25,FALSE)</f>
        <v>0</v>
      </c>
      <c r="AB423" s="161">
        <f>VLOOKUP(C423,'Talente &amp; Stuff'!AF:BG,26,FALSE)</f>
        <v>0</v>
      </c>
      <c r="AC423" s="128">
        <f>VLOOKUP(C423,'Talente &amp; Stuff'!AF:BG,27,FALSE)</f>
        <v>0</v>
      </c>
      <c r="AD423" s="159">
        <f>VLOOKUP(C423,'Talente &amp; Stuff'!AF:BG,28,FALSE)</f>
        <v>0</v>
      </c>
      <c r="AE423" s="28"/>
    </row>
    <row r="424" spans="2:31" ht="15" hidden="1" customHeight="1" outlineLevel="1" collapsed="1">
      <c r="B424" s="134" t="s">
        <v>323</v>
      </c>
      <c r="C424" s="83"/>
      <c r="D424" s="84"/>
      <c r="E424" s="84"/>
      <c r="F424" s="148"/>
      <c r="G424" s="148"/>
      <c r="H424" s="148"/>
      <c r="I424" s="148"/>
      <c r="J424" s="148"/>
      <c r="K424" s="148"/>
      <c r="L424" s="148"/>
      <c r="M424" s="148"/>
      <c r="N424" s="148"/>
      <c r="O424" s="148"/>
      <c r="P424" s="148"/>
      <c r="Q424" s="148"/>
      <c r="R424" s="148"/>
      <c r="S424" s="148"/>
      <c r="T424" s="148"/>
      <c r="U424" s="148"/>
      <c r="V424" s="148"/>
      <c r="W424" s="148"/>
      <c r="X424" s="148"/>
      <c r="AA424" s="148"/>
      <c r="AB424" s="148"/>
      <c r="AC424" s="148"/>
      <c r="AD424" s="148"/>
      <c r="AE424" s="148"/>
    </row>
    <row r="425" spans="2:31" ht="15" hidden="1" customHeight="1" outlineLevel="2">
      <c r="B425" s="148">
        <v>1</v>
      </c>
      <c r="C425" s="176" t="str">
        <f>Attribute!C425</f>
        <v>---</v>
      </c>
      <c r="D425" s="158" t="str">
        <f>VLOOKUP(C425,'Talente &amp; Stuff'!AF:BG,2,FALSE)</f>
        <v>--/--/--</v>
      </c>
      <c r="E425" s="116" t="str">
        <f>VLOOKUP(C425,'Talente &amp; Stuff'!AF:BG,3,FALSE)</f>
        <v>-</v>
      </c>
      <c r="F425" s="191">
        <f>VLOOKUP(C425,'Talente &amp; Stuff'!AF:BG,4,FALSE)</f>
        <v>0</v>
      </c>
      <c r="G425" s="118">
        <f>VLOOKUP(C425,'Talente &amp; Stuff'!AF:BG,5,FALSE)</f>
        <v>0</v>
      </c>
      <c r="H425" s="118">
        <f>VLOOKUP(C425,'Talente &amp; Stuff'!AF:BG,6,FALSE)</f>
        <v>0</v>
      </c>
      <c r="I425" s="118">
        <f>VLOOKUP(C425,'Talente &amp; Stuff'!AF:BG,7,FALSE)</f>
        <v>0</v>
      </c>
      <c r="J425" s="118">
        <f>VLOOKUP(C425,'Talente &amp; Stuff'!AF:BG,8,FALSE)</f>
        <v>0</v>
      </c>
      <c r="K425" s="118">
        <f>VLOOKUP(C425,'Talente &amp; Stuff'!AF:BG,9,FALSE)</f>
        <v>0</v>
      </c>
      <c r="L425" s="118">
        <f>VLOOKUP(C425,'Talente &amp; Stuff'!AF:BG,10,FALSE)</f>
        <v>0</v>
      </c>
      <c r="M425" s="92">
        <f>VLOOKUP(C425,'Talente &amp; Stuff'!AF:BG,11,FALSE)</f>
        <v>0</v>
      </c>
      <c r="N425" s="116">
        <f>VLOOKUP(C425,'Talente &amp; Stuff'!AF:BG,12,FALSE)</f>
        <v>0</v>
      </c>
      <c r="O425" s="116">
        <f>VLOOKUP(C425,'Talente &amp; Stuff'!AF:BG,13,FALSE)</f>
        <v>0</v>
      </c>
      <c r="P425" s="118">
        <f>VLOOKUP(C425,'Talente &amp; Stuff'!AF:BG,14,FALSE)</f>
        <v>0</v>
      </c>
      <c r="Q425" s="191">
        <f>VLOOKUP(C425,'Talente &amp; Stuff'!AF:BG,15,FALSE)</f>
        <v>0</v>
      </c>
      <c r="R425" s="118">
        <f>VLOOKUP(C425,'Talente &amp; Stuff'!AF:BG,16,FALSE)</f>
        <v>0</v>
      </c>
      <c r="S425" s="92">
        <f>VLOOKUP(C425,'Talente &amp; Stuff'!AF:BG,17,FALSE)</f>
        <v>0</v>
      </c>
      <c r="T425" s="91">
        <f>VLOOKUP(C425,'Talente &amp; Stuff'!AF:BG,18,FALSE)</f>
        <v>0</v>
      </c>
      <c r="U425" s="193">
        <f>VLOOKUP(C425,'Talente &amp; Stuff'!AF:BG,19,FALSE)</f>
        <v>0</v>
      </c>
      <c r="V425" s="116">
        <f>VLOOKUP(C425,'Talente &amp; Stuff'!AF:BG,20,FALSE)</f>
        <v>0</v>
      </c>
      <c r="W425" s="126">
        <f>VLOOKUP(C425,'Talente &amp; Stuff'!AF:BG,21,FALSE)</f>
        <v>0</v>
      </c>
      <c r="X425" s="126">
        <f>VLOOKUP(C425,'Talente &amp; Stuff'!AF:BG,22,FALSE)</f>
        <v>0</v>
      </c>
      <c r="Y425" s="165">
        <f t="shared" ref="Y425:Y432" si="34">VLOOKUP(C425,Ausgewählte_Liturgien_Phex,52,FALSE)</f>
        <v>0</v>
      </c>
      <c r="Z425" s="44">
        <f t="shared" ref="Z425:Z432" si="35">VLOOKUP(C425,Ausgewählte_Liturgien_Phex,53,FALSE)</f>
        <v>0</v>
      </c>
      <c r="AA425" s="158">
        <f>VLOOKUP(C425,'Talente &amp; Stuff'!AF:BG,25,FALSE)</f>
        <v>0</v>
      </c>
      <c r="AB425" s="91">
        <f>VLOOKUP(C425,'Talente &amp; Stuff'!AF:BG,26,FALSE)</f>
        <v>0</v>
      </c>
      <c r="AC425" s="126">
        <f>VLOOKUP(C425,'Talente &amp; Stuff'!AF:BG,27,FALSE)</f>
        <v>0</v>
      </c>
      <c r="AD425" s="158">
        <f>VLOOKUP(C425,'Talente &amp; Stuff'!AF:BG,28,FALSE)</f>
        <v>0</v>
      </c>
      <c r="AE425" s="28"/>
    </row>
    <row r="426" spans="2:31" ht="15" hidden="1" customHeight="1" outlineLevel="2">
      <c r="B426" s="148">
        <v>2</v>
      </c>
      <c r="C426" s="177" t="str">
        <f>Attribute!C426</f>
        <v>---</v>
      </c>
      <c r="D426" s="125" t="str">
        <f>VLOOKUP(C426,'Talente &amp; Stuff'!AF:BG,2,FALSE)</f>
        <v>--/--/--</v>
      </c>
      <c r="E426" s="47" t="str">
        <f>VLOOKUP(C426,'Talente &amp; Stuff'!AF:BG,3,FALSE)</f>
        <v>-</v>
      </c>
      <c r="F426" s="114">
        <f>VLOOKUP(C426,'Talente &amp; Stuff'!AF:BG,4,FALSE)</f>
        <v>0</v>
      </c>
      <c r="G426" s="113">
        <f>VLOOKUP(C426,'Talente &amp; Stuff'!AF:BG,5,FALSE)</f>
        <v>0</v>
      </c>
      <c r="H426" s="113">
        <f>VLOOKUP(C426,'Talente &amp; Stuff'!AF:BG,6,FALSE)</f>
        <v>0</v>
      </c>
      <c r="I426" s="113">
        <f>VLOOKUP(C426,'Talente &amp; Stuff'!AF:BG,7,FALSE)</f>
        <v>0</v>
      </c>
      <c r="J426" s="113">
        <f>VLOOKUP(C426,'Talente &amp; Stuff'!AF:BG,8,FALSE)</f>
        <v>0</v>
      </c>
      <c r="K426" s="113">
        <f>VLOOKUP(C426,'Talente &amp; Stuff'!AF:BG,9,FALSE)</f>
        <v>0</v>
      </c>
      <c r="L426" s="113">
        <f>VLOOKUP(C426,'Talente &amp; Stuff'!AF:BG,10,FALSE)</f>
        <v>0</v>
      </c>
      <c r="M426" s="119">
        <f>VLOOKUP(C426,'Talente &amp; Stuff'!AF:BG,11,FALSE)</f>
        <v>0</v>
      </c>
      <c r="N426" s="47">
        <f>VLOOKUP(C426,'Talente &amp; Stuff'!AF:BG,12,FALSE)</f>
        <v>0</v>
      </c>
      <c r="O426" s="47">
        <f>VLOOKUP(C426,'Talente &amp; Stuff'!AF:BG,13,FALSE)</f>
        <v>0</v>
      </c>
      <c r="P426" s="113">
        <f>VLOOKUP(C426,'Talente &amp; Stuff'!AF:BG,14,FALSE)</f>
        <v>0</v>
      </c>
      <c r="Q426" s="114">
        <f>VLOOKUP(C426,'Talente &amp; Stuff'!AF:BG,15,FALSE)</f>
        <v>0</v>
      </c>
      <c r="R426" s="113">
        <f>VLOOKUP(C426,'Talente &amp; Stuff'!AF:BG,16,FALSE)</f>
        <v>0</v>
      </c>
      <c r="S426" s="119">
        <f>VLOOKUP(C426,'Talente &amp; Stuff'!AF:BG,17,FALSE)</f>
        <v>0</v>
      </c>
      <c r="T426" s="160">
        <f>VLOOKUP(C426,'Talente &amp; Stuff'!AF:BG,18,FALSE)</f>
        <v>0</v>
      </c>
      <c r="U426" s="89">
        <f>VLOOKUP(C426,'Talente &amp; Stuff'!AF:BG,19,FALSE)</f>
        <v>0</v>
      </c>
      <c r="V426" s="47">
        <f>VLOOKUP(C426,'Talente &amp; Stuff'!AF:BG,20,FALSE)</f>
        <v>0</v>
      </c>
      <c r="W426" s="127">
        <f>VLOOKUP(C426,'Talente &amp; Stuff'!AF:BG,21,FALSE)</f>
        <v>0</v>
      </c>
      <c r="X426" s="127">
        <f>VLOOKUP(C426,'Talente &amp; Stuff'!AF:BG,22,FALSE)</f>
        <v>0</v>
      </c>
      <c r="Y426" s="165">
        <f t="shared" si="34"/>
        <v>0</v>
      </c>
      <c r="Z426" s="44">
        <f t="shared" si="35"/>
        <v>0</v>
      </c>
      <c r="AA426" s="125">
        <f>VLOOKUP(C426,'Talente &amp; Stuff'!AF:BG,25,FALSE)</f>
        <v>0</v>
      </c>
      <c r="AB426" s="160">
        <f>VLOOKUP(C426,'Talente &amp; Stuff'!AF:BG,26,FALSE)</f>
        <v>0</v>
      </c>
      <c r="AC426" s="127">
        <f>VLOOKUP(C426,'Talente &amp; Stuff'!AF:BG,27,FALSE)</f>
        <v>0</v>
      </c>
      <c r="AD426" s="125">
        <f>VLOOKUP(C426,'Talente &amp; Stuff'!AF:BG,28,FALSE)</f>
        <v>0</v>
      </c>
      <c r="AE426" s="28"/>
    </row>
    <row r="427" spans="2:31" ht="15" hidden="1" customHeight="1" outlineLevel="2">
      <c r="B427" s="148">
        <v>3</v>
      </c>
      <c r="C427" s="177" t="str">
        <f>Attribute!C427</f>
        <v>---</v>
      </c>
      <c r="D427" s="125" t="str">
        <f>VLOOKUP(C427,'Talente &amp; Stuff'!AF:BG,2,FALSE)</f>
        <v>--/--/--</v>
      </c>
      <c r="E427" s="47" t="str">
        <f>VLOOKUP(C427,'Talente &amp; Stuff'!AF:BG,3,FALSE)</f>
        <v>-</v>
      </c>
      <c r="F427" s="114">
        <f>VLOOKUP(C427,'Talente &amp; Stuff'!AF:BG,4,FALSE)</f>
        <v>0</v>
      </c>
      <c r="G427" s="113">
        <f>VLOOKUP(C427,'Talente &amp; Stuff'!AF:BG,5,FALSE)</f>
        <v>0</v>
      </c>
      <c r="H427" s="113">
        <f>VLOOKUP(C427,'Talente &amp; Stuff'!AF:BG,6,FALSE)</f>
        <v>0</v>
      </c>
      <c r="I427" s="113">
        <f>VLOOKUP(C427,'Talente &amp; Stuff'!AF:BG,7,FALSE)</f>
        <v>0</v>
      </c>
      <c r="J427" s="113">
        <f>VLOOKUP(C427,'Talente &amp; Stuff'!AF:BG,8,FALSE)</f>
        <v>0</v>
      </c>
      <c r="K427" s="113">
        <f>VLOOKUP(C427,'Talente &amp; Stuff'!AF:BG,9,FALSE)</f>
        <v>0</v>
      </c>
      <c r="L427" s="113">
        <f>VLOOKUP(C427,'Talente &amp; Stuff'!AF:BG,10,FALSE)</f>
        <v>0</v>
      </c>
      <c r="M427" s="119">
        <f>VLOOKUP(C427,'Talente &amp; Stuff'!AF:BG,11,FALSE)</f>
        <v>0</v>
      </c>
      <c r="N427" s="47">
        <f>VLOOKUP(C427,'Talente &amp; Stuff'!AF:BG,12,FALSE)</f>
        <v>0</v>
      </c>
      <c r="O427" s="47">
        <f>VLOOKUP(C427,'Talente &amp; Stuff'!AF:BG,13,FALSE)</f>
        <v>0</v>
      </c>
      <c r="P427" s="113">
        <f>VLOOKUP(C427,'Talente &amp; Stuff'!AF:BG,14,FALSE)</f>
        <v>0</v>
      </c>
      <c r="Q427" s="114">
        <f>VLOOKUP(C427,'Talente &amp; Stuff'!AF:BG,15,FALSE)</f>
        <v>0</v>
      </c>
      <c r="R427" s="113">
        <f>VLOOKUP(C427,'Talente &amp; Stuff'!AF:BG,16,FALSE)</f>
        <v>0</v>
      </c>
      <c r="S427" s="119">
        <f>VLOOKUP(C427,'Talente &amp; Stuff'!AF:BG,17,FALSE)</f>
        <v>0</v>
      </c>
      <c r="T427" s="160">
        <f>VLOOKUP(C427,'Talente &amp; Stuff'!AF:BG,18,FALSE)</f>
        <v>0</v>
      </c>
      <c r="U427" s="89">
        <f>VLOOKUP(C427,'Talente &amp; Stuff'!AF:BG,19,FALSE)</f>
        <v>0</v>
      </c>
      <c r="V427" s="47">
        <f>VLOOKUP(C427,'Talente &amp; Stuff'!AF:BG,20,FALSE)</f>
        <v>0</v>
      </c>
      <c r="W427" s="127">
        <f>VLOOKUP(C427,'Talente &amp; Stuff'!AF:BG,21,FALSE)</f>
        <v>0</v>
      </c>
      <c r="X427" s="127">
        <f>VLOOKUP(C427,'Talente &amp; Stuff'!AF:BG,22,FALSE)</f>
        <v>0</v>
      </c>
      <c r="Y427" s="165">
        <f t="shared" si="34"/>
        <v>0</v>
      </c>
      <c r="Z427" s="44">
        <f t="shared" si="35"/>
        <v>0</v>
      </c>
      <c r="AA427" s="125">
        <f>VLOOKUP(C427,'Talente &amp; Stuff'!AF:BG,25,FALSE)</f>
        <v>0</v>
      </c>
      <c r="AB427" s="160">
        <f>VLOOKUP(C427,'Talente &amp; Stuff'!AF:BG,26,FALSE)</f>
        <v>0</v>
      </c>
      <c r="AC427" s="127">
        <f>VLOOKUP(C427,'Talente &amp; Stuff'!AF:BG,27,FALSE)</f>
        <v>0</v>
      </c>
      <c r="AD427" s="125">
        <f>VLOOKUP(C427,'Talente &amp; Stuff'!AF:BG,28,FALSE)</f>
        <v>0</v>
      </c>
      <c r="AE427" s="28"/>
    </row>
    <row r="428" spans="2:31" ht="15" hidden="1" customHeight="1" outlineLevel="2">
      <c r="B428" s="148">
        <v>4</v>
      </c>
      <c r="C428" s="177" t="str">
        <f>Attribute!C428</f>
        <v>---</v>
      </c>
      <c r="D428" s="125" t="str">
        <f>VLOOKUP(C428,'Talente &amp; Stuff'!AF:BG,2,FALSE)</f>
        <v>--/--/--</v>
      </c>
      <c r="E428" s="47" t="str">
        <f>VLOOKUP(C428,'Talente &amp; Stuff'!AF:BG,3,FALSE)</f>
        <v>-</v>
      </c>
      <c r="F428" s="114">
        <f>VLOOKUP(C428,'Talente &amp; Stuff'!AF:BG,4,FALSE)</f>
        <v>0</v>
      </c>
      <c r="G428" s="113">
        <f>VLOOKUP(C428,'Talente &amp; Stuff'!AF:BG,5,FALSE)</f>
        <v>0</v>
      </c>
      <c r="H428" s="113">
        <f>VLOOKUP(C428,'Talente &amp; Stuff'!AF:BG,6,FALSE)</f>
        <v>0</v>
      </c>
      <c r="I428" s="113">
        <f>VLOOKUP(C428,'Talente &amp; Stuff'!AF:BG,7,FALSE)</f>
        <v>0</v>
      </c>
      <c r="J428" s="113">
        <f>VLOOKUP(C428,'Talente &amp; Stuff'!AF:BG,8,FALSE)</f>
        <v>0</v>
      </c>
      <c r="K428" s="113">
        <f>VLOOKUP(C428,'Talente &amp; Stuff'!AF:BG,9,FALSE)</f>
        <v>0</v>
      </c>
      <c r="L428" s="113">
        <f>VLOOKUP(C428,'Talente &amp; Stuff'!AF:BG,10,FALSE)</f>
        <v>0</v>
      </c>
      <c r="M428" s="119">
        <f>VLOOKUP(C428,'Talente &amp; Stuff'!AF:BG,11,FALSE)</f>
        <v>0</v>
      </c>
      <c r="N428" s="47">
        <f>VLOOKUP(C428,'Talente &amp; Stuff'!AF:BG,12,FALSE)</f>
        <v>0</v>
      </c>
      <c r="O428" s="47">
        <f>VLOOKUP(C428,'Talente &amp; Stuff'!AF:BG,13,FALSE)</f>
        <v>0</v>
      </c>
      <c r="P428" s="113">
        <f>VLOOKUP(C428,'Talente &amp; Stuff'!AF:BG,14,FALSE)</f>
        <v>0</v>
      </c>
      <c r="Q428" s="114">
        <f>VLOOKUP(C428,'Talente &amp; Stuff'!AF:BG,15,FALSE)</f>
        <v>0</v>
      </c>
      <c r="R428" s="113">
        <f>VLOOKUP(C428,'Talente &amp; Stuff'!AF:BG,16,FALSE)</f>
        <v>0</v>
      </c>
      <c r="S428" s="119">
        <f>VLOOKUP(C428,'Talente &amp; Stuff'!AF:BG,17,FALSE)</f>
        <v>0</v>
      </c>
      <c r="T428" s="160">
        <f>VLOOKUP(C428,'Talente &amp; Stuff'!AF:BG,18,FALSE)</f>
        <v>0</v>
      </c>
      <c r="U428" s="89">
        <f>VLOOKUP(C428,'Talente &amp; Stuff'!AF:BG,19,FALSE)</f>
        <v>0</v>
      </c>
      <c r="V428" s="47">
        <f>VLOOKUP(C428,'Talente &amp; Stuff'!AF:BG,20,FALSE)</f>
        <v>0</v>
      </c>
      <c r="W428" s="127">
        <f>VLOOKUP(C428,'Talente &amp; Stuff'!AF:BG,21,FALSE)</f>
        <v>0</v>
      </c>
      <c r="X428" s="127">
        <f>VLOOKUP(C428,'Talente &amp; Stuff'!AF:BG,22,FALSE)</f>
        <v>0</v>
      </c>
      <c r="Y428" s="165">
        <f t="shared" si="34"/>
        <v>0</v>
      </c>
      <c r="Z428" s="44">
        <f t="shared" si="35"/>
        <v>0</v>
      </c>
      <c r="AA428" s="125">
        <f>VLOOKUP(C428,'Talente &amp; Stuff'!AF:BG,25,FALSE)</f>
        <v>0</v>
      </c>
      <c r="AB428" s="160">
        <f>VLOOKUP(C428,'Talente &amp; Stuff'!AF:BG,26,FALSE)</f>
        <v>0</v>
      </c>
      <c r="AC428" s="127">
        <f>VLOOKUP(C428,'Talente &amp; Stuff'!AF:BG,27,FALSE)</f>
        <v>0</v>
      </c>
      <c r="AD428" s="125">
        <f>VLOOKUP(C428,'Talente &amp; Stuff'!AF:BG,28,FALSE)</f>
        <v>0</v>
      </c>
      <c r="AE428" s="28"/>
    </row>
    <row r="429" spans="2:31" ht="15" hidden="1" customHeight="1" outlineLevel="2">
      <c r="B429" s="148">
        <v>5</v>
      </c>
      <c r="C429" s="177" t="str">
        <f>Attribute!C429</f>
        <v>---</v>
      </c>
      <c r="D429" s="125" t="str">
        <f>VLOOKUP(C429,'Talente &amp; Stuff'!AF:BG,2,FALSE)</f>
        <v>--/--/--</v>
      </c>
      <c r="E429" s="47" t="str">
        <f>VLOOKUP(C429,'Talente &amp; Stuff'!AF:BG,3,FALSE)</f>
        <v>-</v>
      </c>
      <c r="F429" s="114">
        <f>VLOOKUP(C429,'Talente &amp; Stuff'!AF:BG,4,FALSE)</f>
        <v>0</v>
      </c>
      <c r="G429" s="113">
        <f>VLOOKUP(C429,'Talente &amp; Stuff'!AF:BG,5,FALSE)</f>
        <v>0</v>
      </c>
      <c r="H429" s="113">
        <f>VLOOKUP(C429,'Talente &amp; Stuff'!AF:BG,6,FALSE)</f>
        <v>0</v>
      </c>
      <c r="I429" s="113">
        <f>VLOOKUP(C429,'Talente &amp; Stuff'!AF:BG,7,FALSE)</f>
        <v>0</v>
      </c>
      <c r="J429" s="113">
        <f>VLOOKUP(C429,'Talente &amp; Stuff'!AF:BG,8,FALSE)</f>
        <v>0</v>
      </c>
      <c r="K429" s="113">
        <f>VLOOKUP(C429,'Talente &amp; Stuff'!AF:BG,9,FALSE)</f>
        <v>0</v>
      </c>
      <c r="L429" s="113">
        <f>VLOOKUP(C429,'Talente &amp; Stuff'!AF:BG,10,FALSE)</f>
        <v>0</v>
      </c>
      <c r="M429" s="119">
        <f>VLOOKUP(C429,'Talente &amp; Stuff'!AF:BG,11,FALSE)</f>
        <v>0</v>
      </c>
      <c r="N429" s="47">
        <f>VLOOKUP(C429,'Talente &amp; Stuff'!AF:BG,12,FALSE)</f>
        <v>0</v>
      </c>
      <c r="O429" s="47">
        <f>VLOOKUP(C429,'Talente &amp; Stuff'!AF:BG,13,FALSE)</f>
        <v>0</v>
      </c>
      <c r="P429" s="113">
        <f>VLOOKUP(C429,'Talente &amp; Stuff'!AF:BG,14,FALSE)</f>
        <v>0</v>
      </c>
      <c r="Q429" s="114">
        <f>VLOOKUP(C429,'Talente &amp; Stuff'!AF:BG,15,FALSE)</f>
        <v>0</v>
      </c>
      <c r="R429" s="113">
        <f>VLOOKUP(C429,'Talente &amp; Stuff'!AF:BG,16,FALSE)</f>
        <v>0</v>
      </c>
      <c r="S429" s="119">
        <f>VLOOKUP(C429,'Talente &amp; Stuff'!AF:BG,17,FALSE)</f>
        <v>0</v>
      </c>
      <c r="T429" s="160">
        <f>VLOOKUP(C429,'Talente &amp; Stuff'!AF:BG,18,FALSE)</f>
        <v>0</v>
      </c>
      <c r="U429" s="89">
        <f>VLOOKUP(C429,'Talente &amp; Stuff'!AF:BG,19,FALSE)</f>
        <v>0</v>
      </c>
      <c r="V429" s="47">
        <f>VLOOKUP(C429,'Talente &amp; Stuff'!AF:BG,20,FALSE)</f>
        <v>0</v>
      </c>
      <c r="W429" s="127">
        <f>VLOOKUP(C429,'Talente &amp; Stuff'!AF:BG,21,FALSE)</f>
        <v>0</v>
      </c>
      <c r="X429" s="127">
        <f>VLOOKUP(C429,'Talente &amp; Stuff'!AF:BG,22,FALSE)</f>
        <v>0</v>
      </c>
      <c r="Y429" s="165">
        <f t="shared" si="34"/>
        <v>0</v>
      </c>
      <c r="Z429" s="44">
        <f t="shared" si="35"/>
        <v>0</v>
      </c>
      <c r="AA429" s="125">
        <f>VLOOKUP(C429,'Talente &amp; Stuff'!AF:BG,25,FALSE)</f>
        <v>0</v>
      </c>
      <c r="AB429" s="160">
        <f>VLOOKUP(C429,'Talente &amp; Stuff'!AF:BG,26,FALSE)</f>
        <v>0</v>
      </c>
      <c r="AC429" s="127">
        <f>VLOOKUP(C429,'Talente &amp; Stuff'!AF:BG,27,FALSE)</f>
        <v>0</v>
      </c>
      <c r="AD429" s="125">
        <f>VLOOKUP(C429,'Talente &amp; Stuff'!AF:BG,28,FALSE)</f>
        <v>0</v>
      </c>
      <c r="AE429" s="28"/>
    </row>
    <row r="430" spans="2:31" ht="15" hidden="1" customHeight="1" outlineLevel="2">
      <c r="B430" s="148">
        <v>6</v>
      </c>
      <c r="C430" s="177" t="str">
        <f>Attribute!C430</f>
        <v>---</v>
      </c>
      <c r="D430" s="125" t="str">
        <f>VLOOKUP(C430,'Talente &amp; Stuff'!AF:BG,2,FALSE)</f>
        <v>--/--/--</v>
      </c>
      <c r="E430" s="47" t="str">
        <f>VLOOKUP(C430,'Talente &amp; Stuff'!AF:BG,3,FALSE)</f>
        <v>-</v>
      </c>
      <c r="F430" s="114">
        <f>VLOOKUP(C430,'Talente &amp; Stuff'!AF:BG,4,FALSE)</f>
        <v>0</v>
      </c>
      <c r="G430" s="113">
        <f>VLOOKUP(C430,'Talente &amp; Stuff'!AF:BG,5,FALSE)</f>
        <v>0</v>
      </c>
      <c r="H430" s="113">
        <f>VLOOKUP(C430,'Talente &amp; Stuff'!AF:BG,6,FALSE)</f>
        <v>0</v>
      </c>
      <c r="I430" s="113">
        <f>VLOOKUP(C430,'Talente &amp; Stuff'!AF:BG,7,FALSE)</f>
        <v>0</v>
      </c>
      <c r="J430" s="113">
        <f>VLOOKUP(C430,'Talente &amp; Stuff'!AF:BG,8,FALSE)</f>
        <v>0</v>
      </c>
      <c r="K430" s="113">
        <f>VLOOKUP(C430,'Talente &amp; Stuff'!AF:BG,9,FALSE)</f>
        <v>0</v>
      </c>
      <c r="L430" s="113">
        <f>VLOOKUP(C430,'Talente &amp; Stuff'!AF:BG,10,FALSE)</f>
        <v>0</v>
      </c>
      <c r="M430" s="119">
        <f>VLOOKUP(C430,'Talente &amp; Stuff'!AF:BG,11,FALSE)</f>
        <v>0</v>
      </c>
      <c r="N430" s="47">
        <f>VLOOKUP(C430,'Talente &amp; Stuff'!AF:BG,12,FALSE)</f>
        <v>0</v>
      </c>
      <c r="O430" s="47">
        <f>VLOOKUP(C430,'Talente &amp; Stuff'!AF:BG,13,FALSE)</f>
        <v>0</v>
      </c>
      <c r="P430" s="113">
        <f>VLOOKUP(C430,'Talente &amp; Stuff'!AF:BG,14,FALSE)</f>
        <v>0</v>
      </c>
      <c r="Q430" s="114">
        <f>VLOOKUP(C430,'Talente &amp; Stuff'!AF:BG,15,FALSE)</f>
        <v>0</v>
      </c>
      <c r="R430" s="113">
        <f>VLOOKUP(C430,'Talente &amp; Stuff'!AF:BG,16,FALSE)</f>
        <v>0</v>
      </c>
      <c r="S430" s="119">
        <f>VLOOKUP(C430,'Talente &amp; Stuff'!AF:BG,17,FALSE)</f>
        <v>0</v>
      </c>
      <c r="T430" s="160">
        <f>VLOOKUP(C430,'Talente &amp; Stuff'!AF:BG,18,FALSE)</f>
        <v>0</v>
      </c>
      <c r="U430" s="89">
        <f>VLOOKUP(C430,'Talente &amp; Stuff'!AF:BG,19,FALSE)</f>
        <v>0</v>
      </c>
      <c r="V430" s="47">
        <f>VLOOKUP(C430,'Talente &amp; Stuff'!AF:BG,20,FALSE)</f>
        <v>0</v>
      </c>
      <c r="W430" s="127">
        <f>VLOOKUP(C430,'Talente &amp; Stuff'!AF:BG,21,FALSE)</f>
        <v>0</v>
      </c>
      <c r="X430" s="127">
        <f>VLOOKUP(C430,'Talente &amp; Stuff'!AF:BG,22,FALSE)</f>
        <v>0</v>
      </c>
      <c r="Y430" s="165">
        <f t="shared" si="34"/>
        <v>0</v>
      </c>
      <c r="Z430" s="44">
        <f t="shared" si="35"/>
        <v>0</v>
      </c>
      <c r="AA430" s="125">
        <f>VLOOKUP(C430,'Talente &amp; Stuff'!AF:BG,25,FALSE)</f>
        <v>0</v>
      </c>
      <c r="AB430" s="160">
        <f>VLOOKUP(C430,'Talente &amp; Stuff'!AF:BG,26,FALSE)</f>
        <v>0</v>
      </c>
      <c r="AC430" s="127">
        <f>VLOOKUP(C430,'Talente &amp; Stuff'!AF:BG,27,FALSE)</f>
        <v>0</v>
      </c>
      <c r="AD430" s="125">
        <f>VLOOKUP(C430,'Talente &amp; Stuff'!AF:BG,28,FALSE)</f>
        <v>0</v>
      </c>
      <c r="AE430" s="28"/>
    </row>
    <row r="431" spans="2:31" ht="15" hidden="1" customHeight="1" outlineLevel="2">
      <c r="B431" s="148">
        <v>7</v>
      </c>
      <c r="C431" s="177" t="str">
        <f>Attribute!C431</f>
        <v>---</v>
      </c>
      <c r="D431" s="125" t="str">
        <f>VLOOKUP(C431,'Talente &amp; Stuff'!AF:BG,2,FALSE)</f>
        <v>--/--/--</v>
      </c>
      <c r="E431" s="47" t="str">
        <f>VLOOKUP(C431,'Talente &amp; Stuff'!AF:BG,3,FALSE)</f>
        <v>-</v>
      </c>
      <c r="F431" s="114">
        <f>VLOOKUP(C431,'Talente &amp; Stuff'!AF:BG,4,FALSE)</f>
        <v>0</v>
      </c>
      <c r="G431" s="113">
        <f>VLOOKUP(C431,'Talente &amp; Stuff'!AF:BG,5,FALSE)</f>
        <v>0</v>
      </c>
      <c r="H431" s="113">
        <f>VLOOKUP(C431,'Talente &amp; Stuff'!AF:BG,6,FALSE)</f>
        <v>0</v>
      </c>
      <c r="I431" s="113">
        <f>VLOOKUP(C431,'Talente &amp; Stuff'!AF:BG,7,FALSE)</f>
        <v>0</v>
      </c>
      <c r="J431" s="113">
        <f>VLOOKUP(C431,'Talente &amp; Stuff'!AF:BG,8,FALSE)</f>
        <v>0</v>
      </c>
      <c r="K431" s="113">
        <f>VLOOKUP(C431,'Talente &amp; Stuff'!AF:BG,9,FALSE)</f>
        <v>0</v>
      </c>
      <c r="L431" s="113">
        <f>VLOOKUP(C431,'Talente &amp; Stuff'!AF:BG,10,FALSE)</f>
        <v>0</v>
      </c>
      <c r="M431" s="119">
        <f>VLOOKUP(C431,'Talente &amp; Stuff'!AF:BG,11,FALSE)</f>
        <v>0</v>
      </c>
      <c r="N431" s="47">
        <f>VLOOKUP(C431,'Talente &amp; Stuff'!AF:BG,12,FALSE)</f>
        <v>0</v>
      </c>
      <c r="O431" s="47">
        <f>VLOOKUP(C431,'Talente &amp; Stuff'!AF:BG,13,FALSE)</f>
        <v>0</v>
      </c>
      <c r="P431" s="113">
        <f>VLOOKUP(C431,'Talente &amp; Stuff'!AF:BG,14,FALSE)</f>
        <v>0</v>
      </c>
      <c r="Q431" s="114">
        <f>VLOOKUP(C431,'Talente &amp; Stuff'!AF:BG,15,FALSE)</f>
        <v>0</v>
      </c>
      <c r="R431" s="113">
        <f>VLOOKUP(C431,'Talente &amp; Stuff'!AF:BG,16,FALSE)</f>
        <v>0</v>
      </c>
      <c r="S431" s="119">
        <f>VLOOKUP(C431,'Talente &amp; Stuff'!AF:BG,17,FALSE)</f>
        <v>0</v>
      </c>
      <c r="T431" s="160">
        <f>VLOOKUP(C431,'Talente &amp; Stuff'!AF:BG,18,FALSE)</f>
        <v>0</v>
      </c>
      <c r="U431" s="89">
        <f>VLOOKUP(C431,'Talente &amp; Stuff'!AF:BG,19,FALSE)</f>
        <v>0</v>
      </c>
      <c r="V431" s="47">
        <f>VLOOKUP(C431,'Talente &amp; Stuff'!AF:BG,20,FALSE)</f>
        <v>0</v>
      </c>
      <c r="W431" s="127">
        <f>VLOOKUP(C431,'Talente &amp; Stuff'!AF:BG,21,FALSE)</f>
        <v>0</v>
      </c>
      <c r="X431" s="127">
        <f>VLOOKUP(C431,'Talente &amp; Stuff'!AF:BG,22,FALSE)</f>
        <v>0</v>
      </c>
      <c r="Y431" s="165">
        <f t="shared" si="34"/>
        <v>0</v>
      </c>
      <c r="Z431" s="44">
        <f t="shared" si="35"/>
        <v>0</v>
      </c>
      <c r="AA431" s="125">
        <f>VLOOKUP(C431,'Talente &amp; Stuff'!AF:BG,25,FALSE)</f>
        <v>0</v>
      </c>
      <c r="AB431" s="160">
        <f>VLOOKUP(C431,'Talente &amp; Stuff'!AF:BG,26,FALSE)</f>
        <v>0</v>
      </c>
      <c r="AC431" s="127">
        <f>VLOOKUP(C431,'Talente &amp; Stuff'!AF:BG,27,FALSE)</f>
        <v>0</v>
      </c>
      <c r="AD431" s="125">
        <f>VLOOKUP(C431,'Talente &amp; Stuff'!AF:BG,28,FALSE)</f>
        <v>0</v>
      </c>
      <c r="AE431" s="28"/>
    </row>
    <row r="432" spans="2:31" ht="15" hidden="1" customHeight="1" outlineLevel="2">
      <c r="B432" s="148">
        <v>8</v>
      </c>
      <c r="C432" s="178" t="str">
        <f>Attribute!C432</f>
        <v>---</v>
      </c>
      <c r="D432" s="159" t="str">
        <f>VLOOKUP(C432,'Talente &amp; Stuff'!AF:BG,2,FALSE)</f>
        <v>--/--/--</v>
      </c>
      <c r="E432" s="88" t="str">
        <f>VLOOKUP(C432,'Talente &amp; Stuff'!AF:BG,3,FALSE)</f>
        <v>-</v>
      </c>
      <c r="F432" s="115">
        <f>VLOOKUP(C432,'Talente &amp; Stuff'!AF:BG,4,FALSE)</f>
        <v>0</v>
      </c>
      <c r="G432" s="122">
        <f>VLOOKUP(C432,'Talente &amp; Stuff'!AF:BG,5,FALSE)</f>
        <v>0</v>
      </c>
      <c r="H432" s="122">
        <f>VLOOKUP(C432,'Talente &amp; Stuff'!AF:BG,6,FALSE)</f>
        <v>0</v>
      </c>
      <c r="I432" s="122">
        <f>VLOOKUP(C432,'Talente &amp; Stuff'!AF:BG,7,FALSE)</f>
        <v>0</v>
      </c>
      <c r="J432" s="122">
        <f>VLOOKUP(C432,'Talente &amp; Stuff'!AF:BG,8,FALSE)</f>
        <v>0</v>
      </c>
      <c r="K432" s="122">
        <f>VLOOKUP(C432,'Talente &amp; Stuff'!AF:BG,9,FALSE)</f>
        <v>0</v>
      </c>
      <c r="L432" s="122">
        <f>VLOOKUP(C432,'Talente &amp; Stuff'!AF:BG,10,FALSE)</f>
        <v>0</v>
      </c>
      <c r="M432" s="123">
        <f>VLOOKUP(C432,'Talente &amp; Stuff'!AF:BG,11,FALSE)</f>
        <v>0</v>
      </c>
      <c r="N432" s="88">
        <f>VLOOKUP(C432,'Talente &amp; Stuff'!AF:BG,12,FALSE)</f>
        <v>0</v>
      </c>
      <c r="O432" s="88">
        <f>VLOOKUP(C432,'Talente &amp; Stuff'!AF:BG,13,FALSE)</f>
        <v>0</v>
      </c>
      <c r="P432" s="122">
        <f>VLOOKUP(C432,'Talente &amp; Stuff'!AF:BG,14,FALSE)</f>
        <v>0</v>
      </c>
      <c r="Q432" s="115">
        <f>VLOOKUP(C432,'Talente &amp; Stuff'!AF:BG,15,FALSE)</f>
        <v>0</v>
      </c>
      <c r="R432" s="122">
        <f>VLOOKUP(C432,'Talente &amp; Stuff'!AF:BG,16,FALSE)</f>
        <v>0</v>
      </c>
      <c r="S432" s="123">
        <f>VLOOKUP(C432,'Talente &amp; Stuff'!AF:BG,17,FALSE)</f>
        <v>0</v>
      </c>
      <c r="T432" s="161">
        <f>VLOOKUP(C432,'Talente &amp; Stuff'!AF:BG,18,FALSE)</f>
        <v>0</v>
      </c>
      <c r="U432" s="90">
        <f>VLOOKUP(C432,'Talente &amp; Stuff'!AF:BG,19,FALSE)</f>
        <v>0</v>
      </c>
      <c r="V432" s="88">
        <f>VLOOKUP(C432,'Talente &amp; Stuff'!AF:BG,20,FALSE)</f>
        <v>0</v>
      </c>
      <c r="W432" s="128">
        <f>VLOOKUP(C432,'Talente &amp; Stuff'!AF:BG,21,FALSE)</f>
        <v>0</v>
      </c>
      <c r="X432" s="128">
        <f>VLOOKUP(C432,'Talente &amp; Stuff'!AF:BG,22,FALSE)</f>
        <v>0</v>
      </c>
      <c r="Y432" s="165">
        <f t="shared" si="34"/>
        <v>0</v>
      </c>
      <c r="Z432" s="44">
        <f t="shared" si="35"/>
        <v>0</v>
      </c>
      <c r="AA432" s="159">
        <f>VLOOKUP(C432,'Talente &amp; Stuff'!AF:BG,25,FALSE)</f>
        <v>0</v>
      </c>
      <c r="AB432" s="161">
        <f>VLOOKUP(C432,'Talente &amp; Stuff'!AF:BG,26,FALSE)</f>
        <v>0</v>
      </c>
      <c r="AC432" s="128">
        <f>VLOOKUP(C432,'Talente &amp; Stuff'!AF:BG,27,FALSE)</f>
        <v>0</v>
      </c>
      <c r="AD432" s="159">
        <f>VLOOKUP(C432,'Talente &amp; Stuff'!AF:BG,28,FALSE)</f>
        <v>0</v>
      </c>
      <c r="AE432" s="28"/>
    </row>
    <row r="433" spans="1:31" ht="15" hidden="1" customHeight="1" outlineLevel="1" collapsed="1">
      <c r="B433" s="134" t="s">
        <v>322</v>
      </c>
      <c r="C433" s="83"/>
      <c r="D433" s="84"/>
      <c r="E433" s="84"/>
      <c r="F433" s="148"/>
      <c r="G433" s="148"/>
      <c r="H433" s="148"/>
      <c r="I433" s="148"/>
      <c r="J433" s="148"/>
      <c r="K433" s="148"/>
      <c r="L433" s="148"/>
      <c r="M433" s="148"/>
      <c r="N433" s="148"/>
      <c r="O433" s="148"/>
      <c r="P433" s="148"/>
      <c r="Q433" s="148"/>
      <c r="R433" s="148"/>
      <c r="S433" s="148"/>
      <c r="T433" s="148"/>
      <c r="U433" s="148"/>
      <c r="V433" s="148"/>
      <c r="W433" s="148"/>
      <c r="X433" s="148"/>
      <c r="AA433" s="148"/>
      <c r="AB433" s="148"/>
      <c r="AC433" s="148"/>
      <c r="AD433" s="148"/>
      <c r="AE433" s="148"/>
    </row>
    <row r="434" spans="1:31" ht="15" hidden="1" customHeight="1" outlineLevel="2">
      <c r="B434" s="148">
        <v>1</v>
      </c>
      <c r="C434" s="176" t="str">
        <f>Attribute!C434</f>
        <v>---</v>
      </c>
      <c r="D434" s="158" t="str">
        <f>VLOOKUP(C434,'Talente &amp; Stuff'!AF:BG,2,FALSE)</f>
        <v>--/--/--</v>
      </c>
      <c r="E434" s="116" t="str">
        <f>VLOOKUP(C434,'Talente &amp; Stuff'!AF:BG,3,FALSE)</f>
        <v>-</v>
      </c>
      <c r="F434" s="191">
        <f>VLOOKUP(C434,'Talente &amp; Stuff'!AF:BG,4,FALSE)</f>
        <v>0</v>
      </c>
      <c r="G434" s="118">
        <f>VLOOKUP(C434,'Talente &amp; Stuff'!AF:BG,5,FALSE)</f>
        <v>0</v>
      </c>
      <c r="H434" s="118">
        <f>VLOOKUP(C434,'Talente &amp; Stuff'!AF:BG,6,FALSE)</f>
        <v>0</v>
      </c>
      <c r="I434" s="118">
        <f>VLOOKUP(C434,'Talente &amp; Stuff'!AF:BG,7,FALSE)</f>
        <v>0</v>
      </c>
      <c r="J434" s="118">
        <f>VLOOKUP(C434,'Talente &amp; Stuff'!AF:BG,8,FALSE)</f>
        <v>0</v>
      </c>
      <c r="K434" s="118">
        <f>VLOOKUP(C434,'Talente &amp; Stuff'!AF:BG,9,FALSE)</f>
        <v>0</v>
      </c>
      <c r="L434" s="118">
        <f>VLOOKUP(C434,'Talente &amp; Stuff'!AF:BG,10,FALSE)</f>
        <v>0</v>
      </c>
      <c r="M434" s="92">
        <f>VLOOKUP(C434,'Talente &amp; Stuff'!AF:BG,11,FALSE)</f>
        <v>0</v>
      </c>
      <c r="N434" s="116">
        <f>VLOOKUP(C434,'Talente &amp; Stuff'!AF:BG,12,FALSE)</f>
        <v>0</v>
      </c>
      <c r="O434" s="116">
        <f>VLOOKUP(C434,'Talente &amp; Stuff'!AF:BG,13,FALSE)</f>
        <v>0</v>
      </c>
      <c r="P434" s="118">
        <f>VLOOKUP(C434,'Talente &amp; Stuff'!AF:BG,14,FALSE)</f>
        <v>0</v>
      </c>
      <c r="Q434" s="191">
        <f>VLOOKUP(C434,'Talente &amp; Stuff'!AF:BG,15,FALSE)</f>
        <v>0</v>
      </c>
      <c r="R434" s="118">
        <f>VLOOKUP(C434,'Talente &amp; Stuff'!AF:BG,16,FALSE)</f>
        <v>0</v>
      </c>
      <c r="S434" s="92">
        <f>VLOOKUP(C434,'Talente &amp; Stuff'!AF:BG,17,FALSE)</f>
        <v>0</v>
      </c>
      <c r="T434" s="91">
        <f>VLOOKUP(C434,'Talente &amp; Stuff'!AF:BG,18,FALSE)</f>
        <v>0</v>
      </c>
      <c r="U434" s="193">
        <f>VLOOKUP(C434,'Talente &amp; Stuff'!AF:BG,19,FALSE)</f>
        <v>0</v>
      </c>
      <c r="V434" s="116">
        <f>VLOOKUP(C434,'Talente &amp; Stuff'!AF:BG,20,FALSE)</f>
        <v>0</v>
      </c>
      <c r="W434" s="126">
        <f>VLOOKUP(C434,'Talente &amp; Stuff'!AF:BG,21,FALSE)</f>
        <v>0</v>
      </c>
      <c r="X434" s="126">
        <f>VLOOKUP(C434,'Talente &amp; Stuff'!AF:BG,22,FALSE)</f>
        <v>0</v>
      </c>
      <c r="Y434" s="175">
        <f t="shared" ref="Y434:Y439" si="36">VLOOKUP(C434,Ausgewählte_Liturgien_Praios,52,FALSE)</f>
        <v>0</v>
      </c>
      <c r="Z434" s="198">
        <f t="shared" ref="Z434:Z439" si="37">VLOOKUP(C434,Ausgewählte_Liturgien_Praios,53,FALSE)</f>
        <v>0</v>
      </c>
      <c r="AA434" s="158">
        <f>VLOOKUP(C434,'Talente &amp; Stuff'!AF:BG,25,FALSE)</f>
        <v>0</v>
      </c>
      <c r="AB434" s="91">
        <f>VLOOKUP(C434,'Talente &amp; Stuff'!AF:BG,26,FALSE)</f>
        <v>0</v>
      </c>
      <c r="AC434" s="126">
        <f>VLOOKUP(C434,'Talente &amp; Stuff'!AF:BG,27,FALSE)</f>
        <v>0</v>
      </c>
      <c r="AD434" s="158">
        <f>VLOOKUP(C434,'Talente &amp; Stuff'!AF:BG,28,FALSE)</f>
        <v>0</v>
      </c>
      <c r="AE434" s="28"/>
    </row>
    <row r="435" spans="1:31" ht="15" hidden="1" customHeight="1" outlineLevel="2">
      <c r="B435" s="148">
        <v>2</v>
      </c>
      <c r="C435" s="177" t="str">
        <f>Attribute!C435</f>
        <v>---</v>
      </c>
      <c r="D435" s="125" t="str">
        <f>VLOOKUP(C435,'Talente &amp; Stuff'!AF:BG,2,FALSE)</f>
        <v>--/--/--</v>
      </c>
      <c r="E435" s="47" t="str">
        <f>VLOOKUP(C435,'Talente &amp; Stuff'!AF:BG,3,FALSE)</f>
        <v>-</v>
      </c>
      <c r="F435" s="114">
        <f>VLOOKUP(C435,'Talente &amp; Stuff'!AF:BG,4,FALSE)</f>
        <v>0</v>
      </c>
      <c r="G435" s="113">
        <f>VLOOKUP(C435,'Talente &amp; Stuff'!AF:BG,5,FALSE)</f>
        <v>0</v>
      </c>
      <c r="H435" s="113">
        <f>VLOOKUP(C435,'Talente &amp; Stuff'!AF:BG,6,FALSE)</f>
        <v>0</v>
      </c>
      <c r="I435" s="113">
        <f>VLOOKUP(C435,'Talente &amp; Stuff'!AF:BG,7,FALSE)</f>
        <v>0</v>
      </c>
      <c r="J435" s="113">
        <f>VLOOKUP(C435,'Talente &amp; Stuff'!AF:BG,8,FALSE)</f>
        <v>0</v>
      </c>
      <c r="K435" s="113">
        <f>VLOOKUP(C435,'Talente &amp; Stuff'!AF:BG,9,FALSE)</f>
        <v>0</v>
      </c>
      <c r="L435" s="113">
        <f>VLOOKUP(C435,'Talente &amp; Stuff'!AF:BG,10,FALSE)</f>
        <v>0</v>
      </c>
      <c r="M435" s="119">
        <f>VLOOKUP(C435,'Talente &amp; Stuff'!AF:BG,11,FALSE)</f>
        <v>0</v>
      </c>
      <c r="N435" s="47">
        <f>VLOOKUP(C435,'Talente &amp; Stuff'!AF:BG,12,FALSE)</f>
        <v>0</v>
      </c>
      <c r="O435" s="47">
        <f>VLOOKUP(C435,'Talente &amp; Stuff'!AF:BG,13,FALSE)</f>
        <v>0</v>
      </c>
      <c r="P435" s="113">
        <f>VLOOKUP(C435,'Talente &amp; Stuff'!AF:BG,14,FALSE)</f>
        <v>0</v>
      </c>
      <c r="Q435" s="114">
        <f>VLOOKUP(C435,'Talente &amp; Stuff'!AF:BG,15,FALSE)</f>
        <v>0</v>
      </c>
      <c r="R435" s="113">
        <f>VLOOKUP(C435,'Talente &amp; Stuff'!AF:BG,16,FALSE)</f>
        <v>0</v>
      </c>
      <c r="S435" s="119">
        <f>VLOOKUP(C435,'Talente &amp; Stuff'!AF:BG,17,FALSE)</f>
        <v>0</v>
      </c>
      <c r="T435" s="160">
        <f>VLOOKUP(C435,'Talente &amp; Stuff'!AF:BG,18,FALSE)</f>
        <v>0</v>
      </c>
      <c r="U435" s="89">
        <f>VLOOKUP(C435,'Talente &amp; Stuff'!AF:BG,19,FALSE)</f>
        <v>0</v>
      </c>
      <c r="V435" s="47">
        <f>VLOOKUP(C435,'Talente &amp; Stuff'!AF:BG,20,FALSE)</f>
        <v>0</v>
      </c>
      <c r="W435" s="127">
        <f>VLOOKUP(C435,'Talente &amp; Stuff'!AF:BG,21,FALSE)</f>
        <v>0</v>
      </c>
      <c r="X435" s="127">
        <f>VLOOKUP(C435,'Talente &amp; Stuff'!AF:BG,22,FALSE)</f>
        <v>0</v>
      </c>
      <c r="Y435" s="175">
        <f t="shared" si="36"/>
        <v>0</v>
      </c>
      <c r="Z435" s="198">
        <f t="shared" si="37"/>
        <v>0</v>
      </c>
      <c r="AA435" s="125">
        <f>VLOOKUP(C435,'Talente &amp; Stuff'!AF:BG,25,FALSE)</f>
        <v>0</v>
      </c>
      <c r="AB435" s="160">
        <f>VLOOKUP(C435,'Talente &amp; Stuff'!AF:BG,26,FALSE)</f>
        <v>0</v>
      </c>
      <c r="AC435" s="127">
        <f>VLOOKUP(C435,'Talente &amp; Stuff'!AF:BG,27,FALSE)</f>
        <v>0</v>
      </c>
      <c r="AD435" s="125">
        <f>VLOOKUP(C435,'Talente &amp; Stuff'!AF:BG,28,FALSE)</f>
        <v>0</v>
      </c>
      <c r="AE435" s="28"/>
    </row>
    <row r="436" spans="1:31" ht="15" hidden="1" customHeight="1" outlineLevel="2">
      <c r="B436" s="148">
        <v>3</v>
      </c>
      <c r="C436" s="177" t="str">
        <f>Attribute!C436</f>
        <v>---</v>
      </c>
      <c r="D436" s="125" t="str">
        <f>VLOOKUP(C436,'Talente &amp; Stuff'!AF:BG,2,FALSE)</f>
        <v>--/--/--</v>
      </c>
      <c r="E436" s="47" t="str">
        <f>VLOOKUP(C436,'Talente &amp; Stuff'!AF:BG,3,FALSE)</f>
        <v>-</v>
      </c>
      <c r="F436" s="114">
        <f>VLOOKUP(C436,'Talente &amp; Stuff'!AF:BG,4,FALSE)</f>
        <v>0</v>
      </c>
      <c r="G436" s="113">
        <f>VLOOKUP(C436,'Talente &amp; Stuff'!AF:BG,5,FALSE)</f>
        <v>0</v>
      </c>
      <c r="H436" s="113">
        <f>VLOOKUP(C436,'Talente &amp; Stuff'!AF:BG,6,FALSE)</f>
        <v>0</v>
      </c>
      <c r="I436" s="113">
        <f>VLOOKUP(C436,'Talente &amp; Stuff'!AF:BG,7,FALSE)</f>
        <v>0</v>
      </c>
      <c r="J436" s="113">
        <f>VLOOKUP(C436,'Talente &amp; Stuff'!AF:BG,8,FALSE)</f>
        <v>0</v>
      </c>
      <c r="K436" s="113">
        <f>VLOOKUP(C436,'Talente &amp; Stuff'!AF:BG,9,FALSE)</f>
        <v>0</v>
      </c>
      <c r="L436" s="113">
        <f>VLOOKUP(C436,'Talente &amp; Stuff'!AF:BG,10,FALSE)</f>
        <v>0</v>
      </c>
      <c r="M436" s="119">
        <f>VLOOKUP(C436,'Talente &amp; Stuff'!AF:BG,11,FALSE)</f>
        <v>0</v>
      </c>
      <c r="N436" s="47">
        <f>VLOOKUP(C436,'Talente &amp; Stuff'!AF:BG,12,FALSE)</f>
        <v>0</v>
      </c>
      <c r="O436" s="47">
        <f>VLOOKUP(C436,'Talente &amp; Stuff'!AF:BG,13,FALSE)</f>
        <v>0</v>
      </c>
      <c r="P436" s="113">
        <f>VLOOKUP(C436,'Talente &amp; Stuff'!AF:BG,14,FALSE)</f>
        <v>0</v>
      </c>
      <c r="Q436" s="114">
        <f>VLOOKUP(C436,'Talente &amp; Stuff'!AF:BG,15,FALSE)</f>
        <v>0</v>
      </c>
      <c r="R436" s="113">
        <f>VLOOKUP(C436,'Talente &amp; Stuff'!AF:BG,16,FALSE)</f>
        <v>0</v>
      </c>
      <c r="S436" s="119">
        <f>VLOOKUP(C436,'Talente &amp; Stuff'!AF:BG,17,FALSE)</f>
        <v>0</v>
      </c>
      <c r="T436" s="160">
        <f>VLOOKUP(C436,'Talente &amp; Stuff'!AF:BG,18,FALSE)</f>
        <v>0</v>
      </c>
      <c r="U436" s="89">
        <f>VLOOKUP(C436,'Talente &amp; Stuff'!AF:BG,19,FALSE)</f>
        <v>0</v>
      </c>
      <c r="V436" s="47">
        <f>VLOOKUP(C436,'Talente &amp; Stuff'!AF:BG,20,FALSE)</f>
        <v>0</v>
      </c>
      <c r="W436" s="127">
        <f>VLOOKUP(C436,'Talente &amp; Stuff'!AF:BG,21,FALSE)</f>
        <v>0</v>
      </c>
      <c r="X436" s="127">
        <f>VLOOKUP(C436,'Talente &amp; Stuff'!AF:BG,22,FALSE)</f>
        <v>0</v>
      </c>
      <c r="Y436" s="175">
        <f t="shared" si="36"/>
        <v>0</v>
      </c>
      <c r="Z436" s="198">
        <f t="shared" si="37"/>
        <v>0</v>
      </c>
      <c r="AA436" s="125">
        <f>VLOOKUP(C436,'Talente &amp; Stuff'!AF:BG,25,FALSE)</f>
        <v>0</v>
      </c>
      <c r="AB436" s="160">
        <f>VLOOKUP(C436,'Talente &amp; Stuff'!AF:BG,26,FALSE)</f>
        <v>0</v>
      </c>
      <c r="AC436" s="127">
        <f>VLOOKUP(C436,'Talente &amp; Stuff'!AF:BG,27,FALSE)</f>
        <v>0</v>
      </c>
      <c r="AD436" s="125">
        <f>VLOOKUP(C436,'Talente &amp; Stuff'!AF:BG,28,FALSE)</f>
        <v>0</v>
      </c>
      <c r="AE436" s="28"/>
    </row>
    <row r="437" spans="1:31" ht="15" hidden="1" customHeight="1" outlineLevel="2">
      <c r="B437" s="148">
        <v>4</v>
      </c>
      <c r="C437" s="177" t="str">
        <f>Attribute!C437</f>
        <v>---</v>
      </c>
      <c r="D437" s="125" t="str">
        <f>VLOOKUP(C437,'Talente &amp; Stuff'!AF:BG,2,FALSE)</f>
        <v>--/--/--</v>
      </c>
      <c r="E437" s="47" t="str">
        <f>VLOOKUP(C437,'Talente &amp; Stuff'!AF:BG,3,FALSE)</f>
        <v>-</v>
      </c>
      <c r="F437" s="114">
        <f>VLOOKUP(C437,'Talente &amp; Stuff'!AF:BG,4,FALSE)</f>
        <v>0</v>
      </c>
      <c r="G437" s="113">
        <f>VLOOKUP(C437,'Talente &amp; Stuff'!AF:BG,5,FALSE)</f>
        <v>0</v>
      </c>
      <c r="H437" s="113">
        <f>VLOOKUP(C437,'Talente &amp; Stuff'!AF:BG,6,FALSE)</f>
        <v>0</v>
      </c>
      <c r="I437" s="113">
        <f>VLOOKUP(C437,'Talente &amp; Stuff'!AF:BG,7,FALSE)</f>
        <v>0</v>
      </c>
      <c r="J437" s="113">
        <f>VLOOKUP(C437,'Talente &amp; Stuff'!AF:BG,8,FALSE)</f>
        <v>0</v>
      </c>
      <c r="K437" s="113">
        <f>VLOOKUP(C437,'Talente &amp; Stuff'!AF:BG,9,FALSE)</f>
        <v>0</v>
      </c>
      <c r="L437" s="113">
        <f>VLOOKUP(C437,'Talente &amp; Stuff'!AF:BG,10,FALSE)</f>
        <v>0</v>
      </c>
      <c r="M437" s="119">
        <f>VLOOKUP(C437,'Talente &amp; Stuff'!AF:BG,11,FALSE)</f>
        <v>0</v>
      </c>
      <c r="N437" s="47">
        <f>VLOOKUP(C437,'Talente &amp; Stuff'!AF:BG,12,FALSE)</f>
        <v>0</v>
      </c>
      <c r="O437" s="47">
        <f>VLOOKUP(C437,'Talente &amp; Stuff'!AF:BG,13,FALSE)</f>
        <v>0</v>
      </c>
      <c r="P437" s="113">
        <f>VLOOKUP(C437,'Talente &amp; Stuff'!AF:BG,14,FALSE)</f>
        <v>0</v>
      </c>
      <c r="Q437" s="114">
        <f>VLOOKUP(C437,'Talente &amp; Stuff'!AF:BG,15,FALSE)</f>
        <v>0</v>
      </c>
      <c r="R437" s="113">
        <f>VLOOKUP(C437,'Talente &amp; Stuff'!AF:BG,16,FALSE)</f>
        <v>0</v>
      </c>
      <c r="S437" s="119">
        <f>VLOOKUP(C437,'Talente &amp; Stuff'!AF:BG,17,FALSE)</f>
        <v>0</v>
      </c>
      <c r="T437" s="160">
        <f>VLOOKUP(C437,'Talente &amp; Stuff'!AF:BG,18,FALSE)</f>
        <v>0</v>
      </c>
      <c r="U437" s="89">
        <f>VLOOKUP(C437,'Talente &amp; Stuff'!AF:BG,19,FALSE)</f>
        <v>0</v>
      </c>
      <c r="V437" s="47">
        <f>VLOOKUP(C437,'Talente &amp; Stuff'!AF:BG,20,FALSE)</f>
        <v>0</v>
      </c>
      <c r="W437" s="127">
        <f>VLOOKUP(C437,'Talente &amp; Stuff'!AF:BG,21,FALSE)</f>
        <v>0</v>
      </c>
      <c r="X437" s="127">
        <f>VLOOKUP(C437,'Talente &amp; Stuff'!AF:BG,22,FALSE)</f>
        <v>0</v>
      </c>
      <c r="Y437" s="175">
        <f t="shared" si="36"/>
        <v>0</v>
      </c>
      <c r="Z437" s="198">
        <f t="shared" si="37"/>
        <v>0</v>
      </c>
      <c r="AA437" s="125">
        <f>VLOOKUP(C437,'Talente &amp; Stuff'!AF:BG,25,FALSE)</f>
        <v>0</v>
      </c>
      <c r="AB437" s="160">
        <f>VLOOKUP(C437,'Talente &amp; Stuff'!AF:BG,26,FALSE)</f>
        <v>0</v>
      </c>
      <c r="AC437" s="127">
        <f>VLOOKUP(C437,'Talente &amp; Stuff'!AF:BG,27,FALSE)</f>
        <v>0</v>
      </c>
      <c r="AD437" s="125">
        <f>VLOOKUP(C437,'Talente &amp; Stuff'!AF:BG,28,FALSE)</f>
        <v>0</v>
      </c>
      <c r="AE437" s="28"/>
    </row>
    <row r="438" spans="1:31" ht="15" hidden="1" customHeight="1" outlineLevel="2">
      <c r="B438" s="148">
        <v>5</v>
      </c>
      <c r="C438" s="177" t="str">
        <f>Attribute!C438</f>
        <v>---</v>
      </c>
      <c r="D438" s="125" t="str">
        <f>VLOOKUP(C438,'Talente &amp; Stuff'!AF:BG,2,FALSE)</f>
        <v>--/--/--</v>
      </c>
      <c r="E438" s="47" t="str">
        <f>VLOOKUP(C438,'Talente &amp; Stuff'!AF:BG,3,FALSE)</f>
        <v>-</v>
      </c>
      <c r="F438" s="114">
        <f>VLOOKUP(C438,'Talente &amp; Stuff'!AF:BG,4,FALSE)</f>
        <v>0</v>
      </c>
      <c r="G438" s="113">
        <f>VLOOKUP(C438,'Talente &amp; Stuff'!AF:BG,5,FALSE)</f>
        <v>0</v>
      </c>
      <c r="H438" s="113">
        <f>VLOOKUP(C438,'Talente &amp; Stuff'!AF:BG,6,FALSE)</f>
        <v>0</v>
      </c>
      <c r="I438" s="113">
        <f>VLOOKUP(C438,'Talente &amp; Stuff'!AF:BG,7,FALSE)</f>
        <v>0</v>
      </c>
      <c r="J438" s="113">
        <f>VLOOKUP(C438,'Talente &amp; Stuff'!AF:BG,8,FALSE)</f>
        <v>0</v>
      </c>
      <c r="K438" s="113">
        <f>VLOOKUP(C438,'Talente &amp; Stuff'!AF:BG,9,FALSE)</f>
        <v>0</v>
      </c>
      <c r="L438" s="113">
        <f>VLOOKUP(C438,'Talente &amp; Stuff'!AF:BG,10,FALSE)</f>
        <v>0</v>
      </c>
      <c r="M438" s="119">
        <f>VLOOKUP(C438,'Talente &amp; Stuff'!AF:BG,11,FALSE)</f>
        <v>0</v>
      </c>
      <c r="N438" s="47">
        <f>VLOOKUP(C438,'Talente &amp; Stuff'!AF:BG,12,FALSE)</f>
        <v>0</v>
      </c>
      <c r="O438" s="47">
        <f>VLOOKUP(C438,'Talente &amp; Stuff'!AF:BG,13,FALSE)</f>
        <v>0</v>
      </c>
      <c r="P438" s="113">
        <f>VLOOKUP(C438,'Talente &amp; Stuff'!AF:BG,14,FALSE)</f>
        <v>0</v>
      </c>
      <c r="Q438" s="114">
        <f>VLOOKUP(C438,'Talente &amp; Stuff'!AF:BG,15,FALSE)</f>
        <v>0</v>
      </c>
      <c r="R438" s="113">
        <f>VLOOKUP(C438,'Talente &amp; Stuff'!AF:BG,16,FALSE)</f>
        <v>0</v>
      </c>
      <c r="S438" s="119">
        <f>VLOOKUP(C438,'Talente &amp; Stuff'!AF:BG,17,FALSE)</f>
        <v>0</v>
      </c>
      <c r="T438" s="160">
        <f>VLOOKUP(C438,'Talente &amp; Stuff'!AF:BG,18,FALSE)</f>
        <v>0</v>
      </c>
      <c r="U438" s="89">
        <f>VLOOKUP(C438,'Talente &amp; Stuff'!AF:BG,19,FALSE)</f>
        <v>0</v>
      </c>
      <c r="V438" s="47">
        <f>VLOOKUP(C438,'Talente &amp; Stuff'!AF:BG,20,FALSE)</f>
        <v>0</v>
      </c>
      <c r="W438" s="127">
        <f>VLOOKUP(C438,'Talente &amp; Stuff'!AF:BG,21,FALSE)</f>
        <v>0</v>
      </c>
      <c r="X438" s="127">
        <f>VLOOKUP(C438,'Talente &amp; Stuff'!AF:BG,22,FALSE)</f>
        <v>0</v>
      </c>
      <c r="Y438" s="175">
        <f t="shared" si="36"/>
        <v>0</v>
      </c>
      <c r="Z438" s="198">
        <f t="shared" si="37"/>
        <v>0</v>
      </c>
      <c r="AA438" s="125">
        <f>VLOOKUP(C438,'Talente &amp; Stuff'!AF:BG,25,FALSE)</f>
        <v>0</v>
      </c>
      <c r="AB438" s="160">
        <f>VLOOKUP(C438,'Talente &amp; Stuff'!AF:BG,26,FALSE)</f>
        <v>0</v>
      </c>
      <c r="AC438" s="127">
        <f>VLOOKUP(C438,'Talente &amp; Stuff'!AF:BG,27,FALSE)</f>
        <v>0</v>
      </c>
      <c r="AD438" s="125">
        <f>VLOOKUP(C438,'Talente &amp; Stuff'!AF:BG,28,FALSE)</f>
        <v>0</v>
      </c>
      <c r="AE438" s="28"/>
    </row>
    <row r="439" spans="1:31" ht="15" hidden="1" customHeight="1" outlineLevel="2">
      <c r="B439" s="148">
        <v>6</v>
      </c>
      <c r="C439" s="178" t="str">
        <f>Attribute!C439</f>
        <v>---</v>
      </c>
      <c r="D439" s="159" t="str">
        <f>VLOOKUP(C439,'Talente &amp; Stuff'!AF:BG,2,FALSE)</f>
        <v>--/--/--</v>
      </c>
      <c r="E439" s="88" t="str">
        <f>VLOOKUP(C439,'Talente &amp; Stuff'!AF:BG,3,FALSE)</f>
        <v>-</v>
      </c>
      <c r="F439" s="115">
        <f>VLOOKUP(C439,'Talente &amp; Stuff'!AF:BG,4,FALSE)</f>
        <v>0</v>
      </c>
      <c r="G439" s="122">
        <f>VLOOKUP(C439,'Talente &amp; Stuff'!AF:BG,5,FALSE)</f>
        <v>0</v>
      </c>
      <c r="H439" s="122">
        <f>VLOOKUP(C439,'Talente &amp; Stuff'!AF:BG,6,FALSE)</f>
        <v>0</v>
      </c>
      <c r="I439" s="122">
        <f>VLOOKUP(C439,'Talente &amp; Stuff'!AF:BG,7,FALSE)</f>
        <v>0</v>
      </c>
      <c r="J439" s="122">
        <f>VLOOKUP(C439,'Talente &amp; Stuff'!AF:BG,8,FALSE)</f>
        <v>0</v>
      </c>
      <c r="K439" s="122">
        <f>VLOOKUP(C439,'Talente &amp; Stuff'!AF:BG,9,FALSE)</f>
        <v>0</v>
      </c>
      <c r="L439" s="122">
        <f>VLOOKUP(C439,'Talente &amp; Stuff'!AF:BG,10,FALSE)</f>
        <v>0</v>
      </c>
      <c r="M439" s="123">
        <f>VLOOKUP(C439,'Talente &amp; Stuff'!AF:BG,11,FALSE)</f>
        <v>0</v>
      </c>
      <c r="N439" s="88">
        <f>VLOOKUP(C439,'Talente &amp; Stuff'!AF:BG,12,FALSE)</f>
        <v>0</v>
      </c>
      <c r="O439" s="88">
        <f>VLOOKUP(C439,'Talente &amp; Stuff'!AF:BG,13,FALSE)</f>
        <v>0</v>
      </c>
      <c r="P439" s="122">
        <f>VLOOKUP(C439,'Talente &amp; Stuff'!AF:BG,14,FALSE)</f>
        <v>0</v>
      </c>
      <c r="Q439" s="115">
        <f>VLOOKUP(C439,'Talente &amp; Stuff'!AF:BG,15,FALSE)</f>
        <v>0</v>
      </c>
      <c r="R439" s="122">
        <f>VLOOKUP(C439,'Talente &amp; Stuff'!AF:BG,16,FALSE)</f>
        <v>0</v>
      </c>
      <c r="S439" s="123">
        <f>VLOOKUP(C439,'Talente &amp; Stuff'!AF:BG,17,FALSE)</f>
        <v>0</v>
      </c>
      <c r="T439" s="161">
        <f>VLOOKUP(C439,'Talente &amp; Stuff'!AF:BG,18,FALSE)</f>
        <v>0</v>
      </c>
      <c r="U439" s="90">
        <f>VLOOKUP(C439,'Talente &amp; Stuff'!AF:BG,19,FALSE)</f>
        <v>0</v>
      </c>
      <c r="V439" s="88">
        <f>VLOOKUP(C439,'Talente &amp; Stuff'!AF:BG,20,FALSE)</f>
        <v>0</v>
      </c>
      <c r="W439" s="128">
        <f>VLOOKUP(C439,'Talente &amp; Stuff'!AF:BG,21,FALSE)</f>
        <v>0</v>
      </c>
      <c r="X439" s="128">
        <f>VLOOKUP(C439,'Talente &amp; Stuff'!AF:BG,22,FALSE)</f>
        <v>0</v>
      </c>
      <c r="Y439" s="175">
        <f t="shared" si="36"/>
        <v>0</v>
      </c>
      <c r="Z439" s="198">
        <f t="shared" si="37"/>
        <v>0</v>
      </c>
      <c r="AA439" s="159">
        <f>VLOOKUP(C439,'Talente &amp; Stuff'!AF:BG,25,FALSE)</f>
        <v>0</v>
      </c>
      <c r="AB439" s="161">
        <f>VLOOKUP(C439,'Talente &amp; Stuff'!AF:BG,26,FALSE)</f>
        <v>0</v>
      </c>
      <c r="AC439" s="128">
        <f>VLOOKUP(C439,'Talente &amp; Stuff'!AF:BG,27,FALSE)</f>
        <v>0</v>
      </c>
      <c r="AD439" s="159">
        <f>VLOOKUP(C439,'Talente &amp; Stuff'!AF:BG,28,FALSE)</f>
        <v>0</v>
      </c>
      <c r="AE439" s="28"/>
    </row>
    <row r="440" spans="1:31" ht="15" hidden="1" customHeight="1" outlineLevel="1" collapsed="1">
      <c r="B440" s="134" t="s">
        <v>321</v>
      </c>
      <c r="C440" s="83"/>
      <c r="D440" s="84"/>
      <c r="E440" s="84"/>
      <c r="F440" s="148"/>
      <c r="G440" s="148"/>
      <c r="H440" s="148"/>
      <c r="I440" s="148"/>
      <c r="J440" s="148"/>
      <c r="K440" s="148"/>
      <c r="L440" s="148"/>
      <c r="M440" s="148"/>
      <c r="N440" s="148"/>
      <c r="O440" s="148"/>
      <c r="P440" s="148"/>
      <c r="Q440" s="148"/>
      <c r="R440" s="148"/>
      <c r="S440" s="148"/>
      <c r="T440" s="148"/>
      <c r="U440" s="148"/>
      <c r="V440" s="148"/>
      <c r="W440" s="148"/>
      <c r="X440" s="148"/>
      <c r="AA440" s="148"/>
      <c r="AB440" s="148"/>
      <c r="AC440" s="148"/>
      <c r="AD440" s="148"/>
      <c r="AE440" s="148"/>
    </row>
    <row r="441" spans="1:31" ht="15" hidden="1" customHeight="1" outlineLevel="2">
      <c r="B441" s="148">
        <v>1</v>
      </c>
      <c r="C441" s="176" t="str">
        <f>Attribute!C441</f>
        <v>---</v>
      </c>
      <c r="D441" s="158" t="str">
        <f>VLOOKUP(C441,'Talente &amp; Stuff'!AF:BG,2,FALSE)</f>
        <v>--/--/--</v>
      </c>
      <c r="E441" s="116" t="str">
        <f>VLOOKUP(C441,'Talente &amp; Stuff'!AF:BG,3,FALSE)</f>
        <v>-</v>
      </c>
      <c r="F441" s="191">
        <f>VLOOKUP(C441,'Talente &amp; Stuff'!AF:BG,4,FALSE)</f>
        <v>0</v>
      </c>
      <c r="G441" s="118">
        <f>VLOOKUP(C441,'Talente &amp; Stuff'!AF:BG,5,FALSE)</f>
        <v>0</v>
      </c>
      <c r="H441" s="118">
        <f>VLOOKUP(C441,'Talente &amp; Stuff'!AF:BG,6,FALSE)</f>
        <v>0</v>
      </c>
      <c r="I441" s="118">
        <f>VLOOKUP(C441,'Talente &amp; Stuff'!AF:BG,7,FALSE)</f>
        <v>0</v>
      </c>
      <c r="J441" s="118">
        <f>VLOOKUP(C441,'Talente &amp; Stuff'!AF:BG,8,FALSE)</f>
        <v>0</v>
      </c>
      <c r="K441" s="118">
        <f>VLOOKUP(C441,'Talente &amp; Stuff'!AF:BG,9,FALSE)</f>
        <v>0</v>
      </c>
      <c r="L441" s="118">
        <f>VLOOKUP(C441,'Talente &amp; Stuff'!AF:BG,10,FALSE)</f>
        <v>0</v>
      </c>
      <c r="M441" s="92">
        <f>VLOOKUP(C441,'Talente &amp; Stuff'!AF:BG,11,FALSE)</f>
        <v>0</v>
      </c>
      <c r="N441" s="116">
        <f>VLOOKUP(C441,'Talente &amp; Stuff'!AF:BG,12,FALSE)</f>
        <v>0</v>
      </c>
      <c r="O441" s="116">
        <f>VLOOKUP(C441,'Talente &amp; Stuff'!AF:BG,13,FALSE)</f>
        <v>0</v>
      </c>
      <c r="P441" s="118">
        <f>VLOOKUP(C441,'Talente &amp; Stuff'!AF:BG,14,FALSE)</f>
        <v>0</v>
      </c>
      <c r="Q441" s="191">
        <f>VLOOKUP(C441,'Talente &amp; Stuff'!AF:BG,15,FALSE)</f>
        <v>0</v>
      </c>
      <c r="R441" s="118">
        <f>VLOOKUP(C441,'Talente &amp; Stuff'!AF:BG,16,FALSE)</f>
        <v>0</v>
      </c>
      <c r="S441" s="92">
        <f>VLOOKUP(C441,'Talente &amp; Stuff'!AF:BG,17,FALSE)</f>
        <v>0</v>
      </c>
      <c r="T441" s="91">
        <f>VLOOKUP(C441,'Talente &amp; Stuff'!AF:BG,18,FALSE)</f>
        <v>0</v>
      </c>
      <c r="U441" s="193">
        <f>VLOOKUP(C441,'Talente &amp; Stuff'!AF:BG,19,FALSE)</f>
        <v>0</v>
      </c>
      <c r="V441" s="116">
        <f>VLOOKUP(C441,'Talente &amp; Stuff'!AF:BG,20,FALSE)</f>
        <v>0</v>
      </c>
      <c r="W441" s="126">
        <f>VLOOKUP(C441,'Talente &amp; Stuff'!AF:BG,21,FALSE)</f>
        <v>0</v>
      </c>
      <c r="X441" s="126">
        <f>VLOOKUP(C441,'Talente &amp; Stuff'!AF:BG,22,FALSE)</f>
        <v>0</v>
      </c>
      <c r="Y441" s="165">
        <f>VLOOKUP(C441,Ausgewählte_Liturgien_Rondra,52,FALSE)</f>
        <v>0</v>
      </c>
      <c r="Z441" s="44">
        <f>VLOOKUP(C441,Ausgewählte_Liturgien_Rondra,53,FALSE)</f>
        <v>0</v>
      </c>
      <c r="AA441" s="158">
        <f>VLOOKUP(C441,'Talente &amp; Stuff'!AF:BG,25,FALSE)</f>
        <v>0</v>
      </c>
      <c r="AB441" s="91">
        <f>VLOOKUP(C441,'Talente &amp; Stuff'!AF:BG,26,FALSE)</f>
        <v>0</v>
      </c>
      <c r="AC441" s="126">
        <f>VLOOKUP(C441,'Talente &amp; Stuff'!AF:BG,27,FALSE)</f>
        <v>0</v>
      </c>
      <c r="AD441" s="158">
        <f>VLOOKUP(C441,'Talente &amp; Stuff'!AF:BG,28,FALSE)</f>
        <v>0</v>
      </c>
      <c r="AE441" s="28"/>
    </row>
    <row r="442" spans="1:31" ht="15" hidden="1" customHeight="1" outlineLevel="2">
      <c r="B442" s="148">
        <v>2</v>
      </c>
      <c r="C442" s="177" t="str">
        <f>Attribute!C442</f>
        <v>---</v>
      </c>
      <c r="D442" s="125" t="str">
        <f>VLOOKUP(C442,'Talente &amp; Stuff'!AF:BG,2,FALSE)</f>
        <v>--/--/--</v>
      </c>
      <c r="E442" s="47" t="str">
        <f>VLOOKUP(C442,'Talente &amp; Stuff'!AF:BG,3,FALSE)</f>
        <v>-</v>
      </c>
      <c r="F442" s="114">
        <f>VLOOKUP(C442,'Talente &amp; Stuff'!AF:BG,4,FALSE)</f>
        <v>0</v>
      </c>
      <c r="G442" s="113">
        <f>VLOOKUP(C442,'Talente &amp; Stuff'!AF:BG,5,FALSE)</f>
        <v>0</v>
      </c>
      <c r="H442" s="113">
        <f>VLOOKUP(C442,'Talente &amp; Stuff'!AF:BG,6,FALSE)</f>
        <v>0</v>
      </c>
      <c r="I442" s="113">
        <f>VLOOKUP(C442,'Talente &amp; Stuff'!AF:BG,7,FALSE)</f>
        <v>0</v>
      </c>
      <c r="J442" s="113">
        <f>VLOOKUP(C442,'Talente &amp; Stuff'!AF:BG,8,FALSE)</f>
        <v>0</v>
      </c>
      <c r="K442" s="113">
        <f>VLOOKUP(C442,'Talente &amp; Stuff'!AF:BG,9,FALSE)</f>
        <v>0</v>
      </c>
      <c r="L442" s="113">
        <f>VLOOKUP(C442,'Talente &amp; Stuff'!AF:BG,10,FALSE)</f>
        <v>0</v>
      </c>
      <c r="M442" s="119">
        <f>VLOOKUP(C442,'Talente &amp; Stuff'!AF:BG,11,FALSE)</f>
        <v>0</v>
      </c>
      <c r="N442" s="47">
        <f>VLOOKUP(C442,'Talente &amp; Stuff'!AF:BG,12,FALSE)</f>
        <v>0</v>
      </c>
      <c r="O442" s="47">
        <f>VLOOKUP(C442,'Talente &amp; Stuff'!AF:BG,13,FALSE)</f>
        <v>0</v>
      </c>
      <c r="P442" s="113">
        <f>VLOOKUP(C442,'Talente &amp; Stuff'!AF:BG,14,FALSE)</f>
        <v>0</v>
      </c>
      <c r="Q442" s="114">
        <f>VLOOKUP(C442,'Talente &amp; Stuff'!AF:BG,15,FALSE)</f>
        <v>0</v>
      </c>
      <c r="R442" s="113">
        <f>VLOOKUP(C442,'Talente &amp; Stuff'!AF:BG,16,FALSE)</f>
        <v>0</v>
      </c>
      <c r="S442" s="119">
        <f>VLOOKUP(C442,'Talente &amp; Stuff'!AF:BG,17,FALSE)</f>
        <v>0</v>
      </c>
      <c r="T442" s="160">
        <f>VLOOKUP(C442,'Talente &amp; Stuff'!AF:BG,18,FALSE)</f>
        <v>0</v>
      </c>
      <c r="U442" s="89">
        <f>VLOOKUP(C442,'Talente &amp; Stuff'!AF:BG,19,FALSE)</f>
        <v>0</v>
      </c>
      <c r="V442" s="47">
        <f>VLOOKUP(C442,'Talente &amp; Stuff'!AF:BG,20,FALSE)</f>
        <v>0</v>
      </c>
      <c r="W442" s="127">
        <f>VLOOKUP(C442,'Talente &amp; Stuff'!AF:BG,21,FALSE)</f>
        <v>0</v>
      </c>
      <c r="X442" s="127">
        <f>VLOOKUP(C442,'Talente &amp; Stuff'!AF:BG,22,FALSE)</f>
        <v>0</v>
      </c>
      <c r="Y442" s="165">
        <f>VLOOKUP(C442,Ausgewählte_Liturgien_Rondra,52,FALSE)</f>
        <v>0</v>
      </c>
      <c r="Z442" s="44">
        <f>VLOOKUP(C442,Ausgewählte_Liturgien_Rondra,53,FALSE)</f>
        <v>0</v>
      </c>
      <c r="AA442" s="125">
        <f>VLOOKUP(C442,'Talente &amp; Stuff'!AF:BG,25,FALSE)</f>
        <v>0</v>
      </c>
      <c r="AB442" s="160">
        <f>VLOOKUP(C442,'Talente &amp; Stuff'!AF:BG,26,FALSE)</f>
        <v>0</v>
      </c>
      <c r="AC442" s="127">
        <f>VLOOKUP(C442,'Talente &amp; Stuff'!AF:BG,27,FALSE)</f>
        <v>0</v>
      </c>
      <c r="AD442" s="125">
        <f>VLOOKUP(C442,'Talente &amp; Stuff'!AF:BG,28,FALSE)</f>
        <v>0</v>
      </c>
      <c r="AE442" s="28"/>
    </row>
    <row r="443" spans="1:31" ht="15" hidden="1" customHeight="1" outlineLevel="2">
      <c r="B443" s="137">
        <v>3</v>
      </c>
      <c r="C443" s="177" t="str">
        <f>Attribute!C443</f>
        <v>---</v>
      </c>
      <c r="D443" s="125" t="str">
        <f>VLOOKUP(C443,'Talente &amp; Stuff'!AF:BG,2,FALSE)</f>
        <v>--/--/--</v>
      </c>
      <c r="E443" s="47" t="str">
        <f>VLOOKUP(C443,'Talente &amp; Stuff'!AF:BG,3,FALSE)</f>
        <v>-</v>
      </c>
      <c r="F443" s="114">
        <f>VLOOKUP(C443,'Talente &amp; Stuff'!AF:BG,4,FALSE)</f>
        <v>0</v>
      </c>
      <c r="G443" s="113">
        <f>VLOOKUP(C443,'Talente &amp; Stuff'!AF:BG,5,FALSE)</f>
        <v>0</v>
      </c>
      <c r="H443" s="113">
        <f>VLOOKUP(C443,'Talente &amp; Stuff'!AF:BG,6,FALSE)</f>
        <v>0</v>
      </c>
      <c r="I443" s="113">
        <f>VLOOKUP(C443,'Talente &amp; Stuff'!AF:BG,7,FALSE)</f>
        <v>0</v>
      </c>
      <c r="J443" s="113">
        <f>VLOOKUP(C443,'Talente &amp; Stuff'!AF:BG,8,FALSE)</f>
        <v>0</v>
      </c>
      <c r="K443" s="113">
        <f>VLOOKUP(C443,'Talente &amp; Stuff'!AF:BG,9,FALSE)</f>
        <v>0</v>
      </c>
      <c r="L443" s="113">
        <f>VLOOKUP(C443,'Talente &amp; Stuff'!AF:BG,10,FALSE)</f>
        <v>0</v>
      </c>
      <c r="M443" s="119">
        <f>VLOOKUP(C443,'Talente &amp; Stuff'!AF:BG,11,FALSE)</f>
        <v>0</v>
      </c>
      <c r="N443" s="47">
        <f>VLOOKUP(C443,'Talente &amp; Stuff'!AF:BG,12,FALSE)</f>
        <v>0</v>
      </c>
      <c r="O443" s="47">
        <f>VLOOKUP(C443,'Talente &amp; Stuff'!AF:BG,13,FALSE)</f>
        <v>0</v>
      </c>
      <c r="P443" s="113">
        <f>VLOOKUP(C443,'Talente &amp; Stuff'!AF:BG,14,FALSE)</f>
        <v>0</v>
      </c>
      <c r="Q443" s="114">
        <f>VLOOKUP(C443,'Talente &amp; Stuff'!AF:BG,15,FALSE)</f>
        <v>0</v>
      </c>
      <c r="R443" s="113">
        <f>VLOOKUP(C443,'Talente &amp; Stuff'!AF:BG,16,FALSE)</f>
        <v>0</v>
      </c>
      <c r="S443" s="119">
        <f>VLOOKUP(C443,'Talente &amp; Stuff'!AF:BG,17,FALSE)</f>
        <v>0</v>
      </c>
      <c r="T443" s="160">
        <f>VLOOKUP(C443,'Talente &amp; Stuff'!AF:BG,18,FALSE)</f>
        <v>0</v>
      </c>
      <c r="U443" s="89">
        <f>VLOOKUP(C443,'Talente &amp; Stuff'!AF:BG,19,FALSE)</f>
        <v>0</v>
      </c>
      <c r="V443" s="47">
        <f>VLOOKUP(C443,'Talente &amp; Stuff'!AF:BG,20,FALSE)</f>
        <v>0</v>
      </c>
      <c r="W443" s="127">
        <f>VLOOKUP(C443,'Talente &amp; Stuff'!AF:BG,21,FALSE)</f>
        <v>0</v>
      </c>
      <c r="X443" s="127">
        <f>VLOOKUP(C443,'Talente &amp; Stuff'!AF:BG,22,FALSE)</f>
        <v>0</v>
      </c>
      <c r="Y443" s="165">
        <f>VLOOKUP(C443,Ausgewählte_Liturgien_Rondra,52,FALSE)</f>
        <v>0</v>
      </c>
      <c r="Z443" s="44">
        <f>VLOOKUP(C443,Ausgewählte_Liturgien_Rondra,53,FALSE)</f>
        <v>0</v>
      </c>
      <c r="AA443" s="125">
        <f>VLOOKUP(C443,'Talente &amp; Stuff'!AF:BG,25,FALSE)</f>
        <v>0</v>
      </c>
      <c r="AB443" s="160">
        <f>VLOOKUP(C443,'Talente &amp; Stuff'!AF:BG,26,FALSE)</f>
        <v>0</v>
      </c>
      <c r="AC443" s="127">
        <f>VLOOKUP(C443,'Talente &amp; Stuff'!AF:BG,27,FALSE)</f>
        <v>0</v>
      </c>
      <c r="AD443" s="125">
        <f>VLOOKUP(C443,'Talente &amp; Stuff'!AF:BG,28,FALSE)</f>
        <v>0</v>
      </c>
      <c r="AE443" s="28"/>
    </row>
    <row r="444" spans="1:31" ht="15" hidden="1" customHeight="1" outlineLevel="2">
      <c r="B444" s="148">
        <v>4</v>
      </c>
      <c r="C444" s="178" t="str">
        <f>Attribute!C444</f>
        <v>---</v>
      </c>
      <c r="D444" s="159" t="str">
        <f>VLOOKUP(C444,'Talente &amp; Stuff'!AF:BG,2,FALSE)</f>
        <v>--/--/--</v>
      </c>
      <c r="E444" s="88" t="str">
        <f>VLOOKUP(C444,'Talente &amp; Stuff'!AF:BG,3,FALSE)</f>
        <v>-</v>
      </c>
      <c r="F444" s="115">
        <f>VLOOKUP(C444,'Talente &amp; Stuff'!AF:BG,4,FALSE)</f>
        <v>0</v>
      </c>
      <c r="G444" s="122">
        <f>VLOOKUP(C444,'Talente &amp; Stuff'!AF:BG,5,FALSE)</f>
        <v>0</v>
      </c>
      <c r="H444" s="122">
        <f>VLOOKUP(C444,'Talente &amp; Stuff'!AF:BG,6,FALSE)</f>
        <v>0</v>
      </c>
      <c r="I444" s="122">
        <f>VLOOKUP(C444,'Talente &amp; Stuff'!AF:BG,7,FALSE)</f>
        <v>0</v>
      </c>
      <c r="J444" s="122">
        <f>VLOOKUP(C444,'Talente &amp; Stuff'!AF:BG,8,FALSE)</f>
        <v>0</v>
      </c>
      <c r="K444" s="122">
        <f>VLOOKUP(C444,'Talente &amp; Stuff'!AF:BG,9,FALSE)</f>
        <v>0</v>
      </c>
      <c r="L444" s="122">
        <f>VLOOKUP(C444,'Talente &amp; Stuff'!AF:BG,10,FALSE)</f>
        <v>0</v>
      </c>
      <c r="M444" s="123">
        <f>VLOOKUP(C444,'Talente &amp; Stuff'!AF:BG,11,FALSE)</f>
        <v>0</v>
      </c>
      <c r="N444" s="88">
        <f>VLOOKUP(C444,'Talente &amp; Stuff'!AF:BG,12,FALSE)</f>
        <v>0</v>
      </c>
      <c r="O444" s="88">
        <f>VLOOKUP(C444,'Talente &amp; Stuff'!AF:BG,13,FALSE)</f>
        <v>0</v>
      </c>
      <c r="P444" s="122">
        <f>VLOOKUP(C444,'Talente &amp; Stuff'!AF:BG,14,FALSE)</f>
        <v>0</v>
      </c>
      <c r="Q444" s="115">
        <f>VLOOKUP(C444,'Talente &amp; Stuff'!AF:BG,15,FALSE)</f>
        <v>0</v>
      </c>
      <c r="R444" s="122">
        <f>VLOOKUP(C444,'Talente &amp; Stuff'!AF:BG,16,FALSE)</f>
        <v>0</v>
      </c>
      <c r="S444" s="123">
        <f>VLOOKUP(C444,'Talente &amp; Stuff'!AF:BG,17,FALSE)</f>
        <v>0</v>
      </c>
      <c r="T444" s="161">
        <f>VLOOKUP(C444,'Talente &amp; Stuff'!AF:BG,18,FALSE)</f>
        <v>0</v>
      </c>
      <c r="U444" s="90">
        <f>VLOOKUP(C444,'Talente &amp; Stuff'!AF:BG,19,FALSE)</f>
        <v>0</v>
      </c>
      <c r="V444" s="88">
        <f>VLOOKUP(C444,'Talente &amp; Stuff'!AF:BG,20,FALSE)</f>
        <v>0</v>
      </c>
      <c r="W444" s="128">
        <f>VLOOKUP(C444,'Talente &amp; Stuff'!AF:BG,21,FALSE)</f>
        <v>0</v>
      </c>
      <c r="X444" s="128">
        <f>VLOOKUP(C444,'Talente &amp; Stuff'!AF:BG,22,FALSE)</f>
        <v>0</v>
      </c>
      <c r="Y444" s="165">
        <f>VLOOKUP(C444,Ausgewählte_Liturgien_Rondra,52,FALSE)</f>
        <v>0</v>
      </c>
      <c r="Z444" s="44">
        <f>VLOOKUP(C444,Ausgewählte_Liturgien_Rondra,53,FALSE)</f>
        <v>0</v>
      </c>
      <c r="AA444" s="159">
        <f>VLOOKUP(C444,'Talente &amp; Stuff'!AF:BG,25,FALSE)</f>
        <v>0</v>
      </c>
      <c r="AB444" s="161">
        <f>VLOOKUP(C444,'Talente &amp; Stuff'!AF:BG,26,FALSE)</f>
        <v>0</v>
      </c>
      <c r="AC444" s="128">
        <f>VLOOKUP(C444,'Talente &amp; Stuff'!AF:BG,27,FALSE)</f>
        <v>0</v>
      </c>
      <c r="AD444" s="159">
        <f>VLOOKUP(C444,'Talente &amp; Stuff'!AF:BG,28,FALSE)</f>
        <v>0</v>
      </c>
      <c r="AE444" s="28"/>
    </row>
    <row r="445" spans="1:31" ht="15.75" hidden="1" customHeight="1" outlineLevel="1" collapsed="1" thickBot="1">
      <c r="D445" s="148"/>
      <c r="E445" s="148"/>
      <c r="F445" s="148"/>
      <c r="G445" s="148"/>
      <c r="H445" s="148"/>
      <c r="I445" s="148"/>
      <c r="J445" s="148"/>
      <c r="K445" s="148"/>
      <c r="L445" s="148"/>
      <c r="M445" s="148"/>
      <c r="N445" s="148"/>
      <c r="O445" s="148"/>
      <c r="P445" s="148"/>
      <c r="Q445" s="148"/>
      <c r="R445" s="148"/>
      <c r="S445" s="148"/>
      <c r="T445" s="148"/>
      <c r="U445" s="148"/>
      <c r="V445" s="148"/>
      <c r="W445" s="148"/>
      <c r="X445" s="148"/>
      <c r="AA445" s="148"/>
      <c r="AB445" s="148"/>
      <c r="AC445" s="148"/>
      <c r="AD445" s="148"/>
      <c r="AE445" s="148"/>
    </row>
    <row r="446" spans="1:31" ht="15.75" collapsed="1" thickBot="1">
      <c r="A446" s="135" t="s">
        <v>269</v>
      </c>
      <c r="D446" s="148"/>
      <c r="E446" s="148"/>
      <c r="F446" s="148"/>
      <c r="G446" s="148"/>
      <c r="H446" s="148"/>
      <c r="I446" s="148"/>
      <c r="J446" s="148"/>
      <c r="K446" s="148"/>
      <c r="L446" s="148"/>
      <c r="M446" s="148"/>
      <c r="N446" s="148"/>
      <c r="O446" s="148"/>
      <c r="P446" s="148"/>
      <c r="Q446" s="148"/>
      <c r="R446" s="148"/>
      <c r="S446" s="148"/>
      <c r="T446" s="148"/>
      <c r="U446" s="148"/>
      <c r="V446" s="148"/>
      <c r="W446" s="148"/>
      <c r="X446" s="140"/>
      <c r="AA446" s="148"/>
      <c r="AB446" s="148"/>
      <c r="AC446" s="148"/>
      <c r="AD446" s="148"/>
      <c r="AE446" s="148"/>
    </row>
    <row r="447" spans="1:31" ht="15" hidden="1" customHeight="1" outlineLevel="1">
      <c r="B447" s="134" t="s">
        <v>327</v>
      </c>
      <c r="D447" s="148"/>
      <c r="E447" s="148"/>
      <c r="F447" s="148"/>
      <c r="G447" s="148"/>
      <c r="H447" s="148"/>
      <c r="I447" s="148"/>
      <c r="J447" s="148"/>
      <c r="K447" s="148"/>
      <c r="L447" s="148"/>
      <c r="M447" s="148"/>
      <c r="N447" s="148"/>
      <c r="O447" s="148"/>
      <c r="P447" s="148"/>
      <c r="Q447" s="148"/>
      <c r="R447" s="148"/>
      <c r="S447" s="148"/>
      <c r="T447" s="148"/>
      <c r="U447" s="148"/>
      <c r="V447" s="148"/>
      <c r="W447" s="148"/>
      <c r="X447" s="148"/>
      <c r="AA447" s="148"/>
      <c r="AB447" s="148"/>
      <c r="AC447" s="148"/>
      <c r="AD447" s="148"/>
      <c r="AE447" s="148"/>
    </row>
    <row r="448" spans="1:31" ht="15" hidden="1" customHeight="1" outlineLevel="2">
      <c r="B448" s="148">
        <v>1</v>
      </c>
      <c r="C448" s="176" t="str">
        <f>Attribute!C448</f>
        <v>---</v>
      </c>
      <c r="D448" s="158" t="str">
        <f>VLOOKUP(C448,'Talente &amp; Stuff'!AF:BG,2,FALSE)</f>
        <v>--/--/--</v>
      </c>
      <c r="E448" s="126" t="str">
        <f>VLOOKUP(C448,'Talente &amp; Stuff'!AF:BG,3,FALSE)</f>
        <v>-</v>
      </c>
      <c r="F448" s="191">
        <f>VLOOKUP(C448,'Talente &amp; Stuff'!AF:BG,4,FALSE)</f>
        <v>0</v>
      </c>
      <c r="G448" s="118">
        <f>VLOOKUP(C448,'Talente &amp; Stuff'!AF:BG,5,FALSE)</f>
        <v>0</v>
      </c>
      <c r="H448" s="118">
        <f>VLOOKUP(C448,'Talente &amp; Stuff'!AF:BG,6,FALSE)</f>
        <v>0</v>
      </c>
      <c r="I448" s="118">
        <f>VLOOKUP(C448,'Talente &amp; Stuff'!AF:BG,7,FALSE)</f>
        <v>0</v>
      </c>
      <c r="J448" s="118">
        <f>VLOOKUP(C448,'Talente &amp; Stuff'!AF:BG,8,FALSE)</f>
        <v>0</v>
      </c>
      <c r="K448" s="118">
        <f>VLOOKUP(C448,'Talente &amp; Stuff'!AF:BG,9,FALSE)</f>
        <v>0</v>
      </c>
      <c r="L448" s="118">
        <f>VLOOKUP(C448,'Talente &amp; Stuff'!AF:BG,10,FALSE)</f>
        <v>0</v>
      </c>
      <c r="M448" s="92">
        <f>VLOOKUP(C448,'Talente &amp; Stuff'!AF:BG,11,FALSE)</f>
        <v>0</v>
      </c>
      <c r="N448" s="116">
        <f>VLOOKUP(C448,'Talente &amp; Stuff'!AF:BG,12,FALSE)</f>
        <v>0</v>
      </c>
      <c r="O448" s="116">
        <f>VLOOKUP(C448,'Talente &amp; Stuff'!AF:BG,13,FALSE)</f>
        <v>0</v>
      </c>
      <c r="P448" s="92">
        <f>VLOOKUP(C448,'Talente &amp; Stuff'!AF:BG,14,FALSE)</f>
        <v>0</v>
      </c>
      <c r="Q448" s="191">
        <f>VLOOKUP(C448,'Talente &amp; Stuff'!AF:BG,15,FALSE)</f>
        <v>0</v>
      </c>
      <c r="R448" s="118">
        <f>VLOOKUP(C448,'Talente &amp; Stuff'!AF:BG,16,FALSE)</f>
        <v>0</v>
      </c>
      <c r="S448" s="92">
        <f>VLOOKUP(C448,'Talente &amp; Stuff'!AF:BG,17,FALSE)</f>
        <v>0</v>
      </c>
      <c r="T448" s="92">
        <f>VLOOKUP(C448,'Talente &amp; Stuff'!AF:BG,18,FALSE)</f>
        <v>0</v>
      </c>
      <c r="U448" s="193">
        <f>VLOOKUP(C448,'Talente &amp; Stuff'!AF:BG,19,FALSE)</f>
        <v>0</v>
      </c>
      <c r="V448" s="116">
        <f>VLOOKUP(C448,'Talente &amp; Stuff'!AF:BG,20,FALSE)</f>
        <v>0</v>
      </c>
      <c r="W448" s="126">
        <f>VLOOKUP(C448,'Talente &amp; Stuff'!AF:BG,21,FALSE)</f>
        <v>0</v>
      </c>
      <c r="X448" s="126">
        <f>VLOOKUP(C448,'Talente &amp; Stuff'!AF:BG,22,FALSE)</f>
        <v>0</v>
      </c>
      <c r="Y448" s="165">
        <f>VLOOKUP(C448,Ausgewählte_Zeremonien_Allgemein,52,FALSE)</f>
        <v>0</v>
      </c>
      <c r="Z448" s="44">
        <f>VLOOKUP(C448,Ausgewählte_Zeremonien_Allgemein,53,FALSE)</f>
        <v>0</v>
      </c>
      <c r="AA448" s="158">
        <f>VLOOKUP(C448,'Talente &amp; Stuff'!AF:BG,25,FALSE)</f>
        <v>0</v>
      </c>
      <c r="AB448" s="91">
        <f>VLOOKUP(C448,'Talente &amp; Stuff'!AF:BG,26,FALSE)</f>
        <v>0</v>
      </c>
      <c r="AC448" s="126">
        <f>VLOOKUP(C448,'Talente &amp; Stuff'!AF:BG,27,FALSE)</f>
        <v>0</v>
      </c>
      <c r="AD448" s="158">
        <f>VLOOKUP(C448,'Talente &amp; Stuff'!AF:BG,28,FALSE)</f>
        <v>0</v>
      </c>
      <c r="AE448" s="28"/>
    </row>
    <row r="449" spans="2:31" ht="15" hidden="1" customHeight="1" outlineLevel="2">
      <c r="B449" s="148">
        <v>2</v>
      </c>
      <c r="C449" s="178" t="str">
        <f>Attribute!C449</f>
        <v>---</v>
      </c>
      <c r="D449" s="159" t="str">
        <f>VLOOKUP(C449,'Talente &amp; Stuff'!AF:BG,2,FALSE)</f>
        <v>--/--/--</v>
      </c>
      <c r="E449" s="128" t="str">
        <f>VLOOKUP(C449,'Talente &amp; Stuff'!AF:BG,3,FALSE)</f>
        <v>-</v>
      </c>
      <c r="F449" s="115">
        <f>VLOOKUP(C449,'Talente &amp; Stuff'!AF:BG,4,FALSE)</f>
        <v>0</v>
      </c>
      <c r="G449" s="122">
        <f>VLOOKUP(C449,'Talente &amp; Stuff'!AF:BG,5,FALSE)</f>
        <v>0</v>
      </c>
      <c r="H449" s="122">
        <f>VLOOKUP(C449,'Talente &amp; Stuff'!AF:BG,6,FALSE)</f>
        <v>0</v>
      </c>
      <c r="I449" s="122">
        <f>VLOOKUP(C449,'Talente &amp; Stuff'!AF:BG,7,FALSE)</f>
        <v>0</v>
      </c>
      <c r="J449" s="122">
        <f>VLOOKUP(C449,'Talente &amp; Stuff'!AF:BG,8,FALSE)</f>
        <v>0</v>
      </c>
      <c r="K449" s="122">
        <f>VLOOKUP(C449,'Talente &amp; Stuff'!AF:BG,9,FALSE)</f>
        <v>0</v>
      </c>
      <c r="L449" s="122">
        <f>VLOOKUP(C449,'Talente &amp; Stuff'!AF:BG,10,FALSE)</f>
        <v>0</v>
      </c>
      <c r="M449" s="123">
        <f>VLOOKUP(C449,'Talente &amp; Stuff'!AF:BG,11,FALSE)</f>
        <v>0</v>
      </c>
      <c r="N449" s="88">
        <f>VLOOKUP(C449,'Talente &amp; Stuff'!AF:BG,12,FALSE)</f>
        <v>0</v>
      </c>
      <c r="O449" s="88">
        <f>VLOOKUP(C449,'Talente &amp; Stuff'!AF:BG,13,FALSE)</f>
        <v>0</v>
      </c>
      <c r="P449" s="123">
        <f>VLOOKUP(C449,'Talente &amp; Stuff'!AF:BG,14,FALSE)</f>
        <v>0</v>
      </c>
      <c r="Q449" s="115">
        <f>VLOOKUP(C449,'Talente &amp; Stuff'!AF:BG,15,FALSE)</f>
        <v>0</v>
      </c>
      <c r="R449" s="122">
        <f>VLOOKUP(C449,'Talente &amp; Stuff'!AF:BG,16,FALSE)</f>
        <v>0</v>
      </c>
      <c r="S449" s="123">
        <f>VLOOKUP(C449,'Talente &amp; Stuff'!AF:BG,17,FALSE)</f>
        <v>0</v>
      </c>
      <c r="T449" s="123">
        <f>VLOOKUP(C449,'Talente &amp; Stuff'!AF:BG,18,FALSE)</f>
        <v>0</v>
      </c>
      <c r="U449" s="90">
        <f>VLOOKUP(C449,'Talente &amp; Stuff'!AF:BG,19,FALSE)</f>
        <v>0</v>
      </c>
      <c r="V449" s="88">
        <f>VLOOKUP(C449,'Talente &amp; Stuff'!AF:BG,20,FALSE)</f>
        <v>0</v>
      </c>
      <c r="W449" s="128">
        <f>VLOOKUP(C449,'Talente &amp; Stuff'!AF:BG,21,FALSE)</f>
        <v>0</v>
      </c>
      <c r="X449" s="128">
        <f>VLOOKUP(C449,'Talente &amp; Stuff'!AF:BG,22,FALSE)</f>
        <v>0</v>
      </c>
      <c r="Y449" s="165">
        <f>VLOOKUP(C449,Ausgewählte_Zeremonien_Allgemein,52,FALSE)</f>
        <v>0</v>
      </c>
      <c r="Z449" s="44">
        <f>VLOOKUP(C449,Ausgewählte_Zeremonien_Allgemein,53,FALSE)</f>
        <v>0</v>
      </c>
      <c r="AA449" s="159">
        <f>VLOOKUP(C449,'Talente &amp; Stuff'!AF:BG,25,FALSE)</f>
        <v>0</v>
      </c>
      <c r="AB449" s="161">
        <f>VLOOKUP(C449,'Talente &amp; Stuff'!AF:BG,26,FALSE)</f>
        <v>0</v>
      </c>
      <c r="AC449" s="128">
        <f>VLOOKUP(C449,'Talente &amp; Stuff'!AF:BG,27,FALSE)</f>
        <v>0</v>
      </c>
      <c r="AD449" s="159">
        <f>VLOOKUP(C449,'Talente &amp; Stuff'!AF:BG,28,FALSE)</f>
        <v>0</v>
      </c>
      <c r="AE449" s="28"/>
    </row>
    <row r="450" spans="2:31" ht="15" hidden="1" customHeight="1" outlineLevel="1" collapsed="1">
      <c r="B450" s="134" t="s">
        <v>326</v>
      </c>
      <c r="C450" s="83"/>
      <c r="D450" s="84"/>
      <c r="E450" s="84"/>
      <c r="F450" s="148"/>
      <c r="G450" s="148"/>
      <c r="H450" s="148"/>
      <c r="I450" s="148"/>
      <c r="J450" s="148"/>
      <c r="K450" s="148"/>
      <c r="L450" s="148"/>
      <c r="M450" s="148"/>
      <c r="N450" s="148"/>
      <c r="O450" s="148"/>
      <c r="P450" s="148"/>
      <c r="Q450" s="148"/>
      <c r="R450" s="148"/>
      <c r="S450" s="148"/>
      <c r="T450" s="148"/>
      <c r="U450" s="148"/>
      <c r="V450" s="148"/>
      <c r="W450" s="148"/>
      <c r="X450" s="148"/>
      <c r="AA450" s="148"/>
      <c r="AB450" s="148"/>
      <c r="AC450" s="148"/>
      <c r="AD450" s="148"/>
      <c r="AE450" s="148"/>
    </row>
    <row r="451" spans="2:31" ht="15" hidden="1" customHeight="1" outlineLevel="2">
      <c r="B451" s="148">
        <v>0</v>
      </c>
      <c r="C451" s="134"/>
      <c r="D451" s="40"/>
      <c r="E451" s="182"/>
      <c r="F451" s="17"/>
      <c r="G451" s="183"/>
      <c r="H451" s="183"/>
      <c r="I451" s="183"/>
      <c r="J451" s="183"/>
      <c r="K451" s="183"/>
      <c r="L451" s="183"/>
      <c r="M451" s="180"/>
      <c r="N451" s="179"/>
      <c r="O451" s="179"/>
      <c r="P451" s="180"/>
      <c r="Q451" s="17"/>
      <c r="R451" s="183"/>
      <c r="S451" s="180"/>
      <c r="T451" s="180"/>
      <c r="U451" s="166"/>
      <c r="V451" s="179"/>
      <c r="W451" s="182"/>
      <c r="X451" s="182"/>
      <c r="Y451" s="134"/>
      <c r="Z451" s="44"/>
      <c r="AA451" s="40"/>
      <c r="AB451" s="189"/>
      <c r="AC451" s="182"/>
      <c r="AD451" s="40"/>
      <c r="AE451" s="148"/>
    </row>
    <row r="452" spans="2:31" ht="15" hidden="1" customHeight="1" outlineLevel="1" collapsed="1">
      <c r="B452" s="134" t="s">
        <v>325</v>
      </c>
      <c r="C452" s="83"/>
      <c r="D452" s="84"/>
      <c r="E452" s="84"/>
      <c r="F452" s="148"/>
      <c r="G452" s="148"/>
      <c r="H452" s="148"/>
      <c r="I452" s="148"/>
      <c r="J452" s="148"/>
      <c r="K452" s="148"/>
      <c r="L452" s="148"/>
      <c r="M452" s="148"/>
      <c r="N452" s="148"/>
      <c r="O452" s="148"/>
      <c r="P452" s="148"/>
      <c r="Q452" s="148"/>
      <c r="R452" s="148"/>
      <c r="S452" s="148"/>
      <c r="T452" s="148"/>
      <c r="U452" s="148"/>
      <c r="V452" s="148"/>
      <c r="W452" s="148"/>
      <c r="X452" s="148"/>
      <c r="AA452" s="148"/>
      <c r="AB452" s="148"/>
      <c r="AC452" s="148"/>
      <c r="AD452" s="148"/>
      <c r="AE452" s="148"/>
    </row>
    <row r="453" spans="2:31" ht="15" hidden="1" customHeight="1" outlineLevel="2">
      <c r="B453" s="148">
        <v>0</v>
      </c>
      <c r="C453" s="134"/>
      <c r="D453" s="40"/>
      <c r="E453" s="182"/>
      <c r="F453" s="17"/>
      <c r="G453" s="183"/>
      <c r="H453" s="183"/>
      <c r="I453" s="183"/>
      <c r="J453" s="183"/>
      <c r="K453" s="183"/>
      <c r="L453" s="183"/>
      <c r="M453" s="180"/>
      <c r="N453" s="179"/>
      <c r="O453" s="179"/>
      <c r="P453" s="180"/>
      <c r="Q453" s="17"/>
      <c r="R453" s="183"/>
      <c r="S453" s="180"/>
      <c r="T453" s="180"/>
      <c r="U453" s="166"/>
      <c r="V453" s="179"/>
      <c r="W453" s="182"/>
      <c r="X453" s="182"/>
      <c r="Y453" s="134"/>
      <c r="Z453" s="44"/>
      <c r="AA453" s="40"/>
      <c r="AB453" s="189"/>
      <c r="AC453" s="182"/>
      <c r="AD453" s="40"/>
      <c r="AE453" s="148"/>
    </row>
    <row r="454" spans="2:31" ht="15" hidden="1" customHeight="1" outlineLevel="1" collapsed="1">
      <c r="B454" s="134" t="s">
        <v>324</v>
      </c>
      <c r="C454" s="83"/>
      <c r="D454" s="84"/>
      <c r="E454" s="84"/>
      <c r="F454" s="148"/>
      <c r="G454" s="148"/>
      <c r="H454" s="148"/>
      <c r="I454" s="148"/>
      <c r="J454" s="148"/>
      <c r="K454" s="148"/>
      <c r="L454" s="148"/>
      <c r="M454" s="148"/>
      <c r="N454" s="148"/>
      <c r="O454" s="148"/>
      <c r="P454" s="148"/>
      <c r="Q454" s="148"/>
      <c r="R454" s="148"/>
      <c r="S454" s="148"/>
      <c r="T454" s="148"/>
      <c r="U454" s="148"/>
      <c r="V454" s="148"/>
      <c r="W454" s="148"/>
      <c r="X454" s="148"/>
      <c r="AA454" s="148"/>
      <c r="AB454" s="148"/>
      <c r="AC454" s="148"/>
      <c r="AD454" s="148"/>
      <c r="AE454" s="148"/>
    </row>
    <row r="455" spans="2:31" ht="15" hidden="1" customHeight="1" outlineLevel="2">
      <c r="B455" s="148">
        <v>1</v>
      </c>
      <c r="C455" s="200" t="str">
        <f>Attribute!C455</f>
        <v>---</v>
      </c>
      <c r="D455" s="40" t="str">
        <f>VLOOKUP(C455,'Talente &amp; Stuff'!AF:BG,2,FALSE)</f>
        <v>--/--/--</v>
      </c>
      <c r="E455" s="182" t="str">
        <f>VLOOKUP(C455,'Talente &amp; Stuff'!AF:BG,3,FALSE)</f>
        <v>-</v>
      </c>
      <c r="F455" s="17">
        <f>VLOOKUP(C455,'Talente &amp; Stuff'!AF:BG,4,FALSE)</f>
        <v>0</v>
      </c>
      <c r="G455" s="183">
        <f>VLOOKUP(C455,'Talente &amp; Stuff'!AF:BG,5,FALSE)</f>
        <v>0</v>
      </c>
      <c r="H455" s="183">
        <f>VLOOKUP(C455,'Talente &amp; Stuff'!AF:BG,6,FALSE)</f>
        <v>0</v>
      </c>
      <c r="I455" s="183">
        <f>VLOOKUP(C455,'Talente &amp; Stuff'!AF:BG,7,FALSE)</f>
        <v>0</v>
      </c>
      <c r="J455" s="183">
        <f>VLOOKUP(C455,'Talente &amp; Stuff'!AF:BG,8,FALSE)</f>
        <v>0</v>
      </c>
      <c r="K455" s="183">
        <f>VLOOKUP(C455,'Talente &amp; Stuff'!AF:BG,9,FALSE)</f>
        <v>0</v>
      </c>
      <c r="L455" s="183">
        <f>VLOOKUP(C455,'Talente &amp; Stuff'!AF:BG,10,FALSE)</f>
        <v>0</v>
      </c>
      <c r="M455" s="180">
        <f>VLOOKUP(C455,'Talente &amp; Stuff'!AF:BG,11,FALSE)</f>
        <v>0</v>
      </c>
      <c r="N455" s="179">
        <f>VLOOKUP(C455,'Talente &amp; Stuff'!AF:BG,12,FALSE)</f>
        <v>0</v>
      </c>
      <c r="O455" s="179">
        <f>VLOOKUP(C455,'Talente &amp; Stuff'!AF:BG,13,FALSE)</f>
        <v>0</v>
      </c>
      <c r="P455" s="180">
        <f>VLOOKUP(C455,'Talente &amp; Stuff'!AF:BG,14,FALSE)</f>
        <v>0</v>
      </c>
      <c r="Q455" s="17">
        <f>VLOOKUP(C455,'Talente &amp; Stuff'!AF:BG,15,FALSE)</f>
        <v>0</v>
      </c>
      <c r="R455" s="183">
        <f>VLOOKUP(C455,'Talente &amp; Stuff'!AF:BG,16,FALSE)</f>
        <v>0</v>
      </c>
      <c r="S455" s="180">
        <f>VLOOKUP(C455,'Talente &amp; Stuff'!AF:BG,17,FALSE)</f>
        <v>0</v>
      </c>
      <c r="T455" s="180">
        <f>VLOOKUP(C455,'Talente &amp; Stuff'!AF:BG,18,FALSE)</f>
        <v>0</v>
      </c>
      <c r="U455" s="166">
        <f>VLOOKUP(C455,'Talente &amp; Stuff'!AF:BG,19,FALSE)</f>
        <v>0</v>
      </c>
      <c r="V455" s="179">
        <f>VLOOKUP(C455,'Talente &amp; Stuff'!AF:BG,20,FALSE)</f>
        <v>0</v>
      </c>
      <c r="W455" s="182">
        <f>VLOOKUP(C455,'Talente &amp; Stuff'!AF:BG,21,FALSE)</f>
        <v>0</v>
      </c>
      <c r="X455" s="182">
        <f>VLOOKUP(C455,'Talente &amp; Stuff'!AF:BG,22,FALSE)</f>
        <v>0</v>
      </c>
      <c r="Y455" s="165">
        <f>VLOOKUP(C455,Ausgewählte_Zeremonien_Peraine,52,FALSE)</f>
        <v>0</v>
      </c>
      <c r="Z455" s="44">
        <f>VLOOKUP(C455,Ausgewählte_Zeremonien_Peraine,53,FALSE)</f>
        <v>0</v>
      </c>
      <c r="AA455" s="40">
        <f>VLOOKUP(C455,'Talente &amp; Stuff'!AF:BG,25,FALSE)</f>
        <v>0</v>
      </c>
      <c r="AB455" s="189">
        <f>VLOOKUP(C455,'Talente &amp; Stuff'!AF:BG,26,FALSE)</f>
        <v>0</v>
      </c>
      <c r="AC455" s="182">
        <f>VLOOKUP(C455,'Talente &amp; Stuff'!AF:BG,27,FALSE)</f>
        <v>0</v>
      </c>
      <c r="AD455" s="40">
        <f>VLOOKUP(C455,'Talente &amp; Stuff'!AF:BG,28,FALSE)</f>
        <v>0</v>
      </c>
      <c r="AE455" s="28"/>
    </row>
    <row r="456" spans="2:31" ht="15" hidden="1" customHeight="1" outlineLevel="1" collapsed="1">
      <c r="B456" s="134" t="s">
        <v>323</v>
      </c>
      <c r="C456" s="83"/>
      <c r="D456" s="84"/>
      <c r="E456" s="84"/>
      <c r="F456" s="148"/>
      <c r="G456" s="148"/>
      <c r="H456" s="148"/>
      <c r="I456" s="148"/>
      <c r="J456" s="148"/>
      <c r="K456" s="148"/>
      <c r="L456" s="148"/>
      <c r="M456" s="148"/>
      <c r="N456" s="148"/>
      <c r="O456" s="148"/>
      <c r="P456" s="148"/>
      <c r="Q456" s="148"/>
      <c r="R456" s="148"/>
      <c r="S456" s="148"/>
      <c r="T456" s="148"/>
      <c r="U456" s="148"/>
      <c r="V456" s="148"/>
      <c r="W456" s="148"/>
      <c r="X456" s="148"/>
      <c r="AA456" s="148"/>
      <c r="AB456" s="148"/>
      <c r="AC456" s="148"/>
      <c r="AD456" s="148"/>
      <c r="AE456" s="148"/>
    </row>
    <row r="457" spans="2:31" ht="15" hidden="1" customHeight="1" outlineLevel="2">
      <c r="B457" s="148">
        <v>1</v>
      </c>
      <c r="C457" s="200" t="str">
        <f>Attribute!C457</f>
        <v>---</v>
      </c>
      <c r="D457" s="40" t="str">
        <f>VLOOKUP(C457,'Talente &amp; Stuff'!AF:BG,2,FALSE)</f>
        <v>--/--/--</v>
      </c>
      <c r="E457" s="182" t="str">
        <f>VLOOKUP(C457,'Talente &amp; Stuff'!AF:BG,3,FALSE)</f>
        <v>-</v>
      </c>
      <c r="F457" s="17">
        <f>VLOOKUP(C457,'Talente &amp; Stuff'!AF:BG,4,FALSE)</f>
        <v>0</v>
      </c>
      <c r="G457" s="183">
        <f>VLOOKUP(C457,'Talente &amp; Stuff'!AF:BG,5,FALSE)</f>
        <v>0</v>
      </c>
      <c r="H457" s="183">
        <f>VLOOKUP(C457,'Talente &amp; Stuff'!AF:BG,6,FALSE)</f>
        <v>0</v>
      </c>
      <c r="I457" s="183">
        <f>VLOOKUP(C457,'Talente &amp; Stuff'!AF:BG,7,FALSE)</f>
        <v>0</v>
      </c>
      <c r="J457" s="183">
        <f>VLOOKUP(C457,'Talente &amp; Stuff'!AF:BG,8,FALSE)</f>
        <v>0</v>
      </c>
      <c r="K457" s="183">
        <f>VLOOKUP(C457,'Talente &amp; Stuff'!AF:BG,9,FALSE)</f>
        <v>0</v>
      </c>
      <c r="L457" s="183">
        <f>VLOOKUP(C457,'Talente &amp; Stuff'!AF:BG,10,FALSE)</f>
        <v>0</v>
      </c>
      <c r="M457" s="180">
        <f>VLOOKUP(C457,'Talente &amp; Stuff'!AF:BG,11,FALSE)</f>
        <v>0</v>
      </c>
      <c r="N457" s="179">
        <f>VLOOKUP(C457,'Talente &amp; Stuff'!AF:BG,12,FALSE)</f>
        <v>0</v>
      </c>
      <c r="O457" s="179">
        <f>VLOOKUP(C457,'Talente &amp; Stuff'!AF:BG,13,FALSE)</f>
        <v>0</v>
      </c>
      <c r="P457" s="180">
        <f>VLOOKUP(C457,'Talente &amp; Stuff'!AF:BG,14,FALSE)</f>
        <v>0</v>
      </c>
      <c r="Q457" s="17">
        <f>VLOOKUP(C457,'Talente &amp; Stuff'!AF:BG,15,FALSE)</f>
        <v>0</v>
      </c>
      <c r="R457" s="183">
        <f>VLOOKUP(C457,'Talente &amp; Stuff'!AF:BG,16,FALSE)</f>
        <v>0</v>
      </c>
      <c r="S457" s="180">
        <f>VLOOKUP(C457,'Talente &amp; Stuff'!AF:BG,17,FALSE)</f>
        <v>0</v>
      </c>
      <c r="T457" s="180">
        <f>VLOOKUP(C457,'Talente &amp; Stuff'!AF:BG,18,FALSE)</f>
        <v>0</v>
      </c>
      <c r="U457" s="166">
        <f>VLOOKUP(C457,'Talente &amp; Stuff'!AF:BG,19,FALSE)</f>
        <v>0</v>
      </c>
      <c r="V457" s="179">
        <f>VLOOKUP(C457,'Talente &amp; Stuff'!AF:BG,20,FALSE)</f>
        <v>0</v>
      </c>
      <c r="W457" s="182">
        <f>VLOOKUP(C457,'Talente &amp; Stuff'!AF:BG,21,FALSE)</f>
        <v>0</v>
      </c>
      <c r="X457" s="182">
        <f>VLOOKUP(C457,'Talente &amp; Stuff'!AF:BG,22,FALSE)</f>
        <v>0</v>
      </c>
      <c r="Y457" s="165">
        <f>VLOOKUP(C457,Ausgewählte_Zeremonien_Phex,52,FALSE)</f>
        <v>0</v>
      </c>
      <c r="Z457" s="44">
        <f>VLOOKUP(C457,Ausgewählte_Zeremonien_Phex,53,FALSE)</f>
        <v>0</v>
      </c>
      <c r="AA457" s="40">
        <f>VLOOKUP(C457,'Talente &amp; Stuff'!AF:BG,25,FALSE)</f>
        <v>0</v>
      </c>
      <c r="AB457" s="189">
        <f>VLOOKUP(C457,'Talente &amp; Stuff'!AF:BG,26,FALSE)</f>
        <v>0</v>
      </c>
      <c r="AC457" s="182">
        <f>VLOOKUP(C457,'Talente &amp; Stuff'!AF:BG,27,FALSE)</f>
        <v>0</v>
      </c>
      <c r="AD457" s="40">
        <f>VLOOKUP(C457,'Talente &amp; Stuff'!AF:BG,28,FALSE)</f>
        <v>0</v>
      </c>
      <c r="AE457" s="28"/>
    </row>
    <row r="458" spans="2:31" ht="15" hidden="1" customHeight="1" outlineLevel="1" collapsed="1">
      <c r="B458" s="134" t="s">
        <v>322</v>
      </c>
      <c r="C458" s="83"/>
      <c r="D458" s="84"/>
      <c r="E458" s="84"/>
      <c r="F458" s="148"/>
      <c r="G458" s="148"/>
      <c r="H458" s="148"/>
      <c r="I458" s="148"/>
      <c r="J458" s="148"/>
      <c r="K458" s="148"/>
      <c r="L458" s="148"/>
      <c r="M458" s="148"/>
      <c r="N458" s="148"/>
      <c r="O458" s="148"/>
      <c r="P458" s="148"/>
      <c r="Q458" s="148"/>
      <c r="R458" s="148"/>
      <c r="S458" s="148"/>
      <c r="T458" s="148"/>
      <c r="U458" s="148"/>
      <c r="V458" s="148"/>
      <c r="W458" s="148"/>
      <c r="X458" s="148"/>
      <c r="AA458" s="148"/>
      <c r="AB458" s="148"/>
      <c r="AC458" s="148"/>
      <c r="AD458" s="148"/>
      <c r="AE458" s="148"/>
    </row>
    <row r="459" spans="2:31" ht="15" hidden="1" customHeight="1" outlineLevel="2">
      <c r="B459" s="148">
        <v>0</v>
      </c>
      <c r="C459" s="134"/>
      <c r="D459" s="40"/>
      <c r="E459" s="182"/>
      <c r="F459" s="17"/>
      <c r="G459" s="183"/>
      <c r="H459" s="183"/>
      <c r="I459" s="183"/>
      <c r="J459" s="183"/>
      <c r="K459" s="183"/>
      <c r="L459" s="183"/>
      <c r="M459" s="180"/>
      <c r="N459" s="179"/>
      <c r="O459" s="179"/>
      <c r="P459" s="180"/>
      <c r="Q459" s="17"/>
      <c r="R459" s="183"/>
      <c r="S459" s="180"/>
      <c r="T459" s="180"/>
      <c r="U459" s="166"/>
      <c r="V459" s="179"/>
      <c r="W459" s="182"/>
      <c r="X459" s="182"/>
      <c r="Y459" s="134"/>
      <c r="Z459" s="44"/>
      <c r="AA459" s="40"/>
      <c r="AB459" s="189"/>
      <c r="AC459" s="182"/>
      <c r="AD459" s="40"/>
      <c r="AE459" s="148"/>
    </row>
    <row r="460" spans="2:31" ht="15" hidden="1" customHeight="1" outlineLevel="1" collapsed="1">
      <c r="B460" s="134" t="s">
        <v>321</v>
      </c>
      <c r="C460" s="83"/>
      <c r="D460" s="84"/>
      <c r="E460" s="84"/>
      <c r="F460" s="148"/>
      <c r="G460" s="148"/>
      <c r="H460" s="148"/>
      <c r="I460" s="148"/>
      <c r="J460" s="148"/>
      <c r="K460" s="148"/>
      <c r="L460" s="148"/>
      <c r="M460" s="148"/>
      <c r="N460" s="148"/>
      <c r="O460" s="148"/>
      <c r="P460" s="148"/>
      <c r="Q460" s="148"/>
      <c r="R460" s="148"/>
      <c r="S460" s="148"/>
      <c r="T460" s="148"/>
      <c r="U460" s="148"/>
      <c r="V460" s="148"/>
      <c r="W460" s="148"/>
      <c r="X460" s="148"/>
      <c r="AA460" s="148"/>
      <c r="AB460" s="148"/>
      <c r="AC460" s="148"/>
      <c r="AD460" s="148"/>
      <c r="AE460" s="148"/>
    </row>
    <row r="461" spans="2:31" ht="15" hidden="1" customHeight="1" outlineLevel="2">
      <c r="B461" s="148">
        <v>1</v>
      </c>
      <c r="C461" s="176" t="str">
        <f>Attribute!C461</f>
        <v>---</v>
      </c>
      <c r="D461" s="158" t="str">
        <f>VLOOKUP(C461,'Talente &amp; Stuff'!AF:BG,2,FALSE)</f>
        <v>--/--/--</v>
      </c>
      <c r="E461" s="126" t="str">
        <f>VLOOKUP(C461,'Talente &amp; Stuff'!AF:BG,3,FALSE)</f>
        <v>-</v>
      </c>
      <c r="F461" s="191">
        <f>VLOOKUP(C461,'Talente &amp; Stuff'!AF:BG,4,FALSE)</f>
        <v>0</v>
      </c>
      <c r="G461" s="118">
        <f>VLOOKUP(C461,'Talente &amp; Stuff'!AF:BG,5,FALSE)</f>
        <v>0</v>
      </c>
      <c r="H461" s="118">
        <f>VLOOKUP(C461,'Talente &amp; Stuff'!AF:BG,6,FALSE)</f>
        <v>0</v>
      </c>
      <c r="I461" s="118">
        <f>VLOOKUP(C461,'Talente &amp; Stuff'!AF:BG,7,FALSE)</f>
        <v>0</v>
      </c>
      <c r="J461" s="118">
        <f>VLOOKUP(C461,'Talente &amp; Stuff'!AF:BG,8,FALSE)</f>
        <v>0</v>
      </c>
      <c r="K461" s="118">
        <f>VLOOKUP(C461,'Talente &amp; Stuff'!AF:BG,9,FALSE)</f>
        <v>0</v>
      </c>
      <c r="L461" s="118">
        <f>VLOOKUP(C461,'Talente &amp; Stuff'!AF:BG,10,FALSE)</f>
        <v>0</v>
      </c>
      <c r="M461" s="92">
        <f>VLOOKUP(C461,'Talente &amp; Stuff'!AF:BG,11,FALSE)</f>
        <v>0</v>
      </c>
      <c r="N461" s="116">
        <f>VLOOKUP(C461,'Talente &amp; Stuff'!AF:BG,12,FALSE)</f>
        <v>0</v>
      </c>
      <c r="O461" s="116">
        <f>VLOOKUP(C461,'Talente &amp; Stuff'!AF:BG,13,FALSE)</f>
        <v>0</v>
      </c>
      <c r="P461" s="92">
        <f>VLOOKUP(C461,'Talente &amp; Stuff'!AF:BG,14,FALSE)</f>
        <v>0</v>
      </c>
      <c r="Q461" s="191">
        <f>VLOOKUP(C461,'Talente &amp; Stuff'!AF:BG,15,FALSE)</f>
        <v>0</v>
      </c>
      <c r="R461" s="118">
        <f>VLOOKUP(C461,'Talente &amp; Stuff'!AF:BG,16,FALSE)</f>
        <v>0</v>
      </c>
      <c r="S461" s="92">
        <f>VLOOKUP(C461,'Talente &amp; Stuff'!AF:BG,17,FALSE)</f>
        <v>0</v>
      </c>
      <c r="T461" s="92">
        <f>VLOOKUP(C461,'Talente &amp; Stuff'!AF:BG,18,FALSE)</f>
        <v>0</v>
      </c>
      <c r="U461" s="193">
        <f>VLOOKUP(C461,'Talente &amp; Stuff'!AF:BG,19,FALSE)</f>
        <v>0</v>
      </c>
      <c r="V461" s="116">
        <f>VLOOKUP(C461,'Talente &amp; Stuff'!AF:BG,20,FALSE)</f>
        <v>0</v>
      </c>
      <c r="W461" s="126">
        <f>VLOOKUP(C461,'Talente &amp; Stuff'!AF:BG,21,FALSE)</f>
        <v>0</v>
      </c>
      <c r="X461" s="126">
        <f>VLOOKUP(C461,'Talente &amp; Stuff'!AF:BG,22,FALSE)</f>
        <v>0</v>
      </c>
      <c r="Y461" s="165">
        <f>VLOOKUP(C461,Ausgewählte_Zeremonien_Rondra,52,FALSE)</f>
        <v>0</v>
      </c>
      <c r="Z461" s="44">
        <f>VLOOKUP(C461,Ausgewählte_Zeremonien_Rondra,53,FALSE)</f>
        <v>0</v>
      </c>
      <c r="AA461" s="158">
        <f>VLOOKUP(C461,'Talente &amp; Stuff'!AF:BG,25,FALSE)</f>
        <v>0</v>
      </c>
      <c r="AB461" s="91">
        <f>VLOOKUP(C461,'Talente &amp; Stuff'!AF:BG,26,FALSE)</f>
        <v>0</v>
      </c>
      <c r="AC461" s="126">
        <f>VLOOKUP(C461,'Talente &amp; Stuff'!AF:BG,27,FALSE)</f>
        <v>0</v>
      </c>
      <c r="AD461" s="158">
        <f>VLOOKUP(C461,'Talente &amp; Stuff'!AF:BG,28,FALSE)</f>
        <v>0</v>
      </c>
      <c r="AE461" s="28"/>
    </row>
    <row r="462" spans="2:31" ht="15" hidden="1" customHeight="1" outlineLevel="2">
      <c r="B462" s="148">
        <v>2</v>
      </c>
      <c r="C462" s="178" t="str">
        <f>Attribute!C462</f>
        <v>---</v>
      </c>
      <c r="D462" s="159" t="str">
        <f>VLOOKUP(C462,'Talente &amp; Stuff'!AF:BG,2,FALSE)</f>
        <v>--/--/--</v>
      </c>
      <c r="E462" s="128" t="str">
        <f>VLOOKUP(C462,'Talente &amp; Stuff'!AF:BG,3,FALSE)</f>
        <v>-</v>
      </c>
      <c r="F462" s="115">
        <f>VLOOKUP(C462,'Talente &amp; Stuff'!AF:BG,4,FALSE)</f>
        <v>0</v>
      </c>
      <c r="G462" s="122">
        <f>VLOOKUP(C462,'Talente &amp; Stuff'!AF:BG,5,FALSE)</f>
        <v>0</v>
      </c>
      <c r="H462" s="122">
        <f>VLOOKUP(C462,'Talente &amp; Stuff'!AF:BG,6,FALSE)</f>
        <v>0</v>
      </c>
      <c r="I462" s="122">
        <f>VLOOKUP(C462,'Talente &amp; Stuff'!AF:BG,7,FALSE)</f>
        <v>0</v>
      </c>
      <c r="J462" s="122">
        <f>VLOOKUP(C462,'Talente &amp; Stuff'!AF:BG,8,FALSE)</f>
        <v>0</v>
      </c>
      <c r="K462" s="122">
        <f>VLOOKUP(C462,'Talente &amp; Stuff'!AF:BG,9,FALSE)</f>
        <v>0</v>
      </c>
      <c r="L462" s="122">
        <f>VLOOKUP(C462,'Talente &amp; Stuff'!AF:BG,10,FALSE)</f>
        <v>0</v>
      </c>
      <c r="M462" s="123">
        <f>VLOOKUP(C462,'Talente &amp; Stuff'!AF:BG,11,FALSE)</f>
        <v>0</v>
      </c>
      <c r="N462" s="88">
        <f>VLOOKUP(C462,'Talente &amp; Stuff'!AF:BG,12,FALSE)</f>
        <v>0</v>
      </c>
      <c r="O462" s="88">
        <f>VLOOKUP(C462,'Talente &amp; Stuff'!AF:BG,13,FALSE)</f>
        <v>0</v>
      </c>
      <c r="P462" s="123">
        <f>VLOOKUP(C462,'Talente &amp; Stuff'!AF:BG,14,FALSE)</f>
        <v>0</v>
      </c>
      <c r="Q462" s="115">
        <f>VLOOKUP(C462,'Talente &amp; Stuff'!AF:BG,15,FALSE)</f>
        <v>0</v>
      </c>
      <c r="R462" s="122">
        <f>VLOOKUP(C462,'Talente &amp; Stuff'!AF:BG,16,FALSE)</f>
        <v>0</v>
      </c>
      <c r="S462" s="123">
        <f>VLOOKUP(C462,'Talente &amp; Stuff'!AF:BG,17,FALSE)</f>
        <v>0</v>
      </c>
      <c r="T462" s="123">
        <f>VLOOKUP(C462,'Talente &amp; Stuff'!AF:BG,18,FALSE)</f>
        <v>0</v>
      </c>
      <c r="U462" s="90">
        <f>VLOOKUP(C462,'Talente &amp; Stuff'!AF:BG,19,FALSE)</f>
        <v>0</v>
      </c>
      <c r="V462" s="88">
        <f>VLOOKUP(C462,'Talente &amp; Stuff'!AF:BG,20,FALSE)</f>
        <v>0</v>
      </c>
      <c r="W462" s="128">
        <f>VLOOKUP(C462,'Talente &amp; Stuff'!AF:BG,21,FALSE)</f>
        <v>0</v>
      </c>
      <c r="X462" s="128">
        <f>VLOOKUP(C462,'Talente &amp; Stuff'!AF:BG,22,FALSE)</f>
        <v>0</v>
      </c>
      <c r="Y462" s="165">
        <f>VLOOKUP(C462,Ausgewählte_Zeremonien_Rondra,52,FALSE)</f>
        <v>0</v>
      </c>
      <c r="Z462" s="44">
        <f>VLOOKUP(C462,Ausgewählte_Zeremonien_Rondra,53,FALSE)</f>
        <v>0</v>
      </c>
      <c r="AA462" s="159">
        <f>VLOOKUP(C462,'Talente &amp; Stuff'!AF:BG,25,FALSE)</f>
        <v>0</v>
      </c>
      <c r="AB462" s="161">
        <f>VLOOKUP(C462,'Talente &amp; Stuff'!AF:BG,26,FALSE)</f>
        <v>0</v>
      </c>
      <c r="AC462" s="128">
        <f>VLOOKUP(C462,'Talente &amp; Stuff'!AF:BG,27,FALSE)</f>
        <v>0</v>
      </c>
      <c r="AD462" s="159">
        <f>VLOOKUP(C462,'Talente &amp; Stuff'!AF:BG,28,FALSE)</f>
        <v>0</v>
      </c>
      <c r="AE462" s="28"/>
    </row>
    <row r="463" spans="2:31" ht="15" hidden="1" customHeight="1" outlineLevel="1" collapsed="1">
      <c r="D463" s="148"/>
      <c r="E463" s="148"/>
      <c r="F463" s="148"/>
      <c r="G463" s="148"/>
      <c r="H463" s="148"/>
      <c r="I463" s="148"/>
      <c r="J463" s="148"/>
      <c r="K463" s="148"/>
      <c r="L463" s="148"/>
      <c r="M463" s="148"/>
      <c r="N463" s="148"/>
      <c r="O463" s="148"/>
      <c r="P463" s="148"/>
      <c r="Q463" s="148"/>
      <c r="R463" s="148"/>
      <c r="S463" s="148"/>
      <c r="T463" s="148"/>
      <c r="U463" s="148"/>
      <c r="V463" s="148"/>
      <c r="W463" s="148"/>
      <c r="X463" s="148"/>
      <c r="AA463" s="148"/>
      <c r="AB463" s="148"/>
      <c r="AC463" s="148"/>
      <c r="AD463" s="148"/>
      <c r="AE463" s="148"/>
    </row>
    <row r="464" spans="2:31" collapsed="1">
      <c r="D464" s="148"/>
      <c r="E464" s="148"/>
      <c r="F464" s="148"/>
      <c r="G464" s="148"/>
      <c r="H464" s="148"/>
      <c r="I464" s="148"/>
      <c r="J464" s="148"/>
      <c r="K464" s="148"/>
      <c r="L464" s="148"/>
      <c r="M464" s="148"/>
      <c r="N464" s="148"/>
      <c r="O464" s="148"/>
      <c r="P464" s="148"/>
      <c r="Q464" s="148"/>
      <c r="R464" s="148"/>
      <c r="S464" s="148"/>
      <c r="T464" s="148"/>
      <c r="U464" s="148"/>
      <c r="V464" s="148"/>
      <c r="W464" s="148"/>
      <c r="X464" s="148"/>
      <c r="AA464" s="148"/>
      <c r="AB464" s="148"/>
      <c r="AC464" s="148"/>
      <c r="AD464" s="148"/>
      <c r="AE464" s="148"/>
    </row>
    <row r="465" spans="1:31" s="148" customFormat="1" ht="15.75" thickBot="1">
      <c r="C465" s="150"/>
      <c r="D465" s="4"/>
      <c r="E465" s="4"/>
      <c r="F465" s="6"/>
      <c r="G465" s="6"/>
      <c r="H465" s="6"/>
      <c r="I465" s="6"/>
      <c r="J465" s="6"/>
      <c r="K465" s="6"/>
      <c r="L465" s="6"/>
      <c r="M465" s="6"/>
      <c r="N465" s="4"/>
      <c r="O465" s="48"/>
      <c r="P465" s="6"/>
      <c r="Q465" s="101">
        <f>IFERROR(SUM(Q11:Q463)/COUNTIF(Q11:Q463,"&gt;0"),0)</f>
        <v>0</v>
      </c>
      <c r="R465" s="101">
        <f>IFERROR(SUM(R11:R463)/COUNTIF(R11:R463,"&gt;0"),0)</f>
        <v>0</v>
      </c>
      <c r="S465" s="101">
        <f>IFERROR(SUM(S11:S463)/COUNTIF(S11:S463,"&gt;0"),0)</f>
        <v>0</v>
      </c>
      <c r="T465" s="101">
        <f>Q465+R465+S465</f>
        <v>0</v>
      </c>
      <c r="U465" s="4"/>
      <c r="V465" s="4"/>
      <c r="W465" s="4"/>
      <c r="X465" s="4"/>
      <c r="Y465" s="74"/>
      <c r="Z465" s="1"/>
      <c r="AA465" s="4"/>
      <c r="AB465" s="6"/>
      <c r="AC465" s="4"/>
      <c r="AD465" s="27"/>
      <c r="AE465" s="28"/>
    </row>
    <row r="466" spans="1:31" s="148" customFormat="1" ht="15.75" thickBot="1">
      <c r="C466" s="150"/>
      <c r="D466" s="4"/>
      <c r="E466" s="4"/>
      <c r="F466" s="274" t="s">
        <v>117</v>
      </c>
      <c r="G466" s="275"/>
      <c r="H466" s="275"/>
      <c r="I466" s="275"/>
      <c r="J466" s="275"/>
      <c r="K466" s="275"/>
      <c r="L466" s="276">
        <f>AVERAGE(F468:M468)</f>
        <v>0</v>
      </c>
      <c r="M466" s="277"/>
      <c r="N466" s="4"/>
      <c r="O466" s="4"/>
      <c r="P466" s="6"/>
      <c r="Q466" s="102" t="s">
        <v>113</v>
      </c>
      <c r="R466" s="102" t="s">
        <v>113</v>
      </c>
      <c r="S466" s="102" t="s">
        <v>113</v>
      </c>
      <c r="T466" s="102" t="s">
        <v>113</v>
      </c>
      <c r="U466" s="4"/>
      <c r="V466" s="4"/>
      <c r="W466" s="20" t="s">
        <v>117</v>
      </c>
      <c r="X466" s="19">
        <f>IFERROR(X468/COUNTIF(X11:X463,"&gt;0"),0)</f>
        <v>0</v>
      </c>
      <c r="Y466" s="204">
        <f>IFERROR(Y468/COUNTIF(Y11:Y463,"&gt;0"),0)</f>
        <v>0</v>
      </c>
      <c r="Z466" s="13">
        <f>IFERROR(Z468/COUNTIF(Z11:Z463,"&gt;0"),0)</f>
        <v>0</v>
      </c>
      <c r="AA466" s="19">
        <f>IFERROR(AA468/COUNTIF(AA11:AA463,"&gt;0"),0)</f>
        <v>0</v>
      </c>
      <c r="AB466" s="19">
        <f>IFERROR(SUM(AB11:AB464)/COUNTIF(AB11:AB464,"&gt;0"),0)</f>
        <v>0</v>
      </c>
      <c r="AC466" s="19">
        <f>IFERROR(SUM(AC11:AC464)/COUNTIF(AC11:AC464,"&gt;0"),0)</f>
        <v>0</v>
      </c>
      <c r="AD466" s="24">
        <f>IFERROR(SUM(AD11:AD464)/COUNTIF(AD11:AD464,"&gt;0"),0)</f>
        <v>0</v>
      </c>
      <c r="AE466" s="28"/>
    </row>
    <row r="467" spans="1:31" s="148" customFormat="1" ht="15.75" thickBot="1">
      <c r="C467" s="150"/>
      <c r="D467" s="4"/>
      <c r="E467" s="4"/>
      <c r="F467" s="65"/>
      <c r="G467" s="65"/>
      <c r="H467" s="65"/>
      <c r="I467" s="65"/>
      <c r="J467" s="65"/>
      <c r="K467" s="65"/>
      <c r="L467" s="65"/>
      <c r="M467" s="65"/>
      <c r="N467" s="4"/>
      <c r="O467" s="4"/>
      <c r="P467" s="6"/>
      <c r="Q467" s="103">
        <f>Konvention_1master^3</f>
        <v>8000</v>
      </c>
      <c r="R467" s="103">
        <f>Konvention_1master^3</f>
        <v>8000</v>
      </c>
      <c r="S467" s="103">
        <f>Konvention_1master^3</f>
        <v>8000</v>
      </c>
      <c r="T467" s="103">
        <f>Konvention_1master^3</f>
        <v>8000</v>
      </c>
      <c r="U467" s="4"/>
      <c r="V467" s="4"/>
      <c r="W467" s="4"/>
      <c r="X467" s="1"/>
      <c r="Y467" s="74"/>
      <c r="Z467" s="1"/>
      <c r="AA467" s="35"/>
      <c r="AB467" s="22"/>
      <c r="AC467" s="35"/>
      <c r="AD467" s="36"/>
      <c r="AE467" s="28"/>
    </row>
    <row r="468" spans="1:31" s="148" customFormat="1">
      <c r="C468" s="150"/>
      <c r="D468" s="4"/>
      <c r="E468" s="4"/>
      <c r="F468" s="66">
        <f t="shared" ref="F468:P468" si="38">SUM(F11:F463)</f>
        <v>0</v>
      </c>
      <c r="G468" s="66">
        <f t="shared" si="38"/>
        <v>0</v>
      </c>
      <c r="H468" s="66">
        <f t="shared" si="38"/>
        <v>0</v>
      </c>
      <c r="I468" s="66">
        <f t="shared" si="38"/>
        <v>0</v>
      </c>
      <c r="J468" s="66">
        <f t="shared" si="38"/>
        <v>0</v>
      </c>
      <c r="K468" s="66">
        <f t="shared" si="38"/>
        <v>0</v>
      </c>
      <c r="L468" s="66">
        <f t="shared" si="38"/>
        <v>0</v>
      </c>
      <c r="M468" s="66">
        <f t="shared" si="38"/>
        <v>0</v>
      </c>
      <c r="N468" s="10">
        <f t="shared" si="38"/>
        <v>0</v>
      </c>
      <c r="O468" s="11">
        <f t="shared" si="38"/>
        <v>0</v>
      </c>
      <c r="P468" s="104">
        <f t="shared" si="38"/>
        <v>0</v>
      </c>
      <c r="Q468" s="143">
        <f>Q465/Q467</f>
        <v>0</v>
      </c>
      <c r="R468" s="144">
        <f>R465/R467</f>
        <v>0</v>
      </c>
      <c r="S468" s="145">
        <f>S465/S467</f>
        <v>0</v>
      </c>
      <c r="T468" s="146">
        <f>Q468+R468+S468</f>
        <v>0</v>
      </c>
      <c r="U468" s="7">
        <f>IFERROR(N468*Q465/T465,0)</f>
        <v>0</v>
      </c>
      <c r="V468" s="8">
        <f>IFERROR(O468*R465/T465,0)</f>
        <v>0</v>
      </c>
      <c r="W468" s="9">
        <f>IFERROR(P468*S465/T465,0)</f>
        <v>0</v>
      </c>
      <c r="X468" s="7">
        <f>SUMIF(X11:X463,"&gt;0")</f>
        <v>0</v>
      </c>
      <c r="Y468" s="25">
        <f>SUM(Y11:Y463)</f>
        <v>0</v>
      </c>
      <c r="Z468" s="21">
        <f>SUM(Z11:Z463)</f>
        <v>0</v>
      </c>
      <c r="AA468" s="12">
        <f>IFERROR(SUMIF(AA11:AA463,"&gt;0"),0)</f>
        <v>0</v>
      </c>
      <c r="AB468" s="16">
        <f>SUM(AB11:AB463)</f>
        <v>0</v>
      </c>
      <c r="AC468" s="15">
        <f>SUM(AC11:AC463)</f>
        <v>0</v>
      </c>
      <c r="AD468" s="15">
        <f>IFERROR(SUMIF(AD11:AD463,"&gt;0"),0)</f>
        <v>0</v>
      </c>
      <c r="AE468" s="28"/>
    </row>
    <row r="469" spans="1:31" s="148" customFormat="1" ht="15.75" thickBot="1">
      <c r="C469" s="150"/>
      <c r="D469" s="4"/>
      <c r="E469" s="4"/>
      <c r="F469" s="278" t="s">
        <v>118</v>
      </c>
      <c r="G469" s="279"/>
      <c r="H469" s="279"/>
      <c r="I469" s="279"/>
      <c r="J469" s="279"/>
      <c r="K469" s="279"/>
      <c r="L469" s="279"/>
      <c r="M469" s="280"/>
      <c r="N469" s="281" t="s">
        <v>116</v>
      </c>
      <c r="O469" s="282"/>
      <c r="P469" s="283"/>
      <c r="Q469" s="284" t="s">
        <v>112</v>
      </c>
      <c r="R469" s="285"/>
      <c r="S469" s="286"/>
      <c r="T469" s="80" t="s">
        <v>145</v>
      </c>
      <c r="U469" s="263" t="s">
        <v>123</v>
      </c>
      <c r="V469" s="264"/>
      <c r="W469" s="265"/>
      <c r="X469" s="195" t="s">
        <v>121</v>
      </c>
      <c r="Y469" s="75" t="s">
        <v>122</v>
      </c>
      <c r="Z469" s="49" t="s">
        <v>124</v>
      </c>
      <c r="AA469" s="50" t="s">
        <v>131</v>
      </c>
      <c r="AB469" s="80" t="s">
        <v>154</v>
      </c>
      <c r="AC469" s="50" t="s">
        <v>156</v>
      </c>
      <c r="AD469" s="51" t="s">
        <v>136</v>
      </c>
      <c r="AE469" s="28"/>
    </row>
    <row r="470" spans="1:31">
      <c r="C470" s="147"/>
      <c r="Y470" s="76"/>
      <c r="Z470" s="1"/>
    </row>
    <row r="471" spans="1:31">
      <c r="C471" s="147"/>
      <c r="Y471" s="76"/>
      <c r="Z471" s="1"/>
    </row>
    <row r="472" spans="1:31">
      <c r="C472" s="147"/>
      <c r="Y472" s="76"/>
      <c r="Z472" s="1"/>
    </row>
    <row r="473" spans="1:31">
      <c r="C473" s="147"/>
      <c r="Y473" s="76"/>
      <c r="Z473" s="1"/>
    </row>
    <row r="474" spans="1:31">
      <c r="C474" s="147"/>
      <c r="Y474" s="76"/>
      <c r="Z474" s="1"/>
    </row>
    <row r="475" spans="1:31">
      <c r="C475" s="147"/>
      <c r="Y475" s="76"/>
      <c r="Z475" s="1"/>
    </row>
    <row r="476" spans="1:31">
      <c r="A476"/>
      <c r="B476"/>
      <c r="C476"/>
      <c r="Y476" s="76"/>
      <c r="Z476" s="1"/>
    </row>
    <row r="477" spans="1:31">
      <c r="A477"/>
      <c r="B477"/>
      <c r="C477"/>
      <c r="Y477" s="76"/>
      <c r="Z477" s="1"/>
    </row>
    <row r="478" spans="1:31">
      <c r="A478"/>
      <c r="B478"/>
      <c r="C478"/>
      <c r="Y478" s="77"/>
      <c r="Z478" s="1"/>
    </row>
    <row r="479" spans="1:31">
      <c r="A479"/>
      <c r="B479"/>
      <c r="C479"/>
      <c r="Y479" s="70"/>
      <c r="Z479" s="1"/>
    </row>
    <row r="480" spans="1:31">
      <c r="A480"/>
      <c r="B480"/>
      <c r="C480"/>
      <c r="Y480" s="65"/>
      <c r="Z480" s="1"/>
    </row>
    <row r="481" spans="3:26">
      <c r="C481" s="147"/>
      <c r="Y481" s="65"/>
      <c r="Z481" s="1"/>
    </row>
    <row r="482" spans="3:26">
      <c r="Y482" s="65"/>
      <c r="Z482" s="1"/>
    </row>
    <row r="483" spans="3:26">
      <c r="Y483" s="65"/>
      <c r="Z483" s="1"/>
    </row>
    <row r="484" spans="3:26">
      <c r="Y484" s="65"/>
      <c r="Z484" s="1"/>
    </row>
    <row r="485" spans="3:26">
      <c r="Y485" s="65"/>
      <c r="Z485" s="1"/>
    </row>
    <row r="486" spans="3:26">
      <c r="Y486" s="65"/>
      <c r="Z486" s="1"/>
    </row>
    <row r="487" spans="3:26">
      <c r="Y487" s="65"/>
      <c r="Z487" s="1"/>
    </row>
    <row r="488" spans="3:26">
      <c r="Y488" s="65"/>
      <c r="Z488" s="1"/>
    </row>
    <row r="489" spans="3:26">
      <c r="Y489" s="65"/>
      <c r="Z489" s="1"/>
    </row>
    <row r="490" spans="3:26">
      <c r="Y490" s="65"/>
      <c r="Z490" s="1"/>
    </row>
    <row r="491" spans="3:26">
      <c r="Y491" s="65"/>
      <c r="Z491" s="1"/>
    </row>
    <row r="492" spans="3:26">
      <c r="Y492" s="65"/>
      <c r="Z492" s="1"/>
    </row>
    <row r="493" spans="3:26">
      <c r="Y493" s="65"/>
      <c r="Z493" s="1"/>
    </row>
    <row r="494" spans="3:26">
      <c r="Y494" s="199"/>
      <c r="Z494" s="199"/>
    </row>
    <row r="495" spans="3:26">
      <c r="Y495" s="199"/>
      <c r="Z495" s="199"/>
    </row>
    <row r="496" spans="3:26">
      <c r="Y496" s="199"/>
      <c r="Z496" s="199"/>
    </row>
    <row r="497" spans="25:26">
      <c r="Y497" s="199"/>
      <c r="Z497" s="199"/>
    </row>
    <row r="498" spans="25:26">
      <c r="Y498" s="199"/>
      <c r="Z498" s="199"/>
    </row>
    <row r="499" spans="25:26">
      <c r="Y499" s="65"/>
      <c r="Z499" s="1"/>
    </row>
  </sheetData>
  <mergeCells count="11">
    <mergeCell ref="U469:W469"/>
    <mergeCell ref="F466:K466"/>
    <mergeCell ref="L466:M466"/>
    <mergeCell ref="F469:M469"/>
    <mergeCell ref="N469:P469"/>
    <mergeCell ref="Q469:S469"/>
    <mergeCell ref="F4:M4"/>
    <mergeCell ref="F7:M7"/>
    <mergeCell ref="N7:P7"/>
    <mergeCell ref="Q7:S7"/>
    <mergeCell ref="U7:W7"/>
  </mergeCells>
  <conditionalFormatting sqref="C11:C24 C26:C34 C36:C42 C44:C55 C57:C73 C78:C98 C100:C126 C128:C151 C153:C211 C213:C257 C259 C461:C462 C352:C355 C357:C365 C367:C374 C376:C386 C388:C389 C391 C393:C395 C400:C402 C404:C409 C411:C417 C419:C423 C425:C432 C434:C439 C441:C444 C448:C449 C455 C457 C261:C296 C298:C321 C323:C348">
    <cfRule type="notContainsErrors" dxfId="59" priority="58">
      <formula>NOT(ISERROR(C11))</formula>
    </cfRule>
  </conditionalFormatting>
  <conditionalFormatting sqref="R5">
    <cfRule type="colorScale" priority="12">
      <colorScale>
        <cfvo type="min" val="0"/>
        <cfvo type="num" val="0"/>
        <cfvo type="max" val="0"/>
        <color rgb="FFFF0000"/>
        <color rgb="FFFFFF00"/>
        <color rgb="FF00B050"/>
      </colorScale>
    </cfRule>
  </conditionalFormatting>
  <conditionalFormatting sqref="F468:M468 L466">
    <cfRule type="colorScale" priority="11">
      <colorScale>
        <cfvo type="min" val="0"/>
        <cfvo type="num" val="$L$466"/>
        <cfvo type="max" val="0"/>
        <color rgb="FF63BE7B"/>
        <color rgb="FFFFEB84"/>
        <color rgb="FFF8696B"/>
      </colorScale>
    </cfRule>
  </conditionalFormatting>
  <conditionalFormatting sqref="Z11:Z466">
    <cfRule type="colorScale" priority="10">
      <colorScale>
        <cfvo type="min" val="0"/>
        <cfvo type="formula" val="noch_benötigte_Punkte_Avg/2"/>
        <cfvo type="max" val="0"/>
        <color rgb="FF00B050"/>
        <color rgb="FFFFFF00"/>
        <color rgb="FFFF0000"/>
      </colorScale>
    </cfRule>
  </conditionalFormatting>
  <conditionalFormatting sqref="AC11:AC466">
    <cfRule type="colorScale" priority="9">
      <colorScale>
        <cfvo type="min" val="0"/>
        <cfvo type="formula" val="AP_noch_Avg/2"/>
        <cfvo type="max" val="0"/>
        <color rgb="FF63BE7B"/>
        <color rgb="FFFFEB84"/>
        <color rgb="FFF8696B"/>
      </colorScale>
    </cfRule>
  </conditionalFormatting>
  <conditionalFormatting sqref="AD11:AD466">
    <cfRule type="colorScale" priority="8">
      <colorScale>
        <cfvo type="num" val="0.01"/>
        <cfvo type="max" val="0"/>
        <color rgb="FF63BE7B"/>
        <color rgb="FFF8696B"/>
      </colorScale>
    </cfRule>
  </conditionalFormatting>
  <conditionalFormatting sqref="C298:C321 C323:C348">
    <cfRule type="notContainsErrors" dxfId="58" priority="6">
      <formula>NOT(ISERROR(C298))</formula>
    </cfRule>
  </conditionalFormatting>
  <conditionalFormatting sqref="C298:C321 C323:C348">
    <cfRule type="notContainsErrors" dxfId="57" priority="2">
      <formula>NOT(ISERROR(C298))</formula>
    </cfRule>
  </conditionalFormatting>
  <conditionalFormatting sqref="C298:C321 C323:C348">
    <cfRule type="notContainsErrors" dxfId="56" priority="1">
      <formula>NOT(ISERROR(C298))</formula>
    </cfRule>
  </conditionalFormatting>
  <dataValidations count="5">
    <dataValidation type="list" allowBlank="1" showInputMessage="1" showErrorMessage="1" sqref="C461:C462 C357:C365 C213:C257 C393:C395 C352:C355 C57:C73 C400:C402 C404:C409 C411:C417 C419:C423 C425:C432 C434:C439 C441:C444 C448:C449 C455 C457 C128:C151 C259 C78:C98 C100:C126 C367:C374 C376:C386 C388:C389 C391 C153:C211 C261:C296 C298:C321 C323:C348">
      <formula1>Talente_Handwerkstalente</formula1>
    </dataValidation>
    <dataValidation type="list" allowBlank="1" showInputMessage="1" showErrorMessage="1" sqref="C44:C55">
      <formula1>Talente_Wissenstalente</formula1>
    </dataValidation>
    <dataValidation type="list" allowBlank="1" showInputMessage="1" showErrorMessage="1" sqref="C36:C42">
      <formula1>Talente_Naturtalente</formula1>
    </dataValidation>
    <dataValidation type="list" allowBlank="1" showInputMessage="1" showErrorMessage="1" sqref="C26:C34">
      <formula1>Talente_Gesellschaftstalente</formula1>
    </dataValidation>
    <dataValidation type="list" allowBlank="1" showInputMessage="1" showErrorMessage="1" sqref="C11:C24">
      <formula1>Talente_Körpertalente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64FF64"/>
  </sheetPr>
  <dimension ref="A1:AE499"/>
  <sheetViews>
    <sheetView zoomScaleNormal="100" workbookViewId="0"/>
  </sheetViews>
  <sheetFormatPr baseColWidth="10" defaultColWidth="9.140625" defaultRowHeight="15" outlineLevelRow="2" outlineLevelCol="1"/>
  <cols>
    <col min="1" max="1" width="11.85546875" style="148" customWidth="1"/>
    <col min="2" max="2" width="19.28515625" style="148" customWidth="1"/>
    <col min="3" max="3" width="31.7109375" style="140" customWidth="1"/>
    <col min="4" max="4" width="13.140625" style="148" customWidth="1"/>
    <col min="5" max="5" width="2.28515625" style="148" customWidth="1"/>
    <col min="6" max="13" width="9.28515625" style="148" customWidth="1"/>
    <col min="14" max="16" width="15.42578125" style="148" customWidth="1"/>
    <col min="17" max="19" width="12.42578125" style="148" customWidth="1"/>
    <col min="20" max="20" width="23.5703125" style="148" bestFit="1" customWidth="1"/>
    <col min="21" max="23" width="13" style="148" hidden="1" customWidth="1" outlineLevel="1"/>
    <col min="24" max="24" width="24" style="148" hidden="1" customWidth="1" outlineLevel="1"/>
    <col min="25" max="25" width="18.42578125" style="197" hidden="1" customWidth="1" outlineLevel="1"/>
    <col min="26" max="26" width="21.5703125" style="197" hidden="1" customWidth="1" outlineLevel="1"/>
    <col min="27" max="27" width="11.85546875" style="148" hidden="1" customWidth="1" outlineLevel="1"/>
    <col min="28" max="28" width="14" style="148" hidden="1" customWidth="1" outlineLevel="1"/>
    <col min="29" max="29" width="13.42578125" style="148" hidden="1" customWidth="1" outlineLevel="1"/>
    <col min="30" max="30" width="14.42578125" style="148" hidden="1" customWidth="1" outlineLevel="1"/>
    <col min="31" max="31" width="9.140625" style="148" collapsed="1"/>
    <col min="32" max="16384" width="9.140625" style="148"/>
  </cols>
  <sheetData>
    <row r="1" spans="1:31" s="4" customFormat="1">
      <c r="A1" s="124"/>
      <c r="C1" s="3"/>
      <c r="F1" s="93" t="s">
        <v>0</v>
      </c>
      <c r="G1" s="94" t="s">
        <v>1</v>
      </c>
      <c r="H1" s="94" t="s">
        <v>2</v>
      </c>
      <c r="I1" s="94" t="s">
        <v>3</v>
      </c>
      <c r="J1" s="94" t="s">
        <v>4</v>
      </c>
      <c r="K1" s="94" t="s">
        <v>5</v>
      </c>
      <c r="L1" s="94" t="s">
        <v>6</v>
      </c>
      <c r="M1" s="95" t="s">
        <v>7</v>
      </c>
      <c r="N1" s="32" t="s">
        <v>118</v>
      </c>
      <c r="O1" s="40" t="s">
        <v>283</v>
      </c>
      <c r="P1" s="67"/>
      <c r="Q1" s="6"/>
      <c r="R1" s="6"/>
      <c r="S1" s="6"/>
      <c r="T1" s="6"/>
      <c r="Y1" s="70"/>
      <c r="Z1" s="1"/>
      <c r="AA1" s="35"/>
      <c r="AB1" s="22"/>
      <c r="AC1" s="35"/>
      <c r="AD1" s="36"/>
    </row>
    <row r="2" spans="1:31" s="4" customFormat="1">
      <c r="A2" s="150"/>
      <c r="C2" s="3"/>
      <c r="F2" s="98">
        <f>MUmaster</f>
        <v>8</v>
      </c>
      <c r="G2" s="98">
        <f>KLmaster+1</f>
        <v>9</v>
      </c>
      <c r="H2" s="98">
        <f>INmaster</f>
        <v>8</v>
      </c>
      <c r="I2" s="98">
        <f>CHmaster</f>
        <v>8</v>
      </c>
      <c r="J2" s="98">
        <f>FFmaster</f>
        <v>8</v>
      </c>
      <c r="K2" s="98">
        <f>GEmaster</f>
        <v>8</v>
      </c>
      <c r="L2" s="98">
        <f>KOmaster</f>
        <v>8</v>
      </c>
      <c r="M2" s="98">
        <f>KKmaster</f>
        <v>8</v>
      </c>
      <c r="N2" s="5">
        <f>MUslave+KLslave_KL+INslave+CHslave+FFslave+GEslave+KOslave+KKslave</f>
        <v>65</v>
      </c>
      <c r="O2" s="68">
        <v>20</v>
      </c>
      <c r="P2" s="6"/>
      <c r="Q2" s="6"/>
      <c r="R2" s="6"/>
      <c r="S2" s="6"/>
      <c r="T2" s="6"/>
      <c r="Y2" s="71"/>
      <c r="Z2" s="1"/>
      <c r="AA2" s="35"/>
      <c r="AB2" s="22"/>
      <c r="AC2" s="35"/>
      <c r="AD2" s="36"/>
    </row>
    <row r="3" spans="1:31" s="37" customFormat="1">
      <c r="B3" s="31"/>
      <c r="C3" s="141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Y3" s="71"/>
      <c r="Z3" s="38"/>
      <c r="AA3" s="34"/>
      <c r="AB3" s="67"/>
      <c r="AC3" s="34"/>
      <c r="AD3" s="39"/>
    </row>
    <row r="4" spans="1:31" s="37" customFormat="1">
      <c r="B4" s="31"/>
      <c r="C4" s="141"/>
      <c r="F4" s="287" t="s">
        <v>139</v>
      </c>
      <c r="G4" s="288"/>
      <c r="H4" s="288"/>
      <c r="I4" s="288"/>
      <c r="J4" s="288"/>
      <c r="K4" s="288"/>
      <c r="L4" s="288"/>
      <c r="M4" s="288"/>
      <c r="N4" s="91" t="s">
        <v>334</v>
      </c>
      <c r="O4" s="91" t="s">
        <v>154</v>
      </c>
      <c r="P4" s="191" t="s">
        <v>144</v>
      </c>
      <c r="Q4" s="91" t="s">
        <v>142</v>
      </c>
      <c r="R4" s="92" t="s">
        <v>143</v>
      </c>
      <c r="S4" s="29"/>
      <c r="T4" s="29"/>
      <c r="Y4" s="71"/>
      <c r="Z4" s="38"/>
      <c r="AA4" s="34"/>
      <c r="AB4" s="67"/>
      <c r="AC4" s="34"/>
      <c r="AD4" s="39"/>
    </row>
    <row r="5" spans="1:31" s="37" customFormat="1">
      <c r="B5" s="31"/>
      <c r="C5" s="141"/>
      <c r="F5" s="190">
        <f>MUslave*15+IF(MUslave&gt;14,MUslave-14,0)*15+IF(MUslave&gt;15,MUslave-15,0)*15+IF(MUslave&gt;16,MUslave-16,0)*15+IF(MUslave&gt;17,MUslave-17,0)*15+IF(MUslave&gt;18,MUslave-18,0)*15+IF(MUslave&gt;19,MUslave-19,0)*15+IF(MUslave&gt;20,MUslave-20,0)*15+IF(MUslave&gt;21,MUslave-21,0)*15+IF(MUslave&gt;22,MUslave-22,0)*15+IF(MUslave&gt;23,MUslave-23,0)*15+IF(MUslave&gt;24,MUslave-24,0)*15-120</f>
        <v>0</v>
      </c>
      <c r="G5" s="190">
        <f>KLslave_KL*15+IF(KLslave_KL&gt;14,KLslave_KL-14,0)*15+IF(KLslave_KL&gt;15,KLslave_KL-15,0)*15+IF(KLslave_KL&gt;16,KLslave_KL-16,0)*15+IF(KLslave_KL&gt;17,KLslave_KL-17,0)*15+IF(KLslave_KL&gt;18,KLslave_KL-18,0)*15+IF(KLslave_KL&gt;19,KLslave_KL-19,0)*15+IF(KLslave_KL&gt;20,KLslave_KL-20,0)*15+IF(KLslave_KL&gt;21,KLslave_KL-21,0)*15+IF(KLslave_KL&gt;22,KLslave_KL-22,0)*15+IF(KLslave_KL&gt;23,KLslave_KL-23,0)*15+IF(KLslave_KL&gt;24,KLslave_KL-24,0)*15-120</f>
        <v>15</v>
      </c>
      <c r="H5" s="189">
        <f>INslave*15+IF(INslave&gt;14,INslave-14,0)*15+IF(INslave&gt;15,INslave-15,0)*15+IF(INslave&gt;16,INslave-16,0)*15+IF(INslave&gt;17,INslave-17,0)*15+IF(INslave&gt;18,INslave-18,0)*15+IF(INslave&gt;19,INslave-19,0)*15+IF(INslave&gt;20,INslave-20,0)*15+IF(INslave&gt;21,INslave-21,0)*15+IF(INslave&gt;22,INslave-22,0)*15+IF(INslave&gt;23,INslave-23,0)*15+IF(INslave&gt;24,INslave-24,0)*15-120</f>
        <v>0</v>
      </c>
      <c r="I5" s="189">
        <f>CHslave*15+IF(CHslave&gt;14,CHslave-14,0)*15+IF(CHslave&gt;15,CHslave-15,0)*15+IF(CHslave&gt;16,CHslave-16,0)*15+IF(CHslave&gt;17,CHslave-17,0)*15+IF(CHslave&gt;18,CHslave-18,0)*15+IF(CHslave&gt;19,CHslave-19,0)*15+IF(CHslave&gt;20,CHslave-20,0)*15+IF(CHslave&gt;21,CHslave-21,0)*15+IF(CHslave&gt;22,CHslave-22,0)*15+IF(CHslave&gt;23,CHslave-23,0)*15+IF(CHslave&gt;24,CHslave-24,0)*15-120</f>
        <v>0</v>
      </c>
      <c r="J5" s="189">
        <f>FFslave*15+IF(FFslave&gt;14,FFslave-14,0)*15+IF(FFslave&gt;15,FFslave-15,0)*15+IF(FFslave&gt;16,FFslave-16,0)*15+IF(FFslave&gt;17,FFslave-17,0)*15+IF(FFslave&gt;18,FFslave-18,0)*15+IF(FFslave&gt;19,FFslave-19,0)*15+IF(FFslave&gt;20,FFslave-20,0)*15+IF(FFslave&gt;21,FFslave-21,0)*15+IF(FFslave&gt;22,FFslave-22,0)*15+IF(FFslave&gt;23,FFslave-23,0)*15+IF(FFslave&gt;24,FFslave-24,0)*15-120</f>
        <v>0</v>
      </c>
      <c r="K5" s="189">
        <f>GEslave*15+IF(GEslave&gt;14,GEslave-14,0)*15+IF(GEslave&gt;15,GEslave-15,0)*15+IF(GEslave&gt;16,GEslave-16,0)*15+IF(GEslave&gt;17,GEslave-17,0)*15+IF(GEslave&gt;18,GEslave-18,0)*15+IF(GEslave&gt;19,GEslave-19,0)*15+IF(GEslave&gt;20,GEslave-20,0)*15+IF(GEslave&gt;21,GEslave-21,0)*15+IF(GEslave&gt;22,GEslave-22,0)*15+IF(GEslave&gt;23,GEslave-23,0)*15+IF(GEslave&gt;24,GEslave-24,0)*15-120</f>
        <v>0</v>
      </c>
      <c r="L5" s="189">
        <f>KOslave*15+IF(KOslave&gt;14,KOslave-14,0)*15+IF(KOslave&gt;15,KOslave-15,0)*15+IF(KOslave&gt;16,KOslave-16,0)*15+IF(KOslave&gt;17,KOslave-17,0)*15+IF(KOslave&gt;18,KOslave-18,0)*15+IF(KOslave&gt;19,KOslave-19,0)*15+IF(KOslave&gt;20,KOslave-20,0)*15+IF(KOslave&gt;21,KOslave-21,0)*15+IF(KOslave&gt;22,KOslave-22,0)*15+IF(KOslave&gt;23,KOslave-23,0)*15+IF(KOslave&gt;24,KOslave-24,0)*15-120</f>
        <v>0</v>
      </c>
      <c r="M5" s="189">
        <f>KKslave*15+IF(KKslave&gt;14,KKslave-14,0)*15+IF(KKslave&gt;15,KKslave-15,0)*15+IF(KKslave&gt;16,KKslave-16,0)*15+IF(KKslave&gt;17,KKslave-17,0)*15+IF(KKslave&gt;18,KKslave-18,0)*15+IF(KKslave&gt;19,KKslave-19,0)*15+IF(KKslave&gt;20,KKslave-20,0)*15+IF(KKslave&gt;21,KKslave-21,0)*15+IF(KKslave&gt;22,KKslave-22,0)*15+IF(KKslave&gt;23,KKslave-23,0)*15+IF(KKslave&gt;24,KKslave-24,0)*15-120</f>
        <v>0</v>
      </c>
      <c r="N5" s="189">
        <f>SUM(F5:M5)</f>
        <v>15</v>
      </c>
      <c r="O5" s="189">
        <f>AP_in_Talenten_KL</f>
        <v>0</v>
      </c>
      <c r="P5" s="17">
        <f>AP_in_Attributen_KL+AP_in_Talenten_KL</f>
        <v>15</v>
      </c>
      <c r="Q5" s="99">
        <v>1100</v>
      </c>
      <c r="R5" s="189">
        <f>Q5-P5</f>
        <v>1085</v>
      </c>
      <c r="S5" s="29"/>
      <c r="T5" s="29"/>
      <c r="X5" s="34"/>
      <c r="Y5" s="71"/>
      <c r="Z5" s="38"/>
      <c r="AA5" s="34"/>
      <c r="AB5" s="67"/>
      <c r="AC5" s="34"/>
      <c r="AD5" s="39"/>
    </row>
    <row r="6" spans="1:31" s="4" customFormat="1">
      <c r="A6" s="150"/>
      <c r="C6" s="3"/>
      <c r="F6" s="6"/>
      <c r="G6" s="6"/>
      <c r="H6" s="6"/>
      <c r="I6" s="6"/>
      <c r="J6" s="6"/>
      <c r="K6" s="6"/>
      <c r="L6" s="6"/>
      <c r="M6" s="6"/>
      <c r="P6" s="6"/>
      <c r="Q6" s="6"/>
      <c r="R6" s="6"/>
      <c r="S6" s="6"/>
      <c r="T6" s="6"/>
      <c r="Y6" s="71"/>
      <c r="Z6" s="1"/>
      <c r="AA6" s="35"/>
      <c r="AB6" s="22"/>
      <c r="AC6" s="35"/>
      <c r="AD6" s="36"/>
    </row>
    <row r="7" spans="1:31" s="4" customFormat="1">
      <c r="A7" s="150"/>
      <c r="C7" s="3"/>
      <c r="F7" s="289" t="s">
        <v>126</v>
      </c>
      <c r="G7" s="290"/>
      <c r="H7" s="290"/>
      <c r="I7" s="290"/>
      <c r="J7" s="290"/>
      <c r="K7" s="290"/>
      <c r="L7" s="290"/>
      <c r="M7" s="291"/>
      <c r="N7" s="292" t="s">
        <v>151</v>
      </c>
      <c r="O7" s="293"/>
      <c r="P7" s="294"/>
      <c r="Q7" s="289" t="s">
        <v>150</v>
      </c>
      <c r="R7" s="290"/>
      <c r="S7" s="291"/>
      <c r="T7" s="101" t="s">
        <v>114</v>
      </c>
      <c r="U7" s="292" t="s">
        <v>152</v>
      </c>
      <c r="V7" s="293"/>
      <c r="W7" s="294"/>
      <c r="X7" s="14" t="s">
        <v>153</v>
      </c>
      <c r="Y7" s="72" t="s">
        <v>138</v>
      </c>
      <c r="Z7" s="41" t="s">
        <v>120</v>
      </c>
      <c r="AA7" s="42" t="s">
        <v>130</v>
      </c>
      <c r="AB7" s="78" t="s">
        <v>130</v>
      </c>
      <c r="AC7" s="42" t="s">
        <v>130</v>
      </c>
      <c r="AD7" s="43" t="s">
        <v>130</v>
      </c>
    </row>
    <row r="8" spans="1:31" s="4" customFormat="1" ht="15.75" thickBot="1">
      <c r="A8" s="150"/>
      <c r="B8" s="3"/>
      <c r="C8" s="3"/>
      <c r="D8" s="3"/>
      <c r="F8" s="190" t="s">
        <v>0</v>
      </c>
      <c r="G8" s="190" t="s">
        <v>1</v>
      </c>
      <c r="H8" s="190" t="s">
        <v>2</v>
      </c>
      <c r="I8" s="190" t="s">
        <v>3</v>
      </c>
      <c r="J8" s="190" t="s">
        <v>4</v>
      </c>
      <c r="K8" s="190" t="s">
        <v>5</v>
      </c>
      <c r="L8" s="190" t="s">
        <v>6</v>
      </c>
      <c r="M8" s="190" t="s">
        <v>7</v>
      </c>
      <c r="N8" s="33" t="s">
        <v>109</v>
      </c>
      <c r="O8" s="33" t="s">
        <v>110</v>
      </c>
      <c r="P8" s="190" t="s">
        <v>111</v>
      </c>
      <c r="Q8" s="190" t="s">
        <v>106</v>
      </c>
      <c r="R8" s="190" t="s">
        <v>107</v>
      </c>
      <c r="S8" s="190" t="s">
        <v>108</v>
      </c>
      <c r="T8" s="190" t="s">
        <v>115</v>
      </c>
      <c r="U8" s="40" t="s">
        <v>127</v>
      </c>
      <c r="V8" s="40" t="s">
        <v>128</v>
      </c>
      <c r="W8" s="40" t="s">
        <v>129</v>
      </c>
      <c r="X8" s="33" t="s">
        <v>119</v>
      </c>
      <c r="Y8" s="73" t="s">
        <v>125</v>
      </c>
      <c r="Z8" s="44" t="s">
        <v>343</v>
      </c>
      <c r="AA8" s="45" t="s">
        <v>157</v>
      </c>
      <c r="AB8" s="79" t="s">
        <v>159</v>
      </c>
      <c r="AC8" s="45" t="s">
        <v>155</v>
      </c>
      <c r="AD8" s="46" t="s">
        <v>137</v>
      </c>
    </row>
    <row r="9" spans="1:31" ht="15.75" thickBot="1">
      <c r="A9" s="135" t="s">
        <v>333</v>
      </c>
    </row>
    <row r="10" spans="1:31" ht="15" hidden="1" customHeight="1" outlineLevel="1">
      <c r="B10" s="134" t="s">
        <v>68</v>
      </c>
    </row>
    <row r="11" spans="1:31" ht="15" hidden="1" customHeight="1" outlineLevel="2">
      <c r="B11" s="148">
        <v>1</v>
      </c>
      <c r="C11" s="176" t="str">
        <f>Attribute!C11</f>
        <v>---</v>
      </c>
      <c r="D11" s="126" t="str">
        <f>VLOOKUP(C11,'Talente &amp; Stuff'!BI:CJ,2,FALSE)</f>
        <v>--/--/--</v>
      </c>
      <c r="E11" s="158" t="str">
        <f>VLOOKUP(C11,'Talente &amp; Stuff'!BI:CJ,3,FALSE)</f>
        <v>-</v>
      </c>
      <c r="F11" s="191">
        <f>VLOOKUP(C11,'Talente &amp; Stuff'!BI:CJ,4,FALSE)</f>
        <v>0</v>
      </c>
      <c r="G11" s="118">
        <f>VLOOKUP(C11,'Talente &amp; Stuff'!BI:CJ,5,FALSE)</f>
        <v>0</v>
      </c>
      <c r="H11" s="118">
        <f>VLOOKUP(C11,'Talente &amp; Stuff'!BI:CJ,6,FALSE)</f>
        <v>0</v>
      </c>
      <c r="I11" s="118">
        <f>VLOOKUP(C11,'Talente &amp; Stuff'!BI:CJ,7,FALSE)</f>
        <v>0</v>
      </c>
      <c r="J11" s="118">
        <f>VLOOKUP(C11,'Talente &amp; Stuff'!BI:CJ,8,FALSE)</f>
        <v>0</v>
      </c>
      <c r="K11" s="118">
        <f>VLOOKUP(C11,'Talente &amp; Stuff'!BI:CJ,9,FALSE)</f>
        <v>0</v>
      </c>
      <c r="L11" s="118">
        <f>VLOOKUP(C11,'Talente &amp; Stuff'!BI:CJ,10,FALSE)</f>
        <v>0</v>
      </c>
      <c r="M11" s="92">
        <f>VLOOKUP(C11,'Talente &amp; Stuff'!BI:CJ,11,FALSE)</f>
        <v>0</v>
      </c>
      <c r="N11" s="193">
        <f>VLOOKUP(C11,'Talente &amp; Stuff'!BI:CJ,12,FALSE)</f>
        <v>0</v>
      </c>
      <c r="O11" s="116">
        <f>VLOOKUP(C11,'Talente &amp; Stuff'!BI:CJ,13,FALSE)</f>
        <v>0</v>
      </c>
      <c r="P11" s="92">
        <f>VLOOKUP(C11,'Talente &amp; Stuff'!BI:CJ,14,FALSE)</f>
        <v>0</v>
      </c>
      <c r="Q11" s="191">
        <f>VLOOKUP(C11,'Talente &amp; Stuff'!BI:CJ,15,FALSE)</f>
        <v>0</v>
      </c>
      <c r="R11" s="118">
        <f>VLOOKUP(C11,'Talente &amp; Stuff'!BI:CJ,16,FALSE)</f>
        <v>0</v>
      </c>
      <c r="S11" s="92">
        <f>VLOOKUP(C11,'Talente &amp; Stuff'!BI:CJ,17,FALSE)</f>
        <v>0</v>
      </c>
      <c r="T11" s="91">
        <f>VLOOKUP(C11,'Talente &amp; Stuff'!BI:CJ,18,FALSE)</f>
        <v>0</v>
      </c>
      <c r="U11" s="193">
        <f>VLOOKUP(C11,'Talente &amp; Stuff'!BI:CJ,19,FALSE)</f>
        <v>0</v>
      </c>
      <c r="V11" s="116">
        <f>VLOOKUP(C11,'Talente &amp; Stuff'!BI:CJ,20,FALSE)</f>
        <v>0</v>
      </c>
      <c r="W11" s="126">
        <f>VLOOKUP(C11,'Talente &amp; Stuff'!BI:CJ,21,FALSE)</f>
        <v>0</v>
      </c>
      <c r="X11" s="158">
        <f>VLOOKUP(C11,'Talente &amp; Stuff'!BI:CJ,22,FALSE)</f>
        <v>0</v>
      </c>
      <c r="Y11" s="165">
        <f t="shared" ref="Y11:Y24" si="0">VLOOKUP(C11,Ausgewählte_Talente_Körpertalente,81,FALSE)</f>
        <v>0</v>
      </c>
      <c r="Z11" s="44">
        <f t="shared" ref="Z11:Z24" si="1">VLOOKUP(C11,Ausgewählte_Talente_Körpertalente,82,FALSE)</f>
        <v>0</v>
      </c>
      <c r="AA11" s="158">
        <f>VLOOKUP(C11,'Talente &amp; Stuff'!BI:CJ,25,FALSE)</f>
        <v>0</v>
      </c>
      <c r="AB11" s="91">
        <f>VLOOKUP(C11,'Talente &amp; Stuff'!BI:CJ,26,FALSE)</f>
        <v>0</v>
      </c>
      <c r="AC11" s="126">
        <f>VLOOKUP(C11,'Talente &amp; Stuff'!BI:CJ,27,FALSE)</f>
        <v>0</v>
      </c>
      <c r="AD11" s="158">
        <f>VLOOKUP(C11,'Talente &amp; Stuff'!BI:CJ,28,FALSE)</f>
        <v>0</v>
      </c>
      <c r="AE11" s="28"/>
    </row>
    <row r="12" spans="1:31" ht="15" hidden="1" customHeight="1" outlineLevel="2">
      <c r="B12" s="148">
        <v>2</v>
      </c>
      <c r="C12" s="177" t="str">
        <f>Attribute!C12</f>
        <v>---</v>
      </c>
      <c r="D12" s="127" t="str">
        <f>VLOOKUP(C12,'Talente &amp; Stuff'!BI:CJ,2,FALSE)</f>
        <v>--/--/--</v>
      </c>
      <c r="E12" s="125" t="str">
        <f>VLOOKUP(C12,'Talente &amp; Stuff'!BI:CJ,3,FALSE)</f>
        <v>-</v>
      </c>
      <c r="F12" s="114">
        <f>VLOOKUP(C12,'Talente &amp; Stuff'!BI:CJ,4,FALSE)</f>
        <v>0</v>
      </c>
      <c r="G12" s="113">
        <f>VLOOKUP(C12,'Talente &amp; Stuff'!BI:CJ,5,FALSE)</f>
        <v>0</v>
      </c>
      <c r="H12" s="113">
        <f>VLOOKUP(C12,'Talente &amp; Stuff'!BI:CJ,6,FALSE)</f>
        <v>0</v>
      </c>
      <c r="I12" s="113">
        <f>VLOOKUP(C12,'Talente &amp; Stuff'!BI:CJ,7,FALSE)</f>
        <v>0</v>
      </c>
      <c r="J12" s="113">
        <f>VLOOKUP(C12,'Talente &amp; Stuff'!BI:CJ,8,FALSE)</f>
        <v>0</v>
      </c>
      <c r="K12" s="113">
        <f>VLOOKUP(C12,'Talente &amp; Stuff'!BI:CJ,9,FALSE)</f>
        <v>0</v>
      </c>
      <c r="L12" s="113">
        <f>VLOOKUP(C12,'Talente &amp; Stuff'!BI:CJ,10,FALSE)</f>
        <v>0</v>
      </c>
      <c r="M12" s="119">
        <f>VLOOKUP(C12,'Talente &amp; Stuff'!BI:CJ,11,FALSE)</f>
        <v>0</v>
      </c>
      <c r="N12" s="89">
        <f>VLOOKUP(C12,'Talente &amp; Stuff'!BI:CJ,12,FALSE)</f>
        <v>0</v>
      </c>
      <c r="O12" s="47">
        <f>VLOOKUP(C12,'Talente &amp; Stuff'!BI:CJ,13,FALSE)</f>
        <v>0</v>
      </c>
      <c r="P12" s="119">
        <f>VLOOKUP(C12,'Talente &amp; Stuff'!BI:CJ,14,FALSE)</f>
        <v>0</v>
      </c>
      <c r="Q12" s="114">
        <f>VLOOKUP(C12,'Talente &amp; Stuff'!BI:CJ,15,FALSE)</f>
        <v>0</v>
      </c>
      <c r="R12" s="113">
        <f>VLOOKUP(C12,'Talente &amp; Stuff'!BI:CJ,16,FALSE)</f>
        <v>0</v>
      </c>
      <c r="S12" s="119">
        <f>VLOOKUP(C12,'Talente &amp; Stuff'!BI:CJ,17,FALSE)</f>
        <v>0</v>
      </c>
      <c r="T12" s="160">
        <f>VLOOKUP(C12,'Talente &amp; Stuff'!BI:CJ,18,FALSE)</f>
        <v>0</v>
      </c>
      <c r="U12" s="89">
        <f>VLOOKUP(C12,'Talente &amp; Stuff'!BI:CJ,19,FALSE)</f>
        <v>0</v>
      </c>
      <c r="V12" s="47">
        <f>VLOOKUP(C12,'Talente &amp; Stuff'!BI:CJ,20,FALSE)</f>
        <v>0</v>
      </c>
      <c r="W12" s="127">
        <f>VLOOKUP(C12,'Talente &amp; Stuff'!BI:CJ,21,FALSE)</f>
        <v>0</v>
      </c>
      <c r="X12" s="125">
        <f>VLOOKUP(C12,'Talente &amp; Stuff'!BI:CJ,22,FALSE)</f>
        <v>0</v>
      </c>
      <c r="Y12" s="165">
        <f t="shared" si="0"/>
        <v>0</v>
      </c>
      <c r="Z12" s="44">
        <f t="shared" si="1"/>
        <v>0</v>
      </c>
      <c r="AA12" s="125">
        <f>VLOOKUP(C12,'Talente &amp; Stuff'!BI:CJ,25,FALSE)</f>
        <v>0</v>
      </c>
      <c r="AB12" s="160">
        <f>VLOOKUP(C12,'Talente &amp; Stuff'!BI:CJ,26,FALSE)</f>
        <v>0</v>
      </c>
      <c r="AC12" s="127">
        <f>VLOOKUP(C12,'Talente &amp; Stuff'!BI:CJ,27,FALSE)</f>
        <v>0</v>
      </c>
      <c r="AD12" s="125">
        <f>VLOOKUP(C12,'Talente &amp; Stuff'!BI:CJ,28,FALSE)</f>
        <v>0</v>
      </c>
      <c r="AE12" s="28"/>
    </row>
    <row r="13" spans="1:31" ht="15" hidden="1" customHeight="1" outlineLevel="2">
      <c r="B13" s="148">
        <v>3</v>
      </c>
      <c r="C13" s="177" t="str">
        <f>Attribute!C13</f>
        <v>---</v>
      </c>
      <c r="D13" s="127" t="str">
        <f>VLOOKUP(C13,'Talente &amp; Stuff'!BI:CJ,2,FALSE)</f>
        <v>--/--/--</v>
      </c>
      <c r="E13" s="125" t="str">
        <f>VLOOKUP(C13,'Talente &amp; Stuff'!BI:CJ,3,FALSE)</f>
        <v>-</v>
      </c>
      <c r="F13" s="114">
        <f>VLOOKUP(C13,'Talente &amp; Stuff'!BI:CJ,4,FALSE)</f>
        <v>0</v>
      </c>
      <c r="G13" s="113">
        <f>VLOOKUP(C13,'Talente &amp; Stuff'!BI:CJ,5,FALSE)</f>
        <v>0</v>
      </c>
      <c r="H13" s="113">
        <f>VLOOKUP(C13,'Talente &amp; Stuff'!BI:CJ,6,FALSE)</f>
        <v>0</v>
      </c>
      <c r="I13" s="113">
        <f>VLOOKUP(C13,'Talente &amp; Stuff'!BI:CJ,7,FALSE)</f>
        <v>0</v>
      </c>
      <c r="J13" s="113">
        <f>VLOOKUP(C13,'Talente &amp; Stuff'!BI:CJ,8,FALSE)</f>
        <v>0</v>
      </c>
      <c r="K13" s="113">
        <f>VLOOKUP(C13,'Talente &amp; Stuff'!BI:CJ,9,FALSE)</f>
        <v>0</v>
      </c>
      <c r="L13" s="113">
        <f>VLOOKUP(C13,'Talente &amp; Stuff'!BI:CJ,10,FALSE)</f>
        <v>0</v>
      </c>
      <c r="M13" s="119">
        <f>VLOOKUP(C13,'Talente &amp; Stuff'!BI:CJ,11,FALSE)</f>
        <v>0</v>
      </c>
      <c r="N13" s="89">
        <f>VLOOKUP(C13,'Talente &amp; Stuff'!BI:CJ,12,FALSE)</f>
        <v>0</v>
      </c>
      <c r="O13" s="47">
        <f>VLOOKUP(C13,'Talente &amp; Stuff'!BI:CJ,13,FALSE)</f>
        <v>0</v>
      </c>
      <c r="P13" s="119">
        <f>VLOOKUP(C13,'Talente &amp; Stuff'!BI:CJ,14,FALSE)</f>
        <v>0</v>
      </c>
      <c r="Q13" s="114">
        <f>VLOOKUP(C13,'Talente &amp; Stuff'!BI:CJ,15,FALSE)</f>
        <v>0</v>
      </c>
      <c r="R13" s="113">
        <f>VLOOKUP(C13,'Talente &amp; Stuff'!BI:CJ,16,FALSE)</f>
        <v>0</v>
      </c>
      <c r="S13" s="119">
        <f>VLOOKUP(C13,'Talente &amp; Stuff'!BI:CJ,17,FALSE)</f>
        <v>0</v>
      </c>
      <c r="T13" s="160">
        <f>VLOOKUP(C13,'Talente &amp; Stuff'!BI:CJ,18,FALSE)</f>
        <v>0</v>
      </c>
      <c r="U13" s="89">
        <f>VLOOKUP(C13,'Talente &amp; Stuff'!BI:CJ,19,FALSE)</f>
        <v>0</v>
      </c>
      <c r="V13" s="47">
        <f>VLOOKUP(C13,'Talente &amp; Stuff'!BI:CJ,20,FALSE)</f>
        <v>0</v>
      </c>
      <c r="W13" s="127">
        <f>VLOOKUP(C13,'Talente &amp; Stuff'!BI:CJ,21,FALSE)</f>
        <v>0</v>
      </c>
      <c r="X13" s="125">
        <f>VLOOKUP(C13,'Talente &amp; Stuff'!BI:CJ,22,FALSE)</f>
        <v>0</v>
      </c>
      <c r="Y13" s="165">
        <f t="shared" si="0"/>
        <v>0</v>
      </c>
      <c r="Z13" s="44">
        <f t="shared" si="1"/>
        <v>0</v>
      </c>
      <c r="AA13" s="125">
        <f>VLOOKUP(C13,'Talente &amp; Stuff'!BI:CJ,25,FALSE)</f>
        <v>0</v>
      </c>
      <c r="AB13" s="160">
        <f>VLOOKUP(C13,'Talente &amp; Stuff'!BI:CJ,26,FALSE)</f>
        <v>0</v>
      </c>
      <c r="AC13" s="127">
        <f>VLOOKUP(C13,'Talente &amp; Stuff'!BI:CJ,27,FALSE)</f>
        <v>0</v>
      </c>
      <c r="AD13" s="125">
        <f>VLOOKUP(C13,'Talente &amp; Stuff'!BI:CJ,28,FALSE)</f>
        <v>0</v>
      </c>
      <c r="AE13" s="28"/>
    </row>
    <row r="14" spans="1:31" ht="15" hidden="1" customHeight="1" outlineLevel="2">
      <c r="B14" s="148">
        <v>4</v>
      </c>
      <c r="C14" s="177" t="str">
        <f>Attribute!C14</f>
        <v>---</v>
      </c>
      <c r="D14" s="127" t="str">
        <f>VLOOKUP(C14,'Talente &amp; Stuff'!BI:CJ,2,FALSE)</f>
        <v>--/--/--</v>
      </c>
      <c r="E14" s="125" t="str">
        <f>VLOOKUP(C14,'Talente &amp; Stuff'!BI:CJ,3,FALSE)</f>
        <v>-</v>
      </c>
      <c r="F14" s="114">
        <f>VLOOKUP(C14,'Talente &amp; Stuff'!BI:CJ,4,FALSE)</f>
        <v>0</v>
      </c>
      <c r="G14" s="113">
        <f>VLOOKUP(C14,'Talente &amp; Stuff'!BI:CJ,5,FALSE)</f>
        <v>0</v>
      </c>
      <c r="H14" s="113">
        <f>VLOOKUP(C14,'Talente &amp; Stuff'!BI:CJ,6,FALSE)</f>
        <v>0</v>
      </c>
      <c r="I14" s="113">
        <f>VLOOKUP(C14,'Talente &amp; Stuff'!BI:CJ,7,FALSE)</f>
        <v>0</v>
      </c>
      <c r="J14" s="113">
        <f>VLOOKUP(C14,'Talente &amp; Stuff'!BI:CJ,8,FALSE)</f>
        <v>0</v>
      </c>
      <c r="K14" s="113">
        <f>VLOOKUP(C14,'Talente &amp; Stuff'!BI:CJ,9,FALSE)</f>
        <v>0</v>
      </c>
      <c r="L14" s="113">
        <f>VLOOKUP(C14,'Talente &amp; Stuff'!BI:CJ,10,FALSE)</f>
        <v>0</v>
      </c>
      <c r="M14" s="119">
        <f>VLOOKUP(C14,'Talente &amp; Stuff'!BI:CJ,11,FALSE)</f>
        <v>0</v>
      </c>
      <c r="N14" s="89">
        <f>VLOOKUP(C14,'Talente &amp; Stuff'!BI:CJ,12,FALSE)</f>
        <v>0</v>
      </c>
      <c r="O14" s="47">
        <f>VLOOKUP(C14,'Talente &amp; Stuff'!BI:CJ,13,FALSE)</f>
        <v>0</v>
      </c>
      <c r="P14" s="119">
        <f>VLOOKUP(C14,'Talente &amp; Stuff'!BI:CJ,14,FALSE)</f>
        <v>0</v>
      </c>
      <c r="Q14" s="114">
        <f>VLOOKUP(C14,'Talente &amp; Stuff'!BI:CJ,15,FALSE)</f>
        <v>0</v>
      </c>
      <c r="R14" s="113">
        <f>VLOOKUP(C14,'Talente &amp; Stuff'!BI:CJ,16,FALSE)</f>
        <v>0</v>
      </c>
      <c r="S14" s="119">
        <f>VLOOKUP(C14,'Talente &amp; Stuff'!BI:CJ,17,FALSE)</f>
        <v>0</v>
      </c>
      <c r="T14" s="160">
        <f>VLOOKUP(C14,'Talente &amp; Stuff'!BI:CJ,18,FALSE)</f>
        <v>0</v>
      </c>
      <c r="U14" s="89">
        <f>VLOOKUP(C14,'Talente &amp; Stuff'!BI:CJ,19,FALSE)</f>
        <v>0</v>
      </c>
      <c r="V14" s="47">
        <f>VLOOKUP(C14,'Talente &amp; Stuff'!BI:CJ,20,FALSE)</f>
        <v>0</v>
      </c>
      <c r="W14" s="127">
        <f>VLOOKUP(C14,'Talente &amp; Stuff'!BI:CJ,21,FALSE)</f>
        <v>0</v>
      </c>
      <c r="X14" s="125">
        <f>VLOOKUP(C14,'Talente &amp; Stuff'!BI:CJ,22,FALSE)</f>
        <v>0</v>
      </c>
      <c r="Y14" s="165">
        <f t="shared" si="0"/>
        <v>0</v>
      </c>
      <c r="Z14" s="44">
        <f t="shared" si="1"/>
        <v>0</v>
      </c>
      <c r="AA14" s="125">
        <f>VLOOKUP(C14,'Talente &amp; Stuff'!BI:CJ,25,FALSE)</f>
        <v>0</v>
      </c>
      <c r="AB14" s="160">
        <f>VLOOKUP(C14,'Talente &amp; Stuff'!BI:CJ,26,FALSE)</f>
        <v>0</v>
      </c>
      <c r="AC14" s="127">
        <f>VLOOKUP(C14,'Talente &amp; Stuff'!BI:CJ,27,FALSE)</f>
        <v>0</v>
      </c>
      <c r="AD14" s="125">
        <f>VLOOKUP(C14,'Talente &amp; Stuff'!BI:CJ,28,FALSE)</f>
        <v>0</v>
      </c>
      <c r="AE14" s="28"/>
    </row>
    <row r="15" spans="1:31" ht="15" hidden="1" customHeight="1" outlineLevel="2">
      <c r="B15" s="148">
        <v>5</v>
      </c>
      <c r="C15" s="177" t="str">
        <f>Attribute!C15</f>
        <v>---</v>
      </c>
      <c r="D15" s="127" t="str">
        <f>VLOOKUP(C15,'Talente &amp; Stuff'!BI:CJ,2,FALSE)</f>
        <v>--/--/--</v>
      </c>
      <c r="E15" s="125" t="str">
        <f>VLOOKUP(C15,'Talente &amp; Stuff'!BI:CJ,3,FALSE)</f>
        <v>-</v>
      </c>
      <c r="F15" s="114">
        <f>VLOOKUP(C15,'Talente &amp; Stuff'!BI:CJ,4,FALSE)</f>
        <v>0</v>
      </c>
      <c r="G15" s="113">
        <f>VLOOKUP(C15,'Talente &amp; Stuff'!BI:CJ,5,FALSE)</f>
        <v>0</v>
      </c>
      <c r="H15" s="113">
        <f>VLOOKUP(C15,'Talente &amp; Stuff'!BI:CJ,6,FALSE)</f>
        <v>0</v>
      </c>
      <c r="I15" s="113">
        <f>VLOOKUP(C15,'Talente &amp; Stuff'!BI:CJ,7,FALSE)</f>
        <v>0</v>
      </c>
      <c r="J15" s="113">
        <f>VLOOKUP(C15,'Talente &amp; Stuff'!BI:CJ,8,FALSE)</f>
        <v>0</v>
      </c>
      <c r="K15" s="113">
        <f>VLOOKUP(C15,'Talente &amp; Stuff'!BI:CJ,9,FALSE)</f>
        <v>0</v>
      </c>
      <c r="L15" s="113">
        <f>VLOOKUP(C15,'Talente &amp; Stuff'!BI:CJ,10,FALSE)</f>
        <v>0</v>
      </c>
      <c r="M15" s="119">
        <f>VLOOKUP(C15,'Talente &amp; Stuff'!BI:CJ,11,FALSE)</f>
        <v>0</v>
      </c>
      <c r="N15" s="89">
        <f>VLOOKUP(C15,'Talente &amp; Stuff'!BI:CJ,12,FALSE)</f>
        <v>0</v>
      </c>
      <c r="O15" s="47">
        <f>VLOOKUP(C15,'Talente &amp; Stuff'!BI:CJ,13,FALSE)</f>
        <v>0</v>
      </c>
      <c r="P15" s="119">
        <f>VLOOKUP(C15,'Talente &amp; Stuff'!BI:CJ,14,FALSE)</f>
        <v>0</v>
      </c>
      <c r="Q15" s="114">
        <f>VLOOKUP(C15,'Talente &amp; Stuff'!BI:CJ,15,FALSE)</f>
        <v>0</v>
      </c>
      <c r="R15" s="113">
        <f>VLOOKUP(C15,'Talente &amp; Stuff'!BI:CJ,16,FALSE)</f>
        <v>0</v>
      </c>
      <c r="S15" s="119">
        <f>VLOOKUP(C15,'Talente &amp; Stuff'!BI:CJ,17,FALSE)</f>
        <v>0</v>
      </c>
      <c r="T15" s="160">
        <f>VLOOKUP(C15,'Talente &amp; Stuff'!BI:CJ,18,FALSE)</f>
        <v>0</v>
      </c>
      <c r="U15" s="89">
        <f>VLOOKUP(C15,'Talente &amp; Stuff'!BI:CJ,19,FALSE)</f>
        <v>0</v>
      </c>
      <c r="V15" s="47">
        <f>VLOOKUP(C15,'Talente &amp; Stuff'!BI:CJ,20,FALSE)</f>
        <v>0</v>
      </c>
      <c r="W15" s="127">
        <f>VLOOKUP(C15,'Talente &amp; Stuff'!BI:CJ,21,FALSE)</f>
        <v>0</v>
      </c>
      <c r="X15" s="125">
        <f>VLOOKUP(C15,'Talente &amp; Stuff'!BI:CJ,22,FALSE)</f>
        <v>0</v>
      </c>
      <c r="Y15" s="165">
        <f t="shared" si="0"/>
        <v>0</v>
      </c>
      <c r="Z15" s="44">
        <f t="shared" si="1"/>
        <v>0</v>
      </c>
      <c r="AA15" s="125">
        <f>VLOOKUP(C15,'Talente &amp; Stuff'!BI:CJ,25,FALSE)</f>
        <v>0</v>
      </c>
      <c r="AB15" s="160">
        <f>VLOOKUP(C15,'Talente &amp; Stuff'!BI:CJ,26,FALSE)</f>
        <v>0</v>
      </c>
      <c r="AC15" s="127">
        <f>VLOOKUP(C15,'Talente &amp; Stuff'!BI:CJ,27,FALSE)</f>
        <v>0</v>
      </c>
      <c r="AD15" s="125">
        <f>VLOOKUP(C15,'Talente &amp; Stuff'!BI:CJ,28,FALSE)</f>
        <v>0</v>
      </c>
      <c r="AE15" s="28"/>
    </row>
    <row r="16" spans="1:31" ht="15" hidden="1" customHeight="1" outlineLevel="2">
      <c r="B16" s="148">
        <v>6</v>
      </c>
      <c r="C16" s="177" t="str">
        <f>Attribute!C16</f>
        <v>---</v>
      </c>
      <c r="D16" s="127" t="str">
        <f>VLOOKUP(C16,'Talente &amp; Stuff'!BI:CJ,2,FALSE)</f>
        <v>--/--/--</v>
      </c>
      <c r="E16" s="125" t="str">
        <f>VLOOKUP(C16,'Talente &amp; Stuff'!BI:CJ,3,FALSE)</f>
        <v>-</v>
      </c>
      <c r="F16" s="114">
        <f>VLOOKUP(C16,'Talente &amp; Stuff'!BI:CJ,4,FALSE)</f>
        <v>0</v>
      </c>
      <c r="G16" s="113">
        <f>VLOOKUP(C16,'Talente &amp; Stuff'!BI:CJ,5,FALSE)</f>
        <v>0</v>
      </c>
      <c r="H16" s="113">
        <f>VLOOKUP(C16,'Talente &amp; Stuff'!BI:CJ,6,FALSE)</f>
        <v>0</v>
      </c>
      <c r="I16" s="113">
        <f>VLOOKUP(C16,'Talente &amp; Stuff'!BI:CJ,7,FALSE)</f>
        <v>0</v>
      </c>
      <c r="J16" s="113">
        <f>VLOOKUP(C16,'Talente &amp; Stuff'!BI:CJ,8,FALSE)</f>
        <v>0</v>
      </c>
      <c r="K16" s="113">
        <f>VLOOKUP(C16,'Talente &amp; Stuff'!BI:CJ,9,FALSE)</f>
        <v>0</v>
      </c>
      <c r="L16" s="113">
        <f>VLOOKUP(C16,'Talente &amp; Stuff'!BI:CJ,10,FALSE)</f>
        <v>0</v>
      </c>
      <c r="M16" s="119">
        <f>VLOOKUP(C16,'Talente &amp; Stuff'!BI:CJ,11,FALSE)</f>
        <v>0</v>
      </c>
      <c r="N16" s="89">
        <f>VLOOKUP(C16,'Talente &amp; Stuff'!BI:CJ,12,FALSE)</f>
        <v>0</v>
      </c>
      <c r="O16" s="47">
        <f>VLOOKUP(C16,'Talente &amp; Stuff'!BI:CJ,13,FALSE)</f>
        <v>0</v>
      </c>
      <c r="P16" s="119">
        <f>VLOOKUP(C16,'Talente &amp; Stuff'!BI:CJ,14,FALSE)</f>
        <v>0</v>
      </c>
      <c r="Q16" s="114">
        <f>VLOOKUP(C16,'Talente &amp; Stuff'!BI:CJ,15,FALSE)</f>
        <v>0</v>
      </c>
      <c r="R16" s="113">
        <f>VLOOKUP(C16,'Talente &amp; Stuff'!BI:CJ,16,FALSE)</f>
        <v>0</v>
      </c>
      <c r="S16" s="119">
        <f>VLOOKUP(C16,'Talente &amp; Stuff'!BI:CJ,17,FALSE)</f>
        <v>0</v>
      </c>
      <c r="T16" s="160">
        <f>VLOOKUP(C16,'Talente &amp; Stuff'!BI:CJ,18,FALSE)</f>
        <v>0</v>
      </c>
      <c r="U16" s="89">
        <f>VLOOKUP(C16,'Talente &amp; Stuff'!BI:CJ,19,FALSE)</f>
        <v>0</v>
      </c>
      <c r="V16" s="47">
        <f>VLOOKUP(C16,'Talente &amp; Stuff'!BI:CJ,20,FALSE)</f>
        <v>0</v>
      </c>
      <c r="W16" s="127">
        <f>VLOOKUP(C16,'Talente &amp; Stuff'!BI:CJ,21,FALSE)</f>
        <v>0</v>
      </c>
      <c r="X16" s="125">
        <f>VLOOKUP(C16,'Talente &amp; Stuff'!BI:CJ,22,FALSE)</f>
        <v>0</v>
      </c>
      <c r="Y16" s="165">
        <f t="shared" si="0"/>
        <v>0</v>
      </c>
      <c r="Z16" s="44">
        <f t="shared" si="1"/>
        <v>0</v>
      </c>
      <c r="AA16" s="125">
        <f>VLOOKUP(C16,'Talente &amp; Stuff'!BI:CJ,25,FALSE)</f>
        <v>0</v>
      </c>
      <c r="AB16" s="160">
        <f>VLOOKUP(C16,'Talente &amp; Stuff'!BI:CJ,26,FALSE)</f>
        <v>0</v>
      </c>
      <c r="AC16" s="127">
        <f>VLOOKUP(C16,'Talente &amp; Stuff'!BI:CJ,27,FALSE)</f>
        <v>0</v>
      </c>
      <c r="AD16" s="125">
        <f>VLOOKUP(C16,'Talente &amp; Stuff'!BI:CJ,28,FALSE)</f>
        <v>0</v>
      </c>
      <c r="AE16" s="28"/>
    </row>
    <row r="17" spans="2:31" ht="15" hidden="1" customHeight="1" outlineLevel="2">
      <c r="B17" s="148">
        <v>7</v>
      </c>
      <c r="C17" s="177" t="str">
        <f>Attribute!C17</f>
        <v>---</v>
      </c>
      <c r="D17" s="127" t="str">
        <f>VLOOKUP(C17,'Talente &amp; Stuff'!BI:CJ,2,FALSE)</f>
        <v>--/--/--</v>
      </c>
      <c r="E17" s="125" t="str">
        <f>VLOOKUP(C17,'Talente &amp; Stuff'!BI:CJ,3,FALSE)</f>
        <v>-</v>
      </c>
      <c r="F17" s="114">
        <f>VLOOKUP(C17,'Talente &amp; Stuff'!BI:CJ,4,FALSE)</f>
        <v>0</v>
      </c>
      <c r="G17" s="113">
        <f>VLOOKUP(C17,'Talente &amp; Stuff'!BI:CJ,5,FALSE)</f>
        <v>0</v>
      </c>
      <c r="H17" s="113">
        <f>VLOOKUP(C17,'Talente &amp; Stuff'!BI:CJ,6,FALSE)</f>
        <v>0</v>
      </c>
      <c r="I17" s="113">
        <f>VLOOKUP(C17,'Talente &amp; Stuff'!BI:CJ,7,FALSE)</f>
        <v>0</v>
      </c>
      <c r="J17" s="113">
        <f>VLOOKUP(C17,'Talente &amp; Stuff'!BI:CJ,8,FALSE)</f>
        <v>0</v>
      </c>
      <c r="K17" s="113">
        <f>VLOOKUP(C17,'Talente &amp; Stuff'!BI:CJ,9,FALSE)</f>
        <v>0</v>
      </c>
      <c r="L17" s="113">
        <f>VLOOKUP(C17,'Talente &amp; Stuff'!BI:CJ,10,FALSE)</f>
        <v>0</v>
      </c>
      <c r="M17" s="119">
        <f>VLOOKUP(C17,'Talente &amp; Stuff'!BI:CJ,11,FALSE)</f>
        <v>0</v>
      </c>
      <c r="N17" s="89">
        <f>VLOOKUP(C17,'Talente &amp; Stuff'!BI:CJ,12,FALSE)</f>
        <v>0</v>
      </c>
      <c r="O17" s="47">
        <f>VLOOKUP(C17,'Talente &amp; Stuff'!BI:CJ,13,FALSE)</f>
        <v>0</v>
      </c>
      <c r="P17" s="119">
        <f>VLOOKUP(C17,'Talente &amp; Stuff'!BI:CJ,14,FALSE)</f>
        <v>0</v>
      </c>
      <c r="Q17" s="114">
        <f>VLOOKUP(C17,'Talente &amp; Stuff'!BI:CJ,15,FALSE)</f>
        <v>0</v>
      </c>
      <c r="R17" s="113">
        <f>VLOOKUP(C17,'Talente &amp; Stuff'!BI:CJ,16,FALSE)</f>
        <v>0</v>
      </c>
      <c r="S17" s="119">
        <f>VLOOKUP(C17,'Talente &amp; Stuff'!BI:CJ,17,FALSE)</f>
        <v>0</v>
      </c>
      <c r="T17" s="160">
        <f>VLOOKUP(C17,'Talente &amp; Stuff'!BI:CJ,18,FALSE)</f>
        <v>0</v>
      </c>
      <c r="U17" s="89">
        <f>VLOOKUP(C17,'Talente &amp; Stuff'!BI:CJ,19,FALSE)</f>
        <v>0</v>
      </c>
      <c r="V17" s="47">
        <f>VLOOKUP(C17,'Talente &amp; Stuff'!BI:CJ,20,FALSE)</f>
        <v>0</v>
      </c>
      <c r="W17" s="127">
        <f>VLOOKUP(C17,'Talente &amp; Stuff'!BI:CJ,21,FALSE)</f>
        <v>0</v>
      </c>
      <c r="X17" s="125">
        <f>VLOOKUP(C17,'Talente &amp; Stuff'!BI:CJ,22,FALSE)</f>
        <v>0</v>
      </c>
      <c r="Y17" s="165">
        <f t="shared" si="0"/>
        <v>0</v>
      </c>
      <c r="Z17" s="44">
        <f t="shared" si="1"/>
        <v>0</v>
      </c>
      <c r="AA17" s="125">
        <f>VLOOKUP(C17,'Talente &amp; Stuff'!BI:CJ,25,FALSE)</f>
        <v>0</v>
      </c>
      <c r="AB17" s="160">
        <f>VLOOKUP(C17,'Talente &amp; Stuff'!BI:CJ,26,FALSE)</f>
        <v>0</v>
      </c>
      <c r="AC17" s="127">
        <f>VLOOKUP(C17,'Talente &amp; Stuff'!BI:CJ,27,FALSE)</f>
        <v>0</v>
      </c>
      <c r="AD17" s="125">
        <f>VLOOKUP(C17,'Talente &amp; Stuff'!BI:CJ,28,FALSE)</f>
        <v>0</v>
      </c>
      <c r="AE17" s="28"/>
    </row>
    <row r="18" spans="2:31" ht="15" hidden="1" customHeight="1" outlineLevel="2">
      <c r="B18" s="148">
        <v>8</v>
      </c>
      <c r="C18" s="177" t="str">
        <f>Attribute!C18</f>
        <v>---</v>
      </c>
      <c r="D18" s="127" t="str">
        <f>VLOOKUP(C18,'Talente &amp; Stuff'!BI:CJ,2,FALSE)</f>
        <v>--/--/--</v>
      </c>
      <c r="E18" s="125" t="str">
        <f>VLOOKUP(C18,'Talente &amp; Stuff'!BI:CJ,3,FALSE)</f>
        <v>-</v>
      </c>
      <c r="F18" s="114">
        <f>VLOOKUP(C18,'Talente &amp; Stuff'!BI:CJ,4,FALSE)</f>
        <v>0</v>
      </c>
      <c r="G18" s="113">
        <f>VLOOKUP(C18,'Talente &amp; Stuff'!BI:CJ,5,FALSE)</f>
        <v>0</v>
      </c>
      <c r="H18" s="113">
        <f>VLOOKUP(C18,'Talente &amp; Stuff'!BI:CJ,6,FALSE)</f>
        <v>0</v>
      </c>
      <c r="I18" s="113">
        <f>VLOOKUP(C18,'Talente &amp; Stuff'!BI:CJ,7,FALSE)</f>
        <v>0</v>
      </c>
      <c r="J18" s="113">
        <f>VLOOKUP(C18,'Talente &amp; Stuff'!BI:CJ,8,FALSE)</f>
        <v>0</v>
      </c>
      <c r="K18" s="113">
        <f>VLOOKUP(C18,'Talente &amp; Stuff'!BI:CJ,9,FALSE)</f>
        <v>0</v>
      </c>
      <c r="L18" s="113">
        <f>VLOOKUP(C18,'Talente &amp; Stuff'!BI:CJ,10,FALSE)</f>
        <v>0</v>
      </c>
      <c r="M18" s="119">
        <f>VLOOKUP(C18,'Talente &amp; Stuff'!BI:CJ,11,FALSE)</f>
        <v>0</v>
      </c>
      <c r="N18" s="89">
        <f>VLOOKUP(C18,'Talente &amp; Stuff'!BI:CJ,12,FALSE)</f>
        <v>0</v>
      </c>
      <c r="O18" s="47">
        <f>VLOOKUP(C18,'Talente &amp; Stuff'!BI:CJ,13,FALSE)</f>
        <v>0</v>
      </c>
      <c r="P18" s="119">
        <f>VLOOKUP(C18,'Talente &amp; Stuff'!BI:CJ,14,FALSE)</f>
        <v>0</v>
      </c>
      <c r="Q18" s="114">
        <f>VLOOKUP(C18,'Talente &amp; Stuff'!BI:CJ,15,FALSE)</f>
        <v>0</v>
      </c>
      <c r="R18" s="113">
        <f>VLOOKUP(C18,'Talente &amp; Stuff'!BI:CJ,16,FALSE)</f>
        <v>0</v>
      </c>
      <c r="S18" s="119">
        <f>VLOOKUP(C18,'Talente &amp; Stuff'!BI:CJ,17,FALSE)</f>
        <v>0</v>
      </c>
      <c r="T18" s="160">
        <f>VLOOKUP(C18,'Talente &amp; Stuff'!BI:CJ,18,FALSE)</f>
        <v>0</v>
      </c>
      <c r="U18" s="89">
        <f>VLOOKUP(C18,'Talente &amp; Stuff'!BI:CJ,19,FALSE)</f>
        <v>0</v>
      </c>
      <c r="V18" s="47">
        <f>VLOOKUP(C18,'Talente &amp; Stuff'!BI:CJ,20,FALSE)</f>
        <v>0</v>
      </c>
      <c r="W18" s="127">
        <f>VLOOKUP(C18,'Talente &amp; Stuff'!BI:CJ,21,FALSE)</f>
        <v>0</v>
      </c>
      <c r="X18" s="125">
        <f>VLOOKUP(C18,'Talente &amp; Stuff'!BI:CJ,22,FALSE)</f>
        <v>0</v>
      </c>
      <c r="Y18" s="165">
        <f t="shared" si="0"/>
        <v>0</v>
      </c>
      <c r="Z18" s="44">
        <f t="shared" si="1"/>
        <v>0</v>
      </c>
      <c r="AA18" s="125">
        <f>VLOOKUP(C18,'Talente &amp; Stuff'!BI:CJ,25,FALSE)</f>
        <v>0</v>
      </c>
      <c r="AB18" s="160">
        <f>VLOOKUP(C18,'Talente &amp; Stuff'!BI:CJ,26,FALSE)</f>
        <v>0</v>
      </c>
      <c r="AC18" s="127">
        <f>VLOOKUP(C18,'Talente &amp; Stuff'!BI:CJ,27,FALSE)</f>
        <v>0</v>
      </c>
      <c r="AD18" s="125">
        <f>VLOOKUP(C18,'Talente &amp; Stuff'!BI:CJ,28,FALSE)</f>
        <v>0</v>
      </c>
      <c r="AE18" s="28"/>
    </row>
    <row r="19" spans="2:31" ht="15" hidden="1" customHeight="1" outlineLevel="2">
      <c r="B19" s="148">
        <v>9</v>
      </c>
      <c r="C19" s="177" t="str">
        <f>Attribute!C19</f>
        <v>---</v>
      </c>
      <c r="D19" s="127" t="str">
        <f>VLOOKUP(C19,'Talente &amp; Stuff'!BI:CJ,2,FALSE)</f>
        <v>--/--/--</v>
      </c>
      <c r="E19" s="125" t="str">
        <f>VLOOKUP(C19,'Talente &amp; Stuff'!BI:CJ,3,FALSE)</f>
        <v>-</v>
      </c>
      <c r="F19" s="114">
        <f>VLOOKUP(C19,'Talente &amp; Stuff'!BI:CJ,4,FALSE)</f>
        <v>0</v>
      </c>
      <c r="G19" s="113">
        <f>VLOOKUP(C19,'Talente &amp; Stuff'!BI:CJ,5,FALSE)</f>
        <v>0</v>
      </c>
      <c r="H19" s="113">
        <f>VLOOKUP(C19,'Talente &amp; Stuff'!BI:CJ,6,FALSE)</f>
        <v>0</v>
      </c>
      <c r="I19" s="113">
        <f>VLOOKUP(C19,'Talente &amp; Stuff'!BI:CJ,7,FALSE)</f>
        <v>0</v>
      </c>
      <c r="J19" s="113">
        <f>VLOOKUP(C19,'Talente &amp; Stuff'!BI:CJ,8,FALSE)</f>
        <v>0</v>
      </c>
      <c r="K19" s="113">
        <f>VLOOKUP(C19,'Talente &amp; Stuff'!BI:CJ,9,FALSE)</f>
        <v>0</v>
      </c>
      <c r="L19" s="113">
        <f>VLOOKUP(C19,'Talente &amp; Stuff'!BI:CJ,10,FALSE)</f>
        <v>0</v>
      </c>
      <c r="M19" s="119">
        <f>VLOOKUP(C19,'Talente &amp; Stuff'!BI:CJ,11,FALSE)</f>
        <v>0</v>
      </c>
      <c r="N19" s="89">
        <f>VLOOKUP(C19,'Talente &amp; Stuff'!BI:CJ,12,FALSE)</f>
        <v>0</v>
      </c>
      <c r="O19" s="47">
        <f>VLOOKUP(C19,'Talente &amp; Stuff'!BI:CJ,13,FALSE)</f>
        <v>0</v>
      </c>
      <c r="P19" s="119">
        <f>VLOOKUP(C19,'Talente &amp; Stuff'!BI:CJ,14,FALSE)</f>
        <v>0</v>
      </c>
      <c r="Q19" s="114">
        <f>VLOOKUP(C19,'Talente &amp; Stuff'!BI:CJ,15,FALSE)</f>
        <v>0</v>
      </c>
      <c r="R19" s="113">
        <f>VLOOKUP(C19,'Talente &amp; Stuff'!BI:CJ,16,FALSE)</f>
        <v>0</v>
      </c>
      <c r="S19" s="119">
        <f>VLOOKUP(C19,'Talente &amp; Stuff'!BI:CJ,17,FALSE)</f>
        <v>0</v>
      </c>
      <c r="T19" s="160">
        <f>VLOOKUP(C19,'Talente &amp; Stuff'!BI:CJ,18,FALSE)</f>
        <v>0</v>
      </c>
      <c r="U19" s="89">
        <f>VLOOKUP(C19,'Talente &amp; Stuff'!BI:CJ,19,FALSE)</f>
        <v>0</v>
      </c>
      <c r="V19" s="47">
        <f>VLOOKUP(C19,'Talente &amp; Stuff'!BI:CJ,20,FALSE)</f>
        <v>0</v>
      </c>
      <c r="W19" s="127">
        <f>VLOOKUP(C19,'Talente &amp; Stuff'!BI:CJ,21,FALSE)</f>
        <v>0</v>
      </c>
      <c r="X19" s="125">
        <f>VLOOKUP(C19,'Talente &amp; Stuff'!BI:CJ,22,FALSE)</f>
        <v>0</v>
      </c>
      <c r="Y19" s="165">
        <f t="shared" si="0"/>
        <v>0</v>
      </c>
      <c r="Z19" s="44">
        <f t="shared" si="1"/>
        <v>0</v>
      </c>
      <c r="AA19" s="125">
        <f>VLOOKUP(C19,'Talente &amp; Stuff'!BI:CJ,25,FALSE)</f>
        <v>0</v>
      </c>
      <c r="AB19" s="160">
        <f>VLOOKUP(C19,'Talente &amp; Stuff'!BI:CJ,26,FALSE)</f>
        <v>0</v>
      </c>
      <c r="AC19" s="127">
        <f>VLOOKUP(C19,'Talente &amp; Stuff'!BI:CJ,27,FALSE)</f>
        <v>0</v>
      </c>
      <c r="AD19" s="125">
        <f>VLOOKUP(C19,'Talente &amp; Stuff'!BI:CJ,28,FALSE)</f>
        <v>0</v>
      </c>
      <c r="AE19" s="28"/>
    </row>
    <row r="20" spans="2:31" ht="15" hidden="1" customHeight="1" outlineLevel="2">
      <c r="B20" s="148">
        <v>10</v>
      </c>
      <c r="C20" s="177" t="str">
        <f>Attribute!C20</f>
        <v>---</v>
      </c>
      <c r="D20" s="127" t="str">
        <f>VLOOKUP(C20,'Talente &amp; Stuff'!BI:CJ,2,FALSE)</f>
        <v>--/--/--</v>
      </c>
      <c r="E20" s="125" t="str">
        <f>VLOOKUP(C20,'Talente &amp; Stuff'!BI:CJ,3,FALSE)</f>
        <v>-</v>
      </c>
      <c r="F20" s="114">
        <f>VLOOKUP(C20,'Talente &amp; Stuff'!BI:CJ,4,FALSE)</f>
        <v>0</v>
      </c>
      <c r="G20" s="113">
        <f>VLOOKUP(C20,'Talente &amp; Stuff'!BI:CJ,5,FALSE)</f>
        <v>0</v>
      </c>
      <c r="H20" s="113">
        <f>VLOOKUP(C20,'Talente &amp; Stuff'!BI:CJ,6,FALSE)</f>
        <v>0</v>
      </c>
      <c r="I20" s="113">
        <f>VLOOKUP(C20,'Talente &amp; Stuff'!BI:CJ,7,FALSE)</f>
        <v>0</v>
      </c>
      <c r="J20" s="113">
        <f>VLOOKUP(C20,'Talente &amp; Stuff'!BI:CJ,8,FALSE)</f>
        <v>0</v>
      </c>
      <c r="K20" s="113">
        <f>VLOOKUP(C20,'Talente &amp; Stuff'!BI:CJ,9,FALSE)</f>
        <v>0</v>
      </c>
      <c r="L20" s="113">
        <f>VLOOKUP(C20,'Talente &amp; Stuff'!BI:CJ,10,FALSE)</f>
        <v>0</v>
      </c>
      <c r="M20" s="119">
        <f>VLOOKUP(C20,'Talente &amp; Stuff'!BI:CJ,11,FALSE)</f>
        <v>0</v>
      </c>
      <c r="N20" s="89">
        <f>VLOOKUP(C20,'Talente &amp; Stuff'!BI:CJ,12,FALSE)</f>
        <v>0</v>
      </c>
      <c r="O20" s="47">
        <f>VLOOKUP(C20,'Talente &amp; Stuff'!BI:CJ,13,FALSE)</f>
        <v>0</v>
      </c>
      <c r="P20" s="119">
        <f>VLOOKUP(C20,'Talente &amp; Stuff'!BI:CJ,14,FALSE)</f>
        <v>0</v>
      </c>
      <c r="Q20" s="114">
        <f>VLOOKUP(C20,'Talente &amp; Stuff'!BI:CJ,15,FALSE)</f>
        <v>0</v>
      </c>
      <c r="R20" s="113">
        <f>VLOOKUP(C20,'Talente &amp; Stuff'!BI:CJ,16,FALSE)</f>
        <v>0</v>
      </c>
      <c r="S20" s="119">
        <f>VLOOKUP(C20,'Talente &amp; Stuff'!BI:CJ,17,FALSE)</f>
        <v>0</v>
      </c>
      <c r="T20" s="160">
        <f>VLOOKUP(C20,'Talente &amp; Stuff'!BI:CJ,18,FALSE)</f>
        <v>0</v>
      </c>
      <c r="U20" s="89">
        <f>VLOOKUP(C20,'Talente &amp; Stuff'!BI:CJ,19,FALSE)</f>
        <v>0</v>
      </c>
      <c r="V20" s="47">
        <f>VLOOKUP(C20,'Talente &amp; Stuff'!BI:CJ,20,FALSE)</f>
        <v>0</v>
      </c>
      <c r="W20" s="127">
        <f>VLOOKUP(C20,'Talente &amp; Stuff'!BI:CJ,21,FALSE)</f>
        <v>0</v>
      </c>
      <c r="X20" s="125">
        <f>VLOOKUP(C20,'Talente &amp; Stuff'!BI:CJ,22,FALSE)</f>
        <v>0</v>
      </c>
      <c r="Y20" s="165">
        <f t="shared" si="0"/>
        <v>0</v>
      </c>
      <c r="Z20" s="44">
        <f t="shared" si="1"/>
        <v>0</v>
      </c>
      <c r="AA20" s="125">
        <f>VLOOKUP(C20,'Talente &amp; Stuff'!BI:CJ,25,FALSE)</f>
        <v>0</v>
      </c>
      <c r="AB20" s="160">
        <f>VLOOKUP(C20,'Talente &amp; Stuff'!BI:CJ,26,FALSE)</f>
        <v>0</v>
      </c>
      <c r="AC20" s="127">
        <f>VLOOKUP(C20,'Talente &amp; Stuff'!BI:CJ,27,FALSE)</f>
        <v>0</v>
      </c>
      <c r="AD20" s="125">
        <f>VLOOKUP(C20,'Talente &amp; Stuff'!BI:CJ,28,FALSE)</f>
        <v>0</v>
      </c>
      <c r="AE20" s="28"/>
    </row>
    <row r="21" spans="2:31" ht="15" hidden="1" customHeight="1" outlineLevel="2">
      <c r="B21" s="148">
        <v>11</v>
      </c>
      <c r="C21" s="177" t="str">
        <f>Attribute!C21</f>
        <v>---</v>
      </c>
      <c r="D21" s="127" t="str">
        <f>VLOOKUP(C21,'Talente &amp; Stuff'!BI:CJ,2,FALSE)</f>
        <v>--/--/--</v>
      </c>
      <c r="E21" s="125" t="str">
        <f>VLOOKUP(C21,'Talente &amp; Stuff'!BI:CJ,3,FALSE)</f>
        <v>-</v>
      </c>
      <c r="F21" s="114">
        <f>VLOOKUP(C21,'Talente &amp; Stuff'!BI:CJ,4,FALSE)</f>
        <v>0</v>
      </c>
      <c r="G21" s="113">
        <f>VLOOKUP(C21,'Talente &amp; Stuff'!BI:CJ,5,FALSE)</f>
        <v>0</v>
      </c>
      <c r="H21" s="113">
        <f>VLOOKUP(C21,'Talente &amp; Stuff'!BI:CJ,6,FALSE)</f>
        <v>0</v>
      </c>
      <c r="I21" s="113">
        <f>VLOOKUP(C21,'Talente &amp; Stuff'!BI:CJ,7,FALSE)</f>
        <v>0</v>
      </c>
      <c r="J21" s="113">
        <f>VLOOKUP(C21,'Talente &amp; Stuff'!BI:CJ,8,FALSE)</f>
        <v>0</v>
      </c>
      <c r="K21" s="113">
        <f>VLOOKUP(C21,'Talente &amp; Stuff'!BI:CJ,9,FALSE)</f>
        <v>0</v>
      </c>
      <c r="L21" s="113">
        <f>VLOOKUP(C21,'Talente &amp; Stuff'!BI:CJ,10,FALSE)</f>
        <v>0</v>
      </c>
      <c r="M21" s="119">
        <f>VLOOKUP(C21,'Talente &amp; Stuff'!BI:CJ,11,FALSE)</f>
        <v>0</v>
      </c>
      <c r="N21" s="89">
        <f>VLOOKUP(C21,'Talente &amp; Stuff'!BI:CJ,12,FALSE)</f>
        <v>0</v>
      </c>
      <c r="O21" s="47">
        <f>VLOOKUP(C21,'Talente &amp; Stuff'!BI:CJ,13,FALSE)</f>
        <v>0</v>
      </c>
      <c r="P21" s="119">
        <f>VLOOKUP(C21,'Talente &amp; Stuff'!BI:CJ,14,FALSE)</f>
        <v>0</v>
      </c>
      <c r="Q21" s="114">
        <f>VLOOKUP(C21,'Talente &amp; Stuff'!BI:CJ,15,FALSE)</f>
        <v>0</v>
      </c>
      <c r="R21" s="113">
        <f>VLOOKUP(C21,'Talente &amp; Stuff'!BI:CJ,16,FALSE)</f>
        <v>0</v>
      </c>
      <c r="S21" s="119">
        <f>VLOOKUP(C21,'Talente &amp; Stuff'!BI:CJ,17,FALSE)</f>
        <v>0</v>
      </c>
      <c r="T21" s="160">
        <f>VLOOKUP(C21,'Talente &amp; Stuff'!BI:CJ,18,FALSE)</f>
        <v>0</v>
      </c>
      <c r="U21" s="89">
        <f>VLOOKUP(C21,'Talente &amp; Stuff'!BI:CJ,19,FALSE)</f>
        <v>0</v>
      </c>
      <c r="V21" s="47">
        <f>VLOOKUP(C21,'Talente &amp; Stuff'!BI:CJ,20,FALSE)</f>
        <v>0</v>
      </c>
      <c r="W21" s="127">
        <f>VLOOKUP(C21,'Talente &amp; Stuff'!BI:CJ,21,FALSE)</f>
        <v>0</v>
      </c>
      <c r="X21" s="125">
        <f>VLOOKUP(C21,'Talente &amp; Stuff'!BI:CJ,22,FALSE)</f>
        <v>0</v>
      </c>
      <c r="Y21" s="165">
        <f t="shared" si="0"/>
        <v>0</v>
      </c>
      <c r="Z21" s="44">
        <f t="shared" si="1"/>
        <v>0</v>
      </c>
      <c r="AA21" s="125">
        <f>VLOOKUP(C21,'Talente &amp; Stuff'!BI:CJ,25,FALSE)</f>
        <v>0</v>
      </c>
      <c r="AB21" s="160">
        <f>VLOOKUP(C21,'Talente &amp; Stuff'!BI:CJ,26,FALSE)</f>
        <v>0</v>
      </c>
      <c r="AC21" s="127">
        <f>VLOOKUP(C21,'Talente &amp; Stuff'!BI:CJ,27,FALSE)</f>
        <v>0</v>
      </c>
      <c r="AD21" s="125">
        <f>VLOOKUP(C21,'Talente &amp; Stuff'!BI:CJ,28,FALSE)</f>
        <v>0</v>
      </c>
      <c r="AE21" s="28"/>
    </row>
    <row r="22" spans="2:31" ht="15" hidden="1" customHeight="1" outlineLevel="2">
      <c r="B22" s="148">
        <v>12</v>
      </c>
      <c r="C22" s="177" t="str">
        <f>Attribute!C22</f>
        <v>---</v>
      </c>
      <c r="D22" s="127" t="str">
        <f>VLOOKUP(C22,'Talente &amp; Stuff'!BI:CJ,2,FALSE)</f>
        <v>--/--/--</v>
      </c>
      <c r="E22" s="125" t="str">
        <f>VLOOKUP(C22,'Talente &amp; Stuff'!BI:CJ,3,FALSE)</f>
        <v>-</v>
      </c>
      <c r="F22" s="114">
        <f>VLOOKUP(C22,'Talente &amp; Stuff'!BI:CJ,4,FALSE)</f>
        <v>0</v>
      </c>
      <c r="G22" s="113">
        <f>VLOOKUP(C22,'Talente &amp; Stuff'!BI:CJ,5,FALSE)</f>
        <v>0</v>
      </c>
      <c r="H22" s="113">
        <f>VLOOKUP(C22,'Talente &amp; Stuff'!BI:CJ,6,FALSE)</f>
        <v>0</v>
      </c>
      <c r="I22" s="113">
        <f>VLOOKUP(C22,'Talente &amp; Stuff'!BI:CJ,7,FALSE)</f>
        <v>0</v>
      </c>
      <c r="J22" s="113">
        <f>VLOOKUP(C22,'Talente &amp; Stuff'!BI:CJ,8,FALSE)</f>
        <v>0</v>
      </c>
      <c r="K22" s="113">
        <f>VLOOKUP(C22,'Talente &amp; Stuff'!BI:CJ,9,FALSE)</f>
        <v>0</v>
      </c>
      <c r="L22" s="113">
        <f>VLOOKUP(C22,'Talente &amp; Stuff'!BI:CJ,10,FALSE)</f>
        <v>0</v>
      </c>
      <c r="M22" s="119">
        <f>VLOOKUP(C22,'Talente &amp; Stuff'!BI:CJ,11,FALSE)</f>
        <v>0</v>
      </c>
      <c r="N22" s="89">
        <f>VLOOKUP(C22,'Talente &amp; Stuff'!BI:CJ,12,FALSE)</f>
        <v>0</v>
      </c>
      <c r="O22" s="47">
        <f>VLOOKUP(C22,'Talente &amp; Stuff'!BI:CJ,13,FALSE)</f>
        <v>0</v>
      </c>
      <c r="P22" s="119">
        <f>VLOOKUP(C22,'Talente &amp; Stuff'!BI:CJ,14,FALSE)</f>
        <v>0</v>
      </c>
      <c r="Q22" s="114">
        <f>VLOOKUP(C22,'Talente &amp; Stuff'!BI:CJ,15,FALSE)</f>
        <v>0</v>
      </c>
      <c r="R22" s="113">
        <f>VLOOKUP(C22,'Talente &amp; Stuff'!BI:CJ,16,FALSE)</f>
        <v>0</v>
      </c>
      <c r="S22" s="119">
        <f>VLOOKUP(C22,'Talente &amp; Stuff'!BI:CJ,17,FALSE)</f>
        <v>0</v>
      </c>
      <c r="T22" s="160">
        <f>VLOOKUP(C22,'Talente &amp; Stuff'!BI:CJ,18,FALSE)</f>
        <v>0</v>
      </c>
      <c r="U22" s="89">
        <f>VLOOKUP(C22,'Talente &amp; Stuff'!BI:CJ,19,FALSE)</f>
        <v>0</v>
      </c>
      <c r="V22" s="47">
        <f>VLOOKUP(C22,'Talente &amp; Stuff'!BI:CJ,20,FALSE)</f>
        <v>0</v>
      </c>
      <c r="W22" s="127">
        <f>VLOOKUP(C22,'Talente &amp; Stuff'!BI:CJ,21,FALSE)</f>
        <v>0</v>
      </c>
      <c r="X22" s="125">
        <f>VLOOKUP(C22,'Talente &amp; Stuff'!BI:CJ,22,FALSE)</f>
        <v>0</v>
      </c>
      <c r="Y22" s="165">
        <f t="shared" si="0"/>
        <v>0</v>
      </c>
      <c r="Z22" s="44">
        <f t="shared" si="1"/>
        <v>0</v>
      </c>
      <c r="AA22" s="125">
        <f>VLOOKUP(C22,'Talente &amp; Stuff'!BI:CJ,25,FALSE)</f>
        <v>0</v>
      </c>
      <c r="AB22" s="160">
        <f>VLOOKUP(C22,'Talente &amp; Stuff'!BI:CJ,26,FALSE)</f>
        <v>0</v>
      </c>
      <c r="AC22" s="127">
        <f>VLOOKUP(C22,'Talente &amp; Stuff'!BI:CJ,27,FALSE)</f>
        <v>0</v>
      </c>
      <c r="AD22" s="125">
        <f>VLOOKUP(C22,'Talente &amp; Stuff'!BI:CJ,28,FALSE)</f>
        <v>0</v>
      </c>
      <c r="AE22" s="28"/>
    </row>
    <row r="23" spans="2:31" ht="15" hidden="1" customHeight="1" outlineLevel="2">
      <c r="B23" s="148">
        <v>13</v>
      </c>
      <c r="C23" s="177" t="str">
        <f>Attribute!C23</f>
        <v>---</v>
      </c>
      <c r="D23" s="127" t="str">
        <f>VLOOKUP(C23,'Talente &amp; Stuff'!BI:CJ,2,FALSE)</f>
        <v>--/--/--</v>
      </c>
      <c r="E23" s="125" t="str">
        <f>VLOOKUP(C23,'Talente &amp; Stuff'!BI:CJ,3,FALSE)</f>
        <v>-</v>
      </c>
      <c r="F23" s="114">
        <f>VLOOKUP(C23,'Talente &amp; Stuff'!BI:CJ,4,FALSE)</f>
        <v>0</v>
      </c>
      <c r="G23" s="113">
        <f>VLOOKUP(C23,'Talente &amp; Stuff'!BI:CJ,5,FALSE)</f>
        <v>0</v>
      </c>
      <c r="H23" s="113">
        <f>VLOOKUP(C23,'Talente &amp; Stuff'!BI:CJ,6,FALSE)</f>
        <v>0</v>
      </c>
      <c r="I23" s="113">
        <f>VLOOKUP(C23,'Talente &amp; Stuff'!BI:CJ,7,FALSE)</f>
        <v>0</v>
      </c>
      <c r="J23" s="113">
        <f>VLOOKUP(C23,'Talente &amp; Stuff'!BI:CJ,8,FALSE)</f>
        <v>0</v>
      </c>
      <c r="K23" s="113">
        <f>VLOOKUP(C23,'Talente &amp; Stuff'!BI:CJ,9,FALSE)</f>
        <v>0</v>
      </c>
      <c r="L23" s="113">
        <f>VLOOKUP(C23,'Talente &amp; Stuff'!BI:CJ,10,FALSE)</f>
        <v>0</v>
      </c>
      <c r="M23" s="119">
        <f>VLOOKUP(C23,'Talente &amp; Stuff'!BI:CJ,11,FALSE)</f>
        <v>0</v>
      </c>
      <c r="N23" s="89">
        <f>VLOOKUP(C23,'Talente &amp; Stuff'!BI:CJ,12,FALSE)</f>
        <v>0</v>
      </c>
      <c r="O23" s="47">
        <f>VLOOKUP(C23,'Talente &amp; Stuff'!BI:CJ,13,FALSE)</f>
        <v>0</v>
      </c>
      <c r="P23" s="119">
        <f>VLOOKUP(C23,'Talente &amp; Stuff'!BI:CJ,14,FALSE)</f>
        <v>0</v>
      </c>
      <c r="Q23" s="114">
        <f>VLOOKUP(C23,'Talente &amp; Stuff'!BI:CJ,15,FALSE)</f>
        <v>0</v>
      </c>
      <c r="R23" s="113">
        <f>VLOOKUP(C23,'Talente &amp; Stuff'!BI:CJ,16,FALSE)</f>
        <v>0</v>
      </c>
      <c r="S23" s="119">
        <f>VLOOKUP(C23,'Talente &amp; Stuff'!BI:CJ,17,FALSE)</f>
        <v>0</v>
      </c>
      <c r="T23" s="160">
        <f>VLOOKUP(C23,'Talente &amp; Stuff'!BI:CJ,18,FALSE)</f>
        <v>0</v>
      </c>
      <c r="U23" s="89">
        <f>VLOOKUP(C23,'Talente &amp; Stuff'!BI:CJ,19,FALSE)</f>
        <v>0</v>
      </c>
      <c r="V23" s="47">
        <f>VLOOKUP(C23,'Talente &amp; Stuff'!BI:CJ,20,FALSE)</f>
        <v>0</v>
      </c>
      <c r="W23" s="127">
        <f>VLOOKUP(C23,'Talente &amp; Stuff'!BI:CJ,21,FALSE)</f>
        <v>0</v>
      </c>
      <c r="X23" s="125">
        <f>VLOOKUP(C23,'Talente &amp; Stuff'!BI:CJ,22,FALSE)</f>
        <v>0</v>
      </c>
      <c r="Y23" s="165">
        <f t="shared" si="0"/>
        <v>0</v>
      </c>
      <c r="Z23" s="44">
        <f t="shared" si="1"/>
        <v>0</v>
      </c>
      <c r="AA23" s="125">
        <f>VLOOKUP(C23,'Talente &amp; Stuff'!BI:CJ,25,FALSE)</f>
        <v>0</v>
      </c>
      <c r="AB23" s="160">
        <f>VLOOKUP(C23,'Talente &amp; Stuff'!BI:CJ,26,FALSE)</f>
        <v>0</v>
      </c>
      <c r="AC23" s="127">
        <f>VLOOKUP(C23,'Talente &amp; Stuff'!BI:CJ,27,FALSE)</f>
        <v>0</v>
      </c>
      <c r="AD23" s="125">
        <f>VLOOKUP(C23,'Talente &amp; Stuff'!BI:CJ,28,FALSE)</f>
        <v>0</v>
      </c>
      <c r="AE23" s="28"/>
    </row>
    <row r="24" spans="2:31" ht="15" hidden="1" customHeight="1" outlineLevel="2">
      <c r="B24" s="148">
        <v>14</v>
      </c>
      <c r="C24" s="178" t="str">
        <f>Attribute!C24</f>
        <v>---</v>
      </c>
      <c r="D24" s="128" t="str">
        <f>VLOOKUP(C24,'Talente &amp; Stuff'!BI:CJ,2,FALSE)</f>
        <v>--/--/--</v>
      </c>
      <c r="E24" s="159" t="str">
        <f>VLOOKUP(C24,'Talente &amp; Stuff'!BI:CJ,3,FALSE)</f>
        <v>-</v>
      </c>
      <c r="F24" s="115">
        <f>VLOOKUP(C24,'Talente &amp; Stuff'!BI:CJ,4,FALSE)</f>
        <v>0</v>
      </c>
      <c r="G24" s="122">
        <f>VLOOKUP(C24,'Talente &amp; Stuff'!BI:CJ,5,FALSE)</f>
        <v>0</v>
      </c>
      <c r="H24" s="122">
        <f>VLOOKUP(C24,'Talente &amp; Stuff'!BI:CJ,6,FALSE)</f>
        <v>0</v>
      </c>
      <c r="I24" s="122">
        <f>VLOOKUP(C24,'Talente &amp; Stuff'!BI:CJ,7,FALSE)</f>
        <v>0</v>
      </c>
      <c r="J24" s="122">
        <f>VLOOKUP(C24,'Talente &amp; Stuff'!BI:CJ,8,FALSE)</f>
        <v>0</v>
      </c>
      <c r="K24" s="122">
        <f>VLOOKUP(C24,'Talente &amp; Stuff'!BI:CJ,9,FALSE)</f>
        <v>0</v>
      </c>
      <c r="L24" s="122">
        <f>VLOOKUP(C24,'Talente &amp; Stuff'!BI:CJ,10,FALSE)</f>
        <v>0</v>
      </c>
      <c r="M24" s="123">
        <f>VLOOKUP(C24,'Talente &amp; Stuff'!BI:CJ,11,FALSE)</f>
        <v>0</v>
      </c>
      <c r="N24" s="90">
        <f>VLOOKUP(C24,'Talente &amp; Stuff'!BI:CJ,12,FALSE)</f>
        <v>0</v>
      </c>
      <c r="O24" s="88">
        <f>VLOOKUP(C24,'Talente &amp; Stuff'!BI:CJ,13,FALSE)</f>
        <v>0</v>
      </c>
      <c r="P24" s="123">
        <f>VLOOKUP(C24,'Talente &amp; Stuff'!BI:CJ,14,FALSE)</f>
        <v>0</v>
      </c>
      <c r="Q24" s="115">
        <f>VLOOKUP(C24,'Talente &amp; Stuff'!BI:CJ,15,FALSE)</f>
        <v>0</v>
      </c>
      <c r="R24" s="122">
        <f>VLOOKUP(C24,'Talente &amp; Stuff'!BI:CJ,16,FALSE)</f>
        <v>0</v>
      </c>
      <c r="S24" s="123">
        <f>VLOOKUP(C24,'Talente &amp; Stuff'!BI:CJ,17,FALSE)</f>
        <v>0</v>
      </c>
      <c r="T24" s="161">
        <f>VLOOKUP(C24,'Talente &amp; Stuff'!BI:CJ,18,FALSE)</f>
        <v>0</v>
      </c>
      <c r="U24" s="90">
        <f>VLOOKUP(C24,'Talente &amp; Stuff'!BI:CJ,19,FALSE)</f>
        <v>0</v>
      </c>
      <c r="V24" s="88">
        <f>VLOOKUP(C24,'Talente &amp; Stuff'!BI:CJ,20,FALSE)</f>
        <v>0</v>
      </c>
      <c r="W24" s="128">
        <f>VLOOKUP(C24,'Talente &amp; Stuff'!BI:CJ,21,FALSE)</f>
        <v>0</v>
      </c>
      <c r="X24" s="159">
        <f>VLOOKUP(C24,'Talente &amp; Stuff'!BI:CJ,22,FALSE)</f>
        <v>0</v>
      </c>
      <c r="Y24" s="165">
        <f t="shared" si="0"/>
        <v>0</v>
      </c>
      <c r="Z24" s="44">
        <f t="shared" si="1"/>
        <v>0</v>
      </c>
      <c r="AA24" s="159">
        <f>VLOOKUP(C24,'Talente &amp; Stuff'!BI:CJ,25,FALSE)</f>
        <v>0</v>
      </c>
      <c r="AB24" s="161">
        <f>VLOOKUP(C24,'Talente &amp; Stuff'!BI:CJ,26,FALSE)</f>
        <v>0</v>
      </c>
      <c r="AC24" s="128">
        <f>VLOOKUP(C24,'Talente &amp; Stuff'!BI:CJ,27,FALSE)</f>
        <v>0</v>
      </c>
      <c r="AD24" s="159">
        <f>VLOOKUP(C24,'Talente &amp; Stuff'!BI:CJ,28,FALSE)</f>
        <v>0</v>
      </c>
      <c r="AE24" s="28"/>
    </row>
    <row r="25" spans="2:31" ht="15" hidden="1" customHeight="1" outlineLevel="1" collapsed="1">
      <c r="B25" s="134" t="s">
        <v>278</v>
      </c>
      <c r="C25" s="83"/>
      <c r="D25" s="84"/>
      <c r="E25" s="84"/>
      <c r="F25" s="30"/>
      <c r="G25" s="30"/>
      <c r="H25" s="30"/>
      <c r="I25" s="30"/>
      <c r="J25" s="30"/>
      <c r="K25" s="30"/>
      <c r="L25" s="30"/>
      <c r="M25" s="30"/>
      <c r="N25" s="31"/>
      <c r="O25" s="31"/>
      <c r="P25" s="30"/>
      <c r="Q25" s="30"/>
      <c r="R25" s="30"/>
      <c r="S25" s="30"/>
      <c r="T25" s="30"/>
      <c r="U25" s="31"/>
      <c r="V25" s="31"/>
      <c r="W25" s="31"/>
      <c r="X25" s="31"/>
      <c r="Y25" s="65"/>
    </row>
    <row r="26" spans="2:31" ht="15" hidden="1" customHeight="1" outlineLevel="2">
      <c r="B26" s="148">
        <v>1</v>
      </c>
      <c r="C26" s="176" t="str">
        <f>Attribute!C26</f>
        <v>---</v>
      </c>
      <c r="D26" s="126" t="str">
        <f>VLOOKUP(C26,'Talente &amp; Stuff'!BI:CJ,2,FALSE)</f>
        <v>--/--/--</v>
      </c>
      <c r="E26" s="158" t="str">
        <f>VLOOKUP(C26,'Talente &amp; Stuff'!BI:CJ,3,FALSE)</f>
        <v>-</v>
      </c>
      <c r="F26" s="191">
        <f>VLOOKUP(C26,'Talente &amp; Stuff'!BI:CJ,4,FALSE)</f>
        <v>0</v>
      </c>
      <c r="G26" s="118">
        <f>VLOOKUP(C26,'Talente &amp; Stuff'!BI:CJ,5,FALSE)</f>
        <v>0</v>
      </c>
      <c r="H26" s="118">
        <f>VLOOKUP(C26,'Talente &amp; Stuff'!BI:CJ,6,FALSE)</f>
        <v>0</v>
      </c>
      <c r="I26" s="118">
        <f>VLOOKUP(C26,'Talente &amp; Stuff'!BI:CJ,7,FALSE)</f>
        <v>0</v>
      </c>
      <c r="J26" s="118">
        <f>VLOOKUP(C26,'Talente &amp; Stuff'!BI:CJ,8,FALSE)</f>
        <v>0</v>
      </c>
      <c r="K26" s="118">
        <f>VLOOKUP(C26,'Talente &amp; Stuff'!BI:CJ,9,FALSE)</f>
        <v>0</v>
      </c>
      <c r="L26" s="118">
        <f>VLOOKUP(C26,'Talente &amp; Stuff'!BI:CJ,10,FALSE)</f>
        <v>0</v>
      </c>
      <c r="M26" s="92">
        <f>VLOOKUP(C26,'Talente &amp; Stuff'!BI:CJ,11,FALSE)</f>
        <v>0</v>
      </c>
      <c r="N26" s="193">
        <f>VLOOKUP(C26,'Talente &amp; Stuff'!BI:CJ,12,FALSE)</f>
        <v>0</v>
      </c>
      <c r="O26" s="116">
        <f>VLOOKUP(C26,'Talente &amp; Stuff'!BI:CJ,13,FALSE)</f>
        <v>0</v>
      </c>
      <c r="P26" s="92">
        <f>VLOOKUP(C26,'Talente &amp; Stuff'!BI:CJ,14,FALSE)</f>
        <v>0</v>
      </c>
      <c r="Q26" s="191">
        <f>VLOOKUP(C26,'Talente &amp; Stuff'!BI:CJ,15,FALSE)</f>
        <v>0</v>
      </c>
      <c r="R26" s="118">
        <f>VLOOKUP(C26,'Talente &amp; Stuff'!BI:CJ,16,FALSE)</f>
        <v>0</v>
      </c>
      <c r="S26" s="92">
        <f>VLOOKUP(C26,'Talente &amp; Stuff'!BI:CJ,17,FALSE)</f>
        <v>0</v>
      </c>
      <c r="T26" s="91">
        <f>VLOOKUP(C26,'Talente &amp; Stuff'!BI:CJ,18,FALSE)</f>
        <v>0</v>
      </c>
      <c r="U26" s="193">
        <f>VLOOKUP(C26,'Talente &amp; Stuff'!BI:CJ,19,FALSE)</f>
        <v>0</v>
      </c>
      <c r="V26" s="116">
        <f>VLOOKUP(C26,'Talente &amp; Stuff'!BI:CJ,20,FALSE)</f>
        <v>0</v>
      </c>
      <c r="W26" s="126">
        <f>VLOOKUP(C26,'Talente &amp; Stuff'!BI:CJ,21,FALSE)</f>
        <v>0</v>
      </c>
      <c r="X26" s="158">
        <f>VLOOKUP(C26,'Talente &amp; Stuff'!BI:CJ,22,FALSE)</f>
        <v>0</v>
      </c>
      <c r="Y26" s="165">
        <f t="shared" ref="Y26:Y34" si="2">VLOOKUP(C26,Ausgewählte_Talente_Gesellschaftstalente,81,FALSE)</f>
        <v>0</v>
      </c>
      <c r="Z26" s="44">
        <f t="shared" ref="Z26:Z34" si="3">VLOOKUP(C26,Ausgewählte_Talente_Gesellschaftstalente,82,FALSE)</f>
        <v>0</v>
      </c>
      <c r="AA26" s="158">
        <f>VLOOKUP(C26,'Talente &amp; Stuff'!BI:CJ,25,FALSE)</f>
        <v>0</v>
      </c>
      <c r="AB26" s="91">
        <f>VLOOKUP(C26,'Talente &amp; Stuff'!BI:CJ,26,FALSE)</f>
        <v>0</v>
      </c>
      <c r="AC26" s="126">
        <f>VLOOKUP(C26,'Talente &amp; Stuff'!BI:CJ,27,FALSE)</f>
        <v>0</v>
      </c>
      <c r="AD26" s="158">
        <f>VLOOKUP(C26,'Talente &amp; Stuff'!BI:CJ,28,FALSE)</f>
        <v>0</v>
      </c>
      <c r="AE26" s="28"/>
    </row>
    <row r="27" spans="2:31" ht="15" hidden="1" customHeight="1" outlineLevel="2">
      <c r="B27" s="148">
        <v>2</v>
      </c>
      <c r="C27" s="177" t="str">
        <f>Attribute!C27</f>
        <v>---</v>
      </c>
      <c r="D27" s="127" t="str">
        <f>VLOOKUP(C27,'Talente &amp; Stuff'!BI:CJ,2,FALSE)</f>
        <v>--/--/--</v>
      </c>
      <c r="E27" s="125" t="str">
        <f>VLOOKUP(C27,'Talente &amp; Stuff'!BI:CJ,3,FALSE)</f>
        <v>-</v>
      </c>
      <c r="F27" s="114">
        <f>VLOOKUP(C27,'Talente &amp; Stuff'!BI:CJ,4,FALSE)</f>
        <v>0</v>
      </c>
      <c r="G27" s="113">
        <f>VLOOKUP(C27,'Talente &amp; Stuff'!BI:CJ,5,FALSE)</f>
        <v>0</v>
      </c>
      <c r="H27" s="113">
        <f>VLOOKUP(C27,'Talente &amp; Stuff'!BI:CJ,6,FALSE)</f>
        <v>0</v>
      </c>
      <c r="I27" s="113">
        <f>VLOOKUP(C27,'Talente &amp; Stuff'!BI:CJ,7,FALSE)</f>
        <v>0</v>
      </c>
      <c r="J27" s="113">
        <f>VLOOKUP(C27,'Talente &amp; Stuff'!BI:CJ,8,FALSE)</f>
        <v>0</v>
      </c>
      <c r="K27" s="113">
        <f>VLOOKUP(C27,'Talente &amp; Stuff'!BI:CJ,9,FALSE)</f>
        <v>0</v>
      </c>
      <c r="L27" s="113">
        <f>VLOOKUP(C27,'Talente &amp; Stuff'!BI:CJ,10,FALSE)</f>
        <v>0</v>
      </c>
      <c r="M27" s="119">
        <f>VLOOKUP(C27,'Talente &amp; Stuff'!BI:CJ,11,FALSE)</f>
        <v>0</v>
      </c>
      <c r="N27" s="89">
        <f>VLOOKUP(C27,'Talente &amp; Stuff'!BI:CJ,12,FALSE)</f>
        <v>0</v>
      </c>
      <c r="O27" s="47">
        <f>VLOOKUP(C27,'Talente &amp; Stuff'!BI:CJ,13,FALSE)</f>
        <v>0</v>
      </c>
      <c r="P27" s="119">
        <f>VLOOKUP(C27,'Talente &amp; Stuff'!BI:CJ,14,FALSE)</f>
        <v>0</v>
      </c>
      <c r="Q27" s="114">
        <f>VLOOKUP(C27,'Talente &amp; Stuff'!BI:CJ,15,FALSE)</f>
        <v>0</v>
      </c>
      <c r="R27" s="113">
        <f>VLOOKUP(C27,'Talente &amp; Stuff'!BI:CJ,16,FALSE)</f>
        <v>0</v>
      </c>
      <c r="S27" s="119">
        <f>VLOOKUP(C27,'Talente &amp; Stuff'!BI:CJ,17,FALSE)</f>
        <v>0</v>
      </c>
      <c r="T27" s="160">
        <f>VLOOKUP(C27,'Talente &amp; Stuff'!BI:CJ,18,FALSE)</f>
        <v>0</v>
      </c>
      <c r="U27" s="89">
        <f>VLOOKUP(C27,'Talente &amp; Stuff'!BI:CJ,19,FALSE)</f>
        <v>0</v>
      </c>
      <c r="V27" s="47">
        <f>VLOOKUP(C27,'Talente &amp; Stuff'!BI:CJ,20,FALSE)</f>
        <v>0</v>
      </c>
      <c r="W27" s="127">
        <f>VLOOKUP(C27,'Talente &amp; Stuff'!BI:CJ,21,FALSE)</f>
        <v>0</v>
      </c>
      <c r="X27" s="125">
        <f>VLOOKUP(C27,'Talente &amp; Stuff'!BI:CJ,22,FALSE)</f>
        <v>0</v>
      </c>
      <c r="Y27" s="165">
        <f t="shared" si="2"/>
        <v>0</v>
      </c>
      <c r="Z27" s="44">
        <f t="shared" si="3"/>
        <v>0</v>
      </c>
      <c r="AA27" s="125">
        <f>VLOOKUP(C27,'Talente &amp; Stuff'!BI:CJ,25,FALSE)</f>
        <v>0</v>
      </c>
      <c r="AB27" s="160">
        <f>VLOOKUP(C27,'Talente &amp; Stuff'!BI:CJ,26,FALSE)</f>
        <v>0</v>
      </c>
      <c r="AC27" s="127">
        <f>VLOOKUP(C27,'Talente &amp; Stuff'!BI:CJ,27,FALSE)</f>
        <v>0</v>
      </c>
      <c r="AD27" s="125">
        <f>VLOOKUP(C27,'Talente &amp; Stuff'!BI:CJ,28,FALSE)</f>
        <v>0</v>
      </c>
      <c r="AE27" s="28"/>
    </row>
    <row r="28" spans="2:31" ht="15" hidden="1" customHeight="1" outlineLevel="2">
      <c r="B28" s="148">
        <v>3</v>
      </c>
      <c r="C28" s="177" t="str">
        <f>Attribute!C28</f>
        <v>---</v>
      </c>
      <c r="D28" s="127" t="str">
        <f>VLOOKUP(C28,'Talente &amp; Stuff'!BI:CJ,2,FALSE)</f>
        <v>--/--/--</v>
      </c>
      <c r="E28" s="125" t="str">
        <f>VLOOKUP(C28,'Talente &amp; Stuff'!BI:CJ,3,FALSE)</f>
        <v>-</v>
      </c>
      <c r="F28" s="114">
        <f>VLOOKUP(C28,'Talente &amp; Stuff'!BI:CJ,4,FALSE)</f>
        <v>0</v>
      </c>
      <c r="G28" s="113">
        <f>VLOOKUP(C28,'Talente &amp; Stuff'!BI:CJ,5,FALSE)</f>
        <v>0</v>
      </c>
      <c r="H28" s="113">
        <f>VLOOKUP(C28,'Talente &amp; Stuff'!BI:CJ,6,FALSE)</f>
        <v>0</v>
      </c>
      <c r="I28" s="113">
        <f>VLOOKUP(C28,'Talente &amp; Stuff'!BI:CJ,7,FALSE)</f>
        <v>0</v>
      </c>
      <c r="J28" s="113">
        <f>VLOOKUP(C28,'Talente &amp; Stuff'!BI:CJ,8,FALSE)</f>
        <v>0</v>
      </c>
      <c r="K28" s="113">
        <f>VLOOKUP(C28,'Talente &amp; Stuff'!BI:CJ,9,FALSE)</f>
        <v>0</v>
      </c>
      <c r="L28" s="113">
        <f>VLOOKUP(C28,'Talente &amp; Stuff'!BI:CJ,10,FALSE)</f>
        <v>0</v>
      </c>
      <c r="M28" s="119">
        <f>VLOOKUP(C28,'Talente &amp; Stuff'!BI:CJ,11,FALSE)</f>
        <v>0</v>
      </c>
      <c r="N28" s="89">
        <f>VLOOKUP(C28,'Talente &amp; Stuff'!BI:CJ,12,FALSE)</f>
        <v>0</v>
      </c>
      <c r="O28" s="47">
        <f>VLOOKUP(C28,'Talente &amp; Stuff'!BI:CJ,13,FALSE)</f>
        <v>0</v>
      </c>
      <c r="P28" s="119">
        <f>VLOOKUP(C28,'Talente &amp; Stuff'!BI:CJ,14,FALSE)</f>
        <v>0</v>
      </c>
      <c r="Q28" s="114">
        <f>VLOOKUP(C28,'Talente &amp; Stuff'!BI:CJ,15,FALSE)</f>
        <v>0</v>
      </c>
      <c r="R28" s="113">
        <f>VLOOKUP(C28,'Talente &amp; Stuff'!BI:CJ,16,FALSE)</f>
        <v>0</v>
      </c>
      <c r="S28" s="119">
        <f>VLOOKUP(C28,'Talente &amp; Stuff'!BI:CJ,17,FALSE)</f>
        <v>0</v>
      </c>
      <c r="T28" s="160">
        <f>VLOOKUP(C28,'Talente &amp; Stuff'!BI:CJ,18,FALSE)</f>
        <v>0</v>
      </c>
      <c r="U28" s="89">
        <f>VLOOKUP(C28,'Talente &amp; Stuff'!BI:CJ,19,FALSE)</f>
        <v>0</v>
      </c>
      <c r="V28" s="47">
        <f>VLOOKUP(C28,'Talente &amp; Stuff'!BI:CJ,20,FALSE)</f>
        <v>0</v>
      </c>
      <c r="W28" s="127">
        <f>VLOOKUP(C28,'Talente &amp; Stuff'!BI:CJ,21,FALSE)</f>
        <v>0</v>
      </c>
      <c r="X28" s="125">
        <f>VLOOKUP(C28,'Talente &amp; Stuff'!BI:CJ,22,FALSE)</f>
        <v>0</v>
      </c>
      <c r="Y28" s="165">
        <f t="shared" si="2"/>
        <v>0</v>
      </c>
      <c r="Z28" s="44">
        <f t="shared" si="3"/>
        <v>0</v>
      </c>
      <c r="AA28" s="125">
        <f>VLOOKUP(C28,'Talente &amp; Stuff'!BI:CJ,25,FALSE)</f>
        <v>0</v>
      </c>
      <c r="AB28" s="160">
        <f>VLOOKUP(C28,'Talente &amp; Stuff'!BI:CJ,26,FALSE)</f>
        <v>0</v>
      </c>
      <c r="AC28" s="127">
        <f>VLOOKUP(C28,'Talente &amp; Stuff'!BI:CJ,27,FALSE)</f>
        <v>0</v>
      </c>
      <c r="AD28" s="125">
        <f>VLOOKUP(C28,'Talente &amp; Stuff'!BI:CJ,28,FALSE)</f>
        <v>0</v>
      </c>
      <c r="AE28" s="28"/>
    </row>
    <row r="29" spans="2:31" ht="15" hidden="1" customHeight="1" outlineLevel="2">
      <c r="B29" s="148">
        <v>4</v>
      </c>
      <c r="C29" s="177" t="str">
        <f>Attribute!C29</f>
        <v>---</v>
      </c>
      <c r="D29" s="127" t="str">
        <f>VLOOKUP(C29,'Talente &amp; Stuff'!BI:CJ,2,FALSE)</f>
        <v>--/--/--</v>
      </c>
      <c r="E29" s="125" t="str">
        <f>VLOOKUP(C29,'Talente &amp; Stuff'!BI:CJ,3,FALSE)</f>
        <v>-</v>
      </c>
      <c r="F29" s="114">
        <f>VLOOKUP(C29,'Talente &amp; Stuff'!BI:CJ,4,FALSE)</f>
        <v>0</v>
      </c>
      <c r="G29" s="113">
        <f>VLOOKUP(C29,'Talente &amp; Stuff'!BI:CJ,5,FALSE)</f>
        <v>0</v>
      </c>
      <c r="H29" s="113">
        <f>VLOOKUP(C29,'Talente &amp; Stuff'!BI:CJ,6,FALSE)</f>
        <v>0</v>
      </c>
      <c r="I29" s="113">
        <f>VLOOKUP(C29,'Talente &amp; Stuff'!BI:CJ,7,FALSE)</f>
        <v>0</v>
      </c>
      <c r="J29" s="113">
        <f>VLOOKUP(C29,'Talente &amp; Stuff'!BI:CJ,8,FALSE)</f>
        <v>0</v>
      </c>
      <c r="K29" s="113">
        <f>VLOOKUP(C29,'Talente &amp; Stuff'!BI:CJ,9,FALSE)</f>
        <v>0</v>
      </c>
      <c r="L29" s="113">
        <f>VLOOKUP(C29,'Talente &amp; Stuff'!BI:CJ,10,FALSE)</f>
        <v>0</v>
      </c>
      <c r="M29" s="119">
        <f>VLOOKUP(C29,'Talente &amp; Stuff'!BI:CJ,11,FALSE)</f>
        <v>0</v>
      </c>
      <c r="N29" s="89">
        <f>VLOOKUP(C29,'Talente &amp; Stuff'!BI:CJ,12,FALSE)</f>
        <v>0</v>
      </c>
      <c r="O29" s="47">
        <f>VLOOKUP(C29,'Talente &amp; Stuff'!BI:CJ,13,FALSE)</f>
        <v>0</v>
      </c>
      <c r="P29" s="119">
        <f>VLOOKUP(C29,'Talente &amp; Stuff'!BI:CJ,14,FALSE)</f>
        <v>0</v>
      </c>
      <c r="Q29" s="114">
        <f>VLOOKUP(C29,'Talente &amp; Stuff'!BI:CJ,15,FALSE)</f>
        <v>0</v>
      </c>
      <c r="R29" s="113">
        <f>VLOOKUP(C29,'Talente &amp; Stuff'!BI:CJ,16,FALSE)</f>
        <v>0</v>
      </c>
      <c r="S29" s="119">
        <f>VLOOKUP(C29,'Talente &amp; Stuff'!BI:CJ,17,FALSE)</f>
        <v>0</v>
      </c>
      <c r="T29" s="160">
        <f>VLOOKUP(C29,'Talente &amp; Stuff'!BI:CJ,18,FALSE)</f>
        <v>0</v>
      </c>
      <c r="U29" s="89">
        <f>VLOOKUP(C29,'Talente &amp; Stuff'!BI:CJ,19,FALSE)</f>
        <v>0</v>
      </c>
      <c r="V29" s="47">
        <f>VLOOKUP(C29,'Talente &amp; Stuff'!BI:CJ,20,FALSE)</f>
        <v>0</v>
      </c>
      <c r="W29" s="127">
        <f>VLOOKUP(C29,'Talente &amp; Stuff'!BI:CJ,21,FALSE)</f>
        <v>0</v>
      </c>
      <c r="X29" s="125">
        <f>VLOOKUP(C29,'Talente &amp; Stuff'!BI:CJ,22,FALSE)</f>
        <v>0</v>
      </c>
      <c r="Y29" s="165">
        <f t="shared" si="2"/>
        <v>0</v>
      </c>
      <c r="Z29" s="44">
        <f t="shared" si="3"/>
        <v>0</v>
      </c>
      <c r="AA29" s="125">
        <f>VLOOKUP(C29,'Talente &amp; Stuff'!BI:CJ,25,FALSE)</f>
        <v>0</v>
      </c>
      <c r="AB29" s="160">
        <f>VLOOKUP(C29,'Talente &amp; Stuff'!BI:CJ,26,FALSE)</f>
        <v>0</v>
      </c>
      <c r="AC29" s="127">
        <f>VLOOKUP(C29,'Talente &amp; Stuff'!BI:CJ,27,FALSE)</f>
        <v>0</v>
      </c>
      <c r="AD29" s="125">
        <f>VLOOKUP(C29,'Talente &amp; Stuff'!BI:CJ,28,FALSE)</f>
        <v>0</v>
      </c>
      <c r="AE29" s="28"/>
    </row>
    <row r="30" spans="2:31" ht="15" hidden="1" customHeight="1" outlineLevel="2">
      <c r="B30" s="148">
        <v>5</v>
      </c>
      <c r="C30" s="177" t="str">
        <f>Attribute!C30</f>
        <v>---</v>
      </c>
      <c r="D30" s="127" t="str">
        <f>VLOOKUP(C30,'Talente &amp; Stuff'!BI:CJ,2,FALSE)</f>
        <v>--/--/--</v>
      </c>
      <c r="E30" s="125" t="str">
        <f>VLOOKUP(C30,'Talente &amp; Stuff'!BI:CJ,3,FALSE)</f>
        <v>-</v>
      </c>
      <c r="F30" s="114">
        <f>VLOOKUP(C30,'Talente &amp; Stuff'!BI:CJ,4,FALSE)</f>
        <v>0</v>
      </c>
      <c r="G30" s="113">
        <f>VLOOKUP(C30,'Talente &amp; Stuff'!BI:CJ,5,FALSE)</f>
        <v>0</v>
      </c>
      <c r="H30" s="113">
        <f>VLOOKUP(C30,'Talente &amp; Stuff'!BI:CJ,6,FALSE)</f>
        <v>0</v>
      </c>
      <c r="I30" s="113">
        <f>VLOOKUP(C30,'Talente &amp; Stuff'!BI:CJ,7,FALSE)</f>
        <v>0</v>
      </c>
      <c r="J30" s="113">
        <f>VLOOKUP(C30,'Talente &amp; Stuff'!BI:CJ,8,FALSE)</f>
        <v>0</v>
      </c>
      <c r="K30" s="113">
        <f>VLOOKUP(C30,'Talente &amp; Stuff'!BI:CJ,9,FALSE)</f>
        <v>0</v>
      </c>
      <c r="L30" s="113">
        <f>VLOOKUP(C30,'Talente &amp; Stuff'!BI:CJ,10,FALSE)</f>
        <v>0</v>
      </c>
      <c r="M30" s="119">
        <f>VLOOKUP(C30,'Talente &amp; Stuff'!BI:CJ,11,FALSE)</f>
        <v>0</v>
      </c>
      <c r="N30" s="89">
        <f>VLOOKUP(C30,'Talente &amp; Stuff'!BI:CJ,12,FALSE)</f>
        <v>0</v>
      </c>
      <c r="O30" s="47">
        <f>VLOOKUP(C30,'Talente &amp; Stuff'!BI:CJ,13,FALSE)</f>
        <v>0</v>
      </c>
      <c r="P30" s="119">
        <f>VLOOKUP(C30,'Talente &amp; Stuff'!BI:CJ,14,FALSE)</f>
        <v>0</v>
      </c>
      <c r="Q30" s="114">
        <f>VLOOKUP(C30,'Talente &amp; Stuff'!BI:CJ,15,FALSE)</f>
        <v>0</v>
      </c>
      <c r="R30" s="113">
        <f>VLOOKUP(C30,'Talente &amp; Stuff'!BI:CJ,16,FALSE)</f>
        <v>0</v>
      </c>
      <c r="S30" s="119">
        <f>VLOOKUP(C30,'Talente &amp; Stuff'!BI:CJ,17,FALSE)</f>
        <v>0</v>
      </c>
      <c r="T30" s="160">
        <f>VLOOKUP(C30,'Talente &amp; Stuff'!BI:CJ,18,FALSE)</f>
        <v>0</v>
      </c>
      <c r="U30" s="89">
        <f>VLOOKUP(C30,'Talente &amp; Stuff'!BI:CJ,19,FALSE)</f>
        <v>0</v>
      </c>
      <c r="V30" s="47">
        <f>VLOOKUP(C30,'Talente &amp; Stuff'!BI:CJ,20,FALSE)</f>
        <v>0</v>
      </c>
      <c r="W30" s="127">
        <f>VLOOKUP(C30,'Talente &amp; Stuff'!BI:CJ,21,FALSE)</f>
        <v>0</v>
      </c>
      <c r="X30" s="125">
        <f>VLOOKUP(C30,'Talente &amp; Stuff'!BI:CJ,22,FALSE)</f>
        <v>0</v>
      </c>
      <c r="Y30" s="165">
        <f t="shared" si="2"/>
        <v>0</v>
      </c>
      <c r="Z30" s="44">
        <f t="shared" si="3"/>
        <v>0</v>
      </c>
      <c r="AA30" s="125">
        <f>VLOOKUP(C30,'Talente &amp; Stuff'!BI:CJ,25,FALSE)</f>
        <v>0</v>
      </c>
      <c r="AB30" s="160">
        <f>VLOOKUP(C30,'Talente &amp; Stuff'!BI:CJ,26,FALSE)</f>
        <v>0</v>
      </c>
      <c r="AC30" s="127">
        <f>VLOOKUP(C30,'Talente &amp; Stuff'!BI:CJ,27,FALSE)</f>
        <v>0</v>
      </c>
      <c r="AD30" s="125">
        <f>VLOOKUP(C30,'Talente &amp; Stuff'!BI:CJ,28,FALSE)</f>
        <v>0</v>
      </c>
      <c r="AE30" s="28"/>
    </row>
    <row r="31" spans="2:31" ht="15" hidden="1" customHeight="1" outlineLevel="2">
      <c r="B31" s="148">
        <v>6</v>
      </c>
      <c r="C31" s="177" t="str">
        <f>Attribute!C31</f>
        <v>---</v>
      </c>
      <c r="D31" s="127" t="str">
        <f>VLOOKUP(C31,'Talente &amp; Stuff'!BI:CJ,2,FALSE)</f>
        <v>--/--/--</v>
      </c>
      <c r="E31" s="125" t="str">
        <f>VLOOKUP(C31,'Talente &amp; Stuff'!BI:CJ,3,FALSE)</f>
        <v>-</v>
      </c>
      <c r="F31" s="114">
        <f>VLOOKUP(C31,'Talente &amp; Stuff'!BI:CJ,4,FALSE)</f>
        <v>0</v>
      </c>
      <c r="G31" s="113">
        <f>VLOOKUP(C31,'Talente &amp; Stuff'!BI:CJ,5,FALSE)</f>
        <v>0</v>
      </c>
      <c r="H31" s="113">
        <f>VLOOKUP(C31,'Talente &amp; Stuff'!BI:CJ,6,FALSE)</f>
        <v>0</v>
      </c>
      <c r="I31" s="113">
        <f>VLOOKUP(C31,'Talente &amp; Stuff'!BI:CJ,7,FALSE)</f>
        <v>0</v>
      </c>
      <c r="J31" s="113">
        <f>VLOOKUP(C31,'Talente &amp; Stuff'!BI:CJ,8,FALSE)</f>
        <v>0</v>
      </c>
      <c r="K31" s="113">
        <f>VLOOKUP(C31,'Talente &amp; Stuff'!BI:CJ,9,FALSE)</f>
        <v>0</v>
      </c>
      <c r="L31" s="113">
        <f>VLOOKUP(C31,'Talente &amp; Stuff'!BI:CJ,10,FALSE)</f>
        <v>0</v>
      </c>
      <c r="M31" s="119">
        <f>VLOOKUP(C31,'Talente &amp; Stuff'!BI:CJ,11,FALSE)</f>
        <v>0</v>
      </c>
      <c r="N31" s="89">
        <f>VLOOKUP(C31,'Talente &amp; Stuff'!BI:CJ,12,FALSE)</f>
        <v>0</v>
      </c>
      <c r="O31" s="47">
        <f>VLOOKUP(C31,'Talente &amp; Stuff'!BI:CJ,13,FALSE)</f>
        <v>0</v>
      </c>
      <c r="P31" s="119">
        <f>VLOOKUP(C31,'Talente &amp; Stuff'!BI:CJ,14,FALSE)</f>
        <v>0</v>
      </c>
      <c r="Q31" s="114">
        <f>VLOOKUP(C31,'Talente &amp; Stuff'!BI:CJ,15,FALSE)</f>
        <v>0</v>
      </c>
      <c r="R31" s="113">
        <f>VLOOKUP(C31,'Talente &amp; Stuff'!BI:CJ,16,FALSE)</f>
        <v>0</v>
      </c>
      <c r="S31" s="119">
        <f>VLOOKUP(C31,'Talente &amp; Stuff'!BI:CJ,17,FALSE)</f>
        <v>0</v>
      </c>
      <c r="T31" s="160">
        <f>VLOOKUP(C31,'Talente &amp; Stuff'!BI:CJ,18,FALSE)</f>
        <v>0</v>
      </c>
      <c r="U31" s="89">
        <f>VLOOKUP(C31,'Talente &amp; Stuff'!BI:CJ,19,FALSE)</f>
        <v>0</v>
      </c>
      <c r="V31" s="47">
        <f>VLOOKUP(C31,'Talente &amp; Stuff'!BI:CJ,20,FALSE)</f>
        <v>0</v>
      </c>
      <c r="W31" s="127">
        <f>VLOOKUP(C31,'Talente &amp; Stuff'!BI:CJ,21,FALSE)</f>
        <v>0</v>
      </c>
      <c r="X31" s="125">
        <f>VLOOKUP(C31,'Talente &amp; Stuff'!BI:CJ,22,FALSE)</f>
        <v>0</v>
      </c>
      <c r="Y31" s="165">
        <f t="shared" si="2"/>
        <v>0</v>
      </c>
      <c r="Z31" s="44">
        <f t="shared" si="3"/>
        <v>0</v>
      </c>
      <c r="AA31" s="125">
        <f>VLOOKUP(C31,'Talente &amp; Stuff'!BI:CJ,25,FALSE)</f>
        <v>0</v>
      </c>
      <c r="AB31" s="160">
        <f>VLOOKUP(C31,'Talente &amp; Stuff'!BI:CJ,26,FALSE)</f>
        <v>0</v>
      </c>
      <c r="AC31" s="127">
        <f>VLOOKUP(C31,'Talente &amp; Stuff'!BI:CJ,27,FALSE)</f>
        <v>0</v>
      </c>
      <c r="AD31" s="125">
        <f>VLOOKUP(C31,'Talente &amp; Stuff'!BI:CJ,28,FALSE)</f>
        <v>0</v>
      </c>
      <c r="AE31" s="28"/>
    </row>
    <row r="32" spans="2:31" ht="15" hidden="1" customHeight="1" outlineLevel="2">
      <c r="B32" s="148">
        <v>7</v>
      </c>
      <c r="C32" s="177" t="str">
        <f>Attribute!C32</f>
        <v>---</v>
      </c>
      <c r="D32" s="127" t="str">
        <f>VLOOKUP(C32,'Talente &amp; Stuff'!BI:CJ,2,FALSE)</f>
        <v>--/--/--</v>
      </c>
      <c r="E32" s="125" t="str">
        <f>VLOOKUP(C32,'Talente &amp; Stuff'!BI:CJ,3,FALSE)</f>
        <v>-</v>
      </c>
      <c r="F32" s="114">
        <f>VLOOKUP(C32,'Talente &amp; Stuff'!BI:CJ,4,FALSE)</f>
        <v>0</v>
      </c>
      <c r="G32" s="113">
        <f>VLOOKUP(C32,'Talente &amp; Stuff'!BI:CJ,5,FALSE)</f>
        <v>0</v>
      </c>
      <c r="H32" s="113">
        <f>VLOOKUP(C32,'Talente &amp; Stuff'!BI:CJ,6,FALSE)</f>
        <v>0</v>
      </c>
      <c r="I32" s="113">
        <f>VLOOKUP(C32,'Talente &amp; Stuff'!BI:CJ,7,FALSE)</f>
        <v>0</v>
      </c>
      <c r="J32" s="113">
        <f>VLOOKUP(C32,'Talente &amp; Stuff'!BI:CJ,8,FALSE)</f>
        <v>0</v>
      </c>
      <c r="K32" s="113">
        <f>VLOOKUP(C32,'Talente &amp; Stuff'!BI:CJ,9,FALSE)</f>
        <v>0</v>
      </c>
      <c r="L32" s="113">
        <f>VLOOKUP(C32,'Talente &amp; Stuff'!BI:CJ,10,FALSE)</f>
        <v>0</v>
      </c>
      <c r="M32" s="119">
        <f>VLOOKUP(C32,'Talente &amp; Stuff'!BI:CJ,11,FALSE)</f>
        <v>0</v>
      </c>
      <c r="N32" s="89">
        <f>VLOOKUP(C32,'Talente &amp; Stuff'!BI:CJ,12,FALSE)</f>
        <v>0</v>
      </c>
      <c r="O32" s="47">
        <f>VLOOKUP(C32,'Talente &amp; Stuff'!BI:CJ,13,FALSE)</f>
        <v>0</v>
      </c>
      <c r="P32" s="119">
        <f>VLOOKUP(C32,'Talente &amp; Stuff'!BI:CJ,14,FALSE)</f>
        <v>0</v>
      </c>
      <c r="Q32" s="114">
        <f>VLOOKUP(C32,'Talente &amp; Stuff'!BI:CJ,15,FALSE)</f>
        <v>0</v>
      </c>
      <c r="R32" s="113">
        <f>VLOOKUP(C32,'Talente &amp; Stuff'!BI:CJ,16,FALSE)</f>
        <v>0</v>
      </c>
      <c r="S32" s="119">
        <f>VLOOKUP(C32,'Talente &amp; Stuff'!BI:CJ,17,FALSE)</f>
        <v>0</v>
      </c>
      <c r="T32" s="160">
        <f>VLOOKUP(C32,'Talente &amp; Stuff'!BI:CJ,18,FALSE)</f>
        <v>0</v>
      </c>
      <c r="U32" s="89">
        <f>VLOOKUP(C32,'Talente &amp; Stuff'!BI:CJ,19,FALSE)</f>
        <v>0</v>
      </c>
      <c r="V32" s="47">
        <f>VLOOKUP(C32,'Talente &amp; Stuff'!BI:CJ,20,FALSE)</f>
        <v>0</v>
      </c>
      <c r="W32" s="127">
        <f>VLOOKUP(C32,'Talente &amp; Stuff'!BI:CJ,21,FALSE)</f>
        <v>0</v>
      </c>
      <c r="X32" s="125">
        <f>VLOOKUP(C32,'Talente &amp; Stuff'!BI:CJ,22,FALSE)</f>
        <v>0</v>
      </c>
      <c r="Y32" s="165">
        <f t="shared" si="2"/>
        <v>0</v>
      </c>
      <c r="Z32" s="44">
        <f t="shared" si="3"/>
        <v>0</v>
      </c>
      <c r="AA32" s="125">
        <f>VLOOKUP(C32,'Talente &amp; Stuff'!BI:CJ,25,FALSE)</f>
        <v>0</v>
      </c>
      <c r="AB32" s="160">
        <f>VLOOKUP(C32,'Talente &amp; Stuff'!BI:CJ,26,FALSE)</f>
        <v>0</v>
      </c>
      <c r="AC32" s="127">
        <f>VLOOKUP(C32,'Talente &amp; Stuff'!BI:CJ,27,FALSE)</f>
        <v>0</v>
      </c>
      <c r="AD32" s="125">
        <f>VLOOKUP(C32,'Talente &amp; Stuff'!BI:CJ,28,FALSE)</f>
        <v>0</v>
      </c>
      <c r="AE32" s="28"/>
    </row>
    <row r="33" spans="2:31" ht="15" hidden="1" customHeight="1" outlineLevel="2">
      <c r="B33" s="148">
        <v>8</v>
      </c>
      <c r="C33" s="177" t="str">
        <f>Attribute!C33</f>
        <v>---</v>
      </c>
      <c r="D33" s="127" t="str">
        <f>VLOOKUP(C33,'Talente &amp; Stuff'!BI:CJ,2,FALSE)</f>
        <v>--/--/--</v>
      </c>
      <c r="E33" s="125" t="str">
        <f>VLOOKUP(C33,'Talente &amp; Stuff'!BI:CJ,3,FALSE)</f>
        <v>-</v>
      </c>
      <c r="F33" s="114">
        <f>VLOOKUP(C33,'Talente &amp; Stuff'!BI:CJ,4,FALSE)</f>
        <v>0</v>
      </c>
      <c r="G33" s="113">
        <f>VLOOKUP(C33,'Talente &amp; Stuff'!BI:CJ,5,FALSE)</f>
        <v>0</v>
      </c>
      <c r="H33" s="113">
        <f>VLOOKUP(C33,'Talente &amp; Stuff'!BI:CJ,6,FALSE)</f>
        <v>0</v>
      </c>
      <c r="I33" s="113">
        <f>VLOOKUP(C33,'Talente &amp; Stuff'!BI:CJ,7,FALSE)</f>
        <v>0</v>
      </c>
      <c r="J33" s="113">
        <f>VLOOKUP(C33,'Talente &amp; Stuff'!BI:CJ,8,FALSE)</f>
        <v>0</v>
      </c>
      <c r="K33" s="113">
        <f>VLOOKUP(C33,'Talente &amp; Stuff'!BI:CJ,9,FALSE)</f>
        <v>0</v>
      </c>
      <c r="L33" s="113">
        <f>VLOOKUP(C33,'Talente &amp; Stuff'!BI:CJ,10,FALSE)</f>
        <v>0</v>
      </c>
      <c r="M33" s="119">
        <f>VLOOKUP(C33,'Talente &amp; Stuff'!BI:CJ,11,FALSE)</f>
        <v>0</v>
      </c>
      <c r="N33" s="89">
        <f>VLOOKUP(C33,'Talente &amp; Stuff'!BI:CJ,12,FALSE)</f>
        <v>0</v>
      </c>
      <c r="O33" s="47">
        <f>VLOOKUP(C33,'Talente &amp; Stuff'!BI:CJ,13,FALSE)</f>
        <v>0</v>
      </c>
      <c r="P33" s="119">
        <f>VLOOKUP(C33,'Talente &amp; Stuff'!BI:CJ,14,FALSE)</f>
        <v>0</v>
      </c>
      <c r="Q33" s="114">
        <f>VLOOKUP(C33,'Talente &amp; Stuff'!BI:CJ,15,FALSE)</f>
        <v>0</v>
      </c>
      <c r="R33" s="113">
        <f>VLOOKUP(C33,'Talente &amp; Stuff'!BI:CJ,16,FALSE)</f>
        <v>0</v>
      </c>
      <c r="S33" s="119">
        <f>VLOOKUP(C33,'Talente &amp; Stuff'!BI:CJ,17,FALSE)</f>
        <v>0</v>
      </c>
      <c r="T33" s="160">
        <f>VLOOKUP(C33,'Talente &amp; Stuff'!BI:CJ,18,FALSE)</f>
        <v>0</v>
      </c>
      <c r="U33" s="89">
        <f>VLOOKUP(C33,'Talente &amp; Stuff'!BI:CJ,19,FALSE)</f>
        <v>0</v>
      </c>
      <c r="V33" s="47">
        <f>VLOOKUP(C33,'Talente &amp; Stuff'!BI:CJ,20,FALSE)</f>
        <v>0</v>
      </c>
      <c r="W33" s="127">
        <f>VLOOKUP(C33,'Talente &amp; Stuff'!BI:CJ,21,FALSE)</f>
        <v>0</v>
      </c>
      <c r="X33" s="125">
        <f>VLOOKUP(C33,'Talente &amp; Stuff'!BI:CJ,22,FALSE)</f>
        <v>0</v>
      </c>
      <c r="Y33" s="165">
        <f t="shared" si="2"/>
        <v>0</v>
      </c>
      <c r="Z33" s="44">
        <f t="shared" si="3"/>
        <v>0</v>
      </c>
      <c r="AA33" s="125">
        <f>VLOOKUP(C33,'Talente &amp; Stuff'!BI:CJ,25,FALSE)</f>
        <v>0</v>
      </c>
      <c r="AB33" s="160">
        <f>VLOOKUP(C33,'Talente &amp; Stuff'!BI:CJ,26,FALSE)</f>
        <v>0</v>
      </c>
      <c r="AC33" s="127">
        <f>VLOOKUP(C33,'Talente &amp; Stuff'!BI:CJ,27,FALSE)</f>
        <v>0</v>
      </c>
      <c r="AD33" s="125">
        <f>VLOOKUP(C33,'Talente &amp; Stuff'!BI:CJ,28,FALSE)</f>
        <v>0</v>
      </c>
      <c r="AE33" s="28"/>
    </row>
    <row r="34" spans="2:31" ht="15" hidden="1" customHeight="1" outlineLevel="2">
      <c r="B34" s="148">
        <v>9</v>
      </c>
      <c r="C34" s="178" t="str">
        <f>Attribute!C34</f>
        <v>---</v>
      </c>
      <c r="D34" s="128" t="str">
        <f>VLOOKUP(C34,'Talente &amp; Stuff'!BI:CJ,2,FALSE)</f>
        <v>--/--/--</v>
      </c>
      <c r="E34" s="159" t="str">
        <f>VLOOKUP(C34,'Talente &amp; Stuff'!BI:CJ,3,FALSE)</f>
        <v>-</v>
      </c>
      <c r="F34" s="115">
        <f>VLOOKUP(C34,'Talente &amp; Stuff'!BI:CJ,4,FALSE)</f>
        <v>0</v>
      </c>
      <c r="G34" s="122">
        <f>VLOOKUP(C34,'Talente &amp; Stuff'!BI:CJ,5,FALSE)</f>
        <v>0</v>
      </c>
      <c r="H34" s="122">
        <f>VLOOKUP(C34,'Talente &amp; Stuff'!BI:CJ,6,FALSE)</f>
        <v>0</v>
      </c>
      <c r="I34" s="122">
        <f>VLOOKUP(C34,'Talente &amp; Stuff'!BI:CJ,7,FALSE)</f>
        <v>0</v>
      </c>
      <c r="J34" s="122">
        <f>VLOOKUP(C34,'Talente &amp; Stuff'!BI:CJ,8,FALSE)</f>
        <v>0</v>
      </c>
      <c r="K34" s="122">
        <f>VLOOKUP(C34,'Talente &amp; Stuff'!BI:CJ,9,FALSE)</f>
        <v>0</v>
      </c>
      <c r="L34" s="122">
        <f>VLOOKUP(C34,'Talente &amp; Stuff'!BI:CJ,10,FALSE)</f>
        <v>0</v>
      </c>
      <c r="M34" s="123">
        <f>VLOOKUP(C34,'Talente &amp; Stuff'!BI:CJ,11,FALSE)</f>
        <v>0</v>
      </c>
      <c r="N34" s="90">
        <f>VLOOKUP(C34,'Talente &amp; Stuff'!BI:CJ,12,FALSE)</f>
        <v>0</v>
      </c>
      <c r="O34" s="88">
        <f>VLOOKUP(C34,'Talente &amp; Stuff'!BI:CJ,13,FALSE)</f>
        <v>0</v>
      </c>
      <c r="P34" s="123">
        <f>VLOOKUP(C34,'Talente &amp; Stuff'!BI:CJ,14,FALSE)</f>
        <v>0</v>
      </c>
      <c r="Q34" s="115">
        <f>VLOOKUP(C34,'Talente &amp; Stuff'!BI:CJ,15,FALSE)</f>
        <v>0</v>
      </c>
      <c r="R34" s="122">
        <f>VLOOKUP(C34,'Talente &amp; Stuff'!BI:CJ,16,FALSE)</f>
        <v>0</v>
      </c>
      <c r="S34" s="123">
        <f>VLOOKUP(C34,'Talente &amp; Stuff'!BI:CJ,17,FALSE)</f>
        <v>0</v>
      </c>
      <c r="T34" s="161">
        <f>VLOOKUP(C34,'Talente &amp; Stuff'!BI:CJ,18,FALSE)</f>
        <v>0</v>
      </c>
      <c r="U34" s="90">
        <f>VLOOKUP(C34,'Talente &amp; Stuff'!BI:CJ,19,FALSE)</f>
        <v>0</v>
      </c>
      <c r="V34" s="88">
        <f>VLOOKUP(C34,'Talente &amp; Stuff'!BI:CJ,20,FALSE)</f>
        <v>0</v>
      </c>
      <c r="W34" s="128">
        <f>VLOOKUP(C34,'Talente &amp; Stuff'!BI:CJ,21,FALSE)</f>
        <v>0</v>
      </c>
      <c r="X34" s="159">
        <f>VLOOKUP(C34,'Talente &amp; Stuff'!BI:CJ,22,FALSE)</f>
        <v>0</v>
      </c>
      <c r="Y34" s="165">
        <f t="shared" si="2"/>
        <v>0</v>
      </c>
      <c r="Z34" s="44">
        <f t="shared" si="3"/>
        <v>0</v>
      </c>
      <c r="AA34" s="159">
        <f>VLOOKUP(C34,'Talente &amp; Stuff'!BI:CJ,25,FALSE)</f>
        <v>0</v>
      </c>
      <c r="AB34" s="161">
        <f>VLOOKUP(C34,'Talente &amp; Stuff'!BI:CJ,26,FALSE)</f>
        <v>0</v>
      </c>
      <c r="AC34" s="128">
        <f>VLOOKUP(C34,'Talente &amp; Stuff'!BI:CJ,27,FALSE)</f>
        <v>0</v>
      </c>
      <c r="AD34" s="159">
        <f>VLOOKUP(C34,'Talente &amp; Stuff'!BI:CJ,28,FALSE)</f>
        <v>0</v>
      </c>
      <c r="AE34" s="28"/>
    </row>
    <row r="35" spans="2:31" ht="15" hidden="1" customHeight="1" outlineLevel="1" collapsed="1">
      <c r="B35" s="134" t="s">
        <v>69</v>
      </c>
      <c r="C35" s="83"/>
      <c r="D35" s="84"/>
      <c r="E35" s="84"/>
      <c r="F35" s="30"/>
      <c r="G35" s="30"/>
      <c r="H35" s="30"/>
      <c r="I35" s="30"/>
      <c r="J35" s="30"/>
      <c r="K35" s="30"/>
      <c r="L35" s="30"/>
      <c r="M35" s="30"/>
      <c r="N35" s="31"/>
      <c r="O35" s="31"/>
      <c r="P35" s="30"/>
      <c r="Q35" s="30"/>
      <c r="R35" s="30"/>
      <c r="S35" s="30"/>
      <c r="T35" s="30"/>
      <c r="U35" s="31"/>
      <c r="V35" s="31"/>
      <c r="W35" s="31"/>
      <c r="X35" s="31"/>
      <c r="Y35" s="65"/>
    </row>
    <row r="36" spans="2:31" ht="15" hidden="1" customHeight="1" outlineLevel="2">
      <c r="B36" s="148">
        <v>1</v>
      </c>
      <c r="C36" s="176" t="str">
        <f>Attribute!C36</f>
        <v>---</v>
      </c>
      <c r="D36" s="126" t="str">
        <f>VLOOKUP(C36,'Talente &amp; Stuff'!BI:CJ,2,FALSE)</f>
        <v>--/--/--</v>
      </c>
      <c r="E36" s="158" t="str">
        <f>VLOOKUP(C36,'Talente &amp; Stuff'!BI:CJ,3,FALSE)</f>
        <v>-</v>
      </c>
      <c r="F36" s="191">
        <f>VLOOKUP(C36,'Talente &amp; Stuff'!BI:CJ,4,FALSE)</f>
        <v>0</v>
      </c>
      <c r="G36" s="118">
        <f>VLOOKUP(C36,'Talente &amp; Stuff'!BI:CJ,5,FALSE)</f>
        <v>0</v>
      </c>
      <c r="H36" s="118">
        <f>VLOOKUP(C36,'Talente &amp; Stuff'!BI:CJ,6,FALSE)</f>
        <v>0</v>
      </c>
      <c r="I36" s="118">
        <f>VLOOKUP(C36,'Talente &amp; Stuff'!BI:CJ,7,FALSE)</f>
        <v>0</v>
      </c>
      <c r="J36" s="118">
        <f>VLOOKUP(C36,'Talente &amp; Stuff'!BI:CJ,8,FALSE)</f>
        <v>0</v>
      </c>
      <c r="K36" s="118">
        <f>VLOOKUP(C36,'Talente &amp; Stuff'!BI:CJ,9,FALSE)</f>
        <v>0</v>
      </c>
      <c r="L36" s="118">
        <f>VLOOKUP(C36,'Talente &amp; Stuff'!BI:CJ,10,FALSE)</f>
        <v>0</v>
      </c>
      <c r="M36" s="92">
        <f>VLOOKUP(C36,'Talente &amp; Stuff'!BI:CJ,11,FALSE)</f>
        <v>0</v>
      </c>
      <c r="N36" s="193">
        <f>VLOOKUP(C36,'Talente &amp; Stuff'!BI:CJ,12,FALSE)</f>
        <v>0</v>
      </c>
      <c r="O36" s="116">
        <f>VLOOKUP(C36,'Talente &amp; Stuff'!BI:CJ,13,FALSE)</f>
        <v>0</v>
      </c>
      <c r="P36" s="92">
        <f>VLOOKUP(C36,'Talente &amp; Stuff'!BI:CJ,14,FALSE)</f>
        <v>0</v>
      </c>
      <c r="Q36" s="191">
        <f>VLOOKUP(C36,'Talente &amp; Stuff'!BI:CJ,15,FALSE)</f>
        <v>0</v>
      </c>
      <c r="R36" s="118">
        <f>VLOOKUP(C36,'Talente &amp; Stuff'!BI:CJ,16,FALSE)</f>
        <v>0</v>
      </c>
      <c r="S36" s="92">
        <f>VLOOKUP(C36,'Talente &amp; Stuff'!BI:CJ,17,FALSE)</f>
        <v>0</v>
      </c>
      <c r="T36" s="91">
        <f>VLOOKUP(C36,'Talente &amp; Stuff'!BI:CJ,18,FALSE)</f>
        <v>0</v>
      </c>
      <c r="U36" s="193">
        <f>VLOOKUP(C36,'Talente &amp; Stuff'!BI:CJ,19,FALSE)</f>
        <v>0</v>
      </c>
      <c r="V36" s="116">
        <f>VLOOKUP(C36,'Talente &amp; Stuff'!BI:CJ,20,FALSE)</f>
        <v>0</v>
      </c>
      <c r="W36" s="126">
        <f>VLOOKUP(C36,'Talente &amp; Stuff'!BI:CJ,21,FALSE)</f>
        <v>0</v>
      </c>
      <c r="X36" s="158">
        <f>VLOOKUP(C36,'Talente &amp; Stuff'!BI:CJ,22,FALSE)</f>
        <v>0</v>
      </c>
      <c r="Y36" s="165">
        <f t="shared" ref="Y36:Y42" si="4">VLOOKUP(C36,Ausgewählte_Talente_Naturtalente,81,FALSE)</f>
        <v>0</v>
      </c>
      <c r="Z36" s="44">
        <f t="shared" ref="Z36:Z42" si="5">VLOOKUP(C36,Ausgewählte_Talente_Naturtalente,82,FALSE)</f>
        <v>0</v>
      </c>
      <c r="AA36" s="158">
        <f>VLOOKUP(C36,'Talente &amp; Stuff'!BI:CJ,25,FALSE)</f>
        <v>0</v>
      </c>
      <c r="AB36" s="91">
        <f>VLOOKUP(C36,'Talente &amp; Stuff'!BI:CJ,26,FALSE)</f>
        <v>0</v>
      </c>
      <c r="AC36" s="126">
        <f>VLOOKUP(C36,'Talente &amp; Stuff'!BI:CJ,27,FALSE)</f>
        <v>0</v>
      </c>
      <c r="AD36" s="158">
        <f>VLOOKUP(C36,'Talente &amp; Stuff'!BI:CJ,28,FALSE)</f>
        <v>0</v>
      </c>
      <c r="AE36" s="28"/>
    </row>
    <row r="37" spans="2:31" ht="15" hidden="1" customHeight="1" outlineLevel="2">
      <c r="B37" s="148">
        <v>2</v>
      </c>
      <c r="C37" s="177" t="str">
        <f>Attribute!C37</f>
        <v>---</v>
      </c>
      <c r="D37" s="127" t="str">
        <f>VLOOKUP(C37,'Talente &amp; Stuff'!BI:CJ,2,FALSE)</f>
        <v>--/--/--</v>
      </c>
      <c r="E37" s="125" t="str">
        <f>VLOOKUP(C37,'Talente &amp; Stuff'!BI:CJ,3,FALSE)</f>
        <v>-</v>
      </c>
      <c r="F37" s="114">
        <f>VLOOKUP(C37,'Talente &amp; Stuff'!BI:CJ,4,FALSE)</f>
        <v>0</v>
      </c>
      <c r="G37" s="113">
        <f>VLOOKUP(C37,'Talente &amp; Stuff'!BI:CJ,5,FALSE)</f>
        <v>0</v>
      </c>
      <c r="H37" s="113">
        <f>VLOOKUP(C37,'Talente &amp; Stuff'!BI:CJ,6,FALSE)</f>
        <v>0</v>
      </c>
      <c r="I37" s="113">
        <f>VLOOKUP(C37,'Talente &amp; Stuff'!BI:CJ,7,FALSE)</f>
        <v>0</v>
      </c>
      <c r="J37" s="113">
        <f>VLOOKUP(C37,'Talente &amp; Stuff'!BI:CJ,8,FALSE)</f>
        <v>0</v>
      </c>
      <c r="K37" s="113">
        <f>VLOOKUP(C37,'Talente &amp; Stuff'!BI:CJ,9,FALSE)</f>
        <v>0</v>
      </c>
      <c r="L37" s="113">
        <f>VLOOKUP(C37,'Talente &amp; Stuff'!BI:CJ,10,FALSE)</f>
        <v>0</v>
      </c>
      <c r="M37" s="119">
        <f>VLOOKUP(C37,'Talente &amp; Stuff'!BI:CJ,11,FALSE)</f>
        <v>0</v>
      </c>
      <c r="N37" s="89">
        <f>VLOOKUP(C37,'Talente &amp; Stuff'!BI:CJ,12,FALSE)</f>
        <v>0</v>
      </c>
      <c r="O37" s="47">
        <f>VLOOKUP(C37,'Talente &amp; Stuff'!BI:CJ,13,FALSE)</f>
        <v>0</v>
      </c>
      <c r="P37" s="119">
        <f>VLOOKUP(C37,'Talente &amp; Stuff'!BI:CJ,14,FALSE)</f>
        <v>0</v>
      </c>
      <c r="Q37" s="114">
        <f>VLOOKUP(C37,'Talente &amp; Stuff'!BI:CJ,15,FALSE)</f>
        <v>0</v>
      </c>
      <c r="R37" s="113">
        <f>VLOOKUP(C37,'Talente &amp; Stuff'!BI:CJ,16,FALSE)</f>
        <v>0</v>
      </c>
      <c r="S37" s="119">
        <f>VLOOKUP(C37,'Talente &amp; Stuff'!BI:CJ,17,FALSE)</f>
        <v>0</v>
      </c>
      <c r="T37" s="160">
        <f>VLOOKUP(C37,'Talente &amp; Stuff'!BI:CJ,18,FALSE)</f>
        <v>0</v>
      </c>
      <c r="U37" s="89">
        <f>VLOOKUP(C37,'Talente &amp; Stuff'!BI:CJ,19,FALSE)</f>
        <v>0</v>
      </c>
      <c r="V37" s="47">
        <f>VLOOKUP(C37,'Talente &amp; Stuff'!BI:CJ,20,FALSE)</f>
        <v>0</v>
      </c>
      <c r="W37" s="127">
        <f>VLOOKUP(C37,'Talente &amp; Stuff'!BI:CJ,21,FALSE)</f>
        <v>0</v>
      </c>
      <c r="X37" s="125">
        <f>VLOOKUP(C37,'Talente &amp; Stuff'!BI:CJ,22,FALSE)</f>
        <v>0</v>
      </c>
      <c r="Y37" s="165">
        <f t="shared" si="4"/>
        <v>0</v>
      </c>
      <c r="Z37" s="44">
        <f t="shared" si="5"/>
        <v>0</v>
      </c>
      <c r="AA37" s="125">
        <f>VLOOKUP(C37,'Talente &amp; Stuff'!BI:CJ,25,FALSE)</f>
        <v>0</v>
      </c>
      <c r="AB37" s="160">
        <f>VLOOKUP(C37,'Talente &amp; Stuff'!BI:CJ,26,FALSE)</f>
        <v>0</v>
      </c>
      <c r="AC37" s="127">
        <f>VLOOKUP(C37,'Talente &amp; Stuff'!BI:CJ,27,FALSE)</f>
        <v>0</v>
      </c>
      <c r="AD37" s="125">
        <f>VLOOKUP(C37,'Talente &amp; Stuff'!BI:CJ,28,FALSE)</f>
        <v>0</v>
      </c>
      <c r="AE37" s="28"/>
    </row>
    <row r="38" spans="2:31" ht="15" hidden="1" customHeight="1" outlineLevel="2">
      <c r="B38" s="148">
        <v>3</v>
      </c>
      <c r="C38" s="177" t="str">
        <f>Attribute!C38</f>
        <v>---</v>
      </c>
      <c r="D38" s="127" t="str">
        <f>VLOOKUP(C38,'Talente &amp; Stuff'!BI:CJ,2,FALSE)</f>
        <v>--/--/--</v>
      </c>
      <c r="E38" s="125" t="str">
        <f>VLOOKUP(C38,'Talente &amp; Stuff'!BI:CJ,3,FALSE)</f>
        <v>-</v>
      </c>
      <c r="F38" s="114">
        <f>VLOOKUP(C38,'Talente &amp; Stuff'!BI:CJ,4,FALSE)</f>
        <v>0</v>
      </c>
      <c r="G38" s="113">
        <f>VLOOKUP(C38,'Talente &amp; Stuff'!BI:CJ,5,FALSE)</f>
        <v>0</v>
      </c>
      <c r="H38" s="113">
        <f>VLOOKUP(C38,'Talente &amp; Stuff'!BI:CJ,6,FALSE)</f>
        <v>0</v>
      </c>
      <c r="I38" s="113">
        <f>VLOOKUP(C38,'Talente &amp; Stuff'!BI:CJ,7,FALSE)</f>
        <v>0</v>
      </c>
      <c r="J38" s="113">
        <f>VLOOKUP(C38,'Talente &amp; Stuff'!BI:CJ,8,FALSE)</f>
        <v>0</v>
      </c>
      <c r="K38" s="113">
        <f>VLOOKUP(C38,'Talente &amp; Stuff'!BI:CJ,9,FALSE)</f>
        <v>0</v>
      </c>
      <c r="L38" s="113">
        <f>VLOOKUP(C38,'Talente &amp; Stuff'!BI:CJ,10,FALSE)</f>
        <v>0</v>
      </c>
      <c r="M38" s="119">
        <f>VLOOKUP(C38,'Talente &amp; Stuff'!BI:CJ,11,FALSE)</f>
        <v>0</v>
      </c>
      <c r="N38" s="89">
        <f>VLOOKUP(C38,'Talente &amp; Stuff'!BI:CJ,12,FALSE)</f>
        <v>0</v>
      </c>
      <c r="O38" s="47">
        <f>VLOOKUP(C38,'Talente &amp; Stuff'!BI:CJ,13,FALSE)</f>
        <v>0</v>
      </c>
      <c r="P38" s="119">
        <f>VLOOKUP(C38,'Talente &amp; Stuff'!BI:CJ,14,FALSE)</f>
        <v>0</v>
      </c>
      <c r="Q38" s="114">
        <f>VLOOKUP(C38,'Talente &amp; Stuff'!BI:CJ,15,FALSE)</f>
        <v>0</v>
      </c>
      <c r="R38" s="113">
        <f>VLOOKUP(C38,'Talente &amp; Stuff'!BI:CJ,16,FALSE)</f>
        <v>0</v>
      </c>
      <c r="S38" s="119">
        <f>VLOOKUP(C38,'Talente &amp; Stuff'!BI:CJ,17,FALSE)</f>
        <v>0</v>
      </c>
      <c r="T38" s="160">
        <f>VLOOKUP(C38,'Talente &amp; Stuff'!BI:CJ,18,FALSE)</f>
        <v>0</v>
      </c>
      <c r="U38" s="89">
        <f>VLOOKUP(C38,'Talente &amp; Stuff'!BI:CJ,19,FALSE)</f>
        <v>0</v>
      </c>
      <c r="V38" s="47">
        <f>VLOOKUP(C38,'Talente &amp; Stuff'!BI:CJ,20,FALSE)</f>
        <v>0</v>
      </c>
      <c r="W38" s="127">
        <f>VLOOKUP(C38,'Talente &amp; Stuff'!BI:CJ,21,FALSE)</f>
        <v>0</v>
      </c>
      <c r="X38" s="125">
        <f>VLOOKUP(C38,'Talente &amp; Stuff'!BI:CJ,22,FALSE)</f>
        <v>0</v>
      </c>
      <c r="Y38" s="165">
        <f t="shared" si="4"/>
        <v>0</v>
      </c>
      <c r="Z38" s="44">
        <f t="shared" si="5"/>
        <v>0</v>
      </c>
      <c r="AA38" s="125">
        <f>VLOOKUP(C38,'Talente &amp; Stuff'!BI:CJ,25,FALSE)</f>
        <v>0</v>
      </c>
      <c r="AB38" s="160">
        <f>VLOOKUP(C38,'Talente &amp; Stuff'!BI:CJ,26,FALSE)</f>
        <v>0</v>
      </c>
      <c r="AC38" s="127">
        <f>VLOOKUP(C38,'Talente &amp; Stuff'!BI:CJ,27,FALSE)</f>
        <v>0</v>
      </c>
      <c r="AD38" s="125">
        <f>VLOOKUP(C38,'Talente &amp; Stuff'!BI:CJ,28,FALSE)</f>
        <v>0</v>
      </c>
      <c r="AE38" s="28"/>
    </row>
    <row r="39" spans="2:31" ht="15" hidden="1" customHeight="1" outlineLevel="2">
      <c r="B39" s="148">
        <v>4</v>
      </c>
      <c r="C39" s="177" t="str">
        <f>Attribute!C39</f>
        <v>---</v>
      </c>
      <c r="D39" s="127" t="str">
        <f>VLOOKUP(C39,'Talente &amp; Stuff'!BI:CJ,2,FALSE)</f>
        <v>--/--/--</v>
      </c>
      <c r="E39" s="125" t="str">
        <f>VLOOKUP(C39,'Talente &amp; Stuff'!BI:CJ,3,FALSE)</f>
        <v>-</v>
      </c>
      <c r="F39" s="114">
        <f>VLOOKUP(C39,'Talente &amp; Stuff'!BI:CJ,4,FALSE)</f>
        <v>0</v>
      </c>
      <c r="G39" s="113">
        <f>VLOOKUP(C39,'Talente &amp; Stuff'!BI:CJ,5,FALSE)</f>
        <v>0</v>
      </c>
      <c r="H39" s="113">
        <f>VLOOKUP(C39,'Talente &amp; Stuff'!BI:CJ,6,FALSE)</f>
        <v>0</v>
      </c>
      <c r="I39" s="113">
        <f>VLOOKUP(C39,'Talente &amp; Stuff'!BI:CJ,7,FALSE)</f>
        <v>0</v>
      </c>
      <c r="J39" s="113">
        <f>VLOOKUP(C39,'Talente &amp; Stuff'!BI:CJ,8,FALSE)</f>
        <v>0</v>
      </c>
      <c r="K39" s="113">
        <f>VLOOKUP(C39,'Talente &amp; Stuff'!BI:CJ,9,FALSE)</f>
        <v>0</v>
      </c>
      <c r="L39" s="113">
        <f>VLOOKUP(C39,'Talente &amp; Stuff'!BI:CJ,10,FALSE)</f>
        <v>0</v>
      </c>
      <c r="M39" s="119">
        <f>VLOOKUP(C39,'Talente &amp; Stuff'!BI:CJ,11,FALSE)</f>
        <v>0</v>
      </c>
      <c r="N39" s="89">
        <f>VLOOKUP(C39,'Talente &amp; Stuff'!BI:CJ,12,FALSE)</f>
        <v>0</v>
      </c>
      <c r="O39" s="47">
        <f>VLOOKUP(C39,'Talente &amp; Stuff'!BI:CJ,13,FALSE)</f>
        <v>0</v>
      </c>
      <c r="P39" s="119">
        <f>VLOOKUP(C39,'Talente &amp; Stuff'!BI:CJ,14,FALSE)</f>
        <v>0</v>
      </c>
      <c r="Q39" s="114">
        <f>VLOOKUP(C39,'Talente &amp; Stuff'!BI:CJ,15,FALSE)</f>
        <v>0</v>
      </c>
      <c r="R39" s="113">
        <f>VLOOKUP(C39,'Talente &amp; Stuff'!BI:CJ,16,FALSE)</f>
        <v>0</v>
      </c>
      <c r="S39" s="119">
        <f>VLOOKUP(C39,'Talente &amp; Stuff'!BI:CJ,17,FALSE)</f>
        <v>0</v>
      </c>
      <c r="T39" s="160">
        <f>VLOOKUP(C39,'Talente &amp; Stuff'!BI:CJ,18,FALSE)</f>
        <v>0</v>
      </c>
      <c r="U39" s="89">
        <f>VLOOKUP(C39,'Talente &amp; Stuff'!BI:CJ,19,FALSE)</f>
        <v>0</v>
      </c>
      <c r="V39" s="47">
        <f>VLOOKUP(C39,'Talente &amp; Stuff'!BI:CJ,20,FALSE)</f>
        <v>0</v>
      </c>
      <c r="W39" s="127">
        <f>VLOOKUP(C39,'Talente &amp; Stuff'!BI:CJ,21,FALSE)</f>
        <v>0</v>
      </c>
      <c r="X39" s="125">
        <f>VLOOKUP(C39,'Talente &amp; Stuff'!BI:CJ,22,FALSE)</f>
        <v>0</v>
      </c>
      <c r="Y39" s="165">
        <f t="shared" si="4"/>
        <v>0</v>
      </c>
      <c r="Z39" s="44">
        <f t="shared" si="5"/>
        <v>0</v>
      </c>
      <c r="AA39" s="125">
        <f>VLOOKUP(C39,'Talente &amp; Stuff'!BI:CJ,25,FALSE)</f>
        <v>0</v>
      </c>
      <c r="AB39" s="160">
        <f>VLOOKUP(C39,'Talente &amp; Stuff'!BI:CJ,26,FALSE)</f>
        <v>0</v>
      </c>
      <c r="AC39" s="127">
        <f>VLOOKUP(C39,'Talente &amp; Stuff'!BI:CJ,27,FALSE)</f>
        <v>0</v>
      </c>
      <c r="AD39" s="125">
        <f>VLOOKUP(C39,'Talente &amp; Stuff'!BI:CJ,28,FALSE)</f>
        <v>0</v>
      </c>
      <c r="AE39" s="28"/>
    </row>
    <row r="40" spans="2:31" ht="15" hidden="1" customHeight="1" outlineLevel="2">
      <c r="B40" s="148">
        <v>5</v>
      </c>
      <c r="C40" s="177" t="str">
        <f>Attribute!C40</f>
        <v>---</v>
      </c>
      <c r="D40" s="127" t="str">
        <f>VLOOKUP(C40,'Talente &amp; Stuff'!BI:CJ,2,FALSE)</f>
        <v>--/--/--</v>
      </c>
      <c r="E40" s="125" t="str">
        <f>VLOOKUP(C40,'Talente &amp; Stuff'!BI:CJ,3,FALSE)</f>
        <v>-</v>
      </c>
      <c r="F40" s="114">
        <f>VLOOKUP(C40,'Talente &amp; Stuff'!BI:CJ,4,FALSE)</f>
        <v>0</v>
      </c>
      <c r="G40" s="113">
        <f>VLOOKUP(C40,'Talente &amp; Stuff'!BI:CJ,5,FALSE)</f>
        <v>0</v>
      </c>
      <c r="H40" s="113">
        <f>VLOOKUP(C40,'Talente &amp; Stuff'!BI:CJ,6,FALSE)</f>
        <v>0</v>
      </c>
      <c r="I40" s="113">
        <f>VLOOKUP(C40,'Talente &amp; Stuff'!BI:CJ,7,FALSE)</f>
        <v>0</v>
      </c>
      <c r="J40" s="113">
        <f>VLOOKUP(C40,'Talente &amp; Stuff'!BI:CJ,8,FALSE)</f>
        <v>0</v>
      </c>
      <c r="K40" s="113">
        <f>VLOOKUP(C40,'Talente &amp; Stuff'!BI:CJ,9,FALSE)</f>
        <v>0</v>
      </c>
      <c r="L40" s="113">
        <f>VLOOKUP(C40,'Talente &amp; Stuff'!BI:CJ,10,FALSE)</f>
        <v>0</v>
      </c>
      <c r="M40" s="119">
        <f>VLOOKUP(C40,'Talente &amp; Stuff'!BI:CJ,11,FALSE)</f>
        <v>0</v>
      </c>
      <c r="N40" s="89">
        <f>VLOOKUP(C40,'Talente &amp; Stuff'!BI:CJ,12,FALSE)</f>
        <v>0</v>
      </c>
      <c r="O40" s="47">
        <f>VLOOKUP(C40,'Talente &amp; Stuff'!BI:CJ,13,FALSE)</f>
        <v>0</v>
      </c>
      <c r="P40" s="119">
        <f>VLOOKUP(C40,'Talente &amp; Stuff'!BI:CJ,14,FALSE)</f>
        <v>0</v>
      </c>
      <c r="Q40" s="114">
        <f>VLOOKUP(C40,'Talente &amp; Stuff'!BI:CJ,15,FALSE)</f>
        <v>0</v>
      </c>
      <c r="R40" s="113">
        <f>VLOOKUP(C40,'Talente &amp; Stuff'!BI:CJ,16,FALSE)</f>
        <v>0</v>
      </c>
      <c r="S40" s="119">
        <f>VLOOKUP(C40,'Talente &amp; Stuff'!BI:CJ,17,FALSE)</f>
        <v>0</v>
      </c>
      <c r="T40" s="160">
        <f>VLOOKUP(C40,'Talente &amp; Stuff'!BI:CJ,18,FALSE)</f>
        <v>0</v>
      </c>
      <c r="U40" s="89">
        <f>VLOOKUP(C40,'Talente &amp; Stuff'!BI:CJ,19,FALSE)</f>
        <v>0</v>
      </c>
      <c r="V40" s="47">
        <f>VLOOKUP(C40,'Talente &amp; Stuff'!BI:CJ,20,FALSE)</f>
        <v>0</v>
      </c>
      <c r="W40" s="127">
        <f>VLOOKUP(C40,'Talente &amp; Stuff'!BI:CJ,21,FALSE)</f>
        <v>0</v>
      </c>
      <c r="X40" s="125">
        <f>VLOOKUP(C40,'Talente &amp; Stuff'!BI:CJ,22,FALSE)</f>
        <v>0</v>
      </c>
      <c r="Y40" s="165">
        <f t="shared" si="4"/>
        <v>0</v>
      </c>
      <c r="Z40" s="44">
        <f t="shared" si="5"/>
        <v>0</v>
      </c>
      <c r="AA40" s="125">
        <f>VLOOKUP(C40,'Talente &amp; Stuff'!BI:CJ,25,FALSE)</f>
        <v>0</v>
      </c>
      <c r="AB40" s="160">
        <f>VLOOKUP(C40,'Talente &amp; Stuff'!BI:CJ,26,FALSE)</f>
        <v>0</v>
      </c>
      <c r="AC40" s="127">
        <f>VLOOKUP(C40,'Talente &amp; Stuff'!BI:CJ,27,FALSE)</f>
        <v>0</v>
      </c>
      <c r="AD40" s="125">
        <f>VLOOKUP(C40,'Talente &amp; Stuff'!BI:CJ,28,FALSE)</f>
        <v>0</v>
      </c>
      <c r="AE40" s="28"/>
    </row>
    <row r="41" spans="2:31" ht="15" hidden="1" customHeight="1" outlineLevel="2">
      <c r="B41" s="148">
        <v>6</v>
      </c>
      <c r="C41" s="177" t="str">
        <f>Attribute!C41</f>
        <v>---</v>
      </c>
      <c r="D41" s="127" t="str">
        <f>VLOOKUP(C41,'Talente &amp; Stuff'!BI:CJ,2,FALSE)</f>
        <v>--/--/--</v>
      </c>
      <c r="E41" s="125" t="str">
        <f>VLOOKUP(C41,'Talente &amp; Stuff'!BI:CJ,3,FALSE)</f>
        <v>-</v>
      </c>
      <c r="F41" s="114">
        <f>VLOOKUP(C41,'Talente &amp; Stuff'!BI:CJ,4,FALSE)</f>
        <v>0</v>
      </c>
      <c r="G41" s="113">
        <f>VLOOKUP(C41,'Talente &amp; Stuff'!BI:CJ,5,FALSE)</f>
        <v>0</v>
      </c>
      <c r="H41" s="113">
        <f>VLOOKUP(C41,'Talente &amp; Stuff'!BI:CJ,6,FALSE)</f>
        <v>0</v>
      </c>
      <c r="I41" s="113">
        <f>VLOOKUP(C41,'Talente &amp; Stuff'!BI:CJ,7,FALSE)</f>
        <v>0</v>
      </c>
      <c r="J41" s="113">
        <f>VLOOKUP(C41,'Talente &amp; Stuff'!BI:CJ,8,FALSE)</f>
        <v>0</v>
      </c>
      <c r="K41" s="113">
        <f>VLOOKUP(C41,'Talente &amp; Stuff'!BI:CJ,9,FALSE)</f>
        <v>0</v>
      </c>
      <c r="L41" s="113">
        <f>VLOOKUP(C41,'Talente &amp; Stuff'!BI:CJ,10,FALSE)</f>
        <v>0</v>
      </c>
      <c r="M41" s="119">
        <f>VLOOKUP(C41,'Talente &amp; Stuff'!BI:CJ,11,FALSE)</f>
        <v>0</v>
      </c>
      <c r="N41" s="89">
        <f>VLOOKUP(C41,'Talente &amp; Stuff'!BI:CJ,12,FALSE)</f>
        <v>0</v>
      </c>
      <c r="O41" s="47">
        <f>VLOOKUP(C41,'Talente &amp; Stuff'!BI:CJ,13,FALSE)</f>
        <v>0</v>
      </c>
      <c r="P41" s="119">
        <f>VLOOKUP(C41,'Talente &amp; Stuff'!BI:CJ,14,FALSE)</f>
        <v>0</v>
      </c>
      <c r="Q41" s="114">
        <f>VLOOKUP(C41,'Talente &amp; Stuff'!BI:CJ,15,FALSE)</f>
        <v>0</v>
      </c>
      <c r="R41" s="113">
        <f>VLOOKUP(C41,'Talente &amp; Stuff'!BI:CJ,16,FALSE)</f>
        <v>0</v>
      </c>
      <c r="S41" s="119">
        <f>VLOOKUP(C41,'Talente &amp; Stuff'!BI:CJ,17,FALSE)</f>
        <v>0</v>
      </c>
      <c r="T41" s="160">
        <f>VLOOKUP(C41,'Talente &amp; Stuff'!BI:CJ,18,FALSE)</f>
        <v>0</v>
      </c>
      <c r="U41" s="89">
        <f>VLOOKUP(C41,'Talente &amp; Stuff'!BI:CJ,19,FALSE)</f>
        <v>0</v>
      </c>
      <c r="V41" s="47">
        <f>VLOOKUP(C41,'Talente &amp; Stuff'!BI:CJ,20,FALSE)</f>
        <v>0</v>
      </c>
      <c r="W41" s="127">
        <f>VLOOKUP(C41,'Talente &amp; Stuff'!BI:CJ,21,FALSE)</f>
        <v>0</v>
      </c>
      <c r="X41" s="125">
        <f>VLOOKUP(C41,'Talente &amp; Stuff'!BI:CJ,22,FALSE)</f>
        <v>0</v>
      </c>
      <c r="Y41" s="165">
        <f t="shared" si="4"/>
        <v>0</v>
      </c>
      <c r="Z41" s="44">
        <f t="shared" si="5"/>
        <v>0</v>
      </c>
      <c r="AA41" s="125">
        <f>VLOOKUP(C41,'Talente &amp; Stuff'!BI:CJ,25,FALSE)</f>
        <v>0</v>
      </c>
      <c r="AB41" s="160">
        <f>VLOOKUP(C41,'Talente &amp; Stuff'!BI:CJ,26,FALSE)</f>
        <v>0</v>
      </c>
      <c r="AC41" s="127">
        <f>VLOOKUP(C41,'Talente &amp; Stuff'!BI:CJ,27,FALSE)</f>
        <v>0</v>
      </c>
      <c r="AD41" s="125">
        <f>VLOOKUP(C41,'Talente &amp; Stuff'!BI:CJ,28,FALSE)</f>
        <v>0</v>
      </c>
      <c r="AE41" s="28"/>
    </row>
    <row r="42" spans="2:31" ht="15" hidden="1" customHeight="1" outlineLevel="2">
      <c r="B42" s="148">
        <v>7</v>
      </c>
      <c r="C42" s="178" t="str">
        <f>Attribute!C42</f>
        <v>---</v>
      </c>
      <c r="D42" s="128" t="str">
        <f>VLOOKUP(C42,'Talente &amp; Stuff'!BI:CJ,2,FALSE)</f>
        <v>--/--/--</v>
      </c>
      <c r="E42" s="159" t="str">
        <f>VLOOKUP(C42,'Talente &amp; Stuff'!BI:CJ,3,FALSE)</f>
        <v>-</v>
      </c>
      <c r="F42" s="115">
        <f>VLOOKUP(C42,'Talente &amp; Stuff'!BI:CJ,4,FALSE)</f>
        <v>0</v>
      </c>
      <c r="G42" s="122">
        <f>VLOOKUP(C42,'Talente &amp; Stuff'!BI:CJ,5,FALSE)</f>
        <v>0</v>
      </c>
      <c r="H42" s="122">
        <f>VLOOKUP(C42,'Talente &amp; Stuff'!BI:CJ,6,FALSE)</f>
        <v>0</v>
      </c>
      <c r="I42" s="122">
        <f>VLOOKUP(C42,'Talente &amp; Stuff'!BI:CJ,7,FALSE)</f>
        <v>0</v>
      </c>
      <c r="J42" s="122">
        <f>VLOOKUP(C42,'Talente &amp; Stuff'!BI:CJ,8,FALSE)</f>
        <v>0</v>
      </c>
      <c r="K42" s="122">
        <f>VLOOKUP(C42,'Talente &amp; Stuff'!BI:CJ,9,FALSE)</f>
        <v>0</v>
      </c>
      <c r="L42" s="122">
        <f>VLOOKUP(C42,'Talente &amp; Stuff'!BI:CJ,10,FALSE)</f>
        <v>0</v>
      </c>
      <c r="M42" s="123">
        <f>VLOOKUP(C42,'Talente &amp; Stuff'!BI:CJ,11,FALSE)</f>
        <v>0</v>
      </c>
      <c r="N42" s="90">
        <f>VLOOKUP(C42,'Talente &amp; Stuff'!BI:CJ,12,FALSE)</f>
        <v>0</v>
      </c>
      <c r="O42" s="88">
        <f>VLOOKUP(C42,'Talente &amp; Stuff'!BI:CJ,13,FALSE)</f>
        <v>0</v>
      </c>
      <c r="P42" s="123">
        <f>VLOOKUP(C42,'Talente &amp; Stuff'!BI:CJ,14,FALSE)</f>
        <v>0</v>
      </c>
      <c r="Q42" s="115">
        <f>VLOOKUP(C42,'Talente &amp; Stuff'!BI:CJ,15,FALSE)</f>
        <v>0</v>
      </c>
      <c r="R42" s="122">
        <f>VLOOKUP(C42,'Talente &amp; Stuff'!BI:CJ,16,FALSE)</f>
        <v>0</v>
      </c>
      <c r="S42" s="123">
        <f>VLOOKUP(C42,'Talente &amp; Stuff'!BI:CJ,17,FALSE)</f>
        <v>0</v>
      </c>
      <c r="T42" s="161">
        <f>VLOOKUP(C42,'Talente &amp; Stuff'!BI:CJ,18,FALSE)</f>
        <v>0</v>
      </c>
      <c r="U42" s="90">
        <f>VLOOKUP(C42,'Talente &amp; Stuff'!BI:CJ,19,FALSE)</f>
        <v>0</v>
      </c>
      <c r="V42" s="88">
        <f>VLOOKUP(C42,'Talente &amp; Stuff'!BI:CJ,20,FALSE)</f>
        <v>0</v>
      </c>
      <c r="W42" s="128">
        <f>VLOOKUP(C42,'Talente &amp; Stuff'!BI:CJ,21,FALSE)</f>
        <v>0</v>
      </c>
      <c r="X42" s="159">
        <f>VLOOKUP(C42,'Talente &amp; Stuff'!BI:CJ,22,FALSE)</f>
        <v>0</v>
      </c>
      <c r="Y42" s="165">
        <f t="shared" si="4"/>
        <v>0</v>
      </c>
      <c r="Z42" s="44">
        <f t="shared" si="5"/>
        <v>0</v>
      </c>
      <c r="AA42" s="159">
        <f>VLOOKUP(C42,'Talente &amp; Stuff'!BI:CJ,25,FALSE)</f>
        <v>0</v>
      </c>
      <c r="AB42" s="161">
        <f>VLOOKUP(C42,'Talente &amp; Stuff'!BI:CJ,26,FALSE)</f>
        <v>0</v>
      </c>
      <c r="AC42" s="128">
        <f>VLOOKUP(C42,'Talente &amp; Stuff'!BI:CJ,27,FALSE)</f>
        <v>0</v>
      </c>
      <c r="AD42" s="159">
        <f>VLOOKUP(C42,'Talente &amp; Stuff'!BI:CJ,28,FALSE)</f>
        <v>0</v>
      </c>
      <c r="AE42" s="28"/>
    </row>
    <row r="43" spans="2:31" ht="15" hidden="1" customHeight="1" outlineLevel="1" collapsed="1">
      <c r="B43" s="134" t="s">
        <v>70</v>
      </c>
      <c r="C43" s="83"/>
      <c r="D43" s="84"/>
      <c r="E43" s="84"/>
      <c r="F43" s="30"/>
      <c r="G43" s="30"/>
      <c r="H43" s="30"/>
      <c r="I43" s="30"/>
      <c r="J43" s="30"/>
      <c r="K43" s="30"/>
      <c r="L43" s="30"/>
      <c r="M43" s="30"/>
      <c r="N43" s="31"/>
      <c r="O43" s="31"/>
      <c r="P43" s="30"/>
      <c r="Q43" s="30"/>
      <c r="R43" s="30"/>
      <c r="S43" s="30"/>
      <c r="T43" s="30"/>
      <c r="U43" s="31"/>
      <c r="V43" s="31"/>
      <c r="W43" s="31"/>
      <c r="X43" s="31"/>
      <c r="Y43" s="65"/>
    </row>
    <row r="44" spans="2:31" ht="15" hidden="1" customHeight="1" outlineLevel="2">
      <c r="B44" s="148">
        <v>1</v>
      </c>
      <c r="C44" s="176" t="str">
        <f>Attribute!C44</f>
        <v>---</v>
      </c>
      <c r="D44" s="126" t="str">
        <f>VLOOKUP(C44,'Talente &amp; Stuff'!BI:CJ,2,FALSE)</f>
        <v>--/--/--</v>
      </c>
      <c r="E44" s="158" t="str">
        <f>VLOOKUP(C44,'Talente &amp; Stuff'!BI:CJ,3,FALSE)</f>
        <v>-</v>
      </c>
      <c r="F44" s="191">
        <f>VLOOKUP(C44,'Talente &amp; Stuff'!BI:CJ,4,FALSE)</f>
        <v>0</v>
      </c>
      <c r="G44" s="118">
        <f>VLOOKUP(C44,'Talente &amp; Stuff'!BI:CJ,5,FALSE)</f>
        <v>0</v>
      </c>
      <c r="H44" s="118">
        <f>VLOOKUP(C44,'Talente &amp; Stuff'!BI:CJ,6,FALSE)</f>
        <v>0</v>
      </c>
      <c r="I44" s="118">
        <f>VLOOKUP(C44,'Talente &amp; Stuff'!BI:CJ,7,FALSE)</f>
        <v>0</v>
      </c>
      <c r="J44" s="118">
        <f>VLOOKUP(C44,'Talente &amp; Stuff'!BI:CJ,8,FALSE)</f>
        <v>0</v>
      </c>
      <c r="K44" s="118">
        <f>VLOOKUP(C44,'Talente &amp; Stuff'!BI:CJ,9,FALSE)</f>
        <v>0</v>
      </c>
      <c r="L44" s="118">
        <f>VLOOKUP(C44,'Talente &amp; Stuff'!BI:CJ,10,FALSE)</f>
        <v>0</v>
      </c>
      <c r="M44" s="92">
        <f>VLOOKUP(C44,'Talente &amp; Stuff'!BI:CJ,11,FALSE)</f>
        <v>0</v>
      </c>
      <c r="N44" s="193">
        <f>VLOOKUP(C44,'Talente &amp; Stuff'!BI:CJ,12,FALSE)</f>
        <v>0</v>
      </c>
      <c r="O44" s="116">
        <f>VLOOKUP(C44,'Talente &amp; Stuff'!BI:CJ,13,FALSE)</f>
        <v>0</v>
      </c>
      <c r="P44" s="92">
        <f>VLOOKUP(C44,'Talente &amp; Stuff'!BI:CJ,14,FALSE)</f>
        <v>0</v>
      </c>
      <c r="Q44" s="191">
        <f>VLOOKUP(C44,'Talente &amp; Stuff'!BI:CJ,15,FALSE)</f>
        <v>0</v>
      </c>
      <c r="R44" s="118">
        <f>VLOOKUP(C44,'Talente &amp; Stuff'!BI:CJ,16,FALSE)</f>
        <v>0</v>
      </c>
      <c r="S44" s="92">
        <f>VLOOKUP(C44,'Talente &amp; Stuff'!BI:CJ,17,FALSE)</f>
        <v>0</v>
      </c>
      <c r="T44" s="91">
        <f>VLOOKUP(C44,'Talente &amp; Stuff'!BI:CJ,18,FALSE)</f>
        <v>0</v>
      </c>
      <c r="U44" s="193">
        <f>VLOOKUP(C44,'Talente &amp; Stuff'!BI:CJ,19,FALSE)</f>
        <v>0</v>
      </c>
      <c r="V44" s="116">
        <f>VLOOKUP(C44,'Talente &amp; Stuff'!BI:CJ,20,FALSE)</f>
        <v>0</v>
      </c>
      <c r="W44" s="126">
        <f>VLOOKUP(C44,'Talente &amp; Stuff'!BI:CJ,21,FALSE)</f>
        <v>0</v>
      </c>
      <c r="X44" s="158">
        <f>VLOOKUP(C44,'Talente &amp; Stuff'!BI:CJ,22,FALSE)</f>
        <v>0</v>
      </c>
      <c r="Y44" s="165">
        <f t="shared" ref="Y44:Y55" si="6">VLOOKUP(C44,Ausgewählte_Talente_Wissenstalente,81,FALSE)</f>
        <v>0</v>
      </c>
      <c r="Z44" s="44">
        <f t="shared" ref="Z44:Z55" si="7">VLOOKUP(C44,Ausgewählte_Talente_Wissenstalente,82,FALSE)</f>
        <v>0</v>
      </c>
      <c r="AA44" s="158">
        <f>VLOOKUP(C44,'Talente &amp; Stuff'!BI:CJ,25,FALSE)</f>
        <v>0</v>
      </c>
      <c r="AB44" s="91">
        <f>VLOOKUP(C44,'Talente &amp; Stuff'!BI:CJ,26,FALSE)</f>
        <v>0</v>
      </c>
      <c r="AC44" s="126">
        <f>VLOOKUP(C44,'Talente &amp; Stuff'!BI:CJ,27,FALSE)</f>
        <v>0</v>
      </c>
      <c r="AD44" s="158">
        <f>VLOOKUP(C44,'Talente &amp; Stuff'!BI:CJ,28,FALSE)</f>
        <v>0</v>
      </c>
      <c r="AE44" s="28"/>
    </row>
    <row r="45" spans="2:31" ht="15" hidden="1" customHeight="1" outlineLevel="2">
      <c r="B45" s="148">
        <v>2</v>
      </c>
      <c r="C45" s="177" t="str">
        <f>Attribute!C45</f>
        <v>---</v>
      </c>
      <c r="D45" s="127" t="str">
        <f>VLOOKUP(C45,'Talente &amp; Stuff'!BI:CJ,2,FALSE)</f>
        <v>--/--/--</v>
      </c>
      <c r="E45" s="125" t="str">
        <f>VLOOKUP(C45,'Talente &amp; Stuff'!BI:CJ,3,FALSE)</f>
        <v>-</v>
      </c>
      <c r="F45" s="114">
        <f>VLOOKUP(C45,'Talente &amp; Stuff'!BI:CJ,4,FALSE)</f>
        <v>0</v>
      </c>
      <c r="G45" s="113">
        <f>VLOOKUP(C45,'Talente &amp; Stuff'!BI:CJ,5,FALSE)</f>
        <v>0</v>
      </c>
      <c r="H45" s="113">
        <f>VLOOKUP(C45,'Talente &amp; Stuff'!BI:CJ,6,FALSE)</f>
        <v>0</v>
      </c>
      <c r="I45" s="113">
        <f>VLOOKUP(C45,'Talente &amp; Stuff'!BI:CJ,7,FALSE)</f>
        <v>0</v>
      </c>
      <c r="J45" s="113">
        <f>VLOOKUP(C45,'Talente &amp; Stuff'!BI:CJ,8,FALSE)</f>
        <v>0</v>
      </c>
      <c r="K45" s="113">
        <f>VLOOKUP(C45,'Talente &amp; Stuff'!BI:CJ,9,FALSE)</f>
        <v>0</v>
      </c>
      <c r="L45" s="113">
        <f>VLOOKUP(C45,'Talente &amp; Stuff'!BI:CJ,10,FALSE)</f>
        <v>0</v>
      </c>
      <c r="M45" s="119">
        <f>VLOOKUP(C45,'Talente &amp; Stuff'!BI:CJ,11,FALSE)</f>
        <v>0</v>
      </c>
      <c r="N45" s="89">
        <f>VLOOKUP(C45,'Talente &amp; Stuff'!BI:CJ,12,FALSE)</f>
        <v>0</v>
      </c>
      <c r="O45" s="47">
        <f>VLOOKUP(C45,'Talente &amp; Stuff'!BI:CJ,13,FALSE)</f>
        <v>0</v>
      </c>
      <c r="P45" s="119">
        <f>VLOOKUP(C45,'Talente &amp; Stuff'!BI:CJ,14,FALSE)</f>
        <v>0</v>
      </c>
      <c r="Q45" s="114">
        <f>VLOOKUP(C45,'Talente &amp; Stuff'!BI:CJ,15,FALSE)</f>
        <v>0</v>
      </c>
      <c r="R45" s="113">
        <f>VLOOKUP(C45,'Talente &amp; Stuff'!BI:CJ,16,FALSE)</f>
        <v>0</v>
      </c>
      <c r="S45" s="119">
        <f>VLOOKUP(C45,'Talente &amp; Stuff'!BI:CJ,17,FALSE)</f>
        <v>0</v>
      </c>
      <c r="T45" s="160">
        <f>VLOOKUP(C45,'Talente &amp; Stuff'!BI:CJ,18,FALSE)</f>
        <v>0</v>
      </c>
      <c r="U45" s="89">
        <f>VLOOKUP(C45,'Talente &amp; Stuff'!BI:CJ,19,FALSE)</f>
        <v>0</v>
      </c>
      <c r="V45" s="47">
        <f>VLOOKUP(C45,'Talente &amp; Stuff'!BI:CJ,20,FALSE)</f>
        <v>0</v>
      </c>
      <c r="W45" s="127">
        <f>VLOOKUP(C45,'Talente &amp; Stuff'!BI:CJ,21,FALSE)</f>
        <v>0</v>
      </c>
      <c r="X45" s="125">
        <f>VLOOKUP(C45,'Talente &amp; Stuff'!BI:CJ,22,FALSE)</f>
        <v>0</v>
      </c>
      <c r="Y45" s="165">
        <f t="shared" si="6"/>
        <v>0</v>
      </c>
      <c r="Z45" s="44">
        <f t="shared" si="7"/>
        <v>0</v>
      </c>
      <c r="AA45" s="125">
        <f>VLOOKUP(C45,'Talente &amp; Stuff'!BI:CJ,25,FALSE)</f>
        <v>0</v>
      </c>
      <c r="AB45" s="160">
        <f>VLOOKUP(C45,'Talente &amp; Stuff'!BI:CJ,26,FALSE)</f>
        <v>0</v>
      </c>
      <c r="AC45" s="127">
        <f>VLOOKUP(C45,'Talente &amp; Stuff'!BI:CJ,27,FALSE)</f>
        <v>0</v>
      </c>
      <c r="AD45" s="125">
        <f>VLOOKUP(C45,'Talente &amp; Stuff'!BI:CJ,28,FALSE)</f>
        <v>0</v>
      </c>
      <c r="AE45" s="28"/>
    </row>
    <row r="46" spans="2:31" ht="15" hidden="1" customHeight="1" outlineLevel="2">
      <c r="B46" s="148">
        <v>3</v>
      </c>
      <c r="C46" s="177" t="str">
        <f>Attribute!C46</f>
        <v>---</v>
      </c>
      <c r="D46" s="127" t="str">
        <f>VLOOKUP(C46,'Talente &amp; Stuff'!BI:CJ,2,FALSE)</f>
        <v>--/--/--</v>
      </c>
      <c r="E46" s="125" t="str">
        <f>VLOOKUP(C46,'Talente &amp; Stuff'!BI:CJ,3,FALSE)</f>
        <v>-</v>
      </c>
      <c r="F46" s="114">
        <f>VLOOKUP(C46,'Talente &amp; Stuff'!BI:CJ,4,FALSE)</f>
        <v>0</v>
      </c>
      <c r="G46" s="113">
        <f>VLOOKUP(C46,'Talente &amp; Stuff'!BI:CJ,5,FALSE)</f>
        <v>0</v>
      </c>
      <c r="H46" s="113">
        <f>VLOOKUP(C46,'Talente &amp; Stuff'!BI:CJ,6,FALSE)</f>
        <v>0</v>
      </c>
      <c r="I46" s="113">
        <f>VLOOKUP(C46,'Talente &amp; Stuff'!BI:CJ,7,FALSE)</f>
        <v>0</v>
      </c>
      <c r="J46" s="113">
        <f>VLOOKUP(C46,'Talente &amp; Stuff'!BI:CJ,8,FALSE)</f>
        <v>0</v>
      </c>
      <c r="K46" s="113">
        <f>VLOOKUP(C46,'Talente &amp; Stuff'!BI:CJ,9,FALSE)</f>
        <v>0</v>
      </c>
      <c r="L46" s="113">
        <f>VLOOKUP(C46,'Talente &amp; Stuff'!BI:CJ,10,FALSE)</f>
        <v>0</v>
      </c>
      <c r="M46" s="119">
        <f>VLOOKUP(C46,'Talente &amp; Stuff'!BI:CJ,11,FALSE)</f>
        <v>0</v>
      </c>
      <c r="N46" s="89">
        <f>VLOOKUP(C46,'Talente &amp; Stuff'!BI:CJ,12,FALSE)</f>
        <v>0</v>
      </c>
      <c r="O46" s="47">
        <f>VLOOKUP(C46,'Talente &amp; Stuff'!BI:CJ,13,FALSE)</f>
        <v>0</v>
      </c>
      <c r="P46" s="119">
        <f>VLOOKUP(C46,'Talente &amp; Stuff'!BI:CJ,14,FALSE)</f>
        <v>0</v>
      </c>
      <c r="Q46" s="114">
        <f>VLOOKUP(C46,'Talente &amp; Stuff'!BI:CJ,15,FALSE)</f>
        <v>0</v>
      </c>
      <c r="R46" s="113">
        <f>VLOOKUP(C46,'Talente &amp; Stuff'!BI:CJ,16,FALSE)</f>
        <v>0</v>
      </c>
      <c r="S46" s="119">
        <f>VLOOKUP(C46,'Talente &amp; Stuff'!BI:CJ,17,FALSE)</f>
        <v>0</v>
      </c>
      <c r="T46" s="160">
        <f>VLOOKUP(C46,'Talente &amp; Stuff'!BI:CJ,18,FALSE)</f>
        <v>0</v>
      </c>
      <c r="U46" s="89">
        <f>VLOOKUP(C46,'Talente &amp; Stuff'!BI:CJ,19,FALSE)</f>
        <v>0</v>
      </c>
      <c r="V46" s="47">
        <f>VLOOKUP(C46,'Talente &amp; Stuff'!BI:CJ,20,FALSE)</f>
        <v>0</v>
      </c>
      <c r="W46" s="127">
        <f>VLOOKUP(C46,'Talente &amp; Stuff'!BI:CJ,21,FALSE)</f>
        <v>0</v>
      </c>
      <c r="X46" s="125">
        <f>VLOOKUP(C46,'Talente &amp; Stuff'!BI:CJ,22,FALSE)</f>
        <v>0</v>
      </c>
      <c r="Y46" s="165">
        <f t="shared" si="6"/>
        <v>0</v>
      </c>
      <c r="Z46" s="44">
        <f t="shared" si="7"/>
        <v>0</v>
      </c>
      <c r="AA46" s="125">
        <f>VLOOKUP(C46,'Talente &amp; Stuff'!BI:CJ,25,FALSE)</f>
        <v>0</v>
      </c>
      <c r="AB46" s="160">
        <f>VLOOKUP(C46,'Talente &amp; Stuff'!BI:CJ,26,FALSE)</f>
        <v>0</v>
      </c>
      <c r="AC46" s="127">
        <f>VLOOKUP(C46,'Talente &amp; Stuff'!BI:CJ,27,FALSE)</f>
        <v>0</v>
      </c>
      <c r="AD46" s="125">
        <f>VLOOKUP(C46,'Talente &amp; Stuff'!BI:CJ,28,FALSE)</f>
        <v>0</v>
      </c>
      <c r="AE46" s="28"/>
    </row>
    <row r="47" spans="2:31" ht="15" hidden="1" customHeight="1" outlineLevel="2">
      <c r="B47" s="148">
        <v>4</v>
      </c>
      <c r="C47" s="177" t="str">
        <f>Attribute!C47</f>
        <v>---</v>
      </c>
      <c r="D47" s="127" t="str">
        <f>VLOOKUP(C47,'Talente &amp; Stuff'!BI:CJ,2,FALSE)</f>
        <v>--/--/--</v>
      </c>
      <c r="E47" s="125" t="str">
        <f>VLOOKUP(C47,'Talente &amp; Stuff'!BI:CJ,3,FALSE)</f>
        <v>-</v>
      </c>
      <c r="F47" s="114">
        <f>VLOOKUP(C47,'Talente &amp; Stuff'!BI:CJ,4,FALSE)</f>
        <v>0</v>
      </c>
      <c r="G47" s="113">
        <f>VLOOKUP(C47,'Talente &amp; Stuff'!BI:CJ,5,FALSE)</f>
        <v>0</v>
      </c>
      <c r="H47" s="113">
        <f>VLOOKUP(C47,'Talente &amp; Stuff'!BI:CJ,6,FALSE)</f>
        <v>0</v>
      </c>
      <c r="I47" s="113">
        <f>VLOOKUP(C47,'Talente &amp; Stuff'!BI:CJ,7,FALSE)</f>
        <v>0</v>
      </c>
      <c r="J47" s="113">
        <f>VLOOKUP(C47,'Talente &amp; Stuff'!BI:CJ,8,FALSE)</f>
        <v>0</v>
      </c>
      <c r="K47" s="113">
        <f>VLOOKUP(C47,'Talente &amp; Stuff'!BI:CJ,9,FALSE)</f>
        <v>0</v>
      </c>
      <c r="L47" s="113">
        <f>VLOOKUP(C47,'Talente &amp; Stuff'!BI:CJ,10,FALSE)</f>
        <v>0</v>
      </c>
      <c r="M47" s="119">
        <f>VLOOKUP(C47,'Talente &amp; Stuff'!BI:CJ,11,FALSE)</f>
        <v>0</v>
      </c>
      <c r="N47" s="89">
        <f>VLOOKUP(C47,'Talente &amp; Stuff'!BI:CJ,12,FALSE)</f>
        <v>0</v>
      </c>
      <c r="O47" s="47">
        <f>VLOOKUP(C47,'Talente &amp; Stuff'!BI:CJ,13,FALSE)</f>
        <v>0</v>
      </c>
      <c r="P47" s="119">
        <f>VLOOKUP(C47,'Talente &amp; Stuff'!BI:CJ,14,FALSE)</f>
        <v>0</v>
      </c>
      <c r="Q47" s="114">
        <f>VLOOKUP(C47,'Talente &amp; Stuff'!BI:CJ,15,FALSE)</f>
        <v>0</v>
      </c>
      <c r="R47" s="113">
        <f>VLOOKUP(C47,'Talente &amp; Stuff'!BI:CJ,16,FALSE)</f>
        <v>0</v>
      </c>
      <c r="S47" s="119">
        <f>VLOOKUP(C47,'Talente &amp; Stuff'!BI:CJ,17,FALSE)</f>
        <v>0</v>
      </c>
      <c r="T47" s="160">
        <f>VLOOKUP(C47,'Talente &amp; Stuff'!BI:CJ,18,FALSE)</f>
        <v>0</v>
      </c>
      <c r="U47" s="89">
        <f>VLOOKUP(C47,'Talente &amp; Stuff'!BI:CJ,19,FALSE)</f>
        <v>0</v>
      </c>
      <c r="V47" s="47">
        <f>VLOOKUP(C47,'Talente &amp; Stuff'!BI:CJ,20,FALSE)</f>
        <v>0</v>
      </c>
      <c r="W47" s="127">
        <f>VLOOKUP(C47,'Talente &amp; Stuff'!BI:CJ,21,FALSE)</f>
        <v>0</v>
      </c>
      <c r="X47" s="125">
        <f>VLOOKUP(C47,'Talente &amp; Stuff'!BI:CJ,22,FALSE)</f>
        <v>0</v>
      </c>
      <c r="Y47" s="165">
        <f t="shared" si="6"/>
        <v>0</v>
      </c>
      <c r="Z47" s="44">
        <f t="shared" si="7"/>
        <v>0</v>
      </c>
      <c r="AA47" s="125">
        <f>VLOOKUP(C47,'Talente &amp; Stuff'!BI:CJ,25,FALSE)</f>
        <v>0</v>
      </c>
      <c r="AB47" s="160">
        <f>VLOOKUP(C47,'Talente &amp; Stuff'!BI:CJ,26,FALSE)</f>
        <v>0</v>
      </c>
      <c r="AC47" s="127">
        <f>VLOOKUP(C47,'Talente &amp; Stuff'!BI:CJ,27,FALSE)</f>
        <v>0</v>
      </c>
      <c r="AD47" s="125">
        <f>VLOOKUP(C47,'Talente &amp; Stuff'!BI:CJ,28,FALSE)</f>
        <v>0</v>
      </c>
      <c r="AE47" s="28"/>
    </row>
    <row r="48" spans="2:31" ht="15" hidden="1" customHeight="1" outlineLevel="2">
      <c r="B48" s="148">
        <v>5</v>
      </c>
      <c r="C48" s="177" t="str">
        <f>Attribute!C48</f>
        <v>---</v>
      </c>
      <c r="D48" s="127" t="str">
        <f>VLOOKUP(C48,'Talente &amp; Stuff'!BI:CJ,2,FALSE)</f>
        <v>--/--/--</v>
      </c>
      <c r="E48" s="125" t="str">
        <f>VLOOKUP(C48,'Talente &amp; Stuff'!BI:CJ,3,FALSE)</f>
        <v>-</v>
      </c>
      <c r="F48" s="114">
        <f>VLOOKUP(C48,'Talente &amp; Stuff'!BI:CJ,4,FALSE)</f>
        <v>0</v>
      </c>
      <c r="G48" s="113">
        <f>VLOOKUP(C48,'Talente &amp; Stuff'!BI:CJ,5,FALSE)</f>
        <v>0</v>
      </c>
      <c r="H48" s="113">
        <f>VLOOKUP(C48,'Talente &amp; Stuff'!BI:CJ,6,FALSE)</f>
        <v>0</v>
      </c>
      <c r="I48" s="113">
        <f>VLOOKUP(C48,'Talente &amp; Stuff'!BI:CJ,7,FALSE)</f>
        <v>0</v>
      </c>
      <c r="J48" s="113">
        <f>VLOOKUP(C48,'Talente &amp; Stuff'!BI:CJ,8,FALSE)</f>
        <v>0</v>
      </c>
      <c r="K48" s="113">
        <f>VLOOKUP(C48,'Talente &amp; Stuff'!BI:CJ,9,FALSE)</f>
        <v>0</v>
      </c>
      <c r="L48" s="113">
        <f>VLOOKUP(C48,'Talente &amp; Stuff'!BI:CJ,10,FALSE)</f>
        <v>0</v>
      </c>
      <c r="M48" s="119">
        <f>VLOOKUP(C48,'Talente &amp; Stuff'!BI:CJ,11,FALSE)</f>
        <v>0</v>
      </c>
      <c r="N48" s="89">
        <f>VLOOKUP(C48,'Talente &amp; Stuff'!BI:CJ,12,FALSE)</f>
        <v>0</v>
      </c>
      <c r="O48" s="47">
        <f>VLOOKUP(C48,'Talente &amp; Stuff'!BI:CJ,13,FALSE)</f>
        <v>0</v>
      </c>
      <c r="P48" s="119">
        <f>VLOOKUP(C48,'Talente &amp; Stuff'!BI:CJ,14,FALSE)</f>
        <v>0</v>
      </c>
      <c r="Q48" s="114">
        <f>VLOOKUP(C48,'Talente &amp; Stuff'!BI:CJ,15,FALSE)</f>
        <v>0</v>
      </c>
      <c r="R48" s="113">
        <f>VLOOKUP(C48,'Talente &amp; Stuff'!BI:CJ,16,FALSE)</f>
        <v>0</v>
      </c>
      <c r="S48" s="119">
        <f>VLOOKUP(C48,'Talente &amp; Stuff'!BI:CJ,17,FALSE)</f>
        <v>0</v>
      </c>
      <c r="T48" s="160">
        <f>VLOOKUP(C48,'Talente &amp; Stuff'!BI:CJ,18,FALSE)</f>
        <v>0</v>
      </c>
      <c r="U48" s="89">
        <f>VLOOKUP(C48,'Talente &amp; Stuff'!BI:CJ,19,FALSE)</f>
        <v>0</v>
      </c>
      <c r="V48" s="47">
        <f>VLOOKUP(C48,'Talente &amp; Stuff'!BI:CJ,20,FALSE)</f>
        <v>0</v>
      </c>
      <c r="W48" s="127">
        <f>VLOOKUP(C48,'Talente &amp; Stuff'!BI:CJ,21,FALSE)</f>
        <v>0</v>
      </c>
      <c r="X48" s="125">
        <f>VLOOKUP(C48,'Talente &amp; Stuff'!BI:CJ,22,FALSE)</f>
        <v>0</v>
      </c>
      <c r="Y48" s="165">
        <f t="shared" si="6"/>
        <v>0</v>
      </c>
      <c r="Z48" s="44">
        <f t="shared" si="7"/>
        <v>0</v>
      </c>
      <c r="AA48" s="125">
        <f>VLOOKUP(C48,'Talente &amp; Stuff'!BI:CJ,25,FALSE)</f>
        <v>0</v>
      </c>
      <c r="AB48" s="160">
        <f>VLOOKUP(C48,'Talente &amp; Stuff'!BI:CJ,26,FALSE)</f>
        <v>0</v>
      </c>
      <c r="AC48" s="127">
        <f>VLOOKUP(C48,'Talente &amp; Stuff'!BI:CJ,27,FALSE)</f>
        <v>0</v>
      </c>
      <c r="AD48" s="125">
        <f>VLOOKUP(C48,'Talente &amp; Stuff'!BI:CJ,28,FALSE)</f>
        <v>0</v>
      </c>
      <c r="AE48" s="28"/>
    </row>
    <row r="49" spans="2:31" ht="15" hidden="1" customHeight="1" outlineLevel="2">
      <c r="B49" s="148">
        <v>6</v>
      </c>
      <c r="C49" s="177" t="str">
        <f>Attribute!C49</f>
        <v>---</v>
      </c>
      <c r="D49" s="127" t="str">
        <f>VLOOKUP(C49,'Talente &amp; Stuff'!BI:CJ,2,FALSE)</f>
        <v>--/--/--</v>
      </c>
      <c r="E49" s="125" t="str">
        <f>VLOOKUP(C49,'Talente &amp; Stuff'!BI:CJ,3,FALSE)</f>
        <v>-</v>
      </c>
      <c r="F49" s="114">
        <f>VLOOKUP(C49,'Talente &amp; Stuff'!BI:CJ,4,FALSE)</f>
        <v>0</v>
      </c>
      <c r="G49" s="113">
        <f>VLOOKUP(C49,'Talente &amp; Stuff'!BI:CJ,5,FALSE)</f>
        <v>0</v>
      </c>
      <c r="H49" s="113">
        <f>VLOOKUP(C49,'Talente &amp; Stuff'!BI:CJ,6,FALSE)</f>
        <v>0</v>
      </c>
      <c r="I49" s="113">
        <f>VLOOKUP(C49,'Talente &amp; Stuff'!BI:CJ,7,FALSE)</f>
        <v>0</v>
      </c>
      <c r="J49" s="113">
        <f>VLOOKUP(C49,'Talente &amp; Stuff'!BI:CJ,8,FALSE)</f>
        <v>0</v>
      </c>
      <c r="K49" s="113">
        <f>VLOOKUP(C49,'Talente &amp; Stuff'!BI:CJ,9,FALSE)</f>
        <v>0</v>
      </c>
      <c r="L49" s="113">
        <f>VLOOKUP(C49,'Talente &amp; Stuff'!BI:CJ,10,FALSE)</f>
        <v>0</v>
      </c>
      <c r="M49" s="119">
        <f>VLOOKUP(C49,'Talente &amp; Stuff'!BI:CJ,11,FALSE)</f>
        <v>0</v>
      </c>
      <c r="N49" s="89">
        <f>VLOOKUP(C49,'Talente &amp; Stuff'!BI:CJ,12,FALSE)</f>
        <v>0</v>
      </c>
      <c r="O49" s="47">
        <f>VLOOKUP(C49,'Talente &amp; Stuff'!BI:CJ,13,FALSE)</f>
        <v>0</v>
      </c>
      <c r="P49" s="119">
        <f>VLOOKUP(C49,'Talente &amp; Stuff'!BI:CJ,14,FALSE)</f>
        <v>0</v>
      </c>
      <c r="Q49" s="114">
        <f>VLOOKUP(C49,'Talente &amp; Stuff'!BI:CJ,15,FALSE)</f>
        <v>0</v>
      </c>
      <c r="R49" s="113">
        <f>VLOOKUP(C49,'Talente &amp; Stuff'!BI:CJ,16,FALSE)</f>
        <v>0</v>
      </c>
      <c r="S49" s="119">
        <f>VLOOKUP(C49,'Talente &amp; Stuff'!BI:CJ,17,FALSE)</f>
        <v>0</v>
      </c>
      <c r="T49" s="160">
        <f>VLOOKUP(C49,'Talente &amp; Stuff'!BI:CJ,18,FALSE)</f>
        <v>0</v>
      </c>
      <c r="U49" s="89">
        <f>VLOOKUP(C49,'Talente &amp; Stuff'!BI:CJ,19,FALSE)</f>
        <v>0</v>
      </c>
      <c r="V49" s="47">
        <f>VLOOKUP(C49,'Talente &amp; Stuff'!BI:CJ,20,FALSE)</f>
        <v>0</v>
      </c>
      <c r="W49" s="127">
        <f>VLOOKUP(C49,'Talente &amp; Stuff'!BI:CJ,21,FALSE)</f>
        <v>0</v>
      </c>
      <c r="X49" s="125">
        <f>VLOOKUP(C49,'Talente &amp; Stuff'!BI:CJ,22,FALSE)</f>
        <v>0</v>
      </c>
      <c r="Y49" s="165">
        <f t="shared" si="6"/>
        <v>0</v>
      </c>
      <c r="Z49" s="44">
        <f t="shared" si="7"/>
        <v>0</v>
      </c>
      <c r="AA49" s="125">
        <f>VLOOKUP(C49,'Talente &amp; Stuff'!BI:CJ,25,FALSE)</f>
        <v>0</v>
      </c>
      <c r="AB49" s="160">
        <f>VLOOKUP(C49,'Talente &amp; Stuff'!BI:CJ,26,FALSE)</f>
        <v>0</v>
      </c>
      <c r="AC49" s="127">
        <f>VLOOKUP(C49,'Talente &amp; Stuff'!BI:CJ,27,FALSE)</f>
        <v>0</v>
      </c>
      <c r="AD49" s="125">
        <f>VLOOKUP(C49,'Talente &amp; Stuff'!BI:CJ,28,FALSE)</f>
        <v>0</v>
      </c>
      <c r="AE49" s="28"/>
    </row>
    <row r="50" spans="2:31" ht="15" hidden="1" customHeight="1" outlineLevel="2">
      <c r="B50" s="148">
        <v>7</v>
      </c>
      <c r="C50" s="177" t="str">
        <f>Attribute!C50</f>
        <v>---</v>
      </c>
      <c r="D50" s="127" t="str">
        <f>VLOOKUP(C50,'Talente &amp; Stuff'!BI:CJ,2,FALSE)</f>
        <v>--/--/--</v>
      </c>
      <c r="E50" s="125" t="str">
        <f>VLOOKUP(C50,'Talente &amp; Stuff'!BI:CJ,3,FALSE)</f>
        <v>-</v>
      </c>
      <c r="F50" s="114">
        <f>VLOOKUP(C50,'Talente &amp; Stuff'!BI:CJ,4,FALSE)</f>
        <v>0</v>
      </c>
      <c r="G50" s="113">
        <f>VLOOKUP(C50,'Talente &amp; Stuff'!BI:CJ,5,FALSE)</f>
        <v>0</v>
      </c>
      <c r="H50" s="113">
        <f>VLOOKUP(C50,'Talente &amp; Stuff'!BI:CJ,6,FALSE)</f>
        <v>0</v>
      </c>
      <c r="I50" s="113">
        <f>VLOOKUP(C50,'Talente &amp; Stuff'!BI:CJ,7,FALSE)</f>
        <v>0</v>
      </c>
      <c r="J50" s="113">
        <f>VLOOKUP(C50,'Talente &amp; Stuff'!BI:CJ,8,FALSE)</f>
        <v>0</v>
      </c>
      <c r="K50" s="113">
        <f>VLOOKUP(C50,'Talente &amp; Stuff'!BI:CJ,9,FALSE)</f>
        <v>0</v>
      </c>
      <c r="L50" s="113">
        <f>VLOOKUP(C50,'Talente &amp; Stuff'!BI:CJ,10,FALSE)</f>
        <v>0</v>
      </c>
      <c r="M50" s="119">
        <f>VLOOKUP(C50,'Talente &amp; Stuff'!BI:CJ,11,FALSE)</f>
        <v>0</v>
      </c>
      <c r="N50" s="89">
        <f>VLOOKUP(C50,'Talente &amp; Stuff'!BI:CJ,12,FALSE)</f>
        <v>0</v>
      </c>
      <c r="O50" s="47">
        <f>VLOOKUP(C50,'Talente &amp; Stuff'!BI:CJ,13,FALSE)</f>
        <v>0</v>
      </c>
      <c r="P50" s="119">
        <f>VLOOKUP(C50,'Talente &amp; Stuff'!BI:CJ,14,FALSE)</f>
        <v>0</v>
      </c>
      <c r="Q50" s="114">
        <f>VLOOKUP(C50,'Talente &amp; Stuff'!BI:CJ,15,FALSE)</f>
        <v>0</v>
      </c>
      <c r="R50" s="113">
        <f>VLOOKUP(C50,'Talente &amp; Stuff'!BI:CJ,16,FALSE)</f>
        <v>0</v>
      </c>
      <c r="S50" s="119">
        <f>VLOOKUP(C50,'Talente &amp; Stuff'!BI:CJ,17,FALSE)</f>
        <v>0</v>
      </c>
      <c r="T50" s="160">
        <f>VLOOKUP(C50,'Talente &amp; Stuff'!BI:CJ,18,FALSE)</f>
        <v>0</v>
      </c>
      <c r="U50" s="89">
        <f>VLOOKUP(C50,'Talente &amp; Stuff'!BI:CJ,19,FALSE)</f>
        <v>0</v>
      </c>
      <c r="V50" s="47">
        <f>VLOOKUP(C50,'Talente &amp; Stuff'!BI:CJ,20,FALSE)</f>
        <v>0</v>
      </c>
      <c r="W50" s="127">
        <f>VLOOKUP(C50,'Talente &amp; Stuff'!BI:CJ,21,FALSE)</f>
        <v>0</v>
      </c>
      <c r="X50" s="125">
        <f>VLOOKUP(C50,'Talente &amp; Stuff'!BI:CJ,22,FALSE)</f>
        <v>0</v>
      </c>
      <c r="Y50" s="165">
        <f t="shared" si="6"/>
        <v>0</v>
      </c>
      <c r="Z50" s="44">
        <f t="shared" si="7"/>
        <v>0</v>
      </c>
      <c r="AA50" s="125">
        <f>VLOOKUP(C50,'Talente &amp; Stuff'!BI:CJ,25,FALSE)</f>
        <v>0</v>
      </c>
      <c r="AB50" s="160">
        <f>VLOOKUP(C50,'Talente &amp; Stuff'!BI:CJ,26,FALSE)</f>
        <v>0</v>
      </c>
      <c r="AC50" s="127">
        <f>VLOOKUP(C50,'Talente &amp; Stuff'!BI:CJ,27,FALSE)</f>
        <v>0</v>
      </c>
      <c r="AD50" s="125">
        <f>VLOOKUP(C50,'Talente &amp; Stuff'!BI:CJ,28,FALSE)</f>
        <v>0</v>
      </c>
      <c r="AE50" s="28"/>
    </row>
    <row r="51" spans="2:31" ht="15" hidden="1" customHeight="1" outlineLevel="2">
      <c r="B51" s="148">
        <v>8</v>
      </c>
      <c r="C51" s="177" t="str">
        <f>Attribute!C51</f>
        <v>---</v>
      </c>
      <c r="D51" s="127" t="str">
        <f>VLOOKUP(C51,'Talente &amp; Stuff'!BI:CJ,2,FALSE)</f>
        <v>--/--/--</v>
      </c>
      <c r="E51" s="125" t="str">
        <f>VLOOKUP(C51,'Talente &amp; Stuff'!BI:CJ,3,FALSE)</f>
        <v>-</v>
      </c>
      <c r="F51" s="114">
        <f>VLOOKUP(C51,'Talente &amp; Stuff'!BI:CJ,4,FALSE)</f>
        <v>0</v>
      </c>
      <c r="G51" s="113">
        <f>VLOOKUP(C51,'Talente &amp; Stuff'!BI:CJ,5,FALSE)</f>
        <v>0</v>
      </c>
      <c r="H51" s="113">
        <f>VLOOKUP(C51,'Talente &amp; Stuff'!BI:CJ,6,FALSE)</f>
        <v>0</v>
      </c>
      <c r="I51" s="113">
        <f>VLOOKUP(C51,'Talente &amp; Stuff'!BI:CJ,7,FALSE)</f>
        <v>0</v>
      </c>
      <c r="J51" s="113">
        <f>VLOOKUP(C51,'Talente &amp; Stuff'!BI:CJ,8,FALSE)</f>
        <v>0</v>
      </c>
      <c r="K51" s="113">
        <f>VLOOKUP(C51,'Talente &amp; Stuff'!BI:CJ,9,FALSE)</f>
        <v>0</v>
      </c>
      <c r="L51" s="113">
        <f>VLOOKUP(C51,'Talente &amp; Stuff'!BI:CJ,10,FALSE)</f>
        <v>0</v>
      </c>
      <c r="M51" s="119">
        <f>VLOOKUP(C51,'Talente &amp; Stuff'!BI:CJ,11,FALSE)</f>
        <v>0</v>
      </c>
      <c r="N51" s="89">
        <f>VLOOKUP(C51,'Talente &amp; Stuff'!BI:CJ,12,FALSE)</f>
        <v>0</v>
      </c>
      <c r="O51" s="47">
        <f>VLOOKUP(C51,'Talente &amp; Stuff'!BI:CJ,13,FALSE)</f>
        <v>0</v>
      </c>
      <c r="P51" s="119">
        <f>VLOOKUP(C51,'Talente &amp; Stuff'!BI:CJ,14,FALSE)</f>
        <v>0</v>
      </c>
      <c r="Q51" s="114">
        <f>VLOOKUP(C51,'Talente &amp; Stuff'!BI:CJ,15,FALSE)</f>
        <v>0</v>
      </c>
      <c r="R51" s="113">
        <f>VLOOKUP(C51,'Talente &amp; Stuff'!BI:CJ,16,FALSE)</f>
        <v>0</v>
      </c>
      <c r="S51" s="119">
        <f>VLOOKUP(C51,'Talente &amp; Stuff'!BI:CJ,17,FALSE)</f>
        <v>0</v>
      </c>
      <c r="T51" s="160">
        <f>VLOOKUP(C51,'Talente &amp; Stuff'!BI:CJ,18,FALSE)</f>
        <v>0</v>
      </c>
      <c r="U51" s="89">
        <f>VLOOKUP(C51,'Talente &amp; Stuff'!BI:CJ,19,FALSE)</f>
        <v>0</v>
      </c>
      <c r="V51" s="47">
        <f>VLOOKUP(C51,'Talente &amp; Stuff'!BI:CJ,20,FALSE)</f>
        <v>0</v>
      </c>
      <c r="W51" s="127">
        <f>VLOOKUP(C51,'Talente &amp; Stuff'!BI:CJ,21,FALSE)</f>
        <v>0</v>
      </c>
      <c r="X51" s="125">
        <f>VLOOKUP(C51,'Talente &amp; Stuff'!BI:CJ,22,FALSE)</f>
        <v>0</v>
      </c>
      <c r="Y51" s="165">
        <f t="shared" si="6"/>
        <v>0</v>
      </c>
      <c r="Z51" s="44">
        <f t="shared" si="7"/>
        <v>0</v>
      </c>
      <c r="AA51" s="125">
        <f>VLOOKUP(C51,'Talente &amp; Stuff'!BI:CJ,25,FALSE)</f>
        <v>0</v>
      </c>
      <c r="AB51" s="160">
        <f>VLOOKUP(C51,'Talente &amp; Stuff'!BI:CJ,26,FALSE)</f>
        <v>0</v>
      </c>
      <c r="AC51" s="127">
        <f>VLOOKUP(C51,'Talente &amp; Stuff'!BI:CJ,27,FALSE)</f>
        <v>0</v>
      </c>
      <c r="AD51" s="125">
        <f>VLOOKUP(C51,'Talente &amp; Stuff'!BI:CJ,28,FALSE)</f>
        <v>0</v>
      </c>
      <c r="AE51" s="28"/>
    </row>
    <row r="52" spans="2:31" ht="15" hidden="1" customHeight="1" outlineLevel="2">
      <c r="B52" s="148">
        <v>9</v>
      </c>
      <c r="C52" s="177" t="str">
        <f>Attribute!C52</f>
        <v>---</v>
      </c>
      <c r="D52" s="127" t="str">
        <f>VLOOKUP(C52,'Talente &amp; Stuff'!BI:CJ,2,FALSE)</f>
        <v>--/--/--</v>
      </c>
      <c r="E52" s="125" t="str">
        <f>VLOOKUP(C52,'Talente &amp; Stuff'!BI:CJ,3,FALSE)</f>
        <v>-</v>
      </c>
      <c r="F52" s="114">
        <f>VLOOKUP(C52,'Talente &amp; Stuff'!BI:CJ,4,FALSE)</f>
        <v>0</v>
      </c>
      <c r="G52" s="113">
        <f>VLOOKUP(C52,'Talente &amp; Stuff'!BI:CJ,5,FALSE)</f>
        <v>0</v>
      </c>
      <c r="H52" s="113">
        <f>VLOOKUP(C52,'Talente &amp; Stuff'!BI:CJ,6,FALSE)</f>
        <v>0</v>
      </c>
      <c r="I52" s="113">
        <f>VLOOKUP(C52,'Talente &amp; Stuff'!BI:CJ,7,FALSE)</f>
        <v>0</v>
      </c>
      <c r="J52" s="113">
        <f>VLOOKUP(C52,'Talente &amp; Stuff'!BI:CJ,8,FALSE)</f>
        <v>0</v>
      </c>
      <c r="K52" s="113">
        <f>VLOOKUP(C52,'Talente &amp; Stuff'!BI:CJ,9,FALSE)</f>
        <v>0</v>
      </c>
      <c r="L52" s="113">
        <f>VLOOKUP(C52,'Talente &amp; Stuff'!BI:CJ,10,FALSE)</f>
        <v>0</v>
      </c>
      <c r="M52" s="119">
        <f>VLOOKUP(C52,'Talente &amp; Stuff'!BI:CJ,11,FALSE)</f>
        <v>0</v>
      </c>
      <c r="N52" s="89">
        <f>VLOOKUP(C52,'Talente &amp; Stuff'!BI:CJ,12,FALSE)</f>
        <v>0</v>
      </c>
      <c r="O52" s="47">
        <f>VLOOKUP(C52,'Talente &amp; Stuff'!BI:CJ,13,FALSE)</f>
        <v>0</v>
      </c>
      <c r="P52" s="119">
        <f>VLOOKUP(C52,'Talente &amp; Stuff'!BI:CJ,14,FALSE)</f>
        <v>0</v>
      </c>
      <c r="Q52" s="114">
        <f>VLOOKUP(C52,'Talente &amp; Stuff'!BI:CJ,15,FALSE)</f>
        <v>0</v>
      </c>
      <c r="R52" s="113">
        <f>VLOOKUP(C52,'Talente &amp; Stuff'!BI:CJ,16,FALSE)</f>
        <v>0</v>
      </c>
      <c r="S52" s="119">
        <f>VLOOKUP(C52,'Talente &amp; Stuff'!BI:CJ,17,FALSE)</f>
        <v>0</v>
      </c>
      <c r="T52" s="160">
        <f>VLOOKUP(C52,'Talente &amp; Stuff'!BI:CJ,18,FALSE)</f>
        <v>0</v>
      </c>
      <c r="U52" s="89">
        <f>VLOOKUP(C52,'Talente &amp; Stuff'!BI:CJ,19,FALSE)</f>
        <v>0</v>
      </c>
      <c r="V52" s="47">
        <f>VLOOKUP(C52,'Talente &amp; Stuff'!BI:CJ,20,FALSE)</f>
        <v>0</v>
      </c>
      <c r="W52" s="127">
        <f>VLOOKUP(C52,'Talente &amp; Stuff'!BI:CJ,21,FALSE)</f>
        <v>0</v>
      </c>
      <c r="X52" s="125">
        <f>VLOOKUP(C52,'Talente &amp; Stuff'!BI:CJ,22,FALSE)</f>
        <v>0</v>
      </c>
      <c r="Y52" s="165">
        <f t="shared" si="6"/>
        <v>0</v>
      </c>
      <c r="Z52" s="44">
        <f t="shared" si="7"/>
        <v>0</v>
      </c>
      <c r="AA52" s="125">
        <f>VLOOKUP(C52,'Talente &amp; Stuff'!BI:CJ,25,FALSE)</f>
        <v>0</v>
      </c>
      <c r="AB52" s="160">
        <f>VLOOKUP(C52,'Talente &amp; Stuff'!BI:CJ,26,FALSE)</f>
        <v>0</v>
      </c>
      <c r="AC52" s="127">
        <f>VLOOKUP(C52,'Talente &amp; Stuff'!BI:CJ,27,FALSE)</f>
        <v>0</v>
      </c>
      <c r="AD52" s="125">
        <f>VLOOKUP(C52,'Talente &amp; Stuff'!BI:CJ,28,FALSE)</f>
        <v>0</v>
      </c>
      <c r="AE52" s="28"/>
    </row>
    <row r="53" spans="2:31" ht="15" hidden="1" customHeight="1" outlineLevel="2">
      <c r="B53" s="148">
        <v>10</v>
      </c>
      <c r="C53" s="177" t="str">
        <f>Attribute!C53</f>
        <v>---</v>
      </c>
      <c r="D53" s="127" t="str">
        <f>VLOOKUP(C53,'Talente &amp; Stuff'!BI:CJ,2,FALSE)</f>
        <v>--/--/--</v>
      </c>
      <c r="E53" s="125" t="str">
        <f>VLOOKUP(C53,'Talente &amp; Stuff'!BI:CJ,3,FALSE)</f>
        <v>-</v>
      </c>
      <c r="F53" s="114">
        <f>VLOOKUP(C53,'Talente &amp; Stuff'!BI:CJ,4,FALSE)</f>
        <v>0</v>
      </c>
      <c r="G53" s="113">
        <f>VLOOKUP(C53,'Talente &amp; Stuff'!BI:CJ,5,FALSE)</f>
        <v>0</v>
      </c>
      <c r="H53" s="113">
        <f>VLOOKUP(C53,'Talente &amp; Stuff'!BI:CJ,6,FALSE)</f>
        <v>0</v>
      </c>
      <c r="I53" s="113">
        <f>VLOOKUP(C53,'Talente &amp; Stuff'!BI:CJ,7,FALSE)</f>
        <v>0</v>
      </c>
      <c r="J53" s="113">
        <f>VLOOKUP(C53,'Talente &amp; Stuff'!BI:CJ,8,FALSE)</f>
        <v>0</v>
      </c>
      <c r="K53" s="113">
        <f>VLOOKUP(C53,'Talente &amp; Stuff'!BI:CJ,9,FALSE)</f>
        <v>0</v>
      </c>
      <c r="L53" s="113">
        <f>VLOOKUP(C53,'Talente &amp; Stuff'!BI:CJ,10,FALSE)</f>
        <v>0</v>
      </c>
      <c r="M53" s="119">
        <f>VLOOKUP(C53,'Talente &amp; Stuff'!BI:CJ,11,FALSE)</f>
        <v>0</v>
      </c>
      <c r="N53" s="89">
        <f>VLOOKUP(C53,'Talente &amp; Stuff'!BI:CJ,12,FALSE)</f>
        <v>0</v>
      </c>
      <c r="O53" s="47">
        <f>VLOOKUP(C53,'Talente &amp; Stuff'!BI:CJ,13,FALSE)</f>
        <v>0</v>
      </c>
      <c r="P53" s="119">
        <f>VLOOKUP(C53,'Talente &amp; Stuff'!BI:CJ,14,FALSE)</f>
        <v>0</v>
      </c>
      <c r="Q53" s="114">
        <f>VLOOKUP(C53,'Talente &amp; Stuff'!BI:CJ,15,FALSE)</f>
        <v>0</v>
      </c>
      <c r="R53" s="113">
        <f>VLOOKUP(C53,'Talente &amp; Stuff'!BI:CJ,16,FALSE)</f>
        <v>0</v>
      </c>
      <c r="S53" s="119">
        <f>VLOOKUP(C53,'Talente &amp; Stuff'!BI:CJ,17,FALSE)</f>
        <v>0</v>
      </c>
      <c r="T53" s="160">
        <f>VLOOKUP(C53,'Talente &amp; Stuff'!BI:CJ,18,FALSE)</f>
        <v>0</v>
      </c>
      <c r="U53" s="89">
        <f>VLOOKUP(C53,'Talente &amp; Stuff'!BI:CJ,19,FALSE)</f>
        <v>0</v>
      </c>
      <c r="V53" s="47">
        <f>VLOOKUP(C53,'Talente &amp; Stuff'!BI:CJ,20,FALSE)</f>
        <v>0</v>
      </c>
      <c r="W53" s="127">
        <f>VLOOKUP(C53,'Talente &amp; Stuff'!BI:CJ,21,FALSE)</f>
        <v>0</v>
      </c>
      <c r="X53" s="125">
        <f>VLOOKUP(C53,'Talente &amp; Stuff'!BI:CJ,22,FALSE)</f>
        <v>0</v>
      </c>
      <c r="Y53" s="165">
        <f t="shared" si="6"/>
        <v>0</v>
      </c>
      <c r="Z53" s="44">
        <f t="shared" si="7"/>
        <v>0</v>
      </c>
      <c r="AA53" s="125">
        <f>VLOOKUP(C53,'Talente &amp; Stuff'!BI:CJ,25,FALSE)</f>
        <v>0</v>
      </c>
      <c r="AB53" s="160">
        <f>VLOOKUP(C53,'Talente &amp; Stuff'!BI:CJ,26,FALSE)</f>
        <v>0</v>
      </c>
      <c r="AC53" s="127">
        <f>VLOOKUP(C53,'Talente &amp; Stuff'!BI:CJ,27,FALSE)</f>
        <v>0</v>
      </c>
      <c r="AD53" s="125">
        <f>VLOOKUP(C53,'Talente &amp; Stuff'!BI:CJ,28,FALSE)</f>
        <v>0</v>
      </c>
      <c r="AE53" s="28"/>
    </row>
    <row r="54" spans="2:31" ht="15" hidden="1" customHeight="1" outlineLevel="2">
      <c r="B54" s="148">
        <v>11</v>
      </c>
      <c r="C54" s="177" t="str">
        <f>Attribute!C54</f>
        <v>---</v>
      </c>
      <c r="D54" s="127" t="str">
        <f>VLOOKUP(C54,'Talente &amp; Stuff'!BI:CJ,2,FALSE)</f>
        <v>--/--/--</v>
      </c>
      <c r="E54" s="125" t="str">
        <f>VLOOKUP(C54,'Talente &amp; Stuff'!BI:CJ,3,FALSE)</f>
        <v>-</v>
      </c>
      <c r="F54" s="114">
        <f>VLOOKUP(C54,'Talente &amp; Stuff'!BI:CJ,4,FALSE)</f>
        <v>0</v>
      </c>
      <c r="G54" s="113">
        <f>VLOOKUP(C54,'Talente &amp; Stuff'!BI:CJ,5,FALSE)</f>
        <v>0</v>
      </c>
      <c r="H54" s="113">
        <f>VLOOKUP(C54,'Talente &amp; Stuff'!BI:CJ,6,FALSE)</f>
        <v>0</v>
      </c>
      <c r="I54" s="113">
        <f>VLOOKUP(C54,'Talente &amp; Stuff'!BI:CJ,7,FALSE)</f>
        <v>0</v>
      </c>
      <c r="J54" s="113">
        <f>VLOOKUP(C54,'Talente &amp; Stuff'!BI:CJ,8,FALSE)</f>
        <v>0</v>
      </c>
      <c r="K54" s="113">
        <f>VLOOKUP(C54,'Talente &amp; Stuff'!BI:CJ,9,FALSE)</f>
        <v>0</v>
      </c>
      <c r="L54" s="113">
        <f>VLOOKUP(C54,'Talente &amp; Stuff'!BI:CJ,10,FALSE)</f>
        <v>0</v>
      </c>
      <c r="M54" s="119">
        <f>VLOOKUP(C54,'Talente &amp; Stuff'!BI:CJ,11,FALSE)</f>
        <v>0</v>
      </c>
      <c r="N54" s="89">
        <f>VLOOKUP(C54,'Talente &amp; Stuff'!BI:CJ,12,FALSE)</f>
        <v>0</v>
      </c>
      <c r="O54" s="47">
        <f>VLOOKUP(C54,'Talente &amp; Stuff'!BI:CJ,13,FALSE)</f>
        <v>0</v>
      </c>
      <c r="P54" s="119">
        <f>VLOOKUP(C54,'Talente &amp; Stuff'!BI:CJ,14,FALSE)</f>
        <v>0</v>
      </c>
      <c r="Q54" s="114">
        <f>VLOOKUP(C54,'Talente &amp; Stuff'!BI:CJ,15,FALSE)</f>
        <v>0</v>
      </c>
      <c r="R54" s="113">
        <f>VLOOKUP(C54,'Talente &amp; Stuff'!BI:CJ,16,FALSE)</f>
        <v>0</v>
      </c>
      <c r="S54" s="119">
        <f>VLOOKUP(C54,'Talente &amp; Stuff'!BI:CJ,17,FALSE)</f>
        <v>0</v>
      </c>
      <c r="T54" s="160">
        <f>VLOOKUP(C54,'Talente &amp; Stuff'!BI:CJ,18,FALSE)</f>
        <v>0</v>
      </c>
      <c r="U54" s="89">
        <f>VLOOKUP(C54,'Talente &amp; Stuff'!BI:CJ,19,FALSE)</f>
        <v>0</v>
      </c>
      <c r="V54" s="47">
        <f>VLOOKUP(C54,'Talente &amp; Stuff'!BI:CJ,20,FALSE)</f>
        <v>0</v>
      </c>
      <c r="W54" s="127">
        <f>VLOOKUP(C54,'Talente &amp; Stuff'!BI:CJ,21,FALSE)</f>
        <v>0</v>
      </c>
      <c r="X54" s="125">
        <f>VLOOKUP(C54,'Talente &amp; Stuff'!BI:CJ,22,FALSE)</f>
        <v>0</v>
      </c>
      <c r="Y54" s="165">
        <f t="shared" si="6"/>
        <v>0</v>
      </c>
      <c r="Z54" s="44">
        <f t="shared" si="7"/>
        <v>0</v>
      </c>
      <c r="AA54" s="125">
        <f>VLOOKUP(C54,'Talente &amp; Stuff'!BI:CJ,25,FALSE)</f>
        <v>0</v>
      </c>
      <c r="AB54" s="160">
        <f>VLOOKUP(C54,'Talente &amp; Stuff'!BI:CJ,26,FALSE)</f>
        <v>0</v>
      </c>
      <c r="AC54" s="127">
        <f>VLOOKUP(C54,'Talente &amp; Stuff'!BI:CJ,27,FALSE)</f>
        <v>0</v>
      </c>
      <c r="AD54" s="125">
        <f>VLOOKUP(C54,'Talente &amp; Stuff'!BI:CJ,28,FALSE)</f>
        <v>0</v>
      </c>
      <c r="AE54" s="28"/>
    </row>
    <row r="55" spans="2:31" ht="15" hidden="1" customHeight="1" outlineLevel="2">
      <c r="B55" s="148">
        <v>12</v>
      </c>
      <c r="C55" s="178" t="str">
        <f>Attribute!C55</f>
        <v>---</v>
      </c>
      <c r="D55" s="128" t="str">
        <f>VLOOKUP(C55,'Talente &amp; Stuff'!BI:CJ,2,FALSE)</f>
        <v>--/--/--</v>
      </c>
      <c r="E55" s="159" t="str">
        <f>VLOOKUP(C55,'Talente &amp; Stuff'!BI:CJ,3,FALSE)</f>
        <v>-</v>
      </c>
      <c r="F55" s="115">
        <f>VLOOKUP(C55,'Talente &amp; Stuff'!BI:CJ,4,FALSE)</f>
        <v>0</v>
      </c>
      <c r="G55" s="122">
        <f>VLOOKUP(C55,'Talente &amp; Stuff'!BI:CJ,5,FALSE)</f>
        <v>0</v>
      </c>
      <c r="H55" s="122">
        <f>VLOOKUP(C55,'Talente &amp; Stuff'!BI:CJ,6,FALSE)</f>
        <v>0</v>
      </c>
      <c r="I55" s="122">
        <f>VLOOKUP(C55,'Talente &amp; Stuff'!BI:CJ,7,FALSE)</f>
        <v>0</v>
      </c>
      <c r="J55" s="122">
        <f>VLOOKUP(C55,'Talente &amp; Stuff'!BI:CJ,8,FALSE)</f>
        <v>0</v>
      </c>
      <c r="K55" s="122">
        <f>VLOOKUP(C55,'Talente &amp; Stuff'!BI:CJ,9,FALSE)</f>
        <v>0</v>
      </c>
      <c r="L55" s="122">
        <f>VLOOKUP(C55,'Talente &amp; Stuff'!BI:CJ,10,FALSE)</f>
        <v>0</v>
      </c>
      <c r="M55" s="123">
        <f>VLOOKUP(C55,'Talente &amp; Stuff'!BI:CJ,11,FALSE)</f>
        <v>0</v>
      </c>
      <c r="N55" s="90">
        <f>VLOOKUP(C55,'Talente &amp; Stuff'!BI:CJ,12,FALSE)</f>
        <v>0</v>
      </c>
      <c r="O55" s="88">
        <f>VLOOKUP(C55,'Talente &amp; Stuff'!BI:CJ,13,FALSE)</f>
        <v>0</v>
      </c>
      <c r="P55" s="123">
        <f>VLOOKUP(C55,'Talente &amp; Stuff'!BI:CJ,14,FALSE)</f>
        <v>0</v>
      </c>
      <c r="Q55" s="115">
        <f>VLOOKUP(C55,'Talente &amp; Stuff'!BI:CJ,15,FALSE)</f>
        <v>0</v>
      </c>
      <c r="R55" s="122">
        <f>VLOOKUP(C55,'Talente &amp; Stuff'!BI:CJ,16,FALSE)</f>
        <v>0</v>
      </c>
      <c r="S55" s="123">
        <f>VLOOKUP(C55,'Talente &amp; Stuff'!BI:CJ,17,FALSE)</f>
        <v>0</v>
      </c>
      <c r="T55" s="161">
        <f>VLOOKUP(C55,'Talente &amp; Stuff'!BI:CJ,18,FALSE)</f>
        <v>0</v>
      </c>
      <c r="U55" s="90">
        <f>VLOOKUP(C55,'Talente &amp; Stuff'!BI:CJ,19,FALSE)</f>
        <v>0</v>
      </c>
      <c r="V55" s="88">
        <f>VLOOKUP(C55,'Talente &amp; Stuff'!BI:CJ,20,FALSE)</f>
        <v>0</v>
      </c>
      <c r="W55" s="128">
        <f>VLOOKUP(C55,'Talente &amp; Stuff'!BI:CJ,21,FALSE)</f>
        <v>0</v>
      </c>
      <c r="X55" s="159">
        <f>VLOOKUP(C55,'Talente &amp; Stuff'!BI:CJ,22,FALSE)</f>
        <v>0</v>
      </c>
      <c r="Y55" s="165">
        <f t="shared" si="6"/>
        <v>0</v>
      </c>
      <c r="Z55" s="44">
        <f t="shared" si="7"/>
        <v>0</v>
      </c>
      <c r="AA55" s="159">
        <f>VLOOKUP(C55,'Talente &amp; Stuff'!BI:CJ,25,FALSE)</f>
        <v>0</v>
      </c>
      <c r="AB55" s="161">
        <f>VLOOKUP(C55,'Talente &amp; Stuff'!BI:CJ,26,FALSE)</f>
        <v>0</v>
      </c>
      <c r="AC55" s="128">
        <f>VLOOKUP(C55,'Talente &amp; Stuff'!BI:CJ,27,FALSE)</f>
        <v>0</v>
      </c>
      <c r="AD55" s="159">
        <f>VLOOKUP(C55,'Talente &amp; Stuff'!BI:CJ,28,FALSE)</f>
        <v>0</v>
      </c>
      <c r="AE55" s="28"/>
    </row>
    <row r="56" spans="2:31" ht="15" hidden="1" customHeight="1" outlineLevel="1" collapsed="1">
      <c r="B56" s="134" t="s">
        <v>71</v>
      </c>
      <c r="C56" s="83"/>
      <c r="D56" s="84"/>
      <c r="E56" s="84"/>
      <c r="F56" s="30"/>
      <c r="G56" s="30"/>
      <c r="H56" s="30"/>
      <c r="I56" s="30"/>
      <c r="J56" s="30"/>
      <c r="K56" s="30"/>
      <c r="L56" s="30"/>
      <c r="M56" s="30"/>
      <c r="N56" s="31"/>
      <c r="O56" s="31"/>
      <c r="P56" s="30"/>
      <c r="Q56" s="30"/>
      <c r="R56" s="30"/>
      <c r="S56" s="30"/>
      <c r="T56" s="30"/>
      <c r="U56" s="31"/>
      <c r="V56" s="31"/>
      <c r="W56" s="31"/>
      <c r="X56" s="31"/>
      <c r="Y56" s="65"/>
    </row>
    <row r="57" spans="2:31" ht="15" hidden="1" customHeight="1" outlineLevel="2">
      <c r="B57" s="148">
        <v>1</v>
      </c>
      <c r="C57" s="176" t="str">
        <f>Attribute!C57</f>
        <v>---</v>
      </c>
      <c r="D57" s="126" t="str">
        <f>VLOOKUP(C57,'Talente &amp; Stuff'!BI:CJ,2,FALSE)</f>
        <v>--/--/--</v>
      </c>
      <c r="E57" s="158" t="str">
        <f>VLOOKUP(C57,'Talente &amp; Stuff'!BI:CJ,3,FALSE)</f>
        <v>-</v>
      </c>
      <c r="F57" s="191">
        <f>VLOOKUP(C57,'Talente &amp; Stuff'!BI:CJ,4,FALSE)</f>
        <v>0</v>
      </c>
      <c r="G57" s="118">
        <f>VLOOKUP(C57,'Talente &amp; Stuff'!BI:CJ,5,FALSE)</f>
        <v>0</v>
      </c>
      <c r="H57" s="118">
        <f>VLOOKUP(C57,'Talente &amp; Stuff'!BI:CJ,6,FALSE)</f>
        <v>0</v>
      </c>
      <c r="I57" s="118">
        <f>VLOOKUP(C57,'Talente &amp; Stuff'!BI:CJ,7,FALSE)</f>
        <v>0</v>
      </c>
      <c r="J57" s="118">
        <f>VLOOKUP(C57,'Talente &amp; Stuff'!BI:CJ,8,FALSE)</f>
        <v>0</v>
      </c>
      <c r="K57" s="118">
        <f>VLOOKUP(C57,'Talente &amp; Stuff'!BI:CJ,9,FALSE)</f>
        <v>0</v>
      </c>
      <c r="L57" s="118">
        <f>VLOOKUP(C57,'Talente &amp; Stuff'!BI:CJ,10,FALSE)</f>
        <v>0</v>
      </c>
      <c r="M57" s="92">
        <f>VLOOKUP(C57,'Talente &amp; Stuff'!BI:CJ,11,FALSE)</f>
        <v>0</v>
      </c>
      <c r="N57" s="193">
        <f>VLOOKUP(C57,'Talente &amp; Stuff'!BI:CJ,12,FALSE)</f>
        <v>0</v>
      </c>
      <c r="O57" s="116">
        <f>VLOOKUP(C57,'Talente &amp; Stuff'!BI:CJ,13,FALSE)</f>
        <v>0</v>
      </c>
      <c r="P57" s="92">
        <f>VLOOKUP(C57,'Talente &amp; Stuff'!BI:CJ,14,FALSE)</f>
        <v>0</v>
      </c>
      <c r="Q57" s="191">
        <f>VLOOKUP(C57,'Talente &amp; Stuff'!BI:CJ,15,FALSE)</f>
        <v>0</v>
      </c>
      <c r="R57" s="118">
        <f>VLOOKUP(C57,'Talente &amp; Stuff'!BI:CJ,16,FALSE)</f>
        <v>0</v>
      </c>
      <c r="S57" s="92">
        <f>VLOOKUP(C57,'Talente &amp; Stuff'!BI:CJ,17,FALSE)</f>
        <v>0</v>
      </c>
      <c r="T57" s="91">
        <f>VLOOKUP(C57,'Talente &amp; Stuff'!BI:CJ,18,FALSE)</f>
        <v>0</v>
      </c>
      <c r="U57" s="193">
        <f>VLOOKUP(C57,'Talente &amp; Stuff'!BI:CJ,19,FALSE)</f>
        <v>0</v>
      </c>
      <c r="V57" s="116">
        <f>VLOOKUP(C57,'Talente &amp; Stuff'!BI:CJ,20,FALSE)</f>
        <v>0</v>
      </c>
      <c r="W57" s="126">
        <f>VLOOKUP(C57,'Talente &amp; Stuff'!BI:CJ,21,FALSE)</f>
        <v>0</v>
      </c>
      <c r="X57" s="158">
        <f>VLOOKUP(C57,'Talente &amp; Stuff'!BI:CJ,22,FALSE)</f>
        <v>0</v>
      </c>
      <c r="Y57" s="165">
        <f t="shared" ref="Y57:Y73" si="8">VLOOKUP(C57,Ausgewählte_Talente_Handwerkstalente,81,FALSE)</f>
        <v>0</v>
      </c>
      <c r="Z57" s="44">
        <f t="shared" ref="Z57:Z73" si="9">VLOOKUP(C57,Ausgewählte_Talente_Handwerkstalente,82,FALSE)</f>
        <v>0</v>
      </c>
      <c r="AA57" s="158">
        <f>VLOOKUP(C57,'Talente &amp; Stuff'!BI:CJ,25,FALSE)</f>
        <v>0</v>
      </c>
      <c r="AB57" s="91">
        <f>VLOOKUP(C57,'Talente &amp; Stuff'!BI:CJ,26,FALSE)</f>
        <v>0</v>
      </c>
      <c r="AC57" s="126">
        <f>VLOOKUP(C57,'Talente &amp; Stuff'!BI:CJ,27,FALSE)</f>
        <v>0</v>
      </c>
      <c r="AD57" s="158">
        <f>VLOOKUP(C57,'Talente &amp; Stuff'!BI:CJ,28,FALSE)</f>
        <v>0</v>
      </c>
      <c r="AE57" s="28"/>
    </row>
    <row r="58" spans="2:31" ht="15" hidden="1" customHeight="1" outlineLevel="2">
      <c r="B58" s="148">
        <v>2</v>
      </c>
      <c r="C58" s="177" t="str">
        <f>Attribute!C58</f>
        <v>---</v>
      </c>
      <c r="D58" s="127" t="str">
        <f>VLOOKUP(C58,'Talente &amp; Stuff'!BI:CJ,2,FALSE)</f>
        <v>--/--/--</v>
      </c>
      <c r="E58" s="125" t="str">
        <f>VLOOKUP(C58,'Talente &amp; Stuff'!BI:CJ,3,FALSE)</f>
        <v>-</v>
      </c>
      <c r="F58" s="114">
        <f>VLOOKUP(C58,'Talente &amp; Stuff'!BI:CJ,4,FALSE)</f>
        <v>0</v>
      </c>
      <c r="G58" s="113">
        <f>VLOOKUP(C58,'Talente &amp; Stuff'!BI:CJ,5,FALSE)</f>
        <v>0</v>
      </c>
      <c r="H58" s="113">
        <f>VLOOKUP(C58,'Talente &amp; Stuff'!BI:CJ,6,FALSE)</f>
        <v>0</v>
      </c>
      <c r="I58" s="113">
        <f>VLOOKUP(C58,'Talente &amp; Stuff'!BI:CJ,7,FALSE)</f>
        <v>0</v>
      </c>
      <c r="J58" s="113">
        <f>VLOOKUP(C58,'Talente &amp; Stuff'!BI:CJ,8,FALSE)</f>
        <v>0</v>
      </c>
      <c r="K58" s="113">
        <f>VLOOKUP(C58,'Talente &amp; Stuff'!BI:CJ,9,FALSE)</f>
        <v>0</v>
      </c>
      <c r="L58" s="113">
        <f>VLOOKUP(C58,'Talente &amp; Stuff'!BI:CJ,10,FALSE)</f>
        <v>0</v>
      </c>
      <c r="M58" s="119">
        <f>VLOOKUP(C58,'Talente &amp; Stuff'!BI:CJ,11,FALSE)</f>
        <v>0</v>
      </c>
      <c r="N58" s="89">
        <f>VLOOKUP(C58,'Talente &amp; Stuff'!BI:CJ,12,FALSE)</f>
        <v>0</v>
      </c>
      <c r="O58" s="47">
        <f>VLOOKUP(C58,'Talente &amp; Stuff'!BI:CJ,13,FALSE)</f>
        <v>0</v>
      </c>
      <c r="P58" s="119">
        <f>VLOOKUP(C58,'Talente &amp; Stuff'!BI:CJ,14,FALSE)</f>
        <v>0</v>
      </c>
      <c r="Q58" s="114">
        <f>VLOOKUP(C58,'Talente &amp; Stuff'!BI:CJ,15,FALSE)</f>
        <v>0</v>
      </c>
      <c r="R58" s="113">
        <f>VLOOKUP(C58,'Talente &amp; Stuff'!BI:CJ,16,FALSE)</f>
        <v>0</v>
      </c>
      <c r="S58" s="119">
        <f>VLOOKUP(C58,'Talente &amp; Stuff'!BI:CJ,17,FALSE)</f>
        <v>0</v>
      </c>
      <c r="T58" s="160">
        <f>VLOOKUP(C58,'Talente &amp; Stuff'!BI:CJ,18,FALSE)</f>
        <v>0</v>
      </c>
      <c r="U58" s="89">
        <f>VLOOKUP(C58,'Talente &amp; Stuff'!BI:CJ,19,FALSE)</f>
        <v>0</v>
      </c>
      <c r="V58" s="47">
        <f>VLOOKUP(C58,'Talente &amp; Stuff'!BI:CJ,20,FALSE)</f>
        <v>0</v>
      </c>
      <c r="W58" s="127">
        <f>VLOOKUP(C58,'Talente &amp; Stuff'!BI:CJ,21,FALSE)</f>
        <v>0</v>
      </c>
      <c r="X58" s="125">
        <f>VLOOKUP(C58,'Talente &amp; Stuff'!BI:CJ,22,FALSE)</f>
        <v>0</v>
      </c>
      <c r="Y58" s="165">
        <f t="shared" si="8"/>
        <v>0</v>
      </c>
      <c r="Z58" s="44">
        <f t="shared" si="9"/>
        <v>0</v>
      </c>
      <c r="AA58" s="125">
        <f>VLOOKUP(C58,'Talente &amp; Stuff'!BI:CJ,25,FALSE)</f>
        <v>0</v>
      </c>
      <c r="AB58" s="160">
        <f>VLOOKUP(C58,'Talente &amp; Stuff'!BI:CJ,26,FALSE)</f>
        <v>0</v>
      </c>
      <c r="AC58" s="127">
        <f>VLOOKUP(C58,'Talente &amp; Stuff'!BI:CJ,27,FALSE)</f>
        <v>0</v>
      </c>
      <c r="AD58" s="125">
        <f>VLOOKUP(C58,'Talente &amp; Stuff'!BI:CJ,28,FALSE)</f>
        <v>0</v>
      </c>
      <c r="AE58" s="28"/>
    </row>
    <row r="59" spans="2:31" ht="15" hidden="1" customHeight="1" outlineLevel="2">
      <c r="B59" s="148">
        <v>3</v>
      </c>
      <c r="C59" s="177" t="str">
        <f>Attribute!C59</f>
        <v>---</v>
      </c>
      <c r="D59" s="127" t="str">
        <f>VLOOKUP(C59,'Talente &amp; Stuff'!BI:CJ,2,FALSE)</f>
        <v>--/--/--</v>
      </c>
      <c r="E59" s="125" t="str">
        <f>VLOOKUP(C59,'Talente &amp; Stuff'!BI:CJ,3,FALSE)</f>
        <v>-</v>
      </c>
      <c r="F59" s="114">
        <f>VLOOKUP(C59,'Talente &amp; Stuff'!BI:CJ,4,FALSE)</f>
        <v>0</v>
      </c>
      <c r="G59" s="113">
        <f>VLOOKUP(C59,'Talente &amp; Stuff'!BI:CJ,5,FALSE)</f>
        <v>0</v>
      </c>
      <c r="H59" s="113">
        <f>VLOOKUP(C59,'Talente &amp; Stuff'!BI:CJ,6,FALSE)</f>
        <v>0</v>
      </c>
      <c r="I59" s="113">
        <f>VLOOKUP(C59,'Talente &amp; Stuff'!BI:CJ,7,FALSE)</f>
        <v>0</v>
      </c>
      <c r="J59" s="113">
        <f>VLOOKUP(C59,'Talente &amp; Stuff'!BI:CJ,8,FALSE)</f>
        <v>0</v>
      </c>
      <c r="K59" s="113">
        <f>VLOOKUP(C59,'Talente &amp; Stuff'!BI:CJ,9,FALSE)</f>
        <v>0</v>
      </c>
      <c r="L59" s="113">
        <f>VLOOKUP(C59,'Talente &amp; Stuff'!BI:CJ,10,FALSE)</f>
        <v>0</v>
      </c>
      <c r="M59" s="119">
        <f>VLOOKUP(C59,'Talente &amp; Stuff'!BI:CJ,11,FALSE)</f>
        <v>0</v>
      </c>
      <c r="N59" s="89">
        <f>VLOOKUP(C59,'Talente &amp; Stuff'!BI:CJ,12,FALSE)</f>
        <v>0</v>
      </c>
      <c r="O59" s="47">
        <f>VLOOKUP(C59,'Talente &amp; Stuff'!BI:CJ,13,FALSE)</f>
        <v>0</v>
      </c>
      <c r="P59" s="119">
        <f>VLOOKUP(C59,'Talente &amp; Stuff'!BI:CJ,14,FALSE)</f>
        <v>0</v>
      </c>
      <c r="Q59" s="114">
        <f>VLOOKUP(C59,'Talente &amp; Stuff'!BI:CJ,15,FALSE)</f>
        <v>0</v>
      </c>
      <c r="R59" s="113">
        <f>VLOOKUP(C59,'Talente &amp; Stuff'!BI:CJ,16,FALSE)</f>
        <v>0</v>
      </c>
      <c r="S59" s="119">
        <f>VLOOKUP(C59,'Talente &amp; Stuff'!BI:CJ,17,FALSE)</f>
        <v>0</v>
      </c>
      <c r="T59" s="160">
        <f>VLOOKUP(C59,'Talente &amp; Stuff'!BI:CJ,18,FALSE)</f>
        <v>0</v>
      </c>
      <c r="U59" s="89">
        <f>VLOOKUP(C59,'Talente &amp; Stuff'!BI:CJ,19,FALSE)</f>
        <v>0</v>
      </c>
      <c r="V59" s="47">
        <f>VLOOKUP(C59,'Talente &amp; Stuff'!BI:CJ,20,FALSE)</f>
        <v>0</v>
      </c>
      <c r="W59" s="127">
        <f>VLOOKUP(C59,'Talente &amp; Stuff'!BI:CJ,21,FALSE)</f>
        <v>0</v>
      </c>
      <c r="X59" s="125">
        <f>VLOOKUP(C59,'Talente &amp; Stuff'!BI:CJ,22,FALSE)</f>
        <v>0</v>
      </c>
      <c r="Y59" s="165">
        <f t="shared" si="8"/>
        <v>0</v>
      </c>
      <c r="Z59" s="44">
        <f t="shared" si="9"/>
        <v>0</v>
      </c>
      <c r="AA59" s="125">
        <f>VLOOKUP(C59,'Talente &amp; Stuff'!BI:CJ,25,FALSE)</f>
        <v>0</v>
      </c>
      <c r="AB59" s="160">
        <f>VLOOKUP(C59,'Talente &amp; Stuff'!BI:CJ,26,FALSE)</f>
        <v>0</v>
      </c>
      <c r="AC59" s="127">
        <f>VLOOKUP(C59,'Talente &amp; Stuff'!BI:CJ,27,FALSE)</f>
        <v>0</v>
      </c>
      <c r="AD59" s="125">
        <f>VLOOKUP(C59,'Talente &amp; Stuff'!BI:CJ,28,FALSE)</f>
        <v>0</v>
      </c>
      <c r="AE59" s="28"/>
    </row>
    <row r="60" spans="2:31" ht="15" hidden="1" customHeight="1" outlineLevel="2">
      <c r="B60" s="148">
        <v>4</v>
      </c>
      <c r="C60" s="177" t="str">
        <f>Attribute!C60</f>
        <v>---</v>
      </c>
      <c r="D60" s="127" t="str">
        <f>VLOOKUP(C60,'Talente &amp; Stuff'!BI:CJ,2,FALSE)</f>
        <v>--/--/--</v>
      </c>
      <c r="E60" s="125" t="str">
        <f>VLOOKUP(C60,'Talente &amp; Stuff'!BI:CJ,3,FALSE)</f>
        <v>-</v>
      </c>
      <c r="F60" s="114">
        <f>VLOOKUP(C60,'Talente &amp; Stuff'!BI:CJ,4,FALSE)</f>
        <v>0</v>
      </c>
      <c r="G60" s="113">
        <f>VLOOKUP(C60,'Talente &amp; Stuff'!BI:CJ,5,FALSE)</f>
        <v>0</v>
      </c>
      <c r="H60" s="113">
        <f>VLOOKUP(C60,'Talente &amp; Stuff'!BI:CJ,6,FALSE)</f>
        <v>0</v>
      </c>
      <c r="I60" s="113">
        <f>VLOOKUP(C60,'Talente &amp; Stuff'!BI:CJ,7,FALSE)</f>
        <v>0</v>
      </c>
      <c r="J60" s="113">
        <f>VLOOKUP(C60,'Talente &amp; Stuff'!BI:CJ,8,FALSE)</f>
        <v>0</v>
      </c>
      <c r="K60" s="113">
        <f>VLOOKUP(C60,'Talente &amp; Stuff'!BI:CJ,9,FALSE)</f>
        <v>0</v>
      </c>
      <c r="L60" s="113">
        <f>VLOOKUP(C60,'Talente &amp; Stuff'!BI:CJ,10,FALSE)</f>
        <v>0</v>
      </c>
      <c r="M60" s="119">
        <f>VLOOKUP(C60,'Talente &amp; Stuff'!BI:CJ,11,FALSE)</f>
        <v>0</v>
      </c>
      <c r="N60" s="89">
        <f>VLOOKUP(C60,'Talente &amp; Stuff'!BI:CJ,12,FALSE)</f>
        <v>0</v>
      </c>
      <c r="O60" s="47">
        <f>VLOOKUP(C60,'Talente &amp; Stuff'!BI:CJ,13,FALSE)</f>
        <v>0</v>
      </c>
      <c r="P60" s="119">
        <f>VLOOKUP(C60,'Talente &amp; Stuff'!BI:CJ,14,FALSE)</f>
        <v>0</v>
      </c>
      <c r="Q60" s="114">
        <f>VLOOKUP(C60,'Talente &amp; Stuff'!BI:CJ,15,FALSE)</f>
        <v>0</v>
      </c>
      <c r="R60" s="113">
        <f>VLOOKUP(C60,'Talente &amp; Stuff'!BI:CJ,16,FALSE)</f>
        <v>0</v>
      </c>
      <c r="S60" s="119">
        <f>VLOOKUP(C60,'Talente &amp; Stuff'!BI:CJ,17,FALSE)</f>
        <v>0</v>
      </c>
      <c r="T60" s="160">
        <f>VLOOKUP(C60,'Talente &amp; Stuff'!BI:CJ,18,FALSE)</f>
        <v>0</v>
      </c>
      <c r="U60" s="89">
        <f>VLOOKUP(C60,'Talente &amp; Stuff'!BI:CJ,19,FALSE)</f>
        <v>0</v>
      </c>
      <c r="V60" s="47">
        <f>VLOOKUP(C60,'Talente &amp; Stuff'!BI:CJ,20,FALSE)</f>
        <v>0</v>
      </c>
      <c r="W60" s="127">
        <f>VLOOKUP(C60,'Talente &amp; Stuff'!BI:CJ,21,FALSE)</f>
        <v>0</v>
      </c>
      <c r="X60" s="125">
        <f>VLOOKUP(C60,'Talente &amp; Stuff'!BI:CJ,22,FALSE)</f>
        <v>0</v>
      </c>
      <c r="Y60" s="165">
        <f t="shared" si="8"/>
        <v>0</v>
      </c>
      <c r="Z60" s="44">
        <f t="shared" si="9"/>
        <v>0</v>
      </c>
      <c r="AA60" s="125">
        <f>VLOOKUP(C60,'Talente &amp; Stuff'!BI:CJ,25,FALSE)</f>
        <v>0</v>
      </c>
      <c r="AB60" s="160">
        <f>VLOOKUP(C60,'Talente &amp; Stuff'!BI:CJ,26,FALSE)</f>
        <v>0</v>
      </c>
      <c r="AC60" s="127">
        <f>VLOOKUP(C60,'Talente &amp; Stuff'!BI:CJ,27,FALSE)</f>
        <v>0</v>
      </c>
      <c r="AD60" s="125">
        <f>VLOOKUP(C60,'Talente &amp; Stuff'!BI:CJ,28,FALSE)</f>
        <v>0</v>
      </c>
      <c r="AE60" s="28"/>
    </row>
    <row r="61" spans="2:31" ht="15" hidden="1" customHeight="1" outlineLevel="2">
      <c r="B61" s="148">
        <v>5</v>
      </c>
      <c r="C61" s="177" t="str">
        <f>Attribute!C61</f>
        <v>---</v>
      </c>
      <c r="D61" s="127" t="str">
        <f>VLOOKUP(C61,'Talente &amp; Stuff'!BI:CJ,2,FALSE)</f>
        <v>--/--/--</v>
      </c>
      <c r="E61" s="125" t="str">
        <f>VLOOKUP(C61,'Talente &amp; Stuff'!BI:CJ,3,FALSE)</f>
        <v>-</v>
      </c>
      <c r="F61" s="114">
        <f>VLOOKUP(C61,'Talente &amp; Stuff'!BI:CJ,4,FALSE)</f>
        <v>0</v>
      </c>
      <c r="G61" s="113">
        <f>VLOOKUP(C61,'Talente &amp; Stuff'!BI:CJ,5,FALSE)</f>
        <v>0</v>
      </c>
      <c r="H61" s="113">
        <f>VLOOKUP(C61,'Talente &amp; Stuff'!BI:CJ,6,FALSE)</f>
        <v>0</v>
      </c>
      <c r="I61" s="113">
        <f>VLOOKUP(C61,'Talente &amp; Stuff'!BI:CJ,7,FALSE)</f>
        <v>0</v>
      </c>
      <c r="J61" s="113">
        <f>VLOOKUP(C61,'Talente &amp; Stuff'!BI:CJ,8,FALSE)</f>
        <v>0</v>
      </c>
      <c r="K61" s="113">
        <f>VLOOKUP(C61,'Talente &amp; Stuff'!BI:CJ,9,FALSE)</f>
        <v>0</v>
      </c>
      <c r="L61" s="113">
        <f>VLOOKUP(C61,'Talente &amp; Stuff'!BI:CJ,10,FALSE)</f>
        <v>0</v>
      </c>
      <c r="M61" s="119">
        <f>VLOOKUP(C61,'Talente &amp; Stuff'!BI:CJ,11,FALSE)</f>
        <v>0</v>
      </c>
      <c r="N61" s="89">
        <f>VLOOKUP(C61,'Talente &amp; Stuff'!BI:CJ,12,FALSE)</f>
        <v>0</v>
      </c>
      <c r="O61" s="47">
        <f>VLOOKUP(C61,'Talente &amp; Stuff'!BI:CJ,13,FALSE)</f>
        <v>0</v>
      </c>
      <c r="P61" s="119">
        <f>VLOOKUP(C61,'Talente &amp; Stuff'!BI:CJ,14,FALSE)</f>
        <v>0</v>
      </c>
      <c r="Q61" s="114">
        <f>VLOOKUP(C61,'Talente &amp; Stuff'!BI:CJ,15,FALSE)</f>
        <v>0</v>
      </c>
      <c r="R61" s="113">
        <f>VLOOKUP(C61,'Talente &amp; Stuff'!BI:CJ,16,FALSE)</f>
        <v>0</v>
      </c>
      <c r="S61" s="119">
        <f>VLOOKUP(C61,'Talente &amp; Stuff'!BI:CJ,17,FALSE)</f>
        <v>0</v>
      </c>
      <c r="T61" s="160">
        <f>VLOOKUP(C61,'Talente &amp; Stuff'!BI:CJ,18,FALSE)</f>
        <v>0</v>
      </c>
      <c r="U61" s="89">
        <f>VLOOKUP(C61,'Talente &amp; Stuff'!BI:CJ,19,FALSE)</f>
        <v>0</v>
      </c>
      <c r="V61" s="47">
        <f>VLOOKUP(C61,'Talente &amp; Stuff'!BI:CJ,20,FALSE)</f>
        <v>0</v>
      </c>
      <c r="W61" s="127">
        <f>VLOOKUP(C61,'Talente &amp; Stuff'!BI:CJ,21,FALSE)</f>
        <v>0</v>
      </c>
      <c r="X61" s="125">
        <f>VLOOKUP(C61,'Talente &amp; Stuff'!BI:CJ,22,FALSE)</f>
        <v>0</v>
      </c>
      <c r="Y61" s="165">
        <f t="shared" si="8"/>
        <v>0</v>
      </c>
      <c r="Z61" s="44">
        <f t="shared" si="9"/>
        <v>0</v>
      </c>
      <c r="AA61" s="125">
        <f>VLOOKUP(C61,'Talente &amp; Stuff'!BI:CJ,25,FALSE)</f>
        <v>0</v>
      </c>
      <c r="AB61" s="160">
        <f>VLOOKUP(C61,'Talente &amp; Stuff'!BI:CJ,26,FALSE)</f>
        <v>0</v>
      </c>
      <c r="AC61" s="127">
        <f>VLOOKUP(C61,'Talente &amp; Stuff'!BI:CJ,27,FALSE)</f>
        <v>0</v>
      </c>
      <c r="AD61" s="125">
        <f>VLOOKUP(C61,'Talente &amp; Stuff'!BI:CJ,28,FALSE)</f>
        <v>0</v>
      </c>
      <c r="AE61" s="28"/>
    </row>
    <row r="62" spans="2:31" ht="15" hidden="1" customHeight="1" outlineLevel="2">
      <c r="B62" s="148">
        <v>6</v>
      </c>
      <c r="C62" s="177" t="str">
        <f>Attribute!C62</f>
        <v>---</v>
      </c>
      <c r="D62" s="127" t="str">
        <f>VLOOKUP(C62,'Talente &amp; Stuff'!BI:CJ,2,FALSE)</f>
        <v>--/--/--</v>
      </c>
      <c r="E62" s="125" t="str">
        <f>VLOOKUP(C62,'Talente &amp; Stuff'!BI:CJ,3,FALSE)</f>
        <v>-</v>
      </c>
      <c r="F62" s="114">
        <f>VLOOKUP(C62,'Talente &amp; Stuff'!BI:CJ,4,FALSE)</f>
        <v>0</v>
      </c>
      <c r="G62" s="113">
        <f>VLOOKUP(C62,'Talente &amp; Stuff'!BI:CJ,5,FALSE)</f>
        <v>0</v>
      </c>
      <c r="H62" s="113">
        <f>VLOOKUP(C62,'Talente &amp; Stuff'!BI:CJ,6,FALSE)</f>
        <v>0</v>
      </c>
      <c r="I62" s="113">
        <f>VLOOKUP(C62,'Talente &amp; Stuff'!BI:CJ,7,FALSE)</f>
        <v>0</v>
      </c>
      <c r="J62" s="113">
        <f>VLOOKUP(C62,'Talente &amp; Stuff'!BI:CJ,8,FALSE)</f>
        <v>0</v>
      </c>
      <c r="K62" s="113">
        <f>VLOOKUP(C62,'Talente &amp; Stuff'!BI:CJ,9,FALSE)</f>
        <v>0</v>
      </c>
      <c r="L62" s="113">
        <f>VLOOKUP(C62,'Talente &amp; Stuff'!BI:CJ,10,FALSE)</f>
        <v>0</v>
      </c>
      <c r="M62" s="119">
        <f>VLOOKUP(C62,'Talente &amp; Stuff'!BI:CJ,11,FALSE)</f>
        <v>0</v>
      </c>
      <c r="N62" s="89">
        <f>VLOOKUP(C62,'Talente &amp; Stuff'!BI:CJ,12,FALSE)</f>
        <v>0</v>
      </c>
      <c r="O62" s="47">
        <f>VLOOKUP(C62,'Talente &amp; Stuff'!BI:CJ,13,FALSE)</f>
        <v>0</v>
      </c>
      <c r="P62" s="119">
        <f>VLOOKUP(C62,'Talente &amp; Stuff'!BI:CJ,14,FALSE)</f>
        <v>0</v>
      </c>
      <c r="Q62" s="114">
        <f>VLOOKUP(C62,'Talente &amp; Stuff'!BI:CJ,15,FALSE)</f>
        <v>0</v>
      </c>
      <c r="R62" s="113">
        <f>VLOOKUP(C62,'Talente &amp; Stuff'!BI:CJ,16,FALSE)</f>
        <v>0</v>
      </c>
      <c r="S62" s="119">
        <f>VLOOKUP(C62,'Talente &amp; Stuff'!BI:CJ,17,FALSE)</f>
        <v>0</v>
      </c>
      <c r="T62" s="160">
        <f>VLOOKUP(C62,'Talente &amp; Stuff'!BI:CJ,18,FALSE)</f>
        <v>0</v>
      </c>
      <c r="U62" s="89">
        <f>VLOOKUP(C62,'Talente &amp; Stuff'!BI:CJ,19,FALSE)</f>
        <v>0</v>
      </c>
      <c r="V62" s="47">
        <f>VLOOKUP(C62,'Talente &amp; Stuff'!BI:CJ,20,FALSE)</f>
        <v>0</v>
      </c>
      <c r="W62" s="127">
        <f>VLOOKUP(C62,'Talente &amp; Stuff'!BI:CJ,21,FALSE)</f>
        <v>0</v>
      </c>
      <c r="X62" s="125">
        <f>VLOOKUP(C62,'Talente &amp; Stuff'!BI:CJ,22,FALSE)</f>
        <v>0</v>
      </c>
      <c r="Y62" s="165">
        <f t="shared" si="8"/>
        <v>0</v>
      </c>
      <c r="Z62" s="44">
        <f t="shared" si="9"/>
        <v>0</v>
      </c>
      <c r="AA62" s="125">
        <f>VLOOKUP(C62,'Talente &amp; Stuff'!BI:CJ,25,FALSE)</f>
        <v>0</v>
      </c>
      <c r="AB62" s="160">
        <f>VLOOKUP(C62,'Talente &amp; Stuff'!BI:CJ,26,FALSE)</f>
        <v>0</v>
      </c>
      <c r="AC62" s="127">
        <f>VLOOKUP(C62,'Talente &amp; Stuff'!BI:CJ,27,FALSE)</f>
        <v>0</v>
      </c>
      <c r="AD62" s="125">
        <f>VLOOKUP(C62,'Talente &amp; Stuff'!BI:CJ,28,FALSE)</f>
        <v>0</v>
      </c>
      <c r="AE62" s="28"/>
    </row>
    <row r="63" spans="2:31" ht="15" hidden="1" customHeight="1" outlineLevel="2">
      <c r="B63" s="148">
        <v>7</v>
      </c>
      <c r="C63" s="177" t="str">
        <f>Attribute!C63</f>
        <v>---</v>
      </c>
      <c r="D63" s="127" t="str">
        <f>VLOOKUP(C63,'Talente &amp; Stuff'!BI:CJ,2,FALSE)</f>
        <v>--/--/--</v>
      </c>
      <c r="E63" s="125" t="str">
        <f>VLOOKUP(C63,'Talente &amp; Stuff'!BI:CJ,3,FALSE)</f>
        <v>-</v>
      </c>
      <c r="F63" s="114">
        <f>VLOOKUP(C63,'Talente &amp; Stuff'!BI:CJ,4,FALSE)</f>
        <v>0</v>
      </c>
      <c r="G63" s="113">
        <f>VLOOKUP(C63,'Talente &amp; Stuff'!BI:CJ,5,FALSE)</f>
        <v>0</v>
      </c>
      <c r="H63" s="113">
        <f>VLOOKUP(C63,'Talente &amp; Stuff'!BI:CJ,6,FALSE)</f>
        <v>0</v>
      </c>
      <c r="I63" s="113">
        <f>VLOOKUP(C63,'Talente &amp; Stuff'!BI:CJ,7,FALSE)</f>
        <v>0</v>
      </c>
      <c r="J63" s="113">
        <f>VLOOKUP(C63,'Talente &amp; Stuff'!BI:CJ,8,FALSE)</f>
        <v>0</v>
      </c>
      <c r="K63" s="113">
        <f>VLOOKUP(C63,'Talente &amp; Stuff'!BI:CJ,9,FALSE)</f>
        <v>0</v>
      </c>
      <c r="L63" s="113">
        <f>VLOOKUP(C63,'Talente &amp; Stuff'!BI:CJ,10,FALSE)</f>
        <v>0</v>
      </c>
      <c r="M63" s="119">
        <f>VLOOKUP(C63,'Talente &amp; Stuff'!BI:CJ,11,FALSE)</f>
        <v>0</v>
      </c>
      <c r="N63" s="89">
        <f>VLOOKUP(C63,'Talente &amp; Stuff'!BI:CJ,12,FALSE)</f>
        <v>0</v>
      </c>
      <c r="O63" s="47">
        <f>VLOOKUP(C63,'Talente &amp; Stuff'!BI:CJ,13,FALSE)</f>
        <v>0</v>
      </c>
      <c r="P63" s="119">
        <f>VLOOKUP(C63,'Talente &amp; Stuff'!BI:CJ,14,FALSE)</f>
        <v>0</v>
      </c>
      <c r="Q63" s="114">
        <f>VLOOKUP(C63,'Talente &amp; Stuff'!BI:CJ,15,FALSE)</f>
        <v>0</v>
      </c>
      <c r="R63" s="113">
        <f>VLOOKUP(C63,'Talente &amp; Stuff'!BI:CJ,16,FALSE)</f>
        <v>0</v>
      </c>
      <c r="S63" s="119">
        <f>VLOOKUP(C63,'Talente &amp; Stuff'!BI:CJ,17,FALSE)</f>
        <v>0</v>
      </c>
      <c r="T63" s="160">
        <f>VLOOKUP(C63,'Talente &amp; Stuff'!BI:CJ,18,FALSE)</f>
        <v>0</v>
      </c>
      <c r="U63" s="89">
        <f>VLOOKUP(C63,'Talente &amp; Stuff'!BI:CJ,19,FALSE)</f>
        <v>0</v>
      </c>
      <c r="V63" s="47">
        <f>VLOOKUP(C63,'Talente &amp; Stuff'!BI:CJ,20,FALSE)</f>
        <v>0</v>
      </c>
      <c r="W63" s="127">
        <f>VLOOKUP(C63,'Talente &amp; Stuff'!BI:CJ,21,FALSE)</f>
        <v>0</v>
      </c>
      <c r="X63" s="125">
        <f>VLOOKUP(C63,'Talente &amp; Stuff'!BI:CJ,22,FALSE)</f>
        <v>0</v>
      </c>
      <c r="Y63" s="165">
        <f t="shared" si="8"/>
        <v>0</v>
      </c>
      <c r="Z63" s="44">
        <f t="shared" si="9"/>
        <v>0</v>
      </c>
      <c r="AA63" s="125">
        <f>VLOOKUP(C63,'Talente &amp; Stuff'!BI:CJ,25,FALSE)</f>
        <v>0</v>
      </c>
      <c r="AB63" s="160">
        <f>VLOOKUP(C63,'Talente &amp; Stuff'!BI:CJ,26,FALSE)</f>
        <v>0</v>
      </c>
      <c r="AC63" s="127">
        <f>VLOOKUP(C63,'Talente &amp; Stuff'!BI:CJ,27,FALSE)</f>
        <v>0</v>
      </c>
      <c r="AD63" s="125">
        <f>VLOOKUP(C63,'Talente &amp; Stuff'!BI:CJ,28,FALSE)</f>
        <v>0</v>
      </c>
      <c r="AE63" s="28"/>
    </row>
    <row r="64" spans="2:31" ht="15" hidden="1" customHeight="1" outlineLevel="2">
      <c r="B64" s="148">
        <v>8</v>
      </c>
      <c r="C64" s="177" t="str">
        <f>Attribute!C64</f>
        <v>---</v>
      </c>
      <c r="D64" s="127" t="str">
        <f>VLOOKUP(C64,'Talente &amp; Stuff'!BI:CJ,2,FALSE)</f>
        <v>--/--/--</v>
      </c>
      <c r="E64" s="125" t="str">
        <f>VLOOKUP(C64,'Talente &amp; Stuff'!BI:CJ,3,FALSE)</f>
        <v>-</v>
      </c>
      <c r="F64" s="114">
        <f>VLOOKUP(C64,'Talente &amp; Stuff'!BI:CJ,4,FALSE)</f>
        <v>0</v>
      </c>
      <c r="G64" s="113">
        <f>VLOOKUP(C64,'Talente &amp; Stuff'!BI:CJ,5,FALSE)</f>
        <v>0</v>
      </c>
      <c r="H64" s="113">
        <f>VLOOKUP(C64,'Talente &amp; Stuff'!BI:CJ,6,FALSE)</f>
        <v>0</v>
      </c>
      <c r="I64" s="113">
        <f>VLOOKUP(C64,'Talente &amp; Stuff'!BI:CJ,7,FALSE)</f>
        <v>0</v>
      </c>
      <c r="J64" s="113">
        <f>VLOOKUP(C64,'Talente &amp; Stuff'!BI:CJ,8,FALSE)</f>
        <v>0</v>
      </c>
      <c r="K64" s="113">
        <f>VLOOKUP(C64,'Talente &amp; Stuff'!BI:CJ,9,FALSE)</f>
        <v>0</v>
      </c>
      <c r="L64" s="113">
        <f>VLOOKUP(C64,'Talente &amp; Stuff'!BI:CJ,10,FALSE)</f>
        <v>0</v>
      </c>
      <c r="M64" s="119">
        <f>VLOOKUP(C64,'Talente &amp; Stuff'!BI:CJ,11,FALSE)</f>
        <v>0</v>
      </c>
      <c r="N64" s="89">
        <f>VLOOKUP(C64,'Talente &amp; Stuff'!BI:CJ,12,FALSE)</f>
        <v>0</v>
      </c>
      <c r="O64" s="47">
        <f>VLOOKUP(C64,'Talente &amp; Stuff'!BI:CJ,13,FALSE)</f>
        <v>0</v>
      </c>
      <c r="P64" s="119">
        <f>VLOOKUP(C64,'Talente &amp; Stuff'!BI:CJ,14,FALSE)</f>
        <v>0</v>
      </c>
      <c r="Q64" s="114">
        <f>VLOOKUP(C64,'Talente &amp; Stuff'!BI:CJ,15,FALSE)</f>
        <v>0</v>
      </c>
      <c r="R64" s="113">
        <f>VLOOKUP(C64,'Talente &amp; Stuff'!BI:CJ,16,FALSE)</f>
        <v>0</v>
      </c>
      <c r="S64" s="119">
        <f>VLOOKUP(C64,'Talente &amp; Stuff'!BI:CJ,17,FALSE)</f>
        <v>0</v>
      </c>
      <c r="T64" s="160">
        <f>VLOOKUP(C64,'Talente &amp; Stuff'!BI:CJ,18,FALSE)</f>
        <v>0</v>
      </c>
      <c r="U64" s="89">
        <f>VLOOKUP(C64,'Talente &amp; Stuff'!BI:CJ,19,FALSE)</f>
        <v>0</v>
      </c>
      <c r="V64" s="47">
        <f>VLOOKUP(C64,'Talente &amp; Stuff'!BI:CJ,20,FALSE)</f>
        <v>0</v>
      </c>
      <c r="W64" s="127">
        <f>VLOOKUP(C64,'Talente &amp; Stuff'!BI:CJ,21,FALSE)</f>
        <v>0</v>
      </c>
      <c r="X64" s="125">
        <f>VLOOKUP(C64,'Talente &amp; Stuff'!BI:CJ,22,FALSE)</f>
        <v>0</v>
      </c>
      <c r="Y64" s="165">
        <f t="shared" si="8"/>
        <v>0</v>
      </c>
      <c r="Z64" s="44">
        <f t="shared" si="9"/>
        <v>0</v>
      </c>
      <c r="AA64" s="125">
        <f>VLOOKUP(C64,'Talente &amp; Stuff'!BI:CJ,25,FALSE)</f>
        <v>0</v>
      </c>
      <c r="AB64" s="160">
        <f>VLOOKUP(C64,'Talente &amp; Stuff'!BI:CJ,26,FALSE)</f>
        <v>0</v>
      </c>
      <c r="AC64" s="127">
        <f>VLOOKUP(C64,'Talente &amp; Stuff'!BI:CJ,27,FALSE)</f>
        <v>0</v>
      </c>
      <c r="AD64" s="125">
        <f>VLOOKUP(C64,'Talente &amp; Stuff'!BI:CJ,28,FALSE)</f>
        <v>0</v>
      </c>
      <c r="AE64" s="28"/>
    </row>
    <row r="65" spans="1:31" ht="15" hidden="1" customHeight="1" outlineLevel="2">
      <c r="B65" s="148">
        <v>9</v>
      </c>
      <c r="C65" s="177" t="str">
        <f>Attribute!C65</f>
        <v>---</v>
      </c>
      <c r="D65" s="127" t="str">
        <f>VLOOKUP(C65,'Talente &amp; Stuff'!BI:CJ,2,FALSE)</f>
        <v>--/--/--</v>
      </c>
      <c r="E65" s="125" t="str">
        <f>VLOOKUP(C65,'Talente &amp; Stuff'!BI:CJ,3,FALSE)</f>
        <v>-</v>
      </c>
      <c r="F65" s="114">
        <f>VLOOKUP(C65,'Talente &amp; Stuff'!BI:CJ,4,FALSE)</f>
        <v>0</v>
      </c>
      <c r="G65" s="113">
        <f>VLOOKUP(C65,'Talente &amp; Stuff'!BI:CJ,5,FALSE)</f>
        <v>0</v>
      </c>
      <c r="H65" s="113">
        <f>VLOOKUP(C65,'Talente &amp; Stuff'!BI:CJ,6,FALSE)</f>
        <v>0</v>
      </c>
      <c r="I65" s="113">
        <f>VLOOKUP(C65,'Talente &amp; Stuff'!BI:CJ,7,FALSE)</f>
        <v>0</v>
      </c>
      <c r="J65" s="113">
        <f>VLOOKUP(C65,'Talente &amp; Stuff'!BI:CJ,8,FALSE)</f>
        <v>0</v>
      </c>
      <c r="K65" s="113">
        <f>VLOOKUP(C65,'Talente &amp; Stuff'!BI:CJ,9,FALSE)</f>
        <v>0</v>
      </c>
      <c r="L65" s="113">
        <f>VLOOKUP(C65,'Talente &amp; Stuff'!BI:CJ,10,FALSE)</f>
        <v>0</v>
      </c>
      <c r="M65" s="119">
        <f>VLOOKUP(C65,'Talente &amp; Stuff'!BI:CJ,11,FALSE)</f>
        <v>0</v>
      </c>
      <c r="N65" s="89">
        <f>VLOOKUP(C65,'Talente &amp; Stuff'!BI:CJ,12,FALSE)</f>
        <v>0</v>
      </c>
      <c r="O65" s="47">
        <f>VLOOKUP(C65,'Talente &amp; Stuff'!BI:CJ,13,FALSE)</f>
        <v>0</v>
      </c>
      <c r="P65" s="119">
        <f>VLOOKUP(C65,'Talente &amp; Stuff'!BI:CJ,14,FALSE)</f>
        <v>0</v>
      </c>
      <c r="Q65" s="114">
        <f>VLOOKUP(C65,'Talente &amp; Stuff'!BI:CJ,15,FALSE)</f>
        <v>0</v>
      </c>
      <c r="R65" s="113">
        <f>VLOOKUP(C65,'Talente &amp; Stuff'!BI:CJ,16,FALSE)</f>
        <v>0</v>
      </c>
      <c r="S65" s="119">
        <f>VLOOKUP(C65,'Talente &amp; Stuff'!BI:CJ,17,FALSE)</f>
        <v>0</v>
      </c>
      <c r="T65" s="160">
        <f>VLOOKUP(C65,'Talente &amp; Stuff'!BI:CJ,18,FALSE)</f>
        <v>0</v>
      </c>
      <c r="U65" s="89">
        <f>VLOOKUP(C65,'Talente &amp; Stuff'!BI:CJ,19,FALSE)</f>
        <v>0</v>
      </c>
      <c r="V65" s="47">
        <f>VLOOKUP(C65,'Talente &amp; Stuff'!BI:CJ,20,FALSE)</f>
        <v>0</v>
      </c>
      <c r="W65" s="127">
        <f>VLOOKUP(C65,'Talente &amp; Stuff'!BI:CJ,21,FALSE)</f>
        <v>0</v>
      </c>
      <c r="X65" s="125">
        <f>VLOOKUP(C65,'Talente &amp; Stuff'!BI:CJ,22,FALSE)</f>
        <v>0</v>
      </c>
      <c r="Y65" s="165">
        <f t="shared" si="8"/>
        <v>0</v>
      </c>
      <c r="Z65" s="44">
        <f t="shared" si="9"/>
        <v>0</v>
      </c>
      <c r="AA65" s="125">
        <f>VLOOKUP(C65,'Talente &amp; Stuff'!BI:CJ,25,FALSE)</f>
        <v>0</v>
      </c>
      <c r="AB65" s="160">
        <f>VLOOKUP(C65,'Talente &amp; Stuff'!BI:CJ,26,FALSE)</f>
        <v>0</v>
      </c>
      <c r="AC65" s="127">
        <f>VLOOKUP(C65,'Talente &amp; Stuff'!BI:CJ,27,FALSE)</f>
        <v>0</v>
      </c>
      <c r="AD65" s="125">
        <f>VLOOKUP(C65,'Talente &amp; Stuff'!BI:CJ,28,FALSE)</f>
        <v>0</v>
      </c>
      <c r="AE65" s="28"/>
    </row>
    <row r="66" spans="1:31" ht="15" hidden="1" customHeight="1" outlineLevel="2">
      <c r="B66" s="148">
        <v>10</v>
      </c>
      <c r="C66" s="177" t="str">
        <f>Attribute!C66</f>
        <v>---</v>
      </c>
      <c r="D66" s="127" t="str">
        <f>VLOOKUP(C66,'Talente &amp; Stuff'!BI:CJ,2,FALSE)</f>
        <v>--/--/--</v>
      </c>
      <c r="E66" s="125" t="str">
        <f>VLOOKUP(C66,'Talente &amp; Stuff'!BI:CJ,3,FALSE)</f>
        <v>-</v>
      </c>
      <c r="F66" s="114">
        <f>VLOOKUP(C66,'Talente &amp; Stuff'!BI:CJ,4,FALSE)</f>
        <v>0</v>
      </c>
      <c r="G66" s="113">
        <f>VLOOKUP(C66,'Talente &amp; Stuff'!BI:CJ,5,FALSE)</f>
        <v>0</v>
      </c>
      <c r="H66" s="113">
        <f>VLOOKUP(C66,'Talente &amp; Stuff'!BI:CJ,6,FALSE)</f>
        <v>0</v>
      </c>
      <c r="I66" s="113">
        <f>VLOOKUP(C66,'Talente &amp; Stuff'!BI:CJ,7,FALSE)</f>
        <v>0</v>
      </c>
      <c r="J66" s="113">
        <f>VLOOKUP(C66,'Talente &amp; Stuff'!BI:CJ,8,FALSE)</f>
        <v>0</v>
      </c>
      <c r="K66" s="113">
        <f>VLOOKUP(C66,'Talente &amp; Stuff'!BI:CJ,9,FALSE)</f>
        <v>0</v>
      </c>
      <c r="L66" s="113">
        <f>VLOOKUP(C66,'Talente &amp; Stuff'!BI:CJ,10,FALSE)</f>
        <v>0</v>
      </c>
      <c r="M66" s="119">
        <f>VLOOKUP(C66,'Talente &amp; Stuff'!BI:CJ,11,FALSE)</f>
        <v>0</v>
      </c>
      <c r="N66" s="89">
        <f>VLOOKUP(C66,'Talente &amp; Stuff'!BI:CJ,12,FALSE)</f>
        <v>0</v>
      </c>
      <c r="O66" s="47">
        <f>VLOOKUP(C66,'Talente &amp; Stuff'!BI:CJ,13,FALSE)</f>
        <v>0</v>
      </c>
      <c r="P66" s="119">
        <f>VLOOKUP(C66,'Talente &amp; Stuff'!BI:CJ,14,FALSE)</f>
        <v>0</v>
      </c>
      <c r="Q66" s="114">
        <f>VLOOKUP(C66,'Talente &amp; Stuff'!BI:CJ,15,FALSE)</f>
        <v>0</v>
      </c>
      <c r="R66" s="113">
        <f>VLOOKUP(C66,'Talente &amp; Stuff'!BI:CJ,16,FALSE)</f>
        <v>0</v>
      </c>
      <c r="S66" s="119">
        <f>VLOOKUP(C66,'Talente &amp; Stuff'!BI:CJ,17,FALSE)</f>
        <v>0</v>
      </c>
      <c r="T66" s="160">
        <f>VLOOKUP(C66,'Talente &amp; Stuff'!BI:CJ,18,FALSE)</f>
        <v>0</v>
      </c>
      <c r="U66" s="89">
        <f>VLOOKUP(C66,'Talente &amp; Stuff'!BI:CJ,19,FALSE)</f>
        <v>0</v>
      </c>
      <c r="V66" s="47">
        <f>VLOOKUP(C66,'Talente &amp; Stuff'!BI:CJ,20,FALSE)</f>
        <v>0</v>
      </c>
      <c r="W66" s="127">
        <f>VLOOKUP(C66,'Talente &amp; Stuff'!BI:CJ,21,FALSE)</f>
        <v>0</v>
      </c>
      <c r="X66" s="125">
        <f>VLOOKUP(C66,'Talente &amp; Stuff'!BI:CJ,22,FALSE)</f>
        <v>0</v>
      </c>
      <c r="Y66" s="165">
        <f t="shared" si="8"/>
        <v>0</v>
      </c>
      <c r="Z66" s="44">
        <f t="shared" si="9"/>
        <v>0</v>
      </c>
      <c r="AA66" s="125">
        <f>VLOOKUP(C66,'Talente &amp; Stuff'!BI:CJ,25,FALSE)</f>
        <v>0</v>
      </c>
      <c r="AB66" s="160">
        <f>VLOOKUP(C66,'Talente &amp; Stuff'!BI:CJ,26,FALSE)</f>
        <v>0</v>
      </c>
      <c r="AC66" s="127">
        <f>VLOOKUP(C66,'Talente &amp; Stuff'!BI:CJ,27,FALSE)</f>
        <v>0</v>
      </c>
      <c r="AD66" s="125">
        <f>VLOOKUP(C66,'Talente &amp; Stuff'!BI:CJ,28,FALSE)</f>
        <v>0</v>
      </c>
      <c r="AE66" s="28"/>
    </row>
    <row r="67" spans="1:31" ht="15" hidden="1" customHeight="1" outlineLevel="2">
      <c r="B67" s="148">
        <v>11</v>
      </c>
      <c r="C67" s="177" t="str">
        <f>Attribute!C67</f>
        <v>---</v>
      </c>
      <c r="D67" s="127" t="str">
        <f>VLOOKUP(C67,'Talente &amp; Stuff'!BI:CJ,2,FALSE)</f>
        <v>--/--/--</v>
      </c>
      <c r="E67" s="125" t="str">
        <f>VLOOKUP(C67,'Talente &amp; Stuff'!BI:CJ,3,FALSE)</f>
        <v>-</v>
      </c>
      <c r="F67" s="114">
        <f>VLOOKUP(C67,'Talente &amp; Stuff'!BI:CJ,4,FALSE)</f>
        <v>0</v>
      </c>
      <c r="G67" s="113">
        <f>VLOOKUP(C67,'Talente &amp; Stuff'!BI:CJ,5,FALSE)</f>
        <v>0</v>
      </c>
      <c r="H67" s="113">
        <f>VLOOKUP(C67,'Talente &amp; Stuff'!BI:CJ,6,FALSE)</f>
        <v>0</v>
      </c>
      <c r="I67" s="113">
        <f>VLOOKUP(C67,'Talente &amp; Stuff'!BI:CJ,7,FALSE)</f>
        <v>0</v>
      </c>
      <c r="J67" s="113">
        <f>VLOOKUP(C67,'Talente &amp; Stuff'!BI:CJ,8,FALSE)</f>
        <v>0</v>
      </c>
      <c r="K67" s="113">
        <f>VLOOKUP(C67,'Talente &amp; Stuff'!BI:CJ,9,FALSE)</f>
        <v>0</v>
      </c>
      <c r="L67" s="113">
        <f>VLOOKUP(C67,'Talente &amp; Stuff'!BI:CJ,10,FALSE)</f>
        <v>0</v>
      </c>
      <c r="M67" s="119">
        <f>VLOOKUP(C67,'Talente &amp; Stuff'!BI:CJ,11,FALSE)</f>
        <v>0</v>
      </c>
      <c r="N67" s="89">
        <f>VLOOKUP(C67,'Talente &amp; Stuff'!BI:CJ,12,FALSE)</f>
        <v>0</v>
      </c>
      <c r="O67" s="47">
        <f>VLOOKUP(C67,'Talente &amp; Stuff'!BI:CJ,13,FALSE)</f>
        <v>0</v>
      </c>
      <c r="P67" s="119">
        <f>VLOOKUP(C67,'Talente &amp; Stuff'!BI:CJ,14,FALSE)</f>
        <v>0</v>
      </c>
      <c r="Q67" s="114">
        <f>VLOOKUP(C67,'Talente &amp; Stuff'!BI:CJ,15,FALSE)</f>
        <v>0</v>
      </c>
      <c r="R67" s="113">
        <f>VLOOKUP(C67,'Talente &amp; Stuff'!BI:CJ,16,FALSE)</f>
        <v>0</v>
      </c>
      <c r="S67" s="119">
        <f>VLOOKUP(C67,'Talente &amp; Stuff'!BI:CJ,17,FALSE)</f>
        <v>0</v>
      </c>
      <c r="T67" s="160">
        <f>VLOOKUP(C67,'Talente &amp; Stuff'!BI:CJ,18,FALSE)</f>
        <v>0</v>
      </c>
      <c r="U67" s="89">
        <f>VLOOKUP(C67,'Talente &amp; Stuff'!BI:CJ,19,FALSE)</f>
        <v>0</v>
      </c>
      <c r="V67" s="47">
        <f>VLOOKUP(C67,'Talente &amp; Stuff'!BI:CJ,20,FALSE)</f>
        <v>0</v>
      </c>
      <c r="W67" s="127">
        <f>VLOOKUP(C67,'Talente &amp; Stuff'!BI:CJ,21,FALSE)</f>
        <v>0</v>
      </c>
      <c r="X67" s="125">
        <f>VLOOKUP(C67,'Talente &amp; Stuff'!BI:CJ,22,FALSE)</f>
        <v>0</v>
      </c>
      <c r="Y67" s="165">
        <f t="shared" si="8"/>
        <v>0</v>
      </c>
      <c r="Z67" s="44">
        <f t="shared" si="9"/>
        <v>0</v>
      </c>
      <c r="AA67" s="125">
        <f>VLOOKUP(C67,'Talente &amp; Stuff'!BI:CJ,25,FALSE)</f>
        <v>0</v>
      </c>
      <c r="AB67" s="160">
        <f>VLOOKUP(C67,'Talente &amp; Stuff'!BI:CJ,26,FALSE)</f>
        <v>0</v>
      </c>
      <c r="AC67" s="127">
        <f>VLOOKUP(C67,'Talente &amp; Stuff'!BI:CJ,27,FALSE)</f>
        <v>0</v>
      </c>
      <c r="AD67" s="125">
        <f>VLOOKUP(C67,'Talente &amp; Stuff'!BI:CJ,28,FALSE)</f>
        <v>0</v>
      </c>
      <c r="AE67" s="28"/>
    </row>
    <row r="68" spans="1:31" ht="15" hidden="1" customHeight="1" outlineLevel="2">
      <c r="B68" s="148">
        <v>12</v>
      </c>
      <c r="C68" s="177" t="str">
        <f>Attribute!C68</f>
        <v>---</v>
      </c>
      <c r="D68" s="127" t="str">
        <f>VLOOKUP(C68,'Talente &amp; Stuff'!BI:CJ,2,FALSE)</f>
        <v>--/--/--</v>
      </c>
      <c r="E68" s="125" t="str">
        <f>VLOOKUP(C68,'Talente &amp; Stuff'!BI:CJ,3,FALSE)</f>
        <v>-</v>
      </c>
      <c r="F68" s="114">
        <f>VLOOKUP(C68,'Talente &amp; Stuff'!BI:CJ,4,FALSE)</f>
        <v>0</v>
      </c>
      <c r="G68" s="113">
        <f>VLOOKUP(C68,'Talente &amp; Stuff'!BI:CJ,5,FALSE)</f>
        <v>0</v>
      </c>
      <c r="H68" s="113">
        <f>VLOOKUP(C68,'Talente &amp; Stuff'!BI:CJ,6,FALSE)</f>
        <v>0</v>
      </c>
      <c r="I68" s="113">
        <f>VLOOKUP(C68,'Talente &amp; Stuff'!BI:CJ,7,FALSE)</f>
        <v>0</v>
      </c>
      <c r="J68" s="113">
        <f>VLOOKUP(C68,'Talente &amp; Stuff'!BI:CJ,8,FALSE)</f>
        <v>0</v>
      </c>
      <c r="K68" s="113">
        <f>VLOOKUP(C68,'Talente &amp; Stuff'!BI:CJ,9,FALSE)</f>
        <v>0</v>
      </c>
      <c r="L68" s="113">
        <f>VLOOKUP(C68,'Talente &amp; Stuff'!BI:CJ,10,FALSE)</f>
        <v>0</v>
      </c>
      <c r="M68" s="119">
        <f>VLOOKUP(C68,'Talente &amp; Stuff'!BI:CJ,11,FALSE)</f>
        <v>0</v>
      </c>
      <c r="N68" s="89">
        <f>VLOOKUP(C68,'Talente &amp; Stuff'!BI:CJ,12,FALSE)</f>
        <v>0</v>
      </c>
      <c r="O68" s="47">
        <f>VLOOKUP(C68,'Talente &amp; Stuff'!BI:CJ,13,FALSE)</f>
        <v>0</v>
      </c>
      <c r="P68" s="119">
        <f>VLOOKUP(C68,'Talente &amp; Stuff'!BI:CJ,14,FALSE)</f>
        <v>0</v>
      </c>
      <c r="Q68" s="114">
        <f>VLOOKUP(C68,'Talente &amp; Stuff'!BI:CJ,15,FALSE)</f>
        <v>0</v>
      </c>
      <c r="R68" s="113">
        <f>VLOOKUP(C68,'Talente &amp; Stuff'!BI:CJ,16,FALSE)</f>
        <v>0</v>
      </c>
      <c r="S68" s="119">
        <f>VLOOKUP(C68,'Talente &amp; Stuff'!BI:CJ,17,FALSE)</f>
        <v>0</v>
      </c>
      <c r="T68" s="160">
        <f>VLOOKUP(C68,'Talente &amp; Stuff'!BI:CJ,18,FALSE)</f>
        <v>0</v>
      </c>
      <c r="U68" s="89">
        <f>VLOOKUP(C68,'Talente &amp; Stuff'!BI:CJ,19,FALSE)</f>
        <v>0</v>
      </c>
      <c r="V68" s="47">
        <f>VLOOKUP(C68,'Talente &amp; Stuff'!BI:CJ,20,FALSE)</f>
        <v>0</v>
      </c>
      <c r="W68" s="127">
        <f>VLOOKUP(C68,'Talente &amp; Stuff'!BI:CJ,21,FALSE)</f>
        <v>0</v>
      </c>
      <c r="X68" s="125">
        <f>VLOOKUP(C68,'Talente &amp; Stuff'!BI:CJ,22,FALSE)</f>
        <v>0</v>
      </c>
      <c r="Y68" s="165">
        <f t="shared" si="8"/>
        <v>0</v>
      </c>
      <c r="Z68" s="44">
        <f t="shared" si="9"/>
        <v>0</v>
      </c>
      <c r="AA68" s="125">
        <f>VLOOKUP(C68,'Talente &amp; Stuff'!BI:CJ,25,FALSE)</f>
        <v>0</v>
      </c>
      <c r="AB68" s="160">
        <f>VLOOKUP(C68,'Talente &amp; Stuff'!BI:CJ,26,FALSE)</f>
        <v>0</v>
      </c>
      <c r="AC68" s="127">
        <f>VLOOKUP(C68,'Talente &amp; Stuff'!BI:CJ,27,FALSE)</f>
        <v>0</v>
      </c>
      <c r="AD68" s="125">
        <f>VLOOKUP(C68,'Talente &amp; Stuff'!BI:CJ,28,FALSE)</f>
        <v>0</v>
      </c>
      <c r="AE68" s="28"/>
    </row>
    <row r="69" spans="1:31" ht="15" hidden="1" customHeight="1" outlineLevel="2">
      <c r="B69" s="148">
        <v>13</v>
      </c>
      <c r="C69" s="177" t="str">
        <f>Attribute!C69</f>
        <v>---</v>
      </c>
      <c r="D69" s="127" t="str">
        <f>VLOOKUP(C69,'Talente &amp; Stuff'!BI:CJ,2,FALSE)</f>
        <v>--/--/--</v>
      </c>
      <c r="E69" s="125" t="str">
        <f>VLOOKUP(C69,'Talente &amp; Stuff'!BI:CJ,3,FALSE)</f>
        <v>-</v>
      </c>
      <c r="F69" s="114">
        <f>VLOOKUP(C69,'Talente &amp; Stuff'!BI:CJ,4,FALSE)</f>
        <v>0</v>
      </c>
      <c r="G69" s="113">
        <f>VLOOKUP(C69,'Talente &amp; Stuff'!BI:CJ,5,FALSE)</f>
        <v>0</v>
      </c>
      <c r="H69" s="113">
        <f>VLOOKUP(C69,'Talente &amp; Stuff'!BI:CJ,6,FALSE)</f>
        <v>0</v>
      </c>
      <c r="I69" s="113">
        <f>VLOOKUP(C69,'Talente &amp; Stuff'!BI:CJ,7,FALSE)</f>
        <v>0</v>
      </c>
      <c r="J69" s="113">
        <f>VLOOKUP(C69,'Talente &amp; Stuff'!BI:CJ,8,FALSE)</f>
        <v>0</v>
      </c>
      <c r="K69" s="113">
        <f>VLOOKUP(C69,'Talente &amp; Stuff'!BI:CJ,9,FALSE)</f>
        <v>0</v>
      </c>
      <c r="L69" s="113">
        <f>VLOOKUP(C69,'Talente &amp; Stuff'!BI:CJ,10,FALSE)</f>
        <v>0</v>
      </c>
      <c r="M69" s="119">
        <f>VLOOKUP(C69,'Talente &amp; Stuff'!BI:CJ,11,FALSE)</f>
        <v>0</v>
      </c>
      <c r="N69" s="89">
        <f>VLOOKUP(C69,'Talente &amp; Stuff'!BI:CJ,12,FALSE)</f>
        <v>0</v>
      </c>
      <c r="O69" s="47">
        <f>VLOOKUP(C69,'Talente &amp; Stuff'!BI:CJ,13,FALSE)</f>
        <v>0</v>
      </c>
      <c r="P69" s="119">
        <f>VLOOKUP(C69,'Talente &amp; Stuff'!BI:CJ,14,FALSE)</f>
        <v>0</v>
      </c>
      <c r="Q69" s="114">
        <f>VLOOKUP(C69,'Talente &amp; Stuff'!BI:CJ,15,FALSE)</f>
        <v>0</v>
      </c>
      <c r="R69" s="113">
        <f>VLOOKUP(C69,'Talente &amp; Stuff'!BI:CJ,16,FALSE)</f>
        <v>0</v>
      </c>
      <c r="S69" s="119">
        <f>VLOOKUP(C69,'Talente &amp; Stuff'!BI:CJ,17,FALSE)</f>
        <v>0</v>
      </c>
      <c r="T69" s="160">
        <f>VLOOKUP(C69,'Talente &amp; Stuff'!BI:CJ,18,FALSE)</f>
        <v>0</v>
      </c>
      <c r="U69" s="89">
        <f>VLOOKUP(C69,'Talente &amp; Stuff'!BI:CJ,19,FALSE)</f>
        <v>0</v>
      </c>
      <c r="V69" s="47">
        <f>VLOOKUP(C69,'Talente &amp; Stuff'!BI:CJ,20,FALSE)</f>
        <v>0</v>
      </c>
      <c r="W69" s="127">
        <f>VLOOKUP(C69,'Talente &amp; Stuff'!BI:CJ,21,FALSE)</f>
        <v>0</v>
      </c>
      <c r="X69" s="125">
        <f>VLOOKUP(C69,'Talente &amp; Stuff'!BI:CJ,22,FALSE)</f>
        <v>0</v>
      </c>
      <c r="Y69" s="165">
        <f t="shared" si="8"/>
        <v>0</v>
      </c>
      <c r="Z69" s="44">
        <f t="shared" si="9"/>
        <v>0</v>
      </c>
      <c r="AA69" s="125">
        <f>VLOOKUP(C69,'Talente &amp; Stuff'!BI:CJ,25,FALSE)</f>
        <v>0</v>
      </c>
      <c r="AB69" s="160">
        <f>VLOOKUP(C69,'Talente &amp; Stuff'!BI:CJ,26,FALSE)</f>
        <v>0</v>
      </c>
      <c r="AC69" s="127">
        <f>VLOOKUP(C69,'Talente &amp; Stuff'!BI:CJ,27,FALSE)</f>
        <v>0</v>
      </c>
      <c r="AD69" s="125">
        <f>VLOOKUP(C69,'Talente &amp; Stuff'!BI:CJ,28,FALSE)</f>
        <v>0</v>
      </c>
      <c r="AE69" s="28"/>
    </row>
    <row r="70" spans="1:31" ht="15" hidden="1" customHeight="1" outlineLevel="2">
      <c r="B70" s="148">
        <v>14</v>
      </c>
      <c r="C70" s="177" t="str">
        <f>Attribute!C70</f>
        <v>---</v>
      </c>
      <c r="D70" s="127" t="str">
        <f>VLOOKUP(C70,'Talente &amp; Stuff'!BI:CJ,2,FALSE)</f>
        <v>--/--/--</v>
      </c>
      <c r="E70" s="125" t="str">
        <f>VLOOKUP(C70,'Talente &amp; Stuff'!BI:CJ,3,FALSE)</f>
        <v>-</v>
      </c>
      <c r="F70" s="114">
        <f>VLOOKUP(C70,'Talente &amp; Stuff'!BI:CJ,4,FALSE)</f>
        <v>0</v>
      </c>
      <c r="G70" s="113">
        <f>VLOOKUP(C70,'Talente &amp; Stuff'!BI:CJ,5,FALSE)</f>
        <v>0</v>
      </c>
      <c r="H70" s="113">
        <f>VLOOKUP(C70,'Talente &amp; Stuff'!BI:CJ,6,FALSE)</f>
        <v>0</v>
      </c>
      <c r="I70" s="113">
        <f>VLOOKUP(C70,'Talente &amp; Stuff'!BI:CJ,7,FALSE)</f>
        <v>0</v>
      </c>
      <c r="J70" s="113">
        <f>VLOOKUP(C70,'Talente &amp; Stuff'!BI:CJ,8,FALSE)</f>
        <v>0</v>
      </c>
      <c r="K70" s="113">
        <f>VLOOKUP(C70,'Talente &amp; Stuff'!BI:CJ,9,FALSE)</f>
        <v>0</v>
      </c>
      <c r="L70" s="113">
        <f>VLOOKUP(C70,'Talente &amp; Stuff'!BI:CJ,10,FALSE)</f>
        <v>0</v>
      </c>
      <c r="M70" s="119">
        <f>VLOOKUP(C70,'Talente &amp; Stuff'!BI:CJ,11,FALSE)</f>
        <v>0</v>
      </c>
      <c r="N70" s="89">
        <f>VLOOKUP(C70,'Talente &amp; Stuff'!BI:CJ,12,FALSE)</f>
        <v>0</v>
      </c>
      <c r="O70" s="47">
        <f>VLOOKUP(C70,'Talente &amp; Stuff'!BI:CJ,13,FALSE)</f>
        <v>0</v>
      </c>
      <c r="P70" s="119">
        <f>VLOOKUP(C70,'Talente &amp; Stuff'!BI:CJ,14,FALSE)</f>
        <v>0</v>
      </c>
      <c r="Q70" s="114">
        <f>VLOOKUP(C70,'Talente &amp; Stuff'!BI:CJ,15,FALSE)</f>
        <v>0</v>
      </c>
      <c r="R70" s="113">
        <f>VLOOKUP(C70,'Talente &amp; Stuff'!BI:CJ,16,FALSE)</f>
        <v>0</v>
      </c>
      <c r="S70" s="119">
        <f>VLOOKUP(C70,'Talente &amp; Stuff'!BI:CJ,17,FALSE)</f>
        <v>0</v>
      </c>
      <c r="T70" s="160">
        <f>VLOOKUP(C70,'Talente &amp; Stuff'!BI:CJ,18,FALSE)</f>
        <v>0</v>
      </c>
      <c r="U70" s="89">
        <f>VLOOKUP(C70,'Talente &amp; Stuff'!BI:CJ,19,FALSE)</f>
        <v>0</v>
      </c>
      <c r="V70" s="47">
        <f>VLOOKUP(C70,'Talente &amp; Stuff'!BI:CJ,20,FALSE)</f>
        <v>0</v>
      </c>
      <c r="W70" s="127">
        <f>VLOOKUP(C70,'Talente &amp; Stuff'!BI:CJ,21,FALSE)</f>
        <v>0</v>
      </c>
      <c r="X70" s="125">
        <f>VLOOKUP(C70,'Talente &amp; Stuff'!BI:CJ,22,FALSE)</f>
        <v>0</v>
      </c>
      <c r="Y70" s="165">
        <f t="shared" si="8"/>
        <v>0</v>
      </c>
      <c r="Z70" s="44">
        <f t="shared" si="9"/>
        <v>0</v>
      </c>
      <c r="AA70" s="125">
        <f>VLOOKUP(C70,'Talente &amp; Stuff'!BI:CJ,25,FALSE)</f>
        <v>0</v>
      </c>
      <c r="AB70" s="160">
        <f>VLOOKUP(C70,'Talente &amp; Stuff'!BI:CJ,26,FALSE)</f>
        <v>0</v>
      </c>
      <c r="AC70" s="127">
        <f>VLOOKUP(C70,'Talente &amp; Stuff'!BI:CJ,27,FALSE)</f>
        <v>0</v>
      </c>
      <c r="AD70" s="125">
        <f>VLOOKUP(C70,'Talente &amp; Stuff'!BI:CJ,28,FALSE)</f>
        <v>0</v>
      </c>
      <c r="AE70" s="28"/>
    </row>
    <row r="71" spans="1:31" ht="15" hidden="1" customHeight="1" outlineLevel="2">
      <c r="B71" s="148">
        <v>15</v>
      </c>
      <c r="C71" s="177" t="str">
        <f>Attribute!C71</f>
        <v>---</v>
      </c>
      <c r="D71" s="127" t="str">
        <f>VLOOKUP(C71,'Talente &amp; Stuff'!BI:CJ,2,FALSE)</f>
        <v>--/--/--</v>
      </c>
      <c r="E71" s="125" t="str">
        <f>VLOOKUP(C71,'Talente &amp; Stuff'!BI:CJ,3,FALSE)</f>
        <v>-</v>
      </c>
      <c r="F71" s="114">
        <f>VLOOKUP(C71,'Talente &amp; Stuff'!BI:CJ,4,FALSE)</f>
        <v>0</v>
      </c>
      <c r="G71" s="113">
        <f>VLOOKUP(C71,'Talente &amp; Stuff'!BI:CJ,5,FALSE)</f>
        <v>0</v>
      </c>
      <c r="H71" s="113">
        <f>VLOOKUP(C71,'Talente &amp; Stuff'!BI:CJ,6,FALSE)</f>
        <v>0</v>
      </c>
      <c r="I71" s="113">
        <f>VLOOKUP(C71,'Talente &amp; Stuff'!BI:CJ,7,FALSE)</f>
        <v>0</v>
      </c>
      <c r="J71" s="113">
        <f>VLOOKUP(C71,'Talente &amp; Stuff'!BI:CJ,8,FALSE)</f>
        <v>0</v>
      </c>
      <c r="K71" s="113">
        <f>VLOOKUP(C71,'Talente &amp; Stuff'!BI:CJ,9,FALSE)</f>
        <v>0</v>
      </c>
      <c r="L71" s="113">
        <f>VLOOKUP(C71,'Talente &amp; Stuff'!BI:CJ,10,FALSE)</f>
        <v>0</v>
      </c>
      <c r="M71" s="119">
        <f>VLOOKUP(C71,'Talente &amp; Stuff'!BI:CJ,11,FALSE)</f>
        <v>0</v>
      </c>
      <c r="N71" s="89">
        <f>VLOOKUP(C71,'Talente &amp; Stuff'!BI:CJ,12,FALSE)</f>
        <v>0</v>
      </c>
      <c r="O71" s="47">
        <f>VLOOKUP(C71,'Talente &amp; Stuff'!BI:CJ,13,FALSE)</f>
        <v>0</v>
      </c>
      <c r="P71" s="119">
        <f>VLOOKUP(C71,'Talente &amp; Stuff'!BI:CJ,14,FALSE)</f>
        <v>0</v>
      </c>
      <c r="Q71" s="114">
        <f>VLOOKUP(C71,'Talente &amp; Stuff'!BI:CJ,15,FALSE)</f>
        <v>0</v>
      </c>
      <c r="R71" s="113">
        <f>VLOOKUP(C71,'Talente &amp; Stuff'!BI:CJ,16,FALSE)</f>
        <v>0</v>
      </c>
      <c r="S71" s="119">
        <f>VLOOKUP(C71,'Talente &amp; Stuff'!BI:CJ,17,FALSE)</f>
        <v>0</v>
      </c>
      <c r="T71" s="160">
        <f>VLOOKUP(C71,'Talente &amp; Stuff'!BI:CJ,18,FALSE)</f>
        <v>0</v>
      </c>
      <c r="U71" s="89">
        <f>VLOOKUP(C71,'Talente &amp; Stuff'!BI:CJ,19,FALSE)</f>
        <v>0</v>
      </c>
      <c r="V71" s="47">
        <f>VLOOKUP(C71,'Talente &amp; Stuff'!BI:CJ,20,FALSE)</f>
        <v>0</v>
      </c>
      <c r="W71" s="127">
        <f>VLOOKUP(C71,'Talente &amp; Stuff'!BI:CJ,21,FALSE)</f>
        <v>0</v>
      </c>
      <c r="X71" s="125">
        <f>VLOOKUP(C71,'Talente &amp; Stuff'!BI:CJ,22,FALSE)</f>
        <v>0</v>
      </c>
      <c r="Y71" s="165">
        <f t="shared" si="8"/>
        <v>0</v>
      </c>
      <c r="Z71" s="44">
        <f t="shared" si="9"/>
        <v>0</v>
      </c>
      <c r="AA71" s="125">
        <f>VLOOKUP(C71,'Talente &amp; Stuff'!BI:CJ,25,FALSE)</f>
        <v>0</v>
      </c>
      <c r="AB71" s="160">
        <f>VLOOKUP(C71,'Talente &amp; Stuff'!BI:CJ,26,FALSE)</f>
        <v>0</v>
      </c>
      <c r="AC71" s="127">
        <f>VLOOKUP(C71,'Talente &amp; Stuff'!BI:CJ,27,FALSE)</f>
        <v>0</v>
      </c>
      <c r="AD71" s="125">
        <f>VLOOKUP(C71,'Talente &amp; Stuff'!BI:CJ,28,FALSE)</f>
        <v>0</v>
      </c>
      <c r="AE71" s="28"/>
    </row>
    <row r="72" spans="1:31" ht="15" hidden="1" customHeight="1" outlineLevel="2">
      <c r="B72" s="148">
        <v>16</v>
      </c>
      <c r="C72" s="177" t="str">
        <f>Attribute!C72</f>
        <v>---</v>
      </c>
      <c r="D72" s="127" t="str">
        <f>VLOOKUP(C72,'Talente &amp; Stuff'!BI:CJ,2,FALSE)</f>
        <v>--/--/--</v>
      </c>
      <c r="E72" s="125" t="str">
        <f>VLOOKUP(C72,'Talente &amp; Stuff'!BI:CJ,3,FALSE)</f>
        <v>-</v>
      </c>
      <c r="F72" s="114">
        <f>VLOOKUP(C72,'Talente &amp; Stuff'!BI:CJ,4,FALSE)</f>
        <v>0</v>
      </c>
      <c r="G72" s="113">
        <f>VLOOKUP(C72,'Talente &amp; Stuff'!BI:CJ,5,FALSE)</f>
        <v>0</v>
      </c>
      <c r="H72" s="113">
        <f>VLOOKUP(C72,'Talente &amp; Stuff'!BI:CJ,6,FALSE)</f>
        <v>0</v>
      </c>
      <c r="I72" s="113">
        <f>VLOOKUP(C72,'Talente &amp; Stuff'!BI:CJ,7,FALSE)</f>
        <v>0</v>
      </c>
      <c r="J72" s="113">
        <f>VLOOKUP(C72,'Talente &amp; Stuff'!BI:CJ,8,FALSE)</f>
        <v>0</v>
      </c>
      <c r="K72" s="113">
        <f>VLOOKUP(C72,'Talente &amp; Stuff'!BI:CJ,9,FALSE)</f>
        <v>0</v>
      </c>
      <c r="L72" s="113">
        <f>VLOOKUP(C72,'Talente &amp; Stuff'!BI:CJ,10,FALSE)</f>
        <v>0</v>
      </c>
      <c r="M72" s="119">
        <f>VLOOKUP(C72,'Talente &amp; Stuff'!BI:CJ,11,FALSE)</f>
        <v>0</v>
      </c>
      <c r="N72" s="89">
        <f>VLOOKUP(C72,'Talente &amp; Stuff'!BI:CJ,12,FALSE)</f>
        <v>0</v>
      </c>
      <c r="O72" s="47">
        <f>VLOOKUP(C72,'Talente &amp; Stuff'!BI:CJ,13,FALSE)</f>
        <v>0</v>
      </c>
      <c r="P72" s="119">
        <f>VLOOKUP(C72,'Talente &amp; Stuff'!BI:CJ,14,FALSE)</f>
        <v>0</v>
      </c>
      <c r="Q72" s="114">
        <f>VLOOKUP(C72,'Talente &amp; Stuff'!BI:CJ,15,FALSE)</f>
        <v>0</v>
      </c>
      <c r="R72" s="113">
        <f>VLOOKUP(C72,'Talente &amp; Stuff'!BI:CJ,16,FALSE)</f>
        <v>0</v>
      </c>
      <c r="S72" s="119">
        <f>VLOOKUP(C72,'Talente &amp; Stuff'!BI:CJ,17,FALSE)</f>
        <v>0</v>
      </c>
      <c r="T72" s="160">
        <f>VLOOKUP(C72,'Talente &amp; Stuff'!BI:CJ,18,FALSE)</f>
        <v>0</v>
      </c>
      <c r="U72" s="89">
        <f>VLOOKUP(C72,'Talente &amp; Stuff'!BI:CJ,19,FALSE)</f>
        <v>0</v>
      </c>
      <c r="V72" s="47">
        <f>VLOOKUP(C72,'Talente &amp; Stuff'!BI:CJ,20,FALSE)</f>
        <v>0</v>
      </c>
      <c r="W72" s="127">
        <f>VLOOKUP(C72,'Talente &amp; Stuff'!BI:CJ,21,FALSE)</f>
        <v>0</v>
      </c>
      <c r="X72" s="125">
        <f>VLOOKUP(C72,'Talente &amp; Stuff'!BI:CJ,22,FALSE)</f>
        <v>0</v>
      </c>
      <c r="Y72" s="165">
        <f t="shared" si="8"/>
        <v>0</v>
      </c>
      <c r="Z72" s="44">
        <f t="shared" si="9"/>
        <v>0</v>
      </c>
      <c r="AA72" s="125">
        <f>VLOOKUP(C72,'Talente &amp; Stuff'!BI:CJ,25,FALSE)</f>
        <v>0</v>
      </c>
      <c r="AB72" s="160">
        <f>VLOOKUP(C72,'Talente &amp; Stuff'!BI:CJ,26,FALSE)</f>
        <v>0</v>
      </c>
      <c r="AC72" s="127">
        <f>VLOOKUP(C72,'Talente &amp; Stuff'!BI:CJ,27,FALSE)</f>
        <v>0</v>
      </c>
      <c r="AD72" s="125">
        <f>VLOOKUP(C72,'Talente &amp; Stuff'!BI:CJ,28,FALSE)</f>
        <v>0</v>
      </c>
      <c r="AE72" s="28"/>
    </row>
    <row r="73" spans="1:31" ht="15" hidden="1" customHeight="1" outlineLevel="2">
      <c r="B73" s="148">
        <v>17</v>
      </c>
      <c r="C73" s="178" t="str">
        <f>Attribute!C73</f>
        <v>---</v>
      </c>
      <c r="D73" s="128" t="str">
        <f>VLOOKUP(C73,'Talente &amp; Stuff'!BI:CJ,2,FALSE)</f>
        <v>--/--/--</v>
      </c>
      <c r="E73" s="159" t="str">
        <f>VLOOKUP(C73,'Talente &amp; Stuff'!BI:CJ,3,FALSE)</f>
        <v>-</v>
      </c>
      <c r="F73" s="115">
        <f>VLOOKUP(C73,'Talente &amp; Stuff'!BI:CJ,4,FALSE)</f>
        <v>0</v>
      </c>
      <c r="G73" s="122">
        <f>VLOOKUP(C73,'Talente &amp; Stuff'!BI:CJ,5,FALSE)</f>
        <v>0</v>
      </c>
      <c r="H73" s="122">
        <f>VLOOKUP(C73,'Talente &amp; Stuff'!BI:CJ,6,FALSE)</f>
        <v>0</v>
      </c>
      <c r="I73" s="122">
        <f>VLOOKUP(C73,'Talente &amp; Stuff'!BI:CJ,7,FALSE)</f>
        <v>0</v>
      </c>
      <c r="J73" s="122">
        <f>VLOOKUP(C73,'Talente &amp; Stuff'!BI:CJ,8,FALSE)</f>
        <v>0</v>
      </c>
      <c r="K73" s="122">
        <f>VLOOKUP(C73,'Talente &amp; Stuff'!BI:CJ,9,FALSE)</f>
        <v>0</v>
      </c>
      <c r="L73" s="122">
        <f>VLOOKUP(C73,'Talente &amp; Stuff'!BI:CJ,10,FALSE)</f>
        <v>0</v>
      </c>
      <c r="M73" s="123">
        <f>VLOOKUP(C73,'Talente &amp; Stuff'!BI:CJ,11,FALSE)</f>
        <v>0</v>
      </c>
      <c r="N73" s="90">
        <f>VLOOKUP(C73,'Talente &amp; Stuff'!BI:CJ,12,FALSE)</f>
        <v>0</v>
      </c>
      <c r="O73" s="88">
        <f>VLOOKUP(C73,'Talente &amp; Stuff'!BI:CJ,13,FALSE)</f>
        <v>0</v>
      </c>
      <c r="P73" s="123">
        <f>VLOOKUP(C73,'Talente &amp; Stuff'!BI:CJ,14,FALSE)</f>
        <v>0</v>
      </c>
      <c r="Q73" s="115">
        <f>VLOOKUP(C73,'Talente &amp; Stuff'!BI:CJ,15,FALSE)</f>
        <v>0</v>
      </c>
      <c r="R73" s="122">
        <f>VLOOKUP(C73,'Talente &amp; Stuff'!BI:CJ,16,FALSE)</f>
        <v>0</v>
      </c>
      <c r="S73" s="123">
        <f>VLOOKUP(C73,'Talente &amp; Stuff'!BI:CJ,17,FALSE)</f>
        <v>0</v>
      </c>
      <c r="T73" s="161">
        <f>VLOOKUP(C73,'Talente &amp; Stuff'!BI:CJ,18,FALSE)</f>
        <v>0</v>
      </c>
      <c r="U73" s="90">
        <f>VLOOKUP(C73,'Talente &amp; Stuff'!BI:CJ,19,FALSE)</f>
        <v>0</v>
      </c>
      <c r="V73" s="88">
        <f>VLOOKUP(C73,'Talente &amp; Stuff'!BI:CJ,20,FALSE)</f>
        <v>0</v>
      </c>
      <c r="W73" s="128">
        <f>VLOOKUP(C73,'Talente &amp; Stuff'!BI:CJ,21,FALSE)</f>
        <v>0</v>
      </c>
      <c r="X73" s="159">
        <f>VLOOKUP(C73,'Talente &amp; Stuff'!BI:CJ,22,FALSE)</f>
        <v>0</v>
      </c>
      <c r="Y73" s="165">
        <f t="shared" si="8"/>
        <v>0</v>
      </c>
      <c r="Z73" s="44">
        <f t="shared" si="9"/>
        <v>0</v>
      </c>
      <c r="AA73" s="159">
        <f>VLOOKUP(C73,'Talente &amp; Stuff'!BI:CJ,25,FALSE)</f>
        <v>0</v>
      </c>
      <c r="AB73" s="161">
        <f>VLOOKUP(C73,'Talente &amp; Stuff'!BI:CJ,26,FALSE)</f>
        <v>0</v>
      </c>
      <c r="AC73" s="128">
        <f>VLOOKUP(C73,'Talente &amp; Stuff'!BI:CJ,27,FALSE)</f>
        <v>0</v>
      </c>
      <c r="AD73" s="159">
        <f>VLOOKUP(C73,'Talente &amp; Stuff'!BI:CJ,28,FALSE)</f>
        <v>0</v>
      </c>
      <c r="AE73" s="28"/>
    </row>
    <row r="74" spans="1:31" ht="15" hidden="1" customHeight="1" outlineLevel="1" collapsed="1"/>
    <row r="75" spans="1:31" ht="15.75" collapsed="1" thickBot="1"/>
    <row r="76" spans="1:31" ht="15.75" thickBot="1">
      <c r="A76" s="135" t="s">
        <v>332</v>
      </c>
    </row>
    <row r="77" spans="1:31" ht="15" hidden="1" customHeight="1" outlineLevel="1">
      <c r="B77" s="134" t="s">
        <v>327</v>
      </c>
      <c r="C77" s="142"/>
    </row>
    <row r="78" spans="1:31" ht="15" hidden="1" customHeight="1" outlineLevel="2">
      <c r="B78" s="148">
        <v>1</v>
      </c>
      <c r="C78" s="176" t="str">
        <f>Attribute!C78</f>
        <v>---</v>
      </c>
      <c r="D78" s="158" t="str">
        <f>VLOOKUP(C78,'Talente &amp; Stuff'!BI:CJ,2,FALSE)</f>
        <v>--/--/--</v>
      </c>
      <c r="E78" s="126" t="str">
        <f>VLOOKUP(C78,'Talente &amp; Stuff'!BI:CJ,3,FALSE)</f>
        <v>-</v>
      </c>
      <c r="F78" s="191">
        <f>VLOOKUP(C78,'Talente &amp; Stuff'!BI:CJ,4,FALSE)</f>
        <v>0</v>
      </c>
      <c r="G78" s="118">
        <f>VLOOKUP(C78,'Talente &amp; Stuff'!BI:CJ,5,FALSE)</f>
        <v>0</v>
      </c>
      <c r="H78" s="118">
        <f>VLOOKUP(C78,'Talente &amp; Stuff'!BI:CJ,6,FALSE)</f>
        <v>0</v>
      </c>
      <c r="I78" s="118">
        <f>VLOOKUP(C78,'Talente &amp; Stuff'!BI:CJ,7,FALSE)</f>
        <v>0</v>
      </c>
      <c r="J78" s="118">
        <f>VLOOKUP(C78,'Talente &amp; Stuff'!BI:CJ,8,FALSE)</f>
        <v>0</v>
      </c>
      <c r="K78" s="118">
        <f>VLOOKUP(C78,'Talente &amp; Stuff'!BI:CJ,9,FALSE)</f>
        <v>0</v>
      </c>
      <c r="L78" s="118">
        <f>VLOOKUP(C78,'Talente &amp; Stuff'!BI:CJ,10,FALSE)</f>
        <v>0</v>
      </c>
      <c r="M78" s="92">
        <f>VLOOKUP(C78,'Talente &amp; Stuff'!BI:CJ,11,FALSE)</f>
        <v>0</v>
      </c>
      <c r="N78" s="116">
        <f>VLOOKUP(C78,'Talente &amp; Stuff'!BI:CJ,12,FALSE)</f>
        <v>0</v>
      </c>
      <c r="O78" s="116">
        <f>VLOOKUP(C78,'Talente &amp; Stuff'!BI:CJ,13,FALSE)</f>
        <v>0</v>
      </c>
      <c r="P78" s="92">
        <f>VLOOKUP(C78,'Talente &amp; Stuff'!BI:CJ,14,FALSE)</f>
        <v>0</v>
      </c>
      <c r="Q78" s="191">
        <f>VLOOKUP(C78,'Talente &amp; Stuff'!BI:CJ,15,FALSE)</f>
        <v>0</v>
      </c>
      <c r="R78" s="118">
        <f>VLOOKUP(C78,'Talente &amp; Stuff'!BI:CJ,16,FALSE)</f>
        <v>0</v>
      </c>
      <c r="S78" s="92">
        <f>VLOOKUP(C78,'Talente &amp; Stuff'!BI:CJ,17,FALSE)</f>
        <v>0</v>
      </c>
      <c r="T78" s="92">
        <f>VLOOKUP(C78,'Talente &amp; Stuff'!BI:CJ,18,FALSE)</f>
        <v>0</v>
      </c>
      <c r="U78" s="193">
        <f>VLOOKUP(C78,'Talente &amp; Stuff'!BI:CJ,19,FALSE)</f>
        <v>0</v>
      </c>
      <c r="V78" s="116">
        <f>VLOOKUP(C78,'Talente &amp; Stuff'!BI:CJ,20,FALSE)</f>
        <v>0</v>
      </c>
      <c r="W78" s="126">
        <f>VLOOKUP(C78,'Talente &amp; Stuff'!BI:CJ,21,FALSE)</f>
        <v>0</v>
      </c>
      <c r="X78" s="126">
        <f>VLOOKUP(C78,'Talente &amp; Stuff'!BI:CJ,22,FALSE)</f>
        <v>0</v>
      </c>
      <c r="Y78" s="165">
        <f t="shared" ref="Y78:Y98" si="10">VLOOKUP(C78,Ausgewählte_Zauber_Allgemein,81,FALSE)</f>
        <v>0</v>
      </c>
      <c r="Z78" s="44">
        <f t="shared" ref="Z78:Z98" si="11">VLOOKUP(C78,Ausgewählte_Zauber_Allgemein,82,FALSE)</f>
        <v>0</v>
      </c>
      <c r="AA78" s="158">
        <f>VLOOKUP(C78,'Talente &amp; Stuff'!BI:CJ,25,FALSE)</f>
        <v>0</v>
      </c>
      <c r="AB78" s="91">
        <f>VLOOKUP(C78,'Talente &amp; Stuff'!BI:CJ,26,FALSE)</f>
        <v>0</v>
      </c>
      <c r="AC78" s="126">
        <f>VLOOKUP(C78,'Talente &amp; Stuff'!BI:CJ,27,FALSE)</f>
        <v>0</v>
      </c>
      <c r="AD78" s="158">
        <f>VLOOKUP(C78,'Talente &amp; Stuff'!BI:CJ,28,FALSE)</f>
        <v>0</v>
      </c>
      <c r="AE78" s="28"/>
    </row>
    <row r="79" spans="1:31" ht="15" hidden="1" customHeight="1" outlineLevel="2">
      <c r="B79" s="148">
        <v>2</v>
      </c>
      <c r="C79" s="177" t="str">
        <f>Attribute!C79</f>
        <v>---</v>
      </c>
      <c r="D79" s="125" t="str">
        <f>VLOOKUP(C79,'Talente &amp; Stuff'!BI:CJ,2,FALSE)</f>
        <v>--/--/--</v>
      </c>
      <c r="E79" s="127" t="str">
        <f>VLOOKUP(C79,'Talente &amp; Stuff'!BI:CJ,3,FALSE)</f>
        <v>-</v>
      </c>
      <c r="F79" s="114">
        <f>VLOOKUP(C79,'Talente &amp; Stuff'!BI:CJ,4,FALSE)</f>
        <v>0</v>
      </c>
      <c r="G79" s="113">
        <f>VLOOKUP(C79,'Talente &amp; Stuff'!BI:CJ,5,FALSE)</f>
        <v>0</v>
      </c>
      <c r="H79" s="113">
        <f>VLOOKUP(C79,'Talente &amp; Stuff'!BI:CJ,6,FALSE)</f>
        <v>0</v>
      </c>
      <c r="I79" s="113">
        <f>VLOOKUP(C79,'Talente &amp; Stuff'!BI:CJ,7,FALSE)</f>
        <v>0</v>
      </c>
      <c r="J79" s="113">
        <f>VLOOKUP(C79,'Talente &amp; Stuff'!BI:CJ,8,FALSE)</f>
        <v>0</v>
      </c>
      <c r="K79" s="113">
        <f>VLOOKUP(C79,'Talente &amp; Stuff'!BI:CJ,9,FALSE)</f>
        <v>0</v>
      </c>
      <c r="L79" s="113">
        <f>VLOOKUP(C79,'Talente &amp; Stuff'!BI:CJ,10,FALSE)</f>
        <v>0</v>
      </c>
      <c r="M79" s="119">
        <f>VLOOKUP(C79,'Talente &amp; Stuff'!BI:CJ,11,FALSE)</f>
        <v>0</v>
      </c>
      <c r="N79" s="89">
        <f>VLOOKUP(C79,'Talente &amp; Stuff'!BI:CJ,12,FALSE)</f>
        <v>0</v>
      </c>
      <c r="O79" s="47">
        <f>VLOOKUP(C79,'Talente &amp; Stuff'!BI:CJ,13,FALSE)</f>
        <v>0</v>
      </c>
      <c r="P79" s="119">
        <f>VLOOKUP(C79,'Talente &amp; Stuff'!BI:CJ,14,FALSE)</f>
        <v>0</v>
      </c>
      <c r="Q79" s="114">
        <f>VLOOKUP(C79,'Talente &amp; Stuff'!BI:CJ,15,FALSE)</f>
        <v>0</v>
      </c>
      <c r="R79" s="113">
        <f>VLOOKUP(C79,'Talente &amp; Stuff'!BI:CJ,16,FALSE)</f>
        <v>0</v>
      </c>
      <c r="S79" s="119">
        <f>VLOOKUP(C79,'Talente &amp; Stuff'!BI:CJ,17,FALSE)</f>
        <v>0</v>
      </c>
      <c r="T79" s="160">
        <f>VLOOKUP(C79,'Talente &amp; Stuff'!BI:CJ,18,FALSE)</f>
        <v>0</v>
      </c>
      <c r="U79" s="89">
        <f>VLOOKUP(C79,'Talente &amp; Stuff'!BI:CJ,19,FALSE)</f>
        <v>0</v>
      </c>
      <c r="V79" s="47">
        <f>VLOOKUP(C79,'Talente &amp; Stuff'!BI:CJ,20,FALSE)</f>
        <v>0</v>
      </c>
      <c r="W79" s="127">
        <f>VLOOKUP(C79,'Talente &amp; Stuff'!BI:CJ,21,FALSE)</f>
        <v>0</v>
      </c>
      <c r="X79" s="127">
        <f>VLOOKUP(C79,'Talente &amp; Stuff'!BI:CJ,22,FALSE)</f>
        <v>0</v>
      </c>
      <c r="Y79" s="165">
        <f t="shared" si="10"/>
        <v>0</v>
      </c>
      <c r="Z79" s="44">
        <f t="shared" si="11"/>
        <v>0</v>
      </c>
      <c r="AA79" s="125">
        <f>VLOOKUP(C79,'Talente &amp; Stuff'!BI:CJ,25,FALSE)</f>
        <v>0</v>
      </c>
      <c r="AB79" s="160">
        <f>VLOOKUP(C79,'Talente &amp; Stuff'!BI:CJ,26,FALSE)</f>
        <v>0</v>
      </c>
      <c r="AC79" s="127">
        <f>VLOOKUP(C79,'Talente &amp; Stuff'!BI:CJ,27,FALSE)</f>
        <v>0</v>
      </c>
      <c r="AD79" s="125">
        <f>VLOOKUP(C79,'Talente &amp; Stuff'!BI:CJ,28,FALSE)</f>
        <v>0</v>
      </c>
      <c r="AE79" s="28"/>
    </row>
    <row r="80" spans="1:31" ht="15" hidden="1" customHeight="1" outlineLevel="2">
      <c r="B80" s="148">
        <v>3</v>
      </c>
      <c r="C80" s="177" t="str">
        <f>Attribute!C80</f>
        <v>---</v>
      </c>
      <c r="D80" s="125" t="str">
        <f>VLOOKUP(C80,'Talente &amp; Stuff'!BI:CJ,2,FALSE)</f>
        <v>--/--/--</v>
      </c>
      <c r="E80" s="127" t="str">
        <f>VLOOKUP(C80,'Talente &amp; Stuff'!BI:CJ,3,FALSE)</f>
        <v>-</v>
      </c>
      <c r="F80" s="114">
        <f>VLOOKUP(C80,'Talente &amp; Stuff'!BI:CJ,4,FALSE)</f>
        <v>0</v>
      </c>
      <c r="G80" s="113">
        <f>VLOOKUP(C80,'Talente &amp; Stuff'!BI:CJ,5,FALSE)</f>
        <v>0</v>
      </c>
      <c r="H80" s="113">
        <f>VLOOKUP(C80,'Talente &amp; Stuff'!BI:CJ,6,FALSE)</f>
        <v>0</v>
      </c>
      <c r="I80" s="113">
        <f>VLOOKUP(C80,'Talente &amp; Stuff'!BI:CJ,7,FALSE)</f>
        <v>0</v>
      </c>
      <c r="J80" s="113">
        <f>VLOOKUP(C80,'Talente &amp; Stuff'!BI:CJ,8,FALSE)</f>
        <v>0</v>
      </c>
      <c r="K80" s="113">
        <f>VLOOKUP(C80,'Talente &amp; Stuff'!BI:CJ,9,FALSE)</f>
        <v>0</v>
      </c>
      <c r="L80" s="113">
        <f>VLOOKUP(C80,'Talente &amp; Stuff'!BI:CJ,10,FALSE)</f>
        <v>0</v>
      </c>
      <c r="M80" s="119">
        <f>VLOOKUP(C80,'Talente &amp; Stuff'!BI:CJ,11,FALSE)</f>
        <v>0</v>
      </c>
      <c r="N80" s="89">
        <f>VLOOKUP(C80,'Talente &amp; Stuff'!BI:CJ,12,FALSE)</f>
        <v>0</v>
      </c>
      <c r="O80" s="47">
        <f>VLOOKUP(C80,'Talente &amp; Stuff'!BI:CJ,13,FALSE)</f>
        <v>0</v>
      </c>
      <c r="P80" s="119">
        <f>VLOOKUP(C80,'Talente &amp; Stuff'!BI:CJ,14,FALSE)</f>
        <v>0</v>
      </c>
      <c r="Q80" s="114">
        <f>VLOOKUP(C80,'Talente &amp; Stuff'!BI:CJ,15,FALSE)</f>
        <v>0</v>
      </c>
      <c r="R80" s="113">
        <f>VLOOKUP(C80,'Talente &amp; Stuff'!BI:CJ,16,FALSE)</f>
        <v>0</v>
      </c>
      <c r="S80" s="119">
        <f>VLOOKUP(C80,'Talente &amp; Stuff'!BI:CJ,17,FALSE)</f>
        <v>0</v>
      </c>
      <c r="T80" s="160">
        <f>VLOOKUP(C80,'Talente &amp; Stuff'!BI:CJ,18,FALSE)</f>
        <v>0</v>
      </c>
      <c r="U80" s="89">
        <f>VLOOKUP(C80,'Talente &amp; Stuff'!BI:CJ,19,FALSE)</f>
        <v>0</v>
      </c>
      <c r="V80" s="47">
        <f>VLOOKUP(C80,'Talente &amp; Stuff'!BI:CJ,20,FALSE)</f>
        <v>0</v>
      </c>
      <c r="W80" s="127">
        <f>VLOOKUP(C80,'Talente &amp; Stuff'!BI:CJ,21,FALSE)</f>
        <v>0</v>
      </c>
      <c r="X80" s="127">
        <f>VLOOKUP(C80,'Talente &amp; Stuff'!BI:CJ,22,FALSE)</f>
        <v>0</v>
      </c>
      <c r="Y80" s="165">
        <f t="shared" si="10"/>
        <v>0</v>
      </c>
      <c r="Z80" s="44">
        <f t="shared" si="11"/>
        <v>0</v>
      </c>
      <c r="AA80" s="125">
        <f>VLOOKUP(C80,'Talente &amp; Stuff'!BI:CJ,25,FALSE)</f>
        <v>0</v>
      </c>
      <c r="AB80" s="160">
        <f>VLOOKUP(C80,'Talente &amp; Stuff'!BI:CJ,26,FALSE)</f>
        <v>0</v>
      </c>
      <c r="AC80" s="127">
        <f>VLOOKUP(C80,'Talente &amp; Stuff'!BI:CJ,27,FALSE)</f>
        <v>0</v>
      </c>
      <c r="AD80" s="125">
        <f>VLOOKUP(C80,'Talente &amp; Stuff'!BI:CJ,28,FALSE)</f>
        <v>0</v>
      </c>
      <c r="AE80" s="28"/>
    </row>
    <row r="81" spans="2:31" ht="15" hidden="1" customHeight="1" outlineLevel="2">
      <c r="B81" s="148">
        <v>4</v>
      </c>
      <c r="C81" s="177" t="str">
        <f>Attribute!C81</f>
        <v>---</v>
      </c>
      <c r="D81" s="125" t="str">
        <f>VLOOKUP(C81,'Talente &amp; Stuff'!BI:CJ,2,FALSE)</f>
        <v>--/--/--</v>
      </c>
      <c r="E81" s="127" t="str">
        <f>VLOOKUP(C81,'Talente &amp; Stuff'!BI:CJ,3,FALSE)</f>
        <v>-</v>
      </c>
      <c r="F81" s="114">
        <f>VLOOKUP(C81,'Talente &amp; Stuff'!BI:CJ,4,FALSE)</f>
        <v>0</v>
      </c>
      <c r="G81" s="113">
        <f>VLOOKUP(C81,'Talente &amp; Stuff'!BI:CJ,5,FALSE)</f>
        <v>0</v>
      </c>
      <c r="H81" s="113">
        <f>VLOOKUP(C81,'Talente &amp; Stuff'!BI:CJ,6,FALSE)</f>
        <v>0</v>
      </c>
      <c r="I81" s="113">
        <f>VLOOKUP(C81,'Talente &amp; Stuff'!BI:CJ,7,FALSE)</f>
        <v>0</v>
      </c>
      <c r="J81" s="113">
        <f>VLOOKUP(C81,'Talente &amp; Stuff'!BI:CJ,8,FALSE)</f>
        <v>0</v>
      </c>
      <c r="K81" s="113">
        <f>VLOOKUP(C81,'Talente &amp; Stuff'!BI:CJ,9,FALSE)</f>
        <v>0</v>
      </c>
      <c r="L81" s="113">
        <f>VLOOKUP(C81,'Talente &amp; Stuff'!BI:CJ,10,FALSE)</f>
        <v>0</v>
      </c>
      <c r="M81" s="119">
        <f>VLOOKUP(C81,'Talente &amp; Stuff'!BI:CJ,11,FALSE)</f>
        <v>0</v>
      </c>
      <c r="N81" s="89">
        <f>VLOOKUP(C81,'Talente &amp; Stuff'!BI:CJ,12,FALSE)</f>
        <v>0</v>
      </c>
      <c r="O81" s="47">
        <f>VLOOKUP(C81,'Talente &amp; Stuff'!BI:CJ,13,FALSE)</f>
        <v>0</v>
      </c>
      <c r="P81" s="119">
        <f>VLOOKUP(C81,'Talente &amp; Stuff'!BI:CJ,14,FALSE)</f>
        <v>0</v>
      </c>
      <c r="Q81" s="114">
        <f>VLOOKUP(C81,'Talente &amp; Stuff'!BI:CJ,15,FALSE)</f>
        <v>0</v>
      </c>
      <c r="R81" s="113">
        <f>VLOOKUP(C81,'Talente &amp; Stuff'!BI:CJ,16,FALSE)</f>
        <v>0</v>
      </c>
      <c r="S81" s="119">
        <f>VLOOKUP(C81,'Talente &amp; Stuff'!BI:CJ,17,FALSE)</f>
        <v>0</v>
      </c>
      <c r="T81" s="160">
        <f>VLOOKUP(C81,'Talente &amp; Stuff'!BI:CJ,18,FALSE)</f>
        <v>0</v>
      </c>
      <c r="U81" s="89">
        <f>VLOOKUP(C81,'Talente &amp; Stuff'!BI:CJ,19,FALSE)</f>
        <v>0</v>
      </c>
      <c r="V81" s="47">
        <f>VLOOKUP(C81,'Talente &amp; Stuff'!BI:CJ,20,FALSE)</f>
        <v>0</v>
      </c>
      <c r="W81" s="127">
        <f>VLOOKUP(C81,'Talente &amp; Stuff'!BI:CJ,21,FALSE)</f>
        <v>0</v>
      </c>
      <c r="X81" s="127">
        <f>VLOOKUP(C81,'Talente &amp; Stuff'!BI:CJ,22,FALSE)</f>
        <v>0</v>
      </c>
      <c r="Y81" s="165">
        <f t="shared" si="10"/>
        <v>0</v>
      </c>
      <c r="Z81" s="44">
        <f t="shared" si="11"/>
        <v>0</v>
      </c>
      <c r="AA81" s="125">
        <f>VLOOKUP(C81,'Talente &amp; Stuff'!BI:CJ,25,FALSE)</f>
        <v>0</v>
      </c>
      <c r="AB81" s="160">
        <f>VLOOKUP(C81,'Talente &amp; Stuff'!BI:CJ,26,FALSE)</f>
        <v>0</v>
      </c>
      <c r="AC81" s="127">
        <f>VLOOKUP(C81,'Talente &amp; Stuff'!BI:CJ,27,FALSE)</f>
        <v>0</v>
      </c>
      <c r="AD81" s="125">
        <f>VLOOKUP(C81,'Talente &amp; Stuff'!BI:CJ,28,FALSE)</f>
        <v>0</v>
      </c>
      <c r="AE81" s="28"/>
    </row>
    <row r="82" spans="2:31" ht="15" hidden="1" customHeight="1" outlineLevel="2">
      <c r="B82" s="148">
        <v>5</v>
      </c>
      <c r="C82" s="177" t="str">
        <f>Attribute!C82</f>
        <v>---</v>
      </c>
      <c r="D82" s="125" t="str">
        <f>VLOOKUP(C82,'Talente &amp; Stuff'!BI:CJ,2,FALSE)</f>
        <v>--/--/--</v>
      </c>
      <c r="E82" s="127" t="str">
        <f>VLOOKUP(C82,'Talente &amp; Stuff'!BI:CJ,3,FALSE)</f>
        <v>-</v>
      </c>
      <c r="F82" s="114">
        <f>VLOOKUP(C82,'Talente &amp; Stuff'!BI:CJ,4,FALSE)</f>
        <v>0</v>
      </c>
      <c r="G82" s="113">
        <f>VLOOKUP(C82,'Talente &amp; Stuff'!BI:CJ,5,FALSE)</f>
        <v>0</v>
      </c>
      <c r="H82" s="113">
        <f>VLOOKUP(C82,'Talente &amp; Stuff'!BI:CJ,6,FALSE)</f>
        <v>0</v>
      </c>
      <c r="I82" s="113">
        <f>VLOOKUP(C82,'Talente &amp; Stuff'!BI:CJ,7,FALSE)</f>
        <v>0</v>
      </c>
      <c r="J82" s="113">
        <f>VLOOKUP(C82,'Talente &amp; Stuff'!BI:CJ,8,FALSE)</f>
        <v>0</v>
      </c>
      <c r="K82" s="113">
        <f>VLOOKUP(C82,'Talente &amp; Stuff'!BI:CJ,9,FALSE)</f>
        <v>0</v>
      </c>
      <c r="L82" s="113">
        <f>VLOOKUP(C82,'Talente &amp; Stuff'!BI:CJ,10,FALSE)</f>
        <v>0</v>
      </c>
      <c r="M82" s="119">
        <f>VLOOKUP(C82,'Talente &amp; Stuff'!BI:CJ,11,FALSE)</f>
        <v>0</v>
      </c>
      <c r="N82" s="89">
        <f>VLOOKUP(C82,'Talente &amp; Stuff'!BI:CJ,12,FALSE)</f>
        <v>0</v>
      </c>
      <c r="O82" s="47">
        <f>VLOOKUP(C82,'Talente &amp; Stuff'!BI:CJ,13,FALSE)</f>
        <v>0</v>
      </c>
      <c r="P82" s="119">
        <f>VLOOKUP(C82,'Talente &amp; Stuff'!BI:CJ,14,FALSE)</f>
        <v>0</v>
      </c>
      <c r="Q82" s="114">
        <f>VLOOKUP(C82,'Talente &amp; Stuff'!BI:CJ,15,FALSE)</f>
        <v>0</v>
      </c>
      <c r="R82" s="113">
        <f>VLOOKUP(C82,'Talente &amp; Stuff'!BI:CJ,16,FALSE)</f>
        <v>0</v>
      </c>
      <c r="S82" s="119">
        <f>VLOOKUP(C82,'Talente &amp; Stuff'!BI:CJ,17,FALSE)</f>
        <v>0</v>
      </c>
      <c r="T82" s="160">
        <f>VLOOKUP(C82,'Talente &amp; Stuff'!BI:CJ,18,FALSE)</f>
        <v>0</v>
      </c>
      <c r="U82" s="89">
        <f>VLOOKUP(C82,'Talente &amp; Stuff'!BI:CJ,19,FALSE)</f>
        <v>0</v>
      </c>
      <c r="V82" s="47">
        <f>VLOOKUP(C82,'Talente &amp; Stuff'!BI:CJ,20,FALSE)</f>
        <v>0</v>
      </c>
      <c r="W82" s="127">
        <f>VLOOKUP(C82,'Talente &amp; Stuff'!BI:CJ,21,FALSE)</f>
        <v>0</v>
      </c>
      <c r="X82" s="127">
        <f>VLOOKUP(C82,'Talente &amp; Stuff'!BI:CJ,22,FALSE)</f>
        <v>0</v>
      </c>
      <c r="Y82" s="165">
        <f t="shared" si="10"/>
        <v>0</v>
      </c>
      <c r="Z82" s="44">
        <f t="shared" si="11"/>
        <v>0</v>
      </c>
      <c r="AA82" s="125">
        <f>VLOOKUP(C82,'Talente &amp; Stuff'!BI:CJ,25,FALSE)</f>
        <v>0</v>
      </c>
      <c r="AB82" s="160">
        <f>VLOOKUP(C82,'Talente &amp; Stuff'!BI:CJ,26,FALSE)</f>
        <v>0</v>
      </c>
      <c r="AC82" s="127">
        <f>VLOOKUP(C82,'Talente &amp; Stuff'!BI:CJ,27,FALSE)</f>
        <v>0</v>
      </c>
      <c r="AD82" s="125">
        <f>VLOOKUP(C82,'Talente &amp; Stuff'!BI:CJ,28,FALSE)</f>
        <v>0</v>
      </c>
      <c r="AE82" s="28"/>
    </row>
    <row r="83" spans="2:31" ht="15" hidden="1" customHeight="1" outlineLevel="2">
      <c r="B83" s="148">
        <v>6</v>
      </c>
      <c r="C83" s="177" t="str">
        <f>Attribute!C83</f>
        <v>---</v>
      </c>
      <c r="D83" s="125" t="str">
        <f>VLOOKUP(C83,'Talente &amp; Stuff'!BI:CJ,2,FALSE)</f>
        <v>--/--/--</v>
      </c>
      <c r="E83" s="127" t="str">
        <f>VLOOKUP(C83,'Talente &amp; Stuff'!BI:CJ,3,FALSE)</f>
        <v>-</v>
      </c>
      <c r="F83" s="114">
        <f>VLOOKUP(C83,'Talente &amp; Stuff'!BI:CJ,4,FALSE)</f>
        <v>0</v>
      </c>
      <c r="G83" s="113">
        <f>VLOOKUP(C83,'Talente &amp; Stuff'!BI:CJ,5,FALSE)</f>
        <v>0</v>
      </c>
      <c r="H83" s="113">
        <f>VLOOKUP(C83,'Talente &amp; Stuff'!BI:CJ,6,FALSE)</f>
        <v>0</v>
      </c>
      <c r="I83" s="113">
        <f>VLOOKUP(C83,'Talente &amp; Stuff'!BI:CJ,7,FALSE)</f>
        <v>0</v>
      </c>
      <c r="J83" s="113">
        <f>VLOOKUP(C83,'Talente &amp; Stuff'!BI:CJ,8,FALSE)</f>
        <v>0</v>
      </c>
      <c r="K83" s="113">
        <f>VLOOKUP(C83,'Talente &amp; Stuff'!BI:CJ,9,FALSE)</f>
        <v>0</v>
      </c>
      <c r="L83" s="113">
        <f>VLOOKUP(C83,'Talente &amp; Stuff'!BI:CJ,10,FALSE)</f>
        <v>0</v>
      </c>
      <c r="M83" s="119">
        <f>VLOOKUP(C83,'Talente &amp; Stuff'!BI:CJ,11,FALSE)</f>
        <v>0</v>
      </c>
      <c r="N83" s="89">
        <f>VLOOKUP(C83,'Talente &amp; Stuff'!BI:CJ,12,FALSE)</f>
        <v>0</v>
      </c>
      <c r="O83" s="47">
        <f>VLOOKUP(C83,'Talente &amp; Stuff'!BI:CJ,13,FALSE)</f>
        <v>0</v>
      </c>
      <c r="P83" s="119">
        <f>VLOOKUP(C83,'Talente &amp; Stuff'!BI:CJ,14,FALSE)</f>
        <v>0</v>
      </c>
      <c r="Q83" s="114">
        <f>VLOOKUP(C83,'Talente &amp; Stuff'!BI:CJ,15,FALSE)</f>
        <v>0</v>
      </c>
      <c r="R83" s="113">
        <f>VLOOKUP(C83,'Talente &amp; Stuff'!BI:CJ,16,FALSE)</f>
        <v>0</v>
      </c>
      <c r="S83" s="119">
        <f>VLOOKUP(C83,'Talente &amp; Stuff'!BI:CJ,17,FALSE)</f>
        <v>0</v>
      </c>
      <c r="T83" s="160">
        <f>VLOOKUP(C83,'Talente &amp; Stuff'!BI:CJ,18,FALSE)</f>
        <v>0</v>
      </c>
      <c r="U83" s="89">
        <f>VLOOKUP(C83,'Talente &amp; Stuff'!BI:CJ,19,FALSE)</f>
        <v>0</v>
      </c>
      <c r="V83" s="47">
        <f>VLOOKUP(C83,'Talente &amp; Stuff'!BI:CJ,20,FALSE)</f>
        <v>0</v>
      </c>
      <c r="W83" s="127">
        <f>VLOOKUP(C83,'Talente &amp; Stuff'!BI:CJ,21,FALSE)</f>
        <v>0</v>
      </c>
      <c r="X83" s="127">
        <f>VLOOKUP(C83,'Talente &amp; Stuff'!BI:CJ,22,FALSE)</f>
        <v>0</v>
      </c>
      <c r="Y83" s="165">
        <f t="shared" si="10"/>
        <v>0</v>
      </c>
      <c r="Z83" s="44">
        <f t="shared" si="11"/>
        <v>0</v>
      </c>
      <c r="AA83" s="125">
        <f>VLOOKUP(C83,'Talente &amp; Stuff'!BI:CJ,25,FALSE)</f>
        <v>0</v>
      </c>
      <c r="AB83" s="160">
        <f>VLOOKUP(C83,'Talente &amp; Stuff'!BI:CJ,26,FALSE)</f>
        <v>0</v>
      </c>
      <c r="AC83" s="127">
        <f>VLOOKUP(C83,'Talente &amp; Stuff'!BI:CJ,27,FALSE)</f>
        <v>0</v>
      </c>
      <c r="AD83" s="125">
        <f>VLOOKUP(C83,'Talente &amp; Stuff'!BI:CJ,28,FALSE)</f>
        <v>0</v>
      </c>
      <c r="AE83" s="28"/>
    </row>
    <row r="84" spans="2:31" ht="15" hidden="1" customHeight="1" outlineLevel="2">
      <c r="B84" s="148">
        <v>7</v>
      </c>
      <c r="C84" s="177" t="str">
        <f>Attribute!C84</f>
        <v>---</v>
      </c>
      <c r="D84" s="125" t="str">
        <f>VLOOKUP(C84,'Talente &amp; Stuff'!BI:CJ,2,FALSE)</f>
        <v>--/--/--</v>
      </c>
      <c r="E84" s="127" t="str">
        <f>VLOOKUP(C84,'Talente &amp; Stuff'!BI:CJ,3,FALSE)</f>
        <v>-</v>
      </c>
      <c r="F84" s="114">
        <f>VLOOKUP(C84,'Talente &amp; Stuff'!BI:CJ,4,FALSE)</f>
        <v>0</v>
      </c>
      <c r="G84" s="113">
        <f>VLOOKUP(C84,'Talente &amp; Stuff'!BI:CJ,5,FALSE)</f>
        <v>0</v>
      </c>
      <c r="H84" s="113">
        <f>VLOOKUP(C84,'Talente &amp; Stuff'!BI:CJ,6,FALSE)</f>
        <v>0</v>
      </c>
      <c r="I84" s="113">
        <f>VLOOKUP(C84,'Talente &amp; Stuff'!BI:CJ,7,FALSE)</f>
        <v>0</v>
      </c>
      <c r="J84" s="113">
        <f>VLOOKUP(C84,'Talente &amp; Stuff'!BI:CJ,8,FALSE)</f>
        <v>0</v>
      </c>
      <c r="K84" s="113">
        <f>VLOOKUP(C84,'Talente &amp; Stuff'!BI:CJ,9,FALSE)</f>
        <v>0</v>
      </c>
      <c r="L84" s="113">
        <f>VLOOKUP(C84,'Talente &amp; Stuff'!BI:CJ,10,FALSE)</f>
        <v>0</v>
      </c>
      <c r="M84" s="119">
        <f>VLOOKUP(C84,'Talente &amp; Stuff'!BI:CJ,11,FALSE)</f>
        <v>0</v>
      </c>
      <c r="N84" s="89">
        <f>VLOOKUP(C84,'Talente &amp; Stuff'!BI:CJ,12,FALSE)</f>
        <v>0</v>
      </c>
      <c r="O84" s="47">
        <f>VLOOKUP(C84,'Talente &amp; Stuff'!BI:CJ,13,FALSE)</f>
        <v>0</v>
      </c>
      <c r="P84" s="119">
        <f>VLOOKUP(C84,'Talente &amp; Stuff'!BI:CJ,14,FALSE)</f>
        <v>0</v>
      </c>
      <c r="Q84" s="114">
        <f>VLOOKUP(C84,'Talente &amp; Stuff'!BI:CJ,15,FALSE)</f>
        <v>0</v>
      </c>
      <c r="R84" s="113">
        <f>VLOOKUP(C84,'Talente &amp; Stuff'!BI:CJ,16,FALSE)</f>
        <v>0</v>
      </c>
      <c r="S84" s="119">
        <f>VLOOKUP(C84,'Talente &amp; Stuff'!BI:CJ,17,FALSE)</f>
        <v>0</v>
      </c>
      <c r="T84" s="160">
        <f>VLOOKUP(C84,'Talente &amp; Stuff'!BI:CJ,18,FALSE)</f>
        <v>0</v>
      </c>
      <c r="U84" s="89">
        <f>VLOOKUP(C84,'Talente &amp; Stuff'!BI:CJ,19,FALSE)</f>
        <v>0</v>
      </c>
      <c r="V84" s="47">
        <f>VLOOKUP(C84,'Talente &amp; Stuff'!BI:CJ,20,FALSE)</f>
        <v>0</v>
      </c>
      <c r="W84" s="127">
        <f>VLOOKUP(C84,'Talente &amp; Stuff'!BI:CJ,21,FALSE)</f>
        <v>0</v>
      </c>
      <c r="X84" s="127">
        <f>VLOOKUP(C84,'Talente &amp; Stuff'!BI:CJ,22,FALSE)</f>
        <v>0</v>
      </c>
      <c r="Y84" s="165">
        <f t="shared" si="10"/>
        <v>0</v>
      </c>
      <c r="Z84" s="44">
        <f t="shared" si="11"/>
        <v>0</v>
      </c>
      <c r="AA84" s="125">
        <f>VLOOKUP(C84,'Talente &amp; Stuff'!BI:CJ,25,FALSE)</f>
        <v>0</v>
      </c>
      <c r="AB84" s="160">
        <f>VLOOKUP(C84,'Talente &amp; Stuff'!BI:CJ,26,FALSE)</f>
        <v>0</v>
      </c>
      <c r="AC84" s="127">
        <f>VLOOKUP(C84,'Talente &amp; Stuff'!BI:CJ,27,FALSE)</f>
        <v>0</v>
      </c>
      <c r="AD84" s="125">
        <f>VLOOKUP(C84,'Talente &amp; Stuff'!BI:CJ,28,FALSE)</f>
        <v>0</v>
      </c>
      <c r="AE84" s="28"/>
    </row>
    <row r="85" spans="2:31" ht="15" hidden="1" customHeight="1" outlineLevel="2">
      <c r="B85" s="148">
        <v>8</v>
      </c>
      <c r="C85" s="177" t="str">
        <f>Attribute!C85</f>
        <v>---</v>
      </c>
      <c r="D85" s="125" t="str">
        <f>VLOOKUP(C85,'Talente &amp; Stuff'!BI:CJ,2,FALSE)</f>
        <v>--/--/--</v>
      </c>
      <c r="E85" s="127" t="str">
        <f>VLOOKUP(C85,'Talente &amp; Stuff'!BI:CJ,3,FALSE)</f>
        <v>-</v>
      </c>
      <c r="F85" s="114">
        <f>VLOOKUP(C85,'Talente &amp; Stuff'!BI:CJ,4,FALSE)</f>
        <v>0</v>
      </c>
      <c r="G85" s="113">
        <f>VLOOKUP(C85,'Talente &amp; Stuff'!BI:CJ,5,FALSE)</f>
        <v>0</v>
      </c>
      <c r="H85" s="113">
        <f>VLOOKUP(C85,'Talente &amp; Stuff'!BI:CJ,6,FALSE)</f>
        <v>0</v>
      </c>
      <c r="I85" s="113">
        <f>VLOOKUP(C85,'Talente &amp; Stuff'!BI:CJ,7,FALSE)</f>
        <v>0</v>
      </c>
      <c r="J85" s="113">
        <f>VLOOKUP(C85,'Talente &amp; Stuff'!BI:CJ,8,FALSE)</f>
        <v>0</v>
      </c>
      <c r="K85" s="113">
        <f>VLOOKUP(C85,'Talente &amp; Stuff'!BI:CJ,9,FALSE)</f>
        <v>0</v>
      </c>
      <c r="L85" s="113">
        <f>VLOOKUP(C85,'Talente &amp; Stuff'!BI:CJ,10,FALSE)</f>
        <v>0</v>
      </c>
      <c r="M85" s="119">
        <f>VLOOKUP(C85,'Talente &amp; Stuff'!BI:CJ,11,FALSE)</f>
        <v>0</v>
      </c>
      <c r="N85" s="89">
        <f>VLOOKUP(C85,'Talente &amp; Stuff'!BI:CJ,12,FALSE)</f>
        <v>0</v>
      </c>
      <c r="O85" s="47">
        <f>VLOOKUP(C85,'Talente &amp; Stuff'!BI:CJ,13,FALSE)</f>
        <v>0</v>
      </c>
      <c r="P85" s="119">
        <f>VLOOKUP(C85,'Talente &amp; Stuff'!BI:CJ,14,FALSE)</f>
        <v>0</v>
      </c>
      <c r="Q85" s="114">
        <f>VLOOKUP(C85,'Talente &amp; Stuff'!BI:CJ,15,FALSE)</f>
        <v>0</v>
      </c>
      <c r="R85" s="113">
        <f>VLOOKUP(C85,'Talente &amp; Stuff'!BI:CJ,16,FALSE)</f>
        <v>0</v>
      </c>
      <c r="S85" s="119">
        <f>VLOOKUP(C85,'Talente &amp; Stuff'!BI:CJ,17,FALSE)</f>
        <v>0</v>
      </c>
      <c r="T85" s="160">
        <f>VLOOKUP(C85,'Talente &amp; Stuff'!BI:CJ,18,FALSE)</f>
        <v>0</v>
      </c>
      <c r="U85" s="89">
        <f>VLOOKUP(C85,'Talente &amp; Stuff'!BI:CJ,19,FALSE)</f>
        <v>0</v>
      </c>
      <c r="V85" s="47">
        <f>VLOOKUP(C85,'Talente &amp; Stuff'!BI:CJ,20,FALSE)</f>
        <v>0</v>
      </c>
      <c r="W85" s="127">
        <f>VLOOKUP(C85,'Talente &amp; Stuff'!BI:CJ,21,FALSE)</f>
        <v>0</v>
      </c>
      <c r="X85" s="127">
        <f>VLOOKUP(C85,'Talente &amp; Stuff'!BI:CJ,22,FALSE)</f>
        <v>0</v>
      </c>
      <c r="Y85" s="165">
        <f t="shared" si="10"/>
        <v>0</v>
      </c>
      <c r="Z85" s="44">
        <f t="shared" si="11"/>
        <v>0</v>
      </c>
      <c r="AA85" s="125">
        <f>VLOOKUP(C85,'Talente &amp; Stuff'!BI:CJ,25,FALSE)</f>
        <v>0</v>
      </c>
      <c r="AB85" s="160">
        <f>VLOOKUP(C85,'Talente &amp; Stuff'!BI:CJ,26,FALSE)</f>
        <v>0</v>
      </c>
      <c r="AC85" s="127">
        <f>VLOOKUP(C85,'Talente &amp; Stuff'!BI:CJ,27,FALSE)</f>
        <v>0</v>
      </c>
      <c r="AD85" s="125">
        <f>VLOOKUP(C85,'Talente &amp; Stuff'!BI:CJ,28,FALSE)</f>
        <v>0</v>
      </c>
      <c r="AE85" s="28"/>
    </row>
    <row r="86" spans="2:31" ht="15" hidden="1" customHeight="1" outlineLevel="2">
      <c r="B86" s="148">
        <v>9</v>
      </c>
      <c r="C86" s="177" t="str">
        <f>Attribute!C86</f>
        <v>---</v>
      </c>
      <c r="D86" s="125" t="str">
        <f>VLOOKUP(C86,'Talente &amp; Stuff'!BI:CJ,2,FALSE)</f>
        <v>--/--/--</v>
      </c>
      <c r="E86" s="127" t="str">
        <f>VLOOKUP(C86,'Talente &amp; Stuff'!BI:CJ,3,FALSE)</f>
        <v>-</v>
      </c>
      <c r="F86" s="114">
        <f>VLOOKUP(C86,'Talente &amp; Stuff'!BI:CJ,4,FALSE)</f>
        <v>0</v>
      </c>
      <c r="G86" s="113">
        <f>VLOOKUP(C86,'Talente &amp; Stuff'!BI:CJ,5,FALSE)</f>
        <v>0</v>
      </c>
      <c r="H86" s="113">
        <f>VLOOKUP(C86,'Talente &amp; Stuff'!BI:CJ,6,FALSE)</f>
        <v>0</v>
      </c>
      <c r="I86" s="113">
        <f>VLOOKUP(C86,'Talente &amp; Stuff'!BI:CJ,7,FALSE)</f>
        <v>0</v>
      </c>
      <c r="J86" s="113">
        <f>VLOOKUP(C86,'Talente &amp; Stuff'!BI:CJ,8,FALSE)</f>
        <v>0</v>
      </c>
      <c r="K86" s="113">
        <f>VLOOKUP(C86,'Talente &amp; Stuff'!BI:CJ,9,FALSE)</f>
        <v>0</v>
      </c>
      <c r="L86" s="113">
        <f>VLOOKUP(C86,'Talente &amp; Stuff'!BI:CJ,10,FALSE)</f>
        <v>0</v>
      </c>
      <c r="M86" s="119">
        <f>VLOOKUP(C86,'Talente &amp; Stuff'!BI:CJ,11,FALSE)</f>
        <v>0</v>
      </c>
      <c r="N86" s="89">
        <f>VLOOKUP(C86,'Talente &amp; Stuff'!BI:CJ,12,FALSE)</f>
        <v>0</v>
      </c>
      <c r="O86" s="47">
        <f>VLOOKUP(C86,'Talente &amp; Stuff'!BI:CJ,13,FALSE)</f>
        <v>0</v>
      </c>
      <c r="P86" s="119">
        <f>VLOOKUP(C86,'Talente &amp; Stuff'!BI:CJ,14,FALSE)</f>
        <v>0</v>
      </c>
      <c r="Q86" s="114">
        <f>VLOOKUP(C86,'Talente &amp; Stuff'!BI:CJ,15,FALSE)</f>
        <v>0</v>
      </c>
      <c r="R86" s="113">
        <f>VLOOKUP(C86,'Talente &amp; Stuff'!BI:CJ,16,FALSE)</f>
        <v>0</v>
      </c>
      <c r="S86" s="119">
        <f>VLOOKUP(C86,'Talente &amp; Stuff'!BI:CJ,17,FALSE)</f>
        <v>0</v>
      </c>
      <c r="T86" s="160">
        <f>VLOOKUP(C86,'Talente &amp; Stuff'!BI:CJ,18,FALSE)</f>
        <v>0</v>
      </c>
      <c r="U86" s="89">
        <f>VLOOKUP(C86,'Talente &amp; Stuff'!BI:CJ,19,FALSE)</f>
        <v>0</v>
      </c>
      <c r="V86" s="47">
        <f>VLOOKUP(C86,'Talente &amp; Stuff'!BI:CJ,20,FALSE)</f>
        <v>0</v>
      </c>
      <c r="W86" s="127">
        <f>VLOOKUP(C86,'Talente &amp; Stuff'!BI:CJ,21,FALSE)</f>
        <v>0</v>
      </c>
      <c r="X86" s="127">
        <f>VLOOKUP(C86,'Talente &amp; Stuff'!BI:CJ,22,FALSE)</f>
        <v>0</v>
      </c>
      <c r="Y86" s="165">
        <f t="shared" si="10"/>
        <v>0</v>
      </c>
      <c r="Z86" s="44">
        <f t="shared" si="11"/>
        <v>0</v>
      </c>
      <c r="AA86" s="125">
        <f>VLOOKUP(C86,'Talente &amp; Stuff'!BI:CJ,25,FALSE)</f>
        <v>0</v>
      </c>
      <c r="AB86" s="160">
        <f>VLOOKUP(C86,'Talente &amp; Stuff'!BI:CJ,26,FALSE)</f>
        <v>0</v>
      </c>
      <c r="AC86" s="127">
        <f>VLOOKUP(C86,'Talente &amp; Stuff'!BI:CJ,27,FALSE)</f>
        <v>0</v>
      </c>
      <c r="AD86" s="125">
        <f>VLOOKUP(C86,'Talente &amp; Stuff'!BI:CJ,28,FALSE)</f>
        <v>0</v>
      </c>
      <c r="AE86" s="28"/>
    </row>
    <row r="87" spans="2:31" ht="15" hidden="1" customHeight="1" outlineLevel="2">
      <c r="B87" s="148">
        <v>10</v>
      </c>
      <c r="C87" s="177" t="str">
        <f>Attribute!C87</f>
        <v>---</v>
      </c>
      <c r="D87" s="125" t="str">
        <f>VLOOKUP(C87,'Talente &amp; Stuff'!BI:CJ,2,FALSE)</f>
        <v>--/--/--</v>
      </c>
      <c r="E87" s="127" t="str">
        <f>VLOOKUP(C87,'Talente &amp; Stuff'!BI:CJ,3,FALSE)</f>
        <v>-</v>
      </c>
      <c r="F87" s="114">
        <f>VLOOKUP(C87,'Talente &amp; Stuff'!BI:CJ,4,FALSE)</f>
        <v>0</v>
      </c>
      <c r="G87" s="113">
        <f>VLOOKUP(C87,'Talente &amp; Stuff'!BI:CJ,5,FALSE)</f>
        <v>0</v>
      </c>
      <c r="H87" s="113">
        <f>VLOOKUP(C87,'Talente &amp; Stuff'!BI:CJ,6,FALSE)</f>
        <v>0</v>
      </c>
      <c r="I87" s="113">
        <f>VLOOKUP(C87,'Talente &amp; Stuff'!BI:CJ,7,FALSE)</f>
        <v>0</v>
      </c>
      <c r="J87" s="113">
        <f>VLOOKUP(C87,'Talente &amp; Stuff'!BI:CJ,8,FALSE)</f>
        <v>0</v>
      </c>
      <c r="K87" s="113">
        <f>VLOOKUP(C87,'Talente &amp; Stuff'!BI:CJ,9,FALSE)</f>
        <v>0</v>
      </c>
      <c r="L87" s="113">
        <f>VLOOKUP(C87,'Talente &amp; Stuff'!BI:CJ,10,FALSE)</f>
        <v>0</v>
      </c>
      <c r="M87" s="119">
        <f>VLOOKUP(C87,'Talente &amp; Stuff'!BI:CJ,11,FALSE)</f>
        <v>0</v>
      </c>
      <c r="N87" s="89">
        <f>VLOOKUP(C87,'Talente &amp; Stuff'!BI:CJ,12,FALSE)</f>
        <v>0</v>
      </c>
      <c r="O87" s="47">
        <f>VLOOKUP(C87,'Talente &amp; Stuff'!BI:CJ,13,FALSE)</f>
        <v>0</v>
      </c>
      <c r="P87" s="119">
        <f>VLOOKUP(C87,'Talente &amp; Stuff'!BI:CJ,14,FALSE)</f>
        <v>0</v>
      </c>
      <c r="Q87" s="114">
        <f>VLOOKUP(C87,'Talente &amp; Stuff'!BI:CJ,15,FALSE)</f>
        <v>0</v>
      </c>
      <c r="R87" s="113">
        <f>VLOOKUP(C87,'Talente &amp; Stuff'!BI:CJ,16,FALSE)</f>
        <v>0</v>
      </c>
      <c r="S87" s="119">
        <f>VLOOKUP(C87,'Talente &amp; Stuff'!BI:CJ,17,FALSE)</f>
        <v>0</v>
      </c>
      <c r="T87" s="160">
        <f>VLOOKUP(C87,'Talente &amp; Stuff'!BI:CJ,18,FALSE)</f>
        <v>0</v>
      </c>
      <c r="U87" s="89">
        <f>VLOOKUP(C87,'Talente &amp; Stuff'!BI:CJ,19,FALSE)</f>
        <v>0</v>
      </c>
      <c r="V87" s="47">
        <f>VLOOKUP(C87,'Talente &amp; Stuff'!BI:CJ,20,FALSE)</f>
        <v>0</v>
      </c>
      <c r="W87" s="127">
        <f>VLOOKUP(C87,'Talente &amp; Stuff'!BI:CJ,21,FALSE)</f>
        <v>0</v>
      </c>
      <c r="X87" s="127">
        <f>VLOOKUP(C87,'Talente &amp; Stuff'!BI:CJ,22,FALSE)</f>
        <v>0</v>
      </c>
      <c r="Y87" s="165">
        <f t="shared" si="10"/>
        <v>0</v>
      </c>
      <c r="Z87" s="44">
        <f t="shared" si="11"/>
        <v>0</v>
      </c>
      <c r="AA87" s="125">
        <f>VLOOKUP(C87,'Talente &amp; Stuff'!BI:CJ,25,FALSE)</f>
        <v>0</v>
      </c>
      <c r="AB87" s="160">
        <f>VLOOKUP(C87,'Talente &amp; Stuff'!BI:CJ,26,FALSE)</f>
        <v>0</v>
      </c>
      <c r="AC87" s="127">
        <f>VLOOKUP(C87,'Talente &amp; Stuff'!BI:CJ,27,FALSE)</f>
        <v>0</v>
      </c>
      <c r="AD87" s="125">
        <f>VLOOKUP(C87,'Talente &amp; Stuff'!BI:CJ,28,FALSE)</f>
        <v>0</v>
      </c>
      <c r="AE87" s="28"/>
    </row>
    <row r="88" spans="2:31" ht="15" hidden="1" customHeight="1" outlineLevel="2">
      <c r="B88" s="148">
        <v>11</v>
      </c>
      <c r="C88" s="177" t="str">
        <f>Attribute!C88</f>
        <v>---</v>
      </c>
      <c r="D88" s="125" t="str">
        <f>VLOOKUP(C88,'Talente &amp; Stuff'!BI:CJ,2,FALSE)</f>
        <v>--/--/--</v>
      </c>
      <c r="E88" s="127" t="str">
        <f>VLOOKUP(C88,'Talente &amp; Stuff'!BI:CJ,3,FALSE)</f>
        <v>-</v>
      </c>
      <c r="F88" s="114">
        <f>VLOOKUP(C88,'Talente &amp; Stuff'!BI:CJ,4,FALSE)</f>
        <v>0</v>
      </c>
      <c r="G88" s="113">
        <f>VLOOKUP(C88,'Talente &amp; Stuff'!BI:CJ,5,FALSE)</f>
        <v>0</v>
      </c>
      <c r="H88" s="113">
        <f>VLOOKUP(C88,'Talente &amp; Stuff'!BI:CJ,6,FALSE)</f>
        <v>0</v>
      </c>
      <c r="I88" s="113">
        <f>VLOOKUP(C88,'Talente &amp; Stuff'!BI:CJ,7,FALSE)</f>
        <v>0</v>
      </c>
      <c r="J88" s="113">
        <f>VLOOKUP(C88,'Talente &amp; Stuff'!BI:CJ,8,FALSE)</f>
        <v>0</v>
      </c>
      <c r="K88" s="113">
        <f>VLOOKUP(C88,'Talente &amp; Stuff'!BI:CJ,9,FALSE)</f>
        <v>0</v>
      </c>
      <c r="L88" s="113">
        <f>VLOOKUP(C88,'Talente &amp; Stuff'!BI:CJ,10,FALSE)</f>
        <v>0</v>
      </c>
      <c r="M88" s="119">
        <f>VLOOKUP(C88,'Talente &amp; Stuff'!BI:CJ,11,FALSE)</f>
        <v>0</v>
      </c>
      <c r="N88" s="89">
        <f>VLOOKUP(C88,'Talente &amp; Stuff'!BI:CJ,12,FALSE)</f>
        <v>0</v>
      </c>
      <c r="O88" s="47">
        <f>VLOOKUP(C88,'Talente &amp; Stuff'!BI:CJ,13,FALSE)</f>
        <v>0</v>
      </c>
      <c r="P88" s="119">
        <f>VLOOKUP(C88,'Talente &amp; Stuff'!BI:CJ,14,FALSE)</f>
        <v>0</v>
      </c>
      <c r="Q88" s="114">
        <f>VLOOKUP(C88,'Talente &amp; Stuff'!BI:CJ,15,FALSE)</f>
        <v>0</v>
      </c>
      <c r="R88" s="113">
        <f>VLOOKUP(C88,'Talente &amp; Stuff'!BI:CJ,16,FALSE)</f>
        <v>0</v>
      </c>
      <c r="S88" s="119">
        <f>VLOOKUP(C88,'Talente &amp; Stuff'!BI:CJ,17,FALSE)</f>
        <v>0</v>
      </c>
      <c r="T88" s="160">
        <f>VLOOKUP(C88,'Talente &amp; Stuff'!BI:CJ,18,FALSE)</f>
        <v>0</v>
      </c>
      <c r="U88" s="89">
        <f>VLOOKUP(C88,'Talente &amp; Stuff'!BI:CJ,19,FALSE)</f>
        <v>0</v>
      </c>
      <c r="V88" s="47">
        <f>VLOOKUP(C88,'Talente &amp; Stuff'!BI:CJ,20,FALSE)</f>
        <v>0</v>
      </c>
      <c r="W88" s="127">
        <f>VLOOKUP(C88,'Talente &amp; Stuff'!BI:CJ,21,FALSE)</f>
        <v>0</v>
      </c>
      <c r="X88" s="127">
        <f>VLOOKUP(C88,'Talente &amp; Stuff'!BI:CJ,22,FALSE)</f>
        <v>0</v>
      </c>
      <c r="Y88" s="165">
        <f t="shared" si="10"/>
        <v>0</v>
      </c>
      <c r="Z88" s="44">
        <f t="shared" si="11"/>
        <v>0</v>
      </c>
      <c r="AA88" s="125">
        <f>VLOOKUP(C88,'Talente &amp; Stuff'!BI:CJ,25,FALSE)</f>
        <v>0</v>
      </c>
      <c r="AB88" s="160">
        <f>VLOOKUP(C88,'Talente &amp; Stuff'!BI:CJ,26,FALSE)</f>
        <v>0</v>
      </c>
      <c r="AC88" s="127">
        <f>VLOOKUP(C88,'Talente &amp; Stuff'!BI:CJ,27,FALSE)</f>
        <v>0</v>
      </c>
      <c r="AD88" s="125">
        <f>VLOOKUP(C88,'Talente &amp; Stuff'!BI:CJ,28,FALSE)</f>
        <v>0</v>
      </c>
      <c r="AE88" s="28"/>
    </row>
    <row r="89" spans="2:31" ht="15" hidden="1" customHeight="1" outlineLevel="2">
      <c r="B89" s="148">
        <v>12</v>
      </c>
      <c r="C89" s="177" t="str">
        <f>Attribute!C89</f>
        <v>---</v>
      </c>
      <c r="D89" s="125" t="str">
        <f>VLOOKUP(C89,'Talente &amp; Stuff'!BI:CJ,2,FALSE)</f>
        <v>--/--/--</v>
      </c>
      <c r="E89" s="127" t="str">
        <f>VLOOKUP(C89,'Talente &amp; Stuff'!BI:CJ,3,FALSE)</f>
        <v>-</v>
      </c>
      <c r="F89" s="114">
        <f>VLOOKUP(C89,'Talente &amp; Stuff'!BI:CJ,4,FALSE)</f>
        <v>0</v>
      </c>
      <c r="G89" s="113">
        <f>VLOOKUP(C89,'Talente &amp; Stuff'!BI:CJ,5,FALSE)</f>
        <v>0</v>
      </c>
      <c r="H89" s="113">
        <f>VLOOKUP(C89,'Talente &amp; Stuff'!BI:CJ,6,FALSE)</f>
        <v>0</v>
      </c>
      <c r="I89" s="113">
        <f>VLOOKUP(C89,'Talente &amp; Stuff'!BI:CJ,7,FALSE)</f>
        <v>0</v>
      </c>
      <c r="J89" s="113">
        <f>VLOOKUP(C89,'Talente &amp; Stuff'!BI:CJ,8,FALSE)</f>
        <v>0</v>
      </c>
      <c r="K89" s="113">
        <f>VLOOKUP(C89,'Talente &amp; Stuff'!BI:CJ,9,FALSE)</f>
        <v>0</v>
      </c>
      <c r="L89" s="113">
        <f>VLOOKUP(C89,'Talente &amp; Stuff'!BI:CJ,10,FALSE)</f>
        <v>0</v>
      </c>
      <c r="M89" s="119">
        <f>VLOOKUP(C89,'Talente &amp; Stuff'!BI:CJ,11,FALSE)</f>
        <v>0</v>
      </c>
      <c r="N89" s="89">
        <f>VLOOKUP(C89,'Talente &amp; Stuff'!BI:CJ,12,FALSE)</f>
        <v>0</v>
      </c>
      <c r="O89" s="47">
        <f>VLOOKUP(C89,'Talente &amp; Stuff'!BI:CJ,13,FALSE)</f>
        <v>0</v>
      </c>
      <c r="P89" s="119">
        <f>VLOOKUP(C89,'Talente &amp; Stuff'!BI:CJ,14,FALSE)</f>
        <v>0</v>
      </c>
      <c r="Q89" s="114">
        <f>VLOOKUP(C89,'Talente &amp; Stuff'!BI:CJ,15,FALSE)</f>
        <v>0</v>
      </c>
      <c r="R89" s="113">
        <f>VLOOKUP(C89,'Talente &amp; Stuff'!BI:CJ,16,FALSE)</f>
        <v>0</v>
      </c>
      <c r="S89" s="119">
        <f>VLOOKUP(C89,'Talente &amp; Stuff'!BI:CJ,17,FALSE)</f>
        <v>0</v>
      </c>
      <c r="T89" s="160">
        <f>VLOOKUP(C89,'Talente &amp; Stuff'!BI:CJ,18,FALSE)</f>
        <v>0</v>
      </c>
      <c r="U89" s="89">
        <f>VLOOKUP(C89,'Talente &amp; Stuff'!BI:CJ,19,FALSE)</f>
        <v>0</v>
      </c>
      <c r="V89" s="47">
        <f>VLOOKUP(C89,'Talente &amp; Stuff'!BI:CJ,20,FALSE)</f>
        <v>0</v>
      </c>
      <c r="W89" s="127">
        <f>VLOOKUP(C89,'Talente &amp; Stuff'!BI:CJ,21,FALSE)</f>
        <v>0</v>
      </c>
      <c r="X89" s="127">
        <f>VLOOKUP(C89,'Talente &amp; Stuff'!BI:CJ,22,FALSE)</f>
        <v>0</v>
      </c>
      <c r="Y89" s="165">
        <f t="shared" si="10"/>
        <v>0</v>
      </c>
      <c r="Z89" s="44">
        <f t="shared" si="11"/>
        <v>0</v>
      </c>
      <c r="AA89" s="125">
        <f>VLOOKUP(C89,'Talente &amp; Stuff'!BI:CJ,25,FALSE)</f>
        <v>0</v>
      </c>
      <c r="AB89" s="160">
        <f>VLOOKUP(C89,'Talente &amp; Stuff'!BI:CJ,26,FALSE)</f>
        <v>0</v>
      </c>
      <c r="AC89" s="127">
        <f>VLOOKUP(C89,'Talente &amp; Stuff'!BI:CJ,27,FALSE)</f>
        <v>0</v>
      </c>
      <c r="AD89" s="125">
        <f>VLOOKUP(C89,'Talente &amp; Stuff'!BI:CJ,28,FALSE)</f>
        <v>0</v>
      </c>
      <c r="AE89" s="28"/>
    </row>
    <row r="90" spans="2:31" ht="15" hidden="1" customHeight="1" outlineLevel="2">
      <c r="B90" s="148">
        <v>13</v>
      </c>
      <c r="C90" s="177" t="str">
        <f>Attribute!C90</f>
        <v>---</v>
      </c>
      <c r="D90" s="125" t="str">
        <f>VLOOKUP(C90,'Talente &amp; Stuff'!BI:CJ,2,FALSE)</f>
        <v>--/--/--</v>
      </c>
      <c r="E90" s="127" t="str">
        <f>VLOOKUP(C90,'Talente &amp; Stuff'!BI:CJ,3,FALSE)</f>
        <v>-</v>
      </c>
      <c r="F90" s="114">
        <f>VLOOKUP(C90,'Talente &amp; Stuff'!BI:CJ,4,FALSE)</f>
        <v>0</v>
      </c>
      <c r="G90" s="113">
        <f>VLOOKUP(C90,'Talente &amp; Stuff'!BI:CJ,5,FALSE)</f>
        <v>0</v>
      </c>
      <c r="H90" s="113">
        <f>VLOOKUP(C90,'Talente &amp; Stuff'!BI:CJ,6,FALSE)</f>
        <v>0</v>
      </c>
      <c r="I90" s="113">
        <f>VLOOKUP(C90,'Talente &amp; Stuff'!BI:CJ,7,FALSE)</f>
        <v>0</v>
      </c>
      <c r="J90" s="113">
        <f>VLOOKUP(C90,'Talente &amp; Stuff'!BI:CJ,8,FALSE)</f>
        <v>0</v>
      </c>
      <c r="K90" s="113">
        <f>VLOOKUP(C90,'Talente &amp; Stuff'!BI:CJ,9,FALSE)</f>
        <v>0</v>
      </c>
      <c r="L90" s="113">
        <f>VLOOKUP(C90,'Talente &amp; Stuff'!BI:CJ,10,FALSE)</f>
        <v>0</v>
      </c>
      <c r="M90" s="119">
        <f>VLOOKUP(C90,'Talente &amp; Stuff'!BI:CJ,11,FALSE)</f>
        <v>0</v>
      </c>
      <c r="N90" s="89">
        <f>VLOOKUP(C90,'Talente &amp; Stuff'!BI:CJ,12,FALSE)</f>
        <v>0</v>
      </c>
      <c r="O90" s="47">
        <f>VLOOKUP(C90,'Talente &amp; Stuff'!BI:CJ,13,FALSE)</f>
        <v>0</v>
      </c>
      <c r="P90" s="119">
        <f>VLOOKUP(C90,'Talente &amp; Stuff'!BI:CJ,14,FALSE)</f>
        <v>0</v>
      </c>
      <c r="Q90" s="114">
        <f>VLOOKUP(C90,'Talente &amp; Stuff'!BI:CJ,15,FALSE)</f>
        <v>0</v>
      </c>
      <c r="R90" s="113">
        <f>VLOOKUP(C90,'Talente &amp; Stuff'!BI:CJ,16,FALSE)</f>
        <v>0</v>
      </c>
      <c r="S90" s="119">
        <f>VLOOKUP(C90,'Talente &amp; Stuff'!BI:CJ,17,FALSE)</f>
        <v>0</v>
      </c>
      <c r="T90" s="160">
        <f>VLOOKUP(C90,'Talente &amp; Stuff'!BI:CJ,18,FALSE)</f>
        <v>0</v>
      </c>
      <c r="U90" s="89">
        <f>VLOOKUP(C90,'Talente &amp; Stuff'!BI:CJ,19,FALSE)</f>
        <v>0</v>
      </c>
      <c r="V90" s="47">
        <f>VLOOKUP(C90,'Talente &amp; Stuff'!BI:CJ,20,FALSE)</f>
        <v>0</v>
      </c>
      <c r="W90" s="127">
        <f>VLOOKUP(C90,'Talente &amp; Stuff'!BI:CJ,21,FALSE)</f>
        <v>0</v>
      </c>
      <c r="X90" s="127">
        <f>VLOOKUP(C90,'Talente &amp; Stuff'!BI:CJ,22,FALSE)</f>
        <v>0</v>
      </c>
      <c r="Y90" s="165">
        <f t="shared" si="10"/>
        <v>0</v>
      </c>
      <c r="Z90" s="44">
        <f t="shared" si="11"/>
        <v>0</v>
      </c>
      <c r="AA90" s="125">
        <f>VLOOKUP(C90,'Talente &amp; Stuff'!BI:CJ,25,FALSE)</f>
        <v>0</v>
      </c>
      <c r="AB90" s="160">
        <f>VLOOKUP(C90,'Talente &amp; Stuff'!BI:CJ,26,FALSE)</f>
        <v>0</v>
      </c>
      <c r="AC90" s="127">
        <f>VLOOKUP(C90,'Talente &amp; Stuff'!BI:CJ,27,FALSE)</f>
        <v>0</v>
      </c>
      <c r="AD90" s="125">
        <f>VLOOKUP(C90,'Talente &amp; Stuff'!BI:CJ,28,FALSE)</f>
        <v>0</v>
      </c>
      <c r="AE90" s="28"/>
    </row>
    <row r="91" spans="2:31" ht="15" hidden="1" customHeight="1" outlineLevel="2">
      <c r="B91" s="148">
        <v>14</v>
      </c>
      <c r="C91" s="177" t="str">
        <f>Attribute!C91</f>
        <v>---</v>
      </c>
      <c r="D91" s="125" t="str">
        <f>VLOOKUP(C91,'Talente &amp; Stuff'!BI:CJ,2,FALSE)</f>
        <v>--/--/--</v>
      </c>
      <c r="E91" s="127" t="str">
        <f>VLOOKUP(C91,'Talente &amp; Stuff'!BI:CJ,3,FALSE)</f>
        <v>-</v>
      </c>
      <c r="F91" s="114">
        <f>VLOOKUP(C91,'Talente &amp; Stuff'!BI:CJ,4,FALSE)</f>
        <v>0</v>
      </c>
      <c r="G91" s="113">
        <f>VLOOKUP(C91,'Talente &amp; Stuff'!BI:CJ,5,FALSE)</f>
        <v>0</v>
      </c>
      <c r="H91" s="113">
        <f>VLOOKUP(C91,'Talente &amp; Stuff'!BI:CJ,6,FALSE)</f>
        <v>0</v>
      </c>
      <c r="I91" s="113">
        <f>VLOOKUP(C91,'Talente &amp; Stuff'!BI:CJ,7,FALSE)</f>
        <v>0</v>
      </c>
      <c r="J91" s="113">
        <f>VLOOKUP(C91,'Talente &amp; Stuff'!BI:CJ,8,FALSE)</f>
        <v>0</v>
      </c>
      <c r="K91" s="113">
        <f>VLOOKUP(C91,'Talente &amp; Stuff'!BI:CJ,9,FALSE)</f>
        <v>0</v>
      </c>
      <c r="L91" s="113">
        <f>VLOOKUP(C91,'Talente &amp; Stuff'!BI:CJ,10,FALSE)</f>
        <v>0</v>
      </c>
      <c r="M91" s="119">
        <f>VLOOKUP(C91,'Talente &amp; Stuff'!BI:CJ,11,FALSE)</f>
        <v>0</v>
      </c>
      <c r="N91" s="89">
        <f>VLOOKUP(C91,'Talente &amp; Stuff'!BI:CJ,12,FALSE)</f>
        <v>0</v>
      </c>
      <c r="O91" s="47">
        <f>VLOOKUP(C91,'Talente &amp; Stuff'!BI:CJ,13,FALSE)</f>
        <v>0</v>
      </c>
      <c r="P91" s="119">
        <f>VLOOKUP(C91,'Talente &amp; Stuff'!BI:CJ,14,FALSE)</f>
        <v>0</v>
      </c>
      <c r="Q91" s="114">
        <f>VLOOKUP(C91,'Talente &amp; Stuff'!BI:CJ,15,FALSE)</f>
        <v>0</v>
      </c>
      <c r="R91" s="113">
        <f>VLOOKUP(C91,'Talente &amp; Stuff'!BI:CJ,16,FALSE)</f>
        <v>0</v>
      </c>
      <c r="S91" s="119">
        <f>VLOOKUP(C91,'Talente &amp; Stuff'!BI:CJ,17,FALSE)</f>
        <v>0</v>
      </c>
      <c r="T91" s="160">
        <f>VLOOKUP(C91,'Talente &amp; Stuff'!BI:CJ,18,FALSE)</f>
        <v>0</v>
      </c>
      <c r="U91" s="89">
        <f>VLOOKUP(C91,'Talente &amp; Stuff'!BI:CJ,19,FALSE)</f>
        <v>0</v>
      </c>
      <c r="V91" s="47">
        <f>VLOOKUP(C91,'Talente &amp; Stuff'!BI:CJ,20,FALSE)</f>
        <v>0</v>
      </c>
      <c r="W91" s="127">
        <f>VLOOKUP(C91,'Talente &amp; Stuff'!BI:CJ,21,FALSE)</f>
        <v>0</v>
      </c>
      <c r="X91" s="127">
        <f>VLOOKUP(C91,'Talente &amp; Stuff'!BI:CJ,22,FALSE)</f>
        <v>0</v>
      </c>
      <c r="Y91" s="165">
        <f t="shared" si="10"/>
        <v>0</v>
      </c>
      <c r="Z91" s="44">
        <f t="shared" si="11"/>
        <v>0</v>
      </c>
      <c r="AA91" s="125">
        <f>VLOOKUP(C91,'Talente &amp; Stuff'!BI:CJ,25,FALSE)</f>
        <v>0</v>
      </c>
      <c r="AB91" s="160">
        <f>VLOOKUP(C91,'Talente &amp; Stuff'!BI:CJ,26,FALSE)</f>
        <v>0</v>
      </c>
      <c r="AC91" s="127">
        <f>VLOOKUP(C91,'Talente &amp; Stuff'!BI:CJ,27,FALSE)</f>
        <v>0</v>
      </c>
      <c r="AD91" s="125">
        <f>VLOOKUP(C91,'Talente &amp; Stuff'!BI:CJ,28,FALSE)</f>
        <v>0</v>
      </c>
      <c r="AE91" s="28"/>
    </row>
    <row r="92" spans="2:31" ht="15" hidden="1" customHeight="1" outlineLevel="2">
      <c r="B92" s="148">
        <v>15</v>
      </c>
      <c r="C92" s="177" t="str">
        <f>Attribute!C92</f>
        <v>---</v>
      </c>
      <c r="D92" s="86" t="str">
        <f>VLOOKUP(C92,'Talente &amp; Stuff'!BI:CJ,2,FALSE)</f>
        <v>--/--/--</v>
      </c>
      <c r="E92" s="127" t="str">
        <f>VLOOKUP(C92,'Talente &amp; Stuff'!BI:CJ,3,FALSE)</f>
        <v>-</v>
      </c>
      <c r="F92" s="114">
        <f>VLOOKUP(C92,'Talente &amp; Stuff'!BI:CJ,4,FALSE)</f>
        <v>0</v>
      </c>
      <c r="G92" s="113">
        <f>VLOOKUP(C92,'Talente &amp; Stuff'!BI:CJ,5,FALSE)</f>
        <v>0</v>
      </c>
      <c r="H92" s="113">
        <f>VLOOKUP(C92,'Talente &amp; Stuff'!BI:CJ,6,FALSE)</f>
        <v>0</v>
      </c>
      <c r="I92" s="113">
        <f>VLOOKUP(C92,'Talente &amp; Stuff'!BI:CJ,7,FALSE)</f>
        <v>0</v>
      </c>
      <c r="J92" s="113">
        <f>VLOOKUP(C92,'Talente &amp; Stuff'!BI:CJ,8,FALSE)</f>
        <v>0</v>
      </c>
      <c r="K92" s="113">
        <f>VLOOKUP(C92,'Talente &amp; Stuff'!BI:CJ,9,FALSE)</f>
        <v>0</v>
      </c>
      <c r="L92" s="113">
        <f>VLOOKUP(C92,'Talente &amp; Stuff'!BI:CJ,10,FALSE)</f>
        <v>0</v>
      </c>
      <c r="M92" s="119">
        <f>VLOOKUP(C92,'Talente &amp; Stuff'!BI:CJ,11,FALSE)</f>
        <v>0</v>
      </c>
      <c r="N92" s="89">
        <f>VLOOKUP(C92,'Talente &amp; Stuff'!BI:CJ,12,FALSE)</f>
        <v>0</v>
      </c>
      <c r="O92" s="47">
        <f>VLOOKUP(C92,'Talente &amp; Stuff'!BI:CJ,13,FALSE)</f>
        <v>0</v>
      </c>
      <c r="P92" s="119">
        <f>VLOOKUP(C92,'Talente &amp; Stuff'!BI:CJ,14,FALSE)</f>
        <v>0</v>
      </c>
      <c r="Q92" s="114">
        <f>VLOOKUP(C92,'Talente &amp; Stuff'!BI:CJ,15,FALSE)</f>
        <v>0</v>
      </c>
      <c r="R92" s="113">
        <f>VLOOKUP(C92,'Talente &amp; Stuff'!BI:CJ,16,FALSE)</f>
        <v>0</v>
      </c>
      <c r="S92" s="119">
        <f>VLOOKUP(C92,'Talente &amp; Stuff'!BI:CJ,17,FALSE)</f>
        <v>0</v>
      </c>
      <c r="T92" s="160">
        <f>VLOOKUP(C92,'Talente &amp; Stuff'!BI:CJ,18,FALSE)</f>
        <v>0</v>
      </c>
      <c r="U92" s="89">
        <f>VLOOKUP(C92,'Talente &amp; Stuff'!BI:CJ,19,FALSE)</f>
        <v>0</v>
      </c>
      <c r="V92" s="47">
        <f>VLOOKUP(C92,'Talente &amp; Stuff'!BI:CJ,20,FALSE)</f>
        <v>0</v>
      </c>
      <c r="W92" s="127">
        <f>VLOOKUP(C92,'Talente &amp; Stuff'!BI:CJ,21,FALSE)</f>
        <v>0</v>
      </c>
      <c r="X92" s="127">
        <f>VLOOKUP(C92,'Talente &amp; Stuff'!BI:CJ,22,FALSE)</f>
        <v>0</v>
      </c>
      <c r="Y92" s="165">
        <f t="shared" si="10"/>
        <v>0</v>
      </c>
      <c r="Z92" s="44">
        <f t="shared" si="11"/>
        <v>0</v>
      </c>
      <c r="AA92" s="125">
        <f>VLOOKUP(C92,'Talente &amp; Stuff'!BI:CJ,25,FALSE)</f>
        <v>0</v>
      </c>
      <c r="AB92" s="160">
        <f>VLOOKUP(C92,'Talente &amp; Stuff'!BI:CJ,26,FALSE)</f>
        <v>0</v>
      </c>
      <c r="AC92" s="127">
        <f>VLOOKUP(C92,'Talente &amp; Stuff'!BI:CJ,27,FALSE)</f>
        <v>0</v>
      </c>
      <c r="AD92" s="125">
        <f>VLOOKUP(C92,'Talente &amp; Stuff'!BI:CJ,28,FALSE)</f>
        <v>0</v>
      </c>
      <c r="AE92" s="28"/>
    </row>
    <row r="93" spans="2:31" ht="15" hidden="1" customHeight="1" outlineLevel="2">
      <c r="B93" s="148">
        <v>16</v>
      </c>
      <c r="C93" s="177" t="str">
        <f>Attribute!C93</f>
        <v>---</v>
      </c>
      <c r="D93" s="125" t="str">
        <f>VLOOKUP(C93,'Talente &amp; Stuff'!BI:CJ,2,FALSE)</f>
        <v>--/--/--</v>
      </c>
      <c r="E93" s="127" t="str">
        <f>VLOOKUP(C93,'Talente &amp; Stuff'!BI:CJ,3,FALSE)</f>
        <v>-</v>
      </c>
      <c r="F93" s="114">
        <f>VLOOKUP(C93,'Talente &amp; Stuff'!BI:CJ,4,FALSE)</f>
        <v>0</v>
      </c>
      <c r="G93" s="113">
        <f>VLOOKUP(C93,'Talente &amp; Stuff'!BI:CJ,5,FALSE)</f>
        <v>0</v>
      </c>
      <c r="H93" s="113">
        <f>VLOOKUP(C93,'Talente &amp; Stuff'!BI:CJ,6,FALSE)</f>
        <v>0</v>
      </c>
      <c r="I93" s="113">
        <f>VLOOKUP(C93,'Talente &amp; Stuff'!BI:CJ,7,FALSE)</f>
        <v>0</v>
      </c>
      <c r="J93" s="113">
        <f>VLOOKUP(C93,'Talente &amp; Stuff'!BI:CJ,8,FALSE)</f>
        <v>0</v>
      </c>
      <c r="K93" s="113">
        <f>VLOOKUP(C93,'Talente &amp; Stuff'!BI:CJ,9,FALSE)</f>
        <v>0</v>
      </c>
      <c r="L93" s="113">
        <f>VLOOKUP(C93,'Talente &amp; Stuff'!BI:CJ,10,FALSE)</f>
        <v>0</v>
      </c>
      <c r="M93" s="119">
        <f>VLOOKUP(C93,'Talente &amp; Stuff'!BI:CJ,11,FALSE)</f>
        <v>0</v>
      </c>
      <c r="N93" s="89">
        <f>VLOOKUP(C93,'Talente &amp; Stuff'!BI:CJ,12,FALSE)</f>
        <v>0</v>
      </c>
      <c r="O93" s="47">
        <f>VLOOKUP(C93,'Talente &amp; Stuff'!BI:CJ,13,FALSE)</f>
        <v>0</v>
      </c>
      <c r="P93" s="119">
        <f>VLOOKUP(C93,'Talente &amp; Stuff'!BI:CJ,14,FALSE)</f>
        <v>0</v>
      </c>
      <c r="Q93" s="114">
        <f>VLOOKUP(C93,'Talente &amp; Stuff'!BI:CJ,15,FALSE)</f>
        <v>0</v>
      </c>
      <c r="R93" s="113">
        <f>VLOOKUP(C93,'Talente &amp; Stuff'!BI:CJ,16,FALSE)</f>
        <v>0</v>
      </c>
      <c r="S93" s="119">
        <f>VLOOKUP(C93,'Talente &amp; Stuff'!BI:CJ,17,FALSE)</f>
        <v>0</v>
      </c>
      <c r="T93" s="160">
        <f>VLOOKUP(C93,'Talente &amp; Stuff'!BI:CJ,18,FALSE)</f>
        <v>0</v>
      </c>
      <c r="U93" s="89">
        <f>VLOOKUP(C93,'Talente &amp; Stuff'!BI:CJ,19,FALSE)</f>
        <v>0</v>
      </c>
      <c r="V93" s="47">
        <f>VLOOKUP(C93,'Talente &amp; Stuff'!BI:CJ,20,FALSE)</f>
        <v>0</v>
      </c>
      <c r="W93" s="127">
        <f>VLOOKUP(C93,'Talente &amp; Stuff'!BI:CJ,21,FALSE)</f>
        <v>0</v>
      </c>
      <c r="X93" s="127">
        <f>VLOOKUP(C93,'Talente &amp; Stuff'!BI:CJ,22,FALSE)</f>
        <v>0</v>
      </c>
      <c r="Y93" s="165">
        <f t="shared" si="10"/>
        <v>0</v>
      </c>
      <c r="Z93" s="44">
        <f t="shared" si="11"/>
        <v>0</v>
      </c>
      <c r="AA93" s="125">
        <f>VLOOKUP(C93,'Talente &amp; Stuff'!BI:CJ,25,FALSE)</f>
        <v>0</v>
      </c>
      <c r="AB93" s="160">
        <f>VLOOKUP(C93,'Talente &amp; Stuff'!BI:CJ,26,FALSE)</f>
        <v>0</v>
      </c>
      <c r="AC93" s="127">
        <f>VLOOKUP(C93,'Talente &amp; Stuff'!BI:CJ,27,FALSE)</f>
        <v>0</v>
      </c>
      <c r="AD93" s="125">
        <f>VLOOKUP(C93,'Talente &amp; Stuff'!BI:CJ,28,FALSE)</f>
        <v>0</v>
      </c>
      <c r="AE93" s="28"/>
    </row>
    <row r="94" spans="2:31" ht="15" hidden="1" customHeight="1" outlineLevel="2">
      <c r="B94" s="148">
        <v>17</v>
      </c>
      <c r="C94" s="177" t="str">
        <f>Attribute!C94</f>
        <v>---</v>
      </c>
      <c r="D94" s="125" t="str">
        <f>VLOOKUP(C94,'Talente &amp; Stuff'!BI:CJ,2,FALSE)</f>
        <v>--/--/--</v>
      </c>
      <c r="E94" s="127" t="str">
        <f>VLOOKUP(C94,'Talente &amp; Stuff'!BI:CJ,3,FALSE)</f>
        <v>-</v>
      </c>
      <c r="F94" s="114">
        <f>VLOOKUP(C94,'Talente &amp; Stuff'!BI:CJ,4,FALSE)</f>
        <v>0</v>
      </c>
      <c r="G94" s="113">
        <f>VLOOKUP(C94,'Talente &amp; Stuff'!BI:CJ,5,FALSE)</f>
        <v>0</v>
      </c>
      <c r="H94" s="113">
        <f>VLOOKUP(C94,'Talente &amp; Stuff'!BI:CJ,6,FALSE)</f>
        <v>0</v>
      </c>
      <c r="I94" s="113">
        <f>VLOOKUP(C94,'Talente &amp; Stuff'!BI:CJ,7,FALSE)</f>
        <v>0</v>
      </c>
      <c r="J94" s="113">
        <f>VLOOKUP(C94,'Talente &amp; Stuff'!BI:CJ,8,FALSE)</f>
        <v>0</v>
      </c>
      <c r="K94" s="113">
        <f>VLOOKUP(C94,'Talente &amp; Stuff'!BI:CJ,9,FALSE)</f>
        <v>0</v>
      </c>
      <c r="L94" s="113">
        <f>VLOOKUP(C94,'Talente &amp; Stuff'!BI:CJ,10,FALSE)</f>
        <v>0</v>
      </c>
      <c r="M94" s="119">
        <f>VLOOKUP(C94,'Talente &amp; Stuff'!BI:CJ,11,FALSE)</f>
        <v>0</v>
      </c>
      <c r="N94" s="89">
        <f>VLOOKUP(C94,'Talente &amp; Stuff'!BI:CJ,12,FALSE)</f>
        <v>0</v>
      </c>
      <c r="O94" s="47">
        <f>VLOOKUP(C94,'Talente &amp; Stuff'!BI:CJ,13,FALSE)</f>
        <v>0</v>
      </c>
      <c r="P94" s="119">
        <f>VLOOKUP(C94,'Talente &amp; Stuff'!BI:CJ,14,FALSE)</f>
        <v>0</v>
      </c>
      <c r="Q94" s="114">
        <f>VLOOKUP(C94,'Talente &amp; Stuff'!BI:CJ,15,FALSE)</f>
        <v>0</v>
      </c>
      <c r="R94" s="113">
        <f>VLOOKUP(C94,'Talente &amp; Stuff'!BI:CJ,16,FALSE)</f>
        <v>0</v>
      </c>
      <c r="S94" s="119">
        <f>VLOOKUP(C94,'Talente &amp; Stuff'!BI:CJ,17,FALSE)</f>
        <v>0</v>
      </c>
      <c r="T94" s="160">
        <f>VLOOKUP(C94,'Talente &amp; Stuff'!BI:CJ,18,FALSE)</f>
        <v>0</v>
      </c>
      <c r="U94" s="89">
        <f>VLOOKUP(C94,'Talente &amp; Stuff'!BI:CJ,19,FALSE)</f>
        <v>0</v>
      </c>
      <c r="V94" s="47">
        <f>VLOOKUP(C94,'Talente &amp; Stuff'!BI:CJ,20,FALSE)</f>
        <v>0</v>
      </c>
      <c r="W94" s="127">
        <f>VLOOKUP(C94,'Talente &amp; Stuff'!BI:CJ,21,FALSE)</f>
        <v>0</v>
      </c>
      <c r="X94" s="127">
        <f>VLOOKUP(C94,'Talente &amp; Stuff'!BI:CJ,22,FALSE)</f>
        <v>0</v>
      </c>
      <c r="Y94" s="165">
        <f t="shared" si="10"/>
        <v>0</v>
      </c>
      <c r="Z94" s="44">
        <f t="shared" si="11"/>
        <v>0</v>
      </c>
      <c r="AA94" s="125">
        <f>VLOOKUP(C94,'Talente &amp; Stuff'!BI:CJ,25,FALSE)</f>
        <v>0</v>
      </c>
      <c r="AB94" s="160">
        <f>VLOOKUP(C94,'Talente &amp; Stuff'!BI:CJ,26,FALSE)</f>
        <v>0</v>
      </c>
      <c r="AC94" s="127">
        <f>VLOOKUP(C94,'Talente &amp; Stuff'!BI:CJ,27,FALSE)</f>
        <v>0</v>
      </c>
      <c r="AD94" s="125">
        <f>VLOOKUP(C94,'Talente &amp; Stuff'!BI:CJ,28,FALSE)</f>
        <v>0</v>
      </c>
      <c r="AE94" s="28"/>
    </row>
    <row r="95" spans="2:31" ht="15" hidden="1" customHeight="1" outlineLevel="2">
      <c r="B95" s="148">
        <v>18</v>
      </c>
      <c r="C95" s="177" t="str">
        <f>Attribute!C95</f>
        <v>---</v>
      </c>
      <c r="D95" s="125" t="str">
        <f>VLOOKUP(C95,'Talente &amp; Stuff'!BI:CJ,2,FALSE)</f>
        <v>--/--/--</v>
      </c>
      <c r="E95" s="127" t="str">
        <f>VLOOKUP(C95,'Talente &amp; Stuff'!BI:CJ,3,FALSE)</f>
        <v>-</v>
      </c>
      <c r="F95" s="114">
        <f>VLOOKUP(C95,'Talente &amp; Stuff'!BI:CJ,4,FALSE)</f>
        <v>0</v>
      </c>
      <c r="G95" s="113">
        <f>VLOOKUP(C95,'Talente &amp; Stuff'!BI:CJ,5,FALSE)</f>
        <v>0</v>
      </c>
      <c r="H95" s="113">
        <f>VLOOKUP(C95,'Talente &amp; Stuff'!BI:CJ,6,FALSE)</f>
        <v>0</v>
      </c>
      <c r="I95" s="113">
        <f>VLOOKUP(C95,'Talente &amp; Stuff'!BI:CJ,7,FALSE)</f>
        <v>0</v>
      </c>
      <c r="J95" s="113">
        <f>VLOOKUP(C95,'Talente &amp; Stuff'!BI:CJ,8,FALSE)</f>
        <v>0</v>
      </c>
      <c r="K95" s="113">
        <f>VLOOKUP(C95,'Talente &amp; Stuff'!BI:CJ,9,FALSE)</f>
        <v>0</v>
      </c>
      <c r="L95" s="113">
        <f>VLOOKUP(C95,'Talente &amp; Stuff'!BI:CJ,10,FALSE)</f>
        <v>0</v>
      </c>
      <c r="M95" s="119">
        <f>VLOOKUP(C95,'Talente &amp; Stuff'!BI:CJ,11,FALSE)</f>
        <v>0</v>
      </c>
      <c r="N95" s="89">
        <f>VLOOKUP(C95,'Talente &amp; Stuff'!BI:CJ,12,FALSE)</f>
        <v>0</v>
      </c>
      <c r="O95" s="47">
        <f>VLOOKUP(C95,'Talente &amp; Stuff'!BI:CJ,13,FALSE)</f>
        <v>0</v>
      </c>
      <c r="P95" s="119">
        <f>VLOOKUP(C95,'Talente &amp; Stuff'!BI:CJ,14,FALSE)</f>
        <v>0</v>
      </c>
      <c r="Q95" s="114">
        <f>VLOOKUP(C95,'Talente &amp; Stuff'!BI:CJ,15,FALSE)</f>
        <v>0</v>
      </c>
      <c r="R95" s="113">
        <f>VLOOKUP(C95,'Talente &amp; Stuff'!BI:CJ,16,FALSE)</f>
        <v>0</v>
      </c>
      <c r="S95" s="119">
        <f>VLOOKUP(C95,'Talente &amp; Stuff'!BI:CJ,17,FALSE)</f>
        <v>0</v>
      </c>
      <c r="T95" s="160">
        <f>VLOOKUP(C95,'Talente &amp; Stuff'!BI:CJ,18,FALSE)</f>
        <v>0</v>
      </c>
      <c r="U95" s="89">
        <f>VLOOKUP(C95,'Talente &amp; Stuff'!BI:CJ,19,FALSE)</f>
        <v>0</v>
      </c>
      <c r="V95" s="47">
        <f>VLOOKUP(C95,'Talente &amp; Stuff'!BI:CJ,20,FALSE)</f>
        <v>0</v>
      </c>
      <c r="W95" s="127">
        <f>VLOOKUP(C95,'Talente &amp; Stuff'!BI:CJ,21,FALSE)</f>
        <v>0</v>
      </c>
      <c r="X95" s="127">
        <f>VLOOKUP(C95,'Talente &amp; Stuff'!BI:CJ,22,FALSE)</f>
        <v>0</v>
      </c>
      <c r="Y95" s="165">
        <f t="shared" si="10"/>
        <v>0</v>
      </c>
      <c r="Z95" s="44">
        <f t="shared" si="11"/>
        <v>0</v>
      </c>
      <c r="AA95" s="125">
        <f>VLOOKUP(C95,'Talente &amp; Stuff'!BI:CJ,25,FALSE)</f>
        <v>0</v>
      </c>
      <c r="AB95" s="160">
        <f>VLOOKUP(C95,'Talente &amp; Stuff'!BI:CJ,26,FALSE)</f>
        <v>0</v>
      </c>
      <c r="AC95" s="127">
        <f>VLOOKUP(C95,'Talente &amp; Stuff'!BI:CJ,27,FALSE)</f>
        <v>0</v>
      </c>
      <c r="AD95" s="125">
        <f>VLOOKUP(C95,'Talente &amp; Stuff'!BI:CJ,28,FALSE)</f>
        <v>0</v>
      </c>
      <c r="AE95" s="28"/>
    </row>
    <row r="96" spans="2:31" ht="15" hidden="1" customHeight="1" outlineLevel="2">
      <c r="B96" s="148">
        <v>19</v>
      </c>
      <c r="C96" s="177" t="str">
        <f>Attribute!C96</f>
        <v>---</v>
      </c>
      <c r="D96" s="125" t="str">
        <f>VLOOKUP(C96,'Talente &amp; Stuff'!BI:CJ,2,FALSE)</f>
        <v>--/--/--</v>
      </c>
      <c r="E96" s="127" t="str">
        <f>VLOOKUP(C96,'Talente &amp; Stuff'!BI:CJ,3,FALSE)</f>
        <v>-</v>
      </c>
      <c r="F96" s="114">
        <f>VLOOKUP(C96,'Talente &amp; Stuff'!BI:CJ,4,FALSE)</f>
        <v>0</v>
      </c>
      <c r="G96" s="113">
        <f>VLOOKUP(C96,'Talente &amp; Stuff'!BI:CJ,5,FALSE)</f>
        <v>0</v>
      </c>
      <c r="H96" s="113">
        <f>VLOOKUP(C96,'Talente &amp; Stuff'!BI:CJ,6,FALSE)</f>
        <v>0</v>
      </c>
      <c r="I96" s="113">
        <f>VLOOKUP(C96,'Talente &amp; Stuff'!BI:CJ,7,FALSE)</f>
        <v>0</v>
      </c>
      <c r="J96" s="113">
        <f>VLOOKUP(C96,'Talente &amp; Stuff'!BI:CJ,8,FALSE)</f>
        <v>0</v>
      </c>
      <c r="K96" s="113">
        <f>VLOOKUP(C96,'Talente &amp; Stuff'!BI:CJ,9,FALSE)</f>
        <v>0</v>
      </c>
      <c r="L96" s="113">
        <f>VLOOKUP(C96,'Talente &amp; Stuff'!BI:CJ,10,FALSE)</f>
        <v>0</v>
      </c>
      <c r="M96" s="119">
        <f>VLOOKUP(C96,'Talente &amp; Stuff'!BI:CJ,11,FALSE)</f>
        <v>0</v>
      </c>
      <c r="N96" s="89">
        <f>VLOOKUP(C96,'Talente &amp; Stuff'!BI:CJ,12,FALSE)</f>
        <v>0</v>
      </c>
      <c r="O96" s="47">
        <f>VLOOKUP(C96,'Talente &amp; Stuff'!BI:CJ,13,FALSE)</f>
        <v>0</v>
      </c>
      <c r="P96" s="119">
        <f>VLOOKUP(C96,'Talente &amp; Stuff'!BI:CJ,14,FALSE)</f>
        <v>0</v>
      </c>
      <c r="Q96" s="114">
        <f>VLOOKUP(C96,'Talente &amp; Stuff'!BI:CJ,15,FALSE)</f>
        <v>0</v>
      </c>
      <c r="R96" s="113">
        <f>VLOOKUP(C96,'Talente &amp; Stuff'!BI:CJ,16,FALSE)</f>
        <v>0</v>
      </c>
      <c r="S96" s="119">
        <f>VLOOKUP(C96,'Talente &amp; Stuff'!BI:CJ,17,FALSE)</f>
        <v>0</v>
      </c>
      <c r="T96" s="160">
        <f>VLOOKUP(C96,'Talente &amp; Stuff'!BI:CJ,18,FALSE)</f>
        <v>0</v>
      </c>
      <c r="U96" s="89">
        <f>VLOOKUP(C96,'Talente &amp; Stuff'!BI:CJ,19,FALSE)</f>
        <v>0</v>
      </c>
      <c r="V96" s="47">
        <f>VLOOKUP(C96,'Talente &amp; Stuff'!BI:CJ,20,FALSE)</f>
        <v>0</v>
      </c>
      <c r="W96" s="127">
        <f>VLOOKUP(C96,'Talente &amp; Stuff'!BI:CJ,21,FALSE)</f>
        <v>0</v>
      </c>
      <c r="X96" s="127">
        <f>VLOOKUP(C96,'Talente &amp; Stuff'!BI:CJ,22,FALSE)</f>
        <v>0</v>
      </c>
      <c r="Y96" s="165">
        <f t="shared" si="10"/>
        <v>0</v>
      </c>
      <c r="Z96" s="44">
        <f t="shared" si="11"/>
        <v>0</v>
      </c>
      <c r="AA96" s="125">
        <f>VLOOKUP(C96,'Talente &amp; Stuff'!BI:CJ,25,FALSE)</f>
        <v>0</v>
      </c>
      <c r="AB96" s="160">
        <f>VLOOKUP(C96,'Talente &amp; Stuff'!BI:CJ,26,FALSE)</f>
        <v>0</v>
      </c>
      <c r="AC96" s="127">
        <f>VLOOKUP(C96,'Talente &amp; Stuff'!BI:CJ,27,FALSE)</f>
        <v>0</v>
      </c>
      <c r="AD96" s="125">
        <f>VLOOKUP(C96,'Talente &amp; Stuff'!BI:CJ,28,FALSE)</f>
        <v>0</v>
      </c>
      <c r="AE96" s="28"/>
    </row>
    <row r="97" spans="2:31" ht="15" hidden="1" customHeight="1" outlineLevel="2">
      <c r="B97" s="148">
        <v>20</v>
      </c>
      <c r="C97" s="177" t="str">
        <f>Attribute!C97</f>
        <v>---</v>
      </c>
      <c r="D97" s="125" t="str">
        <f>VLOOKUP(C97,'Talente &amp; Stuff'!BI:CJ,2,FALSE)</f>
        <v>--/--/--</v>
      </c>
      <c r="E97" s="127" t="str">
        <f>VLOOKUP(C97,'Talente &amp; Stuff'!BI:CJ,3,FALSE)</f>
        <v>-</v>
      </c>
      <c r="F97" s="114">
        <f>VLOOKUP(C97,'Talente &amp; Stuff'!BI:CJ,4,FALSE)</f>
        <v>0</v>
      </c>
      <c r="G97" s="113">
        <f>VLOOKUP(C97,'Talente &amp; Stuff'!BI:CJ,5,FALSE)</f>
        <v>0</v>
      </c>
      <c r="H97" s="113">
        <f>VLOOKUP(C97,'Talente &amp; Stuff'!BI:CJ,6,FALSE)</f>
        <v>0</v>
      </c>
      <c r="I97" s="113">
        <f>VLOOKUP(C97,'Talente &amp; Stuff'!BI:CJ,7,FALSE)</f>
        <v>0</v>
      </c>
      <c r="J97" s="113">
        <f>VLOOKUP(C97,'Talente &amp; Stuff'!BI:CJ,8,FALSE)</f>
        <v>0</v>
      </c>
      <c r="K97" s="113">
        <f>VLOOKUP(C97,'Talente &amp; Stuff'!BI:CJ,9,FALSE)</f>
        <v>0</v>
      </c>
      <c r="L97" s="113">
        <f>VLOOKUP(C97,'Talente &amp; Stuff'!BI:CJ,10,FALSE)</f>
        <v>0</v>
      </c>
      <c r="M97" s="119">
        <f>VLOOKUP(C97,'Talente &amp; Stuff'!BI:CJ,11,FALSE)</f>
        <v>0</v>
      </c>
      <c r="N97" s="89">
        <f>VLOOKUP(C97,'Talente &amp; Stuff'!BI:CJ,12,FALSE)</f>
        <v>0</v>
      </c>
      <c r="O97" s="47">
        <f>VLOOKUP(C97,'Talente &amp; Stuff'!BI:CJ,13,FALSE)</f>
        <v>0</v>
      </c>
      <c r="P97" s="119">
        <f>VLOOKUP(C97,'Talente &amp; Stuff'!BI:CJ,14,FALSE)</f>
        <v>0</v>
      </c>
      <c r="Q97" s="114">
        <f>VLOOKUP(C97,'Talente &amp; Stuff'!BI:CJ,15,FALSE)</f>
        <v>0</v>
      </c>
      <c r="R97" s="113">
        <f>VLOOKUP(C97,'Talente &amp; Stuff'!BI:CJ,16,FALSE)</f>
        <v>0</v>
      </c>
      <c r="S97" s="119">
        <f>VLOOKUP(C97,'Talente &amp; Stuff'!BI:CJ,17,FALSE)</f>
        <v>0</v>
      </c>
      <c r="T97" s="160">
        <f>VLOOKUP(C97,'Talente &amp; Stuff'!BI:CJ,18,FALSE)</f>
        <v>0</v>
      </c>
      <c r="U97" s="89">
        <f>VLOOKUP(C97,'Talente &amp; Stuff'!BI:CJ,19,FALSE)</f>
        <v>0</v>
      </c>
      <c r="V97" s="47">
        <f>VLOOKUP(C97,'Talente &amp; Stuff'!BI:CJ,20,FALSE)</f>
        <v>0</v>
      </c>
      <c r="W97" s="127">
        <f>VLOOKUP(C97,'Talente &amp; Stuff'!BI:CJ,21,FALSE)</f>
        <v>0</v>
      </c>
      <c r="X97" s="127">
        <f>VLOOKUP(C97,'Talente &amp; Stuff'!BI:CJ,22,FALSE)</f>
        <v>0</v>
      </c>
      <c r="Y97" s="165">
        <f t="shared" si="10"/>
        <v>0</v>
      </c>
      <c r="Z97" s="44">
        <f t="shared" si="11"/>
        <v>0</v>
      </c>
      <c r="AA97" s="125">
        <f>VLOOKUP(C97,'Talente &amp; Stuff'!BI:CJ,25,FALSE)</f>
        <v>0</v>
      </c>
      <c r="AB97" s="160">
        <f>VLOOKUP(C97,'Talente &amp; Stuff'!BI:CJ,26,FALSE)</f>
        <v>0</v>
      </c>
      <c r="AC97" s="127">
        <f>VLOOKUP(C97,'Talente &amp; Stuff'!BI:CJ,27,FALSE)</f>
        <v>0</v>
      </c>
      <c r="AD97" s="125">
        <f>VLOOKUP(C97,'Talente &amp; Stuff'!BI:CJ,28,FALSE)</f>
        <v>0</v>
      </c>
      <c r="AE97" s="28"/>
    </row>
    <row r="98" spans="2:31" ht="15" hidden="1" customHeight="1" outlineLevel="2">
      <c r="B98" s="148">
        <v>21</v>
      </c>
      <c r="C98" s="178" t="str">
        <f>Attribute!C98</f>
        <v>---</v>
      </c>
      <c r="D98" s="87" t="str">
        <f>VLOOKUP(C98,'Talente &amp; Stuff'!BI:CJ,2,FALSE)</f>
        <v>--/--/--</v>
      </c>
      <c r="E98" s="128" t="str">
        <f>VLOOKUP(C98,'Talente &amp; Stuff'!BI:CJ,3,FALSE)</f>
        <v>-</v>
      </c>
      <c r="F98" s="115">
        <f>VLOOKUP(C98,'Talente &amp; Stuff'!BI:CJ,4,FALSE)</f>
        <v>0</v>
      </c>
      <c r="G98" s="122">
        <f>VLOOKUP(C98,'Talente &amp; Stuff'!BI:CJ,5,FALSE)</f>
        <v>0</v>
      </c>
      <c r="H98" s="122">
        <f>VLOOKUP(C98,'Talente &amp; Stuff'!BI:CJ,6,FALSE)</f>
        <v>0</v>
      </c>
      <c r="I98" s="122">
        <f>VLOOKUP(C98,'Talente &amp; Stuff'!BI:CJ,7,FALSE)</f>
        <v>0</v>
      </c>
      <c r="J98" s="122">
        <f>VLOOKUP(C98,'Talente &amp; Stuff'!BI:CJ,8,FALSE)</f>
        <v>0</v>
      </c>
      <c r="K98" s="122">
        <f>VLOOKUP(C98,'Talente &amp; Stuff'!BI:CJ,9,FALSE)</f>
        <v>0</v>
      </c>
      <c r="L98" s="122">
        <f>VLOOKUP(C98,'Talente &amp; Stuff'!BI:CJ,10,FALSE)</f>
        <v>0</v>
      </c>
      <c r="M98" s="123">
        <f>VLOOKUP(C98,'Talente &amp; Stuff'!BI:CJ,11,FALSE)</f>
        <v>0</v>
      </c>
      <c r="N98" s="88">
        <f>VLOOKUP(C98,'Talente &amp; Stuff'!BI:CJ,12,FALSE)</f>
        <v>0</v>
      </c>
      <c r="O98" s="2">
        <f>VLOOKUP(C98,'Talente &amp; Stuff'!BI:CJ,13,FALSE)</f>
        <v>0</v>
      </c>
      <c r="P98" s="173">
        <f>VLOOKUP(C98,'Talente &amp; Stuff'!BI:CJ,14,FALSE)</f>
        <v>0</v>
      </c>
      <c r="Q98" s="115">
        <f>VLOOKUP(C98,'Talente &amp; Stuff'!BI:CJ,15,FALSE)</f>
        <v>0</v>
      </c>
      <c r="R98" s="169">
        <f>VLOOKUP(C98,'Talente &amp; Stuff'!BI:CJ,16,FALSE)</f>
        <v>0</v>
      </c>
      <c r="S98" s="123">
        <f>VLOOKUP(C98,'Talente &amp; Stuff'!BI:CJ,17,FALSE)</f>
        <v>0</v>
      </c>
      <c r="T98" s="123">
        <f>VLOOKUP(C98,'Talente &amp; Stuff'!BI:CJ,18,FALSE)</f>
        <v>0</v>
      </c>
      <c r="U98" s="90">
        <f>VLOOKUP(C98,'Talente &amp; Stuff'!BI:CJ,19,FALSE)</f>
        <v>0</v>
      </c>
      <c r="V98" s="88">
        <f>VLOOKUP(C98,'Talente &amp; Stuff'!BI:CJ,20,FALSE)</f>
        <v>0</v>
      </c>
      <c r="W98" s="128">
        <f>VLOOKUP(C98,'Talente &amp; Stuff'!BI:CJ,21,FALSE)</f>
        <v>0</v>
      </c>
      <c r="X98" s="128">
        <f>VLOOKUP(C98,'Talente &amp; Stuff'!BI:CJ,22,FALSE)</f>
        <v>0</v>
      </c>
      <c r="Y98" s="165">
        <f t="shared" si="10"/>
        <v>0</v>
      </c>
      <c r="Z98" s="44">
        <f t="shared" si="11"/>
        <v>0</v>
      </c>
      <c r="AA98" s="159">
        <f>VLOOKUP(C98,'Talente &amp; Stuff'!BI:CJ,25,FALSE)</f>
        <v>0</v>
      </c>
      <c r="AB98" s="161">
        <f>VLOOKUP(C98,'Talente &amp; Stuff'!BI:CJ,26,FALSE)</f>
        <v>0</v>
      </c>
      <c r="AC98" s="128">
        <f>VLOOKUP(C98,'Talente &amp; Stuff'!BI:CJ,27,FALSE)</f>
        <v>0</v>
      </c>
      <c r="AD98" s="159">
        <f>VLOOKUP(C98,'Talente &amp; Stuff'!BI:CJ,28,FALSE)</f>
        <v>0</v>
      </c>
      <c r="AE98" s="28"/>
    </row>
    <row r="99" spans="2:31" ht="15" hidden="1" customHeight="1" outlineLevel="1" collapsed="1">
      <c r="B99" s="134" t="s">
        <v>331</v>
      </c>
      <c r="C99" s="83"/>
      <c r="D99" s="84"/>
      <c r="E99" s="84"/>
    </row>
    <row r="100" spans="2:31" ht="15" hidden="1" customHeight="1" outlineLevel="2">
      <c r="B100" s="148">
        <v>1</v>
      </c>
      <c r="C100" s="176" t="str">
        <f>Attribute!C100</f>
        <v>---</v>
      </c>
      <c r="D100" s="85" t="str">
        <f>VLOOKUP(C100,'Talente &amp; Stuff'!BI:CJ,2,FALSE)</f>
        <v>--/--/--</v>
      </c>
      <c r="E100" s="126" t="str">
        <f>VLOOKUP(C100,'Talente &amp; Stuff'!BI:CJ,3,FALSE)</f>
        <v>-</v>
      </c>
      <c r="F100" s="191">
        <f>VLOOKUP(C100,'Talente &amp; Stuff'!BI:CJ,4,FALSE)</f>
        <v>0</v>
      </c>
      <c r="G100" s="118">
        <f>VLOOKUP(C100,'Talente &amp; Stuff'!BI:CJ,5,FALSE)</f>
        <v>0</v>
      </c>
      <c r="H100" s="118">
        <f>VLOOKUP(C100,'Talente &amp; Stuff'!BI:CJ,6,FALSE)</f>
        <v>0</v>
      </c>
      <c r="I100" s="118">
        <f>VLOOKUP(C100,'Talente &amp; Stuff'!BI:CJ,7,FALSE)</f>
        <v>0</v>
      </c>
      <c r="J100" s="118">
        <f>VLOOKUP(C100,'Talente &amp; Stuff'!BI:CJ,8,FALSE)</f>
        <v>0</v>
      </c>
      <c r="K100" s="118">
        <f>VLOOKUP(C100,'Talente &amp; Stuff'!BI:CJ,9,FALSE)</f>
        <v>0</v>
      </c>
      <c r="L100" s="118">
        <f>VLOOKUP(C100,'Talente &amp; Stuff'!BI:CJ,10,FALSE)</f>
        <v>0</v>
      </c>
      <c r="M100" s="92">
        <f>VLOOKUP(C100,'Talente &amp; Stuff'!BI:CJ,11,FALSE)</f>
        <v>0</v>
      </c>
      <c r="N100" s="116">
        <f>VLOOKUP(C100,'Talente &amp; Stuff'!BI:CJ,12,FALSE)</f>
        <v>0</v>
      </c>
      <c r="O100" s="194">
        <f>VLOOKUP(C100,'Talente &amp; Stuff'!BI:CJ,13,FALSE)</f>
        <v>0</v>
      </c>
      <c r="P100" s="192">
        <f>VLOOKUP(C100,'Talente &amp; Stuff'!BI:CJ,14,FALSE)</f>
        <v>0</v>
      </c>
      <c r="Q100" s="191">
        <f>VLOOKUP(C100,'Talente &amp; Stuff'!BI:CJ,15,FALSE)</f>
        <v>0</v>
      </c>
      <c r="R100" s="170">
        <f>VLOOKUP(C100,'Talente &amp; Stuff'!BI:CJ,16,FALSE)</f>
        <v>0</v>
      </c>
      <c r="S100" s="92">
        <f>VLOOKUP(C100,'Talente &amp; Stuff'!BI:CJ,17,FALSE)</f>
        <v>0</v>
      </c>
      <c r="T100" s="92">
        <f>VLOOKUP(C100,'Talente &amp; Stuff'!BI:CJ,18,FALSE)</f>
        <v>0</v>
      </c>
      <c r="U100" s="193">
        <f>VLOOKUP(C100,'Talente &amp; Stuff'!BI:CJ,19,FALSE)</f>
        <v>0</v>
      </c>
      <c r="V100" s="116">
        <f>VLOOKUP(C100,'Talente &amp; Stuff'!BI:CJ,20,FALSE)</f>
        <v>0</v>
      </c>
      <c r="W100" s="126">
        <f>VLOOKUP(C100,'Talente &amp; Stuff'!BI:CJ,21,FALSE)</f>
        <v>0</v>
      </c>
      <c r="X100" s="126">
        <f>VLOOKUP(C100,'Talente &amp; Stuff'!BI:CJ,22,FALSE)</f>
        <v>0</v>
      </c>
      <c r="Y100" s="165">
        <f t="shared" ref="Y100:Y126" si="12">VLOOKUP(C100,Ausgewählte_Zauber_Druiden,81,FALSE)</f>
        <v>0</v>
      </c>
      <c r="Z100" s="44">
        <f t="shared" ref="Z100:Z126" si="13">VLOOKUP(C100,Ausgewählte_Zauber_Druiden,82,FALSE)</f>
        <v>0</v>
      </c>
      <c r="AA100" s="158">
        <f>VLOOKUP(C100,'Talente &amp; Stuff'!BI:CJ,25,FALSE)</f>
        <v>0</v>
      </c>
      <c r="AB100" s="91">
        <f>VLOOKUP(C100,'Talente &amp; Stuff'!BI:CJ,26,FALSE)</f>
        <v>0</v>
      </c>
      <c r="AC100" s="126">
        <f>VLOOKUP(C100,'Talente &amp; Stuff'!BI:CJ,27,FALSE)</f>
        <v>0</v>
      </c>
      <c r="AD100" s="158">
        <f>VLOOKUP(C100,'Talente &amp; Stuff'!BI:CJ,28,FALSE)</f>
        <v>0</v>
      </c>
      <c r="AE100" s="28"/>
    </row>
    <row r="101" spans="2:31" ht="15" hidden="1" customHeight="1" outlineLevel="2">
      <c r="B101" s="148">
        <v>2</v>
      </c>
      <c r="C101" s="177" t="str">
        <f>Attribute!C101</f>
        <v>---</v>
      </c>
      <c r="D101" s="86" t="str">
        <f>VLOOKUP(C101,'Talente &amp; Stuff'!BI:CJ,2,FALSE)</f>
        <v>--/--/--</v>
      </c>
      <c r="E101" s="167" t="str">
        <f>VLOOKUP(C101,'Talente &amp; Stuff'!BI:CJ,3,FALSE)</f>
        <v>-</v>
      </c>
      <c r="F101" s="120">
        <f>VLOOKUP(C101,'Talente &amp; Stuff'!BI:CJ,4,FALSE)</f>
        <v>0</v>
      </c>
      <c r="G101" s="117">
        <f>VLOOKUP(C101,'Talente &amp; Stuff'!BI:CJ,5,FALSE)</f>
        <v>0</v>
      </c>
      <c r="H101" s="117">
        <f>VLOOKUP(C101,'Talente &amp; Stuff'!BI:CJ,6,FALSE)</f>
        <v>0</v>
      </c>
      <c r="I101" s="117">
        <f>VLOOKUP(C101,'Talente &amp; Stuff'!BI:CJ,7,FALSE)</f>
        <v>0</v>
      </c>
      <c r="J101" s="117">
        <f>VLOOKUP(C101,'Talente &amp; Stuff'!BI:CJ,8,FALSE)</f>
        <v>0</v>
      </c>
      <c r="K101" s="117">
        <f>VLOOKUP(C101,'Talente &amp; Stuff'!BI:CJ,9,FALSE)</f>
        <v>0</v>
      </c>
      <c r="L101" s="117">
        <f>VLOOKUP(C101,'Talente &amp; Stuff'!BI:CJ,10,FALSE)</f>
        <v>0</v>
      </c>
      <c r="M101" s="121">
        <f>VLOOKUP(C101,'Talente &amp; Stuff'!BI:CJ,11,FALSE)</f>
        <v>0</v>
      </c>
      <c r="N101" s="47">
        <f>VLOOKUP(C101,'Talente &amp; Stuff'!BI:CJ,12,FALSE)</f>
        <v>0</v>
      </c>
      <c r="O101" s="3">
        <f>VLOOKUP(C101,'Talente &amp; Stuff'!BI:CJ,13,FALSE)</f>
        <v>0</v>
      </c>
      <c r="P101" s="174">
        <f>VLOOKUP(C101,'Talente &amp; Stuff'!BI:CJ,14,FALSE)</f>
        <v>0</v>
      </c>
      <c r="Q101" s="114">
        <f>VLOOKUP(C101,'Talente &amp; Stuff'!BI:CJ,15,FALSE)</f>
        <v>0</v>
      </c>
      <c r="R101" s="117">
        <f>VLOOKUP(C101,'Talente &amp; Stuff'!BI:CJ,16,FALSE)</f>
        <v>0</v>
      </c>
      <c r="S101" s="119">
        <f>VLOOKUP(C101,'Talente &amp; Stuff'!BI:CJ,17,FALSE)</f>
        <v>0</v>
      </c>
      <c r="T101" s="119">
        <f>VLOOKUP(C101,'Talente &amp; Stuff'!BI:CJ,18,FALSE)</f>
        <v>0</v>
      </c>
      <c r="U101" s="89">
        <f>VLOOKUP(C101,'Talente &amp; Stuff'!BI:CJ,19,FALSE)</f>
        <v>0</v>
      </c>
      <c r="V101" s="47">
        <f>VLOOKUP(C101,'Talente &amp; Stuff'!BI:CJ,20,FALSE)</f>
        <v>0</v>
      </c>
      <c r="W101" s="127">
        <f>VLOOKUP(C101,'Talente &amp; Stuff'!BI:CJ,21,FALSE)</f>
        <v>0</v>
      </c>
      <c r="X101" s="127">
        <f>VLOOKUP(C101,'Talente &amp; Stuff'!BI:CJ,22,FALSE)</f>
        <v>0</v>
      </c>
      <c r="Y101" s="165">
        <f t="shared" si="12"/>
        <v>0</v>
      </c>
      <c r="Z101" s="44">
        <f t="shared" si="13"/>
        <v>0</v>
      </c>
      <c r="AA101" s="125">
        <f>VLOOKUP(C101,'Talente &amp; Stuff'!BI:CJ,25,FALSE)</f>
        <v>0</v>
      </c>
      <c r="AB101" s="160">
        <f>VLOOKUP(C101,'Talente &amp; Stuff'!BI:CJ,26,FALSE)</f>
        <v>0</v>
      </c>
      <c r="AC101" s="127">
        <f>VLOOKUP(C101,'Talente &amp; Stuff'!BI:CJ,27,FALSE)</f>
        <v>0</v>
      </c>
      <c r="AD101" s="125">
        <f>VLOOKUP(C101,'Talente &amp; Stuff'!BI:CJ,28,FALSE)</f>
        <v>0</v>
      </c>
      <c r="AE101" s="28"/>
    </row>
    <row r="102" spans="2:31" ht="15" hidden="1" customHeight="1" outlineLevel="2">
      <c r="B102" s="148">
        <v>3</v>
      </c>
      <c r="C102" s="177" t="str">
        <f>Attribute!C102</f>
        <v>---</v>
      </c>
      <c r="D102" s="86" t="str">
        <f>VLOOKUP(C102,'Talente &amp; Stuff'!BI:CJ,2,FALSE)</f>
        <v>--/--/--</v>
      </c>
      <c r="E102" s="167" t="str">
        <f>VLOOKUP(C102,'Talente &amp; Stuff'!BI:CJ,3,FALSE)</f>
        <v>-</v>
      </c>
      <c r="F102" s="120">
        <f>VLOOKUP(C102,'Talente &amp; Stuff'!BI:CJ,4,FALSE)</f>
        <v>0</v>
      </c>
      <c r="G102" s="117">
        <f>VLOOKUP(C102,'Talente &amp; Stuff'!BI:CJ,5,FALSE)</f>
        <v>0</v>
      </c>
      <c r="H102" s="117">
        <f>VLOOKUP(C102,'Talente &amp; Stuff'!BI:CJ,6,FALSE)</f>
        <v>0</v>
      </c>
      <c r="I102" s="117">
        <f>VLOOKUP(C102,'Talente &amp; Stuff'!BI:CJ,7,FALSE)</f>
        <v>0</v>
      </c>
      <c r="J102" s="117">
        <f>VLOOKUP(C102,'Talente &amp; Stuff'!BI:CJ,8,FALSE)</f>
        <v>0</v>
      </c>
      <c r="K102" s="117">
        <f>VLOOKUP(C102,'Talente &amp; Stuff'!BI:CJ,9,FALSE)</f>
        <v>0</v>
      </c>
      <c r="L102" s="117">
        <f>VLOOKUP(C102,'Talente &amp; Stuff'!BI:CJ,10,FALSE)</f>
        <v>0</v>
      </c>
      <c r="M102" s="121">
        <f>VLOOKUP(C102,'Talente &amp; Stuff'!BI:CJ,11,FALSE)</f>
        <v>0</v>
      </c>
      <c r="N102" s="47">
        <f>VLOOKUP(C102,'Talente &amp; Stuff'!BI:CJ,12,FALSE)</f>
        <v>0</v>
      </c>
      <c r="O102" s="3">
        <f>VLOOKUP(C102,'Talente &amp; Stuff'!BI:CJ,13,FALSE)</f>
        <v>0</v>
      </c>
      <c r="P102" s="174">
        <f>VLOOKUP(C102,'Talente &amp; Stuff'!BI:CJ,14,FALSE)</f>
        <v>0</v>
      </c>
      <c r="Q102" s="114">
        <f>VLOOKUP(C102,'Talente &amp; Stuff'!BI:CJ,15,FALSE)</f>
        <v>0</v>
      </c>
      <c r="R102" s="117">
        <f>VLOOKUP(C102,'Talente &amp; Stuff'!BI:CJ,16,FALSE)</f>
        <v>0</v>
      </c>
      <c r="S102" s="119">
        <f>VLOOKUP(C102,'Talente &amp; Stuff'!BI:CJ,17,FALSE)</f>
        <v>0</v>
      </c>
      <c r="T102" s="119">
        <f>VLOOKUP(C102,'Talente &amp; Stuff'!BI:CJ,18,FALSE)</f>
        <v>0</v>
      </c>
      <c r="U102" s="89">
        <f>VLOOKUP(C102,'Talente &amp; Stuff'!BI:CJ,19,FALSE)</f>
        <v>0</v>
      </c>
      <c r="V102" s="47">
        <f>VLOOKUP(C102,'Talente &amp; Stuff'!BI:CJ,20,FALSE)</f>
        <v>0</v>
      </c>
      <c r="W102" s="127">
        <f>VLOOKUP(C102,'Talente &amp; Stuff'!BI:CJ,21,FALSE)</f>
        <v>0</v>
      </c>
      <c r="X102" s="127">
        <f>VLOOKUP(C102,'Talente &amp; Stuff'!BI:CJ,22,FALSE)</f>
        <v>0</v>
      </c>
      <c r="Y102" s="165">
        <f t="shared" si="12"/>
        <v>0</v>
      </c>
      <c r="Z102" s="44">
        <f t="shared" si="13"/>
        <v>0</v>
      </c>
      <c r="AA102" s="125">
        <f>VLOOKUP(C102,'Talente &amp; Stuff'!BI:CJ,25,FALSE)</f>
        <v>0</v>
      </c>
      <c r="AB102" s="160">
        <f>VLOOKUP(C102,'Talente &amp; Stuff'!BI:CJ,26,FALSE)</f>
        <v>0</v>
      </c>
      <c r="AC102" s="127">
        <f>VLOOKUP(C102,'Talente &amp; Stuff'!BI:CJ,27,FALSE)</f>
        <v>0</v>
      </c>
      <c r="AD102" s="125">
        <f>VLOOKUP(C102,'Talente &amp; Stuff'!BI:CJ,28,FALSE)</f>
        <v>0</v>
      </c>
      <c r="AE102" s="28"/>
    </row>
    <row r="103" spans="2:31" ht="15" hidden="1" customHeight="1" outlineLevel="2">
      <c r="B103" s="148">
        <v>4</v>
      </c>
      <c r="C103" s="177" t="str">
        <f>Attribute!C103</f>
        <v>---</v>
      </c>
      <c r="D103" s="86" t="str">
        <f>VLOOKUP(C103,'Talente &amp; Stuff'!BI:CJ,2,FALSE)</f>
        <v>--/--/--</v>
      </c>
      <c r="E103" s="167" t="str">
        <f>VLOOKUP(C103,'Talente &amp; Stuff'!BI:CJ,3,FALSE)</f>
        <v>-</v>
      </c>
      <c r="F103" s="120">
        <f>VLOOKUP(C103,'Talente &amp; Stuff'!BI:CJ,4,FALSE)</f>
        <v>0</v>
      </c>
      <c r="G103" s="117">
        <f>VLOOKUP(C103,'Talente &amp; Stuff'!BI:CJ,5,FALSE)</f>
        <v>0</v>
      </c>
      <c r="H103" s="117">
        <f>VLOOKUP(C103,'Talente &amp; Stuff'!BI:CJ,6,FALSE)</f>
        <v>0</v>
      </c>
      <c r="I103" s="117">
        <f>VLOOKUP(C103,'Talente &amp; Stuff'!BI:CJ,7,FALSE)</f>
        <v>0</v>
      </c>
      <c r="J103" s="117">
        <f>VLOOKUP(C103,'Talente &amp; Stuff'!BI:CJ,8,FALSE)</f>
        <v>0</v>
      </c>
      <c r="K103" s="117">
        <f>VLOOKUP(C103,'Talente &amp; Stuff'!BI:CJ,9,FALSE)</f>
        <v>0</v>
      </c>
      <c r="L103" s="117">
        <f>VLOOKUP(C103,'Talente &amp; Stuff'!BI:CJ,10,FALSE)</f>
        <v>0</v>
      </c>
      <c r="M103" s="121">
        <f>VLOOKUP(C103,'Talente &amp; Stuff'!BI:CJ,11,FALSE)</f>
        <v>0</v>
      </c>
      <c r="N103" s="47">
        <f>VLOOKUP(C103,'Talente &amp; Stuff'!BI:CJ,12,FALSE)</f>
        <v>0</v>
      </c>
      <c r="O103" s="3">
        <f>VLOOKUP(C103,'Talente &amp; Stuff'!BI:CJ,13,FALSE)</f>
        <v>0</v>
      </c>
      <c r="P103" s="174">
        <f>VLOOKUP(C103,'Talente &amp; Stuff'!BI:CJ,14,FALSE)</f>
        <v>0</v>
      </c>
      <c r="Q103" s="114">
        <f>VLOOKUP(C103,'Talente &amp; Stuff'!BI:CJ,15,FALSE)</f>
        <v>0</v>
      </c>
      <c r="R103" s="117">
        <f>VLOOKUP(C103,'Talente &amp; Stuff'!BI:CJ,16,FALSE)</f>
        <v>0</v>
      </c>
      <c r="S103" s="119">
        <f>VLOOKUP(C103,'Talente &amp; Stuff'!BI:CJ,17,FALSE)</f>
        <v>0</v>
      </c>
      <c r="T103" s="119">
        <f>VLOOKUP(C103,'Talente &amp; Stuff'!BI:CJ,18,FALSE)</f>
        <v>0</v>
      </c>
      <c r="U103" s="89">
        <f>VLOOKUP(C103,'Talente &amp; Stuff'!BI:CJ,19,FALSE)</f>
        <v>0</v>
      </c>
      <c r="V103" s="47">
        <f>VLOOKUP(C103,'Talente &amp; Stuff'!BI:CJ,20,FALSE)</f>
        <v>0</v>
      </c>
      <c r="W103" s="127">
        <f>VLOOKUP(C103,'Talente &amp; Stuff'!BI:CJ,21,FALSE)</f>
        <v>0</v>
      </c>
      <c r="X103" s="127">
        <f>VLOOKUP(C103,'Talente &amp; Stuff'!BI:CJ,22,FALSE)</f>
        <v>0</v>
      </c>
      <c r="Y103" s="165">
        <f t="shared" si="12"/>
        <v>0</v>
      </c>
      <c r="Z103" s="44">
        <f t="shared" si="13"/>
        <v>0</v>
      </c>
      <c r="AA103" s="125">
        <f>VLOOKUP(C103,'Talente &amp; Stuff'!BI:CJ,25,FALSE)</f>
        <v>0</v>
      </c>
      <c r="AB103" s="160">
        <f>VLOOKUP(C103,'Talente &amp; Stuff'!BI:CJ,26,FALSE)</f>
        <v>0</v>
      </c>
      <c r="AC103" s="127">
        <f>VLOOKUP(C103,'Talente &amp; Stuff'!BI:CJ,27,FALSE)</f>
        <v>0</v>
      </c>
      <c r="AD103" s="125">
        <f>VLOOKUP(C103,'Talente &amp; Stuff'!BI:CJ,28,FALSE)</f>
        <v>0</v>
      </c>
      <c r="AE103" s="28"/>
    </row>
    <row r="104" spans="2:31" ht="15" hidden="1" customHeight="1" outlineLevel="2">
      <c r="B104" s="148">
        <v>5</v>
      </c>
      <c r="C104" s="177" t="str">
        <f>Attribute!C104</f>
        <v>---</v>
      </c>
      <c r="D104" s="86" t="str">
        <f>VLOOKUP(C104,'Talente &amp; Stuff'!BI:CJ,2,FALSE)</f>
        <v>--/--/--</v>
      </c>
      <c r="E104" s="167" t="str">
        <f>VLOOKUP(C104,'Talente &amp; Stuff'!BI:CJ,3,FALSE)</f>
        <v>-</v>
      </c>
      <c r="F104" s="120">
        <f>VLOOKUP(C104,'Talente &amp; Stuff'!BI:CJ,4,FALSE)</f>
        <v>0</v>
      </c>
      <c r="G104" s="117">
        <f>VLOOKUP(C104,'Talente &amp; Stuff'!BI:CJ,5,FALSE)</f>
        <v>0</v>
      </c>
      <c r="H104" s="117">
        <f>VLOOKUP(C104,'Talente &amp; Stuff'!BI:CJ,6,FALSE)</f>
        <v>0</v>
      </c>
      <c r="I104" s="117">
        <f>VLOOKUP(C104,'Talente &amp; Stuff'!BI:CJ,7,FALSE)</f>
        <v>0</v>
      </c>
      <c r="J104" s="117">
        <f>VLOOKUP(C104,'Talente &amp; Stuff'!BI:CJ,8,FALSE)</f>
        <v>0</v>
      </c>
      <c r="K104" s="117">
        <f>VLOOKUP(C104,'Talente &amp; Stuff'!BI:CJ,9,FALSE)</f>
        <v>0</v>
      </c>
      <c r="L104" s="117">
        <f>VLOOKUP(C104,'Talente &amp; Stuff'!BI:CJ,10,FALSE)</f>
        <v>0</v>
      </c>
      <c r="M104" s="121">
        <f>VLOOKUP(C104,'Talente &amp; Stuff'!BI:CJ,11,FALSE)</f>
        <v>0</v>
      </c>
      <c r="N104" s="47">
        <f>VLOOKUP(C104,'Talente &amp; Stuff'!BI:CJ,12,FALSE)</f>
        <v>0</v>
      </c>
      <c r="O104" s="3">
        <f>VLOOKUP(C104,'Talente &amp; Stuff'!BI:CJ,13,FALSE)</f>
        <v>0</v>
      </c>
      <c r="P104" s="174">
        <f>VLOOKUP(C104,'Talente &amp; Stuff'!BI:CJ,14,FALSE)</f>
        <v>0</v>
      </c>
      <c r="Q104" s="114">
        <f>VLOOKUP(C104,'Talente &amp; Stuff'!BI:CJ,15,FALSE)</f>
        <v>0</v>
      </c>
      <c r="R104" s="117">
        <f>VLOOKUP(C104,'Talente &amp; Stuff'!BI:CJ,16,FALSE)</f>
        <v>0</v>
      </c>
      <c r="S104" s="119">
        <f>VLOOKUP(C104,'Talente &amp; Stuff'!BI:CJ,17,FALSE)</f>
        <v>0</v>
      </c>
      <c r="T104" s="119">
        <f>VLOOKUP(C104,'Talente &amp; Stuff'!BI:CJ,18,FALSE)</f>
        <v>0</v>
      </c>
      <c r="U104" s="89">
        <f>VLOOKUP(C104,'Talente &amp; Stuff'!BI:CJ,19,FALSE)</f>
        <v>0</v>
      </c>
      <c r="V104" s="47">
        <f>VLOOKUP(C104,'Talente &amp; Stuff'!BI:CJ,20,FALSE)</f>
        <v>0</v>
      </c>
      <c r="W104" s="127">
        <f>VLOOKUP(C104,'Talente &amp; Stuff'!BI:CJ,21,FALSE)</f>
        <v>0</v>
      </c>
      <c r="X104" s="127">
        <f>VLOOKUP(C104,'Talente &amp; Stuff'!BI:CJ,22,FALSE)</f>
        <v>0</v>
      </c>
      <c r="Y104" s="165">
        <f t="shared" si="12"/>
        <v>0</v>
      </c>
      <c r="Z104" s="44">
        <f t="shared" si="13"/>
        <v>0</v>
      </c>
      <c r="AA104" s="125">
        <f>VLOOKUP(C104,'Talente &amp; Stuff'!BI:CJ,25,FALSE)</f>
        <v>0</v>
      </c>
      <c r="AB104" s="160">
        <f>VLOOKUP(C104,'Talente &amp; Stuff'!BI:CJ,26,FALSE)</f>
        <v>0</v>
      </c>
      <c r="AC104" s="127">
        <f>VLOOKUP(C104,'Talente &amp; Stuff'!BI:CJ,27,FALSE)</f>
        <v>0</v>
      </c>
      <c r="AD104" s="125">
        <f>VLOOKUP(C104,'Talente &amp; Stuff'!BI:CJ,28,FALSE)</f>
        <v>0</v>
      </c>
      <c r="AE104" s="28"/>
    </row>
    <row r="105" spans="2:31" ht="15" hidden="1" customHeight="1" outlineLevel="2">
      <c r="B105" s="148">
        <v>6</v>
      </c>
      <c r="C105" s="177" t="str">
        <f>Attribute!C105</f>
        <v>---</v>
      </c>
      <c r="D105" s="86" t="str">
        <f>VLOOKUP(C105,'Talente &amp; Stuff'!BI:CJ,2,FALSE)</f>
        <v>--/--/--</v>
      </c>
      <c r="E105" s="167" t="str">
        <f>VLOOKUP(C105,'Talente &amp; Stuff'!BI:CJ,3,FALSE)</f>
        <v>-</v>
      </c>
      <c r="F105" s="120">
        <f>VLOOKUP(C105,'Talente &amp; Stuff'!BI:CJ,4,FALSE)</f>
        <v>0</v>
      </c>
      <c r="G105" s="117">
        <f>VLOOKUP(C105,'Talente &amp; Stuff'!BI:CJ,5,FALSE)</f>
        <v>0</v>
      </c>
      <c r="H105" s="117">
        <f>VLOOKUP(C105,'Talente &amp; Stuff'!BI:CJ,6,FALSE)</f>
        <v>0</v>
      </c>
      <c r="I105" s="117">
        <f>VLOOKUP(C105,'Talente &amp; Stuff'!BI:CJ,7,FALSE)</f>
        <v>0</v>
      </c>
      <c r="J105" s="117">
        <f>VLOOKUP(C105,'Talente &amp; Stuff'!BI:CJ,8,FALSE)</f>
        <v>0</v>
      </c>
      <c r="K105" s="117">
        <f>VLOOKUP(C105,'Talente &amp; Stuff'!BI:CJ,9,FALSE)</f>
        <v>0</v>
      </c>
      <c r="L105" s="117">
        <f>VLOOKUP(C105,'Talente &amp; Stuff'!BI:CJ,10,FALSE)</f>
        <v>0</v>
      </c>
      <c r="M105" s="121">
        <f>VLOOKUP(C105,'Talente &amp; Stuff'!BI:CJ,11,FALSE)</f>
        <v>0</v>
      </c>
      <c r="N105" s="47">
        <f>VLOOKUP(C105,'Talente &amp; Stuff'!BI:CJ,12,FALSE)</f>
        <v>0</v>
      </c>
      <c r="O105" s="3">
        <f>VLOOKUP(C105,'Talente &amp; Stuff'!BI:CJ,13,FALSE)</f>
        <v>0</v>
      </c>
      <c r="P105" s="174">
        <f>VLOOKUP(C105,'Talente &amp; Stuff'!BI:CJ,14,FALSE)</f>
        <v>0</v>
      </c>
      <c r="Q105" s="114">
        <f>VLOOKUP(C105,'Talente &amp; Stuff'!BI:CJ,15,FALSE)</f>
        <v>0</v>
      </c>
      <c r="R105" s="117">
        <f>VLOOKUP(C105,'Talente &amp; Stuff'!BI:CJ,16,FALSE)</f>
        <v>0</v>
      </c>
      <c r="S105" s="119">
        <f>VLOOKUP(C105,'Talente &amp; Stuff'!BI:CJ,17,FALSE)</f>
        <v>0</v>
      </c>
      <c r="T105" s="119">
        <f>VLOOKUP(C105,'Talente &amp; Stuff'!BI:CJ,18,FALSE)</f>
        <v>0</v>
      </c>
      <c r="U105" s="89">
        <f>VLOOKUP(C105,'Talente &amp; Stuff'!BI:CJ,19,FALSE)</f>
        <v>0</v>
      </c>
      <c r="V105" s="47">
        <f>VLOOKUP(C105,'Talente &amp; Stuff'!BI:CJ,20,FALSE)</f>
        <v>0</v>
      </c>
      <c r="W105" s="127">
        <f>VLOOKUP(C105,'Talente &amp; Stuff'!BI:CJ,21,FALSE)</f>
        <v>0</v>
      </c>
      <c r="X105" s="127">
        <f>VLOOKUP(C105,'Talente &amp; Stuff'!BI:CJ,22,FALSE)</f>
        <v>0</v>
      </c>
      <c r="Y105" s="165">
        <f t="shared" si="12"/>
        <v>0</v>
      </c>
      <c r="Z105" s="44">
        <f t="shared" si="13"/>
        <v>0</v>
      </c>
      <c r="AA105" s="125">
        <f>VLOOKUP(C105,'Talente &amp; Stuff'!BI:CJ,25,FALSE)</f>
        <v>0</v>
      </c>
      <c r="AB105" s="160">
        <f>VLOOKUP(C105,'Talente &amp; Stuff'!BI:CJ,26,FALSE)</f>
        <v>0</v>
      </c>
      <c r="AC105" s="127">
        <f>VLOOKUP(C105,'Talente &amp; Stuff'!BI:CJ,27,FALSE)</f>
        <v>0</v>
      </c>
      <c r="AD105" s="125">
        <f>VLOOKUP(C105,'Talente &amp; Stuff'!BI:CJ,28,FALSE)</f>
        <v>0</v>
      </c>
      <c r="AE105" s="28"/>
    </row>
    <row r="106" spans="2:31" ht="15" hidden="1" customHeight="1" outlineLevel="2">
      <c r="B106" s="148">
        <v>7</v>
      </c>
      <c r="C106" s="177" t="str">
        <f>Attribute!C106</f>
        <v>---</v>
      </c>
      <c r="D106" s="86" t="str">
        <f>VLOOKUP(C106,'Talente &amp; Stuff'!BI:CJ,2,FALSE)</f>
        <v>--/--/--</v>
      </c>
      <c r="E106" s="167" t="str">
        <f>VLOOKUP(C106,'Talente &amp; Stuff'!BI:CJ,3,FALSE)</f>
        <v>-</v>
      </c>
      <c r="F106" s="120">
        <f>VLOOKUP(C106,'Talente &amp; Stuff'!BI:CJ,4,FALSE)</f>
        <v>0</v>
      </c>
      <c r="G106" s="117">
        <f>VLOOKUP(C106,'Talente &amp; Stuff'!BI:CJ,5,FALSE)</f>
        <v>0</v>
      </c>
      <c r="H106" s="117">
        <f>VLOOKUP(C106,'Talente &amp; Stuff'!BI:CJ,6,FALSE)</f>
        <v>0</v>
      </c>
      <c r="I106" s="117">
        <f>VLOOKUP(C106,'Talente &amp; Stuff'!BI:CJ,7,FALSE)</f>
        <v>0</v>
      </c>
      <c r="J106" s="117">
        <f>VLOOKUP(C106,'Talente &amp; Stuff'!BI:CJ,8,FALSE)</f>
        <v>0</v>
      </c>
      <c r="K106" s="117">
        <f>VLOOKUP(C106,'Talente &amp; Stuff'!BI:CJ,9,FALSE)</f>
        <v>0</v>
      </c>
      <c r="L106" s="117">
        <f>VLOOKUP(C106,'Talente &amp; Stuff'!BI:CJ,10,FALSE)</f>
        <v>0</v>
      </c>
      <c r="M106" s="121">
        <f>VLOOKUP(C106,'Talente &amp; Stuff'!BI:CJ,11,FALSE)</f>
        <v>0</v>
      </c>
      <c r="N106" s="47">
        <f>VLOOKUP(C106,'Talente &amp; Stuff'!BI:CJ,12,FALSE)</f>
        <v>0</v>
      </c>
      <c r="O106" s="3">
        <f>VLOOKUP(C106,'Talente &amp; Stuff'!BI:CJ,13,FALSE)</f>
        <v>0</v>
      </c>
      <c r="P106" s="174">
        <f>VLOOKUP(C106,'Talente &amp; Stuff'!BI:CJ,14,FALSE)</f>
        <v>0</v>
      </c>
      <c r="Q106" s="114">
        <f>VLOOKUP(C106,'Talente &amp; Stuff'!BI:CJ,15,FALSE)</f>
        <v>0</v>
      </c>
      <c r="R106" s="117">
        <f>VLOOKUP(C106,'Talente &amp; Stuff'!BI:CJ,16,FALSE)</f>
        <v>0</v>
      </c>
      <c r="S106" s="119">
        <f>VLOOKUP(C106,'Talente &amp; Stuff'!BI:CJ,17,FALSE)</f>
        <v>0</v>
      </c>
      <c r="T106" s="119">
        <f>VLOOKUP(C106,'Talente &amp; Stuff'!BI:CJ,18,FALSE)</f>
        <v>0</v>
      </c>
      <c r="U106" s="89">
        <f>VLOOKUP(C106,'Talente &amp; Stuff'!BI:CJ,19,FALSE)</f>
        <v>0</v>
      </c>
      <c r="V106" s="47">
        <f>VLOOKUP(C106,'Talente &amp; Stuff'!BI:CJ,20,FALSE)</f>
        <v>0</v>
      </c>
      <c r="W106" s="127">
        <f>VLOOKUP(C106,'Talente &amp; Stuff'!BI:CJ,21,FALSE)</f>
        <v>0</v>
      </c>
      <c r="X106" s="127">
        <f>VLOOKUP(C106,'Talente &amp; Stuff'!BI:CJ,22,FALSE)</f>
        <v>0</v>
      </c>
      <c r="Y106" s="165">
        <f t="shared" si="12"/>
        <v>0</v>
      </c>
      <c r="Z106" s="44">
        <f t="shared" si="13"/>
        <v>0</v>
      </c>
      <c r="AA106" s="125">
        <f>VLOOKUP(C106,'Talente &amp; Stuff'!BI:CJ,25,FALSE)</f>
        <v>0</v>
      </c>
      <c r="AB106" s="160">
        <f>VLOOKUP(C106,'Talente &amp; Stuff'!BI:CJ,26,FALSE)</f>
        <v>0</v>
      </c>
      <c r="AC106" s="127">
        <f>VLOOKUP(C106,'Talente &amp; Stuff'!BI:CJ,27,FALSE)</f>
        <v>0</v>
      </c>
      <c r="AD106" s="125">
        <f>VLOOKUP(C106,'Talente &amp; Stuff'!BI:CJ,28,FALSE)</f>
        <v>0</v>
      </c>
      <c r="AE106" s="28"/>
    </row>
    <row r="107" spans="2:31" ht="15" hidden="1" customHeight="1" outlineLevel="2">
      <c r="B107" s="148">
        <v>8</v>
      </c>
      <c r="C107" s="177" t="str">
        <f>Attribute!C107</f>
        <v>---</v>
      </c>
      <c r="D107" s="86" t="str">
        <f>VLOOKUP(C107,'Talente &amp; Stuff'!BI:CJ,2,FALSE)</f>
        <v>--/--/--</v>
      </c>
      <c r="E107" s="167" t="str">
        <f>VLOOKUP(C107,'Talente &amp; Stuff'!BI:CJ,3,FALSE)</f>
        <v>-</v>
      </c>
      <c r="F107" s="120">
        <f>VLOOKUP(C107,'Talente &amp; Stuff'!BI:CJ,4,FALSE)</f>
        <v>0</v>
      </c>
      <c r="G107" s="117">
        <f>VLOOKUP(C107,'Talente &amp; Stuff'!BI:CJ,5,FALSE)</f>
        <v>0</v>
      </c>
      <c r="H107" s="117">
        <f>VLOOKUP(C107,'Talente &amp; Stuff'!BI:CJ,6,FALSE)</f>
        <v>0</v>
      </c>
      <c r="I107" s="117">
        <f>VLOOKUP(C107,'Talente &amp; Stuff'!BI:CJ,7,FALSE)</f>
        <v>0</v>
      </c>
      <c r="J107" s="117">
        <f>VLOOKUP(C107,'Talente &amp; Stuff'!BI:CJ,8,FALSE)</f>
        <v>0</v>
      </c>
      <c r="K107" s="117">
        <f>VLOOKUP(C107,'Talente &amp; Stuff'!BI:CJ,9,FALSE)</f>
        <v>0</v>
      </c>
      <c r="L107" s="117">
        <f>VLOOKUP(C107,'Talente &amp; Stuff'!BI:CJ,10,FALSE)</f>
        <v>0</v>
      </c>
      <c r="M107" s="121">
        <f>VLOOKUP(C107,'Talente &amp; Stuff'!BI:CJ,11,FALSE)</f>
        <v>0</v>
      </c>
      <c r="N107" s="47">
        <f>VLOOKUP(C107,'Talente &amp; Stuff'!BI:CJ,12,FALSE)</f>
        <v>0</v>
      </c>
      <c r="O107" s="3">
        <f>VLOOKUP(C107,'Talente &amp; Stuff'!BI:CJ,13,FALSE)</f>
        <v>0</v>
      </c>
      <c r="P107" s="174">
        <f>VLOOKUP(C107,'Talente &amp; Stuff'!BI:CJ,14,FALSE)</f>
        <v>0</v>
      </c>
      <c r="Q107" s="114">
        <f>VLOOKUP(C107,'Talente &amp; Stuff'!BI:CJ,15,FALSE)</f>
        <v>0</v>
      </c>
      <c r="R107" s="117">
        <f>VLOOKUP(C107,'Talente &amp; Stuff'!BI:CJ,16,FALSE)</f>
        <v>0</v>
      </c>
      <c r="S107" s="119">
        <f>VLOOKUP(C107,'Talente &amp; Stuff'!BI:CJ,17,FALSE)</f>
        <v>0</v>
      </c>
      <c r="T107" s="119">
        <f>VLOOKUP(C107,'Talente &amp; Stuff'!BI:CJ,18,FALSE)</f>
        <v>0</v>
      </c>
      <c r="U107" s="89">
        <f>VLOOKUP(C107,'Talente &amp; Stuff'!BI:CJ,19,FALSE)</f>
        <v>0</v>
      </c>
      <c r="V107" s="47">
        <f>VLOOKUP(C107,'Talente &amp; Stuff'!BI:CJ,20,FALSE)</f>
        <v>0</v>
      </c>
      <c r="W107" s="127">
        <f>VLOOKUP(C107,'Talente &amp; Stuff'!BI:CJ,21,FALSE)</f>
        <v>0</v>
      </c>
      <c r="X107" s="127">
        <f>VLOOKUP(C107,'Talente &amp; Stuff'!BI:CJ,22,FALSE)</f>
        <v>0</v>
      </c>
      <c r="Y107" s="165">
        <f t="shared" si="12"/>
        <v>0</v>
      </c>
      <c r="Z107" s="44">
        <f t="shared" si="13"/>
        <v>0</v>
      </c>
      <c r="AA107" s="125">
        <f>VLOOKUP(C107,'Talente &amp; Stuff'!BI:CJ,25,FALSE)</f>
        <v>0</v>
      </c>
      <c r="AB107" s="160">
        <f>VLOOKUP(C107,'Talente &amp; Stuff'!BI:CJ,26,FALSE)</f>
        <v>0</v>
      </c>
      <c r="AC107" s="127">
        <f>VLOOKUP(C107,'Talente &amp; Stuff'!BI:CJ,27,FALSE)</f>
        <v>0</v>
      </c>
      <c r="AD107" s="125">
        <f>VLOOKUP(C107,'Talente &amp; Stuff'!BI:CJ,28,FALSE)</f>
        <v>0</v>
      </c>
      <c r="AE107" s="28"/>
    </row>
    <row r="108" spans="2:31" ht="15" hidden="1" customHeight="1" outlineLevel="2">
      <c r="B108" s="148">
        <v>9</v>
      </c>
      <c r="C108" s="177" t="str">
        <f>Attribute!C108</f>
        <v>---</v>
      </c>
      <c r="D108" s="86" t="str">
        <f>VLOOKUP(C108,'Talente &amp; Stuff'!BI:CJ,2,FALSE)</f>
        <v>--/--/--</v>
      </c>
      <c r="E108" s="167" t="str">
        <f>VLOOKUP(C108,'Talente &amp; Stuff'!BI:CJ,3,FALSE)</f>
        <v>-</v>
      </c>
      <c r="F108" s="120">
        <f>VLOOKUP(C108,'Talente &amp; Stuff'!BI:CJ,4,FALSE)</f>
        <v>0</v>
      </c>
      <c r="G108" s="117">
        <f>VLOOKUP(C108,'Talente &amp; Stuff'!BI:CJ,5,FALSE)</f>
        <v>0</v>
      </c>
      <c r="H108" s="117">
        <f>VLOOKUP(C108,'Talente &amp; Stuff'!BI:CJ,6,FALSE)</f>
        <v>0</v>
      </c>
      <c r="I108" s="117">
        <f>VLOOKUP(C108,'Talente &amp; Stuff'!BI:CJ,7,FALSE)</f>
        <v>0</v>
      </c>
      <c r="J108" s="117">
        <f>VLOOKUP(C108,'Talente &amp; Stuff'!BI:CJ,8,FALSE)</f>
        <v>0</v>
      </c>
      <c r="K108" s="117">
        <f>VLOOKUP(C108,'Talente &amp; Stuff'!BI:CJ,9,FALSE)</f>
        <v>0</v>
      </c>
      <c r="L108" s="117">
        <f>VLOOKUP(C108,'Talente &amp; Stuff'!BI:CJ,10,FALSE)</f>
        <v>0</v>
      </c>
      <c r="M108" s="121">
        <f>VLOOKUP(C108,'Talente &amp; Stuff'!BI:CJ,11,FALSE)</f>
        <v>0</v>
      </c>
      <c r="N108" s="47">
        <f>VLOOKUP(C108,'Talente &amp; Stuff'!BI:CJ,12,FALSE)</f>
        <v>0</v>
      </c>
      <c r="O108" s="3">
        <f>VLOOKUP(C108,'Talente &amp; Stuff'!BI:CJ,13,FALSE)</f>
        <v>0</v>
      </c>
      <c r="P108" s="174">
        <f>VLOOKUP(C108,'Talente &amp; Stuff'!BI:CJ,14,FALSE)</f>
        <v>0</v>
      </c>
      <c r="Q108" s="114">
        <f>VLOOKUP(C108,'Talente &amp; Stuff'!BI:CJ,15,FALSE)</f>
        <v>0</v>
      </c>
      <c r="R108" s="117">
        <f>VLOOKUP(C108,'Talente &amp; Stuff'!BI:CJ,16,FALSE)</f>
        <v>0</v>
      </c>
      <c r="S108" s="119">
        <f>VLOOKUP(C108,'Talente &amp; Stuff'!BI:CJ,17,FALSE)</f>
        <v>0</v>
      </c>
      <c r="T108" s="119">
        <f>VLOOKUP(C108,'Talente &amp; Stuff'!BI:CJ,18,FALSE)</f>
        <v>0</v>
      </c>
      <c r="U108" s="89">
        <f>VLOOKUP(C108,'Talente &amp; Stuff'!BI:CJ,19,FALSE)</f>
        <v>0</v>
      </c>
      <c r="V108" s="47">
        <f>VLOOKUP(C108,'Talente &amp; Stuff'!BI:CJ,20,FALSE)</f>
        <v>0</v>
      </c>
      <c r="W108" s="127">
        <f>VLOOKUP(C108,'Talente &amp; Stuff'!BI:CJ,21,FALSE)</f>
        <v>0</v>
      </c>
      <c r="X108" s="127">
        <f>VLOOKUP(C108,'Talente &amp; Stuff'!BI:CJ,22,FALSE)</f>
        <v>0</v>
      </c>
      <c r="Y108" s="165">
        <f t="shared" si="12"/>
        <v>0</v>
      </c>
      <c r="Z108" s="44">
        <f t="shared" si="13"/>
        <v>0</v>
      </c>
      <c r="AA108" s="125">
        <f>VLOOKUP(C108,'Talente &amp; Stuff'!BI:CJ,25,FALSE)</f>
        <v>0</v>
      </c>
      <c r="AB108" s="160">
        <f>VLOOKUP(C108,'Talente &amp; Stuff'!BI:CJ,26,FALSE)</f>
        <v>0</v>
      </c>
      <c r="AC108" s="127">
        <f>VLOOKUP(C108,'Talente &amp; Stuff'!BI:CJ,27,FALSE)</f>
        <v>0</v>
      </c>
      <c r="AD108" s="125">
        <f>VLOOKUP(C108,'Talente &amp; Stuff'!BI:CJ,28,FALSE)</f>
        <v>0</v>
      </c>
      <c r="AE108" s="28"/>
    </row>
    <row r="109" spans="2:31" ht="15" hidden="1" customHeight="1" outlineLevel="2">
      <c r="B109" s="148">
        <v>10</v>
      </c>
      <c r="C109" s="177" t="str">
        <f>Attribute!C109</f>
        <v>---</v>
      </c>
      <c r="D109" s="86" t="str">
        <f>VLOOKUP(C109,'Talente &amp; Stuff'!BI:CJ,2,FALSE)</f>
        <v>--/--/--</v>
      </c>
      <c r="E109" s="167" t="str">
        <f>VLOOKUP(C109,'Talente &amp; Stuff'!BI:CJ,3,FALSE)</f>
        <v>-</v>
      </c>
      <c r="F109" s="120">
        <f>VLOOKUP(C109,'Talente &amp; Stuff'!BI:CJ,4,FALSE)</f>
        <v>0</v>
      </c>
      <c r="G109" s="117">
        <f>VLOOKUP(C109,'Talente &amp; Stuff'!BI:CJ,5,FALSE)</f>
        <v>0</v>
      </c>
      <c r="H109" s="117">
        <f>VLOOKUP(C109,'Talente &amp; Stuff'!BI:CJ,6,FALSE)</f>
        <v>0</v>
      </c>
      <c r="I109" s="117">
        <f>VLOOKUP(C109,'Talente &amp; Stuff'!BI:CJ,7,FALSE)</f>
        <v>0</v>
      </c>
      <c r="J109" s="117">
        <f>VLOOKUP(C109,'Talente &amp; Stuff'!BI:CJ,8,FALSE)</f>
        <v>0</v>
      </c>
      <c r="K109" s="117">
        <f>VLOOKUP(C109,'Talente &amp; Stuff'!BI:CJ,9,FALSE)</f>
        <v>0</v>
      </c>
      <c r="L109" s="117">
        <f>VLOOKUP(C109,'Talente &amp; Stuff'!BI:CJ,10,FALSE)</f>
        <v>0</v>
      </c>
      <c r="M109" s="121">
        <f>VLOOKUP(C109,'Talente &amp; Stuff'!BI:CJ,11,FALSE)</f>
        <v>0</v>
      </c>
      <c r="N109" s="47">
        <f>VLOOKUP(C109,'Talente &amp; Stuff'!BI:CJ,12,FALSE)</f>
        <v>0</v>
      </c>
      <c r="O109" s="3">
        <f>VLOOKUP(C109,'Talente &amp; Stuff'!BI:CJ,13,FALSE)</f>
        <v>0</v>
      </c>
      <c r="P109" s="174">
        <f>VLOOKUP(C109,'Talente &amp; Stuff'!BI:CJ,14,FALSE)</f>
        <v>0</v>
      </c>
      <c r="Q109" s="114">
        <f>VLOOKUP(C109,'Talente &amp; Stuff'!BI:CJ,15,FALSE)</f>
        <v>0</v>
      </c>
      <c r="R109" s="117">
        <f>VLOOKUP(C109,'Talente &amp; Stuff'!BI:CJ,16,FALSE)</f>
        <v>0</v>
      </c>
      <c r="S109" s="119">
        <f>VLOOKUP(C109,'Talente &amp; Stuff'!BI:CJ,17,FALSE)</f>
        <v>0</v>
      </c>
      <c r="T109" s="119">
        <f>VLOOKUP(C109,'Talente &amp; Stuff'!BI:CJ,18,FALSE)</f>
        <v>0</v>
      </c>
      <c r="U109" s="89">
        <f>VLOOKUP(C109,'Talente &amp; Stuff'!BI:CJ,19,FALSE)</f>
        <v>0</v>
      </c>
      <c r="V109" s="47">
        <f>VLOOKUP(C109,'Talente &amp; Stuff'!BI:CJ,20,FALSE)</f>
        <v>0</v>
      </c>
      <c r="W109" s="127">
        <f>VLOOKUP(C109,'Talente &amp; Stuff'!BI:CJ,21,FALSE)</f>
        <v>0</v>
      </c>
      <c r="X109" s="127">
        <f>VLOOKUP(C109,'Talente &amp; Stuff'!BI:CJ,22,FALSE)</f>
        <v>0</v>
      </c>
      <c r="Y109" s="165">
        <f t="shared" si="12"/>
        <v>0</v>
      </c>
      <c r="Z109" s="44">
        <f t="shared" si="13"/>
        <v>0</v>
      </c>
      <c r="AA109" s="125">
        <f>VLOOKUP(C109,'Talente &amp; Stuff'!BI:CJ,25,FALSE)</f>
        <v>0</v>
      </c>
      <c r="AB109" s="160">
        <f>VLOOKUP(C109,'Talente &amp; Stuff'!BI:CJ,26,FALSE)</f>
        <v>0</v>
      </c>
      <c r="AC109" s="127">
        <f>VLOOKUP(C109,'Talente &amp; Stuff'!BI:CJ,27,FALSE)</f>
        <v>0</v>
      </c>
      <c r="AD109" s="125">
        <f>VLOOKUP(C109,'Talente &amp; Stuff'!BI:CJ,28,FALSE)</f>
        <v>0</v>
      </c>
      <c r="AE109" s="28"/>
    </row>
    <row r="110" spans="2:31" ht="15" hidden="1" customHeight="1" outlineLevel="2">
      <c r="B110" s="148">
        <v>11</v>
      </c>
      <c r="C110" s="177" t="str">
        <f>Attribute!C110</f>
        <v>---</v>
      </c>
      <c r="D110" s="86" t="str">
        <f>VLOOKUP(C110,'Talente &amp; Stuff'!BI:CJ,2,FALSE)</f>
        <v>--/--/--</v>
      </c>
      <c r="E110" s="167" t="str">
        <f>VLOOKUP(C110,'Talente &amp; Stuff'!BI:CJ,3,FALSE)</f>
        <v>-</v>
      </c>
      <c r="F110" s="120">
        <f>VLOOKUP(C110,'Talente &amp; Stuff'!BI:CJ,4,FALSE)</f>
        <v>0</v>
      </c>
      <c r="G110" s="117">
        <f>VLOOKUP(C110,'Talente &amp; Stuff'!BI:CJ,5,FALSE)</f>
        <v>0</v>
      </c>
      <c r="H110" s="117">
        <f>VLOOKUP(C110,'Talente &amp; Stuff'!BI:CJ,6,FALSE)</f>
        <v>0</v>
      </c>
      <c r="I110" s="117">
        <f>VLOOKUP(C110,'Talente &amp; Stuff'!BI:CJ,7,FALSE)</f>
        <v>0</v>
      </c>
      <c r="J110" s="117">
        <f>VLOOKUP(C110,'Talente &amp; Stuff'!BI:CJ,8,FALSE)</f>
        <v>0</v>
      </c>
      <c r="K110" s="117">
        <f>VLOOKUP(C110,'Talente &amp; Stuff'!BI:CJ,9,FALSE)</f>
        <v>0</v>
      </c>
      <c r="L110" s="117">
        <f>VLOOKUP(C110,'Talente &amp; Stuff'!BI:CJ,10,FALSE)</f>
        <v>0</v>
      </c>
      <c r="M110" s="121">
        <f>VLOOKUP(C110,'Talente &amp; Stuff'!BI:CJ,11,FALSE)</f>
        <v>0</v>
      </c>
      <c r="N110" s="47">
        <f>VLOOKUP(C110,'Talente &amp; Stuff'!BI:CJ,12,FALSE)</f>
        <v>0</v>
      </c>
      <c r="O110" s="3">
        <f>VLOOKUP(C110,'Talente &amp; Stuff'!BI:CJ,13,FALSE)</f>
        <v>0</v>
      </c>
      <c r="P110" s="174">
        <f>VLOOKUP(C110,'Talente &amp; Stuff'!BI:CJ,14,FALSE)</f>
        <v>0</v>
      </c>
      <c r="Q110" s="114">
        <f>VLOOKUP(C110,'Talente &amp; Stuff'!BI:CJ,15,FALSE)</f>
        <v>0</v>
      </c>
      <c r="R110" s="117">
        <f>VLOOKUP(C110,'Talente &amp; Stuff'!BI:CJ,16,FALSE)</f>
        <v>0</v>
      </c>
      <c r="S110" s="119">
        <f>VLOOKUP(C110,'Talente &amp; Stuff'!BI:CJ,17,FALSE)</f>
        <v>0</v>
      </c>
      <c r="T110" s="119">
        <f>VLOOKUP(C110,'Talente &amp; Stuff'!BI:CJ,18,FALSE)</f>
        <v>0</v>
      </c>
      <c r="U110" s="89">
        <f>VLOOKUP(C110,'Talente &amp; Stuff'!BI:CJ,19,FALSE)</f>
        <v>0</v>
      </c>
      <c r="V110" s="47">
        <f>VLOOKUP(C110,'Talente &amp; Stuff'!BI:CJ,20,FALSE)</f>
        <v>0</v>
      </c>
      <c r="W110" s="127">
        <f>VLOOKUP(C110,'Talente &amp; Stuff'!BI:CJ,21,FALSE)</f>
        <v>0</v>
      </c>
      <c r="X110" s="127">
        <f>VLOOKUP(C110,'Talente &amp; Stuff'!BI:CJ,22,FALSE)</f>
        <v>0</v>
      </c>
      <c r="Y110" s="165">
        <f t="shared" si="12"/>
        <v>0</v>
      </c>
      <c r="Z110" s="44">
        <f t="shared" si="13"/>
        <v>0</v>
      </c>
      <c r="AA110" s="125">
        <f>VLOOKUP(C110,'Talente &amp; Stuff'!BI:CJ,25,FALSE)</f>
        <v>0</v>
      </c>
      <c r="AB110" s="160">
        <f>VLOOKUP(C110,'Talente &amp; Stuff'!BI:CJ,26,FALSE)</f>
        <v>0</v>
      </c>
      <c r="AC110" s="127">
        <f>VLOOKUP(C110,'Talente &amp; Stuff'!BI:CJ,27,FALSE)</f>
        <v>0</v>
      </c>
      <c r="AD110" s="125">
        <f>VLOOKUP(C110,'Talente &amp; Stuff'!BI:CJ,28,FALSE)</f>
        <v>0</v>
      </c>
      <c r="AE110" s="28"/>
    </row>
    <row r="111" spans="2:31" ht="15" hidden="1" customHeight="1" outlineLevel="2">
      <c r="B111" s="148">
        <v>12</v>
      </c>
      <c r="C111" s="177" t="str">
        <f>Attribute!C111</f>
        <v>---</v>
      </c>
      <c r="D111" s="86" t="str">
        <f>VLOOKUP(C111,'Talente &amp; Stuff'!BI:CJ,2,FALSE)</f>
        <v>--/--/--</v>
      </c>
      <c r="E111" s="167" t="str">
        <f>VLOOKUP(C111,'Talente &amp; Stuff'!BI:CJ,3,FALSE)</f>
        <v>-</v>
      </c>
      <c r="F111" s="120">
        <f>VLOOKUP(C111,'Talente &amp; Stuff'!BI:CJ,4,FALSE)</f>
        <v>0</v>
      </c>
      <c r="G111" s="117">
        <f>VLOOKUP(C111,'Talente &amp; Stuff'!BI:CJ,5,FALSE)</f>
        <v>0</v>
      </c>
      <c r="H111" s="117">
        <f>VLOOKUP(C111,'Talente &amp; Stuff'!BI:CJ,6,FALSE)</f>
        <v>0</v>
      </c>
      <c r="I111" s="117">
        <f>VLOOKUP(C111,'Talente &amp; Stuff'!BI:CJ,7,FALSE)</f>
        <v>0</v>
      </c>
      <c r="J111" s="117">
        <f>VLOOKUP(C111,'Talente &amp; Stuff'!BI:CJ,8,FALSE)</f>
        <v>0</v>
      </c>
      <c r="K111" s="117">
        <f>VLOOKUP(C111,'Talente &amp; Stuff'!BI:CJ,9,FALSE)</f>
        <v>0</v>
      </c>
      <c r="L111" s="117">
        <f>VLOOKUP(C111,'Talente &amp; Stuff'!BI:CJ,10,FALSE)</f>
        <v>0</v>
      </c>
      <c r="M111" s="121">
        <f>VLOOKUP(C111,'Talente &amp; Stuff'!BI:CJ,11,FALSE)</f>
        <v>0</v>
      </c>
      <c r="N111" s="47">
        <f>VLOOKUP(C111,'Talente &amp; Stuff'!BI:CJ,12,FALSE)</f>
        <v>0</v>
      </c>
      <c r="O111" s="3">
        <f>VLOOKUP(C111,'Talente &amp; Stuff'!BI:CJ,13,FALSE)</f>
        <v>0</v>
      </c>
      <c r="P111" s="174">
        <f>VLOOKUP(C111,'Talente &amp; Stuff'!BI:CJ,14,FALSE)</f>
        <v>0</v>
      </c>
      <c r="Q111" s="114">
        <f>VLOOKUP(C111,'Talente &amp; Stuff'!BI:CJ,15,FALSE)</f>
        <v>0</v>
      </c>
      <c r="R111" s="117">
        <f>VLOOKUP(C111,'Talente &amp; Stuff'!BI:CJ,16,FALSE)</f>
        <v>0</v>
      </c>
      <c r="S111" s="119">
        <f>VLOOKUP(C111,'Talente &amp; Stuff'!BI:CJ,17,FALSE)</f>
        <v>0</v>
      </c>
      <c r="T111" s="119">
        <f>VLOOKUP(C111,'Talente &amp; Stuff'!BI:CJ,18,FALSE)</f>
        <v>0</v>
      </c>
      <c r="U111" s="89">
        <f>VLOOKUP(C111,'Talente &amp; Stuff'!BI:CJ,19,FALSE)</f>
        <v>0</v>
      </c>
      <c r="V111" s="47">
        <f>VLOOKUP(C111,'Talente &amp; Stuff'!BI:CJ,20,FALSE)</f>
        <v>0</v>
      </c>
      <c r="W111" s="127">
        <f>VLOOKUP(C111,'Talente &amp; Stuff'!BI:CJ,21,FALSE)</f>
        <v>0</v>
      </c>
      <c r="X111" s="127">
        <f>VLOOKUP(C111,'Talente &amp; Stuff'!BI:CJ,22,FALSE)</f>
        <v>0</v>
      </c>
      <c r="Y111" s="165">
        <f t="shared" si="12"/>
        <v>0</v>
      </c>
      <c r="Z111" s="44">
        <f t="shared" si="13"/>
        <v>0</v>
      </c>
      <c r="AA111" s="125">
        <f>VLOOKUP(C111,'Talente &amp; Stuff'!BI:CJ,25,FALSE)</f>
        <v>0</v>
      </c>
      <c r="AB111" s="160">
        <f>VLOOKUP(C111,'Talente &amp; Stuff'!BI:CJ,26,FALSE)</f>
        <v>0</v>
      </c>
      <c r="AC111" s="127">
        <f>VLOOKUP(C111,'Talente &amp; Stuff'!BI:CJ,27,FALSE)</f>
        <v>0</v>
      </c>
      <c r="AD111" s="125">
        <f>VLOOKUP(C111,'Talente &amp; Stuff'!BI:CJ,28,FALSE)</f>
        <v>0</v>
      </c>
      <c r="AE111" s="28"/>
    </row>
    <row r="112" spans="2:31" ht="15" hidden="1" customHeight="1" outlineLevel="2">
      <c r="B112" s="148">
        <v>13</v>
      </c>
      <c r="C112" s="177" t="str">
        <f>Attribute!C112</f>
        <v>---</v>
      </c>
      <c r="D112" s="86" t="str">
        <f>VLOOKUP(C112,'Talente &amp; Stuff'!BI:CJ,2,FALSE)</f>
        <v>--/--/--</v>
      </c>
      <c r="E112" s="167" t="str">
        <f>VLOOKUP(C112,'Talente &amp; Stuff'!BI:CJ,3,FALSE)</f>
        <v>-</v>
      </c>
      <c r="F112" s="120">
        <f>VLOOKUP(C112,'Talente &amp; Stuff'!BI:CJ,4,FALSE)</f>
        <v>0</v>
      </c>
      <c r="G112" s="117">
        <f>VLOOKUP(C112,'Talente &amp; Stuff'!BI:CJ,5,FALSE)</f>
        <v>0</v>
      </c>
      <c r="H112" s="117">
        <f>VLOOKUP(C112,'Talente &amp; Stuff'!BI:CJ,6,FALSE)</f>
        <v>0</v>
      </c>
      <c r="I112" s="117">
        <f>VLOOKUP(C112,'Talente &amp; Stuff'!BI:CJ,7,FALSE)</f>
        <v>0</v>
      </c>
      <c r="J112" s="117">
        <f>VLOOKUP(C112,'Talente &amp; Stuff'!BI:CJ,8,FALSE)</f>
        <v>0</v>
      </c>
      <c r="K112" s="117">
        <f>VLOOKUP(C112,'Talente &amp; Stuff'!BI:CJ,9,FALSE)</f>
        <v>0</v>
      </c>
      <c r="L112" s="117">
        <f>VLOOKUP(C112,'Talente &amp; Stuff'!BI:CJ,10,FALSE)</f>
        <v>0</v>
      </c>
      <c r="M112" s="121">
        <f>VLOOKUP(C112,'Talente &amp; Stuff'!BI:CJ,11,FALSE)</f>
        <v>0</v>
      </c>
      <c r="N112" s="47">
        <f>VLOOKUP(C112,'Talente &amp; Stuff'!BI:CJ,12,FALSE)</f>
        <v>0</v>
      </c>
      <c r="O112" s="3">
        <f>VLOOKUP(C112,'Talente &amp; Stuff'!BI:CJ,13,FALSE)</f>
        <v>0</v>
      </c>
      <c r="P112" s="174">
        <f>VLOOKUP(C112,'Talente &amp; Stuff'!BI:CJ,14,FALSE)</f>
        <v>0</v>
      </c>
      <c r="Q112" s="114">
        <f>VLOOKUP(C112,'Talente &amp; Stuff'!BI:CJ,15,FALSE)</f>
        <v>0</v>
      </c>
      <c r="R112" s="117">
        <f>VLOOKUP(C112,'Talente &amp; Stuff'!BI:CJ,16,FALSE)</f>
        <v>0</v>
      </c>
      <c r="S112" s="119">
        <f>VLOOKUP(C112,'Talente &amp; Stuff'!BI:CJ,17,FALSE)</f>
        <v>0</v>
      </c>
      <c r="T112" s="119">
        <f>VLOOKUP(C112,'Talente &amp; Stuff'!BI:CJ,18,FALSE)</f>
        <v>0</v>
      </c>
      <c r="U112" s="89">
        <f>VLOOKUP(C112,'Talente &amp; Stuff'!BI:CJ,19,FALSE)</f>
        <v>0</v>
      </c>
      <c r="V112" s="47">
        <f>VLOOKUP(C112,'Talente &amp; Stuff'!BI:CJ,20,FALSE)</f>
        <v>0</v>
      </c>
      <c r="W112" s="127">
        <f>VLOOKUP(C112,'Talente &amp; Stuff'!BI:CJ,21,FALSE)</f>
        <v>0</v>
      </c>
      <c r="X112" s="127">
        <f>VLOOKUP(C112,'Talente &amp; Stuff'!BI:CJ,22,FALSE)</f>
        <v>0</v>
      </c>
      <c r="Y112" s="165">
        <f t="shared" si="12"/>
        <v>0</v>
      </c>
      <c r="Z112" s="44">
        <f t="shared" si="13"/>
        <v>0</v>
      </c>
      <c r="AA112" s="125">
        <f>VLOOKUP(C112,'Talente &amp; Stuff'!BI:CJ,25,FALSE)</f>
        <v>0</v>
      </c>
      <c r="AB112" s="160">
        <f>VLOOKUP(C112,'Talente &amp; Stuff'!BI:CJ,26,FALSE)</f>
        <v>0</v>
      </c>
      <c r="AC112" s="127">
        <f>VLOOKUP(C112,'Talente &amp; Stuff'!BI:CJ,27,FALSE)</f>
        <v>0</v>
      </c>
      <c r="AD112" s="125">
        <f>VLOOKUP(C112,'Talente &amp; Stuff'!BI:CJ,28,FALSE)</f>
        <v>0</v>
      </c>
      <c r="AE112" s="28"/>
    </row>
    <row r="113" spans="2:31" ht="15" hidden="1" customHeight="1" outlineLevel="2">
      <c r="B113" s="148">
        <v>14</v>
      </c>
      <c r="C113" s="177" t="str">
        <f>Attribute!C113</f>
        <v>---</v>
      </c>
      <c r="D113" s="86" t="str">
        <f>VLOOKUP(C113,'Talente &amp; Stuff'!BI:CJ,2,FALSE)</f>
        <v>--/--/--</v>
      </c>
      <c r="E113" s="167" t="str">
        <f>VLOOKUP(C113,'Talente &amp; Stuff'!BI:CJ,3,FALSE)</f>
        <v>-</v>
      </c>
      <c r="F113" s="120">
        <f>VLOOKUP(C113,'Talente &amp; Stuff'!BI:CJ,4,FALSE)</f>
        <v>0</v>
      </c>
      <c r="G113" s="117">
        <f>VLOOKUP(C113,'Talente &amp; Stuff'!BI:CJ,5,FALSE)</f>
        <v>0</v>
      </c>
      <c r="H113" s="117">
        <f>VLOOKUP(C113,'Talente &amp; Stuff'!BI:CJ,6,FALSE)</f>
        <v>0</v>
      </c>
      <c r="I113" s="117">
        <f>VLOOKUP(C113,'Talente &amp; Stuff'!BI:CJ,7,FALSE)</f>
        <v>0</v>
      </c>
      <c r="J113" s="117">
        <f>VLOOKUP(C113,'Talente &amp; Stuff'!BI:CJ,8,FALSE)</f>
        <v>0</v>
      </c>
      <c r="K113" s="117">
        <f>VLOOKUP(C113,'Talente &amp; Stuff'!BI:CJ,9,FALSE)</f>
        <v>0</v>
      </c>
      <c r="L113" s="117">
        <f>VLOOKUP(C113,'Talente &amp; Stuff'!BI:CJ,10,FALSE)</f>
        <v>0</v>
      </c>
      <c r="M113" s="121">
        <f>VLOOKUP(C113,'Talente &amp; Stuff'!BI:CJ,11,FALSE)</f>
        <v>0</v>
      </c>
      <c r="N113" s="47">
        <f>VLOOKUP(C113,'Talente &amp; Stuff'!BI:CJ,12,FALSE)</f>
        <v>0</v>
      </c>
      <c r="O113" s="3">
        <f>VLOOKUP(C113,'Talente &amp; Stuff'!BI:CJ,13,FALSE)</f>
        <v>0</v>
      </c>
      <c r="P113" s="174">
        <f>VLOOKUP(C113,'Talente &amp; Stuff'!BI:CJ,14,FALSE)</f>
        <v>0</v>
      </c>
      <c r="Q113" s="114">
        <f>VLOOKUP(C113,'Talente &amp; Stuff'!BI:CJ,15,FALSE)</f>
        <v>0</v>
      </c>
      <c r="R113" s="117">
        <f>VLOOKUP(C113,'Talente &amp; Stuff'!BI:CJ,16,FALSE)</f>
        <v>0</v>
      </c>
      <c r="S113" s="119">
        <f>VLOOKUP(C113,'Talente &amp; Stuff'!BI:CJ,17,FALSE)</f>
        <v>0</v>
      </c>
      <c r="T113" s="119">
        <f>VLOOKUP(C113,'Talente &amp; Stuff'!BI:CJ,18,FALSE)</f>
        <v>0</v>
      </c>
      <c r="U113" s="89">
        <f>VLOOKUP(C113,'Talente &amp; Stuff'!BI:CJ,19,FALSE)</f>
        <v>0</v>
      </c>
      <c r="V113" s="47">
        <f>VLOOKUP(C113,'Talente &amp; Stuff'!BI:CJ,20,FALSE)</f>
        <v>0</v>
      </c>
      <c r="W113" s="127">
        <f>VLOOKUP(C113,'Talente &amp; Stuff'!BI:CJ,21,FALSE)</f>
        <v>0</v>
      </c>
      <c r="X113" s="127">
        <f>VLOOKUP(C113,'Talente &amp; Stuff'!BI:CJ,22,FALSE)</f>
        <v>0</v>
      </c>
      <c r="Y113" s="165">
        <f t="shared" si="12"/>
        <v>0</v>
      </c>
      <c r="Z113" s="44">
        <f t="shared" si="13"/>
        <v>0</v>
      </c>
      <c r="AA113" s="125">
        <f>VLOOKUP(C113,'Talente &amp; Stuff'!BI:CJ,25,FALSE)</f>
        <v>0</v>
      </c>
      <c r="AB113" s="160">
        <f>VLOOKUP(C113,'Talente &amp; Stuff'!BI:CJ,26,FALSE)</f>
        <v>0</v>
      </c>
      <c r="AC113" s="127">
        <f>VLOOKUP(C113,'Talente &amp; Stuff'!BI:CJ,27,FALSE)</f>
        <v>0</v>
      </c>
      <c r="AD113" s="125">
        <f>VLOOKUP(C113,'Talente &amp; Stuff'!BI:CJ,28,FALSE)</f>
        <v>0</v>
      </c>
      <c r="AE113" s="28"/>
    </row>
    <row r="114" spans="2:31" ht="15" hidden="1" customHeight="1" outlineLevel="2">
      <c r="B114" s="148">
        <v>15</v>
      </c>
      <c r="C114" s="177" t="str">
        <f>Attribute!C114</f>
        <v>---</v>
      </c>
      <c r="D114" s="86" t="str">
        <f>VLOOKUP(C114,'Talente &amp; Stuff'!BI:CJ,2,FALSE)</f>
        <v>--/--/--</v>
      </c>
      <c r="E114" s="167" t="str">
        <f>VLOOKUP(C114,'Talente &amp; Stuff'!BI:CJ,3,FALSE)</f>
        <v>-</v>
      </c>
      <c r="F114" s="120">
        <f>VLOOKUP(C114,'Talente &amp; Stuff'!BI:CJ,4,FALSE)</f>
        <v>0</v>
      </c>
      <c r="G114" s="117">
        <f>VLOOKUP(C114,'Talente &amp; Stuff'!BI:CJ,5,FALSE)</f>
        <v>0</v>
      </c>
      <c r="H114" s="117">
        <f>VLOOKUP(C114,'Talente &amp; Stuff'!BI:CJ,6,FALSE)</f>
        <v>0</v>
      </c>
      <c r="I114" s="117">
        <f>VLOOKUP(C114,'Talente &amp; Stuff'!BI:CJ,7,FALSE)</f>
        <v>0</v>
      </c>
      <c r="J114" s="117">
        <f>VLOOKUP(C114,'Talente &amp; Stuff'!BI:CJ,8,FALSE)</f>
        <v>0</v>
      </c>
      <c r="K114" s="117">
        <f>VLOOKUP(C114,'Talente &amp; Stuff'!BI:CJ,9,FALSE)</f>
        <v>0</v>
      </c>
      <c r="L114" s="117">
        <f>VLOOKUP(C114,'Talente &amp; Stuff'!BI:CJ,10,FALSE)</f>
        <v>0</v>
      </c>
      <c r="M114" s="121">
        <f>VLOOKUP(C114,'Talente &amp; Stuff'!BI:CJ,11,FALSE)</f>
        <v>0</v>
      </c>
      <c r="N114" s="47">
        <f>VLOOKUP(C114,'Talente &amp; Stuff'!BI:CJ,12,FALSE)</f>
        <v>0</v>
      </c>
      <c r="O114" s="3">
        <f>VLOOKUP(C114,'Talente &amp; Stuff'!BI:CJ,13,FALSE)</f>
        <v>0</v>
      </c>
      <c r="P114" s="174">
        <f>VLOOKUP(C114,'Talente &amp; Stuff'!BI:CJ,14,FALSE)</f>
        <v>0</v>
      </c>
      <c r="Q114" s="114">
        <f>VLOOKUP(C114,'Talente &amp; Stuff'!BI:CJ,15,FALSE)</f>
        <v>0</v>
      </c>
      <c r="R114" s="117">
        <f>VLOOKUP(C114,'Talente &amp; Stuff'!BI:CJ,16,FALSE)</f>
        <v>0</v>
      </c>
      <c r="S114" s="119">
        <f>VLOOKUP(C114,'Talente &amp; Stuff'!BI:CJ,17,FALSE)</f>
        <v>0</v>
      </c>
      <c r="T114" s="119">
        <f>VLOOKUP(C114,'Talente &amp; Stuff'!BI:CJ,18,FALSE)</f>
        <v>0</v>
      </c>
      <c r="U114" s="89">
        <f>VLOOKUP(C114,'Talente &amp; Stuff'!BI:CJ,19,FALSE)</f>
        <v>0</v>
      </c>
      <c r="V114" s="47">
        <f>VLOOKUP(C114,'Talente &amp; Stuff'!BI:CJ,20,FALSE)</f>
        <v>0</v>
      </c>
      <c r="W114" s="127">
        <f>VLOOKUP(C114,'Talente &amp; Stuff'!BI:CJ,21,FALSE)</f>
        <v>0</v>
      </c>
      <c r="X114" s="127">
        <f>VLOOKUP(C114,'Talente &amp; Stuff'!BI:CJ,22,FALSE)</f>
        <v>0</v>
      </c>
      <c r="Y114" s="165">
        <f t="shared" si="12"/>
        <v>0</v>
      </c>
      <c r="Z114" s="44">
        <f t="shared" si="13"/>
        <v>0</v>
      </c>
      <c r="AA114" s="125">
        <f>VLOOKUP(C114,'Talente &amp; Stuff'!BI:CJ,25,FALSE)</f>
        <v>0</v>
      </c>
      <c r="AB114" s="160">
        <f>VLOOKUP(C114,'Talente &amp; Stuff'!BI:CJ,26,FALSE)</f>
        <v>0</v>
      </c>
      <c r="AC114" s="127">
        <f>VLOOKUP(C114,'Talente &amp; Stuff'!BI:CJ,27,FALSE)</f>
        <v>0</v>
      </c>
      <c r="AD114" s="125">
        <f>VLOOKUP(C114,'Talente &amp; Stuff'!BI:CJ,28,FALSE)</f>
        <v>0</v>
      </c>
      <c r="AE114" s="28"/>
    </row>
    <row r="115" spans="2:31" ht="15" hidden="1" customHeight="1" outlineLevel="2">
      <c r="B115" s="148">
        <v>16</v>
      </c>
      <c r="C115" s="177" t="str">
        <f>Attribute!C115</f>
        <v>---</v>
      </c>
      <c r="D115" s="86" t="str">
        <f>VLOOKUP(C115,'Talente &amp; Stuff'!BI:CJ,2,FALSE)</f>
        <v>--/--/--</v>
      </c>
      <c r="E115" s="167" t="str">
        <f>VLOOKUP(C115,'Talente &amp; Stuff'!BI:CJ,3,FALSE)</f>
        <v>-</v>
      </c>
      <c r="F115" s="120">
        <f>VLOOKUP(C115,'Talente &amp; Stuff'!BI:CJ,4,FALSE)</f>
        <v>0</v>
      </c>
      <c r="G115" s="117">
        <f>VLOOKUP(C115,'Talente &amp; Stuff'!BI:CJ,5,FALSE)</f>
        <v>0</v>
      </c>
      <c r="H115" s="117">
        <f>VLOOKUP(C115,'Talente &amp; Stuff'!BI:CJ,6,FALSE)</f>
        <v>0</v>
      </c>
      <c r="I115" s="117">
        <f>VLOOKUP(C115,'Talente &amp; Stuff'!BI:CJ,7,FALSE)</f>
        <v>0</v>
      </c>
      <c r="J115" s="117">
        <f>VLOOKUP(C115,'Talente &amp; Stuff'!BI:CJ,8,FALSE)</f>
        <v>0</v>
      </c>
      <c r="K115" s="117">
        <f>VLOOKUP(C115,'Talente &amp; Stuff'!BI:CJ,9,FALSE)</f>
        <v>0</v>
      </c>
      <c r="L115" s="117">
        <f>VLOOKUP(C115,'Talente &amp; Stuff'!BI:CJ,10,FALSE)</f>
        <v>0</v>
      </c>
      <c r="M115" s="121">
        <f>VLOOKUP(C115,'Talente &amp; Stuff'!BI:CJ,11,FALSE)</f>
        <v>0</v>
      </c>
      <c r="N115" s="47">
        <f>VLOOKUP(C115,'Talente &amp; Stuff'!BI:CJ,12,FALSE)</f>
        <v>0</v>
      </c>
      <c r="O115" s="3">
        <f>VLOOKUP(C115,'Talente &amp; Stuff'!BI:CJ,13,FALSE)</f>
        <v>0</v>
      </c>
      <c r="P115" s="174">
        <f>VLOOKUP(C115,'Talente &amp; Stuff'!BI:CJ,14,FALSE)</f>
        <v>0</v>
      </c>
      <c r="Q115" s="114">
        <f>VLOOKUP(C115,'Talente &amp; Stuff'!BI:CJ,15,FALSE)</f>
        <v>0</v>
      </c>
      <c r="R115" s="117">
        <f>VLOOKUP(C115,'Talente &amp; Stuff'!BI:CJ,16,FALSE)</f>
        <v>0</v>
      </c>
      <c r="S115" s="119">
        <f>VLOOKUP(C115,'Talente &amp; Stuff'!BI:CJ,17,FALSE)</f>
        <v>0</v>
      </c>
      <c r="T115" s="119">
        <f>VLOOKUP(C115,'Talente &amp; Stuff'!BI:CJ,18,FALSE)</f>
        <v>0</v>
      </c>
      <c r="U115" s="89">
        <f>VLOOKUP(C115,'Talente &amp; Stuff'!BI:CJ,19,FALSE)</f>
        <v>0</v>
      </c>
      <c r="V115" s="47">
        <f>VLOOKUP(C115,'Talente &amp; Stuff'!BI:CJ,20,FALSE)</f>
        <v>0</v>
      </c>
      <c r="W115" s="127">
        <f>VLOOKUP(C115,'Talente &amp; Stuff'!BI:CJ,21,FALSE)</f>
        <v>0</v>
      </c>
      <c r="X115" s="127">
        <f>VLOOKUP(C115,'Talente &amp; Stuff'!BI:CJ,22,FALSE)</f>
        <v>0</v>
      </c>
      <c r="Y115" s="165">
        <f t="shared" si="12"/>
        <v>0</v>
      </c>
      <c r="Z115" s="44">
        <f t="shared" si="13"/>
        <v>0</v>
      </c>
      <c r="AA115" s="125">
        <f>VLOOKUP(C115,'Talente &amp; Stuff'!BI:CJ,25,FALSE)</f>
        <v>0</v>
      </c>
      <c r="AB115" s="160">
        <f>VLOOKUP(C115,'Talente &amp; Stuff'!BI:CJ,26,FALSE)</f>
        <v>0</v>
      </c>
      <c r="AC115" s="127">
        <f>VLOOKUP(C115,'Talente &amp; Stuff'!BI:CJ,27,FALSE)</f>
        <v>0</v>
      </c>
      <c r="AD115" s="125">
        <f>VLOOKUP(C115,'Talente &amp; Stuff'!BI:CJ,28,FALSE)</f>
        <v>0</v>
      </c>
      <c r="AE115" s="28"/>
    </row>
    <row r="116" spans="2:31" ht="15" hidden="1" customHeight="1" outlineLevel="2">
      <c r="B116" s="148">
        <v>17</v>
      </c>
      <c r="C116" s="177" t="str">
        <f>Attribute!C116</f>
        <v>---</v>
      </c>
      <c r="D116" s="86" t="str">
        <f>VLOOKUP(C116,'Talente &amp; Stuff'!BI:CJ,2,FALSE)</f>
        <v>--/--/--</v>
      </c>
      <c r="E116" s="167" t="str">
        <f>VLOOKUP(C116,'Talente &amp; Stuff'!BI:CJ,3,FALSE)</f>
        <v>-</v>
      </c>
      <c r="F116" s="120">
        <f>VLOOKUP(C116,'Talente &amp; Stuff'!BI:CJ,4,FALSE)</f>
        <v>0</v>
      </c>
      <c r="G116" s="117">
        <f>VLOOKUP(C116,'Talente &amp; Stuff'!BI:CJ,5,FALSE)</f>
        <v>0</v>
      </c>
      <c r="H116" s="117">
        <f>VLOOKUP(C116,'Talente &amp; Stuff'!BI:CJ,6,FALSE)</f>
        <v>0</v>
      </c>
      <c r="I116" s="117">
        <f>VLOOKUP(C116,'Talente &amp; Stuff'!BI:CJ,7,FALSE)</f>
        <v>0</v>
      </c>
      <c r="J116" s="117">
        <f>VLOOKUP(C116,'Talente &amp; Stuff'!BI:CJ,8,FALSE)</f>
        <v>0</v>
      </c>
      <c r="K116" s="117">
        <f>VLOOKUP(C116,'Talente &amp; Stuff'!BI:CJ,9,FALSE)</f>
        <v>0</v>
      </c>
      <c r="L116" s="117">
        <f>VLOOKUP(C116,'Talente &amp; Stuff'!BI:CJ,10,FALSE)</f>
        <v>0</v>
      </c>
      <c r="M116" s="121">
        <f>VLOOKUP(C116,'Talente &amp; Stuff'!BI:CJ,11,FALSE)</f>
        <v>0</v>
      </c>
      <c r="N116" s="47">
        <f>VLOOKUP(C116,'Talente &amp; Stuff'!BI:CJ,12,FALSE)</f>
        <v>0</v>
      </c>
      <c r="O116" s="3">
        <f>VLOOKUP(C116,'Talente &amp; Stuff'!BI:CJ,13,FALSE)</f>
        <v>0</v>
      </c>
      <c r="P116" s="174">
        <f>VLOOKUP(C116,'Talente &amp; Stuff'!BI:CJ,14,FALSE)</f>
        <v>0</v>
      </c>
      <c r="Q116" s="114">
        <f>VLOOKUP(C116,'Talente &amp; Stuff'!BI:CJ,15,FALSE)</f>
        <v>0</v>
      </c>
      <c r="R116" s="117">
        <f>VLOOKUP(C116,'Talente &amp; Stuff'!BI:CJ,16,FALSE)</f>
        <v>0</v>
      </c>
      <c r="S116" s="119">
        <f>VLOOKUP(C116,'Talente &amp; Stuff'!BI:CJ,17,FALSE)</f>
        <v>0</v>
      </c>
      <c r="T116" s="119">
        <f>VLOOKUP(C116,'Talente &amp; Stuff'!BI:CJ,18,FALSE)</f>
        <v>0</v>
      </c>
      <c r="U116" s="89">
        <f>VLOOKUP(C116,'Talente &amp; Stuff'!BI:CJ,19,FALSE)</f>
        <v>0</v>
      </c>
      <c r="V116" s="47">
        <f>VLOOKUP(C116,'Talente &amp; Stuff'!BI:CJ,20,FALSE)</f>
        <v>0</v>
      </c>
      <c r="W116" s="127">
        <f>VLOOKUP(C116,'Talente &amp; Stuff'!BI:CJ,21,FALSE)</f>
        <v>0</v>
      </c>
      <c r="X116" s="127">
        <f>VLOOKUP(C116,'Talente &amp; Stuff'!BI:CJ,22,FALSE)</f>
        <v>0</v>
      </c>
      <c r="Y116" s="165">
        <f t="shared" si="12"/>
        <v>0</v>
      </c>
      <c r="Z116" s="44">
        <f t="shared" si="13"/>
        <v>0</v>
      </c>
      <c r="AA116" s="125">
        <f>VLOOKUP(C116,'Talente &amp; Stuff'!BI:CJ,25,FALSE)</f>
        <v>0</v>
      </c>
      <c r="AB116" s="160">
        <f>VLOOKUP(C116,'Talente &amp; Stuff'!BI:CJ,26,FALSE)</f>
        <v>0</v>
      </c>
      <c r="AC116" s="127">
        <f>VLOOKUP(C116,'Talente &amp; Stuff'!BI:CJ,27,FALSE)</f>
        <v>0</v>
      </c>
      <c r="AD116" s="125">
        <f>VLOOKUP(C116,'Talente &amp; Stuff'!BI:CJ,28,FALSE)</f>
        <v>0</v>
      </c>
      <c r="AE116" s="28"/>
    </row>
    <row r="117" spans="2:31" ht="15" hidden="1" customHeight="1" outlineLevel="2">
      <c r="B117" s="148">
        <v>18</v>
      </c>
      <c r="C117" s="177" t="str">
        <f>Attribute!C117</f>
        <v>---</v>
      </c>
      <c r="D117" s="86" t="str">
        <f>VLOOKUP(C117,'Talente &amp; Stuff'!BI:CJ,2,FALSE)</f>
        <v>--/--/--</v>
      </c>
      <c r="E117" s="167" t="str">
        <f>VLOOKUP(C117,'Talente &amp; Stuff'!BI:CJ,3,FALSE)</f>
        <v>-</v>
      </c>
      <c r="F117" s="120">
        <f>VLOOKUP(C117,'Talente &amp; Stuff'!BI:CJ,4,FALSE)</f>
        <v>0</v>
      </c>
      <c r="G117" s="117">
        <f>VLOOKUP(C117,'Talente &amp; Stuff'!BI:CJ,5,FALSE)</f>
        <v>0</v>
      </c>
      <c r="H117" s="117">
        <f>VLOOKUP(C117,'Talente &amp; Stuff'!BI:CJ,6,FALSE)</f>
        <v>0</v>
      </c>
      <c r="I117" s="117">
        <f>VLOOKUP(C117,'Talente &amp; Stuff'!BI:CJ,7,FALSE)</f>
        <v>0</v>
      </c>
      <c r="J117" s="117">
        <f>VLOOKUP(C117,'Talente &amp; Stuff'!BI:CJ,8,FALSE)</f>
        <v>0</v>
      </c>
      <c r="K117" s="117">
        <f>VLOOKUP(C117,'Talente &amp; Stuff'!BI:CJ,9,FALSE)</f>
        <v>0</v>
      </c>
      <c r="L117" s="117">
        <f>VLOOKUP(C117,'Talente &amp; Stuff'!BI:CJ,10,FALSE)</f>
        <v>0</v>
      </c>
      <c r="M117" s="121">
        <f>VLOOKUP(C117,'Talente &amp; Stuff'!BI:CJ,11,FALSE)</f>
        <v>0</v>
      </c>
      <c r="N117" s="47">
        <f>VLOOKUP(C117,'Talente &amp; Stuff'!BI:CJ,12,FALSE)</f>
        <v>0</v>
      </c>
      <c r="O117" s="3">
        <f>VLOOKUP(C117,'Talente &amp; Stuff'!BI:CJ,13,FALSE)</f>
        <v>0</v>
      </c>
      <c r="P117" s="174">
        <f>VLOOKUP(C117,'Talente &amp; Stuff'!BI:CJ,14,FALSE)</f>
        <v>0</v>
      </c>
      <c r="Q117" s="114">
        <f>VLOOKUP(C117,'Talente &amp; Stuff'!BI:CJ,15,FALSE)</f>
        <v>0</v>
      </c>
      <c r="R117" s="117">
        <f>VLOOKUP(C117,'Talente &amp; Stuff'!BI:CJ,16,FALSE)</f>
        <v>0</v>
      </c>
      <c r="S117" s="119">
        <f>VLOOKUP(C117,'Talente &amp; Stuff'!BI:CJ,17,FALSE)</f>
        <v>0</v>
      </c>
      <c r="T117" s="119">
        <f>VLOOKUP(C117,'Talente &amp; Stuff'!BI:CJ,18,FALSE)</f>
        <v>0</v>
      </c>
      <c r="U117" s="89">
        <f>VLOOKUP(C117,'Talente &amp; Stuff'!BI:CJ,19,FALSE)</f>
        <v>0</v>
      </c>
      <c r="V117" s="47">
        <f>VLOOKUP(C117,'Talente &amp; Stuff'!BI:CJ,20,FALSE)</f>
        <v>0</v>
      </c>
      <c r="W117" s="127">
        <f>VLOOKUP(C117,'Talente &amp; Stuff'!BI:CJ,21,FALSE)</f>
        <v>0</v>
      </c>
      <c r="X117" s="127">
        <f>VLOOKUP(C117,'Talente &amp; Stuff'!BI:CJ,22,FALSE)</f>
        <v>0</v>
      </c>
      <c r="Y117" s="165">
        <f t="shared" si="12"/>
        <v>0</v>
      </c>
      <c r="Z117" s="44">
        <f t="shared" si="13"/>
        <v>0</v>
      </c>
      <c r="AA117" s="125">
        <f>VLOOKUP(C117,'Talente &amp; Stuff'!BI:CJ,25,FALSE)</f>
        <v>0</v>
      </c>
      <c r="AB117" s="160">
        <f>VLOOKUP(C117,'Talente &amp; Stuff'!BI:CJ,26,FALSE)</f>
        <v>0</v>
      </c>
      <c r="AC117" s="127">
        <f>VLOOKUP(C117,'Talente &amp; Stuff'!BI:CJ,27,FALSE)</f>
        <v>0</v>
      </c>
      <c r="AD117" s="125">
        <f>VLOOKUP(C117,'Talente &amp; Stuff'!BI:CJ,28,FALSE)</f>
        <v>0</v>
      </c>
      <c r="AE117" s="28"/>
    </row>
    <row r="118" spans="2:31" ht="15" hidden="1" customHeight="1" outlineLevel="2">
      <c r="B118" s="148">
        <v>19</v>
      </c>
      <c r="C118" s="177" t="str">
        <f>Attribute!C118</f>
        <v>---</v>
      </c>
      <c r="D118" s="86" t="str">
        <f>VLOOKUP(C118,'Talente &amp; Stuff'!BI:CJ,2,FALSE)</f>
        <v>--/--/--</v>
      </c>
      <c r="E118" s="167" t="str">
        <f>VLOOKUP(C118,'Talente &amp; Stuff'!BI:CJ,3,FALSE)</f>
        <v>-</v>
      </c>
      <c r="F118" s="120">
        <f>VLOOKUP(C118,'Talente &amp; Stuff'!BI:CJ,4,FALSE)</f>
        <v>0</v>
      </c>
      <c r="G118" s="117">
        <f>VLOOKUP(C118,'Talente &amp; Stuff'!BI:CJ,5,FALSE)</f>
        <v>0</v>
      </c>
      <c r="H118" s="117">
        <f>VLOOKUP(C118,'Talente &amp; Stuff'!BI:CJ,6,FALSE)</f>
        <v>0</v>
      </c>
      <c r="I118" s="117">
        <f>VLOOKUP(C118,'Talente &amp; Stuff'!BI:CJ,7,FALSE)</f>
        <v>0</v>
      </c>
      <c r="J118" s="117">
        <f>VLOOKUP(C118,'Talente &amp; Stuff'!BI:CJ,8,FALSE)</f>
        <v>0</v>
      </c>
      <c r="K118" s="117">
        <f>VLOOKUP(C118,'Talente &amp; Stuff'!BI:CJ,9,FALSE)</f>
        <v>0</v>
      </c>
      <c r="L118" s="117">
        <f>VLOOKUP(C118,'Talente &amp; Stuff'!BI:CJ,10,FALSE)</f>
        <v>0</v>
      </c>
      <c r="M118" s="121">
        <f>VLOOKUP(C118,'Talente &amp; Stuff'!BI:CJ,11,FALSE)</f>
        <v>0</v>
      </c>
      <c r="N118" s="47">
        <f>VLOOKUP(C118,'Talente &amp; Stuff'!BI:CJ,12,FALSE)</f>
        <v>0</v>
      </c>
      <c r="O118" s="3">
        <f>VLOOKUP(C118,'Talente &amp; Stuff'!BI:CJ,13,FALSE)</f>
        <v>0</v>
      </c>
      <c r="P118" s="174">
        <f>VLOOKUP(C118,'Talente &amp; Stuff'!BI:CJ,14,FALSE)</f>
        <v>0</v>
      </c>
      <c r="Q118" s="114">
        <f>VLOOKUP(C118,'Talente &amp; Stuff'!BI:CJ,15,FALSE)</f>
        <v>0</v>
      </c>
      <c r="R118" s="117">
        <f>VLOOKUP(C118,'Talente &amp; Stuff'!BI:CJ,16,FALSE)</f>
        <v>0</v>
      </c>
      <c r="S118" s="119">
        <f>VLOOKUP(C118,'Talente &amp; Stuff'!BI:CJ,17,FALSE)</f>
        <v>0</v>
      </c>
      <c r="T118" s="119">
        <f>VLOOKUP(C118,'Talente &amp; Stuff'!BI:CJ,18,FALSE)</f>
        <v>0</v>
      </c>
      <c r="U118" s="89">
        <f>VLOOKUP(C118,'Talente &amp; Stuff'!BI:CJ,19,FALSE)</f>
        <v>0</v>
      </c>
      <c r="V118" s="47">
        <f>VLOOKUP(C118,'Talente &amp; Stuff'!BI:CJ,20,FALSE)</f>
        <v>0</v>
      </c>
      <c r="W118" s="127">
        <f>VLOOKUP(C118,'Talente &amp; Stuff'!BI:CJ,21,FALSE)</f>
        <v>0</v>
      </c>
      <c r="X118" s="127">
        <f>VLOOKUP(C118,'Talente &amp; Stuff'!BI:CJ,22,FALSE)</f>
        <v>0</v>
      </c>
      <c r="Y118" s="165">
        <f t="shared" si="12"/>
        <v>0</v>
      </c>
      <c r="Z118" s="44">
        <f t="shared" si="13"/>
        <v>0</v>
      </c>
      <c r="AA118" s="125">
        <f>VLOOKUP(C118,'Talente &amp; Stuff'!BI:CJ,25,FALSE)</f>
        <v>0</v>
      </c>
      <c r="AB118" s="160">
        <f>VLOOKUP(C118,'Talente &amp; Stuff'!BI:CJ,26,FALSE)</f>
        <v>0</v>
      </c>
      <c r="AC118" s="127">
        <f>VLOOKUP(C118,'Talente &amp; Stuff'!BI:CJ,27,FALSE)</f>
        <v>0</v>
      </c>
      <c r="AD118" s="125">
        <f>VLOOKUP(C118,'Talente &amp; Stuff'!BI:CJ,28,FALSE)</f>
        <v>0</v>
      </c>
      <c r="AE118" s="28"/>
    </row>
    <row r="119" spans="2:31" ht="15" hidden="1" customHeight="1" outlineLevel="2">
      <c r="B119" s="148">
        <v>20</v>
      </c>
      <c r="C119" s="177" t="str">
        <f>Attribute!C119</f>
        <v>---</v>
      </c>
      <c r="D119" s="86" t="str">
        <f>VLOOKUP(C119,'Talente &amp; Stuff'!BI:CJ,2,FALSE)</f>
        <v>--/--/--</v>
      </c>
      <c r="E119" s="167" t="str">
        <f>VLOOKUP(C119,'Talente &amp; Stuff'!BI:CJ,3,FALSE)</f>
        <v>-</v>
      </c>
      <c r="F119" s="120">
        <f>VLOOKUP(C119,'Talente &amp; Stuff'!BI:CJ,4,FALSE)</f>
        <v>0</v>
      </c>
      <c r="G119" s="117">
        <f>VLOOKUP(C119,'Talente &amp; Stuff'!BI:CJ,5,FALSE)</f>
        <v>0</v>
      </c>
      <c r="H119" s="117">
        <f>VLOOKUP(C119,'Talente &amp; Stuff'!BI:CJ,6,FALSE)</f>
        <v>0</v>
      </c>
      <c r="I119" s="117">
        <f>VLOOKUP(C119,'Talente &amp; Stuff'!BI:CJ,7,FALSE)</f>
        <v>0</v>
      </c>
      <c r="J119" s="117">
        <f>VLOOKUP(C119,'Talente &amp; Stuff'!BI:CJ,8,FALSE)</f>
        <v>0</v>
      </c>
      <c r="K119" s="117">
        <f>VLOOKUP(C119,'Talente &amp; Stuff'!BI:CJ,9,FALSE)</f>
        <v>0</v>
      </c>
      <c r="L119" s="117">
        <f>VLOOKUP(C119,'Talente &amp; Stuff'!BI:CJ,10,FALSE)</f>
        <v>0</v>
      </c>
      <c r="M119" s="121">
        <f>VLOOKUP(C119,'Talente &amp; Stuff'!BI:CJ,11,FALSE)</f>
        <v>0</v>
      </c>
      <c r="N119" s="47">
        <f>VLOOKUP(C119,'Talente &amp; Stuff'!BI:CJ,12,FALSE)</f>
        <v>0</v>
      </c>
      <c r="O119" s="3">
        <f>VLOOKUP(C119,'Talente &amp; Stuff'!BI:CJ,13,FALSE)</f>
        <v>0</v>
      </c>
      <c r="P119" s="174">
        <f>VLOOKUP(C119,'Talente &amp; Stuff'!BI:CJ,14,FALSE)</f>
        <v>0</v>
      </c>
      <c r="Q119" s="114">
        <f>VLOOKUP(C119,'Talente &amp; Stuff'!BI:CJ,15,FALSE)</f>
        <v>0</v>
      </c>
      <c r="R119" s="117">
        <f>VLOOKUP(C119,'Talente &amp; Stuff'!BI:CJ,16,FALSE)</f>
        <v>0</v>
      </c>
      <c r="S119" s="119">
        <f>VLOOKUP(C119,'Talente &amp; Stuff'!BI:CJ,17,FALSE)</f>
        <v>0</v>
      </c>
      <c r="T119" s="119">
        <f>VLOOKUP(C119,'Talente &amp; Stuff'!BI:CJ,18,FALSE)</f>
        <v>0</v>
      </c>
      <c r="U119" s="89">
        <f>VLOOKUP(C119,'Talente &amp; Stuff'!BI:CJ,19,FALSE)</f>
        <v>0</v>
      </c>
      <c r="V119" s="47">
        <f>VLOOKUP(C119,'Talente &amp; Stuff'!BI:CJ,20,FALSE)</f>
        <v>0</v>
      </c>
      <c r="W119" s="127">
        <f>VLOOKUP(C119,'Talente &amp; Stuff'!BI:CJ,21,FALSE)</f>
        <v>0</v>
      </c>
      <c r="X119" s="127">
        <f>VLOOKUP(C119,'Talente &amp; Stuff'!BI:CJ,22,FALSE)</f>
        <v>0</v>
      </c>
      <c r="Y119" s="165">
        <f t="shared" si="12"/>
        <v>0</v>
      </c>
      <c r="Z119" s="44">
        <f t="shared" si="13"/>
        <v>0</v>
      </c>
      <c r="AA119" s="125">
        <f>VLOOKUP(C119,'Talente &amp; Stuff'!BI:CJ,25,FALSE)</f>
        <v>0</v>
      </c>
      <c r="AB119" s="160">
        <f>VLOOKUP(C119,'Talente &amp; Stuff'!BI:CJ,26,FALSE)</f>
        <v>0</v>
      </c>
      <c r="AC119" s="127">
        <f>VLOOKUP(C119,'Talente &amp; Stuff'!BI:CJ,27,FALSE)</f>
        <v>0</v>
      </c>
      <c r="AD119" s="125">
        <f>VLOOKUP(C119,'Talente &amp; Stuff'!BI:CJ,28,FALSE)</f>
        <v>0</v>
      </c>
      <c r="AE119" s="28"/>
    </row>
    <row r="120" spans="2:31" ht="15" hidden="1" customHeight="1" outlineLevel="2">
      <c r="B120" s="148">
        <v>21</v>
      </c>
      <c r="C120" s="177" t="str">
        <f>Attribute!C120</f>
        <v>---</v>
      </c>
      <c r="D120" s="86" t="str">
        <f>VLOOKUP(C120,'Talente &amp; Stuff'!BI:CJ,2,FALSE)</f>
        <v>--/--/--</v>
      </c>
      <c r="E120" s="167" t="str">
        <f>VLOOKUP(C120,'Talente &amp; Stuff'!BI:CJ,3,FALSE)</f>
        <v>-</v>
      </c>
      <c r="F120" s="120">
        <f>VLOOKUP(C120,'Talente &amp; Stuff'!BI:CJ,4,FALSE)</f>
        <v>0</v>
      </c>
      <c r="G120" s="117">
        <f>VLOOKUP(C120,'Talente &amp; Stuff'!BI:CJ,5,FALSE)</f>
        <v>0</v>
      </c>
      <c r="H120" s="117">
        <f>VLOOKUP(C120,'Talente &amp; Stuff'!BI:CJ,6,FALSE)</f>
        <v>0</v>
      </c>
      <c r="I120" s="117">
        <f>VLOOKUP(C120,'Talente &amp; Stuff'!BI:CJ,7,FALSE)</f>
        <v>0</v>
      </c>
      <c r="J120" s="117">
        <f>VLOOKUP(C120,'Talente &amp; Stuff'!BI:CJ,8,FALSE)</f>
        <v>0</v>
      </c>
      <c r="K120" s="117">
        <f>VLOOKUP(C120,'Talente &amp; Stuff'!BI:CJ,9,FALSE)</f>
        <v>0</v>
      </c>
      <c r="L120" s="117">
        <f>VLOOKUP(C120,'Talente &amp; Stuff'!BI:CJ,10,FALSE)</f>
        <v>0</v>
      </c>
      <c r="M120" s="121">
        <f>VLOOKUP(C120,'Talente &amp; Stuff'!BI:CJ,11,FALSE)</f>
        <v>0</v>
      </c>
      <c r="N120" s="47">
        <f>VLOOKUP(C120,'Talente &amp; Stuff'!BI:CJ,12,FALSE)</f>
        <v>0</v>
      </c>
      <c r="O120" s="3">
        <f>VLOOKUP(C120,'Talente &amp; Stuff'!BI:CJ,13,FALSE)</f>
        <v>0</v>
      </c>
      <c r="P120" s="174">
        <f>VLOOKUP(C120,'Talente &amp; Stuff'!BI:CJ,14,FALSE)</f>
        <v>0</v>
      </c>
      <c r="Q120" s="114">
        <f>VLOOKUP(C120,'Talente &amp; Stuff'!BI:CJ,15,FALSE)</f>
        <v>0</v>
      </c>
      <c r="R120" s="117">
        <f>VLOOKUP(C120,'Talente &amp; Stuff'!BI:CJ,16,FALSE)</f>
        <v>0</v>
      </c>
      <c r="S120" s="119">
        <f>VLOOKUP(C120,'Talente &amp; Stuff'!BI:CJ,17,FALSE)</f>
        <v>0</v>
      </c>
      <c r="T120" s="119">
        <f>VLOOKUP(C120,'Talente &amp; Stuff'!BI:CJ,18,FALSE)</f>
        <v>0</v>
      </c>
      <c r="U120" s="89">
        <f>VLOOKUP(C120,'Talente &amp; Stuff'!BI:CJ,19,FALSE)</f>
        <v>0</v>
      </c>
      <c r="V120" s="47">
        <f>VLOOKUP(C120,'Talente &amp; Stuff'!BI:CJ,20,FALSE)</f>
        <v>0</v>
      </c>
      <c r="W120" s="127">
        <f>VLOOKUP(C120,'Talente &amp; Stuff'!BI:CJ,21,FALSE)</f>
        <v>0</v>
      </c>
      <c r="X120" s="127">
        <f>VLOOKUP(C120,'Talente &amp; Stuff'!BI:CJ,22,FALSE)</f>
        <v>0</v>
      </c>
      <c r="Y120" s="165">
        <f t="shared" si="12"/>
        <v>0</v>
      </c>
      <c r="Z120" s="44">
        <f t="shared" si="13"/>
        <v>0</v>
      </c>
      <c r="AA120" s="125">
        <f>VLOOKUP(C120,'Talente &amp; Stuff'!BI:CJ,25,FALSE)</f>
        <v>0</v>
      </c>
      <c r="AB120" s="160">
        <f>VLOOKUP(C120,'Talente &amp; Stuff'!BI:CJ,26,FALSE)</f>
        <v>0</v>
      </c>
      <c r="AC120" s="127">
        <f>VLOOKUP(C120,'Talente &amp; Stuff'!BI:CJ,27,FALSE)</f>
        <v>0</v>
      </c>
      <c r="AD120" s="125">
        <f>VLOOKUP(C120,'Talente &amp; Stuff'!BI:CJ,28,FALSE)</f>
        <v>0</v>
      </c>
      <c r="AE120" s="28"/>
    </row>
    <row r="121" spans="2:31" ht="15" hidden="1" customHeight="1" outlineLevel="2">
      <c r="B121" s="148">
        <v>22</v>
      </c>
      <c r="C121" s="177" t="str">
        <f>Attribute!C121</f>
        <v>---</v>
      </c>
      <c r="D121" s="86" t="str">
        <f>VLOOKUP(C121,'Talente &amp; Stuff'!BI:CJ,2,FALSE)</f>
        <v>--/--/--</v>
      </c>
      <c r="E121" s="167" t="str">
        <f>VLOOKUP(C121,'Talente &amp; Stuff'!BI:CJ,3,FALSE)</f>
        <v>-</v>
      </c>
      <c r="F121" s="120">
        <f>VLOOKUP(C121,'Talente &amp; Stuff'!BI:CJ,4,FALSE)</f>
        <v>0</v>
      </c>
      <c r="G121" s="117">
        <f>VLOOKUP(C121,'Talente &amp; Stuff'!BI:CJ,5,FALSE)</f>
        <v>0</v>
      </c>
      <c r="H121" s="117">
        <f>VLOOKUP(C121,'Talente &amp; Stuff'!BI:CJ,6,FALSE)</f>
        <v>0</v>
      </c>
      <c r="I121" s="117">
        <f>VLOOKUP(C121,'Talente &amp; Stuff'!BI:CJ,7,FALSE)</f>
        <v>0</v>
      </c>
      <c r="J121" s="117">
        <f>VLOOKUP(C121,'Talente &amp; Stuff'!BI:CJ,8,FALSE)</f>
        <v>0</v>
      </c>
      <c r="K121" s="117">
        <f>VLOOKUP(C121,'Talente &amp; Stuff'!BI:CJ,9,FALSE)</f>
        <v>0</v>
      </c>
      <c r="L121" s="117">
        <f>VLOOKUP(C121,'Talente &amp; Stuff'!BI:CJ,10,FALSE)</f>
        <v>0</v>
      </c>
      <c r="M121" s="121">
        <f>VLOOKUP(C121,'Talente &amp; Stuff'!BI:CJ,11,FALSE)</f>
        <v>0</v>
      </c>
      <c r="N121" s="47">
        <f>VLOOKUP(C121,'Talente &amp; Stuff'!BI:CJ,12,FALSE)</f>
        <v>0</v>
      </c>
      <c r="O121" s="3">
        <f>VLOOKUP(C121,'Talente &amp; Stuff'!BI:CJ,13,FALSE)</f>
        <v>0</v>
      </c>
      <c r="P121" s="174">
        <f>VLOOKUP(C121,'Talente &amp; Stuff'!BI:CJ,14,FALSE)</f>
        <v>0</v>
      </c>
      <c r="Q121" s="114">
        <f>VLOOKUP(C121,'Talente &amp; Stuff'!BI:CJ,15,FALSE)</f>
        <v>0</v>
      </c>
      <c r="R121" s="117">
        <f>VLOOKUP(C121,'Talente &amp; Stuff'!BI:CJ,16,FALSE)</f>
        <v>0</v>
      </c>
      <c r="S121" s="119">
        <f>VLOOKUP(C121,'Talente &amp; Stuff'!BI:CJ,17,FALSE)</f>
        <v>0</v>
      </c>
      <c r="T121" s="119">
        <f>VLOOKUP(C121,'Talente &amp; Stuff'!BI:CJ,18,FALSE)</f>
        <v>0</v>
      </c>
      <c r="U121" s="89">
        <f>VLOOKUP(C121,'Talente &amp; Stuff'!BI:CJ,19,FALSE)</f>
        <v>0</v>
      </c>
      <c r="V121" s="47">
        <f>VLOOKUP(C121,'Talente &amp; Stuff'!BI:CJ,20,FALSE)</f>
        <v>0</v>
      </c>
      <c r="W121" s="127">
        <f>VLOOKUP(C121,'Talente &amp; Stuff'!BI:CJ,21,FALSE)</f>
        <v>0</v>
      </c>
      <c r="X121" s="127">
        <f>VLOOKUP(C121,'Talente &amp; Stuff'!BI:CJ,22,FALSE)</f>
        <v>0</v>
      </c>
      <c r="Y121" s="165">
        <f t="shared" si="12"/>
        <v>0</v>
      </c>
      <c r="Z121" s="44">
        <f t="shared" si="13"/>
        <v>0</v>
      </c>
      <c r="AA121" s="125">
        <f>VLOOKUP(C121,'Talente &amp; Stuff'!BI:CJ,25,FALSE)</f>
        <v>0</v>
      </c>
      <c r="AB121" s="160">
        <f>VLOOKUP(C121,'Talente &amp; Stuff'!BI:CJ,26,FALSE)</f>
        <v>0</v>
      </c>
      <c r="AC121" s="127">
        <f>VLOOKUP(C121,'Talente &amp; Stuff'!BI:CJ,27,FALSE)</f>
        <v>0</v>
      </c>
      <c r="AD121" s="125">
        <f>VLOOKUP(C121,'Talente &amp; Stuff'!BI:CJ,28,FALSE)</f>
        <v>0</v>
      </c>
      <c r="AE121" s="28"/>
    </row>
    <row r="122" spans="2:31" ht="15" hidden="1" customHeight="1" outlineLevel="2">
      <c r="B122" s="148">
        <v>23</v>
      </c>
      <c r="C122" s="177" t="str">
        <f>Attribute!C122</f>
        <v>---</v>
      </c>
      <c r="D122" s="86" t="str">
        <f>VLOOKUP(C122,'Talente &amp; Stuff'!BI:CJ,2,FALSE)</f>
        <v>--/--/--</v>
      </c>
      <c r="E122" s="127" t="str">
        <f>VLOOKUP(C122,'Talente &amp; Stuff'!BI:CJ,3,FALSE)</f>
        <v>-</v>
      </c>
      <c r="F122" s="114">
        <f>VLOOKUP(C122,'Talente &amp; Stuff'!BI:CJ,4,FALSE)</f>
        <v>0</v>
      </c>
      <c r="G122" s="113">
        <f>VLOOKUP(C122,'Talente &amp; Stuff'!BI:CJ,5,FALSE)</f>
        <v>0</v>
      </c>
      <c r="H122" s="113">
        <f>VLOOKUP(C122,'Talente &amp; Stuff'!BI:CJ,6,FALSE)</f>
        <v>0</v>
      </c>
      <c r="I122" s="113">
        <f>VLOOKUP(C122,'Talente &amp; Stuff'!BI:CJ,7,FALSE)</f>
        <v>0</v>
      </c>
      <c r="J122" s="113">
        <f>VLOOKUP(C122,'Talente &amp; Stuff'!BI:CJ,8,FALSE)</f>
        <v>0</v>
      </c>
      <c r="K122" s="113">
        <f>VLOOKUP(C122,'Talente &amp; Stuff'!BI:CJ,9,FALSE)</f>
        <v>0</v>
      </c>
      <c r="L122" s="113">
        <f>VLOOKUP(C122,'Talente &amp; Stuff'!BI:CJ,10,FALSE)</f>
        <v>0</v>
      </c>
      <c r="M122" s="119">
        <f>VLOOKUP(C122,'Talente &amp; Stuff'!BI:CJ,11,FALSE)</f>
        <v>0</v>
      </c>
      <c r="N122" s="47">
        <f>VLOOKUP(C122,'Talente &amp; Stuff'!BI:CJ,12,FALSE)</f>
        <v>0</v>
      </c>
      <c r="O122" s="3">
        <f>VLOOKUP(C122,'Talente &amp; Stuff'!BI:CJ,13,FALSE)</f>
        <v>0</v>
      </c>
      <c r="P122" s="174">
        <f>VLOOKUP(C122,'Talente &amp; Stuff'!BI:CJ,14,FALSE)</f>
        <v>0</v>
      </c>
      <c r="Q122" s="114">
        <f>VLOOKUP(C122,'Talente &amp; Stuff'!BI:CJ,15,FALSE)</f>
        <v>0</v>
      </c>
      <c r="R122" s="117">
        <f>VLOOKUP(C122,'Talente &amp; Stuff'!BI:CJ,16,FALSE)</f>
        <v>0</v>
      </c>
      <c r="S122" s="119">
        <f>VLOOKUP(C122,'Talente &amp; Stuff'!BI:CJ,17,FALSE)</f>
        <v>0</v>
      </c>
      <c r="T122" s="119">
        <f>VLOOKUP(C122,'Talente &amp; Stuff'!BI:CJ,18,FALSE)</f>
        <v>0</v>
      </c>
      <c r="U122" s="89">
        <f>VLOOKUP(C122,'Talente &amp; Stuff'!BI:CJ,19,FALSE)</f>
        <v>0</v>
      </c>
      <c r="V122" s="47">
        <f>VLOOKUP(C122,'Talente &amp; Stuff'!BI:CJ,20,FALSE)</f>
        <v>0</v>
      </c>
      <c r="W122" s="127">
        <f>VLOOKUP(C122,'Talente &amp; Stuff'!BI:CJ,21,FALSE)</f>
        <v>0</v>
      </c>
      <c r="X122" s="127">
        <f>VLOOKUP(C122,'Talente &amp; Stuff'!BI:CJ,22,FALSE)</f>
        <v>0</v>
      </c>
      <c r="Y122" s="165">
        <f t="shared" si="12"/>
        <v>0</v>
      </c>
      <c r="Z122" s="44">
        <f t="shared" si="13"/>
        <v>0</v>
      </c>
      <c r="AA122" s="125">
        <f>VLOOKUP(C122,'Talente &amp; Stuff'!BI:CJ,25,FALSE)</f>
        <v>0</v>
      </c>
      <c r="AB122" s="160">
        <f>VLOOKUP(C122,'Talente &amp; Stuff'!BI:CJ,26,FALSE)</f>
        <v>0</v>
      </c>
      <c r="AC122" s="127">
        <f>VLOOKUP(C122,'Talente &amp; Stuff'!BI:CJ,27,FALSE)</f>
        <v>0</v>
      </c>
      <c r="AD122" s="125">
        <f>VLOOKUP(C122,'Talente &amp; Stuff'!BI:CJ,28,FALSE)</f>
        <v>0</v>
      </c>
      <c r="AE122" s="28"/>
    </row>
    <row r="123" spans="2:31" ht="15" hidden="1" customHeight="1" outlineLevel="2">
      <c r="B123" s="148">
        <v>24</v>
      </c>
      <c r="C123" s="177" t="str">
        <f>Attribute!C123</f>
        <v>---</v>
      </c>
      <c r="D123" s="86" t="str">
        <f>VLOOKUP(C123,'Talente &amp; Stuff'!BI:CJ,2,FALSE)</f>
        <v>--/--/--</v>
      </c>
      <c r="E123" s="127" t="str">
        <f>VLOOKUP(C123,'Talente &amp; Stuff'!BI:CJ,3,FALSE)</f>
        <v>-</v>
      </c>
      <c r="F123" s="114">
        <f>VLOOKUP(C123,'Talente &amp; Stuff'!BI:CJ,4,FALSE)</f>
        <v>0</v>
      </c>
      <c r="G123" s="113">
        <f>VLOOKUP(C123,'Talente &amp; Stuff'!BI:CJ,5,FALSE)</f>
        <v>0</v>
      </c>
      <c r="H123" s="113">
        <f>VLOOKUP(C123,'Talente &amp; Stuff'!BI:CJ,6,FALSE)</f>
        <v>0</v>
      </c>
      <c r="I123" s="113">
        <f>VLOOKUP(C123,'Talente &amp; Stuff'!BI:CJ,7,FALSE)</f>
        <v>0</v>
      </c>
      <c r="J123" s="113">
        <f>VLOOKUP(C123,'Talente &amp; Stuff'!BI:CJ,8,FALSE)</f>
        <v>0</v>
      </c>
      <c r="K123" s="113">
        <f>VLOOKUP(C123,'Talente &amp; Stuff'!BI:CJ,9,FALSE)</f>
        <v>0</v>
      </c>
      <c r="L123" s="113">
        <f>VLOOKUP(C123,'Talente &amp; Stuff'!BI:CJ,10,FALSE)</f>
        <v>0</v>
      </c>
      <c r="M123" s="119">
        <f>VLOOKUP(C123,'Talente &amp; Stuff'!BI:CJ,11,FALSE)</f>
        <v>0</v>
      </c>
      <c r="N123" s="47">
        <f>VLOOKUP(C123,'Talente &amp; Stuff'!BI:CJ,12,FALSE)</f>
        <v>0</v>
      </c>
      <c r="O123" s="3">
        <f>VLOOKUP(C123,'Talente &amp; Stuff'!BI:CJ,13,FALSE)</f>
        <v>0</v>
      </c>
      <c r="P123" s="174">
        <f>VLOOKUP(C123,'Talente &amp; Stuff'!BI:CJ,14,FALSE)</f>
        <v>0</v>
      </c>
      <c r="Q123" s="114">
        <f>VLOOKUP(C123,'Talente &amp; Stuff'!BI:CJ,15,FALSE)</f>
        <v>0</v>
      </c>
      <c r="R123" s="117">
        <f>VLOOKUP(C123,'Talente &amp; Stuff'!BI:CJ,16,FALSE)</f>
        <v>0</v>
      </c>
      <c r="S123" s="119">
        <f>VLOOKUP(C123,'Talente &amp; Stuff'!BI:CJ,17,FALSE)</f>
        <v>0</v>
      </c>
      <c r="T123" s="119">
        <f>VLOOKUP(C123,'Talente &amp; Stuff'!BI:CJ,18,FALSE)</f>
        <v>0</v>
      </c>
      <c r="U123" s="89">
        <f>VLOOKUP(C123,'Talente &amp; Stuff'!BI:CJ,19,FALSE)</f>
        <v>0</v>
      </c>
      <c r="V123" s="47">
        <f>VLOOKUP(C123,'Talente &amp; Stuff'!BI:CJ,20,FALSE)</f>
        <v>0</v>
      </c>
      <c r="W123" s="127">
        <f>VLOOKUP(C123,'Talente &amp; Stuff'!BI:CJ,21,FALSE)</f>
        <v>0</v>
      </c>
      <c r="X123" s="127">
        <f>VLOOKUP(C123,'Talente &amp; Stuff'!BI:CJ,22,FALSE)</f>
        <v>0</v>
      </c>
      <c r="Y123" s="165">
        <f t="shared" si="12"/>
        <v>0</v>
      </c>
      <c r="Z123" s="44">
        <f t="shared" si="13"/>
        <v>0</v>
      </c>
      <c r="AA123" s="125">
        <f>VLOOKUP(C123,'Talente &amp; Stuff'!BI:CJ,25,FALSE)</f>
        <v>0</v>
      </c>
      <c r="AB123" s="160">
        <f>VLOOKUP(C123,'Talente &amp; Stuff'!BI:CJ,26,FALSE)</f>
        <v>0</v>
      </c>
      <c r="AC123" s="127">
        <f>VLOOKUP(C123,'Talente &amp; Stuff'!BI:CJ,27,FALSE)</f>
        <v>0</v>
      </c>
      <c r="AD123" s="125">
        <f>VLOOKUP(C123,'Talente &amp; Stuff'!BI:CJ,28,FALSE)</f>
        <v>0</v>
      </c>
      <c r="AE123" s="28"/>
    </row>
    <row r="124" spans="2:31" ht="15" hidden="1" customHeight="1" outlineLevel="2">
      <c r="B124" s="148">
        <v>25</v>
      </c>
      <c r="C124" s="177" t="str">
        <f>Attribute!C124</f>
        <v>---</v>
      </c>
      <c r="D124" s="86" t="str">
        <f>VLOOKUP(C124,'Talente &amp; Stuff'!BI:CJ,2,FALSE)</f>
        <v>--/--/--</v>
      </c>
      <c r="E124" s="127" t="str">
        <f>VLOOKUP(C124,'Talente &amp; Stuff'!BI:CJ,3,FALSE)</f>
        <v>-</v>
      </c>
      <c r="F124" s="114">
        <f>VLOOKUP(C124,'Talente &amp; Stuff'!BI:CJ,4,FALSE)</f>
        <v>0</v>
      </c>
      <c r="G124" s="113">
        <f>VLOOKUP(C124,'Talente &amp; Stuff'!BI:CJ,5,FALSE)</f>
        <v>0</v>
      </c>
      <c r="H124" s="113">
        <f>VLOOKUP(C124,'Talente &amp; Stuff'!BI:CJ,6,FALSE)</f>
        <v>0</v>
      </c>
      <c r="I124" s="113">
        <f>VLOOKUP(C124,'Talente &amp; Stuff'!BI:CJ,7,FALSE)</f>
        <v>0</v>
      </c>
      <c r="J124" s="113">
        <f>VLOOKUP(C124,'Talente &amp; Stuff'!BI:CJ,8,FALSE)</f>
        <v>0</v>
      </c>
      <c r="K124" s="113">
        <f>VLOOKUP(C124,'Talente &amp; Stuff'!BI:CJ,9,FALSE)</f>
        <v>0</v>
      </c>
      <c r="L124" s="113">
        <f>VLOOKUP(C124,'Talente &amp; Stuff'!BI:CJ,10,FALSE)</f>
        <v>0</v>
      </c>
      <c r="M124" s="119">
        <f>VLOOKUP(C124,'Talente &amp; Stuff'!BI:CJ,11,FALSE)</f>
        <v>0</v>
      </c>
      <c r="N124" s="47">
        <f>VLOOKUP(C124,'Talente &amp; Stuff'!BI:CJ,12,FALSE)</f>
        <v>0</v>
      </c>
      <c r="O124" s="3">
        <f>VLOOKUP(C124,'Talente &amp; Stuff'!BI:CJ,13,FALSE)</f>
        <v>0</v>
      </c>
      <c r="P124" s="174">
        <f>VLOOKUP(C124,'Talente &amp; Stuff'!BI:CJ,14,FALSE)</f>
        <v>0</v>
      </c>
      <c r="Q124" s="114">
        <f>VLOOKUP(C124,'Talente &amp; Stuff'!BI:CJ,15,FALSE)</f>
        <v>0</v>
      </c>
      <c r="R124" s="117">
        <f>VLOOKUP(C124,'Talente &amp; Stuff'!BI:CJ,16,FALSE)</f>
        <v>0</v>
      </c>
      <c r="S124" s="119">
        <f>VLOOKUP(C124,'Talente &amp; Stuff'!BI:CJ,17,FALSE)</f>
        <v>0</v>
      </c>
      <c r="T124" s="119">
        <f>VLOOKUP(C124,'Talente &amp; Stuff'!BI:CJ,18,FALSE)</f>
        <v>0</v>
      </c>
      <c r="U124" s="89">
        <f>VLOOKUP(C124,'Talente &amp; Stuff'!BI:CJ,19,FALSE)</f>
        <v>0</v>
      </c>
      <c r="V124" s="47">
        <f>VLOOKUP(C124,'Talente &amp; Stuff'!BI:CJ,20,FALSE)</f>
        <v>0</v>
      </c>
      <c r="W124" s="127">
        <f>VLOOKUP(C124,'Talente &amp; Stuff'!BI:CJ,21,FALSE)</f>
        <v>0</v>
      </c>
      <c r="X124" s="127">
        <f>VLOOKUP(C124,'Talente &amp; Stuff'!BI:CJ,22,FALSE)</f>
        <v>0</v>
      </c>
      <c r="Y124" s="165">
        <f t="shared" si="12"/>
        <v>0</v>
      </c>
      <c r="Z124" s="44">
        <f t="shared" si="13"/>
        <v>0</v>
      </c>
      <c r="AA124" s="125">
        <f>VLOOKUP(C124,'Talente &amp; Stuff'!BI:CJ,25,FALSE)</f>
        <v>0</v>
      </c>
      <c r="AB124" s="160">
        <f>VLOOKUP(C124,'Talente &amp; Stuff'!BI:CJ,26,FALSE)</f>
        <v>0</v>
      </c>
      <c r="AC124" s="127">
        <f>VLOOKUP(C124,'Talente &amp; Stuff'!BI:CJ,27,FALSE)</f>
        <v>0</v>
      </c>
      <c r="AD124" s="125">
        <f>VLOOKUP(C124,'Talente &amp; Stuff'!BI:CJ,28,FALSE)</f>
        <v>0</v>
      </c>
      <c r="AE124" s="28"/>
    </row>
    <row r="125" spans="2:31" ht="15" hidden="1" customHeight="1" outlineLevel="2">
      <c r="B125" s="148">
        <v>26</v>
      </c>
      <c r="C125" s="177" t="str">
        <f>Attribute!C125</f>
        <v>---</v>
      </c>
      <c r="D125" s="86" t="str">
        <f>VLOOKUP(C125,'Talente &amp; Stuff'!BI:CJ,2,FALSE)</f>
        <v>--/--/--</v>
      </c>
      <c r="E125" s="127" t="str">
        <f>VLOOKUP(C125,'Talente &amp; Stuff'!BI:CJ,3,FALSE)</f>
        <v>-</v>
      </c>
      <c r="F125" s="114">
        <f>VLOOKUP(C125,'Talente &amp; Stuff'!BI:CJ,4,FALSE)</f>
        <v>0</v>
      </c>
      <c r="G125" s="113">
        <f>VLOOKUP(C125,'Talente &amp; Stuff'!BI:CJ,5,FALSE)</f>
        <v>0</v>
      </c>
      <c r="H125" s="113">
        <f>VLOOKUP(C125,'Talente &amp; Stuff'!BI:CJ,6,FALSE)</f>
        <v>0</v>
      </c>
      <c r="I125" s="113">
        <f>VLOOKUP(C125,'Talente &amp; Stuff'!BI:CJ,7,FALSE)</f>
        <v>0</v>
      </c>
      <c r="J125" s="113">
        <f>VLOOKUP(C125,'Talente &amp; Stuff'!BI:CJ,8,FALSE)</f>
        <v>0</v>
      </c>
      <c r="K125" s="113">
        <f>VLOOKUP(C125,'Talente &amp; Stuff'!BI:CJ,9,FALSE)</f>
        <v>0</v>
      </c>
      <c r="L125" s="113">
        <f>VLOOKUP(C125,'Talente &amp; Stuff'!BI:CJ,10,FALSE)</f>
        <v>0</v>
      </c>
      <c r="M125" s="119">
        <f>VLOOKUP(C125,'Talente &amp; Stuff'!BI:CJ,11,FALSE)</f>
        <v>0</v>
      </c>
      <c r="N125" s="47">
        <f>VLOOKUP(C125,'Talente &amp; Stuff'!BI:CJ,12,FALSE)</f>
        <v>0</v>
      </c>
      <c r="O125" s="3">
        <f>VLOOKUP(C125,'Talente &amp; Stuff'!BI:CJ,13,FALSE)</f>
        <v>0</v>
      </c>
      <c r="P125" s="174">
        <f>VLOOKUP(C125,'Talente &amp; Stuff'!BI:CJ,14,FALSE)</f>
        <v>0</v>
      </c>
      <c r="Q125" s="114">
        <f>VLOOKUP(C125,'Talente &amp; Stuff'!BI:CJ,15,FALSE)</f>
        <v>0</v>
      </c>
      <c r="R125" s="117">
        <f>VLOOKUP(C125,'Talente &amp; Stuff'!BI:CJ,16,FALSE)</f>
        <v>0</v>
      </c>
      <c r="S125" s="119">
        <f>VLOOKUP(C125,'Talente &amp; Stuff'!BI:CJ,17,FALSE)</f>
        <v>0</v>
      </c>
      <c r="T125" s="119">
        <f>VLOOKUP(C125,'Talente &amp; Stuff'!BI:CJ,18,FALSE)</f>
        <v>0</v>
      </c>
      <c r="U125" s="89">
        <f>VLOOKUP(C125,'Talente &amp; Stuff'!BI:CJ,19,FALSE)</f>
        <v>0</v>
      </c>
      <c r="V125" s="47">
        <f>VLOOKUP(C125,'Talente &amp; Stuff'!BI:CJ,20,FALSE)</f>
        <v>0</v>
      </c>
      <c r="W125" s="127">
        <f>VLOOKUP(C125,'Talente &amp; Stuff'!BI:CJ,21,FALSE)</f>
        <v>0</v>
      </c>
      <c r="X125" s="127">
        <f>VLOOKUP(C125,'Talente &amp; Stuff'!BI:CJ,22,FALSE)</f>
        <v>0</v>
      </c>
      <c r="Y125" s="165">
        <f t="shared" si="12"/>
        <v>0</v>
      </c>
      <c r="Z125" s="44">
        <f t="shared" si="13"/>
        <v>0</v>
      </c>
      <c r="AA125" s="125">
        <f>VLOOKUP(C125,'Talente &amp; Stuff'!BI:CJ,25,FALSE)</f>
        <v>0</v>
      </c>
      <c r="AB125" s="160">
        <f>VLOOKUP(C125,'Talente &amp; Stuff'!BI:CJ,26,FALSE)</f>
        <v>0</v>
      </c>
      <c r="AC125" s="127">
        <f>VLOOKUP(C125,'Talente &amp; Stuff'!BI:CJ,27,FALSE)</f>
        <v>0</v>
      </c>
      <c r="AD125" s="125">
        <f>VLOOKUP(C125,'Talente &amp; Stuff'!BI:CJ,28,FALSE)</f>
        <v>0</v>
      </c>
      <c r="AE125" s="28"/>
    </row>
    <row r="126" spans="2:31" ht="15" hidden="1" customHeight="1" outlineLevel="2">
      <c r="B126" s="148">
        <v>27</v>
      </c>
      <c r="C126" s="178" t="str">
        <f>Attribute!C126</f>
        <v>---</v>
      </c>
      <c r="D126" s="23" t="str">
        <f>VLOOKUP(C126,'Talente &amp; Stuff'!BI:CJ,2,FALSE)</f>
        <v>--/--/--</v>
      </c>
      <c r="E126" s="128" t="str">
        <f>VLOOKUP(C126,'Talente &amp; Stuff'!BI:CJ,3,FALSE)</f>
        <v>-</v>
      </c>
      <c r="F126" s="115">
        <f>VLOOKUP(C126,'Talente &amp; Stuff'!BI:CJ,4,FALSE)</f>
        <v>0</v>
      </c>
      <c r="G126" s="122">
        <f>VLOOKUP(C126,'Talente &amp; Stuff'!BI:CJ,5,FALSE)</f>
        <v>0</v>
      </c>
      <c r="H126" s="122">
        <f>VLOOKUP(C126,'Talente &amp; Stuff'!BI:CJ,6,FALSE)</f>
        <v>0</v>
      </c>
      <c r="I126" s="122">
        <f>VLOOKUP(C126,'Talente &amp; Stuff'!BI:CJ,7,FALSE)</f>
        <v>0</v>
      </c>
      <c r="J126" s="122">
        <f>VLOOKUP(C126,'Talente &amp; Stuff'!BI:CJ,8,FALSE)</f>
        <v>0</v>
      </c>
      <c r="K126" s="122">
        <f>VLOOKUP(C126,'Talente &amp; Stuff'!BI:CJ,9,FALSE)</f>
        <v>0</v>
      </c>
      <c r="L126" s="122">
        <f>VLOOKUP(C126,'Talente &amp; Stuff'!BI:CJ,10,FALSE)</f>
        <v>0</v>
      </c>
      <c r="M126" s="123">
        <f>VLOOKUP(C126,'Talente &amp; Stuff'!BI:CJ,11,FALSE)</f>
        <v>0</v>
      </c>
      <c r="N126" s="88">
        <f>VLOOKUP(C126,'Talente &amp; Stuff'!BI:CJ,12,FALSE)</f>
        <v>0</v>
      </c>
      <c r="O126" s="2">
        <f>VLOOKUP(C126,'Talente &amp; Stuff'!BI:CJ,13,FALSE)</f>
        <v>0</v>
      </c>
      <c r="P126" s="173">
        <f>VLOOKUP(C126,'Talente &amp; Stuff'!BI:CJ,14,FALSE)</f>
        <v>0</v>
      </c>
      <c r="Q126" s="115">
        <f>VLOOKUP(C126,'Talente &amp; Stuff'!BI:CJ,15,FALSE)</f>
        <v>0</v>
      </c>
      <c r="R126" s="169">
        <f>VLOOKUP(C126,'Talente &amp; Stuff'!BI:CJ,16,FALSE)</f>
        <v>0</v>
      </c>
      <c r="S126" s="123">
        <f>VLOOKUP(C126,'Talente &amp; Stuff'!BI:CJ,17,FALSE)</f>
        <v>0</v>
      </c>
      <c r="T126" s="123">
        <f>VLOOKUP(C126,'Talente &amp; Stuff'!BI:CJ,18,FALSE)</f>
        <v>0</v>
      </c>
      <c r="U126" s="90">
        <f>VLOOKUP(C126,'Talente &amp; Stuff'!BI:CJ,19,FALSE)</f>
        <v>0</v>
      </c>
      <c r="V126" s="88">
        <f>VLOOKUP(C126,'Talente &amp; Stuff'!BI:CJ,20,FALSE)</f>
        <v>0</v>
      </c>
      <c r="W126" s="128">
        <f>VLOOKUP(C126,'Talente &amp; Stuff'!BI:CJ,21,FALSE)</f>
        <v>0</v>
      </c>
      <c r="X126" s="128">
        <f>VLOOKUP(C126,'Talente &amp; Stuff'!BI:CJ,22,FALSE)</f>
        <v>0</v>
      </c>
      <c r="Y126" s="165">
        <f t="shared" si="12"/>
        <v>0</v>
      </c>
      <c r="Z126" s="44">
        <f t="shared" si="13"/>
        <v>0</v>
      </c>
      <c r="AA126" s="159">
        <f>VLOOKUP(C126,'Talente &amp; Stuff'!BI:CJ,25,FALSE)</f>
        <v>0</v>
      </c>
      <c r="AB126" s="161">
        <f>VLOOKUP(C126,'Talente &amp; Stuff'!BI:CJ,26,FALSE)</f>
        <v>0</v>
      </c>
      <c r="AC126" s="128">
        <f>VLOOKUP(C126,'Talente &amp; Stuff'!BI:CJ,27,FALSE)</f>
        <v>0</v>
      </c>
      <c r="AD126" s="159">
        <f>VLOOKUP(C126,'Talente &amp; Stuff'!BI:CJ,28,FALSE)</f>
        <v>0</v>
      </c>
      <c r="AE126" s="28"/>
    </row>
    <row r="127" spans="2:31" ht="15" hidden="1" customHeight="1" outlineLevel="1" collapsed="1">
      <c r="B127" s="134" t="s">
        <v>330</v>
      </c>
      <c r="C127" s="83"/>
      <c r="D127" s="84"/>
      <c r="E127" s="84"/>
    </row>
    <row r="128" spans="2:31" ht="15" hidden="1" customHeight="1" outlineLevel="2">
      <c r="B128" s="148">
        <v>1</v>
      </c>
      <c r="C128" s="176" t="str">
        <f>Attribute!C128</f>
        <v>---</v>
      </c>
      <c r="D128" s="158" t="str">
        <f>VLOOKUP(C128,'Talente &amp; Stuff'!BI:CJ,2,FALSE)</f>
        <v>--/--/--</v>
      </c>
      <c r="E128" s="126" t="str">
        <f>VLOOKUP(C128,'Talente &amp; Stuff'!BI:CJ,3,FALSE)</f>
        <v>-</v>
      </c>
      <c r="F128" s="191">
        <f>VLOOKUP(C128,'Talente &amp; Stuff'!BI:CJ,4,FALSE)</f>
        <v>0</v>
      </c>
      <c r="G128" s="118">
        <f>VLOOKUP(C128,'Talente &amp; Stuff'!BI:CJ,5,FALSE)</f>
        <v>0</v>
      </c>
      <c r="H128" s="118">
        <f>VLOOKUP(C128,'Talente &amp; Stuff'!BI:CJ,6,FALSE)</f>
        <v>0</v>
      </c>
      <c r="I128" s="118">
        <f>VLOOKUP(C128,'Talente &amp; Stuff'!BI:CJ,7,FALSE)</f>
        <v>0</v>
      </c>
      <c r="J128" s="118">
        <f>VLOOKUP(C128,'Talente &amp; Stuff'!BI:CJ,8,FALSE)</f>
        <v>0</v>
      </c>
      <c r="K128" s="118">
        <f>VLOOKUP(C128,'Talente &amp; Stuff'!BI:CJ,9,FALSE)</f>
        <v>0</v>
      </c>
      <c r="L128" s="118">
        <f>VLOOKUP(C128,'Talente &amp; Stuff'!BI:CJ,10,FALSE)</f>
        <v>0</v>
      </c>
      <c r="M128" s="92">
        <f>VLOOKUP(C128,'Talente &amp; Stuff'!BI:CJ,11,FALSE)</f>
        <v>0</v>
      </c>
      <c r="N128" s="116">
        <f>VLOOKUP(C128,'Talente &amp; Stuff'!BI:CJ,12,FALSE)</f>
        <v>0</v>
      </c>
      <c r="O128" s="116">
        <f>VLOOKUP(C128,'Talente &amp; Stuff'!BI:CJ,13,FALSE)</f>
        <v>0</v>
      </c>
      <c r="P128" s="92">
        <f>VLOOKUP(C128,'Talente &amp; Stuff'!BI:CJ,14,FALSE)</f>
        <v>0</v>
      </c>
      <c r="Q128" s="191">
        <f>VLOOKUP(C128,'Talente &amp; Stuff'!BI:CJ,15,FALSE)</f>
        <v>0</v>
      </c>
      <c r="R128" s="118">
        <f>VLOOKUP(C128,'Talente &amp; Stuff'!BI:CJ,16,FALSE)</f>
        <v>0</v>
      </c>
      <c r="S128" s="92">
        <f>VLOOKUP(C128,'Talente &amp; Stuff'!BI:CJ,17,FALSE)</f>
        <v>0</v>
      </c>
      <c r="T128" s="92">
        <f>VLOOKUP(C128,'Talente &amp; Stuff'!BI:CJ,18,FALSE)</f>
        <v>0</v>
      </c>
      <c r="U128" s="193">
        <f>VLOOKUP(C128,'Talente &amp; Stuff'!BI:CJ,19,FALSE)</f>
        <v>0</v>
      </c>
      <c r="V128" s="116">
        <f>VLOOKUP(C128,'Talente &amp; Stuff'!BI:CJ,20,FALSE)</f>
        <v>0</v>
      </c>
      <c r="W128" s="126">
        <f>VLOOKUP(C128,'Talente &amp; Stuff'!BI:CJ,21,FALSE)</f>
        <v>0</v>
      </c>
      <c r="X128" s="126">
        <f>VLOOKUP(C128,'Talente &amp; Stuff'!BI:CJ,22,FALSE)</f>
        <v>0</v>
      </c>
      <c r="Y128" s="165">
        <f t="shared" ref="Y128:Y151" si="14">VLOOKUP(C128,Ausgewählte_Zauber_Elfen,81,FALSE)</f>
        <v>0</v>
      </c>
      <c r="Z128" s="44">
        <f t="shared" ref="Z128:Z151" si="15">VLOOKUP(C128,Ausgewählte_Zauber_Elfen,82,FALSE)</f>
        <v>0</v>
      </c>
      <c r="AA128" s="158">
        <f>VLOOKUP(C128,'Talente &amp; Stuff'!BI:CJ,25,FALSE)</f>
        <v>0</v>
      </c>
      <c r="AB128" s="91">
        <f>VLOOKUP(C128,'Talente &amp; Stuff'!BI:CJ,26,FALSE)</f>
        <v>0</v>
      </c>
      <c r="AC128" s="126">
        <f>VLOOKUP(C128,'Talente &amp; Stuff'!BI:CJ,27,FALSE)</f>
        <v>0</v>
      </c>
      <c r="AD128" s="158">
        <f>VLOOKUP(C128,'Talente &amp; Stuff'!BI:CJ,28,FALSE)</f>
        <v>0</v>
      </c>
      <c r="AE128" s="28"/>
    </row>
    <row r="129" spans="2:31" ht="15" hidden="1" customHeight="1" outlineLevel="2">
      <c r="B129" s="148">
        <v>2</v>
      </c>
      <c r="C129" s="177" t="str">
        <f>Attribute!C129</f>
        <v>---</v>
      </c>
      <c r="D129" s="125" t="str">
        <f>VLOOKUP(C129,'Talente &amp; Stuff'!BI:CJ,2,FALSE)</f>
        <v>--/--/--</v>
      </c>
      <c r="E129" s="127" t="str">
        <f>VLOOKUP(C129,'Talente &amp; Stuff'!BI:CJ,3,FALSE)</f>
        <v>-</v>
      </c>
      <c r="F129" s="114">
        <f>VLOOKUP(C129,'Talente &amp; Stuff'!BI:CJ,4,FALSE)</f>
        <v>0</v>
      </c>
      <c r="G129" s="113">
        <f>VLOOKUP(C129,'Talente &amp; Stuff'!BI:CJ,5,FALSE)</f>
        <v>0</v>
      </c>
      <c r="H129" s="113">
        <f>VLOOKUP(C129,'Talente &amp; Stuff'!BI:CJ,6,FALSE)</f>
        <v>0</v>
      </c>
      <c r="I129" s="113">
        <f>VLOOKUP(C129,'Talente &amp; Stuff'!BI:CJ,7,FALSE)</f>
        <v>0</v>
      </c>
      <c r="J129" s="113">
        <f>VLOOKUP(C129,'Talente &amp; Stuff'!BI:CJ,8,FALSE)</f>
        <v>0</v>
      </c>
      <c r="K129" s="113">
        <f>VLOOKUP(C129,'Talente &amp; Stuff'!BI:CJ,9,FALSE)</f>
        <v>0</v>
      </c>
      <c r="L129" s="113">
        <f>VLOOKUP(C129,'Talente &amp; Stuff'!BI:CJ,10,FALSE)</f>
        <v>0</v>
      </c>
      <c r="M129" s="119">
        <f>VLOOKUP(C129,'Talente &amp; Stuff'!BI:CJ,11,FALSE)</f>
        <v>0</v>
      </c>
      <c r="N129" s="47">
        <f>VLOOKUP(C129,'Talente &amp; Stuff'!BI:CJ,12,FALSE)</f>
        <v>0</v>
      </c>
      <c r="O129" s="47">
        <f>VLOOKUP(C129,'Talente &amp; Stuff'!BI:CJ,13,FALSE)</f>
        <v>0</v>
      </c>
      <c r="P129" s="119">
        <f>VLOOKUP(C129,'Talente &amp; Stuff'!BI:CJ,14,FALSE)</f>
        <v>0</v>
      </c>
      <c r="Q129" s="114">
        <f>VLOOKUP(C129,'Talente &amp; Stuff'!BI:CJ,15,FALSE)</f>
        <v>0</v>
      </c>
      <c r="R129" s="113">
        <f>VLOOKUP(C129,'Talente &amp; Stuff'!BI:CJ,16,FALSE)</f>
        <v>0</v>
      </c>
      <c r="S129" s="119">
        <f>VLOOKUP(C129,'Talente &amp; Stuff'!BI:CJ,17,FALSE)</f>
        <v>0</v>
      </c>
      <c r="T129" s="119">
        <f>VLOOKUP(C129,'Talente &amp; Stuff'!BI:CJ,18,FALSE)</f>
        <v>0</v>
      </c>
      <c r="U129" s="89">
        <f>VLOOKUP(C129,'Talente &amp; Stuff'!BI:CJ,19,FALSE)</f>
        <v>0</v>
      </c>
      <c r="V129" s="47">
        <f>VLOOKUP(C129,'Talente &amp; Stuff'!BI:CJ,20,FALSE)</f>
        <v>0</v>
      </c>
      <c r="W129" s="127">
        <f>VLOOKUP(C129,'Talente &amp; Stuff'!BI:CJ,21,FALSE)</f>
        <v>0</v>
      </c>
      <c r="X129" s="127">
        <f>VLOOKUP(C129,'Talente &amp; Stuff'!BI:CJ,22,FALSE)</f>
        <v>0</v>
      </c>
      <c r="Y129" s="165">
        <f t="shared" si="14"/>
        <v>0</v>
      </c>
      <c r="Z129" s="44">
        <f t="shared" si="15"/>
        <v>0</v>
      </c>
      <c r="AA129" s="125">
        <f>VLOOKUP(C129,'Talente &amp; Stuff'!BI:CJ,25,FALSE)</f>
        <v>0</v>
      </c>
      <c r="AB129" s="160">
        <f>VLOOKUP(C129,'Talente &amp; Stuff'!BI:CJ,26,FALSE)</f>
        <v>0</v>
      </c>
      <c r="AC129" s="127">
        <f>VLOOKUP(C129,'Talente &amp; Stuff'!BI:CJ,27,FALSE)</f>
        <v>0</v>
      </c>
      <c r="AD129" s="125">
        <f>VLOOKUP(C129,'Talente &amp; Stuff'!BI:CJ,28,FALSE)</f>
        <v>0</v>
      </c>
      <c r="AE129" s="28"/>
    </row>
    <row r="130" spans="2:31" ht="15" hidden="1" customHeight="1" outlineLevel="2">
      <c r="B130" s="148">
        <v>3</v>
      </c>
      <c r="C130" s="177" t="str">
        <f>Attribute!C130</f>
        <v>---</v>
      </c>
      <c r="D130" s="125" t="str">
        <f>VLOOKUP(C130,'Talente &amp; Stuff'!BI:CJ,2,FALSE)</f>
        <v>--/--/--</v>
      </c>
      <c r="E130" s="127" t="str">
        <f>VLOOKUP(C130,'Talente &amp; Stuff'!BI:CJ,3,FALSE)</f>
        <v>-</v>
      </c>
      <c r="F130" s="114">
        <f>VLOOKUP(C130,'Talente &amp; Stuff'!BI:CJ,4,FALSE)</f>
        <v>0</v>
      </c>
      <c r="G130" s="113">
        <f>VLOOKUP(C130,'Talente &amp; Stuff'!BI:CJ,5,FALSE)</f>
        <v>0</v>
      </c>
      <c r="H130" s="113">
        <f>VLOOKUP(C130,'Talente &amp; Stuff'!BI:CJ,6,FALSE)</f>
        <v>0</v>
      </c>
      <c r="I130" s="113">
        <f>VLOOKUP(C130,'Talente &amp; Stuff'!BI:CJ,7,FALSE)</f>
        <v>0</v>
      </c>
      <c r="J130" s="113">
        <f>VLOOKUP(C130,'Talente &amp; Stuff'!BI:CJ,8,FALSE)</f>
        <v>0</v>
      </c>
      <c r="K130" s="113">
        <f>VLOOKUP(C130,'Talente &amp; Stuff'!BI:CJ,9,FALSE)</f>
        <v>0</v>
      </c>
      <c r="L130" s="113">
        <f>VLOOKUP(C130,'Talente &amp; Stuff'!BI:CJ,10,FALSE)</f>
        <v>0</v>
      </c>
      <c r="M130" s="119">
        <f>VLOOKUP(C130,'Talente &amp; Stuff'!BI:CJ,11,FALSE)</f>
        <v>0</v>
      </c>
      <c r="N130" s="47">
        <f>VLOOKUP(C130,'Talente &amp; Stuff'!BI:CJ,12,FALSE)</f>
        <v>0</v>
      </c>
      <c r="O130" s="47">
        <f>VLOOKUP(C130,'Talente &amp; Stuff'!BI:CJ,13,FALSE)</f>
        <v>0</v>
      </c>
      <c r="P130" s="119">
        <f>VLOOKUP(C130,'Talente &amp; Stuff'!BI:CJ,14,FALSE)</f>
        <v>0</v>
      </c>
      <c r="Q130" s="114">
        <f>VLOOKUP(C130,'Talente &amp; Stuff'!BI:CJ,15,FALSE)</f>
        <v>0</v>
      </c>
      <c r="R130" s="113">
        <f>VLOOKUP(C130,'Talente &amp; Stuff'!BI:CJ,16,FALSE)</f>
        <v>0</v>
      </c>
      <c r="S130" s="119">
        <f>VLOOKUP(C130,'Talente &amp; Stuff'!BI:CJ,17,FALSE)</f>
        <v>0</v>
      </c>
      <c r="T130" s="119">
        <f>VLOOKUP(C130,'Talente &amp; Stuff'!BI:CJ,18,FALSE)</f>
        <v>0</v>
      </c>
      <c r="U130" s="89">
        <f>VLOOKUP(C130,'Talente &amp; Stuff'!BI:CJ,19,FALSE)</f>
        <v>0</v>
      </c>
      <c r="V130" s="47">
        <f>VLOOKUP(C130,'Talente &amp; Stuff'!BI:CJ,20,FALSE)</f>
        <v>0</v>
      </c>
      <c r="W130" s="127">
        <f>VLOOKUP(C130,'Talente &amp; Stuff'!BI:CJ,21,FALSE)</f>
        <v>0</v>
      </c>
      <c r="X130" s="127">
        <f>VLOOKUP(C130,'Talente &amp; Stuff'!BI:CJ,22,FALSE)</f>
        <v>0</v>
      </c>
      <c r="Y130" s="165">
        <f t="shared" si="14"/>
        <v>0</v>
      </c>
      <c r="Z130" s="44">
        <f t="shared" si="15"/>
        <v>0</v>
      </c>
      <c r="AA130" s="125">
        <f>VLOOKUP(C130,'Talente &amp; Stuff'!BI:CJ,25,FALSE)</f>
        <v>0</v>
      </c>
      <c r="AB130" s="160">
        <f>VLOOKUP(C130,'Talente &amp; Stuff'!BI:CJ,26,FALSE)</f>
        <v>0</v>
      </c>
      <c r="AC130" s="127">
        <f>VLOOKUP(C130,'Talente &amp; Stuff'!BI:CJ,27,FALSE)</f>
        <v>0</v>
      </c>
      <c r="AD130" s="125">
        <f>VLOOKUP(C130,'Talente &amp; Stuff'!BI:CJ,28,FALSE)</f>
        <v>0</v>
      </c>
      <c r="AE130" s="28"/>
    </row>
    <row r="131" spans="2:31" ht="15" hidden="1" customHeight="1" outlineLevel="2">
      <c r="B131" s="148">
        <v>4</v>
      </c>
      <c r="C131" s="177" t="str">
        <f>Attribute!C131</f>
        <v>---</v>
      </c>
      <c r="D131" s="125" t="str">
        <f>VLOOKUP(C131,'Talente &amp; Stuff'!BI:CJ,2,FALSE)</f>
        <v>--/--/--</v>
      </c>
      <c r="E131" s="127" t="str">
        <f>VLOOKUP(C131,'Talente &amp; Stuff'!BI:CJ,3,FALSE)</f>
        <v>-</v>
      </c>
      <c r="F131" s="114">
        <f>VLOOKUP(C131,'Talente &amp; Stuff'!BI:CJ,4,FALSE)</f>
        <v>0</v>
      </c>
      <c r="G131" s="113">
        <f>VLOOKUP(C131,'Talente &amp; Stuff'!BI:CJ,5,FALSE)</f>
        <v>0</v>
      </c>
      <c r="H131" s="113">
        <f>VLOOKUP(C131,'Talente &amp; Stuff'!BI:CJ,6,FALSE)</f>
        <v>0</v>
      </c>
      <c r="I131" s="113">
        <f>VLOOKUP(C131,'Talente &amp; Stuff'!BI:CJ,7,FALSE)</f>
        <v>0</v>
      </c>
      <c r="J131" s="113">
        <f>VLOOKUP(C131,'Talente &amp; Stuff'!BI:CJ,8,FALSE)</f>
        <v>0</v>
      </c>
      <c r="K131" s="113">
        <f>VLOOKUP(C131,'Talente &amp; Stuff'!BI:CJ,9,FALSE)</f>
        <v>0</v>
      </c>
      <c r="L131" s="113">
        <f>VLOOKUP(C131,'Talente &amp; Stuff'!BI:CJ,10,FALSE)</f>
        <v>0</v>
      </c>
      <c r="M131" s="119">
        <f>VLOOKUP(C131,'Talente &amp; Stuff'!BI:CJ,11,FALSE)</f>
        <v>0</v>
      </c>
      <c r="N131" s="47">
        <f>VLOOKUP(C131,'Talente &amp; Stuff'!BI:CJ,12,FALSE)</f>
        <v>0</v>
      </c>
      <c r="O131" s="47">
        <f>VLOOKUP(C131,'Talente &amp; Stuff'!BI:CJ,13,FALSE)</f>
        <v>0</v>
      </c>
      <c r="P131" s="119">
        <f>VLOOKUP(C131,'Talente &amp; Stuff'!BI:CJ,14,FALSE)</f>
        <v>0</v>
      </c>
      <c r="Q131" s="114">
        <f>VLOOKUP(C131,'Talente &amp; Stuff'!BI:CJ,15,FALSE)</f>
        <v>0</v>
      </c>
      <c r="R131" s="113">
        <f>VLOOKUP(C131,'Talente &amp; Stuff'!BI:CJ,16,FALSE)</f>
        <v>0</v>
      </c>
      <c r="S131" s="119">
        <f>VLOOKUP(C131,'Talente &amp; Stuff'!BI:CJ,17,FALSE)</f>
        <v>0</v>
      </c>
      <c r="T131" s="119">
        <f>VLOOKUP(C131,'Talente &amp; Stuff'!BI:CJ,18,FALSE)</f>
        <v>0</v>
      </c>
      <c r="U131" s="89">
        <f>VLOOKUP(C131,'Talente &amp; Stuff'!BI:CJ,19,FALSE)</f>
        <v>0</v>
      </c>
      <c r="V131" s="47">
        <f>VLOOKUP(C131,'Talente &amp; Stuff'!BI:CJ,20,FALSE)</f>
        <v>0</v>
      </c>
      <c r="W131" s="127">
        <f>VLOOKUP(C131,'Talente &amp; Stuff'!BI:CJ,21,FALSE)</f>
        <v>0</v>
      </c>
      <c r="X131" s="127">
        <f>VLOOKUP(C131,'Talente &amp; Stuff'!BI:CJ,22,FALSE)</f>
        <v>0</v>
      </c>
      <c r="Y131" s="165">
        <f t="shared" si="14"/>
        <v>0</v>
      </c>
      <c r="Z131" s="44">
        <f t="shared" si="15"/>
        <v>0</v>
      </c>
      <c r="AA131" s="125">
        <f>VLOOKUP(C131,'Talente &amp; Stuff'!BI:CJ,25,FALSE)</f>
        <v>0</v>
      </c>
      <c r="AB131" s="160">
        <f>VLOOKUP(C131,'Talente &amp; Stuff'!BI:CJ,26,FALSE)</f>
        <v>0</v>
      </c>
      <c r="AC131" s="127">
        <f>VLOOKUP(C131,'Talente &amp; Stuff'!BI:CJ,27,FALSE)</f>
        <v>0</v>
      </c>
      <c r="AD131" s="125">
        <f>VLOOKUP(C131,'Talente &amp; Stuff'!BI:CJ,28,FALSE)</f>
        <v>0</v>
      </c>
      <c r="AE131" s="28"/>
    </row>
    <row r="132" spans="2:31" ht="15" hidden="1" customHeight="1" outlineLevel="2">
      <c r="B132" s="148">
        <v>5</v>
      </c>
      <c r="C132" s="177" t="str">
        <f>Attribute!C132</f>
        <v>---</v>
      </c>
      <c r="D132" s="125" t="str">
        <f>VLOOKUP(C132,'Talente &amp; Stuff'!BI:CJ,2,FALSE)</f>
        <v>--/--/--</v>
      </c>
      <c r="E132" s="127" t="str">
        <f>VLOOKUP(C132,'Talente &amp; Stuff'!BI:CJ,3,FALSE)</f>
        <v>-</v>
      </c>
      <c r="F132" s="114">
        <f>VLOOKUP(C132,'Talente &amp; Stuff'!BI:CJ,4,FALSE)</f>
        <v>0</v>
      </c>
      <c r="G132" s="113">
        <f>VLOOKUP(C132,'Talente &amp; Stuff'!BI:CJ,5,FALSE)</f>
        <v>0</v>
      </c>
      <c r="H132" s="113">
        <f>VLOOKUP(C132,'Talente &amp; Stuff'!BI:CJ,6,FALSE)</f>
        <v>0</v>
      </c>
      <c r="I132" s="113">
        <f>VLOOKUP(C132,'Talente &amp; Stuff'!BI:CJ,7,FALSE)</f>
        <v>0</v>
      </c>
      <c r="J132" s="113">
        <f>VLOOKUP(C132,'Talente &amp; Stuff'!BI:CJ,8,FALSE)</f>
        <v>0</v>
      </c>
      <c r="K132" s="113">
        <f>VLOOKUP(C132,'Talente &amp; Stuff'!BI:CJ,9,FALSE)</f>
        <v>0</v>
      </c>
      <c r="L132" s="113">
        <f>VLOOKUP(C132,'Talente &amp; Stuff'!BI:CJ,10,FALSE)</f>
        <v>0</v>
      </c>
      <c r="M132" s="119">
        <f>VLOOKUP(C132,'Talente &amp; Stuff'!BI:CJ,11,FALSE)</f>
        <v>0</v>
      </c>
      <c r="N132" s="47">
        <f>VLOOKUP(C132,'Talente &amp; Stuff'!BI:CJ,12,FALSE)</f>
        <v>0</v>
      </c>
      <c r="O132" s="47">
        <f>VLOOKUP(C132,'Talente &amp; Stuff'!BI:CJ,13,FALSE)</f>
        <v>0</v>
      </c>
      <c r="P132" s="119">
        <f>VLOOKUP(C132,'Talente &amp; Stuff'!BI:CJ,14,FALSE)</f>
        <v>0</v>
      </c>
      <c r="Q132" s="114">
        <f>VLOOKUP(C132,'Talente &amp; Stuff'!BI:CJ,15,FALSE)</f>
        <v>0</v>
      </c>
      <c r="R132" s="113">
        <f>VLOOKUP(C132,'Talente &amp; Stuff'!BI:CJ,16,FALSE)</f>
        <v>0</v>
      </c>
      <c r="S132" s="119">
        <f>VLOOKUP(C132,'Talente &amp; Stuff'!BI:CJ,17,FALSE)</f>
        <v>0</v>
      </c>
      <c r="T132" s="119">
        <f>VLOOKUP(C132,'Talente &amp; Stuff'!BI:CJ,18,FALSE)</f>
        <v>0</v>
      </c>
      <c r="U132" s="89">
        <f>VLOOKUP(C132,'Talente &amp; Stuff'!BI:CJ,19,FALSE)</f>
        <v>0</v>
      </c>
      <c r="V132" s="47">
        <f>VLOOKUP(C132,'Talente &amp; Stuff'!BI:CJ,20,FALSE)</f>
        <v>0</v>
      </c>
      <c r="W132" s="127">
        <f>VLOOKUP(C132,'Talente &amp; Stuff'!BI:CJ,21,FALSE)</f>
        <v>0</v>
      </c>
      <c r="X132" s="127">
        <f>VLOOKUP(C132,'Talente &amp; Stuff'!BI:CJ,22,FALSE)</f>
        <v>0</v>
      </c>
      <c r="Y132" s="165">
        <f t="shared" si="14"/>
        <v>0</v>
      </c>
      <c r="Z132" s="44">
        <f t="shared" si="15"/>
        <v>0</v>
      </c>
      <c r="AA132" s="125">
        <f>VLOOKUP(C132,'Talente &amp; Stuff'!BI:CJ,25,FALSE)</f>
        <v>0</v>
      </c>
      <c r="AB132" s="160">
        <f>VLOOKUP(C132,'Talente &amp; Stuff'!BI:CJ,26,FALSE)</f>
        <v>0</v>
      </c>
      <c r="AC132" s="127">
        <f>VLOOKUP(C132,'Talente &amp; Stuff'!BI:CJ,27,FALSE)</f>
        <v>0</v>
      </c>
      <c r="AD132" s="125">
        <f>VLOOKUP(C132,'Talente &amp; Stuff'!BI:CJ,28,FALSE)</f>
        <v>0</v>
      </c>
      <c r="AE132" s="28"/>
    </row>
    <row r="133" spans="2:31" ht="15" hidden="1" customHeight="1" outlineLevel="2">
      <c r="B133" s="148">
        <v>6</v>
      </c>
      <c r="C133" s="177" t="str">
        <f>Attribute!C133</f>
        <v>---</v>
      </c>
      <c r="D133" s="125" t="str">
        <f>VLOOKUP(C133,'Talente &amp; Stuff'!BI:CJ,2,FALSE)</f>
        <v>--/--/--</v>
      </c>
      <c r="E133" s="127" t="str">
        <f>VLOOKUP(C133,'Talente &amp; Stuff'!BI:CJ,3,FALSE)</f>
        <v>-</v>
      </c>
      <c r="F133" s="114">
        <f>VLOOKUP(C133,'Talente &amp; Stuff'!BI:CJ,4,FALSE)</f>
        <v>0</v>
      </c>
      <c r="G133" s="113">
        <f>VLOOKUP(C133,'Talente &amp; Stuff'!BI:CJ,5,FALSE)</f>
        <v>0</v>
      </c>
      <c r="H133" s="113">
        <f>VLOOKUP(C133,'Talente &amp; Stuff'!BI:CJ,6,FALSE)</f>
        <v>0</v>
      </c>
      <c r="I133" s="113">
        <f>VLOOKUP(C133,'Talente &amp; Stuff'!BI:CJ,7,FALSE)</f>
        <v>0</v>
      </c>
      <c r="J133" s="113">
        <f>VLOOKUP(C133,'Talente &amp; Stuff'!BI:CJ,8,FALSE)</f>
        <v>0</v>
      </c>
      <c r="K133" s="113">
        <f>VLOOKUP(C133,'Talente &amp; Stuff'!BI:CJ,9,FALSE)</f>
        <v>0</v>
      </c>
      <c r="L133" s="113">
        <f>VLOOKUP(C133,'Talente &amp; Stuff'!BI:CJ,10,FALSE)</f>
        <v>0</v>
      </c>
      <c r="M133" s="119">
        <f>VLOOKUP(C133,'Talente &amp; Stuff'!BI:CJ,11,FALSE)</f>
        <v>0</v>
      </c>
      <c r="N133" s="47">
        <f>VLOOKUP(C133,'Talente &amp; Stuff'!BI:CJ,12,FALSE)</f>
        <v>0</v>
      </c>
      <c r="O133" s="47">
        <f>VLOOKUP(C133,'Talente &amp; Stuff'!BI:CJ,13,FALSE)</f>
        <v>0</v>
      </c>
      <c r="P133" s="119">
        <f>VLOOKUP(C133,'Talente &amp; Stuff'!BI:CJ,14,FALSE)</f>
        <v>0</v>
      </c>
      <c r="Q133" s="114">
        <f>VLOOKUP(C133,'Talente &amp; Stuff'!BI:CJ,15,FALSE)</f>
        <v>0</v>
      </c>
      <c r="R133" s="113">
        <f>VLOOKUP(C133,'Talente &amp; Stuff'!BI:CJ,16,FALSE)</f>
        <v>0</v>
      </c>
      <c r="S133" s="119">
        <f>VLOOKUP(C133,'Talente &amp; Stuff'!BI:CJ,17,FALSE)</f>
        <v>0</v>
      </c>
      <c r="T133" s="119">
        <f>VLOOKUP(C133,'Talente &amp; Stuff'!BI:CJ,18,FALSE)</f>
        <v>0</v>
      </c>
      <c r="U133" s="89">
        <f>VLOOKUP(C133,'Talente &amp; Stuff'!BI:CJ,19,FALSE)</f>
        <v>0</v>
      </c>
      <c r="V133" s="47">
        <f>VLOOKUP(C133,'Talente &amp; Stuff'!BI:CJ,20,FALSE)</f>
        <v>0</v>
      </c>
      <c r="W133" s="127">
        <f>VLOOKUP(C133,'Talente &amp; Stuff'!BI:CJ,21,FALSE)</f>
        <v>0</v>
      </c>
      <c r="X133" s="127">
        <f>VLOOKUP(C133,'Talente &amp; Stuff'!BI:CJ,22,FALSE)</f>
        <v>0</v>
      </c>
      <c r="Y133" s="165">
        <f t="shared" si="14"/>
        <v>0</v>
      </c>
      <c r="Z133" s="44">
        <f t="shared" si="15"/>
        <v>0</v>
      </c>
      <c r="AA133" s="125">
        <f>VLOOKUP(C133,'Talente &amp; Stuff'!BI:CJ,25,FALSE)</f>
        <v>0</v>
      </c>
      <c r="AB133" s="160">
        <f>VLOOKUP(C133,'Talente &amp; Stuff'!BI:CJ,26,FALSE)</f>
        <v>0</v>
      </c>
      <c r="AC133" s="127">
        <f>VLOOKUP(C133,'Talente &amp; Stuff'!BI:CJ,27,FALSE)</f>
        <v>0</v>
      </c>
      <c r="AD133" s="125">
        <f>VLOOKUP(C133,'Talente &amp; Stuff'!BI:CJ,28,FALSE)</f>
        <v>0</v>
      </c>
      <c r="AE133" s="28"/>
    </row>
    <row r="134" spans="2:31" ht="15" hidden="1" customHeight="1" outlineLevel="2">
      <c r="B134" s="148">
        <v>7</v>
      </c>
      <c r="C134" s="177" t="str">
        <f>Attribute!C134</f>
        <v>---</v>
      </c>
      <c r="D134" s="125" t="str">
        <f>VLOOKUP(C134,'Talente &amp; Stuff'!BI:CJ,2,FALSE)</f>
        <v>--/--/--</v>
      </c>
      <c r="E134" s="127" t="str">
        <f>VLOOKUP(C134,'Talente &amp; Stuff'!BI:CJ,3,FALSE)</f>
        <v>-</v>
      </c>
      <c r="F134" s="114">
        <f>VLOOKUP(C134,'Talente &amp; Stuff'!BI:CJ,4,FALSE)</f>
        <v>0</v>
      </c>
      <c r="G134" s="113">
        <f>VLOOKUP(C134,'Talente &amp; Stuff'!BI:CJ,5,FALSE)</f>
        <v>0</v>
      </c>
      <c r="H134" s="113">
        <f>VLOOKUP(C134,'Talente &amp; Stuff'!BI:CJ,6,FALSE)</f>
        <v>0</v>
      </c>
      <c r="I134" s="113">
        <f>VLOOKUP(C134,'Talente &amp; Stuff'!BI:CJ,7,FALSE)</f>
        <v>0</v>
      </c>
      <c r="J134" s="113">
        <f>VLOOKUP(C134,'Talente &amp; Stuff'!BI:CJ,8,FALSE)</f>
        <v>0</v>
      </c>
      <c r="K134" s="113">
        <f>VLOOKUP(C134,'Talente &amp; Stuff'!BI:CJ,9,FALSE)</f>
        <v>0</v>
      </c>
      <c r="L134" s="113">
        <f>VLOOKUP(C134,'Talente &amp; Stuff'!BI:CJ,10,FALSE)</f>
        <v>0</v>
      </c>
      <c r="M134" s="119">
        <f>VLOOKUP(C134,'Talente &amp; Stuff'!BI:CJ,11,FALSE)</f>
        <v>0</v>
      </c>
      <c r="N134" s="47">
        <f>VLOOKUP(C134,'Talente &amp; Stuff'!BI:CJ,12,FALSE)</f>
        <v>0</v>
      </c>
      <c r="O134" s="47">
        <f>VLOOKUP(C134,'Talente &amp; Stuff'!BI:CJ,13,FALSE)</f>
        <v>0</v>
      </c>
      <c r="P134" s="119">
        <f>VLOOKUP(C134,'Talente &amp; Stuff'!BI:CJ,14,FALSE)</f>
        <v>0</v>
      </c>
      <c r="Q134" s="114">
        <f>VLOOKUP(C134,'Talente &amp; Stuff'!BI:CJ,15,FALSE)</f>
        <v>0</v>
      </c>
      <c r="R134" s="113">
        <f>VLOOKUP(C134,'Talente &amp; Stuff'!BI:CJ,16,FALSE)</f>
        <v>0</v>
      </c>
      <c r="S134" s="119">
        <f>VLOOKUP(C134,'Talente &amp; Stuff'!BI:CJ,17,FALSE)</f>
        <v>0</v>
      </c>
      <c r="T134" s="119">
        <f>VLOOKUP(C134,'Talente &amp; Stuff'!BI:CJ,18,FALSE)</f>
        <v>0</v>
      </c>
      <c r="U134" s="89">
        <f>VLOOKUP(C134,'Talente &amp; Stuff'!BI:CJ,19,FALSE)</f>
        <v>0</v>
      </c>
      <c r="V134" s="47">
        <f>VLOOKUP(C134,'Talente &amp; Stuff'!BI:CJ,20,FALSE)</f>
        <v>0</v>
      </c>
      <c r="W134" s="127">
        <f>VLOOKUP(C134,'Talente &amp; Stuff'!BI:CJ,21,FALSE)</f>
        <v>0</v>
      </c>
      <c r="X134" s="127">
        <f>VLOOKUP(C134,'Talente &amp; Stuff'!BI:CJ,22,FALSE)</f>
        <v>0</v>
      </c>
      <c r="Y134" s="165">
        <f t="shared" si="14"/>
        <v>0</v>
      </c>
      <c r="Z134" s="44">
        <f t="shared" si="15"/>
        <v>0</v>
      </c>
      <c r="AA134" s="125">
        <f>VLOOKUP(C134,'Talente &amp; Stuff'!BI:CJ,25,FALSE)</f>
        <v>0</v>
      </c>
      <c r="AB134" s="160">
        <f>VLOOKUP(C134,'Talente &amp; Stuff'!BI:CJ,26,FALSE)</f>
        <v>0</v>
      </c>
      <c r="AC134" s="127">
        <f>VLOOKUP(C134,'Talente &amp; Stuff'!BI:CJ,27,FALSE)</f>
        <v>0</v>
      </c>
      <c r="AD134" s="125">
        <f>VLOOKUP(C134,'Talente &amp; Stuff'!BI:CJ,28,FALSE)</f>
        <v>0</v>
      </c>
      <c r="AE134" s="28"/>
    </row>
    <row r="135" spans="2:31" ht="15" hidden="1" customHeight="1" outlineLevel="2">
      <c r="B135" s="148">
        <v>8</v>
      </c>
      <c r="C135" s="177" t="str">
        <f>Attribute!C135</f>
        <v>---</v>
      </c>
      <c r="D135" s="125" t="str">
        <f>VLOOKUP(C135,'Talente &amp; Stuff'!BI:CJ,2,FALSE)</f>
        <v>--/--/--</v>
      </c>
      <c r="E135" s="127" t="str">
        <f>VLOOKUP(C135,'Talente &amp; Stuff'!BI:CJ,3,FALSE)</f>
        <v>-</v>
      </c>
      <c r="F135" s="114">
        <f>VLOOKUP(C135,'Talente &amp; Stuff'!BI:CJ,4,FALSE)</f>
        <v>0</v>
      </c>
      <c r="G135" s="113">
        <f>VLOOKUP(C135,'Talente &amp; Stuff'!BI:CJ,5,FALSE)</f>
        <v>0</v>
      </c>
      <c r="H135" s="113">
        <f>VLOOKUP(C135,'Talente &amp; Stuff'!BI:CJ,6,FALSE)</f>
        <v>0</v>
      </c>
      <c r="I135" s="113">
        <f>VLOOKUP(C135,'Talente &amp; Stuff'!BI:CJ,7,FALSE)</f>
        <v>0</v>
      </c>
      <c r="J135" s="113">
        <f>VLOOKUP(C135,'Talente &amp; Stuff'!BI:CJ,8,FALSE)</f>
        <v>0</v>
      </c>
      <c r="K135" s="113">
        <f>VLOOKUP(C135,'Talente &amp; Stuff'!BI:CJ,9,FALSE)</f>
        <v>0</v>
      </c>
      <c r="L135" s="113">
        <f>VLOOKUP(C135,'Talente &amp; Stuff'!BI:CJ,10,FALSE)</f>
        <v>0</v>
      </c>
      <c r="M135" s="119">
        <f>VLOOKUP(C135,'Talente &amp; Stuff'!BI:CJ,11,FALSE)</f>
        <v>0</v>
      </c>
      <c r="N135" s="47">
        <f>VLOOKUP(C135,'Talente &amp; Stuff'!BI:CJ,12,FALSE)</f>
        <v>0</v>
      </c>
      <c r="O135" s="47">
        <f>VLOOKUP(C135,'Talente &amp; Stuff'!BI:CJ,13,FALSE)</f>
        <v>0</v>
      </c>
      <c r="P135" s="119">
        <f>VLOOKUP(C135,'Talente &amp; Stuff'!BI:CJ,14,FALSE)</f>
        <v>0</v>
      </c>
      <c r="Q135" s="114">
        <f>VLOOKUP(C135,'Talente &amp; Stuff'!BI:CJ,15,FALSE)</f>
        <v>0</v>
      </c>
      <c r="R135" s="113">
        <f>VLOOKUP(C135,'Talente &amp; Stuff'!BI:CJ,16,FALSE)</f>
        <v>0</v>
      </c>
      <c r="S135" s="119">
        <f>VLOOKUP(C135,'Talente &amp; Stuff'!BI:CJ,17,FALSE)</f>
        <v>0</v>
      </c>
      <c r="T135" s="119">
        <f>VLOOKUP(C135,'Talente &amp; Stuff'!BI:CJ,18,FALSE)</f>
        <v>0</v>
      </c>
      <c r="U135" s="89">
        <f>VLOOKUP(C135,'Talente &amp; Stuff'!BI:CJ,19,FALSE)</f>
        <v>0</v>
      </c>
      <c r="V135" s="47">
        <f>VLOOKUP(C135,'Talente &amp; Stuff'!BI:CJ,20,FALSE)</f>
        <v>0</v>
      </c>
      <c r="W135" s="127">
        <f>VLOOKUP(C135,'Talente &amp; Stuff'!BI:CJ,21,FALSE)</f>
        <v>0</v>
      </c>
      <c r="X135" s="127">
        <f>VLOOKUP(C135,'Talente &amp; Stuff'!BI:CJ,22,FALSE)</f>
        <v>0</v>
      </c>
      <c r="Y135" s="165">
        <f t="shared" si="14"/>
        <v>0</v>
      </c>
      <c r="Z135" s="44">
        <f t="shared" si="15"/>
        <v>0</v>
      </c>
      <c r="AA135" s="125">
        <f>VLOOKUP(C135,'Talente &amp; Stuff'!BI:CJ,25,FALSE)</f>
        <v>0</v>
      </c>
      <c r="AB135" s="160">
        <f>VLOOKUP(C135,'Talente &amp; Stuff'!BI:CJ,26,FALSE)</f>
        <v>0</v>
      </c>
      <c r="AC135" s="127">
        <f>VLOOKUP(C135,'Talente &amp; Stuff'!BI:CJ,27,FALSE)</f>
        <v>0</v>
      </c>
      <c r="AD135" s="125">
        <f>VLOOKUP(C135,'Talente &amp; Stuff'!BI:CJ,28,FALSE)</f>
        <v>0</v>
      </c>
      <c r="AE135" s="28"/>
    </row>
    <row r="136" spans="2:31" ht="15" hidden="1" customHeight="1" outlineLevel="2">
      <c r="B136" s="148">
        <v>9</v>
      </c>
      <c r="C136" s="177" t="str">
        <f>Attribute!C136</f>
        <v>---</v>
      </c>
      <c r="D136" s="125" t="str">
        <f>VLOOKUP(C136,'Talente &amp; Stuff'!BI:CJ,2,FALSE)</f>
        <v>--/--/--</v>
      </c>
      <c r="E136" s="127" t="str">
        <f>VLOOKUP(C136,'Talente &amp; Stuff'!BI:CJ,3,FALSE)</f>
        <v>-</v>
      </c>
      <c r="F136" s="114">
        <f>VLOOKUP(C136,'Talente &amp; Stuff'!BI:CJ,4,FALSE)</f>
        <v>0</v>
      </c>
      <c r="G136" s="113">
        <f>VLOOKUP(C136,'Talente &amp; Stuff'!BI:CJ,5,FALSE)</f>
        <v>0</v>
      </c>
      <c r="H136" s="113">
        <f>VLOOKUP(C136,'Talente &amp; Stuff'!BI:CJ,6,FALSE)</f>
        <v>0</v>
      </c>
      <c r="I136" s="113">
        <f>VLOOKUP(C136,'Talente &amp; Stuff'!BI:CJ,7,FALSE)</f>
        <v>0</v>
      </c>
      <c r="J136" s="113">
        <f>VLOOKUP(C136,'Talente &amp; Stuff'!BI:CJ,8,FALSE)</f>
        <v>0</v>
      </c>
      <c r="K136" s="113">
        <f>VLOOKUP(C136,'Talente &amp; Stuff'!BI:CJ,9,FALSE)</f>
        <v>0</v>
      </c>
      <c r="L136" s="113">
        <f>VLOOKUP(C136,'Talente &amp; Stuff'!BI:CJ,10,FALSE)</f>
        <v>0</v>
      </c>
      <c r="M136" s="119">
        <f>VLOOKUP(C136,'Talente &amp; Stuff'!BI:CJ,11,FALSE)</f>
        <v>0</v>
      </c>
      <c r="N136" s="47">
        <f>VLOOKUP(C136,'Talente &amp; Stuff'!BI:CJ,12,FALSE)</f>
        <v>0</v>
      </c>
      <c r="O136" s="47">
        <f>VLOOKUP(C136,'Talente &amp; Stuff'!BI:CJ,13,FALSE)</f>
        <v>0</v>
      </c>
      <c r="P136" s="119">
        <f>VLOOKUP(C136,'Talente &amp; Stuff'!BI:CJ,14,FALSE)</f>
        <v>0</v>
      </c>
      <c r="Q136" s="114">
        <f>VLOOKUP(C136,'Talente &amp; Stuff'!BI:CJ,15,FALSE)</f>
        <v>0</v>
      </c>
      <c r="R136" s="113">
        <f>VLOOKUP(C136,'Talente &amp; Stuff'!BI:CJ,16,FALSE)</f>
        <v>0</v>
      </c>
      <c r="S136" s="119">
        <f>VLOOKUP(C136,'Talente &amp; Stuff'!BI:CJ,17,FALSE)</f>
        <v>0</v>
      </c>
      <c r="T136" s="119">
        <f>VLOOKUP(C136,'Talente &amp; Stuff'!BI:CJ,18,FALSE)</f>
        <v>0</v>
      </c>
      <c r="U136" s="89">
        <f>VLOOKUP(C136,'Talente &amp; Stuff'!BI:CJ,19,FALSE)</f>
        <v>0</v>
      </c>
      <c r="V136" s="47">
        <f>VLOOKUP(C136,'Talente &amp; Stuff'!BI:CJ,20,FALSE)</f>
        <v>0</v>
      </c>
      <c r="W136" s="127">
        <f>VLOOKUP(C136,'Talente &amp; Stuff'!BI:CJ,21,FALSE)</f>
        <v>0</v>
      </c>
      <c r="X136" s="127">
        <f>VLOOKUP(C136,'Talente &amp; Stuff'!BI:CJ,22,FALSE)</f>
        <v>0</v>
      </c>
      <c r="Y136" s="165">
        <f t="shared" si="14"/>
        <v>0</v>
      </c>
      <c r="Z136" s="44">
        <f t="shared" si="15"/>
        <v>0</v>
      </c>
      <c r="AA136" s="125">
        <f>VLOOKUP(C136,'Talente &amp; Stuff'!BI:CJ,25,FALSE)</f>
        <v>0</v>
      </c>
      <c r="AB136" s="160">
        <f>VLOOKUP(C136,'Talente &amp; Stuff'!BI:CJ,26,FALSE)</f>
        <v>0</v>
      </c>
      <c r="AC136" s="127">
        <f>VLOOKUP(C136,'Talente &amp; Stuff'!BI:CJ,27,FALSE)</f>
        <v>0</v>
      </c>
      <c r="AD136" s="125">
        <f>VLOOKUP(C136,'Talente &amp; Stuff'!BI:CJ,28,FALSE)</f>
        <v>0</v>
      </c>
      <c r="AE136" s="28"/>
    </row>
    <row r="137" spans="2:31" ht="15" hidden="1" customHeight="1" outlineLevel="2">
      <c r="B137" s="148">
        <v>10</v>
      </c>
      <c r="C137" s="177" t="str">
        <f>Attribute!C137</f>
        <v>---</v>
      </c>
      <c r="D137" s="125" t="str">
        <f>VLOOKUP(C137,'Talente &amp; Stuff'!BI:CJ,2,FALSE)</f>
        <v>--/--/--</v>
      </c>
      <c r="E137" s="127" t="str">
        <f>VLOOKUP(C137,'Talente &amp; Stuff'!BI:CJ,3,FALSE)</f>
        <v>-</v>
      </c>
      <c r="F137" s="114">
        <f>VLOOKUP(C137,'Talente &amp; Stuff'!BI:CJ,4,FALSE)</f>
        <v>0</v>
      </c>
      <c r="G137" s="113">
        <f>VLOOKUP(C137,'Talente &amp; Stuff'!BI:CJ,5,FALSE)</f>
        <v>0</v>
      </c>
      <c r="H137" s="113">
        <f>VLOOKUP(C137,'Talente &amp; Stuff'!BI:CJ,6,FALSE)</f>
        <v>0</v>
      </c>
      <c r="I137" s="113">
        <f>VLOOKUP(C137,'Talente &amp; Stuff'!BI:CJ,7,FALSE)</f>
        <v>0</v>
      </c>
      <c r="J137" s="113">
        <f>VLOOKUP(C137,'Talente &amp; Stuff'!BI:CJ,8,FALSE)</f>
        <v>0</v>
      </c>
      <c r="K137" s="113">
        <f>VLOOKUP(C137,'Talente &amp; Stuff'!BI:CJ,9,FALSE)</f>
        <v>0</v>
      </c>
      <c r="L137" s="113">
        <f>VLOOKUP(C137,'Talente &amp; Stuff'!BI:CJ,10,FALSE)</f>
        <v>0</v>
      </c>
      <c r="M137" s="119">
        <f>VLOOKUP(C137,'Talente &amp; Stuff'!BI:CJ,11,FALSE)</f>
        <v>0</v>
      </c>
      <c r="N137" s="47">
        <f>VLOOKUP(C137,'Talente &amp; Stuff'!BI:CJ,12,FALSE)</f>
        <v>0</v>
      </c>
      <c r="O137" s="47">
        <f>VLOOKUP(C137,'Talente &amp; Stuff'!BI:CJ,13,FALSE)</f>
        <v>0</v>
      </c>
      <c r="P137" s="119">
        <f>VLOOKUP(C137,'Talente &amp; Stuff'!BI:CJ,14,FALSE)</f>
        <v>0</v>
      </c>
      <c r="Q137" s="114">
        <f>VLOOKUP(C137,'Talente &amp; Stuff'!BI:CJ,15,FALSE)</f>
        <v>0</v>
      </c>
      <c r="R137" s="113">
        <f>VLOOKUP(C137,'Talente &amp; Stuff'!BI:CJ,16,FALSE)</f>
        <v>0</v>
      </c>
      <c r="S137" s="119">
        <f>VLOOKUP(C137,'Talente &amp; Stuff'!BI:CJ,17,FALSE)</f>
        <v>0</v>
      </c>
      <c r="T137" s="119">
        <f>VLOOKUP(C137,'Talente &amp; Stuff'!BI:CJ,18,FALSE)</f>
        <v>0</v>
      </c>
      <c r="U137" s="89">
        <f>VLOOKUP(C137,'Talente &amp; Stuff'!BI:CJ,19,FALSE)</f>
        <v>0</v>
      </c>
      <c r="V137" s="47">
        <f>VLOOKUP(C137,'Talente &amp; Stuff'!BI:CJ,20,FALSE)</f>
        <v>0</v>
      </c>
      <c r="W137" s="127">
        <f>VLOOKUP(C137,'Talente &amp; Stuff'!BI:CJ,21,FALSE)</f>
        <v>0</v>
      </c>
      <c r="X137" s="127">
        <f>VLOOKUP(C137,'Talente &amp; Stuff'!BI:CJ,22,FALSE)</f>
        <v>0</v>
      </c>
      <c r="Y137" s="165">
        <f t="shared" si="14"/>
        <v>0</v>
      </c>
      <c r="Z137" s="44">
        <f t="shared" si="15"/>
        <v>0</v>
      </c>
      <c r="AA137" s="125">
        <f>VLOOKUP(C137,'Talente &amp; Stuff'!BI:CJ,25,FALSE)</f>
        <v>0</v>
      </c>
      <c r="AB137" s="160">
        <f>VLOOKUP(C137,'Talente &amp; Stuff'!BI:CJ,26,FALSE)</f>
        <v>0</v>
      </c>
      <c r="AC137" s="127">
        <f>VLOOKUP(C137,'Talente &amp; Stuff'!BI:CJ,27,FALSE)</f>
        <v>0</v>
      </c>
      <c r="AD137" s="125">
        <f>VLOOKUP(C137,'Talente &amp; Stuff'!BI:CJ,28,FALSE)</f>
        <v>0</v>
      </c>
      <c r="AE137" s="28"/>
    </row>
    <row r="138" spans="2:31" ht="15" hidden="1" customHeight="1" outlineLevel="2">
      <c r="B138" s="148">
        <v>11</v>
      </c>
      <c r="C138" s="177" t="str">
        <f>Attribute!C138</f>
        <v>---</v>
      </c>
      <c r="D138" s="125" t="str">
        <f>VLOOKUP(C138,'Talente &amp; Stuff'!BI:CJ,2,FALSE)</f>
        <v>--/--/--</v>
      </c>
      <c r="E138" s="127" t="str">
        <f>VLOOKUP(C138,'Talente &amp; Stuff'!BI:CJ,3,FALSE)</f>
        <v>-</v>
      </c>
      <c r="F138" s="114">
        <f>VLOOKUP(C138,'Talente &amp; Stuff'!BI:CJ,4,FALSE)</f>
        <v>0</v>
      </c>
      <c r="G138" s="113">
        <f>VLOOKUP(C138,'Talente &amp; Stuff'!BI:CJ,5,FALSE)</f>
        <v>0</v>
      </c>
      <c r="H138" s="113">
        <f>VLOOKUP(C138,'Talente &amp; Stuff'!BI:CJ,6,FALSE)</f>
        <v>0</v>
      </c>
      <c r="I138" s="113">
        <f>VLOOKUP(C138,'Talente &amp; Stuff'!BI:CJ,7,FALSE)</f>
        <v>0</v>
      </c>
      <c r="J138" s="113">
        <f>VLOOKUP(C138,'Talente &amp; Stuff'!BI:CJ,8,FALSE)</f>
        <v>0</v>
      </c>
      <c r="K138" s="113">
        <f>VLOOKUP(C138,'Talente &amp; Stuff'!BI:CJ,9,FALSE)</f>
        <v>0</v>
      </c>
      <c r="L138" s="113">
        <f>VLOOKUP(C138,'Talente &amp; Stuff'!BI:CJ,10,FALSE)</f>
        <v>0</v>
      </c>
      <c r="M138" s="119">
        <f>VLOOKUP(C138,'Talente &amp; Stuff'!BI:CJ,11,FALSE)</f>
        <v>0</v>
      </c>
      <c r="N138" s="47">
        <f>VLOOKUP(C138,'Talente &amp; Stuff'!BI:CJ,12,FALSE)</f>
        <v>0</v>
      </c>
      <c r="O138" s="47">
        <f>VLOOKUP(C138,'Talente &amp; Stuff'!BI:CJ,13,FALSE)</f>
        <v>0</v>
      </c>
      <c r="P138" s="119">
        <f>VLOOKUP(C138,'Talente &amp; Stuff'!BI:CJ,14,FALSE)</f>
        <v>0</v>
      </c>
      <c r="Q138" s="114">
        <f>VLOOKUP(C138,'Talente &amp; Stuff'!BI:CJ,15,FALSE)</f>
        <v>0</v>
      </c>
      <c r="R138" s="113">
        <f>VLOOKUP(C138,'Talente &amp; Stuff'!BI:CJ,16,FALSE)</f>
        <v>0</v>
      </c>
      <c r="S138" s="119">
        <f>VLOOKUP(C138,'Talente &amp; Stuff'!BI:CJ,17,FALSE)</f>
        <v>0</v>
      </c>
      <c r="T138" s="119">
        <f>VLOOKUP(C138,'Talente &amp; Stuff'!BI:CJ,18,FALSE)</f>
        <v>0</v>
      </c>
      <c r="U138" s="89">
        <f>VLOOKUP(C138,'Talente &amp; Stuff'!BI:CJ,19,FALSE)</f>
        <v>0</v>
      </c>
      <c r="V138" s="47">
        <f>VLOOKUP(C138,'Talente &amp; Stuff'!BI:CJ,20,FALSE)</f>
        <v>0</v>
      </c>
      <c r="W138" s="127">
        <f>VLOOKUP(C138,'Talente &amp; Stuff'!BI:CJ,21,FALSE)</f>
        <v>0</v>
      </c>
      <c r="X138" s="127">
        <f>VLOOKUP(C138,'Talente &amp; Stuff'!BI:CJ,22,FALSE)</f>
        <v>0</v>
      </c>
      <c r="Y138" s="165">
        <f t="shared" si="14"/>
        <v>0</v>
      </c>
      <c r="Z138" s="44">
        <f t="shared" si="15"/>
        <v>0</v>
      </c>
      <c r="AA138" s="125">
        <f>VLOOKUP(C138,'Talente &amp; Stuff'!BI:CJ,25,FALSE)</f>
        <v>0</v>
      </c>
      <c r="AB138" s="160">
        <f>VLOOKUP(C138,'Talente &amp; Stuff'!BI:CJ,26,FALSE)</f>
        <v>0</v>
      </c>
      <c r="AC138" s="127">
        <f>VLOOKUP(C138,'Talente &amp; Stuff'!BI:CJ,27,FALSE)</f>
        <v>0</v>
      </c>
      <c r="AD138" s="125">
        <f>VLOOKUP(C138,'Talente &amp; Stuff'!BI:CJ,28,FALSE)</f>
        <v>0</v>
      </c>
      <c r="AE138" s="28"/>
    </row>
    <row r="139" spans="2:31" ht="15" hidden="1" customHeight="1" outlineLevel="2">
      <c r="B139" s="148">
        <v>12</v>
      </c>
      <c r="C139" s="177" t="str">
        <f>Attribute!C139</f>
        <v>---</v>
      </c>
      <c r="D139" s="125" t="str">
        <f>VLOOKUP(C139,'Talente &amp; Stuff'!BI:CJ,2,FALSE)</f>
        <v>--/--/--</v>
      </c>
      <c r="E139" s="127" t="str">
        <f>VLOOKUP(C139,'Talente &amp; Stuff'!BI:CJ,3,FALSE)</f>
        <v>-</v>
      </c>
      <c r="F139" s="114">
        <f>VLOOKUP(C139,'Talente &amp; Stuff'!BI:CJ,4,FALSE)</f>
        <v>0</v>
      </c>
      <c r="G139" s="113">
        <f>VLOOKUP(C139,'Talente &amp; Stuff'!BI:CJ,5,FALSE)</f>
        <v>0</v>
      </c>
      <c r="H139" s="113">
        <f>VLOOKUP(C139,'Talente &amp; Stuff'!BI:CJ,6,FALSE)</f>
        <v>0</v>
      </c>
      <c r="I139" s="113">
        <f>VLOOKUP(C139,'Talente &amp; Stuff'!BI:CJ,7,FALSE)</f>
        <v>0</v>
      </c>
      <c r="J139" s="113">
        <f>VLOOKUP(C139,'Talente &amp; Stuff'!BI:CJ,8,FALSE)</f>
        <v>0</v>
      </c>
      <c r="K139" s="113">
        <f>VLOOKUP(C139,'Talente &amp; Stuff'!BI:CJ,9,FALSE)</f>
        <v>0</v>
      </c>
      <c r="L139" s="113">
        <f>VLOOKUP(C139,'Talente &amp; Stuff'!BI:CJ,10,FALSE)</f>
        <v>0</v>
      </c>
      <c r="M139" s="119">
        <f>VLOOKUP(C139,'Talente &amp; Stuff'!BI:CJ,11,FALSE)</f>
        <v>0</v>
      </c>
      <c r="N139" s="47">
        <f>VLOOKUP(C139,'Talente &amp; Stuff'!BI:CJ,12,FALSE)</f>
        <v>0</v>
      </c>
      <c r="O139" s="47">
        <f>VLOOKUP(C139,'Talente &amp; Stuff'!BI:CJ,13,FALSE)</f>
        <v>0</v>
      </c>
      <c r="P139" s="119">
        <f>VLOOKUP(C139,'Talente &amp; Stuff'!BI:CJ,14,FALSE)</f>
        <v>0</v>
      </c>
      <c r="Q139" s="114">
        <f>VLOOKUP(C139,'Talente &amp; Stuff'!BI:CJ,15,FALSE)</f>
        <v>0</v>
      </c>
      <c r="R139" s="113">
        <f>VLOOKUP(C139,'Talente &amp; Stuff'!BI:CJ,16,FALSE)</f>
        <v>0</v>
      </c>
      <c r="S139" s="119">
        <f>VLOOKUP(C139,'Talente &amp; Stuff'!BI:CJ,17,FALSE)</f>
        <v>0</v>
      </c>
      <c r="T139" s="119">
        <f>VLOOKUP(C139,'Talente &amp; Stuff'!BI:CJ,18,FALSE)</f>
        <v>0</v>
      </c>
      <c r="U139" s="89">
        <f>VLOOKUP(C139,'Talente &amp; Stuff'!BI:CJ,19,FALSE)</f>
        <v>0</v>
      </c>
      <c r="V139" s="47">
        <f>VLOOKUP(C139,'Talente &amp; Stuff'!BI:CJ,20,FALSE)</f>
        <v>0</v>
      </c>
      <c r="W139" s="127">
        <f>VLOOKUP(C139,'Talente &amp; Stuff'!BI:CJ,21,FALSE)</f>
        <v>0</v>
      </c>
      <c r="X139" s="127">
        <f>VLOOKUP(C139,'Talente &amp; Stuff'!BI:CJ,22,FALSE)</f>
        <v>0</v>
      </c>
      <c r="Y139" s="165">
        <f t="shared" si="14"/>
        <v>0</v>
      </c>
      <c r="Z139" s="44">
        <f t="shared" si="15"/>
        <v>0</v>
      </c>
      <c r="AA139" s="125">
        <f>VLOOKUP(C139,'Talente &amp; Stuff'!BI:CJ,25,FALSE)</f>
        <v>0</v>
      </c>
      <c r="AB139" s="160">
        <f>VLOOKUP(C139,'Talente &amp; Stuff'!BI:CJ,26,FALSE)</f>
        <v>0</v>
      </c>
      <c r="AC139" s="127">
        <f>VLOOKUP(C139,'Talente &amp; Stuff'!BI:CJ,27,FALSE)</f>
        <v>0</v>
      </c>
      <c r="AD139" s="125">
        <f>VLOOKUP(C139,'Talente &amp; Stuff'!BI:CJ,28,FALSE)</f>
        <v>0</v>
      </c>
      <c r="AE139" s="28"/>
    </row>
    <row r="140" spans="2:31" ht="15" hidden="1" customHeight="1" outlineLevel="2">
      <c r="B140" s="148">
        <v>13</v>
      </c>
      <c r="C140" s="177" t="str">
        <f>Attribute!C140</f>
        <v>---</v>
      </c>
      <c r="D140" s="125" t="str">
        <f>VLOOKUP(C140,'Talente &amp; Stuff'!BI:CJ,2,FALSE)</f>
        <v>--/--/--</v>
      </c>
      <c r="E140" s="127" t="str">
        <f>VLOOKUP(C140,'Talente &amp; Stuff'!BI:CJ,3,FALSE)</f>
        <v>-</v>
      </c>
      <c r="F140" s="114">
        <f>VLOOKUP(C140,'Talente &amp; Stuff'!BI:CJ,4,FALSE)</f>
        <v>0</v>
      </c>
      <c r="G140" s="113">
        <f>VLOOKUP(C140,'Talente &amp; Stuff'!BI:CJ,5,FALSE)</f>
        <v>0</v>
      </c>
      <c r="H140" s="113">
        <f>VLOOKUP(C140,'Talente &amp; Stuff'!BI:CJ,6,FALSE)</f>
        <v>0</v>
      </c>
      <c r="I140" s="113">
        <f>VLOOKUP(C140,'Talente &amp; Stuff'!BI:CJ,7,FALSE)</f>
        <v>0</v>
      </c>
      <c r="J140" s="113">
        <f>VLOOKUP(C140,'Talente &amp; Stuff'!BI:CJ,8,FALSE)</f>
        <v>0</v>
      </c>
      <c r="K140" s="113">
        <f>VLOOKUP(C140,'Talente &amp; Stuff'!BI:CJ,9,FALSE)</f>
        <v>0</v>
      </c>
      <c r="L140" s="113">
        <f>VLOOKUP(C140,'Talente &amp; Stuff'!BI:CJ,10,FALSE)</f>
        <v>0</v>
      </c>
      <c r="M140" s="119">
        <f>VLOOKUP(C140,'Talente &amp; Stuff'!BI:CJ,11,FALSE)</f>
        <v>0</v>
      </c>
      <c r="N140" s="47">
        <f>VLOOKUP(C140,'Talente &amp; Stuff'!BI:CJ,12,FALSE)</f>
        <v>0</v>
      </c>
      <c r="O140" s="47">
        <f>VLOOKUP(C140,'Talente &amp; Stuff'!BI:CJ,13,FALSE)</f>
        <v>0</v>
      </c>
      <c r="P140" s="119">
        <f>VLOOKUP(C140,'Talente &amp; Stuff'!BI:CJ,14,FALSE)</f>
        <v>0</v>
      </c>
      <c r="Q140" s="114">
        <f>VLOOKUP(C140,'Talente &amp; Stuff'!BI:CJ,15,FALSE)</f>
        <v>0</v>
      </c>
      <c r="R140" s="113">
        <f>VLOOKUP(C140,'Talente &amp; Stuff'!BI:CJ,16,FALSE)</f>
        <v>0</v>
      </c>
      <c r="S140" s="119">
        <f>VLOOKUP(C140,'Talente &amp; Stuff'!BI:CJ,17,FALSE)</f>
        <v>0</v>
      </c>
      <c r="T140" s="119">
        <f>VLOOKUP(C140,'Talente &amp; Stuff'!BI:CJ,18,FALSE)</f>
        <v>0</v>
      </c>
      <c r="U140" s="89">
        <f>VLOOKUP(C140,'Talente &amp; Stuff'!BI:CJ,19,FALSE)</f>
        <v>0</v>
      </c>
      <c r="V140" s="47">
        <f>VLOOKUP(C140,'Talente &amp; Stuff'!BI:CJ,20,FALSE)</f>
        <v>0</v>
      </c>
      <c r="W140" s="127">
        <f>VLOOKUP(C140,'Talente &amp; Stuff'!BI:CJ,21,FALSE)</f>
        <v>0</v>
      </c>
      <c r="X140" s="127">
        <f>VLOOKUP(C140,'Talente &amp; Stuff'!BI:CJ,22,FALSE)</f>
        <v>0</v>
      </c>
      <c r="Y140" s="165">
        <f t="shared" si="14"/>
        <v>0</v>
      </c>
      <c r="Z140" s="44">
        <f t="shared" si="15"/>
        <v>0</v>
      </c>
      <c r="AA140" s="125">
        <f>VLOOKUP(C140,'Talente &amp; Stuff'!BI:CJ,25,FALSE)</f>
        <v>0</v>
      </c>
      <c r="AB140" s="160">
        <f>VLOOKUP(C140,'Talente &amp; Stuff'!BI:CJ,26,FALSE)</f>
        <v>0</v>
      </c>
      <c r="AC140" s="127">
        <f>VLOOKUP(C140,'Talente &amp; Stuff'!BI:CJ,27,FALSE)</f>
        <v>0</v>
      </c>
      <c r="AD140" s="125">
        <f>VLOOKUP(C140,'Talente &amp; Stuff'!BI:CJ,28,FALSE)</f>
        <v>0</v>
      </c>
      <c r="AE140" s="28"/>
    </row>
    <row r="141" spans="2:31" ht="15" hidden="1" customHeight="1" outlineLevel="2">
      <c r="B141" s="148">
        <v>14</v>
      </c>
      <c r="C141" s="177" t="str">
        <f>Attribute!C141</f>
        <v>---</v>
      </c>
      <c r="D141" s="125" t="str">
        <f>VLOOKUP(C141,'Talente &amp; Stuff'!BI:CJ,2,FALSE)</f>
        <v>--/--/--</v>
      </c>
      <c r="E141" s="127" t="str">
        <f>VLOOKUP(C141,'Talente &amp; Stuff'!BI:CJ,3,FALSE)</f>
        <v>-</v>
      </c>
      <c r="F141" s="114">
        <f>VLOOKUP(C141,'Talente &amp; Stuff'!BI:CJ,4,FALSE)</f>
        <v>0</v>
      </c>
      <c r="G141" s="113">
        <f>VLOOKUP(C141,'Talente &amp; Stuff'!BI:CJ,5,FALSE)</f>
        <v>0</v>
      </c>
      <c r="H141" s="113">
        <f>VLOOKUP(C141,'Talente &amp; Stuff'!BI:CJ,6,FALSE)</f>
        <v>0</v>
      </c>
      <c r="I141" s="113">
        <f>VLOOKUP(C141,'Talente &amp; Stuff'!BI:CJ,7,FALSE)</f>
        <v>0</v>
      </c>
      <c r="J141" s="113">
        <f>VLOOKUP(C141,'Talente &amp; Stuff'!BI:CJ,8,FALSE)</f>
        <v>0</v>
      </c>
      <c r="K141" s="113">
        <f>VLOOKUP(C141,'Talente &amp; Stuff'!BI:CJ,9,FALSE)</f>
        <v>0</v>
      </c>
      <c r="L141" s="113">
        <f>VLOOKUP(C141,'Talente &amp; Stuff'!BI:CJ,10,FALSE)</f>
        <v>0</v>
      </c>
      <c r="M141" s="119">
        <f>VLOOKUP(C141,'Talente &amp; Stuff'!BI:CJ,11,FALSE)</f>
        <v>0</v>
      </c>
      <c r="N141" s="47">
        <f>VLOOKUP(C141,'Talente &amp; Stuff'!BI:CJ,12,FALSE)</f>
        <v>0</v>
      </c>
      <c r="O141" s="47">
        <f>VLOOKUP(C141,'Talente &amp; Stuff'!BI:CJ,13,FALSE)</f>
        <v>0</v>
      </c>
      <c r="P141" s="119">
        <f>VLOOKUP(C141,'Talente &amp; Stuff'!BI:CJ,14,FALSE)</f>
        <v>0</v>
      </c>
      <c r="Q141" s="114">
        <f>VLOOKUP(C141,'Talente &amp; Stuff'!BI:CJ,15,FALSE)</f>
        <v>0</v>
      </c>
      <c r="R141" s="113">
        <f>VLOOKUP(C141,'Talente &amp; Stuff'!BI:CJ,16,FALSE)</f>
        <v>0</v>
      </c>
      <c r="S141" s="119">
        <f>VLOOKUP(C141,'Talente &amp; Stuff'!BI:CJ,17,FALSE)</f>
        <v>0</v>
      </c>
      <c r="T141" s="119">
        <f>VLOOKUP(C141,'Talente &amp; Stuff'!BI:CJ,18,FALSE)</f>
        <v>0</v>
      </c>
      <c r="U141" s="89">
        <f>VLOOKUP(C141,'Talente &amp; Stuff'!BI:CJ,19,FALSE)</f>
        <v>0</v>
      </c>
      <c r="V141" s="47">
        <f>VLOOKUP(C141,'Talente &amp; Stuff'!BI:CJ,20,FALSE)</f>
        <v>0</v>
      </c>
      <c r="W141" s="127">
        <f>VLOOKUP(C141,'Talente &amp; Stuff'!BI:CJ,21,FALSE)</f>
        <v>0</v>
      </c>
      <c r="X141" s="127">
        <f>VLOOKUP(C141,'Talente &amp; Stuff'!BI:CJ,22,FALSE)</f>
        <v>0</v>
      </c>
      <c r="Y141" s="165">
        <f t="shared" si="14"/>
        <v>0</v>
      </c>
      <c r="Z141" s="44">
        <f t="shared" si="15"/>
        <v>0</v>
      </c>
      <c r="AA141" s="125">
        <f>VLOOKUP(C141,'Talente &amp; Stuff'!BI:CJ,25,FALSE)</f>
        <v>0</v>
      </c>
      <c r="AB141" s="160">
        <f>VLOOKUP(C141,'Talente &amp; Stuff'!BI:CJ,26,FALSE)</f>
        <v>0</v>
      </c>
      <c r="AC141" s="127">
        <f>VLOOKUP(C141,'Talente &amp; Stuff'!BI:CJ,27,FALSE)</f>
        <v>0</v>
      </c>
      <c r="AD141" s="125">
        <f>VLOOKUP(C141,'Talente &amp; Stuff'!BI:CJ,28,FALSE)</f>
        <v>0</v>
      </c>
      <c r="AE141" s="28"/>
    </row>
    <row r="142" spans="2:31" ht="15" hidden="1" customHeight="1" outlineLevel="2">
      <c r="B142" s="148">
        <v>15</v>
      </c>
      <c r="C142" s="177" t="str">
        <f>Attribute!C142</f>
        <v>---</v>
      </c>
      <c r="D142" s="125" t="str">
        <f>VLOOKUP(C142,'Talente &amp; Stuff'!BI:CJ,2,FALSE)</f>
        <v>--/--/--</v>
      </c>
      <c r="E142" s="127" t="str">
        <f>VLOOKUP(C142,'Talente &amp; Stuff'!BI:CJ,3,FALSE)</f>
        <v>-</v>
      </c>
      <c r="F142" s="114">
        <f>VLOOKUP(C142,'Talente &amp; Stuff'!BI:CJ,4,FALSE)</f>
        <v>0</v>
      </c>
      <c r="G142" s="113">
        <f>VLOOKUP(C142,'Talente &amp; Stuff'!BI:CJ,5,FALSE)</f>
        <v>0</v>
      </c>
      <c r="H142" s="113">
        <f>VLOOKUP(C142,'Talente &amp; Stuff'!BI:CJ,6,FALSE)</f>
        <v>0</v>
      </c>
      <c r="I142" s="113">
        <f>VLOOKUP(C142,'Talente &amp; Stuff'!BI:CJ,7,FALSE)</f>
        <v>0</v>
      </c>
      <c r="J142" s="113">
        <f>VLOOKUP(C142,'Talente &amp; Stuff'!BI:CJ,8,FALSE)</f>
        <v>0</v>
      </c>
      <c r="K142" s="113">
        <f>VLOOKUP(C142,'Talente &amp; Stuff'!BI:CJ,9,FALSE)</f>
        <v>0</v>
      </c>
      <c r="L142" s="113">
        <f>VLOOKUP(C142,'Talente &amp; Stuff'!BI:CJ,10,FALSE)</f>
        <v>0</v>
      </c>
      <c r="M142" s="119">
        <f>VLOOKUP(C142,'Talente &amp; Stuff'!BI:CJ,11,FALSE)</f>
        <v>0</v>
      </c>
      <c r="N142" s="47">
        <f>VLOOKUP(C142,'Talente &amp; Stuff'!BI:CJ,12,FALSE)</f>
        <v>0</v>
      </c>
      <c r="O142" s="47">
        <f>VLOOKUP(C142,'Talente &amp; Stuff'!BI:CJ,13,FALSE)</f>
        <v>0</v>
      </c>
      <c r="P142" s="119">
        <f>VLOOKUP(C142,'Talente &amp; Stuff'!BI:CJ,14,FALSE)</f>
        <v>0</v>
      </c>
      <c r="Q142" s="114">
        <f>VLOOKUP(C142,'Talente &amp; Stuff'!BI:CJ,15,FALSE)</f>
        <v>0</v>
      </c>
      <c r="R142" s="113">
        <f>VLOOKUP(C142,'Talente &amp; Stuff'!BI:CJ,16,FALSE)</f>
        <v>0</v>
      </c>
      <c r="S142" s="119">
        <f>VLOOKUP(C142,'Talente &amp; Stuff'!BI:CJ,17,FALSE)</f>
        <v>0</v>
      </c>
      <c r="T142" s="119">
        <f>VLOOKUP(C142,'Talente &amp; Stuff'!BI:CJ,18,FALSE)</f>
        <v>0</v>
      </c>
      <c r="U142" s="89">
        <f>VLOOKUP(C142,'Talente &amp; Stuff'!BI:CJ,19,FALSE)</f>
        <v>0</v>
      </c>
      <c r="V142" s="47">
        <f>VLOOKUP(C142,'Talente &amp; Stuff'!BI:CJ,20,FALSE)</f>
        <v>0</v>
      </c>
      <c r="W142" s="127">
        <f>VLOOKUP(C142,'Talente &amp; Stuff'!BI:CJ,21,FALSE)</f>
        <v>0</v>
      </c>
      <c r="X142" s="127">
        <f>VLOOKUP(C142,'Talente &amp; Stuff'!BI:CJ,22,FALSE)</f>
        <v>0</v>
      </c>
      <c r="Y142" s="165">
        <f t="shared" si="14"/>
        <v>0</v>
      </c>
      <c r="Z142" s="44">
        <f t="shared" si="15"/>
        <v>0</v>
      </c>
      <c r="AA142" s="125">
        <f>VLOOKUP(C142,'Talente &amp; Stuff'!BI:CJ,25,FALSE)</f>
        <v>0</v>
      </c>
      <c r="AB142" s="160">
        <f>VLOOKUP(C142,'Talente &amp; Stuff'!BI:CJ,26,FALSE)</f>
        <v>0</v>
      </c>
      <c r="AC142" s="127">
        <f>VLOOKUP(C142,'Talente &amp; Stuff'!BI:CJ,27,FALSE)</f>
        <v>0</v>
      </c>
      <c r="AD142" s="125">
        <f>VLOOKUP(C142,'Talente &amp; Stuff'!BI:CJ,28,FALSE)</f>
        <v>0</v>
      </c>
      <c r="AE142" s="28"/>
    </row>
    <row r="143" spans="2:31" ht="15" hidden="1" customHeight="1" outlineLevel="2">
      <c r="B143" s="148">
        <v>16</v>
      </c>
      <c r="C143" s="177" t="str">
        <f>Attribute!C143</f>
        <v>---</v>
      </c>
      <c r="D143" s="86" t="str">
        <f>VLOOKUP(C143,'Talente &amp; Stuff'!BI:CJ,2,FALSE)</f>
        <v>--/--/--</v>
      </c>
      <c r="E143" s="167" t="str">
        <f>VLOOKUP(C143,'Talente &amp; Stuff'!BI:CJ,3,FALSE)</f>
        <v>-</v>
      </c>
      <c r="F143" s="120">
        <f>VLOOKUP(C143,'Talente &amp; Stuff'!BI:CJ,4,FALSE)</f>
        <v>0</v>
      </c>
      <c r="G143" s="117">
        <f>VLOOKUP(C143,'Talente &amp; Stuff'!BI:CJ,5,FALSE)</f>
        <v>0</v>
      </c>
      <c r="H143" s="117">
        <f>VLOOKUP(C143,'Talente &amp; Stuff'!BI:CJ,6,FALSE)</f>
        <v>0</v>
      </c>
      <c r="I143" s="117">
        <f>VLOOKUP(C143,'Talente &amp; Stuff'!BI:CJ,7,FALSE)</f>
        <v>0</v>
      </c>
      <c r="J143" s="117">
        <f>VLOOKUP(C143,'Talente &amp; Stuff'!BI:CJ,8,FALSE)</f>
        <v>0</v>
      </c>
      <c r="K143" s="117">
        <f>VLOOKUP(C143,'Talente &amp; Stuff'!BI:CJ,9,FALSE)</f>
        <v>0</v>
      </c>
      <c r="L143" s="117">
        <f>VLOOKUP(C143,'Talente &amp; Stuff'!BI:CJ,10,FALSE)</f>
        <v>0</v>
      </c>
      <c r="M143" s="121">
        <f>VLOOKUP(C143,'Talente &amp; Stuff'!BI:CJ,11,FALSE)</f>
        <v>0</v>
      </c>
      <c r="N143" s="47">
        <f>VLOOKUP(C143,'Talente &amp; Stuff'!BI:CJ,12,FALSE)</f>
        <v>0</v>
      </c>
      <c r="O143" s="3">
        <f>VLOOKUP(C143,'Talente &amp; Stuff'!BI:CJ,13,FALSE)</f>
        <v>0</v>
      </c>
      <c r="P143" s="174">
        <f>VLOOKUP(C143,'Talente &amp; Stuff'!BI:CJ,14,FALSE)</f>
        <v>0</v>
      </c>
      <c r="Q143" s="114">
        <f>VLOOKUP(C143,'Talente &amp; Stuff'!BI:CJ,15,FALSE)</f>
        <v>0</v>
      </c>
      <c r="R143" s="117">
        <f>VLOOKUP(C143,'Talente &amp; Stuff'!BI:CJ,16,FALSE)</f>
        <v>0</v>
      </c>
      <c r="S143" s="119">
        <f>VLOOKUP(C143,'Talente &amp; Stuff'!BI:CJ,17,FALSE)</f>
        <v>0</v>
      </c>
      <c r="T143" s="119">
        <f>VLOOKUP(C143,'Talente &amp; Stuff'!BI:CJ,18,FALSE)</f>
        <v>0</v>
      </c>
      <c r="U143" s="89">
        <f>VLOOKUP(C143,'Talente &amp; Stuff'!BI:CJ,19,FALSE)</f>
        <v>0</v>
      </c>
      <c r="V143" s="47">
        <f>VLOOKUP(C143,'Talente &amp; Stuff'!BI:CJ,20,FALSE)</f>
        <v>0</v>
      </c>
      <c r="W143" s="127">
        <f>VLOOKUP(C143,'Talente &amp; Stuff'!BI:CJ,21,FALSE)</f>
        <v>0</v>
      </c>
      <c r="X143" s="127">
        <f>VLOOKUP(C143,'Talente &amp; Stuff'!BI:CJ,22,FALSE)</f>
        <v>0</v>
      </c>
      <c r="Y143" s="165">
        <f t="shared" si="14"/>
        <v>0</v>
      </c>
      <c r="Z143" s="44">
        <f t="shared" si="15"/>
        <v>0</v>
      </c>
      <c r="AA143" s="125">
        <f>VLOOKUP(C143,'Talente &amp; Stuff'!BI:CJ,25,FALSE)</f>
        <v>0</v>
      </c>
      <c r="AB143" s="160">
        <f>VLOOKUP(C143,'Talente &amp; Stuff'!BI:CJ,26,FALSE)</f>
        <v>0</v>
      </c>
      <c r="AC143" s="127">
        <f>VLOOKUP(C143,'Talente &amp; Stuff'!BI:CJ,27,FALSE)</f>
        <v>0</v>
      </c>
      <c r="AD143" s="125">
        <f>VLOOKUP(C143,'Talente &amp; Stuff'!BI:CJ,28,FALSE)</f>
        <v>0</v>
      </c>
      <c r="AE143" s="28"/>
    </row>
    <row r="144" spans="2:31" ht="15" hidden="1" customHeight="1" outlineLevel="2">
      <c r="B144" s="148">
        <v>17</v>
      </c>
      <c r="C144" s="177" t="str">
        <f>Attribute!C144</f>
        <v>---</v>
      </c>
      <c r="D144" s="125" t="str">
        <f>VLOOKUP(C144,'Talente &amp; Stuff'!BI:CJ,2,FALSE)</f>
        <v>--/--/--</v>
      </c>
      <c r="E144" s="127" t="str">
        <f>VLOOKUP(C144,'Talente &amp; Stuff'!BI:CJ,3,FALSE)</f>
        <v>-</v>
      </c>
      <c r="F144" s="114">
        <f>VLOOKUP(C144,'Talente &amp; Stuff'!BI:CJ,4,FALSE)</f>
        <v>0</v>
      </c>
      <c r="G144" s="113">
        <f>VLOOKUP(C144,'Talente &amp; Stuff'!BI:CJ,5,FALSE)</f>
        <v>0</v>
      </c>
      <c r="H144" s="113">
        <f>VLOOKUP(C144,'Talente &amp; Stuff'!BI:CJ,6,FALSE)</f>
        <v>0</v>
      </c>
      <c r="I144" s="113">
        <f>VLOOKUP(C144,'Talente &amp; Stuff'!BI:CJ,7,FALSE)</f>
        <v>0</v>
      </c>
      <c r="J144" s="113">
        <f>VLOOKUP(C144,'Talente &amp; Stuff'!BI:CJ,8,FALSE)</f>
        <v>0</v>
      </c>
      <c r="K144" s="113">
        <f>VLOOKUP(C144,'Talente &amp; Stuff'!BI:CJ,9,FALSE)</f>
        <v>0</v>
      </c>
      <c r="L144" s="113">
        <f>VLOOKUP(C144,'Talente &amp; Stuff'!BI:CJ,10,FALSE)</f>
        <v>0</v>
      </c>
      <c r="M144" s="119">
        <f>VLOOKUP(C144,'Talente &amp; Stuff'!BI:CJ,11,FALSE)</f>
        <v>0</v>
      </c>
      <c r="N144" s="47">
        <f>VLOOKUP(C144,'Talente &amp; Stuff'!BI:CJ,12,FALSE)</f>
        <v>0</v>
      </c>
      <c r="O144" s="47">
        <f>VLOOKUP(C144,'Talente &amp; Stuff'!BI:CJ,13,FALSE)</f>
        <v>0</v>
      </c>
      <c r="P144" s="119">
        <f>VLOOKUP(C144,'Talente &amp; Stuff'!BI:CJ,14,FALSE)</f>
        <v>0</v>
      </c>
      <c r="Q144" s="114">
        <f>VLOOKUP(C144,'Talente &amp; Stuff'!BI:CJ,15,FALSE)</f>
        <v>0</v>
      </c>
      <c r="R144" s="113">
        <f>VLOOKUP(C144,'Talente &amp; Stuff'!BI:CJ,16,FALSE)</f>
        <v>0</v>
      </c>
      <c r="S144" s="119">
        <f>VLOOKUP(C144,'Talente &amp; Stuff'!BI:CJ,17,FALSE)</f>
        <v>0</v>
      </c>
      <c r="T144" s="119">
        <f>VLOOKUP(C144,'Talente &amp; Stuff'!BI:CJ,18,FALSE)</f>
        <v>0</v>
      </c>
      <c r="U144" s="89">
        <f>VLOOKUP(C144,'Talente &amp; Stuff'!BI:CJ,19,FALSE)</f>
        <v>0</v>
      </c>
      <c r="V144" s="47">
        <f>VLOOKUP(C144,'Talente &amp; Stuff'!BI:CJ,20,FALSE)</f>
        <v>0</v>
      </c>
      <c r="W144" s="127">
        <f>VLOOKUP(C144,'Talente &amp; Stuff'!BI:CJ,21,FALSE)</f>
        <v>0</v>
      </c>
      <c r="X144" s="127">
        <f>VLOOKUP(C144,'Talente &amp; Stuff'!BI:CJ,22,FALSE)</f>
        <v>0</v>
      </c>
      <c r="Y144" s="165">
        <f t="shared" si="14"/>
        <v>0</v>
      </c>
      <c r="Z144" s="44">
        <f t="shared" si="15"/>
        <v>0</v>
      </c>
      <c r="AA144" s="125">
        <f>VLOOKUP(C144,'Talente &amp; Stuff'!BI:CJ,25,FALSE)</f>
        <v>0</v>
      </c>
      <c r="AB144" s="160">
        <f>VLOOKUP(C144,'Talente &amp; Stuff'!BI:CJ,26,FALSE)</f>
        <v>0</v>
      </c>
      <c r="AC144" s="127">
        <f>VLOOKUP(C144,'Talente &amp; Stuff'!BI:CJ,27,FALSE)</f>
        <v>0</v>
      </c>
      <c r="AD144" s="125">
        <f>VLOOKUP(C144,'Talente &amp; Stuff'!BI:CJ,28,FALSE)</f>
        <v>0</v>
      </c>
      <c r="AE144" s="28"/>
    </row>
    <row r="145" spans="2:31" ht="15" hidden="1" customHeight="1" outlineLevel="2">
      <c r="B145" s="148">
        <v>18</v>
      </c>
      <c r="C145" s="177" t="str">
        <f>Attribute!C145</f>
        <v>---</v>
      </c>
      <c r="D145" s="125" t="str">
        <f>VLOOKUP(C145,'Talente &amp; Stuff'!BI:CJ,2,FALSE)</f>
        <v>--/--/--</v>
      </c>
      <c r="E145" s="127" t="str">
        <f>VLOOKUP(C145,'Talente &amp; Stuff'!BI:CJ,3,FALSE)</f>
        <v>-</v>
      </c>
      <c r="F145" s="114">
        <f>VLOOKUP(C145,'Talente &amp; Stuff'!BI:CJ,4,FALSE)</f>
        <v>0</v>
      </c>
      <c r="G145" s="113">
        <f>VLOOKUP(C145,'Talente &amp; Stuff'!BI:CJ,5,FALSE)</f>
        <v>0</v>
      </c>
      <c r="H145" s="113">
        <f>VLOOKUP(C145,'Talente &amp; Stuff'!BI:CJ,6,FALSE)</f>
        <v>0</v>
      </c>
      <c r="I145" s="113">
        <f>VLOOKUP(C145,'Talente &amp; Stuff'!BI:CJ,7,FALSE)</f>
        <v>0</v>
      </c>
      <c r="J145" s="113">
        <f>VLOOKUP(C145,'Talente &amp; Stuff'!BI:CJ,8,FALSE)</f>
        <v>0</v>
      </c>
      <c r="K145" s="113">
        <f>VLOOKUP(C145,'Talente &amp; Stuff'!BI:CJ,9,FALSE)</f>
        <v>0</v>
      </c>
      <c r="L145" s="113">
        <f>VLOOKUP(C145,'Talente &amp; Stuff'!BI:CJ,10,FALSE)</f>
        <v>0</v>
      </c>
      <c r="M145" s="119">
        <f>VLOOKUP(C145,'Talente &amp; Stuff'!BI:CJ,11,FALSE)</f>
        <v>0</v>
      </c>
      <c r="N145" s="47">
        <f>VLOOKUP(C145,'Talente &amp; Stuff'!BI:CJ,12,FALSE)</f>
        <v>0</v>
      </c>
      <c r="O145" s="47">
        <f>VLOOKUP(C145,'Talente &amp; Stuff'!BI:CJ,13,FALSE)</f>
        <v>0</v>
      </c>
      <c r="P145" s="119">
        <f>VLOOKUP(C145,'Talente &amp; Stuff'!BI:CJ,14,FALSE)</f>
        <v>0</v>
      </c>
      <c r="Q145" s="114">
        <f>VLOOKUP(C145,'Talente &amp; Stuff'!BI:CJ,15,FALSE)</f>
        <v>0</v>
      </c>
      <c r="R145" s="113">
        <f>VLOOKUP(C145,'Talente &amp; Stuff'!BI:CJ,16,FALSE)</f>
        <v>0</v>
      </c>
      <c r="S145" s="119">
        <f>VLOOKUP(C145,'Talente &amp; Stuff'!BI:CJ,17,FALSE)</f>
        <v>0</v>
      </c>
      <c r="T145" s="119">
        <f>VLOOKUP(C145,'Talente &amp; Stuff'!BI:CJ,18,FALSE)</f>
        <v>0</v>
      </c>
      <c r="U145" s="89">
        <f>VLOOKUP(C145,'Talente &amp; Stuff'!BI:CJ,19,FALSE)</f>
        <v>0</v>
      </c>
      <c r="V145" s="47">
        <f>VLOOKUP(C145,'Talente &amp; Stuff'!BI:CJ,20,FALSE)</f>
        <v>0</v>
      </c>
      <c r="W145" s="127">
        <f>VLOOKUP(C145,'Talente &amp; Stuff'!BI:CJ,21,FALSE)</f>
        <v>0</v>
      </c>
      <c r="X145" s="127">
        <f>VLOOKUP(C145,'Talente &amp; Stuff'!BI:CJ,22,FALSE)</f>
        <v>0</v>
      </c>
      <c r="Y145" s="165">
        <f t="shared" si="14"/>
        <v>0</v>
      </c>
      <c r="Z145" s="44">
        <f t="shared" si="15"/>
        <v>0</v>
      </c>
      <c r="AA145" s="125">
        <f>VLOOKUP(C145,'Talente &amp; Stuff'!BI:CJ,25,FALSE)</f>
        <v>0</v>
      </c>
      <c r="AB145" s="160">
        <f>VLOOKUP(C145,'Talente &amp; Stuff'!BI:CJ,26,FALSE)</f>
        <v>0</v>
      </c>
      <c r="AC145" s="127">
        <f>VLOOKUP(C145,'Talente &amp; Stuff'!BI:CJ,27,FALSE)</f>
        <v>0</v>
      </c>
      <c r="AD145" s="125">
        <f>VLOOKUP(C145,'Talente &amp; Stuff'!BI:CJ,28,FALSE)</f>
        <v>0</v>
      </c>
      <c r="AE145" s="28"/>
    </row>
    <row r="146" spans="2:31" ht="15" hidden="1" customHeight="1" outlineLevel="2">
      <c r="B146" s="148">
        <v>19</v>
      </c>
      <c r="C146" s="177" t="str">
        <f>Attribute!C146</f>
        <v>---</v>
      </c>
      <c r="D146" s="125" t="str">
        <f>VLOOKUP(C146,'Talente &amp; Stuff'!BI:CJ,2,FALSE)</f>
        <v>--/--/--</v>
      </c>
      <c r="E146" s="127" t="str">
        <f>VLOOKUP(C146,'Talente &amp; Stuff'!BI:CJ,3,FALSE)</f>
        <v>-</v>
      </c>
      <c r="F146" s="114">
        <f>VLOOKUP(C146,'Talente &amp; Stuff'!BI:CJ,4,FALSE)</f>
        <v>0</v>
      </c>
      <c r="G146" s="113">
        <f>VLOOKUP(C146,'Talente &amp; Stuff'!BI:CJ,5,FALSE)</f>
        <v>0</v>
      </c>
      <c r="H146" s="113">
        <f>VLOOKUP(C146,'Talente &amp; Stuff'!BI:CJ,6,FALSE)</f>
        <v>0</v>
      </c>
      <c r="I146" s="113">
        <f>VLOOKUP(C146,'Talente &amp; Stuff'!BI:CJ,7,FALSE)</f>
        <v>0</v>
      </c>
      <c r="J146" s="113">
        <f>VLOOKUP(C146,'Talente &amp; Stuff'!BI:CJ,8,FALSE)</f>
        <v>0</v>
      </c>
      <c r="K146" s="113">
        <f>VLOOKUP(C146,'Talente &amp; Stuff'!BI:CJ,9,FALSE)</f>
        <v>0</v>
      </c>
      <c r="L146" s="113">
        <f>VLOOKUP(C146,'Talente &amp; Stuff'!BI:CJ,10,FALSE)</f>
        <v>0</v>
      </c>
      <c r="M146" s="119">
        <f>VLOOKUP(C146,'Talente &amp; Stuff'!BI:CJ,11,FALSE)</f>
        <v>0</v>
      </c>
      <c r="N146" s="47">
        <f>VLOOKUP(C146,'Talente &amp; Stuff'!BI:CJ,12,FALSE)</f>
        <v>0</v>
      </c>
      <c r="O146" s="47">
        <f>VLOOKUP(C146,'Talente &amp; Stuff'!BI:CJ,13,FALSE)</f>
        <v>0</v>
      </c>
      <c r="P146" s="119">
        <f>VLOOKUP(C146,'Talente &amp; Stuff'!BI:CJ,14,FALSE)</f>
        <v>0</v>
      </c>
      <c r="Q146" s="114">
        <f>VLOOKUP(C146,'Talente &amp; Stuff'!BI:CJ,15,FALSE)</f>
        <v>0</v>
      </c>
      <c r="R146" s="113">
        <f>VLOOKUP(C146,'Talente &amp; Stuff'!BI:CJ,16,FALSE)</f>
        <v>0</v>
      </c>
      <c r="S146" s="119">
        <f>VLOOKUP(C146,'Talente &amp; Stuff'!BI:CJ,17,FALSE)</f>
        <v>0</v>
      </c>
      <c r="T146" s="119">
        <f>VLOOKUP(C146,'Talente &amp; Stuff'!BI:CJ,18,FALSE)</f>
        <v>0</v>
      </c>
      <c r="U146" s="89">
        <f>VLOOKUP(C146,'Talente &amp; Stuff'!BI:CJ,19,FALSE)</f>
        <v>0</v>
      </c>
      <c r="V146" s="47">
        <f>VLOOKUP(C146,'Talente &amp; Stuff'!BI:CJ,20,FALSE)</f>
        <v>0</v>
      </c>
      <c r="W146" s="127">
        <f>VLOOKUP(C146,'Talente &amp; Stuff'!BI:CJ,21,FALSE)</f>
        <v>0</v>
      </c>
      <c r="X146" s="127">
        <f>VLOOKUP(C146,'Talente &amp; Stuff'!BI:CJ,22,FALSE)</f>
        <v>0</v>
      </c>
      <c r="Y146" s="165">
        <f t="shared" si="14"/>
        <v>0</v>
      </c>
      <c r="Z146" s="44">
        <f t="shared" si="15"/>
        <v>0</v>
      </c>
      <c r="AA146" s="125">
        <f>VLOOKUP(C146,'Talente &amp; Stuff'!BI:CJ,25,FALSE)</f>
        <v>0</v>
      </c>
      <c r="AB146" s="160">
        <f>VLOOKUP(C146,'Talente &amp; Stuff'!BI:CJ,26,FALSE)</f>
        <v>0</v>
      </c>
      <c r="AC146" s="127">
        <f>VLOOKUP(C146,'Talente &amp; Stuff'!BI:CJ,27,FALSE)</f>
        <v>0</v>
      </c>
      <c r="AD146" s="125">
        <f>VLOOKUP(C146,'Talente &amp; Stuff'!BI:CJ,28,FALSE)</f>
        <v>0</v>
      </c>
      <c r="AE146" s="28"/>
    </row>
    <row r="147" spans="2:31" ht="15" hidden="1" customHeight="1" outlineLevel="2">
      <c r="B147" s="148">
        <v>20</v>
      </c>
      <c r="C147" s="177" t="str">
        <f>Attribute!C147</f>
        <v>---</v>
      </c>
      <c r="D147" s="125" t="str">
        <f>VLOOKUP(C147,'Talente &amp; Stuff'!BI:CJ,2,FALSE)</f>
        <v>--/--/--</v>
      </c>
      <c r="E147" s="127" t="str">
        <f>VLOOKUP(C147,'Talente &amp; Stuff'!BI:CJ,3,FALSE)</f>
        <v>-</v>
      </c>
      <c r="F147" s="114">
        <f>VLOOKUP(C147,'Talente &amp; Stuff'!BI:CJ,4,FALSE)</f>
        <v>0</v>
      </c>
      <c r="G147" s="113">
        <f>VLOOKUP(C147,'Talente &amp; Stuff'!BI:CJ,5,FALSE)</f>
        <v>0</v>
      </c>
      <c r="H147" s="113">
        <f>VLOOKUP(C147,'Talente &amp; Stuff'!BI:CJ,6,FALSE)</f>
        <v>0</v>
      </c>
      <c r="I147" s="113">
        <f>VLOOKUP(C147,'Talente &amp; Stuff'!BI:CJ,7,FALSE)</f>
        <v>0</v>
      </c>
      <c r="J147" s="113">
        <f>VLOOKUP(C147,'Talente &amp; Stuff'!BI:CJ,8,FALSE)</f>
        <v>0</v>
      </c>
      <c r="K147" s="113">
        <f>VLOOKUP(C147,'Talente &amp; Stuff'!BI:CJ,9,FALSE)</f>
        <v>0</v>
      </c>
      <c r="L147" s="113">
        <f>VLOOKUP(C147,'Talente &amp; Stuff'!BI:CJ,10,FALSE)</f>
        <v>0</v>
      </c>
      <c r="M147" s="119">
        <f>VLOOKUP(C147,'Talente &amp; Stuff'!BI:CJ,11,FALSE)</f>
        <v>0</v>
      </c>
      <c r="N147" s="47">
        <f>VLOOKUP(C147,'Talente &amp; Stuff'!BI:CJ,12,FALSE)</f>
        <v>0</v>
      </c>
      <c r="O147" s="47">
        <f>VLOOKUP(C147,'Talente &amp; Stuff'!BI:CJ,13,FALSE)</f>
        <v>0</v>
      </c>
      <c r="P147" s="119">
        <f>VLOOKUP(C147,'Talente &amp; Stuff'!BI:CJ,14,FALSE)</f>
        <v>0</v>
      </c>
      <c r="Q147" s="114">
        <f>VLOOKUP(C147,'Talente &amp; Stuff'!BI:CJ,15,FALSE)</f>
        <v>0</v>
      </c>
      <c r="R147" s="113">
        <f>VLOOKUP(C147,'Talente &amp; Stuff'!BI:CJ,16,FALSE)</f>
        <v>0</v>
      </c>
      <c r="S147" s="119">
        <f>VLOOKUP(C147,'Talente &amp; Stuff'!BI:CJ,17,FALSE)</f>
        <v>0</v>
      </c>
      <c r="T147" s="119">
        <f>VLOOKUP(C147,'Talente &amp; Stuff'!BI:CJ,18,FALSE)</f>
        <v>0</v>
      </c>
      <c r="U147" s="89">
        <f>VLOOKUP(C147,'Talente &amp; Stuff'!BI:CJ,19,FALSE)</f>
        <v>0</v>
      </c>
      <c r="V147" s="47">
        <f>VLOOKUP(C147,'Talente &amp; Stuff'!BI:CJ,20,FALSE)</f>
        <v>0</v>
      </c>
      <c r="W147" s="127">
        <f>VLOOKUP(C147,'Talente &amp; Stuff'!BI:CJ,21,FALSE)</f>
        <v>0</v>
      </c>
      <c r="X147" s="127">
        <f>VLOOKUP(C147,'Talente &amp; Stuff'!BI:CJ,22,FALSE)</f>
        <v>0</v>
      </c>
      <c r="Y147" s="165">
        <f t="shared" si="14"/>
        <v>0</v>
      </c>
      <c r="Z147" s="44">
        <f t="shared" si="15"/>
        <v>0</v>
      </c>
      <c r="AA147" s="125">
        <f>VLOOKUP(C147,'Talente &amp; Stuff'!BI:CJ,25,FALSE)</f>
        <v>0</v>
      </c>
      <c r="AB147" s="160">
        <f>VLOOKUP(C147,'Talente &amp; Stuff'!BI:CJ,26,FALSE)</f>
        <v>0</v>
      </c>
      <c r="AC147" s="127">
        <f>VLOOKUP(C147,'Talente &amp; Stuff'!BI:CJ,27,FALSE)</f>
        <v>0</v>
      </c>
      <c r="AD147" s="125">
        <f>VLOOKUP(C147,'Talente &amp; Stuff'!BI:CJ,28,FALSE)</f>
        <v>0</v>
      </c>
      <c r="AE147" s="28"/>
    </row>
    <row r="148" spans="2:31" ht="15" hidden="1" customHeight="1" outlineLevel="2">
      <c r="B148" s="148">
        <v>21</v>
      </c>
      <c r="C148" s="177" t="str">
        <f>Attribute!C148</f>
        <v>---</v>
      </c>
      <c r="D148" s="125" t="str">
        <f>VLOOKUP(C148,'Talente &amp; Stuff'!BI:CJ,2,FALSE)</f>
        <v>--/--/--</v>
      </c>
      <c r="E148" s="127" t="str">
        <f>VLOOKUP(C148,'Talente &amp; Stuff'!BI:CJ,3,FALSE)</f>
        <v>-</v>
      </c>
      <c r="F148" s="114">
        <f>VLOOKUP(C148,'Talente &amp; Stuff'!BI:CJ,4,FALSE)</f>
        <v>0</v>
      </c>
      <c r="G148" s="113">
        <f>VLOOKUP(C148,'Talente &amp; Stuff'!BI:CJ,5,FALSE)</f>
        <v>0</v>
      </c>
      <c r="H148" s="113">
        <f>VLOOKUP(C148,'Talente &amp; Stuff'!BI:CJ,6,FALSE)</f>
        <v>0</v>
      </c>
      <c r="I148" s="113">
        <f>VLOOKUP(C148,'Talente &amp; Stuff'!BI:CJ,7,FALSE)</f>
        <v>0</v>
      </c>
      <c r="J148" s="113">
        <f>VLOOKUP(C148,'Talente &amp; Stuff'!BI:CJ,8,FALSE)</f>
        <v>0</v>
      </c>
      <c r="K148" s="113">
        <f>VLOOKUP(C148,'Talente &amp; Stuff'!BI:CJ,9,FALSE)</f>
        <v>0</v>
      </c>
      <c r="L148" s="113">
        <f>VLOOKUP(C148,'Talente &amp; Stuff'!BI:CJ,10,FALSE)</f>
        <v>0</v>
      </c>
      <c r="M148" s="119">
        <f>VLOOKUP(C148,'Talente &amp; Stuff'!BI:CJ,11,FALSE)</f>
        <v>0</v>
      </c>
      <c r="N148" s="47">
        <f>VLOOKUP(C148,'Talente &amp; Stuff'!BI:CJ,12,FALSE)</f>
        <v>0</v>
      </c>
      <c r="O148" s="47">
        <f>VLOOKUP(C148,'Talente &amp; Stuff'!BI:CJ,13,FALSE)</f>
        <v>0</v>
      </c>
      <c r="P148" s="119">
        <f>VLOOKUP(C148,'Talente &amp; Stuff'!BI:CJ,14,FALSE)</f>
        <v>0</v>
      </c>
      <c r="Q148" s="114">
        <f>VLOOKUP(C148,'Talente &amp; Stuff'!BI:CJ,15,FALSE)</f>
        <v>0</v>
      </c>
      <c r="R148" s="113">
        <f>VLOOKUP(C148,'Talente &amp; Stuff'!BI:CJ,16,FALSE)</f>
        <v>0</v>
      </c>
      <c r="S148" s="119">
        <f>VLOOKUP(C148,'Talente &amp; Stuff'!BI:CJ,17,FALSE)</f>
        <v>0</v>
      </c>
      <c r="T148" s="119">
        <f>VLOOKUP(C148,'Talente &amp; Stuff'!BI:CJ,18,FALSE)</f>
        <v>0</v>
      </c>
      <c r="U148" s="89">
        <f>VLOOKUP(C148,'Talente &amp; Stuff'!BI:CJ,19,FALSE)</f>
        <v>0</v>
      </c>
      <c r="V148" s="47">
        <f>VLOOKUP(C148,'Talente &amp; Stuff'!BI:CJ,20,FALSE)</f>
        <v>0</v>
      </c>
      <c r="W148" s="127">
        <f>VLOOKUP(C148,'Talente &amp; Stuff'!BI:CJ,21,FALSE)</f>
        <v>0</v>
      </c>
      <c r="X148" s="127">
        <f>VLOOKUP(C148,'Talente &amp; Stuff'!BI:CJ,22,FALSE)</f>
        <v>0</v>
      </c>
      <c r="Y148" s="165">
        <f t="shared" si="14"/>
        <v>0</v>
      </c>
      <c r="Z148" s="44">
        <f t="shared" si="15"/>
        <v>0</v>
      </c>
      <c r="AA148" s="125">
        <f>VLOOKUP(C148,'Talente &amp; Stuff'!BI:CJ,25,FALSE)</f>
        <v>0</v>
      </c>
      <c r="AB148" s="160">
        <f>VLOOKUP(C148,'Talente &amp; Stuff'!BI:CJ,26,FALSE)</f>
        <v>0</v>
      </c>
      <c r="AC148" s="127">
        <f>VLOOKUP(C148,'Talente &amp; Stuff'!BI:CJ,27,FALSE)</f>
        <v>0</v>
      </c>
      <c r="AD148" s="125">
        <f>VLOOKUP(C148,'Talente &amp; Stuff'!BI:CJ,28,FALSE)</f>
        <v>0</v>
      </c>
      <c r="AE148" s="28"/>
    </row>
    <row r="149" spans="2:31" ht="15" hidden="1" customHeight="1" outlineLevel="2">
      <c r="B149" s="148">
        <v>22</v>
      </c>
      <c r="C149" s="177" t="str">
        <f>Attribute!C149</f>
        <v>---</v>
      </c>
      <c r="D149" s="125" t="str">
        <f>VLOOKUP(C149,'Talente &amp; Stuff'!BI:CJ,2,FALSE)</f>
        <v>--/--/--</v>
      </c>
      <c r="E149" s="127" t="str">
        <f>VLOOKUP(C149,'Talente &amp; Stuff'!BI:CJ,3,FALSE)</f>
        <v>-</v>
      </c>
      <c r="F149" s="114">
        <f>VLOOKUP(C149,'Talente &amp; Stuff'!BI:CJ,4,FALSE)</f>
        <v>0</v>
      </c>
      <c r="G149" s="113">
        <f>VLOOKUP(C149,'Talente &amp; Stuff'!BI:CJ,5,FALSE)</f>
        <v>0</v>
      </c>
      <c r="H149" s="113">
        <f>VLOOKUP(C149,'Talente &amp; Stuff'!BI:CJ,6,FALSE)</f>
        <v>0</v>
      </c>
      <c r="I149" s="113">
        <f>VLOOKUP(C149,'Talente &amp; Stuff'!BI:CJ,7,FALSE)</f>
        <v>0</v>
      </c>
      <c r="J149" s="113">
        <f>VLOOKUP(C149,'Talente &amp; Stuff'!BI:CJ,8,FALSE)</f>
        <v>0</v>
      </c>
      <c r="K149" s="113">
        <f>VLOOKUP(C149,'Talente &amp; Stuff'!BI:CJ,9,FALSE)</f>
        <v>0</v>
      </c>
      <c r="L149" s="113">
        <f>VLOOKUP(C149,'Talente &amp; Stuff'!BI:CJ,10,FALSE)</f>
        <v>0</v>
      </c>
      <c r="M149" s="119">
        <f>VLOOKUP(C149,'Talente &amp; Stuff'!BI:CJ,11,FALSE)</f>
        <v>0</v>
      </c>
      <c r="N149" s="47">
        <f>VLOOKUP(C149,'Talente &amp; Stuff'!BI:CJ,12,FALSE)</f>
        <v>0</v>
      </c>
      <c r="O149" s="47">
        <f>VLOOKUP(C149,'Talente &amp; Stuff'!BI:CJ,13,FALSE)</f>
        <v>0</v>
      </c>
      <c r="P149" s="119">
        <f>VLOOKUP(C149,'Talente &amp; Stuff'!BI:CJ,14,FALSE)</f>
        <v>0</v>
      </c>
      <c r="Q149" s="114">
        <f>VLOOKUP(C149,'Talente &amp; Stuff'!BI:CJ,15,FALSE)</f>
        <v>0</v>
      </c>
      <c r="R149" s="113">
        <f>VLOOKUP(C149,'Talente &amp; Stuff'!BI:CJ,16,FALSE)</f>
        <v>0</v>
      </c>
      <c r="S149" s="119">
        <f>VLOOKUP(C149,'Talente &amp; Stuff'!BI:CJ,17,FALSE)</f>
        <v>0</v>
      </c>
      <c r="T149" s="119">
        <f>VLOOKUP(C149,'Talente &amp; Stuff'!BI:CJ,18,FALSE)</f>
        <v>0</v>
      </c>
      <c r="U149" s="89">
        <f>VLOOKUP(C149,'Talente &amp; Stuff'!BI:CJ,19,FALSE)</f>
        <v>0</v>
      </c>
      <c r="V149" s="47">
        <f>VLOOKUP(C149,'Talente &amp; Stuff'!BI:CJ,20,FALSE)</f>
        <v>0</v>
      </c>
      <c r="W149" s="127">
        <f>VLOOKUP(C149,'Talente &amp; Stuff'!BI:CJ,21,FALSE)</f>
        <v>0</v>
      </c>
      <c r="X149" s="127">
        <f>VLOOKUP(C149,'Talente &amp; Stuff'!BI:CJ,22,FALSE)</f>
        <v>0</v>
      </c>
      <c r="Y149" s="165">
        <f t="shared" si="14"/>
        <v>0</v>
      </c>
      <c r="Z149" s="44">
        <f t="shared" si="15"/>
        <v>0</v>
      </c>
      <c r="AA149" s="125">
        <f>VLOOKUP(C149,'Talente &amp; Stuff'!BI:CJ,25,FALSE)</f>
        <v>0</v>
      </c>
      <c r="AB149" s="160">
        <f>VLOOKUP(C149,'Talente &amp; Stuff'!BI:CJ,26,FALSE)</f>
        <v>0</v>
      </c>
      <c r="AC149" s="127">
        <f>VLOOKUP(C149,'Talente &amp; Stuff'!BI:CJ,27,FALSE)</f>
        <v>0</v>
      </c>
      <c r="AD149" s="125">
        <f>VLOOKUP(C149,'Talente &amp; Stuff'!BI:CJ,28,FALSE)</f>
        <v>0</v>
      </c>
      <c r="AE149" s="28"/>
    </row>
    <row r="150" spans="2:31" ht="15" hidden="1" customHeight="1" outlineLevel="2">
      <c r="B150" s="148">
        <v>23</v>
      </c>
      <c r="C150" s="177" t="str">
        <f>Attribute!C150</f>
        <v>---</v>
      </c>
      <c r="D150" s="125" t="str">
        <f>VLOOKUP(C150,'Talente &amp; Stuff'!BI:CJ,2,FALSE)</f>
        <v>--/--/--</v>
      </c>
      <c r="E150" s="127" t="str">
        <f>VLOOKUP(C150,'Talente &amp; Stuff'!BI:CJ,3,FALSE)</f>
        <v>-</v>
      </c>
      <c r="F150" s="114">
        <f>VLOOKUP(C150,'Talente &amp; Stuff'!BI:CJ,4,FALSE)</f>
        <v>0</v>
      </c>
      <c r="G150" s="113">
        <f>VLOOKUP(C150,'Talente &amp; Stuff'!BI:CJ,5,FALSE)</f>
        <v>0</v>
      </c>
      <c r="H150" s="113">
        <f>VLOOKUP(C150,'Talente &amp; Stuff'!BI:CJ,6,FALSE)</f>
        <v>0</v>
      </c>
      <c r="I150" s="113">
        <f>VLOOKUP(C150,'Talente &amp; Stuff'!BI:CJ,7,FALSE)</f>
        <v>0</v>
      </c>
      <c r="J150" s="113">
        <f>VLOOKUP(C150,'Talente &amp; Stuff'!BI:CJ,8,FALSE)</f>
        <v>0</v>
      </c>
      <c r="K150" s="113">
        <f>VLOOKUP(C150,'Talente &amp; Stuff'!BI:CJ,9,FALSE)</f>
        <v>0</v>
      </c>
      <c r="L150" s="113">
        <f>VLOOKUP(C150,'Talente &amp; Stuff'!BI:CJ,10,FALSE)</f>
        <v>0</v>
      </c>
      <c r="M150" s="119">
        <f>VLOOKUP(C150,'Talente &amp; Stuff'!BI:CJ,11,FALSE)</f>
        <v>0</v>
      </c>
      <c r="N150" s="47">
        <f>VLOOKUP(C150,'Talente &amp; Stuff'!BI:CJ,12,FALSE)</f>
        <v>0</v>
      </c>
      <c r="O150" s="47">
        <f>VLOOKUP(C150,'Talente &amp; Stuff'!BI:CJ,13,FALSE)</f>
        <v>0</v>
      </c>
      <c r="P150" s="119">
        <f>VLOOKUP(C150,'Talente &amp; Stuff'!BI:CJ,14,FALSE)</f>
        <v>0</v>
      </c>
      <c r="Q150" s="114">
        <f>VLOOKUP(C150,'Talente &amp; Stuff'!BI:CJ,15,FALSE)</f>
        <v>0</v>
      </c>
      <c r="R150" s="113">
        <f>VLOOKUP(C150,'Talente &amp; Stuff'!BI:CJ,16,FALSE)</f>
        <v>0</v>
      </c>
      <c r="S150" s="119">
        <f>VLOOKUP(C150,'Talente &amp; Stuff'!BI:CJ,17,FALSE)</f>
        <v>0</v>
      </c>
      <c r="T150" s="119">
        <f>VLOOKUP(C150,'Talente &amp; Stuff'!BI:CJ,18,FALSE)</f>
        <v>0</v>
      </c>
      <c r="U150" s="89">
        <f>VLOOKUP(C150,'Talente &amp; Stuff'!BI:CJ,19,FALSE)</f>
        <v>0</v>
      </c>
      <c r="V150" s="47">
        <f>VLOOKUP(C150,'Talente &amp; Stuff'!BI:CJ,20,FALSE)</f>
        <v>0</v>
      </c>
      <c r="W150" s="127">
        <f>VLOOKUP(C150,'Talente &amp; Stuff'!BI:CJ,21,FALSE)</f>
        <v>0</v>
      </c>
      <c r="X150" s="127">
        <f>VLOOKUP(C150,'Talente &amp; Stuff'!BI:CJ,22,FALSE)</f>
        <v>0</v>
      </c>
      <c r="Y150" s="165">
        <f t="shared" si="14"/>
        <v>0</v>
      </c>
      <c r="Z150" s="44">
        <f t="shared" si="15"/>
        <v>0</v>
      </c>
      <c r="AA150" s="125">
        <f>VLOOKUP(C150,'Talente &amp; Stuff'!BI:CJ,25,FALSE)</f>
        <v>0</v>
      </c>
      <c r="AB150" s="160">
        <f>VLOOKUP(C150,'Talente &amp; Stuff'!BI:CJ,26,FALSE)</f>
        <v>0</v>
      </c>
      <c r="AC150" s="127">
        <f>VLOOKUP(C150,'Talente &amp; Stuff'!BI:CJ,27,FALSE)</f>
        <v>0</v>
      </c>
      <c r="AD150" s="125">
        <f>VLOOKUP(C150,'Talente &amp; Stuff'!BI:CJ,28,FALSE)</f>
        <v>0</v>
      </c>
      <c r="AE150" s="28"/>
    </row>
    <row r="151" spans="2:31" ht="15" hidden="1" customHeight="1" outlineLevel="2">
      <c r="B151" s="148">
        <v>24</v>
      </c>
      <c r="C151" s="178" t="str">
        <f>Attribute!C151</f>
        <v>---</v>
      </c>
      <c r="D151" s="159" t="str">
        <f>VLOOKUP(C151,'Talente &amp; Stuff'!BI:CJ,2,FALSE)</f>
        <v>--/--/--</v>
      </c>
      <c r="E151" s="128" t="str">
        <f>VLOOKUP(C151,'Talente &amp; Stuff'!BI:CJ,3,FALSE)</f>
        <v>-</v>
      </c>
      <c r="F151" s="115">
        <f>VLOOKUP(C151,'Talente &amp; Stuff'!BI:CJ,4,FALSE)</f>
        <v>0</v>
      </c>
      <c r="G151" s="122">
        <f>VLOOKUP(C151,'Talente &amp; Stuff'!BI:CJ,5,FALSE)</f>
        <v>0</v>
      </c>
      <c r="H151" s="122">
        <f>VLOOKUP(C151,'Talente &amp; Stuff'!BI:CJ,6,FALSE)</f>
        <v>0</v>
      </c>
      <c r="I151" s="122">
        <f>VLOOKUP(C151,'Talente &amp; Stuff'!BI:CJ,7,FALSE)</f>
        <v>0</v>
      </c>
      <c r="J151" s="122">
        <f>VLOOKUP(C151,'Talente &amp; Stuff'!BI:CJ,8,FALSE)</f>
        <v>0</v>
      </c>
      <c r="K151" s="122">
        <f>VLOOKUP(C151,'Talente &amp; Stuff'!BI:CJ,9,FALSE)</f>
        <v>0</v>
      </c>
      <c r="L151" s="122">
        <f>VLOOKUP(C151,'Talente &amp; Stuff'!BI:CJ,10,FALSE)</f>
        <v>0</v>
      </c>
      <c r="M151" s="123">
        <f>VLOOKUP(C151,'Talente &amp; Stuff'!BI:CJ,11,FALSE)</f>
        <v>0</v>
      </c>
      <c r="N151" s="88">
        <f>VLOOKUP(C151,'Talente &amp; Stuff'!BI:CJ,12,FALSE)</f>
        <v>0</v>
      </c>
      <c r="O151" s="88">
        <f>VLOOKUP(C151,'Talente &amp; Stuff'!BI:CJ,13,FALSE)</f>
        <v>0</v>
      </c>
      <c r="P151" s="123">
        <f>VLOOKUP(C151,'Talente &amp; Stuff'!BI:CJ,14,FALSE)</f>
        <v>0</v>
      </c>
      <c r="Q151" s="115">
        <f>VLOOKUP(C151,'Talente &amp; Stuff'!BI:CJ,15,FALSE)</f>
        <v>0</v>
      </c>
      <c r="R151" s="122">
        <f>VLOOKUP(C151,'Talente &amp; Stuff'!BI:CJ,16,FALSE)</f>
        <v>0</v>
      </c>
      <c r="S151" s="123">
        <f>VLOOKUP(C151,'Talente &amp; Stuff'!BI:CJ,17,FALSE)</f>
        <v>0</v>
      </c>
      <c r="T151" s="123">
        <f>VLOOKUP(C151,'Talente &amp; Stuff'!BI:CJ,18,FALSE)</f>
        <v>0</v>
      </c>
      <c r="U151" s="90">
        <f>VLOOKUP(C151,'Talente &amp; Stuff'!BI:CJ,19,FALSE)</f>
        <v>0</v>
      </c>
      <c r="V151" s="88">
        <f>VLOOKUP(C151,'Talente &amp; Stuff'!BI:CJ,20,FALSE)</f>
        <v>0</v>
      </c>
      <c r="W151" s="128">
        <f>VLOOKUP(C151,'Talente &amp; Stuff'!BI:CJ,21,FALSE)</f>
        <v>0</v>
      </c>
      <c r="X151" s="128">
        <f>VLOOKUP(C151,'Talente &amp; Stuff'!BI:CJ,22,FALSE)</f>
        <v>0</v>
      </c>
      <c r="Y151" s="165">
        <f t="shared" si="14"/>
        <v>0</v>
      </c>
      <c r="Z151" s="44">
        <f t="shared" si="15"/>
        <v>0</v>
      </c>
      <c r="AA151" s="159">
        <f>VLOOKUP(C151,'Talente &amp; Stuff'!BI:CJ,25,FALSE)</f>
        <v>0</v>
      </c>
      <c r="AB151" s="161">
        <f>VLOOKUP(C151,'Talente &amp; Stuff'!BI:CJ,26,FALSE)</f>
        <v>0</v>
      </c>
      <c r="AC151" s="128">
        <f>VLOOKUP(C151,'Talente &amp; Stuff'!BI:CJ,27,FALSE)</f>
        <v>0</v>
      </c>
      <c r="AD151" s="159">
        <f>VLOOKUP(C151,'Talente &amp; Stuff'!BI:CJ,28,FALSE)</f>
        <v>0</v>
      </c>
      <c r="AE151" s="28"/>
    </row>
    <row r="152" spans="2:31" ht="15" hidden="1" customHeight="1" outlineLevel="1" collapsed="1">
      <c r="B152" s="134" t="s">
        <v>329</v>
      </c>
      <c r="C152" s="83"/>
      <c r="D152" s="84"/>
      <c r="E152" s="84"/>
    </row>
    <row r="153" spans="2:31" ht="15" hidden="1" customHeight="1" outlineLevel="2">
      <c r="B153" s="148">
        <v>1</v>
      </c>
      <c r="C153" s="176" t="str">
        <f>Attribute!C153</f>
        <v>---</v>
      </c>
      <c r="D153" s="85" t="str">
        <f>VLOOKUP(C153,'Talente &amp; Stuff'!BI:CJ,2,FALSE)</f>
        <v>--/--/--</v>
      </c>
      <c r="E153" s="168" t="str">
        <f>VLOOKUP(C153,'Talente &amp; Stuff'!BI:CJ,3,FALSE)</f>
        <v>-</v>
      </c>
      <c r="F153" s="171">
        <f>VLOOKUP(C153,'Talente &amp; Stuff'!BI:CJ,4,FALSE)</f>
        <v>0</v>
      </c>
      <c r="G153" s="170">
        <f>VLOOKUP(C153,'Talente &amp; Stuff'!BI:CJ,5,FALSE)</f>
        <v>0</v>
      </c>
      <c r="H153" s="170">
        <f>VLOOKUP(C153,'Talente &amp; Stuff'!BI:CJ,6,FALSE)</f>
        <v>0</v>
      </c>
      <c r="I153" s="170">
        <f>VLOOKUP(C153,'Talente &amp; Stuff'!BI:CJ,7,FALSE)</f>
        <v>0</v>
      </c>
      <c r="J153" s="170">
        <f>VLOOKUP(C153,'Talente &amp; Stuff'!BI:CJ,8,FALSE)</f>
        <v>0</v>
      </c>
      <c r="K153" s="170">
        <f>VLOOKUP(C153,'Talente &amp; Stuff'!BI:CJ,9,FALSE)</f>
        <v>0</v>
      </c>
      <c r="L153" s="170">
        <f>VLOOKUP(C153,'Talente &amp; Stuff'!BI:CJ,10,FALSE)</f>
        <v>0</v>
      </c>
      <c r="M153" s="172">
        <f>VLOOKUP(C153,'Talente &amp; Stuff'!BI:CJ,11,FALSE)</f>
        <v>0</v>
      </c>
      <c r="N153" s="116">
        <f>VLOOKUP(C153,'Talente &amp; Stuff'!BI:CJ,12,FALSE)</f>
        <v>0</v>
      </c>
      <c r="O153" s="194">
        <f>VLOOKUP(C153,'Talente &amp; Stuff'!BI:CJ,13,FALSE)</f>
        <v>0</v>
      </c>
      <c r="P153" s="192">
        <f>VLOOKUP(C153,'Talente &amp; Stuff'!BI:CJ,14,FALSE)</f>
        <v>0</v>
      </c>
      <c r="Q153" s="191">
        <f>VLOOKUP(C153,'Talente &amp; Stuff'!BI:CJ,15,FALSE)</f>
        <v>0</v>
      </c>
      <c r="R153" s="170">
        <f>VLOOKUP(C153,'Talente &amp; Stuff'!BI:CJ,16,FALSE)</f>
        <v>0</v>
      </c>
      <c r="S153" s="92">
        <f>VLOOKUP(C153,'Talente &amp; Stuff'!BI:CJ,17,FALSE)</f>
        <v>0</v>
      </c>
      <c r="T153" s="92">
        <f>VLOOKUP(C153,'Talente &amp; Stuff'!BI:CJ,18,FALSE)</f>
        <v>0</v>
      </c>
      <c r="U153" s="193">
        <f>VLOOKUP(C153,'Talente &amp; Stuff'!BI:CJ,19,FALSE)</f>
        <v>0</v>
      </c>
      <c r="V153" s="116">
        <f>VLOOKUP(C153,'Talente &amp; Stuff'!BI:CJ,20,FALSE)</f>
        <v>0</v>
      </c>
      <c r="W153" s="126">
        <f>VLOOKUP(C153,'Talente &amp; Stuff'!BI:CJ,21,FALSE)</f>
        <v>0</v>
      </c>
      <c r="X153" s="126">
        <f>VLOOKUP(C153,'Talente &amp; Stuff'!BI:CJ,22,FALSE)</f>
        <v>0</v>
      </c>
      <c r="Y153" s="165">
        <f t="shared" ref="Y153:Y184" si="16">VLOOKUP(C153,Ausgewählte_Zauber_Gildenmagier,81,FALSE)</f>
        <v>0</v>
      </c>
      <c r="Z153" s="44">
        <f t="shared" ref="Z153:Z184" si="17">VLOOKUP(C153,Ausgewählte_Zauber_Gildenmagier,82,FALSE)</f>
        <v>0</v>
      </c>
      <c r="AA153" s="158">
        <f>VLOOKUP(C153,'Talente &amp; Stuff'!BI:CJ,25,FALSE)</f>
        <v>0</v>
      </c>
      <c r="AB153" s="91">
        <f>VLOOKUP(C153,'Talente &amp; Stuff'!BI:CJ,26,FALSE)</f>
        <v>0</v>
      </c>
      <c r="AC153" s="126">
        <f>VLOOKUP(C153,'Talente &amp; Stuff'!BI:CJ,27,FALSE)</f>
        <v>0</v>
      </c>
      <c r="AD153" s="158">
        <f>VLOOKUP(C153,'Talente &amp; Stuff'!BI:CJ,28,FALSE)</f>
        <v>0</v>
      </c>
      <c r="AE153" s="28"/>
    </row>
    <row r="154" spans="2:31" ht="15" hidden="1" customHeight="1" outlineLevel="2">
      <c r="B154" s="148">
        <v>2</v>
      </c>
      <c r="C154" s="177" t="str">
        <f>Attribute!C154</f>
        <v>---</v>
      </c>
      <c r="D154" s="86" t="str">
        <f>VLOOKUP(C154,'Talente &amp; Stuff'!BI:CJ,2,FALSE)</f>
        <v>--/--/--</v>
      </c>
      <c r="E154" s="167" t="str">
        <f>VLOOKUP(C154,'Talente &amp; Stuff'!BI:CJ,3,FALSE)</f>
        <v>-</v>
      </c>
      <c r="F154" s="120">
        <f>VLOOKUP(C154,'Talente &amp; Stuff'!BI:CJ,4,FALSE)</f>
        <v>0</v>
      </c>
      <c r="G154" s="117">
        <f>VLOOKUP(C154,'Talente &amp; Stuff'!BI:CJ,5,FALSE)</f>
        <v>0</v>
      </c>
      <c r="H154" s="117">
        <f>VLOOKUP(C154,'Talente &amp; Stuff'!BI:CJ,6,FALSE)</f>
        <v>0</v>
      </c>
      <c r="I154" s="117">
        <f>VLOOKUP(C154,'Talente &amp; Stuff'!BI:CJ,7,FALSE)</f>
        <v>0</v>
      </c>
      <c r="J154" s="117">
        <f>VLOOKUP(C154,'Talente &amp; Stuff'!BI:CJ,8,FALSE)</f>
        <v>0</v>
      </c>
      <c r="K154" s="117">
        <f>VLOOKUP(C154,'Talente &amp; Stuff'!BI:CJ,9,FALSE)</f>
        <v>0</v>
      </c>
      <c r="L154" s="117">
        <f>VLOOKUP(C154,'Talente &amp; Stuff'!BI:CJ,10,FALSE)</f>
        <v>0</v>
      </c>
      <c r="M154" s="121">
        <f>VLOOKUP(C154,'Talente &amp; Stuff'!BI:CJ,11,FALSE)</f>
        <v>0</v>
      </c>
      <c r="N154" s="47">
        <f>VLOOKUP(C154,'Talente &amp; Stuff'!BI:CJ,12,FALSE)</f>
        <v>0</v>
      </c>
      <c r="O154" s="3">
        <f>VLOOKUP(C154,'Talente &amp; Stuff'!BI:CJ,13,FALSE)</f>
        <v>0</v>
      </c>
      <c r="P154" s="174">
        <f>VLOOKUP(C154,'Talente &amp; Stuff'!BI:CJ,14,FALSE)</f>
        <v>0</v>
      </c>
      <c r="Q154" s="114">
        <f>VLOOKUP(C154,'Talente &amp; Stuff'!BI:CJ,15,FALSE)</f>
        <v>0</v>
      </c>
      <c r="R154" s="117">
        <f>VLOOKUP(C154,'Talente &amp; Stuff'!BI:CJ,16,FALSE)</f>
        <v>0</v>
      </c>
      <c r="S154" s="119">
        <f>VLOOKUP(C154,'Talente &amp; Stuff'!BI:CJ,17,FALSE)</f>
        <v>0</v>
      </c>
      <c r="T154" s="119">
        <f>VLOOKUP(C154,'Talente &amp; Stuff'!BI:CJ,18,FALSE)</f>
        <v>0</v>
      </c>
      <c r="U154" s="89">
        <f>VLOOKUP(C154,'Talente &amp; Stuff'!BI:CJ,19,FALSE)</f>
        <v>0</v>
      </c>
      <c r="V154" s="47">
        <f>VLOOKUP(C154,'Talente &amp; Stuff'!BI:CJ,20,FALSE)</f>
        <v>0</v>
      </c>
      <c r="W154" s="127">
        <f>VLOOKUP(C154,'Talente &amp; Stuff'!BI:CJ,21,FALSE)</f>
        <v>0</v>
      </c>
      <c r="X154" s="127">
        <f>VLOOKUP(C154,'Talente &amp; Stuff'!BI:CJ,22,FALSE)</f>
        <v>0</v>
      </c>
      <c r="Y154" s="165">
        <f t="shared" si="16"/>
        <v>0</v>
      </c>
      <c r="Z154" s="44">
        <f t="shared" si="17"/>
        <v>0</v>
      </c>
      <c r="AA154" s="125">
        <f>VLOOKUP(C154,'Talente &amp; Stuff'!BI:CJ,25,FALSE)</f>
        <v>0</v>
      </c>
      <c r="AB154" s="160">
        <f>VLOOKUP(C154,'Talente &amp; Stuff'!BI:CJ,26,FALSE)</f>
        <v>0</v>
      </c>
      <c r="AC154" s="127">
        <f>VLOOKUP(C154,'Talente &amp; Stuff'!BI:CJ,27,FALSE)</f>
        <v>0</v>
      </c>
      <c r="AD154" s="125">
        <f>VLOOKUP(C154,'Talente &amp; Stuff'!BI:CJ,28,FALSE)</f>
        <v>0</v>
      </c>
      <c r="AE154" s="28"/>
    </row>
    <row r="155" spans="2:31" ht="15" hidden="1" customHeight="1" outlineLevel="2">
      <c r="B155" s="148">
        <v>3</v>
      </c>
      <c r="C155" s="177" t="str">
        <f>Attribute!C155</f>
        <v>---</v>
      </c>
      <c r="D155" s="86" t="str">
        <f>VLOOKUP(C155,'Talente &amp; Stuff'!BI:CJ,2,FALSE)</f>
        <v>--/--/--</v>
      </c>
      <c r="E155" s="167" t="str">
        <f>VLOOKUP(C155,'Talente &amp; Stuff'!BI:CJ,3,FALSE)</f>
        <v>-</v>
      </c>
      <c r="F155" s="120">
        <f>VLOOKUP(C155,'Talente &amp; Stuff'!BI:CJ,4,FALSE)</f>
        <v>0</v>
      </c>
      <c r="G155" s="117">
        <f>VLOOKUP(C155,'Talente &amp; Stuff'!BI:CJ,5,FALSE)</f>
        <v>0</v>
      </c>
      <c r="H155" s="117">
        <f>VLOOKUP(C155,'Talente &amp; Stuff'!BI:CJ,6,FALSE)</f>
        <v>0</v>
      </c>
      <c r="I155" s="117">
        <f>VLOOKUP(C155,'Talente &amp; Stuff'!BI:CJ,7,FALSE)</f>
        <v>0</v>
      </c>
      <c r="J155" s="117">
        <f>VLOOKUP(C155,'Talente &amp; Stuff'!BI:CJ,8,FALSE)</f>
        <v>0</v>
      </c>
      <c r="K155" s="117">
        <f>VLOOKUP(C155,'Talente &amp; Stuff'!BI:CJ,9,FALSE)</f>
        <v>0</v>
      </c>
      <c r="L155" s="117">
        <f>VLOOKUP(C155,'Talente &amp; Stuff'!BI:CJ,10,FALSE)</f>
        <v>0</v>
      </c>
      <c r="M155" s="121">
        <f>VLOOKUP(C155,'Talente &amp; Stuff'!BI:CJ,11,FALSE)</f>
        <v>0</v>
      </c>
      <c r="N155" s="47">
        <f>VLOOKUP(C155,'Talente &amp; Stuff'!BI:CJ,12,FALSE)</f>
        <v>0</v>
      </c>
      <c r="O155" s="3">
        <f>VLOOKUP(C155,'Talente &amp; Stuff'!BI:CJ,13,FALSE)</f>
        <v>0</v>
      </c>
      <c r="P155" s="174">
        <f>VLOOKUP(C155,'Talente &amp; Stuff'!BI:CJ,14,FALSE)</f>
        <v>0</v>
      </c>
      <c r="Q155" s="114">
        <f>VLOOKUP(C155,'Talente &amp; Stuff'!BI:CJ,15,FALSE)</f>
        <v>0</v>
      </c>
      <c r="R155" s="117">
        <f>VLOOKUP(C155,'Talente &amp; Stuff'!BI:CJ,16,FALSE)</f>
        <v>0</v>
      </c>
      <c r="S155" s="119">
        <f>VLOOKUP(C155,'Talente &amp; Stuff'!BI:CJ,17,FALSE)</f>
        <v>0</v>
      </c>
      <c r="T155" s="119">
        <f>VLOOKUP(C155,'Talente &amp; Stuff'!BI:CJ,18,FALSE)</f>
        <v>0</v>
      </c>
      <c r="U155" s="89">
        <f>VLOOKUP(C155,'Talente &amp; Stuff'!BI:CJ,19,FALSE)</f>
        <v>0</v>
      </c>
      <c r="V155" s="47">
        <f>VLOOKUP(C155,'Talente &amp; Stuff'!BI:CJ,20,FALSE)</f>
        <v>0</v>
      </c>
      <c r="W155" s="127">
        <f>VLOOKUP(C155,'Talente &amp; Stuff'!BI:CJ,21,FALSE)</f>
        <v>0</v>
      </c>
      <c r="X155" s="127">
        <f>VLOOKUP(C155,'Talente &amp; Stuff'!BI:CJ,22,FALSE)</f>
        <v>0</v>
      </c>
      <c r="Y155" s="165">
        <f t="shared" si="16"/>
        <v>0</v>
      </c>
      <c r="Z155" s="44">
        <f t="shared" si="17"/>
        <v>0</v>
      </c>
      <c r="AA155" s="125">
        <f>VLOOKUP(C155,'Talente &amp; Stuff'!BI:CJ,25,FALSE)</f>
        <v>0</v>
      </c>
      <c r="AB155" s="160">
        <f>VLOOKUP(C155,'Talente &amp; Stuff'!BI:CJ,26,FALSE)</f>
        <v>0</v>
      </c>
      <c r="AC155" s="127">
        <f>VLOOKUP(C155,'Talente &amp; Stuff'!BI:CJ,27,FALSE)</f>
        <v>0</v>
      </c>
      <c r="AD155" s="125">
        <f>VLOOKUP(C155,'Talente &amp; Stuff'!BI:CJ,28,FALSE)</f>
        <v>0</v>
      </c>
      <c r="AE155" s="28"/>
    </row>
    <row r="156" spans="2:31" ht="15" hidden="1" customHeight="1" outlineLevel="2">
      <c r="B156" s="148">
        <v>4</v>
      </c>
      <c r="C156" s="177" t="str">
        <f>Attribute!C156</f>
        <v>---</v>
      </c>
      <c r="D156" s="86" t="str">
        <f>VLOOKUP(C156,'Talente &amp; Stuff'!BI:CJ,2,FALSE)</f>
        <v>--/--/--</v>
      </c>
      <c r="E156" s="167" t="str">
        <f>VLOOKUP(C156,'Talente &amp; Stuff'!BI:CJ,3,FALSE)</f>
        <v>-</v>
      </c>
      <c r="F156" s="120">
        <f>VLOOKUP(C156,'Talente &amp; Stuff'!BI:CJ,4,FALSE)</f>
        <v>0</v>
      </c>
      <c r="G156" s="117">
        <f>VLOOKUP(C156,'Talente &amp; Stuff'!BI:CJ,5,FALSE)</f>
        <v>0</v>
      </c>
      <c r="H156" s="117">
        <f>VLOOKUP(C156,'Talente &amp; Stuff'!BI:CJ,6,FALSE)</f>
        <v>0</v>
      </c>
      <c r="I156" s="117">
        <f>VLOOKUP(C156,'Talente &amp; Stuff'!BI:CJ,7,FALSE)</f>
        <v>0</v>
      </c>
      <c r="J156" s="117">
        <f>VLOOKUP(C156,'Talente &amp; Stuff'!BI:CJ,8,FALSE)</f>
        <v>0</v>
      </c>
      <c r="K156" s="117">
        <f>VLOOKUP(C156,'Talente &amp; Stuff'!BI:CJ,9,FALSE)</f>
        <v>0</v>
      </c>
      <c r="L156" s="117">
        <f>VLOOKUP(C156,'Talente &amp; Stuff'!BI:CJ,10,FALSE)</f>
        <v>0</v>
      </c>
      <c r="M156" s="121">
        <f>VLOOKUP(C156,'Talente &amp; Stuff'!BI:CJ,11,FALSE)</f>
        <v>0</v>
      </c>
      <c r="N156" s="47">
        <f>VLOOKUP(C156,'Talente &amp; Stuff'!BI:CJ,12,FALSE)</f>
        <v>0</v>
      </c>
      <c r="O156" s="3">
        <f>VLOOKUP(C156,'Talente &amp; Stuff'!BI:CJ,13,FALSE)</f>
        <v>0</v>
      </c>
      <c r="P156" s="174">
        <f>VLOOKUP(C156,'Talente &amp; Stuff'!BI:CJ,14,FALSE)</f>
        <v>0</v>
      </c>
      <c r="Q156" s="114">
        <f>VLOOKUP(C156,'Talente &amp; Stuff'!BI:CJ,15,FALSE)</f>
        <v>0</v>
      </c>
      <c r="R156" s="117">
        <f>VLOOKUP(C156,'Talente &amp; Stuff'!BI:CJ,16,FALSE)</f>
        <v>0</v>
      </c>
      <c r="S156" s="119">
        <f>VLOOKUP(C156,'Talente &amp; Stuff'!BI:CJ,17,FALSE)</f>
        <v>0</v>
      </c>
      <c r="T156" s="119">
        <f>VLOOKUP(C156,'Talente &amp; Stuff'!BI:CJ,18,FALSE)</f>
        <v>0</v>
      </c>
      <c r="U156" s="89">
        <f>VLOOKUP(C156,'Talente &amp; Stuff'!BI:CJ,19,FALSE)</f>
        <v>0</v>
      </c>
      <c r="V156" s="47">
        <f>VLOOKUP(C156,'Talente &amp; Stuff'!BI:CJ,20,FALSE)</f>
        <v>0</v>
      </c>
      <c r="W156" s="127">
        <f>VLOOKUP(C156,'Talente &amp; Stuff'!BI:CJ,21,FALSE)</f>
        <v>0</v>
      </c>
      <c r="X156" s="127">
        <f>VLOOKUP(C156,'Talente &amp; Stuff'!BI:CJ,22,FALSE)</f>
        <v>0</v>
      </c>
      <c r="Y156" s="165">
        <f t="shared" si="16"/>
        <v>0</v>
      </c>
      <c r="Z156" s="44">
        <f t="shared" si="17"/>
        <v>0</v>
      </c>
      <c r="AA156" s="125">
        <f>VLOOKUP(C156,'Talente &amp; Stuff'!BI:CJ,25,FALSE)</f>
        <v>0</v>
      </c>
      <c r="AB156" s="160">
        <f>VLOOKUP(C156,'Talente &amp; Stuff'!BI:CJ,26,FALSE)</f>
        <v>0</v>
      </c>
      <c r="AC156" s="127">
        <f>VLOOKUP(C156,'Talente &amp; Stuff'!BI:CJ,27,FALSE)</f>
        <v>0</v>
      </c>
      <c r="AD156" s="125">
        <f>VLOOKUP(C156,'Talente &amp; Stuff'!BI:CJ,28,FALSE)</f>
        <v>0</v>
      </c>
      <c r="AE156" s="28"/>
    </row>
    <row r="157" spans="2:31" ht="15" hidden="1" customHeight="1" outlineLevel="2">
      <c r="B157" s="148">
        <v>5</v>
      </c>
      <c r="C157" s="177" t="str">
        <f>Attribute!C157</f>
        <v>---</v>
      </c>
      <c r="D157" s="86" t="str">
        <f>VLOOKUP(C157,'Talente &amp; Stuff'!BI:CJ,2,FALSE)</f>
        <v>--/--/--</v>
      </c>
      <c r="E157" s="167" t="str">
        <f>VLOOKUP(C157,'Talente &amp; Stuff'!BI:CJ,3,FALSE)</f>
        <v>-</v>
      </c>
      <c r="F157" s="120">
        <f>VLOOKUP(C157,'Talente &amp; Stuff'!BI:CJ,4,FALSE)</f>
        <v>0</v>
      </c>
      <c r="G157" s="117">
        <f>VLOOKUP(C157,'Talente &amp; Stuff'!BI:CJ,5,FALSE)</f>
        <v>0</v>
      </c>
      <c r="H157" s="117">
        <f>VLOOKUP(C157,'Talente &amp; Stuff'!BI:CJ,6,FALSE)</f>
        <v>0</v>
      </c>
      <c r="I157" s="117">
        <f>VLOOKUP(C157,'Talente &amp; Stuff'!BI:CJ,7,FALSE)</f>
        <v>0</v>
      </c>
      <c r="J157" s="117">
        <f>VLOOKUP(C157,'Talente &amp; Stuff'!BI:CJ,8,FALSE)</f>
        <v>0</v>
      </c>
      <c r="K157" s="117">
        <f>VLOOKUP(C157,'Talente &amp; Stuff'!BI:CJ,9,FALSE)</f>
        <v>0</v>
      </c>
      <c r="L157" s="117">
        <f>VLOOKUP(C157,'Talente &amp; Stuff'!BI:CJ,10,FALSE)</f>
        <v>0</v>
      </c>
      <c r="M157" s="121">
        <f>VLOOKUP(C157,'Talente &amp; Stuff'!BI:CJ,11,FALSE)</f>
        <v>0</v>
      </c>
      <c r="N157" s="47">
        <f>VLOOKUP(C157,'Talente &amp; Stuff'!BI:CJ,12,FALSE)</f>
        <v>0</v>
      </c>
      <c r="O157" s="3">
        <f>VLOOKUP(C157,'Talente &amp; Stuff'!BI:CJ,13,FALSE)</f>
        <v>0</v>
      </c>
      <c r="P157" s="174">
        <f>VLOOKUP(C157,'Talente &amp; Stuff'!BI:CJ,14,FALSE)</f>
        <v>0</v>
      </c>
      <c r="Q157" s="114">
        <f>VLOOKUP(C157,'Talente &amp; Stuff'!BI:CJ,15,FALSE)</f>
        <v>0</v>
      </c>
      <c r="R157" s="117">
        <f>VLOOKUP(C157,'Talente &amp; Stuff'!BI:CJ,16,FALSE)</f>
        <v>0</v>
      </c>
      <c r="S157" s="119">
        <f>VLOOKUP(C157,'Talente &amp; Stuff'!BI:CJ,17,FALSE)</f>
        <v>0</v>
      </c>
      <c r="T157" s="119">
        <f>VLOOKUP(C157,'Talente &amp; Stuff'!BI:CJ,18,FALSE)</f>
        <v>0</v>
      </c>
      <c r="U157" s="89">
        <f>VLOOKUP(C157,'Talente &amp; Stuff'!BI:CJ,19,FALSE)</f>
        <v>0</v>
      </c>
      <c r="V157" s="47">
        <f>VLOOKUP(C157,'Talente &amp; Stuff'!BI:CJ,20,FALSE)</f>
        <v>0</v>
      </c>
      <c r="W157" s="127">
        <f>VLOOKUP(C157,'Talente &amp; Stuff'!BI:CJ,21,FALSE)</f>
        <v>0</v>
      </c>
      <c r="X157" s="127">
        <f>VLOOKUP(C157,'Talente &amp; Stuff'!BI:CJ,22,FALSE)</f>
        <v>0</v>
      </c>
      <c r="Y157" s="165">
        <f t="shared" si="16"/>
        <v>0</v>
      </c>
      <c r="Z157" s="44">
        <f t="shared" si="17"/>
        <v>0</v>
      </c>
      <c r="AA157" s="125">
        <f>VLOOKUP(C157,'Talente &amp; Stuff'!BI:CJ,25,FALSE)</f>
        <v>0</v>
      </c>
      <c r="AB157" s="160">
        <f>VLOOKUP(C157,'Talente &amp; Stuff'!BI:CJ,26,FALSE)</f>
        <v>0</v>
      </c>
      <c r="AC157" s="127">
        <f>VLOOKUP(C157,'Talente &amp; Stuff'!BI:CJ,27,FALSE)</f>
        <v>0</v>
      </c>
      <c r="AD157" s="125">
        <f>VLOOKUP(C157,'Talente &amp; Stuff'!BI:CJ,28,FALSE)</f>
        <v>0</v>
      </c>
      <c r="AE157" s="28"/>
    </row>
    <row r="158" spans="2:31" ht="15" hidden="1" customHeight="1" outlineLevel="2">
      <c r="B158" s="148">
        <v>6</v>
      </c>
      <c r="C158" s="177" t="str">
        <f>Attribute!C158</f>
        <v>---</v>
      </c>
      <c r="D158" s="86" t="str">
        <f>VLOOKUP(C158,'Talente &amp; Stuff'!BI:CJ,2,FALSE)</f>
        <v>--/--/--</v>
      </c>
      <c r="E158" s="167" t="str">
        <f>VLOOKUP(C158,'Talente &amp; Stuff'!BI:CJ,3,FALSE)</f>
        <v>-</v>
      </c>
      <c r="F158" s="120">
        <f>VLOOKUP(C158,'Talente &amp; Stuff'!BI:CJ,4,FALSE)</f>
        <v>0</v>
      </c>
      <c r="G158" s="117">
        <f>VLOOKUP(C158,'Talente &amp; Stuff'!BI:CJ,5,FALSE)</f>
        <v>0</v>
      </c>
      <c r="H158" s="117">
        <f>VLOOKUP(C158,'Talente &amp; Stuff'!BI:CJ,6,FALSE)</f>
        <v>0</v>
      </c>
      <c r="I158" s="117">
        <f>VLOOKUP(C158,'Talente &amp; Stuff'!BI:CJ,7,FALSE)</f>
        <v>0</v>
      </c>
      <c r="J158" s="117">
        <f>VLOOKUP(C158,'Talente &amp; Stuff'!BI:CJ,8,FALSE)</f>
        <v>0</v>
      </c>
      <c r="K158" s="117">
        <f>VLOOKUP(C158,'Talente &amp; Stuff'!BI:CJ,9,FALSE)</f>
        <v>0</v>
      </c>
      <c r="L158" s="117">
        <f>VLOOKUP(C158,'Talente &amp; Stuff'!BI:CJ,10,FALSE)</f>
        <v>0</v>
      </c>
      <c r="M158" s="121">
        <f>VLOOKUP(C158,'Talente &amp; Stuff'!BI:CJ,11,FALSE)</f>
        <v>0</v>
      </c>
      <c r="N158" s="47">
        <f>VLOOKUP(C158,'Talente &amp; Stuff'!BI:CJ,12,FALSE)</f>
        <v>0</v>
      </c>
      <c r="O158" s="3">
        <f>VLOOKUP(C158,'Talente &amp; Stuff'!BI:CJ,13,FALSE)</f>
        <v>0</v>
      </c>
      <c r="P158" s="174">
        <f>VLOOKUP(C158,'Talente &amp; Stuff'!BI:CJ,14,FALSE)</f>
        <v>0</v>
      </c>
      <c r="Q158" s="114">
        <f>VLOOKUP(C158,'Talente &amp; Stuff'!BI:CJ,15,FALSE)</f>
        <v>0</v>
      </c>
      <c r="R158" s="117">
        <f>VLOOKUP(C158,'Talente &amp; Stuff'!BI:CJ,16,FALSE)</f>
        <v>0</v>
      </c>
      <c r="S158" s="119">
        <f>VLOOKUP(C158,'Talente &amp; Stuff'!BI:CJ,17,FALSE)</f>
        <v>0</v>
      </c>
      <c r="T158" s="119">
        <f>VLOOKUP(C158,'Talente &amp; Stuff'!BI:CJ,18,FALSE)</f>
        <v>0</v>
      </c>
      <c r="U158" s="89">
        <f>VLOOKUP(C158,'Talente &amp; Stuff'!BI:CJ,19,FALSE)</f>
        <v>0</v>
      </c>
      <c r="V158" s="47">
        <f>VLOOKUP(C158,'Talente &amp; Stuff'!BI:CJ,20,FALSE)</f>
        <v>0</v>
      </c>
      <c r="W158" s="127">
        <f>VLOOKUP(C158,'Talente &amp; Stuff'!BI:CJ,21,FALSE)</f>
        <v>0</v>
      </c>
      <c r="X158" s="127">
        <f>VLOOKUP(C158,'Talente &amp; Stuff'!BI:CJ,22,FALSE)</f>
        <v>0</v>
      </c>
      <c r="Y158" s="165">
        <f t="shared" si="16"/>
        <v>0</v>
      </c>
      <c r="Z158" s="44">
        <f t="shared" si="17"/>
        <v>0</v>
      </c>
      <c r="AA158" s="125">
        <f>VLOOKUP(C158,'Talente &amp; Stuff'!BI:CJ,25,FALSE)</f>
        <v>0</v>
      </c>
      <c r="AB158" s="160">
        <f>VLOOKUP(C158,'Talente &amp; Stuff'!BI:CJ,26,FALSE)</f>
        <v>0</v>
      </c>
      <c r="AC158" s="127">
        <f>VLOOKUP(C158,'Talente &amp; Stuff'!BI:CJ,27,FALSE)</f>
        <v>0</v>
      </c>
      <c r="AD158" s="125">
        <f>VLOOKUP(C158,'Talente &amp; Stuff'!BI:CJ,28,FALSE)</f>
        <v>0</v>
      </c>
      <c r="AE158" s="28"/>
    </row>
    <row r="159" spans="2:31" ht="15" hidden="1" customHeight="1" outlineLevel="2">
      <c r="B159" s="148">
        <v>7</v>
      </c>
      <c r="C159" s="177" t="str">
        <f>Attribute!C159</f>
        <v>---</v>
      </c>
      <c r="D159" s="86" t="str">
        <f>VLOOKUP(C159,'Talente &amp; Stuff'!BI:CJ,2,FALSE)</f>
        <v>--/--/--</v>
      </c>
      <c r="E159" s="167" t="str">
        <f>VLOOKUP(C159,'Talente &amp; Stuff'!BI:CJ,3,FALSE)</f>
        <v>-</v>
      </c>
      <c r="F159" s="120">
        <f>VLOOKUP(C159,'Talente &amp; Stuff'!BI:CJ,4,FALSE)</f>
        <v>0</v>
      </c>
      <c r="G159" s="117">
        <f>VLOOKUP(C159,'Talente &amp; Stuff'!BI:CJ,5,FALSE)</f>
        <v>0</v>
      </c>
      <c r="H159" s="117">
        <f>VLOOKUP(C159,'Talente &amp; Stuff'!BI:CJ,6,FALSE)</f>
        <v>0</v>
      </c>
      <c r="I159" s="117">
        <f>VLOOKUP(C159,'Talente &amp; Stuff'!BI:CJ,7,FALSE)</f>
        <v>0</v>
      </c>
      <c r="J159" s="117">
        <f>VLOOKUP(C159,'Talente &amp; Stuff'!BI:CJ,8,FALSE)</f>
        <v>0</v>
      </c>
      <c r="K159" s="117">
        <f>VLOOKUP(C159,'Talente &amp; Stuff'!BI:CJ,9,FALSE)</f>
        <v>0</v>
      </c>
      <c r="L159" s="117">
        <f>VLOOKUP(C159,'Talente &amp; Stuff'!BI:CJ,10,FALSE)</f>
        <v>0</v>
      </c>
      <c r="M159" s="121">
        <f>VLOOKUP(C159,'Talente &amp; Stuff'!BI:CJ,11,FALSE)</f>
        <v>0</v>
      </c>
      <c r="N159" s="47">
        <f>VLOOKUP(C159,'Talente &amp; Stuff'!BI:CJ,12,FALSE)</f>
        <v>0</v>
      </c>
      <c r="O159" s="3">
        <f>VLOOKUP(C159,'Talente &amp; Stuff'!BI:CJ,13,FALSE)</f>
        <v>0</v>
      </c>
      <c r="P159" s="174">
        <f>VLOOKUP(C159,'Talente &amp; Stuff'!BI:CJ,14,FALSE)</f>
        <v>0</v>
      </c>
      <c r="Q159" s="114">
        <f>VLOOKUP(C159,'Talente &amp; Stuff'!BI:CJ,15,FALSE)</f>
        <v>0</v>
      </c>
      <c r="R159" s="117">
        <f>VLOOKUP(C159,'Talente &amp; Stuff'!BI:CJ,16,FALSE)</f>
        <v>0</v>
      </c>
      <c r="S159" s="119">
        <f>VLOOKUP(C159,'Talente &amp; Stuff'!BI:CJ,17,FALSE)</f>
        <v>0</v>
      </c>
      <c r="T159" s="119">
        <f>VLOOKUP(C159,'Talente &amp; Stuff'!BI:CJ,18,FALSE)</f>
        <v>0</v>
      </c>
      <c r="U159" s="89">
        <f>VLOOKUP(C159,'Talente &amp; Stuff'!BI:CJ,19,FALSE)</f>
        <v>0</v>
      </c>
      <c r="V159" s="47">
        <f>VLOOKUP(C159,'Talente &amp; Stuff'!BI:CJ,20,FALSE)</f>
        <v>0</v>
      </c>
      <c r="W159" s="127">
        <f>VLOOKUP(C159,'Talente &amp; Stuff'!BI:CJ,21,FALSE)</f>
        <v>0</v>
      </c>
      <c r="X159" s="127">
        <f>VLOOKUP(C159,'Talente &amp; Stuff'!BI:CJ,22,FALSE)</f>
        <v>0</v>
      </c>
      <c r="Y159" s="165">
        <f t="shared" si="16"/>
        <v>0</v>
      </c>
      <c r="Z159" s="44">
        <f t="shared" si="17"/>
        <v>0</v>
      </c>
      <c r="AA159" s="125">
        <f>VLOOKUP(C159,'Talente &amp; Stuff'!BI:CJ,25,FALSE)</f>
        <v>0</v>
      </c>
      <c r="AB159" s="160">
        <f>VLOOKUP(C159,'Talente &amp; Stuff'!BI:CJ,26,FALSE)</f>
        <v>0</v>
      </c>
      <c r="AC159" s="127">
        <f>VLOOKUP(C159,'Talente &amp; Stuff'!BI:CJ,27,FALSE)</f>
        <v>0</v>
      </c>
      <c r="AD159" s="125">
        <f>VLOOKUP(C159,'Talente &amp; Stuff'!BI:CJ,28,FALSE)</f>
        <v>0</v>
      </c>
      <c r="AE159" s="28"/>
    </row>
    <row r="160" spans="2:31" ht="15" hidden="1" customHeight="1" outlineLevel="2">
      <c r="B160" s="148">
        <v>8</v>
      </c>
      <c r="C160" s="177" t="str">
        <f>Attribute!C160</f>
        <v>---</v>
      </c>
      <c r="D160" s="86" t="str">
        <f>VLOOKUP(C160,'Talente &amp; Stuff'!BI:CJ,2,FALSE)</f>
        <v>--/--/--</v>
      </c>
      <c r="E160" s="167" t="str">
        <f>VLOOKUP(C160,'Talente &amp; Stuff'!BI:CJ,3,FALSE)</f>
        <v>-</v>
      </c>
      <c r="F160" s="120">
        <f>VLOOKUP(C160,'Talente &amp; Stuff'!BI:CJ,4,FALSE)</f>
        <v>0</v>
      </c>
      <c r="G160" s="117">
        <f>VLOOKUP(C160,'Talente &amp; Stuff'!BI:CJ,5,FALSE)</f>
        <v>0</v>
      </c>
      <c r="H160" s="117">
        <f>VLOOKUP(C160,'Talente &amp; Stuff'!BI:CJ,6,FALSE)</f>
        <v>0</v>
      </c>
      <c r="I160" s="117">
        <f>VLOOKUP(C160,'Talente &amp; Stuff'!BI:CJ,7,FALSE)</f>
        <v>0</v>
      </c>
      <c r="J160" s="117">
        <f>VLOOKUP(C160,'Talente &amp; Stuff'!BI:CJ,8,FALSE)</f>
        <v>0</v>
      </c>
      <c r="K160" s="117">
        <f>VLOOKUP(C160,'Talente &amp; Stuff'!BI:CJ,9,FALSE)</f>
        <v>0</v>
      </c>
      <c r="L160" s="117">
        <f>VLOOKUP(C160,'Talente &amp; Stuff'!BI:CJ,10,FALSE)</f>
        <v>0</v>
      </c>
      <c r="M160" s="121">
        <f>VLOOKUP(C160,'Talente &amp; Stuff'!BI:CJ,11,FALSE)</f>
        <v>0</v>
      </c>
      <c r="N160" s="47">
        <f>VLOOKUP(C160,'Talente &amp; Stuff'!BI:CJ,12,FALSE)</f>
        <v>0</v>
      </c>
      <c r="O160" s="3">
        <f>VLOOKUP(C160,'Talente &amp; Stuff'!BI:CJ,13,FALSE)</f>
        <v>0</v>
      </c>
      <c r="P160" s="174">
        <f>VLOOKUP(C160,'Talente &amp; Stuff'!BI:CJ,14,FALSE)</f>
        <v>0</v>
      </c>
      <c r="Q160" s="114">
        <f>VLOOKUP(C160,'Talente &amp; Stuff'!BI:CJ,15,FALSE)</f>
        <v>0</v>
      </c>
      <c r="R160" s="117">
        <f>VLOOKUP(C160,'Talente &amp; Stuff'!BI:CJ,16,FALSE)</f>
        <v>0</v>
      </c>
      <c r="S160" s="119">
        <f>VLOOKUP(C160,'Talente &amp; Stuff'!BI:CJ,17,FALSE)</f>
        <v>0</v>
      </c>
      <c r="T160" s="119">
        <f>VLOOKUP(C160,'Talente &amp; Stuff'!BI:CJ,18,FALSE)</f>
        <v>0</v>
      </c>
      <c r="U160" s="89">
        <f>VLOOKUP(C160,'Talente &amp; Stuff'!BI:CJ,19,FALSE)</f>
        <v>0</v>
      </c>
      <c r="V160" s="47">
        <f>VLOOKUP(C160,'Talente &amp; Stuff'!BI:CJ,20,FALSE)</f>
        <v>0</v>
      </c>
      <c r="W160" s="127">
        <f>VLOOKUP(C160,'Talente &amp; Stuff'!BI:CJ,21,FALSE)</f>
        <v>0</v>
      </c>
      <c r="X160" s="127">
        <f>VLOOKUP(C160,'Talente &amp; Stuff'!BI:CJ,22,FALSE)</f>
        <v>0</v>
      </c>
      <c r="Y160" s="165">
        <f t="shared" si="16"/>
        <v>0</v>
      </c>
      <c r="Z160" s="44">
        <f t="shared" si="17"/>
        <v>0</v>
      </c>
      <c r="AA160" s="125">
        <f>VLOOKUP(C160,'Talente &amp; Stuff'!BI:CJ,25,FALSE)</f>
        <v>0</v>
      </c>
      <c r="AB160" s="160">
        <f>VLOOKUP(C160,'Talente &amp; Stuff'!BI:CJ,26,FALSE)</f>
        <v>0</v>
      </c>
      <c r="AC160" s="127">
        <f>VLOOKUP(C160,'Talente &amp; Stuff'!BI:CJ,27,FALSE)</f>
        <v>0</v>
      </c>
      <c r="AD160" s="125">
        <f>VLOOKUP(C160,'Talente &amp; Stuff'!BI:CJ,28,FALSE)</f>
        <v>0</v>
      </c>
      <c r="AE160" s="28"/>
    </row>
    <row r="161" spans="2:31" ht="15" hidden="1" customHeight="1" outlineLevel="2">
      <c r="B161" s="148">
        <v>9</v>
      </c>
      <c r="C161" s="177" t="str">
        <f>Attribute!C161</f>
        <v>---</v>
      </c>
      <c r="D161" s="86" t="str">
        <f>VLOOKUP(C161,'Talente &amp; Stuff'!BI:CJ,2,FALSE)</f>
        <v>--/--/--</v>
      </c>
      <c r="E161" s="167" t="str">
        <f>VLOOKUP(C161,'Talente &amp; Stuff'!BI:CJ,3,FALSE)</f>
        <v>-</v>
      </c>
      <c r="F161" s="120">
        <f>VLOOKUP(C161,'Talente &amp; Stuff'!BI:CJ,4,FALSE)</f>
        <v>0</v>
      </c>
      <c r="G161" s="117">
        <f>VLOOKUP(C161,'Talente &amp; Stuff'!BI:CJ,5,FALSE)</f>
        <v>0</v>
      </c>
      <c r="H161" s="117">
        <f>VLOOKUP(C161,'Talente &amp; Stuff'!BI:CJ,6,FALSE)</f>
        <v>0</v>
      </c>
      <c r="I161" s="117">
        <f>VLOOKUP(C161,'Talente &amp; Stuff'!BI:CJ,7,FALSE)</f>
        <v>0</v>
      </c>
      <c r="J161" s="117">
        <f>VLOOKUP(C161,'Talente &amp; Stuff'!BI:CJ,8,FALSE)</f>
        <v>0</v>
      </c>
      <c r="K161" s="117">
        <f>VLOOKUP(C161,'Talente &amp; Stuff'!BI:CJ,9,FALSE)</f>
        <v>0</v>
      </c>
      <c r="L161" s="117">
        <f>VLOOKUP(C161,'Talente &amp; Stuff'!BI:CJ,10,FALSE)</f>
        <v>0</v>
      </c>
      <c r="M161" s="121">
        <f>VLOOKUP(C161,'Talente &amp; Stuff'!BI:CJ,11,FALSE)</f>
        <v>0</v>
      </c>
      <c r="N161" s="47">
        <f>VLOOKUP(C161,'Talente &amp; Stuff'!BI:CJ,12,FALSE)</f>
        <v>0</v>
      </c>
      <c r="O161" s="3">
        <f>VLOOKUP(C161,'Talente &amp; Stuff'!BI:CJ,13,FALSE)</f>
        <v>0</v>
      </c>
      <c r="P161" s="174">
        <f>VLOOKUP(C161,'Talente &amp; Stuff'!BI:CJ,14,FALSE)</f>
        <v>0</v>
      </c>
      <c r="Q161" s="114">
        <f>VLOOKUP(C161,'Talente &amp; Stuff'!BI:CJ,15,FALSE)</f>
        <v>0</v>
      </c>
      <c r="R161" s="117">
        <f>VLOOKUP(C161,'Talente &amp; Stuff'!BI:CJ,16,FALSE)</f>
        <v>0</v>
      </c>
      <c r="S161" s="119">
        <f>VLOOKUP(C161,'Talente &amp; Stuff'!BI:CJ,17,FALSE)</f>
        <v>0</v>
      </c>
      <c r="T161" s="119">
        <f>VLOOKUP(C161,'Talente &amp; Stuff'!BI:CJ,18,FALSE)</f>
        <v>0</v>
      </c>
      <c r="U161" s="89">
        <f>VLOOKUP(C161,'Talente &amp; Stuff'!BI:CJ,19,FALSE)</f>
        <v>0</v>
      </c>
      <c r="V161" s="47">
        <f>VLOOKUP(C161,'Talente &amp; Stuff'!BI:CJ,20,FALSE)</f>
        <v>0</v>
      </c>
      <c r="W161" s="127">
        <f>VLOOKUP(C161,'Talente &amp; Stuff'!BI:CJ,21,FALSE)</f>
        <v>0</v>
      </c>
      <c r="X161" s="127">
        <f>VLOOKUP(C161,'Talente &amp; Stuff'!BI:CJ,22,FALSE)</f>
        <v>0</v>
      </c>
      <c r="Y161" s="165">
        <f t="shared" si="16"/>
        <v>0</v>
      </c>
      <c r="Z161" s="44">
        <f t="shared" si="17"/>
        <v>0</v>
      </c>
      <c r="AA161" s="125">
        <f>VLOOKUP(C161,'Talente &amp; Stuff'!BI:CJ,25,FALSE)</f>
        <v>0</v>
      </c>
      <c r="AB161" s="160">
        <f>VLOOKUP(C161,'Talente &amp; Stuff'!BI:CJ,26,FALSE)</f>
        <v>0</v>
      </c>
      <c r="AC161" s="127">
        <f>VLOOKUP(C161,'Talente &amp; Stuff'!BI:CJ,27,FALSE)</f>
        <v>0</v>
      </c>
      <c r="AD161" s="125">
        <f>VLOOKUP(C161,'Talente &amp; Stuff'!BI:CJ,28,FALSE)</f>
        <v>0</v>
      </c>
      <c r="AE161" s="28"/>
    </row>
    <row r="162" spans="2:31" ht="15" hidden="1" customHeight="1" outlineLevel="2">
      <c r="B162" s="148">
        <v>10</v>
      </c>
      <c r="C162" s="177" t="str">
        <f>Attribute!C162</f>
        <v>---</v>
      </c>
      <c r="D162" s="86" t="str">
        <f>VLOOKUP(C162,'Talente &amp; Stuff'!BI:CJ,2,FALSE)</f>
        <v>--/--/--</v>
      </c>
      <c r="E162" s="167" t="str">
        <f>VLOOKUP(C162,'Talente &amp; Stuff'!BI:CJ,3,FALSE)</f>
        <v>-</v>
      </c>
      <c r="F162" s="120">
        <f>VLOOKUP(C162,'Talente &amp; Stuff'!BI:CJ,4,FALSE)</f>
        <v>0</v>
      </c>
      <c r="G162" s="117">
        <f>VLOOKUP(C162,'Talente &amp; Stuff'!BI:CJ,5,FALSE)</f>
        <v>0</v>
      </c>
      <c r="H162" s="117">
        <f>VLOOKUP(C162,'Talente &amp; Stuff'!BI:CJ,6,FALSE)</f>
        <v>0</v>
      </c>
      <c r="I162" s="117">
        <f>VLOOKUP(C162,'Talente &amp; Stuff'!BI:CJ,7,FALSE)</f>
        <v>0</v>
      </c>
      <c r="J162" s="117">
        <f>VLOOKUP(C162,'Talente &amp; Stuff'!BI:CJ,8,FALSE)</f>
        <v>0</v>
      </c>
      <c r="K162" s="117">
        <f>VLOOKUP(C162,'Talente &amp; Stuff'!BI:CJ,9,FALSE)</f>
        <v>0</v>
      </c>
      <c r="L162" s="117">
        <f>VLOOKUP(C162,'Talente &amp; Stuff'!BI:CJ,10,FALSE)</f>
        <v>0</v>
      </c>
      <c r="M162" s="121">
        <f>VLOOKUP(C162,'Talente &amp; Stuff'!BI:CJ,11,FALSE)</f>
        <v>0</v>
      </c>
      <c r="N162" s="47">
        <f>VLOOKUP(C162,'Talente &amp; Stuff'!BI:CJ,12,FALSE)</f>
        <v>0</v>
      </c>
      <c r="O162" s="3">
        <f>VLOOKUP(C162,'Talente &amp; Stuff'!BI:CJ,13,FALSE)</f>
        <v>0</v>
      </c>
      <c r="P162" s="174">
        <f>VLOOKUP(C162,'Talente &amp; Stuff'!BI:CJ,14,FALSE)</f>
        <v>0</v>
      </c>
      <c r="Q162" s="114">
        <f>VLOOKUP(C162,'Talente &amp; Stuff'!BI:CJ,15,FALSE)</f>
        <v>0</v>
      </c>
      <c r="R162" s="117">
        <f>VLOOKUP(C162,'Talente &amp; Stuff'!BI:CJ,16,FALSE)</f>
        <v>0</v>
      </c>
      <c r="S162" s="119">
        <f>VLOOKUP(C162,'Talente &amp; Stuff'!BI:CJ,17,FALSE)</f>
        <v>0</v>
      </c>
      <c r="T162" s="119">
        <f>VLOOKUP(C162,'Talente &amp; Stuff'!BI:CJ,18,FALSE)</f>
        <v>0</v>
      </c>
      <c r="U162" s="89">
        <f>VLOOKUP(C162,'Talente &amp; Stuff'!BI:CJ,19,FALSE)</f>
        <v>0</v>
      </c>
      <c r="V162" s="47">
        <f>VLOOKUP(C162,'Talente &amp; Stuff'!BI:CJ,20,FALSE)</f>
        <v>0</v>
      </c>
      <c r="W162" s="127">
        <f>VLOOKUP(C162,'Talente &amp; Stuff'!BI:CJ,21,FALSE)</f>
        <v>0</v>
      </c>
      <c r="X162" s="127">
        <f>VLOOKUP(C162,'Talente &amp; Stuff'!BI:CJ,22,FALSE)</f>
        <v>0</v>
      </c>
      <c r="Y162" s="165">
        <f t="shared" si="16"/>
        <v>0</v>
      </c>
      <c r="Z162" s="44">
        <f t="shared" si="17"/>
        <v>0</v>
      </c>
      <c r="AA162" s="125">
        <f>VLOOKUP(C162,'Talente &amp; Stuff'!BI:CJ,25,FALSE)</f>
        <v>0</v>
      </c>
      <c r="AB162" s="160">
        <f>VLOOKUP(C162,'Talente &amp; Stuff'!BI:CJ,26,FALSE)</f>
        <v>0</v>
      </c>
      <c r="AC162" s="127">
        <f>VLOOKUP(C162,'Talente &amp; Stuff'!BI:CJ,27,FALSE)</f>
        <v>0</v>
      </c>
      <c r="AD162" s="125">
        <f>VLOOKUP(C162,'Talente &amp; Stuff'!BI:CJ,28,FALSE)</f>
        <v>0</v>
      </c>
      <c r="AE162" s="28"/>
    </row>
    <row r="163" spans="2:31" ht="15" hidden="1" customHeight="1" outlineLevel="2">
      <c r="B163" s="148">
        <v>11</v>
      </c>
      <c r="C163" s="177" t="str">
        <f>Attribute!C163</f>
        <v>---</v>
      </c>
      <c r="D163" s="86" t="str">
        <f>VLOOKUP(C163,'Talente &amp; Stuff'!BI:CJ,2,FALSE)</f>
        <v>--/--/--</v>
      </c>
      <c r="E163" s="167" t="str">
        <f>VLOOKUP(C163,'Talente &amp; Stuff'!BI:CJ,3,FALSE)</f>
        <v>-</v>
      </c>
      <c r="F163" s="120">
        <f>VLOOKUP(C163,'Talente &amp; Stuff'!BI:CJ,4,FALSE)</f>
        <v>0</v>
      </c>
      <c r="G163" s="117">
        <f>VLOOKUP(C163,'Talente &amp; Stuff'!BI:CJ,5,FALSE)</f>
        <v>0</v>
      </c>
      <c r="H163" s="117">
        <f>VLOOKUP(C163,'Talente &amp; Stuff'!BI:CJ,6,FALSE)</f>
        <v>0</v>
      </c>
      <c r="I163" s="117">
        <f>VLOOKUP(C163,'Talente &amp; Stuff'!BI:CJ,7,FALSE)</f>
        <v>0</v>
      </c>
      <c r="J163" s="117">
        <f>VLOOKUP(C163,'Talente &amp; Stuff'!BI:CJ,8,FALSE)</f>
        <v>0</v>
      </c>
      <c r="K163" s="117">
        <f>VLOOKUP(C163,'Talente &amp; Stuff'!BI:CJ,9,FALSE)</f>
        <v>0</v>
      </c>
      <c r="L163" s="117">
        <f>VLOOKUP(C163,'Talente &amp; Stuff'!BI:CJ,10,FALSE)</f>
        <v>0</v>
      </c>
      <c r="M163" s="121">
        <f>VLOOKUP(C163,'Talente &amp; Stuff'!BI:CJ,11,FALSE)</f>
        <v>0</v>
      </c>
      <c r="N163" s="47">
        <f>VLOOKUP(C163,'Talente &amp; Stuff'!BI:CJ,12,FALSE)</f>
        <v>0</v>
      </c>
      <c r="O163" s="3">
        <f>VLOOKUP(C163,'Talente &amp; Stuff'!BI:CJ,13,FALSE)</f>
        <v>0</v>
      </c>
      <c r="P163" s="174">
        <f>VLOOKUP(C163,'Talente &amp; Stuff'!BI:CJ,14,FALSE)</f>
        <v>0</v>
      </c>
      <c r="Q163" s="114">
        <f>VLOOKUP(C163,'Talente &amp; Stuff'!BI:CJ,15,FALSE)</f>
        <v>0</v>
      </c>
      <c r="R163" s="117">
        <f>VLOOKUP(C163,'Talente &amp; Stuff'!BI:CJ,16,FALSE)</f>
        <v>0</v>
      </c>
      <c r="S163" s="119">
        <f>VLOOKUP(C163,'Talente &amp; Stuff'!BI:CJ,17,FALSE)</f>
        <v>0</v>
      </c>
      <c r="T163" s="119">
        <f>VLOOKUP(C163,'Talente &amp; Stuff'!BI:CJ,18,FALSE)</f>
        <v>0</v>
      </c>
      <c r="U163" s="89">
        <f>VLOOKUP(C163,'Talente &amp; Stuff'!BI:CJ,19,FALSE)</f>
        <v>0</v>
      </c>
      <c r="V163" s="47">
        <f>VLOOKUP(C163,'Talente &amp; Stuff'!BI:CJ,20,FALSE)</f>
        <v>0</v>
      </c>
      <c r="W163" s="127">
        <f>VLOOKUP(C163,'Talente &amp; Stuff'!BI:CJ,21,FALSE)</f>
        <v>0</v>
      </c>
      <c r="X163" s="127">
        <f>VLOOKUP(C163,'Talente &amp; Stuff'!BI:CJ,22,FALSE)</f>
        <v>0</v>
      </c>
      <c r="Y163" s="165">
        <f t="shared" si="16"/>
        <v>0</v>
      </c>
      <c r="Z163" s="44">
        <f t="shared" si="17"/>
        <v>0</v>
      </c>
      <c r="AA163" s="125">
        <f>VLOOKUP(C163,'Talente &amp; Stuff'!BI:CJ,25,FALSE)</f>
        <v>0</v>
      </c>
      <c r="AB163" s="160">
        <f>VLOOKUP(C163,'Talente &amp; Stuff'!BI:CJ,26,FALSE)</f>
        <v>0</v>
      </c>
      <c r="AC163" s="127">
        <f>VLOOKUP(C163,'Talente &amp; Stuff'!BI:CJ,27,FALSE)</f>
        <v>0</v>
      </c>
      <c r="AD163" s="125">
        <f>VLOOKUP(C163,'Talente &amp; Stuff'!BI:CJ,28,FALSE)</f>
        <v>0</v>
      </c>
      <c r="AE163" s="28"/>
    </row>
    <row r="164" spans="2:31" ht="15" hidden="1" customHeight="1" outlineLevel="2">
      <c r="B164" s="148">
        <v>12</v>
      </c>
      <c r="C164" s="177" t="str">
        <f>Attribute!C164</f>
        <v>---</v>
      </c>
      <c r="D164" s="86" t="str">
        <f>VLOOKUP(C164,'Talente &amp; Stuff'!BI:CJ,2,FALSE)</f>
        <v>--/--/--</v>
      </c>
      <c r="E164" s="167" t="str">
        <f>VLOOKUP(C164,'Talente &amp; Stuff'!BI:CJ,3,FALSE)</f>
        <v>-</v>
      </c>
      <c r="F164" s="120">
        <f>VLOOKUP(C164,'Talente &amp; Stuff'!BI:CJ,4,FALSE)</f>
        <v>0</v>
      </c>
      <c r="G164" s="117">
        <f>VLOOKUP(C164,'Talente &amp; Stuff'!BI:CJ,5,FALSE)</f>
        <v>0</v>
      </c>
      <c r="H164" s="117">
        <f>VLOOKUP(C164,'Talente &amp; Stuff'!BI:CJ,6,FALSE)</f>
        <v>0</v>
      </c>
      <c r="I164" s="117">
        <f>VLOOKUP(C164,'Talente &amp; Stuff'!BI:CJ,7,FALSE)</f>
        <v>0</v>
      </c>
      <c r="J164" s="117">
        <f>VLOOKUP(C164,'Talente &amp; Stuff'!BI:CJ,8,FALSE)</f>
        <v>0</v>
      </c>
      <c r="K164" s="117">
        <f>VLOOKUP(C164,'Talente &amp; Stuff'!BI:CJ,9,FALSE)</f>
        <v>0</v>
      </c>
      <c r="L164" s="117">
        <f>VLOOKUP(C164,'Talente &amp; Stuff'!BI:CJ,10,FALSE)</f>
        <v>0</v>
      </c>
      <c r="M164" s="121">
        <f>VLOOKUP(C164,'Talente &amp; Stuff'!BI:CJ,11,FALSE)</f>
        <v>0</v>
      </c>
      <c r="N164" s="47">
        <f>VLOOKUP(C164,'Talente &amp; Stuff'!BI:CJ,12,FALSE)</f>
        <v>0</v>
      </c>
      <c r="O164" s="3">
        <f>VLOOKUP(C164,'Talente &amp; Stuff'!BI:CJ,13,FALSE)</f>
        <v>0</v>
      </c>
      <c r="P164" s="174">
        <f>VLOOKUP(C164,'Talente &amp; Stuff'!BI:CJ,14,FALSE)</f>
        <v>0</v>
      </c>
      <c r="Q164" s="114">
        <f>VLOOKUP(C164,'Talente &amp; Stuff'!BI:CJ,15,FALSE)</f>
        <v>0</v>
      </c>
      <c r="R164" s="117">
        <f>VLOOKUP(C164,'Talente &amp; Stuff'!BI:CJ,16,FALSE)</f>
        <v>0</v>
      </c>
      <c r="S164" s="119">
        <f>VLOOKUP(C164,'Talente &amp; Stuff'!BI:CJ,17,FALSE)</f>
        <v>0</v>
      </c>
      <c r="T164" s="119">
        <f>VLOOKUP(C164,'Talente &amp; Stuff'!BI:CJ,18,FALSE)</f>
        <v>0</v>
      </c>
      <c r="U164" s="89">
        <f>VLOOKUP(C164,'Talente &amp; Stuff'!BI:CJ,19,FALSE)</f>
        <v>0</v>
      </c>
      <c r="V164" s="47">
        <f>VLOOKUP(C164,'Talente &amp; Stuff'!BI:CJ,20,FALSE)</f>
        <v>0</v>
      </c>
      <c r="W164" s="127">
        <f>VLOOKUP(C164,'Talente &amp; Stuff'!BI:CJ,21,FALSE)</f>
        <v>0</v>
      </c>
      <c r="X164" s="127">
        <f>VLOOKUP(C164,'Talente &amp; Stuff'!BI:CJ,22,FALSE)</f>
        <v>0</v>
      </c>
      <c r="Y164" s="165">
        <f t="shared" si="16"/>
        <v>0</v>
      </c>
      <c r="Z164" s="44">
        <f t="shared" si="17"/>
        <v>0</v>
      </c>
      <c r="AA164" s="125">
        <f>VLOOKUP(C164,'Talente &amp; Stuff'!BI:CJ,25,FALSE)</f>
        <v>0</v>
      </c>
      <c r="AB164" s="160">
        <f>VLOOKUP(C164,'Talente &amp; Stuff'!BI:CJ,26,FALSE)</f>
        <v>0</v>
      </c>
      <c r="AC164" s="127">
        <f>VLOOKUP(C164,'Talente &amp; Stuff'!BI:CJ,27,FALSE)</f>
        <v>0</v>
      </c>
      <c r="AD164" s="125">
        <f>VLOOKUP(C164,'Talente &amp; Stuff'!BI:CJ,28,FALSE)</f>
        <v>0</v>
      </c>
      <c r="AE164" s="28"/>
    </row>
    <row r="165" spans="2:31" ht="15" hidden="1" customHeight="1" outlineLevel="2">
      <c r="B165" s="148">
        <v>13</v>
      </c>
      <c r="C165" s="177" t="str">
        <f>Attribute!C165</f>
        <v>---</v>
      </c>
      <c r="D165" s="86" t="str">
        <f>VLOOKUP(C165,'Talente &amp; Stuff'!BI:CJ,2,FALSE)</f>
        <v>--/--/--</v>
      </c>
      <c r="E165" s="167" t="str">
        <f>VLOOKUP(C165,'Talente &amp; Stuff'!BI:CJ,3,FALSE)</f>
        <v>-</v>
      </c>
      <c r="F165" s="120">
        <f>VLOOKUP(C165,'Talente &amp; Stuff'!BI:CJ,4,FALSE)</f>
        <v>0</v>
      </c>
      <c r="G165" s="117">
        <f>VLOOKUP(C165,'Talente &amp; Stuff'!BI:CJ,5,FALSE)</f>
        <v>0</v>
      </c>
      <c r="H165" s="117">
        <f>VLOOKUP(C165,'Talente &amp; Stuff'!BI:CJ,6,FALSE)</f>
        <v>0</v>
      </c>
      <c r="I165" s="117">
        <f>VLOOKUP(C165,'Talente &amp; Stuff'!BI:CJ,7,FALSE)</f>
        <v>0</v>
      </c>
      <c r="J165" s="117">
        <f>VLOOKUP(C165,'Talente &amp; Stuff'!BI:CJ,8,FALSE)</f>
        <v>0</v>
      </c>
      <c r="K165" s="117">
        <f>VLOOKUP(C165,'Talente &amp; Stuff'!BI:CJ,9,FALSE)</f>
        <v>0</v>
      </c>
      <c r="L165" s="117">
        <f>VLOOKUP(C165,'Talente &amp; Stuff'!BI:CJ,10,FALSE)</f>
        <v>0</v>
      </c>
      <c r="M165" s="121">
        <f>VLOOKUP(C165,'Talente &amp; Stuff'!BI:CJ,11,FALSE)</f>
        <v>0</v>
      </c>
      <c r="N165" s="47">
        <f>VLOOKUP(C165,'Talente &amp; Stuff'!BI:CJ,12,FALSE)</f>
        <v>0</v>
      </c>
      <c r="O165" s="3">
        <f>VLOOKUP(C165,'Talente &amp; Stuff'!BI:CJ,13,FALSE)</f>
        <v>0</v>
      </c>
      <c r="P165" s="174">
        <f>VLOOKUP(C165,'Talente &amp; Stuff'!BI:CJ,14,FALSE)</f>
        <v>0</v>
      </c>
      <c r="Q165" s="114">
        <f>VLOOKUP(C165,'Talente &amp; Stuff'!BI:CJ,15,FALSE)</f>
        <v>0</v>
      </c>
      <c r="R165" s="117">
        <f>VLOOKUP(C165,'Talente &amp; Stuff'!BI:CJ,16,FALSE)</f>
        <v>0</v>
      </c>
      <c r="S165" s="119">
        <f>VLOOKUP(C165,'Talente &amp; Stuff'!BI:CJ,17,FALSE)</f>
        <v>0</v>
      </c>
      <c r="T165" s="119">
        <f>VLOOKUP(C165,'Talente &amp; Stuff'!BI:CJ,18,FALSE)</f>
        <v>0</v>
      </c>
      <c r="U165" s="89">
        <f>VLOOKUP(C165,'Talente &amp; Stuff'!BI:CJ,19,FALSE)</f>
        <v>0</v>
      </c>
      <c r="V165" s="47">
        <f>VLOOKUP(C165,'Talente &amp; Stuff'!BI:CJ,20,FALSE)</f>
        <v>0</v>
      </c>
      <c r="W165" s="127">
        <f>VLOOKUP(C165,'Talente &amp; Stuff'!BI:CJ,21,FALSE)</f>
        <v>0</v>
      </c>
      <c r="X165" s="127">
        <f>VLOOKUP(C165,'Talente &amp; Stuff'!BI:CJ,22,FALSE)</f>
        <v>0</v>
      </c>
      <c r="Y165" s="165">
        <f t="shared" si="16"/>
        <v>0</v>
      </c>
      <c r="Z165" s="44">
        <f t="shared" si="17"/>
        <v>0</v>
      </c>
      <c r="AA165" s="125">
        <f>VLOOKUP(C165,'Talente &amp; Stuff'!BI:CJ,25,FALSE)</f>
        <v>0</v>
      </c>
      <c r="AB165" s="160">
        <f>VLOOKUP(C165,'Talente &amp; Stuff'!BI:CJ,26,FALSE)</f>
        <v>0</v>
      </c>
      <c r="AC165" s="127">
        <f>VLOOKUP(C165,'Talente &amp; Stuff'!BI:CJ,27,FALSE)</f>
        <v>0</v>
      </c>
      <c r="AD165" s="125">
        <f>VLOOKUP(C165,'Talente &amp; Stuff'!BI:CJ,28,FALSE)</f>
        <v>0</v>
      </c>
      <c r="AE165" s="28"/>
    </row>
    <row r="166" spans="2:31" ht="15" hidden="1" customHeight="1" outlineLevel="2">
      <c r="B166" s="148">
        <v>14</v>
      </c>
      <c r="C166" s="177" t="str">
        <f>Attribute!C166</f>
        <v>---</v>
      </c>
      <c r="D166" s="86" t="str">
        <f>VLOOKUP(C166,'Talente &amp; Stuff'!BI:CJ,2,FALSE)</f>
        <v>--/--/--</v>
      </c>
      <c r="E166" s="167" t="str">
        <f>VLOOKUP(C166,'Talente &amp; Stuff'!BI:CJ,3,FALSE)</f>
        <v>-</v>
      </c>
      <c r="F166" s="120">
        <f>VLOOKUP(C166,'Talente &amp; Stuff'!BI:CJ,4,FALSE)</f>
        <v>0</v>
      </c>
      <c r="G166" s="117">
        <f>VLOOKUP(C166,'Talente &amp; Stuff'!BI:CJ,5,FALSE)</f>
        <v>0</v>
      </c>
      <c r="H166" s="117">
        <f>VLOOKUP(C166,'Talente &amp; Stuff'!BI:CJ,6,FALSE)</f>
        <v>0</v>
      </c>
      <c r="I166" s="117">
        <f>VLOOKUP(C166,'Talente &amp; Stuff'!BI:CJ,7,FALSE)</f>
        <v>0</v>
      </c>
      <c r="J166" s="117">
        <f>VLOOKUP(C166,'Talente &amp; Stuff'!BI:CJ,8,FALSE)</f>
        <v>0</v>
      </c>
      <c r="K166" s="117">
        <f>VLOOKUP(C166,'Talente &amp; Stuff'!BI:CJ,9,FALSE)</f>
        <v>0</v>
      </c>
      <c r="L166" s="117">
        <f>VLOOKUP(C166,'Talente &amp; Stuff'!BI:CJ,10,FALSE)</f>
        <v>0</v>
      </c>
      <c r="M166" s="121">
        <f>VLOOKUP(C166,'Talente &amp; Stuff'!BI:CJ,11,FALSE)</f>
        <v>0</v>
      </c>
      <c r="N166" s="47">
        <f>VLOOKUP(C166,'Talente &amp; Stuff'!BI:CJ,12,FALSE)</f>
        <v>0</v>
      </c>
      <c r="O166" s="3">
        <f>VLOOKUP(C166,'Talente &amp; Stuff'!BI:CJ,13,FALSE)</f>
        <v>0</v>
      </c>
      <c r="P166" s="174">
        <f>VLOOKUP(C166,'Talente &amp; Stuff'!BI:CJ,14,FALSE)</f>
        <v>0</v>
      </c>
      <c r="Q166" s="114">
        <f>VLOOKUP(C166,'Talente &amp; Stuff'!BI:CJ,15,FALSE)</f>
        <v>0</v>
      </c>
      <c r="R166" s="117">
        <f>VLOOKUP(C166,'Talente &amp; Stuff'!BI:CJ,16,FALSE)</f>
        <v>0</v>
      </c>
      <c r="S166" s="119">
        <f>VLOOKUP(C166,'Talente &amp; Stuff'!BI:CJ,17,FALSE)</f>
        <v>0</v>
      </c>
      <c r="T166" s="119">
        <f>VLOOKUP(C166,'Talente &amp; Stuff'!BI:CJ,18,FALSE)</f>
        <v>0</v>
      </c>
      <c r="U166" s="89">
        <f>VLOOKUP(C166,'Talente &amp; Stuff'!BI:CJ,19,FALSE)</f>
        <v>0</v>
      </c>
      <c r="V166" s="47">
        <f>VLOOKUP(C166,'Talente &amp; Stuff'!BI:CJ,20,FALSE)</f>
        <v>0</v>
      </c>
      <c r="W166" s="127">
        <f>VLOOKUP(C166,'Talente &amp; Stuff'!BI:CJ,21,FALSE)</f>
        <v>0</v>
      </c>
      <c r="X166" s="127">
        <f>VLOOKUP(C166,'Talente &amp; Stuff'!BI:CJ,22,FALSE)</f>
        <v>0</v>
      </c>
      <c r="Y166" s="165">
        <f t="shared" si="16"/>
        <v>0</v>
      </c>
      <c r="Z166" s="44">
        <f t="shared" si="17"/>
        <v>0</v>
      </c>
      <c r="AA166" s="125">
        <f>VLOOKUP(C166,'Talente &amp; Stuff'!BI:CJ,25,FALSE)</f>
        <v>0</v>
      </c>
      <c r="AB166" s="160">
        <f>VLOOKUP(C166,'Talente &amp; Stuff'!BI:CJ,26,FALSE)</f>
        <v>0</v>
      </c>
      <c r="AC166" s="127">
        <f>VLOOKUP(C166,'Talente &amp; Stuff'!BI:CJ,27,FALSE)</f>
        <v>0</v>
      </c>
      <c r="AD166" s="125">
        <f>VLOOKUP(C166,'Talente &amp; Stuff'!BI:CJ,28,FALSE)</f>
        <v>0</v>
      </c>
      <c r="AE166" s="28"/>
    </row>
    <row r="167" spans="2:31" ht="15" hidden="1" customHeight="1" outlineLevel="2">
      <c r="B167" s="148">
        <v>15</v>
      </c>
      <c r="C167" s="177" t="str">
        <f>Attribute!C167</f>
        <v>---</v>
      </c>
      <c r="D167" s="86" t="str">
        <f>VLOOKUP(C167,'Talente &amp; Stuff'!BI:CJ,2,FALSE)</f>
        <v>--/--/--</v>
      </c>
      <c r="E167" s="167" t="str">
        <f>VLOOKUP(C167,'Talente &amp; Stuff'!BI:CJ,3,FALSE)</f>
        <v>-</v>
      </c>
      <c r="F167" s="120">
        <f>VLOOKUP(C167,'Talente &amp; Stuff'!BI:CJ,4,FALSE)</f>
        <v>0</v>
      </c>
      <c r="G167" s="117">
        <f>VLOOKUP(C167,'Talente &amp; Stuff'!BI:CJ,5,FALSE)</f>
        <v>0</v>
      </c>
      <c r="H167" s="117">
        <f>VLOOKUP(C167,'Talente &amp; Stuff'!BI:CJ,6,FALSE)</f>
        <v>0</v>
      </c>
      <c r="I167" s="117">
        <f>VLOOKUP(C167,'Talente &amp; Stuff'!BI:CJ,7,FALSE)</f>
        <v>0</v>
      </c>
      <c r="J167" s="117">
        <f>VLOOKUP(C167,'Talente &amp; Stuff'!BI:CJ,8,FALSE)</f>
        <v>0</v>
      </c>
      <c r="K167" s="117">
        <f>VLOOKUP(C167,'Talente &amp; Stuff'!BI:CJ,9,FALSE)</f>
        <v>0</v>
      </c>
      <c r="L167" s="117">
        <f>VLOOKUP(C167,'Talente &amp; Stuff'!BI:CJ,10,FALSE)</f>
        <v>0</v>
      </c>
      <c r="M167" s="121">
        <f>VLOOKUP(C167,'Talente &amp; Stuff'!BI:CJ,11,FALSE)</f>
        <v>0</v>
      </c>
      <c r="N167" s="47">
        <f>VLOOKUP(C167,'Talente &amp; Stuff'!BI:CJ,12,FALSE)</f>
        <v>0</v>
      </c>
      <c r="O167" s="3">
        <f>VLOOKUP(C167,'Talente &amp; Stuff'!BI:CJ,13,FALSE)</f>
        <v>0</v>
      </c>
      <c r="P167" s="174">
        <f>VLOOKUP(C167,'Talente &amp; Stuff'!BI:CJ,14,FALSE)</f>
        <v>0</v>
      </c>
      <c r="Q167" s="114">
        <f>VLOOKUP(C167,'Talente &amp; Stuff'!BI:CJ,15,FALSE)</f>
        <v>0</v>
      </c>
      <c r="R167" s="117">
        <f>VLOOKUP(C167,'Talente &amp; Stuff'!BI:CJ,16,FALSE)</f>
        <v>0</v>
      </c>
      <c r="S167" s="119">
        <f>VLOOKUP(C167,'Talente &amp; Stuff'!BI:CJ,17,FALSE)</f>
        <v>0</v>
      </c>
      <c r="T167" s="119">
        <f>VLOOKUP(C167,'Talente &amp; Stuff'!BI:CJ,18,FALSE)</f>
        <v>0</v>
      </c>
      <c r="U167" s="89">
        <f>VLOOKUP(C167,'Talente &amp; Stuff'!BI:CJ,19,FALSE)</f>
        <v>0</v>
      </c>
      <c r="V167" s="47">
        <f>VLOOKUP(C167,'Talente &amp; Stuff'!BI:CJ,20,FALSE)</f>
        <v>0</v>
      </c>
      <c r="W167" s="127">
        <f>VLOOKUP(C167,'Talente &amp; Stuff'!BI:CJ,21,FALSE)</f>
        <v>0</v>
      </c>
      <c r="X167" s="127">
        <f>VLOOKUP(C167,'Talente &amp; Stuff'!BI:CJ,22,FALSE)</f>
        <v>0</v>
      </c>
      <c r="Y167" s="165">
        <f t="shared" si="16"/>
        <v>0</v>
      </c>
      <c r="Z167" s="44">
        <f t="shared" si="17"/>
        <v>0</v>
      </c>
      <c r="AA167" s="125">
        <f>VLOOKUP(C167,'Talente &amp; Stuff'!BI:CJ,25,FALSE)</f>
        <v>0</v>
      </c>
      <c r="AB167" s="160">
        <f>VLOOKUP(C167,'Talente &amp; Stuff'!BI:CJ,26,FALSE)</f>
        <v>0</v>
      </c>
      <c r="AC167" s="127">
        <f>VLOOKUP(C167,'Talente &amp; Stuff'!BI:CJ,27,FALSE)</f>
        <v>0</v>
      </c>
      <c r="AD167" s="125">
        <f>VLOOKUP(C167,'Talente &amp; Stuff'!BI:CJ,28,FALSE)</f>
        <v>0</v>
      </c>
      <c r="AE167" s="28"/>
    </row>
    <row r="168" spans="2:31" ht="15" hidden="1" customHeight="1" outlineLevel="2">
      <c r="B168" s="148">
        <v>16</v>
      </c>
      <c r="C168" s="177" t="str">
        <f>Attribute!C168</f>
        <v>---</v>
      </c>
      <c r="D168" s="86" t="str">
        <f>VLOOKUP(C168,'Talente &amp; Stuff'!BI:CJ,2,FALSE)</f>
        <v>--/--/--</v>
      </c>
      <c r="E168" s="167" t="str">
        <f>VLOOKUP(C168,'Talente &amp; Stuff'!BI:CJ,3,FALSE)</f>
        <v>-</v>
      </c>
      <c r="F168" s="120">
        <f>VLOOKUP(C168,'Talente &amp; Stuff'!BI:CJ,4,FALSE)</f>
        <v>0</v>
      </c>
      <c r="G168" s="117">
        <f>VLOOKUP(C168,'Talente &amp; Stuff'!BI:CJ,5,FALSE)</f>
        <v>0</v>
      </c>
      <c r="H168" s="117">
        <f>VLOOKUP(C168,'Talente &amp; Stuff'!BI:CJ,6,FALSE)</f>
        <v>0</v>
      </c>
      <c r="I168" s="117">
        <f>VLOOKUP(C168,'Talente &amp; Stuff'!BI:CJ,7,FALSE)</f>
        <v>0</v>
      </c>
      <c r="J168" s="117">
        <f>VLOOKUP(C168,'Talente &amp; Stuff'!BI:CJ,8,FALSE)</f>
        <v>0</v>
      </c>
      <c r="K168" s="117">
        <f>VLOOKUP(C168,'Talente &amp; Stuff'!BI:CJ,9,FALSE)</f>
        <v>0</v>
      </c>
      <c r="L168" s="117">
        <f>VLOOKUP(C168,'Talente &amp; Stuff'!BI:CJ,10,FALSE)</f>
        <v>0</v>
      </c>
      <c r="M168" s="121">
        <f>VLOOKUP(C168,'Talente &amp; Stuff'!BI:CJ,11,FALSE)</f>
        <v>0</v>
      </c>
      <c r="N168" s="47">
        <f>VLOOKUP(C168,'Talente &amp; Stuff'!BI:CJ,12,FALSE)</f>
        <v>0</v>
      </c>
      <c r="O168" s="3">
        <f>VLOOKUP(C168,'Talente &amp; Stuff'!BI:CJ,13,FALSE)</f>
        <v>0</v>
      </c>
      <c r="P168" s="174">
        <f>VLOOKUP(C168,'Talente &amp; Stuff'!BI:CJ,14,FALSE)</f>
        <v>0</v>
      </c>
      <c r="Q168" s="114">
        <f>VLOOKUP(C168,'Talente &amp; Stuff'!BI:CJ,15,FALSE)</f>
        <v>0</v>
      </c>
      <c r="R168" s="117">
        <f>VLOOKUP(C168,'Talente &amp; Stuff'!BI:CJ,16,FALSE)</f>
        <v>0</v>
      </c>
      <c r="S168" s="119">
        <f>VLOOKUP(C168,'Talente &amp; Stuff'!BI:CJ,17,FALSE)</f>
        <v>0</v>
      </c>
      <c r="T168" s="119">
        <f>VLOOKUP(C168,'Talente &amp; Stuff'!BI:CJ,18,FALSE)</f>
        <v>0</v>
      </c>
      <c r="U168" s="89">
        <f>VLOOKUP(C168,'Talente &amp; Stuff'!BI:CJ,19,FALSE)</f>
        <v>0</v>
      </c>
      <c r="V168" s="47">
        <f>VLOOKUP(C168,'Talente &amp; Stuff'!BI:CJ,20,FALSE)</f>
        <v>0</v>
      </c>
      <c r="W168" s="127">
        <f>VLOOKUP(C168,'Talente &amp; Stuff'!BI:CJ,21,FALSE)</f>
        <v>0</v>
      </c>
      <c r="X168" s="127">
        <f>VLOOKUP(C168,'Talente &amp; Stuff'!BI:CJ,22,FALSE)</f>
        <v>0</v>
      </c>
      <c r="Y168" s="165">
        <f t="shared" si="16"/>
        <v>0</v>
      </c>
      <c r="Z168" s="44">
        <f t="shared" si="17"/>
        <v>0</v>
      </c>
      <c r="AA168" s="125">
        <f>VLOOKUP(C168,'Talente &amp; Stuff'!BI:CJ,25,FALSE)</f>
        <v>0</v>
      </c>
      <c r="AB168" s="160">
        <f>VLOOKUP(C168,'Talente &amp; Stuff'!BI:CJ,26,FALSE)</f>
        <v>0</v>
      </c>
      <c r="AC168" s="127">
        <f>VLOOKUP(C168,'Talente &amp; Stuff'!BI:CJ,27,FALSE)</f>
        <v>0</v>
      </c>
      <c r="AD168" s="125">
        <f>VLOOKUP(C168,'Talente &amp; Stuff'!BI:CJ,28,FALSE)</f>
        <v>0</v>
      </c>
      <c r="AE168" s="28"/>
    </row>
    <row r="169" spans="2:31" ht="15" hidden="1" customHeight="1" outlineLevel="2">
      <c r="B169" s="148">
        <v>17</v>
      </c>
      <c r="C169" s="177" t="str">
        <f>Attribute!C169</f>
        <v>---</v>
      </c>
      <c r="D169" s="86" t="str">
        <f>VLOOKUP(C169,'Talente &amp; Stuff'!BI:CJ,2,FALSE)</f>
        <v>--/--/--</v>
      </c>
      <c r="E169" s="167" t="str">
        <f>VLOOKUP(C169,'Talente &amp; Stuff'!BI:CJ,3,FALSE)</f>
        <v>-</v>
      </c>
      <c r="F169" s="120">
        <f>VLOOKUP(C169,'Talente &amp; Stuff'!BI:CJ,4,FALSE)</f>
        <v>0</v>
      </c>
      <c r="G169" s="117">
        <f>VLOOKUP(C169,'Talente &amp; Stuff'!BI:CJ,5,FALSE)</f>
        <v>0</v>
      </c>
      <c r="H169" s="117">
        <f>VLOOKUP(C169,'Talente &amp; Stuff'!BI:CJ,6,FALSE)</f>
        <v>0</v>
      </c>
      <c r="I169" s="117">
        <f>VLOOKUP(C169,'Talente &amp; Stuff'!BI:CJ,7,FALSE)</f>
        <v>0</v>
      </c>
      <c r="J169" s="117">
        <f>VLOOKUP(C169,'Talente &amp; Stuff'!BI:CJ,8,FALSE)</f>
        <v>0</v>
      </c>
      <c r="K169" s="117">
        <f>VLOOKUP(C169,'Talente &amp; Stuff'!BI:CJ,9,FALSE)</f>
        <v>0</v>
      </c>
      <c r="L169" s="117">
        <f>VLOOKUP(C169,'Talente &amp; Stuff'!BI:CJ,10,FALSE)</f>
        <v>0</v>
      </c>
      <c r="M169" s="121">
        <f>VLOOKUP(C169,'Talente &amp; Stuff'!BI:CJ,11,FALSE)</f>
        <v>0</v>
      </c>
      <c r="N169" s="47">
        <f>VLOOKUP(C169,'Talente &amp; Stuff'!BI:CJ,12,FALSE)</f>
        <v>0</v>
      </c>
      <c r="O169" s="3">
        <f>VLOOKUP(C169,'Talente &amp; Stuff'!BI:CJ,13,FALSE)</f>
        <v>0</v>
      </c>
      <c r="P169" s="174">
        <f>VLOOKUP(C169,'Talente &amp; Stuff'!BI:CJ,14,FALSE)</f>
        <v>0</v>
      </c>
      <c r="Q169" s="114">
        <f>VLOOKUP(C169,'Talente &amp; Stuff'!BI:CJ,15,FALSE)</f>
        <v>0</v>
      </c>
      <c r="R169" s="117">
        <f>VLOOKUP(C169,'Talente &amp; Stuff'!BI:CJ,16,FALSE)</f>
        <v>0</v>
      </c>
      <c r="S169" s="119">
        <f>VLOOKUP(C169,'Talente &amp; Stuff'!BI:CJ,17,FALSE)</f>
        <v>0</v>
      </c>
      <c r="T169" s="119">
        <f>VLOOKUP(C169,'Talente &amp; Stuff'!BI:CJ,18,FALSE)</f>
        <v>0</v>
      </c>
      <c r="U169" s="89">
        <f>VLOOKUP(C169,'Talente &amp; Stuff'!BI:CJ,19,FALSE)</f>
        <v>0</v>
      </c>
      <c r="V169" s="47">
        <f>VLOOKUP(C169,'Talente &amp; Stuff'!BI:CJ,20,FALSE)</f>
        <v>0</v>
      </c>
      <c r="W169" s="127">
        <f>VLOOKUP(C169,'Talente &amp; Stuff'!BI:CJ,21,FALSE)</f>
        <v>0</v>
      </c>
      <c r="X169" s="127">
        <f>VLOOKUP(C169,'Talente &amp; Stuff'!BI:CJ,22,FALSE)</f>
        <v>0</v>
      </c>
      <c r="Y169" s="165">
        <f t="shared" si="16"/>
        <v>0</v>
      </c>
      <c r="Z169" s="44">
        <f t="shared" si="17"/>
        <v>0</v>
      </c>
      <c r="AA169" s="125">
        <f>VLOOKUP(C169,'Talente &amp; Stuff'!BI:CJ,25,FALSE)</f>
        <v>0</v>
      </c>
      <c r="AB169" s="160">
        <f>VLOOKUP(C169,'Talente &amp; Stuff'!BI:CJ,26,FALSE)</f>
        <v>0</v>
      </c>
      <c r="AC169" s="127">
        <f>VLOOKUP(C169,'Talente &amp; Stuff'!BI:CJ,27,FALSE)</f>
        <v>0</v>
      </c>
      <c r="AD169" s="125">
        <f>VLOOKUP(C169,'Talente &amp; Stuff'!BI:CJ,28,FALSE)</f>
        <v>0</v>
      </c>
      <c r="AE169" s="28"/>
    </row>
    <row r="170" spans="2:31" ht="15" hidden="1" customHeight="1" outlineLevel="2">
      <c r="B170" s="148">
        <v>18</v>
      </c>
      <c r="C170" s="177" t="str">
        <f>Attribute!C170</f>
        <v>---</v>
      </c>
      <c r="D170" s="86" t="str">
        <f>VLOOKUP(C170,'Talente &amp; Stuff'!BI:CJ,2,FALSE)</f>
        <v>--/--/--</v>
      </c>
      <c r="E170" s="167" t="str">
        <f>VLOOKUP(C170,'Talente &amp; Stuff'!BI:CJ,3,FALSE)</f>
        <v>-</v>
      </c>
      <c r="F170" s="120">
        <f>VLOOKUP(C170,'Talente &amp; Stuff'!BI:CJ,4,FALSE)</f>
        <v>0</v>
      </c>
      <c r="G170" s="117">
        <f>VLOOKUP(C170,'Talente &amp; Stuff'!BI:CJ,5,FALSE)</f>
        <v>0</v>
      </c>
      <c r="H170" s="117">
        <f>VLOOKUP(C170,'Talente &amp; Stuff'!BI:CJ,6,FALSE)</f>
        <v>0</v>
      </c>
      <c r="I170" s="117">
        <f>VLOOKUP(C170,'Talente &amp; Stuff'!BI:CJ,7,FALSE)</f>
        <v>0</v>
      </c>
      <c r="J170" s="117">
        <f>VLOOKUP(C170,'Talente &amp; Stuff'!BI:CJ,8,FALSE)</f>
        <v>0</v>
      </c>
      <c r="K170" s="117">
        <f>VLOOKUP(C170,'Talente &amp; Stuff'!BI:CJ,9,FALSE)</f>
        <v>0</v>
      </c>
      <c r="L170" s="117">
        <f>VLOOKUP(C170,'Talente &amp; Stuff'!BI:CJ,10,FALSE)</f>
        <v>0</v>
      </c>
      <c r="M170" s="121">
        <f>VLOOKUP(C170,'Talente &amp; Stuff'!BI:CJ,11,FALSE)</f>
        <v>0</v>
      </c>
      <c r="N170" s="47">
        <f>VLOOKUP(C170,'Talente &amp; Stuff'!BI:CJ,12,FALSE)</f>
        <v>0</v>
      </c>
      <c r="O170" s="3">
        <f>VLOOKUP(C170,'Talente &amp; Stuff'!BI:CJ,13,FALSE)</f>
        <v>0</v>
      </c>
      <c r="P170" s="174">
        <f>VLOOKUP(C170,'Talente &amp; Stuff'!BI:CJ,14,FALSE)</f>
        <v>0</v>
      </c>
      <c r="Q170" s="114">
        <f>VLOOKUP(C170,'Talente &amp; Stuff'!BI:CJ,15,FALSE)</f>
        <v>0</v>
      </c>
      <c r="R170" s="117">
        <f>VLOOKUP(C170,'Talente &amp; Stuff'!BI:CJ,16,FALSE)</f>
        <v>0</v>
      </c>
      <c r="S170" s="119">
        <f>VLOOKUP(C170,'Talente &amp; Stuff'!BI:CJ,17,FALSE)</f>
        <v>0</v>
      </c>
      <c r="T170" s="119">
        <f>VLOOKUP(C170,'Talente &amp; Stuff'!BI:CJ,18,FALSE)</f>
        <v>0</v>
      </c>
      <c r="U170" s="89">
        <f>VLOOKUP(C170,'Talente &amp; Stuff'!BI:CJ,19,FALSE)</f>
        <v>0</v>
      </c>
      <c r="V170" s="47">
        <f>VLOOKUP(C170,'Talente &amp; Stuff'!BI:CJ,20,FALSE)</f>
        <v>0</v>
      </c>
      <c r="W170" s="127">
        <f>VLOOKUP(C170,'Talente &amp; Stuff'!BI:CJ,21,FALSE)</f>
        <v>0</v>
      </c>
      <c r="X170" s="127">
        <f>VLOOKUP(C170,'Talente &amp; Stuff'!BI:CJ,22,FALSE)</f>
        <v>0</v>
      </c>
      <c r="Y170" s="165">
        <f t="shared" si="16"/>
        <v>0</v>
      </c>
      <c r="Z170" s="44">
        <f t="shared" si="17"/>
        <v>0</v>
      </c>
      <c r="AA170" s="125">
        <f>VLOOKUP(C170,'Talente &amp; Stuff'!BI:CJ,25,FALSE)</f>
        <v>0</v>
      </c>
      <c r="AB170" s="160">
        <f>VLOOKUP(C170,'Talente &amp; Stuff'!BI:CJ,26,FALSE)</f>
        <v>0</v>
      </c>
      <c r="AC170" s="127">
        <f>VLOOKUP(C170,'Talente &amp; Stuff'!BI:CJ,27,FALSE)</f>
        <v>0</v>
      </c>
      <c r="AD170" s="125">
        <f>VLOOKUP(C170,'Talente &amp; Stuff'!BI:CJ,28,FALSE)</f>
        <v>0</v>
      </c>
      <c r="AE170" s="28"/>
    </row>
    <row r="171" spans="2:31" ht="15" hidden="1" customHeight="1" outlineLevel="2">
      <c r="B171" s="148">
        <v>19</v>
      </c>
      <c r="C171" s="177" t="str">
        <f>Attribute!C171</f>
        <v>---</v>
      </c>
      <c r="D171" s="86" t="str">
        <f>VLOOKUP(C171,'Talente &amp; Stuff'!BI:CJ,2,FALSE)</f>
        <v>--/--/--</v>
      </c>
      <c r="E171" s="167" t="str">
        <f>VLOOKUP(C171,'Talente &amp; Stuff'!BI:CJ,3,FALSE)</f>
        <v>-</v>
      </c>
      <c r="F171" s="120">
        <f>VLOOKUP(C171,'Talente &amp; Stuff'!BI:CJ,4,FALSE)</f>
        <v>0</v>
      </c>
      <c r="G171" s="117">
        <f>VLOOKUP(C171,'Talente &amp; Stuff'!BI:CJ,5,FALSE)</f>
        <v>0</v>
      </c>
      <c r="H171" s="117">
        <f>VLOOKUP(C171,'Talente &amp; Stuff'!BI:CJ,6,FALSE)</f>
        <v>0</v>
      </c>
      <c r="I171" s="117">
        <f>VLOOKUP(C171,'Talente &amp; Stuff'!BI:CJ,7,FALSE)</f>
        <v>0</v>
      </c>
      <c r="J171" s="117">
        <f>VLOOKUP(C171,'Talente &amp; Stuff'!BI:CJ,8,FALSE)</f>
        <v>0</v>
      </c>
      <c r="K171" s="117">
        <f>VLOOKUP(C171,'Talente &amp; Stuff'!BI:CJ,9,FALSE)</f>
        <v>0</v>
      </c>
      <c r="L171" s="117">
        <f>VLOOKUP(C171,'Talente &amp; Stuff'!BI:CJ,10,FALSE)</f>
        <v>0</v>
      </c>
      <c r="M171" s="121">
        <f>VLOOKUP(C171,'Talente &amp; Stuff'!BI:CJ,11,FALSE)</f>
        <v>0</v>
      </c>
      <c r="N171" s="47">
        <f>VLOOKUP(C171,'Talente &amp; Stuff'!BI:CJ,12,FALSE)</f>
        <v>0</v>
      </c>
      <c r="O171" s="3">
        <f>VLOOKUP(C171,'Talente &amp; Stuff'!BI:CJ,13,FALSE)</f>
        <v>0</v>
      </c>
      <c r="P171" s="174">
        <f>VLOOKUP(C171,'Talente &amp; Stuff'!BI:CJ,14,FALSE)</f>
        <v>0</v>
      </c>
      <c r="Q171" s="114">
        <f>VLOOKUP(C171,'Talente &amp; Stuff'!BI:CJ,15,FALSE)</f>
        <v>0</v>
      </c>
      <c r="R171" s="117">
        <f>VLOOKUP(C171,'Talente &amp; Stuff'!BI:CJ,16,FALSE)</f>
        <v>0</v>
      </c>
      <c r="S171" s="119">
        <f>VLOOKUP(C171,'Talente &amp; Stuff'!BI:CJ,17,FALSE)</f>
        <v>0</v>
      </c>
      <c r="T171" s="119">
        <f>VLOOKUP(C171,'Talente &amp; Stuff'!BI:CJ,18,FALSE)</f>
        <v>0</v>
      </c>
      <c r="U171" s="89">
        <f>VLOOKUP(C171,'Talente &amp; Stuff'!BI:CJ,19,FALSE)</f>
        <v>0</v>
      </c>
      <c r="V171" s="47">
        <f>VLOOKUP(C171,'Talente &amp; Stuff'!BI:CJ,20,FALSE)</f>
        <v>0</v>
      </c>
      <c r="W171" s="127">
        <f>VLOOKUP(C171,'Talente &amp; Stuff'!BI:CJ,21,FALSE)</f>
        <v>0</v>
      </c>
      <c r="X171" s="127">
        <f>VLOOKUP(C171,'Talente &amp; Stuff'!BI:CJ,22,FALSE)</f>
        <v>0</v>
      </c>
      <c r="Y171" s="165">
        <f t="shared" si="16"/>
        <v>0</v>
      </c>
      <c r="Z171" s="44">
        <f t="shared" si="17"/>
        <v>0</v>
      </c>
      <c r="AA171" s="125">
        <f>VLOOKUP(C171,'Talente &amp; Stuff'!BI:CJ,25,FALSE)</f>
        <v>0</v>
      </c>
      <c r="AB171" s="160">
        <f>VLOOKUP(C171,'Talente &amp; Stuff'!BI:CJ,26,FALSE)</f>
        <v>0</v>
      </c>
      <c r="AC171" s="127">
        <f>VLOOKUP(C171,'Talente &amp; Stuff'!BI:CJ,27,FALSE)</f>
        <v>0</v>
      </c>
      <c r="AD171" s="125">
        <f>VLOOKUP(C171,'Talente &amp; Stuff'!BI:CJ,28,FALSE)</f>
        <v>0</v>
      </c>
      <c r="AE171" s="28"/>
    </row>
    <row r="172" spans="2:31" ht="15" hidden="1" customHeight="1" outlineLevel="2">
      <c r="B172" s="148">
        <v>20</v>
      </c>
      <c r="C172" s="177" t="str">
        <f>Attribute!C172</f>
        <v>---</v>
      </c>
      <c r="D172" s="86" t="str">
        <f>VLOOKUP(C172,'Talente &amp; Stuff'!BI:CJ,2,FALSE)</f>
        <v>--/--/--</v>
      </c>
      <c r="E172" s="167" t="str">
        <f>VLOOKUP(C172,'Talente &amp; Stuff'!BI:CJ,3,FALSE)</f>
        <v>-</v>
      </c>
      <c r="F172" s="120">
        <f>VLOOKUP(C172,'Talente &amp; Stuff'!BI:CJ,4,FALSE)</f>
        <v>0</v>
      </c>
      <c r="G172" s="117">
        <f>VLOOKUP(C172,'Talente &amp; Stuff'!BI:CJ,5,FALSE)</f>
        <v>0</v>
      </c>
      <c r="H172" s="117">
        <f>VLOOKUP(C172,'Talente &amp; Stuff'!BI:CJ,6,FALSE)</f>
        <v>0</v>
      </c>
      <c r="I172" s="117">
        <f>VLOOKUP(C172,'Talente &amp; Stuff'!BI:CJ,7,FALSE)</f>
        <v>0</v>
      </c>
      <c r="J172" s="117">
        <f>VLOOKUP(C172,'Talente &amp; Stuff'!BI:CJ,8,FALSE)</f>
        <v>0</v>
      </c>
      <c r="K172" s="117">
        <f>VLOOKUP(C172,'Talente &amp; Stuff'!BI:CJ,9,FALSE)</f>
        <v>0</v>
      </c>
      <c r="L172" s="117">
        <f>VLOOKUP(C172,'Talente &amp; Stuff'!BI:CJ,10,FALSE)</f>
        <v>0</v>
      </c>
      <c r="M172" s="121">
        <f>VLOOKUP(C172,'Talente &amp; Stuff'!BI:CJ,11,FALSE)</f>
        <v>0</v>
      </c>
      <c r="N172" s="47">
        <f>VLOOKUP(C172,'Talente &amp; Stuff'!BI:CJ,12,FALSE)</f>
        <v>0</v>
      </c>
      <c r="O172" s="3">
        <f>VLOOKUP(C172,'Talente &amp; Stuff'!BI:CJ,13,FALSE)</f>
        <v>0</v>
      </c>
      <c r="P172" s="174">
        <f>VLOOKUP(C172,'Talente &amp; Stuff'!BI:CJ,14,FALSE)</f>
        <v>0</v>
      </c>
      <c r="Q172" s="114">
        <f>VLOOKUP(C172,'Talente &amp; Stuff'!BI:CJ,15,FALSE)</f>
        <v>0</v>
      </c>
      <c r="R172" s="117">
        <f>VLOOKUP(C172,'Talente &amp; Stuff'!BI:CJ,16,FALSE)</f>
        <v>0</v>
      </c>
      <c r="S172" s="119">
        <f>VLOOKUP(C172,'Talente &amp; Stuff'!BI:CJ,17,FALSE)</f>
        <v>0</v>
      </c>
      <c r="T172" s="119">
        <f>VLOOKUP(C172,'Talente &amp; Stuff'!BI:CJ,18,FALSE)</f>
        <v>0</v>
      </c>
      <c r="U172" s="89">
        <f>VLOOKUP(C172,'Talente &amp; Stuff'!BI:CJ,19,FALSE)</f>
        <v>0</v>
      </c>
      <c r="V172" s="47">
        <f>VLOOKUP(C172,'Talente &amp; Stuff'!BI:CJ,20,FALSE)</f>
        <v>0</v>
      </c>
      <c r="W172" s="127">
        <f>VLOOKUP(C172,'Talente &amp; Stuff'!BI:CJ,21,FALSE)</f>
        <v>0</v>
      </c>
      <c r="X172" s="127">
        <f>VLOOKUP(C172,'Talente &amp; Stuff'!BI:CJ,22,FALSE)</f>
        <v>0</v>
      </c>
      <c r="Y172" s="165">
        <f t="shared" si="16"/>
        <v>0</v>
      </c>
      <c r="Z172" s="44">
        <f t="shared" si="17"/>
        <v>0</v>
      </c>
      <c r="AA172" s="125">
        <f>VLOOKUP(C172,'Talente &amp; Stuff'!BI:CJ,25,FALSE)</f>
        <v>0</v>
      </c>
      <c r="AB172" s="160">
        <f>VLOOKUP(C172,'Talente &amp; Stuff'!BI:CJ,26,FALSE)</f>
        <v>0</v>
      </c>
      <c r="AC172" s="127">
        <f>VLOOKUP(C172,'Talente &amp; Stuff'!BI:CJ,27,FALSE)</f>
        <v>0</v>
      </c>
      <c r="AD172" s="125">
        <f>VLOOKUP(C172,'Talente &amp; Stuff'!BI:CJ,28,FALSE)</f>
        <v>0</v>
      </c>
      <c r="AE172" s="28"/>
    </row>
    <row r="173" spans="2:31" ht="15" hidden="1" customHeight="1" outlineLevel="2">
      <c r="B173" s="148">
        <v>21</v>
      </c>
      <c r="C173" s="177" t="str">
        <f>Attribute!C173</f>
        <v>---</v>
      </c>
      <c r="D173" s="86" t="str">
        <f>VLOOKUP(C173,'Talente &amp; Stuff'!BI:CJ,2,FALSE)</f>
        <v>--/--/--</v>
      </c>
      <c r="E173" s="167" t="str">
        <f>VLOOKUP(C173,'Talente &amp; Stuff'!BI:CJ,3,FALSE)</f>
        <v>-</v>
      </c>
      <c r="F173" s="120">
        <f>VLOOKUP(C173,'Talente &amp; Stuff'!BI:CJ,4,FALSE)</f>
        <v>0</v>
      </c>
      <c r="G173" s="117">
        <f>VLOOKUP(C173,'Talente &amp; Stuff'!BI:CJ,5,FALSE)</f>
        <v>0</v>
      </c>
      <c r="H173" s="117">
        <f>VLOOKUP(C173,'Talente &amp; Stuff'!BI:CJ,6,FALSE)</f>
        <v>0</v>
      </c>
      <c r="I173" s="117">
        <f>VLOOKUP(C173,'Talente &amp; Stuff'!BI:CJ,7,FALSE)</f>
        <v>0</v>
      </c>
      <c r="J173" s="117">
        <f>VLOOKUP(C173,'Talente &amp; Stuff'!BI:CJ,8,FALSE)</f>
        <v>0</v>
      </c>
      <c r="K173" s="117">
        <f>VLOOKUP(C173,'Talente &amp; Stuff'!BI:CJ,9,FALSE)</f>
        <v>0</v>
      </c>
      <c r="L173" s="117">
        <f>VLOOKUP(C173,'Talente &amp; Stuff'!BI:CJ,10,FALSE)</f>
        <v>0</v>
      </c>
      <c r="M173" s="121">
        <f>VLOOKUP(C173,'Talente &amp; Stuff'!BI:CJ,11,FALSE)</f>
        <v>0</v>
      </c>
      <c r="N173" s="47">
        <f>VLOOKUP(C173,'Talente &amp; Stuff'!BI:CJ,12,FALSE)</f>
        <v>0</v>
      </c>
      <c r="O173" s="3">
        <f>VLOOKUP(C173,'Talente &amp; Stuff'!BI:CJ,13,FALSE)</f>
        <v>0</v>
      </c>
      <c r="P173" s="174">
        <f>VLOOKUP(C173,'Talente &amp; Stuff'!BI:CJ,14,FALSE)</f>
        <v>0</v>
      </c>
      <c r="Q173" s="114">
        <f>VLOOKUP(C173,'Talente &amp; Stuff'!BI:CJ,15,FALSE)</f>
        <v>0</v>
      </c>
      <c r="R173" s="117">
        <f>VLOOKUP(C173,'Talente &amp; Stuff'!BI:CJ,16,FALSE)</f>
        <v>0</v>
      </c>
      <c r="S173" s="119">
        <f>VLOOKUP(C173,'Talente &amp; Stuff'!BI:CJ,17,FALSE)</f>
        <v>0</v>
      </c>
      <c r="T173" s="119">
        <f>VLOOKUP(C173,'Talente &amp; Stuff'!BI:CJ,18,FALSE)</f>
        <v>0</v>
      </c>
      <c r="U173" s="89">
        <f>VLOOKUP(C173,'Talente &amp; Stuff'!BI:CJ,19,FALSE)</f>
        <v>0</v>
      </c>
      <c r="V173" s="47">
        <f>VLOOKUP(C173,'Talente &amp; Stuff'!BI:CJ,20,FALSE)</f>
        <v>0</v>
      </c>
      <c r="W173" s="127">
        <f>VLOOKUP(C173,'Talente &amp; Stuff'!BI:CJ,21,FALSE)</f>
        <v>0</v>
      </c>
      <c r="X173" s="127">
        <f>VLOOKUP(C173,'Talente &amp; Stuff'!BI:CJ,22,FALSE)</f>
        <v>0</v>
      </c>
      <c r="Y173" s="165">
        <f t="shared" si="16"/>
        <v>0</v>
      </c>
      <c r="Z173" s="44">
        <f t="shared" si="17"/>
        <v>0</v>
      </c>
      <c r="AA173" s="125">
        <f>VLOOKUP(C173,'Talente &amp; Stuff'!BI:CJ,25,FALSE)</f>
        <v>0</v>
      </c>
      <c r="AB173" s="160">
        <f>VLOOKUP(C173,'Talente &amp; Stuff'!BI:CJ,26,FALSE)</f>
        <v>0</v>
      </c>
      <c r="AC173" s="127">
        <f>VLOOKUP(C173,'Talente &amp; Stuff'!BI:CJ,27,FALSE)</f>
        <v>0</v>
      </c>
      <c r="AD173" s="125">
        <f>VLOOKUP(C173,'Talente &amp; Stuff'!BI:CJ,28,FALSE)</f>
        <v>0</v>
      </c>
      <c r="AE173" s="28"/>
    </row>
    <row r="174" spans="2:31" ht="15" hidden="1" customHeight="1" outlineLevel="2">
      <c r="B174" s="148">
        <v>22</v>
      </c>
      <c r="C174" s="177" t="str">
        <f>Attribute!C174</f>
        <v>---</v>
      </c>
      <c r="D174" s="86" t="str">
        <f>VLOOKUP(C174,'Talente &amp; Stuff'!BI:CJ,2,FALSE)</f>
        <v>--/--/--</v>
      </c>
      <c r="E174" s="167" t="str">
        <f>VLOOKUP(C174,'Talente &amp; Stuff'!BI:CJ,3,FALSE)</f>
        <v>-</v>
      </c>
      <c r="F174" s="120">
        <f>VLOOKUP(C174,'Talente &amp; Stuff'!BI:CJ,4,FALSE)</f>
        <v>0</v>
      </c>
      <c r="G174" s="117">
        <f>VLOOKUP(C174,'Talente &amp; Stuff'!BI:CJ,5,FALSE)</f>
        <v>0</v>
      </c>
      <c r="H174" s="117">
        <f>VLOOKUP(C174,'Talente &amp; Stuff'!BI:CJ,6,FALSE)</f>
        <v>0</v>
      </c>
      <c r="I174" s="117">
        <f>VLOOKUP(C174,'Talente &amp; Stuff'!BI:CJ,7,FALSE)</f>
        <v>0</v>
      </c>
      <c r="J174" s="117">
        <f>VLOOKUP(C174,'Talente &amp; Stuff'!BI:CJ,8,FALSE)</f>
        <v>0</v>
      </c>
      <c r="K174" s="117">
        <f>VLOOKUP(C174,'Talente &amp; Stuff'!BI:CJ,9,FALSE)</f>
        <v>0</v>
      </c>
      <c r="L174" s="117">
        <f>VLOOKUP(C174,'Talente &amp; Stuff'!BI:CJ,10,FALSE)</f>
        <v>0</v>
      </c>
      <c r="M174" s="121">
        <f>VLOOKUP(C174,'Talente &amp; Stuff'!BI:CJ,11,FALSE)</f>
        <v>0</v>
      </c>
      <c r="N174" s="47">
        <f>VLOOKUP(C174,'Talente &amp; Stuff'!BI:CJ,12,FALSE)</f>
        <v>0</v>
      </c>
      <c r="O174" s="3">
        <f>VLOOKUP(C174,'Talente &amp; Stuff'!BI:CJ,13,FALSE)</f>
        <v>0</v>
      </c>
      <c r="P174" s="174">
        <f>VLOOKUP(C174,'Talente &amp; Stuff'!BI:CJ,14,FALSE)</f>
        <v>0</v>
      </c>
      <c r="Q174" s="114">
        <f>VLOOKUP(C174,'Talente &amp; Stuff'!BI:CJ,15,FALSE)</f>
        <v>0</v>
      </c>
      <c r="R174" s="117">
        <f>VLOOKUP(C174,'Talente &amp; Stuff'!BI:CJ,16,FALSE)</f>
        <v>0</v>
      </c>
      <c r="S174" s="119">
        <f>VLOOKUP(C174,'Talente &amp; Stuff'!BI:CJ,17,FALSE)</f>
        <v>0</v>
      </c>
      <c r="T174" s="119">
        <f>VLOOKUP(C174,'Talente &amp; Stuff'!BI:CJ,18,FALSE)</f>
        <v>0</v>
      </c>
      <c r="U174" s="89">
        <f>VLOOKUP(C174,'Talente &amp; Stuff'!BI:CJ,19,FALSE)</f>
        <v>0</v>
      </c>
      <c r="V174" s="47">
        <f>VLOOKUP(C174,'Talente &amp; Stuff'!BI:CJ,20,FALSE)</f>
        <v>0</v>
      </c>
      <c r="W174" s="127">
        <f>VLOOKUP(C174,'Talente &amp; Stuff'!BI:CJ,21,FALSE)</f>
        <v>0</v>
      </c>
      <c r="X174" s="127">
        <f>VLOOKUP(C174,'Talente &amp; Stuff'!BI:CJ,22,FALSE)</f>
        <v>0</v>
      </c>
      <c r="Y174" s="165">
        <f t="shared" si="16"/>
        <v>0</v>
      </c>
      <c r="Z174" s="44">
        <f t="shared" si="17"/>
        <v>0</v>
      </c>
      <c r="AA174" s="125">
        <f>VLOOKUP(C174,'Talente &amp; Stuff'!BI:CJ,25,FALSE)</f>
        <v>0</v>
      </c>
      <c r="AB174" s="160">
        <f>VLOOKUP(C174,'Talente &amp; Stuff'!BI:CJ,26,FALSE)</f>
        <v>0</v>
      </c>
      <c r="AC174" s="127">
        <f>VLOOKUP(C174,'Talente &amp; Stuff'!BI:CJ,27,FALSE)</f>
        <v>0</v>
      </c>
      <c r="AD174" s="125">
        <f>VLOOKUP(C174,'Talente &amp; Stuff'!BI:CJ,28,FALSE)</f>
        <v>0</v>
      </c>
      <c r="AE174" s="28"/>
    </row>
    <row r="175" spans="2:31" ht="15" hidden="1" customHeight="1" outlineLevel="2">
      <c r="B175" s="148">
        <v>23</v>
      </c>
      <c r="C175" s="177" t="str">
        <f>Attribute!C175</f>
        <v>---</v>
      </c>
      <c r="D175" s="86" t="str">
        <f>VLOOKUP(C175,'Talente &amp; Stuff'!BI:CJ,2,FALSE)</f>
        <v>--/--/--</v>
      </c>
      <c r="E175" s="167" t="str">
        <f>VLOOKUP(C175,'Talente &amp; Stuff'!BI:CJ,3,FALSE)</f>
        <v>-</v>
      </c>
      <c r="F175" s="120">
        <f>VLOOKUP(C175,'Talente &amp; Stuff'!BI:CJ,4,FALSE)</f>
        <v>0</v>
      </c>
      <c r="G175" s="117">
        <f>VLOOKUP(C175,'Talente &amp; Stuff'!BI:CJ,5,FALSE)</f>
        <v>0</v>
      </c>
      <c r="H175" s="117">
        <f>VLOOKUP(C175,'Talente &amp; Stuff'!BI:CJ,6,FALSE)</f>
        <v>0</v>
      </c>
      <c r="I175" s="117">
        <f>VLOOKUP(C175,'Talente &amp; Stuff'!BI:CJ,7,FALSE)</f>
        <v>0</v>
      </c>
      <c r="J175" s="117">
        <f>VLOOKUP(C175,'Talente &amp; Stuff'!BI:CJ,8,FALSE)</f>
        <v>0</v>
      </c>
      <c r="K175" s="117">
        <f>VLOOKUP(C175,'Talente &amp; Stuff'!BI:CJ,9,FALSE)</f>
        <v>0</v>
      </c>
      <c r="L175" s="117">
        <f>VLOOKUP(C175,'Talente &amp; Stuff'!BI:CJ,10,FALSE)</f>
        <v>0</v>
      </c>
      <c r="M175" s="121">
        <f>VLOOKUP(C175,'Talente &amp; Stuff'!BI:CJ,11,FALSE)</f>
        <v>0</v>
      </c>
      <c r="N175" s="47">
        <f>VLOOKUP(C175,'Talente &amp; Stuff'!BI:CJ,12,FALSE)</f>
        <v>0</v>
      </c>
      <c r="O175" s="3">
        <f>VLOOKUP(C175,'Talente &amp; Stuff'!BI:CJ,13,FALSE)</f>
        <v>0</v>
      </c>
      <c r="P175" s="174">
        <f>VLOOKUP(C175,'Talente &amp; Stuff'!BI:CJ,14,FALSE)</f>
        <v>0</v>
      </c>
      <c r="Q175" s="114">
        <f>VLOOKUP(C175,'Talente &amp; Stuff'!BI:CJ,15,FALSE)</f>
        <v>0</v>
      </c>
      <c r="R175" s="117">
        <f>VLOOKUP(C175,'Talente &amp; Stuff'!BI:CJ,16,FALSE)</f>
        <v>0</v>
      </c>
      <c r="S175" s="119">
        <f>VLOOKUP(C175,'Talente &amp; Stuff'!BI:CJ,17,FALSE)</f>
        <v>0</v>
      </c>
      <c r="T175" s="119">
        <f>VLOOKUP(C175,'Talente &amp; Stuff'!BI:CJ,18,FALSE)</f>
        <v>0</v>
      </c>
      <c r="U175" s="89">
        <f>VLOOKUP(C175,'Talente &amp; Stuff'!BI:CJ,19,FALSE)</f>
        <v>0</v>
      </c>
      <c r="V175" s="47">
        <f>VLOOKUP(C175,'Talente &amp; Stuff'!BI:CJ,20,FALSE)</f>
        <v>0</v>
      </c>
      <c r="W175" s="127">
        <f>VLOOKUP(C175,'Talente &amp; Stuff'!BI:CJ,21,FALSE)</f>
        <v>0</v>
      </c>
      <c r="X175" s="127">
        <f>VLOOKUP(C175,'Talente &amp; Stuff'!BI:CJ,22,FALSE)</f>
        <v>0</v>
      </c>
      <c r="Y175" s="165">
        <f t="shared" si="16"/>
        <v>0</v>
      </c>
      <c r="Z175" s="44">
        <f t="shared" si="17"/>
        <v>0</v>
      </c>
      <c r="AA175" s="125">
        <f>VLOOKUP(C175,'Talente &amp; Stuff'!BI:CJ,25,FALSE)</f>
        <v>0</v>
      </c>
      <c r="AB175" s="160">
        <f>VLOOKUP(C175,'Talente &amp; Stuff'!BI:CJ,26,FALSE)</f>
        <v>0</v>
      </c>
      <c r="AC175" s="127">
        <f>VLOOKUP(C175,'Talente &amp; Stuff'!BI:CJ,27,FALSE)</f>
        <v>0</v>
      </c>
      <c r="AD175" s="125">
        <f>VLOOKUP(C175,'Talente &amp; Stuff'!BI:CJ,28,FALSE)</f>
        <v>0</v>
      </c>
      <c r="AE175" s="28"/>
    </row>
    <row r="176" spans="2:31" ht="15" hidden="1" customHeight="1" outlineLevel="2">
      <c r="B176" s="148">
        <v>24</v>
      </c>
      <c r="C176" s="177" t="str">
        <f>Attribute!C176</f>
        <v>---</v>
      </c>
      <c r="D176" s="86" t="str">
        <f>VLOOKUP(C176,'Talente &amp; Stuff'!BI:CJ,2,FALSE)</f>
        <v>--/--/--</v>
      </c>
      <c r="E176" s="167" t="str">
        <f>VLOOKUP(C176,'Talente &amp; Stuff'!BI:CJ,3,FALSE)</f>
        <v>-</v>
      </c>
      <c r="F176" s="120">
        <f>VLOOKUP(C176,'Talente &amp; Stuff'!BI:CJ,4,FALSE)</f>
        <v>0</v>
      </c>
      <c r="G176" s="117">
        <f>VLOOKUP(C176,'Talente &amp; Stuff'!BI:CJ,5,FALSE)</f>
        <v>0</v>
      </c>
      <c r="H176" s="117">
        <f>VLOOKUP(C176,'Talente &amp; Stuff'!BI:CJ,6,FALSE)</f>
        <v>0</v>
      </c>
      <c r="I176" s="117">
        <f>VLOOKUP(C176,'Talente &amp; Stuff'!BI:CJ,7,FALSE)</f>
        <v>0</v>
      </c>
      <c r="J176" s="117">
        <f>VLOOKUP(C176,'Talente &amp; Stuff'!BI:CJ,8,FALSE)</f>
        <v>0</v>
      </c>
      <c r="K176" s="117">
        <f>VLOOKUP(C176,'Talente &amp; Stuff'!BI:CJ,9,FALSE)</f>
        <v>0</v>
      </c>
      <c r="L176" s="117">
        <f>VLOOKUP(C176,'Talente &amp; Stuff'!BI:CJ,10,FALSE)</f>
        <v>0</v>
      </c>
      <c r="M176" s="121">
        <f>VLOOKUP(C176,'Talente &amp; Stuff'!BI:CJ,11,FALSE)</f>
        <v>0</v>
      </c>
      <c r="N176" s="47">
        <f>VLOOKUP(C176,'Talente &amp; Stuff'!BI:CJ,12,FALSE)</f>
        <v>0</v>
      </c>
      <c r="O176" s="3">
        <f>VLOOKUP(C176,'Talente &amp; Stuff'!BI:CJ,13,FALSE)</f>
        <v>0</v>
      </c>
      <c r="P176" s="174">
        <f>VLOOKUP(C176,'Talente &amp; Stuff'!BI:CJ,14,FALSE)</f>
        <v>0</v>
      </c>
      <c r="Q176" s="114">
        <f>VLOOKUP(C176,'Talente &amp; Stuff'!BI:CJ,15,FALSE)</f>
        <v>0</v>
      </c>
      <c r="R176" s="117">
        <f>VLOOKUP(C176,'Talente &amp; Stuff'!BI:CJ,16,FALSE)</f>
        <v>0</v>
      </c>
      <c r="S176" s="119">
        <f>VLOOKUP(C176,'Talente &amp; Stuff'!BI:CJ,17,FALSE)</f>
        <v>0</v>
      </c>
      <c r="T176" s="119">
        <f>VLOOKUP(C176,'Talente &amp; Stuff'!BI:CJ,18,FALSE)</f>
        <v>0</v>
      </c>
      <c r="U176" s="89">
        <f>VLOOKUP(C176,'Talente &amp; Stuff'!BI:CJ,19,FALSE)</f>
        <v>0</v>
      </c>
      <c r="V176" s="47">
        <f>VLOOKUP(C176,'Talente &amp; Stuff'!BI:CJ,20,FALSE)</f>
        <v>0</v>
      </c>
      <c r="W176" s="127">
        <f>VLOOKUP(C176,'Talente &amp; Stuff'!BI:CJ,21,FALSE)</f>
        <v>0</v>
      </c>
      <c r="X176" s="127">
        <f>VLOOKUP(C176,'Talente &amp; Stuff'!BI:CJ,22,FALSE)</f>
        <v>0</v>
      </c>
      <c r="Y176" s="165">
        <f t="shared" si="16"/>
        <v>0</v>
      </c>
      <c r="Z176" s="44">
        <f t="shared" si="17"/>
        <v>0</v>
      </c>
      <c r="AA176" s="125">
        <f>VLOOKUP(C176,'Talente &amp; Stuff'!BI:CJ,25,FALSE)</f>
        <v>0</v>
      </c>
      <c r="AB176" s="160">
        <f>VLOOKUP(C176,'Talente &amp; Stuff'!BI:CJ,26,FALSE)</f>
        <v>0</v>
      </c>
      <c r="AC176" s="127">
        <f>VLOOKUP(C176,'Talente &amp; Stuff'!BI:CJ,27,FALSE)</f>
        <v>0</v>
      </c>
      <c r="AD176" s="125">
        <f>VLOOKUP(C176,'Talente &amp; Stuff'!BI:CJ,28,FALSE)</f>
        <v>0</v>
      </c>
      <c r="AE176" s="28"/>
    </row>
    <row r="177" spans="2:31" ht="15" hidden="1" customHeight="1" outlineLevel="2">
      <c r="B177" s="148">
        <v>25</v>
      </c>
      <c r="C177" s="177" t="str">
        <f>Attribute!C177</f>
        <v>---</v>
      </c>
      <c r="D177" s="86" t="str">
        <f>VLOOKUP(C177,'Talente &amp; Stuff'!BI:CJ,2,FALSE)</f>
        <v>--/--/--</v>
      </c>
      <c r="E177" s="167" t="str">
        <f>VLOOKUP(C177,'Talente &amp; Stuff'!BI:CJ,3,FALSE)</f>
        <v>-</v>
      </c>
      <c r="F177" s="120">
        <f>VLOOKUP(C177,'Talente &amp; Stuff'!BI:CJ,4,FALSE)</f>
        <v>0</v>
      </c>
      <c r="G177" s="117">
        <f>VLOOKUP(C177,'Talente &amp; Stuff'!BI:CJ,5,FALSE)</f>
        <v>0</v>
      </c>
      <c r="H177" s="117">
        <f>VLOOKUP(C177,'Talente &amp; Stuff'!BI:CJ,6,FALSE)</f>
        <v>0</v>
      </c>
      <c r="I177" s="117">
        <f>VLOOKUP(C177,'Talente &amp; Stuff'!BI:CJ,7,FALSE)</f>
        <v>0</v>
      </c>
      <c r="J177" s="117">
        <f>VLOOKUP(C177,'Talente &amp; Stuff'!BI:CJ,8,FALSE)</f>
        <v>0</v>
      </c>
      <c r="K177" s="117">
        <f>VLOOKUP(C177,'Talente &amp; Stuff'!BI:CJ,9,FALSE)</f>
        <v>0</v>
      </c>
      <c r="L177" s="117">
        <f>VLOOKUP(C177,'Talente &amp; Stuff'!BI:CJ,10,FALSE)</f>
        <v>0</v>
      </c>
      <c r="M177" s="121">
        <f>VLOOKUP(C177,'Talente &amp; Stuff'!BI:CJ,11,FALSE)</f>
        <v>0</v>
      </c>
      <c r="N177" s="47">
        <f>VLOOKUP(C177,'Talente &amp; Stuff'!BI:CJ,12,FALSE)</f>
        <v>0</v>
      </c>
      <c r="O177" s="3">
        <f>VLOOKUP(C177,'Talente &amp; Stuff'!BI:CJ,13,FALSE)</f>
        <v>0</v>
      </c>
      <c r="P177" s="174">
        <f>VLOOKUP(C177,'Talente &amp; Stuff'!BI:CJ,14,FALSE)</f>
        <v>0</v>
      </c>
      <c r="Q177" s="114">
        <f>VLOOKUP(C177,'Talente &amp; Stuff'!BI:CJ,15,FALSE)</f>
        <v>0</v>
      </c>
      <c r="R177" s="117">
        <f>VLOOKUP(C177,'Talente &amp; Stuff'!BI:CJ,16,FALSE)</f>
        <v>0</v>
      </c>
      <c r="S177" s="119">
        <f>VLOOKUP(C177,'Talente &amp; Stuff'!BI:CJ,17,FALSE)</f>
        <v>0</v>
      </c>
      <c r="T177" s="119">
        <f>VLOOKUP(C177,'Talente &amp; Stuff'!BI:CJ,18,FALSE)</f>
        <v>0</v>
      </c>
      <c r="U177" s="89">
        <f>VLOOKUP(C177,'Talente &amp; Stuff'!BI:CJ,19,FALSE)</f>
        <v>0</v>
      </c>
      <c r="V177" s="47">
        <f>VLOOKUP(C177,'Talente &amp; Stuff'!BI:CJ,20,FALSE)</f>
        <v>0</v>
      </c>
      <c r="W177" s="127">
        <f>VLOOKUP(C177,'Talente &amp; Stuff'!BI:CJ,21,FALSE)</f>
        <v>0</v>
      </c>
      <c r="X177" s="127">
        <f>VLOOKUP(C177,'Talente &amp; Stuff'!BI:CJ,22,FALSE)</f>
        <v>0</v>
      </c>
      <c r="Y177" s="165">
        <f t="shared" si="16"/>
        <v>0</v>
      </c>
      <c r="Z177" s="44">
        <f t="shared" si="17"/>
        <v>0</v>
      </c>
      <c r="AA177" s="125">
        <f>VLOOKUP(C177,'Talente &amp; Stuff'!BI:CJ,25,FALSE)</f>
        <v>0</v>
      </c>
      <c r="AB177" s="160">
        <f>VLOOKUP(C177,'Talente &amp; Stuff'!BI:CJ,26,FALSE)</f>
        <v>0</v>
      </c>
      <c r="AC177" s="127">
        <f>VLOOKUP(C177,'Talente &amp; Stuff'!BI:CJ,27,FALSE)</f>
        <v>0</v>
      </c>
      <c r="AD177" s="125">
        <f>VLOOKUP(C177,'Talente &amp; Stuff'!BI:CJ,28,FALSE)</f>
        <v>0</v>
      </c>
      <c r="AE177" s="28"/>
    </row>
    <row r="178" spans="2:31" ht="15" hidden="1" customHeight="1" outlineLevel="2">
      <c r="B178" s="148">
        <v>26</v>
      </c>
      <c r="C178" s="177" t="str">
        <f>Attribute!C178</f>
        <v>---</v>
      </c>
      <c r="D178" s="86" t="str">
        <f>VLOOKUP(C178,'Talente &amp; Stuff'!BI:CJ,2,FALSE)</f>
        <v>--/--/--</v>
      </c>
      <c r="E178" s="167" t="str">
        <f>VLOOKUP(C178,'Talente &amp; Stuff'!BI:CJ,3,FALSE)</f>
        <v>-</v>
      </c>
      <c r="F178" s="120">
        <f>VLOOKUP(C178,'Talente &amp; Stuff'!BI:CJ,4,FALSE)</f>
        <v>0</v>
      </c>
      <c r="G178" s="117">
        <f>VLOOKUP(C178,'Talente &amp; Stuff'!BI:CJ,5,FALSE)</f>
        <v>0</v>
      </c>
      <c r="H178" s="117">
        <f>VLOOKUP(C178,'Talente &amp; Stuff'!BI:CJ,6,FALSE)</f>
        <v>0</v>
      </c>
      <c r="I178" s="117">
        <f>VLOOKUP(C178,'Talente &amp; Stuff'!BI:CJ,7,FALSE)</f>
        <v>0</v>
      </c>
      <c r="J178" s="117">
        <f>VLOOKUP(C178,'Talente &amp; Stuff'!BI:CJ,8,FALSE)</f>
        <v>0</v>
      </c>
      <c r="K178" s="117">
        <f>VLOOKUP(C178,'Talente &amp; Stuff'!BI:CJ,9,FALSE)</f>
        <v>0</v>
      </c>
      <c r="L178" s="117">
        <f>VLOOKUP(C178,'Talente &amp; Stuff'!BI:CJ,10,FALSE)</f>
        <v>0</v>
      </c>
      <c r="M178" s="121">
        <f>VLOOKUP(C178,'Talente &amp; Stuff'!BI:CJ,11,FALSE)</f>
        <v>0</v>
      </c>
      <c r="N178" s="47">
        <f>VLOOKUP(C178,'Talente &amp; Stuff'!BI:CJ,12,FALSE)</f>
        <v>0</v>
      </c>
      <c r="O178" s="3">
        <f>VLOOKUP(C178,'Talente &amp; Stuff'!BI:CJ,13,FALSE)</f>
        <v>0</v>
      </c>
      <c r="P178" s="174">
        <f>VLOOKUP(C178,'Talente &amp; Stuff'!BI:CJ,14,FALSE)</f>
        <v>0</v>
      </c>
      <c r="Q178" s="114">
        <f>VLOOKUP(C178,'Talente &amp; Stuff'!BI:CJ,15,FALSE)</f>
        <v>0</v>
      </c>
      <c r="R178" s="117">
        <f>VLOOKUP(C178,'Talente &amp; Stuff'!BI:CJ,16,FALSE)</f>
        <v>0</v>
      </c>
      <c r="S178" s="119">
        <f>VLOOKUP(C178,'Talente &amp; Stuff'!BI:CJ,17,FALSE)</f>
        <v>0</v>
      </c>
      <c r="T178" s="119">
        <f>VLOOKUP(C178,'Talente &amp; Stuff'!BI:CJ,18,FALSE)</f>
        <v>0</v>
      </c>
      <c r="U178" s="89">
        <f>VLOOKUP(C178,'Talente &amp; Stuff'!BI:CJ,19,FALSE)</f>
        <v>0</v>
      </c>
      <c r="V178" s="47">
        <f>VLOOKUP(C178,'Talente &amp; Stuff'!BI:CJ,20,FALSE)</f>
        <v>0</v>
      </c>
      <c r="W178" s="127">
        <f>VLOOKUP(C178,'Talente &amp; Stuff'!BI:CJ,21,FALSE)</f>
        <v>0</v>
      </c>
      <c r="X178" s="127">
        <f>VLOOKUP(C178,'Talente &amp; Stuff'!BI:CJ,22,FALSE)</f>
        <v>0</v>
      </c>
      <c r="Y178" s="165">
        <f t="shared" si="16"/>
        <v>0</v>
      </c>
      <c r="Z178" s="44">
        <f t="shared" si="17"/>
        <v>0</v>
      </c>
      <c r="AA178" s="125">
        <f>VLOOKUP(C178,'Talente &amp; Stuff'!BI:CJ,25,FALSE)</f>
        <v>0</v>
      </c>
      <c r="AB178" s="160">
        <f>VLOOKUP(C178,'Talente &amp; Stuff'!BI:CJ,26,FALSE)</f>
        <v>0</v>
      </c>
      <c r="AC178" s="127">
        <f>VLOOKUP(C178,'Talente &amp; Stuff'!BI:CJ,27,FALSE)</f>
        <v>0</v>
      </c>
      <c r="AD178" s="125">
        <f>VLOOKUP(C178,'Talente &amp; Stuff'!BI:CJ,28,FALSE)</f>
        <v>0</v>
      </c>
      <c r="AE178" s="28"/>
    </row>
    <row r="179" spans="2:31" ht="15" hidden="1" customHeight="1" outlineLevel="2">
      <c r="B179" s="148">
        <v>27</v>
      </c>
      <c r="C179" s="177" t="str">
        <f>Attribute!C179</f>
        <v>---</v>
      </c>
      <c r="D179" s="86" t="str">
        <f>VLOOKUP(C179,'Talente &amp; Stuff'!BI:CJ,2,FALSE)</f>
        <v>--/--/--</v>
      </c>
      <c r="E179" s="167" t="str">
        <f>VLOOKUP(C179,'Talente &amp; Stuff'!BI:CJ,3,FALSE)</f>
        <v>-</v>
      </c>
      <c r="F179" s="120">
        <f>VLOOKUP(C179,'Talente &amp; Stuff'!BI:CJ,4,FALSE)</f>
        <v>0</v>
      </c>
      <c r="G179" s="117">
        <f>VLOOKUP(C179,'Talente &amp; Stuff'!BI:CJ,5,FALSE)</f>
        <v>0</v>
      </c>
      <c r="H179" s="117">
        <f>VLOOKUP(C179,'Talente &amp; Stuff'!BI:CJ,6,FALSE)</f>
        <v>0</v>
      </c>
      <c r="I179" s="117">
        <f>VLOOKUP(C179,'Talente &amp; Stuff'!BI:CJ,7,FALSE)</f>
        <v>0</v>
      </c>
      <c r="J179" s="117">
        <f>VLOOKUP(C179,'Talente &amp; Stuff'!BI:CJ,8,FALSE)</f>
        <v>0</v>
      </c>
      <c r="K179" s="117">
        <f>VLOOKUP(C179,'Talente &amp; Stuff'!BI:CJ,9,FALSE)</f>
        <v>0</v>
      </c>
      <c r="L179" s="117">
        <f>VLOOKUP(C179,'Talente &amp; Stuff'!BI:CJ,10,FALSE)</f>
        <v>0</v>
      </c>
      <c r="M179" s="121">
        <f>VLOOKUP(C179,'Talente &amp; Stuff'!BI:CJ,11,FALSE)</f>
        <v>0</v>
      </c>
      <c r="N179" s="47">
        <f>VLOOKUP(C179,'Talente &amp; Stuff'!BI:CJ,12,FALSE)</f>
        <v>0</v>
      </c>
      <c r="O179" s="3">
        <f>VLOOKUP(C179,'Talente &amp; Stuff'!BI:CJ,13,FALSE)</f>
        <v>0</v>
      </c>
      <c r="P179" s="174">
        <f>VLOOKUP(C179,'Talente &amp; Stuff'!BI:CJ,14,FALSE)</f>
        <v>0</v>
      </c>
      <c r="Q179" s="114">
        <f>VLOOKUP(C179,'Talente &amp; Stuff'!BI:CJ,15,FALSE)</f>
        <v>0</v>
      </c>
      <c r="R179" s="117">
        <f>VLOOKUP(C179,'Talente &amp; Stuff'!BI:CJ,16,FALSE)</f>
        <v>0</v>
      </c>
      <c r="S179" s="119">
        <f>VLOOKUP(C179,'Talente &amp; Stuff'!BI:CJ,17,FALSE)</f>
        <v>0</v>
      </c>
      <c r="T179" s="119">
        <f>VLOOKUP(C179,'Talente &amp; Stuff'!BI:CJ,18,FALSE)</f>
        <v>0</v>
      </c>
      <c r="U179" s="89">
        <f>VLOOKUP(C179,'Talente &amp; Stuff'!BI:CJ,19,FALSE)</f>
        <v>0</v>
      </c>
      <c r="V179" s="47">
        <f>VLOOKUP(C179,'Talente &amp; Stuff'!BI:CJ,20,FALSE)</f>
        <v>0</v>
      </c>
      <c r="W179" s="127">
        <f>VLOOKUP(C179,'Talente &amp; Stuff'!BI:CJ,21,FALSE)</f>
        <v>0</v>
      </c>
      <c r="X179" s="127">
        <f>VLOOKUP(C179,'Talente &amp; Stuff'!BI:CJ,22,FALSE)</f>
        <v>0</v>
      </c>
      <c r="Y179" s="165">
        <f t="shared" si="16"/>
        <v>0</v>
      </c>
      <c r="Z179" s="44">
        <f t="shared" si="17"/>
        <v>0</v>
      </c>
      <c r="AA179" s="125">
        <f>VLOOKUP(C179,'Talente &amp; Stuff'!BI:CJ,25,FALSE)</f>
        <v>0</v>
      </c>
      <c r="AB179" s="160">
        <f>VLOOKUP(C179,'Talente &amp; Stuff'!BI:CJ,26,FALSE)</f>
        <v>0</v>
      </c>
      <c r="AC179" s="127">
        <f>VLOOKUP(C179,'Talente &amp; Stuff'!BI:CJ,27,FALSE)</f>
        <v>0</v>
      </c>
      <c r="AD179" s="125">
        <f>VLOOKUP(C179,'Talente &amp; Stuff'!BI:CJ,28,FALSE)</f>
        <v>0</v>
      </c>
      <c r="AE179" s="28"/>
    </row>
    <row r="180" spans="2:31" ht="15" hidden="1" customHeight="1" outlineLevel="2">
      <c r="B180" s="148">
        <v>28</v>
      </c>
      <c r="C180" s="177" t="str">
        <f>Attribute!C180</f>
        <v>---</v>
      </c>
      <c r="D180" s="86" t="str">
        <f>VLOOKUP(C180,'Talente &amp; Stuff'!BI:CJ,2,FALSE)</f>
        <v>--/--/--</v>
      </c>
      <c r="E180" s="167" t="str">
        <f>VLOOKUP(C180,'Talente &amp; Stuff'!BI:CJ,3,FALSE)</f>
        <v>-</v>
      </c>
      <c r="F180" s="120">
        <f>VLOOKUP(C180,'Talente &amp; Stuff'!BI:CJ,4,FALSE)</f>
        <v>0</v>
      </c>
      <c r="G180" s="117">
        <f>VLOOKUP(C180,'Talente &amp; Stuff'!BI:CJ,5,FALSE)</f>
        <v>0</v>
      </c>
      <c r="H180" s="117">
        <f>VLOOKUP(C180,'Talente &amp; Stuff'!BI:CJ,6,FALSE)</f>
        <v>0</v>
      </c>
      <c r="I180" s="117">
        <f>VLOOKUP(C180,'Talente &amp; Stuff'!BI:CJ,7,FALSE)</f>
        <v>0</v>
      </c>
      <c r="J180" s="117">
        <f>VLOOKUP(C180,'Talente &amp; Stuff'!BI:CJ,8,FALSE)</f>
        <v>0</v>
      </c>
      <c r="K180" s="117">
        <f>VLOOKUP(C180,'Talente &amp; Stuff'!BI:CJ,9,FALSE)</f>
        <v>0</v>
      </c>
      <c r="L180" s="117">
        <f>VLOOKUP(C180,'Talente &amp; Stuff'!BI:CJ,10,FALSE)</f>
        <v>0</v>
      </c>
      <c r="M180" s="121">
        <f>VLOOKUP(C180,'Talente &amp; Stuff'!BI:CJ,11,FALSE)</f>
        <v>0</v>
      </c>
      <c r="N180" s="47">
        <f>VLOOKUP(C180,'Talente &amp; Stuff'!BI:CJ,12,FALSE)</f>
        <v>0</v>
      </c>
      <c r="O180" s="3">
        <f>VLOOKUP(C180,'Talente &amp; Stuff'!BI:CJ,13,FALSE)</f>
        <v>0</v>
      </c>
      <c r="P180" s="174">
        <f>VLOOKUP(C180,'Talente &amp; Stuff'!BI:CJ,14,FALSE)</f>
        <v>0</v>
      </c>
      <c r="Q180" s="114">
        <f>VLOOKUP(C180,'Talente &amp; Stuff'!BI:CJ,15,FALSE)</f>
        <v>0</v>
      </c>
      <c r="R180" s="117">
        <f>VLOOKUP(C180,'Talente &amp; Stuff'!BI:CJ,16,FALSE)</f>
        <v>0</v>
      </c>
      <c r="S180" s="119">
        <f>VLOOKUP(C180,'Talente &amp; Stuff'!BI:CJ,17,FALSE)</f>
        <v>0</v>
      </c>
      <c r="T180" s="119">
        <f>VLOOKUP(C180,'Talente &amp; Stuff'!BI:CJ,18,FALSE)</f>
        <v>0</v>
      </c>
      <c r="U180" s="89">
        <f>VLOOKUP(C180,'Talente &amp; Stuff'!BI:CJ,19,FALSE)</f>
        <v>0</v>
      </c>
      <c r="V180" s="47">
        <f>VLOOKUP(C180,'Talente &amp; Stuff'!BI:CJ,20,FALSE)</f>
        <v>0</v>
      </c>
      <c r="W180" s="127">
        <f>VLOOKUP(C180,'Talente &amp; Stuff'!BI:CJ,21,FALSE)</f>
        <v>0</v>
      </c>
      <c r="X180" s="127">
        <f>VLOOKUP(C180,'Talente &amp; Stuff'!BI:CJ,22,FALSE)</f>
        <v>0</v>
      </c>
      <c r="Y180" s="165">
        <f t="shared" si="16"/>
        <v>0</v>
      </c>
      <c r="Z180" s="44">
        <f t="shared" si="17"/>
        <v>0</v>
      </c>
      <c r="AA180" s="125">
        <f>VLOOKUP(C180,'Talente &amp; Stuff'!BI:CJ,25,FALSE)</f>
        <v>0</v>
      </c>
      <c r="AB180" s="160">
        <f>VLOOKUP(C180,'Talente &amp; Stuff'!BI:CJ,26,FALSE)</f>
        <v>0</v>
      </c>
      <c r="AC180" s="127">
        <f>VLOOKUP(C180,'Talente &amp; Stuff'!BI:CJ,27,FALSE)</f>
        <v>0</v>
      </c>
      <c r="AD180" s="125">
        <f>VLOOKUP(C180,'Talente &amp; Stuff'!BI:CJ,28,FALSE)</f>
        <v>0</v>
      </c>
      <c r="AE180" s="28"/>
    </row>
    <row r="181" spans="2:31" ht="15" hidden="1" customHeight="1" outlineLevel="2">
      <c r="B181" s="148">
        <v>29</v>
      </c>
      <c r="C181" s="177" t="str">
        <f>Attribute!C181</f>
        <v>---</v>
      </c>
      <c r="D181" s="86" t="str">
        <f>VLOOKUP(C181,'Talente &amp; Stuff'!BI:CJ,2,FALSE)</f>
        <v>--/--/--</v>
      </c>
      <c r="E181" s="167" t="str">
        <f>VLOOKUP(C181,'Talente &amp; Stuff'!BI:CJ,3,FALSE)</f>
        <v>-</v>
      </c>
      <c r="F181" s="120">
        <f>VLOOKUP(C181,'Talente &amp; Stuff'!BI:CJ,4,FALSE)</f>
        <v>0</v>
      </c>
      <c r="G181" s="117">
        <f>VLOOKUP(C181,'Talente &amp; Stuff'!BI:CJ,5,FALSE)</f>
        <v>0</v>
      </c>
      <c r="H181" s="117">
        <f>VLOOKUP(C181,'Talente &amp; Stuff'!BI:CJ,6,FALSE)</f>
        <v>0</v>
      </c>
      <c r="I181" s="117">
        <f>VLOOKUP(C181,'Talente &amp; Stuff'!BI:CJ,7,FALSE)</f>
        <v>0</v>
      </c>
      <c r="J181" s="117">
        <f>VLOOKUP(C181,'Talente &amp; Stuff'!BI:CJ,8,FALSE)</f>
        <v>0</v>
      </c>
      <c r="K181" s="117">
        <f>VLOOKUP(C181,'Talente &amp; Stuff'!BI:CJ,9,FALSE)</f>
        <v>0</v>
      </c>
      <c r="L181" s="117">
        <f>VLOOKUP(C181,'Talente &amp; Stuff'!BI:CJ,10,FALSE)</f>
        <v>0</v>
      </c>
      <c r="M181" s="121">
        <f>VLOOKUP(C181,'Talente &amp; Stuff'!BI:CJ,11,FALSE)</f>
        <v>0</v>
      </c>
      <c r="N181" s="47">
        <f>VLOOKUP(C181,'Talente &amp; Stuff'!BI:CJ,12,FALSE)</f>
        <v>0</v>
      </c>
      <c r="O181" s="3">
        <f>VLOOKUP(C181,'Talente &amp; Stuff'!BI:CJ,13,FALSE)</f>
        <v>0</v>
      </c>
      <c r="P181" s="174">
        <f>VLOOKUP(C181,'Talente &amp; Stuff'!BI:CJ,14,FALSE)</f>
        <v>0</v>
      </c>
      <c r="Q181" s="114">
        <f>VLOOKUP(C181,'Talente &amp; Stuff'!BI:CJ,15,FALSE)</f>
        <v>0</v>
      </c>
      <c r="R181" s="117">
        <f>VLOOKUP(C181,'Talente &amp; Stuff'!BI:CJ,16,FALSE)</f>
        <v>0</v>
      </c>
      <c r="S181" s="119">
        <f>VLOOKUP(C181,'Talente &amp; Stuff'!BI:CJ,17,FALSE)</f>
        <v>0</v>
      </c>
      <c r="T181" s="119">
        <f>VLOOKUP(C181,'Talente &amp; Stuff'!BI:CJ,18,FALSE)</f>
        <v>0</v>
      </c>
      <c r="U181" s="89">
        <f>VLOOKUP(C181,'Talente &amp; Stuff'!BI:CJ,19,FALSE)</f>
        <v>0</v>
      </c>
      <c r="V181" s="47">
        <f>VLOOKUP(C181,'Talente &amp; Stuff'!BI:CJ,20,FALSE)</f>
        <v>0</v>
      </c>
      <c r="W181" s="127">
        <f>VLOOKUP(C181,'Talente &amp; Stuff'!BI:CJ,21,FALSE)</f>
        <v>0</v>
      </c>
      <c r="X181" s="127">
        <f>VLOOKUP(C181,'Talente &amp; Stuff'!BI:CJ,22,FALSE)</f>
        <v>0</v>
      </c>
      <c r="Y181" s="165">
        <f t="shared" si="16"/>
        <v>0</v>
      </c>
      <c r="Z181" s="44">
        <f t="shared" si="17"/>
        <v>0</v>
      </c>
      <c r="AA181" s="125">
        <f>VLOOKUP(C181,'Talente &amp; Stuff'!BI:CJ,25,FALSE)</f>
        <v>0</v>
      </c>
      <c r="AB181" s="160">
        <f>VLOOKUP(C181,'Talente &amp; Stuff'!BI:CJ,26,FALSE)</f>
        <v>0</v>
      </c>
      <c r="AC181" s="127">
        <f>VLOOKUP(C181,'Talente &amp; Stuff'!BI:CJ,27,FALSE)</f>
        <v>0</v>
      </c>
      <c r="AD181" s="125">
        <f>VLOOKUP(C181,'Talente &amp; Stuff'!BI:CJ,28,FALSE)</f>
        <v>0</v>
      </c>
      <c r="AE181" s="28"/>
    </row>
    <row r="182" spans="2:31" ht="15" hidden="1" customHeight="1" outlineLevel="2">
      <c r="B182" s="148">
        <v>30</v>
      </c>
      <c r="C182" s="177" t="str">
        <f>Attribute!C182</f>
        <v>---</v>
      </c>
      <c r="D182" s="86" t="str">
        <f>VLOOKUP(C182,'Talente &amp; Stuff'!BI:CJ,2,FALSE)</f>
        <v>--/--/--</v>
      </c>
      <c r="E182" s="167" t="str">
        <f>VLOOKUP(C182,'Talente &amp; Stuff'!BI:CJ,3,FALSE)</f>
        <v>-</v>
      </c>
      <c r="F182" s="120">
        <f>VLOOKUP(C182,'Talente &amp; Stuff'!BI:CJ,4,FALSE)</f>
        <v>0</v>
      </c>
      <c r="G182" s="117">
        <f>VLOOKUP(C182,'Talente &amp; Stuff'!BI:CJ,5,FALSE)</f>
        <v>0</v>
      </c>
      <c r="H182" s="117">
        <f>VLOOKUP(C182,'Talente &amp; Stuff'!BI:CJ,6,FALSE)</f>
        <v>0</v>
      </c>
      <c r="I182" s="117">
        <f>VLOOKUP(C182,'Talente &amp; Stuff'!BI:CJ,7,FALSE)</f>
        <v>0</v>
      </c>
      <c r="J182" s="117">
        <f>VLOOKUP(C182,'Talente &amp; Stuff'!BI:CJ,8,FALSE)</f>
        <v>0</v>
      </c>
      <c r="K182" s="117">
        <f>VLOOKUP(C182,'Talente &amp; Stuff'!BI:CJ,9,FALSE)</f>
        <v>0</v>
      </c>
      <c r="L182" s="117">
        <f>VLOOKUP(C182,'Talente &amp; Stuff'!BI:CJ,10,FALSE)</f>
        <v>0</v>
      </c>
      <c r="M182" s="121">
        <f>VLOOKUP(C182,'Talente &amp; Stuff'!BI:CJ,11,FALSE)</f>
        <v>0</v>
      </c>
      <c r="N182" s="47">
        <f>VLOOKUP(C182,'Talente &amp; Stuff'!BI:CJ,12,FALSE)</f>
        <v>0</v>
      </c>
      <c r="O182" s="3">
        <f>VLOOKUP(C182,'Talente &amp; Stuff'!BI:CJ,13,FALSE)</f>
        <v>0</v>
      </c>
      <c r="P182" s="174">
        <f>VLOOKUP(C182,'Talente &amp; Stuff'!BI:CJ,14,FALSE)</f>
        <v>0</v>
      </c>
      <c r="Q182" s="114">
        <f>VLOOKUP(C182,'Talente &amp; Stuff'!BI:CJ,15,FALSE)</f>
        <v>0</v>
      </c>
      <c r="R182" s="117">
        <f>VLOOKUP(C182,'Talente &amp; Stuff'!BI:CJ,16,FALSE)</f>
        <v>0</v>
      </c>
      <c r="S182" s="119">
        <f>VLOOKUP(C182,'Talente &amp; Stuff'!BI:CJ,17,FALSE)</f>
        <v>0</v>
      </c>
      <c r="T182" s="119">
        <f>VLOOKUP(C182,'Talente &amp; Stuff'!BI:CJ,18,FALSE)</f>
        <v>0</v>
      </c>
      <c r="U182" s="89">
        <f>VLOOKUP(C182,'Talente &amp; Stuff'!BI:CJ,19,FALSE)</f>
        <v>0</v>
      </c>
      <c r="V182" s="47">
        <f>VLOOKUP(C182,'Talente &amp; Stuff'!BI:CJ,20,FALSE)</f>
        <v>0</v>
      </c>
      <c r="W182" s="127">
        <f>VLOOKUP(C182,'Talente &amp; Stuff'!BI:CJ,21,FALSE)</f>
        <v>0</v>
      </c>
      <c r="X182" s="127">
        <f>VLOOKUP(C182,'Talente &amp; Stuff'!BI:CJ,22,FALSE)</f>
        <v>0</v>
      </c>
      <c r="Y182" s="165">
        <f t="shared" si="16"/>
        <v>0</v>
      </c>
      <c r="Z182" s="44">
        <f t="shared" si="17"/>
        <v>0</v>
      </c>
      <c r="AA182" s="125">
        <f>VLOOKUP(C182,'Talente &amp; Stuff'!BI:CJ,25,FALSE)</f>
        <v>0</v>
      </c>
      <c r="AB182" s="160">
        <f>VLOOKUP(C182,'Talente &amp; Stuff'!BI:CJ,26,FALSE)</f>
        <v>0</v>
      </c>
      <c r="AC182" s="127">
        <f>VLOOKUP(C182,'Talente &amp; Stuff'!BI:CJ,27,FALSE)</f>
        <v>0</v>
      </c>
      <c r="AD182" s="125">
        <f>VLOOKUP(C182,'Talente &amp; Stuff'!BI:CJ,28,FALSE)</f>
        <v>0</v>
      </c>
      <c r="AE182" s="28"/>
    </row>
    <row r="183" spans="2:31" ht="15" hidden="1" customHeight="1" outlineLevel="2">
      <c r="B183" s="148">
        <v>31</v>
      </c>
      <c r="C183" s="177" t="str">
        <f>Attribute!C183</f>
        <v>---</v>
      </c>
      <c r="D183" s="86" t="str">
        <f>VLOOKUP(C183,'Talente &amp; Stuff'!BI:CJ,2,FALSE)</f>
        <v>--/--/--</v>
      </c>
      <c r="E183" s="167" t="str">
        <f>VLOOKUP(C183,'Talente &amp; Stuff'!BI:CJ,3,FALSE)</f>
        <v>-</v>
      </c>
      <c r="F183" s="120">
        <f>VLOOKUP(C183,'Talente &amp; Stuff'!BI:CJ,4,FALSE)</f>
        <v>0</v>
      </c>
      <c r="G183" s="117">
        <f>VLOOKUP(C183,'Talente &amp; Stuff'!BI:CJ,5,FALSE)</f>
        <v>0</v>
      </c>
      <c r="H183" s="117">
        <f>VLOOKUP(C183,'Talente &amp; Stuff'!BI:CJ,6,FALSE)</f>
        <v>0</v>
      </c>
      <c r="I183" s="117">
        <f>VLOOKUP(C183,'Talente &amp; Stuff'!BI:CJ,7,FALSE)</f>
        <v>0</v>
      </c>
      <c r="J183" s="117">
        <f>VLOOKUP(C183,'Talente &amp; Stuff'!BI:CJ,8,FALSE)</f>
        <v>0</v>
      </c>
      <c r="K183" s="117">
        <f>VLOOKUP(C183,'Talente &amp; Stuff'!BI:CJ,9,FALSE)</f>
        <v>0</v>
      </c>
      <c r="L183" s="117">
        <f>VLOOKUP(C183,'Talente &amp; Stuff'!BI:CJ,10,FALSE)</f>
        <v>0</v>
      </c>
      <c r="M183" s="121">
        <f>VLOOKUP(C183,'Talente &amp; Stuff'!BI:CJ,11,FALSE)</f>
        <v>0</v>
      </c>
      <c r="N183" s="47">
        <f>VLOOKUP(C183,'Talente &amp; Stuff'!BI:CJ,12,FALSE)</f>
        <v>0</v>
      </c>
      <c r="O183" s="3">
        <f>VLOOKUP(C183,'Talente &amp; Stuff'!BI:CJ,13,FALSE)</f>
        <v>0</v>
      </c>
      <c r="P183" s="174">
        <f>VLOOKUP(C183,'Talente &amp; Stuff'!BI:CJ,14,FALSE)</f>
        <v>0</v>
      </c>
      <c r="Q183" s="114">
        <f>VLOOKUP(C183,'Talente &amp; Stuff'!BI:CJ,15,FALSE)</f>
        <v>0</v>
      </c>
      <c r="R183" s="117">
        <f>VLOOKUP(C183,'Talente &amp; Stuff'!BI:CJ,16,FALSE)</f>
        <v>0</v>
      </c>
      <c r="S183" s="119">
        <f>VLOOKUP(C183,'Talente &amp; Stuff'!BI:CJ,17,FALSE)</f>
        <v>0</v>
      </c>
      <c r="T183" s="119">
        <f>VLOOKUP(C183,'Talente &amp; Stuff'!BI:CJ,18,FALSE)</f>
        <v>0</v>
      </c>
      <c r="U183" s="89">
        <f>VLOOKUP(C183,'Talente &amp; Stuff'!BI:CJ,19,FALSE)</f>
        <v>0</v>
      </c>
      <c r="V183" s="47">
        <f>VLOOKUP(C183,'Talente &amp; Stuff'!BI:CJ,20,FALSE)</f>
        <v>0</v>
      </c>
      <c r="W183" s="127">
        <f>VLOOKUP(C183,'Talente &amp; Stuff'!BI:CJ,21,FALSE)</f>
        <v>0</v>
      </c>
      <c r="X183" s="127">
        <f>VLOOKUP(C183,'Talente &amp; Stuff'!BI:CJ,22,FALSE)</f>
        <v>0</v>
      </c>
      <c r="Y183" s="165">
        <f t="shared" si="16"/>
        <v>0</v>
      </c>
      <c r="Z183" s="44">
        <f t="shared" si="17"/>
        <v>0</v>
      </c>
      <c r="AA183" s="125">
        <f>VLOOKUP(C183,'Talente &amp; Stuff'!BI:CJ,25,FALSE)</f>
        <v>0</v>
      </c>
      <c r="AB183" s="160">
        <f>VLOOKUP(C183,'Talente &amp; Stuff'!BI:CJ,26,FALSE)</f>
        <v>0</v>
      </c>
      <c r="AC183" s="127">
        <f>VLOOKUP(C183,'Talente &amp; Stuff'!BI:CJ,27,FALSE)</f>
        <v>0</v>
      </c>
      <c r="AD183" s="125">
        <f>VLOOKUP(C183,'Talente &amp; Stuff'!BI:CJ,28,FALSE)</f>
        <v>0</v>
      </c>
      <c r="AE183" s="28"/>
    </row>
    <row r="184" spans="2:31" ht="15" hidden="1" customHeight="1" outlineLevel="2">
      <c r="B184" s="148">
        <v>32</v>
      </c>
      <c r="C184" s="177" t="str">
        <f>Attribute!C184</f>
        <v>---</v>
      </c>
      <c r="D184" s="86" t="str">
        <f>VLOOKUP(C184,'Talente &amp; Stuff'!BI:CJ,2,FALSE)</f>
        <v>--/--/--</v>
      </c>
      <c r="E184" s="167" t="str">
        <f>VLOOKUP(C184,'Talente &amp; Stuff'!BI:CJ,3,FALSE)</f>
        <v>-</v>
      </c>
      <c r="F184" s="120">
        <f>VLOOKUP(C184,'Talente &amp; Stuff'!BI:CJ,4,FALSE)</f>
        <v>0</v>
      </c>
      <c r="G184" s="117">
        <f>VLOOKUP(C184,'Talente &amp; Stuff'!BI:CJ,5,FALSE)</f>
        <v>0</v>
      </c>
      <c r="H184" s="117">
        <f>VLOOKUP(C184,'Talente &amp; Stuff'!BI:CJ,6,FALSE)</f>
        <v>0</v>
      </c>
      <c r="I184" s="117">
        <f>VLOOKUP(C184,'Talente &amp; Stuff'!BI:CJ,7,FALSE)</f>
        <v>0</v>
      </c>
      <c r="J184" s="117">
        <f>VLOOKUP(C184,'Talente &amp; Stuff'!BI:CJ,8,FALSE)</f>
        <v>0</v>
      </c>
      <c r="K184" s="117">
        <f>VLOOKUP(C184,'Talente &amp; Stuff'!BI:CJ,9,FALSE)</f>
        <v>0</v>
      </c>
      <c r="L184" s="117">
        <f>VLOOKUP(C184,'Talente &amp; Stuff'!BI:CJ,10,FALSE)</f>
        <v>0</v>
      </c>
      <c r="M184" s="121">
        <f>VLOOKUP(C184,'Talente &amp; Stuff'!BI:CJ,11,FALSE)</f>
        <v>0</v>
      </c>
      <c r="N184" s="47">
        <f>VLOOKUP(C184,'Talente &amp; Stuff'!BI:CJ,12,FALSE)</f>
        <v>0</v>
      </c>
      <c r="O184" s="3">
        <f>VLOOKUP(C184,'Talente &amp; Stuff'!BI:CJ,13,FALSE)</f>
        <v>0</v>
      </c>
      <c r="P184" s="174">
        <f>VLOOKUP(C184,'Talente &amp; Stuff'!BI:CJ,14,FALSE)</f>
        <v>0</v>
      </c>
      <c r="Q184" s="114">
        <f>VLOOKUP(C184,'Talente &amp; Stuff'!BI:CJ,15,FALSE)</f>
        <v>0</v>
      </c>
      <c r="R184" s="117">
        <f>VLOOKUP(C184,'Talente &amp; Stuff'!BI:CJ,16,FALSE)</f>
        <v>0</v>
      </c>
      <c r="S184" s="119">
        <f>VLOOKUP(C184,'Talente &amp; Stuff'!BI:CJ,17,FALSE)</f>
        <v>0</v>
      </c>
      <c r="T184" s="119">
        <f>VLOOKUP(C184,'Talente &amp; Stuff'!BI:CJ,18,FALSE)</f>
        <v>0</v>
      </c>
      <c r="U184" s="89">
        <f>VLOOKUP(C184,'Talente &amp; Stuff'!BI:CJ,19,FALSE)</f>
        <v>0</v>
      </c>
      <c r="V184" s="47">
        <f>VLOOKUP(C184,'Talente &amp; Stuff'!BI:CJ,20,FALSE)</f>
        <v>0</v>
      </c>
      <c r="W184" s="127">
        <f>VLOOKUP(C184,'Talente &amp; Stuff'!BI:CJ,21,FALSE)</f>
        <v>0</v>
      </c>
      <c r="X184" s="127">
        <f>VLOOKUP(C184,'Talente &amp; Stuff'!BI:CJ,22,FALSE)</f>
        <v>0</v>
      </c>
      <c r="Y184" s="165">
        <f t="shared" si="16"/>
        <v>0</v>
      </c>
      <c r="Z184" s="44">
        <f t="shared" si="17"/>
        <v>0</v>
      </c>
      <c r="AA184" s="125">
        <f>VLOOKUP(C184,'Talente &amp; Stuff'!BI:CJ,25,FALSE)</f>
        <v>0</v>
      </c>
      <c r="AB184" s="160">
        <f>VLOOKUP(C184,'Talente &amp; Stuff'!BI:CJ,26,FALSE)</f>
        <v>0</v>
      </c>
      <c r="AC184" s="127">
        <f>VLOOKUP(C184,'Talente &amp; Stuff'!BI:CJ,27,FALSE)</f>
        <v>0</v>
      </c>
      <c r="AD184" s="125">
        <f>VLOOKUP(C184,'Talente &amp; Stuff'!BI:CJ,28,FALSE)</f>
        <v>0</v>
      </c>
      <c r="AE184" s="28"/>
    </row>
    <row r="185" spans="2:31" ht="15" hidden="1" customHeight="1" outlineLevel="2">
      <c r="B185" s="148">
        <v>33</v>
      </c>
      <c r="C185" s="177" t="str">
        <f>Attribute!C185</f>
        <v>---</v>
      </c>
      <c r="D185" s="86" t="str">
        <f>VLOOKUP(C185,'Talente &amp; Stuff'!BI:CJ,2,FALSE)</f>
        <v>--/--/--</v>
      </c>
      <c r="E185" s="167" t="str">
        <f>VLOOKUP(C185,'Talente &amp; Stuff'!BI:CJ,3,FALSE)</f>
        <v>-</v>
      </c>
      <c r="F185" s="120">
        <f>VLOOKUP(C185,'Talente &amp; Stuff'!BI:CJ,4,FALSE)</f>
        <v>0</v>
      </c>
      <c r="G185" s="117">
        <f>VLOOKUP(C185,'Talente &amp; Stuff'!BI:CJ,5,FALSE)</f>
        <v>0</v>
      </c>
      <c r="H185" s="117">
        <f>VLOOKUP(C185,'Talente &amp; Stuff'!BI:CJ,6,FALSE)</f>
        <v>0</v>
      </c>
      <c r="I185" s="117">
        <f>VLOOKUP(C185,'Talente &amp; Stuff'!BI:CJ,7,FALSE)</f>
        <v>0</v>
      </c>
      <c r="J185" s="117">
        <f>VLOOKUP(C185,'Talente &amp; Stuff'!BI:CJ,8,FALSE)</f>
        <v>0</v>
      </c>
      <c r="K185" s="117">
        <f>VLOOKUP(C185,'Talente &amp; Stuff'!BI:CJ,9,FALSE)</f>
        <v>0</v>
      </c>
      <c r="L185" s="117">
        <f>VLOOKUP(C185,'Talente &amp; Stuff'!BI:CJ,10,FALSE)</f>
        <v>0</v>
      </c>
      <c r="M185" s="121">
        <f>VLOOKUP(C185,'Talente &amp; Stuff'!BI:CJ,11,FALSE)</f>
        <v>0</v>
      </c>
      <c r="N185" s="47">
        <f>VLOOKUP(C185,'Talente &amp; Stuff'!BI:CJ,12,FALSE)</f>
        <v>0</v>
      </c>
      <c r="O185" s="3">
        <f>VLOOKUP(C185,'Talente &amp; Stuff'!BI:CJ,13,FALSE)</f>
        <v>0</v>
      </c>
      <c r="P185" s="174">
        <f>VLOOKUP(C185,'Talente &amp; Stuff'!BI:CJ,14,FALSE)</f>
        <v>0</v>
      </c>
      <c r="Q185" s="114">
        <f>VLOOKUP(C185,'Talente &amp; Stuff'!BI:CJ,15,FALSE)</f>
        <v>0</v>
      </c>
      <c r="R185" s="117">
        <f>VLOOKUP(C185,'Talente &amp; Stuff'!BI:CJ,16,FALSE)</f>
        <v>0</v>
      </c>
      <c r="S185" s="119">
        <f>VLOOKUP(C185,'Talente &amp; Stuff'!BI:CJ,17,FALSE)</f>
        <v>0</v>
      </c>
      <c r="T185" s="119">
        <f>VLOOKUP(C185,'Talente &amp; Stuff'!BI:CJ,18,FALSE)</f>
        <v>0</v>
      </c>
      <c r="U185" s="89">
        <f>VLOOKUP(C185,'Talente &amp; Stuff'!BI:CJ,19,FALSE)</f>
        <v>0</v>
      </c>
      <c r="V185" s="47">
        <f>VLOOKUP(C185,'Talente &amp; Stuff'!BI:CJ,20,FALSE)</f>
        <v>0</v>
      </c>
      <c r="W185" s="127">
        <f>VLOOKUP(C185,'Talente &amp; Stuff'!BI:CJ,21,FALSE)</f>
        <v>0</v>
      </c>
      <c r="X185" s="127">
        <f>VLOOKUP(C185,'Talente &amp; Stuff'!BI:CJ,22,FALSE)</f>
        <v>0</v>
      </c>
      <c r="Y185" s="165">
        <f t="shared" ref="Y185:Y211" si="18">VLOOKUP(C185,Ausgewählte_Zauber_Gildenmagier,81,FALSE)</f>
        <v>0</v>
      </c>
      <c r="Z185" s="44">
        <f t="shared" ref="Z185:Z211" si="19">VLOOKUP(C185,Ausgewählte_Zauber_Gildenmagier,82,FALSE)</f>
        <v>0</v>
      </c>
      <c r="AA185" s="125">
        <f>VLOOKUP(C185,'Talente &amp; Stuff'!BI:CJ,25,FALSE)</f>
        <v>0</v>
      </c>
      <c r="AB185" s="160">
        <f>VLOOKUP(C185,'Talente &amp; Stuff'!BI:CJ,26,FALSE)</f>
        <v>0</v>
      </c>
      <c r="AC185" s="127">
        <f>VLOOKUP(C185,'Talente &amp; Stuff'!BI:CJ,27,FALSE)</f>
        <v>0</v>
      </c>
      <c r="AD185" s="125">
        <f>VLOOKUP(C185,'Talente &amp; Stuff'!BI:CJ,28,FALSE)</f>
        <v>0</v>
      </c>
      <c r="AE185" s="28"/>
    </row>
    <row r="186" spans="2:31" ht="15" hidden="1" customHeight="1" outlineLevel="2">
      <c r="B186" s="148">
        <v>34</v>
      </c>
      <c r="C186" s="177" t="str">
        <f>Attribute!C186</f>
        <v>---</v>
      </c>
      <c r="D186" s="86" t="str">
        <f>VLOOKUP(C186,'Talente &amp; Stuff'!BI:CJ,2,FALSE)</f>
        <v>--/--/--</v>
      </c>
      <c r="E186" s="167" t="str">
        <f>VLOOKUP(C186,'Talente &amp; Stuff'!BI:CJ,3,FALSE)</f>
        <v>-</v>
      </c>
      <c r="F186" s="120">
        <f>VLOOKUP(C186,'Talente &amp; Stuff'!BI:CJ,4,FALSE)</f>
        <v>0</v>
      </c>
      <c r="G186" s="117">
        <f>VLOOKUP(C186,'Talente &amp; Stuff'!BI:CJ,5,FALSE)</f>
        <v>0</v>
      </c>
      <c r="H186" s="117">
        <f>VLOOKUP(C186,'Talente &amp; Stuff'!BI:CJ,6,FALSE)</f>
        <v>0</v>
      </c>
      <c r="I186" s="117">
        <f>VLOOKUP(C186,'Talente &amp; Stuff'!BI:CJ,7,FALSE)</f>
        <v>0</v>
      </c>
      <c r="J186" s="117">
        <f>VLOOKUP(C186,'Talente &amp; Stuff'!BI:CJ,8,FALSE)</f>
        <v>0</v>
      </c>
      <c r="K186" s="117">
        <f>VLOOKUP(C186,'Talente &amp; Stuff'!BI:CJ,9,FALSE)</f>
        <v>0</v>
      </c>
      <c r="L186" s="117">
        <f>VLOOKUP(C186,'Talente &amp; Stuff'!BI:CJ,10,FALSE)</f>
        <v>0</v>
      </c>
      <c r="M186" s="121">
        <f>VLOOKUP(C186,'Talente &amp; Stuff'!BI:CJ,11,FALSE)</f>
        <v>0</v>
      </c>
      <c r="N186" s="47">
        <f>VLOOKUP(C186,'Talente &amp; Stuff'!BI:CJ,12,FALSE)</f>
        <v>0</v>
      </c>
      <c r="O186" s="3">
        <f>VLOOKUP(C186,'Talente &amp; Stuff'!BI:CJ,13,FALSE)</f>
        <v>0</v>
      </c>
      <c r="P186" s="174">
        <f>VLOOKUP(C186,'Talente &amp; Stuff'!BI:CJ,14,FALSE)</f>
        <v>0</v>
      </c>
      <c r="Q186" s="114">
        <f>VLOOKUP(C186,'Talente &amp; Stuff'!BI:CJ,15,FALSE)</f>
        <v>0</v>
      </c>
      <c r="R186" s="117">
        <f>VLOOKUP(C186,'Talente &amp; Stuff'!BI:CJ,16,FALSE)</f>
        <v>0</v>
      </c>
      <c r="S186" s="119">
        <f>VLOOKUP(C186,'Talente &amp; Stuff'!BI:CJ,17,FALSE)</f>
        <v>0</v>
      </c>
      <c r="T186" s="119">
        <f>VLOOKUP(C186,'Talente &amp; Stuff'!BI:CJ,18,FALSE)</f>
        <v>0</v>
      </c>
      <c r="U186" s="89">
        <f>VLOOKUP(C186,'Talente &amp; Stuff'!BI:CJ,19,FALSE)</f>
        <v>0</v>
      </c>
      <c r="V186" s="47">
        <f>VLOOKUP(C186,'Talente &amp; Stuff'!BI:CJ,20,FALSE)</f>
        <v>0</v>
      </c>
      <c r="W186" s="127">
        <f>VLOOKUP(C186,'Talente &amp; Stuff'!BI:CJ,21,FALSE)</f>
        <v>0</v>
      </c>
      <c r="X186" s="127">
        <f>VLOOKUP(C186,'Talente &amp; Stuff'!BI:CJ,22,FALSE)</f>
        <v>0</v>
      </c>
      <c r="Y186" s="165">
        <f t="shared" si="18"/>
        <v>0</v>
      </c>
      <c r="Z186" s="44">
        <f t="shared" si="19"/>
        <v>0</v>
      </c>
      <c r="AA186" s="125">
        <f>VLOOKUP(C186,'Talente &amp; Stuff'!BI:CJ,25,FALSE)</f>
        <v>0</v>
      </c>
      <c r="AB186" s="160">
        <f>VLOOKUP(C186,'Talente &amp; Stuff'!BI:CJ,26,FALSE)</f>
        <v>0</v>
      </c>
      <c r="AC186" s="127">
        <f>VLOOKUP(C186,'Talente &amp; Stuff'!BI:CJ,27,FALSE)</f>
        <v>0</v>
      </c>
      <c r="AD186" s="125">
        <f>VLOOKUP(C186,'Talente &amp; Stuff'!BI:CJ,28,FALSE)</f>
        <v>0</v>
      </c>
      <c r="AE186" s="28"/>
    </row>
    <row r="187" spans="2:31" ht="15" hidden="1" customHeight="1" outlineLevel="2">
      <c r="B187" s="148">
        <v>35</v>
      </c>
      <c r="C187" s="177" t="str">
        <f>Attribute!C187</f>
        <v>---</v>
      </c>
      <c r="D187" s="86" t="str">
        <f>VLOOKUP(C187,'Talente &amp; Stuff'!BI:CJ,2,FALSE)</f>
        <v>--/--/--</v>
      </c>
      <c r="E187" s="167" t="str">
        <f>VLOOKUP(C187,'Talente &amp; Stuff'!BI:CJ,3,FALSE)</f>
        <v>-</v>
      </c>
      <c r="F187" s="120">
        <f>VLOOKUP(C187,'Talente &amp; Stuff'!BI:CJ,4,FALSE)</f>
        <v>0</v>
      </c>
      <c r="G187" s="117">
        <f>VLOOKUP(C187,'Talente &amp; Stuff'!BI:CJ,5,FALSE)</f>
        <v>0</v>
      </c>
      <c r="H187" s="117">
        <f>VLOOKUP(C187,'Talente &amp; Stuff'!BI:CJ,6,FALSE)</f>
        <v>0</v>
      </c>
      <c r="I187" s="117">
        <f>VLOOKUP(C187,'Talente &amp; Stuff'!BI:CJ,7,FALSE)</f>
        <v>0</v>
      </c>
      <c r="J187" s="117">
        <f>VLOOKUP(C187,'Talente &amp; Stuff'!BI:CJ,8,FALSE)</f>
        <v>0</v>
      </c>
      <c r="K187" s="117">
        <f>VLOOKUP(C187,'Talente &amp; Stuff'!BI:CJ,9,FALSE)</f>
        <v>0</v>
      </c>
      <c r="L187" s="117">
        <f>VLOOKUP(C187,'Talente &amp; Stuff'!BI:CJ,10,FALSE)</f>
        <v>0</v>
      </c>
      <c r="M187" s="121">
        <f>VLOOKUP(C187,'Talente &amp; Stuff'!BI:CJ,11,FALSE)</f>
        <v>0</v>
      </c>
      <c r="N187" s="47">
        <f>VLOOKUP(C187,'Talente &amp; Stuff'!BI:CJ,12,FALSE)</f>
        <v>0</v>
      </c>
      <c r="O187" s="3">
        <f>VLOOKUP(C187,'Talente &amp; Stuff'!BI:CJ,13,FALSE)</f>
        <v>0</v>
      </c>
      <c r="P187" s="174">
        <f>VLOOKUP(C187,'Talente &amp; Stuff'!BI:CJ,14,FALSE)</f>
        <v>0</v>
      </c>
      <c r="Q187" s="114">
        <f>VLOOKUP(C187,'Talente &amp; Stuff'!BI:CJ,15,FALSE)</f>
        <v>0</v>
      </c>
      <c r="R187" s="117">
        <f>VLOOKUP(C187,'Talente &amp; Stuff'!BI:CJ,16,FALSE)</f>
        <v>0</v>
      </c>
      <c r="S187" s="119">
        <f>VLOOKUP(C187,'Talente &amp; Stuff'!BI:CJ,17,FALSE)</f>
        <v>0</v>
      </c>
      <c r="T187" s="119">
        <f>VLOOKUP(C187,'Talente &amp; Stuff'!BI:CJ,18,FALSE)</f>
        <v>0</v>
      </c>
      <c r="U187" s="89">
        <f>VLOOKUP(C187,'Talente &amp; Stuff'!BI:CJ,19,FALSE)</f>
        <v>0</v>
      </c>
      <c r="V187" s="47">
        <f>VLOOKUP(C187,'Talente &amp; Stuff'!BI:CJ,20,FALSE)</f>
        <v>0</v>
      </c>
      <c r="W187" s="127">
        <f>VLOOKUP(C187,'Talente &amp; Stuff'!BI:CJ,21,FALSE)</f>
        <v>0</v>
      </c>
      <c r="X187" s="127">
        <f>VLOOKUP(C187,'Talente &amp; Stuff'!BI:CJ,22,FALSE)</f>
        <v>0</v>
      </c>
      <c r="Y187" s="165">
        <f t="shared" si="18"/>
        <v>0</v>
      </c>
      <c r="Z187" s="44">
        <f t="shared" si="19"/>
        <v>0</v>
      </c>
      <c r="AA187" s="125">
        <f>VLOOKUP(C187,'Talente &amp; Stuff'!BI:CJ,25,FALSE)</f>
        <v>0</v>
      </c>
      <c r="AB187" s="160">
        <f>VLOOKUP(C187,'Talente &amp; Stuff'!BI:CJ,26,FALSE)</f>
        <v>0</v>
      </c>
      <c r="AC187" s="127">
        <f>VLOOKUP(C187,'Talente &amp; Stuff'!BI:CJ,27,FALSE)</f>
        <v>0</v>
      </c>
      <c r="AD187" s="125">
        <f>VLOOKUP(C187,'Talente &amp; Stuff'!BI:CJ,28,FALSE)</f>
        <v>0</v>
      </c>
      <c r="AE187" s="28"/>
    </row>
    <row r="188" spans="2:31" ht="15" hidden="1" customHeight="1" outlineLevel="2">
      <c r="B188" s="148">
        <v>36</v>
      </c>
      <c r="C188" s="177" t="str">
        <f>Attribute!C188</f>
        <v>---</v>
      </c>
      <c r="D188" s="86" t="str">
        <f>VLOOKUP(C188,'Talente &amp; Stuff'!BI:CJ,2,FALSE)</f>
        <v>--/--/--</v>
      </c>
      <c r="E188" s="167" t="str">
        <f>VLOOKUP(C188,'Talente &amp; Stuff'!BI:CJ,3,FALSE)</f>
        <v>-</v>
      </c>
      <c r="F188" s="120">
        <f>VLOOKUP(C188,'Talente &amp; Stuff'!BI:CJ,4,FALSE)</f>
        <v>0</v>
      </c>
      <c r="G188" s="117">
        <f>VLOOKUP(C188,'Talente &amp; Stuff'!BI:CJ,5,FALSE)</f>
        <v>0</v>
      </c>
      <c r="H188" s="117">
        <f>VLOOKUP(C188,'Talente &amp; Stuff'!BI:CJ,6,FALSE)</f>
        <v>0</v>
      </c>
      <c r="I188" s="117">
        <f>VLOOKUP(C188,'Talente &amp; Stuff'!BI:CJ,7,FALSE)</f>
        <v>0</v>
      </c>
      <c r="J188" s="117">
        <f>VLOOKUP(C188,'Talente &amp; Stuff'!BI:CJ,8,FALSE)</f>
        <v>0</v>
      </c>
      <c r="K188" s="117">
        <f>VLOOKUP(C188,'Talente &amp; Stuff'!BI:CJ,9,FALSE)</f>
        <v>0</v>
      </c>
      <c r="L188" s="117">
        <f>VLOOKUP(C188,'Talente &amp; Stuff'!BI:CJ,10,FALSE)</f>
        <v>0</v>
      </c>
      <c r="M188" s="121">
        <f>VLOOKUP(C188,'Talente &amp; Stuff'!BI:CJ,11,FALSE)</f>
        <v>0</v>
      </c>
      <c r="N188" s="47">
        <f>VLOOKUP(C188,'Talente &amp; Stuff'!BI:CJ,12,FALSE)</f>
        <v>0</v>
      </c>
      <c r="O188" s="3">
        <f>VLOOKUP(C188,'Talente &amp; Stuff'!BI:CJ,13,FALSE)</f>
        <v>0</v>
      </c>
      <c r="P188" s="174">
        <f>VLOOKUP(C188,'Talente &amp; Stuff'!BI:CJ,14,FALSE)</f>
        <v>0</v>
      </c>
      <c r="Q188" s="114">
        <f>VLOOKUP(C188,'Talente &amp; Stuff'!BI:CJ,15,FALSE)</f>
        <v>0</v>
      </c>
      <c r="R188" s="117">
        <f>VLOOKUP(C188,'Talente &amp; Stuff'!BI:CJ,16,FALSE)</f>
        <v>0</v>
      </c>
      <c r="S188" s="119">
        <f>VLOOKUP(C188,'Talente &amp; Stuff'!BI:CJ,17,FALSE)</f>
        <v>0</v>
      </c>
      <c r="T188" s="119">
        <f>VLOOKUP(C188,'Talente &amp; Stuff'!BI:CJ,18,FALSE)</f>
        <v>0</v>
      </c>
      <c r="U188" s="89">
        <f>VLOOKUP(C188,'Talente &amp; Stuff'!BI:CJ,19,FALSE)</f>
        <v>0</v>
      </c>
      <c r="V188" s="47">
        <f>VLOOKUP(C188,'Talente &amp; Stuff'!BI:CJ,20,FALSE)</f>
        <v>0</v>
      </c>
      <c r="W188" s="127">
        <f>VLOOKUP(C188,'Talente &amp; Stuff'!BI:CJ,21,FALSE)</f>
        <v>0</v>
      </c>
      <c r="X188" s="127">
        <f>VLOOKUP(C188,'Talente &amp; Stuff'!BI:CJ,22,FALSE)</f>
        <v>0</v>
      </c>
      <c r="Y188" s="165">
        <f t="shared" si="18"/>
        <v>0</v>
      </c>
      <c r="Z188" s="44">
        <f t="shared" si="19"/>
        <v>0</v>
      </c>
      <c r="AA188" s="125">
        <f>VLOOKUP(C188,'Talente &amp; Stuff'!BI:CJ,25,FALSE)</f>
        <v>0</v>
      </c>
      <c r="AB188" s="160">
        <f>VLOOKUP(C188,'Talente &amp; Stuff'!BI:CJ,26,FALSE)</f>
        <v>0</v>
      </c>
      <c r="AC188" s="127">
        <f>VLOOKUP(C188,'Talente &amp; Stuff'!BI:CJ,27,FALSE)</f>
        <v>0</v>
      </c>
      <c r="AD188" s="125">
        <f>VLOOKUP(C188,'Talente &amp; Stuff'!BI:CJ,28,FALSE)</f>
        <v>0</v>
      </c>
      <c r="AE188" s="28"/>
    </row>
    <row r="189" spans="2:31" ht="15" hidden="1" customHeight="1" outlineLevel="2">
      <c r="B189" s="148">
        <v>37</v>
      </c>
      <c r="C189" s="177" t="str">
        <f>Attribute!C189</f>
        <v>---</v>
      </c>
      <c r="D189" s="86" t="str">
        <f>VLOOKUP(C189,'Talente &amp; Stuff'!BI:CJ,2,FALSE)</f>
        <v>--/--/--</v>
      </c>
      <c r="E189" s="167" t="str">
        <f>VLOOKUP(C189,'Talente &amp; Stuff'!BI:CJ,3,FALSE)</f>
        <v>-</v>
      </c>
      <c r="F189" s="120">
        <f>VLOOKUP(C189,'Talente &amp; Stuff'!BI:CJ,4,FALSE)</f>
        <v>0</v>
      </c>
      <c r="G189" s="117">
        <f>VLOOKUP(C189,'Talente &amp; Stuff'!BI:CJ,5,FALSE)</f>
        <v>0</v>
      </c>
      <c r="H189" s="117">
        <f>VLOOKUP(C189,'Talente &amp; Stuff'!BI:CJ,6,FALSE)</f>
        <v>0</v>
      </c>
      <c r="I189" s="117">
        <f>VLOOKUP(C189,'Talente &amp; Stuff'!BI:CJ,7,FALSE)</f>
        <v>0</v>
      </c>
      <c r="J189" s="117">
        <f>VLOOKUP(C189,'Talente &amp; Stuff'!BI:CJ,8,FALSE)</f>
        <v>0</v>
      </c>
      <c r="K189" s="117">
        <f>VLOOKUP(C189,'Talente &amp; Stuff'!BI:CJ,9,FALSE)</f>
        <v>0</v>
      </c>
      <c r="L189" s="117">
        <f>VLOOKUP(C189,'Talente &amp; Stuff'!BI:CJ,10,FALSE)</f>
        <v>0</v>
      </c>
      <c r="M189" s="121">
        <f>VLOOKUP(C189,'Talente &amp; Stuff'!BI:CJ,11,FALSE)</f>
        <v>0</v>
      </c>
      <c r="N189" s="47">
        <f>VLOOKUP(C189,'Talente &amp; Stuff'!BI:CJ,12,FALSE)</f>
        <v>0</v>
      </c>
      <c r="O189" s="3">
        <f>VLOOKUP(C189,'Talente &amp; Stuff'!BI:CJ,13,FALSE)</f>
        <v>0</v>
      </c>
      <c r="P189" s="174">
        <f>VLOOKUP(C189,'Talente &amp; Stuff'!BI:CJ,14,FALSE)</f>
        <v>0</v>
      </c>
      <c r="Q189" s="114">
        <f>VLOOKUP(C189,'Talente &amp; Stuff'!BI:CJ,15,FALSE)</f>
        <v>0</v>
      </c>
      <c r="R189" s="117">
        <f>VLOOKUP(C189,'Talente &amp; Stuff'!BI:CJ,16,FALSE)</f>
        <v>0</v>
      </c>
      <c r="S189" s="119">
        <f>VLOOKUP(C189,'Talente &amp; Stuff'!BI:CJ,17,FALSE)</f>
        <v>0</v>
      </c>
      <c r="T189" s="119">
        <f>VLOOKUP(C189,'Talente &amp; Stuff'!BI:CJ,18,FALSE)</f>
        <v>0</v>
      </c>
      <c r="U189" s="89">
        <f>VLOOKUP(C189,'Talente &amp; Stuff'!BI:CJ,19,FALSE)</f>
        <v>0</v>
      </c>
      <c r="V189" s="47">
        <f>VLOOKUP(C189,'Talente &amp; Stuff'!BI:CJ,20,FALSE)</f>
        <v>0</v>
      </c>
      <c r="W189" s="127">
        <f>VLOOKUP(C189,'Talente &amp; Stuff'!BI:CJ,21,FALSE)</f>
        <v>0</v>
      </c>
      <c r="X189" s="127">
        <f>VLOOKUP(C189,'Talente &amp; Stuff'!BI:CJ,22,FALSE)</f>
        <v>0</v>
      </c>
      <c r="Y189" s="165">
        <f t="shared" si="18"/>
        <v>0</v>
      </c>
      <c r="Z189" s="44">
        <f t="shared" si="19"/>
        <v>0</v>
      </c>
      <c r="AA189" s="125">
        <f>VLOOKUP(C189,'Talente &amp; Stuff'!BI:CJ,25,FALSE)</f>
        <v>0</v>
      </c>
      <c r="AB189" s="160">
        <f>VLOOKUP(C189,'Talente &amp; Stuff'!BI:CJ,26,FALSE)</f>
        <v>0</v>
      </c>
      <c r="AC189" s="127">
        <f>VLOOKUP(C189,'Talente &amp; Stuff'!BI:CJ,27,FALSE)</f>
        <v>0</v>
      </c>
      <c r="AD189" s="125">
        <f>VLOOKUP(C189,'Talente &amp; Stuff'!BI:CJ,28,FALSE)</f>
        <v>0</v>
      </c>
      <c r="AE189" s="28"/>
    </row>
    <row r="190" spans="2:31" ht="15" hidden="1" customHeight="1" outlineLevel="2">
      <c r="B190" s="148">
        <v>38</v>
      </c>
      <c r="C190" s="177" t="str">
        <f>Attribute!C190</f>
        <v>---</v>
      </c>
      <c r="D190" s="86" t="str">
        <f>VLOOKUP(C190,'Talente &amp; Stuff'!BI:CJ,2,FALSE)</f>
        <v>--/--/--</v>
      </c>
      <c r="E190" s="167" t="str">
        <f>VLOOKUP(C190,'Talente &amp; Stuff'!BI:CJ,3,FALSE)</f>
        <v>-</v>
      </c>
      <c r="F190" s="120">
        <f>VLOOKUP(C190,'Talente &amp; Stuff'!BI:CJ,4,FALSE)</f>
        <v>0</v>
      </c>
      <c r="G190" s="117">
        <f>VLOOKUP(C190,'Talente &amp; Stuff'!BI:CJ,5,FALSE)</f>
        <v>0</v>
      </c>
      <c r="H190" s="117">
        <f>VLOOKUP(C190,'Talente &amp; Stuff'!BI:CJ,6,FALSE)</f>
        <v>0</v>
      </c>
      <c r="I190" s="117">
        <f>VLOOKUP(C190,'Talente &amp; Stuff'!BI:CJ,7,FALSE)</f>
        <v>0</v>
      </c>
      <c r="J190" s="117">
        <f>VLOOKUP(C190,'Talente &amp; Stuff'!BI:CJ,8,FALSE)</f>
        <v>0</v>
      </c>
      <c r="K190" s="117">
        <f>VLOOKUP(C190,'Talente &amp; Stuff'!BI:CJ,9,FALSE)</f>
        <v>0</v>
      </c>
      <c r="L190" s="117">
        <f>VLOOKUP(C190,'Talente &amp; Stuff'!BI:CJ,10,FALSE)</f>
        <v>0</v>
      </c>
      <c r="M190" s="121">
        <f>VLOOKUP(C190,'Talente &amp; Stuff'!BI:CJ,11,FALSE)</f>
        <v>0</v>
      </c>
      <c r="N190" s="47">
        <f>VLOOKUP(C190,'Talente &amp; Stuff'!BI:CJ,12,FALSE)</f>
        <v>0</v>
      </c>
      <c r="O190" s="3">
        <f>VLOOKUP(C190,'Talente &amp; Stuff'!BI:CJ,13,FALSE)</f>
        <v>0</v>
      </c>
      <c r="P190" s="174">
        <f>VLOOKUP(C190,'Talente &amp; Stuff'!BI:CJ,14,FALSE)</f>
        <v>0</v>
      </c>
      <c r="Q190" s="114">
        <f>VLOOKUP(C190,'Talente &amp; Stuff'!BI:CJ,15,FALSE)</f>
        <v>0</v>
      </c>
      <c r="R190" s="117">
        <f>VLOOKUP(C190,'Talente &amp; Stuff'!BI:CJ,16,FALSE)</f>
        <v>0</v>
      </c>
      <c r="S190" s="119">
        <f>VLOOKUP(C190,'Talente &amp; Stuff'!BI:CJ,17,FALSE)</f>
        <v>0</v>
      </c>
      <c r="T190" s="119">
        <f>VLOOKUP(C190,'Talente &amp; Stuff'!BI:CJ,18,FALSE)</f>
        <v>0</v>
      </c>
      <c r="U190" s="89">
        <f>VLOOKUP(C190,'Talente &amp; Stuff'!BI:CJ,19,FALSE)</f>
        <v>0</v>
      </c>
      <c r="V190" s="47">
        <f>VLOOKUP(C190,'Talente &amp; Stuff'!BI:CJ,20,FALSE)</f>
        <v>0</v>
      </c>
      <c r="W190" s="127">
        <f>VLOOKUP(C190,'Talente &amp; Stuff'!BI:CJ,21,FALSE)</f>
        <v>0</v>
      </c>
      <c r="X190" s="127">
        <f>VLOOKUP(C190,'Talente &amp; Stuff'!BI:CJ,22,FALSE)</f>
        <v>0</v>
      </c>
      <c r="Y190" s="165">
        <f t="shared" si="18"/>
        <v>0</v>
      </c>
      <c r="Z190" s="44">
        <f t="shared" si="19"/>
        <v>0</v>
      </c>
      <c r="AA190" s="125">
        <f>VLOOKUP(C190,'Talente &amp; Stuff'!BI:CJ,25,FALSE)</f>
        <v>0</v>
      </c>
      <c r="AB190" s="160">
        <f>VLOOKUP(C190,'Talente &amp; Stuff'!BI:CJ,26,FALSE)</f>
        <v>0</v>
      </c>
      <c r="AC190" s="127">
        <f>VLOOKUP(C190,'Talente &amp; Stuff'!BI:CJ,27,FALSE)</f>
        <v>0</v>
      </c>
      <c r="AD190" s="125">
        <f>VLOOKUP(C190,'Talente &amp; Stuff'!BI:CJ,28,FALSE)</f>
        <v>0</v>
      </c>
      <c r="AE190" s="28"/>
    </row>
    <row r="191" spans="2:31" ht="15" hidden="1" customHeight="1" outlineLevel="2">
      <c r="B191" s="148">
        <v>39</v>
      </c>
      <c r="C191" s="177" t="str">
        <f>Attribute!C191</f>
        <v>---</v>
      </c>
      <c r="D191" s="86" t="str">
        <f>VLOOKUP(C191,'Talente &amp; Stuff'!BI:CJ,2,FALSE)</f>
        <v>--/--/--</v>
      </c>
      <c r="E191" s="167" t="str">
        <f>VLOOKUP(C191,'Talente &amp; Stuff'!BI:CJ,3,FALSE)</f>
        <v>-</v>
      </c>
      <c r="F191" s="120">
        <f>VLOOKUP(C191,'Talente &amp; Stuff'!BI:CJ,4,FALSE)</f>
        <v>0</v>
      </c>
      <c r="G191" s="117">
        <f>VLOOKUP(C191,'Talente &amp; Stuff'!BI:CJ,5,FALSE)</f>
        <v>0</v>
      </c>
      <c r="H191" s="117">
        <f>VLOOKUP(C191,'Talente &amp; Stuff'!BI:CJ,6,FALSE)</f>
        <v>0</v>
      </c>
      <c r="I191" s="117">
        <f>VLOOKUP(C191,'Talente &amp; Stuff'!BI:CJ,7,FALSE)</f>
        <v>0</v>
      </c>
      <c r="J191" s="117">
        <f>VLOOKUP(C191,'Talente &amp; Stuff'!BI:CJ,8,FALSE)</f>
        <v>0</v>
      </c>
      <c r="K191" s="117">
        <f>VLOOKUP(C191,'Talente &amp; Stuff'!BI:CJ,9,FALSE)</f>
        <v>0</v>
      </c>
      <c r="L191" s="117">
        <f>VLOOKUP(C191,'Talente &amp; Stuff'!BI:CJ,10,FALSE)</f>
        <v>0</v>
      </c>
      <c r="M191" s="121">
        <f>VLOOKUP(C191,'Talente &amp; Stuff'!BI:CJ,11,FALSE)</f>
        <v>0</v>
      </c>
      <c r="N191" s="47">
        <f>VLOOKUP(C191,'Talente &amp; Stuff'!BI:CJ,12,FALSE)</f>
        <v>0</v>
      </c>
      <c r="O191" s="3">
        <f>VLOOKUP(C191,'Talente &amp; Stuff'!BI:CJ,13,FALSE)</f>
        <v>0</v>
      </c>
      <c r="P191" s="174">
        <f>VLOOKUP(C191,'Talente &amp; Stuff'!BI:CJ,14,FALSE)</f>
        <v>0</v>
      </c>
      <c r="Q191" s="114">
        <f>VLOOKUP(C191,'Talente &amp; Stuff'!BI:CJ,15,FALSE)</f>
        <v>0</v>
      </c>
      <c r="R191" s="117">
        <f>VLOOKUP(C191,'Talente &amp; Stuff'!BI:CJ,16,FALSE)</f>
        <v>0</v>
      </c>
      <c r="S191" s="119">
        <f>VLOOKUP(C191,'Talente &amp; Stuff'!BI:CJ,17,FALSE)</f>
        <v>0</v>
      </c>
      <c r="T191" s="119">
        <f>VLOOKUP(C191,'Talente &amp; Stuff'!BI:CJ,18,FALSE)</f>
        <v>0</v>
      </c>
      <c r="U191" s="89">
        <f>VLOOKUP(C191,'Talente &amp; Stuff'!BI:CJ,19,FALSE)</f>
        <v>0</v>
      </c>
      <c r="V191" s="47">
        <f>VLOOKUP(C191,'Talente &amp; Stuff'!BI:CJ,20,FALSE)</f>
        <v>0</v>
      </c>
      <c r="W191" s="127">
        <f>VLOOKUP(C191,'Talente &amp; Stuff'!BI:CJ,21,FALSE)</f>
        <v>0</v>
      </c>
      <c r="X191" s="127">
        <f>VLOOKUP(C191,'Talente &amp; Stuff'!BI:CJ,22,FALSE)</f>
        <v>0</v>
      </c>
      <c r="Y191" s="165">
        <f t="shared" si="18"/>
        <v>0</v>
      </c>
      <c r="Z191" s="44">
        <f t="shared" si="19"/>
        <v>0</v>
      </c>
      <c r="AA191" s="125">
        <f>VLOOKUP(C191,'Talente &amp; Stuff'!BI:CJ,25,FALSE)</f>
        <v>0</v>
      </c>
      <c r="AB191" s="160">
        <f>VLOOKUP(C191,'Talente &amp; Stuff'!BI:CJ,26,FALSE)</f>
        <v>0</v>
      </c>
      <c r="AC191" s="127">
        <f>VLOOKUP(C191,'Talente &amp; Stuff'!BI:CJ,27,FALSE)</f>
        <v>0</v>
      </c>
      <c r="AD191" s="125">
        <f>VLOOKUP(C191,'Talente &amp; Stuff'!BI:CJ,28,FALSE)</f>
        <v>0</v>
      </c>
      <c r="AE191" s="28"/>
    </row>
    <row r="192" spans="2:31" ht="15" hidden="1" customHeight="1" outlineLevel="2">
      <c r="B192" s="148">
        <v>40</v>
      </c>
      <c r="C192" s="177" t="str">
        <f>Attribute!C192</f>
        <v>---</v>
      </c>
      <c r="D192" s="125" t="str">
        <f>VLOOKUP(C192,'Talente &amp; Stuff'!BI:CJ,2,FALSE)</f>
        <v>--/--/--</v>
      </c>
      <c r="E192" s="127" t="str">
        <f>VLOOKUP(C192,'Talente &amp; Stuff'!BI:CJ,3,FALSE)</f>
        <v>-</v>
      </c>
      <c r="F192" s="114">
        <f>VLOOKUP(C192,'Talente &amp; Stuff'!BI:CJ,4,FALSE)</f>
        <v>0</v>
      </c>
      <c r="G192" s="113">
        <f>VLOOKUP(C192,'Talente &amp; Stuff'!BI:CJ,5,FALSE)</f>
        <v>0</v>
      </c>
      <c r="H192" s="113">
        <f>VLOOKUP(C192,'Talente &amp; Stuff'!BI:CJ,6,FALSE)</f>
        <v>0</v>
      </c>
      <c r="I192" s="113">
        <f>VLOOKUP(C192,'Talente &amp; Stuff'!BI:CJ,7,FALSE)</f>
        <v>0</v>
      </c>
      <c r="J192" s="113">
        <f>VLOOKUP(C192,'Talente &amp; Stuff'!BI:CJ,8,FALSE)</f>
        <v>0</v>
      </c>
      <c r="K192" s="113">
        <f>VLOOKUP(C192,'Talente &amp; Stuff'!BI:CJ,9,FALSE)</f>
        <v>0</v>
      </c>
      <c r="L192" s="113">
        <f>VLOOKUP(C192,'Talente &amp; Stuff'!BI:CJ,10,FALSE)</f>
        <v>0</v>
      </c>
      <c r="M192" s="119">
        <f>VLOOKUP(C192,'Talente &amp; Stuff'!BI:CJ,11,FALSE)</f>
        <v>0</v>
      </c>
      <c r="N192" s="47">
        <f>VLOOKUP(C192,'Talente &amp; Stuff'!BI:CJ,12,FALSE)</f>
        <v>0</v>
      </c>
      <c r="O192" s="47">
        <f>VLOOKUP(C192,'Talente &amp; Stuff'!BI:CJ,13,FALSE)</f>
        <v>0</v>
      </c>
      <c r="P192" s="119">
        <f>VLOOKUP(C192,'Talente &amp; Stuff'!BI:CJ,14,FALSE)</f>
        <v>0</v>
      </c>
      <c r="Q192" s="114">
        <f>VLOOKUP(C192,'Talente &amp; Stuff'!BI:CJ,15,FALSE)</f>
        <v>0</v>
      </c>
      <c r="R192" s="113">
        <f>VLOOKUP(C192,'Talente &amp; Stuff'!BI:CJ,16,FALSE)</f>
        <v>0</v>
      </c>
      <c r="S192" s="119">
        <f>VLOOKUP(C192,'Talente &amp; Stuff'!BI:CJ,17,FALSE)</f>
        <v>0</v>
      </c>
      <c r="T192" s="119">
        <f>VLOOKUP(C192,'Talente &amp; Stuff'!BI:CJ,18,FALSE)</f>
        <v>0</v>
      </c>
      <c r="U192" s="89">
        <f>VLOOKUP(C192,'Talente &amp; Stuff'!BI:CJ,19,FALSE)</f>
        <v>0</v>
      </c>
      <c r="V192" s="47">
        <f>VLOOKUP(C192,'Talente &amp; Stuff'!BI:CJ,20,FALSE)</f>
        <v>0</v>
      </c>
      <c r="W192" s="127">
        <f>VLOOKUP(C192,'Talente &amp; Stuff'!BI:CJ,21,FALSE)</f>
        <v>0</v>
      </c>
      <c r="X192" s="127">
        <f>VLOOKUP(C192,'Talente &amp; Stuff'!BI:CJ,22,FALSE)</f>
        <v>0</v>
      </c>
      <c r="Y192" s="165">
        <f t="shared" si="18"/>
        <v>0</v>
      </c>
      <c r="Z192" s="44">
        <f t="shared" si="19"/>
        <v>0</v>
      </c>
      <c r="AA192" s="125">
        <f>VLOOKUP(C192,'Talente &amp; Stuff'!BI:CJ,25,FALSE)</f>
        <v>0</v>
      </c>
      <c r="AB192" s="160">
        <f>VLOOKUP(C192,'Talente &amp; Stuff'!BI:CJ,26,FALSE)</f>
        <v>0</v>
      </c>
      <c r="AC192" s="127">
        <f>VLOOKUP(C192,'Talente &amp; Stuff'!BI:CJ,27,FALSE)</f>
        <v>0</v>
      </c>
      <c r="AD192" s="125">
        <f>VLOOKUP(C192,'Talente &amp; Stuff'!BI:CJ,28,FALSE)</f>
        <v>0</v>
      </c>
      <c r="AE192" s="28"/>
    </row>
    <row r="193" spans="2:31" ht="15" hidden="1" customHeight="1" outlineLevel="2">
      <c r="B193" s="148">
        <v>41</v>
      </c>
      <c r="C193" s="177" t="str">
        <f>Attribute!C193</f>
        <v>---</v>
      </c>
      <c r="D193" s="86" t="str">
        <f>VLOOKUP(C193,'Talente &amp; Stuff'!BI:CJ,2,FALSE)</f>
        <v>--/--/--</v>
      </c>
      <c r="E193" s="167" t="str">
        <f>VLOOKUP(C193,'Talente &amp; Stuff'!BI:CJ,3,FALSE)</f>
        <v>-</v>
      </c>
      <c r="F193" s="120">
        <f>VLOOKUP(C193,'Talente &amp; Stuff'!BI:CJ,4,FALSE)</f>
        <v>0</v>
      </c>
      <c r="G193" s="117">
        <f>VLOOKUP(C193,'Talente &amp; Stuff'!BI:CJ,5,FALSE)</f>
        <v>0</v>
      </c>
      <c r="H193" s="117">
        <f>VLOOKUP(C193,'Talente &amp; Stuff'!BI:CJ,6,FALSE)</f>
        <v>0</v>
      </c>
      <c r="I193" s="117">
        <f>VLOOKUP(C193,'Talente &amp; Stuff'!BI:CJ,7,FALSE)</f>
        <v>0</v>
      </c>
      <c r="J193" s="117">
        <f>VLOOKUP(C193,'Talente &amp; Stuff'!BI:CJ,8,FALSE)</f>
        <v>0</v>
      </c>
      <c r="K193" s="117">
        <f>VLOOKUP(C193,'Talente &amp; Stuff'!BI:CJ,9,FALSE)</f>
        <v>0</v>
      </c>
      <c r="L193" s="117">
        <f>VLOOKUP(C193,'Talente &amp; Stuff'!BI:CJ,10,FALSE)</f>
        <v>0</v>
      </c>
      <c r="M193" s="121">
        <f>VLOOKUP(C193,'Talente &amp; Stuff'!BI:CJ,11,FALSE)</f>
        <v>0</v>
      </c>
      <c r="N193" s="47">
        <f>VLOOKUP(C193,'Talente &amp; Stuff'!BI:CJ,12,FALSE)</f>
        <v>0</v>
      </c>
      <c r="O193" s="3">
        <f>VLOOKUP(C193,'Talente &amp; Stuff'!BI:CJ,13,FALSE)</f>
        <v>0</v>
      </c>
      <c r="P193" s="174">
        <f>VLOOKUP(C193,'Talente &amp; Stuff'!BI:CJ,14,FALSE)</f>
        <v>0</v>
      </c>
      <c r="Q193" s="114">
        <f>VLOOKUP(C193,'Talente &amp; Stuff'!BI:CJ,15,FALSE)</f>
        <v>0</v>
      </c>
      <c r="R193" s="117">
        <f>VLOOKUP(C193,'Talente &amp; Stuff'!BI:CJ,16,FALSE)</f>
        <v>0</v>
      </c>
      <c r="S193" s="119">
        <f>VLOOKUP(C193,'Talente &amp; Stuff'!BI:CJ,17,FALSE)</f>
        <v>0</v>
      </c>
      <c r="T193" s="119">
        <f>VLOOKUP(C193,'Talente &amp; Stuff'!BI:CJ,18,FALSE)</f>
        <v>0</v>
      </c>
      <c r="U193" s="89">
        <f>VLOOKUP(C193,'Talente &amp; Stuff'!BI:CJ,19,FALSE)</f>
        <v>0</v>
      </c>
      <c r="V193" s="47">
        <f>VLOOKUP(C193,'Talente &amp; Stuff'!BI:CJ,20,FALSE)</f>
        <v>0</v>
      </c>
      <c r="W193" s="127">
        <f>VLOOKUP(C193,'Talente &amp; Stuff'!BI:CJ,21,FALSE)</f>
        <v>0</v>
      </c>
      <c r="X193" s="127">
        <f>VLOOKUP(C193,'Talente &amp; Stuff'!BI:CJ,22,FALSE)</f>
        <v>0</v>
      </c>
      <c r="Y193" s="165">
        <f t="shared" si="18"/>
        <v>0</v>
      </c>
      <c r="Z193" s="44">
        <f t="shared" si="19"/>
        <v>0</v>
      </c>
      <c r="AA193" s="125">
        <f>VLOOKUP(C193,'Talente &amp; Stuff'!BI:CJ,25,FALSE)</f>
        <v>0</v>
      </c>
      <c r="AB193" s="160">
        <f>VLOOKUP(C193,'Talente &amp; Stuff'!BI:CJ,26,FALSE)</f>
        <v>0</v>
      </c>
      <c r="AC193" s="127">
        <f>VLOOKUP(C193,'Talente &amp; Stuff'!BI:CJ,27,FALSE)</f>
        <v>0</v>
      </c>
      <c r="AD193" s="125">
        <f>VLOOKUP(C193,'Talente &amp; Stuff'!BI:CJ,28,FALSE)</f>
        <v>0</v>
      </c>
      <c r="AE193" s="28"/>
    </row>
    <row r="194" spans="2:31" ht="15" hidden="1" customHeight="1" outlineLevel="2">
      <c r="B194" s="148">
        <v>42</v>
      </c>
      <c r="C194" s="177" t="str">
        <f>Attribute!C194</f>
        <v>---</v>
      </c>
      <c r="D194" s="86" t="str">
        <f>VLOOKUP(C194,'Talente &amp; Stuff'!BI:CJ,2,FALSE)</f>
        <v>--/--/--</v>
      </c>
      <c r="E194" s="167" t="str">
        <f>VLOOKUP(C194,'Talente &amp; Stuff'!BI:CJ,3,FALSE)</f>
        <v>-</v>
      </c>
      <c r="F194" s="120">
        <f>VLOOKUP(C194,'Talente &amp; Stuff'!BI:CJ,4,FALSE)</f>
        <v>0</v>
      </c>
      <c r="G194" s="117">
        <f>VLOOKUP(C194,'Talente &amp; Stuff'!BI:CJ,5,FALSE)</f>
        <v>0</v>
      </c>
      <c r="H194" s="117">
        <f>VLOOKUP(C194,'Talente &amp; Stuff'!BI:CJ,6,FALSE)</f>
        <v>0</v>
      </c>
      <c r="I194" s="117">
        <f>VLOOKUP(C194,'Talente &amp; Stuff'!BI:CJ,7,FALSE)</f>
        <v>0</v>
      </c>
      <c r="J194" s="117">
        <f>VLOOKUP(C194,'Talente &amp; Stuff'!BI:CJ,8,FALSE)</f>
        <v>0</v>
      </c>
      <c r="K194" s="117">
        <f>VLOOKUP(C194,'Talente &amp; Stuff'!BI:CJ,9,FALSE)</f>
        <v>0</v>
      </c>
      <c r="L194" s="117">
        <f>VLOOKUP(C194,'Talente &amp; Stuff'!BI:CJ,10,FALSE)</f>
        <v>0</v>
      </c>
      <c r="M194" s="121">
        <f>VLOOKUP(C194,'Talente &amp; Stuff'!BI:CJ,11,FALSE)</f>
        <v>0</v>
      </c>
      <c r="N194" s="47">
        <f>VLOOKUP(C194,'Talente &amp; Stuff'!BI:CJ,12,FALSE)</f>
        <v>0</v>
      </c>
      <c r="O194" s="3">
        <f>VLOOKUP(C194,'Talente &amp; Stuff'!BI:CJ,13,FALSE)</f>
        <v>0</v>
      </c>
      <c r="P194" s="174">
        <f>VLOOKUP(C194,'Talente &amp; Stuff'!BI:CJ,14,FALSE)</f>
        <v>0</v>
      </c>
      <c r="Q194" s="114">
        <f>VLOOKUP(C194,'Talente &amp; Stuff'!BI:CJ,15,FALSE)</f>
        <v>0</v>
      </c>
      <c r="R194" s="117">
        <f>VLOOKUP(C194,'Talente &amp; Stuff'!BI:CJ,16,FALSE)</f>
        <v>0</v>
      </c>
      <c r="S194" s="119">
        <f>VLOOKUP(C194,'Talente &amp; Stuff'!BI:CJ,17,FALSE)</f>
        <v>0</v>
      </c>
      <c r="T194" s="119">
        <f>VLOOKUP(C194,'Talente &amp; Stuff'!BI:CJ,18,FALSE)</f>
        <v>0</v>
      </c>
      <c r="U194" s="89">
        <f>VLOOKUP(C194,'Talente &amp; Stuff'!BI:CJ,19,FALSE)</f>
        <v>0</v>
      </c>
      <c r="V194" s="47">
        <f>VLOOKUP(C194,'Talente &amp; Stuff'!BI:CJ,20,FALSE)</f>
        <v>0</v>
      </c>
      <c r="W194" s="127">
        <f>VLOOKUP(C194,'Talente &amp; Stuff'!BI:CJ,21,FALSE)</f>
        <v>0</v>
      </c>
      <c r="X194" s="127">
        <f>VLOOKUP(C194,'Talente &amp; Stuff'!BI:CJ,22,FALSE)</f>
        <v>0</v>
      </c>
      <c r="Y194" s="165">
        <f t="shared" si="18"/>
        <v>0</v>
      </c>
      <c r="Z194" s="44">
        <f t="shared" si="19"/>
        <v>0</v>
      </c>
      <c r="AA194" s="125">
        <f>VLOOKUP(C194,'Talente &amp; Stuff'!BI:CJ,25,FALSE)</f>
        <v>0</v>
      </c>
      <c r="AB194" s="160">
        <f>VLOOKUP(C194,'Talente &amp; Stuff'!BI:CJ,26,FALSE)</f>
        <v>0</v>
      </c>
      <c r="AC194" s="127">
        <f>VLOOKUP(C194,'Talente &amp; Stuff'!BI:CJ,27,FALSE)</f>
        <v>0</v>
      </c>
      <c r="AD194" s="125">
        <f>VLOOKUP(C194,'Talente &amp; Stuff'!BI:CJ,28,FALSE)</f>
        <v>0</v>
      </c>
      <c r="AE194" s="28"/>
    </row>
    <row r="195" spans="2:31" ht="15" hidden="1" customHeight="1" outlineLevel="2">
      <c r="B195" s="148">
        <v>43</v>
      </c>
      <c r="C195" s="177" t="str">
        <f>Attribute!C195</f>
        <v>---</v>
      </c>
      <c r="D195" s="125" t="str">
        <f>VLOOKUP(C195,'Talente &amp; Stuff'!BI:CJ,2,FALSE)</f>
        <v>--/--/--</v>
      </c>
      <c r="E195" s="127" t="str">
        <f>VLOOKUP(C195,'Talente &amp; Stuff'!BI:CJ,3,FALSE)</f>
        <v>-</v>
      </c>
      <c r="F195" s="114">
        <f>VLOOKUP(C195,'Talente &amp; Stuff'!BI:CJ,4,FALSE)</f>
        <v>0</v>
      </c>
      <c r="G195" s="113">
        <f>VLOOKUP(C195,'Talente &amp; Stuff'!BI:CJ,5,FALSE)</f>
        <v>0</v>
      </c>
      <c r="H195" s="113">
        <f>VLOOKUP(C195,'Talente &amp; Stuff'!BI:CJ,6,FALSE)</f>
        <v>0</v>
      </c>
      <c r="I195" s="113">
        <f>VLOOKUP(C195,'Talente &amp; Stuff'!BI:CJ,7,FALSE)</f>
        <v>0</v>
      </c>
      <c r="J195" s="113">
        <f>VLOOKUP(C195,'Talente &amp; Stuff'!BI:CJ,8,FALSE)</f>
        <v>0</v>
      </c>
      <c r="K195" s="113">
        <f>VLOOKUP(C195,'Talente &amp; Stuff'!BI:CJ,9,FALSE)</f>
        <v>0</v>
      </c>
      <c r="L195" s="113">
        <f>VLOOKUP(C195,'Talente &amp; Stuff'!BI:CJ,10,FALSE)</f>
        <v>0</v>
      </c>
      <c r="M195" s="119">
        <f>VLOOKUP(C195,'Talente &amp; Stuff'!BI:CJ,11,FALSE)</f>
        <v>0</v>
      </c>
      <c r="N195" s="47">
        <f>VLOOKUP(C195,'Talente &amp; Stuff'!BI:CJ,12,FALSE)</f>
        <v>0</v>
      </c>
      <c r="O195" s="47">
        <f>VLOOKUP(C195,'Talente &amp; Stuff'!BI:CJ,13,FALSE)</f>
        <v>0</v>
      </c>
      <c r="P195" s="119">
        <f>VLOOKUP(C195,'Talente &amp; Stuff'!BI:CJ,14,FALSE)</f>
        <v>0</v>
      </c>
      <c r="Q195" s="114">
        <f>VLOOKUP(C195,'Talente &amp; Stuff'!BI:CJ,15,FALSE)</f>
        <v>0</v>
      </c>
      <c r="R195" s="113">
        <f>VLOOKUP(C195,'Talente &amp; Stuff'!BI:CJ,16,FALSE)</f>
        <v>0</v>
      </c>
      <c r="S195" s="119">
        <f>VLOOKUP(C195,'Talente &amp; Stuff'!BI:CJ,17,FALSE)</f>
        <v>0</v>
      </c>
      <c r="T195" s="119">
        <f>VLOOKUP(C195,'Talente &amp; Stuff'!BI:CJ,18,FALSE)</f>
        <v>0</v>
      </c>
      <c r="U195" s="89">
        <f>VLOOKUP(C195,'Talente &amp; Stuff'!BI:CJ,19,FALSE)</f>
        <v>0</v>
      </c>
      <c r="V195" s="47">
        <f>VLOOKUP(C195,'Talente &amp; Stuff'!BI:CJ,20,FALSE)</f>
        <v>0</v>
      </c>
      <c r="W195" s="127">
        <f>VLOOKUP(C195,'Talente &amp; Stuff'!BI:CJ,21,FALSE)</f>
        <v>0</v>
      </c>
      <c r="X195" s="127">
        <f>VLOOKUP(C195,'Talente &amp; Stuff'!BI:CJ,22,FALSE)</f>
        <v>0</v>
      </c>
      <c r="Y195" s="165">
        <f t="shared" si="18"/>
        <v>0</v>
      </c>
      <c r="Z195" s="44">
        <f t="shared" si="19"/>
        <v>0</v>
      </c>
      <c r="AA195" s="125">
        <f>VLOOKUP(C195,'Talente &amp; Stuff'!BI:CJ,25,FALSE)</f>
        <v>0</v>
      </c>
      <c r="AB195" s="160">
        <f>VLOOKUP(C195,'Talente &amp; Stuff'!BI:CJ,26,FALSE)</f>
        <v>0</v>
      </c>
      <c r="AC195" s="127">
        <f>VLOOKUP(C195,'Talente &amp; Stuff'!BI:CJ,27,FALSE)</f>
        <v>0</v>
      </c>
      <c r="AD195" s="125">
        <f>VLOOKUP(C195,'Talente &amp; Stuff'!BI:CJ,28,FALSE)</f>
        <v>0</v>
      </c>
      <c r="AE195" s="28"/>
    </row>
    <row r="196" spans="2:31" ht="15" hidden="1" customHeight="1" outlineLevel="2">
      <c r="B196" s="148">
        <v>44</v>
      </c>
      <c r="C196" s="177" t="str">
        <f>Attribute!C196</f>
        <v>---</v>
      </c>
      <c r="D196" s="86" t="str">
        <f>VLOOKUP(C196,'Talente &amp; Stuff'!BI:CJ,2,FALSE)</f>
        <v>--/--/--</v>
      </c>
      <c r="E196" s="167" t="str">
        <f>VLOOKUP(C196,'Talente &amp; Stuff'!BI:CJ,3,FALSE)</f>
        <v>-</v>
      </c>
      <c r="F196" s="120">
        <f>VLOOKUP(C196,'Talente &amp; Stuff'!BI:CJ,4,FALSE)</f>
        <v>0</v>
      </c>
      <c r="G196" s="117">
        <f>VLOOKUP(C196,'Talente &amp; Stuff'!BI:CJ,5,FALSE)</f>
        <v>0</v>
      </c>
      <c r="H196" s="117">
        <f>VLOOKUP(C196,'Talente &amp; Stuff'!BI:CJ,6,FALSE)</f>
        <v>0</v>
      </c>
      <c r="I196" s="117">
        <f>VLOOKUP(C196,'Talente &amp; Stuff'!BI:CJ,7,FALSE)</f>
        <v>0</v>
      </c>
      <c r="J196" s="117">
        <f>VLOOKUP(C196,'Talente &amp; Stuff'!BI:CJ,8,FALSE)</f>
        <v>0</v>
      </c>
      <c r="K196" s="117">
        <f>VLOOKUP(C196,'Talente &amp; Stuff'!BI:CJ,9,FALSE)</f>
        <v>0</v>
      </c>
      <c r="L196" s="117">
        <f>VLOOKUP(C196,'Talente &amp; Stuff'!BI:CJ,10,FALSE)</f>
        <v>0</v>
      </c>
      <c r="M196" s="121">
        <f>VLOOKUP(C196,'Talente &amp; Stuff'!BI:CJ,11,FALSE)</f>
        <v>0</v>
      </c>
      <c r="N196" s="47">
        <f>VLOOKUP(C196,'Talente &amp; Stuff'!BI:CJ,12,FALSE)</f>
        <v>0</v>
      </c>
      <c r="O196" s="3">
        <f>VLOOKUP(C196,'Talente &amp; Stuff'!BI:CJ,13,FALSE)</f>
        <v>0</v>
      </c>
      <c r="P196" s="174">
        <f>VLOOKUP(C196,'Talente &amp; Stuff'!BI:CJ,14,FALSE)</f>
        <v>0</v>
      </c>
      <c r="Q196" s="114">
        <f>VLOOKUP(C196,'Talente &amp; Stuff'!BI:CJ,15,FALSE)</f>
        <v>0</v>
      </c>
      <c r="R196" s="117">
        <f>VLOOKUP(C196,'Talente &amp; Stuff'!BI:CJ,16,FALSE)</f>
        <v>0</v>
      </c>
      <c r="S196" s="119">
        <f>VLOOKUP(C196,'Talente &amp; Stuff'!BI:CJ,17,FALSE)</f>
        <v>0</v>
      </c>
      <c r="T196" s="119">
        <f>VLOOKUP(C196,'Talente &amp; Stuff'!BI:CJ,18,FALSE)</f>
        <v>0</v>
      </c>
      <c r="U196" s="89">
        <f>VLOOKUP(C196,'Talente &amp; Stuff'!BI:CJ,19,FALSE)</f>
        <v>0</v>
      </c>
      <c r="V196" s="47">
        <f>VLOOKUP(C196,'Talente &amp; Stuff'!BI:CJ,20,FALSE)</f>
        <v>0</v>
      </c>
      <c r="W196" s="127">
        <f>VLOOKUP(C196,'Talente &amp; Stuff'!BI:CJ,21,FALSE)</f>
        <v>0</v>
      </c>
      <c r="X196" s="127">
        <f>VLOOKUP(C196,'Talente &amp; Stuff'!BI:CJ,22,FALSE)</f>
        <v>0</v>
      </c>
      <c r="Y196" s="165">
        <f t="shared" si="18"/>
        <v>0</v>
      </c>
      <c r="Z196" s="44">
        <f t="shared" si="19"/>
        <v>0</v>
      </c>
      <c r="AA196" s="125">
        <f>VLOOKUP(C196,'Talente &amp; Stuff'!BI:CJ,25,FALSE)</f>
        <v>0</v>
      </c>
      <c r="AB196" s="160">
        <f>VLOOKUP(C196,'Talente &amp; Stuff'!BI:CJ,26,FALSE)</f>
        <v>0</v>
      </c>
      <c r="AC196" s="127">
        <f>VLOOKUP(C196,'Talente &amp; Stuff'!BI:CJ,27,FALSE)</f>
        <v>0</v>
      </c>
      <c r="AD196" s="125">
        <f>VLOOKUP(C196,'Talente &amp; Stuff'!BI:CJ,28,FALSE)</f>
        <v>0</v>
      </c>
      <c r="AE196" s="28"/>
    </row>
    <row r="197" spans="2:31" ht="15" hidden="1" customHeight="1" outlineLevel="2">
      <c r="B197" s="148">
        <v>45</v>
      </c>
      <c r="C197" s="177" t="str">
        <f>Attribute!C197</f>
        <v>---</v>
      </c>
      <c r="D197" s="86" t="str">
        <f>VLOOKUP(C197,'Talente &amp; Stuff'!BI:CJ,2,FALSE)</f>
        <v>--/--/--</v>
      </c>
      <c r="E197" s="167" t="str">
        <f>VLOOKUP(C197,'Talente &amp; Stuff'!BI:CJ,3,FALSE)</f>
        <v>-</v>
      </c>
      <c r="F197" s="120">
        <f>VLOOKUP(C197,'Talente &amp; Stuff'!BI:CJ,4,FALSE)</f>
        <v>0</v>
      </c>
      <c r="G197" s="117">
        <f>VLOOKUP(C197,'Talente &amp; Stuff'!BI:CJ,5,FALSE)</f>
        <v>0</v>
      </c>
      <c r="H197" s="117">
        <f>VLOOKUP(C197,'Talente &amp; Stuff'!BI:CJ,6,FALSE)</f>
        <v>0</v>
      </c>
      <c r="I197" s="117">
        <f>VLOOKUP(C197,'Talente &amp; Stuff'!BI:CJ,7,FALSE)</f>
        <v>0</v>
      </c>
      <c r="J197" s="117">
        <f>VLOOKUP(C197,'Talente &amp; Stuff'!BI:CJ,8,FALSE)</f>
        <v>0</v>
      </c>
      <c r="K197" s="117">
        <f>VLOOKUP(C197,'Talente &amp; Stuff'!BI:CJ,9,FALSE)</f>
        <v>0</v>
      </c>
      <c r="L197" s="117">
        <f>VLOOKUP(C197,'Talente &amp; Stuff'!BI:CJ,10,FALSE)</f>
        <v>0</v>
      </c>
      <c r="M197" s="121">
        <f>VLOOKUP(C197,'Talente &amp; Stuff'!BI:CJ,11,FALSE)</f>
        <v>0</v>
      </c>
      <c r="N197" s="47">
        <f>VLOOKUP(C197,'Talente &amp; Stuff'!BI:CJ,12,FALSE)</f>
        <v>0</v>
      </c>
      <c r="O197" s="3">
        <f>VLOOKUP(C197,'Talente &amp; Stuff'!BI:CJ,13,FALSE)</f>
        <v>0</v>
      </c>
      <c r="P197" s="174">
        <f>VLOOKUP(C197,'Talente &amp; Stuff'!BI:CJ,14,FALSE)</f>
        <v>0</v>
      </c>
      <c r="Q197" s="114">
        <f>VLOOKUP(C197,'Talente &amp; Stuff'!BI:CJ,15,FALSE)</f>
        <v>0</v>
      </c>
      <c r="R197" s="117">
        <f>VLOOKUP(C197,'Talente &amp; Stuff'!BI:CJ,16,FALSE)</f>
        <v>0</v>
      </c>
      <c r="S197" s="119">
        <f>VLOOKUP(C197,'Talente &amp; Stuff'!BI:CJ,17,FALSE)</f>
        <v>0</v>
      </c>
      <c r="T197" s="119">
        <f>VLOOKUP(C197,'Talente &amp; Stuff'!BI:CJ,18,FALSE)</f>
        <v>0</v>
      </c>
      <c r="U197" s="89">
        <f>VLOOKUP(C197,'Talente &amp; Stuff'!BI:CJ,19,FALSE)</f>
        <v>0</v>
      </c>
      <c r="V197" s="47">
        <f>VLOOKUP(C197,'Talente &amp; Stuff'!BI:CJ,20,FALSE)</f>
        <v>0</v>
      </c>
      <c r="W197" s="127">
        <f>VLOOKUP(C197,'Talente &amp; Stuff'!BI:CJ,21,FALSE)</f>
        <v>0</v>
      </c>
      <c r="X197" s="127">
        <f>VLOOKUP(C197,'Talente &amp; Stuff'!BI:CJ,22,FALSE)</f>
        <v>0</v>
      </c>
      <c r="Y197" s="165">
        <f t="shared" si="18"/>
        <v>0</v>
      </c>
      <c r="Z197" s="44">
        <f t="shared" si="19"/>
        <v>0</v>
      </c>
      <c r="AA197" s="125">
        <f>VLOOKUP(C197,'Talente &amp; Stuff'!BI:CJ,25,FALSE)</f>
        <v>0</v>
      </c>
      <c r="AB197" s="160">
        <f>VLOOKUP(C197,'Talente &amp; Stuff'!BI:CJ,26,FALSE)</f>
        <v>0</v>
      </c>
      <c r="AC197" s="127">
        <f>VLOOKUP(C197,'Talente &amp; Stuff'!BI:CJ,27,FALSE)</f>
        <v>0</v>
      </c>
      <c r="AD197" s="125">
        <f>VLOOKUP(C197,'Talente &amp; Stuff'!BI:CJ,28,FALSE)</f>
        <v>0</v>
      </c>
      <c r="AE197" s="28"/>
    </row>
    <row r="198" spans="2:31" ht="15" hidden="1" customHeight="1" outlineLevel="2">
      <c r="B198" s="148">
        <v>46</v>
      </c>
      <c r="C198" s="177" t="str">
        <f>Attribute!C198</f>
        <v>---</v>
      </c>
      <c r="D198" s="86" t="str">
        <f>VLOOKUP(C198,'Talente &amp; Stuff'!BI:CJ,2,FALSE)</f>
        <v>--/--/--</v>
      </c>
      <c r="E198" s="167" t="str">
        <f>VLOOKUP(C198,'Talente &amp; Stuff'!BI:CJ,3,FALSE)</f>
        <v>-</v>
      </c>
      <c r="F198" s="120">
        <f>VLOOKUP(C198,'Talente &amp; Stuff'!BI:CJ,4,FALSE)</f>
        <v>0</v>
      </c>
      <c r="G198" s="117">
        <f>VLOOKUP(C198,'Talente &amp; Stuff'!BI:CJ,5,FALSE)</f>
        <v>0</v>
      </c>
      <c r="H198" s="117">
        <f>VLOOKUP(C198,'Talente &amp; Stuff'!BI:CJ,6,FALSE)</f>
        <v>0</v>
      </c>
      <c r="I198" s="117">
        <f>VLOOKUP(C198,'Talente &amp; Stuff'!BI:CJ,7,FALSE)</f>
        <v>0</v>
      </c>
      <c r="J198" s="117">
        <f>VLOOKUP(C198,'Talente &amp; Stuff'!BI:CJ,8,FALSE)</f>
        <v>0</v>
      </c>
      <c r="K198" s="117">
        <f>VLOOKUP(C198,'Talente &amp; Stuff'!BI:CJ,9,FALSE)</f>
        <v>0</v>
      </c>
      <c r="L198" s="117">
        <f>VLOOKUP(C198,'Talente &amp; Stuff'!BI:CJ,10,FALSE)</f>
        <v>0</v>
      </c>
      <c r="M198" s="121">
        <f>VLOOKUP(C198,'Talente &amp; Stuff'!BI:CJ,11,FALSE)</f>
        <v>0</v>
      </c>
      <c r="N198" s="47">
        <f>VLOOKUP(C198,'Talente &amp; Stuff'!BI:CJ,12,FALSE)</f>
        <v>0</v>
      </c>
      <c r="O198" s="3">
        <f>VLOOKUP(C198,'Talente &amp; Stuff'!BI:CJ,13,FALSE)</f>
        <v>0</v>
      </c>
      <c r="P198" s="174">
        <f>VLOOKUP(C198,'Talente &amp; Stuff'!BI:CJ,14,FALSE)</f>
        <v>0</v>
      </c>
      <c r="Q198" s="114">
        <f>VLOOKUP(C198,'Talente &amp; Stuff'!BI:CJ,15,FALSE)</f>
        <v>0</v>
      </c>
      <c r="R198" s="117">
        <f>VLOOKUP(C198,'Talente &amp; Stuff'!BI:CJ,16,FALSE)</f>
        <v>0</v>
      </c>
      <c r="S198" s="119">
        <f>VLOOKUP(C198,'Talente &amp; Stuff'!BI:CJ,17,FALSE)</f>
        <v>0</v>
      </c>
      <c r="T198" s="119">
        <f>VLOOKUP(C198,'Talente &amp; Stuff'!BI:CJ,18,FALSE)</f>
        <v>0</v>
      </c>
      <c r="U198" s="89">
        <f>VLOOKUP(C198,'Talente &amp; Stuff'!BI:CJ,19,FALSE)</f>
        <v>0</v>
      </c>
      <c r="V198" s="47">
        <f>VLOOKUP(C198,'Talente &amp; Stuff'!BI:CJ,20,FALSE)</f>
        <v>0</v>
      </c>
      <c r="W198" s="127">
        <f>VLOOKUP(C198,'Talente &amp; Stuff'!BI:CJ,21,FALSE)</f>
        <v>0</v>
      </c>
      <c r="X198" s="127">
        <f>VLOOKUP(C198,'Talente &amp; Stuff'!BI:CJ,22,FALSE)</f>
        <v>0</v>
      </c>
      <c r="Y198" s="165">
        <f t="shared" si="18"/>
        <v>0</v>
      </c>
      <c r="Z198" s="44">
        <f t="shared" si="19"/>
        <v>0</v>
      </c>
      <c r="AA198" s="125">
        <f>VLOOKUP(C198,'Talente &amp; Stuff'!BI:CJ,25,FALSE)</f>
        <v>0</v>
      </c>
      <c r="AB198" s="160">
        <f>VLOOKUP(C198,'Talente &amp; Stuff'!BI:CJ,26,FALSE)</f>
        <v>0</v>
      </c>
      <c r="AC198" s="127">
        <f>VLOOKUP(C198,'Talente &amp; Stuff'!BI:CJ,27,FALSE)</f>
        <v>0</v>
      </c>
      <c r="AD198" s="125">
        <f>VLOOKUP(C198,'Talente &amp; Stuff'!BI:CJ,28,FALSE)</f>
        <v>0</v>
      </c>
      <c r="AE198" s="28"/>
    </row>
    <row r="199" spans="2:31" ht="15" hidden="1" customHeight="1" outlineLevel="2">
      <c r="B199" s="148">
        <v>47</v>
      </c>
      <c r="C199" s="177" t="str">
        <f>Attribute!C199</f>
        <v>---</v>
      </c>
      <c r="D199" s="125" t="str">
        <f>VLOOKUP(C199,'Talente &amp; Stuff'!BI:CJ,2,FALSE)</f>
        <v>--/--/--</v>
      </c>
      <c r="E199" s="127" t="str">
        <f>VLOOKUP(C199,'Talente &amp; Stuff'!BI:CJ,3,FALSE)</f>
        <v>-</v>
      </c>
      <c r="F199" s="114">
        <f>VLOOKUP(C199,'Talente &amp; Stuff'!BI:CJ,4,FALSE)</f>
        <v>0</v>
      </c>
      <c r="G199" s="113">
        <f>VLOOKUP(C199,'Talente &amp; Stuff'!BI:CJ,5,FALSE)</f>
        <v>0</v>
      </c>
      <c r="H199" s="113">
        <f>VLOOKUP(C199,'Talente &amp; Stuff'!BI:CJ,6,FALSE)</f>
        <v>0</v>
      </c>
      <c r="I199" s="113">
        <f>VLOOKUP(C199,'Talente &amp; Stuff'!BI:CJ,7,FALSE)</f>
        <v>0</v>
      </c>
      <c r="J199" s="113">
        <f>VLOOKUP(C199,'Talente &amp; Stuff'!BI:CJ,8,FALSE)</f>
        <v>0</v>
      </c>
      <c r="K199" s="113">
        <f>VLOOKUP(C199,'Talente &amp; Stuff'!BI:CJ,9,FALSE)</f>
        <v>0</v>
      </c>
      <c r="L199" s="113">
        <f>VLOOKUP(C199,'Talente &amp; Stuff'!BI:CJ,10,FALSE)</f>
        <v>0</v>
      </c>
      <c r="M199" s="119">
        <f>VLOOKUP(C199,'Talente &amp; Stuff'!BI:CJ,11,FALSE)</f>
        <v>0</v>
      </c>
      <c r="N199" s="47">
        <f>VLOOKUP(C199,'Talente &amp; Stuff'!BI:CJ,12,FALSE)</f>
        <v>0</v>
      </c>
      <c r="O199" s="47">
        <f>VLOOKUP(C199,'Talente &amp; Stuff'!BI:CJ,13,FALSE)</f>
        <v>0</v>
      </c>
      <c r="P199" s="119">
        <f>VLOOKUP(C199,'Talente &amp; Stuff'!BI:CJ,14,FALSE)</f>
        <v>0</v>
      </c>
      <c r="Q199" s="114">
        <f>VLOOKUP(C199,'Talente &amp; Stuff'!BI:CJ,15,FALSE)</f>
        <v>0</v>
      </c>
      <c r="R199" s="113">
        <f>VLOOKUP(C199,'Talente &amp; Stuff'!BI:CJ,16,FALSE)</f>
        <v>0</v>
      </c>
      <c r="S199" s="119">
        <f>VLOOKUP(C199,'Talente &amp; Stuff'!BI:CJ,17,FALSE)</f>
        <v>0</v>
      </c>
      <c r="T199" s="119">
        <f>VLOOKUP(C199,'Talente &amp; Stuff'!BI:CJ,18,FALSE)</f>
        <v>0</v>
      </c>
      <c r="U199" s="89">
        <f>VLOOKUP(C199,'Talente &amp; Stuff'!BI:CJ,19,FALSE)</f>
        <v>0</v>
      </c>
      <c r="V199" s="47">
        <f>VLOOKUP(C199,'Talente &amp; Stuff'!BI:CJ,20,FALSE)</f>
        <v>0</v>
      </c>
      <c r="W199" s="127">
        <f>VLOOKUP(C199,'Talente &amp; Stuff'!BI:CJ,21,FALSE)</f>
        <v>0</v>
      </c>
      <c r="X199" s="127">
        <f>VLOOKUP(C199,'Talente &amp; Stuff'!BI:CJ,22,FALSE)</f>
        <v>0</v>
      </c>
      <c r="Y199" s="165">
        <f t="shared" si="18"/>
        <v>0</v>
      </c>
      <c r="Z199" s="44">
        <f t="shared" si="19"/>
        <v>0</v>
      </c>
      <c r="AA199" s="125">
        <f>VLOOKUP(C199,'Talente &amp; Stuff'!BI:CJ,25,FALSE)</f>
        <v>0</v>
      </c>
      <c r="AB199" s="160">
        <f>VLOOKUP(C199,'Talente &amp; Stuff'!BI:CJ,26,FALSE)</f>
        <v>0</v>
      </c>
      <c r="AC199" s="127">
        <f>VLOOKUP(C199,'Talente &amp; Stuff'!BI:CJ,27,FALSE)</f>
        <v>0</v>
      </c>
      <c r="AD199" s="125">
        <f>VLOOKUP(C199,'Talente &amp; Stuff'!BI:CJ,28,FALSE)</f>
        <v>0</v>
      </c>
      <c r="AE199" s="28"/>
    </row>
    <row r="200" spans="2:31" ht="15" hidden="1" customHeight="1" outlineLevel="2">
      <c r="B200" s="148">
        <v>48</v>
      </c>
      <c r="C200" s="177" t="str">
        <f>Attribute!C200</f>
        <v>---</v>
      </c>
      <c r="D200" s="86" t="str">
        <f>VLOOKUP(C200,'Talente &amp; Stuff'!BI:CJ,2,FALSE)</f>
        <v>--/--/--</v>
      </c>
      <c r="E200" s="167" t="str">
        <f>VLOOKUP(C200,'Talente &amp; Stuff'!BI:CJ,3,FALSE)</f>
        <v>-</v>
      </c>
      <c r="F200" s="120">
        <f>VLOOKUP(C200,'Talente &amp; Stuff'!BI:CJ,4,FALSE)</f>
        <v>0</v>
      </c>
      <c r="G200" s="117">
        <f>VLOOKUP(C200,'Talente &amp; Stuff'!BI:CJ,5,FALSE)</f>
        <v>0</v>
      </c>
      <c r="H200" s="117">
        <f>VLOOKUP(C200,'Talente &amp; Stuff'!BI:CJ,6,FALSE)</f>
        <v>0</v>
      </c>
      <c r="I200" s="117">
        <f>VLOOKUP(C200,'Talente &amp; Stuff'!BI:CJ,7,FALSE)</f>
        <v>0</v>
      </c>
      <c r="J200" s="117">
        <f>VLOOKUP(C200,'Talente &amp; Stuff'!BI:CJ,8,FALSE)</f>
        <v>0</v>
      </c>
      <c r="K200" s="117">
        <f>VLOOKUP(C200,'Talente &amp; Stuff'!BI:CJ,9,FALSE)</f>
        <v>0</v>
      </c>
      <c r="L200" s="117">
        <f>VLOOKUP(C200,'Talente &amp; Stuff'!BI:CJ,10,FALSE)</f>
        <v>0</v>
      </c>
      <c r="M200" s="121">
        <f>VLOOKUP(C200,'Talente &amp; Stuff'!BI:CJ,11,FALSE)</f>
        <v>0</v>
      </c>
      <c r="N200" s="47">
        <f>VLOOKUP(C200,'Talente &amp; Stuff'!BI:CJ,12,FALSE)</f>
        <v>0</v>
      </c>
      <c r="O200" s="3">
        <f>VLOOKUP(C200,'Talente &amp; Stuff'!BI:CJ,13,FALSE)</f>
        <v>0</v>
      </c>
      <c r="P200" s="174">
        <f>VLOOKUP(C200,'Talente &amp; Stuff'!BI:CJ,14,FALSE)</f>
        <v>0</v>
      </c>
      <c r="Q200" s="114">
        <f>VLOOKUP(C200,'Talente &amp; Stuff'!BI:CJ,15,FALSE)</f>
        <v>0</v>
      </c>
      <c r="R200" s="117">
        <f>VLOOKUP(C200,'Talente &amp; Stuff'!BI:CJ,16,FALSE)</f>
        <v>0</v>
      </c>
      <c r="S200" s="119">
        <f>VLOOKUP(C200,'Talente &amp; Stuff'!BI:CJ,17,FALSE)</f>
        <v>0</v>
      </c>
      <c r="T200" s="119">
        <f>VLOOKUP(C200,'Talente &amp; Stuff'!BI:CJ,18,FALSE)</f>
        <v>0</v>
      </c>
      <c r="U200" s="89">
        <f>VLOOKUP(C200,'Talente &amp; Stuff'!BI:CJ,19,FALSE)</f>
        <v>0</v>
      </c>
      <c r="V200" s="47">
        <f>VLOOKUP(C200,'Talente &amp; Stuff'!BI:CJ,20,FALSE)</f>
        <v>0</v>
      </c>
      <c r="W200" s="127">
        <f>VLOOKUP(C200,'Talente &amp; Stuff'!BI:CJ,21,FALSE)</f>
        <v>0</v>
      </c>
      <c r="X200" s="127">
        <f>VLOOKUP(C200,'Talente &amp; Stuff'!BI:CJ,22,FALSE)</f>
        <v>0</v>
      </c>
      <c r="Y200" s="165">
        <f t="shared" si="18"/>
        <v>0</v>
      </c>
      <c r="Z200" s="44">
        <f t="shared" si="19"/>
        <v>0</v>
      </c>
      <c r="AA200" s="125">
        <f>VLOOKUP(C200,'Talente &amp; Stuff'!BI:CJ,25,FALSE)</f>
        <v>0</v>
      </c>
      <c r="AB200" s="160">
        <f>VLOOKUP(C200,'Talente &amp; Stuff'!BI:CJ,26,FALSE)</f>
        <v>0</v>
      </c>
      <c r="AC200" s="127">
        <f>VLOOKUP(C200,'Talente &amp; Stuff'!BI:CJ,27,FALSE)</f>
        <v>0</v>
      </c>
      <c r="AD200" s="125">
        <f>VLOOKUP(C200,'Talente &amp; Stuff'!BI:CJ,28,FALSE)</f>
        <v>0</v>
      </c>
      <c r="AE200" s="28"/>
    </row>
    <row r="201" spans="2:31" ht="15" hidden="1" customHeight="1" outlineLevel="2">
      <c r="B201" s="148">
        <v>49</v>
      </c>
      <c r="C201" s="177" t="str">
        <f>Attribute!C201</f>
        <v>---</v>
      </c>
      <c r="D201" s="125" t="str">
        <f>VLOOKUP(C201,'Talente &amp; Stuff'!BI:CJ,2,FALSE)</f>
        <v>--/--/--</v>
      </c>
      <c r="E201" s="127" t="str">
        <f>VLOOKUP(C201,'Talente &amp; Stuff'!BI:CJ,3,FALSE)</f>
        <v>-</v>
      </c>
      <c r="F201" s="114">
        <f>VLOOKUP(C201,'Talente &amp; Stuff'!BI:CJ,4,FALSE)</f>
        <v>0</v>
      </c>
      <c r="G201" s="113">
        <f>VLOOKUP(C201,'Talente &amp; Stuff'!BI:CJ,5,FALSE)</f>
        <v>0</v>
      </c>
      <c r="H201" s="113">
        <f>VLOOKUP(C201,'Talente &amp; Stuff'!BI:CJ,6,FALSE)</f>
        <v>0</v>
      </c>
      <c r="I201" s="113">
        <f>VLOOKUP(C201,'Talente &amp; Stuff'!BI:CJ,7,FALSE)</f>
        <v>0</v>
      </c>
      <c r="J201" s="113">
        <f>VLOOKUP(C201,'Talente &amp; Stuff'!BI:CJ,8,FALSE)</f>
        <v>0</v>
      </c>
      <c r="K201" s="113">
        <f>VLOOKUP(C201,'Talente &amp; Stuff'!BI:CJ,9,FALSE)</f>
        <v>0</v>
      </c>
      <c r="L201" s="113">
        <f>VLOOKUP(C201,'Talente &amp; Stuff'!BI:CJ,10,FALSE)</f>
        <v>0</v>
      </c>
      <c r="M201" s="119">
        <f>VLOOKUP(C201,'Talente &amp; Stuff'!BI:CJ,11,FALSE)</f>
        <v>0</v>
      </c>
      <c r="N201" s="47">
        <f>VLOOKUP(C201,'Talente &amp; Stuff'!BI:CJ,12,FALSE)</f>
        <v>0</v>
      </c>
      <c r="O201" s="47">
        <f>VLOOKUP(C201,'Talente &amp; Stuff'!BI:CJ,13,FALSE)</f>
        <v>0</v>
      </c>
      <c r="P201" s="119">
        <f>VLOOKUP(C201,'Talente &amp; Stuff'!BI:CJ,14,FALSE)</f>
        <v>0</v>
      </c>
      <c r="Q201" s="114">
        <f>VLOOKUP(C201,'Talente &amp; Stuff'!BI:CJ,15,FALSE)</f>
        <v>0</v>
      </c>
      <c r="R201" s="113">
        <f>VLOOKUP(C201,'Talente &amp; Stuff'!BI:CJ,16,FALSE)</f>
        <v>0</v>
      </c>
      <c r="S201" s="119">
        <f>VLOOKUP(C201,'Talente &amp; Stuff'!BI:CJ,17,FALSE)</f>
        <v>0</v>
      </c>
      <c r="T201" s="119">
        <f>VLOOKUP(C201,'Talente &amp; Stuff'!BI:CJ,18,FALSE)</f>
        <v>0</v>
      </c>
      <c r="U201" s="89">
        <f>VLOOKUP(C201,'Talente &amp; Stuff'!BI:CJ,19,FALSE)</f>
        <v>0</v>
      </c>
      <c r="V201" s="47">
        <f>VLOOKUP(C201,'Talente &amp; Stuff'!BI:CJ,20,FALSE)</f>
        <v>0</v>
      </c>
      <c r="W201" s="127">
        <f>VLOOKUP(C201,'Talente &amp; Stuff'!BI:CJ,21,FALSE)</f>
        <v>0</v>
      </c>
      <c r="X201" s="127">
        <f>VLOOKUP(C201,'Talente &amp; Stuff'!BI:CJ,22,FALSE)</f>
        <v>0</v>
      </c>
      <c r="Y201" s="165">
        <f t="shared" si="18"/>
        <v>0</v>
      </c>
      <c r="Z201" s="44">
        <f t="shared" si="19"/>
        <v>0</v>
      </c>
      <c r="AA201" s="125">
        <f>VLOOKUP(C201,'Talente &amp; Stuff'!BI:CJ,25,FALSE)</f>
        <v>0</v>
      </c>
      <c r="AB201" s="160">
        <f>VLOOKUP(C201,'Talente &amp; Stuff'!BI:CJ,26,FALSE)</f>
        <v>0</v>
      </c>
      <c r="AC201" s="127">
        <f>VLOOKUP(C201,'Talente &amp; Stuff'!BI:CJ,27,FALSE)</f>
        <v>0</v>
      </c>
      <c r="AD201" s="125">
        <f>VLOOKUP(C201,'Talente &amp; Stuff'!BI:CJ,28,FALSE)</f>
        <v>0</v>
      </c>
      <c r="AE201" s="28"/>
    </row>
    <row r="202" spans="2:31" ht="15" hidden="1" customHeight="1" outlineLevel="2">
      <c r="B202" s="148">
        <v>50</v>
      </c>
      <c r="C202" s="177" t="str">
        <f>Attribute!C202</f>
        <v>---</v>
      </c>
      <c r="D202" s="125" t="str">
        <f>VLOOKUP(C202,'Talente &amp; Stuff'!BI:CJ,2,FALSE)</f>
        <v>--/--/--</v>
      </c>
      <c r="E202" s="127" t="str">
        <f>VLOOKUP(C202,'Talente &amp; Stuff'!BI:CJ,3,FALSE)</f>
        <v>-</v>
      </c>
      <c r="F202" s="114">
        <f>VLOOKUP(C202,'Talente &amp; Stuff'!BI:CJ,4,FALSE)</f>
        <v>0</v>
      </c>
      <c r="G202" s="113">
        <f>VLOOKUP(C202,'Talente &amp; Stuff'!BI:CJ,5,FALSE)</f>
        <v>0</v>
      </c>
      <c r="H202" s="113">
        <f>VLOOKUP(C202,'Talente &amp; Stuff'!BI:CJ,6,FALSE)</f>
        <v>0</v>
      </c>
      <c r="I202" s="113">
        <f>VLOOKUP(C202,'Talente &amp; Stuff'!BI:CJ,7,FALSE)</f>
        <v>0</v>
      </c>
      <c r="J202" s="113">
        <f>VLOOKUP(C202,'Talente &amp; Stuff'!BI:CJ,8,FALSE)</f>
        <v>0</v>
      </c>
      <c r="K202" s="113">
        <f>VLOOKUP(C202,'Talente &amp; Stuff'!BI:CJ,9,FALSE)</f>
        <v>0</v>
      </c>
      <c r="L202" s="113">
        <f>VLOOKUP(C202,'Talente &amp; Stuff'!BI:CJ,10,FALSE)</f>
        <v>0</v>
      </c>
      <c r="M202" s="119">
        <f>VLOOKUP(C202,'Talente &amp; Stuff'!BI:CJ,11,FALSE)</f>
        <v>0</v>
      </c>
      <c r="N202" s="47">
        <f>VLOOKUP(C202,'Talente &amp; Stuff'!BI:CJ,12,FALSE)</f>
        <v>0</v>
      </c>
      <c r="O202" s="47">
        <f>VLOOKUP(C202,'Talente &amp; Stuff'!BI:CJ,13,FALSE)</f>
        <v>0</v>
      </c>
      <c r="P202" s="119">
        <f>VLOOKUP(C202,'Talente &amp; Stuff'!BI:CJ,14,FALSE)</f>
        <v>0</v>
      </c>
      <c r="Q202" s="114">
        <f>VLOOKUP(C202,'Talente &amp; Stuff'!BI:CJ,15,FALSE)</f>
        <v>0</v>
      </c>
      <c r="R202" s="113">
        <f>VLOOKUP(C202,'Talente &amp; Stuff'!BI:CJ,16,FALSE)</f>
        <v>0</v>
      </c>
      <c r="S202" s="119">
        <f>VLOOKUP(C202,'Talente &amp; Stuff'!BI:CJ,17,FALSE)</f>
        <v>0</v>
      </c>
      <c r="T202" s="119">
        <f>VLOOKUP(C202,'Talente &amp; Stuff'!BI:CJ,18,FALSE)</f>
        <v>0</v>
      </c>
      <c r="U202" s="89">
        <f>VLOOKUP(C202,'Talente &amp; Stuff'!BI:CJ,19,FALSE)</f>
        <v>0</v>
      </c>
      <c r="V202" s="47">
        <f>VLOOKUP(C202,'Talente &amp; Stuff'!BI:CJ,20,FALSE)</f>
        <v>0</v>
      </c>
      <c r="W202" s="127">
        <f>VLOOKUP(C202,'Talente &amp; Stuff'!BI:CJ,21,FALSE)</f>
        <v>0</v>
      </c>
      <c r="X202" s="127">
        <f>VLOOKUP(C202,'Talente &amp; Stuff'!BI:CJ,22,FALSE)</f>
        <v>0</v>
      </c>
      <c r="Y202" s="165">
        <f t="shared" si="18"/>
        <v>0</v>
      </c>
      <c r="Z202" s="44">
        <f t="shared" si="19"/>
        <v>0</v>
      </c>
      <c r="AA202" s="125">
        <f>VLOOKUP(C202,'Talente &amp; Stuff'!BI:CJ,25,FALSE)</f>
        <v>0</v>
      </c>
      <c r="AB202" s="160">
        <f>VLOOKUP(C202,'Talente &amp; Stuff'!BI:CJ,26,FALSE)</f>
        <v>0</v>
      </c>
      <c r="AC202" s="127">
        <f>VLOOKUP(C202,'Talente &amp; Stuff'!BI:CJ,27,FALSE)</f>
        <v>0</v>
      </c>
      <c r="AD202" s="125">
        <f>VLOOKUP(C202,'Talente &amp; Stuff'!BI:CJ,28,FALSE)</f>
        <v>0</v>
      </c>
      <c r="AE202" s="28"/>
    </row>
    <row r="203" spans="2:31" ht="15" hidden="1" customHeight="1" outlineLevel="2">
      <c r="B203" s="148">
        <v>51</v>
      </c>
      <c r="C203" s="177" t="str">
        <f>Attribute!C203</f>
        <v>---</v>
      </c>
      <c r="D203" s="86" t="str">
        <f>VLOOKUP(C203,'Talente &amp; Stuff'!BI:CJ,2,FALSE)</f>
        <v>--/--/--</v>
      </c>
      <c r="E203" s="167" t="str">
        <f>VLOOKUP(C203,'Talente &amp; Stuff'!BI:CJ,3,FALSE)</f>
        <v>-</v>
      </c>
      <c r="F203" s="120">
        <f>VLOOKUP(C203,'Talente &amp; Stuff'!BI:CJ,4,FALSE)</f>
        <v>0</v>
      </c>
      <c r="G203" s="117">
        <f>VLOOKUP(C203,'Talente &amp; Stuff'!BI:CJ,5,FALSE)</f>
        <v>0</v>
      </c>
      <c r="H203" s="117">
        <f>VLOOKUP(C203,'Talente &amp; Stuff'!BI:CJ,6,FALSE)</f>
        <v>0</v>
      </c>
      <c r="I203" s="117">
        <f>VLOOKUP(C203,'Talente &amp; Stuff'!BI:CJ,7,FALSE)</f>
        <v>0</v>
      </c>
      <c r="J203" s="117">
        <f>VLOOKUP(C203,'Talente &amp; Stuff'!BI:CJ,8,FALSE)</f>
        <v>0</v>
      </c>
      <c r="K203" s="117">
        <f>VLOOKUP(C203,'Talente &amp; Stuff'!BI:CJ,9,FALSE)</f>
        <v>0</v>
      </c>
      <c r="L203" s="117">
        <f>VLOOKUP(C203,'Talente &amp; Stuff'!BI:CJ,10,FALSE)</f>
        <v>0</v>
      </c>
      <c r="M203" s="121">
        <f>VLOOKUP(C203,'Talente &amp; Stuff'!BI:CJ,11,FALSE)</f>
        <v>0</v>
      </c>
      <c r="N203" s="47">
        <f>VLOOKUP(C203,'Talente &amp; Stuff'!BI:CJ,12,FALSE)</f>
        <v>0</v>
      </c>
      <c r="O203" s="3">
        <f>VLOOKUP(C203,'Talente &amp; Stuff'!BI:CJ,13,FALSE)</f>
        <v>0</v>
      </c>
      <c r="P203" s="174">
        <f>VLOOKUP(C203,'Talente &amp; Stuff'!BI:CJ,14,FALSE)</f>
        <v>0</v>
      </c>
      <c r="Q203" s="114">
        <f>VLOOKUP(C203,'Talente &amp; Stuff'!BI:CJ,15,FALSE)</f>
        <v>0</v>
      </c>
      <c r="R203" s="117">
        <f>VLOOKUP(C203,'Talente &amp; Stuff'!BI:CJ,16,FALSE)</f>
        <v>0</v>
      </c>
      <c r="S203" s="119">
        <f>VLOOKUP(C203,'Talente &amp; Stuff'!BI:CJ,17,FALSE)</f>
        <v>0</v>
      </c>
      <c r="T203" s="119">
        <f>VLOOKUP(C203,'Talente &amp; Stuff'!BI:CJ,18,FALSE)</f>
        <v>0</v>
      </c>
      <c r="U203" s="89">
        <f>VLOOKUP(C203,'Talente &amp; Stuff'!BI:CJ,19,FALSE)</f>
        <v>0</v>
      </c>
      <c r="V203" s="47">
        <f>VLOOKUP(C203,'Talente &amp; Stuff'!BI:CJ,20,FALSE)</f>
        <v>0</v>
      </c>
      <c r="W203" s="127">
        <f>VLOOKUP(C203,'Talente &amp; Stuff'!BI:CJ,21,FALSE)</f>
        <v>0</v>
      </c>
      <c r="X203" s="127">
        <f>VLOOKUP(C203,'Talente &amp; Stuff'!BI:CJ,22,FALSE)</f>
        <v>0</v>
      </c>
      <c r="Y203" s="165">
        <f t="shared" si="18"/>
        <v>0</v>
      </c>
      <c r="Z203" s="44">
        <f t="shared" si="19"/>
        <v>0</v>
      </c>
      <c r="AA203" s="125">
        <f>VLOOKUP(C203,'Talente &amp; Stuff'!BI:CJ,25,FALSE)</f>
        <v>0</v>
      </c>
      <c r="AB203" s="160">
        <f>VLOOKUP(C203,'Talente &amp; Stuff'!BI:CJ,26,FALSE)</f>
        <v>0</v>
      </c>
      <c r="AC203" s="127">
        <f>VLOOKUP(C203,'Talente &amp; Stuff'!BI:CJ,27,FALSE)</f>
        <v>0</v>
      </c>
      <c r="AD203" s="125">
        <f>VLOOKUP(C203,'Talente &amp; Stuff'!BI:CJ,28,FALSE)</f>
        <v>0</v>
      </c>
      <c r="AE203" s="28"/>
    </row>
    <row r="204" spans="2:31" ht="15" hidden="1" customHeight="1" outlineLevel="2">
      <c r="B204" s="148">
        <v>52</v>
      </c>
      <c r="C204" s="177" t="str">
        <f>Attribute!C204</f>
        <v>---</v>
      </c>
      <c r="D204" s="125" t="str">
        <f>VLOOKUP(C204,'Talente &amp; Stuff'!BI:CJ,2,FALSE)</f>
        <v>--/--/--</v>
      </c>
      <c r="E204" s="127" t="str">
        <f>VLOOKUP(C204,'Talente &amp; Stuff'!BI:CJ,3,FALSE)</f>
        <v>-</v>
      </c>
      <c r="F204" s="114">
        <f>VLOOKUP(C204,'Talente &amp; Stuff'!BI:CJ,4,FALSE)</f>
        <v>0</v>
      </c>
      <c r="G204" s="113">
        <f>VLOOKUP(C204,'Talente &amp; Stuff'!BI:CJ,5,FALSE)</f>
        <v>0</v>
      </c>
      <c r="H204" s="113">
        <f>VLOOKUP(C204,'Talente &amp; Stuff'!BI:CJ,6,FALSE)</f>
        <v>0</v>
      </c>
      <c r="I204" s="113">
        <f>VLOOKUP(C204,'Talente &amp; Stuff'!BI:CJ,7,FALSE)</f>
        <v>0</v>
      </c>
      <c r="J204" s="113">
        <f>VLOOKUP(C204,'Talente &amp; Stuff'!BI:CJ,8,FALSE)</f>
        <v>0</v>
      </c>
      <c r="K204" s="113">
        <f>VLOOKUP(C204,'Talente &amp; Stuff'!BI:CJ,9,FALSE)</f>
        <v>0</v>
      </c>
      <c r="L204" s="113">
        <f>VLOOKUP(C204,'Talente &amp; Stuff'!BI:CJ,10,FALSE)</f>
        <v>0</v>
      </c>
      <c r="M204" s="119">
        <f>VLOOKUP(C204,'Talente &amp; Stuff'!BI:CJ,11,FALSE)</f>
        <v>0</v>
      </c>
      <c r="N204" s="47">
        <f>VLOOKUP(C204,'Talente &amp; Stuff'!BI:CJ,12,FALSE)</f>
        <v>0</v>
      </c>
      <c r="O204" s="47">
        <f>VLOOKUP(C204,'Talente &amp; Stuff'!BI:CJ,13,FALSE)</f>
        <v>0</v>
      </c>
      <c r="P204" s="119">
        <f>VLOOKUP(C204,'Talente &amp; Stuff'!BI:CJ,14,FALSE)</f>
        <v>0</v>
      </c>
      <c r="Q204" s="114">
        <f>VLOOKUP(C204,'Talente &amp; Stuff'!BI:CJ,15,FALSE)</f>
        <v>0</v>
      </c>
      <c r="R204" s="113">
        <f>VLOOKUP(C204,'Talente &amp; Stuff'!BI:CJ,16,FALSE)</f>
        <v>0</v>
      </c>
      <c r="S204" s="119">
        <f>VLOOKUP(C204,'Talente &amp; Stuff'!BI:CJ,17,FALSE)</f>
        <v>0</v>
      </c>
      <c r="T204" s="119">
        <f>VLOOKUP(C204,'Talente &amp; Stuff'!BI:CJ,18,FALSE)</f>
        <v>0</v>
      </c>
      <c r="U204" s="89">
        <f>VLOOKUP(C204,'Talente &amp; Stuff'!BI:CJ,19,FALSE)</f>
        <v>0</v>
      </c>
      <c r="V204" s="47">
        <f>VLOOKUP(C204,'Talente &amp; Stuff'!BI:CJ,20,FALSE)</f>
        <v>0</v>
      </c>
      <c r="W204" s="127">
        <f>VLOOKUP(C204,'Talente &amp; Stuff'!BI:CJ,21,FALSE)</f>
        <v>0</v>
      </c>
      <c r="X204" s="127">
        <f>VLOOKUP(C204,'Talente &amp; Stuff'!BI:CJ,22,FALSE)</f>
        <v>0</v>
      </c>
      <c r="Y204" s="165">
        <f t="shared" si="18"/>
        <v>0</v>
      </c>
      <c r="Z204" s="44">
        <f t="shared" si="19"/>
        <v>0</v>
      </c>
      <c r="AA204" s="125">
        <f>VLOOKUP(C204,'Talente &amp; Stuff'!BI:CJ,25,FALSE)</f>
        <v>0</v>
      </c>
      <c r="AB204" s="160">
        <f>VLOOKUP(C204,'Talente &amp; Stuff'!BI:CJ,26,FALSE)</f>
        <v>0</v>
      </c>
      <c r="AC204" s="127">
        <f>VLOOKUP(C204,'Talente &amp; Stuff'!BI:CJ,27,FALSE)</f>
        <v>0</v>
      </c>
      <c r="AD204" s="125">
        <f>VLOOKUP(C204,'Talente &amp; Stuff'!BI:CJ,28,FALSE)</f>
        <v>0</v>
      </c>
      <c r="AE204" s="28"/>
    </row>
    <row r="205" spans="2:31" ht="15" hidden="1" customHeight="1" outlineLevel="2">
      <c r="B205" s="148">
        <v>53</v>
      </c>
      <c r="C205" s="177" t="str">
        <f>Attribute!C205</f>
        <v>---</v>
      </c>
      <c r="D205" s="86" t="str">
        <f>VLOOKUP(C205,'Talente &amp; Stuff'!BI:CJ,2,FALSE)</f>
        <v>--/--/--</v>
      </c>
      <c r="E205" s="127" t="str">
        <f>VLOOKUP(C205,'Talente &amp; Stuff'!BI:CJ,3,FALSE)</f>
        <v>-</v>
      </c>
      <c r="F205" s="114">
        <f>VLOOKUP(C205,'Talente &amp; Stuff'!BI:CJ,4,FALSE)</f>
        <v>0</v>
      </c>
      <c r="G205" s="113">
        <f>VLOOKUP(C205,'Talente &amp; Stuff'!BI:CJ,5,FALSE)</f>
        <v>0</v>
      </c>
      <c r="H205" s="113">
        <f>VLOOKUP(C205,'Talente &amp; Stuff'!BI:CJ,6,FALSE)</f>
        <v>0</v>
      </c>
      <c r="I205" s="113">
        <f>VLOOKUP(C205,'Talente &amp; Stuff'!BI:CJ,7,FALSE)</f>
        <v>0</v>
      </c>
      <c r="J205" s="113">
        <f>VLOOKUP(C205,'Talente &amp; Stuff'!BI:CJ,8,FALSE)</f>
        <v>0</v>
      </c>
      <c r="K205" s="113">
        <f>VLOOKUP(C205,'Talente &amp; Stuff'!BI:CJ,9,FALSE)</f>
        <v>0</v>
      </c>
      <c r="L205" s="113">
        <f>VLOOKUP(C205,'Talente &amp; Stuff'!BI:CJ,10,FALSE)</f>
        <v>0</v>
      </c>
      <c r="M205" s="119">
        <f>VLOOKUP(C205,'Talente &amp; Stuff'!BI:CJ,11,FALSE)</f>
        <v>0</v>
      </c>
      <c r="N205" s="47">
        <f>VLOOKUP(C205,'Talente &amp; Stuff'!BI:CJ,12,FALSE)</f>
        <v>0</v>
      </c>
      <c r="O205" s="3">
        <f>VLOOKUP(C205,'Talente &amp; Stuff'!BI:CJ,13,FALSE)</f>
        <v>0</v>
      </c>
      <c r="P205" s="174">
        <f>VLOOKUP(C205,'Talente &amp; Stuff'!BI:CJ,14,FALSE)</f>
        <v>0</v>
      </c>
      <c r="Q205" s="114">
        <f>VLOOKUP(C205,'Talente &amp; Stuff'!BI:CJ,15,FALSE)</f>
        <v>0</v>
      </c>
      <c r="R205" s="117">
        <f>VLOOKUP(C205,'Talente &amp; Stuff'!BI:CJ,16,FALSE)</f>
        <v>0</v>
      </c>
      <c r="S205" s="119">
        <f>VLOOKUP(C205,'Talente &amp; Stuff'!BI:CJ,17,FALSE)</f>
        <v>0</v>
      </c>
      <c r="T205" s="119">
        <f>VLOOKUP(C205,'Talente &amp; Stuff'!BI:CJ,18,FALSE)</f>
        <v>0</v>
      </c>
      <c r="U205" s="89">
        <f>VLOOKUP(C205,'Talente &amp; Stuff'!BI:CJ,19,FALSE)</f>
        <v>0</v>
      </c>
      <c r="V205" s="47">
        <f>VLOOKUP(C205,'Talente &amp; Stuff'!BI:CJ,20,FALSE)</f>
        <v>0</v>
      </c>
      <c r="W205" s="127">
        <f>VLOOKUP(C205,'Talente &amp; Stuff'!BI:CJ,21,FALSE)</f>
        <v>0</v>
      </c>
      <c r="X205" s="127">
        <f>VLOOKUP(C205,'Talente &amp; Stuff'!BI:CJ,22,FALSE)</f>
        <v>0</v>
      </c>
      <c r="Y205" s="165">
        <f t="shared" si="18"/>
        <v>0</v>
      </c>
      <c r="Z205" s="44">
        <f t="shared" si="19"/>
        <v>0</v>
      </c>
      <c r="AA205" s="125">
        <f>VLOOKUP(C205,'Talente &amp; Stuff'!BI:CJ,25,FALSE)</f>
        <v>0</v>
      </c>
      <c r="AB205" s="160">
        <f>VLOOKUP(C205,'Talente &amp; Stuff'!BI:CJ,26,FALSE)</f>
        <v>0</v>
      </c>
      <c r="AC205" s="127">
        <f>VLOOKUP(C205,'Talente &amp; Stuff'!BI:CJ,27,FALSE)</f>
        <v>0</v>
      </c>
      <c r="AD205" s="125">
        <f>VLOOKUP(C205,'Talente &amp; Stuff'!BI:CJ,28,FALSE)</f>
        <v>0</v>
      </c>
      <c r="AE205" s="28"/>
    </row>
    <row r="206" spans="2:31" ht="15" hidden="1" customHeight="1" outlineLevel="2">
      <c r="B206" s="148">
        <v>54</v>
      </c>
      <c r="C206" s="177" t="str">
        <f>Attribute!C206</f>
        <v>---</v>
      </c>
      <c r="D206" s="125" t="str">
        <f>VLOOKUP(C206,'Talente &amp; Stuff'!BI:CJ,2,FALSE)</f>
        <v>--/--/--</v>
      </c>
      <c r="E206" s="127" t="str">
        <f>VLOOKUP(C206,'Talente &amp; Stuff'!BI:CJ,3,FALSE)</f>
        <v>-</v>
      </c>
      <c r="F206" s="114">
        <f>VLOOKUP(C206,'Talente &amp; Stuff'!BI:CJ,4,FALSE)</f>
        <v>0</v>
      </c>
      <c r="G206" s="113">
        <f>VLOOKUP(C206,'Talente &amp; Stuff'!BI:CJ,5,FALSE)</f>
        <v>0</v>
      </c>
      <c r="H206" s="113">
        <f>VLOOKUP(C206,'Talente &amp; Stuff'!BI:CJ,6,FALSE)</f>
        <v>0</v>
      </c>
      <c r="I206" s="113">
        <f>VLOOKUP(C206,'Talente &amp; Stuff'!BI:CJ,7,FALSE)</f>
        <v>0</v>
      </c>
      <c r="J206" s="113">
        <f>VLOOKUP(C206,'Talente &amp; Stuff'!BI:CJ,8,FALSE)</f>
        <v>0</v>
      </c>
      <c r="K206" s="113">
        <f>VLOOKUP(C206,'Talente &amp; Stuff'!BI:CJ,9,FALSE)</f>
        <v>0</v>
      </c>
      <c r="L206" s="113">
        <f>VLOOKUP(C206,'Talente &amp; Stuff'!BI:CJ,10,FALSE)</f>
        <v>0</v>
      </c>
      <c r="M206" s="119">
        <f>VLOOKUP(C206,'Talente &amp; Stuff'!BI:CJ,11,FALSE)</f>
        <v>0</v>
      </c>
      <c r="N206" s="47">
        <f>VLOOKUP(C206,'Talente &amp; Stuff'!BI:CJ,12,FALSE)</f>
        <v>0</v>
      </c>
      <c r="O206" s="47">
        <f>VLOOKUP(C206,'Talente &amp; Stuff'!BI:CJ,13,FALSE)</f>
        <v>0</v>
      </c>
      <c r="P206" s="119">
        <f>VLOOKUP(C206,'Talente &amp; Stuff'!BI:CJ,14,FALSE)</f>
        <v>0</v>
      </c>
      <c r="Q206" s="114">
        <f>VLOOKUP(C206,'Talente &amp; Stuff'!BI:CJ,15,FALSE)</f>
        <v>0</v>
      </c>
      <c r="R206" s="113">
        <f>VLOOKUP(C206,'Talente &amp; Stuff'!BI:CJ,16,FALSE)</f>
        <v>0</v>
      </c>
      <c r="S206" s="119">
        <f>VLOOKUP(C206,'Talente &amp; Stuff'!BI:CJ,17,FALSE)</f>
        <v>0</v>
      </c>
      <c r="T206" s="119">
        <f>VLOOKUP(C206,'Talente &amp; Stuff'!BI:CJ,18,FALSE)</f>
        <v>0</v>
      </c>
      <c r="U206" s="89">
        <f>VLOOKUP(C206,'Talente &amp; Stuff'!BI:CJ,19,FALSE)</f>
        <v>0</v>
      </c>
      <c r="V206" s="47">
        <f>VLOOKUP(C206,'Talente &amp; Stuff'!BI:CJ,20,FALSE)</f>
        <v>0</v>
      </c>
      <c r="W206" s="127">
        <f>VLOOKUP(C206,'Talente &amp; Stuff'!BI:CJ,21,FALSE)</f>
        <v>0</v>
      </c>
      <c r="X206" s="127">
        <f>VLOOKUP(C206,'Talente &amp; Stuff'!BI:CJ,22,FALSE)</f>
        <v>0</v>
      </c>
      <c r="Y206" s="165">
        <f t="shared" si="18"/>
        <v>0</v>
      </c>
      <c r="Z206" s="44">
        <f t="shared" si="19"/>
        <v>0</v>
      </c>
      <c r="AA206" s="125">
        <f>VLOOKUP(C206,'Talente &amp; Stuff'!BI:CJ,25,FALSE)</f>
        <v>0</v>
      </c>
      <c r="AB206" s="160">
        <f>VLOOKUP(C206,'Talente &amp; Stuff'!BI:CJ,26,FALSE)</f>
        <v>0</v>
      </c>
      <c r="AC206" s="127">
        <f>VLOOKUP(C206,'Talente &amp; Stuff'!BI:CJ,27,FALSE)</f>
        <v>0</v>
      </c>
      <c r="AD206" s="125">
        <f>VLOOKUP(C206,'Talente &amp; Stuff'!BI:CJ,28,FALSE)</f>
        <v>0</v>
      </c>
      <c r="AE206" s="28"/>
    </row>
    <row r="207" spans="2:31" ht="15" hidden="1" customHeight="1" outlineLevel="2">
      <c r="B207" s="148">
        <v>55</v>
      </c>
      <c r="C207" s="177" t="str">
        <f>Attribute!C207</f>
        <v>---</v>
      </c>
      <c r="D207" s="125" t="str">
        <f>VLOOKUP(C207,'Talente &amp; Stuff'!BI:CJ,2,FALSE)</f>
        <v>--/--/--</v>
      </c>
      <c r="E207" s="127" t="str">
        <f>VLOOKUP(C207,'Talente &amp; Stuff'!BI:CJ,3,FALSE)</f>
        <v>-</v>
      </c>
      <c r="F207" s="114">
        <f>VLOOKUP(C207,'Talente &amp; Stuff'!BI:CJ,4,FALSE)</f>
        <v>0</v>
      </c>
      <c r="G207" s="113">
        <f>VLOOKUP(C207,'Talente &amp; Stuff'!BI:CJ,5,FALSE)</f>
        <v>0</v>
      </c>
      <c r="H207" s="113">
        <f>VLOOKUP(C207,'Talente &amp; Stuff'!BI:CJ,6,FALSE)</f>
        <v>0</v>
      </c>
      <c r="I207" s="113">
        <f>VLOOKUP(C207,'Talente &amp; Stuff'!BI:CJ,7,FALSE)</f>
        <v>0</v>
      </c>
      <c r="J207" s="113">
        <f>VLOOKUP(C207,'Talente &amp; Stuff'!BI:CJ,8,FALSE)</f>
        <v>0</v>
      </c>
      <c r="K207" s="113">
        <f>VLOOKUP(C207,'Talente &amp; Stuff'!BI:CJ,9,FALSE)</f>
        <v>0</v>
      </c>
      <c r="L207" s="113">
        <f>VLOOKUP(C207,'Talente &amp; Stuff'!BI:CJ,10,FALSE)</f>
        <v>0</v>
      </c>
      <c r="M207" s="119">
        <f>VLOOKUP(C207,'Talente &amp; Stuff'!BI:CJ,11,FALSE)</f>
        <v>0</v>
      </c>
      <c r="N207" s="47">
        <f>VLOOKUP(C207,'Talente &amp; Stuff'!BI:CJ,12,FALSE)</f>
        <v>0</v>
      </c>
      <c r="O207" s="47">
        <f>VLOOKUP(C207,'Talente &amp; Stuff'!BI:CJ,13,FALSE)</f>
        <v>0</v>
      </c>
      <c r="P207" s="119">
        <f>VLOOKUP(C207,'Talente &amp; Stuff'!BI:CJ,14,FALSE)</f>
        <v>0</v>
      </c>
      <c r="Q207" s="114">
        <f>VLOOKUP(C207,'Talente &amp; Stuff'!BI:CJ,15,FALSE)</f>
        <v>0</v>
      </c>
      <c r="R207" s="113">
        <f>VLOOKUP(C207,'Talente &amp; Stuff'!BI:CJ,16,FALSE)</f>
        <v>0</v>
      </c>
      <c r="S207" s="119">
        <f>VLOOKUP(C207,'Talente &amp; Stuff'!BI:CJ,17,FALSE)</f>
        <v>0</v>
      </c>
      <c r="T207" s="119">
        <f>VLOOKUP(C207,'Talente &amp; Stuff'!BI:CJ,18,FALSE)</f>
        <v>0</v>
      </c>
      <c r="U207" s="89">
        <f>VLOOKUP(C207,'Talente &amp; Stuff'!BI:CJ,19,FALSE)</f>
        <v>0</v>
      </c>
      <c r="V207" s="47">
        <f>VLOOKUP(C207,'Talente &amp; Stuff'!BI:CJ,20,FALSE)</f>
        <v>0</v>
      </c>
      <c r="W207" s="127">
        <f>VLOOKUP(C207,'Talente &amp; Stuff'!BI:CJ,21,FALSE)</f>
        <v>0</v>
      </c>
      <c r="X207" s="127">
        <f>VLOOKUP(C207,'Talente &amp; Stuff'!BI:CJ,22,FALSE)</f>
        <v>0</v>
      </c>
      <c r="Y207" s="165">
        <f t="shared" si="18"/>
        <v>0</v>
      </c>
      <c r="Z207" s="44">
        <f t="shared" si="19"/>
        <v>0</v>
      </c>
      <c r="AA207" s="125">
        <f>VLOOKUP(C207,'Talente &amp; Stuff'!BI:CJ,25,FALSE)</f>
        <v>0</v>
      </c>
      <c r="AB207" s="160">
        <f>VLOOKUP(C207,'Talente &amp; Stuff'!BI:CJ,26,FALSE)</f>
        <v>0</v>
      </c>
      <c r="AC207" s="127">
        <f>VLOOKUP(C207,'Talente &amp; Stuff'!BI:CJ,27,FALSE)</f>
        <v>0</v>
      </c>
      <c r="AD207" s="125">
        <f>VLOOKUP(C207,'Talente &amp; Stuff'!BI:CJ,28,FALSE)</f>
        <v>0</v>
      </c>
      <c r="AE207" s="28"/>
    </row>
    <row r="208" spans="2:31" ht="15" hidden="1" customHeight="1" outlineLevel="2">
      <c r="B208" s="148">
        <v>56</v>
      </c>
      <c r="C208" s="177" t="str">
        <f>Attribute!C208</f>
        <v>---</v>
      </c>
      <c r="D208" s="125" t="str">
        <f>VLOOKUP(C208,'Talente &amp; Stuff'!BI:CJ,2,FALSE)</f>
        <v>--/--/--</v>
      </c>
      <c r="E208" s="127" t="str">
        <f>VLOOKUP(C208,'Talente &amp; Stuff'!BI:CJ,3,FALSE)</f>
        <v>-</v>
      </c>
      <c r="F208" s="114">
        <f>VLOOKUP(C208,'Talente &amp; Stuff'!BI:CJ,4,FALSE)</f>
        <v>0</v>
      </c>
      <c r="G208" s="113">
        <f>VLOOKUP(C208,'Talente &amp; Stuff'!BI:CJ,5,FALSE)</f>
        <v>0</v>
      </c>
      <c r="H208" s="113">
        <f>VLOOKUP(C208,'Talente &amp; Stuff'!BI:CJ,6,FALSE)</f>
        <v>0</v>
      </c>
      <c r="I208" s="113">
        <f>VLOOKUP(C208,'Talente &amp; Stuff'!BI:CJ,7,FALSE)</f>
        <v>0</v>
      </c>
      <c r="J208" s="113">
        <f>VLOOKUP(C208,'Talente &amp; Stuff'!BI:CJ,8,FALSE)</f>
        <v>0</v>
      </c>
      <c r="K208" s="113">
        <f>VLOOKUP(C208,'Talente &amp; Stuff'!BI:CJ,9,FALSE)</f>
        <v>0</v>
      </c>
      <c r="L208" s="113">
        <f>VLOOKUP(C208,'Talente &amp; Stuff'!BI:CJ,10,FALSE)</f>
        <v>0</v>
      </c>
      <c r="M208" s="119">
        <f>VLOOKUP(C208,'Talente &amp; Stuff'!BI:CJ,11,FALSE)</f>
        <v>0</v>
      </c>
      <c r="N208" s="47">
        <f>VLOOKUP(C208,'Talente &amp; Stuff'!BI:CJ,12,FALSE)</f>
        <v>0</v>
      </c>
      <c r="O208" s="47">
        <f>VLOOKUP(C208,'Talente &amp; Stuff'!BI:CJ,13,FALSE)</f>
        <v>0</v>
      </c>
      <c r="P208" s="119">
        <f>VLOOKUP(C208,'Talente &amp; Stuff'!BI:CJ,14,FALSE)</f>
        <v>0</v>
      </c>
      <c r="Q208" s="114">
        <f>VLOOKUP(C208,'Talente &amp; Stuff'!BI:CJ,15,FALSE)</f>
        <v>0</v>
      </c>
      <c r="R208" s="113">
        <f>VLOOKUP(C208,'Talente &amp; Stuff'!BI:CJ,16,FALSE)</f>
        <v>0</v>
      </c>
      <c r="S208" s="119">
        <f>VLOOKUP(C208,'Talente &amp; Stuff'!BI:CJ,17,FALSE)</f>
        <v>0</v>
      </c>
      <c r="T208" s="119">
        <f>VLOOKUP(C208,'Talente &amp; Stuff'!BI:CJ,18,FALSE)</f>
        <v>0</v>
      </c>
      <c r="U208" s="89">
        <f>VLOOKUP(C208,'Talente &amp; Stuff'!BI:CJ,19,FALSE)</f>
        <v>0</v>
      </c>
      <c r="V208" s="47">
        <f>VLOOKUP(C208,'Talente &amp; Stuff'!BI:CJ,20,FALSE)</f>
        <v>0</v>
      </c>
      <c r="W208" s="127">
        <f>VLOOKUP(C208,'Talente &amp; Stuff'!BI:CJ,21,FALSE)</f>
        <v>0</v>
      </c>
      <c r="X208" s="127">
        <f>VLOOKUP(C208,'Talente &amp; Stuff'!BI:CJ,22,FALSE)</f>
        <v>0</v>
      </c>
      <c r="Y208" s="165">
        <f t="shared" si="18"/>
        <v>0</v>
      </c>
      <c r="Z208" s="44">
        <f t="shared" si="19"/>
        <v>0</v>
      </c>
      <c r="AA208" s="125">
        <f>VLOOKUP(C208,'Talente &amp; Stuff'!BI:CJ,25,FALSE)</f>
        <v>0</v>
      </c>
      <c r="AB208" s="160">
        <f>VLOOKUP(C208,'Talente &amp; Stuff'!BI:CJ,26,FALSE)</f>
        <v>0</v>
      </c>
      <c r="AC208" s="127">
        <f>VLOOKUP(C208,'Talente &amp; Stuff'!BI:CJ,27,FALSE)</f>
        <v>0</v>
      </c>
      <c r="AD208" s="125">
        <f>VLOOKUP(C208,'Talente &amp; Stuff'!BI:CJ,28,FALSE)</f>
        <v>0</v>
      </c>
      <c r="AE208" s="28"/>
    </row>
    <row r="209" spans="2:31" ht="15" hidden="1" customHeight="1" outlineLevel="2">
      <c r="B209" s="148">
        <v>57</v>
      </c>
      <c r="C209" s="177" t="str">
        <f>Attribute!C209</f>
        <v>---</v>
      </c>
      <c r="D209" s="125" t="str">
        <f>VLOOKUP(C209,'Talente &amp; Stuff'!BI:CJ,2,FALSE)</f>
        <v>--/--/--</v>
      </c>
      <c r="E209" s="127" t="str">
        <f>VLOOKUP(C209,'Talente &amp; Stuff'!BI:CJ,3,FALSE)</f>
        <v>-</v>
      </c>
      <c r="F209" s="114">
        <f>VLOOKUP(C209,'Talente &amp; Stuff'!BI:CJ,4,FALSE)</f>
        <v>0</v>
      </c>
      <c r="G209" s="113">
        <f>VLOOKUP(C209,'Talente &amp; Stuff'!BI:CJ,5,FALSE)</f>
        <v>0</v>
      </c>
      <c r="H209" s="113">
        <f>VLOOKUP(C209,'Talente &amp; Stuff'!BI:CJ,6,FALSE)</f>
        <v>0</v>
      </c>
      <c r="I209" s="113">
        <f>VLOOKUP(C209,'Talente &amp; Stuff'!BI:CJ,7,FALSE)</f>
        <v>0</v>
      </c>
      <c r="J209" s="113">
        <f>VLOOKUP(C209,'Talente &amp; Stuff'!BI:CJ,8,FALSE)</f>
        <v>0</v>
      </c>
      <c r="K209" s="113">
        <f>VLOOKUP(C209,'Talente &amp; Stuff'!BI:CJ,9,FALSE)</f>
        <v>0</v>
      </c>
      <c r="L209" s="113">
        <f>VLOOKUP(C209,'Talente &amp; Stuff'!BI:CJ,10,FALSE)</f>
        <v>0</v>
      </c>
      <c r="M209" s="119">
        <f>VLOOKUP(C209,'Talente &amp; Stuff'!BI:CJ,11,FALSE)</f>
        <v>0</v>
      </c>
      <c r="N209" s="47">
        <f>VLOOKUP(C209,'Talente &amp; Stuff'!BI:CJ,12,FALSE)</f>
        <v>0</v>
      </c>
      <c r="O209" s="47">
        <f>VLOOKUP(C209,'Talente &amp; Stuff'!BI:CJ,13,FALSE)</f>
        <v>0</v>
      </c>
      <c r="P209" s="119">
        <f>VLOOKUP(C209,'Talente &amp; Stuff'!BI:CJ,14,FALSE)</f>
        <v>0</v>
      </c>
      <c r="Q209" s="114">
        <f>VLOOKUP(C209,'Talente &amp; Stuff'!BI:CJ,15,FALSE)</f>
        <v>0</v>
      </c>
      <c r="R209" s="113">
        <f>VLOOKUP(C209,'Talente &amp; Stuff'!BI:CJ,16,FALSE)</f>
        <v>0</v>
      </c>
      <c r="S209" s="119">
        <f>VLOOKUP(C209,'Talente &amp; Stuff'!BI:CJ,17,FALSE)</f>
        <v>0</v>
      </c>
      <c r="T209" s="119">
        <f>VLOOKUP(C209,'Talente &amp; Stuff'!BI:CJ,18,FALSE)</f>
        <v>0</v>
      </c>
      <c r="U209" s="89">
        <f>VLOOKUP(C209,'Talente &amp; Stuff'!BI:CJ,19,FALSE)</f>
        <v>0</v>
      </c>
      <c r="V209" s="47">
        <f>VLOOKUP(C209,'Talente &amp; Stuff'!BI:CJ,20,FALSE)</f>
        <v>0</v>
      </c>
      <c r="W209" s="127">
        <f>VLOOKUP(C209,'Talente &amp; Stuff'!BI:CJ,21,FALSE)</f>
        <v>0</v>
      </c>
      <c r="X209" s="127">
        <f>VLOOKUP(C209,'Talente &amp; Stuff'!BI:CJ,22,FALSE)</f>
        <v>0</v>
      </c>
      <c r="Y209" s="165">
        <f t="shared" si="18"/>
        <v>0</v>
      </c>
      <c r="Z209" s="44">
        <f t="shared" si="19"/>
        <v>0</v>
      </c>
      <c r="AA209" s="125">
        <f>VLOOKUP(C209,'Talente &amp; Stuff'!BI:CJ,25,FALSE)</f>
        <v>0</v>
      </c>
      <c r="AB209" s="160">
        <f>VLOOKUP(C209,'Talente &amp; Stuff'!BI:CJ,26,FALSE)</f>
        <v>0</v>
      </c>
      <c r="AC209" s="127">
        <f>VLOOKUP(C209,'Talente &amp; Stuff'!BI:CJ,27,FALSE)</f>
        <v>0</v>
      </c>
      <c r="AD209" s="125">
        <f>VLOOKUP(C209,'Talente &amp; Stuff'!BI:CJ,28,FALSE)</f>
        <v>0</v>
      </c>
      <c r="AE209" s="28"/>
    </row>
    <row r="210" spans="2:31" ht="15" hidden="1" customHeight="1" outlineLevel="2">
      <c r="B210" s="148">
        <v>58</v>
      </c>
      <c r="C210" s="177" t="str">
        <f>Attribute!C210</f>
        <v>---</v>
      </c>
      <c r="D210" s="125" t="str">
        <f>VLOOKUP(C210,'Talente &amp; Stuff'!BI:CJ,2,FALSE)</f>
        <v>--/--/--</v>
      </c>
      <c r="E210" s="127" t="str">
        <f>VLOOKUP(C210,'Talente &amp; Stuff'!BI:CJ,3,FALSE)</f>
        <v>-</v>
      </c>
      <c r="F210" s="114">
        <f>VLOOKUP(C210,'Talente &amp; Stuff'!BI:CJ,4,FALSE)</f>
        <v>0</v>
      </c>
      <c r="G210" s="113">
        <f>VLOOKUP(C210,'Talente &amp; Stuff'!BI:CJ,5,FALSE)</f>
        <v>0</v>
      </c>
      <c r="H210" s="113">
        <f>VLOOKUP(C210,'Talente &amp; Stuff'!BI:CJ,6,FALSE)</f>
        <v>0</v>
      </c>
      <c r="I210" s="113">
        <f>VLOOKUP(C210,'Talente &amp; Stuff'!BI:CJ,7,FALSE)</f>
        <v>0</v>
      </c>
      <c r="J210" s="113">
        <f>VLOOKUP(C210,'Talente &amp; Stuff'!BI:CJ,8,FALSE)</f>
        <v>0</v>
      </c>
      <c r="K210" s="113">
        <f>VLOOKUP(C210,'Talente &amp; Stuff'!BI:CJ,9,FALSE)</f>
        <v>0</v>
      </c>
      <c r="L210" s="113">
        <f>VLOOKUP(C210,'Talente &amp; Stuff'!BI:CJ,10,FALSE)</f>
        <v>0</v>
      </c>
      <c r="M210" s="119">
        <f>VLOOKUP(C210,'Talente &amp; Stuff'!BI:CJ,11,FALSE)</f>
        <v>0</v>
      </c>
      <c r="N210" s="47">
        <f>VLOOKUP(C210,'Talente &amp; Stuff'!BI:CJ,12,FALSE)</f>
        <v>0</v>
      </c>
      <c r="O210" s="47">
        <f>VLOOKUP(C210,'Talente &amp; Stuff'!BI:CJ,13,FALSE)</f>
        <v>0</v>
      </c>
      <c r="P210" s="119">
        <f>VLOOKUP(C210,'Talente &amp; Stuff'!BI:CJ,14,FALSE)</f>
        <v>0</v>
      </c>
      <c r="Q210" s="114">
        <f>VLOOKUP(C210,'Talente &amp; Stuff'!BI:CJ,15,FALSE)</f>
        <v>0</v>
      </c>
      <c r="R210" s="113">
        <f>VLOOKUP(C210,'Talente &amp; Stuff'!BI:CJ,16,FALSE)</f>
        <v>0</v>
      </c>
      <c r="S210" s="119">
        <f>VLOOKUP(C210,'Talente &amp; Stuff'!BI:CJ,17,FALSE)</f>
        <v>0</v>
      </c>
      <c r="T210" s="119">
        <f>VLOOKUP(C210,'Talente &amp; Stuff'!BI:CJ,18,FALSE)</f>
        <v>0</v>
      </c>
      <c r="U210" s="89">
        <f>VLOOKUP(C210,'Talente &amp; Stuff'!BI:CJ,19,FALSE)</f>
        <v>0</v>
      </c>
      <c r="V210" s="47">
        <f>VLOOKUP(C210,'Talente &amp; Stuff'!BI:CJ,20,FALSE)</f>
        <v>0</v>
      </c>
      <c r="W210" s="127">
        <f>VLOOKUP(C210,'Talente &amp; Stuff'!BI:CJ,21,FALSE)</f>
        <v>0</v>
      </c>
      <c r="X210" s="127">
        <f>VLOOKUP(C210,'Talente &amp; Stuff'!BI:CJ,22,FALSE)</f>
        <v>0</v>
      </c>
      <c r="Y210" s="165">
        <f t="shared" si="18"/>
        <v>0</v>
      </c>
      <c r="Z210" s="44">
        <f t="shared" si="19"/>
        <v>0</v>
      </c>
      <c r="AA210" s="125">
        <f>VLOOKUP(C210,'Talente &amp; Stuff'!BI:CJ,25,FALSE)</f>
        <v>0</v>
      </c>
      <c r="AB210" s="160">
        <f>VLOOKUP(C210,'Talente &amp; Stuff'!BI:CJ,26,FALSE)</f>
        <v>0</v>
      </c>
      <c r="AC210" s="127">
        <f>VLOOKUP(C210,'Talente &amp; Stuff'!BI:CJ,27,FALSE)</f>
        <v>0</v>
      </c>
      <c r="AD210" s="125">
        <f>VLOOKUP(C210,'Talente &amp; Stuff'!BI:CJ,28,FALSE)</f>
        <v>0</v>
      </c>
      <c r="AE210" s="28"/>
    </row>
    <row r="211" spans="2:31" ht="15" hidden="1" customHeight="1" outlineLevel="2">
      <c r="B211" s="148">
        <v>59</v>
      </c>
      <c r="C211" s="177" t="str">
        <f>Attribute!C211</f>
        <v>---</v>
      </c>
      <c r="D211" s="159" t="str">
        <f>VLOOKUP(C211,'Talente &amp; Stuff'!BI:CJ,2,FALSE)</f>
        <v>--/--/--</v>
      </c>
      <c r="E211" s="128" t="str">
        <f>VLOOKUP(C211,'Talente &amp; Stuff'!BI:CJ,3,FALSE)</f>
        <v>-</v>
      </c>
      <c r="F211" s="115">
        <f>VLOOKUP(C211,'Talente &amp; Stuff'!BI:CJ,4,FALSE)</f>
        <v>0</v>
      </c>
      <c r="G211" s="122">
        <f>VLOOKUP(C211,'Talente &amp; Stuff'!BI:CJ,5,FALSE)</f>
        <v>0</v>
      </c>
      <c r="H211" s="122">
        <f>VLOOKUP(C211,'Talente &amp; Stuff'!BI:CJ,6,FALSE)</f>
        <v>0</v>
      </c>
      <c r="I211" s="122">
        <f>VLOOKUP(C211,'Talente &amp; Stuff'!BI:CJ,7,FALSE)</f>
        <v>0</v>
      </c>
      <c r="J211" s="122">
        <f>VLOOKUP(C211,'Talente &amp; Stuff'!BI:CJ,8,FALSE)</f>
        <v>0</v>
      </c>
      <c r="K211" s="122">
        <f>VLOOKUP(C211,'Talente &amp; Stuff'!BI:CJ,9,FALSE)</f>
        <v>0</v>
      </c>
      <c r="L211" s="122">
        <f>VLOOKUP(C211,'Talente &amp; Stuff'!BI:CJ,10,FALSE)</f>
        <v>0</v>
      </c>
      <c r="M211" s="123">
        <f>VLOOKUP(C211,'Talente &amp; Stuff'!BI:CJ,11,FALSE)</f>
        <v>0</v>
      </c>
      <c r="N211" s="88">
        <f>VLOOKUP(C211,'Talente &amp; Stuff'!BI:CJ,12,FALSE)</f>
        <v>0</v>
      </c>
      <c r="O211" s="88">
        <f>VLOOKUP(C211,'Talente &amp; Stuff'!BI:CJ,13,FALSE)</f>
        <v>0</v>
      </c>
      <c r="P211" s="123">
        <f>VLOOKUP(C211,'Talente &amp; Stuff'!BI:CJ,14,FALSE)</f>
        <v>0</v>
      </c>
      <c r="Q211" s="115">
        <f>VLOOKUP(C211,'Talente &amp; Stuff'!BI:CJ,15,FALSE)</f>
        <v>0</v>
      </c>
      <c r="R211" s="122">
        <f>VLOOKUP(C211,'Talente &amp; Stuff'!BI:CJ,16,FALSE)</f>
        <v>0</v>
      </c>
      <c r="S211" s="123">
        <f>VLOOKUP(C211,'Talente &amp; Stuff'!BI:CJ,17,FALSE)</f>
        <v>0</v>
      </c>
      <c r="T211" s="123">
        <f>VLOOKUP(C211,'Talente &amp; Stuff'!BI:CJ,18,FALSE)</f>
        <v>0</v>
      </c>
      <c r="U211" s="90">
        <f>VLOOKUP(C211,'Talente &amp; Stuff'!BI:CJ,19,FALSE)</f>
        <v>0</v>
      </c>
      <c r="V211" s="88">
        <f>VLOOKUP(C211,'Talente &amp; Stuff'!BI:CJ,20,FALSE)</f>
        <v>0</v>
      </c>
      <c r="W211" s="128">
        <f>VLOOKUP(C211,'Talente &amp; Stuff'!BI:CJ,21,FALSE)</f>
        <v>0</v>
      </c>
      <c r="X211" s="128">
        <f>VLOOKUP(C211,'Talente &amp; Stuff'!BI:CJ,22,FALSE)</f>
        <v>0</v>
      </c>
      <c r="Y211" s="165">
        <f t="shared" si="18"/>
        <v>0</v>
      </c>
      <c r="Z211" s="44">
        <f t="shared" si="19"/>
        <v>0</v>
      </c>
      <c r="AA211" s="159">
        <f>VLOOKUP(C211,'Talente &amp; Stuff'!BI:CJ,25,FALSE)</f>
        <v>0</v>
      </c>
      <c r="AB211" s="161">
        <f>VLOOKUP(C211,'Talente &amp; Stuff'!BI:CJ,26,FALSE)</f>
        <v>0</v>
      </c>
      <c r="AC211" s="128">
        <f>VLOOKUP(C211,'Talente &amp; Stuff'!BI:CJ,27,FALSE)</f>
        <v>0</v>
      </c>
      <c r="AD211" s="159">
        <f>VLOOKUP(C211,'Talente &amp; Stuff'!BI:CJ,28,FALSE)</f>
        <v>0</v>
      </c>
      <c r="AE211" s="28"/>
    </row>
    <row r="212" spans="2:31" ht="15" hidden="1" customHeight="1" outlineLevel="1" collapsed="1">
      <c r="B212" s="134" t="s">
        <v>328</v>
      </c>
      <c r="C212" s="83"/>
      <c r="D212" s="84"/>
      <c r="E212" s="84"/>
    </row>
    <row r="213" spans="2:31" ht="15" hidden="1" customHeight="1" outlineLevel="2">
      <c r="B213" s="148">
        <v>1</v>
      </c>
      <c r="C213" s="177" t="str">
        <f>Attribute!C213</f>
        <v>---</v>
      </c>
      <c r="D213" s="85" t="str">
        <f>VLOOKUP(C213,'Talente &amp; Stuff'!BI:CJ,2,FALSE)</f>
        <v>--/--/--</v>
      </c>
      <c r="E213" s="126" t="str">
        <f>VLOOKUP(C213,'Talente &amp; Stuff'!BI:CJ,3,FALSE)</f>
        <v>-</v>
      </c>
      <c r="F213" s="191">
        <f>VLOOKUP(C213,'Talente &amp; Stuff'!BI:CJ,4,FALSE)</f>
        <v>0</v>
      </c>
      <c r="G213" s="118">
        <f>VLOOKUP(C213,'Talente &amp; Stuff'!BI:CJ,5,FALSE)</f>
        <v>0</v>
      </c>
      <c r="H213" s="118">
        <f>VLOOKUP(C213,'Talente &amp; Stuff'!BI:CJ,6,FALSE)</f>
        <v>0</v>
      </c>
      <c r="I213" s="118">
        <f>VLOOKUP(C213,'Talente &amp; Stuff'!BI:CJ,7,FALSE)</f>
        <v>0</v>
      </c>
      <c r="J213" s="118">
        <f>VLOOKUP(C213,'Talente &amp; Stuff'!BI:CJ,8,FALSE)</f>
        <v>0</v>
      </c>
      <c r="K213" s="118">
        <f>VLOOKUP(C213,'Talente &amp; Stuff'!BI:CJ,9,FALSE)</f>
        <v>0</v>
      </c>
      <c r="L213" s="118">
        <f>VLOOKUP(C213,'Talente &amp; Stuff'!BI:CJ,10,FALSE)</f>
        <v>0</v>
      </c>
      <c r="M213" s="92">
        <f>VLOOKUP(C213,'Talente &amp; Stuff'!BI:CJ,11,FALSE)</f>
        <v>0</v>
      </c>
      <c r="N213" s="116">
        <f>VLOOKUP(C213,'Talente &amp; Stuff'!BI:CJ,12,FALSE)</f>
        <v>0</v>
      </c>
      <c r="O213" s="194">
        <f>VLOOKUP(C213,'Talente &amp; Stuff'!BI:CJ,13,FALSE)</f>
        <v>0</v>
      </c>
      <c r="P213" s="192">
        <f>VLOOKUP(C213,'Talente &amp; Stuff'!BI:CJ,14,FALSE)</f>
        <v>0</v>
      </c>
      <c r="Q213" s="191">
        <f>VLOOKUP(C213,'Talente &amp; Stuff'!BI:CJ,15,FALSE)</f>
        <v>0</v>
      </c>
      <c r="R213" s="170">
        <f>VLOOKUP(C213,'Talente &amp; Stuff'!BI:CJ,16,FALSE)</f>
        <v>0</v>
      </c>
      <c r="S213" s="92">
        <f>VLOOKUP(C213,'Talente &amp; Stuff'!BI:CJ,17,FALSE)</f>
        <v>0</v>
      </c>
      <c r="T213" s="92">
        <f>VLOOKUP(C213,'Talente &amp; Stuff'!BI:CJ,18,FALSE)</f>
        <v>0</v>
      </c>
      <c r="U213" s="193">
        <f>VLOOKUP(C213,'Talente &amp; Stuff'!BI:CJ,19,FALSE)</f>
        <v>0</v>
      </c>
      <c r="V213" s="116">
        <f>VLOOKUP(C213,'Talente &amp; Stuff'!BI:CJ,20,FALSE)</f>
        <v>0</v>
      </c>
      <c r="W213" s="126">
        <f>VLOOKUP(C213,'Talente &amp; Stuff'!BI:CJ,21,FALSE)</f>
        <v>0</v>
      </c>
      <c r="X213" s="126">
        <f>VLOOKUP(C213,'Talente &amp; Stuff'!BI:CJ,22,FALSE)</f>
        <v>0</v>
      </c>
      <c r="Y213" s="165">
        <f t="shared" ref="Y213:Y257" si="20">VLOOKUP(C213,Ausgewählte_Zauber_Hexen,81,FALSE)</f>
        <v>0</v>
      </c>
      <c r="Z213" s="44">
        <f t="shared" ref="Z213:Z257" si="21">VLOOKUP(C213,Ausgewählte_Zauber_Hexen,82,FALSE)</f>
        <v>0</v>
      </c>
      <c r="AA213" s="158">
        <f>VLOOKUP(C213,'Talente &amp; Stuff'!BI:CJ,25,FALSE)</f>
        <v>0</v>
      </c>
      <c r="AB213" s="91">
        <f>VLOOKUP(C213,'Talente &amp; Stuff'!BI:CJ,26,FALSE)</f>
        <v>0</v>
      </c>
      <c r="AC213" s="126">
        <f>VLOOKUP(C213,'Talente &amp; Stuff'!BI:CJ,27,FALSE)</f>
        <v>0</v>
      </c>
      <c r="AD213" s="158">
        <f>VLOOKUP(C213,'Talente &amp; Stuff'!BI:CJ,28,FALSE)</f>
        <v>0</v>
      </c>
      <c r="AE213" s="28"/>
    </row>
    <row r="214" spans="2:31" ht="15" hidden="1" customHeight="1" outlineLevel="2">
      <c r="B214" s="148">
        <v>2</v>
      </c>
      <c r="C214" s="177" t="str">
        <f>Attribute!C214</f>
        <v>---</v>
      </c>
      <c r="D214" s="125" t="str">
        <f>VLOOKUP(C214,'Talente &amp; Stuff'!BI:CJ,2,FALSE)</f>
        <v>--/--/--</v>
      </c>
      <c r="E214" s="127" t="str">
        <f>VLOOKUP(C214,'Talente &amp; Stuff'!BI:CJ,3,FALSE)</f>
        <v>-</v>
      </c>
      <c r="F214" s="114">
        <f>VLOOKUP(C214,'Talente &amp; Stuff'!BI:CJ,4,FALSE)</f>
        <v>0</v>
      </c>
      <c r="G214" s="113">
        <f>VLOOKUP(C214,'Talente &amp; Stuff'!BI:CJ,5,FALSE)</f>
        <v>0</v>
      </c>
      <c r="H214" s="113">
        <f>VLOOKUP(C214,'Talente &amp; Stuff'!BI:CJ,6,FALSE)</f>
        <v>0</v>
      </c>
      <c r="I214" s="113">
        <f>VLOOKUP(C214,'Talente &amp; Stuff'!BI:CJ,7,FALSE)</f>
        <v>0</v>
      </c>
      <c r="J214" s="113">
        <f>VLOOKUP(C214,'Talente &amp; Stuff'!BI:CJ,8,FALSE)</f>
        <v>0</v>
      </c>
      <c r="K214" s="113">
        <f>VLOOKUP(C214,'Talente &amp; Stuff'!BI:CJ,9,FALSE)</f>
        <v>0</v>
      </c>
      <c r="L214" s="113">
        <f>VLOOKUP(C214,'Talente &amp; Stuff'!BI:CJ,10,FALSE)</f>
        <v>0</v>
      </c>
      <c r="M214" s="119">
        <f>VLOOKUP(C214,'Talente &amp; Stuff'!BI:CJ,11,FALSE)</f>
        <v>0</v>
      </c>
      <c r="N214" s="47">
        <f>VLOOKUP(C214,'Talente &amp; Stuff'!BI:CJ,12,FALSE)</f>
        <v>0</v>
      </c>
      <c r="O214" s="47">
        <f>VLOOKUP(C214,'Talente &amp; Stuff'!BI:CJ,13,FALSE)</f>
        <v>0</v>
      </c>
      <c r="P214" s="119">
        <f>VLOOKUP(C214,'Talente &amp; Stuff'!BI:CJ,14,FALSE)</f>
        <v>0</v>
      </c>
      <c r="Q214" s="114">
        <f>VLOOKUP(C214,'Talente &amp; Stuff'!BI:CJ,15,FALSE)</f>
        <v>0</v>
      </c>
      <c r="R214" s="113">
        <f>VLOOKUP(C214,'Talente &amp; Stuff'!BI:CJ,16,FALSE)</f>
        <v>0</v>
      </c>
      <c r="S214" s="119">
        <f>VLOOKUP(C214,'Talente &amp; Stuff'!BI:CJ,17,FALSE)</f>
        <v>0</v>
      </c>
      <c r="T214" s="119">
        <f>VLOOKUP(C214,'Talente &amp; Stuff'!BI:CJ,18,FALSE)</f>
        <v>0</v>
      </c>
      <c r="U214" s="89">
        <f>VLOOKUP(C214,'Talente &amp; Stuff'!BI:CJ,19,FALSE)</f>
        <v>0</v>
      </c>
      <c r="V214" s="47">
        <f>VLOOKUP(C214,'Talente &amp; Stuff'!BI:CJ,20,FALSE)</f>
        <v>0</v>
      </c>
      <c r="W214" s="127">
        <f>VLOOKUP(C214,'Talente &amp; Stuff'!BI:CJ,21,FALSE)</f>
        <v>0</v>
      </c>
      <c r="X214" s="127">
        <f>VLOOKUP(C214,'Talente &amp; Stuff'!BI:CJ,22,FALSE)</f>
        <v>0</v>
      </c>
      <c r="Y214" s="165">
        <f t="shared" si="20"/>
        <v>0</v>
      </c>
      <c r="Z214" s="44">
        <f t="shared" si="21"/>
        <v>0</v>
      </c>
      <c r="AA214" s="125">
        <f>VLOOKUP(C214,'Talente &amp; Stuff'!BI:CJ,25,FALSE)</f>
        <v>0</v>
      </c>
      <c r="AB214" s="160">
        <f>VLOOKUP(C214,'Talente &amp; Stuff'!BI:CJ,26,FALSE)</f>
        <v>0</v>
      </c>
      <c r="AC214" s="127">
        <f>VLOOKUP(C214,'Talente &amp; Stuff'!BI:CJ,27,FALSE)</f>
        <v>0</v>
      </c>
      <c r="AD214" s="125">
        <f>VLOOKUP(C214,'Talente &amp; Stuff'!BI:CJ,28,FALSE)</f>
        <v>0</v>
      </c>
      <c r="AE214" s="28"/>
    </row>
    <row r="215" spans="2:31" ht="15" hidden="1" customHeight="1" outlineLevel="2">
      <c r="B215" s="148">
        <v>3</v>
      </c>
      <c r="C215" s="177" t="str">
        <f>Attribute!C215</f>
        <v>---</v>
      </c>
      <c r="D215" s="125" t="str">
        <f>VLOOKUP(C215,'Talente &amp; Stuff'!BI:CJ,2,FALSE)</f>
        <v>--/--/--</v>
      </c>
      <c r="E215" s="127" t="str">
        <f>VLOOKUP(C215,'Talente &amp; Stuff'!BI:CJ,3,FALSE)</f>
        <v>-</v>
      </c>
      <c r="F215" s="114">
        <f>VLOOKUP(C215,'Talente &amp; Stuff'!BI:CJ,4,FALSE)</f>
        <v>0</v>
      </c>
      <c r="G215" s="113">
        <f>VLOOKUP(C215,'Talente &amp; Stuff'!BI:CJ,5,FALSE)</f>
        <v>0</v>
      </c>
      <c r="H215" s="113">
        <f>VLOOKUP(C215,'Talente &amp; Stuff'!BI:CJ,6,FALSE)</f>
        <v>0</v>
      </c>
      <c r="I215" s="113">
        <f>VLOOKUP(C215,'Talente &amp; Stuff'!BI:CJ,7,FALSE)</f>
        <v>0</v>
      </c>
      <c r="J215" s="113">
        <f>VLOOKUP(C215,'Talente &amp; Stuff'!BI:CJ,8,FALSE)</f>
        <v>0</v>
      </c>
      <c r="K215" s="113">
        <f>VLOOKUP(C215,'Talente &amp; Stuff'!BI:CJ,9,FALSE)</f>
        <v>0</v>
      </c>
      <c r="L215" s="113">
        <f>VLOOKUP(C215,'Talente &amp; Stuff'!BI:CJ,10,FALSE)</f>
        <v>0</v>
      </c>
      <c r="M215" s="119">
        <f>VLOOKUP(C215,'Talente &amp; Stuff'!BI:CJ,11,FALSE)</f>
        <v>0</v>
      </c>
      <c r="N215" s="47">
        <f>VLOOKUP(C215,'Talente &amp; Stuff'!BI:CJ,12,FALSE)</f>
        <v>0</v>
      </c>
      <c r="O215" s="47">
        <f>VLOOKUP(C215,'Talente &amp; Stuff'!BI:CJ,13,FALSE)</f>
        <v>0</v>
      </c>
      <c r="P215" s="119">
        <f>VLOOKUP(C215,'Talente &amp; Stuff'!BI:CJ,14,FALSE)</f>
        <v>0</v>
      </c>
      <c r="Q215" s="114">
        <f>VLOOKUP(C215,'Talente &amp; Stuff'!BI:CJ,15,FALSE)</f>
        <v>0</v>
      </c>
      <c r="R215" s="113">
        <f>VLOOKUP(C215,'Talente &amp; Stuff'!BI:CJ,16,FALSE)</f>
        <v>0</v>
      </c>
      <c r="S215" s="119">
        <f>VLOOKUP(C215,'Talente &amp; Stuff'!BI:CJ,17,FALSE)</f>
        <v>0</v>
      </c>
      <c r="T215" s="119">
        <f>VLOOKUP(C215,'Talente &amp; Stuff'!BI:CJ,18,FALSE)</f>
        <v>0</v>
      </c>
      <c r="U215" s="89">
        <f>VLOOKUP(C215,'Talente &amp; Stuff'!BI:CJ,19,FALSE)</f>
        <v>0</v>
      </c>
      <c r="V215" s="47">
        <f>VLOOKUP(C215,'Talente &amp; Stuff'!BI:CJ,20,FALSE)</f>
        <v>0</v>
      </c>
      <c r="W215" s="127">
        <f>VLOOKUP(C215,'Talente &amp; Stuff'!BI:CJ,21,FALSE)</f>
        <v>0</v>
      </c>
      <c r="X215" s="127">
        <f>VLOOKUP(C215,'Talente &amp; Stuff'!BI:CJ,22,FALSE)</f>
        <v>0</v>
      </c>
      <c r="Y215" s="165">
        <f t="shared" si="20"/>
        <v>0</v>
      </c>
      <c r="Z215" s="44">
        <f t="shared" si="21"/>
        <v>0</v>
      </c>
      <c r="AA215" s="125">
        <f>VLOOKUP(C215,'Talente &amp; Stuff'!BI:CJ,25,FALSE)</f>
        <v>0</v>
      </c>
      <c r="AB215" s="160">
        <f>VLOOKUP(C215,'Talente &amp; Stuff'!BI:CJ,26,FALSE)</f>
        <v>0</v>
      </c>
      <c r="AC215" s="127">
        <f>VLOOKUP(C215,'Talente &amp; Stuff'!BI:CJ,27,FALSE)</f>
        <v>0</v>
      </c>
      <c r="AD215" s="125">
        <f>VLOOKUP(C215,'Talente &amp; Stuff'!BI:CJ,28,FALSE)</f>
        <v>0</v>
      </c>
      <c r="AE215" s="28"/>
    </row>
    <row r="216" spans="2:31" ht="15" hidden="1" customHeight="1" outlineLevel="2">
      <c r="B216" s="148">
        <v>4</v>
      </c>
      <c r="C216" s="177" t="str">
        <f>Attribute!C216</f>
        <v>---</v>
      </c>
      <c r="D216" s="86" t="str">
        <f>VLOOKUP(C216,'Talente &amp; Stuff'!BI:CJ,2,FALSE)</f>
        <v>--/--/--</v>
      </c>
      <c r="E216" s="167" t="str">
        <f>VLOOKUP(C216,'Talente &amp; Stuff'!BI:CJ,3,FALSE)</f>
        <v>-</v>
      </c>
      <c r="F216" s="120">
        <f>VLOOKUP(C216,'Talente &amp; Stuff'!BI:CJ,4,FALSE)</f>
        <v>0</v>
      </c>
      <c r="G216" s="117">
        <f>VLOOKUP(C216,'Talente &amp; Stuff'!BI:CJ,5,FALSE)</f>
        <v>0</v>
      </c>
      <c r="H216" s="117">
        <f>VLOOKUP(C216,'Talente &amp; Stuff'!BI:CJ,6,FALSE)</f>
        <v>0</v>
      </c>
      <c r="I216" s="117">
        <f>VLOOKUP(C216,'Talente &amp; Stuff'!BI:CJ,7,FALSE)</f>
        <v>0</v>
      </c>
      <c r="J216" s="117">
        <f>VLOOKUP(C216,'Talente &amp; Stuff'!BI:CJ,8,FALSE)</f>
        <v>0</v>
      </c>
      <c r="K216" s="117">
        <f>VLOOKUP(C216,'Talente &amp; Stuff'!BI:CJ,9,FALSE)</f>
        <v>0</v>
      </c>
      <c r="L216" s="117">
        <f>VLOOKUP(C216,'Talente &amp; Stuff'!BI:CJ,10,FALSE)</f>
        <v>0</v>
      </c>
      <c r="M216" s="121">
        <f>VLOOKUP(C216,'Talente &amp; Stuff'!BI:CJ,11,FALSE)</f>
        <v>0</v>
      </c>
      <c r="N216" s="47">
        <f>VLOOKUP(C216,'Talente &amp; Stuff'!BI:CJ,12,FALSE)</f>
        <v>0</v>
      </c>
      <c r="O216" s="3">
        <f>VLOOKUP(C216,'Talente &amp; Stuff'!BI:CJ,13,FALSE)</f>
        <v>0</v>
      </c>
      <c r="P216" s="174">
        <f>VLOOKUP(C216,'Talente &amp; Stuff'!BI:CJ,14,FALSE)</f>
        <v>0</v>
      </c>
      <c r="Q216" s="114">
        <f>VLOOKUP(C216,'Talente &amp; Stuff'!BI:CJ,15,FALSE)</f>
        <v>0</v>
      </c>
      <c r="R216" s="117">
        <f>VLOOKUP(C216,'Talente &amp; Stuff'!BI:CJ,16,FALSE)</f>
        <v>0</v>
      </c>
      <c r="S216" s="119">
        <f>VLOOKUP(C216,'Talente &amp; Stuff'!BI:CJ,17,FALSE)</f>
        <v>0</v>
      </c>
      <c r="T216" s="119">
        <f>VLOOKUP(C216,'Talente &amp; Stuff'!BI:CJ,18,FALSE)</f>
        <v>0</v>
      </c>
      <c r="U216" s="89">
        <f>VLOOKUP(C216,'Talente &amp; Stuff'!BI:CJ,19,FALSE)</f>
        <v>0</v>
      </c>
      <c r="V216" s="47">
        <f>VLOOKUP(C216,'Talente &amp; Stuff'!BI:CJ,20,FALSE)</f>
        <v>0</v>
      </c>
      <c r="W216" s="127">
        <f>VLOOKUP(C216,'Talente &amp; Stuff'!BI:CJ,21,FALSE)</f>
        <v>0</v>
      </c>
      <c r="X216" s="127">
        <f>VLOOKUP(C216,'Talente &amp; Stuff'!BI:CJ,22,FALSE)</f>
        <v>0</v>
      </c>
      <c r="Y216" s="165">
        <f t="shared" si="20"/>
        <v>0</v>
      </c>
      <c r="Z216" s="44">
        <f t="shared" si="21"/>
        <v>0</v>
      </c>
      <c r="AA216" s="125">
        <f>VLOOKUP(C216,'Talente &amp; Stuff'!BI:CJ,25,FALSE)</f>
        <v>0</v>
      </c>
      <c r="AB216" s="160">
        <f>VLOOKUP(C216,'Talente &amp; Stuff'!BI:CJ,26,FALSE)</f>
        <v>0</v>
      </c>
      <c r="AC216" s="127">
        <f>VLOOKUP(C216,'Talente &amp; Stuff'!BI:CJ,27,FALSE)</f>
        <v>0</v>
      </c>
      <c r="AD216" s="125">
        <f>VLOOKUP(C216,'Talente &amp; Stuff'!BI:CJ,28,FALSE)</f>
        <v>0</v>
      </c>
      <c r="AE216" s="28"/>
    </row>
    <row r="217" spans="2:31" ht="15" hidden="1" customHeight="1" outlineLevel="2">
      <c r="B217" s="148">
        <v>5</v>
      </c>
      <c r="C217" s="177" t="str">
        <f>Attribute!C217</f>
        <v>---</v>
      </c>
      <c r="D217" s="86" t="str">
        <f>VLOOKUP(C217,'Talente &amp; Stuff'!BI:CJ,2,FALSE)</f>
        <v>--/--/--</v>
      </c>
      <c r="E217" s="167" t="str">
        <f>VLOOKUP(C217,'Talente &amp; Stuff'!BI:CJ,3,FALSE)</f>
        <v>-</v>
      </c>
      <c r="F217" s="120">
        <f>VLOOKUP(C217,'Talente &amp; Stuff'!BI:CJ,4,FALSE)</f>
        <v>0</v>
      </c>
      <c r="G217" s="117">
        <f>VLOOKUP(C217,'Talente &amp; Stuff'!BI:CJ,5,FALSE)</f>
        <v>0</v>
      </c>
      <c r="H217" s="117">
        <f>VLOOKUP(C217,'Talente &amp; Stuff'!BI:CJ,6,FALSE)</f>
        <v>0</v>
      </c>
      <c r="I217" s="117">
        <f>VLOOKUP(C217,'Talente &amp; Stuff'!BI:CJ,7,FALSE)</f>
        <v>0</v>
      </c>
      <c r="J217" s="117">
        <f>VLOOKUP(C217,'Talente &amp; Stuff'!BI:CJ,8,FALSE)</f>
        <v>0</v>
      </c>
      <c r="K217" s="117">
        <f>VLOOKUP(C217,'Talente &amp; Stuff'!BI:CJ,9,FALSE)</f>
        <v>0</v>
      </c>
      <c r="L217" s="117">
        <f>VLOOKUP(C217,'Talente &amp; Stuff'!BI:CJ,10,FALSE)</f>
        <v>0</v>
      </c>
      <c r="M217" s="121">
        <f>VLOOKUP(C217,'Talente &amp; Stuff'!BI:CJ,11,FALSE)</f>
        <v>0</v>
      </c>
      <c r="N217" s="47">
        <f>VLOOKUP(C217,'Talente &amp; Stuff'!BI:CJ,12,FALSE)</f>
        <v>0</v>
      </c>
      <c r="O217" s="3">
        <f>VLOOKUP(C217,'Talente &amp; Stuff'!BI:CJ,13,FALSE)</f>
        <v>0</v>
      </c>
      <c r="P217" s="174">
        <f>VLOOKUP(C217,'Talente &amp; Stuff'!BI:CJ,14,FALSE)</f>
        <v>0</v>
      </c>
      <c r="Q217" s="114">
        <f>VLOOKUP(C217,'Talente &amp; Stuff'!BI:CJ,15,FALSE)</f>
        <v>0</v>
      </c>
      <c r="R217" s="117">
        <f>VLOOKUP(C217,'Talente &amp; Stuff'!BI:CJ,16,FALSE)</f>
        <v>0</v>
      </c>
      <c r="S217" s="119">
        <f>VLOOKUP(C217,'Talente &amp; Stuff'!BI:CJ,17,FALSE)</f>
        <v>0</v>
      </c>
      <c r="T217" s="119">
        <f>VLOOKUP(C217,'Talente &amp; Stuff'!BI:CJ,18,FALSE)</f>
        <v>0</v>
      </c>
      <c r="U217" s="89">
        <f>VLOOKUP(C217,'Talente &amp; Stuff'!BI:CJ,19,FALSE)</f>
        <v>0</v>
      </c>
      <c r="V217" s="47">
        <f>VLOOKUP(C217,'Talente &amp; Stuff'!BI:CJ,20,FALSE)</f>
        <v>0</v>
      </c>
      <c r="W217" s="127">
        <f>VLOOKUP(C217,'Talente &amp; Stuff'!BI:CJ,21,FALSE)</f>
        <v>0</v>
      </c>
      <c r="X217" s="127">
        <f>VLOOKUP(C217,'Talente &amp; Stuff'!BI:CJ,22,FALSE)</f>
        <v>0</v>
      </c>
      <c r="Y217" s="165">
        <f t="shared" si="20"/>
        <v>0</v>
      </c>
      <c r="Z217" s="44">
        <f t="shared" si="21"/>
        <v>0</v>
      </c>
      <c r="AA217" s="125">
        <f>VLOOKUP(C217,'Talente &amp; Stuff'!BI:CJ,25,FALSE)</f>
        <v>0</v>
      </c>
      <c r="AB217" s="160">
        <f>VLOOKUP(C217,'Talente &amp; Stuff'!BI:CJ,26,FALSE)</f>
        <v>0</v>
      </c>
      <c r="AC217" s="127">
        <f>VLOOKUP(C217,'Talente &amp; Stuff'!BI:CJ,27,FALSE)</f>
        <v>0</v>
      </c>
      <c r="AD217" s="125">
        <f>VLOOKUP(C217,'Talente &amp; Stuff'!BI:CJ,28,FALSE)</f>
        <v>0</v>
      </c>
      <c r="AE217" s="28"/>
    </row>
    <row r="218" spans="2:31" ht="15" hidden="1" customHeight="1" outlineLevel="2">
      <c r="B218" s="148">
        <v>6</v>
      </c>
      <c r="C218" s="177" t="str">
        <f>Attribute!C218</f>
        <v>---</v>
      </c>
      <c r="D218" s="125" t="str">
        <f>VLOOKUP(C218,'Talente &amp; Stuff'!BI:CJ,2,FALSE)</f>
        <v>--/--/--</v>
      </c>
      <c r="E218" s="127" t="str">
        <f>VLOOKUP(C218,'Talente &amp; Stuff'!BI:CJ,3,FALSE)</f>
        <v>-</v>
      </c>
      <c r="F218" s="114">
        <f>VLOOKUP(C218,'Talente &amp; Stuff'!BI:CJ,4,FALSE)</f>
        <v>0</v>
      </c>
      <c r="G218" s="113">
        <f>VLOOKUP(C218,'Talente &amp; Stuff'!BI:CJ,5,FALSE)</f>
        <v>0</v>
      </c>
      <c r="H218" s="113">
        <f>VLOOKUP(C218,'Talente &amp; Stuff'!BI:CJ,6,FALSE)</f>
        <v>0</v>
      </c>
      <c r="I218" s="113">
        <f>VLOOKUP(C218,'Talente &amp; Stuff'!BI:CJ,7,FALSE)</f>
        <v>0</v>
      </c>
      <c r="J218" s="113">
        <f>VLOOKUP(C218,'Talente &amp; Stuff'!BI:CJ,8,FALSE)</f>
        <v>0</v>
      </c>
      <c r="K218" s="113">
        <f>VLOOKUP(C218,'Talente &amp; Stuff'!BI:CJ,9,FALSE)</f>
        <v>0</v>
      </c>
      <c r="L218" s="113">
        <f>VLOOKUP(C218,'Talente &amp; Stuff'!BI:CJ,10,FALSE)</f>
        <v>0</v>
      </c>
      <c r="M218" s="119">
        <f>VLOOKUP(C218,'Talente &amp; Stuff'!BI:CJ,11,FALSE)</f>
        <v>0</v>
      </c>
      <c r="N218" s="47">
        <f>VLOOKUP(C218,'Talente &amp; Stuff'!BI:CJ,12,FALSE)</f>
        <v>0</v>
      </c>
      <c r="O218" s="47">
        <f>VLOOKUP(C218,'Talente &amp; Stuff'!BI:CJ,13,FALSE)</f>
        <v>0</v>
      </c>
      <c r="P218" s="119">
        <f>VLOOKUP(C218,'Talente &amp; Stuff'!BI:CJ,14,FALSE)</f>
        <v>0</v>
      </c>
      <c r="Q218" s="114">
        <f>VLOOKUP(C218,'Talente &amp; Stuff'!BI:CJ,15,FALSE)</f>
        <v>0</v>
      </c>
      <c r="R218" s="113">
        <f>VLOOKUP(C218,'Talente &amp; Stuff'!BI:CJ,16,FALSE)</f>
        <v>0</v>
      </c>
      <c r="S218" s="119">
        <f>VLOOKUP(C218,'Talente &amp; Stuff'!BI:CJ,17,FALSE)</f>
        <v>0</v>
      </c>
      <c r="T218" s="119">
        <f>VLOOKUP(C218,'Talente &amp; Stuff'!BI:CJ,18,FALSE)</f>
        <v>0</v>
      </c>
      <c r="U218" s="89">
        <f>VLOOKUP(C218,'Talente &amp; Stuff'!BI:CJ,19,FALSE)</f>
        <v>0</v>
      </c>
      <c r="V218" s="47">
        <f>VLOOKUP(C218,'Talente &amp; Stuff'!BI:CJ,20,FALSE)</f>
        <v>0</v>
      </c>
      <c r="W218" s="127">
        <f>VLOOKUP(C218,'Talente &amp; Stuff'!BI:CJ,21,FALSE)</f>
        <v>0</v>
      </c>
      <c r="X218" s="127">
        <f>VLOOKUP(C218,'Talente &amp; Stuff'!BI:CJ,22,FALSE)</f>
        <v>0</v>
      </c>
      <c r="Y218" s="165">
        <f t="shared" si="20"/>
        <v>0</v>
      </c>
      <c r="Z218" s="44">
        <f t="shared" si="21"/>
        <v>0</v>
      </c>
      <c r="AA218" s="125">
        <f>VLOOKUP(C218,'Talente &amp; Stuff'!BI:CJ,25,FALSE)</f>
        <v>0</v>
      </c>
      <c r="AB218" s="160">
        <f>VLOOKUP(C218,'Talente &amp; Stuff'!BI:CJ,26,FALSE)</f>
        <v>0</v>
      </c>
      <c r="AC218" s="127">
        <f>VLOOKUP(C218,'Talente &amp; Stuff'!BI:CJ,27,FALSE)</f>
        <v>0</v>
      </c>
      <c r="AD218" s="125">
        <f>VLOOKUP(C218,'Talente &amp; Stuff'!BI:CJ,28,FALSE)</f>
        <v>0</v>
      </c>
      <c r="AE218" s="28"/>
    </row>
    <row r="219" spans="2:31" ht="15" hidden="1" customHeight="1" outlineLevel="2">
      <c r="B219" s="148">
        <v>7</v>
      </c>
      <c r="C219" s="177" t="str">
        <f>Attribute!C219</f>
        <v>---</v>
      </c>
      <c r="D219" s="125" t="str">
        <f>VLOOKUP(C219,'Talente &amp; Stuff'!BI:CJ,2,FALSE)</f>
        <v>--/--/--</v>
      </c>
      <c r="E219" s="127" t="str">
        <f>VLOOKUP(C219,'Talente &amp; Stuff'!BI:CJ,3,FALSE)</f>
        <v>-</v>
      </c>
      <c r="F219" s="114">
        <f>VLOOKUP(C219,'Talente &amp; Stuff'!BI:CJ,4,FALSE)</f>
        <v>0</v>
      </c>
      <c r="G219" s="113">
        <f>VLOOKUP(C219,'Talente &amp; Stuff'!BI:CJ,5,FALSE)</f>
        <v>0</v>
      </c>
      <c r="H219" s="113">
        <f>VLOOKUP(C219,'Talente &amp; Stuff'!BI:CJ,6,FALSE)</f>
        <v>0</v>
      </c>
      <c r="I219" s="113">
        <f>VLOOKUP(C219,'Talente &amp; Stuff'!BI:CJ,7,FALSE)</f>
        <v>0</v>
      </c>
      <c r="J219" s="113">
        <f>VLOOKUP(C219,'Talente &amp; Stuff'!BI:CJ,8,FALSE)</f>
        <v>0</v>
      </c>
      <c r="K219" s="113">
        <f>VLOOKUP(C219,'Talente &amp; Stuff'!BI:CJ,9,FALSE)</f>
        <v>0</v>
      </c>
      <c r="L219" s="113">
        <f>VLOOKUP(C219,'Talente &amp; Stuff'!BI:CJ,10,FALSE)</f>
        <v>0</v>
      </c>
      <c r="M219" s="119">
        <f>VLOOKUP(C219,'Talente &amp; Stuff'!BI:CJ,11,FALSE)</f>
        <v>0</v>
      </c>
      <c r="N219" s="47">
        <f>VLOOKUP(C219,'Talente &amp; Stuff'!BI:CJ,12,FALSE)</f>
        <v>0</v>
      </c>
      <c r="O219" s="47">
        <f>VLOOKUP(C219,'Talente &amp; Stuff'!BI:CJ,13,FALSE)</f>
        <v>0</v>
      </c>
      <c r="P219" s="119">
        <f>VLOOKUP(C219,'Talente &amp; Stuff'!BI:CJ,14,FALSE)</f>
        <v>0</v>
      </c>
      <c r="Q219" s="114">
        <f>VLOOKUP(C219,'Talente &amp; Stuff'!BI:CJ,15,FALSE)</f>
        <v>0</v>
      </c>
      <c r="R219" s="113">
        <f>VLOOKUP(C219,'Talente &amp; Stuff'!BI:CJ,16,FALSE)</f>
        <v>0</v>
      </c>
      <c r="S219" s="119">
        <f>VLOOKUP(C219,'Talente &amp; Stuff'!BI:CJ,17,FALSE)</f>
        <v>0</v>
      </c>
      <c r="T219" s="119">
        <f>VLOOKUP(C219,'Talente &amp; Stuff'!BI:CJ,18,FALSE)</f>
        <v>0</v>
      </c>
      <c r="U219" s="89">
        <f>VLOOKUP(C219,'Talente &amp; Stuff'!BI:CJ,19,FALSE)</f>
        <v>0</v>
      </c>
      <c r="V219" s="47">
        <f>VLOOKUP(C219,'Talente &amp; Stuff'!BI:CJ,20,FALSE)</f>
        <v>0</v>
      </c>
      <c r="W219" s="127">
        <f>VLOOKUP(C219,'Talente &amp; Stuff'!BI:CJ,21,FALSE)</f>
        <v>0</v>
      </c>
      <c r="X219" s="127">
        <f>VLOOKUP(C219,'Talente &amp; Stuff'!BI:CJ,22,FALSE)</f>
        <v>0</v>
      </c>
      <c r="Y219" s="165">
        <f t="shared" si="20"/>
        <v>0</v>
      </c>
      <c r="Z219" s="44">
        <f t="shared" si="21"/>
        <v>0</v>
      </c>
      <c r="AA219" s="125">
        <f>VLOOKUP(C219,'Talente &amp; Stuff'!BI:CJ,25,FALSE)</f>
        <v>0</v>
      </c>
      <c r="AB219" s="160">
        <f>VLOOKUP(C219,'Talente &amp; Stuff'!BI:CJ,26,FALSE)</f>
        <v>0</v>
      </c>
      <c r="AC219" s="127">
        <f>VLOOKUP(C219,'Talente &amp; Stuff'!BI:CJ,27,FALSE)</f>
        <v>0</v>
      </c>
      <c r="AD219" s="125">
        <f>VLOOKUP(C219,'Talente &amp; Stuff'!BI:CJ,28,FALSE)</f>
        <v>0</v>
      </c>
      <c r="AE219" s="28"/>
    </row>
    <row r="220" spans="2:31" ht="15" hidden="1" customHeight="1" outlineLevel="2">
      <c r="B220" s="148">
        <v>8</v>
      </c>
      <c r="C220" s="177" t="str">
        <f>Attribute!C220</f>
        <v>---</v>
      </c>
      <c r="D220" s="125" t="str">
        <f>VLOOKUP(C220,'Talente &amp; Stuff'!BI:CJ,2,FALSE)</f>
        <v>--/--/--</v>
      </c>
      <c r="E220" s="127" t="str">
        <f>VLOOKUP(C220,'Talente &amp; Stuff'!BI:CJ,3,FALSE)</f>
        <v>-</v>
      </c>
      <c r="F220" s="114">
        <f>VLOOKUP(C220,'Talente &amp; Stuff'!BI:CJ,4,FALSE)</f>
        <v>0</v>
      </c>
      <c r="G220" s="113">
        <f>VLOOKUP(C220,'Talente &amp; Stuff'!BI:CJ,5,FALSE)</f>
        <v>0</v>
      </c>
      <c r="H220" s="113">
        <f>VLOOKUP(C220,'Talente &amp; Stuff'!BI:CJ,6,FALSE)</f>
        <v>0</v>
      </c>
      <c r="I220" s="113">
        <f>VLOOKUP(C220,'Talente &amp; Stuff'!BI:CJ,7,FALSE)</f>
        <v>0</v>
      </c>
      <c r="J220" s="113">
        <f>VLOOKUP(C220,'Talente &amp; Stuff'!BI:CJ,8,FALSE)</f>
        <v>0</v>
      </c>
      <c r="K220" s="113">
        <f>VLOOKUP(C220,'Talente &amp; Stuff'!BI:CJ,9,FALSE)</f>
        <v>0</v>
      </c>
      <c r="L220" s="113">
        <f>VLOOKUP(C220,'Talente &amp; Stuff'!BI:CJ,10,FALSE)</f>
        <v>0</v>
      </c>
      <c r="M220" s="119">
        <f>VLOOKUP(C220,'Talente &amp; Stuff'!BI:CJ,11,FALSE)</f>
        <v>0</v>
      </c>
      <c r="N220" s="47">
        <f>VLOOKUP(C220,'Talente &amp; Stuff'!BI:CJ,12,FALSE)</f>
        <v>0</v>
      </c>
      <c r="O220" s="47">
        <f>VLOOKUP(C220,'Talente &amp; Stuff'!BI:CJ,13,FALSE)</f>
        <v>0</v>
      </c>
      <c r="P220" s="119">
        <f>VLOOKUP(C220,'Talente &amp; Stuff'!BI:CJ,14,FALSE)</f>
        <v>0</v>
      </c>
      <c r="Q220" s="114">
        <f>VLOOKUP(C220,'Talente &amp; Stuff'!BI:CJ,15,FALSE)</f>
        <v>0</v>
      </c>
      <c r="R220" s="113">
        <f>VLOOKUP(C220,'Talente &amp; Stuff'!BI:CJ,16,FALSE)</f>
        <v>0</v>
      </c>
      <c r="S220" s="119">
        <f>VLOOKUP(C220,'Talente &amp; Stuff'!BI:CJ,17,FALSE)</f>
        <v>0</v>
      </c>
      <c r="T220" s="119">
        <f>VLOOKUP(C220,'Talente &amp; Stuff'!BI:CJ,18,FALSE)</f>
        <v>0</v>
      </c>
      <c r="U220" s="89">
        <f>VLOOKUP(C220,'Talente &amp; Stuff'!BI:CJ,19,FALSE)</f>
        <v>0</v>
      </c>
      <c r="V220" s="47">
        <f>VLOOKUP(C220,'Talente &amp; Stuff'!BI:CJ,20,FALSE)</f>
        <v>0</v>
      </c>
      <c r="W220" s="127">
        <f>VLOOKUP(C220,'Talente &amp; Stuff'!BI:CJ,21,FALSE)</f>
        <v>0</v>
      </c>
      <c r="X220" s="127">
        <f>VLOOKUP(C220,'Talente &amp; Stuff'!BI:CJ,22,FALSE)</f>
        <v>0</v>
      </c>
      <c r="Y220" s="165">
        <f t="shared" si="20"/>
        <v>0</v>
      </c>
      <c r="Z220" s="44">
        <f t="shared" si="21"/>
        <v>0</v>
      </c>
      <c r="AA220" s="125">
        <f>VLOOKUP(C220,'Talente &amp; Stuff'!BI:CJ,25,FALSE)</f>
        <v>0</v>
      </c>
      <c r="AB220" s="160">
        <f>VLOOKUP(C220,'Talente &amp; Stuff'!BI:CJ,26,FALSE)</f>
        <v>0</v>
      </c>
      <c r="AC220" s="127">
        <f>VLOOKUP(C220,'Talente &amp; Stuff'!BI:CJ,27,FALSE)</f>
        <v>0</v>
      </c>
      <c r="AD220" s="125">
        <f>VLOOKUP(C220,'Talente &amp; Stuff'!BI:CJ,28,FALSE)</f>
        <v>0</v>
      </c>
      <c r="AE220" s="28"/>
    </row>
    <row r="221" spans="2:31" ht="15" hidden="1" customHeight="1" outlineLevel="2">
      <c r="B221" s="148">
        <v>9</v>
      </c>
      <c r="C221" s="177" t="str">
        <f>Attribute!C221</f>
        <v>---</v>
      </c>
      <c r="D221" s="125" t="str">
        <f>VLOOKUP(C221,'Talente &amp; Stuff'!BI:CJ,2,FALSE)</f>
        <v>--/--/--</v>
      </c>
      <c r="E221" s="127" t="str">
        <f>VLOOKUP(C221,'Talente &amp; Stuff'!BI:CJ,3,FALSE)</f>
        <v>-</v>
      </c>
      <c r="F221" s="114">
        <f>VLOOKUP(C221,'Talente &amp; Stuff'!BI:CJ,4,FALSE)</f>
        <v>0</v>
      </c>
      <c r="G221" s="113">
        <f>VLOOKUP(C221,'Talente &amp; Stuff'!BI:CJ,5,FALSE)</f>
        <v>0</v>
      </c>
      <c r="H221" s="113">
        <f>VLOOKUP(C221,'Talente &amp; Stuff'!BI:CJ,6,FALSE)</f>
        <v>0</v>
      </c>
      <c r="I221" s="113">
        <f>VLOOKUP(C221,'Talente &amp; Stuff'!BI:CJ,7,FALSE)</f>
        <v>0</v>
      </c>
      <c r="J221" s="113">
        <f>VLOOKUP(C221,'Talente &amp; Stuff'!BI:CJ,8,FALSE)</f>
        <v>0</v>
      </c>
      <c r="K221" s="113">
        <f>VLOOKUP(C221,'Talente &amp; Stuff'!BI:CJ,9,FALSE)</f>
        <v>0</v>
      </c>
      <c r="L221" s="113">
        <f>VLOOKUP(C221,'Talente &amp; Stuff'!BI:CJ,10,FALSE)</f>
        <v>0</v>
      </c>
      <c r="M221" s="119">
        <f>VLOOKUP(C221,'Talente &amp; Stuff'!BI:CJ,11,FALSE)</f>
        <v>0</v>
      </c>
      <c r="N221" s="47">
        <f>VLOOKUP(C221,'Talente &amp; Stuff'!BI:CJ,12,FALSE)</f>
        <v>0</v>
      </c>
      <c r="O221" s="47">
        <f>VLOOKUP(C221,'Talente &amp; Stuff'!BI:CJ,13,FALSE)</f>
        <v>0</v>
      </c>
      <c r="P221" s="119">
        <f>VLOOKUP(C221,'Talente &amp; Stuff'!BI:CJ,14,FALSE)</f>
        <v>0</v>
      </c>
      <c r="Q221" s="114">
        <f>VLOOKUP(C221,'Talente &amp; Stuff'!BI:CJ,15,FALSE)</f>
        <v>0</v>
      </c>
      <c r="R221" s="113">
        <f>VLOOKUP(C221,'Talente &amp; Stuff'!BI:CJ,16,FALSE)</f>
        <v>0</v>
      </c>
      <c r="S221" s="119">
        <f>VLOOKUP(C221,'Talente &amp; Stuff'!BI:CJ,17,FALSE)</f>
        <v>0</v>
      </c>
      <c r="T221" s="119">
        <f>VLOOKUP(C221,'Talente &amp; Stuff'!BI:CJ,18,FALSE)</f>
        <v>0</v>
      </c>
      <c r="U221" s="89">
        <f>VLOOKUP(C221,'Talente &amp; Stuff'!BI:CJ,19,FALSE)</f>
        <v>0</v>
      </c>
      <c r="V221" s="47">
        <f>VLOOKUP(C221,'Talente &amp; Stuff'!BI:CJ,20,FALSE)</f>
        <v>0</v>
      </c>
      <c r="W221" s="127">
        <f>VLOOKUP(C221,'Talente &amp; Stuff'!BI:CJ,21,FALSE)</f>
        <v>0</v>
      </c>
      <c r="X221" s="127">
        <f>VLOOKUP(C221,'Talente &amp; Stuff'!BI:CJ,22,FALSE)</f>
        <v>0</v>
      </c>
      <c r="Y221" s="165">
        <f t="shared" si="20"/>
        <v>0</v>
      </c>
      <c r="Z221" s="44">
        <f t="shared" si="21"/>
        <v>0</v>
      </c>
      <c r="AA221" s="125">
        <f>VLOOKUP(C221,'Talente &amp; Stuff'!BI:CJ,25,FALSE)</f>
        <v>0</v>
      </c>
      <c r="AB221" s="160">
        <f>VLOOKUP(C221,'Talente &amp; Stuff'!BI:CJ,26,FALSE)</f>
        <v>0</v>
      </c>
      <c r="AC221" s="127">
        <f>VLOOKUP(C221,'Talente &amp; Stuff'!BI:CJ,27,FALSE)</f>
        <v>0</v>
      </c>
      <c r="AD221" s="125">
        <f>VLOOKUP(C221,'Talente &amp; Stuff'!BI:CJ,28,FALSE)</f>
        <v>0</v>
      </c>
      <c r="AE221" s="28"/>
    </row>
    <row r="222" spans="2:31" ht="15" hidden="1" customHeight="1" outlineLevel="2">
      <c r="B222" s="148">
        <v>10</v>
      </c>
      <c r="C222" s="177" t="str">
        <f>Attribute!C222</f>
        <v>---</v>
      </c>
      <c r="D222" s="86" t="str">
        <f>VLOOKUP(C222,'Talente &amp; Stuff'!BI:CJ,2,FALSE)</f>
        <v>--/--/--</v>
      </c>
      <c r="E222" s="167" t="str">
        <f>VLOOKUP(C222,'Talente &amp; Stuff'!BI:CJ,3,FALSE)</f>
        <v>-</v>
      </c>
      <c r="F222" s="120">
        <f>VLOOKUP(C222,'Talente &amp; Stuff'!BI:CJ,4,FALSE)</f>
        <v>0</v>
      </c>
      <c r="G222" s="117">
        <f>VLOOKUP(C222,'Talente &amp; Stuff'!BI:CJ,5,FALSE)</f>
        <v>0</v>
      </c>
      <c r="H222" s="117">
        <f>VLOOKUP(C222,'Talente &amp; Stuff'!BI:CJ,6,FALSE)</f>
        <v>0</v>
      </c>
      <c r="I222" s="117">
        <f>VLOOKUP(C222,'Talente &amp; Stuff'!BI:CJ,7,FALSE)</f>
        <v>0</v>
      </c>
      <c r="J222" s="117">
        <f>VLOOKUP(C222,'Talente &amp; Stuff'!BI:CJ,8,FALSE)</f>
        <v>0</v>
      </c>
      <c r="K222" s="117">
        <f>VLOOKUP(C222,'Talente &amp; Stuff'!BI:CJ,9,FALSE)</f>
        <v>0</v>
      </c>
      <c r="L222" s="117">
        <f>VLOOKUP(C222,'Talente &amp; Stuff'!BI:CJ,10,FALSE)</f>
        <v>0</v>
      </c>
      <c r="M222" s="121">
        <f>VLOOKUP(C222,'Talente &amp; Stuff'!BI:CJ,11,FALSE)</f>
        <v>0</v>
      </c>
      <c r="N222" s="47">
        <f>VLOOKUP(C222,'Talente &amp; Stuff'!BI:CJ,12,FALSE)</f>
        <v>0</v>
      </c>
      <c r="O222" s="3">
        <f>VLOOKUP(C222,'Talente &amp; Stuff'!BI:CJ,13,FALSE)</f>
        <v>0</v>
      </c>
      <c r="P222" s="174">
        <f>VLOOKUP(C222,'Talente &amp; Stuff'!BI:CJ,14,FALSE)</f>
        <v>0</v>
      </c>
      <c r="Q222" s="114">
        <f>VLOOKUP(C222,'Talente &amp; Stuff'!BI:CJ,15,FALSE)</f>
        <v>0</v>
      </c>
      <c r="R222" s="117">
        <f>VLOOKUP(C222,'Talente &amp; Stuff'!BI:CJ,16,FALSE)</f>
        <v>0</v>
      </c>
      <c r="S222" s="119">
        <f>VLOOKUP(C222,'Talente &amp; Stuff'!BI:CJ,17,FALSE)</f>
        <v>0</v>
      </c>
      <c r="T222" s="119">
        <f>VLOOKUP(C222,'Talente &amp; Stuff'!BI:CJ,18,FALSE)</f>
        <v>0</v>
      </c>
      <c r="U222" s="89">
        <f>VLOOKUP(C222,'Talente &amp; Stuff'!BI:CJ,19,FALSE)</f>
        <v>0</v>
      </c>
      <c r="V222" s="47">
        <f>VLOOKUP(C222,'Talente &amp; Stuff'!BI:CJ,20,FALSE)</f>
        <v>0</v>
      </c>
      <c r="W222" s="127">
        <f>VLOOKUP(C222,'Talente &amp; Stuff'!BI:CJ,21,FALSE)</f>
        <v>0</v>
      </c>
      <c r="X222" s="127">
        <f>VLOOKUP(C222,'Talente &amp; Stuff'!BI:CJ,22,FALSE)</f>
        <v>0</v>
      </c>
      <c r="Y222" s="165">
        <f t="shared" si="20"/>
        <v>0</v>
      </c>
      <c r="Z222" s="44">
        <f t="shared" si="21"/>
        <v>0</v>
      </c>
      <c r="AA222" s="125">
        <f>VLOOKUP(C222,'Talente &amp; Stuff'!BI:CJ,25,FALSE)</f>
        <v>0</v>
      </c>
      <c r="AB222" s="160">
        <f>VLOOKUP(C222,'Talente &amp; Stuff'!BI:CJ,26,FALSE)</f>
        <v>0</v>
      </c>
      <c r="AC222" s="127">
        <f>VLOOKUP(C222,'Talente &amp; Stuff'!BI:CJ,27,FALSE)</f>
        <v>0</v>
      </c>
      <c r="AD222" s="125">
        <f>VLOOKUP(C222,'Talente &amp; Stuff'!BI:CJ,28,FALSE)</f>
        <v>0</v>
      </c>
      <c r="AE222" s="28"/>
    </row>
    <row r="223" spans="2:31" ht="15" hidden="1" customHeight="1" outlineLevel="2">
      <c r="B223" s="148">
        <v>11</v>
      </c>
      <c r="C223" s="177" t="str">
        <f>Attribute!C223</f>
        <v>---</v>
      </c>
      <c r="D223" s="86" t="str">
        <f>VLOOKUP(C223,'Talente &amp; Stuff'!BI:CJ,2,FALSE)</f>
        <v>--/--/--</v>
      </c>
      <c r="E223" s="167" t="str">
        <f>VLOOKUP(C223,'Talente &amp; Stuff'!BI:CJ,3,FALSE)</f>
        <v>-</v>
      </c>
      <c r="F223" s="120">
        <f>VLOOKUP(C223,'Talente &amp; Stuff'!BI:CJ,4,FALSE)</f>
        <v>0</v>
      </c>
      <c r="G223" s="117">
        <f>VLOOKUP(C223,'Talente &amp; Stuff'!BI:CJ,5,FALSE)</f>
        <v>0</v>
      </c>
      <c r="H223" s="117">
        <f>VLOOKUP(C223,'Talente &amp; Stuff'!BI:CJ,6,FALSE)</f>
        <v>0</v>
      </c>
      <c r="I223" s="117">
        <f>VLOOKUP(C223,'Talente &amp; Stuff'!BI:CJ,7,FALSE)</f>
        <v>0</v>
      </c>
      <c r="J223" s="117">
        <f>VLOOKUP(C223,'Talente &amp; Stuff'!BI:CJ,8,FALSE)</f>
        <v>0</v>
      </c>
      <c r="K223" s="117">
        <f>VLOOKUP(C223,'Talente &amp; Stuff'!BI:CJ,9,FALSE)</f>
        <v>0</v>
      </c>
      <c r="L223" s="117">
        <f>VLOOKUP(C223,'Talente &amp; Stuff'!BI:CJ,10,FALSE)</f>
        <v>0</v>
      </c>
      <c r="M223" s="121">
        <f>VLOOKUP(C223,'Talente &amp; Stuff'!BI:CJ,11,FALSE)</f>
        <v>0</v>
      </c>
      <c r="N223" s="47">
        <f>VLOOKUP(C223,'Talente &amp; Stuff'!BI:CJ,12,FALSE)</f>
        <v>0</v>
      </c>
      <c r="O223" s="3">
        <f>VLOOKUP(C223,'Talente &amp; Stuff'!BI:CJ,13,FALSE)</f>
        <v>0</v>
      </c>
      <c r="P223" s="174">
        <f>VLOOKUP(C223,'Talente &amp; Stuff'!BI:CJ,14,FALSE)</f>
        <v>0</v>
      </c>
      <c r="Q223" s="114">
        <f>VLOOKUP(C223,'Talente &amp; Stuff'!BI:CJ,15,FALSE)</f>
        <v>0</v>
      </c>
      <c r="R223" s="117">
        <f>VLOOKUP(C223,'Talente &amp; Stuff'!BI:CJ,16,FALSE)</f>
        <v>0</v>
      </c>
      <c r="S223" s="119">
        <f>VLOOKUP(C223,'Talente &amp; Stuff'!BI:CJ,17,FALSE)</f>
        <v>0</v>
      </c>
      <c r="T223" s="119">
        <f>VLOOKUP(C223,'Talente &amp; Stuff'!BI:CJ,18,FALSE)</f>
        <v>0</v>
      </c>
      <c r="U223" s="89">
        <f>VLOOKUP(C223,'Talente &amp; Stuff'!BI:CJ,19,FALSE)</f>
        <v>0</v>
      </c>
      <c r="V223" s="47">
        <f>VLOOKUP(C223,'Talente &amp; Stuff'!BI:CJ,20,FALSE)</f>
        <v>0</v>
      </c>
      <c r="W223" s="127">
        <f>VLOOKUP(C223,'Talente &amp; Stuff'!BI:CJ,21,FALSE)</f>
        <v>0</v>
      </c>
      <c r="X223" s="127">
        <f>VLOOKUP(C223,'Talente &amp; Stuff'!BI:CJ,22,FALSE)</f>
        <v>0</v>
      </c>
      <c r="Y223" s="165">
        <f t="shared" si="20"/>
        <v>0</v>
      </c>
      <c r="Z223" s="44">
        <f t="shared" si="21"/>
        <v>0</v>
      </c>
      <c r="AA223" s="125">
        <f>VLOOKUP(C223,'Talente &amp; Stuff'!BI:CJ,25,FALSE)</f>
        <v>0</v>
      </c>
      <c r="AB223" s="160">
        <f>VLOOKUP(C223,'Talente &amp; Stuff'!BI:CJ,26,FALSE)</f>
        <v>0</v>
      </c>
      <c r="AC223" s="127">
        <f>VLOOKUP(C223,'Talente &amp; Stuff'!BI:CJ,27,FALSE)</f>
        <v>0</v>
      </c>
      <c r="AD223" s="125">
        <f>VLOOKUP(C223,'Talente &amp; Stuff'!BI:CJ,28,FALSE)</f>
        <v>0</v>
      </c>
      <c r="AE223" s="28"/>
    </row>
    <row r="224" spans="2:31" ht="15" hidden="1" customHeight="1" outlineLevel="2">
      <c r="B224" s="148">
        <v>12</v>
      </c>
      <c r="C224" s="177" t="str">
        <f>Attribute!C224</f>
        <v>---</v>
      </c>
      <c r="D224" s="86" t="str">
        <f>VLOOKUP(C224,'Talente &amp; Stuff'!BI:CJ,2,FALSE)</f>
        <v>--/--/--</v>
      </c>
      <c r="E224" s="167" t="str">
        <f>VLOOKUP(C224,'Talente &amp; Stuff'!BI:CJ,3,FALSE)</f>
        <v>-</v>
      </c>
      <c r="F224" s="120">
        <f>VLOOKUP(C224,'Talente &amp; Stuff'!BI:CJ,4,FALSE)</f>
        <v>0</v>
      </c>
      <c r="G224" s="117">
        <f>VLOOKUP(C224,'Talente &amp; Stuff'!BI:CJ,5,FALSE)</f>
        <v>0</v>
      </c>
      <c r="H224" s="117">
        <f>VLOOKUP(C224,'Talente &amp; Stuff'!BI:CJ,6,FALSE)</f>
        <v>0</v>
      </c>
      <c r="I224" s="117">
        <f>VLOOKUP(C224,'Talente &amp; Stuff'!BI:CJ,7,FALSE)</f>
        <v>0</v>
      </c>
      <c r="J224" s="117">
        <f>VLOOKUP(C224,'Talente &amp; Stuff'!BI:CJ,8,FALSE)</f>
        <v>0</v>
      </c>
      <c r="K224" s="117">
        <f>VLOOKUP(C224,'Talente &amp; Stuff'!BI:CJ,9,FALSE)</f>
        <v>0</v>
      </c>
      <c r="L224" s="117">
        <f>VLOOKUP(C224,'Talente &amp; Stuff'!BI:CJ,10,FALSE)</f>
        <v>0</v>
      </c>
      <c r="M224" s="121">
        <f>VLOOKUP(C224,'Talente &amp; Stuff'!BI:CJ,11,FALSE)</f>
        <v>0</v>
      </c>
      <c r="N224" s="47">
        <f>VLOOKUP(C224,'Talente &amp; Stuff'!BI:CJ,12,FALSE)</f>
        <v>0</v>
      </c>
      <c r="O224" s="3">
        <f>VLOOKUP(C224,'Talente &amp; Stuff'!BI:CJ,13,FALSE)</f>
        <v>0</v>
      </c>
      <c r="P224" s="174">
        <f>VLOOKUP(C224,'Talente &amp; Stuff'!BI:CJ,14,FALSE)</f>
        <v>0</v>
      </c>
      <c r="Q224" s="114">
        <f>VLOOKUP(C224,'Talente &amp; Stuff'!BI:CJ,15,FALSE)</f>
        <v>0</v>
      </c>
      <c r="R224" s="117">
        <f>VLOOKUP(C224,'Talente &amp; Stuff'!BI:CJ,16,FALSE)</f>
        <v>0</v>
      </c>
      <c r="S224" s="119">
        <f>VLOOKUP(C224,'Talente &amp; Stuff'!BI:CJ,17,FALSE)</f>
        <v>0</v>
      </c>
      <c r="T224" s="119">
        <f>VLOOKUP(C224,'Talente &amp; Stuff'!BI:CJ,18,FALSE)</f>
        <v>0</v>
      </c>
      <c r="U224" s="89">
        <f>VLOOKUP(C224,'Talente &amp; Stuff'!BI:CJ,19,FALSE)</f>
        <v>0</v>
      </c>
      <c r="V224" s="47">
        <f>VLOOKUP(C224,'Talente &amp; Stuff'!BI:CJ,20,FALSE)</f>
        <v>0</v>
      </c>
      <c r="W224" s="127">
        <f>VLOOKUP(C224,'Talente &amp; Stuff'!BI:CJ,21,FALSE)</f>
        <v>0</v>
      </c>
      <c r="X224" s="127">
        <f>VLOOKUP(C224,'Talente &amp; Stuff'!BI:CJ,22,FALSE)</f>
        <v>0</v>
      </c>
      <c r="Y224" s="165">
        <f t="shared" si="20"/>
        <v>0</v>
      </c>
      <c r="Z224" s="44">
        <f t="shared" si="21"/>
        <v>0</v>
      </c>
      <c r="AA224" s="125">
        <f>VLOOKUP(C224,'Talente &amp; Stuff'!BI:CJ,25,FALSE)</f>
        <v>0</v>
      </c>
      <c r="AB224" s="160">
        <f>VLOOKUP(C224,'Talente &amp; Stuff'!BI:CJ,26,FALSE)</f>
        <v>0</v>
      </c>
      <c r="AC224" s="127">
        <f>VLOOKUP(C224,'Talente &amp; Stuff'!BI:CJ,27,FALSE)</f>
        <v>0</v>
      </c>
      <c r="AD224" s="125">
        <f>VLOOKUP(C224,'Talente &amp; Stuff'!BI:CJ,28,FALSE)</f>
        <v>0</v>
      </c>
      <c r="AE224" s="28"/>
    </row>
    <row r="225" spans="2:31" ht="15" hidden="1" customHeight="1" outlineLevel="2">
      <c r="B225" s="148">
        <v>13</v>
      </c>
      <c r="C225" s="177" t="str">
        <f>Attribute!C225</f>
        <v>---</v>
      </c>
      <c r="D225" s="86" t="str">
        <f>VLOOKUP(C225,'Talente &amp; Stuff'!BI:CJ,2,FALSE)</f>
        <v>--/--/--</v>
      </c>
      <c r="E225" s="167" t="str">
        <f>VLOOKUP(C225,'Talente &amp; Stuff'!BI:CJ,3,FALSE)</f>
        <v>-</v>
      </c>
      <c r="F225" s="120">
        <f>VLOOKUP(C225,'Talente &amp; Stuff'!BI:CJ,4,FALSE)</f>
        <v>0</v>
      </c>
      <c r="G225" s="117">
        <f>VLOOKUP(C225,'Talente &amp; Stuff'!BI:CJ,5,FALSE)</f>
        <v>0</v>
      </c>
      <c r="H225" s="117">
        <f>VLOOKUP(C225,'Talente &amp; Stuff'!BI:CJ,6,FALSE)</f>
        <v>0</v>
      </c>
      <c r="I225" s="117">
        <f>VLOOKUP(C225,'Talente &amp; Stuff'!BI:CJ,7,FALSE)</f>
        <v>0</v>
      </c>
      <c r="J225" s="117">
        <f>VLOOKUP(C225,'Talente &amp; Stuff'!BI:CJ,8,FALSE)</f>
        <v>0</v>
      </c>
      <c r="K225" s="117">
        <f>VLOOKUP(C225,'Talente &amp; Stuff'!BI:CJ,9,FALSE)</f>
        <v>0</v>
      </c>
      <c r="L225" s="117">
        <f>VLOOKUP(C225,'Talente &amp; Stuff'!BI:CJ,10,FALSE)</f>
        <v>0</v>
      </c>
      <c r="M225" s="121">
        <f>VLOOKUP(C225,'Talente &amp; Stuff'!BI:CJ,11,FALSE)</f>
        <v>0</v>
      </c>
      <c r="N225" s="47">
        <f>VLOOKUP(C225,'Talente &amp; Stuff'!BI:CJ,12,FALSE)</f>
        <v>0</v>
      </c>
      <c r="O225" s="3">
        <f>VLOOKUP(C225,'Talente &amp; Stuff'!BI:CJ,13,FALSE)</f>
        <v>0</v>
      </c>
      <c r="P225" s="174">
        <f>VLOOKUP(C225,'Talente &amp; Stuff'!BI:CJ,14,FALSE)</f>
        <v>0</v>
      </c>
      <c r="Q225" s="114">
        <f>VLOOKUP(C225,'Talente &amp; Stuff'!BI:CJ,15,FALSE)</f>
        <v>0</v>
      </c>
      <c r="R225" s="117">
        <f>VLOOKUP(C225,'Talente &amp; Stuff'!BI:CJ,16,FALSE)</f>
        <v>0</v>
      </c>
      <c r="S225" s="119">
        <f>VLOOKUP(C225,'Talente &amp; Stuff'!BI:CJ,17,FALSE)</f>
        <v>0</v>
      </c>
      <c r="T225" s="119">
        <f>VLOOKUP(C225,'Talente &amp; Stuff'!BI:CJ,18,FALSE)</f>
        <v>0</v>
      </c>
      <c r="U225" s="89">
        <f>VLOOKUP(C225,'Talente &amp; Stuff'!BI:CJ,19,FALSE)</f>
        <v>0</v>
      </c>
      <c r="V225" s="47">
        <f>VLOOKUP(C225,'Talente &amp; Stuff'!BI:CJ,20,FALSE)</f>
        <v>0</v>
      </c>
      <c r="W225" s="127">
        <f>VLOOKUP(C225,'Talente &amp; Stuff'!BI:CJ,21,FALSE)</f>
        <v>0</v>
      </c>
      <c r="X225" s="127">
        <f>VLOOKUP(C225,'Talente &amp; Stuff'!BI:CJ,22,FALSE)</f>
        <v>0</v>
      </c>
      <c r="Y225" s="165">
        <f t="shared" si="20"/>
        <v>0</v>
      </c>
      <c r="Z225" s="44">
        <f t="shared" si="21"/>
        <v>0</v>
      </c>
      <c r="AA225" s="125">
        <f>VLOOKUP(C225,'Talente &amp; Stuff'!BI:CJ,25,FALSE)</f>
        <v>0</v>
      </c>
      <c r="AB225" s="160">
        <f>VLOOKUP(C225,'Talente &amp; Stuff'!BI:CJ,26,FALSE)</f>
        <v>0</v>
      </c>
      <c r="AC225" s="127">
        <f>VLOOKUP(C225,'Talente &amp; Stuff'!BI:CJ,27,FALSE)</f>
        <v>0</v>
      </c>
      <c r="AD225" s="125">
        <f>VLOOKUP(C225,'Talente &amp; Stuff'!BI:CJ,28,FALSE)</f>
        <v>0</v>
      </c>
      <c r="AE225" s="28"/>
    </row>
    <row r="226" spans="2:31" ht="15" hidden="1" customHeight="1" outlineLevel="2">
      <c r="B226" s="148">
        <v>14</v>
      </c>
      <c r="C226" s="177" t="str">
        <f>Attribute!C226</f>
        <v>---</v>
      </c>
      <c r="D226" s="86" t="str">
        <f>VLOOKUP(C226,'Talente &amp; Stuff'!BI:CJ,2,FALSE)</f>
        <v>--/--/--</v>
      </c>
      <c r="E226" s="167" t="str">
        <f>VLOOKUP(C226,'Talente &amp; Stuff'!BI:CJ,3,FALSE)</f>
        <v>-</v>
      </c>
      <c r="F226" s="120">
        <f>VLOOKUP(C226,'Talente &amp; Stuff'!BI:CJ,4,FALSE)</f>
        <v>0</v>
      </c>
      <c r="G226" s="117">
        <f>VLOOKUP(C226,'Talente &amp; Stuff'!BI:CJ,5,FALSE)</f>
        <v>0</v>
      </c>
      <c r="H226" s="117">
        <f>VLOOKUP(C226,'Talente &amp; Stuff'!BI:CJ,6,FALSE)</f>
        <v>0</v>
      </c>
      <c r="I226" s="117">
        <f>VLOOKUP(C226,'Talente &amp; Stuff'!BI:CJ,7,FALSE)</f>
        <v>0</v>
      </c>
      <c r="J226" s="117">
        <f>VLOOKUP(C226,'Talente &amp; Stuff'!BI:CJ,8,FALSE)</f>
        <v>0</v>
      </c>
      <c r="K226" s="117">
        <f>VLOOKUP(C226,'Talente &amp; Stuff'!BI:CJ,9,FALSE)</f>
        <v>0</v>
      </c>
      <c r="L226" s="117">
        <f>VLOOKUP(C226,'Talente &amp; Stuff'!BI:CJ,10,FALSE)</f>
        <v>0</v>
      </c>
      <c r="M226" s="121">
        <f>VLOOKUP(C226,'Talente &amp; Stuff'!BI:CJ,11,FALSE)</f>
        <v>0</v>
      </c>
      <c r="N226" s="47">
        <f>VLOOKUP(C226,'Talente &amp; Stuff'!BI:CJ,12,FALSE)</f>
        <v>0</v>
      </c>
      <c r="O226" s="3">
        <f>VLOOKUP(C226,'Talente &amp; Stuff'!BI:CJ,13,FALSE)</f>
        <v>0</v>
      </c>
      <c r="P226" s="174">
        <f>VLOOKUP(C226,'Talente &amp; Stuff'!BI:CJ,14,FALSE)</f>
        <v>0</v>
      </c>
      <c r="Q226" s="114">
        <f>VLOOKUP(C226,'Talente &amp; Stuff'!BI:CJ,15,FALSE)</f>
        <v>0</v>
      </c>
      <c r="R226" s="117">
        <f>VLOOKUP(C226,'Talente &amp; Stuff'!BI:CJ,16,FALSE)</f>
        <v>0</v>
      </c>
      <c r="S226" s="119">
        <f>VLOOKUP(C226,'Talente &amp; Stuff'!BI:CJ,17,FALSE)</f>
        <v>0</v>
      </c>
      <c r="T226" s="119">
        <f>VLOOKUP(C226,'Talente &amp; Stuff'!BI:CJ,18,FALSE)</f>
        <v>0</v>
      </c>
      <c r="U226" s="89">
        <f>VLOOKUP(C226,'Talente &amp; Stuff'!BI:CJ,19,FALSE)</f>
        <v>0</v>
      </c>
      <c r="V226" s="47">
        <f>VLOOKUP(C226,'Talente &amp; Stuff'!BI:CJ,20,FALSE)</f>
        <v>0</v>
      </c>
      <c r="W226" s="127">
        <f>VLOOKUP(C226,'Talente &amp; Stuff'!BI:CJ,21,FALSE)</f>
        <v>0</v>
      </c>
      <c r="X226" s="127">
        <f>VLOOKUP(C226,'Talente &amp; Stuff'!BI:CJ,22,FALSE)</f>
        <v>0</v>
      </c>
      <c r="Y226" s="165">
        <f t="shared" si="20"/>
        <v>0</v>
      </c>
      <c r="Z226" s="44">
        <f t="shared" si="21"/>
        <v>0</v>
      </c>
      <c r="AA226" s="125">
        <f>VLOOKUP(C226,'Talente &amp; Stuff'!BI:CJ,25,FALSE)</f>
        <v>0</v>
      </c>
      <c r="AB226" s="160">
        <f>VLOOKUP(C226,'Talente &amp; Stuff'!BI:CJ,26,FALSE)</f>
        <v>0</v>
      </c>
      <c r="AC226" s="127">
        <f>VLOOKUP(C226,'Talente &amp; Stuff'!BI:CJ,27,FALSE)</f>
        <v>0</v>
      </c>
      <c r="AD226" s="125">
        <f>VLOOKUP(C226,'Talente &amp; Stuff'!BI:CJ,28,FALSE)</f>
        <v>0</v>
      </c>
      <c r="AE226" s="28"/>
    </row>
    <row r="227" spans="2:31" ht="15" hidden="1" customHeight="1" outlineLevel="2">
      <c r="B227" s="148">
        <v>15</v>
      </c>
      <c r="C227" s="177" t="str">
        <f>Attribute!C227</f>
        <v>---</v>
      </c>
      <c r="D227" s="86" t="str">
        <f>VLOOKUP(C227,'Talente &amp; Stuff'!BI:CJ,2,FALSE)</f>
        <v>--/--/--</v>
      </c>
      <c r="E227" s="167" t="str">
        <f>VLOOKUP(C227,'Talente &amp; Stuff'!BI:CJ,3,FALSE)</f>
        <v>-</v>
      </c>
      <c r="F227" s="120">
        <f>VLOOKUP(C227,'Talente &amp; Stuff'!BI:CJ,4,FALSE)</f>
        <v>0</v>
      </c>
      <c r="G227" s="117">
        <f>VLOOKUP(C227,'Talente &amp; Stuff'!BI:CJ,5,FALSE)</f>
        <v>0</v>
      </c>
      <c r="H227" s="117">
        <f>VLOOKUP(C227,'Talente &amp; Stuff'!BI:CJ,6,FALSE)</f>
        <v>0</v>
      </c>
      <c r="I227" s="117">
        <f>VLOOKUP(C227,'Talente &amp; Stuff'!BI:CJ,7,FALSE)</f>
        <v>0</v>
      </c>
      <c r="J227" s="117">
        <f>VLOOKUP(C227,'Talente &amp; Stuff'!BI:CJ,8,FALSE)</f>
        <v>0</v>
      </c>
      <c r="K227" s="117">
        <f>VLOOKUP(C227,'Talente &amp; Stuff'!BI:CJ,9,FALSE)</f>
        <v>0</v>
      </c>
      <c r="L227" s="117">
        <f>VLOOKUP(C227,'Talente &amp; Stuff'!BI:CJ,10,FALSE)</f>
        <v>0</v>
      </c>
      <c r="M227" s="121">
        <f>VLOOKUP(C227,'Talente &amp; Stuff'!BI:CJ,11,FALSE)</f>
        <v>0</v>
      </c>
      <c r="N227" s="47">
        <f>VLOOKUP(C227,'Talente &amp; Stuff'!BI:CJ,12,FALSE)</f>
        <v>0</v>
      </c>
      <c r="O227" s="3">
        <f>VLOOKUP(C227,'Talente &amp; Stuff'!BI:CJ,13,FALSE)</f>
        <v>0</v>
      </c>
      <c r="P227" s="174">
        <f>VLOOKUP(C227,'Talente &amp; Stuff'!BI:CJ,14,FALSE)</f>
        <v>0</v>
      </c>
      <c r="Q227" s="114">
        <f>VLOOKUP(C227,'Talente &amp; Stuff'!BI:CJ,15,FALSE)</f>
        <v>0</v>
      </c>
      <c r="R227" s="117">
        <f>VLOOKUP(C227,'Talente &amp; Stuff'!BI:CJ,16,FALSE)</f>
        <v>0</v>
      </c>
      <c r="S227" s="119">
        <f>VLOOKUP(C227,'Talente &amp; Stuff'!BI:CJ,17,FALSE)</f>
        <v>0</v>
      </c>
      <c r="T227" s="119">
        <f>VLOOKUP(C227,'Talente &amp; Stuff'!BI:CJ,18,FALSE)</f>
        <v>0</v>
      </c>
      <c r="U227" s="89">
        <f>VLOOKUP(C227,'Talente &amp; Stuff'!BI:CJ,19,FALSE)</f>
        <v>0</v>
      </c>
      <c r="V227" s="47">
        <f>VLOOKUP(C227,'Talente &amp; Stuff'!BI:CJ,20,FALSE)</f>
        <v>0</v>
      </c>
      <c r="W227" s="127">
        <f>VLOOKUP(C227,'Talente &amp; Stuff'!BI:CJ,21,FALSE)</f>
        <v>0</v>
      </c>
      <c r="X227" s="127">
        <f>VLOOKUP(C227,'Talente &amp; Stuff'!BI:CJ,22,FALSE)</f>
        <v>0</v>
      </c>
      <c r="Y227" s="165">
        <f t="shared" si="20"/>
        <v>0</v>
      </c>
      <c r="Z227" s="44">
        <f t="shared" si="21"/>
        <v>0</v>
      </c>
      <c r="AA227" s="125">
        <f>VLOOKUP(C227,'Talente &amp; Stuff'!BI:CJ,25,FALSE)</f>
        <v>0</v>
      </c>
      <c r="AB227" s="160">
        <f>VLOOKUP(C227,'Talente &amp; Stuff'!BI:CJ,26,FALSE)</f>
        <v>0</v>
      </c>
      <c r="AC227" s="127">
        <f>VLOOKUP(C227,'Talente &amp; Stuff'!BI:CJ,27,FALSE)</f>
        <v>0</v>
      </c>
      <c r="AD227" s="125">
        <f>VLOOKUP(C227,'Talente &amp; Stuff'!BI:CJ,28,FALSE)</f>
        <v>0</v>
      </c>
      <c r="AE227" s="28"/>
    </row>
    <row r="228" spans="2:31" ht="15" hidden="1" customHeight="1" outlineLevel="2">
      <c r="B228" s="148">
        <v>16</v>
      </c>
      <c r="C228" s="177" t="str">
        <f>Attribute!C228</f>
        <v>---</v>
      </c>
      <c r="D228" s="86" t="str">
        <f>VLOOKUP(C228,'Talente &amp; Stuff'!BI:CJ,2,FALSE)</f>
        <v>--/--/--</v>
      </c>
      <c r="E228" s="167" t="str">
        <f>VLOOKUP(C228,'Talente &amp; Stuff'!BI:CJ,3,FALSE)</f>
        <v>-</v>
      </c>
      <c r="F228" s="120">
        <f>VLOOKUP(C228,'Talente &amp; Stuff'!BI:CJ,4,FALSE)</f>
        <v>0</v>
      </c>
      <c r="G228" s="117">
        <f>VLOOKUP(C228,'Talente &amp; Stuff'!BI:CJ,5,FALSE)</f>
        <v>0</v>
      </c>
      <c r="H228" s="117">
        <f>VLOOKUP(C228,'Talente &amp; Stuff'!BI:CJ,6,FALSE)</f>
        <v>0</v>
      </c>
      <c r="I228" s="117">
        <f>VLOOKUP(C228,'Talente &amp; Stuff'!BI:CJ,7,FALSE)</f>
        <v>0</v>
      </c>
      <c r="J228" s="117">
        <f>VLOOKUP(C228,'Talente &amp; Stuff'!BI:CJ,8,FALSE)</f>
        <v>0</v>
      </c>
      <c r="K228" s="117">
        <f>VLOOKUP(C228,'Talente &amp; Stuff'!BI:CJ,9,FALSE)</f>
        <v>0</v>
      </c>
      <c r="L228" s="117">
        <f>VLOOKUP(C228,'Talente &amp; Stuff'!BI:CJ,10,FALSE)</f>
        <v>0</v>
      </c>
      <c r="M228" s="121">
        <f>VLOOKUP(C228,'Talente &amp; Stuff'!BI:CJ,11,FALSE)</f>
        <v>0</v>
      </c>
      <c r="N228" s="47">
        <f>VLOOKUP(C228,'Talente &amp; Stuff'!BI:CJ,12,FALSE)</f>
        <v>0</v>
      </c>
      <c r="O228" s="3">
        <f>VLOOKUP(C228,'Talente &amp; Stuff'!BI:CJ,13,FALSE)</f>
        <v>0</v>
      </c>
      <c r="P228" s="174">
        <f>VLOOKUP(C228,'Talente &amp; Stuff'!BI:CJ,14,FALSE)</f>
        <v>0</v>
      </c>
      <c r="Q228" s="114">
        <f>VLOOKUP(C228,'Talente &amp; Stuff'!BI:CJ,15,FALSE)</f>
        <v>0</v>
      </c>
      <c r="R228" s="117">
        <f>VLOOKUP(C228,'Talente &amp; Stuff'!BI:CJ,16,FALSE)</f>
        <v>0</v>
      </c>
      <c r="S228" s="119">
        <f>VLOOKUP(C228,'Talente &amp; Stuff'!BI:CJ,17,FALSE)</f>
        <v>0</v>
      </c>
      <c r="T228" s="119">
        <f>VLOOKUP(C228,'Talente &amp; Stuff'!BI:CJ,18,FALSE)</f>
        <v>0</v>
      </c>
      <c r="U228" s="89">
        <f>VLOOKUP(C228,'Talente &amp; Stuff'!BI:CJ,19,FALSE)</f>
        <v>0</v>
      </c>
      <c r="V228" s="47">
        <f>VLOOKUP(C228,'Talente &amp; Stuff'!BI:CJ,20,FALSE)</f>
        <v>0</v>
      </c>
      <c r="W228" s="127">
        <f>VLOOKUP(C228,'Talente &amp; Stuff'!BI:CJ,21,FALSE)</f>
        <v>0</v>
      </c>
      <c r="X228" s="127">
        <f>VLOOKUP(C228,'Talente &amp; Stuff'!BI:CJ,22,FALSE)</f>
        <v>0</v>
      </c>
      <c r="Y228" s="165">
        <f t="shared" si="20"/>
        <v>0</v>
      </c>
      <c r="Z228" s="44">
        <f t="shared" si="21"/>
        <v>0</v>
      </c>
      <c r="AA228" s="125">
        <f>VLOOKUP(C228,'Talente &amp; Stuff'!BI:CJ,25,FALSE)</f>
        <v>0</v>
      </c>
      <c r="AB228" s="160">
        <f>VLOOKUP(C228,'Talente &amp; Stuff'!BI:CJ,26,FALSE)</f>
        <v>0</v>
      </c>
      <c r="AC228" s="127">
        <f>VLOOKUP(C228,'Talente &amp; Stuff'!BI:CJ,27,FALSE)</f>
        <v>0</v>
      </c>
      <c r="AD228" s="125">
        <f>VLOOKUP(C228,'Talente &amp; Stuff'!BI:CJ,28,FALSE)</f>
        <v>0</v>
      </c>
      <c r="AE228" s="28"/>
    </row>
    <row r="229" spans="2:31" ht="15" hidden="1" customHeight="1" outlineLevel="2">
      <c r="B229" s="148">
        <v>17</v>
      </c>
      <c r="C229" s="177" t="str">
        <f>Attribute!C229</f>
        <v>---</v>
      </c>
      <c r="D229" s="86" t="str">
        <f>VLOOKUP(C229,'Talente &amp; Stuff'!BI:CJ,2,FALSE)</f>
        <v>--/--/--</v>
      </c>
      <c r="E229" s="167" t="str">
        <f>VLOOKUP(C229,'Talente &amp; Stuff'!BI:CJ,3,FALSE)</f>
        <v>-</v>
      </c>
      <c r="F229" s="120">
        <f>VLOOKUP(C229,'Talente &amp; Stuff'!BI:CJ,4,FALSE)</f>
        <v>0</v>
      </c>
      <c r="G229" s="117">
        <f>VLOOKUP(C229,'Talente &amp; Stuff'!BI:CJ,5,FALSE)</f>
        <v>0</v>
      </c>
      <c r="H229" s="117">
        <f>VLOOKUP(C229,'Talente &amp; Stuff'!BI:CJ,6,FALSE)</f>
        <v>0</v>
      </c>
      <c r="I229" s="117">
        <f>VLOOKUP(C229,'Talente &amp; Stuff'!BI:CJ,7,FALSE)</f>
        <v>0</v>
      </c>
      <c r="J229" s="117">
        <f>VLOOKUP(C229,'Talente &amp; Stuff'!BI:CJ,8,FALSE)</f>
        <v>0</v>
      </c>
      <c r="K229" s="117">
        <f>VLOOKUP(C229,'Talente &amp; Stuff'!BI:CJ,9,FALSE)</f>
        <v>0</v>
      </c>
      <c r="L229" s="117">
        <f>VLOOKUP(C229,'Talente &amp; Stuff'!BI:CJ,10,FALSE)</f>
        <v>0</v>
      </c>
      <c r="M229" s="121">
        <f>VLOOKUP(C229,'Talente &amp; Stuff'!BI:CJ,11,FALSE)</f>
        <v>0</v>
      </c>
      <c r="N229" s="47">
        <f>VLOOKUP(C229,'Talente &amp; Stuff'!BI:CJ,12,FALSE)</f>
        <v>0</v>
      </c>
      <c r="O229" s="3">
        <f>VLOOKUP(C229,'Talente &amp; Stuff'!BI:CJ,13,FALSE)</f>
        <v>0</v>
      </c>
      <c r="P229" s="174">
        <f>VLOOKUP(C229,'Talente &amp; Stuff'!BI:CJ,14,FALSE)</f>
        <v>0</v>
      </c>
      <c r="Q229" s="114">
        <f>VLOOKUP(C229,'Talente &amp; Stuff'!BI:CJ,15,FALSE)</f>
        <v>0</v>
      </c>
      <c r="R229" s="117">
        <f>VLOOKUP(C229,'Talente &amp; Stuff'!BI:CJ,16,FALSE)</f>
        <v>0</v>
      </c>
      <c r="S229" s="119">
        <f>VLOOKUP(C229,'Talente &amp; Stuff'!BI:CJ,17,FALSE)</f>
        <v>0</v>
      </c>
      <c r="T229" s="119">
        <f>VLOOKUP(C229,'Talente &amp; Stuff'!BI:CJ,18,FALSE)</f>
        <v>0</v>
      </c>
      <c r="U229" s="89">
        <f>VLOOKUP(C229,'Talente &amp; Stuff'!BI:CJ,19,FALSE)</f>
        <v>0</v>
      </c>
      <c r="V229" s="47">
        <f>VLOOKUP(C229,'Talente &amp; Stuff'!BI:CJ,20,FALSE)</f>
        <v>0</v>
      </c>
      <c r="W229" s="127">
        <f>VLOOKUP(C229,'Talente &amp; Stuff'!BI:CJ,21,FALSE)</f>
        <v>0</v>
      </c>
      <c r="X229" s="127">
        <f>VLOOKUP(C229,'Talente &amp; Stuff'!BI:CJ,22,FALSE)</f>
        <v>0</v>
      </c>
      <c r="Y229" s="165">
        <f t="shared" si="20"/>
        <v>0</v>
      </c>
      <c r="Z229" s="44">
        <f t="shared" si="21"/>
        <v>0</v>
      </c>
      <c r="AA229" s="125">
        <f>VLOOKUP(C229,'Talente &amp; Stuff'!BI:CJ,25,FALSE)</f>
        <v>0</v>
      </c>
      <c r="AB229" s="160">
        <f>VLOOKUP(C229,'Talente &amp; Stuff'!BI:CJ,26,FALSE)</f>
        <v>0</v>
      </c>
      <c r="AC229" s="127">
        <f>VLOOKUP(C229,'Talente &amp; Stuff'!BI:CJ,27,FALSE)</f>
        <v>0</v>
      </c>
      <c r="AD229" s="125">
        <f>VLOOKUP(C229,'Talente &amp; Stuff'!BI:CJ,28,FALSE)</f>
        <v>0</v>
      </c>
      <c r="AE229" s="28"/>
    </row>
    <row r="230" spans="2:31" ht="15" hidden="1" customHeight="1" outlineLevel="2">
      <c r="B230" s="148">
        <v>18</v>
      </c>
      <c r="C230" s="177" t="str">
        <f>Attribute!C230</f>
        <v>---</v>
      </c>
      <c r="D230" s="86" t="str">
        <f>VLOOKUP(C230,'Talente &amp; Stuff'!BI:CJ,2,FALSE)</f>
        <v>--/--/--</v>
      </c>
      <c r="E230" s="167" t="str">
        <f>VLOOKUP(C230,'Talente &amp; Stuff'!BI:CJ,3,FALSE)</f>
        <v>-</v>
      </c>
      <c r="F230" s="120">
        <f>VLOOKUP(C230,'Talente &amp; Stuff'!BI:CJ,4,FALSE)</f>
        <v>0</v>
      </c>
      <c r="G230" s="117">
        <f>VLOOKUP(C230,'Talente &amp; Stuff'!BI:CJ,5,FALSE)</f>
        <v>0</v>
      </c>
      <c r="H230" s="117">
        <f>VLOOKUP(C230,'Talente &amp; Stuff'!BI:CJ,6,FALSE)</f>
        <v>0</v>
      </c>
      <c r="I230" s="117">
        <f>VLOOKUP(C230,'Talente &amp; Stuff'!BI:CJ,7,FALSE)</f>
        <v>0</v>
      </c>
      <c r="J230" s="117">
        <f>VLOOKUP(C230,'Talente &amp; Stuff'!BI:CJ,8,FALSE)</f>
        <v>0</v>
      </c>
      <c r="K230" s="117">
        <f>VLOOKUP(C230,'Talente &amp; Stuff'!BI:CJ,9,FALSE)</f>
        <v>0</v>
      </c>
      <c r="L230" s="117">
        <f>VLOOKUP(C230,'Talente &amp; Stuff'!BI:CJ,10,FALSE)</f>
        <v>0</v>
      </c>
      <c r="M230" s="121">
        <f>VLOOKUP(C230,'Talente &amp; Stuff'!BI:CJ,11,FALSE)</f>
        <v>0</v>
      </c>
      <c r="N230" s="47">
        <f>VLOOKUP(C230,'Talente &amp; Stuff'!BI:CJ,12,FALSE)</f>
        <v>0</v>
      </c>
      <c r="O230" s="3">
        <f>VLOOKUP(C230,'Talente &amp; Stuff'!BI:CJ,13,FALSE)</f>
        <v>0</v>
      </c>
      <c r="P230" s="174">
        <f>VLOOKUP(C230,'Talente &amp; Stuff'!BI:CJ,14,FALSE)</f>
        <v>0</v>
      </c>
      <c r="Q230" s="114">
        <f>VLOOKUP(C230,'Talente &amp; Stuff'!BI:CJ,15,FALSE)</f>
        <v>0</v>
      </c>
      <c r="R230" s="117">
        <f>VLOOKUP(C230,'Talente &amp; Stuff'!BI:CJ,16,FALSE)</f>
        <v>0</v>
      </c>
      <c r="S230" s="119">
        <f>VLOOKUP(C230,'Talente &amp; Stuff'!BI:CJ,17,FALSE)</f>
        <v>0</v>
      </c>
      <c r="T230" s="119">
        <f>VLOOKUP(C230,'Talente &amp; Stuff'!BI:CJ,18,FALSE)</f>
        <v>0</v>
      </c>
      <c r="U230" s="89">
        <f>VLOOKUP(C230,'Talente &amp; Stuff'!BI:CJ,19,FALSE)</f>
        <v>0</v>
      </c>
      <c r="V230" s="47">
        <f>VLOOKUP(C230,'Talente &amp; Stuff'!BI:CJ,20,FALSE)</f>
        <v>0</v>
      </c>
      <c r="W230" s="127">
        <f>VLOOKUP(C230,'Talente &amp; Stuff'!BI:CJ,21,FALSE)</f>
        <v>0</v>
      </c>
      <c r="X230" s="127">
        <f>VLOOKUP(C230,'Talente &amp; Stuff'!BI:CJ,22,FALSE)</f>
        <v>0</v>
      </c>
      <c r="Y230" s="165">
        <f t="shared" si="20"/>
        <v>0</v>
      </c>
      <c r="Z230" s="44">
        <f t="shared" si="21"/>
        <v>0</v>
      </c>
      <c r="AA230" s="125">
        <f>VLOOKUP(C230,'Talente &amp; Stuff'!BI:CJ,25,FALSE)</f>
        <v>0</v>
      </c>
      <c r="AB230" s="160">
        <f>VLOOKUP(C230,'Talente &amp; Stuff'!BI:CJ,26,FALSE)</f>
        <v>0</v>
      </c>
      <c r="AC230" s="127">
        <f>VLOOKUP(C230,'Talente &amp; Stuff'!BI:CJ,27,FALSE)</f>
        <v>0</v>
      </c>
      <c r="AD230" s="125">
        <f>VLOOKUP(C230,'Talente &amp; Stuff'!BI:CJ,28,FALSE)</f>
        <v>0</v>
      </c>
      <c r="AE230" s="28"/>
    </row>
    <row r="231" spans="2:31" ht="15" hidden="1" customHeight="1" outlineLevel="2">
      <c r="B231" s="148">
        <v>19</v>
      </c>
      <c r="C231" s="177" t="str">
        <f>Attribute!C231</f>
        <v>---</v>
      </c>
      <c r="D231" s="86" t="str">
        <f>VLOOKUP(C231,'Talente &amp; Stuff'!BI:CJ,2,FALSE)</f>
        <v>--/--/--</v>
      </c>
      <c r="E231" s="167" t="str">
        <f>VLOOKUP(C231,'Talente &amp; Stuff'!BI:CJ,3,FALSE)</f>
        <v>-</v>
      </c>
      <c r="F231" s="120">
        <f>VLOOKUP(C231,'Talente &amp; Stuff'!BI:CJ,4,FALSE)</f>
        <v>0</v>
      </c>
      <c r="G231" s="117">
        <f>VLOOKUP(C231,'Talente &amp; Stuff'!BI:CJ,5,FALSE)</f>
        <v>0</v>
      </c>
      <c r="H231" s="117">
        <f>VLOOKUP(C231,'Talente &amp; Stuff'!BI:CJ,6,FALSE)</f>
        <v>0</v>
      </c>
      <c r="I231" s="117">
        <f>VLOOKUP(C231,'Talente &amp; Stuff'!BI:CJ,7,FALSE)</f>
        <v>0</v>
      </c>
      <c r="J231" s="117">
        <f>VLOOKUP(C231,'Talente &amp; Stuff'!BI:CJ,8,FALSE)</f>
        <v>0</v>
      </c>
      <c r="K231" s="117">
        <f>VLOOKUP(C231,'Talente &amp; Stuff'!BI:CJ,9,FALSE)</f>
        <v>0</v>
      </c>
      <c r="L231" s="117">
        <f>VLOOKUP(C231,'Talente &amp; Stuff'!BI:CJ,10,FALSE)</f>
        <v>0</v>
      </c>
      <c r="M231" s="121">
        <f>VLOOKUP(C231,'Talente &amp; Stuff'!BI:CJ,11,FALSE)</f>
        <v>0</v>
      </c>
      <c r="N231" s="47">
        <f>VLOOKUP(C231,'Talente &amp; Stuff'!BI:CJ,12,FALSE)</f>
        <v>0</v>
      </c>
      <c r="O231" s="3">
        <f>VLOOKUP(C231,'Talente &amp; Stuff'!BI:CJ,13,FALSE)</f>
        <v>0</v>
      </c>
      <c r="P231" s="174">
        <f>VLOOKUP(C231,'Talente &amp; Stuff'!BI:CJ,14,FALSE)</f>
        <v>0</v>
      </c>
      <c r="Q231" s="114">
        <f>VLOOKUP(C231,'Talente &amp; Stuff'!BI:CJ,15,FALSE)</f>
        <v>0</v>
      </c>
      <c r="R231" s="117">
        <f>VLOOKUP(C231,'Talente &amp; Stuff'!BI:CJ,16,FALSE)</f>
        <v>0</v>
      </c>
      <c r="S231" s="119">
        <f>VLOOKUP(C231,'Talente &amp; Stuff'!BI:CJ,17,FALSE)</f>
        <v>0</v>
      </c>
      <c r="T231" s="119">
        <f>VLOOKUP(C231,'Talente &amp; Stuff'!BI:CJ,18,FALSE)</f>
        <v>0</v>
      </c>
      <c r="U231" s="89">
        <f>VLOOKUP(C231,'Talente &amp; Stuff'!BI:CJ,19,FALSE)</f>
        <v>0</v>
      </c>
      <c r="V231" s="47">
        <f>VLOOKUP(C231,'Talente &amp; Stuff'!BI:CJ,20,FALSE)</f>
        <v>0</v>
      </c>
      <c r="W231" s="127">
        <f>VLOOKUP(C231,'Talente &amp; Stuff'!BI:CJ,21,FALSE)</f>
        <v>0</v>
      </c>
      <c r="X231" s="127">
        <f>VLOOKUP(C231,'Talente &amp; Stuff'!BI:CJ,22,FALSE)</f>
        <v>0</v>
      </c>
      <c r="Y231" s="165">
        <f t="shared" si="20"/>
        <v>0</v>
      </c>
      <c r="Z231" s="44">
        <f t="shared" si="21"/>
        <v>0</v>
      </c>
      <c r="AA231" s="125">
        <f>VLOOKUP(C231,'Talente &amp; Stuff'!BI:CJ,25,FALSE)</f>
        <v>0</v>
      </c>
      <c r="AB231" s="160">
        <f>VLOOKUP(C231,'Talente &amp; Stuff'!BI:CJ,26,FALSE)</f>
        <v>0</v>
      </c>
      <c r="AC231" s="127">
        <f>VLOOKUP(C231,'Talente &amp; Stuff'!BI:CJ,27,FALSE)</f>
        <v>0</v>
      </c>
      <c r="AD231" s="125">
        <f>VLOOKUP(C231,'Talente &amp; Stuff'!BI:CJ,28,FALSE)</f>
        <v>0</v>
      </c>
      <c r="AE231" s="28"/>
    </row>
    <row r="232" spans="2:31" ht="15" hidden="1" customHeight="1" outlineLevel="2">
      <c r="B232" s="148">
        <v>20</v>
      </c>
      <c r="C232" s="177" t="str">
        <f>Attribute!C232</f>
        <v>---</v>
      </c>
      <c r="D232" s="86" t="str">
        <f>VLOOKUP(C232,'Talente &amp; Stuff'!BI:CJ,2,FALSE)</f>
        <v>--/--/--</v>
      </c>
      <c r="E232" s="167" t="str">
        <f>VLOOKUP(C232,'Talente &amp; Stuff'!BI:CJ,3,FALSE)</f>
        <v>-</v>
      </c>
      <c r="F232" s="120">
        <f>VLOOKUP(C232,'Talente &amp; Stuff'!BI:CJ,4,FALSE)</f>
        <v>0</v>
      </c>
      <c r="G232" s="117">
        <f>VLOOKUP(C232,'Talente &amp; Stuff'!BI:CJ,5,FALSE)</f>
        <v>0</v>
      </c>
      <c r="H232" s="117">
        <f>VLOOKUP(C232,'Talente &amp; Stuff'!BI:CJ,6,FALSE)</f>
        <v>0</v>
      </c>
      <c r="I232" s="117">
        <f>VLOOKUP(C232,'Talente &amp; Stuff'!BI:CJ,7,FALSE)</f>
        <v>0</v>
      </c>
      <c r="J232" s="117">
        <f>VLOOKUP(C232,'Talente &amp; Stuff'!BI:CJ,8,FALSE)</f>
        <v>0</v>
      </c>
      <c r="K232" s="117">
        <f>VLOOKUP(C232,'Talente &amp; Stuff'!BI:CJ,9,FALSE)</f>
        <v>0</v>
      </c>
      <c r="L232" s="117">
        <f>VLOOKUP(C232,'Talente &amp; Stuff'!BI:CJ,10,FALSE)</f>
        <v>0</v>
      </c>
      <c r="M232" s="121">
        <f>VLOOKUP(C232,'Talente &amp; Stuff'!BI:CJ,11,FALSE)</f>
        <v>0</v>
      </c>
      <c r="N232" s="47">
        <f>VLOOKUP(C232,'Talente &amp; Stuff'!BI:CJ,12,FALSE)</f>
        <v>0</v>
      </c>
      <c r="O232" s="3">
        <f>VLOOKUP(C232,'Talente &amp; Stuff'!BI:CJ,13,FALSE)</f>
        <v>0</v>
      </c>
      <c r="P232" s="174">
        <f>VLOOKUP(C232,'Talente &amp; Stuff'!BI:CJ,14,FALSE)</f>
        <v>0</v>
      </c>
      <c r="Q232" s="114">
        <f>VLOOKUP(C232,'Talente &amp; Stuff'!BI:CJ,15,FALSE)</f>
        <v>0</v>
      </c>
      <c r="R232" s="117">
        <f>VLOOKUP(C232,'Talente &amp; Stuff'!BI:CJ,16,FALSE)</f>
        <v>0</v>
      </c>
      <c r="S232" s="119">
        <f>VLOOKUP(C232,'Talente &amp; Stuff'!BI:CJ,17,FALSE)</f>
        <v>0</v>
      </c>
      <c r="T232" s="119">
        <f>VLOOKUP(C232,'Talente &amp; Stuff'!BI:CJ,18,FALSE)</f>
        <v>0</v>
      </c>
      <c r="U232" s="89">
        <f>VLOOKUP(C232,'Talente &amp; Stuff'!BI:CJ,19,FALSE)</f>
        <v>0</v>
      </c>
      <c r="V232" s="47">
        <f>VLOOKUP(C232,'Talente &amp; Stuff'!BI:CJ,20,FALSE)</f>
        <v>0</v>
      </c>
      <c r="W232" s="127">
        <f>VLOOKUP(C232,'Talente &amp; Stuff'!BI:CJ,21,FALSE)</f>
        <v>0</v>
      </c>
      <c r="X232" s="127">
        <f>VLOOKUP(C232,'Talente &amp; Stuff'!BI:CJ,22,FALSE)</f>
        <v>0</v>
      </c>
      <c r="Y232" s="165">
        <f t="shared" si="20"/>
        <v>0</v>
      </c>
      <c r="Z232" s="44">
        <f t="shared" si="21"/>
        <v>0</v>
      </c>
      <c r="AA232" s="125">
        <f>VLOOKUP(C232,'Talente &amp; Stuff'!BI:CJ,25,FALSE)</f>
        <v>0</v>
      </c>
      <c r="AB232" s="160">
        <f>VLOOKUP(C232,'Talente &amp; Stuff'!BI:CJ,26,FALSE)</f>
        <v>0</v>
      </c>
      <c r="AC232" s="127">
        <f>VLOOKUP(C232,'Talente &amp; Stuff'!BI:CJ,27,FALSE)</f>
        <v>0</v>
      </c>
      <c r="AD232" s="125">
        <f>VLOOKUP(C232,'Talente &amp; Stuff'!BI:CJ,28,FALSE)</f>
        <v>0</v>
      </c>
      <c r="AE232" s="28"/>
    </row>
    <row r="233" spans="2:31" ht="15" hidden="1" customHeight="1" outlineLevel="2">
      <c r="B233" s="148">
        <v>21</v>
      </c>
      <c r="C233" s="177" t="str">
        <f>Attribute!C233</f>
        <v>---</v>
      </c>
      <c r="D233" s="86" t="str">
        <f>VLOOKUP(C233,'Talente &amp; Stuff'!BI:CJ,2,FALSE)</f>
        <v>--/--/--</v>
      </c>
      <c r="E233" s="167" t="str">
        <f>VLOOKUP(C233,'Talente &amp; Stuff'!BI:CJ,3,FALSE)</f>
        <v>-</v>
      </c>
      <c r="F233" s="120">
        <f>VLOOKUP(C233,'Talente &amp; Stuff'!BI:CJ,4,FALSE)</f>
        <v>0</v>
      </c>
      <c r="G233" s="117">
        <f>VLOOKUP(C233,'Talente &amp; Stuff'!BI:CJ,5,FALSE)</f>
        <v>0</v>
      </c>
      <c r="H233" s="117">
        <f>VLOOKUP(C233,'Talente &amp; Stuff'!BI:CJ,6,FALSE)</f>
        <v>0</v>
      </c>
      <c r="I233" s="117">
        <f>VLOOKUP(C233,'Talente &amp; Stuff'!BI:CJ,7,FALSE)</f>
        <v>0</v>
      </c>
      <c r="J233" s="117">
        <f>VLOOKUP(C233,'Talente &amp; Stuff'!BI:CJ,8,FALSE)</f>
        <v>0</v>
      </c>
      <c r="K233" s="117">
        <f>VLOOKUP(C233,'Talente &amp; Stuff'!BI:CJ,9,FALSE)</f>
        <v>0</v>
      </c>
      <c r="L233" s="117">
        <f>VLOOKUP(C233,'Talente &amp; Stuff'!BI:CJ,10,FALSE)</f>
        <v>0</v>
      </c>
      <c r="M233" s="121">
        <f>VLOOKUP(C233,'Talente &amp; Stuff'!BI:CJ,11,FALSE)</f>
        <v>0</v>
      </c>
      <c r="N233" s="47">
        <f>VLOOKUP(C233,'Talente &amp; Stuff'!BI:CJ,12,FALSE)</f>
        <v>0</v>
      </c>
      <c r="O233" s="3">
        <f>VLOOKUP(C233,'Talente &amp; Stuff'!BI:CJ,13,FALSE)</f>
        <v>0</v>
      </c>
      <c r="P233" s="174">
        <f>VLOOKUP(C233,'Talente &amp; Stuff'!BI:CJ,14,FALSE)</f>
        <v>0</v>
      </c>
      <c r="Q233" s="114">
        <f>VLOOKUP(C233,'Talente &amp; Stuff'!BI:CJ,15,FALSE)</f>
        <v>0</v>
      </c>
      <c r="R233" s="117">
        <f>VLOOKUP(C233,'Talente &amp; Stuff'!BI:CJ,16,FALSE)</f>
        <v>0</v>
      </c>
      <c r="S233" s="119">
        <f>VLOOKUP(C233,'Talente &amp; Stuff'!BI:CJ,17,FALSE)</f>
        <v>0</v>
      </c>
      <c r="T233" s="119">
        <f>VLOOKUP(C233,'Talente &amp; Stuff'!BI:CJ,18,FALSE)</f>
        <v>0</v>
      </c>
      <c r="U233" s="89">
        <f>VLOOKUP(C233,'Talente &amp; Stuff'!BI:CJ,19,FALSE)</f>
        <v>0</v>
      </c>
      <c r="V233" s="47">
        <f>VLOOKUP(C233,'Talente &amp; Stuff'!BI:CJ,20,FALSE)</f>
        <v>0</v>
      </c>
      <c r="W233" s="127">
        <f>VLOOKUP(C233,'Talente &amp; Stuff'!BI:CJ,21,FALSE)</f>
        <v>0</v>
      </c>
      <c r="X233" s="127">
        <f>VLOOKUP(C233,'Talente &amp; Stuff'!BI:CJ,22,FALSE)</f>
        <v>0</v>
      </c>
      <c r="Y233" s="165">
        <f t="shared" si="20"/>
        <v>0</v>
      </c>
      <c r="Z233" s="44">
        <f t="shared" si="21"/>
        <v>0</v>
      </c>
      <c r="AA233" s="125">
        <f>VLOOKUP(C233,'Talente &amp; Stuff'!BI:CJ,25,FALSE)</f>
        <v>0</v>
      </c>
      <c r="AB233" s="160">
        <f>VLOOKUP(C233,'Talente &amp; Stuff'!BI:CJ,26,FALSE)</f>
        <v>0</v>
      </c>
      <c r="AC233" s="127">
        <f>VLOOKUP(C233,'Talente &amp; Stuff'!BI:CJ,27,FALSE)</f>
        <v>0</v>
      </c>
      <c r="AD233" s="125">
        <f>VLOOKUP(C233,'Talente &amp; Stuff'!BI:CJ,28,FALSE)</f>
        <v>0</v>
      </c>
      <c r="AE233" s="28"/>
    </row>
    <row r="234" spans="2:31" ht="15" hidden="1" customHeight="1" outlineLevel="2">
      <c r="B234" s="148">
        <v>22</v>
      </c>
      <c r="C234" s="177" t="str">
        <f>Attribute!C234</f>
        <v>---</v>
      </c>
      <c r="D234" s="86" t="str">
        <f>VLOOKUP(C234,'Talente &amp; Stuff'!BI:CJ,2,FALSE)</f>
        <v>--/--/--</v>
      </c>
      <c r="E234" s="167" t="str">
        <f>VLOOKUP(C234,'Talente &amp; Stuff'!BI:CJ,3,FALSE)</f>
        <v>-</v>
      </c>
      <c r="F234" s="120">
        <f>VLOOKUP(C234,'Talente &amp; Stuff'!BI:CJ,4,FALSE)</f>
        <v>0</v>
      </c>
      <c r="G234" s="117">
        <f>VLOOKUP(C234,'Talente &amp; Stuff'!BI:CJ,5,FALSE)</f>
        <v>0</v>
      </c>
      <c r="H234" s="117">
        <f>VLOOKUP(C234,'Talente &amp; Stuff'!BI:CJ,6,FALSE)</f>
        <v>0</v>
      </c>
      <c r="I234" s="117">
        <f>VLOOKUP(C234,'Talente &amp; Stuff'!BI:CJ,7,FALSE)</f>
        <v>0</v>
      </c>
      <c r="J234" s="117">
        <f>VLOOKUP(C234,'Talente &amp; Stuff'!BI:CJ,8,FALSE)</f>
        <v>0</v>
      </c>
      <c r="K234" s="117">
        <f>VLOOKUP(C234,'Talente &amp; Stuff'!BI:CJ,9,FALSE)</f>
        <v>0</v>
      </c>
      <c r="L234" s="117">
        <f>VLOOKUP(C234,'Talente &amp; Stuff'!BI:CJ,10,FALSE)</f>
        <v>0</v>
      </c>
      <c r="M234" s="121">
        <f>VLOOKUP(C234,'Talente &amp; Stuff'!BI:CJ,11,FALSE)</f>
        <v>0</v>
      </c>
      <c r="N234" s="47">
        <f>VLOOKUP(C234,'Talente &amp; Stuff'!BI:CJ,12,FALSE)</f>
        <v>0</v>
      </c>
      <c r="O234" s="3">
        <f>VLOOKUP(C234,'Talente &amp; Stuff'!BI:CJ,13,FALSE)</f>
        <v>0</v>
      </c>
      <c r="P234" s="174">
        <f>VLOOKUP(C234,'Talente &amp; Stuff'!BI:CJ,14,FALSE)</f>
        <v>0</v>
      </c>
      <c r="Q234" s="114">
        <f>VLOOKUP(C234,'Talente &amp; Stuff'!BI:CJ,15,FALSE)</f>
        <v>0</v>
      </c>
      <c r="R234" s="117">
        <f>VLOOKUP(C234,'Talente &amp; Stuff'!BI:CJ,16,FALSE)</f>
        <v>0</v>
      </c>
      <c r="S234" s="119">
        <f>VLOOKUP(C234,'Talente &amp; Stuff'!BI:CJ,17,FALSE)</f>
        <v>0</v>
      </c>
      <c r="T234" s="119">
        <f>VLOOKUP(C234,'Talente &amp; Stuff'!BI:CJ,18,FALSE)</f>
        <v>0</v>
      </c>
      <c r="U234" s="89">
        <f>VLOOKUP(C234,'Talente &amp; Stuff'!BI:CJ,19,FALSE)</f>
        <v>0</v>
      </c>
      <c r="V234" s="47">
        <f>VLOOKUP(C234,'Talente &amp; Stuff'!BI:CJ,20,FALSE)</f>
        <v>0</v>
      </c>
      <c r="W234" s="127">
        <f>VLOOKUP(C234,'Talente &amp; Stuff'!BI:CJ,21,FALSE)</f>
        <v>0</v>
      </c>
      <c r="X234" s="127">
        <f>VLOOKUP(C234,'Talente &amp; Stuff'!BI:CJ,22,FALSE)</f>
        <v>0</v>
      </c>
      <c r="Y234" s="165">
        <f t="shared" si="20"/>
        <v>0</v>
      </c>
      <c r="Z234" s="44">
        <f t="shared" si="21"/>
        <v>0</v>
      </c>
      <c r="AA234" s="125">
        <f>VLOOKUP(C234,'Talente &amp; Stuff'!BI:CJ,25,FALSE)</f>
        <v>0</v>
      </c>
      <c r="AB234" s="160">
        <f>VLOOKUP(C234,'Talente &amp; Stuff'!BI:CJ,26,FALSE)</f>
        <v>0</v>
      </c>
      <c r="AC234" s="127">
        <f>VLOOKUP(C234,'Talente &amp; Stuff'!BI:CJ,27,FALSE)</f>
        <v>0</v>
      </c>
      <c r="AD234" s="125">
        <f>VLOOKUP(C234,'Talente &amp; Stuff'!BI:CJ,28,FALSE)</f>
        <v>0</v>
      </c>
      <c r="AE234" s="28"/>
    </row>
    <row r="235" spans="2:31" ht="15" hidden="1" customHeight="1" outlineLevel="2">
      <c r="B235" s="148">
        <v>23</v>
      </c>
      <c r="C235" s="177" t="str">
        <f>Attribute!C235</f>
        <v>---</v>
      </c>
      <c r="D235" s="86" t="str">
        <f>VLOOKUP(C235,'Talente &amp; Stuff'!BI:CJ,2,FALSE)</f>
        <v>--/--/--</v>
      </c>
      <c r="E235" s="167" t="str">
        <f>VLOOKUP(C235,'Talente &amp; Stuff'!BI:CJ,3,FALSE)</f>
        <v>-</v>
      </c>
      <c r="F235" s="120">
        <f>VLOOKUP(C235,'Talente &amp; Stuff'!BI:CJ,4,FALSE)</f>
        <v>0</v>
      </c>
      <c r="G235" s="117">
        <f>VLOOKUP(C235,'Talente &amp; Stuff'!BI:CJ,5,FALSE)</f>
        <v>0</v>
      </c>
      <c r="H235" s="117">
        <f>VLOOKUP(C235,'Talente &amp; Stuff'!BI:CJ,6,FALSE)</f>
        <v>0</v>
      </c>
      <c r="I235" s="117">
        <f>VLOOKUP(C235,'Talente &amp; Stuff'!BI:CJ,7,FALSE)</f>
        <v>0</v>
      </c>
      <c r="J235" s="117">
        <f>VLOOKUP(C235,'Talente &amp; Stuff'!BI:CJ,8,FALSE)</f>
        <v>0</v>
      </c>
      <c r="K235" s="117">
        <f>VLOOKUP(C235,'Talente &amp; Stuff'!BI:CJ,9,FALSE)</f>
        <v>0</v>
      </c>
      <c r="L235" s="117">
        <f>VLOOKUP(C235,'Talente &amp; Stuff'!BI:CJ,10,FALSE)</f>
        <v>0</v>
      </c>
      <c r="M235" s="121">
        <f>VLOOKUP(C235,'Talente &amp; Stuff'!BI:CJ,11,FALSE)</f>
        <v>0</v>
      </c>
      <c r="N235" s="47">
        <f>VLOOKUP(C235,'Talente &amp; Stuff'!BI:CJ,12,FALSE)</f>
        <v>0</v>
      </c>
      <c r="O235" s="3">
        <f>VLOOKUP(C235,'Talente &amp; Stuff'!BI:CJ,13,FALSE)</f>
        <v>0</v>
      </c>
      <c r="P235" s="174">
        <f>VLOOKUP(C235,'Talente &amp; Stuff'!BI:CJ,14,FALSE)</f>
        <v>0</v>
      </c>
      <c r="Q235" s="114">
        <f>VLOOKUP(C235,'Talente &amp; Stuff'!BI:CJ,15,FALSE)</f>
        <v>0</v>
      </c>
      <c r="R235" s="117">
        <f>VLOOKUP(C235,'Talente &amp; Stuff'!BI:CJ,16,FALSE)</f>
        <v>0</v>
      </c>
      <c r="S235" s="119">
        <f>VLOOKUP(C235,'Talente &amp; Stuff'!BI:CJ,17,FALSE)</f>
        <v>0</v>
      </c>
      <c r="T235" s="119">
        <f>VLOOKUP(C235,'Talente &amp; Stuff'!BI:CJ,18,FALSE)</f>
        <v>0</v>
      </c>
      <c r="U235" s="89">
        <f>VLOOKUP(C235,'Talente &amp; Stuff'!BI:CJ,19,FALSE)</f>
        <v>0</v>
      </c>
      <c r="V235" s="47">
        <f>VLOOKUP(C235,'Talente &amp; Stuff'!BI:CJ,20,FALSE)</f>
        <v>0</v>
      </c>
      <c r="W235" s="127">
        <f>VLOOKUP(C235,'Talente &amp; Stuff'!BI:CJ,21,FALSE)</f>
        <v>0</v>
      </c>
      <c r="X235" s="127">
        <f>VLOOKUP(C235,'Talente &amp; Stuff'!BI:CJ,22,FALSE)</f>
        <v>0</v>
      </c>
      <c r="Y235" s="165">
        <f t="shared" si="20"/>
        <v>0</v>
      </c>
      <c r="Z235" s="44">
        <f t="shared" si="21"/>
        <v>0</v>
      </c>
      <c r="AA235" s="125">
        <f>VLOOKUP(C235,'Talente &amp; Stuff'!BI:CJ,25,FALSE)</f>
        <v>0</v>
      </c>
      <c r="AB235" s="160">
        <f>VLOOKUP(C235,'Talente &amp; Stuff'!BI:CJ,26,FALSE)</f>
        <v>0</v>
      </c>
      <c r="AC235" s="127">
        <f>VLOOKUP(C235,'Talente &amp; Stuff'!BI:CJ,27,FALSE)</f>
        <v>0</v>
      </c>
      <c r="AD235" s="125">
        <f>VLOOKUP(C235,'Talente &amp; Stuff'!BI:CJ,28,FALSE)</f>
        <v>0</v>
      </c>
      <c r="AE235" s="28"/>
    </row>
    <row r="236" spans="2:31" ht="15" hidden="1" customHeight="1" outlineLevel="2">
      <c r="B236" s="148">
        <v>24</v>
      </c>
      <c r="C236" s="177" t="str">
        <f>Attribute!C236</f>
        <v>---</v>
      </c>
      <c r="D236" s="86" t="str">
        <f>VLOOKUP(C236,'Talente &amp; Stuff'!BI:CJ,2,FALSE)</f>
        <v>--/--/--</v>
      </c>
      <c r="E236" s="167" t="str">
        <f>VLOOKUP(C236,'Talente &amp; Stuff'!BI:CJ,3,FALSE)</f>
        <v>-</v>
      </c>
      <c r="F236" s="120">
        <f>VLOOKUP(C236,'Talente &amp; Stuff'!BI:CJ,4,FALSE)</f>
        <v>0</v>
      </c>
      <c r="G236" s="117">
        <f>VLOOKUP(C236,'Talente &amp; Stuff'!BI:CJ,5,FALSE)</f>
        <v>0</v>
      </c>
      <c r="H236" s="117">
        <f>VLOOKUP(C236,'Talente &amp; Stuff'!BI:CJ,6,FALSE)</f>
        <v>0</v>
      </c>
      <c r="I236" s="117">
        <f>VLOOKUP(C236,'Talente &amp; Stuff'!BI:CJ,7,FALSE)</f>
        <v>0</v>
      </c>
      <c r="J236" s="117">
        <f>VLOOKUP(C236,'Talente &amp; Stuff'!BI:CJ,8,FALSE)</f>
        <v>0</v>
      </c>
      <c r="K236" s="117">
        <f>VLOOKUP(C236,'Talente &amp; Stuff'!BI:CJ,9,FALSE)</f>
        <v>0</v>
      </c>
      <c r="L236" s="117">
        <f>VLOOKUP(C236,'Talente &amp; Stuff'!BI:CJ,10,FALSE)</f>
        <v>0</v>
      </c>
      <c r="M236" s="121">
        <f>VLOOKUP(C236,'Talente &amp; Stuff'!BI:CJ,11,FALSE)</f>
        <v>0</v>
      </c>
      <c r="N236" s="47">
        <f>VLOOKUP(C236,'Talente &amp; Stuff'!BI:CJ,12,FALSE)</f>
        <v>0</v>
      </c>
      <c r="O236" s="3">
        <f>VLOOKUP(C236,'Talente &amp; Stuff'!BI:CJ,13,FALSE)</f>
        <v>0</v>
      </c>
      <c r="P236" s="174">
        <f>VLOOKUP(C236,'Talente &amp; Stuff'!BI:CJ,14,FALSE)</f>
        <v>0</v>
      </c>
      <c r="Q236" s="114">
        <f>VLOOKUP(C236,'Talente &amp; Stuff'!BI:CJ,15,FALSE)</f>
        <v>0</v>
      </c>
      <c r="R236" s="117">
        <f>VLOOKUP(C236,'Talente &amp; Stuff'!BI:CJ,16,FALSE)</f>
        <v>0</v>
      </c>
      <c r="S236" s="119">
        <f>VLOOKUP(C236,'Talente &amp; Stuff'!BI:CJ,17,FALSE)</f>
        <v>0</v>
      </c>
      <c r="T236" s="119">
        <f>VLOOKUP(C236,'Talente &amp; Stuff'!BI:CJ,18,FALSE)</f>
        <v>0</v>
      </c>
      <c r="U236" s="89">
        <f>VLOOKUP(C236,'Talente &amp; Stuff'!BI:CJ,19,FALSE)</f>
        <v>0</v>
      </c>
      <c r="V236" s="47">
        <f>VLOOKUP(C236,'Talente &amp; Stuff'!BI:CJ,20,FALSE)</f>
        <v>0</v>
      </c>
      <c r="W236" s="127">
        <f>VLOOKUP(C236,'Talente &amp; Stuff'!BI:CJ,21,FALSE)</f>
        <v>0</v>
      </c>
      <c r="X236" s="127">
        <f>VLOOKUP(C236,'Talente &amp; Stuff'!BI:CJ,22,FALSE)</f>
        <v>0</v>
      </c>
      <c r="Y236" s="165">
        <f t="shared" si="20"/>
        <v>0</v>
      </c>
      <c r="Z236" s="44">
        <f t="shared" si="21"/>
        <v>0</v>
      </c>
      <c r="AA236" s="125">
        <f>VLOOKUP(C236,'Talente &amp; Stuff'!BI:CJ,25,FALSE)</f>
        <v>0</v>
      </c>
      <c r="AB236" s="160">
        <f>VLOOKUP(C236,'Talente &amp; Stuff'!BI:CJ,26,FALSE)</f>
        <v>0</v>
      </c>
      <c r="AC236" s="127">
        <f>VLOOKUP(C236,'Talente &amp; Stuff'!BI:CJ,27,FALSE)</f>
        <v>0</v>
      </c>
      <c r="AD236" s="125">
        <f>VLOOKUP(C236,'Talente &amp; Stuff'!BI:CJ,28,FALSE)</f>
        <v>0</v>
      </c>
      <c r="AE236" s="28"/>
    </row>
    <row r="237" spans="2:31" ht="15" hidden="1" customHeight="1" outlineLevel="2">
      <c r="B237" s="148">
        <v>25</v>
      </c>
      <c r="C237" s="177" t="str">
        <f>Attribute!C237</f>
        <v>---</v>
      </c>
      <c r="D237" s="86" t="str">
        <f>VLOOKUP(C237,'Talente &amp; Stuff'!BI:CJ,2,FALSE)</f>
        <v>--/--/--</v>
      </c>
      <c r="E237" s="167" t="str">
        <f>VLOOKUP(C237,'Talente &amp; Stuff'!BI:CJ,3,FALSE)</f>
        <v>-</v>
      </c>
      <c r="F237" s="120">
        <f>VLOOKUP(C237,'Talente &amp; Stuff'!BI:CJ,4,FALSE)</f>
        <v>0</v>
      </c>
      <c r="G237" s="117">
        <f>VLOOKUP(C237,'Talente &amp; Stuff'!BI:CJ,5,FALSE)</f>
        <v>0</v>
      </c>
      <c r="H237" s="117">
        <f>VLOOKUP(C237,'Talente &amp; Stuff'!BI:CJ,6,FALSE)</f>
        <v>0</v>
      </c>
      <c r="I237" s="117">
        <f>VLOOKUP(C237,'Talente &amp; Stuff'!BI:CJ,7,FALSE)</f>
        <v>0</v>
      </c>
      <c r="J237" s="117">
        <f>VLOOKUP(C237,'Talente &amp; Stuff'!BI:CJ,8,FALSE)</f>
        <v>0</v>
      </c>
      <c r="K237" s="117">
        <f>VLOOKUP(C237,'Talente &amp; Stuff'!BI:CJ,9,FALSE)</f>
        <v>0</v>
      </c>
      <c r="L237" s="117">
        <f>VLOOKUP(C237,'Talente &amp; Stuff'!BI:CJ,10,FALSE)</f>
        <v>0</v>
      </c>
      <c r="M237" s="121">
        <f>VLOOKUP(C237,'Talente &amp; Stuff'!BI:CJ,11,FALSE)</f>
        <v>0</v>
      </c>
      <c r="N237" s="47">
        <f>VLOOKUP(C237,'Talente &amp; Stuff'!BI:CJ,12,FALSE)</f>
        <v>0</v>
      </c>
      <c r="O237" s="3">
        <f>VLOOKUP(C237,'Talente &amp; Stuff'!BI:CJ,13,FALSE)</f>
        <v>0</v>
      </c>
      <c r="P237" s="174">
        <f>VLOOKUP(C237,'Talente &amp; Stuff'!BI:CJ,14,FALSE)</f>
        <v>0</v>
      </c>
      <c r="Q237" s="114">
        <f>VLOOKUP(C237,'Talente &amp; Stuff'!BI:CJ,15,FALSE)</f>
        <v>0</v>
      </c>
      <c r="R237" s="117">
        <f>VLOOKUP(C237,'Talente &amp; Stuff'!BI:CJ,16,FALSE)</f>
        <v>0</v>
      </c>
      <c r="S237" s="119">
        <f>VLOOKUP(C237,'Talente &amp; Stuff'!BI:CJ,17,FALSE)</f>
        <v>0</v>
      </c>
      <c r="T237" s="119">
        <f>VLOOKUP(C237,'Talente &amp; Stuff'!BI:CJ,18,FALSE)</f>
        <v>0</v>
      </c>
      <c r="U237" s="89">
        <f>VLOOKUP(C237,'Talente &amp; Stuff'!BI:CJ,19,FALSE)</f>
        <v>0</v>
      </c>
      <c r="V237" s="47">
        <f>VLOOKUP(C237,'Talente &amp; Stuff'!BI:CJ,20,FALSE)</f>
        <v>0</v>
      </c>
      <c r="W237" s="127">
        <f>VLOOKUP(C237,'Talente &amp; Stuff'!BI:CJ,21,FALSE)</f>
        <v>0</v>
      </c>
      <c r="X237" s="127">
        <f>VLOOKUP(C237,'Talente &amp; Stuff'!BI:CJ,22,FALSE)</f>
        <v>0</v>
      </c>
      <c r="Y237" s="165">
        <f t="shared" si="20"/>
        <v>0</v>
      </c>
      <c r="Z237" s="44">
        <f t="shared" si="21"/>
        <v>0</v>
      </c>
      <c r="AA237" s="125">
        <f>VLOOKUP(C237,'Talente &amp; Stuff'!BI:CJ,25,FALSE)</f>
        <v>0</v>
      </c>
      <c r="AB237" s="160">
        <f>VLOOKUP(C237,'Talente &amp; Stuff'!BI:CJ,26,FALSE)</f>
        <v>0</v>
      </c>
      <c r="AC237" s="127">
        <f>VLOOKUP(C237,'Talente &amp; Stuff'!BI:CJ,27,FALSE)</f>
        <v>0</v>
      </c>
      <c r="AD237" s="125">
        <f>VLOOKUP(C237,'Talente &amp; Stuff'!BI:CJ,28,FALSE)</f>
        <v>0</v>
      </c>
      <c r="AE237" s="28"/>
    </row>
    <row r="238" spans="2:31" ht="15" hidden="1" customHeight="1" outlineLevel="2">
      <c r="B238" s="148">
        <v>26</v>
      </c>
      <c r="C238" s="177" t="str">
        <f>Attribute!C238</f>
        <v>---</v>
      </c>
      <c r="D238" s="86" t="str">
        <f>VLOOKUP(C238,'Talente &amp; Stuff'!BI:CJ,2,FALSE)</f>
        <v>--/--/--</v>
      </c>
      <c r="E238" s="167" t="str">
        <f>VLOOKUP(C238,'Talente &amp; Stuff'!BI:CJ,3,FALSE)</f>
        <v>-</v>
      </c>
      <c r="F238" s="120">
        <f>VLOOKUP(C238,'Talente &amp; Stuff'!BI:CJ,4,FALSE)</f>
        <v>0</v>
      </c>
      <c r="G238" s="117">
        <f>VLOOKUP(C238,'Talente &amp; Stuff'!BI:CJ,5,FALSE)</f>
        <v>0</v>
      </c>
      <c r="H238" s="117">
        <f>VLOOKUP(C238,'Talente &amp; Stuff'!BI:CJ,6,FALSE)</f>
        <v>0</v>
      </c>
      <c r="I238" s="117">
        <f>VLOOKUP(C238,'Talente &amp; Stuff'!BI:CJ,7,FALSE)</f>
        <v>0</v>
      </c>
      <c r="J238" s="117">
        <f>VLOOKUP(C238,'Talente &amp; Stuff'!BI:CJ,8,FALSE)</f>
        <v>0</v>
      </c>
      <c r="K238" s="117">
        <f>VLOOKUP(C238,'Talente &amp; Stuff'!BI:CJ,9,FALSE)</f>
        <v>0</v>
      </c>
      <c r="L238" s="117">
        <f>VLOOKUP(C238,'Talente &amp; Stuff'!BI:CJ,10,FALSE)</f>
        <v>0</v>
      </c>
      <c r="M238" s="121">
        <f>VLOOKUP(C238,'Talente &amp; Stuff'!BI:CJ,11,FALSE)</f>
        <v>0</v>
      </c>
      <c r="N238" s="47">
        <f>VLOOKUP(C238,'Talente &amp; Stuff'!BI:CJ,12,FALSE)</f>
        <v>0</v>
      </c>
      <c r="O238" s="3">
        <f>VLOOKUP(C238,'Talente &amp; Stuff'!BI:CJ,13,FALSE)</f>
        <v>0</v>
      </c>
      <c r="P238" s="174">
        <f>VLOOKUP(C238,'Talente &amp; Stuff'!BI:CJ,14,FALSE)</f>
        <v>0</v>
      </c>
      <c r="Q238" s="114">
        <f>VLOOKUP(C238,'Talente &amp; Stuff'!BI:CJ,15,FALSE)</f>
        <v>0</v>
      </c>
      <c r="R238" s="117">
        <f>VLOOKUP(C238,'Talente &amp; Stuff'!BI:CJ,16,FALSE)</f>
        <v>0</v>
      </c>
      <c r="S238" s="119">
        <f>VLOOKUP(C238,'Talente &amp; Stuff'!BI:CJ,17,FALSE)</f>
        <v>0</v>
      </c>
      <c r="T238" s="119">
        <f>VLOOKUP(C238,'Talente &amp; Stuff'!BI:CJ,18,FALSE)</f>
        <v>0</v>
      </c>
      <c r="U238" s="89">
        <f>VLOOKUP(C238,'Talente &amp; Stuff'!BI:CJ,19,FALSE)</f>
        <v>0</v>
      </c>
      <c r="V238" s="47">
        <f>VLOOKUP(C238,'Talente &amp; Stuff'!BI:CJ,20,FALSE)</f>
        <v>0</v>
      </c>
      <c r="W238" s="127">
        <f>VLOOKUP(C238,'Talente &amp; Stuff'!BI:CJ,21,FALSE)</f>
        <v>0</v>
      </c>
      <c r="X238" s="127">
        <f>VLOOKUP(C238,'Talente &amp; Stuff'!BI:CJ,22,FALSE)</f>
        <v>0</v>
      </c>
      <c r="Y238" s="165">
        <f t="shared" si="20"/>
        <v>0</v>
      </c>
      <c r="Z238" s="44">
        <f t="shared" si="21"/>
        <v>0</v>
      </c>
      <c r="AA238" s="125">
        <f>VLOOKUP(C238,'Talente &amp; Stuff'!BI:CJ,25,FALSE)</f>
        <v>0</v>
      </c>
      <c r="AB238" s="160">
        <f>VLOOKUP(C238,'Talente &amp; Stuff'!BI:CJ,26,FALSE)</f>
        <v>0</v>
      </c>
      <c r="AC238" s="127">
        <f>VLOOKUP(C238,'Talente &amp; Stuff'!BI:CJ,27,FALSE)</f>
        <v>0</v>
      </c>
      <c r="AD238" s="125">
        <f>VLOOKUP(C238,'Talente &amp; Stuff'!BI:CJ,28,FALSE)</f>
        <v>0</v>
      </c>
      <c r="AE238" s="28"/>
    </row>
    <row r="239" spans="2:31" ht="15" hidden="1" customHeight="1" outlineLevel="2">
      <c r="B239" s="148">
        <v>27</v>
      </c>
      <c r="C239" s="177" t="str">
        <f>Attribute!C239</f>
        <v>---</v>
      </c>
      <c r="D239" s="86" t="str">
        <f>VLOOKUP(C239,'Talente &amp; Stuff'!BI:CJ,2,FALSE)</f>
        <v>--/--/--</v>
      </c>
      <c r="E239" s="167" t="str">
        <f>VLOOKUP(C239,'Talente &amp; Stuff'!BI:CJ,3,FALSE)</f>
        <v>-</v>
      </c>
      <c r="F239" s="120">
        <f>VLOOKUP(C239,'Talente &amp; Stuff'!BI:CJ,4,FALSE)</f>
        <v>0</v>
      </c>
      <c r="G239" s="117">
        <f>VLOOKUP(C239,'Talente &amp; Stuff'!BI:CJ,5,FALSE)</f>
        <v>0</v>
      </c>
      <c r="H239" s="117">
        <f>VLOOKUP(C239,'Talente &amp; Stuff'!BI:CJ,6,FALSE)</f>
        <v>0</v>
      </c>
      <c r="I239" s="117">
        <f>VLOOKUP(C239,'Talente &amp; Stuff'!BI:CJ,7,FALSE)</f>
        <v>0</v>
      </c>
      <c r="J239" s="117">
        <f>VLOOKUP(C239,'Talente &amp; Stuff'!BI:CJ,8,FALSE)</f>
        <v>0</v>
      </c>
      <c r="K239" s="117">
        <f>VLOOKUP(C239,'Talente &amp; Stuff'!BI:CJ,9,FALSE)</f>
        <v>0</v>
      </c>
      <c r="L239" s="117">
        <f>VLOOKUP(C239,'Talente &amp; Stuff'!BI:CJ,10,FALSE)</f>
        <v>0</v>
      </c>
      <c r="M239" s="121">
        <f>VLOOKUP(C239,'Talente &amp; Stuff'!BI:CJ,11,FALSE)</f>
        <v>0</v>
      </c>
      <c r="N239" s="47">
        <f>VLOOKUP(C239,'Talente &amp; Stuff'!BI:CJ,12,FALSE)</f>
        <v>0</v>
      </c>
      <c r="O239" s="3">
        <f>VLOOKUP(C239,'Talente &amp; Stuff'!BI:CJ,13,FALSE)</f>
        <v>0</v>
      </c>
      <c r="P239" s="174">
        <f>VLOOKUP(C239,'Talente &amp; Stuff'!BI:CJ,14,FALSE)</f>
        <v>0</v>
      </c>
      <c r="Q239" s="114">
        <f>VLOOKUP(C239,'Talente &amp; Stuff'!BI:CJ,15,FALSE)</f>
        <v>0</v>
      </c>
      <c r="R239" s="117">
        <f>VLOOKUP(C239,'Talente &amp; Stuff'!BI:CJ,16,FALSE)</f>
        <v>0</v>
      </c>
      <c r="S239" s="119">
        <f>VLOOKUP(C239,'Talente &amp; Stuff'!BI:CJ,17,FALSE)</f>
        <v>0</v>
      </c>
      <c r="T239" s="119">
        <f>VLOOKUP(C239,'Talente &amp; Stuff'!BI:CJ,18,FALSE)</f>
        <v>0</v>
      </c>
      <c r="U239" s="89">
        <f>VLOOKUP(C239,'Talente &amp; Stuff'!BI:CJ,19,FALSE)</f>
        <v>0</v>
      </c>
      <c r="V239" s="47">
        <f>VLOOKUP(C239,'Talente &amp; Stuff'!BI:CJ,20,FALSE)</f>
        <v>0</v>
      </c>
      <c r="W239" s="127">
        <f>VLOOKUP(C239,'Talente &amp; Stuff'!BI:CJ,21,FALSE)</f>
        <v>0</v>
      </c>
      <c r="X239" s="127">
        <f>VLOOKUP(C239,'Talente &amp; Stuff'!BI:CJ,22,FALSE)</f>
        <v>0</v>
      </c>
      <c r="Y239" s="165">
        <f t="shared" si="20"/>
        <v>0</v>
      </c>
      <c r="Z239" s="44">
        <f t="shared" si="21"/>
        <v>0</v>
      </c>
      <c r="AA239" s="125">
        <f>VLOOKUP(C239,'Talente &amp; Stuff'!BI:CJ,25,FALSE)</f>
        <v>0</v>
      </c>
      <c r="AB239" s="160">
        <f>VLOOKUP(C239,'Talente &amp; Stuff'!BI:CJ,26,FALSE)</f>
        <v>0</v>
      </c>
      <c r="AC239" s="127">
        <f>VLOOKUP(C239,'Talente &amp; Stuff'!BI:CJ,27,FALSE)</f>
        <v>0</v>
      </c>
      <c r="AD239" s="125">
        <f>VLOOKUP(C239,'Talente &amp; Stuff'!BI:CJ,28,FALSE)</f>
        <v>0</v>
      </c>
      <c r="AE239" s="28"/>
    </row>
    <row r="240" spans="2:31" ht="15" hidden="1" customHeight="1" outlineLevel="2">
      <c r="B240" s="148">
        <v>28</v>
      </c>
      <c r="C240" s="177" t="str">
        <f>Attribute!C240</f>
        <v>---</v>
      </c>
      <c r="D240" s="86" t="str">
        <f>VLOOKUP(C240,'Talente &amp; Stuff'!BI:CJ,2,FALSE)</f>
        <v>--/--/--</v>
      </c>
      <c r="E240" s="167" t="str">
        <f>VLOOKUP(C240,'Talente &amp; Stuff'!BI:CJ,3,FALSE)</f>
        <v>-</v>
      </c>
      <c r="F240" s="120">
        <f>VLOOKUP(C240,'Talente &amp; Stuff'!BI:CJ,4,FALSE)</f>
        <v>0</v>
      </c>
      <c r="G240" s="117">
        <f>VLOOKUP(C240,'Talente &amp; Stuff'!BI:CJ,5,FALSE)</f>
        <v>0</v>
      </c>
      <c r="H240" s="117">
        <f>VLOOKUP(C240,'Talente &amp; Stuff'!BI:CJ,6,FALSE)</f>
        <v>0</v>
      </c>
      <c r="I240" s="117">
        <f>VLOOKUP(C240,'Talente &amp; Stuff'!BI:CJ,7,FALSE)</f>
        <v>0</v>
      </c>
      <c r="J240" s="117">
        <f>VLOOKUP(C240,'Talente &amp; Stuff'!BI:CJ,8,FALSE)</f>
        <v>0</v>
      </c>
      <c r="K240" s="117">
        <f>VLOOKUP(C240,'Talente &amp; Stuff'!BI:CJ,9,FALSE)</f>
        <v>0</v>
      </c>
      <c r="L240" s="117">
        <f>VLOOKUP(C240,'Talente &amp; Stuff'!BI:CJ,10,FALSE)</f>
        <v>0</v>
      </c>
      <c r="M240" s="121">
        <f>VLOOKUP(C240,'Talente &amp; Stuff'!BI:CJ,11,FALSE)</f>
        <v>0</v>
      </c>
      <c r="N240" s="47">
        <f>VLOOKUP(C240,'Talente &amp; Stuff'!BI:CJ,12,FALSE)</f>
        <v>0</v>
      </c>
      <c r="O240" s="3">
        <f>VLOOKUP(C240,'Talente &amp; Stuff'!BI:CJ,13,FALSE)</f>
        <v>0</v>
      </c>
      <c r="P240" s="174">
        <f>VLOOKUP(C240,'Talente &amp; Stuff'!BI:CJ,14,FALSE)</f>
        <v>0</v>
      </c>
      <c r="Q240" s="114">
        <f>VLOOKUP(C240,'Talente &amp; Stuff'!BI:CJ,15,FALSE)</f>
        <v>0</v>
      </c>
      <c r="R240" s="117">
        <f>VLOOKUP(C240,'Talente &amp; Stuff'!BI:CJ,16,FALSE)</f>
        <v>0</v>
      </c>
      <c r="S240" s="119">
        <f>VLOOKUP(C240,'Talente &amp; Stuff'!BI:CJ,17,FALSE)</f>
        <v>0</v>
      </c>
      <c r="T240" s="119">
        <f>VLOOKUP(C240,'Talente &amp; Stuff'!BI:CJ,18,FALSE)</f>
        <v>0</v>
      </c>
      <c r="U240" s="89">
        <f>VLOOKUP(C240,'Talente &amp; Stuff'!BI:CJ,19,FALSE)</f>
        <v>0</v>
      </c>
      <c r="V240" s="47">
        <f>VLOOKUP(C240,'Talente &amp; Stuff'!BI:CJ,20,FALSE)</f>
        <v>0</v>
      </c>
      <c r="W240" s="127">
        <f>VLOOKUP(C240,'Talente &amp; Stuff'!BI:CJ,21,FALSE)</f>
        <v>0</v>
      </c>
      <c r="X240" s="127">
        <f>VLOOKUP(C240,'Talente &amp; Stuff'!BI:CJ,22,FALSE)</f>
        <v>0</v>
      </c>
      <c r="Y240" s="165">
        <f t="shared" si="20"/>
        <v>0</v>
      </c>
      <c r="Z240" s="44">
        <f t="shared" si="21"/>
        <v>0</v>
      </c>
      <c r="AA240" s="125">
        <f>VLOOKUP(C240,'Talente &amp; Stuff'!BI:CJ,25,FALSE)</f>
        <v>0</v>
      </c>
      <c r="AB240" s="160">
        <f>VLOOKUP(C240,'Talente &amp; Stuff'!BI:CJ,26,FALSE)</f>
        <v>0</v>
      </c>
      <c r="AC240" s="127">
        <f>VLOOKUP(C240,'Talente &amp; Stuff'!BI:CJ,27,FALSE)</f>
        <v>0</v>
      </c>
      <c r="AD240" s="125">
        <f>VLOOKUP(C240,'Talente &amp; Stuff'!BI:CJ,28,FALSE)</f>
        <v>0</v>
      </c>
      <c r="AE240" s="28"/>
    </row>
    <row r="241" spans="2:31" ht="15" hidden="1" customHeight="1" outlineLevel="2">
      <c r="B241" s="148">
        <v>29</v>
      </c>
      <c r="C241" s="177" t="str">
        <f>Attribute!C241</f>
        <v>---</v>
      </c>
      <c r="D241" s="125" t="str">
        <f>VLOOKUP(C241,'Talente &amp; Stuff'!BI:CJ,2,FALSE)</f>
        <v>--/--/--</v>
      </c>
      <c r="E241" s="127" t="str">
        <f>VLOOKUP(C241,'Talente &amp; Stuff'!BI:CJ,3,FALSE)</f>
        <v>-</v>
      </c>
      <c r="F241" s="114">
        <f>VLOOKUP(C241,'Talente &amp; Stuff'!BI:CJ,4,FALSE)</f>
        <v>0</v>
      </c>
      <c r="G241" s="113">
        <f>VLOOKUP(C241,'Talente &amp; Stuff'!BI:CJ,5,FALSE)</f>
        <v>0</v>
      </c>
      <c r="H241" s="113">
        <f>VLOOKUP(C241,'Talente &amp; Stuff'!BI:CJ,6,FALSE)</f>
        <v>0</v>
      </c>
      <c r="I241" s="113">
        <f>VLOOKUP(C241,'Talente &amp; Stuff'!BI:CJ,7,FALSE)</f>
        <v>0</v>
      </c>
      <c r="J241" s="113">
        <f>VLOOKUP(C241,'Talente &amp; Stuff'!BI:CJ,8,FALSE)</f>
        <v>0</v>
      </c>
      <c r="K241" s="113">
        <f>VLOOKUP(C241,'Talente &amp; Stuff'!BI:CJ,9,FALSE)</f>
        <v>0</v>
      </c>
      <c r="L241" s="113">
        <f>VLOOKUP(C241,'Talente &amp; Stuff'!BI:CJ,10,FALSE)</f>
        <v>0</v>
      </c>
      <c r="M241" s="119">
        <f>VLOOKUP(C241,'Talente &amp; Stuff'!BI:CJ,11,FALSE)</f>
        <v>0</v>
      </c>
      <c r="N241" s="47">
        <f>VLOOKUP(C241,'Talente &amp; Stuff'!BI:CJ,12,FALSE)</f>
        <v>0</v>
      </c>
      <c r="O241" s="47">
        <f>VLOOKUP(C241,'Talente &amp; Stuff'!BI:CJ,13,FALSE)</f>
        <v>0</v>
      </c>
      <c r="P241" s="119">
        <f>VLOOKUP(C241,'Talente &amp; Stuff'!BI:CJ,14,FALSE)</f>
        <v>0</v>
      </c>
      <c r="Q241" s="114">
        <f>VLOOKUP(C241,'Talente &amp; Stuff'!BI:CJ,15,FALSE)</f>
        <v>0</v>
      </c>
      <c r="R241" s="113">
        <f>VLOOKUP(C241,'Talente &amp; Stuff'!BI:CJ,16,FALSE)</f>
        <v>0</v>
      </c>
      <c r="S241" s="119">
        <f>VLOOKUP(C241,'Talente &amp; Stuff'!BI:CJ,17,FALSE)</f>
        <v>0</v>
      </c>
      <c r="T241" s="119">
        <f>VLOOKUP(C241,'Talente &amp; Stuff'!BI:CJ,18,FALSE)</f>
        <v>0</v>
      </c>
      <c r="U241" s="89">
        <f>VLOOKUP(C241,'Talente &amp; Stuff'!BI:CJ,19,FALSE)</f>
        <v>0</v>
      </c>
      <c r="V241" s="47">
        <f>VLOOKUP(C241,'Talente &amp; Stuff'!BI:CJ,20,FALSE)</f>
        <v>0</v>
      </c>
      <c r="W241" s="127">
        <f>VLOOKUP(C241,'Talente &amp; Stuff'!BI:CJ,21,FALSE)</f>
        <v>0</v>
      </c>
      <c r="X241" s="127">
        <f>VLOOKUP(C241,'Talente &amp; Stuff'!BI:CJ,22,FALSE)</f>
        <v>0</v>
      </c>
      <c r="Y241" s="165">
        <f t="shared" si="20"/>
        <v>0</v>
      </c>
      <c r="Z241" s="44">
        <f t="shared" si="21"/>
        <v>0</v>
      </c>
      <c r="AA241" s="125">
        <f>VLOOKUP(C241,'Talente &amp; Stuff'!BI:CJ,25,FALSE)</f>
        <v>0</v>
      </c>
      <c r="AB241" s="160">
        <f>VLOOKUP(C241,'Talente &amp; Stuff'!BI:CJ,26,FALSE)</f>
        <v>0</v>
      </c>
      <c r="AC241" s="127">
        <f>VLOOKUP(C241,'Talente &amp; Stuff'!BI:CJ,27,FALSE)</f>
        <v>0</v>
      </c>
      <c r="AD241" s="125">
        <f>VLOOKUP(C241,'Talente &amp; Stuff'!BI:CJ,28,FALSE)</f>
        <v>0</v>
      </c>
      <c r="AE241" s="28"/>
    </row>
    <row r="242" spans="2:31" ht="15" hidden="1" customHeight="1" outlineLevel="2">
      <c r="B242" s="148">
        <v>30</v>
      </c>
      <c r="C242" s="177" t="str">
        <f>Attribute!C242</f>
        <v>---</v>
      </c>
      <c r="D242" s="125" t="str">
        <f>VLOOKUP(C242,'Talente &amp; Stuff'!BI:CJ,2,FALSE)</f>
        <v>--/--/--</v>
      </c>
      <c r="E242" s="127" t="str">
        <f>VLOOKUP(C242,'Talente &amp; Stuff'!BI:CJ,3,FALSE)</f>
        <v>-</v>
      </c>
      <c r="F242" s="114">
        <f>VLOOKUP(C242,'Talente &amp; Stuff'!BI:CJ,4,FALSE)</f>
        <v>0</v>
      </c>
      <c r="G242" s="113">
        <f>VLOOKUP(C242,'Talente &amp; Stuff'!BI:CJ,5,FALSE)</f>
        <v>0</v>
      </c>
      <c r="H242" s="113">
        <f>VLOOKUP(C242,'Talente &amp; Stuff'!BI:CJ,6,FALSE)</f>
        <v>0</v>
      </c>
      <c r="I242" s="113">
        <f>VLOOKUP(C242,'Talente &amp; Stuff'!BI:CJ,7,FALSE)</f>
        <v>0</v>
      </c>
      <c r="J242" s="113">
        <f>VLOOKUP(C242,'Talente &amp; Stuff'!BI:CJ,8,FALSE)</f>
        <v>0</v>
      </c>
      <c r="K242" s="113">
        <f>VLOOKUP(C242,'Talente &amp; Stuff'!BI:CJ,9,FALSE)</f>
        <v>0</v>
      </c>
      <c r="L242" s="113">
        <f>VLOOKUP(C242,'Talente &amp; Stuff'!BI:CJ,10,FALSE)</f>
        <v>0</v>
      </c>
      <c r="M242" s="119">
        <f>VLOOKUP(C242,'Talente &amp; Stuff'!BI:CJ,11,FALSE)</f>
        <v>0</v>
      </c>
      <c r="N242" s="47">
        <f>VLOOKUP(C242,'Talente &amp; Stuff'!BI:CJ,12,FALSE)</f>
        <v>0</v>
      </c>
      <c r="O242" s="47">
        <f>VLOOKUP(C242,'Talente &amp; Stuff'!BI:CJ,13,FALSE)</f>
        <v>0</v>
      </c>
      <c r="P242" s="119">
        <f>VLOOKUP(C242,'Talente &amp; Stuff'!BI:CJ,14,FALSE)</f>
        <v>0</v>
      </c>
      <c r="Q242" s="114">
        <f>VLOOKUP(C242,'Talente &amp; Stuff'!BI:CJ,15,FALSE)</f>
        <v>0</v>
      </c>
      <c r="R242" s="113">
        <f>VLOOKUP(C242,'Talente &amp; Stuff'!BI:CJ,16,FALSE)</f>
        <v>0</v>
      </c>
      <c r="S242" s="119">
        <f>VLOOKUP(C242,'Talente &amp; Stuff'!BI:CJ,17,FALSE)</f>
        <v>0</v>
      </c>
      <c r="T242" s="119">
        <f>VLOOKUP(C242,'Talente &amp; Stuff'!BI:CJ,18,FALSE)</f>
        <v>0</v>
      </c>
      <c r="U242" s="89">
        <f>VLOOKUP(C242,'Talente &amp; Stuff'!BI:CJ,19,FALSE)</f>
        <v>0</v>
      </c>
      <c r="V242" s="47">
        <f>VLOOKUP(C242,'Talente &amp; Stuff'!BI:CJ,20,FALSE)</f>
        <v>0</v>
      </c>
      <c r="W242" s="127">
        <f>VLOOKUP(C242,'Talente &amp; Stuff'!BI:CJ,21,FALSE)</f>
        <v>0</v>
      </c>
      <c r="X242" s="127">
        <f>VLOOKUP(C242,'Talente &amp; Stuff'!BI:CJ,22,FALSE)</f>
        <v>0</v>
      </c>
      <c r="Y242" s="165">
        <f t="shared" si="20"/>
        <v>0</v>
      </c>
      <c r="Z242" s="44">
        <f t="shared" si="21"/>
        <v>0</v>
      </c>
      <c r="AA242" s="125">
        <f>VLOOKUP(C242,'Talente &amp; Stuff'!BI:CJ,25,FALSE)</f>
        <v>0</v>
      </c>
      <c r="AB242" s="160">
        <f>VLOOKUP(C242,'Talente &amp; Stuff'!BI:CJ,26,FALSE)</f>
        <v>0</v>
      </c>
      <c r="AC242" s="127">
        <f>VLOOKUP(C242,'Talente &amp; Stuff'!BI:CJ,27,FALSE)</f>
        <v>0</v>
      </c>
      <c r="AD242" s="125">
        <f>VLOOKUP(C242,'Talente &amp; Stuff'!BI:CJ,28,FALSE)</f>
        <v>0</v>
      </c>
      <c r="AE242" s="28"/>
    </row>
    <row r="243" spans="2:31" ht="15" hidden="1" customHeight="1" outlineLevel="2">
      <c r="B243" s="148">
        <v>31</v>
      </c>
      <c r="C243" s="177" t="str">
        <f>Attribute!C243</f>
        <v>---</v>
      </c>
      <c r="D243" s="125" t="str">
        <f>VLOOKUP(C243,'Talente &amp; Stuff'!BI:CJ,2,FALSE)</f>
        <v>--/--/--</v>
      </c>
      <c r="E243" s="127" t="str">
        <f>VLOOKUP(C243,'Talente &amp; Stuff'!BI:CJ,3,FALSE)</f>
        <v>-</v>
      </c>
      <c r="F243" s="114">
        <f>VLOOKUP(C243,'Talente &amp; Stuff'!BI:CJ,4,FALSE)</f>
        <v>0</v>
      </c>
      <c r="G243" s="113">
        <f>VLOOKUP(C243,'Talente &amp; Stuff'!BI:CJ,5,FALSE)</f>
        <v>0</v>
      </c>
      <c r="H243" s="113">
        <f>VLOOKUP(C243,'Talente &amp; Stuff'!BI:CJ,6,FALSE)</f>
        <v>0</v>
      </c>
      <c r="I243" s="113">
        <f>VLOOKUP(C243,'Talente &amp; Stuff'!BI:CJ,7,FALSE)</f>
        <v>0</v>
      </c>
      <c r="J243" s="113">
        <f>VLOOKUP(C243,'Talente &amp; Stuff'!BI:CJ,8,FALSE)</f>
        <v>0</v>
      </c>
      <c r="K243" s="113">
        <f>VLOOKUP(C243,'Talente &amp; Stuff'!BI:CJ,9,FALSE)</f>
        <v>0</v>
      </c>
      <c r="L243" s="113">
        <f>VLOOKUP(C243,'Talente &amp; Stuff'!BI:CJ,10,FALSE)</f>
        <v>0</v>
      </c>
      <c r="M243" s="119">
        <f>VLOOKUP(C243,'Talente &amp; Stuff'!BI:CJ,11,FALSE)</f>
        <v>0</v>
      </c>
      <c r="N243" s="47">
        <f>VLOOKUP(C243,'Talente &amp; Stuff'!BI:CJ,12,FALSE)</f>
        <v>0</v>
      </c>
      <c r="O243" s="47">
        <f>VLOOKUP(C243,'Talente &amp; Stuff'!BI:CJ,13,FALSE)</f>
        <v>0</v>
      </c>
      <c r="P243" s="119">
        <f>VLOOKUP(C243,'Talente &amp; Stuff'!BI:CJ,14,FALSE)</f>
        <v>0</v>
      </c>
      <c r="Q243" s="114">
        <f>VLOOKUP(C243,'Talente &amp; Stuff'!BI:CJ,15,FALSE)</f>
        <v>0</v>
      </c>
      <c r="R243" s="113">
        <f>VLOOKUP(C243,'Talente &amp; Stuff'!BI:CJ,16,FALSE)</f>
        <v>0</v>
      </c>
      <c r="S243" s="119">
        <f>VLOOKUP(C243,'Talente &amp; Stuff'!BI:CJ,17,FALSE)</f>
        <v>0</v>
      </c>
      <c r="T243" s="119">
        <f>VLOOKUP(C243,'Talente &amp; Stuff'!BI:CJ,18,FALSE)</f>
        <v>0</v>
      </c>
      <c r="U243" s="89">
        <f>VLOOKUP(C243,'Talente &amp; Stuff'!BI:CJ,19,FALSE)</f>
        <v>0</v>
      </c>
      <c r="V243" s="47">
        <f>VLOOKUP(C243,'Talente &amp; Stuff'!BI:CJ,20,FALSE)</f>
        <v>0</v>
      </c>
      <c r="W243" s="127">
        <f>VLOOKUP(C243,'Talente &amp; Stuff'!BI:CJ,21,FALSE)</f>
        <v>0</v>
      </c>
      <c r="X243" s="127">
        <f>VLOOKUP(C243,'Talente &amp; Stuff'!BI:CJ,22,FALSE)</f>
        <v>0</v>
      </c>
      <c r="Y243" s="165">
        <f t="shared" si="20"/>
        <v>0</v>
      </c>
      <c r="Z243" s="44">
        <f t="shared" si="21"/>
        <v>0</v>
      </c>
      <c r="AA243" s="125">
        <f>VLOOKUP(C243,'Talente &amp; Stuff'!BI:CJ,25,FALSE)</f>
        <v>0</v>
      </c>
      <c r="AB243" s="160">
        <f>VLOOKUP(C243,'Talente &amp; Stuff'!BI:CJ,26,FALSE)</f>
        <v>0</v>
      </c>
      <c r="AC243" s="127">
        <f>VLOOKUP(C243,'Talente &amp; Stuff'!BI:CJ,27,FALSE)</f>
        <v>0</v>
      </c>
      <c r="AD243" s="125">
        <f>VLOOKUP(C243,'Talente &amp; Stuff'!BI:CJ,28,FALSE)</f>
        <v>0</v>
      </c>
      <c r="AE243" s="28"/>
    </row>
    <row r="244" spans="2:31" ht="15" hidden="1" customHeight="1" outlineLevel="2">
      <c r="B244" s="148">
        <v>32</v>
      </c>
      <c r="C244" s="177" t="str">
        <f>Attribute!C244</f>
        <v>---</v>
      </c>
      <c r="D244" s="125" t="str">
        <f>VLOOKUP(C244,'Talente &amp; Stuff'!BI:CJ,2,FALSE)</f>
        <v>--/--/--</v>
      </c>
      <c r="E244" s="127" t="str">
        <f>VLOOKUP(C244,'Talente &amp; Stuff'!BI:CJ,3,FALSE)</f>
        <v>-</v>
      </c>
      <c r="F244" s="114">
        <f>VLOOKUP(C244,'Talente &amp; Stuff'!BI:CJ,4,FALSE)</f>
        <v>0</v>
      </c>
      <c r="G244" s="113">
        <f>VLOOKUP(C244,'Talente &amp; Stuff'!BI:CJ,5,FALSE)</f>
        <v>0</v>
      </c>
      <c r="H244" s="113">
        <f>VLOOKUP(C244,'Talente &amp; Stuff'!BI:CJ,6,FALSE)</f>
        <v>0</v>
      </c>
      <c r="I244" s="113">
        <f>VLOOKUP(C244,'Talente &amp; Stuff'!BI:CJ,7,FALSE)</f>
        <v>0</v>
      </c>
      <c r="J244" s="113">
        <f>VLOOKUP(C244,'Talente &amp; Stuff'!BI:CJ,8,FALSE)</f>
        <v>0</v>
      </c>
      <c r="K244" s="113">
        <f>VLOOKUP(C244,'Talente &amp; Stuff'!BI:CJ,9,FALSE)</f>
        <v>0</v>
      </c>
      <c r="L244" s="113">
        <f>VLOOKUP(C244,'Talente &amp; Stuff'!BI:CJ,10,FALSE)</f>
        <v>0</v>
      </c>
      <c r="M244" s="119">
        <f>VLOOKUP(C244,'Talente &amp; Stuff'!BI:CJ,11,FALSE)</f>
        <v>0</v>
      </c>
      <c r="N244" s="47">
        <f>VLOOKUP(C244,'Talente &amp; Stuff'!BI:CJ,12,FALSE)</f>
        <v>0</v>
      </c>
      <c r="O244" s="47">
        <f>VLOOKUP(C244,'Talente &amp; Stuff'!BI:CJ,13,FALSE)</f>
        <v>0</v>
      </c>
      <c r="P244" s="119">
        <f>VLOOKUP(C244,'Talente &amp; Stuff'!BI:CJ,14,FALSE)</f>
        <v>0</v>
      </c>
      <c r="Q244" s="114">
        <f>VLOOKUP(C244,'Talente &amp; Stuff'!BI:CJ,15,FALSE)</f>
        <v>0</v>
      </c>
      <c r="R244" s="113">
        <f>VLOOKUP(C244,'Talente &amp; Stuff'!BI:CJ,16,FALSE)</f>
        <v>0</v>
      </c>
      <c r="S244" s="119">
        <f>VLOOKUP(C244,'Talente &amp; Stuff'!BI:CJ,17,FALSE)</f>
        <v>0</v>
      </c>
      <c r="T244" s="119">
        <f>VLOOKUP(C244,'Talente &amp; Stuff'!BI:CJ,18,FALSE)</f>
        <v>0</v>
      </c>
      <c r="U244" s="89">
        <f>VLOOKUP(C244,'Talente &amp; Stuff'!BI:CJ,19,FALSE)</f>
        <v>0</v>
      </c>
      <c r="V244" s="47">
        <f>VLOOKUP(C244,'Talente &amp; Stuff'!BI:CJ,20,FALSE)</f>
        <v>0</v>
      </c>
      <c r="W244" s="127">
        <f>VLOOKUP(C244,'Talente &amp; Stuff'!BI:CJ,21,FALSE)</f>
        <v>0</v>
      </c>
      <c r="X244" s="127">
        <f>VLOOKUP(C244,'Talente &amp; Stuff'!BI:CJ,22,FALSE)</f>
        <v>0</v>
      </c>
      <c r="Y244" s="165">
        <f t="shared" si="20"/>
        <v>0</v>
      </c>
      <c r="Z244" s="44">
        <f t="shared" si="21"/>
        <v>0</v>
      </c>
      <c r="AA244" s="125">
        <f>VLOOKUP(C244,'Talente &amp; Stuff'!BI:CJ,25,FALSE)</f>
        <v>0</v>
      </c>
      <c r="AB244" s="160">
        <f>VLOOKUP(C244,'Talente &amp; Stuff'!BI:CJ,26,FALSE)</f>
        <v>0</v>
      </c>
      <c r="AC244" s="127">
        <f>VLOOKUP(C244,'Talente &amp; Stuff'!BI:CJ,27,FALSE)</f>
        <v>0</v>
      </c>
      <c r="AD244" s="125">
        <f>VLOOKUP(C244,'Talente &amp; Stuff'!BI:CJ,28,FALSE)</f>
        <v>0</v>
      </c>
      <c r="AE244" s="28"/>
    </row>
    <row r="245" spans="2:31" ht="15" hidden="1" customHeight="1" outlineLevel="2">
      <c r="B245" s="148">
        <v>33</v>
      </c>
      <c r="C245" s="177" t="str">
        <f>Attribute!C245</f>
        <v>---</v>
      </c>
      <c r="D245" s="125" t="str">
        <f>VLOOKUP(C245,'Talente &amp; Stuff'!BI:CJ,2,FALSE)</f>
        <v>--/--/--</v>
      </c>
      <c r="E245" s="127" t="str">
        <f>VLOOKUP(C245,'Talente &amp; Stuff'!BI:CJ,3,FALSE)</f>
        <v>-</v>
      </c>
      <c r="F245" s="114">
        <f>VLOOKUP(C245,'Talente &amp; Stuff'!BI:CJ,4,FALSE)</f>
        <v>0</v>
      </c>
      <c r="G245" s="113">
        <f>VLOOKUP(C245,'Talente &amp; Stuff'!BI:CJ,5,FALSE)</f>
        <v>0</v>
      </c>
      <c r="H245" s="113">
        <f>VLOOKUP(C245,'Talente &amp; Stuff'!BI:CJ,6,FALSE)</f>
        <v>0</v>
      </c>
      <c r="I245" s="113">
        <f>VLOOKUP(C245,'Talente &amp; Stuff'!BI:CJ,7,FALSE)</f>
        <v>0</v>
      </c>
      <c r="J245" s="113">
        <f>VLOOKUP(C245,'Talente &amp; Stuff'!BI:CJ,8,FALSE)</f>
        <v>0</v>
      </c>
      <c r="K245" s="113">
        <f>VLOOKUP(C245,'Talente &amp; Stuff'!BI:CJ,9,FALSE)</f>
        <v>0</v>
      </c>
      <c r="L245" s="113">
        <f>VLOOKUP(C245,'Talente &amp; Stuff'!BI:CJ,10,FALSE)</f>
        <v>0</v>
      </c>
      <c r="M245" s="119">
        <f>VLOOKUP(C245,'Talente &amp; Stuff'!BI:CJ,11,FALSE)</f>
        <v>0</v>
      </c>
      <c r="N245" s="47">
        <f>VLOOKUP(C245,'Talente &amp; Stuff'!BI:CJ,12,FALSE)</f>
        <v>0</v>
      </c>
      <c r="O245" s="47">
        <f>VLOOKUP(C245,'Talente &amp; Stuff'!BI:CJ,13,FALSE)</f>
        <v>0</v>
      </c>
      <c r="P245" s="119">
        <f>VLOOKUP(C245,'Talente &amp; Stuff'!BI:CJ,14,FALSE)</f>
        <v>0</v>
      </c>
      <c r="Q245" s="114">
        <f>VLOOKUP(C245,'Talente &amp; Stuff'!BI:CJ,15,FALSE)</f>
        <v>0</v>
      </c>
      <c r="R245" s="113">
        <f>VLOOKUP(C245,'Talente &amp; Stuff'!BI:CJ,16,FALSE)</f>
        <v>0</v>
      </c>
      <c r="S245" s="119">
        <f>VLOOKUP(C245,'Talente &amp; Stuff'!BI:CJ,17,FALSE)</f>
        <v>0</v>
      </c>
      <c r="T245" s="119">
        <f>VLOOKUP(C245,'Talente &amp; Stuff'!BI:CJ,18,FALSE)</f>
        <v>0</v>
      </c>
      <c r="U245" s="89">
        <f>VLOOKUP(C245,'Talente &amp; Stuff'!BI:CJ,19,FALSE)</f>
        <v>0</v>
      </c>
      <c r="V245" s="47">
        <f>VLOOKUP(C245,'Talente &amp; Stuff'!BI:CJ,20,FALSE)</f>
        <v>0</v>
      </c>
      <c r="W245" s="127">
        <f>VLOOKUP(C245,'Talente &amp; Stuff'!BI:CJ,21,FALSE)</f>
        <v>0</v>
      </c>
      <c r="X245" s="127">
        <f>VLOOKUP(C245,'Talente &amp; Stuff'!BI:CJ,22,FALSE)</f>
        <v>0</v>
      </c>
      <c r="Y245" s="165">
        <f t="shared" si="20"/>
        <v>0</v>
      </c>
      <c r="Z245" s="44">
        <f t="shared" si="21"/>
        <v>0</v>
      </c>
      <c r="AA245" s="125">
        <f>VLOOKUP(C245,'Talente &amp; Stuff'!BI:CJ,25,FALSE)</f>
        <v>0</v>
      </c>
      <c r="AB245" s="160">
        <f>VLOOKUP(C245,'Talente &amp; Stuff'!BI:CJ,26,FALSE)</f>
        <v>0</v>
      </c>
      <c r="AC245" s="127">
        <f>VLOOKUP(C245,'Talente &amp; Stuff'!BI:CJ,27,FALSE)</f>
        <v>0</v>
      </c>
      <c r="AD245" s="125">
        <f>VLOOKUP(C245,'Talente &amp; Stuff'!BI:CJ,28,FALSE)</f>
        <v>0</v>
      </c>
      <c r="AE245" s="28"/>
    </row>
    <row r="246" spans="2:31" ht="15" hidden="1" customHeight="1" outlineLevel="2">
      <c r="B246" s="148">
        <v>34</v>
      </c>
      <c r="C246" s="177" t="str">
        <f>Attribute!C246</f>
        <v>---</v>
      </c>
      <c r="D246" s="125" t="str">
        <f>VLOOKUP(C246,'Talente &amp; Stuff'!BI:CJ,2,FALSE)</f>
        <v>--/--/--</v>
      </c>
      <c r="E246" s="127" t="str">
        <f>VLOOKUP(C246,'Talente &amp; Stuff'!BI:CJ,3,FALSE)</f>
        <v>-</v>
      </c>
      <c r="F246" s="114">
        <f>VLOOKUP(C246,'Talente &amp; Stuff'!BI:CJ,4,FALSE)</f>
        <v>0</v>
      </c>
      <c r="G246" s="113">
        <f>VLOOKUP(C246,'Talente &amp; Stuff'!BI:CJ,5,FALSE)</f>
        <v>0</v>
      </c>
      <c r="H246" s="113">
        <f>VLOOKUP(C246,'Talente &amp; Stuff'!BI:CJ,6,FALSE)</f>
        <v>0</v>
      </c>
      <c r="I246" s="113">
        <f>VLOOKUP(C246,'Talente &amp; Stuff'!BI:CJ,7,FALSE)</f>
        <v>0</v>
      </c>
      <c r="J246" s="113">
        <f>VLOOKUP(C246,'Talente &amp; Stuff'!BI:CJ,8,FALSE)</f>
        <v>0</v>
      </c>
      <c r="K246" s="113">
        <f>VLOOKUP(C246,'Talente &amp; Stuff'!BI:CJ,9,FALSE)</f>
        <v>0</v>
      </c>
      <c r="L246" s="113">
        <f>VLOOKUP(C246,'Talente &amp; Stuff'!BI:CJ,10,FALSE)</f>
        <v>0</v>
      </c>
      <c r="M246" s="119">
        <f>VLOOKUP(C246,'Talente &amp; Stuff'!BI:CJ,11,FALSE)</f>
        <v>0</v>
      </c>
      <c r="N246" s="47">
        <f>VLOOKUP(C246,'Talente &amp; Stuff'!BI:CJ,12,FALSE)</f>
        <v>0</v>
      </c>
      <c r="O246" s="47">
        <f>VLOOKUP(C246,'Talente &amp; Stuff'!BI:CJ,13,FALSE)</f>
        <v>0</v>
      </c>
      <c r="P246" s="119">
        <f>VLOOKUP(C246,'Talente &amp; Stuff'!BI:CJ,14,FALSE)</f>
        <v>0</v>
      </c>
      <c r="Q246" s="114">
        <f>VLOOKUP(C246,'Talente &amp; Stuff'!BI:CJ,15,FALSE)</f>
        <v>0</v>
      </c>
      <c r="R246" s="113">
        <f>VLOOKUP(C246,'Talente &amp; Stuff'!BI:CJ,16,FALSE)</f>
        <v>0</v>
      </c>
      <c r="S246" s="119">
        <f>VLOOKUP(C246,'Talente &amp; Stuff'!BI:CJ,17,FALSE)</f>
        <v>0</v>
      </c>
      <c r="T246" s="119">
        <f>VLOOKUP(C246,'Talente &amp; Stuff'!BI:CJ,18,FALSE)</f>
        <v>0</v>
      </c>
      <c r="U246" s="89">
        <f>VLOOKUP(C246,'Talente &amp; Stuff'!BI:CJ,19,FALSE)</f>
        <v>0</v>
      </c>
      <c r="V246" s="47">
        <f>VLOOKUP(C246,'Talente &amp; Stuff'!BI:CJ,20,FALSE)</f>
        <v>0</v>
      </c>
      <c r="W246" s="127">
        <f>VLOOKUP(C246,'Talente &amp; Stuff'!BI:CJ,21,FALSE)</f>
        <v>0</v>
      </c>
      <c r="X246" s="127">
        <f>VLOOKUP(C246,'Talente &amp; Stuff'!BI:CJ,22,FALSE)</f>
        <v>0</v>
      </c>
      <c r="Y246" s="165">
        <f t="shared" si="20"/>
        <v>0</v>
      </c>
      <c r="Z246" s="44">
        <f t="shared" si="21"/>
        <v>0</v>
      </c>
      <c r="AA246" s="125">
        <f>VLOOKUP(C246,'Talente &amp; Stuff'!BI:CJ,25,FALSE)</f>
        <v>0</v>
      </c>
      <c r="AB246" s="160">
        <f>VLOOKUP(C246,'Talente &amp; Stuff'!BI:CJ,26,FALSE)</f>
        <v>0</v>
      </c>
      <c r="AC246" s="127">
        <f>VLOOKUP(C246,'Talente &amp; Stuff'!BI:CJ,27,FALSE)</f>
        <v>0</v>
      </c>
      <c r="AD246" s="125">
        <f>VLOOKUP(C246,'Talente &amp; Stuff'!BI:CJ,28,FALSE)</f>
        <v>0</v>
      </c>
      <c r="AE246" s="28"/>
    </row>
    <row r="247" spans="2:31" ht="15" hidden="1" customHeight="1" outlineLevel="2">
      <c r="B247" s="148">
        <v>35</v>
      </c>
      <c r="C247" s="177" t="str">
        <f>Attribute!C247</f>
        <v>---</v>
      </c>
      <c r="D247" s="125" t="str">
        <f>VLOOKUP(C247,'Talente &amp; Stuff'!BI:CJ,2,FALSE)</f>
        <v>--/--/--</v>
      </c>
      <c r="E247" s="127" t="str">
        <f>VLOOKUP(C247,'Talente &amp; Stuff'!BI:CJ,3,FALSE)</f>
        <v>-</v>
      </c>
      <c r="F247" s="114">
        <f>VLOOKUP(C247,'Talente &amp; Stuff'!BI:CJ,4,FALSE)</f>
        <v>0</v>
      </c>
      <c r="G247" s="113">
        <f>VLOOKUP(C247,'Talente &amp; Stuff'!BI:CJ,5,FALSE)</f>
        <v>0</v>
      </c>
      <c r="H247" s="113">
        <f>VLOOKUP(C247,'Talente &amp; Stuff'!BI:CJ,6,FALSE)</f>
        <v>0</v>
      </c>
      <c r="I247" s="113">
        <f>VLOOKUP(C247,'Talente &amp; Stuff'!BI:CJ,7,FALSE)</f>
        <v>0</v>
      </c>
      <c r="J247" s="113">
        <f>VLOOKUP(C247,'Talente &amp; Stuff'!BI:CJ,8,FALSE)</f>
        <v>0</v>
      </c>
      <c r="K247" s="113">
        <f>VLOOKUP(C247,'Talente &amp; Stuff'!BI:CJ,9,FALSE)</f>
        <v>0</v>
      </c>
      <c r="L247" s="113">
        <f>VLOOKUP(C247,'Talente &amp; Stuff'!BI:CJ,10,FALSE)</f>
        <v>0</v>
      </c>
      <c r="M247" s="119">
        <f>VLOOKUP(C247,'Talente &amp; Stuff'!BI:CJ,11,FALSE)</f>
        <v>0</v>
      </c>
      <c r="N247" s="47">
        <f>VLOOKUP(C247,'Talente &amp; Stuff'!BI:CJ,12,FALSE)</f>
        <v>0</v>
      </c>
      <c r="O247" s="47">
        <f>VLOOKUP(C247,'Talente &amp; Stuff'!BI:CJ,13,FALSE)</f>
        <v>0</v>
      </c>
      <c r="P247" s="119">
        <f>VLOOKUP(C247,'Talente &amp; Stuff'!BI:CJ,14,FALSE)</f>
        <v>0</v>
      </c>
      <c r="Q247" s="114">
        <f>VLOOKUP(C247,'Talente &amp; Stuff'!BI:CJ,15,FALSE)</f>
        <v>0</v>
      </c>
      <c r="R247" s="113">
        <f>VLOOKUP(C247,'Talente &amp; Stuff'!BI:CJ,16,FALSE)</f>
        <v>0</v>
      </c>
      <c r="S247" s="119">
        <f>VLOOKUP(C247,'Talente &amp; Stuff'!BI:CJ,17,FALSE)</f>
        <v>0</v>
      </c>
      <c r="T247" s="119">
        <f>VLOOKUP(C247,'Talente &amp; Stuff'!BI:CJ,18,FALSE)</f>
        <v>0</v>
      </c>
      <c r="U247" s="89">
        <f>VLOOKUP(C247,'Talente &amp; Stuff'!BI:CJ,19,FALSE)</f>
        <v>0</v>
      </c>
      <c r="V247" s="47">
        <f>VLOOKUP(C247,'Talente &amp; Stuff'!BI:CJ,20,FALSE)</f>
        <v>0</v>
      </c>
      <c r="W247" s="127">
        <f>VLOOKUP(C247,'Talente &amp; Stuff'!BI:CJ,21,FALSE)</f>
        <v>0</v>
      </c>
      <c r="X247" s="127">
        <f>VLOOKUP(C247,'Talente &amp; Stuff'!BI:CJ,22,FALSE)</f>
        <v>0</v>
      </c>
      <c r="Y247" s="165">
        <f t="shared" si="20"/>
        <v>0</v>
      </c>
      <c r="Z247" s="44">
        <f t="shared" si="21"/>
        <v>0</v>
      </c>
      <c r="AA247" s="125">
        <f>VLOOKUP(C247,'Talente &amp; Stuff'!BI:CJ,25,FALSE)</f>
        <v>0</v>
      </c>
      <c r="AB247" s="160">
        <f>VLOOKUP(C247,'Talente &amp; Stuff'!BI:CJ,26,FALSE)</f>
        <v>0</v>
      </c>
      <c r="AC247" s="127">
        <f>VLOOKUP(C247,'Talente &amp; Stuff'!BI:CJ,27,FALSE)</f>
        <v>0</v>
      </c>
      <c r="AD247" s="125">
        <f>VLOOKUP(C247,'Talente &amp; Stuff'!BI:CJ,28,FALSE)</f>
        <v>0</v>
      </c>
      <c r="AE247" s="28"/>
    </row>
    <row r="248" spans="2:31" ht="15" hidden="1" customHeight="1" outlineLevel="2">
      <c r="B248" s="148">
        <v>36</v>
      </c>
      <c r="C248" s="177" t="str">
        <f>Attribute!C248</f>
        <v>---</v>
      </c>
      <c r="D248" s="125" t="str">
        <f>VLOOKUP(C248,'Talente &amp; Stuff'!BI:CJ,2,FALSE)</f>
        <v>--/--/--</v>
      </c>
      <c r="E248" s="127" t="str">
        <f>VLOOKUP(C248,'Talente &amp; Stuff'!BI:CJ,3,FALSE)</f>
        <v>-</v>
      </c>
      <c r="F248" s="114">
        <f>VLOOKUP(C248,'Talente &amp; Stuff'!BI:CJ,4,FALSE)</f>
        <v>0</v>
      </c>
      <c r="G248" s="113">
        <f>VLOOKUP(C248,'Talente &amp; Stuff'!BI:CJ,5,FALSE)</f>
        <v>0</v>
      </c>
      <c r="H248" s="113">
        <f>VLOOKUP(C248,'Talente &amp; Stuff'!BI:CJ,6,FALSE)</f>
        <v>0</v>
      </c>
      <c r="I248" s="113">
        <f>VLOOKUP(C248,'Talente &amp; Stuff'!BI:CJ,7,FALSE)</f>
        <v>0</v>
      </c>
      <c r="J248" s="113">
        <f>VLOOKUP(C248,'Talente &amp; Stuff'!BI:CJ,8,FALSE)</f>
        <v>0</v>
      </c>
      <c r="K248" s="113">
        <f>VLOOKUP(C248,'Talente &amp; Stuff'!BI:CJ,9,FALSE)</f>
        <v>0</v>
      </c>
      <c r="L248" s="113">
        <f>VLOOKUP(C248,'Talente &amp; Stuff'!BI:CJ,10,FALSE)</f>
        <v>0</v>
      </c>
      <c r="M248" s="119">
        <f>VLOOKUP(C248,'Talente &amp; Stuff'!BI:CJ,11,FALSE)</f>
        <v>0</v>
      </c>
      <c r="N248" s="47">
        <f>VLOOKUP(C248,'Talente &amp; Stuff'!BI:CJ,12,FALSE)</f>
        <v>0</v>
      </c>
      <c r="O248" s="47">
        <f>VLOOKUP(C248,'Talente &amp; Stuff'!BI:CJ,13,FALSE)</f>
        <v>0</v>
      </c>
      <c r="P248" s="119">
        <f>VLOOKUP(C248,'Talente &amp; Stuff'!BI:CJ,14,FALSE)</f>
        <v>0</v>
      </c>
      <c r="Q248" s="114">
        <f>VLOOKUP(C248,'Talente &amp; Stuff'!BI:CJ,15,FALSE)</f>
        <v>0</v>
      </c>
      <c r="R248" s="113">
        <f>VLOOKUP(C248,'Talente &amp; Stuff'!BI:CJ,16,FALSE)</f>
        <v>0</v>
      </c>
      <c r="S248" s="119">
        <f>VLOOKUP(C248,'Talente &amp; Stuff'!BI:CJ,17,FALSE)</f>
        <v>0</v>
      </c>
      <c r="T248" s="119">
        <f>VLOOKUP(C248,'Talente &amp; Stuff'!BI:CJ,18,FALSE)</f>
        <v>0</v>
      </c>
      <c r="U248" s="89">
        <f>VLOOKUP(C248,'Talente &amp; Stuff'!BI:CJ,19,FALSE)</f>
        <v>0</v>
      </c>
      <c r="V248" s="47">
        <f>VLOOKUP(C248,'Talente &amp; Stuff'!BI:CJ,20,FALSE)</f>
        <v>0</v>
      </c>
      <c r="W248" s="127">
        <f>VLOOKUP(C248,'Talente &amp; Stuff'!BI:CJ,21,FALSE)</f>
        <v>0</v>
      </c>
      <c r="X248" s="127">
        <f>VLOOKUP(C248,'Talente &amp; Stuff'!BI:CJ,22,FALSE)</f>
        <v>0</v>
      </c>
      <c r="Y248" s="165">
        <f t="shared" si="20"/>
        <v>0</v>
      </c>
      <c r="Z248" s="44">
        <f t="shared" si="21"/>
        <v>0</v>
      </c>
      <c r="AA248" s="125">
        <f>VLOOKUP(C248,'Talente &amp; Stuff'!BI:CJ,25,FALSE)</f>
        <v>0</v>
      </c>
      <c r="AB248" s="160">
        <f>VLOOKUP(C248,'Talente &amp; Stuff'!BI:CJ,26,FALSE)</f>
        <v>0</v>
      </c>
      <c r="AC248" s="127">
        <f>VLOOKUP(C248,'Talente &amp; Stuff'!BI:CJ,27,FALSE)</f>
        <v>0</v>
      </c>
      <c r="AD248" s="125">
        <f>VLOOKUP(C248,'Talente &amp; Stuff'!BI:CJ,28,FALSE)</f>
        <v>0</v>
      </c>
      <c r="AE248" s="28"/>
    </row>
    <row r="249" spans="2:31" ht="15" hidden="1" customHeight="1" outlineLevel="2">
      <c r="B249" s="148">
        <v>37</v>
      </c>
      <c r="C249" s="177" t="str">
        <f>Attribute!C249</f>
        <v>---</v>
      </c>
      <c r="D249" s="125" t="str">
        <f>VLOOKUP(C249,'Talente &amp; Stuff'!BI:CJ,2,FALSE)</f>
        <v>--/--/--</v>
      </c>
      <c r="E249" s="127" t="str">
        <f>VLOOKUP(C249,'Talente &amp; Stuff'!BI:CJ,3,FALSE)</f>
        <v>-</v>
      </c>
      <c r="F249" s="114">
        <f>VLOOKUP(C249,'Talente &amp; Stuff'!BI:CJ,4,FALSE)</f>
        <v>0</v>
      </c>
      <c r="G249" s="113">
        <f>VLOOKUP(C249,'Talente &amp; Stuff'!BI:CJ,5,FALSE)</f>
        <v>0</v>
      </c>
      <c r="H249" s="113">
        <f>VLOOKUP(C249,'Talente &amp; Stuff'!BI:CJ,6,FALSE)</f>
        <v>0</v>
      </c>
      <c r="I249" s="113">
        <f>VLOOKUP(C249,'Talente &amp; Stuff'!BI:CJ,7,FALSE)</f>
        <v>0</v>
      </c>
      <c r="J249" s="113">
        <f>VLOOKUP(C249,'Talente &amp; Stuff'!BI:CJ,8,FALSE)</f>
        <v>0</v>
      </c>
      <c r="K249" s="113">
        <f>VLOOKUP(C249,'Talente &amp; Stuff'!BI:CJ,9,FALSE)</f>
        <v>0</v>
      </c>
      <c r="L249" s="113">
        <f>VLOOKUP(C249,'Talente &amp; Stuff'!BI:CJ,10,FALSE)</f>
        <v>0</v>
      </c>
      <c r="M249" s="119">
        <f>VLOOKUP(C249,'Talente &amp; Stuff'!BI:CJ,11,FALSE)</f>
        <v>0</v>
      </c>
      <c r="N249" s="47">
        <f>VLOOKUP(C249,'Talente &amp; Stuff'!BI:CJ,12,FALSE)</f>
        <v>0</v>
      </c>
      <c r="O249" s="47">
        <f>VLOOKUP(C249,'Talente &amp; Stuff'!BI:CJ,13,FALSE)</f>
        <v>0</v>
      </c>
      <c r="P249" s="119">
        <f>VLOOKUP(C249,'Talente &amp; Stuff'!BI:CJ,14,FALSE)</f>
        <v>0</v>
      </c>
      <c r="Q249" s="114">
        <f>VLOOKUP(C249,'Talente &amp; Stuff'!BI:CJ,15,FALSE)</f>
        <v>0</v>
      </c>
      <c r="R249" s="113">
        <f>VLOOKUP(C249,'Talente &amp; Stuff'!BI:CJ,16,FALSE)</f>
        <v>0</v>
      </c>
      <c r="S249" s="119">
        <f>VLOOKUP(C249,'Talente &amp; Stuff'!BI:CJ,17,FALSE)</f>
        <v>0</v>
      </c>
      <c r="T249" s="119">
        <f>VLOOKUP(C249,'Talente &amp; Stuff'!BI:CJ,18,FALSE)</f>
        <v>0</v>
      </c>
      <c r="U249" s="89">
        <f>VLOOKUP(C249,'Talente &amp; Stuff'!BI:CJ,19,FALSE)</f>
        <v>0</v>
      </c>
      <c r="V249" s="47">
        <f>VLOOKUP(C249,'Talente &amp; Stuff'!BI:CJ,20,FALSE)</f>
        <v>0</v>
      </c>
      <c r="W249" s="127">
        <f>VLOOKUP(C249,'Talente &amp; Stuff'!BI:CJ,21,FALSE)</f>
        <v>0</v>
      </c>
      <c r="X249" s="127">
        <f>VLOOKUP(C249,'Talente &amp; Stuff'!BI:CJ,22,FALSE)</f>
        <v>0</v>
      </c>
      <c r="Y249" s="165">
        <f t="shared" si="20"/>
        <v>0</v>
      </c>
      <c r="Z249" s="44">
        <f t="shared" si="21"/>
        <v>0</v>
      </c>
      <c r="AA249" s="125">
        <f>VLOOKUP(C249,'Talente &amp; Stuff'!BI:CJ,25,FALSE)</f>
        <v>0</v>
      </c>
      <c r="AB249" s="160">
        <f>VLOOKUP(C249,'Talente &amp; Stuff'!BI:CJ,26,FALSE)</f>
        <v>0</v>
      </c>
      <c r="AC249" s="127">
        <f>VLOOKUP(C249,'Talente &amp; Stuff'!BI:CJ,27,FALSE)</f>
        <v>0</v>
      </c>
      <c r="AD249" s="125">
        <f>VLOOKUP(C249,'Talente &amp; Stuff'!BI:CJ,28,FALSE)</f>
        <v>0</v>
      </c>
      <c r="AE249" s="28"/>
    </row>
    <row r="250" spans="2:31" ht="15" hidden="1" customHeight="1" outlineLevel="2">
      <c r="B250" s="148">
        <v>38</v>
      </c>
      <c r="C250" s="177" t="str">
        <f>Attribute!C250</f>
        <v>---</v>
      </c>
      <c r="D250" s="125" t="str">
        <f>VLOOKUP(C250,'Talente &amp; Stuff'!BI:CJ,2,FALSE)</f>
        <v>--/--/--</v>
      </c>
      <c r="E250" s="127" t="str">
        <f>VLOOKUP(C250,'Talente &amp; Stuff'!BI:CJ,3,FALSE)</f>
        <v>-</v>
      </c>
      <c r="F250" s="114">
        <f>VLOOKUP(C250,'Talente &amp; Stuff'!BI:CJ,4,FALSE)</f>
        <v>0</v>
      </c>
      <c r="G250" s="113">
        <f>VLOOKUP(C250,'Talente &amp; Stuff'!BI:CJ,5,FALSE)</f>
        <v>0</v>
      </c>
      <c r="H250" s="113">
        <f>VLOOKUP(C250,'Talente &amp; Stuff'!BI:CJ,6,FALSE)</f>
        <v>0</v>
      </c>
      <c r="I250" s="113">
        <f>VLOOKUP(C250,'Talente &amp; Stuff'!BI:CJ,7,FALSE)</f>
        <v>0</v>
      </c>
      <c r="J250" s="113">
        <f>VLOOKUP(C250,'Talente &amp; Stuff'!BI:CJ,8,FALSE)</f>
        <v>0</v>
      </c>
      <c r="K250" s="113">
        <f>VLOOKUP(C250,'Talente &amp; Stuff'!BI:CJ,9,FALSE)</f>
        <v>0</v>
      </c>
      <c r="L250" s="113">
        <f>VLOOKUP(C250,'Talente &amp; Stuff'!BI:CJ,10,FALSE)</f>
        <v>0</v>
      </c>
      <c r="M250" s="119">
        <f>VLOOKUP(C250,'Talente &amp; Stuff'!BI:CJ,11,FALSE)</f>
        <v>0</v>
      </c>
      <c r="N250" s="47">
        <f>VLOOKUP(C250,'Talente &amp; Stuff'!BI:CJ,12,FALSE)</f>
        <v>0</v>
      </c>
      <c r="O250" s="47">
        <f>VLOOKUP(C250,'Talente &amp; Stuff'!BI:CJ,13,FALSE)</f>
        <v>0</v>
      </c>
      <c r="P250" s="119">
        <f>VLOOKUP(C250,'Talente &amp; Stuff'!BI:CJ,14,FALSE)</f>
        <v>0</v>
      </c>
      <c r="Q250" s="114">
        <f>VLOOKUP(C250,'Talente &amp; Stuff'!BI:CJ,15,FALSE)</f>
        <v>0</v>
      </c>
      <c r="R250" s="113">
        <f>VLOOKUP(C250,'Talente &amp; Stuff'!BI:CJ,16,FALSE)</f>
        <v>0</v>
      </c>
      <c r="S250" s="119">
        <f>VLOOKUP(C250,'Talente &amp; Stuff'!BI:CJ,17,FALSE)</f>
        <v>0</v>
      </c>
      <c r="T250" s="119">
        <f>VLOOKUP(C250,'Talente &amp; Stuff'!BI:CJ,18,FALSE)</f>
        <v>0</v>
      </c>
      <c r="U250" s="89">
        <f>VLOOKUP(C250,'Talente &amp; Stuff'!BI:CJ,19,FALSE)</f>
        <v>0</v>
      </c>
      <c r="V250" s="47">
        <f>VLOOKUP(C250,'Talente &amp; Stuff'!BI:CJ,20,FALSE)</f>
        <v>0</v>
      </c>
      <c r="W250" s="127">
        <f>VLOOKUP(C250,'Talente &amp; Stuff'!BI:CJ,21,FALSE)</f>
        <v>0</v>
      </c>
      <c r="X250" s="127">
        <f>VLOOKUP(C250,'Talente &amp; Stuff'!BI:CJ,22,FALSE)</f>
        <v>0</v>
      </c>
      <c r="Y250" s="165">
        <f t="shared" si="20"/>
        <v>0</v>
      </c>
      <c r="Z250" s="44">
        <f t="shared" si="21"/>
        <v>0</v>
      </c>
      <c r="AA250" s="125">
        <f>VLOOKUP(C250,'Talente &amp; Stuff'!BI:CJ,25,FALSE)</f>
        <v>0</v>
      </c>
      <c r="AB250" s="160">
        <f>VLOOKUP(C250,'Talente &amp; Stuff'!BI:CJ,26,FALSE)</f>
        <v>0</v>
      </c>
      <c r="AC250" s="127">
        <f>VLOOKUP(C250,'Talente &amp; Stuff'!BI:CJ,27,FALSE)</f>
        <v>0</v>
      </c>
      <c r="AD250" s="125">
        <f>VLOOKUP(C250,'Talente &amp; Stuff'!BI:CJ,28,FALSE)</f>
        <v>0</v>
      </c>
      <c r="AE250" s="28"/>
    </row>
    <row r="251" spans="2:31" ht="15" hidden="1" customHeight="1" outlineLevel="2">
      <c r="B251" s="148">
        <v>39</v>
      </c>
      <c r="C251" s="177" t="str">
        <f>Attribute!C251</f>
        <v>---</v>
      </c>
      <c r="D251" s="125" t="str">
        <f>VLOOKUP(C251,'Talente &amp; Stuff'!BI:CJ,2,FALSE)</f>
        <v>--/--/--</v>
      </c>
      <c r="E251" s="127" t="str">
        <f>VLOOKUP(C251,'Talente &amp; Stuff'!BI:CJ,3,FALSE)</f>
        <v>-</v>
      </c>
      <c r="F251" s="114">
        <f>VLOOKUP(C251,'Talente &amp; Stuff'!BI:CJ,4,FALSE)</f>
        <v>0</v>
      </c>
      <c r="G251" s="113">
        <f>VLOOKUP(C251,'Talente &amp; Stuff'!BI:CJ,5,FALSE)</f>
        <v>0</v>
      </c>
      <c r="H251" s="113">
        <f>VLOOKUP(C251,'Talente &amp; Stuff'!BI:CJ,6,FALSE)</f>
        <v>0</v>
      </c>
      <c r="I251" s="113">
        <f>VLOOKUP(C251,'Talente &amp; Stuff'!BI:CJ,7,FALSE)</f>
        <v>0</v>
      </c>
      <c r="J251" s="113">
        <f>VLOOKUP(C251,'Talente &amp; Stuff'!BI:CJ,8,FALSE)</f>
        <v>0</v>
      </c>
      <c r="K251" s="113">
        <f>VLOOKUP(C251,'Talente &amp; Stuff'!BI:CJ,9,FALSE)</f>
        <v>0</v>
      </c>
      <c r="L251" s="113">
        <f>VLOOKUP(C251,'Talente &amp; Stuff'!BI:CJ,10,FALSE)</f>
        <v>0</v>
      </c>
      <c r="M251" s="119">
        <f>VLOOKUP(C251,'Talente &amp; Stuff'!BI:CJ,11,FALSE)</f>
        <v>0</v>
      </c>
      <c r="N251" s="47">
        <f>VLOOKUP(C251,'Talente &amp; Stuff'!BI:CJ,12,FALSE)</f>
        <v>0</v>
      </c>
      <c r="O251" s="47">
        <f>VLOOKUP(C251,'Talente &amp; Stuff'!BI:CJ,13,FALSE)</f>
        <v>0</v>
      </c>
      <c r="P251" s="119">
        <f>VLOOKUP(C251,'Talente &amp; Stuff'!BI:CJ,14,FALSE)</f>
        <v>0</v>
      </c>
      <c r="Q251" s="114">
        <f>VLOOKUP(C251,'Talente &amp; Stuff'!BI:CJ,15,FALSE)</f>
        <v>0</v>
      </c>
      <c r="R251" s="113">
        <f>VLOOKUP(C251,'Talente &amp; Stuff'!BI:CJ,16,FALSE)</f>
        <v>0</v>
      </c>
      <c r="S251" s="119">
        <f>VLOOKUP(C251,'Talente &amp; Stuff'!BI:CJ,17,FALSE)</f>
        <v>0</v>
      </c>
      <c r="T251" s="119">
        <f>VLOOKUP(C251,'Talente &amp; Stuff'!BI:CJ,18,FALSE)</f>
        <v>0</v>
      </c>
      <c r="U251" s="89">
        <f>VLOOKUP(C251,'Talente &amp; Stuff'!BI:CJ,19,FALSE)</f>
        <v>0</v>
      </c>
      <c r="V251" s="47">
        <f>VLOOKUP(C251,'Talente &amp; Stuff'!BI:CJ,20,FALSE)</f>
        <v>0</v>
      </c>
      <c r="W251" s="127">
        <f>VLOOKUP(C251,'Talente &amp; Stuff'!BI:CJ,21,FALSE)</f>
        <v>0</v>
      </c>
      <c r="X251" s="127">
        <f>VLOOKUP(C251,'Talente &amp; Stuff'!BI:CJ,22,FALSE)</f>
        <v>0</v>
      </c>
      <c r="Y251" s="165">
        <f t="shared" si="20"/>
        <v>0</v>
      </c>
      <c r="Z251" s="44">
        <f t="shared" si="21"/>
        <v>0</v>
      </c>
      <c r="AA251" s="125">
        <f>VLOOKUP(C251,'Talente &amp; Stuff'!BI:CJ,25,FALSE)</f>
        <v>0</v>
      </c>
      <c r="AB251" s="160">
        <f>VLOOKUP(C251,'Talente &amp; Stuff'!BI:CJ,26,FALSE)</f>
        <v>0</v>
      </c>
      <c r="AC251" s="127">
        <f>VLOOKUP(C251,'Talente &amp; Stuff'!BI:CJ,27,FALSE)</f>
        <v>0</v>
      </c>
      <c r="AD251" s="125">
        <f>VLOOKUP(C251,'Talente &amp; Stuff'!BI:CJ,28,FALSE)</f>
        <v>0</v>
      </c>
      <c r="AE251" s="28"/>
    </row>
    <row r="252" spans="2:31" ht="15" hidden="1" customHeight="1" outlineLevel="2">
      <c r="B252" s="148">
        <v>40</v>
      </c>
      <c r="C252" s="177" t="str">
        <f>Attribute!C252</f>
        <v>---</v>
      </c>
      <c r="D252" s="86" t="str">
        <f>VLOOKUP(C252,'Talente &amp; Stuff'!BI:CJ,2,FALSE)</f>
        <v>--/--/--</v>
      </c>
      <c r="E252" s="127" t="str">
        <f>VLOOKUP(C252,'Talente &amp; Stuff'!BI:CJ,3,FALSE)</f>
        <v>-</v>
      </c>
      <c r="F252" s="114">
        <f>VLOOKUP(C252,'Talente &amp; Stuff'!BI:CJ,4,FALSE)</f>
        <v>0</v>
      </c>
      <c r="G252" s="113">
        <f>VLOOKUP(C252,'Talente &amp; Stuff'!BI:CJ,5,FALSE)</f>
        <v>0</v>
      </c>
      <c r="H252" s="113">
        <f>VLOOKUP(C252,'Talente &amp; Stuff'!BI:CJ,6,FALSE)</f>
        <v>0</v>
      </c>
      <c r="I252" s="113">
        <f>VLOOKUP(C252,'Talente &amp; Stuff'!BI:CJ,7,FALSE)</f>
        <v>0</v>
      </c>
      <c r="J252" s="113">
        <f>VLOOKUP(C252,'Talente &amp; Stuff'!BI:CJ,8,FALSE)</f>
        <v>0</v>
      </c>
      <c r="K252" s="113">
        <f>VLOOKUP(C252,'Talente &amp; Stuff'!BI:CJ,9,FALSE)</f>
        <v>0</v>
      </c>
      <c r="L252" s="113">
        <f>VLOOKUP(C252,'Talente &amp; Stuff'!BI:CJ,10,FALSE)</f>
        <v>0</v>
      </c>
      <c r="M252" s="119">
        <f>VLOOKUP(C252,'Talente &amp; Stuff'!BI:CJ,11,FALSE)</f>
        <v>0</v>
      </c>
      <c r="N252" s="47">
        <f>VLOOKUP(C252,'Talente &amp; Stuff'!BI:CJ,12,FALSE)</f>
        <v>0</v>
      </c>
      <c r="O252" s="3">
        <f>VLOOKUP(C252,'Talente &amp; Stuff'!BI:CJ,13,FALSE)</f>
        <v>0</v>
      </c>
      <c r="P252" s="174">
        <f>VLOOKUP(C252,'Talente &amp; Stuff'!BI:CJ,14,FALSE)</f>
        <v>0</v>
      </c>
      <c r="Q252" s="114">
        <f>VLOOKUP(C252,'Talente &amp; Stuff'!BI:CJ,15,FALSE)</f>
        <v>0</v>
      </c>
      <c r="R252" s="113">
        <f>VLOOKUP(C252,'Talente &amp; Stuff'!BI:CJ,16,FALSE)</f>
        <v>0</v>
      </c>
      <c r="S252" s="119">
        <f>VLOOKUP(C252,'Talente &amp; Stuff'!BI:CJ,17,FALSE)</f>
        <v>0</v>
      </c>
      <c r="T252" s="119">
        <f>VLOOKUP(C252,'Talente &amp; Stuff'!BI:CJ,18,FALSE)</f>
        <v>0</v>
      </c>
      <c r="U252" s="89">
        <f>VLOOKUP(C252,'Talente &amp; Stuff'!BI:CJ,19,FALSE)</f>
        <v>0</v>
      </c>
      <c r="V252" s="47">
        <f>VLOOKUP(C252,'Talente &amp; Stuff'!BI:CJ,20,FALSE)</f>
        <v>0</v>
      </c>
      <c r="W252" s="127">
        <f>VLOOKUP(C252,'Talente &amp; Stuff'!BI:CJ,21,FALSE)</f>
        <v>0</v>
      </c>
      <c r="X252" s="127">
        <f>VLOOKUP(C252,'Talente &amp; Stuff'!BI:CJ,22,FALSE)</f>
        <v>0</v>
      </c>
      <c r="Y252" s="165">
        <f t="shared" si="20"/>
        <v>0</v>
      </c>
      <c r="Z252" s="44">
        <f t="shared" si="21"/>
        <v>0</v>
      </c>
      <c r="AA252" s="125">
        <f>VLOOKUP(C252,'Talente &amp; Stuff'!BI:CJ,25,FALSE)</f>
        <v>0</v>
      </c>
      <c r="AB252" s="160">
        <f>VLOOKUP(C252,'Talente &amp; Stuff'!BI:CJ,26,FALSE)</f>
        <v>0</v>
      </c>
      <c r="AC252" s="127">
        <f>VLOOKUP(C252,'Talente &amp; Stuff'!BI:CJ,27,FALSE)</f>
        <v>0</v>
      </c>
      <c r="AD252" s="125">
        <f>VLOOKUP(C252,'Talente &amp; Stuff'!BI:CJ,28,FALSE)</f>
        <v>0</v>
      </c>
      <c r="AE252" s="28"/>
    </row>
    <row r="253" spans="2:31" ht="15" hidden="1" customHeight="1" outlineLevel="2">
      <c r="B253" s="148">
        <v>41</v>
      </c>
      <c r="C253" s="177" t="str">
        <f>Attribute!C253</f>
        <v>---</v>
      </c>
      <c r="D253" s="125" t="str">
        <f>VLOOKUP(C253,'Talente &amp; Stuff'!BI:CJ,2,FALSE)</f>
        <v>--/--/--</v>
      </c>
      <c r="E253" s="127" t="str">
        <f>VLOOKUP(C253,'Talente &amp; Stuff'!BI:CJ,3,FALSE)</f>
        <v>-</v>
      </c>
      <c r="F253" s="114">
        <f>VLOOKUP(C253,'Talente &amp; Stuff'!BI:CJ,4,FALSE)</f>
        <v>0</v>
      </c>
      <c r="G253" s="113">
        <f>VLOOKUP(C253,'Talente &amp; Stuff'!BI:CJ,5,FALSE)</f>
        <v>0</v>
      </c>
      <c r="H253" s="113">
        <f>VLOOKUP(C253,'Talente &amp; Stuff'!BI:CJ,6,FALSE)</f>
        <v>0</v>
      </c>
      <c r="I253" s="113">
        <f>VLOOKUP(C253,'Talente &amp; Stuff'!BI:CJ,7,FALSE)</f>
        <v>0</v>
      </c>
      <c r="J253" s="113">
        <f>VLOOKUP(C253,'Talente &amp; Stuff'!BI:CJ,8,FALSE)</f>
        <v>0</v>
      </c>
      <c r="K253" s="113">
        <f>VLOOKUP(C253,'Talente &amp; Stuff'!BI:CJ,9,FALSE)</f>
        <v>0</v>
      </c>
      <c r="L253" s="113">
        <f>VLOOKUP(C253,'Talente &amp; Stuff'!BI:CJ,10,FALSE)</f>
        <v>0</v>
      </c>
      <c r="M253" s="119">
        <f>VLOOKUP(C253,'Talente &amp; Stuff'!BI:CJ,11,FALSE)</f>
        <v>0</v>
      </c>
      <c r="N253" s="47">
        <f>VLOOKUP(C253,'Talente &amp; Stuff'!BI:CJ,12,FALSE)</f>
        <v>0</v>
      </c>
      <c r="O253" s="47">
        <f>VLOOKUP(C253,'Talente &amp; Stuff'!BI:CJ,13,FALSE)</f>
        <v>0</v>
      </c>
      <c r="P253" s="119">
        <f>VLOOKUP(C253,'Talente &amp; Stuff'!BI:CJ,14,FALSE)</f>
        <v>0</v>
      </c>
      <c r="Q253" s="114">
        <f>VLOOKUP(C253,'Talente &amp; Stuff'!BI:CJ,15,FALSE)</f>
        <v>0</v>
      </c>
      <c r="R253" s="113">
        <f>VLOOKUP(C253,'Talente &amp; Stuff'!BI:CJ,16,FALSE)</f>
        <v>0</v>
      </c>
      <c r="S253" s="119">
        <f>VLOOKUP(C253,'Talente &amp; Stuff'!BI:CJ,17,FALSE)</f>
        <v>0</v>
      </c>
      <c r="T253" s="119">
        <f>VLOOKUP(C253,'Talente &amp; Stuff'!BI:CJ,18,FALSE)</f>
        <v>0</v>
      </c>
      <c r="U253" s="89">
        <f>VLOOKUP(C253,'Talente &amp; Stuff'!BI:CJ,19,FALSE)</f>
        <v>0</v>
      </c>
      <c r="V253" s="47">
        <f>VLOOKUP(C253,'Talente &amp; Stuff'!BI:CJ,20,FALSE)</f>
        <v>0</v>
      </c>
      <c r="W253" s="127">
        <f>VLOOKUP(C253,'Talente &amp; Stuff'!BI:CJ,21,FALSE)</f>
        <v>0</v>
      </c>
      <c r="X253" s="127">
        <f>VLOOKUP(C253,'Talente &amp; Stuff'!BI:CJ,22,FALSE)</f>
        <v>0</v>
      </c>
      <c r="Y253" s="165">
        <f t="shared" si="20"/>
        <v>0</v>
      </c>
      <c r="Z253" s="44">
        <f t="shared" si="21"/>
        <v>0</v>
      </c>
      <c r="AA253" s="125">
        <f>VLOOKUP(C253,'Talente &amp; Stuff'!BI:CJ,25,FALSE)</f>
        <v>0</v>
      </c>
      <c r="AB253" s="160">
        <f>VLOOKUP(C253,'Talente &amp; Stuff'!BI:CJ,26,FALSE)</f>
        <v>0</v>
      </c>
      <c r="AC253" s="127">
        <f>VLOOKUP(C253,'Talente &amp; Stuff'!BI:CJ,27,FALSE)</f>
        <v>0</v>
      </c>
      <c r="AD253" s="125">
        <f>VLOOKUP(C253,'Talente &amp; Stuff'!BI:CJ,28,FALSE)</f>
        <v>0</v>
      </c>
      <c r="AE253" s="28"/>
    </row>
    <row r="254" spans="2:31" ht="15" hidden="1" customHeight="1" outlineLevel="2">
      <c r="B254" s="148">
        <v>42</v>
      </c>
      <c r="C254" s="177" t="str">
        <f>Attribute!C254</f>
        <v>---</v>
      </c>
      <c r="D254" s="125" t="str">
        <f>VLOOKUP(C254,'Talente &amp; Stuff'!BI:CJ,2,FALSE)</f>
        <v>--/--/--</v>
      </c>
      <c r="E254" s="127" t="str">
        <f>VLOOKUP(C254,'Talente &amp; Stuff'!BI:CJ,3,FALSE)</f>
        <v>-</v>
      </c>
      <c r="F254" s="114">
        <f>VLOOKUP(C254,'Talente &amp; Stuff'!BI:CJ,4,FALSE)</f>
        <v>0</v>
      </c>
      <c r="G254" s="113">
        <f>VLOOKUP(C254,'Talente &amp; Stuff'!BI:CJ,5,FALSE)</f>
        <v>0</v>
      </c>
      <c r="H254" s="113">
        <f>VLOOKUP(C254,'Talente &amp; Stuff'!BI:CJ,6,FALSE)</f>
        <v>0</v>
      </c>
      <c r="I254" s="113">
        <f>VLOOKUP(C254,'Talente &amp; Stuff'!BI:CJ,7,FALSE)</f>
        <v>0</v>
      </c>
      <c r="J254" s="113">
        <f>VLOOKUP(C254,'Talente &amp; Stuff'!BI:CJ,8,FALSE)</f>
        <v>0</v>
      </c>
      <c r="K254" s="113">
        <f>VLOOKUP(C254,'Talente &amp; Stuff'!BI:CJ,9,FALSE)</f>
        <v>0</v>
      </c>
      <c r="L254" s="113">
        <f>VLOOKUP(C254,'Talente &amp; Stuff'!BI:CJ,10,FALSE)</f>
        <v>0</v>
      </c>
      <c r="M254" s="119">
        <f>VLOOKUP(C254,'Talente &amp; Stuff'!BI:CJ,11,FALSE)</f>
        <v>0</v>
      </c>
      <c r="N254" s="47">
        <f>VLOOKUP(C254,'Talente &amp; Stuff'!BI:CJ,12,FALSE)</f>
        <v>0</v>
      </c>
      <c r="O254" s="47">
        <f>VLOOKUP(C254,'Talente &amp; Stuff'!BI:CJ,13,FALSE)</f>
        <v>0</v>
      </c>
      <c r="P254" s="119">
        <f>VLOOKUP(C254,'Talente &amp; Stuff'!BI:CJ,14,FALSE)</f>
        <v>0</v>
      </c>
      <c r="Q254" s="114">
        <f>VLOOKUP(C254,'Talente &amp; Stuff'!BI:CJ,15,FALSE)</f>
        <v>0</v>
      </c>
      <c r="R254" s="113">
        <f>VLOOKUP(C254,'Talente &amp; Stuff'!BI:CJ,16,FALSE)</f>
        <v>0</v>
      </c>
      <c r="S254" s="119">
        <f>VLOOKUP(C254,'Talente &amp; Stuff'!BI:CJ,17,FALSE)</f>
        <v>0</v>
      </c>
      <c r="T254" s="119">
        <f>VLOOKUP(C254,'Talente &amp; Stuff'!BI:CJ,18,FALSE)</f>
        <v>0</v>
      </c>
      <c r="U254" s="89">
        <f>VLOOKUP(C254,'Talente &amp; Stuff'!BI:CJ,19,FALSE)</f>
        <v>0</v>
      </c>
      <c r="V254" s="47">
        <f>VLOOKUP(C254,'Talente &amp; Stuff'!BI:CJ,20,FALSE)</f>
        <v>0</v>
      </c>
      <c r="W254" s="127">
        <f>VLOOKUP(C254,'Talente &amp; Stuff'!BI:CJ,21,FALSE)</f>
        <v>0</v>
      </c>
      <c r="X254" s="127">
        <f>VLOOKUP(C254,'Talente &amp; Stuff'!BI:CJ,22,FALSE)</f>
        <v>0</v>
      </c>
      <c r="Y254" s="165">
        <f t="shared" si="20"/>
        <v>0</v>
      </c>
      <c r="Z254" s="44">
        <f t="shared" si="21"/>
        <v>0</v>
      </c>
      <c r="AA254" s="125">
        <f>VLOOKUP(C254,'Talente &amp; Stuff'!BI:CJ,25,FALSE)</f>
        <v>0</v>
      </c>
      <c r="AB254" s="160">
        <f>VLOOKUP(C254,'Talente &amp; Stuff'!BI:CJ,26,FALSE)</f>
        <v>0</v>
      </c>
      <c r="AC254" s="127">
        <f>VLOOKUP(C254,'Talente &amp; Stuff'!BI:CJ,27,FALSE)</f>
        <v>0</v>
      </c>
      <c r="AD254" s="125">
        <f>VLOOKUP(C254,'Talente &amp; Stuff'!BI:CJ,28,FALSE)</f>
        <v>0</v>
      </c>
      <c r="AE254" s="28"/>
    </row>
    <row r="255" spans="2:31" ht="15" hidden="1" customHeight="1" outlineLevel="2">
      <c r="B255" s="148">
        <v>43</v>
      </c>
      <c r="C255" s="177" t="str">
        <f>Attribute!C255</f>
        <v>---</v>
      </c>
      <c r="D255" s="86" t="str">
        <f>VLOOKUP(C255,'Talente &amp; Stuff'!BI:CJ,2,FALSE)</f>
        <v>--/--/--</v>
      </c>
      <c r="E255" s="127" t="str">
        <f>VLOOKUP(C255,'Talente &amp; Stuff'!BI:CJ,3,FALSE)</f>
        <v>-</v>
      </c>
      <c r="F255" s="114">
        <f>VLOOKUP(C255,'Talente &amp; Stuff'!BI:CJ,4,FALSE)</f>
        <v>0</v>
      </c>
      <c r="G255" s="113">
        <f>VLOOKUP(C255,'Talente &amp; Stuff'!BI:CJ,5,FALSE)</f>
        <v>0</v>
      </c>
      <c r="H255" s="113">
        <f>VLOOKUP(C255,'Talente &amp; Stuff'!BI:CJ,6,FALSE)</f>
        <v>0</v>
      </c>
      <c r="I255" s="113">
        <f>VLOOKUP(C255,'Talente &amp; Stuff'!BI:CJ,7,FALSE)</f>
        <v>0</v>
      </c>
      <c r="J255" s="113">
        <f>VLOOKUP(C255,'Talente &amp; Stuff'!BI:CJ,8,FALSE)</f>
        <v>0</v>
      </c>
      <c r="K255" s="113">
        <f>VLOOKUP(C255,'Talente &amp; Stuff'!BI:CJ,9,FALSE)</f>
        <v>0</v>
      </c>
      <c r="L255" s="113">
        <f>VLOOKUP(C255,'Talente &amp; Stuff'!BI:CJ,10,FALSE)</f>
        <v>0</v>
      </c>
      <c r="M255" s="119">
        <f>VLOOKUP(C255,'Talente &amp; Stuff'!BI:CJ,11,FALSE)</f>
        <v>0</v>
      </c>
      <c r="N255" s="47">
        <f>VLOOKUP(C255,'Talente &amp; Stuff'!BI:CJ,12,FALSE)</f>
        <v>0</v>
      </c>
      <c r="O255" s="3">
        <f>VLOOKUP(C255,'Talente &amp; Stuff'!BI:CJ,13,FALSE)</f>
        <v>0</v>
      </c>
      <c r="P255" s="174">
        <f>VLOOKUP(C255,'Talente &amp; Stuff'!BI:CJ,14,FALSE)</f>
        <v>0</v>
      </c>
      <c r="Q255" s="114">
        <f>VLOOKUP(C255,'Talente &amp; Stuff'!BI:CJ,15,FALSE)</f>
        <v>0</v>
      </c>
      <c r="R255" s="113">
        <f>VLOOKUP(C255,'Talente &amp; Stuff'!BI:CJ,16,FALSE)</f>
        <v>0</v>
      </c>
      <c r="S255" s="119">
        <f>VLOOKUP(C255,'Talente &amp; Stuff'!BI:CJ,17,FALSE)</f>
        <v>0</v>
      </c>
      <c r="T255" s="119">
        <f>VLOOKUP(C255,'Talente &amp; Stuff'!BI:CJ,18,FALSE)</f>
        <v>0</v>
      </c>
      <c r="U255" s="89">
        <f>VLOOKUP(C255,'Talente &amp; Stuff'!BI:CJ,19,FALSE)</f>
        <v>0</v>
      </c>
      <c r="V255" s="47">
        <f>VLOOKUP(C255,'Talente &amp; Stuff'!BI:CJ,20,FALSE)</f>
        <v>0</v>
      </c>
      <c r="W255" s="127">
        <f>VLOOKUP(C255,'Talente &amp; Stuff'!BI:CJ,21,FALSE)</f>
        <v>0</v>
      </c>
      <c r="X255" s="127">
        <f>VLOOKUP(C255,'Talente &amp; Stuff'!BI:CJ,22,FALSE)</f>
        <v>0</v>
      </c>
      <c r="Y255" s="165">
        <f t="shared" si="20"/>
        <v>0</v>
      </c>
      <c r="Z255" s="44">
        <f t="shared" si="21"/>
        <v>0</v>
      </c>
      <c r="AA255" s="125">
        <f>VLOOKUP(C255,'Talente &amp; Stuff'!BI:CJ,25,FALSE)</f>
        <v>0</v>
      </c>
      <c r="AB255" s="160">
        <f>VLOOKUP(C255,'Talente &amp; Stuff'!BI:CJ,26,FALSE)</f>
        <v>0</v>
      </c>
      <c r="AC255" s="127">
        <f>VLOOKUP(C255,'Talente &amp; Stuff'!BI:CJ,27,FALSE)</f>
        <v>0</v>
      </c>
      <c r="AD255" s="125">
        <f>VLOOKUP(C255,'Talente &amp; Stuff'!BI:CJ,28,FALSE)</f>
        <v>0</v>
      </c>
      <c r="AE255" s="28"/>
    </row>
    <row r="256" spans="2:31" ht="15" hidden="1" customHeight="1" outlineLevel="2">
      <c r="B256" s="148">
        <v>44</v>
      </c>
      <c r="C256" s="177" t="str">
        <f>Attribute!C256</f>
        <v>---</v>
      </c>
      <c r="D256" s="125" t="str">
        <f>VLOOKUP(C256,'Talente &amp; Stuff'!BI:CJ,2,FALSE)</f>
        <v>--/--/--</v>
      </c>
      <c r="E256" s="127" t="str">
        <f>VLOOKUP(C256,'Talente &amp; Stuff'!BI:CJ,3,FALSE)</f>
        <v>-</v>
      </c>
      <c r="F256" s="114">
        <f>VLOOKUP(C256,'Talente &amp; Stuff'!BI:CJ,4,FALSE)</f>
        <v>0</v>
      </c>
      <c r="G256" s="113">
        <f>VLOOKUP(C256,'Talente &amp; Stuff'!BI:CJ,5,FALSE)</f>
        <v>0</v>
      </c>
      <c r="H256" s="113">
        <f>VLOOKUP(C256,'Talente &amp; Stuff'!BI:CJ,6,FALSE)</f>
        <v>0</v>
      </c>
      <c r="I256" s="113">
        <f>VLOOKUP(C256,'Talente &amp; Stuff'!BI:CJ,7,FALSE)</f>
        <v>0</v>
      </c>
      <c r="J256" s="113">
        <f>VLOOKUP(C256,'Talente &amp; Stuff'!BI:CJ,8,FALSE)</f>
        <v>0</v>
      </c>
      <c r="K256" s="113">
        <f>VLOOKUP(C256,'Talente &amp; Stuff'!BI:CJ,9,FALSE)</f>
        <v>0</v>
      </c>
      <c r="L256" s="113">
        <f>VLOOKUP(C256,'Talente &amp; Stuff'!BI:CJ,10,FALSE)</f>
        <v>0</v>
      </c>
      <c r="M256" s="119">
        <f>VLOOKUP(C256,'Talente &amp; Stuff'!BI:CJ,11,FALSE)</f>
        <v>0</v>
      </c>
      <c r="N256" s="47">
        <f>VLOOKUP(C256,'Talente &amp; Stuff'!BI:CJ,12,FALSE)</f>
        <v>0</v>
      </c>
      <c r="O256" s="47">
        <f>VLOOKUP(C256,'Talente &amp; Stuff'!BI:CJ,13,FALSE)</f>
        <v>0</v>
      </c>
      <c r="P256" s="119">
        <f>VLOOKUP(C256,'Talente &amp; Stuff'!BI:CJ,14,FALSE)</f>
        <v>0</v>
      </c>
      <c r="Q256" s="114">
        <f>VLOOKUP(C256,'Talente &amp; Stuff'!BI:CJ,15,FALSE)</f>
        <v>0</v>
      </c>
      <c r="R256" s="113">
        <f>VLOOKUP(C256,'Talente &amp; Stuff'!BI:CJ,16,FALSE)</f>
        <v>0</v>
      </c>
      <c r="S256" s="119">
        <f>VLOOKUP(C256,'Talente &amp; Stuff'!BI:CJ,17,FALSE)</f>
        <v>0</v>
      </c>
      <c r="T256" s="119">
        <f>VLOOKUP(C256,'Talente &amp; Stuff'!BI:CJ,18,FALSE)</f>
        <v>0</v>
      </c>
      <c r="U256" s="89">
        <f>VLOOKUP(C256,'Talente &amp; Stuff'!BI:CJ,19,FALSE)</f>
        <v>0</v>
      </c>
      <c r="V256" s="47">
        <f>VLOOKUP(C256,'Talente &amp; Stuff'!BI:CJ,20,FALSE)</f>
        <v>0</v>
      </c>
      <c r="W256" s="127">
        <f>VLOOKUP(C256,'Talente &amp; Stuff'!BI:CJ,21,FALSE)</f>
        <v>0</v>
      </c>
      <c r="X256" s="127">
        <f>VLOOKUP(C256,'Talente &amp; Stuff'!BI:CJ,22,FALSE)</f>
        <v>0</v>
      </c>
      <c r="Y256" s="165">
        <f t="shared" si="20"/>
        <v>0</v>
      </c>
      <c r="Z256" s="44">
        <f t="shared" si="21"/>
        <v>0</v>
      </c>
      <c r="AA256" s="125">
        <f>VLOOKUP(C256,'Talente &amp; Stuff'!BI:CJ,25,FALSE)</f>
        <v>0</v>
      </c>
      <c r="AB256" s="160">
        <f>VLOOKUP(C256,'Talente &amp; Stuff'!BI:CJ,26,FALSE)</f>
        <v>0</v>
      </c>
      <c r="AC256" s="127">
        <f>VLOOKUP(C256,'Talente &amp; Stuff'!BI:CJ,27,FALSE)</f>
        <v>0</v>
      </c>
      <c r="AD256" s="125">
        <f>VLOOKUP(C256,'Talente &amp; Stuff'!BI:CJ,28,FALSE)</f>
        <v>0</v>
      </c>
      <c r="AE256" s="28"/>
    </row>
    <row r="257" spans="2:31" ht="15" hidden="1" customHeight="1" outlineLevel="2">
      <c r="B257" s="148">
        <v>45</v>
      </c>
      <c r="C257" s="178" t="str">
        <f>Attribute!C257</f>
        <v>---</v>
      </c>
      <c r="D257" s="159" t="str">
        <f>VLOOKUP(C257,'Talente &amp; Stuff'!BI:CJ,2,FALSE)</f>
        <v>--/--/--</v>
      </c>
      <c r="E257" s="128" t="str">
        <f>VLOOKUP(C257,'Talente &amp; Stuff'!BI:CJ,3,FALSE)</f>
        <v>-</v>
      </c>
      <c r="F257" s="115">
        <f>VLOOKUP(C257,'Talente &amp; Stuff'!BI:CJ,4,FALSE)</f>
        <v>0</v>
      </c>
      <c r="G257" s="122">
        <f>VLOOKUP(C257,'Talente &amp; Stuff'!BI:CJ,5,FALSE)</f>
        <v>0</v>
      </c>
      <c r="H257" s="122">
        <f>VLOOKUP(C257,'Talente &amp; Stuff'!BI:CJ,6,FALSE)</f>
        <v>0</v>
      </c>
      <c r="I257" s="122">
        <f>VLOOKUP(C257,'Talente &amp; Stuff'!BI:CJ,7,FALSE)</f>
        <v>0</v>
      </c>
      <c r="J257" s="122">
        <f>VLOOKUP(C257,'Talente &amp; Stuff'!BI:CJ,8,FALSE)</f>
        <v>0</v>
      </c>
      <c r="K257" s="122">
        <f>VLOOKUP(C257,'Talente &amp; Stuff'!BI:CJ,9,FALSE)</f>
        <v>0</v>
      </c>
      <c r="L257" s="122">
        <f>VLOOKUP(C257,'Talente &amp; Stuff'!BI:CJ,10,FALSE)</f>
        <v>0</v>
      </c>
      <c r="M257" s="123">
        <f>VLOOKUP(C257,'Talente &amp; Stuff'!BI:CJ,11,FALSE)</f>
        <v>0</v>
      </c>
      <c r="N257" s="88">
        <f>VLOOKUP(C257,'Talente &amp; Stuff'!BI:CJ,12,FALSE)</f>
        <v>0</v>
      </c>
      <c r="O257" s="88">
        <f>VLOOKUP(C257,'Talente &amp; Stuff'!BI:CJ,13,FALSE)</f>
        <v>0</v>
      </c>
      <c r="P257" s="123">
        <f>VLOOKUP(C257,'Talente &amp; Stuff'!BI:CJ,14,FALSE)</f>
        <v>0</v>
      </c>
      <c r="Q257" s="115">
        <f>VLOOKUP(C257,'Talente &amp; Stuff'!BI:CJ,15,FALSE)</f>
        <v>0</v>
      </c>
      <c r="R257" s="122">
        <f>VLOOKUP(C257,'Talente &amp; Stuff'!BI:CJ,16,FALSE)</f>
        <v>0</v>
      </c>
      <c r="S257" s="123">
        <f>VLOOKUP(C257,'Talente &amp; Stuff'!BI:CJ,17,FALSE)</f>
        <v>0</v>
      </c>
      <c r="T257" s="123">
        <f>VLOOKUP(C257,'Talente &amp; Stuff'!BI:CJ,18,FALSE)</f>
        <v>0</v>
      </c>
      <c r="U257" s="90">
        <f>VLOOKUP(C257,'Talente &amp; Stuff'!BI:CJ,19,FALSE)</f>
        <v>0</v>
      </c>
      <c r="V257" s="88">
        <f>VLOOKUP(C257,'Talente &amp; Stuff'!BI:CJ,20,FALSE)</f>
        <v>0</v>
      </c>
      <c r="W257" s="128">
        <f>VLOOKUP(C257,'Talente &amp; Stuff'!BI:CJ,21,FALSE)</f>
        <v>0</v>
      </c>
      <c r="X257" s="128">
        <f>VLOOKUP(C257,'Talente &amp; Stuff'!BI:CJ,22,FALSE)</f>
        <v>0</v>
      </c>
      <c r="Y257" s="165">
        <f t="shared" si="20"/>
        <v>0</v>
      </c>
      <c r="Z257" s="44">
        <f t="shared" si="21"/>
        <v>0</v>
      </c>
      <c r="AA257" s="159">
        <f>VLOOKUP(C257,'Talente &amp; Stuff'!BI:CJ,25,FALSE)</f>
        <v>0</v>
      </c>
      <c r="AB257" s="161">
        <f>VLOOKUP(C257,'Talente &amp; Stuff'!BI:CJ,26,FALSE)</f>
        <v>0</v>
      </c>
      <c r="AC257" s="128">
        <f>VLOOKUP(C257,'Talente &amp; Stuff'!BI:CJ,27,FALSE)</f>
        <v>0</v>
      </c>
      <c r="AD257" s="159">
        <f>VLOOKUP(C257,'Talente &amp; Stuff'!BI:CJ,28,FALSE)</f>
        <v>0</v>
      </c>
      <c r="AE257" s="28"/>
    </row>
    <row r="258" spans="2:31" ht="15" hidden="1" customHeight="1" outlineLevel="1" collapsed="1">
      <c r="B258" s="134" t="s">
        <v>407</v>
      </c>
      <c r="C258" s="83"/>
      <c r="D258" s="84"/>
      <c r="E258" s="84"/>
    </row>
    <row r="259" spans="2:31" ht="15" hidden="1" customHeight="1" outlineLevel="2">
      <c r="B259" s="148">
        <v>1</v>
      </c>
      <c r="C259" s="200" t="str">
        <f>Attribute!C259</f>
        <v>---</v>
      </c>
      <c r="D259" s="186" t="str">
        <f>VLOOKUP(C259,'Talente &amp; Stuff'!BI:CJ,2,FALSE)</f>
        <v>--/--/--</v>
      </c>
      <c r="E259" s="40" t="str">
        <f>VLOOKUP(C259,'Talente &amp; Stuff'!BI:CJ,3,FALSE)</f>
        <v>-</v>
      </c>
      <c r="F259" s="17">
        <f>VLOOKUP(C259,'Talente &amp; Stuff'!BI:CJ,4,FALSE)</f>
        <v>0</v>
      </c>
      <c r="G259" s="183">
        <f>VLOOKUP(C259,'Talente &amp; Stuff'!BI:CJ,5,FALSE)</f>
        <v>0</v>
      </c>
      <c r="H259" s="183">
        <f>VLOOKUP(C259,'Talente &amp; Stuff'!BI:CJ,6,FALSE)</f>
        <v>0</v>
      </c>
      <c r="I259" s="183">
        <f>VLOOKUP(C259,'Talente &amp; Stuff'!BI:CJ,7,FALSE)</f>
        <v>0</v>
      </c>
      <c r="J259" s="183">
        <f>VLOOKUP(C259,'Talente &amp; Stuff'!BI:CJ,8,FALSE)</f>
        <v>0</v>
      </c>
      <c r="K259" s="183">
        <f>VLOOKUP(C259,'Talente &amp; Stuff'!BI:CJ,9,FALSE)</f>
        <v>0</v>
      </c>
      <c r="L259" s="183">
        <f>VLOOKUP(C259,'Talente &amp; Stuff'!BI:CJ,10,FALSE)</f>
        <v>0</v>
      </c>
      <c r="M259" s="180">
        <f>VLOOKUP(C259,'Talente &amp; Stuff'!BI:CJ,11,FALSE)</f>
        <v>0</v>
      </c>
      <c r="N259" s="166">
        <f>VLOOKUP(C259,'Talente &amp; Stuff'!BI:CJ,12,FALSE)</f>
        <v>0</v>
      </c>
      <c r="O259" s="32">
        <f>VLOOKUP(C259,'Talente &amp; Stuff'!BI:CJ,13,FALSE)</f>
        <v>0</v>
      </c>
      <c r="P259" s="187">
        <f>VLOOKUP(C259,'Talente &amp; Stuff'!BI:CJ,14,FALSE)</f>
        <v>0</v>
      </c>
      <c r="Q259" s="17">
        <f>VLOOKUP(C259,'Talente &amp; Stuff'!BI:CJ,15,FALSE)</f>
        <v>0</v>
      </c>
      <c r="R259" s="188">
        <f>VLOOKUP(C259,'Talente &amp; Stuff'!BI:CJ,16,FALSE)</f>
        <v>0</v>
      </c>
      <c r="S259" s="180">
        <f>VLOOKUP(C259,'Talente &amp; Stuff'!BI:CJ,17,FALSE)</f>
        <v>0</v>
      </c>
      <c r="T259" s="189">
        <f>VLOOKUP(C259,'Talente &amp; Stuff'!BI:CJ,18,FALSE)</f>
        <v>0</v>
      </c>
      <c r="U259" s="166">
        <f>VLOOKUP(C259,'Talente &amp; Stuff'!BI:CJ,19,FALSE)</f>
        <v>0</v>
      </c>
      <c r="V259" s="179">
        <f>VLOOKUP(C259,'Talente &amp; Stuff'!BI:CJ,20,FALSE)</f>
        <v>0</v>
      </c>
      <c r="W259" s="182">
        <f>VLOOKUP(C259,'Talente &amp; Stuff'!BI:CJ,21,FALSE)</f>
        <v>0</v>
      </c>
      <c r="X259" s="182">
        <f>VLOOKUP(C259,'Talente &amp; Stuff'!BI:CJ,22,FALSE)</f>
        <v>0</v>
      </c>
      <c r="Y259" s="165">
        <f>VLOOKUP(C259,Ausgewählte_Zauber_Kristallomanten,81,FALSE)</f>
        <v>0</v>
      </c>
      <c r="Z259" s="44">
        <f>VLOOKUP(C259,Ausgewählte_Zauber_Kristallomanten,82,FALSE)</f>
        <v>0</v>
      </c>
      <c r="AA259" s="40">
        <f>VLOOKUP(C259,'Talente &amp; Stuff'!BI:CJ,25,FALSE)</f>
        <v>0</v>
      </c>
      <c r="AB259" s="189">
        <f>VLOOKUP(C259,'Talente &amp; Stuff'!BI:CJ,26,FALSE)</f>
        <v>0</v>
      </c>
      <c r="AC259" s="182">
        <f>VLOOKUP(C259,'Talente &amp; Stuff'!BI:CJ,27,FALSE)</f>
        <v>0</v>
      </c>
      <c r="AD259" s="40">
        <f>VLOOKUP(C259,'Talente &amp; Stuff'!BI:CJ,28,FALSE)</f>
        <v>0</v>
      </c>
      <c r="AE259" s="28"/>
    </row>
    <row r="260" spans="2:31" ht="15" hidden="1" customHeight="1" outlineLevel="1" collapsed="1">
      <c r="B260" s="134" t="s">
        <v>408</v>
      </c>
      <c r="C260" s="83"/>
      <c r="D260" s="84"/>
      <c r="E260" s="84"/>
    </row>
    <row r="261" spans="2:31" ht="15" hidden="1" customHeight="1" outlineLevel="2">
      <c r="B261" s="148">
        <v>1</v>
      </c>
      <c r="C261" s="162" t="str">
        <f>Attribute!C261</f>
        <v>---</v>
      </c>
      <c r="D261" s="85" t="str">
        <f>VLOOKUP(C261,'Talente &amp; Stuff'!BI:CJ,2,FALSE)</f>
        <v>--/--/--</v>
      </c>
      <c r="E261" s="126" t="str">
        <f>VLOOKUP(C261,'Talente &amp; Stuff'!BI:CJ,3,FALSE)</f>
        <v>-</v>
      </c>
      <c r="F261" s="191">
        <f>VLOOKUP(C261,'Talente &amp; Stuff'!BI:CJ,4,FALSE)</f>
        <v>0</v>
      </c>
      <c r="G261" s="118">
        <f>VLOOKUP(C261,'Talente &amp; Stuff'!BI:CJ,5,FALSE)</f>
        <v>0</v>
      </c>
      <c r="H261" s="118">
        <f>VLOOKUP(C261,'Talente &amp; Stuff'!BI:CJ,6,FALSE)</f>
        <v>0</v>
      </c>
      <c r="I261" s="118">
        <f>VLOOKUP(C261,'Talente &amp; Stuff'!BI:CJ,7,FALSE)</f>
        <v>0</v>
      </c>
      <c r="J261" s="118">
        <f>VLOOKUP(C261,'Talente &amp; Stuff'!BI:CJ,8,FALSE)</f>
        <v>0</v>
      </c>
      <c r="K261" s="118">
        <f>VLOOKUP(C261,'Talente &amp; Stuff'!BI:CJ,9,FALSE)</f>
        <v>0</v>
      </c>
      <c r="L261" s="118">
        <f>VLOOKUP(C261,'Talente &amp; Stuff'!BI:CJ,10,FALSE)</f>
        <v>0</v>
      </c>
      <c r="M261" s="92">
        <f>VLOOKUP(C261,'Talente &amp; Stuff'!BI:CJ,11,FALSE)</f>
        <v>0</v>
      </c>
      <c r="N261" s="116">
        <f>VLOOKUP(C261,'Talente &amp; Stuff'!BI:CJ,12,FALSE)</f>
        <v>0</v>
      </c>
      <c r="O261" s="194">
        <f>VLOOKUP(C261,'Talente &amp; Stuff'!BI:CJ,13,FALSE)</f>
        <v>0</v>
      </c>
      <c r="P261" s="192">
        <f>VLOOKUP(C261,'Talente &amp; Stuff'!BI:CJ,14,FALSE)</f>
        <v>0</v>
      </c>
      <c r="Q261" s="191">
        <f>VLOOKUP(C261,'Talente &amp; Stuff'!BI:CJ,15,FALSE)</f>
        <v>0</v>
      </c>
      <c r="R261" s="170">
        <f>VLOOKUP(C261,'Talente &amp; Stuff'!BI:CJ,16,FALSE)</f>
        <v>0</v>
      </c>
      <c r="S261" s="92">
        <f>VLOOKUP(C261,'Talente &amp; Stuff'!BI:CJ,17,FALSE)</f>
        <v>0</v>
      </c>
      <c r="T261" s="92">
        <f>VLOOKUP(C261,'Talente &amp; Stuff'!BI:CJ,18,FALSE)</f>
        <v>0</v>
      </c>
      <c r="U261" s="193">
        <f>VLOOKUP(C261,'Talente &amp; Stuff'!BI:CJ,19,FALSE)</f>
        <v>0</v>
      </c>
      <c r="V261" s="116">
        <f>VLOOKUP(C261,'Talente &amp; Stuff'!BI:CJ,20,FALSE)</f>
        <v>0</v>
      </c>
      <c r="W261" s="126">
        <f>VLOOKUP(C261,'Talente &amp; Stuff'!BI:CJ,21,FALSE)</f>
        <v>0</v>
      </c>
      <c r="X261" s="126">
        <f>VLOOKUP(C261,'Talente &amp; Stuff'!BI:CJ,22,FALSE)</f>
        <v>0</v>
      </c>
      <c r="Y261" s="165">
        <f t="shared" ref="Y261:Y296" si="22">VLOOKUP(C261,Ausgewählte_Zauber_Scharlatane,81,FALSE)</f>
        <v>0</v>
      </c>
      <c r="Z261" s="44">
        <f t="shared" ref="Z261:Z296" si="23">VLOOKUP(C261,Ausgewählte_Zauber_Scharlatane,82,FALSE)</f>
        <v>0</v>
      </c>
      <c r="AA261" s="158">
        <f>VLOOKUP(C261,'Talente &amp; Stuff'!BI:CJ,25,FALSE)</f>
        <v>0</v>
      </c>
      <c r="AB261" s="91">
        <f>VLOOKUP(C261,'Talente &amp; Stuff'!BI:CJ,26,FALSE)</f>
        <v>0</v>
      </c>
      <c r="AC261" s="126">
        <f>VLOOKUP(C261,'Talente &amp; Stuff'!BI:CJ,27,FALSE)</f>
        <v>0</v>
      </c>
      <c r="AD261" s="158">
        <f>VLOOKUP(C261,'Talente &amp; Stuff'!BI:CJ,28,FALSE)</f>
        <v>0</v>
      </c>
      <c r="AE261" s="28"/>
    </row>
    <row r="262" spans="2:31" ht="15" hidden="1" customHeight="1" outlineLevel="2">
      <c r="B262" s="148">
        <v>2</v>
      </c>
      <c r="C262" s="163" t="str">
        <f>Attribute!C262</f>
        <v>---</v>
      </c>
      <c r="D262" s="125" t="str">
        <f>VLOOKUP(C262,'Talente &amp; Stuff'!BI:CJ,2,FALSE)</f>
        <v>--/--/--</v>
      </c>
      <c r="E262" s="127" t="str">
        <f>VLOOKUP(C262,'Talente &amp; Stuff'!BI:CJ,3,FALSE)</f>
        <v>-</v>
      </c>
      <c r="F262" s="114">
        <f>VLOOKUP(C262,'Talente &amp; Stuff'!BI:CJ,4,FALSE)</f>
        <v>0</v>
      </c>
      <c r="G262" s="113">
        <f>VLOOKUP(C262,'Talente &amp; Stuff'!BI:CJ,5,FALSE)</f>
        <v>0</v>
      </c>
      <c r="H262" s="113">
        <f>VLOOKUP(C262,'Talente &amp; Stuff'!BI:CJ,6,FALSE)</f>
        <v>0</v>
      </c>
      <c r="I262" s="113">
        <f>VLOOKUP(C262,'Talente &amp; Stuff'!BI:CJ,7,FALSE)</f>
        <v>0</v>
      </c>
      <c r="J262" s="113">
        <f>VLOOKUP(C262,'Talente &amp; Stuff'!BI:CJ,8,FALSE)</f>
        <v>0</v>
      </c>
      <c r="K262" s="113">
        <f>VLOOKUP(C262,'Talente &amp; Stuff'!BI:CJ,9,FALSE)</f>
        <v>0</v>
      </c>
      <c r="L262" s="113">
        <f>VLOOKUP(C262,'Talente &amp; Stuff'!BI:CJ,10,FALSE)</f>
        <v>0</v>
      </c>
      <c r="M262" s="119">
        <f>VLOOKUP(C262,'Talente &amp; Stuff'!BI:CJ,11,FALSE)</f>
        <v>0</v>
      </c>
      <c r="N262" s="47">
        <f>VLOOKUP(C262,'Talente &amp; Stuff'!BI:CJ,12,FALSE)</f>
        <v>0</v>
      </c>
      <c r="O262" s="47">
        <f>VLOOKUP(C262,'Talente &amp; Stuff'!BI:CJ,13,FALSE)</f>
        <v>0</v>
      </c>
      <c r="P262" s="119">
        <f>VLOOKUP(C262,'Talente &amp; Stuff'!BI:CJ,14,FALSE)</f>
        <v>0</v>
      </c>
      <c r="Q262" s="114">
        <f>VLOOKUP(C262,'Talente &amp; Stuff'!BI:CJ,15,FALSE)</f>
        <v>0</v>
      </c>
      <c r="R262" s="113">
        <f>VLOOKUP(C262,'Talente &amp; Stuff'!BI:CJ,16,FALSE)</f>
        <v>0</v>
      </c>
      <c r="S262" s="119">
        <f>VLOOKUP(C262,'Talente &amp; Stuff'!BI:CJ,17,FALSE)</f>
        <v>0</v>
      </c>
      <c r="T262" s="119">
        <f>VLOOKUP(C262,'Talente &amp; Stuff'!BI:CJ,18,FALSE)</f>
        <v>0</v>
      </c>
      <c r="U262" s="89">
        <f>VLOOKUP(C262,'Talente &amp; Stuff'!BI:CJ,19,FALSE)</f>
        <v>0</v>
      </c>
      <c r="V262" s="47">
        <f>VLOOKUP(C262,'Talente &amp; Stuff'!BI:CJ,20,FALSE)</f>
        <v>0</v>
      </c>
      <c r="W262" s="127">
        <f>VLOOKUP(C262,'Talente &amp; Stuff'!BI:CJ,21,FALSE)</f>
        <v>0</v>
      </c>
      <c r="X262" s="127">
        <f>VLOOKUP(C262,'Talente &amp; Stuff'!BI:CJ,22,FALSE)</f>
        <v>0</v>
      </c>
      <c r="Y262" s="165">
        <f t="shared" si="22"/>
        <v>0</v>
      </c>
      <c r="Z262" s="44">
        <f t="shared" si="23"/>
        <v>0</v>
      </c>
      <c r="AA262" s="125">
        <f>VLOOKUP(C262,'Talente &amp; Stuff'!BI:CJ,25,FALSE)</f>
        <v>0</v>
      </c>
      <c r="AB262" s="160">
        <f>VLOOKUP(C262,'Talente &amp; Stuff'!BI:CJ,26,FALSE)</f>
        <v>0</v>
      </c>
      <c r="AC262" s="127">
        <f>VLOOKUP(C262,'Talente &amp; Stuff'!BI:CJ,27,FALSE)</f>
        <v>0</v>
      </c>
      <c r="AD262" s="125">
        <f>VLOOKUP(C262,'Talente &amp; Stuff'!BI:CJ,28,FALSE)</f>
        <v>0</v>
      </c>
      <c r="AE262" s="28"/>
    </row>
    <row r="263" spans="2:31" ht="15" hidden="1" customHeight="1" outlineLevel="2">
      <c r="B263" s="148">
        <v>3</v>
      </c>
      <c r="C263" s="163" t="str">
        <f>Attribute!C263</f>
        <v>---</v>
      </c>
      <c r="D263" s="125" t="str">
        <f>VLOOKUP(C263,'Talente &amp; Stuff'!BI:CJ,2,FALSE)</f>
        <v>--/--/--</v>
      </c>
      <c r="E263" s="127" t="str">
        <f>VLOOKUP(C263,'Talente &amp; Stuff'!BI:CJ,3,FALSE)</f>
        <v>-</v>
      </c>
      <c r="F263" s="114">
        <f>VLOOKUP(C263,'Talente &amp; Stuff'!BI:CJ,4,FALSE)</f>
        <v>0</v>
      </c>
      <c r="G263" s="113">
        <f>VLOOKUP(C263,'Talente &amp; Stuff'!BI:CJ,5,FALSE)</f>
        <v>0</v>
      </c>
      <c r="H263" s="113">
        <f>VLOOKUP(C263,'Talente &amp; Stuff'!BI:CJ,6,FALSE)</f>
        <v>0</v>
      </c>
      <c r="I263" s="113">
        <f>VLOOKUP(C263,'Talente &amp; Stuff'!BI:CJ,7,FALSE)</f>
        <v>0</v>
      </c>
      <c r="J263" s="113">
        <f>VLOOKUP(C263,'Talente &amp; Stuff'!BI:CJ,8,FALSE)</f>
        <v>0</v>
      </c>
      <c r="K263" s="113">
        <f>VLOOKUP(C263,'Talente &amp; Stuff'!BI:CJ,9,FALSE)</f>
        <v>0</v>
      </c>
      <c r="L263" s="113">
        <f>VLOOKUP(C263,'Talente &amp; Stuff'!BI:CJ,10,FALSE)</f>
        <v>0</v>
      </c>
      <c r="M263" s="119">
        <f>VLOOKUP(C263,'Talente &amp; Stuff'!BI:CJ,11,FALSE)</f>
        <v>0</v>
      </c>
      <c r="N263" s="47">
        <f>VLOOKUP(C263,'Talente &amp; Stuff'!BI:CJ,12,FALSE)</f>
        <v>0</v>
      </c>
      <c r="O263" s="47">
        <f>VLOOKUP(C263,'Talente &amp; Stuff'!BI:CJ,13,FALSE)</f>
        <v>0</v>
      </c>
      <c r="P263" s="119">
        <f>VLOOKUP(C263,'Talente &amp; Stuff'!BI:CJ,14,FALSE)</f>
        <v>0</v>
      </c>
      <c r="Q263" s="114">
        <f>VLOOKUP(C263,'Talente &amp; Stuff'!BI:CJ,15,FALSE)</f>
        <v>0</v>
      </c>
      <c r="R263" s="113">
        <f>VLOOKUP(C263,'Talente &amp; Stuff'!BI:CJ,16,FALSE)</f>
        <v>0</v>
      </c>
      <c r="S263" s="119">
        <f>VLOOKUP(C263,'Talente &amp; Stuff'!BI:CJ,17,FALSE)</f>
        <v>0</v>
      </c>
      <c r="T263" s="119">
        <f>VLOOKUP(C263,'Talente &amp; Stuff'!BI:CJ,18,FALSE)</f>
        <v>0</v>
      </c>
      <c r="U263" s="89">
        <f>VLOOKUP(C263,'Talente &amp; Stuff'!BI:CJ,19,FALSE)</f>
        <v>0</v>
      </c>
      <c r="V263" s="47">
        <f>VLOOKUP(C263,'Talente &amp; Stuff'!BI:CJ,20,FALSE)</f>
        <v>0</v>
      </c>
      <c r="W263" s="127">
        <f>VLOOKUP(C263,'Talente &amp; Stuff'!BI:CJ,21,FALSE)</f>
        <v>0</v>
      </c>
      <c r="X263" s="127">
        <f>VLOOKUP(C263,'Talente &amp; Stuff'!BI:CJ,22,FALSE)</f>
        <v>0</v>
      </c>
      <c r="Y263" s="165">
        <f t="shared" si="22"/>
        <v>0</v>
      </c>
      <c r="Z263" s="44">
        <f t="shared" si="23"/>
        <v>0</v>
      </c>
      <c r="AA263" s="125">
        <f>VLOOKUP(C263,'Talente &amp; Stuff'!BI:CJ,25,FALSE)</f>
        <v>0</v>
      </c>
      <c r="AB263" s="160">
        <f>VLOOKUP(C263,'Talente &amp; Stuff'!BI:CJ,26,FALSE)</f>
        <v>0</v>
      </c>
      <c r="AC263" s="127">
        <f>VLOOKUP(C263,'Talente &amp; Stuff'!BI:CJ,27,FALSE)</f>
        <v>0</v>
      </c>
      <c r="AD263" s="125">
        <f>VLOOKUP(C263,'Talente &amp; Stuff'!BI:CJ,28,FALSE)</f>
        <v>0</v>
      </c>
      <c r="AE263" s="28"/>
    </row>
    <row r="264" spans="2:31" ht="15" hidden="1" customHeight="1" outlineLevel="2">
      <c r="B264" s="148">
        <v>4</v>
      </c>
      <c r="C264" s="163" t="str">
        <f>Attribute!C264</f>
        <v>---</v>
      </c>
      <c r="D264" s="86" t="str">
        <f>VLOOKUP(C264,'Talente &amp; Stuff'!BI:CJ,2,FALSE)</f>
        <v>--/--/--</v>
      </c>
      <c r="E264" s="167" t="str">
        <f>VLOOKUP(C264,'Talente &amp; Stuff'!BI:CJ,3,FALSE)</f>
        <v>-</v>
      </c>
      <c r="F264" s="120">
        <f>VLOOKUP(C264,'Talente &amp; Stuff'!BI:CJ,4,FALSE)</f>
        <v>0</v>
      </c>
      <c r="G264" s="117">
        <f>VLOOKUP(C264,'Talente &amp; Stuff'!BI:CJ,5,FALSE)</f>
        <v>0</v>
      </c>
      <c r="H264" s="117">
        <f>VLOOKUP(C264,'Talente &amp; Stuff'!BI:CJ,6,FALSE)</f>
        <v>0</v>
      </c>
      <c r="I264" s="117">
        <f>VLOOKUP(C264,'Talente &amp; Stuff'!BI:CJ,7,FALSE)</f>
        <v>0</v>
      </c>
      <c r="J264" s="117">
        <f>VLOOKUP(C264,'Talente &amp; Stuff'!BI:CJ,8,FALSE)</f>
        <v>0</v>
      </c>
      <c r="K264" s="117">
        <f>VLOOKUP(C264,'Talente &amp; Stuff'!BI:CJ,9,FALSE)</f>
        <v>0</v>
      </c>
      <c r="L264" s="117">
        <f>VLOOKUP(C264,'Talente &amp; Stuff'!BI:CJ,10,FALSE)</f>
        <v>0</v>
      </c>
      <c r="M264" s="121">
        <f>VLOOKUP(C264,'Talente &amp; Stuff'!BI:CJ,11,FALSE)</f>
        <v>0</v>
      </c>
      <c r="N264" s="47">
        <f>VLOOKUP(C264,'Talente &amp; Stuff'!BI:CJ,12,FALSE)</f>
        <v>0</v>
      </c>
      <c r="O264" s="3">
        <f>VLOOKUP(C264,'Talente &amp; Stuff'!BI:CJ,13,FALSE)</f>
        <v>0</v>
      </c>
      <c r="P264" s="174">
        <f>VLOOKUP(C264,'Talente &amp; Stuff'!BI:CJ,14,FALSE)</f>
        <v>0</v>
      </c>
      <c r="Q264" s="114">
        <f>VLOOKUP(C264,'Talente &amp; Stuff'!BI:CJ,15,FALSE)</f>
        <v>0</v>
      </c>
      <c r="R264" s="117">
        <f>VLOOKUP(C264,'Talente &amp; Stuff'!BI:CJ,16,FALSE)</f>
        <v>0</v>
      </c>
      <c r="S264" s="119">
        <f>VLOOKUP(C264,'Talente &amp; Stuff'!BI:CJ,17,FALSE)</f>
        <v>0</v>
      </c>
      <c r="T264" s="119">
        <f>VLOOKUP(C264,'Talente &amp; Stuff'!BI:CJ,18,FALSE)</f>
        <v>0</v>
      </c>
      <c r="U264" s="89">
        <f>VLOOKUP(C264,'Talente &amp; Stuff'!BI:CJ,19,FALSE)</f>
        <v>0</v>
      </c>
      <c r="V264" s="47">
        <f>VLOOKUP(C264,'Talente &amp; Stuff'!BI:CJ,20,FALSE)</f>
        <v>0</v>
      </c>
      <c r="W264" s="127">
        <f>VLOOKUP(C264,'Talente &amp; Stuff'!BI:CJ,21,FALSE)</f>
        <v>0</v>
      </c>
      <c r="X264" s="127">
        <f>VLOOKUP(C264,'Talente &amp; Stuff'!BI:CJ,22,FALSE)</f>
        <v>0</v>
      </c>
      <c r="Y264" s="165">
        <f t="shared" si="22"/>
        <v>0</v>
      </c>
      <c r="Z264" s="44">
        <f t="shared" si="23"/>
        <v>0</v>
      </c>
      <c r="AA264" s="125">
        <f>VLOOKUP(C264,'Talente &amp; Stuff'!BI:CJ,25,FALSE)</f>
        <v>0</v>
      </c>
      <c r="AB264" s="160">
        <f>VLOOKUP(C264,'Talente &amp; Stuff'!BI:CJ,26,FALSE)</f>
        <v>0</v>
      </c>
      <c r="AC264" s="127">
        <f>VLOOKUP(C264,'Talente &amp; Stuff'!BI:CJ,27,FALSE)</f>
        <v>0</v>
      </c>
      <c r="AD264" s="125">
        <f>VLOOKUP(C264,'Talente &amp; Stuff'!BI:CJ,28,FALSE)</f>
        <v>0</v>
      </c>
      <c r="AE264" s="28"/>
    </row>
    <row r="265" spans="2:31" ht="15" hidden="1" customHeight="1" outlineLevel="2">
      <c r="B265" s="148">
        <v>5</v>
      </c>
      <c r="C265" s="163" t="str">
        <f>Attribute!C265</f>
        <v>---</v>
      </c>
      <c r="D265" s="86" t="str">
        <f>VLOOKUP(C265,'Talente &amp; Stuff'!BI:CJ,2,FALSE)</f>
        <v>--/--/--</v>
      </c>
      <c r="E265" s="167" t="str">
        <f>VLOOKUP(C265,'Talente &amp; Stuff'!BI:CJ,3,FALSE)</f>
        <v>-</v>
      </c>
      <c r="F265" s="120">
        <f>VLOOKUP(C265,'Talente &amp; Stuff'!BI:CJ,4,FALSE)</f>
        <v>0</v>
      </c>
      <c r="G265" s="117">
        <f>VLOOKUP(C265,'Talente &amp; Stuff'!BI:CJ,5,FALSE)</f>
        <v>0</v>
      </c>
      <c r="H265" s="117">
        <f>VLOOKUP(C265,'Talente &amp; Stuff'!BI:CJ,6,FALSE)</f>
        <v>0</v>
      </c>
      <c r="I265" s="117">
        <f>VLOOKUP(C265,'Talente &amp; Stuff'!BI:CJ,7,FALSE)</f>
        <v>0</v>
      </c>
      <c r="J265" s="117">
        <f>VLOOKUP(C265,'Talente &amp; Stuff'!BI:CJ,8,FALSE)</f>
        <v>0</v>
      </c>
      <c r="K265" s="117">
        <f>VLOOKUP(C265,'Talente &amp; Stuff'!BI:CJ,9,FALSE)</f>
        <v>0</v>
      </c>
      <c r="L265" s="117">
        <f>VLOOKUP(C265,'Talente &amp; Stuff'!BI:CJ,10,FALSE)</f>
        <v>0</v>
      </c>
      <c r="M265" s="121">
        <f>VLOOKUP(C265,'Talente &amp; Stuff'!BI:CJ,11,FALSE)</f>
        <v>0</v>
      </c>
      <c r="N265" s="47">
        <f>VLOOKUP(C265,'Talente &amp; Stuff'!BI:CJ,12,FALSE)</f>
        <v>0</v>
      </c>
      <c r="O265" s="3">
        <f>VLOOKUP(C265,'Talente &amp; Stuff'!BI:CJ,13,FALSE)</f>
        <v>0</v>
      </c>
      <c r="P265" s="174">
        <f>VLOOKUP(C265,'Talente &amp; Stuff'!BI:CJ,14,FALSE)</f>
        <v>0</v>
      </c>
      <c r="Q265" s="114">
        <f>VLOOKUP(C265,'Talente &amp; Stuff'!BI:CJ,15,FALSE)</f>
        <v>0</v>
      </c>
      <c r="R265" s="117">
        <f>VLOOKUP(C265,'Talente &amp; Stuff'!BI:CJ,16,FALSE)</f>
        <v>0</v>
      </c>
      <c r="S265" s="119">
        <f>VLOOKUP(C265,'Talente &amp; Stuff'!BI:CJ,17,FALSE)</f>
        <v>0</v>
      </c>
      <c r="T265" s="119">
        <f>VLOOKUP(C265,'Talente &amp; Stuff'!BI:CJ,18,FALSE)</f>
        <v>0</v>
      </c>
      <c r="U265" s="89">
        <f>VLOOKUP(C265,'Talente &amp; Stuff'!BI:CJ,19,FALSE)</f>
        <v>0</v>
      </c>
      <c r="V265" s="47">
        <f>VLOOKUP(C265,'Talente &amp; Stuff'!BI:CJ,20,FALSE)</f>
        <v>0</v>
      </c>
      <c r="W265" s="127">
        <f>VLOOKUP(C265,'Talente &amp; Stuff'!BI:CJ,21,FALSE)</f>
        <v>0</v>
      </c>
      <c r="X265" s="127">
        <f>VLOOKUP(C265,'Talente &amp; Stuff'!BI:CJ,22,FALSE)</f>
        <v>0</v>
      </c>
      <c r="Y265" s="165">
        <f t="shared" si="22"/>
        <v>0</v>
      </c>
      <c r="Z265" s="44">
        <f t="shared" si="23"/>
        <v>0</v>
      </c>
      <c r="AA265" s="125">
        <f>VLOOKUP(C265,'Talente &amp; Stuff'!BI:CJ,25,FALSE)</f>
        <v>0</v>
      </c>
      <c r="AB265" s="160">
        <f>VLOOKUP(C265,'Talente &amp; Stuff'!BI:CJ,26,FALSE)</f>
        <v>0</v>
      </c>
      <c r="AC265" s="127">
        <f>VLOOKUP(C265,'Talente &amp; Stuff'!BI:CJ,27,FALSE)</f>
        <v>0</v>
      </c>
      <c r="AD265" s="125">
        <f>VLOOKUP(C265,'Talente &amp; Stuff'!BI:CJ,28,FALSE)</f>
        <v>0</v>
      </c>
      <c r="AE265" s="28"/>
    </row>
    <row r="266" spans="2:31" ht="15" hidden="1" customHeight="1" outlineLevel="2">
      <c r="B266" s="148">
        <v>6</v>
      </c>
      <c r="C266" s="163" t="str">
        <f>Attribute!C266</f>
        <v>---</v>
      </c>
      <c r="D266" s="125" t="str">
        <f>VLOOKUP(C266,'Talente &amp; Stuff'!BI:CJ,2,FALSE)</f>
        <v>--/--/--</v>
      </c>
      <c r="E266" s="127" t="str">
        <f>VLOOKUP(C266,'Talente &amp; Stuff'!BI:CJ,3,FALSE)</f>
        <v>-</v>
      </c>
      <c r="F266" s="114">
        <f>VLOOKUP(C266,'Talente &amp; Stuff'!BI:CJ,4,FALSE)</f>
        <v>0</v>
      </c>
      <c r="G266" s="113">
        <f>VLOOKUP(C266,'Talente &amp; Stuff'!BI:CJ,5,FALSE)</f>
        <v>0</v>
      </c>
      <c r="H266" s="113">
        <f>VLOOKUP(C266,'Talente &amp; Stuff'!BI:CJ,6,FALSE)</f>
        <v>0</v>
      </c>
      <c r="I266" s="113">
        <f>VLOOKUP(C266,'Talente &amp; Stuff'!BI:CJ,7,FALSE)</f>
        <v>0</v>
      </c>
      <c r="J266" s="113">
        <f>VLOOKUP(C266,'Talente &amp; Stuff'!BI:CJ,8,FALSE)</f>
        <v>0</v>
      </c>
      <c r="K266" s="113">
        <f>VLOOKUP(C266,'Talente &amp; Stuff'!BI:CJ,9,FALSE)</f>
        <v>0</v>
      </c>
      <c r="L266" s="113">
        <f>VLOOKUP(C266,'Talente &amp; Stuff'!BI:CJ,10,FALSE)</f>
        <v>0</v>
      </c>
      <c r="M266" s="119">
        <f>VLOOKUP(C266,'Talente &amp; Stuff'!BI:CJ,11,FALSE)</f>
        <v>0</v>
      </c>
      <c r="N266" s="47">
        <f>VLOOKUP(C266,'Talente &amp; Stuff'!BI:CJ,12,FALSE)</f>
        <v>0</v>
      </c>
      <c r="O266" s="47">
        <f>VLOOKUP(C266,'Talente &amp; Stuff'!BI:CJ,13,FALSE)</f>
        <v>0</v>
      </c>
      <c r="P266" s="119">
        <f>VLOOKUP(C266,'Talente &amp; Stuff'!BI:CJ,14,FALSE)</f>
        <v>0</v>
      </c>
      <c r="Q266" s="114">
        <f>VLOOKUP(C266,'Talente &amp; Stuff'!BI:CJ,15,FALSE)</f>
        <v>0</v>
      </c>
      <c r="R266" s="113">
        <f>VLOOKUP(C266,'Talente &amp; Stuff'!BI:CJ,16,FALSE)</f>
        <v>0</v>
      </c>
      <c r="S266" s="119">
        <f>VLOOKUP(C266,'Talente &amp; Stuff'!BI:CJ,17,FALSE)</f>
        <v>0</v>
      </c>
      <c r="T266" s="119">
        <f>VLOOKUP(C266,'Talente &amp; Stuff'!BI:CJ,18,FALSE)</f>
        <v>0</v>
      </c>
      <c r="U266" s="89">
        <f>VLOOKUP(C266,'Talente &amp; Stuff'!BI:CJ,19,FALSE)</f>
        <v>0</v>
      </c>
      <c r="V266" s="47">
        <f>VLOOKUP(C266,'Talente &amp; Stuff'!BI:CJ,20,FALSE)</f>
        <v>0</v>
      </c>
      <c r="W266" s="127">
        <f>VLOOKUP(C266,'Talente &amp; Stuff'!BI:CJ,21,FALSE)</f>
        <v>0</v>
      </c>
      <c r="X266" s="127">
        <f>VLOOKUP(C266,'Talente &amp; Stuff'!BI:CJ,22,FALSE)</f>
        <v>0</v>
      </c>
      <c r="Y266" s="165">
        <f t="shared" si="22"/>
        <v>0</v>
      </c>
      <c r="Z266" s="44">
        <f t="shared" si="23"/>
        <v>0</v>
      </c>
      <c r="AA266" s="125">
        <f>VLOOKUP(C266,'Talente &amp; Stuff'!BI:CJ,25,FALSE)</f>
        <v>0</v>
      </c>
      <c r="AB266" s="160">
        <f>VLOOKUP(C266,'Talente &amp; Stuff'!BI:CJ,26,FALSE)</f>
        <v>0</v>
      </c>
      <c r="AC266" s="127">
        <f>VLOOKUP(C266,'Talente &amp; Stuff'!BI:CJ,27,FALSE)</f>
        <v>0</v>
      </c>
      <c r="AD266" s="125">
        <f>VLOOKUP(C266,'Talente &amp; Stuff'!BI:CJ,28,FALSE)</f>
        <v>0</v>
      </c>
      <c r="AE266" s="28"/>
    </row>
    <row r="267" spans="2:31" ht="15" hidden="1" customHeight="1" outlineLevel="2">
      <c r="B267" s="148">
        <v>7</v>
      </c>
      <c r="C267" s="163" t="str">
        <f>Attribute!C267</f>
        <v>---</v>
      </c>
      <c r="D267" s="125" t="str">
        <f>VLOOKUP(C267,'Talente &amp; Stuff'!BI:CJ,2,FALSE)</f>
        <v>--/--/--</v>
      </c>
      <c r="E267" s="127" t="str">
        <f>VLOOKUP(C267,'Talente &amp; Stuff'!BI:CJ,3,FALSE)</f>
        <v>-</v>
      </c>
      <c r="F267" s="114">
        <f>VLOOKUP(C267,'Talente &amp; Stuff'!BI:CJ,4,FALSE)</f>
        <v>0</v>
      </c>
      <c r="G267" s="113">
        <f>VLOOKUP(C267,'Talente &amp; Stuff'!BI:CJ,5,FALSE)</f>
        <v>0</v>
      </c>
      <c r="H267" s="113">
        <f>VLOOKUP(C267,'Talente &amp; Stuff'!BI:CJ,6,FALSE)</f>
        <v>0</v>
      </c>
      <c r="I267" s="113">
        <f>VLOOKUP(C267,'Talente &amp; Stuff'!BI:CJ,7,FALSE)</f>
        <v>0</v>
      </c>
      <c r="J267" s="113">
        <f>VLOOKUP(C267,'Talente &amp; Stuff'!BI:CJ,8,FALSE)</f>
        <v>0</v>
      </c>
      <c r="K267" s="113">
        <f>VLOOKUP(C267,'Talente &amp; Stuff'!BI:CJ,9,FALSE)</f>
        <v>0</v>
      </c>
      <c r="L267" s="113">
        <f>VLOOKUP(C267,'Talente &amp; Stuff'!BI:CJ,10,FALSE)</f>
        <v>0</v>
      </c>
      <c r="M267" s="119">
        <f>VLOOKUP(C267,'Talente &amp; Stuff'!BI:CJ,11,FALSE)</f>
        <v>0</v>
      </c>
      <c r="N267" s="47">
        <f>VLOOKUP(C267,'Talente &amp; Stuff'!BI:CJ,12,FALSE)</f>
        <v>0</v>
      </c>
      <c r="O267" s="47">
        <f>VLOOKUP(C267,'Talente &amp; Stuff'!BI:CJ,13,FALSE)</f>
        <v>0</v>
      </c>
      <c r="P267" s="119">
        <f>VLOOKUP(C267,'Talente &amp; Stuff'!BI:CJ,14,FALSE)</f>
        <v>0</v>
      </c>
      <c r="Q267" s="114">
        <f>VLOOKUP(C267,'Talente &amp; Stuff'!BI:CJ,15,FALSE)</f>
        <v>0</v>
      </c>
      <c r="R267" s="113">
        <f>VLOOKUP(C267,'Talente &amp; Stuff'!BI:CJ,16,FALSE)</f>
        <v>0</v>
      </c>
      <c r="S267" s="119">
        <f>VLOOKUP(C267,'Talente &amp; Stuff'!BI:CJ,17,FALSE)</f>
        <v>0</v>
      </c>
      <c r="T267" s="119">
        <f>VLOOKUP(C267,'Talente &amp; Stuff'!BI:CJ,18,FALSE)</f>
        <v>0</v>
      </c>
      <c r="U267" s="89">
        <f>VLOOKUP(C267,'Talente &amp; Stuff'!BI:CJ,19,FALSE)</f>
        <v>0</v>
      </c>
      <c r="V267" s="47">
        <f>VLOOKUP(C267,'Talente &amp; Stuff'!BI:CJ,20,FALSE)</f>
        <v>0</v>
      </c>
      <c r="W267" s="127">
        <f>VLOOKUP(C267,'Talente &amp; Stuff'!BI:CJ,21,FALSE)</f>
        <v>0</v>
      </c>
      <c r="X267" s="127">
        <f>VLOOKUP(C267,'Talente &amp; Stuff'!BI:CJ,22,FALSE)</f>
        <v>0</v>
      </c>
      <c r="Y267" s="165">
        <f t="shared" si="22"/>
        <v>0</v>
      </c>
      <c r="Z267" s="44">
        <f t="shared" si="23"/>
        <v>0</v>
      </c>
      <c r="AA267" s="125">
        <f>VLOOKUP(C267,'Talente &amp; Stuff'!BI:CJ,25,FALSE)</f>
        <v>0</v>
      </c>
      <c r="AB267" s="160">
        <f>VLOOKUP(C267,'Talente &amp; Stuff'!BI:CJ,26,FALSE)</f>
        <v>0</v>
      </c>
      <c r="AC267" s="127">
        <f>VLOOKUP(C267,'Talente &amp; Stuff'!BI:CJ,27,FALSE)</f>
        <v>0</v>
      </c>
      <c r="AD267" s="125">
        <f>VLOOKUP(C267,'Talente &amp; Stuff'!BI:CJ,28,FALSE)</f>
        <v>0</v>
      </c>
      <c r="AE267" s="28"/>
    </row>
    <row r="268" spans="2:31" ht="15" hidden="1" customHeight="1" outlineLevel="2">
      <c r="B268" s="148">
        <v>8</v>
      </c>
      <c r="C268" s="163" t="str">
        <f>Attribute!C268</f>
        <v>---</v>
      </c>
      <c r="D268" s="125" t="str">
        <f>VLOOKUP(C268,'Talente &amp; Stuff'!BI:CJ,2,FALSE)</f>
        <v>--/--/--</v>
      </c>
      <c r="E268" s="127" t="str">
        <f>VLOOKUP(C268,'Talente &amp; Stuff'!BI:CJ,3,FALSE)</f>
        <v>-</v>
      </c>
      <c r="F268" s="114">
        <f>VLOOKUP(C268,'Talente &amp; Stuff'!BI:CJ,4,FALSE)</f>
        <v>0</v>
      </c>
      <c r="G268" s="113">
        <f>VLOOKUP(C268,'Talente &amp; Stuff'!BI:CJ,5,FALSE)</f>
        <v>0</v>
      </c>
      <c r="H268" s="113">
        <f>VLOOKUP(C268,'Talente &amp; Stuff'!BI:CJ,6,FALSE)</f>
        <v>0</v>
      </c>
      <c r="I268" s="113">
        <f>VLOOKUP(C268,'Talente &amp; Stuff'!BI:CJ,7,FALSE)</f>
        <v>0</v>
      </c>
      <c r="J268" s="113">
        <f>VLOOKUP(C268,'Talente &amp; Stuff'!BI:CJ,8,FALSE)</f>
        <v>0</v>
      </c>
      <c r="K268" s="113">
        <f>VLOOKUP(C268,'Talente &amp; Stuff'!BI:CJ,9,FALSE)</f>
        <v>0</v>
      </c>
      <c r="L268" s="113">
        <f>VLOOKUP(C268,'Talente &amp; Stuff'!BI:CJ,10,FALSE)</f>
        <v>0</v>
      </c>
      <c r="M268" s="119">
        <f>VLOOKUP(C268,'Talente &amp; Stuff'!BI:CJ,11,FALSE)</f>
        <v>0</v>
      </c>
      <c r="N268" s="47">
        <f>VLOOKUP(C268,'Talente &amp; Stuff'!BI:CJ,12,FALSE)</f>
        <v>0</v>
      </c>
      <c r="O268" s="47">
        <f>VLOOKUP(C268,'Talente &amp; Stuff'!BI:CJ,13,FALSE)</f>
        <v>0</v>
      </c>
      <c r="P268" s="119">
        <f>VLOOKUP(C268,'Talente &amp; Stuff'!BI:CJ,14,FALSE)</f>
        <v>0</v>
      </c>
      <c r="Q268" s="114">
        <f>VLOOKUP(C268,'Talente &amp; Stuff'!BI:CJ,15,FALSE)</f>
        <v>0</v>
      </c>
      <c r="R268" s="113">
        <f>VLOOKUP(C268,'Talente &amp; Stuff'!BI:CJ,16,FALSE)</f>
        <v>0</v>
      </c>
      <c r="S268" s="119">
        <f>VLOOKUP(C268,'Talente &amp; Stuff'!BI:CJ,17,FALSE)</f>
        <v>0</v>
      </c>
      <c r="T268" s="119">
        <f>VLOOKUP(C268,'Talente &amp; Stuff'!BI:CJ,18,FALSE)</f>
        <v>0</v>
      </c>
      <c r="U268" s="89">
        <f>VLOOKUP(C268,'Talente &amp; Stuff'!BI:CJ,19,FALSE)</f>
        <v>0</v>
      </c>
      <c r="V268" s="47">
        <f>VLOOKUP(C268,'Talente &amp; Stuff'!BI:CJ,20,FALSE)</f>
        <v>0</v>
      </c>
      <c r="W268" s="127">
        <f>VLOOKUP(C268,'Talente &amp; Stuff'!BI:CJ,21,FALSE)</f>
        <v>0</v>
      </c>
      <c r="X268" s="127">
        <f>VLOOKUP(C268,'Talente &amp; Stuff'!BI:CJ,22,FALSE)</f>
        <v>0</v>
      </c>
      <c r="Y268" s="165">
        <f t="shared" si="22"/>
        <v>0</v>
      </c>
      <c r="Z268" s="44">
        <f t="shared" si="23"/>
        <v>0</v>
      </c>
      <c r="AA268" s="125">
        <f>VLOOKUP(C268,'Talente &amp; Stuff'!BI:CJ,25,FALSE)</f>
        <v>0</v>
      </c>
      <c r="AB268" s="160">
        <f>VLOOKUP(C268,'Talente &amp; Stuff'!BI:CJ,26,FALSE)</f>
        <v>0</v>
      </c>
      <c r="AC268" s="127">
        <f>VLOOKUP(C268,'Talente &amp; Stuff'!BI:CJ,27,FALSE)</f>
        <v>0</v>
      </c>
      <c r="AD268" s="125">
        <f>VLOOKUP(C268,'Talente &amp; Stuff'!BI:CJ,28,FALSE)</f>
        <v>0</v>
      </c>
      <c r="AE268" s="28"/>
    </row>
    <row r="269" spans="2:31" ht="15" hidden="1" customHeight="1" outlineLevel="2">
      <c r="B269" s="148">
        <v>9</v>
      </c>
      <c r="C269" s="163" t="str">
        <f>Attribute!C269</f>
        <v>---</v>
      </c>
      <c r="D269" s="125" t="str">
        <f>VLOOKUP(C269,'Talente &amp; Stuff'!BI:CJ,2,FALSE)</f>
        <v>--/--/--</v>
      </c>
      <c r="E269" s="127" t="str">
        <f>VLOOKUP(C269,'Talente &amp; Stuff'!BI:CJ,3,FALSE)</f>
        <v>-</v>
      </c>
      <c r="F269" s="114">
        <f>VLOOKUP(C269,'Talente &amp; Stuff'!BI:CJ,4,FALSE)</f>
        <v>0</v>
      </c>
      <c r="G269" s="113">
        <f>VLOOKUP(C269,'Talente &amp; Stuff'!BI:CJ,5,FALSE)</f>
        <v>0</v>
      </c>
      <c r="H269" s="113">
        <f>VLOOKUP(C269,'Talente &amp; Stuff'!BI:CJ,6,FALSE)</f>
        <v>0</v>
      </c>
      <c r="I269" s="113">
        <f>VLOOKUP(C269,'Talente &amp; Stuff'!BI:CJ,7,FALSE)</f>
        <v>0</v>
      </c>
      <c r="J269" s="113">
        <f>VLOOKUP(C269,'Talente &amp; Stuff'!BI:CJ,8,FALSE)</f>
        <v>0</v>
      </c>
      <c r="K269" s="113">
        <f>VLOOKUP(C269,'Talente &amp; Stuff'!BI:CJ,9,FALSE)</f>
        <v>0</v>
      </c>
      <c r="L269" s="113">
        <f>VLOOKUP(C269,'Talente &amp; Stuff'!BI:CJ,10,FALSE)</f>
        <v>0</v>
      </c>
      <c r="M269" s="119">
        <f>VLOOKUP(C269,'Talente &amp; Stuff'!BI:CJ,11,FALSE)</f>
        <v>0</v>
      </c>
      <c r="N269" s="47">
        <f>VLOOKUP(C269,'Talente &amp; Stuff'!BI:CJ,12,FALSE)</f>
        <v>0</v>
      </c>
      <c r="O269" s="47">
        <f>VLOOKUP(C269,'Talente &amp; Stuff'!BI:CJ,13,FALSE)</f>
        <v>0</v>
      </c>
      <c r="P269" s="119">
        <f>VLOOKUP(C269,'Talente &amp; Stuff'!BI:CJ,14,FALSE)</f>
        <v>0</v>
      </c>
      <c r="Q269" s="114">
        <f>VLOOKUP(C269,'Talente &amp; Stuff'!BI:CJ,15,FALSE)</f>
        <v>0</v>
      </c>
      <c r="R269" s="113">
        <f>VLOOKUP(C269,'Talente &amp; Stuff'!BI:CJ,16,FALSE)</f>
        <v>0</v>
      </c>
      <c r="S269" s="119">
        <f>VLOOKUP(C269,'Talente &amp; Stuff'!BI:CJ,17,FALSE)</f>
        <v>0</v>
      </c>
      <c r="T269" s="119">
        <f>VLOOKUP(C269,'Talente &amp; Stuff'!BI:CJ,18,FALSE)</f>
        <v>0</v>
      </c>
      <c r="U269" s="89">
        <f>VLOOKUP(C269,'Talente &amp; Stuff'!BI:CJ,19,FALSE)</f>
        <v>0</v>
      </c>
      <c r="V269" s="47">
        <f>VLOOKUP(C269,'Talente &amp; Stuff'!BI:CJ,20,FALSE)</f>
        <v>0</v>
      </c>
      <c r="W269" s="127">
        <f>VLOOKUP(C269,'Talente &amp; Stuff'!BI:CJ,21,FALSE)</f>
        <v>0</v>
      </c>
      <c r="X269" s="127">
        <f>VLOOKUP(C269,'Talente &amp; Stuff'!BI:CJ,22,FALSE)</f>
        <v>0</v>
      </c>
      <c r="Y269" s="165">
        <f t="shared" si="22"/>
        <v>0</v>
      </c>
      <c r="Z269" s="44">
        <f t="shared" si="23"/>
        <v>0</v>
      </c>
      <c r="AA269" s="125">
        <f>VLOOKUP(C269,'Talente &amp; Stuff'!BI:CJ,25,FALSE)</f>
        <v>0</v>
      </c>
      <c r="AB269" s="160">
        <f>VLOOKUP(C269,'Talente &amp; Stuff'!BI:CJ,26,FALSE)</f>
        <v>0</v>
      </c>
      <c r="AC269" s="127">
        <f>VLOOKUP(C269,'Talente &amp; Stuff'!BI:CJ,27,FALSE)</f>
        <v>0</v>
      </c>
      <c r="AD269" s="125">
        <f>VLOOKUP(C269,'Talente &amp; Stuff'!BI:CJ,28,FALSE)</f>
        <v>0</v>
      </c>
      <c r="AE269" s="28"/>
    </row>
    <row r="270" spans="2:31" ht="15" hidden="1" customHeight="1" outlineLevel="2">
      <c r="B270" s="148">
        <v>10</v>
      </c>
      <c r="C270" s="163" t="str">
        <f>Attribute!C270</f>
        <v>---</v>
      </c>
      <c r="D270" s="86" t="str">
        <f>VLOOKUP(C270,'Talente &amp; Stuff'!BI:CJ,2,FALSE)</f>
        <v>--/--/--</v>
      </c>
      <c r="E270" s="167" t="str">
        <f>VLOOKUP(C270,'Talente &amp; Stuff'!BI:CJ,3,FALSE)</f>
        <v>-</v>
      </c>
      <c r="F270" s="120">
        <f>VLOOKUP(C270,'Talente &amp; Stuff'!BI:CJ,4,FALSE)</f>
        <v>0</v>
      </c>
      <c r="G270" s="117">
        <f>VLOOKUP(C270,'Talente &amp; Stuff'!BI:CJ,5,FALSE)</f>
        <v>0</v>
      </c>
      <c r="H270" s="117">
        <f>VLOOKUP(C270,'Talente &amp; Stuff'!BI:CJ,6,FALSE)</f>
        <v>0</v>
      </c>
      <c r="I270" s="117">
        <f>VLOOKUP(C270,'Talente &amp; Stuff'!BI:CJ,7,FALSE)</f>
        <v>0</v>
      </c>
      <c r="J270" s="117">
        <f>VLOOKUP(C270,'Talente &amp; Stuff'!BI:CJ,8,FALSE)</f>
        <v>0</v>
      </c>
      <c r="K270" s="117">
        <f>VLOOKUP(C270,'Talente &amp; Stuff'!BI:CJ,9,FALSE)</f>
        <v>0</v>
      </c>
      <c r="L270" s="117">
        <f>VLOOKUP(C270,'Talente &amp; Stuff'!BI:CJ,10,FALSE)</f>
        <v>0</v>
      </c>
      <c r="M270" s="121">
        <f>VLOOKUP(C270,'Talente &amp; Stuff'!BI:CJ,11,FALSE)</f>
        <v>0</v>
      </c>
      <c r="N270" s="47">
        <f>VLOOKUP(C270,'Talente &amp; Stuff'!BI:CJ,12,FALSE)</f>
        <v>0</v>
      </c>
      <c r="O270" s="3">
        <f>VLOOKUP(C270,'Talente &amp; Stuff'!BI:CJ,13,FALSE)</f>
        <v>0</v>
      </c>
      <c r="P270" s="174">
        <f>VLOOKUP(C270,'Talente &amp; Stuff'!BI:CJ,14,FALSE)</f>
        <v>0</v>
      </c>
      <c r="Q270" s="114">
        <f>VLOOKUP(C270,'Talente &amp; Stuff'!BI:CJ,15,FALSE)</f>
        <v>0</v>
      </c>
      <c r="R270" s="117">
        <f>VLOOKUP(C270,'Talente &amp; Stuff'!BI:CJ,16,FALSE)</f>
        <v>0</v>
      </c>
      <c r="S270" s="119">
        <f>VLOOKUP(C270,'Talente &amp; Stuff'!BI:CJ,17,FALSE)</f>
        <v>0</v>
      </c>
      <c r="T270" s="119">
        <f>VLOOKUP(C270,'Talente &amp; Stuff'!BI:CJ,18,FALSE)</f>
        <v>0</v>
      </c>
      <c r="U270" s="89">
        <f>VLOOKUP(C270,'Talente &amp; Stuff'!BI:CJ,19,FALSE)</f>
        <v>0</v>
      </c>
      <c r="V270" s="47">
        <f>VLOOKUP(C270,'Talente &amp; Stuff'!BI:CJ,20,FALSE)</f>
        <v>0</v>
      </c>
      <c r="W270" s="127">
        <f>VLOOKUP(C270,'Talente &amp; Stuff'!BI:CJ,21,FALSE)</f>
        <v>0</v>
      </c>
      <c r="X270" s="127">
        <f>VLOOKUP(C270,'Talente &amp; Stuff'!BI:CJ,22,FALSE)</f>
        <v>0</v>
      </c>
      <c r="Y270" s="165">
        <f t="shared" si="22"/>
        <v>0</v>
      </c>
      <c r="Z270" s="44">
        <f t="shared" si="23"/>
        <v>0</v>
      </c>
      <c r="AA270" s="125">
        <f>VLOOKUP(C270,'Talente &amp; Stuff'!BI:CJ,25,FALSE)</f>
        <v>0</v>
      </c>
      <c r="AB270" s="160">
        <f>VLOOKUP(C270,'Talente &amp; Stuff'!BI:CJ,26,FALSE)</f>
        <v>0</v>
      </c>
      <c r="AC270" s="127">
        <f>VLOOKUP(C270,'Talente &amp; Stuff'!BI:CJ,27,FALSE)</f>
        <v>0</v>
      </c>
      <c r="AD270" s="125">
        <f>VLOOKUP(C270,'Talente &amp; Stuff'!BI:CJ,28,FALSE)</f>
        <v>0</v>
      </c>
      <c r="AE270" s="28"/>
    </row>
    <row r="271" spans="2:31" ht="15" hidden="1" customHeight="1" outlineLevel="2">
      <c r="B271" s="148">
        <v>11</v>
      </c>
      <c r="C271" s="163" t="str">
        <f>Attribute!C271</f>
        <v>---</v>
      </c>
      <c r="D271" s="86" t="str">
        <f>VLOOKUP(C271,'Talente &amp; Stuff'!BI:CJ,2,FALSE)</f>
        <v>--/--/--</v>
      </c>
      <c r="E271" s="167" t="str">
        <f>VLOOKUP(C271,'Talente &amp; Stuff'!BI:CJ,3,FALSE)</f>
        <v>-</v>
      </c>
      <c r="F271" s="120">
        <f>VLOOKUP(C271,'Talente &amp; Stuff'!BI:CJ,4,FALSE)</f>
        <v>0</v>
      </c>
      <c r="G271" s="117">
        <f>VLOOKUP(C271,'Talente &amp; Stuff'!BI:CJ,5,FALSE)</f>
        <v>0</v>
      </c>
      <c r="H271" s="117">
        <f>VLOOKUP(C271,'Talente &amp; Stuff'!BI:CJ,6,FALSE)</f>
        <v>0</v>
      </c>
      <c r="I271" s="117">
        <f>VLOOKUP(C271,'Talente &amp; Stuff'!BI:CJ,7,FALSE)</f>
        <v>0</v>
      </c>
      <c r="J271" s="117">
        <f>VLOOKUP(C271,'Talente &amp; Stuff'!BI:CJ,8,FALSE)</f>
        <v>0</v>
      </c>
      <c r="K271" s="117">
        <f>VLOOKUP(C271,'Talente &amp; Stuff'!BI:CJ,9,FALSE)</f>
        <v>0</v>
      </c>
      <c r="L271" s="117">
        <f>VLOOKUP(C271,'Talente &amp; Stuff'!BI:CJ,10,FALSE)</f>
        <v>0</v>
      </c>
      <c r="M271" s="121">
        <f>VLOOKUP(C271,'Talente &amp; Stuff'!BI:CJ,11,FALSE)</f>
        <v>0</v>
      </c>
      <c r="N271" s="47">
        <f>VLOOKUP(C271,'Talente &amp; Stuff'!BI:CJ,12,FALSE)</f>
        <v>0</v>
      </c>
      <c r="O271" s="3">
        <f>VLOOKUP(C271,'Talente &amp; Stuff'!BI:CJ,13,FALSE)</f>
        <v>0</v>
      </c>
      <c r="P271" s="174">
        <f>VLOOKUP(C271,'Talente &amp; Stuff'!BI:CJ,14,FALSE)</f>
        <v>0</v>
      </c>
      <c r="Q271" s="114">
        <f>VLOOKUP(C271,'Talente &amp; Stuff'!BI:CJ,15,FALSE)</f>
        <v>0</v>
      </c>
      <c r="R271" s="117">
        <f>VLOOKUP(C271,'Talente &amp; Stuff'!BI:CJ,16,FALSE)</f>
        <v>0</v>
      </c>
      <c r="S271" s="119">
        <f>VLOOKUP(C271,'Talente &amp; Stuff'!BI:CJ,17,FALSE)</f>
        <v>0</v>
      </c>
      <c r="T271" s="119">
        <f>VLOOKUP(C271,'Talente &amp; Stuff'!BI:CJ,18,FALSE)</f>
        <v>0</v>
      </c>
      <c r="U271" s="89">
        <f>VLOOKUP(C271,'Talente &amp; Stuff'!BI:CJ,19,FALSE)</f>
        <v>0</v>
      </c>
      <c r="V271" s="47">
        <f>VLOOKUP(C271,'Talente &amp; Stuff'!BI:CJ,20,FALSE)</f>
        <v>0</v>
      </c>
      <c r="W271" s="127">
        <f>VLOOKUP(C271,'Talente &amp; Stuff'!BI:CJ,21,FALSE)</f>
        <v>0</v>
      </c>
      <c r="X271" s="127">
        <f>VLOOKUP(C271,'Talente &amp; Stuff'!BI:CJ,22,FALSE)</f>
        <v>0</v>
      </c>
      <c r="Y271" s="165">
        <f t="shared" si="22"/>
        <v>0</v>
      </c>
      <c r="Z271" s="44">
        <f t="shared" si="23"/>
        <v>0</v>
      </c>
      <c r="AA271" s="125">
        <f>VLOOKUP(C271,'Talente &amp; Stuff'!BI:CJ,25,FALSE)</f>
        <v>0</v>
      </c>
      <c r="AB271" s="160">
        <f>VLOOKUP(C271,'Talente &amp; Stuff'!BI:CJ,26,FALSE)</f>
        <v>0</v>
      </c>
      <c r="AC271" s="127">
        <f>VLOOKUP(C271,'Talente &amp; Stuff'!BI:CJ,27,FALSE)</f>
        <v>0</v>
      </c>
      <c r="AD271" s="125">
        <f>VLOOKUP(C271,'Talente &amp; Stuff'!BI:CJ,28,FALSE)</f>
        <v>0</v>
      </c>
      <c r="AE271" s="28"/>
    </row>
    <row r="272" spans="2:31" ht="15" hidden="1" customHeight="1" outlineLevel="2">
      <c r="B272" s="148">
        <v>12</v>
      </c>
      <c r="C272" s="163" t="str">
        <f>Attribute!C272</f>
        <v>---</v>
      </c>
      <c r="D272" s="86" t="str">
        <f>VLOOKUP(C272,'Talente &amp; Stuff'!BI:CJ,2,FALSE)</f>
        <v>--/--/--</v>
      </c>
      <c r="E272" s="167" t="str">
        <f>VLOOKUP(C272,'Talente &amp; Stuff'!BI:CJ,3,FALSE)</f>
        <v>-</v>
      </c>
      <c r="F272" s="120">
        <f>VLOOKUP(C272,'Talente &amp; Stuff'!BI:CJ,4,FALSE)</f>
        <v>0</v>
      </c>
      <c r="G272" s="117">
        <f>VLOOKUP(C272,'Talente &amp; Stuff'!BI:CJ,5,FALSE)</f>
        <v>0</v>
      </c>
      <c r="H272" s="117">
        <f>VLOOKUP(C272,'Talente &amp; Stuff'!BI:CJ,6,FALSE)</f>
        <v>0</v>
      </c>
      <c r="I272" s="117">
        <f>VLOOKUP(C272,'Talente &amp; Stuff'!BI:CJ,7,FALSE)</f>
        <v>0</v>
      </c>
      <c r="J272" s="117">
        <f>VLOOKUP(C272,'Talente &amp; Stuff'!BI:CJ,8,FALSE)</f>
        <v>0</v>
      </c>
      <c r="K272" s="117">
        <f>VLOOKUP(C272,'Talente &amp; Stuff'!BI:CJ,9,FALSE)</f>
        <v>0</v>
      </c>
      <c r="L272" s="117">
        <f>VLOOKUP(C272,'Talente &amp; Stuff'!BI:CJ,10,FALSE)</f>
        <v>0</v>
      </c>
      <c r="M272" s="121">
        <f>VLOOKUP(C272,'Talente &amp; Stuff'!BI:CJ,11,FALSE)</f>
        <v>0</v>
      </c>
      <c r="N272" s="47">
        <f>VLOOKUP(C272,'Talente &amp; Stuff'!BI:CJ,12,FALSE)</f>
        <v>0</v>
      </c>
      <c r="O272" s="3">
        <f>VLOOKUP(C272,'Talente &amp; Stuff'!BI:CJ,13,FALSE)</f>
        <v>0</v>
      </c>
      <c r="P272" s="174">
        <f>VLOOKUP(C272,'Talente &amp; Stuff'!BI:CJ,14,FALSE)</f>
        <v>0</v>
      </c>
      <c r="Q272" s="114">
        <f>VLOOKUP(C272,'Talente &amp; Stuff'!BI:CJ,15,FALSE)</f>
        <v>0</v>
      </c>
      <c r="R272" s="117">
        <f>VLOOKUP(C272,'Talente &amp; Stuff'!BI:CJ,16,FALSE)</f>
        <v>0</v>
      </c>
      <c r="S272" s="119">
        <f>VLOOKUP(C272,'Talente &amp; Stuff'!BI:CJ,17,FALSE)</f>
        <v>0</v>
      </c>
      <c r="T272" s="119">
        <f>VLOOKUP(C272,'Talente &amp; Stuff'!BI:CJ,18,FALSE)</f>
        <v>0</v>
      </c>
      <c r="U272" s="89">
        <f>VLOOKUP(C272,'Talente &amp; Stuff'!BI:CJ,19,FALSE)</f>
        <v>0</v>
      </c>
      <c r="V272" s="47">
        <f>VLOOKUP(C272,'Talente &amp; Stuff'!BI:CJ,20,FALSE)</f>
        <v>0</v>
      </c>
      <c r="W272" s="127">
        <f>VLOOKUP(C272,'Talente &amp; Stuff'!BI:CJ,21,FALSE)</f>
        <v>0</v>
      </c>
      <c r="X272" s="127">
        <f>VLOOKUP(C272,'Talente &amp; Stuff'!BI:CJ,22,FALSE)</f>
        <v>0</v>
      </c>
      <c r="Y272" s="165">
        <f t="shared" si="22"/>
        <v>0</v>
      </c>
      <c r="Z272" s="44">
        <f t="shared" si="23"/>
        <v>0</v>
      </c>
      <c r="AA272" s="125">
        <f>VLOOKUP(C272,'Talente &amp; Stuff'!BI:CJ,25,FALSE)</f>
        <v>0</v>
      </c>
      <c r="AB272" s="160">
        <f>VLOOKUP(C272,'Talente &amp; Stuff'!BI:CJ,26,FALSE)</f>
        <v>0</v>
      </c>
      <c r="AC272" s="127">
        <f>VLOOKUP(C272,'Talente &amp; Stuff'!BI:CJ,27,FALSE)</f>
        <v>0</v>
      </c>
      <c r="AD272" s="125">
        <f>VLOOKUP(C272,'Talente &amp; Stuff'!BI:CJ,28,FALSE)</f>
        <v>0</v>
      </c>
      <c r="AE272" s="28"/>
    </row>
    <row r="273" spans="2:31" ht="15" hidden="1" customHeight="1" outlineLevel="2">
      <c r="B273" s="148">
        <v>13</v>
      </c>
      <c r="C273" s="163" t="str">
        <f>Attribute!C273</f>
        <v>---</v>
      </c>
      <c r="D273" s="86" t="str">
        <f>VLOOKUP(C273,'Talente &amp; Stuff'!BI:CJ,2,FALSE)</f>
        <v>--/--/--</v>
      </c>
      <c r="E273" s="167" t="str">
        <f>VLOOKUP(C273,'Talente &amp; Stuff'!BI:CJ,3,FALSE)</f>
        <v>-</v>
      </c>
      <c r="F273" s="120">
        <f>VLOOKUP(C273,'Talente &amp; Stuff'!BI:CJ,4,FALSE)</f>
        <v>0</v>
      </c>
      <c r="G273" s="117">
        <f>VLOOKUP(C273,'Talente &amp; Stuff'!BI:CJ,5,FALSE)</f>
        <v>0</v>
      </c>
      <c r="H273" s="117">
        <f>VLOOKUP(C273,'Talente &amp; Stuff'!BI:CJ,6,FALSE)</f>
        <v>0</v>
      </c>
      <c r="I273" s="117">
        <f>VLOOKUP(C273,'Talente &amp; Stuff'!BI:CJ,7,FALSE)</f>
        <v>0</v>
      </c>
      <c r="J273" s="117">
        <f>VLOOKUP(C273,'Talente &amp; Stuff'!BI:CJ,8,FALSE)</f>
        <v>0</v>
      </c>
      <c r="K273" s="117">
        <f>VLOOKUP(C273,'Talente &amp; Stuff'!BI:CJ,9,FALSE)</f>
        <v>0</v>
      </c>
      <c r="L273" s="117">
        <f>VLOOKUP(C273,'Talente &amp; Stuff'!BI:CJ,10,FALSE)</f>
        <v>0</v>
      </c>
      <c r="M273" s="121">
        <f>VLOOKUP(C273,'Talente &amp; Stuff'!BI:CJ,11,FALSE)</f>
        <v>0</v>
      </c>
      <c r="N273" s="47">
        <f>VLOOKUP(C273,'Talente &amp; Stuff'!BI:CJ,12,FALSE)</f>
        <v>0</v>
      </c>
      <c r="O273" s="3">
        <f>VLOOKUP(C273,'Talente &amp; Stuff'!BI:CJ,13,FALSE)</f>
        <v>0</v>
      </c>
      <c r="P273" s="174">
        <f>VLOOKUP(C273,'Talente &amp; Stuff'!BI:CJ,14,FALSE)</f>
        <v>0</v>
      </c>
      <c r="Q273" s="114">
        <f>VLOOKUP(C273,'Talente &amp; Stuff'!BI:CJ,15,FALSE)</f>
        <v>0</v>
      </c>
      <c r="R273" s="117">
        <f>VLOOKUP(C273,'Talente &amp; Stuff'!BI:CJ,16,FALSE)</f>
        <v>0</v>
      </c>
      <c r="S273" s="119">
        <f>VLOOKUP(C273,'Talente &amp; Stuff'!BI:CJ,17,FALSE)</f>
        <v>0</v>
      </c>
      <c r="T273" s="119">
        <f>VLOOKUP(C273,'Talente &amp; Stuff'!BI:CJ,18,FALSE)</f>
        <v>0</v>
      </c>
      <c r="U273" s="89">
        <f>VLOOKUP(C273,'Talente &amp; Stuff'!BI:CJ,19,FALSE)</f>
        <v>0</v>
      </c>
      <c r="V273" s="47">
        <f>VLOOKUP(C273,'Talente &amp; Stuff'!BI:CJ,20,FALSE)</f>
        <v>0</v>
      </c>
      <c r="W273" s="127">
        <f>VLOOKUP(C273,'Talente &amp; Stuff'!BI:CJ,21,FALSE)</f>
        <v>0</v>
      </c>
      <c r="X273" s="127">
        <f>VLOOKUP(C273,'Talente &amp; Stuff'!BI:CJ,22,FALSE)</f>
        <v>0</v>
      </c>
      <c r="Y273" s="165">
        <f t="shared" si="22"/>
        <v>0</v>
      </c>
      <c r="Z273" s="44">
        <f t="shared" si="23"/>
        <v>0</v>
      </c>
      <c r="AA273" s="125">
        <f>VLOOKUP(C273,'Talente &amp; Stuff'!BI:CJ,25,FALSE)</f>
        <v>0</v>
      </c>
      <c r="AB273" s="160">
        <f>VLOOKUP(C273,'Talente &amp; Stuff'!BI:CJ,26,FALSE)</f>
        <v>0</v>
      </c>
      <c r="AC273" s="127">
        <f>VLOOKUP(C273,'Talente &amp; Stuff'!BI:CJ,27,FALSE)</f>
        <v>0</v>
      </c>
      <c r="AD273" s="125">
        <f>VLOOKUP(C273,'Talente &amp; Stuff'!BI:CJ,28,FALSE)</f>
        <v>0</v>
      </c>
      <c r="AE273" s="28"/>
    </row>
    <row r="274" spans="2:31" ht="15" hidden="1" customHeight="1" outlineLevel="2">
      <c r="B274" s="148">
        <v>14</v>
      </c>
      <c r="C274" s="163" t="str">
        <f>Attribute!C274</f>
        <v>---</v>
      </c>
      <c r="D274" s="86" t="str">
        <f>VLOOKUP(C274,'Talente &amp; Stuff'!BI:CJ,2,FALSE)</f>
        <v>--/--/--</v>
      </c>
      <c r="E274" s="167" t="str">
        <f>VLOOKUP(C274,'Talente &amp; Stuff'!BI:CJ,3,FALSE)</f>
        <v>-</v>
      </c>
      <c r="F274" s="120">
        <f>VLOOKUP(C274,'Talente &amp; Stuff'!BI:CJ,4,FALSE)</f>
        <v>0</v>
      </c>
      <c r="G274" s="117">
        <f>VLOOKUP(C274,'Talente &amp; Stuff'!BI:CJ,5,FALSE)</f>
        <v>0</v>
      </c>
      <c r="H274" s="117">
        <f>VLOOKUP(C274,'Talente &amp; Stuff'!BI:CJ,6,FALSE)</f>
        <v>0</v>
      </c>
      <c r="I274" s="117">
        <f>VLOOKUP(C274,'Talente &amp; Stuff'!BI:CJ,7,FALSE)</f>
        <v>0</v>
      </c>
      <c r="J274" s="117">
        <f>VLOOKUP(C274,'Talente &amp; Stuff'!BI:CJ,8,FALSE)</f>
        <v>0</v>
      </c>
      <c r="K274" s="117">
        <f>VLOOKUP(C274,'Talente &amp; Stuff'!BI:CJ,9,FALSE)</f>
        <v>0</v>
      </c>
      <c r="L274" s="117">
        <f>VLOOKUP(C274,'Talente &amp; Stuff'!BI:CJ,10,FALSE)</f>
        <v>0</v>
      </c>
      <c r="M274" s="121">
        <f>VLOOKUP(C274,'Talente &amp; Stuff'!BI:CJ,11,FALSE)</f>
        <v>0</v>
      </c>
      <c r="N274" s="47">
        <f>VLOOKUP(C274,'Talente &amp; Stuff'!BI:CJ,12,FALSE)</f>
        <v>0</v>
      </c>
      <c r="O274" s="3">
        <f>VLOOKUP(C274,'Talente &amp; Stuff'!BI:CJ,13,FALSE)</f>
        <v>0</v>
      </c>
      <c r="P274" s="174">
        <f>VLOOKUP(C274,'Talente &amp; Stuff'!BI:CJ,14,FALSE)</f>
        <v>0</v>
      </c>
      <c r="Q274" s="114">
        <f>VLOOKUP(C274,'Talente &amp; Stuff'!BI:CJ,15,FALSE)</f>
        <v>0</v>
      </c>
      <c r="R274" s="117">
        <f>VLOOKUP(C274,'Talente &amp; Stuff'!BI:CJ,16,FALSE)</f>
        <v>0</v>
      </c>
      <c r="S274" s="119">
        <f>VLOOKUP(C274,'Talente &amp; Stuff'!BI:CJ,17,FALSE)</f>
        <v>0</v>
      </c>
      <c r="T274" s="119">
        <f>VLOOKUP(C274,'Talente &amp; Stuff'!BI:CJ,18,FALSE)</f>
        <v>0</v>
      </c>
      <c r="U274" s="89">
        <f>VLOOKUP(C274,'Talente &amp; Stuff'!BI:CJ,19,FALSE)</f>
        <v>0</v>
      </c>
      <c r="V274" s="47">
        <f>VLOOKUP(C274,'Talente &amp; Stuff'!BI:CJ,20,FALSE)</f>
        <v>0</v>
      </c>
      <c r="W274" s="127">
        <f>VLOOKUP(C274,'Talente &amp; Stuff'!BI:CJ,21,FALSE)</f>
        <v>0</v>
      </c>
      <c r="X274" s="127">
        <f>VLOOKUP(C274,'Talente &amp; Stuff'!BI:CJ,22,FALSE)</f>
        <v>0</v>
      </c>
      <c r="Y274" s="165">
        <f t="shared" si="22"/>
        <v>0</v>
      </c>
      <c r="Z274" s="44">
        <f t="shared" si="23"/>
        <v>0</v>
      </c>
      <c r="AA274" s="125">
        <f>VLOOKUP(C274,'Talente &amp; Stuff'!BI:CJ,25,FALSE)</f>
        <v>0</v>
      </c>
      <c r="AB274" s="160">
        <f>VLOOKUP(C274,'Talente &amp; Stuff'!BI:CJ,26,FALSE)</f>
        <v>0</v>
      </c>
      <c r="AC274" s="127">
        <f>VLOOKUP(C274,'Talente &amp; Stuff'!BI:CJ,27,FALSE)</f>
        <v>0</v>
      </c>
      <c r="AD274" s="125">
        <f>VLOOKUP(C274,'Talente &amp; Stuff'!BI:CJ,28,FALSE)</f>
        <v>0</v>
      </c>
      <c r="AE274" s="28"/>
    </row>
    <row r="275" spans="2:31" ht="15" hidden="1" customHeight="1" outlineLevel="2">
      <c r="B275" s="148">
        <v>15</v>
      </c>
      <c r="C275" s="163" t="str">
        <f>Attribute!C275</f>
        <v>---</v>
      </c>
      <c r="D275" s="86" t="str">
        <f>VLOOKUP(C275,'Talente &amp; Stuff'!BI:CJ,2,FALSE)</f>
        <v>--/--/--</v>
      </c>
      <c r="E275" s="167" t="str">
        <f>VLOOKUP(C275,'Talente &amp; Stuff'!BI:CJ,3,FALSE)</f>
        <v>-</v>
      </c>
      <c r="F275" s="120">
        <f>VLOOKUP(C275,'Talente &amp; Stuff'!BI:CJ,4,FALSE)</f>
        <v>0</v>
      </c>
      <c r="G275" s="117">
        <f>VLOOKUP(C275,'Talente &amp; Stuff'!BI:CJ,5,FALSE)</f>
        <v>0</v>
      </c>
      <c r="H275" s="117">
        <f>VLOOKUP(C275,'Talente &amp; Stuff'!BI:CJ,6,FALSE)</f>
        <v>0</v>
      </c>
      <c r="I275" s="117">
        <f>VLOOKUP(C275,'Talente &amp; Stuff'!BI:CJ,7,FALSE)</f>
        <v>0</v>
      </c>
      <c r="J275" s="117">
        <f>VLOOKUP(C275,'Talente &amp; Stuff'!BI:CJ,8,FALSE)</f>
        <v>0</v>
      </c>
      <c r="K275" s="117">
        <f>VLOOKUP(C275,'Talente &amp; Stuff'!BI:CJ,9,FALSE)</f>
        <v>0</v>
      </c>
      <c r="L275" s="117">
        <f>VLOOKUP(C275,'Talente &amp; Stuff'!BI:CJ,10,FALSE)</f>
        <v>0</v>
      </c>
      <c r="M275" s="121">
        <f>VLOOKUP(C275,'Talente &amp; Stuff'!BI:CJ,11,FALSE)</f>
        <v>0</v>
      </c>
      <c r="N275" s="47">
        <f>VLOOKUP(C275,'Talente &amp; Stuff'!BI:CJ,12,FALSE)</f>
        <v>0</v>
      </c>
      <c r="O275" s="3">
        <f>VLOOKUP(C275,'Talente &amp; Stuff'!BI:CJ,13,FALSE)</f>
        <v>0</v>
      </c>
      <c r="P275" s="174">
        <f>VLOOKUP(C275,'Talente &amp; Stuff'!BI:CJ,14,FALSE)</f>
        <v>0</v>
      </c>
      <c r="Q275" s="114">
        <f>VLOOKUP(C275,'Talente &amp; Stuff'!BI:CJ,15,FALSE)</f>
        <v>0</v>
      </c>
      <c r="R275" s="117">
        <f>VLOOKUP(C275,'Talente &amp; Stuff'!BI:CJ,16,FALSE)</f>
        <v>0</v>
      </c>
      <c r="S275" s="119">
        <f>VLOOKUP(C275,'Talente &amp; Stuff'!BI:CJ,17,FALSE)</f>
        <v>0</v>
      </c>
      <c r="T275" s="119">
        <f>VLOOKUP(C275,'Talente &amp; Stuff'!BI:CJ,18,FALSE)</f>
        <v>0</v>
      </c>
      <c r="U275" s="89">
        <f>VLOOKUP(C275,'Talente &amp; Stuff'!BI:CJ,19,FALSE)</f>
        <v>0</v>
      </c>
      <c r="V275" s="47">
        <f>VLOOKUP(C275,'Talente &amp; Stuff'!BI:CJ,20,FALSE)</f>
        <v>0</v>
      </c>
      <c r="W275" s="127">
        <f>VLOOKUP(C275,'Talente &amp; Stuff'!BI:CJ,21,FALSE)</f>
        <v>0</v>
      </c>
      <c r="X275" s="127">
        <f>VLOOKUP(C275,'Talente &amp; Stuff'!BI:CJ,22,FALSE)</f>
        <v>0</v>
      </c>
      <c r="Y275" s="165">
        <f t="shared" si="22"/>
        <v>0</v>
      </c>
      <c r="Z275" s="44">
        <f t="shared" si="23"/>
        <v>0</v>
      </c>
      <c r="AA275" s="125">
        <f>VLOOKUP(C275,'Talente &amp; Stuff'!BI:CJ,25,FALSE)</f>
        <v>0</v>
      </c>
      <c r="AB275" s="160">
        <f>VLOOKUP(C275,'Talente &amp; Stuff'!BI:CJ,26,FALSE)</f>
        <v>0</v>
      </c>
      <c r="AC275" s="127">
        <f>VLOOKUP(C275,'Talente &amp; Stuff'!BI:CJ,27,FALSE)</f>
        <v>0</v>
      </c>
      <c r="AD275" s="125">
        <f>VLOOKUP(C275,'Talente &amp; Stuff'!BI:CJ,28,FALSE)</f>
        <v>0</v>
      </c>
      <c r="AE275" s="28"/>
    </row>
    <row r="276" spans="2:31" ht="15" hidden="1" customHeight="1" outlineLevel="2">
      <c r="B276" s="148">
        <v>16</v>
      </c>
      <c r="C276" s="163" t="str">
        <f>Attribute!C276</f>
        <v>---</v>
      </c>
      <c r="D276" s="86" t="str">
        <f>VLOOKUP(C276,'Talente &amp; Stuff'!BI:CJ,2,FALSE)</f>
        <v>--/--/--</v>
      </c>
      <c r="E276" s="167" t="str">
        <f>VLOOKUP(C276,'Talente &amp; Stuff'!BI:CJ,3,FALSE)</f>
        <v>-</v>
      </c>
      <c r="F276" s="120">
        <f>VLOOKUP(C276,'Talente &amp; Stuff'!BI:CJ,4,FALSE)</f>
        <v>0</v>
      </c>
      <c r="G276" s="117">
        <f>VLOOKUP(C276,'Talente &amp; Stuff'!BI:CJ,5,FALSE)</f>
        <v>0</v>
      </c>
      <c r="H276" s="117">
        <f>VLOOKUP(C276,'Talente &amp; Stuff'!BI:CJ,6,FALSE)</f>
        <v>0</v>
      </c>
      <c r="I276" s="117">
        <f>VLOOKUP(C276,'Talente &amp; Stuff'!BI:CJ,7,FALSE)</f>
        <v>0</v>
      </c>
      <c r="J276" s="117">
        <f>VLOOKUP(C276,'Talente &amp; Stuff'!BI:CJ,8,FALSE)</f>
        <v>0</v>
      </c>
      <c r="K276" s="117">
        <f>VLOOKUP(C276,'Talente &amp; Stuff'!BI:CJ,9,FALSE)</f>
        <v>0</v>
      </c>
      <c r="L276" s="117">
        <f>VLOOKUP(C276,'Talente &amp; Stuff'!BI:CJ,10,FALSE)</f>
        <v>0</v>
      </c>
      <c r="M276" s="121">
        <f>VLOOKUP(C276,'Talente &amp; Stuff'!BI:CJ,11,FALSE)</f>
        <v>0</v>
      </c>
      <c r="N276" s="47">
        <f>VLOOKUP(C276,'Talente &amp; Stuff'!BI:CJ,12,FALSE)</f>
        <v>0</v>
      </c>
      <c r="O276" s="3">
        <f>VLOOKUP(C276,'Talente &amp; Stuff'!BI:CJ,13,FALSE)</f>
        <v>0</v>
      </c>
      <c r="P276" s="174">
        <f>VLOOKUP(C276,'Talente &amp; Stuff'!BI:CJ,14,FALSE)</f>
        <v>0</v>
      </c>
      <c r="Q276" s="114">
        <f>VLOOKUP(C276,'Talente &amp; Stuff'!BI:CJ,15,FALSE)</f>
        <v>0</v>
      </c>
      <c r="R276" s="117">
        <f>VLOOKUP(C276,'Talente &amp; Stuff'!BI:CJ,16,FALSE)</f>
        <v>0</v>
      </c>
      <c r="S276" s="119">
        <f>VLOOKUP(C276,'Talente &amp; Stuff'!BI:CJ,17,FALSE)</f>
        <v>0</v>
      </c>
      <c r="T276" s="119">
        <f>VLOOKUP(C276,'Talente &amp; Stuff'!BI:CJ,18,FALSE)</f>
        <v>0</v>
      </c>
      <c r="U276" s="89">
        <f>VLOOKUP(C276,'Talente &amp; Stuff'!BI:CJ,19,FALSE)</f>
        <v>0</v>
      </c>
      <c r="V276" s="47">
        <f>VLOOKUP(C276,'Talente &amp; Stuff'!BI:CJ,20,FALSE)</f>
        <v>0</v>
      </c>
      <c r="W276" s="127">
        <f>VLOOKUP(C276,'Talente &amp; Stuff'!BI:CJ,21,FALSE)</f>
        <v>0</v>
      </c>
      <c r="X276" s="127">
        <f>VLOOKUP(C276,'Talente &amp; Stuff'!BI:CJ,22,FALSE)</f>
        <v>0</v>
      </c>
      <c r="Y276" s="165">
        <f t="shared" si="22"/>
        <v>0</v>
      </c>
      <c r="Z276" s="44">
        <f t="shared" si="23"/>
        <v>0</v>
      </c>
      <c r="AA276" s="125">
        <f>VLOOKUP(C276,'Talente &amp; Stuff'!BI:CJ,25,FALSE)</f>
        <v>0</v>
      </c>
      <c r="AB276" s="160">
        <f>VLOOKUP(C276,'Talente &amp; Stuff'!BI:CJ,26,FALSE)</f>
        <v>0</v>
      </c>
      <c r="AC276" s="127">
        <f>VLOOKUP(C276,'Talente &amp; Stuff'!BI:CJ,27,FALSE)</f>
        <v>0</v>
      </c>
      <c r="AD276" s="125">
        <f>VLOOKUP(C276,'Talente &amp; Stuff'!BI:CJ,28,FALSE)</f>
        <v>0</v>
      </c>
      <c r="AE276" s="28"/>
    </row>
    <row r="277" spans="2:31" ht="15" hidden="1" customHeight="1" outlineLevel="2">
      <c r="B277" s="148">
        <v>17</v>
      </c>
      <c r="C277" s="163" t="str">
        <f>Attribute!C277</f>
        <v>---</v>
      </c>
      <c r="D277" s="86" t="str">
        <f>VLOOKUP(C277,'Talente &amp; Stuff'!BI:CJ,2,FALSE)</f>
        <v>--/--/--</v>
      </c>
      <c r="E277" s="167" t="str">
        <f>VLOOKUP(C277,'Talente &amp; Stuff'!BI:CJ,3,FALSE)</f>
        <v>-</v>
      </c>
      <c r="F277" s="120">
        <f>VLOOKUP(C277,'Talente &amp; Stuff'!BI:CJ,4,FALSE)</f>
        <v>0</v>
      </c>
      <c r="G277" s="117">
        <f>VLOOKUP(C277,'Talente &amp; Stuff'!BI:CJ,5,FALSE)</f>
        <v>0</v>
      </c>
      <c r="H277" s="117">
        <f>VLOOKUP(C277,'Talente &amp; Stuff'!BI:CJ,6,FALSE)</f>
        <v>0</v>
      </c>
      <c r="I277" s="117">
        <f>VLOOKUP(C277,'Talente &amp; Stuff'!BI:CJ,7,FALSE)</f>
        <v>0</v>
      </c>
      <c r="J277" s="117">
        <f>VLOOKUP(C277,'Talente &amp; Stuff'!BI:CJ,8,FALSE)</f>
        <v>0</v>
      </c>
      <c r="K277" s="117">
        <f>VLOOKUP(C277,'Talente &amp; Stuff'!BI:CJ,9,FALSE)</f>
        <v>0</v>
      </c>
      <c r="L277" s="117">
        <f>VLOOKUP(C277,'Talente &amp; Stuff'!BI:CJ,10,FALSE)</f>
        <v>0</v>
      </c>
      <c r="M277" s="121">
        <f>VLOOKUP(C277,'Talente &amp; Stuff'!BI:CJ,11,FALSE)</f>
        <v>0</v>
      </c>
      <c r="N277" s="47">
        <f>VLOOKUP(C277,'Talente &amp; Stuff'!BI:CJ,12,FALSE)</f>
        <v>0</v>
      </c>
      <c r="O277" s="3">
        <f>VLOOKUP(C277,'Talente &amp; Stuff'!BI:CJ,13,FALSE)</f>
        <v>0</v>
      </c>
      <c r="P277" s="174">
        <f>VLOOKUP(C277,'Talente &amp; Stuff'!BI:CJ,14,FALSE)</f>
        <v>0</v>
      </c>
      <c r="Q277" s="114">
        <f>VLOOKUP(C277,'Talente &amp; Stuff'!BI:CJ,15,FALSE)</f>
        <v>0</v>
      </c>
      <c r="R277" s="117">
        <f>VLOOKUP(C277,'Talente &amp; Stuff'!BI:CJ,16,FALSE)</f>
        <v>0</v>
      </c>
      <c r="S277" s="119">
        <f>VLOOKUP(C277,'Talente &amp; Stuff'!BI:CJ,17,FALSE)</f>
        <v>0</v>
      </c>
      <c r="T277" s="119">
        <f>VLOOKUP(C277,'Talente &amp; Stuff'!BI:CJ,18,FALSE)</f>
        <v>0</v>
      </c>
      <c r="U277" s="89">
        <f>VLOOKUP(C277,'Talente &amp; Stuff'!BI:CJ,19,FALSE)</f>
        <v>0</v>
      </c>
      <c r="V277" s="47">
        <f>VLOOKUP(C277,'Talente &amp; Stuff'!BI:CJ,20,FALSE)</f>
        <v>0</v>
      </c>
      <c r="W277" s="127">
        <f>VLOOKUP(C277,'Talente &amp; Stuff'!BI:CJ,21,FALSE)</f>
        <v>0</v>
      </c>
      <c r="X277" s="127">
        <f>VLOOKUP(C277,'Talente &amp; Stuff'!BI:CJ,22,FALSE)</f>
        <v>0</v>
      </c>
      <c r="Y277" s="165">
        <f t="shared" si="22"/>
        <v>0</v>
      </c>
      <c r="Z277" s="44">
        <f t="shared" si="23"/>
        <v>0</v>
      </c>
      <c r="AA277" s="125">
        <f>VLOOKUP(C277,'Talente &amp; Stuff'!BI:CJ,25,FALSE)</f>
        <v>0</v>
      </c>
      <c r="AB277" s="160">
        <f>VLOOKUP(C277,'Talente &amp; Stuff'!BI:CJ,26,FALSE)</f>
        <v>0</v>
      </c>
      <c r="AC277" s="127">
        <f>VLOOKUP(C277,'Talente &amp; Stuff'!BI:CJ,27,FALSE)</f>
        <v>0</v>
      </c>
      <c r="AD277" s="125">
        <f>VLOOKUP(C277,'Talente &amp; Stuff'!BI:CJ,28,FALSE)</f>
        <v>0</v>
      </c>
      <c r="AE277" s="28"/>
    </row>
    <row r="278" spans="2:31" ht="15" hidden="1" customHeight="1" outlineLevel="2">
      <c r="B278" s="148">
        <v>18</v>
      </c>
      <c r="C278" s="163" t="str">
        <f>Attribute!C278</f>
        <v>---</v>
      </c>
      <c r="D278" s="86" t="str">
        <f>VLOOKUP(C278,'Talente &amp; Stuff'!BI:CJ,2,FALSE)</f>
        <v>--/--/--</v>
      </c>
      <c r="E278" s="167" t="str">
        <f>VLOOKUP(C278,'Talente &amp; Stuff'!BI:CJ,3,FALSE)</f>
        <v>-</v>
      </c>
      <c r="F278" s="120">
        <f>VLOOKUP(C278,'Talente &amp; Stuff'!BI:CJ,4,FALSE)</f>
        <v>0</v>
      </c>
      <c r="G278" s="117">
        <f>VLOOKUP(C278,'Talente &amp; Stuff'!BI:CJ,5,FALSE)</f>
        <v>0</v>
      </c>
      <c r="H278" s="117">
        <f>VLOOKUP(C278,'Talente &amp; Stuff'!BI:CJ,6,FALSE)</f>
        <v>0</v>
      </c>
      <c r="I278" s="117">
        <f>VLOOKUP(C278,'Talente &amp; Stuff'!BI:CJ,7,FALSE)</f>
        <v>0</v>
      </c>
      <c r="J278" s="117">
        <f>VLOOKUP(C278,'Talente &amp; Stuff'!BI:CJ,8,FALSE)</f>
        <v>0</v>
      </c>
      <c r="K278" s="117">
        <f>VLOOKUP(C278,'Talente &amp; Stuff'!BI:CJ,9,FALSE)</f>
        <v>0</v>
      </c>
      <c r="L278" s="117">
        <f>VLOOKUP(C278,'Talente &amp; Stuff'!BI:CJ,10,FALSE)</f>
        <v>0</v>
      </c>
      <c r="M278" s="121">
        <f>VLOOKUP(C278,'Talente &amp; Stuff'!BI:CJ,11,FALSE)</f>
        <v>0</v>
      </c>
      <c r="N278" s="47">
        <f>VLOOKUP(C278,'Talente &amp; Stuff'!BI:CJ,12,FALSE)</f>
        <v>0</v>
      </c>
      <c r="O278" s="3">
        <f>VLOOKUP(C278,'Talente &amp; Stuff'!BI:CJ,13,FALSE)</f>
        <v>0</v>
      </c>
      <c r="P278" s="174">
        <f>VLOOKUP(C278,'Talente &amp; Stuff'!BI:CJ,14,FALSE)</f>
        <v>0</v>
      </c>
      <c r="Q278" s="114">
        <f>VLOOKUP(C278,'Talente &amp; Stuff'!BI:CJ,15,FALSE)</f>
        <v>0</v>
      </c>
      <c r="R278" s="117">
        <f>VLOOKUP(C278,'Talente &amp; Stuff'!BI:CJ,16,FALSE)</f>
        <v>0</v>
      </c>
      <c r="S278" s="119">
        <f>VLOOKUP(C278,'Talente &amp; Stuff'!BI:CJ,17,FALSE)</f>
        <v>0</v>
      </c>
      <c r="T278" s="119">
        <f>VLOOKUP(C278,'Talente &amp; Stuff'!BI:CJ,18,FALSE)</f>
        <v>0</v>
      </c>
      <c r="U278" s="89">
        <f>VLOOKUP(C278,'Talente &amp; Stuff'!BI:CJ,19,FALSE)</f>
        <v>0</v>
      </c>
      <c r="V278" s="47">
        <f>VLOOKUP(C278,'Talente &amp; Stuff'!BI:CJ,20,FALSE)</f>
        <v>0</v>
      </c>
      <c r="W278" s="127">
        <f>VLOOKUP(C278,'Talente &amp; Stuff'!BI:CJ,21,FALSE)</f>
        <v>0</v>
      </c>
      <c r="X278" s="127">
        <f>VLOOKUP(C278,'Talente &amp; Stuff'!BI:CJ,22,FALSE)</f>
        <v>0</v>
      </c>
      <c r="Y278" s="165">
        <f t="shared" si="22"/>
        <v>0</v>
      </c>
      <c r="Z278" s="44">
        <f t="shared" si="23"/>
        <v>0</v>
      </c>
      <c r="AA278" s="125">
        <f>VLOOKUP(C278,'Talente &amp; Stuff'!BI:CJ,25,FALSE)</f>
        <v>0</v>
      </c>
      <c r="AB278" s="160">
        <f>VLOOKUP(C278,'Talente &amp; Stuff'!BI:CJ,26,FALSE)</f>
        <v>0</v>
      </c>
      <c r="AC278" s="127">
        <f>VLOOKUP(C278,'Talente &amp; Stuff'!BI:CJ,27,FALSE)</f>
        <v>0</v>
      </c>
      <c r="AD278" s="125">
        <f>VLOOKUP(C278,'Talente &amp; Stuff'!BI:CJ,28,FALSE)</f>
        <v>0</v>
      </c>
      <c r="AE278" s="28"/>
    </row>
    <row r="279" spans="2:31" ht="15" hidden="1" customHeight="1" outlineLevel="2">
      <c r="B279" s="148">
        <v>19</v>
      </c>
      <c r="C279" s="163" t="str">
        <f>Attribute!C279</f>
        <v>---</v>
      </c>
      <c r="D279" s="86" t="str">
        <f>VLOOKUP(C279,'Talente &amp; Stuff'!BI:CJ,2,FALSE)</f>
        <v>--/--/--</v>
      </c>
      <c r="E279" s="167" t="str">
        <f>VLOOKUP(C279,'Talente &amp; Stuff'!BI:CJ,3,FALSE)</f>
        <v>-</v>
      </c>
      <c r="F279" s="120">
        <f>VLOOKUP(C279,'Talente &amp; Stuff'!BI:CJ,4,FALSE)</f>
        <v>0</v>
      </c>
      <c r="G279" s="117">
        <f>VLOOKUP(C279,'Talente &amp; Stuff'!BI:CJ,5,FALSE)</f>
        <v>0</v>
      </c>
      <c r="H279" s="117">
        <f>VLOOKUP(C279,'Talente &amp; Stuff'!BI:CJ,6,FALSE)</f>
        <v>0</v>
      </c>
      <c r="I279" s="117">
        <f>VLOOKUP(C279,'Talente &amp; Stuff'!BI:CJ,7,FALSE)</f>
        <v>0</v>
      </c>
      <c r="J279" s="117">
        <f>VLOOKUP(C279,'Talente &amp; Stuff'!BI:CJ,8,FALSE)</f>
        <v>0</v>
      </c>
      <c r="K279" s="117">
        <f>VLOOKUP(C279,'Talente &amp; Stuff'!BI:CJ,9,FALSE)</f>
        <v>0</v>
      </c>
      <c r="L279" s="117">
        <f>VLOOKUP(C279,'Talente &amp; Stuff'!BI:CJ,10,FALSE)</f>
        <v>0</v>
      </c>
      <c r="M279" s="121">
        <f>VLOOKUP(C279,'Talente &amp; Stuff'!BI:CJ,11,FALSE)</f>
        <v>0</v>
      </c>
      <c r="N279" s="47">
        <f>VLOOKUP(C279,'Talente &amp; Stuff'!BI:CJ,12,FALSE)</f>
        <v>0</v>
      </c>
      <c r="O279" s="3">
        <f>VLOOKUP(C279,'Talente &amp; Stuff'!BI:CJ,13,FALSE)</f>
        <v>0</v>
      </c>
      <c r="P279" s="174">
        <f>VLOOKUP(C279,'Talente &amp; Stuff'!BI:CJ,14,FALSE)</f>
        <v>0</v>
      </c>
      <c r="Q279" s="114">
        <f>VLOOKUP(C279,'Talente &amp; Stuff'!BI:CJ,15,FALSE)</f>
        <v>0</v>
      </c>
      <c r="R279" s="117">
        <f>VLOOKUP(C279,'Talente &amp; Stuff'!BI:CJ,16,FALSE)</f>
        <v>0</v>
      </c>
      <c r="S279" s="119">
        <f>VLOOKUP(C279,'Talente &amp; Stuff'!BI:CJ,17,FALSE)</f>
        <v>0</v>
      </c>
      <c r="T279" s="119">
        <f>VLOOKUP(C279,'Talente &amp; Stuff'!BI:CJ,18,FALSE)</f>
        <v>0</v>
      </c>
      <c r="U279" s="89">
        <f>VLOOKUP(C279,'Talente &amp; Stuff'!BI:CJ,19,FALSE)</f>
        <v>0</v>
      </c>
      <c r="V279" s="47">
        <f>VLOOKUP(C279,'Talente &amp; Stuff'!BI:CJ,20,FALSE)</f>
        <v>0</v>
      </c>
      <c r="W279" s="127">
        <f>VLOOKUP(C279,'Talente &amp; Stuff'!BI:CJ,21,FALSE)</f>
        <v>0</v>
      </c>
      <c r="X279" s="127">
        <f>VLOOKUP(C279,'Talente &amp; Stuff'!BI:CJ,22,FALSE)</f>
        <v>0</v>
      </c>
      <c r="Y279" s="165">
        <f t="shared" si="22"/>
        <v>0</v>
      </c>
      <c r="Z279" s="44">
        <f t="shared" si="23"/>
        <v>0</v>
      </c>
      <c r="AA279" s="125">
        <f>VLOOKUP(C279,'Talente &amp; Stuff'!BI:CJ,25,FALSE)</f>
        <v>0</v>
      </c>
      <c r="AB279" s="160">
        <f>VLOOKUP(C279,'Talente &amp; Stuff'!BI:CJ,26,FALSE)</f>
        <v>0</v>
      </c>
      <c r="AC279" s="127">
        <f>VLOOKUP(C279,'Talente &amp; Stuff'!BI:CJ,27,FALSE)</f>
        <v>0</v>
      </c>
      <c r="AD279" s="125">
        <f>VLOOKUP(C279,'Talente &amp; Stuff'!BI:CJ,28,FALSE)</f>
        <v>0</v>
      </c>
      <c r="AE279" s="28"/>
    </row>
    <row r="280" spans="2:31" ht="15" hidden="1" customHeight="1" outlineLevel="2">
      <c r="B280" s="148">
        <v>20</v>
      </c>
      <c r="C280" s="163" t="str">
        <f>Attribute!C280</f>
        <v>---</v>
      </c>
      <c r="D280" s="86" t="str">
        <f>VLOOKUP(C280,'Talente &amp; Stuff'!BI:CJ,2,FALSE)</f>
        <v>--/--/--</v>
      </c>
      <c r="E280" s="167" t="str">
        <f>VLOOKUP(C280,'Talente &amp; Stuff'!BI:CJ,3,FALSE)</f>
        <v>-</v>
      </c>
      <c r="F280" s="120">
        <f>VLOOKUP(C280,'Talente &amp; Stuff'!BI:CJ,4,FALSE)</f>
        <v>0</v>
      </c>
      <c r="G280" s="117">
        <f>VLOOKUP(C280,'Talente &amp; Stuff'!BI:CJ,5,FALSE)</f>
        <v>0</v>
      </c>
      <c r="H280" s="117">
        <f>VLOOKUP(C280,'Talente &amp; Stuff'!BI:CJ,6,FALSE)</f>
        <v>0</v>
      </c>
      <c r="I280" s="117">
        <f>VLOOKUP(C280,'Talente &amp; Stuff'!BI:CJ,7,FALSE)</f>
        <v>0</v>
      </c>
      <c r="J280" s="117">
        <f>VLOOKUP(C280,'Talente &amp; Stuff'!BI:CJ,8,FALSE)</f>
        <v>0</v>
      </c>
      <c r="K280" s="117">
        <f>VLOOKUP(C280,'Talente &amp; Stuff'!BI:CJ,9,FALSE)</f>
        <v>0</v>
      </c>
      <c r="L280" s="117">
        <f>VLOOKUP(C280,'Talente &amp; Stuff'!BI:CJ,10,FALSE)</f>
        <v>0</v>
      </c>
      <c r="M280" s="121">
        <f>VLOOKUP(C280,'Talente &amp; Stuff'!BI:CJ,11,FALSE)</f>
        <v>0</v>
      </c>
      <c r="N280" s="47">
        <f>VLOOKUP(C280,'Talente &amp; Stuff'!BI:CJ,12,FALSE)</f>
        <v>0</v>
      </c>
      <c r="O280" s="3">
        <f>VLOOKUP(C280,'Talente &amp; Stuff'!BI:CJ,13,FALSE)</f>
        <v>0</v>
      </c>
      <c r="P280" s="174">
        <f>VLOOKUP(C280,'Talente &amp; Stuff'!BI:CJ,14,FALSE)</f>
        <v>0</v>
      </c>
      <c r="Q280" s="114">
        <f>VLOOKUP(C280,'Talente &amp; Stuff'!BI:CJ,15,FALSE)</f>
        <v>0</v>
      </c>
      <c r="R280" s="117">
        <f>VLOOKUP(C280,'Talente &amp; Stuff'!BI:CJ,16,FALSE)</f>
        <v>0</v>
      </c>
      <c r="S280" s="119">
        <f>VLOOKUP(C280,'Talente &amp; Stuff'!BI:CJ,17,FALSE)</f>
        <v>0</v>
      </c>
      <c r="T280" s="119">
        <f>VLOOKUP(C280,'Talente &amp; Stuff'!BI:CJ,18,FALSE)</f>
        <v>0</v>
      </c>
      <c r="U280" s="89">
        <f>VLOOKUP(C280,'Talente &amp; Stuff'!BI:CJ,19,FALSE)</f>
        <v>0</v>
      </c>
      <c r="V280" s="47">
        <f>VLOOKUP(C280,'Talente &amp; Stuff'!BI:CJ,20,FALSE)</f>
        <v>0</v>
      </c>
      <c r="W280" s="127">
        <f>VLOOKUP(C280,'Talente &amp; Stuff'!BI:CJ,21,FALSE)</f>
        <v>0</v>
      </c>
      <c r="X280" s="127">
        <f>VLOOKUP(C280,'Talente &amp; Stuff'!BI:CJ,22,FALSE)</f>
        <v>0</v>
      </c>
      <c r="Y280" s="165">
        <f t="shared" si="22"/>
        <v>0</v>
      </c>
      <c r="Z280" s="44">
        <f t="shared" si="23"/>
        <v>0</v>
      </c>
      <c r="AA280" s="125">
        <f>VLOOKUP(C280,'Talente &amp; Stuff'!BI:CJ,25,FALSE)</f>
        <v>0</v>
      </c>
      <c r="AB280" s="160">
        <f>VLOOKUP(C280,'Talente &amp; Stuff'!BI:CJ,26,FALSE)</f>
        <v>0</v>
      </c>
      <c r="AC280" s="127">
        <f>VLOOKUP(C280,'Talente &amp; Stuff'!BI:CJ,27,FALSE)</f>
        <v>0</v>
      </c>
      <c r="AD280" s="125">
        <f>VLOOKUP(C280,'Talente &amp; Stuff'!BI:CJ,28,FALSE)</f>
        <v>0</v>
      </c>
      <c r="AE280" s="28"/>
    </row>
    <row r="281" spans="2:31" ht="15" hidden="1" customHeight="1" outlineLevel="2">
      <c r="B281" s="148">
        <v>21</v>
      </c>
      <c r="C281" s="163" t="str">
        <f>Attribute!C281</f>
        <v>---</v>
      </c>
      <c r="D281" s="86" t="str">
        <f>VLOOKUP(C281,'Talente &amp; Stuff'!BI:CJ,2,FALSE)</f>
        <v>--/--/--</v>
      </c>
      <c r="E281" s="167" t="str">
        <f>VLOOKUP(C281,'Talente &amp; Stuff'!BI:CJ,3,FALSE)</f>
        <v>-</v>
      </c>
      <c r="F281" s="120">
        <f>VLOOKUP(C281,'Talente &amp; Stuff'!BI:CJ,4,FALSE)</f>
        <v>0</v>
      </c>
      <c r="G281" s="117">
        <f>VLOOKUP(C281,'Talente &amp; Stuff'!BI:CJ,5,FALSE)</f>
        <v>0</v>
      </c>
      <c r="H281" s="117">
        <f>VLOOKUP(C281,'Talente &amp; Stuff'!BI:CJ,6,FALSE)</f>
        <v>0</v>
      </c>
      <c r="I281" s="117">
        <f>VLOOKUP(C281,'Talente &amp; Stuff'!BI:CJ,7,FALSE)</f>
        <v>0</v>
      </c>
      <c r="J281" s="117">
        <f>VLOOKUP(C281,'Talente &amp; Stuff'!BI:CJ,8,FALSE)</f>
        <v>0</v>
      </c>
      <c r="K281" s="117">
        <f>VLOOKUP(C281,'Talente &amp; Stuff'!BI:CJ,9,FALSE)</f>
        <v>0</v>
      </c>
      <c r="L281" s="117">
        <f>VLOOKUP(C281,'Talente &amp; Stuff'!BI:CJ,10,FALSE)</f>
        <v>0</v>
      </c>
      <c r="M281" s="121">
        <f>VLOOKUP(C281,'Talente &amp; Stuff'!BI:CJ,11,FALSE)</f>
        <v>0</v>
      </c>
      <c r="N281" s="47">
        <f>VLOOKUP(C281,'Talente &amp; Stuff'!BI:CJ,12,FALSE)</f>
        <v>0</v>
      </c>
      <c r="O281" s="3">
        <f>VLOOKUP(C281,'Talente &amp; Stuff'!BI:CJ,13,FALSE)</f>
        <v>0</v>
      </c>
      <c r="P281" s="174">
        <f>VLOOKUP(C281,'Talente &amp; Stuff'!BI:CJ,14,FALSE)</f>
        <v>0</v>
      </c>
      <c r="Q281" s="114">
        <f>VLOOKUP(C281,'Talente &amp; Stuff'!BI:CJ,15,FALSE)</f>
        <v>0</v>
      </c>
      <c r="R281" s="117">
        <f>VLOOKUP(C281,'Talente &amp; Stuff'!BI:CJ,16,FALSE)</f>
        <v>0</v>
      </c>
      <c r="S281" s="119">
        <f>VLOOKUP(C281,'Talente &amp; Stuff'!BI:CJ,17,FALSE)</f>
        <v>0</v>
      </c>
      <c r="T281" s="119">
        <f>VLOOKUP(C281,'Talente &amp; Stuff'!BI:CJ,18,FALSE)</f>
        <v>0</v>
      </c>
      <c r="U281" s="89">
        <f>VLOOKUP(C281,'Talente &amp; Stuff'!BI:CJ,19,FALSE)</f>
        <v>0</v>
      </c>
      <c r="V281" s="47">
        <f>VLOOKUP(C281,'Talente &amp; Stuff'!BI:CJ,20,FALSE)</f>
        <v>0</v>
      </c>
      <c r="W281" s="127">
        <f>VLOOKUP(C281,'Talente &amp; Stuff'!BI:CJ,21,FALSE)</f>
        <v>0</v>
      </c>
      <c r="X281" s="127">
        <f>VLOOKUP(C281,'Talente &amp; Stuff'!BI:CJ,22,FALSE)</f>
        <v>0</v>
      </c>
      <c r="Y281" s="165">
        <f t="shared" si="22"/>
        <v>0</v>
      </c>
      <c r="Z281" s="44">
        <f t="shared" si="23"/>
        <v>0</v>
      </c>
      <c r="AA281" s="125">
        <f>VLOOKUP(C281,'Talente &amp; Stuff'!BI:CJ,25,FALSE)</f>
        <v>0</v>
      </c>
      <c r="AB281" s="160">
        <f>VLOOKUP(C281,'Talente &amp; Stuff'!BI:CJ,26,FALSE)</f>
        <v>0</v>
      </c>
      <c r="AC281" s="127">
        <f>VLOOKUP(C281,'Talente &amp; Stuff'!BI:CJ,27,FALSE)</f>
        <v>0</v>
      </c>
      <c r="AD281" s="125">
        <f>VLOOKUP(C281,'Talente &amp; Stuff'!BI:CJ,28,FALSE)</f>
        <v>0</v>
      </c>
      <c r="AE281" s="28"/>
    </row>
    <row r="282" spans="2:31" ht="15" hidden="1" customHeight="1" outlineLevel="2">
      <c r="B282" s="148">
        <v>22</v>
      </c>
      <c r="C282" s="163" t="str">
        <f>Attribute!C282</f>
        <v>---</v>
      </c>
      <c r="D282" s="86" t="str">
        <f>VLOOKUP(C282,'Talente &amp; Stuff'!BI:CJ,2,FALSE)</f>
        <v>--/--/--</v>
      </c>
      <c r="E282" s="167" t="str">
        <f>VLOOKUP(C282,'Talente &amp; Stuff'!BI:CJ,3,FALSE)</f>
        <v>-</v>
      </c>
      <c r="F282" s="120">
        <f>VLOOKUP(C282,'Talente &amp; Stuff'!BI:CJ,4,FALSE)</f>
        <v>0</v>
      </c>
      <c r="G282" s="117">
        <f>VLOOKUP(C282,'Talente &amp; Stuff'!BI:CJ,5,FALSE)</f>
        <v>0</v>
      </c>
      <c r="H282" s="117">
        <f>VLOOKUP(C282,'Talente &amp; Stuff'!BI:CJ,6,FALSE)</f>
        <v>0</v>
      </c>
      <c r="I282" s="117">
        <f>VLOOKUP(C282,'Talente &amp; Stuff'!BI:CJ,7,FALSE)</f>
        <v>0</v>
      </c>
      <c r="J282" s="117">
        <f>VLOOKUP(C282,'Talente &amp; Stuff'!BI:CJ,8,FALSE)</f>
        <v>0</v>
      </c>
      <c r="K282" s="117">
        <f>VLOOKUP(C282,'Talente &amp; Stuff'!BI:CJ,9,FALSE)</f>
        <v>0</v>
      </c>
      <c r="L282" s="117">
        <f>VLOOKUP(C282,'Talente &amp; Stuff'!BI:CJ,10,FALSE)</f>
        <v>0</v>
      </c>
      <c r="M282" s="121">
        <f>VLOOKUP(C282,'Talente &amp; Stuff'!BI:CJ,11,FALSE)</f>
        <v>0</v>
      </c>
      <c r="N282" s="47">
        <f>VLOOKUP(C282,'Talente &amp; Stuff'!BI:CJ,12,FALSE)</f>
        <v>0</v>
      </c>
      <c r="O282" s="3">
        <f>VLOOKUP(C282,'Talente &amp; Stuff'!BI:CJ,13,FALSE)</f>
        <v>0</v>
      </c>
      <c r="P282" s="174">
        <f>VLOOKUP(C282,'Talente &amp; Stuff'!BI:CJ,14,FALSE)</f>
        <v>0</v>
      </c>
      <c r="Q282" s="114">
        <f>VLOOKUP(C282,'Talente &amp; Stuff'!BI:CJ,15,FALSE)</f>
        <v>0</v>
      </c>
      <c r="R282" s="117">
        <f>VLOOKUP(C282,'Talente &amp; Stuff'!BI:CJ,16,FALSE)</f>
        <v>0</v>
      </c>
      <c r="S282" s="119">
        <f>VLOOKUP(C282,'Talente &amp; Stuff'!BI:CJ,17,FALSE)</f>
        <v>0</v>
      </c>
      <c r="T282" s="119">
        <f>VLOOKUP(C282,'Talente &amp; Stuff'!BI:CJ,18,FALSE)</f>
        <v>0</v>
      </c>
      <c r="U282" s="89">
        <f>VLOOKUP(C282,'Talente &amp; Stuff'!BI:CJ,19,FALSE)</f>
        <v>0</v>
      </c>
      <c r="V282" s="47">
        <f>VLOOKUP(C282,'Talente &amp; Stuff'!BI:CJ,20,FALSE)</f>
        <v>0</v>
      </c>
      <c r="W282" s="127">
        <f>VLOOKUP(C282,'Talente &amp; Stuff'!BI:CJ,21,FALSE)</f>
        <v>0</v>
      </c>
      <c r="X282" s="127">
        <f>VLOOKUP(C282,'Talente &amp; Stuff'!BI:CJ,22,FALSE)</f>
        <v>0</v>
      </c>
      <c r="Y282" s="165">
        <f t="shared" si="22"/>
        <v>0</v>
      </c>
      <c r="Z282" s="44">
        <f t="shared" si="23"/>
        <v>0</v>
      </c>
      <c r="AA282" s="125">
        <f>VLOOKUP(C282,'Talente &amp; Stuff'!BI:CJ,25,FALSE)</f>
        <v>0</v>
      </c>
      <c r="AB282" s="160">
        <f>VLOOKUP(C282,'Talente &amp; Stuff'!BI:CJ,26,FALSE)</f>
        <v>0</v>
      </c>
      <c r="AC282" s="127">
        <f>VLOOKUP(C282,'Talente &amp; Stuff'!BI:CJ,27,FALSE)</f>
        <v>0</v>
      </c>
      <c r="AD282" s="125">
        <f>VLOOKUP(C282,'Talente &amp; Stuff'!BI:CJ,28,FALSE)</f>
        <v>0</v>
      </c>
      <c r="AE282" s="28"/>
    </row>
    <row r="283" spans="2:31" ht="15" hidden="1" customHeight="1" outlineLevel="2">
      <c r="B283" s="148">
        <v>23</v>
      </c>
      <c r="C283" s="163" t="str">
        <f>Attribute!C283</f>
        <v>---</v>
      </c>
      <c r="D283" s="86" t="str">
        <f>VLOOKUP(C283,'Talente &amp; Stuff'!BI:CJ,2,FALSE)</f>
        <v>--/--/--</v>
      </c>
      <c r="E283" s="167" t="str">
        <f>VLOOKUP(C283,'Talente &amp; Stuff'!BI:CJ,3,FALSE)</f>
        <v>-</v>
      </c>
      <c r="F283" s="120">
        <f>VLOOKUP(C283,'Talente &amp; Stuff'!BI:CJ,4,FALSE)</f>
        <v>0</v>
      </c>
      <c r="G283" s="117">
        <f>VLOOKUP(C283,'Talente &amp; Stuff'!BI:CJ,5,FALSE)</f>
        <v>0</v>
      </c>
      <c r="H283" s="117">
        <f>VLOOKUP(C283,'Talente &amp; Stuff'!BI:CJ,6,FALSE)</f>
        <v>0</v>
      </c>
      <c r="I283" s="117">
        <f>VLOOKUP(C283,'Talente &amp; Stuff'!BI:CJ,7,FALSE)</f>
        <v>0</v>
      </c>
      <c r="J283" s="117">
        <f>VLOOKUP(C283,'Talente &amp; Stuff'!BI:CJ,8,FALSE)</f>
        <v>0</v>
      </c>
      <c r="K283" s="117">
        <f>VLOOKUP(C283,'Talente &amp; Stuff'!BI:CJ,9,FALSE)</f>
        <v>0</v>
      </c>
      <c r="L283" s="117">
        <f>VLOOKUP(C283,'Talente &amp; Stuff'!BI:CJ,10,FALSE)</f>
        <v>0</v>
      </c>
      <c r="M283" s="121">
        <f>VLOOKUP(C283,'Talente &amp; Stuff'!BI:CJ,11,FALSE)</f>
        <v>0</v>
      </c>
      <c r="N283" s="47">
        <f>VLOOKUP(C283,'Talente &amp; Stuff'!BI:CJ,12,FALSE)</f>
        <v>0</v>
      </c>
      <c r="O283" s="3">
        <f>VLOOKUP(C283,'Talente &amp; Stuff'!BI:CJ,13,FALSE)</f>
        <v>0</v>
      </c>
      <c r="P283" s="174">
        <f>VLOOKUP(C283,'Talente &amp; Stuff'!BI:CJ,14,FALSE)</f>
        <v>0</v>
      </c>
      <c r="Q283" s="114">
        <f>VLOOKUP(C283,'Talente &amp; Stuff'!BI:CJ,15,FALSE)</f>
        <v>0</v>
      </c>
      <c r="R283" s="117">
        <f>VLOOKUP(C283,'Talente &amp; Stuff'!BI:CJ,16,FALSE)</f>
        <v>0</v>
      </c>
      <c r="S283" s="119">
        <f>VLOOKUP(C283,'Talente &amp; Stuff'!BI:CJ,17,FALSE)</f>
        <v>0</v>
      </c>
      <c r="T283" s="119">
        <f>VLOOKUP(C283,'Talente &amp; Stuff'!BI:CJ,18,FALSE)</f>
        <v>0</v>
      </c>
      <c r="U283" s="89">
        <f>VLOOKUP(C283,'Talente &amp; Stuff'!BI:CJ,19,FALSE)</f>
        <v>0</v>
      </c>
      <c r="V283" s="47">
        <f>VLOOKUP(C283,'Talente &amp; Stuff'!BI:CJ,20,FALSE)</f>
        <v>0</v>
      </c>
      <c r="W283" s="127">
        <f>VLOOKUP(C283,'Talente &amp; Stuff'!BI:CJ,21,FALSE)</f>
        <v>0</v>
      </c>
      <c r="X283" s="127">
        <f>VLOOKUP(C283,'Talente &amp; Stuff'!BI:CJ,22,FALSE)</f>
        <v>0</v>
      </c>
      <c r="Y283" s="165">
        <f t="shared" si="22"/>
        <v>0</v>
      </c>
      <c r="Z283" s="44">
        <f t="shared" si="23"/>
        <v>0</v>
      </c>
      <c r="AA283" s="125">
        <f>VLOOKUP(C283,'Talente &amp; Stuff'!BI:CJ,25,FALSE)</f>
        <v>0</v>
      </c>
      <c r="AB283" s="160">
        <f>VLOOKUP(C283,'Talente &amp; Stuff'!BI:CJ,26,FALSE)</f>
        <v>0</v>
      </c>
      <c r="AC283" s="127">
        <f>VLOOKUP(C283,'Talente &amp; Stuff'!BI:CJ,27,FALSE)</f>
        <v>0</v>
      </c>
      <c r="AD283" s="125">
        <f>VLOOKUP(C283,'Talente &amp; Stuff'!BI:CJ,28,FALSE)</f>
        <v>0</v>
      </c>
      <c r="AE283" s="28"/>
    </row>
    <row r="284" spans="2:31" ht="15" hidden="1" customHeight="1" outlineLevel="2">
      <c r="B284" s="148">
        <v>24</v>
      </c>
      <c r="C284" s="163" t="str">
        <f>Attribute!C284</f>
        <v>---</v>
      </c>
      <c r="D284" s="86" t="str">
        <f>VLOOKUP(C284,'Talente &amp; Stuff'!BI:CJ,2,FALSE)</f>
        <v>--/--/--</v>
      </c>
      <c r="E284" s="167" t="str">
        <f>VLOOKUP(C284,'Talente &amp; Stuff'!BI:CJ,3,FALSE)</f>
        <v>-</v>
      </c>
      <c r="F284" s="120">
        <f>VLOOKUP(C284,'Talente &amp; Stuff'!BI:CJ,4,FALSE)</f>
        <v>0</v>
      </c>
      <c r="G284" s="117">
        <f>VLOOKUP(C284,'Talente &amp; Stuff'!BI:CJ,5,FALSE)</f>
        <v>0</v>
      </c>
      <c r="H284" s="117">
        <f>VLOOKUP(C284,'Talente &amp; Stuff'!BI:CJ,6,FALSE)</f>
        <v>0</v>
      </c>
      <c r="I284" s="117">
        <f>VLOOKUP(C284,'Talente &amp; Stuff'!BI:CJ,7,FALSE)</f>
        <v>0</v>
      </c>
      <c r="J284" s="117">
        <f>VLOOKUP(C284,'Talente &amp; Stuff'!BI:CJ,8,FALSE)</f>
        <v>0</v>
      </c>
      <c r="K284" s="117">
        <f>VLOOKUP(C284,'Talente &amp; Stuff'!BI:CJ,9,FALSE)</f>
        <v>0</v>
      </c>
      <c r="L284" s="117">
        <f>VLOOKUP(C284,'Talente &amp; Stuff'!BI:CJ,10,FALSE)</f>
        <v>0</v>
      </c>
      <c r="M284" s="121">
        <f>VLOOKUP(C284,'Talente &amp; Stuff'!BI:CJ,11,FALSE)</f>
        <v>0</v>
      </c>
      <c r="N284" s="47">
        <f>VLOOKUP(C284,'Talente &amp; Stuff'!BI:CJ,12,FALSE)</f>
        <v>0</v>
      </c>
      <c r="O284" s="3">
        <f>VLOOKUP(C284,'Talente &amp; Stuff'!BI:CJ,13,FALSE)</f>
        <v>0</v>
      </c>
      <c r="P284" s="174">
        <f>VLOOKUP(C284,'Talente &amp; Stuff'!BI:CJ,14,FALSE)</f>
        <v>0</v>
      </c>
      <c r="Q284" s="114">
        <f>VLOOKUP(C284,'Talente &amp; Stuff'!BI:CJ,15,FALSE)</f>
        <v>0</v>
      </c>
      <c r="R284" s="117">
        <f>VLOOKUP(C284,'Talente &amp; Stuff'!BI:CJ,16,FALSE)</f>
        <v>0</v>
      </c>
      <c r="S284" s="119">
        <f>VLOOKUP(C284,'Talente &amp; Stuff'!BI:CJ,17,FALSE)</f>
        <v>0</v>
      </c>
      <c r="T284" s="119">
        <f>VLOOKUP(C284,'Talente &amp; Stuff'!BI:CJ,18,FALSE)</f>
        <v>0</v>
      </c>
      <c r="U284" s="89">
        <f>VLOOKUP(C284,'Talente &amp; Stuff'!BI:CJ,19,FALSE)</f>
        <v>0</v>
      </c>
      <c r="V284" s="47">
        <f>VLOOKUP(C284,'Talente &amp; Stuff'!BI:CJ,20,FALSE)</f>
        <v>0</v>
      </c>
      <c r="W284" s="127">
        <f>VLOOKUP(C284,'Talente &amp; Stuff'!BI:CJ,21,FALSE)</f>
        <v>0</v>
      </c>
      <c r="X284" s="127">
        <f>VLOOKUP(C284,'Talente &amp; Stuff'!BI:CJ,22,FALSE)</f>
        <v>0</v>
      </c>
      <c r="Y284" s="165">
        <f t="shared" si="22"/>
        <v>0</v>
      </c>
      <c r="Z284" s="44">
        <f t="shared" si="23"/>
        <v>0</v>
      </c>
      <c r="AA284" s="125">
        <f>VLOOKUP(C284,'Talente &amp; Stuff'!BI:CJ,25,FALSE)</f>
        <v>0</v>
      </c>
      <c r="AB284" s="160">
        <f>VLOOKUP(C284,'Talente &amp; Stuff'!BI:CJ,26,FALSE)</f>
        <v>0</v>
      </c>
      <c r="AC284" s="127">
        <f>VLOOKUP(C284,'Talente &amp; Stuff'!BI:CJ,27,FALSE)</f>
        <v>0</v>
      </c>
      <c r="AD284" s="125">
        <f>VLOOKUP(C284,'Talente &amp; Stuff'!BI:CJ,28,FALSE)</f>
        <v>0</v>
      </c>
      <c r="AE284" s="28"/>
    </row>
    <row r="285" spans="2:31" ht="15" hidden="1" customHeight="1" outlineLevel="2">
      <c r="B285" s="148">
        <v>25</v>
      </c>
      <c r="C285" s="163" t="str">
        <f>Attribute!C285</f>
        <v>---</v>
      </c>
      <c r="D285" s="86" t="str">
        <f>VLOOKUP(C285,'Talente &amp; Stuff'!BI:CJ,2,FALSE)</f>
        <v>--/--/--</v>
      </c>
      <c r="E285" s="167" t="str">
        <f>VLOOKUP(C285,'Talente &amp; Stuff'!BI:CJ,3,FALSE)</f>
        <v>-</v>
      </c>
      <c r="F285" s="120">
        <f>VLOOKUP(C285,'Talente &amp; Stuff'!BI:CJ,4,FALSE)</f>
        <v>0</v>
      </c>
      <c r="G285" s="117">
        <f>VLOOKUP(C285,'Talente &amp; Stuff'!BI:CJ,5,FALSE)</f>
        <v>0</v>
      </c>
      <c r="H285" s="117">
        <f>VLOOKUP(C285,'Talente &amp; Stuff'!BI:CJ,6,FALSE)</f>
        <v>0</v>
      </c>
      <c r="I285" s="117">
        <f>VLOOKUP(C285,'Talente &amp; Stuff'!BI:CJ,7,FALSE)</f>
        <v>0</v>
      </c>
      <c r="J285" s="117">
        <f>VLOOKUP(C285,'Talente &amp; Stuff'!BI:CJ,8,FALSE)</f>
        <v>0</v>
      </c>
      <c r="K285" s="117">
        <f>VLOOKUP(C285,'Talente &amp; Stuff'!BI:CJ,9,FALSE)</f>
        <v>0</v>
      </c>
      <c r="L285" s="117">
        <f>VLOOKUP(C285,'Talente &amp; Stuff'!BI:CJ,10,FALSE)</f>
        <v>0</v>
      </c>
      <c r="M285" s="121">
        <f>VLOOKUP(C285,'Talente &amp; Stuff'!BI:CJ,11,FALSE)</f>
        <v>0</v>
      </c>
      <c r="N285" s="47">
        <f>VLOOKUP(C285,'Talente &amp; Stuff'!BI:CJ,12,FALSE)</f>
        <v>0</v>
      </c>
      <c r="O285" s="3">
        <f>VLOOKUP(C285,'Talente &amp; Stuff'!BI:CJ,13,FALSE)</f>
        <v>0</v>
      </c>
      <c r="P285" s="174">
        <f>VLOOKUP(C285,'Talente &amp; Stuff'!BI:CJ,14,FALSE)</f>
        <v>0</v>
      </c>
      <c r="Q285" s="114">
        <f>VLOOKUP(C285,'Talente &amp; Stuff'!BI:CJ,15,FALSE)</f>
        <v>0</v>
      </c>
      <c r="R285" s="117">
        <f>VLOOKUP(C285,'Talente &amp; Stuff'!BI:CJ,16,FALSE)</f>
        <v>0</v>
      </c>
      <c r="S285" s="119">
        <f>VLOOKUP(C285,'Talente &amp; Stuff'!BI:CJ,17,FALSE)</f>
        <v>0</v>
      </c>
      <c r="T285" s="119">
        <f>VLOOKUP(C285,'Talente &amp; Stuff'!BI:CJ,18,FALSE)</f>
        <v>0</v>
      </c>
      <c r="U285" s="89">
        <f>VLOOKUP(C285,'Talente &amp; Stuff'!BI:CJ,19,FALSE)</f>
        <v>0</v>
      </c>
      <c r="V285" s="47">
        <f>VLOOKUP(C285,'Talente &amp; Stuff'!BI:CJ,20,FALSE)</f>
        <v>0</v>
      </c>
      <c r="W285" s="127">
        <f>VLOOKUP(C285,'Talente &amp; Stuff'!BI:CJ,21,FALSE)</f>
        <v>0</v>
      </c>
      <c r="X285" s="127">
        <f>VLOOKUP(C285,'Talente &amp; Stuff'!BI:CJ,22,FALSE)</f>
        <v>0</v>
      </c>
      <c r="Y285" s="165">
        <f t="shared" si="22"/>
        <v>0</v>
      </c>
      <c r="Z285" s="44">
        <f t="shared" si="23"/>
        <v>0</v>
      </c>
      <c r="AA285" s="125">
        <f>VLOOKUP(C285,'Talente &amp; Stuff'!BI:CJ,25,FALSE)</f>
        <v>0</v>
      </c>
      <c r="AB285" s="160">
        <f>VLOOKUP(C285,'Talente &amp; Stuff'!BI:CJ,26,FALSE)</f>
        <v>0</v>
      </c>
      <c r="AC285" s="127">
        <f>VLOOKUP(C285,'Talente &amp; Stuff'!BI:CJ,27,FALSE)</f>
        <v>0</v>
      </c>
      <c r="AD285" s="125">
        <f>VLOOKUP(C285,'Talente &amp; Stuff'!BI:CJ,28,FALSE)</f>
        <v>0</v>
      </c>
      <c r="AE285" s="28"/>
    </row>
    <row r="286" spans="2:31" ht="15" hidden="1" customHeight="1" outlineLevel="2">
      <c r="B286" s="148">
        <v>26</v>
      </c>
      <c r="C286" s="163" t="str">
        <f>Attribute!C286</f>
        <v>---</v>
      </c>
      <c r="D286" s="86" t="str">
        <f>VLOOKUP(C286,'Talente &amp; Stuff'!BI:CJ,2,FALSE)</f>
        <v>--/--/--</v>
      </c>
      <c r="E286" s="167" t="str">
        <f>VLOOKUP(C286,'Talente &amp; Stuff'!BI:CJ,3,FALSE)</f>
        <v>-</v>
      </c>
      <c r="F286" s="120">
        <f>VLOOKUP(C286,'Talente &amp; Stuff'!BI:CJ,4,FALSE)</f>
        <v>0</v>
      </c>
      <c r="G286" s="117">
        <f>VLOOKUP(C286,'Talente &amp; Stuff'!BI:CJ,5,FALSE)</f>
        <v>0</v>
      </c>
      <c r="H286" s="117">
        <f>VLOOKUP(C286,'Talente &amp; Stuff'!BI:CJ,6,FALSE)</f>
        <v>0</v>
      </c>
      <c r="I286" s="117">
        <f>VLOOKUP(C286,'Talente &amp; Stuff'!BI:CJ,7,FALSE)</f>
        <v>0</v>
      </c>
      <c r="J286" s="117">
        <f>VLOOKUP(C286,'Talente &amp; Stuff'!BI:CJ,8,FALSE)</f>
        <v>0</v>
      </c>
      <c r="K286" s="117">
        <f>VLOOKUP(C286,'Talente &amp; Stuff'!BI:CJ,9,FALSE)</f>
        <v>0</v>
      </c>
      <c r="L286" s="117">
        <f>VLOOKUP(C286,'Talente &amp; Stuff'!BI:CJ,10,FALSE)</f>
        <v>0</v>
      </c>
      <c r="M286" s="121">
        <f>VLOOKUP(C286,'Talente &amp; Stuff'!BI:CJ,11,FALSE)</f>
        <v>0</v>
      </c>
      <c r="N286" s="47">
        <f>VLOOKUP(C286,'Talente &amp; Stuff'!BI:CJ,12,FALSE)</f>
        <v>0</v>
      </c>
      <c r="O286" s="3">
        <f>VLOOKUP(C286,'Talente &amp; Stuff'!BI:CJ,13,FALSE)</f>
        <v>0</v>
      </c>
      <c r="P286" s="174">
        <f>VLOOKUP(C286,'Talente &amp; Stuff'!BI:CJ,14,FALSE)</f>
        <v>0</v>
      </c>
      <c r="Q286" s="114">
        <f>VLOOKUP(C286,'Talente &amp; Stuff'!BI:CJ,15,FALSE)</f>
        <v>0</v>
      </c>
      <c r="R286" s="117">
        <f>VLOOKUP(C286,'Talente &amp; Stuff'!BI:CJ,16,FALSE)</f>
        <v>0</v>
      </c>
      <c r="S286" s="119">
        <f>VLOOKUP(C286,'Talente &amp; Stuff'!BI:CJ,17,FALSE)</f>
        <v>0</v>
      </c>
      <c r="T286" s="119">
        <f>VLOOKUP(C286,'Talente &amp; Stuff'!BI:CJ,18,FALSE)</f>
        <v>0</v>
      </c>
      <c r="U286" s="89">
        <f>VLOOKUP(C286,'Talente &amp; Stuff'!BI:CJ,19,FALSE)</f>
        <v>0</v>
      </c>
      <c r="V286" s="47">
        <f>VLOOKUP(C286,'Talente &amp; Stuff'!BI:CJ,20,FALSE)</f>
        <v>0</v>
      </c>
      <c r="W286" s="127">
        <f>VLOOKUP(C286,'Talente &amp; Stuff'!BI:CJ,21,FALSE)</f>
        <v>0</v>
      </c>
      <c r="X286" s="127">
        <f>VLOOKUP(C286,'Talente &amp; Stuff'!BI:CJ,22,FALSE)</f>
        <v>0</v>
      </c>
      <c r="Y286" s="165">
        <f t="shared" si="22"/>
        <v>0</v>
      </c>
      <c r="Z286" s="44">
        <f t="shared" si="23"/>
        <v>0</v>
      </c>
      <c r="AA286" s="125">
        <f>VLOOKUP(C286,'Talente &amp; Stuff'!BI:CJ,25,FALSE)</f>
        <v>0</v>
      </c>
      <c r="AB286" s="160">
        <f>VLOOKUP(C286,'Talente &amp; Stuff'!BI:CJ,26,FALSE)</f>
        <v>0</v>
      </c>
      <c r="AC286" s="127">
        <f>VLOOKUP(C286,'Talente &amp; Stuff'!BI:CJ,27,FALSE)</f>
        <v>0</v>
      </c>
      <c r="AD286" s="125">
        <f>VLOOKUP(C286,'Talente &amp; Stuff'!BI:CJ,28,FALSE)</f>
        <v>0</v>
      </c>
      <c r="AE286" s="28"/>
    </row>
    <row r="287" spans="2:31" ht="15" hidden="1" customHeight="1" outlineLevel="2">
      <c r="B287" s="148">
        <v>27</v>
      </c>
      <c r="C287" s="163" t="str">
        <f>Attribute!C287</f>
        <v>---</v>
      </c>
      <c r="D287" s="86" t="str">
        <f>VLOOKUP(C287,'Talente &amp; Stuff'!BI:CJ,2,FALSE)</f>
        <v>--/--/--</v>
      </c>
      <c r="E287" s="167" t="str">
        <f>VLOOKUP(C287,'Talente &amp; Stuff'!BI:CJ,3,FALSE)</f>
        <v>-</v>
      </c>
      <c r="F287" s="120">
        <f>VLOOKUP(C287,'Talente &amp; Stuff'!BI:CJ,4,FALSE)</f>
        <v>0</v>
      </c>
      <c r="G287" s="117">
        <f>VLOOKUP(C287,'Talente &amp; Stuff'!BI:CJ,5,FALSE)</f>
        <v>0</v>
      </c>
      <c r="H287" s="117">
        <f>VLOOKUP(C287,'Talente &amp; Stuff'!BI:CJ,6,FALSE)</f>
        <v>0</v>
      </c>
      <c r="I287" s="117">
        <f>VLOOKUP(C287,'Talente &amp; Stuff'!BI:CJ,7,FALSE)</f>
        <v>0</v>
      </c>
      <c r="J287" s="117">
        <f>VLOOKUP(C287,'Talente &amp; Stuff'!BI:CJ,8,FALSE)</f>
        <v>0</v>
      </c>
      <c r="K287" s="117">
        <f>VLOOKUP(C287,'Talente &amp; Stuff'!BI:CJ,9,FALSE)</f>
        <v>0</v>
      </c>
      <c r="L287" s="117">
        <f>VLOOKUP(C287,'Talente &amp; Stuff'!BI:CJ,10,FALSE)</f>
        <v>0</v>
      </c>
      <c r="M287" s="121">
        <f>VLOOKUP(C287,'Talente &amp; Stuff'!BI:CJ,11,FALSE)</f>
        <v>0</v>
      </c>
      <c r="N287" s="47">
        <f>VLOOKUP(C287,'Talente &amp; Stuff'!BI:CJ,12,FALSE)</f>
        <v>0</v>
      </c>
      <c r="O287" s="3">
        <f>VLOOKUP(C287,'Talente &amp; Stuff'!BI:CJ,13,FALSE)</f>
        <v>0</v>
      </c>
      <c r="P287" s="174">
        <f>VLOOKUP(C287,'Talente &amp; Stuff'!BI:CJ,14,FALSE)</f>
        <v>0</v>
      </c>
      <c r="Q287" s="114">
        <f>VLOOKUP(C287,'Talente &amp; Stuff'!BI:CJ,15,FALSE)</f>
        <v>0</v>
      </c>
      <c r="R287" s="117">
        <f>VLOOKUP(C287,'Talente &amp; Stuff'!BI:CJ,16,FALSE)</f>
        <v>0</v>
      </c>
      <c r="S287" s="119">
        <f>VLOOKUP(C287,'Talente &amp; Stuff'!BI:CJ,17,FALSE)</f>
        <v>0</v>
      </c>
      <c r="T287" s="119">
        <f>VLOOKUP(C287,'Talente &amp; Stuff'!BI:CJ,18,FALSE)</f>
        <v>0</v>
      </c>
      <c r="U287" s="89">
        <f>VLOOKUP(C287,'Talente &amp; Stuff'!BI:CJ,19,FALSE)</f>
        <v>0</v>
      </c>
      <c r="V287" s="47">
        <f>VLOOKUP(C287,'Talente &amp; Stuff'!BI:CJ,20,FALSE)</f>
        <v>0</v>
      </c>
      <c r="W287" s="127">
        <f>VLOOKUP(C287,'Talente &amp; Stuff'!BI:CJ,21,FALSE)</f>
        <v>0</v>
      </c>
      <c r="X287" s="127">
        <f>VLOOKUP(C287,'Talente &amp; Stuff'!BI:CJ,22,FALSE)</f>
        <v>0</v>
      </c>
      <c r="Y287" s="165">
        <f t="shared" si="22"/>
        <v>0</v>
      </c>
      <c r="Z287" s="44">
        <f t="shared" si="23"/>
        <v>0</v>
      </c>
      <c r="AA287" s="125">
        <f>VLOOKUP(C287,'Talente &amp; Stuff'!BI:CJ,25,FALSE)</f>
        <v>0</v>
      </c>
      <c r="AB287" s="160">
        <f>VLOOKUP(C287,'Talente &amp; Stuff'!BI:CJ,26,FALSE)</f>
        <v>0</v>
      </c>
      <c r="AC287" s="127">
        <f>VLOOKUP(C287,'Talente &amp; Stuff'!BI:CJ,27,FALSE)</f>
        <v>0</v>
      </c>
      <c r="AD287" s="125">
        <f>VLOOKUP(C287,'Talente &amp; Stuff'!BI:CJ,28,FALSE)</f>
        <v>0</v>
      </c>
      <c r="AE287" s="28"/>
    </row>
    <row r="288" spans="2:31" ht="15" hidden="1" customHeight="1" outlineLevel="2">
      <c r="B288" s="148">
        <v>28</v>
      </c>
      <c r="C288" s="163" t="str">
        <f>Attribute!C288</f>
        <v>---</v>
      </c>
      <c r="D288" s="86" t="str">
        <f>VLOOKUP(C288,'Talente &amp; Stuff'!BI:CJ,2,FALSE)</f>
        <v>--/--/--</v>
      </c>
      <c r="E288" s="167" t="str">
        <f>VLOOKUP(C288,'Talente &amp; Stuff'!BI:CJ,3,FALSE)</f>
        <v>-</v>
      </c>
      <c r="F288" s="120">
        <f>VLOOKUP(C288,'Talente &amp; Stuff'!BI:CJ,4,FALSE)</f>
        <v>0</v>
      </c>
      <c r="G288" s="117">
        <f>VLOOKUP(C288,'Talente &amp; Stuff'!BI:CJ,5,FALSE)</f>
        <v>0</v>
      </c>
      <c r="H288" s="117">
        <f>VLOOKUP(C288,'Talente &amp; Stuff'!BI:CJ,6,FALSE)</f>
        <v>0</v>
      </c>
      <c r="I288" s="117">
        <f>VLOOKUP(C288,'Talente &amp; Stuff'!BI:CJ,7,FALSE)</f>
        <v>0</v>
      </c>
      <c r="J288" s="117">
        <f>VLOOKUP(C288,'Talente &amp; Stuff'!BI:CJ,8,FALSE)</f>
        <v>0</v>
      </c>
      <c r="K288" s="117">
        <f>VLOOKUP(C288,'Talente &amp; Stuff'!BI:CJ,9,FALSE)</f>
        <v>0</v>
      </c>
      <c r="L288" s="117">
        <f>VLOOKUP(C288,'Talente &amp; Stuff'!BI:CJ,10,FALSE)</f>
        <v>0</v>
      </c>
      <c r="M288" s="121">
        <f>VLOOKUP(C288,'Talente &amp; Stuff'!BI:CJ,11,FALSE)</f>
        <v>0</v>
      </c>
      <c r="N288" s="47">
        <f>VLOOKUP(C288,'Talente &amp; Stuff'!BI:CJ,12,FALSE)</f>
        <v>0</v>
      </c>
      <c r="O288" s="3">
        <f>VLOOKUP(C288,'Talente &amp; Stuff'!BI:CJ,13,FALSE)</f>
        <v>0</v>
      </c>
      <c r="P288" s="174">
        <f>VLOOKUP(C288,'Talente &amp; Stuff'!BI:CJ,14,FALSE)</f>
        <v>0</v>
      </c>
      <c r="Q288" s="114">
        <f>VLOOKUP(C288,'Talente &amp; Stuff'!BI:CJ,15,FALSE)</f>
        <v>0</v>
      </c>
      <c r="R288" s="117">
        <f>VLOOKUP(C288,'Talente &amp; Stuff'!BI:CJ,16,FALSE)</f>
        <v>0</v>
      </c>
      <c r="S288" s="119">
        <f>VLOOKUP(C288,'Talente &amp; Stuff'!BI:CJ,17,FALSE)</f>
        <v>0</v>
      </c>
      <c r="T288" s="119">
        <f>VLOOKUP(C288,'Talente &amp; Stuff'!BI:CJ,18,FALSE)</f>
        <v>0</v>
      </c>
      <c r="U288" s="89">
        <f>VLOOKUP(C288,'Talente &amp; Stuff'!BI:CJ,19,FALSE)</f>
        <v>0</v>
      </c>
      <c r="V288" s="47">
        <f>VLOOKUP(C288,'Talente &amp; Stuff'!BI:CJ,20,FALSE)</f>
        <v>0</v>
      </c>
      <c r="W288" s="127">
        <f>VLOOKUP(C288,'Talente &amp; Stuff'!BI:CJ,21,FALSE)</f>
        <v>0</v>
      </c>
      <c r="X288" s="127">
        <f>VLOOKUP(C288,'Talente &amp; Stuff'!BI:CJ,22,FALSE)</f>
        <v>0</v>
      </c>
      <c r="Y288" s="165">
        <f t="shared" si="22"/>
        <v>0</v>
      </c>
      <c r="Z288" s="44">
        <f t="shared" si="23"/>
        <v>0</v>
      </c>
      <c r="AA288" s="125">
        <f>VLOOKUP(C288,'Talente &amp; Stuff'!BI:CJ,25,FALSE)</f>
        <v>0</v>
      </c>
      <c r="AB288" s="160">
        <f>VLOOKUP(C288,'Talente &amp; Stuff'!BI:CJ,26,FALSE)</f>
        <v>0</v>
      </c>
      <c r="AC288" s="127">
        <f>VLOOKUP(C288,'Talente &amp; Stuff'!BI:CJ,27,FALSE)</f>
        <v>0</v>
      </c>
      <c r="AD288" s="125">
        <f>VLOOKUP(C288,'Talente &amp; Stuff'!BI:CJ,28,FALSE)</f>
        <v>0</v>
      </c>
      <c r="AE288" s="28"/>
    </row>
    <row r="289" spans="1:31" ht="15" hidden="1" customHeight="1" outlineLevel="2">
      <c r="B289" s="148">
        <v>29</v>
      </c>
      <c r="C289" s="163" t="str">
        <f>Attribute!C289</f>
        <v>---</v>
      </c>
      <c r="D289" s="125" t="str">
        <f>VLOOKUP(C289,'Talente &amp; Stuff'!BI:CJ,2,FALSE)</f>
        <v>--/--/--</v>
      </c>
      <c r="E289" s="127" t="str">
        <f>VLOOKUP(C289,'Talente &amp; Stuff'!BI:CJ,3,FALSE)</f>
        <v>-</v>
      </c>
      <c r="F289" s="114">
        <f>VLOOKUP(C289,'Talente &amp; Stuff'!BI:CJ,4,FALSE)</f>
        <v>0</v>
      </c>
      <c r="G289" s="113">
        <f>VLOOKUP(C289,'Talente &amp; Stuff'!BI:CJ,5,FALSE)</f>
        <v>0</v>
      </c>
      <c r="H289" s="113">
        <f>VLOOKUP(C289,'Talente &amp; Stuff'!BI:CJ,6,FALSE)</f>
        <v>0</v>
      </c>
      <c r="I289" s="113">
        <f>VLOOKUP(C289,'Talente &amp; Stuff'!BI:CJ,7,FALSE)</f>
        <v>0</v>
      </c>
      <c r="J289" s="113">
        <f>VLOOKUP(C289,'Talente &amp; Stuff'!BI:CJ,8,FALSE)</f>
        <v>0</v>
      </c>
      <c r="K289" s="113">
        <f>VLOOKUP(C289,'Talente &amp; Stuff'!BI:CJ,9,FALSE)</f>
        <v>0</v>
      </c>
      <c r="L289" s="113">
        <f>VLOOKUP(C289,'Talente &amp; Stuff'!BI:CJ,10,FALSE)</f>
        <v>0</v>
      </c>
      <c r="M289" s="119">
        <f>VLOOKUP(C289,'Talente &amp; Stuff'!BI:CJ,11,FALSE)</f>
        <v>0</v>
      </c>
      <c r="N289" s="47">
        <f>VLOOKUP(C289,'Talente &amp; Stuff'!BI:CJ,12,FALSE)</f>
        <v>0</v>
      </c>
      <c r="O289" s="47">
        <f>VLOOKUP(C289,'Talente &amp; Stuff'!BI:CJ,13,FALSE)</f>
        <v>0</v>
      </c>
      <c r="P289" s="119">
        <f>VLOOKUP(C289,'Talente &amp; Stuff'!BI:CJ,14,FALSE)</f>
        <v>0</v>
      </c>
      <c r="Q289" s="114">
        <f>VLOOKUP(C289,'Talente &amp; Stuff'!BI:CJ,15,FALSE)</f>
        <v>0</v>
      </c>
      <c r="R289" s="113">
        <f>VLOOKUP(C289,'Talente &amp; Stuff'!BI:CJ,16,FALSE)</f>
        <v>0</v>
      </c>
      <c r="S289" s="119">
        <f>VLOOKUP(C289,'Talente &amp; Stuff'!BI:CJ,17,FALSE)</f>
        <v>0</v>
      </c>
      <c r="T289" s="119">
        <f>VLOOKUP(C289,'Talente &amp; Stuff'!BI:CJ,18,FALSE)</f>
        <v>0</v>
      </c>
      <c r="U289" s="89">
        <f>VLOOKUP(C289,'Talente &amp; Stuff'!BI:CJ,19,FALSE)</f>
        <v>0</v>
      </c>
      <c r="V289" s="47">
        <f>VLOOKUP(C289,'Talente &amp; Stuff'!BI:CJ,20,FALSE)</f>
        <v>0</v>
      </c>
      <c r="W289" s="127">
        <f>VLOOKUP(C289,'Talente &amp; Stuff'!BI:CJ,21,FALSE)</f>
        <v>0</v>
      </c>
      <c r="X289" s="127">
        <f>VLOOKUP(C289,'Talente &amp; Stuff'!BI:CJ,22,FALSE)</f>
        <v>0</v>
      </c>
      <c r="Y289" s="165">
        <f t="shared" si="22"/>
        <v>0</v>
      </c>
      <c r="Z289" s="44">
        <f t="shared" si="23"/>
        <v>0</v>
      </c>
      <c r="AA289" s="125">
        <f>VLOOKUP(C289,'Talente &amp; Stuff'!BI:CJ,25,FALSE)</f>
        <v>0</v>
      </c>
      <c r="AB289" s="160">
        <f>VLOOKUP(C289,'Talente &amp; Stuff'!BI:CJ,26,FALSE)</f>
        <v>0</v>
      </c>
      <c r="AC289" s="127">
        <f>VLOOKUP(C289,'Talente &amp; Stuff'!BI:CJ,27,FALSE)</f>
        <v>0</v>
      </c>
      <c r="AD289" s="125">
        <f>VLOOKUP(C289,'Talente &amp; Stuff'!BI:CJ,28,FALSE)</f>
        <v>0</v>
      </c>
      <c r="AE289" s="28"/>
    </row>
    <row r="290" spans="1:31" ht="15" hidden="1" customHeight="1" outlineLevel="2">
      <c r="B290" s="148">
        <v>30</v>
      </c>
      <c r="C290" s="163" t="str">
        <f>Attribute!C290</f>
        <v>---</v>
      </c>
      <c r="D290" s="125" t="str">
        <f>VLOOKUP(C290,'Talente &amp; Stuff'!BI:CJ,2,FALSE)</f>
        <v>--/--/--</v>
      </c>
      <c r="E290" s="127" t="str">
        <f>VLOOKUP(C290,'Talente &amp; Stuff'!BI:CJ,3,FALSE)</f>
        <v>-</v>
      </c>
      <c r="F290" s="114">
        <f>VLOOKUP(C290,'Talente &amp; Stuff'!BI:CJ,4,FALSE)</f>
        <v>0</v>
      </c>
      <c r="G290" s="113">
        <f>VLOOKUP(C290,'Talente &amp; Stuff'!BI:CJ,5,FALSE)</f>
        <v>0</v>
      </c>
      <c r="H290" s="113">
        <f>VLOOKUP(C290,'Talente &amp; Stuff'!BI:CJ,6,FALSE)</f>
        <v>0</v>
      </c>
      <c r="I290" s="113">
        <f>VLOOKUP(C290,'Talente &amp; Stuff'!BI:CJ,7,FALSE)</f>
        <v>0</v>
      </c>
      <c r="J290" s="113">
        <f>VLOOKUP(C290,'Talente &amp; Stuff'!BI:CJ,8,FALSE)</f>
        <v>0</v>
      </c>
      <c r="K290" s="113">
        <f>VLOOKUP(C290,'Talente &amp; Stuff'!BI:CJ,9,FALSE)</f>
        <v>0</v>
      </c>
      <c r="L290" s="113">
        <f>VLOOKUP(C290,'Talente &amp; Stuff'!BI:CJ,10,FALSE)</f>
        <v>0</v>
      </c>
      <c r="M290" s="119">
        <f>VLOOKUP(C290,'Talente &amp; Stuff'!BI:CJ,11,FALSE)</f>
        <v>0</v>
      </c>
      <c r="N290" s="47">
        <f>VLOOKUP(C290,'Talente &amp; Stuff'!BI:CJ,12,FALSE)</f>
        <v>0</v>
      </c>
      <c r="O290" s="47">
        <f>VLOOKUP(C290,'Talente &amp; Stuff'!BI:CJ,13,FALSE)</f>
        <v>0</v>
      </c>
      <c r="P290" s="119">
        <f>VLOOKUP(C290,'Talente &amp; Stuff'!BI:CJ,14,FALSE)</f>
        <v>0</v>
      </c>
      <c r="Q290" s="114">
        <f>VLOOKUP(C290,'Talente &amp; Stuff'!BI:CJ,15,FALSE)</f>
        <v>0</v>
      </c>
      <c r="R290" s="113">
        <f>VLOOKUP(C290,'Talente &amp; Stuff'!BI:CJ,16,FALSE)</f>
        <v>0</v>
      </c>
      <c r="S290" s="119">
        <f>VLOOKUP(C290,'Talente &amp; Stuff'!BI:CJ,17,FALSE)</f>
        <v>0</v>
      </c>
      <c r="T290" s="119">
        <f>VLOOKUP(C290,'Talente &amp; Stuff'!BI:CJ,18,FALSE)</f>
        <v>0</v>
      </c>
      <c r="U290" s="89">
        <f>VLOOKUP(C290,'Talente &amp; Stuff'!BI:CJ,19,FALSE)</f>
        <v>0</v>
      </c>
      <c r="V290" s="47">
        <f>VLOOKUP(C290,'Talente &amp; Stuff'!BI:CJ,20,FALSE)</f>
        <v>0</v>
      </c>
      <c r="W290" s="127">
        <f>VLOOKUP(C290,'Talente &amp; Stuff'!BI:CJ,21,FALSE)</f>
        <v>0</v>
      </c>
      <c r="X290" s="127">
        <f>VLOOKUP(C290,'Talente &amp; Stuff'!BI:CJ,22,FALSE)</f>
        <v>0</v>
      </c>
      <c r="Y290" s="165">
        <f t="shared" si="22"/>
        <v>0</v>
      </c>
      <c r="Z290" s="44">
        <f t="shared" si="23"/>
        <v>0</v>
      </c>
      <c r="AA290" s="125">
        <f>VLOOKUP(C290,'Talente &amp; Stuff'!BI:CJ,25,FALSE)</f>
        <v>0</v>
      </c>
      <c r="AB290" s="160">
        <f>VLOOKUP(C290,'Talente &amp; Stuff'!BI:CJ,26,FALSE)</f>
        <v>0</v>
      </c>
      <c r="AC290" s="127">
        <f>VLOOKUP(C290,'Talente &amp; Stuff'!BI:CJ,27,FALSE)</f>
        <v>0</v>
      </c>
      <c r="AD290" s="125">
        <f>VLOOKUP(C290,'Talente &amp; Stuff'!BI:CJ,28,FALSE)</f>
        <v>0</v>
      </c>
      <c r="AE290" s="28"/>
    </row>
    <row r="291" spans="1:31" ht="15" hidden="1" customHeight="1" outlineLevel="2">
      <c r="B291" s="148">
        <v>31</v>
      </c>
      <c r="C291" s="163" t="str">
        <f>Attribute!C291</f>
        <v>---</v>
      </c>
      <c r="D291" s="125" t="str">
        <f>VLOOKUP(C291,'Talente &amp; Stuff'!BI:CJ,2,FALSE)</f>
        <v>--/--/--</v>
      </c>
      <c r="E291" s="127" t="str">
        <f>VLOOKUP(C291,'Talente &amp; Stuff'!BI:CJ,3,FALSE)</f>
        <v>-</v>
      </c>
      <c r="F291" s="114">
        <f>VLOOKUP(C291,'Talente &amp; Stuff'!BI:CJ,4,FALSE)</f>
        <v>0</v>
      </c>
      <c r="G291" s="113">
        <f>VLOOKUP(C291,'Talente &amp; Stuff'!BI:CJ,5,FALSE)</f>
        <v>0</v>
      </c>
      <c r="H291" s="113">
        <f>VLOOKUP(C291,'Talente &amp; Stuff'!BI:CJ,6,FALSE)</f>
        <v>0</v>
      </c>
      <c r="I291" s="113">
        <f>VLOOKUP(C291,'Talente &amp; Stuff'!BI:CJ,7,FALSE)</f>
        <v>0</v>
      </c>
      <c r="J291" s="113">
        <f>VLOOKUP(C291,'Talente &amp; Stuff'!BI:CJ,8,FALSE)</f>
        <v>0</v>
      </c>
      <c r="K291" s="113">
        <f>VLOOKUP(C291,'Talente &amp; Stuff'!BI:CJ,9,FALSE)</f>
        <v>0</v>
      </c>
      <c r="L291" s="113">
        <f>VLOOKUP(C291,'Talente &amp; Stuff'!BI:CJ,10,FALSE)</f>
        <v>0</v>
      </c>
      <c r="M291" s="119">
        <f>VLOOKUP(C291,'Talente &amp; Stuff'!BI:CJ,11,FALSE)</f>
        <v>0</v>
      </c>
      <c r="N291" s="47">
        <f>VLOOKUP(C291,'Talente &amp; Stuff'!BI:CJ,12,FALSE)</f>
        <v>0</v>
      </c>
      <c r="O291" s="47">
        <f>VLOOKUP(C291,'Talente &amp; Stuff'!BI:CJ,13,FALSE)</f>
        <v>0</v>
      </c>
      <c r="P291" s="119">
        <f>VLOOKUP(C291,'Talente &amp; Stuff'!BI:CJ,14,FALSE)</f>
        <v>0</v>
      </c>
      <c r="Q291" s="114">
        <f>VLOOKUP(C291,'Talente &amp; Stuff'!BI:CJ,15,FALSE)</f>
        <v>0</v>
      </c>
      <c r="R291" s="113">
        <f>VLOOKUP(C291,'Talente &amp; Stuff'!BI:CJ,16,FALSE)</f>
        <v>0</v>
      </c>
      <c r="S291" s="119">
        <f>VLOOKUP(C291,'Talente &amp; Stuff'!BI:CJ,17,FALSE)</f>
        <v>0</v>
      </c>
      <c r="T291" s="119">
        <f>VLOOKUP(C291,'Talente &amp; Stuff'!BI:CJ,18,FALSE)</f>
        <v>0</v>
      </c>
      <c r="U291" s="89">
        <f>VLOOKUP(C291,'Talente &amp; Stuff'!BI:CJ,19,FALSE)</f>
        <v>0</v>
      </c>
      <c r="V291" s="47">
        <f>VLOOKUP(C291,'Talente &amp; Stuff'!BI:CJ,20,FALSE)</f>
        <v>0</v>
      </c>
      <c r="W291" s="127">
        <f>VLOOKUP(C291,'Talente &amp; Stuff'!BI:CJ,21,FALSE)</f>
        <v>0</v>
      </c>
      <c r="X291" s="127">
        <f>VLOOKUP(C291,'Talente &amp; Stuff'!BI:CJ,22,FALSE)</f>
        <v>0</v>
      </c>
      <c r="Y291" s="165">
        <f t="shared" si="22"/>
        <v>0</v>
      </c>
      <c r="Z291" s="44">
        <f t="shared" si="23"/>
        <v>0</v>
      </c>
      <c r="AA291" s="125">
        <f>VLOOKUP(C291,'Talente &amp; Stuff'!BI:CJ,25,FALSE)</f>
        <v>0</v>
      </c>
      <c r="AB291" s="160">
        <f>VLOOKUP(C291,'Talente &amp; Stuff'!BI:CJ,26,FALSE)</f>
        <v>0</v>
      </c>
      <c r="AC291" s="127">
        <f>VLOOKUP(C291,'Talente &amp; Stuff'!BI:CJ,27,FALSE)</f>
        <v>0</v>
      </c>
      <c r="AD291" s="125">
        <f>VLOOKUP(C291,'Talente &amp; Stuff'!BI:CJ,28,FALSE)</f>
        <v>0</v>
      </c>
      <c r="AE291" s="28"/>
    </row>
    <row r="292" spans="1:31" ht="15" hidden="1" customHeight="1" outlineLevel="2">
      <c r="B292" s="148">
        <v>32</v>
      </c>
      <c r="C292" s="163" t="str">
        <f>Attribute!C292</f>
        <v>---</v>
      </c>
      <c r="D292" s="125" t="str">
        <f>VLOOKUP(C292,'Talente &amp; Stuff'!BI:CJ,2,FALSE)</f>
        <v>--/--/--</v>
      </c>
      <c r="E292" s="127" t="str">
        <f>VLOOKUP(C292,'Talente &amp; Stuff'!BI:CJ,3,FALSE)</f>
        <v>-</v>
      </c>
      <c r="F292" s="114">
        <f>VLOOKUP(C292,'Talente &amp; Stuff'!BI:CJ,4,FALSE)</f>
        <v>0</v>
      </c>
      <c r="G292" s="113">
        <f>VLOOKUP(C292,'Talente &amp; Stuff'!BI:CJ,5,FALSE)</f>
        <v>0</v>
      </c>
      <c r="H292" s="113">
        <f>VLOOKUP(C292,'Talente &amp; Stuff'!BI:CJ,6,FALSE)</f>
        <v>0</v>
      </c>
      <c r="I292" s="113">
        <f>VLOOKUP(C292,'Talente &amp; Stuff'!BI:CJ,7,FALSE)</f>
        <v>0</v>
      </c>
      <c r="J292" s="113">
        <f>VLOOKUP(C292,'Talente &amp; Stuff'!BI:CJ,8,FALSE)</f>
        <v>0</v>
      </c>
      <c r="K292" s="113">
        <f>VLOOKUP(C292,'Talente &amp; Stuff'!BI:CJ,9,FALSE)</f>
        <v>0</v>
      </c>
      <c r="L292" s="113">
        <f>VLOOKUP(C292,'Talente &amp; Stuff'!BI:CJ,10,FALSE)</f>
        <v>0</v>
      </c>
      <c r="M292" s="119">
        <f>VLOOKUP(C292,'Talente &amp; Stuff'!BI:CJ,11,FALSE)</f>
        <v>0</v>
      </c>
      <c r="N292" s="47">
        <f>VLOOKUP(C292,'Talente &amp; Stuff'!BI:CJ,12,FALSE)</f>
        <v>0</v>
      </c>
      <c r="O292" s="47">
        <f>VLOOKUP(C292,'Talente &amp; Stuff'!BI:CJ,13,FALSE)</f>
        <v>0</v>
      </c>
      <c r="P292" s="119">
        <f>VLOOKUP(C292,'Talente &amp; Stuff'!BI:CJ,14,FALSE)</f>
        <v>0</v>
      </c>
      <c r="Q292" s="114">
        <f>VLOOKUP(C292,'Talente &amp; Stuff'!BI:CJ,15,FALSE)</f>
        <v>0</v>
      </c>
      <c r="R292" s="113">
        <f>VLOOKUP(C292,'Talente &amp; Stuff'!BI:CJ,16,FALSE)</f>
        <v>0</v>
      </c>
      <c r="S292" s="119">
        <f>VLOOKUP(C292,'Talente &amp; Stuff'!BI:CJ,17,FALSE)</f>
        <v>0</v>
      </c>
      <c r="T292" s="119">
        <f>VLOOKUP(C292,'Talente &amp; Stuff'!BI:CJ,18,FALSE)</f>
        <v>0</v>
      </c>
      <c r="U292" s="89">
        <f>VLOOKUP(C292,'Talente &amp; Stuff'!BI:CJ,19,FALSE)</f>
        <v>0</v>
      </c>
      <c r="V292" s="47">
        <f>VLOOKUP(C292,'Talente &amp; Stuff'!BI:CJ,20,FALSE)</f>
        <v>0</v>
      </c>
      <c r="W292" s="127">
        <f>VLOOKUP(C292,'Talente &amp; Stuff'!BI:CJ,21,FALSE)</f>
        <v>0</v>
      </c>
      <c r="X292" s="127">
        <f>VLOOKUP(C292,'Talente &amp; Stuff'!BI:CJ,22,FALSE)</f>
        <v>0</v>
      </c>
      <c r="Y292" s="165">
        <f t="shared" si="22"/>
        <v>0</v>
      </c>
      <c r="Z292" s="44">
        <f t="shared" si="23"/>
        <v>0</v>
      </c>
      <c r="AA292" s="125">
        <f>VLOOKUP(C292,'Talente &amp; Stuff'!BI:CJ,25,FALSE)</f>
        <v>0</v>
      </c>
      <c r="AB292" s="160">
        <f>VLOOKUP(C292,'Talente &amp; Stuff'!BI:CJ,26,FALSE)</f>
        <v>0</v>
      </c>
      <c r="AC292" s="127">
        <f>VLOOKUP(C292,'Talente &amp; Stuff'!BI:CJ,27,FALSE)</f>
        <v>0</v>
      </c>
      <c r="AD292" s="125">
        <f>VLOOKUP(C292,'Talente &amp; Stuff'!BI:CJ,28,FALSE)</f>
        <v>0</v>
      </c>
      <c r="AE292" s="28"/>
    </row>
    <row r="293" spans="1:31" ht="15" hidden="1" customHeight="1" outlineLevel="2">
      <c r="B293" s="148">
        <v>33</v>
      </c>
      <c r="C293" s="163" t="str">
        <f>Attribute!C293</f>
        <v>---</v>
      </c>
      <c r="D293" s="125" t="str">
        <f>VLOOKUP(C293,'Talente &amp; Stuff'!BI:CJ,2,FALSE)</f>
        <v>--/--/--</v>
      </c>
      <c r="E293" s="127" t="str">
        <f>VLOOKUP(C293,'Talente &amp; Stuff'!BI:CJ,3,FALSE)</f>
        <v>-</v>
      </c>
      <c r="F293" s="114">
        <f>VLOOKUP(C293,'Talente &amp; Stuff'!BI:CJ,4,FALSE)</f>
        <v>0</v>
      </c>
      <c r="G293" s="113">
        <f>VLOOKUP(C293,'Talente &amp; Stuff'!BI:CJ,5,FALSE)</f>
        <v>0</v>
      </c>
      <c r="H293" s="113">
        <f>VLOOKUP(C293,'Talente &amp; Stuff'!BI:CJ,6,FALSE)</f>
        <v>0</v>
      </c>
      <c r="I293" s="113">
        <f>VLOOKUP(C293,'Talente &amp; Stuff'!BI:CJ,7,FALSE)</f>
        <v>0</v>
      </c>
      <c r="J293" s="113">
        <f>VLOOKUP(C293,'Talente &amp; Stuff'!BI:CJ,8,FALSE)</f>
        <v>0</v>
      </c>
      <c r="K293" s="113">
        <f>VLOOKUP(C293,'Talente &amp; Stuff'!BI:CJ,9,FALSE)</f>
        <v>0</v>
      </c>
      <c r="L293" s="113">
        <f>VLOOKUP(C293,'Talente &amp; Stuff'!BI:CJ,10,FALSE)</f>
        <v>0</v>
      </c>
      <c r="M293" s="119">
        <f>VLOOKUP(C293,'Talente &amp; Stuff'!BI:CJ,11,FALSE)</f>
        <v>0</v>
      </c>
      <c r="N293" s="47">
        <f>VLOOKUP(C293,'Talente &amp; Stuff'!BI:CJ,12,FALSE)</f>
        <v>0</v>
      </c>
      <c r="O293" s="47">
        <f>VLOOKUP(C293,'Talente &amp; Stuff'!BI:CJ,13,FALSE)</f>
        <v>0</v>
      </c>
      <c r="P293" s="119">
        <f>VLOOKUP(C293,'Talente &amp; Stuff'!BI:CJ,14,FALSE)</f>
        <v>0</v>
      </c>
      <c r="Q293" s="114">
        <f>VLOOKUP(C293,'Talente &amp; Stuff'!BI:CJ,15,FALSE)</f>
        <v>0</v>
      </c>
      <c r="R293" s="113">
        <f>VLOOKUP(C293,'Talente &amp; Stuff'!BI:CJ,16,FALSE)</f>
        <v>0</v>
      </c>
      <c r="S293" s="119">
        <f>VLOOKUP(C293,'Talente &amp; Stuff'!BI:CJ,17,FALSE)</f>
        <v>0</v>
      </c>
      <c r="T293" s="119">
        <f>VLOOKUP(C293,'Talente &amp; Stuff'!BI:CJ,18,FALSE)</f>
        <v>0</v>
      </c>
      <c r="U293" s="89">
        <f>VLOOKUP(C293,'Talente &amp; Stuff'!BI:CJ,19,FALSE)</f>
        <v>0</v>
      </c>
      <c r="V293" s="47">
        <f>VLOOKUP(C293,'Talente &amp; Stuff'!BI:CJ,20,FALSE)</f>
        <v>0</v>
      </c>
      <c r="W293" s="127">
        <f>VLOOKUP(C293,'Talente &amp; Stuff'!BI:CJ,21,FALSE)</f>
        <v>0</v>
      </c>
      <c r="X293" s="127">
        <f>VLOOKUP(C293,'Talente &amp; Stuff'!BI:CJ,22,FALSE)</f>
        <v>0</v>
      </c>
      <c r="Y293" s="165">
        <f t="shared" si="22"/>
        <v>0</v>
      </c>
      <c r="Z293" s="44">
        <f t="shared" si="23"/>
        <v>0</v>
      </c>
      <c r="AA293" s="125">
        <f>VLOOKUP(C293,'Talente &amp; Stuff'!BI:CJ,25,FALSE)</f>
        <v>0</v>
      </c>
      <c r="AB293" s="160">
        <f>VLOOKUP(C293,'Talente &amp; Stuff'!BI:CJ,26,FALSE)</f>
        <v>0</v>
      </c>
      <c r="AC293" s="127">
        <f>VLOOKUP(C293,'Talente &amp; Stuff'!BI:CJ,27,FALSE)</f>
        <v>0</v>
      </c>
      <c r="AD293" s="125">
        <f>VLOOKUP(C293,'Talente &amp; Stuff'!BI:CJ,28,FALSE)</f>
        <v>0</v>
      </c>
      <c r="AE293" s="28"/>
    </row>
    <row r="294" spans="1:31" ht="15" hidden="1" customHeight="1" outlineLevel="2">
      <c r="B294" s="148">
        <v>34</v>
      </c>
      <c r="C294" s="163" t="str">
        <f>Attribute!C294</f>
        <v>---</v>
      </c>
      <c r="D294" s="125" t="str">
        <f>VLOOKUP(C294,'Talente &amp; Stuff'!BI:CJ,2,FALSE)</f>
        <v>--/--/--</v>
      </c>
      <c r="E294" s="127" t="str">
        <f>VLOOKUP(C294,'Talente &amp; Stuff'!BI:CJ,3,FALSE)</f>
        <v>-</v>
      </c>
      <c r="F294" s="114">
        <f>VLOOKUP(C294,'Talente &amp; Stuff'!BI:CJ,4,FALSE)</f>
        <v>0</v>
      </c>
      <c r="G294" s="113">
        <f>VLOOKUP(C294,'Talente &amp; Stuff'!BI:CJ,5,FALSE)</f>
        <v>0</v>
      </c>
      <c r="H294" s="113">
        <f>VLOOKUP(C294,'Talente &amp; Stuff'!BI:CJ,6,FALSE)</f>
        <v>0</v>
      </c>
      <c r="I294" s="113">
        <f>VLOOKUP(C294,'Talente &amp; Stuff'!BI:CJ,7,FALSE)</f>
        <v>0</v>
      </c>
      <c r="J294" s="113">
        <f>VLOOKUP(C294,'Talente &amp; Stuff'!BI:CJ,8,FALSE)</f>
        <v>0</v>
      </c>
      <c r="K294" s="113">
        <f>VLOOKUP(C294,'Talente &amp; Stuff'!BI:CJ,9,FALSE)</f>
        <v>0</v>
      </c>
      <c r="L294" s="113">
        <f>VLOOKUP(C294,'Talente &amp; Stuff'!BI:CJ,10,FALSE)</f>
        <v>0</v>
      </c>
      <c r="M294" s="119">
        <f>VLOOKUP(C294,'Talente &amp; Stuff'!BI:CJ,11,FALSE)</f>
        <v>0</v>
      </c>
      <c r="N294" s="47">
        <f>VLOOKUP(C294,'Talente &amp; Stuff'!BI:CJ,12,FALSE)</f>
        <v>0</v>
      </c>
      <c r="O294" s="47">
        <f>VLOOKUP(C294,'Talente &amp; Stuff'!BI:CJ,13,FALSE)</f>
        <v>0</v>
      </c>
      <c r="P294" s="119">
        <f>VLOOKUP(C294,'Talente &amp; Stuff'!BI:CJ,14,FALSE)</f>
        <v>0</v>
      </c>
      <c r="Q294" s="114">
        <f>VLOOKUP(C294,'Talente &amp; Stuff'!BI:CJ,15,FALSE)</f>
        <v>0</v>
      </c>
      <c r="R294" s="113">
        <f>VLOOKUP(C294,'Talente &amp; Stuff'!BI:CJ,16,FALSE)</f>
        <v>0</v>
      </c>
      <c r="S294" s="119">
        <f>VLOOKUP(C294,'Talente &amp; Stuff'!BI:CJ,17,FALSE)</f>
        <v>0</v>
      </c>
      <c r="T294" s="119">
        <f>VLOOKUP(C294,'Talente &amp; Stuff'!BI:CJ,18,FALSE)</f>
        <v>0</v>
      </c>
      <c r="U294" s="89">
        <f>VLOOKUP(C294,'Talente &amp; Stuff'!BI:CJ,19,FALSE)</f>
        <v>0</v>
      </c>
      <c r="V294" s="47">
        <f>VLOOKUP(C294,'Talente &amp; Stuff'!BI:CJ,20,FALSE)</f>
        <v>0</v>
      </c>
      <c r="W294" s="127">
        <f>VLOOKUP(C294,'Talente &amp; Stuff'!BI:CJ,21,FALSE)</f>
        <v>0</v>
      </c>
      <c r="X294" s="127">
        <f>VLOOKUP(C294,'Talente &amp; Stuff'!BI:CJ,22,FALSE)</f>
        <v>0</v>
      </c>
      <c r="Y294" s="165">
        <f t="shared" si="22"/>
        <v>0</v>
      </c>
      <c r="Z294" s="44">
        <f t="shared" si="23"/>
        <v>0</v>
      </c>
      <c r="AA294" s="125">
        <f>VLOOKUP(C294,'Talente &amp; Stuff'!BI:CJ,25,FALSE)</f>
        <v>0</v>
      </c>
      <c r="AB294" s="160">
        <f>VLOOKUP(C294,'Talente &amp; Stuff'!BI:CJ,26,FALSE)</f>
        <v>0</v>
      </c>
      <c r="AC294" s="127">
        <f>VLOOKUP(C294,'Talente &amp; Stuff'!BI:CJ,27,FALSE)</f>
        <v>0</v>
      </c>
      <c r="AD294" s="125">
        <f>VLOOKUP(C294,'Talente &amp; Stuff'!BI:CJ,28,FALSE)</f>
        <v>0</v>
      </c>
      <c r="AE294" s="28"/>
    </row>
    <row r="295" spans="1:31" ht="15" hidden="1" customHeight="1" outlineLevel="2">
      <c r="B295" s="148">
        <v>35</v>
      </c>
      <c r="C295" s="163" t="str">
        <f>Attribute!C295</f>
        <v>---</v>
      </c>
      <c r="D295" s="125" t="str">
        <f>VLOOKUP(C295,'Talente &amp; Stuff'!BI:CJ,2,FALSE)</f>
        <v>--/--/--</v>
      </c>
      <c r="E295" s="127" t="str">
        <f>VLOOKUP(C295,'Talente &amp; Stuff'!BI:CJ,3,FALSE)</f>
        <v>-</v>
      </c>
      <c r="F295" s="114">
        <f>VLOOKUP(C295,'Talente &amp; Stuff'!BI:CJ,4,FALSE)</f>
        <v>0</v>
      </c>
      <c r="G295" s="113">
        <f>VLOOKUP(C295,'Talente &amp; Stuff'!BI:CJ,5,FALSE)</f>
        <v>0</v>
      </c>
      <c r="H295" s="113">
        <f>VLOOKUP(C295,'Talente &amp; Stuff'!BI:CJ,6,FALSE)</f>
        <v>0</v>
      </c>
      <c r="I295" s="113">
        <f>VLOOKUP(C295,'Talente &amp; Stuff'!BI:CJ,7,FALSE)</f>
        <v>0</v>
      </c>
      <c r="J295" s="113">
        <f>VLOOKUP(C295,'Talente &amp; Stuff'!BI:CJ,8,FALSE)</f>
        <v>0</v>
      </c>
      <c r="K295" s="113">
        <f>VLOOKUP(C295,'Talente &amp; Stuff'!BI:CJ,9,FALSE)</f>
        <v>0</v>
      </c>
      <c r="L295" s="113">
        <f>VLOOKUP(C295,'Talente &amp; Stuff'!BI:CJ,10,FALSE)</f>
        <v>0</v>
      </c>
      <c r="M295" s="119">
        <f>VLOOKUP(C295,'Talente &amp; Stuff'!BI:CJ,11,FALSE)</f>
        <v>0</v>
      </c>
      <c r="N295" s="47">
        <f>VLOOKUP(C295,'Talente &amp; Stuff'!BI:CJ,12,FALSE)</f>
        <v>0</v>
      </c>
      <c r="O295" s="47">
        <f>VLOOKUP(C295,'Talente &amp; Stuff'!BI:CJ,13,FALSE)</f>
        <v>0</v>
      </c>
      <c r="P295" s="119">
        <f>VLOOKUP(C295,'Talente &amp; Stuff'!BI:CJ,14,FALSE)</f>
        <v>0</v>
      </c>
      <c r="Q295" s="114">
        <f>VLOOKUP(C295,'Talente &amp; Stuff'!BI:CJ,15,FALSE)</f>
        <v>0</v>
      </c>
      <c r="R295" s="113">
        <f>VLOOKUP(C295,'Talente &amp; Stuff'!BI:CJ,16,FALSE)</f>
        <v>0</v>
      </c>
      <c r="S295" s="119">
        <f>VLOOKUP(C295,'Talente &amp; Stuff'!BI:CJ,17,FALSE)</f>
        <v>0</v>
      </c>
      <c r="T295" s="119">
        <f>VLOOKUP(C295,'Talente &amp; Stuff'!BI:CJ,18,FALSE)</f>
        <v>0</v>
      </c>
      <c r="U295" s="89">
        <f>VLOOKUP(C295,'Talente &amp; Stuff'!BI:CJ,19,FALSE)</f>
        <v>0</v>
      </c>
      <c r="V295" s="47">
        <f>VLOOKUP(C295,'Talente &amp; Stuff'!BI:CJ,20,FALSE)</f>
        <v>0</v>
      </c>
      <c r="W295" s="127">
        <f>VLOOKUP(C295,'Talente &amp; Stuff'!BI:CJ,21,FALSE)</f>
        <v>0</v>
      </c>
      <c r="X295" s="127">
        <f>VLOOKUP(C295,'Talente &amp; Stuff'!BI:CJ,22,FALSE)</f>
        <v>0</v>
      </c>
      <c r="Y295" s="165">
        <f t="shared" si="22"/>
        <v>0</v>
      </c>
      <c r="Z295" s="44">
        <f t="shared" si="23"/>
        <v>0</v>
      </c>
      <c r="AA295" s="125">
        <f>VLOOKUP(C295,'Talente &amp; Stuff'!BI:CJ,25,FALSE)</f>
        <v>0</v>
      </c>
      <c r="AB295" s="160">
        <f>VLOOKUP(C295,'Talente &amp; Stuff'!BI:CJ,26,FALSE)</f>
        <v>0</v>
      </c>
      <c r="AC295" s="127">
        <f>VLOOKUP(C295,'Talente &amp; Stuff'!BI:CJ,27,FALSE)</f>
        <v>0</v>
      </c>
      <c r="AD295" s="125">
        <f>VLOOKUP(C295,'Talente &amp; Stuff'!BI:CJ,28,FALSE)</f>
        <v>0</v>
      </c>
      <c r="AE295" s="28"/>
    </row>
    <row r="296" spans="1:31" ht="15" hidden="1" customHeight="1" outlineLevel="2">
      <c r="B296" s="148">
        <v>36</v>
      </c>
      <c r="C296" s="164" t="str">
        <f>Attribute!C296</f>
        <v>---</v>
      </c>
      <c r="D296" s="159" t="str">
        <f>VLOOKUP(C296,'Talente &amp; Stuff'!BI:CJ,2,FALSE)</f>
        <v>--/--/--</v>
      </c>
      <c r="E296" s="128" t="str">
        <f>VLOOKUP(C296,'Talente &amp; Stuff'!BI:CJ,3,FALSE)</f>
        <v>-</v>
      </c>
      <c r="F296" s="115">
        <f>VLOOKUP(C296,'Talente &amp; Stuff'!BI:CJ,4,FALSE)</f>
        <v>0</v>
      </c>
      <c r="G296" s="122">
        <f>VLOOKUP(C296,'Talente &amp; Stuff'!BI:CJ,5,FALSE)</f>
        <v>0</v>
      </c>
      <c r="H296" s="122">
        <f>VLOOKUP(C296,'Talente &amp; Stuff'!BI:CJ,6,FALSE)</f>
        <v>0</v>
      </c>
      <c r="I296" s="122">
        <f>VLOOKUP(C296,'Talente &amp; Stuff'!BI:CJ,7,FALSE)</f>
        <v>0</v>
      </c>
      <c r="J296" s="122">
        <f>VLOOKUP(C296,'Talente &amp; Stuff'!BI:CJ,8,FALSE)</f>
        <v>0</v>
      </c>
      <c r="K296" s="122">
        <f>VLOOKUP(C296,'Talente &amp; Stuff'!BI:CJ,9,FALSE)</f>
        <v>0</v>
      </c>
      <c r="L296" s="122">
        <f>VLOOKUP(C296,'Talente &amp; Stuff'!BI:CJ,10,FALSE)</f>
        <v>0</v>
      </c>
      <c r="M296" s="123">
        <f>VLOOKUP(C296,'Talente &amp; Stuff'!BI:CJ,11,FALSE)</f>
        <v>0</v>
      </c>
      <c r="N296" s="88">
        <f>VLOOKUP(C296,'Talente &amp; Stuff'!BI:CJ,12,FALSE)</f>
        <v>0</v>
      </c>
      <c r="O296" s="88">
        <f>VLOOKUP(C296,'Talente &amp; Stuff'!BI:CJ,13,FALSE)</f>
        <v>0</v>
      </c>
      <c r="P296" s="123">
        <f>VLOOKUP(C296,'Talente &amp; Stuff'!BI:CJ,14,FALSE)</f>
        <v>0</v>
      </c>
      <c r="Q296" s="115">
        <f>VLOOKUP(C296,'Talente &amp; Stuff'!BI:CJ,15,FALSE)</f>
        <v>0</v>
      </c>
      <c r="R296" s="122">
        <f>VLOOKUP(C296,'Talente &amp; Stuff'!BI:CJ,16,FALSE)</f>
        <v>0</v>
      </c>
      <c r="S296" s="123">
        <f>VLOOKUP(C296,'Talente &amp; Stuff'!BI:CJ,17,FALSE)</f>
        <v>0</v>
      </c>
      <c r="T296" s="123">
        <f>VLOOKUP(C296,'Talente &amp; Stuff'!BI:CJ,18,FALSE)</f>
        <v>0</v>
      </c>
      <c r="U296" s="90">
        <f>VLOOKUP(C296,'Talente &amp; Stuff'!BI:CJ,19,FALSE)</f>
        <v>0</v>
      </c>
      <c r="V296" s="88">
        <f>VLOOKUP(C296,'Talente &amp; Stuff'!BI:CJ,20,FALSE)</f>
        <v>0</v>
      </c>
      <c r="W296" s="128">
        <f>VLOOKUP(C296,'Talente &amp; Stuff'!BI:CJ,21,FALSE)</f>
        <v>0</v>
      </c>
      <c r="X296" s="128">
        <f>VLOOKUP(C296,'Talente &amp; Stuff'!BI:CJ,22,FALSE)</f>
        <v>0</v>
      </c>
      <c r="Y296" s="165">
        <f t="shared" si="22"/>
        <v>0</v>
      </c>
      <c r="Z296" s="44">
        <f t="shared" si="23"/>
        <v>0</v>
      </c>
      <c r="AA296" s="159">
        <f>VLOOKUP(C296,'Talente &amp; Stuff'!BI:CJ,25,FALSE)</f>
        <v>0</v>
      </c>
      <c r="AB296" s="161">
        <f>VLOOKUP(C296,'Talente &amp; Stuff'!BI:CJ,26,FALSE)</f>
        <v>0</v>
      </c>
      <c r="AC296" s="128">
        <f>VLOOKUP(C296,'Talente &amp; Stuff'!BI:CJ,27,FALSE)</f>
        <v>0</v>
      </c>
      <c r="AD296" s="159">
        <f>VLOOKUP(C296,'Talente &amp; Stuff'!BI:CJ,28,FALSE)</f>
        <v>0</v>
      </c>
      <c r="AE296" s="28"/>
    </row>
    <row r="297" spans="1:31" s="217" customFormat="1" hidden="1" outlineLevel="1" collapsed="1">
      <c r="A297" s="185"/>
      <c r="B297" s="216" t="s">
        <v>445</v>
      </c>
      <c r="C297" s="307"/>
      <c r="D297" s="308"/>
      <c r="E297" s="308"/>
      <c r="Y297" s="251"/>
      <c r="Z297" s="251"/>
    </row>
    <row r="298" spans="1:31" s="217" customFormat="1" hidden="1" outlineLevel="2">
      <c r="A298" s="185"/>
      <c r="B298" s="217">
        <v>1</v>
      </c>
      <c r="C298" s="302" t="str">
        <f>Attribute!C298</f>
        <v>---</v>
      </c>
      <c r="D298" s="42" t="str">
        <f>VLOOKUP(C298,'Talente &amp; Stuff'!BI:CJ,2,FALSE)</f>
        <v>--/--/--</v>
      </c>
      <c r="E298" s="241" t="str">
        <f>VLOOKUP(C298,'Talente &amp; Stuff'!BI:CJ,3,FALSE)</f>
        <v>-</v>
      </c>
      <c r="F298" s="236">
        <f>VLOOKUP(C298,'Talente &amp; Stuff'!BI:CJ,4,FALSE)</f>
        <v>0</v>
      </c>
      <c r="G298" s="233">
        <f>VLOOKUP(C298,'Talente &amp; Stuff'!BI:CJ,5,FALSE)</f>
        <v>0</v>
      </c>
      <c r="H298" s="233">
        <f>VLOOKUP(C298,'Talente &amp; Stuff'!BI:CJ,6,FALSE)</f>
        <v>0</v>
      </c>
      <c r="I298" s="233">
        <f>VLOOKUP(C298,'Talente &amp; Stuff'!BI:CJ,7,FALSE)</f>
        <v>0</v>
      </c>
      <c r="J298" s="233">
        <f>VLOOKUP(C298,'Talente &amp; Stuff'!BI:CJ,8,FALSE)</f>
        <v>0</v>
      </c>
      <c r="K298" s="233">
        <f>VLOOKUP(C298,'Talente &amp; Stuff'!BI:CJ,9,FALSE)</f>
        <v>0</v>
      </c>
      <c r="L298" s="233">
        <f>VLOOKUP(C298,'Talente &amp; Stuff'!BI:CJ,10,FALSE)</f>
        <v>0</v>
      </c>
      <c r="M298" s="221">
        <f>VLOOKUP(C298,'Talente &amp; Stuff'!BI:CJ,11,FALSE)</f>
        <v>0</v>
      </c>
      <c r="N298" s="220">
        <f>VLOOKUP(C298,'Talente &amp; Stuff'!BI:CJ,12,FALSE)</f>
        <v>0</v>
      </c>
      <c r="O298" s="220">
        <f>VLOOKUP(C298,'Talente &amp; Stuff'!BI:CJ,13,FALSE)</f>
        <v>0</v>
      </c>
      <c r="P298" s="221">
        <f>VLOOKUP(C298,'Talente &amp; Stuff'!BI:CJ,14,FALSE)</f>
        <v>0</v>
      </c>
      <c r="Q298" s="236">
        <f>VLOOKUP(C298,'Talente &amp; Stuff'!BI:CJ,15,FALSE)</f>
        <v>0</v>
      </c>
      <c r="R298" s="233">
        <f>VLOOKUP(C298,'Talente &amp; Stuff'!BI:CJ,16,FALSE)</f>
        <v>0</v>
      </c>
      <c r="S298" s="221">
        <f>VLOOKUP(C298,'Talente &amp; Stuff'!BI:CJ,17,FALSE)</f>
        <v>0</v>
      </c>
      <c r="T298" s="221">
        <f>VLOOKUP(C298,'Talente &amp; Stuff'!BI:CJ,18,FALSE)</f>
        <v>0</v>
      </c>
      <c r="U298" s="219">
        <f>VLOOKUP(C298,'Talente &amp; Stuff'!BI:CJ,19,FALSE)</f>
        <v>0</v>
      </c>
      <c r="V298" s="220">
        <f>VLOOKUP(C298,'Talente &amp; Stuff'!BI:CJ,20,FALSE)</f>
        <v>0</v>
      </c>
      <c r="W298" s="241">
        <f>VLOOKUP(C298,'Talente &amp; Stuff'!BI:CJ,21,FALSE)</f>
        <v>0</v>
      </c>
      <c r="X298" s="241">
        <f>VLOOKUP(C298,'Talente &amp; Stuff'!BI:CJ,22,FALSE)</f>
        <v>0</v>
      </c>
      <c r="Y298" s="252">
        <f>VLOOKUP(C298,Ausgewählte_Zauber_Zauberbarden,81,FALSE)</f>
        <v>0</v>
      </c>
      <c r="Z298" s="309">
        <f>VLOOKUP(C298,Ausgewählte_Zauber_Zauberbarden,82,FALSE)</f>
        <v>0</v>
      </c>
      <c r="AA298" s="42">
        <f>VLOOKUP(C298,'Talente &amp; Stuff'!BI:CJ,25,FALSE)</f>
        <v>0</v>
      </c>
      <c r="AB298" s="78">
        <f>VLOOKUP(C298,'Talente &amp; Stuff'!BI:CJ,26,FALSE)</f>
        <v>0</v>
      </c>
      <c r="AC298" s="241">
        <f>VLOOKUP(C298,'Talente &amp; Stuff'!BI:CJ,27,FALSE)</f>
        <v>0</v>
      </c>
      <c r="AD298" s="42">
        <f>VLOOKUP(C298,'Talente &amp; Stuff'!BI:CJ,28,FALSE)</f>
        <v>0</v>
      </c>
      <c r="AE298" s="343"/>
    </row>
    <row r="299" spans="1:31" s="217" customFormat="1" hidden="1" outlineLevel="2">
      <c r="A299" s="185"/>
      <c r="B299" s="217">
        <v>2</v>
      </c>
      <c r="C299" s="303" t="str">
        <f>Attribute!C299</f>
        <v>---</v>
      </c>
      <c r="D299" s="218" t="str">
        <f>VLOOKUP(C299,'Talente &amp; Stuff'!BI:CJ,2,FALSE)</f>
        <v>--/--/--</v>
      </c>
      <c r="E299" s="243" t="str">
        <f>VLOOKUP(C299,'Talente &amp; Stuff'!BI:CJ,3,FALSE)</f>
        <v>-</v>
      </c>
      <c r="F299" s="237">
        <f>VLOOKUP(C299,'Talente &amp; Stuff'!BI:CJ,4,FALSE)</f>
        <v>0</v>
      </c>
      <c r="G299" s="234">
        <f>VLOOKUP(C299,'Talente &amp; Stuff'!BI:CJ,5,FALSE)</f>
        <v>0</v>
      </c>
      <c r="H299" s="234">
        <f>VLOOKUP(C299,'Talente &amp; Stuff'!BI:CJ,6,FALSE)</f>
        <v>0</v>
      </c>
      <c r="I299" s="234">
        <f>VLOOKUP(C299,'Talente &amp; Stuff'!BI:CJ,7,FALSE)</f>
        <v>0</v>
      </c>
      <c r="J299" s="234">
        <f>VLOOKUP(C299,'Talente &amp; Stuff'!BI:CJ,8,FALSE)</f>
        <v>0</v>
      </c>
      <c r="K299" s="234">
        <f>VLOOKUP(C299,'Talente &amp; Stuff'!BI:CJ,9,FALSE)</f>
        <v>0</v>
      </c>
      <c r="L299" s="234">
        <f>VLOOKUP(C299,'Talente &amp; Stuff'!BI:CJ,10,FALSE)</f>
        <v>0</v>
      </c>
      <c r="M299" s="224">
        <f>VLOOKUP(C299,'Talente &amp; Stuff'!BI:CJ,11,FALSE)</f>
        <v>0</v>
      </c>
      <c r="N299" s="223">
        <f>VLOOKUP(C299,'Talente &amp; Stuff'!BI:CJ,12,FALSE)</f>
        <v>0</v>
      </c>
      <c r="O299" s="223">
        <f>VLOOKUP(C299,'Talente &amp; Stuff'!BI:CJ,13,FALSE)</f>
        <v>0</v>
      </c>
      <c r="P299" s="224">
        <f>VLOOKUP(C299,'Talente &amp; Stuff'!BI:CJ,14,FALSE)</f>
        <v>0</v>
      </c>
      <c r="Q299" s="237">
        <f>VLOOKUP(C299,'Talente &amp; Stuff'!BI:CJ,15,FALSE)</f>
        <v>0</v>
      </c>
      <c r="R299" s="234">
        <f>VLOOKUP(C299,'Talente &amp; Stuff'!BI:CJ,16,FALSE)</f>
        <v>0</v>
      </c>
      <c r="S299" s="224">
        <f>VLOOKUP(C299,'Talente &amp; Stuff'!BI:CJ,17,FALSE)</f>
        <v>0</v>
      </c>
      <c r="T299" s="224">
        <f>VLOOKUP(C299,'Talente &amp; Stuff'!BI:CJ,18,FALSE)</f>
        <v>0</v>
      </c>
      <c r="U299" s="222">
        <f>VLOOKUP(C299,'Talente &amp; Stuff'!BI:CJ,19,FALSE)</f>
        <v>0</v>
      </c>
      <c r="V299" s="223">
        <f>VLOOKUP(C299,'Talente &amp; Stuff'!BI:CJ,20,FALSE)</f>
        <v>0</v>
      </c>
      <c r="W299" s="243">
        <f>VLOOKUP(C299,'Talente &amp; Stuff'!BI:CJ,21,FALSE)</f>
        <v>0</v>
      </c>
      <c r="X299" s="243">
        <f>VLOOKUP(C299,'Talente &amp; Stuff'!BI:CJ,22,FALSE)</f>
        <v>0</v>
      </c>
      <c r="Y299" s="252">
        <f>VLOOKUP(C299,Ausgewählte_Zauber_Zauberbarden,81,FALSE)</f>
        <v>0</v>
      </c>
      <c r="Z299" s="309">
        <f>VLOOKUP(C299,Ausgewählte_Zauber_Zauberbarden,82,FALSE)</f>
        <v>0</v>
      </c>
      <c r="AA299" s="218">
        <f>VLOOKUP(C299,'Talente &amp; Stuff'!BI:CJ,25,FALSE)</f>
        <v>0</v>
      </c>
      <c r="AB299" s="242">
        <f>VLOOKUP(C299,'Talente &amp; Stuff'!BI:CJ,26,FALSE)</f>
        <v>0</v>
      </c>
      <c r="AC299" s="243">
        <f>VLOOKUP(C299,'Talente &amp; Stuff'!BI:CJ,27,FALSE)</f>
        <v>0</v>
      </c>
      <c r="AD299" s="218">
        <f>VLOOKUP(C299,'Talente &amp; Stuff'!BI:CJ,28,FALSE)</f>
        <v>0</v>
      </c>
      <c r="AE299" s="343"/>
    </row>
    <row r="300" spans="1:31" s="217" customFormat="1" hidden="1" outlineLevel="2">
      <c r="A300" s="185"/>
      <c r="B300" s="217">
        <v>3</v>
      </c>
      <c r="C300" s="303" t="str">
        <f>Attribute!C300</f>
        <v>---</v>
      </c>
      <c r="D300" s="218" t="str">
        <f>VLOOKUP(C300,'Talente &amp; Stuff'!BI:CJ,2,FALSE)</f>
        <v>--/--/--</v>
      </c>
      <c r="E300" s="243" t="str">
        <f>VLOOKUP(C300,'Talente &amp; Stuff'!BI:CJ,3,FALSE)</f>
        <v>-</v>
      </c>
      <c r="F300" s="237">
        <f>VLOOKUP(C300,'Talente &amp; Stuff'!BI:CJ,4,FALSE)</f>
        <v>0</v>
      </c>
      <c r="G300" s="234">
        <f>VLOOKUP(C300,'Talente &amp; Stuff'!BI:CJ,5,FALSE)</f>
        <v>0</v>
      </c>
      <c r="H300" s="234">
        <f>VLOOKUP(C300,'Talente &amp; Stuff'!BI:CJ,6,FALSE)</f>
        <v>0</v>
      </c>
      <c r="I300" s="234">
        <f>VLOOKUP(C300,'Talente &amp; Stuff'!BI:CJ,7,FALSE)</f>
        <v>0</v>
      </c>
      <c r="J300" s="234">
        <f>VLOOKUP(C300,'Talente &amp; Stuff'!BI:CJ,8,FALSE)</f>
        <v>0</v>
      </c>
      <c r="K300" s="234">
        <f>VLOOKUP(C300,'Talente &amp; Stuff'!BI:CJ,9,FALSE)</f>
        <v>0</v>
      </c>
      <c r="L300" s="234">
        <f>VLOOKUP(C300,'Talente &amp; Stuff'!BI:CJ,10,FALSE)</f>
        <v>0</v>
      </c>
      <c r="M300" s="224">
        <f>VLOOKUP(C300,'Talente &amp; Stuff'!BI:CJ,11,FALSE)</f>
        <v>0</v>
      </c>
      <c r="N300" s="223">
        <f>VLOOKUP(C300,'Talente &amp; Stuff'!BI:CJ,12,FALSE)</f>
        <v>0</v>
      </c>
      <c r="O300" s="223">
        <f>VLOOKUP(C300,'Talente &amp; Stuff'!BI:CJ,13,FALSE)</f>
        <v>0</v>
      </c>
      <c r="P300" s="224">
        <f>VLOOKUP(C300,'Talente &amp; Stuff'!BI:CJ,14,FALSE)</f>
        <v>0</v>
      </c>
      <c r="Q300" s="237">
        <f>VLOOKUP(C300,'Talente &amp; Stuff'!BI:CJ,15,FALSE)</f>
        <v>0</v>
      </c>
      <c r="R300" s="234">
        <f>VLOOKUP(C300,'Talente &amp; Stuff'!BI:CJ,16,FALSE)</f>
        <v>0</v>
      </c>
      <c r="S300" s="224">
        <f>VLOOKUP(C300,'Talente &amp; Stuff'!BI:CJ,17,FALSE)</f>
        <v>0</v>
      </c>
      <c r="T300" s="224">
        <f>VLOOKUP(C300,'Talente &amp; Stuff'!BI:CJ,18,FALSE)</f>
        <v>0</v>
      </c>
      <c r="U300" s="222">
        <f>VLOOKUP(C300,'Talente &amp; Stuff'!BI:CJ,19,FALSE)</f>
        <v>0</v>
      </c>
      <c r="V300" s="223">
        <f>VLOOKUP(C300,'Talente &amp; Stuff'!BI:CJ,20,FALSE)</f>
        <v>0</v>
      </c>
      <c r="W300" s="243">
        <f>VLOOKUP(C300,'Talente &amp; Stuff'!BI:CJ,21,FALSE)</f>
        <v>0</v>
      </c>
      <c r="X300" s="243">
        <f>VLOOKUP(C300,'Talente &amp; Stuff'!BI:CJ,22,FALSE)</f>
        <v>0</v>
      </c>
      <c r="Y300" s="252">
        <f>VLOOKUP(C300,Ausgewählte_Zauber_Zauberbarden,81,FALSE)</f>
        <v>0</v>
      </c>
      <c r="Z300" s="309">
        <f>VLOOKUP(C300,Ausgewählte_Zauber_Zauberbarden,82,FALSE)</f>
        <v>0</v>
      </c>
      <c r="AA300" s="218">
        <f>VLOOKUP(C300,'Talente &amp; Stuff'!BI:CJ,25,FALSE)</f>
        <v>0</v>
      </c>
      <c r="AB300" s="242">
        <f>VLOOKUP(C300,'Talente &amp; Stuff'!BI:CJ,26,FALSE)</f>
        <v>0</v>
      </c>
      <c r="AC300" s="243">
        <f>VLOOKUP(C300,'Talente &amp; Stuff'!BI:CJ,27,FALSE)</f>
        <v>0</v>
      </c>
      <c r="AD300" s="218">
        <f>VLOOKUP(C300,'Talente &amp; Stuff'!BI:CJ,28,FALSE)</f>
        <v>0</v>
      </c>
      <c r="AE300" s="343"/>
    </row>
    <row r="301" spans="1:31" s="217" customFormat="1" hidden="1" outlineLevel="2">
      <c r="A301" s="185"/>
      <c r="B301" s="217">
        <v>4</v>
      </c>
      <c r="C301" s="303" t="str">
        <f>Attribute!C301</f>
        <v>---</v>
      </c>
      <c r="D301" s="218" t="str">
        <f>VLOOKUP(C301,'Talente &amp; Stuff'!BI:CJ,2,FALSE)</f>
        <v>--/--/--</v>
      </c>
      <c r="E301" s="243" t="str">
        <f>VLOOKUP(C301,'Talente &amp; Stuff'!BI:CJ,3,FALSE)</f>
        <v>-</v>
      </c>
      <c r="F301" s="237">
        <f>VLOOKUP(C301,'Talente &amp; Stuff'!BI:CJ,4,FALSE)</f>
        <v>0</v>
      </c>
      <c r="G301" s="234">
        <f>VLOOKUP(C301,'Talente &amp; Stuff'!BI:CJ,5,FALSE)</f>
        <v>0</v>
      </c>
      <c r="H301" s="234">
        <f>VLOOKUP(C301,'Talente &amp; Stuff'!BI:CJ,6,FALSE)</f>
        <v>0</v>
      </c>
      <c r="I301" s="234">
        <f>VLOOKUP(C301,'Talente &amp; Stuff'!BI:CJ,7,FALSE)</f>
        <v>0</v>
      </c>
      <c r="J301" s="234">
        <f>VLOOKUP(C301,'Talente &amp; Stuff'!BI:CJ,8,FALSE)</f>
        <v>0</v>
      </c>
      <c r="K301" s="234">
        <f>VLOOKUP(C301,'Talente &amp; Stuff'!BI:CJ,9,FALSE)</f>
        <v>0</v>
      </c>
      <c r="L301" s="234">
        <f>VLOOKUP(C301,'Talente &amp; Stuff'!BI:CJ,10,FALSE)</f>
        <v>0</v>
      </c>
      <c r="M301" s="224">
        <f>VLOOKUP(C301,'Talente &amp; Stuff'!BI:CJ,11,FALSE)</f>
        <v>0</v>
      </c>
      <c r="N301" s="223">
        <f>VLOOKUP(C301,'Talente &amp; Stuff'!BI:CJ,12,FALSE)</f>
        <v>0</v>
      </c>
      <c r="O301" s="223">
        <f>VLOOKUP(C301,'Talente &amp; Stuff'!BI:CJ,13,FALSE)</f>
        <v>0</v>
      </c>
      <c r="P301" s="224">
        <f>VLOOKUP(C301,'Talente &amp; Stuff'!BI:CJ,14,FALSE)</f>
        <v>0</v>
      </c>
      <c r="Q301" s="237">
        <f>VLOOKUP(C301,'Talente &amp; Stuff'!BI:CJ,15,FALSE)</f>
        <v>0</v>
      </c>
      <c r="R301" s="234">
        <f>VLOOKUP(C301,'Talente &amp; Stuff'!BI:CJ,16,FALSE)</f>
        <v>0</v>
      </c>
      <c r="S301" s="224">
        <f>VLOOKUP(C301,'Talente &amp; Stuff'!BI:CJ,17,FALSE)</f>
        <v>0</v>
      </c>
      <c r="T301" s="224">
        <f>VLOOKUP(C301,'Talente &amp; Stuff'!BI:CJ,18,FALSE)</f>
        <v>0</v>
      </c>
      <c r="U301" s="222">
        <f>VLOOKUP(C301,'Talente &amp; Stuff'!BI:CJ,19,FALSE)</f>
        <v>0</v>
      </c>
      <c r="V301" s="223">
        <f>VLOOKUP(C301,'Talente &amp; Stuff'!BI:CJ,20,FALSE)</f>
        <v>0</v>
      </c>
      <c r="W301" s="243">
        <f>VLOOKUP(C301,'Talente &amp; Stuff'!BI:CJ,21,FALSE)</f>
        <v>0</v>
      </c>
      <c r="X301" s="243">
        <f>VLOOKUP(C301,'Talente &amp; Stuff'!BI:CJ,22,FALSE)</f>
        <v>0</v>
      </c>
      <c r="Y301" s="252">
        <f>VLOOKUP(C301,Ausgewählte_Zauber_Zauberbarden,81,FALSE)</f>
        <v>0</v>
      </c>
      <c r="Z301" s="309">
        <f>VLOOKUP(C301,Ausgewählte_Zauber_Zauberbarden,82,FALSE)</f>
        <v>0</v>
      </c>
      <c r="AA301" s="218">
        <f>VLOOKUP(C301,'Talente &amp; Stuff'!BI:CJ,25,FALSE)</f>
        <v>0</v>
      </c>
      <c r="AB301" s="242">
        <f>VLOOKUP(C301,'Talente &amp; Stuff'!BI:CJ,26,FALSE)</f>
        <v>0</v>
      </c>
      <c r="AC301" s="243">
        <f>VLOOKUP(C301,'Talente &amp; Stuff'!BI:CJ,27,FALSE)</f>
        <v>0</v>
      </c>
      <c r="AD301" s="218">
        <f>VLOOKUP(C301,'Talente &amp; Stuff'!BI:CJ,28,FALSE)</f>
        <v>0</v>
      </c>
      <c r="AE301" s="343"/>
    </row>
    <row r="302" spans="1:31" s="217" customFormat="1" hidden="1" outlineLevel="2">
      <c r="A302" s="185"/>
      <c r="B302" s="217">
        <v>5</v>
      </c>
      <c r="C302" s="303" t="str">
        <f>Attribute!C302</f>
        <v>---</v>
      </c>
      <c r="D302" s="218" t="str">
        <f>VLOOKUP(C302,'Talente &amp; Stuff'!BI:CJ,2,FALSE)</f>
        <v>--/--/--</v>
      </c>
      <c r="E302" s="243" t="str">
        <f>VLOOKUP(C302,'Talente &amp; Stuff'!BI:CJ,3,FALSE)</f>
        <v>-</v>
      </c>
      <c r="F302" s="237">
        <f>VLOOKUP(C302,'Talente &amp; Stuff'!BI:CJ,4,FALSE)</f>
        <v>0</v>
      </c>
      <c r="G302" s="234">
        <f>VLOOKUP(C302,'Talente &amp; Stuff'!BI:CJ,5,FALSE)</f>
        <v>0</v>
      </c>
      <c r="H302" s="234">
        <f>VLOOKUP(C302,'Talente &amp; Stuff'!BI:CJ,6,FALSE)</f>
        <v>0</v>
      </c>
      <c r="I302" s="234">
        <f>VLOOKUP(C302,'Talente &amp; Stuff'!BI:CJ,7,FALSE)</f>
        <v>0</v>
      </c>
      <c r="J302" s="234">
        <f>VLOOKUP(C302,'Talente &amp; Stuff'!BI:CJ,8,FALSE)</f>
        <v>0</v>
      </c>
      <c r="K302" s="234">
        <f>VLOOKUP(C302,'Talente &amp; Stuff'!BI:CJ,9,FALSE)</f>
        <v>0</v>
      </c>
      <c r="L302" s="234">
        <f>VLOOKUP(C302,'Talente &amp; Stuff'!BI:CJ,10,FALSE)</f>
        <v>0</v>
      </c>
      <c r="M302" s="224">
        <f>VLOOKUP(C302,'Talente &amp; Stuff'!BI:CJ,11,FALSE)</f>
        <v>0</v>
      </c>
      <c r="N302" s="223">
        <f>VLOOKUP(C302,'Talente &amp; Stuff'!BI:CJ,12,FALSE)</f>
        <v>0</v>
      </c>
      <c r="O302" s="223">
        <f>VLOOKUP(C302,'Talente &amp; Stuff'!BI:CJ,13,FALSE)</f>
        <v>0</v>
      </c>
      <c r="P302" s="224">
        <f>VLOOKUP(C302,'Talente &amp; Stuff'!BI:CJ,14,FALSE)</f>
        <v>0</v>
      </c>
      <c r="Q302" s="237">
        <f>VLOOKUP(C302,'Talente &amp; Stuff'!BI:CJ,15,FALSE)</f>
        <v>0</v>
      </c>
      <c r="R302" s="234">
        <f>VLOOKUP(C302,'Talente &amp; Stuff'!BI:CJ,16,FALSE)</f>
        <v>0</v>
      </c>
      <c r="S302" s="224">
        <f>VLOOKUP(C302,'Talente &amp; Stuff'!BI:CJ,17,FALSE)</f>
        <v>0</v>
      </c>
      <c r="T302" s="224">
        <f>VLOOKUP(C302,'Talente &amp; Stuff'!BI:CJ,18,FALSE)</f>
        <v>0</v>
      </c>
      <c r="U302" s="222">
        <f>VLOOKUP(C302,'Talente &amp; Stuff'!BI:CJ,19,FALSE)</f>
        <v>0</v>
      </c>
      <c r="V302" s="223">
        <f>VLOOKUP(C302,'Talente &amp; Stuff'!BI:CJ,20,FALSE)</f>
        <v>0</v>
      </c>
      <c r="W302" s="243">
        <f>VLOOKUP(C302,'Talente &amp; Stuff'!BI:CJ,21,FALSE)</f>
        <v>0</v>
      </c>
      <c r="X302" s="243">
        <f>VLOOKUP(C302,'Talente &amp; Stuff'!BI:CJ,22,FALSE)</f>
        <v>0</v>
      </c>
      <c r="Y302" s="252">
        <f>VLOOKUP(C302,Ausgewählte_Zauber_Zauberbarden,81,FALSE)</f>
        <v>0</v>
      </c>
      <c r="Z302" s="309">
        <f>VLOOKUP(C302,Ausgewählte_Zauber_Zauberbarden,82,FALSE)</f>
        <v>0</v>
      </c>
      <c r="AA302" s="218">
        <f>VLOOKUP(C302,'Talente &amp; Stuff'!BI:CJ,25,FALSE)</f>
        <v>0</v>
      </c>
      <c r="AB302" s="242">
        <f>VLOOKUP(C302,'Talente &amp; Stuff'!BI:CJ,26,FALSE)</f>
        <v>0</v>
      </c>
      <c r="AC302" s="243">
        <f>VLOOKUP(C302,'Talente &amp; Stuff'!BI:CJ,27,FALSE)</f>
        <v>0</v>
      </c>
      <c r="AD302" s="218">
        <f>VLOOKUP(C302,'Talente &amp; Stuff'!BI:CJ,28,FALSE)</f>
        <v>0</v>
      </c>
      <c r="AE302" s="343"/>
    </row>
    <row r="303" spans="1:31" s="217" customFormat="1" hidden="1" outlineLevel="2">
      <c r="A303" s="185"/>
      <c r="B303" s="217">
        <v>6</v>
      </c>
      <c r="C303" s="303" t="str">
        <f>Attribute!C303</f>
        <v>---</v>
      </c>
      <c r="D303" s="218" t="str">
        <f>VLOOKUP(C303,'Talente &amp; Stuff'!BI:CJ,2,FALSE)</f>
        <v>--/--/--</v>
      </c>
      <c r="E303" s="243" t="str">
        <f>VLOOKUP(C303,'Talente &amp; Stuff'!BI:CJ,3,FALSE)</f>
        <v>-</v>
      </c>
      <c r="F303" s="237">
        <f>VLOOKUP(C303,'Talente &amp; Stuff'!BI:CJ,4,FALSE)</f>
        <v>0</v>
      </c>
      <c r="G303" s="234">
        <f>VLOOKUP(C303,'Talente &amp; Stuff'!BI:CJ,5,FALSE)</f>
        <v>0</v>
      </c>
      <c r="H303" s="234">
        <f>VLOOKUP(C303,'Talente &amp; Stuff'!BI:CJ,6,FALSE)</f>
        <v>0</v>
      </c>
      <c r="I303" s="234">
        <f>VLOOKUP(C303,'Talente &amp; Stuff'!BI:CJ,7,FALSE)</f>
        <v>0</v>
      </c>
      <c r="J303" s="234">
        <f>VLOOKUP(C303,'Talente &amp; Stuff'!BI:CJ,8,FALSE)</f>
        <v>0</v>
      </c>
      <c r="K303" s="234">
        <f>VLOOKUP(C303,'Talente &amp; Stuff'!BI:CJ,9,FALSE)</f>
        <v>0</v>
      </c>
      <c r="L303" s="234">
        <f>VLOOKUP(C303,'Talente &amp; Stuff'!BI:CJ,10,FALSE)</f>
        <v>0</v>
      </c>
      <c r="M303" s="224">
        <f>VLOOKUP(C303,'Talente &amp; Stuff'!BI:CJ,11,FALSE)</f>
        <v>0</v>
      </c>
      <c r="N303" s="223">
        <f>VLOOKUP(C303,'Talente &amp; Stuff'!BI:CJ,12,FALSE)</f>
        <v>0</v>
      </c>
      <c r="O303" s="223">
        <f>VLOOKUP(C303,'Talente &amp; Stuff'!BI:CJ,13,FALSE)</f>
        <v>0</v>
      </c>
      <c r="P303" s="224">
        <f>VLOOKUP(C303,'Talente &amp; Stuff'!BI:CJ,14,FALSE)</f>
        <v>0</v>
      </c>
      <c r="Q303" s="237">
        <f>VLOOKUP(C303,'Talente &amp; Stuff'!BI:CJ,15,FALSE)</f>
        <v>0</v>
      </c>
      <c r="R303" s="234">
        <f>VLOOKUP(C303,'Talente &amp; Stuff'!BI:CJ,16,FALSE)</f>
        <v>0</v>
      </c>
      <c r="S303" s="224">
        <f>VLOOKUP(C303,'Talente &amp; Stuff'!BI:CJ,17,FALSE)</f>
        <v>0</v>
      </c>
      <c r="T303" s="224">
        <f>VLOOKUP(C303,'Talente &amp; Stuff'!BI:CJ,18,FALSE)</f>
        <v>0</v>
      </c>
      <c r="U303" s="222">
        <f>VLOOKUP(C303,'Talente &amp; Stuff'!BI:CJ,19,FALSE)</f>
        <v>0</v>
      </c>
      <c r="V303" s="223">
        <f>VLOOKUP(C303,'Talente &amp; Stuff'!BI:CJ,20,FALSE)</f>
        <v>0</v>
      </c>
      <c r="W303" s="243">
        <f>VLOOKUP(C303,'Talente &amp; Stuff'!BI:CJ,21,FALSE)</f>
        <v>0</v>
      </c>
      <c r="X303" s="243">
        <f>VLOOKUP(C303,'Talente &amp; Stuff'!BI:CJ,22,FALSE)</f>
        <v>0</v>
      </c>
      <c r="Y303" s="252">
        <f>VLOOKUP(C303,Ausgewählte_Zauber_Zauberbarden,81,FALSE)</f>
        <v>0</v>
      </c>
      <c r="Z303" s="309">
        <f>VLOOKUP(C303,Ausgewählte_Zauber_Zauberbarden,82,FALSE)</f>
        <v>0</v>
      </c>
      <c r="AA303" s="218">
        <f>VLOOKUP(C303,'Talente &amp; Stuff'!BI:CJ,25,FALSE)</f>
        <v>0</v>
      </c>
      <c r="AB303" s="242">
        <f>VLOOKUP(C303,'Talente &amp; Stuff'!BI:CJ,26,FALSE)</f>
        <v>0</v>
      </c>
      <c r="AC303" s="243">
        <f>VLOOKUP(C303,'Talente &amp; Stuff'!BI:CJ,27,FALSE)</f>
        <v>0</v>
      </c>
      <c r="AD303" s="218">
        <f>VLOOKUP(C303,'Talente &amp; Stuff'!BI:CJ,28,FALSE)</f>
        <v>0</v>
      </c>
      <c r="AE303" s="343"/>
    </row>
    <row r="304" spans="1:31" s="217" customFormat="1" hidden="1" outlineLevel="2">
      <c r="A304" s="185"/>
      <c r="B304" s="217">
        <v>7</v>
      </c>
      <c r="C304" s="303" t="str">
        <f>Attribute!C304</f>
        <v>---</v>
      </c>
      <c r="D304" s="218" t="str">
        <f>VLOOKUP(C304,'Talente &amp; Stuff'!BI:CJ,2,FALSE)</f>
        <v>--/--/--</v>
      </c>
      <c r="E304" s="243" t="str">
        <f>VLOOKUP(C304,'Talente &amp; Stuff'!BI:CJ,3,FALSE)</f>
        <v>-</v>
      </c>
      <c r="F304" s="237">
        <f>VLOOKUP(C304,'Talente &amp; Stuff'!BI:CJ,4,FALSE)</f>
        <v>0</v>
      </c>
      <c r="G304" s="234">
        <f>VLOOKUP(C304,'Talente &amp; Stuff'!BI:CJ,5,FALSE)</f>
        <v>0</v>
      </c>
      <c r="H304" s="234">
        <f>VLOOKUP(C304,'Talente &amp; Stuff'!BI:CJ,6,FALSE)</f>
        <v>0</v>
      </c>
      <c r="I304" s="234">
        <f>VLOOKUP(C304,'Talente &amp; Stuff'!BI:CJ,7,FALSE)</f>
        <v>0</v>
      </c>
      <c r="J304" s="234">
        <f>VLOOKUP(C304,'Talente &amp; Stuff'!BI:CJ,8,FALSE)</f>
        <v>0</v>
      </c>
      <c r="K304" s="234">
        <f>VLOOKUP(C304,'Talente &amp; Stuff'!BI:CJ,9,FALSE)</f>
        <v>0</v>
      </c>
      <c r="L304" s="234">
        <f>VLOOKUP(C304,'Talente &amp; Stuff'!BI:CJ,10,FALSE)</f>
        <v>0</v>
      </c>
      <c r="M304" s="224">
        <f>VLOOKUP(C304,'Talente &amp; Stuff'!BI:CJ,11,FALSE)</f>
        <v>0</v>
      </c>
      <c r="N304" s="223">
        <f>VLOOKUP(C304,'Talente &amp; Stuff'!BI:CJ,12,FALSE)</f>
        <v>0</v>
      </c>
      <c r="O304" s="223">
        <f>VLOOKUP(C304,'Talente &amp; Stuff'!BI:CJ,13,FALSE)</f>
        <v>0</v>
      </c>
      <c r="P304" s="224">
        <f>VLOOKUP(C304,'Talente &amp; Stuff'!BI:CJ,14,FALSE)</f>
        <v>0</v>
      </c>
      <c r="Q304" s="237">
        <f>VLOOKUP(C304,'Talente &amp; Stuff'!BI:CJ,15,FALSE)</f>
        <v>0</v>
      </c>
      <c r="R304" s="234">
        <f>VLOOKUP(C304,'Talente &amp; Stuff'!BI:CJ,16,FALSE)</f>
        <v>0</v>
      </c>
      <c r="S304" s="224">
        <f>VLOOKUP(C304,'Talente &amp; Stuff'!BI:CJ,17,FALSE)</f>
        <v>0</v>
      </c>
      <c r="T304" s="224">
        <f>VLOOKUP(C304,'Talente &amp; Stuff'!BI:CJ,18,FALSE)</f>
        <v>0</v>
      </c>
      <c r="U304" s="222">
        <f>VLOOKUP(C304,'Talente &amp; Stuff'!BI:CJ,19,FALSE)</f>
        <v>0</v>
      </c>
      <c r="V304" s="223">
        <f>VLOOKUP(C304,'Talente &amp; Stuff'!BI:CJ,20,FALSE)</f>
        <v>0</v>
      </c>
      <c r="W304" s="243">
        <f>VLOOKUP(C304,'Talente &amp; Stuff'!BI:CJ,21,FALSE)</f>
        <v>0</v>
      </c>
      <c r="X304" s="243">
        <f>VLOOKUP(C304,'Talente &amp; Stuff'!BI:CJ,22,FALSE)</f>
        <v>0</v>
      </c>
      <c r="Y304" s="252">
        <f>VLOOKUP(C304,Ausgewählte_Zauber_Zauberbarden,81,FALSE)</f>
        <v>0</v>
      </c>
      <c r="Z304" s="309">
        <f>VLOOKUP(C304,Ausgewählte_Zauber_Zauberbarden,82,FALSE)</f>
        <v>0</v>
      </c>
      <c r="AA304" s="218">
        <f>VLOOKUP(C304,'Talente &amp; Stuff'!BI:CJ,25,FALSE)</f>
        <v>0</v>
      </c>
      <c r="AB304" s="242">
        <f>VLOOKUP(C304,'Talente &amp; Stuff'!BI:CJ,26,FALSE)</f>
        <v>0</v>
      </c>
      <c r="AC304" s="243">
        <f>VLOOKUP(C304,'Talente &amp; Stuff'!BI:CJ,27,FALSE)</f>
        <v>0</v>
      </c>
      <c r="AD304" s="218">
        <f>VLOOKUP(C304,'Talente &amp; Stuff'!BI:CJ,28,FALSE)</f>
        <v>0</v>
      </c>
      <c r="AE304" s="343"/>
    </row>
    <row r="305" spans="1:31" s="217" customFormat="1" hidden="1" outlineLevel="2">
      <c r="A305" s="185"/>
      <c r="B305" s="217">
        <v>8</v>
      </c>
      <c r="C305" s="303" t="str">
        <f>Attribute!C305</f>
        <v>---</v>
      </c>
      <c r="D305" s="218" t="str">
        <f>VLOOKUP(C305,'Talente &amp; Stuff'!BI:CJ,2,FALSE)</f>
        <v>--/--/--</v>
      </c>
      <c r="E305" s="243" t="str">
        <f>VLOOKUP(C305,'Talente &amp; Stuff'!BI:CJ,3,FALSE)</f>
        <v>-</v>
      </c>
      <c r="F305" s="237">
        <f>VLOOKUP(C305,'Talente &amp; Stuff'!BI:CJ,4,FALSE)</f>
        <v>0</v>
      </c>
      <c r="G305" s="234">
        <f>VLOOKUP(C305,'Talente &amp; Stuff'!BI:CJ,5,FALSE)</f>
        <v>0</v>
      </c>
      <c r="H305" s="234">
        <f>VLOOKUP(C305,'Talente &amp; Stuff'!BI:CJ,6,FALSE)</f>
        <v>0</v>
      </c>
      <c r="I305" s="234">
        <f>VLOOKUP(C305,'Talente &amp; Stuff'!BI:CJ,7,FALSE)</f>
        <v>0</v>
      </c>
      <c r="J305" s="234">
        <f>VLOOKUP(C305,'Talente &amp; Stuff'!BI:CJ,8,FALSE)</f>
        <v>0</v>
      </c>
      <c r="K305" s="234">
        <f>VLOOKUP(C305,'Talente &amp; Stuff'!BI:CJ,9,FALSE)</f>
        <v>0</v>
      </c>
      <c r="L305" s="234">
        <f>VLOOKUP(C305,'Talente &amp; Stuff'!BI:CJ,10,FALSE)</f>
        <v>0</v>
      </c>
      <c r="M305" s="224">
        <f>VLOOKUP(C305,'Talente &amp; Stuff'!BI:CJ,11,FALSE)</f>
        <v>0</v>
      </c>
      <c r="N305" s="223">
        <f>VLOOKUP(C305,'Talente &amp; Stuff'!BI:CJ,12,FALSE)</f>
        <v>0</v>
      </c>
      <c r="O305" s="223">
        <f>VLOOKUP(C305,'Talente &amp; Stuff'!BI:CJ,13,FALSE)</f>
        <v>0</v>
      </c>
      <c r="P305" s="224">
        <f>VLOOKUP(C305,'Talente &amp; Stuff'!BI:CJ,14,FALSE)</f>
        <v>0</v>
      </c>
      <c r="Q305" s="237">
        <f>VLOOKUP(C305,'Talente &amp; Stuff'!BI:CJ,15,FALSE)</f>
        <v>0</v>
      </c>
      <c r="R305" s="234">
        <f>VLOOKUP(C305,'Talente &amp; Stuff'!BI:CJ,16,FALSE)</f>
        <v>0</v>
      </c>
      <c r="S305" s="224">
        <f>VLOOKUP(C305,'Talente &amp; Stuff'!BI:CJ,17,FALSE)</f>
        <v>0</v>
      </c>
      <c r="T305" s="224">
        <f>VLOOKUP(C305,'Talente &amp; Stuff'!BI:CJ,18,FALSE)</f>
        <v>0</v>
      </c>
      <c r="U305" s="222">
        <f>VLOOKUP(C305,'Talente &amp; Stuff'!BI:CJ,19,FALSE)</f>
        <v>0</v>
      </c>
      <c r="V305" s="223">
        <f>VLOOKUP(C305,'Talente &amp; Stuff'!BI:CJ,20,FALSE)</f>
        <v>0</v>
      </c>
      <c r="W305" s="243">
        <f>VLOOKUP(C305,'Talente &amp; Stuff'!BI:CJ,21,FALSE)</f>
        <v>0</v>
      </c>
      <c r="X305" s="243">
        <f>VLOOKUP(C305,'Talente &amp; Stuff'!BI:CJ,22,FALSE)</f>
        <v>0</v>
      </c>
      <c r="Y305" s="252">
        <f>VLOOKUP(C305,Ausgewählte_Zauber_Zauberbarden,81,FALSE)</f>
        <v>0</v>
      </c>
      <c r="Z305" s="309">
        <f>VLOOKUP(C305,Ausgewählte_Zauber_Zauberbarden,82,FALSE)</f>
        <v>0</v>
      </c>
      <c r="AA305" s="218">
        <f>VLOOKUP(C305,'Talente &amp; Stuff'!BI:CJ,25,FALSE)</f>
        <v>0</v>
      </c>
      <c r="AB305" s="242">
        <f>VLOOKUP(C305,'Talente &amp; Stuff'!BI:CJ,26,FALSE)</f>
        <v>0</v>
      </c>
      <c r="AC305" s="243">
        <f>VLOOKUP(C305,'Talente &amp; Stuff'!BI:CJ,27,FALSE)</f>
        <v>0</v>
      </c>
      <c r="AD305" s="218">
        <f>VLOOKUP(C305,'Talente &amp; Stuff'!BI:CJ,28,FALSE)</f>
        <v>0</v>
      </c>
      <c r="AE305" s="343"/>
    </row>
    <row r="306" spans="1:31" s="217" customFormat="1" hidden="1" outlineLevel="2">
      <c r="A306" s="185"/>
      <c r="B306" s="217">
        <v>9</v>
      </c>
      <c r="C306" s="303" t="str">
        <f>Attribute!C306</f>
        <v>---</v>
      </c>
      <c r="D306" s="218" t="str">
        <f>VLOOKUP(C306,'Talente &amp; Stuff'!BI:CJ,2,FALSE)</f>
        <v>--/--/--</v>
      </c>
      <c r="E306" s="243" t="str">
        <f>VLOOKUP(C306,'Talente &amp; Stuff'!BI:CJ,3,FALSE)</f>
        <v>-</v>
      </c>
      <c r="F306" s="237">
        <f>VLOOKUP(C306,'Talente &amp; Stuff'!BI:CJ,4,FALSE)</f>
        <v>0</v>
      </c>
      <c r="G306" s="234">
        <f>VLOOKUP(C306,'Talente &amp; Stuff'!BI:CJ,5,FALSE)</f>
        <v>0</v>
      </c>
      <c r="H306" s="234">
        <f>VLOOKUP(C306,'Talente &amp; Stuff'!BI:CJ,6,FALSE)</f>
        <v>0</v>
      </c>
      <c r="I306" s="234">
        <f>VLOOKUP(C306,'Talente &amp; Stuff'!BI:CJ,7,FALSE)</f>
        <v>0</v>
      </c>
      <c r="J306" s="234">
        <f>VLOOKUP(C306,'Talente &amp; Stuff'!BI:CJ,8,FALSE)</f>
        <v>0</v>
      </c>
      <c r="K306" s="234">
        <f>VLOOKUP(C306,'Talente &amp; Stuff'!BI:CJ,9,FALSE)</f>
        <v>0</v>
      </c>
      <c r="L306" s="234">
        <f>VLOOKUP(C306,'Talente &amp; Stuff'!BI:CJ,10,FALSE)</f>
        <v>0</v>
      </c>
      <c r="M306" s="224">
        <f>VLOOKUP(C306,'Talente &amp; Stuff'!BI:CJ,11,FALSE)</f>
        <v>0</v>
      </c>
      <c r="N306" s="223">
        <f>VLOOKUP(C306,'Talente &amp; Stuff'!BI:CJ,12,FALSE)</f>
        <v>0</v>
      </c>
      <c r="O306" s="223">
        <f>VLOOKUP(C306,'Talente &amp; Stuff'!BI:CJ,13,FALSE)</f>
        <v>0</v>
      </c>
      <c r="P306" s="224">
        <f>VLOOKUP(C306,'Talente &amp; Stuff'!BI:CJ,14,FALSE)</f>
        <v>0</v>
      </c>
      <c r="Q306" s="237">
        <f>VLOOKUP(C306,'Talente &amp; Stuff'!BI:CJ,15,FALSE)</f>
        <v>0</v>
      </c>
      <c r="R306" s="234">
        <f>VLOOKUP(C306,'Talente &amp; Stuff'!BI:CJ,16,FALSE)</f>
        <v>0</v>
      </c>
      <c r="S306" s="224">
        <f>VLOOKUP(C306,'Talente &amp; Stuff'!BI:CJ,17,FALSE)</f>
        <v>0</v>
      </c>
      <c r="T306" s="224">
        <f>VLOOKUP(C306,'Talente &amp; Stuff'!BI:CJ,18,FALSE)</f>
        <v>0</v>
      </c>
      <c r="U306" s="222">
        <f>VLOOKUP(C306,'Talente &amp; Stuff'!BI:CJ,19,FALSE)</f>
        <v>0</v>
      </c>
      <c r="V306" s="223">
        <f>VLOOKUP(C306,'Talente &amp; Stuff'!BI:CJ,20,FALSE)</f>
        <v>0</v>
      </c>
      <c r="W306" s="243">
        <f>VLOOKUP(C306,'Talente &amp; Stuff'!BI:CJ,21,FALSE)</f>
        <v>0</v>
      </c>
      <c r="X306" s="243">
        <f>VLOOKUP(C306,'Talente &amp; Stuff'!BI:CJ,22,FALSE)</f>
        <v>0</v>
      </c>
      <c r="Y306" s="252">
        <f>VLOOKUP(C306,Ausgewählte_Zauber_Zauberbarden,81,FALSE)</f>
        <v>0</v>
      </c>
      <c r="Z306" s="309">
        <f>VLOOKUP(C306,Ausgewählte_Zauber_Zauberbarden,82,FALSE)</f>
        <v>0</v>
      </c>
      <c r="AA306" s="218">
        <f>VLOOKUP(C306,'Talente &amp; Stuff'!BI:CJ,25,FALSE)</f>
        <v>0</v>
      </c>
      <c r="AB306" s="242">
        <f>VLOOKUP(C306,'Talente &amp; Stuff'!BI:CJ,26,FALSE)</f>
        <v>0</v>
      </c>
      <c r="AC306" s="243">
        <f>VLOOKUP(C306,'Talente &amp; Stuff'!BI:CJ,27,FALSE)</f>
        <v>0</v>
      </c>
      <c r="AD306" s="218">
        <f>VLOOKUP(C306,'Talente &amp; Stuff'!BI:CJ,28,FALSE)</f>
        <v>0</v>
      </c>
      <c r="AE306" s="343"/>
    </row>
    <row r="307" spans="1:31" s="217" customFormat="1" hidden="1" outlineLevel="2">
      <c r="A307" s="185"/>
      <c r="B307" s="217">
        <v>10</v>
      </c>
      <c r="C307" s="303" t="str">
        <f>Attribute!C307</f>
        <v>---</v>
      </c>
      <c r="D307" s="218" t="str">
        <f>VLOOKUP(C307,'Talente &amp; Stuff'!BI:CJ,2,FALSE)</f>
        <v>--/--/--</v>
      </c>
      <c r="E307" s="243" t="str">
        <f>VLOOKUP(C307,'Talente &amp; Stuff'!BI:CJ,3,FALSE)</f>
        <v>-</v>
      </c>
      <c r="F307" s="237">
        <f>VLOOKUP(C307,'Talente &amp; Stuff'!BI:CJ,4,FALSE)</f>
        <v>0</v>
      </c>
      <c r="G307" s="234">
        <f>VLOOKUP(C307,'Talente &amp; Stuff'!BI:CJ,5,FALSE)</f>
        <v>0</v>
      </c>
      <c r="H307" s="234">
        <f>VLOOKUP(C307,'Talente &amp; Stuff'!BI:CJ,6,FALSE)</f>
        <v>0</v>
      </c>
      <c r="I307" s="234">
        <f>VLOOKUP(C307,'Talente &amp; Stuff'!BI:CJ,7,FALSE)</f>
        <v>0</v>
      </c>
      <c r="J307" s="234">
        <f>VLOOKUP(C307,'Talente &amp; Stuff'!BI:CJ,8,FALSE)</f>
        <v>0</v>
      </c>
      <c r="K307" s="234">
        <f>VLOOKUP(C307,'Talente &amp; Stuff'!BI:CJ,9,FALSE)</f>
        <v>0</v>
      </c>
      <c r="L307" s="234">
        <f>VLOOKUP(C307,'Talente &amp; Stuff'!BI:CJ,10,FALSE)</f>
        <v>0</v>
      </c>
      <c r="M307" s="224">
        <f>VLOOKUP(C307,'Talente &amp; Stuff'!BI:CJ,11,FALSE)</f>
        <v>0</v>
      </c>
      <c r="N307" s="223">
        <f>VLOOKUP(C307,'Talente &amp; Stuff'!BI:CJ,12,FALSE)</f>
        <v>0</v>
      </c>
      <c r="O307" s="223">
        <f>VLOOKUP(C307,'Talente &amp; Stuff'!BI:CJ,13,FALSE)</f>
        <v>0</v>
      </c>
      <c r="P307" s="224">
        <f>VLOOKUP(C307,'Talente &amp; Stuff'!BI:CJ,14,FALSE)</f>
        <v>0</v>
      </c>
      <c r="Q307" s="237">
        <f>VLOOKUP(C307,'Talente &amp; Stuff'!BI:CJ,15,FALSE)</f>
        <v>0</v>
      </c>
      <c r="R307" s="234">
        <f>VLOOKUP(C307,'Talente &amp; Stuff'!BI:CJ,16,FALSE)</f>
        <v>0</v>
      </c>
      <c r="S307" s="224">
        <f>VLOOKUP(C307,'Talente &amp; Stuff'!BI:CJ,17,FALSE)</f>
        <v>0</v>
      </c>
      <c r="T307" s="224">
        <f>VLOOKUP(C307,'Talente &amp; Stuff'!BI:CJ,18,FALSE)</f>
        <v>0</v>
      </c>
      <c r="U307" s="222">
        <f>VLOOKUP(C307,'Talente &amp; Stuff'!BI:CJ,19,FALSE)</f>
        <v>0</v>
      </c>
      <c r="V307" s="223">
        <f>VLOOKUP(C307,'Talente &amp; Stuff'!BI:CJ,20,FALSE)</f>
        <v>0</v>
      </c>
      <c r="W307" s="243">
        <f>VLOOKUP(C307,'Talente &amp; Stuff'!BI:CJ,21,FALSE)</f>
        <v>0</v>
      </c>
      <c r="X307" s="243">
        <f>VLOOKUP(C307,'Talente &amp; Stuff'!BI:CJ,22,FALSE)</f>
        <v>0</v>
      </c>
      <c r="Y307" s="252">
        <f>VLOOKUP(C307,Ausgewählte_Zauber_Zauberbarden,81,FALSE)</f>
        <v>0</v>
      </c>
      <c r="Z307" s="309">
        <f>VLOOKUP(C307,Ausgewählte_Zauber_Zauberbarden,82,FALSE)</f>
        <v>0</v>
      </c>
      <c r="AA307" s="218">
        <f>VLOOKUP(C307,'Talente &amp; Stuff'!BI:CJ,25,FALSE)</f>
        <v>0</v>
      </c>
      <c r="AB307" s="242">
        <f>VLOOKUP(C307,'Talente &amp; Stuff'!BI:CJ,26,FALSE)</f>
        <v>0</v>
      </c>
      <c r="AC307" s="243">
        <f>VLOOKUP(C307,'Talente &amp; Stuff'!BI:CJ,27,FALSE)</f>
        <v>0</v>
      </c>
      <c r="AD307" s="218">
        <f>VLOOKUP(C307,'Talente &amp; Stuff'!BI:CJ,28,FALSE)</f>
        <v>0</v>
      </c>
      <c r="AE307" s="343"/>
    </row>
    <row r="308" spans="1:31" s="217" customFormat="1" hidden="1" outlineLevel="2">
      <c r="A308" s="185"/>
      <c r="B308" s="217">
        <v>11</v>
      </c>
      <c r="C308" s="303" t="str">
        <f>Attribute!C308</f>
        <v>---</v>
      </c>
      <c r="D308" s="218" t="str">
        <f>VLOOKUP(C308,'Talente &amp; Stuff'!BI:CJ,2,FALSE)</f>
        <v>--/--/--</v>
      </c>
      <c r="E308" s="243" t="str">
        <f>VLOOKUP(C308,'Talente &amp; Stuff'!BI:CJ,3,FALSE)</f>
        <v>-</v>
      </c>
      <c r="F308" s="237">
        <f>VLOOKUP(C308,'Talente &amp; Stuff'!BI:CJ,4,FALSE)</f>
        <v>0</v>
      </c>
      <c r="G308" s="234">
        <f>VLOOKUP(C308,'Talente &amp; Stuff'!BI:CJ,5,FALSE)</f>
        <v>0</v>
      </c>
      <c r="H308" s="234">
        <f>VLOOKUP(C308,'Talente &amp; Stuff'!BI:CJ,6,FALSE)</f>
        <v>0</v>
      </c>
      <c r="I308" s="234">
        <f>VLOOKUP(C308,'Talente &amp; Stuff'!BI:CJ,7,FALSE)</f>
        <v>0</v>
      </c>
      <c r="J308" s="234">
        <f>VLOOKUP(C308,'Talente &amp; Stuff'!BI:CJ,8,FALSE)</f>
        <v>0</v>
      </c>
      <c r="K308" s="234">
        <f>VLOOKUP(C308,'Talente &amp; Stuff'!BI:CJ,9,FALSE)</f>
        <v>0</v>
      </c>
      <c r="L308" s="234">
        <f>VLOOKUP(C308,'Talente &amp; Stuff'!BI:CJ,10,FALSE)</f>
        <v>0</v>
      </c>
      <c r="M308" s="224">
        <f>VLOOKUP(C308,'Talente &amp; Stuff'!BI:CJ,11,FALSE)</f>
        <v>0</v>
      </c>
      <c r="N308" s="223">
        <f>VLOOKUP(C308,'Talente &amp; Stuff'!BI:CJ,12,FALSE)</f>
        <v>0</v>
      </c>
      <c r="O308" s="223">
        <f>VLOOKUP(C308,'Talente &amp; Stuff'!BI:CJ,13,FALSE)</f>
        <v>0</v>
      </c>
      <c r="P308" s="224">
        <f>VLOOKUP(C308,'Talente &amp; Stuff'!BI:CJ,14,FALSE)</f>
        <v>0</v>
      </c>
      <c r="Q308" s="237">
        <f>VLOOKUP(C308,'Talente &amp; Stuff'!BI:CJ,15,FALSE)</f>
        <v>0</v>
      </c>
      <c r="R308" s="234">
        <f>VLOOKUP(C308,'Talente &amp; Stuff'!BI:CJ,16,FALSE)</f>
        <v>0</v>
      </c>
      <c r="S308" s="224">
        <f>VLOOKUP(C308,'Talente &amp; Stuff'!BI:CJ,17,FALSE)</f>
        <v>0</v>
      </c>
      <c r="T308" s="224">
        <f>VLOOKUP(C308,'Talente &amp; Stuff'!BI:CJ,18,FALSE)</f>
        <v>0</v>
      </c>
      <c r="U308" s="222">
        <f>VLOOKUP(C308,'Talente &amp; Stuff'!BI:CJ,19,FALSE)</f>
        <v>0</v>
      </c>
      <c r="V308" s="223">
        <f>VLOOKUP(C308,'Talente &amp; Stuff'!BI:CJ,20,FALSE)</f>
        <v>0</v>
      </c>
      <c r="W308" s="243">
        <f>VLOOKUP(C308,'Talente &amp; Stuff'!BI:CJ,21,FALSE)</f>
        <v>0</v>
      </c>
      <c r="X308" s="243">
        <f>VLOOKUP(C308,'Talente &amp; Stuff'!BI:CJ,22,FALSE)</f>
        <v>0</v>
      </c>
      <c r="Y308" s="252">
        <f>VLOOKUP(C308,Ausgewählte_Zauber_Zauberbarden,81,FALSE)</f>
        <v>0</v>
      </c>
      <c r="Z308" s="309">
        <f>VLOOKUP(C308,Ausgewählte_Zauber_Zauberbarden,82,FALSE)</f>
        <v>0</v>
      </c>
      <c r="AA308" s="218">
        <f>VLOOKUP(C308,'Talente &amp; Stuff'!BI:CJ,25,FALSE)</f>
        <v>0</v>
      </c>
      <c r="AB308" s="242">
        <f>VLOOKUP(C308,'Talente &amp; Stuff'!BI:CJ,26,FALSE)</f>
        <v>0</v>
      </c>
      <c r="AC308" s="243">
        <f>VLOOKUP(C308,'Talente &amp; Stuff'!BI:CJ,27,FALSE)</f>
        <v>0</v>
      </c>
      <c r="AD308" s="218">
        <f>VLOOKUP(C308,'Talente &amp; Stuff'!BI:CJ,28,FALSE)</f>
        <v>0</v>
      </c>
      <c r="AE308" s="343"/>
    </row>
    <row r="309" spans="1:31" s="217" customFormat="1" hidden="1" outlineLevel="2">
      <c r="A309" s="185"/>
      <c r="B309" s="217">
        <v>12</v>
      </c>
      <c r="C309" s="303" t="str">
        <f>Attribute!C309</f>
        <v>---</v>
      </c>
      <c r="D309" s="218" t="str">
        <f>VLOOKUP(C309,'Talente &amp; Stuff'!BI:CJ,2,FALSE)</f>
        <v>--/--/--</v>
      </c>
      <c r="E309" s="243" t="str">
        <f>VLOOKUP(C309,'Talente &amp; Stuff'!BI:CJ,3,FALSE)</f>
        <v>-</v>
      </c>
      <c r="F309" s="237">
        <f>VLOOKUP(C309,'Talente &amp; Stuff'!BI:CJ,4,FALSE)</f>
        <v>0</v>
      </c>
      <c r="G309" s="234">
        <f>VLOOKUP(C309,'Talente &amp; Stuff'!BI:CJ,5,FALSE)</f>
        <v>0</v>
      </c>
      <c r="H309" s="234">
        <f>VLOOKUP(C309,'Talente &amp; Stuff'!BI:CJ,6,FALSE)</f>
        <v>0</v>
      </c>
      <c r="I309" s="234">
        <f>VLOOKUP(C309,'Talente &amp; Stuff'!BI:CJ,7,FALSE)</f>
        <v>0</v>
      </c>
      <c r="J309" s="234">
        <f>VLOOKUP(C309,'Talente &amp; Stuff'!BI:CJ,8,FALSE)</f>
        <v>0</v>
      </c>
      <c r="K309" s="234">
        <f>VLOOKUP(C309,'Talente &amp; Stuff'!BI:CJ,9,FALSE)</f>
        <v>0</v>
      </c>
      <c r="L309" s="234">
        <f>VLOOKUP(C309,'Talente &amp; Stuff'!BI:CJ,10,FALSE)</f>
        <v>0</v>
      </c>
      <c r="M309" s="224">
        <f>VLOOKUP(C309,'Talente &amp; Stuff'!BI:CJ,11,FALSE)</f>
        <v>0</v>
      </c>
      <c r="N309" s="223">
        <f>VLOOKUP(C309,'Talente &amp; Stuff'!BI:CJ,12,FALSE)</f>
        <v>0</v>
      </c>
      <c r="O309" s="223">
        <f>VLOOKUP(C309,'Talente &amp; Stuff'!BI:CJ,13,FALSE)</f>
        <v>0</v>
      </c>
      <c r="P309" s="224">
        <f>VLOOKUP(C309,'Talente &amp; Stuff'!BI:CJ,14,FALSE)</f>
        <v>0</v>
      </c>
      <c r="Q309" s="237">
        <f>VLOOKUP(C309,'Talente &amp; Stuff'!BI:CJ,15,FALSE)</f>
        <v>0</v>
      </c>
      <c r="R309" s="234">
        <f>VLOOKUP(C309,'Talente &amp; Stuff'!BI:CJ,16,FALSE)</f>
        <v>0</v>
      </c>
      <c r="S309" s="224">
        <f>VLOOKUP(C309,'Talente &amp; Stuff'!BI:CJ,17,FALSE)</f>
        <v>0</v>
      </c>
      <c r="T309" s="224">
        <f>VLOOKUP(C309,'Talente &amp; Stuff'!BI:CJ,18,FALSE)</f>
        <v>0</v>
      </c>
      <c r="U309" s="222">
        <f>VLOOKUP(C309,'Talente &amp; Stuff'!BI:CJ,19,FALSE)</f>
        <v>0</v>
      </c>
      <c r="V309" s="223">
        <f>VLOOKUP(C309,'Talente &amp; Stuff'!BI:CJ,20,FALSE)</f>
        <v>0</v>
      </c>
      <c r="W309" s="243">
        <f>VLOOKUP(C309,'Talente &amp; Stuff'!BI:CJ,21,FALSE)</f>
        <v>0</v>
      </c>
      <c r="X309" s="243">
        <f>VLOOKUP(C309,'Talente &amp; Stuff'!BI:CJ,22,FALSE)</f>
        <v>0</v>
      </c>
      <c r="Y309" s="252">
        <f>VLOOKUP(C309,Ausgewählte_Zauber_Zauberbarden,81,FALSE)</f>
        <v>0</v>
      </c>
      <c r="Z309" s="309">
        <f>VLOOKUP(C309,Ausgewählte_Zauber_Zauberbarden,82,FALSE)</f>
        <v>0</v>
      </c>
      <c r="AA309" s="218">
        <f>VLOOKUP(C309,'Talente &amp; Stuff'!BI:CJ,25,FALSE)</f>
        <v>0</v>
      </c>
      <c r="AB309" s="242">
        <f>VLOOKUP(C309,'Talente &amp; Stuff'!BI:CJ,26,FALSE)</f>
        <v>0</v>
      </c>
      <c r="AC309" s="243">
        <f>VLOOKUP(C309,'Talente &amp; Stuff'!BI:CJ,27,FALSE)</f>
        <v>0</v>
      </c>
      <c r="AD309" s="218">
        <f>VLOOKUP(C309,'Talente &amp; Stuff'!BI:CJ,28,FALSE)</f>
        <v>0</v>
      </c>
      <c r="AE309" s="343"/>
    </row>
    <row r="310" spans="1:31" s="217" customFormat="1" hidden="1" outlineLevel="2">
      <c r="A310" s="185"/>
      <c r="B310" s="217">
        <v>13</v>
      </c>
      <c r="C310" s="303" t="str">
        <f>Attribute!C310</f>
        <v>---</v>
      </c>
      <c r="D310" s="218" t="str">
        <f>VLOOKUP(C310,'Talente &amp; Stuff'!BI:CJ,2,FALSE)</f>
        <v>--/--/--</v>
      </c>
      <c r="E310" s="243" t="str">
        <f>VLOOKUP(C310,'Talente &amp; Stuff'!BI:CJ,3,FALSE)</f>
        <v>-</v>
      </c>
      <c r="F310" s="237">
        <f>VLOOKUP(C310,'Talente &amp; Stuff'!BI:CJ,4,FALSE)</f>
        <v>0</v>
      </c>
      <c r="G310" s="234">
        <f>VLOOKUP(C310,'Talente &amp; Stuff'!BI:CJ,5,FALSE)</f>
        <v>0</v>
      </c>
      <c r="H310" s="234">
        <f>VLOOKUP(C310,'Talente &amp; Stuff'!BI:CJ,6,FALSE)</f>
        <v>0</v>
      </c>
      <c r="I310" s="234">
        <f>VLOOKUP(C310,'Talente &amp; Stuff'!BI:CJ,7,FALSE)</f>
        <v>0</v>
      </c>
      <c r="J310" s="234">
        <f>VLOOKUP(C310,'Talente &amp; Stuff'!BI:CJ,8,FALSE)</f>
        <v>0</v>
      </c>
      <c r="K310" s="234">
        <f>VLOOKUP(C310,'Talente &amp; Stuff'!BI:CJ,9,FALSE)</f>
        <v>0</v>
      </c>
      <c r="L310" s="234">
        <f>VLOOKUP(C310,'Talente &amp; Stuff'!BI:CJ,10,FALSE)</f>
        <v>0</v>
      </c>
      <c r="M310" s="224">
        <f>VLOOKUP(C310,'Talente &amp; Stuff'!BI:CJ,11,FALSE)</f>
        <v>0</v>
      </c>
      <c r="N310" s="223">
        <f>VLOOKUP(C310,'Talente &amp; Stuff'!BI:CJ,12,FALSE)</f>
        <v>0</v>
      </c>
      <c r="O310" s="223">
        <f>VLOOKUP(C310,'Talente &amp; Stuff'!BI:CJ,13,FALSE)</f>
        <v>0</v>
      </c>
      <c r="P310" s="224">
        <f>VLOOKUP(C310,'Talente &amp; Stuff'!BI:CJ,14,FALSE)</f>
        <v>0</v>
      </c>
      <c r="Q310" s="237">
        <f>VLOOKUP(C310,'Talente &amp; Stuff'!BI:CJ,15,FALSE)</f>
        <v>0</v>
      </c>
      <c r="R310" s="234">
        <f>VLOOKUP(C310,'Talente &amp; Stuff'!BI:CJ,16,FALSE)</f>
        <v>0</v>
      </c>
      <c r="S310" s="224">
        <f>VLOOKUP(C310,'Talente &amp; Stuff'!BI:CJ,17,FALSE)</f>
        <v>0</v>
      </c>
      <c r="T310" s="224">
        <f>VLOOKUP(C310,'Talente &amp; Stuff'!BI:CJ,18,FALSE)</f>
        <v>0</v>
      </c>
      <c r="U310" s="222">
        <f>VLOOKUP(C310,'Talente &amp; Stuff'!BI:CJ,19,FALSE)</f>
        <v>0</v>
      </c>
      <c r="V310" s="223">
        <f>VLOOKUP(C310,'Talente &amp; Stuff'!BI:CJ,20,FALSE)</f>
        <v>0</v>
      </c>
      <c r="W310" s="243">
        <f>VLOOKUP(C310,'Talente &amp; Stuff'!BI:CJ,21,FALSE)</f>
        <v>0</v>
      </c>
      <c r="X310" s="243">
        <f>VLOOKUP(C310,'Talente &amp; Stuff'!BI:CJ,22,FALSE)</f>
        <v>0</v>
      </c>
      <c r="Y310" s="252">
        <f>VLOOKUP(C310,Ausgewählte_Zauber_Zauberbarden,81,FALSE)</f>
        <v>0</v>
      </c>
      <c r="Z310" s="309">
        <f>VLOOKUP(C310,Ausgewählte_Zauber_Zauberbarden,82,FALSE)</f>
        <v>0</v>
      </c>
      <c r="AA310" s="218">
        <f>VLOOKUP(C310,'Talente &amp; Stuff'!BI:CJ,25,FALSE)</f>
        <v>0</v>
      </c>
      <c r="AB310" s="242">
        <f>VLOOKUP(C310,'Talente &amp; Stuff'!BI:CJ,26,FALSE)</f>
        <v>0</v>
      </c>
      <c r="AC310" s="243">
        <f>VLOOKUP(C310,'Talente &amp; Stuff'!BI:CJ,27,FALSE)</f>
        <v>0</v>
      </c>
      <c r="AD310" s="218">
        <f>VLOOKUP(C310,'Talente &amp; Stuff'!BI:CJ,28,FALSE)</f>
        <v>0</v>
      </c>
      <c r="AE310" s="343"/>
    </row>
    <row r="311" spans="1:31" s="217" customFormat="1" hidden="1" outlineLevel="2">
      <c r="A311" s="185"/>
      <c r="B311" s="217">
        <v>14</v>
      </c>
      <c r="C311" s="303" t="str">
        <f>Attribute!C311</f>
        <v>---</v>
      </c>
      <c r="D311" s="218" t="str">
        <f>VLOOKUP(C311,'Talente &amp; Stuff'!BI:CJ,2,FALSE)</f>
        <v>--/--/--</v>
      </c>
      <c r="E311" s="243" t="str">
        <f>VLOOKUP(C311,'Talente &amp; Stuff'!BI:CJ,3,FALSE)</f>
        <v>-</v>
      </c>
      <c r="F311" s="237">
        <f>VLOOKUP(C311,'Talente &amp; Stuff'!BI:CJ,4,FALSE)</f>
        <v>0</v>
      </c>
      <c r="G311" s="234">
        <f>VLOOKUP(C311,'Talente &amp; Stuff'!BI:CJ,5,FALSE)</f>
        <v>0</v>
      </c>
      <c r="H311" s="234">
        <f>VLOOKUP(C311,'Talente &amp; Stuff'!BI:CJ,6,FALSE)</f>
        <v>0</v>
      </c>
      <c r="I311" s="234">
        <f>VLOOKUP(C311,'Talente &amp; Stuff'!BI:CJ,7,FALSE)</f>
        <v>0</v>
      </c>
      <c r="J311" s="234">
        <f>VLOOKUP(C311,'Talente &amp; Stuff'!BI:CJ,8,FALSE)</f>
        <v>0</v>
      </c>
      <c r="K311" s="234">
        <f>VLOOKUP(C311,'Talente &amp; Stuff'!BI:CJ,9,FALSE)</f>
        <v>0</v>
      </c>
      <c r="L311" s="234">
        <f>VLOOKUP(C311,'Talente &amp; Stuff'!BI:CJ,10,FALSE)</f>
        <v>0</v>
      </c>
      <c r="M311" s="224">
        <f>VLOOKUP(C311,'Talente &amp; Stuff'!BI:CJ,11,FALSE)</f>
        <v>0</v>
      </c>
      <c r="N311" s="223">
        <f>VLOOKUP(C311,'Talente &amp; Stuff'!BI:CJ,12,FALSE)</f>
        <v>0</v>
      </c>
      <c r="O311" s="223">
        <f>VLOOKUP(C311,'Talente &amp; Stuff'!BI:CJ,13,FALSE)</f>
        <v>0</v>
      </c>
      <c r="P311" s="224">
        <f>VLOOKUP(C311,'Talente &amp; Stuff'!BI:CJ,14,FALSE)</f>
        <v>0</v>
      </c>
      <c r="Q311" s="237">
        <f>VLOOKUP(C311,'Talente &amp; Stuff'!BI:CJ,15,FALSE)</f>
        <v>0</v>
      </c>
      <c r="R311" s="234">
        <f>VLOOKUP(C311,'Talente &amp; Stuff'!BI:CJ,16,FALSE)</f>
        <v>0</v>
      </c>
      <c r="S311" s="224">
        <f>VLOOKUP(C311,'Talente &amp; Stuff'!BI:CJ,17,FALSE)</f>
        <v>0</v>
      </c>
      <c r="T311" s="224">
        <f>VLOOKUP(C311,'Talente &amp; Stuff'!BI:CJ,18,FALSE)</f>
        <v>0</v>
      </c>
      <c r="U311" s="222">
        <f>VLOOKUP(C311,'Talente &amp; Stuff'!BI:CJ,19,FALSE)</f>
        <v>0</v>
      </c>
      <c r="V311" s="223">
        <f>VLOOKUP(C311,'Talente &amp; Stuff'!BI:CJ,20,FALSE)</f>
        <v>0</v>
      </c>
      <c r="W311" s="243">
        <f>VLOOKUP(C311,'Talente &amp; Stuff'!BI:CJ,21,FALSE)</f>
        <v>0</v>
      </c>
      <c r="X311" s="243">
        <f>VLOOKUP(C311,'Talente &amp; Stuff'!BI:CJ,22,FALSE)</f>
        <v>0</v>
      </c>
      <c r="Y311" s="252">
        <f>VLOOKUP(C311,Ausgewählte_Zauber_Zauberbarden,81,FALSE)</f>
        <v>0</v>
      </c>
      <c r="Z311" s="309">
        <f>VLOOKUP(C311,Ausgewählte_Zauber_Zauberbarden,82,FALSE)</f>
        <v>0</v>
      </c>
      <c r="AA311" s="218">
        <f>VLOOKUP(C311,'Talente &amp; Stuff'!BI:CJ,25,FALSE)</f>
        <v>0</v>
      </c>
      <c r="AB311" s="242">
        <f>VLOOKUP(C311,'Talente &amp; Stuff'!BI:CJ,26,FALSE)</f>
        <v>0</v>
      </c>
      <c r="AC311" s="243">
        <f>VLOOKUP(C311,'Talente &amp; Stuff'!BI:CJ,27,FALSE)</f>
        <v>0</v>
      </c>
      <c r="AD311" s="218">
        <f>VLOOKUP(C311,'Talente &amp; Stuff'!BI:CJ,28,FALSE)</f>
        <v>0</v>
      </c>
      <c r="AE311" s="343"/>
    </row>
    <row r="312" spans="1:31" s="217" customFormat="1" hidden="1" outlineLevel="2">
      <c r="A312" s="185"/>
      <c r="B312" s="217">
        <v>15</v>
      </c>
      <c r="C312" s="303" t="str">
        <f>Attribute!C312</f>
        <v>---</v>
      </c>
      <c r="D312" s="218" t="str">
        <f>VLOOKUP(C312,'Talente &amp; Stuff'!BI:CJ,2,FALSE)</f>
        <v>--/--/--</v>
      </c>
      <c r="E312" s="243" t="str">
        <f>VLOOKUP(C312,'Talente &amp; Stuff'!BI:CJ,3,FALSE)</f>
        <v>-</v>
      </c>
      <c r="F312" s="237">
        <f>VLOOKUP(C312,'Talente &amp; Stuff'!BI:CJ,4,FALSE)</f>
        <v>0</v>
      </c>
      <c r="G312" s="234">
        <f>VLOOKUP(C312,'Talente &amp; Stuff'!BI:CJ,5,FALSE)</f>
        <v>0</v>
      </c>
      <c r="H312" s="234">
        <f>VLOOKUP(C312,'Talente &amp; Stuff'!BI:CJ,6,FALSE)</f>
        <v>0</v>
      </c>
      <c r="I312" s="234">
        <f>VLOOKUP(C312,'Talente &amp; Stuff'!BI:CJ,7,FALSE)</f>
        <v>0</v>
      </c>
      <c r="J312" s="234">
        <f>VLOOKUP(C312,'Talente &amp; Stuff'!BI:CJ,8,FALSE)</f>
        <v>0</v>
      </c>
      <c r="K312" s="234">
        <f>VLOOKUP(C312,'Talente &amp; Stuff'!BI:CJ,9,FALSE)</f>
        <v>0</v>
      </c>
      <c r="L312" s="234">
        <f>VLOOKUP(C312,'Talente &amp; Stuff'!BI:CJ,10,FALSE)</f>
        <v>0</v>
      </c>
      <c r="M312" s="224">
        <f>VLOOKUP(C312,'Talente &amp; Stuff'!BI:CJ,11,FALSE)</f>
        <v>0</v>
      </c>
      <c r="N312" s="223">
        <f>VLOOKUP(C312,'Talente &amp; Stuff'!BI:CJ,12,FALSE)</f>
        <v>0</v>
      </c>
      <c r="O312" s="223">
        <f>VLOOKUP(C312,'Talente &amp; Stuff'!BI:CJ,13,FALSE)</f>
        <v>0</v>
      </c>
      <c r="P312" s="224">
        <f>VLOOKUP(C312,'Talente &amp; Stuff'!BI:CJ,14,FALSE)</f>
        <v>0</v>
      </c>
      <c r="Q312" s="237">
        <f>VLOOKUP(C312,'Talente &amp; Stuff'!BI:CJ,15,FALSE)</f>
        <v>0</v>
      </c>
      <c r="R312" s="234">
        <f>VLOOKUP(C312,'Talente &amp; Stuff'!BI:CJ,16,FALSE)</f>
        <v>0</v>
      </c>
      <c r="S312" s="224">
        <f>VLOOKUP(C312,'Talente &amp; Stuff'!BI:CJ,17,FALSE)</f>
        <v>0</v>
      </c>
      <c r="T312" s="224">
        <f>VLOOKUP(C312,'Talente &amp; Stuff'!BI:CJ,18,FALSE)</f>
        <v>0</v>
      </c>
      <c r="U312" s="222">
        <f>VLOOKUP(C312,'Talente &amp; Stuff'!BI:CJ,19,FALSE)</f>
        <v>0</v>
      </c>
      <c r="V312" s="223">
        <f>VLOOKUP(C312,'Talente &amp; Stuff'!BI:CJ,20,FALSE)</f>
        <v>0</v>
      </c>
      <c r="W312" s="243">
        <f>VLOOKUP(C312,'Talente &amp; Stuff'!BI:CJ,21,FALSE)</f>
        <v>0</v>
      </c>
      <c r="X312" s="243">
        <f>VLOOKUP(C312,'Talente &amp; Stuff'!BI:CJ,22,FALSE)</f>
        <v>0</v>
      </c>
      <c r="Y312" s="252">
        <f>VLOOKUP(C312,Ausgewählte_Zauber_Zauberbarden,81,FALSE)</f>
        <v>0</v>
      </c>
      <c r="Z312" s="309">
        <f>VLOOKUP(C312,Ausgewählte_Zauber_Zauberbarden,82,FALSE)</f>
        <v>0</v>
      </c>
      <c r="AA312" s="218">
        <f>VLOOKUP(C312,'Talente &amp; Stuff'!BI:CJ,25,FALSE)</f>
        <v>0</v>
      </c>
      <c r="AB312" s="242">
        <f>VLOOKUP(C312,'Talente &amp; Stuff'!BI:CJ,26,FALSE)</f>
        <v>0</v>
      </c>
      <c r="AC312" s="243">
        <f>VLOOKUP(C312,'Talente &amp; Stuff'!BI:CJ,27,FALSE)</f>
        <v>0</v>
      </c>
      <c r="AD312" s="218">
        <f>VLOOKUP(C312,'Talente &amp; Stuff'!BI:CJ,28,FALSE)</f>
        <v>0</v>
      </c>
      <c r="AE312" s="343"/>
    </row>
    <row r="313" spans="1:31" s="217" customFormat="1" hidden="1" outlineLevel="2">
      <c r="A313" s="185"/>
      <c r="B313" s="217">
        <v>16</v>
      </c>
      <c r="C313" s="303" t="str">
        <f>Attribute!C313</f>
        <v>---</v>
      </c>
      <c r="D313" s="304" t="str">
        <f>VLOOKUP(C313,'Talente &amp; Stuff'!BI:CJ,2,FALSE)</f>
        <v>--/--/--</v>
      </c>
      <c r="E313" s="305" t="str">
        <f>VLOOKUP(C313,'Talente &amp; Stuff'!BI:CJ,3,FALSE)</f>
        <v>-</v>
      </c>
      <c r="F313" s="317">
        <f>VLOOKUP(C313,'Talente &amp; Stuff'!BI:CJ,4,FALSE)</f>
        <v>0</v>
      </c>
      <c r="G313" s="254">
        <f>VLOOKUP(C313,'Talente &amp; Stuff'!BI:CJ,5,FALSE)</f>
        <v>0</v>
      </c>
      <c r="H313" s="254">
        <f>VLOOKUP(C313,'Talente &amp; Stuff'!BI:CJ,6,FALSE)</f>
        <v>0</v>
      </c>
      <c r="I313" s="254">
        <f>VLOOKUP(C313,'Talente &amp; Stuff'!BI:CJ,7,FALSE)</f>
        <v>0</v>
      </c>
      <c r="J313" s="254">
        <f>VLOOKUP(C313,'Talente &amp; Stuff'!BI:CJ,8,FALSE)</f>
        <v>0</v>
      </c>
      <c r="K313" s="254">
        <f>VLOOKUP(C313,'Talente &amp; Stuff'!BI:CJ,9,FALSE)</f>
        <v>0</v>
      </c>
      <c r="L313" s="254">
        <f>VLOOKUP(C313,'Talente &amp; Stuff'!BI:CJ,10,FALSE)</f>
        <v>0</v>
      </c>
      <c r="M313" s="318">
        <f>VLOOKUP(C313,'Talente &amp; Stuff'!BI:CJ,11,FALSE)</f>
        <v>0</v>
      </c>
      <c r="N313" s="223">
        <f>VLOOKUP(C313,'Talente &amp; Stuff'!BI:CJ,12,FALSE)</f>
        <v>0</v>
      </c>
      <c r="O313" s="223">
        <f>VLOOKUP(C313,'Talente &amp; Stuff'!BI:CJ,13,FALSE)</f>
        <v>0</v>
      </c>
      <c r="P313" s="224">
        <f>VLOOKUP(C313,'Talente &amp; Stuff'!BI:CJ,14,FALSE)</f>
        <v>0</v>
      </c>
      <c r="Q313" s="237">
        <f>VLOOKUP(C313,'Talente &amp; Stuff'!BI:CJ,15,FALSE)</f>
        <v>0</v>
      </c>
      <c r="R313" s="254">
        <f>VLOOKUP(C313,'Talente &amp; Stuff'!BI:CJ,16,FALSE)</f>
        <v>0</v>
      </c>
      <c r="S313" s="224">
        <f>VLOOKUP(C313,'Talente &amp; Stuff'!BI:CJ,17,FALSE)</f>
        <v>0</v>
      </c>
      <c r="T313" s="224">
        <f>VLOOKUP(C313,'Talente &amp; Stuff'!BI:CJ,18,FALSE)</f>
        <v>0</v>
      </c>
      <c r="U313" s="222">
        <f>VLOOKUP(C313,'Talente &amp; Stuff'!BI:CJ,19,FALSE)</f>
        <v>0</v>
      </c>
      <c r="V313" s="223">
        <f>VLOOKUP(C313,'Talente &amp; Stuff'!BI:CJ,20,FALSE)</f>
        <v>0</v>
      </c>
      <c r="W313" s="243">
        <f>VLOOKUP(C313,'Talente &amp; Stuff'!BI:CJ,21,FALSE)</f>
        <v>0</v>
      </c>
      <c r="X313" s="243">
        <f>VLOOKUP(C313,'Talente &amp; Stuff'!BI:CJ,22,FALSE)</f>
        <v>0</v>
      </c>
      <c r="Y313" s="252">
        <f>VLOOKUP(C313,Ausgewählte_Zauber_Zauberbarden,81,FALSE)</f>
        <v>0</v>
      </c>
      <c r="Z313" s="309">
        <f>VLOOKUP(C313,Ausgewählte_Zauber_Zauberbarden,82,FALSE)</f>
        <v>0</v>
      </c>
      <c r="AA313" s="218">
        <f>VLOOKUP(C313,'Talente &amp; Stuff'!BI:CJ,25,FALSE)</f>
        <v>0</v>
      </c>
      <c r="AB313" s="242">
        <f>VLOOKUP(C313,'Talente &amp; Stuff'!BI:CJ,26,FALSE)</f>
        <v>0</v>
      </c>
      <c r="AC313" s="243">
        <f>VLOOKUP(C313,'Talente &amp; Stuff'!BI:CJ,27,FALSE)</f>
        <v>0</v>
      </c>
      <c r="AD313" s="218">
        <f>VLOOKUP(C313,'Talente &amp; Stuff'!BI:CJ,28,FALSE)</f>
        <v>0</v>
      </c>
      <c r="AE313" s="343"/>
    </row>
    <row r="314" spans="1:31" s="217" customFormat="1" hidden="1" outlineLevel="2">
      <c r="A314" s="185"/>
      <c r="B314" s="217">
        <v>17</v>
      </c>
      <c r="C314" s="303" t="str">
        <f>Attribute!C314</f>
        <v>---</v>
      </c>
      <c r="D314" s="218" t="str">
        <f>VLOOKUP(C314,'Talente &amp; Stuff'!BI:CJ,2,FALSE)</f>
        <v>--/--/--</v>
      </c>
      <c r="E314" s="243" t="str">
        <f>VLOOKUP(C314,'Talente &amp; Stuff'!BI:CJ,3,FALSE)</f>
        <v>-</v>
      </c>
      <c r="F314" s="237">
        <f>VLOOKUP(C314,'Talente &amp; Stuff'!BI:CJ,4,FALSE)</f>
        <v>0</v>
      </c>
      <c r="G314" s="234">
        <f>VLOOKUP(C314,'Talente &amp; Stuff'!BI:CJ,5,FALSE)</f>
        <v>0</v>
      </c>
      <c r="H314" s="234">
        <f>VLOOKUP(C314,'Talente &amp; Stuff'!BI:CJ,6,FALSE)</f>
        <v>0</v>
      </c>
      <c r="I314" s="234">
        <f>VLOOKUP(C314,'Talente &amp; Stuff'!BI:CJ,7,FALSE)</f>
        <v>0</v>
      </c>
      <c r="J314" s="234">
        <f>VLOOKUP(C314,'Talente &amp; Stuff'!BI:CJ,8,FALSE)</f>
        <v>0</v>
      </c>
      <c r="K314" s="234">
        <f>VLOOKUP(C314,'Talente &amp; Stuff'!BI:CJ,9,FALSE)</f>
        <v>0</v>
      </c>
      <c r="L314" s="234">
        <f>VLOOKUP(C314,'Talente &amp; Stuff'!BI:CJ,10,FALSE)</f>
        <v>0</v>
      </c>
      <c r="M314" s="224">
        <f>VLOOKUP(C314,'Talente &amp; Stuff'!BI:CJ,11,FALSE)</f>
        <v>0</v>
      </c>
      <c r="N314" s="223">
        <f>VLOOKUP(C314,'Talente &amp; Stuff'!BI:CJ,12,FALSE)</f>
        <v>0</v>
      </c>
      <c r="O314" s="223">
        <f>VLOOKUP(C314,'Talente &amp; Stuff'!BI:CJ,13,FALSE)</f>
        <v>0</v>
      </c>
      <c r="P314" s="224">
        <f>VLOOKUP(C314,'Talente &amp; Stuff'!BI:CJ,14,FALSE)</f>
        <v>0</v>
      </c>
      <c r="Q314" s="237">
        <f>VLOOKUP(C314,'Talente &amp; Stuff'!BI:CJ,15,FALSE)</f>
        <v>0</v>
      </c>
      <c r="R314" s="234">
        <f>VLOOKUP(C314,'Talente &amp; Stuff'!BI:CJ,16,FALSE)</f>
        <v>0</v>
      </c>
      <c r="S314" s="224">
        <f>VLOOKUP(C314,'Talente &amp; Stuff'!BI:CJ,17,FALSE)</f>
        <v>0</v>
      </c>
      <c r="T314" s="224">
        <f>VLOOKUP(C314,'Talente &amp; Stuff'!BI:CJ,18,FALSE)</f>
        <v>0</v>
      </c>
      <c r="U314" s="222">
        <f>VLOOKUP(C314,'Talente &amp; Stuff'!BI:CJ,19,FALSE)</f>
        <v>0</v>
      </c>
      <c r="V314" s="223">
        <f>VLOOKUP(C314,'Talente &amp; Stuff'!BI:CJ,20,FALSE)</f>
        <v>0</v>
      </c>
      <c r="W314" s="243">
        <f>VLOOKUP(C314,'Talente &amp; Stuff'!BI:CJ,21,FALSE)</f>
        <v>0</v>
      </c>
      <c r="X314" s="243">
        <f>VLOOKUP(C314,'Talente &amp; Stuff'!BI:CJ,22,FALSE)</f>
        <v>0</v>
      </c>
      <c r="Y314" s="252">
        <f>VLOOKUP(C314,Ausgewählte_Zauber_Zauberbarden,81,FALSE)</f>
        <v>0</v>
      </c>
      <c r="Z314" s="309">
        <f>VLOOKUP(C314,Ausgewählte_Zauber_Zauberbarden,82,FALSE)</f>
        <v>0</v>
      </c>
      <c r="AA314" s="218">
        <f>VLOOKUP(C314,'Talente &amp; Stuff'!BI:CJ,25,FALSE)</f>
        <v>0</v>
      </c>
      <c r="AB314" s="242">
        <f>VLOOKUP(C314,'Talente &amp; Stuff'!BI:CJ,26,FALSE)</f>
        <v>0</v>
      </c>
      <c r="AC314" s="243">
        <f>VLOOKUP(C314,'Talente &amp; Stuff'!BI:CJ,27,FALSE)</f>
        <v>0</v>
      </c>
      <c r="AD314" s="218">
        <f>VLOOKUP(C314,'Talente &amp; Stuff'!BI:CJ,28,FALSE)</f>
        <v>0</v>
      </c>
      <c r="AE314" s="343"/>
    </row>
    <row r="315" spans="1:31" s="217" customFormat="1" hidden="1" outlineLevel="2">
      <c r="A315" s="185"/>
      <c r="B315" s="217">
        <v>18</v>
      </c>
      <c r="C315" s="303" t="str">
        <f>Attribute!C315</f>
        <v>---</v>
      </c>
      <c r="D315" s="218" t="str">
        <f>VLOOKUP(C315,'Talente &amp; Stuff'!BI:CJ,2,FALSE)</f>
        <v>--/--/--</v>
      </c>
      <c r="E315" s="243" t="str">
        <f>VLOOKUP(C315,'Talente &amp; Stuff'!BI:CJ,3,FALSE)</f>
        <v>-</v>
      </c>
      <c r="F315" s="237">
        <f>VLOOKUP(C315,'Talente &amp; Stuff'!BI:CJ,4,FALSE)</f>
        <v>0</v>
      </c>
      <c r="G315" s="234">
        <f>VLOOKUP(C315,'Talente &amp; Stuff'!BI:CJ,5,FALSE)</f>
        <v>0</v>
      </c>
      <c r="H315" s="234">
        <f>VLOOKUP(C315,'Talente &amp; Stuff'!BI:CJ,6,FALSE)</f>
        <v>0</v>
      </c>
      <c r="I315" s="234">
        <f>VLOOKUP(C315,'Talente &amp; Stuff'!BI:CJ,7,FALSE)</f>
        <v>0</v>
      </c>
      <c r="J315" s="234">
        <f>VLOOKUP(C315,'Talente &amp; Stuff'!BI:CJ,8,FALSE)</f>
        <v>0</v>
      </c>
      <c r="K315" s="234">
        <f>VLOOKUP(C315,'Talente &amp; Stuff'!BI:CJ,9,FALSE)</f>
        <v>0</v>
      </c>
      <c r="L315" s="234">
        <f>VLOOKUP(C315,'Talente &amp; Stuff'!BI:CJ,10,FALSE)</f>
        <v>0</v>
      </c>
      <c r="M315" s="224">
        <f>VLOOKUP(C315,'Talente &amp; Stuff'!BI:CJ,11,FALSE)</f>
        <v>0</v>
      </c>
      <c r="N315" s="223">
        <f>VLOOKUP(C315,'Talente &amp; Stuff'!BI:CJ,12,FALSE)</f>
        <v>0</v>
      </c>
      <c r="O315" s="223">
        <f>VLOOKUP(C315,'Talente &amp; Stuff'!BI:CJ,13,FALSE)</f>
        <v>0</v>
      </c>
      <c r="P315" s="224">
        <f>VLOOKUP(C315,'Talente &amp; Stuff'!BI:CJ,14,FALSE)</f>
        <v>0</v>
      </c>
      <c r="Q315" s="237">
        <f>VLOOKUP(C315,'Talente &amp; Stuff'!BI:CJ,15,FALSE)</f>
        <v>0</v>
      </c>
      <c r="R315" s="234">
        <f>VLOOKUP(C315,'Talente &amp; Stuff'!BI:CJ,16,FALSE)</f>
        <v>0</v>
      </c>
      <c r="S315" s="224">
        <f>VLOOKUP(C315,'Talente &amp; Stuff'!BI:CJ,17,FALSE)</f>
        <v>0</v>
      </c>
      <c r="T315" s="224">
        <f>VLOOKUP(C315,'Talente &amp; Stuff'!BI:CJ,18,FALSE)</f>
        <v>0</v>
      </c>
      <c r="U315" s="222">
        <f>VLOOKUP(C315,'Talente &amp; Stuff'!BI:CJ,19,FALSE)</f>
        <v>0</v>
      </c>
      <c r="V315" s="223">
        <f>VLOOKUP(C315,'Talente &amp; Stuff'!BI:CJ,20,FALSE)</f>
        <v>0</v>
      </c>
      <c r="W315" s="243">
        <f>VLOOKUP(C315,'Talente &amp; Stuff'!BI:CJ,21,FALSE)</f>
        <v>0</v>
      </c>
      <c r="X315" s="243">
        <f>VLOOKUP(C315,'Talente &amp; Stuff'!BI:CJ,22,FALSE)</f>
        <v>0</v>
      </c>
      <c r="Y315" s="252">
        <f>VLOOKUP(C315,Ausgewählte_Zauber_Zauberbarden,81,FALSE)</f>
        <v>0</v>
      </c>
      <c r="Z315" s="309">
        <f>VLOOKUP(C315,Ausgewählte_Zauber_Zauberbarden,82,FALSE)</f>
        <v>0</v>
      </c>
      <c r="AA315" s="218">
        <f>VLOOKUP(C315,'Talente &amp; Stuff'!BI:CJ,25,FALSE)</f>
        <v>0</v>
      </c>
      <c r="AB315" s="242">
        <f>VLOOKUP(C315,'Talente &amp; Stuff'!BI:CJ,26,FALSE)</f>
        <v>0</v>
      </c>
      <c r="AC315" s="243">
        <f>VLOOKUP(C315,'Talente &amp; Stuff'!BI:CJ,27,FALSE)</f>
        <v>0</v>
      </c>
      <c r="AD315" s="218">
        <f>VLOOKUP(C315,'Talente &amp; Stuff'!BI:CJ,28,FALSE)</f>
        <v>0</v>
      </c>
      <c r="AE315" s="343"/>
    </row>
    <row r="316" spans="1:31" s="217" customFormat="1" hidden="1" outlineLevel="2">
      <c r="A316" s="185"/>
      <c r="B316" s="217">
        <v>19</v>
      </c>
      <c r="C316" s="303" t="str">
        <f>Attribute!C316</f>
        <v>---</v>
      </c>
      <c r="D316" s="218" t="str">
        <f>VLOOKUP(C316,'Talente &amp; Stuff'!BI:CJ,2,FALSE)</f>
        <v>--/--/--</v>
      </c>
      <c r="E316" s="243" t="str">
        <f>VLOOKUP(C316,'Talente &amp; Stuff'!BI:CJ,3,FALSE)</f>
        <v>-</v>
      </c>
      <c r="F316" s="237">
        <f>VLOOKUP(C316,'Talente &amp; Stuff'!BI:CJ,4,FALSE)</f>
        <v>0</v>
      </c>
      <c r="G316" s="234">
        <f>VLOOKUP(C316,'Talente &amp; Stuff'!BI:CJ,5,FALSE)</f>
        <v>0</v>
      </c>
      <c r="H316" s="234">
        <f>VLOOKUP(C316,'Talente &amp; Stuff'!BI:CJ,6,FALSE)</f>
        <v>0</v>
      </c>
      <c r="I316" s="234">
        <f>VLOOKUP(C316,'Talente &amp; Stuff'!BI:CJ,7,FALSE)</f>
        <v>0</v>
      </c>
      <c r="J316" s="234">
        <f>VLOOKUP(C316,'Talente &amp; Stuff'!BI:CJ,8,FALSE)</f>
        <v>0</v>
      </c>
      <c r="K316" s="234">
        <f>VLOOKUP(C316,'Talente &amp; Stuff'!BI:CJ,9,FALSE)</f>
        <v>0</v>
      </c>
      <c r="L316" s="234">
        <f>VLOOKUP(C316,'Talente &amp; Stuff'!BI:CJ,10,FALSE)</f>
        <v>0</v>
      </c>
      <c r="M316" s="224">
        <f>VLOOKUP(C316,'Talente &amp; Stuff'!BI:CJ,11,FALSE)</f>
        <v>0</v>
      </c>
      <c r="N316" s="223">
        <f>VLOOKUP(C316,'Talente &amp; Stuff'!BI:CJ,12,FALSE)</f>
        <v>0</v>
      </c>
      <c r="O316" s="223">
        <f>VLOOKUP(C316,'Talente &amp; Stuff'!BI:CJ,13,FALSE)</f>
        <v>0</v>
      </c>
      <c r="P316" s="224">
        <f>VLOOKUP(C316,'Talente &amp; Stuff'!BI:CJ,14,FALSE)</f>
        <v>0</v>
      </c>
      <c r="Q316" s="237">
        <f>VLOOKUP(C316,'Talente &amp; Stuff'!BI:CJ,15,FALSE)</f>
        <v>0</v>
      </c>
      <c r="R316" s="234">
        <f>VLOOKUP(C316,'Talente &amp; Stuff'!BI:CJ,16,FALSE)</f>
        <v>0</v>
      </c>
      <c r="S316" s="224">
        <f>VLOOKUP(C316,'Talente &amp; Stuff'!BI:CJ,17,FALSE)</f>
        <v>0</v>
      </c>
      <c r="T316" s="224">
        <f>VLOOKUP(C316,'Talente &amp; Stuff'!BI:CJ,18,FALSE)</f>
        <v>0</v>
      </c>
      <c r="U316" s="222">
        <f>VLOOKUP(C316,'Talente &amp; Stuff'!BI:CJ,19,FALSE)</f>
        <v>0</v>
      </c>
      <c r="V316" s="223">
        <f>VLOOKUP(C316,'Talente &amp; Stuff'!BI:CJ,20,FALSE)</f>
        <v>0</v>
      </c>
      <c r="W316" s="243">
        <f>VLOOKUP(C316,'Talente &amp; Stuff'!BI:CJ,21,FALSE)</f>
        <v>0</v>
      </c>
      <c r="X316" s="243">
        <f>VLOOKUP(C316,'Talente &amp; Stuff'!BI:CJ,22,FALSE)</f>
        <v>0</v>
      </c>
      <c r="Y316" s="252">
        <f>VLOOKUP(C316,Ausgewählte_Zauber_Zauberbarden,81,FALSE)</f>
        <v>0</v>
      </c>
      <c r="Z316" s="309">
        <f>VLOOKUP(C316,Ausgewählte_Zauber_Zauberbarden,82,FALSE)</f>
        <v>0</v>
      </c>
      <c r="AA316" s="218">
        <f>VLOOKUP(C316,'Talente &amp; Stuff'!BI:CJ,25,FALSE)</f>
        <v>0</v>
      </c>
      <c r="AB316" s="242">
        <f>VLOOKUP(C316,'Talente &amp; Stuff'!BI:CJ,26,FALSE)</f>
        <v>0</v>
      </c>
      <c r="AC316" s="243">
        <f>VLOOKUP(C316,'Talente &amp; Stuff'!BI:CJ,27,FALSE)</f>
        <v>0</v>
      </c>
      <c r="AD316" s="218">
        <f>VLOOKUP(C316,'Talente &amp; Stuff'!BI:CJ,28,FALSE)</f>
        <v>0</v>
      </c>
      <c r="AE316" s="343"/>
    </row>
    <row r="317" spans="1:31" s="217" customFormat="1" hidden="1" outlineLevel="2">
      <c r="A317" s="185"/>
      <c r="B317" s="217">
        <v>20</v>
      </c>
      <c r="C317" s="303" t="str">
        <f>Attribute!C317</f>
        <v>---</v>
      </c>
      <c r="D317" s="218" t="str">
        <f>VLOOKUP(C317,'Talente &amp; Stuff'!BI:CJ,2,FALSE)</f>
        <v>--/--/--</v>
      </c>
      <c r="E317" s="243" t="str">
        <f>VLOOKUP(C317,'Talente &amp; Stuff'!BI:CJ,3,FALSE)</f>
        <v>-</v>
      </c>
      <c r="F317" s="237">
        <f>VLOOKUP(C317,'Talente &amp; Stuff'!BI:CJ,4,FALSE)</f>
        <v>0</v>
      </c>
      <c r="G317" s="234">
        <f>VLOOKUP(C317,'Talente &amp; Stuff'!BI:CJ,5,FALSE)</f>
        <v>0</v>
      </c>
      <c r="H317" s="234">
        <f>VLOOKUP(C317,'Talente &amp; Stuff'!BI:CJ,6,FALSE)</f>
        <v>0</v>
      </c>
      <c r="I317" s="234">
        <f>VLOOKUP(C317,'Talente &amp; Stuff'!BI:CJ,7,FALSE)</f>
        <v>0</v>
      </c>
      <c r="J317" s="234">
        <f>VLOOKUP(C317,'Talente &amp; Stuff'!BI:CJ,8,FALSE)</f>
        <v>0</v>
      </c>
      <c r="K317" s="234">
        <f>VLOOKUP(C317,'Talente &amp; Stuff'!BI:CJ,9,FALSE)</f>
        <v>0</v>
      </c>
      <c r="L317" s="234">
        <f>VLOOKUP(C317,'Talente &amp; Stuff'!BI:CJ,10,FALSE)</f>
        <v>0</v>
      </c>
      <c r="M317" s="224">
        <f>VLOOKUP(C317,'Talente &amp; Stuff'!BI:CJ,11,FALSE)</f>
        <v>0</v>
      </c>
      <c r="N317" s="223">
        <f>VLOOKUP(C317,'Talente &amp; Stuff'!BI:CJ,12,FALSE)</f>
        <v>0</v>
      </c>
      <c r="O317" s="223">
        <f>VLOOKUP(C317,'Talente &amp; Stuff'!BI:CJ,13,FALSE)</f>
        <v>0</v>
      </c>
      <c r="P317" s="224">
        <f>VLOOKUP(C317,'Talente &amp; Stuff'!BI:CJ,14,FALSE)</f>
        <v>0</v>
      </c>
      <c r="Q317" s="237">
        <f>VLOOKUP(C317,'Talente &amp; Stuff'!BI:CJ,15,FALSE)</f>
        <v>0</v>
      </c>
      <c r="R317" s="234">
        <f>VLOOKUP(C317,'Talente &amp; Stuff'!BI:CJ,16,FALSE)</f>
        <v>0</v>
      </c>
      <c r="S317" s="224">
        <f>VLOOKUP(C317,'Talente &amp; Stuff'!BI:CJ,17,FALSE)</f>
        <v>0</v>
      </c>
      <c r="T317" s="224">
        <f>VLOOKUP(C317,'Talente &amp; Stuff'!BI:CJ,18,FALSE)</f>
        <v>0</v>
      </c>
      <c r="U317" s="222">
        <f>VLOOKUP(C317,'Talente &amp; Stuff'!BI:CJ,19,FALSE)</f>
        <v>0</v>
      </c>
      <c r="V317" s="223">
        <f>VLOOKUP(C317,'Talente &amp; Stuff'!BI:CJ,20,FALSE)</f>
        <v>0</v>
      </c>
      <c r="W317" s="243">
        <f>VLOOKUP(C317,'Talente &amp; Stuff'!BI:CJ,21,FALSE)</f>
        <v>0</v>
      </c>
      <c r="X317" s="243">
        <f>VLOOKUP(C317,'Talente &amp; Stuff'!BI:CJ,22,FALSE)</f>
        <v>0</v>
      </c>
      <c r="Y317" s="252">
        <f>VLOOKUP(C317,Ausgewählte_Zauber_Zauberbarden,81,FALSE)</f>
        <v>0</v>
      </c>
      <c r="Z317" s="309">
        <f>VLOOKUP(C317,Ausgewählte_Zauber_Zauberbarden,82,FALSE)</f>
        <v>0</v>
      </c>
      <c r="AA317" s="218">
        <f>VLOOKUP(C317,'Talente &amp; Stuff'!BI:CJ,25,FALSE)</f>
        <v>0</v>
      </c>
      <c r="AB317" s="242">
        <f>VLOOKUP(C317,'Talente &amp; Stuff'!BI:CJ,26,FALSE)</f>
        <v>0</v>
      </c>
      <c r="AC317" s="243">
        <f>VLOOKUP(C317,'Talente &amp; Stuff'!BI:CJ,27,FALSE)</f>
        <v>0</v>
      </c>
      <c r="AD317" s="218">
        <f>VLOOKUP(C317,'Talente &amp; Stuff'!BI:CJ,28,FALSE)</f>
        <v>0</v>
      </c>
      <c r="AE317" s="343"/>
    </row>
    <row r="318" spans="1:31" s="217" customFormat="1" hidden="1" outlineLevel="2">
      <c r="A318" s="185"/>
      <c r="B318" s="217">
        <v>21</v>
      </c>
      <c r="C318" s="303" t="str">
        <f>Attribute!C318</f>
        <v>---</v>
      </c>
      <c r="D318" s="218" t="str">
        <f>VLOOKUP(C318,'Talente &amp; Stuff'!BI:CJ,2,FALSE)</f>
        <v>--/--/--</v>
      </c>
      <c r="E318" s="243" t="str">
        <f>VLOOKUP(C318,'Talente &amp; Stuff'!BI:CJ,3,FALSE)</f>
        <v>-</v>
      </c>
      <c r="F318" s="237">
        <f>VLOOKUP(C318,'Talente &amp; Stuff'!BI:CJ,4,FALSE)</f>
        <v>0</v>
      </c>
      <c r="G318" s="234">
        <f>VLOOKUP(C318,'Talente &amp; Stuff'!BI:CJ,5,FALSE)</f>
        <v>0</v>
      </c>
      <c r="H318" s="234">
        <f>VLOOKUP(C318,'Talente &amp; Stuff'!BI:CJ,6,FALSE)</f>
        <v>0</v>
      </c>
      <c r="I318" s="234">
        <f>VLOOKUP(C318,'Talente &amp; Stuff'!BI:CJ,7,FALSE)</f>
        <v>0</v>
      </c>
      <c r="J318" s="234">
        <f>VLOOKUP(C318,'Talente &amp; Stuff'!BI:CJ,8,FALSE)</f>
        <v>0</v>
      </c>
      <c r="K318" s="234">
        <f>VLOOKUP(C318,'Talente &amp; Stuff'!BI:CJ,9,FALSE)</f>
        <v>0</v>
      </c>
      <c r="L318" s="234">
        <f>VLOOKUP(C318,'Talente &amp; Stuff'!BI:CJ,10,FALSE)</f>
        <v>0</v>
      </c>
      <c r="M318" s="224">
        <f>VLOOKUP(C318,'Talente &amp; Stuff'!BI:CJ,11,FALSE)</f>
        <v>0</v>
      </c>
      <c r="N318" s="223">
        <f>VLOOKUP(C318,'Talente &amp; Stuff'!BI:CJ,12,FALSE)</f>
        <v>0</v>
      </c>
      <c r="O318" s="223">
        <f>VLOOKUP(C318,'Talente &amp; Stuff'!BI:CJ,13,FALSE)</f>
        <v>0</v>
      </c>
      <c r="P318" s="224">
        <f>VLOOKUP(C318,'Talente &amp; Stuff'!BI:CJ,14,FALSE)</f>
        <v>0</v>
      </c>
      <c r="Q318" s="237">
        <f>VLOOKUP(C318,'Talente &amp; Stuff'!BI:CJ,15,FALSE)</f>
        <v>0</v>
      </c>
      <c r="R318" s="234">
        <f>VLOOKUP(C318,'Talente &amp; Stuff'!BI:CJ,16,FALSE)</f>
        <v>0</v>
      </c>
      <c r="S318" s="224">
        <f>VLOOKUP(C318,'Talente &amp; Stuff'!BI:CJ,17,FALSE)</f>
        <v>0</v>
      </c>
      <c r="T318" s="224">
        <f>VLOOKUP(C318,'Talente &amp; Stuff'!BI:CJ,18,FALSE)</f>
        <v>0</v>
      </c>
      <c r="U318" s="222">
        <f>VLOOKUP(C318,'Talente &amp; Stuff'!BI:CJ,19,FALSE)</f>
        <v>0</v>
      </c>
      <c r="V318" s="223">
        <f>VLOOKUP(C318,'Talente &amp; Stuff'!BI:CJ,20,FALSE)</f>
        <v>0</v>
      </c>
      <c r="W318" s="243">
        <f>VLOOKUP(C318,'Talente &amp; Stuff'!BI:CJ,21,FALSE)</f>
        <v>0</v>
      </c>
      <c r="X318" s="243">
        <f>VLOOKUP(C318,'Talente &amp; Stuff'!BI:CJ,22,FALSE)</f>
        <v>0</v>
      </c>
      <c r="Y318" s="252">
        <f>VLOOKUP(C318,Ausgewählte_Zauber_Zauberbarden,81,FALSE)</f>
        <v>0</v>
      </c>
      <c r="Z318" s="309">
        <f>VLOOKUP(C318,Ausgewählte_Zauber_Zauberbarden,82,FALSE)</f>
        <v>0</v>
      </c>
      <c r="AA318" s="218">
        <f>VLOOKUP(C318,'Talente &amp; Stuff'!BI:CJ,25,FALSE)</f>
        <v>0</v>
      </c>
      <c r="AB318" s="242">
        <f>VLOOKUP(C318,'Talente &amp; Stuff'!BI:CJ,26,FALSE)</f>
        <v>0</v>
      </c>
      <c r="AC318" s="243">
        <f>VLOOKUP(C318,'Talente &amp; Stuff'!BI:CJ,27,FALSE)</f>
        <v>0</v>
      </c>
      <c r="AD318" s="218">
        <f>VLOOKUP(C318,'Talente &amp; Stuff'!BI:CJ,28,FALSE)</f>
        <v>0</v>
      </c>
      <c r="AE318" s="343"/>
    </row>
    <row r="319" spans="1:31" s="217" customFormat="1" hidden="1" outlineLevel="2">
      <c r="A319" s="185"/>
      <c r="B319" s="217">
        <v>22</v>
      </c>
      <c r="C319" s="303" t="str">
        <f>Attribute!C319</f>
        <v>---</v>
      </c>
      <c r="D319" s="218" t="str">
        <f>VLOOKUP(C319,'Talente &amp; Stuff'!BI:CJ,2,FALSE)</f>
        <v>--/--/--</v>
      </c>
      <c r="E319" s="243" t="str">
        <f>VLOOKUP(C319,'Talente &amp; Stuff'!BI:CJ,3,FALSE)</f>
        <v>-</v>
      </c>
      <c r="F319" s="237">
        <f>VLOOKUP(C319,'Talente &amp; Stuff'!BI:CJ,4,FALSE)</f>
        <v>0</v>
      </c>
      <c r="G319" s="234">
        <f>VLOOKUP(C319,'Talente &amp; Stuff'!BI:CJ,5,FALSE)</f>
        <v>0</v>
      </c>
      <c r="H319" s="234">
        <f>VLOOKUP(C319,'Talente &amp; Stuff'!BI:CJ,6,FALSE)</f>
        <v>0</v>
      </c>
      <c r="I319" s="234">
        <f>VLOOKUP(C319,'Talente &amp; Stuff'!BI:CJ,7,FALSE)</f>
        <v>0</v>
      </c>
      <c r="J319" s="234">
        <f>VLOOKUP(C319,'Talente &amp; Stuff'!BI:CJ,8,FALSE)</f>
        <v>0</v>
      </c>
      <c r="K319" s="234">
        <f>VLOOKUP(C319,'Talente &amp; Stuff'!BI:CJ,9,FALSE)</f>
        <v>0</v>
      </c>
      <c r="L319" s="234">
        <f>VLOOKUP(C319,'Talente &amp; Stuff'!BI:CJ,10,FALSE)</f>
        <v>0</v>
      </c>
      <c r="M319" s="224">
        <f>VLOOKUP(C319,'Talente &amp; Stuff'!BI:CJ,11,FALSE)</f>
        <v>0</v>
      </c>
      <c r="N319" s="223">
        <f>VLOOKUP(C319,'Talente &amp; Stuff'!BI:CJ,12,FALSE)</f>
        <v>0</v>
      </c>
      <c r="O319" s="223">
        <f>VLOOKUP(C319,'Talente &amp; Stuff'!BI:CJ,13,FALSE)</f>
        <v>0</v>
      </c>
      <c r="P319" s="224">
        <f>VLOOKUP(C319,'Talente &amp; Stuff'!BI:CJ,14,FALSE)</f>
        <v>0</v>
      </c>
      <c r="Q319" s="237">
        <f>VLOOKUP(C319,'Talente &amp; Stuff'!BI:CJ,15,FALSE)</f>
        <v>0</v>
      </c>
      <c r="R319" s="234">
        <f>VLOOKUP(C319,'Talente &amp; Stuff'!BI:CJ,16,FALSE)</f>
        <v>0</v>
      </c>
      <c r="S319" s="224">
        <f>VLOOKUP(C319,'Talente &amp; Stuff'!BI:CJ,17,FALSE)</f>
        <v>0</v>
      </c>
      <c r="T319" s="224">
        <f>VLOOKUP(C319,'Talente &amp; Stuff'!BI:CJ,18,FALSE)</f>
        <v>0</v>
      </c>
      <c r="U319" s="222">
        <f>VLOOKUP(C319,'Talente &amp; Stuff'!BI:CJ,19,FALSE)</f>
        <v>0</v>
      </c>
      <c r="V319" s="223">
        <f>VLOOKUP(C319,'Talente &amp; Stuff'!BI:CJ,20,FALSE)</f>
        <v>0</v>
      </c>
      <c r="W319" s="243">
        <f>VLOOKUP(C319,'Talente &amp; Stuff'!BI:CJ,21,FALSE)</f>
        <v>0</v>
      </c>
      <c r="X319" s="243">
        <f>VLOOKUP(C319,'Talente &amp; Stuff'!BI:CJ,22,FALSE)</f>
        <v>0</v>
      </c>
      <c r="Y319" s="252">
        <f>VLOOKUP(C319,Ausgewählte_Zauber_Zauberbarden,81,FALSE)</f>
        <v>0</v>
      </c>
      <c r="Z319" s="309">
        <f>VLOOKUP(C319,Ausgewählte_Zauber_Zauberbarden,82,FALSE)</f>
        <v>0</v>
      </c>
      <c r="AA319" s="218">
        <f>VLOOKUP(C319,'Talente &amp; Stuff'!BI:CJ,25,FALSE)</f>
        <v>0</v>
      </c>
      <c r="AB319" s="242">
        <f>VLOOKUP(C319,'Talente &amp; Stuff'!BI:CJ,26,FALSE)</f>
        <v>0</v>
      </c>
      <c r="AC319" s="243">
        <f>VLOOKUP(C319,'Talente &amp; Stuff'!BI:CJ,27,FALSE)</f>
        <v>0</v>
      </c>
      <c r="AD319" s="218">
        <f>VLOOKUP(C319,'Talente &amp; Stuff'!BI:CJ,28,FALSE)</f>
        <v>0</v>
      </c>
      <c r="AE319" s="343"/>
    </row>
    <row r="320" spans="1:31" s="217" customFormat="1" hidden="1" outlineLevel="2">
      <c r="A320" s="185"/>
      <c r="B320" s="217">
        <v>23</v>
      </c>
      <c r="C320" s="303" t="str">
        <f>Attribute!C320</f>
        <v>---</v>
      </c>
      <c r="D320" s="218" t="str">
        <f>VLOOKUP(C320,'Talente &amp; Stuff'!BI:CJ,2,FALSE)</f>
        <v>--/--/--</v>
      </c>
      <c r="E320" s="243" t="str">
        <f>VLOOKUP(C320,'Talente &amp; Stuff'!BI:CJ,3,FALSE)</f>
        <v>-</v>
      </c>
      <c r="F320" s="237">
        <f>VLOOKUP(C320,'Talente &amp; Stuff'!BI:CJ,4,FALSE)</f>
        <v>0</v>
      </c>
      <c r="G320" s="234">
        <f>VLOOKUP(C320,'Talente &amp; Stuff'!BI:CJ,5,FALSE)</f>
        <v>0</v>
      </c>
      <c r="H320" s="234">
        <f>VLOOKUP(C320,'Talente &amp; Stuff'!BI:CJ,6,FALSE)</f>
        <v>0</v>
      </c>
      <c r="I320" s="234">
        <f>VLOOKUP(C320,'Talente &amp; Stuff'!BI:CJ,7,FALSE)</f>
        <v>0</v>
      </c>
      <c r="J320" s="234">
        <f>VLOOKUP(C320,'Talente &amp; Stuff'!BI:CJ,8,FALSE)</f>
        <v>0</v>
      </c>
      <c r="K320" s="234">
        <f>VLOOKUP(C320,'Talente &amp; Stuff'!BI:CJ,9,FALSE)</f>
        <v>0</v>
      </c>
      <c r="L320" s="234">
        <f>VLOOKUP(C320,'Talente &amp; Stuff'!BI:CJ,10,FALSE)</f>
        <v>0</v>
      </c>
      <c r="M320" s="224">
        <f>VLOOKUP(C320,'Talente &amp; Stuff'!BI:CJ,11,FALSE)</f>
        <v>0</v>
      </c>
      <c r="N320" s="223">
        <f>VLOOKUP(C320,'Talente &amp; Stuff'!BI:CJ,12,FALSE)</f>
        <v>0</v>
      </c>
      <c r="O320" s="223">
        <f>VLOOKUP(C320,'Talente &amp; Stuff'!BI:CJ,13,FALSE)</f>
        <v>0</v>
      </c>
      <c r="P320" s="224">
        <f>VLOOKUP(C320,'Talente &amp; Stuff'!BI:CJ,14,FALSE)</f>
        <v>0</v>
      </c>
      <c r="Q320" s="237">
        <f>VLOOKUP(C320,'Talente &amp; Stuff'!BI:CJ,15,FALSE)</f>
        <v>0</v>
      </c>
      <c r="R320" s="234">
        <f>VLOOKUP(C320,'Talente &amp; Stuff'!BI:CJ,16,FALSE)</f>
        <v>0</v>
      </c>
      <c r="S320" s="224">
        <f>VLOOKUP(C320,'Talente &amp; Stuff'!BI:CJ,17,FALSE)</f>
        <v>0</v>
      </c>
      <c r="T320" s="224">
        <f>VLOOKUP(C320,'Talente &amp; Stuff'!BI:CJ,18,FALSE)</f>
        <v>0</v>
      </c>
      <c r="U320" s="222">
        <f>VLOOKUP(C320,'Talente &amp; Stuff'!BI:CJ,19,FALSE)</f>
        <v>0</v>
      </c>
      <c r="V320" s="223">
        <f>VLOOKUP(C320,'Talente &amp; Stuff'!BI:CJ,20,FALSE)</f>
        <v>0</v>
      </c>
      <c r="W320" s="243">
        <f>VLOOKUP(C320,'Talente &amp; Stuff'!BI:CJ,21,FALSE)</f>
        <v>0</v>
      </c>
      <c r="X320" s="243">
        <f>VLOOKUP(C320,'Talente &amp; Stuff'!BI:CJ,22,FALSE)</f>
        <v>0</v>
      </c>
      <c r="Y320" s="252">
        <f>VLOOKUP(C320,Ausgewählte_Zauber_Zauberbarden,81,FALSE)</f>
        <v>0</v>
      </c>
      <c r="Z320" s="309">
        <f>VLOOKUP(C320,Ausgewählte_Zauber_Zauberbarden,82,FALSE)</f>
        <v>0</v>
      </c>
      <c r="AA320" s="218">
        <f>VLOOKUP(C320,'Talente &amp; Stuff'!BI:CJ,25,FALSE)</f>
        <v>0</v>
      </c>
      <c r="AB320" s="242">
        <f>VLOOKUP(C320,'Talente &amp; Stuff'!BI:CJ,26,FALSE)</f>
        <v>0</v>
      </c>
      <c r="AC320" s="243">
        <f>VLOOKUP(C320,'Talente &amp; Stuff'!BI:CJ,27,FALSE)</f>
        <v>0</v>
      </c>
      <c r="AD320" s="218">
        <f>VLOOKUP(C320,'Talente &amp; Stuff'!BI:CJ,28,FALSE)</f>
        <v>0</v>
      </c>
      <c r="AE320" s="343"/>
    </row>
    <row r="321" spans="1:31" s="217" customFormat="1" hidden="1" outlineLevel="2">
      <c r="A321" s="185"/>
      <c r="B321" s="217">
        <v>24</v>
      </c>
      <c r="C321" s="306" t="str">
        <f>Attribute!C321</f>
        <v>---</v>
      </c>
      <c r="D321" s="246" t="str">
        <f>VLOOKUP(C321,'Talente &amp; Stuff'!BI:CJ,2,FALSE)</f>
        <v>--/--/--</v>
      </c>
      <c r="E321" s="245" t="str">
        <f>VLOOKUP(C321,'Talente &amp; Stuff'!BI:CJ,3,FALSE)</f>
        <v>-</v>
      </c>
      <c r="F321" s="238">
        <f>VLOOKUP(C321,'Talente &amp; Stuff'!BI:CJ,4,FALSE)</f>
        <v>0</v>
      </c>
      <c r="G321" s="235">
        <f>VLOOKUP(C321,'Talente &amp; Stuff'!BI:CJ,5,FALSE)</f>
        <v>0</v>
      </c>
      <c r="H321" s="235">
        <f>VLOOKUP(C321,'Talente &amp; Stuff'!BI:CJ,6,FALSE)</f>
        <v>0</v>
      </c>
      <c r="I321" s="235">
        <f>VLOOKUP(C321,'Talente &amp; Stuff'!BI:CJ,7,FALSE)</f>
        <v>0</v>
      </c>
      <c r="J321" s="235">
        <f>VLOOKUP(C321,'Talente &amp; Stuff'!BI:CJ,8,FALSE)</f>
        <v>0</v>
      </c>
      <c r="K321" s="235">
        <f>VLOOKUP(C321,'Talente &amp; Stuff'!BI:CJ,9,FALSE)</f>
        <v>0</v>
      </c>
      <c r="L321" s="235">
        <f>VLOOKUP(C321,'Talente &amp; Stuff'!BI:CJ,10,FALSE)</f>
        <v>0</v>
      </c>
      <c r="M321" s="227">
        <f>VLOOKUP(C321,'Talente &amp; Stuff'!BI:CJ,11,FALSE)</f>
        <v>0</v>
      </c>
      <c r="N321" s="226">
        <f>VLOOKUP(C321,'Talente &amp; Stuff'!BI:CJ,12,FALSE)</f>
        <v>0</v>
      </c>
      <c r="O321" s="226">
        <f>VLOOKUP(C321,'Talente &amp; Stuff'!BI:CJ,13,FALSE)</f>
        <v>0</v>
      </c>
      <c r="P321" s="227">
        <f>VLOOKUP(C321,'Talente &amp; Stuff'!BI:CJ,14,FALSE)</f>
        <v>0</v>
      </c>
      <c r="Q321" s="238">
        <f>VLOOKUP(C321,'Talente &amp; Stuff'!BI:CJ,15,FALSE)</f>
        <v>0</v>
      </c>
      <c r="R321" s="235">
        <f>VLOOKUP(C321,'Talente &amp; Stuff'!BI:CJ,16,FALSE)</f>
        <v>0</v>
      </c>
      <c r="S321" s="227">
        <f>VLOOKUP(C321,'Talente &amp; Stuff'!BI:CJ,17,FALSE)</f>
        <v>0</v>
      </c>
      <c r="T321" s="227">
        <f>VLOOKUP(C321,'Talente &amp; Stuff'!BI:CJ,18,FALSE)</f>
        <v>0</v>
      </c>
      <c r="U321" s="225">
        <f>VLOOKUP(C321,'Talente &amp; Stuff'!BI:CJ,19,FALSE)</f>
        <v>0</v>
      </c>
      <c r="V321" s="226">
        <f>VLOOKUP(C321,'Talente &amp; Stuff'!BI:CJ,20,FALSE)</f>
        <v>0</v>
      </c>
      <c r="W321" s="245">
        <f>VLOOKUP(C321,'Talente &amp; Stuff'!BI:CJ,21,FALSE)</f>
        <v>0</v>
      </c>
      <c r="X321" s="245">
        <f>VLOOKUP(C321,'Talente &amp; Stuff'!BI:CJ,22,FALSE)</f>
        <v>0</v>
      </c>
      <c r="Y321" s="252">
        <f>VLOOKUP(C321,Ausgewählte_Zauber_Zauberbarden,81,FALSE)</f>
        <v>0</v>
      </c>
      <c r="Z321" s="309">
        <f>VLOOKUP(C321,Ausgewählte_Zauber_Zauberbarden,82,FALSE)</f>
        <v>0</v>
      </c>
      <c r="AA321" s="246">
        <f>VLOOKUP(C321,'Talente &amp; Stuff'!BI:CJ,25,FALSE)</f>
        <v>0</v>
      </c>
      <c r="AB321" s="244">
        <f>VLOOKUP(C321,'Talente &amp; Stuff'!BI:CJ,26,FALSE)</f>
        <v>0</v>
      </c>
      <c r="AC321" s="245">
        <f>VLOOKUP(C321,'Talente &amp; Stuff'!BI:CJ,27,FALSE)</f>
        <v>0</v>
      </c>
      <c r="AD321" s="246">
        <f>VLOOKUP(C321,'Talente &amp; Stuff'!BI:CJ,28,FALSE)</f>
        <v>0</v>
      </c>
      <c r="AE321" s="343"/>
    </row>
    <row r="322" spans="1:31" s="217" customFormat="1" hidden="1" outlineLevel="1" collapsed="1">
      <c r="A322" s="185"/>
      <c r="B322" s="216" t="s">
        <v>446</v>
      </c>
      <c r="C322" s="307"/>
      <c r="D322" s="308"/>
      <c r="E322" s="308"/>
      <c r="Y322" s="251"/>
      <c r="Z322" s="251"/>
    </row>
    <row r="323" spans="1:31" s="217" customFormat="1" hidden="1" outlineLevel="2">
      <c r="A323" s="185"/>
      <c r="B323" s="217">
        <v>1</v>
      </c>
      <c r="C323" s="302" t="str">
        <f>Attribute!C323</f>
        <v>---</v>
      </c>
      <c r="D323" s="43" t="str">
        <f>VLOOKUP(C323,'Talente &amp; Stuff'!BI:CJ,2,FALSE)</f>
        <v>--/--/--</v>
      </c>
      <c r="E323" s="42" t="str">
        <f>VLOOKUP(C323,'Talente &amp; Stuff'!BI:CJ,3,FALSE)</f>
        <v>-</v>
      </c>
      <c r="F323" s="236">
        <f>VLOOKUP(C323,'Talente &amp; Stuff'!BI:CJ,4,FALSE)</f>
        <v>0</v>
      </c>
      <c r="G323" s="233">
        <f>VLOOKUP(C323,'Talente &amp; Stuff'!BI:CJ,5,FALSE)</f>
        <v>0</v>
      </c>
      <c r="H323" s="233">
        <f>VLOOKUP(C323,'Talente &amp; Stuff'!BI:CJ,6,FALSE)</f>
        <v>0</v>
      </c>
      <c r="I323" s="233">
        <f>VLOOKUP(C323,'Talente &amp; Stuff'!BI:CJ,7,FALSE)</f>
        <v>0</v>
      </c>
      <c r="J323" s="233">
        <f>VLOOKUP(C323,'Talente &amp; Stuff'!BI:CJ,8,FALSE)</f>
        <v>0</v>
      </c>
      <c r="K323" s="233">
        <f>VLOOKUP(C323,'Talente &amp; Stuff'!BI:CJ,9,FALSE)</f>
        <v>0</v>
      </c>
      <c r="L323" s="233">
        <f>VLOOKUP(C323,'Talente &amp; Stuff'!BI:CJ,10,FALSE)</f>
        <v>0</v>
      </c>
      <c r="M323" s="221">
        <f>VLOOKUP(C323,'Talente &amp; Stuff'!BI:CJ,11,FALSE)</f>
        <v>0</v>
      </c>
      <c r="N323" s="219">
        <f>VLOOKUP(C323,'Talente &amp; Stuff'!BI:CJ,12,FALSE)</f>
        <v>0</v>
      </c>
      <c r="O323" s="220">
        <f>VLOOKUP(C323,'Talente &amp; Stuff'!BI:CJ,13,FALSE)</f>
        <v>0</v>
      </c>
      <c r="P323" s="221">
        <f>VLOOKUP(C323,'Talente &amp; Stuff'!BI:CJ,14,FALSE)</f>
        <v>0</v>
      </c>
      <c r="Q323" s="236">
        <f>VLOOKUP(C323,'Talente &amp; Stuff'!BI:CJ,15,FALSE)</f>
        <v>0</v>
      </c>
      <c r="R323" s="316">
        <f>VLOOKUP(C323,'Talente &amp; Stuff'!BI:CJ,16,FALSE)</f>
        <v>0</v>
      </c>
      <c r="S323" s="221">
        <f>VLOOKUP(C323,'Talente &amp; Stuff'!BI:CJ,17,FALSE)</f>
        <v>0</v>
      </c>
      <c r="T323" s="78">
        <f>VLOOKUP(C323,'Talente &amp; Stuff'!BI:CJ,18,FALSE)</f>
        <v>0</v>
      </c>
      <c r="U323" s="219">
        <f>VLOOKUP(C323,'Talente &amp; Stuff'!BI:CJ,19,FALSE)</f>
        <v>0</v>
      </c>
      <c r="V323" s="220">
        <f>VLOOKUP(C323,'Talente &amp; Stuff'!BI:CJ,20,FALSE)</f>
        <v>0</v>
      </c>
      <c r="W323" s="241">
        <f>VLOOKUP(C323,'Talente &amp; Stuff'!BI:CJ,21,FALSE)</f>
        <v>0</v>
      </c>
      <c r="X323" s="42">
        <f>VLOOKUP(C323,'Talente &amp; Stuff'!BI:CJ,22,FALSE)</f>
        <v>0</v>
      </c>
      <c r="Y323" s="252">
        <f>VLOOKUP(C323,Ausgewählte_Zauber_Zaubertänzer,81,FALSE)</f>
        <v>0</v>
      </c>
      <c r="Z323" s="309">
        <f>VLOOKUP(C323,Ausgewählte_Zauber_Zaubertänzer,82,FALSE)</f>
        <v>0</v>
      </c>
      <c r="AA323" s="42">
        <f>VLOOKUP(C323,'Talente &amp; Stuff'!BI:CJ,25,FALSE)</f>
        <v>0</v>
      </c>
      <c r="AB323" s="78">
        <f>VLOOKUP(C323,'Talente &amp; Stuff'!BI:CJ,26,FALSE)</f>
        <v>0</v>
      </c>
      <c r="AC323" s="42">
        <f>VLOOKUP(C323,'Talente &amp; Stuff'!BI:CJ,27,FALSE)</f>
        <v>0</v>
      </c>
      <c r="AD323" s="42">
        <f>VLOOKUP(C323,'Talente &amp; Stuff'!BI:CJ,28,FALSE)</f>
        <v>0</v>
      </c>
      <c r="AE323" s="343"/>
    </row>
    <row r="324" spans="1:31" s="217" customFormat="1" hidden="1" outlineLevel="2">
      <c r="A324" s="185"/>
      <c r="B324" s="217">
        <v>2</v>
      </c>
      <c r="C324" s="303" t="str">
        <f>Attribute!C324</f>
        <v>---</v>
      </c>
      <c r="D324" s="304" t="str">
        <f>VLOOKUP(C324,'Talente &amp; Stuff'!BI:CJ,2,FALSE)</f>
        <v>--/--/--</v>
      </c>
      <c r="E324" s="304" t="str">
        <f>VLOOKUP(C324,'Talente &amp; Stuff'!BI:CJ,3,FALSE)</f>
        <v>-</v>
      </c>
      <c r="F324" s="317">
        <f>VLOOKUP(C324,'Talente &amp; Stuff'!BI:CJ,4,FALSE)</f>
        <v>0</v>
      </c>
      <c r="G324" s="254">
        <f>VLOOKUP(C324,'Talente &amp; Stuff'!BI:CJ,5,FALSE)</f>
        <v>0</v>
      </c>
      <c r="H324" s="254">
        <f>VLOOKUP(C324,'Talente &amp; Stuff'!BI:CJ,6,FALSE)</f>
        <v>0</v>
      </c>
      <c r="I324" s="254">
        <f>VLOOKUP(C324,'Talente &amp; Stuff'!BI:CJ,7,FALSE)</f>
        <v>0</v>
      </c>
      <c r="J324" s="254">
        <f>VLOOKUP(C324,'Talente &amp; Stuff'!BI:CJ,8,FALSE)</f>
        <v>0</v>
      </c>
      <c r="K324" s="254">
        <f>VLOOKUP(C324,'Talente &amp; Stuff'!BI:CJ,9,FALSE)</f>
        <v>0</v>
      </c>
      <c r="L324" s="254">
        <f>VLOOKUP(C324,'Talente &amp; Stuff'!BI:CJ,10,FALSE)</f>
        <v>0</v>
      </c>
      <c r="M324" s="318">
        <f>VLOOKUP(C324,'Talente &amp; Stuff'!BI:CJ,11,FALSE)</f>
        <v>0</v>
      </c>
      <c r="N324" s="222">
        <f>VLOOKUP(C324,'Talente &amp; Stuff'!BI:CJ,12,FALSE)</f>
        <v>0</v>
      </c>
      <c r="O324" s="223">
        <f>VLOOKUP(C324,'Talente &amp; Stuff'!BI:CJ,13,FALSE)</f>
        <v>0</v>
      </c>
      <c r="P324" s="224">
        <f>VLOOKUP(C324,'Talente &amp; Stuff'!BI:CJ,14,FALSE)</f>
        <v>0</v>
      </c>
      <c r="Q324" s="237">
        <f>VLOOKUP(C324,'Talente &amp; Stuff'!BI:CJ,15,FALSE)</f>
        <v>0</v>
      </c>
      <c r="R324" s="254">
        <f>VLOOKUP(C324,'Talente &amp; Stuff'!BI:CJ,16,FALSE)</f>
        <v>0</v>
      </c>
      <c r="S324" s="224">
        <f>VLOOKUP(C324,'Talente &amp; Stuff'!BI:CJ,17,FALSE)</f>
        <v>0</v>
      </c>
      <c r="T324" s="242">
        <f>VLOOKUP(C324,'Talente &amp; Stuff'!BI:CJ,18,FALSE)</f>
        <v>0</v>
      </c>
      <c r="U324" s="222">
        <f>VLOOKUP(C324,'Talente &amp; Stuff'!BI:CJ,19,FALSE)</f>
        <v>0</v>
      </c>
      <c r="V324" s="223">
        <f>VLOOKUP(C324,'Talente &amp; Stuff'!BI:CJ,20,FALSE)</f>
        <v>0</v>
      </c>
      <c r="W324" s="243">
        <f>VLOOKUP(C324,'Talente &amp; Stuff'!BI:CJ,21,FALSE)</f>
        <v>0</v>
      </c>
      <c r="X324" s="218">
        <f>VLOOKUP(C324,'Talente &amp; Stuff'!BI:CJ,22,FALSE)</f>
        <v>0</v>
      </c>
      <c r="Y324" s="252">
        <f>VLOOKUP(C324,Ausgewählte_Zauber_Zaubertänzer,81,FALSE)</f>
        <v>0</v>
      </c>
      <c r="Z324" s="309">
        <f>VLOOKUP(C324,Ausgewählte_Zauber_Zaubertänzer,82,FALSE)</f>
        <v>0</v>
      </c>
      <c r="AA324" s="218">
        <f>VLOOKUP(C324,'Talente &amp; Stuff'!BI:CJ,25,FALSE)</f>
        <v>0</v>
      </c>
      <c r="AB324" s="242">
        <f>VLOOKUP(C324,'Talente &amp; Stuff'!BI:CJ,26,FALSE)</f>
        <v>0</v>
      </c>
      <c r="AC324" s="218">
        <f>VLOOKUP(C324,'Talente &amp; Stuff'!BI:CJ,27,FALSE)</f>
        <v>0</v>
      </c>
      <c r="AD324" s="218">
        <f>VLOOKUP(C324,'Talente &amp; Stuff'!BI:CJ,28,FALSE)</f>
        <v>0</v>
      </c>
      <c r="AE324" s="343"/>
    </row>
    <row r="325" spans="1:31" s="217" customFormat="1" hidden="1" outlineLevel="2">
      <c r="A325" s="185"/>
      <c r="B325" s="217">
        <v>3</v>
      </c>
      <c r="C325" s="303" t="str">
        <f>Attribute!C325</f>
        <v>---</v>
      </c>
      <c r="D325" s="304" t="str">
        <f>VLOOKUP(C325,'Talente &amp; Stuff'!BI:CJ,2,FALSE)</f>
        <v>--/--/--</v>
      </c>
      <c r="E325" s="304" t="str">
        <f>VLOOKUP(C325,'Talente &amp; Stuff'!BI:CJ,3,FALSE)</f>
        <v>-</v>
      </c>
      <c r="F325" s="317">
        <f>VLOOKUP(C325,'Talente &amp; Stuff'!BI:CJ,4,FALSE)</f>
        <v>0</v>
      </c>
      <c r="G325" s="254">
        <f>VLOOKUP(C325,'Talente &amp; Stuff'!BI:CJ,5,FALSE)</f>
        <v>0</v>
      </c>
      <c r="H325" s="254">
        <f>VLOOKUP(C325,'Talente &amp; Stuff'!BI:CJ,6,FALSE)</f>
        <v>0</v>
      </c>
      <c r="I325" s="254">
        <f>VLOOKUP(C325,'Talente &amp; Stuff'!BI:CJ,7,FALSE)</f>
        <v>0</v>
      </c>
      <c r="J325" s="254">
        <f>VLOOKUP(C325,'Talente &amp; Stuff'!BI:CJ,8,FALSE)</f>
        <v>0</v>
      </c>
      <c r="K325" s="254">
        <f>VLOOKUP(C325,'Talente &amp; Stuff'!BI:CJ,9,FALSE)</f>
        <v>0</v>
      </c>
      <c r="L325" s="254">
        <f>VLOOKUP(C325,'Talente &amp; Stuff'!BI:CJ,10,FALSE)</f>
        <v>0</v>
      </c>
      <c r="M325" s="318">
        <f>VLOOKUP(C325,'Talente &amp; Stuff'!BI:CJ,11,FALSE)</f>
        <v>0</v>
      </c>
      <c r="N325" s="222">
        <f>VLOOKUP(C325,'Talente &amp; Stuff'!BI:CJ,12,FALSE)</f>
        <v>0</v>
      </c>
      <c r="O325" s="223">
        <f>VLOOKUP(C325,'Talente &amp; Stuff'!BI:CJ,13,FALSE)</f>
        <v>0</v>
      </c>
      <c r="P325" s="224">
        <f>VLOOKUP(C325,'Talente &amp; Stuff'!BI:CJ,14,FALSE)</f>
        <v>0</v>
      </c>
      <c r="Q325" s="237">
        <f>VLOOKUP(C325,'Talente &amp; Stuff'!BI:CJ,15,FALSE)</f>
        <v>0</v>
      </c>
      <c r="R325" s="254">
        <f>VLOOKUP(C325,'Talente &amp; Stuff'!BI:CJ,16,FALSE)</f>
        <v>0</v>
      </c>
      <c r="S325" s="224">
        <f>VLOOKUP(C325,'Talente &amp; Stuff'!BI:CJ,17,FALSE)</f>
        <v>0</v>
      </c>
      <c r="T325" s="242">
        <f>VLOOKUP(C325,'Talente &amp; Stuff'!BI:CJ,18,FALSE)</f>
        <v>0</v>
      </c>
      <c r="U325" s="222">
        <f>VLOOKUP(C325,'Talente &amp; Stuff'!BI:CJ,19,FALSE)</f>
        <v>0</v>
      </c>
      <c r="V325" s="223">
        <f>VLOOKUP(C325,'Talente &amp; Stuff'!BI:CJ,20,FALSE)</f>
        <v>0</v>
      </c>
      <c r="W325" s="243">
        <f>VLOOKUP(C325,'Talente &amp; Stuff'!BI:CJ,21,FALSE)</f>
        <v>0</v>
      </c>
      <c r="X325" s="218">
        <f>VLOOKUP(C325,'Talente &amp; Stuff'!BI:CJ,22,FALSE)</f>
        <v>0</v>
      </c>
      <c r="Y325" s="252">
        <f>VLOOKUP(C325,Ausgewählte_Zauber_Zaubertänzer,81,FALSE)</f>
        <v>0</v>
      </c>
      <c r="Z325" s="309">
        <f>VLOOKUP(C325,Ausgewählte_Zauber_Zaubertänzer,82,FALSE)</f>
        <v>0</v>
      </c>
      <c r="AA325" s="218">
        <f>VLOOKUP(C325,'Talente &amp; Stuff'!BI:CJ,25,FALSE)</f>
        <v>0</v>
      </c>
      <c r="AB325" s="242">
        <f>VLOOKUP(C325,'Talente &amp; Stuff'!BI:CJ,26,FALSE)</f>
        <v>0</v>
      </c>
      <c r="AC325" s="218">
        <f>VLOOKUP(C325,'Talente &amp; Stuff'!BI:CJ,27,FALSE)</f>
        <v>0</v>
      </c>
      <c r="AD325" s="218">
        <f>VLOOKUP(C325,'Talente &amp; Stuff'!BI:CJ,28,FALSE)</f>
        <v>0</v>
      </c>
      <c r="AE325" s="343"/>
    </row>
    <row r="326" spans="1:31" s="217" customFormat="1" hidden="1" outlineLevel="2">
      <c r="A326" s="185"/>
      <c r="B326" s="217">
        <v>4</v>
      </c>
      <c r="C326" s="303" t="str">
        <f>Attribute!C326</f>
        <v>---</v>
      </c>
      <c r="D326" s="304" t="str">
        <f>VLOOKUP(C326,'Talente &amp; Stuff'!BI:CJ,2,FALSE)</f>
        <v>--/--/--</v>
      </c>
      <c r="E326" s="304" t="str">
        <f>VLOOKUP(C326,'Talente &amp; Stuff'!BI:CJ,3,FALSE)</f>
        <v>-</v>
      </c>
      <c r="F326" s="317">
        <f>VLOOKUP(C326,'Talente &amp; Stuff'!BI:CJ,4,FALSE)</f>
        <v>0</v>
      </c>
      <c r="G326" s="254">
        <f>VLOOKUP(C326,'Talente &amp; Stuff'!BI:CJ,5,FALSE)</f>
        <v>0</v>
      </c>
      <c r="H326" s="254">
        <f>VLOOKUP(C326,'Talente &amp; Stuff'!BI:CJ,6,FALSE)</f>
        <v>0</v>
      </c>
      <c r="I326" s="254">
        <f>VLOOKUP(C326,'Talente &amp; Stuff'!BI:CJ,7,FALSE)</f>
        <v>0</v>
      </c>
      <c r="J326" s="254">
        <f>VLOOKUP(C326,'Talente &amp; Stuff'!BI:CJ,8,FALSE)</f>
        <v>0</v>
      </c>
      <c r="K326" s="254">
        <f>VLOOKUP(C326,'Talente &amp; Stuff'!BI:CJ,9,FALSE)</f>
        <v>0</v>
      </c>
      <c r="L326" s="254">
        <f>VLOOKUP(C326,'Talente &amp; Stuff'!BI:CJ,10,FALSE)</f>
        <v>0</v>
      </c>
      <c r="M326" s="318">
        <f>VLOOKUP(C326,'Talente &amp; Stuff'!BI:CJ,11,FALSE)</f>
        <v>0</v>
      </c>
      <c r="N326" s="222">
        <f>VLOOKUP(C326,'Talente &amp; Stuff'!BI:CJ,12,FALSE)</f>
        <v>0</v>
      </c>
      <c r="O326" s="223">
        <f>VLOOKUP(C326,'Talente &amp; Stuff'!BI:CJ,13,FALSE)</f>
        <v>0</v>
      </c>
      <c r="P326" s="224">
        <f>VLOOKUP(C326,'Talente &amp; Stuff'!BI:CJ,14,FALSE)</f>
        <v>0</v>
      </c>
      <c r="Q326" s="237">
        <f>VLOOKUP(C326,'Talente &amp; Stuff'!BI:CJ,15,FALSE)</f>
        <v>0</v>
      </c>
      <c r="R326" s="254">
        <f>VLOOKUP(C326,'Talente &amp; Stuff'!BI:CJ,16,FALSE)</f>
        <v>0</v>
      </c>
      <c r="S326" s="224">
        <f>VLOOKUP(C326,'Talente &amp; Stuff'!BI:CJ,17,FALSE)</f>
        <v>0</v>
      </c>
      <c r="T326" s="242">
        <f>VLOOKUP(C326,'Talente &amp; Stuff'!BI:CJ,18,FALSE)</f>
        <v>0</v>
      </c>
      <c r="U326" s="222">
        <f>VLOOKUP(C326,'Talente &amp; Stuff'!BI:CJ,19,FALSE)</f>
        <v>0</v>
      </c>
      <c r="V326" s="223">
        <f>VLOOKUP(C326,'Talente &amp; Stuff'!BI:CJ,20,FALSE)</f>
        <v>0</v>
      </c>
      <c r="W326" s="243">
        <f>VLOOKUP(C326,'Talente &amp; Stuff'!BI:CJ,21,FALSE)</f>
        <v>0</v>
      </c>
      <c r="X326" s="218">
        <f>VLOOKUP(C326,'Talente &amp; Stuff'!BI:CJ,22,FALSE)</f>
        <v>0</v>
      </c>
      <c r="Y326" s="252">
        <f>VLOOKUP(C326,Ausgewählte_Zauber_Zaubertänzer,81,FALSE)</f>
        <v>0</v>
      </c>
      <c r="Z326" s="309">
        <f>VLOOKUP(C326,Ausgewählte_Zauber_Zaubertänzer,82,FALSE)</f>
        <v>0</v>
      </c>
      <c r="AA326" s="218">
        <f>VLOOKUP(C326,'Talente &amp; Stuff'!BI:CJ,25,FALSE)</f>
        <v>0</v>
      </c>
      <c r="AB326" s="242">
        <f>VLOOKUP(C326,'Talente &amp; Stuff'!BI:CJ,26,FALSE)</f>
        <v>0</v>
      </c>
      <c r="AC326" s="218">
        <f>VLOOKUP(C326,'Talente &amp; Stuff'!BI:CJ,27,FALSE)</f>
        <v>0</v>
      </c>
      <c r="AD326" s="218">
        <f>VLOOKUP(C326,'Talente &amp; Stuff'!BI:CJ,28,FALSE)</f>
        <v>0</v>
      </c>
      <c r="AE326" s="343"/>
    </row>
    <row r="327" spans="1:31" s="217" customFormat="1" hidden="1" outlineLevel="2">
      <c r="A327" s="185"/>
      <c r="B327" s="217">
        <v>5</v>
      </c>
      <c r="C327" s="303" t="str">
        <f>Attribute!C327</f>
        <v>---</v>
      </c>
      <c r="D327" s="304" t="str">
        <f>VLOOKUP(C327,'Talente &amp; Stuff'!BI:CJ,2,FALSE)</f>
        <v>--/--/--</v>
      </c>
      <c r="E327" s="304" t="str">
        <f>VLOOKUP(C327,'Talente &amp; Stuff'!BI:CJ,3,FALSE)</f>
        <v>-</v>
      </c>
      <c r="F327" s="317">
        <f>VLOOKUP(C327,'Talente &amp; Stuff'!BI:CJ,4,FALSE)</f>
        <v>0</v>
      </c>
      <c r="G327" s="254">
        <f>VLOOKUP(C327,'Talente &amp; Stuff'!BI:CJ,5,FALSE)</f>
        <v>0</v>
      </c>
      <c r="H327" s="254">
        <f>VLOOKUP(C327,'Talente &amp; Stuff'!BI:CJ,6,FALSE)</f>
        <v>0</v>
      </c>
      <c r="I327" s="254">
        <f>VLOOKUP(C327,'Talente &amp; Stuff'!BI:CJ,7,FALSE)</f>
        <v>0</v>
      </c>
      <c r="J327" s="254">
        <f>VLOOKUP(C327,'Talente &amp; Stuff'!BI:CJ,8,FALSE)</f>
        <v>0</v>
      </c>
      <c r="K327" s="254">
        <f>VLOOKUP(C327,'Talente &amp; Stuff'!BI:CJ,9,FALSE)</f>
        <v>0</v>
      </c>
      <c r="L327" s="254">
        <f>VLOOKUP(C327,'Talente &amp; Stuff'!BI:CJ,10,FALSE)</f>
        <v>0</v>
      </c>
      <c r="M327" s="318">
        <f>VLOOKUP(C327,'Talente &amp; Stuff'!BI:CJ,11,FALSE)</f>
        <v>0</v>
      </c>
      <c r="N327" s="222">
        <f>VLOOKUP(C327,'Talente &amp; Stuff'!BI:CJ,12,FALSE)</f>
        <v>0</v>
      </c>
      <c r="O327" s="223">
        <f>VLOOKUP(C327,'Talente &amp; Stuff'!BI:CJ,13,FALSE)</f>
        <v>0</v>
      </c>
      <c r="P327" s="224">
        <f>VLOOKUP(C327,'Talente &amp; Stuff'!BI:CJ,14,FALSE)</f>
        <v>0</v>
      </c>
      <c r="Q327" s="237">
        <f>VLOOKUP(C327,'Talente &amp; Stuff'!BI:CJ,15,FALSE)</f>
        <v>0</v>
      </c>
      <c r="R327" s="254">
        <f>VLOOKUP(C327,'Talente &amp; Stuff'!BI:CJ,16,FALSE)</f>
        <v>0</v>
      </c>
      <c r="S327" s="224">
        <f>VLOOKUP(C327,'Talente &amp; Stuff'!BI:CJ,17,FALSE)</f>
        <v>0</v>
      </c>
      <c r="T327" s="242">
        <f>VLOOKUP(C327,'Talente &amp; Stuff'!BI:CJ,18,FALSE)</f>
        <v>0</v>
      </c>
      <c r="U327" s="222">
        <f>VLOOKUP(C327,'Talente &amp; Stuff'!BI:CJ,19,FALSE)</f>
        <v>0</v>
      </c>
      <c r="V327" s="223">
        <f>VLOOKUP(C327,'Talente &amp; Stuff'!BI:CJ,20,FALSE)</f>
        <v>0</v>
      </c>
      <c r="W327" s="243">
        <f>VLOOKUP(C327,'Talente &amp; Stuff'!BI:CJ,21,FALSE)</f>
        <v>0</v>
      </c>
      <c r="X327" s="218">
        <f>VLOOKUP(C327,'Talente &amp; Stuff'!BI:CJ,22,FALSE)</f>
        <v>0</v>
      </c>
      <c r="Y327" s="252">
        <f>VLOOKUP(C327,Ausgewählte_Zauber_Zaubertänzer,81,FALSE)</f>
        <v>0</v>
      </c>
      <c r="Z327" s="309">
        <f>VLOOKUP(C327,Ausgewählte_Zauber_Zaubertänzer,82,FALSE)</f>
        <v>0</v>
      </c>
      <c r="AA327" s="218">
        <f>VLOOKUP(C327,'Talente &amp; Stuff'!BI:CJ,25,FALSE)</f>
        <v>0</v>
      </c>
      <c r="AB327" s="242">
        <f>VLOOKUP(C327,'Talente &amp; Stuff'!BI:CJ,26,FALSE)</f>
        <v>0</v>
      </c>
      <c r="AC327" s="218">
        <f>VLOOKUP(C327,'Talente &amp; Stuff'!BI:CJ,27,FALSE)</f>
        <v>0</v>
      </c>
      <c r="AD327" s="218">
        <f>VLOOKUP(C327,'Talente &amp; Stuff'!BI:CJ,28,FALSE)</f>
        <v>0</v>
      </c>
      <c r="AE327" s="343"/>
    </row>
    <row r="328" spans="1:31" s="217" customFormat="1" hidden="1" outlineLevel="2">
      <c r="A328" s="185"/>
      <c r="B328" s="217">
        <v>6</v>
      </c>
      <c r="C328" s="303" t="str">
        <f>Attribute!C328</f>
        <v>---</v>
      </c>
      <c r="D328" s="304" t="str">
        <f>VLOOKUP(C328,'Talente &amp; Stuff'!BI:CJ,2,FALSE)</f>
        <v>--/--/--</v>
      </c>
      <c r="E328" s="304" t="str">
        <f>VLOOKUP(C328,'Talente &amp; Stuff'!BI:CJ,3,FALSE)</f>
        <v>-</v>
      </c>
      <c r="F328" s="317">
        <f>VLOOKUP(C328,'Talente &amp; Stuff'!BI:CJ,4,FALSE)</f>
        <v>0</v>
      </c>
      <c r="G328" s="254">
        <f>VLOOKUP(C328,'Talente &amp; Stuff'!BI:CJ,5,FALSE)</f>
        <v>0</v>
      </c>
      <c r="H328" s="254">
        <f>VLOOKUP(C328,'Talente &amp; Stuff'!BI:CJ,6,FALSE)</f>
        <v>0</v>
      </c>
      <c r="I328" s="254">
        <f>VLOOKUP(C328,'Talente &amp; Stuff'!BI:CJ,7,FALSE)</f>
        <v>0</v>
      </c>
      <c r="J328" s="254">
        <f>VLOOKUP(C328,'Talente &amp; Stuff'!BI:CJ,8,FALSE)</f>
        <v>0</v>
      </c>
      <c r="K328" s="254">
        <f>VLOOKUP(C328,'Talente &amp; Stuff'!BI:CJ,9,FALSE)</f>
        <v>0</v>
      </c>
      <c r="L328" s="254">
        <f>VLOOKUP(C328,'Talente &amp; Stuff'!BI:CJ,10,FALSE)</f>
        <v>0</v>
      </c>
      <c r="M328" s="318">
        <f>VLOOKUP(C328,'Talente &amp; Stuff'!BI:CJ,11,FALSE)</f>
        <v>0</v>
      </c>
      <c r="N328" s="222">
        <f>VLOOKUP(C328,'Talente &amp; Stuff'!BI:CJ,12,FALSE)</f>
        <v>0</v>
      </c>
      <c r="O328" s="223">
        <f>VLOOKUP(C328,'Talente &amp; Stuff'!BI:CJ,13,FALSE)</f>
        <v>0</v>
      </c>
      <c r="P328" s="224">
        <f>VLOOKUP(C328,'Talente &amp; Stuff'!BI:CJ,14,FALSE)</f>
        <v>0</v>
      </c>
      <c r="Q328" s="237">
        <f>VLOOKUP(C328,'Talente &amp; Stuff'!BI:CJ,15,FALSE)</f>
        <v>0</v>
      </c>
      <c r="R328" s="254">
        <f>VLOOKUP(C328,'Talente &amp; Stuff'!BI:CJ,16,FALSE)</f>
        <v>0</v>
      </c>
      <c r="S328" s="224">
        <f>VLOOKUP(C328,'Talente &amp; Stuff'!BI:CJ,17,FALSE)</f>
        <v>0</v>
      </c>
      <c r="T328" s="242">
        <f>VLOOKUP(C328,'Talente &amp; Stuff'!BI:CJ,18,FALSE)</f>
        <v>0</v>
      </c>
      <c r="U328" s="222">
        <f>VLOOKUP(C328,'Talente &amp; Stuff'!BI:CJ,19,FALSE)</f>
        <v>0</v>
      </c>
      <c r="V328" s="223">
        <f>VLOOKUP(C328,'Talente &amp; Stuff'!BI:CJ,20,FALSE)</f>
        <v>0</v>
      </c>
      <c r="W328" s="243">
        <f>VLOOKUP(C328,'Talente &amp; Stuff'!BI:CJ,21,FALSE)</f>
        <v>0</v>
      </c>
      <c r="X328" s="218">
        <f>VLOOKUP(C328,'Talente &amp; Stuff'!BI:CJ,22,FALSE)</f>
        <v>0</v>
      </c>
      <c r="Y328" s="252">
        <f>VLOOKUP(C328,Ausgewählte_Zauber_Zaubertänzer,81,FALSE)</f>
        <v>0</v>
      </c>
      <c r="Z328" s="309">
        <f>VLOOKUP(C328,Ausgewählte_Zauber_Zaubertänzer,82,FALSE)</f>
        <v>0</v>
      </c>
      <c r="AA328" s="218">
        <f>VLOOKUP(C328,'Talente &amp; Stuff'!BI:CJ,25,FALSE)</f>
        <v>0</v>
      </c>
      <c r="AB328" s="242">
        <f>VLOOKUP(C328,'Talente &amp; Stuff'!BI:CJ,26,FALSE)</f>
        <v>0</v>
      </c>
      <c r="AC328" s="218">
        <f>VLOOKUP(C328,'Talente &amp; Stuff'!BI:CJ,27,FALSE)</f>
        <v>0</v>
      </c>
      <c r="AD328" s="218">
        <f>VLOOKUP(C328,'Talente &amp; Stuff'!BI:CJ,28,FALSE)</f>
        <v>0</v>
      </c>
      <c r="AE328" s="343"/>
    </row>
    <row r="329" spans="1:31" s="217" customFormat="1" hidden="1" outlineLevel="2">
      <c r="A329" s="185"/>
      <c r="B329" s="217">
        <v>7</v>
      </c>
      <c r="C329" s="303" t="str">
        <f>Attribute!C329</f>
        <v>---</v>
      </c>
      <c r="D329" s="304" t="str">
        <f>VLOOKUP(C329,'Talente &amp; Stuff'!BI:CJ,2,FALSE)</f>
        <v>--/--/--</v>
      </c>
      <c r="E329" s="304" t="str">
        <f>VLOOKUP(C329,'Talente &amp; Stuff'!BI:CJ,3,FALSE)</f>
        <v>-</v>
      </c>
      <c r="F329" s="317">
        <f>VLOOKUP(C329,'Talente &amp; Stuff'!BI:CJ,4,FALSE)</f>
        <v>0</v>
      </c>
      <c r="G329" s="254">
        <f>VLOOKUP(C329,'Talente &amp; Stuff'!BI:CJ,5,FALSE)</f>
        <v>0</v>
      </c>
      <c r="H329" s="254">
        <f>VLOOKUP(C329,'Talente &amp; Stuff'!BI:CJ,6,FALSE)</f>
        <v>0</v>
      </c>
      <c r="I329" s="254">
        <f>VLOOKUP(C329,'Talente &amp; Stuff'!BI:CJ,7,FALSE)</f>
        <v>0</v>
      </c>
      <c r="J329" s="254">
        <f>VLOOKUP(C329,'Talente &amp; Stuff'!BI:CJ,8,FALSE)</f>
        <v>0</v>
      </c>
      <c r="K329" s="254">
        <f>VLOOKUP(C329,'Talente &amp; Stuff'!BI:CJ,9,FALSE)</f>
        <v>0</v>
      </c>
      <c r="L329" s="254">
        <f>VLOOKUP(C329,'Talente &amp; Stuff'!BI:CJ,10,FALSE)</f>
        <v>0</v>
      </c>
      <c r="M329" s="318">
        <f>VLOOKUP(C329,'Talente &amp; Stuff'!BI:CJ,11,FALSE)</f>
        <v>0</v>
      </c>
      <c r="N329" s="222">
        <f>VLOOKUP(C329,'Talente &amp; Stuff'!BI:CJ,12,FALSE)</f>
        <v>0</v>
      </c>
      <c r="O329" s="223">
        <f>VLOOKUP(C329,'Talente &amp; Stuff'!BI:CJ,13,FALSE)</f>
        <v>0</v>
      </c>
      <c r="P329" s="224">
        <f>VLOOKUP(C329,'Talente &amp; Stuff'!BI:CJ,14,FALSE)</f>
        <v>0</v>
      </c>
      <c r="Q329" s="237">
        <f>VLOOKUP(C329,'Talente &amp; Stuff'!BI:CJ,15,FALSE)</f>
        <v>0</v>
      </c>
      <c r="R329" s="254">
        <f>VLOOKUP(C329,'Talente &amp; Stuff'!BI:CJ,16,FALSE)</f>
        <v>0</v>
      </c>
      <c r="S329" s="224">
        <f>VLOOKUP(C329,'Talente &amp; Stuff'!BI:CJ,17,FALSE)</f>
        <v>0</v>
      </c>
      <c r="T329" s="242">
        <f>VLOOKUP(C329,'Talente &amp; Stuff'!BI:CJ,18,FALSE)</f>
        <v>0</v>
      </c>
      <c r="U329" s="222">
        <f>VLOOKUP(C329,'Talente &amp; Stuff'!BI:CJ,19,FALSE)</f>
        <v>0</v>
      </c>
      <c r="V329" s="223">
        <f>VLOOKUP(C329,'Talente &amp; Stuff'!BI:CJ,20,FALSE)</f>
        <v>0</v>
      </c>
      <c r="W329" s="243">
        <f>VLOOKUP(C329,'Talente &amp; Stuff'!BI:CJ,21,FALSE)</f>
        <v>0</v>
      </c>
      <c r="X329" s="218">
        <f>VLOOKUP(C329,'Talente &amp; Stuff'!BI:CJ,22,FALSE)</f>
        <v>0</v>
      </c>
      <c r="Y329" s="252">
        <f>VLOOKUP(C329,Ausgewählte_Zauber_Zaubertänzer,81,FALSE)</f>
        <v>0</v>
      </c>
      <c r="Z329" s="309">
        <f>VLOOKUP(C329,Ausgewählte_Zauber_Zaubertänzer,82,FALSE)</f>
        <v>0</v>
      </c>
      <c r="AA329" s="218">
        <f>VLOOKUP(C329,'Talente &amp; Stuff'!BI:CJ,25,FALSE)</f>
        <v>0</v>
      </c>
      <c r="AB329" s="242">
        <f>VLOOKUP(C329,'Talente &amp; Stuff'!BI:CJ,26,FALSE)</f>
        <v>0</v>
      </c>
      <c r="AC329" s="218">
        <f>VLOOKUP(C329,'Talente &amp; Stuff'!BI:CJ,27,FALSE)</f>
        <v>0</v>
      </c>
      <c r="AD329" s="218">
        <f>VLOOKUP(C329,'Talente &amp; Stuff'!BI:CJ,28,FALSE)</f>
        <v>0</v>
      </c>
      <c r="AE329" s="343"/>
    </row>
    <row r="330" spans="1:31" s="217" customFormat="1" hidden="1" outlineLevel="2">
      <c r="A330" s="185"/>
      <c r="B330" s="217">
        <v>8</v>
      </c>
      <c r="C330" s="303" t="str">
        <f>Attribute!C330</f>
        <v>---</v>
      </c>
      <c r="D330" s="304" t="str">
        <f>VLOOKUP(C330,'Talente &amp; Stuff'!BI:CJ,2,FALSE)</f>
        <v>--/--/--</v>
      </c>
      <c r="E330" s="304" t="str">
        <f>VLOOKUP(C330,'Talente &amp; Stuff'!BI:CJ,3,FALSE)</f>
        <v>-</v>
      </c>
      <c r="F330" s="317">
        <f>VLOOKUP(C330,'Talente &amp; Stuff'!BI:CJ,4,FALSE)</f>
        <v>0</v>
      </c>
      <c r="G330" s="254">
        <f>VLOOKUP(C330,'Talente &amp; Stuff'!BI:CJ,5,FALSE)</f>
        <v>0</v>
      </c>
      <c r="H330" s="254">
        <f>VLOOKUP(C330,'Talente &amp; Stuff'!BI:CJ,6,FALSE)</f>
        <v>0</v>
      </c>
      <c r="I330" s="254">
        <f>VLOOKUP(C330,'Talente &amp; Stuff'!BI:CJ,7,FALSE)</f>
        <v>0</v>
      </c>
      <c r="J330" s="254">
        <f>VLOOKUP(C330,'Talente &amp; Stuff'!BI:CJ,8,FALSE)</f>
        <v>0</v>
      </c>
      <c r="K330" s="254">
        <f>VLOOKUP(C330,'Talente &amp; Stuff'!BI:CJ,9,FALSE)</f>
        <v>0</v>
      </c>
      <c r="L330" s="254">
        <f>VLOOKUP(C330,'Talente &amp; Stuff'!BI:CJ,10,FALSE)</f>
        <v>0</v>
      </c>
      <c r="M330" s="318">
        <f>VLOOKUP(C330,'Talente &amp; Stuff'!BI:CJ,11,FALSE)</f>
        <v>0</v>
      </c>
      <c r="N330" s="222">
        <f>VLOOKUP(C330,'Talente &amp; Stuff'!BI:CJ,12,FALSE)</f>
        <v>0</v>
      </c>
      <c r="O330" s="223">
        <f>VLOOKUP(C330,'Talente &amp; Stuff'!BI:CJ,13,FALSE)</f>
        <v>0</v>
      </c>
      <c r="P330" s="224">
        <f>VLOOKUP(C330,'Talente &amp; Stuff'!BI:CJ,14,FALSE)</f>
        <v>0</v>
      </c>
      <c r="Q330" s="237">
        <f>VLOOKUP(C330,'Talente &amp; Stuff'!BI:CJ,15,FALSE)</f>
        <v>0</v>
      </c>
      <c r="R330" s="254">
        <f>VLOOKUP(C330,'Talente &amp; Stuff'!BI:CJ,16,FALSE)</f>
        <v>0</v>
      </c>
      <c r="S330" s="224">
        <f>VLOOKUP(C330,'Talente &amp; Stuff'!BI:CJ,17,FALSE)</f>
        <v>0</v>
      </c>
      <c r="T330" s="242">
        <f>VLOOKUP(C330,'Talente &amp; Stuff'!BI:CJ,18,FALSE)</f>
        <v>0</v>
      </c>
      <c r="U330" s="222">
        <f>VLOOKUP(C330,'Talente &amp; Stuff'!BI:CJ,19,FALSE)</f>
        <v>0</v>
      </c>
      <c r="V330" s="223">
        <f>VLOOKUP(C330,'Talente &amp; Stuff'!BI:CJ,20,FALSE)</f>
        <v>0</v>
      </c>
      <c r="W330" s="243">
        <f>VLOOKUP(C330,'Talente &amp; Stuff'!BI:CJ,21,FALSE)</f>
        <v>0</v>
      </c>
      <c r="X330" s="218">
        <f>VLOOKUP(C330,'Talente &amp; Stuff'!BI:CJ,22,FALSE)</f>
        <v>0</v>
      </c>
      <c r="Y330" s="252">
        <f>VLOOKUP(C330,Ausgewählte_Zauber_Zaubertänzer,81,FALSE)</f>
        <v>0</v>
      </c>
      <c r="Z330" s="309">
        <f>VLOOKUP(C330,Ausgewählte_Zauber_Zaubertänzer,82,FALSE)</f>
        <v>0</v>
      </c>
      <c r="AA330" s="218">
        <f>VLOOKUP(C330,'Talente &amp; Stuff'!BI:CJ,25,FALSE)</f>
        <v>0</v>
      </c>
      <c r="AB330" s="242">
        <f>VLOOKUP(C330,'Talente &amp; Stuff'!BI:CJ,26,FALSE)</f>
        <v>0</v>
      </c>
      <c r="AC330" s="218">
        <f>VLOOKUP(C330,'Talente &amp; Stuff'!BI:CJ,27,FALSE)</f>
        <v>0</v>
      </c>
      <c r="AD330" s="218">
        <f>VLOOKUP(C330,'Talente &amp; Stuff'!BI:CJ,28,FALSE)</f>
        <v>0</v>
      </c>
      <c r="AE330" s="343"/>
    </row>
    <row r="331" spans="1:31" s="217" customFormat="1" hidden="1" outlineLevel="2">
      <c r="A331" s="185"/>
      <c r="B331" s="217">
        <v>9</v>
      </c>
      <c r="C331" s="303" t="str">
        <f>Attribute!C331</f>
        <v>---</v>
      </c>
      <c r="D331" s="304" t="str">
        <f>VLOOKUP(C331,'Talente &amp; Stuff'!BI:CJ,2,FALSE)</f>
        <v>--/--/--</v>
      </c>
      <c r="E331" s="304" t="str">
        <f>VLOOKUP(C331,'Talente &amp; Stuff'!BI:CJ,3,FALSE)</f>
        <v>-</v>
      </c>
      <c r="F331" s="317">
        <f>VLOOKUP(C331,'Talente &amp; Stuff'!BI:CJ,4,FALSE)</f>
        <v>0</v>
      </c>
      <c r="G331" s="254">
        <f>VLOOKUP(C331,'Talente &amp; Stuff'!BI:CJ,5,FALSE)</f>
        <v>0</v>
      </c>
      <c r="H331" s="254">
        <f>VLOOKUP(C331,'Talente &amp; Stuff'!BI:CJ,6,FALSE)</f>
        <v>0</v>
      </c>
      <c r="I331" s="254">
        <f>VLOOKUP(C331,'Talente &amp; Stuff'!BI:CJ,7,FALSE)</f>
        <v>0</v>
      </c>
      <c r="J331" s="254">
        <f>VLOOKUP(C331,'Talente &amp; Stuff'!BI:CJ,8,FALSE)</f>
        <v>0</v>
      </c>
      <c r="K331" s="254">
        <f>VLOOKUP(C331,'Talente &amp; Stuff'!BI:CJ,9,FALSE)</f>
        <v>0</v>
      </c>
      <c r="L331" s="254">
        <f>VLOOKUP(C331,'Talente &amp; Stuff'!BI:CJ,10,FALSE)</f>
        <v>0</v>
      </c>
      <c r="M331" s="318">
        <f>VLOOKUP(C331,'Talente &amp; Stuff'!BI:CJ,11,FALSE)</f>
        <v>0</v>
      </c>
      <c r="N331" s="222">
        <f>VLOOKUP(C331,'Talente &amp; Stuff'!BI:CJ,12,FALSE)</f>
        <v>0</v>
      </c>
      <c r="O331" s="223">
        <f>VLOOKUP(C331,'Talente &amp; Stuff'!BI:CJ,13,FALSE)</f>
        <v>0</v>
      </c>
      <c r="P331" s="224">
        <f>VLOOKUP(C331,'Talente &amp; Stuff'!BI:CJ,14,FALSE)</f>
        <v>0</v>
      </c>
      <c r="Q331" s="237">
        <f>VLOOKUP(C331,'Talente &amp; Stuff'!BI:CJ,15,FALSE)</f>
        <v>0</v>
      </c>
      <c r="R331" s="254">
        <f>VLOOKUP(C331,'Talente &amp; Stuff'!BI:CJ,16,FALSE)</f>
        <v>0</v>
      </c>
      <c r="S331" s="224">
        <f>VLOOKUP(C331,'Talente &amp; Stuff'!BI:CJ,17,FALSE)</f>
        <v>0</v>
      </c>
      <c r="T331" s="242">
        <f>VLOOKUP(C331,'Talente &amp; Stuff'!BI:CJ,18,FALSE)</f>
        <v>0</v>
      </c>
      <c r="U331" s="222">
        <f>VLOOKUP(C331,'Talente &amp; Stuff'!BI:CJ,19,FALSE)</f>
        <v>0</v>
      </c>
      <c r="V331" s="223">
        <f>VLOOKUP(C331,'Talente &amp; Stuff'!BI:CJ,20,FALSE)</f>
        <v>0</v>
      </c>
      <c r="W331" s="243">
        <f>VLOOKUP(C331,'Talente &amp; Stuff'!BI:CJ,21,FALSE)</f>
        <v>0</v>
      </c>
      <c r="X331" s="218">
        <f>VLOOKUP(C331,'Talente &amp; Stuff'!BI:CJ,22,FALSE)</f>
        <v>0</v>
      </c>
      <c r="Y331" s="252">
        <f>VLOOKUP(C331,Ausgewählte_Zauber_Zaubertänzer,81,FALSE)</f>
        <v>0</v>
      </c>
      <c r="Z331" s="309">
        <f>VLOOKUP(C331,Ausgewählte_Zauber_Zaubertänzer,82,FALSE)</f>
        <v>0</v>
      </c>
      <c r="AA331" s="218">
        <f>VLOOKUP(C331,'Talente &amp; Stuff'!BI:CJ,25,FALSE)</f>
        <v>0</v>
      </c>
      <c r="AB331" s="242">
        <f>VLOOKUP(C331,'Talente &amp; Stuff'!BI:CJ,26,FALSE)</f>
        <v>0</v>
      </c>
      <c r="AC331" s="218">
        <f>VLOOKUP(C331,'Talente &amp; Stuff'!BI:CJ,27,FALSE)</f>
        <v>0</v>
      </c>
      <c r="AD331" s="218">
        <f>VLOOKUP(C331,'Talente &amp; Stuff'!BI:CJ,28,FALSE)</f>
        <v>0</v>
      </c>
      <c r="AE331" s="343"/>
    </row>
    <row r="332" spans="1:31" s="217" customFormat="1" hidden="1" outlineLevel="2">
      <c r="A332" s="185"/>
      <c r="B332" s="217">
        <v>10</v>
      </c>
      <c r="C332" s="303" t="str">
        <f>Attribute!C332</f>
        <v>---</v>
      </c>
      <c r="D332" s="304" t="str">
        <f>VLOOKUP(C332,'Talente &amp; Stuff'!BI:CJ,2,FALSE)</f>
        <v>--/--/--</v>
      </c>
      <c r="E332" s="304" t="str">
        <f>VLOOKUP(C332,'Talente &amp; Stuff'!BI:CJ,3,FALSE)</f>
        <v>-</v>
      </c>
      <c r="F332" s="317">
        <f>VLOOKUP(C332,'Talente &amp; Stuff'!BI:CJ,4,FALSE)</f>
        <v>0</v>
      </c>
      <c r="G332" s="254">
        <f>VLOOKUP(C332,'Talente &amp; Stuff'!BI:CJ,5,FALSE)</f>
        <v>0</v>
      </c>
      <c r="H332" s="254">
        <f>VLOOKUP(C332,'Talente &amp; Stuff'!BI:CJ,6,FALSE)</f>
        <v>0</v>
      </c>
      <c r="I332" s="254">
        <f>VLOOKUP(C332,'Talente &amp; Stuff'!BI:CJ,7,FALSE)</f>
        <v>0</v>
      </c>
      <c r="J332" s="254">
        <f>VLOOKUP(C332,'Talente &amp; Stuff'!BI:CJ,8,FALSE)</f>
        <v>0</v>
      </c>
      <c r="K332" s="254">
        <f>VLOOKUP(C332,'Talente &amp; Stuff'!BI:CJ,9,FALSE)</f>
        <v>0</v>
      </c>
      <c r="L332" s="254">
        <f>VLOOKUP(C332,'Talente &amp; Stuff'!BI:CJ,10,FALSE)</f>
        <v>0</v>
      </c>
      <c r="M332" s="318">
        <f>VLOOKUP(C332,'Talente &amp; Stuff'!BI:CJ,11,FALSE)</f>
        <v>0</v>
      </c>
      <c r="N332" s="222">
        <f>VLOOKUP(C332,'Talente &amp; Stuff'!BI:CJ,12,FALSE)</f>
        <v>0</v>
      </c>
      <c r="O332" s="223">
        <f>VLOOKUP(C332,'Talente &amp; Stuff'!BI:CJ,13,FALSE)</f>
        <v>0</v>
      </c>
      <c r="P332" s="224">
        <f>VLOOKUP(C332,'Talente &amp; Stuff'!BI:CJ,14,FALSE)</f>
        <v>0</v>
      </c>
      <c r="Q332" s="237">
        <f>VLOOKUP(C332,'Talente &amp; Stuff'!BI:CJ,15,FALSE)</f>
        <v>0</v>
      </c>
      <c r="R332" s="254">
        <f>VLOOKUP(C332,'Talente &amp; Stuff'!BI:CJ,16,FALSE)</f>
        <v>0</v>
      </c>
      <c r="S332" s="224">
        <f>VLOOKUP(C332,'Talente &amp; Stuff'!BI:CJ,17,FALSE)</f>
        <v>0</v>
      </c>
      <c r="T332" s="242">
        <f>VLOOKUP(C332,'Talente &amp; Stuff'!BI:CJ,18,FALSE)</f>
        <v>0</v>
      </c>
      <c r="U332" s="222">
        <f>VLOOKUP(C332,'Talente &amp; Stuff'!BI:CJ,19,FALSE)</f>
        <v>0</v>
      </c>
      <c r="V332" s="223">
        <f>VLOOKUP(C332,'Talente &amp; Stuff'!BI:CJ,20,FALSE)</f>
        <v>0</v>
      </c>
      <c r="W332" s="243">
        <f>VLOOKUP(C332,'Talente &amp; Stuff'!BI:CJ,21,FALSE)</f>
        <v>0</v>
      </c>
      <c r="X332" s="218">
        <f>VLOOKUP(C332,'Talente &amp; Stuff'!BI:CJ,22,FALSE)</f>
        <v>0</v>
      </c>
      <c r="Y332" s="252">
        <f>VLOOKUP(C332,Ausgewählte_Zauber_Zaubertänzer,81,FALSE)</f>
        <v>0</v>
      </c>
      <c r="Z332" s="309">
        <f>VLOOKUP(C332,Ausgewählte_Zauber_Zaubertänzer,82,FALSE)</f>
        <v>0</v>
      </c>
      <c r="AA332" s="218">
        <f>VLOOKUP(C332,'Talente &amp; Stuff'!BI:CJ,25,FALSE)</f>
        <v>0</v>
      </c>
      <c r="AB332" s="242">
        <f>VLOOKUP(C332,'Talente &amp; Stuff'!BI:CJ,26,FALSE)</f>
        <v>0</v>
      </c>
      <c r="AC332" s="218">
        <f>VLOOKUP(C332,'Talente &amp; Stuff'!BI:CJ,27,FALSE)</f>
        <v>0</v>
      </c>
      <c r="AD332" s="218">
        <f>VLOOKUP(C332,'Talente &amp; Stuff'!BI:CJ,28,FALSE)</f>
        <v>0</v>
      </c>
      <c r="AE332" s="343"/>
    </row>
    <row r="333" spans="1:31" s="217" customFormat="1" hidden="1" outlineLevel="2">
      <c r="A333" s="185"/>
      <c r="B333" s="217">
        <v>11</v>
      </c>
      <c r="C333" s="303" t="str">
        <f>Attribute!C333</f>
        <v>---</v>
      </c>
      <c r="D333" s="304" t="str">
        <f>VLOOKUP(C333,'Talente &amp; Stuff'!BI:CJ,2,FALSE)</f>
        <v>--/--/--</v>
      </c>
      <c r="E333" s="304" t="str">
        <f>VLOOKUP(C333,'Talente &amp; Stuff'!BI:CJ,3,FALSE)</f>
        <v>-</v>
      </c>
      <c r="F333" s="317">
        <f>VLOOKUP(C333,'Talente &amp; Stuff'!BI:CJ,4,FALSE)</f>
        <v>0</v>
      </c>
      <c r="G333" s="254">
        <f>VLOOKUP(C333,'Talente &amp; Stuff'!BI:CJ,5,FALSE)</f>
        <v>0</v>
      </c>
      <c r="H333" s="254">
        <f>VLOOKUP(C333,'Talente &amp; Stuff'!BI:CJ,6,FALSE)</f>
        <v>0</v>
      </c>
      <c r="I333" s="254">
        <f>VLOOKUP(C333,'Talente &amp; Stuff'!BI:CJ,7,FALSE)</f>
        <v>0</v>
      </c>
      <c r="J333" s="254">
        <f>VLOOKUP(C333,'Talente &amp; Stuff'!BI:CJ,8,FALSE)</f>
        <v>0</v>
      </c>
      <c r="K333" s="254">
        <f>VLOOKUP(C333,'Talente &amp; Stuff'!BI:CJ,9,FALSE)</f>
        <v>0</v>
      </c>
      <c r="L333" s="254">
        <f>VLOOKUP(C333,'Talente &amp; Stuff'!BI:CJ,10,FALSE)</f>
        <v>0</v>
      </c>
      <c r="M333" s="318">
        <f>VLOOKUP(C333,'Talente &amp; Stuff'!BI:CJ,11,FALSE)</f>
        <v>0</v>
      </c>
      <c r="N333" s="222">
        <f>VLOOKUP(C333,'Talente &amp; Stuff'!BI:CJ,12,FALSE)</f>
        <v>0</v>
      </c>
      <c r="O333" s="223">
        <f>VLOOKUP(C333,'Talente &amp; Stuff'!BI:CJ,13,FALSE)</f>
        <v>0</v>
      </c>
      <c r="P333" s="224">
        <f>VLOOKUP(C333,'Talente &amp; Stuff'!BI:CJ,14,FALSE)</f>
        <v>0</v>
      </c>
      <c r="Q333" s="237">
        <f>VLOOKUP(C333,'Talente &amp; Stuff'!BI:CJ,15,FALSE)</f>
        <v>0</v>
      </c>
      <c r="R333" s="254">
        <f>VLOOKUP(C333,'Talente &amp; Stuff'!BI:CJ,16,FALSE)</f>
        <v>0</v>
      </c>
      <c r="S333" s="224">
        <f>VLOOKUP(C333,'Talente &amp; Stuff'!BI:CJ,17,FALSE)</f>
        <v>0</v>
      </c>
      <c r="T333" s="242">
        <f>VLOOKUP(C333,'Talente &amp; Stuff'!BI:CJ,18,FALSE)</f>
        <v>0</v>
      </c>
      <c r="U333" s="222">
        <f>VLOOKUP(C333,'Talente &amp; Stuff'!BI:CJ,19,FALSE)</f>
        <v>0</v>
      </c>
      <c r="V333" s="223">
        <f>VLOOKUP(C333,'Talente &amp; Stuff'!BI:CJ,20,FALSE)</f>
        <v>0</v>
      </c>
      <c r="W333" s="243">
        <f>VLOOKUP(C333,'Talente &amp; Stuff'!BI:CJ,21,FALSE)</f>
        <v>0</v>
      </c>
      <c r="X333" s="218">
        <f>VLOOKUP(C333,'Talente &amp; Stuff'!BI:CJ,22,FALSE)</f>
        <v>0</v>
      </c>
      <c r="Y333" s="252">
        <f>VLOOKUP(C333,Ausgewählte_Zauber_Zaubertänzer,81,FALSE)</f>
        <v>0</v>
      </c>
      <c r="Z333" s="309">
        <f>VLOOKUP(C333,Ausgewählte_Zauber_Zaubertänzer,82,FALSE)</f>
        <v>0</v>
      </c>
      <c r="AA333" s="218">
        <f>VLOOKUP(C333,'Talente &amp; Stuff'!BI:CJ,25,FALSE)</f>
        <v>0</v>
      </c>
      <c r="AB333" s="242">
        <f>VLOOKUP(C333,'Talente &amp; Stuff'!BI:CJ,26,FALSE)</f>
        <v>0</v>
      </c>
      <c r="AC333" s="218">
        <f>VLOOKUP(C333,'Talente &amp; Stuff'!BI:CJ,27,FALSE)</f>
        <v>0</v>
      </c>
      <c r="AD333" s="218">
        <f>VLOOKUP(C333,'Talente &amp; Stuff'!BI:CJ,28,FALSE)</f>
        <v>0</v>
      </c>
      <c r="AE333" s="343"/>
    </row>
    <row r="334" spans="1:31" s="217" customFormat="1" hidden="1" outlineLevel="2">
      <c r="A334" s="185"/>
      <c r="B334" s="217">
        <v>12</v>
      </c>
      <c r="C334" s="303" t="str">
        <f>Attribute!C334</f>
        <v>---</v>
      </c>
      <c r="D334" s="304" t="str">
        <f>VLOOKUP(C334,'Talente &amp; Stuff'!BI:CJ,2,FALSE)</f>
        <v>--/--/--</v>
      </c>
      <c r="E334" s="304" t="str">
        <f>VLOOKUP(C334,'Talente &amp; Stuff'!BI:CJ,3,FALSE)</f>
        <v>-</v>
      </c>
      <c r="F334" s="317">
        <f>VLOOKUP(C334,'Talente &amp; Stuff'!BI:CJ,4,FALSE)</f>
        <v>0</v>
      </c>
      <c r="G334" s="254">
        <f>VLOOKUP(C334,'Talente &amp; Stuff'!BI:CJ,5,FALSE)</f>
        <v>0</v>
      </c>
      <c r="H334" s="254">
        <f>VLOOKUP(C334,'Talente &amp; Stuff'!BI:CJ,6,FALSE)</f>
        <v>0</v>
      </c>
      <c r="I334" s="254">
        <f>VLOOKUP(C334,'Talente &amp; Stuff'!BI:CJ,7,FALSE)</f>
        <v>0</v>
      </c>
      <c r="J334" s="254">
        <f>VLOOKUP(C334,'Talente &amp; Stuff'!BI:CJ,8,FALSE)</f>
        <v>0</v>
      </c>
      <c r="K334" s="254">
        <f>VLOOKUP(C334,'Talente &amp; Stuff'!BI:CJ,9,FALSE)</f>
        <v>0</v>
      </c>
      <c r="L334" s="254">
        <f>VLOOKUP(C334,'Talente &amp; Stuff'!BI:CJ,10,FALSE)</f>
        <v>0</v>
      </c>
      <c r="M334" s="318">
        <f>VLOOKUP(C334,'Talente &amp; Stuff'!BI:CJ,11,FALSE)</f>
        <v>0</v>
      </c>
      <c r="N334" s="222">
        <f>VLOOKUP(C334,'Talente &amp; Stuff'!BI:CJ,12,FALSE)</f>
        <v>0</v>
      </c>
      <c r="O334" s="223">
        <f>VLOOKUP(C334,'Talente &amp; Stuff'!BI:CJ,13,FALSE)</f>
        <v>0</v>
      </c>
      <c r="P334" s="224">
        <f>VLOOKUP(C334,'Talente &amp; Stuff'!BI:CJ,14,FALSE)</f>
        <v>0</v>
      </c>
      <c r="Q334" s="237">
        <f>VLOOKUP(C334,'Talente &amp; Stuff'!BI:CJ,15,FALSE)</f>
        <v>0</v>
      </c>
      <c r="R334" s="254">
        <f>VLOOKUP(C334,'Talente &amp; Stuff'!BI:CJ,16,FALSE)</f>
        <v>0</v>
      </c>
      <c r="S334" s="224">
        <f>VLOOKUP(C334,'Talente &amp; Stuff'!BI:CJ,17,FALSE)</f>
        <v>0</v>
      </c>
      <c r="T334" s="242">
        <f>VLOOKUP(C334,'Talente &amp; Stuff'!BI:CJ,18,FALSE)</f>
        <v>0</v>
      </c>
      <c r="U334" s="222">
        <f>VLOOKUP(C334,'Talente &amp; Stuff'!BI:CJ,19,FALSE)</f>
        <v>0</v>
      </c>
      <c r="V334" s="223">
        <f>VLOOKUP(C334,'Talente &amp; Stuff'!BI:CJ,20,FALSE)</f>
        <v>0</v>
      </c>
      <c r="W334" s="243">
        <f>VLOOKUP(C334,'Talente &amp; Stuff'!BI:CJ,21,FALSE)</f>
        <v>0</v>
      </c>
      <c r="X334" s="218">
        <f>VLOOKUP(C334,'Talente &amp; Stuff'!BI:CJ,22,FALSE)</f>
        <v>0</v>
      </c>
      <c r="Y334" s="252">
        <f>VLOOKUP(C334,Ausgewählte_Zauber_Zaubertänzer,81,FALSE)</f>
        <v>0</v>
      </c>
      <c r="Z334" s="309">
        <f>VLOOKUP(C334,Ausgewählte_Zauber_Zaubertänzer,82,FALSE)</f>
        <v>0</v>
      </c>
      <c r="AA334" s="218">
        <f>VLOOKUP(C334,'Talente &amp; Stuff'!BI:CJ,25,FALSE)</f>
        <v>0</v>
      </c>
      <c r="AB334" s="242">
        <f>VLOOKUP(C334,'Talente &amp; Stuff'!BI:CJ,26,FALSE)</f>
        <v>0</v>
      </c>
      <c r="AC334" s="218">
        <f>VLOOKUP(C334,'Talente &amp; Stuff'!BI:CJ,27,FALSE)</f>
        <v>0</v>
      </c>
      <c r="AD334" s="218">
        <f>VLOOKUP(C334,'Talente &amp; Stuff'!BI:CJ,28,FALSE)</f>
        <v>0</v>
      </c>
      <c r="AE334" s="343"/>
    </row>
    <row r="335" spans="1:31" s="217" customFormat="1" hidden="1" outlineLevel="2">
      <c r="A335" s="185"/>
      <c r="B335" s="217">
        <v>13</v>
      </c>
      <c r="C335" s="303" t="str">
        <f>Attribute!C335</f>
        <v>---</v>
      </c>
      <c r="D335" s="304" t="str">
        <f>VLOOKUP(C335,'Talente &amp; Stuff'!BI:CJ,2,FALSE)</f>
        <v>--/--/--</v>
      </c>
      <c r="E335" s="304" t="str">
        <f>VLOOKUP(C335,'Talente &amp; Stuff'!BI:CJ,3,FALSE)</f>
        <v>-</v>
      </c>
      <c r="F335" s="317">
        <f>VLOOKUP(C335,'Talente &amp; Stuff'!BI:CJ,4,FALSE)</f>
        <v>0</v>
      </c>
      <c r="G335" s="254">
        <f>VLOOKUP(C335,'Talente &amp; Stuff'!BI:CJ,5,FALSE)</f>
        <v>0</v>
      </c>
      <c r="H335" s="254">
        <f>VLOOKUP(C335,'Talente &amp; Stuff'!BI:CJ,6,FALSE)</f>
        <v>0</v>
      </c>
      <c r="I335" s="254">
        <f>VLOOKUP(C335,'Talente &amp; Stuff'!BI:CJ,7,FALSE)</f>
        <v>0</v>
      </c>
      <c r="J335" s="254">
        <f>VLOOKUP(C335,'Talente &amp; Stuff'!BI:CJ,8,FALSE)</f>
        <v>0</v>
      </c>
      <c r="K335" s="254">
        <f>VLOOKUP(C335,'Talente &amp; Stuff'!BI:CJ,9,FALSE)</f>
        <v>0</v>
      </c>
      <c r="L335" s="254">
        <f>VLOOKUP(C335,'Talente &amp; Stuff'!BI:CJ,10,FALSE)</f>
        <v>0</v>
      </c>
      <c r="M335" s="318">
        <f>VLOOKUP(C335,'Talente &amp; Stuff'!BI:CJ,11,FALSE)</f>
        <v>0</v>
      </c>
      <c r="N335" s="222">
        <f>VLOOKUP(C335,'Talente &amp; Stuff'!BI:CJ,12,FALSE)</f>
        <v>0</v>
      </c>
      <c r="O335" s="223">
        <f>VLOOKUP(C335,'Talente &amp; Stuff'!BI:CJ,13,FALSE)</f>
        <v>0</v>
      </c>
      <c r="P335" s="224">
        <f>VLOOKUP(C335,'Talente &amp; Stuff'!BI:CJ,14,FALSE)</f>
        <v>0</v>
      </c>
      <c r="Q335" s="237">
        <f>VLOOKUP(C335,'Talente &amp; Stuff'!BI:CJ,15,FALSE)</f>
        <v>0</v>
      </c>
      <c r="R335" s="254">
        <f>VLOOKUP(C335,'Talente &amp; Stuff'!BI:CJ,16,FALSE)</f>
        <v>0</v>
      </c>
      <c r="S335" s="224">
        <f>VLOOKUP(C335,'Talente &amp; Stuff'!BI:CJ,17,FALSE)</f>
        <v>0</v>
      </c>
      <c r="T335" s="242">
        <f>VLOOKUP(C335,'Talente &amp; Stuff'!BI:CJ,18,FALSE)</f>
        <v>0</v>
      </c>
      <c r="U335" s="222">
        <f>VLOOKUP(C335,'Talente &amp; Stuff'!BI:CJ,19,FALSE)</f>
        <v>0</v>
      </c>
      <c r="V335" s="223">
        <f>VLOOKUP(C335,'Talente &amp; Stuff'!BI:CJ,20,FALSE)</f>
        <v>0</v>
      </c>
      <c r="W335" s="243">
        <f>VLOOKUP(C335,'Talente &amp; Stuff'!BI:CJ,21,FALSE)</f>
        <v>0</v>
      </c>
      <c r="X335" s="218">
        <f>VLOOKUP(C335,'Talente &amp; Stuff'!BI:CJ,22,FALSE)</f>
        <v>0</v>
      </c>
      <c r="Y335" s="252">
        <f>VLOOKUP(C335,Ausgewählte_Zauber_Zaubertänzer,81,FALSE)</f>
        <v>0</v>
      </c>
      <c r="Z335" s="309">
        <f>VLOOKUP(C335,Ausgewählte_Zauber_Zaubertänzer,82,FALSE)</f>
        <v>0</v>
      </c>
      <c r="AA335" s="218">
        <f>VLOOKUP(C335,'Talente &amp; Stuff'!BI:CJ,25,FALSE)</f>
        <v>0</v>
      </c>
      <c r="AB335" s="242">
        <f>VLOOKUP(C335,'Talente &amp; Stuff'!BI:CJ,26,FALSE)</f>
        <v>0</v>
      </c>
      <c r="AC335" s="218">
        <f>VLOOKUP(C335,'Talente &amp; Stuff'!BI:CJ,27,FALSE)</f>
        <v>0</v>
      </c>
      <c r="AD335" s="218">
        <f>VLOOKUP(C335,'Talente &amp; Stuff'!BI:CJ,28,FALSE)</f>
        <v>0</v>
      </c>
      <c r="AE335" s="343"/>
    </row>
    <row r="336" spans="1:31" s="217" customFormat="1" hidden="1" outlineLevel="2">
      <c r="A336" s="185"/>
      <c r="B336" s="217">
        <v>14</v>
      </c>
      <c r="C336" s="303" t="str">
        <f>Attribute!C336</f>
        <v>---</v>
      </c>
      <c r="D336" s="304" t="str">
        <f>VLOOKUP(C336,'Talente &amp; Stuff'!BI:CJ,2,FALSE)</f>
        <v>--/--/--</v>
      </c>
      <c r="E336" s="304" t="str">
        <f>VLOOKUP(C336,'Talente &amp; Stuff'!BI:CJ,3,FALSE)</f>
        <v>-</v>
      </c>
      <c r="F336" s="317">
        <f>VLOOKUP(C336,'Talente &amp; Stuff'!BI:CJ,4,FALSE)</f>
        <v>0</v>
      </c>
      <c r="G336" s="254">
        <f>VLOOKUP(C336,'Talente &amp; Stuff'!BI:CJ,5,FALSE)</f>
        <v>0</v>
      </c>
      <c r="H336" s="254">
        <f>VLOOKUP(C336,'Talente &amp; Stuff'!BI:CJ,6,FALSE)</f>
        <v>0</v>
      </c>
      <c r="I336" s="254">
        <f>VLOOKUP(C336,'Talente &amp; Stuff'!BI:CJ,7,FALSE)</f>
        <v>0</v>
      </c>
      <c r="J336" s="254">
        <f>VLOOKUP(C336,'Talente &amp; Stuff'!BI:CJ,8,FALSE)</f>
        <v>0</v>
      </c>
      <c r="K336" s="254">
        <f>VLOOKUP(C336,'Talente &amp; Stuff'!BI:CJ,9,FALSE)</f>
        <v>0</v>
      </c>
      <c r="L336" s="254">
        <f>VLOOKUP(C336,'Talente &amp; Stuff'!BI:CJ,10,FALSE)</f>
        <v>0</v>
      </c>
      <c r="M336" s="318">
        <f>VLOOKUP(C336,'Talente &amp; Stuff'!BI:CJ,11,FALSE)</f>
        <v>0</v>
      </c>
      <c r="N336" s="222">
        <f>VLOOKUP(C336,'Talente &amp; Stuff'!BI:CJ,12,FALSE)</f>
        <v>0</v>
      </c>
      <c r="O336" s="223">
        <f>VLOOKUP(C336,'Talente &amp; Stuff'!BI:CJ,13,FALSE)</f>
        <v>0</v>
      </c>
      <c r="P336" s="224">
        <f>VLOOKUP(C336,'Talente &amp; Stuff'!BI:CJ,14,FALSE)</f>
        <v>0</v>
      </c>
      <c r="Q336" s="237">
        <f>VLOOKUP(C336,'Talente &amp; Stuff'!BI:CJ,15,FALSE)</f>
        <v>0</v>
      </c>
      <c r="R336" s="254">
        <f>VLOOKUP(C336,'Talente &amp; Stuff'!BI:CJ,16,FALSE)</f>
        <v>0</v>
      </c>
      <c r="S336" s="224">
        <f>VLOOKUP(C336,'Talente &amp; Stuff'!BI:CJ,17,FALSE)</f>
        <v>0</v>
      </c>
      <c r="T336" s="242">
        <f>VLOOKUP(C336,'Talente &amp; Stuff'!BI:CJ,18,FALSE)</f>
        <v>0</v>
      </c>
      <c r="U336" s="222">
        <f>VLOOKUP(C336,'Talente &amp; Stuff'!BI:CJ,19,FALSE)</f>
        <v>0</v>
      </c>
      <c r="V336" s="223">
        <f>VLOOKUP(C336,'Talente &amp; Stuff'!BI:CJ,20,FALSE)</f>
        <v>0</v>
      </c>
      <c r="W336" s="243">
        <f>VLOOKUP(C336,'Talente &amp; Stuff'!BI:CJ,21,FALSE)</f>
        <v>0</v>
      </c>
      <c r="X336" s="218">
        <f>VLOOKUP(C336,'Talente &amp; Stuff'!BI:CJ,22,FALSE)</f>
        <v>0</v>
      </c>
      <c r="Y336" s="252">
        <f>VLOOKUP(C336,Ausgewählte_Zauber_Zaubertänzer,81,FALSE)</f>
        <v>0</v>
      </c>
      <c r="Z336" s="309">
        <f>VLOOKUP(C336,Ausgewählte_Zauber_Zaubertänzer,82,FALSE)</f>
        <v>0</v>
      </c>
      <c r="AA336" s="218">
        <f>VLOOKUP(C336,'Talente &amp; Stuff'!BI:CJ,25,FALSE)</f>
        <v>0</v>
      </c>
      <c r="AB336" s="242">
        <f>VLOOKUP(C336,'Talente &amp; Stuff'!BI:CJ,26,FALSE)</f>
        <v>0</v>
      </c>
      <c r="AC336" s="218">
        <f>VLOOKUP(C336,'Talente &amp; Stuff'!BI:CJ,27,FALSE)</f>
        <v>0</v>
      </c>
      <c r="AD336" s="218">
        <f>VLOOKUP(C336,'Talente &amp; Stuff'!BI:CJ,28,FALSE)</f>
        <v>0</v>
      </c>
      <c r="AE336" s="343"/>
    </row>
    <row r="337" spans="1:31" s="217" customFormat="1" hidden="1" outlineLevel="2">
      <c r="A337" s="185"/>
      <c r="B337" s="217">
        <v>15</v>
      </c>
      <c r="C337" s="303" t="str">
        <f>Attribute!C337</f>
        <v>---</v>
      </c>
      <c r="D337" s="304" t="str">
        <f>VLOOKUP(C337,'Talente &amp; Stuff'!BI:CJ,2,FALSE)</f>
        <v>--/--/--</v>
      </c>
      <c r="E337" s="304" t="str">
        <f>VLOOKUP(C337,'Talente &amp; Stuff'!BI:CJ,3,FALSE)</f>
        <v>-</v>
      </c>
      <c r="F337" s="317">
        <f>VLOOKUP(C337,'Talente &amp; Stuff'!BI:CJ,4,FALSE)</f>
        <v>0</v>
      </c>
      <c r="G337" s="254">
        <f>VLOOKUP(C337,'Talente &amp; Stuff'!BI:CJ,5,FALSE)</f>
        <v>0</v>
      </c>
      <c r="H337" s="254">
        <f>VLOOKUP(C337,'Talente &amp; Stuff'!BI:CJ,6,FALSE)</f>
        <v>0</v>
      </c>
      <c r="I337" s="254">
        <f>VLOOKUP(C337,'Talente &amp; Stuff'!BI:CJ,7,FALSE)</f>
        <v>0</v>
      </c>
      <c r="J337" s="254">
        <f>VLOOKUP(C337,'Talente &amp; Stuff'!BI:CJ,8,FALSE)</f>
        <v>0</v>
      </c>
      <c r="K337" s="254">
        <f>VLOOKUP(C337,'Talente &amp; Stuff'!BI:CJ,9,FALSE)</f>
        <v>0</v>
      </c>
      <c r="L337" s="254">
        <f>VLOOKUP(C337,'Talente &amp; Stuff'!BI:CJ,10,FALSE)</f>
        <v>0</v>
      </c>
      <c r="M337" s="318">
        <f>VLOOKUP(C337,'Talente &amp; Stuff'!BI:CJ,11,FALSE)</f>
        <v>0</v>
      </c>
      <c r="N337" s="222">
        <f>VLOOKUP(C337,'Talente &amp; Stuff'!BI:CJ,12,FALSE)</f>
        <v>0</v>
      </c>
      <c r="O337" s="223">
        <f>VLOOKUP(C337,'Talente &amp; Stuff'!BI:CJ,13,FALSE)</f>
        <v>0</v>
      </c>
      <c r="P337" s="224">
        <f>VLOOKUP(C337,'Talente &amp; Stuff'!BI:CJ,14,FALSE)</f>
        <v>0</v>
      </c>
      <c r="Q337" s="237">
        <f>VLOOKUP(C337,'Talente &amp; Stuff'!BI:CJ,15,FALSE)</f>
        <v>0</v>
      </c>
      <c r="R337" s="254">
        <f>VLOOKUP(C337,'Talente &amp; Stuff'!BI:CJ,16,FALSE)</f>
        <v>0</v>
      </c>
      <c r="S337" s="224">
        <f>VLOOKUP(C337,'Talente &amp; Stuff'!BI:CJ,17,FALSE)</f>
        <v>0</v>
      </c>
      <c r="T337" s="242">
        <f>VLOOKUP(C337,'Talente &amp; Stuff'!BI:CJ,18,FALSE)</f>
        <v>0</v>
      </c>
      <c r="U337" s="222">
        <f>VLOOKUP(C337,'Talente &amp; Stuff'!BI:CJ,19,FALSE)</f>
        <v>0</v>
      </c>
      <c r="V337" s="223">
        <f>VLOOKUP(C337,'Talente &amp; Stuff'!BI:CJ,20,FALSE)</f>
        <v>0</v>
      </c>
      <c r="W337" s="243">
        <f>VLOOKUP(C337,'Talente &amp; Stuff'!BI:CJ,21,FALSE)</f>
        <v>0</v>
      </c>
      <c r="X337" s="218">
        <f>VLOOKUP(C337,'Talente &amp; Stuff'!BI:CJ,22,FALSE)</f>
        <v>0</v>
      </c>
      <c r="Y337" s="252">
        <f>VLOOKUP(C337,Ausgewählte_Zauber_Zaubertänzer,81,FALSE)</f>
        <v>0</v>
      </c>
      <c r="Z337" s="309">
        <f>VLOOKUP(C337,Ausgewählte_Zauber_Zaubertänzer,82,FALSE)</f>
        <v>0</v>
      </c>
      <c r="AA337" s="218">
        <f>VLOOKUP(C337,'Talente &amp; Stuff'!BI:CJ,25,FALSE)</f>
        <v>0</v>
      </c>
      <c r="AB337" s="242">
        <f>VLOOKUP(C337,'Talente &amp; Stuff'!BI:CJ,26,FALSE)</f>
        <v>0</v>
      </c>
      <c r="AC337" s="218">
        <f>VLOOKUP(C337,'Talente &amp; Stuff'!BI:CJ,27,FALSE)</f>
        <v>0</v>
      </c>
      <c r="AD337" s="218">
        <f>VLOOKUP(C337,'Talente &amp; Stuff'!BI:CJ,28,FALSE)</f>
        <v>0</v>
      </c>
      <c r="AE337" s="343"/>
    </row>
    <row r="338" spans="1:31" s="217" customFormat="1" hidden="1" outlineLevel="2">
      <c r="A338" s="185"/>
      <c r="B338" s="217">
        <v>16</v>
      </c>
      <c r="C338" s="303" t="str">
        <f>Attribute!C338</f>
        <v>---</v>
      </c>
      <c r="D338" s="304" t="str">
        <f>VLOOKUP(C338,'Talente &amp; Stuff'!BI:CJ,2,FALSE)</f>
        <v>--/--/--</v>
      </c>
      <c r="E338" s="304" t="str">
        <f>VLOOKUP(C338,'Talente &amp; Stuff'!BI:CJ,3,FALSE)</f>
        <v>-</v>
      </c>
      <c r="F338" s="317">
        <f>VLOOKUP(C338,'Talente &amp; Stuff'!BI:CJ,4,FALSE)</f>
        <v>0</v>
      </c>
      <c r="G338" s="254">
        <f>VLOOKUP(C338,'Talente &amp; Stuff'!BI:CJ,5,FALSE)</f>
        <v>0</v>
      </c>
      <c r="H338" s="254">
        <f>VLOOKUP(C338,'Talente &amp; Stuff'!BI:CJ,6,FALSE)</f>
        <v>0</v>
      </c>
      <c r="I338" s="254">
        <f>VLOOKUP(C338,'Talente &amp; Stuff'!BI:CJ,7,FALSE)</f>
        <v>0</v>
      </c>
      <c r="J338" s="254">
        <f>VLOOKUP(C338,'Talente &amp; Stuff'!BI:CJ,8,FALSE)</f>
        <v>0</v>
      </c>
      <c r="K338" s="254">
        <f>VLOOKUP(C338,'Talente &amp; Stuff'!BI:CJ,9,FALSE)</f>
        <v>0</v>
      </c>
      <c r="L338" s="254">
        <f>VLOOKUP(C338,'Talente &amp; Stuff'!BI:CJ,10,FALSE)</f>
        <v>0</v>
      </c>
      <c r="M338" s="318">
        <f>VLOOKUP(C338,'Talente &amp; Stuff'!BI:CJ,11,FALSE)</f>
        <v>0</v>
      </c>
      <c r="N338" s="222">
        <f>VLOOKUP(C338,'Talente &amp; Stuff'!BI:CJ,12,FALSE)</f>
        <v>0</v>
      </c>
      <c r="O338" s="223">
        <f>VLOOKUP(C338,'Talente &amp; Stuff'!BI:CJ,13,FALSE)</f>
        <v>0</v>
      </c>
      <c r="P338" s="224">
        <f>VLOOKUP(C338,'Talente &amp; Stuff'!BI:CJ,14,FALSE)</f>
        <v>0</v>
      </c>
      <c r="Q338" s="237">
        <f>VLOOKUP(C338,'Talente &amp; Stuff'!BI:CJ,15,FALSE)</f>
        <v>0</v>
      </c>
      <c r="R338" s="254">
        <f>VLOOKUP(C338,'Talente &amp; Stuff'!BI:CJ,16,FALSE)</f>
        <v>0</v>
      </c>
      <c r="S338" s="224">
        <f>VLOOKUP(C338,'Talente &amp; Stuff'!BI:CJ,17,FALSE)</f>
        <v>0</v>
      </c>
      <c r="T338" s="242">
        <f>VLOOKUP(C338,'Talente &amp; Stuff'!BI:CJ,18,FALSE)</f>
        <v>0</v>
      </c>
      <c r="U338" s="222">
        <f>VLOOKUP(C338,'Talente &amp; Stuff'!BI:CJ,19,FALSE)</f>
        <v>0</v>
      </c>
      <c r="V338" s="223">
        <f>VLOOKUP(C338,'Talente &amp; Stuff'!BI:CJ,20,FALSE)</f>
        <v>0</v>
      </c>
      <c r="W338" s="243">
        <f>VLOOKUP(C338,'Talente &amp; Stuff'!BI:CJ,21,FALSE)</f>
        <v>0</v>
      </c>
      <c r="X338" s="218">
        <f>VLOOKUP(C338,'Talente &amp; Stuff'!BI:CJ,22,FALSE)</f>
        <v>0</v>
      </c>
      <c r="Y338" s="252">
        <f>VLOOKUP(C338,Ausgewählte_Zauber_Zaubertänzer,81,FALSE)</f>
        <v>0</v>
      </c>
      <c r="Z338" s="309">
        <f>VLOOKUP(C338,Ausgewählte_Zauber_Zaubertänzer,82,FALSE)</f>
        <v>0</v>
      </c>
      <c r="AA338" s="218">
        <f>VLOOKUP(C338,'Talente &amp; Stuff'!BI:CJ,25,FALSE)</f>
        <v>0</v>
      </c>
      <c r="AB338" s="242">
        <f>VLOOKUP(C338,'Talente &amp; Stuff'!BI:CJ,26,FALSE)</f>
        <v>0</v>
      </c>
      <c r="AC338" s="218">
        <f>VLOOKUP(C338,'Talente &amp; Stuff'!BI:CJ,27,FALSE)</f>
        <v>0</v>
      </c>
      <c r="AD338" s="218">
        <f>VLOOKUP(C338,'Talente &amp; Stuff'!BI:CJ,28,FALSE)</f>
        <v>0</v>
      </c>
      <c r="AE338" s="343"/>
    </row>
    <row r="339" spans="1:31" s="217" customFormat="1" hidden="1" outlineLevel="2">
      <c r="A339" s="185"/>
      <c r="B339" s="217">
        <v>17</v>
      </c>
      <c r="C339" s="303" t="str">
        <f>Attribute!C339</f>
        <v>---</v>
      </c>
      <c r="D339" s="304" t="str">
        <f>VLOOKUP(C339,'Talente &amp; Stuff'!BI:CJ,2,FALSE)</f>
        <v>--/--/--</v>
      </c>
      <c r="E339" s="304" t="str">
        <f>VLOOKUP(C339,'Talente &amp; Stuff'!BI:CJ,3,FALSE)</f>
        <v>-</v>
      </c>
      <c r="F339" s="317">
        <f>VLOOKUP(C339,'Talente &amp; Stuff'!BI:CJ,4,FALSE)</f>
        <v>0</v>
      </c>
      <c r="G339" s="254">
        <f>VLOOKUP(C339,'Talente &amp; Stuff'!BI:CJ,5,FALSE)</f>
        <v>0</v>
      </c>
      <c r="H339" s="254">
        <f>VLOOKUP(C339,'Talente &amp; Stuff'!BI:CJ,6,FALSE)</f>
        <v>0</v>
      </c>
      <c r="I339" s="254">
        <f>VLOOKUP(C339,'Talente &amp; Stuff'!BI:CJ,7,FALSE)</f>
        <v>0</v>
      </c>
      <c r="J339" s="254">
        <f>VLOOKUP(C339,'Talente &amp; Stuff'!BI:CJ,8,FALSE)</f>
        <v>0</v>
      </c>
      <c r="K339" s="254">
        <f>VLOOKUP(C339,'Talente &amp; Stuff'!BI:CJ,9,FALSE)</f>
        <v>0</v>
      </c>
      <c r="L339" s="254">
        <f>VLOOKUP(C339,'Talente &amp; Stuff'!BI:CJ,10,FALSE)</f>
        <v>0</v>
      </c>
      <c r="M339" s="318">
        <f>VLOOKUP(C339,'Talente &amp; Stuff'!BI:CJ,11,FALSE)</f>
        <v>0</v>
      </c>
      <c r="N339" s="222">
        <f>VLOOKUP(C339,'Talente &amp; Stuff'!BI:CJ,12,FALSE)</f>
        <v>0</v>
      </c>
      <c r="O339" s="223">
        <f>VLOOKUP(C339,'Talente &amp; Stuff'!BI:CJ,13,FALSE)</f>
        <v>0</v>
      </c>
      <c r="P339" s="224">
        <f>VLOOKUP(C339,'Talente &amp; Stuff'!BI:CJ,14,FALSE)</f>
        <v>0</v>
      </c>
      <c r="Q339" s="237">
        <f>VLOOKUP(C339,'Talente &amp; Stuff'!BI:CJ,15,FALSE)</f>
        <v>0</v>
      </c>
      <c r="R339" s="254">
        <f>VLOOKUP(C339,'Talente &amp; Stuff'!BI:CJ,16,FALSE)</f>
        <v>0</v>
      </c>
      <c r="S339" s="224">
        <f>VLOOKUP(C339,'Talente &amp; Stuff'!BI:CJ,17,FALSE)</f>
        <v>0</v>
      </c>
      <c r="T339" s="242">
        <f>VLOOKUP(C339,'Talente &amp; Stuff'!BI:CJ,18,FALSE)</f>
        <v>0</v>
      </c>
      <c r="U339" s="222">
        <f>VLOOKUP(C339,'Talente &amp; Stuff'!BI:CJ,19,FALSE)</f>
        <v>0</v>
      </c>
      <c r="V339" s="223">
        <f>VLOOKUP(C339,'Talente &amp; Stuff'!BI:CJ,20,FALSE)</f>
        <v>0</v>
      </c>
      <c r="W339" s="243">
        <f>VLOOKUP(C339,'Talente &amp; Stuff'!BI:CJ,21,FALSE)</f>
        <v>0</v>
      </c>
      <c r="X339" s="218">
        <f>VLOOKUP(C339,'Talente &amp; Stuff'!BI:CJ,22,FALSE)</f>
        <v>0</v>
      </c>
      <c r="Y339" s="252">
        <f>VLOOKUP(C339,Ausgewählte_Zauber_Zaubertänzer,81,FALSE)</f>
        <v>0</v>
      </c>
      <c r="Z339" s="309">
        <f>VLOOKUP(C339,Ausgewählte_Zauber_Zaubertänzer,82,FALSE)</f>
        <v>0</v>
      </c>
      <c r="AA339" s="218">
        <f>VLOOKUP(C339,'Talente &amp; Stuff'!BI:CJ,25,FALSE)</f>
        <v>0</v>
      </c>
      <c r="AB339" s="242">
        <f>VLOOKUP(C339,'Talente &amp; Stuff'!BI:CJ,26,FALSE)</f>
        <v>0</v>
      </c>
      <c r="AC339" s="218">
        <f>VLOOKUP(C339,'Talente &amp; Stuff'!BI:CJ,27,FALSE)</f>
        <v>0</v>
      </c>
      <c r="AD339" s="218">
        <f>VLOOKUP(C339,'Talente &amp; Stuff'!BI:CJ,28,FALSE)</f>
        <v>0</v>
      </c>
      <c r="AE339" s="343"/>
    </row>
    <row r="340" spans="1:31" s="217" customFormat="1" hidden="1" outlineLevel="2">
      <c r="A340" s="185"/>
      <c r="B340" s="217">
        <v>18</v>
      </c>
      <c r="C340" s="303" t="str">
        <f>Attribute!C340</f>
        <v>---</v>
      </c>
      <c r="D340" s="304" t="str">
        <f>VLOOKUP(C340,'Talente &amp; Stuff'!BI:CJ,2,FALSE)</f>
        <v>--/--/--</v>
      </c>
      <c r="E340" s="304" t="str">
        <f>VLOOKUP(C340,'Talente &amp; Stuff'!BI:CJ,3,FALSE)</f>
        <v>-</v>
      </c>
      <c r="F340" s="317">
        <f>VLOOKUP(C340,'Talente &amp; Stuff'!BI:CJ,4,FALSE)</f>
        <v>0</v>
      </c>
      <c r="G340" s="254">
        <f>VLOOKUP(C340,'Talente &amp; Stuff'!BI:CJ,5,FALSE)</f>
        <v>0</v>
      </c>
      <c r="H340" s="254">
        <f>VLOOKUP(C340,'Talente &amp; Stuff'!BI:CJ,6,FALSE)</f>
        <v>0</v>
      </c>
      <c r="I340" s="254">
        <f>VLOOKUP(C340,'Talente &amp; Stuff'!BI:CJ,7,FALSE)</f>
        <v>0</v>
      </c>
      <c r="J340" s="254">
        <f>VLOOKUP(C340,'Talente &amp; Stuff'!BI:CJ,8,FALSE)</f>
        <v>0</v>
      </c>
      <c r="K340" s="254">
        <f>VLOOKUP(C340,'Talente &amp; Stuff'!BI:CJ,9,FALSE)</f>
        <v>0</v>
      </c>
      <c r="L340" s="254">
        <f>VLOOKUP(C340,'Talente &amp; Stuff'!BI:CJ,10,FALSE)</f>
        <v>0</v>
      </c>
      <c r="M340" s="318">
        <f>VLOOKUP(C340,'Talente &amp; Stuff'!BI:CJ,11,FALSE)</f>
        <v>0</v>
      </c>
      <c r="N340" s="222">
        <f>VLOOKUP(C340,'Talente &amp; Stuff'!BI:CJ,12,FALSE)</f>
        <v>0</v>
      </c>
      <c r="O340" s="223">
        <f>VLOOKUP(C340,'Talente &amp; Stuff'!BI:CJ,13,FALSE)</f>
        <v>0</v>
      </c>
      <c r="P340" s="224">
        <f>VLOOKUP(C340,'Talente &amp; Stuff'!BI:CJ,14,FALSE)</f>
        <v>0</v>
      </c>
      <c r="Q340" s="237">
        <f>VLOOKUP(C340,'Talente &amp; Stuff'!BI:CJ,15,FALSE)</f>
        <v>0</v>
      </c>
      <c r="R340" s="254">
        <f>VLOOKUP(C340,'Talente &amp; Stuff'!BI:CJ,16,FALSE)</f>
        <v>0</v>
      </c>
      <c r="S340" s="224">
        <f>VLOOKUP(C340,'Talente &amp; Stuff'!BI:CJ,17,FALSE)</f>
        <v>0</v>
      </c>
      <c r="T340" s="242">
        <f>VLOOKUP(C340,'Talente &amp; Stuff'!BI:CJ,18,FALSE)</f>
        <v>0</v>
      </c>
      <c r="U340" s="222">
        <f>VLOOKUP(C340,'Talente &amp; Stuff'!BI:CJ,19,FALSE)</f>
        <v>0</v>
      </c>
      <c r="V340" s="223">
        <f>VLOOKUP(C340,'Talente &amp; Stuff'!BI:CJ,20,FALSE)</f>
        <v>0</v>
      </c>
      <c r="W340" s="243">
        <f>VLOOKUP(C340,'Talente &amp; Stuff'!BI:CJ,21,FALSE)</f>
        <v>0</v>
      </c>
      <c r="X340" s="218">
        <f>VLOOKUP(C340,'Talente &amp; Stuff'!BI:CJ,22,FALSE)</f>
        <v>0</v>
      </c>
      <c r="Y340" s="252">
        <f>VLOOKUP(C340,Ausgewählte_Zauber_Zaubertänzer,81,FALSE)</f>
        <v>0</v>
      </c>
      <c r="Z340" s="309">
        <f>VLOOKUP(C340,Ausgewählte_Zauber_Zaubertänzer,82,FALSE)</f>
        <v>0</v>
      </c>
      <c r="AA340" s="218">
        <f>VLOOKUP(C340,'Talente &amp; Stuff'!BI:CJ,25,FALSE)</f>
        <v>0</v>
      </c>
      <c r="AB340" s="242">
        <f>VLOOKUP(C340,'Talente &amp; Stuff'!BI:CJ,26,FALSE)</f>
        <v>0</v>
      </c>
      <c r="AC340" s="218">
        <f>VLOOKUP(C340,'Talente &amp; Stuff'!BI:CJ,27,FALSE)</f>
        <v>0</v>
      </c>
      <c r="AD340" s="218">
        <f>VLOOKUP(C340,'Talente &amp; Stuff'!BI:CJ,28,FALSE)</f>
        <v>0</v>
      </c>
      <c r="AE340" s="343"/>
    </row>
    <row r="341" spans="1:31" s="217" customFormat="1" hidden="1" outlineLevel="2">
      <c r="A341" s="185"/>
      <c r="B341" s="217">
        <v>19</v>
      </c>
      <c r="C341" s="303" t="str">
        <f>Attribute!C341</f>
        <v>---</v>
      </c>
      <c r="D341" s="304" t="str">
        <f>VLOOKUP(C341,'Talente &amp; Stuff'!BI:CJ,2,FALSE)</f>
        <v>--/--/--</v>
      </c>
      <c r="E341" s="304" t="str">
        <f>VLOOKUP(C341,'Talente &amp; Stuff'!BI:CJ,3,FALSE)</f>
        <v>-</v>
      </c>
      <c r="F341" s="317">
        <f>VLOOKUP(C341,'Talente &amp; Stuff'!BI:CJ,4,FALSE)</f>
        <v>0</v>
      </c>
      <c r="G341" s="254">
        <f>VLOOKUP(C341,'Talente &amp; Stuff'!BI:CJ,5,FALSE)</f>
        <v>0</v>
      </c>
      <c r="H341" s="254">
        <f>VLOOKUP(C341,'Talente &amp; Stuff'!BI:CJ,6,FALSE)</f>
        <v>0</v>
      </c>
      <c r="I341" s="254">
        <f>VLOOKUP(C341,'Talente &amp; Stuff'!BI:CJ,7,FALSE)</f>
        <v>0</v>
      </c>
      <c r="J341" s="254">
        <f>VLOOKUP(C341,'Talente &amp; Stuff'!BI:CJ,8,FALSE)</f>
        <v>0</v>
      </c>
      <c r="K341" s="254">
        <f>VLOOKUP(C341,'Talente &amp; Stuff'!BI:CJ,9,FALSE)</f>
        <v>0</v>
      </c>
      <c r="L341" s="254">
        <f>VLOOKUP(C341,'Talente &amp; Stuff'!BI:CJ,10,FALSE)</f>
        <v>0</v>
      </c>
      <c r="M341" s="318">
        <f>VLOOKUP(C341,'Talente &amp; Stuff'!BI:CJ,11,FALSE)</f>
        <v>0</v>
      </c>
      <c r="N341" s="222">
        <f>VLOOKUP(C341,'Talente &amp; Stuff'!BI:CJ,12,FALSE)</f>
        <v>0</v>
      </c>
      <c r="O341" s="223">
        <f>VLOOKUP(C341,'Talente &amp; Stuff'!BI:CJ,13,FALSE)</f>
        <v>0</v>
      </c>
      <c r="P341" s="224">
        <f>VLOOKUP(C341,'Talente &amp; Stuff'!BI:CJ,14,FALSE)</f>
        <v>0</v>
      </c>
      <c r="Q341" s="237">
        <f>VLOOKUP(C341,'Talente &amp; Stuff'!BI:CJ,15,FALSE)</f>
        <v>0</v>
      </c>
      <c r="R341" s="254">
        <f>VLOOKUP(C341,'Talente &amp; Stuff'!BI:CJ,16,FALSE)</f>
        <v>0</v>
      </c>
      <c r="S341" s="224">
        <f>VLOOKUP(C341,'Talente &amp; Stuff'!BI:CJ,17,FALSE)</f>
        <v>0</v>
      </c>
      <c r="T341" s="242">
        <f>VLOOKUP(C341,'Talente &amp; Stuff'!BI:CJ,18,FALSE)</f>
        <v>0</v>
      </c>
      <c r="U341" s="222">
        <f>VLOOKUP(C341,'Talente &amp; Stuff'!BI:CJ,19,FALSE)</f>
        <v>0</v>
      </c>
      <c r="V341" s="223">
        <f>VLOOKUP(C341,'Talente &amp; Stuff'!BI:CJ,20,FALSE)</f>
        <v>0</v>
      </c>
      <c r="W341" s="243">
        <f>VLOOKUP(C341,'Talente &amp; Stuff'!BI:CJ,21,FALSE)</f>
        <v>0</v>
      </c>
      <c r="X341" s="218">
        <f>VLOOKUP(C341,'Talente &amp; Stuff'!BI:CJ,22,FALSE)</f>
        <v>0</v>
      </c>
      <c r="Y341" s="252">
        <f>VLOOKUP(C341,Ausgewählte_Zauber_Zaubertänzer,81,FALSE)</f>
        <v>0</v>
      </c>
      <c r="Z341" s="309">
        <f>VLOOKUP(C341,Ausgewählte_Zauber_Zaubertänzer,82,FALSE)</f>
        <v>0</v>
      </c>
      <c r="AA341" s="218">
        <f>VLOOKUP(C341,'Talente &amp; Stuff'!BI:CJ,25,FALSE)</f>
        <v>0</v>
      </c>
      <c r="AB341" s="242">
        <f>VLOOKUP(C341,'Talente &amp; Stuff'!BI:CJ,26,FALSE)</f>
        <v>0</v>
      </c>
      <c r="AC341" s="218">
        <f>VLOOKUP(C341,'Talente &amp; Stuff'!BI:CJ,27,FALSE)</f>
        <v>0</v>
      </c>
      <c r="AD341" s="218">
        <f>VLOOKUP(C341,'Talente &amp; Stuff'!BI:CJ,28,FALSE)</f>
        <v>0</v>
      </c>
      <c r="AE341" s="343"/>
    </row>
    <row r="342" spans="1:31" s="217" customFormat="1" hidden="1" outlineLevel="2">
      <c r="A342" s="185"/>
      <c r="B342" s="217">
        <v>20</v>
      </c>
      <c r="C342" s="303" t="str">
        <f>Attribute!C342</f>
        <v>---</v>
      </c>
      <c r="D342" s="304" t="str">
        <f>VLOOKUP(C342,'Talente &amp; Stuff'!BI:CJ,2,FALSE)</f>
        <v>--/--/--</v>
      </c>
      <c r="E342" s="304" t="str">
        <f>VLOOKUP(C342,'Talente &amp; Stuff'!BI:CJ,3,FALSE)</f>
        <v>-</v>
      </c>
      <c r="F342" s="317">
        <f>VLOOKUP(C342,'Talente &amp; Stuff'!BI:CJ,4,FALSE)</f>
        <v>0</v>
      </c>
      <c r="G342" s="254">
        <f>VLOOKUP(C342,'Talente &amp; Stuff'!BI:CJ,5,FALSE)</f>
        <v>0</v>
      </c>
      <c r="H342" s="254">
        <f>VLOOKUP(C342,'Talente &amp; Stuff'!BI:CJ,6,FALSE)</f>
        <v>0</v>
      </c>
      <c r="I342" s="254">
        <f>VLOOKUP(C342,'Talente &amp; Stuff'!BI:CJ,7,FALSE)</f>
        <v>0</v>
      </c>
      <c r="J342" s="254">
        <f>VLOOKUP(C342,'Talente &amp; Stuff'!BI:CJ,8,FALSE)</f>
        <v>0</v>
      </c>
      <c r="K342" s="254">
        <f>VLOOKUP(C342,'Talente &amp; Stuff'!BI:CJ,9,FALSE)</f>
        <v>0</v>
      </c>
      <c r="L342" s="254">
        <f>VLOOKUP(C342,'Talente &amp; Stuff'!BI:CJ,10,FALSE)</f>
        <v>0</v>
      </c>
      <c r="M342" s="318">
        <f>VLOOKUP(C342,'Talente &amp; Stuff'!BI:CJ,11,FALSE)</f>
        <v>0</v>
      </c>
      <c r="N342" s="222">
        <f>VLOOKUP(C342,'Talente &amp; Stuff'!BI:CJ,12,FALSE)</f>
        <v>0</v>
      </c>
      <c r="O342" s="223">
        <f>VLOOKUP(C342,'Talente &amp; Stuff'!BI:CJ,13,FALSE)</f>
        <v>0</v>
      </c>
      <c r="P342" s="224">
        <f>VLOOKUP(C342,'Talente &amp; Stuff'!BI:CJ,14,FALSE)</f>
        <v>0</v>
      </c>
      <c r="Q342" s="237">
        <f>VLOOKUP(C342,'Talente &amp; Stuff'!BI:CJ,15,FALSE)</f>
        <v>0</v>
      </c>
      <c r="R342" s="254">
        <f>VLOOKUP(C342,'Talente &amp; Stuff'!BI:CJ,16,FALSE)</f>
        <v>0</v>
      </c>
      <c r="S342" s="224">
        <f>VLOOKUP(C342,'Talente &amp; Stuff'!BI:CJ,17,FALSE)</f>
        <v>0</v>
      </c>
      <c r="T342" s="242">
        <f>VLOOKUP(C342,'Talente &amp; Stuff'!BI:CJ,18,FALSE)</f>
        <v>0</v>
      </c>
      <c r="U342" s="222">
        <f>VLOOKUP(C342,'Talente &amp; Stuff'!BI:CJ,19,FALSE)</f>
        <v>0</v>
      </c>
      <c r="V342" s="223">
        <f>VLOOKUP(C342,'Talente &amp; Stuff'!BI:CJ,20,FALSE)</f>
        <v>0</v>
      </c>
      <c r="W342" s="243">
        <f>VLOOKUP(C342,'Talente &amp; Stuff'!BI:CJ,21,FALSE)</f>
        <v>0</v>
      </c>
      <c r="X342" s="218">
        <f>VLOOKUP(C342,'Talente &amp; Stuff'!BI:CJ,22,FALSE)</f>
        <v>0</v>
      </c>
      <c r="Y342" s="252">
        <f>VLOOKUP(C342,Ausgewählte_Zauber_Zaubertänzer,81,FALSE)</f>
        <v>0</v>
      </c>
      <c r="Z342" s="309">
        <f>VLOOKUP(C342,Ausgewählte_Zauber_Zaubertänzer,82,FALSE)</f>
        <v>0</v>
      </c>
      <c r="AA342" s="218">
        <f>VLOOKUP(C342,'Talente &amp; Stuff'!BI:CJ,25,FALSE)</f>
        <v>0</v>
      </c>
      <c r="AB342" s="242">
        <f>VLOOKUP(C342,'Talente &amp; Stuff'!BI:CJ,26,FALSE)</f>
        <v>0</v>
      </c>
      <c r="AC342" s="218">
        <f>VLOOKUP(C342,'Talente &amp; Stuff'!BI:CJ,27,FALSE)</f>
        <v>0</v>
      </c>
      <c r="AD342" s="218">
        <f>VLOOKUP(C342,'Talente &amp; Stuff'!BI:CJ,28,FALSE)</f>
        <v>0</v>
      </c>
      <c r="AE342" s="343"/>
    </row>
    <row r="343" spans="1:31" s="217" customFormat="1" hidden="1" outlineLevel="2">
      <c r="A343" s="185"/>
      <c r="B343" s="217">
        <v>21</v>
      </c>
      <c r="C343" s="303" t="str">
        <f>Attribute!C343</f>
        <v>---</v>
      </c>
      <c r="D343" s="304" t="str">
        <f>VLOOKUP(C343,'Talente &amp; Stuff'!BI:CJ,2,FALSE)</f>
        <v>--/--/--</v>
      </c>
      <c r="E343" s="304" t="str">
        <f>VLOOKUP(C343,'Talente &amp; Stuff'!BI:CJ,3,FALSE)</f>
        <v>-</v>
      </c>
      <c r="F343" s="317">
        <f>VLOOKUP(C343,'Talente &amp; Stuff'!BI:CJ,4,FALSE)</f>
        <v>0</v>
      </c>
      <c r="G343" s="254">
        <f>VLOOKUP(C343,'Talente &amp; Stuff'!BI:CJ,5,FALSE)</f>
        <v>0</v>
      </c>
      <c r="H343" s="254">
        <f>VLOOKUP(C343,'Talente &amp; Stuff'!BI:CJ,6,FALSE)</f>
        <v>0</v>
      </c>
      <c r="I343" s="254">
        <f>VLOOKUP(C343,'Talente &amp; Stuff'!BI:CJ,7,FALSE)</f>
        <v>0</v>
      </c>
      <c r="J343" s="254">
        <f>VLOOKUP(C343,'Talente &amp; Stuff'!BI:CJ,8,FALSE)</f>
        <v>0</v>
      </c>
      <c r="K343" s="254">
        <f>VLOOKUP(C343,'Talente &amp; Stuff'!BI:CJ,9,FALSE)</f>
        <v>0</v>
      </c>
      <c r="L343" s="254">
        <f>VLOOKUP(C343,'Talente &amp; Stuff'!BI:CJ,10,FALSE)</f>
        <v>0</v>
      </c>
      <c r="M343" s="318">
        <f>VLOOKUP(C343,'Talente &amp; Stuff'!BI:CJ,11,FALSE)</f>
        <v>0</v>
      </c>
      <c r="N343" s="222">
        <f>VLOOKUP(C343,'Talente &amp; Stuff'!BI:CJ,12,FALSE)</f>
        <v>0</v>
      </c>
      <c r="O343" s="223">
        <f>VLOOKUP(C343,'Talente &amp; Stuff'!BI:CJ,13,FALSE)</f>
        <v>0</v>
      </c>
      <c r="P343" s="224">
        <f>VLOOKUP(C343,'Talente &amp; Stuff'!BI:CJ,14,FALSE)</f>
        <v>0</v>
      </c>
      <c r="Q343" s="237">
        <f>VLOOKUP(C343,'Talente &amp; Stuff'!BI:CJ,15,FALSE)</f>
        <v>0</v>
      </c>
      <c r="R343" s="254">
        <f>VLOOKUP(C343,'Talente &amp; Stuff'!BI:CJ,16,FALSE)</f>
        <v>0</v>
      </c>
      <c r="S343" s="224">
        <f>VLOOKUP(C343,'Talente &amp; Stuff'!BI:CJ,17,FALSE)</f>
        <v>0</v>
      </c>
      <c r="T343" s="242">
        <f>VLOOKUP(C343,'Talente &amp; Stuff'!BI:CJ,18,FALSE)</f>
        <v>0</v>
      </c>
      <c r="U343" s="222">
        <f>VLOOKUP(C343,'Talente &amp; Stuff'!BI:CJ,19,FALSE)</f>
        <v>0</v>
      </c>
      <c r="V343" s="223">
        <f>VLOOKUP(C343,'Talente &amp; Stuff'!BI:CJ,20,FALSE)</f>
        <v>0</v>
      </c>
      <c r="W343" s="243">
        <f>VLOOKUP(C343,'Talente &amp; Stuff'!BI:CJ,21,FALSE)</f>
        <v>0</v>
      </c>
      <c r="X343" s="218">
        <f>VLOOKUP(C343,'Talente &amp; Stuff'!BI:CJ,22,FALSE)</f>
        <v>0</v>
      </c>
      <c r="Y343" s="252">
        <f>VLOOKUP(C343,Ausgewählte_Zauber_Zaubertänzer,81,FALSE)</f>
        <v>0</v>
      </c>
      <c r="Z343" s="309">
        <f>VLOOKUP(C343,Ausgewählte_Zauber_Zaubertänzer,82,FALSE)</f>
        <v>0</v>
      </c>
      <c r="AA343" s="218">
        <f>VLOOKUP(C343,'Talente &amp; Stuff'!BI:CJ,25,FALSE)</f>
        <v>0</v>
      </c>
      <c r="AB343" s="242">
        <f>VLOOKUP(C343,'Talente &amp; Stuff'!BI:CJ,26,FALSE)</f>
        <v>0</v>
      </c>
      <c r="AC343" s="218">
        <f>VLOOKUP(C343,'Talente &amp; Stuff'!BI:CJ,27,FALSE)</f>
        <v>0</v>
      </c>
      <c r="AD343" s="218">
        <f>VLOOKUP(C343,'Talente &amp; Stuff'!BI:CJ,28,FALSE)</f>
        <v>0</v>
      </c>
      <c r="AE343" s="343"/>
    </row>
    <row r="344" spans="1:31" s="217" customFormat="1" hidden="1" outlineLevel="2">
      <c r="A344" s="185"/>
      <c r="B344" s="217">
        <v>22</v>
      </c>
      <c r="C344" s="303" t="str">
        <f>Attribute!C344</f>
        <v>---</v>
      </c>
      <c r="D344" s="304" t="str">
        <f>VLOOKUP(C344,'Talente &amp; Stuff'!BI:CJ,2,FALSE)</f>
        <v>--/--/--</v>
      </c>
      <c r="E344" s="304" t="str">
        <f>VLOOKUP(C344,'Talente &amp; Stuff'!BI:CJ,3,FALSE)</f>
        <v>-</v>
      </c>
      <c r="F344" s="317">
        <f>VLOOKUP(C344,'Talente &amp; Stuff'!BI:CJ,4,FALSE)</f>
        <v>0</v>
      </c>
      <c r="G344" s="254">
        <f>VLOOKUP(C344,'Talente &amp; Stuff'!BI:CJ,5,FALSE)</f>
        <v>0</v>
      </c>
      <c r="H344" s="254">
        <f>VLOOKUP(C344,'Talente &amp; Stuff'!BI:CJ,6,FALSE)</f>
        <v>0</v>
      </c>
      <c r="I344" s="254">
        <f>VLOOKUP(C344,'Talente &amp; Stuff'!BI:CJ,7,FALSE)</f>
        <v>0</v>
      </c>
      <c r="J344" s="254">
        <f>VLOOKUP(C344,'Talente &amp; Stuff'!BI:CJ,8,FALSE)</f>
        <v>0</v>
      </c>
      <c r="K344" s="254">
        <f>VLOOKUP(C344,'Talente &amp; Stuff'!BI:CJ,9,FALSE)</f>
        <v>0</v>
      </c>
      <c r="L344" s="254">
        <f>VLOOKUP(C344,'Talente &amp; Stuff'!BI:CJ,10,FALSE)</f>
        <v>0</v>
      </c>
      <c r="M344" s="318">
        <f>VLOOKUP(C344,'Talente &amp; Stuff'!BI:CJ,11,FALSE)</f>
        <v>0</v>
      </c>
      <c r="N344" s="222">
        <f>VLOOKUP(C344,'Talente &amp; Stuff'!BI:CJ,12,FALSE)</f>
        <v>0</v>
      </c>
      <c r="O344" s="223">
        <f>VLOOKUP(C344,'Talente &amp; Stuff'!BI:CJ,13,FALSE)</f>
        <v>0</v>
      </c>
      <c r="P344" s="224">
        <f>VLOOKUP(C344,'Talente &amp; Stuff'!BI:CJ,14,FALSE)</f>
        <v>0</v>
      </c>
      <c r="Q344" s="237">
        <f>VLOOKUP(C344,'Talente &amp; Stuff'!BI:CJ,15,FALSE)</f>
        <v>0</v>
      </c>
      <c r="R344" s="254">
        <f>VLOOKUP(C344,'Talente &amp; Stuff'!BI:CJ,16,FALSE)</f>
        <v>0</v>
      </c>
      <c r="S344" s="224">
        <f>VLOOKUP(C344,'Talente &amp; Stuff'!BI:CJ,17,FALSE)</f>
        <v>0</v>
      </c>
      <c r="T344" s="242">
        <f>VLOOKUP(C344,'Talente &amp; Stuff'!BI:CJ,18,FALSE)</f>
        <v>0</v>
      </c>
      <c r="U344" s="222">
        <f>VLOOKUP(C344,'Talente &amp; Stuff'!BI:CJ,19,FALSE)</f>
        <v>0</v>
      </c>
      <c r="V344" s="223">
        <f>VLOOKUP(C344,'Talente &amp; Stuff'!BI:CJ,20,FALSE)</f>
        <v>0</v>
      </c>
      <c r="W344" s="243">
        <f>VLOOKUP(C344,'Talente &amp; Stuff'!BI:CJ,21,FALSE)</f>
        <v>0</v>
      </c>
      <c r="X344" s="218">
        <f>VLOOKUP(C344,'Talente &amp; Stuff'!BI:CJ,22,FALSE)</f>
        <v>0</v>
      </c>
      <c r="Y344" s="252">
        <f>VLOOKUP(C344,Ausgewählte_Zauber_Zaubertänzer,81,FALSE)</f>
        <v>0</v>
      </c>
      <c r="Z344" s="309">
        <f>VLOOKUP(C344,Ausgewählte_Zauber_Zaubertänzer,82,FALSE)</f>
        <v>0</v>
      </c>
      <c r="AA344" s="218">
        <f>VLOOKUP(C344,'Talente &amp; Stuff'!BI:CJ,25,FALSE)</f>
        <v>0</v>
      </c>
      <c r="AB344" s="242">
        <f>VLOOKUP(C344,'Talente &amp; Stuff'!BI:CJ,26,FALSE)</f>
        <v>0</v>
      </c>
      <c r="AC344" s="218">
        <f>VLOOKUP(C344,'Talente &amp; Stuff'!BI:CJ,27,FALSE)</f>
        <v>0</v>
      </c>
      <c r="AD344" s="218">
        <f>VLOOKUP(C344,'Talente &amp; Stuff'!BI:CJ,28,FALSE)</f>
        <v>0</v>
      </c>
      <c r="AE344" s="343"/>
    </row>
    <row r="345" spans="1:31" s="217" customFormat="1" hidden="1" outlineLevel="2">
      <c r="A345" s="185"/>
      <c r="B345" s="217">
        <v>23</v>
      </c>
      <c r="C345" s="303" t="str">
        <f>Attribute!C345</f>
        <v>---</v>
      </c>
      <c r="D345" s="304" t="str">
        <f>VLOOKUP(C345,'Talente &amp; Stuff'!BI:CJ,2,FALSE)</f>
        <v>--/--/--</v>
      </c>
      <c r="E345" s="218" t="str">
        <f>VLOOKUP(C345,'Talente &amp; Stuff'!BI:CJ,3,FALSE)</f>
        <v>-</v>
      </c>
      <c r="F345" s="237">
        <f>VLOOKUP(C345,'Talente &amp; Stuff'!BI:CJ,4,FALSE)</f>
        <v>0</v>
      </c>
      <c r="G345" s="234">
        <f>VLOOKUP(C345,'Talente &amp; Stuff'!BI:CJ,5,FALSE)</f>
        <v>0</v>
      </c>
      <c r="H345" s="234">
        <f>VLOOKUP(C345,'Talente &amp; Stuff'!BI:CJ,6,FALSE)</f>
        <v>0</v>
      </c>
      <c r="I345" s="234">
        <f>VLOOKUP(C345,'Talente &amp; Stuff'!BI:CJ,7,FALSE)</f>
        <v>0</v>
      </c>
      <c r="J345" s="234">
        <f>VLOOKUP(C345,'Talente &amp; Stuff'!BI:CJ,8,FALSE)</f>
        <v>0</v>
      </c>
      <c r="K345" s="234">
        <f>VLOOKUP(C345,'Talente &amp; Stuff'!BI:CJ,9,FALSE)</f>
        <v>0</v>
      </c>
      <c r="L345" s="234">
        <f>VLOOKUP(C345,'Talente &amp; Stuff'!BI:CJ,10,FALSE)</f>
        <v>0</v>
      </c>
      <c r="M345" s="224">
        <f>VLOOKUP(C345,'Talente &amp; Stuff'!BI:CJ,11,FALSE)</f>
        <v>0</v>
      </c>
      <c r="N345" s="222">
        <f>VLOOKUP(C345,'Talente &amp; Stuff'!BI:CJ,12,FALSE)</f>
        <v>0</v>
      </c>
      <c r="O345" s="223">
        <f>VLOOKUP(C345,'Talente &amp; Stuff'!BI:CJ,13,FALSE)</f>
        <v>0</v>
      </c>
      <c r="P345" s="224">
        <f>VLOOKUP(C345,'Talente &amp; Stuff'!BI:CJ,14,FALSE)</f>
        <v>0</v>
      </c>
      <c r="Q345" s="237">
        <f>VLOOKUP(C345,'Talente &amp; Stuff'!BI:CJ,15,FALSE)</f>
        <v>0</v>
      </c>
      <c r="R345" s="254">
        <f>VLOOKUP(C345,'Talente &amp; Stuff'!BI:CJ,16,FALSE)</f>
        <v>0</v>
      </c>
      <c r="S345" s="224">
        <f>VLOOKUP(C345,'Talente &amp; Stuff'!BI:CJ,17,FALSE)</f>
        <v>0</v>
      </c>
      <c r="T345" s="242">
        <f>VLOOKUP(C345,'Talente &amp; Stuff'!BI:CJ,18,FALSE)</f>
        <v>0</v>
      </c>
      <c r="U345" s="222">
        <f>VLOOKUP(C345,'Talente &amp; Stuff'!BI:CJ,19,FALSE)</f>
        <v>0</v>
      </c>
      <c r="V345" s="223">
        <f>VLOOKUP(C345,'Talente &amp; Stuff'!BI:CJ,20,FALSE)</f>
        <v>0</v>
      </c>
      <c r="W345" s="243">
        <f>VLOOKUP(C345,'Talente &amp; Stuff'!BI:CJ,21,FALSE)</f>
        <v>0</v>
      </c>
      <c r="X345" s="218">
        <f>VLOOKUP(C345,'Talente &amp; Stuff'!BI:CJ,22,FALSE)</f>
        <v>0</v>
      </c>
      <c r="Y345" s="252">
        <f>VLOOKUP(C345,Ausgewählte_Zauber_Zaubertänzer,81,FALSE)</f>
        <v>0</v>
      </c>
      <c r="Z345" s="309">
        <f>VLOOKUP(C345,Ausgewählte_Zauber_Zaubertänzer,82,FALSE)</f>
        <v>0</v>
      </c>
      <c r="AA345" s="218">
        <f>VLOOKUP(C345,'Talente &amp; Stuff'!BI:CJ,25,FALSE)</f>
        <v>0</v>
      </c>
      <c r="AB345" s="242">
        <f>VLOOKUP(C345,'Talente &amp; Stuff'!BI:CJ,26,FALSE)</f>
        <v>0</v>
      </c>
      <c r="AC345" s="218">
        <f>VLOOKUP(C345,'Talente &amp; Stuff'!BI:CJ,27,FALSE)</f>
        <v>0</v>
      </c>
      <c r="AD345" s="218">
        <f>VLOOKUP(C345,'Talente &amp; Stuff'!BI:CJ,28,FALSE)</f>
        <v>0</v>
      </c>
      <c r="AE345" s="343"/>
    </row>
    <row r="346" spans="1:31" s="217" customFormat="1" hidden="1" outlineLevel="2">
      <c r="A346" s="185"/>
      <c r="B346" s="217">
        <v>24</v>
      </c>
      <c r="C346" s="303" t="str">
        <f>Attribute!C346</f>
        <v>---</v>
      </c>
      <c r="D346" s="304" t="str">
        <f>VLOOKUP(C346,'Talente &amp; Stuff'!BI:CJ,2,FALSE)</f>
        <v>--/--/--</v>
      </c>
      <c r="E346" s="218" t="str">
        <f>VLOOKUP(C346,'Talente &amp; Stuff'!BI:CJ,3,FALSE)</f>
        <v>-</v>
      </c>
      <c r="F346" s="237">
        <f>VLOOKUP(C346,'Talente &amp; Stuff'!BI:CJ,4,FALSE)</f>
        <v>0</v>
      </c>
      <c r="G346" s="234">
        <f>VLOOKUP(C346,'Talente &amp; Stuff'!BI:CJ,5,FALSE)</f>
        <v>0</v>
      </c>
      <c r="H346" s="234">
        <f>VLOOKUP(C346,'Talente &amp; Stuff'!BI:CJ,6,FALSE)</f>
        <v>0</v>
      </c>
      <c r="I346" s="234">
        <f>VLOOKUP(C346,'Talente &amp; Stuff'!BI:CJ,7,FALSE)</f>
        <v>0</v>
      </c>
      <c r="J346" s="234">
        <f>VLOOKUP(C346,'Talente &amp; Stuff'!BI:CJ,8,FALSE)</f>
        <v>0</v>
      </c>
      <c r="K346" s="234">
        <f>VLOOKUP(C346,'Talente &amp; Stuff'!BI:CJ,9,FALSE)</f>
        <v>0</v>
      </c>
      <c r="L346" s="234">
        <f>VLOOKUP(C346,'Talente &amp; Stuff'!BI:CJ,10,FALSE)</f>
        <v>0</v>
      </c>
      <c r="M346" s="224">
        <f>VLOOKUP(C346,'Talente &amp; Stuff'!BI:CJ,11,FALSE)</f>
        <v>0</v>
      </c>
      <c r="N346" s="222">
        <f>VLOOKUP(C346,'Talente &amp; Stuff'!BI:CJ,12,FALSE)</f>
        <v>0</v>
      </c>
      <c r="O346" s="223">
        <f>VLOOKUP(C346,'Talente &amp; Stuff'!BI:CJ,13,FALSE)</f>
        <v>0</v>
      </c>
      <c r="P346" s="224">
        <f>VLOOKUP(C346,'Talente &amp; Stuff'!BI:CJ,14,FALSE)</f>
        <v>0</v>
      </c>
      <c r="Q346" s="237">
        <f>VLOOKUP(C346,'Talente &amp; Stuff'!BI:CJ,15,FALSE)</f>
        <v>0</v>
      </c>
      <c r="R346" s="254">
        <f>VLOOKUP(C346,'Talente &amp; Stuff'!BI:CJ,16,FALSE)</f>
        <v>0</v>
      </c>
      <c r="S346" s="224">
        <f>VLOOKUP(C346,'Talente &amp; Stuff'!BI:CJ,17,FALSE)</f>
        <v>0</v>
      </c>
      <c r="T346" s="242">
        <f>VLOOKUP(C346,'Talente &amp; Stuff'!BI:CJ,18,FALSE)</f>
        <v>0</v>
      </c>
      <c r="U346" s="222">
        <f>VLOOKUP(C346,'Talente &amp; Stuff'!BI:CJ,19,FALSE)</f>
        <v>0</v>
      </c>
      <c r="V346" s="223">
        <f>VLOOKUP(C346,'Talente &amp; Stuff'!BI:CJ,20,FALSE)</f>
        <v>0</v>
      </c>
      <c r="W346" s="243">
        <f>VLOOKUP(C346,'Talente &amp; Stuff'!BI:CJ,21,FALSE)</f>
        <v>0</v>
      </c>
      <c r="X346" s="218">
        <f>VLOOKUP(C346,'Talente &amp; Stuff'!BI:CJ,22,FALSE)</f>
        <v>0</v>
      </c>
      <c r="Y346" s="252">
        <f>VLOOKUP(C346,Ausgewählte_Zauber_Zaubertänzer,81,FALSE)</f>
        <v>0</v>
      </c>
      <c r="Z346" s="309">
        <f>VLOOKUP(C346,Ausgewählte_Zauber_Zaubertänzer,82,FALSE)</f>
        <v>0</v>
      </c>
      <c r="AA346" s="218">
        <f>VLOOKUP(C346,'Talente &amp; Stuff'!BI:CJ,25,FALSE)</f>
        <v>0</v>
      </c>
      <c r="AB346" s="242">
        <f>VLOOKUP(C346,'Talente &amp; Stuff'!BI:CJ,26,FALSE)</f>
        <v>0</v>
      </c>
      <c r="AC346" s="218">
        <f>VLOOKUP(C346,'Talente &amp; Stuff'!BI:CJ,27,FALSE)</f>
        <v>0</v>
      </c>
      <c r="AD346" s="218">
        <f>VLOOKUP(C346,'Talente &amp; Stuff'!BI:CJ,28,FALSE)</f>
        <v>0</v>
      </c>
      <c r="AE346" s="343"/>
    </row>
    <row r="347" spans="1:31" s="217" customFormat="1" hidden="1" outlineLevel="2">
      <c r="A347" s="185"/>
      <c r="B347" s="217">
        <v>25</v>
      </c>
      <c r="C347" s="303" t="str">
        <f>Attribute!C347</f>
        <v>---</v>
      </c>
      <c r="D347" s="304" t="str">
        <f>VLOOKUP(C347,'Talente &amp; Stuff'!BI:CJ,2,FALSE)</f>
        <v>--/--/--</v>
      </c>
      <c r="E347" s="218" t="str">
        <f>VLOOKUP(C347,'Talente &amp; Stuff'!BI:CJ,3,FALSE)</f>
        <v>-</v>
      </c>
      <c r="F347" s="237">
        <f>VLOOKUP(C347,'Talente &amp; Stuff'!BI:CJ,4,FALSE)</f>
        <v>0</v>
      </c>
      <c r="G347" s="234">
        <f>VLOOKUP(C347,'Talente &amp; Stuff'!BI:CJ,5,FALSE)</f>
        <v>0</v>
      </c>
      <c r="H347" s="234">
        <f>VLOOKUP(C347,'Talente &amp; Stuff'!BI:CJ,6,FALSE)</f>
        <v>0</v>
      </c>
      <c r="I347" s="234">
        <f>VLOOKUP(C347,'Talente &amp; Stuff'!BI:CJ,7,FALSE)</f>
        <v>0</v>
      </c>
      <c r="J347" s="234">
        <f>VLOOKUP(C347,'Talente &amp; Stuff'!BI:CJ,8,FALSE)</f>
        <v>0</v>
      </c>
      <c r="K347" s="234">
        <f>VLOOKUP(C347,'Talente &amp; Stuff'!BI:CJ,9,FALSE)</f>
        <v>0</v>
      </c>
      <c r="L347" s="234">
        <f>VLOOKUP(C347,'Talente &amp; Stuff'!BI:CJ,10,FALSE)</f>
        <v>0</v>
      </c>
      <c r="M347" s="224">
        <f>VLOOKUP(C347,'Talente &amp; Stuff'!BI:CJ,11,FALSE)</f>
        <v>0</v>
      </c>
      <c r="N347" s="222">
        <f>VLOOKUP(C347,'Talente &amp; Stuff'!BI:CJ,12,FALSE)</f>
        <v>0</v>
      </c>
      <c r="O347" s="223">
        <f>VLOOKUP(C347,'Talente &amp; Stuff'!BI:CJ,13,FALSE)</f>
        <v>0</v>
      </c>
      <c r="P347" s="224">
        <f>VLOOKUP(C347,'Talente &amp; Stuff'!BI:CJ,14,FALSE)</f>
        <v>0</v>
      </c>
      <c r="Q347" s="237">
        <f>VLOOKUP(C347,'Talente &amp; Stuff'!BI:CJ,15,FALSE)</f>
        <v>0</v>
      </c>
      <c r="R347" s="254">
        <f>VLOOKUP(C347,'Talente &amp; Stuff'!BI:CJ,16,FALSE)</f>
        <v>0</v>
      </c>
      <c r="S347" s="224">
        <f>VLOOKUP(C347,'Talente &amp; Stuff'!BI:CJ,17,FALSE)</f>
        <v>0</v>
      </c>
      <c r="T347" s="242">
        <f>VLOOKUP(C347,'Talente &amp; Stuff'!BI:CJ,18,FALSE)</f>
        <v>0</v>
      </c>
      <c r="U347" s="222">
        <f>VLOOKUP(C347,'Talente &amp; Stuff'!BI:CJ,19,FALSE)</f>
        <v>0</v>
      </c>
      <c r="V347" s="223">
        <f>VLOOKUP(C347,'Talente &amp; Stuff'!BI:CJ,20,FALSE)</f>
        <v>0</v>
      </c>
      <c r="W347" s="243">
        <f>VLOOKUP(C347,'Talente &amp; Stuff'!BI:CJ,21,FALSE)</f>
        <v>0</v>
      </c>
      <c r="X347" s="218">
        <f>VLOOKUP(C347,'Talente &amp; Stuff'!BI:CJ,22,FALSE)</f>
        <v>0</v>
      </c>
      <c r="Y347" s="252">
        <f>VLOOKUP(C347,Ausgewählte_Zauber_Zaubertänzer,81,FALSE)</f>
        <v>0</v>
      </c>
      <c r="Z347" s="309">
        <f>VLOOKUP(C347,Ausgewählte_Zauber_Zaubertänzer,82,FALSE)</f>
        <v>0</v>
      </c>
      <c r="AA347" s="218">
        <f>VLOOKUP(C347,'Talente &amp; Stuff'!BI:CJ,25,FALSE)</f>
        <v>0</v>
      </c>
      <c r="AB347" s="242">
        <f>VLOOKUP(C347,'Talente &amp; Stuff'!BI:CJ,26,FALSE)</f>
        <v>0</v>
      </c>
      <c r="AC347" s="218">
        <f>VLOOKUP(C347,'Talente &amp; Stuff'!BI:CJ,27,FALSE)</f>
        <v>0</v>
      </c>
      <c r="AD347" s="218">
        <f>VLOOKUP(C347,'Talente &amp; Stuff'!BI:CJ,28,FALSE)</f>
        <v>0</v>
      </c>
      <c r="AE347" s="343"/>
    </row>
    <row r="348" spans="1:31" s="217" customFormat="1" hidden="1" outlineLevel="2">
      <c r="A348" s="185"/>
      <c r="B348" s="217">
        <v>26</v>
      </c>
      <c r="C348" s="306" t="str">
        <f>Attribute!C348</f>
        <v>---</v>
      </c>
      <c r="D348" s="314" t="str">
        <f>VLOOKUP(C348,'Talente &amp; Stuff'!BI:CJ,2,FALSE)</f>
        <v>--/--/--</v>
      </c>
      <c r="E348" s="246" t="str">
        <f>VLOOKUP(C348,'Talente &amp; Stuff'!BI:CJ,3,FALSE)</f>
        <v>-</v>
      </c>
      <c r="F348" s="238">
        <f>VLOOKUP(C348,'Talente &amp; Stuff'!BI:CJ,4,FALSE)</f>
        <v>0</v>
      </c>
      <c r="G348" s="235">
        <f>VLOOKUP(C348,'Talente &amp; Stuff'!BI:CJ,5,FALSE)</f>
        <v>0</v>
      </c>
      <c r="H348" s="235">
        <f>VLOOKUP(C348,'Talente &amp; Stuff'!BI:CJ,6,FALSE)</f>
        <v>0</v>
      </c>
      <c r="I348" s="235">
        <f>VLOOKUP(C348,'Talente &amp; Stuff'!BI:CJ,7,FALSE)</f>
        <v>0</v>
      </c>
      <c r="J348" s="235">
        <f>VLOOKUP(C348,'Talente &amp; Stuff'!BI:CJ,8,FALSE)</f>
        <v>0</v>
      </c>
      <c r="K348" s="235">
        <f>VLOOKUP(C348,'Talente &amp; Stuff'!BI:CJ,9,FALSE)</f>
        <v>0</v>
      </c>
      <c r="L348" s="235">
        <f>VLOOKUP(C348,'Talente &amp; Stuff'!BI:CJ,10,FALSE)</f>
        <v>0</v>
      </c>
      <c r="M348" s="227">
        <f>VLOOKUP(C348,'Talente &amp; Stuff'!BI:CJ,11,FALSE)</f>
        <v>0</v>
      </c>
      <c r="N348" s="225">
        <f>VLOOKUP(C348,'Talente &amp; Stuff'!BI:CJ,12,FALSE)</f>
        <v>0</v>
      </c>
      <c r="O348" s="226">
        <f>VLOOKUP(C348,'Talente &amp; Stuff'!BI:CJ,13,FALSE)</f>
        <v>0</v>
      </c>
      <c r="P348" s="227">
        <f>VLOOKUP(C348,'Talente &amp; Stuff'!BI:CJ,14,FALSE)</f>
        <v>0</v>
      </c>
      <c r="Q348" s="238">
        <f>VLOOKUP(C348,'Talente &amp; Stuff'!BI:CJ,15,FALSE)</f>
        <v>0</v>
      </c>
      <c r="R348" s="315">
        <f>VLOOKUP(C348,'Talente &amp; Stuff'!BI:CJ,16,FALSE)</f>
        <v>0</v>
      </c>
      <c r="S348" s="227">
        <f>VLOOKUP(C348,'Talente &amp; Stuff'!BI:CJ,17,FALSE)</f>
        <v>0</v>
      </c>
      <c r="T348" s="244">
        <f>VLOOKUP(C348,'Talente &amp; Stuff'!BI:CJ,18,FALSE)</f>
        <v>0</v>
      </c>
      <c r="U348" s="225">
        <f>VLOOKUP(C348,'Talente &amp; Stuff'!BI:CJ,19,FALSE)</f>
        <v>0</v>
      </c>
      <c r="V348" s="226">
        <f>VLOOKUP(C348,'Talente &amp; Stuff'!BI:CJ,20,FALSE)</f>
        <v>0</v>
      </c>
      <c r="W348" s="245">
        <f>VLOOKUP(C348,'Talente &amp; Stuff'!BI:CJ,21,FALSE)</f>
        <v>0</v>
      </c>
      <c r="X348" s="246">
        <f>VLOOKUP(C348,'Talente &amp; Stuff'!BI:CJ,22,FALSE)</f>
        <v>0</v>
      </c>
      <c r="Y348" s="252">
        <f>VLOOKUP(C348,Ausgewählte_Zauber_Zaubertänzer,81,FALSE)</f>
        <v>0</v>
      </c>
      <c r="Z348" s="309">
        <f>VLOOKUP(C348,Ausgewählte_Zauber_Zaubertänzer,82,FALSE)</f>
        <v>0</v>
      </c>
      <c r="AA348" s="246">
        <f>VLOOKUP(C348,'Talente &amp; Stuff'!BI:CJ,25,FALSE)</f>
        <v>0</v>
      </c>
      <c r="AB348" s="244">
        <f>VLOOKUP(C348,'Talente &amp; Stuff'!BI:CJ,26,FALSE)</f>
        <v>0</v>
      </c>
      <c r="AC348" s="246">
        <f>VLOOKUP(C348,'Talente &amp; Stuff'!BI:CJ,27,FALSE)</f>
        <v>0</v>
      </c>
      <c r="AD348" s="246">
        <f>VLOOKUP(C348,'Talente &amp; Stuff'!BI:CJ,28,FALSE)</f>
        <v>0</v>
      </c>
      <c r="AE348" s="343"/>
    </row>
    <row r="349" spans="1:31" ht="15.75" hidden="1" customHeight="1" outlineLevel="1" collapsed="1" thickBot="1"/>
    <row r="350" spans="1:31" ht="15.75" collapsed="1" thickBot="1">
      <c r="A350" s="135" t="s">
        <v>311</v>
      </c>
    </row>
    <row r="351" spans="1:31" ht="15" hidden="1" customHeight="1" outlineLevel="1">
      <c r="B351" s="134" t="s">
        <v>327</v>
      </c>
    </row>
    <row r="352" spans="1:31" ht="15" hidden="1" customHeight="1" outlineLevel="2">
      <c r="B352" s="148">
        <v>1</v>
      </c>
      <c r="C352" s="176" t="str">
        <f>Attribute!C352</f>
        <v>---</v>
      </c>
      <c r="D352" s="85" t="str">
        <f>VLOOKUP(C352,'Talente &amp; Stuff'!BI:CJ,2,FALSE)</f>
        <v>--/--/--</v>
      </c>
      <c r="E352" s="158" t="str">
        <f>VLOOKUP(C352,'Talente &amp; Stuff'!BI:CJ,3,FALSE)</f>
        <v>-</v>
      </c>
      <c r="F352" s="118">
        <f>VLOOKUP(C352,'Talente &amp; Stuff'!BI:CJ,4,FALSE)</f>
        <v>0</v>
      </c>
      <c r="G352" s="118">
        <f>VLOOKUP(C352,'Talente &amp; Stuff'!BI:CJ,5,FALSE)</f>
        <v>0</v>
      </c>
      <c r="H352" s="118">
        <f>VLOOKUP(C352,'Talente &amp; Stuff'!BI:CJ,6,FALSE)</f>
        <v>0</v>
      </c>
      <c r="I352" s="118">
        <f>VLOOKUP(C352,'Talente &amp; Stuff'!BI:CJ,7,FALSE)</f>
        <v>0</v>
      </c>
      <c r="J352" s="118">
        <f>VLOOKUP(C352,'Talente &amp; Stuff'!BI:CJ,8,FALSE)</f>
        <v>0</v>
      </c>
      <c r="K352" s="118">
        <f>VLOOKUP(C352,'Talente &amp; Stuff'!BI:CJ,9,FALSE)</f>
        <v>0</v>
      </c>
      <c r="L352" s="118">
        <f>VLOOKUP(C352,'Talente &amp; Stuff'!BI:CJ,10,FALSE)</f>
        <v>0</v>
      </c>
      <c r="M352" s="118">
        <f>VLOOKUP(C352,'Talente &amp; Stuff'!BI:CJ,11,FALSE)</f>
        <v>0</v>
      </c>
      <c r="N352" s="193">
        <f>VLOOKUP(C352,'Talente &amp; Stuff'!BI:CJ,12,FALSE)</f>
        <v>0</v>
      </c>
      <c r="O352" s="116">
        <f>VLOOKUP(C352,'Talente &amp; Stuff'!BI:CJ,13,FALSE)</f>
        <v>0</v>
      </c>
      <c r="P352" s="92">
        <f>VLOOKUP(C352,'Talente &amp; Stuff'!BI:CJ,14,FALSE)</f>
        <v>0</v>
      </c>
      <c r="Q352" s="118">
        <f>VLOOKUP(C352,'Talente &amp; Stuff'!BI:CJ,15,FALSE)</f>
        <v>0</v>
      </c>
      <c r="R352" s="118">
        <f>VLOOKUP(C352,'Talente &amp; Stuff'!BI:CJ,16,FALSE)</f>
        <v>0</v>
      </c>
      <c r="S352" s="118">
        <f>VLOOKUP(C352,'Talente &amp; Stuff'!BI:CJ,17,FALSE)</f>
        <v>0</v>
      </c>
      <c r="T352" s="91">
        <f>VLOOKUP(C352,'Talente &amp; Stuff'!BI:CJ,18,FALSE)</f>
        <v>0</v>
      </c>
      <c r="U352" s="116">
        <f>VLOOKUP(C352,'Talente &amp; Stuff'!BI:CJ,19,FALSE)</f>
        <v>0</v>
      </c>
      <c r="V352" s="116">
        <f>VLOOKUP(C352,'Talente &amp; Stuff'!BI:CJ,20,FALSE)</f>
        <v>0</v>
      </c>
      <c r="W352" s="116">
        <f>VLOOKUP(C352,'Talente &amp; Stuff'!BI:CJ,21,FALSE)</f>
        <v>0</v>
      </c>
      <c r="X352" s="158">
        <f>VLOOKUP(C352,'Talente &amp; Stuff'!BI:CJ,22,FALSE)</f>
        <v>0</v>
      </c>
      <c r="Y352" s="165">
        <f>VLOOKUP(C352,Ausgewählte_Rituale_Allgemein,81,FALSE)</f>
        <v>0</v>
      </c>
      <c r="Z352" s="44">
        <f>VLOOKUP(C352,Ausgewählte_Rituale_Allgemein,82,FALSE)</f>
        <v>0</v>
      </c>
      <c r="AA352" s="158">
        <f>VLOOKUP(C352,'Talente &amp; Stuff'!BI:CJ,25,FALSE)</f>
        <v>0</v>
      </c>
      <c r="AB352" s="91">
        <f>VLOOKUP(C352,'Talente &amp; Stuff'!BI:CJ,26,FALSE)</f>
        <v>0</v>
      </c>
      <c r="AC352" s="126">
        <f>VLOOKUP(C352,'Talente &amp; Stuff'!BI:CJ,27,FALSE)</f>
        <v>0</v>
      </c>
      <c r="AD352" s="158">
        <f>VLOOKUP(C352,'Talente &amp; Stuff'!BI:CJ,28,FALSE)</f>
        <v>0</v>
      </c>
      <c r="AE352" s="28"/>
    </row>
    <row r="353" spans="2:31" ht="15" hidden="1" customHeight="1" outlineLevel="2">
      <c r="B353" s="148">
        <v>2</v>
      </c>
      <c r="C353" s="177" t="str">
        <f>Attribute!C353</f>
        <v>---</v>
      </c>
      <c r="D353" s="86" t="str">
        <f>VLOOKUP(C353,'Talente &amp; Stuff'!BI:CJ,2,FALSE)</f>
        <v>--/--/--</v>
      </c>
      <c r="E353" s="125" t="str">
        <f>VLOOKUP(C353,'Talente &amp; Stuff'!BI:CJ,3,FALSE)</f>
        <v>-</v>
      </c>
      <c r="F353" s="113">
        <f>VLOOKUP(C353,'Talente &amp; Stuff'!BI:CJ,4,FALSE)</f>
        <v>0</v>
      </c>
      <c r="G353" s="113">
        <f>VLOOKUP(C353,'Talente &amp; Stuff'!BI:CJ,5,FALSE)</f>
        <v>0</v>
      </c>
      <c r="H353" s="113">
        <f>VLOOKUP(C353,'Talente &amp; Stuff'!BI:CJ,6,FALSE)</f>
        <v>0</v>
      </c>
      <c r="I353" s="113">
        <f>VLOOKUP(C353,'Talente &amp; Stuff'!BI:CJ,7,FALSE)</f>
        <v>0</v>
      </c>
      <c r="J353" s="113">
        <f>VLOOKUP(C353,'Talente &amp; Stuff'!BI:CJ,8,FALSE)</f>
        <v>0</v>
      </c>
      <c r="K353" s="113">
        <f>VLOOKUP(C353,'Talente &amp; Stuff'!BI:CJ,9,FALSE)</f>
        <v>0</v>
      </c>
      <c r="L353" s="113">
        <f>VLOOKUP(C353,'Talente &amp; Stuff'!BI:CJ,10,FALSE)</f>
        <v>0</v>
      </c>
      <c r="M353" s="113">
        <f>VLOOKUP(C353,'Talente &amp; Stuff'!BI:CJ,11,FALSE)</f>
        <v>0</v>
      </c>
      <c r="N353" s="89">
        <f>VLOOKUP(C353,'Talente &amp; Stuff'!BI:CJ,12,FALSE)</f>
        <v>0</v>
      </c>
      <c r="O353" s="47">
        <f>VLOOKUP(C353,'Talente &amp; Stuff'!BI:CJ,13,FALSE)</f>
        <v>0</v>
      </c>
      <c r="P353" s="119">
        <f>VLOOKUP(C353,'Talente &amp; Stuff'!BI:CJ,14,FALSE)</f>
        <v>0</v>
      </c>
      <c r="Q353" s="113">
        <f>VLOOKUP(C353,'Talente &amp; Stuff'!BI:CJ,15,FALSE)</f>
        <v>0</v>
      </c>
      <c r="R353" s="113">
        <f>VLOOKUP(C353,'Talente &amp; Stuff'!BI:CJ,16,FALSE)</f>
        <v>0</v>
      </c>
      <c r="S353" s="113">
        <f>VLOOKUP(C353,'Talente &amp; Stuff'!BI:CJ,17,FALSE)</f>
        <v>0</v>
      </c>
      <c r="T353" s="160">
        <f>VLOOKUP(C353,'Talente &amp; Stuff'!BI:CJ,18,FALSE)</f>
        <v>0</v>
      </c>
      <c r="U353" s="47">
        <f>VLOOKUP(C353,'Talente &amp; Stuff'!BI:CJ,19,FALSE)</f>
        <v>0</v>
      </c>
      <c r="V353" s="47">
        <f>VLOOKUP(C353,'Talente &amp; Stuff'!BI:CJ,20,FALSE)</f>
        <v>0</v>
      </c>
      <c r="W353" s="47">
        <f>VLOOKUP(C353,'Talente &amp; Stuff'!BI:CJ,21,FALSE)</f>
        <v>0</v>
      </c>
      <c r="X353" s="125">
        <f>VLOOKUP(C353,'Talente &amp; Stuff'!BI:CJ,22,FALSE)</f>
        <v>0</v>
      </c>
      <c r="Y353" s="165">
        <f>VLOOKUP(C353,Ausgewählte_Rituale_Allgemein,81,FALSE)</f>
        <v>0</v>
      </c>
      <c r="Z353" s="44">
        <f>VLOOKUP(C353,Ausgewählte_Rituale_Allgemein,82,FALSE)</f>
        <v>0</v>
      </c>
      <c r="AA353" s="125">
        <f>VLOOKUP(C353,'Talente &amp; Stuff'!BI:CJ,25,FALSE)</f>
        <v>0</v>
      </c>
      <c r="AB353" s="160">
        <f>VLOOKUP(C353,'Talente &amp; Stuff'!BI:CJ,26,FALSE)</f>
        <v>0</v>
      </c>
      <c r="AC353" s="127">
        <f>VLOOKUP(C353,'Talente &amp; Stuff'!BI:CJ,27,FALSE)</f>
        <v>0</v>
      </c>
      <c r="AD353" s="125">
        <f>VLOOKUP(C353,'Talente &amp; Stuff'!BI:CJ,28,FALSE)</f>
        <v>0</v>
      </c>
      <c r="AE353" s="28"/>
    </row>
    <row r="354" spans="2:31" ht="15" hidden="1" customHeight="1" outlineLevel="2">
      <c r="B354" s="148">
        <v>3</v>
      </c>
      <c r="C354" s="177" t="str">
        <f>Attribute!C354</f>
        <v>---</v>
      </c>
      <c r="D354" s="86" t="str">
        <f>VLOOKUP(C354,'Talente &amp; Stuff'!BI:CJ,2,FALSE)</f>
        <v>--/--/--</v>
      </c>
      <c r="E354" s="125" t="str">
        <f>VLOOKUP(C354,'Talente &amp; Stuff'!BI:CJ,3,FALSE)</f>
        <v>-</v>
      </c>
      <c r="F354" s="113">
        <f>VLOOKUP(C354,'Talente &amp; Stuff'!BI:CJ,4,FALSE)</f>
        <v>0</v>
      </c>
      <c r="G354" s="113">
        <f>VLOOKUP(C354,'Talente &amp; Stuff'!BI:CJ,5,FALSE)</f>
        <v>0</v>
      </c>
      <c r="H354" s="113">
        <f>VLOOKUP(C354,'Talente &amp; Stuff'!BI:CJ,6,FALSE)</f>
        <v>0</v>
      </c>
      <c r="I354" s="113">
        <f>VLOOKUP(C354,'Talente &amp; Stuff'!BI:CJ,7,FALSE)</f>
        <v>0</v>
      </c>
      <c r="J354" s="113">
        <f>VLOOKUP(C354,'Talente &amp; Stuff'!BI:CJ,8,FALSE)</f>
        <v>0</v>
      </c>
      <c r="K354" s="113">
        <f>VLOOKUP(C354,'Talente &amp; Stuff'!BI:CJ,9,FALSE)</f>
        <v>0</v>
      </c>
      <c r="L354" s="113">
        <f>VLOOKUP(C354,'Talente &amp; Stuff'!BI:CJ,10,FALSE)</f>
        <v>0</v>
      </c>
      <c r="M354" s="113">
        <f>VLOOKUP(C354,'Talente &amp; Stuff'!BI:CJ,11,FALSE)</f>
        <v>0</v>
      </c>
      <c r="N354" s="89">
        <f>VLOOKUP(C354,'Talente &amp; Stuff'!BI:CJ,12,FALSE)</f>
        <v>0</v>
      </c>
      <c r="O354" s="47">
        <f>VLOOKUP(C354,'Talente &amp; Stuff'!BI:CJ,13,FALSE)</f>
        <v>0</v>
      </c>
      <c r="P354" s="119">
        <f>VLOOKUP(C354,'Talente &amp; Stuff'!BI:CJ,14,FALSE)</f>
        <v>0</v>
      </c>
      <c r="Q354" s="113">
        <f>VLOOKUP(C354,'Talente &amp; Stuff'!BI:CJ,15,FALSE)</f>
        <v>0</v>
      </c>
      <c r="R354" s="113">
        <f>VLOOKUP(C354,'Talente &amp; Stuff'!BI:CJ,16,FALSE)</f>
        <v>0</v>
      </c>
      <c r="S354" s="113">
        <f>VLOOKUP(C354,'Talente &amp; Stuff'!BI:CJ,17,FALSE)</f>
        <v>0</v>
      </c>
      <c r="T354" s="160">
        <f>VLOOKUP(C354,'Talente &amp; Stuff'!BI:CJ,18,FALSE)</f>
        <v>0</v>
      </c>
      <c r="U354" s="47">
        <f>VLOOKUP(C354,'Talente &amp; Stuff'!BI:CJ,19,FALSE)</f>
        <v>0</v>
      </c>
      <c r="V354" s="47">
        <f>VLOOKUP(C354,'Talente &amp; Stuff'!BI:CJ,20,FALSE)</f>
        <v>0</v>
      </c>
      <c r="W354" s="47">
        <f>VLOOKUP(C354,'Talente &amp; Stuff'!BI:CJ,21,FALSE)</f>
        <v>0</v>
      </c>
      <c r="X354" s="125">
        <f>VLOOKUP(C354,'Talente &amp; Stuff'!BI:CJ,22,FALSE)</f>
        <v>0</v>
      </c>
      <c r="Y354" s="165">
        <f>VLOOKUP(C354,Ausgewählte_Rituale_Allgemein,81,FALSE)</f>
        <v>0</v>
      </c>
      <c r="Z354" s="44">
        <f>VLOOKUP(C354,Ausgewählte_Rituale_Allgemein,82,FALSE)</f>
        <v>0</v>
      </c>
      <c r="AA354" s="125">
        <f>VLOOKUP(C354,'Talente &amp; Stuff'!BI:CJ,25,FALSE)</f>
        <v>0</v>
      </c>
      <c r="AB354" s="160">
        <f>VLOOKUP(C354,'Talente &amp; Stuff'!BI:CJ,26,FALSE)</f>
        <v>0</v>
      </c>
      <c r="AC354" s="127">
        <f>VLOOKUP(C354,'Talente &amp; Stuff'!BI:CJ,27,FALSE)</f>
        <v>0</v>
      </c>
      <c r="AD354" s="125">
        <f>VLOOKUP(C354,'Talente &amp; Stuff'!BI:CJ,28,FALSE)</f>
        <v>0</v>
      </c>
      <c r="AE354" s="28"/>
    </row>
    <row r="355" spans="2:31" ht="15" hidden="1" customHeight="1" outlineLevel="2">
      <c r="B355" s="148">
        <v>4</v>
      </c>
      <c r="C355" s="178" t="str">
        <f>Attribute!C355</f>
        <v>---</v>
      </c>
      <c r="D355" s="23" t="str">
        <f>VLOOKUP(C355,'Talente &amp; Stuff'!BI:CJ,2,FALSE)</f>
        <v>--/--/--</v>
      </c>
      <c r="E355" s="159" t="str">
        <f>VLOOKUP(C355,'Talente &amp; Stuff'!BI:CJ,3,FALSE)</f>
        <v>-</v>
      </c>
      <c r="F355" s="122">
        <f>VLOOKUP(C355,'Talente &amp; Stuff'!BI:CJ,4,FALSE)</f>
        <v>0</v>
      </c>
      <c r="G355" s="122">
        <f>VLOOKUP(C355,'Talente &amp; Stuff'!BI:CJ,5,FALSE)</f>
        <v>0</v>
      </c>
      <c r="H355" s="122">
        <f>VLOOKUP(C355,'Talente &amp; Stuff'!BI:CJ,6,FALSE)</f>
        <v>0</v>
      </c>
      <c r="I355" s="122">
        <f>VLOOKUP(C355,'Talente &amp; Stuff'!BI:CJ,7,FALSE)</f>
        <v>0</v>
      </c>
      <c r="J355" s="122">
        <f>VLOOKUP(C355,'Talente &amp; Stuff'!BI:CJ,8,FALSE)</f>
        <v>0</v>
      </c>
      <c r="K355" s="122">
        <f>VLOOKUP(C355,'Talente &amp; Stuff'!BI:CJ,9,FALSE)</f>
        <v>0</v>
      </c>
      <c r="L355" s="122">
        <f>VLOOKUP(C355,'Talente &amp; Stuff'!BI:CJ,10,FALSE)</f>
        <v>0</v>
      </c>
      <c r="M355" s="122">
        <f>VLOOKUP(C355,'Talente &amp; Stuff'!BI:CJ,11,FALSE)</f>
        <v>0</v>
      </c>
      <c r="N355" s="90">
        <f>VLOOKUP(C355,'Talente &amp; Stuff'!BI:CJ,12,FALSE)</f>
        <v>0</v>
      </c>
      <c r="O355" s="88">
        <f>VLOOKUP(C355,'Talente &amp; Stuff'!BI:CJ,13,FALSE)</f>
        <v>0</v>
      </c>
      <c r="P355" s="123">
        <f>VLOOKUP(C355,'Talente &amp; Stuff'!BI:CJ,14,FALSE)</f>
        <v>0</v>
      </c>
      <c r="Q355" s="122">
        <f>VLOOKUP(C355,'Talente &amp; Stuff'!BI:CJ,15,FALSE)</f>
        <v>0</v>
      </c>
      <c r="R355" s="122">
        <f>VLOOKUP(C355,'Talente &amp; Stuff'!BI:CJ,16,FALSE)</f>
        <v>0</v>
      </c>
      <c r="S355" s="122">
        <f>VLOOKUP(C355,'Talente &amp; Stuff'!BI:CJ,17,FALSE)</f>
        <v>0</v>
      </c>
      <c r="T355" s="161">
        <f>VLOOKUP(C355,'Talente &amp; Stuff'!BI:CJ,18,FALSE)</f>
        <v>0</v>
      </c>
      <c r="U355" s="88">
        <f>VLOOKUP(C355,'Talente &amp; Stuff'!BI:CJ,19,FALSE)</f>
        <v>0</v>
      </c>
      <c r="V355" s="88">
        <f>VLOOKUP(C355,'Talente &amp; Stuff'!BI:CJ,20,FALSE)</f>
        <v>0</v>
      </c>
      <c r="W355" s="88">
        <f>VLOOKUP(C355,'Talente &amp; Stuff'!BI:CJ,21,FALSE)</f>
        <v>0</v>
      </c>
      <c r="X355" s="159">
        <f>VLOOKUP(C355,'Talente &amp; Stuff'!BI:CJ,22,FALSE)</f>
        <v>0</v>
      </c>
      <c r="Y355" s="165">
        <f>VLOOKUP(C355,Ausgewählte_Rituale_Allgemein,81,FALSE)</f>
        <v>0</v>
      </c>
      <c r="Z355" s="44">
        <f>VLOOKUP(C355,Ausgewählte_Rituale_Allgemein,82,FALSE)</f>
        <v>0</v>
      </c>
      <c r="AA355" s="159">
        <f>VLOOKUP(C355,'Talente &amp; Stuff'!BI:CJ,25,FALSE)</f>
        <v>0</v>
      </c>
      <c r="AB355" s="161">
        <f>VLOOKUP(C355,'Talente &amp; Stuff'!BI:CJ,26,FALSE)</f>
        <v>0</v>
      </c>
      <c r="AC355" s="128">
        <f>VLOOKUP(C355,'Talente &amp; Stuff'!BI:CJ,27,FALSE)</f>
        <v>0</v>
      </c>
      <c r="AD355" s="159">
        <f>VLOOKUP(C355,'Talente &amp; Stuff'!BI:CJ,28,FALSE)</f>
        <v>0</v>
      </c>
      <c r="AE355" s="28"/>
    </row>
    <row r="356" spans="2:31" ht="15" hidden="1" customHeight="1" outlineLevel="1" collapsed="1">
      <c r="B356" s="134" t="s">
        <v>331</v>
      </c>
      <c r="C356" s="83"/>
      <c r="D356" s="84"/>
      <c r="E356" s="84"/>
    </row>
    <row r="357" spans="2:31" ht="15" hidden="1" customHeight="1" outlineLevel="2">
      <c r="B357" s="148">
        <v>1</v>
      </c>
      <c r="C357" s="176" t="str">
        <f>Attribute!C357</f>
        <v>---</v>
      </c>
      <c r="D357" s="85" t="str">
        <f>VLOOKUP(C357,'Talente &amp; Stuff'!BI:CJ,2,FALSE)</f>
        <v>--/--/--</v>
      </c>
      <c r="E357" s="158" t="str">
        <f>VLOOKUP(C357,'Talente &amp; Stuff'!BI:CJ,3,FALSE)</f>
        <v>-</v>
      </c>
      <c r="F357" s="118">
        <f>VLOOKUP(C357,'Talente &amp; Stuff'!BI:CJ,4,FALSE)</f>
        <v>0</v>
      </c>
      <c r="G357" s="118">
        <f>VLOOKUP(C357,'Talente &amp; Stuff'!BI:CJ,5,FALSE)</f>
        <v>0</v>
      </c>
      <c r="H357" s="118">
        <f>VLOOKUP(C357,'Talente &amp; Stuff'!BI:CJ,6,FALSE)</f>
        <v>0</v>
      </c>
      <c r="I357" s="118">
        <f>VLOOKUP(C357,'Talente &amp; Stuff'!BI:CJ,7,FALSE)</f>
        <v>0</v>
      </c>
      <c r="J357" s="118">
        <f>VLOOKUP(C357,'Talente &amp; Stuff'!BI:CJ,8,FALSE)</f>
        <v>0</v>
      </c>
      <c r="K357" s="118">
        <f>VLOOKUP(C357,'Talente &amp; Stuff'!BI:CJ,9,FALSE)</f>
        <v>0</v>
      </c>
      <c r="L357" s="118">
        <f>VLOOKUP(C357,'Talente &amp; Stuff'!BI:CJ,10,FALSE)</f>
        <v>0</v>
      </c>
      <c r="M357" s="118">
        <f>VLOOKUP(C357,'Talente &amp; Stuff'!BI:CJ,11,FALSE)</f>
        <v>0</v>
      </c>
      <c r="N357" s="193">
        <f>VLOOKUP(C357,'Talente &amp; Stuff'!BI:CJ,12,FALSE)</f>
        <v>0</v>
      </c>
      <c r="O357" s="116">
        <f>VLOOKUP(C357,'Talente &amp; Stuff'!BI:CJ,13,FALSE)</f>
        <v>0</v>
      </c>
      <c r="P357" s="92">
        <f>VLOOKUP(C357,'Talente &amp; Stuff'!BI:CJ,14,FALSE)</f>
        <v>0</v>
      </c>
      <c r="Q357" s="118">
        <f>VLOOKUP(C357,'Talente &amp; Stuff'!BI:CJ,15,FALSE)</f>
        <v>0</v>
      </c>
      <c r="R357" s="118">
        <f>VLOOKUP(C357,'Talente &amp; Stuff'!BI:CJ,16,FALSE)</f>
        <v>0</v>
      </c>
      <c r="S357" s="118">
        <f>VLOOKUP(C357,'Talente &amp; Stuff'!BI:CJ,17,FALSE)</f>
        <v>0</v>
      </c>
      <c r="T357" s="91">
        <f>VLOOKUP(C357,'Talente &amp; Stuff'!BI:CJ,18,FALSE)</f>
        <v>0</v>
      </c>
      <c r="U357" s="116">
        <f>VLOOKUP(C357,'Talente &amp; Stuff'!BI:CJ,19,FALSE)</f>
        <v>0</v>
      </c>
      <c r="V357" s="116">
        <f>VLOOKUP(C357,'Talente &amp; Stuff'!BI:CJ,20,FALSE)</f>
        <v>0</v>
      </c>
      <c r="W357" s="116">
        <f>VLOOKUP(C357,'Talente &amp; Stuff'!BI:CJ,21,FALSE)</f>
        <v>0</v>
      </c>
      <c r="X357" s="158">
        <f>VLOOKUP(C357,'Talente &amp; Stuff'!BI:CJ,22,FALSE)</f>
        <v>0</v>
      </c>
      <c r="Y357" s="165">
        <f t="shared" ref="Y357:Y365" si="24">VLOOKUP(C357,Ausgewählte_Rituale_Druiden,81,FALSE)</f>
        <v>0</v>
      </c>
      <c r="Z357" s="44">
        <f t="shared" ref="Z357:Z365" si="25">VLOOKUP(C357,Ausgewählte_Rituale_Druiden,82,FALSE)</f>
        <v>0</v>
      </c>
      <c r="AA357" s="158">
        <f>VLOOKUP(C357,'Talente &amp; Stuff'!BI:CJ,25,FALSE)</f>
        <v>0</v>
      </c>
      <c r="AB357" s="91">
        <f>VLOOKUP(C357,'Talente &amp; Stuff'!BI:CJ,26,FALSE)</f>
        <v>0</v>
      </c>
      <c r="AC357" s="126">
        <f>VLOOKUP(C357,'Talente &amp; Stuff'!BI:CJ,27,FALSE)</f>
        <v>0</v>
      </c>
      <c r="AD357" s="158">
        <f>VLOOKUP(C357,'Talente &amp; Stuff'!BI:CJ,28,FALSE)</f>
        <v>0</v>
      </c>
      <c r="AE357" s="28"/>
    </row>
    <row r="358" spans="2:31" ht="15" hidden="1" customHeight="1" outlineLevel="2">
      <c r="B358" s="148">
        <v>2</v>
      </c>
      <c r="C358" s="177" t="str">
        <f>Attribute!C358</f>
        <v>---</v>
      </c>
      <c r="D358" s="86" t="str">
        <f>VLOOKUP(C358,'Talente &amp; Stuff'!BI:CJ,2,FALSE)</f>
        <v>--/--/--</v>
      </c>
      <c r="E358" s="125" t="str">
        <f>VLOOKUP(C358,'Talente &amp; Stuff'!BI:CJ,3,FALSE)</f>
        <v>-</v>
      </c>
      <c r="F358" s="113">
        <f>VLOOKUP(C358,'Talente &amp; Stuff'!BI:CJ,4,FALSE)</f>
        <v>0</v>
      </c>
      <c r="G358" s="113">
        <f>VLOOKUP(C358,'Talente &amp; Stuff'!BI:CJ,5,FALSE)</f>
        <v>0</v>
      </c>
      <c r="H358" s="113">
        <f>VLOOKUP(C358,'Talente &amp; Stuff'!BI:CJ,6,FALSE)</f>
        <v>0</v>
      </c>
      <c r="I358" s="113">
        <f>VLOOKUP(C358,'Talente &amp; Stuff'!BI:CJ,7,FALSE)</f>
        <v>0</v>
      </c>
      <c r="J358" s="113">
        <f>VLOOKUP(C358,'Talente &amp; Stuff'!BI:CJ,8,FALSE)</f>
        <v>0</v>
      </c>
      <c r="K358" s="113">
        <f>VLOOKUP(C358,'Talente &amp; Stuff'!BI:CJ,9,FALSE)</f>
        <v>0</v>
      </c>
      <c r="L358" s="113">
        <f>VLOOKUP(C358,'Talente &amp; Stuff'!BI:CJ,10,FALSE)</f>
        <v>0</v>
      </c>
      <c r="M358" s="113">
        <f>VLOOKUP(C358,'Talente &amp; Stuff'!BI:CJ,11,FALSE)</f>
        <v>0</v>
      </c>
      <c r="N358" s="89">
        <f>VLOOKUP(C358,'Talente &amp; Stuff'!BI:CJ,12,FALSE)</f>
        <v>0</v>
      </c>
      <c r="O358" s="47">
        <f>VLOOKUP(C358,'Talente &amp; Stuff'!BI:CJ,13,FALSE)</f>
        <v>0</v>
      </c>
      <c r="P358" s="119">
        <f>VLOOKUP(C358,'Talente &amp; Stuff'!BI:CJ,14,FALSE)</f>
        <v>0</v>
      </c>
      <c r="Q358" s="113">
        <f>VLOOKUP(C358,'Talente &amp; Stuff'!BI:CJ,15,FALSE)</f>
        <v>0</v>
      </c>
      <c r="R358" s="113">
        <f>VLOOKUP(C358,'Talente &amp; Stuff'!BI:CJ,16,FALSE)</f>
        <v>0</v>
      </c>
      <c r="S358" s="113">
        <f>VLOOKUP(C358,'Talente &amp; Stuff'!BI:CJ,17,FALSE)</f>
        <v>0</v>
      </c>
      <c r="T358" s="160">
        <f>VLOOKUP(C358,'Talente &amp; Stuff'!BI:CJ,18,FALSE)</f>
        <v>0</v>
      </c>
      <c r="U358" s="47">
        <f>VLOOKUP(C358,'Talente &amp; Stuff'!BI:CJ,19,FALSE)</f>
        <v>0</v>
      </c>
      <c r="V358" s="47">
        <f>VLOOKUP(C358,'Talente &amp; Stuff'!BI:CJ,20,FALSE)</f>
        <v>0</v>
      </c>
      <c r="W358" s="47">
        <f>VLOOKUP(C358,'Talente &amp; Stuff'!BI:CJ,21,FALSE)</f>
        <v>0</v>
      </c>
      <c r="X358" s="125">
        <f>VLOOKUP(C358,'Talente &amp; Stuff'!BI:CJ,22,FALSE)</f>
        <v>0</v>
      </c>
      <c r="Y358" s="165">
        <f t="shared" si="24"/>
        <v>0</v>
      </c>
      <c r="Z358" s="44">
        <f t="shared" si="25"/>
        <v>0</v>
      </c>
      <c r="AA358" s="125">
        <f>VLOOKUP(C358,'Talente &amp; Stuff'!BI:CJ,25,FALSE)</f>
        <v>0</v>
      </c>
      <c r="AB358" s="160">
        <f>VLOOKUP(C358,'Talente &amp; Stuff'!BI:CJ,26,FALSE)</f>
        <v>0</v>
      </c>
      <c r="AC358" s="127">
        <f>VLOOKUP(C358,'Talente &amp; Stuff'!BI:CJ,27,FALSE)</f>
        <v>0</v>
      </c>
      <c r="AD358" s="125">
        <f>VLOOKUP(C358,'Talente &amp; Stuff'!BI:CJ,28,FALSE)</f>
        <v>0</v>
      </c>
      <c r="AE358" s="28"/>
    </row>
    <row r="359" spans="2:31" ht="15" hidden="1" customHeight="1" outlineLevel="2">
      <c r="B359" s="148">
        <v>3</v>
      </c>
      <c r="C359" s="177" t="str">
        <f>Attribute!C359</f>
        <v>---</v>
      </c>
      <c r="D359" s="86" t="str">
        <f>VLOOKUP(C359,'Talente &amp; Stuff'!BI:CJ,2,FALSE)</f>
        <v>--/--/--</v>
      </c>
      <c r="E359" s="125" t="str">
        <f>VLOOKUP(C359,'Talente &amp; Stuff'!BI:CJ,3,FALSE)</f>
        <v>-</v>
      </c>
      <c r="F359" s="113">
        <f>VLOOKUP(C359,'Talente &amp; Stuff'!BI:CJ,4,FALSE)</f>
        <v>0</v>
      </c>
      <c r="G359" s="113">
        <f>VLOOKUP(C359,'Talente &amp; Stuff'!BI:CJ,5,FALSE)</f>
        <v>0</v>
      </c>
      <c r="H359" s="113">
        <f>VLOOKUP(C359,'Talente &amp; Stuff'!BI:CJ,6,FALSE)</f>
        <v>0</v>
      </c>
      <c r="I359" s="113">
        <f>VLOOKUP(C359,'Talente &amp; Stuff'!BI:CJ,7,FALSE)</f>
        <v>0</v>
      </c>
      <c r="J359" s="113">
        <f>VLOOKUP(C359,'Talente &amp; Stuff'!BI:CJ,8,FALSE)</f>
        <v>0</v>
      </c>
      <c r="K359" s="113">
        <f>VLOOKUP(C359,'Talente &amp; Stuff'!BI:CJ,9,FALSE)</f>
        <v>0</v>
      </c>
      <c r="L359" s="113">
        <f>VLOOKUP(C359,'Talente &amp; Stuff'!BI:CJ,10,FALSE)</f>
        <v>0</v>
      </c>
      <c r="M359" s="113">
        <f>VLOOKUP(C359,'Talente &amp; Stuff'!BI:CJ,11,FALSE)</f>
        <v>0</v>
      </c>
      <c r="N359" s="89">
        <f>VLOOKUP(C359,'Talente &amp; Stuff'!BI:CJ,12,FALSE)</f>
        <v>0</v>
      </c>
      <c r="O359" s="47">
        <f>VLOOKUP(C359,'Talente &amp; Stuff'!BI:CJ,13,FALSE)</f>
        <v>0</v>
      </c>
      <c r="P359" s="119">
        <f>VLOOKUP(C359,'Talente &amp; Stuff'!BI:CJ,14,FALSE)</f>
        <v>0</v>
      </c>
      <c r="Q359" s="113">
        <f>VLOOKUP(C359,'Talente &amp; Stuff'!BI:CJ,15,FALSE)</f>
        <v>0</v>
      </c>
      <c r="R359" s="113">
        <f>VLOOKUP(C359,'Talente &amp; Stuff'!BI:CJ,16,FALSE)</f>
        <v>0</v>
      </c>
      <c r="S359" s="113">
        <f>VLOOKUP(C359,'Talente &amp; Stuff'!BI:CJ,17,FALSE)</f>
        <v>0</v>
      </c>
      <c r="T359" s="160">
        <f>VLOOKUP(C359,'Talente &amp; Stuff'!BI:CJ,18,FALSE)</f>
        <v>0</v>
      </c>
      <c r="U359" s="47">
        <f>VLOOKUP(C359,'Talente &amp; Stuff'!BI:CJ,19,FALSE)</f>
        <v>0</v>
      </c>
      <c r="V359" s="47">
        <f>VLOOKUP(C359,'Talente &amp; Stuff'!BI:CJ,20,FALSE)</f>
        <v>0</v>
      </c>
      <c r="W359" s="47">
        <f>VLOOKUP(C359,'Talente &amp; Stuff'!BI:CJ,21,FALSE)</f>
        <v>0</v>
      </c>
      <c r="X359" s="125">
        <f>VLOOKUP(C359,'Talente &amp; Stuff'!BI:CJ,22,FALSE)</f>
        <v>0</v>
      </c>
      <c r="Y359" s="165">
        <f t="shared" si="24"/>
        <v>0</v>
      </c>
      <c r="Z359" s="44">
        <f t="shared" si="25"/>
        <v>0</v>
      </c>
      <c r="AA359" s="125">
        <f>VLOOKUP(C359,'Talente &amp; Stuff'!BI:CJ,25,FALSE)</f>
        <v>0</v>
      </c>
      <c r="AB359" s="160">
        <f>VLOOKUP(C359,'Talente &amp; Stuff'!BI:CJ,26,FALSE)</f>
        <v>0</v>
      </c>
      <c r="AC359" s="127">
        <f>VLOOKUP(C359,'Talente &amp; Stuff'!BI:CJ,27,FALSE)</f>
        <v>0</v>
      </c>
      <c r="AD359" s="125">
        <f>VLOOKUP(C359,'Talente &amp; Stuff'!BI:CJ,28,FALSE)</f>
        <v>0</v>
      </c>
      <c r="AE359" s="28"/>
    </row>
    <row r="360" spans="2:31" ht="15" hidden="1" customHeight="1" outlineLevel="2">
      <c r="B360" s="148">
        <v>4</v>
      </c>
      <c r="C360" s="177" t="str">
        <f>Attribute!C360</f>
        <v>---</v>
      </c>
      <c r="D360" s="86" t="str">
        <f>VLOOKUP(C360,'Talente &amp; Stuff'!BI:CJ,2,FALSE)</f>
        <v>--/--/--</v>
      </c>
      <c r="E360" s="125" t="str">
        <f>VLOOKUP(C360,'Talente &amp; Stuff'!BI:CJ,3,FALSE)</f>
        <v>-</v>
      </c>
      <c r="F360" s="113">
        <f>VLOOKUP(C360,'Talente &amp; Stuff'!BI:CJ,4,FALSE)</f>
        <v>0</v>
      </c>
      <c r="G360" s="113">
        <f>VLOOKUP(C360,'Talente &amp; Stuff'!BI:CJ,5,FALSE)</f>
        <v>0</v>
      </c>
      <c r="H360" s="113">
        <f>VLOOKUP(C360,'Talente &amp; Stuff'!BI:CJ,6,FALSE)</f>
        <v>0</v>
      </c>
      <c r="I360" s="113">
        <f>VLOOKUP(C360,'Talente &amp; Stuff'!BI:CJ,7,FALSE)</f>
        <v>0</v>
      </c>
      <c r="J360" s="113">
        <f>VLOOKUP(C360,'Talente &amp; Stuff'!BI:CJ,8,FALSE)</f>
        <v>0</v>
      </c>
      <c r="K360" s="113">
        <f>VLOOKUP(C360,'Talente &amp; Stuff'!BI:CJ,9,FALSE)</f>
        <v>0</v>
      </c>
      <c r="L360" s="113">
        <f>VLOOKUP(C360,'Talente &amp; Stuff'!BI:CJ,10,FALSE)</f>
        <v>0</v>
      </c>
      <c r="M360" s="113">
        <f>VLOOKUP(C360,'Talente &amp; Stuff'!BI:CJ,11,FALSE)</f>
        <v>0</v>
      </c>
      <c r="N360" s="89">
        <f>VLOOKUP(C360,'Talente &amp; Stuff'!BI:CJ,12,FALSE)</f>
        <v>0</v>
      </c>
      <c r="O360" s="47">
        <f>VLOOKUP(C360,'Talente &amp; Stuff'!BI:CJ,13,FALSE)</f>
        <v>0</v>
      </c>
      <c r="P360" s="119">
        <f>VLOOKUP(C360,'Talente &amp; Stuff'!BI:CJ,14,FALSE)</f>
        <v>0</v>
      </c>
      <c r="Q360" s="113">
        <f>VLOOKUP(C360,'Talente &amp; Stuff'!BI:CJ,15,FALSE)</f>
        <v>0</v>
      </c>
      <c r="R360" s="113">
        <f>VLOOKUP(C360,'Talente &amp; Stuff'!BI:CJ,16,FALSE)</f>
        <v>0</v>
      </c>
      <c r="S360" s="113">
        <f>VLOOKUP(C360,'Talente &amp; Stuff'!BI:CJ,17,FALSE)</f>
        <v>0</v>
      </c>
      <c r="T360" s="160">
        <f>VLOOKUP(C360,'Talente &amp; Stuff'!BI:CJ,18,FALSE)</f>
        <v>0</v>
      </c>
      <c r="U360" s="47">
        <f>VLOOKUP(C360,'Talente &amp; Stuff'!BI:CJ,19,FALSE)</f>
        <v>0</v>
      </c>
      <c r="V360" s="47">
        <f>VLOOKUP(C360,'Talente &amp; Stuff'!BI:CJ,20,FALSE)</f>
        <v>0</v>
      </c>
      <c r="W360" s="47">
        <f>VLOOKUP(C360,'Talente &amp; Stuff'!BI:CJ,21,FALSE)</f>
        <v>0</v>
      </c>
      <c r="X360" s="125">
        <f>VLOOKUP(C360,'Talente &amp; Stuff'!BI:CJ,22,FALSE)</f>
        <v>0</v>
      </c>
      <c r="Y360" s="165">
        <f t="shared" si="24"/>
        <v>0</v>
      </c>
      <c r="Z360" s="44">
        <f t="shared" si="25"/>
        <v>0</v>
      </c>
      <c r="AA360" s="125">
        <f>VLOOKUP(C360,'Talente &amp; Stuff'!BI:CJ,25,FALSE)</f>
        <v>0</v>
      </c>
      <c r="AB360" s="160">
        <f>VLOOKUP(C360,'Talente &amp; Stuff'!BI:CJ,26,FALSE)</f>
        <v>0</v>
      </c>
      <c r="AC360" s="127">
        <f>VLOOKUP(C360,'Talente &amp; Stuff'!BI:CJ,27,FALSE)</f>
        <v>0</v>
      </c>
      <c r="AD360" s="125">
        <f>VLOOKUP(C360,'Talente &amp; Stuff'!BI:CJ,28,FALSE)</f>
        <v>0</v>
      </c>
      <c r="AE360" s="28"/>
    </row>
    <row r="361" spans="2:31" ht="15" hidden="1" customHeight="1" outlineLevel="2">
      <c r="B361" s="148">
        <v>5</v>
      </c>
      <c r="C361" s="177" t="str">
        <f>Attribute!C361</f>
        <v>---</v>
      </c>
      <c r="D361" s="86" t="str">
        <f>VLOOKUP(C361,'Talente &amp; Stuff'!BI:CJ,2,FALSE)</f>
        <v>--/--/--</v>
      </c>
      <c r="E361" s="125" t="str">
        <f>VLOOKUP(C361,'Talente &amp; Stuff'!BI:CJ,3,FALSE)</f>
        <v>-</v>
      </c>
      <c r="F361" s="113">
        <f>VLOOKUP(C361,'Talente &amp; Stuff'!BI:CJ,4,FALSE)</f>
        <v>0</v>
      </c>
      <c r="G361" s="113">
        <f>VLOOKUP(C361,'Talente &amp; Stuff'!BI:CJ,5,FALSE)</f>
        <v>0</v>
      </c>
      <c r="H361" s="113">
        <f>VLOOKUP(C361,'Talente &amp; Stuff'!BI:CJ,6,FALSE)</f>
        <v>0</v>
      </c>
      <c r="I361" s="113">
        <f>VLOOKUP(C361,'Talente &amp; Stuff'!BI:CJ,7,FALSE)</f>
        <v>0</v>
      </c>
      <c r="J361" s="113">
        <f>VLOOKUP(C361,'Talente &amp; Stuff'!BI:CJ,8,FALSE)</f>
        <v>0</v>
      </c>
      <c r="K361" s="113">
        <f>VLOOKUP(C361,'Talente &amp; Stuff'!BI:CJ,9,FALSE)</f>
        <v>0</v>
      </c>
      <c r="L361" s="113">
        <f>VLOOKUP(C361,'Talente &amp; Stuff'!BI:CJ,10,FALSE)</f>
        <v>0</v>
      </c>
      <c r="M361" s="113">
        <f>VLOOKUP(C361,'Talente &amp; Stuff'!BI:CJ,11,FALSE)</f>
        <v>0</v>
      </c>
      <c r="N361" s="89">
        <f>VLOOKUP(C361,'Talente &amp; Stuff'!BI:CJ,12,FALSE)</f>
        <v>0</v>
      </c>
      <c r="O361" s="47">
        <f>VLOOKUP(C361,'Talente &amp; Stuff'!BI:CJ,13,FALSE)</f>
        <v>0</v>
      </c>
      <c r="P361" s="119">
        <f>VLOOKUP(C361,'Talente &amp; Stuff'!BI:CJ,14,FALSE)</f>
        <v>0</v>
      </c>
      <c r="Q361" s="113">
        <f>VLOOKUP(C361,'Talente &amp; Stuff'!BI:CJ,15,FALSE)</f>
        <v>0</v>
      </c>
      <c r="R361" s="113">
        <f>VLOOKUP(C361,'Talente &amp; Stuff'!BI:CJ,16,FALSE)</f>
        <v>0</v>
      </c>
      <c r="S361" s="113">
        <f>VLOOKUP(C361,'Talente &amp; Stuff'!BI:CJ,17,FALSE)</f>
        <v>0</v>
      </c>
      <c r="T361" s="160">
        <f>VLOOKUP(C361,'Talente &amp; Stuff'!BI:CJ,18,FALSE)</f>
        <v>0</v>
      </c>
      <c r="U361" s="47">
        <f>VLOOKUP(C361,'Talente &amp; Stuff'!BI:CJ,19,FALSE)</f>
        <v>0</v>
      </c>
      <c r="V361" s="47">
        <f>VLOOKUP(C361,'Talente &amp; Stuff'!BI:CJ,20,FALSE)</f>
        <v>0</v>
      </c>
      <c r="W361" s="47">
        <f>VLOOKUP(C361,'Talente &amp; Stuff'!BI:CJ,21,FALSE)</f>
        <v>0</v>
      </c>
      <c r="X361" s="125">
        <f>VLOOKUP(C361,'Talente &amp; Stuff'!BI:CJ,22,FALSE)</f>
        <v>0</v>
      </c>
      <c r="Y361" s="165">
        <f t="shared" si="24"/>
        <v>0</v>
      </c>
      <c r="Z361" s="44">
        <f t="shared" si="25"/>
        <v>0</v>
      </c>
      <c r="AA361" s="125">
        <f>VLOOKUP(C361,'Talente &amp; Stuff'!BI:CJ,25,FALSE)</f>
        <v>0</v>
      </c>
      <c r="AB361" s="160">
        <f>VLOOKUP(C361,'Talente &amp; Stuff'!BI:CJ,26,FALSE)</f>
        <v>0</v>
      </c>
      <c r="AC361" s="127">
        <f>VLOOKUP(C361,'Talente &amp; Stuff'!BI:CJ,27,FALSE)</f>
        <v>0</v>
      </c>
      <c r="AD361" s="125">
        <f>VLOOKUP(C361,'Talente &amp; Stuff'!BI:CJ,28,FALSE)</f>
        <v>0</v>
      </c>
      <c r="AE361" s="28"/>
    </row>
    <row r="362" spans="2:31" ht="15" hidden="1" customHeight="1" outlineLevel="2">
      <c r="B362" s="148">
        <v>6</v>
      </c>
      <c r="C362" s="177" t="str">
        <f>Attribute!C362</f>
        <v>---</v>
      </c>
      <c r="D362" s="86" t="str">
        <f>VLOOKUP(C362,'Talente &amp; Stuff'!BI:CJ,2,FALSE)</f>
        <v>--/--/--</v>
      </c>
      <c r="E362" s="125" t="str">
        <f>VLOOKUP(C362,'Talente &amp; Stuff'!BI:CJ,3,FALSE)</f>
        <v>-</v>
      </c>
      <c r="F362" s="113">
        <f>VLOOKUP(C362,'Talente &amp; Stuff'!BI:CJ,4,FALSE)</f>
        <v>0</v>
      </c>
      <c r="G362" s="113">
        <f>VLOOKUP(C362,'Talente &amp; Stuff'!BI:CJ,5,FALSE)</f>
        <v>0</v>
      </c>
      <c r="H362" s="113">
        <f>VLOOKUP(C362,'Talente &amp; Stuff'!BI:CJ,6,FALSE)</f>
        <v>0</v>
      </c>
      <c r="I362" s="113">
        <f>VLOOKUP(C362,'Talente &amp; Stuff'!BI:CJ,7,FALSE)</f>
        <v>0</v>
      </c>
      <c r="J362" s="113">
        <f>VLOOKUP(C362,'Talente &amp; Stuff'!BI:CJ,8,FALSE)</f>
        <v>0</v>
      </c>
      <c r="K362" s="113">
        <f>VLOOKUP(C362,'Talente &amp; Stuff'!BI:CJ,9,FALSE)</f>
        <v>0</v>
      </c>
      <c r="L362" s="113">
        <f>VLOOKUP(C362,'Talente &amp; Stuff'!BI:CJ,10,FALSE)</f>
        <v>0</v>
      </c>
      <c r="M362" s="113">
        <f>VLOOKUP(C362,'Talente &amp; Stuff'!BI:CJ,11,FALSE)</f>
        <v>0</v>
      </c>
      <c r="N362" s="89">
        <f>VLOOKUP(C362,'Talente &amp; Stuff'!BI:CJ,12,FALSE)</f>
        <v>0</v>
      </c>
      <c r="O362" s="47">
        <f>VLOOKUP(C362,'Talente &amp; Stuff'!BI:CJ,13,FALSE)</f>
        <v>0</v>
      </c>
      <c r="P362" s="119">
        <f>VLOOKUP(C362,'Talente &amp; Stuff'!BI:CJ,14,FALSE)</f>
        <v>0</v>
      </c>
      <c r="Q362" s="113">
        <f>VLOOKUP(C362,'Talente &amp; Stuff'!BI:CJ,15,FALSE)</f>
        <v>0</v>
      </c>
      <c r="R362" s="113">
        <f>VLOOKUP(C362,'Talente &amp; Stuff'!BI:CJ,16,FALSE)</f>
        <v>0</v>
      </c>
      <c r="S362" s="113">
        <f>VLOOKUP(C362,'Talente &amp; Stuff'!BI:CJ,17,FALSE)</f>
        <v>0</v>
      </c>
      <c r="T362" s="160">
        <f>VLOOKUP(C362,'Talente &amp; Stuff'!BI:CJ,18,FALSE)</f>
        <v>0</v>
      </c>
      <c r="U362" s="47">
        <f>VLOOKUP(C362,'Talente &amp; Stuff'!BI:CJ,19,FALSE)</f>
        <v>0</v>
      </c>
      <c r="V362" s="47">
        <f>VLOOKUP(C362,'Talente &amp; Stuff'!BI:CJ,20,FALSE)</f>
        <v>0</v>
      </c>
      <c r="W362" s="47">
        <f>VLOOKUP(C362,'Talente &amp; Stuff'!BI:CJ,21,FALSE)</f>
        <v>0</v>
      </c>
      <c r="X362" s="125">
        <f>VLOOKUP(C362,'Talente &amp; Stuff'!BI:CJ,22,FALSE)</f>
        <v>0</v>
      </c>
      <c r="Y362" s="165">
        <f t="shared" si="24"/>
        <v>0</v>
      </c>
      <c r="Z362" s="44">
        <f t="shared" si="25"/>
        <v>0</v>
      </c>
      <c r="AA362" s="125">
        <f>VLOOKUP(C362,'Talente &amp; Stuff'!BI:CJ,25,FALSE)</f>
        <v>0</v>
      </c>
      <c r="AB362" s="160">
        <f>VLOOKUP(C362,'Talente &amp; Stuff'!BI:CJ,26,FALSE)</f>
        <v>0</v>
      </c>
      <c r="AC362" s="127">
        <f>VLOOKUP(C362,'Talente &amp; Stuff'!BI:CJ,27,FALSE)</f>
        <v>0</v>
      </c>
      <c r="AD362" s="125">
        <f>VLOOKUP(C362,'Talente &amp; Stuff'!BI:CJ,28,FALSE)</f>
        <v>0</v>
      </c>
      <c r="AE362" s="28"/>
    </row>
    <row r="363" spans="2:31" ht="15" hidden="1" customHeight="1" outlineLevel="2">
      <c r="B363" s="148">
        <v>7</v>
      </c>
      <c r="C363" s="177" t="str">
        <f>Attribute!C363</f>
        <v>---</v>
      </c>
      <c r="D363" s="86" t="str">
        <f>VLOOKUP(C363,'Talente &amp; Stuff'!BI:CJ,2,FALSE)</f>
        <v>--/--/--</v>
      </c>
      <c r="E363" s="125" t="str">
        <f>VLOOKUP(C363,'Talente &amp; Stuff'!BI:CJ,3,FALSE)</f>
        <v>-</v>
      </c>
      <c r="F363" s="113">
        <f>VLOOKUP(C363,'Talente &amp; Stuff'!BI:CJ,4,FALSE)</f>
        <v>0</v>
      </c>
      <c r="G363" s="113">
        <f>VLOOKUP(C363,'Talente &amp; Stuff'!BI:CJ,5,FALSE)</f>
        <v>0</v>
      </c>
      <c r="H363" s="113">
        <f>VLOOKUP(C363,'Talente &amp; Stuff'!BI:CJ,6,FALSE)</f>
        <v>0</v>
      </c>
      <c r="I363" s="113">
        <f>VLOOKUP(C363,'Talente &amp; Stuff'!BI:CJ,7,FALSE)</f>
        <v>0</v>
      </c>
      <c r="J363" s="113">
        <f>VLOOKUP(C363,'Talente &amp; Stuff'!BI:CJ,8,FALSE)</f>
        <v>0</v>
      </c>
      <c r="K363" s="113">
        <f>VLOOKUP(C363,'Talente &amp; Stuff'!BI:CJ,9,FALSE)</f>
        <v>0</v>
      </c>
      <c r="L363" s="113">
        <f>VLOOKUP(C363,'Talente &amp; Stuff'!BI:CJ,10,FALSE)</f>
        <v>0</v>
      </c>
      <c r="M363" s="113">
        <f>VLOOKUP(C363,'Talente &amp; Stuff'!BI:CJ,11,FALSE)</f>
        <v>0</v>
      </c>
      <c r="N363" s="89">
        <f>VLOOKUP(C363,'Talente &amp; Stuff'!BI:CJ,12,FALSE)</f>
        <v>0</v>
      </c>
      <c r="O363" s="47">
        <f>VLOOKUP(C363,'Talente &amp; Stuff'!BI:CJ,13,FALSE)</f>
        <v>0</v>
      </c>
      <c r="P363" s="119">
        <f>VLOOKUP(C363,'Talente &amp; Stuff'!BI:CJ,14,FALSE)</f>
        <v>0</v>
      </c>
      <c r="Q363" s="113">
        <f>VLOOKUP(C363,'Talente &amp; Stuff'!BI:CJ,15,FALSE)</f>
        <v>0</v>
      </c>
      <c r="R363" s="113">
        <f>VLOOKUP(C363,'Talente &amp; Stuff'!BI:CJ,16,FALSE)</f>
        <v>0</v>
      </c>
      <c r="S363" s="113">
        <f>VLOOKUP(C363,'Talente &amp; Stuff'!BI:CJ,17,FALSE)</f>
        <v>0</v>
      </c>
      <c r="T363" s="160">
        <f>VLOOKUP(C363,'Talente &amp; Stuff'!BI:CJ,18,FALSE)</f>
        <v>0</v>
      </c>
      <c r="U363" s="47">
        <f>VLOOKUP(C363,'Talente &amp; Stuff'!BI:CJ,19,FALSE)</f>
        <v>0</v>
      </c>
      <c r="V363" s="47">
        <f>VLOOKUP(C363,'Talente &amp; Stuff'!BI:CJ,20,FALSE)</f>
        <v>0</v>
      </c>
      <c r="W363" s="47">
        <f>VLOOKUP(C363,'Talente &amp; Stuff'!BI:CJ,21,FALSE)</f>
        <v>0</v>
      </c>
      <c r="X363" s="125">
        <f>VLOOKUP(C363,'Talente &amp; Stuff'!BI:CJ,22,FALSE)</f>
        <v>0</v>
      </c>
      <c r="Y363" s="165">
        <f t="shared" si="24"/>
        <v>0</v>
      </c>
      <c r="Z363" s="44">
        <f t="shared" si="25"/>
        <v>0</v>
      </c>
      <c r="AA363" s="125">
        <f>VLOOKUP(C363,'Talente &amp; Stuff'!BI:CJ,25,FALSE)</f>
        <v>0</v>
      </c>
      <c r="AB363" s="160">
        <f>VLOOKUP(C363,'Talente &amp; Stuff'!BI:CJ,26,FALSE)</f>
        <v>0</v>
      </c>
      <c r="AC363" s="127">
        <f>VLOOKUP(C363,'Talente &amp; Stuff'!BI:CJ,27,FALSE)</f>
        <v>0</v>
      </c>
      <c r="AD363" s="125">
        <f>VLOOKUP(C363,'Talente &amp; Stuff'!BI:CJ,28,FALSE)</f>
        <v>0</v>
      </c>
      <c r="AE363" s="28"/>
    </row>
    <row r="364" spans="2:31" ht="15" hidden="1" customHeight="1" outlineLevel="2">
      <c r="B364" s="148">
        <v>8</v>
      </c>
      <c r="C364" s="177" t="str">
        <f>Attribute!C364</f>
        <v>---</v>
      </c>
      <c r="D364" s="86" t="str">
        <f>VLOOKUP(C364,'Talente &amp; Stuff'!BI:CJ,2,FALSE)</f>
        <v>--/--/--</v>
      </c>
      <c r="E364" s="125" t="str">
        <f>VLOOKUP(C364,'Talente &amp; Stuff'!BI:CJ,3,FALSE)</f>
        <v>-</v>
      </c>
      <c r="F364" s="113">
        <f>VLOOKUP(C364,'Talente &amp; Stuff'!BI:CJ,4,FALSE)</f>
        <v>0</v>
      </c>
      <c r="G364" s="113">
        <f>VLOOKUP(C364,'Talente &amp; Stuff'!BI:CJ,5,FALSE)</f>
        <v>0</v>
      </c>
      <c r="H364" s="113">
        <f>VLOOKUP(C364,'Talente &amp; Stuff'!BI:CJ,6,FALSE)</f>
        <v>0</v>
      </c>
      <c r="I364" s="113">
        <f>VLOOKUP(C364,'Talente &amp; Stuff'!BI:CJ,7,FALSE)</f>
        <v>0</v>
      </c>
      <c r="J364" s="113">
        <f>VLOOKUP(C364,'Talente &amp; Stuff'!BI:CJ,8,FALSE)</f>
        <v>0</v>
      </c>
      <c r="K364" s="113">
        <f>VLOOKUP(C364,'Talente &amp; Stuff'!BI:CJ,9,FALSE)</f>
        <v>0</v>
      </c>
      <c r="L364" s="113">
        <f>VLOOKUP(C364,'Talente &amp; Stuff'!BI:CJ,10,FALSE)</f>
        <v>0</v>
      </c>
      <c r="M364" s="113">
        <f>VLOOKUP(C364,'Talente &amp; Stuff'!BI:CJ,11,FALSE)</f>
        <v>0</v>
      </c>
      <c r="N364" s="89">
        <f>VLOOKUP(C364,'Talente &amp; Stuff'!BI:CJ,12,FALSE)</f>
        <v>0</v>
      </c>
      <c r="O364" s="47">
        <f>VLOOKUP(C364,'Talente &amp; Stuff'!BI:CJ,13,FALSE)</f>
        <v>0</v>
      </c>
      <c r="P364" s="119">
        <f>VLOOKUP(C364,'Talente &amp; Stuff'!BI:CJ,14,FALSE)</f>
        <v>0</v>
      </c>
      <c r="Q364" s="113">
        <f>VLOOKUP(C364,'Talente &amp; Stuff'!BI:CJ,15,FALSE)</f>
        <v>0</v>
      </c>
      <c r="R364" s="113">
        <f>VLOOKUP(C364,'Talente &amp; Stuff'!BI:CJ,16,FALSE)</f>
        <v>0</v>
      </c>
      <c r="S364" s="113">
        <f>VLOOKUP(C364,'Talente &amp; Stuff'!BI:CJ,17,FALSE)</f>
        <v>0</v>
      </c>
      <c r="T364" s="160">
        <f>VLOOKUP(C364,'Talente &amp; Stuff'!BI:CJ,18,FALSE)</f>
        <v>0</v>
      </c>
      <c r="U364" s="47">
        <f>VLOOKUP(C364,'Talente &amp; Stuff'!BI:CJ,19,FALSE)</f>
        <v>0</v>
      </c>
      <c r="V364" s="47">
        <f>VLOOKUP(C364,'Talente &amp; Stuff'!BI:CJ,20,FALSE)</f>
        <v>0</v>
      </c>
      <c r="W364" s="47">
        <f>VLOOKUP(C364,'Talente &amp; Stuff'!BI:CJ,21,FALSE)</f>
        <v>0</v>
      </c>
      <c r="X364" s="125">
        <f>VLOOKUP(C364,'Talente &amp; Stuff'!BI:CJ,22,FALSE)</f>
        <v>0</v>
      </c>
      <c r="Y364" s="165">
        <f t="shared" si="24"/>
        <v>0</v>
      </c>
      <c r="Z364" s="44">
        <f t="shared" si="25"/>
        <v>0</v>
      </c>
      <c r="AA364" s="125">
        <f>VLOOKUP(C364,'Talente &amp; Stuff'!BI:CJ,25,FALSE)</f>
        <v>0</v>
      </c>
      <c r="AB364" s="160">
        <f>VLOOKUP(C364,'Talente &amp; Stuff'!BI:CJ,26,FALSE)</f>
        <v>0</v>
      </c>
      <c r="AC364" s="127">
        <f>VLOOKUP(C364,'Talente &amp; Stuff'!BI:CJ,27,FALSE)</f>
        <v>0</v>
      </c>
      <c r="AD364" s="125">
        <f>VLOOKUP(C364,'Talente &amp; Stuff'!BI:CJ,28,FALSE)</f>
        <v>0</v>
      </c>
      <c r="AE364" s="28"/>
    </row>
    <row r="365" spans="2:31" ht="15" hidden="1" customHeight="1" outlineLevel="2">
      <c r="B365" s="148">
        <v>9</v>
      </c>
      <c r="C365" s="178" t="str">
        <f>Attribute!C365</f>
        <v>---</v>
      </c>
      <c r="D365" s="87" t="str">
        <f>VLOOKUP(C365,'Talente &amp; Stuff'!BI:CJ,2,FALSE)</f>
        <v>--/--/--</v>
      </c>
      <c r="E365" s="159" t="str">
        <f>VLOOKUP(C365,'Talente &amp; Stuff'!BI:CJ,3,FALSE)</f>
        <v>-</v>
      </c>
      <c r="F365" s="122">
        <f>VLOOKUP(C365,'Talente &amp; Stuff'!BI:CJ,4,FALSE)</f>
        <v>0</v>
      </c>
      <c r="G365" s="122">
        <f>VLOOKUP(C365,'Talente &amp; Stuff'!BI:CJ,5,FALSE)</f>
        <v>0</v>
      </c>
      <c r="H365" s="122">
        <f>VLOOKUP(C365,'Talente &amp; Stuff'!BI:CJ,6,FALSE)</f>
        <v>0</v>
      </c>
      <c r="I365" s="122">
        <f>VLOOKUP(C365,'Talente &amp; Stuff'!BI:CJ,7,FALSE)</f>
        <v>0</v>
      </c>
      <c r="J365" s="122">
        <f>VLOOKUP(C365,'Talente &amp; Stuff'!BI:CJ,8,FALSE)</f>
        <v>0</v>
      </c>
      <c r="K365" s="122">
        <f>VLOOKUP(C365,'Talente &amp; Stuff'!BI:CJ,9,FALSE)</f>
        <v>0</v>
      </c>
      <c r="L365" s="122">
        <f>VLOOKUP(C365,'Talente &amp; Stuff'!BI:CJ,10,FALSE)</f>
        <v>0</v>
      </c>
      <c r="M365" s="122">
        <f>VLOOKUP(C365,'Talente &amp; Stuff'!BI:CJ,11,FALSE)</f>
        <v>0</v>
      </c>
      <c r="N365" s="90">
        <f>VLOOKUP(C365,'Talente &amp; Stuff'!BI:CJ,12,FALSE)</f>
        <v>0</v>
      </c>
      <c r="O365" s="88">
        <f>VLOOKUP(C365,'Talente &amp; Stuff'!BI:CJ,13,FALSE)</f>
        <v>0</v>
      </c>
      <c r="P365" s="123">
        <f>VLOOKUP(C365,'Talente &amp; Stuff'!BI:CJ,14,FALSE)</f>
        <v>0</v>
      </c>
      <c r="Q365" s="122">
        <f>VLOOKUP(C365,'Talente &amp; Stuff'!BI:CJ,15,FALSE)</f>
        <v>0</v>
      </c>
      <c r="R365" s="122">
        <f>VLOOKUP(C365,'Talente &amp; Stuff'!BI:CJ,16,FALSE)</f>
        <v>0</v>
      </c>
      <c r="S365" s="122">
        <f>VLOOKUP(C365,'Talente &amp; Stuff'!BI:CJ,17,FALSE)</f>
        <v>0</v>
      </c>
      <c r="T365" s="161">
        <f>VLOOKUP(C365,'Talente &amp; Stuff'!BI:CJ,18,FALSE)</f>
        <v>0</v>
      </c>
      <c r="U365" s="88">
        <f>VLOOKUP(C365,'Talente &amp; Stuff'!BI:CJ,19,FALSE)</f>
        <v>0</v>
      </c>
      <c r="V365" s="88">
        <f>VLOOKUP(C365,'Talente &amp; Stuff'!BI:CJ,20,FALSE)</f>
        <v>0</v>
      </c>
      <c r="W365" s="88">
        <f>VLOOKUP(C365,'Talente &amp; Stuff'!BI:CJ,21,FALSE)</f>
        <v>0</v>
      </c>
      <c r="X365" s="159">
        <f>VLOOKUP(C365,'Talente &amp; Stuff'!BI:CJ,22,FALSE)</f>
        <v>0</v>
      </c>
      <c r="Y365" s="165">
        <f t="shared" si="24"/>
        <v>0</v>
      </c>
      <c r="Z365" s="44">
        <f t="shared" si="25"/>
        <v>0</v>
      </c>
      <c r="AA365" s="159">
        <f>VLOOKUP(C365,'Talente &amp; Stuff'!BI:CJ,25,FALSE)</f>
        <v>0</v>
      </c>
      <c r="AB365" s="161">
        <f>VLOOKUP(C365,'Talente &amp; Stuff'!BI:CJ,26,FALSE)</f>
        <v>0</v>
      </c>
      <c r="AC365" s="128">
        <f>VLOOKUP(C365,'Talente &amp; Stuff'!BI:CJ,27,FALSE)</f>
        <v>0</v>
      </c>
      <c r="AD365" s="159">
        <f>VLOOKUP(C365,'Talente &amp; Stuff'!BI:CJ,28,FALSE)</f>
        <v>0</v>
      </c>
      <c r="AE365" s="28"/>
    </row>
    <row r="366" spans="2:31" ht="15" hidden="1" customHeight="1" outlineLevel="1" collapsed="1">
      <c r="B366" s="134" t="s">
        <v>330</v>
      </c>
      <c r="C366" s="83"/>
      <c r="D366" s="84"/>
      <c r="E366" s="84"/>
    </row>
    <row r="367" spans="2:31" ht="15" hidden="1" customHeight="1" outlineLevel="2">
      <c r="B367" s="148">
        <v>1</v>
      </c>
      <c r="C367" s="176" t="str">
        <f>Attribute!C367</f>
        <v>---</v>
      </c>
      <c r="D367" s="158" t="str">
        <f>VLOOKUP(C367,'Talente &amp; Stuff'!BI:CJ,2,FALSE)</f>
        <v>--/--/--</v>
      </c>
      <c r="E367" s="158" t="str">
        <f>VLOOKUP(C367,'Talente &amp; Stuff'!BI:CJ,3,FALSE)</f>
        <v>-</v>
      </c>
      <c r="F367" s="118">
        <f>VLOOKUP(C367,'Talente &amp; Stuff'!BI:CJ,4,FALSE)</f>
        <v>0</v>
      </c>
      <c r="G367" s="118">
        <f>VLOOKUP(C367,'Talente &amp; Stuff'!BI:CJ,5,FALSE)</f>
        <v>0</v>
      </c>
      <c r="H367" s="118">
        <f>VLOOKUP(C367,'Talente &amp; Stuff'!BI:CJ,6,FALSE)</f>
        <v>0</v>
      </c>
      <c r="I367" s="118">
        <f>VLOOKUP(C367,'Talente &amp; Stuff'!BI:CJ,7,FALSE)</f>
        <v>0</v>
      </c>
      <c r="J367" s="118">
        <f>VLOOKUP(C367,'Talente &amp; Stuff'!BI:CJ,8,FALSE)</f>
        <v>0</v>
      </c>
      <c r="K367" s="118">
        <f>VLOOKUP(C367,'Talente &amp; Stuff'!BI:CJ,9,FALSE)</f>
        <v>0</v>
      </c>
      <c r="L367" s="118">
        <f>VLOOKUP(C367,'Talente &amp; Stuff'!BI:CJ,10,FALSE)</f>
        <v>0</v>
      </c>
      <c r="M367" s="118">
        <f>VLOOKUP(C367,'Talente &amp; Stuff'!BI:CJ,11,FALSE)</f>
        <v>0</v>
      </c>
      <c r="N367" s="193">
        <f>VLOOKUP(C367,'Talente &amp; Stuff'!BI:CJ,12,FALSE)</f>
        <v>0</v>
      </c>
      <c r="O367" s="116">
        <f>VLOOKUP(C367,'Talente &amp; Stuff'!BI:CJ,13,FALSE)</f>
        <v>0</v>
      </c>
      <c r="P367" s="92">
        <f>VLOOKUP(C367,'Talente &amp; Stuff'!BI:CJ,14,FALSE)</f>
        <v>0</v>
      </c>
      <c r="Q367" s="118">
        <f>VLOOKUP(C367,'Talente &amp; Stuff'!BI:CJ,15,FALSE)</f>
        <v>0</v>
      </c>
      <c r="R367" s="118">
        <f>VLOOKUP(C367,'Talente &amp; Stuff'!BI:CJ,16,FALSE)</f>
        <v>0</v>
      </c>
      <c r="S367" s="118">
        <f>VLOOKUP(C367,'Talente &amp; Stuff'!BI:CJ,17,FALSE)</f>
        <v>0</v>
      </c>
      <c r="T367" s="91">
        <f>VLOOKUP(C367,'Talente &amp; Stuff'!BI:CJ,18,FALSE)</f>
        <v>0</v>
      </c>
      <c r="U367" s="116">
        <f>VLOOKUP(C367,'Talente &amp; Stuff'!BI:CJ,19,FALSE)</f>
        <v>0</v>
      </c>
      <c r="V367" s="116">
        <f>VLOOKUP(C367,'Talente &amp; Stuff'!BI:CJ,20,FALSE)</f>
        <v>0</v>
      </c>
      <c r="W367" s="116">
        <f>VLOOKUP(C367,'Talente &amp; Stuff'!BI:CJ,21,FALSE)</f>
        <v>0</v>
      </c>
      <c r="X367" s="158">
        <f>VLOOKUP(C367,'Talente &amp; Stuff'!BI:CJ,22,FALSE)</f>
        <v>0</v>
      </c>
      <c r="Y367" s="165">
        <f t="shared" ref="Y367:Y374" si="26">VLOOKUP(C367,Ausgewählte_Rituale_Elfen,81,FALSE)</f>
        <v>0</v>
      </c>
      <c r="Z367" s="44">
        <f t="shared" ref="Z367:Z374" si="27">VLOOKUP(C367,Ausgewählte_Rituale_Elfen,82,FALSE)</f>
        <v>0</v>
      </c>
      <c r="AA367" s="158">
        <f>VLOOKUP(C367,'Talente &amp; Stuff'!BI:CJ,25,FALSE)</f>
        <v>0</v>
      </c>
      <c r="AB367" s="91">
        <f>VLOOKUP(C367,'Talente &amp; Stuff'!BI:CJ,26,FALSE)</f>
        <v>0</v>
      </c>
      <c r="AC367" s="126">
        <f>VLOOKUP(C367,'Talente &amp; Stuff'!BI:CJ,27,FALSE)</f>
        <v>0</v>
      </c>
      <c r="AD367" s="158">
        <f>VLOOKUP(C367,'Talente &amp; Stuff'!BI:CJ,28,FALSE)</f>
        <v>0</v>
      </c>
      <c r="AE367" s="28"/>
    </row>
    <row r="368" spans="2:31" ht="15" hidden="1" customHeight="1" outlineLevel="2">
      <c r="B368" s="148">
        <v>2</v>
      </c>
      <c r="C368" s="177" t="str">
        <f>Attribute!C368</f>
        <v>---</v>
      </c>
      <c r="D368" s="125" t="str">
        <f>VLOOKUP(C368,'Talente &amp; Stuff'!BI:CJ,2,FALSE)</f>
        <v>--/--/--</v>
      </c>
      <c r="E368" s="125" t="str">
        <f>VLOOKUP(C368,'Talente &amp; Stuff'!BI:CJ,3,FALSE)</f>
        <v>-</v>
      </c>
      <c r="F368" s="113">
        <f>VLOOKUP(C368,'Talente &amp; Stuff'!BI:CJ,4,FALSE)</f>
        <v>0</v>
      </c>
      <c r="G368" s="113">
        <f>VLOOKUP(C368,'Talente &amp; Stuff'!BI:CJ,5,FALSE)</f>
        <v>0</v>
      </c>
      <c r="H368" s="113">
        <f>VLOOKUP(C368,'Talente &amp; Stuff'!BI:CJ,6,FALSE)</f>
        <v>0</v>
      </c>
      <c r="I368" s="113">
        <f>VLOOKUP(C368,'Talente &amp; Stuff'!BI:CJ,7,FALSE)</f>
        <v>0</v>
      </c>
      <c r="J368" s="113">
        <f>VLOOKUP(C368,'Talente &amp; Stuff'!BI:CJ,8,FALSE)</f>
        <v>0</v>
      </c>
      <c r="K368" s="113">
        <f>VLOOKUP(C368,'Talente &amp; Stuff'!BI:CJ,9,FALSE)</f>
        <v>0</v>
      </c>
      <c r="L368" s="113">
        <f>VLOOKUP(C368,'Talente &amp; Stuff'!BI:CJ,10,FALSE)</f>
        <v>0</v>
      </c>
      <c r="M368" s="113">
        <f>VLOOKUP(C368,'Talente &amp; Stuff'!BI:CJ,11,FALSE)</f>
        <v>0</v>
      </c>
      <c r="N368" s="89">
        <f>VLOOKUP(C368,'Talente &amp; Stuff'!BI:CJ,12,FALSE)</f>
        <v>0</v>
      </c>
      <c r="O368" s="47">
        <f>VLOOKUP(C368,'Talente &amp; Stuff'!BI:CJ,13,FALSE)</f>
        <v>0</v>
      </c>
      <c r="P368" s="119">
        <f>VLOOKUP(C368,'Talente &amp; Stuff'!BI:CJ,14,FALSE)</f>
        <v>0</v>
      </c>
      <c r="Q368" s="113">
        <f>VLOOKUP(C368,'Talente &amp; Stuff'!BI:CJ,15,FALSE)</f>
        <v>0</v>
      </c>
      <c r="R368" s="113">
        <f>VLOOKUP(C368,'Talente &amp; Stuff'!BI:CJ,16,FALSE)</f>
        <v>0</v>
      </c>
      <c r="S368" s="113">
        <f>VLOOKUP(C368,'Talente &amp; Stuff'!BI:CJ,17,FALSE)</f>
        <v>0</v>
      </c>
      <c r="T368" s="160">
        <f>VLOOKUP(C368,'Talente &amp; Stuff'!BI:CJ,18,FALSE)</f>
        <v>0</v>
      </c>
      <c r="U368" s="47">
        <f>VLOOKUP(C368,'Talente &amp; Stuff'!BI:CJ,19,FALSE)</f>
        <v>0</v>
      </c>
      <c r="V368" s="47">
        <f>VLOOKUP(C368,'Talente &amp; Stuff'!BI:CJ,20,FALSE)</f>
        <v>0</v>
      </c>
      <c r="W368" s="47">
        <f>VLOOKUP(C368,'Talente &amp; Stuff'!BI:CJ,21,FALSE)</f>
        <v>0</v>
      </c>
      <c r="X368" s="125">
        <f>VLOOKUP(C368,'Talente &amp; Stuff'!BI:CJ,22,FALSE)</f>
        <v>0</v>
      </c>
      <c r="Y368" s="165">
        <f t="shared" si="26"/>
        <v>0</v>
      </c>
      <c r="Z368" s="44">
        <f t="shared" si="27"/>
        <v>0</v>
      </c>
      <c r="AA368" s="125">
        <f>VLOOKUP(C368,'Talente &amp; Stuff'!BI:CJ,25,FALSE)</f>
        <v>0</v>
      </c>
      <c r="AB368" s="160">
        <f>VLOOKUP(C368,'Talente &amp; Stuff'!BI:CJ,26,FALSE)</f>
        <v>0</v>
      </c>
      <c r="AC368" s="127">
        <f>VLOOKUP(C368,'Talente &amp; Stuff'!BI:CJ,27,FALSE)</f>
        <v>0</v>
      </c>
      <c r="AD368" s="125">
        <f>VLOOKUP(C368,'Talente &amp; Stuff'!BI:CJ,28,FALSE)</f>
        <v>0</v>
      </c>
      <c r="AE368" s="28"/>
    </row>
    <row r="369" spans="2:31" ht="15" hidden="1" customHeight="1" outlineLevel="2">
      <c r="B369" s="148">
        <v>3</v>
      </c>
      <c r="C369" s="177" t="str">
        <f>Attribute!C369</f>
        <v>---</v>
      </c>
      <c r="D369" s="125" t="str">
        <f>VLOOKUP(C369,'Talente &amp; Stuff'!BI:CJ,2,FALSE)</f>
        <v>--/--/--</v>
      </c>
      <c r="E369" s="125" t="str">
        <f>VLOOKUP(C369,'Talente &amp; Stuff'!BI:CJ,3,FALSE)</f>
        <v>-</v>
      </c>
      <c r="F369" s="113">
        <f>VLOOKUP(C369,'Talente &amp; Stuff'!BI:CJ,4,FALSE)</f>
        <v>0</v>
      </c>
      <c r="G369" s="113">
        <f>VLOOKUP(C369,'Talente &amp; Stuff'!BI:CJ,5,FALSE)</f>
        <v>0</v>
      </c>
      <c r="H369" s="113">
        <f>VLOOKUP(C369,'Talente &amp; Stuff'!BI:CJ,6,FALSE)</f>
        <v>0</v>
      </c>
      <c r="I369" s="113">
        <f>VLOOKUP(C369,'Talente &amp; Stuff'!BI:CJ,7,FALSE)</f>
        <v>0</v>
      </c>
      <c r="J369" s="113">
        <f>VLOOKUP(C369,'Talente &amp; Stuff'!BI:CJ,8,FALSE)</f>
        <v>0</v>
      </c>
      <c r="K369" s="113">
        <f>VLOOKUP(C369,'Talente &amp; Stuff'!BI:CJ,9,FALSE)</f>
        <v>0</v>
      </c>
      <c r="L369" s="113">
        <f>VLOOKUP(C369,'Talente &amp; Stuff'!BI:CJ,10,FALSE)</f>
        <v>0</v>
      </c>
      <c r="M369" s="113">
        <f>VLOOKUP(C369,'Talente &amp; Stuff'!BI:CJ,11,FALSE)</f>
        <v>0</v>
      </c>
      <c r="N369" s="89">
        <f>VLOOKUP(C369,'Talente &amp; Stuff'!BI:CJ,12,FALSE)</f>
        <v>0</v>
      </c>
      <c r="O369" s="47">
        <f>VLOOKUP(C369,'Talente &amp; Stuff'!BI:CJ,13,FALSE)</f>
        <v>0</v>
      </c>
      <c r="P369" s="119">
        <f>VLOOKUP(C369,'Talente &amp; Stuff'!BI:CJ,14,FALSE)</f>
        <v>0</v>
      </c>
      <c r="Q369" s="113">
        <f>VLOOKUP(C369,'Talente &amp; Stuff'!BI:CJ,15,FALSE)</f>
        <v>0</v>
      </c>
      <c r="R369" s="113">
        <f>VLOOKUP(C369,'Talente &amp; Stuff'!BI:CJ,16,FALSE)</f>
        <v>0</v>
      </c>
      <c r="S369" s="113">
        <f>VLOOKUP(C369,'Talente &amp; Stuff'!BI:CJ,17,FALSE)</f>
        <v>0</v>
      </c>
      <c r="T369" s="160">
        <f>VLOOKUP(C369,'Talente &amp; Stuff'!BI:CJ,18,FALSE)</f>
        <v>0</v>
      </c>
      <c r="U369" s="47">
        <f>VLOOKUP(C369,'Talente &amp; Stuff'!BI:CJ,19,FALSE)</f>
        <v>0</v>
      </c>
      <c r="V369" s="47">
        <f>VLOOKUP(C369,'Talente &amp; Stuff'!BI:CJ,20,FALSE)</f>
        <v>0</v>
      </c>
      <c r="W369" s="47">
        <f>VLOOKUP(C369,'Talente &amp; Stuff'!BI:CJ,21,FALSE)</f>
        <v>0</v>
      </c>
      <c r="X369" s="125">
        <f>VLOOKUP(C369,'Talente &amp; Stuff'!BI:CJ,22,FALSE)</f>
        <v>0</v>
      </c>
      <c r="Y369" s="165">
        <f t="shared" si="26"/>
        <v>0</v>
      </c>
      <c r="Z369" s="44">
        <f t="shared" si="27"/>
        <v>0</v>
      </c>
      <c r="AA369" s="125">
        <f>VLOOKUP(C369,'Talente &amp; Stuff'!BI:CJ,25,FALSE)</f>
        <v>0</v>
      </c>
      <c r="AB369" s="160">
        <f>VLOOKUP(C369,'Talente &amp; Stuff'!BI:CJ,26,FALSE)</f>
        <v>0</v>
      </c>
      <c r="AC369" s="127">
        <f>VLOOKUP(C369,'Talente &amp; Stuff'!BI:CJ,27,FALSE)</f>
        <v>0</v>
      </c>
      <c r="AD369" s="125">
        <f>VLOOKUP(C369,'Talente &amp; Stuff'!BI:CJ,28,FALSE)</f>
        <v>0</v>
      </c>
      <c r="AE369" s="28"/>
    </row>
    <row r="370" spans="2:31" ht="15" hidden="1" customHeight="1" outlineLevel="2">
      <c r="B370" s="148">
        <v>4</v>
      </c>
      <c r="C370" s="177" t="str">
        <f>Attribute!C370</f>
        <v>---</v>
      </c>
      <c r="D370" s="125" t="str">
        <f>VLOOKUP(C370,'Talente &amp; Stuff'!BI:CJ,2,FALSE)</f>
        <v>--/--/--</v>
      </c>
      <c r="E370" s="125" t="str">
        <f>VLOOKUP(C370,'Talente &amp; Stuff'!BI:CJ,3,FALSE)</f>
        <v>-</v>
      </c>
      <c r="F370" s="113">
        <f>VLOOKUP(C370,'Talente &amp; Stuff'!BI:CJ,4,FALSE)</f>
        <v>0</v>
      </c>
      <c r="G370" s="113">
        <f>VLOOKUP(C370,'Talente &amp; Stuff'!BI:CJ,5,FALSE)</f>
        <v>0</v>
      </c>
      <c r="H370" s="113">
        <f>VLOOKUP(C370,'Talente &amp; Stuff'!BI:CJ,6,FALSE)</f>
        <v>0</v>
      </c>
      <c r="I370" s="113">
        <f>VLOOKUP(C370,'Talente &amp; Stuff'!BI:CJ,7,FALSE)</f>
        <v>0</v>
      </c>
      <c r="J370" s="113">
        <f>VLOOKUP(C370,'Talente &amp; Stuff'!BI:CJ,8,FALSE)</f>
        <v>0</v>
      </c>
      <c r="K370" s="113">
        <f>VLOOKUP(C370,'Talente &amp; Stuff'!BI:CJ,9,FALSE)</f>
        <v>0</v>
      </c>
      <c r="L370" s="113">
        <f>VLOOKUP(C370,'Talente &amp; Stuff'!BI:CJ,10,FALSE)</f>
        <v>0</v>
      </c>
      <c r="M370" s="113">
        <f>VLOOKUP(C370,'Talente &amp; Stuff'!BI:CJ,11,FALSE)</f>
        <v>0</v>
      </c>
      <c r="N370" s="89">
        <f>VLOOKUP(C370,'Talente &amp; Stuff'!BI:CJ,12,FALSE)</f>
        <v>0</v>
      </c>
      <c r="O370" s="47">
        <f>VLOOKUP(C370,'Talente &amp; Stuff'!BI:CJ,13,FALSE)</f>
        <v>0</v>
      </c>
      <c r="P370" s="119">
        <f>VLOOKUP(C370,'Talente &amp; Stuff'!BI:CJ,14,FALSE)</f>
        <v>0</v>
      </c>
      <c r="Q370" s="113">
        <f>VLOOKUP(C370,'Talente &amp; Stuff'!BI:CJ,15,FALSE)</f>
        <v>0</v>
      </c>
      <c r="R370" s="113">
        <f>VLOOKUP(C370,'Talente &amp; Stuff'!BI:CJ,16,FALSE)</f>
        <v>0</v>
      </c>
      <c r="S370" s="113">
        <f>VLOOKUP(C370,'Talente &amp; Stuff'!BI:CJ,17,FALSE)</f>
        <v>0</v>
      </c>
      <c r="T370" s="160">
        <f>VLOOKUP(C370,'Talente &amp; Stuff'!BI:CJ,18,FALSE)</f>
        <v>0</v>
      </c>
      <c r="U370" s="47">
        <f>VLOOKUP(C370,'Talente &amp; Stuff'!BI:CJ,19,FALSE)</f>
        <v>0</v>
      </c>
      <c r="V370" s="47">
        <f>VLOOKUP(C370,'Talente &amp; Stuff'!BI:CJ,20,FALSE)</f>
        <v>0</v>
      </c>
      <c r="W370" s="47">
        <f>VLOOKUP(C370,'Talente &amp; Stuff'!BI:CJ,21,FALSE)</f>
        <v>0</v>
      </c>
      <c r="X370" s="125">
        <f>VLOOKUP(C370,'Talente &amp; Stuff'!BI:CJ,22,FALSE)</f>
        <v>0</v>
      </c>
      <c r="Y370" s="165">
        <f t="shared" si="26"/>
        <v>0</v>
      </c>
      <c r="Z370" s="44">
        <f t="shared" si="27"/>
        <v>0</v>
      </c>
      <c r="AA370" s="125">
        <f>VLOOKUP(C370,'Talente &amp; Stuff'!BI:CJ,25,FALSE)</f>
        <v>0</v>
      </c>
      <c r="AB370" s="160">
        <f>VLOOKUP(C370,'Talente &amp; Stuff'!BI:CJ,26,FALSE)</f>
        <v>0</v>
      </c>
      <c r="AC370" s="127">
        <f>VLOOKUP(C370,'Talente &amp; Stuff'!BI:CJ,27,FALSE)</f>
        <v>0</v>
      </c>
      <c r="AD370" s="125">
        <f>VLOOKUP(C370,'Talente &amp; Stuff'!BI:CJ,28,FALSE)</f>
        <v>0</v>
      </c>
      <c r="AE370" s="28"/>
    </row>
    <row r="371" spans="2:31" ht="15" hidden="1" customHeight="1" outlineLevel="2">
      <c r="B371" s="148">
        <v>5</v>
      </c>
      <c r="C371" s="177" t="str">
        <f>Attribute!C371</f>
        <v>---</v>
      </c>
      <c r="D371" s="125" t="str">
        <f>VLOOKUP(C371,'Talente &amp; Stuff'!BI:CJ,2,FALSE)</f>
        <v>--/--/--</v>
      </c>
      <c r="E371" s="125" t="str">
        <f>VLOOKUP(C371,'Talente &amp; Stuff'!BI:CJ,3,FALSE)</f>
        <v>-</v>
      </c>
      <c r="F371" s="113">
        <f>VLOOKUP(C371,'Talente &amp; Stuff'!BI:CJ,4,FALSE)</f>
        <v>0</v>
      </c>
      <c r="G371" s="113">
        <f>VLOOKUP(C371,'Talente &amp; Stuff'!BI:CJ,5,FALSE)</f>
        <v>0</v>
      </c>
      <c r="H371" s="113">
        <f>VLOOKUP(C371,'Talente &amp; Stuff'!BI:CJ,6,FALSE)</f>
        <v>0</v>
      </c>
      <c r="I371" s="113">
        <f>VLOOKUP(C371,'Talente &amp; Stuff'!BI:CJ,7,FALSE)</f>
        <v>0</v>
      </c>
      <c r="J371" s="113">
        <f>VLOOKUP(C371,'Talente &amp; Stuff'!BI:CJ,8,FALSE)</f>
        <v>0</v>
      </c>
      <c r="K371" s="113">
        <f>VLOOKUP(C371,'Talente &amp; Stuff'!BI:CJ,9,FALSE)</f>
        <v>0</v>
      </c>
      <c r="L371" s="113">
        <f>VLOOKUP(C371,'Talente &amp; Stuff'!BI:CJ,10,FALSE)</f>
        <v>0</v>
      </c>
      <c r="M371" s="113">
        <f>VLOOKUP(C371,'Talente &amp; Stuff'!BI:CJ,11,FALSE)</f>
        <v>0</v>
      </c>
      <c r="N371" s="89">
        <f>VLOOKUP(C371,'Talente &amp; Stuff'!BI:CJ,12,FALSE)</f>
        <v>0</v>
      </c>
      <c r="O371" s="47">
        <f>VLOOKUP(C371,'Talente &amp; Stuff'!BI:CJ,13,FALSE)</f>
        <v>0</v>
      </c>
      <c r="P371" s="119">
        <f>VLOOKUP(C371,'Talente &amp; Stuff'!BI:CJ,14,FALSE)</f>
        <v>0</v>
      </c>
      <c r="Q371" s="113">
        <f>VLOOKUP(C371,'Talente &amp; Stuff'!BI:CJ,15,FALSE)</f>
        <v>0</v>
      </c>
      <c r="R371" s="113">
        <f>VLOOKUP(C371,'Talente &amp; Stuff'!BI:CJ,16,FALSE)</f>
        <v>0</v>
      </c>
      <c r="S371" s="113">
        <f>VLOOKUP(C371,'Talente &amp; Stuff'!BI:CJ,17,FALSE)</f>
        <v>0</v>
      </c>
      <c r="T371" s="160">
        <f>VLOOKUP(C371,'Talente &amp; Stuff'!BI:CJ,18,FALSE)</f>
        <v>0</v>
      </c>
      <c r="U371" s="47">
        <f>VLOOKUP(C371,'Talente &amp; Stuff'!BI:CJ,19,FALSE)</f>
        <v>0</v>
      </c>
      <c r="V371" s="47">
        <f>VLOOKUP(C371,'Talente &amp; Stuff'!BI:CJ,20,FALSE)</f>
        <v>0</v>
      </c>
      <c r="W371" s="47">
        <f>VLOOKUP(C371,'Talente &amp; Stuff'!BI:CJ,21,FALSE)</f>
        <v>0</v>
      </c>
      <c r="X371" s="125">
        <f>VLOOKUP(C371,'Talente &amp; Stuff'!BI:CJ,22,FALSE)</f>
        <v>0</v>
      </c>
      <c r="Y371" s="165">
        <f t="shared" si="26"/>
        <v>0</v>
      </c>
      <c r="Z371" s="44">
        <f t="shared" si="27"/>
        <v>0</v>
      </c>
      <c r="AA371" s="125">
        <f>VLOOKUP(C371,'Talente &amp; Stuff'!BI:CJ,25,FALSE)</f>
        <v>0</v>
      </c>
      <c r="AB371" s="160">
        <f>VLOOKUP(C371,'Talente &amp; Stuff'!BI:CJ,26,FALSE)</f>
        <v>0</v>
      </c>
      <c r="AC371" s="127">
        <f>VLOOKUP(C371,'Talente &amp; Stuff'!BI:CJ,27,FALSE)</f>
        <v>0</v>
      </c>
      <c r="AD371" s="125">
        <f>VLOOKUP(C371,'Talente &amp; Stuff'!BI:CJ,28,FALSE)</f>
        <v>0</v>
      </c>
      <c r="AE371" s="28"/>
    </row>
    <row r="372" spans="2:31" ht="15" hidden="1" customHeight="1" outlineLevel="2">
      <c r="B372" s="148">
        <v>6</v>
      </c>
      <c r="C372" s="177" t="str">
        <f>Attribute!C372</f>
        <v>---</v>
      </c>
      <c r="D372" s="125" t="str">
        <f>VLOOKUP(C372,'Talente &amp; Stuff'!BI:CJ,2,FALSE)</f>
        <v>--/--/--</v>
      </c>
      <c r="E372" s="125" t="str">
        <f>VLOOKUP(C372,'Talente &amp; Stuff'!BI:CJ,3,FALSE)</f>
        <v>-</v>
      </c>
      <c r="F372" s="113">
        <f>VLOOKUP(C372,'Talente &amp; Stuff'!BI:CJ,4,FALSE)</f>
        <v>0</v>
      </c>
      <c r="G372" s="113">
        <f>VLOOKUP(C372,'Talente &amp; Stuff'!BI:CJ,5,FALSE)</f>
        <v>0</v>
      </c>
      <c r="H372" s="113">
        <f>VLOOKUP(C372,'Talente &amp; Stuff'!BI:CJ,6,FALSE)</f>
        <v>0</v>
      </c>
      <c r="I372" s="113">
        <f>VLOOKUP(C372,'Talente &amp; Stuff'!BI:CJ,7,FALSE)</f>
        <v>0</v>
      </c>
      <c r="J372" s="113">
        <f>VLOOKUP(C372,'Talente &amp; Stuff'!BI:CJ,8,FALSE)</f>
        <v>0</v>
      </c>
      <c r="K372" s="113">
        <f>VLOOKUP(C372,'Talente &amp; Stuff'!BI:CJ,9,FALSE)</f>
        <v>0</v>
      </c>
      <c r="L372" s="113">
        <f>VLOOKUP(C372,'Talente &amp; Stuff'!BI:CJ,10,FALSE)</f>
        <v>0</v>
      </c>
      <c r="M372" s="113">
        <f>VLOOKUP(C372,'Talente &amp; Stuff'!BI:CJ,11,FALSE)</f>
        <v>0</v>
      </c>
      <c r="N372" s="89">
        <f>VLOOKUP(C372,'Talente &amp; Stuff'!BI:CJ,12,FALSE)</f>
        <v>0</v>
      </c>
      <c r="O372" s="47">
        <f>VLOOKUP(C372,'Talente &amp; Stuff'!BI:CJ,13,FALSE)</f>
        <v>0</v>
      </c>
      <c r="P372" s="119">
        <f>VLOOKUP(C372,'Talente &amp; Stuff'!BI:CJ,14,FALSE)</f>
        <v>0</v>
      </c>
      <c r="Q372" s="113">
        <f>VLOOKUP(C372,'Talente &amp; Stuff'!BI:CJ,15,FALSE)</f>
        <v>0</v>
      </c>
      <c r="R372" s="113">
        <f>VLOOKUP(C372,'Talente &amp; Stuff'!BI:CJ,16,FALSE)</f>
        <v>0</v>
      </c>
      <c r="S372" s="113">
        <f>VLOOKUP(C372,'Talente &amp; Stuff'!BI:CJ,17,FALSE)</f>
        <v>0</v>
      </c>
      <c r="T372" s="160">
        <f>VLOOKUP(C372,'Talente &amp; Stuff'!BI:CJ,18,FALSE)</f>
        <v>0</v>
      </c>
      <c r="U372" s="47">
        <f>VLOOKUP(C372,'Talente &amp; Stuff'!BI:CJ,19,FALSE)</f>
        <v>0</v>
      </c>
      <c r="V372" s="47">
        <f>VLOOKUP(C372,'Talente &amp; Stuff'!BI:CJ,20,FALSE)</f>
        <v>0</v>
      </c>
      <c r="W372" s="47">
        <f>VLOOKUP(C372,'Talente &amp; Stuff'!BI:CJ,21,FALSE)</f>
        <v>0</v>
      </c>
      <c r="X372" s="125">
        <f>VLOOKUP(C372,'Talente &amp; Stuff'!BI:CJ,22,FALSE)</f>
        <v>0</v>
      </c>
      <c r="Y372" s="165">
        <f t="shared" si="26"/>
        <v>0</v>
      </c>
      <c r="Z372" s="44">
        <f t="shared" si="27"/>
        <v>0</v>
      </c>
      <c r="AA372" s="125">
        <f>VLOOKUP(C372,'Talente &amp; Stuff'!BI:CJ,25,FALSE)</f>
        <v>0</v>
      </c>
      <c r="AB372" s="160">
        <f>VLOOKUP(C372,'Talente &amp; Stuff'!BI:CJ,26,FALSE)</f>
        <v>0</v>
      </c>
      <c r="AC372" s="127">
        <f>VLOOKUP(C372,'Talente &amp; Stuff'!BI:CJ,27,FALSE)</f>
        <v>0</v>
      </c>
      <c r="AD372" s="125">
        <f>VLOOKUP(C372,'Talente &amp; Stuff'!BI:CJ,28,FALSE)</f>
        <v>0</v>
      </c>
      <c r="AE372" s="28"/>
    </row>
    <row r="373" spans="2:31" ht="15" hidden="1" customHeight="1" outlineLevel="2">
      <c r="B373" s="148">
        <v>7</v>
      </c>
      <c r="C373" s="177" t="str">
        <f>Attribute!C373</f>
        <v>---</v>
      </c>
      <c r="D373" s="125" t="str">
        <f>VLOOKUP(C373,'Talente &amp; Stuff'!BI:CJ,2,FALSE)</f>
        <v>--/--/--</v>
      </c>
      <c r="E373" s="125" t="str">
        <f>VLOOKUP(C373,'Talente &amp; Stuff'!BI:CJ,3,FALSE)</f>
        <v>-</v>
      </c>
      <c r="F373" s="113">
        <f>VLOOKUP(C373,'Talente &amp; Stuff'!BI:CJ,4,FALSE)</f>
        <v>0</v>
      </c>
      <c r="G373" s="113">
        <f>VLOOKUP(C373,'Talente &amp; Stuff'!BI:CJ,5,FALSE)</f>
        <v>0</v>
      </c>
      <c r="H373" s="113">
        <f>VLOOKUP(C373,'Talente &amp; Stuff'!BI:CJ,6,FALSE)</f>
        <v>0</v>
      </c>
      <c r="I373" s="113">
        <f>VLOOKUP(C373,'Talente &amp; Stuff'!BI:CJ,7,FALSE)</f>
        <v>0</v>
      </c>
      <c r="J373" s="113">
        <f>VLOOKUP(C373,'Talente &amp; Stuff'!BI:CJ,8,FALSE)</f>
        <v>0</v>
      </c>
      <c r="K373" s="113">
        <f>VLOOKUP(C373,'Talente &amp; Stuff'!BI:CJ,9,FALSE)</f>
        <v>0</v>
      </c>
      <c r="L373" s="113">
        <f>VLOOKUP(C373,'Talente &amp; Stuff'!BI:CJ,10,FALSE)</f>
        <v>0</v>
      </c>
      <c r="M373" s="113">
        <f>VLOOKUP(C373,'Talente &amp; Stuff'!BI:CJ,11,FALSE)</f>
        <v>0</v>
      </c>
      <c r="N373" s="89">
        <f>VLOOKUP(C373,'Talente &amp; Stuff'!BI:CJ,12,FALSE)</f>
        <v>0</v>
      </c>
      <c r="O373" s="47">
        <f>VLOOKUP(C373,'Talente &amp; Stuff'!BI:CJ,13,FALSE)</f>
        <v>0</v>
      </c>
      <c r="P373" s="119">
        <f>VLOOKUP(C373,'Talente &amp; Stuff'!BI:CJ,14,FALSE)</f>
        <v>0</v>
      </c>
      <c r="Q373" s="113">
        <f>VLOOKUP(C373,'Talente &amp; Stuff'!BI:CJ,15,FALSE)</f>
        <v>0</v>
      </c>
      <c r="R373" s="113">
        <f>VLOOKUP(C373,'Talente &amp; Stuff'!BI:CJ,16,FALSE)</f>
        <v>0</v>
      </c>
      <c r="S373" s="113">
        <f>VLOOKUP(C373,'Talente &amp; Stuff'!BI:CJ,17,FALSE)</f>
        <v>0</v>
      </c>
      <c r="T373" s="160">
        <f>VLOOKUP(C373,'Talente &amp; Stuff'!BI:CJ,18,FALSE)</f>
        <v>0</v>
      </c>
      <c r="U373" s="47">
        <f>VLOOKUP(C373,'Talente &amp; Stuff'!BI:CJ,19,FALSE)</f>
        <v>0</v>
      </c>
      <c r="V373" s="47">
        <f>VLOOKUP(C373,'Talente &amp; Stuff'!BI:CJ,20,FALSE)</f>
        <v>0</v>
      </c>
      <c r="W373" s="47">
        <f>VLOOKUP(C373,'Talente &amp; Stuff'!BI:CJ,21,FALSE)</f>
        <v>0</v>
      </c>
      <c r="X373" s="125">
        <f>VLOOKUP(C373,'Talente &amp; Stuff'!BI:CJ,22,FALSE)</f>
        <v>0</v>
      </c>
      <c r="Y373" s="165">
        <f t="shared" si="26"/>
        <v>0</v>
      </c>
      <c r="Z373" s="44">
        <f t="shared" si="27"/>
        <v>0</v>
      </c>
      <c r="AA373" s="125">
        <f>VLOOKUP(C373,'Talente &amp; Stuff'!BI:CJ,25,FALSE)</f>
        <v>0</v>
      </c>
      <c r="AB373" s="160">
        <f>VLOOKUP(C373,'Talente &amp; Stuff'!BI:CJ,26,FALSE)</f>
        <v>0</v>
      </c>
      <c r="AC373" s="127">
        <f>VLOOKUP(C373,'Talente &amp; Stuff'!BI:CJ,27,FALSE)</f>
        <v>0</v>
      </c>
      <c r="AD373" s="125">
        <f>VLOOKUP(C373,'Talente &amp; Stuff'!BI:CJ,28,FALSE)</f>
        <v>0</v>
      </c>
      <c r="AE373" s="28"/>
    </row>
    <row r="374" spans="2:31" ht="15" hidden="1" customHeight="1" outlineLevel="2">
      <c r="B374" s="148">
        <v>8</v>
      </c>
      <c r="C374" s="178" t="str">
        <f>Attribute!C374</f>
        <v>---</v>
      </c>
      <c r="D374" s="159" t="str">
        <f>VLOOKUP(C374,'Talente &amp; Stuff'!BI:CJ,2,FALSE)</f>
        <v>--/--/--</v>
      </c>
      <c r="E374" s="159" t="str">
        <f>VLOOKUP(C374,'Talente &amp; Stuff'!BI:CJ,3,FALSE)</f>
        <v>-</v>
      </c>
      <c r="F374" s="122">
        <f>VLOOKUP(C374,'Talente &amp; Stuff'!BI:CJ,4,FALSE)</f>
        <v>0</v>
      </c>
      <c r="G374" s="122">
        <f>VLOOKUP(C374,'Talente &amp; Stuff'!BI:CJ,5,FALSE)</f>
        <v>0</v>
      </c>
      <c r="H374" s="122">
        <f>VLOOKUP(C374,'Talente &amp; Stuff'!BI:CJ,6,FALSE)</f>
        <v>0</v>
      </c>
      <c r="I374" s="122">
        <f>VLOOKUP(C374,'Talente &amp; Stuff'!BI:CJ,7,FALSE)</f>
        <v>0</v>
      </c>
      <c r="J374" s="122">
        <f>VLOOKUP(C374,'Talente &amp; Stuff'!BI:CJ,8,FALSE)</f>
        <v>0</v>
      </c>
      <c r="K374" s="122">
        <f>VLOOKUP(C374,'Talente &amp; Stuff'!BI:CJ,9,FALSE)</f>
        <v>0</v>
      </c>
      <c r="L374" s="122">
        <f>VLOOKUP(C374,'Talente &amp; Stuff'!BI:CJ,10,FALSE)</f>
        <v>0</v>
      </c>
      <c r="M374" s="122">
        <f>VLOOKUP(C374,'Talente &amp; Stuff'!BI:CJ,11,FALSE)</f>
        <v>0</v>
      </c>
      <c r="N374" s="90">
        <f>VLOOKUP(C374,'Talente &amp; Stuff'!BI:CJ,12,FALSE)</f>
        <v>0</v>
      </c>
      <c r="O374" s="88">
        <f>VLOOKUP(C374,'Talente &amp; Stuff'!BI:CJ,13,FALSE)</f>
        <v>0</v>
      </c>
      <c r="P374" s="123">
        <f>VLOOKUP(C374,'Talente &amp; Stuff'!BI:CJ,14,FALSE)</f>
        <v>0</v>
      </c>
      <c r="Q374" s="122">
        <f>VLOOKUP(C374,'Talente &amp; Stuff'!BI:CJ,15,FALSE)</f>
        <v>0</v>
      </c>
      <c r="R374" s="122">
        <f>VLOOKUP(C374,'Talente &amp; Stuff'!BI:CJ,16,FALSE)</f>
        <v>0</v>
      </c>
      <c r="S374" s="122">
        <f>VLOOKUP(C374,'Talente &amp; Stuff'!BI:CJ,17,FALSE)</f>
        <v>0</v>
      </c>
      <c r="T374" s="161">
        <f>VLOOKUP(C374,'Talente &amp; Stuff'!BI:CJ,18,FALSE)</f>
        <v>0</v>
      </c>
      <c r="U374" s="88">
        <f>VLOOKUP(C374,'Talente &amp; Stuff'!BI:CJ,19,FALSE)</f>
        <v>0</v>
      </c>
      <c r="V374" s="88">
        <f>VLOOKUP(C374,'Talente &amp; Stuff'!BI:CJ,20,FALSE)</f>
        <v>0</v>
      </c>
      <c r="W374" s="88">
        <f>VLOOKUP(C374,'Talente &amp; Stuff'!BI:CJ,21,FALSE)</f>
        <v>0</v>
      </c>
      <c r="X374" s="159">
        <f>VLOOKUP(C374,'Talente &amp; Stuff'!BI:CJ,22,FALSE)</f>
        <v>0</v>
      </c>
      <c r="Y374" s="165">
        <f t="shared" si="26"/>
        <v>0</v>
      </c>
      <c r="Z374" s="44">
        <f t="shared" si="27"/>
        <v>0</v>
      </c>
      <c r="AA374" s="159">
        <f>VLOOKUP(C374,'Talente &amp; Stuff'!BI:CJ,25,FALSE)</f>
        <v>0</v>
      </c>
      <c r="AB374" s="161">
        <f>VLOOKUP(C374,'Talente &amp; Stuff'!BI:CJ,26,FALSE)</f>
        <v>0</v>
      </c>
      <c r="AC374" s="128">
        <f>VLOOKUP(C374,'Talente &amp; Stuff'!BI:CJ,27,FALSE)</f>
        <v>0</v>
      </c>
      <c r="AD374" s="159">
        <f>VLOOKUP(C374,'Talente &amp; Stuff'!BI:CJ,28,FALSE)</f>
        <v>0</v>
      </c>
      <c r="AE374" s="28"/>
    </row>
    <row r="375" spans="2:31" ht="15" hidden="1" customHeight="1" outlineLevel="1" collapsed="1">
      <c r="B375" s="134" t="s">
        <v>329</v>
      </c>
      <c r="C375" s="83"/>
      <c r="D375" s="84"/>
      <c r="E375" s="84"/>
    </row>
    <row r="376" spans="2:31" ht="15" hidden="1" customHeight="1" outlineLevel="2">
      <c r="B376" s="148">
        <v>1</v>
      </c>
      <c r="C376" s="176" t="str">
        <f>Attribute!C376</f>
        <v>---</v>
      </c>
      <c r="D376" s="85" t="str">
        <f>VLOOKUP(C376,'Talente &amp; Stuff'!BI:CJ,2,FALSE)</f>
        <v>--/--/--</v>
      </c>
      <c r="E376" s="158" t="str">
        <f>VLOOKUP(C376,'Talente &amp; Stuff'!BI:CJ,3,FALSE)</f>
        <v>-</v>
      </c>
      <c r="F376" s="118">
        <f>VLOOKUP(C376,'Talente &amp; Stuff'!BI:CJ,4,FALSE)</f>
        <v>0</v>
      </c>
      <c r="G376" s="118">
        <f>VLOOKUP(C376,'Talente &amp; Stuff'!BI:CJ,5,FALSE)</f>
        <v>0</v>
      </c>
      <c r="H376" s="118">
        <f>VLOOKUP(C376,'Talente &amp; Stuff'!BI:CJ,6,FALSE)</f>
        <v>0</v>
      </c>
      <c r="I376" s="118">
        <f>VLOOKUP(C376,'Talente &amp; Stuff'!BI:CJ,7,FALSE)</f>
        <v>0</v>
      </c>
      <c r="J376" s="118">
        <f>VLOOKUP(C376,'Talente &amp; Stuff'!BI:CJ,8,FALSE)</f>
        <v>0</v>
      </c>
      <c r="K376" s="118">
        <f>VLOOKUP(C376,'Talente &amp; Stuff'!BI:CJ,9,FALSE)</f>
        <v>0</v>
      </c>
      <c r="L376" s="118">
        <f>VLOOKUP(C376,'Talente &amp; Stuff'!BI:CJ,10,FALSE)</f>
        <v>0</v>
      </c>
      <c r="M376" s="118">
        <f>VLOOKUP(C376,'Talente &amp; Stuff'!BI:CJ,11,FALSE)</f>
        <v>0</v>
      </c>
      <c r="N376" s="193">
        <f>VLOOKUP(C376,'Talente &amp; Stuff'!BI:CJ,12,FALSE)</f>
        <v>0</v>
      </c>
      <c r="O376" s="116">
        <f>VLOOKUP(C376,'Talente &amp; Stuff'!BI:CJ,13,FALSE)</f>
        <v>0</v>
      </c>
      <c r="P376" s="92">
        <f>VLOOKUP(C376,'Talente &amp; Stuff'!BI:CJ,14,FALSE)</f>
        <v>0</v>
      </c>
      <c r="Q376" s="118">
        <f>VLOOKUP(C376,'Talente &amp; Stuff'!BI:CJ,15,FALSE)</f>
        <v>0</v>
      </c>
      <c r="R376" s="118">
        <f>VLOOKUP(C376,'Talente &amp; Stuff'!BI:CJ,16,FALSE)</f>
        <v>0</v>
      </c>
      <c r="S376" s="118">
        <f>VLOOKUP(C376,'Talente &amp; Stuff'!BI:CJ,17,FALSE)</f>
        <v>0</v>
      </c>
      <c r="T376" s="91">
        <f>VLOOKUP(C376,'Talente &amp; Stuff'!BI:CJ,18,FALSE)</f>
        <v>0</v>
      </c>
      <c r="U376" s="116">
        <f>VLOOKUP(C376,'Talente &amp; Stuff'!BI:CJ,19,FALSE)</f>
        <v>0</v>
      </c>
      <c r="V376" s="116">
        <f>VLOOKUP(C376,'Talente &amp; Stuff'!BI:CJ,20,FALSE)</f>
        <v>0</v>
      </c>
      <c r="W376" s="116">
        <f>VLOOKUP(C376,'Talente &amp; Stuff'!BI:CJ,21,FALSE)</f>
        <v>0</v>
      </c>
      <c r="X376" s="158">
        <f>VLOOKUP(C376,'Talente &amp; Stuff'!BI:CJ,22,FALSE)</f>
        <v>0</v>
      </c>
      <c r="Y376" s="165">
        <f t="shared" ref="Y376:Y386" si="28">VLOOKUP(C376,Ausgewählte_Rituale_Gildenmagier,81,FALSE)</f>
        <v>0</v>
      </c>
      <c r="Z376" s="44">
        <f t="shared" ref="Z376:Z386" si="29">VLOOKUP(C376,Ausgewählte_Rituale_Gildenmagier,82,FALSE)</f>
        <v>0</v>
      </c>
      <c r="AA376" s="158">
        <f>VLOOKUP(C376,'Talente &amp; Stuff'!BI:CJ,25,FALSE)</f>
        <v>0</v>
      </c>
      <c r="AB376" s="91">
        <f>VLOOKUP(C376,'Talente &amp; Stuff'!BI:CJ,26,FALSE)</f>
        <v>0</v>
      </c>
      <c r="AC376" s="126">
        <f>VLOOKUP(C376,'Talente &amp; Stuff'!BI:CJ,27,FALSE)</f>
        <v>0</v>
      </c>
      <c r="AD376" s="158">
        <f>VLOOKUP(C376,'Talente &amp; Stuff'!BI:CJ,28,FALSE)</f>
        <v>0</v>
      </c>
      <c r="AE376" s="28"/>
    </row>
    <row r="377" spans="2:31" ht="15" hidden="1" customHeight="1" outlineLevel="2">
      <c r="B377" s="148">
        <v>2</v>
      </c>
      <c r="C377" s="177" t="str">
        <f>Attribute!C377</f>
        <v>---</v>
      </c>
      <c r="D377" s="86" t="str">
        <f>VLOOKUP(C377,'Talente &amp; Stuff'!BI:CJ,2,FALSE)</f>
        <v>--/--/--</v>
      </c>
      <c r="E377" s="125" t="str">
        <f>VLOOKUP(C377,'Talente &amp; Stuff'!BI:CJ,3,FALSE)</f>
        <v>-</v>
      </c>
      <c r="F377" s="113">
        <f>VLOOKUP(C377,'Talente &amp; Stuff'!BI:CJ,4,FALSE)</f>
        <v>0</v>
      </c>
      <c r="G377" s="113">
        <f>VLOOKUP(C377,'Talente &amp; Stuff'!BI:CJ,5,FALSE)</f>
        <v>0</v>
      </c>
      <c r="H377" s="113">
        <f>VLOOKUP(C377,'Talente &amp; Stuff'!BI:CJ,6,FALSE)</f>
        <v>0</v>
      </c>
      <c r="I377" s="113">
        <f>VLOOKUP(C377,'Talente &amp; Stuff'!BI:CJ,7,FALSE)</f>
        <v>0</v>
      </c>
      <c r="J377" s="113">
        <f>VLOOKUP(C377,'Talente &amp; Stuff'!BI:CJ,8,FALSE)</f>
        <v>0</v>
      </c>
      <c r="K377" s="113">
        <f>VLOOKUP(C377,'Talente &amp; Stuff'!BI:CJ,9,FALSE)</f>
        <v>0</v>
      </c>
      <c r="L377" s="113">
        <f>VLOOKUP(C377,'Talente &amp; Stuff'!BI:CJ,10,FALSE)</f>
        <v>0</v>
      </c>
      <c r="M377" s="113">
        <f>VLOOKUP(C377,'Talente &amp; Stuff'!BI:CJ,11,FALSE)</f>
        <v>0</v>
      </c>
      <c r="N377" s="89">
        <f>VLOOKUP(C377,'Talente &amp; Stuff'!BI:CJ,12,FALSE)</f>
        <v>0</v>
      </c>
      <c r="O377" s="47">
        <f>VLOOKUP(C377,'Talente &amp; Stuff'!BI:CJ,13,FALSE)</f>
        <v>0</v>
      </c>
      <c r="P377" s="119">
        <f>VLOOKUP(C377,'Talente &amp; Stuff'!BI:CJ,14,FALSE)</f>
        <v>0</v>
      </c>
      <c r="Q377" s="113">
        <f>VLOOKUP(C377,'Talente &amp; Stuff'!BI:CJ,15,FALSE)</f>
        <v>0</v>
      </c>
      <c r="R377" s="113">
        <f>VLOOKUP(C377,'Talente &amp; Stuff'!BI:CJ,16,FALSE)</f>
        <v>0</v>
      </c>
      <c r="S377" s="113">
        <f>VLOOKUP(C377,'Talente &amp; Stuff'!BI:CJ,17,FALSE)</f>
        <v>0</v>
      </c>
      <c r="T377" s="160">
        <f>VLOOKUP(C377,'Talente &amp; Stuff'!BI:CJ,18,FALSE)</f>
        <v>0</v>
      </c>
      <c r="U377" s="47">
        <f>VLOOKUP(C377,'Talente &amp; Stuff'!BI:CJ,19,FALSE)</f>
        <v>0</v>
      </c>
      <c r="V377" s="47">
        <f>VLOOKUP(C377,'Talente &amp; Stuff'!BI:CJ,20,FALSE)</f>
        <v>0</v>
      </c>
      <c r="W377" s="47">
        <f>VLOOKUP(C377,'Talente &amp; Stuff'!BI:CJ,21,FALSE)</f>
        <v>0</v>
      </c>
      <c r="X377" s="125">
        <f>VLOOKUP(C377,'Talente &amp; Stuff'!BI:CJ,22,FALSE)</f>
        <v>0</v>
      </c>
      <c r="Y377" s="165">
        <f t="shared" si="28"/>
        <v>0</v>
      </c>
      <c r="Z377" s="44">
        <f t="shared" si="29"/>
        <v>0</v>
      </c>
      <c r="AA377" s="125">
        <f>VLOOKUP(C377,'Talente &amp; Stuff'!BI:CJ,25,FALSE)</f>
        <v>0</v>
      </c>
      <c r="AB377" s="160">
        <f>VLOOKUP(C377,'Talente &amp; Stuff'!BI:CJ,26,FALSE)</f>
        <v>0</v>
      </c>
      <c r="AC377" s="127">
        <f>VLOOKUP(C377,'Talente &amp; Stuff'!BI:CJ,27,FALSE)</f>
        <v>0</v>
      </c>
      <c r="AD377" s="125">
        <f>VLOOKUP(C377,'Talente &amp; Stuff'!BI:CJ,28,FALSE)</f>
        <v>0</v>
      </c>
      <c r="AE377" s="28"/>
    </row>
    <row r="378" spans="2:31" ht="15" hidden="1" customHeight="1" outlineLevel="2">
      <c r="B378" s="148">
        <v>3</v>
      </c>
      <c r="C378" s="177" t="str">
        <f>Attribute!C378</f>
        <v>---</v>
      </c>
      <c r="D378" s="86" t="str">
        <f>VLOOKUP(C378,'Talente &amp; Stuff'!BI:CJ,2,FALSE)</f>
        <v>--/--/--</v>
      </c>
      <c r="E378" s="125" t="str">
        <f>VLOOKUP(C378,'Talente &amp; Stuff'!BI:CJ,3,FALSE)</f>
        <v>-</v>
      </c>
      <c r="F378" s="113">
        <f>VLOOKUP(C378,'Talente &amp; Stuff'!BI:CJ,4,FALSE)</f>
        <v>0</v>
      </c>
      <c r="G378" s="113">
        <f>VLOOKUP(C378,'Talente &amp; Stuff'!BI:CJ,5,FALSE)</f>
        <v>0</v>
      </c>
      <c r="H378" s="113">
        <f>VLOOKUP(C378,'Talente &amp; Stuff'!BI:CJ,6,FALSE)</f>
        <v>0</v>
      </c>
      <c r="I378" s="113">
        <f>VLOOKUP(C378,'Talente &amp; Stuff'!BI:CJ,7,FALSE)</f>
        <v>0</v>
      </c>
      <c r="J378" s="113">
        <f>VLOOKUP(C378,'Talente &amp; Stuff'!BI:CJ,8,FALSE)</f>
        <v>0</v>
      </c>
      <c r="K378" s="113">
        <f>VLOOKUP(C378,'Talente &amp; Stuff'!BI:CJ,9,FALSE)</f>
        <v>0</v>
      </c>
      <c r="L378" s="113">
        <f>VLOOKUP(C378,'Talente &amp; Stuff'!BI:CJ,10,FALSE)</f>
        <v>0</v>
      </c>
      <c r="M378" s="113">
        <f>VLOOKUP(C378,'Talente &amp; Stuff'!BI:CJ,11,FALSE)</f>
        <v>0</v>
      </c>
      <c r="N378" s="89">
        <f>VLOOKUP(C378,'Talente &amp; Stuff'!BI:CJ,12,FALSE)</f>
        <v>0</v>
      </c>
      <c r="O378" s="47">
        <f>VLOOKUP(C378,'Talente &amp; Stuff'!BI:CJ,13,FALSE)</f>
        <v>0</v>
      </c>
      <c r="P378" s="119">
        <f>VLOOKUP(C378,'Talente &amp; Stuff'!BI:CJ,14,FALSE)</f>
        <v>0</v>
      </c>
      <c r="Q378" s="113">
        <f>VLOOKUP(C378,'Talente &amp; Stuff'!BI:CJ,15,FALSE)</f>
        <v>0</v>
      </c>
      <c r="R378" s="113">
        <f>VLOOKUP(C378,'Talente &amp; Stuff'!BI:CJ,16,FALSE)</f>
        <v>0</v>
      </c>
      <c r="S378" s="113">
        <f>VLOOKUP(C378,'Talente &amp; Stuff'!BI:CJ,17,FALSE)</f>
        <v>0</v>
      </c>
      <c r="T378" s="160">
        <f>VLOOKUP(C378,'Talente &amp; Stuff'!BI:CJ,18,FALSE)</f>
        <v>0</v>
      </c>
      <c r="U378" s="47">
        <f>VLOOKUP(C378,'Talente &amp; Stuff'!BI:CJ,19,FALSE)</f>
        <v>0</v>
      </c>
      <c r="V378" s="47">
        <f>VLOOKUP(C378,'Talente &amp; Stuff'!BI:CJ,20,FALSE)</f>
        <v>0</v>
      </c>
      <c r="W378" s="47">
        <f>VLOOKUP(C378,'Talente &amp; Stuff'!BI:CJ,21,FALSE)</f>
        <v>0</v>
      </c>
      <c r="X378" s="125">
        <f>VLOOKUP(C378,'Talente &amp; Stuff'!BI:CJ,22,FALSE)</f>
        <v>0</v>
      </c>
      <c r="Y378" s="165">
        <f t="shared" si="28"/>
        <v>0</v>
      </c>
      <c r="Z378" s="44">
        <f t="shared" si="29"/>
        <v>0</v>
      </c>
      <c r="AA378" s="125">
        <f>VLOOKUP(C378,'Talente &amp; Stuff'!BI:CJ,25,FALSE)</f>
        <v>0</v>
      </c>
      <c r="AB378" s="160">
        <f>VLOOKUP(C378,'Talente &amp; Stuff'!BI:CJ,26,FALSE)</f>
        <v>0</v>
      </c>
      <c r="AC378" s="127">
        <f>VLOOKUP(C378,'Talente &amp; Stuff'!BI:CJ,27,FALSE)</f>
        <v>0</v>
      </c>
      <c r="AD378" s="125">
        <f>VLOOKUP(C378,'Talente &amp; Stuff'!BI:CJ,28,FALSE)</f>
        <v>0</v>
      </c>
      <c r="AE378" s="28"/>
    </row>
    <row r="379" spans="2:31" ht="15" hidden="1" customHeight="1" outlineLevel="2">
      <c r="B379" s="148">
        <v>4</v>
      </c>
      <c r="C379" s="177" t="str">
        <f>Attribute!C379</f>
        <v>---</v>
      </c>
      <c r="D379" s="86" t="str">
        <f>VLOOKUP(C379,'Talente &amp; Stuff'!BI:CJ,2,FALSE)</f>
        <v>--/--/--</v>
      </c>
      <c r="E379" s="125" t="str">
        <f>VLOOKUP(C379,'Talente &amp; Stuff'!BI:CJ,3,FALSE)</f>
        <v>-</v>
      </c>
      <c r="F379" s="113">
        <f>VLOOKUP(C379,'Talente &amp; Stuff'!BI:CJ,4,FALSE)</f>
        <v>0</v>
      </c>
      <c r="G379" s="113">
        <f>VLOOKUP(C379,'Talente &amp; Stuff'!BI:CJ,5,FALSE)</f>
        <v>0</v>
      </c>
      <c r="H379" s="113">
        <f>VLOOKUP(C379,'Talente &amp; Stuff'!BI:CJ,6,FALSE)</f>
        <v>0</v>
      </c>
      <c r="I379" s="113">
        <f>VLOOKUP(C379,'Talente &amp; Stuff'!BI:CJ,7,FALSE)</f>
        <v>0</v>
      </c>
      <c r="J379" s="113">
        <f>VLOOKUP(C379,'Talente &amp; Stuff'!BI:CJ,8,FALSE)</f>
        <v>0</v>
      </c>
      <c r="K379" s="113">
        <f>VLOOKUP(C379,'Talente &amp; Stuff'!BI:CJ,9,FALSE)</f>
        <v>0</v>
      </c>
      <c r="L379" s="113">
        <f>VLOOKUP(C379,'Talente &amp; Stuff'!BI:CJ,10,FALSE)</f>
        <v>0</v>
      </c>
      <c r="M379" s="113">
        <f>VLOOKUP(C379,'Talente &amp; Stuff'!BI:CJ,11,FALSE)</f>
        <v>0</v>
      </c>
      <c r="N379" s="89">
        <f>VLOOKUP(C379,'Talente &amp; Stuff'!BI:CJ,12,FALSE)</f>
        <v>0</v>
      </c>
      <c r="O379" s="47">
        <f>VLOOKUP(C379,'Talente &amp; Stuff'!BI:CJ,13,FALSE)</f>
        <v>0</v>
      </c>
      <c r="P379" s="119">
        <f>VLOOKUP(C379,'Talente &amp; Stuff'!BI:CJ,14,FALSE)</f>
        <v>0</v>
      </c>
      <c r="Q379" s="113">
        <f>VLOOKUP(C379,'Talente &amp; Stuff'!BI:CJ,15,FALSE)</f>
        <v>0</v>
      </c>
      <c r="R379" s="113">
        <f>VLOOKUP(C379,'Talente &amp; Stuff'!BI:CJ,16,FALSE)</f>
        <v>0</v>
      </c>
      <c r="S379" s="113">
        <f>VLOOKUP(C379,'Talente &amp; Stuff'!BI:CJ,17,FALSE)</f>
        <v>0</v>
      </c>
      <c r="T379" s="160">
        <f>VLOOKUP(C379,'Talente &amp; Stuff'!BI:CJ,18,FALSE)</f>
        <v>0</v>
      </c>
      <c r="U379" s="47">
        <f>VLOOKUP(C379,'Talente &amp; Stuff'!BI:CJ,19,FALSE)</f>
        <v>0</v>
      </c>
      <c r="V379" s="47">
        <f>VLOOKUP(C379,'Talente &amp; Stuff'!BI:CJ,20,FALSE)</f>
        <v>0</v>
      </c>
      <c r="W379" s="47">
        <f>VLOOKUP(C379,'Talente &amp; Stuff'!BI:CJ,21,FALSE)</f>
        <v>0</v>
      </c>
      <c r="X379" s="125">
        <f>VLOOKUP(C379,'Talente &amp; Stuff'!BI:CJ,22,FALSE)</f>
        <v>0</v>
      </c>
      <c r="Y379" s="165">
        <f t="shared" si="28"/>
        <v>0</v>
      </c>
      <c r="Z379" s="44">
        <f t="shared" si="29"/>
        <v>0</v>
      </c>
      <c r="AA379" s="125">
        <f>VLOOKUP(C379,'Talente &amp; Stuff'!BI:CJ,25,FALSE)</f>
        <v>0</v>
      </c>
      <c r="AB379" s="160">
        <f>VLOOKUP(C379,'Talente &amp; Stuff'!BI:CJ,26,FALSE)</f>
        <v>0</v>
      </c>
      <c r="AC379" s="127">
        <f>VLOOKUP(C379,'Talente &amp; Stuff'!BI:CJ,27,FALSE)</f>
        <v>0</v>
      </c>
      <c r="AD379" s="125">
        <f>VLOOKUP(C379,'Talente &amp; Stuff'!BI:CJ,28,FALSE)</f>
        <v>0</v>
      </c>
      <c r="AE379" s="28"/>
    </row>
    <row r="380" spans="2:31" ht="15" hidden="1" customHeight="1" outlineLevel="2">
      <c r="B380" s="148">
        <v>5</v>
      </c>
      <c r="C380" s="177" t="str">
        <f>Attribute!C380</f>
        <v>---</v>
      </c>
      <c r="D380" s="86" t="str">
        <f>VLOOKUP(C380,'Talente &amp; Stuff'!BI:CJ,2,FALSE)</f>
        <v>--/--/--</v>
      </c>
      <c r="E380" s="125" t="str">
        <f>VLOOKUP(C380,'Talente &amp; Stuff'!BI:CJ,3,FALSE)</f>
        <v>-</v>
      </c>
      <c r="F380" s="113">
        <f>VLOOKUP(C380,'Talente &amp; Stuff'!BI:CJ,4,FALSE)</f>
        <v>0</v>
      </c>
      <c r="G380" s="113">
        <f>VLOOKUP(C380,'Talente &amp; Stuff'!BI:CJ,5,FALSE)</f>
        <v>0</v>
      </c>
      <c r="H380" s="113">
        <f>VLOOKUP(C380,'Talente &amp; Stuff'!BI:CJ,6,FALSE)</f>
        <v>0</v>
      </c>
      <c r="I380" s="113">
        <f>VLOOKUP(C380,'Talente &amp; Stuff'!BI:CJ,7,FALSE)</f>
        <v>0</v>
      </c>
      <c r="J380" s="113">
        <f>VLOOKUP(C380,'Talente &amp; Stuff'!BI:CJ,8,FALSE)</f>
        <v>0</v>
      </c>
      <c r="K380" s="113">
        <f>VLOOKUP(C380,'Talente &amp; Stuff'!BI:CJ,9,FALSE)</f>
        <v>0</v>
      </c>
      <c r="L380" s="113">
        <f>VLOOKUP(C380,'Talente &amp; Stuff'!BI:CJ,10,FALSE)</f>
        <v>0</v>
      </c>
      <c r="M380" s="113">
        <f>VLOOKUP(C380,'Talente &amp; Stuff'!BI:CJ,11,FALSE)</f>
        <v>0</v>
      </c>
      <c r="N380" s="89">
        <f>VLOOKUP(C380,'Talente &amp; Stuff'!BI:CJ,12,FALSE)</f>
        <v>0</v>
      </c>
      <c r="O380" s="47">
        <f>VLOOKUP(C380,'Talente &amp; Stuff'!BI:CJ,13,FALSE)</f>
        <v>0</v>
      </c>
      <c r="P380" s="119">
        <f>VLOOKUP(C380,'Talente &amp; Stuff'!BI:CJ,14,FALSE)</f>
        <v>0</v>
      </c>
      <c r="Q380" s="113">
        <f>VLOOKUP(C380,'Talente &amp; Stuff'!BI:CJ,15,FALSE)</f>
        <v>0</v>
      </c>
      <c r="R380" s="113">
        <f>VLOOKUP(C380,'Talente &amp; Stuff'!BI:CJ,16,FALSE)</f>
        <v>0</v>
      </c>
      <c r="S380" s="113">
        <f>VLOOKUP(C380,'Talente &amp; Stuff'!BI:CJ,17,FALSE)</f>
        <v>0</v>
      </c>
      <c r="T380" s="160">
        <f>VLOOKUP(C380,'Talente &amp; Stuff'!BI:CJ,18,FALSE)</f>
        <v>0</v>
      </c>
      <c r="U380" s="47">
        <f>VLOOKUP(C380,'Talente &amp; Stuff'!BI:CJ,19,FALSE)</f>
        <v>0</v>
      </c>
      <c r="V380" s="47">
        <f>VLOOKUP(C380,'Talente &amp; Stuff'!BI:CJ,20,FALSE)</f>
        <v>0</v>
      </c>
      <c r="W380" s="47">
        <f>VLOOKUP(C380,'Talente &amp; Stuff'!BI:CJ,21,FALSE)</f>
        <v>0</v>
      </c>
      <c r="X380" s="125">
        <f>VLOOKUP(C380,'Talente &amp; Stuff'!BI:CJ,22,FALSE)</f>
        <v>0</v>
      </c>
      <c r="Y380" s="165">
        <f t="shared" si="28"/>
        <v>0</v>
      </c>
      <c r="Z380" s="44">
        <f t="shared" si="29"/>
        <v>0</v>
      </c>
      <c r="AA380" s="125">
        <f>VLOOKUP(C380,'Talente &amp; Stuff'!BI:CJ,25,FALSE)</f>
        <v>0</v>
      </c>
      <c r="AB380" s="160">
        <f>VLOOKUP(C380,'Talente &amp; Stuff'!BI:CJ,26,FALSE)</f>
        <v>0</v>
      </c>
      <c r="AC380" s="127">
        <f>VLOOKUP(C380,'Talente &amp; Stuff'!BI:CJ,27,FALSE)</f>
        <v>0</v>
      </c>
      <c r="AD380" s="125">
        <f>VLOOKUP(C380,'Talente &amp; Stuff'!BI:CJ,28,FALSE)</f>
        <v>0</v>
      </c>
      <c r="AE380" s="28"/>
    </row>
    <row r="381" spans="2:31" ht="15" hidden="1" customHeight="1" outlineLevel="2">
      <c r="B381" s="148">
        <v>6</v>
      </c>
      <c r="C381" s="177" t="str">
        <f>Attribute!C381</f>
        <v>---</v>
      </c>
      <c r="D381" s="86" t="str">
        <f>VLOOKUP(C381,'Talente &amp; Stuff'!BI:CJ,2,FALSE)</f>
        <v>--/--/--</v>
      </c>
      <c r="E381" s="125" t="str">
        <f>VLOOKUP(C381,'Talente &amp; Stuff'!BI:CJ,3,FALSE)</f>
        <v>-</v>
      </c>
      <c r="F381" s="113">
        <f>VLOOKUP(C381,'Talente &amp; Stuff'!BI:CJ,4,FALSE)</f>
        <v>0</v>
      </c>
      <c r="G381" s="113">
        <f>VLOOKUP(C381,'Talente &amp; Stuff'!BI:CJ,5,FALSE)</f>
        <v>0</v>
      </c>
      <c r="H381" s="113">
        <f>VLOOKUP(C381,'Talente &amp; Stuff'!BI:CJ,6,FALSE)</f>
        <v>0</v>
      </c>
      <c r="I381" s="113">
        <f>VLOOKUP(C381,'Talente &amp; Stuff'!BI:CJ,7,FALSE)</f>
        <v>0</v>
      </c>
      <c r="J381" s="113">
        <f>VLOOKUP(C381,'Talente &amp; Stuff'!BI:CJ,8,FALSE)</f>
        <v>0</v>
      </c>
      <c r="K381" s="113">
        <f>VLOOKUP(C381,'Talente &amp; Stuff'!BI:CJ,9,FALSE)</f>
        <v>0</v>
      </c>
      <c r="L381" s="113">
        <f>VLOOKUP(C381,'Talente &amp; Stuff'!BI:CJ,10,FALSE)</f>
        <v>0</v>
      </c>
      <c r="M381" s="113">
        <f>VLOOKUP(C381,'Talente &amp; Stuff'!BI:CJ,11,FALSE)</f>
        <v>0</v>
      </c>
      <c r="N381" s="89">
        <f>VLOOKUP(C381,'Talente &amp; Stuff'!BI:CJ,12,FALSE)</f>
        <v>0</v>
      </c>
      <c r="O381" s="47">
        <f>VLOOKUP(C381,'Talente &amp; Stuff'!BI:CJ,13,FALSE)</f>
        <v>0</v>
      </c>
      <c r="P381" s="119">
        <f>VLOOKUP(C381,'Talente &amp; Stuff'!BI:CJ,14,FALSE)</f>
        <v>0</v>
      </c>
      <c r="Q381" s="113">
        <f>VLOOKUP(C381,'Talente &amp; Stuff'!BI:CJ,15,FALSE)</f>
        <v>0</v>
      </c>
      <c r="R381" s="113">
        <f>VLOOKUP(C381,'Talente &amp; Stuff'!BI:CJ,16,FALSE)</f>
        <v>0</v>
      </c>
      <c r="S381" s="113">
        <f>VLOOKUP(C381,'Talente &amp; Stuff'!BI:CJ,17,FALSE)</f>
        <v>0</v>
      </c>
      <c r="T381" s="160">
        <f>VLOOKUP(C381,'Talente &amp; Stuff'!BI:CJ,18,FALSE)</f>
        <v>0</v>
      </c>
      <c r="U381" s="47">
        <f>VLOOKUP(C381,'Talente &amp; Stuff'!BI:CJ,19,FALSE)</f>
        <v>0</v>
      </c>
      <c r="V381" s="47">
        <f>VLOOKUP(C381,'Talente &amp; Stuff'!BI:CJ,20,FALSE)</f>
        <v>0</v>
      </c>
      <c r="W381" s="47">
        <f>VLOOKUP(C381,'Talente &amp; Stuff'!BI:CJ,21,FALSE)</f>
        <v>0</v>
      </c>
      <c r="X381" s="125">
        <f>VLOOKUP(C381,'Talente &amp; Stuff'!BI:CJ,22,FALSE)</f>
        <v>0</v>
      </c>
      <c r="Y381" s="165">
        <f t="shared" si="28"/>
        <v>0</v>
      </c>
      <c r="Z381" s="44">
        <f t="shared" si="29"/>
        <v>0</v>
      </c>
      <c r="AA381" s="125">
        <f>VLOOKUP(C381,'Talente &amp; Stuff'!BI:CJ,25,FALSE)</f>
        <v>0</v>
      </c>
      <c r="AB381" s="160">
        <f>VLOOKUP(C381,'Talente &amp; Stuff'!BI:CJ,26,FALSE)</f>
        <v>0</v>
      </c>
      <c r="AC381" s="127">
        <f>VLOOKUP(C381,'Talente &amp; Stuff'!BI:CJ,27,FALSE)</f>
        <v>0</v>
      </c>
      <c r="AD381" s="125">
        <f>VLOOKUP(C381,'Talente &amp; Stuff'!BI:CJ,28,FALSE)</f>
        <v>0</v>
      </c>
      <c r="AE381" s="28"/>
    </row>
    <row r="382" spans="2:31" ht="15" hidden="1" customHeight="1" outlineLevel="2">
      <c r="B382" s="148">
        <v>7</v>
      </c>
      <c r="C382" s="177" t="str">
        <f>Attribute!C382</f>
        <v>---</v>
      </c>
      <c r="D382" s="86" t="str">
        <f>VLOOKUP(C382,'Talente &amp; Stuff'!BI:CJ,2,FALSE)</f>
        <v>--/--/--</v>
      </c>
      <c r="E382" s="125" t="str">
        <f>VLOOKUP(C382,'Talente &amp; Stuff'!BI:CJ,3,FALSE)</f>
        <v>-</v>
      </c>
      <c r="F382" s="113">
        <f>VLOOKUP(C382,'Talente &amp; Stuff'!BI:CJ,4,FALSE)</f>
        <v>0</v>
      </c>
      <c r="G382" s="113">
        <f>VLOOKUP(C382,'Talente &amp; Stuff'!BI:CJ,5,FALSE)</f>
        <v>0</v>
      </c>
      <c r="H382" s="113">
        <f>VLOOKUP(C382,'Talente &amp; Stuff'!BI:CJ,6,FALSE)</f>
        <v>0</v>
      </c>
      <c r="I382" s="113">
        <f>VLOOKUP(C382,'Talente &amp; Stuff'!BI:CJ,7,FALSE)</f>
        <v>0</v>
      </c>
      <c r="J382" s="113">
        <f>VLOOKUP(C382,'Talente &amp; Stuff'!BI:CJ,8,FALSE)</f>
        <v>0</v>
      </c>
      <c r="K382" s="113">
        <f>VLOOKUP(C382,'Talente &amp; Stuff'!BI:CJ,9,FALSE)</f>
        <v>0</v>
      </c>
      <c r="L382" s="113">
        <f>VLOOKUP(C382,'Talente &amp; Stuff'!BI:CJ,10,FALSE)</f>
        <v>0</v>
      </c>
      <c r="M382" s="113">
        <f>VLOOKUP(C382,'Talente &amp; Stuff'!BI:CJ,11,FALSE)</f>
        <v>0</v>
      </c>
      <c r="N382" s="89">
        <f>VLOOKUP(C382,'Talente &amp; Stuff'!BI:CJ,12,FALSE)</f>
        <v>0</v>
      </c>
      <c r="O382" s="47">
        <f>VLOOKUP(C382,'Talente &amp; Stuff'!BI:CJ,13,FALSE)</f>
        <v>0</v>
      </c>
      <c r="P382" s="119">
        <f>VLOOKUP(C382,'Talente &amp; Stuff'!BI:CJ,14,FALSE)</f>
        <v>0</v>
      </c>
      <c r="Q382" s="113">
        <f>VLOOKUP(C382,'Talente &amp; Stuff'!BI:CJ,15,FALSE)</f>
        <v>0</v>
      </c>
      <c r="R382" s="113">
        <f>VLOOKUP(C382,'Talente &amp; Stuff'!BI:CJ,16,FALSE)</f>
        <v>0</v>
      </c>
      <c r="S382" s="113">
        <f>VLOOKUP(C382,'Talente &amp; Stuff'!BI:CJ,17,FALSE)</f>
        <v>0</v>
      </c>
      <c r="T382" s="160">
        <f>VLOOKUP(C382,'Talente &amp; Stuff'!BI:CJ,18,FALSE)</f>
        <v>0</v>
      </c>
      <c r="U382" s="47">
        <f>VLOOKUP(C382,'Talente &amp; Stuff'!BI:CJ,19,FALSE)</f>
        <v>0</v>
      </c>
      <c r="V382" s="47">
        <f>VLOOKUP(C382,'Talente &amp; Stuff'!BI:CJ,20,FALSE)</f>
        <v>0</v>
      </c>
      <c r="W382" s="47">
        <f>VLOOKUP(C382,'Talente &amp; Stuff'!BI:CJ,21,FALSE)</f>
        <v>0</v>
      </c>
      <c r="X382" s="125">
        <f>VLOOKUP(C382,'Talente &amp; Stuff'!BI:CJ,22,FALSE)</f>
        <v>0</v>
      </c>
      <c r="Y382" s="165">
        <f t="shared" si="28"/>
        <v>0</v>
      </c>
      <c r="Z382" s="44">
        <f t="shared" si="29"/>
        <v>0</v>
      </c>
      <c r="AA382" s="125">
        <f>VLOOKUP(C382,'Talente &amp; Stuff'!BI:CJ,25,FALSE)</f>
        <v>0</v>
      </c>
      <c r="AB382" s="160">
        <f>VLOOKUP(C382,'Talente &amp; Stuff'!BI:CJ,26,FALSE)</f>
        <v>0</v>
      </c>
      <c r="AC382" s="127">
        <f>VLOOKUP(C382,'Talente &amp; Stuff'!BI:CJ,27,FALSE)</f>
        <v>0</v>
      </c>
      <c r="AD382" s="125">
        <f>VLOOKUP(C382,'Talente &amp; Stuff'!BI:CJ,28,FALSE)</f>
        <v>0</v>
      </c>
      <c r="AE382" s="28"/>
    </row>
    <row r="383" spans="2:31" ht="15" hidden="1" customHeight="1" outlineLevel="2">
      <c r="B383" s="148">
        <v>8</v>
      </c>
      <c r="C383" s="177" t="str">
        <f>Attribute!C383</f>
        <v>---</v>
      </c>
      <c r="D383" s="86" t="str">
        <f>VLOOKUP(C383,'Talente &amp; Stuff'!BI:CJ,2,FALSE)</f>
        <v>--/--/--</v>
      </c>
      <c r="E383" s="125" t="str">
        <f>VLOOKUP(C383,'Talente &amp; Stuff'!BI:CJ,3,FALSE)</f>
        <v>-</v>
      </c>
      <c r="F383" s="113">
        <f>VLOOKUP(C383,'Talente &amp; Stuff'!BI:CJ,4,FALSE)</f>
        <v>0</v>
      </c>
      <c r="G383" s="113">
        <f>VLOOKUP(C383,'Talente &amp; Stuff'!BI:CJ,5,FALSE)</f>
        <v>0</v>
      </c>
      <c r="H383" s="113">
        <f>VLOOKUP(C383,'Talente &amp; Stuff'!BI:CJ,6,FALSE)</f>
        <v>0</v>
      </c>
      <c r="I383" s="113">
        <f>VLOOKUP(C383,'Talente &amp; Stuff'!BI:CJ,7,FALSE)</f>
        <v>0</v>
      </c>
      <c r="J383" s="113">
        <f>VLOOKUP(C383,'Talente &amp; Stuff'!BI:CJ,8,FALSE)</f>
        <v>0</v>
      </c>
      <c r="K383" s="113">
        <f>VLOOKUP(C383,'Talente &amp; Stuff'!BI:CJ,9,FALSE)</f>
        <v>0</v>
      </c>
      <c r="L383" s="113">
        <f>VLOOKUP(C383,'Talente &amp; Stuff'!BI:CJ,10,FALSE)</f>
        <v>0</v>
      </c>
      <c r="M383" s="113">
        <f>VLOOKUP(C383,'Talente &amp; Stuff'!BI:CJ,11,FALSE)</f>
        <v>0</v>
      </c>
      <c r="N383" s="89">
        <f>VLOOKUP(C383,'Talente &amp; Stuff'!BI:CJ,12,FALSE)</f>
        <v>0</v>
      </c>
      <c r="O383" s="47">
        <f>VLOOKUP(C383,'Talente &amp; Stuff'!BI:CJ,13,FALSE)</f>
        <v>0</v>
      </c>
      <c r="P383" s="119">
        <f>VLOOKUP(C383,'Talente &amp; Stuff'!BI:CJ,14,FALSE)</f>
        <v>0</v>
      </c>
      <c r="Q383" s="113">
        <f>VLOOKUP(C383,'Talente &amp; Stuff'!BI:CJ,15,FALSE)</f>
        <v>0</v>
      </c>
      <c r="R383" s="113">
        <f>VLOOKUP(C383,'Talente &amp; Stuff'!BI:CJ,16,FALSE)</f>
        <v>0</v>
      </c>
      <c r="S383" s="113">
        <f>VLOOKUP(C383,'Talente &amp; Stuff'!BI:CJ,17,FALSE)</f>
        <v>0</v>
      </c>
      <c r="T383" s="160">
        <f>VLOOKUP(C383,'Talente &amp; Stuff'!BI:CJ,18,FALSE)</f>
        <v>0</v>
      </c>
      <c r="U383" s="47">
        <f>VLOOKUP(C383,'Talente &amp; Stuff'!BI:CJ,19,FALSE)</f>
        <v>0</v>
      </c>
      <c r="V383" s="47">
        <f>VLOOKUP(C383,'Talente &amp; Stuff'!BI:CJ,20,FALSE)</f>
        <v>0</v>
      </c>
      <c r="W383" s="47">
        <f>VLOOKUP(C383,'Talente &amp; Stuff'!BI:CJ,21,FALSE)</f>
        <v>0</v>
      </c>
      <c r="X383" s="125">
        <f>VLOOKUP(C383,'Talente &amp; Stuff'!BI:CJ,22,FALSE)</f>
        <v>0</v>
      </c>
      <c r="Y383" s="165">
        <f t="shared" si="28"/>
        <v>0</v>
      </c>
      <c r="Z383" s="44">
        <f t="shared" si="29"/>
        <v>0</v>
      </c>
      <c r="AA383" s="125">
        <f>VLOOKUP(C383,'Talente &amp; Stuff'!BI:CJ,25,FALSE)</f>
        <v>0</v>
      </c>
      <c r="AB383" s="160">
        <f>VLOOKUP(C383,'Talente &amp; Stuff'!BI:CJ,26,FALSE)</f>
        <v>0</v>
      </c>
      <c r="AC383" s="127">
        <f>VLOOKUP(C383,'Talente &amp; Stuff'!BI:CJ,27,FALSE)</f>
        <v>0</v>
      </c>
      <c r="AD383" s="125">
        <f>VLOOKUP(C383,'Talente &amp; Stuff'!BI:CJ,28,FALSE)</f>
        <v>0</v>
      </c>
      <c r="AE383" s="28"/>
    </row>
    <row r="384" spans="2:31" ht="15" hidden="1" customHeight="1" outlineLevel="2">
      <c r="B384" s="148">
        <v>9</v>
      </c>
      <c r="C384" s="177" t="str">
        <f>Attribute!C384</f>
        <v>---</v>
      </c>
      <c r="D384" s="86" t="str">
        <f>VLOOKUP(C384,'Talente &amp; Stuff'!BI:CJ,2,FALSE)</f>
        <v>--/--/--</v>
      </c>
      <c r="E384" s="125" t="str">
        <f>VLOOKUP(C384,'Talente &amp; Stuff'!BI:CJ,3,FALSE)</f>
        <v>-</v>
      </c>
      <c r="F384" s="113">
        <f>VLOOKUP(C384,'Talente &amp; Stuff'!BI:CJ,4,FALSE)</f>
        <v>0</v>
      </c>
      <c r="G384" s="113">
        <f>VLOOKUP(C384,'Talente &amp; Stuff'!BI:CJ,5,FALSE)</f>
        <v>0</v>
      </c>
      <c r="H384" s="113">
        <f>VLOOKUP(C384,'Talente &amp; Stuff'!BI:CJ,6,FALSE)</f>
        <v>0</v>
      </c>
      <c r="I384" s="113">
        <f>VLOOKUP(C384,'Talente &amp; Stuff'!BI:CJ,7,FALSE)</f>
        <v>0</v>
      </c>
      <c r="J384" s="113">
        <f>VLOOKUP(C384,'Talente &amp; Stuff'!BI:CJ,8,FALSE)</f>
        <v>0</v>
      </c>
      <c r="K384" s="113">
        <f>VLOOKUP(C384,'Talente &amp; Stuff'!BI:CJ,9,FALSE)</f>
        <v>0</v>
      </c>
      <c r="L384" s="113">
        <f>VLOOKUP(C384,'Talente &amp; Stuff'!BI:CJ,10,FALSE)</f>
        <v>0</v>
      </c>
      <c r="M384" s="113">
        <f>VLOOKUP(C384,'Talente &amp; Stuff'!BI:CJ,11,FALSE)</f>
        <v>0</v>
      </c>
      <c r="N384" s="89">
        <f>VLOOKUP(C384,'Talente &amp; Stuff'!BI:CJ,12,FALSE)</f>
        <v>0</v>
      </c>
      <c r="O384" s="47">
        <f>VLOOKUP(C384,'Talente &amp; Stuff'!BI:CJ,13,FALSE)</f>
        <v>0</v>
      </c>
      <c r="P384" s="119">
        <f>VLOOKUP(C384,'Talente &amp; Stuff'!BI:CJ,14,FALSE)</f>
        <v>0</v>
      </c>
      <c r="Q384" s="113">
        <f>VLOOKUP(C384,'Talente &amp; Stuff'!BI:CJ,15,FALSE)</f>
        <v>0</v>
      </c>
      <c r="R384" s="113">
        <f>VLOOKUP(C384,'Talente &amp; Stuff'!BI:CJ,16,FALSE)</f>
        <v>0</v>
      </c>
      <c r="S384" s="113">
        <f>VLOOKUP(C384,'Talente &amp; Stuff'!BI:CJ,17,FALSE)</f>
        <v>0</v>
      </c>
      <c r="T384" s="160">
        <f>VLOOKUP(C384,'Talente &amp; Stuff'!BI:CJ,18,FALSE)</f>
        <v>0</v>
      </c>
      <c r="U384" s="47">
        <f>VLOOKUP(C384,'Talente &amp; Stuff'!BI:CJ,19,FALSE)</f>
        <v>0</v>
      </c>
      <c r="V384" s="47">
        <f>VLOOKUP(C384,'Talente &amp; Stuff'!BI:CJ,20,FALSE)</f>
        <v>0</v>
      </c>
      <c r="W384" s="47">
        <f>VLOOKUP(C384,'Talente &amp; Stuff'!BI:CJ,21,FALSE)</f>
        <v>0</v>
      </c>
      <c r="X384" s="125">
        <f>VLOOKUP(C384,'Talente &amp; Stuff'!BI:CJ,22,FALSE)</f>
        <v>0</v>
      </c>
      <c r="Y384" s="165">
        <f t="shared" si="28"/>
        <v>0</v>
      </c>
      <c r="Z384" s="44">
        <f t="shared" si="29"/>
        <v>0</v>
      </c>
      <c r="AA384" s="125">
        <f>VLOOKUP(C384,'Talente &amp; Stuff'!BI:CJ,25,FALSE)</f>
        <v>0</v>
      </c>
      <c r="AB384" s="160">
        <f>VLOOKUP(C384,'Talente &amp; Stuff'!BI:CJ,26,FALSE)</f>
        <v>0</v>
      </c>
      <c r="AC384" s="127">
        <f>VLOOKUP(C384,'Talente &amp; Stuff'!BI:CJ,27,FALSE)</f>
        <v>0</v>
      </c>
      <c r="AD384" s="125">
        <f>VLOOKUP(C384,'Talente &amp; Stuff'!BI:CJ,28,FALSE)</f>
        <v>0</v>
      </c>
      <c r="AE384" s="28"/>
    </row>
    <row r="385" spans="1:31" ht="15" hidden="1" customHeight="1" outlineLevel="2">
      <c r="B385" s="148">
        <v>10</v>
      </c>
      <c r="C385" s="177" t="str">
        <f>Attribute!C385</f>
        <v>---</v>
      </c>
      <c r="D385" s="86" t="str">
        <f>VLOOKUP(C385,'Talente &amp; Stuff'!BI:CJ,2,FALSE)</f>
        <v>--/--/--</v>
      </c>
      <c r="E385" s="125" t="str">
        <f>VLOOKUP(C385,'Talente &amp; Stuff'!BI:CJ,3,FALSE)</f>
        <v>-</v>
      </c>
      <c r="F385" s="113">
        <f>VLOOKUP(C385,'Talente &amp; Stuff'!BI:CJ,4,FALSE)</f>
        <v>0</v>
      </c>
      <c r="G385" s="113">
        <f>VLOOKUP(C385,'Talente &amp; Stuff'!BI:CJ,5,FALSE)</f>
        <v>0</v>
      </c>
      <c r="H385" s="113">
        <f>VLOOKUP(C385,'Talente &amp; Stuff'!BI:CJ,6,FALSE)</f>
        <v>0</v>
      </c>
      <c r="I385" s="113">
        <f>VLOOKUP(C385,'Talente &amp; Stuff'!BI:CJ,7,FALSE)</f>
        <v>0</v>
      </c>
      <c r="J385" s="113">
        <f>VLOOKUP(C385,'Talente &amp; Stuff'!BI:CJ,8,FALSE)</f>
        <v>0</v>
      </c>
      <c r="K385" s="113">
        <f>VLOOKUP(C385,'Talente &amp; Stuff'!BI:CJ,9,FALSE)</f>
        <v>0</v>
      </c>
      <c r="L385" s="113">
        <f>VLOOKUP(C385,'Talente &amp; Stuff'!BI:CJ,10,FALSE)</f>
        <v>0</v>
      </c>
      <c r="M385" s="113">
        <f>VLOOKUP(C385,'Talente &amp; Stuff'!BI:CJ,11,FALSE)</f>
        <v>0</v>
      </c>
      <c r="N385" s="89">
        <f>VLOOKUP(C385,'Talente &amp; Stuff'!BI:CJ,12,FALSE)</f>
        <v>0</v>
      </c>
      <c r="O385" s="47">
        <f>VLOOKUP(C385,'Talente &amp; Stuff'!BI:CJ,13,FALSE)</f>
        <v>0</v>
      </c>
      <c r="P385" s="119">
        <f>VLOOKUP(C385,'Talente &amp; Stuff'!BI:CJ,14,FALSE)</f>
        <v>0</v>
      </c>
      <c r="Q385" s="113">
        <f>VLOOKUP(C385,'Talente &amp; Stuff'!BI:CJ,15,FALSE)</f>
        <v>0</v>
      </c>
      <c r="R385" s="113">
        <f>VLOOKUP(C385,'Talente &amp; Stuff'!BI:CJ,16,FALSE)</f>
        <v>0</v>
      </c>
      <c r="S385" s="113">
        <f>VLOOKUP(C385,'Talente &amp; Stuff'!BI:CJ,17,FALSE)</f>
        <v>0</v>
      </c>
      <c r="T385" s="160">
        <f>VLOOKUP(C385,'Talente &amp; Stuff'!BI:CJ,18,FALSE)</f>
        <v>0</v>
      </c>
      <c r="U385" s="47">
        <f>VLOOKUP(C385,'Talente &amp; Stuff'!BI:CJ,19,FALSE)</f>
        <v>0</v>
      </c>
      <c r="V385" s="47">
        <f>VLOOKUP(C385,'Talente &amp; Stuff'!BI:CJ,20,FALSE)</f>
        <v>0</v>
      </c>
      <c r="W385" s="47">
        <f>VLOOKUP(C385,'Talente &amp; Stuff'!BI:CJ,21,FALSE)</f>
        <v>0</v>
      </c>
      <c r="X385" s="125">
        <f>VLOOKUP(C385,'Talente &amp; Stuff'!BI:CJ,22,FALSE)</f>
        <v>0</v>
      </c>
      <c r="Y385" s="165">
        <f t="shared" si="28"/>
        <v>0</v>
      </c>
      <c r="Z385" s="44">
        <f t="shared" si="29"/>
        <v>0</v>
      </c>
      <c r="AA385" s="125">
        <f>VLOOKUP(C385,'Talente &amp; Stuff'!BI:CJ,25,FALSE)</f>
        <v>0</v>
      </c>
      <c r="AB385" s="160">
        <f>VLOOKUP(C385,'Talente &amp; Stuff'!BI:CJ,26,FALSE)</f>
        <v>0</v>
      </c>
      <c r="AC385" s="127">
        <f>VLOOKUP(C385,'Talente &amp; Stuff'!BI:CJ,27,FALSE)</f>
        <v>0</v>
      </c>
      <c r="AD385" s="125">
        <f>VLOOKUP(C385,'Talente &amp; Stuff'!BI:CJ,28,FALSE)</f>
        <v>0</v>
      </c>
      <c r="AE385" s="28"/>
    </row>
    <row r="386" spans="1:31" ht="15" hidden="1" customHeight="1" outlineLevel="2">
      <c r="B386" s="148">
        <v>11</v>
      </c>
      <c r="C386" s="177" t="str">
        <f>Attribute!C386</f>
        <v>---</v>
      </c>
      <c r="D386" s="87" t="str">
        <f>VLOOKUP(C386,'Talente &amp; Stuff'!BI:CJ,2,FALSE)</f>
        <v>--/--/--</v>
      </c>
      <c r="E386" s="159" t="str">
        <f>VLOOKUP(C386,'Talente &amp; Stuff'!BI:CJ,3,FALSE)</f>
        <v>-</v>
      </c>
      <c r="F386" s="122">
        <f>VLOOKUP(C386,'Talente &amp; Stuff'!BI:CJ,4,FALSE)</f>
        <v>0</v>
      </c>
      <c r="G386" s="122">
        <f>VLOOKUP(C386,'Talente &amp; Stuff'!BI:CJ,5,FALSE)</f>
        <v>0</v>
      </c>
      <c r="H386" s="122">
        <f>VLOOKUP(C386,'Talente &amp; Stuff'!BI:CJ,6,FALSE)</f>
        <v>0</v>
      </c>
      <c r="I386" s="122">
        <f>VLOOKUP(C386,'Talente &amp; Stuff'!BI:CJ,7,FALSE)</f>
        <v>0</v>
      </c>
      <c r="J386" s="122">
        <f>VLOOKUP(C386,'Talente &amp; Stuff'!BI:CJ,8,FALSE)</f>
        <v>0</v>
      </c>
      <c r="K386" s="122">
        <f>VLOOKUP(C386,'Talente &amp; Stuff'!BI:CJ,9,FALSE)</f>
        <v>0</v>
      </c>
      <c r="L386" s="122">
        <f>VLOOKUP(C386,'Talente &amp; Stuff'!BI:CJ,10,FALSE)</f>
        <v>0</v>
      </c>
      <c r="M386" s="122">
        <f>VLOOKUP(C386,'Talente &amp; Stuff'!BI:CJ,11,FALSE)</f>
        <v>0</v>
      </c>
      <c r="N386" s="90">
        <f>VLOOKUP(C386,'Talente &amp; Stuff'!BI:CJ,12,FALSE)</f>
        <v>0</v>
      </c>
      <c r="O386" s="88">
        <f>VLOOKUP(C386,'Talente &amp; Stuff'!BI:CJ,13,FALSE)</f>
        <v>0</v>
      </c>
      <c r="P386" s="123">
        <f>VLOOKUP(C386,'Talente &amp; Stuff'!BI:CJ,14,FALSE)</f>
        <v>0</v>
      </c>
      <c r="Q386" s="122">
        <f>VLOOKUP(C386,'Talente &amp; Stuff'!BI:CJ,15,FALSE)</f>
        <v>0</v>
      </c>
      <c r="R386" s="122">
        <f>VLOOKUP(C386,'Talente &amp; Stuff'!BI:CJ,16,FALSE)</f>
        <v>0</v>
      </c>
      <c r="S386" s="122">
        <f>VLOOKUP(C386,'Talente &amp; Stuff'!BI:CJ,17,FALSE)</f>
        <v>0</v>
      </c>
      <c r="T386" s="161">
        <f>VLOOKUP(C386,'Talente &amp; Stuff'!BI:CJ,18,FALSE)</f>
        <v>0</v>
      </c>
      <c r="U386" s="88">
        <f>VLOOKUP(C386,'Talente &amp; Stuff'!BI:CJ,19,FALSE)</f>
        <v>0</v>
      </c>
      <c r="V386" s="88">
        <f>VLOOKUP(C386,'Talente &amp; Stuff'!BI:CJ,20,FALSE)</f>
        <v>0</v>
      </c>
      <c r="W386" s="88">
        <f>VLOOKUP(C386,'Talente &amp; Stuff'!BI:CJ,21,FALSE)</f>
        <v>0</v>
      </c>
      <c r="X386" s="159">
        <f>VLOOKUP(C386,'Talente &amp; Stuff'!BI:CJ,22,FALSE)</f>
        <v>0</v>
      </c>
      <c r="Y386" s="165">
        <f t="shared" si="28"/>
        <v>0</v>
      </c>
      <c r="Z386" s="44">
        <f t="shared" si="29"/>
        <v>0</v>
      </c>
      <c r="AA386" s="159">
        <f>VLOOKUP(C386,'Talente &amp; Stuff'!BI:CJ,25,FALSE)</f>
        <v>0</v>
      </c>
      <c r="AB386" s="161">
        <f>VLOOKUP(C386,'Talente &amp; Stuff'!BI:CJ,26,FALSE)</f>
        <v>0</v>
      </c>
      <c r="AC386" s="128">
        <f>VLOOKUP(C386,'Talente &amp; Stuff'!BI:CJ,27,FALSE)</f>
        <v>0</v>
      </c>
      <c r="AD386" s="159">
        <f>VLOOKUP(C386,'Talente &amp; Stuff'!BI:CJ,28,FALSE)</f>
        <v>0</v>
      </c>
      <c r="AE386" s="28"/>
    </row>
    <row r="387" spans="1:31" ht="15" hidden="1" customHeight="1" outlineLevel="1" collapsed="1">
      <c r="B387" s="134" t="s">
        <v>328</v>
      </c>
      <c r="C387" s="83"/>
      <c r="D387" s="84"/>
      <c r="E387" s="84"/>
    </row>
    <row r="388" spans="1:31" ht="15" hidden="1" customHeight="1" outlineLevel="2">
      <c r="B388" s="148">
        <v>1</v>
      </c>
      <c r="C388" s="176" t="str">
        <f>Attribute!C388</f>
        <v>---</v>
      </c>
      <c r="D388" s="85" t="str">
        <f>VLOOKUP(C388,'Talente &amp; Stuff'!BI:CJ,2,FALSE)</f>
        <v>--/--/--</v>
      </c>
      <c r="E388" s="158" t="str">
        <f>VLOOKUP(C388,'Talente &amp; Stuff'!BI:CJ,3,FALSE)</f>
        <v>-</v>
      </c>
      <c r="F388" s="118">
        <f>VLOOKUP(C388,'Talente &amp; Stuff'!BI:CJ,4,FALSE)</f>
        <v>0</v>
      </c>
      <c r="G388" s="118">
        <f>VLOOKUP(C388,'Talente &amp; Stuff'!BI:CJ,5,FALSE)</f>
        <v>0</v>
      </c>
      <c r="H388" s="118">
        <f>VLOOKUP(C388,'Talente &amp; Stuff'!BI:CJ,6,FALSE)</f>
        <v>0</v>
      </c>
      <c r="I388" s="118">
        <f>VLOOKUP(C388,'Talente &amp; Stuff'!BI:CJ,7,FALSE)</f>
        <v>0</v>
      </c>
      <c r="J388" s="118">
        <f>VLOOKUP(C388,'Talente &amp; Stuff'!BI:CJ,8,FALSE)</f>
        <v>0</v>
      </c>
      <c r="K388" s="118">
        <f>VLOOKUP(C388,'Talente &amp; Stuff'!BI:CJ,9,FALSE)</f>
        <v>0</v>
      </c>
      <c r="L388" s="118">
        <f>VLOOKUP(C388,'Talente &amp; Stuff'!BI:CJ,10,FALSE)</f>
        <v>0</v>
      </c>
      <c r="M388" s="118">
        <f>VLOOKUP(C388,'Talente &amp; Stuff'!BI:CJ,11,FALSE)</f>
        <v>0</v>
      </c>
      <c r="N388" s="193">
        <f>VLOOKUP(C388,'Talente &amp; Stuff'!BI:CJ,12,FALSE)</f>
        <v>0</v>
      </c>
      <c r="O388" s="116">
        <f>VLOOKUP(C388,'Talente &amp; Stuff'!BI:CJ,13,FALSE)</f>
        <v>0</v>
      </c>
      <c r="P388" s="92">
        <f>VLOOKUP(C388,'Talente &amp; Stuff'!BI:CJ,14,FALSE)</f>
        <v>0</v>
      </c>
      <c r="Q388" s="118">
        <f>VLOOKUP(C388,'Talente &amp; Stuff'!BI:CJ,15,FALSE)</f>
        <v>0</v>
      </c>
      <c r="R388" s="118">
        <f>VLOOKUP(C388,'Talente &amp; Stuff'!BI:CJ,16,FALSE)</f>
        <v>0</v>
      </c>
      <c r="S388" s="118">
        <f>VLOOKUP(C388,'Talente &amp; Stuff'!BI:CJ,17,FALSE)</f>
        <v>0</v>
      </c>
      <c r="T388" s="91">
        <f>VLOOKUP(C388,'Talente &amp; Stuff'!BI:CJ,18,FALSE)</f>
        <v>0</v>
      </c>
      <c r="U388" s="116">
        <f>VLOOKUP(C388,'Talente &amp; Stuff'!BI:CJ,19,FALSE)</f>
        <v>0</v>
      </c>
      <c r="V388" s="116">
        <f>VLOOKUP(C388,'Talente &amp; Stuff'!BI:CJ,20,FALSE)</f>
        <v>0</v>
      </c>
      <c r="W388" s="116">
        <f>VLOOKUP(C388,'Talente &amp; Stuff'!BI:CJ,21,FALSE)</f>
        <v>0</v>
      </c>
      <c r="X388" s="158">
        <f>VLOOKUP(C388,'Talente &amp; Stuff'!BI:CJ,22,FALSE)</f>
        <v>0</v>
      </c>
      <c r="Y388" s="165">
        <f>VLOOKUP(C388,Ausgewählte_Rituale_Hexen,81,FALSE)</f>
        <v>0</v>
      </c>
      <c r="Z388" s="44">
        <f>VLOOKUP(C388,Ausgewählte_Rituale_Hexen,82,FALSE)</f>
        <v>0</v>
      </c>
      <c r="AA388" s="158">
        <f>VLOOKUP(C388,'Talente &amp; Stuff'!BI:CJ,25,FALSE)</f>
        <v>0</v>
      </c>
      <c r="AB388" s="91">
        <f>VLOOKUP(C388,'Talente &amp; Stuff'!BI:CJ,26,FALSE)</f>
        <v>0</v>
      </c>
      <c r="AC388" s="126">
        <f>VLOOKUP(C388,'Talente &amp; Stuff'!BI:CJ,27,FALSE)</f>
        <v>0</v>
      </c>
      <c r="AD388" s="158">
        <f>VLOOKUP(C388,'Talente &amp; Stuff'!BI:CJ,28,FALSE)</f>
        <v>0</v>
      </c>
      <c r="AE388" s="28"/>
    </row>
    <row r="389" spans="1:31" ht="15" hidden="1" customHeight="1" outlineLevel="2">
      <c r="B389" s="148">
        <v>2</v>
      </c>
      <c r="C389" s="178" t="str">
        <f>Attribute!C389</f>
        <v>---</v>
      </c>
      <c r="D389" s="87" t="str">
        <f>VLOOKUP(C389,'Talente &amp; Stuff'!BI:CJ,2,FALSE)</f>
        <v>--/--/--</v>
      </c>
      <c r="E389" s="159" t="str">
        <f>VLOOKUP(C389,'Talente &amp; Stuff'!BI:CJ,3,FALSE)</f>
        <v>-</v>
      </c>
      <c r="F389" s="122">
        <f>VLOOKUP(C389,'Talente &amp; Stuff'!BI:CJ,4,FALSE)</f>
        <v>0</v>
      </c>
      <c r="G389" s="122">
        <f>VLOOKUP(C389,'Talente &amp; Stuff'!BI:CJ,5,FALSE)</f>
        <v>0</v>
      </c>
      <c r="H389" s="122">
        <f>VLOOKUP(C389,'Talente &amp; Stuff'!BI:CJ,6,FALSE)</f>
        <v>0</v>
      </c>
      <c r="I389" s="122">
        <f>VLOOKUP(C389,'Talente &amp; Stuff'!BI:CJ,7,FALSE)</f>
        <v>0</v>
      </c>
      <c r="J389" s="122">
        <f>VLOOKUP(C389,'Talente &amp; Stuff'!BI:CJ,8,FALSE)</f>
        <v>0</v>
      </c>
      <c r="K389" s="122">
        <f>VLOOKUP(C389,'Talente &amp; Stuff'!BI:CJ,9,FALSE)</f>
        <v>0</v>
      </c>
      <c r="L389" s="122">
        <f>VLOOKUP(C389,'Talente &amp; Stuff'!BI:CJ,10,FALSE)</f>
        <v>0</v>
      </c>
      <c r="M389" s="122">
        <f>VLOOKUP(C389,'Talente &amp; Stuff'!BI:CJ,11,FALSE)</f>
        <v>0</v>
      </c>
      <c r="N389" s="90">
        <f>VLOOKUP(C389,'Talente &amp; Stuff'!BI:CJ,12,FALSE)</f>
        <v>0</v>
      </c>
      <c r="O389" s="88">
        <f>VLOOKUP(C389,'Talente &amp; Stuff'!BI:CJ,13,FALSE)</f>
        <v>0</v>
      </c>
      <c r="P389" s="123">
        <f>VLOOKUP(C389,'Talente &amp; Stuff'!BI:CJ,14,FALSE)</f>
        <v>0</v>
      </c>
      <c r="Q389" s="122">
        <f>VLOOKUP(C389,'Talente &amp; Stuff'!BI:CJ,15,FALSE)</f>
        <v>0</v>
      </c>
      <c r="R389" s="122">
        <f>VLOOKUP(C389,'Talente &amp; Stuff'!BI:CJ,16,FALSE)</f>
        <v>0</v>
      </c>
      <c r="S389" s="122">
        <f>VLOOKUP(C389,'Talente &amp; Stuff'!BI:CJ,17,FALSE)</f>
        <v>0</v>
      </c>
      <c r="T389" s="161">
        <f>VLOOKUP(C389,'Talente &amp; Stuff'!BI:CJ,18,FALSE)</f>
        <v>0</v>
      </c>
      <c r="U389" s="88">
        <f>VLOOKUP(C389,'Talente &amp; Stuff'!BI:CJ,19,FALSE)</f>
        <v>0</v>
      </c>
      <c r="V389" s="88">
        <f>VLOOKUP(C389,'Talente &amp; Stuff'!BI:CJ,20,FALSE)</f>
        <v>0</v>
      </c>
      <c r="W389" s="88">
        <f>VLOOKUP(C389,'Talente &amp; Stuff'!BI:CJ,21,FALSE)</f>
        <v>0</v>
      </c>
      <c r="X389" s="159">
        <f>VLOOKUP(C389,'Talente &amp; Stuff'!BI:CJ,22,FALSE)</f>
        <v>0</v>
      </c>
      <c r="Y389" s="165">
        <f>VLOOKUP(C389,Ausgewählte_Rituale_Hexen,81,FALSE)</f>
        <v>0</v>
      </c>
      <c r="Z389" s="44">
        <f>VLOOKUP(C389,Ausgewählte_Rituale_Hexen,82,FALSE)</f>
        <v>0</v>
      </c>
      <c r="AA389" s="159">
        <f>VLOOKUP(C389,'Talente &amp; Stuff'!BI:CJ,25,FALSE)</f>
        <v>0</v>
      </c>
      <c r="AB389" s="161">
        <f>VLOOKUP(C389,'Talente &amp; Stuff'!BI:CJ,26,FALSE)</f>
        <v>0</v>
      </c>
      <c r="AC389" s="128">
        <f>VLOOKUP(C389,'Talente &amp; Stuff'!BI:CJ,27,FALSE)</f>
        <v>0</v>
      </c>
      <c r="AD389" s="159">
        <f>VLOOKUP(C389,'Talente &amp; Stuff'!BI:CJ,28,FALSE)</f>
        <v>0</v>
      </c>
      <c r="AE389" s="28"/>
    </row>
    <row r="390" spans="1:31" ht="15" hidden="1" customHeight="1" outlineLevel="1" collapsed="1">
      <c r="B390" s="134" t="s">
        <v>407</v>
      </c>
      <c r="C390" s="83"/>
      <c r="D390" s="84"/>
      <c r="E390" s="84"/>
    </row>
    <row r="391" spans="1:31" ht="15" hidden="1" customHeight="1" outlineLevel="2">
      <c r="B391" s="148">
        <v>1</v>
      </c>
      <c r="C391" s="176" t="str">
        <f>Attribute!C391</f>
        <v>---</v>
      </c>
      <c r="D391" s="186" t="str">
        <f>VLOOKUP(C391,'Talente &amp; Stuff'!BI:CJ,2,FALSE)</f>
        <v>--/--/--</v>
      </c>
      <c r="E391" s="40" t="str">
        <f>VLOOKUP(C391,'Talente &amp; Stuff'!BI:CJ,3,FALSE)</f>
        <v>-</v>
      </c>
      <c r="F391" s="183">
        <f>VLOOKUP(C391,'Talente &amp; Stuff'!BI:CJ,4,FALSE)</f>
        <v>0</v>
      </c>
      <c r="G391" s="183">
        <f>VLOOKUP(C391,'Talente &amp; Stuff'!BI:CJ,5,FALSE)</f>
        <v>0</v>
      </c>
      <c r="H391" s="183">
        <f>VLOOKUP(C391,'Talente &amp; Stuff'!BI:CJ,6,FALSE)</f>
        <v>0</v>
      </c>
      <c r="I391" s="183">
        <f>VLOOKUP(C391,'Talente &amp; Stuff'!BI:CJ,7,FALSE)</f>
        <v>0</v>
      </c>
      <c r="J391" s="183">
        <f>VLOOKUP(C391,'Talente &amp; Stuff'!BI:CJ,8,FALSE)</f>
        <v>0</v>
      </c>
      <c r="K391" s="183">
        <f>VLOOKUP(C391,'Talente &amp; Stuff'!BI:CJ,9,FALSE)</f>
        <v>0</v>
      </c>
      <c r="L391" s="183">
        <f>VLOOKUP(C391,'Talente &amp; Stuff'!BI:CJ,10,FALSE)</f>
        <v>0</v>
      </c>
      <c r="M391" s="183">
        <f>VLOOKUP(C391,'Talente &amp; Stuff'!BI:CJ,11,FALSE)</f>
        <v>0</v>
      </c>
      <c r="N391" s="166">
        <f>VLOOKUP(C391,'Talente &amp; Stuff'!BI:CJ,12,FALSE)</f>
        <v>0</v>
      </c>
      <c r="O391" s="179">
        <f>VLOOKUP(C391,'Talente &amp; Stuff'!BI:CJ,13,FALSE)</f>
        <v>0</v>
      </c>
      <c r="P391" s="180">
        <f>VLOOKUP(C391,'Talente &amp; Stuff'!BI:CJ,14,FALSE)</f>
        <v>0</v>
      </c>
      <c r="Q391" s="183">
        <f>VLOOKUP(C391,'Talente &amp; Stuff'!BI:CJ,15,FALSE)</f>
        <v>0</v>
      </c>
      <c r="R391" s="183">
        <f>VLOOKUP(C391,'Talente &amp; Stuff'!BI:CJ,16,FALSE)</f>
        <v>0</v>
      </c>
      <c r="S391" s="183">
        <f>VLOOKUP(C391,'Talente &amp; Stuff'!BI:CJ,17,FALSE)</f>
        <v>0</v>
      </c>
      <c r="T391" s="189">
        <f>VLOOKUP(C391,'Talente &amp; Stuff'!BI:CJ,18,FALSE)</f>
        <v>0</v>
      </c>
      <c r="U391" s="179">
        <f>VLOOKUP(C391,'Talente &amp; Stuff'!BI:CJ,19,FALSE)</f>
        <v>0</v>
      </c>
      <c r="V391" s="179">
        <f>VLOOKUP(C391,'Talente &amp; Stuff'!BI:CJ,20,FALSE)</f>
        <v>0</v>
      </c>
      <c r="W391" s="179">
        <f>VLOOKUP(C391,'Talente &amp; Stuff'!BI:CJ,21,FALSE)</f>
        <v>0</v>
      </c>
      <c r="X391" s="40">
        <f>VLOOKUP(C391,'Talente &amp; Stuff'!BI:CJ,22,FALSE)</f>
        <v>0</v>
      </c>
      <c r="Y391" s="165">
        <f>VLOOKUP(C391,Ausgewählte_Rituale_Kristallomanten,81,FALSE)</f>
        <v>0</v>
      </c>
      <c r="Z391" s="44">
        <f>VLOOKUP(C391,Ausgewählte_Rituale_Kristallomanten,82,FALSE)</f>
        <v>0</v>
      </c>
      <c r="AA391" s="40">
        <f>VLOOKUP(C391,'Talente &amp; Stuff'!BI:CJ,25,FALSE)</f>
        <v>0</v>
      </c>
      <c r="AB391" s="189">
        <f>VLOOKUP(C391,'Talente &amp; Stuff'!BI:CJ,26,FALSE)</f>
        <v>0</v>
      </c>
      <c r="AC391" s="182">
        <f>VLOOKUP(C391,'Talente &amp; Stuff'!BI:CJ,27,FALSE)</f>
        <v>0</v>
      </c>
      <c r="AD391" s="40">
        <f>VLOOKUP(C391,'Talente &amp; Stuff'!BI:CJ,28,FALSE)</f>
        <v>0</v>
      </c>
      <c r="AE391" s="28"/>
    </row>
    <row r="392" spans="1:31" ht="15" hidden="1" customHeight="1" outlineLevel="1" collapsed="1">
      <c r="B392" s="134" t="s">
        <v>408</v>
      </c>
      <c r="C392" s="83"/>
      <c r="D392" s="84"/>
      <c r="E392" s="84"/>
    </row>
    <row r="393" spans="1:31" ht="15" hidden="1" customHeight="1" outlineLevel="2">
      <c r="B393" s="148">
        <v>1</v>
      </c>
      <c r="C393" s="176" t="str">
        <f>Attribute!C393</f>
        <v>---</v>
      </c>
      <c r="D393" s="85" t="str">
        <f>VLOOKUP(C393,'Talente &amp; Stuff'!BI:CJ,2,FALSE)</f>
        <v>--/--/--</v>
      </c>
      <c r="E393" s="193" t="str">
        <f>VLOOKUP(C393,'Talente &amp; Stuff'!BI:CJ,3,FALSE)</f>
        <v>-</v>
      </c>
      <c r="F393" s="191">
        <f>VLOOKUP(C393,'Talente &amp; Stuff'!BI:CJ,4,FALSE)</f>
        <v>0</v>
      </c>
      <c r="G393" s="118">
        <f>VLOOKUP(C393,'Talente &amp; Stuff'!BI:CJ,5,FALSE)</f>
        <v>0</v>
      </c>
      <c r="H393" s="118">
        <f>VLOOKUP(C393,'Talente &amp; Stuff'!BI:CJ,6,FALSE)</f>
        <v>0</v>
      </c>
      <c r="I393" s="118">
        <f>VLOOKUP(C393,'Talente &amp; Stuff'!BI:CJ,7,FALSE)</f>
        <v>0</v>
      </c>
      <c r="J393" s="118">
        <f>VLOOKUP(C393,'Talente &amp; Stuff'!BI:CJ,8,FALSE)</f>
        <v>0</v>
      </c>
      <c r="K393" s="118">
        <f>VLOOKUP(C393,'Talente &amp; Stuff'!BI:CJ,9,FALSE)</f>
        <v>0</v>
      </c>
      <c r="L393" s="118">
        <f>VLOOKUP(C393,'Talente &amp; Stuff'!BI:CJ,10,FALSE)</f>
        <v>0</v>
      </c>
      <c r="M393" s="92">
        <f>VLOOKUP(C393,'Talente &amp; Stuff'!BI:CJ,11,FALSE)</f>
        <v>0</v>
      </c>
      <c r="N393" s="193">
        <f>VLOOKUP(C393,'Talente &amp; Stuff'!BI:CJ,12,FALSE)</f>
        <v>0</v>
      </c>
      <c r="O393" s="116">
        <f>VLOOKUP(C393,'Talente &amp; Stuff'!BI:CJ,13,FALSE)</f>
        <v>0</v>
      </c>
      <c r="P393" s="92">
        <f>VLOOKUP(C393,'Talente &amp; Stuff'!BI:CJ,14,FALSE)</f>
        <v>0</v>
      </c>
      <c r="Q393" s="191">
        <f>VLOOKUP(C393,'Talente &amp; Stuff'!BI:CJ,15,FALSE)</f>
        <v>0</v>
      </c>
      <c r="R393" s="118">
        <f>VLOOKUP(C393,'Talente &amp; Stuff'!BI:CJ,16,FALSE)</f>
        <v>0</v>
      </c>
      <c r="S393" s="92">
        <f>VLOOKUP(C393,'Talente &amp; Stuff'!BI:CJ,17,FALSE)</f>
        <v>0</v>
      </c>
      <c r="T393" s="92">
        <f>VLOOKUP(C393,'Talente &amp; Stuff'!BI:CJ,18,FALSE)</f>
        <v>0</v>
      </c>
      <c r="U393" s="193">
        <f>VLOOKUP(C393,'Talente &amp; Stuff'!BI:CJ,19,FALSE)</f>
        <v>0</v>
      </c>
      <c r="V393" s="116">
        <f>VLOOKUP(C393,'Talente &amp; Stuff'!BI:CJ,20,FALSE)</f>
        <v>0</v>
      </c>
      <c r="W393" s="126">
        <f>VLOOKUP(C393,'Talente &amp; Stuff'!BI:CJ,21,FALSE)</f>
        <v>0</v>
      </c>
      <c r="X393" s="158">
        <f>VLOOKUP(C393,'Talente &amp; Stuff'!BI:CJ,22,FALSE)</f>
        <v>0</v>
      </c>
      <c r="Y393" s="165">
        <f>VLOOKUP(C393,Ausgewählte_Rituale_Scharlatane,81,FALSE)</f>
        <v>0</v>
      </c>
      <c r="Z393" s="44">
        <f>VLOOKUP(C393,Ausgewählte_Rituale_Scharlatane,82,FALSE)</f>
        <v>0</v>
      </c>
      <c r="AA393" s="158">
        <f>VLOOKUP(C393,'Talente &amp; Stuff'!BI:CJ,25,FALSE)</f>
        <v>0</v>
      </c>
      <c r="AB393" s="191">
        <f>VLOOKUP(C393,'Talente &amp; Stuff'!BI:CJ,26,FALSE)</f>
        <v>0</v>
      </c>
      <c r="AC393" s="158">
        <f>VLOOKUP(C393,'Talente &amp; Stuff'!BI:CJ,27,FALSE)</f>
        <v>0</v>
      </c>
      <c r="AD393" s="158">
        <f>VLOOKUP(C393,'Talente &amp; Stuff'!BI:CJ,28,FALSE)</f>
        <v>0</v>
      </c>
      <c r="AE393" s="28"/>
    </row>
    <row r="394" spans="1:31" ht="15" hidden="1" customHeight="1" outlineLevel="2">
      <c r="B394" s="148">
        <v>2</v>
      </c>
      <c r="C394" s="177" t="str">
        <f>Attribute!C394</f>
        <v>---</v>
      </c>
      <c r="D394" s="86" t="str">
        <f>VLOOKUP(C394,'Talente &amp; Stuff'!BI:CJ,2,FALSE)</f>
        <v>--/--/--</v>
      </c>
      <c r="E394" s="89" t="str">
        <f>VLOOKUP(C394,'Talente &amp; Stuff'!BI:CJ,3,FALSE)</f>
        <v>-</v>
      </c>
      <c r="F394" s="114">
        <f>VLOOKUP(C394,'Talente &amp; Stuff'!BI:CJ,4,FALSE)</f>
        <v>0</v>
      </c>
      <c r="G394" s="113">
        <f>VLOOKUP(C394,'Talente &amp; Stuff'!BI:CJ,5,FALSE)</f>
        <v>0</v>
      </c>
      <c r="H394" s="113">
        <f>VLOOKUP(C394,'Talente &amp; Stuff'!BI:CJ,6,FALSE)</f>
        <v>0</v>
      </c>
      <c r="I394" s="113">
        <f>VLOOKUP(C394,'Talente &amp; Stuff'!BI:CJ,7,FALSE)</f>
        <v>0</v>
      </c>
      <c r="J394" s="113">
        <f>VLOOKUP(C394,'Talente &amp; Stuff'!BI:CJ,8,FALSE)</f>
        <v>0</v>
      </c>
      <c r="K394" s="113">
        <f>VLOOKUP(C394,'Talente &amp; Stuff'!BI:CJ,9,FALSE)</f>
        <v>0</v>
      </c>
      <c r="L394" s="113">
        <f>VLOOKUP(C394,'Talente &amp; Stuff'!BI:CJ,10,FALSE)</f>
        <v>0</v>
      </c>
      <c r="M394" s="119">
        <f>VLOOKUP(C394,'Talente &amp; Stuff'!BI:CJ,11,FALSE)</f>
        <v>0</v>
      </c>
      <c r="N394" s="89">
        <f>VLOOKUP(C394,'Talente &amp; Stuff'!BI:CJ,12,FALSE)</f>
        <v>0</v>
      </c>
      <c r="O394" s="47">
        <f>VLOOKUP(C394,'Talente &amp; Stuff'!BI:CJ,13,FALSE)</f>
        <v>0</v>
      </c>
      <c r="P394" s="119">
        <f>VLOOKUP(C394,'Talente &amp; Stuff'!BI:CJ,14,FALSE)</f>
        <v>0</v>
      </c>
      <c r="Q394" s="114">
        <f>VLOOKUP(C394,'Talente &amp; Stuff'!BI:CJ,15,FALSE)</f>
        <v>0</v>
      </c>
      <c r="R394" s="113">
        <f>VLOOKUP(C394,'Talente &amp; Stuff'!BI:CJ,16,FALSE)</f>
        <v>0</v>
      </c>
      <c r="S394" s="119">
        <f>VLOOKUP(C394,'Talente &amp; Stuff'!BI:CJ,17,FALSE)</f>
        <v>0</v>
      </c>
      <c r="T394" s="119">
        <f>VLOOKUP(C394,'Talente &amp; Stuff'!BI:CJ,18,FALSE)</f>
        <v>0</v>
      </c>
      <c r="U394" s="89">
        <f>VLOOKUP(C394,'Talente &amp; Stuff'!BI:CJ,19,FALSE)</f>
        <v>0</v>
      </c>
      <c r="V394" s="47">
        <f>VLOOKUP(C394,'Talente &amp; Stuff'!BI:CJ,20,FALSE)</f>
        <v>0</v>
      </c>
      <c r="W394" s="127">
        <f>VLOOKUP(C394,'Talente &amp; Stuff'!BI:CJ,21,FALSE)</f>
        <v>0</v>
      </c>
      <c r="X394" s="125">
        <f>VLOOKUP(C394,'Talente &amp; Stuff'!BI:CJ,22,FALSE)</f>
        <v>0</v>
      </c>
      <c r="Y394" s="165">
        <f>VLOOKUP(C394,Ausgewählte_Rituale_Scharlatane,81,FALSE)</f>
        <v>0</v>
      </c>
      <c r="Z394" s="44">
        <f>VLOOKUP(C394,Ausgewählte_Rituale_Scharlatane,82,FALSE)</f>
        <v>0</v>
      </c>
      <c r="AA394" s="125">
        <f>VLOOKUP(C394,'Talente &amp; Stuff'!BI:CJ,25,FALSE)</f>
        <v>0</v>
      </c>
      <c r="AB394" s="114">
        <f>VLOOKUP(C394,'Talente &amp; Stuff'!BI:CJ,26,FALSE)</f>
        <v>0</v>
      </c>
      <c r="AC394" s="125">
        <f>VLOOKUP(C394,'Talente &amp; Stuff'!BI:CJ,27,FALSE)</f>
        <v>0</v>
      </c>
      <c r="AD394" s="125">
        <f>VLOOKUP(C394,'Talente &amp; Stuff'!BI:CJ,28,FALSE)</f>
        <v>0</v>
      </c>
      <c r="AE394" s="28"/>
    </row>
    <row r="395" spans="1:31" ht="15" hidden="1" customHeight="1" outlineLevel="2">
      <c r="B395" s="148">
        <v>3</v>
      </c>
      <c r="C395" s="177" t="str">
        <f>Attribute!C395</f>
        <v>---</v>
      </c>
      <c r="D395" s="87" t="str">
        <f>VLOOKUP(C395,'Talente &amp; Stuff'!BI:CJ,2,FALSE)</f>
        <v>--/--/--</v>
      </c>
      <c r="E395" s="90" t="str">
        <f>VLOOKUP(C395,'Talente &amp; Stuff'!BI:CJ,3,FALSE)</f>
        <v>-</v>
      </c>
      <c r="F395" s="115">
        <f>VLOOKUP(C395,'Talente &amp; Stuff'!BI:CJ,4,FALSE)</f>
        <v>0</v>
      </c>
      <c r="G395" s="122">
        <f>VLOOKUP(C395,'Talente &amp; Stuff'!BI:CJ,5,FALSE)</f>
        <v>0</v>
      </c>
      <c r="H395" s="122">
        <f>VLOOKUP(C395,'Talente &amp; Stuff'!BI:CJ,6,FALSE)</f>
        <v>0</v>
      </c>
      <c r="I395" s="122">
        <f>VLOOKUP(C395,'Talente &amp; Stuff'!BI:CJ,7,FALSE)</f>
        <v>0</v>
      </c>
      <c r="J395" s="122">
        <f>VLOOKUP(C395,'Talente &amp; Stuff'!BI:CJ,8,FALSE)</f>
        <v>0</v>
      </c>
      <c r="K395" s="122">
        <f>VLOOKUP(C395,'Talente &amp; Stuff'!BI:CJ,9,FALSE)</f>
        <v>0</v>
      </c>
      <c r="L395" s="122">
        <f>VLOOKUP(C395,'Talente &amp; Stuff'!BI:CJ,10,FALSE)</f>
        <v>0</v>
      </c>
      <c r="M395" s="123">
        <f>VLOOKUP(C395,'Talente &amp; Stuff'!BI:CJ,11,FALSE)</f>
        <v>0</v>
      </c>
      <c r="N395" s="90">
        <f>VLOOKUP(C395,'Talente &amp; Stuff'!BI:CJ,12,FALSE)</f>
        <v>0</v>
      </c>
      <c r="O395" s="88">
        <f>VLOOKUP(C395,'Talente &amp; Stuff'!BI:CJ,13,FALSE)</f>
        <v>0</v>
      </c>
      <c r="P395" s="123">
        <f>VLOOKUP(C395,'Talente &amp; Stuff'!BI:CJ,14,FALSE)</f>
        <v>0</v>
      </c>
      <c r="Q395" s="115">
        <f>VLOOKUP(C395,'Talente &amp; Stuff'!BI:CJ,15,FALSE)</f>
        <v>0</v>
      </c>
      <c r="R395" s="122">
        <f>VLOOKUP(C395,'Talente &amp; Stuff'!BI:CJ,16,FALSE)</f>
        <v>0</v>
      </c>
      <c r="S395" s="123">
        <f>VLOOKUP(C395,'Talente &amp; Stuff'!BI:CJ,17,FALSE)</f>
        <v>0</v>
      </c>
      <c r="T395" s="123">
        <f>VLOOKUP(C395,'Talente &amp; Stuff'!BI:CJ,18,FALSE)</f>
        <v>0</v>
      </c>
      <c r="U395" s="90">
        <f>VLOOKUP(C395,'Talente &amp; Stuff'!BI:CJ,19,FALSE)</f>
        <v>0</v>
      </c>
      <c r="V395" s="88">
        <f>VLOOKUP(C395,'Talente &amp; Stuff'!BI:CJ,20,FALSE)</f>
        <v>0</v>
      </c>
      <c r="W395" s="128">
        <f>VLOOKUP(C395,'Talente &amp; Stuff'!BI:CJ,21,FALSE)</f>
        <v>0</v>
      </c>
      <c r="X395" s="159">
        <f>VLOOKUP(C395,'Talente &amp; Stuff'!BI:CJ,22,FALSE)</f>
        <v>0</v>
      </c>
      <c r="Y395" s="165">
        <f>VLOOKUP(C395,Ausgewählte_Rituale_Scharlatane,81,FALSE)</f>
        <v>0</v>
      </c>
      <c r="Z395" s="44">
        <f>VLOOKUP(C395,Ausgewählte_Rituale_Scharlatane,82,FALSE)</f>
        <v>0</v>
      </c>
      <c r="AA395" s="159">
        <f>VLOOKUP(C395,'Talente &amp; Stuff'!BI:CJ,25,FALSE)</f>
        <v>0</v>
      </c>
      <c r="AB395" s="115">
        <f>VLOOKUP(C395,'Talente &amp; Stuff'!BI:CJ,26,FALSE)</f>
        <v>0</v>
      </c>
      <c r="AC395" s="159">
        <f>VLOOKUP(C395,'Talente &amp; Stuff'!BI:CJ,27,FALSE)</f>
        <v>0</v>
      </c>
      <c r="AD395" s="159">
        <f>VLOOKUP(C395,'Talente &amp; Stuff'!BI:CJ,28,FALSE)</f>
        <v>0</v>
      </c>
      <c r="AE395" s="28"/>
    </row>
    <row r="396" spans="1:31" ht="15" hidden="1" customHeight="1" outlineLevel="1" collapsed="1"/>
    <row r="397" spans="1:31" ht="15.75" collapsed="1" thickBot="1"/>
    <row r="398" spans="1:31" ht="15.75" thickBot="1">
      <c r="A398" s="135" t="s">
        <v>234</v>
      </c>
    </row>
    <row r="399" spans="1:31" ht="15" hidden="1" customHeight="1" outlineLevel="1">
      <c r="B399" s="134" t="s">
        <v>327</v>
      </c>
    </row>
    <row r="400" spans="1:31" ht="15" hidden="1" customHeight="1" outlineLevel="2">
      <c r="B400" s="148">
        <v>1</v>
      </c>
      <c r="C400" s="176" t="str">
        <f>Attribute!C400</f>
        <v>---</v>
      </c>
      <c r="D400" s="158" t="str">
        <f>VLOOKUP(C400,'Talente &amp; Stuff'!BI:CJ,2,FALSE)</f>
        <v>--/--/--</v>
      </c>
      <c r="E400" s="116" t="str">
        <f>VLOOKUP(C400,'Talente &amp; Stuff'!BI:CJ,3,FALSE)</f>
        <v>-</v>
      </c>
      <c r="F400" s="191">
        <f>VLOOKUP(C400,'Talente &amp; Stuff'!BI:CJ,4,FALSE)</f>
        <v>0</v>
      </c>
      <c r="G400" s="118">
        <f>VLOOKUP(C400,'Talente &amp; Stuff'!BI:CJ,5,FALSE)</f>
        <v>0</v>
      </c>
      <c r="H400" s="118">
        <f>VLOOKUP(C400,'Talente &amp; Stuff'!BI:CJ,6,FALSE)</f>
        <v>0</v>
      </c>
      <c r="I400" s="118">
        <f>VLOOKUP(C400,'Talente &amp; Stuff'!BI:CJ,7,FALSE)</f>
        <v>0</v>
      </c>
      <c r="J400" s="118">
        <f>VLOOKUP(C400,'Talente &amp; Stuff'!BI:CJ,8,FALSE)</f>
        <v>0</v>
      </c>
      <c r="K400" s="118">
        <f>VLOOKUP(C400,'Talente &amp; Stuff'!BI:CJ,9,FALSE)</f>
        <v>0</v>
      </c>
      <c r="L400" s="118">
        <f>VLOOKUP(C400,'Talente &amp; Stuff'!BI:CJ,10,FALSE)</f>
        <v>0</v>
      </c>
      <c r="M400" s="92">
        <f>VLOOKUP(C400,'Talente &amp; Stuff'!BI:CJ,11,FALSE)</f>
        <v>0</v>
      </c>
      <c r="N400" s="116">
        <f>VLOOKUP(C400,'Talente &amp; Stuff'!BI:CJ,12,FALSE)</f>
        <v>0</v>
      </c>
      <c r="O400" s="116">
        <f>VLOOKUP(C400,'Talente &amp; Stuff'!BI:CJ,13,FALSE)</f>
        <v>0</v>
      </c>
      <c r="P400" s="118">
        <f>VLOOKUP(C400,'Talente &amp; Stuff'!BI:CJ,14,FALSE)</f>
        <v>0</v>
      </c>
      <c r="Q400" s="191">
        <f>VLOOKUP(C400,'Talente &amp; Stuff'!BI:CJ,15,FALSE)</f>
        <v>0</v>
      </c>
      <c r="R400" s="118">
        <f>VLOOKUP(C400,'Talente &amp; Stuff'!BI:CJ,16,FALSE)</f>
        <v>0</v>
      </c>
      <c r="S400" s="92">
        <f>VLOOKUP(C400,'Talente &amp; Stuff'!BI:CJ,17,FALSE)</f>
        <v>0</v>
      </c>
      <c r="T400" s="91">
        <f>VLOOKUP(C400,'Talente &amp; Stuff'!BI:CJ,18,FALSE)</f>
        <v>0</v>
      </c>
      <c r="U400" s="193">
        <f>VLOOKUP(C400,'Talente &amp; Stuff'!BI:CJ,19,FALSE)</f>
        <v>0</v>
      </c>
      <c r="V400" s="116">
        <f>VLOOKUP(C400,'Talente &amp; Stuff'!BI:CJ,20,FALSE)</f>
        <v>0</v>
      </c>
      <c r="W400" s="126">
        <f>VLOOKUP(C400,'Talente &amp; Stuff'!BI:CJ,21,FALSE)</f>
        <v>0</v>
      </c>
      <c r="X400" s="126">
        <f>VLOOKUP(C400,'Talente &amp; Stuff'!BI:CJ,22,FALSE)</f>
        <v>0</v>
      </c>
      <c r="Y400" s="165">
        <f>VLOOKUP(C400,Ausgewählte_Liturgien_Allgemein,81,FALSE)</f>
        <v>0</v>
      </c>
      <c r="Z400" s="44">
        <f>VLOOKUP(C400,Ausgewählte_Liturgien_Allgemein,82,FALSE)</f>
        <v>0</v>
      </c>
      <c r="AA400" s="158">
        <f>VLOOKUP(C400,'Talente &amp; Stuff'!BI:CJ,25,FALSE)</f>
        <v>0</v>
      </c>
      <c r="AB400" s="91">
        <f>VLOOKUP(C400,'Talente &amp; Stuff'!BI:CJ,26,FALSE)</f>
        <v>0</v>
      </c>
      <c r="AC400" s="126">
        <f>VLOOKUP(C400,'Talente &amp; Stuff'!BI:CJ,27,FALSE)</f>
        <v>0</v>
      </c>
      <c r="AD400" s="158">
        <f>VLOOKUP(C400,'Talente &amp; Stuff'!BI:CJ,28,FALSE)</f>
        <v>0</v>
      </c>
      <c r="AE400" s="28"/>
    </row>
    <row r="401" spans="2:31" ht="15" hidden="1" customHeight="1" outlineLevel="2">
      <c r="B401" s="148">
        <v>2</v>
      </c>
      <c r="C401" s="177" t="str">
        <f>Attribute!C401</f>
        <v>---</v>
      </c>
      <c r="D401" s="125" t="str">
        <f>VLOOKUP(C401,'Talente &amp; Stuff'!BI:CJ,2,FALSE)</f>
        <v>--/--/--</v>
      </c>
      <c r="E401" s="47" t="str">
        <f>VLOOKUP(C401,'Talente &amp; Stuff'!BI:CJ,3,FALSE)</f>
        <v>-</v>
      </c>
      <c r="F401" s="114">
        <f>VLOOKUP(C401,'Talente &amp; Stuff'!BI:CJ,4,FALSE)</f>
        <v>0</v>
      </c>
      <c r="G401" s="113">
        <f>VLOOKUP(C401,'Talente &amp; Stuff'!BI:CJ,5,FALSE)</f>
        <v>0</v>
      </c>
      <c r="H401" s="113">
        <f>VLOOKUP(C401,'Talente &amp; Stuff'!BI:CJ,6,FALSE)</f>
        <v>0</v>
      </c>
      <c r="I401" s="113">
        <f>VLOOKUP(C401,'Talente &amp; Stuff'!BI:CJ,7,FALSE)</f>
        <v>0</v>
      </c>
      <c r="J401" s="113">
        <f>VLOOKUP(C401,'Talente &amp; Stuff'!BI:CJ,8,FALSE)</f>
        <v>0</v>
      </c>
      <c r="K401" s="113">
        <f>VLOOKUP(C401,'Talente &amp; Stuff'!BI:CJ,9,FALSE)</f>
        <v>0</v>
      </c>
      <c r="L401" s="113">
        <f>VLOOKUP(C401,'Talente &amp; Stuff'!BI:CJ,10,FALSE)</f>
        <v>0</v>
      </c>
      <c r="M401" s="119">
        <f>VLOOKUP(C401,'Talente &amp; Stuff'!BI:CJ,11,FALSE)</f>
        <v>0</v>
      </c>
      <c r="N401" s="47">
        <f>VLOOKUP(C401,'Talente &amp; Stuff'!BI:CJ,12,FALSE)</f>
        <v>0</v>
      </c>
      <c r="O401" s="47">
        <f>VLOOKUP(C401,'Talente &amp; Stuff'!BI:CJ,13,FALSE)</f>
        <v>0</v>
      </c>
      <c r="P401" s="113">
        <f>VLOOKUP(C401,'Talente &amp; Stuff'!BI:CJ,14,FALSE)</f>
        <v>0</v>
      </c>
      <c r="Q401" s="114">
        <f>VLOOKUP(C401,'Talente &amp; Stuff'!BI:CJ,15,FALSE)</f>
        <v>0</v>
      </c>
      <c r="R401" s="113">
        <f>VLOOKUP(C401,'Talente &amp; Stuff'!BI:CJ,16,FALSE)</f>
        <v>0</v>
      </c>
      <c r="S401" s="119">
        <f>VLOOKUP(C401,'Talente &amp; Stuff'!BI:CJ,17,FALSE)</f>
        <v>0</v>
      </c>
      <c r="T401" s="160">
        <f>VLOOKUP(C401,'Talente &amp; Stuff'!BI:CJ,18,FALSE)</f>
        <v>0</v>
      </c>
      <c r="U401" s="89">
        <f>VLOOKUP(C401,'Talente &amp; Stuff'!BI:CJ,19,FALSE)</f>
        <v>0</v>
      </c>
      <c r="V401" s="47">
        <f>VLOOKUP(C401,'Talente &amp; Stuff'!BI:CJ,20,FALSE)</f>
        <v>0</v>
      </c>
      <c r="W401" s="127">
        <f>VLOOKUP(C401,'Talente &amp; Stuff'!BI:CJ,21,FALSE)</f>
        <v>0</v>
      </c>
      <c r="X401" s="127">
        <f>VLOOKUP(C401,'Talente &amp; Stuff'!BI:CJ,22,FALSE)</f>
        <v>0</v>
      </c>
      <c r="Y401" s="165">
        <f>VLOOKUP(C401,Ausgewählte_Liturgien_Allgemein,81,FALSE)</f>
        <v>0</v>
      </c>
      <c r="Z401" s="44">
        <f>VLOOKUP(C401,Ausgewählte_Liturgien_Allgemein,82,FALSE)</f>
        <v>0</v>
      </c>
      <c r="AA401" s="125">
        <f>VLOOKUP(C401,'Talente &amp; Stuff'!BI:CJ,25,FALSE)</f>
        <v>0</v>
      </c>
      <c r="AB401" s="160">
        <f>VLOOKUP(C401,'Talente &amp; Stuff'!BI:CJ,26,FALSE)</f>
        <v>0</v>
      </c>
      <c r="AC401" s="127">
        <f>VLOOKUP(C401,'Talente &amp; Stuff'!BI:CJ,27,FALSE)</f>
        <v>0</v>
      </c>
      <c r="AD401" s="125">
        <f>VLOOKUP(C401,'Talente &amp; Stuff'!BI:CJ,28,FALSE)</f>
        <v>0</v>
      </c>
      <c r="AE401" s="28"/>
    </row>
    <row r="402" spans="2:31" ht="15" hidden="1" customHeight="1" outlineLevel="2">
      <c r="B402" s="148">
        <v>3</v>
      </c>
      <c r="C402" s="178" t="str">
        <f>Attribute!C402</f>
        <v>---</v>
      </c>
      <c r="D402" s="159" t="str">
        <f>VLOOKUP(C402,'Talente &amp; Stuff'!BI:CJ,2,FALSE)</f>
        <v>--/--/--</v>
      </c>
      <c r="E402" s="88" t="str">
        <f>VLOOKUP(C402,'Talente &amp; Stuff'!BI:CJ,3,FALSE)</f>
        <v>-</v>
      </c>
      <c r="F402" s="115">
        <f>VLOOKUP(C402,'Talente &amp; Stuff'!BI:CJ,4,FALSE)</f>
        <v>0</v>
      </c>
      <c r="G402" s="122">
        <f>VLOOKUP(C402,'Talente &amp; Stuff'!BI:CJ,5,FALSE)</f>
        <v>0</v>
      </c>
      <c r="H402" s="122">
        <f>VLOOKUP(C402,'Talente &amp; Stuff'!BI:CJ,6,FALSE)</f>
        <v>0</v>
      </c>
      <c r="I402" s="122">
        <f>VLOOKUP(C402,'Talente &amp; Stuff'!BI:CJ,7,FALSE)</f>
        <v>0</v>
      </c>
      <c r="J402" s="122">
        <f>VLOOKUP(C402,'Talente &amp; Stuff'!BI:CJ,8,FALSE)</f>
        <v>0</v>
      </c>
      <c r="K402" s="122">
        <f>VLOOKUP(C402,'Talente &amp; Stuff'!BI:CJ,9,FALSE)</f>
        <v>0</v>
      </c>
      <c r="L402" s="122">
        <f>VLOOKUP(C402,'Talente &amp; Stuff'!BI:CJ,10,FALSE)</f>
        <v>0</v>
      </c>
      <c r="M402" s="123">
        <f>VLOOKUP(C402,'Talente &amp; Stuff'!BI:CJ,11,FALSE)</f>
        <v>0</v>
      </c>
      <c r="N402" s="88">
        <f>VLOOKUP(C402,'Talente &amp; Stuff'!BI:CJ,12,FALSE)</f>
        <v>0</v>
      </c>
      <c r="O402" s="88">
        <f>VLOOKUP(C402,'Talente &amp; Stuff'!BI:CJ,13,FALSE)</f>
        <v>0</v>
      </c>
      <c r="P402" s="122">
        <f>VLOOKUP(C402,'Talente &amp; Stuff'!BI:CJ,14,FALSE)</f>
        <v>0</v>
      </c>
      <c r="Q402" s="115">
        <f>VLOOKUP(C402,'Talente &amp; Stuff'!BI:CJ,15,FALSE)</f>
        <v>0</v>
      </c>
      <c r="R402" s="122">
        <f>VLOOKUP(C402,'Talente &amp; Stuff'!BI:CJ,16,FALSE)</f>
        <v>0</v>
      </c>
      <c r="S402" s="123">
        <f>VLOOKUP(C402,'Talente &amp; Stuff'!BI:CJ,17,FALSE)</f>
        <v>0</v>
      </c>
      <c r="T402" s="161">
        <f>VLOOKUP(C402,'Talente &amp; Stuff'!BI:CJ,18,FALSE)</f>
        <v>0</v>
      </c>
      <c r="U402" s="90">
        <f>VLOOKUP(C402,'Talente &amp; Stuff'!BI:CJ,19,FALSE)</f>
        <v>0</v>
      </c>
      <c r="V402" s="88">
        <f>VLOOKUP(C402,'Talente &amp; Stuff'!BI:CJ,20,FALSE)</f>
        <v>0</v>
      </c>
      <c r="W402" s="128">
        <f>VLOOKUP(C402,'Talente &amp; Stuff'!BI:CJ,21,FALSE)</f>
        <v>0</v>
      </c>
      <c r="X402" s="128">
        <f>VLOOKUP(C402,'Talente &amp; Stuff'!BI:CJ,22,FALSE)</f>
        <v>0</v>
      </c>
      <c r="Y402" s="165">
        <f>VLOOKUP(C402,Ausgewählte_Liturgien_Allgemein,81,FALSE)</f>
        <v>0</v>
      </c>
      <c r="Z402" s="44">
        <f>VLOOKUP(C402,Ausgewählte_Liturgien_Allgemein,82,FALSE)</f>
        <v>0</v>
      </c>
      <c r="AA402" s="159">
        <f>VLOOKUP(C402,'Talente &amp; Stuff'!BI:CJ,25,FALSE)</f>
        <v>0</v>
      </c>
      <c r="AB402" s="161">
        <f>VLOOKUP(C402,'Talente &amp; Stuff'!BI:CJ,26,FALSE)</f>
        <v>0</v>
      </c>
      <c r="AC402" s="128">
        <f>VLOOKUP(C402,'Talente &amp; Stuff'!BI:CJ,27,FALSE)</f>
        <v>0</v>
      </c>
      <c r="AD402" s="159">
        <f>VLOOKUP(C402,'Talente &amp; Stuff'!BI:CJ,28,FALSE)</f>
        <v>0</v>
      </c>
      <c r="AE402" s="28"/>
    </row>
    <row r="403" spans="2:31" ht="15" hidden="1" customHeight="1" outlineLevel="1" collapsed="1">
      <c r="B403" s="134" t="s">
        <v>326</v>
      </c>
      <c r="C403" s="83"/>
      <c r="D403" s="84"/>
      <c r="E403" s="84"/>
    </row>
    <row r="404" spans="2:31" ht="15" hidden="1" customHeight="1" outlineLevel="2">
      <c r="B404" s="148">
        <v>1</v>
      </c>
      <c r="C404" s="176" t="str">
        <f>Attribute!C404</f>
        <v>---</v>
      </c>
      <c r="D404" s="158" t="str">
        <f>VLOOKUP(C404,'Talente &amp; Stuff'!BI:CJ,2,FALSE)</f>
        <v>--/--/--</v>
      </c>
      <c r="E404" s="116" t="str">
        <f>VLOOKUP(C404,'Talente &amp; Stuff'!BI:CJ,3,FALSE)</f>
        <v>-</v>
      </c>
      <c r="F404" s="191">
        <f>VLOOKUP(C404,'Talente &amp; Stuff'!BI:CJ,4,FALSE)</f>
        <v>0</v>
      </c>
      <c r="G404" s="118">
        <f>VLOOKUP(C404,'Talente &amp; Stuff'!BI:CJ,5,FALSE)</f>
        <v>0</v>
      </c>
      <c r="H404" s="118">
        <f>VLOOKUP(C404,'Talente &amp; Stuff'!BI:CJ,6,FALSE)</f>
        <v>0</v>
      </c>
      <c r="I404" s="118">
        <f>VLOOKUP(C404,'Talente &amp; Stuff'!BI:CJ,7,FALSE)</f>
        <v>0</v>
      </c>
      <c r="J404" s="118">
        <f>VLOOKUP(C404,'Talente &amp; Stuff'!BI:CJ,8,FALSE)</f>
        <v>0</v>
      </c>
      <c r="K404" s="118">
        <f>VLOOKUP(C404,'Talente &amp; Stuff'!BI:CJ,9,FALSE)</f>
        <v>0</v>
      </c>
      <c r="L404" s="118">
        <f>VLOOKUP(C404,'Talente &amp; Stuff'!BI:CJ,10,FALSE)</f>
        <v>0</v>
      </c>
      <c r="M404" s="92">
        <f>VLOOKUP(C404,'Talente &amp; Stuff'!BI:CJ,11,FALSE)</f>
        <v>0</v>
      </c>
      <c r="N404" s="116">
        <f>VLOOKUP(C404,'Talente &amp; Stuff'!BI:CJ,12,FALSE)</f>
        <v>0</v>
      </c>
      <c r="O404" s="116">
        <f>VLOOKUP(C404,'Talente &amp; Stuff'!BI:CJ,13,FALSE)</f>
        <v>0</v>
      </c>
      <c r="P404" s="118">
        <f>VLOOKUP(C404,'Talente &amp; Stuff'!BI:CJ,14,FALSE)</f>
        <v>0</v>
      </c>
      <c r="Q404" s="191">
        <f>VLOOKUP(C404,'Talente &amp; Stuff'!BI:CJ,15,FALSE)</f>
        <v>0</v>
      </c>
      <c r="R404" s="118">
        <f>VLOOKUP(C404,'Talente &amp; Stuff'!BI:CJ,16,FALSE)</f>
        <v>0</v>
      </c>
      <c r="S404" s="92">
        <f>VLOOKUP(C404,'Talente &amp; Stuff'!BI:CJ,17,FALSE)</f>
        <v>0</v>
      </c>
      <c r="T404" s="91">
        <f>VLOOKUP(C404,'Talente &amp; Stuff'!BI:CJ,18,FALSE)</f>
        <v>0</v>
      </c>
      <c r="U404" s="193">
        <f>VLOOKUP(C404,'Talente &amp; Stuff'!BI:CJ,19,FALSE)</f>
        <v>0</v>
      </c>
      <c r="V404" s="116">
        <f>VLOOKUP(C404,'Talente &amp; Stuff'!BI:CJ,20,FALSE)</f>
        <v>0</v>
      </c>
      <c r="W404" s="126">
        <f>VLOOKUP(C404,'Talente &amp; Stuff'!BI:CJ,21,FALSE)</f>
        <v>0</v>
      </c>
      <c r="X404" s="126">
        <f>VLOOKUP(C404,'Talente &amp; Stuff'!BI:CJ,22,FALSE)</f>
        <v>0</v>
      </c>
      <c r="Y404" s="165">
        <f t="shared" ref="Y404:Y409" si="30">VLOOKUP(C404,Ausgewählte_Liturgien_Boron,81,FALSE)</f>
        <v>0</v>
      </c>
      <c r="Z404" s="44">
        <f t="shared" ref="Z404:Z409" si="31">VLOOKUP(C404,Ausgewählte_Liturgien_Boron,82,FALSE)</f>
        <v>0</v>
      </c>
      <c r="AA404" s="158">
        <f>VLOOKUP(C404,'Talente &amp; Stuff'!BI:CJ,25,FALSE)</f>
        <v>0</v>
      </c>
      <c r="AB404" s="91">
        <f>VLOOKUP(C404,'Talente &amp; Stuff'!BI:CJ,26,FALSE)</f>
        <v>0</v>
      </c>
      <c r="AC404" s="126">
        <f>VLOOKUP(C404,'Talente &amp; Stuff'!BI:CJ,27,FALSE)</f>
        <v>0</v>
      </c>
      <c r="AD404" s="158">
        <f>VLOOKUP(C404,'Talente &amp; Stuff'!BI:CJ,28,FALSE)</f>
        <v>0</v>
      </c>
      <c r="AE404" s="28"/>
    </row>
    <row r="405" spans="2:31" ht="15" hidden="1" customHeight="1" outlineLevel="2">
      <c r="B405" s="148">
        <v>2</v>
      </c>
      <c r="C405" s="177" t="str">
        <f>Attribute!C405</f>
        <v>---</v>
      </c>
      <c r="D405" s="125" t="str">
        <f>VLOOKUP(C405,'Talente &amp; Stuff'!BI:CJ,2,FALSE)</f>
        <v>--/--/--</v>
      </c>
      <c r="E405" s="47" t="str">
        <f>VLOOKUP(C405,'Talente &amp; Stuff'!BI:CJ,3,FALSE)</f>
        <v>-</v>
      </c>
      <c r="F405" s="114">
        <f>VLOOKUP(C405,'Talente &amp; Stuff'!BI:CJ,4,FALSE)</f>
        <v>0</v>
      </c>
      <c r="G405" s="113">
        <f>VLOOKUP(C405,'Talente &amp; Stuff'!BI:CJ,5,FALSE)</f>
        <v>0</v>
      </c>
      <c r="H405" s="113">
        <f>VLOOKUP(C405,'Talente &amp; Stuff'!BI:CJ,6,FALSE)</f>
        <v>0</v>
      </c>
      <c r="I405" s="113">
        <f>VLOOKUP(C405,'Talente &amp; Stuff'!BI:CJ,7,FALSE)</f>
        <v>0</v>
      </c>
      <c r="J405" s="113">
        <f>VLOOKUP(C405,'Talente &amp; Stuff'!BI:CJ,8,FALSE)</f>
        <v>0</v>
      </c>
      <c r="K405" s="113">
        <f>VLOOKUP(C405,'Talente &amp; Stuff'!BI:CJ,9,FALSE)</f>
        <v>0</v>
      </c>
      <c r="L405" s="113">
        <f>VLOOKUP(C405,'Talente &amp; Stuff'!BI:CJ,10,FALSE)</f>
        <v>0</v>
      </c>
      <c r="M405" s="119">
        <f>VLOOKUP(C405,'Talente &amp; Stuff'!BI:CJ,11,FALSE)</f>
        <v>0</v>
      </c>
      <c r="N405" s="47">
        <f>VLOOKUP(C405,'Talente &amp; Stuff'!BI:CJ,12,FALSE)</f>
        <v>0</v>
      </c>
      <c r="O405" s="47">
        <f>VLOOKUP(C405,'Talente &amp; Stuff'!BI:CJ,13,FALSE)</f>
        <v>0</v>
      </c>
      <c r="P405" s="113">
        <f>VLOOKUP(C405,'Talente &amp; Stuff'!BI:CJ,14,FALSE)</f>
        <v>0</v>
      </c>
      <c r="Q405" s="114">
        <f>VLOOKUP(C405,'Talente &amp; Stuff'!BI:CJ,15,FALSE)</f>
        <v>0</v>
      </c>
      <c r="R405" s="113">
        <f>VLOOKUP(C405,'Talente &amp; Stuff'!BI:CJ,16,FALSE)</f>
        <v>0</v>
      </c>
      <c r="S405" s="119">
        <f>VLOOKUP(C405,'Talente &amp; Stuff'!BI:CJ,17,FALSE)</f>
        <v>0</v>
      </c>
      <c r="T405" s="160">
        <f>VLOOKUP(C405,'Talente &amp; Stuff'!BI:CJ,18,FALSE)</f>
        <v>0</v>
      </c>
      <c r="U405" s="89">
        <f>VLOOKUP(C405,'Talente &amp; Stuff'!BI:CJ,19,FALSE)</f>
        <v>0</v>
      </c>
      <c r="V405" s="47">
        <f>VLOOKUP(C405,'Talente &amp; Stuff'!BI:CJ,20,FALSE)</f>
        <v>0</v>
      </c>
      <c r="W405" s="127">
        <f>VLOOKUP(C405,'Talente &amp; Stuff'!BI:CJ,21,FALSE)</f>
        <v>0</v>
      </c>
      <c r="X405" s="127">
        <f>VLOOKUP(C405,'Talente &amp; Stuff'!BI:CJ,22,FALSE)</f>
        <v>0</v>
      </c>
      <c r="Y405" s="165">
        <f t="shared" si="30"/>
        <v>0</v>
      </c>
      <c r="Z405" s="44">
        <f t="shared" si="31"/>
        <v>0</v>
      </c>
      <c r="AA405" s="125">
        <f>VLOOKUP(C405,'Talente &amp; Stuff'!BI:CJ,25,FALSE)</f>
        <v>0</v>
      </c>
      <c r="AB405" s="160">
        <f>VLOOKUP(C405,'Talente &amp; Stuff'!BI:CJ,26,FALSE)</f>
        <v>0</v>
      </c>
      <c r="AC405" s="127">
        <f>VLOOKUP(C405,'Talente &amp; Stuff'!BI:CJ,27,FALSE)</f>
        <v>0</v>
      </c>
      <c r="AD405" s="125">
        <f>VLOOKUP(C405,'Talente &amp; Stuff'!BI:CJ,28,FALSE)</f>
        <v>0</v>
      </c>
      <c r="AE405" s="28"/>
    </row>
    <row r="406" spans="2:31" ht="15" hidden="1" customHeight="1" outlineLevel="2">
      <c r="B406" s="148">
        <v>3</v>
      </c>
      <c r="C406" s="177" t="str">
        <f>Attribute!C406</f>
        <v>---</v>
      </c>
      <c r="D406" s="125" t="str">
        <f>VLOOKUP(C406,'Talente &amp; Stuff'!BI:CJ,2,FALSE)</f>
        <v>--/--/--</v>
      </c>
      <c r="E406" s="47" t="str">
        <f>VLOOKUP(C406,'Talente &amp; Stuff'!BI:CJ,3,FALSE)</f>
        <v>-</v>
      </c>
      <c r="F406" s="114">
        <f>VLOOKUP(C406,'Talente &amp; Stuff'!BI:CJ,4,FALSE)</f>
        <v>0</v>
      </c>
      <c r="G406" s="113">
        <f>VLOOKUP(C406,'Talente &amp; Stuff'!BI:CJ,5,FALSE)</f>
        <v>0</v>
      </c>
      <c r="H406" s="113">
        <f>VLOOKUP(C406,'Talente &amp; Stuff'!BI:CJ,6,FALSE)</f>
        <v>0</v>
      </c>
      <c r="I406" s="113">
        <f>VLOOKUP(C406,'Talente &amp; Stuff'!BI:CJ,7,FALSE)</f>
        <v>0</v>
      </c>
      <c r="J406" s="113">
        <f>VLOOKUP(C406,'Talente &amp; Stuff'!BI:CJ,8,FALSE)</f>
        <v>0</v>
      </c>
      <c r="K406" s="113">
        <f>VLOOKUP(C406,'Talente &amp; Stuff'!BI:CJ,9,FALSE)</f>
        <v>0</v>
      </c>
      <c r="L406" s="113">
        <f>VLOOKUP(C406,'Talente &amp; Stuff'!BI:CJ,10,FALSE)</f>
        <v>0</v>
      </c>
      <c r="M406" s="119">
        <f>VLOOKUP(C406,'Talente &amp; Stuff'!BI:CJ,11,FALSE)</f>
        <v>0</v>
      </c>
      <c r="N406" s="47">
        <f>VLOOKUP(C406,'Talente &amp; Stuff'!BI:CJ,12,FALSE)</f>
        <v>0</v>
      </c>
      <c r="O406" s="47">
        <f>VLOOKUP(C406,'Talente &amp; Stuff'!BI:CJ,13,FALSE)</f>
        <v>0</v>
      </c>
      <c r="P406" s="113">
        <f>VLOOKUP(C406,'Talente &amp; Stuff'!BI:CJ,14,FALSE)</f>
        <v>0</v>
      </c>
      <c r="Q406" s="114">
        <f>VLOOKUP(C406,'Talente &amp; Stuff'!BI:CJ,15,FALSE)</f>
        <v>0</v>
      </c>
      <c r="R406" s="113">
        <f>VLOOKUP(C406,'Talente &amp; Stuff'!BI:CJ,16,FALSE)</f>
        <v>0</v>
      </c>
      <c r="S406" s="119">
        <f>VLOOKUP(C406,'Talente &amp; Stuff'!BI:CJ,17,FALSE)</f>
        <v>0</v>
      </c>
      <c r="T406" s="160">
        <f>VLOOKUP(C406,'Talente &amp; Stuff'!BI:CJ,18,FALSE)</f>
        <v>0</v>
      </c>
      <c r="U406" s="89">
        <f>VLOOKUP(C406,'Talente &amp; Stuff'!BI:CJ,19,FALSE)</f>
        <v>0</v>
      </c>
      <c r="V406" s="47">
        <f>VLOOKUP(C406,'Talente &amp; Stuff'!BI:CJ,20,FALSE)</f>
        <v>0</v>
      </c>
      <c r="W406" s="127">
        <f>VLOOKUP(C406,'Talente &amp; Stuff'!BI:CJ,21,FALSE)</f>
        <v>0</v>
      </c>
      <c r="X406" s="127">
        <f>VLOOKUP(C406,'Talente &amp; Stuff'!BI:CJ,22,FALSE)</f>
        <v>0</v>
      </c>
      <c r="Y406" s="165">
        <f t="shared" si="30"/>
        <v>0</v>
      </c>
      <c r="Z406" s="44">
        <f t="shared" si="31"/>
        <v>0</v>
      </c>
      <c r="AA406" s="125">
        <f>VLOOKUP(C406,'Talente &amp; Stuff'!BI:CJ,25,FALSE)</f>
        <v>0</v>
      </c>
      <c r="AB406" s="160">
        <f>VLOOKUP(C406,'Talente &amp; Stuff'!BI:CJ,26,FALSE)</f>
        <v>0</v>
      </c>
      <c r="AC406" s="127">
        <f>VLOOKUP(C406,'Talente &amp; Stuff'!BI:CJ,27,FALSE)</f>
        <v>0</v>
      </c>
      <c r="AD406" s="125">
        <f>VLOOKUP(C406,'Talente &amp; Stuff'!BI:CJ,28,FALSE)</f>
        <v>0</v>
      </c>
      <c r="AE406" s="28"/>
    </row>
    <row r="407" spans="2:31" ht="15" hidden="1" customHeight="1" outlineLevel="2">
      <c r="B407" s="148">
        <v>4</v>
      </c>
      <c r="C407" s="177" t="str">
        <f>Attribute!C407</f>
        <v>---</v>
      </c>
      <c r="D407" s="125" t="str">
        <f>VLOOKUP(C407,'Talente &amp; Stuff'!BI:CJ,2,FALSE)</f>
        <v>--/--/--</v>
      </c>
      <c r="E407" s="47" t="str">
        <f>VLOOKUP(C407,'Talente &amp; Stuff'!BI:CJ,3,FALSE)</f>
        <v>-</v>
      </c>
      <c r="F407" s="114">
        <f>VLOOKUP(C407,'Talente &amp; Stuff'!BI:CJ,4,FALSE)</f>
        <v>0</v>
      </c>
      <c r="G407" s="113">
        <f>VLOOKUP(C407,'Talente &amp; Stuff'!BI:CJ,5,FALSE)</f>
        <v>0</v>
      </c>
      <c r="H407" s="113">
        <f>VLOOKUP(C407,'Talente &amp; Stuff'!BI:CJ,6,FALSE)</f>
        <v>0</v>
      </c>
      <c r="I407" s="113">
        <f>VLOOKUP(C407,'Talente &amp; Stuff'!BI:CJ,7,FALSE)</f>
        <v>0</v>
      </c>
      <c r="J407" s="113">
        <f>VLOOKUP(C407,'Talente &amp; Stuff'!BI:CJ,8,FALSE)</f>
        <v>0</v>
      </c>
      <c r="K407" s="113">
        <f>VLOOKUP(C407,'Talente &amp; Stuff'!BI:CJ,9,FALSE)</f>
        <v>0</v>
      </c>
      <c r="L407" s="113">
        <f>VLOOKUP(C407,'Talente &amp; Stuff'!BI:CJ,10,FALSE)</f>
        <v>0</v>
      </c>
      <c r="M407" s="119">
        <f>VLOOKUP(C407,'Talente &amp; Stuff'!BI:CJ,11,FALSE)</f>
        <v>0</v>
      </c>
      <c r="N407" s="47">
        <f>VLOOKUP(C407,'Talente &amp; Stuff'!BI:CJ,12,FALSE)</f>
        <v>0</v>
      </c>
      <c r="O407" s="47">
        <f>VLOOKUP(C407,'Talente &amp; Stuff'!BI:CJ,13,FALSE)</f>
        <v>0</v>
      </c>
      <c r="P407" s="113">
        <f>VLOOKUP(C407,'Talente &amp; Stuff'!BI:CJ,14,FALSE)</f>
        <v>0</v>
      </c>
      <c r="Q407" s="114">
        <f>VLOOKUP(C407,'Talente &amp; Stuff'!BI:CJ,15,FALSE)</f>
        <v>0</v>
      </c>
      <c r="R407" s="113">
        <f>VLOOKUP(C407,'Talente &amp; Stuff'!BI:CJ,16,FALSE)</f>
        <v>0</v>
      </c>
      <c r="S407" s="119">
        <f>VLOOKUP(C407,'Talente &amp; Stuff'!BI:CJ,17,FALSE)</f>
        <v>0</v>
      </c>
      <c r="T407" s="160">
        <f>VLOOKUP(C407,'Talente &amp; Stuff'!BI:CJ,18,FALSE)</f>
        <v>0</v>
      </c>
      <c r="U407" s="89">
        <f>VLOOKUP(C407,'Talente &amp; Stuff'!BI:CJ,19,FALSE)</f>
        <v>0</v>
      </c>
      <c r="V407" s="47">
        <f>VLOOKUP(C407,'Talente &amp; Stuff'!BI:CJ,20,FALSE)</f>
        <v>0</v>
      </c>
      <c r="W407" s="127">
        <f>VLOOKUP(C407,'Talente &amp; Stuff'!BI:CJ,21,FALSE)</f>
        <v>0</v>
      </c>
      <c r="X407" s="127">
        <f>VLOOKUP(C407,'Talente &amp; Stuff'!BI:CJ,22,FALSE)</f>
        <v>0</v>
      </c>
      <c r="Y407" s="165">
        <f t="shared" si="30"/>
        <v>0</v>
      </c>
      <c r="Z407" s="44">
        <f t="shared" si="31"/>
        <v>0</v>
      </c>
      <c r="AA407" s="125">
        <f>VLOOKUP(C407,'Talente &amp; Stuff'!BI:CJ,25,FALSE)</f>
        <v>0</v>
      </c>
      <c r="AB407" s="160">
        <f>VLOOKUP(C407,'Talente &amp; Stuff'!BI:CJ,26,FALSE)</f>
        <v>0</v>
      </c>
      <c r="AC407" s="127">
        <f>VLOOKUP(C407,'Talente &amp; Stuff'!BI:CJ,27,FALSE)</f>
        <v>0</v>
      </c>
      <c r="AD407" s="125">
        <f>VLOOKUP(C407,'Talente &amp; Stuff'!BI:CJ,28,FALSE)</f>
        <v>0</v>
      </c>
      <c r="AE407" s="28"/>
    </row>
    <row r="408" spans="2:31" ht="15" hidden="1" customHeight="1" outlineLevel="2">
      <c r="B408" s="148">
        <v>5</v>
      </c>
      <c r="C408" s="177" t="str">
        <f>Attribute!C408</f>
        <v>---</v>
      </c>
      <c r="D408" s="125" t="str">
        <f>VLOOKUP(C408,'Talente &amp; Stuff'!BI:CJ,2,FALSE)</f>
        <v>--/--/--</v>
      </c>
      <c r="E408" s="47" t="str">
        <f>VLOOKUP(C408,'Talente &amp; Stuff'!BI:CJ,3,FALSE)</f>
        <v>-</v>
      </c>
      <c r="F408" s="114">
        <f>VLOOKUP(C408,'Talente &amp; Stuff'!BI:CJ,4,FALSE)</f>
        <v>0</v>
      </c>
      <c r="G408" s="113">
        <f>VLOOKUP(C408,'Talente &amp; Stuff'!BI:CJ,5,FALSE)</f>
        <v>0</v>
      </c>
      <c r="H408" s="113">
        <f>VLOOKUP(C408,'Talente &amp; Stuff'!BI:CJ,6,FALSE)</f>
        <v>0</v>
      </c>
      <c r="I408" s="113">
        <f>VLOOKUP(C408,'Talente &amp; Stuff'!BI:CJ,7,FALSE)</f>
        <v>0</v>
      </c>
      <c r="J408" s="113">
        <f>VLOOKUP(C408,'Talente &amp; Stuff'!BI:CJ,8,FALSE)</f>
        <v>0</v>
      </c>
      <c r="K408" s="113">
        <f>VLOOKUP(C408,'Talente &amp; Stuff'!BI:CJ,9,FALSE)</f>
        <v>0</v>
      </c>
      <c r="L408" s="113">
        <f>VLOOKUP(C408,'Talente &amp; Stuff'!BI:CJ,10,FALSE)</f>
        <v>0</v>
      </c>
      <c r="M408" s="119">
        <f>VLOOKUP(C408,'Talente &amp; Stuff'!BI:CJ,11,FALSE)</f>
        <v>0</v>
      </c>
      <c r="N408" s="47">
        <f>VLOOKUP(C408,'Talente &amp; Stuff'!BI:CJ,12,FALSE)</f>
        <v>0</v>
      </c>
      <c r="O408" s="47">
        <f>VLOOKUP(C408,'Talente &amp; Stuff'!BI:CJ,13,FALSE)</f>
        <v>0</v>
      </c>
      <c r="P408" s="113">
        <f>VLOOKUP(C408,'Talente &amp; Stuff'!BI:CJ,14,FALSE)</f>
        <v>0</v>
      </c>
      <c r="Q408" s="114">
        <f>VLOOKUP(C408,'Talente &amp; Stuff'!BI:CJ,15,FALSE)</f>
        <v>0</v>
      </c>
      <c r="R408" s="113">
        <f>VLOOKUP(C408,'Talente &amp; Stuff'!BI:CJ,16,FALSE)</f>
        <v>0</v>
      </c>
      <c r="S408" s="119">
        <f>VLOOKUP(C408,'Talente &amp; Stuff'!BI:CJ,17,FALSE)</f>
        <v>0</v>
      </c>
      <c r="T408" s="160">
        <f>VLOOKUP(C408,'Talente &amp; Stuff'!BI:CJ,18,FALSE)</f>
        <v>0</v>
      </c>
      <c r="U408" s="89">
        <f>VLOOKUP(C408,'Talente &amp; Stuff'!BI:CJ,19,FALSE)</f>
        <v>0</v>
      </c>
      <c r="V408" s="47">
        <f>VLOOKUP(C408,'Talente &amp; Stuff'!BI:CJ,20,FALSE)</f>
        <v>0</v>
      </c>
      <c r="W408" s="127">
        <f>VLOOKUP(C408,'Talente &amp; Stuff'!BI:CJ,21,FALSE)</f>
        <v>0</v>
      </c>
      <c r="X408" s="127">
        <f>VLOOKUP(C408,'Talente &amp; Stuff'!BI:CJ,22,FALSE)</f>
        <v>0</v>
      </c>
      <c r="Y408" s="165">
        <f t="shared" si="30"/>
        <v>0</v>
      </c>
      <c r="Z408" s="44">
        <f t="shared" si="31"/>
        <v>0</v>
      </c>
      <c r="AA408" s="125">
        <f>VLOOKUP(C408,'Talente &amp; Stuff'!BI:CJ,25,FALSE)</f>
        <v>0</v>
      </c>
      <c r="AB408" s="160">
        <f>VLOOKUP(C408,'Talente &amp; Stuff'!BI:CJ,26,FALSE)</f>
        <v>0</v>
      </c>
      <c r="AC408" s="127">
        <f>VLOOKUP(C408,'Talente &amp; Stuff'!BI:CJ,27,FALSE)</f>
        <v>0</v>
      </c>
      <c r="AD408" s="125">
        <f>VLOOKUP(C408,'Talente &amp; Stuff'!BI:CJ,28,FALSE)</f>
        <v>0</v>
      </c>
      <c r="AE408" s="28"/>
    </row>
    <row r="409" spans="2:31" ht="15" hidden="1" customHeight="1" outlineLevel="2">
      <c r="B409" s="148">
        <v>6</v>
      </c>
      <c r="C409" s="178" t="str">
        <f>Attribute!C409</f>
        <v>---</v>
      </c>
      <c r="D409" s="159" t="str">
        <f>VLOOKUP(C409,'Talente &amp; Stuff'!BI:CJ,2,FALSE)</f>
        <v>--/--/--</v>
      </c>
      <c r="E409" s="88" t="str">
        <f>VLOOKUP(C409,'Talente &amp; Stuff'!BI:CJ,3,FALSE)</f>
        <v>-</v>
      </c>
      <c r="F409" s="115">
        <f>VLOOKUP(C409,'Talente &amp; Stuff'!BI:CJ,4,FALSE)</f>
        <v>0</v>
      </c>
      <c r="G409" s="122">
        <f>VLOOKUP(C409,'Talente &amp; Stuff'!BI:CJ,5,FALSE)</f>
        <v>0</v>
      </c>
      <c r="H409" s="122">
        <f>VLOOKUP(C409,'Talente &amp; Stuff'!BI:CJ,6,FALSE)</f>
        <v>0</v>
      </c>
      <c r="I409" s="122">
        <f>VLOOKUP(C409,'Talente &amp; Stuff'!BI:CJ,7,FALSE)</f>
        <v>0</v>
      </c>
      <c r="J409" s="122">
        <f>VLOOKUP(C409,'Talente &amp; Stuff'!BI:CJ,8,FALSE)</f>
        <v>0</v>
      </c>
      <c r="K409" s="122">
        <f>VLOOKUP(C409,'Talente &amp; Stuff'!BI:CJ,9,FALSE)</f>
        <v>0</v>
      </c>
      <c r="L409" s="122">
        <f>VLOOKUP(C409,'Talente &amp; Stuff'!BI:CJ,10,FALSE)</f>
        <v>0</v>
      </c>
      <c r="M409" s="123">
        <f>VLOOKUP(C409,'Talente &amp; Stuff'!BI:CJ,11,FALSE)</f>
        <v>0</v>
      </c>
      <c r="N409" s="88">
        <f>VLOOKUP(C409,'Talente &amp; Stuff'!BI:CJ,12,FALSE)</f>
        <v>0</v>
      </c>
      <c r="O409" s="88">
        <f>VLOOKUP(C409,'Talente &amp; Stuff'!BI:CJ,13,FALSE)</f>
        <v>0</v>
      </c>
      <c r="P409" s="122">
        <f>VLOOKUP(C409,'Talente &amp; Stuff'!BI:CJ,14,FALSE)</f>
        <v>0</v>
      </c>
      <c r="Q409" s="115">
        <f>VLOOKUP(C409,'Talente &amp; Stuff'!BI:CJ,15,FALSE)</f>
        <v>0</v>
      </c>
      <c r="R409" s="122">
        <f>VLOOKUP(C409,'Talente &amp; Stuff'!BI:CJ,16,FALSE)</f>
        <v>0</v>
      </c>
      <c r="S409" s="123">
        <f>VLOOKUP(C409,'Talente &amp; Stuff'!BI:CJ,17,FALSE)</f>
        <v>0</v>
      </c>
      <c r="T409" s="161">
        <f>VLOOKUP(C409,'Talente &amp; Stuff'!BI:CJ,18,FALSE)</f>
        <v>0</v>
      </c>
      <c r="U409" s="90">
        <f>VLOOKUP(C409,'Talente &amp; Stuff'!BI:CJ,19,FALSE)</f>
        <v>0</v>
      </c>
      <c r="V409" s="88">
        <f>VLOOKUP(C409,'Talente &amp; Stuff'!BI:CJ,20,FALSE)</f>
        <v>0</v>
      </c>
      <c r="W409" s="128">
        <f>VLOOKUP(C409,'Talente &amp; Stuff'!BI:CJ,21,FALSE)</f>
        <v>0</v>
      </c>
      <c r="X409" s="128">
        <f>VLOOKUP(C409,'Talente &amp; Stuff'!BI:CJ,22,FALSE)</f>
        <v>0</v>
      </c>
      <c r="Y409" s="165">
        <f t="shared" si="30"/>
        <v>0</v>
      </c>
      <c r="Z409" s="44">
        <f t="shared" si="31"/>
        <v>0</v>
      </c>
      <c r="AA409" s="159">
        <f>VLOOKUP(C409,'Talente &amp; Stuff'!BI:CJ,25,FALSE)</f>
        <v>0</v>
      </c>
      <c r="AB409" s="161">
        <f>VLOOKUP(C409,'Talente &amp; Stuff'!BI:CJ,26,FALSE)</f>
        <v>0</v>
      </c>
      <c r="AC409" s="128">
        <f>VLOOKUP(C409,'Talente &amp; Stuff'!BI:CJ,27,FALSE)</f>
        <v>0</v>
      </c>
      <c r="AD409" s="159">
        <f>VLOOKUP(C409,'Talente &amp; Stuff'!BI:CJ,28,FALSE)</f>
        <v>0</v>
      </c>
      <c r="AE409" s="28"/>
    </row>
    <row r="410" spans="2:31" ht="15" hidden="1" customHeight="1" outlineLevel="1" collapsed="1">
      <c r="B410" s="134" t="s">
        <v>325</v>
      </c>
      <c r="C410" s="83"/>
      <c r="D410" s="84"/>
      <c r="E410" s="84"/>
    </row>
    <row r="411" spans="2:31" ht="15" hidden="1" customHeight="1" outlineLevel="2">
      <c r="B411" s="148">
        <v>1</v>
      </c>
      <c r="C411" s="176" t="str">
        <f>Attribute!C411</f>
        <v>---</v>
      </c>
      <c r="D411" s="158" t="str">
        <f>VLOOKUP(C411,'Talente &amp; Stuff'!BI:CJ,2,FALSE)</f>
        <v>--/--/--</v>
      </c>
      <c r="E411" s="116" t="str">
        <f>VLOOKUP(C411,'Talente &amp; Stuff'!BI:CJ,3,FALSE)</f>
        <v>-</v>
      </c>
      <c r="F411" s="191">
        <f>VLOOKUP(C411,'Talente &amp; Stuff'!BI:CJ,4,FALSE)</f>
        <v>0</v>
      </c>
      <c r="G411" s="118">
        <f>VLOOKUP(C411,'Talente &amp; Stuff'!BI:CJ,5,FALSE)</f>
        <v>0</v>
      </c>
      <c r="H411" s="118">
        <f>VLOOKUP(C411,'Talente &amp; Stuff'!BI:CJ,6,FALSE)</f>
        <v>0</v>
      </c>
      <c r="I411" s="118">
        <f>VLOOKUP(C411,'Talente &amp; Stuff'!BI:CJ,7,FALSE)</f>
        <v>0</v>
      </c>
      <c r="J411" s="118">
        <f>VLOOKUP(C411,'Talente &amp; Stuff'!BI:CJ,8,FALSE)</f>
        <v>0</v>
      </c>
      <c r="K411" s="118">
        <f>VLOOKUP(C411,'Talente &amp; Stuff'!BI:CJ,9,FALSE)</f>
        <v>0</v>
      </c>
      <c r="L411" s="118">
        <f>VLOOKUP(C411,'Talente &amp; Stuff'!BI:CJ,10,FALSE)</f>
        <v>0</v>
      </c>
      <c r="M411" s="92">
        <f>VLOOKUP(C411,'Talente &amp; Stuff'!BI:CJ,11,FALSE)</f>
        <v>0</v>
      </c>
      <c r="N411" s="116">
        <f>VLOOKUP(C411,'Talente &amp; Stuff'!BI:CJ,12,FALSE)</f>
        <v>0</v>
      </c>
      <c r="O411" s="116">
        <f>VLOOKUP(C411,'Talente &amp; Stuff'!BI:CJ,13,FALSE)</f>
        <v>0</v>
      </c>
      <c r="P411" s="118">
        <f>VLOOKUP(C411,'Talente &amp; Stuff'!BI:CJ,14,FALSE)</f>
        <v>0</v>
      </c>
      <c r="Q411" s="191">
        <f>VLOOKUP(C411,'Talente &amp; Stuff'!BI:CJ,15,FALSE)</f>
        <v>0</v>
      </c>
      <c r="R411" s="118">
        <f>VLOOKUP(C411,'Talente &amp; Stuff'!BI:CJ,16,FALSE)</f>
        <v>0</v>
      </c>
      <c r="S411" s="92">
        <f>VLOOKUP(C411,'Talente &amp; Stuff'!BI:CJ,17,FALSE)</f>
        <v>0</v>
      </c>
      <c r="T411" s="91">
        <f>VLOOKUP(C411,'Talente &amp; Stuff'!BI:CJ,18,FALSE)</f>
        <v>0</v>
      </c>
      <c r="U411" s="193">
        <f>VLOOKUP(C411,'Talente &amp; Stuff'!BI:CJ,19,FALSE)</f>
        <v>0</v>
      </c>
      <c r="V411" s="116">
        <f>VLOOKUP(C411,'Talente &amp; Stuff'!BI:CJ,20,FALSE)</f>
        <v>0</v>
      </c>
      <c r="W411" s="126">
        <f>VLOOKUP(C411,'Talente &amp; Stuff'!BI:CJ,21,FALSE)</f>
        <v>0</v>
      </c>
      <c r="X411" s="126">
        <f>VLOOKUP(C411,'Talente &amp; Stuff'!BI:CJ,22,FALSE)</f>
        <v>0</v>
      </c>
      <c r="Y411" s="165">
        <f t="shared" ref="Y411:Y417" si="32">VLOOKUP(C411,Ausgewählte_Liturgien_Hesinde,81,FALSE)</f>
        <v>0</v>
      </c>
      <c r="Z411" s="44">
        <f t="shared" ref="Z411:Z417" si="33">VLOOKUP(C411,Ausgewählte_Liturgien_Hesinde,82,FALSE)</f>
        <v>0</v>
      </c>
      <c r="AA411" s="158">
        <f>VLOOKUP(C411,'Talente &amp; Stuff'!BI:CJ,25,FALSE)</f>
        <v>0</v>
      </c>
      <c r="AB411" s="91">
        <f>VLOOKUP(C411,'Talente &amp; Stuff'!BI:CJ,26,FALSE)</f>
        <v>0</v>
      </c>
      <c r="AC411" s="126">
        <f>VLOOKUP(C411,'Talente &amp; Stuff'!BI:CJ,27,FALSE)</f>
        <v>0</v>
      </c>
      <c r="AD411" s="158">
        <f>VLOOKUP(C411,'Talente &amp; Stuff'!BI:CJ,28,FALSE)</f>
        <v>0</v>
      </c>
      <c r="AE411" s="28"/>
    </row>
    <row r="412" spans="2:31" ht="15" hidden="1" customHeight="1" outlineLevel="2">
      <c r="B412" s="148">
        <v>2</v>
      </c>
      <c r="C412" s="177" t="str">
        <f>Attribute!C412</f>
        <v>---</v>
      </c>
      <c r="D412" s="125" t="str">
        <f>VLOOKUP(C412,'Talente &amp; Stuff'!BI:CJ,2,FALSE)</f>
        <v>--/--/--</v>
      </c>
      <c r="E412" s="47" t="str">
        <f>VLOOKUP(C412,'Talente &amp; Stuff'!BI:CJ,3,FALSE)</f>
        <v>-</v>
      </c>
      <c r="F412" s="114">
        <f>VLOOKUP(C412,'Talente &amp; Stuff'!BI:CJ,4,FALSE)</f>
        <v>0</v>
      </c>
      <c r="G412" s="113">
        <f>VLOOKUP(C412,'Talente &amp; Stuff'!BI:CJ,5,FALSE)</f>
        <v>0</v>
      </c>
      <c r="H412" s="113">
        <f>VLOOKUP(C412,'Talente &amp; Stuff'!BI:CJ,6,FALSE)</f>
        <v>0</v>
      </c>
      <c r="I412" s="113">
        <f>VLOOKUP(C412,'Talente &amp; Stuff'!BI:CJ,7,FALSE)</f>
        <v>0</v>
      </c>
      <c r="J412" s="113">
        <f>VLOOKUP(C412,'Talente &amp; Stuff'!BI:CJ,8,FALSE)</f>
        <v>0</v>
      </c>
      <c r="K412" s="113">
        <f>VLOOKUP(C412,'Talente &amp; Stuff'!BI:CJ,9,FALSE)</f>
        <v>0</v>
      </c>
      <c r="L412" s="113">
        <f>VLOOKUP(C412,'Talente &amp; Stuff'!BI:CJ,10,FALSE)</f>
        <v>0</v>
      </c>
      <c r="M412" s="119">
        <f>VLOOKUP(C412,'Talente &amp; Stuff'!BI:CJ,11,FALSE)</f>
        <v>0</v>
      </c>
      <c r="N412" s="47">
        <f>VLOOKUP(C412,'Talente &amp; Stuff'!BI:CJ,12,FALSE)</f>
        <v>0</v>
      </c>
      <c r="O412" s="47">
        <f>VLOOKUP(C412,'Talente &amp; Stuff'!BI:CJ,13,FALSE)</f>
        <v>0</v>
      </c>
      <c r="P412" s="113">
        <f>VLOOKUP(C412,'Talente &amp; Stuff'!BI:CJ,14,FALSE)</f>
        <v>0</v>
      </c>
      <c r="Q412" s="114">
        <f>VLOOKUP(C412,'Talente &amp; Stuff'!BI:CJ,15,FALSE)</f>
        <v>0</v>
      </c>
      <c r="R412" s="113">
        <f>VLOOKUP(C412,'Talente &amp; Stuff'!BI:CJ,16,FALSE)</f>
        <v>0</v>
      </c>
      <c r="S412" s="119">
        <f>VLOOKUP(C412,'Talente &amp; Stuff'!BI:CJ,17,FALSE)</f>
        <v>0</v>
      </c>
      <c r="T412" s="160">
        <f>VLOOKUP(C412,'Talente &amp; Stuff'!BI:CJ,18,FALSE)</f>
        <v>0</v>
      </c>
      <c r="U412" s="89">
        <f>VLOOKUP(C412,'Talente &amp; Stuff'!BI:CJ,19,FALSE)</f>
        <v>0</v>
      </c>
      <c r="V412" s="47">
        <f>VLOOKUP(C412,'Talente &amp; Stuff'!BI:CJ,20,FALSE)</f>
        <v>0</v>
      </c>
      <c r="W412" s="127">
        <f>VLOOKUP(C412,'Talente &amp; Stuff'!BI:CJ,21,FALSE)</f>
        <v>0</v>
      </c>
      <c r="X412" s="127">
        <f>VLOOKUP(C412,'Talente &amp; Stuff'!BI:CJ,22,FALSE)</f>
        <v>0</v>
      </c>
      <c r="Y412" s="165">
        <f t="shared" si="32"/>
        <v>0</v>
      </c>
      <c r="Z412" s="44">
        <f t="shared" si="33"/>
        <v>0</v>
      </c>
      <c r="AA412" s="125">
        <f>VLOOKUP(C412,'Talente &amp; Stuff'!BI:CJ,25,FALSE)</f>
        <v>0</v>
      </c>
      <c r="AB412" s="160">
        <f>VLOOKUP(C412,'Talente &amp; Stuff'!BI:CJ,26,FALSE)</f>
        <v>0</v>
      </c>
      <c r="AC412" s="127">
        <f>VLOOKUP(C412,'Talente &amp; Stuff'!BI:CJ,27,FALSE)</f>
        <v>0</v>
      </c>
      <c r="AD412" s="125">
        <f>VLOOKUP(C412,'Talente &amp; Stuff'!BI:CJ,28,FALSE)</f>
        <v>0</v>
      </c>
      <c r="AE412" s="28"/>
    </row>
    <row r="413" spans="2:31" ht="15" hidden="1" customHeight="1" outlineLevel="2">
      <c r="B413" s="148">
        <v>3</v>
      </c>
      <c r="C413" s="177" t="str">
        <f>Attribute!C413</f>
        <v>---</v>
      </c>
      <c r="D413" s="125" t="str">
        <f>VLOOKUP(C413,'Talente &amp; Stuff'!BI:CJ,2,FALSE)</f>
        <v>--/--/--</v>
      </c>
      <c r="E413" s="47" t="str">
        <f>VLOOKUP(C413,'Talente &amp; Stuff'!BI:CJ,3,FALSE)</f>
        <v>-</v>
      </c>
      <c r="F413" s="114">
        <f>VLOOKUP(C413,'Talente &amp; Stuff'!BI:CJ,4,FALSE)</f>
        <v>0</v>
      </c>
      <c r="G413" s="113">
        <f>VLOOKUP(C413,'Talente &amp; Stuff'!BI:CJ,5,FALSE)</f>
        <v>0</v>
      </c>
      <c r="H413" s="113">
        <f>VLOOKUP(C413,'Talente &amp; Stuff'!BI:CJ,6,FALSE)</f>
        <v>0</v>
      </c>
      <c r="I413" s="113">
        <f>VLOOKUP(C413,'Talente &amp; Stuff'!BI:CJ,7,FALSE)</f>
        <v>0</v>
      </c>
      <c r="J413" s="113">
        <f>VLOOKUP(C413,'Talente &amp; Stuff'!BI:CJ,8,FALSE)</f>
        <v>0</v>
      </c>
      <c r="K413" s="113">
        <f>VLOOKUP(C413,'Talente &amp; Stuff'!BI:CJ,9,FALSE)</f>
        <v>0</v>
      </c>
      <c r="L413" s="113">
        <f>VLOOKUP(C413,'Talente &amp; Stuff'!BI:CJ,10,FALSE)</f>
        <v>0</v>
      </c>
      <c r="M413" s="119">
        <f>VLOOKUP(C413,'Talente &amp; Stuff'!BI:CJ,11,FALSE)</f>
        <v>0</v>
      </c>
      <c r="N413" s="47">
        <f>VLOOKUP(C413,'Talente &amp; Stuff'!BI:CJ,12,FALSE)</f>
        <v>0</v>
      </c>
      <c r="O413" s="47">
        <f>VLOOKUP(C413,'Talente &amp; Stuff'!BI:CJ,13,FALSE)</f>
        <v>0</v>
      </c>
      <c r="P413" s="113">
        <f>VLOOKUP(C413,'Talente &amp; Stuff'!BI:CJ,14,FALSE)</f>
        <v>0</v>
      </c>
      <c r="Q413" s="114">
        <f>VLOOKUP(C413,'Talente &amp; Stuff'!BI:CJ,15,FALSE)</f>
        <v>0</v>
      </c>
      <c r="R413" s="113">
        <f>VLOOKUP(C413,'Talente &amp; Stuff'!BI:CJ,16,FALSE)</f>
        <v>0</v>
      </c>
      <c r="S413" s="119">
        <f>VLOOKUP(C413,'Talente &amp; Stuff'!BI:CJ,17,FALSE)</f>
        <v>0</v>
      </c>
      <c r="T413" s="160">
        <f>VLOOKUP(C413,'Talente &amp; Stuff'!BI:CJ,18,FALSE)</f>
        <v>0</v>
      </c>
      <c r="U413" s="89">
        <f>VLOOKUP(C413,'Talente &amp; Stuff'!BI:CJ,19,FALSE)</f>
        <v>0</v>
      </c>
      <c r="V413" s="47">
        <f>VLOOKUP(C413,'Talente &amp; Stuff'!BI:CJ,20,FALSE)</f>
        <v>0</v>
      </c>
      <c r="W413" s="127">
        <f>VLOOKUP(C413,'Talente &amp; Stuff'!BI:CJ,21,FALSE)</f>
        <v>0</v>
      </c>
      <c r="X413" s="127">
        <f>VLOOKUP(C413,'Talente &amp; Stuff'!BI:CJ,22,FALSE)</f>
        <v>0</v>
      </c>
      <c r="Y413" s="165">
        <f t="shared" si="32"/>
        <v>0</v>
      </c>
      <c r="Z413" s="44">
        <f t="shared" si="33"/>
        <v>0</v>
      </c>
      <c r="AA413" s="125">
        <f>VLOOKUP(C413,'Talente &amp; Stuff'!BI:CJ,25,FALSE)</f>
        <v>0</v>
      </c>
      <c r="AB413" s="160">
        <f>VLOOKUP(C413,'Talente &amp; Stuff'!BI:CJ,26,FALSE)</f>
        <v>0</v>
      </c>
      <c r="AC413" s="127">
        <f>VLOOKUP(C413,'Talente &amp; Stuff'!BI:CJ,27,FALSE)</f>
        <v>0</v>
      </c>
      <c r="AD413" s="125">
        <f>VLOOKUP(C413,'Talente &amp; Stuff'!BI:CJ,28,FALSE)</f>
        <v>0</v>
      </c>
      <c r="AE413" s="28"/>
    </row>
    <row r="414" spans="2:31" ht="15" hidden="1" customHeight="1" outlineLevel="2">
      <c r="B414" s="148">
        <v>4</v>
      </c>
      <c r="C414" s="177" t="str">
        <f>Attribute!C414</f>
        <v>---</v>
      </c>
      <c r="D414" s="125" t="str">
        <f>VLOOKUP(C414,'Talente &amp; Stuff'!BI:CJ,2,FALSE)</f>
        <v>--/--/--</v>
      </c>
      <c r="E414" s="47" t="str">
        <f>VLOOKUP(C414,'Talente &amp; Stuff'!BI:CJ,3,FALSE)</f>
        <v>-</v>
      </c>
      <c r="F414" s="114">
        <f>VLOOKUP(C414,'Talente &amp; Stuff'!BI:CJ,4,FALSE)</f>
        <v>0</v>
      </c>
      <c r="G414" s="113">
        <f>VLOOKUP(C414,'Talente &amp; Stuff'!BI:CJ,5,FALSE)</f>
        <v>0</v>
      </c>
      <c r="H414" s="113">
        <f>VLOOKUP(C414,'Talente &amp; Stuff'!BI:CJ,6,FALSE)</f>
        <v>0</v>
      </c>
      <c r="I414" s="113">
        <f>VLOOKUP(C414,'Talente &amp; Stuff'!BI:CJ,7,FALSE)</f>
        <v>0</v>
      </c>
      <c r="J414" s="113">
        <f>VLOOKUP(C414,'Talente &amp; Stuff'!BI:CJ,8,FALSE)</f>
        <v>0</v>
      </c>
      <c r="K414" s="113">
        <f>VLOOKUP(C414,'Talente &amp; Stuff'!BI:CJ,9,FALSE)</f>
        <v>0</v>
      </c>
      <c r="L414" s="113">
        <f>VLOOKUP(C414,'Talente &amp; Stuff'!BI:CJ,10,FALSE)</f>
        <v>0</v>
      </c>
      <c r="M414" s="119">
        <f>VLOOKUP(C414,'Talente &amp; Stuff'!BI:CJ,11,FALSE)</f>
        <v>0</v>
      </c>
      <c r="N414" s="47">
        <f>VLOOKUP(C414,'Talente &amp; Stuff'!BI:CJ,12,FALSE)</f>
        <v>0</v>
      </c>
      <c r="O414" s="47">
        <f>VLOOKUP(C414,'Talente &amp; Stuff'!BI:CJ,13,FALSE)</f>
        <v>0</v>
      </c>
      <c r="P414" s="113">
        <f>VLOOKUP(C414,'Talente &amp; Stuff'!BI:CJ,14,FALSE)</f>
        <v>0</v>
      </c>
      <c r="Q414" s="114">
        <f>VLOOKUP(C414,'Talente &amp; Stuff'!BI:CJ,15,FALSE)</f>
        <v>0</v>
      </c>
      <c r="R414" s="113">
        <f>VLOOKUP(C414,'Talente &amp; Stuff'!BI:CJ,16,FALSE)</f>
        <v>0</v>
      </c>
      <c r="S414" s="119">
        <f>VLOOKUP(C414,'Talente &amp; Stuff'!BI:CJ,17,FALSE)</f>
        <v>0</v>
      </c>
      <c r="T414" s="160">
        <f>VLOOKUP(C414,'Talente &amp; Stuff'!BI:CJ,18,FALSE)</f>
        <v>0</v>
      </c>
      <c r="U414" s="89">
        <f>VLOOKUP(C414,'Talente &amp; Stuff'!BI:CJ,19,FALSE)</f>
        <v>0</v>
      </c>
      <c r="V414" s="47">
        <f>VLOOKUP(C414,'Talente &amp; Stuff'!BI:CJ,20,FALSE)</f>
        <v>0</v>
      </c>
      <c r="W414" s="127">
        <f>VLOOKUP(C414,'Talente &amp; Stuff'!BI:CJ,21,FALSE)</f>
        <v>0</v>
      </c>
      <c r="X414" s="127">
        <f>VLOOKUP(C414,'Talente &amp; Stuff'!BI:CJ,22,FALSE)</f>
        <v>0</v>
      </c>
      <c r="Y414" s="165">
        <f t="shared" si="32"/>
        <v>0</v>
      </c>
      <c r="Z414" s="44">
        <f t="shared" si="33"/>
        <v>0</v>
      </c>
      <c r="AA414" s="125">
        <f>VLOOKUP(C414,'Talente &amp; Stuff'!BI:CJ,25,FALSE)</f>
        <v>0</v>
      </c>
      <c r="AB414" s="160">
        <f>VLOOKUP(C414,'Talente &amp; Stuff'!BI:CJ,26,FALSE)</f>
        <v>0</v>
      </c>
      <c r="AC414" s="127">
        <f>VLOOKUP(C414,'Talente &amp; Stuff'!BI:CJ,27,FALSE)</f>
        <v>0</v>
      </c>
      <c r="AD414" s="125">
        <f>VLOOKUP(C414,'Talente &amp; Stuff'!BI:CJ,28,FALSE)</f>
        <v>0</v>
      </c>
      <c r="AE414" s="28"/>
    </row>
    <row r="415" spans="2:31" ht="15" hidden="1" customHeight="1" outlineLevel="2">
      <c r="B415" s="148">
        <v>5</v>
      </c>
      <c r="C415" s="177" t="str">
        <f>Attribute!C415</f>
        <v>---</v>
      </c>
      <c r="D415" s="125" t="str">
        <f>VLOOKUP(C415,'Talente &amp; Stuff'!BI:CJ,2,FALSE)</f>
        <v>--/--/--</v>
      </c>
      <c r="E415" s="47" t="str">
        <f>VLOOKUP(C415,'Talente &amp; Stuff'!BI:CJ,3,FALSE)</f>
        <v>-</v>
      </c>
      <c r="F415" s="114">
        <f>VLOOKUP(C415,'Talente &amp; Stuff'!BI:CJ,4,FALSE)</f>
        <v>0</v>
      </c>
      <c r="G415" s="113">
        <f>VLOOKUP(C415,'Talente &amp; Stuff'!BI:CJ,5,FALSE)</f>
        <v>0</v>
      </c>
      <c r="H415" s="113">
        <f>VLOOKUP(C415,'Talente &amp; Stuff'!BI:CJ,6,FALSE)</f>
        <v>0</v>
      </c>
      <c r="I415" s="113">
        <f>VLOOKUP(C415,'Talente &amp; Stuff'!BI:CJ,7,FALSE)</f>
        <v>0</v>
      </c>
      <c r="J415" s="113">
        <f>VLOOKUP(C415,'Talente &amp; Stuff'!BI:CJ,8,FALSE)</f>
        <v>0</v>
      </c>
      <c r="K415" s="113">
        <f>VLOOKUP(C415,'Talente &amp; Stuff'!BI:CJ,9,FALSE)</f>
        <v>0</v>
      </c>
      <c r="L415" s="113">
        <f>VLOOKUP(C415,'Talente &amp; Stuff'!BI:CJ,10,FALSE)</f>
        <v>0</v>
      </c>
      <c r="M415" s="119">
        <f>VLOOKUP(C415,'Talente &amp; Stuff'!BI:CJ,11,FALSE)</f>
        <v>0</v>
      </c>
      <c r="N415" s="47">
        <f>VLOOKUP(C415,'Talente &amp; Stuff'!BI:CJ,12,FALSE)</f>
        <v>0</v>
      </c>
      <c r="O415" s="47">
        <f>VLOOKUP(C415,'Talente &amp; Stuff'!BI:CJ,13,FALSE)</f>
        <v>0</v>
      </c>
      <c r="P415" s="113">
        <f>VLOOKUP(C415,'Talente &amp; Stuff'!BI:CJ,14,FALSE)</f>
        <v>0</v>
      </c>
      <c r="Q415" s="114">
        <f>VLOOKUP(C415,'Talente &amp; Stuff'!BI:CJ,15,FALSE)</f>
        <v>0</v>
      </c>
      <c r="R415" s="113">
        <f>VLOOKUP(C415,'Talente &amp; Stuff'!BI:CJ,16,FALSE)</f>
        <v>0</v>
      </c>
      <c r="S415" s="119">
        <f>VLOOKUP(C415,'Talente &amp; Stuff'!BI:CJ,17,FALSE)</f>
        <v>0</v>
      </c>
      <c r="T415" s="160">
        <f>VLOOKUP(C415,'Talente &amp; Stuff'!BI:CJ,18,FALSE)</f>
        <v>0</v>
      </c>
      <c r="U415" s="89">
        <f>VLOOKUP(C415,'Talente &amp; Stuff'!BI:CJ,19,FALSE)</f>
        <v>0</v>
      </c>
      <c r="V415" s="47">
        <f>VLOOKUP(C415,'Talente &amp; Stuff'!BI:CJ,20,FALSE)</f>
        <v>0</v>
      </c>
      <c r="W415" s="127">
        <f>VLOOKUP(C415,'Talente &amp; Stuff'!BI:CJ,21,FALSE)</f>
        <v>0</v>
      </c>
      <c r="X415" s="127">
        <f>VLOOKUP(C415,'Talente &amp; Stuff'!BI:CJ,22,FALSE)</f>
        <v>0</v>
      </c>
      <c r="Y415" s="165">
        <f t="shared" si="32"/>
        <v>0</v>
      </c>
      <c r="Z415" s="44">
        <f t="shared" si="33"/>
        <v>0</v>
      </c>
      <c r="AA415" s="125">
        <f>VLOOKUP(C415,'Talente &amp; Stuff'!BI:CJ,25,FALSE)</f>
        <v>0</v>
      </c>
      <c r="AB415" s="160">
        <f>VLOOKUP(C415,'Talente &amp; Stuff'!BI:CJ,26,FALSE)</f>
        <v>0</v>
      </c>
      <c r="AC415" s="127">
        <f>VLOOKUP(C415,'Talente &amp; Stuff'!BI:CJ,27,FALSE)</f>
        <v>0</v>
      </c>
      <c r="AD415" s="125">
        <f>VLOOKUP(C415,'Talente &amp; Stuff'!BI:CJ,28,FALSE)</f>
        <v>0</v>
      </c>
      <c r="AE415" s="28"/>
    </row>
    <row r="416" spans="2:31" ht="15" hidden="1" customHeight="1" outlineLevel="2">
      <c r="B416" s="148">
        <v>6</v>
      </c>
      <c r="C416" s="177" t="str">
        <f>Attribute!C416</f>
        <v>---</v>
      </c>
      <c r="D416" s="125" t="str">
        <f>VLOOKUP(C416,'Talente &amp; Stuff'!BI:CJ,2,FALSE)</f>
        <v>--/--/--</v>
      </c>
      <c r="E416" s="47" t="str">
        <f>VLOOKUP(C416,'Talente &amp; Stuff'!BI:CJ,3,FALSE)</f>
        <v>-</v>
      </c>
      <c r="F416" s="114">
        <f>VLOOKUP(C416,'Talente &amp; Stuff'!BI:CJ,4,FALSE)</f>
        <v>0</v>
      </c>
      <c r="G416" s="113">
        <f>VLOOKUP(C416,'Talente &amp; Stuff'!BI:CJ,5,FALSE)</f>
        <v>0</v>
      </c>
      <c r="H416" s="113">
        <f>VLOOKUP(C416,'Talente &amp; Stuff'!BI:CJ,6,FALSE)</f>
        <v>0</v>
      </c>
      <c r="I416" s="113">
        <f>VLOOKUP(C416,'Talente &amp; Stuff'!BI:CJ,7,FALSE)</f>
        <v>0</v>
      </c>
      <c r="J416" s="113">
        <f>VLOOKUP(C416,'Talente &amp; Stuff'!BI:CJ,8,FALSE)</f>
        <v>0</v>
      </c>
      <c r="K416" s="113">
        <f>VLOOKUP(C416,'Talente &amp; Stuff'!BI:CJ,9,FALSE)</f>
        <v>0</v>
      </c>
      <c r="L416" s="113">
        <f>VLOOKUP(C416,'Talente &amp; Stuff'!BI:CJ,10,FALSE)</f>
        <v>0</v>
      </c>
      <c r="M416" s="119">
        <f>VLOOKUP(C416,'Talente &amp; Stuff'!BI:CJ,11,FALSE)</f>
        <v>0</v>
      </c>
      <c r="N416" s="47">
        <f>VLOOKUP(C416,'Talente &amp; Stuff'!BI:CJ,12,FALSE)</f>
        <v>0</v>
      </c>
      <c r="O416" s="47">
        <f>VLOOKUP(C416,'Talente &amp; Stuff'!BI:CJ,13,FALSE)</f>
        <v>0</v>
      </c>
      <c r="P416" s="113">
        <f>VLOOKUP(C416,'Talente &amp; Stuff'!BI:CJ,14,FALSE)</f>
        <v>0</v>
      </c>
      <c r="Q416" s="114">
        <f>VLOOKUP(C416,'Talente &amp; Stuff'!BI:CJ,15,FALSE)</f>
        <v>0</v>
      </c>
      <c r="R416" s="113">
        <f>VLOOKUP(C416,'Talente &amp; Stuff'!BI:CJ,16,FALSE)</f>
        <v>0</v>
      </c>
      <c r="S416" s="119">
        <f>VLOOKUP(C416,'Talente &amp; Stuff'!BI:CJ,17,FALSE)</f>
        <v>0</v>
      </c>
      <c r="T416" s="160">
        <f>VLOOKUP(C416,'Talente &amp; Stuff'!BI:CJ,18,FALSE)</f>
        <v>0</v>
      </c>
      <c r="U416" s="89">
        <f>VLOOKUP(C416,'Talente &amp; Stuff'!BI:CJ,19,FALSE)</f>
        <v>0</v>
      </c>
      <c r="V416" s="47">
        <f>VLOOKUP(C416,'Talente &amp; Stuff'!BI:CJ,20,FALSE)</f>
        <v>0</v>
      </c>
      <c r="W416" s="127">
        <f>VLOOKUP(C416,'Talente &amp; Stuff'!BI:CJ,21,FALSE)</f>
        <v>0</v>
      </c>
      <c r="X416" s="127">
        <f>VLOOKUP(C416,'Talente &amp; Stuff'!BI:CJ,22,FALSE)</f>
        <v>0</v>
      </c>
      <c r="Y416" s="165">
        <f t="shared" si="32"/>
        <v>0</v>
      </c>
      <c r="Z416" s="44">
        <f t="shared" si="33"/>
        <v>0</v>
      </c>
      <c r="AA416" s="125">
        <f>VLOOKUP(C416,'Talente &amp; Stuff'!BI:CJ,25,FALSE)</f>
        <v>0</v>
      </c>
      <c r="AB416" s="160">
        <f>VLOOKUP(C416,'Talente &amp; Stuff'!BI:CJ,26,FALSE)</f>
        <v>0</v>
      </c>
      <c r="AC416" s="127">
        <f>VLOOKUP(C416,'Talente &amp; Stuff'!BI:CJ,27,FALSE)</f>
        <v>0</v>
      </c>
      <c r="AD416" s="125">
        <f>VLOOKUP(C416,'Talente &amp; Stuff'!BI:CJ,28,FALSE)</f>
        <v>0</v>
      </c>
      <c r="AE416" s="28"/>
    </row>
    <row r="417" spans="2:31" ht="15" hidden="1" customHeight="1" outlineLevel="2">
      <c r="B417" s="148">
        <v>7</v>
      </c>
      <c r="C417" s="178" t="str">
        <f>Attribute!C417</f>
        <v>---</v>
      </c>
      <c r="D417" s="159" t="str">
        <f>VLOOKUP(C417,'Talente &amp; Stuff'!BI:CJ,2,FALSE)</f>
        <v>--/--/--</v>
      </c>
      <c r="E417" s="88" t="str">
        <f>VLOOKUP(C417,'Talente &amp; Stuff'!BI:CJ,3,FALSE)</f>
        <v>-</v>
      </c>
      <c r="F417" s="115">
        <f>VLOOKUP(C417,'Talente &amp; Stuff'!BI:CJ,4,FALSE)</f>
        <v>0</v>
      </c>
      <c r="G417" s="122">
        <f>VLOOKUP(C417,'Talente &amp; Stuff'!BI:CJ,5,FALSE)</f>
        <v>0</v>
      </c>
      <c r="H417" s="122">
        <f>VLOOKUP(C417,'Talente &amp; Stuff'!BI:CJ,6,FALSE)</f>
        <v>0</v>
      </c>
      <c r="I417" s="122">
        <f>VLOOKUP(C417,'Talente &amp; Stuff'!BI:CJ,7,FALSE)</f>
        <v>0</v>
      </c>
      <c r="J417" s="122">
        <f>VLOOKUP(C417,'Talente &amp; Stuff'!BI:CJ,8,FALSE)</f>
        <v>0</v>
      </c>
      <c r="K417" s="122">
        <f>VLOOKUP(C417,'Talente &amp; Stuff'!BI:CJ,9,FALSE)</f>
        <v>0</v>
      </c>
      <c r="L417" s="122">
        <f>VLOOKUP(C417,'Talente &amp; Stuff'!BI:CJ,10,FALSE)</f>
        <v>0</v>
      </c>
      <c r="M417" s="123">
        <f>VLOOKUP(C417,'Talente &amp; Stuff'!BI:CJ,11,FALSE)</f>
        <v>0</v>
      </c>
      <c r="N417" s="88">
        <f>VLOOKUP(C417,'Talente &amp; Stuff'!BI:CJ,12,FALSE)</f>
        <v>0</v>
      </c>
      <c r="O417" s="88">
        <f>VLOOKUP(C417,'Talente &amp; Stuff'!BI:CJ,13,FALSE)</f>
        <v>0</v>
      </c>
      <c r="P417" s="122">
        <f>VLOOKUP(C417,'Talente &amp; Stuff'!BI:CJ,14,FALSE)</f>
        <v>0</v>
      </c>
      <c r="Q417" s="115">
        <f>VLOOKUP(C417,'Talente &amp; Stuff'!BI:CJ,15,FALSE)</f>
        <v>0</v>
      </c>
      <c r="R417" s="122">
        <f>VLOOKUP(C417,'Talente &amp; Stuff'!BI:CJ,16,FALSE)</f>
        <v>0</v>
      </c>
      <c r="S417" s="123">
        <f>VLOOKUP(C417,'Talente &amp; Stuff'!BI:CJ,17,FALSE)</f>
        <v>0</v>
      </c>
      <c r="T417" s="161">
        <f>VLOOKUP(C417,'Talente &amp; Stuff'!BI:CJ,18,FALSE)</f>
        <v>0</v>
      </c>
      <c r="U417" s="90">
        <f>VLOOKUP(C417,'Talente &amp; Stuff'!BI:CJ,19,FALSE)</f>
        <v>0</v>
      </c>
      <c r="V417" s="88">
        <f>VLOOKUP(C417,'Talente &amp; Stuff'!BI:CJ,20,FALSE)</f>
        <v>0</v>
      </c>
      <c r="W417" s="128">
        <f>VLOOKUP(C417,'Talente &amp; Stuff'!BI:CJ,21,FALSE)</f>
        <v>0</v>
      </c>
      <c r="X417" s="128">
        <f>VLOOKUP(C417,'Talente &amp; Stuff'!BI:CJ,22,FALSE)</f>
        <v>0</v>
      </c>
      <c r="Y417" s="165">
        <f t="shared" si="32"/>
        <v>0</v>
      </c>
      <c r="Z417" s="44">
        <f t="shared" si="33"/>
        <v>0</v>
      </c>
      <c r="AA417" s="159">
        <f>VLOOKUP(C417,'Talente &amp; Stuff'!BI:CJ,25,FALSE)</f>
        <v>0</v>
      </c>
      <c r="AB417" s="161">
        <f>VLOOKUP(C417,'Talente &amp; Stuff'!BI:CJ,26,FALSE)</f>
        <v>0</v>
      </c>
      <c r="AC417" s="128">
        <f>VLOOKUP(C417,'Talente &amp; Stuff'!BI:CJ,27,FALSE)</f>
        <v>0</v>
      </c>
      <c r="AD417" s="159">
        <f>VLOOKUP(C417,'Talente &amp; Stuff'!BI:CJ,28,FALSE)</f>
        <v>0</v>
      </c>
      <c r="AE417" s="28"/>
    </row>
    <row r="418" spans="2:31" ht="15" hidden="1" customHeight="1" outlineLevel="1" collapsed="1">
      <c r="B418" s="134" t="s">
        <v>324</v>
      </c>
      <c r="C418" s="83"/>
      <c r="D418" s="84"/>
      <c r="E418" s="84"/>
    </row>
    <row r="419" spans="2:31" ht="15" hidden="1" customHeight="1" outlineLevel="2">
      <c r="B419" s="148">
        <v>1</v>
      </c>
      <c r="C419" s="176" t="str">
        <f>Attribute!C419</f>
        <v>---</v>
      </c>
      <c r="D419" s="158" t="str">
        <f>VLOOKUP(C419,'Talente &amp; Stuff'!BI:CJ,2,FALSE)</f>
        <v>--/--/--</v>
      </c>
      <c r="E419" s="116" t="str">
        <f>VLOOKUP(C419,'Talente &amp; Stuff'!BI:CJ,3,FALSE)</f>
        <v>-</v>
      </c>
      <c r="F419" s="191">
        <f>VLOOKUP(C419,'Talente &amp; Stuff'!BI:CJ,4,FALSE)</f>
        <v>0</v>
      </c>
      <c r="G419" s="118">
        <f>VLOOKUP(C419,'Talente &amp; Stuff'!BI:CJ,5,FALSE)</f>
        <v>0</v>
      </c>
      <c r="H419" s="118">
        <f>VLOOKUP(C419,'Talente &amp; Stuff'!BI:CJ,6,FALSE)</f>
        <v>0</v>
      </c>
      <c r="I419" s="118">
        <f>VLOOKUP(C419,'Talente &amp; Stuff'!BI:CJ,7,FALSE)</f>
        <v>0</v>
      </c>
      <c r="J419" s="118">
        <f>VLOOKUP(C419,'Talente &amp; Stuff'!BI:CJ,8,FALSE)</f>
        <v>0</v>
      </c>
      <c r="K419" s="118">
        <f>VLOOKUP(C419,'Talente &amp; Stuff'!BI:CJ,9,FALSE)</f>
        <v>0</v>
      </c>
      <c r="L419" s="118">
        <f>VLOOKUP(C419,'Talente &amp; Stuff'!BI:CJ,10,FALSE)</f>
        <v>0</v>
      </c>
      <c r="M419" s="92">
        <f>VLOOKUP(C419,'Talente &amp; Stuff'!BI:CJ,11,FALSE)</f>
        <v>0</v>
      </c>
      <c r="N419" s="116">
        <f>VLOOKUP(C419,'Talente &amp; Stuff'!BI:CJ,12,FALSE)</f>
        <v>0</v>
      </c>
      <c r="O419" s="116">
        <f>VLOOKUP(C419,'Talente &amp; Stuff'!BI:CJ,13,FALSE)</f>
        <v>0</v>
      </c>
      <c r="P419" s="118">
        <f>VLOOKUP(C419,'Talente &amp; Stuff'!BI:CJ,14,FALSE)</f>
        <v>0</v>
      </c>
      <c r="Q419" s="191">
        <f>VLOOKUP(C419,'Talente &amp; Stuff'!BI:CJ,15,FALSE)</f>
        <v>0</v>
      </c>
      <c r="R419" s="118">
        <f>VLOOKUP(C419,'Talente &amp; Stuff'!BI:CJ,16,FALSE)</f>
        <v>0</v>
      </c>
      <c r="S419" s="92">
        <f>VLOOKUP(C419,'Talente &amp; Stuff'!BI:CJ,17,FALSE)</f>
        <v>0</v>
      </c>
      <c r="T419" s="91">
        <f>VLOOKUP(C419,'Talente &amp; Stuff'!BI:CJ,18,FALSE)</f>
        <v>0</v>
      </c>
      <c r="U419" s="193">
        <f>VLOOKUP(C419,'Talente &amp; Stuff'!BI:CJ,19,FALSE)</f>
        <v>0</v>
      </c>
      <c r="V419" s="116">
        <f>VLOOKUP(C419,'Talente &amp; Stuff'!BI:CJ,20,FALSE)</f>
        <v>0</v>
      </c>
      <c r="W419" s="126">
        <f>VLOOKUP(C419,'Talente &amp; Stuff'!BI:CJ,21,FALSE)</f>
        <v>0</v>
      </c>
      <c r="X419" s="126">
        <f>VLOOKUP(C419,'Talente &amp; Stuff'!BI:CJ,22,FALSE)</f>
        <v>0</v>
      </c>
      <c r="Y419" s="165">
        <f>VLOOKUP(C419,Ausgewählte_Liturgien_Peraine,81,FALSE)</f>
        <v>0</v>
      </c>
      <c r="Z419" s="44">
        <f>VLOOKUP(C419,Ausgewählte_Liturgien_Peraine,82,FALSE)</f>
        <v>0</v>
      </c>
      <c r="AA419" s="158">
        <f>VLOOKUP(C419,'Talente &amp; Stuff'!BI:CJ,25,FALSE)</f>
        <v>0</v>
      </c>
      <c r="AB419" s="91">
        <f>VLOOKUP(C419,'Talente &amp; Stuff'!BI:CJ,26,FALSE)</f>
        <v>0</v>
      </c>
      <c r="AC419" s="126">
        <f>VLOOKUP(C419,'Talente &amp; Stuff'!BI:CJ,27,FALSE)</f>
        <v>0</v>
      </c>
      <c r="AD419" s="158">
        <f>VLOOKUP(C419,'Talente &amp; Stuff'!BI:CJ,28,FALSE)</f>
        <v>0</v>
      </c>
      <c r="AE419" s="28"/>
    </row>
    <row r="420" spans="2:31" ht="15" hidden="1" customHeight="1" outlineLevel="2">
      <c r="B420" s="148">
        <v>2</v>
      </c>
      <c r="C420" s="177" t="str">
        <f>Attribute!C420</f>
        <v>---</v>
      </c>
      <c r="D420" s="125" t="str">
        <f>VLOOKUP(C420,'Talente &amp; Stuff'!BI:CJ,2,FALSE)</f>
        <v>--/--/--</v>
      </c>
      <c r="E420" s="47" t="str">
        <f>VLOOKUP(C420,'Talente &amp; Stuff'!BI:CJ,3,FALSE)</f>
        <v>-</v>
      </c>
      <c r="F420" s="114">
        <f>VLOOKUP(C420,'Talente &amp; Stuff'!BI:CJ,4,FALSE)</f>
        <v>0</v>
      </c>
      <c r="G420" s="113">
        <f>VLOOKUP(C420,'Talente &amp; Stuff'!BI:CJ,5,FALSE)</f>
        <v>0</v>
      </c>
      <c r="H420" s="113">
        <f>VLOOKUP(C420,'Talente &amp; Stuff'!BI:CJ,6,FALSE)</f>
        <v>0</v>
      </c>
      <c r="I420" s="113">
        <f>VLOOKUP(C420,'Talente &amp; Stuff'!BI:CJ,7,FALSE)</f>
        <v>0</v>
      </c>
      <c r="J420" s="113">
        <f>VLOOKUP(C420,'Talente &amp; Stuff'!BI:CJ,8,FALSE)</f>
        <v>0</v>
      </c>
      <c r="K420" s="113">
        <f>VLOOKUP(C420,'Talente &amp; Stuff'!BI:CJ,9,FALSE)</f>
        <v>0</v>
      </c>
      <c r="L420" s="113">
        <f>VLOOKUP(C420,'Talente &amp; Stuff'!BI:CJ,10,FALSE)</f>
        <v>0</v>
      </c>
      <c r="M420" s="119">
        <f>VLOOKUP(C420,'Talente &amp; Stuff'!BI:CJ,11,FALSE)</f>
        <v>0</v>
      </c>
      <c r="N420" s="47">
        <f>VLOOKUP(C420,'Talente &amp; Stuff'!BI:CJ,12,FALSE)</f>
        <v>0</v>
      </c>
      <c r="O420" s="47">
        <f>VLOOKUP(C420,'Talente &amp; Stuff'!BI:CJ,13,FALSE)</f>
        <v>0</v>
      </c>
      <c r="P420" s="113">
        <f>VLOOKUP(C420,'Talente &amp; Stuff'!BI:CJ,14,FALSE)</f>
        <v>0</v>
      </c>
      <c r="Q420" s="114">
        <f>VLOOKUP(C420,'Talente &amp; Stuff'!BI:CJ,15,FALSE)</f>
        <v>0</v>
      </c>
      <c r="R420" s="113">
        <f>VLOOKUP(C420,'Talente &amp; Stuff'!BI:CJ,16,FALSE)</f>
        <v>0</v>
      </c>
      <c r="S420" s="119">
        <f>VLOOKUP(C420,'Talente &amp; Stuff'!BI:CJ,17,FALSE)</f>
        <v>0</v>
      </c>
      <c r="T420" s="160">
        <f>VLOOKUP(C420,'Talente &amp; Stuff'!BI:CJ,18,FALSE)</f>
        <v>0</v>
      </c>
      <c r="U420" s="89">
        <f>VLOOKUP(C420,'Talente &amp; Stuff'!BI:CJ,19,FALSE)</f>
        <v>0</v>
      </c>
      <c r="V420" s="47">
        <f>VLOOKUP(C420,'Talente &amp; Stuff'!BI:CJ,20,FALSE)</f>
        <v>0</v>
      </c>
      <c r="W420" s="127">
        <f>VLOOKUP(C420,'Talente &amp; Stuff'!BI:CJ,21,FALSE)</f>
        <v>0</v>
      </c>
      <c r="X420" s="127">
        <f>VLOOKUP(C420,'Talente &amp; Stuff'!BI:CJ,22,FALSE)</f>
        <v>0</v>
      </c>
      <c r="Y420" s="165">
        <f>VLOOKUP(C420,Ausgewählte_Liturgien_Peraine,81,FALSE)</f>
        <v>0</v>
      </c>
      <c r="Z420" s="44">
        <f>VLOOKUP(C420,Ausgewählte_Liturgien_Peraine,82,FALSE)</f>
        <v>0</v>
      </c>
      <c r="AA420" s="125">
        <f>VLOOKUP(C420,'Talente &amp; Stuff'!BI:CJ,25,FALSE)</f>
        <v>0</v>
      </c>
      <c r="AB420" s="160">
        <f>VLOOKUP(C420,'Talente &amp; Stuff'!BI:CJ,26,FALSE)</f>
        <v>0</v>
      </c>
      <c r="AC420" s="127">
        <f>VLOOKUP(C420,'Talente &amp; Stuff'!BI:CJ,27,FALSE)</f>
        <v>0</v>
      </c>
      <c r="AD420" s="125">
        <f>VLOOKUP(C420,'Talente &amp; Stuff'!BI:CJ,28,FALSE)</f>
        <v>0</v>
      </c>
      <c r="AE420" s="28"/>
    </row>
    <row r="421" spans="2:31" ht="15" hidden="1" customHeight="1" outlineLevel="2">
      <c r="B421" s="148">
        <v>3</v>
      </c>
      <c r="C421" s="177" t="str">
        <f>Attribute!C421</f>
        <v>---</v>
      </c>
      <c r="D421" s="125" t="str">
        <f>VLOOKUP(C421,'Talente &amp; Stuff'!BI:CJ,2,FALSE)</f>
        <v>--/--/--</v>
      </c>
      <c r="E421" s="47" t="str">
        <f>VLOOKUP(C421,'Talente &amp; Stuff'!BI:CJ,3,FALSE)</f>
        <v>-</v>
      </c>
      <c r="F421" s="114">
        <f>VLOOKUP(C421,'Talente &amp; Stuff'!BI:CJ,4,FALSE)</f>
        <v>0</v>
      </c>
      <c r="G421" s="113">
        <f>VLOOKUP(C421,'Talente &amp; Stuff'!BI:CJ,5,FALSE)</f>
        <v>0</v>
      </c>
      <c r="H421" s="113">
        <f>VLOOKUP(C421,'Talente &amp; Stuff'!BI:CJ,6,FALSE)</f>
        <v>0</v>
      </c>
      <c r="I421" s="113">
        <f>VLOOKUP(C421,'Talente &amp; Stuff'!BI:CJ,7,FALSE)</f>
        <v>0</v>
      </c>
      <c r="J421" s="113">
        <f>VLOOKUP(C421,'Talente &amp; Stuff'!BI:CJ,8,FALSE)</f>
        <v>0</v>
      </c>
      <c r="K421" s="113">
        <f>VLOOKUP(C421,'Talente &amp; Stuff'!BI:CJ,9,FALSE)</f>
        <v>0</v>
      </c>
      <c r="L421" s="113">
        <f>VLOOKUP(C421,'Talente &amp; Stuff'!BI:CJ,10,FALSE)</f>
        <v>0</v>
      </c>
      <c r="M421" s="119">
        <f>VLOOKUP(C421,'Talente &amp; Stuff'!BI:CJ,11,FALSE)</f>
        <v>0</v>
      </c>
      <c r="N421" s="47">
        <f>VLOOKUP(C421,'Talente &amp; Stuff'!BI:CJ,12,FALSE)</f>
        <v>0</v>
      </c>
      <c r="O421" s="47">
        <f>VLOOKUP(C421,'Talente &amp; Stuff'!BI:CJ,13,FALSE)</f>
        <v>0</v>
      </c>
      <c r="P421" s="113">
        <f>VLOOKUP(C421,'Talente &amp; Stuff'!BI:CJ,14,FALSE)</f>
        <v>0</v>
      </c>
      <c r="Q421" s="114">
        <f>VLOOKUP(C421,'Talente &amp; Stuff'!BI:CJ,15,FALSE)</f>
        <v>0</v>
      </c>
      <c r="R421" s="113">
        <f>VLOOKUP(C421,'Talente &amp; Stuff'!BI:CJ,16,FALSE)</f>
        <v>0</v>
      </c>
      <c r="S421" s="119">
        <f>VLOOKUP(C421,'Talente &amp; Stuff'!BI:CJ,17,FALSE)</f>
        <v>0</v>
      </c>
      <c r="T421" s="160">
        <f>VLOOKUP(C421,'Talente &amp; Stuff'!BI:CJ,18,FALSE)</f>
        <v>0</v>
      </c>
      <c r="U421" s="89">
        <f>VLOOKUP(C421,'Talente &amp; Stuff'!BI:CJ,19,FALSE)</f>
        <v>0</v>
      </c>
      <c r="V421" s="47">
        <f>VLOOKUP(C421,'Talente &amp; Stuff'!BI:CJ,20,FALSE)</f>
        <v>0</v>
      </c>
      <c r="W421" s="127">
        <f>VLOOKUP(C421,'Talente &amp; Stuff'!BI:CJ,21,FALSE)</f>
        <v>0</v>
      </c>
      <c r="X421" s="127">
        <f>VLOOKUP(C421,'Talente &amp; Stuff'!BI:CJ,22,FALSE)</f>
        <v>0</v>
      </c>
      <c r="Y421" s="165">
        <f>VLOOKUP(C421,Ausgewählte_Liturgien_Peraine,81,FALSE)</f>
        <v>0</v>
      </c>
      <c r="Z421" s="44">
        <f>VLOOKUP(C421,Ausgewählte_Liturgien_Peraine,82,FALSE)</f>
        <v>0</v>
      </c>
      <c r="AA421" s="125">
        <f>VLOOKUP(C421,'Talente &amp; Stuff'!BI:CJ,25,FALSE)</f>
        <v>0</v>
      </c>
      <c r="AB421" s="160">
        <f>VLOOKUP(C421,'Talente &amp; Stuff'!BI:CJ,26,FALSE)</f>
        <v>0</v>
      </c>
      <c r="AC421" s="127">
        <f>VLOOKUP(C421,'Talente &amp; Stuff'!BI:CJ,27,FALSE)</f>
        <v>0</v>
      </c>
      <c r="AD421" s="125">
        <f>VLOOKUP(C421,'Talente &amp; Stuff'!BI:CJ,28,FALSE)</f>
        <v>0</v>
      </c>
      <c r="AE421" s="28"/>
    </row>
    <row r="422" spans="2:31" ht="15" hidden="1" customHeight="1" outlineLevel="2">
      <c r="B422" s="148">
        <v>4</v>
      </c>
      <c r="C422" s="177" t="str">
        <f>Attribute!C422</f>
        <v>---</v>
      </c>
      <c r="D422" s="125" t="str">
        <f>VLOOKUP(C422,'Talente &amp; Stuff'!BI:CJ,2,FALSE)</f>
        <v>--/--/--</v>
      </c>
      <c r="E422" s="47" t="str">
        <f>VLOOKUP(C422,'Talente &amp; Stuff'!BI:CJ,3,FALSE)</f>
        <v>-</v>
      </c>
      <c r="F422" s="114">
        <f>VLOOKUP(C422,'Talente &amp; Stuff'!BI:CJ,4,FALSE)</f>
        <v>0</v>
      </c>
      <c r="G422" s="113">
        <f>VLOOKUP(C422,'Talente &amp; Stuff'!BI:CJ,5,FALSE)</f>
        <v>0</v>
      </c>
      <c r="H422" s="113">
        <f>VLOOKUP(C422,'Talente &amp; Stuff'!BI:CJ,6,FALSE)</f>
        <v>0</v>
      </c>
      <c r="I422" s="113">
        <f>VLOOKUP(C422,'Talente &amp; Stuff'!BI:CJ,7,FALSE)</f>
        <v>0</v>
      </c>
      <c r="J422" s="113">
        <f>VLOOKUP(C422,'Talente &amp; Stuff'!BI:CJ,8,FALSE)</f>
        <v>0</v>
      </c>
      <c r="K422" s="113">
        <f>VLOOKUP(C422,'Talente &amp; Stuff'!BI:CJ,9,FALSE)</f>
        <v>0</v>
      </c>
      <c r="L422" s="113">
        <f>VLOOKUP(C422,'Talente &amp; Stuff'!BI:CJ,10,FALSE)</f>
        <v>0</v>
      </c>
      <c r="M422" s="119">
        <f>VLOOKUP(C422,'Talente &amp; Stuff'!BI:CJ,11,FALSE)</f>
        <v>0</v>
      </c>
      <c r="N422" s="47">
        <f>VLOOKUP(C422,'Talente &amp; Stuff'!BI:CJ,12,FALSE)</f>
        <v>0</v>
      </c>
      <c r="O422" s="47">
        <f>VLOOKUP(C422,'Talente &amp; Stuff'!BI:CJ,13,FALSE)</f>
        <v>0</v>
      </c>
      <c r="P422" s="113">
        <f>VLOOKUP(C422,'Talente &amp; Stuff'!BI:CJ,14,FALSE)</f>
        <v>0</v>
      </c>
      <c r="Q422" s="114">
        <f>VLOOKUP(C422,'Talente &amp; Stuff'!BI:CJ,15,FALSE)</f>
        <v>0</v>
      </c>
      <c r="R422" s="113">
        <f>VLOOKUP(C422,'Talente &amp; Stuff'!BI:CJ,16,FALSE)</f>
        <v>0</v>
      </c>
      <c r="S422" s="119">
        <f>VLOOKUP(C422,'Talente &amp; Stuff'!BI:CJ,17,FALSE)</f>
        <v>0</v>
      </c>
      <c r="T422" s="160">
        <f>VLOOKUP(C422,'Talente &amp; Stuff'!BI:CJ,18,FALSE)</f>
        <v>0</v>
      </c>
      <c r="U422" s="89">
        <f>VLOOKUP(C422,'Talente &amp; Stuff'!BI:CJ,19,FALSE)</f>
        <v>0</v>
      </c>
      <c r="V422" s="47">
        <f>VLOOKUP(C422,'Talente &amp; Stuff'!BI:CJ,20,FALSE)</f>
        <v>0</v>
      </c>
      <c r="W422" s="127">
        <f>VLOOKUP(C422,'Talente &amp; Stuff'!BI:CJ,21,FALSE)</f>
        <v>0</v>
      </c>
      <c r="X422" s="127">
        <f>VLOOKUP(C422,'Talente &amp; Stuff'!BI:CJ,22,FALSE)</f>
        <v>0</v>
      </c>
      <c r="Y422" s="165">
        <f>VLOOKUP(C422,Ausgewählte_Liturgien_Peraine,81,FALSE)</f>
        <v>0</v>
      </c>
      <c r="Z422" s="44">
        <f>VLOOKUP(C422,Ausgewählte_Liturgien_Peraine,82,FALSE)</f>
        <v>0</v>
      </c>
      <c r="AA422" s="125">
        <f>VLOOKUP(C422,'Talente &amp; Stuff'!BI:CJ,25,FALSE)</f>
        <v>0</v>
      </c>
      <c r="AB422" s="160">
        <f>VLOOKUP(C422,'Talente &amp; Stuff'!BI:CJ,26,FALSE)</f>
        <v>0</v>
      </c>
      <c r="AC422" s="127">
        <f>VLOOKUP(C422,'Talente &amp; Stuff'!BI:CJ,27,FALSE)</f>
        <v>0</v>
      </c>
      <c r="AD422" s="125">
        <f>VLOOKUP(C422,'Talente &amp; Stuff'!BI:CJ,28,FALSE)</f>
        <v>0</v>
      </c>
      <c r="AE422" s="28"/>
    </row>
    <row r="423" spans="2:31" ht="15" hidden="1" customHeight="1" outlineLevel="2">
      <c r="B423" s="137">
        <v>5</v>
      </c>
      <c r="C423" s="178" t="str">
        <f>Attribute!C423</f>
        <v>---</v>
      </c>
      <c r="D423" s="159" t="str">
        <f>VLOOKUP(C423,'Talente &amp; Stuff'!BI:CJ,2,FALSE)</f>
        <v>--/--/--</v>
      </c>
      <c r="E423" s="88" t="str">
        <f>VLOOKUP(C423,'Talente &amp; Stuff'!BI:CJ,3,FALSE)</f>
        <v>-</v>
      </c>
      <c r="F423" s="115">
        <f>VLOOKUP(C423,'Talente &amp; Stuff'!BI:CJ,4,FALSE)</f>
        <v>0</v>
      </c>
      <c r="G423" s="122">
        <f>VLOOKUP(C423,'Talente &amp; Stuff'!BI:CJ,5,FALSE)</f>
        <v>0</v>
      </c>
      <c r="H423" s="122">
        <f>VLOOKUP(C423,'Talente &amp; Stuff'!BI:CJ,6,FALSE)</f>
        <v>0</v>
      </c>
      <c r="I423" s="122">
        <f>VLOOKUP(C423,'Talente &amp; Stuff'!BI:CJ,7,FALSE)</f>
        <v>0</v>
      </c>
      <c r="J423" s="122">
        <f>VLOOKUP(C423,'Talente &amp; Stuff'!BI:CJ,8,FALSE)</f>
        <v>0</v>
      </c>
      <c r="K423" s="122">
        <f>VLOOKUP(C423,'Talente &amp; Stuff'!BI:CJ,9,FALSE)</f>
        <v>0</v>
      </c>
      <c r="L423" s="122">
        <f>VLOOKUP(C423,'Talente &amp; Stuff'!BI:CJ,10,FALSE)</f>
        <v>0</v>
      </c>
      <c r="M423" s="123">
        <f>VLOOKUP(C423,'Talente &amp; Stuff'!BI:CJ,11,FALSE)</f>
        <v>0</v>
      </c>
      <c r="N423" s="88">
        <f>VLOOKUP(C423,'Talente &amp; Stuff'!BI:CJ,12,FALSE)</f>
        <v>0</v>
      </c>
      <c r="O423" s="88">
        <f>VLOOKUP(C423,'Talente &amp; Stuff'!BI:CJ,13,FALSE)</f>
        <v>0</v>
      </c>
      <c r="P423" s="122">
        <f>VLOOKUP(C423,'Talente &amp; Stuff'!BI:CJ,14,FALSE)</f>
        <v>0</v>
      </c>
      <c r="Q423" s="115">
        <f>VLOOKUP(C423,'Talente &amp; Stuff'!BI:CJ,15,FALSE)</f>
        <v>0</v>
      </c>
      <c r="R423" s="122">
        <f>VLOOKUP(C423,'Talente &amp; Stuff'!BI:CJ,16,FALSE)</f>
        <v>0</v>
      </c>
      <c r="S423" s="123">
        <f>VLOOKUP(C423,'Talente &amp; Stuff'!BI:CJ,17,FALSE)</f>
        <v>0</v>
      </c>
      <c r="T423" s="161">
        <f>VLOOKUP(C423,'Talente &amp; Stuff'!BI:CJ,18,FALSE)</f>
        <v>0</v>
      </c>
      <c r="U423" s="90">
        <f>VLOOKUP(C423,'Talente &amp; Stuff'!BI:CJ,19,FALSE)</f>
        <v>0</v>
      </c>
      <c r="V423" s="88">
        <f>VLOOKUP(C423,'Talente &amp; Stuff'!BI:CJ,20,FALSE)</f>
        <v>0</v>
      </c>
      <c r="W423" s="128">
        <f>VLOOKUP(C423,'Talente &amp; Stuff'!BI:CJ,21,FALSE)</f>
        <v>0</v>
      </c>
      <c r="X423" s="128">
        <f>VLOOKUP(C423,'Talente &amp; Stuff'!BI:CJ,22,FALSE)</f>
        <v>0</v>
      </c>
      <c r="Y423" s="165">
        <f>VLOOKUP(C423,Ausgewählte_Liturgien_Peraine,81,FALSE)</f>
        <v>0</v>
      </c>
      <c r="Z423" s="44">
        <f>VLOOKUP(C423,Ausgewählte_Liturgien_Peraine,82,FALSE)</f>
        <v>0</v>
      </c>
      <c r="AA423" s="159">
        <f>VLOOKUP(C423,'Talente &amp; Stuff'!BI:CJ,25,FALSE)</f>
        <v>0</v>
      </c>
      <c r="AB423" s="161">
        <f>VLOOKUP(C423,'Talente &amp; Stuff'!BI:CJ,26,FALSE)</f>
        <v>0</v>
      </c>
      <c r="AC423" s="128">
        <f>VLOOKUP(C423,'Talente &amp; Stuff'!BI:CJ,27,FALSE)</f>
        <v>0</v>
      </c>
      <c r="AD423" s="159">
        <f>VLOOKUP(C423,'Talente &amp; Stuff'!BI:CJ,28,FALSE)</f>
        <v>0</v>
      </c>
      <c r="AE423" s="28"/>
    </row>
    <row r="424" spans="2:31" ht="15" hidden="1" customHeight="1" outlineLevel="1" collapsed="1">
      <c r="B424" s="134" t="s">
        <v>323</v>
      </c>
      <c r="C424" s="83"/>
      <c r="D424" s="84"/>
      <c r="E424" s="84"/>
    </row>
    <row r="425" spans="2:31" ht="15" hidden="1" customHeight="1" outlineLevel="2">
      <c r="B425" s="148">
        <v>1</v>
      </c>
      <c r="C425" s="176" t="str">
        <f>Attribute!C425</f>
        <v>---</v>
      </c>
      <c r="D425" s="158" t="str">
        <f>VLOOKUP(C425,'Talente &amp; Stuff'!BI:CJ,2,FALSE)</f>
        <v>--/--/--</v>
      </c>
      <c r="E425" s="116" t="str">
        <f>VLOOKUP(C425,'Talente &amp; Stuff'!BI:CJ,3,FALSE)</f>
        <v>-</v>
      </c>
      <c r="F425" s="191">
        <f>VLOOKUP(C425,'Talente &amp; Stuff'!BI:CJ,4,FALSE)</f>
        <v>0</v>
      </c>
      <c r="G425" s="118">
        <f>VLOOKUP(C425,'Talente &amp; Stuff'!BI:CJ,5,FALSE)</f>
        <v>0</v>
      </c>
      <c r="H425" s="118">
        <f>VLOOKUP(C425,'Talente &amp; Stuff'!BI:CJ,6,FALSE)</f>
        <v>0</v>
      </c>
      <c r="I425" s="118">
        <f>VLOOKUP(C425,'Talente &amp; Stuff'!BI:CJ,7,FALSE)</f>
        <v>0</v>
      </c>
      <c r="J425" s="118">
        <f>VLOOKUP(C425,'Talente &amp; Stuff'!BI:CJ,8,FALSE)</f>
        <v>0</v>
      </c>
      <c r="K425" s="118">
        <f>VLOOKUP(C425,'Talente &amp; Stuff'!BI:CJ,9,FALSE)</f>
        <v>0</v>
      </c>
      <c r="L425" s="118">
        <f>VLOOKUP(C425,'Talente &amp; Stuff'!BI:CJ,10,FALSE)</f>
        <v>0</v>
      </c>
      <c r="M425" s="92">
        <f>VLOOKUP(C425,'Talente &amp; Stuff'!BI:CJ,11,FALSE)</f>
        <v>0</v>
      </c>
      <c r="N425" s="116">
        <f>VLOOKUP(C425,'Talente &amp; Stuff'!BI:CJ,12,FALSE)</f>
        <v>0</v>
      </c>
      <c r="O425" s="116">
        <f>VLOOKUP(C425,'Talente &amp; Stuff'!BI:CJ,13,FALSE)</f>
        <v>0</v>
      </c>
      <c r="P425" s="118">
        <f>VLOOKUP(C425,'Talente &amp; Stuff'!BI:CJ,14,FALSE)</f>
        <v>0</v>
      </c>
      <c r="Q425" s="191">
        <f>VLOOKUP(C425,'Talente &amp; Stuff'!BI:CJ,15,FALSE)</f>
        <v>0</v>
      </c>
      <c r="R425" s="118">
        <f>VLOOKUP(C425,'Talente &amp; Stuff'!BI:CJ,16,FALSE)</f>
        <v>0</v>
      </c>
      <c r="S425" s="92">
        <f>VLOOKUP(C425,'Talente &amp; Stuff'!BI:CJ,17,FALSE)</f>
        <v>0</v>
      </c>
      <c r="T425" s="91">
        <f>VLOOKUP(C425,'Talente &amp; Stuff'!BI:CJ,18,FALSE)</f>
        <v>0</v>
      </c>
      <c r="U425" s="193">
        <f>VLOOKUP(C425,'Talente &amp; Stuff'!BI:CJ,19,FALSE)</f>
        <v>0</v>
      </c>
      <c r="V425" s="116">
        <f>VLOOKUP(C425,'Talente &amp; Stuff'!BI:CJ,20,FALSE)</f>
        <v>0</v>
      </c>
      <c r="W425" s="126">
        <f>VLOOKUP(C425,'Talente &amp; Stuff'!BI:CJ,21,FALSE)</f>
        <v>0</v>
      </c>
      <c r="X425" s="126">
        <f>VLOOKUP(C425,'Talente &amp; Stuff'!BI:CJ,22,FALSE)</f>
        <v>0</v>
      </c>
      <c r="Y425" s="165">
        <f t="shared" ref="Y425:Y432" si="34">VLOOKUP(C425,Ausgewählte_Liturgien_Phex,81,FALSE)</f>
        <v>0</v>
      </c>
      <c r="Z425" s="44">
        <f t="shared" ref="Z425:Z432" si="35">VLOOKUP(C425,Ausgewählte_Liturgien_Phex,82,FALSE)</f>
        <v>0</v>
      </c>
      <c r="AA425" s="158">
        <f>VLOOKUP(C425,'Talente &amp; Stuff'!BI:CJ,25,FALSE)</f>
        <v>0</v>
      </c>
      <c r="AB425" s="91">
        <f>VLOOKUP(C425,'Talente &amp; Stuff'!BI:CJ,26,FALSE)</f>
        <v>0</v>
      </c>
      <c r="AC425" s="126">
        <f>VLOOKUP(C425,'Talente &amp; Stuff'!BI:CJ,27,FALSE)</f>
        <v>0</v>
      </c>
      <c r="AD425" s="158">
        <f>VLOOKUP(C425,'Talente &amp; Stuff'!BI:CJ,28,FALSE)</f>
        <v>0</v>
      </c>
      <c r="AE425" s="28"/>
    </row>
    <row r="426" spans="2:31" ht="15" hidden="1" customHeight="1" outlineLevel="2">
      <c r="B426" s="148">
        <v>2</v>
      </c>
      <c r="C426" s="177" t="str">
        <f>Attribute!C426</f>
        <v>---</v>
      </c>
      <c r="D426" s="125" t="str">
        <f>VLOOKUP(C426,'Talente &amp; Stuff'!BI:CJ,2,FALSE)</f>
        <v>--/--/--</v>
      </c>
      <c r="E426" s="47" t="str">
        <f>VLOOKUP(C426,'Talente &amp; Stuff'!BI:CJ,3,FALSE)</f>
        <v>-</v>
      </c>
      <c r="F426" s="114">
        <f>VLOOKUP(C426,'Talente &amp; Stuff'!BI:CJ,4,FALSE)</f>
        <v>0</v>
      </c>
      <c r="G426" s="113">
        <f>VLOOKUP(C426,'Talente &amp; Stuff'!BI:CJ,5,FALSE)</f>
        <v>0</v>
      </c>
      <c r="H426" s="113">
        <f>VLOOKUP(C426,'Talente &amp; Stuff'!BI:CJ,6,FALSE)</f>
        <v>0</v>
      </c>
      <c r="I426" s="113">
        <f>VLOOKUP(C426,'Talente &amp; Stuff'!BI:CJ,7,FALSE)</f>
        <v>0</v>
      </c>
      <c r="J426" s="113">
        <f>VLOOKUP(C426,'Talente &amp; Stuff'!BI:CJ,8,FALSE)</f>
        <v>0</v>
      </c>
      <c r="K426" s="113">
        <f>VLOOKUP(C426,'Talente &amp; Stuff'!BI:CJ,9,FALSE)</f>
        <v>0</v>
      </c>
      <c r="L426" s="113">
        <f>VLOOKUP(C426,'Talente &amp; Stuff'!BI:CJ,10,FALSE)</f>
        <v>0</v>
      </c>
      <c r="M426" s="119">
        <f>VLOOKUP(C426,'Talente &amp; Stuff'!BI:CJ,11,FALSE)</f>
        <v>0</v>
      </c>
      <c r="N426" s="47">
        <f>VLOOKUP(C426,'Talente &amp; Stuff'!BI:CJ,12,FALSE)</f>
        <v>0</v>
      </c>
      <c r="O426" s="47">
        <f>VLOOKUP(C426,'Talente &amp; Stuff'!BI:CJ,13,FALSE)</f>
        <v>0</v>
      </c>
      <c r="P426" s="113">
        <f>VLOOKUP(C426,'Talente &amp; Stuff'!BI:CJ,14,FALSE)</f>
        <v>0</v>
      </c>
      <c r="Q426" s="114">
        <f>VLOOKUP(C426,'Talente &amp; Stuff'!BI:CJ,15,FALSE)</f>
        <v>0</v>
      </c>
      <c r="R426" s="113">
        <f>VLOOKUP(C426,'Talente &amp; Stuff'!BI:CJ,16,FALSE)</f>
        <v>0</v>
      </c>
      <c r="S426" s="119">
        <f>VLOOKUP(C426,'Talente &amp; Stuff'!BI:CJ,17,FALSE)</f>
        <v>0</v>
      </c>
      <c r="T426" s="160">
        <f>VLOOKUP(C426,'Talente &amp; Stuff'!BI:CJ,18,FALSE)</f>
        <v>0</v>
      </c>
      <c r="U426" s="89">
        <f>VLOOKUP(C426,'Talente &amp; Stuff'!BI:CJ,19,FALSE)</f>
        <v>0</v>
      </c>
      <c r="V426" s="47">
        <f>VLOOKUP(C426,'Talente &amp; Stuff'!BI:CJ,20,FALSE)</f>
        <v>0</v>
      </c>
      <c r="W426" s="127">
        <f>VLOOKUP(C426,'Talente &amp; Stuff'!BI:CJ,21,FALSE)</f>
        <v>0</v>
      </c>
      <c r="X426" s="127">
        <f>VLOOKUP(C426,'Talente &amp; Stuff'!BI:CJ,22,FALSE)</f>
        <v>0</v>
      </c>
      <c r="Y426" s="165">
        <f t="shared" si="34"/>
        <v>0</v>
      </c>
      <c r="Z426" s="44">
        <f t="shared" si="35"/>
        <v>0</v>
      </c>
      <c r="AA426" s="125">
        <f>VLOOKUP(C426,'Talente &amp; Stuff'!BI:CJ,25,FALSE)</f>
        <v>0</v>
      </c>
      <c r="AB426" s="160">
        <f>VLOOKUP(C426,'Talente &amp; Stuff'!BI:CJ,26,FALSE)</f>
        <v>0</v>
      </c>
      <c r="AC426" s="127">
        <f>VLOOKUP(C426,'Talente &amp; Stuff'!BI:CJ,27,FALSE)</f>
        <v>0</v>
      </c>
      <c r="AD426" s="125">
        <f>VLOOKUP(C426,'Talente &amp; Stuff'!BI:CJ,28,FALSE)</f>
        <v>0</v>
      </c>
      <c r="AE426" s="28"/>
    </row>
    <row r="427" spans="2:31" ht="15" hidden="1" customHeight="1" outlineLevel="2">
      <c r="B427" s="148">
        <v>3</v>
      </c>
      <c r="C427" s="177" t="str">
        <f>Attribute!C427</f>
        <v>---</v>
      </c>
      <c r="D427" s="125" t="str">
        <f>VLOOKUP(C427,'Talente &amp; Stuff'!BI:CJ,2,FALSE)</f>
        <v>--/--/--</v>
      </c>
      <c r="E427" s="47" t="str">
        <f>VLOOKUP(C427,'Talente &amp; Stuff'!BI:CJ,3,FALSE)</f>
        <v>-</v>
      </c>
      <c r="F427" s="114">
        <f>VLOOKUP(C427,'Talente &amp; Stuff'!BI:CJ,4,FALSE)</f>
        <v>0</v>
      </c>
      <c r="G427" s="113">
        <f>VLOOKUP(C427,'Talente &amp; Stuff'!BI:CJ,5,FALSE)</f>
        <v>0</v>
      </c>
      <c r="H427" s="113">
        <f>VLOOKUP(C427,'Talente &amp; Stuff'!BI:CJ,6,FALSE)</f>
        <v>0</v>
      </c>
      <c r="I427" s="113">
        <f>VLOOKUP(C427,'Talente &amp; Stuff'!BI:CJ,7,FALSE)</f>
        <v>0</v>
      </c>
      <c r="J427" s="113">
        <f>VLOOKUP(C427,'Talente &amp; Stuff'!BI:CJ,8,FALSE)</f>
        <v>0</v>
      </c>
      <c r="K427" s="113">
        <f>VLOOKUP(C427,'Talente &amp; Stuff'!BI:CJ,9,FALSE)</f>
        <v>0</v>
      </c>
      <c r="L427" s="113">
        <f>VLOOKUP(C427,'Talente &amp; Stuff'!BI:CJ,10,FALSE)</f>
        <v>0</v>
      </c>
      <c r="M427" s="119">
        <f>VLOOKUP(C427,'Talente &amp; Stuff'!BI:CJ,11,FALSE)</f>
        <v>0</v>
      </c>
      <c r="N427" s="47">
        <f>VLOOKUP(C427,'Talente &amp; Stuff'!BI:CJ,12,FALSE)</f>
        <v>0</v>
      </c>
      <c r="O427" s="47">
        <f>VLOOKUP(C427,'Talente &amp; Stuff'!BI:CJ,13,FALSE)</f>
        <v>0</v>
      </c>
      <c r="P427" s="113">
        <f>VLOOKUP(C427,'Talente &amp; Stuff'!BI:CJ,14,FALSE)</f>
        <v>0</v>
      </c>
      <c r="Q427" s="114">
        <f>VLOOKUP(C427,'Talente &amp; Stuff'!BI:CJ,15,FALSE)</f>
        <v>0</v>
      </c>
      <c r="R427" s="113">
        <f>VLOOKUP(C427,'Talente &amp; Stuff'!BI:CJ,16,FALSE)</f>
        <v>0</v>
      </c>
      <c r="S427" s="119">
        <f>VLOOKUP(C427,'Talente &amp; Stuff'!BI:CJ,17,FALSE)</f>
        <v>0</v>
      </c>
      <c r="T427" s="160">
        <f>VLOOKUP(C427,'Talente &amp; Stuff'!BI:CJ,18,FALSE)</f>
        <v>0</v>
      </c>
      <c r="U427" s="89">
        <f>VLOOKUP(C427,'Talente &amp; Stuff'!BI:CJ,19,FALSE)</f>
        <v>0</v>
      </c>
      <c r="V427" s="47">
        <f>VLOOKUP(C427,'Talente &amp; Stuff'!BI:CJ,20,FALSE)</f>
        <v>0</v>
      </c>
      <c r="W427" s="127">
        <f>VLOOKUP(C427,'Talente &amp; Stuff'!BI:CJ,21,FALSE)</f>
        <v>0</v>
      </c>
      <c r="X427" s="127">
        <f>VLOOKUP(C427,'Talente &amp; Stuff'!BI:CJ,22,FALSE)</f>
        <v>0</v>
      </c>
      <c r="Y427" s="165">
        <f t="shared" si="34"/>
        <v>0</v>
      </c>
      <c r="Z427" s="44">
        <f t="shared" si="35"/>
        <v>0</v>
      </c>
      <c r="AA427" s="125">
        <f>VLOOKUP(C427,'Talente &amp; Stuff'!BI:CJ,25,FALSE)</f>
        <v>0</v>
      </c>
      <c r="AB427" s="160">
        <f>VLOOKUP(C427,'Talente &amp; Stuff'!BI:CJ,26,FALSE)</f>
        <v>0</v>
      </c>
      <c r="AC427" s="127">
        <f>VLOOKUP(C427,'Talente &amp; Stuff'!BI:CJ,27,FALSE)</f>
        <v>0</v>
      </c>
      <c r="AD427" s="125">
        <f>VLOOKUP(C427,'Talente &amp; Stuff'!BI:CJ,28,FALSE)</f>
        <v>0</v>
      </c>
      <c r="AE427" s="28"/>
    </row>
    <row r="428" spans="2:31" ht="15" hidden="1" customHeight="1" outlineLevel="2">
      <c r="B428" s="148">
        <v>4</v>
      </c>
      <c r="C428" s="177" t="str">
        <f>Attribute!C428</f>
        <v>---</v>
      </c>
      <c r="D428" s="125" t="str">
        <f>VLOOKUP(C428,'Talente &amp; Stuff'!BI:CJ,2,FALSE)</f>
        <v>--/--/--</v>
      </c>
      <c r="E428" s="47" t="str">
        <f>VLOOKUP(C428,'Talente &amp; Stuff'!BI:CJ,3,FALSE)</f>
        <v>-</v>
      </c>
      <c r="F428" s="114">
        <f>VLOOKUP(C428,'Talente &amp; Stuff'!BI:CJ,4,FALSE)</f>
        <v>0</v>
      </c>
      <c r="G428" s="113">
        <f>VLOOKUP(C428,'Talente &amp; Stuff'!BI:CJ,5,FALSE)</f>
        <v>0</v>
      </c>
      <c r="H428" s="113">
        <f>VLOOKUP(C428,'Talente &amp; Stuff'!BI:CJ,6,FALSE)</f>
        <v>0</v>
      </c>
      <c r="I428" s="113">
        <f>VLOOKUP(C428,'Talente &amp; Stuff'!BI:CJ,7,FALSE)</f>
        <v>0</v>
      </c>
      <c r="J428" s="113">
        <f>VLOOKUP(C428,'Talente &amp; Stuff'!BI:CJ,8,FALSE)</f>
        <v>0</v>
      </c>
      <c r="K428" s="113">
        <f>VLOOKUP(C428,'Talente &amp; Stuff'!BI:CJ,9,FALSE)</f>
        <v>0</v>
      </c>
      <c r="L428" s="113">
        <f>VLOOKUP(C428,'Talente &amp; Stuff'!BI:CJ,10,FALSE)</f>
        <v>0</v>
      </c>
      <c r="M428" s="119">
        <f>VLOOKUP(C428,'Talente &amp; Stuff'!BI:CJ,11,FALSE)</f>
        <v>0</v>
      </c>
      <c r="N428" s="47">
        <f>VLOOKUP(C428,'Talente &amp; Stuff'!BI:CJ,12,FALSE)</f>
        <v>0</v>
      </c>
      <c r="O428" s="47">
        <f>VLOOKUP(C428,'Talente &amp; Stuff'!BI:CJ,13,FALSE)</f>
        <v>0</v>
      </c>
      <c r="P428" s="113">
        <f>VLOOKUP(C428,'Talente &amp; Stuff'!BI:CJ,14,FALSE)</f>
        <v>0</v>
      </c>
      <c r="Q428" s="114">
        <f>VLOOKUP(C428,'Talente &amp; Stuff'!BI:CJ,15,FALSE)</f>
        <v>0</v>
      </c>
      <c r="R428" s="113">
        <f>VLOOKUP(C428,'Talente &amp; Stuff'!BI:CJ,16,FALSE)</f>
        <v>0</v>
      </c>
      <c r="S428" s="119">
        <f>VLOOKUP(C428,'Talente &amp; Stuff'!BI:CJ,17,FALSE)</f>
        <v>0</v>
      </c>
      <c r="T428" s="160">
        <f>VLOOKUP(C428,'Talente &amp; Stuff'!BI:CJ,18,FALSE)</f>
        <v>0</v>
      </c>
      <c r="U428" s="89">
        <f>VLOOKUP(C428,'Talente &amp; Stuff'!BI:CJ,19,FALSE)</f>
        <v>0</v>
      </c>
      <c r="V428" s="47">
        <f>VLOOKUP(C428,'Talente &amp; Stuff'!BI:CJ,20,FALSE)</f>
        <v>0</v>
      </c>
      <c r="W428" s="127">
        <f>VLOOKUP(C428,'Talente &amp; Stuff'!BI:CJ,21,FALSE)</f>
        <v>0</v>
      </c>
      <c r="X428" s="127">
        <f>VLOOKUP(C428,'Talente &amp; Stuff'!BI:CJ,22,FALSE)</f>
        <v>0</v>
      </c>
      <c r="Y428" s="165">
        <f t="shared" si="34"/>
        <v>0</v>
      </c>
      <c r="Z428" s="44">
        <f t="shared" si="35"/>
        <v>0</v>
      </c>
      <c r="AA428" s="125">
        <f>VLOOKUP(C428,'Talente &amp; Stuff'!BI:CJ,25,FALSE)</f>
        <v>0</v>
      </c>
      <c r="AB428" s="160">
        <f>VLOOKUP(C428,'Talente &amp; Stuff'!BI:CJ,26,FALSE)</f>
        <v>0</v>
      </c>
      <c r="AC428" s="127">
        <f>VLOOKUP(C428,'Talente &amp; Stuff'!BI:CJ,27,FALSE)</f>
        <v>0</v>
      </c>
      <c r="AD428" s="125">
        <f>VLOOKUP(C428,'Talente &amp; Stuff'!BI:CJ,28,FALSE)</f>
        <v>0</v>
      </c>
      <c r="AE428" s="28"/>
    </row>
    <row r="429" spans="2:31" ht="15" hidden="1" customHeight="1" outlineLevel="2">
      <c r="B429" s="148">
        <v>5</v>
      </c>
      <c r="C429" s="177" t="str">
        <f>Attribute!C429</f>
        <v>---</v>
      </c>
      <c r="D429" s="125" t="str">
        <f>VLOOKUP(C429,'Talente &amp; Stuff'!BI:CJ,2,FALSE)</f>
        <v>--/--/--</v>
      </c>
      <c r="E429" s="47" t="str">
        <f>VLOOKUP(C429,'Talente &amp; Stuff'!BI:CJ,3,FALSE)</f>
        <v>-</v>
      </c>
      <c r="F429" s="114">
        <f>VLOOKUP(C429,'Talente &amp; Stuff'!BI:CJ,4,FALSE)</f>
        <v>0</v>
      </c>
      <c r="G429" s="113">
        <f>VLOOKUP(C429,'Talente &amp; Stuff'!BI:CJ,5,FALSE)</f>
        <v>0</v>
      </c>
      <c r="H429" s="113">
        <f>VLOOKUP(C429,'Talente &amp; Stuff'!BI:CJ,6,FALSE)</f>
        <v>0</v>
      </c>
      <c r="I429" s="113">
        <f>VLOOKUP(C429,'Talente &amp; Stuff'!BI:CJ,7,FALSE)</f>
        <v>0</v>
      </c>
      <c r="J429" s="113">
        <f>VLOOKUP(C429,'Talente &amp; Stuff'!BI:CJ,8,FALSE)</f>
        <v>0</v>
      </c>
      <c r="K429" s="113">
        <f>VLOOKUP(C429,'Talente &amp; Stuff'!BI:CJ,9,FALSE)</f>
        <v>0</v>
      </c>
      <c r="L429" s="113">
        <f>VLOOKUP(C429,'Talente &amp; Stuff'!BI:CJ,10,FALSE)</f>
        <v>0</v>
      </c>
      <c r="M429" s="119">
        <f>VLOOKUP(C429,'Talente &amp; Stuff'!BI:CJ,11,FALSE)</f>
        <v>0</v>
      </c>
      <c r="N429" s="47">
        <f>VLOOKUP(C429,'Talente &amp; Stuff'!BI:CJ,12,FALSE)</f>
        <v>0</v>
      </c>
      <c r="O429" s="47">
        <f>VLOOKUP(C429,'Talente &amp; Stuff'!BI:CJ,13,FALSE)</f>
        <v>0</v>
      </c>
      <c r="P429" s="113">
        <f>VLOOKUP(C429,'Talente &amp; Stuff'!BI:CJ,14,FALSE)</f>
        <v>0</v>
      </c>
      <c r="Q429" s="114">
        <f>VLOOKUP(C429,'Talente &amp; Stuff'!BI:CJ,15,FALSE)</f>
        <v>0</v>
      </c>
      <c r="R429" s="113">
        <f>VLOOKUP(C429,'Talente &amp; Stuff'!BI:CJ,16,FALSE)</f>
        <v>0</v>
      </c>
      <c r="S429" s="119">
        <f>VLOOKUP(C429,'Talente &amp; Stuff'!BI:CJ,17,FALSE)</f>
        <v>0</v>
      </c>
      <c r="T429" s="160">
        <f>VLOOKUP(C429,'Talente &amp; Stuff'!BI:CJ,18,FALSE)</f>
        <v>0</v>
      </c>
      <c r="U429" s="89">
        <f>VLOOKUP(C429,'Talente &amp; Stuff'!BI:CJ,19,FALSE)</f>
        <v>0</v>
      </c>
      <c r="V429" s="47">
        <f>VLOOKUP(C429,'Talente &amp; Stuff'!BI:CJ,20,FALSE)</f>
        <v>0</v>
      </c>
      <c r="W429" s="127">
        <f>VLOOKUP(C429,'Talente &amp; Stuff'!BI:CJ,21,FALSE)</f>
        <v>0</v>
      </c>
      <c r="X429" s="127">
        <f>VLOOKUP(C429,'Talente &amp; Stuff'!BI:CJ,22,FALSE)</f>
        <v>0</v>
      </c>
      <c r="Y429" s="165">
        <f t="shared" si="34"/>
        <v>0</v>
      </c>
      <c r="Z429" s="44">
        <f t="shared" si="35"/>
        <v>0</v>
      </c>
      <c r="AA429" s="125">
        <f>VLOOKUP(C429,'Talente &amp; Stuff'!BI:CJ,25,FALSE)</f>
        <v>0</v>
      </c>
      <c r="AB429" s="160">
        <f>VLOOKUP(C429,'Talente &amp; Stuff'!BI:CJ,26,FALSE)</f>
        <v>0</v>
      </c>
      <c r="AC429" s="127">
        <f>VLOOKUP(C429,'Talente &amp; Stuff'!BI:CJ,27,FALSE)</f>
        <v>0</v>
      </c>
      <c r="AD429" s="125">
        <f>VLOOKUP(C429,'Talente &amp; Stuff'!BI:CJ,28,FALSE)</f>
        <v>0</v>
      </c>
      <c r="AE429" s="28"/>
    </row>
    <row r="430" spans="2:31" ht="15" hidden="1" customHeight="1" outlineLevel="2">
      <c r="B430" s="148">
        <v>6</v>
      </c>
      <c r="C430" s="177" t="str">
        <f>Attribute!C430</f>
        <v>---</v>
      </c>
      <c r="D430" s="125" t="str">
        <f>VLOOKUP(C430,'Talente &amp; Stuff'!BI:CJ,2,FALSE)</f>
        <v>--/--/--</v>
      </c>
      <c r="E430" s="47" t="str">
        <f>VLOOKUP(C430,'Talente &amp; Stuff'!BI:CJ,3,FALSE)</f>
        <v>-</v>
      </c>
      <c r="F430" s="114">
        <f>VLOOKUP(C430,'Talente &amp; Stuff'!BI:CJ,4,FALSE)</f>
        <v>0</v>
      </c>
      <c r="G430" s="113">
        <f>VLOOKUP(C430,'Talente &amp; Stuff'!BI:CJ,5,FALSE)</f>
        <v>0</v>
      </c>
      <c r="H430" s="113">
        <f>VLOOKUP(C430,'Talente &amp; Stuff'!BI:CJ,6,FALSE)</f>
        <v>0</v>
      </c>
      <c r="I430" s="113">
        <f>VLOOKUP(C430,'Talente &amp; Stuff'!BI:CJ,7,FALSE)</f>
        <v>0</v>
      </c>
      <c r="J430" s="113">
        <f>VLOOKUP(C430,'Talente &amp; Stuff'!BI:CJ,8,FALSE)</f>
        <v>0</v>
      </c>
      <c r="K430" s="113">
        <f>VLOOKUP(C430,'Talente &amp; Stuff'!BI:CJ,9,FALSE)</f>
        <v>0</v>
      </c>
      <c r="L430" s="113">
        <f>VLOOKUP(C430,'Talente &amp; Stuff'!BI:CJ,10,FALSE)</f>
        <v>0</v>
      </c>
      <c r="M430" s="119">
        <f>VLOOKUP(C430,'Talente &amp; Stuff'!BI:CJ,11,FALSE)</f>
        <v>0</v>
      </c>
      <c r="N430" s="47">
        <f>VLOOKUP(C430,'Talente &amp; Stuff'!BI:CJ,12,FALSE)</f>
        <v>0</v>
      </c>
      <c r="O430" s="47">
        <f>VLOOKUP(C430,'Talente &amp; Stuff'!BI:CJ,13,FALSE)</f>
        <v>0</v>
      </c>
      <c r="P430" s="113">
        <f>VLOOKUP(C430,'Talente &amp; Stuff'!BI:CJ,14,FALSE)</f>
        <v>0</v>
      </c>
      <c r="Q430" s="114">
        <f>VLOOKUP(C430,'Talente &amp; Stuff'!BI:CJ,15,FALSE)</f>
        <v>0</v>
      </c>
      <c r="R430" s="113">
        <f>VLOOKUP(C430,'Talente &amp; Stuff'!BI:CJ,16,FALSE)</f>
        <v>0</v>
      </c>
      <c r="S430" s="119">
        <f>VLOOKUP(C430,'Talente &amp; Stuff'!BI:CJ,17,FALSE)</f>
        <v>0</v>
      </c>
      <c r="T430" s="160">
        <f>VLOOKUP(C430,'Talente &amp; Stuff'!BI:CJ,18,FALSE)</f>
        <v>0</v>
      </c>
      <c r="U430" s="89">
        <f>VLOOKUP(C430,'Talente &amp; Stuff'!BI:CJ,19,FALSE)</f>
        <v>0</v>
      </c>
      <c r="V430" s="47">
        <f>VLOOKUP(C430,'Talente &amp; Stuff'!BI:CJ,20,FALSE)</f>
        <v>0</v>
      </c>
      <c r="W430" s="127">
        <f>VLOOKUP(C430,'Talente &amp; Stuff'!BI:CJ,21,FALSE)</f>
        <v>0</v>
      </c>
      <c r="X430" s="127">
        <f>VLOOKUP(C430,'Talente &amp; Stuff'!BI:CJ,22,FALSE)</f>
        <v>0</v>
      </c>
      <c r="Y430" s="165">
        <f t="shared" si="34"/>
        <v>0</v>
      </c>
      <c r="Z430" s="44">
        <f t="shared" si="35"/>
        <v>0</v>
      </c>
      <c r="AA430" s="125">
        <f>VLOOKUP(C430,'Talente &amp; Stuff'!BI:CJ,25,FALSE)</f>
        <v>0</v>
      </c>
      <c r="AB430" s="160">
        <f>VLOOKUP(C430,'Talente &amp; Stuff'!BI:CJ,26,FALSE)</f>
        <v>0</v>
      </c>
      <c r="AC430" s="127">
        <f>VLOOKUP(C430,'Talente &amp; Stuff'!BI:CJ,27,FALSE)</f>
        <v>0</v>
      </c>
      <c r="AD430" s="125">
        <f>VLOOKUP(C430,'Talente &amp; Stuff'!BI:CJ,28,FALSE)</f>
        <v>0</v>
      </c>
      <c r="AE430" s="28"/>
    </row>
    <row r="431" spans="2:31" ht="15" hidden="1" customHeight="1" outlineLevel="2">
      <c r="B431" s="148">
        <v>7</v>
      </c>
      <c r="C431" s="177" t="str">
        <f>Attribute!C431</f>
        <v>---</v>
      </c>
      <c r="D431" s="125" t="str">
        <f>VLOOKUP(C431,'Talente &amp; Stuff'!BI:CJ,2,FALSE)</f>
        <v>--/--/--</v>
      </c>
      <c r="E431" s="47" t="str">
        <f>VLOOKUP(C431,'Talente &amp; Stuff'!BI:CJ,3,FALSE)</f>
        <v>-</v>
      </c>
      <c r="F431" s="114">
        <f>VLOOKUP(C431,'Talente &amp; Stuff'!BI:CJ,4,FALSE)</f>
        <v>0</v>
      </c>
      <c r="G431" s="113">
        <f>VLOOKUP(C431,'Talente &amp; Stuff'!BI:CJ,5,FALSE)</f>
        <v>0</v>
      </c>
      <c r="H431" s="113">
        <f>VLOOKUP(C431,'Talente &amp; Stuff'!BI:CJ,6,FALSE)</f>
        <v>0</v>
      </c>
      <c r="I431" s="113">
        <f>VLOOKUP(C431,'Talente &amp; Stuff'!BI:CJ,7,FALSE)</f>
        <v>0</v>
      </c>
      <c r="J431" s="113">
        <f>VLOOKUP(C431,'Talente &amp; Stuff'!BI:CJ,8,FALSE)</f>
        <v>0</v>
      </c>
      <c r="K431" s="113">
        <f>VLOOKUP(C431,'Talente &amp; Stuff'!BI:CJ,9,FALSE)</f>
        <v>0</v>
      </c>
      <c r="L431" s="113">
        <f>VLOOKUP(C431,'Talente &amp; Stuff'!BI:CJ,10,FALSE)</f>
        <v>0</v>
      </c>
      <c r="M431" s="119">
        <f>VLOOKUP(C431,'Talente &amp; Stuff'!BI:CJ,11,FALSE)</f>
        <v>0</v>
      </c>
      <c r="N431" s="47">
        <f>VLOOKUP(C431,'Talente &amp; Stuff'!BI:CJ,12,FALSE)</f>
        <v>0</v>
      </c>
      <c r="O431" s="47">
        <f>VLOOKUP(C431,'Talente &amp; Stuff'!BI:CJ,13,FALSE)</f>
        <v>0</v>
      </c>
      <c r="P431" s="113">
        <f>VLOOKUP(C431,'Talente &amp; Stuff'!BI:CJ,14,FALSE)</f>
        <v>0</v>
      </c>
      <c r="Q431" s="114">
        <f>VLOOKUP(C431,'Talente &amp; Stuff'!BI:CJ,15,FALSE)</f>
        <v>0</v>
      </c>
      <c r="R431" s="113">
        <f>VLOOKUP(C431,'Talente &amp; Stuff'!BI:CJ,16,FALSE)</f>
        <v>0</v>
      </c>
      <c r="S431" s="119">
        <f>VLOOKUP(C431,'Talente &amp; Stuff'!BI:CJ,17,FALSE)</f>
        <v>0</v>
      </c>
      <c r="T431" s="160">
        <f>VLOOKUP(C431,'Talente &amp; Stuff'!BI:CJ,18,FALSE)</f>
        <v>0</v>
      </c>
      <c r="U431" s="89">
        <f>VLOOKUP(C431,'Talente &amp; Stuff'!BI:CJ,19,FALSE)</f>
        <v>0</v>
      </c>
      <c r="V431" s="47">
        <f>VLOOKUP(C431,'Talente &amp; Stuff'!BI:CJ,20,FALSE)</f>
        <v>0</v>
      </c>
      <c r="W431" s="127">
        <f>VLOOKUP(C431,'Talente &amp; Stuff'!BI:CJ,21,FALSE)</f>
        <v>0</v>
      </c>
      <c r="X431" s="127">
        <f>VLOOKUP(C431,'Talente &amp; Stuff'!BI:CJ,22,FALSE)</f>
        <v>0</v>
      </c>
      <c r="Y431" s="165">
        <f t="shared" si="34"/>
        <v>0</v>
      </c>
      <c r="Z431" s="44">
        <f t="shared" si="35"/>
        <v>0</v>
      </c>
      <c r="AA431" s="125">
        <f>VLOOKUP(C431,'Talente &amp; Stuff'!BI:CJ,25,FALSE)</f>
        <v>0</v>
      </c>
      <c r="AB431" s="160">
        <f>VLOOKUP(C431,'Talente &amp; Stuff'!BI:CJ,26,FALSE)</f>
        <v>0</v>
      </c>
      <c r="AC431" s="127">
        <f>VLOOKUP(C431,'Talente &amp; Stuff'!BI:CJ,27,FALSE)</f>
        <v>0</v>
      </c>
      <c r="AD431" s="125">
        <f>VLOOKUP(C431,'Talente &amp; Stuff'!BI:CJ,28,FALSE)</f>
        <v>0</v>
      </c>
      <c r="AE431" s="28"/>
    </row>
    <row r="432" spans="2:31" ht="15" hidden="1" customHeight="1" outlineLevel="2">
      <c r="B432" s="148">
        <v>8</v>
      </c>
      <c r="C432" s="178" t="str">
        <f>Attribute!C432</f>
        <v>---</v>
      </c>
      <c r="D432" s="159" t="str">
        <f>VLOOKUP(C432,'Talente &amp; Stuff'!BI:CJ,2,FALSE)</f>
        <v>--/--/--</v>
      </c>
      <c r="E432" s="88" t="str">
        <f>VLOOKUP(C432,'Talente &amp; Stuff'!BI:CJ,3,FALSE)</f>
        <v>-</v>
      </c>
      <c r="F432" s="115">
        <f>VLOOKUP(C432,'Talente &amp; Stuff'!BI:CJ,4,FALSE)</f>
        <v>0</v>
      </c>
      <c r="G432" s="122">
        <f>VLOOKUP(C432,'Talente &amp; Stuff'!BI:CJ,5,FALSE)</f>
        <v>0</v>
      </c>
      <c r="H432" s="122">
        <f>VLOOKUP(C432,'Talente &amp; Stuff'!BI:CJ,6,FALSE)</f>
        <v>0</v>
      </c>
      <c r="I432" s="122">
        <f>VLOOKUP(C432,'Talente &amp; Stuff'!BI:CJ,7,FALSE)</f>
        <v>0</v>
      </c>
      <c r="J432" s="122">
        <f>VLOOKUP(C432,'Talente &amp; Stuff'!BI:CJ,8,FALSE)</f>
        <v>0</v>
      </c>
      <c r="K432" s="122">
        <f>VLOOKUP(C432,'Talente &amp; Stuff'!BI:CJ,9,FALSE)</f>
        <v>0</v>
      </c>
      <c r="L432" s="122">
        <f>VLOOKUP(C432,'Talente &amp; Stuff'!BI:CJ,10,FALSE)</f>
        <v>0</v>
      </c>
      <c r="M432" s="123">
        <f>VLOOKUP(C432,'Talente &amp; Stuff'!BI:CJ,11,FALSE)</f>
        <v>0</v>
      </c>
      <c r="N432" s="88">
        <f>VLOOKUP(C432,'Talente &amp; Stuff'!BI:CJ,12,FALSE)</f>
        <v>0</v>
      </c>
      <c r="O432" s="88">
        <f>VLOOKUP(C432,'Talente &amp; Stuff'!BI:CJ,13,FALSE)</f>
        <v>0</v>
      </c>
      <c r="P432" s="122">
        <f>VLOOKUP(C432,'Talente &amp; Stuff'!BI:CJ,14,FALSE)</f>
        <v>0</v>
      </c>
      <c r="Q432" s="115">
        <f>VLOOKUP(C432,'Talente &amp; Stuff'!BI:CJ,15,FALSE)</f>
        <v>0</v>
      </c>
      <c r="R432" s="122">
        <f>VLOOKUP(C432,'Talente &amp; Stuff'!BI:CJ,16,FALSE)</f>
        <v>0</v>
      </c>
      <c r="S432" s="123">
        <f>VLOOKUP(C432,'Talente &amp; Stuff'!BI:CJ,17,FALSE)</f>
        <v>0</v>
      </c>
      <c r="T432" s="161">
        <f>VLOOKUP(C432,'Talente &amp; Stuff'!BI:CJ,18,FALSE)</f>
        <v>0</v>
      </c>
      <c r="U432" s="90">
        <f>VLOOKUP(C432,'Talente &amp; Stuff'!BI:CJ,19,FALSE)</f>
        <v>0</v>
      </c>
      <c r="V432" s="88">
        <f>VLOOKUP(C432,'Talente &amp; Stuff'!BI:CJ,20,FALSE)</f>
        <v>0</v>
      </c>
      <c r="W432" s="128">
        <f>VLOOKUP(C432,'Talente &amp; Stuff'!BI:CJ,21,FALSE)</f>
        <v>0</v>
      </c>
      <c r="X432" s="128">
        <f>VLOOKUP(C432,'Talente &amp; Stuff'!BI:CJ,22,FALSE)</f>
        <v>0</v>
      </c>
      <c r="Y432" s="165">
        <f t="shared" si="34"/>
        <v>0</v>
      </c>
      <c r="Z432" s="44">
        <f t="shared" si="35"/>
        <v>0</v>
      </c>
      <c r="AA432" s="159">
        <f>VLOOKUP(C432,'Talente &amp; Stuff'!BI:CJ,25,FALSE)</f>
        <v>0</v>
      </c>
      <c r="AB432" s="161">
        <f>VLOOKUP(C432,'Talente &amp; Stuff'!BI:CJ,26,FALSE)</f>
        <v>0</v>
      </c>
      <c r="AC432" s="128">
        <f>VLOOKUP(C432,'Talente &amp; Stuff'!BI:CJ,27,FALSE)</f>
        <v>0</v>
      </c>
      <c r="AD432" s="159">
        <f>VLOOKUP(C432,'Talente &amp; Stuff'!BI:CJ,28,FALSE)</f>
        <v>0</v>
      </c>
      <c r="AE432" s="28"/>
    </row>
    <row r="433" spans="1:31" ht="15" hidden="1" customHeight="1" outlineLevel="1" collapsed="1">
      <c r="B433" s="134" t="s">
        <v>322</v>
      </c>
      <c r="C433" s="83"/>
      <c r="D433" s="84"/>
      <c r="E433" s="84"/>
    </row>
    <row r="434" spans="1:31" ht="15" hidden="1" customHeight="1" outlineLevel="2">
      <c r="B434" s="148">
        <v>1</v>
      </c>
      <c r="C434" s="176" t="str">
        <f>Attribute!C434</f>
        <v>---</v>
      </c>
      <c r="D434" s="158" t="str">
        <f>VLOOKUP(C434,'Talente &amp; Stuff'!BI:CJ,2,FALSE)</f>
        <v>--/--/--</v>
      </c>
      <c r="E434" s="116" t="str">
        <f>VLOOKUP(C434,'Talente &amp; Stuff'!BI:CJ,3,FALSE)</f>
        <v>-</v>
      </c>
      <c r="F434" s="191">
        <f>VLOOKUP(C434,'Talente &amp; Stuff'!BI:CJ,4,FALSE)</f>
        <v>0</v>
      </c>
      <c r="G434" s="118">
        <f>VLOOKUP(C434,'Talente &amp; Stuff'!BI:CJ,5,FALSE)</f>
        <v>0</v>
      </c>
      <c r="H434" s="118">
        <f>VLOOKUP(C434,'Talente &amp; Stuff'!BI:CJ,6,FALSE)</f>
        <v>0</v>
      </c>
      <c r="I434" s="118">
        <f>VLOOKUP(C434,'Talente &amp; Stuff'!BI:CJ,7,FALSE)</f>
        <v>0</v>
      </c>
      <c r="J434" s="118">
        <f>VLOOKUP(C434,'Talente &amp; Stuff'!BI:CJ,8,FALSE)</f>
        <v>0</v>
      </c>
      <c r="K434" s="118">
        <f>VLOOKUP(C434,'Talente &amp; Stuff'!BI:CJ,9,FALSE)</f>
        <v>0</v>
      </c>
      <c r="L434" s="118">
        <f>VLOOKUP(C434,'Talente &amp; Stuff'!BI:CJ,10,FALSE)</f>
        <v>0</v>
      </c>
      <c r="M434" s="92">
        <f>VLOOKUP(C434,'Talente &amp; Stuff'!BI:CJ,11,FALSE)</f>
        <v>0</v>
      </c>
      <c r="N434" s="116">
        <f>VLOOKUP(C434,'Talente &amp; Stuff'!BI:CJ,12,FALSE)</f>
        <v>0</v>
      </c>
      <c r="O434" s="116">
        <f>VLOOKUP(C434,'Talente &amp; Stuff'!BI:CJ,13,FALSE)</f>
        <v>0</v>
      </c>
      <c r="P434" s="118">
        <f>VLOOKUP(C434,'Talente &amp; Stuff'!BI:CJ,14,FALSE)</f>
        <v>0</v>
      </c>
      <c r="Q434" s="191">
        <f>VLOOKUP(C434,'Talente &amp; Stuff'!BI:CJ,15,FALSE)</f>
        <v>0</v>
      </c>
      <c r="R434" s="118">
        <f>VLOOKUP(C434,'Talente &amp; Stuff'!BI:CJ,16,FALSE)</f>
        <v>0</v>
      </c>
      <c r="S434" s="92">
        <f>VLOOKUP(C434,'Talente &amp; Stuff'!BI:CJ,17,FALSE)</f>
        <v>0</v>
      </c>
      <c r="T434" s="91">
        <f>VLOOKUP(C434,'Talente &amp; Stuff'!BI:CJ,18,FALSE)</f>
        <v>0</v>
      </c>
      <c r="U434" s="193">
        <f>VLOOKUP(C434,'Talente &amp; Stuff'!BI:CJ,19,FALSE)</f>
        <v>0</v>
      </c>
      <c r="V434" s="116">
        <f>VLOOKUP(C434,'Talente &amp; Stuff'!BI:CJ,20,FALSE)</f>
        <v>0</v>
      </c>
      <c r="W434" s="126">
        <f>VLOOKUP(C434,'Talente &amp; Stuff'!BI:CJ,21,FALSE)</f>
        <v>0</v>
      </c>
      <c r="X434" s="126">
        <f>VLOOKUP(C434,'Talente &amp; Stuff'!BI:CJ,22,FALSE)</f>
        <v>0</v>
      </c>
      <c r="Y434" s="175">
        <f t="shared" ref="Y434:Y439" si="36">VLOOKUP(C434,Ausgewählte_Liturgien_Praios,81,FALSE)</f>
        <v>0</v>
      </c>
      <c r="Z434" s="198">
        <f t="shared" ref="Z434:Z439" si="37">VLOOKUP(C434,Ausgewählte_Liturgien_Praios,82,FALSE)</f>
        <v>0</v>
      </c>
      <c r="AA434" s="158">
        <f>VLOOKUP(C434,'Talente &amp; Stuff'!BI:CJ,25,FALSE)</f>
        <v>0</v>
      </c>
      <c r="AB434" s="91">
        <f>VLOOKUP(C434,'Talente &amp; Stuff'!BI:CJ,26,FALSE)</f>
        <v>0</v>
      </c>
      <c r="AC434" s="126">
        <f>VLOOKUP(C434,'Talente &amp; Stuff'!BI:CJ,27,FALSE)</f>
        <v>0</v>
      </c>
      <c r="AD434" s="158">
        <f>VLOOKUP(C434,'Talente &amp; Stuff'!BI:CJ,28,FALSE)</f>
        <v>0</v>
      </c>
      <c r="AE434" s="28"/>
    </row>
    <row r="435" spans="1:31" ht="15" hidden="1" customHeight="1" outlineLevel="2">
      <c r="B435" s="148">
        <v>2</v>
      </c>
      <c r="C435" s="177" t="str">
        <f>Attribute!C435</f>
        <v>---</v>
      </c>
      <c r="D435" s="125" t="str">
        <f>VLOOKUP(C435,'Talente &amp; Stuff'!BI:CJ,2,FALSE)</f>
        <v>--/--/--</v>
      </c>
      <c r="E435" s="47" t="str">
        <f>VLOOKUP(C435,'Talente &amp; Stuff'!BI:CJ,3,FALSE)</f>
        <v>-</v>
      </c>
      <c r="F435" s="114">
        <f>VLOOKUP(C435,'Talente &amp; Stuff'!BI:CJ,4,FALSE)</f>
        <v>0</v>
      </c>
      <c r="G435" s="113">
        <f>VLOOKUP(C435,'Talente &amp; Stuff'!BI:CJ,5,FALSE)</f>
        <v>0</v>
      </c>
      <c r="H435" s="113">
        <f>VLOOKUP(C435,'Talente &amp; Stuff'!BI:CJ,6,FALSE)</f>
        <v>0</v>
      </c>
      <c r="I435" s="113">
        <f>VLOOKUP(C435,'Talente &amp; Stuff'!BI:CJ,7,FALSE)</f>
        <v>0</v>
      </c>
      <c r="J435" s="113">
        <f>VLOOKUP(C435,'Talente &amp; Stuff'!BI:CJ,8,FALSE)</f>
        <v>0</v>
      </c>
      <c r="K435" s="113">
        <f>VLOOKUP(C435,'Talente &amp; Stuff'!BI:CJ,9,FALSE)</f>
        <v>0</v>
      </c>
      <c r="L435" s="113">
        <f>VLOOKUP(C435,'Talente &amp; Stuff'!BI:CJ,10,FALSE)</f>
        <v>0</v>
      </c>
      <c r="M435" s="119">
        <f>VLOOKUP(C435,'Talente &amp; Stuff'!BI:CJ,11,FALSE)</f>
        <v>0</v>
      </c>
      <c r="N435" s="47">
        <f>VLOOKUP(C435,'Talente &amp; Stuff'!BI:CJ,12,FALSE)</f>
        <v>0</v>
      </c>
      <c r="O435" s="47">
        <f>VLOOKUP(C435,'Talente &amp; Stuff'!BI:CJ,13,FALSE)</f>
        <v>0</v>
      </c>
      <c r="P435" s="113">
        <f>VLOOKUP(C435,'Talente &amp; Stuff'!BI:CJ,14,FALSE)</f>
        <v>0</v>
      </c>
      <c r="Q435" s="114">
        <f>VLOOKUP(C435,'Talente &amp; Stuff'!BI:CJ,15,FALSE)</f>
        <v>0</v>
      </c>
      <c r="R435" s="113">
        <f>VLOOKUP(C435,'Talente &amp; Stuff'!BI:CJ,16,FALSE)</f>
        <v>0</v>
      </c>
      <c r="S435" s="119">
        <f>VLOOKUP(C435,'Talente &amp; Stuff'!BI:CJ,17,FALSE)</f>
        <v>0</v>
      </c>
      <c r="T435" s="160">
        <f>VLOOKUP(C435,'Talente &amp; Stuff'!BI:CJ,18,FALSE)</f>
        <v>0</v>
      </c>
      <c r="U435" s="89">
        <f>VLOOKUP(C435,'Talente &amp; Stuff'!BI:CJ,19,FALSE)</f>
        <v>0</v>
      </c>
      <c r="V435" s="47">
        <f>VLOOKUP(C435,'Talente &amp; Stuff'!BI:CJ,20,FALSE)</f>
        <v>0</v>
      </c>
      <c r="W435" s="127">
        <f>VLOOKUP(C435,'Talente &amp; Stuff'!BI:CJ,21,FALSE)</f>
        <v>0</v>
      </c>
      <c r="X435" s="127">
        <f>VLOOKUP(C435,'Talente &amp; Stuff'!BI:CJ,22,FALSE)</f>
        <v>0</v>
      </c>
      <c r="Y435" s="175">
        <f t="shared" si="36"/>
        <v>0</v>
      </c>
      <c r="Z435" s="198">
        <f t="shared" si="37"/>
        <v>0</v>
      </c>
      <c r="AA435" s="125">
        <f>VLOOKUP(C435,'Talente &amp; Stuff'!BI:CJ,25,FALSE)</f>
        <v>0</v>
      </c>
      <c r="AB435" s="160">
        <f>VLOOKUP(C435,'Talente &amp; Stuff'!BI:CJ,26,FALSE)</f>
        <v>0</v>
      </c>
      <c r="AC435" s="127">
        <f>VLOOKUP(C435,'Talente &amp; Stuff'!BI:CJ,27,FALSE)</f>
        <v>0</v>
      </c>
      <c r="AD435" s="125">
        <f>VLOOKUP(C435,'Talente &amp; Stuff'!BI:CJ,28,FALSE)</f>
        <v>0</v>
      </c>
      <c r="AE435" s="28"/>
    </row>
    <row r="436" spans="1:31" ht="15" hidden="1" customHeight="1" outlineLevel="2">
      <c r="B436" s="148">
        <v>3</v>
      </c>
      <c r="C436" s="177" t="str">
        <f>Attribute!C436</f>
        <v>---</v>
      </c>
      <c r="D436" s="125" t="str">
        <f>VLOOKUP(C436,'Talente &amp; Stuff'!BI:CJ,2,FALSE)</f>
        <v>--/--/--</v>
      </c>
      <c r="E436" s="47" t="str">
        <f>VLOOKUP(C436,'Talente &amp; Stuff'!BI:CJ,3,FALSE)</f>
        <v>-</v>
      </c>
      <c r="F436" s="114">
        <f>VLOOKUP(C436,'Talente &amp; Stuff'!BI:CJ,4,FALSE)</f>
        <v>0</v>
      </c>
      <c r="G436" s="113">
        <f>VLOOKUP(C436,'Talente &amp; Stuff'!BI:CJ,5,FALSE)</f>
        <v>0</v>
      </c>
      <c r="H436" s="113">
        <f>VLOOKUP(C436,'Talente &amp; Stuff'!BI:CJ,6,FALSE)</f>
        <v>0</v>
      </c>
      <c r="I436" s="113">
        <f>VLOOKUP(C436,'Talente &amp; Stuff'!BI:CJ,7,FALSE)</f>
        <v>0</v>
      </c>
      <c r="J436" s="113">
        <f>VLOOKUP(C436,'Talente &amp; Stuff'!BI:CJ,8,FALSE)</f>
        <v>0</v>
      </c>
      <c r="K436" s="113">
        <f>VLOOKUP(C436,'Talente &amp; Stuff'!BI:CJ,9,FALSE)</f>
        <v>0</v>
      </c>
      <c r="L436" s="113">
        <f>VLOOKUP(C436,'Talente &amp; Stuff'!BI:CJ,10,FALSE)</f>
        <v>0</v>
      </c>
      <c r="M436" s="119">
        <f>VLOOKUP(C436,'Talente &amp; Stuff'!BI:CJ,11,FALSE)</f>
        <v>0</v>
      </c>
      <c r="N436" s="47">
        <f>VLOOKUP(C436,'Talente &amp; Stuff'!BI:CJ,12,FALSE)</f>
        <v>0</v>
      </c>
      <c r="O436" s="47">
        <f>VLOOKUP(C436,'Talente &amp; Stuff'!BI:CJ,13,FALSE)</f>
        <v>0</v>
      </c>
      <c r="P436" s="113">
        <f>VLOOKUP(C436,'Talente &amp; Stuff'!BI:CJ,14,FALSE)</f>
        <v>0</v>
      </c>
      <c r="Q436" s="114">
        <f>VLOOKUP(C436,'Talente &amp; Stuff'!BI:CJ,15,FALSE)</f>
        <v>0</v>
      </c>
      <c r="R436" s="113">
        <f>VLOOKUP(C436,'Talente &amp; Stuff'!BI:CJ,16,FALSE)</f>
        <v>0</v>
      </c>
      <c r="S436" s="119">
        <f>VLOOKUP(C436,'Talente &amp; Stuff'!BI:CJ,17,FALSE)</f>
        <v>0</v>
      </c>
      <c r="T436" s="160">
        <f>VLOOKUP(C436,'Talente &amp; Stuff'!BI:CJ,18,FALSE)</f>
        <v>0</v>
      </c>
      <c r="U436" s="89">
        <f>VLOOKUP(C436,'Talente &amp; Stuff'!BI:CJ,19,FALSE)</f>
        <v>0</v>
      </c>
      <c r="V436" s="47">
        <f>VLOOKUP(C436,'Talente &amp; Stuff'!BI:CJ,20,FALSE)</f>
        <v>0</v>
      </c>
      <c r="W436" s="127">
        <f>VLOOKUP(C436,'Talente &amp; Stuff'!BI:CJ,21,FALSE)</f>
        <v>0</v>
      </c>
      <c r="X436" s="127">
        <f>VLOOKUP(C436,'Talente &amp; Stuff'!BI:CJ,22,FALSE)</f>
        <v>0</v>
      </c>
      <c r="Y436" s="175">
        <f t="shared" si="36"/>
        <v>0</v>
      </c>
      <c r="Z436" s="198">
        <f t="shared" si="37"/>
        <v>0</v>
      </c>
      <c r="AA436" s="125">
        <f>VLOOKUP(C436,'Talente &amp; Stuff'!BI:CJ,25,FALSE)</f>
        <v>0</v>
      </c>
      <c r="AB436" s="160">
        <f>VLOOKUP(C436,'Talente &amp; Stuff'!BI:CJ,26,FALSE)</f>
        <v>0</v>
      </c>
      <c r="AC436" s="127">
        <f>VLOOKUP(C436,'Talente &amp; Stuff'!BI:CJ,27,FALSE)</f>
        <v>0</v>
      </c>
      <c r="AD436" s="125">
        <f>VLOOKUP(C436,'Talente &amp; Stuff'!BI:CJ,28,FALSE)</f>
        <v>0</v>
      </c>
      <c r="AE436" s="28"/>
    </row>
    <row r="437" spans="1:31" ht="15" hidden="1" customHeight="1" outlineLevel="2">
      <c r="B437" s="148">
        <v>4</v>
      </c>
      <c r="C437" s="177" t="str">
        <f>Attribute!C437</f>
        <v>---</v>
      </c>
      <c r="D437" s="125" t="str">
        <f>VLOOKUP(C437,'Talente &amp; Stuff'!BI:CJ,2,FALSE)</f>
        <v>--/--/--</v>
      </c>
      <c r="E437" s="47" t="str">
        <f>VLOOKUP(C437,'Talente &amp; Stuff'!BI:CJ,3,FALSE)</f>
        <v>-</v>
      </c>
      <c r="F437" s="114">
        <f>VLOOKUP(C437,'Talente &amp; Stuff'!BI:CJ,4,FALSE)</f>
        <v>0</v>
      </c>
      <c r="G437" s="113">
        <f>VLOOKUP(C437,'Talente &amp; Stuff'!BI:CJ,5,FALSE)</f>
        <v>0</v>
      </c>
      <c r="H437" s="113">
        <f>VLOOKUP(C437,'Talente &amp; Stuff'!BI:CJ,6,FALSE)</f>
        <v>0</v>
      </c>
      <c r="I437" s="113">
        <f>VLOOKUP(C437,'Talente &amp; Stuff'!BI:CJ,7,FALSE)</f>
        <v>0</v>
      </c>
      <c r="J437" s="113">
        <f>VLOOKUP(C437,'Talente &amp; Stuff'!BI:CJ,8,FALSE)</f>
        <v>0</v>
      </c>
      <c r="K437" s="113">
        <f>VLOOKUP(C437,'Talente &amp; Stuff'!BI:CJ,9,FALSE)</f>
        <v>0</v>
      </c>
      <c r="L437" s="113">
        <f>VLOOKUP(C437,'Talente &amp; Stuff'!BI:CJ,10,FALSE)</f>
        <v>0</v>
      </c>
      <c r="M437" s="119">
        <f>VLOOKUP(C437,'Talente &amp; Stuff'!BI:CJ,11,FALSE)</f>
        <v>0</v>
      </c>
      <c r="N437" s="47">
        <f>VLOOKUP(C437,'Talente &amp; Stuff'!BI:CJ,12,FALSE)</f>
        <v>0</v>
      </c>
      <c r="O437" s="47">
        <f>VLOOKUP(C437,'Talente &amp; Stuff'!BI:CJ,13,FALSE)</f>
        <v>0</v>
      </c>
      <c r="P437" s="113">
        <f>VLOOKUP(C437,'Talente &amp; Stuff'!BI:CJ,14,FALSE)</f>
        <v>0</v>
      </c>
      <c r="Q437" s="114">
        <f>VLOOKUP(C437,'Talente &amp; Stuff'!BI:CJ,15,FALSE)</f>
        <v>0</v>
      </c>
      <c r="R437" s="113">
        <f>VLOOKUP(C437,'Talente &amp; Stuff'!BI:CJ,16,FALSE)</f>
        <v>0</v>
      </c>
      <c r="S437" s="119">
        <f>VLOOKUP(C437,'Talente &amp; Stuff'!BI:CJ,17,FALSE)</f>
        <v>0</v>
      </c>
      <c r="T437" s="160">
        <f>VLOOKUP(C437,'Talente &amp; Stuff'!BI:CJ,18,FALSE)</f>
        <v>0</v>
      </c>
      <c r="U437" s="89">
        <f>VLOOKUP(C437,'Talente &amp; Stuff'!BI:CJ,19,FALSE)</f>
        <v>0</v>
      </c>
      <c r="V437" s="47">
        <f>VLOOKUP(C437,'Talente &amp; Stuff'!BI:CJ,20,FALSE)</f>
        <v>0</v>
      </c>
      <c r="W437" s="127">
        <f>VLOOKUP(C437,'Talente &amp; Stuff'!BI:CJ,21,FALSE)</f>
        <v>0</v>
      </c>
      <c r="X437" s="127">
        <f>VLOOKUP(C437,'Talente &amp; Stuff'!BI:CJ,22,FALSE)</f>
        <v>0</v>
      </c>
      <c r="Y437" s="175">
        <f t="shared" si="36"/>
        <v>0</v>
      </c>
      <c r="Z437" s="198">
        <f t="shared" si="37"/>
        <v>0</v>
      </c>
      <c r="AA437" s="125">
        <f>VLOOKUP(C437,'Talente &amp; Stuff'!BI:CJ,25,FALSE)</f>
        <v>0</v>
      </c>
      <c r="AB437" s="160">
        <f>VLOOKUP(C437,'Talente &amp; Stuff'!BI:CJ,26,FALSE)</f>
        <v>0</v>
      </c>
      <c r="AC437" s="127">
        <f>VLOOKUP(C437,'Talente &amp; Stuff'!BI:CJ,27,FALSE)</f>
        <v>0</v>
      </c>
      <c r="AD437" s="125">
        <f>VLOOKUP(C437,'Talente &amp; Stuff'!BI:CJ,28,FALSE)</f>
        <v>0</v>
      </c>
      <c r="AE437" s="28"/>
    </row>
    <row r="438" spans="1:31" ht="15" hidden="1" customHeight="1" outlineLevel="2">
      <c r="B438" s="148">
        <v>5</v>
      </c>
      <c r="C438" s="177" t="str">
        <f>Attribute!C438</f>
        <v>---</v>
      </c>
      <c r="D438" s="125" t="str">
        <f>VLOOKUP(C438,'Talente &amp; Stuff'!BI:CJ,2,FALSE)</f>
        <v>--/--/--</v>
      </c>
      <c r="E438" s="47" t="str">
        <f>VLOOKUP(C438,'Talente &amp; Stuff'!BI:CJ,3,FALSE)</f>
        <v>-</v>
      </c>
      <c r="F438" s="114">
        <f>VLOOKUP(C438,'Talente &amp; Stuff'!BI:CJ,4,FALSE)</f>
        <v>0</v>
      </c>
      <c r="G438" s="113">
        <f>VLOOKUP(C438,'Talente &amp; Stuff'!BI:CJ,5,FALSE)</f>
        <v>0</v>
      </c>
      <c r="H438" s="113">
        <f>VLOOKUP(C438,'Talente &amp; Stuff'!BI:CJ,6,FALSE)</f>
        <v>0</v>
      </c>
      <c r="I438" s="113">
        <f>VLOOKUP(C438,'Talente &amp; Stuff'!BI:CJ,7,FALSE)</f>
        <v>0</v>
      </c>
      <c r="J438" s="113">
        <f>VLOOKUP(C438,'Talente &amp; Stuff'!BI:CJ,8,FALSE)</f>
        <v>0</v>
      </c>
      <c r="K438" s="113">
        <f>VLOOKUP(C438,'Talente &amp; Stuff'!BI:CJ,9,FALSE)</f>
        <v>0</v>
      </c>
      <c r="L438" s="113">
        <f>VLOOKUP(C438,'Talente &amp; Stuff'!BI:CJ,10,FALSE)</f>
        <v>0</v>
      </c>
      <c r="M438" s="119">
        <f>VLOOKUP(C438,'Talente &amp; Stuff'!BI:CJ,11,FALSE)</f>
        <v>0</v>
      </c>
      <c r="N438" s="47">
        <f>VLOOKUP(C438,'Talente &amp; Stuff'!BI:CJ,12,FALSE)</f>
        <v>0</v>
      </c>
      <c r="O438" s="47">
        <f>VLOOKUP(C438,'Talente &amp; Stuff'!BI:CJ,13,FALSE)</f>
        <v>0</v>
      </c>
      <c r="P438" s="113">
        <f>VLOOKUP(C438,'Talente &amp; Stuff'!BI:CJ,14,FALSE)</f>
        <v>0</v>
      </c>
      <c r="Q438" s="114">
        <f>VLOOKUP(C438,'Talente &amp; Stuff'!BI:CJ,15,FALSE)</f>
        <v>0</v>
      </c>
      <c r="R438" s="113">
        <f>VLOOKUP(C438,'Talente &amp; Stuff'!BI:CJ,16,FALSE)</f>
        <v>0</v>
      </c>
      <c r="S438" s="119">
        <f>VLOOKUP(C438,'Talente &amp; Stuff'!BI:CJ,17,FALSE)</f>
        <v>0</v>
      </c>
      <c r="T438" s="160">
        <f>VLOOKUP(C438,'Talente &amp; Stuff'!BI:CJ,18,FALSE)</f>
        <v>0</v>
      </c>
      <c r="U438" s="89">
        <f>VLOOKUP(C438,'Talente &amp; Stuff'!BI:CJ,19,FALSE)</f>
        <v>0</v>
      </c>
      <c r="V438" s="47">
        <f>VLOOKUP(C438,'Talente &amp; Stuff'!BI:CJ,20,FALSE)</f>
        <v>0</v>
      </c>
      <c r="W438" s="127">
        <f>VLOOKUP(C438,'Talente &amp; Stuff'!BI:CJ,21,FALSE)</f>
        <v>0</v>
      </c>
      <c r="X438" s="127">
        <f>VLOOKUP(C438,'Talente &amp; Stuff'!BI:CJ,22,FALSE)</f>
        <v>0</v>
      </c>
      <c r="Y438" s="175">
        <f t="shared" si="36"/>
        <v>0</v>
      </c>
      <c r="Z438" s="198">
        <f t="shared" si="37"/>
        <v>0</v>
      </c>
      <c r="AA438" s="125">
        <f>VLOOKUP(C438,'Talente &amp; Stuff'!BI:CJ,25,FALSE)</f>
        <v>0</v>
      </c>
      <c r="AB438" s="160">
        <f>VLOOKUP(C438,'Talente &amp; Stuff'!BI:CJ,26,FALSE)</f>
        <v>0</v>
      </c>
      <c r="AC438" s="127">
        <f>VLOOKUP(C438,'Talente &amp; Stuff'!BI:CJ,27,FALSE)</f>
        <v>0</v>
      </c>
      <c r="AD438" s="125">
        <f>VLOOKUP(C438,'Talente &amp; Stuff'!BI:CJ,28,FALSE)</f>
        <v>0</v>
      </c>
      <c r="AE438" s="28"/>
    </row>
    <row r="439" spans="1:31" ht="15" hidden="1" customHeight="1" outlineLevel="2">
      <c r="B439" s="148">
        <v>6</v>
      </c>
      <c r="C439" s="178" t="str">
        <f>Attribute!C439</f>
        <v>---</v>
      </c>
      <c r="D439" s="159" t="str">
        <f>VLOOKUP(C439,'Talente &amp; Stuff'!BI:CJ,2,FALSE)</f>
        <v>--/--/--</v>
      </c>
      <c r="E439" s="88" t="str">
        <f>VLOOKUP(C439,'Talente &amp; Stuff'!BI:CJ,3,FALSE)</f>
        <v>-</v>
      </c>
      <c r="F439" s="115">
        <f>VLOOKUP(C439,'Talente &amp; Stuff'!BI:CJ,4,FALSE)</f>
        <v>0</v>
      </c>
      <c r="G439" s="122">
        <f>VLOOKUP(C439,'Talente &amp; Stuff'!BI:CJ,5,FALSE)</f>
        <v>0</v>
      </c>
      <c r="H439" s="122">
        <f>VLOOKUP(C439,'Talente &amp; Stuff'!BI:CJ,6,FALSE)</f>
        <v>0</v>
      </c>
      <c r="I439" s="122">
        <f>VLOOKUP(C439,'Talente &amp; Stuff'!BI:CJ,7,FALSE)</f>
        <v>0</v>
      </c>
      <c r="J439" s="122">
        <f>VLOOKUP(C439,'Talente &amp; Stuff'!BI:CJ,8,FALSE)</f>
        <v>0</v>
      </c>
      <c r="K439" s="122">
        <f>VLOOKUP(C439,'Talente &amp; Stuff'!BI:CJ,9,FALSE)</f>
        <v>0</v>
      </c>
      <c r="L439" s="122">
        <f>VLOOKUP(C439,'Talente &amp; Stuff'!BI:CJ,10,FALSE)</f>
        <v>0</v>
      </c>
      <c r="M439" s="123">
        <f>VLOOKUP(C439,'Talente &amp; Stuff'!BI:CJ,11,FALSE)</f>
        <v>0</v>
      </c>
      <c r="N439" s="88">
        <f>VLOOKUP(C439,'Talente &amp; Stuff'!BI:CJ,12,FALSE)</f>
        <v>0</v>
      </c>
      <c r="O439" s="88">
        <f>VLOOKUP(C439,'Talente &amp; Stuff'!BI:CJ,13,FALSE)</f>
        <v>0</v>
      </c>
      <c r="P439" s="122">
        <f>VLOOKUP(C439,'Talente &amp; Stuff'!BI:CJ,14,FALSE)</f>
        <v>0</v>
      </c>
      <c r="Q439" s="115">
        <f>VLOOKUP(C439,'Talente &amp; Stuff'!BI:CJ,15,FALSE)</f>
        <v>0</v>
      </c>
      <c r="R439" s="122">
        <f>VLOOKUP(C439,'Talente &amp; Stuff'!BI:CJ,16,FALSE)</f>
        <v>0</v>
      </c>
      <c r="S439" s="123">
        <f>VLOOKUP(C439,'Talente &amp; Stuff'!BI:CJ,17,FALSE)</f>
        <v>0</v>
      </c>
      <c r="T439" s="161">
        <f>VLOOKUP(C439,'Talente &amp; Stuff'!BI:CJ,18,FALSE)</f>
        <v>0</v>
      </c>
      <c r="U439" s="90">
        <f>VLOOKUP(C439,'Talente &amp; Stuff'!BI:CJ,19,FALSE)</f>
        <v>0</v>
      </c>
      <c r="V439" s="88">
        <f>VLOOKUP(C439,'Talente &amp; Stuff'!BI:CJ,20,FALSE)</f>
        <v>0</v>
      </c>
      <c r="W439" s="128">
        <f>VLOOKUP(C439,'Talente &amp; Stuff'!BI:CJ,21,FALSE)</f>
        <v>0</v>
      </c>
      <c r="X439" s="128">
        <f>VLOOKUP(C439,'Talente &amp; Stuff'!BI:CJ,22,FALSE)</f>
        <v>0</v>
      </c>
      <c r="Y439" s="175">
        <f t="shared" si="36"/>
        <v>0</v>
      </c>
      <c r="Z439" s="198">
        <f t="shared" si="37"/>
        <v>0</v>
      </c>
      <c r="AA439" s="159">
        <f>VLOOKUP(C439,'Talente &amp; Stuff'!BI:CJ,25,FALSE)</f>
        <v>0</v>
      </c>
      <c r="AB439" s="161">
        <f>VLOOKUP(C439,'Talente &amp; Stuff'!BI:CJ,26,FALSE)</f>
        <v>0</v>
      </c>
      <c r="AC439" s="128">
        <f>VLOOKUP(C439,'Talente &amp; Stuff'!BI:CJ,27,FALSE)</f>
        <v>0</v>
      </c>
      <c r="AD439" s="159">
        <f>VLOOKUP(C439,'Talente &amp; Stuff'!BI:CJ,28,FALSE)</f>
        <v>0</v>
      </c>
      <c r="AE439" s="28"/>
    </row>
    <row r="440" spans="1:31" ht="15" hidden="1" customHeight="1" outlineLevel="1" collapsed="1">
      <c r="B440" s="134" t="s">
        <v>321</v>
      </c>
      <c r="C440" s="83"/>
      <c r="D440" s="84"/>
      <c r="E440" s="84"/>
    </row>
    <row r="441" spans="1:31" ht="15" hidden="1" customHeight="1" outlineLevel="2">
      <c r="B441" s="148">
        <v>1</v>
      </c>
      <c r="C441" s="176" t="str">
        <f>Attribute!C441</f>
        <v>---</v>
      </c>
      <c r="D441" s="158" t="str">
        <f>VLOOKUP(C441,'Talente &amp; Stuff'!BI:CJ,2,FALSE)</f>
        <v>--/--/--</v>
      </c>
      <c r="E441" s="116" t="str">
        <f>VLOOKUP(C441,'Talente &amp; Stuff'!BI:CJ,3,FALSE)</f>
        <v>-</v>
      </c>
      <c r="F441" s="191">
        <f>VLOOKUP(C441,'Talente &amp; Stuff'!BI:CJ,4,FALSE)</f>
        <v>0</v>
      </c>
      <c r="G441" s="118">
        <f>VLOOKUP(C441,'Talente &amp; Stuff'!BI:CJ,5,FALSE)</f>
        <v>0</v>
      </c>
      <c r="H441" s="118">
        <f>VLOOKUP(C441,'Talente &amp; Stuff'!BI:CJ,6,FALSE)</f>
        <v>0</v>
      </c>
      <c r="I441" s="118">
        <f>VLOOKUP(C441,'Talente &amp; Stuff'!BI:CJ,7,FALSE)</f>
        <v>0</v>
      </c>
      <c r="J441" s="118">
        <f>VLOOKUP(C441,'Talente &amp; Stuff'!BI:CJ,8,FALSE)</f>
        <v>0</v>
      </c>
      <c r="K441" s="118">
        <f>VLOOKUP(C441,'Talente &amp; Stuff'!BI:CJ,9,FALSE)</f>
        <v>0</v>
      </c>
      <c r="L441" s="118">
        <f>VLOOKUP(C441,'Talente &amp; Stuff'!BI:CJ,10,FALSE)</f>
        <v>0</v>
      </c>
      <c r="M441" s="92">
        <f>VLOOKUP(C441,'Talente &amp; Stuff'!BI:CJ,11,FALSE)</f>
        <v>0</v>
      </c>
      <c r="N441" s="116">
        <f>VLOOKUP(C441,'Talente &amp; Stuff'!BI:CJ,12,FALSE)</f>
        <v>0</v>
      </c>
      <c r="O441" s="116">
        <f>VLOOKUP(C441,'Talente &amp; Stuff'!BI:CJ,13,FALSE)</f>
        <v>0</v>
      </c>
      <c r="P441" s="118">
        <f>VLOOKUP(C441,'Talente &amp; Stuff'!BI:CJ,14,FALSE)</f>
        <v>0</v>
      </c>
      <c r="Q441" s="191">
        <f>VLOOKUP(C441,'Talente &amp; Stuff'!BI:CJ,15,FALSE)</f>
        <v>0</v>
      </c>
      <c r="R441" s="118">
        <f>VLOOKUP(C441,'Talente &amp; Stuff'!BI:CJ,16,FALSE)</f>
        <v>0</v>
      </c>
      <c r="S441" s="92">
        <f>VLOOKUP(C441,'Talente &amp; Stuff'!BI:CJ,17,FALSE)</f>
        <v>0</v>
      </c>
      <c r="T441" s="91">
        <f>VLOOKUP(C441,'Talente &amp; Stuff'!BI:CJ,18,FALSE)</f>
        <v>0</v>
      </c>
      <c r="U441" s="193">
        <f>VLOOKUP(C441,'Talente &amp; Stuff'!BI:CJ,19,FALSE)</f>
        <v>0</v>
      </c>
      <c r="V441" s="116">
        <f>VLOOKUP(C441,'Talente &amp; Stuff'!BI:CJ,20,FALSE)</f>
        <v>0</v>
      </c>
      <c r="W441" s="126">
        <f>VLOOKUP(C441,'Talente &amp; Stuff'!BI:CJ,21,FALSE)</f>
        <v>0</v>
      </c>
      <c r="X441" s="126">
        <f>VLOOKUP(C441,'Talente &amp; Stuff'!BI:CJ,22,FALSE)</f>
        <v>0</v>
      </c>
      <c r="Y441" s="165">
        <f>VLOOKUP(C441,Ausgewählte_Liturgien_Rondra,81,FALSE)</f>
        <v>0</v>
      </c>
      <c r="Z441" s="44">
        <f>VLOOKUP(C441,Ausgewählte_Liturgien_Rondra,82,FALSE)</f>
        <v>0</v>
      </c>
      <c r="AA441" s="158">
        <f>VLOOKUP(C441,'Talente &amp; Stuff'!BI:CJ,25,FALSE)</f>
        <v>0</v>
      </c>
      <c r="AB441" s="91">
        <f>VLOOKUP(C441,'Talente &amp; Stuff'!BI:CJ,26,FALSE)</f>
        <v>0</v>
      </c>
      <c r="AC441" s="126">
        <f>VLOOKUP(C441,'Talente &amp; Stuff'!BI:CJ,27,FALSE)</f>
        <v>0</v>
      </c>
      <c r="AD441" s="158">
        <f>VLOOKUP(C441,'Talente &amp; Stuff'!BI:CJ,28,FALSE)</f>
        <v>0</v>
      </c>
      <c r="AE441" s="28"/>
    </row>
    <row r="442" spans="1:31" ht="15" hidden="1" customHeight="1" outlineLevel="2">
      <c r="B442" s="148">
        <v>2</v>
      </c>
      <c r="C442" s="177" t="str">
        <f>Attribute!C442</f>
        <v>---</v>
      </c>
      <c r="D442" s="125" t="str">
        <f>VLOOKUP(C442,'Talente &amp; Stuff'!BI:CJ,2,FALSE)</f>
        <v>--/--/--</v>
      </c>
      <c r="E442" s="47" t="str">
        <f>VLOOKUP(C442,'Talente &amp; Stuff'!BI:CJ,3,FALSE)</f>
        <v>-</v>
      </c>
      <c r="F442" s="114">
        <f>VLOOKUP(C442,'Talente &amp; Stuff'!BI:CJ,4,FALSE)</f>
        <v>0</v>
      </c>
      <c r="G442" s="113">
        <f>VLOOKUP(C442,'Talente &amp; Stuff'!BI:CJ,5,FALSE)</f>
        <v>0</v>
      </c>
      <c r="H442" s="113">
        <f>VLOOKUP(C442,'Talente &amp; Stuff'!BI:CJ,6,FALSE)</f>
        <v>0</v>
      </c>
      <c r="I442" s="113">
        <f>VLOOKUP(C442,'Talente &amp; Stuff'!BI:CJ,7,FALSE)</f>
        <v>0</v>
      </c>
      <c r="J442" s="113">
        <f>VLOOKUP(C442,'Talente &amp; Stuff'!BI:CJ,8,FALSE)</f>
        <v>0</v>
      </c>
      <c r="K442" s="113">
        <f>VLOOKUP(C442,'Talente &amp; Stuff'!BI:CJ,9,FALSE)</f>
        <v>0</v>
      </c>
      <c r="L442" s="113">
        <f>VLOOKUP(C442,'Talente &amp; Stuff'!BI:CJ,10,FALSE)</f>
        <v>0</v>
      </c>
      <c r="M442" s="119">
        <f>VLOOKUP(C442,'Talente &amp; Stuff'!BI:CJ,11,FALSE)</f>
        <v>0</v>
      </c>
      <c r="N442" s="47">
        <f>VLOOKUP(C442,'Talente &amp; Stuff'!BI:CJ,12,FALSE)</f>
        <v>0</v>
      </c>
      <c r="O442" s="47">
        <f>VLOOKUP(C442,'Talente &amp; Stuff'!BI:CJ,13,FALSE)</f>
        <v>0</v>
      </c>
      <c r="P442" s="113">
        <f>VLOOKUP(C442,'Talente &amp; Stuff'!BI:CJ,14,FALSE)</f>
        <v>0</v>
      </c>
      <c r="Q442" s="114">
        <f>VLOOKUP(C442,'Talente &amp; Stuff'!BI:CJ,15,FALSE)</f>
        <v>0</v>
      </c>
      <c r="R442" s="113">
        <f>VLOOKUP(C442,'Talente &amp; Stuff'!BI:CJ,16,FALSE)</f>
        <v>0</v>
      </c>
      <c r="S442" s="119">
        <f>VLOOKUP(C442,'Talente &amp; Stuff'!BI:CJ,17,FALSE)</f>
        <v>0</v>
      </c>
      <c r="T442" s="160">
        <f>VLOOKUP(C442,'Talente &amp; Stuff'!BI:CJ,18,FALSE)</f>
        <v>0</v>
      </c>
      <c r="U442" s="89">
        <f>VLOOKUP(C442,'Talente &amp; Stuff'!BI:CJ,19,FALSE)</f>
        <v>0</v>
      </c>
      <c r="V442" s="47">
        <f>VLOOKUP(C442,'Talente &amp; Stuff'!BI:CJ,20,FALSE)</f>
        <v>0</v>
      </c>
      <c r="W442" s="127">
        <f>VLOOKUP(C442,'Talente &amp; Stuff'!BI:CJ,21,FALSE)</f>
        <v>0</v>
      </c>
      <c r="X442" s="127">
        <f>VLOOKUP(C442,'Talente &amp; Stuff'!BI:CJ,22,FALSE)</f>
        <v>0</v>
      </c>
      <c r="Y442" s="165">
        <f>VLOOKUP(C442,Ausgewählte_Liturgien_Rondra,81,FALSE)</f>
        <v>0</v>
      </c>
      <c r="Z442" s="44">
        <f>VLOOKUP(C442,Ausgewählte_Liturgien_Rondra,82,FALSE)</f>
        <v>0</v>
      </c>
      <c r="AA442" s="125">
        <f>VLOOKUP(C442,'Talente &amp; Stuff'!BI:CJ,25,FALSE)</f>
        <v>0</v>
      </c>
      <c r="AB442" s="160">
        <f>VLOOKUP(C442,'Talente &amp; Stuff'!BI:CJ,26,FALSE)</f>
        <v>0</v>
      </c>
      <c r="AC442" s="127">
        <f>VLOOKUP(C442,'Talente &amp; Stuff'!BI:CJ,27,FALSE)</f>
        <v>0</v>
      </c>
      <c r="AD442" s="125">
        <f>VLOOKUP(C442,'Talente &amp; Stuff'!BI:CJ,28,FALSE)</f>
        <v>0</v>
      </c>
      <c r="AE442" s="28"/>
    </row>
    <row r="443" spans="1:31" ht="15" hidden="1" customHeight="1" outlineLevel="2">
      <c r="B443" s="137">
        <v>3</v>
      </c>
      <c r="C443" s="177" t="str">
        <f>Attribute!C443</f>
        <v>---</v>
      </c>
      <c r="D443" s="125" t="str">
        <f>VLOOKUP(C443,'Talente &amp; Stuff'!BI:CJ,2,FALSE)</f>
        <v>--/--/--</v>
      </c>
      <c r="E443" s="47" t="str">
        <f>VLOOKUP(C443,'Talente &amp; Stuff'!BI:CJ,3,FALSE)</f>
        <v>-</v>
      </c>
      <c r="F443" s="114">
        <f>VLOOKUP(C443,'Talente &amp; Stuff'!BI:CJ,4,FALSE)</f>
        <v>0</v>
      </c>
      <c r="G443" s="113">
        <f>VLOOKUP(C443,'Talente &amp; Stuff'!BI:CJ,5,FALSE)</f>
        <v>0</v>
      </c>
      <c r="H443" s="113">
        <f>VLOOKUP(C443,'Talente &amp; Stuff'!BI:CJ,6,FALSE)</f>
        <v>0</v>
      </c>
      <c r="I443" s="113">
        <f>VLOOKUP(C443,'Talente &amp; Stuff'!BI:CJ,7,FALSE)</f>
        <v>0</v>
      </c>
      <c r="J443" s="113">
        <f>VLOOKUP(C443,'Talente &amp; Stuff'!BI:CJ,8,FALSE)</f>
        <v>0</v>
      </c>
      <c r="K443" s="113">
        <f>VLOOKUP(C443,'Talente &amp; Stuff'!BI:CJ,9,FALSE)</f>
        <v>0</v>
      </c>
      <c r="L443" s="113">
        <f>VLOOKUP(C443,'Talente &amp; Stuff'!BI:CJ,10,FALSE)</f>
        <v>0</v>
      </c>
      <c r="M443" s="119">
        <f>VLOOKUP(C443,'Talente &amp; Stuff'!BI:CJ,11,FALSE)</f>
        <v>0</v>
      </c>
      <c r="N443" s="47">
        <f>VLOOKUP(C443,'Talente &amp; Stuff'!BI:CJ,12,FALSE)</f>
        <v>0</v>
      </c>
      <c r="O443" s="47">
        <f>VLOOKUP(C443,'Talente &amp; Stuff'!BI:CJ,13,FALSE)</f>
        <v>0</v>
      </c>
      <c r="P443" s="113">
        <f>VLOOKUP(C443,'Talente &amp; Stuff'!BI:CJ,14,FALSE)</f>
        <v>0</v>
      </c>
      <c r="Q443" s="114">
        <f>VLOOKUP(C443,'Talente &amp; Stuff'!BI:CJ,15,FALSE)</f>
        <v>0</v>
      </c>
      <c r="R443" s="113">
        <f>VLOOKUP(C443,'Talente &amp; Stuff'!BI:CJ,16,FALSE)</f>
        <v>0</v>
      </c>
      <c r="S443" s="119">
        <f>VLOOKUP(C443,'Talente &amp; Stuff'!BI:CJ,17,FALSE)</f>
        <v>0</v>
      </c>
      <c r="T443" s="160">
        <f>VLOOKUP(C443,'Talente &amp; Stuff'!BI:CJ,18,FALSE)</f>
        <v>0</v>
      </c>
      <c r="U443" s="89">
        <f>VLOOKUP(C443,'Talente &amp; Stuff'!BI:CJ,19,FALSE)</f>
        <v>0</v>
      </c>
      <c r="V443" s="47">
        <f>VLOOKUP(C443,'Talente &amp; Stuff'!BI:CJ,20,FALSE)</f>
        <v>0</v>
      </c>
      <c r="W443" s="127">
        <f>VLOOKUP(C443,'Talente &amp; Stuff'!BI:CJ,21,FALSE)</f>
        <v>0</v>
      </c>
      <c r="X443" s="127">
        <f>VLOOKUP(C443,'Talente &amp; Stuff'!BI:CJ,22,FALSE)</f>
        <v>0</v>
      </c>
      <c r="Y443" s="165">
        <f>VLOOKUP(C443,Ausgewählte_Liturgien_Rondra,81,FALSE)</f>
        <v>0</v>
      </c>
      <c r="Z443" s="44">
        <f>VLOOKUP(C443,Ausgewählte_Liturgien_Rondra,82,FALSE)</f>
        <v>0</v>
      </c>
      <c r="AA443" s="125">
        <f>VLOOKUP(C443,'Talente &amp; Stuff'!BI:CJ,25,FALSE)</f>
        <v>0</v>
      </c>
      <c r="AB443" s="160">
        <f>VLOOKUP(C443,'Talente &amp; Stuff'!BI:CJ,26,FALSE)</f>
        <v>0</v>
      </c>
      <c r="AC443" s="127">
        <f>VLOOKUP(C443,'Talente &amp; Stuff'!BI:CJ,27,FALSE)</f>
        <v>0</v>
      </c>
      <c r="AD443" s="125">
        <f>VLOOKUP(C443,'Talente &amp; Stuff'!BI:CJ,28,FALSE)</f>
        <v>0</v>
      </c>
      <c r="AE443" s="28"/>
    </row>
    <row r="444" spans="1:31" ht="15" hidden="1" customHeight="1" outlineLevel="2">
      <c r="B444" s="148">
        <v>4</v>
      </c>
      <c r="C444" s="178" t="str">
        <f>Attribute!C444</f>
        <v>---</v>
      </c>
      <c r="D444" s="159" t="str">
        <f>VLOOKUP(C444,'Talente &amp; Stuff'!BI:CJ,2,FALSE)</f>
        <v>--/--/--</v>
      </c>
      <c r="E444" s="88" t="str">
        <f>VLOOKUP(C444,'Talente &amp; Stuff'!BI:CJ,3,FALSE)</f>
        <v>-</v>
      </c>
      <c r="F444" s="115">
        <f>VLOOKUP(C444,'Talente &amp; Stuff'!BI:CJ,4,FALSE)</f>
        <v>0</v>
      </c>
      <c r="G444" s="122">
        <f>VLOOKUP(C444,'Talente &amp; Stuff'!BI:CJ,5,FALSE)</f>
        <v>0</v>
      </c>
      <c r="H444" s="122">
        <f>VLOOKUP(C444,'Talente &amp; Stuff'!BI:CJ,6,FALSE)</f>
        <v>0</v>
      </c>
      <c r="I444" s="122">
        <f>VLOOKUP(C444,'Talente &amp; Stuff'!BI:CJ,7,FALSE)</f>
        <v>0</v>
      </c>
      <c r="J444" s="122">
        <f>VLOOKUP(C444,'Talente &amp; Stuff'!BI:CJ,8,FALSE)</f>
        <v>0</v>
      </c>
      <c r="K444" s="122">
        <f>VLOOKUP(C444,'Talente &amp; Stuff'!BI:CJ,9,FALSE)</f>
        <v>0</v>
      </c>
      <c r="L444" s="122">
        <f>VLOOKUP(C444,'Talente &amp; Stuff'!BI:CJ,10,FALSE)</f>
        <v>0</v>
      </c>
      <c r="M444" s="123">
        <f>VLOOKUP(C444,'Talente &amp; Stuff'!BI:CJ,11,FALSE)</f>
        <v>0</v>
      </c>
      <c r="N444" s="88">
        <f>VLOOKUP(C444,'Talente &amp; Stuff'!BI:CJ,12,FALSE)</f>
        <v>0</v>
      </c>
      <c r="O444" s="88">
        <f>VLOOKUP(C444,'Talente &amp; Stuff'!BI:CJ,13,FALSE)</f>
        <v>0</v>
      </c>
      <c r="P444" s="122">
        <f>VLOOKUP(C444,'Talente &amp; Stuff'!BI:CJ,14,FALSE)</f>
        <v>0</v>
      </c>
      <c r="Q444" s="115">
        <f>VLOOKUP(C444,'Talente &amp; Stuff'!BI:CJ,15,FALSE)</f>
        <v>0</v>
      </c>
      <c r="R444" s="122">
        <f>VLOOKUP(C444,'Talente &amp; Stuff'!BI:CJ,16,FALSE)</f>
        <v>0</v>
      </c>
      <c r="S444" s="123">
        <f>VLOOKUP(C444,'Talente &amp; Stuff'!BI:CJ,17,FALSE)</f>
        <v>0</v>
      </c>
      <c r="T444" s="161">
        <f>VLOOKUP(C444,'Talente &amp; Stuff'!BI:CJ,18,FALSE)</f>
        <v>0</v>
      </c>
      <c r="U444" s="90">
        <f>VLOOKUP(C444,'Talente &amp; Stuff'!BI:CJ,19,FALSE)</f>
        <v>0</v>
      </c>
      <c r="V444" s="88">
        <f>VLOOKUP(C444,'Talente &amp; Stuff'!BI:CJ,20,FALSE)</f>
        <v>0</v>
      </c>
      <c r="W444" s="128">
        <f>VLOOKUP(C444,'Talente &amp; Stuff'!BI:CJ,21,FALSE)</f>
        <v>0</v>
      </c>
      <c r="X444" s="128">
        <f>VLOOKUP(C444,'Talente &amp; Stuff'!BI:CJ,22,FALSE)</f>
        <v>0</v>
      </c>
      <c r="Y444" s="165">
        <f>VLOOKUP(C444,Ausgewählte_Liturgien_Rondra,81,FALSE)</f>
        <v>0</v>
      </c>
      <c r="Z444" s="44">
        <f>VLOOKUP(C444,Ausgewählte_Liturgien_Rondra,82,FALSE)</f>
        <v>0</v>
      </c>
      <c r="AA444" s="159">
        <f>VLOOKUP(C444,'Talente &amp; Stuff'!BI:CJ,25,FALSE)</f>
        <v>0</v>
      </c>
      <c r="AB444" s="161">
        <f>VLOOKUP(C444,'Talente &amp; Stuff'!BI:CJ,26,FALSE)</f>
        <v>0</v>
      </c>
      <c r="AC444" s="128">
        <f>VLOOKUP(C444,'Talente &amp; Stuff'!BI:CJ,27,FALSE)</f>
        <v>0</v>
      </c>
      <c r="AD444" s="159">
        <f>VLOOKUP(C444,'Talente &amp; Stuff'!BI:CJ,28,FALSE)</f>
        <v>0</v>
      </c>
      <c r="AE444" s="28"/>
    </row>
    <row r="445" spans="1:31" ht="15.75" hidden="1" customHeight="1" outlineLevel="1" collapsed="1" thickBot="1"/>
    <row r="446" spans="1:31" ht="15.75" collapsed="1" thickBot="1">
      <c r="A446" s="135" t="s">
        <v>269</v>
      </c>
      <c r="X446" s="140"/>
    </row>
    <row r="447" spans="1:31" ht="15" hidden="1" customHeight="1" outlineLevel="1">
      <c r="B447" s="134" t="s">
        <v>327</v>
      </c>
    </row>
    <row r="448" spans="1:31" ht="15" hidden="1" customHeight="1" outlineLevel="2">
      <c r="B448" s="148">
        <v>1</v>
      </c>
      <c r="C448" s="176" t="str">
        <f>Attribute!C448</f>
        <v>---</v>
      </c>
      <c r="D448" s="158" t="str">
        <f>VLOOKUP(C448,'Talente &amp; Stuff'!BI:CJ,2,FALSE)</f>
        <v>--/--/--</v>
      </c>
      <c r="E448" s="126" t="str">
        <f>VLOOKUP(C448,'Talente &amp; Stuff'!BI:CJ,3,FALSE)</f>
        <v>-</v>
      </c>
      <c r="F448" s="191">
        <f>VLOOKUP(C448,'Talente &amp; Stuff'!BI:CJ,4,FALSE)</f>
        <v>0</v>
      </c>
      <c r="G448" s="118">
        <f>VLOOKUP(C448,'Talente &amp; Stuff'!BI:CJ,5,FALSE)</f>
        <v>0</v>
      </c>
      <c r="H448" s="118">
        <f>VLOOKUP(C448,'Talente &amp; Stuff'!BI:CJ,6,FALSE)</f>
        <v>0</v>
      </c>
      <c r="I448" s="118">
        <f>VLOOKUP(C448,'Talente &amp; Stuff'!BI:CJ,7,FALSE)</f>
        <v>0</v>
      </c>
      <c r="J448" s="118">
        <f>VLOOKUP(C448,'Talente &amp; Stuff'!BI:CJ,8,FALSE)</f>
        <v>0</v>
      </c>
      <c r="K448" s="118">
        <f>VLOOKUP(C448,'Talente &amp; Stuff'!BI:CJ,9,FALSE)</f>
        <v>0</v>
      </c>
      <c r="L448" s="118">
        <f>VLOOKUP(C448,'Talente &amp; Stuff'!BI:CJ,10,FALSE)</f>
        <v>0</v>
      </c>
      <c r="M448" s="92">
        <f>VLOOKUP(C448,'Talente &amp; Stuff'!BI:CJ,11,FALSE)</f>
        <v>0</v>
      </c>
      <c r="N448" s="116">
        <f>VLOOKUP(C448,'Talente &amp; Stuff'!BI:CJ,12,FALSE)</f>
        <v>0</v>
      </c>
      <c r="O448" s="116">
        <f>VLOOKUP(C448,'Talente &amp; Stuff'!BI:CJ,13,FALSE)</f>
        <v>0</v>
      </c>
      <c r="P448" s="92">
        <f>VLOOKUP(C448,'Talente &amp; Stuff'!BI:CJ,14,FALSE)</f>
        <v>0</v>
      </c>
      <c r="Q448" s="191">
        <f>VLOOKUP(C448,'Talente &amp; Stuff'!BI:CJ,15,FALSE)</f>
        <v>0</v>
      </c>
      <c r="R448" s="118">
        <f>VLOOKUP(C448,'Talente &amp; Stuff'!BI:CJ,16,FALSE)</f>
        <v>0</v>
      </c>
      <c r="S448" s="92">
        <f>VLOOKUP(C448,'Talente &amp; Stuff'!BI:CJ,17,FALSE)</f>
        <v>0</v>
      </c>
      <c r="T448" s="92">
        <f>VLOOKUP(C448,'Talente &amp; Stuff'!BI:CJ,18,FALSE)</f>
        <v>0</v>
      </c>
      <c r="U448" s="193">
        <f>VLOOKUP(C448,'Talente &amp; Stuff'!BI:CJ,19,FALSE)</f>
        <v>0</v>
      </c>
      <c r="V448" s="116">
        <f>VLOOKUP(C448,'Talente &amp; Stuff'!BI:CJ,20,FALSE)</f>
        <v>0</v>
      </c>
      <c r="W448" s="126">
        <f>VLOOKUP(C448,'Talente &amp; Stuff'!BI:CJ,21,FALSE)</f>
        <v>0</v>
      </c>
      <c r="X448" s="126">
        <f>VLOOKUP(C448,'Talente &amp; Stuff'!BI:CJ,22,FALSE)</f>
        <v>0</v>
      </c>
      <c r="Y448" s="165">
        <f>VLOOKUP(C448,Ausgewählte_Zeremonien_Allgemein,81,FALSE)</f>
        <v>0</v>
      </c>
      <c r="Z448" s="44">
        <f>VLOOKUP(C448,Ausgewählte_Zeremonien_Allgemein,82,FALSE)</f>
        <v>0</v>
      </c>
      <c r="AA448" s="158">
        <f>VLOOKUP(C448,'Talente &amp; Stuff'!BI:CJ,25,FALSE)</f>
        <v>0</v>
      </c>
      <c r="AB448" s="91">
        <f>VLOOKUP(C448,'Talente &amp; Stuff'!BI:CJ,26,FALSE)</f>
        <v>0</v>
      </c>
      <c r="AC448" s="126">
        <f>VLOOKUP(C448,'Talente &amp; Stuff'!BI:CJ,27,FALSE)</f>
        <v>0</v>
      </c>
      <c r="AD448" s="158">
        <f>VLOOKUP(C448,'Talente &amp; Stuff'!BI:CJ,28,FALSE)</f>
        <v>0</v>
      </c>
      <c r="AE448" s="28"/>
    </row>
    <row r="449" spans="2:31" ht="15" hidden="1" customHeight="1" outlineLevel="2">
      <c r="B449" s="148">
        <v>2</v>
      </c>
      <c r="C449" s="178" t="str">
        <f>Attribute!C449</f>
        <v>---</v>
      </c>
      <c r="D449" s="159" t="str">
        <f>VLOOKUP(C449,'Talente &amp; Stuff'!BI:CJ,2,FALSE)</f>
        <v>--/--/--</v>
      </c>
      <c r="E449" s="128" t="str">
        <f>VLOOKUP(C449,'Talente &amp; Stuff'!BI:CJ,3,FALSE)</f>
        <v>-</v>
      </c>
      <c r="F449" s="115">
        <f>VLOOKUP(C449,'Talente &amp; Stuff'!BI:CJ,4,FALSE)</f>
        <v>0</v>
      </c>
      <c r="G449" s="122">
        <f>VLOOKUP(C449,'Talente &amp; Stuff'!BI:CJ,5,FALSE)</f>
        <v>0</v>
      </c>
      <c r="H449" s="122">
        <f>VLOOKUP(C449,'Talente &amp; Stuff'!BI:CJ,6,FALSE)</f>
        <v>0</v>
      </c>
      <c r="I449" s="122">
        <f>VLOOKUP(C449,'Talente &amp; Stuff'!BI:CJ,7,FALSE)</f>
        <v>0</v>
      </c>
      <c r="J449" s="122">
        <f>VLOOKUP(C449,'Talente &amp; Stuff'!BI:CJ,8,FALSE)</f>
        <v>0</v>
      </c>
      <c r="K449" s="122">
        <f>VLOOKUP(C449,'Talente &amp; Stuff'!BI:CJ,9,FALSE)</f>
        <v>0</v>
      </c>
      <c r="L449" s="122">
        <f>VLOOKUP(C449,'Talente &amp; Stuff'!BI:CJ,10,FALSE)</f>
        <v>0</v>
      </c>
      <c r="M449" s="123">
        <f>VLOOKUP(C449,'Talente &amp; Stuff'!BI:CJ,11,FALSE)</f>
        <v>0</v>
      </c>
      <c r="N449" s="88">
        <f>VLOOKUP(C449,'Talente &amp; Stuff'!BI:CJ,12,FALSE)</f>
        <v>0</v>
      </c>
      <c r="O449" s="88">
        <f>VLOOKUP(C449,'Talente &amp; Stuff'!BI:CJ,13,FALSE)</f>
        <v>0</v>
      </c>
      <c r="P449" s="123">
        <f>VLOOKUP(C449,'Talente &amp; Stuff'!BI:CJ,14,FALSE)</f>
        <v>0</v>
      </c>
      <c r="Q449" s="115">
        <f>VLOOKUP(C449,'Talente &amp; Stuff'!BI:CJ,15,FALSE)</f>
        <v>0</v>
      </c>
      <c r="R449" s="122">
        <f>VLOOKUP(C449,'Talente &amp; Stuff'!BI:CJ,16,FALSE)</f>
        <v>0</v>
      </c>
      <c r="S449" s="123">
        <f>VLOOKUP(C449,'Talente &amp; Stuff'!BI:CJ,17,FALSE)</f>
        <v>0</v>
      </c>
      <c r="T449" s="123">
        <f>VLOOKUP(C449,'Talente &amp; Stuff'!BI:CJ,18,FALSE)</f>
        <v>0</v>
      </c>
      <c r="U449" s="90">
        <f>VLOOKUP(C449,'Talente &amp; Stuff'!BI:CJ,19,FALSE)</f>
        <v>0</v>
      </c>
      <c r="V449" s="88">
        <f>VLOOKUP(C449,'Talente &amp; Stuff'!BI:CJ,20,FALSE)</f>
        <v>0</v>
      </c>
      <c r="W449" s="128">
        <f>VLOOKUP(C449,'Talente &amp; Stuff'!BI:CJ,21,FALSE)</f>
        <v>0</v>
      </c>
      <c r="X449" s="128">
        <f>VLOOKUP(C449,'Talente &amp; Stuff'!BI:CJ,22,FALSE)</f>
        <v>0</v>
      </c>
      <c r="Y449" s="165">
        <f>VLOOKUP(C449,Ausgewählte_Zeremonien_Allgemein,81,FALSE)</f>
        <v>0</v>
      </c>
      <c r="Z449" s="44">
        <f>VLOOKUP(C449,Ausgewählte_Zeremonien_Allgemein,82,FALSE)</f>
        <v>0</v>
      </c>
      <c r="AA449" s="159">
        <f>VLOOKUP(C449,'Talente &amp; Stuff'!BI:CJ,25,FALSE)</f>
        <v>0</v>
      </c>
      <c r="AB449" s="161">
        <f>VLOOKUP(C449,'Talente &amp; Stuff'!BI:CJ,26,FALSE)</f>
        <v>0</v>
      </c>
      <c r="AC449" s="128">
        <f>VLOOKUP(C449,'Talente &amp; Stuff'!BI:CJ,27,FALSE)</f>
        <v>0</v>
      </c>
      <c r="AD449" s="159">
        <f>VLOOKUP(C449,'Talente &amp; Stuff'!BI:CJ,28,FALSE)</f>
        <v>0</v>
      </c>
      <c r="AE449" s="28"/>
    </row>
    <row r="450" spans="2:31" ht="15" hidden="1" customHeight="1" outlineLevel="1" collapsed="1">
      <c r="B450" s="134" t="s">
        <v>326</v>
      </c>
      <c r="C450" s="83"/>
      <c r="D450" s="84"/>
      <c r="E450" s="84"/>
    </row>
    <row r="451" spans="2:31" ht="15" hidden="1" customHeight="1" outlineLevel="2">
      <c r="B451" s="148">
        <v>0</v>
      </c>
      <c r="C451" s="134"/>
      <c r="D451" s="40"/>
      <c r="E451" s="182"/>
      <c r="F451" s="17"/>
      <c r="G451" s="183"/>
      <c r="H451" s="183"/>
      <c r="I451" s="183"/>
      <c r="J451" s="183"/>
      <c r="K451" s="183"/>
      <c r="L451" s="183"/>
      <c r="M451" s="180"/>
      <c r="N451" s="179"/>
      <c r="O451" s="179"/>
      <c r="P451" s="180"/>
      <c r="Q451" s="17"/>
      <c r="R451" s="183"/>
      <c r="S451" s="180"/>
      <c r="T451" s="180"/>
      <c r="U451" s="166"/>
      <c r="V451" s="179"/>
      <c r="W451" s="182"/>
      <c r="X451" s="182"/>
      <c r="Y451" s="134"/>
      <c r="Z451" s="44"/>
      <c r="AA451" s="40"/>
      <c r="AB451" s="189"/>
      <c r="AC451" s="182"/>
      <c r="AD451" s="40"/>
    </row>
    <row r="452" spans="2:31" ht="15" hidden="1" customHeight="1" outlineLevel="1" collapsed="1">
      <c r="B452" s="134" t="s">
        <v>325</v>
      </c>
      <c r="C452" s="83"/>
      <c r="D452" s="84"/>
      <c r="E452" s="84"/>
    </row>
    <row r="453" spans="2:31" ht="15" hidden="1" customHeight="1" outlineLevel="2">
      <c r="B453" s="148">
        <v>0</v>
      </c>
      <c r="C453" s="134"/>
      <c r="D453" s="40"/>
      <c r="E453" s="182"/>
      <c r="F453" s="17"/>
      <c r="G453" s="183"/>
      <c r="H453" s="183"/>
      <c r="I453" s="183"/>
      <c r="J453" s="183"/>
      <c r="K453" s="183"/>
      <c r="L453" s="183"/>
      <c r="M453" s="180"/>
      <c r="N453" s="179"/>
      <c r="O453" s="179"/>
      <c r="P453" s="180"/>
      <c r="Q453" s="17"/>
      <c r="R453" s="183"/>
      <c r="S453" s="180"/>
      <c r="T453" s="180"/>
      <c r="U453" s="166"/>
      <c r="V453" s="179"/>
      <c r="W453" s="182"/>
      <c r="X453" s="182"/>
      <c r="Y453" s="134"/>
      <c r="Z453" s="44"/>
      <c r="AA453" s="40"/>
      <c r="AB453" s="189"/>
      <c r="AC453" s="182"/>
      <c r="AD453" s="40"/>
    </row>
    <row r="454" spans="2:31" ht="15" hidden="1" customHeight="1" outlineLevel="1" collapsed="1">
      <c r="B454" s="134" t="s">
        <v>324</v>
      </c>
      <c r="C454" s="83"/>
      <c r="D454" s="84"/>
      <c r="E454" s="84"/>
    </row>
    <row r="455" spans="2:31" ht="15" hidden="1" customHeight="1" outlineLevel="2">
      <c r="B455" s="148">
        <v>1</v>
      </c>
      <c r="C455" s="200" t="str">
        <f>Attribute!C455</f>
        <v>---</v>
      </c>
      <c r="D455" s="40" t="str">
        <f>VLOOKUP(C455,'Talente &amp; Stuff'!BI:CJ,2,FALSE)</f>
        <v>--/--/--</v>
      </c>
      <c r="E455" s="182" t="str">
        <f>VLOOKUP(C455,'Talente &amp; Stuff'!BI:CJ,3,FALSE)</f>
        <v>-</v>
      </c>
      <c r="F455" s="17">
        <f>VLOOKUP(C455,'Talente &amp; Stuff'!BI:CJ,4,FALSE)</f>
        <v>0</v>
      </c>
      <c r="G455" s="183">
        <f>VLOOKUP(C455,'Talente &amp; Stuff'!BI:CJ,5,FALSE)</f>
        <v>0</v>
      </c>
      <c r="H455" s="183">
        <f>VLOOKUP(C455,'Talente &amp; Stuff'!BI:CJ,6,FALSE)</f>
        <v>0</v>
      </c>
      <c r="I455" s="183">
        <f>VLOOKUP(C455,'Talente &amp; Stuff'!BI:CJ,7,FALSE)</f>
        <v>0</v>
      </c>
      <c r="J455" s="183">
        <f>VLOOKUP(C455,'Talente &amp; Stuff'!BI:CJ,8,FALSE)</f>
        <v>0</v>
      </c>
      <c r="K455" s="183">
        <f>VLOOKUP(C455,'Talente &amp; Stuff'!BI:CJ,9,FALSE)</f>
        <v>0</v>
      </c>
      <c r="L455" s="183">
        <f>VLOOKUP(C455,'Talente &amp; Stuff'!BI:CJ,10,FALSE)</f>
        <v>0</v>
      </c>
      <c r="M455" s="180">
        <f>VLOOKUP(C455,'Talente &amp; Stuff'!BI:CJ,11,FALSE)</f>
        <v>0</v>
      </c>
      <c r="N455" s="179">
        <f>VLOOKUP(C455,'Talente &amp; Stuff'!BI:CJ,12,FALSE)</f>
        <v>0</v>
      </c>
      <c r="O455" s="179">
        <f>VLOOKUP(C455,'Talente &amp; Stuff'!BI:CJ,13,FALSE)</f>
        <v>0</v>
      </c>
      <c r="P455" s="180">
        <f>VLOOKUP(C455,'Talente &amp; Stuff'!BI:CJ,14,FALSE)</f>
        <v>0</v>
      </c>
      <c r="Q455" s="17">
        <f>VLOOKUP(C455,'Talente &amp; Stuff'!BI:CJ,15,FALSE)</f>
        <v>0</v>
      </c>
      <c r="R455" s="183">
        <f>VLOOKUP(C455,'Talente &amp; Stuff'!BI:CJ,16,FALSE)</f>
        <v>0</v>
      </c>
      <c r="S455" s="180">
        <f>VLOOKUP(C455,'Talente &amp; Stuff'!BI:CJ,17,FALSE)</f>
        <v>0</v>
      </c>
      <c r="T455" s="180">
        <f>VLOOKUP(C455,'Talente &amp; Stuff'!BI:CJ,18,FALSE)</f>
        <v>0</v>
      </c>
      <c r="U455" s="166">
        <f>VLOOKUP(C455,'Talente &amp; Stuff'!BI:CJ,19,FALSE)</f>
        <v>0</v>
      </c>
      <c r="V455" s="179">
        <f>VLOOKUP(C455,'Talente &amp; Stuff'!BI:CJ,20,FALSE)</f>
        <v>0</v>
      </c>
      <c r="W455" s="182">
        <f>VLOOKUP(C455,'Talente &amp; Stuff'!BI:CJ,21,FALSE)</f>
        <v>0</v>
      </c>
      <c r="X455" s="182">
        <f>VLOOKUP(C455,'Talente &amp; Stuff'!BI:CJ,22,FALSE)</f>
        <v>0</v>
      </c>
      <c r="Y455" s="165">
        <f>VLOOKUP(C455,Ausgewählte_Zeremonien_Peraine,81,FALSE)</f>
        <v>0</v>
      </c>
      <c r="Z455" s="44">
        <f>VLOOKUP(C455,Ausgewählte_Zeremonien_Peraine,82,FALSE)</f>
        <v>0</v>
      </c>
      <c r="AA455" s="40">
        <f>VLOOKUP(C455,'Talente &amp; Stuff'!BI:CJ,25,FALSE)</f>
        <v>0</v>
      </c>
      <c r="AB455" s="189">
        <f>VLOOKUP(C455,'Talente &amp; Stuff'!BI:CJ,26,FALSE)</f>
        <v>0</v>
      </c>
      <c r="AC455" s="182">
        <f>VLOOKUP(C455,'Talente &amp; Stuff'!BI:CJ,27,FALSE)</f>
        <v>0</v>
      </c>
      <c r="AD455" s="40">
        <f>VLOOKUP(C455,'Talente &amp; Stuff'!BI:CJ,28,FALSE)</f>
        <v>0</v>
      </c>
      <c r="AE455" s="28"/>
    </row>
    <row r="456" spans="2:31" ht="15" hidden="1" customHeight="1" outlineLevel="1" collapsed="1">
      <c r="B456" s="134" t="s">
        <v>323</v>
      </c>
      <c r="C456" s="83"/>
      <c r="D456" s="84"/>
      <c r="E456" s="84"/>
    </row>
    <row r="457" spans="2:31" ht="15" hidden="1" customHeight="1" outlineLevel="2">
      <c r="B457" s="148">
        <v>1</v>
      </c>
      <c r="C457" s="200" t="str">
        <f>Attribute!C457</f>
        <v>---</v>
      </c>
      <c r="D457" s="40" t="str">
        <f>VLOOKUP(C457,'Talente &amp; Stuff'!BI:CJ,2,FALSE)</f>
        <v>--/--/--</v>
      </c>
      <c r="E457" s="182" t="str">
        <f>VLOOKUP(C457,'Talente &amp; Stuff'!BI:CJ,3,FALSE)</f>
        <v>-</v>
      </c>
      <c r="F457" s="17">
        <f>VLOOKUP(C457,'Talente &amp; Stuff'!BI:CJ,4,FALSE)</f>
        <v>0</v>
      </c>
      <c r="G457" s="183">
        <f>VLOOKUP(C457,'Talente &amp; Stuff'!BI:CJ,5,FALSE)</f>
        <v>0</v>
      </c>
      <c r="H457" s="183">
        <f>VLOOKUP(C457,'Talente &amp; Stuff'!BI:CJ,6,FALSE)</f>
        <v>0</v>
      </c>
      <c r="I457" s="183">
        <f>VLOOKUP(C457,'Talente &amp; Stuff'!BI:CJ,7,FALSE)</f>
        <v>0</v>
      </c>
      <c r="J457" s="183">
        <f>VLOOKUP(C457,'Talente &amp; Stuff'!BI:CJ,8,FALSE)</f>
        <v>0</v>
      </c>
      <c r="K457" s="183">
        <f>VLOOKUP(C457,'Talente &amp; Stuff'!BI:CJ,9,FALSE)</f>
        <v>0</v>
      </c>
      <c r="L457" s="183">
        <f>VLOOKUP(C457,'Talente &amp; Stuff'!BI:CJ,10,FALSE)</f>
        <v>0</v>
      </c>
      <c r="M457" s="180">
        <f>VLOOKUP(C457,'Talente &amp; Stuff'!BI:CJ,11,FALSE)</f>
        <v>0</v>
      </c>
      <c r="N457" s="179">
        <f>VLOOKUP(C457,'Talente &amp; Stuff'!BI:CJ,12,FALSE)</f>
        <v>0</v>
      </c>
      <c r="O457" s="179">
        <f>VLOOKUP(C457,'Talente &amp; Stuff'!BI:CJ,13,FALSE)</f>
        <v>0</v>
      </c>
      <c r="P457" s="180">
        <f>VLOOKUP(C457,'Talente &amp; Stuff'!BI:CJ,14,FALSE)</f>
        <v>0</v>
      </c>
      <c r="Q457" s="17">
        <f>VLOOKUP(C457,'Talente &amp; Stuff'!BI:CJ,15,FALSE)</f>
        <v>0</v>
      </c>
      <c r="R457" s="183">
        <f>VLOOKUP(C457,'Talente &amp; Stuff'!BI:CJ,16,FALSE)</f>
        <v>0</v>
      </c>
      <c r="S457" s="180">
        <f>VLOOKUP(C457,'Talente &amp; Stuff'!BI:CJ,17,FALSE)</f>
        <v>0</v>
      </c>
      <c r="T457" s="180">
        <f>VLOOKUP(C457,'Talente &amp; Stuff'!BI:CJ,18,FALSE)</f>
        <v>0</v>
      </c>
      <c r="U457" s="166">
        <f>VLOOKUP(C457,'Talente &amp; Stuff'!BI:CJ,19,FALSE)</f>
        <v>0</v>
      </c>
      <c r="V457" s="179">
        <f>VLOOKUP(C457,'Talente &amp; Stuff'!BI:CJ,20,FALSE)</f>
        <v>0</v>
      </c>
      <c r="W457" s="182">
        <f>VLOOKUP(C457,'Talente &amp; Stuff'!BI:CJ,21,FALSE)</f>
        <v>0</v>
      </c>
      <c r="X457" s="182">
        <f>VLOOKUP(C457,'Talente &amp; Stuff'!BI:CJ,22,FALSE)</f>
        <v>0</v>
      </c>
      <c r="Y457" s="165">
        <f>VLOOKUP(C457,Ausgewählte_Zeremonien_Phex,81,FALSE)</f>
        <v>0</v>
      </c>
      <c r="Z457" s="44">
        <f>VLOOKUP(C457,Ausgewählte_Zeremonien_Phex,82,FALSE)</f>
        <v>0</v>
      </c>
      <c r="AA457" s="40">
        <f>VLOOKUP(C457,'Talente &amp; Stuff'!BI:CJ,25,FALSE)</f>
        <v>0</v>
      </c>
      <c r="AB457" s="189">
        <f>VLOOKUP(C457,'Talente &amp; Stuff'!BI:CJ,26,FALSE)</f>
        <v>0</v>
      </c>
      <c r="AC457" s="182">
        <f>VLOOKUP(C457,'Talente &amp; Stuff'!BI:CJ,27,FALSE)</f>
        <v>0</v>
      </c>
      <c r="AD457" s="40">
        <f>VLOOKUP(C457,'Talente &amp; Stuff'!BI:CJ,28,FALSE)</f>
        <v>0</v>
      </c>
      <c r="AE457" s="28"/>
    </row>
    <row r="458" spans="2:31" ht="15" hidden="1" customHeight="1" outlineLevel="1" collapsed="1">
      <c r="B458" s="134" t="s">
        <v>322</v>
      </c>
      <c r="C458" s="83"/>
      <c r="D458" s="84"/>
      <c r="E458" s="84"/>
    </row>
    <row r="459" spans="2:31" ht="15" hidden="1" customHeight="1" outlineLevel="2">
      <c r="B459" s="148">
        <v>0</v>
      </c>
      <c r="C459" s="134"/>
      <c r="D459" s="40"/>
      <c r="E459" s="182"/>
      <c r="F459" s="17"/>
      <c r="G459" s="183"/>
      <c r="H459" s="183"/>
      <c r="I459" s="183"/>
      <c r="J459" s="183"/>
      <c r="K459" s="183"/>
      <c r="L459" s="183"/>
      <c r="M459" s="180"/>
      <c r="N459" s="179"/>
      <c r="O459" s="179"/>
      <c r="P459" s="180"/>
      <c r="Q459" s="17"/>
      <c r="R459" s="183"/>
      <c r="S459" s="180"/>
      <c r="T459" s="180"/>
      <c r="U459" s="166"/>
      <c r="V459" s="179"/>
      <c r="W459" s="182"/>
      <c r="X459" s="182"/>
      <c r="Y459" s="134"/>
      <c r="Z459" s="44"/>
      <c r="AA459" s="40"/>
      <c r="AB459" s="189"/>
      <c r="AC459" s="182"/>
      <c r="AD459" s="40"/>
    </row>
    <row r="460" spans="2:31" ht="15" hidden="1" customHeight="1" outlineLevel="1" collapsed="1">
      <c r="B460" s="134" t="s">
        <v>321</v>
      </c>
      <c r="C460" s="83"/>
      <c r="D460" s="84"/>
      <c r="E460" s="84"/>
    </row>
    <row r="461" spans="2:31" ht="15" hidden="1" customHeight="1" outlineLevel="2">
      <c r="B461" s="148">
        <v>1</v>
      </c>
      <c r="C461" s="176" t="str">
        <f>Attribute!C461</f>
        <v>---</v>
      </c>
      <c r="D461" s="158" t="str">
        <f>VLOOKUP(C461,'Talente &amp; Stuff'!BI:CJ,2,FALSE)</f>
        <v>--/--/--</v>
      </c>
      <c r="E461" s="126" t="str">
        <f>VLOOKUP(C461,'Talente &amp; Stuff'!BI:CJ,3,FALSE)</f>
        <v>-</v>
      </c>
      <c r="F461" s="191">
        <f>VLOOKUP(C461,'Talente &amp; Stuff'!BI:CJ,4,FALSE)</f>
        <v>0</v>
      </c>
      <c r="G461" s="118">
        <f>VLOOKUP(C461,'Talente &amp; Stuff'!BI:CJ,5,FALSE)</f>
        <v>0</v>
      </c>
      <c r="H461" s="118">
        <f>VLOOKUP(C461,'Talente &amp; Stuff'!BI:CJ,6,FALSE)</f>
        <v>0</v>
      </c>
      <c r="I461" s="118">
        <f>VLOOKUP(C461,'Talente &amp; Stuff'!BI:CJ,7,FALSE)</f>
        <v>0</v>
      </c>
      <c r="J461" s="118">
        <f>VLOOKUP(C461,'Talente &amp; Stuff'!BI:CJ,8,FALSE)</f>
        <v>0</v>
      </c>
      <c r="K461" s="118">
        <f>VLOOKUP(C461,'Talente &amp; Stuff'!BI:CJ,9,FALSE)</f>
        <v>0</v>
      </c>
      <c r="L461" s="118">
        <f>VLOOKUP(C461,'Talente &amp; Stuff'!BI:CJ,10,FALSE)</f>
        <v>0</v>
      </c>
      <c r="M461" s="92">
        <f>VLOOKUP(C461,'Talente &amp; Stuff'!BI:CJ,11,FALSE)</f>
        <v>0</v>
      </c>
      <c r="N461" s="116">
        <f>VLOOKUP(C461,'Talente &amp; Stuff'!BI:CJ,12,FALSE)</f>
        <v>0</v>
      </c>
      <c r="O461" s="116">
        <f>VLOOKUP(C461,'Talente &amp; Stuff'!BI:CJ,13,FALSE)</f>
        <v>0</v>
      </c>
      <c r="P461" s="92">
        <f>VLOOKUP(C461,'Talente &amp; Stuff'!BI:CJ,14,FALSE)</f>
        <v>0</v>
      </c>
      <c r="Q461" s="191">
        <f>VLOOKUP(C461,'Talente &amp; Stuff'!BI:CJ,15,FALSE)</f>
        <v>0</v>
      </c>
      <c r="R461" s="118">
        <f>VLOOKUP(C461,'Talente &amp; Stuff'!BI:CJ,16,FALSE)</f>
        <v>0</v>
      </c>
      <c r="S461" s="92">
        <f>VLOOKUP(C461,'Talente &amp; Stuff'!BI:CJ,17,FALSE)</f>
        <v>0</v>
      </c>
      <c r="T461" s="92">
        <f>VLOOKUP(C461,'Talente &amp; Stuff'!BI:CJ,18,FALSE)</f>
        <v>0</v>
      </c>
      <c r="U461" s="193">
        <f>VLOOKUP(C461,'Talente &amp; Stuff'!BI:CJ,19,FALSE)</f>
        <v>0</v>
      </c>
      <c r="V461" s="116">
        <f>VLOOKUP(C461,'Talente &amp; Stuff'!BI:CJ,20,FALSE)</f>
        <v>0</v>
      </c>
      <c r="W461" s="126">
        <f>VLOOKUP(C461,'Talente &amp; Stuff'!BI:CJ,21,FALSE)</f>
        <v>0</v>
      </c>
      <c r="X461" s="126">
        <f>VLOOKUP(C461,'Talente &amp; Stuff'!BI:CJ,22,FALSE)</f>
        <v>0</v>
      </c>
      <c r="Y461" s="165">
        <f>VLOOKUP(C461,Ausgewählte_Zeremonien_Rondra,81,FALSE)</f>
        <v>0</v>
      </c>
      <c r="Z461" s="44">
        <f>VLOOKUP(C461,Ausgewählte_Zeremonien_Rondra,82,FALSE)</f>
        <v>0</v>
      </c>
      <c r="AA461" s="158">
        <f>VLOOKUP(C461,'Talente &amp; Stuff'!BI:CJ,25,FALSE)</f>
        <v>0</v>
      </c>
      <c r="AB461" s="91">
        <f>VLOOKUP(C461,'Talente &amp; Stuff'!BI:CJ,26,FALSE)</f>
        <v>0</v>
      </c>
      <c r="AC461" s="126">
        <f>VLOOKUP(C461,'Talente &amp; Stuff'!BI:CJ,27,FALSE)</f>
        <v>0</v>
      </c>
      <c r="AD461" s="158">
        <f>VLOOKUP(C461,'Talente &amp; Stuff'!BI:CJ,28,FALSE)</f>
        <v>0</v>
      </c>
      <c r="AE461" s="28"/>
    </row>
    <row r="462" spans="2:31" ht="15" hidden="1" customHeight="1" outlineLevel="2">
      <c r="B462" s="148">
        <v>2</v>
      </c>
      <c r="C462" s="178" t="str">
        <f>Attribute!C462</f>
        <v>---</v>
      </c>
      <c r="D462" s="159" t="str">
        <f>VLOOKUP(C462,'Talente &amp; Stuff'!BI:CJ,2,FALSE)</f>
        <v>--/--/--</v>
      </c>
      <c r="E462" s="128" t="str">
        <f>VLOOKUP(C462,'Talente &amp; Stuff'!BI:CJ,3,FALSE)</f>
        <v>-</v>
      </c>
      <c r="F462" s="115">
        <f>VLOOKUP(C462,'Talente &amp; Stuff'!BI:CJ,4,FALSE)</f>
        <v>0</v>
      </c>
      <c r="G462" s="122">
        <f>VLOOKUP(C462,'Talente &amp; Stuff'!BI:CJ,5,FALSE)</f>
        <v>0</v>
      </c>
      <c r="H462" s="122">
        <f>VLOOKUP(C462,'Talente &amp; Stuff'!BI:CJ,6,FALSE)</f>
        <v>0</v>
      </c>
      <c r="I462" s="122">
        <f>VLOOKUP(C462,'Talente &amp; Stuff'!BI:CJ,7,FALSE)</f>
        <v>0</v>
      </c>
      <c r="J462" s="122">
        <f>VLOOKUP(C462,'Talente &amp; Stuff'!BI:CJ,8,FALSE)</f>
        <v>0</v>
      </c>
      <c r="K462" s="122">
        <f>VLOOKUP(C462,'Talente &amp; Stuff'!BI:CJ,9,FALSE)</f>
        <v>0</v>
      </c>
      <c r="L462" s="122">
        <f>VLOOKUP(C462,'Talente &amp; Stuff'!BI:CJ,10,FALSE)</f>
        <v>0</v>
      </c>
      <c r="M462" s="123">
        <f>VLOOKUP(C462,'Talente &amp; Stuff'!BI:CJ,11,FALSE)</f>
        <v>0</v>
      </c>
      <c r="N462" s="88">
        <f>VLOOKUP(C462,'Talente &amp; Stuff'!BI:CJ,12,FALSE)</f>
        <v>0</v>
      </c>
      <c r="O462" s="88">
        <f>VLOOKUP(C462,'Talente &amp; Stuff'!BI:CJ,13,FALSE)</f>
        <v>0</v>
      </c>
      <c r="P462" s="123">
        <f>VLOOKUP(C462,'Talente &amp; Stuff'!BI:CJ,14,FALSE)</f>
        <v>0</v>
      </c>
      <c r="Q462" s="115">
        <f>VLOOKUP(C462,'Talente &amp; Stuff'!BI:CJ,15,FALSE)</f>
        <v>0</v>
      </c>
      <c r="R462" s="122">
        <f>VLOOKUP(C462,'Talente &amp; Stuff'!BI:CJ,16,FALSE)</f>
        <v>0</v>
      </c>
      <c r="S462" s="123">
        <f>VLOOKUP(C462,'Talente &amp; Stuff'!BI:CJ,17,FALSE)</f>
        <v>0</v>
      </c>
      <c r="T462" s="123">
        <f>VLOOKUP(C462,'Talente &amp; Stuff'!BI:CJ,18,FALSE)</f>
        <v>0</v>
      </c>
      <c r="U462" s="90">
        <f>VLOOKUP(C462,'Talente &amp; Stuff'!BI:CJ,19,FALSE)</f>
        <v>0</v>
      </c>
      <c r="V462" s="88">
        <f>VLOOKUP(C462,'Talente &amp; Stuff'!BI:CJ,20,FALSE)</f>
        <v>0</v>
      </c>
      <c r="W462" s="128">
        <f>VLOOKUP(C462,'Talente &amp; Stuff'!BI:CJ,21,FALSE)</f>
        <v>0</v>
      </c>
      <c r="X462" s="128">
        <f>VLOOKUP(C462,'Talente &amp; Stuff'!BI:CJ,22,FALSE)</f>
        <v>0</v>
      </c>
      <c r="Y462" s="165">
        <f>VLOOKUP(C462,Ausgewählte_Zeremonien_Rondra,81,FALSE)</f>
        <v>0</v>
      </c>
      <c r="Z462" s="44">
        <f>VLOOKUP(C462,Ausgewählte_Zeremonien_Rondra,82,FALSE)</f>
        <v>0</v>
      </c>
      <c r="AA462" s="159">
        <f>VLOOKUP(C462,'Talente &amp; Stuff'!BI:CJ,25,FALSE)</f>
        <v>0</v>
      </c>
      <c r="AB462" s="161">
        <f>VLOOKUP(C462,'Talente &amp; Stuff'!BI:CJ,26,FALSE)</f>
        <v>0</v>
      </c>
      <c r="AC462" s="128">
        <f>VLOOKUP(C462,'Talente &amp; Stuff'!BI:CJ,27,FALSE)</f>
        <v>0</v>
      </c>
      <c r="AD462" s="159">
        <f>VLOOKUP(C462,'Talente &amp; Stuff'!BI:CJ,28,FALSE)</f>
        <v>0</v>
      </c>
      <c r="AE462" s="28"/>
    </row>
    <row r="463" spans="2:31" ht="15" hidden="1" customHeight="1" outlineLevel="1" collapsed="1"/>
    <row r="464" spans="2:31" collapsed="1"/>
    <row r="465" spans="3:31" ht="15.75" thickBot="1">
      <c r="C465" s="196"/>
      <c r="D465" s="4"/>
      <c r="E465" s="4"/>
      <c r="F465" s="6"/>
      <c r="G465" s="6"/>
      <c r="H465" s="6"/>
      <c r="I465" s="6"/>
      <c r="J465" s="6"/>
      <c r="K465" s="6"/>
      <c r="L465" s="6"/>
      <c r="M465" s="6"/>
      <c r="N465" s="4"/>
      <c r="O465" s="48"/>
      <c r="P465" s="6"/>
      <c r="Q465" s="101">
        <f>IFERROR(SUM(Q11:Q463)/COUNTIF(Q11:Q463,"&gt;0"),0)</f>
        <v>0</v>
      </c>
      <c r="R465" s="101">
        <f>IFERROR(SUM(R11:R463)/COUNTIF(R11:R463,"&gt;0"),0)</f>
        <v>0</v>
      </c>
      <c r="S465" s="101">
        <f>IFERROR(SUM(S11:S463)/COUNTIF(S11:S463,"&gt;0"),0)</f>
        <v>0</v>
      </c>
      <c r="T465" s="101">
        <f>Q465+R465+S465</f>
        <v>0</v>
      </c>
      <c r="U465" s="4"/>
      <c r="V465" s="4"/>
      <c r="W465" s="4"/>
      <c r="X465" s="4"/>
      <c r="Y465" s="74"/>
      <c r="Z465" s="1"/>
      <c r="AA465" s="4"/>
      <c r="AB465" s="6"/>
      <c r="AC465" s="4"/>
      <c r="AD465" s="27"/>
      <c r="AE465" s="28"/>
    </row>
    <row r="466" spans="3:31" ht="15.75" thickBot="1">
      <c r="C466" s="196"/>
      <c r="D466" s="4"/>
      <c r="E466" s="4"/>
      <c r="F466" s="274" t="s">
        <v>117</v>
      </c>
      <c r="G466" s="275"/>
      <c r="H466" s="275"/>
      <c r="I466" s="275"/>
      <c r="J466" s="275"/>
      <c r="K466" s="275"/>
      <c r="L466" s="276">
        <f>AVERAGE(F468:M468)</f>
        <v>0</v>
      </c>
      <c r="M466" s="277"/>
      <c r="N466" s="4"/>
      <c r="O466" s="4"/>
      <c r="P466" s="6"/>
      <c r="Q466" s="102" t="s">
        <v>113</v>
      </c>
      <c r="R466" s="102" t="s">
        <v>113</v>
      </c>
      <c r="S466" s="102" t="s">
        <v>113</v>
      </c>
      <c r="T466" s="102" t="s">
        <v>113</v>
      </c>
      <c r="U466" s="4"/>
      <c r="V466" s="4"/>
      <c r="W466" s="20" t="s">
        <v>117</v>
      </c>
      <c r="X466" s="19">
        <f>IFERROR(X468/COUNTIF(X11:X463,"&gt;0"),0)</f>
        <v>0</v>
      </c>
      <c r="Y466" s="204">
        <f>IFERROR(Y468/COUNTIF(Y11:Y463,"&gt;0"),0)</f>
        <v>0</v>
      </c>
      <c r="Z466" s="13">
        <f>IFERROR(Z468/COUNTIF(Z11:Z463,"&gt;0"),0)</f>
        <v>0</v>
      </c>
      <c r="AA466" s="19">
        <f>IFERROR(AA468/COUNTIF(AA11:AA463,"&gt;0"),0)</f>
        <v>0</v>
      </c>
      <c r="AB466" s="19">
        <f>IFERROR(SUM(AB11:AB464)/COUNTIF(AB11:AB464,"&gt;0"),0)</f>
        <v>0</v>
      </c>
      <c r="AC466" s="19">
        <f>IFERROR(SUM(AC11:AC464)/COUNTIF(AC11:AC464,"&gt;0"),0)</f>
        <v>0</v>
      </c>
      <c r="AD466" s="24">
        <f>IFERROR(SUM(AD11:AD464)/COUNTIF(AD11:AD464,"&gt;0"),0)</f>
        <v>0</v>
      </c>
      <c r="AE466" s="28"/>
    </row>
    <row r="467" spans="3:31" ht="15.75" thickBot="1">
      <c r="C467" s="196"/>
      <c r="D467" s="4"/>
      <c r="E467" s="4"/>
      <c r="F467" s="65"/>
      <c r="G467" s="65"/>
      <c r="H467" s="65"/>
      <c r="I467" s="65"/>
      <c r="J467" s="65"/>
      <c r="K467" s="65"/>
      <c r="L467" s="65"/>
      <c r="M467" s="65"/>
      <c r="N467" s="4"/>
      <c r="O467" s="4"/>
      <c r="P467" s="6"/>
      <c r="Q467" s="103">
        <f>Konvention_1master^3</f>
        <v>8000</v>
      </c>
      <c r="R467" s="103">
        <f>Konvention_1master^3</f>
        <v>8000</v>
      </c>
      <c r="S467" s="103">
        <f>Konvention_1master^3</f>
        <v>8000</v>
      </c>
      <c r="T467" s="103">
        <f>Konvention_1master^3</f>
        <v>8000</v>
      </c>
      <c r="U467" s="4"/>
      <c r="V467" s="4"/>
      <c r="W467" s="4"/>
      <c r="X467" s="1"/>
      <c r="Y467" s="74"/>
      <c r="Z467" s="1"/>
      <c r="AA467" s="35"/>
      <c r="AB467" s="22"/>
      <c r="AC467" s="35"/>
      <c r="AD467" s="36"/>
      <c r="AE467" s="28"/>
    </row>
    <row r="468" spans="3:31">
      <c r="C468" s="196"/>
      <c r="D468" s="4"/>
      <c r="E468" s="4"/>
      <c r="F468" s="66">
        <f t="shared" ref="F468:P468" si="38">SUM(F11:F463)</f>
        <v>0</v>
      </c>
      <c r="G468" s="66">
        <f t="shared" si="38"/>
        <v>0</v>
      </c>
      <c r="H468" s="66">
        <f t="shared" si="38"/>
        <v>0</v>
      </c>
      <c r="I468" s="66">
        <f t="shared" si="38"/>
        <v>0</v>
      </c>
      <c r="J468" s="66">
        <f t="shared" si="38"/>
        <v>0</v>
      </c>
      <c r="K468" s="66">
        <f t="shared" si="38"/>
        <v>0</v>
      </c>
      <c r="L468" s="66">
        <f t="shared" si="38"/>
        <v>0</v>
      </c>
      <c r="M468" s="66">
        <f t="shared" si="38"/>
        <v>0</v>
      </c>
      <c r="N468" s="10">
        <f t="shared" si="38"/>
        <v>0</v>
      </c>
      <c r="O468" s="11">
        <f t="shared" si="38"/>
        <v>0</v>
      </c>
      <c r="P468" s="104">
        <f t="shared" si="38"/>
        <v>0</v>
      </c>
      <c r="Q468" s="143">
        <f>Q465/Q467</f>
        <v>0</v>
      </c>
      <c r="R468" s="144">
        <f>R465/R467</f>
        <v>0</v>
      </c>
      <c r="S468" s="145">
        <f>S465/S467</f>
        <v>0</v>
      </c>
      <c r="T468" s="146">
        <f>Q468+R468+S468</f>
        <v>0</v>
      </c>
      <c r="U468" s="7">
        <f>IFERROR(N468*Q465/T465,0)</f>
        <v>0</v>
      </c>
      <c r="V468" s="8">
        <f>IFERROR(O468*R465/T465,0)</f>
        <v>0</v>
      </c>
      <c r="W468" s="9">
        <f>IFERROR(P468*S465/T465,0)</f>
        <v>0</v>
      </c>
      <c r="X468" s="7">
        <f>SUMIF(X11:X463,"&gt;0")</f>
        <v>0</v>
      </c>
      <c r="Y468" s="25">
        <f>SUM(Y11:Y463)</f>
        <v>0</v>
      </c>
      <c r="Z468" s="21">
        <f>SUM(Z11:Z463)</f>
        <v>0</v>
      </c>
      <c r="AA468" s="12">
        <f>IFERROR(SUMIF(AA11:AA463,"&gt;0"),0)</f>
        <v>0</v>
      </c>
      <c r="AB468" s="16">
        <f>SUM(AB11:AB463)</f>
        <v>0</v>
      </c>
      <c r="AC468" s="15">
        <f>SUM(AC11:AC463)</f>
        <v>0</v>
      </c>
      <c r="AD468" s="15">
        <f>IFERROR(SUMIF(AD11:AD463,"&gt;0"),0)</f>
        <v>0</v>
      </c>
      <c r="AE468" s="28"/>
    </row>
    <row r="469" spans="3:31" ht="15.75" thickBot="1">
      <c r="C469" s="196"/>
      <c r="D469" s="4"/>
      <c r="E469" s="4"/>
      <c r="F469" s="278" t="s">
        <v>118</v>
      </c>
      <c r="G469" s="279"/>
      <c r="H469" s="279"/>
      <c r="I469" s="279"/>
      <c r="J469" s="279"/>
      <c r="K469" s="279"/>
      <c r="L469" s="279"/>
      <c r="M469" s="280"/>
      <c r="N469" s="281" t="s">
        <v>116</v>
      </c>
      <c r="O469" s="282"/>
      <c r="P469" s="283"/>
      <c r="Q469" s="284" t="s">
        <v>112</v>
      </c>
      <c r="R469" s="285"/>
      <c r="S469" s="286"/>
      <c r="T469" s="80" t="s">
        <v>145</v>
      </c>
      <c r="U469" s="263" t="s">
        <v>123</v>
      </c>
      <c r="V469" s="264"/>
      <c r="W469" s="265"/>
      <c r="X469" s="195" t="s">
        <v>121</v>
      </c>
      <c r="Y469" s="75" t="s">
        <v>122</v>
      </c>
      <c r="Z469" s="49" t="s">
        <v>124</v>
      </c>
      <c r="AA469" s="50" t="s">
        <v>131</v>
      </c>
      <c r="AB469" s="80" t="s">
        <v>154</v>
      </c>
      <c r="AC469" s="50" t="s">
        <v>156</v>
      </c>
      <c r="AD469" s="51" t="s">
        <v>136</v>
      </c>
      <c r="AE469" s="28"/>
    </row>
    <row r="470" spans="3:31">
      <c r="C470" s="196"/>
      <c r="Y470" s="76"/>
      <c r="Z470" s="1"/>
    </row>
    <row r="471" spans="3:31">
      <c r="C471" s="196"/>
      <c r="Y471" s="76"/>
      <c r="Z471" s="1"/>
    </row>
    <row r="472" spans="3:31">
      <c r="C472" s="196"/>
      <c r="Y472" s="76"/>
      <c r="Z472" s="1"/>
    </row>
    <row r="473" spans="3:31">
      <c r="C473" s="196"/>
      <c r="Y473" s="76"/>
      <c r="Z473" s="1"/>
    </row>
    <row r="474" spans="3:31">
      <c r="C474" s="196"/>
      <c r="Y474" s="76"/>
      <c r="Z474" s="1"/>
    </row>
    <row r="475" spans="3:31">
      <c r="C475" s="196"/>
      <c r="Y475" s="76"/>
      <c r="Z475" s="1"/>
    </row>
    <row r="476" spans="3:31">
      <c r="C476" s="148"/>
      <c r="Y476" s="76"/>
      <c r="Z476" s="1"/>
    </row>
    <row r="477" spans="3:31">
      <c r="C477" s="148"/>
      <c r="Y477" s="76"/>
      <c r="Z477" s="1"/>
    </row>
    <row r="478" spans="3:31">
      <c r="C478" s="148"/>
      <c r="Y478" s="77"/>
      <c r="Z478" s="1"/>
    </row>
    <row r="479" spans="3:31">
      <c r="C479" s="148"/>
      <c r="Y479" s="70"/>
      <c r="Z479" s="1"/>
    </row>
    <row r="480" spans="3:31">
      <c r="C480" s="148"/>
      <c r="Y480" s="65"/>
      <c r="Z480" s="1"/>
    </row>
    <row r="481" spans="3:26">
      <c r="C481" s="196"/>
      <c r="Y481" s="65"/>
      <c r="Z481" s="1"/>
    </row>
    <row r="482" spans="3:26">
      <c r="Y482" s="65"/>
      <c r="Z482" s="1"/>
    </row>
    <row r="483" spans="3:26">
      <c r="Y483" s="65"/>
      <c r="Z483" s="1"/>
    </row>
    <row r="484" spans="3:26">
      <c r="Y484" s="65"/>
      <c r="Z484" s="1"/>
    </row>
    <row r="485" spans="3:26">
      <c r="Y485" s="65"/>
      <c r="Z485" s="1"/>
    </row>
    <row r="486" spans="3:26">
      <c r="Y486" s="65"/>
      <c r="Z486" s="1"/>
    </row>
    <row r="487" spans="3:26">
      <c r="Y487" s="65"/>
      <c r="Z487" s="1"/>
    </row>
    <row r="488" spans="3:26">
      <c r="Y488" s="65"/>
      <c r="Z488" s="1"/>
    </row>
    <row r="489" spans="3:26">
      <c r="Y489" s="65"/>
      <c r="Z489" s="1"/>
    </row>
    <row r="490" spans="3:26">
      <c r="Y490" s="65"/>
      <c r="Z490" s="1"/>
    </row>
    <row r="491" spans="3:26">
      <c r="Y491" s="65"/>
      <c r="Z491" s="1"/>
    </row>
    <row r="492" spans="3:26">
      <c r="Y492" s="65"/>
      <c r="Z492" s="1"/>
    </row>
    <row r="493" spans="3:26">
      <c r="Y493" s="65"/>
      <c r="Z493" s="1"/>
    </row>
    <row r="494" spans="3:26">
      <c r="Y494" s="199"/>
      <c r="Z494" s="199"/>
    </row>
    <row r="495" spans="3:26">
      <c r="Y495" s="199"/>
      <c r="Z495" s="199"/>
    </row>
    <row r="496" spans="3:26">
      <c r="Y496" s="199"/>
      <c r="Z496" s="199"/>
    </row>
    <row r="497" spans="25:26">
      <c r="Y497" s="199"/>
      <c r="Z497" s="199"/>
    </row>
    <row r="498" spans="25:26">
      <c r="Y498" s="199"/>
      <c r="Z498" s="199"/>
    </row>
    <row r="499" spans="25:26">
      <c r="Y499" s="65"/>
      <c r="Z499" s="1"/>
    </row>
  </sheetData>
  <mergeCells count="11">
    <mergeCell ref="U469:W469"/>
    <mergeCell ref="F466:K466"/>
    <mergeCell ref="L466:M466"/>
    <mergeCell ref="F469:M469"/>
    <mergeCell ref="N469:P469"/>
    <mergeCell ref="Q469:S469"/>
    <mergeCell ref="F4:M4"/>
    <mergeCell ref="F7:M7"/>
    <mergeCell ref="N7:P7"/>
    <mergeCell ref="Q7:S7"/>
    <mergeCell ref="U7:W7"/>
  </mergeCells>
  <conditionalFormatting sqref="C11:C24 C26:C34 C36:C42 C44:C55 C57:C73 C78:C98 C100:C126 C128:C151 C153:C211 C213:C257 C259 C461:C462 C352:C355 C357:C365 C367:C374 C376:C386 C388:C389 C391 C393:C395 C400:C402 C404:C409 C411:C417 C419:C423 C425:C432 C434:C439 C441:C444 C448:C449 C455 C457 C323:C348 C261:C296 C298:C321">
    <cfRule type="notContainsErrors" dxfId="55" priority="22">
      <formula>NOT(ISERROR(C11))</formula>
    </cfRule>
  </conditionalFormatting>
  <conditionalFormatting sqref="R5">
    <cfRule type="colorScale" priority="16">
      <colorScale>
        <cfvo type="min" val="0"/>
        <cfvo type="num" val="0"/>
        <cfvo type="max" val="0"/>
        <color rgb="FFFF0000"/>
        <color rgb="FFFFFF00"/>
        <color rgb="FF00B050"/>
      </colorScale>
    </cfRule>
  </conditionalFormatting>
  <conditionalFormatting sqref="F468:M468 L466">
    <cfRule type="colorScale" priority="15">
      <colorScale>
        <cfvo type="min" val="0"/>
        <cfvo type="num" val="$L$466"/>
        <cfvo type="max" val="0"/>
        <color rgb="FF63BE7B"/>
        <color rgb="FFFFEB84"/>
        <color rgb="FFF8696B"/>
      </colorScale>
    </cfRule>
  </conditionalFormatting>
  <conditionalFormatting sqref="Z11:Z466">
    <cfRule type="colorScale" priority="14">
      <colorScale>
        <cfvo type="min" val="0"/>
        <cfvo type="formula" val="noch_benötigte_Punkte_Avg/2"/>
        <cfvo type="max" val="0"/>
        <color rgb="FF00B050"/>
        <color rgb="FFFFFF00"/>
        <color rgb="FFFF0000"/>
      </colorScale>
    </cfRule>
  </conditionalFormatting>
  <conditionalFormatting sqref="AC11:AC466">
    <cfRule type="colorScale" priority="13">
      <colorScale>
        <cfvo type="min" val="0"/>
        <cfvo type="formula" val="AP_noch_Avg/2"/>
        <cfvo type="max" val="0"/>
        <color rgb="FF63BE7B"/>
        <color rgb="FFFFEB84"/>
        <color rgb="FFF8696B"/>
      </colorScale>
    </cfRule>
  </conditionalFormatting>
  <conditionalFormatting sqref="AD11:AD466">
    <cfRule type="colorScale" priority="12">
      <colorScale>
        <cfvo type="num" val="0.01"/>
        <cfvo type="max" val="0"/>
        <color rgb="FF63BE7B"/>
        <color rgb="FFF8696B"/>
      </colorScale>
    </cfRule>
  </conditionalFormatting>
  <conditionalFormatting sqref="C298:C321 C323:C348">
    <cfRule type="notContainsErrors" dxfId="54" priority="10">
      <formula>NOT(ISERROR(C298))</formula>
    </cfRule>
  </conditionalFormatting>
  <conditionalFormatting sqref="C298:C321 C323:C348">
    <cfRule type="notContainsErrors" dxfId="53" priority="6">
      <formula>NOT(ISERROR(C298))</formula>
    </cfRule>
  </conditionalFormatting>
  <conditionalFormatting sqref="C298:C321 C323:C348">
    <cfRule type="notContainsErrors" dxfId="52" priority="5">
      <formula>NOT(ISERROR(C298))</formula>
    </cfRule>
  </conditionalFormatting>
  <conditionalFormatting sqref="C261:C296 C298:C321 C323:C348">
    <cfRule type="notContainsErrors" dxfId="51" priority="4">
      <formula>NOT(ISERROR(C261))</formula>
    </cfRule>
  </conditionalFormatting>
  <conditionalFormatting sqref="C298:C321 C323:C348">
    <cfRule type="notContainsErrors" dxfId="50" priority="3">
      <formula>NOT(ISERROR(C298))</formula>
    </cfRule>
  </conditionalFormatting>
  <conditionalFormatting sqref="C298:C321 C323:C348">
    <cfRule type="notContainsErrors" dxfId="49" priority="2">
      <formula>NOT(ISERROR(C298))</formula>
    </cfRule>
  </conditionalFormatting>
  <conditionalFormatting sqref="C298:C321 C323:C348">
    <cfRule type="notContainsErrors" dxfId="48" priority="1">
      <formula>NOT(ISERROR(C298))</formula>
    </cfRule>
  </conditionalFormatting>
  <dataValidations count="5">
    <dataValidation type="list" allowBlank="1" showInputMessage="1" showErrorMessage="1" sqref="C357:C365 C213:C257 C393:C395 C352:C355 C57:C73 C400:C402 C404:C409 C411:C417 C419:C423 C425:C432 C434:C439 C441:C444 C448:C449 C455 C457 C461:C462 C128:C151 C259 C78:C98 C100:C126 C367:C374 C376:C386 C388:C389 C391 C153:C211 C261:C296 C298:C321 C323:C348">
      <formula1>Talente_Handwerkstalente</formula1>
    </dataValidation>
    <dataValidation type="list" allowBlank="1" showInputMessage="1" showErrorMessage="1" sqref="C11:C24">
      <formula1>Talente_Körpertalente</formula1>
    </dataValidation>
    <dataValidation type="list" allowBlank="1" showInputMessage="1" showErrorMessage="1" sqref="C26:C34">
      <formula1>Talente_Gesellschaftstalente</formula1>
    </dataValidation>
    <dataValidation type="list" allowBlank="1" showInputMessage="1" showErrorMessage="1" sqref="C36:C42">
      <formula1>Talente_Naturtalente</formula1>
    </dataValidation>
    <dataValidation type="list" allowBlank="1" showInputMessage="1" showErrorMessage="1" sqref="C44:C55">
      <formula1>Talente_Wissenstalente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64FF64"/>
  </sheetPr>
  <dimension ref="A1:AE499"/>
  <sheetViews>
    <sheetView zoomScaleNormal="100" workbookViewId="0"/>
  </sheetViews>
  <sheetFormatPr baseColWidth="10" defaultColWidth="9.140625" defaultRowHeight="15" outlineLevelRow="2" outlineLevelCol="1"/>
  <cols>
    <col min="1" max="1" width="11.85546875" style="148" customWidth="1"/>
    <col min="2" max="2" width="19.28515625" style="148" customWidth="1"/>
    <col min="3" max="3" width="31.7109375" style="140" customWidth="1"/>
    <col min="4" max="4" width="13.140625" style="148" customWidth="1"/>
    <col min="5" max="5" width="2.28515625" style="148" customWidth="1"/>
    <col min="6" max="13" width="9.28515625" style="148" customWidth="1"/>
    <col min="14" max="16" width="15.42578125" style="148" customWidth="1"/>
    <col min="17" max="19" width="12.42578125" style="148" customWidth="1"/>
    <col min="20" max="20" width="23.5703125" style="148" bestFit="1" customWidth="1"/>
    <col min="21" max="23" width="13" style="148" hidden="1" customWidth="1" outlineLevel="1"/>
    <col min="24" max="24" width="24" style="148" hidden="1" customWidth="1" outlineLevel="1"/>
    <col min="25" max="25" width="18.42578125" style="197" hidden="1" customWidth="1" outlineLevel="1"/>
    <col min="26" max="26" width="21.5703125" style="197" hidden="1" customWidth="1" outlineLevel="1"/>
    <col min="27" max="27" width="11.85546875" style="148" hidden="1" customWidth="1" outlineLevel="1"/>
    <col min="28" max="28" width="14" style="148" hidden="1" customWidth="1" outlineLevel="1"/>
    <col min="29" max="29" width="13.42578125" style="148" hidden="1" customWidth="1" outlineLevel="1"/>
    <col min="30" max="30" width="14.42578125" style="148" hidden="1" customWidth="1" outlineLevel="1"/>
    <col min="31" max="31" width="9.140625" style="148" collapsed="1"/>
    <col min="32" max="16384" width="9.140625" style="148"/>
  </cols>
  <sheetData>
    <row r="1" spans="1:31" s="4" customFormat="1">
      <c r="A1" s="124"/>
      <c r="C1" s="3"/>
      <c r="F1" s="93" t="s">
        <v>0</v>
      </c>
      <c r="G1" s="94" t="s">
        <v>1</v>
      </c>
      <c r="H1" s="94" t="s">
        <v>2</v>
      </c>
      <c r="I1" s="94" t="s">
        <v>3</v>
      </c>
      <c r="J1" s="94" t="s">
        <v>4</v>
      </c>
      <c r="K1" s="94" t="s">
        <v>5</v>
      </c>
      <c r="L1" s="94" t="s">
        <v>6</v>
      </c>
      <c r="M1" s="95" t="s">
        <v>7</v>
      </c>
      <c r="N1" s="32" t="s">
        <v>118</v>
      </c>
      <c r="O1" s="40" t="s">
        <v>283</v>
      </c>
      <c r="P1" s="67"/>
      <c r="Q1" s="6"/>
      <c r="R1" s="6"/>
      <c r="S1" s="6"/>
      <c r="T1" s="6"/>
      <c r="Y1" s="70"/>
      <c r="Z1" s="1"/>
      <c r="AA1" s="35"/>
      <c r="AB1" s="22"/>
      <c r="AC1" s="35"/>
      <c r="AD1" s="36"/>
    </row>
    <row r="2" spans="1:31" s="4" customFormat="1">
      <c r="A2" s="150"/>
      <c r="C2" s="3"/>
      <c r="F2" s="98">
        <f>MUmaster</f>
        <v>8</v>
      </c>
      <c r="G2" s="98">
        <f>KLmaster</f>
        <v>8</v>
      </c>
      <c r="H2" s="98">
        <f>INmaster+1</f>
        <v>9</v>
      </c>
      <c r="I2" s="98">
        <f>CHmaster</f>
        <v>8</v>
      </c>
      <c r="J2" s="98">
        <f>FFmaster</f>
        <v>8</v>
      </c>
      <c r="K2" s="98">
        <f>GEmaster</f>
        <v>8</v>
      </c>
      <c r="L2" s="98">
        <f>KOmaster</f>
        <v>8</v>
      </c>
      <c r="M2" s="98">
        <f>KKmaster</f>
        <v>8</v>
      </c>
      <c r="N2" s="5">
        <f>MUslave+KLslave+INslave_IN+CHslave+FFslave+GEslave+KOslave+KKslave</f>
        <v>65</v>
      </c>
      <c r="O2" s="68">
        <v>20</v>
      </c>
      <c r="P2" s="6"/>
      <c r="Q2" s="6"/>
      <c r="R2" s="6"/>
      <c r="S2" s="6"/>
      <c r="T2" s="6"/>
      <c r="Y2" s="71"/>
      <c r="Z2" s="1"/>
      <c r="AA2" s="35"/>
      <c r="AB2" s="22"/>
      <c r="AC2" s="35"/>
      <c r="AD2" s="36"/>
    </row>
    <row r="3" spans="1:31" s="37" customFormat="1">
      <c r="B3" s="31"/>
      <c r="C3" s="141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Y3" s="71"/>
      <c r="Z3" s="38"/>
      <c r="AA3" s="34"/>
      <c r="AB3" s="67"/>
      <c r="AC3" s="34"/>
      <c r="AD3" s="39"/>
    </row>
    <row r="4" spans="1:31" s="37" customFormat="1">
      <c r="B4" s="31"/>
      <c r="C4" s="141"/>
      <c r="F4" s="287" t="s">
        <v>139</v>
      </c>
      <c r="G4" s="288"/>
      <c r="H4" s="288"/>
      <c r="I4" s="288"/>
      <c r="J4" s="288"/>
      <c r="K4" s="288"/>
      <c r="L4" s="288"/>
      <c r="M4" s="288"/>
      <c r="N4" s="91" t="s">
        <v>334</v>
      </c>
      <c r="O4" s="91" t="s">
        <v>154</v>
      </c>
      <c r="P4" s="191" t="s">
        <v>144</v>
      </c>
      <c r="Q4" s="91" t="s">
        <v>142</v>
      </c>
      <c r="R4" s="92" t="s">
        <v>143</v>
      </c>
      <c r="S4" s="29"/>
      <c r="T4" s="29"/>
      <c r="Y4" s="71"/>
      <c r="Z4" s="38"/>
      <c r="AA4" s="34"/>
      <c r="AB4" s="67"/>
      <c r="AC4" s="34"/>
      <c r="AD4" s="39"/>
    </row>
    <row r="5" spans="1:31" s="37" customFormat="1">
      <c r="B5" s="31"/>
      <c r="C5" s="141"/>
      <c r="F5" s="190">
        <f>MUslave*15+IF(MUslave&gt;14,MUslave-14,0)*15+IF(MUslave&gt;15,MUslave-15,0)*15+IF(MUslave&gt;16,MUslave-16,0)*15+IF(MUslave&gt;17,MUslave-17,0)*15+IF(MUslave&gt;18,MUslave-18,0)*15+IF(MUslave&gt;19,MUslave-19,0)*15+IF(MUslave&gt;20,MUslave-20,0)*15+IF(MUslave&gt;21,MUslave-21,0)*15+IF(MUslave&gt;22,MUslave-22,0)*15+IF(MUslave&gt;23,MUslave-23,0)*15+IF(MUslave&gt;24,MUslave-24,0)*15-120</f>
        <v>0</v>
      </c>
      <c r="G5" s="190">
        <f>KLslave*15+IF(KLslave&gt;14,KLslave-14,0)*15+IF(KLslave&gt;15,KLslave-15,0)*15+IF(KLslave&gt;16,KLslave-16,0)*15+IF(KLslave&gt;17,KLslave-17,0)*15+IF(KLslave&gt;18,KLslave-18,0)*15+IF(KLslave&gt;19,KLslave-19,0)*15+IF(KLslave&gt;20,KLslave-20,0)*15+IF(KLslave&gt;21,KLslave-21,0)*15+IF(KLslave&gt;22,KLslave-22,0)*15+IF(KLslave&gt;23,KLslave-23,0)*15+IF(KLslave&gt;24,KLslave-24,0)*15-120</f>
        <v>0</v>
      </c>
      <c r="H5" s="189">
        <f>INslave_IN*15+IF(INslave_IN&gt;14,INslave_IN-14,0)*15+IF(INslave_IN&gt;15,INslave_IN-15,0)*15+IF(INslave_IN&gt;16,INslave_IN-16,0)*15+IF(INslave_IN&gt;17,INslave_IN-17,0)*15+IF(INslave_IN&gt;18,INslave_IN-18,0)*15+IF(INslave_IN&gt;19,INslave_IN-19,0)*15+IF(INslave_IN&gt;20,INslave_IN-20,0)*15+IF(INslave_IN&gt;21,INslave_IN-21,0)*15+IF(INslave_IN&gt;22,INslave_IN-22,0)*15+IF(INslave_IN&gt;23,INslave_IN-23,0)*15+IF(INslave_IN&gt;24,INslave_IN-24,0)*15-120</f>
        <v>15</v>
      </c>
      <c r="I5" s="189">
        <f>CHslave*15+IF(CHslave&gt;14,CHslave-14,0)*15+IF(CHslave&gt;15,CHslave-15,0)*15+IF(CHslave&gt;16,CHslave-16,0)*15+IF(CHslave&gt;17,CHslave-17,0)*15+IF(CHslave&gt;18,CHslave-18,0)*15+IF(CHslave&gt;19,CHslave-19,0)*15+IF(CHslave&gt;20,CHslave-20,0)*15+IF(CHslave&gt;21,CHslave-21,0)*15+IF(CHslave&gt;22,CHslave-22,0)*15+IF(CHslave&gt;23,CHslave-23,0)*15+IF(CHslave&gt;24,CHslave-24,0)*15-120</f>
        <v>0</v>
      </c>
      <c r="J5" s="189">
        <f>FFslave*15+IF(FFslave&gt;14,FFslave-14,0)*15+IF(FFslave&gt;15,FFslave-15,0)*15+IF(FFslave&gt;16,FFslave-16,0)*15+IF(FFslave&gt;17,FFslave-17,0)*15+IF(FFslave&gt;18,FFslave-18,0)*15+IF(FFslave&gt;19,FFslave-19,0)*15+IF(FFslave&gt;20,FFslave-20,0)*15+IF(FFslave&gt;21,FFslave-21,0)*15+IF(FFslave&gt;22,FFslave-22,0)*15+IF(FFslave&gt;23,FFslave-23,0)*15+IF(FFslave&gt;24,FFslave-24,0)*15-120</f>
        <v>0</v>
      </c>
      <c r="K5" s="189">
        <f>GEslave*15+IF(GEslave&gt;14,GEslave-14,0)*15+IF(GEslave&gt;15,GEslave-15,0)*15+IF(GEslave&gt;16,GEslave-16,0)*15+IF(GEslave&gt;17,GEslave-17,0)*15+IF(GEslave&gt;18,GEslave-18,0)*15+IF(GEslave&gt;19,GEslave-19,0)*15+IF(GEslave&gt;20,GEslave-20,0)*15+IF(GEslave&gt;21,GEslave-21,0)*15+IF(GEslave&gt;22,GEslave-22,0)*15+IF(GEslave&gt;23,GEslave-23,0)*15+IF(GEslave&gt;24,GEslave-24,0)*15-120</f>
        <v>0</v>
      </c>
      <c r="L5" s="189">
        <f>KOslave*15+IF(KOslave&gt;14,KOslave-14,0)*15+IF(KOslave&gt;15,KOslave-15,0)*15+IF(KOslave&gt;16,KOslave-16,0)*15+IF(KOslave&gt;17,KOslave-17,0)*15+IF(KOslave&gt;18,KOslave-18,0)*15+IF(KOslave&gt;19,KOslave-19,0)*15+IF(KOslave&gt;20,KOslave-20,0)*15+IF(KOslave&gt;21,KOslave-21,0)*15+IF(KOslave&gt;22,KOslave-22,0)*15+IF(KOslave&gt;23,KOslave-23,0)*15+IF(KOslave&gt;24,KOslave-24,0)*15-120</f>
        <v>0</v>
      </c>
      <c r="M5" s="189">
        <f>KKslave*15+IF(KKslave&gt;14,KKslave-14,0)*15+IF(KKslave&gt;15,KKslave-15,0)*15+IF(KKslave&gt;16,KKslave-16,0)*15+IF(KKslave&gt;17,KKslave-17,0)*15+IF(KKslave&gt;18,KKslave-18,0)*15+IF(KKslave&gt;19,KKslave-19,0)*15+IF(KKslave&gt;20,KKslave-20,0)*15+IF(KKslave&gt;21,KKslave-21,0)*15+IF(KKslave&gt;22,KKslave-22,0)*15+IF(KKslave&gt;23,KKslave-23,0)*15+IF(KKslave&gt;24,KKslave-24,0)*15-120</f>
        <v>0</v>
      </c>
      <c r="N5" s="189">
        <f>SUM(F5:M5)</f>
        <v>15</v>
      </c>
      <c r="O5" s="189">
        <f>AP_in_Talenten_IN</f>
        <v>0</v>
      </c>
      <c r="P5" s="17">
        <f>AP_in_Attributen_IN+AP_in_Talenten_IN</f>
        <v>15</v>
      </c>
      <c r="Q5" s="99">
        <v>1100</v>
      </c>
      <c r="R5" s="189">
        <f>Q5-P5</f>
        <v>1085</v>
      </c>
      <c r="S5" s="29"/>
      <c r="T5" s="29"/>
      <c r="X5" s="34"/>
      <c r="Y5" s="71"/>
      <c r="Z5" s="38"/>
      <c r="AA5" s="34"/>
      <c r="AB5" s="67"/>
      <c r="AC5" s="34"/>
      <c r="AD5" s="39"/>
    </row>
    <row r="6" spans="1:31" s="4" customFormat="1">
      <c r="A6" s="150"/>
      <c r="C6" s="3"/>
      <c r="F6" s="6"/>
      <c r="G6" s="6"/>
      <c r="H6" s="6"/>
      <c r="I6" s="6"/>
      <c r="J6" s="6"/>
      <c r="K6" s="6"/>
      <c r="L6" s="6"/>
      <c r="M6" s="6"/>
      <c r="P6" s="6"/>
      <c r="Q6" s="6"/>
      <c r="R6" s="6"/>
      <c r="S6" s="6"/>
      <c r="T6" s="6"/>
      <c r="Y6" s="71"/>
      <c r="Z6" s="1"/>
      <c r="AA6" s="35"/>
      <c r="AB6" s="22"/>
      <c r="AC6" s="35"/>
      <c r="AD6" s="36"/>
    </row>
    <row r="7" spans="1:31" s="4" customFormat="1">
      <c r="A7" s="150"/>
      <c r="C7" s="3"/>
      <c r="F7" s="289" t="s">
        <v>126</v>
      </c>
      <c r="G7" s="290"/>
      <c r="H7" s="290"/>
      <c r="I7" s="290"/>
      <c r="J7" s="290"/>
      <c r="K7" s="290"/>
      <c r="L7" s="290"/>
      <c r="M7" s="291"/>
      <c r="N7" s="292" t="s">
        <v>151</v>
      </c>
      <c r="O7" s="293"/>
      <c r="P7" s="294"/>
      <c r="Q7" s="289" t="s">
        <v>150</v>
      </c>
      <c r="R7" s="290"/>
      <c r="S7" s="291"/>
      <c r="T7" s="101" t="s">
        <v>114</v>
      </c>
      <c r="U7" s="292" t="s">
        <v>152</v>
      </c>
      <c r="V7" s="293"/>
      <c r="W7" s="294"/>
      <c r="X7" s="14" t="s">
        <v>153</v>
      </c>
      <c r="Y7" s="72" t="s">
        <v>138</v>
      </c>
      <c r="Z7" s="41" t="s">
        <v>120</v>
      </c>
      <c r="AA7" s="42" t="s">
        <v>130</v>
      </c>
      <c r="AB7" s="78" t="s">
        <v>130</v>
      </c>
      <c r="AC7" s="42" t="s">
        <v>130</v>
      </c>
      <c r="AD7" s="43" t="s">
        <v>130</v>
      </c>
    </row>
    <row r="8" spans="1:31" s="4" customFormat="1" ht="15.75" thickBot="1">
      <c r="A8" s="150"/>
      <c r="B8" s="3"/>
      <c r="C8" s="3"/>
      <c r="D8" s="3"/>
      <c r="F8" s="190" t="s">
        <v>0</v>
      </c>
      <c r="G8" s="190" t="s">
        <v>1</v>
      </c>
      <c r="H8" s="190" t="s">
        <v>2</v>
      </c>
      <c r="I8" s="190" t="s">
        <v>3</v>
      </c>
      <c r="J8" s="190" t="s">
        <v>4</v>
      </c>
      <c r="K8" s="190" t="s">
        <v>5</v>
      </c>
      <c r="L8" s="190" t="s">
        <v>6</v>
      </c>
      <c r="M8" s="190" t="s">
        <v>7</v>
      </c>
      <c r="N8" s="33" t="s">
        <v>109</v>
      </c>
      <c r="O8" s="33" t="s">
        <v>110</v>
      </c>
      <c r="P8" s="190" t="s">
        <v>111</v>
      </c>
      <c r="Q8" s="190" t="s">
        <v>106</v>
      </c>
      <c r="R8" s="190" t="s">
        <v>107</v>
      </c>
      <c r="S8" s="190" t="s">
        <v>108</v>
      </c>
      <c r="T8" s="190" t="s">
        <v>115</v>
      </c>
      <c r="U8" s="40" t="s">
        <v>127</v>
      </c>
      <c r="V8" s="40" t="s">
        <v>128</v>
      </c>
      <c r="W8" s="40" t="s">
        <v>129</v>
      </c>
      <c r="X8" s="33" t="s">
        <v>119</v>
      </c>
      <c r="Y8" s="73" t="s">
        <v>125</v>
      </c>
      <c r="Z8" s="44" t="s">
        <v>343</v>
      </c>
      <c r="AA8" s="45" t="s">
        <v>157</v>
      </c>
      <c r="AB8" s="79" t="s">
        <v>159</v>
      </c>
      <c r="AC8" s="45" t="s">
        <v>155</v>
      </c>
      <c r="AD8" s="46" t="s">
        <v>137</v>
      </c>
    </row>
    <row r="9" spans="1:31" ht="15.75" thickBot="1">
      <c r="A9" s="135" t="s">
        <v>333</v>
      </c>
    </row>
    <row r="10" spans="1:31" ht="15" hidden="1" customHeight="1" outlineLevel="1">
      <c r="B10" s="134" t="s">
        <v>68</v>
      </c>
    </row>
    <row r="11" spans="1:31" ht="15" hidden="1" customHeight="1" outlineLevel="2">
      <c r="B11" s="148">
        <v>1</v>
      </c>
      <c r="C11" s="176" t="str">
        <f>Attribute!C11</f>
        <v>---</v>
      </c>
      <c r="D11" s="126" t="str">
        <f>VLOOKUP(C11,'Talente &amp; Stuff'!CL:DM,2,FALSE)</f>
        <v>--/--/--</v>
      </c>
      <c r="E11" s="158" t="str">
        <f>VLOOKUP(C11,'Talente &amp; Stuff'!CL:DM,3,FALSE)</f>
        <v>-</v>
      </c>
      <c r="F11" s="191">
        <f>VLOOKUP(C11,'Talente &amp; Stuff'!CL:DM,4,FALSE)</f>
        <v>0</v>
      </c>
      <c r="G11" s="118">
        <f>VLOOKUP(C11,'Talente &amp; Stuff'!CL:DM,5,FALSE)</f>
        <v>0</v>
      </c>
      <c r="H11" s="118">
        <f>VLOOKUP(C11,'Talente &amp; Stuff'!CL:DM,6,FALSE)</f>
        <v>0</v>
      </c>
      <c r="I11" s="118">
        <f>VLOOKUP(C11,'Talente &amp; Stuff'!CL:DM,7,FALSE)</f>
        <v>0</v>
      </c>
      <c r="J11" s="118">
        <f>VLOOKUP(C11,'Talente &amp; Stuff'!CL:DM,8,FALSE)</f>
        <v>0</v>
      </c>
      <c r="K11" s="118">
        <f>VLOOKUP(C11,'Talente &amp; Stuff'!CL:DM,9,FALSE)</f>
        <v>0</v>
      </c>
      <c r="L11" s="118">
        <f>VLOOKUP(C11,'Talente &amp; Stuff'!CL:DM,10,FALSE)</f>
        <v>0</v>
      </c>
      <c r="M11" s="92">
        <f>VLOOKUP(C11,'Talente &amp; Stuff'!CL:DM,11,FALSE)</f>
        <v>0</v>
      </c>
      <c r="N11" s="193">
        <f>VLOOKUP(C11,'Talente &amp; Stuff'!CL:DM,12,FALSE)</f>
        <v>0</v>
      </c>
      <c r="O11" s="116">
        <f>VLOOKUP(C11,'Talente &amp; Stuff'!CL:DM,13,FALSE)</f>
        <v>0</v>
      </c>
      <c r="P11" s="92">
        <f>VLOOKUP(C11,'Talente &amp; Stuff'!CL:DM,14,FALSE)</f>
        <v>0</v>
      </c>
      <c r="Q11" s="191">
        <f>VLOOKUP(C11,'Talente &amp; Stuff'!CL:DM,15,FALSE)</f>
        <v>0</v>
      </c>
      <c r="R11" s="118">
        <f>VLOOKUP(C11,'Talente &amp; Stuff'!CL:DM,16,FALSE)</f>
        <v>0</v>
      </c>
      <c r="S11" s="92">
        <f>VLOOKUP(C11,'Talente &amp; Stuff'!CL:DM,17,FALSE)</f>
        <v>0</v>
      </c>
      <c r="T11" s="91">
        <f>VLOOKUP(C11,'Talente &amp; Stuff'!CL:DM,18,FALSE)</f>
        <v>0</v>
      </c>
      <c r="U11" s="193">
        <f>VLOOKUP(C11,'Talente &amp; Stuff'!CL:DM,19,FALSE)</f>
        <v>0</v>
      </c>
      <c r="V11" s="116">
        <f>VLOOKUP(C11,'Talente &amp; Stuff'!CL:DM,20,FALSE)</f>
        <v>0</v>
      </c>
      <c r="W11" s="126">
        <f>VLOOKUP(C11,'Talente &amp; Stuff'!CL:DM,21,FALSE)</f>
        <v>0</v>
      </c>
      <c r="X11" s="158">
        <f>VLOOKUP(C11,'Talente &amp; Stuff'!CL:DM,22,FALSE)</f>
        <v>0</v>
      </c>
      <c r="Y11" s="165">
        <f t="shared" ref="Y11:Y24" si="0">VLOOKUP(C11,Ausgewählte_Talente_Körpertalente,110,FALSE)</f>
        <v>0</v>
      </c>
      <c r="Z11" s="44">
        <f t="shared" ref="Z11:Z24" si="1">VLOOKUP(C11,Ausgewählte_Talente_Körpertalente,111,FALSE)</f>
        <v>0</v>
      </c>
      <c r="AA11" s="158">
        <f>VLOOKUP(C11,'Talente &amp; Stuff'!CL:DM,25,FALSE)</f>
        <v>0</v>
      </c>
      <c r="AB11" s="91">
        <f>VLOOKUP(C11,'Talente &amp; Stuff'!CL:DM,26,FALSE)</f>
        <v>0</v>
      </c>
      <c r="AC11" s="126">
        <f>VLOOKUP(C11,'Talente &amp; Stuff'!CL:DM,27,FALSE)</f>
        <v>0</v>
      </c>
      <c r="AD11" s="158">
        <f>VLOOKUP(C11,'Talente &amp; Stuff'!CL:DM,28,FALSE)</f>
        <v>0</v>
      </c>
      <c r="AE11" s="28"/>
    </row>
    <row r="12" spans="1:31" ht="15" hidden="1" customHeight="1" outlineLevel="2">
      <c r="B12" s="148">
        <v>2</v>
      </c>
      <c r="C12" s="177" t="str">
        <f>Attribute!C12</f>
        <v>---</v>
      </c>
      <c r="D12" s="127" t="str">
        <f>VLOOKUP(C12,'Talente &amp; Stuff'!CL:DM,2,FALSE)</f>
        <v>--/--/--</v>
      </c>
      <c r="E12" s="125" t="str">
        <f>VLOOKUP(C12,'Talente &amp; Stuff'!CL:DM,3,FALSE)</f>
        <v>-</v>
      </c>
      <c r="F12" s="114">
        <f>VLOOKUP(C12,'Talente &amp; Stuff'!CL:DM,4,FALSE)</f>
        <v>0</v>
      </c>
      <c r="G12" s="113">
        <f>VLOOKUP(C12,'Talente &amp; Stuff'!CL:DM,5,FALSE)</f>
        <v>0</v>
      </c>
      <c r="H12" s="113">
        <f>VLOOKUP(C12,'Talente &amp; Stuff'!CL:DM,6,FALSE)</f>
        <v>0</v>
      </c>
      <c r="I12" s="113">
        <f>VLOOKUP(C12,'Talente &amp; Stuff'!CL:DM,7,FALSE)</f>
        <v>0</v>
      </c>
      <c r="J12" s="113">
        <f>VLOOKUP(C12,'Talente &amp; Stuff'!CL:DM,8,FALSE)</f>
        <v>0</v>
      </c>
      <c r="K12" s="113">
        <f>VLOOKUP(C12,'Talente &amp; Stuff'!CL:DM,9,FALSE)</f>
        <v>0</v>
      </c>
      <c r="L12" s="113">
        <f>VLOOKUP(C12,'Talente &amp; Stuff'!CL:DM,10,FALSE)</f>
        <v>0</v>
      </c>
      <c r="M12" s="119">
        <f>VLOOKUP(C12,'Talente &amp; Stuff'!CL:DM,11,FALSE)</f>
        <v>0</v>
      </c>
      <c r="N12" s="89">
        <f>VLOOKUP(C12,'Talente &amp; Stuff'!CL:DM,12,FALSE)</f>
        <v>0</v>
      </c>
      <c r="O12" s="47">
        <f>VLOOKUP(C12,'Talente &amp; Stuff'!CL:DM,13,FALSE)</f>
        <v>0</v>
      </c>
      <c r="P12" s="119">
        <f>VLOOKUP(C12,'Talente &amp; Stuff'!CL:DM,14,FALSE)</f>
        <v>0</v>
      </c>
      <c r="Q12" s="114">
        <f>VLOOKUP(C12,'Talente &amp; Stuff'!CL:DM,15,FALSE)</f>
        <v>0</v>
      </c>
      <c r="R12" s="113">
        <f>VLOOKUP(C12,'Talente &amp; Stuff'!CL:DM,16,FALSE)</f>
        <v>0</v>
      </c>
      <c r="S12" s="119">
        <f>VLOOKUP(C12,'Talente &amp; Stuff'!CL:DM,17,FALSE)</f>
        <v>0</v>
      </c>
      <c r="T12" s="160">
        <f>VLOOKUP(C12,'Talente &amp; Stuff'!CL:DM,18,FALSE)</f>
        <v>0</v>
      </c>
      <c r="U12" s="89">
        <f>VLOOKUP(C12,'Talente &amp; Stuff'!CL:DM,19,FALSE)</f>
        <v>0</v>
      </c>
      <c r="V12" s="47">
        <f>VLOOKUP(C12,'Talente &amp; Stuff'!CL:DM,20,FALSE)</f>
        <v>0</v>
      </c>
      <c r="W12" s="127">
        <f>VLOOKUP(C12,'Talente &amp; Stuff'!CL:DM,21,FALSE)</f>
        <v>0</v>
      </c>
      <c r="X12" s="125">
        <f>VLOOKUP(C12,'Talente &amp; Stuff'!CL:DM,22,FALSE)</f>
        <v>0</v>
      </c>
      <c r="Y12" s="165">
        <f t="shared" si="0"/>
        <v>0</v>
      </c>
      <c r="Z12" s="44">
        <f t="shared" si="1"/>
        <v>0</v>
      </c>
      <c r="AA12" s="125">
        <f>VLOOKUP(C12,'Talente &amp; Stuff'!CL:DM,25,FALSE)</f>
        <v>0</v>
      </c>
      <c r="AB12" s="160">
        <f>VLOOKUP(C12,'Talente &amp; Stuff'!CL:DM,26,FALSE)</f>
        <v>0</v>
      </c>
      <c r="AC12" s="127">
        <f>VLOOKUP(C12,'Talente &amp; Stuff'!CL:DM,27,FALSE)</f>
        <v>0</v>
      </c>
      <c r="AD12" s="125">
        <f>VLOOKUP(C12,'Talente &amp; Stuff'!CL:DM,28,FALSE)</f>
        <v>0</v>
      </c>
      <c r="AE12" s="28"/>
    </row>
    <row r="13" spans="1:31" ht="15" hidden="1" customHeight="1" outlineLevel="2">
      <c r="B13" s="148">
        <v>3</v>
      </c>
      <c r="C13" s="177" t="str">
        <f>Attribute!C13</f>
        <v>---</v>
      </c>
      <c r="D13" s="127" t="str">
        <f>VLOOKUP(C13,'Talente &amp; Stuff'!CL:DM,2,FALSE)</f>
        <v>--/--/--</v>
      </c>
      <c r="E13" s="125" t="str">
        <f>VLOOKUP(C13,'Talente &amp; Stuff'!CL:DM,3,FALSE)</f>
        <v>-</v>
      </c>
      <c r="F13" s="114">
        <f>VLOOKUP(C13,'Talente &amp; Stuff'!CL:DM,4,FALSE)</f>
        <v>0</v>
      </c>
      <c r="G13" s="113">
        <f>VLOOKUP(C13,'Talente &amp; Stuff'!CL:DM,5,FALSE)</f>
        <v>0</v>
      </c>
      <c r="H13" s="113">
        <f>VLOOKUP(C13,'Talente &amp; Stuff'!CL:DM,6,FALSE)</f>
        <v>0</v>
      </c>
      <c r="I13" s="113">
        <f>VLOOKUP(C13,'Talente &amp; Stuff'!CL:DM,7,FALSE)</f>
        <v>0</v>
      </c>
      <c r="J13" s="113">
        <f>VLOOKUP(C13,'Talente &amp; Stuff'!CL:DM,8,FALSE)</f>
        <v>0</v>
      </c>
      <c r="K13" s="113">
        <f>VLOOKUP(C13,'Talente &amp; Stuff'!CL:DM,9,FALSE)</f>
        <v>0</v>
      </c>
      <c r="L13" s="113">
        <f>VLOOKUP(C13,'Talente &amp; Stuff'!CL:DM,10,FALSE)</f>
        <v>0</v>
      </c>
      <c r="M13" s="119">
        <f>VLOOKUP(C13,'Talente &amp; Stuff'!CL:DM,11,FALSE)</f>
        <v>0</v>
      </c>
      <c r="N13" s="89">
        <f>VLOOKUP(C13,'Talente &amp; Stuff'!CL:DM,12,FALSE)</f>
        <v>0</v>
      </c>
      <c r="O13" s="47">
        <f>VLOOKUP(C13,'Talente &amp; Stuff'!CL:DM,13,FALSE)</f>
        <v>0</v>
      </c>
      <c r="P13" s="119">
        <f>VLOOKUP(C13,'Talente &amp; Stuff'!CL:DM,14,FALSE)</f>
        <v>0</v>
      </c>
      <c r="Q13" s="114">
        <f>VLOOKUP(C13,'Talente &amp; Stuff'!CL:DM,15,FALSE)</f>
        <v>0</v>
      </c>
      <c r="R13" s="113">
        <f>VLOOKUP(C13,'Talente &amp; Stuff'!CL:DM,16,FALSE)</f>
        <v>0</v>
      </c>
      <c r="S13" s="119">
        <f>VLOOKUP(C13,'Talente &amp; Stuff'!CL:DM,17,FALSE)</f>
        <v>0</v>
      </c>
      <c r="T13" s="160">
        <f>VLOOKUP(C13,'Talente &amp; Stuff'!CL:DM,18,FALSE)</f>
        <v>0</v>
      </c>
      <c r="U13" s="89">
        <f>VLOOKUP(C13,'Talente &amp; Stuff'!CL:DM,19,FALSE)</f>
        <v>0</v>
      </c>
      <c r="V13" s="47">
        <f>VLOOKUP(C13,'Talente &amp; Stuff'!CL:DM,20,FALSE)</f>
        <v>0</v>
      </c>
      <c r="W13" s="127">
        <f>VLOOKUP(C13,'Talente &amp; Stuff'!CL:DM,21,FALSE)</f>
        <v>0</v>
      </c>
      <c r="X13" s="125">
        <f>VLOOKUP(C13,'Talente &amp; Stuff'!CL:DM,22,FALSE)</f>
        <v>0</v>
      </c>
      <c r="Y13" s="165">
        <f t="shared" si="0"/>
        <v>0</v>
      </c>
      <c r="Z13" s="44">
        <f t="shared" si="1"/>
        <v>0</v>
      </c>
      <c r="AA13" s="125">
        <f>VLOOKUP(C13,'Talente &amp; Stuff'!CL:DM,25,FALSE)</f>
        <v>0</v>
      </c>
      <c r="AB13" s="160">
        <f>VLOOKUP(C13,'Talente &amp; Stuff'!CL:DM,26,FALSE)</f>
        <v>0</v>
      </c>
      <c r="AC13" s="127">
        <f>VLOOKUP(C13,'Talente &amp; Stuff'!CL:DM,27,FALSE)</f>
        <v>0</v>
      </c>
      <c r="AD13" s="125">
        <f>VLOOKUP(C13,'Talente &amp; Stuff'!CL:DM,28,FALSE)</f>
        <v>0</v>
      </c>
      <c r="AE13" s="28"/>
    </row>
    <row r="14" spans="1:31" ht="15" hidden="1" customHeight="1" outlineLevel="2">
      <c r="B14" s="148">
        <v>4</v>
      </c>
      <c r="C14" s="177" t="str">
        <f>Attribute!C14</f>
        <v>---</v>
      </c>
      <c r="D14" s="127" t="str">
        <f>VLOOKUP(C14,'Talente &amp; Stuff'!CL:DM,2,FALSE)</f>
        <v>--/--/--</v>
      </c>
      <c r="E14" s="125" t="str">
        <f>VLOOKUP(C14,'Talente &amp; Stuff'!CL:DM,3,FALSE)</f>
        <v>-</v>
      </c>
      <c r="F14" s="114">
        <f>VLOOKUP(C14,'Talente &amp; Stuff'!CL:DM,4,FALSE)</f>
        <v>0</v>
      </c>
      <c r="G14" s="113">
        <f>VLOOKUP(C14,'Talente &amp; Stuff'!CL:DM,5,FALSE)</f>
        <v>0</v>
      </c>
      <c r="H14" s="113">
        <f>VLOOKUP(C14,'Talente &amp; Stuff'!CL:DM,6,FALSE)</f>
        <v>0</v>
      </c>
      <c r="I14" s="113">
        <f>VLOOKUP(C14,'Talente &amp; Stuff'!CL:DM,7,FALSE)</f>
        <v>0</v>
      </c>
      <c r="J14" s="113">
        <f>VLOOKUP(C14,'Talente &amp; Stuff'!CL:DM,8,FALSE)</f>
        <v>0</v>
      </c>
      <c r="K14" s="113">
        <f>VLOOKUP(C14,'Talente &amp; Stuff'!CL:DM,9,FALSE)</f>
        <v>0</v>
      </c>
      <c r="L14" s="113">
        <f>VLOOKUP(C14,'Talente &amp; Stuff'!CL:DM,10,FALSE)</f>
        <v>0</v>
      </c>
      <c r="M14" s="119">
        <f>VLOOKUP(C14,'Talente &amp; Stuff'!CL:DM,11,FALSE)</f>
        <v>0</v>
      </c>
      <c r="N14" s="89">
        <f>VLOOKUP(C14,'Talente &amp; Stuff'!CL:DM,12,FALSE)</f>
        <v>0</v>
      </c>
      <c r="O14" s="47">
        <f>VLOOKUP(C14,'Talente &amp; Stuff'!CL:DM,13,FALSE)</f>
        <v>0</v>
      </c>
      <c r="P14" s="119">
        <f>VLOOKUP(C14,'Talente &amp; Stuff'!CL:DM,14,FALSE)</f>
        <v>0</v>
      </c>
      <c r="Q14" s="114">
        <f>VLOOKUP(C14,'Talente &amp; Stuff'!CL:DM,15,FALSE)</f>
        <v>0</v>
      </c>
      <c r="R14" s="113">
        <f>VLOOKUP(C14,'Talente &amp; Stuff'!CL:DM,16,FALSE)</f>
        <v>0</v>
      </c>
      <c r="S14" s="119">
        <f>VLOOKUP(C14,'Talente &amp; Stuff'!CL:DM,17,FALSE)</f>
        <v>0</v>
      </c>
      <c r="T14" s="160">
        <f>VLOOKUP(C14,'Talente &amp; Stuff'!CL:DM,18,FALSE)</f>
        <v>0</v>
      </c>
      <c r="U14" s="89">
        <f>VLOOKUP(C14,'Talente &amp; Stuff'!CL:DM,19,FALSE)</f>
        <v>0</v>
      </c>
      <c r="V14" s="47">
        <f>VLOOKUP(C14,'Talente &amp; Stuff'!CL:DM,20,FALSE)</f>
        <v>0</v>
      </c>
      <c r="W14" s="127">
        <f>VLOOKUP(C14,'Talente &amp; Stuff'!CL:DM,21,FALSE)</f>
        <v>0</v>
      </c>
      <c r="X14" s="125">
        <f>VLOOKUP(C14,'Talente &amp; Stuff'!CL:DM,22,FALSE)</f>
        <v>0</v>
      </c>
      <c r="Y14" s="165">
        <f t="shared" si="0"/>
        <v>0</v>
      </c>
      <c r="Z14" s="44">
        <f t="shared" si="1"/>
        <v>0</v>
      </c>
      <c r="AA14" s="125">
        <f>VLOOKUP(C14,'Talente &amp; Stuff'!CL:DM,25,FALSE)</f>
        <v>0</v>
      </c>
      <c r="AB14" s="160">
        <f>VLOOKUP(C14,'Talente &amp; Stuff'!CL:DM,26,FALSE)</f>
        <v>0</v>
      </c>
      <c r="AC14" s="127">
        <f>VLOOKUP(C14,'Talente &amp; Stuff'!CL:DM,27,FALSE)</f>
        <v>0</v>
      </c>
      <c r="AD14" s="125">
        <f>VLOOKUP(C14,'Talente &amp; Stuff'!CL:DM,28,FALSE)</f>
        <v>0</v>
      </c>
      <c r="AE14" s="28"/>
    </row>
    <row r="15" spans="1:31" ht="15" hidden="1" customHeight="1" outlineLevel="2">
      <c r="B15" s="148">
        <v>5</v>
      </c>
      <c r="C15" s="177" t="str">
        <f>Attribute!C15</f>
        <v>---</v>
      </c>
      <c r="D15" s="127" t="str">
        <f>VLOOKUP(C15,'Talente &amp; Stuff'!CL:DM,2,FALSE)</f>
        <v>--/--/--</v>
      </c>
      <c r="E15" s="125" t="str">
        <f>VLOOKUP(C15,'Talente &amp; Stuff'!CL:DM,3,FALSE)</f>
        <v>-</v>
      </c>
      <c r="F15" s="114">
        <f>VLOOKUP(C15,'Talente &amp; Stuff'!CL:DM,4,FALSE)</f>
        <v>0</v>
      </c>
      <c r="G15" s="113">
        <f>VLOOKUP(C15,'Talente &amp; Stuff'!CL:DM,5,FALSE)</f>
        <v>0</v>
      </c>
      <c r="H15" s="113">
        <f>VLOOKUP(C15,'Talente &amp; Stuff'!CL:DM,6,FALSE)</f>
        <v>0</v>
      </c>
      <c r="I15" s="113">
        <f>VLOOKUP(C15,'Talente &amp; Stuff'!CL:DM,7,FALSE)</f>
        <v>0</v>
      </c>
      <c r="J15" s="113">
        <f>VLOOKUP(C15,'Talente &amp; Stuff'!CL:DM,8,FALSE)</f>
        <v>0</v>
      </c>
      <c r="K15" s="113">
        <f>VLOOKUP(C15,'Talente &amp; Stuff'!CL:DM,9,FALSE)</f>
        <v>0</v>
      </c>
      <c r="L15" s="113">
        <f>VLOOKUP(C15,'Talente &amp; Stuff'!CL:DM,10,FALSE)</f>
        <v>0</v>
      </c>
      <c r="M15" s="119">
        <f>VLOOKUP(C15,'Talente &amp; Stuff'!CL:DM,11,FALSE)</f>
        <v>0</v>
      </c>
      <c r="N15" s="89">
        <f>VLOOKUP(C15,'Talente &amp; Stuff'!CL:DM,12,FALSE)</f>
        <v>0</v>
      </c>
      <c r="O15" s="47">
        <f>VLOOKUP(C15,'Talente &amp; Stuff'!CL:DM,13,FALSE)</f>
        <v>0</v>
      </c>
      <c r="P15" s="119">
        <f>VLOOKUP(C15,'Talente &amp; Stuff'!CL:DM,14,FALSE)</f>
        <v>0</v>
      </c>
      <c r="Q15" s="114">
        <f>VLOOKUP(C15,'Talente &amp; Stuff'!CL:DM,15,FALSE)</f>
        <v>0</v>
      </c>
      <c r="R15" s="113">
        <f>VLOOKUP(C15,'Talente &amp; Stuff'!CL:DM,16,FALSE)</f>
        <v>0</v>
      </c>
      <c r="S15" s="119">
        <f>VLOOKUP(C15,'Talente &amp; Stuff'!CL:DM,17,FALSE)</f>
        <v>0</v>
      </c>
      <c r="T15" s="160">
        <f>VLOOKUP(C15,'Talente &amp; Stuff'!CL:DM,18,FALSE)</f>
        <v>0</v>
      </c>
      <c r="U15" s="89">
        <f>VLOOKUP(C15,'Talente &amp; Stuff'!CL:DM,19,FALSE)</f>
        <v>0</v>
      </c>
      <c r="V15" s="47">
        <f>VLOOKUP(C15,'Talente &amp; Stuff'!CL:DM,20,FALSE)</f>
        <v>0</v>
      </c>
      <c r="W15" s="127">
        <f>VLOOKUP(C15,'Talente &amp; Stuff'!CL:DM,21,FALSE)</f>
        <v>0</v>
      </c>
      <c r="X15" s="125">
        <f>VLOOKUP(C15,'Talente &amp; Stuff'!CL:DM,22,FALSE)</f>
        <v>0</v>
      </c>
      <c r="Y15" s="165">
        <f t="shared" si="0"/>
        <v>0</v>
      </c>
      <c r="Z15" s="44">
        <f t="shared" si="1"/>
        <v>0</v>
      </c>
      <c r="AA15" s="125">
        <f>VLOOKUP(C15,'Talente &amp; Stuff'!CL:DM,25,FALSE)</f>
        <v>0</v>
      </c>
      <c r="AB15" s="160">
        <f>VLOOKUP(C15,'Talente &amp; Stuff'!CL:DM,26,FALSE)</f>
        <v>0</v>
      </c>
      <c r="AC15" s="127">
        <f>VLOOKUP(C15,'Talente &amp; Stuff'!CL:DM,27,FALSE)</f>
        <v>0</v>
      </c>
      <c r="AD15" s="125">
        <f>VLOOKUP(C15,'Talente &amp; Stuff'!CL:DM,28,FALSE)</f>
        <v>0</v>
      </c>
      <c r="AE15" s="28"/>
    </row>
    <row r="16" spans="1:31" ht="15" hidden="1" customHeight="1" outlineLevel="2">
      <c r="B16" s="148">
        <v>6</v>
      </c>
      <c r="C16" s="177" t="str">
        <f>Attribute!C16</f>
        <v>---</v>
      </c>
      <c r="D16" s="127" t="str">
        <f>VLOOKUP(C16,'Talente &amp; Stuff'!CL:DM,2,FALSE)</f>
        <v>--/--/--</v>
      </c>
      <c r="E16" s="125" t="str">
        <f>VLOOKUP(C16,'Talente &amp; Stuff'!CL:DM,3,FALSE)</f>
        <v>-</v>
      </c>
      <c r="F16" s="114">
        <f>VLOOKUP(C16,'Talente &amp; Stuff'!CL:DM,4,FALSE)</f>
        <v>0</v>
      </c>
      <c r="G16" s="113">
        <f>VLOOKUP(C16,'Talente &amp; Stuff'!CL:DM,5,FALSE)</f>
        <v>0</v>
      </c>
      <c r="H16" s="113">
        <f>VLOOKUP(C16,'Talente &amp; Stuff'!CL:DM,6,FALSE)</f>
        <v>0</v>
      </c>
      <c r="I16" s="113">
        <f>VLOOKUP(C16,'Talente &amp; Stuff'!CL:DM,7,FALSE)</f>
        <v>0</v>
      </c>
      <c r="J16" s="113">
        <f>VLOOKUP(C16,'Talente &amp; Stuff'!CL:DM,8,FALSE)</f>
        <v>0</v>
      </c>
      <c r="K16" s="113">
        <f>VLOOKUP(C16,'Talente &amp; Stuff'!CL:DM,9,FALSE)</f>
        <v>0</v>
      </c>
      <c r="L16" s="113">
        <f>VLOOKUP(C16,'Talente &amp; Stuff'!CL:DM,10,FALSE)</f>
        <v>0</v>
      </c>
      <c r="M16" s="119">
        <f>VLOOKUP(C16,'Talente &amp; Stuff'!CL:DM,11,FALSE)</f>
        <v>0</v>
      </c>
      <c r="N16" s="89">
        <f>VLOOKUP(C16,'Talente &amp; Stuff'!CL:DM,12,FALSE)</f>
        <v>0</v>
      </c>
      <c r="O16" s="47">
        <f>VLOOKUP(C16,'Talente &amp; Stuff'!CL:DM,13,FALSE)</f>
        <v>0</v>
      </c>
      <c r="P16" s="119">
        <f>VLOOKUP(C16,'Talente &amp; Stuff'!CL:DM,14,FALSE)</f>
        <v>0</v>
      </c>
      <c r="Q16" s="114">
        <f>VLOOKUP(C16,'Talente &amp; Stuff'!CL:DM,15,FALSE)</f>
        <v>0</v>
      </c>
      <c r="R16" s="113">
        <f>VLOOKUP(C16,'Talente &amp; Stuff'!CL:DM,16,FALSE)</f>
        <v>0</v>
      </c>
      <c r="S16" s="119">
        <f>VLOOKUP(C16,'Talente &amp; Stuff'!CL:DM,17,FALSE)</f>
        <v>0</v>
      </c>
      <c r="T16" s="160">
        <f>VLOOKUP(C16,'Talente &amp; Stuff'!CL:DM,18,FALSE)</f>
        <v>0</v>
      </c>
      <c r="U16" s="89">
        <f>VLOOKUP(C16,'Talente &amp; Stuff'!CL:DM,19,FALSE)</f>
        <v>0</v>
      </c>
      <c r="V16" s="47">
        <f>VLOOKUP(C16,'Talente &amp; Stuff'!CL:DM,20,FALSE)</f>
        <v>0</v>
      </c>
      <c r="W16" s="127">
        <f>VLOOKUP(C16,'Talente &amp; Stuff'!CL:DM,21,FALSE)</f>
        <v>0</v>
      </c>
      <c r="X16" s="125">
        <f>VLOOKUP(C16,'Talente &amp; Stuff'!CL:DM,22,FALSE)</f>
        <v>0</v>
      </c>
      <c r="Y16" s="165">
        <f t="shared" si="0"/>
        <v>0</v>
      </c>
      <c r="Z16" s="44">
        <f t="shared" si="1"/>
        <v>0</v>
      </c>
      <c r="AA16" s="125">
        <f>VLOOKUP(C16,'Talente &amp; Stuff'!CL:DM,25,FALSE)</f>
        <v>0</v>
      </c>
      <c r="AB16" s="160">
        <f>VLOOKUP(C16,'Talente &amp; Stuff'!CL:DM,26,FALSE)</f>
        <v>0</v>
      </c>
      <c r="AC16" s="127">
        <f>VLOOKUP(C16,'Talente &amp; Stuff'!CL:DM,27,FALSE)</f>
        <v>0</v>
      </c>
      <c r="AD16" s="125">
        <f>VLOOKUP(C16,'Talente &amp; Stuff'!CL:DM,28,FALSE)</f>
        <v>0</v>
      </c>
      <c r="AE16" s="28"/>
    </row>
    <row r="17" spans="2:31" ht="15" hidden="1" customHeight="1" outlineLevel="2">
      <c r="B17" s="148">
        <v>7</v>
      </c>
      <c r="C17" s="177" t="str">
        <f>Attribute!C17</f>
        <v>---</v>
      </c>
      <c r="D17" s="127" t="str">
        <f>VLOOKUP(C17,'Talente &amp; Stuff'!CL:DM,2,FALSE)</f>
        <v>--/--/--</v>
      </c>
      <c r="E17" s="125" t="str">
        <f>VLOOKUP(C17,'Talente &amp; Stuff'!CL:DM,3,FALSE)</f>
        <v>-</v>
      </c>
      <c r="F17" s="114">
        <f>VLOOKUP(C17,'Talente &amp; Stuff'!CL:DM,4,FALSE)</f>
        <v>0</v>
      </c>
      <c r="G17" s="113">
        <f>VLOOKUP(C17,'Talente &amp; Stuff'!CL:DM,5,FALSE)</f>
        <v>0</v>
      </c>
      <c r="H17" s="113">
        <f>VLOOKUP(C17,'Talente &amp; Stuff'!CL:DM,6,FALSE)</f>
        <v>0</v>
      </c>
      <c r="I17" s="113">
        <f>VLOOKUP(C17,'Talente &amp; Stuff'!CL:DM,7,FALSE)</f>
        <v>0</v>
      </c>
      <c r="J17" s="113">
        <f>VLOOKUP(C17,'Talente &amp; Stuff'!CL:DM,8,FALSE)</f>
        <v>0</v>
      </c>
      <c r="K17" s="113">
        <f>VLOOKUP(C17,'Talente &amp; Stuff'!CL:DM,9,FALSE)</f>
        <v>0</v>
      </c>
      <c r="L17" s="113">
        <f>VLOOKUP(C17,'Talente &amp; Stuff'!CL:DM,10,FALSE)</f>
        <v>0</v>
      </c>
      <c r="M17" s="119">
        <f>VLOOKUP(C17,'Talente &amp; Stuff'!CL:DM,11,FALSE)</f>
        <v>0</v>
      </c>
      <c r="N17" s="89">
        <f>VLOOKUP(C17,'Talente &amp; Stuff'!CL:DM,12,FALSE)</f>
        <v>0</v>
      </c>
      <c r="O17" s="47">
        <f>VLOOKUP(C17,'Talente &amp; Stuff'!CL:DM,13,FALSE)</f>
        <v>0</v>
      </c>
      <c r="P17" s="119">
        <f>VLOOKUP(C17,'Talente &amp; Stuff'!CL:DM,14,FALSE)</f>
        <v>0</v>
      </c>
      <c r="Q17" s="114">
        <f>VLOOKUP(C17,'Talente &amp; Stuff'!CL:DM,15,FALSE)</f>
        <v>0</v>
      </c>
      <c r="R17" s="113">
        <f>VLOOKUP(C17,'Talente &amp; Stuff'!CL:DM,16,FALSE)</f>
        <v>0</v>
      </c>
      <c r="S17" s="119">
        <f>VLOOKUP(C17,'Talente &amp; Stuff'!CL:DM,17,FALSE)</f>
        <v>0</v>
      </c>
      <c r="T17" s="160">
        <f>VLOOKUP(C17,'Talente &amp; Stuff'!CL:DM,18,FALSE)</f>
        <v>0</v>
      </c>
      <c r="U17" s="89">
        <f>VLOOKUP(C17,'Talente &amp; Stuff'!CL:DM,19,FALSE)</f>
        <v>0</v>
      </c>
      <c r="V17" s="47">
        <f>VLOOKUP(C17,'Talente &amp; Stuff'!CL:DM,20,FALSE)</f>
        <v>0</v>
      </c>
      <c r="W17" s="127">
        <f>VLOOKUP(C17,'Talente &amp; Stuff'!CL:DM,21,FALSE)</f>
        <v>0</v>
      </c>
      <c r="X17" s="125">
        <f>VLOOKUP(C17,'Talente &amp; Stuff'!CL:DM,22,FALSE)</f>
        <v>0</v>
      </c>
      <c r="Y17" s="165">
        <f t="shared" si="0"/>
        <v>0</v>
      </c>
      <c r="Z17" s="44">
        <f t="shared" si="1"/>
        <v>0</v>
      </c>
      <c r="AA17" s="125">
        <f>VLOOKUP(C17,'Talente &amp; Stuff'!CL:DM,25,FALSE)</f>
        <v>0</v>
      </c>
      <c r="AB17" s="160">
        <f>VLOOKUP(C17,'Talente &amp; Stuff'!CL:DM,26,FALSE)</f>
        <v>0</v>
      </c>
      <c r="AC17" s="127">
        <f>VLOOKUP(C17,'Talente &amp; Stuff'!CL:DM,27,FALSE)</f>
        <v>0</v>
      </c>
      <c r="AD17" s="125">
        <f>VLOOKUP(C17,'Talente &amp; Stuff'!CL:DM,28,FALSE)</f>
        <v>0</v>
      </c>
      <c r="AE17" s="28"/>
    </row>
    <row r="18" spans="2:31" ht="15" hidden="1" customHeight="1" outlineLevel="2">
      <c r="B18" s="148">
        <v>8</v>
      </c>
      <c r="C18" s="177" t="str">
        <f>Attribute!C18</f>
        <v>---</v>
      </c>
      <c r="D18" s="127" t="str">
        <f>VLOOKUP(C18,'Talente &amp; Stuff'!CL:DM,2,FALSE)</f>
        <v>--/--/--</v>
      </c>
      <c r="E18" s="125" t="str">
        <f>VLOOKUP(C18,'Talente &amp; Stuff'!CL:DM,3,FALSE)</f>
        <v>-</v>
      </c>
      <c r="F18" s="114">
        <f>VLOOKUP(C18,'Talente &amp; Stuff'!CL:DM,4,FALSE)</f>
        <v>0</v>
      </c>
      <c r="G18" s="113">
        <f>VLOOKUP(C18,'Talente &amp; Stuff'!CL:DM,5,FALSE)</f>
        <v>0</v>
      </c>
      <c r="H18" s="113">
        <f>VLOOKUP(C18,'Talente &amp; Stuff'!CL:DM,6,FALSE)</f>
        <v>0</v>
      </c>
      <c r="I18" s="113">
        <f>VLOOKUP(C18,'Talente &amp; Stuff'!CL:DM,7,FALSE)</f>
        <v>0</v>
      </c>
      <c r="J18" s="113">
        <f>VLOOKUP(C18,'Talente &amp; Stuff'!CL:DM,8,FALSE)</f>
        <v>0</v>
      </c>
      <c r="K18" s="113">
        <f>VLOOKUP(C18,'Talente &amp; Stuff'!CL:DM,9,FALSE)</f>
        <v>0</v>
      </c>
      <c r="L18" s="113">
        <f>VLOOKUP(C18,'Talente &amp; Stuff'!CL:DM,10,FALSE)</f>
        <v>0</v>
      </c>
      <c r="M18" s="119">
        <f>VLOOKUP(C18,'Talente &amp; Stuff'!CL:DM,11,FALSE)</f>
        <v>0</v>
      </c>
      <c r="N18" s="89">
        <f>VLOOKUP(C18,'Talente &amp; Stuff'!CL:DM,12,FALSE)</f>
        <v>0</v>
      </c>
      <c r="O18" s="47">
        <f>VLOOKUP(C18,'Talente &amp; Stuff'!CL:DM,13,FALSE)</f>
        <v>0</v>
      </c>
      <c r="P18" s="119">
        <f>VLOOKUP(C18,'Talente &amp; Stuff'!CL:DM,14,FALSE)</f>
        <v>0</v>
      </c>
      <c r="Q18" s="114">
        <f>VLOOKUP(C18,'Talente &amp; Stuff'!CL:DM,15,FALSE)</f>
        <v>0</v>
      </c>
      <c r="R18" s="113">
        <f>VLOOKUP(C18,'Talente &amp; Stuff'!CL:DM,16,FALSE)</f>
        <v>0</v>
      </c>
      <c r="S18" s="119">
        <f>VLOOKUP(C18,'Talente &amp; Stuff'!CL:DM,17,FALSE)</f>
        <v>0</v>
      </c>
      <c r="T18" s="160">
        <f>VLOOKUP(C18,'Talente &amp; Stuff'!CL:DM,18,FALSE)</f>
        <v>0</v>
      </c>
      <c r="U18" s="89">
        <f>VLOOKUP(C18,'Talente &amp; Stuff'!CL:DM,19,FALSE)</f>
        <v>0</v>
      </c>
      <c r="V18" s="47">
        <f>VLOOKUP(C18,'Talente &amp; Stuff'!CL:DM,20,FALSE)</f>
        <v>0</v>
      </c>
      <c r="W18" s="127">
        <f>VLOOKUP(C18,'Talente &amp; Stuff'!CL:DM,21,FALSE)</f>
        <v>0</v>
      </c>
      <c r="X18" s="125">
        <f>VLOOKUP(C18,'Talente &amp; Stuff'!CL:DM,22,FALSE)</f>
        <v>0</v>
      </c>
      <c r="Y18" s="165">
        <f t="shared" si="0"/>
        <v>0</v>
      </c>
      <c r="Z18" s="44">
        <f t="shared" si="1"/>
        <v>0</v>
      </c>
      <c r="AA18" s="125">
        <f>VLOOKUP(C18,'Talente &amp; Stuff'!CL:DM,25,FALSE)</f>
        <v>0</v>
      </c>
      <c r="AB18" s="160">
        <f>VLOOKUP(C18,'Talente &amp; Stuff'!CL:DM,26,FALSE)</f>
        <v>0</v>
      </c>
      <c r="AC18" s="127">
        <f>VLOOKUP(C18,'Talente &amp; Stuff'!CL:DM,27,FALSE)</f>
        <v>0</v>
      </c>
      <c r="AD18" s="125">
        <f>VLOOKUP(C18,'Talente &amp; Stuff'!CL:DM,28,FALSE)</f>
        <v>0</v>
      </c>
      <c r="AE18" s="28"/>
    </row>
    <row r="19" spans="2:31" ht="15" hidden="1" customHeight="1" outlineLevel="2">
      <c r="B19" s="148">
        <v>9</v>
      </c>
      <c r="C19" s="177" t="str">
        <f>Attribute!C19</f>
        <v>---</v>
      </c>
      <c r="D19" s="127" t="str">
        <f>VLOOKUP(C19,'Talente &amp; Stuff'!CL:DM,2,FALSE)</f>
        <v>--/--/--</v>
      </c>
      <c r="E19" s="125" t="str">
        <f>VLOOKUP(C19,'Talente &amp; Stuff'!CL:DM,3,FALSE)</f>
        <v>-</v>
      </c>
      <c r="F19" s="114">
        <f>VLOOKUP(C19,'Talente &amp; Stuff'!CL:DM,4,FALSE)</f>
        <v>0</v>
      </c>
      <c r="G19" s="113">
        <f>VLOOKUP(C19,'Talente &amp; Stuff'!CL:DM,5,FALSE)</f>
        <v>0</v>
      </c>
      <c r="H19" s="113">
        <f>VLOOKUP(C19,'Talente &amp; Stuff'!CL:DM,6,FALSE)</f>
        <v>0</v>
      </c>
      <c r="I19" s="113">
        <f>VLOOKUP(C19,'Talente &amp; Stuff'!CL:DM,7,FALSE)</f>
        <v>0</v>
      </c>
      <c r="J19" s="113">
        <f>VLOOKUP(C19,'Talente &amp; Stuff'!CL:DM,8,FALSE)</f>
        <v>0</v>
      </c>
      <c r="K19" s="113">
        <f>VLOOKUP(C19,'Talente &amp; Stuff'!CL:DM,9,FALSE)</f>
        <v>0</v>
      </c>
      <c r="L19" s="113">
        <f>VLOOKUP(C19,'Talente &amp; Stuff'!CL:DM,10,FALSE)</f>
        <v>0</v>
      </c>
      <c r="M19" s="119">
        <f>VLOOKUP(C19,'Talente &amp; Stuff'!CL:DM,11,FALSE)</f>
        <v>0</v>
      </c>
      <c r="N19" s="89">
        <f>VLOOKUP(C19,'Talente &amp; Stuff'!CL:DM,12,FALSE)</f>
        <v>0</v>
      </c>
      <c r="O19" s="47">
        <f>VLOOKUP(C19,'Talente &amp; Stuff'!CL:DM,13,FALSE)</f>
        <v>0</v>
      </c>
      <c r="P19" s="119">
        <f>VLOOKUP(C19,'Talente &amp; Stuff'!CL:DM,14,FALSE)</f>
        <v>0</v>
      </c>
      <c r="Q19" s="114">
        <f>VLOOKUP(C19,'Talente &amp; Stuff'!CL:DM,15,FALSE)</f>
        <v>0</v>
      </c>
      <c r="R19" s="113">
        <f>VLOOKUP(C19,'Talente &amp; Stuff'!CL:DM,16,FALSE)</f>
        <v>0</v>
      </c>
      <c r="S19" s="119">
        <f>VLOOKUP(C19,'Talente &amp; Stuff'!CL:DM,17,FALSE)</f>
        <v>0</v>
      </c>
      <c r="T19" s="160">
        <f>VLOOKUP(C19,'Talente &amp; Stuff'!CL:DM,18,FALSE)</f>
        <v>0</v>
      </c>
      <c r="U19" s="89">
        <f>VLOOKUP(C19,'Talente &amp; Stuff'!CL:DM,19,FALSE)</f>
        <v>0</v>
      </c>
      <c r="V19" s="47">
        <f>VLOOKUP(C19,'Talente &amp; Stuff'!CL:DM,20,FALSE)</f>
        <v>0</v>
      </c>
      <c r="W19" s="127">
        <f>VLOOKUP(C19,'Talente &amp; Stuff'!CL:DM,21,FALSE)</f>
        <v>0</v>
      </c>
      <c r="X19" s="125">
        <f>VLOOKUP(C19,'Talente &amp; Stuff'!CL:DM,22,FALSE)</f>
        <v>0</v>
      </c>
      <c r="Y19" s="165">
        <f t="shared" si="0"/>
        <v>0</v>
      </c>
      <c r="Z19" s="44">
        <f t="shared" si="1"/>
        <v>0</v>
      </c>
      <c r="AA19" s="125">
        <f>VLOOKUP(C19,'Talente &amp; Stuff'!CL:DM,25,FALSE)</f>
        <v>0</v>
      </c>
      <c r="AB19" s="160">
        <f>VLOOKUP(C19,'Talente &amp; Stuff'!CL:DM,26,FALSE)</f>
        <v>0</v>
      </c>
      <c r="AC19" s="127">
        <f>VLOOKUP(C19,'Talente &amp; Stuff'!CL:DM,27,FALSE)</f>
        <v>0</v>
      </c>
      <c r="AD19" s="125">
        <f>VLOOKUP(C19,'Talente &amp; Stuff'!CL:DM,28,FALSE)</f>
        <v>0</v>
      </c>
      <c r="AE19" s="28"/>
    </row>
    <row r="20" spans="2:31" ht="15" hidden="1" customHeight="1" outlineLevel="2">
      <c r="B20" s="148">
        <v>10</v>
      </c>
      <c r="C20" s="177" t="str">
        <f>Attribute!C20</f>
        <v>---</v>
      </c>
      <c r="D20" s="127" t="str">
        <f>VLOOKUP(C20,'Talente &amp; Stuff'!CL:DM,2,FALSE)</f>
        <v>--/--/--</v>
      </c>
      <c r="E20" s="125" t="str">
        <f>VLOOKUP(C20,'Talente &amp; Stuff'!CL:DM,3,FALSE)</f>
        <v>-</v>
      </c>
      <c r="F20" s="114">
        <f>VLOOKUP(C20,'Talente &amp; Stuff'!CL:DM,4,FALSE)</f>
        <v>0</v>
      </c>
      <c r="G20" s="113">
        <f>VLOOKUP(C20,'Talente &amp; Stuff'!CL:DM,5,FALSE)</f>
        <v>0</v>
      </c>
      <c r="H20" s="113">
        <f>VLOOKUP(C20,'Talente &amp; Stuff'!CL:DM,6,FALSE)</f>
        <v>0</v>
      </c>
      <c r="I20" s="113">
        <f>VLOOKUP(C20,'Talente &amp; Stuff'!CL:DM,7,FALSE)</f>
        <v>0</v>
      </c>
      <c r="J20" s="113">
        <f>VLOOKUP(C20,'Talente &amp; Stuff'!CL:DM,8,FALSE)</f>
        <v>0</v>
      </c>
      <c r="K20" s="113">
        <f>VLOOKUP(C20,'Talente &amp; Stuff'!CL:DM,9,FALSE)</f>
        <v>0</v>
      </c>
      <c r="L20" s="113">
        <f>VLOOKUP(C20,'Talente &amp; Stuff'!CL:DM,10,FALSE)</f>
        <v>0</v>
      </c>
      <c r="M20" s="119">
        <f>VLOOKUP(C20,'Talente &amp; Stuff'!CL:DM,11,FALSE)</f>
        <v>0</v>
      </c>
      <c r="N20" s="89">
        <f>VLOOKUP(C20,'Talente &amp; Stuff'!CL:DM,12,FALSE)</f>
        <v>0</v>
      </c>
      <c r="O20" s="47">
        <f>VLOOKUP(C20,'Talente &amp; Stuff'!CL:DM,13,FALSE)</f>
        <v>0</v>
      </c>
      <c r="P20" s="119">
        <f>VLOOKUP(C20,'Talente &amp; Stuff'!CL:DM,14,FALSE)</f>
        <v>0</v>
      </c>
      <c r="Q20" s="114">
        <f>VLOOKUP(C20,'Talente &amp; Stuff'!CL:DM,15,FALSE)</f>
        <v>0</v>
      </c>
      <c r="R20" s="113">
        <f>VLOOKUP(C20,'Talente &amp; Stuff'!CL:DM,16,FALSE)</f>
        <v>0</v>
      </c>
      <c r="S20" s="119">
        <f>VLOOKUP(C20,'Talente &amp; Stuff'!CL:DM,17,FALSE)</f>
        <v>0</v>
      </c>
      <c r="T20" s="160">
        <f>VLOOKUP(C20,'Talente &amp; Stuff'!CL:DM,18,FALSE)</f>
        <v>0</v>
      </c>
      <c r="U20" s="89">
        <f>VLOOKUP(C20,'Talente &amp; Stuff'!CL:DM,19,FALSE)</f>
        <v>0</v>
      </c>
      <c r="V20" s="47">
        <f>VLOOKUP(C20,'Talente &amp; Stuff'!CL:DM,20,FALSE)</f>
        <v>0</v>
      </c>
      <c r="W20" s="127">
        <f>VLOOKUP(C20,'Talente &amp; Stuff'!CL:DM,21,FALSE)</f>
        <v>0</v>
      </c>
      <c r="X20" s="125">
        <f>VLOOKUP(C20,'Talente &amp; Stuff'!CL:DM,22,FALSE)</f>
        <v>0</v>
      </c>
      <c r="Y20" s="165">
        <f t="shared" si="0"/>
        <v>0</v>
      </c>
      <c r="Z20" s="44">
        <f t="shared" si="1"/>
        <v>0</v>
      </c>
      <c r="AA20" s="125">
        <f>VLOOKUP(C20,'Talente &amp; Stuff'!CL:DM,25,FALSE)</f>
        <v>0</v>
      </c>
      <c r="AB20" s="160">
        <f>VLOOKUP(C20,'Talente &amp; Stuff'!CL:DM,26,FALSE)</f>
        <v>0</v>
      </c>
      <c r="AC20" s="127">
        <f>VLOOKUP(C20,'Talente &amp; Stuff'!CL:DM,27,FALSE)</f>
        <v>0</v>
      </c>
      <c r="AD20" s="125">
        <f>VLOOKUP(C20,'Talente &amp; Stuff'!CL:DM,28,FALSE)</f>
        <v>0</v>
      </c>
      <c r="AE20" s="28"/>
    </row>
    <row r="21" spans="2:31" ht="15" hidden="1" customHeight="1" outlineLevel="2">
      <c r="B21" s="148">
        <v>11</v>
      </c>
      <c r="C21" s="177" t="str">
        <f>Attribute!C21</f>
        <v>---</v>
      </c>
      <c r="D21" s="127" t="str">
        <f>VLOOKUP(C21,'Talente &amp; Stuff'!CL:DM,2,FALSE)</f>
        <v>--/--/--</v>
      </c>
      <c r="E21" s="125" t="str">
        <f>VLOOKUP(C21,'Talente &amp; Stuff'!CL:DM,3,FALSE)</f>
        <v>-</v>
      </c>
      <c r="F21" s="114">
        <f>VLOOKUP(C21,'Talente &amp; Stuff'!CL:DM,4,FALSE)</f>
        <v>0</v>
      </c>
      <c r="G21" s="113">
        <f>VLOOKUP(C21,'Talente &amp; Stuff'!CL:DM,5,FALSE)</f>
        <v>0</v>
      </c>
      <c r="H21" s="113">
        <f>VLOOKUP(C21,'Talente &amp; Stuff'!CL:DM,6,FALSE)</f>
        <v>0</v>
      </c>
      <c r="I21" s="113">
        <f>VLOOKUP(C21,'Talente &amp; Stuff'!CL:DM,7,FALSE)</f>
        <v>0</v>
      </c>
      <c r="J21" s="113">
        <f>VLOOKUP(C21,'Talente &amp; Stuff'!CL:DM,8,FALSE)</f>
        <v>0</v>
      </c>
      <c r="K21" s="113">
        <f>VLOOKUP(C21,'Talente &amp; Stuff'!CL:DM,9,FALSE)</f>
        <v>0</v>
      </c>
      <c r="L21" s="113">
        <f>VLOOKUP(C21,'Talente &amp; Stuff'!CL:DM,10,FALSE)</f>
        <v>0</v>
      </c>
      <c r="M21" s="119">
        <f>VLOOKUP(C21,'Talente &amp; Stuff'!CL:DM,11,FALSE)</f>
        <v>0</v>
      </c>
      <c r="N21" s="89">
        <f>VLOOKUP(C21,'Talente &amp; Stuff'!CL:DM,12,FALSE)</f>
        <v>0</v>
      </c>
      <c r="O21" s="47">
        <f>VLOOKUP(C21,'Talente &amp; Stuff'!CL:DM,13,FALSE)</f>
        <v>0</v>
      </c>
      <c r="P21" s="119">
        <f>VLOOKUP(C21,'Talente &amp; Stuff'!CL:DM,14,FALSE)</f>
        <v>0</v>
      </c>
      <c r="Q21" s="114">
        <f>VLOOKUP(C21,'Talente &amp; Stuff'!CL:DM,15,FALSE)</f>
        <v>0</v>
      </c>
      <c r="R21" s="113">
        <f>VLOOKUP(C21,'Talente &amp; Stuff'!CL:DM,16,FALSE)</f>
        <v>0</v>
      </c>
      <c r="S21" s="119">
        <f>VLOOKUP(C21,'Talente &amp; Stuff'!CL:DM,17,FALSE)</f>
        <v>0</v>
      </c>
      <c r="T21" s="160">
        <f>VLOOKUP(C21,'Talente &amp; Stuff'!CL:DM,18,FALSE)</f>
        <v>0</v>
      </c>
      <c r="U21" s="89">
        <f>VLOOKUP(C21,'Talente &amp; Stuff'!CL:DM,19,FALSE)</f>
        <v>0</v>
      </c>
      <c r="V21" s="47">
        <f>VLOOKUP(C21,'Talente &amp; Stuff'!CL:DM,20,FALSE)</f>
        <v>0</v>
      </c>
      <c r="W21" s="127">
        <f>VLOOKUP(C21,'Talente &amp; Stuff'!CL:DM,21,FALSE)</f>
        <v>0</v>
      </c>
      <c r="X21" s="125">
        <f>VLOOKUP(C21,'Talente &amp; Stuff'!CL:DM,22,FALSE)</f>
        <v>0</v>
      </c>
      <c r="Y21" s="165">
        <f t="shared" si="0"/>
        <v>0</v>
      </c>
      <c r="Z21" s="44">
        <f t="shared" si="1"/>
        <v>0</v>
      </c>
      <c r="AA21" s="125">
        <f>VLOOKUP(C21,'Talente &amp; Stuff'!CL:DM,25,FALSE)</f>
        <v>0</v>
      </c>
      <c r="AB21" s="160">
        <f>VLOOKUP(C21,'Talente &amp; Stuff'!CL:DM,26,FALSE)</f>
        <v>0</v>
      </c>
      <c r="AC21" s="127">
        <f>VLOOKUP(C21,'Talente &amp; Stuff'!CL:DM,27,FALSE)</f>
        <v>0</v>
      </c>
      <c r="AD21" s="125">
        <f>VLOOKUP(C21,'Talente &amp; Stuff'!CL:DM,28,FALSE)</f>
        <v>0</v>
      </c>
      <c r="AE21" s="28"/>
    </row>
    <row r="22" spans="2:31" ht="15" hidden="1" customHeight="1" outlineLevel="2">
      <c r="B22" s="148">
        <v>12</v>
      </c>
      <c r="C22" s="177" t="str">
        <f>Attribute!C22</f>
        <v>---</v>
      </c>
      <c r="D22" s="127" t="str">
        <f>VLOOKUP(C22,'Talente &amp; Stuff'!CL:DM,2,FALSE)</f>
        <v>--/--/--</v>
      </c>
      <c r="E22" s="125" t="str">
        <f>VLOOKUP(C22,'Talente &amp; Stuff'!CL:DM,3,FALSE)</f>
        <v>-</v>
      </c>
      <c r="F22" s="114">
        <f>VLOOKUP(C22,'Talente &amp; Stuff'!CL:DM,4,FALSE)</f>
        <v>0</v>
      </c>
      <c r="G22" s="113">
        <f>VLOOKUP(C22,'Talente &amp; Stuff'!CL:DM,5,FALSE)</f>
        <v>0</v>
      </c>
      <c r="H22" s="113">
        <f>VLOOKUP(C22,'Talente &amp; Stuff'!CL:DM,6,FALSE)</f>
        <v>0</v>
      </c>
      <c r="I22" s="113">
        <f>VLOOKUP(C22,'Talente &amp; Stuff'!CL:DM,7,FALSE)</f>
        <v>0</v>
      </c>
      <c r="J22" s="113">
        <f>VLOOKUP(C22,'Talente &amp; Stuff'!CL:DM,8,FALSE)</f>
        <v>0</v>
      </c>
      <c r="K22" s="113">
        <f>VLOOKUP(C22,'Talente &amp; Stuff'!CL:DM,9,FALSE)</f>
        <v>0</v>
      </c>
      <c r="L22" s="113">
        <f>VLOOKUP(C22,'Talente &amp; Stuff'!CL:DM,10,FALSE)</f>
        <v>0</v>
      </c>
      <c r="M22" s="119">
        <f>VLOOKUP(C22,'Talente &amp; Stuff'!CL:DM,11,FALSE)</f>
        <v>0</v>
      </c>
      <c r="N22" s="89">
        <f>VLOOKUP(C22,'Talente &amp; Stuff'!CL:DM,12,FALSE)</f>
        <v>0</v>
      </c>
      <c r="O22" s="47">
        <f>VLOOKUP(C22,'Talente &amp; Stuff'!CL:DM,13,FALSE)</f>
        <v>0</v>
      </c>
      <c r="P22" s="119">
        <f>VLOOKUP(C22,'Talente &amp; Stuff'!CL:DM,14,FALSE)</f>
        <v>0</v>
      </c>
      <c r="Q22" s="114">
        <f>VLOOKUP(C22,'Talente &amp; Stuff'!CL:DM,15,FALSE)</f>
        <v>0</v>
      </c>
      <c r="R22" s="113">
        <f>VLOOKUP(C22,'Talente &amp; Stuff'!CL:DM,16,FALSE)</f>
        <v>0</v>
      </c>
      <c r="S22" s="119">
        <f>VLOOKUP(C22,'Talente &amp; Stuff'!CL:DM,17,FALSE)</f>
        <v>0</v>
      </c>
      <c r="T22" s="160">
        <f>VLOOKUP(C22,'Talente &amp; Stuff'!CL:DM,18,FALSE)</f>
        <v>0</v>
      </c>
      <c r="U22" s="89">
        <f>VLOOKUP(C22,'Talente &amp; Stuff'!CL:DM,19,FALSE)</f>
        <v>0</v>
      </c>
      <c r="V22" s="47">
        <f>VLOOKUP(C22,'Talente &amp; Stuff'!CL:DM,20,FALSE)</f>
        <v>0</v>
      </c>
      <c r="W22" s="127">
        <f>VLOOKUP(C22,'Talente &amp; Stuff'!CL:DM,21,FALSE)</f>
        <v>0</v>
      </c>
      <c r="X22" s="125">
        <f>VLOOKUP(C22,'Talente &amp; Stuff'!CL:DM,22,FALSE)</f>
        <v>0</v>
      </c>
      <c r="Y22" s="165">
        <f t="shared" si="0"/>
        <v>0</v>
      </c>
      <c r="Z22" s="44">
        <f t="shared" si="1"/>
        <v>0</v>
      </c>
      <c r="AA22" s="125">
        <f>VLOOKUP(C22,'Talente &amp; Stuff'!CL:DM,25,FALSE)</f>
        <v>0</v>
      </c>
      <c r="AB22" s="160">
        <f>VLOOKUP(C22,'Talente &amp; Stuff'!CL:DM,26,FALSE)</f>
        <v>0</v>
      </c>
      <c r="AC22" s="127">
        <f>VLOOKUP(C22,'Talente &amp; Stuff'!CL:DM,27,FALSE)</f>
        <v>0</v>
      </c>
      <c r="AD22" s="125">
        <f>VLOOKUP(C22,'Talente &amp; Stuff'!CL:DM,28,FALSE)</f>
        <v>0</v>
      </c>
      <c r="AE22" s="28"/>
    </row>
    <row r="23" spans="2:31" ht="15" hidden="1" customHeight="1" outlineLevel="2">
      <c r="B23" s="148">
        <v>13</v>
      </c>
      <c r="C23" s="177" t="str">
        <f>Attribute!C23</f>
        <v>---</v>
      </c>
      <c r="D23" s="127" t="str">
        <f>VLOOKUP(C23,'Talente &amp; Stuff'!CL:DM,2,FALSE)</f>
        <v>--/--/--</v>
      </c>
      <c r="E23" s="125" t="str">
        <f>VLOOKUP(C23,'Talente &amp; Stuff'!CL:DM,3,FALSE)</f>
        <v>-</v>
      </c>
      <c r="F23" s="114">
        <f>VLOOKUP(C23,'Talente &amp; Stuff'!CL:DM,4,FALSE)</f>
        <v>0</v>
      </c>
      <c r="G23" s="113">
        <f>VLOOKUP(C23,'Talente &amp; Stuff'!CL:DM,5,FALSE)</f>
        <v>0</v>
      </c>
      <c r="H23" s="113">
        <f>VLOOKUP(C23,'Talente &amp; Stuff'!CL:DM,6,FALSE)</f>
        <v>0</v>
      </c>
      <c r="I23" s="113">
        <f>VLOOKUP(C23,'Talente &amp; Stuff'!CL:DM,7,FALSE)</f>
        <v>0</v>
      </c>
      <c r="J23" s="113">
        <f>VLOOKUP(C23,'Talente &amp; Stuff'!CL:DM,8,FALSE)</f>
        <v>0</v>
      </c>
      <c r="K23" s="113">
        <f>VLOOKUP(C23,'Talente &amp; Stuff'!CL:DM,9,FALSE)</f>
        <v>0</v>
      </c>
      <c r="L23" s="113">
        <f>VLOOKUP(C23,'Talente &amp; Stuff'!CL:DM,10,FALSE)</f>
        <v>0</v>
      </c>
      <c r="M23" s="119">
        <f>VLOOKUP(C23,'Talente &amp; Stuff'!CL:DM,11,FALSE)</f>
        <v>0</v>
      </c>
      <c r="N23" s="89">
        <f>VLOOKUP(C23,'Talente &amp; Stuff'!CL:DM,12,FALSE)</f>
        <v>0</v>
      </c>
      <c r="O23" s="47">
        <f>VLOOKUP(C23,'Talente &amp; Stuff'!CL:DM,13,FALSE)</f>
        <v>0</v>
      </c>
      <c r="P23" s="119">
        <f>VLOOKUP(C23,'Talente &amp; Stuff'!CL:DM,14,FALSE)</f>
        <v>0</v>
      </c>
      <c r="Q23" s="114">
        <f>VLOOKUP(C23,'Talente &amp; Stuff'!CL:DM,15,FALSE)</f>
        <v>0</v>
      </c>
      <c r="R23" s="113">
        <f>VLOOKUP(C23,'Talente &amp; Stuff'!CL:DM,16,FALSE)</f>
        <v>0</v>
      </c>
      <c r="S23" s="119">
        <f>VLOOKUP(C23,'Talente &amp; Stuff'!CL:DM,17,FALSE)</f>
        <v>0</v>
      </c>
      <c r="T23" s="160">
        <f>VLOOKUP(C23,'Talente &amp; Stuff'!CL:DM,18,FALSE)</f>
        <v>0</v>
      </c>
      <c r="U23" s="89">
        <f>VLOOKUP(C23,'Talente &amp; Stuff'!CL:DM,19,FALSE)</f>
        <v>0</v>
      </c>
      <c r="V23" s="47">
        <f>VLOOKUP(C23,'Talente &amp; Stuff'!CL:DM,20,FALSE)</f>
        <v>0</v>
      </c>
      <c r="W23" s="127">
        <f>VLOOKUP(C23,'Talente &amp; Stuff'!CL:DM,21,FALSE)</f>
        <v>0</v>
      </c>
      <c r="X23" s="125">
        <f>VLOOKUP(C23,'Talente &amp; Stuff'!CL:DM,22,FALSE)</f>
        <v>0</v>
      </c>
      <c r="Y23" s="165">
        <f t="shared" si="0"/>
        <v>0</v>
      </c>
      <c r="Z23" s="44">
        <f t="shared" si="1"/>
        <v>0</v>
      </c>
      <c r="AA23" s="125">
        <f>VLOOKUP(C23,'Talente &amp; Stuff'!CL:DM,25,FALSE)</f>
        <v>0</v>
      </c>
      <c r="AB23" s="160">
        <f>VLOOKUP(C23,'Talente &amp; Stuff'!CL:DM,26,FALSE)</f>
        <v>0</v>
      </c>
      <c r="AC23" s="127">
        <f>VLOOKUP(C23,'Talente &amp; Stuff'!CL:DM,27,FALSE)</f>
        <v>0</v>
      </c>
      <c r="AD23" s="125">
        <f>VLOOKUP(C23,'Talente &amp; Stuff'!CL:DM,28,FALSE)</f>
        <v>0</v>
      </c>
      <c r="AE23" s="28"/>
    </row>
    <row r="24" spans="2:31" ht="15" hidden="1" customHeight="1" outlineLevel="2">
      <c r="B24" s="148">
        <v>14</v>
      </c>
      <c r="C24" s="178" t="str">
        <f>Attribute!C24</f>
        <v>---</v>
      </c>
      <c r="D24" s="128" t="str">
        <f>VLOOKUP(C24,'Talente &amp; Stuff'!CL:DM,2,FALSE)</f>
        <v>--/--/--</v>
      </c>
      <c r="E24" s="159" t="str">
        <f>VLOOKUP(C24,'Talente &amp; Stuff'!CL:DM,3,FALSE)</f>
        <v>-</v>
      </c>
      <c r="F24" s="115">
        <f>VLOOKUP(C24,'Talente &amp; Stuff'!CL:DM,4,FALSE)</f>
        <v>0</v>
      </c>
      <c r="G24" s="122">
        <f>VLOOKUP(C24,'Talente &amp; Stuff'!CL:DM,5,FALSE)</f>
        <v>0</v>
      </c>
      <c r="H24" s="122">
        <f>VLOOKUP(C24,'Talente &amp; Stuff'!CL:DM,6,FALSE)</f>
        <v>0</v>
      </c>
      <c r="I24" s="122">
        <f>VLOOKUP(C24,'Talente &amp; Stuff'!CL:DM,7,FALSE)</f>
        <v>0</v>
      </c>
      <c r="J24" s="122">
        <f>VLOOKUP(C24,'Talente &amp; Stuff'!CL:DM,8,FALSE)</f>
        <v>0</v>
      </c>
      <c r="K24" s="122">
        <f>VLOOKUP(C24,'Talente &amp; Stuff'!CL:DM,9,FALSE)</f>
        <v>0</v>
      </c>
      <c r="L24" s="122">
        <f>VLOOKUP(C24,'Talente &amp; Stuff'!CL:DM,10,FALSE)</f>
        <v>0</v>
      </c>
      <c r="M24" s="123">
        <f>VLOOKUP(C24,'Talente &amp; Stuff'!CL:DM,11,FALSE)</f>
        <v>0</v>
      </c>
      <c r="N24" s="90">
        <f>VLOOKUP(C24,'Talente &amp; Stuff'!CL:DM,12,FALSE)</f>
        <v>0</v>
      </c>
      <c r="O24" s="88">
        <f>VLOOKUP(C24,'Talente &amp; Stuff'!CL:DM,13,FALSE)</f>
        <v>0</v>
      </c>
      <c r="P24" s="123">
        <f>VLOOKUP(C24,'Talente &amp; Stuff'!CL:DM,14,FALSE)</f>
        <v>0</v>
      </c>
      <c r="Q24" s="115">
        <f>VLOOKUP(C24,'Talente &amp; Stuff'!CL:DM,15,FALSE)</f>
        <v>0</v>
      </c>
      <c r="R24" s="122">
        <f>VLOOKUP(C24,'Talente &amp; Stuff'!CL:DM,16,FALSE)</f>
        <v>0</v>
      </c>
      <c r="S24" s="123">
        <f>VLOOKUP(C24,'Talente &amp; Stuff'!CL:DM,17,FALSE)</f>
        <v>0</v>
      </c>
      <c r="T24" s="161">
        <f>VLOOKUP(C24,'Talente &amp; Stuff'!CL:DM,18,FALSE)</f>
        <v>0</v>
      </c>
      <c r="U24" s="90">
        <f>VLOOKUP(C24,'Talente &amp; Stuff'!CL:DM,19,FALSE)</f>
        <v>0</v>
      </c>
      <c r="V24" s="88">
        <f>VLOOKUP(C24,'Talente &amp; Stuff'!CL:DM,20,FALSE)</f>
        <v>0</v>
      </c>
      <c r="W24" s="128">
        <f>VLOOKUP(C24,'Talente &amp; Stuff'!CL:DM,21,FALSE)</f>
        <v>0</v>
      </c>
      <c r="X24" s="159">
        <f>VLOOKUP(C24,'Talente &amp; Stuff'!CL:DM,22,FALSE)</f>
        <v>0</v>
      </c>
      <c r="Y24" s="165">
        <f t="shared" si="0"/>
        <v>0</v>
      </c>
      <c r="Z24" s="44">
        <f t="shared" si="1"/>
        <v>0</v>
      </c>
      <c r="AA24" s="159">
        <f>VLOOKUP(C24,'Talente &amp; Stuff'!CL:DM,25,FALSE)</f>
        <v>0</v>
      </c>
      <c r="AB24" s="161">
        <f>VLOOKUP(C24,'Talente &amp; Stuff'!CL:DM,26,FALSE)</f>
        <v>0</v>
      </c>
      <c r="AC24" s="128">
        <f>VLOOKUP(C24,'Talente &amp; Stuff'!CL:DM,27,FALSE)</f>
        <v>0</v>
      </c>
      <c r="AD24" s="159">
        <f>VLOOKUP(C24,'Talente &amp; Stuff'!CL:DM,28,FALSE)</f>
        <v>0</v>
      </c>
      <c r="AE24" s="28"/>
    </row>
    <row r="25" spans="2:31" ht="15" hidden="1" customHeight="1" outlineLevel="1" collapsed="1">
      <c r="B25" s="134" t="s">
        <v>278</v>
      </c>
      <c r="C25" s="83"/>
      <c r="D25" s="84"/>
      <c r="E25" s="84"/>
      <c r="F25" s="30"/>
      <c r="G25" s="30"/>
      <c r="H25" s="30"/>
      <c r="I25" s="30"/>
      <c r="J25" s="30"/>
      <c r="K25" s="30"/>
      <c r="L25" s="30"/>
      <c r="M25" s="30"/>
      <c r="N25" s="31"/>
      <c r="O25" s="31"/>
      <c r="P25" s="30"/>
      <c r="Q25" s="30"/>
      <c r="R25" s="30"/>
      <c r="S25" s="30"/>
      <c r="T25" s="30"/>
      <c r="U25" s="31"/>
      <c r="V25" s="31"/>
      <c r="W25" s="31"/>
      <c r="X25" s="31"/>
      <c r="Y25" s="65"/>
    </row>
    <row r="26" spans="2:31" ht="15" hidden="1" customHeight="1" outlineLevel="2">
      <c r="B26" s="148">
        <v>1</v>
      </c>
      <c r="C26" s="176" t="str">
        <f>Attribute!C26</f>
        <v>---</v>
      </c>
      <c r="D26" s="126" t="str">
        <f>VLOOKUP(C26,'Talente &amp; Stuff'!CL:DM,2,FALSE)</f>
        <v>--/--/--</v>
      </c>
      <c r="E26" s="158" t="str">
        <f>VLOOKUP(C26,'Talente &amp; Stuff'!CL:DM,3,FALSE)</f>
        <v>-</v>
      </c>
      <c r="F26" s="191">
        <f>VLOOKUP(C26,'Talente &amp; Stuff'!CL:DM,4,FALSE)</f>
        <v>0</v>
      </c>
      <c r="G26" s="118">
        <f>VLOOKUP(C26,'Talente &amp; Stuff'!CL:DM,5,FALSE)</f>
        <v>0</v>
      </c>
      <c r="H26" s="118">
        <f>VLOOKUP(C26,'Talente &amp; Stuff'!CL:DM,6,FALSE)</f>
        <v>0</v>
      </c>
      <c r="I26" s="118">
        <f>VLOOKUP(C26,'Talente &amp; Stuff'!CL:DM,7,FALSE)</f>
        <v>0</v>
      </c>
      <c r="J26" s="118">
        <f>VLOOKUP(C26,'Talente &amp; Stuff'!CL:DM,8,FALSE)</f>
        <v>0</v>
      </c>
      <c r="K26" s="118">
        <f>VLOOKUP(C26,'Talente &amp; Stuff'!CL:DM,9,FALSE)</f>
        <v>0</v>
      </c>
      <c r="L26" s="118">
        <f>VLOOKUP(C26,'Talente &amp; Stuff'!CL:DM,10,FALSE)</f>
        <v>0</v>
      </c>
      <c r="M26" s="92">
        <f>VLOOKUP(C26,'Talente &amp; Stuff'!CL:DM,11,FALSE)</f>
        <v>0</v>
      </c>
      <c r="N26" s="193">
        <f>VLOOKUP(C26,'Talente &amp; Stuff'!CL:DM,12,FALSE)</f>
        <v>0</v>
      </c>
      <c r="O26" s="116">
        <f>VLOOKUP(C26,'Talente &amp; Stuff'!CL:DM,13,FALSE)</f>
        <v>0</v>
      </c>
      <c r="P26" s="92">
        <f>VLOOKUP(C26,'Talente &amp; Stuff'!CL:DM,14,FALSE)</f>
        <v>0</v>
      </c>
      <c r="Q26" s="191">
        <f>VLOOKUP(C26,'Talente &amp; Stuff'!CL:DM,15,FALSE)</f>
        <v>0</v>
      </c>
      <c r="R26" s="118">
        <f>VLOOKUP(C26,'Talente &amp; Stuff'!CL:DM,16,FALSE)</f>
        <v>0</v>
      </c>
      <c r="S26" s="92">
        <f>VLOOKUP(C26,'Talente &amp; Stuff'!CL:DM,17,FALSE)</f>
        <v>0</v>
      </c>
      <c r="T26" s="91">
        <f>VLOOKUP(C26,'Talente &amp; Stuff'!CL:DM,18,FALSE)</f>
        <v>0</v>
      </c>
      <c r="U26" s="193">
        <f>VLOOKUP(C26,'Talente &amp; Stuff'!CL:DM,19,FALSE)</f>
        <v>0</v>
      </c>
      <c r="V26" s="116">
        <f>VLOOKUP(C26,'Talente &amp; Stuff'!CL:DM,20,FALSE)</f>
        <v>0</v>
      </c>
      <c r="W26" s="126">
        <f>VLOOKUP(C26,'Talente &amp; Stuff'!CL:DM,21,FALSE)</f>
        <v>0</v>
      </c>
      <c r="X26" s="158">
        <f>VLOOKUP(C26,'Talente &amp; Stuff'!CL:DM,22,FALSE)</f>
        <v>0</v>
      </c>
      <c r="Y26" s="165">
        <f t="shared" ref="Y26:Y34" si="2">VLOOKUP(C26,Ausgewählte_Talente_Gesellschaftstalente,110,FALSE)</f>
        <v>0</v>
      </c>
      <c r="Z26" s="44">
        <f t="shared" ref="Z26:Z34" si="3">VLOOKUP(C26,Ausgewählte_Talente_Gesellschaftstalente,111,FALSE)</f>
        <v>0</v>
      </c>
      <c r="AA26" s="158">
        <f>VLOOKUP(C26,'Talente &amp; Stuff'!CL:DM,25,FALSE)</f>
        <v>0</v>
      </c>
      <c r="AB26" s="91">
        <f>VLOOKUP(C26,'Talente &amp; Stuff'!CL:DM,26,FALSE)</f>
        <v>0</v>
      </c>
      <c r="AC26" s="126">
        <f>VLOOKUP(C26,'Talente &amp; Stuff'!CL:DM,27,FALSE)</f>
        <v>0</v>
      </c>
      <c r="AD26" s="158">
        <f>VLOOKUP(C26,'Talente &amp; Stuff'!CL:DM,28,FALSE)</f>
        <v>0</v>
      </c>
      <c r="AE26" s="28"/>
    </row>
    <row r="27" spans="2:31" ht="15" hidden="1" customHeight="1" outlineLevel="2">
      <c r="B27" s="148">
        <v>2</v>
      </c>
      <c r="C27" s="177" t="str">
        <f>Attribute!C27</f>
        <v>---</v>
      </c>
      <c r="D27" s="127" t="str">
        <f>VLOOKUP(C27,'Talente &amp; Stuff'!CL:DM,2,FALSE)</f>
        <v>--/--/--</v>
      </c>
      <c r="E27" s="125" t="str">
        <f>VLOOKUP(C27,'Talente &amp; Stuff'!CL:DM,3,FALSE)</f>
        <v>-</v>
      </c>
      <c r="F27" s="114">
        <f>VLOOKUP(C27,'Talente &amp; Stuff'!CL:DM,4,FALSE)</f>
        <v>0</v>
      </c>
      <c r="G27" s="113">
        <f>VLOOKUP(C27,'Talente &amp; Stuff'!CL:DM,5,FALSE)</f>
        <v>0</v>
      </c>
      <c r="H27" s="113">
        <f>VLOOKUP(C27,'Talente &amp; Stuff'!CL:DM,6,FALSE)</f>
        <v>0</v>
      </c>
      <c r="I27" s="113">
        <f>VLOOKUP(C27,'Talente &amp; Stuff'!CL:DM,7,FALSE)</f>
        <v>0</v>
      </c>
      <c r="J27" s="113">
        <f>VLOOKUP(C27,'Talente &amp; Stuff'!CL:DM,8,FALSE)</f>
        <v>0</v>
      </c>
      <c r="K27" s="113">
        <f>VLOOKUP(C27,'Talente &amp; Stuff'!CL:DM,9,FALSE)</f>
        <v>0</v>
      </c>
      <c r="L27" s="113">
        <f>VLOOKUP(C27,'Talente &amp; Stuff'!CL:DM,10,FALSE)</f>
        <v>0</v>
      </c>
      <c r="M27" s="119">
        <f>VLOOKUP(C27,'Talente &amp; Stuff'!CL:DM,11,FALSE)</f>
        <v>0</v>
      </c>
      <c r="N27" s="89">
        <f>VLOOKUP(C27,'Talente &amp; Stuff'!CL:DM,12,FALSE)</f>
        <v>0</v>
      </c>
      <c r="O27" s="47">
        <f>VLOOKUP(C27,'Talente &amp; Stuff'!CL:DM,13,FALSE)</f>
        <v>0</v>
      </c>
      <c r="P27" s="119">
        <f>VLOOKUP(C27,'Talente &amp; Stuff'!CL:DM,14,FALSE)</f>
        <v>0</v>
      </c>
      <c r="Q27" s="114">
        <f>VLOOKUP(C27,'Talente &amp; Stuff'!CL:DM,15,FALSE)</f>
        <v>0</v>
      </c>
      <c r="R27" s="113">
        <f>VLOOKUP(C27,'Talente &amp; Stuff'!CL:DM,16,FALSE)</f>
        <v>0</v>
      </c>
      <c r="S27" s="119">
        <f>VLOOKUP(C27,'Talente &amp; Stuff'!CL:DM,17,FALSE)</f>
        <v>0</v>
      </c>
      <c r="T27" s="160">
        <f>VLOOKUP(C27,'Talente &amp; Stuff'!CL:DM,18,FALSE)</f>
        <v>0</v>
      </c>
      <c r="U27" s="89">
        <f>VLOOKUP(C27,'Talente &amp; Stuff'!CL:DM,19,FALSE)</f>
        <v>0</v>
      </c>
      <c r="V27" s="47">
        <f>VLOOKUP(C27,'Talente &amp; Stuff'!CL:DM,20,FALSE)</f>
        <v>0</v>
      </c>
      <c r="W27" s="127">
        <f>VLOOKUP(C27,'Talente &amp; Stuff'!CL:DM,21,FALSE)</f>
        <v>0</v>
      </c>
      <c r="X27" s="125">
        <f>VLOOKUP(C27,'Talente &amp; Stuff'!CL:DM,22,FALSE)</f>
        <v>0</v>
      </c>
      <c r="Y27" s="165">
        <f t="shared" si="2"/>
        <v>0</v>
      </c>
      <c r="Z27" s="44">
        <f t="shared" si="3"/>
        <v>0</v>
      </c>
      <c r="AA27" s="125">
        <f>VLOOKUP(C27,'Talente &amp; Stuff'!CL:DM,25,FALSE)</f>
        <v>0</v>
      </c>
      <c r="AB27" s="160">
        <f>VLOOKUP(C27,'Talente &amp; Stuff'!CL:DM,26,FALSE)</f>
        <v>0</v>
      </c>
      <c r="AC27" s="127">
        <f>VLOOKUP(C27,'Talente &amp; Stuff'!CL:DM,27,FALSE)</f>
        <v>0</v>
      </c>
      <c r="AD27" s="125">
        <f>VLOOKUP(C27,'Talente &amp; Stuff'!CL:DM,28,FALSE)</f>
        <v>0</v>
      </c>
      <c r="AE27" s="28"/>
    </row>
    <row r="28" spans="2:31" ht="15" hidden="1" customHeight="1" outlineLevel="2">
      <c r="B28" s="148">
        <v>3</v>
      </c>
      <c r="C28" s="177" t="str">
        <f>Attribute!C28</f>
        <v>---</v>
      </c>
      <c r="D28" s="127" t="str">
        <f>VLOOKUP(C28,'Talente &amp; Stuff'!CL:DM,2,FALSE)</f>
        <v>--/--/--</v>
      </c>
      <c r="E28" s="125" t="str">
        <f>VLOOKUP(C28,'Talente &amp; Stuff'!CL:DM,3,FALSE)</f>
        <v>-</v>
      </c>
      <c r="F28" s="114">
        <f>VLOOKUP(C28,'Talente &amp; Stuff'!CL:DM,4,FALSE)</f>
        <v>0</v>
      </c>
      <c r="G28" s="113">
        <f>VLOOKUP(C28,'Talente &amp; Stuff'!CL:DM,5,FALSE)</f>
        <v>0</v>
      </c>
      <c r="H28" s="113">
        <f>VLOOKUP(C28,'Talente &amp; Stuff'!CL:DM,6,FALSE)</f>
        <v>0</v>
      </c>
      <c r="I28" s="113">
        <f>VLOOKUP(C28,'Talente &amp; Stuff'!CL:DM,7,FALSE)</f>
        <v>0</v>
      </c>
      <c r="J28" s="113">
        <f>VLOOKUP(C28,'Talente &amp; Stuff'!CL:DM,8,FALSE)</f>
        <v>0</v>
      </c>
      <c r="K28" s="113">
        <f>VLOOKUP(C28,'Talente &amp; Stuff'!CL:DM,9,FALSE)</f>
        <v>0</v>
      </c>
      <c r="L28" s="113">
        <f>VLOOKUP(C28,'Talente &amp; Stuff'!CL:DM,10,FALSE)</f>
        <v>0</v>
      </c>
      <c r="M28" s="119">
        <f>VLOOKUP(C28,'Talente &amp; Stuff'!CL:DM,11,FALSE)</f>
        <v>0</v>
      </c>
      <c r="N28" s="89">
        <f>VLOOKUP(C28,'Talente &amp; Stuff'!CL:DM,12,FALSE)</f>
        <v>0</v>
      </c>
      <c r="O28" s="47">
        <f>VLOOKUP(C28,'Talente &amp; Stuff'!CL:DM,13,FALSE)</f>
        <v>0</v>
      </c>
      <c r="P28" s="119">
        <f>VLOOKUP(C28,'Talente &amp; Stuff'!CL:DM,14,FALSE)</f>
        <v>0</v>
      </c>
      <c r="Q28" s="114">
        <f>VLOOKUP(C28,'Talente &amp; Stuff'!CL:DM,15,FALSE)</f>
        <v>0</v>
      </c>
      <c r="R28" s="113">
        <f>VLOOKUP(C28,'Talente &amp; Stuff'!CL:DM,16,FALSE)</f>
        <v>0</v>
      </c>
      <c r="S28" s="119">
        <f>VLOOKUP(C28,'Talente &amp; Stuff'!CL:DM,17,FALSE)</f>
        <v>0</v>
      </c>
      <c r="T28" s="160">
        <f>VLOOKUP(C28,'Talente &amp; Stuff'!CL:DM,18,FALSE)</f>
        <v>0</v>
      </c>
      <c r="U28" s="89">
        <f>VLOOKUP(C28,'Talente &amp; Stuff'!CL:DM,19,FALSE)</f>
        <v>0</v>
      </c>
      <c r="V28" s="47">
        <f>VLOOKUP(C28,'Talente &amp; Stuff'!CL:DM,20,FALSE)</f>
        <v>0</v>
      </c>
      <c r="W28" s="127">
        <f>VLOOKUP(C28,'Talente &amp; Stuff'!CL:DM,21,FALSE)</f>
        <v>0</v>
      </c>
      <c r="X28" s="125">
        <f>VLOOKUP(C28,'Talente &amp; Stuff'!CL:DM,22,FALSE)</f>
        <v>0</v>
      </c>
      <c r="Y28" s="165">
        <f t="shared" si="2"/>
        <v>0</v>
      </c>
      <c r="Z28" s="44">
        <f t="shared" si="3"/>
        <v>0</v>
      </c>
      <c r="AA28" s="125">
        <f>VLOOKUP(C28,'Talente &amp; Stuff'!CL:DM,25,FALSE)</f>
        <v>0</v>
      </c>
      <c r="AB28" s="160">
        <f>VLOOKUP(C28,'Talente &amp; Stuff'!CL:DM,26,FALSE)</f>
        <v>0</v>
      </c>
      <c r="AC28" s="127">
        <f>VLOOKUP(C28,'Talente &amp; Stuff'!CL:DM,27,FALSE)</f>
        <v>0</v>
      </c>
      <c r="AD28" s="125">
        <f>VLOOKUP(C28,'Talente &amp; Stuff'!CL:DM,28,FALSE)</f>
        <v>0</v>
      </c>
      <c r="AE28" s="28"/>
    </row>
    <row r="29" spans="2:31" ht="15" hidden="1" customHeight="1" outlineLevel="2">
      <c r="B29" s="148">
        <v>4</v>
      </c>
      <c r="C29" s="177" t="str">
        <f>Attribute!C29</f>
        <v>---</v>
      </c>
      <c r="D29" s="127" t="str">
        <f>VLOOKUP(C29,'Talente &amp; Stuff'!CL:DM,2,FALSE)</f>
        <v>--/--/--</v>
      </c>
      <c r="E29" s="125" t="str">
        <f>VLOOKUP(C29,'Talente &amp; Stuff'!CL:DM,3,FALSE)</f>
        <v>-</v>
      </c>
      <c r="F29" s="114">
        <f>VLOOKUP(C29,'Talente &amp; Stuff'!CL:DM,4,FALSE)</f>
        <v>0</v>
      </c>
      <c r="G29" s="113">
        <f>VLOOKUP(C29,'Talente &amp; Stuff'!CL:DM,5,FALSE)</f>
        <v>0</v>
      </c>
      <c r="H29" s="113">
        <f>VLOOKUP(C29,'Talente &amp; Stuff'!CL:DM,6,FALSE)</f>
        <v>0</v>
      </c>
      <c r="I29" s="113">
        <f>VLOOKUP(C29,'Talente &amp; Stuff'!CL:DM,7,FALSE)</f>
        <v>0</v>
      </c>
      <c r="J29" s="113">
        <f>VLOOKUP(C29,'Talente &amp; Stuff'!CL:DM,8,FALSE)</f>
        <v>0</v>
      </c>
      <c r="K29" s="113">
        <f>VLOOKUP(C29,'Talente &amp; Stuff'!CL:DM,9,FALSE)</f>
        <v>0</v>
      </c>
      <c r="L29" s="113">
        <f>VLOOKUP(C29,'Talente &amp; Stuff'!CL:DM,10,FALSE)</f>
        <v>0</v>
      </c>
      <c r="M29" s="119">
        <f>VLOOKUP(C29,'Talente &amp; Stuff'!CL:DM,11,FALSE)</f>
        <v>0</v>
      </c>
      <c r="N29" s="89">
        <f>VLOOKUP(C29,'Talente &amp; Stuff'!CL:DM,12,FALSE)</f>
        <v>0</v>
      </c>
      <c r="O29" s="47">
        <f>VLOOKUP(C29,'Talente &amp; Stuff'!CL:DM,13,FALSE)</f>
        <v>0</v>
      </c>
      <c r="P29" s="119">
        <f>VLOOKUP(C29,'Talente &amp; Stuff'!CL:DM,14,FALSE)</f>
        <v>0</v>
      </c>
      <c r="Q29" s="114">
        <f>VLOOKUP(C29,'Talente &amp; Stuff'!CL:DM,15,FALSE)</f>
        <v>0</v>
      </c>
      <c r="R29" s="113">
        <f>VLOOKUP(C29,'Talente &amp; Stuff'!CL:DM,16,FALSE)</f>
        <v>0</v>
      </c>
      <c r="S29" s="119">
        <f>VLOOKUP(C29,'Talente &amp; Stuff'!CL:DM,17,FALSE)</f>
        <v>0</v>
      </c>
      <c r="T29" s="160">
        <f>VLOOKUP(C29,'Talente &amp; Stuff'!CL:DM,18,FALSE)</f>
        <v>0</v>
      </c>
      <c r="U29" s="89">
        <f>VLOOKUP(C29,'Talente &amp; Stuff'!CL:DM,19,FALSE)</f>
        <v>0</v>
      </c>
      <c r="V29" s="47">
        <f>VLOOKUP(C29,'Talente &amp; Stuff'!CL:DM,20,FALSE)</f>
        <v>0</v>
      </c>
      <c r="W29" s="127">
        <f>VLOOKUP(C29,'Talente &amp; Stuff'!CL:DM,21,FALSE)</f>
        <v>0</v>
      </c>
      <c r="X29" s="125">
        <f>VLOOKUP(C29,'Talente &amp; Stuff'!CL:DM,22,FALSE)</f>
        <v>0</v>
      </c>
      <c r="Y29" s="165">
        <f t="shared" si="2"/>
        <v>0</v>
      </c>
      <c r="Z29" s="44">
        <f t="shared" si="3"/>
        <v>0</v>
      </c>
      <c r="AA29" s="125">
        <f>VLOOKUP(C29,'Talente &amp; Stuff'!CL:DM,25,FALSE)</f>
        <v>0</v>
      </c>
      <c r="AB29" s="160">
        <f>VLOOKUP(C29,'Talente &amp; Stuff'!CL:DM,26,FALSE)</f>
        <v>0</v>
      </c>
      <c r="AC29" s="127">
        <f>VLOOKUP(C29,'Talente &amp; Stuff'!CL:DM,27,FALSE)</f>
        <v>0</v>
      </c>
      <c r="AD29" s="125">
        <f>VLOOKUP(C29,'Talente &amp; Stuff'!CL:DM,28,FALSE)</f>
        <v>0</v>
      </c>
      <c r="AE29" s="28"/>
    </row>
    <row r="30" spans="2:31" ht="15" hidden="1" customHeight="1" outlineLevel="2">
      <c r="B30" s="148">
        <v>5</v>
      </c>
      <c r="C30" s="177" t="str">
        <f>Attribute!C30</f>
        <v>---</v>
      </c>
      <c r="D30" s="127" t="str">
        <f>VLOOKUP(C30,'Talente &amp; Stuff'!CL:DM,2,FALSE)</f>
        <v>--/--/--</v>
      </c>
      <c r="E30" s="125" t="str">
        <f>VLOOKUP(C30,'Talente &amp; Stuff'!CL:DM,3,FALSE)</f>
        <v>-</v>
      </c>
      <c r="F30" s="114">
        <f>VLOOKUP(C30,'Talente &amp; Stuff'!CL:DM,4,FALSE)</f>
        <v>0</v>
      </c>
      <c r="G30" s="113">
        <f>VLOOKUP(C30,'Talente &amp; Stuff'!CL:DM,5,FALSE)</f>
        <v>0</v>
      </c>
      <c r="H30" s="113">
        <f>VLOOKUP(C30,'Talente &amp; Stuff'!CL:DM,6,FALSE)</f>
        <v>0</v>
      </c>
      <c r="I30" s="113">
        <f>VLOOKUP(C30,'Talente &amp; Stuff'!CL:DM,7,FALSE)</f>
        <v>0</v>
      </c>
      <c r="J30" s="113">
        <f>VLOOKUP(C30,'Talente &amp; Stuff'!CL:DM,8,FALSE)</f>
        <v>0</v>
      </c>
      <c r="K30" s="113">
        <f>VLOOKUP(C30,'Talente &amp; Stuff'!CL:DM,9,FALSE)</f>
        <v>0</v>
      </c>
      <c r="L30" s="113">
        <f>VLOOKUP(C30,'Talente &amp; Stuff'!CL:DM,10,FALSE)</f>
        <v>0</v>
      </c>
      <c r="M30" s="119">
        <f>VLOOKUP(C30,'Talente &amp; Stuff'!CL:DM,11,FALSE)</f>
        <v>0</v>
      </c>
      <c r="N30" s="89">
        <f>VLOOKUP(C30,'Talente &amp; Stuff'!CL:DM,12,FALSE)</f>
        <v>0</v>
      </c>
      <c r="O30" s="47">
        <f>VLOOKUP(C30,'Talente &amp; Stuff'!CL:DM,13,FALSE)</f>
        <v>0</v>
      </c>
      <c r="P30" s="119">
        <f>VLOOKUP(C30,'Talente &amp; Stuff'!CL:DM,14,FALSE)</f>
        <v>0</v>
      </c>
      <c r="Q30" s="114">
        <f>VLOOKUP(C30,'Talente &amp; Stuff'!CL:DM,15,FALSE)</f>
        <v>0</v>
      </c>
      <c r="R30" s="113">
        <f>VLOOKUP(C30,'Talente &amp; Stuff'!CL:DM,16,FALSE)</f>
        <v>0</v>
      </c>
      <c r="S30" s="119">
        <f>VLOOKUP(C30,'Talente &amp; Stuff'!CL:DM,17,FALSE)</f>
        <v>0</v>
      </c>
      <c r="T30" s="160">
        <f>VLOOKUP(C30,'Talente &amp; Stuff'!CL:DM,18,FALSE)</f>
        <v>0</v>
      </c>
      <c r="U30" s="89">
        <f>VLOOKUP(C30,'Talente &amp; Stuff'!CL:DM,19,FALSE)</f>
        <v>0</v>
      </c>
      <c r="V30" s="47">
        <f>VLOOKUP(C30,'Talente &amp; Stuff'!CL:DM,20,FALSE)</f>
        <v>0</v>
      </c>
      <c r="W30" s="127">
        <f>VLOOKUP(C30,'Talente &amp; Stuff'!CL:DM,21,FALSE)</f>
        <v>0</v>
      </c>
      <c r="X30" s="125">
        <f>VLOOKUP(C30,'Talente &amp; Stuff'!CL:DM,22,FALSE)</f>
        <v>0</v>
      </c>
      <c r="Y30" s="165">
        <f t="shared" si="2"/>
        <v>0</v>
      </c>
      <c r="Z30" s="44">
        <f t="shared" si="3"/>
        <v>0</v>
      </c>
      <c r="AA30" s="125">
        <f>VLOOKUP(C30,'Talente &amp; Stuff'!CL:DM,25,FALSE)</f>
        <v>0</v>
      </c>
      <c r="AB30" s="160">
        <f>VLOOKUP(C30,'Talente &amp; Stuff'!CL:DM,26,FALSE)</f>
        <v>0</v>
      </c>
      <c r="AC30" s="127">
        <f>VLOOKUP(C30,'Talente &amp; Stuff'!CL:DM,27,FALSE)</f>
        <v>0</v>
      </c>
      <c r="AD30" s="125">
        <f>VLOOKUP(C30,'Talente &amp; Stuff'!CL:DM,28,FALSE)</f>
        <v>0</v>
      </c>
      <c r="AE30" s="28"/>
    </row>
    <row r="31" spans="2:31" ht="15" hidden="1" customHeight="1" outlineLevel="2">
      <c r="B31" s="148">
        <v>6</v>
      </c>
      <c r="C31" s="177" t="str">
        <f>Attribute!C31</f>
        <v>---</v>
      </c>
      <c r="D31" s="127" t="str">
        <f>VLOOKUP(C31,'Talente &amp; Stuff'!CL:DM,2,FALSE)</f>
        <v>--/--/--</v>
      </c>
      <c r="E31" s="125" t="str">
        <f>VLOOKUP(C31,'Talente &amp; Stuff'!CL:DM,3,FALSE)</f>
        <v>-</v>
      </c>
      <c r="F31" s="114">
        <f>VLOOKUP(C31,'Talente &amp; Stuff'!CL:DM,4,FALSE)</f>
        <v>0</v>
      </c>
      <c r="G31" s="113">
        <f>VLOOKUP(C31,'Talente &amp; Stuff'!CL:DM,5,FALSE)</f>
        <v>0</v>
      </c>
      <c r="H31" s="113">
        <f>VLOOKUP(C31,'Talente &amp; Stuff'!CL:DM,6,FALSE)</f>
        <v>0</v>
      </c>
      <c r="I31" s="113">
        <f>VLOOKUP(C31,'Talente &amp; Stuff'!CL:DM,7,FALSE)</f>
        <v>0</v>
      </c>
      <c r="J31" s="113">
        <f>VLOOKUP(C31,'Talente &amp; Stuff'!CL:DM,8,FALSE)</f>
        <v>0</v>
      </c>
      <c r="K31" s="113">
        <f>VLOOKUP(C31,'Talente &amp; Stuff'!CL:DM,9,FALSE)</f>
        <v>0</v>
      </c>
      <c r="L31" s="113">
        <f>VLOOKUP(C31,'Talente &amp; Stuff'!CL:DM,10,FALSE)</f>
        <v>0</v>
      </c>
      <c r="M31" s="119">
        <f>VLOOKUP(C31,'Talente &amp; Stuff'!CL:DM,11,FALSE)</f>
        <v>0</v>
      </c>
      <c r="N31" s="89">
        <f>VLOOKUP(C31,'Talente &amp; Stuff'!CL:DM,12,FALSE)</f>
        <v>0</v>
      </c>
      <c r="O31" s="47">
        <f>VLOOKUP(C31,'Talente &amp; Stuff'!CL:DM,13,FALSE)</f>
        <v>0</v>
      </c>
      <c r="P31" s="119">
        <f>VLOOKUP(C31,'Talente &amp; Stuff'!CL:DM,14,FALSE)</f>
        <v>0</v>
      </c>
      <c r="Q31" s="114">
        <f>VLOOKUP(C31,'Talente &amp; Stuff'!CL:DM,15,FALSE)</f>
        <v>0</v>
      </c>
      <c r="R31" s="113">
        <f>VLOOKUP(C31,'Talente &amp; Stuff'!CL:DM,16,FALSE)</f>
        <v>0</v>
      </c>
      <c r="S31" s="119">
        <f>VLOOKUP(C31,'Talente &amp; Stuff'!CL:DM,17,FALSE)</f>
        <v>0</v>
      </c>
      <c r="T31" s="160">
        <f>VLOOKUP(C31,'Talente &amp; Stuff'!CL:DM,18,FALSE)</f>
        <v>0</v>
      </c>
      <c r="U31" s="89">
        <f>VLOOKUP(C31,'Talente &amp; Stuff'!CL:DM,19,FALSE)</f>
        <v>0</v>
      </c>
      <c r="V31" s="47">
        <f>VLOOKUP(C31,'Talente &amp; Stuff'!CL:DM,20,FALSE)</f>
        <v>0</v>
      </c>
      <c r="W31" s="127">
        <f>VLOOKUP(C31,'Talente &amp; Stuff'!CL:DM,21,FALSE)</f>
        <v>0</v>
      </c>
      <c r="X31" s="125">
        <f>VLOOKUP(C31,'Talente &amp; Stuff'!CL:DM,22,FALSE)</f>
        <v>0</v>
      </c>
      <c r="Y31" s="165">
        <f t="shared" si="2"/>
        <v>0</v>
      </c>
      <c r="Z31" s="44">
        <f t="shared" si="3"/>
        <v>0</v>
      </c>
      <c r="AA31" s="125">
        <f>VLOOKUP(C31,'Talente &amp; Stuff'!CL:DM,25,FALSE)</f>
        <v>0</v>
      </c>
      <c r="AB31" s="160">
        <f>VLOOKUP(C31,'Talente &amp; Stuff'!CL:DM,26,FALSE)</f>
        <v>0</v>
      </c>
      <c r="AC31" s="127">
        <f>VLOOKUP(C31,'Talente &amp; Stuff'!CL:DM,27,FALSE)</f>
        <v>0</v>
      </c>
      <c r="AD31" s="125">
        <f>VLOOKUP(C31,'Talente &amp; Stuff'!CL:DM,28,FALSE)</f>
        <v>0</v>
      </c>
      <c r="AE31" s="28"/>
    </row>
    <row r="32" spans="2:31" ht="15" hidden="1" customHeight="1" outlineLevel="2">
      <c r="B32" s="148">
        <v>7</v>
      </c>
      <c r="C32" s="177" t="str">
        <f>Attribute!C32</f>
        <v>---</v>
      </c>
      <c r="D32" s="127" t="str">
        <f>VLOOKUP(C32,'Talente &amp; Stuff'!CL:DM,2,FALSE)</f>
        <v>--/--/--</v>
      </c>
      <c r="E32" s="125" t="str">
        <f>VLOOKUP(C32,'Talente &amp; Stuff'!CL:DM,3,FALSE)</f>
        <v>-</v>
      </c>
      <c r="F32" s="114">
        <f>VLOOKUP(C32,'Talente &amp; Stuff'!CL:DM,4,FALSE)</f>
        <v>0</v>
      </c>
      <c r="G32" s="113">
        <f>VLOOKUP(C32,'Talente &amp; Stuff'!CL:DM,5,FALSE)</f>
        <v>0</v>
      </c>
      <c r="H32" s="113">
        <f>VLOOKUP(C32,'Talente &amp; Stuff'!CL:DM,6,FALSE)</f>
        <v>0</v>
      </c>
      <c r="I32" s="113">
        <f>VLOOKUP(C32,'Talente &amp; Stuff'!CL:DM,7,FALSE)</f>
        <v>0</v>
      </c>
      <c r="J32" s="113">
        <f>VLOOKUP(C32,'Talente &amp; Stuff'!CL:DM,8,FALSE)</f>
        <v>0</v>
      </c>
      <c r="K32" s="113">
        <f>VLOOKUP(C32,'Talente &amp; Stuff'!CL:DM,9,FALSE)</f>
        <v>0</v>
      </c>
      <c r="L32" s="113">
        <f>VLOOKUP(C32,'Talente &amp; Stuff'!CL:DM,10,FALSE)</f>
        <v>0</v>
      </c>
      <c r="M32" s="119">
        <f>VLOOKUP(C32,'Talente &amp; Stuff'!CL:DM,11,FALSE)</f>
        <v>0</v>
      </c>
      <c r="N32" s="89">
        <f>VLOOKUP(C32,'Talente &amp; Stuff'!CL:DM,12,FALSE)</f>
        <v>0</v>
      </c>
      <c r="O32" s="47">
        <f>VLOOKUP(C32,'Talente &amp; Stuff'!CL:DM,13,FALSE)</f>
        <v>0</v>
      </c>
      <c r="P32" s="119">
        <f>VLOOKUP(C32,'Talente &amp; Stuff'!CL:DM,14,FALSE)</f>
        <v>0</v>
      </c>
      <c r="Q32" s="114">
        <f>VLOOKUP(C32,'Talente &amp; Stuff'!CL:DM,15,FALSE)</f>
        <v>0</v>
      </c>
      <c r="R32" s="113">
        <f>VLOOKUP(C32,'Talente &amp; Stuff'!CL:DM,16,FALSE)</f>
        <v>0</v>
      </c>
      <c r="S32" s="119">
        <f>VLOOKUP(C32,'Talente &amp; Stuff'!CL:DM,17,FALSE)</f>
        <v>0</v>
      </c>
      <c r="T32" s="160">
        <f>VLOOKUP(C32,'Talente &amp; Stuff'!CL:DM,18,FALSE)</f>
        <v>0</v>
      </c>
      <c r="U32" s="89">
        <f>VLOOKUP(C32,'Talente &amp; Stuff'!CL:DM,19,FALSE)</f>
        <v>0</v>
      </c>
      <c r="V32" s="47">
        <f>VLOOKUP(C32,'Talente &amp; Stuff'!CL:DM,20,FALSE)</f>
        <v>0</v>
      </c>
      <c r="W32" s="127">
        <f>VLOOKUP(C32,'Talente &amp; Stuff'!CL:DM,21,FALSE)</f>
        <v>0</v>
      </c>
      <c r="X32" s="125">
        <f>VLOOKUP(C32,'Talente &amp; Stuff'!CL:DM,22,FALSE)</f>
        <v>0</v>
      </c>
      <c r="Y32" s="165">
        <f t="shared" si="2"/>
        <v>0</v>
      </c>
      <c r="Z32" s="44">
        <f t="shared" si="3"/>
        <v>0</v>
      </c>
      <c r="AA32" s="125">
        <f>VLOOKUP(C32,'Talente &amp; Stuff'!CL:DM,25,FALSE)</f>
        <v>0</v>
      </c>
      <c r="AB32" s="160">
        <f>VLOOKUP(C32,'Talente &amp; Stuff'!CL:DM,26,FALSE)</f>
        <v>0</v>
      </c>
      <c r="AC32" s="127">
        <f>VLOOKUP(C32,'Talente &amp; Stuff'!CL:DM,27,FALSE)</f>
        <v>0</v>
      </c>
      <c r="AD32" s="125">
        <f>VLOOKUP(C32,'Talente &amp; Stuff'!CL:DM,28,FALSE)</f>
        <v>0</v>
      </c>
      <c r="AE32" s="28"/>
    </row>
    <row r="33" spans="2:31" ht="15" hidden="1" customHeight="1" outlineLevel="2">
      <c r="B33" s="148">
        <v>8</v>
      </c>
      <c r="C33" s="177" t="str">
        <f>Attribute!C33</f>
        <v>---</v>
      </c>
      <c r="D33" s="127" t="str">
        <f>VLOOKUP(C33,'Talente &amp; Stuff'!CL:DM,2,FALSE)</f>
        <v>--/--/--</v>
      </c>
      <c r="E33" s="125" t="str">
        <f>VLOOKUP(C33,'Talente &amp; Stuff'!CL:DM,3,FALSE)</f>
        <v>-</v>
      </c>
      <c r="F33" s="114">
        <f>VLOOKUP(C33,'Talente &amp; Stuff'!CL:DM,4,FALSE)</f>
        <v>0</v>
      </c>
      <c r="G33" s="113">
        <f>VLOOKUP(C33,'Talente &amp; Stuff'!CL:DM,5,FALSE)</f>
        <v>0</v>
      </c>
      <c r="H33" s="113">
        <f>VLOOKUP(C33,'Talente &amp; Stuff'!CL:DM,6,FALSE)</f>
        <v>0</v>
      </c>
      <c r="I33" s="113">
        <f>VLOOKUP(C33,'Talente &amp; Stuff'!CL:DM,7,FALSE)</f>
        <v>0</v>
      </c>
      <c r="J33" s="113">
        <f>VLOOKUP(C33,'Talente &amp; Stuff'!CL:DM,8,FALSE)</f>
        <v>0</v>
      </c>
      <c r="K33" s="113">
        <f>VLOOKUP(C33,'Talente &amp; Stuff'!CL:DM,9,FALSE)</f>
        <v>0</v>
      </c>
      <c r="L33" s="113">
        <f>VLOOKUP(C33,'Talente &amp; Stuff'!CL:DM,10,FALSE)</f>
        <v>0</v>
      </c>
      <c r="M33" s="119">
        <f>VLOOKUP(C33,'Talente &amp; Stuff'!CL:DM,11,FALSE)</f>
        <v>0</v>
      </c>
      <c r="N33" s="89">
        <f>VLOOKUP(C33,'Talente &amp; Stuff'!CL:DM,12,FALSE)</f>
        <v>0</v>
      </c>
      <c r="O33" s="47">
        <f>VLOOKUP(C33,'Talente &amp; Stuff'!CL:DM,13,FALSE)</f>
        <v>0</v>
      </c>
      <c r="P33" s="119">
        <f>VLOOKUP(C33,'Talente &amp; Stuff'!CL:DM,14,FALSE)</f>
        <v>0</v>
      </c>
      <c r="Q33" s="114">
        <f>VLOOKUP(C33,'Talente &amp; Stuff'!CL:DM,15,FALSE)</f>
        <v>0</v>
      </c>
      <c r="R33" s="113">
        <f>VLOOKUP(C33,'Talente &amp; Stuff'!CL:DM,16,FALSE)</f>
        <v>0</v>
      </c>
      <c r="S33" s="119">
        <f>VLOOKUP(C33,'Talente &amp; Stuff'!CL:DM,17,FALSE)</f>
        <v>0</v>
      </c>
      <c r="T33" s="160">
        <f>VLOOKUP(C33,'Talente &amp; Stuff'!CL:DM,18,FALSE)</f>
        <v>0</v>
      </c>
      <c r="U33" s="89">
        <f>VLOOKUP(C33,'Talente &amp; Stuff'!CL:DM,19,FALSE)</f>
        <v>0</v>
      </c>
      <c r="V33" s="47">
        <f>VLOOKUP(C33,'Talente &amp; Stuff'!CL:DM,20,FALSE)</f>
        <v>0</v>
      </c>
      <c r="W33" s="127">
        <f>VLOOKUP(C33,'Talente &amp; Stuff'!CL:DM,21,FALSE)</f>
        <v>0</v>
      </c>
      <c r="X33" s="125">
        <f>VLOOKUP(C33,'Talente &amp; Stuff'!CL:DM,22,FALSE)</f>
        <v>0</v>
      </c>
      <c r="Y33" s="165">
        <f t="shared" si="2"/>
        <v>0</v>
      </c>
      <c r="Z33" s="44">
        <f t="shared" si="3"/>
        <v>0</v>
      </c>
      <c r="AA33" s="125">
        <f>VLOOKUP(C33,'Talente &amp; Stuff'!CL:DM,25,FALSE)</f>
        <v>0</v>
      </c>
      <c r="AB33" s="160">
        <f>VLOOKUP(C33,'Talente &amp; Stuff'!CL:DM,26,FALSE)</f>
        <v>0</v>
      </c>
      <c r="AC33" s="127">
        <f>VLOOKUP(C33,'Talente &amp; Stuff'!CL:DM,27,FALSE)</f>
        <v>0</v>
      </c>
      <c r="AD33" s="125">
        <f>VLOOKUP(C33,'Talente &amp; Stuff'!CL:DM,28,FALSE)</f>
        <v>0</v>
      </c>
      <c r="AE33" s="28"/>
    </row>
    <row r="34" spans="2:31" ht="15" hidden="1" customHeight="1" outlineLevel="2">
      <c r="B34" s="148">
        <v>9</v>
      </c>
      <c r="C34" s="178" t="str">
        <f>Attribute!C34</f>
        <v>---</v>
      </c>
      <c r="D34" s="128" t="str">
        <f>VLOOKUP(C34,'Talente &amp; Stuff'!CL:DM,2,FALSE)</f>
        <v>--/--/--</v>
      </c>
      <c r="E34" s="159" t="str">
        <f>VLOOKUP(C34,'Talente &amp; Stuff'!CL:DM,3,FALSE)</f>
        <v>-</v>
      </c>
      <c r="F34" s="115">
        <f>VLOOKUP(C34,'Talente &amp; Stuff'!CL:DM,4,FALSE)</f>
        <v>0</v>
      </c>
      <c r="G34" s="122">
        <f>VLOOKUP(C34,'Talente &amp; Stuff'!CL:DM,5,FALSE)</f>
        <v>0</v>
      </c>
      <c r="H34" s="122">
        <f>VLOOKUP(C34,'Talente &amp; Stuff'!CL:DM,6,FALSE)</f>
        <v>0</v>
      </c>
      <c r="I34" s="122">
        <f>VLOOKUP(C34,'Talente &amp; Stuff'!CL:DM,7,FALSE)</f>
        <v>0</v>
      </c>
      <c r="J34" s="122">
        <f>VLOOKUP(C34,'Talente &amp; Stuff'!CL:DM,8,FALSE)</f>
        <v>0</v>
      </c>
      <c r="K34" s="122">
        <f>VLOOKUP(C34,'Talente &amp; Stuff'!CL:DM,9,FALSE)</f>
        <v>0</v>
      </c>
      <c r="L34" s="122">
        <f>VLOOKUP(C34,'Talente &amp; Stuff'!CL:DM,10,FALSE)</f>
        <v>0</v>
      </c>
      <c r="M34" s="123">
        <f>VLOOKUP(C34,'Talente &amp; Stuff'!CL:DM,11,FALSE)</f>
        <v>0</v>
      </c>
      <c r="N34" s="90">
        <f>VLOOKUP(C34,'Talente &amp; Stuff'!CL:DM,12,FALSE)</f>
        <v>0</v>
      </c>
      <c r="O34" s="88">
        <f>VLOOKUP(C34,'Talente &amp; Stuff'!CL:DM,13,FALSE)</f>
        <v>0</v>
      </c>
      <c r="P34" s="123">
        <f>VLOOKUP(C34,'Talente &amp; Stuff'!CL:DM,14,FALSE)</f>
        <v>0</v>
      </c>
      <c r="Q34" s="115">
        <f>VLOOKUP(C34,'Talente &amp; Stuff'!CL:DM,15,FALSE)</f>
        <v>0</v>
      </c>
      <c r="R34" s="122">
        <f>VLOOKUP(C34,'Talente &amp; Stuff'!CL:DM,16,FALSE)</f>
        <v>0</v>
      </c>
      <c r="S34" s="123">
        <f>VLOOKUP(C34,'Talente &amp; Stuff'!CL:DM,17,FALSE)</f>
        <v>0</v>
      </c>
      <c r="T34" s="161">
        <f>VLOOKUP(C34,'Talente &amp; Stuff'!CL:DM,18,FALSE)</f>
        <v>0</v>
      </c>
      <c r="U34" s="90">
        <f>VLOOKUP(C34,'Talente &amp; Stuff'!CL:DM,19,FALSE)</f>
        <v>0</v>
      </c>
      <c r="V34" s="88">
        <f>VLOOKUP(C34,'Talente &amp; Stuff'!CL:DM,20,FALSE)</f>
        <v>0</v>
      </c>
      <c r="W34" s="128">
        <f>VLOOKUP(C34,'Talente &amp; Stuff'!CL:DM,21,FALSE)</f>
        <v>0</v>
      </c>
      <c r="X34" s="159">
        <f>VLOOKUP(C34,'Talente &amp; Stuff'!CL:DM,22,FALSE)</f>
        <v>0</v>
      </c>
      <c r="Y34" s="165">
        <f t="shared" si="2"/>
        <v>0</v>
      </c>
      <c r="Z34" s="44">
        <f t="shared" si="3"/>
        <v>0</v>
      </c>
      <c r="AA34" s="159">
        <f>VLOOKUP(C34,'Talente &amp; Stuff'!CL:DM,25,FALSE)</f>
        <v>0</v>
      </c>
      <c r="AB34" s="161">
        <f>VLOOKUP(C34,'Talente &amp; Stuff'!CL:DM,26,FALSE)</f>
        <v>0</v>
      </c>
      <c r="AC34" s="128">
        <f>VLOOKUP(C34,'Talente &amp; Stuff'!CL:DM,27,FALSE)</f>
        <v>0</v>
      </c>
      <c r="AD34" s="159">
        <f>VLOOKUP(C34,'Talente &amp; Stuff'!CL:DM,28,FALSE)</f>
        <v>0</v>
      </c>
      <c r="AE34" s="28"/>
    </row>
    <row r="35" spans="2:31" ht="15" hidden="1" customHeight="1" outlineLevel="1" collapsed="1">
      <c r="B35" s="134" t="s">
        <v>69</v>
      </c>
      <c r="C35" s="83"/>
      <c r="D35" s="84"/>
      <c r="E35" s="84"/>
      <c r="F35" s="30"/>
      <c r="G35" s="30"/>
      <c r="H35" s="30"/>
      <c r="I35" s="30"/>
      <c r="J35" s="30"/>
      <c r="K35" s="30"/>
      <c r="L35" s="30"/>
      <c r="M35" s="30"/>
      <c r="N35" s="31"/>
      <c r="O35" s="31"/>
      <c r="P35" s="30"/>
      <c r="Q35" s="30"/>
      <c r="R35" s="30"/>
      <c r="S35" s="30"/>
      <c r="T35" s="30"/>
      <c r="U35" s="31"/>
      <c r="V35" s="31"/>
      <c r="W35" s="31"/>
      <c r="X35" s="31"/>
      <c r="Y35" s="65"/>
    </row>
    <row r="36" spans="2:31" ht="15" hidden="1" customHeight="1" outlineLevel="2">
      <c r="B36" s="148">
        <v>1</v>
      </c>
      <c r="C36" s="176" t="str">
        <f>Attribute!C36</f>
        <v>---</v>
      </c>
      <c r="D36" s="126" t="str">
        <f>VLOOKUP(C36,'Talente &amp; Stuff'!CL:DM,2,FALSE)</f>
        <v>--/--/--</v>
      </c>
      <c r="E36" s="158" t="str">
        <f>VLOOKUP(C36,'Talente &amp; Stuff'!CL:DM,3,FALSE)</f>
        <v>-</v>
      </c>
      <c r="F36" s="191">
        <f>VLOOKUP(C36,'Talente &amp; Stuff'!CL:DM,4,FALSE)</f>
        <v>0</v>
      </c>
      <c r="G36" s="118">
        <f>VLOOKUP(C36,'Talente &amp; Stuff'!CL:DM,5,FALSE)</f>
        <v>0</v>
      </c>
      <c r="H36" s="118">
        <f>VLOOKUP(C36,'Talente &amp; Stuff'!CL:DM,6,FALSE)</f>
        <v>0</v>
      </c>
      <c r="I36" s="118">
        <f>VLOOKUP(C36,'Talente &amp; Stuff'!CL:DM,7,FALSE)</f>
        <v>0</v>
      </c>
      <c r="J36" s="118">
        <f>VLOOKUP(C36,'Talente &amp; Stuff'!CL:DM,8,FALSE)</f>
        <v>0</v>
      </c>
      <c r="K36" s="118">
        <f>VLOOKUP(C36,'Talente &amp; Stuff'!CL:DM,9,FALSE)</f>
        <v>0</v>
      </c>
      <c r="L36" s="118">
        <f>VLOOKUP(C36,'Talente &amp; Stuff'!CL:DM,10,FALSE)</f>
        <v>0</v>
      </c>
      <c r="M36" s="92">
        <f>VLOOKUP(C36,'Talente &amp; Stuff'!CL:DM,11,FALSE)</f>
        <v>0</v>
      </c>
      <c r="N36" s="193">
        <f>VLOOKUP(C36,'Talente &amp; Stuff'!CL:DM,12,FALSE)</f>
        <v>0</v>
      </c>
      <c r="O36" s="116">
        <f>VLOOKUP(C36,'Talente &amp; Stuff'!CL:DM,13,FALSE)</f>
        <v>0</v>
      </c>
      <c r="P36" s="92">
        <f>VLOOKUP(C36,'Talente &amp; Stuff'!CL:DM,14,FALSE)</f>
        <v>0</v>
      </c>
      <c r="Q36" s="191">
        <f>VLOOKUP(C36,'Talente &amp; Stuff'!CL:DM,15,FALSE)</f>
        <v>0</v>
      </c>
      <c r="R36" s="118">
        <f>VLOOKUP(C36,'Talente &amp; Stuff'!CL:DM,16,FALSE)</f>
        <v>0</v>
      </c>
      <c r="S36" s="92">
        <f>VLOOKUP(C36,'Talente &amp; Stuff'!CL:DM,17,FALSE)</f>
        <v>0</v>
      </c>
      <c r="T36" s="91">
        <f>VLOOKUP(C36,'Talente &amp; Stuff'!CL:DM,18,FALSE)</f>
        <v>0</v>
      </c>
      <c r="U36" s="193">
        <f>VLOOKUP(C36,'Talente &amp; Stuff'!CL:DM,19,FALSE)</f>
        <v>0</v>
      </c>
      <c r="V36" s="116">
        <f>VLOOKUP(C36,'Talente &amp; Stuff'!CL:DM,20,FALSE)</f>
        <v>0</v>
      </c>
      <c r="W36" s="126">
        <f>VLOOKUP(C36,'Talente &amp; Stuff'!CL:DM,21,FALSE)</f>
        <v>0</v>
      </c>
      <c r="X36" s="158">
        <f>VLOOKUP(C36,'Talente &amp; Stuff'!CL:DM,22,FALSE)</f>
        <v>0</v>
      </c>
      <c r="Y36" s="165">
        <f t="shared" ref="Y36:Y42" si="4">VLOOKUP(C36,Ausgewählte_Talente_Naturtalente,110,FALSE)</f>
        <v>0</v>
      </c>
      <c r="Z36" s="44">
        <f t="shared" ref="Z36:Z42" si="5">VLOOKUP(C36,Ausgewählte_Talente_Naturtalente,111,FALSE)</f>
        <v>0</v>
      </c>
      <c r="AA36" s="158">
        <f>VLOOKUP(C36,'Talente &amp; Stuff'!CL:DM,25,FALSE)</f>
        <v>0</v>
      </c>
      <c r="AB36" s="91">
        <f>VLOOKUP(C36,'Talente &amp; Stuff'!CL:DM,26,FALSE)</f>
        <v>0</v>
      </c>
      <c r="AC36" s="126">
        <f>VLOOKUP(C36,'Talente &amp; Stuff'!CL:DM,27,FALSE)</f>
        <v>0</v>
      </c>
      <c r="AD36" s="158">
        <f>VLOOKUP(C36,'Talente &amp; Stuff'!CL:DM,28,FALSE)</f>
        <v>0</v>
      </c>
      <c r="AE36" s="28"/>
    </row>
    <row r="37" spans="2:31" ht="15" hidden="1" customHeight="1" outlineLevel="2">
      <c r="B37" s="148">
        <v>2</v>
      </c>
      <c r="C37" s="177" t="str">
        <f>Attribute!C37</f>
        <v>---</v>
      </c>
      <c r="D37" s="127" t="str">
        <f>VLOOKUP(C37,'Talente &amp; Stuff'!CL:DM,2,FALSE)</f>
        <v>--/--/--</v>
      </c>
      <c r="E37" s="125" t="str">
        <f>VLOOKUP(C37,'Talente &amp; Stuff'!CL:DM,3,FALSE)</f>
        <v>-</v>
      </c>
      <c r="F37" s="114">
        <f>VLOOKUP(C37,'Talente &amp; Stuff'!CL:DM,4,FALSE)</f>
        <v>0</v>
      </c>
      <c r="G37" s="113">
        <f>VLOOKUP(C37,'Talente &amp; Stuff'!CL:DM,5,FALSE)</f>
        <v>0</v>
      </c>
      <c r="H37" s="113">
        <f>VLOOKUP(C37,'Talente &amp; Stuff'!CL:DM,6,FALSE)</f>
        <v>0</v>
      </c>
      <c r="I37" s="113">
        <f>VLOOKUP(C37,'Talente &amp; Stuff'!CL:DM,7,FALSE)</f>
        <v>0</v>
      </c>
      <c r="J37" s="113">
        <f>VLOOKUP(C37,'Talente &amp; Stuff'!CL:DM,8,FALSE)</f>
        <v>0</v>
      </c>
      <c r="K37" s="113">
        <f>VLOOKUP(C37,'Talente &amp; Stuff'!CL:DM,9,FALSE)</f>
        <v>0</v>
      </c>
      <c r="L37" s="113">
        <f>VLOOKUP(C37,'Talente &amp; Stuff'!CL:DM,10,FALSE)</f>
        <v>0</v>
      </c>
      <c r="M37" s="119">
        <f>VLOOKUP(C37,'Talente &amp; Stuff'!CL:DM,11,FALSE)</f>
        <v>0</v>
      </c>
      <c r="N37" s="89">
        <f>VLOOKUP(C37,'Talente &amp; Stuff'!CL:DM,12,FALSE)</f>
        <v>0</v>
      </c>
      <c r="O37" s="47">
        <f>VLOOKUP(C37,'Talente &amp; Stuff'!CL:DM,13,FALSE)</f>
        <v>0</v>
      </c>
      <c r="P37" s="119">
        <f>VLOOKUP(C37,'Talente &amp; Stuff'!CL:DM,14,FALSE)</f>
        <v>0</v>
      </c>
      <c r="Q37" s="114">
        <f>VLOOKUP(C37,'Talente &amp; Stuff'!CL:DM,15,FALSE)</f>
        <v>0</v>
      </c>
      <c r="R37" s="113">
        <f>VLOOKUP(C37,'Talente &amp; Stuff'!CL:DM,16,FALSE)</f>
        <v>0</v>
      </c>
      <c r="S37" s="119">
        <f>VLOOKUP(C37,'Talente &amp; Stuff'!CL:DM,17,FALSE)</f>
        <v>0</v>
      </c>
      <c r="T37" s="160">
        <f>VLOOKUP(C37,'Talente &amp; Stuff'!CL:DM,18,FALSE)</f>
        <v>0</v>
      </c>
      <c r="U37" s="89">
        <f>VLOOKUP(C37,'Talente &amp; Stuff'!CL:DM,19,FALSE)</f>
        <v>0</v>
      </c>
      <c r="V37" s="47">
        <f>VLOOKUP(C37,'Talente &amp; Stuff'!CL:DM,20,FALSE)</f>
        <v>0</v>
      </c>
      <c r="W37" s="127">
        <f>VLOOKUP(C37,'Talente &amp; Stuff'!CL:DM,21,FALSE)</f>
        <v>0</v>
      </c>
      <c r="X37" s="125">
        <f>VLOOKUP(C37,'Talente &amp; Stuff'!CL:DM,22,FALSE)</f>
        <v>0</v>
      </c>
      <c r="Y37" s="165">
        <f t="shared" si="4"/>
        <v>0</v>
      </c>
      <c r="Z37" s="44">
        <f t="shared" si="5"/>
        <v>0</v>
      </c>
      <c r="AA37" s="125">
        <f>VLOOKUP(C37,'Talente &amp; Stuff'!CL:DM,25,FALSE)</f>
        <v>0</v>
      </c>
      <c r="AB37" s="160">
        <f>VLOOKUP(C37,'Talente &amp; Stuff'!CL:DM,26,FALSE)</f>
        <v>0</v>
      </c>
      <c r="AC37" s="127">
        <f>VLOOKUP(C37,'Talente &amp; Stuff'!CL:DM,27,FALSE)</f>
        <v>0</v>
      </c>
      <c r="AD37" s="125">
        <f>VLOOKUP(C37,'Talente &amp; Stuff'!CL:DM,28,FALSE)</f>
        <v>0</v>
      </c>
      <c r="AE37" s="28"/>
    </row>
    <row r="38" spans="2:31" ht="15" hidden="1" customHeight="1" outlineLevel="2">
      <c r="B38" s="148">
        <v>3</v>
      </c>
      <c r="C38" s="177" t="str">
        <f>Attribute!C38</f>
        <v>---</v>
      </c>
      <c r="D38" s="127" t="str">
        <f>VLOOKUP(C38,'Talente &amp; Stuff'!CL:DM,2,FALSE)</f>
        <v>--/--/--</v>
      </c>
      <c r="E38" s="125" t="str">
        <f>VLOOKUP(C38,'Talente &amp; Stuff'!CL:DM,3,FALSE)</f>
        <v>-</v>
      </c>
      <c r="F38" s="114">
        <f>VLOOKUP(C38,'Talente &amp; Stuff'!CL:DM,4,FALSE)</f>
        <v>0</v>
      </c>
      <c r="G38" s="113">
        <f>VLOOKUP(C38,'Talente &amp; Stuff'!CL:DM,5,FALSE)</f>
        <v>0</v>
      </c>
      <c r="H38" s="113">
        <f>VLOOKUP(C38,'Talente &amp; Stuff'!CL:DM,6,FALSE)</f>
        <v>0</v>
      </c>
      <c r="I38" s="113">
        <f>VLOOKUP(C38,'Talente &amp; Stuff'!CL:DM,7,FALSE)</f>
        <v>0</v>
      </c>
      <c r="J38" s="113">
        <f>VLOOKUP(C38,'Talente &amp; Stuff'!CL:DM,8,FALSE)</f>
        <v>0</v>
      </c>
      <c r="K38" s="113">
        <f>VLOOKUP(C38,'Talente &amp; Stuff'!CL:DM,9,FALSE)</f>
        <v>0</v>
      </c>
      <c r="L38" s="113">
        <f>VLOOKUP(C38,'Talente &amp; Stuff'!CL:DM,10,FALSE)</f>
        <v>0</v>
      </c>
      <c r="M38" s="119">
        <f>VLOOKUP(C38,'Talente &amp; Stuff'!CL:DM,11,FALSE)</f>
        <v>0</v>
      </c>
      <c r="N38" s="89">
        <f>VLOOKUP(C38,'Talente &amp; Stuff'!CL:DM,12,FALSE)</f>
        <v>0</v>
      </c>
      <c r="O38" s="47">
        <f>VLOOKUP(C38,'Talente &amp; Stuff'!CL:DM,13,FALSE)</f>
        <v>0</v>
      </c>
      <c r="P38" s="119">
        <f>VLOOKUP(C38,'Talente &amp; Stuff'!CL:DM,14,FALSE)</f>
        <v>0</v>
      </c>
      <c r="Q38" s="114">
        <f>VLOOKUP(C38,'Talente &amp; Stuff'!CL:DM,15,FALSE)</f>
        <v>0</v>
      </c>
      <c r="R38" s="113">
        <f>VLOOKUP(C38,'Talente &amp; Stuff'!CL:DM,16,FALSE)</f>
        <v>0</v>
      </c>
      <c r="S38" s="119">
        <f>VLOOKUP(C38,'Talente &amp; Stuff'!CL:DM,17,FALSE)</f>
        <v>0</v>
      </c>
      <c r="T38" s="160">
        <f>VLOOKUP(C38,'Talente &amp; Stuff'!CL:DM,18,FALSE)</f>
        <v>0</v>
      </c>
      <c r="U38" s="89">
        <f>VLOOKUP(C38,'Talente &amp; Stuff'!CL:DM,19,FALSE)</f>
        <v>0</v>
      </c>
      <c r="V38" s="47">
        <f>VLOOKUP(C38,'Talente &amp; Stuff'!CL:DM,20,FALSE)</f>
        <v>0</v>
      </c>
      <c r="W38" s="127">
        <f>VLOOKUP(C38,'Talente &amp; Stuff'!CL:DM,21,FALSE)</f>
        <v>0</v>
      </c>
      <c r="X38" s="125">
        <f>VLOOKUP(C38,'Talente &amp; Stuff'!CL:DM,22,FALSE)</f>
        <v>0</v>
      </c>
      <c r="Y38" s="165">
        <f t="shared" si="4"/>
        <v>0</v>
      </c>
      <c r="Z38" s="44">
        <f t="shared" si="5"/>
        <v>0</v>
      </c>
      <c r="AA38" s="125">
        <f>VLOOKUP(C38,'Talente &amp; Stuff'!CL:DM,25,FALSE)</f>
        <v>0</v>
      </c>
      <c r="AB38" s="160">
        <f>VLOOKUP(C38,'Talente &amp; Stuff'!CL:DM,26,FALSE)</f>
        <v>0</v>
      </c>
      <c r="AC38" s="127">
        <f>VLOOKUP(C38,'Talente &amp; Stuff'!CL:DM,27,FALSE)</f>
        <v>0</v>
      </c>
      <c r="AD38" s="125">
        <f>VLOOKUP(C38,'Talente &amp; Stuff'!CL:DM,28,FALSE)</f>
        <v>0</v>
      </c>
      <c r="AE38" s="28"/>
    </row>
    <row r="39" spans="2:31" ht="15" hidden="1" customHeight="1" outlineLevel="2">
      <c r="B39" s="148">
        <v>4</v>
      </c>
      <c r="C39" s="177" t="str">
        <f>Attribute!C39</f>
        <v>---</v>
      </c>
      <c r="D39" s="127" t="str">
        <f>VLOOKUP(C39,'Talente &amp; Stuff'!CL:DM,2,FALSE)</f>
        <v>--/--/--</v>
      </c>
      <c r="E39" s="125" t="str">
        <f>VLOOKUP(C39,'Talente &amp; Stuff'!CL:DM,3,FALSE)</f>
        <v>-</v>
      </c>
      <c r="F39" s="114">
        <f>VLOOKUP(C39,'Talente &amp; Stuff'!CL:DM,4,FALSE)</f>
        <v>0</v>
      </c>
      <c r="G39" s="113">
        <f>VLOOKUP(C39,'Talente &amp; Stuff'!CL:DM,5,FALSE)</f>
        <v>0</v>
      </c>
      <c r="H39" s="113">
        <f>VLOOKUP(C39,'Talente &amp; Stuff'!CL:DM,6,FALSE)</f>
        <v>0</v>
      </c>
      <c r="I39" s="113">
        <f>VLOOKUP(C39,'Talente &amp; Stuff'!CL:DM,7,FALSE)</f>
        <v>0</v>
      </c>
      <c r="J39" s="113">
        <f>VLOOKUP(C39,'Talente &amp; Stuff'!CL:DM,8,FALSE)</f>
        <v>0</v>
      </c>
      <c r="K39" s="113">
        <f>VLOOKUP(C39,'Talente &amp; Stuff'!CL:DM,9,FALSE)</f>
        <v>0</v>
      </c>
      <c r="L39" s="113">
        <f>VLOOKUP(C39,'Talente &amp; Stuff'!CL:DM,10,FALSE)</f>
        <v>0</v>
      </c>
      <c r="M39" s="119">
        <f>VLOOKUP(C39,'Talente &amp; Stuff'!CL:DM,11,FALSE)</f>
        <v>0</v>
      </c>
      <c r="N39" s="89">
        <f>VLOOKUP(C39,'Talente &amp; Stuff'!CL:DM,12,FALSE)</f>
        <v>0</v>
      </c>
      <c r="O39" s="47">
        <f>VLOOKUP(C39,'Talente &amp; Stuff'!CL:DM,13,FALSE)</f>
        <v>0</v>
      </c>
      <c r="P39" s="119">
        <f>VLOOKUP(C39,'Talente &amp; Stuff'!CL:DM,14,FALSE)</f>
        <v>0</v>
      </c>
      <c r="Q39" s="114">
        <f>VLOOKUP(C39,'Talente &amp; Stuff'!CL:DM,15,FALSE)</f>
        <v>0</v>
      </c>
      <c r="R39" s="113">
        <f>VLOOKUP(C39,'Talente &amp; Stuff'!CL:DM,16,FALSE)</f>
        <v>0</v>
      </c>
      <c r="S39" s="119">
        <f>VLOOKUP(C39,'Talente &amp; Stuff'!CL:DM,17,FALSE)</f>
        <v>0</v>
      </c>
      <c r="T39" s="160">
        <f>VLOOKUP(C39,'Talente &amp; Stuff'!CL:DM,18,FALSE)</f>
        <v>0</v>
      </c>
      <c r="U39" s="89">
        <f>VLOOKUP(C39,'Talente &amp; Stuff'!CL:DM,19,FALSE)</f>
        <v>0</v>
      </c>
      <c r="V39" s="47">
        <f>VLOOKUP(C39,'Talente &amp; Stuff'!CL:DM,20,FALSE)</f>
        <v>0</v>
      </c>
      <c r="W39" s="127">
        <f>VLOOKUP(C39,'Talente &amp; Stuff'!CL:DM,21,FALSE)</f>
        <v>0</v>
      </c>
      <c r="X39" s="125">
        <f>VLOOKUP(C39,'Talente &amp; Stuff'!CL:DM,22,FALSE)</f>
        <v>0</v>
      </c>
      <c r="Y39" s="165">
        <f t="shared" si="4"/>
        <v>0</v>
      </c>
      <c r="Z39" s="44">
        <f t="shared" si="5"/>
        <v>0</v>
      </c>
      <c r="AA39" s="125">
        <f>VLOOKUP(C39,'Talente &amp; Stuff'!CL:DM,25,FALSE)</f>
        <v>0</v>
      </c>
      <c r="AB39" s="160">
        <f>VLOOKUP(C39,'Talente &amp; Stuff'!CL:DM,26,FALSE)</f>
        <v>0</v>
      </c>
      <c r="AC39" s="127">
        <f>VLOOKUP(C39,'Talente &amp; Stuff'!CL:DM,27,FALSE)</f>
        <v>0</v>
      </c>
      <c r="AD39" s="125">
        <f>VLOOKUP(C39,'Talente &amp; Stuff'!CL:DM,28,FALSE)</f>
        <v>0</v>
      </c>
      <c r="AE39" s="28"/>
    </row>
    <row r="40" spans="2:31" ht="15" hidden="1" customHeight="1" outlineLevel="2">
      <c r="B40" s="148">
        <v>5</v>
      </c>
      <c r="C40" s="177" t="str">
        <f>Attribute!C40</f>
        <v>---</v>
      </c>
      <c r="D40" s="127" t="str">
        <f>VLOOKUP(C40,'Talente &amp; Stuff'!CL:DM,2,FALSE)</f>
        <v>--/--/--</v>
      </c>
      <c r="E40" s="125" t="str">
        <f>VLOOKUP(C40,'Talente &amp; Stuff'!CL:DM,3,FALSE)</f>
        <v>-</v>
      </c>
      <c r="F40" s="114">
        <f>VLOOKUP(C40,'Talente &amp; Stuff'!CL:DM,4,FALSE)</f>
        <v>0</v>
      </c>
      <c r="G40" s="113">
        <f>VLOOKUP(C40,'Talente &amp; Stuff'!CL:DM,5,FALSE)</f>
        <v>0</v>
      </c>
      <c r="H40" s="113">
        <f>VLOOKUP(C40,'Talente &amp; Stuff'!CL:DM,6,FALSE)</f>
        <v>0</v>
      </c>
      <c r="I40" s="113">
        <f>VLOOKUP(C40,'Talente &amp; Stuff'!CL:DM,7,FALSE)</f>
        <v>0</v>
      </c>
      <c r="J40" s="113">
        <f>VLOOKUP(C40,'Talente &amp; Stuff'!CL:DM,8,FALSE)</f>
        <v>0</v>
      </c>
      <c r="K40" s="113">
        <f>VLOOKUP(C40,'Talente &amp; Stuff'!CL:DM,9,FALSE)</f>
        <v>0</v>
      </c>
      <c r="L40" s="113">
        <f>VLOOKUP(C40,'Talente &amp; Stuff'!CL:DM,10,FALSE)</f>
        <v>0</v>
      </c>
      <c r="M40" s="119">
        <f>VLOOKUP(C40,'Talente &amp; Stuff'!CL:DM,11,FALSE)</f>
        <v>0</v>
      </c>
      <c r="N40" s="89">
        <f>VLOOKUP(C40,'Talente &amp; Stuff'!CL:DM,12,FALSE)</f>
        <v>0</v>
      </c>
      <c r="O40" s="47">
        <f>VLOOKUP(C40,'Talente &amp; Stuff'!CL:DM,13,FALSE)</f>
        <v>0</v>
      </c>
      <c r="P40" s="119">
        <f>VLOOKUP(C40,'Talente &amp; Stuff'!CL:DM,14,FALSE)</f>
        <v>0</v>
      </c>
      <c r="Q40" s="114">
        <f>VLOOKUP(C40,'Talente &amp; Stuff'!CL:DM,15,FALSE)</f>
        <v>0</v>
      </c>
      <c r="R40" s="113">
        <f>VLOOKUP(C40,'Talente &amp; Stuff'!CL:DM,16,FALSE)</f>
        <v>0</v>
      </c>
      <c r="S40" s="119">
        <f>VLOOKUP(C40,'Talente &amp; Stuff'!CL:DM,17,FALSE)</f>
        <v>0</v>
      </c>
      <c r="T40" s="160">
        <f>VLOOKUP(C40,'Talente &amp; Stuff'!CL:DM,18,FALSE)</f>
        <v>0</v>
      </c>
      <c r="U40" s="89">
        <f>VLOOKUP(C40,'Talente &amp; Stuff'!CL:DM,19,FALSE)</f>
        <v>0</v>
      </c>
      <c r="V40" s="47">
        <f>VLOOKUP(C40,'Talente &amp; Stuff'!CL:DM,20,FALSE)</f>
        <v>0</v>
      </c>
      <c r="W40" s="127">
        <f>VLOOKUP(C40,'Talente &amp; Stuff'!CL:DM,21,FALSE)</f>
        <v>0</v>
      </c>
      <c r="X40" s="125">
        <f>VLOOKUP(C40,'Talente &amp; Stuff'!CL:DM,22,FALSE)</f>
        <v>0</v>
      </c>
      <c r="Y40" s="165">
        <f t="shared" si="4"/>
        <v>0</v>
      </c>
      <c r="Z40" s="44">
        <f t="shared" si="5"/>
        <v>0</v>
      </c>
      <c r="AA40" s="125">
        <f>VLOOKUP(C40,'Talente &amp; Stuff'!CL:DM,25,FALSE)</f>
        <v>0</v>
      </c>
      <c r="AB40" s="160">
        <f>VLOOKUP(C40,'Talente &amp; Stuff'!CL:DM,26,FALSE)</f>
        <v>0</v>
      </c>
      <c r="AC40" s="127">
        <f>VLOOKUP(C40,'Talente &amp; Stuff'!CL:DM,27,FALSE)</f>
        <v>0</v>
      </c>
      <c r="AD40" s="125">
        <f>VLOOKUP(C40,'Talente &amp; Stuff'!CL:DM,28,FALSE)</f>
        <v>0</v>
      </c>
      <c r="AE40" s="28"/>
    </row>
    <row r="41" spans="2:31" ht="15" hidden="1" customHeight="1" outlineLevel="2">
      <c r="B41" s="148">
        <v>6</v>
      </c>
      <c r="C41" s="177" t="str">
        <f>Attribute!C41</f>
        <v>---</v>
      </c>
      <c r="D41" s="127" t="str">
        <f>VLOOKUP(C41,'Talente &amp; Stuff'!CL:DM,2,FALSE)</f>
        <v>--/--/--</v>
      </c>
      <c r="E41" s="125" t="str">
        <f>VLOOKUP(C41,'Talente &amp; Stuff'!CL:DM,3,FALSE)</f>
        <v>-</v>
      </c>
      <c r="F41" s="114">
        <f>VLOOKUP(C41,'Talente &amp; Stuff'!CL:DM,4,FALSE)</f>
        <v>0</v>
      </c>
      <c r="G41" s="113">
        <f>VLOOKUP(C41,'Talente &amp; Stuff'!CL:DM,5,FALSE)</f>
        <v>0</v>
      </c>
      <c r="H41" s="113">
        <f>VLOOKUP(C41,'Talente &amp; Stuff'!CL:DM,6,FALSE)</f>
        <v>0</v>
      </c>
      <c r="I41" s="113">
        <f>VLOOKUP(C41,'Talente &amp; Stuff'!CL:DM,7,FALSE)</f>
        <v>0</v>
      </c>
      <c r="J41" s="113">
        <f>VLOOKUP(C41,'Talente &amp; Stuff'!CL:DM,8,FALSE)</f>
        <v>0</v>
      </c>
      <c r="K41" s="113">
        <f>VLOOKUP(C41,'Talente &amp; Stuff'!CL:DM,9,FALSE)</f>
        <v>0</v>
      </c>
      <c r="L41" s="113">
        <f>VLOOKUP(C41,'Talente &amp; Stuff'!CL:DM,10,FALSE)</f>
        <v>0</v>
      </c>
      <c r="M41" s="119">
        <f>VLOOKUP(C41,'Talente &amp; Stuff'!CL:DM,11,FALSE)</f>
        <v>0</v>
      </c>
      <c r="N41" s="89">
        <f>VLOOKUP(C41,'Talente &amp; Stuff'!CL:DM,12,FALSE)</f>
        <v>0</v>
      </c>
      <c r="O41" s="47">
        <f>VLOOKUP(C41,'Talente &amp; Stuff'!CL:DM,13,FALSE)</f>
        <v>0</v>
      </c>
      <c r="P41" s="119">
        <f>VLOOKUP(C41,'Talente &amp; Stuff'!CL:DM,14,FALSE)</f>
        <v>0</v>
      </c>
      <c r="Q41" s="114">
        <f>VLOOKUP(C41,'Talente &amp; Stuff'!CL:DM,15,FALSE)</f>
        <v>0</v>
      </c>
      <c r="R41" s="113">
        <f>VLOOKUP(C41,'Talente &amp; Stuff'!CL:DM,16,FALSE)</f>
        <v>0</v>
      </c>
      <c r="S41" s="119">
        <f>VLOOKUP(C41,'Talente &amp; Stuff'!CL:DM,17,FALSE)</f>
        <v>0</v>
      </c>
      <c r="T41" s="160">
        <f>VLOOKUP(C41,'Talente &amp; Stuff'!CL:DM,18,FALSE)</f>
        <v>0</v>
      </c>
      <c r="U41" s="89">
        <f>VLOOKUP(C41,'Talente &amp; Stuff'!CL:DM,19,FALSE)</f>
        <v>0</v>
      </c>
      <c r="V41" s="47">
        <f>VLOOKUP(C41,'Talente &amp; Stuff'!CL:DM,20,FALSE)</f>
        <v>0</v>
      </c>
      <c r="W41" s="127">
        <f>VLOOKUP(C41,'Talente &amp; Stuff'!CL:DM,21,FALSE)</f>
        <v>0</v>
      </c>
      <c r="X41" s="125">
        <f>VLOOKUP(C41,'Talente &amp; Stuff'!CL:DM,22,FALSE)</f>
        <v>0</v>
      </c>
      <c r="Y41" s="165">
        <f t="shared" si="4"/>
        <v>0</v>
      </c>
      <c r="Z41" s="44">
        <f t="shared" si="5"/>
        <v>0</v>
      </c>
      <c r="AA41" s="125">
        <f>VLOOKUP(C41,'Talente &amp; Stuff'!CL:DM,25,FALSE)</f>
        <v>0</v>
      </c>
      <c r="AB41" s="160">
        <f>VLOOKUP(C41,'Talente &amp; Stuff'!CL:DM,26,FALSE)</f>
        <v>0</v>
      </c>
      <c r="AC41" s="127">
        <f>VLOOKUP(C41,'Talente &amp; Stuff'!CL:DM,27,FALSE)</f>
        <v>0</v>
      </c>
      <c r="AD41" s="125">
        <f>VLOOKUP(C41,'Talente &amp; Stuff'!CL:DM,28,FALSE)</f>
        <v>0</v>
      </c>
      <c r="AE41" s="28"/>
    </row>
    <row r="42" spans="2:31" ht="15" hidden="1" customHeight="1" outlineLevel="2">
      <c r="B42" s="148">
        <v>7</v>
      </c>
      <c r="C42" s="178" t="str">
        <f>Attribute!C42</f>
        <v>---</v>
      </c>
      <c r="D42" s="128" t="str">
        <f>VLOOKUP(C42,'Talente &amp; Stuff'!CL:DM,2,FALSE)</f>
        <v>--/--/--</v>
      </c>
      <c r="E42" s="159" t="str">
        <f>VLOOKUP(C42,'Talente &amp; Stuff'!CL:DM,3,FALSE)</f>
        <v>-</v>
      </c>
      <c r="F42" s="115">
        <f>VLOOKUP(C42,'Talente &amp; Stuff'!CL:DM,4,FALSE)</f>
        <v>0</v>
      </c>
      <c r="G42" s="122">
        <f>VLOOKUP(C42,'Talente &amp; Stuff'!CL:DM,5,FALSE)</f>
        <v>0</v>
      </c>
      <c r="H42" s="122">
        <f>VLOOKUP(C42,'Talente &amp; Stuff'!CL:DM,6,FALSE)</f>
        <v>0</v>
      </c>
      <c r="I42" s="122">
        <f>VLOOKUP(C42,'Talente &amp; Stuff'!CL:DM,7,FALSE)</f>
        <v>0</v>
      </c>
      <c r="J42" s="122">
        <f>VLOOKUP(C42,'Talente &amp; Stuff'!CL:DM,8,FALSE)</f>
        <v>0</v>
      </c>
      <c r="K42" s="122">
        <f>VLOOKUP(C42,'Talente &amp; Stuff'!CL:DM,9,FALSE)</f>
        <v>0</v>
      </c>
      <c r="L42" s="122">
        <f>VLOOKUP(C42,'Talente &amp; Stuff'!CL:DM,10,FALSE)</f>
        <v>0</v>
      </c>
      <c r="M42" s="123">
        <f>VLOOKUP(C42,'Talente &amp; Stuff'!CL:DM,11,FALSE)</f>
        <v>0</v>
      </c>
      <c r="N42" s="90">
        <f>VLOOKUP(C42,'Talente &amp; Stuff'!CL:DM,12,FALSE)</f>
        <v>0</v>
      </c>
      <c r="O42" s="88">
        <f>VLOOKUP(C42,'Talente &amp; Stuff'!CL:DM,13,FALSE)</f>
        <v>0</v>
      </c>
      <c r="P42" s="123">
        <f>VLOOKUP(C42,'Talente &amp; Stuff'!CL:DM,14,FALSE)</f>
        <v>0</v>
      </c>
      <c r="Q42" s="115">
        <f>VLOOKUP(C42,'Talente &amp; Stuff'!CL:DM,15,FALSE)</f>
        <v>0</v>
      </c>
      <c r="R42" s="122">
        <f>VLOOKUP(C42,'Talente &amp; Stuff'!CL:DM,16,FALSE)</f>
        <v>0</v>
      </c>
      <c r="S42" s="123">
        <f>VLOOKUP(C42,'Talente &amp; Stuff'!CL:DM,17,FALSE)</f>
        <v>0</v>
      </c>
      <c r="T42" s="161">
        <f>VLOOKUP(C42,'Talente &amp; Stuff'!CL:DM,18,FALSE)</f>
        <v>0</v>
      </c>
      <c r="U42" s="90">
        <f>VLOOKUP(C42,'Talente &amp; Stuff'!CL:DM,19,FALSE)</f>
        <v>0</v>
      </c>
      <c r="V42" s="88">
        <f>VLOOKUP(C42,'Talente &amp; Stuff'!CL:DM,20,FALSE)</f>
        <v>0</v>
      </c>
      <c r="W42" s="128">
        <f>VLOOKUP(C42,'Talente &amp; Stuff'!CL:DM,21,FALSE)</f>
        <v>0</v>
      </c>
      <c r="X42" s="159">
        <f>VLOOKUP(C42,'Talente &amp; Stuff'!CL:DM,22,FALSE)</f>
        <v>0</v>
      </c>
      <c r="Y42" s="165">
        <f t="shared" si="4"/>
        <v>0</v>
      </c>
      <c r="Z42" s="44">
        <f t="shared" si="5"/>
        <v>0</v>
      </c>
      <c r="AA42" s="159">
        <f>VLOOKUP(C42,'Talente &amp; Stuff'!CL:DM,25,FALSE)</f>
        <v>0</v>
      </c>
      <c r="AB42" s="161">
        <f>VLOOKUP(C42,'Talente &amp; Stuff'!CL:DM,26,FALSE)</f>
        <v>0</v>
      </c>
      <c r="AC42" s="128">
        <f>VLOOKUP(C42,'Talente &amp; Stuff'!CL:DM,27,FALSE)</f>
        <v>0</v>
      </c>
      <c r="AD42" s="159">
        <f>VLOOKUP(C42,'Talente &amp; Stuff'!CL:DM,28,FALSE)</f>
        <v>0</v>
      </c>
      <c r="AE42" s="28"/>
    </row>
    <row r="43" spans="2:31" ht="15" hidden="1" customHeight="1" outlineLevel="1" collapsed="1">
      <c r="B43" s="134" t="s">
        <v>70</v>
      </c>
      <c r="C43" s="83"/>
      <c r="D43" s="84"/>
      <c r="E43" s="84"/>
      <c r="F43" s="30"/>
      <c r="G43" s="30"/>
      <c r="H43" s="30"/>
      <c r="I43" s="30"/>
      <c r="J43" s="30"/>
      <c r="K43" s="30"/>
      <c r="L43" s="30"/>
      <c r="M43" s="30"/>
      <c r="N43" s="31"/>
      <c r="O43" s="31"/>
      <c r="P43" s="30"/>
      <c r="Q43" s="30"/>
      <c r="R43" s="30"/>
      <c r="S43" s="30"/>
      <c r="T43" s="30"/>
      <c r="U43" s="31"/>
      <c r="V43" s="31"/>
      <c r="W43" s="31"/>
      <c r="X43" s="31"/>
      <c r="Y43" s="65"/>
    </row>
    <row r="44" spans="2:31" ht="15" hidden="1" customHeight="1" outlineLevel="2">
      <c r="B44" s="148">
        <v>1</v>
      </c>
      <c r="C44" s="176" t="str">
        <f>Attribute!C44</f>
        <v>---</v>
      </c>
      <c r="D44" s="126" t="str">
        <f>VLOOKUP(C44,'Talente &amp; Stuff'!CL:DM,2,FALSE)</f>
        <v>--/--/--</v>
      </c>
      <c r="E44" s="158" t="str">
        <f>VLOOKUP(C44,'Talente &amp; Stuff'!CL:DM,3,FALSE)</f>
        <v>-</v>
      </c>
      <c r="F44" s="191">
        <f>VLOOKUP(C44,'Talente &amp; Stuff'!CL:DM,4,FALSE)</f>
        <v>0</v>
      </c>
      <c r="G44" s="118">
        <f>VLOOKUP(C44,'Talente &amp; Stuff'!CL:DM,5,FALSE)</f>
        <v>0</v>
      </c>
      <c r="H44" s="118">
        <f>VLOOKUP(C44,'Talente &amp; Stuff'!CL:DM,6,FALSE)</f>
        <v>0</v>
      </c>
      <c r="I44" s="118">
        <f>VLOOKUP(C44,'Talente &amp; Stuff'!CL:DM,7,FALSE)</f>
        <v>0</v>
      </c>
      <c r="J44" s="118">
        <f>VLOOKUP(C44,'Talente &amp; Stuff'!CL:DM,8,FALSE)</f>
        <v>0</v>
      </c>
      <c r="K44" s="118">
        <f>VLOOKUP(C44,'Talente &amp; Stuff'!CL:DM,9,FALSE)</f>
        <v>0</v>
      </c>
      <c r="L44" s="118">
        <f>VLOOKUP(C44,'Talente &amp; Stuff'!CL:DM,10,FALSE)</f>
        <v>0</v>
      </c>
      <c r="M44" s="92">
        <f>VLOOKUP(C44,'Talente &amp; Stuff'!CL:DM,11,FALSE)</f>
        <v>0</v>
      </c>
      <c r="N44" s="193">
        <f>VLOOKUP(C44,'Talente &amp; Stuff'!CL:DM,12,FALSE)</f>
        <v>0</v>
      </c>
      <c r="O44" s="116">
        <f>VLOOKUP(C44,'Talente &amp; Stuff'!CL:DM,13,FALSE)</f>
        <v>0</v>
      </c>
      <c r="P44" s="92">
        <f>VLOOKUP(C44,'Talente &amp; Stuff'!CL:DM,14,FALSE)</f>
        <v>0</v>
      </c>
      <c r="Q44" s="191">
        <f>VLOOKUP(C44,'Talente &amp; Stuff'!CL:DM,15,FALSE)</f>
        <v>0</v>
      </c>
      <c r="R44" s="118">
        <f>VLOOKUP(C44,'Talente &amp; Stuff'!CL:DM,16,FALSE)</f>
        <v>0</v>
      </c>
      <c r="S44" s="92">
        <f>VLOOKUP(C44,'Talente &amp; Stuff'!CL:DM,17,FALSE)</f>
        <v>0</v>
      </c>
      <c r="T44" s="91">
        <f>VLOOKUP(C44,'Talente &amp; Stuff'!CL:DM,18,FALSE)</f>
        <v>0</v>
      </c>
      <c r="U44" s="193">
        <f>VLOOKUP(C44,'Talente &amp; Stuff'!CL:DM,19,FALSE)</f>
        <v>0</v>
      </c>
      <c r="V44" s="116">
        <f>VLOOKUP(C44,'Talente &amp; Stuff'!CL:DM,20,FALSE)</f>
        <v>0</v>
      </c>
      <c r="W44" s="126">
        <f>VLOOKUP(C44,'Talente &amp; Stuff'!CL:DM,21,FALSE)</f>
        <v>0</v>
      </c>
      <c r="X44" s="158">
        <f>VLOOKUP(C44,'Talente &amp; Stuff'!CL:DM,22,FALSE)</f>
        <v>0</v>
      </c>
      <c r="Y44" s="165">
        <f t="shared" ref="Y44:Y55" si="6">VLOOKUP(C44,Ausgewählte_Talente_Wissenstalente,110,FALSE)</f>
        <v>0</v>
      </c>
      <c r="Z44" s="44">
        <f t="shared" ref="Z44:Z55" si="7">VLOOKUP(C44,Ausgewählte_Talente_Wissenstalente,111,FALSE)</f>
        <v>0</v>
      </c>
      <c r="AA44" s="158">
        <f>VLOOKUP(C44,'Talente &amp; Stuff'!CL:DM,25,FALSE)</f>
        <v>0</v>
      </c>
      <c r="AB44" s="91">
        <f>VLOOKUP(C44,'Talente &amp; Stuff'!CL:DM,26,FALSE)</f>
        <v>0</v>
      </c>
      <c r="AC44" s="126">
        <f>VLOOKUP(C44,'Talente &amp; Stuff'!CL:DM,27,FALSE)</f>
        <v>0</v>
      </c>
      <c r="AD44" s="158">
        <f>VLOOKUP(C44,'Talente &amp; Stuff'!CL:DM,28,FALSE)</f>
        <v>0</v>
      </c>
      <c r="AE44" s="28"/>
    </row>
    <row r="45" spans="2:31" ht="15" hidden="1" customHeight="1" outlineLevel="2">
      <c r="B45" s="148">
        <v>2</v>
      </c>
      <c r="C45" s="177" t="str">
        <f>Attribute!C45</f>
        <v>---</v>
      </c>
      <c r="D45" s="127" t="str">
        <f>VLOOKUP(C45,'Talente &amp; Stuff'!CL:DM,2,FALSE)</f>
        <v>--/--/--</v>
      </c>
      <c r="E45" s="125" t="str">
        <f>VLOOKUP(C45,'Talente &amp; Stuff'!CL:DM,3,FALSE)</f>
        <v>-</v>
      </c>
      <c r="F45" s="114">
        <f>VLOOKUP(C45,'Talente &amp; Stuff'!CL:DM,4,FALSE)</f>
        <v>0</v>
      </c>
      <c r="G45" s="113">
        <f>VLOOKUP(C45,'Talente &amp; Stuff'!CL:DM,5,FALSE)</f>
        <v>0</v>
      </c>
      <c r="H45" s="113">
        <f>VLOOKUP(C45,'Talente &amp; Stuff'!CL:DM,6,FALSE)</f>
        <v>0</v>
      </c>
      <c r="I45" s="113">
        <f>VLOOKUP(C45,'Talente &amp; Stuff'!CL:DM,7,FALSE)</f>
        <v>0</v>
      </c>
      <c r="J45" s="113">
        <f>VLOOKUP(C45,'Talente &amp; Stuff'!CL:DM,8,FALSE)</f>
        <v>0</v>
      </c>
      <c r="K45" s="113">
        <f>VLOOKUP(C45,'Talente &amp; Stuff'!CL:DM,9,FALSE)</f>
        <v>0</v>
      </c>
      <c r="L45" s="113">
        <f>VLOOKUP(C45,'Talente &amp; Stuff'!CL:DM,10,FALSE)</f>
        <v>0</v>
      </c>
      <c r="M45" s="119">
        <f>VLOOKUP(C45,'Talente &amp; Stuff'!CL:DM,11,FALSE)</f>
        <v>0</v>
      </c>
      <c r="N45" s="89">
        <f>VLOOKUP(C45,'Talente &amp; Stuff'!CL:DM,12,FALSE)</f>
        <v>0</v>
      </c>
      <c r="O45" s="47">
        <f>VLOOKUP(C45,'Talente &amp; Stuff'!CL:DM,13,FALSE)</f>
        <v>0</v>
      </c>
      <c r="P45" s="119">
        <f>VLOOKUP(C45,'Talente &amp; Stuff'!CL:DM,14,FALSE)</f>
        <v>0</v>
      </c>
      <c r="Q45" s="114">
        <f>VLOOKUP(C45,'Talente &amp; Stuff'!CL:DM,15,FALSE)</f>
        <v>0</v>
      </c>
      <c r="R45" s="113">
        <f>VLOOKUP(C45,'Talente &amp; Stuff'!CL:DM,16,FALSE)</f>
        <v>0</v>
      </c>
      <c r="S45" s="119">
        <f>VLOOKUP(C45,'Talente &amp; Stuff'!CL:DM,17,FALSE)</f>
        <v>0</v>
      </c>
      <c r="T45" s="160">
        <f>VLOOKUP(C45,'Talente &amp; Stuff'!CL:DM,18,FALSE)</f>
        <v>0</v>
      </c>
      <c r="U45" s="89">
        <f>VLOOKUP(C45,'Talente &amp; Stuff'!CL:DM,19,FALSE)</f>
        <v>0</v>
      </c>
      <c r="V45" s="47">
        <f>VLOOKUP(C45,'Talente &amp; Stuff'!CL:DM,20,FALSE)</f>
        <v>0</v>
      </c>
      <c r="W45" s="127">
        <f>VLOOKUP(C45,'Talente &amp; Stuff'!CL:DM,21,FALSE)</f>
        <v>0</v>
      </c>
      <c r="X45" s="125">
        <f>VLOOKUP(C45,'Talente &amp; Stuff'!CL:DM,22,FALSE)</f>
        <v>0</v>
      </c>
      <c r="Y45" s="165">
        <f t="shared" si="6"/>
        <v>0</v>
      </c>
      <c r="Z45" s="44">
        <f t="shared" si="7"/>
        <v>0</v>
      </c>
      <c r="AA45" s="125">
        <f>VLOOKUP(C45,'Talente &amp; Stuff'!CL:DM,25,FALSE)</f>
        <v>0</v>
      </c>
      <c r="AB45" s="160">
        <f>VLOOKUP(C45,'Talente &amp; Stuff'!CL:DM,26,FALSE)</f>
        <v>0</v>
      </c>
      <c r="AC45" s="127">
        <f>VLOOKUP(C45,'Talente &amp; Stuff'!CL:DM,27,FALSE)</f>
        <v>0</v>
      </c>
      <c r="AD45" s="125">
        <f>VLOOKUP(C45,'Talente &amp; Stuff'!CL:DM,28,FALSE)</f>
        <v>0</v>
      </c>
      <c r="AE45" s="28"/>
    </row>
    <row r="46" spans="2:31" ht="15" hidden="1" customHeight="1" outlineLevel="2">
      <c r="B46" s="148">
        <v>3</v>
      </c>
      <c r="C46" s="177" t="str">
        <f>Attribute!C46</f>
        <v>---</v>
      </c>
      <c r="D46" s="127" t="str">
        <f>VLOOKUP(C46,'Talente &amp; Stuff'!CL:DM,2,FALSE)</f>
        <v>--/--/--</v>
      </c>
      <c r="E46" s="125" t="str">
        <f>VLOOKUP(C46,'Talente &amp; Stuff'!CL:DM,3,FALSE)</f>
        <v>-</v>
      </c>
      <c r="F46" s="114">
        <f>VLOOKUP(C46,'Talente &amp; Stuff'!CL:DM,4,FALSE)</f>
        <v>0</v>
      </c>
      <c r="G46" s="113">
        <f>VLOOKUP(C46,'Talente &amp; Stuff'!CL:DM,5,FALSE)</f>
        <v>0</v>
      </c>
      <c r="H46" s="113">
        <f>VLOOKUP(C46,'Talente &amp; Stuff'!CL:DM,6,FALSE)</f>
        <v>0</v>
      </c>
      <c r="I46" s="113">
        <f>VLOOKUP(C46,'Talente &amp; Stuff'!CL:DM,7,FALSE)</f>
        <v>0</v>
      </c>
      <c r="J46" s="113">
        <f>VLOOKUP(C46,'Talente &amp; Stuff'!CL:DM,8,FALSE)</f>
        <v>0</v>
      </c>
      <c r="K46" s="113">
        <f>VLOOKUP(C46,'Talente &amp; Stuff'!CL:DM,9,FALSE)</f>
        <v>0</v>
      </c>
      <c r="L46" s="113">
        <f>VLOOKUP(C46,'Talente &amp; Stuff'!CL:DM,10,FALSE)</f>
        <v>0</v>
      </c>
      <c r="M46" s="119">
        <f>VLOOKUP(C46,'Talente &amp; Stuff'!CL:DM,11,FALSE)</f>
        <v>0</v>
      </c>
      <c r="N46" s="89">
        <f>VLOOKUP(C46,'Talente &amp; Stuff'!CL:DM,12,FALSE)</f>
        <v>0</v>
      </c>
      <c r="O46" s="47">
        <f>VLOOKUP(C46,'Talente &amp; Stuff'!CL:DM,13,FALSE)</f>
        <v>0</v>
      </c>
      <c r="P46" s="119">
        <f>VLOOKUP(C46,'Talente &amp; Stuff'!CL:DM,14,FALSE)</f>
        <v>0</v>
      </c>
      <c r="Q46" s="114">
        <f>VLOOKUP(C46,'Talente &amp; Stuff'!CL:DM,15,FALSE)</f>
        <v>0</v>
      </c>
      <c r="R46" s="113">
        <f>VLOOKUP(C46,'Talente &amp; Stuff'!CL:DM,16,FALSE)</f>
        <v>0</v>
      </c>
      <c r="S46" s="119">
        <f>VLOOKUP(C46,'Talente &amp; Stuff'!CL:DM,17,FALSE)</f>
        <v>0</v>
      </c>
      <c r="T46" s="160">
        <f>VLOOKUP(C46,'Talente &amp; Stuff'!CL:DM,18,FALSE)</f>
        <v>0</v>
      </c>
      <c r="U46" s="89">
        <f>VLOOKUP(C46,'Talente &amp; Stuff'!CL:DM,19,FALSE)</f>
        <v>0</v>
      </c>
      <c r="V46" s="47">
        <f>VLOOKUP(C46,'Talente &amp; Stuff'!CL:DM,20,FALSE)</f>
        <v>0</v>
      </c>
      <c r="W46" s="127">
        <f>VLOOKUP(C46,'Talente &amp; Stuff'!CL:DM,21,FALSE)</f>
        <v>0</v>
      </c>
      <c r="X46" s="125">
        <f>VLOOKUP(C46,'Talente &amp; Stuff'!CL:DM,22,FALSE)</f>
        <v>0</v>
      </c>
      <c r="Y46" s="165">
        <f t="shared" si="6"/>
        <v>0</v>
      </c>
      <c r="Z46" s="44">
        <f t="shared" si="7"/>
        <v>0</v>
      </c>
      <c r="AA46" s="125">
        <f>VLOOKUP(C46,'Talente &amp; Stuff'!CL:DM,25,FALSE)</f>
        <v>0</v>
      </c>
      <c r="AB46" s="160">
        <f>VLOOKUP(C46,'Talente &amp; Stuff'!CL:DM,26,FALSE)</f>
        <v>0</v>
      </c>
      <c r="AC46" s="127">
        <f>VLOOKUP(C46,'Talente &amp; Stuff'!CL:DM,27,FALSE)</f>
        <v>0</v>
      </c>
      <c r="AD46" s="125">
        <f>VLOOKUP(C46,'Talente &amp; Stuff'!CL:DM,28,FALSE)</f>
        <v>0</v>
      </c>
      <c r="AE46" s="28"/>
    </row>
    <row r="47" spans="2:31" ht="15" hidden="1" customHeight="1" outlineLevel="2">
      <c r="B47" s="148">
        <v>4</v>
      </c>
      <c r="C47" s="177" t="str">
        <f>Attribute!C47</f>
        <v>---</v>
      </c>
      <c r="D47" s="127" t="str">
        <f>VLOOKUP(C47,'Talente &amp; Stuff'!CL:DM,2,FALSE)</f>
        <v>--/--/--</v>
      </c>
      <c r="E47" s="125" t="str">
        <f>VLOOKUP(C47,'Talente &amp; Stuff'!CL:DM,3,FALSE)</f>
        <v>-</v>
      </c>
      <c r="F47" s="114">
        <f>VLOOKUP(C47,'Talente &amp; Stuff'!CL:DM,4,FALSE)</f>
        <v>0</v>
      </c>
      <c r="G47" s="113">
        <f>VLOOKUP(C47,'Talente &amp; Stuff'!CL:DM,5,FALSE)</f>
        <v>0</v>
      </c>
      <c r="H47" s="113">
        <f>VLOOKUP(C47,'Talente &amp; Stuff'!CL:DM,6,FALSE)</f>
        <v>0</v>
      </c>
      <c r="I47" s="113">
        <f>VLOOKUP(C47,'Talente &amp; Stuff'!CL:DM,7,FALSE)</f>
        <v>0</v>
      </c>
      <c r="J47" s="113">
        <f>VLOOKUP(C47,'Talente &amp; Stuff'!CL:DM,8,FALSE)</f>
        <v>0</v>
      </c>
      <c r="K47" s="113">
        <f>VLOOKUP(C47,'Talente &amp; Stuff'!CL:DM,9,FALSE)</f>
        <v>0</v>
      </c>
      <c r="L47" s="113">
        <f>VLOOKUP(C47,'Talente &amp; Stuff'!CL:DM,10,FALSE)</f>
        <v>0</v>
      </c>
      <c r="M47" s="119">
        <f>VLOOKUP(C47,'Talente &amp; Stuff'!CL:DM,11,FALSE)</f>
        <v>0</v>
      </c>
      <c r="N47" s="89">
        <f>VLOOKUP(C47,'Talente &amp; Stuff'!CL:DM,12,FALSE)</f>
        <v>0</v>
      </c>
      <c r="O47" s="47">
        <f>VLOOKUP(C47,'Talente &amp; Stuff'!CL:DM,13,FALSE)</f>
        <v>0</v>
      </c>
      <c r="P47" s="119">
        <f>VLOOKUP(C47,'Talente &amp; Stuff'!CL:DM,14,FALSE)</f>
        <v>0</v>
      </c>
      <c r="Q47" s="114">
        <f>VLOOKUP(C47,'Talente &amp; Stuff'!CL:DM,15,FALSE)</f>
        <v>0</v>
      </c>
      <c r="R47" s="113">
        <f>VLOOKUP(C47,'Talente &amp; Stuff'!CL:DM,16,FALSE)</f>
        <v>0</v>
      </c>
      <c r="S47" s="119">
        <f>VLOOKUP(C47,'Talente &amp; Stuff'!CL:DM,17,FALSE)</f>
        <v>0</v>
      </c>
      <c r="T47" s="160">
        <f>VLOOKUP(C47,'Talente &amp; Stuff'!CL:DM,18,FALSE)</f>
        <v>0</v>
      </c>
      <c r="U47" s="89">
        <f>VLOOKUP(C47,'Talente &amp; Stuff'!CL:DM,19,FALSE)</f>
        <v>0</v>
      </c>
      <c r="V47" s="47">
        <f>VLOOKUP(C47,'Talente &amp; Stuff'!CL:DM,20,FALSE)</f>
        <v>0</v>
      </c>
      <c r="W47" s="127">
        <f>VLOOKUP(C47,'Talente &amp; Stuff'!CL:DM,21,FALSE)</f>
        <v>0</v>
      </c>
      <c r="X47" s="125">
        <f>VLOOKUP(C47,'Talente &amp; Stuff'!CL:DM,22,FALSE)</f>
        <v>0</v>
      </c>
      <c r="Y47" s="165">
        <f t="shared" si="6"/>
        <v>0</v>
      </c>
      <c r="Z47" s="44">
        <f t="shared" si="7"/>
        <v>0</v>
      </c>
      <c r="AA47" s="125">
        <f>VLOOKUP(C47,'Talente &amp; Stuff'!CL:DM,25,FALSE)</f>
        <v>0</v>
      </c>
      <c r="AB47" s="160">
        <f>VLOOKUP(C47,'Talente &amp; Stuff'!CL:DM,26,FALSE)</f>
        <v>0</v>
      </c>
      <c r="AC47" s="127">
        <f>VLOOKUP(C47,'Talente &amp; Stuff'!CL:DM,27,FALSE)</f>
        <v>0</v>
      </c>
      <c r="AD47" s="125">
        <f>VLOOKUP(C47,'Talente &amp; Stuff'!CL:DM,28,FALSE)</f>
        <v>0</v>
      </c>
      <c r="AE47" s="28"/>
    </row>
    <row r="48" spans="2:31" ht="15" hidden="1" customHeight="1" outlineLevel="2">
      <c r="B48" s="148">
        <v>5</v>
      </c>
      <c r="C48" s="177" t="str">
        <f>Attribute!C48</f>
        <v>---</v>
      </c>
      <c r="D48" s="127" t="str">
        <f>VLOOKUP(C48,'Talente &amp; Stuff'!CL:DM,2,FALSE)</f>
        <v>--/--/--</v>
      </c>
      <c r="E48" s="125" t="str">
        <f>VLOOKUP(C48,'Talente &amp; Stuff'!CL:DM,3,FALSE)</f>
        <v>-</v>
      </c>
      <c r="F48" s="114">
        <f>VLOOKUP(C48,'Talente &amp; Stuff'!CL:DM,4,FALSE)</f>
        <v>0</v>
      </c>
      <c r="G48" s="113">
        <f>VLOOKUP(C48,'Talente &amp; Stuff'!CL:DM,5,FALSE)</f>
        <v>0</v>
      </c>
      <c r="H48" s="113">
        <f>VLOOKUP(C48,'Talente &amp; Stuff'!CL:DM,6,FALSE)</f>
        <v>0</v>
      </c>
      <c r="I48" s="113">
        <f>VLOOKUP(C48,'Talente &amp; Stuff'!CL:DM,7,FALSE)</f>
        <v>0</v>
      </c>
      <c r="J48" s="113">
        <f>VLOOKUP(C48,'Talente &amp; Stuff'!CL:DM,8,FALSE)</f>
        <v>0</v>
      </c>
      <c r="K48" s="113">
        <f>VLOOKUP(C48,'Talente &amp; Stuff'!CL:DM,9,FALSE)</f>
        <v>0</v>
      </c>
      <c r="L48" s="113">
        <f>VLOOKUP(C48,'Talente &amp; Stuff'!CL:DM,10,FALSE)</f>
        <v>0</v>
      </c>
      <c r="M48" s="119">
        <f>VLOOKUP(C48,'Talente &amp; Stuff'!CL:DM,11,FALSE)</f>
        <v>0</v>
      </c>
      <c r="N48" s="89">
        <f>VLOOKUP(C48,'Talente &amp; Stuff'!CL:DM,12,FALSE)</f>
        <v>0</v>
      </c>
      <c r="O48" s="47">
        <f>VLOOKUP(C48,'Talente &amp; Stuff'!CL:DM,13,FALSE)</f>
        <v>0</v>
      </c>
      <c r="P48" s="119">
        <f>VLOOKUP(C48,'Talente &amp; Stuff'!CL:DM,14,FALSE)</f>
        <v>0</v>
      </c>
      <c r="Q48" s="114">
        <f>VLOOKUP(C48,'Talente &amp; Stuff'!CL:DM,15,FALSE)</f>
        <v>0</v>
      </c>
      <c r="R48" s="113">
        <f>VLOOKUP(C48,'Talente &amp; Stuff'!CL:DM,16,FALSE)</f>
        <v>0</v>
      </c>
      <c r="S48" s="119">
        <f>VLOOKUP(C48,'Talente &amp; Stuff'!CL:DM,17,FALSE)</f>
        <v>0</v>
      </c>
      <c r="T48" s="160">
        <f>VLOOKUP(C48,'Talente &amp; Stuff'!CL:DM,18,FALSE)</f>
        <v>0</v>
      </c>
      <c r="U48" s="89">
        <f>VLOOKUP(C48,'Talente &amp; Stuff'!CL:DM,19,FALSE)</f>
        <v>0</v>
      </c>
      <c r="V48" s="47">
        <f>VLOOKUP(C48,'Talente &amp; Stuff'!CL:DM,20,FALSE)</f>
        <v>0</v>
      </c>
      <c r="W48" s="127">
        <f>VLOOKUP(C48,'Talente &amp; Stuff'!CL:DM,21,FALSE)</f>
        <v>0</v>
      </c>
      <c r="X48" s="125">
        <f>VLOOKUP(C48,'Talente &amp; Stuff'!CL:DM,22,FALSE)</f>
        <v>0</v>
      </c>
      <c r="Y48" s="165">
        <f t="shared" si="6"/>
        <v>0</v>
      </c>
      <c r="Z48" s="44">
        <f t="shared" si="7"/>
        <v>0</v>
      </c>
      <c r="AA48" s="125">
        <f>VLOOKUP(C48,'Talente &amp; Stuff'!CL:DM,25,FALSE)</f>
        <v>0</v>
      </c>
      <c r="AB48" s="160">
        <f>VLOOKUP(C48,'Talente &amp; Stuff'!CL:DM,26,FALSE)</f>
        <v>0</v>
      </c>
      <c r="AC48" s="127">
        <f>VLOOKUP(C48,'Talente &amp; Stuff'!CL:DM,27,FALSE)</f>
        <v>0</v>
      </c>
      <c r="AD48" s="125">
        <f>VLOOKUP(C48,'Talente &amp; Stuff'!CL:DM,28,FALSE)</f>
        <v>0</v>
      </c>
      <c r="AE48" s="28"/>
    </row>
    <row r="49" spans="2:31" ht="15" hidden="1" customHeight="1" outlineLevel="2">
      <c r="B49" s="148">
        <v>6</v>
      </c>
      <c r="C49" s="177" t="str">
        <f>Attribute!C49</f>
        <v>---</v>
      </c>
      <c r="D49" s="127" t="str">
        <f>VLOOKUP(C49,'Talente &amp; Stuff'!CL:DM,2,FALSE)</f>
        <v>--/--/--</v>
      </c>
      <c r="E49" s="125" t="str">
        <f>VLOOKUP(C49,'Talente &amp; Stuff'!CL:DM,3,FALSE)</f>
        <v>-</v>
      </c>
      <c r="F49" s="114">
        <f>VLOOKUP(C49,'Talente &amp; Stuff'!CL:DM,4,FALSE)</f>
        <v>0</v>
      </c>
      <c r="G49" s="113">
        <f>VLOOKUP(C49,'Talente &amp; Stuff'!CL:DM,5,FALSE)</f>
        <v>0</v>
      </c>
      <c r="H49" s="113">
        <f>VLOOKUP(C49,'Talente &amp; Stuff'!CL:DM,6,FALSE)</f>
        <v>0</v>
      </c>
      <c r="I49" s="113">
        <f>VLOOKUP(C49,'Talente &amp; Stuff'!CL:DM,7,FALSE)</f>
        <v>0</v>
      </c>
      <c r="J49" s="113">
        <f>VLOOKUP(C49,'Talente &amp; Stuff'!CL:DM,8,FALSE)</f>
        <v>0</v>
      </c>
      <c r="K49" s="113">
        <f>VLOOKUP(C49,'Talente &amp; Stuff'!CL:DM,9,FALSE)</f>
        <v>0</v>
      </c>
      <c r="L49" s="113">
        <f>VLOOKUP(C49,'Talente &amp; Stuff'!CL:DM,10,FALSE)</f>
        <v>0</v>
      </c>
      <c r="M49" s="119">
        <f>VLOOKUP(C49,'Talente &amp; Stuff'!CL:DM,11,FALSE)</f>
        <v>0</v>
      </c>
      <c r="N49" s="89">
        <f>VLOOKUP(C49,'Talente &amp; Stuff'!CL:DM,12,FALSE)</f>
        <v>0</v>
      </c>
      <c r="O49" s="47">
        <f>VLOOKUP(C49,'Talente &amp; Stuff'!CL:DM,13,FALSE)</f>
        <v>0</v>
      </c>
      <c r="P49" s="119">
        <f>VLOOKUP(C49,'Talente &amp; Stuff'!CL:DM,14,FALSE)</f>
        <v>0</v>
      </c>
      <c r="Q49" s="114">
        <f>VLOOKUP(C49,'Talente &amp; Stuff'!CL:DM,15,FALSE)</f>
        <v>0</v>
      </c>
      <c r="R49" s="113">
        <f>VLOOKUP(C49,'Talente &amp; Stuff'!CL:DM,16,FALSE)</f>
        <v>0</v>
      </c>
      <c r="S49" s="119">
        <f>VLOOKUP(C49,'Talente &amp; Stuff'!CL:DM,17,FALSE)</f>
        <v>0</v>
      </c>
      <c r="T49" s="160">
        <f>VLOOKUP(C49,'Talente &amp; Stuff'!CL:DM,18,FALSE)</f>
        <v>0</v>
      </c>
      <c r="U49" s="89">
        <f>VLOOKUP(C49,'Talente &amp; Stuff'!CL:DM,19,FALSE)</f>
        <v>0</v>
      </c>
      <c r="V49" s="47">
        <f>VLOOKUP(C49,'Talente &amp; Stuff'!CL:DM,20,FALSE)</f>
        <v>0</v>
      </c>
      <c r="W49" s="127">
        <f>VLOOKUP(C49,'Talente &amp; Stuff'!CL:DM,21,FALSE)</f>
        <v>0</v>
      </c>
      <c r="X49" s="125">
        <f>VLOOKUP(C49,'Talente &amp; Stuff'!CL:DM,22,FALSE)</f>
        <v>0</v>
      </c>
      <c r="Y49" s="165">
        <f t="shared" si="6"/>
        <v>0</v>
      </c>
      <c r="Z49" s="44">
        <f t="shared" si="7"/>
        <v>0</v>
      </c>
      <c r="AA49" s="125">
        <f>VLOOKUP(C49,'Talente &amp; Stuff'!CL:DM,25,FALSE)</f>
        <v>0</v>
      </c>
      <c r="AB49" s="160">
        <f>VLOOKUP(C49,'Talente &amp; Stuff'!CL:DM,26,FALSE)</f>
        <v>0</v>
      </c>
      <c r="AC49" s="127">
        <f>VLOOKUP(C49,'Talente &amp; Stuff'!CL:DM,27,FALSE)</f>
        <v>0</v>
      </c>
      <c r="AD49" s="125">
        <f>VLOOKUP(C49,'Talente &amp; Stuff'!CL:DM,28,FALSE)</f>
        <v>0</v>
      </c>
      <c r="AE49" s="28"/>
    </row>
    <row r="50" spans="2:31" ht="15" hidden="1" customHeight="1" outlineLevel="2">
      <c r="B50" s="148">
        <v>7</v>
      </c>
      <c r="C50" s="177" t="str">
        <f>Attribute!C50</f>
        <v>---</v>
      </c>
      <c r="D50" s="127" t="str">
        <f>VLOOKUP(C50,'Talente &amp; Stuff'!CL:DM,2,FALSE)</f>
        <v>--/--/--</v>
      </c>
      <c r="E50" s="125" t="str">
        <f>VLOOKUP(C50,'Talente &amp; Stuff'!CL:DM,3,FALSE)</f>
        <v>-</v>
      </c>
      <c r="F50" s="114">
        <f>VLOOKUP(C50,'Talente &amp; Stuff'!CL:DM,4,FALSE)</f>
        <v>0</v>
      </c>
      <c r="G50" s="113">
        <f>VLOOKUP(C50,'Talente &amp; Stuff'!CL:DM,5,FALSE)</f>
        <v>0</v>
      </c>
      <c r="H50" s="113">
        <f>VLOOKUP(C50,'Talente &amp; Stuff'!CL:DM,6,FALSE)</f>
        <v>0</v>
      </c>
      <c r="I50" s="113">
        <f>VLOOKUP(C50,'Talente &amp; Stuff'!CL:DM,7,FALSE)</f>
        <v>0</v>
      </c>
      <c r="J50" s="113">
        <f>VLOOKUP(C50,'Talente &amp; Stuff'!CL:DM,8,FALSE)</f>
        <v>0</v>
      </c>
      <c r="K50" s="113">
        <f>VLOOKUP(C50,'Talente &amp; Stuff'!CL:DM,9,FALSE)</f>
        <v>0</v>
      </c>
      <c r="L50" s="113">
        <f>VLOOKUP(C50,'Talente &amp; Stuff'!CL:DM,10,FALSE)</f>
        <v>0</v>
      </c>
      <c r="M50" s="119">
        <f>VLOOKUP(C50,'Talente &amp; Stuff'!CL:DM,11,FALSE)</f>
        <v>0</v>
      </c>
      <c r="N50" s="89">
        <f>VLOOKUP(C50,'Talente &amp; Stuff'!CL:DM,12,FALSE)</f>
        <v>0</v>
      </c>
      <c r="O50" s="47">
        <f>VLOOKUP(C50,'Talente &amp; Stuff'!CL:DM,13,FALSE)</f>
        <v>0</v>
      </c>
      <c r="P50" s="119">
        <f>VLOOKUP(C50,'Talente &amp; Stuff'!CL:DM,14,FALSE)</f>
        <v>0</v>
      </c>
      <c r="Q50" s="114">
        <f>VLOOKUP(C50,'Talente &amp; Stuff'!CL:DM,15,FALSE)</f>
        <v>0</v>
      </c>
      <c r="R50" s="113">
        <f>VLOOKUP(C50,'Talente &amp; Stuff'!CL:DM,16,FALSE)</f>
        <v>0</v>
      </c>
      <c r="S50" s="119">
        <f>VLOOKUP(C50,'Talente &amp; Stuff'!CL:DM,17,FALSE)</f>
        <v>0</v>
      </c>
      <c r="T50" s="160">
        <f>VLOOKUP(C50,'Talente &amp; Stuff'!CL:DM,18,FALSE)</f>
        <v>0</v>
      </c>
      <c r="U50" s="89">
        <f>VLOOKUP(C50,'Talente &amp; Stuff'!CL:DM,19,FALSE)</f>
        <v>0</v>
      </c>
      <c r="V50" s="47">
        <f>VLOOKUP(C50,'Talente &amp; Stuff'!CL:DM,20,FALSE)</f>
        <v>0</v>
      </c>
      <c r="W50" s="127">
        <f>VLOOKUP(C50,'Talente &amp; Stuff'!CL:DM,21,FALSE)</f>
        <v>0</v>
      </c>
      <c r="X50" s="125">
        <f>VLOOKUP(C50,'Talente &amp; Stuff'!CL:DM,22,FALSE)</f>
        <v>0</v>
      </c>
      <c r="Y50" s="165">
        <f t="shared" si="6"/>
        <v>0</v>
      </c>
      <c r="Z50" s="44">
        <f t="shared" si="7"/>
        <v>0</v>
      </c>
      <c r="AA50" s="125">
        <f>VLOOKUP(C50,'Talente &amp; Stuff'!CL:DM,25,FALSE)</f>
        <v>0</v>
      </c>
      <c r="AB50" s="160">
        <f>VLOOKUP(C50,'Talente &amp; Stuff'!CL:DM,26,FALSE)</f>
        <v>0</v>
      </c>
      <c r="AC50" s="127">
        <f>VLOOKUP(C50,'Talente &amp; Stuff'!CL:DM,27,FALSE)</f>
        <v>0</v>
      </c>
      <c r="AD50" s="125">
        <f>VLOOKUP(C50,'Talente &amp; Stuff'!CL:DM,28,FALSE)</f>
        <v>0</v>
      </c>
      <c r="AE50" s="28"/>
    </row>
    <row r="51" spans="2:31" ht="15" hidden="1" customHeight="1" outlineLevel="2">
      <c r="B51" s="148">
        <v>8</v>
      </c>
      <c r="C51" s="177" t="str">
        <f>Attribute!C51</f>
        <v>---</v>
      </c>
      <c r="D51" s="127" t="str">
        <f>VLOOKUP(C51,'Talente &amp; Stuff'!CL:DM,2,FALSE)</f>
        <v>--/--/--</v>
      </c>
      <c r="E51" s="125" t="str">
        <f>VLOOKUP(C51,'Talente &amp; Stuff'!CL:DM,3,FALSE)</f>
        <v>-</v>
      </c>
      <c r="F51" s="114">
        <f>VLOOKUP(C51,'Talente &amp; Stuff'!CL:DM,4,FALSE)</f>
        <v>0</v>
      </c>
      <c r="G51" s="113">
        <f>VLOOKUP(C51,'Talente &amp; Stuff'!CL:DM,5,FALSE)</f>
        <v>0</v>
      </c>
      <c r="H51" s="113">
        <f>VLOOKUP(C51,'Talente &amp; Stuff'!CL:DM,6,FALSE)</f>
        <v>0</v>
      </c>
      <c r="I51" s="113">
        <f>VLOOKUP(C51,'Talente &amp; Stuff'!CL:DM,7,FALSE)</f>
        <v>0</v>
      </c>
      <c r="J51" s="113">
        <f>VLOOKUP(C51,'Talente &amp; Stuff'!CL:DM,8,FALSE)</f>
        <v>0</v>
      </c>
      <c r="K51" s="113">
        <f>VLOOKUP(C51,'Talente &amp; Stuff'!CL:DM,9,FALSE)</f>
        <v>0</v>
      </c>
      <c r="L51" s="113">
        <f>VLOOKUP(C51,'Talente &amp; Stuff'!CL:DM,10,FALSE)</f>
        <v>0</v>
      </c>
      <c r="M51" s="119">
        <f>VLOOKUP(C51,'Talente &amp; Stuff'!CL:DM,11,FALSE)</f>
        <v>0</v>
      </c>
      <c r="N51" s="89">
        <f>VLOOKUP(C51,'Talente &amp; Stuff'!CL:DM,12,FALSE)</f>
        <v>0</v>
      </c>
      <c r="O51" s="47">
        <f>VLOOKUP(C51,'Talente &amp; Stuff'!CL:DM,13,FALSE)</f>
        <v>0</v>
      </c>
      <c r="P51" s="119">
        <f>VLOOKUP(C51,'Talente &amp; Stuff'!CL:DM,14,FALSE)</f>
        <v>0</v>
      </c>
      <c r="Q51" s="114">
        <f>VLOOKUP(C51,'Talente &amp; Stuff'!CL:DM,15,FALSE)</f>
        <v>0</v>
      </c>
      <c r="R51" s="113">
        <f>VLOOKUP(C51,'Talente &amp; Stuff'!CL:DM,16,FALSE)</f>
        <v>0</v>
      </c>
      <c r="S51" s="119">
        <f>VLOOKUP(C51,'Talente &amp; Stuff'!CL:DM,17,FALSE)</f>
        <v>0</v>
      </c>
      <c r="T51" s="160">
        <f>VLOOKUP(C51,'Talente &amp; Stuff'!CL:DM,18,FALSE)</f>
        <v>0</v>
      </c>
      <c r="U51" s="89">
        <f>VLOOKUP(C51,'Talente &amp; Stuff'!CL:DM,19,FALSE)</f>
        <v>0</v>
      </c>
      <c r="V51" s="47">
        <f>VLOOKUP(C51,'Talente &amp; Stuff'!CL:DM,20,FALSE)</f>
        <v>0</v>
      </c>
      <c r="W51" s="127">
        <f>VLOOKUP(C51,'Talente &amp; Stuff'!CL:DM,21,FALSE)</f>
        <v>0</v>
      </c>
      <c r="X51" s="125">
        <f>VLOOKUP(C51,'Talente &amp; Stuff'!CL:DM,22,FALSE)</f>
        <v>0</v>
      </c>
      <c r="Y51" s="165">
        <f t="shared" si="6"/>
        <v>0</v>
      </c>
      <c r="Z51" s="44">
        <f t="shared" si="7"/>
        <v>0</v>
      </c>
      <c r="AA51" s="125">
        <f>VLOOKUP(C51,'Talente &amp; Stuff'!CL:DM,25,FALSE)</f>
        <v>0</v>
      </c>
      <c r="AB51" s="160">
        <f>VLOOKUP(C51,'Talente &amp; Stuff'!CL:DM,26,FALSE)</f>
        <v>0</v>
      </c>
      <c r="AC51" s="127">
        <f>VLOOKUP(C51,'Talente &amp; Stuff'!CL:DM,27,FALSE)</f>
        <v>0</v>
      </c>
      <c r="AD51" s="125">
        <f>VLOOKUP(C51,'Talente &amp; Stuff'!CL:DM,28,FALSE)</f>
        <v>0</v>
      </c>
      <c r="AE51" s="28"/>
    </row>
    <row r="52" spans="2:31" ht="15" hidden="1" customHeight="1" outlineLevel="2">
      <c r="B52" s="148">
        <v>9</v>
      </c>
      <c r="C52" s="177" t="str">
        <f>Attribute!C52</f>
        <v>---</v>
      </c>
      <c r="D52" s="127" t="str">
        <f>VLOOKUP(C52,'Talente &amp; Stuff'!CL:DM,2,FALSE)</f>
        <v>--/--/--</v>
      </c>
      <c r="E52" s="125" t="str">
        <f>VLOOKUP(C52,'Talente &amp; Stuff'!CL:DM,3,FALSE)</f>
        <v>-</v>
      </c>
      <c r="F52" s="114">
        <f>VLOOKUP(C52,'Talente &amp; Stuff'!CL:DM,4,FALSE)</f>
        <v>0</v>
      </c>
      <c r="G52" s="113">
        <f>VLOOKUP(C52,'Talente &amp; Stuff'!CL:DM,5,FALSE)</f>
        <v>0</v>
      </c>
      <c r="H52" s="113">
        <f>VLOOKUP(C52,'Talente &amp; Stuff'!CL:DM,6,FALSE)</f>
        <v>0</v>
      </c>
      <c r="I52" s="113">
        <f>VLOOKUP(C52,'Talente &amp; Stuff'!CL:DM,7,FALSE)</f>
        <v>0</v>
      </c>
      <c r="J52" s="113">
        <f>VLOOKUP(C52,'Talente &amp; Stuff'!CL:DM,8,FALSE)</f>
        <v>0</v>
      </c>
      <c r="K52" s="113">
        <f>VLOOKUP(C52,'Talente &amp; Stuff'!CL:DM,9,FALSE)</f>
        <v>0</v>
      </c>
      <c r="L52" s="113">
        <f>VLOOKUP(C52,'Talente &amp; Stuff'!CL:DM,10,FALSE)</f>
        <v>0</v>
      </c>
      <c r="M52" s="119">
        <f>VLOOKUP(C52,'Talente &amp; Stuff'!CL:DM,11,FALSE)</f>
        <v>0</v>
      </c>
      <c r="N52" s="89">
        <f>VLOOKUP(C52,'Talente &amp; Stuff'!CL:DM,12,FALSE)</f>
        <v>0</v>
      </c>
      <c r="O52" s="47">
        <f>VLOOKUP(C52,'Talente &amp; Stuff'!CL:DM,13,FALSE)</f>
        <v>0</v>
      </c>
      <c r="P52" s="119">
        <f>VLOOKUP(C52,'Talente &amp; Stuff'!CL:DM,14,FALSE)</f>
        <v>0</v>
      </c>
      <c r="Q52" s="114">
        <f>VLOOKUP(C52,'Talente &amp; Stuff'!CL:DM,15,FALSE)</f>
        <v>0</v>
      </c>
      <c r="R52" s="113">
        <f>VLOOKUP(C52,'Talente &amp; Stuff'!CL:DM,16,FALSE)</f>
        <v>0</v>
      </c>
      <c r="S52" s="119">
        <f>VLOOKUP(C52,'Talente &amp; Stuff'!CL:DM,17,FALSE)</f>
        <v>0</v>
      </c>
      <c r="T52" s="160">
        <f>VLOOKUP(C52,'Talente &amp; Stuff'!CL:DM,18,FALSE)</f>
        <v>0</v>
      </c>
      <c r="U52" s="89">
        <f>VLOOKUP(C52,'Talente &amp; Stuff'!CL:DM,19,FALSE)</f>
        <v>0</v>
      </c>
      <c r="V52" s="47">
        <f>VLOOKUP(C52,'Talente &amp; Stuff'!CL:DM,20,FALSE)</f>
        <v>0</v>
      </c>
      <c r="W52" s="127">
        <f>VLOOKUP(C52,'Talente &amp; Stuff'!CL:DM,21,FALSE)</f>
        <v>0</v>
      </c>
      <c r="X52" s="125">
        <f>VLOOKUP(C52,'Talente &amp; Stuff'!CL:DM,22,FALSE)</f>
        <v>0</v>
      </c>
      <c r="Y52" s="165">
        <f t="shared" si="6"/>
        <v>0</v>
      </c>
      <c r="Z52" s="44">
        <f t="shared" si="7"/>
        <v>0</v>
      </c>
      <c r="AA52" s="125">
        <f>VLOOKUP(C52,'Talente &amp; Stuff'!CL:DM,25,FALSE)</f>
        <v>0</v>
      </c>
      <c r="AB52" s="160">
        <f>VLOOKUP(C52,'Talente &amp; Stuff'!CL:DM,26,FALSE)</f>
        <v>0</v>
      </c>
      <c r="AC52" s="127">
        <f>VLOOKUP(C52,'Talente &amp; Stuff'!CL:DM,27,FALSE)</f>
        <v>0</v>
      </c>
      <c r="AD52" s="125">
        <f>VLOOKUP(C52,'Talente &amp; Stuff'!CL:DM,28,FALSE)</f>
        <v>0</v>
      </c>
      <c r="AE52" s="28"/>
    </row>
    <row r="53" spans="2:31" ht="15" hidden="1" customHeight="1" outlineLevel="2">
      <c r="B53" s="148">
        <v>10</v>
      </c>
      <c r="C53" s="177" t="str">
        <f>Attribute!C53</f>
        <v>---</v>
      </c>
      <c r="D53" s="127" t="str">
        <f>VLOOKUP(C53,'Talente &amp; Stuff'!CL:DM,2,FALSE)</f>
        <v>--/--/--</v>
      </c>
      <c r="E53" s="125" t="str">
        <f>VLOOKUP(C53,'Talente &amp; Stuff'!CL:DM,3,FALSE)</f>
        <v>-</v>
      </c>
      <c r="F53" s="114">
        <f>VLOOKUP(C53,'Talente &amp; Stuff'!CL:DM,4,FALSE)</f>
        <v>0</v>
      </c>
      <c r="G53" s="113">
        <f>VLOOKUP(C53,'Talente &amp; Stuff'!CL:DM,5,FALSE)</f>
        <v>0</v>
      </c>
      <c r="H53" s="113">
        <f>VLOOKUP(C53,'Talente &amp; Stuff'!CL:DM,6,FALSE)</f>
        <v>0</v>
      </c>
      <c r="I53" s="113">
        <f>VLOOKUP(C53,'Talente &amp; Stuff'!CL:DM,7,FALSE)</f>
        <v>0</v>
      </c>
      <c r="J53" s="113">
        <f>VLOOKUP(C53,'Talente &amp; Stuff'!CL:DM,8,FALSE)</f>
        <v>0</v>
      </c>
      <c r="K53" s="113">
        <f>VLOOKUP(C53,'Talente &amp; Stuff'!CL:DM,9,FALSE)</f>
        <v>0</v>
      </c>
      <c r="L53" s="113">
        <f>VLOOKUP(C53,'Talente &amp; Stuff'!CL:DM,10,FALSE)</f>
        <v>0</v>
      </c>
      <c r="M53" s="119">
        <f>VLOOKUP(C53,'Talente &amp; Stuff'!CL:DM,11,FALSE)</f>
        <v>0</v>
      </c>
      <c r="N53" s="89">
        <f>VLOOKUP(C53,'Talente &amp; Stuff'!CL:DM,12,FALSE)</f>
        <v>0</v>
      </c>
      <c r="O53" s="47">
        <f>VLOOKUP(C53,'Talente &amp; Stuff'!CL:DM,13,FALSE)</f>
        <v>0</v>
      </c>
      <c r="P53" s="119">
        <f>VLOOKUP(C53,'Talente &amp; Stuff'!CL:DM,14,FALSE)</f>
        <v>0</v>
      </c>
      <c r="Q53" s="114">
        <f>VLOOKUP(C53,'Talente &amp; Stuff'!CL:DM,15,FALSE)</f>
        <v>0</v>
      </c>
      <c r="R53" s="113">
        <f>VLOOKUP(C53,'Talente &amp; Stuff'!CL:DM,16,FALSE)</f>
        <v>0</v>
      </c>
      <c r="S53" s="119">
        <f>VLOOKUP(C53,'Talente &amp; Stuff'!CL:DM,17,FALSE)</f>
        <v>0</v>
      </c>
      <c r="T53" s="160">
        <f>VLOOKUP(C53,'Talente &amp; Stuff'!CL:DM,18,FALSE)</f>
        <v>0</v>
      </c>
      <c r="U53" s="89">
        <f>VLOOKUP(C53,'Talente &amp; Stuff'!CL:DM,19,FALSE)</f>
        <v>0</v>
      </c>
      <c r="V53" s="47">
        <f>VLOOKUP(C53,'Talente &amp; Stuff'!CL:DM,20,FALSE)</f>
        <v>0</v>
      </c>
      <c r="W53" s="127">
        <f>VLOOKUP(C53,'Talente &amp; Stuff'!CL:DM,21,FALSE)</f>
        <v>0</v>
      </c>
      <c r="X53" s="125">
        <f>VLOOKUP(C53,'Talente &amp; Stuff'!CL:DM,22,FALSE)</f>
        <v>0</v>
      </c>
      <c r="Y53" s="165">
        <f t="shared" si="6"/>
        <v>0</v>
      </c>
      <c r="Z53" s="44">
        <f t="shared" si="7"/>
        <v>0</v>
      </c>
      <c r="AA53" s="125">
        <f>VLOOKUP(C53,'Talente &amp; Stuff'!CL:DM,25,FALSE)</f>
        <v>0</v>
      </c>
      <c r="AB53" s="160">
        <f>VLOOKUP(C53,'Talente &amp; Stuff'!CL:DM,26,FALSE)</f>
        <v>0</v>
      </c>
      <c r="AC53" s="127">
        <f>VLOOKUP(C53,'Talente &amp; Stuff'!CL:DM,27,FALSE)</f>
        <v>0</v>
      </c>
      <c r="AD53" s="125">
        <f>VLOOKUP(C53,'Talente &amp; Stuff'!CL:DM,28,FALSE)</f>
        <v>0</v>
      </c>
      <c r="AE53" s="28"/>
    </row>
    <row r="54" spans="2:31" ht="15" hidden="1" customHeight="1" outlineLevel="2">
      <c r="B54" s="148">
        <v>11</v>
      </c>
      <c r="C54" s="177" t="str">
        <f>Attribute!C54</f>
        <v>---</v>
      </c>
      <c r="D54" s="127" t="str">
        <f>VLOOKUP(C54,'Talente &amp; Stuff'!CL:DM,2,FALSE)</f>
        <v>--/--/--</v>
      </c>
      <c r="E54" s="125" t="str">
        <f>VLOOKUP(C54,'Talente &amp; Stuff'!CL:DM,3,FALSE)</f>
        <v>-</v>
      </c>
      <c r="F54" s="114">
        <f>VLOOKUP(C54,'Talente &amp; Stuff'!CL:DM,4,FALSE)</f>
        <v>0</v>
      </c>
      <c r="G54" s="113">
        <f>VLOOKUP(C54,'Talente &amp; Stuff'!CL:DM,5,FALSE)</f>
        <v>0</v>
      </c>
      <c r="H54" s="113">
        <f>VLOOKUP(C54,'Talente &amp; Stuff'!CL:DM,6,FALSE)</f>
        <v>0</v>
      </c>
      <c r="I54" s="113">
        <f>VLOOKUP(C54,'Talente &amp; Stuff'!CL:DM,7,FALSE)</f>
        <v>0</v>
      </c>
      <c r="J54" s="113">
        <f>VLOOKUP(C54,'Talente &amp; Stuff'!CL:DM,8,FALSE)</f>
        <v>0</v>
      </c>
      <c r="K54" s="113">
        <f>VLOOKUP(C54,'Talente &amp; Stuff'!CL:DM,9,FALSE)</f>
        <v>0</v>
      </c>
      <c r="L54" s="113">
        <f>VLOOKUP(C54,'Talente &amp; Stuff'!CL:DM,10,FALSE)</f>
        <v>0</v>
      </c>
      <c r="M54" s="119">
        <f>VLOOKUP(C54,'Talente &amp; Stuff'!CL:DM,11,FALSE)</f>
        <v>0</v>
      </c>
      <c r="N54" s="89">
        <f>VLOOKUP(C54,'Talente &amp; Stuff'!CL:DM,12,FALSE)</f>
        <v>0</v>
      </c>
      <c r="O54" s="47">
        <f>VLOOKUP(C54,'Talente &amp; Stuff'!CL:DM,13,FALSE)</f>
        <v>0</v>
      </c>
      <c r="P54" s="119">
        <f>VLOOKUP(C54,'Talente &amp; Stuff'!CL:DM,14,FALSE)</f>
        <v>0</v>
      </c>
      <c r="Q54" s="114">
        <f>VLOOKUP(C54,'Talente &amp; Stuff'!CL:DM,15,FALSE)</f>
        <v>0</v>
      </c>
      <c r="R54" s="113">
        <f>VLOOKUP(C54,'Talente &amp; Stuff'!CL:DM,16,FALSE)</f>
        <v>0</v>
      </c>
      <c r="S54" s="119">
        <f>VLOOKUP(C54,'Talente &amp; Stuff'!CL:DM,17,FALSE)</f>
        <v>0</v>
      </c>
      <c r="T54" s="160">
        <f>VLOOKUP(C54,'Talente &amp; Stuff'!CL:DM,18,FALSE)</f>
        <v>0</v>
      </c>
      <c r="U54" s="89">
        <f>VLOOKUP(C54,'Talente &amp; Stuff'!CL:DM,19,FALSE)</f>
        <v>0</v>
      </c>
      <c r="V54" s="47">
        <f>VLOOKUP(C54,'Talente &amp; Stuff'!CL:DM,20,FALSE)</f>
        <v>0</v>
      </c>
      <c r="W54" s="127">
        <f>VLOOKUP(C54,'Talente &amp; Stuff'!CL:DM,21,FALSE)</f>
        <v>0</v>
      </c>
      <c r="X54" s="125">
        <f>VLOOKUP(C54,'Talente &amp; Stuff'!CL:DM,22,FALSE)</f>
        <v>0</v>
      </c>
      <c r="Y54" s="165">
        <f t="shared" si="6"/>
        <v>0</v>
      </c>
      <c r="Z54" s="44">
        <f t="shared" si="7"/>
        <v>0</v>
      </c>
      <c r="AA54" s="125">
        <f>VLOOKUP(C54,'Talente &amp; Stuff'!CL:DM,25,FALSE)</f>
        <v>0</v>
      </c>
      <c r="AB54" s="160">
        <f>VLOOKUP(C54,'Talente &amp; Stuff'!CL:DM,26,FALSE)</f>
        <v>0</v>
      </c>
      <c r="AC54" s="127">
        <f>VLOOKUP(C54,'Talente &amp; Stuff'!CL:DM,27,FALSE)</f>
        <v>0</v>
      </c>
      <c r="AD54" s="125">
        <f>VLOOKUP(C54,'Talente &amp; Stuff'!CL:DM,28,FALSE)</f>
        <v>0</v>
      </c>
      <c r="AE54" s="28"/>
    </row>
    <row r="55" spans="2:31" ht="15" hidden="1" customHeight="1" outlineLevel="2">
      <c r="B55" s="148">
        <v>12</v>
      </c>
      <c r="C55" s="178" t="str">
        <f>Attribute!C55</f>
        <v>---</v>
      </c>
      <c r="D55" s="128" t="str">
        <f>VLOOKUP(C55,'Talente &amp; Stuff'!CL:DM,2,FALSE)</f>
        <v>--/--/--</v>
      </c>
      <c r="E55" s="159" t="str">
        <f>VLOOKUP(C55,'Talente &amp; Stuff'!CL:DM,3,FALSE)</f>
        <v>-</v>
      </c>
      <c r="F55" s="115">
        <f>VLOOKUP(C55,'Talente &amp; Stuff'!CL:DM,4,FALSE)</f>
        <v>0</v>
      </c>
      <c r="G55" s="122">
        <f>VLOOKUP(C55,'Talente &amp; Stuff'!CL:DM,5,FALSE)</f>
        <v>0</v>
      </c>
      <c r="H55" s="122">
        <f>VLOOKUP(C55,'Talente &amp; Stuff'!CL:DM,6,FALSE)</f>
        <v>0</v>
      </c>
      <c r="I55" s="122">
        <f>VLOOKUP(C55,'Talente &amp; Stuff'!CL:DM,7,FALSE)</f>
        <v>0</v>
      </c>
      <c r="J55" s="122">
        <f>VLOOKUP(C55,'Talente &amp; Stuff'!CL:DM,8,FALSE)</f>
        <v>0</v>
      </c>
      <c r="K55" s="122">
        <f>VLOOKUP(C55,'Talente &amp; Stuff'!CL:DM,9,FALSE)</f>
        <v>0</v>
      </c>
      <c r="L55" s="122">
        <f>VLOOKUP(C55,'Talente &amp; Stuff'!CL:DM,10,FALSE)</f>
        <v>0</v>
      </c>
      <c r="M55" s="123">
        <f>VLOOKUP(C55,'Talente &amp; Stuff'!CL:DM,11,FALSE)</f>
        <v>0</v>
      </c>
      <c r="N55" s="90">
        <f>VLOOKUP(C55,'Talente &amp; Stuff'!CL:DM,12,FALSE)</f>
        <v>0</v>
      </c>
      <c r="O55" s="88">
        <f>VLOOKUP(C55,'Talente &amp; Stuff'!CL:DM,13,FALSE)</f>
        <v>0</v>
      </c>
      <c r="P55" s="123">
        <f>VLOOKUP(C55,'Talente &amp; Stuff'!CL:DM,14,FALSE)</f>
        <v>0</v>
      </c>
      <c r="Q55" s="115">
        <f>VLOOKUP(C55,'Talente &amp; Stuff'!CL:DM,15,FALSE)</f>
        <v>0</v>
      </c>
      <c r="R55" s="122">
        <f>VLOOKUP(C55,'Talente &amp; Stuff'!CL:DM,16,FALSE)</f>
        <v>0</v>
      </c>
      <c r="S55" s="123">
        <f>VLOOKUP(C55,'Talente &amp; Stuff'!CL:DM,17,FALSE)</f>
        <v>0</v>
      </c>
      <c r="T55" s="161">
        <f>VLOOKUP(C55,'Talente &amp; Stuff'!CL:DM,18,FALSE)</f>
        <v>0</v>
      </c>
      <c r="U55" s="90">
        <f>VLOOKUP(C55,'Talente &amp; Stuff'!CL:DM,19,FALSE)</f>
        <v>0</v>
      </c>
      <c r="V55" s="88">
        <f>VLOOKUP(C55,'Talente &amp; Stuff'!CL:DM,20,FALSE)</f>
        <v>0</v>
      </c>
      <c r="W55" s="128">
        <f>VLOOKUP(C55,'Talente &amp; Stuff'!CL:DM,21,FALSE)</f>
        <v>0</v>
      </c>
      <c r="X55" s="159">
        <f>VLOOKUP(C55,'Talente &amp; Stuff'!CL:DM,22,FALSE)</f>
        <v>0</v>
      </c>
      <c r="Y55" s="165">
        <f t="shared" si="6"/>
        <v>0</v>
      </c>
      <c r="Z55" s="44">
        <f t="shared" si="7"/>
        <v>0</v>
      </c>
      <c r="AA55" s="159">
        <f>VLOOKUP(C55,'Talente &amp; Stuff'!CL:DM,25,FALSE)</f>
        <v>0</v>
      </c>
      <c r="AB55" s="161">
        <f>VLOOKUP(C55,'Talente &amp; Stuff'!CL:DM,26,FALSE)</f>
        <v>0</v>
      </c>
      <c r="AC55" s="128">
        <f>VLOOKUP(C55,'Talente &amp; Stuff'!CL:DM,27,FALSE)</f>
        <v>0</v>
      </c>
      <c r="AD55" s="159">
        <f>VLOOKUP(C55,'Talente &amp; Stuff'!CL:DM,28,FALSE)</f>
        <v>0</v>
      </c>
      <c r="AE55" s="28"/>
    </row>
    <row r="56" spans="2:31" ht="15" hidden="1" customHeight="1" outlineLevel="1" collapsed="1">
      <c r="B56" s="134" t="s">
        <v>71</v>
      </c>
      <c r="C56" s="83"/>
      <c r="D56" s="84"/>
      <c r="E56" s="84"/>
      <c r="F56" s="30"/>
      <c r="G56" s="30"/>
      <c r="H56" s="30"/>
      <c r="I56" s="30"/>
      <c r="J56" s="30"/>
      <c r="K56" s="30"/>
      <c r="L56" s="30"/>
      <c r="M56" s="30"/>
      <c r="N56" s="31"/>
      <c r="O56" s="31"/>
      <c r="P56" s="30"/>
      <c r="Q56" s="30"/>
      <c r="R56" s="30"/>
      <c r="S56" s="30"/>
      <c r="T56" s="30"/>
      <c r="U56" s="31"/>
      <c r="V56" s="31"/>
      <c r="W56" s="31"/>
      <c r="X56" s="31"/>
      <c r="Y56" s="65"/>
    </row>
    <row r="57" spans="2:31" ht="15" hidden="1" customHeight="1" outlineLevel="2">
      <c r="B57" s="148">
        <v>1</v>
      </c>
      <c r="C57" s="176" t="str">
        <f>Attribute!C57</f>
        <v>---</v>
      </c>
      <c r="D57" s="126" t="str">
        <f>VLOOKUP(C57,'Talente &amp; Stuff'!CL:DM,2,FALSE)</f>
        <v>--/--/--</v>
      </c>
      <c r="E57" s="158" t="str">
        <f>VLOOKUP(C57,'Talente &amp; Stuff'!CL:DM,3,FALSE)</f>
        <v>-</v>
      </c>
      <c r="F57" s="191">
        <f>VLOOKUP(C57,'Talente &amp; Stuff'!CL:DM,4,FALSE)</f>
        <v>0</v>
      </c>
      <c r="G57" s="118">
        <f>VLOOKUP(C57,'Talente &amp; Stuff'!CL:DM,5,FALSE)</f>
        <v>0</v>
      </c>
      <c r="H57" s="118">
        <f>VLOOKUP(C57,'Talente &amp; Stuff'!CL:DM,6,FALSE)</f>
        <v>0</v>
      </c>
      <c r="I57" s="118">
        <f>VLOOKUP(C57,'Talente &amp; Stuff'!CL:DM,7,FALSE)</f>
        <v>0</v>
      </c>
      <c r="J57" s="118">
        <f>VLOOKUP(C57,'Talente &amp; Stuff'!CL:DM,8,FALSE)</f>
        <v>0</v>
      </c>
      <c r="K57" s="118">
        <f>VLOOKUP(C57,'Talente &amp; Stuff'!CL:DM,9,FALSE)</f>
        <v>0</v>
      </c>
      <c r="L57" s="118">
        <f>VLOOKUP(C57,'Talente &amp; Stuff'!CL:DM,10,FALSE)</f>
        <v>0</v>
      </c>
      <c r="M57" s="92">
        <f>VLOOKUP(C57,'Talente &amp; Stuff'!CL:DM,11,FALSE)</f>
        <v>0</v>
      </c>
      <c r="N57" s="193">
        <f>VLOOKUP(C57,'Talente &amp; Stuff'!CL:DM,12,FALSE)</f>
        <v>0</v>
      </c>
      <c r="O57" s="116">
        <f>VLOOKUP(C57,'Talente &amp; Stuff'!CL:DM,13,FALSE)</f>
        <v>0</v>
      </c>
      <c r="P57" s="92">
        <f>VLOOKUP(C57,'Talente &amp; Stuff'!CL:DM,14,FALSE)</f>
        <v>0</v>
      </c>
      <c r="Q57" s="191">
        <f>VLOOKUP(C57,'Talente &amp; Stuff'!CL:DM,15,FALSE)</f>
        <v>0</v>
      </c>
      <c r="R57" s="118">
        <f>VLOOKUP(C57,'Talente &amp; Stuff'!CL:DM,16,FALSE)</f>
        <v>0</v>
      </c>
      <c r="S57" s="92">
        <f>VLOOKUP(C57,'Talente &amp; Stuff'!CL:DM,17,FALSE)</f>
        <v>0</v>
      </c>
      <c r="T57" s="91">
        <f>VLOOKUP(C57,'Talente &amp; Stuff'!CL:DM,18,FALSE)</f>
        <v>0</v>
      </c>
      <c r="U57" s="193">
        <f>VLOOKUP(C57,'Talente &amp; Stuff'!CL:DM,19,FALSE)</f>
        <v>0</v>
      </c>
      <c r="V57" s="116">
        <f>VLOOKUP(C57,'Talente &amp; Stuff'!CL:DM,20,FALSE)</f>
        <v>0</v>
      </c>
      <c r="W57" s="126">
        <f>VLOOKUP(C57,'Talente &amp; Stuff'!CL:DM,21,FALSE)</f>
        <v>0</v>
      </c>
      <c r="X57" s="158">
        <f>VLOOKUP(C57,'Talente &amp; Stuff'!CL:DM,22,FALSE)</f>
        <v>0</v>
      </c>
      <c r="Y57" s="165">
        <f t="shared" ref="Y57:Y73" si="8">VLOOKUP(C57,Ausgewählte_Talente_Handwerkstalente,110,FALSE)</f>
        <v>0</v>
      </c>
      <c r="Z57" s="44">
        <f t="shared" ref="Z57:Z73" si="9">VLOOKUP(C57,Ausgewählte_Talente_Handwerkstalente,111,FALSE)</f>
        <v>0</v>
      </c>
      <c r="AA57" s="158">
        <f>VLOOKUP(C57,'Talente &amp; Stuff'!CL:DM,25,FALSE)</f>
        <v>0</v>
      </c>
      <c r="AB57" s="91">
        <f>VLOOKUP(C57,'Talente &amp; Stuff'!CL:DM,26,FALSE)</f>
        <v>0</v>
      </c>
      <c r="AC57" s="126">
        <f>VLOOKUP(C57,'Talente &amp; Stuff'!CL:DM,27,FALSE)</f>
        <v>0</v>
      </c>
      <c r="AD57" s="158">
        <f>VLOOKUP(C57,'Talente &amp; Stuff'!CL:DM,28,FALSE)</f>
        <v>0</v>
      </c>
      <c r="AE57" s="28"/>
    </row>
    <row r="58" spans="2:31" ht="15" hidden="1" customHeight="1" outlineLevel="2">
      <c r="B58" s="148">
        <v>2</v>
      </c>
      <c r="C58" s="177" t="str">
        <f>Attribute!C58</f>
        <v>---</v>
      </c>
      <c r="D58" s="127" t="str">
        <f>VLOOKUP(C58,'Talente &amp; Stuff'!CL:DM,2,FALSE)</f>
        <v>--/--/--</v>
      </c>
      <c r="E58" s="125" t="str">
        <f>VLOOKUP(C58,'Talente &amp; Stuff'!CL:DM,3,FALSE)</f>
        <v>-</v>
      </c>
      <c r="F58" s="114">
        <f>VLOOKUP(C58,'Talente &amp; Stuff'!CL:DM,4,FALSE)</f>
        <v>0</v>
      </c>
      <c r="G58" s="113">
        <f>VLOOKUP(C58,'Talente &amp; Stuff'!CL:DM,5,FALSE)</f>
        <v>0</v>
      </c>
      <c r="H58" s="113">
        <f>VLOOKUP(C58,'Talente &amp; Stuff'!CL:DM,6,FALSE)</f>
        <v>0</v>
      </c>
      <c r="I58" s="113">
        <f>VLOOKUP(C58,'Talente &amp; Stuff'!CL:DM,7,FALSE)</f>
        <v>0</v>
      </c>
      <c r="J58" s="113">
        <f>VLOOKUP(C58,'Talente &amp; Stuff'!CL:DM,8,FALSE)</f>
        <v>0</v>
      </c>
      <c r="K58" s="113">
        <f>VLOOKUP(C58,'Talente &amp; Stuff'!CL:DM,9,FALSE)</f>
        <v>0</v>
      </c>
      <c r="L58" s="113">
        <f>VLOOKUP(C58,'Talente &amp; Stuff'!CL:DM,10,FALSE)</f>
        <v>0</v>
      </c>
      <c r="M58" s="119">
        <f>VLOOKUP(C58,'Talente &amp; Stuff'!CL:DM,11,FALSE)</f>
        <v>0</v>
      </c>
      <c r="N58" s="89">
        <f>VLOOKUP(C58,'Talente &amp; Stuff'!CL:DM,12,FALSE)</f>
        <v>0</v>
      </c>
      <c r="O58" s="47">
        <f>VLOOKUP(C58,'Talente &amp; Stuff'!CL:DM,13,FALSE)</f>
        <v>0</v>
      </c>
      <c r="P58" s="119">
        <f>VLOOKUP(C58,'Talente &amp; Stuff'!CL:DM,14,FALSE)</f>
        <v>0</v>
      </c>
      <c r="Q58" s="114">
        <f>VLOOKUP(C58,'Talente &amp; Stuff'!CL:DM,15,FALSE)</f>
        <v>0</v>
      </c>
      <c r="R58" s="113">
        <f>VLOOKUP(C58,'Talente &amp; Stuff'!CL:DM,16,FALSE)</f>
        <v>0</v>
      </c>
      <c r="S58" s="119">
        <f>VLOOKUP(C58,'Talente &amp; Stuff'!CL:DM,17,FALSE)</f>
        <v>0</v>
      </c>
      <c r="T58" s="160">
        <f>VLOOKUP(C58,'Talente &amp; Stuff'!CL:DM,18,FALSE)</f>
        <v>0</v>
      </c>
      <c r="U58" s="89">
        <f>VLOOKUP(C58,'Talente &amp; Stuff'!CL:DM,19,FALSE)</f>
        <v>0</v>
      </c>
      <c r="V58" s="47">
        <f>VLOOKUP(C58,'Talente &amp; Stuff'!CL:DM,20,FALSE)</f>
        <v>0</v>
      </c>
      <c r="W58" s="127">
        <f>VLOOKUP(C58,'Talente &amp; Stuff'!CL:DM,21,FALSE)</f>
        <v>0</v>
      </c>
      <c r="X58" s="125">
        <f>VLOOKUP(C58,'Talente &amp; Stuff'!CL:DM,22,FALSE)</f>
        <v>0</v>
      </c>
      <c r="Y58" s="165">
        <f t="shared" si="8"/>
        <v>0</v>
      </c>
      <c r="Z58" s="44">
        <f t="shared" si="9"/>
        <v>0</v>
      </c>
      <c r="AA58" s="125">
        <f>VLOOKUP(C58,'Talente &amp; Stuff'!CL:DM,25,FALSE)</f>
        <v>0</v>
      </c>
      <c r="AB58" s="160">
        <f>VLOOKUP(C58,'Talente &amp; Stuff'!CL:DM,26,FALSE)</f>
        <v>0</v>
      </c>
      <c r="AC58" s="127">
        <f>VLOOKUP(C58,'Talente &amp; Stuff'!CL:DM,27,FALSE)</f>
        <v>0</v>
      </c>
      <c r="AD58" s="125">
        <f>VLOOKUP(C58,'Talente &amp; Stuff'!CL:DM,28,FALSE)</f>
        <v>0</v>
      </c>
      <c r="AE58" s="28"/>
    </row>
    <row r="59" spans="2:31" ht="15" hidden="1" customHeight="1" outlineLevel="2">
      <c r="B59" s="148">
        <v>3</v>
      </c>
      <c r="C59" s="177" t="str">
        <f>Attribute!C59</f>
        <v>---</v>
      </c>
      <c r="D59" s="127" t="str">
        <f>VLOOKUP(C59,'Talente &amp; Stuff'!CL:DM,2,FALSE)</f>
        <v>--/--/--</v>
      </c>
      <c r="E59" s="125" t="str">
        <f>VLOOKUP(C59,'Talente &amp; Stuff'!CL:DM,3,FALSE)</f>
        <v>-</v>
      </c>
      <c r="F59" s="114">
        <f>VLOOKUP(C59,'Talente &amp; Stuff'!CL:DM,4,FALSE)</f>
        <v>0</v>
      </c>
      <c r="G59" s="113">
        <f>VLOOKUP(C59,'Talente &amp; Stuff'!CL:DM,5,FALSE)</f>
        <v>0</v>
      </c>
      <c r="H59" s="113">
        <f>VLOOKUP(C59,'Talente &amp; Stuff'!CL:DM,6,FALSE)</f>
        <v>0</v>
      </c>
      <c r="I59" s="113">
        <f>VLOOKUP(C59,'Talente &amp; Stuff'!CL:DM,7,FALSE)</f>
        <v>0</v>
      </c>
      <c r="J59" s="113">
        <f>VLOOKUP(C59,'Talente &amp; Stuff'!CL:DM,8,FALSE)</f>
        <v>0</v>
      </c>
      <c r="K59" s="113">
        <f>VLOOKUP(C59,'Talente &amp; Stuff'!CL:DM,9,FALSE)</f>
        <v>0</v>
      </c>
      <c r="L59" s="113">
        <f>VLOOKUP(C59,'Talente &amp; Stuff'!CL:DM,10,FALSE)</f>
        <v>0</v>
      </c>
      <c r="M59" s="119">
        <f>VLOOKUP(C59,'Talente &amp; Stuff'!CL:DM,11,FALSE)</f>
        <v>0</v>
      </c>
      <c r="N59" s="89">
        <f>VLOOKUP(C59,'Talente &amp; Stuff'!CL:DM,12,FALSE)</f>
        <v>0</v>
      </c>
      <c r="O59" s="47">
        <f>VLOOKUP(C59,'Talente &amp; Stuff'!CL:DM,13,FALSE)</f>
        <v>0</v>
      </c>
      <c r="P59" s="119">
        <f>VLOOKUP(C59,'Talente &amp; Stuff'!CL:DM,14,FALSE)</f>
        <v>0</v>
      </c>
      <c r="Q59" s="114">
        <f>VLOOKUP(C59,'Talente &amp; Stuff'!CL:DM,15,FALSE)</f>
        <v>0</v>
      </c>
      <c r="R59" s="113">
        <f>VLOOKUP(C59,'Talente &amp; Stuff'!CL:DM,16,FALSE)</f>
        <v>0</v>
      </c>
      <c r="S59" s="119">
        <f>VLOOKUP(C59,'Talente &amp; Stuff'!CL:DM,17,FALSE)</f>
        <v>0</v>
      </c>
      <c r="T59" s="160">
        <f>VLOOKUP(C59,'Talente &amp; Stuff'!CL:DM,18,FALSE)</f>
        <v>0</v>
      </c>
      <c r="U59" s="89">
        <f>VLOOKUP(C59,'Talente &amp; Stuff'!CL:DM,19,FALSE)</f>
        <v>0</v>
      </c>
      <c r="V59" s="47">
        <f>VLOOKUP(C59,'Talente &amp; Stuff'!CL:DM,20,FALSE)</f>
        <v>0</v>
      </c>
      <c r="W59" s="127">
        <f>VLOOKUP(C59,'Talente &amp; Stuff'!CL:DM,21,FALSE)</f>
        <v>0</v>
      </c>
      <c r="X59" s="125">
        <f>VLOOKUP(C59,'Talente &amp; Stuff'!CL:DM,22,FALSE)</f>
        <v>0</v>
      </c>
      <c r="Y59" s="165">
        <f t="shared" si="8"/>
        <v>0</v>
      </c>
      <c r="Z59" s="44">
        <f t="shared" si="9"/>
        <v>0</v>
      </c>
      <c r="AA59" s="125">
        <f>VLOOKUP(C59,'Talente &amp; Stuff'!CL:DM,25,FALSE)</f>
        <v>0</v>
      </c>
      <c r="AB59" s="160">
        <f>VLOOKUP(C59,'Talente &amp; Stuff'!CL:DM,26,FALSE)</f>
        <v>0</v>
      </c>
      <c r="AC59" s="127">
        <f>VLOOKUP(C59,'Talente &amp; Stuff'!CL:DM,27,FALSE)</f>
        <v>0</v>
      </c>
      <c r="AD59" s="125">
        <f>VLOOKUP(C59,'Talente &amp; Stuff'!CL:DM,28,FALSE)</f>
        <v>0</v>
      </c>
      <c r="AE59" s="28"/>
    </row>
    <row r="60" spans="2:31" ht="15" hidden="1" customHeight="1" outlineLevel="2">
      <c r="B60" s="148">
        <v>4</v>
      </c>
      <c r="C60" s="177" t="str">
        <f>Attribute!C60</f>
        <v>---</v>
      </c>
      <c r="D60" s="127" t="str">
        <f>VLOOKUP(C60,'Talente &amp; Stuff'!CL:DM,2,FALSE)</f>
        <v>--/--/--</v>
      </c>
      <c r="E60" s="125" t="str">
        <f>VLOOKUP(C60,'Talente &amp; Stuff'!CL:DM,3,FALSE)</f>
        <v>-</v>
      </c>
      <c r="F60" s="114">
        <f>VLOOKUP(C60,'Talente &amp; Stuff'!CL:DM,4,FALSE)</f>
        <v>0</v>
      </c>
      <c r="G60" s="113">
        <f>VLOOKUP(C60,'Talente &amp; Stuff'!CL:DM,5,FALSE)</f>
        <v>0</v>
      </c>
      <c r="H60" s="113">
        <f>VLOOKUP(C60,'Talente &amp; Stuff'!CL:DM,6,FALSE)</f>
        <v>0</v>
      </c>
      <c r="I60" s="113">
        <f>VLOOKUP(C60,'Talente &amp; Stuff'!CL:DM,7,FALSE)</f>
        <v>0</v>
      </c>
      <c r="J60" s="113">
        <f>VLOOKUP(C60,'Talente &amp; Stuff'!CL:DM,8,FALSE)</f>
        <v>0</v>
      </c>
      <c r="K60" s="113">
        <f>VLOOKUP(C60,'Talente &amp; Stuff'!CL:DM,9,FALSE)</f>
        <v>0</v>
      </c>
      <c r="L60" s="113">
        <f>VLOOKUP(C60,'Talente &amp; Stuff'!CL:DM,10,FALSE)</f>
        <v>0</v>
      </c>
      <c r="M60" s="119">
        <f>VLOOKUP(C60,'Talente &amp; Stuff'!CL:DM,11,FALSE)</f>
        <v>0</v>
      </c>
      <c r="N60" s="89">
        <f>VLOOKUP(C60,'Talente &amp; Stuff'!CL:DM,12,FALSE)</f>
        <v>0</v>
      </c>
      <c r="O60" s="47">
        <f>VLOOKUP(C60,'Talente &amp; Stuff'!CL:DM,13,FALSE)</f>
        <v>0</v>
      </c>
      <c r="P60" s="119">
        <f>VLOOKUP(C60,'Talente &amp; Stuff'!CL:DM,14,FALSE)</f>
        <v>0</v>
      </c>
      <c r="Q60" s="114">
        <f>VLOOKUP(C60,'Talente &amp; Stuff'!CL:DM,15,FALSE)</f>
        <v>0</v>
      </c>
      <c r="R60" s="113">
        <f>VLOOKUP(C60,'Talente &amp; Stuff'!CL:DM,16,FALSE)</f>
        <v>0</v>
      </c>
      <c r="S60" s="119">
        <f>VLOOKUP(C60,'Talente &amp; Stuff'!CL:DM,17,FALSE)</f>
        <v>0</v>
      </c>
      <c r="T60" s="160">
        <f>VLOOKUP(C60,'Talente &amp; Stuff'!CL:DM,18,FALSE)</f>
        <v>0</v>
      </c>
      <c r="U60" s="89">
        <f>VLOOKUP(C60,'Talente &amp; Stuff'!CL:DM,19,FALSE)</f>
        <v>0</v>
      </c>
      <c r="V60" s="47">
        <f>VLOOKUP(C60,'Talente &amp; Stuff'!CL:DM,20,FALSE)</f>
        <v>0</v>
      </c>
      <c r="W60" s="127">
        <f>VLOOKUP(C60,'Talente &amp; Stuff'!CL:DM,21,FALSE)</f>
        <v>0</v>
      </c>
      <c r="X60" s="125">
        <f>VLOOKUP(C60,'Talente &amp; Stuff'!CL:DM,22,FALSE)</f>
        <v>0</v>
      </c>
      <c r="Y60" s="165">
        <f t="shared" si="8"/>
        <v>0</v>
      </c>
      <c r="Z60" s="44">
        <f t="shared" si="9"/>
        <v>0</v>
      </c>
      <c r="AA60" s="125">
        <f>VLOOKUP(C60,'Talente &amp; Stuff'!CL:DM,25,FALSE)</f>
        <v>0</v>
      </c>
      <c r="AB60" s="160">
        <f>VLOOKUP(C60,'Talente &amp; Stuff'!CL:DM,26,FALSE)</f>
        <v>0</v>
      </c>
      <c r="AC60" s="127">
        <f>VLOOKUP(C60,'Talente &amp; Stuff'!CL:DM,27,FALSE)</f>
        <v>0</v>
      </c>
      <c r="AD60" s="125">
        <f>VLOOKUP(C60,'Talente &amp; Stuff'!CL:DM,28,FALSE)</f>
        <v>0</v>
      </c>
      <c r="AE60" s="28"/>
    </row>
    <row r="61" spans="2:31" ht="15" hidden="1" customHeight="1" outlineLevel="2">
      <c r="B61" s="148">
        <v>5</v>
      </c>
      <c r="C61" s="177" t="str">
        <f>Attribute!C61</f>
        <v>---</v>
      </c>
      <c r="D61" s="127" t="str">
        <f>VLOOKUP(C61,'Talente &amp; Stuff'!CL:DM,2,FALSE)</f>
        <v>--/--/--</v>
      </c>
      <c r="E61" s="125" t="str">
        <f>VLOOKUP(C61,'Talente &amp; Stuff'!CL:DM,3,FALSE)</f>
        <v>-</v>
      </c>
      <c r="F61" s="114">
        <f>VLOOKUP(C61,'Talente &amp; Stuff'!CL:DM,4,FALSE)</f>
        <v>0</v>
      </c>
      <c r="G61" s="113">
        <f>VLOOKUP(C61,'Talente &amp; Stuff'!CL:DM,5,FALSE)</f>
        <v>0</v>
      </c>
      <c r="H61" s="113">
        <f>VLOOKUP(C61,'Talente &amp; Stuff'!CL:DM,6,FALSE)</f>
        <v>0</v>
      </c>
      <c r="I61" s="113">
        <f>VLOOKUP(C61,'Talente &amp; Stuff'!CL:DM,7,FALSE)</f>
        <v>0</v>
      </c>
      <c r="J61" s="113">
        <f>VLOOKUP(C61,'Talente &amp; Stuff'!CL:DM,8,FALSE)</f>
        <v>0</v>
      </c>
      <c r="K61" s="113">
        <f>VLOOKUP(C61,'Talente &amp; Stuff'!CL:DM,9,FALSE)</f>
        <v>0</v>
      </c>
      <c r="L61" s="113">
        <f>VLOOKUP(C61,'Talente &amp; Stuff'!CL:DM,10,FALSE)</f>
        <v>0</v>
      </c>
      <c r="M61" s="119">
        <f>VLOOKUP(C61,'Talente &amp; Stuff'!CL:DM,11,FALSE)</f>
        <v>0</v>
      </c>
      <c r="N61" s="89">
        <f>VLOOKUP(C61,'Talente &amp; Stuff'!CL:DM,12,FALSE)</f>
        <v>0</v>
      </c>
      <c r="O61" s="47">
        <f>VLOOKUP(C61,'Talente &amp; Stuff'!CL:DM,13,FALSE)</f>
        <v>0</v>
      </c>
      <c r="P61" s="119">
        <f>VLOOKUP(C61,'Talente &amp; Stuff'!CL:DM,14,FALSE)</f>
        <v>0</v>
      </c>
      <c r="Q61" s="114">
        <f>VLOOKUP(C61,'Talente &amp; Stuff'!CL:DM,15,FALSE)</f>
        <v>0</v>
      </c>
      <c r="R61" s="113">
        <f>VLOOKUP(C61,'Talente &amp; Stuff'!CL:DM,16,FALSE)</f>
        <v>0</v>
      </c>
      <c r="S61" s="119">
        <f>VLOOKUP(C61,'Talente &amp; Stuff'!CL:DM,17,FALSE)</f>
        <v>0</v>
      </c>
      <c r="T61" s="160">
        <f>VLOOKUP(C61,'Talente &amp; Stuff'!CL:DM,18,FALSE)</f>
        <v>0</v>
      </c>
      <c r="U61" s="89">
        <f>VLOOKUP(C61,'Talente &amp; Stuff'!CL:DM,19,FALSE)</f>
        <v>0</v>
      </c>
      <c r="V61" s="47">
        <f>VLOOKUP(C61,'Talente &amp; Stuff'!CL:DM,20,FALSE)</f>
        <v>0</v>
      </c>
      <c r="W61" s="127">
        <f>VLOOKUP(C61,'Talente &amp; Stuff'!CL:DM,21,FALSE)</f>
        <v>0</v>
      </c>
      <c r="X61" s="125">
        <f>VLOOKUP(C61,'Talente &amp; Stuff'!CL:DM,22,FALSE)</f>
        <v>0</v>
      </c>
      <c r="Y61" s="165">
        <f t="shared" si="8"/>
        <v>0</v>
      </c>
      <c r="Z61" s="44">
        <f t="shared" si="9"/>
        <v>0</v>
      </c>
      <c r="AA61" s="125">
        <f>VLOOKUP(C61,'Talente &amp; Stuff'!CL:DM,25,FALSE)</f>
        <v>0</v>
      </c>
      <c r="AB61" s="160">
        <f>VLOOKUP(C61,'Talente &amp; Stuff'!CL:DM,26,FALSE)</f>
        <v>0</v>
      </c>
      <c r="AC61" s="127">
        <f>VLOOKUP(C61,'Talente &amp; Stuff'!CL:DM,27,FALSE)</f>
        <v>0</v>
      </c>
      <c r="AD61" s="125">
        <f>VLOOKUP(C61,'Talente &amp; Stuff'!CL:DM,28,FALSE)</f>
        <v>0</v>
      </c>
      <c r="AE61" s="28"/>
    </row>
    <row r="62" spans="2:31" ht="15" hidden="1" customHeight="1" outlineLevel="2">
      <c r="B62" s="148">
        <v>6</v>
      </c>
      <c r="C62" s="177" t="str">
        <f>Attribute!C62</f>
        <v>---</v>
      </c>
      <c r="D62" s="127" t="str">
        <f>VLOOKUP(C62,'Talente &amp; Stuff'!CL:DM,2,FALSE)</f>
        <v>--/--/--</v>
      </c>
      <c r="E62" s="125" t="str">
        <f>VLOOKUP(C62,'Talente &amp; Stuff'!CL:DM,3,FALSE)</f>
        <v>-</v>
      </c>
      <c r="F62" s="114">
        <f>VLOOKUP(C62,'Talente &amp; Stuff'!CL:DM,4,FALSE)</f>
        <v>0</v>
      </c>
      <c r="G62" s="113">
        <f>VLOOKUP(C62,'Talente &amp; Stuff'!CL:DM,5,FALSE)</f>
        <v>0</v>
      </c>
      <c r="H62" s="113">
        <f>VLOOKUP(C62,'Talente &amp; Stuff'!CL:DM,6,FALSE)</f>
        <v>0</v>
      </c>
      <c r="I62" s="113">
        <f>VLOOKUP(C62,'Talente &amp; Stuff'!CL:DM,7,FALSE)</f>
        <v>0</v>
      </c>
      <c r="J62" s="113">
        <f>VLOOKUP(C62,'Talente &amp; Stuff'!CL:DM,8,FALSE)</f>
        <v>0</v>
      </c>
      <c r="K62" s="113">
        <f>VLOOKUP(C62,'Talente &amp; Stuff'!CL:DM,9,FALSE)</f>
        <v>0</v>
      </c>
      <c r="L62" s="113">
        <f>VLOOKUP(C62,'Talente &amp; Stuff'!CL:DM,10,FALSE)</f>
        <v>0</v>
      </c>
      <c r="M62" s="119">
        <f>VLOOKUP(C62,'Talente &amp; Stuff'!CL:DM,11,FALSE)</f>
        <v>0</v>
      </c>
      <c r="N62" s="89">
        <f>VLOOKUP(C62,'Talente &amp; Stuff'!CL:DM,12,FALSE)</f>
        <v>0</v>
      </c>
      <c r="O62" s="47">
        <f>VLOOKUP(C62,'Talente &amp; Stuff'!CL:DM,13,FALSE)</f>
        <v>0</v>
      </c>
      <c r="P62" s="119">
        <f>VLOOKUP(C62,'Talente &amp; Stuff'!CL:DM,14,FALSE)</f>
        <v>0</v>
      </c>
      <c r="Q62" s="114">
        <f>VLOOKUP(C62,'Talente &amp; Stuff'!CL:DM,15,FALSE)</f>
        <v>0</v>
      </c>
      <c r="R62" s="113">
        <f>VLOOKUP(C62,'Talente &amp; Stuff'!CL:DM,16,FALSE)</f>
        <v>0</v>
      </c>
      <c r="S62" s="119">
        <f>VLOOKUP(C62,'Talente &amp; Stuff'!CL:DM,17,FALSE)</f>
        <v>0</v>
      </c>
      <c r="T62" s="160">
        <f>VLOOKUP(C62,'Talente &amp; Stuff'!CL:DM,18,FALSE)</f>
        <v>0</v>
      </c>
      <c r="U62" s="89">
        <f>VLOOKUP(C62,'Talente &amp; Stuff'!CL:DM,19,FALSE)</f>
        <v>0</v>
      </c>
      <c r="V62" s="47">
        <f>VLOOKUP(C62,'Talente &amp; Stuff'!CL:DM,20,FALSE)</f>
        <v>0</v>
      </c>
      <c r="W62" s="127">
        <f>VLOOKUP(C62,'Talente &amp; Stuff'!CL:DM,21,FALSE)</f>
        <v>0</v>
      </c>
      <c r="X62" s="125">
        <f>VLOOKUP(C62,'Talente &amp; Stuff'!CL:DM,22,FALSE)</f>
        <v>0</v>
      </c>
      <c r="Y62" s="165">
        <f t="shared" si="8"/>
        <v>0</v>
      </c>
      <c r="Z62" s="44">
        <f t="shared" si="9"/>
        <v>0</v>
      </c>
      <c r="AA62" s="125">
        <f>VLOOKUP(C62,'Talente &amp; Stuff'!CL:DM,25,FALSE)</f>
        <v>0</v>
      </c>
      <c r="AB62" s="160">
        <f>VLOOKUP(C62,'Talente &amp; Stuff'!CL:DM,26,FALSE)</f>
        <v>0</v>
      </c>
      <c r="AC62" s="127">
        <f>VLOOKUP(C62,'Talente &amp; Stuff'!CL:DM,27,FALSE)</f>
        <v>0</v>
      </c>
      <c r="AD62" s="125">
        <f>VLOOKUP(C62,'Talente &amp; Stuff'!CL:DM,28,FALSE)</f>
        <v>0</v>
      </c>
      <c r="AE62" s="28"/>
    </row>
    <row r="63" spans="2:31" ht="15" hidden="1" customHeight="1" outlineLevel="2">
      <c r="B63" s="148">
        <v>7</v>
      </c>
      <c r="C63" s="177" t="str">
        <f>Attribute!C63</f>
        <v>---</v>
      </c>
      <c r="D63" s="127" t="str">
        <f>VLOOKUP(C63,'Talente &amp; Stuff'!CL:DM,2,FALSE)</f>
        <v>--/--/--</v>
      </c>
      <c r="E63" s="125" t="str">
        <f>VLOOKUP(C63,'Talente &amp; Stuff'!CL:DM,3,FALSE)</f>
        <v>-</v>
      </c>
      <c r="F63" s="114">
        <f>VLOOKUP(C63,'Talente &amp; Stuff'!CL:DM,4,FALSE)</f>
        <v>0</v>
      </c>
      <c r="G63" s="113">
        <f>VLOOKUP(C63,'Talente &amp; Stuff'!CL:DM,5,FALSE)</f>
        <v>0</v>
      </c>
      <c r="H63" s="113">
        <f>VLOOKUP(C63,'Talente &amp; Stuff'!CL:DM,6,FALSE)</f>
        <v>0</v>
      </c>
      <c r="I63" s="113">
        <f>VLOOKUP(C63,'Talente &amp; Stuff'!CL:DM,7,FALSE)</f>
        <v>0</v>
      </c>
      <c r="J63" s="113">
        <f>VLOOKUP(C63,'Talente &amp; Stuff'!CL:DM,8,FALSE)</f>
        <v>0</v>
      </c>
      <c r="K63" s="113">
        <f>VLOOKUP(C63,'Talente &amp; Stuff'!CL:DM,9,FALSE)</f>
        <v>0</v>
      </c>
      <c r="L63" s="113">
        <f>VLOOKUP(C63,'Talente &amp; Stuff'!CL:DM,10,FALSE)</f>
        <v>0</v>
      </c>
      <c r="M63" s="119">
        <f>VLOOKUP(C63,'Talente &amp; Stuff'!CL:DM,11,FALSE)</f>
        <v>0</v>
      </c>
      <c r="N63" s="89">
        <f>VLOOKUP(C63,'Talente &amp; Stuff'!CL:DM,12,FALSE)</f>
        <v>0</v>
      </c>
      <c r="O63" s="47">
        <f>VLOOKUP(C63,'Talente &amp; Stuff'!CL:DM,13,FALSE)</f>
        <v>0</v>
      </c>
      <c r="P63" s="119">
        <f>VLOOKUP(C63,'Talente &amp; Stuff'!CL:DM,14,FALSE)</f>
        <v>0</v>
      </c>
      <c r="Q63" s="114">
        <f>VLOOKUP(C63,'Talente &amp; Stuff'!CL:DM,15,FALSE)</f>
        <v>0</v>
      </c>
      <c r="R63" s="113">
        <f>VLOOKUP(C63,'Talente &amp; Stuff'!CL:DM,16,FALSE)</f>
        <v>0</v>
      </c>
      <c r="S63" s="119">
        <f>VLOOKUP(C63,'Talente &amp; Stuff'!CL:DM,17,FALSE)</f>
        <v>0</v>
      </c>
      <c r="T63" s="160">
        <f>VLOOKUP(C63,'Talente &amp; Stuff'!CL:DM,18,FALSE)</f>
        <v>0</v>
      </c>
      <c r="U63" s="89">
        <f>VLOOKUP(C63,'Talente &amp; Stuff'!CL:DM,19,FALSE)</f>
        <v>0</v>
      </c>
      <c r="V63" s="47">
        <f>VLOOKUP(C63,'Talente &amp; Stuff'!CL:DM,20,FALSE)</f>
        <v>0</v>
      </c>
      <c r="W63" s="127">
        <f>VLOOKUP(C63,'Talente &amp; Stuff'!CL:DM,21,FALSE)</f>
        <v>0</v>
      </c>
      <c r="X63" s="125">
        <f>VLOOKUP(C63,'Talente &amp; Stuff'!CL:DM,22,FALSE)</f>
        <v>0</v>
      </c>
      <c r="Y63" s="165">
        <f t="shared" si="8"/>
        <v>0</v>
      </c>
      <c r="Z63" s="44">
        <f t="shared" si="9"/>
        <v>0</v>
      </c>
      <c r="AA63" s="125">
        <f>VLOOKUP(C63,'Talente &amp; Stuff'!CL:DM,25,FALSE)</f>
        <v>0</v>
      </c>
      <c r="AB63" s="160">
        <f>VLOOKUP(C63,'Talente &amp; Stuff'!CL:DM,26,FALSE)</f>
        <v>0</v>
      </c>
      <c r="AC63" s="127">
        <f>VLOOKUP(C63,'Talente &amp; Stuff'!CL:DM,27,FALSE)</f>
        <v>0</v>
      </c>
      <c r="AD63" s="125">
        <f>VLOOKUP(C63,'Talente &amp; Stuff'!CL:DM,28,FALSE)</f>
        <v>0</v>
      </c>
      <c r="AE63" s="28"/>
    </row>
    <row r="64" spans="2:31" ht="15" hidden="1" customHeight="1" outlineLevel="2">
      <c r="B64" s="148">
        <v>8</v>
      </c>
      <c r="C64" s="177" t="str">
        <f>Attribute!C64</f>
        <v>---</v>
      </c>
      <c r="D64" s="127" t="str">
        <f>VLOOKUP(C64,'Talente &amp; Stuff'!CL:DM,2,FALSE)</f>
        <v>--/--/--</v>
      </c>
      <c r="E64" s="125" t="str">
        <f>VLOOKUP(C64,'Talente &amp; Stuff'!CL:DM,3,FALSE)</f>
        <v>-</v>
      </c>
      <c r="F64" s="114">
        <f>VLOOKUP(C64,'Talente &amp; Stuff'!CL:DM,4,FALSE)</f>
        <v>0</v>
      </c>
      <c r="G64" s="113">
        <f>VLOOKUP(C64,'Talente &amp; Stuff'!CL:DM,5,FALSE)</f>
        <v>0</v>
      </c>
      <c r="H64" s="113">
        <f>VLOOKUP(C64,'Talente &amp; Stuff'!CL:DM,6,FALSE)</f>
        <v>0</v>
      </c>
      <c r="I64" s="113">
        <f>VLOOKUP(C64,'Talente &amp; Stuff'!CL:DM,7,FALSE)</f>
        <v>0</v>
      </c>
      <c r="J64" s="113">
        <f>VLOOKUP(C64,'Talente &amp; Stuff'!CL:DM,8,FALSE)</f>
        <v>0</v>
      </c>
      <c r="K64" s="113">
        <f>VLOOKUP(C64,'Talente &amp; Stuff'!CL:DM,9,FALSE)</f>
        <v>0</v>
      </c>
      <c r="L64" s="113">
        <f>VLOOKUP(C64,'Talente &amp; Stuff'!CL:DM,10,FALSE)</f>
        <v>0</v>
      </c>
      <c r="M64" s="119">
        <f>VLOOKUP(C64,'Talente &amp; Stuff'!CL:DM,11,FALSE)</f>
        <v>0</v>
      </c>
      <c r="N64" s="89">
        <f>VLOOKUP(C64,'Talente &amp; Stuff'!CL:DM,12,FALSE)</f>
        <v>0</v>
      </c>
      <c r="O64" s="47">
        <f>VLOOKUP(C64,'Talente &amp; Stuff'!CL:DM,13,FALSE)</f>
        <v>0</v>
      </c>
      <c r="P64" s="119">
        <f>VLOOKUP(C64,'Talente &amp; Stuff'!CL:DM,14,FALSE)</f>
        <v>0</v>
      </c>
      <c r="Q64" s="114">
        <f>VLOOKUP(C64,'Talente &amp; Stuff'!CL:DM,15,FALSE)</f>
        <v>0</v>
      </c>
      <c r="R64" s="113">
        <f>VLOOKUP(C64,'Talente &amp; Stuff'!CL:DM,16,FALSE)</f>
        <v>0</v>
      </c>
      <c r="S64" s="119">
        <f>VLOOKUP(C64,'Talente &amp; Stuff'!CL:DM,17,FALSE)</f>
        <v>0</v>
      </c>
      <c r="T64" s="160">
        <f>VLOOKUP(C64,'Talente &amp; Stuff'!CL:DM,18,FALSE)</f>
        <v>0</v>
      </c>
      <c r="U64" s="89">
        <f>VLOOKUP(C64,'Talente &amp; Stuff'!CL:DM,19,FALSE)</f>
        <v>0</v>
      </c>
      <c r="V64" s="47">
        <f>VLOOKUP(C64,'Talente &amp; Stuff'!CL:DM,20,FALSE)</f>
        <v>0</v>
      </c>
      <c r="W64" s="127">
        <f>VLOOKUP(C64,'Talente &amp; Stuff'!CL:DM,21,FALSE)</f>
        <v>0</v>
      </c>
      <c r="X64" s="125">
        <f>VLOOKUP(C64,'Talente &amp; Stuff'!CL:DM,22,FALSE)</f>
        <v>0</v>
      </c>
      <c r="Y64" s="165">
        <f t="shared" si="8"/>
        <v>0</v>
      </c>
      <c r="Z64" s="44">
        <f t="shared" si="9"/>
        <v>0</v>
      </c>
      <c r="AA64" s="125">
        <f>VLOOKUP(C64,'Talente &amp; Stuff'!CL:DM,25,FALSE)</f>
        <v>0</v>
      </c>
      <c r="AB64" s="160">
        <f>VLOOKUP(C64,'Talente &amp; Stuff'!CL:DM,26,FALSE)</f>
        <v>0</v>
      </c>
      <c r="AC64" s="127">
        <f>VLOOKUP(C64,'Talente &amp; Stuff'!CL:DM,27,FALSE)</f>
        <v>0</v>
      </c>
      <c r="AD64" s="125">
        <f>VLOOKUP(C64,'Talente &amp; Stuff'!CL:DM,28,FALSE)</f>
        <v>0</v>
      </c>
      <c r="AE64" s="28"/>
    </row>
    <row r="65" spans="1:31" ht="15" hidden="1" customHeight="1" outlineLevel="2">
      <c r="B65" s="148">
        <v>9</v>
      </c>
      <c r="C65" s="177" t="str">
        <f>Attribute!C65</f>
        <v>---</v>
      </c>
      <c r="D65" s="127" t="str">
        <f>VLOOKUP(C65,'Talente &amp; Stuff'!CL:DM,2,FALSE)</f>
        <v>--/--/--</v>
      </c>
      <c r="E65" s="125" t="str">
        <f>VLOOKUP(C65,'Talente &amp; Stuff'!CL:DM,3,FALSE)</f>
        <v>-</v>
      </c>
      <c r="F65" s="114">
        <f>VLOOKUP(C65,'Talente &amp; Stuff'!CL:DM,4,FALSE)</f>
        <v>0</v>
      </c>
      <c r="G65" s="113">
        <f>VLOOKUP(C65,'Talente &amp; Stuff'!CL:DM,5,FALSE)</f>
        <v>0</v>
      </c>
      <c r="H65" s="113">
        <f>VLOOKUP(C65,'Talente &amp; Stuff'!CL:DM,6,FALSE)</f>
        <v>0</v>
      </c>
      <c r="I65" s="113">
        <f>VLOOKUP(C65,'Talente &amp; Stuff'!CL:DM,7,FALSE)</f>
        <v>0</v>
      </c>
      <c r="J65" s="113">
        <f>VLOOKUP(C65,'Talente &amp; Stuff'!CL:DM,8,FALSE)</f>
        <v>0</v>
      </c>
      <c r="K65" s="113">
        <f>VLOOKUP(C65,'Talente &amp; Stuff'!CL:DM,9,FALSE)</f>
        <v>0</v>
      </c>
      <c r="L65" s="113">
        <f>VLOOKUP(C65,'Talente &amp; Stuff'!CL:DM,10,FALSE)</f>
        <v>0</v>
      </c>
      <c r="M65" s="119">
        <f>VLOOKUP(C65,'Talente &amp; Stuff'!CL:DM,11,FALSE)</f>
        <v>0</v>
      </c>
      <c r="N65" s="89">
        <f>VLOOKUP(C65,'Talente &amp; Stuff'!CL:DM,12,FALSE)</f>
        <v>0</v>
      </c>
      <c r="O65" s="47">
        <f>VLOOKUP(C65,'Talente &amp; Stuff'!CL:DM,13,FALSE)</f>
        <v>0</v>
      </c>
      <c r="P65" s="119">
        <f>VLOOKUP(C65,'Talente &amp; Stuff'!CL:DM,14,FALSE)</f>
        <v>0</v>
      </c>
      <c r="Q65" s="114">
        <f>VLOOKUP(C65,'Talente &amp; Stuff'!CL:DM,15,FALSE)</f>
        <v>0</v>
      </c>
      <c r="R65" s="113">
        <f>VLOOKUP(C65,'Talente &amp; Stuff'!CL:DM,16,FALSE)</f>
        <v>0</v>
      </c>
      <c r="S65" s="119">
        <f>VLOOKUP(C65,'Talente &amp; Stuff'!CL:DM,17,FALSE)</f>
        <v>0</v>
      </c>
      <c r="T65" s="160">
        <f>VLOOKUP(C65,'Talente &amp; Stuff'!CL:DM,18,FALSE)</f>
        <v>0</v>
      </c>
      <c r="U65" s="89">
        <f>VLOOKUP(C65,'Talente &amp; Stuff'!CL:DM,19,FALSE)</f>
        <v>0</v>
      </c>
      <c r="V65" s="47">
        <f>VLOOKUP(C65,'Talente &amp; Stuff'!CL:DM,20,FALSE)</f>
        <v>0</v>
      </c>
      <c r="W65" s="127">
        <f>VLOOKUP(C65,'Talente &amp; Stuff'!CL:DM,21,FALSE)</f>
        <v>0</v>
      </c>
      <c r="X65" s="125">
        <f>VLOOKUP(C65,'Talente &amp; Stuff'!CL:DM,22,FALSE)</f>
        <v>0</v>
      </c>
      <c r="Y65" s="165">
        <f t="shared" si="8"/>
        <v>0</v>
      </c>
      <c r="Z65" s="44">
        <f t="shared" si="9"/>
        <v>0</v>
      </c>
      <c r="AA65" s="125">
        <f>VLOOKUP(C65,'Talente &amp; Stuff'!CL:DM,25,FALSE)</f>
        <v>0</v>
      </c>
      <c r="AB65" s="160">
        <f>VLOOKUP(C65,'Talente &amp; Stuff'!CL:DM,26,FALSE)</f>
        <v>0</v>
      </c>
      <c r="AC65" s="127">
        <f>VLOOKUP(C65,'Talente &amp; Stuff'!CL:DM,27,FALSE)</f>
        <v>0</v>
      </c>
      <c r="AD65" s="125">
        <f>VLOOKUP(C65,'Talente &amp; Stuff'!CL:DM,28,FALSE)</f>
        <v>0</v>
      </c>
      <c r="AE65" s="28"/>
    </row>
    <row r="66" spans="1:31" ht="15" hidden="1" customHeight="1" outlineLevel="2">
      <c r="B66" s="148">
        <v>10</v>
      </c>
      <c r="C66" s="177" t="str">
        <f>Attribute!C66</f>
        <v>---</v>
      </c>
      <c r="D66" s="127" t="str">
        <f>VLOOKUP(C66,'Talente &amp; Stuff'!CL:DM,2,FALSE)</f>
        <v>--/--/--</v>
      </c>
      <c r="E66" s="125" t="str">
        <f>VLOOKUP(C66,'Talente &amp; Stuff'!CL:DM,3,FALSE)</f>
        <v>-</v>
      </c>
      <c r="F66" s="114">
        <f>VLOOKUP(C66,'Talente &amp; Stuff'!CL:DM,4,FALSE)</f>
        <v>0</v>
      </c>
      <c r="G66" s="113">
        <f>VLOOKUP(C66,'Talente &amp; Stuff'!CL:DM,5,FALSE)</f>
        <v>0</v>
      </c>
      <c r="H66" s="113">
        <f>VLOOKUP(C66,'Talente &amp; Stuff'!CL:DM,6,FALSE)</f>
        <v>0</v>
      </c>
      <c r="I66" s="113">
        <f>VLOOKUP(C66,'Talente &amp; Stuff'!CL:DM,7,FALSE)</f>
        <v>0</v>
      </c>
      <c r="J66" s="113">
        <f>VLOOKUP(C66,'Talente &amp; Stuff'!CL:DM,8,FALSE)</f>
        <v>0</v>
      </c>
      <c r="K66" s="113">
        <f>VLOOKUP(C66,'Talente &amp; Stuff'!CL:DM,9,FALSE)</f>
        <v>0</v>
      </c>
      <c r="L66" s="113">
        <f>VLOOKUP(C66,'Talente &amp; Stuff'!CL:DM,10,FALSE)</f>
        <v>0</v>
      </c>
      <c r="M66" s="119">
        <f>VLOOKUP(C66,'Talente &amp; Stuff'!CL:DM,11,FALSE)</f>
        <v>0</v>
      </c>
      <c r="N66" s="89">
        <f>VLOOKUP(C66,'Talente &amp; Stuff'!CL:DM,12,FALSE)</f>
        <v>0</v>
      </c>
      <c r="O66" s="47">
        <f>VLOOKUP(C66,'Talente &amp; Stuff'!CL:DM,13,FALSE)</f>
        <v>0</v>
      </c>
      <c r="P66" s="119">
        <f>VLOOKUP(C66,'Talente &amp; Stuff'!CL:DM,14,FALSE)</f>
        <v>0</v>
      </c>
      <c r="Q66" s="114">
        <f>VLOOKUP(C66,'Talente &amp; Stuff'!CL:DM,15,FALSE)</f>
        <v>0</v>
      </c>
      <c r="R66" s="113">
        <f>VLOOKUP(C66,'Talente &amp; Stuff'!CL:DM,16,FALSE)</f>
        <v>0</v>
      </c>
      <c r="S66" s="119">
        <f>VLOOKUP(C66,'Talente &amp; Stuff'!CL:DM,17,FALSE)</f>
        <v>0</v>
      </c>
      <c r="T66" s="160">
        <f>VLOOKUP(C66,'Talente &amp; Stuff'!CL:DM,18,FALSE)</f>
        <v>0</v>
      </c>
      <c r="U66" s="89">
        <f>VLOOKUP(C66,'Talente &amp; Stuff'!CL:DM,19,FALSE)</f>
        <v>0</v>
      </c>
      <c r="V66" s="47">
        <f>VLOOKUP(C66,'Talente &amp; Stuff'!CL:DM,20,FALSE)</f>
        <v>0</v>
      </c>
      <c r="W66" s="127">
        <f>VLOOKUP(C66,'Talente &amp; Stuff'!CL:DM,21,FALSE)</f>
        <v>0</v>
      </c>
      <c r="X66" s="125">
        <f>VLOOKUP(C66,'Talente &amp; Stuff'!CL:DM,22,FALSE)</f>
        <v>0</v>
      </c>
      <c r="Y66" s="165">
        <f t="shared" si="8"/>
        <v>0</v>
      </c>
      <c r="Z66" s="44">
        <f t="shared" si="9"/>
        <v>0</v>
      </c>
      <c r="AA66" s="125">
        <f>VLOOKUP(C66,'Talente &amp; Stuff'!CL:DM,25,FALSE)</f>
        <v>0</v>
      </c>
      <c r="AB66" s="160">
        <f>VLOOKUP(C66,'Talente &amp; Stuff'!CL:DM,26,FALSE)</f>
        <v>0</v>
      </c>
      <c r="AC66" s="127">
        <f>VLOOKUP(C66,'Talente &amp; Stuff'!CL:DM,27,FALSE)</f>
        <v>0</v>
      </c>
      <c r="AD66" s="125">
        <f>VLOOKUP(C66,'Talente &amp; Stuff'!CL:DM,28,FALSE)</f>
        <v>0</v>
      </c>
      <c r="AE66" s="28"/>
    </row>
    <row r="67" spans="1:31" ht="15" hidden="1" customHeight="1" outlineLevel="2">
      <c r="B67" s="148">
        <v>11</v>
      </c>
      <c r="C67" s="177" t="str">
        <f>Attribute!C67</f>
        <v>---</v>
      </c>
      <c r="D67" s="127" t="str">
        <f>VLOOKUP(C67,'Talente &amp; Stuff'!CL:DM,2,FALSE)</f>
        <v>--/--/--</v>
      </c>
      <c r="E67" s="125" t="str">
        <f>VLOOKUP(C67,'Talente &amp; Stuff'!CL:DM,3,FALSE)</f>
        <v>-</v>
      </c>
      <c r="F67" s="114">
        <f>VLOOKUP(C67,'Talente &amp; Stuff'!CL:DM,4,FALSE)</f>
        <v>0</v>
      </c>
      <c r="G67" s="113">
        <f>VLOOKUP(C67,'Talente &amp; Stuff'!CL:DM,5,FALSE)</f>
        <v>0</v>
      </c>
      <c r="H67" s="113">
        <f>VLOOKUP(C67,'Talente &amp; Stuff'!CL:DM,6,FALSE)</f>
        <v>0</v>
      </c>
      <c r="I67" s="113">
        <f>VLOOKUP(C67,'Talente &amp; Stuff'!CL:DM,7,FALSE)</f>
        <v>0</v>
      </c>
      <c r="J67" s="113">
        <f>VLOOKUP(C67,'Talente &amp; Stuff'!CL:DM,8,FALSE)</f>
        <v>0</v>
      </c>
      <c r="K67" s="113">
        <f>VLOOKUP(C67,'Talente &amp; Stuff'!CL:DM,9,FALSE)</f>
        <v>0</v>
      </c>
      <c r="L67" s="113">
        <f>VLOOKUP(C67,'Talente &amp; Stuff'!CL:DM,10,FALSE)</f>
        <v>0</v>
      </c>
      <c r="M67" s="119">
        <f>VLOOKUP(C67,'Talente &amp; Stuff'!CL:DM,11,FALSE)</f>
        <v>0</v>
      </c>
      <c r="N67" s="89">
        <f>VLOOKUP(C67,'Talente &amp; Stuff'!CL:DM,12,FALSE)</f>
        <v>0</v>
      </c>
      <c r="O67" s="47">
        <f>VLOOKUP(C67,'Talente &amp; Stuff'!CL:DM,13,FALSE)</f>
        <v>0</v>
      </c>
      <c r="P67" s="119">
        <f>VLOOKUP(C67,'Talente &amp; Stuff'!CL:DM,14,FALSE)</f>
        <v>0</v>
      </c>
      <c r="Q67" s="114">
        <f>VLOOKUP(C67,'Talente &amp; Stuff'!CL:DM,15,FALSE)</f>
        <v>0</v>
      </c>
      <c r="R67" s="113">
        <f>VLOOKUP(C67,'Talente &amp; Stuff'!CL:DM,16,FALSE)</f>
        <v>0</v>
      </c>
      <c r="S67" s="119">
        <f>VLOOKUP(C67,'Talente &amp; Stuff'!CL:DM,17,FALSE)</f>
        <v>0</v>
      </c>
      <c r="T67" s="160">
        <f>VLOOKUP(C67,'Talente &amp; Stuff'!CL:DM,18,FALSE)</f>
        <v>0</v>
      </c>
      <c r="U67" s="89">
        <f>VLOOKUP(C67,'Talente &amp; Stuff'!CL:DM,19,FALSE)</f>
        <v>0</v>
      </c>
      <c r="V67" s="47">
        <f>VLOOKUP(C67,'Talente &amp; Stuff'!CL:DM,20,FALSE)</f>
        <v>0</v>
      </c>
      <c r="W67" s="127">
        <f>VLOOKUP(C67,'Talente &amp; Stuff'!CL:DM,21,FALSE)</f>
        <v>0</v>
      </c>
      <c r="X67" s="125">
        <f>VLOOKUP(C67,'Talente &amp; Stuff'!CL:DM,22,FALSE)</f>
        <v>0</v>
      </c>
      <c r="Y67" s="165">
        <f t="shared" si="8"/>
        <v>0</v>
      </c>
      <c r="Z67" s="44">
        <f t="shared" si="9"/>
        <v>0</v>
      </c>
      <c r="AA67" s="125">
        <f>VLOOKUP(C67,'Talente &amp; Stuff'!CL:DM,25,FALSE)</f>
        <v>0</v>
      </c>
      <c r="AB67" s="160">
        <f>VLOOKUP(C67,'Talente &amp; Stuff'!CL:DM,26,FALSE)</f>
        <v>0</v>
      </c>
      <c r="AC67" s="127">
        <f>VLOOKUP(C67,'Talente &amp; Stuff'!CL:DM,27,FALSE)</f>
        <v>0</v>
      </c>
      <c r="AD67" s="125">
        <f>VLOOKUP(C67,'Talente &amp; Stuff'!CL:DM,28,FALSE)</f>
        <v>0</v>
      </c>
      <c r="AE67" s="28"/>
    </row>
    <row r="68" spans="1:31" ht="15" hidden="1" customHeight="1" outlineLevel="2">
      <c r="B68" s="148">
        <v>12</v>
      </c>
      <c r="C68" s="177" t="str">
        <f>Attribute!C68</f>
        <v>---</v>
      </c>
      <c r="D68" s="127" t="str">
        <f>VLOOKUP(C68,'Talente &amp; Stuff'!CL:DM,2,FALSE)</f>
        <v>--/--/--</v>
      </c>
      <c r="E68" s="125" t="str">
        <f>VLOOKUP(C68,'Talente &amp; Stuff'!CL:DM,3,FALSE)</f>
        <v>-</v>
      </c>
      <c r="F68" s="114">
        <f>VLOOKUP(C68,'Talente &amp; Stuff'!CL:DM,4,FALSE)</f>
        <v>0</v>
      </c>
      <c r="G68" s="113">
        <f>VLOOKUP(C68,'Talente &amp; Stuff'!CL:DM,5,FALSE)</f>
        <v>0</v>
      </c>
      <c r="H68" s="113">
        <f>VLOOKUP(C68,'Talente &amp; Stuff'!CL:DM,6,FALSE)</f>
        <v>0</v>
      </c>
      <c r="I68" s="113">
        <f>VLOOKUP(C68,'Talente &amp; Stuff'!CL:DM,7,FALSE)</f>
        <v>0</v>
      </c>
      <c r="J68" s="113">
        <f>VLOOKUP(C68,'Talente &amp; Stuff'!CL:DM,8,FALSE)</f>
        <v>0</v>
      </c>
      <c r="K68" s="113">
        <f>VLOOKUP(C68,'Talente &amp; Stuff'!CL:DM,9,FALSE)</f>
        <v>0</v>
      </c>
      <c r="L68" s="113">
        <f>VLOOKUP(C68,'Talente &amp; Stuff'!CL:DM,10,FALSE)</f>
        <v>0</v>
      </c>
      <c r="M68" s="119">
        <f>VLOOKUP(C68,'Talente &amp; Stuff'!CL:DM,11,FALSE)</f>
        <v>0</v>
      </c>
      <c r="N68" s="89">
        <f>VLOOKUP(C68,'Talente &amp; Stuff'!CL:DM,12,FALSE)</f>
        <v>0</v>
      </c>
      <c r="O68" s="47">
        <f>VLOOKUP(C68,'Talente &amp; Stuff'!CL:DM,13,FALSE)</f>
        <v>0</v>
      </c>
      <c r="P68" s="119">
        <f>VLOOKUP(C68,'Talente &amp; Stuff'!CL:DM,14,FALSE)</f>
        <v>0</v>
      </c>
      <c r="Q68" s="114">
        <f>VLOOKUP(C68,'Talente &amp; Stuff'!CL:DM,15,FALSE)</f>
        <v>0</v>
      </c>
      <c r="R68" s="113">
        <f>VLOOKUP(C68,'Talente &amp; Stuff'!CL:DM,16,FALSE)</f>
        <v>0</v>
      </c>
      <c r="S68" s="119">
        <f>VLOOKUP(C68,'Talente &amp; Stuff'!CL:DM,17,FALSE)</f>
        <v>0</v>
      </c>
      <c r="T68" s="160">
        <f>VLOOKUP(C68,'Talente &amp; Stuff'!CL:DM,18,FALSE)</f>
        <v>0</v>
      </c>
      <c r="U68" s="89">
        <f>VLOOKUP(C68,'Talente &amp; Stuff'!CL:DM,19,FALSE)</f>
        <v>0</v>
      </c>
      <c r="V68" s="47">
        <f>VLOOKUP(C68,'Talente &amp; Stuff'!CL:DM,20,FALSE)</f>
        <v>0</v>
      </c>
      <c r="W68" s="127">
        <f>VLOOKUP(C68,'Talente &amp; Stuff'!CL:DM,21,FALSE)</f>
        <v>0</v>
      </c>
      <c r="X68" s="125">
        <f>VLOOKUP(C68,'Talente &amp; Stuff'!CL:DM,22,FALSE)</f>
        <v>0</v>
      </c>
      <c r="Y68" s="165">
        <f t="shared" si="8"/>
        <v>0</v>
      </c>
      <c r="Z68" s="44">
        <f t="shared" si="9"/>
        <v>0</v>
      </c>
      <c r="AA68" s="125">
        <f>VLOOKUP(C68,'Talente &amp; Stuff'!CL:DM,25,FALSE)</f>
        <v>0</v>
      </c>
      <c r="AB68" s="160">
        <f>VLOOKUP(C68,'Talente &amp; Stuff'!CL:DM,26,FALSE)</f>
        <v>0</v>
      </c>
      <c r="AC68" s="127">
        <f>VLOOKUP(C68,'Talente &amp; Stuff'!CL:DM,27,FALSE)</f>
        <v>0</v>
      </c>
      <c r="AD68" s="125">
        <f>VLOOKUP(C68,'Talente &amp; Stuff'!CL:DM,28,FALSE)</f>
        <v>0</v>
      </c>
      <c r="AE68" s="28"/>
    </row>
    <row r="69" spans="1:31" ht="15" hidden="1" customHeight="1" outlineLevel="2">
      <c r="B69" s="148">
        <v>13</v>
      </c>
      <c r="C69" s="177" t="str">
        <f>Attribute!C69</f>
        <v>---</v>
      </c>
      <c r="D69" s="127" t="str">
        <f>VLOOKUP(C69,'Talente &amp; Stuff'!CL:DM,2,FALSE)</f>
        <v>--/--/--</v>
      </c>
      <c r="E69" s="125" t="str">
        <f>VLOOKUP(C69,'Talente &amp; Stuff'!CL:DM,3,FALSE)</f>
        <v>-</v>
      </c>
      <c r="F69" s="114">
        <f>VLOOKUP(C69,'Talente &amp; Stuff'!CL:DM,4,FALSE)</f>
        <v>0</v>
      </c>
      <c r="G69" s="113">
        <f>VLOOKUP(C69,'Talente &amp; Stuff'!CL:DM,5,FALSE)</f>
        <v>0</v>
      </c>
      <c r="H69" s="113">
        <f>VLOOKUP(C69,'Talente &amp; Stuff'!CL:DM,6,FALSE)</f>
        <v>0</v>
      </c>
      <c r="I69" s="113">
        <f>VLOOKUP(C69,'Talente &amp; Stuff'!CL:DM,7,FALSE)</f>
        <v>0</v>
      </c>
      <c r="J69" s="113">
        <f>VLOOKUP(C69,'Talente &amp; Stuff'!CL:DM,8,FALSE)</f>
        <v>0</v>
      </c>
      <c r="K69" s="113">
        <f>VLOOKUP(C69,'Talente &amp; Stuff'!CL:DM,9,FALSE)</f>
        <v>0</v>
      </c>
      <c r="L69" s="113">
        <f>VLOOKUP(C69,'Talente &amp; Stuff'!CL:DM,10,FALSE)</f>
        <v>0</v>
      </c>
      <c r="M69" s="119">
        <f>VLOOKUP(C69,'Talente &amp; Stuff'!CL:DM,11,FALSE)</f>
        <v>0</v>
      </c>
      <c r="N69" s="89">
        <f>VLOOKUP(C69,'Talente &amp; Stuff'!CL:DM,12,FALSE)</f>
        <v>0</v>
      </c>
      <c r="O69" s="47">
        <f>VLOOKUP(C69,'Talente &amp; Stuff'!CL:DM,13,FALSE)</f>
        <v>0</v>
      </c>
      <c r="P69" s="119">
        <f>VLOOKUP(C69,'Talente &amp; Stuff'!CL:DM,14,FALSE)</f>
        <v>0</v>
      </c>
      <c r="Q69" s="114">
        <f>VLOOKUP(C69,'Talente &amp; Stuff'!CL:DM,15,FALSE)</f>
        <v>0</v>
      </c>
      <c r="R69" s="113">
        <f>VLOOKUP(C69,'Talente &amp; Stuff'!CL:DM,16,FALSE)</f>
        <v>0</v>
      </c>
      <c r="S69" s="119">
        <f>VLOOKUP(C69,'Talente &amp; Stuff'!CL:DM,17,FALSE)</f>
        <v>0</v>
      </c>
      <c r="T69" s="160">
        <f>VLOOKUP(C69,'Talente &amp; Stuff'!CL:DM,18,FALSE)</f>
        <v>0</v>
      </c>
      <c r="U69" s="89">
        <f>VLOOKUP(C69,'Talente &amp; Stuff'!CL:DM,19,FALSE)</f>
        <v>0</v>
      </c>
      <c r="V69" s="47">
        <f>VLOOKUP(C69,'Talente &amp; Stuff'!CL:DM,20,FALSE)</f>
        <v>0</v>
      </c>
      <c r="W69" s="127">
        <f>VLOOKUP(C69,'Talente &amp; Stuff'!CL:DM,21,FALSE)</f>
        <v>0</v>
      </c>
      <c r="X69" s="125">
        <f>VLOOKUP(C69,'Talente &amp; Stuff'!CL:DM,22,FALSE)</f>
        <v>0</v>
      </c>
      <c r="Y69" s="165">
        <f t="shared" si="8"/>
        <v>0</v>
      </c>
      <c r="Z69" s="44">
        <f t="shared" si="9"/>
        <v>0</v>
      </c>
      <c r="AA69" s="125">
        <f>VLOOKUP(C69,'Talente &amp; Stuff'!CL:DM,25,FALSE)</f>
        <v>0</v>
      </c>
      <c r="AB69" s="160">
        <f>VLOOKUP(C69,'Talente &amp; Stuff'!CL:DM,26,FALSE)</f>
        <v>0</v>
      </c>
      <c r="AC69" s="127">
        <f>VLOOKUP(C69,'Talente &amp; Stuff'!CL:DM,27,FALSE)</f>
        <v>0</v>
      </c>
      <c r="AD69" s="125">
        <f>VLOOKUP(C69,'Talente &amp; Stuff'!CL:DM,28,FALSE)</f>
        <v>0</v>
      </c>
      <c r="AE69" s="28"/>
    </row>
    <row r="70" spans="1:31" ht="15" hidden="1" customHeight="1" outlineLevel="2">
      <c r="B70" s="148">
        <v>14</v>
      </c>
      <c r="C70" s="177" t="str">
        <f>Attribute!C70</f>
        <v>---</v>
      </c>
      <c r="D70" s="127" t="str">
        <f>VLOOKUP(C70,'Talente &amp; Stuff'!CL:DM,2,FALSE)</f>
        <v>--/--/--</v>
      </c>
      <c r="E70" s="125" t="str">
        <f>VLOOKUP(C70,'Talente &amp; Stuff'!CL:DM,3,FALSE)</f>
        <v>-</v>
      </c>
      <c r="F70" s="114">
        <f>VLOOKUP(C70,'Talente &amp; Stuff'!CL:DM,4,FALSE)</f>
        <v>0</v>
      </c>
      <c r="G70" s="113">
        <f>VLOOKUP(C70,'Talente &amp; Stuff'!CL:DM,5,FALSE)</f>
        <v>0</v>
      </c>
      <c r="H70" s="113">
        <f>VLOOKUP(C70,'Talente &amp; Stuff'!CL:DM,6,FALSE)</f>
        <v>0</v>
      </c>
      <c r="I70" s="113">
        <f>VLOOKUP(C70,'Talente &amp; Stuff'!CL:DM,7,FALSE)</f>
        <v>0</v>
      </c>
      <c r="J70" s="113">
        <f>VLOOKUP(C70,'Talente &amp; Stuff'!CL:DM,8,FALSE)</f>
        <v>0</v>
      </c>
      <c r="K70" s="113">
        <f>VLOOKUP(C70,'Talente &amp; Stuff'!CL:DM,9,FALSE)</f>
        <v>0</v>
      </c>
      <c r="L70" s="113">
        <f>VLOOKUP(C70,'Talente &amp; Stuff'!CL:DM,10,FALSE)</f>
        <v>0</v>
      </c>
      <c r="M70" s="119">
        <f>VLOOKUP(C70,'Talente &amp; Stuff'!CL:DM,11,FALSE)</f>
        <v>0</v>
      </c>
      <c r="N70" s="89">
        <f>VLOOKUP(C70,'Talente &amp; Stuff'!CL:DM,12,FALSE)</f>
        <v>0</v>
      </c>
      <c r="O70" s="47">
        <f>VLOOKUP(C70,'Talente &amp; Stuff'!CL:DM,13,FALSE)</f>
        <v>0</v>
      </c>
      <c r="P70" s="119">
        <f>VLOOKUP(C70,'Talente &amp; Stuff'!CL:DM,14,FALSE)</f>
        <v>0</v>
      </c>
      <c r="Q70" s="114">
        <f>VLOOKUP(C70,'Talente &amp; Stuff'!CL:DM,15,FALSE)</f>
        <v>0</v>
      </c>
      <c r="R70" s="113">
        <f>VLOOKUP(C70,'Talente &amp; Stuff'!CL:DM,16,FALSE)</f>
        <v>0</v>
      </c>
      <c r="S70" s="119">
        <f>VLOOKUP(C70,'Talente &amp; Stuff'!CL:DM,17,FALSE)</f>
        <v>0</v>
      </c>
      <c r="T70" s="160">
        <f>VLOOKUP(C70,'Talente &amp; Stuff'!CL:DM,18,FALSE)</f>
        <v>0</v>
      </c>
      <c r="U70" s="89">
        <f>VLOOKUP(C70,'Talente &amp; Stuff'!CL:DM,19,FALSE)</f>
        <v>0</v>
      </c>
      <c r="V70" s="47">
        <f>VLOOKUP(C70,'Talente &amp; Stuff'!CL:DM,20,FALSE)</f>
        <v>0</v>
      </c>
      <c r="W70" s="127">
        <f>VLOOKUP(C70,'Talente &amp; Stuff'!CL:DM,21,FALSE)</f>
        <v>0</v>
      </c>
      <c r="X70" s="125">
        <f>VLOOKUP(C70,'Talente &amp; Stuff'!CL:DM,22,FALSE)</f>
        <v>0</v>
      </c>
      <c r="Y70" s="165">
        <f t="shared" si="8"/>
        <v>0</v>
      </c>
      <c r="Z70" s="44">
        <f t="shared" si="9"/>
        <v>0</v>
      </c>
      <c r="AA70" s="125">
        <f>VLOOKUP(C70,'Talente &amp; Stuff'!CL:DM,25,FALSE)</f>
        <v>0</v>
      </c>
      <c r="AB70" s="160">
        <f>VLOOKUP(C70,'Talente &amp; Stuff'!CL:DM,26,FALSE)</f>
        <v>0</v>
      </c>
      <c r="AC70" s="127">
        <f>VLOOKUP(C70,'Talente &amp; Stuff'!CL:DM,27,FALSE)</f>
        <v>0</v>
      </c>
      <c r="AD70" s="125">
        <f>VLOOKUP(C70,'Talente &amp; Stuff'!CL:DM,28,FALSE)</f>
        <v>0</v>
      </c>
      <c r="AE70" s="28"/>
    </row>
    <row r="71" spans="1:31" ht="15" hidden="1" customHeight="1" outlineLevel="2">
      <c r="B71" s="148">
        <v>15</v>
      </c>
      <c r="C71" s="177" t="str">
        <f>Attribute!C71</f>
        <v>---</v>
      </c>
      <c r="D71" s="127" t="str">
        <f>VLOOKUP(C71,'Talente &amp; Stuff'!CL:DM,2,FALSE)</f>
        <v>--/--/--</v>
      </c>
      <c r="E71" s="125" t="str">
        <f>VLOOKUP(C71,'Talente &amp; Stuff'!CL:DM,3,FALSE)</f>
        <v>-</v>
      </c>
      <c r="F71" s="114">
        <f>VLOOKUP(C71,'Talente &amp; Stuff'!CL:DM,4,FALSE)</f>
        <v>0</v>
      </c>
      <c r="G71" s="113">
        <f>VLOOKUP(C71,'Talente &amp; Stuff'!CL:DM,5,FALSE)</f>
        <v>0</v>
      </c>
      <c r="H71" s="113">
        <f>VLOOKUP(C71,'Talente &amp; Stuff'!CL:DM,6,FALSE)</f>
        <v>0</v>
      </c>
      <c r="I71" s="113">
        <f>VLOOKUP(C71,'Talente &amp; Stuff'!CL:DM,7,FALSE)</f>
        <v>0</v>
      </c>
      <c r="J71" s="113">
        <f>VLOOKUP(C71,'Talente &amp; Stuff'!CL:DM,8,FALSE)</f>
        <v>0</v>
      </c>
      <c r="K71" s="113">
        <f>VLOOKUP(C71,'Talente &amp; Stuff'!CL:DM,9,FALSE)</f>
        <v>0</v>
      </c>
      <c r="L71" s="113">
        <f>VLOOKUP(C71,'Talente &amp; Stuff'!CL:DM,10,FALSE)</f>
        <v>0</v>
      </c>
      <c r="M71" s="119">
        <f>VLOOKUP(C71,'Talente &amp; Stuff'!CL:DM,11,FALSE)</f>
        <v>0</v>
      </c>
      <c r="N71" s="89">
        <f>VLOOKUP(C71,'Talente &amp; Stuff'!CL:DM,12,FALSE)</f>
        <v>0</v>
      </c>
      <c r="O71" s="47">
        <f>VLOOKUP(C71,'Talente &amp; Stuff'!CL:DM,13,FALSE)</f>
        <v>0</v>
      </c>
      <c r="P71" s="119">
        <f>VLOOKUP(C71,'Talente &amp; Stuff'!CL:DM,14,FALSE)</f>
        <v>0</v>
      </c>
      <c r="Q71" s="114">
        <f>VLOOKUP(C71,'Talente &amp; Stuff'!CL:DM,15,FALSE)</f>
        <v>0</v>
      </c>
      <c r="R71" s="113">
        <f>VLOOKUP(C71,'Talente &amp; Stuff'!CL:DM,16,FALSE)</f>
        <v>0</v>
      </c>
      <c r="S71" s="119">
        <f>VLOOKUP(C71,'Talente &amp; Stuff'!CL:DM,17,FALSE)</f>
        <v>0</v>
      </c>
      <c r="T71" s="160">
        <f>VLOOKUP(C71,'Talente &amp; Stuff'!CL:DM,18,FALSE)</f>
        <v>0</v>
      </c>
      <c r="U71" s="89">
        <f>VLOOKUP(C71,'Talente &amp; Stuff'!CL:DM,19,FALSE)</f>
        <v>0</v>
      </c>
      <c r="V71" s="47">
        <f>VLOOKUP(C71,'Talente &amp; Stuff'!CL:DM,20,FALSE)</f>
        <v>0</v>
      </c>
      <c r="W71" s="127">
        <f>VLOOKUP(C71,'Talente &amp; Stuff'!CL:DM,21,FALSE)</f>
        <v>0</v>
      </c>
      <c r="X71" s="125">
        <f>VLOOKUP(C71,'Talente &amp; Stuff'!CL:DM,22,FALSE)</f>
        <v>0</v>
      </c>
      <c r="Y71" s="165">
        <f t="shared" si="8"/>
        <v>0</v>
      </c>
      <c r="Z71" s="44">
        <f t="shared" si="9"/>
        <v>0</v>
      </c>
      <c r="AA71" s="125">
        <f>VLOOKUP(C71,'Talente &amp; Stuff'!CL:DM,25,FALSE)</f>
        <v>0</v>
      </c>
      <c r="AB71" s="160">
        <f>VLOOKUP(C71,'Talente &amp; Stuff'!CL:DM,26,FALSE)</f>
        <v>0</v>
      </c>
      <c r="AC71" s="127">
        <f>VLOOKUP(C71,'Talente &amp; Stuff'!CL:DM,27,FALSE)</f>
        <v>0</v>
      </c>
      <c r="AD71" s="125">
        <f>VLOOKUP(C71,'Talente &amp; Stuff'!CL:DM,28,FALSE)</f>
        <v>0</v>
      </c>
      <c r="AE71" s="28"/>
    </row>
    <row r="72" spans="1:31" ht="15" hidden="1" customHeight="1" outlineLevel="2">
      <c r="B72" s="148">
        <v>16</v>
      </c>
      <c r="C72" s="177" t="str">
        <f>Attribute!C72</f>
        <v>---</v>
      </c>
      <c r="D72" s="127" t="str">
        <f>VLOOKUP(C72,'Talente &amp; Stuff'!CL:DM,2,FALSE)</f>
        <v>--/--/--</v>
      </c>
      <c r="E72" s="125" t="str">
        <f>VLOOKUP(C72,'Talente &amp; Stuff'!CL:DM,3,FALSE)</f>
        <v>-</v>
      </c>
      <c r="F72" s="114">
        <f>VLOOKUP(C72,'Talente &amp; Stuff'!CL:DM,4,FALSE)</f>
        <v>0</v>
      </c>
      <c r="G72" s="113">
        <f>VLOOKUP(C72,'Talente &amp; Stuff'!CL:DM,5,FALSE)</f>
        <v>0</v>
      </c>
      <c r="H72" s="113">
        <f>VLOOKUP(C72,'Talente &amp; Stuff'!CL:DM,6,FALSE)</f>
        <v>0</v>
      </c>
      <c r="I72" s="113">
        <f>VLOOKUP(C72,'Talente &amp; Stuff'!CL:DM,7,FALSE)</f>
        <v>0</v>
      </c>
      <c r="J72" s="113">
        <f>VLOOKUP(C72,'Talente &amp; Stuff'!CL:DM,8,FALSE)</f>
        <v>0</v>
      </c>
      <c r="K72" s="113">
        <f>VLOOKUP(C72,'Talente &amp; Stuff'!CL:DM,9,FALSE)</f>
        <v>0</v>
      </c>
      <c r="L72" s="113">
        <f>VLOOKUP(C72,'Talente &amp; Stuff'!CL:DM,10,FALSE)</f>
        <v>0</v>
      </c>
      <c r="M72" s="119">
        <f>VLOOKUP(C72,'Talente &amp; Stuff'!CL:DM,11,FALSE)</f>
        <v>0</v>
      </c>
      <c r="N72" s="89">
        <f>VLOOKUP(C72,'Talente &amp; Stuff'!CL:DM,12,FALSE)</f>
        <v>0</v>
      </c>
      <c r="O72" s="47">
        <f>VLOOKUP(C72,'Talente &amp; Stuff'!CL:DM,13,FALSE)</f>
        <v>0</v>
      </c>
      <c r="P72" s="119">
        <f>VLOOKUP(C72,'Talente &amp; Stuff'!CL:DM,14,FALSE)</f>
        <v>0</v>
      </c>
      <c r="Q72" s="114">
        <f>VLOOKUP(C72,'Talente &amp; Stuff'!CL:DM,15,FALSE)</f>
        <v>0</v>
      </c>
      <c r="R72" s="113">
        <f>VLOOKUP(C72,'Talente &amp; Stuff'!CL:DM,16,FALSE)</f>
        <v>0</v>
      </c>
      <c r="S72" s="119">
        <f>VLOOKUP(C72,'Talente &amp; Stuff'!CL:DM,17,FALSE)</f>
        <v>0</v>
      </c>
      <c r="T72" s="160">
        <f>VLOOKUP(C72,'Talente &amp; Stuff'!CL:DM,18,FALSE)</f>
        <v>0</v>
      </c>
      <c r="U72" s="89">
        <f>VLOOKUP(C72,'Talente &amp; Stuff'!CL:DM,19,FALSE)</f>
        <v>0</v>
      </c>
      <c r="V72" s="47">
        <f>VLOOKUP(C72,'Talente &amp; Stuff'!CL:DM,20,FALSE)</f>
        <v>0</v>
      </c>
      <c r="W72" s="127">
        <f>VLOOKUP(C72,'Talente &amp; Stuff'!CL:DM,21,FALSE)</f>
        <v>0</v>
      </c>
      <c r="X72" s="125">
        <f>VLOOKUP(C72,'Talente &amp; Stuff'!CL:DM,22,FALSE)</f>
        <v>0</v>
      </c>
      <c r="Y72" s="165">
        <f t="shared" si="8"/>
        <v>0</v>
      </c>
      <c r="Z72" s="44">
        <f t="shared" si="9"/>
        <v>0</v>
      </c>
      <c r="AA72" s="125">
        <f>VLOOKUP(C72,'Talente &amp; Stuff'!CL:DM,25,FALSE)</f>
        <v>0</v>
      </c>
      <c r="AB72" s="160">
        <f>VLOOKUP(C72,'Talente &amp; Stuff'!CL:DM,26,FALSE)</f>
        <v>0</v>
      </c>
      <c r="AC72" s="127">
        <f>VLOOKUP(C72,'Talente &amp; Stuff'!CL:DM,27,FALSE)</f>
        <v>0</v>
      </c>
      <c r="AD72" s="125">
        <f>VLOOKUP(C72,'Talente &amp; Stuff'!CL:DM,28,FALSE)</f>
        <v>0</v>
      </c>
      <c r="AE72" s="28"/>
    </row>
    <row r="73" spans="1:31" ht="15" hidden="1" customHeight="1" outlineLevel="2">
      <c r="B73" s="148">
        <v>17</v>
      </c>
      <c r="C73" s="178" t="str">
        <f>Attribute!C73</f>
        <v>---</v>
      </c>
      <c r="D73" s="128" t="str">
        <f>VLOOKUP(C73,'Talente &amp; Stuff'!CL:DM,2,FALSE)</f>
        <v>--/--/--</v>
      </c>
      <c r="E73" s="159" t="str">
        <f>VLOOKUP(C73,'Talente &amp; Stuff'!CL:DM,3,FALSE)</f>
        <v>-</v>
      </c>
      <c r="F73" s="115">
        <f>VLOOKUP(C73,'Talente &amp; Stuff'!CL:DM,4,FALSE)</f>
        <v>0</v>
      </c>
      <c r="G73" s="122">
        <f>VLOOKUP(C73,'Talente &amp; Stuff'!CL:DM,5,FALSE)</f>
        <v>0</v>
      </c>
      <c r="H73" s="122">
        <f>VLOOKUP(C73,'Talente &amp; Stuff'!CL:DM,6,FALSE)</f>
        <v>0</v>
      </c>
      <c r="I73" s="122">
        <f>VLOOKUP(C73,'Talente &amp; Stuff'!CL:DM,7,FALSE)</f>
        <v>0</v>
      </c>
      <c r="J73" s="122">
        <f>VLOOKUP(C73,'Talente &amp; Stuff'!CL:DM,8,FALSE)</f>
        <v>0</v>
      </c>
      <c r="K73" s="122">
        <f>VLOOKUP(C73,'Talente &amp; Stuff'!CL:DM,9,FALSE)</f>
        <v>0</v>
      </c>
      <c r="L73" s="122">
        <f>VLOOKUP(C73,'Talente &amp; Stuff'!CL:DM,10,FALSE)</f>
        <v>0</v>
      </c>
      <c r="M73" s="123">
        <f>VLOOKUP(C73,'Talente &amp; Stuff'!CL:DM,11,FALSE)</f>
        <v>0</v>
      </c>
      <c r="N73" s="90">
        <f>VLOOKUP(C73,'Talente &amp; Stuff'!CL:DM,12,FALSE)</f>
        <v>0</v>
      </c>
      <c r="O73" s="88">
        <f>VLOOKUP(C73,'Talente &amp; Stuff'!CL:DM,13,FALSE)</f>
        <v>0</v>
      </c>
      <c r="P73" s="123">
        <f>VLOOKUP(C73,'Talente &amp; Stuff'!CL:DM,14,FALSE)</f>
        <v>0</v>
      </c>
      <c r="Q73" s="115">
        <f>VLOOKUP(C73,'Talente &amp; Stuff'!CL:DM,15,FALSE)</f>
        <v>0</v>
      </c>
      <c r="R73" s="122">
        <f>VLOOKUP(C73,'Talente &amp; Stuff'!CL:DM,16,FALSE)</f>
        <v>0</v>
      </c>
      <c r="S73" s="123">
        <f>VLOOKUP(C73,'Talente &amp; Stuff'!CL:DM,17,FALSE)</f>
        <v>0</v>
      </c>
      <c r="T73" s="161">
        <f>VLOOKUP(C73,'Talente &amp; Stuff'!CL:DM,18,FALSE)</f>
        <v>0</v>
      </c>
      <c r="U73" s="90">
        <f>VLOOKUP(C73,'Talente &amp; Stuff'!CL:DM,19,FALSE)</f>
        <v>0</v>
      </c>
      <c r="V73" s="88">
        <f>VLOOKUP(C73,'Talente &amp; Stuff'!CL:DM,20,FALSE)</f>
        <v>0</v>
      </c>
      <c r="W73" s="128">
        <f>VLOOKUP(C73,'Talente &amp; Stuff'!CL:DM,21,FALSE)</f>
        <v>0</v>
      </c>
      <c r="X73" s="159">
        <f>VLOOKUP(C73,'Talente &amp; Stuff'!CL:DM,22,FALSE)</f>
        <v>0</v>
      </c>
      <c r="Y73" s="165">
        <f t="shared" si="8"/>
        <v>0</v>
      </c>
      <c r="Z73" s="44">
        <f t="shared" si="9"/>
        <v>0</v>
      </c>
      <c r="AA73" s="159">
        <f>VLOOKUP(C73,'Talente &amp; Stuff'!CL:DM,25,FALSE)</f>
        <v>0</v>
      </c>
      <c r="AB73" s="161">
        <f>VLOOKUP(C73,'Talente &amp; Stuff'!CL:DM,26,FALSE)</f>
        <v>0</v>
      </c>
      <c r="AC73" s="128">
        <f>VLOOKUP(C73,'Talente &amp; Stuff'!CL:DM,27,FALSE)</f>
        <v>0</v>
      </c>
      <c r="AD73" s="159">
        <f>VLOOKUP(C73,'Talente &amp; Stuff'!CL:DM,28,FALSE)</f>
        <v>0</v>
      </c>
      <c r="AE73" s="28"/>
    </row>
    <row r="74" spans="1:31" ht="15" hidden="1" customHeight="1" outlineLevel="1" collapsed="1"/>
    <row r="75" spans="1:31" ht="15.75" collapsed="1" thickBot="1"/>
    <row r="76" spans="1:31" ht="15.75" thickBot="1">
      <c r="A76" s="135" t="s">
        <v>332</v>
      </c>
    </row>
    <row r="77" spans="1:31" ht="15" hidden="1" customHeight="1" outlineLevel="1">
      <c r="B77" s="134" t="s">
        <v>327</v>
      </c>
      <c r="C77" s="142"/>
    </row>
    <row r="78" spans="1:31" ht="15" hidden="1" customHeight="1" outlineLevel="2">
      <c r="B78" s="148">
        <v>1</v>
      </c>
      <c r="C78" s="176" t="str">
        <f>Attribute!C78</f>
        <v>---</v>
      </c>
      <c r="D78" s="158" t="str">
        <f>VLOOKUP(C78,'Talente &amp; Stuff'!CL:DM,2,FALSE)</f>
        <v>--/--/--</v>
      </c>
      <c r="E78" s="126" t="str">
        <f>VLOOKUP(C78,'Talente &amp; Stuff'!CL:DM,3,FALSE)</f>
        <v>-</v>
      </c>
      <c r="F78" s="191">
        <f>VLOOKUP(C78,'Talente &amp; Stuff'!CL:DM,4,FALSE)</f>
        <v>0</v>
      </c>
      <c r="G78" s="118">
        <f>VLOOKUP(C78,'Talente &amp; Stuff'!CL:DM,5,FALSE)</f>
        <v>0</v>
      </c>
      <c r="H78" s="118">
        <f>VLOOKUP(C78,'Talente &amp; Stuff'!CL:DM,6,FALSE)</f>
        <v>0</v>
      </c>
      <c r="I78" s="118">
        <f>VLOOKUP(C78,'Talente &amp; Stuff'!CL:DM,7,FALSE)</f>
        <v>0</v>
      </c>
      <c r="J78" s="118">
        <f>VLOOKUP(C78,'Talente &amp; Stuff'!CL:DM,8,FALSE)</f>
        <v>0</v>
      </c>
      <c r="K78" s="118">
        <f>VLOOKUP(C78,'Talente &amp; Stuff'!CL:DM,9,FALSE)</f>
        <v>0</v>
      </c>
      <c r="L78" s="118">
        <f>VLOOKUP(C78,'Talente &amp; Stuff'!CL:DM,10,FALSE)</f>
        <v>0</v>
      </c>
      <c r="M78" s="92">
        <f>VLOOKUP(C78,'Talente &amp; Stuff'!CL:DM,11,FALSE)</f>
        <v>0</v>
      </c>
      <c r="N78" s="116">
        <f>VLOOKUP(C78,'Talente &amp; Stuff'!CL:DM,12,FALSE)</f>
        <v>0</v>
      </c>
      <c r="O78" s="116">
        <f>VLOOKUP(C78,'Talente &amp; Stuff'!CL:DM,13,FALSE)</f>
        <v>0</v>
      </c>
      <c r="P78" s="92">
        <f>VLOOKUP(C78,'Talente &amp; Stuff'!CL:DM,14,FALSE)</f>
        <v>0</v>
      </c>
      <c r="Q78" s="191">
        <f>VLOOKUP(C78,'Talente &amp; Stuff'!CL:DM,15,FALSE)</f>
        <v>0</v>
      </c>
      <c r="R78" s="118">
        <f>VLOOKUP(C78,'Talente &amp; Stuff'!CL:DM,16,FALSE)</f>
        <v>0</v>
      </c>
      <c r="S78" s="92">
        <f>VLOOKUP(C78,'Talente &amp; Stuff'!CL:DM,17,FALSE)</f>
        <v>0</v>
      </c>
      <c r="T78" s="92">
        <f>VLOOKUP(C78,'Talente &amp; Stuff'!CL:DM,18,FALSE)</f>
        <v>0</v>
      </c>
      <c r="U78" s="193">
        <f>VLOOKUP(C78,'Talente &amp; Stuff'!CL:DM,19,FALSE)</f>
        <v>0</v>
      </c>
      <c r="V78" s="116">
        <f>VLOOKUP(C78,'Talente &amp; Stuff'!CL:DM,20,FALSE)</f>
        <v>0</v>
      </c>
      <c r="W78" s="126">
        <f>VLOOKUP(C78,'Talente &amp; Stuff'!CL:DM,21,FALSE)</f>
        <v>0</v>
      </c>
      <c r="X78" s="126">
        <f>VLOOKUP(C78,'Talente &amp; Stuff'!CL:DM,22,FALSE)</f>
        <v>0</v>
      </c>
      <c r="Y78" s="165">
        <f t="shared" ref="Y78:Y98" si="10">VLOOKUP(C78,Ausgewählte_Zauber_Allgemein,110,FALSE)</f>
        <v>0</v>
      </c>
      <c r="Z78" s="44">
        <f t="shared" ref="Z78:Z98" si="11">VLOOKUP(C78,Ausgewählte_Zauber_Allgemein,111,FALSE)</f>
        <v>0</v>
      </c>
      <c r="AA78" s="158">
        <f>VLOOKUP(C78,'Talente &amp; Stuff'!CL:DM,25,FALSE)</f>
        <v>0</v>
      </c>
      <c r="AB78" s="91">
        <f>VLOOKUP(C78,'Talente &amp; Stuff'!CL:DM,26,FALSE)</f>
        <v>0</v>
      </c>
      <c r="AC78" s="126">
        <f>VLOOKUP(C78,'Talente &amp; Stuff'!CL:DM,27,FALSE)</f>
        <v>0</v>
      </c>
      <c r="AD78" s="158">
        <f>VLOOKUP(C78,'Talente &amp; Stuff'!CL:DM,28,FALSE)</f>
        <v>0</v>
      </c>
      <c r="AE78" s="28"/>
    </row>
    <row r="79" spans="1:31" ht="15" hidden="1" customHeight="1" outlineLevel="2">
      <c r="B79" s="148">
        <v>2</v>
      </c>
      <c r="C79" s="177" t="str">
        <f>Attribute!C79</f>
        <v>---</v>
      </c>
      <c r="D79" s="125" t="str">
        <f>VLOOKUP(C79,'Talente &amp; Stuff'!CL:DM,2,FALSE)</f>
        <v>--/--/--</v>
      </c>
      <c r="E79" s="127" t="str">
        <f>VLOOKUP(C79,'Talente &amp; Stuff'!CL:DM,3,FALSE)</f>
        <v>-</v>
      </c>
      <c r="F79" s="114">
        <f>VLOOKUP(C79,'Talente &amp; Stuff'!CL:DM,4,FALSE)</f>
        <v>0</v>
      </c>
      <c r="G79" s="113">
        <f>VLOOKUP(C79,'Talente &amp; Stuff'!CL:DM,5,FALSE)</f>
        <v>0</v>
      </c>
      <c r="H79" s="113">
        <f>VLOOKUP(C79,'Talente &amp; Stuff'!CL:DM,6,FALSE)</f>
        <v>0</v>
      </c>
      <c r="I79" s="113">
        <f>VLOOKUP(C79,'Talente &amp; Stuff'!CL:DM,7,FALSE)</f>
        <v>0</v>
      </c>
      <c r="J79" s="113">
        <f>VLOOKUP(C79,'Talente &amp; Stuff'!CL:DM,8,FALSE)</f>
        <v>0</v>
      </c>
      <c r="K79" s="113">
        <f>VLOOKUP(C79,'Talente &amp; Stuff'!CL:DM,9,FALSE)</f>
        <v>0</v>
      </c>
      <c r="L79" s="113">
        <f>VLOOKUP(C79,'Talente &amp; Stuff'!CL:DM,10,FALSE)</f>
        <v>0</v>
      </c>
      <c r="M79" s="119">
        <f>VLOOKUP(C79,'Talente &amp; Stuff'!CL:DM,11,FALSE)</f>
        <v>0</v>
      </c>
      <c r="N79" s="89">
        <f>VLOOKUP(C79,'Talente &amp; Stuff'!CL:DM,12,FALSE)</f>
        <v>0</v>
      </c>
      <c r="O79" s="47">
        <f>VLOOKUP(C79,'Talente &amp; Stuff'!CL:DM,13,FALSE)</f>
        <v>0</v>
      </c>
      <c r="P79" s="119">
        <f>VLOOKUP(C79,'Talente &amp; Stuff'!CL:DM,14,FALSE)</f>
        <v>0</v>
      </c>
      <c r="Q79" s="114">
        <f>VLOOKUP(C79,'Talente &amp; Stuff'!CL:DM,15,FALSE)</f>
        <v>0</v>
      </c>
      <c r="R79" s="113">
        <f>VLOOKUP(C79,'Talente &amp; Stuff'!CL:DM,16,FALSE)</f>
        <v>0</v>
      </c>
      <c r="S79" s="119">
        <f>VLOOKUP(C79,'Talente &amp; Stuff'!CL:DM,17,FALSE)</f>
        <v>0</v>
      </c>
      <c r="T79" s="160">
        <f>VLOOKUP(C79,'Talente &amp; Stuff'!CL:DM,18,FALSE)</f>
        <v>0</v>
      </c>
      <c r="U79" s="89">
        <f>VLOOKUP(C79,'Talente &amp; Stuff'!CL:DM,19,FALSE)</f>
        <v>0</v>
      </c>
      <c r="V79" s="47">
        <f>VLOOKUP(C79,'Talente &amp; Stuff'!CL:DM,20,FALSE)</f>
        <v>0</v>
      </c>
      <c r="W79" s="127">
        <f>VLOOKUP(C79,'Talente &amp; Stuff'!CL:DM,21,FALSE)</f>
        <v>0</v>
      </c>
      <c r="X79" s="127">
        <f>VLOOKUP(C79,'Talente &amp; Stuff'!CL:DM,22,FALSE)</f>
        <v>0</v>
      </c>
      <c r="Y79" s="165">
        <f t="shared" si="10"/>
        <v>0</v>
      </c>
      <c r="Z79" s="44">
        <f t="shared" si="11"/>
        <v>0</v>
      </c>
      <c r="AA79" s="125">
        <f>VLOOKUP(C79,'Talente &amp; Stuff'!CL:DM,25,FALSE)</f>
        <v>0</v>
      </c>
      <c r="AB79" s="160">
        <f>VLOOKUP(C79,'Talente &amp; Stuff'!CL:DM,26,FALSE)</f>
        <v>0</v>
      </c>
      <c r="AC79" s="127">
        <f>VLOOKUP(C79,'Talente &amp; Stuff'!CL:DM,27,FALSE)</f>
        <v>0</v>
      </c>
      <c r="AD79" s="125">
        <f>VLOOKUP(C79,'Talente &amp; Stuff'!CL:DM,28,FALSE)</f>
        <v>0</v>
      </c>
      <c r="AE79" s="28"/>
    </row>
    <row r="80" spans="1:31" ht="15" hidden="1" customHeight="1" outlineLevel="2">
      <c r="B80" s="148">
        <v>3</v>
      </c>
      <c r="C80" s="177" t="str">
        <f>Attribute!C80</f>
        <v>---</v>
      </c>
      <c r="D80" s="125" t="str">
        <f>VLOOKUP(C80,'Talente &amp; Stuff'!CL:DM,2,FALSE)</f>
        <v>--/--/--</v>
      </c>
      <c r="E80" s="127" t="str">
        <f>VLOOKUP(C80,'Talente &amp; Stuff'!CL:DM,3,FALSE)</f>
        <v>-</v>
      </c>
      <c r="F80" s="114">
        <f>VLOOKUP(C80,'Talente &amp; Stuff'!CL:DM,4,FALSE)</f>
        <v>0</v>
      </c>
      <c r="G80" s="113">
        <f>VLOOKUP(C80,'Talente &amp; Stuff'!CL:DM,5,FALSE)</f>
        <v>0</v>
      </c>
      <c r="H80" s="113">
        <f>VLOOKUP(C80,'Talente &amp; Stuff'!CL:DM,6,FALSE)</f>
        <v>0</v>
      </c>
      <c r="I80" s="113">
        <f>VLOOKUP(C80,'Talente &amp; Stuff'!CL:DM,7,FALSE)</f>
        <v>0</v>
      </c>
      <c r="J80" s="113">
        <f>VLOOKUP(C80,'Talente &amp; Stuff'!CL:DM,8,FALSE)</f>
        <v>0</v>
      </c>
      <c r="K80" s="113">
        <f>VLOOKUP(C80,'Talente &amp; Stuff'!CL:DM,9,FALSE)</f>
        <v>0</v>
      </c>
      <c r="L80" s="113">
        <f>VLOOKUP(C80,'Talente &amp; Stuff'!CL:DM,10,FALSE)</f>
        <v>0</v>
      </c>
      <c r="M80" s="119">
        <f>VLOOKUP(C80,'Talente &amp; Stuff'!CL:DM,11,FALSE)</f>
        <v>0</v>
      </c>
      <c r="N80" s="89">
        <f>VLOOKUP(C80,'Talente &amp; Stuff'!CL:DM,12,FALSE)</f>
        <v>0</v>
      </c>
      <c r="O80" s="47">
        <f>VLOOKUP(C80,'Talente &amp; Stuff'!CL:DM,13,FALSE)</f>
        <v>0</v>
      </c>
      <c r="P80" s="119">
        <f>VLOOKUP(C80,'Talente &amp; Stuff'!CL:DM,14,FALSE)</f>
        <v>0</v>
      </c>
      <c r="Q80" s="114">
        <f>VLOOKUP(C80,'Talente &amp; Stuff'!CL:DM,15,FALSE)</f>
        <v>0</v>
      </c>
      <c r="R80" s="113">
        <f>VLOOKUP(C80,'Talente &amp; Stuff'!CL:DM,16,FALSE)</f>
        <v>0</v>
      </c>
      <c r="S80" s="119">
        <f>VLOOKUP(C80,'Talente &amp; Stuff'!CL:DM,17,FALSE)</f>
        <v>0</v>
      </c>
      <c r="T80" s="160">
        <f>VLOOKUP(C80,'Talente &amp; Stuff'!CL:DM,18,FALSE)</f>
        <v>0</v>
      </c>
      <c r="U80" s="89">
        <f>VLOOKUP(C80,'Talente &amp; Stuff'!CL:DM,19,FALSE)</f>
        <v>0</v>
      </c>
      <c r="V80" s="47">
        <f>VLOOKUP(C80,'Talente &amp; Stuff'!CL:DM,20,FALSE)</f>
        <v>0</v>
      </c>
      <c r="W80" s="127">
        <f>VLOOKUP(C80,'Talente &amp; Stuff'!CL:DM,21,FALSE)</f>
        <v>0</v>
      </c>
      <c r="X80" s="127">
        <f>VLOOKUP(C80,'Talente &amp; Stuff'!CL:DM,22,FALSE)</f>
        <v>0</v>
      </c>
      <c r="Y80" s="165">
        <f t="shared" si="10"/>
        <v>0</v>
      </c>
      <c r="Z80" s="44">
        <f t="shared" si="11"/>
        <v>0</v>
      </c>
      <c r="AA80" s="125">
        <f>VLOOKUP(C80,'Talente &amp; Stuff'!CL:DM,25,FALSE)</f>
        <v>0</v>
      </c>
      <c r="AB80" s="160">
        <f>VLOOKUP(C80,'Talente &amp; Stuff'!CL:DM,26,FALSE)</f>
        <v>0</v>
      </c>
      <c r="AC80" s="127">
        <f>VLOOKUP(C80,'Talente &amp; Stuff'!CL:DM,27,FALSE)</f>
        <v>0</v>
      </c>
      <c r="AD80" s="125">
        <f>VLOOKUP(C80,'Talente &amp; Stuff'!CL:DM,28,FALSE)</f>
        <v>0</v>
      </c>
      <c r="AE80" s="28"/>
    </row>
    <row r="81" spans="2:31" ht="15" hidden="1" customHeight="1" outlineLevel="2">
      <c r="B81" s="148">
        <v>4</v>
      </c>
      <c r="C81" s="177" t="str">
        <f>Attribute!C81</f>
        <v>---</v>
      </c>
      <c r="D81" s="125" t="str">
        <f>VLOOKUP(C81,'Talente &amp; Stuff'!CL:DM,2,FALSE)</f>
        <v>--/--/--</v>
      </c>
      <c r="E81" s="127" t="str">
        <f>VLOOKUP(C81,'Talente &amp; Stuff'!CL:DM,3,FALSE)</f>
        <v>-</v>
      </c>
      <c r="F81" s="114">
        <f>VLOOKUP(C81,'Talente &amp; Stuff'!CL:DM,4,FALSE)</f>
        <v>0</v>
      </c>
      <c r="G81" s="113">
        <f>VLOOKUP(C81,'Talente &amp; Stuff'!CL:DM,5,FALSE)</f>
        <v>0</v>
      </c>
      <c r="H81" s="113">
        <f>VLOOKUP(C81,'Talente &amp; Stuff'!CL:DM,6,FALSE)</f>
        <v>0</v>
      </c>
      <c r="I81" s="113">
        <f>VLOOKUP(C81,'Talente &amp; Stuff'!CL:DM,7,FALSE)</f>
        <v>0</v>
      </c>
      <c r="J81" s="113">
        <f>VLOOKUP(C81,'Talente &amp; Stuff'!CL:DM,8,FALSE)</f>
        <v>0</v>
      </c>
      <c r="K81" s="113">
        <f>VLOOKUP(C81,'Talente &amp; Stuff'!CL:DM,9,FALSE)</f>
        <v>0</v>
      </c>
      <c r="L81" s="113">
        <f>VLOOKUP(C81,'Talente &amp; Stuff'!CL:DM,10,FALSE)</f>
        <v>0</v>
      </c>
      <c r="M81" s="119">
        <f>VLOOKUP(C81,'Talente &amp; Stuff'!CL:DM,11,FALSE)</f>
        <v>0</v>
      </c>
      <c r="N81" s="89">
        <f>VLOOKUP(C81,'Talente &amp; Stuff'!CL:DM,12,FALSE)</f>
        <v>0</v>
      </c>
      <c r="O81" s="47">
        <f>VLOOKUP(C81,'Talente &amp; Stuff'!CL:DM,13,FALSE)</f>
        <v>0</v>
      </c>
      <c r="P81" s="119">
        <f>VLOOKUP(C81,'Talente &amp; Stuff'!CL:DM,14,FALSE)</f>
        <v>0</v>
      </c>
      <c r="Q81" s="114">
        <f>VLOOKUP(C81,'Talente &amp; Stuff'!CL:DM,15,FALSE)</f>
        <v>0</v>
      </c>
      <c r="R81" s="113">
        <f>VLOOKUP(C81,'Talente &amp; Stuff'!CL:DM,16,FALSE)</f>
        <v>0</v>
      </c>
      <c r="S81" s="119">
        <f>VLOOKUP(C81,'Talente &amp; Stuff'!CL:DM,17,FALSE)</f>
        <v>0</v>
      </c>
      <c r="T81" s="160">
        <f>VLOOKUP(C81,'Talente &amp; Stuff'!CL:DM,18,FALSE)</f>
        <v>0</v>
      </c>
      <c r="U81" s="89">
        <f>VLOOKUP(C81,'Talente &amp; Stuff'!CL:DM,19,FALSE)</f>
        <v>0</v>
      </c>
      <c r="V81" s="47">
        <f>VLOOKUP(C81,'Talente &amp; Stuff'!CL:DM,20,FALSE)</f>
        <v>0</v>
      </c>
      <c r="W81" s="127">
        <f>VLOOKUP(C81,'Talente &amp; Stuff'!CL:DM,21,FALSE)</f>
        <v>0</v>
      </c>
      <c r="X81" s="127">
        <f>VLOOKUP(C81,'Talente &amp; Stuff'!CL:DM,22,FALSE)</f>
        <v>0</v>
      </c>
      <c r="Y81" s="165">
        <f t="shared" si="10"/>
        <v>0</v>
      </c>
      <c r="Z81" s="44">
        <f t="shared" si="11"/>
        <v>0</v>
      </c>
      <c r="AA81" s="125">
        <f>VLOOKUP(C81,'Talente &amp; Stuff'!CL:DM,25,FALSE)</f>
        <v>0</v>
      </c>
      <c r="AB81" s="160">
        <f>VLOOKUP(C81,'Talente &amp; Stuff'!CL:DM,26,FALSE)</f>
        <v>0</v>
      </c>
      <c r="AC81" s="127">
        <f>VLOOKUP(C81,'Talente &amp; Stuff'!CL:DM,27,FALSE)</f>
        <v>0</v>
      </c>
      <c r="AD81" s="125">
        <f>VLOOKUP(C81,'Talente &amp; Stuff'!CL:DM,28,FALSE)</f>
        <v>0</v>
      </c>
      <c r="AE81" s="28"/>
    </row>
    <row r="82" spans="2:31" ht="15" hidden="1" customHeight="1" outlineLevel="2">
      <c r="B82" s="148">
        <v>5</v>
      </c>
      <c r="C82" s="177" t="str">
        <f>Attribute!C82</f>
        <v>---</v>
      </c>
      <c r="D82" s="125" t="str">
        <f>VLOOKUP(C82,'Talente &amp; Stuff'!CL:DM,2,FALSE)</f>
        <v>--/--/--</v>
      </c>
      <c r="E82" s="127" t="str">
        <f>VLOOKUP(C82,'Talente &amp; Stuff'!CL:DM,3,FALSE)</f>
        <v>-</v>
      </c>
      <c r="F82" s="114">
        <f>VLOOKUP(C82,'Talente &amp; Stuff'!CL:DM,4,FALSE)</f>
        <v>0</v>
      </c>
      <c r="G82" s="113">
        <f>VLOOKUP(C82,'Talente &amp; Stuff'!CL:DM,5,FALSE)</f>
        <v>0</v>
      </c>
      <c r="H82" s="113">
        <f>VLOOKUP(C82,'Talente &amp; Stuff'!CL:DM,6,FALSE)</f>
        <v>0</v>
      </c>
      <c r="I82" s="113">
        <f>VLOOKUP(C82,'Talente &amp; Stuff'!CL:DM,7,FALSE)</f>
        <v>0</v>
      </c>
      <c r="J82" s="113">
        <f>VLOOKUP(C82,'Talente &amp; Stuff'!CL:DM,8,FALSE)</f>
        <v>0</v>
      </c>
      <c r="K82" s="113">
        <f>VLOOKUP(C82,'Talente &amp; Stuff'!CL:DM,9,FALSE)</f>
        <v>0</v>
      </c>
      <c r="L82" s="113">
        <f>VLOOKUP(C82,'Talente &amp; Stuff'!CL:DM,10,FALSE)</f>
        <v>0</v>
      </c>
      <c r="M82" s="119">
        <f>VLOOKUP(C82,'Talente &amp; Stuff'!CL:DM,11,FALSE)</f>
        <v>0</v>
      </c>
      <c r="N82" s="89">
        <f>VLOOKUP(C82,'Talente &amp; Stuff'!CL:DM,12,FALSE)</f>
        <v>0</v>
      </c>
      <c r="O82" s="47">
        <f>VLOOKUP(C82,'Talente &amp; Stuff'!CL:DM,13,FALSE)</f>
        <v>0</v>
      </c>
      <c r="P82" s="119">
        <f>VLOOKUP(C82,'Talente &amp; Stuff'!CL:DM,14,FALSE)</f>
        <v>0</v>
      </c>
      <c r="Q82" s="114">
        <f>VLOOKUP(C82,'Talente &amp; Stuff'!CL:DM,15,FALSE)</f>
        <v>0</v>
      </c>
      <c r="R82" s="113">
        <f>VLOOKUP(C82,'Talente &amp; Stuff'!CL:DM,16,FALSE)</f>
        <v>0</v>
      </c>
      <c r="S82" s="119">
        <f>VLOOKUP(C82,'Talente &amp; Stuff'!CL:DM,17,FALSE)</f>
        <v>0</v>
      </c>
      <c r="T82" s="160">
        <f>VLOOKUP(C82,'Talente &amp; Stuff'!CL:DM,18,FALSE)</f>
        <v>0</v>
      </c>
      <c r="U82" s="89">
        <f>VLOOKUP(C82,'Talente &amp; Stuff'!CL:DM,19,FALSE)</f>
        <v>0</v>
      </c>
      <c r="V82" s="47">
        <f>VLOOKUP(C82,'Talente &amp; Stuff'!CL:DM,20,FALSE)</f>
        <v>0</v>
      </c>
      <c r="W82" s="127">
        <f>VLOOKUP(C82,'Talente &amp; Stuff'!CL:DM,21,FALSE)</f>
        <v>0</v>
      </c>
      <c r="X82" s="127">
        <f>VLOOKUP(C82,'Talente &amp; Stuff'!CL:DM,22,FALSE)</f>
        <v>0</v>
      </c>
      <c r="Y82" s="165">
        <f t="shared" si="10"/>
        <v>0</v>
      </c>
      <c r="Z82" s="44">
        <f t="shared" si="11"/>
        <v>0</v>
      </c>
      <c r="AA82" s="125">
        <f>VLOOKUP(C82,'Talente &amp; Stuff'!CL:DM,25,FALSE)</f>
        <v>0</v>
      </c>
      <c r="AB82" s="160">
        <f>VLOOKUP(C82,'Talente &amp; Stuff'!CL:DM,26,FALSE)</f>
        <v>0</v>
      </c>
      <c r="AC82" s="127">
        <f>VLOOKUP(C82,'Talente &amp; Stuff'!CL:DM,27,FALSE)</f>
        <v>0</v>
      </c>
      <c r="AD82" s="125">
        <f>VLOOKUP(C82,'Talente &amp; Stuff'!CL:DM,28,FALSE)</f>
        <v>0</v>
      </c>
      <c r="AE82" s="28"/>
    </row>
    <row r="83" spans="2:31" ht="15" hidden="1" customHeight="1" outlineLevel="2">
      <c r="B83" s="148">
        <v>6</v>
      </c>
      <c r="C83" s="177" t="str">
        <f>Attribute!C83</f>
        <v>---</v>
      </c>
      <c r="D83" s="125" t="str">
        <f>VLOOKUP(C83,'Talente &amp; Stuff'!CL:DM,2,FALSE)</f>
        <v>--/--/--</v>
      </c>
      <c r="E83" s="127" t="str">
        <f>VLOOKUP(C83,'Talente &amp; Stuff'!CL:DM,3,FALSE)</f>
        <v>-</v>
      </c>
      <c r="F83" s="114">
        <f>VLOOKUP(C83,'Talente &amp; Stuff'!CL:DM,4,FALSE)</f>
        <v>0</v>
      </c>
      <c r="G83" s="113">
        <f>VLOOKUP(C83,'Talente &amp; Stuff'!CL:DM,5,FALSE)</f>
        <v>0</v>
      </c>
      <c r="H83" s="113">
        <f>VLOOKUP(C83,'Talente &amp; Stuff'!CL:DM,6,FALSE)</f>
        <v>0</v>
      </c>
      <c r="I83" s="113">
        <f>VLOOKUP(C83,'Talente &amp; Stuff'!CL:DM,7,FALSE)</f>
        <v>0</v>
      </c>
      <c r="J83" s="113">
        <f>VLOOKUP(C83,'Talente &amp; Stuff'!CL:DM,8,FALSE)</f>
        <v>0</v>
      </c>
      <c r="K83" s="113">
        <f>VLOOKUP(C83,'Talente &amp; Stuff'!CL:DM,9,FALSE)</f>
        <v>0</v>
      </c>
      <c r="L83" s="113">
        <f>VLOOKUP(C83,'Talente &amp; Stuff'!CL:DM,10,FALSE)</f>
        <v>0</v>
      </c>
      <c r="M83" s="119">
        <f>VLOOKUP(C83,'Talente &amp; Stuff'!CL:DM,11,FALSE)</f>
        <v>0</v>
      </c>
      <c r="N83" s="89">
        <f>VLOOKUP(C83,'Talente &amp; Stuff'!CL:DM,12,FALSE)</f>
        <v>0</v>
      </c>
      <c r="O83" s="47">
        <f>VLOOKUP(C83,'Talente &amp; Stuff'!CL:DM,13,FALSE)</f>
        <v>0</v>
      </c>
      <c r="P83" s="119">
        <f>VLOOKUP(C83,'Talente &amp; Stuff'!CL:DM,14,FALSE)</f>
        <v>0</v>
      </c>
      <c r="Q83" s="114">
        <f>VLOOKUP(C83,'Talente &amp; Stuff'!CL:DM,15,FALSE)</f>
        <v>0</v>
      </c>
      <c r="R83" s="113">
        <f>VLOOKUP(C83,'Talente &amp; Stuff'!CL:DM,16,FALSE)</f>
        <v>0</v>
      </c>
      <c r="S83" s="119">
        <f>VLOOKUP(C83,'Talente &amp; Stuff'!CL:DM,17,FALSE)</f>
        <v>0</v>
      </c>
      <c r="T83" s="160">
        <f>VLOOKUP(C83,'Talente &amp; Stuff'!CL:DM,18,FALSE)</f>
        <v>0</v>
      </c>
      <c r="U83" s="89">
        <f>VLOOKUP(C83,'Talente &amp; Stuff'!CL:DM,19,FALSE)</f>
        <v>0</v>
      </c>
      <c r="V83" s="47">
        <f>VLOOKUP(C83,'Talente &amp; Stuff'!CL:DM,20,FALSE)</f>
        <v>0</v>
      </c>
      <c r="W83" s="127">
        <f>VLOOKUP(C83,'Talente &amp; Stuff'!CL:DM,21,FALSE)</f>
        <v>0</v>
      </c>
      <c r="X83" s="127">
        <f>VLOOKUP(C83,'Talente &amp; Stuff'!CL:DM,22,FALSE)</f>
        <v>0</v>
      </c>
      <c r="Y83" s="165">
        <f t="shared" si="10"/>
        <v>0</v>
      </c>
      <c r="Z83" s="44">
        <f t="shared" si="11"/>
        <v>0</v>
      </c>
      <c r="AA83" s="125">
        <f>VLOOKUP(C83,'Talente &amp; Stuff'!CL:DM,25,FALSE)</f>
        <v>0</v>
      </c>
      <c r="AB83" s="160">
        <f>VLOOKUP(C83,'Talente &amp; Stuff'!CL:DM,26,FALSE)</f>
        <v>0</v>
      </c>
      <c r="AC83" s="127">
        <f>VLOOKUP(C83,'Talente &amp; Stuff'!CL:DM,27,FALSE)</f>
        <v>0</v>
      </c>
      <c r="AD83" s="125">
        <f>VLOOKUP(C83,'Talente &amp; Stuff'!CL:DM,28,FALSE)</f>
        <v>0</v>
      </c>
      <c r="AE83" s="28"/>
    </row>
    <row r="84" spans="2:31" ht="15" hidden="1" customHeight="1" outlineLevel="2">
      <c r="B84" s="148">
        <v>7</v>
      </c>
      <c r="C84" s="177" t="str">
        <f>Attribute!C84</f>
        <v>---</v>
      </c>
      <c r="D84" s="125" t="str">
        <f>VLOOKUP(C84,'Talente &amp; Stuff'!CL:DM,2,FALSE)</f>
        <v>--/--/--</v>
      </c>
      <c r="E84" s="127" t="str">
        <f>VLOOKUP(C84,'Talente &amp; Stuff'!CL:DM,3,FALSE)</f>
        <v>-</v>
      </c>
      <c r="F84" s="114">
        <f>VLOOKUP(C84,'Talente &amp; Stuff'!CL:DM,4,FALSE)</f>
        <v>0</v>
      </c>
      <c r="G84" s="113">
        <f>VLOOKUP(C84,'Talente &amp; Stuff'!CL:DM,5,FALSE)</f>
        <v>0</v>
      </c>
      <c r="H84" s="113">
        <f>VLOOKUP(C84,'Talente &amp; Stuff'!CL:DM,6,FALSE)</f>
        <v>0</v>
      </c>
      <c r="I84" s="113">
        <f>VLOOKUP(C84,'Talente &amp; Stuff'!CL:DM,7,FALSE)</f>
        <v>0</v>
      </c>
      <c r="J84" s="113">
        <f>VLOOKUP(C84,'Talente &amp; Stuff'!CL:DM,8,FALSE)</f>
        <v>0</v>
      </c>
      <c r="K84" s="113">
        <f>VLOOKUP(C84,'Talente &amp; Stuff'!CL:DM,9,FALSE)</f>
        <v>0</v>
      </c>
      <c r="L84" s="113">
        <f>VLOOKUP(C84,'Talente &amp; Stuff'!CL:DM,10,FALSE)</f>
        <v>0</v>
      </c>
      <c r="M84" s="119">
        <f>VLOOKUP(C84,'Talente &amp; Stuff'!CL:DM,11,FALSE)</f>
        <v>0</v>
      </c>
      <c r="N84" s="89">
        <f>VLOOKUP(C84,'Talente &amp; Stuff'!CL:DM,12,FALSE)</f>
        <v>0</v>
      </c>
      <c r="O84" s="47">
        <f>VLOOKUP(C84,'Talente &amp; Stuff'!CL:DM,13,FALSE)</f>
        <v>0</v>
      </c>
      <c r="P84" s="119">
        <f>VLOOKUP(C84,'Talente &amp; Stuff'!CL:DM,14,FALSE)</f>
        <v>0</v>
      </c>
      <c r="Q84" s="114">
        <f>VLOOKUP(C84,'Talente &amp; Stuff'!CL:DM,15,FALSE)</f>
        <v>0</v>
      </c>
      <c r="R84" s="113">
        <f>VLOOKUP(C84,'Talente &amp; Stuff'!CL:DM,16,FALSE)</f>
        <v>0</v>
      </c>
      <c r="S84" s="119">
        <f>VLOOKUP(C84,'Talente &amp; Stuff'!CL:DM,17,FALSE)</f>
        <v>0</v>
      </c>
      <c r="T84" s="160">
        <f>VLOOKUP(C84,'Talente &amp; Stuff'!CL:DM,18,FALSE)</f>
        <v>0</v>
      </c>
      <c r="U84" s="89">
        <f>VLOOKUP(C84,'Talente &amp; Stuff'!CL:DM,19,FALSE)</f>
        <v>0</v>
      </c>
      <c r="V84" s="47">
        <f>VLOOKUP(C84,'Talente &amp; Stuff'!CL:DM,20,FALSE)</f>
        <v>0</v>
      </c>
      <c r="W84" s="127">
        <f>VLOOKUP(C84,'Talente &amp; Stuff'!CL:DM,21,FALSE)</f>
        <v>0</v>
      </c>
      <c r="X84" s="127">
        <f>VLOOKUP(C84,'Talente &amp; Stuff'!CL:DM,22,FALSE)</f>
        <v>0</v>
      </c>
      <c r="Y84" s="165">
        <f t="shared" si="10"/>
        <v>0</v>
      </c>
      <c r="Z84" s="44">
        <f t="shared" si="11"/>
        <v>0</v>
      </c>
      <c r="AA84" s="125">
        <f>VLOOKUP(C84,'Talente &amp; Stuff'!CL:DM,25,FALSE)</f>
        <v>0</v>
      </c>
      <c r="AB84" s="160">
        <f>VLOOKUP(C84,'Talente &amp; Stuff'!CL:DM,26,FALSE)</f>
        <v>0</v>
      </c>
      <c r="AC84" s="127">
        <f>VLOOKUP(C84,'Talente &amp; Stuff'!CL:DM,27,FALSE)</f>
        <v>0</v>
      </c>
      <c r="AD84" s="125">
        <f>VLOOKUP(C84,'Talente &amp; Stuff'!CL:DM,28,FALSE)</f>
        <v>0</v>
      </c>
      <c r="AE84" s="28"/>
    </row>
    <row r="85" spans="2:31" ht="15" hidden="1" customHeight="1" outlineLevel="2">
      <c r="B85" s="148">
        <v>8</v>
      </c>
      <c r="C85" s="177" t="str">
        <f>Attribute!C85</f>
        <v>---</v>
      </c>
      <c r="D85" s="125" t="str">
        <f>VLOOKUP(C85,'Talente &amp; Stuff'!CL:DM,2,FALSE)</f>
        <v>--/--/--</v>
      </c>
      <c r="E85" s="127" t="str">
        <f>VLOOKUP(C85,'Talente &amp; Stuff'!CL:DM,3,FALSE)</f>
        <v>-</v>
      </c>
      <c r="F85" s="114">
        <f>VLOOKUP(C85,'Talente &amp; Stuff'!CL:DM,4,FALSE)</f>
        <v>0</v>
      </c>
      <c r="G85" s="113">
        <f>VLOOKUP(C85,'Talente &amp; Stuff'!CL:DM,5,FALSE)</f>
        <v>0</v>
      </c>
      <c r="H85" s="113">
        <f>VLOOKUP(C85,'Talente &amp; Stuff'!CL:DM,6,FALSE)</f>
        <v>0</v>
      </c>
      <c r="I85" s="113">
        <f>VLOOKUP(C85,'Talente &amp; Stuff'!CL:DM,7,FALSE)</f>
        <v>0</v>
      </c>
      <c r="J85" s="113">
        <f>VLOOKUP(C85,'Talente &amp; Stuff'!CL:DM,8,FALSE)</f>
        <v>0</v>
      </c>
      <c r="K85" s="113">
        <f>VLOOKUP(C85,'Talente &amp; Stuff'!CL:DM,9,FALSE)</f>
        <v>0</v>
      </c>
      <c r="L85" s="113">
        <f>VLOOKUP(C85,'Talente &amp; Stuff'!CL:DM,10,FALSE)</f>
        <v>0</v>
      </c>
      <c r="M85" s="119">
        <f>VLOOKUP(C85,'Talente &amp; Stuff'!CL:DM,11,FALSE)</f>
        <v>0</v>
      </c>
      <c r="N85" s="89">
        <f>VLOOKUP(C85,'Talente &amp; Stuff'!CL:DM,12,FALSE)</f>
        <v>0</v>
      </c>
      <c r="O85" s="47">
        <f>VLOOKUP(C85,'Talente &amp; Stuff'!CL:DM,13,FALSE)</f>
        <v>0</v>
      </c>
      <c r="P85" s="119">
        <f>VLOOKUP(C85,'Talente &amp; Stuff'!CL:DM,14,FALSE)</f>
        <v>0</v>
      </c>
      <c r="Q85" s="114">
        <f>VLOOKUP(C85,'Talente &amp; Stuff'!CL:DM,15,FALSE)</f>
        <v>0</v>
      </c>
      <c r="R85" s="113">
        <f>VLOOKUP(C85,'Talente &amp; Stuff'!CL:DM,16,FALSE)</f>
        <v>0</v>
      </c>
      <c r="S85" s="119">
        <f>VLOOKUP(C85,'Talente &amp; Stuff'!CL:DM,17,FALSE)</f>
        <v>0</v>
      </c>
      <c r="T85" s="160">
        <f>VLOOKUP(C85,'Talente &amp; Stuff'!CL:DM,18,FALSE)</f>
        <v>0</v>
      </c>
      <c r="U85" s="89">
        <f>VLOOKUP(C85,'Talente &amp; Stuff'!CL:DM,19,FALSE)</f>
        <v>0</v>
      </c>
      <c r="V85" s="47">
        <f>VLOOKUP(C85,'Talente &amp; Stuff'!CL:DM,20,FALSE)</f>
        <v>0</v>
      </c>
      <c r="W85" s="127">
        <f>VLOOKUP(C85,'Talente &amp; Stuff'!CL:DM,21,FALSE)</f>
        <v>0</v>
      </c>
      <c r="X85" s="127">
        <f>VLOOKUP(C85,'Talente &amp; Stuff'!CL:DM,22,FALSE)</f>
        <v>0</v>
      </c>
      <c r="Y85" s="165">
        <f t="shared" si="10"/>
        <v>0</v>
      </c>
      <c r="Z85" s="44">
        <f t="shared" si="11"/>
        <v>0</v>
      </c>
      <c r="AA85" s="125">
        <f>VLOOKUP(C85,'Talente &amp; Stuff'!CL:DM,25,FALSE)</f>
        <v>0</v>
      </c>
      <c r="AB85" s="160">
        <f>VLOOKUP(C85,'Talente &amp; Stuff'!CL:DM,26,FALSE)</f>
        <v>0</v>
      </c>
      <c r="AC85" s="127">
        <f>VLOOKUP(C85,'Talente &amp; Stuff'!CL:DM,27,FALSE)</f>
        <v>0</v>
      </c>
      <c r="AD85" s="125">
        <f>VLOOKUP(C85,'Talente &amp; Stuff'!CL:DM,28,FALSE)</f>
        <v>0</v>
      </c>
      <c r="AE85" s="28"/>
    </row>
    <row r="86" spans="2:31" ht="15" hidden="1" customHeight="1" outlineLevel="2">
      <c r="B86" s="148">
        <v>9</v>
      </c>
      <c r="C86" s="177" t="str">
        <f>Attribute!C86</f>
        <v>---</v>
      </c>
      <c r="D86" s="125" t="str">
        <f>VLOOKUP(C86,'Talente &amp; Stuff'!CL:DM,2,FALSE)</f>
        <v>--/--/--</v>
      </c>
      <c r="E86" s="127" t="str">
        <f>VLOOKUP(C86,'Talente &amp; Stuff'!CL:DM,3,FALSE)</f>
        <v>-</v>
      </c>
      <c r="F86" s="114">
        <f>VLOOKUP(C86,'Talente &amp; Stuff'!CL:DM,4,FALSE)</f>
        <v>0</v>
      </c>
      <c r="G86" s="113">
        <f>VLOOKUP(C86,'Talente &amp; Stuff'!CL:DM,5,FALSE)</f>
        <v>0</v>
      </c>
      <c r="H86" s="113">
        <f>VLOOKUP(C86,'Talente &amp; Stuff'!CL:DM,6,FALSE)</f>
        <v>0</v>
      </c>
      <c r="I86" s="113">
        <f>VLOOKUP(C86,'Talente &amp; Stuff'!CL:DM,7,FALSE)</f>
        <v>0</v>
      </c>
      <c r="J86" s="113">
        <f>VLOOKUP(C86,'Talente &amp; Stuff'!CL:DM,8,FALSE)</f>
        <v>0</v>
      </c>
      <c r="K86" s="113">
        <f>VLOOKUP(C86,'Talente &amp; Stuff'!CL:DM,9,FALSE)</f>
        <v>0</v>
      </c>
      <c r="L86" s="113">
        <f>VLOOKUP(C86,'Talente &amp; Stuff'!CL:DM,10,FALSE)</f>
        <v>0</v>
      </c>
      <c r="M86" s="119">
        <f>VLOOKUP(C86,'Talente &amp; Stuff'!CL:DM,11,FALSE)</f>
        <v>0</v>
      </c>
      <c r="N86" s="89">
        <f>VLOOKUP(C86,'Talente &amp; Stuff'!CL:DM,12,FALSE)</f>
        <v>0</v>
      </c>
      <c r="O86" s="47">
        <f>VLOOKUP(C86,'Talente &amp; Stuff'!CL:DM,13,FALSE)</f>
        <v>0</v>
      </c>
      <c r="P86" s="119">
        <f>VLOOKUP(C86,'Talente &amp; Stuff'!CL:DM,14,FALSE)</f>
        <v>0</v>
      </c>
      <c r="Q86" s="114">
        <f>VLOOKUP(C86,'Talente &amp; Stuff'!CL:DM,15,FALSE)</f>
        <v>0</v>
      </c>
      <c r="R86" s="113">
        <f>VLOOKUP(C86,'Talente &amp; Stuff'!CL:DM,16,FALSE)</f>
        <v>0</v>
      </c>
      <c r="S86" s="119">
        <f>VLOOKUP(C86,'Talente &amp; Stuff'!CL:DM,17,FALSE)</f>
        <v>0</v>
      </c>
      <c r="T86" s="160">
        <f>VLOOKUP(C86,'Talente &amp; Stuff'!CL:DM,18,FALSE)</f>
        <v>0</v>
      </c>
      <c r="U86" s="89">
        <f>VLOOKUP(C86,'Talente &amp; Stuff'!CL:DM,19,FALSE)</f>
        <v>0</v>
      </c>
      <c r="V86" s="47">
        <f>VLOOKUP(C86,'Talente &amp; Stuff'!CL:DM,20,FALSE)</f>
        <v>0</v>
      </c>
      <c r="W86" s="127">
        <f>VLOOKUP(C86,'Talente &amp; Stuff'!CL:DM,21,FALSE)</f>
        <v>0</v>
      </c>
      <c r="X86" s="127">
        <f>VLOOKUP(C86,'Talente &amp; Stuff'!CL:DM,22,FALSE)</f>
        <v>0</v>
      </c>
      <c r="Y86" s="165">
        <f t="shared" si="10"/>
        <v>0</v>
      </c>
      <c r="Z86" s="44">
        <f t="shared" si="11"/>
        <v>0</v>
      </c>
      <c r="AA86" s="125">
        <f>VLOOKUP(C86,'Talente &amp; Stuff'!CL:DM,25,FALSE)</f>
        <v>0</v>
      </c>
      <c r="AB86" s="160">
        <f>VLOOKUP(C86,'Talente &amp; Stuff'!CL:DM,26,FALSE)</f>
        <v>0</v>
      </c>
      <c r="AC86" s="127">
        <f>VLOOKUP(C86,'Talente &amp; Stuff'!CL:DM,27,FALSE)</f>
        <v>0</v>
      </c>
      <c r="AD86" s="125">
        <f>VLOOKUP(C86,'Talente &amp; Stuff'!CL:DM,28,FALSE)</f>
        <v>0</v>
      </c>
      <c r="AE86" s="28"/>
    </row>
    <row r="87" spans="2:31" ht="15" hidden="1" customHeight="1" outlineLevel="2">
      <c r="B87" s="148">
        <v>10</v>
      </c>
      <c r="C87" s="177" t="str">
        <f>Attribute!C87</f>
        <v>---</v>
      </c>
      <c r="D87" s="125" t="str">
        <f>VLOOKUP(C87,'Talente &amp; Stuff'!CL:DM,2,FALSE)</f>
        <v>--/--/--</v>
      </c>
      <c r="E87" s="127" t="str">
        <f>VLOOKUP(C87,'Talente &amp; Stuff'!CL:DM,3,FALSE)</f>
        <v>-</v>
      </c>
      <c r="F87" s="114">
        <f>VLOOKUP(C87,'Talente &amp; Stuff'!CL:DM,4,FALSE)</f>
        <v>0</v>
      </c>
      <c r="G87" s="113">
        <f>VLOOKUP(C87,'Talente &amp; Stuff'!CL:DM,5,FALSE)</f>
        <v>0</v>
      </c>
      <c r="H87" s="113">
        <f>VLOOKUP(C87,'Talente &amp; Stuff'!CL:DM,6,FALSE)</f>
        <v>0</v>
      </c>
      <c r="I87" s="113">
        <f>VLOOKUP(C87,'Talente &amp; Stuff'!CL:DM,7,FALSE)</f>
        <v>0</v>
      </c>
      <c r="J87" s="113">
        <f>VLOOKUP(C87,'Talente &amp; Stuff'!CL:DM,8,FALSE)</f>
        <v>0</v>
      </c>
      <c r="K87" s="113">
        <f>VLOOKUP(C87,'Talente &amp; Stuff'!CL:DM,9,FALSE)</f>
        <v>0</v>
      </c>
      <c r="L87" s="113">
        <f>VLOOKUP(C87,'Talente &amp; Stuff'!CL:DM,10,FALSE)</f>
        <v>0</v>
      </c>
      <c r="M87" s="119">
        <f>VLOOKUP(C87,'Talente &amp; Stuff'!CL:DM,11,FALSE)</f>
        <v>0</v>
      </c>
      <c r="N87" s="89">
        <f>VLOOKUP(C87,'Talente &amp; Stuff'!CL:DM,12,FALSE)</f>
        <v>0</v>
      </c>
      <c r="O87" s="47">
        <f>VLOOKUP(C87,'Talente &amp; Stuff'!CL:DM,13,FALSE)</f>
        <v>0</v>
      </c>
      <c r="P87" s="119">
        <f>VLOOKUP(C87,'Talente &amp; Stuff'!CL:DM,14,FALSE)</f>
        <v>0</v>
      </c>
      <c r="Q87" s="114">
        <f>VLOOKUP(C87,'Talente &amp; Stuff'!CL:DM,15,FALSE)</f>
        <v>0</v>
      </c>
      <c r="R87" s="113">
        <f>VLOOKUP(C87,'Talente &amp; Stuff'!CL:DM,16,FALSE)</f>
        <v>0</v>
      </c>
      <c r="S87" s="119">
        <f>VLOOKUP(C87,'Talente &amp; Stuff'!CL:DM,17,FALSE)</f>
        <v>0</v>
      </c>
      <c r="T87" s="160">
        <f>VLOOKUP(C87,'Talente &amp; Stuff'!CL:DM,18,FALSE)</f>
        <v>0</v>
      </c>
      <c r="U87" s="89">
        <f>VLOOKUP(C87,'Talente &amp; Stuff'!CL:DM,19,FALSE)</f>
        <v>0</v>
      </c>
      <c r="V87" s="47">
        <f>VLOOKUP(C87,'Talente &amp; Stuff'!CL:DM,20,FALSE)</f>
        <v>0</v>
      </c>
      <c r="W87" s="127">
        <f>VLOOKUP(C87,'Talente &amp; Stuff'!CL:DM,21,FALSE)</f>
        <v>0</v>
      </c>
      <c r="X87" s="127">
        <f>VLOOKUP(C87,'Talente &amp; Stuff'!CL:DM,22,FALSE)</f>
        <v>0</v>
      </c>
      <c r="Y87" s="165">
        <f t="shared" si="10"/>
        <v>0</v>
      </c>
      <c r="Z87" s="44">
        <f t="shared" si="11"/>
        <v>0</v>
      </c>
      <c r="AA87" s="125">
        <f>VLOOKUP(C87,'Talente &amp; Stuff'!CL:DM,25,FALSE)</f>
        <v>0</v>
      </c>
      <c r="AB87" s="160">
        <f>VLOOKUP(C87,'Talente &amp; Stuff'!CL:DM,26,FALSE)</f>
        <v>0</v>
      </c>
      <c r="AC87" s="127">
        <f>VLOOKUP(C87,'Talente &amp; Stuff'!CL:DM,27,FALSE)</f>
        <v>0</v>
      </c>
      <c r="AD87" s="125">
        <f>VLOOKUP(C87,'Talente &amp; Stuff'!CL:DM,28,FALSE)</f>
        <v>0</v>
      </c>
      <c r="AE87" s="28"/>
    </row>
    <row r="88" spans="2:31" ht="15" hidden="1" customHeight="1" outlineLevel="2">
      <c r="B88" s="148">
        <v>11</v>
      </c>
      <c r="C88" s="177" t="str">
        <f>Attribute!C88</f>
        <v>---</v>
      </c>
      <c r="D88" s="125" t="str">
        <f>VLOOKUP(C88,'Talente &amp; Stuff'!CL:DM,2,FALSE)</f>
        <v>--/--/--</v>
      </c>
      <c r="E88" s="127" t="str">
        <f>VLOOKUP(C88,'Talente &amp; Stuff'!CL:DM,3,FALSE)</f>
        <v>-</v>
      </c>
      <c r="F88" s="114">
        <f>VLOOKUP(C88,'Talente &amp; Stuff'!CL:DM,4,FALSE)</f>
        <v>0</v>
      </c>
      <c r="G88" s="113">
        <f>VLOOKUP(C88,'Talente &amp; Stuff'!CL:DM,5,FALSE)</f>
        <v>0</v>
      </c>
      <c r="H88" s="113">
        <f>VLOOKUP(C88,'Talente &amp; Stuff'!CL:DM,6,FALSE)</f>
        <v>0</v>
      </c>
      <c r="I88" s="113">
        <f>VLOOKUP(C88,'Talente &amp; Stuff'!CL:DM,7,FALSE)</f>
        <v>0</v>
      </c>
      <c r="J88" s="113">
        <f>VLOOKUP(C88,'Talente &amp; Stuff'!CL:DM,8,FALSE)</f>
        <v>0</v>
      </c>
      <c r="K88" s="113">
        <f>VLOOKUP(C88,'Talente &amp; Stuff'!CL:DM,9,FALSE)</f>
        <v>0</v>
      </c>
      <c r="L88" s="113">
        <f>VLOOKUP(C88,'Talente &amp; Stuff'!CL:DM,10,FALSE)</f>
        <v>0</v>
      </c>
      <c r="M88" s="119">
        <f>VLOOKUP(C88,'Talente &amp; Stuff'!CL:DM,11,FALSE)</f>
        <v>0</v>
      </c>
      <c r="N88" s="89">
        <f>VLOOKUP(C88,'Talente &amp; Stuff'!CL:DM,12,FALSE)</f>
        <v>0</v>
      </c>
      <c r="O88" s="47">
        <f>VLOOKUP(C88,'Talente &amp; Stuff'!CL:DM,13,FALSE)</f>
        <v>0</v>
      </c>
      <c r="P88" s="119">
        <f>VLOOKUP(C88,'Talente &amp; Stuff'!CL:DM,14,FALSE)</f>
        <v>0</v>
      </c>
      <c r="Q88" s="114">
        <f>VLOOKUP(C88,'Talente &amp; Stuff'!CL:DM,15,FALSE)</f>
        <v>0</v>
      </c>
      <c r="R88" s="113">
        <f>VLOOKUP(C88,'Talente &amp; Stuff'!CL:DM,16,FALSE)</f>
        <v>0</v>
      </c>
      <c r="S88" s="119">
        <f>VLOOKUP(C88,'Talente &amp; Stuff'!CL:DM,17,FALSE)</f>
        <v>0</v>
      </c>
      <c r="T88" s="160">
        <f>VLOOKUP(C88,'Talente &amp; Stuff'!CL:DM,18,FALSE)</f>
        <v>0</v>
      </c>
      <c r="U88" s="89">
        <f>VLOOKUP(C88,'Talente &amp; Stuff'!CL:DM,19,FALSE)</f>
        <v>0</v>
      </c>
      <c r="V88" s="47">
        <f>VLOOKUP(C88,'Talente &amp; Stuff'!CL:DM,20,FALSE)</f>
        <v>0</v>
      </c>
      <c r="W88" s="127">
        <f>VLOOKUP(C88,'Talente &amp; Stuff'!CL:DM,21,FALSE)</f>
        <v>0</v>
      </c>
      <c r="X88" s="127">
        <f>VLOOKUP(C88,'Talente &amp; Stuff'!CL:DM,22,FALSE)</f>
        <v>0</v>
      </c>
      <c r="Y88" s="165">
        <f t="shared" si="10"/>
        <v>0</v>
      </c>
      <c r="Z88" s="44">
        <f t="shared" si="11"/>
        <v>0</v>
      </c>
      <c r="AA88" s="125">
        <f>VLOOKUP(C88,'Talente &amp; Stuff'!CL:DM,25,FALSE)</f>
        <v>0</v>
      </c>
      <c r="AB88" s="160">
        <f>VLOOKUP(C88,'Talente &amp; Stuff'!CL:DM,26,FALSE)</f>
        <v>0</v>
      </c>
      <c r="AC88" s="127">
        <f>VLOOKUP(C88,'Talente &amp; Stuff'!CL:DM,27,FALSE)</f>
        <v>0</v>
      </c>
      <c r="AD88" s="125">
        <f>VLOOKUP(C88,'Talente &amp; Stuff'!CL:DM,28,FALSE)</f>
        <v>0</v>
      </c>
      <c r="AE88" s="28"/>
    </row>
    <row r="89" spans="2:31" ht="15" hidden="1" customHeight="1" outlineLevel="2">
      <c r="B89" s="148">
        <v>12</v>
      </c>
      <c r="C89" s="177" t="str">
        <f>Attribute!C89</f>
        <v>---</v>
      </c>
      <c r="D89" s="125" t="str">
        <f>VLOOKUP(C89,'Talente &amp; Stuff'!CL:DM,2,FALSE)</f>
        <v>--/--/--</v>
      </c>
      <c r="E89" s="127" t="str">
        <f>VLOOKUP(C89,'Talente &amp; Stuff'!CL:DM,3,FALSE)</f>
        <v>-</v>
      </c>
      <c r="F89" s="114">
        <f>VLOOKUP(C89,'Talente &amp; Stuff'!CL:DM,4,FALSE)</f>
        <v>0</v>
      </c>
      <c r="G89" s="113">
        <f>VLOOKUP(C89,'Talente &amp; Stuff'!CL:DM,5,FALSE)</f>
        <v>0</v>
      </c>
      <c r="H89" s="113">
        <f>VLOOKUP(C89,'Talente &amp; Stuff'!CL:DM,6,FALSE)</f>
        <v>0</v>
      </c>
      <c r="I89" s="113">
        <f>VLOOKUP(C89,'Talente &amp; Stuff'!CL:DM,7,FALSE)</f>
        <v>0</v>
      </c>
      <c r="J89" s="113">
        <f>VLOOKUP(C89,'Talente &amp; Stuff'!CL:DM,8,FALSE)</f>
        <v>0</v>
      </c>
      <c r="K89" s="113">
        <f>VLOOKUP(C89,'Talente &amp; Stuff'!CL:DM,9,FALSE)</f>
        <v>0</v>
      </c>
      <c r="L89" s="113">
        <f>VLOOKUP(C89,'Talente &amp; Stuff'!CL:DM,10,FALSE)</f>
        <v>0</v>
      </c>
      <c r="M89" s="119">
        <f>VLOOKUP(C89,'Talente &amp; Stuff'!CL:DM,11,FALSE)</f>
        <v>0</v>
      </c>
      <c r="N89" s="89">
        <f>VLOOKUP(C89,'Talente &amp; Stuff'!CL:DM,12,FALSE)</f>
        <v>0</v>
      </c>
      <c r="O89" s="47">
        <f>VLOOKUP(C89,'Talente &amp; Stuff'!CL:DM,13,FALSE)</f>
        <v>0</v>
      </c>
      <c r="P89" s="119">
        <f>VLOOKUP(C89,'Talente &amp; Stuff'!CL:DM,14,FALSE)</f>
        <v>0</v>
      </c>
      <c r="Q89" s="114">
        <f>VLOOKUP(C89,'Talente &amp; Stuff'!CL:DM,15,FALSE)</f>
        <v>0</v>
      </c>
      <c r="R89" s="113">
        <f>VLOOKUP(C89,'Talente &amp; Stuff'!CL:DM,16,FALSE)</f>
        <v>0</v>
      </c>
      <c r="S89" s="119">
        <f>VLOOKUP(C89,'Talente &amp; Stuff'!CL:DM,17,FALSE)</f>
        <v>0</v>
      </c>
      <c r="T89" s="160">
        <f>VLOOKUP(C89,'Talente &amp; Stuff'!CL:DM,18,FALSE)</f>
        <v>0</v>
      </c>
      <c r="U89" s="89">
        <f>VLOOKUP(C89,'Talente &amp; Stuff'!CL:DM,19,FALSE)</f>
        <v>0</v>
      </c>
      <c r="V89" s="47">
        <f>VLOOKUP(C89,'Talente &amp; Stuff'!CL:DM,20,FALSE)</f>
        <v>0</v>
      </c>
      <c r="W89" s="127">
        <f>VLOOKUP(C89,'Talente &amp; Stuff'!CL:DM,21,FALSE)</f>
        <v>0</v>
      </c>
      <c r="X89" s="127">
        <f>VLOOKUP(C89,'Talente &amp; Stuff'!CL:DM,22,FALSE)</f>
        <v>0</v>
      </c>
      <c r="Y89" s="165">
        <f t="shared" si="10"/>
        <v>0</v>
      </c>
      <c r="Z89" s="44">
        <f t="shared" si="11"/>
        <v>0</v>
      </c>
      <c r="AA89" s="125">
        <f>VLOOKUP(C89,'Talente &amp; Stuff'!CL:DM,25,FALSE)</f>
        <v>0</v>
      </c>
      <c r="AB89" s="160">
        <f>VLOOKUP(C89,'Talente &amp; Stuff'!CL:DM,26,FALSE)</f>
        <v>0</v>
      </c>
      <c r="AC89" s="127">
        <f>VLOOKUP(C89,'Talente &amp; Stuff'!CL:DM,27,FALSE)</f>
        <v>0</v>
      </c>
      <c r="AD89" s="125">
        <f>VLOOKUP(C89,'Talente &amp; Stuff'!CL:DM,28,FALSE)</f>
        <v>0</v>
      </c>
      <c r="AE89" s="28"/>
    </row>
    <row r="90" spans="2:31" ht="15" hidden="1" customHeight="1" outlineLevel="2">
      <c r="B90" s="148">
        <v>13</v>
      </c>
      <c r="C90" s="177" t="str">
        <f>Attribute!C90</f>
        <v>---</v>
      </c>
      <c r="D90" s="125" t="str">
        <f>VLOOKUP(C90,'Talente &amp; Stuff'!CL:DM,2,FALSE)</f>
        <v>--/--/--</v>
      </c>
      <c r="E90" s="127" t="str">
        <f>VLOOKUP(C90,'Talente &amp; Stuff'!CL:DM,3,FALSE)</f>
        <v>-</v>
      </c>
      <c r="F90" s="114">
        <f>VLOOKUP(C90,'Talente &amp; Stuff'!CL:DM,4,FALSE)</f>
        <v>0</v>
      </c>
      <c r="G90" s="113">
        <f>VLOOKUP(C90,'Talente &amp; Stuff'!CL:DM,5,FALSE)</f>
        <v>0</v>
      </c>
      <c r="H90" s="113">
        <f>VLOOKUP(C90,'Talente &amp; Stuff'!CL:DM,6,FALSE)</f>
        <v>0</v>
      </c>
      <c r="I90" s="113">
        <f>VLOOKUP(C90,'Talente &amp; Stuff'!CL:DM,7,FALSE)</f>
        <v>0</v>
      </c>
      <c r="J90" s="113">
        <f>VLOOKUP(C90,'Talente &amp; Stuff'!CL:DM,8,FALSE)</f>
        <v>0</v>
      </c>
      <c r="K90" s="113">
        <f>VLOOKUP(C90,'Talente &amp; Stuff'!CL:DM,9,FALSE)</f>
        <v>0</v>
      </c>
      <c r="L90" s="113">
        <f>VLOOKUP(C90,'Talente &amp; Stuff'!CL:DM,10,FALSE)</f>
        <v>0</v>
      </c>
      <c r="M90" s="119">
        <f>VLOOKUP(C90,'Talente &amp; Stuff'!CL:DM,11,FALSE)</f>
        <v>0</v>
      </c>
      <c r="N90" s="89">
        <f>VLOOKUP(C90,'Talente &amp; Stuff'!CL:DM,12,FALSE)</f>
        <v>0</v>
      </c>
      <c r="O90" s="47">
        <f>VLOOKUP(C90,'Talente &amp; Stuff'!CL:DM,13,FALSE)</f>
        <v>0</v>
      </c>
      <c r="P90" s="119">
        <f>VLOOKUP(C90,'Talente &amp; Stuff'!CL:DM,14,FALSE)</f>
        <v>0</v>
      </c>
      <c r="Q90" s="114">
        <f>VLOOKUP(C90,'Talente &amp; Stuff'!CL:DM,15,FALSE)</f>
        <v>0</v>
      </c>
      <c r="R90" s="113">
        <f>VLOOKUP(C90,'Talente &amp; Stuff'!CL:DM,16,FALSE)</f>
        <v>0</v>
      </c>
      <c r="S90" s="119">
        <f>VLOOKUP(C90,'Talente &amp; Stuff'!CL:DM,17,FALSE)</f>
        <v>0</v>
      </c>
      <c r="T90" s="160">
        <f>VLOOKUP(C90,'Talente &amp; Stuff'!CL:DM,18,FALSE)</f>
        <v>0</v>
      </c>
      <c r="U90" s="89">
        <f>VLOOKUP(C90,'Talente &amp; Stuff'!CL:DM,19,FALSE)</f>
        <v>0</v>
      </c>
      <c r="V90" s="47">
        <f>VLOOKUP(C90,'Talente &amp; Stuff'!CL:DM,20,FALSE)</f>
        <v>0</v>
      </c>
      <c r="W90" s="127">
        <f>VLOOKUP(C90,'Talente &amp; Stuff'!CL:DM,21,FALSE)</f>
        <v>0</v>
      </c>
      <c r="X90" s="127">
        <f>VLOOKUP(C90,'Talente &amp; Stuff'!CL:DM,22,FALSE)</f>
        <v>0</v>
      </c>
      <c r="Y90" s="165">
        <f t="shared" si="10"/>
        <v>0</v>
      </c>
      <c r="Z90" s="44">
        <f t="shared" si="11"/>
        <v>0</v>
      </c>
      <c r="AA90" s="125">
        <f>VLOOKUP(C90,'Talente &amp; Stuff'!CL:DM,25,FALSE)</f>
        <v>0</v>
      </c>
      <c r="AB90" s="160">
        <f>VLOOKUP(C90,'Talente &amp; Stuff'!CL:DM,26,FALSE)</f>
        <v>0</v>
      </c>
      <c r="AC90" s="127">
        <f>VLOOKUP(C90,'Talente &amp; Stuff'!CL:DM,27,FALSE)</f>
        <v>0</v>
      </c>
      <c r="AD90" s="125">
        <f>VLOOKUP(C90,'Talente &amp; Stuff'!CL:DM,28,FALSE)</f>
        <v>0</v>
      </c>
      <c r="AE90" s="28"/>
    </row>
    <row r="91" spans="2:31" ht="15" hidden="1" customHeight="1" outlineLevel="2">
      <c r="B91" s="148">
        <v>14</v>
      </c>
      <c r="C91" s="177" t="str">
        <f>Attribute!C91</f>
        <v>---</v>
      </c>
      <c r="D91" s="125" t="str">
        <f>VLOOKUP(C91,'Talente &amp; Stuff'!CL:DM,2,FALSE)</f>
        <v>--/--/--</v>
      </c>
      <c r="E91" s="127" t="str">
        <f>VLOOKUP(C91,'Talente &amp; Stuff'!CL:DM,3,FALSE)</f>
        <v>-</v>
      </c>
      <c r="F91" s="114">
        <f>VLOOKUP(C91,'Talente &amp; Stuff'!CL:DM,4,FALSE)</f>
        <v>0</v>
      </c>
      <c r="G91" s="113">
        <f>VLOOKUP(C91,'Talente &amp; Stuff'!CL:DM,5,FALSE)</f>
        <v>0</v>
      </c>
      <c r="H91" s="113">
        <f>VLOOKUP(C91,'Talente &amp; Stuff'!CL:DM,6,FALSE)</f>
        <v>0</v>
      </c>
      <c r="I91" s="113">
        <f>VLOOKUP(C91,'Talente &amp; Stuff'!CL:DM,7,FALSE)</f>
        <v>0</v>
      </c>
      <c r="J91" s="113">
        <f>VLOOKUP(C91,'Talente &amp; Stuff'!CL:DM,8,FALSE)</f>
        <v>0</v>
      </c>
      <c r="K91" s="113">
        <f>VLOOKUP(C91,'Talente &amp; Stuff'!CL:DM,9,FALSE)</f>
        <v>0</v>
      </c>
      <c r="L91" s="113">
        <f>VLOOKUP(C91,'Talente &amp; Stuff'!CL:DM,10,FALSE)</f>
        <v>0</v>
      </c>
      <c r="M91" s="119">
        <f>VLOOKUP(C91,'Talente &amp; Stuff'!CL:DM,11,FALSE)</f>
        <v>0</v>
      </c>
      <c r="N91" s="89">
        <f>VLOOKUP(C91,'Talente &amp; Stuff'!CL:DM,12,FALSE)</f>
        <v>0</v>
      </c>
      <c r="O91" s="47">
        <f>VLOOKUP(C91,'Talente &amp; Stuff'!CL:DM,13,FALSE)</f>
        <v>0</v>
      </c>
      <c r="P91" s="119">
        <f>VLOOKUP(C91,'Talente &amp; Stuff'!CL:DM,14,FALSE)</f>
        <v>0</v>
      </c>
      <c r="Q91" s="114">
        <f>VLOOKUP(C91,'Talente &amp; Stuff'!CL:DM,15,FALSE)</f>
        <v>0</v>
      </c>
      <c r="R91" s="113">
        <f>VLOOKUP(C91,'Talente &amp; Stuff'!CL:DM,16,FALSE)</f>
        <v>0</v>
      </c>
      <c r="S91" s="119">
        <f>VLOOKUP(C91,'Talente &amp; Stuff'!CL:DM,17,FALSE)</f>
        <v>0</v>
      </c>
      <c r="T91" s="160">
        <f>VLOOKUP(C91,'Talente &amp; Stuff'!CL:DM,18,FALSE)</f>
        <v>0</v>
      </c>
      <c r="U91" s="89">
        <f>VLOOKUP(C91,'Talente &amp; Stuff'!CL:DM,19,FALSE)</f>
        <v>0</v>
      </c>
      <c r="V91" s="47">
        <f>VLOOKUP(C91,'Talente &amp; Stuff'!CL:DM,20,FALSE)</f>
        <v>0</v>
      </c>
      <c r="W91" s="127">
        <f>VLOOKUP(C91,'Talente &amp; Stuff'!CL:DM,21,FALSE)</f>
        <v>0</v>
      </c>
      <c r="X91" s="127">
        <f>VLOOKUP(C91,'Talente &amp; Stuff'!CL:DM,22,FALSE)</f>
        <v>0</v>
      </c>
      <c r="Y91" s="165">
        <f t="shared" si="10"/>
        <v>0</v>
      </c>
      <c r="Z91" s="44">
        <f t="shared" si="11"/>
        <v>0</v>
      </c>
      <c r="AA91" s="125">
        <f>VLOOKUP(C91,'Talente &amp; Stuff'!CL:DM,25,FALSE)</f>
        <v>0</v>
      </c>
      <c r="AB91" s="160">
        <f>VLOOKUP(C91,'Talente &amp; Stuff'!CL:DM,26,FALSE)</f>
        <v>0</v>
      </c>
      <c r="AC91" s="127">
        <f>VLOOKUP(C91,'Talente &amp; Stuff'!CL:DM,27,FALSE)</f>
        <v>0</v>
      </c>
      <c r="AD91" s="125">
        <f>VLOOKUP(C91,'Talente &amp; Stuff'!CL:DM,28,FALSE)</f>
        <v>0</v>
      </c>
      <c r="AE91" s="28"/>
    </row>
    <row r="92" spans="2:31" ht="15" hidden="1" customHeight="1" outlineLevel="2">
      <c r="B92" s="148">
        <v>15</v>
      </c>
      <c r="C92" s="177" t="str">
        <f>Attribute!C92</f>
        <v>---</v>
      </c>
      <c r="D92" s="86" t="str">
        <f>VLOOKUP(C92,'Talente &amp; Stuff'!CL:DM,2,FALSE)</f>
        <v>--/--/--</v>
      </c>
      <c r="E92" s="127" t="str">
        <f>VLOOKUP(C92,'Talente &amp; Stuff'!CL:DM,3,FALSE)</f>
        <v>-</v>
      </c>
      <c r="F92" s="114">
        <f>VLOOKUP(C92,'Talente &amp; Stuff'!CL:DM,4,FALSE)</f>
        <v>0</v>
      </c>
      <c r="G92" s="113">
        <f>VLOOKUP(C92,'Talente &amp; Stuff'!CL:DM,5,FALSE)</f>
        <v>0</v>
      </c>
      <c r="H92" s="113">
        <f>VLOOKUP(C92,'Talente &amp; Stuff'!CL:DM,6,FALSE)</f>
        <v>0</v>
      </c>
      <c r="I92" s="113">
        <f>VLOOKUP(C92,'Talente &amp; Stuff'!CL:DM,7,FALSE)</f>
        <v>0</v>
      </c>
      <c r="J92" s="113">
        <f>VLOOKUP(C92,'Talente &amp; Stuff'!CL:DM,8,FALSE)</f>
        <v>0</v>
      </c>
      <c r="K92" s="113">
        <f>VLOOKUP(C92,'Talente &amp; Stuff'!CL:DM,9,FALSE)</f>
        <v>0</v>
      </c>
      <c r="L92" s="113">
        <f>VLOOKUP(C92,'Talente &amp; Stuff'!CL:DM,10,FALSE)</f>
        <v>0</v>
      </c>
      <c r="M92" s="119">
        <f>VLOOKUP(C92,'Talente &amp; Stuff'!CL:DM,11,FALSE)</f>
        <v>0</v>
      </c>
      <c r="N92" s="89">
        <f>VLOOKUP(C92,'Talente &amp; Stuff'!CL:DM,12,FALSE)</f>
        <v>0</v>
      </c>
      <c r="O92" s="47">
        <f>VLOOKUP(C92,'Talente &amp; Stuff'!CL:DM,13,FALSE)</f>
        <v>0</v>
      </c>
      <c r="P92" s="119">
        <f>VLOOKUP(C92,'Talente &amp; Stuff'!CL:DM,14,FALSE)</f>
        <v>0</v>
      </c>
      <c r="Q92" s="114">
        <f>VLOOKUP(C92,'Talente &amp; Stuff'!CL:DM,15,FALSE)</f>
        <v>0</v>
      </c>
      <c r="R92" s="113">
        <f>VLOOKUP(C92,'Talente &amp; Stuff'!CL:DM,16,FALSE)</f>
        <v>0</v>
      </c>
      <c r="S92" s="119">
        <f>VLOOKUP(C92,'Talente &amp; Stuff'!CL:DM,17,FALSE)</f>
        <v>0</v>
      </c>
      <c r="T92" s="160">
        <f>VLOOKUP(C92,'Talente &amp; Stuff'!CL:DM,18,FALSE)</f>
        <v>0</v>
      </c>
      <c r="U92" s="89">
        <f>VLOOKUP(C92,'Talente &amp; Stuff'!CL:DM,19,FALSE)</f>
        <v>0</v>
      </c>
      <c r="V92" s="47">
        <f>VLOOKUP(C92,'Talente &amp; Stuff'!CL:DM,20,FALSE)</f>
        <v>0</v>
      </c>
      <c r="W92" s="127">
        <f>VLOOKUP(C92,'Talente &amp; Stuff'!CL:DM,21,FALSE)</f>
        <v>0</v>
      </c>
      <c r="X92" s="127">
        <f>VLOOKUP(C92,'Talente &amp; Stuff'!CL:DM,22,FALSE)</f>
        <v>0</v>
      </c>
      <c r="Y92" s="165">
        <f t="shared" si="10"/>
        <v>0</v>
      </c>
      <c r="Z92" s="44">
        <f t="shared" si="11"/>
        <v>0</v>
      </c>
      <c r="AA92" s="125">
        <f>VLOOKUP(C92,'Talente &amp; Stuff'!CL:DM,25,FALSE)</f>
        <v>0</v>
      </c>
      <c r="AB92" s="160">
        <f>VLOOKUP(C92,'Talente &amp; Stuff'!CL:DM,26,FALSE)</f>
        <v>0</v>
      </c>
      <c r="AC92" s="127">
        <f>VLOOKUP(C92,'Talente &amp; Stuff'!CL:DM,27,FALSE)</f>
        <v>0</v>
      </c>
      <c r="AD92" s="125">
        <f>VLOOKUP(C92,'Talente &amp; Stuff'!CL:DM,28,FALSE)</f>
        <v>0</v>
      </c>
      <c r="AE92" s="28"/>
    </row>
    <row r="93" spans="2:31" ht="15" hidden="1" customHeight="1" outlineLevel="2">
      <c r="B93" s="148">
        <v>16</v>
      </c>
      <c r="C93" s="177" t="str">
        <f>Attribute!C93</f>
        <v>---</v>
      </c>
      <c r="D93" s="125" t="str">
        <f>VLOOKUP(C93,'Talente &amp; Stuff'!CL:DM,2,FALSE)</f>
        <v>--/--/--</v>
      </c>
      <c r="E93" s="127" t="str">
        <f>VLOOKUP(C93,'Talente &amp; Stuff'!CL:DM,3,FALSE)</f>
        <v>-</v>
      </c>
      <c r="F93" s="114">
        <f>VLOOKUP(C93,'Talente &amp; Stuff'!CL:DM,4,FALSE)</f>
        <v>0</v>
      </c>
      <c r="G93" s="113">
        <f>VLOOKUP(C93,'Talente &amp; Stuff'!CL:DM,5,FALSE)</f>
        <v>0</v>
      </c>
      <c r="H93" s="113">
        <f>VLOOKUP(C93,'Talente &amp; Stuff'!CL:DM,6,FALSE)</f>
        <v>0</v>
      </c>
      <c r="I93" s="113">
        <f>VLOOKUP(C93,'Talente &amp; Stuff'!CL:DM,7,FALSE)</f>
        <v>0</v>
      </c>
      <c r="J93" s="113">
        <f>VLOOKUP(C93,'Talente &amp; Stuff'!CL:DM,8,FALSE)</f>
        <v>0</v>
      </c>
      <c r="K93" s="113">
        <f>VLOOKUP(C93,'Talente &amp; Stuff'!CL:DM,9,FALSE)</f>
        <v>0</v>
      </c>
      <c r="L93" s="113">
        <f>VLOOKUP(C93,'Talente &amp; Stuff'!CL:DM,10,FALSE)</f>
        <v>0</v>
      </c>
      <c r="M93" s="119">
        <f>VLOOKUP(C93,'Talente &amp; Stuff'!CL:DM,11,FALSE)</f>
        <v>0</v>
      </c>
      <c r="N93" s="89">
        <f>VLOOKUP(C93,'Talente &amp; Stuff'!CL:DM,12,FALSE)</f>
        <v>0</v>
      </c>
      <c r="O93" s="47">
        <f>VLOOKUP(C93,'Talente &amp; Stuff'!CL:DM,13,FALSE)</f>
        <v>0</v>
      </c>
      <c r="P93" s="119">
        <f>VLOOKUP(C93,'Talente &amp; Stuff'!CL:DM,14,FALSE)</f>
        <v>0</v>
      </c>
      <c r="Q93" s="114">
        <f>VLOOKUP(C93,'Talente &amp; Stuff'!CL:DM,15,FALSE)</f>
        <v>0</v>
      </c>
      <c r="R93" s="113">
        <f>VLOOKUP(C93,'Talente &amp; Stuff'!CL:DM,16,FALSE)</f>
        <v>0</v>
      </c>
      <c r="S93" s="119">
        <f>VLOOKUP(C93,'Talente &amp; Stuff'!CL:DM,17,FALSE)</f>
        <v>0</v>
      </c>
      <c r="T93" s="160">
        <f>VLOOKUP(C93,'Talente &amp; Stuff'!CL:DM,18,FALSE)</f>
        <v>0</v>
      </c>
      <c r="U93" s="89">
        <f>VLOOKUP(C93,'Talente &amp; Stuff'!CL:DM,19,FALSE)</f>
        <v>0</v>
      </c>
      <c r="V93" s="47">
        <f>VLOOKUP(C93,'Talente &amp; Stuff'!CL:DM,20,FALSE)</f>
        <v>0</v>
      </c>
      <c r="W93" s="127">
        <f>VLOOKUP(C93,'Talente &amp; Stuff'!CL:DM,21,FALSE)</f>
        <v>0</v>
      </c>
      <c r="X93" s="127">
        <f>VLOOKUP(C93,'Talente &amp; Stuff'!CL:DM,22,FALSE)</f>
        <v>0</v>
      </c>
      <c r="Y93" s="165">
        <f t="shared" si="10"/>
        <v>0</v>
      </c>
      <c r="Z93" s="44">
        <f t="shared" si="11"/>
        <v>0</v>
      </c>
      <c r="AA93" s="125">
        <f>VLOOKUP(C93,'Talente &amp; Stuff'!CL:DM,25,FALSE)</f>
        <v>0</v>
      </c>
      <c r="AB93" s="160">
        <f>VLOOKUP(C93,'Talente &amp; Stuff'!CL:DM,26,FALSE)</f>
        <v>0</v>
      </c>
      <c r="AC93" s="127">
        <f>VLOOKUP(C93,'Talente &amp; Stuff'!CL:DM,27,FALSE)</f>
        <v>0</v>
      </c>
      <c r="AD93" s="125">
        <f>VLOOKUP(C93,'Talente &amp; Stuff'!CL:DM,28,FALSE)</f>
        <v>0</v>
      </c>
      <c r="AE93" s="28"/>
    </row>
    <row r="94" spans="2:31" ht="15" hidden="1" customHeight="1" outlineLevel="2">
      <c r="B94" s="148">
        <v>17</v>
      </c>
      <c r="C94" s="177" t="str">
        <f>Attribute!C94</f>
        <v>---</v>
      </c>
      <c r="D94" s="125" t="str">
        <f>VLOOKUP(C94,'Talente &amp; Stuff'!CL:DM,2,FALSE)</f>
        <v>--/--/--</v>
      </c>
      <c r="E94" s="127" t="str">
        <f>VLOOKUP(C94,'Talente &amp; Stuff'!CL:DM,3,FALSE)</f>
        <v>-</v>
      </c>
      <c r="F94" s="114">
        <f>VLOOKUP(C94,'Talente &amp; Stuff'!CL:DM,4,FALSE)</f>
        <v>0</v>
      </c>
      <c r="G94" s="113">
        <f>VLOOKUP(C94,'Talente &amp; Stuff'!CL:DM,5,FALSE)</f>
        <v>0</v>
      </c>
      <c r="H94" s="113">
        <f>VLOOKUP(C94,'Talente &amp; Stuff'!CL:DM,6,FALSE)</f>
        <v>0</v>
      </c>
      <c r="I94" s="113">
        <f>VLOOKUP(C94,'Talente &amp; Stuff'!CL:DM,7,FALSE)</f>
        <v>0</v>
      </c>
      <c r="J94" s="113">
        <f>VLOOKUP(C94,'Talente &amp; Stuff'!CL:DM,8,FALSE)</f>
        <v>0</v>
      </c>
      <c r="K94" s="113">
        <f>VLOOKUP(C94,'Talente &amp; Stuff'!CL:DM,9,FALSE)</f>
        <v>0</v>
      </c>
      <c r="L94" s="113">
        <f>VLOOKUP(C94,'Talente &amp; Stuff'!CL:DM,10,FALSE)</f>
        <v>0</v>
      </c>
      <c r="M94" s="119">
        <f>VLOOKUP(C94,'Talente &amp; Stuff'!CL:DM,11,FALSE)</f>
        <v>0</v>
      </c>
      <c r="N94" s="89">
        <f>VLOOKUP(C94,'Talente &amp; Stuff'!CL:DM,12,FALSE)</f>
        <v>0</v>
      </c>
      <c r="O94" s="47">
        <f>VLOOKUP(C94,'Talente &amp; Stuff'!CL:DM,13,FALSE)</f>
        <v>0</v>
      </c>
      <c r="P94" s="119">
        <f>VLOOKUP(C94,'Talente &amp; Stuff'!CL:DM,14,FALSE)</f>
        <v>0</v>
      </c>
      <c r="Q94" s="114">
        <f>VLOOKUP(C94,'Talente &amp; Stuff'!CL:DM,15,FALSE)</f>
        <v>0</v>
      </c>
      <c r="R94" s="113">
        <f>VLOOKUP(C94,'Talente &amp; Stuff'!CL:DM,16,FALSE)</f>
        <v>0</v>
      </c>
      <c r="S94" s="119">
        <f>VLOOKUP(C94,'Talente &amp; Stuff'!CL:DM,17,FALSE)</f>
        <v>0</v>
      </c>
      <c r="T94" s="160">
        <f>VLOOKUP(C94,'Talente &amp; Stuff'!CL:DM,18,FALSE)</f>
        <v>0</v>
      </c>
      <c r="U94" s="89">
        <f>VLOOKUP(C94,'Talente &amp; Stuff'!CL:DM,19,FALSE)</f>
        <v>0</v>
      </c>
      <c r="V94" s="47">
        <f>VLOOKUP(C94,'Talente &amp; Stuff'!CL:DM,20,FALSE)</f>
        <v>0</v>
      </c>
      <c r="W94" s="127">
        <f>VLOOKUP(C94,'Talente &amp; Stuff'!CL:DM,21,FALSE)</f>
        <v>0</v>
      </c>
      <c r="X94" s="127">
        <f>VLOOKUP(C94,'Talente &amp; Stuff'!CL:DM,22,FALSE)</f>
        <v>0</v>
      </c>
      <c r="Y94" s="165">
        <f t="shared" si="10"/>
        <v>0</v>
      </c>
      <c r="Z94" s="44">
        <f t="shared" si="11"/>
        <v>0</v>
      </c>
      <c r="AA94" s="125">
        <f>VLOOKUP(C94,'Talente &amp; Stuff'!CL:DM,25,FALSE)</f>
        <v>0</v>
      </c>
      <c r="AB94" s="160">
        <f>VLOOKUP(C94,'Talente &amp; Stuff'!CL:DM,26,FALSE)</f>
        <v>0</v>
      </c>
      <c r="AC94" s="127">
        <f>VLOOKUP(C94,'Talente &amp; Stuff'!CL:DM,27,FALSE)</f>
        <v>0</v>
      </c>
      <c r="AD94" s="125">
        <f>VLOOKUP(C94,'Talente &amp; Stuff'!CL:DM,28,FALSE)</f>
        <v>0</v>
      </c>
      <c r="AE94" s="28"/>
    </row>
    <row r="95" spans="2:31" ht="15" hidden="1" customHeight="1" outlineLevel="2">
      <c r="B95" s="148">
        <v>18</v>
      </c>
      <c r="C95" s="177" t="str">
        <f>Attribute!C95</f>
        <v>---</v>
      </c>
      <c r="D95" s="125" t="str">
        <f>VLOOKUP(C95,'Talente &amp; Stuff'!CL:DM,2,FALSE)</f>
        <v>--/--/--</v>
      </c>
      <c r="E95" s="127" t="str">
        <f>VLOOKUP(C95,'Talente &amp; Stuff'!CL:DM,3,FALSE)</f>
        <v>-</v>
      </c>
      <c r="F95" s="114">
        <f>VLOOKUP(C95,'Talente &amp; Stuff'!CL:DM,4,FALSE)</f>
        <v>0</v>
      </c>
      <c r="G95" s="113">
        <f>VLOOKUP(C95,'Talente &amp; Stuff'!CL:DM,5,FALSE)</f>
        <v>0</v>
      </c>
      <c r="H95" s="113">
        <f>VLOOKUP(C95,'Talente &amp; Stuff'!CL:DM,6,FALSE)</f>
        <v>0</v>
      </c>
      <c r="I95" s="113">
        <f>VLOOKUP(C95,'Talente &amp; Stuff'!CL:DM,7,FALSE)</f>
        <v>0</v>
      </c>
      <c r="J95" s="113">
        <f>VLOOKUP(C95,'Talente &amp; Stuff'!CL:DM,8,FALSE)</f>
        <v>0</v>
      </c>
      <c r="K95" s="113">
        <f>VLOOKUP(C95,'Talente &amp; Stuff'!CL:DM,9,FALSE)</f>
        <v>0</v>
      </c>
      <c r="L95" s="113">
        <f>VLOOKUP(C95,'Talente &amp; Stuff'!CL:DM,10,FALSE)</f>
        <v>0</v>
      </c>
      <c r="M95" s="119">
        <f>VLOOKUP(C95,'Talente &amp; Stuff'!CL:DM,11,FALSE)</f>
        <v>0</v>
      </c>
      <c r="N95" s="89">
        <f>VLOOKUP(C95,'Talente &amp; Stuff'!CL:DM,12,FALSE)</f>
        <v>0</v>
      </c>
      <c r="O95" s="47">
        <f>VLOOKUP(C95,'Talente &amp; Stuff'!CL:DM,13,FALSE)</f>
        <v>0</v>
      </c>
      <c r="P95" s="119">
        <f>VLOOKUP(C95,'Talente &amp; Stuff'!CL:DM,14,FALSE)</f>
        <v>0</v>
      </c>
      <c r="Q95" s="114">
        <f>VLOOKUP(C95,'Talente &amp; Stuff'!CL:DM,15,FALSE)</f>
        <v>0</v>
      </c>
      <c r="R95" s="113">
        <f>VLOOKUP(C95,'Talente &amp; Stuff'!CL:DM,16,FALSE)</f>
        <v>0</v>
      </c>
      <c r="S95" s="119">
        <f>VLOOKUP(C95,'Talente &amp; Stuff'!CL:DM,17,FALSE)</f>
        <v>0</v>
      </c>
      <c r="T95" s="160">
        <f>VLOOKUP(C95,'Talente &amp; Stuff'!CL:DM,18,FALSE)</f>
        <v>0</v>
      </c>
      <c r="U95" s="89">
        <f>VLOOKUP(C95,'Talente &amp; Stuff'!CL:DM,19,FALSE)</f>
        <v>0</v>
      </c>
      <c r="V95" s="47">
        <f>VLOOKUP(C95,'Talente &amp; Stuff'!CL:DM,20,FALSE)</f>
        <v>0</v>
      </c>
      <c r="W95" s="127">
        <f>VLOOKUP(C95,'Talente &amp; Stuff'!CL:DM,21,FALSE)</f>
        <v>0</v>
      </c>
      <c r="X95" s="127">
        <f>VLOOKUP(C95,'Talente &amp; Stuff'!CL:DM,22,FALSE)</f>
        <v>0</v>
      </c>
      <c r="Y95" s="165">
        <f t="shared" si="10"/>
        <v>0</v>
      </c>
      <c r="Z95" s="44">
        <f t="shared" si="11"/>
        <v>0</v>
      </c>
      <c r="AA95" s="125">
        <f>VLOOKUP(C95,'Talente &amp; Stuff'!CL:DM,25,FALSE)</f>
        <v>0</v>
      </c>
      <c r="AB95" s="160">
        <f>VLOOKUP(C95,'Talente &amp; Stuff'!CL:DM,26,FALSE)</f>
        <v>0</v>
      </c>
      <c r="AC95" s="127">
        <f>VLOOKUP(C95,'Talente &amp; Stuff'!CL:DM,27,FALSE)</f>
        <v>0</v>
      </c>
      <c r="AD95" s="125">
        <f>VLOOKUP(C95,'Talente &amp; Stuff'!CL:DM,28,FALSE)</f>
        <v>0</v>
      </c>
      <c r="AE95" s="28"/>
    </row>
    <row r="96" spans="2:31" ht="15" hidden="1" customHeight="1" outlineLevel="2">
      <c r="B96" s="148">
        <v>19</v>
      </c>
      <c r="C96" s="177" t="str">
        <f>Attribute!C96</f>
        <v>---</v>
      </c>
      <c r="D96" s="125" t="str">
        <f>VLOOKUP(C96,'Talente &amp; Stuff'!CL:DM,2,FALSE)</f>
        <v>--/--/--</v>
      </c>
      <c r="E96" s="127" t="str">
        <f>VLOOKUP(C96,'Talente &amp; Stuff'!CL:DM,3,FALSE)</f>
        <v>-</v>
      </c>
      <c r="F96" s="114">
        <f>VLOOKUP(C96,'Talente &amp; Stuff'!CL:DM,4,FALSE)</f>
        <v>0</v>
      </c>
      <c r="G96" s="113">
        <f>VLOOKUP(C96,'Talente &amp; Stuff'!CL:DM,5,FALSE)</f>
        <v>0</v>
      </c>
      <c r="H96" s="113">
        <f>VLOOKUP(C96,'Talente &amp; Stuff'!CL:DM,6,FALSE)</f>
        <v>0</v>
      </c>
      <c r="I96" s="113">
        <f>VLOOKUP(C96,'Talente &amp; Stuff'!CL:DM,7,FALSE)</f>
        <v>0</v>
      </c>
      <c r="J96" s="113">
        <f>VLOOKUP(C96,'Talente &amp; Stuff'!CL:DM,8,FALSE)</f>
        <v>0</v>
      </c>
      <c r="K96" s="113">
        <f>VLOOKUP(C96,'Talente &amp; Stuff'!CL:DM,9,FALSE)</f>
        <v>0</v>
      </c>
      <c r="L96" s="113">
        <f>VLOOKUP(C96,'Talente &amp; Stuff'!CL:DM,10,FALSE)</f>
        <v>0</v>
      </c>
      <c r="M96" s="119">
        <f>VLOOKUP(C96,'Talente &amp; Stuff'!CL:DM,11,FALSE)</f>
        <v>0</v>
      </c>
      <c r="N96" s="89">
        <f>VLOOKUP(C96,'Talente &amp; Stuff'!CL:DM,12,FALSE)</f>
        <v>0</v>
      </c>
      <c r="O96" s="47">
        <f>VLOOKUP(C96,'Talente &amp; Stuff'!CL:DM,13,FALSE)</f>
        <v>0</v>
      </c>
      <c r="P96" s="119">
        <f>VLOOKUP(C96,'Talente &amp; Stuff'!CL:DM,14,FALSE)</f>
        <v>0</v>
      </c>
      <c r="Q96" s="114">
        <f>VLOOKUP(C96,'Talente &amp; Stuff'!CL:DM,15,FALSE)</f>
        <v>0</v>
      </c>
      <c r="R96" s="113">
        <f>VLOOKUP(C96,'Talente &amp; Stuff'!CL:DM,16,FALSE)</f>
        <v>0</v>
      </c>
      <c r="S96" s="119">
        <f>VLOOKUP(C96,'Talente &amp; Stuff'!CL:DM,17,FALSE)</f>
        <v>0</v>
      </c>
      <c r="T96" s="160">
        <f>VLOOKUP(C96,'Talente &amp; Stuff'!CL:DM,18,FALSE)</f>
        <v>0</v>
      </c>
      <c r="U96" s="89">
        <f>VLOOKUP(C96,'Talente &amp; Stuff'!CL:DM,19,FALSE)</f>
        <v>0</v>
      </c>
      <c r="V96" s="47">
        <f>VLOOKUP(C96,'Talente &amp; Stuff'!CL:DM,20,FALSE)</f>
        <v>0</v>
      </c>
      <c r="W96" s="127">
        <f>VLOOKUP(C96,'Talente &amp; Stuff'!CL:DM,21,FALSE)</f>
        <v>0</v>
      </c>
      <c r="X96" s="127">
        <f>VLOOKUP(C96,'Talente &amp; Stuff'!CL:DM,22,FALSE)</f>
        <v>0</v>
      </c>
      <c r="Y96" s="165">
        <f t="shared" si="10"/>
        <v>0</v>
      </c>
      <c r="Z96" s="44">
        <f t="shared" si="11"/>
        <v>0</v>
      </c>
      <c r="AA96" s="125">
        <f>VLOOKUP(C96,'Talente &amp; Stuff'!CL:DM,25,FALSE)</f>
        <v>0</v>
      </c>
      <c r="AB96" s="160">
        <f>VLOOKUP(C96,'Talente &amp; Stuff'!CL:DM,26,FALSE)</f>
        <v>0</v>
      </c>
      <c r="AC96" s="127">
        <f>VLOOKUP(C96,'Talente &amp; Stuff'!CL:DM,27,FALSE)</f>
        <v>0</v>
      </c>
      <c r="AD96" s="125">
        <f>VLOOKUP(C96,'Talente &amp; Stuff'!CL:DM,28,FALSE)</f>
        <v>0</v>
      </c>
      <c r="AE96" s="28"/>
    </row>
    <row r="97" spans="2:31" ht="15" hidden="1" customHeight="1" outlineLevel="2">
      <c r="B97" s="148">
        <v>20</v>
      </c>
      <c r="C97" s="177" t="str">
        <f>Attribute!C97</f>
        <v>---</v>
      </c>
      <c r="D97" s="125" t="str">
        <f>VLOOKUP(C97,'Talente &amp; Stuff'!CL:DM,2,FALSE)</f>
        <v>--/--/--</v>
      </c>
      <c r="E97" s="127" t="str">
        <f>VLOOKUP(C97,'Talente &amp; Stuff'!CL:DM,3,FALSE)</f>
        <v>-</v>
      </c>
      <c r="F97" s="114">
        <f>VLOOKUP(C97,'Talente &amp; Stuff'!CL:DM,4,FALSE)</f>
        <v>0</v>
      </c>
      <c r="G97" s="113">
        <f>VLOOKUP(C97,'Talente &amp; Stuff'!CL:DM,5,FALSE)</f>
        <v>0</v>
      </c>
      <c r="H97" s="113">
        <f>VLOOKUP(C97,'Talente &amp; Stuff'!CL:DM,6,FALSE)</f>
        <v>0</v>
      </c>
      <c r="I97" s="113">
        <f>VLOOKUP(C97,'Talente &amp; Stuff'!CL:DM,7,FALSE)</f>
        <v>0</v>
      </c>
      <c r="J97" s="113">
        <f>VLOOKUP(C97,'Talente &amp; Stuff'!CL:DM,8,FALSE)</f>
        <v>0</v>
      </c>
      <c r="K97" s="113">
        <f>VLOOKUP(C97,'Talente &amp; Stuff'!CL:DM,9,FALSE)</f>
        <v>0</v>
      </c>
      <c r="L97" s="113">
        <f>VLOOKUP(C97,'Talente &amp; Stuff'!CL:DM,10,FALSE)</f>
        <v>0</v>
      </c>
      <c r="M97" s="119">
        <f>VLOOKUP(C97,'Talente &amp; Stuff'!CL:DM,11,FALSE)</f>
        <v>0</v>
      </c>
      <c r="N97" s="89">
        <f>VLOOKUP(C97,'Talente &amp; Stuff'!CL:DM,12,FALSE)</f>
        <v>0</v>
      </c>
      <c r="O97" s="47">
        <f>VLOOKUP(C97,'Talente &amp; Stuff'!CL:DM,13,FALSE)</f>
        <v>0</v>
      </c>
      <c r="P97" s="119">
        <f>VLOOKUP(C97,'Talente &amp; Stuff'!CL:DM,14,FALSE)</f>
        <v>0</v>
      </c>
      <c r="Q97" s="114">
        <f>VLOOKUP(C97,'Talente &amp; Stuff'!CL:DM,15,FALSE)</f>
        <v>0</v>
      </c>
      <c r="R97" s="113">
        <f>VLOOKUP(C97,'Talente &amp; Stuff'!CL:DM,16,FALSE)</f>
        <v>0</v>
      </c>
      <c r="S97" s="119">
        <f>VLOOKUP(C97,'Talente &amp; Stuff'!CL:DM,17,FALSE)</f>
        <v>0</v>
      </c>
      <c r="T97" s="160">
        <f>VLOOKUP(C97,'Talente &amp; Stuff'!CL:DM,18,FALSE)</f>
        <v>0</v>
      </c>
      <c r="U97" s="89">
        <f>VLOOKUP(C97,'Talente &amp; Stuff'!CL:DM,19,FALSE)</f>
        <v>0</v>
      </c>
      <c r="V97" s="47">
        <f>VLOOKUP(C97,'Talente &amp; Stuff'!CL:DM,20,FALSE)</f>
        <v>0</v>
      </c>
      <c r="W97" s="127">
        <f>VLOOKUP(C97,'Talente &amp; Stuff'!CL:DM,21,FALSE)</f>
        <v>0</v>
      </c>
      <c r="X97" s="127">
        <f>VLOOKUP(C97,'Talente &amp; Stuff'!CL:DM,22,FALSE)</f>
        <v>0</v>
      </c>
      <c r="Y97" s="165">
        <f t="shared" si="10"/>
        <v>0</v>
      </c>
      <c r="Z97" s="44">
        <f t="shared" si="11"/>
        <v>0</v>
      </c>
      <c r="AA97" s="125">
        <f>VLOOKUP(C97,'Talente &amp; Stuff'!CL:DM,25,FALSE)</f>
        <v>0</v>
      </c>
      <c r="AB97" s="160">
        <f>VLOOKUP(C97,'Talente &amp; Stuff'!CL:DM,26,FALSE)</f>
        <v>0</v>
      </c>
      <c r="AC97" s="127">
        <f>VLOOKUP(C97,'Talente &amp; Stuff'!CL:DM,27,FALSE)</f>
        <v>0</v>
      </c>
      <c r="AD97" s="125">
        <f>VLOOKUP(C97,'Talente &amp; Stuff'!CL:DM,28,FALSE)</f>
        <v>0</v>
      </c>
      <c r="AE97" s="28"/>
    </row>
    <row r="98" spans="2:31" ht="15" hidden="1" customHeight="1" outlineLevel="2">
      <c r="B98" s="148">
        <v>21</v>
      </c>
      <c r="C98" s="178" t="str">
        <f>Attribute!C98</f>
        <v>---</v>
      </c>
      <c r="D98" s="87" t="str">
        <f>VLOOKUP(C98,'Talente &amp; Stuff'!CL:DM,2,FALSE)</f>
        <v>--/--/--</v>
      </c>
      <c r="E98" s="128" t="str">
        <f>VLOOKUP(C98,'Talente &amp; Stuff'!CL:DM,3,FALSE)</f>
        <v>-</v>
      </c>
      <c r="F98" s="115">
        <f>VLOOKUP(C98,'Talente &amp; Stuff'!CL:DM,4,FALSE)</f>
        <v>0</v>
      </c>
      <c r="G98" s="122">
        <f>VLOOKUP(C98,'Talente &amp; Stuff'!CL:DM,5,FALSE)</f>
        <v>0</v>
      </c>
      <c r="H98" s="122">
        <f>VLOOKUP(C98,'Talente &amp; Stuff'!CL:DM,6,FALSE)</f>
        <v>0</v>
      </c>
      <c r="I98" s="122">
        <f>VLOOKUP(C98,'Talente &amp; Stuff'!CL:DM,7,FALSE)</f>
        <v>0</v>
      </c>
      <c r="J98" s="122">
        <f>VLOOKUP(C98,'Talente &amp; Stuff'!CL:DM,8,FALSE)</f>
        <v>0</v>
      </c>
      <c r="K98" s="122">
        <f>VLOOKUP(C98,'Talente &amp; Stuff'!CL:DM,9,FALSE)</f>
        <v>0</v>
      </c>
      <c r="L98" s="122">
        <f>VLOOKUP(C98,'Talente &amp; Stuff'!CL:DM,10,FALSE)</f>
        <v>0</v>
      </c>
      <c r="M98" s="123">
        <f>VLOOKUP(C98,'Talente &amp; Stuff'!CL:DM,11,FALSE)</f>
        <v>0</v>
      </c>
      <c r="N98" s="88">
        <f>VLOOKUP(C98,'Talente &amp; Stuff'!CL:DM,12,FALSE)</f>
        <v>0</v>
      </c>
      <c r="O98" s="2">
        <f>VLOOKUP(C98,'Talente &amp; Stuff'!CL:DM,13,FALSE)</f>
        <v>0</v>
      </c>
      <c r="P98" s="173">
        <f>VLOOKUP(C98,'Talente &amp; Stuff'!CL:DM,14,FALSE)</f>
        <v>0</v>
      </c>
      <c r="Q98" s="115">
        <f>VLOOKUP(C98,'Talente &amp; Stuff'!CL:DM,15,FALSE)</f>
        <v>0</v>
      </c>
      <c r="R98" s="169">
        <f>VLOOKUP(C98,'Talente &amp; Stuff'!CL:DM,16,FALSE)</f>
        <v>0</v>
      </c>
      <c r="S98" s="123">
        <f>VLOOKUP(C98,'Talente &amp; Stuff'!CL:DM,17,FALSE)</f>
        <v>0</v>
      </c>
      <c r="T98" s="123">
        <f>VLOOKUP(C98,'Talente &amp; Stuff'!CL:DM,18,FALSE)</f>
        <v>0</v>
      </c>
      <c r="U98" s="90">
        <f>VLOOKUP(C98,'Talente &amp; Stuff'!CL:DM,19,FALSE)</f>
        <v>0</v>
      </c>
      <c r="V98" s="88">
        <f>VLOOKUP(C98,'Talente &amp; Stuff'!CL:DM,20,FALSE)</f>
        <v>0</v>
      </c>
      <c r="W98" s="128">
        <f>VLOOKUP(C98,'Talente &amp; Stuff'!CL:DM,21,FALSE)</f>
        <v>0</v>
      </c>
      <c r="X98" s="128">
        <f>VLOOKUP(C98,'Talente &amp; Stuff'!CL:DM,22,FALSE)</f>
        <v>0</v>
      </c>
      <c r="Y98" s="165">
        <f t="shared" si="10"/>
        <v>0</v>
      </c>
      <c r="Z98" s="44">
        <f t="shared" si="11"/>
        <v>0</v>
      </c>
      <c r="AA98" s="159">
        <f>VLOOKUP(C98,'Talente &amp; Stuff'!CL:DM,25,FALSE)</f>
        <v>0</v>
      </c>
      <c r="AB98" s="161">
        <f>VLOOKUP(C98,'Talente &amp; Stuff'!CL:DM,26,FALSE)</f>
        <v>0</v>
      </c>
      <c r="AC98" s="128">
        <f>VLOOKUP(C98,'Talente &amp; Stuff'!CL:DM,27,FALSE)</f>
        <v>0</v>
      </c>
      <c r="AD98" s="159">
        <f>VLOOKUP(C98,'Talente &amp; Stuff'!CL:DM,28,FALSE)</f>
        <v>0</v>
      </c>
      <c r="AE98" s="28"/>
    </row>
    <row r="99" spans="2:31" ht="15" hidden="1" customHeight="1" outlineLevel="1" collapsed="1">
      <c r="B99" s="134" t="s">
        <v>331</v>
      </c>
      <c r="C99" s="83"/>
      <c r="D99" s="84"/>
      <c r="E99" s="84"/>
    </row>
    <row r="100" spans="2:31" ht="15" hidden="1" customHeight="1" outlineLevel="2">
      <c r="B100" s="148">
        <v>1</v>
      </c>
      <c r="C100" s="176" t="str">
        <f>Attribute!C100</f>
        <v>---</v>
      </c>
      <c r="D100" s="85" t="str">
        <f>VLOOKUP(C100,'Talente &amp; Stuff'!CL:DM,2,FALSE)</f>
        <v>--/--/--</v>
      </c>
      <c r="E100" s="126" t="str">
        <f>VLOOKUP(C100,'Talente &amp; Stuff'!CL:DM,3,FALSE)</f>
        <v>-</v>
      </c>
      <c r="F100" s="191">
        <f>VLOOKUP(C100,'Talente &amp; Stuff'!CL:DM,4,FALSE)</f>
        <v>0</v>
      </c>
      <c r="G100" s="118">
        <f>VLOOKUP(C100,'Talente &amp; Stuff'!CL:DM,5,FALSE)</f>
        <v>0</v>
      </c>
      <c r="H100" s="118">
        <f>VLOOKUP(C100,'Talente &amp; Stuff'!CL:DM,6,FALSE)</f>
        <v>0</v>
      </c>
      <c r="I100" s="118">
        <f>VLOOKUP(C100,'Talente &amp; Stuff'!CL:DM,7,FALSE)</f>
        <v>0</v>
      </c>
      <c r="J100" s="118">
        <f>VLOOKUP(C100,'Talente &amp; Stuff'!CL:DM,8,FALSE)</f>
        <v>0</v>
      </c>
      <c r="K100" s="118">
        <f>VLOOKUP(C100,'Talente &amp; Stuff'!CL:DM,9,FALSE)</f>
        <v>0</v>
      </c>
      <c r="L100" s="118">
        <f>VLOOKUP(C100,'Talente &amp; Stuff'!CL:DM,10,FALSE)</f>
        <v>0</v>
      </c>
      <c r="M100" s="92">
        <f>VLOOKUP(C100,'Talente &amp; Stuff'!CL:DM,11,FALSE)</f>
        <v>0</v>
      </c>
      <c r="N100" s="116">
        <f>VLOOKUP(C100,'Talente &amp; Stuff'!CL:DM,12,FALSE)</f>
        <v>0</v>
      </c>
      <c r="O100" s="194">
        <f>VLOOKUP(C100,'Talente &amp; Stuff'!CL:DM,13,FALSE)</f>
        <v>0</v>
      </c>
      <c r="P100" s="192">
        <f>VLOOKUP(C100,'Talente &amp; Stuff'!CL:DM,14,FALSE)</f>
        <v>0</v>
      </c>
      <c r="Q100" s="191">
        <f>VLOOKUP(C100,'Talente &amp; Stuff'!CL:DM,15,FALSE)</f>
        <v>0</v>
      </c>
      <c r="R100" s="170">
        <f>VLOOKUP(C100,'Talente &amp; Stuff'!CL:DM,16,FALSE)</f>
        <v>0</v>
      </c>
      <c r="S100" s="92">
        <f>VLOOKUP(C100,'Talente &amp; Stuff'!CL:DM,17,FALSE)</f>
        <v>0</v>
      </c>
      <c r="T100" s="92">
        <f>VLOOKUP(C100,'Talente &amp; Stuff'!CL:DM,18,FALSE)</f>
        <v>0</v>
      </c>
      <c r="U100" s="193">
        <f>VLOOKUP(C100,'Talente &amp; Stuff'!CL:DM,19,FALSE)</f>
        <v>0</v>
      </c>
      <c r="V100" s="116">
        <f>VLOOKUP(C100,'Talente &amp; Stuff'!CL:DM,20,FALSE)</f>
        <v>0</v>
      </c>
      <c r="W100" s="126">
        <f>VLOOKUP(C100,'Talente &amp; Stuff'!CL:DM,21,FALSE)</f>
        <v>0</v>
      </c>
      <c r="X100" s="126">
        <f>VLOOKUP(C100,'Talente &amp; Stuff'!CL:DM,22,FALSE)</f>
        <v>0</v>
      </c>
      <c r="Y100" s="165">
        <f t="shared" ref="Y100:Y126" si="12">VLOOKUP(C100,Ausgewählte_Zauber_Druiden,110,FALSE)</f>
        <v>0</v>
      </c>
      <c r="Z100" s="44">
        <f t="shared" ref="Z100:Z126" si="13">VLOOKUP(C100,Ausgewählte_Zauber_Druiden,111,FALSE)</f>
        <v>0</v>
      </c>
      <c r="AA100" s="158">
        <f>VLOOKUP(C100,'Talente &amp; Stuff'!CL:DM,25,FALSE)</f>
        <v>0</v>
      </c>
      <c r="AB100" s="91">
        <f>VLOOKUP(C100,'Talente &amp; Stuff'!CL:DM,26,FALSE)</f>
        <v>0</v>
      </c>
      <c r="AC100" s="126">
        <f>VLOOKUP(C100,'Talente &amp; Stuff'!CL:DM,27,FALSE)</f>
        <v>0</v>
      </c>
      <c r="AD100" s="158">
        <f>VLOOKUP(C100,'Talente &amp; Stuff'!CL:DM,28,FALSE)</f>
        <v>0</v>
      </c>
      <c r="AE100" s="28"/>
    </row>
    <row r="101" spans="2:31" ht="15" hidden="1" customHeight="1" outlineLevel="2">
      <c r="B101" s="148">
        <v>2</v>
      </c>
      <c r="C101" s="177" t="str">
        <f>Attribute!C101</f>
        <v>---</v>
      </c>
      <c r="D101" s="86" t="str">
        <f>VLOOKUP(C101,'Talente &amp; Stuff'!CL:DM,2,FALSE)</f>
        <v>--/--/--</v>
      </c>
      <c r="E101" s="167" t="str">
        <f>VLOOKUP(C101,'Talente &amp; Stuff'!CL:DM,3,FALSE)</f>
        <v>-</v>
      </c>
      <c r="F101" s="120">
        <f>VLOOKUP(C101,'Talente &amp; Stuff'!CL:DM,4,FALSE)</f>
        <v>0</v>
      </c>
      <c r="G101" s="117">
        <f>VLOOKUP(C101,'Talente &amp; Stuff'!CL:DM,5,FALSE)</f>
        <v>0</v>
      </c>
      <c r="H101" s="117">
        <f>VLOOKUP(C101,'Talente &amp; Stuff'!CL:DM,6,FALSE)</f>
        <v>0</v>
      </c>
      <c r="I101" s="117">
        <f>VLOOKUP(C101,'Talente &amp; Stuff'!CL:DM,7,FALSE)</f>
        <v>0</v>
      </c>
      <c r="J101" s="117">
        <f>VLOOKUP(C101,'Talente &amp; Stuff'!CL:DM,8,FALSE)</f>
        <v>0</v>
      </c>
      <c r="K101" s="117">
        <f>VLOOKUP(C101,'Talente &amp; Stuff'!CL:DM,9,FALSE)</f>
        <v>0</v>
      </c>
      <c r="L101" s="117">
        <f>VLOOKUP(C101,'Talente &amp; Stuff'!CL:DM,10,FALSE)</f>
        <v>0</v>
      </c>
      <c r="M101" s="121">
        <f>VLOOKUP(C101,'Talente &amp; Stuff'!CL:DM,11,FALSE)</f>
        <v>0</v>
      </c>
      <c r="N101" s="47">
        <f>VLOOKUP(C101,'Talente &amp; Stuff'!CL:DM,12,FALSE)</f>
        <v>0</v>
      </c>
      <c r="O101" s="3">
        <f>VLOOKUP(C101,'Talente &amp; Stuff'!CL:DM,13,FALSE)</f>
        <v>0</v>
      </c>
      <c r="P101" s="174">
        <f>VLOOKUP(C101,'Talente &amp; Stuff'!CL:DM,14,FALSE)</f>
        <v>0</v>
      </c>
      <c r="Q101" s="114">
        <f>VLOOKUP(C101,'Talente &amp; Stuff'!CL:DM,15,FALSE)</f>
        <v>0</v>
      </c>
      <c r="R101" s="117">
        <f>VLOOKUP(C101,'Talente &amp; Stuff'!CL:DM,16,FALSE)</f>
        <v>0</v>
      </c>
      <c r="S101" s="119">
        <f>VLOOKUP(C101,'Talente &amp; Stuff'!CL:DM,17,FALSE)</f>
        <v>0</v>
      </c>
      <c r="T101" s="119">
        <f>VLOOKUP(C101,'Talente &amp; Stuff'!CL:DM,18,FALSE)</f>
        <v>0</v>
      </c>
      <c r="U101" s="89">
        <f>VLOOKUP(C101,'Talente &amp; Stuff'!CL:DM,19,FALSE)</f>
        <v>0</v>
      </c>
      <c r="V101" s="47">
        <f>VLOOKUP(C101,'Talente &amp; Stuff'!CL:DM,20,FALSE)</f>
        <v>0</v>
      </c>
      <c r="W101" s="127">
        <f>VLOOKUP(C101,'Talente &amp; Stuff'!CL:DM,21,FALSE)</f>
        <v>0</v>
      </c>
      <c r="X101" s="127">
        <f>VLOOKUP(C101,'Talente &amp; Stuff'!CL:DM,22,FALSE)</f>
        <v>0</v>
      </c>
      <c r="Y101" s="165">
        <f t="shared" si="12"/>
        <v>0</v>
      </c>
      <c r="Z101" s="44">
        <f t="shared" si="13"/>
        <v>0</v>
      </c>
      <c r="AA101" s="125">
        <f>VLOOKUP(C101,'Talente &amp; Stuff'!CL:DM,25,FALSE)</f>
        <v>0</v>
      </c>
      <c r="AB101" s="160">
        <f>VLOOKUP(C101,'Talente &amp; Stuff'!CL:DM,26,FALSE)</f>
        <v>0</v>
      </c>
      <c r="AC101" s="127">
        <f>VLOOKUP(C101,'Talente &amp; Stuff'!CL:DM,27,FALSE)</f>
        <v>0</v>
      </c>
      <c r="AD101" s="125">
        <f>VLOOKUP(C101,'Talente &amp; Stuff'!CL:DM,28,FALSE)</f>
        <v>0</v>
      </c>
      <c r="AE101" s="28"/>
    </row>
    <row r="102" spans="2:31" ht="15" hidden="1" customHeight="1" outlineLevel="2">
      <c r="B102" s="148">
        <v>3</v>
      </c>
      <c r="C102" s="177" t="str">
        <f>Attribute!C102</f>
        <v>---</v>
      </c>
      <c r="D102" s="86" t="str">
        <f>VLOOKUP(C102,'Talente &amp; Stuff'!CL:DM,2,FALSE)</f>
        <v>--/--/--</v>
      </c>
      <c r="E102" s="167" t="str">
        <f>VLOOKUP(C102,'Talente &amp; Stuff'!CL:DM,3,FALSE)</f>
        <v>-</v>
      </c>
      <c r="F102" s="120">
        <f>VLOOKUP(C102,'Talente &amp; Stuff'!CL:DM,4,FALSE)</f>
        <v>0</v>
      </c>
      <c r="G102" s="117">
        <f>VLOOKUP(C102,'Talente &amp; Stuff'!CL:DM,5,FALSE)</f>
        <v>0</v>
      </c>
      <c r="H102" s="117">
        <f>VLOOKUP(C102,'Talente &amp; Stuff'!CL:DM,6,FALSE)</f>
        <v>0</v>
      </c>
      <c r="I102" s="117">
        <f>VLOOKUP(C102,'Talente &amp; Stuff'!CL:DM,7,FALSE)</f>
        <v>0</v>
      </c>
      <c r="J102" s="117">
        <f>VLOOKUP(C102,'Talente &amp; Stuff'!CL:DM,8,FALSE)</f>
        <v>0</v>
      </c>
      <c r="K102" s="117">
        <f>VLOOKUP(C102,'Talente &amp; Stuff'!CL:DM,9,FALSE)</f>
        <v>0</v>
      </c>
      <c r="L102" s="117">
        <f>VLOOKUP(C102,'Talente &amp; Stuff'!CL:DM,10,FALSE)</f>
        <v>0</v>
      </c>
      <c r="M102" s="121">
        <f>VLOOKUP(C102,'Talente &amp; Stuff'!CL:DM,11,FALSE)</f>
        <v>0</v>
      </c>
      <c r="N102" s="47">
        <f>VLOOKUP(C102,'Talente &amp; Stuff'!CL:DM,12,FALSE)</f>
        <v>0</v>
      </c>
      <c r="O102" s="3">
        <f>VLOOKUP(C102,'Talente &amp; Stuff'!CL:DM,13,FALSE)</f>
        <v>0</v>
      </c>
      <c r="P102" s="174">
        <f>VLOOKUP(C102,'Talente &amp; Stuff'!CL:DM,14,FALSE)</f>
        <v>0</v>
      </c>
      <c r="Q102" s="114">
        <f>VLOOKUP(C102,'Talente &amp; Stuff'!CL:DM,15,FALSE)</f>
        <v>0</v>
      </c>
      <c r="R102" s="117">
        <f>VLOOKUP(C102,'Talente &amp; Stuff'!CL:DM,16,FALSE)</f>
        <v>0</v>
      </c>
      <c r="S102" s="119">
        <f>VLOOKUP(C102,'Talente &amp; Stuff'!CL:DM,17,FALSE)</f>
        <v>0</v>
      </c>
      <c r="T102" s="119">
        <f>VLOOKUP(C102,'Talente &amp; Stuff'!CL:DM,18,FALSE)</f>
        <v>0</v>
      </c>
      <c r="U102" s="89">
        <f>VLOOKUP(C102,'Talente &amp; Stuff'!CL:DM,19,FALSE)</f>
        <v>0</v>
      </c>
      <c r="V102" s="47">
        <f>VLOOKUP(C102,'Talente &amp; Stuff'!CL:DM,20,FALSE)</f>
        <v>0</v>
      </c>
      <c r="W102" s="127">
        <f>VLOOKUP(C102,'Talente &amp; Stuff'!CL:DM,21,FALSE)</f>
        <v>0</v>
      </c>
      <c r="X102" s="127">
        <f>VLOOKUP(C102,'Talente &amp; Stuff'!CL:DM,22,FALSE)</f>
        <v>0</v>
      </c>
      <c r="Y102" s="165">
        <f t="shared" si="12"/>
        <v>0</v>
      </c>
      <c r="Z102" s="44">
        <f t="shared" si="13"/>
        <v>0</v>
      </c>
      <c r="AA102" s="125">
        <f>VLOOKUP(C102,'Talente &amp; Stuff'!CL:DM,25,FALSE)</f>
        <v>0</v>
      </c>
      <c r="AB102" s="160">
        <f>VLOOKUP(C102,'Talente &amp; Stuff'!CL:DM,26,FALSE)</f>
        <v>0</v>
      </c>
      <c r="AC102" s="127">
        <f>VLOOKUP(C102,'Talente &amp; Stuff'!CL:DM,27,FALSE)</f>
        <v>0</v>
      </c>
      <c r="AD102" s="125">
        <f>VLOOKUP(C102,'Talente &amp; Stuff'!CL:DM,28,FALSE)</f>
        <v>0</v>
      </c>
      <c r="AE102" s="28"/>
    </row>
    <row r="103" spans="2:31" ht="15" hidden="1" customHeight="1" outlineLevel="2">
      <c r="B103" s="148">
        <v>4</v>
      </c>
      <c r="C103" s="177" t="str">
        <f>Attribute!C103</f>
        <v>---</v>
      </c>
      <c r="D103" s="86" t="str">
        <f>VLOOKUP(C103,'Talente &amp; Stuff'!CL:DM,2,FALSE)</f>
        <v>--/--/--</v>
      </c>
      <c r="E103" s="167" t="str">
        <f>VLOOKUP(C103,'Talente &amp; Stuff'!CL:DM,3,FALSE)</f>
        <v>-</v>
      </c>
      <c r="F103" s="120">
        <f>VLOOKUP(C103,'Talente &amp; Stuff'!CL:DM,4,FALSE)</f>
        <v>0</v>
      </c>
      <c r="G103" s="117">
        <f>VLOOKUP(C103,'Talente &amp; Stuff'!CL:DM,5,FALSE)</f>
        <v>0</v>
      </c>
      <c r="H103" s="117">
        <f>VLOOKUP(C103,'Talente &amp; Stuff'!CL:DM,6,FALSE)</f>
        <v>0</v>
      </c>
      <c r="I103" s="117">
        <f>VLOOKUP(C103,'Talente &amp; Stuff'!CL:DM,7,FALSE)</f>
        <v>0</v>
      </c>
      <c r="J103" s="117">
        <f>VLOOKUP(C103,'Talente &amp; Stuff'!CL:DM,8,FALSE)</f>
        <v>0</v>
      </c>
      <c r="K103" s="117">
        <f>VLOOKUP(C103,'Talente &amp; Stuff'!CL:DM,9,FALSE)</f>
        <v>0</v>
      </c>
      <c r="L103" s="117">
        <f>VLOOKUP(C103,'Talente &amp; Stuff'!CL:DM,10,FALSE)</f>
        <v>0</v>
      </c>
      <c r="M103" s="121">
        <f>VLOOKUP(C103,'Talente &amp; Stuff'!CL:DM,11,FALSE)</f>
        <v>0</v>
      </c>
      <c r="N103" s="47">
        <f>VLOOKUP(C103,'Talente &amp; Stuff'!CL:DM,12,FALSE)</f>
        <v>0</v>
      </c>
      <c r="O103" s="3">
        <f>VLOOKUP(C103,'Talente &amp; Stuff'!CL:DM,13,FALSE)</f>
        <v>0</v>
      </c>
      <c r="P103" s="174">
        <f>VLOOKUP(C103,'Talente &amp; Stuff'!CL:DM,14,FALSE)</f>
        <v>0</v>
      </c>
      <c r="Q103" s="114">
        <f>VLOOKUP(C103,'Talente &amp; Stuff'!CL:DM,15,FALSE)</f>
        <v>0</v>
      </c>
      <c r="R103" s="117">
        <f>VLOOKUP(C103,'Talente &amp; Stuff'!CL:DM,16,FALSE)</f>
        <v>0</v>
      </c>
      <c r="S103" s="119">
        <f>VLOOKUP(C103,'Talente &amp; Stuff'!CL:DM,17,FALSE)</f>
        <v>0</v>
      </c>
      <c r="T103" s="119">
        <f>VLOOKUP(C103,'Talente &amp; Stuff'!CL:DM,18,FALSE)</f>
        <v>0</v>
      </c>
      <c r="U103" s="89">
        <f>VLOOKUP(C103,'Talente &amp; Stuff'!CL:DM,19,FALSE)</f>
        <v>0</v>
      </c>
      <c r="V103" s="47">
        <f>VLOOKUP(C103,'Talente &amp; Stuff'!CL:DM,20,FALSE)</f>
        <v>0</v>
      </c>
      <c r="W103" s="127">
        <f>VLOOKUP(C103,'Talente &amp; Stuff'!CL:DM,21,FALSE)</f>
        <v>0</v>
      </c>
      <c r="X103" s="127">
        <f>VLOOKUP(C103,'Talente &amp; Stuff'!CL:DM,22,FALSE)</f>
        <v>0</v>
      </c>
      <c r="Y103" s="165">
        <f t="shared" si="12"/>
        <v>0</v>
      </c>
      <c r="Z103" s="44">
        <f t="shared" si="13"/>
        <v>0</v>
      </c>
      <c r="AA103" s="125">
        <f>VLOOKUP(C103,'Talente &amp; Stuff'!CL:DM,25,FALSE)</f>
        <v>0</v>
      </c>
      <c r="AB103" s="160">
        <f>VLOOKUP(C103,'Talente &amp; Stuff'!CL:DM,26,FALSE)</f>
        <v>0</v>
      </c>
      <c r="AC103" s="127">
        <f>VLOOKUP(C103,'Talente &amp; Stuff'!CL:DM,27,FALSE)</f>
        <v>0</v>
      </c>
      <c r="AD103" s="125">
        <f>VLOOKUP(C103,'Talente &amp; Stuff'!CL:DM,28,FALSE)</f>
        <v>0</v>
      </c>
      <c r="AE103" s="28"/>
    </row>
    <row r="104" spans="2:31" ht="15" hidden="1" customHeight="1" outlineLevel="2">
      <c r="B104" s="148">
        <v>5</v>
      </c>
      <c r="C104" s="177" t="str">
        <f>Attribute!C104</f>
        <v>---</v>
      </c>
      <c r="D104" s="86" t="str">
        <f>VLOOKUP(C104,'Talente &amp; Stuff'!CL:DM,2,FALSE)</f>
        <v>--/--/--</v>
      </c>
      <c r="E104" s="167" t="str">
        <f>VLOOKUP(C104,'Talente &amp; Stuff'!CL:DM,3,FALSE)</f>
        <v>-</v>
      </c>
      <c r="F104" s="120">
        <f>VLOOKUP(C104,'Talente &amp; Stuff'!CL:DM,4,FALSE)</f>
        <v>0</v>
      </c>
      <c r="G104" s="117">
        <f>VLOOKUP(C104,'Talente &amp; Stuff'!CL:DM,5,FALSE)</f>
        <v>0</v>
      </c>
      <c r="H104" s="117">
        <f>VLOOKUP(C104,'Talente &amp; Stuff'!CL:DM,6,FALSE)</f>
        <v>0</v>
      </c>
      <c r="I104" s="117">
        <f>VLOOKUP(C104,'Talente &amp; Stuff'!CL:DM,7,FALSE)</f>
        <v>0</v>
      </c>
      <c r="J104" s="117">
        <f>VLOOKUP(C104,'Talente &amp; Stuff'!CL:DM,8,FALSE)</f>
        <v>0</v>
      </c>
      <c r="K104" s="117">
        <f>VLOOKUP(C104,'Talente &amp; Stuff'!CL:DM,9,FALSE)</f>
        <v>0</v>
      </c>
      <c r="L104" s="117">
        <f>VLOOKUP(C104,'Talente &amp; Stuff'!CL:DM,10,FALSE)</f>
        <v>0</v>
      </c>
      <c r="M104" s="121">
        <f>VLOOKUP(C104,'Talente &amp; Stuff'!CL:DM,11,FALSE)</f>
        <v>0</v>
      </c>
      <c r="N104" s="47">
        <f>VLOOKUP(C104,'Talente &amp; Stuff'!CL:DM,12,FALSE)</f>
        <v>0</v>
      </c>
      <c r="O104" s="3">
        <f>VLOOKUP(C104,'Talente &amp; Stuff'!CL:DM,13,FALSE)</f>
        <v>0</v>
      </c>
      <c r="P104" s="174">
        <f>VLOOKUP(C104,'Talente &amp; Stuff'!CL:DM,14,FALSE)</f>
        <v>0</v>
      </c>
      <c r="Q104" s="114">
        <f>VLOOKUP(C104,'Talente &amp; Stuff'!CL:DM,15,FALSE)</f>
        <v>0</v>
      </c>
      <c r="R104" s="117">
        <f>VLOOKUP(C104,'Talente &amp; Stuff'!CL:DM,16,FALSE)</f>
        <v>0</v>
      </c>
      <c r="S104" s="119">
        <f>VLOOKUP(C104,'Talente &amp; Stuff'!CL:DM,17,FALSE)</f>
        <v>0</v>
      </c>
      <c r="T104" s="119">
        <f>VLOOKUP(C104,'Talente &amp; Stuff'!CL:DM,18,FALSE)</f>
        <v>0</v>
      </c>
      <c r="U104" s="89">
        <f>VLOOKUP(C104,'Talente &amp; Stuff'!CL:DM,19,FALSE)</f>
        <v>0</v>
      </c>
      <c r="V104" s="47">
        <f>VLOOKUP(C104,'Talente &amp; Stuff'!CL:DM,20,FALSE)</f>
        <v>0</v>
      </c>
      <c r="W104" s="127">
        <f>VLOOKUP(C104,'Talente &amp; Stuff'!CL:DM,21,FALSE)</f>
        <v>0</v>
      </c>
      <c r="X104" s="127">
        <f>VLOOKUP(C104,'Talente &amp; Stuff'!CL:DM,22,FALSE)</f>
        <v>0</v>
      </c>
      <c r="Y104" s="165">
        <f t="shared" si="12"/>
        <v>0</v>
      </c>
      <c r="Z104" s="44">
        <f t="shared" si="13"/>
        <v>0</v>
      </c>
      <c r="AA104" s="125">
        <f>VLOOKUP(C104,'Talente &amp; Stuff'!CL:DM,25,FALSE)</f>
        <v>0</v>
      </c>
      <c r="AB104" s="160">
        <f>VLOOKUP(C104,'Talente &amp; Stuff'!CL:DM,26,FALSE)</f>
        <v>0</v>
      </c>
      <c r="AC104" s="127">
        <f>VLOOKUP(C104,'Talente &amp; Stuff'!CL:DM,27,FALSE)</f>
        <v>0</v>
      </c>
      <c r="AD104" s="125">
        <f>VLOOKUP(C104,'Talente &amp; Stuff'!CL:DM,28,FALSE)</f>
        <v>0</v>
      </c>
      <c r="AE104" s="28"/>
    </row>
    <row r="105" spans="2:31" ht="15" hidden="1" customHeight="1" outlineLevel="2">
      <c r="B105" s="148">
        <v>6</v>
      </c>
      <c r="C105" s="177" t="str">
        <f>Attribute!C105</f>
        <v>---</v>
      </c>
      <c r="D105" s="86" t="str">
        <f>VLOOKUP(C105,'Talente &amp; Stuff'!CL:DM,2,FALSE)</f>
        <v>--/--/--</v>
      </c>
      <c r="E105" s="167" t="str">
        <f>VLOOKUP(C105,'Talente &amp; Stuff'!CL:DM,3,FALSE)</f>
        <v>-</v>
      </c>
      <c r="F105" s="120">
        <f>VLOOKUP(C105,'Talente &amp; Stuff'!CL:DM,4,FALSE)</f>
        <v>0</v>
      </c>
      <c r="G105" s="117">
        <f>VLOOKUP(C105,'Talente &amp; Stuff'!CL:DM,5,FALSE)</f>
        <v>0</v>
      </c>
      <c r="H105" s="117">
        <f>VLOOKUP(C105,'Talente &amp; Stuff'!CL:DM,6,FALSE)</f>
        <v>0</v>
      </c>
      <c r="I105" s="117">
        <f>VLOOKUP(C105,'Talente &amp; Stuff'!CL:DM,7,FALSE)</f>
        <v>0</v>
      </c>
      <c r="J105" s="117">
        <f>VLOOKUP(C105,'Talente &amp; Stuff'!CL:DM,8,FALSE)</f>
        <v>0</v>
      </c>
      <c r="K105" s="117">
        <f>VLOOKUP(C105,'Talente &amp; Stuff'!CL:DM,9,FALSE)</f>
        <v>0</v>
      </c>
      <c r="L105" s="117">
        <f>VLOOKUP(C105,'Talente &amp; Stuff'!CL:DM,10,FALSE)</f>
        <v>0</v>
      </c>
      <c r="M105" s="121">
        <f>VLOOKUP(C105,'Talente &amp; Stuff'!CL:DM,11,FALSE)</f>
        <v>0</v>
      </c>
      <c r="N105" s="47">
        <f>VLOOKUP(C105,'Talente &amp; Stuff'!CL:DM,12,FALSE)</f>
        <v>0</v>
      </c>
      <c r="O105" s="3">
        <f>VLOOKUP(C105,'Talente &amp; Stuff'!CL:DM,13,FALSE)</f>
        <v>0</v>
      </c>
      <c r="P105" s="174">
        <f>VLOOKUP(C105,'Talente &amp; Stuff'!CL:DM,14,FALSE)</f>
        <v>0</v>
      </c>
      <c r="Q105" s="114">
        <f>VLOOKUP(C105,'Talente &amp; Stuff'!CL:DM,15,FALSE)</f>
        <v>0</v>
      </c>
      <c r="R105" s="117">
        <f>VLOOKUP(C105,'Talente &amp; Stuff'!CL:DM,16,FALSE)</f>
        <v>0</v>
      </c>
      <c r="S105" s="119">
        <f>VLOOKUP(C105,'Talente &amp; Stuff'!CL:DM,17,FALSE)</f>
        <v>0</v>
      </c>
      <c r="T105" s="119">
        <f>VLOOKUP(C105,'Talente &amp; Stuff'!CL:DM,18,FALSE)</f>
        <v>0</v>
      </c>
      <c r="U105" s="89">
        <f>VLOOKUP(C105,'Talente &amp; Stuff'!CL:DM,19,FALSE)</f>
        <v>0</v>
      </c>
      <c r="V105" s="47">
        <f>VLOOKUP(C105,'Talente &amp; Stuff'!CL:DM,20,FALSE)</f>
        <v>0</v>
      </c>
      <c r="W105" s="127">
        <f>VLOOKUP(C105,'Talente &amp; Stuff'!CL:DM,21,FALSE)</f>
        <v>0</v>
      </c>
      <c r="X105" s="127">
        <f>VLOOKUP(C105,'Talente &amp; Stuff'!CL:DM,22,FALSE)</f>
        <v>0</v>
      </c>
      <c r="Y105" s="165">
        <f t="shared" si="12"/>
        <v>0</v>
      </c>
      <c r="Z105" s="44">
        <f t="shared" si="13"/>
        <v>0</v>
      </c>
      <c r="AA105" s="125">
        <f>VLOOKUP(C105,'Talente &amp; Stuff'!CL:DM,25,FALSE)</f>
        <v>0</v>
      </c>
      <c r="AB105" s="160">
        <f>VLOOKUP(C105,'Talente &amp; Stuff'!CL:DM,26,FALSE)</f>
        <v>0</v>
      </c>
      <c r="AC105" s="127">
        <f>VLOOKUP(C105,'Talente &amp; Stuff'!CL:DM,27,FALSE)</f>
        <v>0</v>
      </c>
      <c r="AD105" s="125">
        <f>VLOOKUP(C105,'Talente &amp; Stuff'!CL:DM,28,FALSE)</f>
        <v>0</v>
      </c>
      <c r="AE105" s="28"/>
    </row>
    <row r="106" spans="2:31" ht="15" hidden="1" customHeight="1" outlineLevel="2">
      <c r="B106" s="148">
        <v>7</v>
      </c>
      <c r="C106" s="177" t="str">
        <f>Attribute!C106</f>
        <v>---</v>
      </c>
      <c r="D106" s="86" t="str">
        <f>VLOOKUP(C106,'Talente &amp; Stuff'!CL:DM,2,FALSE)</f>
        <v>--/--/--</v>
      </c>
      <c r="E106" s="167" t="str">
        <f>VLOOKUP(C106,'Talente &amp; Stuff'!CL:DM,3,FALSE)</f>
        <v>-</v>
      </c>
      <c r="F106" s="120">
        <f>VLOOKUP(C106,'Talente &amp; Stuff'!CL:DM,4,FALSE)</f>
        <v>0</v>
      </c>
      <c r="G106" s="117">
        <f>VLOOKUP(C106,'Talente &amp; Stuff'!CL:DM,5,FALSE)</f>
        <v>0</v>
      </c>
      <c r="H106" s="117">
        <f>VLOOKUP(C106,'Talente &amp; Stuff'!CL:DM,6,FALSE)</f>
        <v>0</v>
      </c>
      <c r="I106" s="117">
        <f>VLOOKUP(C106,'Talente &amp; Stuff'!CL:DM,7,FALSE)</f>
        <v>0</v>
      </c>
      <c r="J106" s="117">
        <f>VLOOKUP(C106,'Talente &amp; Stuff'!CL:DM,8,FALSE)</f>
        <v>0</v>
      </c>
      <c r="K106" s="117">
        <f>VLOOKUP(C106,'Talente &amp; Stuff'!CL:DM,9,FALSE)</f>
        <v>0</v>
      </c>
      <c r="L106" s="117">
        <f>VLOOKUP(C106,'Talente &amp; Stuff'!CL:DM,10,FALSE)</f>
        <v>0</v>
      </c>
      <c r="M106" s="121">
        <f>VLOOKUP(C106,'Talente &amp; Stuff'!CL:DM,11,FALSE)</f>
        <v>0</v>
      </c>
      <c r="N106" s="47">
        <f>VLOOKUP(C106,'Talente &amp; Stuff'!CL:DM,12,FALSE)</f>
        <v>0</v>
      </c>
      <c r="O106" s="3">
        <f>VLOOKUP(C106,'Talente &amp; Stuff'!CL:DM,13,FALSE)</f>
        <v>0</v>
      </c>
      <c r="P106" s="174">
        <f>VLOOKUP(C106,'Talente &amp; Stuff'!CL:DM,14,FALSE)</f>
        <v>0</v>
      </c>
      <c r="Q106" s="114">
        <f>VLOOKUP(C106,'Talente &amp; Stuff'!CL:DM,15,FALSE)</f>
        <v>0</v>
      </c>
      <c r="R106" s="117">
        <f>VLOOKUP(C106,'Talente &amp; Stuff'!CL:DM,16,FALSE)</f>
        <v>0</v>
      </c>
      <c r="S106" s="119">
        <f>VLOOKUP(C106,'Talente &amp; Stuff'!CL:DM,17,FALSE)</f>
        <v>0</v>
      </c>
      <c r="T106" s="119">
        <f>VLOOKUP(C106,'Talente &amp; Stuff'!CL:DM,18,FALSE)</f>
        <v>0</v>
      </c>
      <c r="U106" s="89">
        <f>VLOOKUP(C106,'Talente &amp; Stuff'!CL:DM,19,FALSE)</f>
        <v>0</v>
      </c>
      <c r="V106" s="47">
        <f>VLOOKUP(C106,'Talente &amp; Stuff'!CL:DM,20,FALSE)</f>
        <v>0</v>
      </c>
      <c r="W106" s="127">
        <f>VLOOKUP(C106,'Talente &amp; Stuff'!CL:DM,21,FALSE)</f>
        <v>0</v>
      </c>
      <c r="X106" s="127">
        <f>VLOOKUP(C106,'Talente &amp; Stuff'!CL:DM,22,FALSE)</f>
        <v>0</v>
      </c>
      <c r="Y106" s="165">
        <f t="shared" si="12"/>
        <v>0</v>
      </c>
      <c r="Z106" s="44">
        <f t="shared" si="13"/>
        <v>0</v>
      </c>
      <c r="AA106" s="125">
        <f>VLOOKUP(C106,'Talente &amp; Stuff'!CL:DM,25,FALSE)</f>
        <v>0</v>
      </c>
      <c r="AB106" s="160">
        <f>VLOOKUP(C106,'Talente &amp; Stuff'!CL:DM,26,FALSE)</f>
        <v>0</v>
      </c>
      <c r="AC106" s="127">
        <f>VLOOKUP(C106,'Talente &amp; Stuff'!CL:DM,27,FALSE)</f>
        <v>0</v>
      </c>
      <c r="AD106" s="125">
        <f>VLOOKUP(C106,'Talente &amp; Stuff'!CL:DM,28,FALSE)</f>
        <v>0</v>
      </c>
      <c r="AE106" s="28"/>
    </row>
    <row r="107" spans="2:31" ht="15" hidden="1" customHeight="1" outlineLevel="2">
      <c r="B107" s="148">
        <v>8</v>
      </c>
      <c r="C107" s="177" t="str">
        <f>Attribute!C107</f>
        <v>---</v>
      </c>
      <c r="D107" s="86" t="str">
        <f>VLOOKUP(C107,'Talente &amp; Stuff'!CL:DM,2,FALSE)</f>
        <v>--/--/--</v>
      </c>
      <c r="E107" s="167" t="str">
        <f>VLOOKUP(C107,'Talente &amp; Stuff'!CL:DM,3,FALSE)</f>
        <v>-</v>
      </c>
      <c r="F107" s="120">
        <f>VLOOKUP(C107,'Talente &amp; Stuff'!CL:DM,4,FALSE)</f>
        <v>0</v>
      </c>
      <c r="G107" s="117">
        <f>VLOOKUP(C107,'Talente &amp; Stuff'!CL:DM,5,FALSE)</f>
        <v>0</v>
      </c>
      <c r="H107" s="117">
        <f>VLOOKUP(C107,'Talente &amp; Stuff'!CL:DM,6,FALSE)</f>
        <v>0</v>
      </c>
      <c r="I107" s="117">
        <f>VLOOKUP(C107,'Talente &amp; Stuff'!CL:DM,7,FALSE)</f>
        <v>0</v>
      </c>
      <c r="J107" s="117">
        <f>VLOOKUP(C107,'Talente &amp; Stuff'!CL:DM,8,FALSE)</f>
        <v>0</v>
      </c>
      <c r="K107" s="117">
        <f>VLOOKUP(C107,'Talente &amp; Stuff'!CL:DM,9,FALSE)</f>
        <v>0</v>
      </c>
      <c r="L107" s="117">
        <f>VLOOKUP(C107,'Talente &amp; Stuff'!CL:DM,10,FALSE)</f>
        <v>0</v>
      </c>
      <c r="M107" s="121">
        <f>VLOOKUP(C107,'Talente &amp; Stuff'!CL:DM,11,FALSE)</f>
        <v>0</v>
      </c>
      <c r="N107" s="47">
        <f>VLOOKUP(C107,'Talente &amp; Stuff'!CL:DM,12,FALSE)</f>
        <v>0</v>
      </c>
      <c r="O107" s="3">
        <f>VLOOKUP(C107,'Talente &amp; Stuff'!CL:DM,13,FALSE)</f>
        <v>0</v>
      </c>
      <c r="P107" s="174">
        <f>VLOOKUP(C107,'Talente &amp; Stuff'!CL:DM,14,FALSE)</f>
        <v>0</v>
      </c>
      <c r="Q107" s="114">
        <f>VLOOKUP(C107,'Talente &amp; Stuff'!CL:DM,15,FALSE)</f>
        <v>0</v>
      </c>
      <c r="R107" s="117">
        <f>VLOOKUP(C107,'Talente &amp; Stuff'!CL:DM,16,FALSE)</f>
        <v>0</v>
      </c>
      <c r="S107" s="119">
        <f>VLOOKUP(C107,'Talente &amp; Stuff'!CL:DM,17,FALSE)</f>
        <v>0</v>
      </c>
      <c r="T107" s="119">
        <f>VLOOKUP(C107,'Talente &amp; Stuff'!CL:DM,18,FALSE)</f>
        <v>0</v>
      </c>
      <c r="U107" s="89">
        <f>VLOOKUP(C107,'Talente &amp; Stuff'!CL:DM,19,FALSE)</f>
        <v>0</v>
      </c>
      <c r="V107" s="47">
        <f>VLOOKUP(C107,'Talente &amp; Stuff'!CL:DM,20,FALSE)</f>
        <v>0</v>
      </c>
      <c r="W107" s="127">
        <f>VLOOKUP(C107,'Talente &amp; Stuff'!CL:DM,21,FALSE)</f>
        <v>0</v>
      </c>
      <c r="X107" s="127">
        <f>VLOOKUP(C107,'Talente &amp; Stuff'!CL:DM,22,FALSE)</f>
        <v>0</v>
      </c>
      <c r="Y107" s="165">
        <f t="shared" si="12"/>
        <v>0</v>
      </c>
      <c r="Z107" s="44">
        <f t="shared" si="13"/>
        <v>0</v>
      </c>
      <c r="AA107" s="125">
        <f>VLOOKUP(C107,'Talente &amp; Stuff'!CL:DM,25,FALSE)</f>
        <v>0</v>
      </c>
      <c r="AB107" s="160">
        <f>VLOOKUP(C107,'Talente &amp; Stuff'!CL:DM,26,FALSE)</f>
        <v>0</v>
      </c>
      <c r="AC107" s="127">
        <f>VLOOKUP(C107,'Talente &amp; Stuff'!CL:DM,27,FALSE)</f>
        <v>0</v>
      </c>
      <c r="AD107" s="125">
        <f>VLOOKUP(C107,'Talente &amp; Stuff'!CL:DM,28,FALSE)</f>
        <v>0</v>
      </c>
      <c r="AE107" s="28"/>
    </row>
    <row r="108" spans="2:31" ht="15" hidden="1" customHeight="1" outlineLevel="2">
      <c r="B108" s="148">
        <v>9</v>
      </c>
      <c r="C108" s="177" t="str">
        <f>Attribute!C108</f>
        <v>---</v>
      </c>
      <c r="D108" s="86" t="str">
        <f>VLOOKUP(C108,'Talente &amp; Stuff'!CL:DM,2,FALSE)</f>
        <v>--/--/--</v>
      </c>
      <c r="E108" s="167" t="str">
        <f>VLOOKUP(C108,'Talente &amp; Stuff'!CL:DM,3,FALSE)</f>
        <v>-</v>
      </c>
      <c r="F108" s="120">
        <f>VLOOKUP(C108,'Talente &amp; Stuff'!CL:DM,4,FALSE)</f>
        <v>0</v>
      </c>
      <c r="G108" s="117">
        <f>VLOOKUP(C108,'Talente &amp; Stuff'!CL:DM,5,FALSE)</f>
        <v>0</v>
      </c>
      <c r="H108" s="117">
        <f>VLOOKUP(C108,'Talente &amp; Stuff'!CL:DM,6,FALSE)</f>
        <v>0</v>
      </c>
      <c r="I108" s="117">
        <f>VLOOKUP(C108,'Talente &amp; Stuff'!CL:DM,7,FALSE)</f>
        <v>0</v>
      </c>
      <c r="J108" s="117">
        <f>VLOOKUP(C108,'Talente &amp; Stuff'!CL:DM,8,FALSE)</f>
        <v>0</v>
      </c>
      <c r="K108" s="117">
        <f>VLOOKUP(C108,'Talente &amp; Stuff'!CL:DM,9,FALSE)</f>
        <v>0</v>
      </c>
      <c r="L108" s="117">
        <f>VLOOKUP(C108,'Talente &amp; Stuff'!CL:DM,10,FALSE)</f>
        <v>0</v>
      </c>
      <c r="M108" s="121">
        <f>VLOOKUP(C108,'Talente &amp; Stuff'!CL:DM,11,FALSE)</f>
        <v>0</v>
      </c>
      <c r="N108" s="47">
        <f>VLOOKUP(C108,'Talente &amp; Stuff'!CL:DM,12,FALSE)</f>
        <v>0</v>
      </c>
      <c r="O108" s="3">
        <f>VLOOKUP(C108,'Talente &amp; Stuff'!CL:DM,13,FALSE)</f>
        <v>0</v>
      </c>
      <c r="P108" s="174">
        <f>VLOOKUP(C108,'Talente &amp; Stuff'!CL:DM,14,FALSE)</f>
        <v>0</v>
      </c>
      <c r="Q108" s="114">
        <f>VLOOKUP(C108,'Talente &amp; Stuff'!CL:DM,15,FALSE)</f>
        <v>0</v>
      </c>
      <c r="R108" s="117">
        <f>VLOOKUP(C108,'Talente &amp; Stuff'!CL:DM,16,FALSE)</f>
        <v>0</v>
      </c>
      <c r="S108" s="119">
        <f>VLOOKUP(C108,'Talente &amp; Stuff'!CL:DM,17,FALSE)</f>
        <v>0</v>
      </c>
      <c r="T108" s="119">
        <f>VLOOKUP(C108,'Talente &amp; Stuff'!CL:DM,18,FALSE)</f>
        <v>0</v>
      </c>
      <c r="U108" s="89">
        <f>VLOOKUP(C108,'Talente &amp; Stuff'!CL:DM,19,FALSE)</f>
        <v>0</v>
      </c>
      <c r="V108" s="47">
        <f>VLOOKUP(C108,'Talente &amp; Stuff'!CL:DM,20,FALSE)</f>
        <v>0</v>
      </c>
      <c r="W108" s="127">
        <f>VLOOKUP(C108,'Talente &amp; Stuff'!CL:DM,21,FALSE)</f>
        <v>0</v>
      </c>
      <c r="X108" s="127">
        <f>VLOOKUP(C108,'Talente &amp; Stuff'!CL:DM,22,FALSE)</f>
        <v>0</v>
      </c>
      <c r="Y108" s="165">
        <f t="shared" si="12"/>
        <v>0</v>
      </c>
      <c r="Z108" s="44">
        <f t="shared" si="13"/>
        <v>0</v>
      </c>
      <c r="AA108" s="125">
        <f>VLOOKUP(C108,'Talente &amp; Stuff'!CL:DM,25,FALSE)</f>
        <v>0</v>
      </c>
      <c r="AB108" s="160">
        <f>VLOOKUP(C108,'Talente &amp; Stuff'!CL:DM,26,FALSE)</f>
        <v>0</v>
      </c>
      <c r="AC108" s="127">
        <f>VLOOKUP(C108,'Talente &amp; Stuff'!CL:DM,27,FALSE)</f>
        <v>0</v>
      </c>
      <c r="AD108" s="125">
        <f>VLOOKUP(C108,'Talente &amp; Stuff'!CL:DM,28,FALSE)</f>
        <v>0</v>
      </c>
      <c r="AE108" s="28"/>
    </row>
    <row r="109" spans="2:31" ht="15" hidden="1" customHeight="1" outlineLevel="2">
      <c r="B109" s="148">
        <v>10</v>
      </c>
      <c r="C109" s="177" t="str">
        <f>Attribute!C109</f>
        <v>---</v>
      </c>
      <c r="D109" s="86" t="str">
        <f>VLOOKUP(C109,'Talente &amp; Stuff'!CL:DM,2,FALSE)</f>
        <v>--/--/--</v>
      </c>
      <c r="E109" s="167" t="str">
        <f>VLOOKUP(C109,'Talente &amp; Stuff'!CL:DM,3,FALSE)</f>
        <v>-</v>
      </c>
      <c r="F109" s="120">
        <f>VLOOKUP(C109,'Talente &amp; Stuff'!CL:DM,4,FALSE)</f>
        <v>0</v>
      </c>
      <c r="G109" s="117">
        <f>VLOOKUP(C109,'Talente &amp; Stuff'!CL:DM,5,FALSE)</f>
        <v>0</v>
      </c>
      <c r="H109" s="117">
        <f>VLOOKUP(C109,'Talente &amp; Stuff'!CL:DM,6,FALSE)</f>
        <v>0</v>
      </c>
      <c r="I109" s="117">
        <f>VLOOKUP(C109,'Talente &amp; Stuff'!CL:DM,7,FALSE)</f>
        <v>0</v>
      </c>
      <c r="J109" s="117">
        <f>VLOOKUP(C109,'Talente &amp; Stuff'!CL:DM,8,FALSE)</f>
        <v>0</v>
      </c>
      <c r="K109" s="117">
        <f>VLOOKUP(C109,'Talente &amp; Stuff'!CL:DM,9,FALSE)</f>
        <v>0</v>
      </c>
      <c r="L109" s="117">
        <f>VLOOKUP(C109,'Talente &amp; Stuff'!CL:DM,10,FALSE)</f>
        <v>0</v>
      </c>
      <c r="M109" s="121">
        <f>VLOOKUP(C109,'Talente &amp; Stuff'!CL:DM,11,FALSE)</f>
        <v>0</v>
      </c>
      <c r="N109" s="47">
        <f>VLOOKUP(C109,'Talente &amp; Stuff'!CL:DM,12,FALSE)</f>
        <v>0</v>
      </c>
      <c r="O109" s="3">
        <f>VLOOKUP(C109,'Talente &amp; Stuff'!CL:DM,13,FALSE)</f>
        <v>0</v>
      </c>
      <c r="P109" s="174">
        <f>VLOOKUP(C109,'Talente &amp; Stuff'!CL:DM,14,FALSE)</f>
        <v>0</v>
      </c>
      <c r="Q109" s="114">
        <f>VLOOKUP(C109,'Talente &amp; Stuff'!CL:DM,15,FALSE)</f>
        <v>0</v>
      </c>
      <c r="R109" s="117">
        <f>VLOOKUP(C109,'Talente &amp; Stuff'!CL:DM,16,FALSE)</f>
        <v>0</v>
      </c>
      <c r="S109" s="119">
        <f>VLOOKUP(C109,'Talente &amp; Stuff'!CL:DM,17,FALSE)</f>
        <v>0</v>
      </c>
      <c r="T109" s="119">
        <f>VLOOKUP(C109,'Talente &amp; Stuff'!CL:DM,18,FALSE)</f>
        <v>0</v>
      </c>
      <c r="U109" s="89">
        <f>VLOOKUP(C109,'Talente &amp; Stuff'!CL:DM,19,FALSE)</f>
        <v>0</v>
      </c>
      <c r="V109" s="47">
        <f>VLOOKUP(C109,'Talente &amp; Stuff'!CL:DM,20,FALSE)</f>
        <v>0</v>
      </c>
      <c r="W109" s="127">
        <f>VLOOKUP(C109,'Talente &amp; Stuff'!CL:DM,21,FALSE)</f>
        <v>0</v>
      </c>
      <c r="X109" s="127">
        <f>VLOOKUP(C109,'Talente &amp; Stuff'!CL:DM,22,FALSE)</f>
        <v>0</v>
      </c>
      <c r="Y109" s="165">
        <f t="shared" si="12"/>
        <v>0</v>
      </c>
      <c r="Z109" s="44">
        <f t="shared" si="13"/>
        <v>0</v>
      </c>
      <c r="AA109" s="125">
        <f>VLOOKUP(C109,'Talente &amp; Stuff'!CL:DM,25,FALSE)</f>
        <v>0</v>
      </c>
      <c r="AB109" s="160">
        <f>VLOOKUP(C109,'Talente &amp; Stuff'!CL:DM,26,FALSE)</f>
        <v>0</v>
      </c>
      <c r="AC109" s="127">
        <f>VLOOKUP(C109,'Talente &amp; Stuff'!CL:DM,27,FALSE)</f>
        <v>0</v>
      </c>
      <c r="AD109" s="125">
        <f>VLOOKUP(C109,'Talente &amp; Stuff'!CL:DM,28,FALSE)</f>
        <v>0</v>
      </c>
      <c r="AE109" s="28"/>
    </row>
    <row r="110" spans="2:31" ht="15" hidden="1" customHeight="1" outlineLevel="2">
      <c r="B110" s="148">
        <v>11</v>
      </c>
      <c r="C110" s="177" t="str">
        <f>Attribute!C110</f>
        <v>---</v>
      </c>
      <c r="D110" s="86" t="str">
        <f>VLOOKUP(C110,'Talente &amp; Stuff'!CL:DM,2,FALSE)</f>
        <v>--/--/--</v>
      </c>
      <c r="E110" s="167" t="str">
        <f>VLOOKUP(C110,'Talente &amp; Stuff'!CL:DM,3,FALSE)</f>
        <v>-</v>
      </c>
      <c r="F110" s="120">
        <f>VLOOKUP(C110,'Talente &amp; Stuff'!CL:DM,4,FALSE)</f>
        <v>0</v>
      </c>
      <c r="G110" s="117">
        <f>VLOOKUP(C110,'Talente &amp; Stuff'!CL:DM,5,FALSE)</f>
        <v>0</v>
      </c>
      <c r="H110" s="117">
        <f>VLOOKUP(C110,'Talente &amp; Stuff'!CL:DM,6,FALSE)</f>
        <v>0</v>
      </c>
      <c r="I110" s="117">
        <f>VLOOKUP(C110,'Talente &amp; Stuff'!CL:DM,7,FALSE)</f>
        <v>0</v>
      </c>
      <c r="J110" s="117">
        <f>VLOOKUP(C110,'Talente &amp; Stuff'!CL:DM,8,FALSE)</f>
        <v>0</v>
      </c>
      <c r="K110" s="117">
        <f>VLOOKUP(C110,'Talente &amp; Stuff'!CL:DM,9,FALSE)</f>
        <v>0</v>
      </c>
      <c r="L110" s="117">
        <f>VLOOKUP(C110,'Talente &amp; Stuff'!CL:DM,10,FALSE)</f>
        <v>0</v>
      </c>
      <c r="M110" s="121">
        <f>VLOOKUP(C110,'Talente &amp; Stuff'!CL:DM,11,FALSE)</f>
        <v>0</v>
      </c>
      <c r="N110" s="47">
        <f>VLOOKUP(C110,'Talente &amp; Stuff'!CL:DM,12,FALSE)</f>
        <v>0</v>
      </c>
      <c r="O110" s="3">
        <f>VLOOKUP(C110,'Talente &amp; Stuff'!CL:DM,13,FALSE)</f>
        <v>0</v>
      </c>
      <c r="P110" s="174">
        <f>VLOOKUP(C110,'Talente &amp; Stuff'!CL:DM,14,FALSE)</f>
        <v>0</v>
      </c>
      <c r="Q110" s="114">
        <f>VLOOKUP(C110,'Talente &amp; Stuff'!CL:DM,15,FALSE)</f>
        <v>0</v>
      </c>
      <c r="R110" s="117">
        <f>VLOOKUP(C110,'Talente &amp; Stuff'!CL:DM,16,FALSE)</f>
        <v>0</v>
      </c>
      <c r="S110" s="119">
        <f>VLOOKUP(C110,'Talente &amp; Stuff'!CL:DM,17,FALSE)</f>
        <v>0</v>
      </c>
      <c r="T110" s="119">
        <f>VLOOKUP(C110,'Talente &amp; Stuff'!CL:DM,18,FALSE)</f>
        <v>0</v>
      </c>
      <c r="U110" s="89">
        <f>VLOOKUP(C110,'Talente &amp; Stuff'!CL:DM,19,FALSE)</f>
        <v>0</v>
      </c>
      <c r="V110" s="47">
        <f>VLOOKUP(C110,'Talente &amp; Stuff'!CL:DM,20,FALSE)</f>
        <v>0</v>
      </c>
      <c r="W110" s="127">
        <f>VLOOKUP(C110,'Talente &amp; Stuff'!CL:DM,21,FALSE)</f>
        <v>0</v>
      </c>
      <c r="X110" s="127">
        <f>VLOOKUP(C110,'Talente &amp; Stuff'!CL:DM,22,FALSE)</f>
        <v>0</v>
      </c>
      <c r="Y110" s="165">
        <f t="shared" si="12"/>
        <v>0</v>
      </c>
      <c r="Z110" s="44">
        <f t="shared" si="13"/>
        <v>0</v>
      </c>
      <c r="AA110" s="125">
        <f>VLOOKUP(C110,'Talente &amp; Stuff'!CL:DM,25,FALSE)</f>
        <v>0</v>
      </c>
      <c r="AB110" s="160">
        <f>VLOOKUP(C110,'Talente &amp; Stuff'!CL:DM,26,FALSE)</f>
        <v>0</v>
      </c>
      <c r="AC110" s="127">
        <f>VLOOKUP(C110,'Talente &amp; Stuff'!CL:DM,27,FALSE)</f>
        <v>0</v>
      </c>
      <c r="AD110" s="125">
        <f>VLOOKUP(C110,'Talente &amp; Stuff'!CL:DM,28,FALSE)</f>
        <v>0</v>
      </c>
      <c r="AE110" s="28"/>
    </row>
    <row r="111" spans="2:31" ht="15" hidden="1" customHeight="1" outlineLevel="2">
      <c r="B111" s="148">
        <v>12</v>
      </c>
      <c r="C111" s="177" t="str">
        <f>Attribute!C111</f>
        <v>---</v>
      </c>
      <c r="D111" s="86" t="str">
        <f>VLOOKUP(C111,'Talente &amp; Stuff'!CL:DM,2,FALSE)</f>
        <v>--/--/--</v>
      </c>
      <c r="E111" s="167" t="str">
        <f>VLOOKUP(C111,'Talente &amp; Stuff'!CL:DM,3,FALSE)</f>
        <v>-</v>
      </c>
      <c r="F111" s="120">
        <f>VLOOKUP(C111,'Talente &amp; Stuff'!CL:DM,4,FALSE)</f>
        <v>0</v>
      </c>
      <c r="G111" s="117">
        <f>VLOOKUP(C111,'Talente &amp; Stuff'!CL:DM,5,FALSE)</f>
        <v>0</v>
      </c>
      <c r="H111" s="117">
        <f>VLOOKUP(C111,'Talente &amp; Stuff'!CL:DM,6,FALSE)</f>
        <v>0</v>
      </c>
      <c r="I111" s="117">
        <f>VLOOKUP(C111,'Talente &amp; Stuff'!CL:DM,7,FALSE)</f>
        <v>0</v>
      </c>
      <c r="J111" s="117">
        <f>VLOOKUP(C111,'Talente &amp; Stuff'!CL:DM,8,FALSE)</f>
        <v>0</v>
      </c>
      <c r="K111" s="117">
        <f>VLOOKUP(C111,'Talente &amp; Stuff'!CL:DM,9,FALSE)</f>
        <v>0</v>
      </c>
      <c r="L111" s="117">
        <f>VLOOKUP(C111,'Talente &amp; Stuff'!CL:DM,10,FALSE)</f>
        <v>0</v>
      </c>
      <c r="M111" s="121">
        <f>VLOOKUP(C111,'Talente &amp; Stuff'!CL:DM,11,FALSE)</f>
        <v>0</v>
      </c>
      <c r="N111" s="47">
        <f>VLOOKUP(C111,'Talente &amp; Stuff'!CL:DM,12,FALSE)</f>
        <v>0</v>
      </c>
      <c r="O111" s="3">
        <f>VLOOKUP(C111,'Talente &amp; Stuff'!CL:DM,13,FALSE)</f>
        <v>0</v>
      </c>
      <c r="P111" s="174">
        <f>VLOOKUP(C111,'Talente &amp; Stuff'!CL:DM,14,FALSE)</f>
        <v>0</v>
      </c>
      <c r="Q111" s="114">
        <f>VLOOKUP(C111,'Talente &amp; Stuff'!CL:DM,15,FALSE)</f>
        <v>0</v>
      </c>
      <c r="R111" s="117">
        <f>VLOOKUP(C111,'Talente &amp; Stuff'!CL:DM,16,FALSE)</f>
        <v>0</v>
      </c>
      <c r="S111" s="119">
        <f>VLOOKUP(C111,'Talente &amp; Stuff'!CL:DM,17,FALSE)</f>
        <v>0</v>
      </c>
      <c r="T111" s="119">
        <f>VLOOKUP(C111,'Talente &amp; Stuff'!CL:DM,18,FALSE)</f>
        <v>0</v>
      </c>
      <c r="U111" s="89">
        <f>VLOOKUP(C111,'Talente &amp; Stuff'!CL:DM,19,FALSE)</f>
        <v>0</v>
      </c>
      <c r="V111" s="47">
        <f>VLOOKUP(C111,'Talente &amp; Stuff'!CL:DM,20,FALSE)</f>
        <v>0</v>
      </c>
      <c r="W111" s="127">
        <f>VLOOKUP(C111,'Talente &amp; Stuff'!CL:DM,21,FALSE)</f>
        <v>0</v>
      </c>
      <c r="X111" s="127">
        <f>VLOOKUP(C111,'Talente &amp; Stuff'!CL:DM,22,FALSE)</f>
        <v>0</v>
      </c>
      <c r="Y111" s="165">
        <f t="shared" si="12"/>
        <v>0</v>
      </c>
      <c r="Z111" s="44">
        <f t="shared" si="13"/>
        <v>0</v>
      </c>
      <c r="AA111" s="125">
        <f>VLOOKUP(C111,'Talente &amp; Stuff'!CL:DM,25,FALSE)</f>
        <v>0</v>
      </c>
      <c r="AB111" s="160">
        <f>VLOOKUP(C111,'Talente &amp; Stuff'!CL:DM,26,FALSE)</f>
        <v>0</v>
      </c>
      <c r="AC111" s="127">
        <f>VLOOKUP(C111,'Talente &amp; Stuff'!CL:DM,27,FALSE)</f>
        <v>0</v>
      </c>
      <c r="AD111" s="125">
        <f>VLOOKUP(C111,'Talente &amp; Stuff'!CL:DM,28,FALSE)</f>
        <v>0</v>
      </c>
      <c r="AE111" s="28"/>
    </row>
    <row r="112" spans="2:31" ht="15" hidden="1" customHeight="1" outlineLevel="2">
      <c r="B112" s="148">
        <v>13</v>
      </c>
      <c r="C112" s="177" t="str">
        <f>Attribute!C112</f>
        <v>---</v>
      </c>
      <c r="D112" s="86" t="str">
        <f>VLOOKUP(C112,'Talente &amp; Stuff'!CL:DM,2,FALSE)</f>
        <v>--/--/--</v>
      </c>
      <c r="E112" s="167" t="str">
        <f>VLOOKUP(C112,'Talente &amp; Stuff'!CL:DM,3,FALSE)</f>
        <v>-</v>
      </c>
      <c r="F112" s="120">
        <f>VLOOKUP(C112,'Talente &amp; Stuff'!CL:DM,4,FALSE)</f>
        <v>0</v>
      </c>
      <c r="G112" s="117">
        <f>VLOOKUP(C112,'Talente &amp; Stuff'!CL:DM,5,FALSE)</f>
        <v>0</v>
      </c>
      <c r="H112" s="117">
        <f>VLOOKUP(C112,'Talente &amp; Stuff'!CL:DM,6,FALSE)</f>
        <v>0</v>
      </c>
      <c r="I112" s="117">
        <f>VLOOKUP(C112,'Talente &amp; Stuff'!CL:DM,7,FALSE)</f>
        <v>0</v>
      </c>
      <c r="J112" s="117">
        <f>VLOOKUP(C112,'Talente &amp; Stuff'!CL:DM,8,FALSE)</f>
        <v>0</v>
      </c>
      <c r="K112" s="117">
        <f>VLOOKUP(C112,'Talente &amp; Stuff'!CL:DM,9,FALSE)</f>
        <v>0</v>
      </c>
      <c r="L112" s="117">
        <f>VLOOKUP(C112,'Talente &amp; Stuff'!CL:DM,10,FALSE)</f>
        <v>0</v>
      </c>
      <c r="M112" s="121">
        <f>VLOOKUP(C112,'Talente &amp; Stuff'!CL:DM,11,FALSE)</f>
        <v>0</v>
      </c>
      <c r="N112" s="47">
        <f>VLOOKUP(C112,'Talente &amp; Stuff'!CL:DM,12,FALSE)</f>
        <v>0</v>
      </c>
      <c r="O112" s="3">
        <f>VLOOKUP(C112,'Talente &amp; Stuff'!CL:DM,13,FALSE)</f>
        <v>0</v>
      </c>
      <c r="P112" s="174">
        <f>VLOOKUP(C112,'Talente &amp; Stuff'!CL:DM,14,FALSE)</f>
        <v>0</v>
      </c>
      <c r="Q112" s="114">
        <f>VLOOKUP(C112,'Talente &amp; Stuff'!CL:DM,15,FALSE)</f>
        <v>0</v>
      </c>
      <c r="R112" s="117">
        <f>VLOOKUP(C112,'Talente &amp; Stuff'!CL:DM,16,FALSE)</f>
        <v>0</v>
      </c>
      <c r="S112" s="119">
        <f>VLOOKUP(C112,'Talente &amp; Stuff'!CL:DM,17,FALSE)</f>
        <v>0</v>
      </c>
      <c r="T112" s="119">
        <f>VLOOKUP(C112,'Talente &amp; Stuff'!CL:DM,18,FALSE)</f>
        <v>0</v>
      </c>
      <c r="U112" s="89">
        <f>VLOOKUP(C112,'Talente &amp; Stuff'!CL:DM,19,FALSE)</f>
        <v>0</v>
      </c>
      <c r="V112" s="47">
        <f>VLOOKUP(C112,'Talente &amp; Stuff'!CL:DM,20,FALSE)</f>
        <v>0</v>
      </c>
      <c r="W112" s="127">
        <f>VLOOKUP(C112,'Talente &amp; Stuff'!CL:DM,21,FALSE)</f>
        <v>0</v>
      </c>
      <c r="X112" s="127">
        <f>VLOOKUP(C112,'Talente &amp; Stuff'!CL:DM,22,FALSE)</f>
        <v>0</v>
      </c>
      <c r="Y112" s="165">
        <f t="shared" si="12"/>
        <v>0</v>
      </c>
      <c r="Z112" s="44">
        <f t="shared" si="13"/>
        <v>0</v>
      </c>
      <c r="AA112" s="125">
        <f>VLOOKUP(C112,'Talente &amp; Stuff'!CL:DM,25,FALSE)</f>
        <v>0</v>
      </c>
      <c r="AB112" s="160">
        <f>VLOOKUP(C112,'Talente &amp; Stuff'!CL:DM,26,FALSE)</f>
        <v>0</v>
      </c>
      <c r="AC112" s="127">
        <f>VLOOKUP(C112,'Talente &amp; Stuff'!CL:DM,27,FALSE)</f>
        <v>0</v>
      </c>
      <c r="AD112" s="125">
        <f>VLOOKUP(C112,'Talente &amp; Stuff'!CL:DM,28,FALSE)</f>
        <v>0</v>
      </c>
      <c r="AE112" s="28"/>
    </row>
    <row r="113" spans="2:31" ht="15" hidden="1" customHeight="1" outlineLevel="2">
      <c r="B113" s="148">
        <v>14</v>
      </c>
      <c r="C113" s="177" t="str">
        <f>Attribute!C113</f>
        <v>---</v>
      </c>
      <c r="D113" s="86" t="str">
        <f>VLOOKUP(C113,'Talente &amp; Stuff'!CL:DM,2,FALSE)</f>
        <v>--/--/--</v>
      </c>
      <c r="E113" s="167" t="str">
        <f>VLOOKUP(C113,'Talente &amp; Stuff'!CL:DM,3,FALSE)</f>
        <v>-</v>
      </c>
      <c r="F113" s="120">
        <f>VLOOKUP(C113,'Talente &amp; Stuff'!CL:DM,4,FALSE)</f>
        <v>0</v>
      </c>
      <c r="G113" s="117">
        <f>VLOOKUP(C113,'Talente &amp; Stuff'!CL:DM,5,FALSE)</f>
        <v>0</v>
      </c>
      <c r="H113" s="117">
        <f>VLOOKUP(C113,'Talente &amp; Stuff'!CL:DM,6,FALSE)</f>
        <v>0</v>
      </c>
      <c r="I113" s="117">
        <f>VLOOKUP(C113,'Talente &amp; Stuff'!CL:DM,7,FALSE)</f>
        <v>0</v>
      </c>
      <c r="J113" s="117">
        <f>VLOOKUP(C113,'Talente &amp; Stuff'!CL:DM,8,FALSE)</f>
        <v>0</v>
      </c>
      <c r="K113" s="117">
        <f>VLOOKUP(C113,'Talente &amp; Stuff'!CL:DM,9,FALSE)</f>
        <v>0</v>
      </c>
      <c r="L113" s="117">
        <f>VLOOKUP(C113,'Talente &amp; Stuff'!CL:DM,10,FALSE)</f>
        <v>0</v>
      </c>
      <c r="M113" s="121">
        <f>VLOOKUP(C113,'Talente &amp; Stuff'!CL:DM,11,FALSE)</f>
        <v>0</v>
      </c>
      <c r="N113" s="47">
        <f>VLOOKUP(C113,'Talente &amp; Stuff'!CL:DM,12,FALSE)</f>
        <v>0</v>
      </c>
      <c r="O113" s="3">
        <f>VLOOKUP(C113,'Talente &amp; Stuff'!CL:DM,13,FALSE)</f>
        <v>0</v>
      </c>
      <c r="P113" s="174">
        <f>VLOOKUP(C113,'Talente &amp; Stuff'!CL:DM,14,FALSE)</f>
        <v>0</v>
      </c>
      <c r="Q113" s="114">
        <f>VLOOKUP(C113,'Talente &amp; Stuff'!CL:DM,15,FALSE)</f>
        <v>0</v>
      </c>
      <c r="R113" s="117">
        <f>VLOOKUP(C113,'Talente &amp; Stuff'!CL:DM,16,FALSE)</f>
        <v>0</v>
      </c>
      <c r="S113" s="119">
        <f>VLOOKUP(C113,'Talente &amp; Stuff'!CL:DM,17,FALSE)</f>
        <v>0</v>
      </c>
      <c r="T113" s="119">
        <f>VLOOKUP(C113,'Talente &amp; Stuff'!CL:DM,18,FALSE)</f>
        <v>0</v>
      </c>
      <c r="U113" s="89">
        <f>VLOOKUP(C113,'Talente &amp; Stuff'!CL:DM,19,FALSE)</f>
        <v>0</v>
      </c>
      <c r="V113" s="47">
        <f>VLOOKUP(C113,'Talente &amp; Stuff'!CL:DM,20,FALSE)</f>
        <v>0</v>
      </c>
      <c r="W113" s="127">
        <f>VLOOKUP(C113,'Talente &amp; Stuff'!CL:DM,21,FALSE)</f>
        <v>0</v>
      </c>
      <c r="X113" s="127">
        <f>VLOOKUP(C113,'Talente &amp; Stuff'!CL:DM,22,FALSE)</f>
        <v>0</v>
      </c>
      <c r="Y113" s="165">
        <f t="shared" si="12"/>
        <v>0</v>
      </c>
      <c r="Z113" s="44">
        <f t="shared" si="13"/>
        <v>0</v>
      </c>
      <c r="AA113" s="125">
        <f>VLOOKUP(C113,'Talente &amp; Stuff'!CL:DM,25,FALSE)</f>
        <v>0</v>
      </c>
      <c r="AB113" s="160">
        <f>VLOOKUP(C113,'Talente &amp; Stuff'!CL:DM,26,FALSE)</f>
        <v>0</v>
      </c>
      <c r="AC113" s="127">
        <f>VLOOKUP(C113,'Talente &amp; Stuff'!CL:DM,27,FALSE)</f>
        <v>0</v>
      </c>
      <c r="AD113" s="125">
        <f>VLOOKUP(C113,'Talente &amp; Stuff'!CL:DM,28,FALSE)</f>
        <v>0</v>
      </c>
      <c r="AE113" s="28"/>
    </row>
    <row r="114" spans="2:31" ht="15" hidden="1" customHeight="1" outlineLevel="2">
      <c r="B114" s="148">
        <v>15</v>
      </c>
      <c r="C114" s="177" t="str">
        <f>Attribute!C114</f>
        <v>---</v>
      </c>
      <c r="D114" s="86" t="str">
        <f>VLOOKUP(C114,'Talente &amp; Stuff'!CL:DM,2,FALSE)</f>
        <v>--/--/--</v>
      </c>
      <c r="E114" s="167" t="str">
        <f>VLOOKUP(C114,'Talente &amp; Stuff'!CL:DM,3,FALSE)</f>
        <v>-</v>
      </c>
      <c r="F114" s="120">
        <f>VLOOKUP(C114,'Talente &amp; Stuff'!CL:DM,4,FALSE)</f>
        <v>0</v>
      </c>
      <c r="G114" s="117">
        <f>VLOOKUP(C114,'Talente &amp; Stuff'!CL:DM,5,FALSE)</f>
        <v>0</v>
      </c>
      <c r="H114" s="117">
        <f>VLOOKUP(C114,'Talente &amp; Stuff'!CL:DM,6,FALSE)</f>
        <v>0</v>
      </c>
      <c r="I114" s="117">
        <f>VLOOKUP(C114,'Talente &amp; Stuff'!CL:DM,7,FALSE)</f>
        <v>0</v>
      </c>
      <c r="J114" s="117">
        <f>VLOOKUP(C114,'Talente &amp; Stuff'!CL:DM,8,FALSE)</f>
        <v>0</v>
      </c>
      <c r="K114" s="117">
        <f>VLOOKUP(C114,'Talente &amp; Stuff'!CL:DM,9,FALSE)</f>
        <v>0</v>
      </c>
      <c r="L114" s="117">
        <f>VLOOKUP(C114,'Talente &amp; Stuff'!CL:DM,10,FALSE)</f>
        <v>0</v>
      </c>
      <c r="M114" s="121">
        <f>VLOOKUP(C114,'Talente &amp; Stuff'!CL:DM,11,FALSE)</f>
        <v>0</v>
      </c>
      <c r="N114" s="47">
        <f>VLOOKUP(C114,'Talente &amp; Stuff'!CL:DM,12,FALSE)</f>
        <v>0</v>
      </c>
      <c r="O114" s="3">
        <f>VLOOKUP(C114,'Talente &amp; Stuff'!CL:DM,13,FALSE)</f>
        <v>0</v>
      </c>
      <c r="P114" s="174">
        <f>VLOOKUP(C114,'Talente &amp; Stuff'!CL:DM,14,FALSE)</f>
        <v>0</v>
      </c>
      <c r="Q114" s="114">
        <f>VLOOKUP(C114,'Talente &amp; Stuff'!CL:DM,15,FALSE)</f>
        <v>0</v>
      </c>
      <c r="R114" s="117">
        <f>VLOOKUP(C114,'Talente &amp; Stuff'!CL:DM,16,FALSE)</f>
        <v>0</v>
      </c>
      <c r="S114" s="119">
        <f>VLOOKUP(C114,'Talente &amp; Stuff'!CL:DM,17,FALSE)</f>
        <v>0</v>
      </c>
      <c r="T114" s="119">
        <f>VLOOKUP(C114,'Talente &amp; Stuff'!CL:DM,18,FALSE)</f>
        <v>0</v>
      </c>
      <c r="U114" s="89">
        <f>VLOOKUP(C114,'Talente &amp; Stuff'!CL:DM,19,FALSE)</f>
        <v>0</v>
      </c>
      <c r="V114" s="47">
        <f>VLOOKUP(C114,'Talente &amp; Stuff'!CL:DM,20,FALSE)</f>
        <v>0</v>
      </c>
      <c r="W114" s="127">
        <f>VLOOKUP(C114,'Talente &amp; Stuff'!CL:DM,21,FALSE)</f>
        <v>0</v>
      </c>
      <c r="X114" s="127">
        <f>VLOOKUP(C114,'Talente &amp; Stuff'!CL:DM,22,FALSE)</f>
        <v>0</v>
      </c>
      <c r="Y114" s="165">
        <f t="shared" si="12"/>
        <v>0</v>
      </c>
      <c r="Z114" s="44">
        <f t="shared" si="13"/>
        <v>0</v>
      </c>
      <c r="AA114" s="125">
        <f>VLOOKUP(C114,'Talente &amp; Stuff'!CL:DM,25,FALSE)</f>
        <v>0</v>
      </c>
      <c r="AB114" s="160">
        <f>VLOOKUP(C114,'Talente &amp; Stuff'!CL:DM,26,FALSE)</f>
        <v>0</v>
      </c>
      <c r="AC114" s="127">
        <f>VLOOKUP(C114,'Talente &amp; Stuff'!CL:DM,27,FALSE)</f>
        <v>0</v>
      </c>
      <c r="AD114" s="125">
        <f>VLOOKUP(C114,'Talente &amp; Stuff'!CL:DM,28,FALSE)</f>
        <v>0</v>
      </c>
      <c r="AE114" s="28"/>
    </row>
    <row r="115" spans="2:31" ht="15" hidden="1" customHeight="1" outlineLevel="2">
      <c r="B115" s="148">
        <v>16</v>
      </c>
      <c r="C115" s="177" t="str">
        <f>Attribute!C115</f>
        <v>---</v>
      </c>
      <c r="D115" s="86" t="str">
        <f>VLOOKUP(C115,'Talente &amp; Stuff'!CL:DM,2,FALSE)</f>
        <v>--/--/--</v>
      </c>
      <c r="E115" s="167" t="str">
        <f>VLOOKUP(C115,'Talente &amp; Stuff'!CL:DM,3,FALSE)</f>
        <v>-</v>
      </c>
      <c r="F115" s="120">
        <f>VLOOKUP(C115,'Talente &amp; Stuff'!CL:DM,4,FALSE)</f>
        <v>0</v>
      </c>
      <c r="G115" s="117">
        <f>VLOOKUP(C115,'Talente &amp; Stuff'!CL:DM,5,FALSE)</f>
        <v>0</v>
      </c>
      <c r="H115" s="117">
        <f>VLOOKUP(C115,'Talente &amp; Stuff'!CL:DM,6,FALSE)</f>
        <v>0</v>
      </c>
      <c r="I115" s="117">
        <f>VLOOKUP(C115,'Talente &amp; Stuff'!CL:DM,7,FALSE)</f>
        <v>0</v>
      </c>
      <c r="J115" s="117">
        <f>VLOOKUP(C115,'Talente &amp; Stuff'!CL:DM,8,FALSE)</f>
        <v>0</v>
      </c>
      <c r="K115" s="117">
        <f>VLOOKUP(C115,'Talente &amp; Stuff'!CL:DM,9,FALSE)</f>
        <v>0</v>
      </c>
      <c r="L115" s="117">
        <f>VLOOKUP(C115,'Talente &amp; Stuff'!CL:DM,10,FALSE)</f>
        <v>0</v>
      </c>
      <c r="M115" s="121">
        <f>VLOOKUP(C115,'Talente &amp; Stuff'!CL:DM,11,FALSE)</f>
        <v>0</v>
      </c>
      <c r="N115" s="47">
        <f>VLOOKUP(C115,'Talente &amp; Stuff'!CL:DM,12,FALSE)</f>
        <v>0</v>
      </c>
      <c r="O115" s="3">
        <f>VLOOKUP(C115,'Talente &amp; Stuff'!CL:DM,13,FALSE)</f>
        <v>0</v>
      </c>
      <c r="P115" s="174">
        <f>VLOOKUP(C115,'Talente &amp; Stuff'!CL:DM,14,FALSE)</f>
        <v>0</v>
      </c>
      <c r="Q115" s="114">
        <f>VLOOKUP(C115,'Talente &amp; Stuff'!CL:DM,15,FALSE)</f>
        <v>0</v>
      </c>
      <c r="R115" s="117">
        <f>VLOOKUP(C115,'Talente &amp; Stuff'!CL:DM,16,FALSE)</f>
        <v>0</v>
      </c>
      <c r="S115" s="119">
        <f>VLOOKUP(C115,'Talente &amp; Stuff'!CL:DM,17,FALSE)</f>
        <v>0</v>
      </c>
      <c r="T115" s="119">
        <f>VLOOKUP(C115,'Talente &amp; Stuff'!CL:DM,18,FALSE)</f>
        <v>0</v>
      </c>
      <c r="U115" s="89">
        <f>VLOOKUP(C115,'Talente &amp; Stuff'!CL:DM,19,FALSE)</f>
        <v>0</v>
      </c>
      <c r="V115" s="47">
        <f>VLOOKUP(C115,'Talente &amp; Stuff'!CL:DM,20,FALSE)</f>
        <v>0</v>
      </c>
      <c r="W115" s="127">
        <f>VLOOKUP(C115,'Talente &amp; Stuff'!CL:DM,21,FALSE)</f>
        <v>0</v>
      </c>
      <c r="X115" s="127">
        <f>VLOOKUP(C115,'Talente &amp; Stuff'!CL:DM,22,FALSE)</f>
        <v>0</v>
      </c>
      <c r="Y115" s="165">
        <f t="shared" si="12"/>
        <v>0</v>
      </c>
      <c r="Z115" s="44">
        <f t="shared" si="13"/>
        <v>0</v>
      </c>
      <c r="AA115" s="125">
        <f>VLOOKUP(C115,'Talente &amp; Stuff'!CL:DM,25,FALSE)</f>
        <v>0</v>
      </c>
      <c r="AB115" s="160">
        <f>VLOOKUP(C115,'Talente &amp; Stuff'!CL:DM,26,FALSE)</f>
        <v>0</v>
      </c>
      <c r="AC115" s="127">
        <f>VLOOKUP(C115,'Talente &amp; Stuff'!CL:DM,27,FALSE)</f>
        <v>0</v>
      </c>
      <c r="AD115" s="125">
        <f>VLOOKUP(C115,'Talente &amp; Stuff'!CL:DM,28,FALSE)</f>
        <v>0</v>
      </c>
      <c r="AE115" s="28"/>
    </row>
    <row r="116" spans="2:31" ht="15" hidden="1" customHeight="1" outlineLevel="2">
      <c r="B116" s="148">
        <v>17</v>
      </c>
      <c r="C116" s="177" t="str">
        <f>Attribute!C116</f>
        <v>---</v>
      </c>
      <c r="D116" s="86" t="str">
        <f>VLOOKUP(C116,'Talente &amp; Stuff'!CL:DM,2,FALSE)</f>
        <v>--/--/--</v>
      </c>
      <c r="E116" s="167" t="str">
        <f>VLOOKUP(C116,'Talente &amp; Stuff'!CL:DM,3,FALSE)</f>
        <v>-</v>
      </c>
      <c r="F116" s="120">
        <f>VLOOKUP(C116,'Talente &amp; Stuff'!CL:DM,4,FALSE)</f>
        <v>0</v>
      </c>
      <c r="G116" s="117">
        <f>VLOOKUP(C116,'Talente &amp; Stuff'!CL:DM,5,FALSE)</f>
        <v>0</v>
      </c>
      <c r="H116" s="117">
        <f>VLOOKUP(C116,'Talente &amp; Stuff'!CL:DM,6,FALSE)</f>
        <v>0</v>
      </c>
      <c r="I116" s="117">
        <f>VLOOKUP(C116,'Talente &amp; Stuff'!CL:DM,7,FALSE)</f>
        <v>0</v>
      </c>
      <c r="J116" s="117">
        <f>VLOOKUP(C116,'Talente &amp; Stuff'!CL:DM,8,FALSE)</f>
        <v>0</v>
      </c>
      <c r="K116" s="117">
        <f>VLOOKUP(C116,'Talente &amp; Stuff'!CL:DM,9,FALSE)</f>
        <v>0</v>
      </c>
      <c r="L116" s="117">
        <f>VLOOKUP(C116,'Talente &amp; Stuff'!CL:DM,10,FALSE)</f>
        <v>0</v>
      </c>
      <c r="M116" s="121">
        <f>VLOOKUP(C116,'Talente &amp; Stuff'!CL:DM,11,FALSE)</f>
        <v>0</v>
      </c>
      <c r="N116" s="47">
        <f>VLOOKUP(C116,'Talente &amp; Stuff'!CL:DM,12,FALSE)</f>
        <v>0</v>
      </c>
      <c r="O116" s="3">
        <f>VLOOKUP(C116,'Talente &amp; Stuff'!CL:DM,13,FALSE)</f>
        <v>0</v>
      </c>
      <c r="P116" s="174">
        <f>VLOOKUP(C116,'Talente &amp; Stuff'!CL:DM,14,FALSE)</f>
        <v>0</v>
      </c>
      <c r="Q116" s="114">
        <f>VLOOKUP(C116,'Talente &amp; Stuff'!CL:DM,15,FALSE)</f>
        <v>0</v>
      </c>
      <c r="R116" s="117">
        <f>VLOOKUP(C116,'Talente &amp; Stuff'!CL:DM,16,FALSE)</f>
        <v>0</v>
      </c>
      <c r="S116" s="119">
        <f>VLOOKUP(C116,'Talente &amp; Stuff'!CL:DM,17,FALSE)</f>
        <v>0</v>
      </c>
      <c r="T116" s="119">
        <f>VLOOKUP(C116,'Talente &amp; Stuff'!CL:DM,18,FALSE)</f>
        <v>0</v>
      </c>
      <c r="U116" s="89">
        <f>VLOOKUP(C116,'Talente &amp; Stuff'!CL:DM,19,FALSE)</f>
        <v>0</v>
      </c>
      <c r="V116" s="47">
        <f>VLOOKUP(C116,'Talente &amp; Stuff'!CL:DM,20,FALSE)</f>
        <v>0</v>
      </c>
      <c r="W116" s="127">
        <f>VLOOKUP(C116,'Talente &amp; Stuff'!CL:DM,21,FALSE)</f>
        <v>0</v>
      </c>
      <c r="X116" s="127">
        <f>VLOOKUP(C116,'Talente &amp; Stuff'!CL:DM,22,FALSE)</f>
        <v>0</v>
      </c>
      <c r="Y116" s="165">
        <f t="shared" si="12"/>
        <v>0</v>
      </c>
      <c r="Z116" s="44">
        <f t="shared" si="13"/>
        <v>0</v>
      </c>
      <c r="AA116" s="125">
        <f>VLOOKUP(C116,'Talente &amp; Stuff'!CL:DM,25,FALSE)</f>
        <v>0</v>
      </c>
      <c r="AB116" s="160">
        <f>VLOOKUP(C116,'Talente &amp; Stuff'!CL:DM,26,FALSE)</f>
        <v>0</v>
      </c>
      <c r="AC116" s="127">
        <f>VLOOKUP(C116,'Talente &amp; Stuff'!CL:DM,27,FALSE)</f>
        <v>0</v>
      </c>
      <c r="AD116" s="125">
        <f>VLOOKUP(C116,'Talente &amp; Stuff'!CL:DM,28,FALSE)</f>
        <v>0</v>
      </c>
      <c r="AE116" s="28"/>
    </row>
    <row r="117" spans="2:31" ht="15" hidden="1" customHeight="1" outlineLevel="2">
      <c r="B117" s="148">
        <v>18</v>
      </c>
      <c r="C117" s="177" t="str">
        <f>Attribute!C117</f>
        <v>---</v>
      </c>
      <c r="D117" s="86" t="str">
        <f>VLOOKUP(C117,'Talente &amp; Stuff'!CL:DM,2,FALSE)</f>
        <v>--/--/--</v>
      </c>
      <c r="E117" s="167" t="str">
        <f>VLOOKUP(C117,'Talente &amp; Stuff'!CL:DM,3,FALSE)</f>
        <v>-</v>
      </c>
      <c r="F117" s="120">
        <f>VLOOKUP(C117,'Talente &amp; Stuff'!CL:DM,4,FALSE)</f>
        <v>0</v>
      </c>
      <c r="G117" s="117">
        <f>VLOOKUP(C117,'Talente &amp; Stuff'!CL:DM,5,FALSE)</f>
        <v>0</v>
      </c>
      <c r="H117" s="117">
        <f>VLOOKUP(C117,'Talente &amp; Stuff'!CL:DM,6,FALSE)</f>
        <v>0</v>
      </c>
      <c r="I117" s="117">
        <f>VLOOKUP(C117,'Talente &amp; Stuff'!CL:DM,7,FALSE)</f>
        <v>0</v>
      </c>
      <c r="J117" s="117">
        <f>VLOOKUP(C117,'Talente &amp; Stuff'!CL:DM,8,FALSE)</f>
        <v>0</v>
      </c>
      <c r="K117" s="117">
        <f>VLOOKUP(C117,'Talente &amp; Stuff'!CL:DM,9,FALSE)</f>
        <v>0</v>
      </c>
      <c r="L117" s="117">
        <f>VLOOKUP(C117,'Talente &amp; Stuff'!CL:DM,10,FALSE)</f>
        <v>0</v>
      </c>
      <c r="M117" s="121">
        <f>VLOOKUP(C117,'Talente &amp; Stuff'!CL:DM,11,FALSE)</f>
        <v>0</v>
      </c>
      <c r="N117" s="47">
        <f>VLOOKUP(C117,'Talente &amp; Stuff'!CL:DM,12,FALSE)</f>
        <v>0</v>
      </c>
      <c r="O117" s="3">
        <f>VLOOKUP(C117,'Talente &amp; Stuff'!CL:DM,13,FALSE)</f>
        <v>0</v>
      </c>
      <c r="P117" s="174">
        <f>VLOOKUP(C117,'Talente &amp; Stuff'!CL:DM,14,FALSE)</f>
        <v>0</v>
      </c>
      <c r="Q117" s="114">
        <f>VLOOKUP(C117,'Talente &amp; Stuff'!CL:DM,15,FALSE)</f>
        <v>0</v>
      </c>
      <c r="R117" s="117">
        <f>VLOOKUP(C117,'Talente &amp; Stuff'!CL:DM,16,FALSE)</f>
        <v>0</v>
      </c>
      <c r="S117" s="119">
        <f>VLOOKUP(C117,'Talente &amp; Stuff'!CL:DM,17,FALSE)</f>
        <v>0</v>
      </c>
      <c r="T117" s="119">
        <f>VLOOKUP(C117,'Talente &amp; Stuff'!CL:DM,18,FALSE)</f>
        <v>0</v>
      </c>
      <c r="U117" s="89">
        <f>VLOOKUP(C117,'Talente &amp; Stuff'!CL:DM,19,FALSE)</f>
        <v>0</v>
      </c>
      <c r="V117" s="47">
        <f>VLOOKUP(C117,'Talente &amp; Stuff'!CL:DM,20,FALSE)</f>
        <v>0</v>
      </c>
      <c r="W117" s="127">
        <f>VLOOKUP(C117,'Talente &amp; Stuff'!CL:DM,21,FALSE)</f>
        <v>0</v>
      </c>
      <c r="X117" s="127">
        <f>VLOOKUP(C117,'Talente &amp; Stuff'!CL:DM,22,FALSE)</f>
        <v>0</v>
      </c>
      <c r="Y117" s="165">
        <f t="shared" si="12"/>
        <v>0</v>
      </c>
      <c r="Z117" s="44">
        <f t="shared" si="13"/>
        <v>0</v>
      </c>
      <c r="AA117" s="125">
        <f>VLOOKUP(C117,'Talente &amp; Stuff'!CL:DM,25,FALSE)</f>
        <v>0</v>
      </c>
      <c r="AB117" s="160">
        <f>VLOOKUP(C117,'Talente &amp; Stuff'!CL:DM,26,FALSE)</f>
        <v>0</v>
      </c>
      <c r="AC117" s="127">
        <f>VLOOKUP(C117,'Talente &amp; Stuff'!CL:DM,27,FALSE)</f>
        <v>0</v>
      </c>
      <c r="AD117" s="125">
        <f>VLOOKUP(C117,'Talente &amp; Stuff'!CL:DM,28,FALSE)</f>
        <v>0</v>
      </c>
      <c r="AE117" s="28"/>
    </row>
    <row r="118" spans="2:31" ht="15" hidden="1" customHeight="1" outlineLevel="2">
      <c r="B118" s="148">
        <v>19</v>
      </c>
      <c r="C118" s="177" t="str">
        <f>Attribute!C118</f>
        <v>---</v>
      </c>
      <c r="D118" s="86" t="str">
        <f>VLOOKUP(C118,'Talente &amp; Stuff'!CL:DM,2,FALSE)</f>
        <v>--/--/--</v>
      </c>
      <c r="E118" s="167" t="str">
        <f>VLOOKUP(C118,'Talente &amp; Stuff'!CL:DM,3,FALSE)</f>
        <v>-</v>
      </c>
      <c r="F118" s="120">
        <f>VLOOKUP(C118,'Talente &amp; Stuff'!CL:DM,4,FALSE)</f>
        <v>0</v>
      </c>
      <c r="G118" s="117">
        <f>VLOOKUP(C118,'Talente &amp; Stuff'!CL:DM,5,FALSE)</f>
        <v>0</v>
      </c>
      <c r="H118" s="117">
        <f>VLOOKUP(C118,'Talente &amp; Stuff'!CL:DM,6,FALSE)</f>
        <v>0</v>
      </c>
      <c r="I118" s="117">
        <f>VLOOKUP(C118,'Talente &amp; Stuff'!CL:DM,7,FALSE)</f>
        <v>0</v>
      </c>
      <c r="J118" s="117">
        <f>VLOOKUP(C118,'Talente &amp; Stuff'!CL:DM,8,FALSE)</f>
        <v>0</v>
      </c>
      <c r="K118" s="117">
        <f>VLOOKUP(C118,'Talente &amp; Stuff'!CL:DM,9,FALSE)</f>
        <v>0</v>
      </c>
      <c r="L118" s="117">
        <f>VLOOKUP(C118,'Talente &amp; Stuff'!CL:DM,10,FALSE)</f>
        <v>0</v>
      </c>
      <c r="M118" s="121">
        <f>VLOOKUP(C118,'Talente &amp; Stuff'!CL:DM,11,FALSE)</f>
        <v>0</v>
      </c>
      <c r="N118" s="47">
        <f>VLOOKUP(C118,'Talente &amp; Stuff'!CL:DM,12,FALSE)</f>
        <v>0</v>
      </c>
      <c r="O118" s="3">
        <f>VLOOKUP(C118,'Talente &amp; Stuff'!CL:DM,13,FALSE)</f>
        <v>0</v>
      </c>
      <c r="P118" s="174">
        <f>VLOOKUP(C118,'Talente &amp; Stuff'!CL:DM,14,FALSE)</f>
        <v>0</v>
      </c>
      <c r="Q118" s="114">
        <f>VLOOKUP(C118,'Talente &amp; Stuff'!CL:DM,15,FALSE)</f>
        <v>0</v>
      </c>
      <c r="R118" s="117">
        <f>VLOOKUP(C118,'Talente &amp; Stuff'!CL:DM,16,FALSE)</f>
        <v>0</v>
      </c>
      <c r="S118" s="119">
        <f>VLOOKUP(C118,'Talente &amp; Stuff'!CL:DM,17,FALSE)</f>
        <v>0</v>
      </c>
      <c r="T118" s="119">
        <f>VLOOKUP(C118,'Talente &amp; Stuff'!CL:DM,18,FALSE)</f>
        <v>0</v>
      </c>
      <c r="U118" s="89">
        <f>VLOOKUP(C118,'Talente &amp; Stuff'!CL:DM,19,FALSE)</f>
        <v>0</v>
      </c>
      <c r="V118" s="47">
        <f>VLOOKUP(C118,'Talente &amp; Stuff'!CL:DM,20,FALSE)</f>
        <v>0</v>
      </c>
      <c r="W118" s="127">
        <f>VLOOKUP(C118,'Talente &amp; Stuff'!CL:DM,21,FALSE)</f>
        <v>0</v>
      </c>
      <c r="X118" s="127">
        <f>VLOOKUP(C118,'Talente &amp; Stuff'!CL:DM,22,FALSE)</f>
        <v>0</v>
      </c>
      <c r="Y118" s="165">
        <f t="shared" si="12"/>
        <v>0</v>
      </c>
      <c r="Z118" s="44">
        <f t="shared" si="13"/>
        <v>0</v>
      </c>
      <c r="AA118" s="125">
        <f>VLOOKUP(C118,'Talente &amp; Stuff'!CL:DM,25,FALSE)</f>
        <v>0</v>
      </c>
      <c r="AB118" s="160">
        <f>VLOOKUP(C118,'Talente &amp; Stuff'!CL:DM,26,FALSE)</f>
        <v>0</v>
      </c>
      <c r="AC118" s="127">
        <f>VLOOKUP(C118,'Talente &amp; Stuff'!CL:DM,27,FALSE)</f>
        <v>0</v>
      </c>
      <c r="AD118" s="125">
        <f>VLOOKUP(C118,'Talente &amp; Stuff'!CL:DM,28,FALSE)</f>
        <v>0</v>
      </c>
      <c r="AE118" s="28"/>
    </row>
    <row r="119" spans="2:31" ht="15" hidden="1" customHeight="1" outlineLevel="2">
      <c r="B119" s="148">
        <v>20</v>
      </c>
      <c r="C119" s="177" t="str">
        <f>Attribute!C119</f>
        <v>---</v>
      </c>
      <c r="D119" s="86" t="str">
        <f>VLOOKUP(C119,'Talente &amp; Stuff'!CL:DM,2,FALSE)</f>
        <v>--/--/--</v>
      </c>
      <c r="E119" s="167" t="str">
        <f>VLOOKUP(C119,'Talente &amp; Stuff'!CL:DM,3,FALSE)</f>
        <v>-</v>
      </c>
      <c r="F119" s="120">
        <f>VLOOKUP(C119,'Talente &amp; Stuff'!CL:DM,4,FALSE)</f>
        <v>0</v>
      </c>
      <c r="G119" s="117">
        <f>VLOOKUP(C119,'Talente &amp; Stuff'!CL:DM,5,FALSE)</f>
        <v>0</v>
      </c>
      <c r="H119" s="117">
        <f>VLOOKUP(C119,'Talente &amp; Stuff'!CL:DM,6,FALSE)</f>
        <v>0</v>
      </c>
      <c r="I119" s="117">
        <f>VLOOKUP(C119,'Talente &amp; Stuff'!CL:DM,7,FALSE)</f>
        <v>0</v>
      </c>
      <c r="J119" s="117">
        <f>VLOOKUP(C119,'Talente &amp; Stuff'!CL:DM,8,FALSE)</f>
        <v>0</v>
      </c>
      <c r="K119" s="117">
        <f>VLOOKUP(C119,'Talente &amp; Stuff'!CL:DM,9,FALSE)</f>
        <v>0</v>
      </c>
      <c r="L119" s="117">
        <f>VLOOKUP(C119,'Talente &amp; Stuff'!CL:DM,10,FALSE)</f>
        <v>0</v>
      </c>
      <c r="M119" s="121">
        <f>VLOOKUP(C119,'Talente &amp; Stuff'!CL:DM,11,FALSE)</f>
        <v>0</v>
      </c>
      <c r="N119" s="47">
        <f>VLOOKUP(C119,'Talente &amp; Stuff'!CL:DM,12,FALSE)</f>
        <v>0</v>
      </c>
      <c r="O119" s="3">
        <f>VLOOKUP(C119,'Talente &amp; Stuff'!CL:DM,13,FALSE)</f>
        <v>0</v>
      </c>
      <c r="P119" s="174">
        <f>VLOOKUP(C119,'Talente &amp; Stuff'!CL:DM,14,FALSE)</f>
        <v>0</v>
      </c>
      <c r="Q119" s="114">
        <f>VLOOKUP(C119,'Talente &amp; Stuff'!CL:DM,15,FALSE)</f>
        <v>0</v>
      </c>
      <c r="R119" s="117">
        <f>VLOOKUP(C119,'Talente &amp; Stuff'!CL:DM,16,FALSE)</f>
        <v>0</v>
      </c>
      <c r="S119" s="119">
        <f>VLOOKUP(C119,'Talente &amp; Stuff'!CL:DM,17,FALSE)</f>
        <v>0</v>
      </c>
      <c r="T119" s="119">
        <f>VLOOKUP(C119,'Talente &amp; Stuff'!CL:DM,18,FALSE)</f>
        <v>0</v>
      </c>
      <c r="U119" s="89">
        <f>VLOOKUP(C119,'Talente &amp; Stuff'!CL:DM,19,FALSE)</f>
        <v>0</v>
      </c>
      <c r="V119" s="47">
        <f>VLOOKUP(C119,'Talente &amp; Stuff'!CL:DM,20,FALSE)</f>
        <v>0</v>
      </c>
      <c r="W119" s="127">
        <f>VLOOKUP(C119,'Talente &amp; Stuff'!CL:DM,21,FALSE)</f>
        <v>0</v>
      </c>
      <c r="X119" s="127">
        <f>VLOOKUP(C119,'Talente &amp; Stuff'!CL:DM,22,FALSE)</f>
        <v>0</v>
      </c>
      <c r="Y119" s="165">
        <f t="shared" si="12"/>
        <v>0</v>
      </c>
      <c r="Z119" s="44">
        <f t="shared" si="13"/>
        <v>0</v>
      </c>
      <c r="AA119" s="125">
        <f>VLOOKUP(C119,'Talente &amp; Stuff'!CL:DM,25,FALSE)</f>
        <v>0</v>
      </c>
      <c r="AB119" s="160">
        <f>VLOOKUP(C119,'Talente &amp; Stuff'!CL:DM,26,FALSE)</f>
        <v>0</v>
      </c>
      <c r="AC119" s="127">
        <f>VLOOKUP(C119,'Talente &amp; Stuff'!CL:DM,27,FALSE)</f>
        <v>0</v>
      </c>
      <c r="AD119" s="125">
        <f>VLOOKUP(C119,'Talente &amp; Stuff'!CL:DM,28,FALSE)</f>
        <v>0</v>
      </c>
      <c r="AE119" s="28"/>
    </row>
    <row r="120" spans="2:31" ht="15" hidden="1" customHeight="1" outlineLevel="2">
      <c r="B120" s="148">
        <v>21</v>
      </c>
      <c r="C120" s="177" t="str">
        <f>Attribute!C120</f>
        <v>---</v>
      </c>
      <c r="D120" s="86" t="str">
        <f>VLOOKUP(C120,'Talente &amp; Stuff'!CL:DM,2,FALSE)</f>
        <v>--/--/--</v>
      </c>
      <c r="E120" s="167" t="str">
        <f>VLOOKUP(C120,'Talente &amp; Stuff'!CL:DM,3,FALSE)</f>
        <v>-</v>
      </c>
      <c r="F120" s="120">
        <f>VLOOKUP(C120,'Talente &amp; Stuff'!CL:DM,4,FALSE)</f>
        <v>0</v>
      </c>
      <c r="G120" s="117">
        <f>VLOOKUP(C120,'Talente &amp; Stuff'!CL:DM,5,FALSE)</f>
        <v>0</v>
      </c>
      <c r="H120" s="117">
        <f>VLOOKUP(C120,'Talente &amp; Stuff'!CL:DM,6,FALSE)</f>
        <v>0</v>
      </c>
      <c r="I120" s="117">
        <f>VLOOKUP(C120,'Talente &amp; Stuff'!CL:DM,7,FALSE)</f>
        <v>0</v>
      </c>
      <c r="J120" s="117">
        <f>VLOOKUP(C120,'Talente &amp; Stuff'!CL:DM,8,FALSE)</f>
        <v>0</v>
      </c>
      <c r="K120" s="117">
        <f>VLOOKUP(C120,'Talente &amp; Stuff'!CL:DM,9,FALSE)</f>
        <v>0</v>
      </c>
      <c r="L120" s="117">
        <f>VLOOKUP(C120,'Talente &amp; Stuff'!CL:DM,10,FALSE)</f>
        <v>0</v>
      </c>
      <c r="M120" s="121">
        <f>VLOOKUP(C120,'Talente &amp; Stuff'!CL:DM,11,FALSE)</f>
        <v>0</v>
      </c>
      <c r="N120" s="47">
        <f>VLOOKUP(C120,'Talente &amp; Stuff'!CL:DM,12,FALSE)</f>
        <v>0</v>
      </c>
      <c r="O120" s="3">
        <f>VLOOKUP(C120,'Talente &amp; Stuff'!CL:DM,13,FALSE)</f>
        <v>0</v>
      </c>
      <c r="P120" s="174">
        <f>VLOOKUP(C120,'Talente &amp; Stuff'!CL:DM,14,FALSE)</f>
        <v>0</v>
      </c>
      <c r="Q120" s="114">
        <f>VLOOKUP(C120,'Talente &amp; Stuff'!CL:DM,15,FALSE)</f>
        <v>0</v>
      </c>
      <c r="R120" s="117">
        <f>VLOOKUP(C120,'Talente &amp; Stuff'!CL:DM,16,FALSE)</f>
        <v>0</v>
      </c>
      <c r="S120" s="119">
        <f>VLOOKUP(C120,'Talente &amp; Stuff'!CL:DM,17,FALSE)</f>
        <v>0</v>
      </c>
      <c r="T120" s="119">
        <f>VLOOKUP(C120,'Talente &amp; Stuff'!CL:DM,18,FALSE)</f>
        <v>0</v>
      </c>
      <c r="U120" s="89">
        <f>VLOOKUP(C120,'Talente &amp; Stuff'!CL:DM,19,FALSE)</f>
        <v>0</v>
      </c>
      <c r="V120" s="47">
        <f>VLOOKUP(C120,'Talente &amp; Stuff'!CL:DM,20,FALSE)</f>
        <v>0</v>
      </c>
      <c r="W120" s="127">
        <f>VLOOKUP(C120,'Talente &amp; Stuff'!CL:DM,21,FALSE)</f>
        <v>0</v>
      </c>
      <c r="X120" s="127">
        <f>VLOOKUP(C120,'Talente &amp; Stuff'!CL:DM,22,FALSE)</f>
        <v>0</v>
      </c>
      <c r="Y120" s="165">
        <f t="shared" si="12"/>
        <v>0</v>
      </c>
      <c r="Z120" s="44">
        <f t="shared" si="13"/>
        <v>0</v>
      </c>
      <c r="AA120" s="125">
        <f>VLOOKUP(C120,'Talente &amp; Stuff'!CL:DM,25,FALSE)</f>
        <v>0</v>
      </c>
      <c r="AB120" s="160">
        <f>VLOOKUP(C120,'Talente &amp; Stuff'!CL:DM,26,FALSE)</f>
        <v>0</v>
      </c>
      <c r="AC120" s="127">
        <f>VLOOKUP(C120,'Talente &amp; Stuff'!CL:DM,27,FALSE)</f>
        <v>0</v>
      </c>
      <c r="AD120" s="125">
        <f>VLOOKUP(C120,'Talente &amp; Stuff'!CL:DM,28,FALSE)</f>
        <v>0</v>
      </c>
      <c r="AE120" s="28"/>
    </row>
    <row r="121" spans="2:31" ht="15" hidden="1" customHeight="1" outlineLevel="2">
      <c r="B121" s="148">
        <v>22</v>
      </c>
      <c r="C121" s="177" t="str">
        <f>Attribute!C121</f>
        <v>---</v>
      </c>
      <c r="D121" s="86" t="str">
        <f>VLOOKUP(C121,'Talente &amp; Stuff'!CL:DM,2,FALSE)</f>
        <v>--/--/--</v>
      </c>
      <c r="E121" s="167" t="str">
        <f>VLOOKUP(C121,'Talente &amp; Stuff'!CL:DM,3,FALSE)</f>
        <v>-</v>
      </c>
      <c r="F121" s="120">
        <f>VLOOKUP(C121,'Talente &amp; Stuff'!CL:DM,4,FALSE)</f>
        <v>0</v>
      </c>
      <c r="G121" s="117">
        <f>VLOOKUP(C121,'Talente &amp; Stuff'!CL:DM,5,FALSE)</f>
        <v>0</v>
      </c>
      <c r="H121" s="117">
        <f>VLOOKUP(C121,'Talente &amp; Stuff'!CL:DM,6,FALSE)</f>
        <v>0</v>
      </c>
      <c r="I121" s="117">
        <f>VLOOKUP(C121,'Talente &amp; Stuff'!CL:DM,7,FALSE)</f>
        <v>0</v>
      </c>
      <c r="J121" s="117">
        <f>VLOOKUP(C121,'Talente &amp; Stuff'!CL:DM,8,FALSE)</f>
        <v>0</v>
      </c>
      <c r="K121" s="117">
        <f>VLOOKUP(C121,'Talente &amp; Stuff'!CL:DM,9,FALSE)</f>
        <v>0</v>
      </c>
      <c r="L121" s="117">
        <f>VLOOKUP(C121,'Talente &amp; Stuff'!CL:DM,10,FALSE)</f>
        <v>0</v>
      </c>
      <c r="M121" s="121">
        <f>VLOOKUP(C121,'Talente &amp; Stuff'!CL:DM,11,FALSE)</f>
        <v>0</v>
      </c>
      <c r="N121" s="47">
        <f>VLOOKUP(C121,'Talente &amp; Stuff'!CL:DM,12,FALSE)</f>
        <v>0</v>
      </c>
      <c r="O121" s="3">
        <f>VLOOKUP(C121,'Talente &amp; Stuff'!CL:DM,13,FALSE)</f>
        <v>0</v>
      </c>
      <c r="P121" s="174">
        <f>VLOOKUP(C121,'Talente &amp; Stuff'!CL:DM,14,FALSE)</f>
        <v>0</v>
      </c>
      <c r="Q121" s="114">
        <f>VLOOKUP(C121,'Talente &amp; Stuff'!CL:DM,15,FALSE)</f>
        <v>0</v>
      </c>
      <c r="R121" s="117">
        <f>VLOOKUP(C121,'Talente &amp; Stuff'!CL:DM,16,FALSE)</f>
        <v>0</v>
      </c>
      <c r="S121" s="119">
        <f>VLOOKUP(C121,'Talente &amp; Stuff'!CL:DM,17,FALSE)</f>
        <v>0</v>
      </c>
      <c r="T121" s="119">
        <f>VLOOKUP(C121,'Talente &amp; Stuff'!CL:DM,18,FALSE)</f>
        <v>0</v>
      </c>
      <c r="U121" s="89">
        <f>VLOOKUP(C121,'Talente &amp; Stuff'!CL:DM,19,FALSE)</f>
        <v>0</v>
      </c>
      <c r="V121" s="47">
        <f>VLOOKUP(C121,'Talente &amp; Stuff'!CL:DM,20,FALSE)</f>
        <v>0</v>
      </c>
      <c r="W121" s="127">
        <f>VLOOKUP(C121,'Talente &amp; Stuff'!CL:DM,21,FALSE)</f>
        <v>0</v>
      </c>
      <c r="X121" s="127">
        <f>VLOOKUP(C121,'Talente &amp; Stuff'!CL:DM,22,FALSE)</f>
        <v>0</v>
      </c>
      <c r="Y121" s="165">
        <f t="shared" si="12"/>
        <v>0</v>
      </c>
      <c r="Z121" s="44">
        <f t="shared" si="13"/>
        <v>0</v>
      </c>
      <c r="AA121" s="125">
        <f>VLOOKUP(C121,'Talente &amp; Stuff'!CL:DM,25,FALSE)</f>
        <v>0</v>
      </c>
      <c r="AB121" s="160">
        <f>VLOOKUP(C121,'Talente &amp; Stuff'!CL:DM,26,FALSE)</f>
        <v>0</v>
      </c>
      <c r="AC121" s="127">
        <f>VLOOKUP(C121,'Talente &amp; Stuff'!CL:DM,27,FALSE)</f>
        <v>0</v>
      </c>
      <c r="AD121" s="125">
        <f>VLOOKUP(C121,'Talente &amp; Stuff'!CL:DM,28,FALSE)</f>
        <v>0</v>
      </c>
      <c r="AE121" s="28"/>
    </row>
    <row r="122" spans="2:31" ht="15" hidden="1" customHeight="1" outlineLevel="2">
      <c r="B122" s="148">
        <v>23</v>
      </c>
      <c r="C122" s="177" t="str">
        <f>Attribute!C122</f>
        <v>---</v>
      </c>
      <c r="D122" s="86" t="str">
        <f>VLOOKUP(C122,'Talente &amp; Stuff'!CL:DM,2,FALSE)</f>
        <v>--/--/--</v>
      </c>
      <c r="E122" s="127" t="str">
        <f>VLOOKUP(C122,'Talente &amp; Stuff'!CL:DM,3,FALSE)</f>
        <v>-</v>
      </c>
      <c r="F122" s="114">
        <f>VLOOKUP(C122,'Talente &amp; Stuff'!CL:DM,4,FALSE)</f>
        <v>0</v>
      </c>
      <c r="G122" s="113">
        <f>VLOOKUP(C122,'Talente &amp; Stuff'!CL:DM,5,FALSE)</f>
        <v>0</v>
      </c>
      <c r="H122" s="113">
        <f>VLOOKUP(C122,'Talente &amp; Stuff'!CL:DM,6,FALSE)</f>
        <v>0</v>
      </c>
      <c r="I122" s="113">
        <f>VLOOKUP(C122,'Talente &amp; Stuff'!CL:DM,7,FALSE)</f>
        <v>0</v>
      </c>
      <c r="J122" s="113">
        <f>VLOOKUP(C122,'Talente &amp; Stuff'!CL:DM,8,FALSE)</f>
        <v>0</v>
      </c>
      <c r="K122" s="113">
        <f>VLOOKUP(C122,'Talente &amp; Stuff'!CL:DM,9,FALSE)</f>
        <v>0</v>
      </c>
      <c r="L122" s="113">
        <f>VLOOKUP(C122,'Talente &amp; Stuff'!CL:DM,10,FALSE)</f>
        <v>0</v>
      </c>
      <c r="M122" s="119">
        <f>VLOOKUP(C122,'Talente &amp; Stuff'!CL:DM,11,FALSE)</f>
        <v>0</v>
      </c>
      <c r="N122" s="47">
        <f>VLOOKUP(C122,'Talente &amp; Stuff'!CL:DM,12,FALSE)</f>
        <v>0</v>
      </c>
      <c r="O122" s="3">
        <f>VLOOKUP(C122,'Talente &amp; Stuff'!CL:DM,13,FALSE)</f>
        <v>0</v>
      </c>
      <c r="P122" s="174">
        <f>VLOOKUP(C122,'Talente &amp; Stuff'!CL:DM,14,FALSE)</f>
        <v>0</v>
      </c>
      <c r="Q122" s="114">
        <f>VLOOKUP(C122,'Talente &amp; Stuff'!CL:DM,15,FALSE)</f>
        <v>0</v>
      </c>
      <c r="R122" s="117">
        <f>VLOOKUP(C122,'Talente &amp; Stuff'!CL:DM,16,FALSE)</f>
        <v>0</v>
      </c>
      <c r="S122" s="119">
        <f>VLOOKUP(C122,'Talente &amp; Stuff'!CL:DM,17,FALSE)</f>
        <v>0</v>
      </c>
      <c r="T122" s="119">
        <f>VLOOKUP(C122,'Talente &amp; Stuff'!CL:DM,18,FALSE)</f>
        <v>0</v>
      </c>
      <c r="U122" s="89">
        <f>VLOOKUP(C122,'Talente &amp; Stuff'!CL:DM,19,FALSE)</f>
        <v>0</v>
      </c>
      <c r="V122" s="47">
        <f>VLOOKUP(C122,'Talente &amp; Stuff'!CL:DM,20,FALSE)</f>
        <v>0</v>
      </c>
      <c r="W122" s="127">
        <f>VLOOKUP(C122,'Talente &amp; Stuff'!CL:DM,21,FALSE)</f>
        <v>0</v>
      </c>
      <c r="X122" s="127">
        <f>VLOOKUP(C122,'Talente &amp; Stuff'!CL:DM,22,FALSE)</f>
        <v>0</v>
      </c>
      <c r="Y122" s="165">
        <f t="shared" si="12"/>
        <v>0</v>
      </c>
      <c r="Z122" s="44">
        <f t="shared" si="13"/>
        <v>0</v>
      </c>
      <c r="AA122" s="125">
        <f>VLOOKUP(C122,'Talente &amp; Stuff'!CL:DM,25,FALSE)</f>
        <v>0</v>
      </c>
      <c r="AB122" s="160">
        <f>VLOOKUP(C122,'Talente &amp; Stuff'!CL:DM,26,FALSE)</f>
        <v>0</v>
      </c>
      <c r="AC122" s="127">
        <f>VLOOKUP(C122,'Talente &amp; Stuff'!CL:DM,27,FALSE)</f>
        <v>0</v>
      </c>
      <c r="AD122" s="125">
        <f>VLOOKUP(C122,'Talente &amp; Stuff'!CL:DM,28,FALSE)</f>
        <v>0</v>
      </c>
      <c r="AE122" s="28"/>
    </row>
    <row r="123" spans="2:31" ht="15" hidden="1" customHeight="1" outlineLevel="2">
      <c r="B123" s="148">
        <v>24</v>
      </c>
      <c r="C123" s="177" t="str">
        <f>Attribute!C123</f>
        <v>---</v>
      </c>
      <c r="D123" s="86" t="str">
        <f>VLOOKUP(C123,'Talente &amp; Stuff'!CL:DM,2,FALSE)</f>
        <v>--/--/--</v>
      </c>
      <c r="E123" s="127" t="str">
        <f>VLOOKUP(C123,'Talente &amp; Stuff'!CL:DM,3,FALSE)</f>
        <v>-</v>
      </c>
      <c r="F123" s="114">
        <f>VLOOKUP(C123,'Talente &amp; Stuff'!CL:DM,4,FALSE)</f>
        <v>0</v>
      </c>
      <c r="G123" s="113">
        <f>VLOOKUP(C123,'Talente &amp; Stuff'!CL:DM,5,FALSE)</f>
        <v>0</v>
      </c>
      <c r="H123" s="113">
        <f>VLOOKUP(C123,'Talente &amp; Stuff'!CL:DM,6,FALSE)</f>
        <v>0</v>
      </c>
      <c r="I123" s="113">
        <f>VLOOKUP(C123,'Talente &amp; Stuff'!CL:DM,7,FALSE)</f>
        <v>0</v>
      </c>
      <c r="J123" s="113">
        <f>VLOOKUP(C123,'Talente &amp; Stuff'!CL:DM,8,FALSE)</f>
        <v>0</v>
      </c>
      <c r="K123" s="113">
        <f>VLOOKUP(C123,'Talente &amp; Stuff'!CL:DM,9,FALSE)</f>
        <v>0</v>
      </c>
      <c r="L123" s="113">
        <f>VLOOKUP(C123,'Talente &amp; Stuff'!CL:DM,10,FALSE)</f>
        <v>0</v>
      </c>
      <c r="M123" s="119">
        <f>VLOOKUP(C123,'Talente &amp; Stuff'!CL:DM,11,FALSE)</f>
        <v>0</v>
      </c>
      <c r="N123" s="47">
        <f>VLOOKUP(C123,'Talente &amp; Stuff'!CL:DM,12,FALSE)</f>
        <v>0</v>
      </c>
      <c r="O123" s="3">
        <f>VLOOKUP(C123,'Talente &amp; Stuff'!CL:DM,13,FALSE)</f>
        <v>0</v>
      </c>
      <c r="P123" s="174">
        <f>VLOOKUP(C123,'Talente &amp; Stuff'!CL:DM,14,FALSE)</f>
        <v>0</v>
      </c>
      <c r="Q123" s="114">
        <f>VLOOKUP(C123,'Talente &amp; Stuff'!CL:DM,15,FALSE)</f>
        <v>0</v>
      </c>
      <c r="R123" s="117">
        <f>VLOOKUP(C123,'Talente &amp; Stuff'!CL:DM,16,FALSE)</f>
        <v>0</v>
      </c>
      <c r="S123" s="119">
        <f>VLOOKUP(C123,'Talente &amp; Stuff'!CL:DM,17,FALSE)</f>
        <v>0</v>
      </c>
      <c r="T123" s="119">
        <f>VLOOKUP(C123,'Talente &amp; Stuff'!CL:DM,18,FALSE)</f>
        <v>0</v>
      </c>
      <c r="U123" s="89">
        <f>VLOOKUP(C123,'Talente &amp; Stuff'!CL:DM,19,FALSE)</f>
        <v>0</v>
      </c>
      <c r="V123" s="47">
        <f>VLOOKUP(C123,'Talente &amp; Stuff'!CL:DM,20,FALSE)</f>
        <v>0</v>
      </c>
      <c r="W123" s="127">
        <f>VLOOKUP(C123,'Talente &amp; Stuff'!CL:DM,21,FALSE)</f>
        <v>0</v>
      </c>
      <c r="X123" s="127">
        <f>VLOOKUP(C123,'Talente &amp; Stuff'!CL:DM,22,FALSE)</f>
        <v>0</v>
      </c>
      <c r="Y123" s="165">
        <f t="shared" si="12"/>
        <v>0</v>
      </c>
      <c r="Z123" s="44">
        <f t="shared" si="13"/>
        <v>0</v>
      </c>
      <c r="AA123" s="125">
        <f>VLOOKUP(C123,'Talente &amp; Stuff'!CL:DM,25,FALSE)</f>
        <v>0</v>
      </c>
      <c r="AB123" s="160">
        <f>VLOOKUP(C123,'Talente &amp; Stuff'!CL:DM,26,FALSE)</f>
        <v>0</v>
      </c>
      <c r="AC123" s="127">
        <f>VLOOKUP(C123,'Talente &amp; Stuff'!CL:DM,27,FALSE)</f>
        <v>0</v>
      </c>
      <c r="AD123" s="125">
        <f>VLOOKUP(C123,'Talente &amp; Stuff'!CL:DM,28,FALSE)</f>
        <v>0</v>
      </c>
      <c r="AE123" s="28"/>
    </row>
    <row r="124" spans="2:31" ht="15" hidden="1" customHeight="1" outlineLevel="2">
      <c r="B124" s="148">
        <v>25</v>
      </c>
      <c r="C124" s="177" t="str">
        <f>Attribute!C124</f>
        <v>---</v>
      </c>
      <c r="D124" s="86" t="str">
        <f>VLOOKUP(C124,'Talente &amp; Stuff'!CL:DM,2,FALSE)</f>
        <v>--/--/--</v>
      </c>
      <c r="E124" s="127" t="str">
        <f>VLOOKUP(C124,'Talente &amp; Stuff'!CL:DM,3,FALSE)</f>
        <v>-</v>
      </c>
      <c r="F124" s="114">
        <f>VLOOKUP(C124,'Talente &amp; Stuff'!CL:DM,4,FALSE)</f>
        <v>0</v>
      </c>
      <c r="G124" s="113">
        <f>VLOOKUP(C124,'Talente &amp; Stuff'!CL:DM,5,FALSE)</f>
        <v>0</v>
      </c>
      <c r="H124" s="113">
        <f>VLOOKUP(C124,'Talente &amp; Stuff'!CL:DM,6,FALSE)</f>
        <v>0</v>
      </c>
      <c r="I124" s="113">
        <f>VLOOKUP(C124,'Talente &amp; Stuff'!CL:DM,7,FALSE)</f>
        <v>0</v>
      </c>
      <c r="J124" s="113">
        <f>VLOOKUP(C124,'Talente &amp; Stuff'!CL:DM,8,FALSE)</f>
        <v>0</v>
      </c>
      <c r="K124" s="113">
        <f>VLOOKUP(C124,'Talente &amp; Stuff'!CL:DM,9,FALSE)</f>
        <v>0</v>
      </c>
      <c r="L124" s="113">
        <f>VLOOKUP(C124,'Talente &amp; Stuff'!CL:DM,10,FALSE)</f>
        <v>0</v>
      </c>
      <c r="M124" s="119">
        <f>VLOOKUP(C124,'Talente &amp; Stuff'!CL:DM,11,FALSE)</f>
        <v>0</v>
      </c>
      <c r="N124" s="47">
        <f>VLOOKUP(C124,'Talente &amp; Stuff'!CL:DM,12,FALSE)</f>
        <v>0</v>
      </c>
      <c r="O124" s="3">
        <f>VLOOKUP(C124,'Talente &amp; Stuff'!CL:DM,13,FALSE)</f>
        <v>0</v>
      </c>
      <c r="P124" s="174">
        <f>VLOOKUP(C124,'Talente &amp; Stuff'!CL:DM,14,FALSE)</f>
        <v>0</v>
      </c>
      <c r="Q124" s="114">
        <f>VLOOKUP(C124,'Talente &amp; Stuff'!CL:DM,15,FALSE)</f>
        <v>0</v>
      </c>
      <c r="R124" s="117">
        <f>VLOOKUP(C124,'Talente &amp; Stuff'!CL:DM,16,FALSE)</f>
        <v>0</v>
      </c>
      <c r="S124" s="119">
        <f>VLOOKUP(C124,'Talente &amp; Stuff'!CL:DM,17,FALSE)</f>
        <v>0</v>
      </c>
      <c r="T124" s="119">
        <f>VLOOKUP(C124,'Talente &amp; Stuff'!CL:DM,18,FALSE)</f>
        <v>0</v>
      </c>
      <c r="U124" s="89">
        <f>VLOOKUP(C124,'Talente &amp; Stuff'!CL:DM,19,FALSE)</f>
        <v>0</v>
      </c>
      <c r="V124" s="47">
        <f>VLOOKUP(C124,'Talente &amp; Stuff'!CL:DM,20,FALSE)</f>
        <v>0</v>
      </c>
      <c r="W124" s="127">
        <f>VLOOKUP(C124,'Talente &amp; Stuff'!CL:DM,21,FALSE)</f>
        <v>0</v>
      </c>
      <c r="X124" s="127">
        <f>VLOOKUP(C124,'Talente &amp; Stuff'!CL:DM,22,FALSE)</f>
        <v>0</v>
      </c>
      <c r="Y124" s="165">
        <f t="shared" si="12"/>
        <v>0</v>
      </c>
      <c r="Z124" s="44">
        <f t="shared" si="13"/>
        <v>0</v>
      </c>
      <c r="AA124" s="125">
        <f>VLOOKUP(C124,'Talente &amp; Stuff'!CL:DM,25,FALSE)</f>
        <v>0</v>
      </c>
      <c r="AB124" s="160">
        <f>VLOOKUP(C124,'Talente &amp; Stuff'!CL:DM,26,FALSE)</f>
        <v>0</v>
      </c>
      <c r="AC124" s="127">
        <f>VLOOKUP(C124,'Talente &amp; Stuff'!CL:DM,27,FALSE)</f>
        <v>0</v>
      </c>
      <c r="AD124" s="125">
        <f>VLOOKUP(C124,'Talente &amp; Stuff'!CL:DM,28,FALSE)</f>
        <v>0</v>
      </c>
      <c r="AE124" s="28"/>
    </row>
    <row r="125" spans="2:31" ht="15" hidden="1" customHeight="1" outlineLevel="2">
      <c r="B125" s="148">
        <v>26</v>
      </c>
      <c r="C125" s="177" t="str">
        <f>Attribute!C125</f>
        <v>---</v>
      </c>
      <c r="D125" s="86" t="str">
        <f>VLOOKUP(C125,'Talente &amp; Stuff'!CL:DM,2,FALSE)</f>
        <v>--/--/--</v>
      </c>
      <c r="E125" s="127" t="str">
        <f>VLOOKUP(C125,'Talente &amp; Stuff'!CL:DM,3,FALSE)</f>
        <v>-</v>
      </c>
      <c r="F125" s="114">
        <f>VLOOKUP(C125,'Talente &amp; Stuff'!CL:DM,4,FALSE)</f>
        <v>0</v>
      </c>
      <c r="G125" s="113">
        <f>VLOOKUP(C125,'Talente &amp; Stuff'!CL:DM,5,FALSE)</f>
        <v>0</v>
      </c>
      <c r="H125" s="113">
        <f>VLOOKUP(C125,'Talente &amp; Stuff'!CL:DM,6,FALSE)</f>
        <v>0</v>
      </c>
      <c r="I125" s="113">
        <f>VLOOKUP(C125,'Talente &amp; Stuff'!CL:DM,7,FALSE)</f>
        <v>0</v>
      </c>
      <c r="J125" s="113">
        <f>VLOOKUP(C125,'Talente &amp; Stuff'!CL:DM,8,FALSE)</f>
        <v>0</v>
      </c>
      <c r="K125" s="113">
        <f>VLOOKUP(C125,'Talente &amp; Stuff'!CL:DM,9,FALSE)</f>
        <v>0</v>
      </c>
      <c r="L125" s="113">
        <f>VLOOKUP(C125,'Talente &amp; Stuff'!CL:DM,10,FALSE)</f>
        <v>0</v>
      </c>
      <c r="M125" s="119">
        <f>VLOOKUP(C125,'Talente &amp; Stuff'!CL:DM,11,FALSE)</f>
        <v>0</v>
      </c>
      <c r="N125" s="47">
        <f>VLOOKUP(C125,'Talente &amp; Stuff'!CL:DM,12,FALSE)</f>
        <v>0</v>
      </c>
      <c r="O125" s="3">
        <f>VLOOKUP(C125,'Talente &amp; Stuff'!CL:DM,13,FALSE)</f>
        <v>0</v>
      </c>
      <c r="P125" s="174">
        <f>VLOOKUP(C125,'Talente &amp; Stuff'!CL:DM,14,FALSE)</f>
        <v>0</v>
      </c>
      <c r="Q125" s="114">
        <f>VLOOKUP(C125,'Talente &amp; Stuff'!CL:DM,15,FALSE)</f>
        <v>0</v>
      </c>
      <c r="R125" s="117">
        <f>VLOOKUP(C125,'Talente &amp; Stuff'!CL:DM,16,FALSE)</f>
        <v>0</v>
      </c>
      <c r="S125" s="119">
        <f>VLOOKUP(C125,'Talente &amp; Stuff'!CL:DM,17,FALSE)</f>
        <v>0</v>
      </c>
      <c r="T125" s="119">
        <f>VLOOKUP(C125,'Talente &amp; Stuff'!CL:DM,18,FALSE)</f>
        <v>0</v>
      </c>
      <c r="U125" s="89">
        <f>VLOOKUP(C125,'Talente &amp; Stuff'!CL:DM,19,FALSE)</f>
        <v>0</v>
      </c>
      <c r="V125" s="47">
        <f>VLOOKUP(C125,'Talente &amp; Stuff'!CL:DM,20,FALSE)</f>
        <v>0</v>
      </c>
      <c r="W125" s="127">
        <f>VLOOKUP(C125,'Talente &amp; Stuff'!CL:DM,21,FALSE)</f>
        <v>0</v>
      </c>
      <c r="X125" s="127">
        <f>VLOOKUP(C125,'Talente &amp; Stuff'!CL:DM,22,FALSE)</f>
        <v>0</v>
      </c>
      <c r="Y125" s="165">
        <f t="shared" si="12"/>
        <v>0</v>
      </c>
      <c r="Z125" s="44">
        <f t="shared" si="13"/>
        <v>0</v>
      </c>
      <c r="AA125" s="125">
        <f>VLOOKUP(C125,'Talente &amp; Stuff'!CL:DM,25,FALSE)</f>
        <v>0</v>
      </c>
      <c r="AB125" s="160">
        <f>VLOOKUP(C125,'Talente &amp; Stuff'!CL:DM,26,FALSE)</f>
        <v>0</v>
      </c>
      <c r="AC125" s="127">
        <f>VLOOKUP(C125,'Talente &amp; Stuff'!CL:DM,27,FALSE)</f>
        <v>0</v>
      </c>
      <c r="AD125" s="125">
        <f>VLOOKUP(C125,'Talente &amp; Stuff'!CL:DM,28,FALSE)</f>
        <v>0</v>
      </c>
      <c r="AE125" s="28"/>
    </row>
    <row r="126" spans="2:31" ht="15" hidden="1" customHeight="1" outlineLevel="2">
      <c r="B126" s="148">
        <v>27</v>
      </c>
      <c r="C126" s="178" t="str">
        <f>Attribute!C126</f>
        <v>---</v>
      </c>
      <c r="D126" s="23" t="str">
        <f>VLOOKUP(C126,'Talente &amp; Stuff'!CL:DM,2,FALSE)</f>
        <v>--/--/--</v>
      </c>
      <c r="E126" s="128" t="str">
        <f>VLOOKUP(C126,'Talente &amp; Stuff'!CL:DM,3,FALSE)</f>
        <v>-</v>
      </c>
      <c r="F126" s="115">
        <f>VLOOKUP(C126,'Talente &amp; Stuff'!CL:DM,4,FALSE)</f>
        <v>0</v>
      </c>
      <c r="G126" s="122">
        <f>VLOOKUP(C126,'Talente &amp; Stuff'!CL:DM,5,FALSE)</f>
        <v>0</v>
      </c>
      <c r="H126" s="122">
        <f>VLOOKUP(C126,'Talente &amp; Stuff'!CL:DM,6,FALSE)</f>
        <v>0</v>
      </c>
      <c r="I126" s="122">
        <f>VLOOKUP(C126,'Talente &amp; Stuff'!CL:DM,7,FALSE)</f>
        <v>0</v>
      </c>
      <c r="J126" s="122">
        <f>VLOOKUP(C126,'Talente &amp; Stuff'!CL:DM,8,FALSE)</f>
        <v>0</v>
      </c>
      <c r="K126" s="122">
        <f>VLOOKUP(C126,'Talente &amp; Stuff'!CL:DM,9,FALSE)</f>
        <v>0</v>
      </c>
      <c r="L126" s="122">
        <f>VLOOKUP(C126,'Talente &amp; Stuff'!CL:DM,10,FALSE)</f>
        <v>0</v>
      </c>
      <c r="M126" s="123">
        <f>VLOOKUP(C126,'Talente &amp; Stuff'!CL:DM,11,FALSE)</f>
        <v>0</v>
      </c>
      <c r="N126" s="88">
        <f>VLOOKUP(C126,'Talente &amp; Stuff'!CL:DM,12,FALSE)</f>
        <v>0</v>
      </c>
      <c r="O126" s="2">
        <f>VLOOKUP(C126,'Talente &amp; Stuff'!CL:DM,13,FALSE)</f>
        <v>0</v>
      </c>
      <c r="P126" s="173">
        <f>VLOOKUP(C126,'Talente &amp; Stuff'!CL:DM,14,FALSE)</f>
        <v>0</v>
      </c>
      <c r="Q126" s="115">
        <f>VLOOKUP(C126,'Talente &amp; Stuff'!CL:DM,15,FALSE)</f>
        <v>0</v>
      </c>
      <c r="R126" s="169">
        <f>VLOOKUP(C126,'Talente &amp; Stuff'!CL:DM,16,FALSE)</f>
        <v>0</v>
      </c>
      <c r="S126" s="123">
        <f>VLOOKUP(C126,'Talente &amp; Stuff'!CL:DM,17,FALSE)</f>
        <v>0</v>
      </c>
      <c r="T126" s="123">
        <f>VLOOKUP(C126,'Talente &amp; Stuff'!CL:DM,18,FALSE)</f>
        <v>0</v>
      </c>
      <c r="U126" s="90">
        <f>VLOOKUP(C126,'Talente &amp; Stuff'!CL:DM,19,FALSE)</f>
        <v>0</v>
      </c>
      <c r="V126" s="88">
        <f>VLOOKUP(C126,'Talente &amp; Stuff'!CL:DM,20,FALSE)</f>
        <v>0</v>
      </c>
      <c r="W126" s="128">
        <f>VLOOKUP(C126,'Talente &amp; Stuff'!CL:DM,21,FALSE)</f>
        <v>0</v>
      </c>
      <c r="X126" s="128">
        <f>VLOOKUP(C126,'Talente &amp; Stuff'!CL:DM,22,FALSE)</f>
        <v>0</v>
      </c>
      <c r="Y126" s="165">
        <f t="shared" si="12"/>
        <v>0</v>
      </c>
      <c r="Z126" s="44">
        <f t="shared" si="13"/>
        <v>0</v>
      </c>
      <c r="AA126" s="159">
        <f>VLOOKUP(C126,'Talente &amp; Stuff'!CL:DM,25,FALSE)</f>
        <v>0</v>
      </c>
      <c r="AB126" s="161">
        <f>VLOOKUP(C126,'Talente &amp; Stuff'!CL:DM,26,FALSE)</f>
        <v>0</v>
      </c>
      <c r="AC126" s="128">
        <f>VLOOKUP(C126,'Talente &amp; Stuff'!CL:DM,27,FALSE)</f>
        <v>0</v>
      </c>
      <c r="AD126" s="159">
        <f>VLOOKUP(C126,'Talente &amp; Stuff'!CL:DM,28,FALSE)</f>
        <v>0</v>
      </c>
      <c r="AE126" s="28"/>
    </row>
    <row r="127" spans="2:31" ht="15" hidden="1" customHeight="1" outlineLevel="1" collapsed="1">
      <c r="B127" s="134" t="s">
        <v>330</v>
      </c>
      <c r="C127" s="83"/>
      <c r="D127" s="84"/>
      <c r="E127" s="84"/>
    </row>
    <row r="128" spans="2:31" ht="15" hidden="1" customHeight="1" outlineLevel="2">
      <c r="B128" s="148">
        <v>1</v>
      </c>
      <c r="C128" s="176" t="str">
        <f>Attribute!C128</f>
        <v>---</v>
      </c>
      <c r="D128" s="158" t="str">
        <f>VLOOKUP(C128,'Talente &amp; Stuff'!CL:DM,2,FALSE)</f>
        <v>--/--/--</v>
      </c>
      <c r="E128" s="126" t="str">
        <f>VLOOKUP(C128,'Talente &amp; Stuff'!CL:DM,3,FALSE)</f>
        <v>-</v>
      </c>
      <c r="F128" s="191">
        <f>VLOOKUP(C128,'Talente &amp; Stuff'!CL:DM,4,FALSE)</f>
        <v>0</v>
      </c>
      <c r="G128" s="118">
        <f>VLOOKUP(C128,'Talente &amp; Stuff'!CL:DM,5,FALSE)</f>
        <v>0</v>
      </c>
      <c r="H128" s="118">
        <f>VLOOKUP(C128,'Talente &amp; Stuff'!CL:DM,6,FALSE)</f>
        <v>0</v>
      </c>
      <c r="I128" s="118">
        <f>VLOOKUP(C128,'Talente &amp; Stuff'!CL:DM,7,FALSE)</f>
        <v>0</v>
      </c>
      <c r="J128" s="118">
        <f>VLOOKUP(C128,'Talente &amp; Stuff'!CL:DM,8,FALSE)</f>
        <v>0</v>
      </c>
      <c r="K128" s="118">
        <f>VLOOKUP(C128,'Talente &amp; Stuff'!CL:DM,9,FALSE)</f>
        <v>0</v>
      </c>
      <c r="L128" s="118">
        <f>VLOOKUP(C128,'Talente &amp; Stuff'!CL:DM,10,FALSE)</f>
        <v>0</v>
      </c>
      <c r="M128" s="92">
        <f>VLOOKUP(C128,'Talente &amp; Stuff'!CL:DM,11,FALSE)</f>
        <v>0</v>
      </c>
      <c r="N128" s="116">
        <f>VLOOKUP(C128,'Talente &amp; Stuff'!CL:DM,12,FALSE)</f>
        <v>0</v>
      </c>
      <c r="O128" s="116">
        <f>VLOOKUP(C128,'Talente &amp; Stuff'!CL:DM,13,FALSE)</f>
        <v>0</v>
      </c>
      <c r="P128" s="92">
        <f>VLOOKUP(C128,'Talente &amp; Stuff'!CL:DM,14,FALSE)</f>
        <v>0</v>
      </c>
      <c r="Q128" s="191">
        <f>VLOOKUP(C128,'Talente &amp; Stuff'!CL:DM,15,FALSE)</f>
        <v>0</v>
      </c>
      <c r="R128" s="118">
        <f>VLOOKUP(C128,'Talente &amp; Stuff'!CL:DM,16,FALSE)</f>
        <v>0</v>
      </c>
      <c r="S128" s="92">
        <f>VLOOKUP(C128,'Talente &amp; Stuff'!CL:DM,17,FALSE)</f>
        <v>0</v>
      </c>
      <c r="T128" s="92">
        <f>VLOOKUP(C128,'Talente &amp; Stuff'!CL:DM,18,FALSE)</f>
        <v>0</v>
      </c>
      <c r="U128" s="193">
        <f>VLOOKUP(C128,'Talente &amp; Stuff'!CL:DM,19,FALSE)</f>
        <v>0</v>
      </c>
      <c r="V128" s="116">
        <f>VLOOKUP(C128,'Talente &amp; Stuff'!CL:DM,20,FALSE)</f>
        <v>0</v>
      </c>
      <c r="W128" s="126">
        <f>VLOOKUP(C128,'Talente &amp; Stuff'!CL:DM,21,FALSE)</f>
        <v>0</v>
      </c>
      <c r="X128" s="126">
        <f>VLOOKUP(C128,'Talente &amp; Stuff'!CL:DM,22,FALSE)</f>
        <v>0</v>
      </c>
      <c r="Y128" s="165">
        <f t="shared" ref="Y128:Y151" si="14">VLOOKUP(C128,Ausgewählte_Zauber_Elfen,110,FALSE)</f>
        <v>0</v>
      </c>
      <c r="Z128" s="44">
        <f t="shared" ref="Z128:Z151" si="15">VLOOKUP(C128,Ausgewählte_Zauber_Elfen,111,FALSE)</f>
        <v>0</v>
      </c>
      <c r="AA128" s="158">
        <f>VLOOKUP(C128,'Talente &amp; Stuff'!CL:DM,25,FALSE)</f>
        <v>0</v>
      </c>
      <c r="AB128" s="91">
        <f>VLOOKUP(C128,'Talente &amp; Stuff'!CL:DM,26,FALSE)</f>
        <v>0</v>
      </c>
      <c r="AC128" s="126">
        <f>VLOOKUP(C128,'Talente &amp; Stuff'!CL:DM,27,FALSE)</f>
        <v>0</v>
      </c>
      <c r="AD128" s="158">
        <f>VLOOKUP(C128,'Talente &amp; Stuff'!CL:DM,28,FALSE)</f>
        <v>0</v>
      </c>
      <c r="AE128" s="28"/>
    </row>
    <row r="129" spans="2:31" ht="15" hidden="1" customHeight="1" outlineLevel="2">
      <c r="B129" s="148">
        <v>2</v>
      </c>
      <c r="C129" s="177" t="str">
        <f>Attribute!C129</f>
        <v>---</v>
      </c>
      <c r="D129" s="125" t="str">
        <f>VLOOKUP(C129,'Talente &amp; Stuff'!CL:DM,2,FALSE)</f>
        <v>--/--/--</v>
      </c>
      <c r="E129" s="127" t="str">
        <f>VLOOKUP(C129,'Talente &amp; Stuff'!CL:DM,3,FALSE)</f>
        <v>-</v>
      </c>
      <c r="F129" s="114">
        <f>VLOOKUP(C129,'Talente &amp; Stuff'!CL:DM,4,FALSE)</f>
        <v>0</v>
      </c>
      <c r="G129" s="113">
        <f>VLOOKUP(C129,'Talente &amp; Stuff'!CL:DM,5,FALSE)</f>
        <v>0</v>
      </c>
      <c r="H129" s="113">
        <f>VLOOKUP(C129,'Talente &amp; Stuff'!CL:DM,6,FALSE)</f>
        <v>0</v>
      </c>
      <c r="I129" s="113">
        <f>VLOOKUP(C129,'Talente &amp; Stuff'!CL:DM,7,FALSE)</f>
        <v>0</v>
      </c>
      <c r="J129" s="113">
        <f>VLOOKUP(C129,'Talente &amp; Stuff'!CL:DM,8,FALSE)</f>
        <v>0</v>
      </c>
      <c r="K129" s="113">
        <f>VLOOKUP(C129,'Talente &amp; Stuff'!CL:DM,9,FALSE)</f>
        <v>0</v>
      </c>
      <c r="L129" s="113">
        <f>VLOOKUP(C129,'Talente &amp; Stuff'!CL:DM,10,FALSE)</f>
        <v>0</v>
      </c>
      <c r="M129" s="119">
        <f>VLOOKUP(C129,'Talente &amp; Stuff'!CL:DM,11,FALSE)</f>
        <v>0</v>
      </c>
      <c r="N129" s="47">
        <f>VLOOKUP(C129,'Talente &amp; Stuff'!CL:DM,12,FALSE)</f>
        <v>0</v>
      </c>
      <c r="O129" s="47">
        <f>VLOOKUP(C129,'Talente &amp; Stuff'!CL:DM,13,FALSE)</f>
        <v>0</v>
      </c>
      <c r="P129" s="119">
        <f>VLOOKUP(C129,'Talente &amp; Stuff'!CL:DM,14,FALSE)</f>
        <v>0</v>
      </c>
      <c r="Q129" s="114">
        <f>VLOOKUP(C129,'Talente &amp; Stuff'!CL:DM,15,FALSE)</f>
        <v>0</v>
      </c>
      <c r="R129" s="113">
        <f>VLOOKUP(C129,'Talente &amp; Stuff'!CL:DM,16,FALSE)</f>
        <v>0</v>
      </c>
      <c r="S129" s="119">
        <f>VLOOKUP(C129,'Talente &amp; Stuff'!CL:DM,17,FALSE)</f>
        <v>0</v>
      </c>
      <c r="T129" s="119">
        <f>VLOOKUP(C129,'Talente &amp; Stuff'!CL:DM,18,FALSE)</f>
        <v>0</v>
      </c>
      <c r="U129" s="89">
        <f>VLOOKUP(C129,'Talente &amp; Stuff'!CL:DM,19,FALSE)</f>
        <v>0</v>
      </c>
      <c r="V129" s="47">
        <f>VLOOKUP(C129,'Talente &amp; Stuff'!CL:DM,20,FALSE)</f>
        <v>0</v>
      </c>
      <c r="W129" s="127">
        <f>VLOOKUP(C129,'Talente &amp; Stuff'!CL:DM,21,FALSE)</f>
        <v>0</v>
      </c>
      <c r="X129" s="127">
        <f>VLOOKUP(C129,'Talente &amp; Stuff'!CL:DM,22,FALSE)</f>
        <v>0</v>
      </c>
      <c r="Y129" s="165">
        <f t="shared" si="14"/>
        <v>0</v>
      </c>
      <c r="Z129" s="44">
        <f t="shared" si="15"/>
        <v>0</v>
      </c>
      <c r="AA129" s="125">
        <f>VLOOKUP(C129,'Talente &amp; Stuff'!CL:DM,25,FALSE)</f>
        <v>0</v>
      </c>
      <c r="AB129" s="160">
        <f>VLOOKUP(C129,'Talente &amp; Stuff'!CL:DM,26,FALSE)</f>
        <v>0</v>
      </c>
      <c r="AC129" s="127">
        <f>VLOOKUP(C129,'Talente &amp; Stuff'!CL:DM,27,FALSE)</f>
        <v>0</v>
      </c>
      <c r="AD129" s="125">
        <f>VLOOKUP(C129,'Talente &amp; Stuff'!CL:DM,28,FALSE)</f>
        <v>0</v>
      </c>
      <c r="AE129" s="28"/>
    </row>
    <row r="130" spans="2:31" ht="15" hidden="1" customHeight="1" outlineLevel="2">
      <c r="B130" s="148">
        <v>3</v>
      </c>
      <c r="C130" s="177" t="str">
        <f>Attribute!C130</f>
        <v>---</v>
      </c>
      <c r="D130" s="125" t="str">
        <f>VLOOKUP(C130,'Talente &amp; Stuff'!CL:DM,2,FALSE)</f>
        <v>--/--/--</v>
      </c>
      <c r="E130" s="127" t="str">
        <f>VLOOKUP(C130,'Talente &amp; Stuff'!CL:DM,3,FALSE)</f>
        <v>-</v>
      </c>
      <c r="F130" s="114">
        <f>VLOOKUP(C130,'Talente &amp; Stuff'!CL:DM,4,FALSE)</f>
        <v>0</v>
      </c>
      <c r="G130" s="113">
        <f>VLOOKUP(C130,'Talente &amp; Stuff'!CL:DM,5,FALSE)</f>
        <v>0</v>
      </c>
      <c r="H130" s="113">
        <f>VLOOKUP(C130,'Talente &amp; Stuff'!CL:DM,6,FALSE)</f>
        <v>0</v>
      </c>
      <c r="I130" s="113">
        <f>VLOOKUP(C130,'Talente &amp; Stuff'!CL:DM,7,FALSE)</f>
        <v>0</v>
      </c>
      <c r="J130" s="113">
        <f>VLOOKUP(C130,'Talente &amp; Stuff'!CL:DM,8,FALSE)</f>
        <v>0</v>
      </c>
      <c r="K130" s="113">
        <f>VLOOKUP(C130,'Talente &amp; Stuff'!CL:DM,9,FALSE)</f>
        <v>0</v>
      </c>
      <c r="L130" s="113">
        <f>VLOOKUP(C130,'Talente &amp; Stuff'!CL:DM,10,FALSE)</f>
        <v>0</v>
      </c>
      <c r="M130" s="119">
        <f>VLOOKUP(C130,'Talente &amp; Stuff'!CL:DM,11,FALSE)</f>
        <v>0</v>
      </c>
      <c r="N130" s="47">
        <f>VLOOKUP(C130,'Talente &amp; Stuff'!CL:DM,12,FALSE)</f>
        <v>0</v>
      </c>
      <c r="O130" s="47">
        <f>VLOOKUP(C130,'Talente &amp; Stuff'!CL:DM,13,FALSE)</f>
        <v>0</v>
      </c>
      <c r="P130" s="119">
        <f>VLOOKUP(C130,'Talente &amp; Stuff'!CL:DM,14,FALSE)</f>
        <v>0</v>
      </c>
      <c r="Q130" s="114">
        <f>VLOOKUP(C130,'Talente &amp; Stuff'!CL:DM,15,FALSE)</f>
        <v>0</v>
      </c>
      <c r="R130" s="113">
        <f>VLOOKUP(C130,'Talente &amp; Stuff'!CL:DM,16,FALSE)</f>
        <v>0</v>
      </c>
      <c r="S130" s="119">
        <f>VLOOKUP(C130,'Talente &amp; Stuff'!CL:DM,17,FALSE)</f>
        <v>0</v>
      </c>
      <c r="T130" s="119">
        <f>VLOOKUP(C130,'Talente &amp; Stuff'!CL:DM,18,FALSE)</f>
        <v>0</v>
      </c>
      <c r="U130" s="89">
        <f>VLOOKUP(C130,'Talente &amp; Stuff'!CL:DM,19,FALSE)</f>
        <v>0</v>
      </c>
      <c r="V130" s="47">
        <f>VLOOKUP(C130,'Talente &amp; Stuff'!CL:DM,20,FALSE)</f>
        <v>0</v>
      </c>
      <c r="W130" s="127">
        <f>VLOOKUP(C130,'Talente &amp; Stuff'!CL:DM,21,FALSE)</f>
        <v>0</v>
      </c>
      <c r="X130" s="127">
        <f>VLOOKUP(C130,'Talente &amp; Stuff'!CL:DM,22,FALSE)</f>
        <v>0</v>
      </c>
      <c r="Y130" s="165">
        <f t="shared" si="14"/>
        <v>0</v>
      </c>
      <c r="Z130" s="44">
        <f t="shared" si="15"/>
        <v>0</v>
      </c>
      <c r="AA130" s="125">
        <f>VLOOKUP(C130,'Talente &amp; Stuff'!CL:DM,25,FALSE)</f>
        <v>0</v>
      </c>
      <c r="AB130" s="160">
        <f>VLOOKUP(C130,'Talente &amp; Stuff'!CL:DM,26,FALSE)</f>
        <v>0</v>
      </c>
      <c r="AC130" s="127">
        <f>VLOOKUP(C130,'Talente &amp; Stuff'!CL:DM,27,FALSE)</f>
        <v>0</v>
      </c>
      <c r="AD130" s="125">
        <f>VLOOKUP(C130,'Talente &amp; Stuff'!CL:DM,28,FALSE)</f>
        <v>0</v>
      </c>
      <c r="AE130" s="28"/>
    </row>
    <row r="131" spans="2:31" ht="15" hidden="1" customHeight="1" outlineLevel="2">
      <c r="B131" s="148">
        <v>4</v>
      </c>
      <c r="C131" s="177" t="str">
        <f>Attribute!C131</f>
        <v>---</v>
      </c>
      <c r="D131" s="125" t="str">
        <f>VLOOKUP(C131,'Talente &amp; Stuff'!CL:DM,2,FALSE)</f>
        <v>--/--/--</v>
      </c>
      <c r="E131" s="127" t="str">
        <f>VLOOKUP(C131,'Talente &amp; Stuff'!CL:DM,3,FALSE)</f>
        <v>-</v>
      </c>
      <c r="F131" s="114">
        <f>VLOOKUP(C131,'Talente &amp; Stuff'!CL:DM,4,FALSE)</f>
        <v>0</v>
      </c>
      <c r="G131" s="113">
        <f>VLOOKUP(C131,'Talente &amp; Stuff'!CL:DM,5,FALSE)</f>
        <v>0</v>
      </c>
      <c r="H131" s="113">
        <f>VLOOKUP(C131,'Talente &amp; Stuff'!CL:DM,6,FALSE)</f>
        <v>0</v>
      </c>
      <c r="I131" s="113">
        <f>VLOOKUP(C131,'Talente &amp; Stuff'!CL:DM,7,FALSE)</f>
        <v>0</v>
      </c>
      <c r="J131" s="113">
        <f>VLOOKUP(C131,'Talente &amp; Stuff'!CL:DM,8,FALSE)</f>
        <v>0</v>
      </c>
      <c r="K131" s="113">
        <f>VLOOKUP(C131,'Talente &amp; Stuff'!CL:DM,9,FALSE)</f>
        <v>0</v>
      </c>
      <c r="L131" s="113">
        <f>VLOOKUP(C131,'Talente &amp; Stuff'!CL:DM,10,FALSE)</f>
        <v>0</v>
      </c>
      <c r="M131" s="119">
        <f>VLOOKUP(C131,'Talente &amp; Stuff'!CL:DM,11,FALSE)</f>
        <v>0</v>
      </c>
      <c r="N131" s="47">
        <f>VLOOKUP(C131,'Talente &amp; Stuff'!CL:DM,12,FALSE)</f>
        <v>0</v>
      </c>
      <c r="O131" s="47">
        <f>VLOOKUP(C131,'Talente &amp; Stuff'!CL:DM,13,FALSE)</f>
        <v>0</v>
      </c>
      <c r="P131" s="119">
        <f>VLOOKUP(C131,'Talente &amp; Stuff'!CL:DM,14,FALSE)</f>
        <v>0</v>
      </c>
      <c r="Q131" s="114">
        <f>VLOOKUP(C131,'Talente &amp; Stuff'!CL:DM,15,FALSE)</f>
        <v>0</v>
      </c>
      <c r="R131" s="113">
        <f>VLOOKUP(C131,'Talente &amp; Stuff'!CL:DM,16,FALSE)</f>
        <v>0</v>
      </c>
      <c r="S131" s="119">
        <f>VLOOKUP(C131,'Talente &amp; Stuff'!CL:DM,17,FALSE)</f>
        <v>0</v>
      </c>
      <c r="T131" s="119">
        <f>VLOOKUP(C131,'Talente &amp; Stuff'!CL:DM,18,FALSE)</f>
        <v>0</v>
      </c>
      <c r="U131" s="89">
        <f>VLOOKUP(C131,'Talente &amp; Stuff'!CL:DM,19,FALSE)</f>
        <v>0</v>
      </c>
      <c r="V131" s="47">
        <f>VLOOKUP(C131,'Talente &amp; Stuff'!CL:DM,20,FALSE)</f>
        <v>0</v>
      </c>
      <c r="W131" s="127">
        <f>VLOOKUP(C131,'Talente &amp; Stuff'!CL:DM,21,FALSE)</f>
        <v>0</v>
      </c>
      <c r="X131" s="127">
        <f>VLOOKUP(C131,'Talente &amp; Stuff'!CL:DM,22,FALSE)</f>
        <v>0</v>
      </c>
      <c r="Y131" s="165">
        <f t="shared" si="14"/>
        <v>0</v>
      </c>
      <c r="Z131" s="44">
        <f t="shared" si="15"/>
        <v>0</v>
      </c>
      <c r="AA131" s="125">
        <f>VLOOKUP(C131,'Talente &amp; Stuff'!CL:DM,25,FALSE)</f>
        <v>0</v>
      </c>
      <c r="AB131" s="160">
        <f>VLOOKUP(C131,'Talente &amp; Stuff'!CL:DM,26,FALSE)</f>
        <v>0</v>
      </c>
      <c r="AC131" s="127">
        <f>VLOOKUP(C131,'Talente &amp; Stuff'!CL:DM,27,FALSE)</f>
        <v>0</v>
      </c>
      <c r="AD131" s="125">
        <f>VLOOKUP(C131,'Talente &amp; Stuff'!CL:DM,28,FALSE)</f>
        <v>0</v>
      </c>
      <c r="AE131" s="28"/>
    </row>
    <row r="132" spans="2:31" ht="15" hidden="1" customHeight="1" outlineLevel="2">
      <c r="B132" s="148">
        <v>5</v>
      </c>
      <c r="C132" s="177" t="str">
        <f>Attribute!C132</f>
        <v>---</v>
      </c>
      <c r="D132" s="125" t="str">
        <f>VLOOKUP(C132,'Talente &amp; Stuff'!CL:DM,2,FALSE)</f>
        <v>--/--/--</v>
      </c>
      <c r="E132" s="127" t="str">
        <f>VLOOKUP(C132,'Talente &amp; Stuff'!CL:DM,3,FALSE)</f>
        <v>-</v>
      </c>
      <c r="F132" s="114">
        <f>VLOOKUP(C132,'Talente &amp; Stuff'!CL:DM,4,FALSE)</f>
        <v>0</v>
      </c>
      <c r="G132" s="113">
        <f>VLOOKUP(C132,'Talente &amp; Stuff'!CL:DM,5,FALSE)</f>
        <v>0</v>
      </c>
      <c r="H132" s="113">
        <f>VLOOKUP(C132,'Talente &amp; Stuff'!CL:DM,6,FALSE)</f>
        <v>0</v>
      </c>
      <c r="I132" s="113">
        <f>VLOOKUP(C132,'Talente &amp; Stuff'!CL:DM,7,FALSE)</f>
        <v>0</v>
      </c>
      <c r="J132" s="113">
        <f>VLOOKUP(C132,'Talente &amp; Stuff'!CL:DM,8,FALSE)</f>
        <v>0</v>
      </c>
      <c r="K132" s="113">
        <f>VLOOKUP(C132,'Talente &amp; Stuff'!CL:DM,9,FALSE)</f>
        <v>0</v>
      </c>
      <c r="L132" s="113">
        <f>VLOOKUP(C132,'Talente &amp; Stuff'!CL:DM,10,FALSE)</f>
        <v>0</v>
      </c>
      <c r="M132" s="119">
        <f>VLOOKUP(C132,'Talente &amp; Stuff'!CL:DM,11,FALSE)</f>
        <v>0</v>
      </c>
      <c r="N132" s="47">
        <f>VLOOKUP(C132,'Talente &amp; Stuff'!CL:DM,12,FALSE)</f>
        <v>0</v>
      </c>
      <c r="O132" s="47">
        <f>VLOOKUP(C132,'Talente &amp; Stuff'!CL:DM,13,FALSE)</f>
        <v>0</v>
      </c>
      <c r="P132" s="119">
        <f>VLOOKUP(C132,'Talente &amp; Stuff'!CL:DM,14,FALSE)</f>
        <v>0</v>
      </c>
      <c r="Q132" s="114">
        <f>VLOOKUP(C132,'Talente &amp; Stuff'!CL:DM,15,FALSE)</f>
        <v>0</v>
      </c>
      <c r="R132" s="113">
        <f>VLOOKUP(C132,'Talente &amp; Stuff'!CL:DM,16,FALSE)</f>
        <v>0</v>
      </c>
      <c r="S132" s="119">
        <f>VLOOKUP(C132,'Talente &amp; Stuff'!CL:DM,17,FALSE)</f>
        <v>0</v>
      </c>
      <c r="T132" s="119">
        <f>VLOOKUP(C132,'Talente &amp; Stuff'!CL:DM,18,FALSE)</f>
        <v>0</v>
      </c>
      <c r="U132" s="89">
        <f>VLOOKUP(C132,'Talente &amp; Stuff'!CL:DM,19,FALSE)</f>
        <v>0</v>
      </c>
      <c r="V132" s="47">
        <f>VLOOKUP(C132,'Talente &amp; Stuff'!CL:DM,20,FALSE)</f>
        <v>0</v>
      </c>
      <c r="W132" s="127">
        <f>VLOOKUP(C132,'Talente &amp; Stuff'!CL:DM,21,FALSE)</f>
        <v>0</v>
      </c>
      <c r="X132" s="127">
        <f>VLOOKUP(C132,'Talente &amp; Stuff'!CL:DM,22,FALSE)</f>
        <v>0</v>
      </c>
      <c r="Y132" s="165">
        <f t="shared" si="14"/>
        <v>0</v>
      </c>
      <c r="Z132" s="44">
        <f t="shared" si="15"/>
        <v>0</v>
      </c>
      <c r="AA132" s="125">
        <f>VLOOKUP(C132,'Talente &amp; Stuff'!CL:DM,25,FALSE)</f>
        <v>0</v>
      </c>
      <c r="AB132" s="160">
        <f>VLOOKUP(C132,'Talente &amp; Stuff'!CL:DM,26,FALSE)</f>
        <v>0</v>
      </c>
      <c r="AC132" s="127">
        <f>VLOOKUP(C132,'Talente &amp; Stuff'!CL:DM,27,FALSE)</f>
        <v>0</v>
      </c>
      <c r="AD132" s="125">
        <f>VLOOKUP(C132,'Talente &amp; Stuff'!CL:DM,28,FALSE)</f>
        <v>0</v>
      </c>
      <c r="AE132" s="28"/>
    </row>
    <row r="133" spans="2:31" ht="15" hidden="1" customHeight="1" outlineLevel="2">
      <c r="B133" s="148">
        <v>6</v>
      </c>
      <c r="C133" s="177" t="str">
        <f>Attribute!C133</f>
        <v>---</v>
      </c>
      <c r="D133" s="125" t="str">
        <f>VLOOKUP(C133,'Talente &amp; Stuff'!CL:DM,2,FALSE)</f>
        <v>--/--/--</v>
      </c>
      <c r="E133" s="127" t="str">
        <f>VLOOKUP(C133,'Talente &amp; Stuff'!CL:DM,3,FALSE)</f>
        <v>-</v>
      </c>
      <c r="F133" s="114">
        <f>VLOOKUP(C133,'Talente &amp; Stuff'!CL:DM,4,FALSE)</f>
        <v>0</v>
      </c>
      <c r="G133" s="113">
        <f>VLOOKUP(C133,'Talente &amp; Stuff'!CL:DM,5,FALSE)</f>
        <v>0</v>
      </c>
      <c r="H133" s="113">
        <f>VLOOKUP(C133,'Talente &amp; Stuff'!CL:DM,6,FALSE)</f>
        <v>0</v>
      </c>
      <c r="I133" s="113">
        <f>VLOOKUP(C133,'Talente &amp; Stuff'!CL:DM,7,FALSE)</f>
        <v>0</v>
      </c>
      <c r="J133" s="113">
        <f>VLOOKUP(C133,'Talente &amp; Stuff'!CL:DM,8,FALSE)</f>
        <v>0</v>
      </c>
      <c r="K133" s="113">
        <f>VLOOKUP(C133,'Talente &amp; Stuff'!CL:DM,9,FALSE)</f>
        <v>0</v>
      </c>
      <c r="L133" s="113">
        <f>VLOOKUP(C133,'Talente &amp; Stuff'!CL:DM,10,FALSE)</f>
        <v>0</v>
      </c>
      <c r="M133" s="119">
        <f>VLOOKUP(C133,'Talente &amp; Stuff'!CL:DM,11,FALSE)</f>
        <v>0</v>
      </c>
      <c r="N133" s="47">
        <f>VLOOKUP(C133,'Talente &amp; Stuff'!CL:DM,12,FALSE)</f>
        <v>0</v>
      </c>
      <c r="O133" s="47">
        <f>VLOOKUP(C133,'Talente &amp; Stuff'!CL:DM,13,FALSE)</f>
        <v>0</v>
      </c>
      <c r="P133" s="119">
        <f>VLOOKUP(C133,'Talente &amp; Stuff'!CL:DM,14,FALSE)</f>
        <v>0</v>
      </c>
      <c r="Q133" s="114">
        <f>VLOOKUP(C133,'Talente &amp; Stuff'!CL:DM,15,FALSE)</f>
        <v>0</v>
      </c>
      <c r="R133" s="113">
        <f>VLOOKUP(C133,'Talente &amp; Stuff'!CL:DM,16,FALSE)</f>
        <v>0</v>
      </c>
      <c r="S133" s="119">
        <f>VLOOKUP(C133,'Talente &amp; Stuff'!CL:DM,17,FALSE)</f>
        <v>0</v>
      </c>
      <c r="T133" s="119">
        <f>VLOOKUP(C133,'Talente &amp; Stuff'!CL:DM,18,FALSE)</f>
        <v>0</v>
      </c>
      <c r="U133" s="89">
        <f>VLOOKUP(C133,'Talente &amp; Stuff'!CL:DM,19,FALSE)</f>
        <v>0</v>
      </c>
      <c r="V133" s="47">
        <f>VLOOKUP(C133,'Talente &amp; Stuff'!CL:DM,20,FALSE)</f>
        <v>0</v>
      </c>
      <c r="W133" s="127">
        <f>VLOOKUP(C133,'Talente &amp; Stuff'!CL:DM,21,FALSE)</f>
        <v>0</v>
      </c>
      <c r="X133" s="127">
        <f>VLOOKUP(C133,'Talente &amp; Stuff'!CL:DM,22,FALSE)</f>
        <v>0</v>
      </c>
      <c r="Y133" s="165">
        <f t="shared" si="14"/>
        <v>0</v>
      </c>
      <c r="Z133" s="44">
        <f t="shared" si="15"/>
        <v>0</v>
      </c>
      <c r="AA133" s="125">
        <f>VLOOKUP(C133,'Talente &amp; Stuff'!CL:DM,25,FALSE)</f>
        <v>0</v>
      </c>
      <c r="AB133" s="160">
        <f>VLOOKUP(C133,'Talente &amp; Stuff'!CL:DM,26,FALSE)</f>
        <v>0</v>
      </c>
      <c r="AC133" s="127">
        <f>VLOOKUP(C133,'Talente &amp; Stuff'!CL:DM,27,FALSE)</f>
        <v>0</v>
      </c>
      <c r="AD133" s="125">
        <f>VLOOKUP(C133,'Talente &amp; Stuff'!CL:DM,28,FALSE)</f>
        <v>0</v>
      </c>
      <c r="AE133" s="28"/>
    </row>
    <row r="134" spans="2:31" ht="15" hidden="1" customHeight="1" outlineLevel="2">
      <c r="B134" s="148">
        <v>7</v>
      </c>
      <c r="C134" s="177" t="str">
        <f>Attribute!C134</f>
        <v>---</v>
      </c>
      <c r="D134" s="125" t="str">
        <f>VLOOKUP(C134,'Talente &amp; Stuff'!CL:DM,2,FALSE)</f>
        <v>--/--/--</v>
      </c>
      <c r="E134" s="127" t="str">
        <f>VLOOKUP(C134,'Talente &amp; Stuff'!CL:DM,3,FALSE)</f>
        <v>-</v>
      </c>
      <c r="F134" s="114">
        <f>VLOOKUP(C134,'Talente &amp; Stuff'!CL:DM,4,FALSE)</f>
        <v>0</v>
      </c>
      <c r="G134" s="113">
        <f>VLOOKUP(C134,'Talente &amp; Stuff'!CL:DM,5,FALSE)</f>
        <v>0</v>
      </c>
      <c r="H134" s="113">
        <f>VLOOKUP(C134,'Talente &amp; Stuff'!CL:DM,6,FALSE)</f>
        <v>0</v>
      </c>
      <c r="I134" s="113">
        <f>VLOOKUP(C134,'Talente &amp; Stuff'!CL:DM,7,FALSE)</f>
        <v>0</v>
      </c>
      <c r="J134" s="113">
        <f>VLOOKUP(C134,'Talente &amp; Stuff'!CL:DM,8,FALSE)</f>
        <v>0</v>
      </c>
      <c r="K134" s="113">
        <f>VLOOKUP(C134,'Talente &amp; Stuff'!CL:DM,9,FALSE)</f>
        <v>0</v>
      </c>
      <c r="L134" s="113">
        <f>VLOOKUP(C134,'Talente &amp; Stuff'!CL:DM,10,FALSE)</f>
        <v>0</v>
      </c>
      <c r="M134" s="119">
        <f>VLOOKUP(C134,'Talente &amp; Stuff'!CL:DM,11,FALSE)</f>
        <v>0</v>
      </c>
      <c r="N134" s="47">
        <f>VLOOKUP(C134,'Talente &amp; Stuff'!CL:DM,12,FALSE)</f>
        <v>0</v>
      </c>
      <c r="O134" s="47">
        <f>VLOOKUP(C134,'Talente &amp; Stuff'!CL:DM,13,FALSE)</f>
        <v>0</v>
      </c>
      <c r="P134" s="119">
        <f>VLOOKUP(C134,'Talente &amp; Stuff'!CL:DM,14,FALSE)</f>
        <v>0</v>
      </c>
      <c r="Q134" s="114">
        <f>VLOOKUP(C134,'Talente &amp; Stuff'!CL:DM,15,FALSE)</f>
        <v>0</v>
      </c>
      <c r="R134" s="113">
        <f>VLOOKUP(C134,'Talente &amp; Stuff'!CL:DM,16,FALSE)</f>
        <v>0</v>
      </c>
      <c r="S134" s="119">
        <f>VLOOKUP(C134,'Talente &amp; Stuff'!CL:DM,17,FALSE)</f>
        <v>0</v>
      </c>
      <c r="T134" s="119">
        <f>VLOOKUP(C134,'Talente &amp; Stuff'!CL:DM,18,FALSE)</f>
        <v>0</v>
      </c>
      <c r="U134" s="89">
        <f>VLOOKUP(C134,'Talente &amp; Stuff'!CL:DM,19,FALSE)</f>
        <v>0</v>
      </c>
      <c r="V134" s="47">
        <f>VLOOKUP(C134,'Talente &amp; Stuff'!CL:DM,20,FALSE)</f>
        <v>0</v>
      </c>
      <c r="W134" s="127">
        <f>VLOOKUP(C134,'Talente &amp; Stuff'!CL:DM,21,FALSE)</f>
        <v>0</v>
      </c>
      <c r="X134" s="127">
        <f>VLOOKUP(C134,'Talente &amp; Stuff'!CL:DM,22,FALSE)</f>
        <v>0</v>
      </c>
      <c r="Y134" s="165">
        <f t="shared" si="14"/>
        <v>0</v>
      </c>
      <c r="Z134" s="44">
        <f t="shared" si="15"/>
        <v>0</v>
      </c>
      <c r="AA134" s="125">
        <f>VLOOKUP(C134,'Talente &amp; Stuff'!CL:DM,25,FALSE)</f>
        <v>0</v>
      </c>
      <c r="AB134" s="160">
        <f>VLOOKUP(C134,'Talente &amp; Stuff'!CL:DM,26,FALSE)</f>
        <v>0</v>
      </c>
      <c r="AC134" s="127">
        <f>VLOOKUP(C134,'Talente &amp; Stuff'!CL:DM,27,FALSE)</f>
        <v>0</v>
      </c>
      <c r="AD134" s="125">
        <f>VLOOKUP(C134,'Talente &amp; Stuff'!CL:DM,28,FALSE)</f>
        <v>0</v>
      </c>
      <c r="AE134" s="28"/>
    </row>
    <row r="135" spans="2:31" ht="15" hidden="1" customHeight="1" outlineLevel="2">
      <c r="B135" s="148">
        <v>8</v>
      </c>
      <c r="C135" s="177" t="str">
        <f>Attribute!C135</f>
        <v>---</v>
      </c>
      <c r="D135" s="125" t="str">
        <f>VLOOKUP(C135,'Talente &amp; Stuff'!CL:DM,2,FALSE)</f>
        <v>--/--/--</v>
      </c>
      <c r="E135" s="127" t="str">
        <f>VLOOKUP(C135,'Talente &amp; Stuff'!CL:DM,3,FALSE)</f>
        <v>-</v>
      </c>
      <c r="F135" s="114">
        <f>VLOOKUP(C135,'Talente &amp; Stuff'!CL:DM,4,FALSE)</f>
        <v>0</v>
      </c>
      <c r="G135" s="113">
        <f>VLOOKUP(C135,'Talente &amp; Stuff'!CL:DM,5,FALSE)</f>
        <v>0</v>
      </c>
      <c r="H135" s="113">
        <f>VLOOKUP(C135,'Talente &amp; Stuff'!CL:DM,6,FALSE)</f>
        <v>0</v>
      </c>
      <c r="I135" s="113">
        <f>VLOOKUP(C135,'Talente &amp; Stuff'!CL:DM,7,FALSE)</f>
        <v>0</v>
      </c>
      <c r="J135" s="113">
        <f>VLOOKUP(C135,'Talente &amp; Stuff'!CL:DM,8,FALSE)</f>
        <v>0</v>
      </c>
      <c r="K135" s="113">
        <f>VLOOKUP(C135,'Talente &amp; Stuff'!CL:DM,9,FALSE)</f>
        <v>0</v>
      </c>
      <c r="L135" s="113">
        <f>VLOOKUP(C135,'Talente &amp; Stuff'!CL:DM,10,FALSE)</f>
        <v>0</v>
      </c>
      <c r="M135" s="119">
        <f>VLOOKUP(C135,'Talente &amp; Stuff'!CL:DM,11,FALSE)</f>
        <v>0</v>
      </c>
      <c r="N135" s="47">
        <f>VLOOKUP(C135,'Talente &amp; Stuff'!CL:DM,12,FALSE)</f>
        <v>0</v>
      </c>
      <c r="O135" s="47">
        <f>VLOOKUP(C135,'Talente &amp; Stuff'!CL:DM,13,FALSE)</f>
        <v>0</v>
      </c>
      <c r="P135" s="119">
        <f>VLOOKUP(C135,'Talente &amp; Stuff'!CL:DM,14,FALSE)</f>
        <v>0</v>
      </c>
      <c r="Q135" s="114">
        <f>VLOOKUP(C135,'Talente &amp; Stuff'!CL:DM,15,FALSE)</f>
        <v>0</v>
      </c>
      <c r="R135" s="113">
        <f>VLOOKUP(C135,'Talente &amp; Stuff'!CL:DM,16,FALSE)</f>
        <v>0</v>
      </c>
      <c r="S135" s="119">
        <f>VLOOKUP(C135,'Talente &amp; Stuff'!CL:DM,17,FALSE)</f>
        <v>0</v>
      </c>
      <c r="T135" s="119">
        <f>VLOOKUP(C135,'Talente &amp; Stuff'!CL:DM,18,FALSE)</f>
        <v>0</v>
      </c>
      <c r="U135" s="89">
        <f>VLOOKUP(C135,'Talente &amp; Stuff'!CL:DM,19,FALSE)</f>
        <v>0</v>
      </c>
      <c r="V135" s="47">
        <f>VLOOKUP(C135,'Talente &amp; Stuff'!CL:DM,20,FALSE)</f>
        <v>0</v>
      </c>
      <c r="W135" s="127">
        <f>VLOOKUP(C135,'Talente &amp; Stuff'!CL:DM,21,FALSE)</f>
        <v>0</v>
      </c>
      <c r="X135" s="127">
        <f>VLOOKUP(C135,'Talente &amp; Stuff'!CL:DM,22,FALSE)</f>
        <v>0</v>
      </c>
      <c r="Y135" s="165">
        <f t="shared" si="14"/>
        <v>0</v>
      </c>
      <c r="Z135" s="44">
        <f t="shared" si="15"/>
        <v>0</v>
      </c>
      <c r="AA135" s="125">
        <f>VLOOKUP(C135,'Talente &amp; Stuff'!CL:DM,25,FALSE)</f>
        <v>0</v>
      </c>
      <c r="AB135" s="160">
        <f>VLOOKUP(C135,'Talente &amp; Stuff'!CL:DM,26,FALSE)</f>
        <v>0</v>
      </c>
      <c r="AC135" s="127">
        <f>VLOOKUP(C135,'Talente &amp; Stuff'!CL:DM,27,FALSE)</f>
        <v>0</v>
      </c>
      <c r="AD135" s="125">
        <f>VLOOKUP(C135,'Talente &amp; Stuff'!CL:DM,28,FALSE)</f>
        <v>0</v>
      </c>
      <c r="AE135" s="28"/>
    </row>
    <row r="136" spans="2:31" ht="15" hidden="1" customHeight="1" outlineLevel="2">
      <c r="B136" s="148">
        <v>9</v>
      </c>
      <c r="C136" s="177" t="str">
        <f>Attribute!C136</f>
        <v>---</v>
      </c>
      <c r="D136" s="125" t="str">
        <f>VLOOKUP(C136,'Talente &amp; Stuff'!CL:DM,2,FALSE)</f>
        <v>--/--/--</v>
      </c>
      <c r="E136" s="127" t="str">
        <f>VLOOKUP(C136,'Talente &amp; Stuff'!CL:DM,3,FALSE)</f>
        <v>-</v>
      </c>
      <c r="F136" s="114">
        <f>VLOOKUP(C136,'Talente &amp; Stuff'!CL:DM,4,FALSE)</f>
        <v>0</v>
      </c>
      <c r="G136" s="113">
        <f>VLOOKUP(C136,'Talente &amp; Stuff'!CL:DM,5,FALSE)</f>
        <v>0</v>
      </c>
      <c r="H136" s="113">
        <f>VLOOKUP(C136,'Talente &amp; Stuff'!CL:DM,6,FALSE)</f>
        <v>0</v>
      </c>
      <c r="I136" s="113">
        <f>VLOOKUP(C136,'Talente &amp; Stuff'!CL:DM,7,FALSE)</f>
        <v>0</v>
      </c>
      <c r="J136" s="113">
        <f>VLOOKUP(C136,'Talente &amp; Stuff'!CL:DM,8,FALSE)</f>
        <v>0</v>
      </c>
      <c r="K136" s="113">
        <f>VLOOKUP(C136,'Talente &amp; Stuff'!CL:DM,9,FALSE)</f>
        <v>0</v>
      </c>
      <c r="L136" s="113">
        <f>VLOOKUP(C136,'Talente &amp; Stuff'!CL:DM,10,FALSE)</f>
        <v>0</v>
      </c>
      <c r="M136" s="119">
        <f>VLOOKUP(C136,'Talente &amp; Stuff'!CL:DM,11,FALSE)</f>
        <v>0</v>
      </c>
      <c r="N136" s="47">
        <f>VLOOKUP(C136,'Talente &amp; Stuff'!CL:DM,12,FALSE)</f>
        <v>0</v>
      </c>
      <c r="O136" s="47">
        <f>VLOOKUP(C136,'Talente &amp; Stuff'!CL:DM,13,FALSE)</f>
        <v>0</v>
      </c>
      <c r="P136" s="119">
        <f>VLOOKUP(C136,'Talente &amp; Stuff'!CL:DM,14,FALSE)</f>
        <v>0</v>
      </c>
      <c r="Q136" s="114">
        <f>VLOOKUP(C136,'Talente &amp; Stuff'!CL:DM,15,FALSE)</f>
        <v>0</v>
      </c>
      <c r="R136" s="113">
        <f>VLOOKUP(C136,'Talente &amp; Stuff'!CL:DM,16,FALSE)</f>
        <v>0</v>
      </c>
      <c r="S136" s="119">
        <f>VLOOKUP(C136,'Talente &amp; Stuff'!CL:DM,17,FALSE)</f>
        <v>0</v>
      </c>
      <c r="T136" s="119">
        <f>VLOOKUP(C136,'Talente &amp; Stuff'!CL:DM,18,FALSE)</f>
        <v>0</v>
      </c>
      <c r="U136" s="89">
        <f>VLOOKUP(C136,'Talente &amp; Stuff'!CL:DM,19,FALSE)</f>
        <v>0</v>
      </c>
      <c r="V136" s="47">
        <f>VLOOKUP(C136,'Talente &amp; Stuff'!CL:DM,20,FALSE)</f>
        <v>0</v>
      </c>
      <c r="W136" s="127">
        <f>VLOOKUP(C136,'Talente &amp; Stuff'!CL:DM,21,FALSE)</f>
        <v>0</v>
      </c>
      <c r="X136" s="127">
        <f>VLOOKUP(C136,'Talente &amp; Stuff'!CL:DM,22,FALSE)</f>
        <v>0</v>
      </c>
      <c r="Y136" s="165">
        <f t="shared" si="14"/>
        <v>0</v>
      </c>
      <c r="Z136" s="44">
        <f t="shared" si="15"/>
        <v>0</v>
      </c>
      <c r="AA136" s="125">
        <f>VLOOKUP(C136,'Talente &amp; Stuff'!CL:DM,25,FALSE)</f>
        <v>0</v>
      </c>
      <c r="AB136" s="160">
        <f>VLOOKUP(C136,'Talente &amp; Stuff'!CL:DM,26,FALSE)</f>
        <v>0</v>
      </c>
      <c r="AC136" s="127">
        <f>VLOOKUP(C136,'Talente &amp; Stuff'!CL:DM,27,FALSE)</f>
        <v>0</v>
      </c>
      <c r="AD136" s="125">
        <f>VLOOKUP(C136,'Talente &amp; Stuff'!CL:DM,28,FALSE)</f>
        <v>0</v>
      </c>
      <c r="AE136" s="28"/>
    </row>
    <row r="137" spans="2:31" ht="15" hidden="1" customHeight="1" outlineLevel="2">
      <c r="B137" s="148">
        <v>10</v>
      </c>
      <c r="C137" s="177" t="str">
        <f>Attribute!C137</f>
        <v>---</v>
      </c>
      <c r="D137" s="125" t="str">
        <f>VLOOKUP(C137,'Talente &amp; Stuff'!CL:DM,2,FALSE)</f>
        <v>--/--/--</v>
      </c>
      <c r="E137" s="127" t="str">
        <f>VLOOKUP(C137,'Talente &amp; Stuff'!CL:DM,3,FALSE)</f>
        <v>-</v>
      </c>
      <c r="F137" s="114">
        <f>VLOOKUP(C137,'Talente &amp; Stuff'!CL:DM,4,FALSE)</f>
        <v>0</v>
      </c>
      <c r="G137" s="113">
        <f>VLOOKUP(C137,'Talente &amp; Stuff'!CL:DM,5,FALSE)</f>
        <v>0</v>
      </c>
      <c r="H137" s="113">
        <f>VLOOKUP(C137,'Talente &amp; Stuff'!CL:DM,6,FALSE)</f>
        <v>0</v>
      </c>
      <c r="I137" s="113">
        <f>VLOOKUP(C137,'Talente &amp; Stuff'!CL:DM,7,FALSE)</f>
        <v>0</v>
      </c>
      <c r="J137" s="113">
        <f>VLOOKUP(C137,'Talente &amp; Stuff'!CL:DM,8,FALSE)</f>
        <v>0</v>
      </c>
      <c r="K137" s="113">
        <f>VLOOKUP(C137,'Talente &amp; Stuff'!CL:DM,9,FALSE)</f>
        <v>0</v>
      </c>
      <c r="L137" s="113">
        <f>VLOOKUP(C137,'Talente &amp; Stuff'!CL:DM,10,FALSE)</f>
        <v>0</v>
      </c>
      <c r="M137" s="119">
        <f>VLOOKUP(C137,'Talente &amp; Stuff'!CL:DM,11,FALSE)</f>
        <v>0</v>
      </c>
      <c r="N137" s="47">
        <f>VLOOKUP(C137,'Talente &amp; Stuff'!CL:DM,12,FALSE)</f>
        <v>0</v>
      </c>
      <c r="O137" s="47">
        <f>VLOOKUP(C137,'Talente &amp; Stuff'!CL:DM,13,FALSE)</f>
        <v>0</v>
      </c>
      <c r="P137" s="119">
        <f>VLOOKUP(C137,'Talente &amp; Stuff'!CL:DM,14,FALSE)</f>
        <v>0</v>
      </c>
      <c r="Q137" s="114">
        <f>VLOOKUP(C137,'Talente &amp; Stuff'!CL:DM,15,FALSE)</f>
        <v>0</v>
      </c>
      <c r="R137" s="113">
        <f>VLOOKUP(C137,'Talente &amp; Stuff'!CL:DM,16,FALSE)</f>
        <v>0</v>
      </c>
      <c r="S137" s="119">
        <f>VLOOKUP(C137,'Talente &amp; Stuff'!CL:DM,17,FALSE)</f>
        <v>0</v>
      </c>
      <c r="T137" s="119">
        <f>VLOOKUP(C137,'Talente &amp; Stuff'!CL:DM,18,FALSE)</f>
        <v>0</v>
      </c>
      <c r="U137" s="89">
        <f>VLOOKUP(C137,'Talente &amp; Stuff'!CL:DM,19,FALSE)</f>
        <v>0</v>
      </c>
      <c r="V137" s="47">
        <f>VLOOKUP(C137,'Talente &amp; Stuff'!CL:DM,20,FALSE)</f>
        <v>0</v>
      </c>
      <c r="W137" s="127">
        <f>VLOOKUP(C137,'Talente &amp; Stuff'!CL:DM,21,FALSE)</f>
        <v>0</v>
      </c>
      <c r="X137" s="127">
        <f>VLOOKUP(C137,'Talente &amp; Stuff'!CL:DM,22,FALSE)</f>
        <v>0</v>
      </c>
      <c r="Y137" s="165">
        <f t="shared" si="14"/>
        <v>0</v>
      </c>
      <c r="Z137" s="44">
        <f t="shared" si="15"/>
        <v>0</v>
      </c>
      <c r="AA137" s="125">
        <f>VLOOKUP(C137,'Talente &amp; Stuff'!CL:DM,25,FALSE)</f>
        <v>0</v>
      </c>
      <c r="AB137" s="160">
        <f>VLOOKUP(C137,'Talente &amp; Stuff'!CL:DM,26,FALSE)</f>
        <v>0</v>
      </c>
      <c r="AC137" s="127">
        <f>VLOOKUP(C137,'Talente &amp; Stuff'!CL:DM,27,FALSE)</f>
        <v>0</v>
      </c>
      <c r="AD137" s="125">
        <f>VLOOKUP(C137,'Talente &amp; Stuff'!CL:DM,28,FALSE)</f>
        <v>0</v>
      </c>
      <c r="AE137" s="28"/>
    </row>
    <row r="138" spans="2:31" ht="15" hidden="1" customHeight="1" outlineLevel="2">
      <c r="B138" s="148">
        <v>11</v>
      </c>
      <c r="C138" s="177" t="str">
        <f>Attribute!C138</f>
        <v>---</v>
      </c>
      <c r="D138" s="125" t="str">
        <f>VLOOKUP(C138,'Talente &amp; Stuff'!CL:DM,2,FALSE)</f>
        <v>--/--/--</v>
      </c>
      <c r="E138" s="127" t="str">
        <f>VLOOKUP(C138,'Talente &amp; Stuff'!CL:DM,3,FALSE)</f>
        <v>-</v>
      </c>
      <c r="F138" s="114">
        <f>VLOOKUP(C138,'Talente &amp; Stuff'!CL:DM,4,FALSE)</f>
        <v>0</v>
      </c>
      <c r="G138" s="113">
        <f>VLOOKUP(C138,'Talente &amp; Stuff'!CL:DM,5,FALSE)</f>
        <v>0</v>
      </c>
      <c r="H138" s="113">
        <f>VLOOKUP(C138,'Talente &amp; Stuff'!CL:DM,6,FALSE)</f>
        <v>0</v>
      </c>
      <c r="I138" s="113">
        <f>VLOOKUP(C138,'Talente &amp; Stuff'!CL:DM,7,FALSE)</f>
        <v>0</v>
      </c>
      <c r="J138" s="113">
        <f>VLOOKUP(C138,'Talente &amp; Stuff'!CL:DM,8,FALSE)</f>
        <v>0</v>
      </c>
      <c r="K138" s="113">
        <f>VLOOKUP(C138,'Talente &amp; Stuff'!CL:DM,9,FALSE)</f>
        <v>0</v>
      </c>
      <c r="L138" s="113">
        <f>VLOOKUP(C138,'Talente &amp; Stuff'!CL:DM,10,FALSE)</f>
        <v>0</v>
      </c>
      <c r="M138" s="119">
        <f>VLOOKUP(C138,'Talente &amp; Stuff'!CL:DM,11,FALSE)</f>
        <v>0</v>
      </c>
      <c r="N138" s="47">
        <f>VLOOKUP(C138,'Talente &amp; Stuff'!CL:DM,12,FALSE)</f>
        <v>0</v>
      </c>
      <c r="O138" s="47">
        <f>VLOOKUP(C138,'Talente &amp; Stuff'!CL:DM,13,FALSE)</f>
        <v>0</v>
      </c>
      <c r="P138" s="119">
        <f>VLOOKUP(C138,'Talente &amp; Stuff'!CL:DM,14,FALSE)</f>
        <v>0</v>
      </c>
      <c r="Q138" s="114">
        <f>VLOOKUP(C138,'Talente &amp; Stuff'!CL:DM,15,FALSE)</f>
        <v>0</v>
      </c>
      <c r="R138" s="113">
        <f>VLOOKUP(C138,'Talente &amp; Stuff'!CL:DM,16,FALSE)</f>
        <v>0</v>
      </c>
      <c r="S138" s="119">
        <f>VLOOKUP(C138,'Talente &amp; Stuff'!CL:DM,17,FALSE)</f>
        <v>0</v>
      </c>
      <c r="T138" s="119">
        <f>VLOOKUP(C138,'Talente &amp; Stuff'!CL:DM,18,FALSE)</f>
        <v>0</v>
      </c>
      <c r="U138" s="89">
        <f>VLOOKUP(C138,'Talente &amp; Stuff'!CL:DM,19,FALSE)</f>
        <v>0</v>
      </c>
      <c r="V138" s="47">
        <f>VLOOKUP(C138,'Talente &amp; Stuff'!CL:DM,20,FALSE)</f>
        <v>0</v>
      </c>
      <c r="W138" s="127">
        <f>VLOOKUP(C138,'Talente &amp; Stuff'!CL:DM,21,FALSE)</f>
        <v>0</v>
      </c>
      <c r="X138" s="127">
        <f>VLOOKUP(C138,'Talente &amp; Stuff'!CL:DM,22,FALSE)</f>
        <v>0</v>
      </c>
      <c r="Y138" s="165">
        <f t="shared" si="14"/>
        <v>0</v>
      </c>
      <c r="Z138" s="44">
        <f t="shared" si="15"/>
        <v>0</v>
      </c>
      <c r="AA138" s="125">
        <f>VLOOKUP(C138,'Talente &amp; Stuff'!CL:DM,25,FALSE)</f>
        <v>0</v>
      </c>
      <c r="AB138" s="160">
        <f>VLOOKUP(C138,'Talente &amp; Stuff'!CL:DM,26,FALSE)</f>
        <v>0</v>
      </c>
      <c r="AC138" s="127">
        <f>VLOOKUP(C138,'Talente &amp; Stuff'!CL:DM,27,FALSE)</f>
        <v>0</v>
      </c>
      <c r="AD138" s="125">
        <f>VLOOKUP(C138,'Talente &amp; Stuff'!CL:DM,28,FALSE)</f>
        <v>0</v>
      </c>
      <c r="AE138" s="28"/>
    </row>
    <row r="139" spans="2:31" ht="15" hidden="1" customHeight="1" outlineLevel="2">
      <c r="B139" s="148">
        <v>12</v>
      </c>
      <c r="C139" s="177" t="str">
        <f>Attribute!C139</f>
        <v>---</v>
      </c>
      <c r="D139" s="125" t="str">
        <f>VLOOKUP(C139,'Talente &amp; Stuff'!CL:DM,2,FALSE)</f>
        <v>--/--/--</v>
      </c>
      <c r="E139" s="127" t="str">
        <f>VLOOKUP(C139,'Talente &amp; Stuff'!CL:DM,3,FALSE)</f>
        <v>-</v>
      </c>
      <c r="F139" s="114">
        <f>VLOOKUP(C139,'Talente &amp; Stuff'!CL:DM,4,FALSE)</f>
        <v>0</v>
      </c>
      <c r="G139" s="113">
        <f>VLOOKUP(C139,'Talente &amp; Stuff'!CL:DM,5,FALSE)</f>
        <v>0</v>
      </c>
      <c r="H139" s="113">
        <f>VLOOKUP(C139,'Talente &amp; Stuff'!CL:DM,6,FALSE)</f>
        <v>0</v>
      </c>
      <c r="I139" s="113">
        <f>VLOOKUP(C139,'Talente &amp; Stuff'!CL:DM,7,FALSE)</f>
        <v>0</v>
      </c>
      <c r="J139" s="113">
        <f>VLOOKUP(C139,'Talente &amp; Stuff'!CL:DM,8,FALSE)</f>
        <v>0</v>
      </c>
      <c r="K139" s="113">
        <f>VLOOKUP(C139,'Talente &amp; Stuff'!CL:DM,9,FALSE)</f>
        <v>0</v>
      </c>
      <c r="L139" s="113">
        <f>VLOOKUP(C139,'Talente &amp; Stuff'!CL:DM,10,FALSE)</f>
        <v>0</v>
      </c>
      <c r="M139" s="119">
        <f>VLOOKUP(C139,'Talente &amp; Stuff'!CL:DM,11,FALSE)</f>
        <v>0</v>
      </c>
      <c r="N139" s="47">
        <f>VLOOKUP(C139,'Talente &amp; Stuff'!CL:DM,12,FALSE)</f>
        <v>0</v>
      </c>
      <c r="O139" s="47">
        <f>VLOOKUP(C139,'Talente &amp; Stuff'!CL:DM,13,FALSE)</f>
        <v>0</v>
      </c>
      <c r="P139" s="119">
        <f>VLOOKUP(C139,'Talente &amp; Stuff'!CL:DM,14,FALSE)</f>
        <v>0</v>
      </c>
      <c r="Q139" s="114">
        <f>VLOOKUP(C139,'Talente &amp; Stuff'!CL:DM,15,FALSE)</f>
        <v>0</v>
      </c>
      <c r="R139" s="113">
        <f>VLOOKUP(C139,'Talente &amp; Stuff'!CL:DM,16,FALSE)</f>
        <v>0</v>
      </c>
      <c r="S139" s="119">
        <f>VLOOKUP(C139,'Talente &amp; Stuff'!CL:DM,17,FALSE)</f>
        <v>0</v>
      </c>
      <c r="T139" s="119">
        <f>VLOOKUP(C139,'Talente &amp; Stuff'!CL:DM,18,FALSE)</f>
        <v>0</v>
      </c>
      <c r="U139" s="89">
        <f>VLOOKUP(C139,'Talente &amp; Stuff'!CL:DM,19,FALSE)</f>
        <v>0</v>
      </c>
      <c r="V139" s="47">
        <f>VLOOKUP(C139,'Talente &amp; Stuff'!CL:DM,20,FALSE)</f>
        <v>0</v>
      </c>
      <c r="W139" s="127">
        <f>VLOOKUP(C139,'Talente &amp; Stuff'!CL:DM,21,FALSE)</f>
        <v>0</v>
      </c>
      <c r="X139" s="127">
        <f>VLOOKUP(C139,'Talente &amp; Stuff'!CL:DM,22,FALSE)</f>
        <v>0</v>
      </c>
      <c r="Y139" s="165">
        <f t="shared" si="14"/>
        <v>0</v>
      </c>
      <c r="Z139" s="44">
        <f t="shared" si="15"/>
        <v>0</v>
      </c>
      <c r="AA139" s="125">
        <f>VLOOKUP(C139,'Talente &amp; Stuff'!CL:DM,25,FALSE)</f>
        <v>0</v>
      </c>
      <c r="AB139" s="160">
        <f>VLOOKUP(C139,'Talente &amp; Stuff'!CL:DM,26,FALSE)</f>
        <v>0</v>
      </c>
      <c r="AC139" s="127">
        <f>VLOOKUP(C139,'Talente &amp; Stuff'!CL:DM,27,FALSE)</f>
        <v>0</v>
      </c>
      <c r="AD139" s="125">
        <f>VLOOKUP(C139,'Talente &amp; Stuff'!CL:DM,28,FALSE)</f>
        <v>0</v>
      </c>
      <c r="AE139" s="28"/>
    </row>
    <row r="140" spans="2:31" ht="15" hidden="1" customHeight="1" outlineLevel="2">
      <c r="B140" s="148">
        <v>13</v>
      </c>
      <c r="C140" s="177" t="str">
        <f>Attribute!C140</f>
        <v>---</v>
      </c>
      <c r="D140" s="125" t="str">
        <f>VLOOKUP(C140,'Talente &amp; Stuff'!CL:DM,2,FALSE)</f>
        <v>--/--/--</v>
      </c>
      <c r="E140" s="127" t="str">
        <f>VLOOKUP(C140,'Talente &amp; Stuff'!CL:DM,3,FALSE)</f>
        <v>-</v>
      </c>
      <c r="F140" s="114">
        <f>VLOOKUP(C140,'Talente &amp; Stuff'!CL:DM,4,FALSE)</f>
        <v>0</v>
      </c>
      <c r="G140" s="113">
        <f>VLOOKUP(C140,'Talente &amp; Stuff'!CL:DM,5,FALSE)</f>
        <v>0</v>
      </c>
      <c r="H140" s="113">
        <f>VLOOKUP(C140,'Talente &amp; Stuff'!CL:DM,6,FALSE)</f>
        <v>0</v>
      </c>
      <c r="I140" s="113">
        <f>VLOOKUP(C140,'Talente &amp; Stuff'!CL:DM,7,FALSE)</f>
        <v>0</v>
      </c>
      <c r="J140" s="113">
        <f>VLOOKUP(C140,'Talente &amp; Stuff'!CL:DM,8,FALSE)</f>
        <v>0</v>
      </c>
      <c r="K140" s="113">
        <f>VLOOKUP(C140,'Talente &amp; Stuff'!CL:DM,9,FALSE)</f>
        <v>0</v>
      </c>
      <c r="L140" s="113">
        <f>VLOOKUP(C140,'Talente &amp; Stuff'!CL:DM,10,FALSE)</f>
        <v>0</v>
      </c>
      <c r="M140" s="119">
        <f>VLOOKUP(C140,'Talente &amp; Stuff'!CL:DM,11,FALSE)</f>
        <v>0</v>
      </c>
      <c r="N140" s="47">
        <f>VLOOKUP(C140,'Talente &amp; Stuff'!CL:DM,12,FALSE)</f>
        <v>0</v>
      </c>
      <c r="O140" s="47">
        <f>VLOOKUP(C140,'Talente &amp; Stuff'!CL:DM,13,FALSE)</f>
        <v>0</v>
      </c>
      <c r="P140" s="119">
        <f>VLOOKUP(C140,'Talente &amp; Stuff'!CL:DM,14,FALSE)</f>
        <v>0</v>
      </c>
      <c r="Q140" s="114">
        <f>VLOOKUP(C140,'Talente &amp; Stuff'!CL:DM,15,FALSE)</f>
        <v>0</v>
      </c>
      <c r="R140" s="113">
        <f>VLOOKUP(C140,'Talente &amp; Stuff'!CL:DM,16,FALSE)</f>
        <v>0</v>
      </c>
      <c r="S140" s="119">
        <f>VLOOKUP(C140,'Talente &amp; Stuff'!CL:DM,17,FALSE)</f>
        <v>0</v>
      </c>
      <c r="T140" s="119">
        <f>VLOOKUP(C140,'Talente &amp; Stuff'!CL:DM,18,FALSE)</f>
        <v>0</v>
      </c>
      <c r="U140" s="89">
        <f>VLOOKUP(C140,'Talente &amp; Stuff'!CL:DM,19,FALSE)</f>
        <v>0</v>
      </c>
      <c r="V140" s="47">
        <f>VLOOKUP(C140,'Talente &amp; Stuff'!CL:DM,20,FALSE)</f>
        <v>0</v>
      </c>
      <c r="W140" s="127">
        <f>VLOOKUP(C140,'Talente &amp; Stuff'!CL:DM,21,FALSE)</f>
        <v>0</v>
      </c>
      <c r="X140" s="127">
        <f>VLOOKUP(C140,'Talente &amp; Stuff'!CL:DM,22,FALSE)</f>
        <v>0</v>
      </c>
      <c r="Y140" s="165">
        <f t="shared" si="14"/>
        <v>0</v>
      </c>
      <c r="Z140" s="44">
        <f t="shared" si="15"/>
        <v>0</v>
      </c>
      <c r="AA140" s="125">
        <f>VLOOKUP(C140,'Talente &amp; Stuff'!CL:DM,25,FALSE)</f>
        <v>0</v>
      </c>
      <c r="AB140" s="160">
        <f>VLOOKUP(C140,'Talente &amp; Stuff'!CL:DM,26,FALSE)</f>
        <v>0</v>
      </c>
      <c r="AC140" s="127">
        <f>VLOOKUP(C140,'Talente &amp; Stuff'!CL:DM,27,FALSE)</f>
        <v>0</v>
      </c>
      <c r="AD140" s="125">
        <f>VLOOKUP(C140,'Talente &amp; Stuff'!CL:DM,28,FALSE)</f>
        <v>0</v>
      </c>
      <c r="AE140" s="28"/>
    </row>
    <row r="141" spans="2:31" ht="15" hidden="1" customHeight="1" outlineLevel="2">
      <c r="B141" s="148">
        <v>14</v>
      </c>
      <c r="C141" s="177" t="str">
        <f>Attribute!C141</f>
        <v>---</v>
      </c>
      <c r="D141" s="125" t="str">
        <f>VLOOKUP(C141,'Talente &amp; Stuff'!CL:DM,2,FALSE)</f>
        <v>--/--/--</v>
      </c>
      <c r="E141" s="127" t="str">
        <f>VLOOKUP(C141,'Talente &amp; Stuff'!CL:DM,3,FALSE)</f>
        <v>-</v>
      </c>
      <c r="F141" s="114">
        <f>VLOOKUP(C141,'Talente &amp; Stuff'!CL:DM,4,FALSE)</f>
        <v>0</v>
      </c>
      <c r="G141" s="113">
        <f>VLOOKUP(C141,'Talente &amp; Stuff'!CL:DM,5,FALSE)</f>
        <v>0</v>
      </c>
      <c r="H141" s="113">
        <f>VLOOKUP(C141,'Talente &amp; Stuff'!CL:DM,6,FALSE)</f>
        <v>0</v>
      </c>
      <c r="I141" s="113">
        <f>VLOOKUP(C141,'Talente &amp; Stuff'!CL:DM,7,FALSE)</f>
        <v>0</v>
      </c>
      <c r="J141" s="113">
        <f>VLOOKUP(C141,'Talente &amp; Stuff'!CL:DM,8,FALSE)</f>
        <v>0</v>
      </c>
      <c r="K141" s="113">
        <f>VLOOKUP(C141,'Talente &amp; Stuff'!CL:DM,9,FALSE)</f>
        <v>0</v>
      </c>
      <c r="L141" s="113">
        <f>VLOOKUP(C141,'Talente &amp; Stuff'!CL:DM,10,FALSE)</f>
        <v>0</v>
      </c>
      <c r="M141" s="119">
        <f>VLOOKUP(C141,'Talente &amp; Stuff'!CL:DM,11,FALSE)</f>
        <v>0</v>
      </c>
      <c r="N141" s="47">
        <f>VLOOKUP(C141,'Talente &amp; Stuff'!CL:DM,12,FALSE)</f>
        <v>0</v>
      </c>
      <c r="O141" s="47">
        <f>VLOOKUP(C141,'Talente &amp; Stuff'!CL:DM,13,FALSE)</f>
        <v>0</v>
      </c>
      <c r="P141" s="119">
        <f>VLOOKUP(C141,'Talente &amp; Stuff'!CL:DM,14,FALSE)</f>
        <v>0</v>
      </c>
      <c r="Q141" s="114">
        <f>VLOOKUP(C141,'Talente &amp; Stuff'!CL:DM,15,FALSE)</f>
        <v>0</v>
      </c>
      <c r="R141" s="113">
        <f>VLOOKUP(C141,'Talente &amp; Stuff'!CL:DM,16,FALSE)</f>
        <v>0</v>
      </c>
      <c r="S141" s="119">
        <f>VLOOKUP(C141,'Talente &amp; Stuff'!CL:DM,17,FALSE)</f>
        <v>0</v>
      </c>
      <c r="T141" s="119">
        <f>VLOOKUP(C141,'Talente &amp; Stuff'!CL:DM,18,FALSE)</f>
        <v>0</v>
      </c>
      <c r="U141" s="89">
        <f>VLOOKUP(C141,'Talente &amp; Stuff'!CL:DM,19,FALSE)</f>
        <v>0</v>
      </c>
      <c r="V141" s="47">
        <f>VLOOKUP(C141,'Talente &amp; Stuff'!CL:DM,20,FALSE)</f>
        <v>0</v>
      </c>
      <c r="W141" s="127">
        <f>VLOOKUP(C141,'Talente &amp; Stuff'!CL:DM,21,FALSE)</f>
        <v>0</v>
      </c>
      <c r="X141" s="127">
        <f>VLOOKUP(C141,'Talente &amp; Stuff'!CL:DM,22,FALSE)</f>
        <v>0</v>
      </c>
      <c r="Y141" s="165">
        <f t="shared" si="14"/>
        <v>0</v>
      </c>
      <c r="Z141" s="44">
        <f t="shared" si="15"/>
        <v>0</v>
      </c>
      <c r="AA141" s="125">
        <f>VLOOKUP(C141,'Talente &amp; Stuff'!CL:DM,25,FALSE)</f>
        <v>0</v>
      </c>
      <c r="AB141" s="160">
        <f>VLOOKUP(C141,'Talente &amp; Stuff'!CL:DM,26,FALSE)</f>
        <v>0</v>
      </c>
      <c r="AC141" s="127">
        <f>VLOOKUP(C141,'Talente &amp; Stuff'!CL:DM,27,FALSE)</f>
        <v>0</v>
      </c>
      <c r="AD141" s="125">
        <f>VLOOKUP(C141,'Talente &amp; Stuff'!CL:DM,28,FALSE)</f>
        <v>0</v>
      </c>
      <c r="AE141" s="28"/>
    </row>
    <row r="142" spans="2:31" ht="15" hidden="1" customHeight="1" outlineLevel="2">
      <c r="B142" s="148">
        <v>15</v>
      </c>
      <c r="C142" s="177" t="str">
        <f>Attribute!C142</f>
        <v>---</v>
      </c>
      <c r="D142" s="125" t="str">
        <f>VLOOKUP(C142,'Talente &amp; Stuff'!CL:DM,2,FALSE)</f>
        <v>--/--/--</v>
      </c>
      <c r="E142" s="127" t="str">
        <f>VLOOKUP(C142,'Talente &amp; Stuff'!CL:DM,3,FALSE)</f>
        <v>-</v>
      </c>
      <c r="F142" s="114">
        <f>VLOOKUP(C142,'Talente &amp; Stuff'!CL:DM,4,FALSE)</f>
        <v>0</v>
      </c>
      <c r="G142" s="113">
        <f>VLOOKUP(C142,'Talente &amp; Stuff'!CL:DM,5,FALSE)</f>
        <v>0</v>
      </c>
      <c r="H142" s="113">
        <f>VLOOKUP(C142,'Talente &amp; Stuff'!CL:DM,6,FALSE)</f>
        <v>0</v>
      </c>
      <c r="I142" s="113">
        <f>VLOOKUP(C142,'Talente &amp; Stuff'!CL:DM,7,FALSE)</f>
        <v>0</v>
      </c>
      <c r="J142" s="113">
        <f>VLOOKUP(C142,'Talente &amp; Stuff'!CL:DM,8,FALSE)</f>
        <v>0</v>
      </c>
      <c r="K142" s="113">
        <f>VLOOKUP(C142,'Talente &amp; Stuff'!CL:DM,9,FALSE)</f>
        <v>0</v>
      </c>
      <c r="L142" s="113">
        <f>VLOOKUP(C142,'Talente &amp; Stuff'!CL:DM,10,FALSE)</f>
        <v>0</v>
      </c>
      <c r="M142" s="119">
        <f>VLOOKUP(C142,'Talente &amp; Stuff'!CL:DM,11,FALSE)</f>
        <v>0</v>
      </c>
      <c r="N142" s="47">
        <f>VLOOKUP(C142,'Talente &amp; Stuff'!CL:DM,12,FALSE)</f>
        <v>0</v>
      </c>
      <c r="O142" s="47">
        <f>VLOOKUP(C142,'Talente &amp; Stuff'!CL:DM,13,FALSE)</f>
        <v>0</v>
      </c>
      <c r="P142" s="119">
        <f>VLOOKUP(C142,'Talente &amp; Stuff'!CL:DM,14,FALSE)</f>
        <v>0</v>
      </c>
      <c r="Q142" s="114">
        <f>VLOOKUP(C142,'Talente &amp; Stuff'!CL:DM,15,FALSE)</f>
        <v>0</v>
      </c>
      <c r="R142" s="113">
        <f>VLOOKUP(C142,'Talente &amp; Stuff'!CL:DM,16,FALSE)</f>
        <v>0</v>
      </c>
      <c r="S142" s="119">
        <f>VLOOKUP(C142,'Talente &amp; Stuff'!CL:DM,17,FALSE)</f>
        <v>0</v>
      </c>
      <c r="T142" s="119">
        <f>VLOOKUP(C142,'Talente &amp; Stuff'!CL:DM,18,FALSE)</f>
        <v>0</v>
      </c>
      <c r="U142" s="89">
        <f>VLOOKUP(C142,'Talente &amp; Stuff'!CL:DM,19,FALSE)</f>
        <v>0</v>
      </c>
      <c r="V142" s="47">
        <f>VLOOKUP(C142,'Talente &amp; Stuff'!CL:DM,20,FALSE)</f>
        <v>0</v>
      </c>
      <c r="W142" s="127">
        <f>VLOOKUP(C142,'Talente &amp; Stuff'!CL:DM,21,FALSE)</f>
        <v>0</v>
      </c>
      <c r="X142" s="127">
        <f>VLOOKUP(C142,'Talente &amp; Stuff'!CL:DM,22,FALSE)</f>
        <v>0</v>
      </c>
      <c r="Y142" s="165">
        <f t="shared" si="14"/>
        <v>0</v>
      </c>
      <c r="Z142" s="44">
        <f t="shared" si="15"/>
        <v>0</v>
      </c>
      <c r="AA142" s="125">
        <f>VLOOKUP(C142,'Talente &amp; Stuff'!CL:DM,25,FALSE)</f>
        <v>0</v>
      </c>
      <c r="AB142" s="160">
        <f>VLOOKUP(C142,'Talente &amp; Stuff'!CL:DM,26,FALSE)</f>
        <v>0</v>
      </c>
      <c r="AC142" s="127">
        <f>VLOOKUP(C142,'Talente &amp; Stuff'!CL:DM,27,FALSE)</f>
        <v>0</v>
      </c>
      <c r="AD142" s="125">
        <f>VLOOKUP(C142,'Talente &amp; Stuff'!CL:DM,28,FALSE)</f>
        <v>0</v>
      </c>
      <c r="AE142" s="28"/>
    </row>
    <row r="143" spans="2:31" ht="15" hidden="1" customHeight="1" outlineLevel="2">
      <c r="B143" s="148">
        <v>16</v>
      </c>
      <c r="C143" s="177" t="str">
        <f>Attribute!C143</f>
        <v>---</v>
      </c>
      <c r="D143" s="86" t="str">
        <f>VLOOKUP(C143,'Talente &amp; Stuff'!CL:DM,2,FALSE)</f>
        <v>--/--/--</v>
      </c>
      <c r="E143" s="167" t="str">
        <f>VLOOKUP(C143,'Talente &amp; Stuff'!CL:DM,3,FALSE)</f>
        <v>-</v>
      </c>
      <c r="F143" s="120">
        <f>VLOOKUP(C143,'Talente &amp; Stuff'!CL:DM,4,FALSE)</f>
        <v>0</v>
      </c>
      <c r="G143" s="117">
        <f>VLOOKUP(C143,'Talente &amp; Stuff'!CL:DM,5,FALSE)</f>
        <v>0</v>
      </c>
      <c r="H143" s="117">
        <f>VLOOKUP(C143,'Talente &amp; Stuff'!CL:DM,6,FALSE)</f>
        <v>0</v>
      </c>
      <c r="I143" s="117">
        <f>VLOOKUP(C143,'Talente &amp; Stuff'!CL:DM,7,FALSE)</f>
        <v>0</v>
      </c>
      <c r="J143" s="117">
        <f>VLOOKUP(C143,'Talente &amp; Stuff'!CL:DM,8,FALSE)</f>
        <v>0</v>
      </c>
      <c r="K143" s="117">
        <f>VLOOKUP(C143,'Talente &amp; Stuff'!CL:DM,9,FALSE)</f>
        <v>0</v>
      </c>
      <c r="L143" s="117">
        <f>VLOOKUP(C143,'Talente &amp; Stuff'!CL:DM,10,FALSE)</f>
        <v>0</v>
      </c>
      <c r="M143" s="121">
        <f>VLOOKUP(C143,'Talente &amp; Stuff'!CL:DM,11,FALSE)</f>
        <v>0</v>
      </c>
      <c r="N143" s="47">
        <f>VLOOKUP(C143,'Talente &amp; Stuff'!CL:DM,12,FALSE)</f>
        <v>0</v>
      </c>
      <c r="O143" s="3">
        <f>VLOOKUP(C143,'Talente &amp; Stuff'!CL:DM,13,FALSE)</f>
        <v>0</v>
      </c>
      <c r="P143" s="174">
        <f>VLOOKUP(C143,'Talente &amp; Stuff'!CL:DM,14,FALSE)</f>
        <v>0</v>
      </c>
      <c r="Q143" s="114">
        <f>VLOOKUP(C143,'Talente &amp; Stuff'!CL:DM,15,FALSE)</f>
        <v>0</v>
      </c>
      <c r="R143" s="117">
        <f>VLOOKUP(C143,'Talente &amp; Stuff'!CL:DM,16,FALSE)</f>
        <v>0</v>
      </c>
      <c r="S143" s="119">
        <f>VLOOKUP(C143,'Talente &amp; Stuff'!CL:DM,17,FALSE)</f>
        <v>0</v>
      </c>
      <c r="T143" s="119">
        <f>VLOOKUP(C143,'Talente &amp; Stuff'!CL:DM,18,FALSE)</f>
        <v>0</v>
      </c>
      <c r="U143" s="89">
        <f>VLOOKUP(C143,'Talente &amp; Stuff'!CL:DM,19,FALSE)</f>
        <v>0</v>
      </c>
      <c r="V143" s="47">
        <f>VLOOKUP(C143,'Talente &amp; Stuff'!CL:DM,20,FALSE)</f>
        <v>0</v>
      </c>
      <c r="W143" s="127">
        <f>VLOOKUP(C143,'Talente &amp; Stuff'!CL:DM,21,FALSE)</f>
        <v>0</v>
      </c>
      <c r="X143" s="127">
        <f>VLOOKUP(C143,'Talente &amp; Stuff'!CL:DM,22,FALSE)</f>
        <v>0</v>
      </c>
      <c r="Y143" s="165">
        <f t="shared" si="14"/>
        <v>0</v>
      </c>
      <c r="Z143" s="44">
        <f t="shared" si="15"/>
        <v>0</v>
      </c>
      <c r="AA143" s="125">
        <f>VLOOKUP(C143,'Talente &amp; Stuff'!CL:DM,25,FALSE)</f>
        <v>0</v>
      </c>
      <c r="AB143" s="160">
        <f>VLOOKUP(C143,'Talente &amp; Stuff'!CL:DM,26,FALSE)</f>
        <v>0</v>
      </c>
      <c r="AC143" s="127">
        <f>VLOOKUP(C143,'Talente &amp; Stuff'!CL:DM,27,FALSE)</f>
        <v>0</v>
      </c>
      <c r="AD143" s="125">
        <f>VLOOKUP(C143,'Talente &amp; Stuff'!CL:DM,28,FALSE)</f>
        <v>0</v>
      </c>
      <c r="AE143" s="28"/>
    </row>
    <row r="144" spans="2:31" ht="15" hidden="1" customHeight="1" outlineLevel="2">
      <c r="B144" s="148">
        <v>17</v>
      </c>
      <c r="C144" s="177" t="str">
        <f>Attribute!C144</f>
        <v>---</v>
      </c>
      <c r="D144" s="125" t="str">
        <f>VLOOKUP(C144,'Talente &amp; Stuff'!CL:DM,2,FALSE)</f>
        <v>--/--/--</v>
      </c>
      <c r="E144" s="127" t="str">
        <f>VLOOKUP(C144,'Talente &amp; Stuff'!CL:DM,3,FALSE)</f>
        <v>-</v>
      </c>
      <c r="F144" s="114">
        <f>VLOOKUP(C144,'Talente &amp; Stuff'!CL:DM,4,FALSE)</f>
        <v>0</v>
      </c>
      <c r="G144" s="113">
        <f>VLOOKUP(C144,'Talente &amp; Stuff'!CL:DM,5,FALSE)</f>
        <v>0</v>
      </c>
      <c r="H144" s="113">
        <f>VLOOKUP(C144,'Talente &amp; Stuff'!CL:DM,6,FALSE)</f>
        <v>0</v>
      </c>
      <c r="I144" s="113">
        <f>VLOOKUP(C144,'Talente &amp; Stuff'!CL:DM,7,FALSE)</f>
        <v>0</v>
      </c>
      <c r="J144" s="113">
        <f>VLOOKUP(C144,'Talente &amp; Stuff'!CL:DM,8,FALSE)</f>
        <v>0</v>
      </c>
      <c r="K144" s="113">
        <f>VLOOKUP(C144,'Talente &amp; Stuff'!CL:DM,9,FALSE)</f>
        <v>0</v>
      </c>
      <c r="L144" s="113">
        <f>VLOOKUP(C144,'Talente &amp; Stuff'!CL:DM,10,FALSE)</f>
        <v>0</v>
      </c>
      <c r="M144" s="119">
        <f>VLOOKUP(C144,'Talente &amp; Stuff'!CL:DM,11,FALSE)</f>
        <v>0</v>
      </c>
      <c r="N144" s="47">
        <f>VLOOKUP(C144,'Talente &amp; Stuff'!CL:DM,12,FALSE)</f>
        <v>0</v>
      </c>
      <c r="O144" s="47">
        <f>VLOOKUP(C144,'Talente &amp; Stuff'!CL:DM,13,FALSE)</f>
        <v>0</v>
      </c>
      <c r="P144" s="119">
        <f>VLOOKUP(C144,'Talente &amp; Stuff'!CL:DM,14,FALSE)</f>
        <v>0</v>
      </c>
      <c r="Q144" s="114">
        <f>VLOOKUP(C144,'Talente &amp; Stuff'!CL:DM,15,FALSE)</f>
        <v>0</v>
      </c>
      <c r="R144" s="113">
        <f>VLOOKUP(C144,'Talente &amp; Stuff'!CL:DM,16,FALSE)</f>
        <v>0</v>
      </c>
      <c r="S144" s="119">
        <f>VLOOKUP(C144,'Talente &amp; Stuff'!CL:DM,17,FALSE)</f>
        <v>0</v>
      </c>
      <c r="T144" s="119">
        <f>VLOOKUP(C144,'Talente &amp; Stuff'!CL:DM,18,FALSE)</f>
        <v>0</v>
      </c>
      <c r="U144" s="89">
        <f>VLOOKUP(C144,'Talente &amp; Stuff'!CL:DM,19,FALSE)</f>
        <v>0</v>
      </c>
      <c r="V144" s="47">
        <f>VLOOKUP(C144,'Talente &amp; Stuff'!CL:DM,20,FALSE)</f>
        <v>0</v>
      </c>
      <c r="W144" s="127">
        <f>VLOOKUP(C144,'Talente &amp; Stuff'!CL:DM,21,FALSE)</f>
        <v>0</v>
      </c>
      <c r="X144" s="127">
        <f>VLOOKUP(C144,'Talente &amp; Stuff'!CL:DM,22,FALSE)</f>
        <v>0</v>
      </c>
      <c r="Y144" s="165">
        <f t="shared" si="14"/>
        <v>0</v>
      </c>
      <c r="Z144" s="44">
        <f t="shared" si="15"/>
        <v>0</v>
      </c>
      <c r="AA144" s="125">
        <f>VLOOKUP(C144,'Talente &amp; Stuff'!CL:DM,25,FALSE)</f>
        <v>0</v>
      </c>
      <c r="AB144" s="160">
        <f>VLOOKUP(C144,'Talente &amp; Stuff'!CL:DM,26,FALSE)</f>
        <v>0</v>
      </c>
      <c r="AC144" s="127">
        <f>VLOOKUP(C144,'Talente &amp; Stuff'!CL:DM,27,FALSE)</f>
        <v>0</v>
      </c>
      <c r="AD144" s="125">
        <f>VLOOKUP(C144,'Talente &amp; Stuff'!CL:DM,28,FALSE)</f>
        <v>0</v>
      </c>
      <c r="AE144" s="28"/>
    </row>
    <row r="145" spans="2:31" ht="15" hidden="1" customHeight="1" outlineLevel="2">
      <c r="B145" s="148">
        <v>18</v>
      </c>
      <c r="C145" s="177" t="str">
        <f>Attribute!C145</f>
        <v>---</v>
      </c>
      <c r="D145" s="125" t="str">
        <f>VLOOKUP(C145,'Talente &amp; Stuff'!CL:DM,2,FALSE)</f>
        <v>--/--/--</v>
      </c>
      <c r="E145" s="127" t="str">
        <f>VLOOKUP(C145,'Talente &amp; Stuff'!CL:DM,3,FALSE)</f>
        <v>-</v>
      </c>
      <c r="F145" s="114">
        <f>VLOOKUP(C145,'Talente &amp; Stuff'!CL:DM,4,FALSE)</f>
        <v>0</v>
      </c>
      <c r="G145" s="113">
        <f>VLOOKUP(C145,'Talente &amp; Stuff'!CL:DM,5,FALSE)</f>
        <v>0</v>
      </c>
      <c r="H145" s="113">
        <f>VLOOKUP(C145,'Talente &amp; Stuff'!CL:DM,6,FALSE)</f>
        <v>0</v>
      </c>
      <c r="I145" s="113">
        <f>VLOOKUP(C145,'Talente &amp; Stuff'!CL:DM,7,FALSE)</f>
        <v>0</v>
      </c>
      <c r="J145" s="113">
        <f>VLOOKUP(C145,'Talente &amp; Stuff'!CL:DM,8,FALSE)</f>
        <v>0</v>
      </c>
      <c r="K145" s="113">
        <f>VLOOKUP(C145,'Talente &amp; Stuff'!CL:DM,9,FALSE)</f>
        <v>0</v>
      </c>
      <c r="L145" s="113">
        <f>VLOOKUP(C145,'Talente &amp; Stuff'!CL:DM,10,FALSE)</f>
        <v>0</v>
      </c>
      <c r="M145" s="119">
        <f>VLOOKUP(C145,'Talente &amp; Stuff'!CL:DM,11,FALSE)</f>
        <v>0</v>
      </c>
      <c r="N145" s="47">
        <f>VLOOKUP(C145,'Talente &amp; Stuff'!CL:DM,12,FALSE)</f>
        <v>0</v>
      </c>
      <c r="O145" s="47">
        <f>VLOOKUP(C145,'Talente &amp; Stuff'!CL:DM,13,FALSE)</f>
        <v>0</v>
      </c>
      <c r="P145" s="119">
        <f>VLOOKUP(C145,'Talente &amp; Stuff'!CL:DM,14,FALSE)</f>
        <v>0</v>
      </c>
      <c r="Q145" s="114">
        <f>VLOOKUP(C145,'Talente &amp; Stuff'!CL:DM,15,FALSE)</f>
        <v>0</v>
      </c>
      <c r="R145" s="113">
        <f>VLOOKUP(C145,'Talente &amp; Stuff'!CL:DM,16,FALSE)</f>
        <v>0</v>
      </c>
      <c r="S145" s="119">
        <f>VLOOKUP(C145,'Talente &amp; Stuff'!CL:DM,17,FALSE)</f>
        <v>0</v>
      </c>
      <c r="T145" s="119">
        <f>VLOOKUP(C145,'Talente &amp; Stuff'!CL:DM,18,FALSE)</f>
        <v>0</v>
      </c>
      <c r="U145" s="89">
        <f>VLOOKUP(C145,'Talente &amp; Stuff'!CL:DM,19,FALSE)</f>
        <v>0</v>
      </c>
      <c r="V145" s="47">
        <f>VLOOKUP(C145,'Talente &amp; Stuff'!CL:DM,20,FALSE)</f>
        <v>0</v>
      </c>
      <c r="W145" s="127">
        <f>VLOOKUP(C145,'Talente &amp; Stuff'!CL:DM,21,FALSE)</f>
        <v>0</v>
      </c>
      <c r="X145" s="127">
        <f>VLOOKUP(C145,'Talente &amp; Stuff'!CL:DM,22,FALSE)</f>
        <v>0</v>
      </c>
      <c r="Y145" s="165">
        <f t="shared" si="14"/>
        <v>0</v>
      </c>
      <c r="Z145" s="44">
        <f t="shared" si="15"/>
        <v>0</v>
      </c>
      <c r="AA145" s="125">
        <f>VLOOKUP(C145,'Talente &amp; Stuff'!CL:DM,25,FALSE)</f>
        <v>0</v>
      </c>
      <c r="AB145" s="160">
        <f>VLOOKUP(C145,'Talente &amp; Stuff'!CL:DM,26,FALSE)</f>
        <v>0</v>
      </c>
      <c r="AC145" s="127">
        <f>VLOOKUP(C145,'Talente &amp; Stuff'!CL:DM,27,FALSE)</f>
        <v>0</v>
      </c>
      <c r="AD145" s="125">
        <f>VLOOKUP(C145,'Talente &amp; Stuff'!CL:DM,28,FALSE)</f>
        <v>0</v>
      </c>
      <c r="AE145" s="28"/>
    </row>
    <row r="146" spans="2:31" ht="15" hidden="1" customHeight="1" outlineLevel="2">
      <c r="B146" s="148">
        <v>19</v>
      </c>
      <c r="C146" s="177" t="str">
        <f>Attribute!C146</f>
        <v>---</v>
      </c>
      <c r="D146" s="125" t="str">
        <f>VLOOKUP(C146,'Talente &amp; Stuff'!CL:DM,2,FALSE)</f>
        <v>--/--/--</v>
      </c>
      <c r="E146" s="127" t="str">
        <f>VLOOKUP(C146,'Talente &amp; Stuff'!CL:DM,3,FALSE)</f>
        <v>-</v>
      </c>
      <c r="F146" s="114">
        <f>VLOOKUP(C146,'Talente &amp; Stuff'!CL:DM,4,FALSE)</f>
        <v>0</v>
      </c>
      <c r="G146" s="113">
        <f>VLOOKUP(C146,'Talente &amp; Stuff'!CL:DM,5,FALSE)</f>
        <v>0</v>
      </c>
      <c r="H146" s="113">
        <f>VLOOKUP(C146,'Talente &amp; Stuff'!CL:DM,6,FALSE)</f>
        <v>0</v>
      </c>
      <c r="I146" s="113">
        <f>VLOOKUP(C146,'Talente &amp; Stuff'!CL:DM,7,FALSE)</f>
        <v>0</v>
      </c>
      <c r="J146" s="113">
        <f>VLOOKUP(C146,'Talente &amp; Stuff'!CL:DM,8,FALSE)</f>
        <v>0</v>
      </c>
      <c r="K146" s="113">
        <f>VLOOKUP(C146,'Talente &amp; Stuff'!CL:DM,9,FALSE)</f>
        <v>0</v>
      </c>
      <c r="L146" s="113">
        <f>VLOOKUP(C146,'Talente &amp; Stuff'!CL:DM,10,FALSE)</f>
        <v>0</v>
      </c>
      <c r="M146" s="119">
        <f>VLOOKUP(C146,'Talente &amp; Stuff'!CL:DM,11,FALSE)</f>
        <v>0</v>
      </c>
      <c r="N146" s="47">
        <f>VLOOKUP(C146,'Talente &amp; Stuff'!CL:DM,12,FALSE)</f>
        <v>0</v>
      </c>
      <c r="O146" s="47">
        <f>VLOOKUP(C146,'Talente &amp; Stuff'!CL:DM,13,FALSE)</f>
        <v>0</v>
      </c>
      <c r="P146" s="119">
        <f>VLOOKUP(C146,'Talente &amp; Stuff'!CL:DM,14,FALSE)</f>
        <v>0</v>
      </c>
      <c r="Q146" s="114">
        <f>VLOOKUP(C146,'Talente &amp; Stuff'!CL:DM,15,FALSE)</f>
        <v>0</v>
      </c>
      <c r="R146" s="113">
        <f>VLOOKUP(C146,'Talente &amp; Stuff'!CL:DM,16,FALSE)</f>
        <v>0</v>
      </c>
      <c r="S146" s="119">
        <f>VLOOKUP(C146,'Talente &amp; Stuff'!CL:DM,17,FALSE)</f>
        <v>0</v>
      </c>
      <c r="T146" s="119">
        <f>VLOOKUP(C146,'Talente &amp; Stuff'!CL:DM,18,FALSE)</f>
        <v>0</v>
      </c>
      <c r="U146" s="89">
        <f>VLOOKUP(C146,'Talente &amp; Stuff'!CL:DM,19,FALSE)</f>
        <v>0</v>
      </c>
      <c r="V146" s="47">
        <f>VLOOKUP(C146,'Talente &amp; Stuff'!CL:DM,20,FALSE)</f>
        <v>0</v>
      </c>
      <c r="W146" s="127">
        <f>VLOOKUP(C146,'Talente &amp; Stuff'!CL:DM,21,FALSE)</f>
        <v>0</v>
      </c>
      <c r="X146" s="127">
        <f>VLOOKUP(C146,'Talente &amp; Stuff'!CL:DM,22,FALSE)</f>
        <v>0</v>
      </c>
      <c r="Y146" s="165">
        <f t="shared" si="14"/>
        <v>0</v>
      </c>
      <c r="Z146" s="44">
        <f t="shared" si="15"/>
        <v>0</v>
      </c>
      <c r="AA146" s="125">
        <f>VLOOKUP(C146,'Talente &amp; Stuff'!CL:DM,25,FALSE)</f>
        <v>0</v>
      </c>
      <c r="AB146" s="160">
        <f>VLOOKUP(C146,'Talente &amp; Stuff'!CL:DM,26,FALSE)</f>
        <v>0</v>
      </c>
      <c r="AC146" s="127">
        <f>VLOOKUP(C146,'Talente &amp; Stuff'!CL:DM,27,FALSE)</f>
        <v>0</v>
      </c>
      <c r="AD146" s="125">
        <f>VLOOKUP(C146,'Talente &amp; Stuff'!CL:DM,28,FALSE)</f>
        <v>0</v>
      </c>
      <c r="AE146" s="28"/>
    </row>
    <row r="147" spans="2:31" ht="15" hidden="1" customHeight="1" outlineLevel="2">
      <c r="B147" s="148">
        <v>20</v>
      </c>
      <c r="C147" s="177" t="str">
        <f>Attribute!C147</f>
        <v>---</v>
      </c>
      <c r="D147" s="125" t="str">
        <f>VLOOKUP(C147,'Talente &amp; Stuff'!CL:DM,2,FALSE)</f>
        <v>--/--/--</v>
      </c>
      <c r="E147" s="127" t="str">
        <f>VLOOKUP(C147,'Talente &amp; Stuff'!CL:DM,3,FALSE)</f>
        <v>-</v>
      </c>
      <c r="F147" s="114">
        <f>VLOOKUP(C147,'Talente &amp; Stuff'!CL:DM,4,FALSE)</f>
        <v>0</v>
      </c>
      <c r="G147" s="113">
        <f>VLOOKUP(C147,'Talente &amp; Stuff'!CL:DM,5,FALSE)</f>
        <v>0</v>
      </c>
      <c r="H147" s="113">
        <f>VLOOKUP(C147,'Talente &amp; Stuff'!CL:DM,6,FALSE)</f>
        <v>0</v>
      </c>
      <c r="I147" s="113">
        <f>VLOOKUP(C147,'Talente &amp; Stuff'!CL:DM,7,FALSE)</f>
        <v>0</v>
      </c>
      <c r="J147" s="113">
        <f>VLOOKUP(C147,'Talente &amp; Stuff'!CL:DM,8,FALSE)</f>
        <v>0</v>
      </c>
      <c r="K147" s="113">
        <f>VLOOKUP(C147,'Talente &amp; Stuff'!CL:DM,9,FALSE)</f>
        <v>0</v>
      </c>
      <c r="L147" s="113">
        <f>VLOOKUP(C147,'Talente &amp; Stuff'!CL:DM,10,FALSE)</f>
        <v>0</v>
      </c>
      <c r="M147" s="119">
        <f>VLOOKUP(C147,'Talente &amp; Stuff'!CL:DM,11,FALSE)</f>
        <v>0</v>
      </c>
      <c r="N147" s="47">
        <f>VLOOKUP(C147,'Talente &amp; Stuff'!CL:DM,12,FALSE)</f>
        <v>0</v>
      </c>
      <c r="O147" s="47">
        <f>VLOOKUP(C147,'Talente &amp; Stuff'!CL:DM,13,FALSE)</f>
        <v>0</v>
      </c>
      <c r="P147" s="119">
        <f>VLOOKUP(C147,'Talente &amp; Stuff'!CL:DM,14,FALSE)</f>
        <v>0</v>
      </c>
      <c r="Q147" s="114">
        <f>VLOOKUP(C147,'Talente &amp; Stuff'!CL:DM,15,FALSE)</f>
        <v>0</v>
      </c>
      <c r="R147" s="113">
        <f>VLOOKUP(C147,'Talente &amp; Stuff'!CL:DM,16,FALSE)</f>
        <v>0</v>
      </c>
      <c r="S147" s="119">
        <f>VLOOKUP(C147,'Talente &amp; Stuff'!CL:DM,17,FALSE)</f>
        <v>0</v>
      </c>
      <c r="T147" s="119">
        <f>VLOOKUP(C147,'Talente &amp; Stuff'!CL:DM,18,FALSE)</f>
        <v>0</v>
      </c>
      <c r="U147" s="89">
        <f>VLOOKUP(C147,'Talente &amp; Stuff'!CL:DM,19,FALSE)</f>
        <v>0</v>
      </c>
      <c r="V147" s="47">
        <f>VLOOKUP(C147,'Talente &amp; Stuff'!CL:DM,20,FALSE)</f>
        <v>0</v>
      </c>
      <c r="W147" s="127">
        <f>VLOOKUP(C147,'Talente &amp; Stuff'!CL:DM,21,FALSE)</f>
        <v>0</v>
      </c>
      <c r="X147" s="127">
        <f>VLOOKUP(C147,'Talente &amp; Stuff'!CL:DM,22,FALSE)</f>
        <v>0</v>
      </c>
      <c r="Y147" s="165">
        <f t="shared" si="14"/>
        <v>0</v>
      </c>
      <c r="Z147" s="44">
        <f t="shared" si="15"/>
        <v>0</v>
      </c>
      <c r="AA147" s="125">
        <f>VLOOKUP(C147,'Talente &amp; Stuff'!CL:DM,25,FALSE)</f>
        <v>0</v>
      </c>
      <c r="AB147" s="160">
        <f>VLOOKUP(C147,'Talente &amp; Stuff'!CL:DM,26,FALSE)</f>
        <v>0</v>
      </c>
      <c r="AC147" s="127">
        <f>VLOOKUP(C147,'Talente &amp; Stuff'!CL:DM,27,FALSE)</f>
        <v>0</v>
      </c>
      <c r="AD147" s="125">
        <f>VLOOKUP(C147,'Talente &amp; Stuff'!CL:DM,28,FALSE)</f>
        <v>0</v>
      </c>
      <c r="AE147" s="28"/>
    </row>
    <row r="148" spans="2:31" ht="15" hidden="1" customHeight="1" outlineLevel="2">
      <c r="B148" s="148">
        <v>21</v>
      </c>
      <c r="C148" s="177" t="str">
        <f>Attribute!C148</f>
        <v>---</v>
      </c>
      <c r="D148" s="125" t="str">
        <f>VLOOKUP(C148,'Talente &amp; Stuff'!CL:DM,2,FALSE)</f>
        <v>--/--/--</v>
      </c>
      <c r="E148" s="127" t="str">
        <f>VLOOKUP(C148,'Talente &amp; Stuff'!CL:DM,3,FALSE)</f>
        <v>-</v>
      </c>
      <c r="F148" s="114">
        <f>VLOOKUP(C148,'Talente &amp; Stuff'!CL:DM,4,FALSE)</f>
        <v>0</v>
      </c>
      <c r="G148" s="113">
        <f>VLOOKUP(C148,'Talente &amp; Stuff'!CL:DM,5,FALSE)</f>
        <v>0</v>
      </c>
      <c r="H148" s="113">
        <f>VLOOKUP(C148,'Talente &amp; Stuff'!CL:DM,6,FALSE)</f>
        <v>0</v>
      </c>
      <c r="I148" s="113">
        <f>VLOOKUP(C148,'Talente &amp; Stuff'!CL:DM,7,FALSE)</f>
        <v>0</v>
      </c>
      <c r="J148" s="113">
        <f>VLOOKUP(C148,'Talente &amp; Stuff'!CL:DM,8,FALSE)</f>
        <v>0</v>
      </c>
      <c r="K148" s="113">
        <f>VLOOKUP(C148,'Talente &amp; Stuff'!CL:DM,9,FALSE)</f>
        <v>0</v>
      </c>
      <c r="L148" s="113">
        <f>VLOOKUP(C148,'Talente &amp; Stuff'!CL:DM,10,FALSE)</f>
        <v>0</v>
      </c>
      <c r="M148" s="119">
        <f>VLOOKUP(C148,'Talente &amp; Stuff'!CL:DM,11,FALSE)</f>
        <v>0</v>
      </c>
      <c r="N148" s="47">
        <f>VLOOKUP(C148,'Talente &amp; Stuff'!CL:DM,12,FALSE)</f>
        <v>0</v>
      </c>
      <c r="O148" s="47">
        <f>VLOOKUP(C148,'Talente &amp; Stuff'!CL:DM,13,FALSE)</f>
        <v>0</v>
      </c>
      <c r="P148" s="119">
        <f>VLOOKUP(C148,'Talente &amp; Stuff'!CL:DM,14,FALSE)</f>
        <v>0</v>
      </c>
      <c r="Q148" s="114">
        <f>VLOOKUP(C148,'Talente &amp; Stuff'!CL:DM,15,FALSE)</f>
        <v>0</v>
      </c>
      <c r="R148" s="113">
        <f>VLOOKUP(C148,'Talente &amp; Stuff'!CL:DM,16,FALSE)</f>
        <v>0</v>
      </c>
      <c r="S148" s="119">
        <f>VLOOKUP(C148,'Talente &amp; Stuff'!CL:DM,17,FALSE)</f>
        <v>0</v>
      </c>
      <c r="T148" s="119">
        <f>VLOOKUP(C148,'Talente &amp; Stuff'!CL:DM,18,FALSE)</f>
        <v>0</v>
      </c>
      <c r="U148" s="89">
        <f>VLOOKUP(C148,'Talente &amp; Stuff'!CL:DM,19,FALSE)</f>
        <v>0</v>
      </c>
      <c r="V148" s="47">
        <f>VLOOKUP(C148,'Talente &amp; Stuff'!CL:DM,20,FALSE)</f>
        <v>0</v>
      </c>
      <c r="W148" s="127">
        <f>VLOOKUP(C148,'Talente &amp; Stuff'!CL:DM,21,FALSE)</f>
        <v>0</v>
      </c>
      <c r="X148" s="127">
        <f>VLOOKUP(C148,'Talente &amp; Stuff'!CL:DM,22,FALSE)</f>
        <v>0</v>
      </c>
      <c r="Y148" s="165">
        <f t="shared" si="14"/>
        <v>0</v>
      </c>
      <c r="Z148" s="44">
        <f t="shared" si="15"/>
        <v>0</v>
      </c>
      <c r="AA148" s="125">
        <f>VLOOKUP(C148,'Talente &amp; Stuff'!CL:DM,25,FALSE)</f>
        <v>0</v>
      </c>
      <c r="AB148" s="160">
        <f>VLOOKUP(C148,'Talente &amp; Stuff'!CL:DM,26,FALSE)</f>
        <v>0</v>
      </c>
      <c r="AC148" s="127">
        <f>VLOOKUP(C148,'Talente &amp; Stuff'!CL:DM,27,FALSE)</f>
        <v>0</v>
      </c>
      <c r="AD148" s="125">
        <f>VLOOKUP(C148,'Talente &amp; Stuff'!CL:DM,28,FALSE)</f>
        <v>0</v>
      </c>
      <c r="AE148" s="28"/>
    </row>
    <row r="149" spans="2:31" ht="15" hidden="1" customHeight="1" outlineLevel="2">
      <c r="B149" s="148">
        <v>22</v>
      </c>
      <c r="C149" s="177" t="str">
        <f>Attribute!C149</f>
        <v>---</v>
      </c>
      <c r="D149" s="125" t="str">
        <f>VLOOKUP(C149,'Talente &amp; Stuff'!CL:DM,2,FALSE)</f>
        <v>--/--/--</v>
      </c>
      <c r="E149" s="127" t="str">
        <f>VLOOKUP(C149,'Talente &amp; Stuff'!CL:DM,3,FALSE)</f>
        <v>-</v>
      </c>
      <c r="F149" s="114">
        <f>VLOOKUP(C149,'Talente &amp; Stuff'!CL:DM,4,FALSE)</f>
        <v>0</v>
      </c>
      <c r="G149" s="113">
        <f>VLOOKUP(C149,'Talente &amp; Stuff'!CL:DM,5,FALSE)</f>
        <v>0</v>
      </c>
      <c r="H149" s="113">
        <f>VLOOKUP(C149,'Talente &amp; Stuff'!CL:DM,6,FALSE)</f>
        <v>0</v>
      </c>
      <c r="I149" s="113">
        <f>VLOOKUP(C149,'Talente &amp; Stuff'!CL:DM,7,FALSE)</f>
        <v>0</v>
      </c>
      <c r="J149" s="113">
        <f>VLOOKUP(C149,'Talente &amp; Stuff'!CL:DM,8,FALSE)</f>
        <v>0</v>
      </c>
      <c r="K149" s="113">
        <f>VLOOKUP(C149,'Talente &amp; Stuff'!CL:DM,9,FALSE)</f>
        <v>0</v>
      </c>
      <c r="L149" s="113">
        <f>VLOOKUP(C149,'Talente &amp; Stuff'!CL:DM,10,FALSE)</f>
        <v>0</v>
      </c>
      <c r="M149" s="119">
        <f>VLOOKUP(C149,'Talente &amp; Stuff'!CL:DM,11,FALSE)</f>
        <v>0</v>
      </c>
      <c r="N149" s="47">
        <f>VLOOKUP(C149,'Talente &amp; Stuff'!CL:DM,12,FALSE)</f>
        <v>0</v>
      </c>
      <c r="O149" s="47">
        <f>VLOOKUP(C149,'Talente &amp; Stuff'!CL:DM,13,FALSE)</f>
        <v>0</v>
      </c>
      <c r="P149" s="119">
        <f>VLOOKUP(C149,'Talente &amp; Stuff'!CL:DM,14,FALSE)</f>
        <v>0</v>
      </c>
      <c r="Q149" s="114">
        <f>VLOOKUP(C149,'Talente &amp; Stuff'!CL:DM,15,FALSE)</f>
        <v>0</v>
      </c>
      <c r="R149" s="113">
        <f>VLOOKUP(C149,'Talente &amp; Stuff'!CL:DM,16,FALSE)</f>
        <v>0</v>
      </c>
      <c r="S149" s="119">
        <f>VLOOKUP(C149,'Talente &amp; Stuff'!CL:DM,17,FALSE)</f>
        <v>0</v>
      </c>
      <c r="T149" s="119">
        <f>VLOOKUP(C149,'Talente &amp; Stuff'!CL:DM,18,FALSE)</f>
        <v>0</v>
      </c>
      <c r="U149" s="89">
        <f>VLOOKUP(C149,'Talente &amp; Stuff'!CL:DM,19,FALSE)</f>
        <v>0</v>
      </c>
      <c r="V149" s="47">
        <f>VLOOKUP(C149,'Talente &amp; Stuff'!CL:DM,20,FALSE)</f>
        <v>0</v>
      </c>
      <c r="W149" s="127">
        <f>VLOOKUP(C149,'Talente &amp; Stuff'!CL:DM,21,FALSE)</f>
        <v>0</v>
      </c>
      <c r="X149" s="127">
        <f>VLOOKUP(C149,'Talente &amp; Stuff'!CL:DM,22,FALSE)</f>
        <v>0</v>
      </c>
      <c r="Y149" s="165">
        <f t="shared" si="14"/>
        <v>0</v>
      </c>
      <c r="Z149" s="44">
        <f t="shared" si="15"/>
        <v>0</v>
      </c>
      <c r="AA149" s="125">
        <f>VLOOKUP(C149,'Talente &amp; Stuff'!CL:DM,25,FALSE)</f>
        <v>0</v>
      </c>
      <c r="AB149" s="160">
        <f>VLOOKUP(C149,'Talente &amp; Stuff'!CL:DM,26,FALSE)</f>
        <v>0</v>
      </c>
      <c r="AC149" s="127">
        <f>VLOOKUP(C149,'Talente &amp; Stuff'!CL:DM,27,FALSE)</f>
        <v>0</v>
      </c>
      <c r="AD149" s="125">
        <f>VLOOKUP(C149,'Talente &amp; Stuff'!CL:DM,28,FALSE)</f>
        <v>0</v>
      </c>
      <c r="AE149" s="28"/>
    </row>
    <row r="150" spans="2:31" ht="15" hidden="1" customHeight="1" outlineLevel="2">
      <c r="B150" s="148">
        <v>23</v>
      </c>
      <c r="C150" s="177" t="str">
        <f>Attribute!C150</f>
        <v>---</v>
      </c>
      <c r="D150" s="125" t="str">
        <f>VLOOKUP(C150,'Talente &amp; Stuff'!CL:DM,2,FALSE)</f>
        <v>--/--/--</v>
      </c>
      <c r="E150" s="127" t="str">
        <f>VLOOKUP(C150,'Talente &amp; Stuff'!CL:DM,3,FALSE)</f>
        <v>-</v>
      </c>
      <c r="F150" s="114">
        <f>VLOOKUP(C150,'Talente &amp; Stuff'!CL:DM,4,FALSE)</f>
        <v>0</v>
      </c>
      <c r="G150" s="113">
        <f>VLOOKUP(C150,'Talente &amp; Stuff'!CL:DM,5,FALSE)</f>
        <v>0</v>
      </c>
      <c r="H150" s="113">
        <f>VLOOKUP(C150,'Talente &amp; Stuff'!CL:DM,6,FALSE)</f>
        <v>0</v>
      </c>
      <c r="I150" s="113">
        <f>VLOOKUP(C150,'Talente &amp; Stuff'!CL:DM,7,FALSE)</f>
        <v>0</v>
      </c>
      <c r="J150" s="113">
        <f>VLOOKUP(C150,'Talente &amp; Stuff'!CL:DM,8,FALSE)</f>
        <v>0</v>
      </c>
      <c r="K150" s="113">
        <f>VLOOKUP(C150,'Talente &amp; Stuff'!CL:DM,9,FALSE)</f>
        <v>0</v>
      </c>
      <c r="L150" s="113">
        <f>VLOOKUP(C150,'Talente &amp; Stuff'!CL:DM,10,FALSE)</f>
        <v>0</v>
      </c>
      <c r="M150" s="119">
        <f>VLOOKUP(C150,'Talente &amp; Stuff'!CL:DM,11,FALSE)</f>
        <v>0</v>
      </c>
      <c r="N150" s="47">
        <f>VLOOKUP(C150,'Talente &amp; Stuff'!CL:DM,12,FALSE)</f>
        <v>0</v>
      </c>
      <c r="O150" s="47">
        <f>VLOOKUP(C150,'Talente &amp; Stuff'!CL:DM,13,FALSE)</f>
        <v>0</v>
      </c>
      <c r="P150" s="119">
        <f>VLOOKUP(C150,'Talente &amp; Stuff'!CL:DM,14,FALSE)</f>
        <v>0</v>
      </c>
      <c r="Q150" s="114">
        <f>VLOOKUP(C150,'Talente &amp; Stuff'!CL:DM,15,FALSE)</f>
        <v>0</v>
      </c>
      <c r="R150" s="113">
        <f>VLOOKUP(C150,'Talente &amp; Stuff'!CL:DM,16,FALSE)</f>
        <v>0</v>
      </c>
      <c r="S150" s="119">
        <f>VLOOKUP(C150,'Talente &amp; Stuff'!CL:DM,17,FALSE)</f>
        <v>0</v>
      </c>
      <c r="T150" s="119">
        <f>VLOOKUP(C150,'Talente &amp; Stuff'!CL:DM,18,FALSE)</f>
        <v>0</v>
      </c>
      <c r="U150" s="89">
        <f>VLOOKUP(C150,'Talente &amp; Stuff'!CL:DM,19,FALSE)</f>
        <v>0</v>
      </c>
      <c r="V150" s="47">
        <f>VLOOKUP(C150,'Talente &amp; Stuff'!CL:DM,20,FALSE)</f>
        <v>0</v>
      </c>
      <c r="W150" s="127">
        <f>VLOOKUP(C150,'Talente &amp; Stuff'!CL:DM,21,FALSE)</f>
        <v>0</v>
      </c>
      <c r="X150" s="127">
        <f>VLOOKUP(C150,'Talente &amp; Stuff'!CL:DM,22,FALSE)</f>
        <v>0</v>
      </c>
      <c r="Y150" s="165">
        <f t="shared" si="14"/>
        <v>0</v>
      </c>
      <c r="Z150" s="44">
        <f t="shared" si="15"/>
        <v>0</v>
      </c>
      <c r="AA150" s="125">
        <f>VLOOKUP(C150,'Talente &amp; Stuff'!CL:DM,25,FALSE)</f>
        <v>0</v>
      </c>
      <c r="AB150" s="160">
        <f>VLOOKUP(C150,'Talente &amp; Stuff'!CL:DM,26,FALSE)</f>
        <v>0</v>
      </c>
      <c r="AC150" s="127">
        <f>VLOOKUP(C150,'Talente &amp; Stuff'!CL:DM,27,FALSE)</f>
        <v>0</v>
      </c>
      <c r="AD150" s="125">
        <f>VLOOKUP(C150,'Talente &amp; Stuff'!CL:DM,28,FALSE)</f>
        <v>0</v>
      </c>
      <c r="AE150" s="28"/>
    </row>
    <row r="151" spans="2:31" ht="15" hidden="1" customHeight="1" outlineLevel="2">
      <c r="B151" s="148">
        <v>24</v>
      </c>
      <c r="C151" s="178" t="str">
        <f>Attribute!C151</f>
        <v>---</v>
      </c>
      <c r="D151" s="159" t="str">
        <f>VLOOKUP(C151,'Talente &amp; Stuff'!CL:DM,2,FALSE)</f>
        <v>--/--/--</v>
      </c>
      <c r="E151" s="128" t="str">
        <f>VLOOKUP(C151,'Talente &amp; Stuff'!CL:DM,3,FALSE)</f>
        <v>-</v>
      </c>
      <c r="F151" s="115">
        <f>VLOOKUP(C151,'Talente &amp; Stuff'!CL:DM,4,FALSE)</f>
        <v>0</v>
      </c>
      <c r="G151" s="122">
        <f>VLOOKUP(C151,'Talente &amp; Stuff'!CL:DM,5,FALSE)</f>
        <v>0</v>
      </c>
      <c r="H151" s="122">
        <f>VLOOKUP(C151,'Talente &amp; Stuff'!CL:DM,6,FALSE)</f>
        <v>0</v>
      </c>
      <c r="I151" s="122">
        <f>VLOOKUP(C151,'Talente &amp; Stuff'!CL:DM,7,FALSE)</f>
        <v>0</v>
      </c>
      <c r="J151" s="122">
        <f>VLOOKUP(C151,'Talente &amp; Stuff'!CL:DM,8,FALSE)</f>
        <v>0</v>
      </c>
      <c r="K151" s="122">
        <f>VLOOKUP(C151,'Talente &amp; Stuff'!CL:DM,9,FALSE)</f>
        <v>0</v>
      </c>
      <c r="L151" s="122">
        <f>VLOOKUP(C151,'Talente &amp; Stuff'!CL:DM,10,FALSE)</f>
        <v>0</v>
      </c>
      <c r="M151" s="123">
        <f>VLOOKUP(C151,'Talente &amp; Stuff'!CL:DM,11,FALSE)</f>
        <v>0</v>
      </c>
      <c r="N151" s="88">
        <f>VLOOKUP(C151,'Talente &amp; Stuff'!CL:DM,12,FALSE)</f>
        <v>0</v>
      </c>
      <c r="O151" s="88">
        <f>VLOOKUP(C151,'Talente &amp; Stuff'!CL:DM,13,FALSE)</f>
        <v>0</v>
      </c>
      <c r="P151" s="123">
        <f>VLOOKUP(C151,'Talente &amp; Stuff'!CL:DM,14,FALSE)</f>
        <v>0</v>
      </c>
      <c r="Q151" s="115">
        <f>VLOOKUP(C151,'Talente &amp; Stuff'!CL:DM,15,FALSE)</f>
        <v>0</v>
      </c>
      <c r="R151" s="122">
        <f>VLOOKUP(C151,'Talente &amp; Stuff'!CL:DM,16,FALSE)</f>
        <v>0</v>
      </c>
      <c r="S151" s="123">
        <f>VLOOKUP(C151,'Talente &amp; Stuff'!CL:DM,17,FALSE)</f>
        <v>0</v>
      </c>
      <c r="T151" s="123">
        <f>VLOOKUP(C151,'Talente &amp; Stuff'!CL:DM,18,FALSE)</f>
        <v>0</v>
      </c>
      <c r="U151" s="90">
        <f>VLOOKUP(C151,'Talente &amp; Stuff'!CL:DM,19,FALSE)</f>
        <v>0</v>
      </c>
      <c r="V151" s="88">
        <f>VLOOKUP(C151,'Talente &amp; Stuff'!CL:DM,20,FALSE)</f>
        <v>0</v>
      </c>
      <c r="W151" s="128">
        <f>VLOOKUP(C151,'Talente &amp; Stuff'!CL:DM,21,FALSE)</f>
        <v>0</v>
      </c>
      <c r="X151" s="128">
        <f>VLOOKUP(C151,'Talente &amp; Stuff'!CL:DM,22,FALSE)</f>
        <v>0</v>
      </c>
      <c r="Y151" s="165">
        <f t="shared" si="14"/>
        <v>0</v>
      </c>
      <c r="Z151" s="44">
        <f t="shared" si="15"/>
        <v>0</v>
      </c>
      <c r="AA151" s="159">
        <f>VLOOKUP(C151,'Talente &amp; Stuff'!CL:DM,25,FALSE)</f>
        <v>0</v>
      </c>
      <c r="AB151" s="161">
        <f>VLOOKUP(C151,'Talente &amp; Stuff'!CL:DM,26,FALSE)</f>
        <v>0</v>
      </c>
      <c r="AC151" s="128">
        <f>VLOOKUP(C151,'Talente &amp; Stuff'!CL:DM,27,FALSE)</f>
        <v>0</v>
      </c>
      <c r="AD151" s="159">
        <f>VLOOKUP(C151,'Talente &amp; Stuff'!CL:DM,28,FALSE)</f>
        <v>0</v>
      </c>
      <c r="AE151" s="28"/>
    </row>
    <row r="152" spans="2:31" ht="15" hidden="1" customHeight="1" outlineLevel="1" collapsed="1">
      <c r="B152" s="134" t="s">
        <v>329</v>
      </c>
      <c r="C152" s="83"/>
      <c r="D152" s="84"/>
      <c r="E152" s="84"/>
    </row>
    <row r="153" spans="2:31" ht="15" hidden="1" customHeight="1" outlineLevel="2">
      <c r="B153" s="148">
        <v>1</v>
      </c>
      <c r="C153" s="176" t="str">
        <f>Attribute!C153</f>
        <v>---</v>
      </c>
      <c r="D153" s="85" t="str">
        <f>VLOOKUP(C153,'Talente &amp; Stuff'!CL:DM,2,FALSE)</f>
        <v>--/--/--</v>
      </c>
      <c r="E153" s="168" t="str">
        <f>VLOOKUP(C153,'Talente &amp; Stuff'!CL:DM,3,FALSE)</f>
        <v>-</v>
      </c>
      <c r="F153" s="171">
        <f>VLOOKUP(C153,'Talente &amp; Stuff'!CL:DM,4,FALSE)</f>
        <v>0</v>
      </c>
      <c r="G153" s="170">
        <f>VLOOKUP(C153,'Talente &amp; Stuff'!CL:DM,5,FALSE)</f>
        <v>0</v>
      </c>
      <c r="H153" s="170">
        <f>VLOOKUP(C153,'Talente &amp; Stuff'!CL:DM,6,FALSE)</f>
        <v>0</v>
      </c>
      <c r="I153" s="170">
        <f>VLOOKUP(C153,'Talente &amp; Stuff'!CL:DM,7,FALSE)</f>
        <v>0</v>
      </c>
      <c r="J153" s="170">
        <f>VLOOKUP(C153,'Talente &amp; Stuff'!CL:DM,8,FALSE)</f>
        <v>0</v>
      </c>
      <c r="K153" s="170">
        <f>VLOOKUP(C153,'Talente &amp; Stuff'!CL:DM,9,FALSE)</f>
        <v>0</v>
      </c>
      <c r="L153" s="170">
        <f>VLOOKUP(C153,'Talente &amp; Stuff'!CL:DM,10,FALSE)</f>
        <v>0</v>
      </c>
      <c r="M153" s="172">
        <f>VLOOKUP(C153,'Talente &amp; Stuff'!CL:DM,11,FALSE)</f>
        <v>0</v>
      </c>
      <c r="N153" s="116">
        <f>VLOOKUP(C153,'Talente &amp; Stuff'!CL:DM,12,FALSE)</f>
        <v>0</v>
      </c>
      <c r="O153" s="194">
        <f>VLOOKUP(C153,'Talente &amp; Stuff'!CL:DM,13,FALSE)</f>
        <v>0</v>
      </c>
      <c r="P153" s="192">
        <f>VLOOKUP(C153,'Talente &amp; Stuff'!CL:DM,14,FALSE)</f>
        <v>0</v>
      </c>
      <c r="Q153" s="191">
        <f>VLOOKUP(C153,'Talente &amp; Stuff'!CL:DM,15,FALSE)</f>
        <v>0</v>
      </c>
      <c r="R153" s="170">
        <f>VLOOKUP(C153,'Talente &amp; Stuff'!CL:DM,16,FALSE)</f>
        <v>0</v>
      </c>
      <c r="S153" s="92">
        <f>VLOOKUP(C153,'Talente &amp; Stuff'!CL:DM,17,FALSE)</f>
        <v>0</v>
      </c>
      <c r="T153" s="92">
        <f>VLOOKUP(C153,'Talente &amp; Stuff'!CL:DM,18,FALSE)</f>
        <v>0</v>
      </c>
      <c r="U153" s="193">
        <f>VLOOKUP(C153,'Talente &amp; Stuff'!CL:DM,19,FALSE)</f>
        <v>0</v>
      </c>
      <c r="V153" s="116">
        <f>VLOOKUP(C153,'Talente &amp; Stuff'!CL:DM,20,FALSE)</f>
        <v>0</v>
      </c>
      <c r="W153" s="126">
        <f>VLOOKUP(C153,'Talente &amp; Stuff'!CL:DM,21,FALSE)</f>
        <v>0</v>
      </c>
      <c r="X153" s="126">
        <f>VLOOKUP(C153,'Talente &amp; Stuff'!CL:DM,22,FALSE)</f>
        <v>0</v>
      </c>
      <c r="Y153" s="165">
        <f t="shared" ref="Y153:Y184" si="16">VLOOKUP(C153,Ausgewählte_Zauber_Gildenmagier,110,FALSE)</f>
        <v>0</v>
      </c>
      <c r="Z153" s="44">
        <f t="shared" ref="Z153:Z184" si="17">VLOOKUP(C153,Ausgewählte_Zauber_Gildenmagier,111,FALSE)</f>
        <v>0</v>
      </c>
      <c r="AA153" s="158">
        <f>VLOOKUP(C153,'Talente &amp; Stuff'!CL:DM,25,FALSE)</f>
        <v>0</v>
      </c>
      <c r="AB153" s="91">
        <f>VLOOKUP(C153,'Talente &amp; Stuff'!CL:DM,26,FALSE)</f>
        <v>0</v>
      </c>
      <c r="AC153" s="126">
        <f>VLOOKUP(C153,'Talente &amp; Stuff'!CL:DM,27,FALSE)</f>
        <v>0</v>
      </c>
      <c r="AD153" s="158">
        <f>VLOOKUP(C153,'Talente &amp; Stuff'!CL:DM,28,FALSE)</f>
        <v>0</v>
      </c>
      <c r="AE153" s="28"/>
    </row>
    <row r="154" spans="2:31" ht="15" hidden="1" customHeight="1" outlineLevel="2">
      <c r="B154" s="148">
        <v>2</v>
      </c>
      <c r="C154" s="177" t="str">
        <f>Attribute!C154</f>
        <v>---</v>
      </c>
      <c r="D154" s="86" t="str">
        <f>VLOOKUP(C154,'Talente &amp; Stuff'!CL:DM,2,FALSE)</f>
        <v>--/--/--</v>
      </c>
      <c r="E154" s="167" t="str">
        <f>VLOOKUP(C154,'Talente &amp; Stuff'!CL:DM,3,FALSE)</f>
        <v>-</v>
      </c>
      <c r="F154" s="120">
        <f>VLOOKUP(C154,'Talente &amp; Stuff'!CL:DM,4,FALSE)</f>
        <v>0</v>
      </c>
      <c r="G154" s="117">
        <f>VLOOKUP(C154,'Talente &amp; Stuff'!CL:DM,5,FALSE)</f>
        <v>0</v>
      </c>
      <c r="H154" s="117">
        <f>VLOOKUP(C154,'Talente &amp; Stuff'!CL:DM,6,FALSE)</f>
        <v>0</v>
      </c>
      <c r="I154" s="117">
        <f>VLOOKUP(C154,'Talente &amp; Stuff'!CL:DM,7,FALSE)</f>
        <v>0</v>
      </c>
      <c r="J154" s="117">
        <f>VLOOKUP(C154,'Talente &amp; Stuff'!CL:DM,8,FALSE)</f>
        <v>0</v>
      </c>
      <c r="K154" s="117">
        <f>VLOOKUP(C154,'Talente &amp; Stuff'!CL:DM,9,FALSE)</f>
        <v>0</v>
      </c>
      <c r="L154" s="117">
        <f>VLOOKUP(C154,'Talente &amp; Stuff'!CL:DM,10,FALSE)</f>
        <v>0</v>
      </c>
      <c r="M154" s="121">
        <f>VLOOKUP(C154,'Talente &amp; Stuff'!CL:DM,11,FALSE)</f>
        <v>0</v>
      </c>
      <c r="N154" s="47">
        <f>VLOOKUP(C154,'Talente &amp; Stuff'!CL:DM,12,FALSE)</f>
        <v>0</v>
      </c>
      <c r="O154" s="3">
        <f>VLOOKUP(C154,'Talente &amp; Stuff'!CL:DM,13,FALSE)</f>
        <v>0</v>
      </c>
      <c r="P154" s="174">
        <f>VLOOKUP(C154,'Talente &amp; Stuff'!CL:DM,14,FALSE)</f>
        <v>0</v>
      </c>
      <c r="Q154" s="114">
        <f>VLOOKUP(C154,'Talente &amp; Stuff'!CL:DM,15,FALSE)</f>
        <v>0</v>
      </c>
      <c r="R154" s="117">
        <f>VLOOKUP(C154,'Talente &amp; Stuff'!CL:DM,16,FALSE)</f>
        <v>0</v>
      </c>
      <c r="S154" s="119">
        <f>VLOOKUP(C154,'Talente &amp; Stuff'!CL:DM,17,FALSE)</f>
        <v>0</v>
      </c>
      <c r="T154" s="119">
        <f>VLOOKUP(C154,'Talente &amp; Stuff'!CL:DM,18,FALSE)</f>
        <v>0</v>
      </c>
      <c r="U154" s="89">
        <f>VLOOKUP(C154,'Talente &amp; Stuff'!CL:DM,19,FALSE)</f>
        <v>0</v>
      </c>
      <c r="V154" s="47">
        <f>VLOOKUP(C154,'Talente &amp; Stuff'!CL:DM,20,FALSE)</f>
        <v>0</v>
      </c>
      <c r="W154" s="127">
        <f>VLOOKUP(C154,'Talente &amp; Stuff'!CL:DM,21,FALSE)</f>
        <v>0</v>
      </c>
      <c r="X154" s="127">
        <f>VLOOKUP(C154,'Talente &amp; Stuff'!CL:DM,22,FALSE)</f>
        <v>0</v>
      </c>
      <c r="Y154" s="165">
        <f t="shared" si="16"/>
        <v>0</v>
      </c>
      <c r="Z154" s="44">
        <f t="shared" si="17"/>
        <v>0</v>
      </c>
      <c r="AA154" s="125">
        <f>VLOOKUP(C154,'Talente &amp; Stuff'!CL:DM,25,FALSE)</f>
        <v>0</v>
      </c>
      <c r="AB154" s="160">
        <f>VLOOKUP(C154,'Talente &amp; Stuff'!CL:DM,26,FALSE)</f>
        <v>0</v>
      </c>
      <c r="AC154" s="127">
        <f>VLOOKUP(C154,'Talente &amp; Stuff'!CL:DM,27,FALSE)</f>
        <v>0</v>
      </c>
      <c r="AD154" s="125">
        <f>VLOOKUP(C154,'Talente &amp; Stuff'!CL:DM,28,FALSE)</f>
        <v>0</v>
      </c>
      <c r="AE154" s="28"/>
    </row>
    <row r="155" spans="2:31" ht="15" hidden="1" customHeight="1" outlineLevel="2">
      <c r="B155" s="148">
        <v>3</v>
      </c>
      <c r="C155" s="177" t="str">
        <f>Attribute!C155</f>
        <v>---</v>
      </c>
      <c r="D155" s="86" t="str">
        <f>VLOOKUP(C155,'Talente &amp; Stuff'!CL:DM,2,FALSE)</f>
        <v>--/--/--</v>
      </c>
      <c r="E155" s="167" t="str">
        <f>VLOOKUP(C155,'Talente &amp; Stuff'!CL:DM,3,FALSE)</f>
        <v>-</v>
      </c>
      <c r="F155" s="120">
        <f>VLOOKUP(C155,'Talente &amp; Stuff'!CL:DM,4,FALSE)</f>
        <v>0</v>
      </c>
      <c r="G155" s="117">
        <f>VLOOKUP(C155,'Talente &amp; Stuff'!CL:DM,5,FALSE)</f>
        <v>0</v>
      </c>
      <c r="H155" s="117">
        <f>VLOOKUP(C155,'Talente &amp; Stuff'!CL:DM,6,FALSE)</f>
        <v>0</v>
      </c>
      <c r="I155" s="117">
        <f>VLOOKUP(C155,'Talente &amp; Stuff'!CL:DM,7,FALSE)</f>
        <v>0</v>
      </c>
      <c r="J155" s="117">
        <f>VLOOKUP(C155,'Talente &amp; Stuff'!CL:DM,8,FALSE)</f>
        <v>0</v>
      </c>
      <c r="K155" s="117">
        <f>VLOOKUP(C155,'Talente &amp; Stuff'!CL:DM,9,FALSE)</f>
        <v>0</v>
      </c>
      <c r="L155" s="117">
        <f>VLOOKUP(C155,'Talente &amp; Stuff'!CL:DM,10,FALSE)</f>
        <v>0</v>
      </c>
      <c r="M155" s="121">
        <f>VLOOKUP(C155,'Talente &amp; Stuff'!CL:DM,11,FALSE)</f>
        <v>0</v>
      </c>
      <c r="N155" s="47">
        <f>VLOOKUP(C155,'Talente &amp; Stuff'!CL:DM,12,FALSE)</f>
        <v>0</v>
      </c>
      <c r="O155" s="3">
        <f>VLOOKUP(C155,'Talente &amp; Stuff'!CL:DM,13,FALSE)</f>
        <v>0</v>
      </c>
      <c r="P155" s="174">
        <f>VLOOKUP(C155,'Talente &amp; Stuff'!CL:DM,14,FALSE)</f>
        <v>0</v>
      </c>
      <c r="Q155" s="114">
        <f>VLOOKUP(C155,'Talente &amp; Stuff'!CL:DM,15,FALSE)</f>
        <v>0</v>
      </c>
      <c r="R155" s="117">
        <f>VLOOKUP(C155,'Talente &amp; Stuff'!CL:DM,16,FALSE)</f>
        <v>0</v>
      </c>
      <c r="S155" s="119">
        <f>VLOOKUP(C155,'Talente &amp; Stuff'!CL:DM,17,FALSE)</f>
        <v>0</v>
      </c>
      <c r="T155" s="119">
        <f>VLOOKUP(C155,'Talente &amp; Stuff'!CL:DM,18,FALSE)</f>
        <v>0</v>
      </c>
      <c r="U155" s="89">
        <f>VLOOKUP(C155,'Talente &amp; Stuff'!CL:DM,19,FALSE)</f>
        <v>0</v>
      </c>
      <c r="V155" s="47">
        <f>VLOOKUP(C155,'Talente &amp; Stuff'!CL:DM,20,FALSE)</f>
        <v>0</v>
      </c>
      <c r="W155" s="127">
        <f>VLOOKUP(C155,'Talente &amp; Stuff'!CL:DM,21,FALSE)</f>
        <v>0</v>
      </c>
      <c r="X155" s="127">
        <f>VLOOKUP(C155,'Talente &amp; Stuff'!CL:DM,22,FALSE)</f>
        <v>0</v>
      </c>
      <c r="Y155" s="165">
        <f t="shared" si="16"/>
        <v>0</v>
      </c>
      <c r="Z155" s="44">
        <f t="shared" si="17"/>
        <v>0</v>
      </c>
      <c r="AA155" s="125">
        <f>VLOOKUP(C155,'Talente &amp; Stuff'!CL:DM,25,FALSE)</f>
        <v>0</v>
      </c>
      <c r="AB155" s="160">
        <f>VLOOKUP(C155,'Talente &amp; Stuff'!CL:DM,26,FALSE)</f>
        <v>0</v>
      </c>
      <c r="AC155" s="127">
        <f>VLOOKUP(C155,'Talente &amp; Stuff'!CL:DM,27,FALSE)</f>
        <v>0</v>
      </c>
      <c r="AD155" s="125">
        <f>VLOOKUP(C155,'Talente &amp; Stuff'!CL:DM,28,FALSE)</f>
        <v>0</v>
      </c>
      <c r="AE155" s="28"/>
    </row>
    <row r="156" spans="2:31" ht="15" hidden="1" customHeight="1" outlineLevel="2">
      <c r="B156" s="148">
        <v>4</v>
      </c>
      <c r="C156" s="177" t="str">
        <f>Attribute!C156</f>
        <v>---</v>
      </c>
      <c r="D156" s="86" t="str">
        <f>VLOOKUP(C156,'Talente &amp; Stuff'!CL:DM,2,FALSE)</f>
        <v>--/--/--</v>
      </c>
      <c r="E156" s="167" t="str">
        <f>VLOOKUP(C156,'Talente &amp; Stuff'!CL:DM,3,FALSE)</f>
        <v>-</v>
      </c>
      <c r="F156" s="120">
        <f>VLOOKUP(C156,'Talente &amp; Stuff'!CL:DM,4,FALSE)</f>
        <v>0</v>
      </c>
      <c r="G156" s="117">
        <f>VLOOKUP(C156,'Talente &amp; Stuff'!CL:DM,5,FALSE)</f>
        <v>0</v>
      </c>
      <c r="H156" s="117">
        <f>VLOOKUP(C156,'Talente &amp; Stuff'!CL:DM,6,FALSE)</f>
        <v>0</v>
      </c>
      <c r="I156" s="117">
        <f>VLOOKUP(C156,'Talente &amp; Stuff'!CL:DM,7,FALSE)</f>
        <v>0</v>
      </c>
      <c r="J156" s="117">
        <f>VLOOKUP(C156,'Talente &amp; Stuff'!CL:DM,8,FALSE)</f>
        <v>0</v>
      </c>
      <c r="K156" s="117">
        <f>VLOOKUP(C156,'Talente &amp; Stuff'!CL:DM,9,FALSE)</f>
        <v>0</v>
      </c>
      <c r="L156" s="117">
        <f>VLOOKUP(C156,'Talente &amp; Stuff'!CL:DM,10,FALSE)</f>
        <v>0</v>
      </c>
      <c r="M156" s="121">
        <f>VLOOKUP(C156,'Talente &amp; Stuff'!CL:DM,11,FALSE)</f>
        <v>0</v>
      </c>
      <c r="N156" s="47">
        <f>VLOOKUP(C156,'Talente &amp; Stuff'!CL:DM,12,FALSE)</f>
        <v>0</v>
      </c>
      <c r="O156" s="3">
        <f>VLOOKUP(C156,'Talente &amp; Stuff'!CL:DM,13,FALSE)</f>
        <v>0</v>
      </c>
      <c r="P156" s="174">
        <f>VLOOKUP(C156,'Talente &amp; Stuff'!CL:DM,14,FALSE)</f>
        <v>0</v>
      </c>
      <c r="Q156" s="114">
        <f>VLOOKUP(C156,'Talente &amp; Stuff'!CL:DM,15,FALSE)</f>
        <v>0</v>
      </c>
      <c r="R156" s="117">
        <f>VLOOKUP(C156,'Talente &amp; Stuff'!CL:DM,16,FALSE)</f>
        <v>0</v>
      </c>
      <c r="S156" s="119">
        <f>VLOOKUP(C156,'Talente &amp; Stuff'!CL:DM,17,FALSE)</f>
        <v>0</v>
      </c>
      <c r="T156" s="119">
        <f>VLOOKUP(C156,'Talente &amp; Stuff'!CL:DM,18,FALSE)</f>
        <v>0</v>
      </c>
      <c r="U156" s="89">
        <f>VLOOKUP(C156,'Talente &amp; Stuff'!CL:DM,19,FALSE)</f>
        <v>0</v>
      </c>
      <c r="V156" s="47">
        <f>VLOOKUP(C156,'Talente &amp; Stuff'!CL:DM,20,FALSE)</f>
        <v>0</v>
      </c>
      <c r="W156" s="127">
        <f>VLOOKUP(C156,'Talente &amp; Stuff'!CL:DM,21,FALSE)</f>
        <v>0</v>
      </c>
      <c r="X156" s="127">
        <f>VLOOKUP(C156,'Talente &amp; Stuff'!CL:DM,22,FALSE)</f>
        <v>0</v>
      </c>
      <c r="Y156" s="165">
        <f t="shared" si="16"/>
        <v>0</v>
      </c>
      <c r="Z156" s="44">
        <f t="shared" si="17"/>
        <v>0</v>
      </c>
      <c r="AA156" s="125">
        <f>VLOOKUP(C156,'Talente &amp; Stuff'!CL:DM,25,FALSE)</f>
        <v>0</v>
      </c>
      <c r="AB156" s="160">
        <f>VLOOKUP(C156,'Talente &amp; Stuff'!CL:DM,26,FALSE)</f>
        <v>0</v>
      </c>
      <c r="AC156" s="127">
        <f>VLOOKUP(C156,'Talente &amp; Stuff'!CL:DM,27,FALSE)</f>
        <v>0</v>
      </c>
      <c r="AD156" s="125">
        <f>VLOOKUP(C156,'Talente &amp; Stuff'!CL:DM,28,FALSE)</f>
        <v>0</v>
      </c>
      <c r="AE156" s="28"/>
    </row>
    <row r="157" spans="2:31" ht="15" hidden="1" customHeight="1" outlineLevel="2">
      <c r="B157" s="148">
        <v>5</v>
      </c>
      <c r="C157" s="177" t="str">
        <f>Attribute!C157</f>
        <v>---</v>
      </c>
      <c r="D157" s="86" t="str">
        <f>VLOOKUP(C157,'Talente &amp; Stuff'!CL:DM,2,FALSE)</f>
        <v>--/--/--</v>
      </c>
      <c r="E157" s="167" t="str">
        <f>VLOOKUP(C157,'Talente &amp; Stuff'!CL:DM,3,FALSE)</f>
        <v>-</v>
      </c>
      <c r="F157" s="120">
        <f>VLOOKUP(C157,'Talente &amp; Stuff'!CL:DM,4,FALSE)</f>
        <v>0</v>
      </c>
      <c r="G157" s="117">
        <f>VLOOKUP(C157,'Talente &amp; Stuff'!CL:DM,5,FALSE)</f>
        <v>0</v>
      </c>
      <c r="H157" s="117">
        <f>VLOOKUP(C157,'Talente &amp; Stuff'!CL:DM,6,FALSE)</f>
        <v>0</v>
      </c>
      <c r="I157" s="117">
        <f>VLOOKUP(C157,'Talente &amp; Stuff'!CL:DM,7,FALSE)</f>
        <v>0</v>
      </c>
      <c r="J157" s="117">
        <f>VLOOKUP(C157,'Talente &amp; Stuff'!CL:DM,8,FALSE)</f>
        <v>0</v>
      </c>
      <c r="K157" s="117">
        <f>VLOOKUP(C157,'Talente &amp; Stuff'!CL:DM,9,FALSE)</f>
        <v>0</v>
      </c>
      <c r="L157" s="117">
        <f>VLOOKUP(C157,'Talente &amp; Stuff'!CL:DM,10,FALSE)</f>
        <v>0</v>
      </c>
      <c r="M157" s="121">
        <f>VLOOKUP(C157,'Talente &amp; Stuff'!CL:DM,11,FALSE)</f>
        <v>0</v>
      </c>
      <c r="N157" s="47">
        <f>VLOOKUP(C157,'Talente &amp; Stuff'!CL:DM,12,FALSE)</f>
        <v>0</v>
      </c>
      <c r="O157" s="3">
        <f>VLOOKUP(C157,'Talente &amp; Stuff'!CL:DM,13,FALSE)</f>
        <v>0</v>
      </c>
      <c r="P157" s="174">
        <f>VLOOKUP(C157,'Talente &amp; Stuff'!CL:DM,14,FALSE)</f>
        <v>0</v>
      </c>
      <c r="Q157" s="114">
        <f>VLOOKUP(C157,'Talente &amp; Stuff'!CL:DM,15,FALSE)</f>
        <v>0</v>
      </c>
      <c r="R157" s="117">
        <f>VLOOKUP(C157,'Talente &amp; Stuff'!CL:DM,16,FALSE)</f>
        <v>0</v>
      </c>
      <c r="S157" s="119">
        <f>VLOOKUP(C157,'Talente &amp; Stuff'!CL:DM,17,FALSE)</f>
        <v>0</v>
      </c>
      <c r="T157" s="119">
        <f>VLOOKUP(C157,'Talente &amp; Stuff'!CL:DM,18,FALSE)</f>
        <v>0</v>
      </c>
      <c r="U157" s="89">
        <f>VLOOKUP(C157,'Talente &amp; Stuff'!CL:DM,19,FALSE)</f>
        <v>0</v>
      </c>
      <c r="V157" s="47">
        <f>VLOOKUP(C157,'Talente &amp; Stuff'!CL:DM,20,FALSE)</f>
        <v>0</v>
      </c>
      <c r="W157" s="127">
        <f>VLOOKUP(C157,'Talente &amp; Stuff'!CL:DM,21,FALSE)</f>
        <v>0</v>
      </c>
      <c r="X157" s="127">
        <f>VLOOKUP(C157,'Talente &amp; Stuff'!CL:DM,22,FALSE)</f>
        <v>0</v>
      </c>
      <c r="Y157" s="165">
        <f t="shared" si="16"/>
        <v>0</v>
      </c>
      <c r="Z157" s="44">
        <f t="shared" si="17"/>
        <v>0</v>
      </c>
      <c r="AA157" s="125">
        <f>VLOOKUP(C157,'Talente &amp; Stuff'!CL:DM,25,FALSE)</f>
        <v>0</v>
      </c>
      <c r="AB157" s="160">
        <f>VLOOKUP(C157,'Talente &amp; Stuff'!CL:DM,26,FALSE)</f>
        <v>0</v>
      </c>
      <c r="AC157" s="127">
        <f>VLOOKUP(C157,'Talente &amp; Stuff'!CL:DM,27,FALSE)</f>
        <v>0</v>
      </c>
      <c r="AD157" s="125">
        <f>VLOOKUP(C157,'Talente &amp; Stuff'!CL:DM,28,FALSE)</f>
        <v>0</v>
      </c>
      <c r="AE157" s="28"/>
    </row>
    <row r="158" spans="2:31" ht="15" hidden="1" customHeight="1" outlineLevel="2">
      <c r="B158" s="148">
        <v>6</v>
      </c>
      <c r="C158" s="177" t="str">
        <f>Attribute!C158</f>
        <v>---</v>
      </c>
      <c r="D158" s="86" t="str">
        <f>VLOOKUP(C158,'Talente &amp; Stuff'!CL:DM,2,FALSE)</f>
        <v>--/--/--</v>
      </c>
      <c r="E158" s="167" t="str">
        <f>VLOOKUP(C158,'Talente &amp; Stuff'!CL:DM,3,FALSE)</f>
        <v>-</v>
      </c>
      <c r="F158" s="120">
        <f>VLOOKUP(C158,'Talente &amp; Stuff'!CL:DM,4,FALSE)</f>
        <v>0</v>
      </c>
      <c r="G158" s="117">
        <f>VLOOKUP(C158,'Talente &amp; Stuff'!CL:DM,5,FALSE)</f>
        <v>0</v>
      </c>
      <c r="H158" s="117">
        <f>VLOOKUP(C158,'Talente &amp; Stuff'!CL:DM,6,FALSE)</f>
        <v>0</v>
      </c>
      <c r="I158" s="117">
        <f>VLOOKUP(C158,'Talente &amp; Stuff'!CL:DM,7,FALSE)</f>
        <v>0</v>
      </c>
      <c r="J158" s="117">
        <f>VLOOKUP(C158,'Talente &amp; Stuff'!CL:DM,8,FALSE)</f>
        <v>0</v>
      </c>
      <c r="K158" s="117">
        <f>VLOOKUP(C158,'Talente &amp; Stuff'!CL:DM,9,FALSE)</f>
        <v>0</v>
      </c>
      <c r="L158" s="117">
        <f>VLOOKUP(C158,'Talente &amp; Stuff'!CL:DM,10,FALSE)</f>
        <v>0</v>
      </c>
      <c r="M158" s="121">
        <f>VLOOKUP(C158,'Talente &amp; Stuff'!CL:DM,11,FALSE)</f>
        <v>0</v>
      </c>
      <c r="N158" s="47">
        <f>VLOOKUP(C158,'Talente &amp; Stuff'!CL:DM,12,FALSE)</f>
        <v>0</v>
      </c>
      <c r="O158" s="3">
        <f>VLOOKUP(C158,'Talente &amp; Stuff'!CL:DM,13,FALSE)</f>
        <v>0</v>
      </c>
      <c r="P158" s="174">
        <f>VLOOKUP(C158,'Talente &amp; Stuff'!CL:DM,14,FALSE)</f>
        <v>0</v>
      </c>
      <c r="Q158" s="114">
        <f>VLOOKUP(C158,'Talente &amp; Stuff'!CL:DM,15,FALSE)</f>
        <v>0</v>
      </c>
      <c r="R158" s="117">
        <f>VLOOKUP(C158,'Talente &amp; Stuff'!CL:DM,16,FALSE)</f>
        <v>0</v>
      </c>
      <c r="S158" s="119">
        <f>VLOOKUP(C158,'Talente &amp; Stuff'!CL:DM,17,FALSE)</f>
        <v>0</v>
      </c>
      <c r="T158" s="119">
        <f>VLOOKUP(C158,'Talente &amp; Stuff'!CL:DM,18,FALSE)</f>
        <v>0</v>
      </c>
      <c r="U158" s="89">
        <f>VLOOKUP(C158,'Talente &amp; Stuff'!CL:DM,19,FALSE)</f>
        <v>0</v>
      </c>
      <c r="V158" s="47">
        <f>VLOOKUP(C158,'Talente &amp; Stuff'!CL:DM,20,FALSE)</f>
        <v>0</v>
      </c>
      <c r="W158" s="127">
        <f>VLOOKUP(C158,'Talente &amp; Stuff'!CL:DM,21,FALSE)</f>
        <v>0</v>
      </c>
      <c r="X158" s="127">
        <f>VLOOKUP(C158,'Talente &amp; Stuff'!CL:DM,22,FALSE)</f>
        <v>0</v>
      </c>
      <c r="Y158" s="165">
        <f t="shared" si="16"/>
        <v>0</v>
      </c>
      <c r="Z158" s="44">
        <f t="shared" si="17"/>
        <v>0</v>
      </c>
      <c r="AA158" s="125">
        <f>VLOOKUP(C158,'Talente &amp; Stuff'!CL:DM,25,FALSE)</f>
        <v>0</v>
      </c>
      <c r="AB158" s="160">
        <f>VLOOKUP(C158,'Talente &amp; Stuff'!CL:DM,26,FALSE)</f>
        <v>0</v>
      </c>
      <c r="AC158" s="127">
        <f>VLOOKUP(C158,'Talente &amp; Stuff'!CL:DM,27,FALSE)</f>
        <v>0</v>
      </c>
      <c r="AD158" s="125">
        <f>VLOOKUP(C158,'Talente &amp; Stuff'!CL:DM,28,FALSE)</f>
        <v>0</v>
      </c>
      <c r="AE158" s="28"/>
    </row>
    <row r="159" spans="2:31" ht="15" hidden="1" customHeight="1" outlineLevel="2">
      <c r="B159" s="148">
        <v>7</v>
      </c>
      <c r="C159" s="177" t="str">
        <f>Attribute!C159</f>
        <v>---</v>
      </c>
      <c r="D159" s="86" t="str">
        <f>VLOOKUP(C159,'Talente &amp; Stuff'!CL:DM,2,FALSE)</f>
        <v>--/--/--</v>
      </c>
      <c r="E159" s="167" t="str">
        <f>VLOOKUP(C159,'Talente &amp; Stuff'!CL:DM,3,FALSE)</f>
        <v>-</v>
      </c>
      <c r="F159" s="120">
        <f>VLOOKUP(C159,'Talente &amp; Stuff'!CL:DM,4,FALSE)</f>
        <v>0</v>
      </c>
      <c r="G159" s="117">
        <f>VLOOKUP(C159,'Talente &amp; Stuff'!CL:DM,5,FALSE)</f>
        <v>0</v>
      </c>
      <c r="H159" s="117">
        <f>VLOOKUP(C159,'Talente &amp; Stuff'!CL:DM,6,FALSE)</f>
        <v>0</v>
      </c>
      <c r="I159" s="117">
        <f>VLOOKUP(C159,'Talente &amp; Stuff'!CL:DM,7,FALSE)</f>
        <v>0</v>
      </c>
      <c r="J159" s="117">
        <f>VLOOKUP(C159,'Talente &amp; Stuff'!CL:DM,8,FALSE)</f>
        <v>0</v>
      </c>
      <c r="K159" s="117">
        <f>VLOOKUP(C159,'Talente &amp; Stuff'!CL:DM,9,FALSE)</f>
        <v>0</v>
      </c>
      <c r="L159" s="117">
        <f>VLOOKUP(C159,'Talente &amp; Stuff'!CL:DM,10,FALSE)</f>
        <v>0</v>
      </c>
      <c r="M159" s="121">
        <f>VLOOKUP(C159,'Talente &amp; Stuff'!CL:DM,11,FALSE)</f>
        <v>0</v>
      </c>
      <c r="N159" s="47">
        <f>VLOOKUP(C159,'Talente &amp; Stuff'!CL:DM,12,FALSE)</f>
        <v>0</v>
      </c>
      <c r="O159" s="3">
        <f>VLOOKUP(C159,'Talente &amp; Stuff'!CL:DM,13,FALSE)</f>
        <v>0</v>
      </c>
      <c r="P159" s="174">
        <f>VLOOKUP(C159,'Talente &amp; Stuff'!CL:DM,14,FALSE)</f>
        <v>0</v>
      </c>
      <c r="Q159" s="114">
        <f>VLOOKUP(C159,'Talente &amp; Stuff'!CL:DM,15,FALSE)</f>
        <v>0</v>
      </c>
      <c r="R159" s="117">
        <f>VLOOKUP(C159,'Talente &amp; Stuff'!CL:DM,16,FALSE)</f>
        <v>0</v>
      </c>
      <c r="S159" s="119">
        <f>VLOOKUP(C159,'Talente &amp; Stuff'!CL:DM,17,FALSE)</f>
        <v>0</v>
      </c>
      <c r="T159" s="119">
        <f>VLOOKUP(C159,'Talente &amp; Stuff'!CL:DM,18,FALSE)</f>
        <v>0</v>
      </c>
      <c r="U159" s="89">
        <f>VLOOKUP(C159,'Talente &amp; Stuff'!CL:DM,19,FALSE)</f>
        <v>0</v>
      </c>
      <c r="V159" s="47">
        <f>VLOOKUP(C159,'Talente &amp; Stuff'!CL:DM,20,FALSE)</f>
        <v>0</v>
      </c>
      <c r="W159" s="127">
        <f>VLOOKUP(C159,'Talente &amp; Stuff'!CL:DM,21,FALSE)</f>
        <v>0</v>
      </c>
      <c r="X159" s="127">
        <f>VLOOKUP(C159,'Talente &amp; Stuff'!CL:DM,22,FALSE)</f>
        <v>0</v>
      </c>
      <c r="Y159" s="165">
        <f t="shared" si="16"/>
        <v>0</v>
      </c>
      <c r="Z159" s="44">
        <f t="shared" si="17"/>
        <v>0</v>
      </c>
      <c r="AA159" s="125">
        <f>VLOOKUP(C159,'Talente &amp; Stuff'!CL:DM,25,FALSE)</f>
        <v>0</v>
      </c>
      <c r="AB159" s="160">
        <f>VLOOKUP(C159,'Talente &amp; Stuff'!CL:DM,26,FALSE)</f>
        <v>0</v>
      </c>
      <c r="AC159" s="127">
        <f>VLOOKUP(C159,'Talente &amp; Stuff'!CL:DM,27,FALSE)</f>
        <v>0</v>
      </c>
      <c r="AD159" s="125">
        <f>VLOOKUP(C159,'Talente &amp; Stuff'!CL:DM,28,FALSE)</f>
        <v>0</v>
      </c>
      <c r="AE159" s="28"/>
    </row>
    <row r="160" spans="2:31" ht="15" hidden="1" customHeight="1" outlineLevel="2">
      <c r="B160" s="148">
        <v>8</v>
      </c>
      <c r="C160" s="177" t="str">
        <f>Attribute!C160</f>
        <v>---</v>
      </c>
      <c r="D160" s="86" t="str">
        <f>VLOOKUP(C160,'Talente &amp; Stuff'!CL:DM,2,FALSE)</f>
        <v>--/--/--</v>
      </c>
      <c r="E160" s="167" t="str">
        <f>VLOOKUP(C160,'Talente &amp; Stuff'!CL:DM,3,FALSE)</f>
        <v>-</v>
      </c>
      <c r="F160" s="120">
        <f>VLOOKUP(C160,'Talente &amp; Stuff'!CL:DM,4,FALSE)</f>
        <v>0</v>
      </c>
      <c r="G160" s="117">
        <f>VLOOKUP(C160,'Talente &amp; Stuff'!CL:DM,5,FALSE)</f>
        <v>0</v>
      </c>
      <c r="H160" s="117">
        <f>VLOOKUP(C160,'Talente &amp; Stuff'!CL:DM,6,FALSE)</f>
        <v>0</v>
      </c>
      <c r="I160" s="117">
        <f>VLOOKUP(C160,'Talente &amp; Stuff'!CL:DM,7,FALSE)</f>
        <v>0</v>
      </c>
      <c r="J160" s="117">
        <f>VLOOKUP(C160,'Talente &amp; Stuff'!CL:DM,8,FALSE)</f>
        <v>0</v>
      </c>
      <c r="K160" s="117">
        <f>VLOOKUP(C160,'Talente &amp; Stuff'!CL:DM,9,FALSE)</f>
        <v>0</v>
      </c>
      <c r="L160" s="117">
        <f>VLOOKUP(C160,'Talente &amp; Stuff'!CL:DM,10,FALSE)</f>
        <v>0</v>
      </c>
      <c r="M160" s="121">
        <f>VLOOKUP(C160,'Talente &amp; Stuff'!CL:DM,11,FALSE)</f>
        <v>0</v>
      </c>
      <c r="N160" s="47">
        <f>VLOOKUP(C160,'Talente &amp; Stuff'!CL:DM,12,FALSE)</f>
        <v>0</v>
      </c>
      <c r="O160" s="3">
        <f>VLOOKUP(C160,'Talente &amp; Stuff'!CL:DM,13,FALSE)</f>
        <v>0</v>
      </c>
      <c r="P160" s="174">
        <f>VLOOKUP(C160,'Talente &amp; Stuff'!CL:DM,14,FALSE)</f>
        <v>0</v>
      </c>
      <c r="Q160" s="114">
        <f>VLOOKUP(C160,'Talente &amp; Stuff'!CL:DM,15,FALSE)</f>
        <v>0</v>
      </c>
      <c r="R160" s="117">
        <f>VLOOKUP(C160,'Talente &amp; Stuff'!CL:DM,16,FALSE)</f>
        <v>0</v>
      </c>
      <c r="S160" s="119">
        <f>VLOOKUP(C160,'Talente &amp; Stuff'!CL:DM,17,FALSE)</f>
        <v>0</v>
      </c>
      <c r="T160" s="119">
        <f>VLOOKUP(C160,'Talente &amp; Stuff'!CL:DM,18,FALSE)</f>
        <v>0</v>
      </c>
      <c r="U160" s="89">
        <f>VLOOKUP(C160,'Talente &amp; Stuff'!CL:DM,19,FALSE)</f>
        <v>0</v>
      </c>
      <c r="V160" s="47">
        <f>VLOOKUP(C160,'Talente &amp; Stuff'!CL:DM,20,FALSE)</f>
        <v>0</v>
      </c>
      <c r="W160" s="127">
        <f>VLOOKUP(C160,'Talente &amp; Stuff'!CL:DM,21,FALSE)</f>
        <v>0</v>
      </c>
      <c r="X160" s="127">
        <f>VLOOKUP(C160,'Talente &amp; Stuff'!CL:DM,22,FALSE)</f>
        <v>0</v>
      </c>
      <c r="Y160" s="165">
        <f t="shared" si="16"/>
        <v>0</v>
      </c>
      <c r="Z160" s="44">
        <f t="shared" si="17"/>
        <v>0</v>
      </c>
      <c r="AA160" s="125">
        <f>VLOOKUP(C160,'Talente &amp; Stuff'!CL:DM,25,FALSE)</f>
        <v>0</v>
      </c>
      <c r="AB160" s="160">
        <f>VLOOKUP(C160,'Talente &amp; Stuff'!CL:DM,26,FALSE)</f>
        <v>0</v>
      </c>
      <c r="AC160" s="127">
        <f>VLOOKUP(C160,'Talente &amp; Stuff'!CL:DM,27,FALSE)</f>
        <v>0</v>
      </c>
      <c r="AD160" s="125">
        <f>VLOOKUP(C160,'Talente &amp; Stuff'!CL:DM,28,FALSE)</f>
        <v>0</v>
      </c>
      <c r="AE160" s="28"/>
    </row>
    <row r="161" spans="2:31" ht="15" hidden="1" customHeight="1" outlineLevel="2">
      <c r="B161" s="148">
        <v>9</v>
      </c>
      <c r="C161" s="177" t="str">
        <f>Attribute!C161</f>
        <v>---</v>
      </c>
      <c r="D161" s="86" t="str">
        <f>VLOOKUP(C161,'Talente &amp; Stuff'!CL:DM,2,FALSE)</f>
        <v>--/--/--</v>
      </c>
      <c r="E161" s="167" t="str">
        <f>VLOOKUP(C161,'Talente &amp; Stuff'!CL:DM,3,FALSE)</f>
        <v>-</v>
      </c>
      <c r="F161" s="120">
        <f>VLOOKUP(C161,'Talente &amp; Stuff'!CL:DM,4,FALSE)</f>
        <v>0</v>
      </c>
      <c r="G161" s="117">
        <f>VLOOKUP(C161,'Talente &amp; Stuff'!CL:DM,5,FALSE)</f>
        <v>0</v>
      </c>
      <c r="H161" s="117">
        <f>VLOOKUP(C161,'Talente &amp; Stuff'!CL:DM,6,FALSE)</f>
        <v>0</v>
      </c>
      <c r="I161" s="117">
        <f>VLOOKUP(C161,'Talente &amp; Stuff'!CL:DM,7,FALSE)</f>
        <v>0</v>
      </c>
      <c r="J161" s="117">
        <f>VLOOKUP(C161,'Talente &amp; Stuff'!CL:DM,8,FALSE)</f>
        <v>0</v>
      </c>
      <c r="K161" s="117">
        <f>VLOOKUP(C161,'Talente &amp; Stuff'!CL:DM,9,FALSE)</f>
        <v>0</v>
      </c>
      <c r="L161" s="117">
        <f>VLOOKUP(C161,'Talente &amp; Stuff'!CL:DM,10,FALSE)</f>
        <v>0</v>
      </c>
      <c r="M161" s="121">
        <f>VLOOKUP(C161,'Talente &amp; Stuff'!CL:DM,11,FALSE)</f>
        <v>0</v>
      </c>
      <c r="N161" s="47">
        <f>VLOOKUP(C161,'Talente &amp; Stuff'!CL:DM,12,FALSE)</f>
        <v>0</v>
      </c>
      <c r="O161" s="3">
        <f>VLOOKUP(C161,'Talente &amp; Stuff'!CL:DM,13,FALSE)</f>
        <v>0</v>
      </c>
      <c r="P161" s="174">
        <f>VLOOKUP(C161,'Talente &amp; Stuff'!CL:DM,14,FALSE)</f>
        <v>0</v>
      </c>
      <c r="Q161" s="114">
        <f>VLOOKUP(C161,'Talente &amp; Stuff'!CL:DM,15,FALSE)</f>
        <v>0</v>
      </c>
      <c r="R161" s="117">
        <f>VLOOKUP(C161,'Talente &amp; Stuff'!CL:DM,16,FALSE)</f>
        <v>0</v>
      </c>
      <c r="S161" s="119">
        <f>VLOOKUP(C161,'Talente &amp; Stuff'!CL:DM,17,FALSE)</f>
        <v>0</v>
      </c>
      <c r="T161" s="119">
        <f>VLOOKUP(C161,'Talente &amp; Stuff'!CL:DM,18,FALSE)</f>
        <v>0</v>
      </c>
      <c r="U161" s="89">
        <f>VLOOKUP(C161,'Talente &amp; Stuff'!CL:DM,19,FALSE)</f>
        <v>0</v>
      </c>
      <c r="V161" s="47">
        <f>VLOOKUP(C161,'Talente &amp; Stuff'!CL:DM,20,FALSE)</f>
        <v>0</v>
      </c>
      <c r="W161" s="127">
        <f>VLOOKUP(C161,'Talente &amp; Stuff'!CL:DM,21,FALSE)</f>
        <v>0</v>
      </c>
      <c r="X161" s="127">
        <f>VLOOKUP(C161,'Talente &amp; Stuff'!CL:DM,22,FALSE)</f>
        <v>0</v>
      </c>
      <c r="Y161" s="165">
        <f t="shared" si="16"/>
        <v>0</v>
      </c>
      <c r="Z161" s="44">
        <f t="shared" si="17"/>
        <v>0</v>
      </c>
      <c r="AA161" s="125">
        <f>VLOOKUP(C161,'Talente &amp; Stuff'!CL:DM,25,FALSE)</f>
        <v>0</v>
      </c>
      <c r="AB161" s="160">
        <f>VLOOKUP(C161,'Talente &amp; Stuff'!CL:DM,26,FALSE)</f>
        <v>0</v>
      </c>
      <c r="AC161" s="127">
        <f>VLOOKUP(C161,'Talente &amp; Stuff'!CL:DM,27,FALSE)</f>
        <v>0</v>
      </c>
      <c r="AD161" s="125">
        <f>VLOOKUP(C161,'Talente &amp; Stuff'!CL:DM,28,FALSE)</f>
        <v>0</v>
      </c>
      <c r="AE161" s="28"/>
    </row>
    <row r="162" spans="2:31" ht="15" hidden="1" customHeight="1" outlineLevel="2">
      <c r="B162" s="148">
        <v>10</v>
      </c>
      <c r="C162" s="177" t="str">
        <f>Attribute!C162</f>
        <v>---</v>
      </c>
      <c r="D162" s="86" t="str">
        <f>VLOOKUP(C162,'Talente &amp; Stuff'!CL:DM,2,FALSE)</f>
        <v>--/--/--</v>
      </c>
      <c r="E162" s="167" t="str">
        <f>VLOOKUP(C162,'Talente &amp; Stuff'!CL:DM,3,FALSE)</f>
        <v>-</v>
      </c>
      <c r="F162" s="120">
        <f>VLOOKUP(C162,'Talente &amp; Stuff'!CL:DM,4,FALSE)</f>
        <v>0</v>
      </c>
      <c r="G162" s="117">
        <f>VLOOKUP(C162,'Talente &amp; Stuff'!CL:DM,5,FALSE)</f>
        <v>0</v>
      </c>
      <c r="H162" s="117">
        <f>VLOOKUP(C162,'Talente &amp; Stuff'!CL:DM,6,FALSE)</f>
        <v>0</v>
      </c>
      <c r="I162" s="117">
        <f>VLOOKUP(C162,'Talente &amp; Stuff'!CL:DM,7,FALSE)</f>
        <v>0</v>
      </c>
      <c r="J162" s="117">
        <f>VLOOKUP(C162,'Talente &amp; Stuff'!CL:DM,8,FALSE)</f>
        <v>0</v>
      </c>
      <c r="K162" s="117">
        <f>VLOOKUP(C162,'Talente &amp; Stuff'!CL:DM,9,FALSE)</f>
        <v>0</v>
      </c>
      <c r="L162" s="117">
        <f>VLOOKUP(C162,'Talente &amp; Stuff'!CL:DM,10,FALSE)</f>
        <v>0</v>
      </c>
      <c r="M162" s="121">
        <f>VLOOKUP(C162,'Talente &amp; Stuff'!CL:DM,11,FALSE)</f>
        <v>0</v>
      </c>
      <c r="N162" s="47">
        <f>VLOOKUP(C162,'Talente &amp; Stuff'!CL:DM,12,FALSE)</f>
        <v>0</v>
      </c>
      <c r="O162" s="3">
        <f>VLOOKUP(C162,'Talente &amp; Stuff'!CL:DM,13,FALSE)</f>
        <v>0</v>
      </c>
      <c r="P162" s="174">
        <f>VLOOKUP(C162,'Talente &amp; Stuff'!CL:DM,14,FALSE)</f>
        <v>0</v>
      </c>
      <c r="Q162" s="114">
        <f>VLOOKUP(C162,'Talente &amp; Stuff'!CL:DM,15,FALSE)</f>
        <v>0</v>
      </c>
      <c r="R162" s="117">
        <f>VLOOKUP(C162,'Talente &amp; Stuff'!CL:DM,16,FALSE)</f>
        <v>0</v>
      </c>
      <c r="S162" s="119">
        <f>VLOOKUP(C162,'Talente &amp; Stuff'!CL:DM,17,FALSE)</f>
        <v>0</v>
      </c>
      <c r="T162" s="119">
        <f>VLOOKUP(C162,'Talente &amp; Stuff'!CL:DM,18,FALSE)</f>
        <v>0</v>
      </c>
      <c r="U162" s="89">
        <f>VLOOKUP(C162,'Talente &amp; Stuff'!CL:DM,19,FALSE)</f>
        <v>0</v>
      </c>
      <c r="V162" s="47">
        <f>VLOOKUP(C162,'Talente &amp; Stuff'!CL:DM,20,FALSE)</f>
        <v>0</v>
      </c>
      <c r="W162" s="127">
        <f>VLOOKUP(C162,'Talente &amp; Stuff'!CL:DM,21,FALSE)</f>
        <v>0</v>
      </c>
      <c r="X162" s="127">
        <f>VLOOKUP(C162,'Talente &amp; Stuff'!CL:DM,22,FALSE)</f>
        <v>0</v>
      </c>
      <c r="Y162" s="165">
        <f t="shared" si="16"/>
        <v>0</v>
      </c>
      <c r="Z162" s="44">
        <f t="shared" si="17"/>
        <v>0</v>
      </c>
      <c r="AA162" s="125">
        <f>VLOOKUP(C162,'Talente &amp; Stuff'!CL:DM,25,FALSE)</f>
        <v>0</v>
      </c>
      <c r="AB162" s="160">
        <f>VLOOKUP(C162,'Talente &amp; Stuff'!CL:DM,26,FALSE)</f>
        <v>0</v>
      </c>
      <c r="AC162" s="127">
        <f>VLOOKUP(C162,'Talente &amp; Stuff'!CL:DM,27,FALSE)</f>
        <v>0</v>
      </c>
      <c r="AD162" s="125">
        <f>VLOOKUP(C162,'Talente &amp; Stuff'!CL:DM,28,FALSE)</f>
        <v>0</v>
      </c>
      <c r="AE162" s="28"/>
    </row>
    <row r="163" spans="2:31" ht="15" hidden="1" customHeight="1" outlineLevel="2">
      <c r="B163" s="148">
        <v>11</v>
      </c>
      <c r="C163" s="177" t="str">
        <f>Attribute!C163</f>
        <v>---</v>
      </c>
      <c r="D163" s="86" t="str">
        <f>VLOOKUP(C163,'Talente &amp; Stuff'!CL:DM,2,FALSE)</f>
        <v>--/--/--</v>
      </c>
      <c r="E163" s="167" t="str">
        <f>VLOOKUP(C163,'Talente &amp; Stuff'!CL:DM,3,FALSE)</f>
        <v>-</v>
      </c>
      <c r="F163" s="120">
        <f>VLOOKUP(C163,'Talente &amp; Stuff'!CL:DM,4,FALSE)</f>
        <v>0</v>
      </c>
      <c r="G163" s="117">
        <f>VLOOKUP(C163,'Talente &amp; Stuff'!CL:DM,5,FALSE)</f>
        <v>0</v>
      </c>
      <c r="H163" s="117">
        <f>VLOOKUP(C163,'Talente &amp; Stuff'!CL:DM,6,FALSE)</f>
        <v>0</v>
      </c>
      <c r="I163" s="117">
        <f>VLOOKUP(C163,'Talente &amp; Stuff'!CL:DM,7,FALSE)</f>
        <v>0</v>
      </c>
      <c r="J163" s="117">
        <f>VLOOKUP(C163,'Talente &amp; Stuff'!CL:DM,8,FALSE)</f>
        <v>0</v>
      </c>
      <c r="K163" s="117">
        <f>VLOOKUP(C163,'Talente &amp; Stuff'!CL:DM,9,FALSE)</f>
        <v>0</v>
      </c>
      <c r="L163" s="117">
        <f>VLOOKUP(C163,'Talente &amp; Stuff'!CL:DM,10,FALSE)</f>
        <v>0</v>
      </c>
      <c r="M163" s="121">
        <f>VLOOKUP(C163,'Talente &amp; Stuff'!CL:DM,11,FALSE)</f>
        <v>0</v>
      </c>
      <c r="N163" s="47">
        <f>VLOOKUP(C163,'Talente &amp; Stuff'!CL:DM,12,FALSE)</f>
        <v>0</v>
      </c>
      <c r="O163" s="3">
        <f>VLOOKUP(C163,'Talente &amp; Stuff'!CL:DM,13,FALSE)</f>
        <v>0</v>
      </c>
      <c r="P163" s="174">
        <f>VLOOKUP(C163,'Talente &amp; Stuff'!CL:DM,14,FALSE)</f>
        <v>0</v>
      </c>
      <c r="Q163" s="114">
        <f>VLOOKUP(C163,'Talente &amp; Stuff'!CL:DM,15,FALSE)</f>
        <v>0</v>
      </c>
      <c r="R163" s="117">
        <f>VLOOKUP(C163,'Talente &amp; Stuff'!CL:DM,16,FALSE)</f>
        <v>0</v>
      </c>
      <c r="S163" s="119">
        <f>VLOOKUP(C163,'Talente &amp; Stuff'!CL:DM,17,FALSE)</f>
        <v>0</v>
      </c>
      <c r="T163" s="119">
        <f>VLOOKUP(C163,'Talente &amp; Stuff'!CL:DM,18,FALSE)</f>
        <v>0</v>
      </c>
      <c r="U163" s="89">
        <f>VLOOKUP(C163,'Talente &amp; Stuff'!CL:DM,19,FALSE)</f>
        <v>0</v>
      </c>
      <c r="V163" s="47">
        <f>VLOOKUP(C163,'Talente &amp; Stuff'!CL:DM,20,FALSE)</f>
        <v>0</v>
      </c>
      <c r="W163" s="127">
        <f>VLOOKUP(C163,'Talente &amp; Stuff'!CL:DM,21,FALSE)</f>
        <v>0</v>
      </c>
      <c r="X163" s="127">
        <f>VLOOKUP(C163,'Talente &amp; Stuff'!CL:DM,22,FALSE)</f>
        <v>0</v>
      </c>
      <c r="Y163" s="165">
        <f t="shared" si="16"/>
        <v>0</v>
      </c>
      <c r="Z163" s="44">
        <f t="shared" si="17"/>
        <v>0</v>
      </c>
      <c r="AA163" s="125">
        <f>VLOOKUP(C163,'Talente &amp; Stuff'!CL:DM,25,FALSE)</f>
        <v>0</v>
      </c>
      <c r="AB163" s="160">
        <f>VLOOKUP(C163,'Talente &amp; Stuff'!CL:DM,26,FALSE)</f>
        <v>0</v>
      </c>
      <c r="AC163" s="127">
        <f>VLOOKUP(C163,'Talente &amp; Stuff'!CL:DM,27,FALSE)</f>
        <v>0</v>
      </c>
      <c r="AD163" s="125">
        <f>VLOOKUP(C163,'Talente &amp; Stuff'!CL:DM,28,FALSE)</f>
        <v>0</v>
      </c>
      <c r="AE163" s="28"/>
    </row>
    <row r="164" spans="2:31" ht="15" hidden="1" customHeight="1" outlineLevel="2">
      <c r="B164" s="148">
        <v>12</v>
      </c>
      <c r="C164" s="177" t="str">
        <f>Attribute!C164</f>
        <v>---</v>
      </c>
      <c r="D164" s="86" t="str">
        <f>VLOOKUP(C164,'Talente &amp; Stuff'!CL:DM,2,FALSE)</f>
        <v>--/--/--</v>
      </c>
      <c r="E164" s="167" t="str">
        <f>VLOOKUP(C164,'Talente &amp; Stuff'!CL:DM,3,FALSE)</f>
        <v>-</v>
      </c>
      <c r="F164" s="120">
        <f>VLOOKUP(C164,'Talente &amp; Stuff'!CL:DM,4,FALSE)</f>
        <v>0</v>
      </c>
      <c r="G164" s="117">
        <f>VLOOKUP(C164,'Talente &amp; Stuff'!CL:DM,5,FALSE)</f>
        <v>0</v>
      </c>
      <c r="H164" s="117">
        <f>VLOOKUP(C164,'Talente &amp; Stuff'!CL:DM,6,FALSE)</f>
        <v>0</v>
      </c>
      <c r="I164" s="117">
        <f>VLOOKUP(C164,'Talente &amp; Stuff'!CL:DM,7,FALSE)</f>
        <v>0</v>
      </c>
      <c r="J164" s="117">
        <f>VLOOKUP(C164,'Talente &amp; Stuff'!CL:DM,8,FALSE)</f>
        <v>0</v>
      </c>
      <c r="K164" s="117">
        <f>VLOOKUP(C164,'Talente &amp; Stuff'!CL:DM,9,FALSE)</f>
        <v>0</v>
      </c>
      <c r="L164" s="117">
        <f>VLOOKUP(C164,'Talente &amp; Stuff'!CL:DM,10,FALSE)</f>
        <v>0</v>
      </c>
      <c r="M164" s="121">
        <f>VLOOKUP(C164,'Talente &amp; Stuff'!CL:DM,11,FALSE)</f>
        <v>0</v>
      </c>
      <c r="N164" s="47">
        <f>VLOOKUP(C164,'Talente &amp; Stuff'!CL:DM,12,FALSE)</f>
        <v>0</v>
      </c>
      <c r="O164" s="3">
        <f>VLOOKUP(C164,'Talente &amp; Stuff'!CL:DM,13,FALSE)</f>
        <v>0</v>
      </c>
      <c r="P164" s="174">
        <f>VLOOKUP(C164,'Talente &amp; Stuff'!CL:DM,14,FALSE)</f>
        <v>0</v>
      </c>
      <c r="Q164" s="114">
        <f>VLOOKUP(C164,'Talente &amp; Stuff'!CL:DM,15,FALSE)</f>
        <v>0</v>
      </c>
      <c r="R164" s="117">
        <f>VLOOKUP(C164,'Talente &amp; Stuff'!CL:DM,16,FALSE)</f>
        <v>0</v>
      </c>
      <c r="S164" s="119">
        <f>VLOOKUP(C164,'Talente &amp; Stuff'!CL:DM,17,FALSE)</f>
        <v>0</v>
      </c>
      <c r="T164" s="119">
        <f>VLOOKUP(C164,'Talente &amp; Stuff'!CL:DM,18,FALSE)</f>
        <v>0</v>
      </c>
      <c r="U164" s="89">
        <f>VLOOKUP(C164,'Talente &amp; Stuff'!CL:DM,19,FALSE)</f>
        <v>0</v>
      </c>
      <c r="V164" s="47">
        <f>VLOOKUP(C164,'Talente &amp; Stuff'!CL:DM,20,FALSE)</f>
        <v>0</v>
      </c>
      <c r="W164" s="127">
        <f>VLOOKUP(C164,'Talente &amp; Stuff'!CL:DM,21,FALSE)</f>
        <v>0</v>
      </c>
      <c r="X164" s="127">
        <f>VLOOKUP(C164,'Talente &amp; Stuff'!CL:DM,22,FALSE)</f>
        <v>0</v>
      </c>
      <c r="Y164" s="165">
        <f t="shared" si="16"/>
        <v>0</v>
      </c>
      <c r="Z164" s="44">
        <f t="shared" si="17"/>
        <v>0</v>
      </c>
      <c r="AA164" s="125">
        <f>VLOOKUP(C164,'Talente &amp; Stuff'!CL:DM,25,FALSE)</f>
        <v>0</v>
      </c>
      <c r="AB164" s="160">
        <f>VLOOKUP(C164,'Talente &amp; Stuff'!CL:DM,26,FALSE)</f>
        <v>0</v>
      </c>
      <c r="AC164" s="127">
        <f>VLOOKUP(C164,'Talente &amp; Stuff'!CL:DM,27,FALSE)</f>
        <v>0</v>
      </c>
      <c r="AD164" s="125">
        <f>VLOOKUP(C164,'Talente &amp; Stuff'!CL:DM,28,FALSE)</f>
        <v>0</v>
      </c>
      <c r="AE164" s="28"/>
    </row>
    <row r="165" spans="2:31" ht="15" hidden="1" customHeight="1" outlineLevel="2">
      <c r="B165" s="148">
        <v>13</v>
      </c>
      <c r="C165" s="177" t="str">
        <f>Attribute!C165</f>
        <v>---</v>
      </c>
      <c r="D165" s="86" t="str">
        <f>VLOOKUP(C165,'Talente &amp; Stuff'!CL:DM,2,FALSE)</f>
        <v>--/--/--</v>
      </c>
      <c r="E165" s="167" t="str">
        <f>VLOOKUP(C165,'Talente &amp; Stuff'!CL:DM,3,FALSE)</f>
        <v>-</v>
      </c>
      <c r="F165" s="120">
        <f>VLOOKUP(C165,'Talente &amp; Stuff'!CL:DM,4,FALSE)</f>
        <v>0</v>
      </c>
      <c r="G165" s="117">
        <f>VLOOKUP(C165,'Talente &amp; Stuff'!CL:DM,5,FALSE)</f>
        <v>0</v>
      </c>
      <c r="H165" s="117">
        <f>VLOOKUP(C165,'Talente &amp; Stuff'!CL:DM,6,FALSE)</f>
        <v>0</v>
      </c>
      <c r="I165" s="117">
        <f>VLOOKUP(C165,'Talente &amp; Stuff'!CL:DM,7,FALSE)</f>
        <v>0</v>
      </c>
      <c r="J165" s="117">
        <f>VLOOKUP(C165,'Talente &amp; Stuff'!CL:DM,8,FALSE)</f>
        <v>0</v>
      </c>
      <c r="K165" s="117">
        <f>VLOOKUP(C165,'Talente &amp; Stuff'!CL:DM,9,FALSE)</f>
        <v>0</v>
      </c>
      <c r="L165" s="117">
        <f>VLOOKUP(C165,'Talente &amp; Stuff'!CL:DM,10,FALSE)</f>
        <v>0</v>
      </c>
      <c r="M165" s="121">
        <f>VLOOKUP(C165,'Talente &amp; Stuff'!CL:DM,11,FALSE)</f>
        <v>0</v>
      </c>
      <c r="N165" s="47">
        <f>VLOOKUP(C165,'Talente &amp; Stuff'!CL:DM,12,FALSE)</f>
        <v>0</v>
      </c>
      <c r="O165" s="3">
        <f>VLOOKUP(C165,'Talente &amp; Stuff'!CL:DM,13,FALSE)</f>
        <v>0</v>
      </c>
      <c r="P165" s="174">
        <f>VLOOKUP(C165,'Talente &amp; Stuff'!CL:DM,14,FALSE)</f>
        <v>0</v>
      </c>
      <c r="Q165" s="114">
        <f>VLOOKUP(C165,'Talente &amp; Stuff'!CL:DM,15,FALSE)</f>
        <v>0</v>
      </c>
      <c r="R165" s="117">
        <f>VLOOKUP(C165,'Talente &amp; Stuff'!CL:DM,16,FALSE)</f>
        <v>0</v>
      </c>
      <c r="S165" s="119">
        <f>VLOOKUP(C165,'Talente &amp; Stuff'!CL:DM,17,FALSE)</f>
        <v>0</v>
      </c>
      <c r="T165" s="119">
        <f>VLOOKUP(C165,'Talente &amp; Stuff'!CL:DM,18,FALSE)</f>
        <v>0</v>
      </c>
      <c r="U165" s="89">
        <f>VLOOKUP(C165,'Talente &amp; Stuff'!CL:DM,19,FALSE)</f>
        <v>0</v>
      </c>
      <c r="V165" s="47">
        <f>VLOOKUP(C165,'Talente &amp; Stuff'!CL:DM,20,FALSE)</f>
        <v>0</v>
      </c>
      <c r="W165" s="127">
        <f>VLOOKUP(C165,'Talente &amp; Stuff'!CL:DM,21,FALSE)</f>
        <v>0</v>
      </c>
      <c r="X165" s="127">
        <f>VLOOKUP(C165,'Talente &amp; Stuff'!CL:DM,22,FALSE)</f>
        <v>0</v>
      </c>
      <c r="Y165" s="165">
        <f t="shared" si="16"/>
        <v>0</v>
      </c>
      <c r="Z165" s="44">
        <f t="shared" si="17"/>
        <v>0</v>
      </c>
      <c r="AA165" s="125">
        <f>VLOOKUP(C165,'Talente &amp; Stuff'!CL:DM,25,FALSE)</f>
        <v>0</v>
      </c>
      <c r="AB165" s="160">
        <f>VLOOKUP(C165,'Talente &amp; Stuff'!CL:DM,26,FALSE)</f>
        <v>0</v>
      </c>
      <c r="AC165" s="127">
        <f>VLOOKUP(C165,'Talente &amp; Stuff'!CL:DM,27,FALSE)</f>
        <v>0</v>
      </c>
      <c r="AD165" s="125">
        <f>VLOOKUP(C165,'Talente &amp; Stuff'!CL:DM,28,FALSE)</f>
        <v>0</v>
      </c>
      <c r="AE165" s="28"/>
    </row>
    <row r="166" spans="2:31" ht="15" hidden="1" customHeight="1" outlineLevel="2">
      <c r="B166" s="148">
        <v>14</v>
      </c>
      <c r="C166" s="177" t="str">
        <f>Attribute!C166</f>
        <v>---</v>
      </c>
      <c r="D166" s="86" t="str">
        <f>VLOOKUP(C166,'Talente &amp; Stuff'!CL:DM,2,FALSE)</f>
        <v>--/--/--</v>
      </c>
      <c r="E166" s="167" t="str">
        <f>VLOOKUP(C166,'Talente &amp; Stuff'!CL:DM,3,FALSE)</f>
        <v>-</v>
      </c>
      <c r="F166" s="120">
        <f>VLOOKUP(C166,'Talente &amp; Stuff'!CL:DM,4,FALSE)</f>
        <v>0</v>
      </c>
      <c r="G166" s="117">
        <f>VLOOKUP(C166,'Talente &amp; Stuff'!CL:DM,5,FALSE)</f>
        <v>0</v>
      </c>
      <c r="H166" s="117">
        <f>VLOOKUP(C166,'Talente &amp; Stuff'!CL:DM,6,FALSE)</f>
        <v>0</v>
      </c>
      <c r="I166" s="117">
        <f>VLOOKUP(C166,'Talente &amp; Stuff'!CL:DM,7,FALSE)</f>
        <v>0</v>
      </c>
      <c r="J166" s="117">
        <f>VLOOKUP(C166,'Talente &amp; Stuff'!CL:DM,8,FALSE)</f>
        <v>0</v>
      </c>
      <c r="K166" s="117">
        <f>VLOOKUP(C166,'Talente &amp; Stuff'!CL:DM,9,FALSE)</f>
        <v>0</v>
      </c>
      <c r="L166" s="117">
        <f>VLOOKUP(C166,'Talente &amp; Stuff'!CL:DM,10,FALSE)</f>
        <v>0</v>
      </c>
      <c r="M166" s="121">
        <f>VLOOKUP(C166,'Talente &amp; Stuff'!CL:DM,11,FALSE)</f>
        <v>0</v>
      </c>
      <c r="N166" s="47">
        <f>VLOOKUP(C166,'Talente &amp; Stuff'!CL:DM,12,FALSE)</f>
        <v>0</v>
      </c>
      <c r="O166" s="3">
        <f>VLOOKUP(C166,'Talente &amp; Stuff'!CL:DM,13,FALSE)</f>
        <v>0</v>
      </c>
      <c r="P166" s="174">
        <f>VLOOKUP(C166,'Talente &amp; Stuff'!CL:DM,14,FALSE)</f>
        <v>0</v>
      </c>
      <c r="Q166" s="114">
        <f>VLOOKUP(C166,'Talente &amp; Stuff'!CL:DM,15,FALSE)</f>
        <v>0</v>
      </c>
      <c r="R166" s="117">
        <f>VLOOKUP(C166,'Talente &amp; Stuff'!CL:DM,16,FALSE)</f>
        <v>0</v>
      </c>
      <c r="S166" s="119">
        <f>VLOOKUP(C166,'Talente &amp; Stuff'!CL:DM,17,FALSE)</f>
        <v>0</v>
      </c>
      <c r="T166" s="119">
        <f>VLOOKUP(C166,'Talente &amp; Stuff'!CL:DM,18,FALSE)</f>
        <v>0</v>
      </c>
      <c r="U166" s="89">
        <f>VLOOKUP(C166,'Talente &amp; Stuff'!CL:DM,19,FALSE)</f>
        <v>0</v>
      </c>
      <c r="V166" s="47">
        <f>VLOOKUP(C166,'Talente &amp; Stuff'!CL:DM,20,FALSE)</f>
        <v>0</v>
      </c>
      <c r="W166" s="127">
        <f>VLOOKUP(C166,'Talente &amp; Stuff'!CL:DM,21,FALSE)</f>
        <v>0</v>
      </c>
      <c r="X166" s="127">
        <f>VLOOKUP(C166,'Talente &amp; Stuff'!CL:DM,22,FALSE)</f>
        <v>0</v>
      </c>
      <c r="Y166" s="165">
        <f t="shared" si="16"/>
        <v>0</v>
      </c>
      <c r="Z166" s="44">
        <f t="shared" si="17"/>
        <v>0</v>
      </c>
      <c r="AA166" s="125">
        <f>VLOOKUP(C166,'Talente &amp; Stuff'!CL:DM,25,FALSE)</f>
        <v>0</v>
      </c>
      <c r="AB166" s="160">
        <f>VLOOKUP(C166,'Talente &amp; Stuff'!CL:DM,26,FALSE)</f>
        <v>0</v>
      </c>
      <c r="AC166" s="127">
        <f>VLOOKUP(C166,'Talente &amp; Stuff'!CL:DM,27,FALSE)</f>
        <v>0</v>
      </c>
      <c r="AD166" s="125">
        <f>VLOOKUP(C166,'Talente &amp; Stuff'!CL:DM,28,FALSE)</f>
        <v>0</v>
      </c>
      <c r="AE166" s="28"/>
    </row>
    <row r="167" spans="2:31" ht="15" hidden="1" customHeight="1" outlineLevel="2">
      <c r="B167" s="148">
        <v>15</v>
      </c>
      <c r="C167" s="177" t="str">
        <f>Attribute!C167</f>
        <v>---</v>
      </c>
      <c r="D167" s="86" t="str">
        <f>VLOOKUP(C167,'Talente &amp; Stuff'!CL:DM,2,FALSE)</f>
        <v>--/--/--</v>
      </c>
      <c r="E167" s="167" t="str">
        <f>VLOOKUP(C167,'Talente &amp; Stuff'!CL:DM,3,FALSE)</f>
        <v>-</v>
      </c>
      <c r="F167" s="120">
        <f>VLOOKUP(C167,'Talente &amp; Stuff'!CL:DM,4,FALSE)</f>
        <v>0</v>
      </c>
      <c r="G167" s="117">
        <f>VLOOKUP(C167,'Talente &amp; Stuff'!CL:DM,5,FALSE)</f>
        <v>0</v>
      </c>
      <c r="H167" s="117">
        <f>VLOOKUP(C167,'Talente &amp; Stuff'!CL:DM,6,FALSE)</f>
        <v>0</v>
      </c>
      <c r="I167" s="117">
        <f>VLOOKUP(C167,'Talente &amp; Stuff'!CL:DM,7,FALSE)</f>
        <v>0</v>
      </c>
      <c r="J167" s="117">
        <f>VLOOKUP(C167,'Talente &amp; Stuff'!CL:DM,8,FALSE)</f>
        <v>0</v>
      </c>
      <c r="K167" s="117">
        <f>VLOOKUP(C167,'Talente &amp; Stuff'!CL:DM,9,FALSE)</f>
        <v>0</v>
      </c>
      <c r="L167" s="117">
        <f>VLOOKUP(C167,'Talente &amp; Stuff'!CL:DM,10,FALSE)</f>
        <v>0</v>
      </c>
      <c r="M167" s="121">
        <f>VLOOKUP(C167,'Talente &amp; Stuff'!CL:DM,11,FALSE)</f>
        <v>0</v>
      </c>
      <c r="N167" s="47">
        <f>VLOOKUP(C167,'Talente &amp; Stuff'!CL:DM,12,FALSE)</f>
        <v>0</v>
      </c>
      <c r="O167" s="3">
        <f>VLOOKUP(C167,'Talente &amp; Stuff'!CL:DM,13,FALSE)</f>
        <v>0</v>
      </c>
      <c r="P167" s="174">
        <f>VLOOKUP(C167,'Talente &amp; Stuff'!CL:DM,14,FALSE)</f>
        <v>0</v>
      </c>
      <c r="Q167" s="114">
        <f>VLOOKUP(C167,'Talente &amp; Stuff'!CL:DM,15,FALSE)</f>
        <v>0</v>
      </c>
      <c r="R167" s="117">
        <f>VLOOKUP(C167,'Talente &amp; Stuff'!CL:DM,16,FALSE)</f>
        <v>0</v>
      </c>
      <c r="S167" s="119">
        <f>VLOOKUP(C167,'Talente &amp; Stuff'!CL:DM,17,FALSE)</f>
        <v>0</v>
      </c>
      <c r="T167" s="119">
        <f>VLOOKUP(C167,'Talente &amp; Stuff'!CL:DM,18,FALSE)</f>
        <v>0</v>
      </c>
      <c r="U167" s="89">
        <f>VLOOKUP(C167,'Talente &amp; Stuff'!CL:DM,19,FALSE)</f>
        <v>0</v>
      </c>
      <c r="V167" s="47">
        <f>VLOOKUP(C167,'Talente &amp; Stuff'!CL:DM,20,FALSE)</f>
        <v>0</v>
      </c>
      <c r="W167" s="127">
        <f>VLOOKUP(C167,'Talente &amp; Stuff'!CL:DM,21,FALSE)</f>
        <v>0</v>
      </c>
      <c r="X167" s="127">
        <f>VLOOKUP(C167,'Talente &amp; Stuff'!CL:DM,22,FALSE)</f>
        <v>0</v>
      </c>
      <c r="Y167" s="165">
        <f t="shared" si="16"/>
        <v>0</v>
      </c>
      <c r="Z167" s="44">
        <f t="shared" si="17"/>
        <v>0</v>
      </c>
      <c r="AA167" s="125">
        <f>VLOOKUP(C167,'Talente &amp; Stuff'!CL:DM,25,FALSE)</f>
        <v>0</v>
      </c>
      <c r="AB167" s="160">
        <f>VLOOKUP(C167,'Talente &amp; Stuff'!CL:DM,26,FALSE)</f>
        <v>0</v>
      </c>
      <c r="AC167" s="127">
        <f>VLOOKUP(C167,'Talente &amp; Stuff'!CL:DM,27,FALSE)</f>
        <v>0</v>
      </c>
      <c r="AD167" s="125">
        <f>VLOOKUP(C167,'Talente &amp; Stuff'!CL:DM,28,FALSE)</f>
        <v>0</v>
      </c>
      <c r="AE167" s="28"/>
    </row>
    <row r="168" spans="2:31" ht="15" hidden="1" customHeight="1" outlineLevel="2">
      <c r="B168" s="148">
        <v>16</v>
      </c>
      <c r="C168" s="177" t="str">
        <f>Attribute!C168</f>
        <v>---</v>
      </c>
      <c r="D168" s="86" t="str">
        <f>VLOOKUP(C168,'Talente &amp; Stuff'!CL:DM,2,FALSE)</f>
        <v>--/--/--</v>
      </c>
      <c r="E168" s="167" t="str">
        <f>VLOOKUP(C168,'Talente &amp; Stuff'!CL:DM,3,FALSE)</f>
        <v>-</v>
      </c>
      <c r="F168" s="120">
        <f>VLOOKUP(C168,'Talente &amp; Stuff'!CL:DM,4,FALSE)</f>
        <v>0</v>
      </c>
      <c r="G168" s="117">
        <f>VLOOKUP(C168,'Talente &amp; Stuff'!CL:DM,5,FALSE)</f>
        <v>0</v>
      </c>
      <c r="H168" s="117">
        <f>VLOOKUP(C168,'Talente &amp; Stuff'!CL:DM,6,FALSE)</f>
        <v>0</v>
      </c>
      <c r="I168" s="117">
        <f>VLOOKUP(C168,'Talente &amp; Stuff'!CL:DM,7,FALSE)</f>
        <v>0</v>
      </c>
      <c r="J168" s="117">
        <f>VLOOKUP(C168,'Talente &amp; Stuff'!CL:DM,8,FALSE)</f>
        <v>0</v>
      </c>
      <c r="K168" s="117">
        <f>VLOOKUP(C168,'Talente &amp; Stuff'!CL:DM,9,FALSE)</f>
        <v>0</v>
      </c>
      <c r="L168" s="117">
        <f>VLOOKUP(C168,'Talente &amp; Stuff'!CL:DM,10,FALSE)</f>
        <v>0</v>
      </c>
      <c r="M168" s="121">
        <f>VLOOKUP(C168,'Talente &amp; Stuff'!CL:DM,11,FALSE)</f>
        <v>0</v>
      </c>
      <c r="N168" s="47">
        <f>VLOOKUP(C168,'Talente &amp; Stuff'!CL:DM,12,FALSE)</f>
        <v>0</v>
      </c>
      <c r="O168" s="3">
        <f>VLOOKUP(C168,'Talente &amp; Stuff'!CL:DM,13,FALSE)</f>
        <v>0</v>
      </c>
      <c r="P168" s="174">
        <f>VLOOKUP(C168,'Talente &amp; Stuff'!CL:DM,14,FALSE)</f>
        <v>0</v>
      </c>
      <c r="Q168" s="114">
        <f>VLOOKUP(C168,'Talente &amp; Stuff'!CL:DM,15,FALSE)</f>
        <v>0</v>
      </c>
      <c r="R168" s="117">
        <f>VLOOKUP(C168,'Talente &amp; Stuff'!CL:DM,16,FALSE)</f>
        <v>0</v>
      </c>
      <c r="S168" s="119">
        <f>VLOOKUP(C168,'Talente &amp; Stuff'!CL:DM,17,FALSE)</f>
        <v>0</v>
      </c>
      <c r="T168" s="119">
        <f>VLOOKUP(C168,'Talente &amp; Stuff'!CL:DM,18,FALSE)</f>
        <v>0</v>
      </c>
      <c r="U168" s="89">
        <f>VLOOKUP(C168,'Talente &amp; Stuff'!CL:DM,19,FALSE)</f>
        <v>0</v>
      </c>
      <c r="V168" s="47">
        <f>VLOOKUP(C168,'Talente &amp; Stuff'!CL:DM,20,FALSE)</f>
        <v>0</v>
      </c>
      <c r="W168" s="127">
        <f>VLOOKUP(C168,'Talente &amp; Stuff'!CL:DM,21,FALSE)</f>
        <v>0</v>
      </c>
      <c r="X168" s="127">
        <f>VLOOKUP(C168,'Talente &amp; Stuff'!CL:DM,22,FALSE)</f>
        <v>0</v>
      </c>
      <c r="Y168" s="165">
        <f t="shared" si="16"/>
        <v>0</v>
      </c>
      <c r="Z168" s="44">
        <f t="shared" si="17"/>
        <v>0</v>
      </c>
      <c r="AA168" s="125">
        <f>VLOOKUP(C168,'Talente &amp; Stuff'!CL:DM,25,FALSE)</f>
        <v>0</v>
      </c>
      <c r="AB168" s="160">
        <f>VLOOKUP(C168,'Talente &amp; Stuff'!CL:DM,26,FALSE)</f>
        <v>0</v>
      </c>
      <c r="AC168" s="127">
        <f>VLOOKUP(C168,'Talente &amp; Stuff'!CL:DM,27,FALSE)</f>
        <v>0</v>
      </c>
      <c r="AD168" s="125">
        <f>VLOOKUP(C168,'Talente &amp; Stuff'!CL:DM,28,FALSE)</f>
        <v>0</v>
      </c>
      <c r="AE168" s="28"/>
    </row>
    <row r="169" spans="2:31" ht="15" hidden="1" customHeight="1" outlineLevel="2">
      <c r="B169" s="148">
        <v>17</v>
      </c>
      <c r="C169" s="177" t="str">
        <f>Attribute!C169</f>
        <v>---</v>
      </c>
      <c r="D169" s="86" t="str">
        <f>VLOOKUP(C169,'Talente &amp; Stuff'!CL:DM,2,FALSE)</f>
        <v>--/--/--</v>
      </c>
      <c r="E169" s="167" t="str">
        <f>VLOOKUP(C169,'Talente &amp; Stuff'!CL:DM,3,FALSE)</f>
        <v>-</v>
      </c>
      <c r="F169" s="120">
        <f>VLOOKUP(C169,'Talente &amp; Stuff'!CL:DM,4,FALSE)</f>
        <v>0</v>
      </c>
      <c r="G169" s="117">
        <f>VLOOKUP(C169,'Talente &amp; Stuff'!CL:DM,5,FALSE)</f>
        <v>0</v>
      </c>
      <c r="H169" s="117">
        <f>VLOOKUP(C169,'Talente &amp; Stuff'!CL:DM,6,FALSE)</f>
        <v>0</v>
      </c>
      <c r="I169" s="117">
        <f>VLOOKUP(C169,'Talente &amp; Stuff'!CL:DM,7,FALSE)</f>
        <v>0</v>
      </c>
      <c r="J169" s="117">
        <f>VLOOKUP(C169,'Talente &amp; Stuff'!CL:DM,8,FALSE)</f>
        <v>0</v>
      </c>
      <c r="K169" s="117">
        <f>VLOOKUP(C169,'Talente &amp; Stuff'!CL:DM,9,FALSE)</f>
        <v>0</v>
      </c>
      <c r="L169" s="117">
        <f>VLOOKUP(C169,'Talente &amp; Stuff'!CL:DM,10,FALSE)</f>
        <v>0</v>
      </c>
      <c r="M169" s="121">
        <f>VLOOKUP(C169,'Talente &amp; Stuff'!CL:DM,11,FALSE)</f>
        <v>0</v>
      </c>
      <c r="N169" s="47">
        <f>VLOOKUP(C169,'Talente &amp; Stuff'!CL:DM,12,FALSE)</f>
        <v>0</v>
      </c>
      <c r="O169" s="3">
        <f>VLOOKUP(C169,'Talente &amp; Stuff'!CL:DM,13,FALSE)</f>
        <v>0</v>
      </c>
      <c r="P169" s="174">
        <f>VLOOKUP(C169,'Talente &amp; Stuff'!CL:DM,14,FALSE)</f>
        <v>0</v>
      </c>
      <c r="Q169" s="114">
        <f>VLOOKUP(C169,'Talente &amp; Stuff'!CL:DM,15,FALSE)</f>
        <v>0</v>
      </c>
      <c r="R169" s="117">
        <f>VLOOKUP(C169,'Talente &amp; Stuff'!CL:DM,16,FALSE)</f>
        <v>0</v>
      </c>
      <c r="S169" s="119">
        <f>VLOOKUP(C169,'Talente &amp; Stuff'!CL:DM,17,FALSE)</f>
        <v>0</v>
      </c>
      <c r="T169" s="119">
        <f>VLOOKUP(C169,'Talente &amp; Stuff'!CL:DM,18,FALSE)</f>
        <v>0</v>
      </c>
      <c r="U169" s="89">
        <f>VLOOKUP(C169,'Talente &amp; Stuff'!CL:DM,19,FALSE)</f>
        <v>0</v>
      </c>
      <c r="V169" s="47">
        <f>VLOOKUP(C169,'Talente &amp; Stuff'!CL:DM,20,FALSE)</f>
        <v>0</v>
      </c>
      <c r="W169" s="127">
        <f>VLOOKUP(C169,'Talente &amp; Stuff'!CL:DM,21,FALSE)</f>
        <v>0</v>
      </c>
      <c r="X169" s="127">
        <f>VLOOKUP(C169,'Talente &amp; Stuff'!CL:DM,22,FALSE)</f>
        <v>0</v>
      </c>
      <c r="Y169" s="165">
        <f t="shared" si="16"/>
        <v>0</v>
      </c>
      <c r="Z169" s="44">
        <f t="shared" si="17"/>
        <v>0</v>
      </c>
      <c r="AA169" s="125">
        <f>VLOOKUP(C169,'Talente &amp; Stuff'!CL:DM,25,FALSE)</f>
        <v>0</v>
      </c>
      <c r="AB169" s="160">
        <f>VLOOKUP(C169,'Talente &amp; Stuff'!CL:DM,26,FALSE)</f>
        <v>0</v>
      </c>
      <c r="AC169" s="127">
        <f>VLOOKUP(C169,'Talente &amp; Stuff'!CL:DM,27,FALSE)</f>
        <v>0</v>
      </c>
      <c r="AD169" s="125">
        <f>VLOOKUP(C169,'Talente &amp; Stuff'!CL:DM,28,FALSE)</f>
        <v>0</v>
      </c>
      <c r="AE169" s="28"/>
    </row>
    <row r="170" spans="2:31" ht="15" hidden="1" customHeight="1" outlineLevel="2">
      <c r="B170" s="148">
        <v>18</v>
      </c>
      <c r="C170" s="177" t="str">
        <f>Attribute!C170</f>
        <v>---</v>
      </c>
      <c r="D170" s="86" t="str">
        <f>VLOOKUP(C170,'Talente &amp; Stuff'!CL:DM,2,FALSE)</f>
        <v>--/--/--</v>
      </c>
      <c r="E170" s="167" t="str">
        <f>VLOOKUP(C170,'Talente &amp; Stuff'!CL:DM,3,FALSE)</f>
        <v>-</v>
      </c>
      <c r="F170" s="120">
        <f>VLOOKUP(C170,'Talente &amp; Stuff'!CL:DM,4,FALSE)</f>
        <v>0</v>
      </c>
      <c r="G170" s="117">
        <f>VLOOKUP(C170,'Talente &amp; Stuff'!CL:DM,5,FALSE)</f>
        <v>0</v>
      </c>
      <c r="H170" s="117">
        <f>VLOOKUP(C170,'Talente &amp; Stuff'!CL:DM,6,FALSE)</f>
        <v>0</v>
      </c>
      <c r="I170" s="117">
        <f>VLOOKUP(C170,'Talente &amp; Stuff'!CL:DM,7,FALSE)</f>
        <v>0</v>
      </c>
      <c r="J170" s="117">
        <f>VLOOKUP(C170,'Talente &amp; Stuff'!CL:DM,8,FALSE)</f>
        <v>0</v>
      </c>
      <c r="K170" s="117">
        <f>VLOOKUP(C170,'Talente &amp; Stuff'!CL:DM,9,FALSE)</f>
        <v>0</v>
      </c>
      <c r="L170" s="117">
        <f>VLOOKUP(C170,'Talente &amp; Stuff'!CL:DM,10,FALSE)</f>
        <v>0</v>
      </c>
      <c r="M170" s="121">
        <f>VLOOKUP(C170,'Talente &amp; Stuff'!CL:DM,11,FALSE)</f>
        <v>0</v>
      </c>
      <c r="N170" s="47">
        <f>VLOOKUP(C170,'Talente &amp; Stuff'!CL:DM,12,FALSE)</f>
        <v>0</v>
      </c>
      <c r="O170" s="3">
        <f>VLOOKUP(C170,'Talente &amp; Stuff'!CL:DM,13,FALSE)</f>
        <v>0</v>
      </c>
      <c r="P170" s="174">
        <f>VLOOKUP(C170,'Talente &amp; Stuff'!CL:DM,14,FALSE)</f>
        <v>0</v>
      </c>
      <c r="Q170" s="114">
        <f>VLOOKUP(C170,'Talente &amp; Stuff'!CL:DM,15,FALSE)</f>
        <v>0</v>
      </c>
      <c r="R170" s="117">
        <f>VLOOKUP(C170,'Talente &amp; Stuff'!CL:DM,16,FALSE)</f>
        <v>0</v>
      </c>
      <c r="S170" s="119">
        <f>VLOOKUP(C170,'Talente &amp; Stuff'!CL:DM,17,FALSE)</f>
        <v>0</v>
      </c>
      <c r="T170" s="119">
        <f>VLOOKUP(C170,'Talente &amp; Stuff'!CL:DM,18,FALSE)</f>
        <v>0</v>
      </c>
      <c r="U170" s="89">
        <f>VLOOKUP(C170,'Talente &amp; Stuff'!CL:DM,19,FALSE)</f>
        <v>0</v>
      </c>
      <c r="V170" s="47">
        <f>VLOOKUP(C170,'Talente &amp; Stuff'!CL:DM,20,FALSE)</f>
        <v>0</v>
      </c>
      <c r="W170" s="127">
        <f>VLOOKUP(C170,'Talente &amp; Stuff'!CL:DM,21,FALSE)</f>
        <v>0</v>
      </c>
      <c r="X170" s="127">
        <f>VLOOKUP(C170,'Talente &amp; Stuff'!CL:DM,22,FALSE)</f>
        <v>0</v>
      </c>
      <c r="Y170" s="165">
        <f t="shared" si="16"/>
        <v>0</v>
      </c>
      <c r="Z170" s="44">
        <f t="shared" si="17"/>
        <v>0</v>
      </c>
      <c r="AA170" s="125">
        <f>VLOOKUP(C170,'Talente &amp; Stuff'!CL:DM,25,FALSE)</f>
        <v>0</v>
      </c>
      <c r="AB170" s="160">
        <f>VLOOKUP(C170,'Talente &amp; Stuff'!CL:DM,26,FALSE)</f>
        <v>0</v>
      </c>
      <c r="AC170" s="127">
        <f>VLOOKUP(C170,'Talente &amp; Stuff'!CL:DM,27,FALSE)</f>
        <v>0</v>
      </c>
      <c r="AD170" s="125">
        <f>VLOOKUP(C170,'Talente &amp; Stuff'!CL:DM,28,FALSE)</f>
        <v>0</v>
      </c>
      <c r="AE170" s="28"/>
    </row>
    <row r="171" spans="2:31" ht="15" hidden="1" customHeight="1" outlineLevel="2">
      <c r="B171" s="148">
        <v>19</v>
      </c>
      <c r="C171" s="177" t="str">
        <f>Attribute!C171</f>
        <v>---</v>
      </c>
      <c r="D171" s="86" t="str">
        <f>VLOOKUP(C171,'Talente &amp; Stuff'!CL:DM,2,FALSE)</f>
        <v>--/--/--</v>
      </c>
      <c r="E171" s="167" t="str">
        <f>VLOOKUP(C171,'Talente &amp; Stuff'!CL:DM,3,FALSE)</f>
        <v>-</v>
      </c>
      <c r="F171" s="120">
        <f>VLOOKUP(C171,'Talente &amp; Stuff'!CL:DM,4,FALSE)</f>
        <v>0</v>
      </c>
      <c r="G171" s="117">
        <f>VLOOKUP(C171,'Talente &amp; Stuff'!CL:DM,5,FALSE)</f>
        <v>0</v>
      </c>
      <c r="H171" s="117">
        <f>VLOOKUP(C171,'Talente &amp; Stuff'!CL:DM,6,FALSE)</f>
        <v>0</v>
      </c>
      <c r="I171" s="117">
        <f>VLOOKUP(C171,'Talente &amp; Stuff'!CL:DM,7,FALSE)</f>
        <v>0</v>
      </c>
      <c r="J171" s="117">
        <f>VLOOKUP(C171,'Talente &amp; Stuff'!CL:DM,8,FALSE)</f>
        <v>0</v>
      </c>
      <c r="K171" s="117">
        <f>VLOOKUP(C171,'Talente &amp; Stuff'!CL:DM,9,FALSE)</f>
        <v>0</v>
      </c>
      <c r="L171" s="117">
        <f>VLOOKUP(C171,'Talente &amp; Stuff'!CL:DM,10,FALSE)</f>
        <v>0</v>
      </c>
      <c r="M171" s="121">
        <f>VLOOKUP(C171,'Talente &amp; Stuff'!CL:DM,11,FALSE)</f>
        <v>0</v>
      </c>
      <c r="N171" s="47">
        <f>VLOOKUP(C171,'Talente &amp; Stuff'!CL:DM,12,FALSE)</f>
        <v>0</v>
      </c>
      <c r="O171" s="3">
        <f>VLOOKUP(C171,'Talente &amp; Stuff'!CL:DM,13,FALSE)</f>
        <v>0</v>
      </c>
      <c r="P171" s="174">
        <f>VLOOKUP(C171,'Talente &amp; Stuff'!CL:DM,14,FALSE)</f>
        <v>0</v>
      </c>
      <c r="Q171" s="114">
        <f>VLOOKUP(C171,'Talente &amp; Stuff'!CL:DM,15,FALSE)</f>
        <v>0</v>
      </c>
      <c r="R171" s="117">
        <f>VLOOKUP(C171,'Talente &amp; Stuff'!CL:DM,16,FALSE)</f>
        <v>0</v>
      </c>
      <c r="S171" s="119">
        <f>VLOOKUP(C171,'Talente &amp; Stuff'!CL:DM,17,FALSE)</f>
        <v>0</v>
      </c>
      <c r="T171" s="119">
        <f>VLOOKUP(C171,'Talente &amp; Stuff'!CL:DM,18,FALSE)</f>
        <v>0</v>
      </c>
      <c r="U171" s="89">
        <f>VLOOKUP(C171,'Talente &amp; Stuff'!CL:DM,19,FALSE)</f>
        <v>0</v>
      </c>
      <c r="V171" s="47">
        <f>VLOOKUP(C171,'Talente &amp; Stuff'!CL:DM,20,FALSE)</f>
        <v>0</v>
      </c>
      <c r="W171" s="127">
        <f>VLOOKUP(C171,'Talente &amp; Stuff'!CL:DM,21,FALSE)</f>
        <v>0</v>
      </c>
      <c r="X171" s="127">
        <f>VLOOKUP(C171,'Talente &amp; Stuff'!CL:DM,22,FALSE)</f>
        <v>0</v>
      </c>
      <c r="Y171" s="165">
        <f t="shared" si="16"/>
        <v>0</v>
      </c>
      <c r="Z171" s="44">
        <f t="shared" si="17"/>
        <v>0</v>
      </c>
      <c r="AA171" s="125">
        <f>VLOOKUP(C171,'Talente &amp; Stuff'!CL:DM,25,FALSE)</f>
        <v>0</v>
      </c>
      <c r="AB171" s="160">
        <f>VLOOKUP(C171,'Talente &amp; Stuff'!CL:DM,26,FALSE)</f>
        <v>0</v>
      </c>
      <c r="AC171" s="127">
        <f>VLOOKUP(C171,'Talente &amp; Stuff'!CL:DM,27,FALSE)</f>
        <v>0</v>
      </c>
      <c r="AD171" s="125">
        <f>VLOOKUP(C171,'Talente &amp; Stuff'!CL:DM,28,FALSE)</f>
        <v>0</v>
      </c>
      <c r="AE171" s="28"/>
    </row>
    <row r="172" spans="2:31" ht="15" hidden="1" customHeight="1" outlineLevel="2">
      <c r="B172" s="148">
        <v>20</v>
      </c>
      <c r="C172" s="177" t="str">
        <f>Attribute!C172</f>
        <v>---</v>
      </c>
      <c r="D172" s="86" t="str">
        <f>VLOOKUP(C172,'Talente &amp; Stuff'!CL:DM,2,FALSE)</f>
        <v>--/--/--</v>
      </c>
      <c r="E172" s="167" t="str">
        <f>VLOOKUP(C172,'Talente &amp; Stuff'!CL:DM,3,FALSE)</f>
        <v>-</v>
      </c>
      <c r="F172" s="120">
        <f>VLOOKUP(C172,'Talente &amp; Stuff'!CL:DM,4,FALSE)</f>
        <v>0</v>
      </c>
      <c r="G172" s="117">
        <f>VLOOKUP(C172,'Talente &amp; Stuff'!CL:DM,5,FALSE)</f>
        <v>0</v>
      </c>
      <c r="H172" s="117">
        <f>VLOOKUP(C172,'Talente &amp; Stuff'!CL:DM,6,FALSE)</f>
        <v>0</v>
      </c>
      <c r="I172" s="117">
        <f>VLOOKUP(C172,'Talente &amp; Stuff'!CL:DM,7,FALSE)</f>
        <v>0</v>
      </c>
      <c r="J172" s="117">
        <f>VLOOKUP(C172,'Talente &amp; Stuff'!CL:DM,8,FALSE)</f>
        <v>0</v>
      </c>
      <c r="K172" s="117">
        <f>VLOOKUP(C172,'Talente &amp; Stuff'!CL:DM,9,FALSE)</f>
        <v>0</v>
      </c>
      <c r="L172" s="117">
        <f>VLOOKUP(C172,'Talente &amp; Stuff'!CL:DM,10,FALSE)</f>
        <v>0</v>
      </c>
      <c r="M172" s="121">
        <f>VLOOKUP(C172,'Talente &amp; Stuff'!CL:DM,11,FALSE)</f>
        <v>0</v>
      </c>
      <c r="N172" s="47">
        <f>VLOOKUP(C172,'Talente &amp; Stuff'!CL:DM,12,FALSE)</f>
        <v>0</v>
      </c>
      <c r="O172" s="3">
        <f>VLOOKUP(C172,'Talente &amp; Stuff'!CL:DM,13,FALSE)</f>
        <v>0</v>
      </c>
      <c r="P172" s="174">
        <f>VLOOKUP(C172,'Talente &amp; Stuff'!CL:DM,14,FALSE)</f>
        <v>0</v>
      </c>
      <c r="Q172" s="114">
        <f>VLOOKUP(C172,'Talente &amp; Stuff'!CL:DM,15,FALSE)</f>
        <v>0</v>
      </c>
      <c r="R172" s="117">
        <f>VLOOKUP(C172,'Talente &amp; Stuff'!CL:DM,16,FALSE)</f>
        <v>0</v>
      </c>
      <c r="S172" s="119">
        <f>VLOOKUP(C172,'Talente &amp; Stuff'!CL:DM,17,FALSE)</f>
        <v>0</v>
      </c>
      <c r="T172" s="119">
        <f>VLOOKUP(C172,'Talente &amp; Stuff'!CL:DM,18,FALSE)</f>
        <v>0</v>
      </c>
      <c r="U172" s="89">
        <f>VLOOKUP(C172,'Talente &amp; Stuff'!CL:DM,19,FALSE)</f>
        <v>0</v>
      </c>
      <c r="V172" s="47">
        <f>VLOOKUP(C172,'Talente &amp; Stuff'!CL:DM,20,FALSE)</f>
        <v>0</v>
      </c>
      <c r="W172" s="127">
        <f>VLOOKUP(C172,'Talente &amp; Stuff'!CL:DM,21,FALSE)</f>
        <v>0</v>
      </c>
      <c r="X172" s="127">
        <f>VLOOKUP(C172,'Talente &amp; Stuff'!CL:DM,22,FALSE)</f>
        <v>0</v>
      </c>
      <c r="Y172" s="165">
        <f t="shared" si="16"/>
        <v>0</v>
      </c>
      <c r="Z172" s="44">
        <f t="shared" si="17"/>
        <v>0</v>
      </c>
      <c r="AA172" s="125">
        <f>VLOOKUP(C172,'Talente &amp; Stuff'!CL:DM,25,FALSE)</f>
        <v>0</v>
      </c>
      <c r="AB172" s="160">
        <f>VLOOKUP(C172,'Talente &amp; Stuff'!CL:DM,26,FALSE)</f>
        <v>0</v>
      </c>
      <c r="AC172" s="127">
        <f>VLOOKUP(C172,'Talente &amp; Stuff'!CL:DM,27,FALSE)</f>
        <v>0</v>
      </c>
      <c r="AD172" s="125">
        <f>VLOOKUP(C172,'Talente &amp; Stuff'!CL:DM,28,FALSE)</f>
        <v>0</v>
      </c>
      <c r="AE172" s="28"/>
    </row>
    <row r="173" spans="2:31" ht="15" hidden="1" customHeight="1" outlineLevel="2">
      <c r="B173" s="148">
        <v>21</v>
      </c>
      <c r="C173" s="177" t="str">
        <f>Attribute!C173</f>
        <v>---</v>
      </c>
      <c r="D173" s="86" t="str">
        <f>VLOOKUP(C173,'Talente &amp; Stuff'!CL:DM,2,FALSE)</f>
        <v>--/--/--</v>
      </c>
      <c r="E173" s="167" t="str">
        <f>VLOOKUP(C173,'Talente &amp; Stuff'!CL:DM,3,FALSE)</f>
        <v>-</v>
      </c>
      <c r="F173" s="120">
        <f>VLOOKUP(C173,'Talente &amp; Stuff'!CL:DM,4,FALSE)</f>
        <v>0</v>
      </c>
      <c r="G173" s="117">
        <f>VLOOKUP(C173,'Talente &amp; Stuff'!CL:DM,5,FALSE)</f>
        <v>0</v>
      </c>
      <c r="H173" s="117">
        <f>VLOOKUP(C173,'Talente &amp; Stuff'!CL:DM,6,FALSE)</f>
        <v>0</v>
      </c>
      <c r="I173" s="117">
        <f>VLOOKUP(C173,'Talente &amp; Stuff'!CL:DM,7,FALSE)</f>
        <v>0</v>
      </c>
      <c r="J173" s="117">
        <f>VLOOKUP(C173,'Talente &amp; Stuff'!CL:DM,8,FALSE)</f>
        <v>0</v>
      </c>
      <c r="K173" s="117">
        <f>VLOOKUP(C173,'Talente &amp; Stuff'!CL:DM,9,FALSE)</f>
        <v>0</v>
      </c>
      <c r="L173" s="117">
        <f>VLOOKUP(C173,'Talente &amp; Stuff'!CL:DM,10,FALSE)</f>
        <v>0</v>
      </c>
      <c r="M173" s="121">
        <f>VLOOKUP(C173,'Talente &amp; Stuff'!CL:DM,11,FALSE)</f>
        <v>0</v>
      </c>
      <c r="N173" s="47">
        <f>VLOOKUP(C173,'Talente &amp; Stuff'!CL:DM,12,FALSE)</f>
        <v>0</v>
      </c>
      <c r="O173" s="3">
        <f>VLOOKUP(C173,'Talente &amp; Stuff'!CL:DM,13,FALSE)</f>
        <v>0</v>
      </c>
      <c r="P173" s="174">
        <f>VLOOKUP(C173,'Talente &amp; Stuff'!CL:DM,14,FALSE)</f>
        <v>0</v>
      </c>
      <c r="Q173" s="114">
        <f>VLOOKUP(C173,'Talente &amp; Stuff'!CL:DM,15,FALSE)</f>
        <v>0</v>
      </c>
      <c r="R173" s="117">
        <f>VLOOKUP(C173,'Talente &amp; Stuff'!CL:DM,16,FALSE)</f>
        <v>0</v>
      </c>
      <c r="S173" s="119">
        <f>VLOOKUP(C173,'Talente &amp; Stuff'!CL:DM,17,FALSE)</f>
        <v>0</v>
      </c>
      <c r="T173" s="119">
        <f>VLOOKUP(C173,'Talente &amp; Stuff'!CL:DM,18,FALSE)</f>
        <v>0</v>
      </c>
      <c r="U173" s="89">
        <f>VLOOKUP(C173,'Talente &amp; Stuff'!CL:DM,19,FALSE)</f>
        <v>0</v>
      </c>
      <c r="V173" s="47">
        <f>VLOOKUP(C173,'Talente &amp; Stuff'!CL:DM,20,FALSE)</f>
        <v>0</v>
      </c>
      <c r="W173" s="127">
        <f>VLOOKUP(C173,'Talente &amp; Stuff'!CL:DM,21,FALSE)</f>
        <v>0</v>
      </c>
      <c r="X173" s="127">
        <f>VLOOKUP(C173,'Talente &amp; Stuff'!CL:DM,22,FALSE)</f>
        <v>0</v>
      </c>
      <c r="Y173" s="165">
        <f t="shared" si="16"/>
        <v>0</v>
      </c>
      <c r="Z173" s="44">
        <f t="shared" si="17"/>
        <v>0</v>
      </c>
      <c r="AA173" s="125">
        <f>VLOOKUP(C173,'Talente &amp; Stuff'!CL:DM,25,FALSE)</f>
        <v>0</v>
      </c>
      <c r="AB173" s="160">
        <f>VLOOKUP(C173,'Talente &amp; Stuff'!CL:DM,26,FALSE)</f>
        <v>0</v>
      </c>
      <c r="AC173" s="127">
        <f>VLOOKUP(C173,'Talente &amp; Stuff'!CL:DM,27,FALSE)</f>
        <v>0</v>
      </c>
      <c r="AD173" s="125">
        <f>VLOOKUP(C173,'Talente &amp; Stuff'!CL:DM,28,FALSE)</f>
        <v>0</v>
      </c>
      <c r="AE173" s="28"/>
    </row>
    <row r="174" spans="2:31" ht="15" hidden="1" customHeight="1" outlineLevel="2">
      <c r="B174" s="148">
        <v>22</v>
      </c>
      <c r="C174" s="177" t="str">
        <f>Attribute!C174</f>
        <v>---</v>
      </c>
      <c r="D174" s="86" t="str">
        <f>VLOOKUP(C174,'Talente &amp; Stuff'!CL:DM,2,FALSE)</f>
        <v>--/--/--</v>
      </c>
      <c r="E174" s="167" t="str">
        <f>VLOOKUP(C174,'Talente &amp; Stuff'!CL:DM,3,FALSE)</f>
        <v>-</v>
      </c>
      <c r="F174" s="120">
        <f>VLOOKUP(C174,'Talente &amp; Stuff'!CL:DM,4,FALSE)</f>
        <v>0</v>
      </c>
      <c r="G174" s="117">
        <f>VLOOKUP(C174,'Talente &amp; Stuff'!CL:DM,5,FALSE)</f>
        <v>0</v>
      </c>
      <c r="H174" s="117">
        <f>VLOOKUP(C174,'Talente &amp; Stuff'!CL:DM,6,FALSE)</f>
        <v>0</v>
      </c>
      <c r="I174" s="117">
        <f>VLOOKUP(C174,'Talente &amp; Stuff'!CL:DM,7,FALSE)</f>
        <v>0</v>
      </c>
      <c r="J174" s="117">
        <f>VLOOKUP(C174,'Talente &amp; Stuff'!CL:DM,8,FALSE)</f>
        <v>0</v>
      </c>
      <c r="K174" s="117">
        <f>VLOOKUP(C174,'Talente &amp; Stuff'!CL:DM,9,FALSE)</f>
        <v>0</v>
      </c>
      <c r="L174" s="117">
        <f>VLOOKUP(C174,'Talente &amp; Stuff'!CL:DM,10,FALSE)</f>
        <v>0</v>
      </c>
      <c r="M174" s="121">
        <f>VLOOKUP(C174,'Talente &amp; Stuff'!CL:DM,11,FALSE)</f>
        <v>0</v>
      </c>
      <c r="N174" s="47">
        <f>VLOOKUP(C174,'Talente &amp; Stuff'!CL:DM,12,FALSE)</f>
        <v>0</v>
      </c>
      <c r="O174" s="3">
        <f>VLOOKUP(C174,'Talente &amp; Stuff'!CL:DM,13,FALSE)</f>
        <v>0</v>
      </c>
      <c r="P174" s="174">
        <f>VLOOKUP(C174,'Talente &amp; Stuff'!CL:DM,14,FALSE)</f>
        <v>0</v>
      </c>
      <c r="Q174" s="114">
        <f>VLOOKUP(C174,'Talente &amp; Stuff'!CL:DM,15,FALSE)</f>
        <v>0</v>
      </c>
      <c r="R174" s="117">
        <f>VLOOKUP(C174,'Talente &amp; Stuff'!CL:DM,16,FALSE)</f>
        <v>0</v>
      </c>
      <c r="S174" s="119">
        <f>VLOOKUP(C174,'Talente &amp; Stuff'!CL:DM,17,FALSE)</f>
        <v>0</v>
      </c>
      <c r="T174" s="119">
        <f>VLOOKUP(C174,'Talente &amp; Stuff'!CL:DM,18,FALSE)</f>
        <v>0</v>
      </c>
      <c r="U174" s="89">
        <f>VLOOKUP(C174,'Talente &amp; Stuff'!CL:DM,19,FALSE)</f>
        <v>0</v>
      </c>
      <c r="V174" s="47">
        <f>VLOOKUP(C174,'Talente &amp; Stuff'!CL:DM,20,FALSE)</f>
        <v>0</v>
      </c>
      <c r="W174" s="127">
        <f>VLOOKUP(C174,'Talente &amp; Stuff'!CL:DM,21,FALSE)</f>
        <v>0</v>
      </c>
      <c r="X174" s="127">
        <f>VLOOKUP(C174,'Talente &amp; Stuff'!CL:DM,22,FALSE)</f>
        <v>0</v>
      </c>
      <c r="Y174" s="165">
        <f t="shared" si="16"/>
        <v>0</v>
      </c>
      <c r="Z174" s="44">
        <f t="shared" si="17"/>
        <v>0</v>
      </c>
      <c r="AA174" s="125">
        <f>VLOOKUP(C174,'Talente &amp; Stuff'!CL:DM,25,FALSE)</f>
        <v>0</v>
      </c>
      <c r="AB174" s="160">
        <f>VLOOKUP(C174,'Talente &amp; Stuff'!CL:DM,26,FALSE)</f>
        <v>0</v>
      </c>
      <c r="AC174" s="127">
        <f>VLOOKUP(C174,'Talente &amp; Stuff'!CL:DM,27,FALSE)</f>
        <v>0</v>
      </c>
      <c r="AD174" s="125">
        <f>VLOOKUP(C174,'Talente &amp; Stuff'!CL:DM,28,FALSE)</f>
        <v>0</v>
      </c>
      <c r="AE174" s="28"/>
    </row>
    <row r="175" spans="2:31" ht="15" hidden="1" customHeight="1" outlineLevel="2">
      <c r="B175" s="148">
        <v>23</v>
      </c>
      <c r="C175" s="177" t="str">
        <f>Attribute!C175</f>
        <v>---</v>
      </c>
      <c r="D175" s="86" t="str">
        <f>VLOOKUP(C175,'Talente &amp; Stuff'!CL:DM,2,FALSE)</f>
        <v>--/--/--</v>
      </c>
      <c r="E175" s="167" t="str">
        <f>VLOOKUP(C175,'Talente &amp; Stuff'!CL:DM,3,FALSE)</f>
        <v>-</v>
      </c>
      <c r="F175" s="120">
        <f>VLOOKUP(C175,'Talente &amp; Stuff'!CL:DM,4,FALSE)</f>
        <v>0</v>
      </c>
      <c r="G175" s="117">
        <f>VLOOKUP(C175,'Talente &amp; Stuff'!CL:DM,5,FALSE)</f>
        <v>0</v>
      </c>
      <c r="H175" s="117">
        <f>VLOOKUP(C175,'Talente &amp; Stuff'!CL:DM,6,FALSE)</f>
        <v>0</v>
      </c>
      <c r="I175" s="117">
        <f>VLOOKUP(C175,'Talente &amp; Stuff'!CL:DM,7,FALSE)</f>
        <v>0</v>
      </c>
      <c r="J175" s="117">
        <f>VLOOKUP(C175,'Talente &amp; Stuff'!CL:DM,8,FALSE)</f>
        <v>0</v>
      </c>
      <c r="K175" s="117">
        <f>VLOOKUP(C175,'Talente &amp; Stuff'!CL:DM,9,FALSE)</f>
        <v>0</v>
      </c>
      <c r="L175" s="117">
        <f>VLOOKUP(C175,'Talente &amp; Stuff'!CL:DM,10,FALSE)</f>
        <v>0</v>
      </c>
      <c r="M175" s="121">
        <f>VLOOKUP(C175,'Talente &amp; Stuff'!CL:DM,11,FALSE)</f>
        <v>0</v>
      </c>
      <c r="N175" s="47">
        <f>VLOOKUP(C175,'Talente &amp; Stuff'!CL:DM,12,FALSE)</f>
        <v>0</v>
      </c>
      <c r="O175" s="3">
        <f>VLOOKUP(C175,'Talente &amp; Stuff'!CL:DM,13,FALSE)</f>
        <v>0</v>
      </c>
      <c r="P175" s="174">
        <f>VLOOKUP(C175,'Talente &amp; Stuff'!CL:DM,14,FALSE)</f>
        <v>0</v>
      </c>
      <c r="Q175" s="114">
        <f>VLOOKUP(C175,'Talente &amp; Stuff'!CL:DM,15,FALSE)</f>
        <v>0</v>
      </c>
      <c r="R175" s="117">
        <f>VLOOKUP(C175,'Talente &amp; Stuff'!CL:DM,16,FALSE)</f>
        <v>0</v>
      </c>
      <c r="S175" s="119">
        <f>VLOOKUP(C175,'Talente &amp; Stuff'!CL:DM,17,FALSE)</f>
        <v>0</v>
      </c>
      <c r="T175" s="119">
        <f>VLOOKUP(C175,'Talente &amp; Stuff'!CL:DM,18,FALSE)</f>
        <v>0</v>
      </c>
      <c r="U175" s="89">
        <f>VLOOKUP(C175,'Talente &amp; Stuff'!CL:DM,19,FALSE)</f>
        <v>0</v>
      </c>
      <c r="V175" s="47">
        <f>VLOOKUP(C175,'Talente &amp; Stuff'!CL:DM,20,FALSE)</f>
        <v>0</v>
      </c>
      <c r="W175" s="127">
        <f>VLOOKUP(C175,'Talente &amp; Stuff'!CL:DM,21,FALSE)</f>
        <v>0</v>
      </c>
      <c r="X175" s="127">
        <f>VLOOKUP(C175,'Talente &amp; Stuff'!CL:DM,22,FALSE)</f>
        <v>0</v>
      </c>
      <c r="Y175" s="165">
        <f t="shared" si="16"/>
        <v>0</v>
      </c>
      <c r="Z175" s="44">
        <f t="shared" si="17"/>
        <v>0</v>
      </c>
      <c r="AA175" s="125">
        <f>VLOOKUP(C175,'Talente &amp; Stuff'!CL:DM,25,FALSE)</f>
        <v>0</v>
      </c>
      <c r="AB175" s="160">
        <f>VLOOKUP(C175,'Talente &amp; Stuff'!CL:DM,26,FALSE)</f>
        <v>0</v>
      </c>
      <c r="AC175" s="127">
        <f>VLOOKUP(C175,'Talente &amp; Stuff'!CL:DM,27,FALSE)</f>
        <v>0</v>
      </c>
      <c r="AD175" s="125">
        <f>VLOOKUP(C175,'Talente &amp; Stuff'!CL:DM,28,FALSE)</f>
        <v>0</v>
      </c>
      <c r="AE175" s="28"/>
    </row>
    <row r="176" spans="2:31" ht="15" hidden="1" customHeight="1" outlineLevel="2">
      <c r="B176" s="148">
        <v>24</v>
      </c>
      <c r="C176" s="177" t="str">
        <f>Attribute!C176</f>
        <v>---</v>
      </c>
      <c r="D176" s="86" t="str">
        <f>VLOOKUP(C176,'Talente &amp; Stuff'!CL:DM,2,FALSE)</f>
        <v>--/--/--</v>
      </c>
      <c r="E176" s="167" t="str">
        <f>VLOOKUP(C176,'Talente &amp; Stuff'!CL:DM,3,FALSE)</f>
        <v>-</v>
      </c>
      <c r="F176" s="120">
        <f>VLOOKUP(C176,'Talente &amp; Stuff'!CL:DM,4,FALSE)</f>
        <v>0</v>
      </c>
      <c r="G176" s="117">
        <f>VLOOKUP(C176,'Talente &amp; Stuff'!CL:DM,5,FALSE)</f>
        <v>0</v>
      </c>
      <c r="H176" s="117">
        <f>VLOOKUP(C176,'Talente &amp; Stuff'!CL:DM,6,FALSE)</f>
        <v>0</v>
      </c>
      <c r="I176" s="117">
        <f>VLOOKUP(C176,'Talente &amp; Stuff'!CL:DM,7,FALSE)</f>
        <v>0</v>
      </c>
      <c r="J176" s="117">
        <f>VLOOKUP(C176,'Talente &amp; Stuff'!CL:DM,8,FALSE)</f>
        <v>0</v>
      </c>
      <c r="K176" s="117">
        <f>VLOOKUP(C176,'Talente &amp; Stuff'!CL:DM,9,FALSE)</f>
        <v>0</v>
      </c>
      <c r="L176" s="117">
        <f>VLOOKUP(C176,'Talente &amp; Stuff'!CL:DM,10,FALSE)</f>
        <v>0</v>
      </c>
      <c r="M176" s="121">
        <f>VLOOKUP(C176,'Talente &amp; Stuff'!CL:DM,11,FALSE)</f>
        <v>0</v>
      </c>
      <c r="N176" s="47">
        <f>VLOOKUP(C176,'Talente &amp; Stuff'!CL:DM,12,FALSE)</f>
        <v>0</v>
      </c>
      <c r="O176" s="3">
        <f>VLOOKUP(C176,'Talente &amp; Stuff'!CL:DM,13,FALSE)</f>
        <v>0</v>
      </c>
      <c r="P176" s="174">
        <f>VLOOKUP(C176,'Talente &amp; Stuff'!CL:DM,14,FALSE)</f>
        <v>0</v>
      </c>
      <c r="Q176" s="114">
        <f>VLOOKUP(C176,'Talente &amp; Stuff'!CL:DM,15,FALSE)</f>
        <v>0</v>
      </c>
      <c r="R176" s="117">
        <f>VLOOKUP(C176,'Talente &amp; Stuff'!CL:DM,16,FALSE)</f>
        <v>0</v>
      </c>
      <c r="S176" s="119">
        <f>VLOOKUP(C176,'Talente &amp; Stuff'!CL:DM,17,FALSE)</f>
        <v>0</v>
      </c>
      <c r="T176" s="119">
        <f>VLOOKUP(C176,'Talente &amp; Stuff'!CL:DM,18,FALSE)</f>
        <v>0</v>
      </c>
      <c r="U176" s="89">
        <f>VLOOKUP(C176,'Talente &amp; Stuff'!CL:DM,19,FALSE)</f>
        <v>0</v>
      </c>
      <c r="V176" s="47">
        <f>VLOOKUP(C176,'Talente &amp; Stuff'!CL:DM,20,FALSE)</f>
        <v>0</v>
      </c>
      <c r="W176" s="127">
        <f>VLOOKUP(C176,'Talente &amp; Stuff'!CL:DM,21,FALSE)</f>
        <v>0</v>
      </c>
      <c r="X176" s="127">
        <f>VLOOKUP(C176,'Talente &amp; Stuff'!CL:DM,22,FALSE)</f>
        <v>0</v>
      </c>
      <c r="Y176" s="165">
        <f t="shared" si="16"/>
        <v>0</v>
      </c>
      <c r="Z176" s="44">
        <f t="shared" si="17"/>
        <v>0</v>
      </c>
      <c r="AA176" s="125">
        <f>VLOOKUP(C176,'Talente &amp; Stuff'!CL:DM,25,FALSE)</f>
        <v>0</v>
      </c>
      <c r="AB176" s="160">
        <f>VLOOKUP(C176,'Talente &amp; Stuff'!CL:DM,26,FALSE)</f>
        <v>0</v>
      </c>
      <c r="AC176" s="127">
        <f>VLOOKUP(C176,'Talente &amp; Stuff'!CL:DM,27,FALSE)</f>
        <v>0</v>
      </c>
      <c r="AD176" s="125">
        <f>VLOOKUP(C176,'Talente &amp; Stuff'!CL:DM,28,FALSE)</f>
        <v>0</v>
      </c>
      <c r="AE176" s="28"/>
    </row>
    <row r="177" spans="2:31" ht="15" hidden="1" customHeight="1" outlineLevel="2">
      <c r="B177" s="148">
        <v>25</v>
      </c>
      <c r="C177" s="177" t="str">
        <f>Attribute!C177</f>
        <v>---</v>
      </c>
      <c r="D177" s="86" t="str">
        <f>VLOOKUP(C177,'Talente &amp; Stuff'!CL:DM,2,FALSE)</f>
        <v>--/--/--</v>
      </c>
      <c r="E177" s="167" t="str">
        <f>VLOOKUP(C177,'Talente &amp; Stuff'!CL:DM,3,FALSE)</f>
        <v>-</v>
      </c>
      <c r="F177" s="120">
        <f>VLOOKUP(C177,'Talente &amp; Stuff'!CL:DM,4,FALSE)</f>
        <v>0</v>
      </c>
      <c r="G177" s="117">
        <f>VLOOKUP(C177,'Talente &amp; Stuff'!CL:DM,5,FALSE)</f>
        <v>0</v>
      </c>
      <c r="H177" s="117">
        <f>VLOOKUP(C177,'Talente &amp; Stuff'!CL:DM,6,FALSE)</f>
        <v>0</v>
      </c>
      <c r="I177" s="117">
        <f>VLOOKUP(C177,'Talente &amp; Stuff'!CL:DM,7,FALSE)</f>
        <v>0</v>
      </c>
      <c r="J177" s="117">
        <f>VLOOKUP(C177,'Talente &amp; Stuff'!CL:DM,8,FALSE)</f>
        <v>0</v>
      </c>
      <c r="K177" s="117">
        <f>VLOOKUP(C177,'Talente &amp; Stuff'!CL:DM,9,FALSE)</f>
        <v>0</v>
      </c>
      <c r="L177" s="117">
        <f>VLOOKUP(C177,'Talente &amp; Stuff'!CL:DM,10,FALSE)</f>
        <v>0</v>
      </c>
      <c r="M177" s="121">
        <f>VLOOKUP(C177,'Talente &amp; Stuff'!CL:DM,11,FALSE)</f>
        <v>0</v>
      </c>
      <c r="N177" s="47">
        <f>VLOOKUP(C177,'Talente &amp; Stuff'!CL:DM,12,FALSE)</f>
        <v>0</v>
      </c>
      <c r="O177" s="3">
        <f>VLOOKUP(C177,'Talente &amp; Stuff'!CL:DM,13,FALSE)</f>
        <v>0</v>
      </c>
      <c r="P177" s="174">
        <f>VLOOKUP(C177,'Talente &amp; Stuff'!CL:DM,14,FALSE)</f>
        <v>0</v>
      </c>
      <c r="Q177" s="114">
        <f>VLOOKUP(C177,'Talente &amp; Stuff'!CL:DM,15,FALSE)</f>
        <v>0</v>
      </c>
      <c r="R177" s="117">
        <f>VLOOKUP(C177,'Talente &amp; Stuff'!CL:DM,16,FALSE)</f>
        <v>0</v>
      </c>
      <c r="S177" s="119">
        <f>VLOOKUP(C177,'Talente &amp; Stuff'!CL:DM,17,FALSE)</f>
        <v>0</v>
      </c>
      <c r="T177" s="119">
        <f>VLOOKUP(C177,'Talente &amp; Stuff'!CL:DM,18,FALSE)</f>
        <v>0</v>
      </c>
      <c r="U177" s="89">
        <f>VLOOKUP(C177,'Talente &amp; Stuff'!CL:DM,19,FALSE)</f>
        <v>0</v>
      </c>
      <c r="V177" s="47">
        <f>VLOOKUP(C177,'Talente &amp; Stuff'!CL:DM,20,FALSE)</f>
        <v>0</v>
      </c>
      <c r="W177" s="127">
        <f>VLOOKUP(C177,'Talente &amp; Stuff'!CL:DM,21,FALSE)</f>
        <v>0</v>
      </c>
      <c r="X177" s="127">
        <f>VLOOKUP(C177,'Talente &amp; Stuff'!CL:DM,22,FALSE)</f>
        <v>0</v>
      </c>
      <c r="Y177" s="165">
        <f t="shared" si="16"/>
        <v>0</v>
      </c>
      <c r="Z177" s="44">
        <f t="shared" si="17"/>
        <v>0</v>
      </c>
      <c r="AA177" s="125">
        <f>VLOOKUP(C177,'Talente &amp; Stuff'!CL:DM,25,FALSE)</f>
        <v>0</v>
      </c>
      <c r="AB177" s="160">
        <f>VLOOKUP(C177,'Talente &amp; Stuff'!CL:DM,26,FALSE)</f>
        <v>0</v>
      </c>
      <c r="AC177" s="127">
        <f>VLOOKUP(C177,'Talente &amp; Stuff'!CL:DM,27,FALSE)</f>
        <v>0</v>
      </c>
      <c r="AD177" s="125">
        <f>VLOOKUP(C177,'Talente &amp; Stuff'!CL:DM,28,FALSE)</f>
        <v>0</v>
      </c>
      <c r="AE177" s="28"/>
    </row>
    <row r="178" spans="2:31" ht="15" hidden="1" customHeight="1" outlineLevel="2">
      <c r="B178" s="148">
        <v>26</v>
      </c>
      <c r="C178" s="177" t="str">
        <f>Attribute!C178</f>
        <v>---</v>
      </c>
      <c r="D178" s="86" t="str">
        <f>VLOOKUP(C178,'Talente &amp; Stuff'!CL:DM,2,FALSE)</f>
        <v>--/--/--</v>
      </c>
      <c r="E178" s="167" t="str">
        <f>VLOOKUP(C178,'Talente &amp; Stuff'!CL:DM,3,FALSE)</f>
        <v>-</v>
      </c>
      <c r="F178" s="120">
        <f>VLOOKUP(C178,'Talente &amp; Stuff'!CL:DM,4,FALSE)</f>
        <v>0</v>
      </c>
      <c r="G178" s="117">
        <f>VLOOKUP(C178,'Talente &amp; Stuff'!CL:DM,5,FALSE)</f>
        <v>0</v>
      </c>
      <c r="H178" s="117">
        <f>VLOOKUP(C178,'Talente &amp; Stuff'!CL:DM,6,FALSE)</f>
        <v>0</v>
      </c>
      <c r="I178" s="117">
        <f>VLOOKUP(C178,'Talente &amp; Stuff'!CL:DM,7,FALSE)</f>
        <v>0</v>
      </c>
      <c r="J178" s="117">
        <f>VLOOKUP(C178,'Talente &amp; Stuff'!CL:DM,8,FALSE)</f>
        <v>0</v>
      </c>
      <c r="K178" s="117">
        <f>VLOOKUP(C178,'Talente &amp; Stuff'!CL:DM,9,FALSE)</f>
        <v>0</v>
      </c>
      <c r="L178" s="117">
        <f>VLOOKUP(C178,'Talente &amp; Stuff'!CL:DM,10,FALSE)</f>
        <v>0</v>
      </c>
      <c r="M178" s="121">
        <f>VLOOKUP(C178,'Talente &amp; Stuff'!CL:DM,11,FALSE)</f>
        <v>0</v>
      </c>
      <c r="N178" s="47">
        <f>VLOOKUP(C178,'Talente &amp; Stuff'!CL:DM,12,FALSE)</f>
        <v>0</v>
      </c>
      <c r="O178" s="3">
        <f>VLOOKUP(C178,'Talente &amp; Stuff'!CL:DM,13,FALSE)</f>
        <v>0</v>
      </c>
      <c r="P178" s="174">
        <f>VLOOKUP(C178,'Talente &amp; Stuff'!CL:DM,14,FALSE)</f>
        <v>0</v>
      </c>
      <c r="Q178" s="114">
        <f>VLOOKUP(C178,'Talente &amp; Stuff'!CL:DM,15,FALSE)</f>
        <v>0</v>
      </c>
      <c r="R178" s="117">
        <f>VLOOKUP(C178,'Talente &amp; Stuff'!CL:DM,16,FALSE)</f>
        <v>0</v>
      </c>
      <c r="S178" s="119">
        <f>VLOOKUP(C178,'Talente &amp; Stuff'!CL:DM,17,FALSE)</f>
        <v>0</v>
      </c>
      <c r="T178" s="119">
        <f>VLOOKUP(C178,'Talente &amp; Stuff'!CL:DM,18,FALSE)</f>
        <v>0</v>
      </c>
      <c r="U178" s="89">
        <f>VLOOKUP(C178,'Talente &amp; Stuff'!CL:DM,19,FALSE)</f>
        <v>0</v>
      </c>
      <c r="V178" s="47">
        <f>VLOOKUP(C178,'Talente &amp; Stuff'!CL:DM,20,FALSE)</f>
        <v>0</v>
      </c>
      <c r="W178" s="127">
        <f>VLOOKUP(C178,'Talente &amp; Stuff'!CL:DM,21,FALSE)</f>
        <v>0</v>
      </c>
      <c r="X178" s="127">
        <f>VLOOKUP(C178,'Talente &amp; Stuff'!CL:DM,22,FALSE)</f>
        <v>0</v>
      </c>
      <c r="Y178" s="165">
        <f t="shared" si="16"/>
        <v>0</v>
      </c>
      <c r="Z178" s="44">
        <f t="shared" si="17"/>
        <v>0</v>
      </c>
      <c r="AA178" s="125">
        <f>VLOOKUP(C178,'Talente &amp; Stuff'!CL:DM,25,FALSE)</f>
        <v>0</v>
      </c>
      <c r="AB178" s="160">
        <f>VLOOKUP(C178,'Talente &amp; Stuff'!CL:DM,26,FALSE)</f>
        <v>0</v>
      </c>
      <c r="AC178" s="127">
        <f>VLOOKUP(C178,'Talente &amp; Stuff'!CL:DM,27,FALSE)</f>
        <v>0</v>
      </c>
      <c r="AD178" s="125">
        <f>VLOOKUP(C178,'Talente &amp; Stuff'!CL:DM,28,FALSE)</f>
        <v>0</v>
      </c>
      <c r="AE178" s="28"/>
    </row>
    <row r="179" spans="2:31" ht="15" hidden="1" customHeight="1" outlineLevel="2">
      <c r="B179" s="148">
        <v>27</v>
      </c>
      <c r="C179" s="177" t="str">
        <f>Attribute!C179</f>
        <v>---</v>
      </c>
      <c r="D179" s="86" t="str">
        <f>VLOOKUP(C179,'Talente &amp; Stuff'!CL:DM,2,FALSE)</f>
        <v>--/--/--</v>
      </c>
      <c r="E179" s="167" t="str">
        <f>VLOOKUP(C179,'Talente &amp; Stuff'!CL:DM,3,FALSE)</f>
        <v>-</v>
      </c>
      <c r="F179" s="120">
        <f>VLOOKUP(C179,'Talente &amp; Stuff'!CL:DM,4,FALSE)</f>
        <v>0</v>
      </c>
      <c r="G179" s="117">
        <f>VLOOKUP(C179,'Talente &amp; Stuff'!CL:DM,5,FALSE)</f>
        <v>0</v>
      </c>
      <c r="H179" s="117">
        <f>VLOOKUP(C179,'Talente &amp; Stuff'!CL:DM,6,FALSE)</f>
        <v>0</v>
      </c>
      <c r="I179" s="117">
        <f>VLOOKUP(C179,'Talente &amp; Stuff'!CL:DM,7,FALSE)</f>
        <v>0</v>
      </c>
      <c r="J179" s="117">
        <f>VLOOKUP(C179,'Talente &amp; Stuff'!CL:DM,8,FALSE)</f>
        <v>0</v>
      </c>
      <c r="K179" s="117">
        <f>VLOOKUP(C179,'Talente &amp; Stuff'!CL:DM,9,FALSE)</f>
        <v>0</v>
      </c>
      <c r="L179" s="117">
        <f>VLOOKUP(C179,'Talente &amp; Stuff'!CL:DM,10,FALSE)</f>
        <v>0</v>
      </c>
      <c r="M179" s="121">
        <f>VLOOKUP(C179,'Talente &amp; Stuff'!CL:DM,11,FALSE)</f>
        <v>0</v>
      </c>
      <c r="N179" s="47">
        <f>VLOOKUP(C179,'Talente &amp; Stuff'!CL:DM,12,FALSE)</f>
        <v>0</v>
      </c>
      <c r="O179" s="3">
        <f>VLOOKUP(C179,'Talente &amp; Stuff'!CL:DM,13,FALSE)</f>
        <v>0</v>
      </c>
      <c r="P179" s="174">
        <f>VLOOKUP(C179,'Talente &amp; Stuff'!CL:DM,14,FALSE)</f>
        <v>0</v>
      </c>
      <c r="Q179" s="114">
        <f>VLOOKUP(C179,'Talente &amp; Stuff'!CL:DM,15,FALSE)</f>
        <v>0</v>
      </c>
      <c r="R179" s="117">
        <f>VLOOKUP(C179,'Talente &amp; Stuff'!CL:DM,16,FALSE)</f>
        <v>0</v>
      </c>
      <c r="S179" s="119">
        <f>VLOOKUP(C179,'Talente &amp; Stuff'!CL:DM,17,FALSE)</f>
        <v>0</v>
      </c>
      <c r="T179" s="119">
        <f>VLOOKUP(C179,'Talente &amp; Stuff'!CL:DM,18,FALSE)</f>
        <v>0</v>
      </c>
      <c r="U179" s="89">
        <f>VLOOKUP(C179,'Talente &amp; Stuff'!CL:DM,19,FALSE)</f>
        <v>0</v>
      </c>
      <c r="V179" s="47">
        <f>VLOOKUP(C179,'Talente &amp; Stuff'!CL:DM,20,FALSE)</f>
        <v>0</v>
      </c>
      <c r="W179" s="127">
        <f>VLOOKUP(C179,'Talente &amp; Stuff'!CL:DM,21,FALSE)</f>
        <v>0</v>
      </c>
      <c r="X179" s="127">
        <f>VLOOKUP(C179,'Talente &amp; Stuff'!CL:DM,22,FALSE)</f>
        <v>0</v>
      </c>
      <c r="Y179" s="165">
        <f t="shared" si="16"/>
        <v>0</v>
      </c>
      <c r="Z179" s="44">
        <f t="shared" si="17"/>
        <v>0</v>
      </c>
      <c r="AA179" s="125">
        <f>VLOOKUP(C179,'Talente &amp; Stuff'!CL:DM,25,FALSE)</f>
        <v>0</v>
      </c>
      <c r="AB179" s="160">
        <f>VLOOKUP(C179,'Talente &amp; Stuff'!CL:DM,26,FALSE)</f>
        <v>0</v>
      </c>
      <c r="AC179" s="127">
        <f>VLOOKUP(C179,'Talente &amp; Stuff'!CL:DM,27,FALSE)</f>
        <v>0</v>
      </c>
      <c r="AD179" s="125">
        <f>VLOOKUP(C179,'Talente &amp; Stuff'!CL:DM,28,FALSE)</f>
        <v>0</v>
      </c>
      <c r="AE179" s="28"/>
    </row>
    <row r="180" spans="2:31" ht="15" hidden="1" customHeight="1" outlineLevel="2">
      <c r="B180" s="148">
        <v>28</v>
      </c>
      <c r="C180" s="177" t="str">
        <f>Attribute!C180</f>
        <v>---</v>
      </c>
      <c r="D180" s="86" t="str">
        <f>VLOOKUP(C180,'Talente &amp; Stuff'!CL:DM,2,FALSE)</f>
        <v>--/--/--</v>
      </c>
      <c r="E180" s="167" t="str">
        <f>VLOOKUP(C180,'Talente &amp; Stuff'!CL:DM,3,FALSE)</f>
        <v>-</v>
      </c>
      <c r="F180" s="120">
        <f>VLOOKUP(C180,'Talente &amp; Stuff'!CL:DM,4,FALSE)</f>
        <v>0</v>
      </c>
      <c r="G180" s="117">
        <f>VLOOKUP(C180,'Talente &amp; Stuff'!CL:DM,5,FALSE)</f>
        <v>0</v>
      </c>
      <c r="H180" s="117">
        <f>VLOOKUP(C180,'Talente &amp; Stuff'!CL:DM,6,FALSE)</f>
        <v>0</v>
      </c>
      <c r="I180" s="117">
        <f>VLOOKUP(C180,'Talente &amp; Stuff'!CL:DM,7,FALSE)</f>
        <v>0</v>
      </c>
      <c r="J180" s="117">
        <f>VLOOKUP(C180,'Talente &amp; Stuff'!CL:DM,8,FALSE)</f>
        <v>0</v>
      </c>
      <c r="K180" s="117">
        <f>VLOOKUP(C180,'Talente &amp; Stuff'!CL:DM,9,FALSE)</f>
        <v>0</v>
      </c>
      <c r="L180" s="117">
        <f>VLOOKUP(C180,'Talente &amp; Stuff'!CL:DM,10,FALSE)</f>
        <v>0</v>
      </c>
      <c r="M180" s="121">
        <f>VLOOKUP(C180,'Talente &amp; Stuff'!CL:DM,11,FALSE)</f>
        <v>0</v>
      </c>
      <c r="N180" s="47">
        <f>VLOOKUP(C180,'Talente &amp; Stuff'!CL:DM,12,FALSE)</f>
        <v>0</v>
      </c>
      <c r="O180" s="3">
        <f>VLOOKUP(C180,'Talente &amp; Stuff'!CL:DM,13,FALSE)</f>
        <v>0</v>
      </c>
      <c r="P180" s="174">
        <f>VLOOKUP(C180,'Talente &amp; Stuff'!CL:DM,14,FALSE)</f>
        <v>0</v>
      </c>
      <c r="Q180" s="114">
        <f>VLOOKUP(C180,'Talente &amp; Stuff'!CL:DM,15,FALSE)</f>
        <v>0</v>
      </c>
      <c r="R180" s="117">
        <f>VLOOKUP(C180,'Talente &amp; Stuff'!CL:DM,16,FALSE)</f>
        <v>0</v>
      </c>
      <c r="S180" s="119">
        <f>VLOOKUP(C180,'Talente &amp; Stuff'!CL:DM,17,FALSE)</f>
        <v>0</v>
      </c>
      <c r="T180" s="119">
        <f>VLOOKUP(C180,'Talente &amp; Stuff'!CL:DM,18,FALSE)</f>
        <v>0</v>
      </c>
      <c r="U180" s="89">
        <f>VLOOKUP(C180,'Talente &amp; Stuff'!CL:DM,19,FALSE)</f>
        <v>0</v>
      </c>
      <c r="V180" s="47">
        <f>VLOOKUP(C180,'Talente &amp; Stuff'!CL:DM,20,FALSE)</f>
        <v>0</v>
      </c>
      <c r="W180" s="127">
        <f>VLOOKUP(C180,'Talente &amp; Stuff'!CL:DM,21,FALSE)</f>
        <v>0</v>
      </c>
      <c r="X180" s="127">
        <f>VLOOKUP(C180,'Talente &amp; Stuff'!CL:DM,22,FALSE)</f>
        <v>0</v>
      </c>
      <c r="Y180" s="165">
        <f t="shared" si="16"/>
        <v>0</v>
      </c>
      <c r="Z180" s="44">
        <f t="shared" si="17"/>
        <v>0</v>
      </c>
      <c r="AA180" s="125">
        <f>VLOOKUP(C180,'Talente &amp; Stuff'!CL:DM,25,FALSE)</f>
        <v>0</v>
      </c>
      <c r="AB180" s="160">
        <f>VLOOKUP(C180,'Talente &amp; Stuff'!CL:DM,26,FALSE)</f>
        <v>0</v>
      </c>
      <c r="AC180" s="127">
        <f>VLOOKUP(C180,'Talente &amp; Stuff'!CL:DM,27,FALSE)</f>
        <v>0</v>
      </c>
      <c r="AD180" s="125">
        <f>VLOOKUP(C180,'Talente &amp; Stuff'!CL:DM,28,FALSE)</f>
        <v>0</v>
      </c>
      <c r="AE180" s="28"/>
    </row>
    <row r="181" spans="2:31" ht="15" hidden="1" customHeight="1" outlineLevel="2">
      <c r="B181" s="148">
        <v>29</v>
      </c>
      <c r="C181" s="177" t="str">
        <f>Attribute!C181</f>
        <v>---</v>
      </c>
      <c r="D181" s="86" t="str">
        <f>VLOOKUP(C181,'Talente &amp; Stuff'!CL:DM,2,FALSE)</f>
        <v>--/--/--</v>
      </c>
      <c r="E181" s="167" t="str">
        <f>VLOOKUP(C181,'Talente &amp; Stuff'!CL:DM,3,FALSE)</f>
        <v>-</v>
      </c>
      <c r="F181" s="120">
        <f>VLOOKUP(C181,'Talente &amp; Stuff'!CL:DM,4,FALSE)</f>
        <v>0</v>
      </c>
      <c r="G181" s="117">
        <f>VLOOKUP(C181,'Talente &amp; Stuff'!CL:DM,5,FALSE)</f>
        <v>0</v>
      </c>
      <c r="H181" s="117">
        <f>VLOOKUP(C181,'Talente &amp; Stuff'!CL:DM,6,FALSE)</f>
        <v>0</v>
      </c>
      <c r="I181" s="117">
        <f>VLOOKUP(C181,'Talente &amp; Stuff'!CL:DM,7,FALSE)</f>
        <v>0</v>
      </c>
      <c r="J181" s="117">
        <f>VLOOKUP(C181,'Talente &amp; Stuff'!CL:DM,8,FALSE)</f>
        <v>0</v>
      </c>
      <c r="K181" s="117">
        <f>VLOOKUP(C181,'Talente &amp; Stuff'!CL:DM,9,FALSE)</f>
        <v>0</v>
      </c>
      <c r="L181" s="117">
        <f>VLOOKUP(C181,'Talente &amp; Stuff'!CL:DM,10,FALSE)</f>
        <v>0</v>
      </c>
      <c r="M181" s="121">
        <f>VLOOKUP(C181,'Talente &amp; Stuff'!CL:DM,11,FALSE)</f>
        <v>0</v>
      </c>
      <c r="N181" s="47">
        <f>VLOOKUP(C181,'Talente &amp; Stuff'!CL:DM,12,FALSE)</f>
        <v>0</v>
      </c>
      <c r="O181" s="3">
        <f>VLOOKUP(C181,'Talente &amp; Stuff'!CL:DM,13,FALSE)</f>
        <v>0</v>
      </c>
      <c r="P181" s="174">
        <f>VLOOKUP(C181,'Talente &amp; Stuff'!CL:DM,14,FALSE)</f>
        <v>0</v>
      </c>
      <c r="Q181" s="114">
        <f>VLOOKUP(C181,'Talente &amp; Stuff'!CL:DM,15,FALSE)</f>
        <v>0</v>
      </c>
      <c r="R181" s="117">
        <f>VLOOKUP(C181,'Talente &amp; Stuff'!CL:DM,16,FALSE)</f>
        <v>0</v>
      </c>
      <c r="S181" s="119">
        <f>VLOOKUP(C181,'Talente &amp; Stuff'!CL:DM,17,FALSE)</f>
        <v>0</v>
      </c>
      <c r="T181" s="119">
        <f>VLOOKUP(C181,'Talente &amp; Stuff'!CL:DM,18,FALSE)</f>
        <v>0</v>
      </c>
      <c r="U181" s="89">
        <f>VLOOKUP(C181,'Talente &amp; Stuff'!CL:DM,19,FALSE)</f>
        <v>0</v>
      </c>
      <c r="V181" s="47">
        <f>VLOOKUP(C181,'Talente &amp; Stuff'!CL:DM,20,FALSE)</f>
        <v>0</v>
      </c>
      <c r="W181" s="127">
        <f>VLOOKUP(C181,'Talente &amp; Stuff'!CL:DM,21,FALSE)</f>
        <v>0</v>
      </c>
      <c r="X181" s="127">
        <f>VLOOKUP(C181,'Talente &amp; Stuff'!CL:DM,22,FALSE)</f>
        <v>0</v>
      </c>
      <c r="Y181" s="165">
        <f t="shared" si="16"/>
        <v>0</v>
      </c>
      <c r="Z181" s="44">
        <f t="shared" si="17"/>
        <v>0</v>
      </c>
      <c r="AA181" s="125">
        <f>VLOOKUP(C181,'Talente &amp; Stuff'!CL:DM,25,FALSE)</f>
        <v>0</v>
      </c>
      <c r="AB181" s="160">
        <f>VLOOKUP(C181,'Talente &amp; Stuff'!CL:DM,26,FALSE)</f>
        <v>0</v>
      </c>
      <c r="AC181" s="127">
        <f>VLOOKUP(C181,'Talente &amp; Stuff'!CL:DM,27,FALSE)</f>
        <v>0</v>
      </c>
      <c r="AD181" s="125">
        <f>VLOOKUP(C181,'Talente &amp; Stuff'!CL:DM,28,FALSE)</f>
        <v>0</v>
      </c>
      <c r="AE181" s="28"/>
    </row>
    <row r="182" spans="2:31" ht="15" hidden="1" customHeight="1" outlineLevel="2">
      <c r="B182" s="148">
        <v>30</v>
      </c>
      <c r="C182" s="177" t="str">
        <f>Attribute!C182</f>
        <v>---</v>
      </c>
      <c r="D182" s="86" t="str">
        <f>VLOOKUP(C182,'Talente &amp; Stuff'!CL:DM,2,FALSE)</f>
        <v>--/--/--</v>
      </c>
      <c r="E182" s="167" t="str">
        <f>VLOOKUP(C182,'Talente &amp; Stuff'!CL:DM,3,FALSE)</f>
        <v>-</v>
      </c>
      <c r="F182" s="120">
        <f>VLOOKUP(C182,'Talente &amp; Stuff'!CL:DM,4,FALSE)</f>
        <v>0</v>
      </c>
      <c r="G182" s="117">
        <f>VLOOKUP(C182,'Talente &amp; Stuff'!CL:DM,5,FALSE)</f>
        <v>0</v>
      </c>
      <c r="H182" s="117">
        <f>VLOOKUP(C182,'Talente &amp; Stuff'!CL:DM,6,FALSE)</f>
        <v>0</v>
      </c>
      <c r="I182" s="117">
        <f>VLOOKUP(C182,'Talente &amp; Stuff'!CL:DM,7,FALSE)</f>
        <v>0</v>
      </c>
      <c r="J182" s="117">
        <f>VLOOKUP(C182,'Talente &amp; Stuff'!CL:DM,8,FALSE)</f>
        <v>0</v>
      </c>
      <c r="K182" s="117">
        <f>VLOOKUP(C182,'Talente &amp; Stuff'!CL:DM,9,FALSE)</f>
        <v>0</v>
      </c>
      <c r="L182" s="117">
        <f>VLOOKUP(C182,'Talente &amp; Stuff'!CL:DM,10,FALSE)</f>
        <v>0</v>
      </c>
      <c r="M182" s="121">
        <f>VLOOKUP(C182,'Talente &amp; Stuff'!CL:DM,11,FALSE)</f>
        <v>0</v>
      </c>
      <c r="N182" s="47">
        <f>VLOOKUP(C182,'Talente &amp; Stuff'!CL:DM,12,FALSE)</f>
        <v>0</v>
      </c>
      <c r="O182" s="3">
        <f>VLOOKUP(C182,'Talente &amp; Stuff'!CL:DM,13,FALSE)</f>
        <v>0</v>
      </c>
      <c r="P182" s="174">
        <f>VLOOKUP(C182,'Talente &amp; Stuff'!CL:DM,14,FALSE)</f>
        <v>0</v>
      </c>
      <c r="Q182" s="114">
        <f>VLOOKUP(C182,'Talente &amp; Stuff'!CL:DM,15,FALSE)</f>
        <v>0</v>
      </c>
      <c r="R182" s="117">
        <f>VLOOKUP(C182,'Talente &amp; Stuff'!CL:DM,16,FALSE)</f>
        <v>0</v>
      </c>
      <c r="S182" s="119">
        <f>VLOOKUP(C182,'Talente &amp; Stuff'!CL:DM,17,FALSE)</f>
        <v>0</v>
      </c>
      <c r="T182" s="119">
        <f>VLOOKUP(C182,'Talente &amp; Stuff'!CL:DM,18,FALSE)</f>
        <v>0</v>
      </c>
      <c r="U182" s="89">
        <f>VLOOKUP(C182,'Talente &amp; Stuff'!CL:DM,19,FALSE)</f>
        <v>0</v>
      </c>
      <c r="V182" s="47">
        <f>VLOOKUP(C182,'Talente &amp; Stuff'!CL:DM,20,FALSE)</f>
        <v>0</v>
      </c>
      <c r="W182" s="127">
        <f>VLOOKUP(C182,'Talente &amp; Stuff'!CL:DM,21,FALSE)</f>
        <v>0</v>
      </c>
      <c r="X182" s="127">
        <f>VLOOKUP(C182,'Talente &amp; Stuff'!CL:DM,22,FALSE)</f>
        <v>0</v>
      </c>
      <c r="Y182" s="165">
        <f t="shared" si="16"/>
        <v>0</v>
      </c>
      <c r="Z182" s="44">
        <f t="shared" si="17"/>
        <v>0</v>
      </c>
      <c r="AA182" s="125">
        <f>VLOOKUP(C182,'Talente &amp; Stuff'!CL:DM,25,FALSE)</f>
        <v>0</v>
      </c>
      <c r="AB182" s="160">
        <f>VLOOKUP(C182,'Talente &amp; Stuff'!CL:DM,26,FALSE)</f>
        <v>0</v>
      </c>
      <c r="AC182" s="127">
        <f>VLOOKUP(C182,'Talente &amp; Stuff'!CL:DM,27,FALSE)</f>
        <v>0</v>
      </c>
      <c r="AD182" s="125">
        <f>VLOOKUP(C182,'Talente &amp; Stuff'!CL:DM,28,FALSE)</f>
        <v>0</v>
      </c>
      <c r="AE182" s="28"/>
    </row>
    <row r="183" spans="2:31" ht="15" hidden="1" customHeight="1" outlineLevel="2">
      <c r="B183" s="148">
        <v>31</v>
      </c>
      <c r="C183" s="177" t="str">
        <f>Attribute!C183</f>
        <v>---</v>
      </c>
      <c r="D183" s="86" t="str">
        <f>VLOOKUP(C183,'Talente &amp; Stuff'!CL:DM,2,FALSE)</f>
        <v>--/--/--</v>
      </c>
      <c r="E183" s="167" t="str">
        <f>VLOOKUP(C183,'Talente &amp; Stuff'!CL:DM,3,FALSE)</f>
        <v>-</v>
      </c>
      <c r="F183" s="120">
        <f>VLOOKUP(C183,'Talente &amp; Stuff'!CL:DM,4,FALSE)</f>
        <v>0</v>
      </c>
      <c r="G183" s="117">
        <f>VLOOKUP(C183,'Talente &amp; Stuff'!CL:DM,5,FALSE)</f>
        <v>0</v>
      </c>
      <c r="H183" s="117">
        <f>VLOOKUP(C183,'Talente &amp; Stuff'!CL:DM,6,FALSE)</f>
        <v>0</v>
      </c>
      <c r="I183" s="117">
        <f>VLOOKUP(C183,'Talente &amp; Stuff'!CL:DM,7,FALSE)</f>
        <v>0</v>
      </c>
      <c r="J183" s="117">
        <f>VLOOKUP(C183,'Talente &amp; Stuff'!CL:DM,8,FALSE)</f>
        <v>0</v>
      </c>
      <c r="K183" s="117">
        <f>VLOOKUP(C183,'Talente &amp; Stuff'!CL:DM,9,FALSE)</f>
        <v>0</v>
      </c>
      <c r="L183" s="117">
        <f>VLOOKUP(C183,'Talente &amp; Stuff'!CL:DM,10,FALSE)</f>
        <v>0</v>
      </c>
      <c r="M183" s="121">
        <f>VLOOKUP(C183,'Talente &amp; Stuff'!CL:DM,11,FALSE)</f>
        <v>0</v>
      </c>
      <c r="N183" s="47">
        <f>VLOOKUP(C183,'Talente &amp; Stuff'!CL:DM,12,FALSE)</f>
        <v>0</v>
      </c>
      <c r="O183" s="3">
        <f>VLOOKUP(C183,'Talente &amp; Stuff'!CL:DM,13,FALSE)</f>
        <v>0</v>
      </c>
      <c r="P183" s="174">
        <f>VLOOKUP(C183,'Talente &amp; Stuff'!CL:DM,14,FALSE)</f>
        <v>0</v>
      </c>
      <c r="Q183" s="114">
        <f>VLOOKUP(C183,'Talente &amp; Stuff'!CL:DM,15,FALSE)</f>
        <v>0</v>
      </c>
      <c r="R183" s="117">
        <f>VLOOKUP(C183,'Talente &amp; Stuff'!CL:DM,16,FALSE)</f>
        <v>0</v>
      </c>
      <c r="S183" s="119">
        <f>VLOOKUP(C183,'Talente &amp; Stuff'!CL:DM,17,FALSE)</f>
        <v>0</v>
      </c>
      <c r="T183" s="119">
        <f>VLOOKUP(C183,'Talente &amp; Stuff'!CL:DM,18,FALSE)</f>
        <v>0</v>
      </c>
      <c r="U183" s="89">
        <f>VLOOKUP(C183,'Talente &amp; Stuff'!CL:DM,19,FALSE)</f>
        <v>0</v>
      </c>
      <c r="V183" s="47">
        <f>VLOOKUP(C183,'Talente &amp; Stuff'!CL:DM,20,FALSE)</f>
        <v>0</v>
      </c>
      <c r="W183" s="127">
        <f>VLOOKUP(C183,'Talente &amp; Stuff'!CL:DM,21,FALSE)</f>
        <v>0</v>
      </c>
      <c r="X183" s="127">
        <f>VLOOKUP(C183,'Talente &amp; Stuff'!CL:DM,22,FALSE)</f>
        <v>0</v>
      </c>
      <c r="Y183" s="165">
        <f t="shared" si="16"/>
        <v>0</v>
      </c>
      <c r="Z183" s="44">
        <f t="shared" si="17"/>
        <v>0</v>
      </c>
      <c r="AA183" s="125">
        <f>VLOOKUP(C183,'Talente &amp; Stuff'!CL:DM,25,FALSE)</f>
        <v>0</v>
      </c>
      <c r="AB183" s="160">
        <f>VLOOKUP(C183,'Talente &amp; Stuff'!CL:DM,26,FALSE)</f>
        <v>0</v>
      </c>
      <c r="AC183" s="127">
        <f>VLOOKUP(C183,'Talente &amp; Stuff'!CL:DM,27,FALSE)</f>
        <v>0</v>
      </c>
      <c r="AD183" s="125">
        <f>VLOOKUP(C183,'Talente &amp; Stuff'!CL:DM,28,FALSE)</f>
        <v>0</v>
      </c>
      <c r="AE183" s="28"/>
    </row>
    <row r="184" spans="2:31" ht="15" hidden="1" customHeight="1" outlineLevel="2">
      <c r="B184" s="148">
        <v>32</v>
      </c>
      <c r="C184" s="177" t="str">
        <f>Attribute!C184</f>
        <v>---</v>
      </c>
      <c r="D184" s="86" t="str">
        <f>VLOOKUP(C184,'Talente &amp; Stuff'!CL:DM,2,FALSE)</f>
        <v>--/--/--</v>
      </c>
      <c r="E184" s="167" t="str">
        <f>VLOOKUP(C184,'Talente &amp; Stuff'!CL:DM,3,FALSE)</f>
        <v>-</v>
      </c>
      <c r="F184" s="120">
        <f>VLOOKUP(C184,'Talente &amp; Stuff'!CL:DM,4,FALSE)</f>
        <v>0</v>
      </c>
      <c r="G184" s="117">
        <f>VLOOKUP(C184,'Talente &amp; Stuff'!CL:DM,5,FALSE)</f>
        <v>0</v>
      </c>
      <c r="H184" s="117">
        <f>VLOOKUP(C184,'Talente &amp; Stuff'!CL:DM,6,FALSE)</f>
        <v>0</v>
      </c>
      <c r="I184" s="117">
        <f>VLOOKUP(C184,'Talente &amp; Stuff'!CL:DM,7,FALSE)</f>
        <v>0</v>
      </c>
      <c r="J184" s="117">
        <f>VLOOKUP(C184,'Talente &amp; Stuff'!CL:DM,8,FALSE)</f>
        <v>0</v>
      </c>
      <c r="K184" s="117">
        <f>VLOOKUP(C184,'Talente &amp; Stuff'!CL:DM,9,FALSE)</f>
        <v>0</v>
      </c>
      <c r="L184" s="117">
        <f>VLOOKUP(C184,'Talente &amp; Stuff'!CL:DM,10,FALSE)</f>
        <v>0</v>
      </c>
      <c r="M184" s="121">
        <f>VLOOKUP(C184,'Talente &amp; Stuff'!CL:DM,11,FALSE)</f>
        <v>0</v>
      </c>
      <c r="N184" s="47">
        <f>VLOOKUP(C184,'Talente &amp; Stuff'!CL:DM,12,FALSE)</f>
        <v>0</v>
      </c>
      <c r="O184" s="3">
        <f>VLOOKUP(C184,'Talente &amp; Stuff'!CL:DM,13,FALSE)</f>
        <v>0</v>
      </c>
      <c r="P184" s="174">
        <f>VLOOKUP(C184,'Talente &amp; Stuff'!CL:DM,14,FALSE)</f>
        <v>0</v>
      </c>
      <c r="Q184" s="114">
        <f>VLOOKUP(C184,'Talente &amp; Stuff'!CL:DM,15,FALSE)</f>
        <v>0</v>
      </c>
      <c r="R184" s="117">
        <f>VLOOKUP(C184,'Talente &amp; Stuff'!CL:DM,16,FALSE)</f>
        <v>0</v>
      </c>
      <c r="S184" s="119">
        <f>VLOOKUP(C184,'Talente &amp; Stuff'!CL:DM,17,FALSE)</f>
        <v>0</v>
      </c>
      <c r="T184" s="119">
        <f>VLOOKUP(C184,'Talente &amp; Stuff'!CL:DM,18,FALSE)</f>
        <v>0</v>
      </c>
      <c r="U184" s="89">
        <f>VLOOKUP(C184,'Talente &amp; Stuff'!CL:DM,19,FALSE)</f>
        <v>0</v>
      </c>
      <c r="V184" s="47">
        <f>VLOOKUP(C184,'Talente &amp; Stuff'!CL:DM,20,FALSE)</f>
        <v>0</v>
      </c>
      <c r="W184" s="127">
        <f>VLOOKUP(C184,'Talente &amp; Stuff'!CL:DM,21,FALSE)</f>
        <v>0</v>
      </c>
      <c r="X184" s="127">
        <f>VLOOKUP(C184,'Talente &amp; Stuff'!CL:DM,22,FALSE)</f>
        <v>0</v>
      </c>
      <c r="Y184" s="165">
        <f t="shared" si="16"/>
        <v>0</v>
      </c>
      <c r="Z184" s="44">
        <f t="shared" si="17"/>
        <v>0</v>
      </c>
      <c r="AA184" s="125">
        <f>VLOOKUP(C184,'Talente &amp; Stuff'!CL:DM,25,FALSE)</f>
        <v>0</v>
      </c>
      <c r="AB184" s="160">
        <f>VLOOKUP(C184,'Talente &amp; Stuff'!CL:DM,26,FALSE)</f>
        <v>0</v>
      </c>
      <c r="AC184" s="127">
        <f>VLOOKUP(C184,'Talente &amp; Stuff'!CL:DM,27,FALSE)</f>
        <v>0</v>
      </c>
      <c r="AD184" s="125">
        <f>VLOOKUP(C184,'Talente &amp; Stuff'!CL:DM,28,FALSE)</f>
        <v>0</v>
      </c>
      <c r="AE184" s="28"/>
    </row>
    <row r="185" spans="2:31" ht="15" hidden="1" customHeight="1" outlineLevel="2">
      <c r="B185" s="148">
        <v>33</v>
      </c>
      <c r="C185" s="177" t="str">
        <f>Attribute!C185</f>
        <v>---</v>
      </c>
      <c r="D185" s="86" t="str">
        <f>VLOOKUP(C185,'Talente &amp; Stuff'!CL:DM,2,FALSE)</f>
        <v>--/--/--</v>
      </c>
      <c r="E185" s="167" t="str">
        <f>VLOOKUP(C185,'Talente &amp; Stuff'!CL:DM,3,FALSE)</f>
        <v>-</v>
      </c>
      <c r="F185" s="120">
        <f>VLOOKUP(C185,'Talente &amp; Stuff'!CL:DM,4,FALSE)</f>
        <v>0</v>
      </c>
      <c r="G185" s="117">
        <f>VLOOKUP(C185,'Talente &amp; Stuff'!CL:DM,5,FALSE)</f>
        <v>0</v>
      </c>
      <c r="H185" s="117">
        <f>VLOOKUP(C185,'Talente &amp; Stuff'!CL:DM,6,FALSE)</f>
        <v>0</v>
      </c>
      <c r="I185" s="117">
        <f>VLOOKUP(C185,'Talente &amp; Stuff'!CL:DM,7,FALSE)</f>
        <v>0</v>
      </c>
      <c r="J185" s="117">
        <f>VLOOKUP(C185,'Talente &amp; Stuff'!CL:DM,8,FALSE)</f>
        <v>0</v>
      </c>
      <c r="K185" s="117">
        <f>VLOOKUP(C185,'Talente &amp; Stuff'!CL:DM,9,FALSE)</f>
        <v>0</v>
      </c>
      <c r="L185" s="117">
        <f>VLOOKUP(C185,'Talente &amp; Stuff'!CL:DM,10,FALSE)</f>
        <v>0</v>
      </c>
      <c r="M185" s="121">
        <f>VLOOKUP(C185,'Talente &amp; Stuff'!CL:DM,11,FALSE)</f>
        <v>0</v>
      </c>
      <c r="N185" s="47">
        <f>VLOOKUP(C185,'Talente &amp; Stuff'!CL:DM,12,FALSE)</f>
        <v>0</v>
      </c>
      <c r="O185" s="3">
        <f>VLOOKUP(C185,'Talente &amp; Stuff'!CL:DM,13,FALSE)</f>
        <v>0</v>
      </c>
      <c r="P185" s="174">
        <f>VLOOKUP(C185,'Talente &amp; Stuff'!CL:DM,14,FALSE)</f>
        <v>0</v>
      </c>
      <c r="Q185" s="114">
        <f>VLOOKUP(C185,'Talente &amp; Stuff'!CL:DM,15,FALSE)</f>
        <v>0</v>
      </c>
      <c r="R185" s="117">
        <f>VLOOKUP(C185,'Talente &amp; Stuff'!CL:DM,16,FALSE)</f>
        <v>0</v>
      </c>
      <c r="S185" s="119">
        <f>VLOOKUP(C185,'Talente &amp; Stuff'!CL:DM,17,FALSE)</f>
        <v>0</v>
      </c>
      <c r="T185" s="119">
        <f>VLOOKUP(C185,'Talente &amp; Stuff'!CL:DM,18,FALSE)</f>
        <v>0</v>
      </c>
      <c r="U185" s="89">
        <f>VLOOKUP(C185,'Talente &amp; Stuff'!CL:DM,19,FALSE)</f>
        <v>0</v>
      </c>
      <c r="V185" s="47">
        <f>VLOOKUP(C185,'Talente &amp; Stuff'!CL:DM,20,FALSE)</f>
        <v>0</v>
      </c>
      <c r="W185" s="127">
        <f>VLOOKUP(C185,'Talente &amp; Stuff'!CL:DM,21,FALSE)</f>
        <v>0</v>
      </c>
      <c r="X185" s="127">
        <f>VLOOKUP(C185,'Talente &amp; Stuff'!CL:DM,22,FALSE)</f>
        <v>0</v>
      </c>
      <c r="Y185" s="165">
        <f t="shared" ref="Y185:Y211" si="18">VLOOKUP(C185,Ausgewählte_Zauber_Gildenmagier,110,FALSE)</f>
        <v>0</v>
      </c>
      <c r="Z185" s="44">
        <f t="shared" ref="Z185:Z211" si="19">VLOOKUP(C185,Ausgewählte_Zauber_Gildenmagier,111,FALSE)</f>
        <v>0</v>
      </c>
      <c r="AA185" s="125">
        <f>VLOOKUP(C185,'Talente &amp; Stuff'!CL:DM,25,FALSE)</f>
        <v>0</v>
      </c>
      <c r="AB185" s="160">
        <f>VLOOKUP(C185,'Talente &amp; Stuff'!CL:DM,26,FALSE)</f>
        <v>0</v>
      </c>
      <c r="AC185" s="127">
        <f>VLOOKUP(C185,'Talente &amp; Stuff'!CL:DM,27,FALSE)</f>
        <v>0</v>
      </c>
      <c r="AD185" s="125">
        <f>VLOOKUP(C185,'Talente &amp; Stuff'!CL:DM,28,FALSE)</f>
        <v>0</v>
      </c>
      <c r="AE185" s="28"/>
    </row>
    <row r="186" spans="2:31" ht="15" hidden="1" customHeight="1" outlineLevel="2">
      <c r="B186" s="148">
        <v>34</v>
      </c>
      <c r="C186" s="177" t="str">
        <f>Attribute!C186</f>
        <v>---</v>
      </c>
      <c r="D186" s="86" t="str">
        <f>VLOOKUP(C186,'Talente &amp; Stuff'!CL:DM,2,FALSE)</f>
        <v>--/--/--</v>
      </c>
      <c r="E186" s="167" t="str">
        <f>VLOOKUP(C186,'Talente &amp; Stuff'!CL:DM,3,FALSE)</f>
        <v>-</v>
      </c>
      <c r="F186" s="120">
        <f>VLOOKUP(C186,'Talente &amp; Stuff'!CL:DM,4,FALSE)</f>
        <v>0</v>
      </c>
      <c r="G186" s="117">
        <f>VLOOKUP(C186,'Talente &amp; Stuff'!CL:DM,5,FALSE)</f>
        <v>0</v>
      </c>
      <c r="H186" s="117">
        <f>VLOOKUP(C186,'Talente &amp; Stuff'!CL:DM,6,FALSE)</f>
        <v>0</v>
      </c>
      <c r="I186" s="117">
        <f>VLOOKUP(C186,'Talente &amp; Stuff'!CL:DM,7,FALSE)</f>
        <v>0</v>
      </c>
      <c r="J186" s="117">
        <f>VLOOKUP(C186,'Talente &amp; Stuff'!CL:DM,8,FALSE)</f>
        <v>0</v>
      </c>
      <c r="K186" s="117">
        <f>VLOOKUP(C186,'Talente &amp; Stuff'!CL:DM,9,FALSE)</f>
        <v>0</v>
      </c>
      <c r="L186" s="117">
        <f>VLOOKUP(C186,'Talente &amp; Stuff'!CL:DM,10,FALSE)</f>
        <v>0</v>
      </c>
      <c r="M186" s="121">
        <f>VLOOKUP(C186,'Talente &amp; Stuff'!CL:DM,11,FALSE)</f>
        <v>0</v>
      </c>
      <c r="N186" s="47">
        <f>VLOOKUP(C186,'Talente &amp; Stuff'!CL:DM,12,FALSE)</f>
        <v>0</v>
      </c>
      <c r="O186" s="3">
        <f>VLOOKUP(C186,'Talente &amp; Stuff'!CL:DM,13,FALSE)</f>
        <v>0</v>
      </c>
      <c r="P186" s="174">
        <f>VLOOKUP(C186,'Talente &amp; Stuff'!CL:DM,14,FALSE)</f>
        <v>0</v>
      </c>
      <c r="Q186" s="114">
        <f>VLOOKUP(C186,'Talente &amp; Stuff'!CL:DM,15,FALSE)</f>
        <v>0</v>
      </c>
      <c r="R186" s="117">
        <f>VLOOKUP(C186,'Talente &amp; Stuff'!CL:DM,16,FALSE)</f>
        <v>0</v>
      </c>
      <c r="S186" s="119">
        <f>VLOOKUP(C186,'Talente &amp; Stuff'!CL:DM,17,FALSE)</f>
        <v>0</v>
      </c>
      <c r="T186" s="119">
        <f>VLOOKUP(C186,'Talente &amp; Stuff'!CL:DM,18,FALSE)</f>
        <v>0</v>
      </c>
      <c r="U186" s="89">
        <f>VLOOKUP(C186,'Talente &amp; Stuff'!CL:DM,19,FALSE)</f>
        <v>0</v>
      </c>
      <c r="V186" s="47">
        <f>VLOOKUP(C186,'Talente &amp; Stuff'!CL:DM,20,FALSE)</f>
        <v>0</v>
      </c>
      <c r="W186" s="127">
        <f>VLOOKUP(C186,'Talente &amp; Stuff'!CL:DM,21,FALSE)</f>
        <v>0</v>
      </c>
      <c r="X186" s="127">
        <f>VLOOKUP(C186,'Talente &amp; Stuff'!CL:DM,22,FALSE)</f>
        <v>0</v>
      </c>
      <c r="Y186" s="165">
        <f t="shared" si="18"/>
        <v>0</v>
      </c>
      <c r="Z186" s="44">
        <f t="shared" si="19"/>
        <v>0</v>
      </c>
      <c r="AA186" s="125">
        <f>VLOOKUP(C186,'Talente &amp; Stuff'!CL:DM,25,FALSE)</f>
        <v>0</v>
      </c>
      <c r="AB186" s="160">
        <f>VLOOKUP(C186,'Talente &amp; Stuff'!CL:DM,26,FALSE)</f>
        <v>0</v>
      </c>
      <c r="AC186" s="127">
        <f>VLOOKUP(C186,'Talente &amp; Stuff'!CL:DM,27,FALSE)</f>
        <v>0</v>
      </c>
      <c r="AD186" s="125">
        <f>VLOOKUP(C186,'Talente &amp; Stuff'!CL:DM,28,FALSE)</f>
        <v>0</v>
      </c>
      <c r="AE186" s="28"/>
    </row>
    <row r="187" spans="2:31" ht="15" hidden="1" customHeight="1" outlineLevel="2">
      <c r="B187" s="148">
        <v>35</v>
      </c>
      <c r="C187" s="177" t="str">
        <f>Attribute!C187</f>
        <v>---</v>
      </c>
      <c r="D187" s="86" t="str">
        <f>VLOOKUP(C187,'Talente &amp; Stuff'!CL:DM,2,FALSE)</f>
        <v>--/--/--</v>
      </c>
      <c r="E187" s="167" t="str">
        <f>VLOOKUP(C187,'Talente &amp; Stuff'!CL:DM,3,FALSE)</f>
        <v>-</v>
      </c>
      <c r="F187" s="120">
        <f>VLOOKUP(C187,'Talente &amp; Stuff'!CL:DM,4,FALSE)</f>
        <v>0</v>
      </c>
      <c r="G187" s="117">
        <f>VLOOKUP(C187,'Talente &amp; Stuff'!CL:DM,5,FALSE)</f>
        <v>0</v>
      </c>
      <c r="H187" s="117">
        <f>VLOOKUP(C187,'Talente &amp; Stuff'!CL:DM,6,FALSE)</f>
        <v>0</v>
      </c>
      <c r="I187" s="117">
        <f>VLOOKUP(C187,'Talente &amp; Stuff'!CL:DM,7,FALSE)</f>
        <v>0</v>
      </c>
      <c r="J187" s="117">
        <f>VLOOKUP(C187,'Talente &amp; Stuff'!CL:DM,8,FALSE)</f>
        <v>0</v>
      </c>
      <c r="K187" s="117">
        <f>VLOOKUP(C187,'Talente &amp; Stuff'!CL:DM,9,FALSE)</f>
        <v>0</v>
      </c>
      <c r="L187" s="117">
        <f>VLOOKUP(C187,'Talente &amp; Stuff'!CL:DM,10,FALSE)</f>
        <v>0</v>
      </c>
      <c r="M187" s="121">
        <f>VLOOKUP(C187,'Talente &amp; Stuff'!CL:DM,11,FALSE)</f>
        <v>0</v>
      </c>
      <c r="N187" s="47">
        <f>VLOOKUP(C187,'Talente &amp; Stuff'!CL:DM,12,FALSE)</f>
        <v>0</v>
      </c>
      <c r="O187" s="3">
        <f>VLOOKUP(C187,'Talente &amp; Stuff'!CL:DM,13,FALSE)</f>
        <v>0</v>
      </c>
      <c r="P187" s="174">
        <f>VLOOKUP(C187,'Talente &amp; Stuff'!CL:DM,14,FALSE)</f>
        <v>0</v>
      </c>
      <c r="Q187" s="114">
        <f>VLOOKUP(C187,'Talente &amp; Stuff'!CL:DM,15,FALSE)</f>
        <v>0</v>
      </c>
      <c r="R187" s="117">
        <f>VLOOKUP(C187,'Talente &amp; Stuff'!CL:DM,16,FALSE)</f>
        <v>0</v>
      </c>
      <c r="S187" s="119">
        <f>VLOOKUP(C187,'Talente &amp; Stuff'!CL:DM,17,FALSE)</f>
        <v>0</v>
      </c>
      <c r="T187" s="119">
        <f>VLOOKUP(C187,'Talente &amp; Stuff'!CL:DM,18,FALSE)</f>
        <v>0</v>
      </c>
      <c r="U187" s="89">
        <f>VLOOKUP(C187,'Talente &amp; Stuff'!CL:DM,19,FALSE)</f>
        <v>0</v>
      </c>
      <c r="V187" s="47">
        <f>VLOOKUP(C187,'Talente &amp; Stuff'!CL:DM,20,FALSE)</f>
        <v>0</v>
      </c>
      <c r="W187" s="127">
        <f>VLOOKUP(C187,'Talente &amp; Stuff'!CL:DM,21,FALSE)</f>
        <v>0</v>
      </c>
      <c r="X187" s="127">
        <f>VLOOKUP(C187,'Talente &amp; Stuff'!CL:DM,22,FALSE)</f>
        <v>0</v>
      </c>
      <c r="Y187" s="165">
        <f t="shared" si="18"/>
        <v>0</v>
      </c>
      <c r="Z187" s="44">
        <f t="shared" si="19"/>
        <v>0</v>
      </c>
      <c r="AA187" s="125">
        <f>VLOOKUP(C187,'Talente &amp; Stuff'!CL:DM,25,FALSE)</f>
        <v>0</v>
      </c>
      <c r="AB187" s="160">
        <f>VLOOKUP(C187,'Talente &amp; Stuff'!CL:DM,26,FALSE)</f>
        <v>0</v>
      </c>
      <c r="AC187" s="127">
        <f>VLOOKUP(C187,'Talente &amp; Stuff'!CL:DM,27,FALSE)</f>
        <v>0</v>
      </c>
      <c r="AD187" s="125">
        <f>VLOOKUP(C187,'Talente &amp; Stuff'!CL:DM,28,FALSE)</f>
        <v>0</v>
      </c>
      <c r="AE187" s="28"/>
    </row>
    <row r="188" spans="2:31" ht="15" hidden="1" customHeight="1" outlineLevel="2">
      <c r="B188" s="148">
        <v>36</v>
      </c>
      <c r="C188" s="177" t="str">
        <f>Attribute!C188</f>
        <v>---</v>
      </c>
      <c r="D188" s="86" t="str">
        <f>VLOOKUP(C188,'Talente &amp; Stuff'!CL:DM,2,FALSE)</f>
        <v>--/--/--</v>
      </c>
      <c r="E188" s="167" t="str">
        <f>VLOOKUP(C188,'Talente &amp; Stuff'!CL:DM,3,FALSE)</f>
        <v>-</v>
      </c>
      <c r="F188" s="120">
        <f>VLOOKUP(C188,'Talente &amp; Stuff'!CL:DM,4,FALSE)</f>
        <v>0</v>
      </c>
      <c r="G188" s="117">
        <f>VLOOKUP(C188,'Talente &amp; Stuff'!CL:DM,5,FALSE)</f>
        <v>0</v>
      </c>
      <c r="H188" s="117">
        <f>VLOOKUP(C188,'Talente &amp; Stuff'!CL:DM,6,FALSE)</f>
        <v>0</v>
      </c>
      <c r="I188" s="117">
        <f>VLOOKUP(C188,'Talente &amp; Stuff'!CL:DM,7,FALSE)</f>
        <v>0</v>
      </c>
      <c r="J188" s="117">
        <f>VLOOKUP(C188,'Talente &amp; Stuff'!CL:DM,8,FALSE)</f>
        <v>0</v>
      </c>
      <c r="K188" s="117">
        <f>VLOOKUP(C188,'Talente &amp; Stuff'!CL:DM,9,FALSE)</f>
        <v>0</v>
      </c>
      <c r="L188" s="117">
        <f>VLOOKUP(C188,'Talente &amp; Stuff'!CL:DM,10,FALSE)</f>
        <v>0</v>
      </c>
      <c r="M188" s="121">
        <f>VLOOKUP(C188,'Talente &amp; Stuff'!CL:DM,11,FALSE)</f>
        <v>0</v>
      </c>
      <c r="N188" s="47">
        <f>VLOOKUP(C188,'Talente &amp; Stuff'!CL:DM,12,FALSE)</f>
        <v>0</v>
      </c>
      <c r="O188" s="3">
        <f>VLOOKUP(C188,'Talente &amp; Stuff'!CL:DM,13,FALSE)</f>
        <v>0</v>
      </c>
      <c r="P188" s="174">
        <f>VLOOKUP(C188,'Talente &amp; Stuff'!CL:DM,14,FALSE)</f>
        <v>0</v>
      </c>
      <c r="Q188" s="114">
        <f>VLOOKUP(C188,'Talente &amp; Stuff'!CL:DM,15,FALSE)</f>
        <v>0</v>
      </c>
      <c r="R188" s="117">
        <f>VLOOKUP(C188,'Talente &amp; Stuff'!CL:DM,16,FALSE)</f>
        <v>0</v>
      </c>
      <c r="S188" s="119">
        <f>VLOOKUP(C188,'Talente &amp; Stuff'!CL:DM,17,FALSE)</f>
        <v>0</v>
      </c>
      <c r="T188" s="119">
        <f>VLOOKUP(C188,'Talente &amp; Stuff'!CL:DM,18,FALSE)</f>
        <v>0</v>
      </c>
      <c r="U188" s="89">
        <f>VLOOKUP(C188,'Talente &amp; Stuff'!CL:DM,19,FALSE)</f>
        <v>0</v>
      </c>
      <c r="V188" s="47">
        <f>VLOOKUP(C188,'Talente &amp; Stuff'!CL:DM,20,FALSE)</f>
        <v>0</v>
      </c>
      <c r="W188" s="127">
        <f>VLOOKUP(C188,'Talente &amp; Stuff'!CL:DM,21,FALSE)</f>
        <v>0</v>
      </c>
      <c r="X188" s="127">
        <f>VLOOKUP(C188,'Talente &amp; Stuff'!CL:DM,22,FALSE)</f>
        <v>0</v>
      </c>
      <c r="Y188" s="165">
        <f t="shared" si="18"/>
        <v>0</v>
      </c>
      <c r="Z188" s="44">
        <f t="shared" si="19"/>
        <v>0</v>
      </c>
      <c r="AA188" s="125">
        <f>VLOOKUP(C188,'Talente &amp; Stuff'!CL:DM,25,FALSE)</f>
        <v>0</v>
      </c>
      <c r="AB188" s="160">
        <f>VLOOKUP(C188,'Talente &amp; Stuff'!CL:DM,26,FALSE)</f>
        <v>0</v>
      </c>
      <c r="AC188" s="127">
        <f>VLOOKUP(C188,'Talente &amp; Stuff'!CL:DM,27,FALSE)</f>
        <v>0</v>
      </c>
      <c r="AD188" s="125">
        <f>VLOOKUP(C188,'Talente &amp; Stuff'!CL:DM,28,FALSE)</f>
        <v>0</v>
      </c>
      <c r="AE188" s="28"/>
    </row>
    <row r="189" spans="2:31" ht="15" hidden="1" customHeight="1" outlineLevel="2">
      <c r="B189" s="148">
        <v>37</v>
      </c>
      <c r="C189" s="177" t="str">
        <f>Attribute!C189</f>
        <v>---</v>
      </c>
      <c r="D189" s="86" t="str">
        <f>VLOOKUP(C189,'Talente &amp; Stuff'!CL:DM,2,FALSE)</f>
        <v>--/--/--</v>
      </c>
      <c r="E189" s="167" t="str">
        <f>VLOOKUP(C189,'Talente &amp; Stuff'!CL:DM,3,FALSE)</f>
        <v>-</v>
      </c>
      <c r="F189" s="120">
        <f>VLOOKUP(C189,'Talente &amp; Stuff'!CL:DM,4,FALSE)</f>
        <v>0</v>
      </c>
      <c r="G189" s="117">
        <f>VLOOKUP(C189,'Talente &amp; Stuff'!CL:DM,5,FALSE)</f>
        <v>0</v>
      </c>
      <c r="H189" s="117">
        <f>VLOOKUP(C189,'Talente &amp; Stuff'!CL:DM,6,FALSE)</f>
        <v>0</v>
      </c>
      <c r="I189" s="117">
        <f>VLOOKUP(C189,'Talente &amp; Stuff'!CL:DM,7,FALSE)</f>
        <v>0</v>
      </c>
      <c r="J189" s="117">
        <f>VLOOKUP(C189,'Talente &amp; Stuff'!CL:DM,8,FALSE)</f>
        <v>0</v>
      </c>
      <c r="K189" s="117">
        <f>VLOOKUP(C189,'Talente &amp; Stuff'!CL:DM,9,FALSE)</f>
        <v>0</v>
      </c>
      <c r="L189" s="117">
        <f>VLOOKUP(C189,'Talente &amp; Stuff'!CL:DM,10,FALSE)</f>
        <v>0</v>
      </c>
      <c r="M189" s="121">
        <f>VLOOKUP(C189,'Talente &amp; Stuff'!CL:DM,11,FALSE)</f>
        <v>0</v>
      </c>
      <c r="N189" s="47">
        <f>VLOOKUP(C189,'Talente &amp; Stuff'!CL:DM,12,FALSE)</f>
        <v>0</v>
      </c>
      <c r="O189" s="3">
        <f>VLOOKUP(C189,'Talente &amp; Stuff'!CL:DM,13,FALSE)</f>
        <v>0</v>
      </c>
      <c r="P189" s="174">
        <f>VLOOKUP(C189,'Talente &amp; Stuff'!CL:DM,14,FALSE)</f>
        <v>0</v>
      </c>
      <c r="Q189" s="114">
        <f>VLOOKUP(C189,'Talente &amp; Stuff'!CL:DM,15,FALSE)</f>
        <v>0</v>
      </c>
      <c r="R189" s="117">
        <f>VLOOKUP(C189,'Talente &amp; Stuff'!CL:DM,16,FALSE)</f>
        <v>0</v>
      </c>
      <c r="S189" s="119">
        <f>VLOOKUP(C189,'Talente &amp; Stuff'!CL:DM,17,FALSE)</f>
        <v>0</v>
      </c>
      <c r="T189" s="119">
        <f>VLOOKUP(C189,'Talente &amp; Stuff'!CL:DM,18,FALSE)</f>
        <v>0</v>
      </c>
      <c r="U189" s="89">
        <f>VLOOKUP(C189,'Talente &amp; Stuff'!CL:DM,19,FALSE)</f>
        <v>0</v>
      </c>
      <c r="V189" s="47">
        <f>VLOOKUP(C189,'Talente &amp; Stuff'!CL:DM,20,FALSE)</f>
        <v>0</v>
      </c>
      <c r="W189" s="127">
        <f>VLOOKUP(C189,'Talente &amp; Stuff'!CL:DM,21,FALSE)</f>
        <v>0</v>
      </c>
      <c r="X189" s="127">
        <f>VLOOKUP(C189,'Talente &amp; Stuff'!CL:DM,22,FALSE)</f>
        <v>0</v>
      </c>
      <c r="Y189" s="165">
        <f t="shared" si="18"/>
        <v>0</v>
      </c>
      <c r="Z189" s="44">
        <f t="shared" si="19"/>
        <v>0</v>
      </c>
      <c r="AA189" s="125">
        <f>VLOOKUP(C189,'Talente &amp; Stuff'!CL:DM,25,FALSE)</f>
        <v>0</v>
      </c>
      <c r="AB189" s="160">
        <f>VLOOKUP(C189,'Talente &amp; Stuff'!CL:DM,26,FALSE)</f>
        <v>0</v>
      </c>
      <c r="AC189" s="127">
        <f>VLOOKUP(C189,'Talente &amp; Stuff'!CL:DM,27,FALSE)</f>
        <v>0</v>
      </c>
      <c r="AD189" s="125">
        <f>VLOOKUP(C189,'Talente &amp; Stuff'!CL:DM,28,FALSE)</f>
        <v>0</v>
      </c>
      <c r="AE189" s="28"/>
    </row>
    <row r="190" spans="2:31" ht="15" hidden="1" customHeight="1" outlineLevel="2">
      <c r="B190" s="148">
        <v>38</v>
      </c>
      <c r="C190" s="177" t="str">
        <f>Attribute!C190</f>
        <v>---</v>
      </c>
      <c r="D190" s="86" t="str">
        <f>VLOOKUP(C190,'Talente &amp; Stuff'!CL:DM,2,FALSE)</f>
        <v>--/--/--</v>
      </c>
      <c r="E190" s="167" t="str">
        <f>VLOOKUP(C190,'Talente &amp; Stuff'!CL:DM,3,FALSE)</f>
        <v>-</v>
      </c>
      <c r="F190" s="120">
        <f>VLOOKUP(C190,'Talente &amp; Stuff'!CL:DM,4,FALSE)</f>
        <v>0</v>
      </c>
      <c r="G190" s="117">
        <f>VLOOKUP(C190,'Talente &amp; Stuff'!CL:DM,5,FALSE)</f>
        <v>0</v>
      </c>
      <c r="H190" s="117">
        <f>VLOOKUP(C190,'Talente &amp; Stuff'!CL:DM,6,FALSE)</f>
        <v>0</v>
      </c>
      <c r="I190" s="117">
        <f>VLOOKUP(C190,'Talente &amp; Stuff'!CL:DM,7,FALSE)</f>
        <v>0</v>
      </c>
      <c r="J190" s="117">
        <f>VLOOKUP(C190,'Talente &amp; Stuff'!CL:DM,8,FALSE)</f>
        <v>0</v>
      </c>
      <c r="K190" s="117">
        <f>VLOOKUP(C190,'Talente &amp; Stuff'!CL:DM,9,FALSE)</f>
        <v>0</v>
      </c>
      <c r="L190" s="117">
        <f>VLOOKUP(C190,'Talente &amp; Stuff'!CL:DM,10,FALSE)</f>
        <v>0</v>
      </c>
      <c r="M190" s="121">
        <f>VLOOKUP(C190,'Talente &amp; Stuff'!CL:DM,11,FALSE)</f>
        <v>0</v>
      </c>
      <c r="N190" s="47">
        <f>VLOOKUP(C190,'Talente &amp; Stuff'!CL:DM,12,FALSE)</f>
        <v>0</v>
      </c>
      <c r="O190" s="3">
        <f>VLOOKUP(C190,'Talente &amp; Stuff'!CL:DM,13,FALSE)</f>
        <v>0</v>
      </c>
      <c r="P190" s="174">
        <f>VLOOKUP(C190,'Talente &amp; Stuff'!CL:DM,14,FALSE)</f>
        <v>0</v>
      </c>
      <c r="Q190" s="114">
        <f>VLOOKUP(C190,'Talente &amp; Stuff'!CL:DM,15,FALSE)</f>
        <v>0</v>
      </c>
      <c r="R190" s="117">
        <f>VLOOKUP(C190,'Talente &amp; Stuff'!CL:DM,16,FALSE)</f>
        <v>0</v>
      </c>
      <c r="S190" s="119">
        <f>VLOOKUP(C190,'Talente &amp; Stuff'!CL:DM,17,FALSE)</f>
        <v>0</v>
      </c>
      <c r="T190" s="119">
        <f>VLOOKUP(C190,'Talente &amp; Stuff'!CL:DM,18,FALSE)</f>
        <v>0</v>
      </c>
      <c r="U190" s="89">
        <f>VLOOKUP(C190,'Talente &amp; Stuff'!CL:DM,19,FALSE)</f>
        <v>0</v>
      </c>
      <c r="V190" s="47">
        <f>VLOOKUP(C190,'Talente &amp; Stuff'!CL:DM,20,FALSE)</f>
        <v>0</v>
      </c>
      <c r="W190" s="127">
        <f>VLOOKUP(C190,'Talente &amp; Stuff'!CL:DM,21,FALSE)</f>
        <v>0</v>
      </c>
      <c r="X190" s="127">
        <f>VLOOKUP(C190,'Talente &amp; Stuff'!CL:DM,22,FALSE)</f>
        <v>0</v>
      </c>
      <c r="Y190" s="165">
        <f t="shared" si="18"/>
        <v>0</v>
      </c>
      <c r="Z190" s="44">
        <f t="shared" si="19"/>
        <v>0</v>
      </c>
      <c r="AA190" s="125">
        <f>VLOOKUP(C190,'Talente &amp; Stuff'!CL:DM,25,FALSE)</f>
        <v>0</v>
      </c>
      <c r="AB190" s="160">
        <f>VLOOKUP(C190,'Talente &amp; Stuff'!CL:DM,26,FALSE)</f>
        <v>0</v>
      </c>
      <c r="AC190" s="127">
        <f>VLOOKUP(C190,'Talente &amp; Stuff'!CL:DM,27,FALSE)</f>
        <v>0</v>
      </c>
      <c r="AD190" s="125">
        <f>VLOOKUP(C190,'Talente &amp; Stuff'!CL:DM,28,FALSE)</f>
        <v>0</v>
      </c>
      <c r="AE190" s="28"/>
    </row>
    <row r="191" spans="2:31" ht="15" hidden="1" customHeight="1" outlineLevel="2">
      <c r="B191" s="148">
        <v>39</v>
      </c>
      <c r="C191" s="177" t="str">
        <f>Attribute!C191</f>
        <v>---</v>
      </c>
      <c r="D191" s="86" t="str">
        <f>VLOOKUP(C191,'Talente &amp; Stuff'!CL:DM,2,FALSE)</f>
        <v>--/--/--</v>
      </c>
      <c r="E191" s="167" t="str">
        <f>VLOOKUP(C191,'Talente &amp; Stuff'!CL:DM,3,FALSE)</f>
        <v>-</v>
      </c>
      <c r="F191" s="120">
        <f>VLOOKUP(C191,'Talente &amp; Stuff'!CL:DM,4,FALSE)</f>
        <v>0</v>
      </c>
      <c r="G191" s="117">
        <f>VLOOKUP(C191,'Talente &amp; Stuff'!CL:DM,5,FALSE)</f>
        <v>0</v>
      </c>
      <c r="H191" s="117">
        <f>VLOOKUP(C191,'Talente &amp; Stuff'!CL:DM,6,FALSE)</f>
        <v>0</v>
      </c>
      <c r="I191" s="117">
        <f>VLOOKUP(C191,'Talente &amp; Stuff'!CL:DM,7,FALSE)</f>
        <v>0</v>
      </c>
      <c r="J191" s="117">
        <f>VLOOKUP(C191,'Talente &amp; Stuff'!CL:DM,8,FALSE)</f>
        <v>0</v>
      </c>
      <c r="K191" s="117">
        <f>VLOOKUP(C191,'Talente &amp; Stuff'!CL:DM,9,FALSE)</f>
        <v>0</v>
      </c>
      <c r="L191" s="117">
        <f>VLOOKUP(C191,'Talente &amp; Stuff'!CL:DM,10,FALSE)</f>
        <v>0</v>
      </c>
      <c r="M191" s="121">
        <f>VLOOKUP(C191,'Talente &amp; Stuff'!CL:DM,11,FALSE)</f>
        <v>0</v>
      </c>
      <c r="N191" s="47">
        <f>VLOOKUP(C191,'Talente &amp; Stuff'!CL:DM,12,FALSE)</f>
        <v>0</v>
      </c>
      <c r="O191" s="3">
        <f>VLOOKUP(C191,'Talente &amp; Stuff'!CL:DM,13,FALSE)</f>
        <v>0</v>
      </c>
      <c r="P191" s="174">
        <f>VLOOKUP(C191,'Talente &amp; Stuff'!CL:DM,14,FALSE)</f>
        <v>0</v>
      </c>
      <c r="Q191" s="114">
        <f>VLOOKUP(C191,'Talente &amp; Stuff'!CL:DM,15,FALSE)</f>
        <v>0</v>
      </c>
      <c r="R191" s="117">
        <f>VLOOKUP(C191,'Talente &amp; Stuff'!CL:DM,16,FALSE)</f>
        <v>0</v>
      </c>
      <c r="S191" s="119">
        <f>VLOOKUP(C191,'Talente &amp; Stuff'!CL:DM,17,FALSE)</f>
        <v>0</v>
      </c>
      <c r="T191" s="119">
        <f>VLOOKUP(C191,'Talente &amp; Stuff'!CL:DM,18,FALSE)</f>
        <v>0</v>
      </c>
      <c r="U191" s="89">
        <f>VLOOKUP(C191,'Talente &amp; Stuff'!CL:DM,19,FALSE)</f>
        <v>0</v>
      </c>
      <c r="V191" s="47">
        <f>VLOOKUP(C191,'Talente &amp; Stuff'!CL:DM,20,FALSE)</f>
        <v>0</v>
      </c>
      <c r="W191" s="127">
        <f>VLOOKUP(C191,'Talente &amp; Stuff'!CL:DM,21,FALSE)</f>
        <v>0</v>
      </c>
      <c r="X191" s="127">
        <f>VLOOKUP(C191,'Talente &amp; Stuff'!CL:DM,22,FALSE)</f>
        <v>0</v>
      </c>
      <c r="Y191" s="165">
        <f t="shared" si="18"/>
        <v>0</v>
      </c>
      <c r="Z191" s="44">
        <f t="shared" si="19"/>
        <v>0</v>
      </c>
      <c r="AA191" s="125">
        <f>VLOOKUP(C191,'Talente &amp; Stuff'!CL:DM,25,FALSE)</f>
        <v>0</v>
      </c>
      <c r="AB191" s="160">
        <f>VLOOKUP(C191,'Talente &amp; Stuff'!CL:DM,26,FALSE)</f>
        <v>0</v>
      </c>
      <c r="AC191" s="127">
        <f>VLOOKUP(C191,'Talente &amp; Stuff'!CL:DM,27,FALSE)</f>
        <v>0</v>
      </c>
      <c r="AD191" s="125">
        <f>VLOOKUP(C191,'Talente &amp; Stuff'!CL:DM,28,FALSE)</f>
        <v>0</v>
      </c>
      <c r="AE191" s="28"/>
    </row>
    <row r="192" spans="2:31" ht="15" hidden="1" customHeight="1" outlineLevel="2">
      <c r="B192" s="148">
        <v>40</v>
      </c>
      <c r="C192" s="177" t="str">
        <f>Attribute!C192</f>
        <v>---</v>
      </c>
      <c r="D192" s="125" t="str">
        <f>VLOOKUP(C192,'Talente &amp; Stuff'!CL:DM,2,FALSE)</f>
        <v>--/--/--</v>
      </c>
      <c r="E192" s="127" t="str">
        <f>VLOOKUP(C192,'Talente &amp; Stuff'!CL:DM,3,FALSE)</f>
        <v>-</v>
      </c>
      <c r="F192" s="114">
        <f>VLOOKUP(C192,'Talente &amp; Stuff'!CL:DM,4,FALSE)</f>
        <v>0</v>
      </c>
      <c r="G192" s="113">
        <f>VLOOKUP(C192,'Talente &amp; Stuff'!CL:DM,5,FALSE)</f>
        <v>0</v>
      </c>
      <c r="H192" s="113">
        <f>VLOOKUP(C192,'Talente &amp; Stuff'!CL:DM,6,FALSE)</f>
        <v>0</v>
      </c>
      <c r="I192" s="113">
        <f>VLOOKUP(C192,'Talente &amp; Stuff'!CL:DM,7,FALSE)</f>
        <v>0</v>
      </c>
      <c r="J192" s="113">
        <f>VLOOKUP(C192,'Talente &amp; Stuff'!CL:DM,8,FALSE)</f>
        <v>0</v>
      </c>
      <c r="K192" s="113">
        <f>VLOOKUP(C192,'Talente &amp; Stuff'!CL:DM,9,FALSE)</f>
        <v>0</v>
      </c>
      <c r="L192" s="113">
        <f>VLOOKUP(C192,'Talente &amp; Stuff'!CL:DM,10,FALSE)</f>
        <v>0</v>
      </c>
      <c r="M192" s="119">
        <f>VLOOKUP(C192,'Talente &amp; Stuff'!CL:DM,11,FALSE)</f>
        <v>0</v>
      </c>
      <c r="N192" s="47">
        <f>VLOOKUP(C192,'Talente &amp; Stuff'!CL:DM,12,FALSE)</f>
        <v>0</v>
      </c>
      <c r="O192" s="47">
        <f>VLOOKUP(C192,'Talente &amp; Stuff'!CL:DM,13,FALSE)</f>
        <v>0</v>
      </c>
      <c r="P192" s="119">
        <f>VLOOKUP(C192,'Talente &amp; Stuff'!CL:DM,14,FALSE)</f>
        <v>0</v>
      </c>
      <c r="Q192" s="114">
        <f>VLOOKUP(C192,'Talente &amp; Stuff'!CL:DM,15,FALSE)</f>
        <v>0</v>
      </c>
      <c r="R192" s="113">
        <f>VLOOKUP(C192,'Talente &amp; Stuff'!CL:DM,16,FALSE)</f>
        <v>0</v>
      </c>
      <c r="S192" s="119">
        <f>VLOOKUP(C192,'Talente &amp; Stuff'!CL:DM,17,FALSE)</f>
        <v>0</v>
      </c>
      <c r="T192" s="119">
        <f>VLOOKUP(C192,'Talente &amp; Stuff'!CL:DM,18,FALSE)</f>
        <v>0</v>
      </c>
      <c r="U192" s="89">
        <f>VLOOKUP(C192,'Talente &amp; Stuff'!CL:DM,19,FALSE)</f>
        <v>0</v>
      </c>
      <c r="V192" s="47">
        <f>VLOOKUP(C192,'Talente &amp; Stuff'!CL:DM,20,FALSE)</f>
        <v>0</v>
      </c>
      <c r="W192" s="127">
        <f>VLOOKUP(C192,'Talente &amp; Stuff'!CL:DM,21,FALSE)</f>
        <v>0</v>
      </c>
      <c r="X192" s="127">
        <f>VLOOKUP(C192,'Talente &amp; Stuff'!CL:DM,22,FALSE)</f>
        <v>0</v>
      </c>
      <c r="Y192" s="165">
        <f t="shared" si="18"/>
        <v>0</v>
      </c>
      <c r="Z192" s="44">
        <f t="shared" si="19"/>
        <v>0</v>
      </c>
      <c r="AA192" s="125">
        <f>VLOOKUP(C192,'Talente &amp; Stuff'!CL:DM,25,FALSE)</f>
        <v>0</v>
      </c>
      <c r="AB192" s="160">
        <f>VLOOKUP(C192,'Talente &amp; Stuff'!CL:DM,26,FALSE)</f>
        <v>0</v>
      </c>
      <c r="AC192" s="127">
        <f>VLOOKUP(C192,'Talente &amp; Stuff'!CL:DM,27,FALSE)</f>
        <v>0</v>
      </c>
      <c r="AD192" s="125">
        <f>VLOOKUP(C192,'Talente &amp; Stuff'!CL:DM,28,FALSE)</f>
        <v>0</v>
      </c>
      <c r="AE192" s="28"/>
    </row>
    <row r="193" spans="2:31" ht="15" hidden="1" customHeight="1" outlineLevel="2">
      <c r="B193" s="148">
        <v>41</v>
      </c>
      <c r="C193" s="177" t="str">
        <f>Attribute!C193</f>
        <v>---</v>
      </c>
      <c r="D193" s="86" t="str">
        <f>VLOOKUP(C193,'Talente &amp; Stuff'!CL:DM,2,FALSE)</f>
        <v>--/--/--</v>
      </c>
      <c r="E193" s="167" t="str">
        <f>VLOOKUP(C193,'Talente &amp; Stuff'!CL:DM,3,FALSE)</f>
        <v>-</v>
      </c>
      <c r="F193" s="120">
        <f>VLOOKUP(C193,'Talente &amp; Stuff'!CL:DM,4,FALSE)</f>
        <v>0</v>
      </c>
      <c r="G193" s="117">
        <f>VLOOKUP(C193,'Talente &amp; Stuff'!CL:DM,5,FALSE)</f>
        <v>0</v>
      </c>
      <c r="H193" s="117">
        <f>VLOOKUP(C193,'Talente &amp; Stuff'!CL:DM,6,FALSE)</f>
        <v>0</v>
      </c>
      <c r="I193" s="117">
        <f>VLOOKUP(C193,'Talente &amp; Stuff'!CL:DM,7,FALSE)</f>
        <v>0</v>
      </c>
      <c r="J193" s="117">
        <f>VLOOKUP(C193,'Talente &amp; Stuff'!CL:DM,8,FALSE)</f>
        <v>0</v>
      </c>
      <c r="K193" s="117">
        <f>VLOOKUP(C193,'Talente &amp; Stuff'!CL:DM,9,FALSE)</f>
        <v>0</v>
      </c>
      <c r="L193" s="117">
        <f>VLOOKUP(C193,'Talente &amp; Stuff'!CL:DM,10,FALSE)</f>
        <v>0</v>
      </c>
      <c r="M193" s="121">
        <f>VLOOKUP(C193,'Talente &amp; Stuff'!CL:DM,11,FALSE)</f>
        <v>0</v>
      </c>
      <c r="N193" s="47">
        <f>VLOOKUP(C193,'Talente &amp; Stuff'!CL:DM,12,FALSE)</f>
        <v>0</v>
      </c>
      <c r="O193" s="3">
        <f>VLOOKUP(C193,'Talente &amp; Stuff'!CL:DM,13,FALSE)</f>
        <v>0</v>
      </c>
      <c r="P193" s="174">
        <f>VLOOKUP(C193,'Talente &amp; Stuff'!CL:DM,14,FALSE)</f>
        <v>0</v>
      </c>
      <c r="Q193" s="114">
        <f>VLOOKUP(C193,'Talente &amp; Stuff'!CL:DM,15,FALSE)</f>
        <v>0</v>
      </c>
      <c r="R193" s="117">
        <f>VLOOKUP(C193,'Talente &amp; Stuff'!CL:DM,16,FALSE)</f>
        <v>0</v>
      </c>
      <c r="S193" s="119">
        <f>VLOOKUP(C193,'Talente &amp; Stuff'!CL:DM,17,FALSE)</f>
        <v>0</v>
      </c>
      <c r="T193" s="119">
        <f>VLOOKUP(C193,'Talente &amp; Stuff'!CL:DM,18,FALSE)</f>
        <v>0</v>
      </c>
      <c r="U193" s="89">
        <f>VLOOKUP(C193,'Talente &amp; Stuff'!CL:DM,19,FALSE)</f>
        <v>0</v>
      </c>
      <c r="V193" s="47">
        <f>VLOOKUP(C193,'Talente &amp; Stuff'!CL:DM,20,FALSE)</f>
        <v>0</v>
      </c>
      <c r="W193" s="127">
        <f>VLOOKUP(C193,'Talente &amp; Stuff'!CL:DM,21,FALSE)</f>
        <v>0</v>
      </c>
      <c r="X193" s="127">
        <f>VLOOKUP(C193,'Talente &amp; Stuff'!CL:DM,22,FALSE)</f>
        <v>0</v>
      </c>
      <c r="Y193" s="165">
        <f t="shared" si="18"/>
        <v>0</v>
      </c>
      <c r="Z193" s="44">
        <f t="shared" si="19"/>
        <v>0</v>
      </c>
      <c r="AA193" s="125">
        <f>VLOOKUP(C193,'Talente &amp; Stuff'!CL:DM,25,FALSE)</f>
        <v>0</v>
      </c>
      <c r="AB193" s="160">
        <f>VLOOKUP(C193,'Talente &amp; Stuff'!CL:DM,26,FALSE)</f>
        <v>0</v>
      </c>
      <c r="AC193" s="127">
        <f>VLOOKUP(C193,'Talente &amp; Stuff'!CL:DM,27,FALSE)</f>
        <v>0</v>
      </c>
      <c r="AD193" s="125">
        <f>VLOOKUP(C193,'Talente &amp; Stuff'!CL:DM,28,FALSE)</f>
        <v>0</v>
      </c>
      <c r="AE193" s="28"/>
    </row>
    <row r="194" spans="2:31" ht="15" hidden="1" customHeight="1" outlineLevel="2">
      <c r="B194" s="148">
        <v>42</v>
      </c>
      <c r="C194" s="177" t="str">
        <f>Attribute!C194</f>
        <v>---</v>
      </c>
      <c r="D194" s="86" t="str">
        <f>VLOOKUP(C194,'Talente &amp; Stuff'!CL:DM,2,FALSE)</f>
        <v>--/--/--</v>
      </c>
      <c r="E194" s="167" t="str">
        <f>VLOOKUP(C194,'Talente &amp; Stuff'!CL:DM,3,FALSE)</f>
        <v>-</v>
      </c>
      <c r="F194" s="120">
        <f>VLOOKUP(C194,'Talente &amp; Stuff'!CL:DM,4,FALSE)</f>
        <v>0</v>
      </c>
      <c r="G194" s="117">
        <f>VLOOKUP(C194,'Talente &amp; Stuff'!CL:DM,5,FALSE)</f>
        <v>0</v>
      </c>
      <c r="H194" s="117">
        <f>VLOOKUP(C194,'Talente &amp; Stuff'!CL:DM,6,FALSE)</f>
        <v>0</v>
      </c>
      <c r="I194" s="117">
        <f>VLOOKUP(C194,'Talente &amp; Stuff'!CL:DM,7,FALSE)</f>
        <v>0</v>
      </c>
      <c r="J194" s="117">
        <f>VLOOKUP(C194,'Talente &amp; Stuff'!CL:DM,8,FALSE)</f>
        <v>0</v>
      </c>
      <c r="K194" s="117">
        <f>VLOOKUP(C194,'Talente &amp; Stuff'!CL:DM,9,FALSE)</f>
        <v>0</v>
      </c>
      <c r="L194" s="117">
        <f>VLOOKUP(C194,'Talente &amp; Stuff'!CL:DM,10,FALSE)</f>
        <v>0</v>
      </c>
      <c r="M194" s="121">
        <f>VLOOKUP(C194,'Talente &amp; Stuff'!CL:DM,11,FALSE)</f>
        <v>0</v>
      </c>
      <c r="N194" s="47">
        <f>VLOOKUP(C194,'Talente &amp; Stuff'!CL:DM,12,FALSE)</f>
        <v>0</v>
      </c>
      <c r="O194" s="3">
        <f>VLOOKUP(C194,'Talente &amp; Stuff'!CL:DM,13,FALSE)</f>
        <v>0</v>
      </c>
      <c r="P194" s="174">
        <f>VLOOKUP(C194,'Talente &amp; Stuff'!CL:DM,14,FALSE)</f>
        <v>0</v>
      </c>
      <c r="Q194" s="114">
        <f>VLOOKUP(C194,'Talente &amp; Stuff'!CL:DM,15,FALSE)</f>
        <v>0</v>
      </c>
      <c r="R194" s="117">
        <f>VLOOKUP(C194,'Talente &amp; Stuff'!CL:DM,16,FALSE)</f>
        <v>0</v>
      </c>
      <c r="S194" s="119">
        <f>VLOOKUP(C194,'Talente &amp; Stuff'!CL:DM,17,FALSE)</f>
        <v>0</v>
      </c>
      <c r="T194" s="119">
        <f>VLOOKUP(C194,'Talente &amp; Stuff'!CL:DM,18,FALSE)</f>
        <v>0</v>
      </c>
      <c r="U194" s="89">
        <f>VLOOKUP(C194,'Talente &amp; Stuff'!CL:DM,19,FALSE)</f>
        <v>0</v>
      </c>
      <c r="V194" s="47">
        <f>VLOOKUP(C194,'Talente &amp; Stuff'!CL:DM,20,FALSE)</f>
        <v>0</v>
      </c>
      <c r="W194" s="127">
        <f>VLOOKUP(C194,'Talente &amp; Stuff'!CL:DM,21,FALSE)</f>
        <v>0</v>
      </c>
      <c r="X194" s="127">
        <f>VLOOKUP(C194,'Talente &amp; Stuff'!CL:DM,22,FALSE)</f>
        <v>0</v>
      </c>
      <c r="Y194" s="165">
        <f t="shared" si="18"/>
        <v>0</v>
      </c>
      <c r="Z194" s="44">
        <f t="shared" si="19"/>
        <v>0</v>
      </c>
      <c r="AA194" s="125">
        <f>VLOOKUP(C194,'Talente &amp; Stuff'!CL:DM,25,FALSE)</f>
        <v>0</v>
      </c>
      <c r="AB194" s="160">
        <f>VLOOKUP(C194,'Talente &amp; Stuff'!CL:DM,26,FALSE)</f>
        <v>0</v>
      </c>
      <c r="AC194" s="127">
        <f>VLOOKUP(C194,'Talente &amp; Stuff'!CL:DM,27,FALSE)</f>
        <v>0</v>
      </c>
      <c r="AD194" s="125">
        <f>VLOOKUP(C194,'Talente &amp; Stuff'!CL:DM,28,FALSE)</f>
        <v>0</v>
      </c>
      <c r="AE194" s="28"/>
    </row>
    <row r="195" spans="2:31" ht="15" hidden="1" customHeight="1" outlineLevel="2">
      <c r="B195" s="148">
        <v>43</v>
      </c>
      <c r="C195" s="177" t="str">
        <f>Attribute!C195</f>
        <v>---</v>
      </c>
      <c r="D195" s="125" t="str">
        <f>VLOOKUP(C195,'Talente &amp; Stuff'!CL:DM,2,FALSE)</f>
        <v>--/--/--</v>
      </c>
      <c r="E195" s="127" t="str">
        <f>VLOOKUP(C195,'Talente &amp; Stuff'!CL:DM,3,FALSE)</f>
        <v>-</v>
      </c>
      <c r="F195" s="114">
        <f>VLOOKUP(C195,'Talente &amp; Stuff'!CL:DM,4,FALSE)</f>
        <v>0</v>
      </c>
      <c r="G195" s="113">
        <f>VLOOKUP(C195,'Talente &amp; Stuff'!CL:DM,5,FALSE)</f>
        <v>0</v>
      </c>
      <c r="H195" s="113">
        <f>VLOOKUP(C195,'Talente &amp; Stuff'!CL:DM,6,FALSE)</f>
        <v>0</v>
      </c>
      <c r="I195" s="113">
        <f>VLOOKUP(C195,'Talente &amp; Stuff'!CL:DM,7,FALSE)</f>
        <v>0</v>
      </c>
      <c r="J195" s="113">
        <f>VLOOKUP(C195,'Talente &amp; Stuff'!CL:DM,8,FALSE)</f>
        <v>0</v>
      </c>
      <c r="K195" s="113">
        <f>VLOOKUP(C195,'Talente &amp; Stuff'!CL:DM,9,FALSE)</f>
        <v>0</v>
      </c>
      <c r="L195" s="113">
        <f>VLOOKUP(C195,'Talente &amp; Stuff'!CL:DM,10,FALSE)</f>
        <v>0</v>
      </c>
      <c r="M195" s="119">
        <f>VLOOKUP(C195,'Talente &amp; Stuff'!CL:DM,11,FALSE)</f>
        <v>0</v>
      </c>
      <c r="N195" s="47">
        <f>VLOOKUP(C195,'Talente &amp; Stuff'!CL:DM,12,FALSE)</f>
        <v>0</v>
      </c>
      <c r="O195" s="47">
        <f>VLOOKUP(C195,'Talente &amp; Stuff'!CL:DM,13,FALSE)</f>
        <v>0</v>
      </c>
      <c r="P195" s="119">
        <f>VLOOKUP(C195,'Talente &amp; Stuff'!CL:DM,14,FALSE)</f>
        <v>0</v>
      </c>
      <c r="Q195" s="114">
        <f>VLOOKUP(C195,'Talente &amp; Stuff'!CL:DM,15,FALSE)</f>
        <v>0</v>
      </c>
      <c r="R195" s="113">
        <f>VLOOKUP(C195,'Talente &amp; Stuff'!CL:DM,16,FALSE)</f>
        <v>0</v>
      </c>
      <c r="S195" s="119">
        <f>VLOOKUP(C195,'Talente &amp; Stuff'!CL:DM,17,FALSE)</f>
        <v>0</v>
      </c>
      <c r="T195" s="119">
        <f>VLOOKUP(C195,'Talente &amp; Stuff'!CL:DM,18,FALSE)</f>
        <v>0</v>
      </c>
      <c r="U195" s="89">
        <f>VLOOKUP(C195,'Talente &amp; Stuff'!CL:DM,19,FALSE)</f>
        <v>0</v>
      </c>
      <c r="V195" s="47">
        <f>VLOOKUP(C195,'Talente &amp; Stuff'!CL:DM,20,FALSE)</f>
        <v>0</v>
      </c>
      <c r="W195" s="127">
        <f>VLOOKUP(C195,'Talente &amp; Stuff'!CL:DM,21,FALSE)</f>
        <v>0</v>
      </c>
      <c r="X195" s="127">
        <f>VLOOKUP(C195,'Talente &amp; Stuff'!CL:DM,22,FALSE)</f>
        <v>0</v>
      </c>
      <c r="Y195" s="165">
        <f t="shared" si="18"/>
        <v>0</v>
      </c>
      <c r="Z195" s="44">
        <f t="shared" si="19"/>
        <v>0</v>
      </c>
      <c r="AA195" s="125">
        <f>VLOOKUP(C195,'Talente &amp; Stuff'!CL:DM,25,FALSE)</f>
        <v>0</v>
      </c>
      <c r="AB195" s="160">
        <f>VLOOKUP(C195,'Talente &amp; Stuff'!CL:DM,26,FALSE)</f>
        <v>0</v>
      </c>
      <c r="AC195" s="127">
        <f>VLOOKUP(C195,'Talente &amp; Stuff'!CL:DM,27,FALSE)</f>
        <v>0</v>
      </c>
      <c r="AD195" s="125">
        <f>VLOOKUP(C195,'Talente &amp; Stuff'!CL:DM,28,FALSE)</f>
        <v>0</v>
      </c>
      <c r="AE195" s="28"/>
    </row>
    <row r="196" spans="2:31" ht="15" hidden="1" customHeight="1" outlineLevel="2">
      <c r="B196" s="148">
        <v>44</v>
      </c>
      <c r="C196" s="177" t="str">
        <f>Attribute!C196</f>
        <v>---</v>
      </c>
      <c r="D196" s="86" t="str">
        <f>VLOOKUP(C196,'Talente &amp; Stuff'!CL:DM,2,FALSE)</f>
        <v>--/--/--</v>
      </c>
      <c r="E196" s="167" t="str">
        <f>VLOOKUP(C196,'Talente &amp; Stuff'!CL:DM,3,FALSE)</f>
        <v>-</v>
      </c>
      <c r="F196" s="120">
        <f>VLOOKUP(C196,'Talente &amp; Stuff'!CL:DM,4,FALSE)</f>
        <v>0</v>
      </c>
      <c r="G196" s="117">
        <f>VLOOKUP(C196,'Talente &amp; Stuff'!CL:DM,5,FALSE)</f>
        <v>0</v>
      </c>
      <c r="H196" s="117">
        <f>VLOOKUP(C196,'Talente &amp; Stuff'!CL:DM,6,FALSE)</f>
        <v>0</v>
      </c>
      <c r="I196" s="117">
        <f>VLOOKUP(C196,'Talente &amp; Stuff'!CL:DM,7,FALSE)</f>
        <v>0</v>
      </c>
      <c r="J196" s="117">
        <f>VLOOKUP(C196,'Talente &amp; Stuff'!CL:DM,8,FALSE)</f>
        <v>0</v>
      </c>
      <c r="K196" s="117">
        <f>VLOOKUP(C196,'Talente &amp; Stuff'!CL:DM,9,FALSE)</f>
        <v>0</v>
      </c>
      <c r="L196" s="117">
        <f>VLOOKUP(C196,'Talente &amp; Stuff'!CL:DM,10,FALSE)</f>
        <v>0</v>
      </c>
      <c r="M196" s="121">
        <f>VLOOKUP(C196,'Talente &amp; Stuff'!CL:DM,11,FALSE)</f>
        <v>0</v>
      </c>
      <c r="N196" s="47">
        <f>VLOOKUP(C196,'Talente &amp; Stuff'!CL:DM,12,FALSE)</f>
        <v>0</v>
      </c>
      <c r="O196" s="3">
        <f>VLOOKUP(C196,'Talente &amp; Stuff'!CL:DM,13,FALSE)</f>
        <v>0</v>
      </c>
      <c r="P196" s="174">
        <f>VLOOKUP(C196,'Talente &amp; Stuff'!CL:DM,14,FALSE)</f>
        <v>0</v>
      </c>
      <c r="Q196" s="114">
        <f>VLOOKUP(C196,'Talente &amp; Stuff'!CL:DM,15,FALSE)</f>
        <v>0</v>
      </c>
      <c r="R196" s="117">
        <f>VLOOKUP(C196,'Talente &amp; Stuff'!CL:DM,16,FALSE)</f>
        <v>0</v>
      </c>
      <c r="S196" s="119">
        <f>VLOOKUP(C196,'Talente &amp; Stuff'!CL:DM,17,FALSE)</f>
        <v>0</v>
      </c>
      <c r="T196" s="119">
        <f>VLOOKUP(C196,'Talente &amp; Stuff'!CL:DM,18,FALSE)</f>
        <v>0</v>
      </c>
      <c r="U196" s="89">
        <f>VLOOKUP(C196,'Talente &amp; Stuff'!CL:DM,19,FALSE)</f>
        <v>0</v>
      </c>
      <c r="V196" s="47">
        <f>VLOOKUP(C196,'Talente &amp; Stuff'!CL:DM,20,FALSE)</f>
        <v>0</v>
      </c>
      <c r="W196" s="127">
        <f>VLOOKUP(C196,'Talente &amp; Stuff'!CL:DM,21,FALSE)</f>
        <v>0</v>
      </c>
      <c r="X196" s="127">
        <f>VLOOKUP(C196,'Talente &amp; Stuff'!CL:DM,22,FALSE)</f>
        <v>0</v>
      </c>
      <c r="Y196" s="165">
        <f t="shared" si="18"/>
        <v>0</v>
      </c>
      <c r="Z196" s="44">
        <f t="shared" si="19"/>
        <v>0</v>
      </c>
      <c r="AA196" s="125">
        <f>VLOOKUP(C196,'Talente &amp; Stuff'!CL:DM,25,FALSE)</f>
        <v>0</v>
      </c>
      <c r="AB196" s="160">
        <f>VLOOKUP(C196,'Talente &amp; Stuff'!CL:DM,26,FALSE)</f>
        <v>0</v>
      </c>
      <c r="AC196" s="127">
        <f>VLOOKUP(C196,'Talente &amp; Stuff'!CL:DM,27,FALSE)</f>
        <v>0</v>
      </c>
      <c r="AD196" s="125">
        <f>VLOOKUP(C196,'Talente &amp; Stuff'!CL:DM,28,FALSE)</f>
        <v>0</v>
      </c>
      <c r="AE196" s="28"/>
    </row>
    <row r="197" spans="2:31" ht="15" hidden="1" customHeight="1" outlineLevel="2">
      <c r="B197" s="148">
        <v>45</v>
      </c>
      <c r="C197" s="177" t="str">
        <f>Attribute!C197</f>
        <v>---</v>
      </c>
      <c r="D197" s="86" t="str">
        <f>VLOOKUP(C197,'Talente &amp; Stuff'!CL:DM,2,FALSE)</f>
        <v>--/--/--</v>
      </c>
      <c r="E197" s="167" t="str">
        <f>VLOOKUP(C197,'Talente &amp; Stuff'!CL:DM,3,FALSE)</f>
        <v>-</v>
      </c>
      <c r="F197" s="120">
        <f>VLOOKUP(C197,'Talente &amp; Stuff'!CL:DM,4,FALSE)</f>
        <v>0</v>
      </c>
      <c r="G197" s="117">
        <f>VLOOKUP(C197,'Talente &amp; Stuff'!CL:DM,5,FALSE)</f>
        <v>0</v>
      </c>
      <c r="H197" s="117">
        <f>VLOOKUP(C197,'Talente &amp; Stuff'!CL:DM,6,FALSE)</f>
        <v>0</v>
      </c>
      <c r="I197" s="117">
        <f>VLOOKUP(C197,'Talente &amp; Stuff'!CL:DM,7,FALSE)</f>
        <v>0</v>
      </c>
      <c r="J197" s="117">
        <f>VLOOKUP(C197,'Talente &amp; Stuff'!CL:DM,8,FALSE)</f>
        <v>0</v>
      </c>
      <c r="K197" s="117">
        <f>VLOOKUP(C197,'Talente &amp; Stuff'!CL:DM,9,FALSE)</f>
        <v>0</v>
      </c>
      <c r="L197" s="117">
        <f>VLOOKUP(C197,'Talente &amp; Stuff'!CL:DM,10,FALSE)</f>
        <v>0</v>
      </c>
      <c r="M197" s="121">
        <f>VLOOKUP(C197,'Talente &amp; Stuff'!CL:DM,11,FALSE)</f>
        <v>0</v>
      </c>
      <c r="N197" s="47">
        <f>VLOOKUP(C197,'Talente &amp; Stuff'!CL:DM,12,FALSE)</f>
        <v>0</v>
      </c>
      <c r="O197" s="3">
        <f>VLOOKUP(C197,'Talente &amp; Stuff'!CL:DM,13,FALSE)</f>
        <v>0</v>
      </c>
      <c r="P197" s="174">
        <f>VLOOKUP(C197,'Talente &amp; Stuff'!CL:DM,14,FALSE)</f>
        <v>0</v>
      </c>
      <c r="Q197" s="114">
        <f>VLOOKUP(C197,'Talente &amp; Stuff'!CL:DM,15,FALSE)</f>
        <v>0</v>
      </c>
      <c r="R197" s="117">
        <f>VLOOKUP(C197,'Talente &amp; Stuff'!CL:DM,16,FALSE)</f>
        <v>0</v>
      </c>
      <c r="S197" s="119">
        <f>VLOOKUP(C197,'Talente &amp; Stuff'!CL:DM,17,FALSE)</f>
        <v>0</v>
      </c>
      <c r="T197" s="119">
        <f>VLOOKUP(C197,'Talente &amp; Stuff'!CL:DM,18,FALSE)</f>
        <v>0</v>
      </c>
      <c r="U197" s="89">
        <f>VLOOKUP(C197,'Talente &amp; Stuff'!CL:DM,19,FALSE)</f>
        <v>0</v>
      </c>
      <c r="V197" s="47">
        <f>VLOOKUP(C197,'Talente &amp; Stuff'!CL:DM,20,FALSE)</f>
        <v>0</v>
      </c>
      <c r="W197" s="127">
        <f>VLOOKUP(C197,'Talente &amp; Stuff'!CL:DM,21,FALSE)</f>
        <v>0</v>
      </c>
      <c r="X197" s="127">
        <f>VLOOKUP(C197,'Talente &amp; Stuff'!CL:DM,22,FALSE)</f>
        <v>0</v>
      </c>
      <c r="Y197" s="165">
        <f t="shared" si="18"/>
        <v>0</v>
      </c>
      <c r="Z197" s="44">
        <f t="shared" si="19"/>
        <v>0</v>
      </c>
      <c r="AA197" s="125">
        <f>VLOOKUP(C197,'Talente &amp; Stuff'!CL:DM,25,FALSE)</f>
        <v>0</v>
      </c>
      <c r="AB197" s="160">
        <f>VLOOKUP(C197,'Talente &amp; Stuff'!CL:DM,26,FALSE)</f>
        <v>0</v>
      </c>
      <c r="AC197" s="127">
        <f>VLOOKUP(C197,'Talente &amp; Stuff'!CL:DM,27,FALSE)</f>
        <v>0</v>
      </c>
      <c r="AD197" s="125">
        <f>VLOOKUP(C197,'Talente &amp; Stuff'!CL:DM,28,FALSE)</f>
        <v>0</v>
      </c>
      <c r="AE197" s="28"/>
    </row>
    <row r="198" spans="2:31" ht="15" hidden="1" customHeight="1" outlineLevel="2">
      <c r="B198" s="148">
        <v>46</v>
      </c>
      <c r="C198" s="177" t="str">
        <f>Attribute!C198</f>
        <v>---</v>
      </c>
      <c r="D198" s="86" t="str">
        <f>VLOOKUP(C198,'Talente &amp; Stuff'!CL:DM,2,FALSE)</f>
        <v>--/--/--</v>
      </c>
      <c r="E198" s="167" t="str">
        <f>VLOOKUP(C198,'Talente &amp; Stuff'!CL:DM,3,FALSE)</f>
        <v>-</v>
      </c>
      <c r="F198" s="120">
        <f>VLOOKUP(C198,'Talente &amp; Stuff'!CL:DM,4,FALSE)</f>
        <v>0</v>
      </c>
      <c r="G198" s="117">
        <f>VLOOKUP(C198,'Talente &amp; Stuff'!CL:DM,5,FALSE)</f>
        <v>0</v>
      </c>
      <c r="H198" s="117">
        <f>VLOOKUP(C198,'Talente &amp; Stuff'!CL:DM,6,FALSE)</f>
        <v>0</v>
      </c>
      <c r="I198" s="117">
        <f>VLOOKUP(C198,'Talente &amp; Stuff'!CL:DM,7,FALSE)</f>
        <v>0</v>
      </c>
      <c r="J198" s="117">
        <f>VLOOKUP(C198,'Talente &amp; Stuff'!CL:DM,8,FALSE)</f>
        <v>0</v>
      </c>
      <c r="K198" s="117">
        <f>VLOOKUP(C198,'Talente &amp; Stuff'!CL:DM,9,FALSE)</f>
        <v>0</v>
      </c>
      <c r="L198" s="117">
        <f>VLOOKUP(C198,'Talente &amp; Stuff'!CL:DM,10,FALSE)</f>
        <v>0</v>
      </c>
      <c r="M198" s="121">
        <f>VLOOKUP(C198,'Talente &amp; Stuff'!CL:DM,11,FALSE)</f>
        <v>0</v>
      </c>
      <c r="N198" s="47">
        <f>VLOOKUP(C198,'Talente &amp; Stuff'!CL:DM,12,FALSE)</f>
        <v>0</v>
      </c>
      <c r="O198" s="3">
        <f>VLOOKUP(C198,'Talente &amp; Stuff'!CL:DM,13,FALSE)</f>
        <v>0</v>
      </c>
      <c r="P198" s="174">
        <f>VLOOKUP(C198,'Talente &amp; Stuff'!CL:DM,14,FALSE)</f>
        <v>0</v>
      </c>
      <c r="Q198" s="114">
        <f>VLOOKUP(C198,'Talente &amp; Stuff'!CL:DM,15,FALSE)</f>
        <v>0</v>
      </c>
      <c r="R198" s="117">
        <f>VLOOKUP(C198,'Talente &amp; Stuff'!CL:DM,16,FALSE)</f>
        <v>0</v>
      </c>
      <c r="S198" s="119">
        <f>VLOOKUP(C198,'Talente &amp; Stuff'!CL:DM,17,FALSE)</f>
        <v>0</v>
      </c>
      <c r="T198" s="119">
        <f>VLOOKUP(C198,'Talente &amp; Stuff'!CL:DM,18,FALSE)</f>
        <v>0</v>
      </c>
      <c r="U198" s="89">
        <f>VLOOKUP(C198,'Talente &amp; Stuff'!CL:DM,19,FALSE)</f>
        <v>0</v>
      </c>
      <c r="V198" s="47">
        <f>VLOOKUP(C198,'Talente &amp; Stuff'!CL:DM,20,FALSE)</f>
        <v>0</v>
      </c>
      <c r="W198" s="127">
        <f>VLOOKUP(C198,'Talente &amp; Stuff'!CL:DM,21,FALSE)</f>
        <v>0</v>
      </c>
      <c r="X198" s="127">
        <f>VLOOKUP(C198,'Talente &amp; Stuff'!CL:DM,22,FALSE)</f>
        <v>0</v>
      </c>
      <c r="Y198" s="165">
        <f t="shared" si="18"/>
        <v>0</v>
      </c>
      <c r="Z198" s="44">
        <f t="shared" si="19"/>
        <v>0</v>
      </c>
      <c r="AA198" s="125">
        <f>VLOOKUP(C198,'Talente &amp; Stuff'!CL:DM,25,FALSE)</f>
        <v>0</v>
      </c>
      <c r="AB198" s="160">
        <f>VLOOKUP(C198,'Talente &amp; Stuff'!CL:DM,26,FALSE)</f>
        <v>0</v>
      </c>
      <c r="AC198" s="127">
        <f>VLOOKUP(C198,'Talente &amp; Stuff'!CL:DM,27,FALSE)</f>
        <v>0</v>
      </c>
      <c r="AD198" s="125">
        <f>VLOOKUP(C198,'Talente &amp; Stuff'!CL:DM,28,FALSE)</f>
        <v>0</v>
      </c>
      <c r="AE198" s="28"/>
    </row>
    <row r="199" spans="2:31" ht="15" hidden="1" customHeight="1" outlineLevel="2">
      <c r="B199" s="148">
        <v>47</v>
      </c>
      <c r="C199" s="177" t="str">
        <f>Attribute!C199</f>
        <v>---</v>
      </c>
      <c r="D199" s="125" t="str">
        <f>VLOOKUP(C199,'Talente &amp; Stuff'!CL:DM,2,FALSE)</f>
        <v>--/--/--</v>
      </c>
      <c r="E199" s="127" t="str">
        <f>VLOOKUP(C199,'Talente &amp; Stuff'!CL:DM,3,FALSE)</f>
        <v>-</v>
      </c>
      <c r="F199" s="114">
        <f>VLOOKUP(C199,'Talente &amp; Stuff'!CL:DM,4,FALSE)</f>
        <v>0</v>
      </c>
      <c r="G199" s="113">
        <f>VLOOKUP(C199,'Talente &amp; Stuff'!CL:DM,5,FALSE)</f>
        <v>0</v>
      </c>
      <c r="H199" s="113">
        <f>VLOOKUP(C199,'Talente &amp; Stuff'!CL:DM,6,FALSE)</f>
        <v>0</v>
      </c>
      <c r="I199" s="113">
        <f>VLOOKUP(C199,'Talente &amp; Stuff'!CL:DM,7,FALSE)</f>
        <v>0</v>
      </c>
      <c r="J199" s="113">
        <f>VLOOKUP(C199,'Talente &amp; Stuff'!CL:DM,8,FALSE)</f>
        <v>0</v>
      </c>
      <c r="K199" s="113">
        <f>VLOOKUP(C199,'Talente &amp; Stuff'!CL:DM,9,FALSE)</f>
        <v>0</v>
      </c>
      <c r="L199" s="113">
        <f>VLOOKUP(C199,'Talente &amp; Stuff'!CL:DM,10,FALSE)</f>
        <v>0</v>
      </c>
      <c r="M199" s="119">
        <f>VLOOKUP(C199,'Talente &amp; Stuff'!CL:DM,11,FALSE)</f>
        <v>0</v>
      </c>
      <c r="N199" s="47">
        <f>VLOOKUP(C199,'Talente &amp; Stuff'!CL:DM,12,FALSE)</f>
        <v>0</v>
      </c>
      <c r="O199" s="47">
        <f>VLOOKUP(C199,'Talente &amp; Stuff'!CL:DM,13,FALSE)</f>
        <v>0</v>
      </c>
      <c r="P199" s="119">
        <f>VLOOKUP(C199,'Talente &amp; Stuff'!CL:DM,14,FALSE)</f>
        <v>0</v>
      </c>
      <c r="Q199" s="114">
        <f>VLOOKUP(C199,'Talente &amp; Stuff'!CL:DM,15,FALSE)</f>
        <v>0</v>
      </c>
      <c r="R199" s="113">
        <f>VLOOKUP(C199,'Talente &amp; Stuff'!CL:DM,16,FALSE)</f>
        <v>0</v>
      </c>
      <c r="S199" s="119">
        <f>VLOOKUP(C199,'Talente &amp; Stuff'!CL:DM,17,FALSE)</f>
        <v>0</v>
      </c>
      <c r="T199" s="119">
        <f>VLOOKUP(C199,'Talente &amp; Stuff'!CL:DM,18,FALSE)</f>
        <v>0</v>
      </c>
      <c r="U199" s="89">
        <f>VLOOKUP(C199,'Talente &amp; Stuff'!CL:DM,19,FALSE)</f>
        <v>0</v>
      </c>
      <c r="V199" s="47">
        <f>VLOOKUP(C199,'Talente &amp; Stuff'!CL:DM,20,FALSE)</f>
        <v>0</v>
      </c>
      <c r="W199" s="127">
        <f>VLOOKUP(C199,'Talente &amp; Stuff'!CL:DM,21,FALSE)</f>
        <v>0</v>
      </c>
      <c r="X199" s="127">
        <f>VLOOKUP(C199,'Talente &amp; Stuff'!CL:DM,22,FALSE)</f>
        <v>0</v>
      </c>
      <c r="Y199" s="165">
        <f t="shared" si="18"/>
        <v>0</v>
      </c>
      <c r="Z199" s="44">
        <f t="shared" si="19"/>
        <v>0</v>
      </c>
      <c r="AA199" s="125">
        <f>VLOOKUP(C199,'Talente &amp; Stuff'!CL:DM,25,FALSE)</f>
        <v>0</v>
      </c>
      <c r="AB199" s="160">
        <f>VLOOKUP(C199,'Talente &amp; Stuff'!CL:DM,26,FALSE)</f>
        <v>0</v>
      </c>
      <c r="AC199" s="127">
        <f>VLOOKUP(C199,'Talente &amp; Stuff'!CL:DM,27,FALSE)</f>
        <v>0</v>
      </c>
      <c r="AD199" s="125">
        <f>VLOOKUP(C199,'Talente &amp; Stuff'!CL:DM,28,FALSE)</f>
        <v>0</v>
      </c>
      <c r="AE199" s="28"/>
    </row>
    <row r="200" spans="2:31" ht="15" hidden="1" customHeight="1" outlineLevel="2">
      <c r="B200" s="148">
        <v>48</v>
      </c>
      <c r="C200" s="177" t="str">
        <f>Attribute!C200</f>
        <v>---</v>
      </c>
      <c r="D200" s="86" t="str">
        <f>VLOOKUP(C200,'Talente &amp; Stuff'!CL:DM,2,FALSE)</f>
        <v>--/--/--</v>
      </c>
      <c r="E200" s="167" t="str">
        <f>VLOOKUP(C200,'Talente &amp; Stuff'!CL:DM,3,FALSE)</f>
        <v>-</v>
      </c>
      <c r="F200" s="120">
        <f>VLOOKUP(C200,'Talente &amp; Stuff'!CL:DM,4,FALSE)</f>
        <v>0</v>
      </c>
      <c r="G200" s="117">
        <f>VLOOKUP(C200,'Talente &amp; Stuff'!CL:DM,5,FALSE)</f>
        <v>0</v>
      </c>
      <c r="H200" s="117">
        <f>VLOOKUP(C200,'Talente &amp; Stuff'!CL:DM,6,FALSE)</f>
        <v>0</v>
      </c>
      <c r="I200" s="117">
        <f>VLOOKUP(C200,'Talente &amp; Stuff'!CL:DM,7,FALSE)</f>
        <v>0</v>
      </c>
      <c r="J200" s="117">
        <f>VLOOKUP(C200,'Talente &amp; Stuff'!CL:DM,8,FALSE)</f>
        <v>0</v>
      </c>
      <c r="K200" s="117">
        <f>VLOOKUP(C200,'Talente &amp; Stuff'!CL:DM,9,FALSE)</f>
        <v>0</v>
      </c>
      <c r="L200" s="117">
        <f>VLOOKUP(C200,'Talente &amp; Stuff'!CL:DM,10,FALSE)</f>
        <v>0</v>
      </c>
      <c r="M200" s="121">
        <f>VLOOKUP(C200,'Talente &amp; Stuff'!CL:DM,11,FALSE)</f>
        <v>0</v>
      </c>
      <c r="N200" s="47">
        <f>VLOOKUP(C200,'Talente &amp; Stuff'!CL:DM,12,FALSE)</f>
        <v>0</v>
      </c>
      <c r="O200" s="3">
        <f>VLOOKUP(C200,'Talente &amp; Stuff'!CL:DM,13,FALSE)</f>
        <v>0</v>
      </c>
      <c r="P200" s="174">
        <f>VLOOKUP(C200,'Talente &amp; Stuff'!CL:DM,14,FALSE)</f>
        <v>0</v>
      </c>
      <c r="Q200" s="114">
        <f>VLOOKUP(C200,'Talente &amp; Stuff'!CL:DM,15,FALSE)</f>
        <v>0</v>
      </c>
      <c r="R200" s="117">
        <f>VLOOKUP(C200,'Talente &amp; Stuff'!CL:DM,16,FALSE)</f>
        <v>0</v>
      </c>
      <c r="S200" s="119">
        <f>VLOOKUP(C200,'Talente &amp; Stuff'!CL:DM,17,FALSE)</f>
        <v>0</v>
      </c>
      <c r="T200" s="119">
        <f>VLOOKUP(C200,'Talente &amp; Stuff'!CL:DM,18,FALSE)</f>
        <v>0</v>
      </c>
      <c r="U200" s="89">
        <f>VLOOKUP(C200,'Talente &amp; Stuff'!CL:DM,19,FALSE)</f>
        <v>0</v>
      </c>
      <c r="V200" s="47">
        <f>VLOOKUP(C200,'Talente &amp; Stuff'!CL:DM,20,FALSE)</f>
        <v>0</v>
      </c>
      <c r="W200" s="127">
        <f>VLOOKUP(C200,'Talente &amp; Stuff'!CL:DM,21,FALSE)</f>
        <v>0</v>
      </c>
      <c r="X200" s="127">
        <f>VLOOKUP(C200,'Talente &amp; Stuff'!CL:DM,22,FALSE)</f>
        <v>0</v>
      </c>
      <c r="Y200" s="165">
        <f t="shared" si="18"/>
        <v>0</v>
      </c>
      <c r="Z200" s="44">
        <f t="shared" si="19"/>
        <v>0</v>
      </c>
      <c r="AA200" s="125">
        <f>VLOOKUP(C200,'Talente &amp; Stuff'!CL:DM,25,FALSE)</f>
        <v>0</v>
      </c>
      <c r="AB200" s="160">
        <f>VLOOKUP(C200,'Talente &amp; Stuff'!CL:DM,26,FALSE)</f>
        <v>0</v>
      </c>
      <c r="AC200" s="127">
        <f>VLOOKUP(C200,'Talente &amp; Stuff'!CL:DM,27,FALSE)</f>
        <v>0</v>
      </c>
      <c r="AD200" s="125">
        <f>VLOOKUP(C200,'Talente &amp; Stuff'!CL:DM,28,FALSE)</f>
        <v>0</v>
      </c>
      <c r="AE200" s="28"/>
    </row>
    <row r="201" spans="2:31" ht="15" hidden="1" customHeight="1" outlineLevel="2">
      <c r="B201" s="148">
        <v>49</v>
      </c>
      <c r="C201" s="177" t="str">
        <f>Attribute!C201</f>
        <v>---</v>
      </c>
      <c r="D201" s="125" t="str">
        <f>VLOOKUP(C201,'Talente &amp; Stuff'!CL:DM,2,FALSE)</f>
        <v>--/--/--</v>
      </c>
      <c r="E201" s="127" t="str">
        <f>VLOOKUP(C201,'Talente &amp; Stuff'!CL:DM,3,FALSE)</f>
        <v>-</v>
      </c>
      <c r="F201" s="114">
        <f>VLOOKUP(C201,'Talente &amp; Stuff'!CL:DM,4,FALSE)</f>
        <v>0</v>
      </c>
      <c r="G201" s="113">
        <f>VLOOKUP(C201,'Talente &amp; Stuff'!CL:DM,5,FALSE)</f>
        <v>0</v>
      </c>
      <c r="H201" s="113">
        <f>VLOOKUP(C201,'Talente &amp; Stuff'!CL:DM,6,FALSE)</f>
        <v>0</v>
      </c>
      <c r="I201" s="113">
        <f>VLOOKUP(C201,'Talente &amp; Stuff'!CL:DM,7,FALSE)</f>
        <v>0</v>
      </c>
      <c r="J201" s="113">
        <f>VLOOKUP(C201,'Talente &amp; Stuff'!CL:DM,8,FALSE)</f>
        <v>0</v>
      </c>
      <c r="K201" s="113">
        <f>VLOOKUP(C201,'Talente &amp; Stuff'!CL:DM,9,FALSE)</f>
        <v>0</v>
      </c>
      <c r="L201" s="113">
        <f>VLOOKUP(C201,'Talente &amp; Stuff'!CL:DM,10,FALSE)</f>
        <v>0</v>
      </c>
      <c r="M201" s="119">
        <f>VLOOKUP(C201,'Talente &amp; Stuff'!CL:DM,11,FALSE)</f>
        <v>0</v>
      </c>
      <c r="N201" s="47">
        <f>VLOOKUP(C201,'Talente &amp; Stuff'!CL:DM,12,FALSE)</f>
        <v>0</v>
      </c>
      <c r="O201" s="47">
        <f>VLOOKUP(C201,'Talente &amp; Stuff'!CL:DM,13,FALSE)</f>
        <v>0</v>
      </c>
      <c r="P201" s="119">
        <f>VLOOKUP(C201,'Talente &amp; Stuff'!CL:DM,14,FALSE)</f>
        <v>0</v>
      </c>
      <c r="Q201" s="114">
        <f>VLOOKUP(C201,'Talente &amp; Stuff'!CL:DM,15,FALSE)</f>
        <v>0</v>
      </c>
      <c r="R201" s="113">
        <f>VLOOKUP(C201,'Talente &amp; Stuff'!CL:DM,16,FALSE)</f>
        <v>0</v>
      </c>
      <c r="S201" s="119">
        <f>VLOOKUP(C201,'Talente &amp; Stuff'!CL:DM,17,FALSE)</f>
        <v>0</v>
      </c>
      <c r="T201" s="119">
        <f>VLOOKUP(C201,'Talente &amp; Stuff'!CL:DM,18,FALSE)</f>
        <v>0</v>
      </c>
      <c r="U201" s="89">
        <f>VLOOKUP(C201,'Talente &amp; Stuff'!CL:DM,19,FALSE)</f>
        <v>0</v>
      </c>
      <c r="V201" s="47">
        <f>VLOOKUP(C201,'Talente &amp; Stuff'!CL:DM,20,FALSE)</f>
        <v>0</v>
      </c>
      <c r="W201" s="127">
        <f>VLOOKUP(C201,'Talente &amp; Stuff'!CL:DM,21,FALSE)</f>
        <v>0</v>
      </c>
      <c r="X201" s="127">
        <f>VLOOKUP(C201,'Talente &amp; Stuff'!CL:DM,22,FALSE)</f>
        <v>0</v>
      </c>
      <c r="Y201" s="165">
        <f t="shared" si="18"/>
        <v>0</v>
      </c>
      <c r="Z201" s="44">
        <f t="shared" si="19"/>
        <v>0</v>
      </c>
      <c r="AA201" s="125">
        <f>VLOOKUP(C201,'Talente &amp; Stuff'!CL:DM,25,FALSE)</f>
        <v>0</v>
      </c>
      <c r="AB201" s="160">
        <f>VLOOKUP(C201,'Talente &amp; Stuff'!CL:DM,26,FALSE)</f>
        <v>0</v>
      </c>
      <c r="AC201" s="127">
        <f>VLOOKUP(C201,'Talente &amp; Stuff'!CL:DM,27,FALSE)</f>
        <v>0</v>
      </c>
      <c r="AD201" s="125">
        <f>VLOOKUP(C201,'Talente &amp; Stuff'!CL:DM,28,FALSE)</f>
        <v>0</v>
      </c>
      <c r="AE201" s="28"/>
    </row>
    <row r="202" spans="2:31" ht="15" hidden="1" customHeight="1" outlineLevel="2">
      <c r="B202" s="148">
        <v>50</v>
      </c>
      <c r="C202" s="177" t="str">
        <f>Attribute!C202</f>
        <v>---</v>
      </c>
      <c r="D202" s="125" t="str">
        <f>VLOOKUP(C202,'Talente &amp; Stuff'!CL:DM,2,FALSE)</f>
        <v>--/--/--</v>
      </c>
      <c r="E202" s="127" t="str">
        <f>VLOOKUP(C202,'Talente &amp; Stuff'!CL:DM,3,FALSE)</f>
        <v>-</v>
      </c>
      <c r="F202" s="114">
        <f>VLOOKUP(C202,'Talente &amp; Stuff'!CL:DM,4,FALSE)</f>
        <v>0</v>
      </c>
      <c r="G202" s="113">
        <f>VLOOKUP(C202,'Talente &amp; Stuff'!CL:DM,5,FALSE)</f>
        <v>0</v>
      </c>
      <c r="H202" s="113">
        <f>VLOOKUP(C202,'Talente &amp; Stuff'!CL:DM,6,FALSE)</f>
        <v>0</v>
      </c>
      <c r="I202" s="113">
        <f>VLOOKUP(C202,'Talente &amp; Stuff'!CL:DM,7,FALSE)</f>
        <v>0</v>
      </c>
      <c r="J202" s="113">
        <f>VLOOKUP(C202,'Talente &amp; Stuff'!CL:DM,8,FALSE)</f>
        <v>0</v>
      </c>
      <c r="K202" s="113">
        <f>VLOOKUP(C202,'Talente &amp; Stuff'!CL:DM,9,FALSE)</f>
        <v>0</v>
      </c>
      <c r="L202" s="113">
        <f>VLOOKUP(C202,'Talente &amp; Stuff'!CL:DM,10,FALSE)</f>
        <v>0</v>
      </c>
      <c r="M202" s="119">
        <f>VLOOKUP(C202,'Talente &amp; Stuff'!CL:DM,11,FALSE)</f>
        <v>0</v>
      </c>
      <c r="N202" s="47">
        <f>VLOOKUP(C202,'Talente &amp; Stuff'!CL:DM,12,FALSE)</f>
        <v>0</v>
      </c>
      <c r="O202" s="47">
        <f>VLOOKUP(C202,'Talente &amp; Stuff'!CL:DM,13,FALSE)</f>
        <v>0</v>
      </c>
      <c r="P202" s="119">
        <f>VLOOKUP(C202,'Talente &amp; Stuff'!CL:DM,14,FALSE)</f>
        <v>0</v>
      </c>
      <c r="Q202" s="114">
        <f>VLOOKUP(C202,'Talente &amp; Stuff'!CL:DM,15,FALSE)</f>
        <v>0</v>
      </c>
      <c r="R202" s="113">
        <f>VLOOKUP(C202,'Talente &amp; Stuff'!CL:DM,16,FALSE)</f>
        <v>0</v>
      </c>
      <c r="S202" s="119">
        <f>VLOOKUP(C202,'Talente &amp; Stuff'!CL:DM,17,FALSE)</f>
        <v>0</v>
      </c>
      <c r="T202" s="119">
        <f>VLOOKUP(C202,'Talente &amp; Stuff'!CL:DM,18,FALSE)</f>
        <v>0</v>
      </c>
      <c r="U202" s="89">
        <f>VLOOKUP(C202,'Talente &amp; Stuff'!CL:DM,19,FALSE)</f>
        <v>0</v>
      </c>
      <c r="V202" s="47">
        <f>VLOOKUP(C202,'Talente &amp; Stuff'!CL:DM,20,FALSE)</f>
        <v>0</v>
      </c>
      <c r="W202" s="127">
        <f>VLOOKUP(C202,'Talente &amp; Stuff'!CL:DM,21,FALSE)</f>
        <v>0</v>
      </c>
      <c r="X202" s="127">
        <f>VLOOKUP(C202,'Talente &amp; Stuff'!CL:DM,22,FALSE)</f>
        <v>0</v>
      </c>
      <c r="Y202" s="165">
        <f t="shared" si="18"/>
        <v>0</v>
      </c>
      <c r="Z202" s="44">
        <f t="shared" si="19"/>
        <v>0</v>
      </c>
      <c r="AA202" s="125">
        <f>VLOOKUP(C202,'Talente &amp; Stuff'!CL:DM,25,FALSE)</f>
        <v>0</v>
      </c>
      <c r="AB202" s="160">
        <f>VLOOKUP(C202,'Talente &amp; Stuff'!CL:DM,26,FALSE)</f>
        <v>0</v>
      </c>
      <c r="AC202" s="127">
        <f>VLOOKUP(C202,'Talente &amp; Stuff'!CL:DM,27,FALSE)</f>
        <v>0</v>
      </c>
      <c r="AD202" s="125">
        <f>VLOOKUP(C202,'Talente &amp; Stuff'!CL:DM,28,FALSE)</f>
        <v>0</v>
      </c>
      <c r="AE202" s="28"/>
    </row>
    <row r="203" spans="2:31" ht="15" hidden="1" customHeight="1" outlineLevel="2">
      <c r="B203" s="148">
        <v>51</v>
      </c>
      <c r="C203" s="177" t="str">
        <f>Attribute!C203</f>
        <v>---</v>
      </c>
      <c r="D203" s="86" t="str">
        <f>VLOOKUP(C203,'Talente &amp; Stuff'!CL:DM,2,FALSE)</f>
        <v>--/--/--</v>
      </c>
      <c r="E203" s="167" t="str">
        <f>VLOOKUP(C203,'Talente &amp; Stuff'!CL:DM,3,FALSE)</f>
        <v>-</v>
      </c>
      <c r="F203" s="120">
        <f>VLOOKUP(C203,'Talente &amp; Stuff'!CL:DM,4,FALSE)</f>
        <v>0</v>
      </c>
      <c r="G203" s="117">
        <f>VLOOKUP(C203,'Talente &amp; Stuff'!CL:DM,5,FALSE)</f>
        <v>0</v>
      </c>
      <c r="H203" s="117">
        <f>VLOOKUP(C203,'Talente &amp; Stuff'!CL:DM,6,FALSE)</f>
        <v>0</v>
      </c>
      <c r="I203" s="117">
        <f>VLOOKUP(C203,'Talente &amp; Stuff'!CL:DM,7,FALSE)</f>
        <v>0</v>
      </c>
      <c r="J203" s="117">
        <f>VLOOKUP(C203,'Talente &amp; Stuff'!CL:DM,8,FALSE)</f>
        <v>0</v>
      </c>
      <c r="K203" s="117">
        <f>VLOOKUP(C203,'Talente &amp; Stuff'!CL:DM,9,FALSE)</f>
        <v>0</v>
      </c>
      <c r="L203" s="117">
        <f>VLOOKUP(C203,'Talente &amp; Stuff'!CL:DM,10,FALSE)</f>
        <v>0</v>
      </c>
      <c r="M203" s="121">
        <f>VLOOKUP(C203,'Talente &amp; Stuff'!CL:DM,11,FALSE)</f>
        <v>0</v>
      </c>
      <c r="N203" s="47">
        <f>VLOOKUP(C203,'Talente &amp; Stuff'!CL:DM,12,FALSE)</f>
        <v>0</v>
      </c>
      <c r="O203" s="3">
        <f>VLOOKUP(C203,'Talente &amp; Stuff'!CL:DM,13,FALSE)</f>
        <v>0</v>
      </c>
      <c r="P203" s="174">
        <f>VLOOKUP(C203,'Talente &amp; Stuff'!CL:DM,14,FALSE)</f>
        <v>0</v>
      </c>
      <c r="Q203" s="114">
        <f>VLOOKUP(C203,'Talente &amp; Stuff'!CL:DM,15,FALSE)</f>
        <v>0</v>
      </c>
      <c r="R203" s="117">
        <f>VLOOKUP(C203,'Talente &amp; Stuff'!CL:DM,16,FALSE)</f>
        <v>0</v>
      </c>
      <c r="S203" s="119">
        <f>VLOOKUP(C203,'Talente &amp; Stuff'!CL:DM,17,FALSE)</f>
        <v>0</v>
      </c>
      <c r="T203" s="119">
        <f>VLOOKUP(C203,'Talente &amp; Stuff'!CL:DM,18,FALSE)</f>
        <v>0</v>
      </c>
      <c r="U203" s="89">
        <f>VLOOKUP(C203,'Talente &amp; Stuff'!CL:DM,19,FALSE)</f>
        <v>0</v>
      </c>
      <c r="V203" s="47">
        <f>VLOOKUP(C203,'Talente &amp; Stuff'!CL:DM,20,FALSE)</f>
        <v>0</v>
      </c>
      <c r="W203" s="127">
        <f>VLOOKUP(C203,'Talente &amp; Stuff'!CL:DM,21,FALSE)</f>
        <v>0</v>
      </c>
      <c r="X203" s="127">
        <f>VLOOKUP(C203,'Talente &amp; Stuff'!CL:DM,22,FALSE)</f>
        <v>0</v>
      </c>
      <c r="Y203" s="165">
        <f t="shared" si="18"/>
        <v>0</v>
      </c>
      <c r="Z203" s="44">
        <f t="shared" si="19"/>
        <v>0</v>
      </c>
      <c r="AA203" s="125">
        <f>VLOOKUP(C203,'Talente &amp; Stuff'!CL:DM,25,FALSE)</f>
        <v>0</v>
      </c>
      <c r="AB203" s="160">
        <f>VLOOKUP(C203,'Talente &amp; Stuff'!CL:DM,26,FALSE)</f>
        <v>0</v>
      </c>
      <c r="AC203" s="127">
        <f>VLOOKUP(C203,'Talente &amp; Stuff'!CL:DM,27,FALSE)</f>
        <v>0</v>
      </c>
      <c r="AD203" s="125">
        <f>VLOOKUP(C203,'Talente &amp; Stuff'!CL:DM,28,FALSE)</f>
        <v>0</v>
      </c>
      <c r="AE203" s="28"/>
    </row>
    <row r="204" spans="2:31" ht="15" hidden="1" customHeight="1" outlineLevel="2">
      <c r="B204" s="148">
        <v>52</v>
      </c>
      <c r="C204" s="177" t="str">
        <f>Attribute!C204</f>
        <v>---</v>
      </c>
      <c r="D204" s="125" t="str">
        <f>VLOOKUP(C204,'Talente &amp; Stuff'!CL:DM,2,FALSE)</f>
        <v>--/--/--</v>
      </c>
      <c r="E204" s="127" t="str">
        <f>VLOOKUP(C204,'Talente &amp; Stuff'!CL:DM,3,FALSE)</f>
        <v>-</v>
      </c>
      <c r="F204" s="114">
        <f>VLOOKUP(C204,'Talente &amp; Stuff'!CL:DM,4,FALSE)</f>
        <v>0</v>
      </c>
      <c r="G204" s="113">
        <f>VLOOKUP(C204,'Talente &amp; Stuff'!CL:DM,5,FALSE)</f>
        <v>0</v>
      </c>
      <c r="H204" s="113">
        <f>VLOOKUP(C204,'Talente &amp; Stuff'!CL:DM,6,FALSE)</f>
        <v>0</v>
      </c>
      <c r="I204" s="113">
        <f>VLOOKUP(C204,'Talente &amp; Stuff'!CL:DM,7,FALSE)</f>
        <v>0</v>
      </c>
      <c r="J204" s="113">
        <f>VLOOKUP(C204,'Talente &amp; Stuff'!CL:DM,8,FALSE)</f>
        <v>0</v>
      </c>
      <c r="K204" s="113">
        <f>VLOOKUP(C204,'Talente &amp; Stuff'!CL:DM,9,FALSE)</f>
        <v>0</v>
      </c>
      <c r="L204" s="113">
        <f>VLOOKUP(C204,'Talente &amp; Stuff'!CL:DM,10,FALSE)</f>
        <v>0</v>
      </c>
      <c r="M204" s="119">
        <f>VLOOKUP(C204,'Talente &amp; Stuff'!CL:DM,11,FALSE)</f>
        <v>0</v>
      </c>
      <c r="N204" s="47">
        <f>VLOOKUP(C204,'Talente &amp; Stuff'!CL:DM,12,FALSE)</f>
        <v>0</v>
      </c>
      <c r="O204" s="47">
        <f>VLOOKUP(C204,'Talente &amp; Stuff'!CL:DM,13,FALSE)</f>
        <v>0</v>
      </c>
      <c r="P204" s="119">
        <f>VLOOKUP(C204,'Talente &amp; Stuff'!CL:DM,14,FALSE)</f>
        <v>0</v>
      </c>
      <c r="Q204" s="114">
        <f>VLOOKUP(C204,'Talente &amp; Stuff'!CL:DM,15,FALSE)</f>
        <v>0</v>
      </c>
      <c r="R204" s="113">
        <f>VLOOKUP(C204,'Talente &amp; Stuff'!CL:DM,16,FALSE)</f>
        <v>0</v>
      </c>
      <c r="S204" s="119">
        <f>VLOOKUP(C204,'Talente &amp; Stuff'!CL:DM,17,FALSE)</f>
        <v>0</v>
      </c>
      <c r="T204" s="119">
        <f>VLOOKUP(C204,'Talente &amp; Stuff'!CL:DM,18,FALSE)</f>
        <v>0</v>
      </c>
      <c r="U204" s="89">
        <f>VLOOKUP(C204,'Talente &amp; Stuff'!CL:DM,19,FALSE)</f>
        <v>0</v>
      </c>
      <c r="V204" s="47">
        <f>VLOOKUP(C204,'Talente &amp; Stuff'!CL:DM,20,FALSE)</f>
        <v>0</v>
      </c>
      <c r="W204" s="127">
        <f>VLOOKUP(C204,'Talente &amp; Stuff'!CL:DM,21,FALSE)</f>
        <v>0</v>
      </c>
      <c r="X204" s="127">
        <f>VLOOKUP(C204,'Talente &amp; Stuff'!CL:DM,22,FALSE)</f>
        <v>0</v>
      </c>
      <c r="Y204" s="165">
        <f t="shared" si="18"/>
        <v>0</v>
      </c>
      <c r="Z204" s="44">
        <f t="shared" si="19"/>
        <v>0</v>
      </c>
      <c r="AA204" s="125">
        <f>VLOOKUP(C204,'Talente &amp; Stuff'!CL:DM,25,FALSE)</f>
        <v>0</v>
      </c>
      <c r="AB204" s="160">
        <f>VLOOKUP(C204,'Talente &amp; Stuff'!CL:DM,26,FALSE)</f>
        <v>0</v>
      </c>
      <c r="AC204" s="127">
        <f>VLOOKUP(C204,'Talente &amp; Stuff'!CL:DM,27,FALSE)</f>
        <v>0</v>
      </c>
      <c r="AD204" s="125">
        <f>VLOOKUP(C204,'Talente &amp; Stuff'!CL:DM,28,FALSE)</f>
        <v>0</v>
      </c>
      <c r="AE204" s="28"/>
    </row>
    <row r="205" spans="2:31" ht="15" hidden="1" customHeight="1" outlineLevel="2">
      <c r="B205" s="148">
        <v>53</v>
      </c>
      <c r="C205" s="177" t="str">
        <f>Attribute!C205</f>
        <v>---</v>
      </c>
      <c r="D205" s="86" t="str">
        <f>VLOOKUP(C205,'Talente &amp; Stuff'!CL:DM,2,FALSE)</f>
        <v>--/--/--</v>
      </c>
      <c r="E205" s="127" t="str">
        <f>VLOOKUP(C205,'Talente &amp; Stuff'!CL:DM,3,FALSE)</f>
        <v>-</v>
      </c>
      <c r="F205" s="114">
        <f>VLOOKUP(C205,'Talente &amp; Stuff'!CL:DM,4,FALSE)</f>
        <v>0</v>
      </c>
      <c r="G205" s="113">
        <f>VLOOKUP(C205,'Talente &amp; Stuff'!CL:DM,5,FALSE)</f>
        <v>0</v>
      </c>
      <c r="H205" s="113">
        <f>VLOOKUP(C205,'Talente &amp; Stuff'!CL:DM,6,FALSE)</f>
        <v>0</v>
      </c>
      <c r="I205" s="113">
        <f>VLOOKUP(C205,'Talente &amp; Stuff'!CL:DM,7,FALSE)</f>
        <v>0</v>
      </c>
      <c r="J205" s="113">
        <f>VLOOKUP(C205,'Talente &amp; Stuff'!CL:DM,8,FALSE)</f>
        <v>0</v>
      </c>
      <c r="K205" s="113">
        <f>VLOOKUP(C205,'Talente &amp; Stuff'!CL:DM,9,FALSE)</f>
        <v>0</v>
      </c>
      <c r="L205" s="113">
        <f>VLOOKUP(C205,'Talente &amp; Stuff'!CL:DM,10,FALSE)</f>
        <v>0</v>
      </c>
      <c r="M205" s="119">
        <f>VLOOKUP(C205,'Talente &amp; Stuff'!CL:DM,11,FALSE)</f>
        <v>0</v>
      </c>
      <c r="N205" s="47">
        <f>VLOOKUP(C205,'Talente &amp; Stuff'!CL:DM,12,FALSE)</f>
        <v>0</v>
      </c>
      <c r="O205" s="3">
        <f>VLOOKUP(C205,'Talente &amp; Stuff'!CL:DM,13,FALSE)</f>
        <v>0</v>
      </c>
      <c r="P205" s="174">
        <f>VLOOKUP(C205,'Talente &amp; Stuff'!CL:DM,14,FALSE)</f>
        <v>0</v>
      </c>
      <c r="Q205" s="114">
        <f>VLOOKUP(C205,'Talente &amp; Stuff'!CL:DM,15,FALSE)</f>
        <v>0</v>
      </c>
      <c r="R205" s="117">
        <f>VLOOKUP(C205,'Talente &amp; Stuff'!CL:DM,16,FALSE)</f>
        <v>0</v>
      </c>
      <c r="S205" s="119">
        <f>VLOOKUP(C205,'Talente &amp; Stuff'!CL:DM,17,FALSE)</f>
        <v>0</v>
      </c>
      <c r="T205" s="119">
        <f>VLOOKUP(C205,'Talente &amp; Stuff'!CL:DM,18,FALSE)</f>
        <v>0</v>
      </c>
      <c r="U205" s="89">
        <f>VLOOKUP(C205,'Talente &amp; Stuff'!CL:DM,19,FALSE)</f>
        <v>0</v>
      </c>
      <c r="V205" s="47">
        <f>VLOOKUP(C205,'Talente &amp; Stuff'!CL:DM,20,FALSE)</f>
        <v>0</v>
      </c>
      <c r="W205" s="127">
        <f>VLOOKUP(C205,'Talente &amp; Stuff'!CL:DM,21,FALSE)</f>
        <v>0</v>
      </c>
      <c r="X205" s="127">
        <f>VLOOKUP(C205,'Talente &amp; Stuff'!CL:DM,22,FALSE)</f>
        <v>0</v>
      </c>
      <c r="Y205" s="165">
        <f t="shared" si="18"/>
        <v>0</v>
      </c>
      <c r="Z205" s="44">
        <f t="shared" si="19"/>
        <v>0</v>
      </c>
      <c r="AA205" s="125">
        <f>VLOOKUP(C205,'Talente &amp; Stuff'!CL:DM,25,FALSE)</f>
        <v>0</v>
      </c>
      <c r="AB205" s="160">
        <f>VLOOKUP(C205,'Talente &amp; Stuff'!CL:DM,26,FALSE)</f>
        <v>0</v>
      </c>
      <c r="AC205" s="127">
        <f>VLOOKUP(C205,'Talente &amp; Stuff'!CL:DM,27,FALSE)</f>
        <v>0</v>
      </c>
      <c r="AD205" s="125">
        <f>VLOOKUP(C205,'Talente &amp; Stuff'!CL:DM,28,FALSE)</f>
        <v>0</v>
      </c>
      <c r="AE205" s="28"/>
    </row>
    <row r="206" spans="2:31" ht="15" hidden="1" customHeight="1" outlineLevel="2">
      <c r="B206" s="148">
        <v>54</v>
      </c>
      <c r="C206" s="177" t="str">
        <f>Attribute!C206</f>
        <v>---</v>
      </c>
      <c r="D206" s="125" t="str">
        <f>VLOOKUP(C206,'Talente &amp; Stuff'!CL:DM,2,FALSE)</f>
        <v>--/--/--</v>
      </c>
      <c r="E206" s="127" t="str">
        <f>VLOOKUP(C206,'Talente &amp; Stuff'!CL:DM,3,FALSE)</f>
        <v>-</v>
      </c>
      <c r="F206" s="114">
        <f>VLOOKUP(C206,'Talente &amp; Stuff'!CL:DM,4,FALSE)</f>
        <v>0</v>
      </c>
      <c r="G206" s="113">
        <f>VLOOKUP(C206,'Talente &amp; Stuff'!CL:DM,5,FALSE)</f>
        <v>0</v>
      </c>
      <c r="H206" s="113">
        <f>VLOOKUP(C206,'Talente &amp; Stuff'!CL:DM,6,FALSE)</f>
        <v>0</v>
      </c>
      <c r="I206" s="113">
        <f>VLOOKUP(C206,'Talente &amp; Stuff'!CL:DM,7,FALSE)</f>
        <v>0</v>
      </c>
      <c r="J206" s="113">
        <f>VLOOKUP(C206,'Talente &amp; Stuff'!CL:DM,8,FALSE)</f>
        <v>0</v>
      </c>
      <c r="K206" s="113">
        <f>VLOOKUP(C206,'Talente &amp; Stuff'!CL:DM,9,FALSE)</f>
        <v>0</v>
      </c>
      <c r="L206" s="113">
        <f>VLOOKUP(C206,'Talente &amp; Stuff'!CL:DM,10,FALSE)</f>
        <v>0</v>
      </c>
      <c r="M206" s="119">
        <f>VLOOKUP(C206,'Talente &amp; Stuff'!CL:DM,11,FALSE)</f>
        <v>0</v>
      </c>
      <c r="N206" s="47">
        <f>VLOOKUP(C206,'Talente &amp; Stuff'!CL:DM,12,FALSE)</f>
        <v>0</v>
      </c>
      <c r="O206" s="47">
        <f>VLOOKUP(C206,'Talente &amp; Stuff'!CL:DM,13,FALSE)</f>
        <v>0</v>
      </c>
      <c r="P206" s="119">
        <f>VLOOKUP(C206,'Talente &amp; Stuff'!CL:DM,14,FALSE)</f>
        <v>0</v>
      </c>
      <c r="Q206" s="114">
        <f>VLOOKUP(C206,'Talente &amp; Stuff'!CL:DM,15,FALSE)</f>
        <v>0</v>
      </c>
      <c r="R206" s="113">
        <f>VLOOKUP(C206,'Talente &amp; Stuff'!CL:DM,16,FALSE)</f>
        <v>0</v>
      </c>
      <c r="S206" s="119">
        <f>VLOOKUP(C206,'Talente &amp; Stuff'!CL:DM,17,FALSE)</f>
        <v>0</v>
      </c>
      <c r="T206" s="119">
        <f>VLOOKUP(C206,'Talente &amp; Stuff'!CL:DM,18,FALSE)</f>
        <v>0</v>
      </c>
      <c r="U206" s="89">
        <f>VLOOKUP(C206,'Talente &amp; Stuff'!CL:DM,19,FALSE)</f>
        <v>0</v>
      </c>
      <c r="V206" s="47">
        <f>VLOOKUP(C206,'Talente &amp; Stuff'!CL:DM,20,FALSE)</f>
        <v>0</v>
      </c>
      <c r="W206" s="127">
        <f>VLOOKUP(C206,'Talente &amp; Stuff'!CL:DM,21,FALSE)</f>
        <v>0</v>
      </c>
      <c r="X206" s="127">
        <f>VLOOKUP(C206,'Talente &amp; Stuff'!CL:DM,22,FALSE)</f>
        <v>0</v>
      </c>
      <c r="Y206" s="165">
        <f t="shared" si="18"/>
        <v>0</v>
      </c>
      <c r="Z206" s="44">
        <f t="shared" si="19"/>
        <v>0</v>
      </c>
      <c r="AA206" s="125">
        <f>VLOOKUP(C206,'Talente &amp; Stuff'!CL:DM,25,FALSE)</f>
        <v>0</v>
      </c>
      <c r="AB206" s="160">
        <f>VLOOKUP(C206,'Talente &amp; Stuff'!CL:DM,26,FALSE)</f>
        <v>0</v>
      </c>
      <c r="AC206" s="127">
        <f>VLOOKUP(C206,'Talente &amp; Stuff'!CL:DM,27,FALSE)</f>
        <v>0</v>
      </c>
      <c r="AD206" s="125">
        <f>VLOOKUP(C206,'Talente &amp; Stuff'!CL:DM,28,FALSE)</f>
        <v>0</v>
      </c>
      <c r="AE206" s="28"/>
    </row>
    <row r="207" spans="2:31" ht="15" hidden="1" customHeight="1" outlineLevel="2">
      <c r="B207" s="148">
        <v>55</v>
      </c>
      <c r="C207" s="177" t="str">
        <f>Attribute!C207</f>
        <v>---</v>
      </c>
      <c r="D207" s="125" t="str">
        <f>VLOOKUP(C207,'Talente &amp; Stuff'!CL:DM,2,FALSE)</f>
        <v>--/--/--</v>
      </c>
      <c r="E207" s="127" t="str">
        <f>VLOOKUP(C207,'Talente &amp; Stuff'!CL:DM,3,FALSE)</f>
        <v>-</v>
      </c>
      <c r="F207" s="114">
        <f>VLOOKUP(C207,'Talente &amp; Stuff'!CL:DM,4,FALSE)</f>
        <v>0</v>
      </c>
      <c r="G207" s="113">
        <f>VLOOKUP(C207,'Talente &amp; Stuff'!CL:DM,5,FALSE)</f>
        <v>0</v>
      </c>
      <c r="H207" s="113">
        <f>VLOOKUP(C207,'Talente &amp; Stuff'!CL:DM,6,FALSE)</f>
        <v>0</v>
      </c>
      <c r="I207" s="113">
        <f>VLOOKUP(C207,'Talente &amp; Stuff'!CL:DM,7,FALSE)</f>
        <v>0</v>
      </c>
      <c r="J207" s="113">
        <f>VLOOKUP(C207,'Talente &amp; Stuff'!CL:DM,8,FALSE)</f>
        <v>0</v>
      </c>
      <c r="K207" s="113">
        <f>VLOOKUP(C207,'Talente &amp; Stuff'!CL:DM,9,FALSE)</f>
        <v>0</v>
      </c>
      <c r="L207" s="113">
        <f>VLOOKUP(C207,'Talente &amp; Stuff'!CL:DM,10,FALSE)</f>
        <v>0</v>
      </c>
      <c r="M207" s="119">
        <f>VLOOKUP(C207,'Talente &amp; Stuff'!CL:DM,11,FALSE)</f>
        <v>0</v>
      </c>
      <c r="N207" s="47">
        <f>VLOOKUP(C207,'Talente &amp; Stuff'!CL:DM,12,FALSE)</f>
        <v>0</v>
      </c>
      <c r="O207" s="47">
        <f>VLOOKUP(C207,'Talente &amp; Stuff'!CL:DM,13,FALSE)</f>
        <v>0</v>
      </c>
      <c r="P207" s="119">
        <f>VLOOKUP(C207,'Talente &amp; Stuff'!CL:DM,14,FALSE)</f>
        <v>0</v>
      </c>
      <c r="Q207" s="114">
        <f>VLOOKUP(C207,'Talente &amp; Stuff'!CL:DM,15,FALSE)</f>
        <v>0</v>
      </c>
      <c r="R207" s="113">
        <f>VLOOKUP(C207,'Talente &amp; Stuff'!CL:DM,16,FALSE)</f>
        <v>0</v>
      </c>
      <c r="S207" s="119">
        <f>VLOOKUP(C207,'Talente &amp; Stuff'!CL:DM,17,FALSE)</f>
        <v>0</v>
      </c>
      <c r="T207" s="119">
        <f>VLOOKUP(C207,'Talente &amp; Stuff'!CL:DM,18,FALSE)</f>
        <v>0</v>
      </c>
      <c r="U207" s="89">
        <f>VLOOKUP(C207,'Talente &amp; Stuff'!CL:DM,19,FALSE)</f>
        <v>0</v>
      </c>
      <c r="V207" s="47">
        <f>VLOOKUP(C207,'Talente &amp; Stuff'!CL:DM,20,FALSE)</f>
        <v>0</v>
      </c>
      <c r="W207" s="127">
        <f>VLOOKUP(C207,'Talente &amp; Stuff'!CL:DM,21,FALSE)</f>
        <v>0</v>
      </c>
      <c r="X207" s="127">
        <f>VLOOKUP(C207,'Talente &amp; Stuff'!CL:DM,22,FALSE)</f>
        <v>0</v>
      </c>
      <c r="Y207" s="165">
        <f t="shared" si="18"/>
        <v>0</v>
      </c>
      <c r="Z207" s="44">
        <f t="shared" si="19"/>
        <v>0</v>
      </c>
      <c r="AA207" s="125">
        <f>VLOOKUP(C207,'Talente &amp; Stuff'!CL:DM,25,FALSE)</f>
        <v>0</v>
      </c>
      <c r="AB207" s="160">
        <f>VLOOKUP(C207,'Talente &amp; Stuff'!CL:DM,26,FALSE)</f>
        <v>0</v>
      </c>
      <c r="AC207" s="127">
        <f>VLOOKUP(C207,'Talente &amp; Stuff'!CL:DM,27,FALSE)</f>
        <v>0</v>
      </c>
      <c r="AD207" s="125">
        <f>VLOOKUP(C207,'Talente &amp; Stuff'!CL:DM,28,FALSE)</f>
        <v>0</v>
      </c>
      <c r="AE207" s="28"/>
    </row>
    <row r="208" spans="2:31" ht="15" hidden="1" customHeight="1" outlineLevel="2">
      <c r="B208" s="148">
        <v>56</v>
      </c>
      <c r="C208" s="177" t="str">
        <f>Attribute!C208</f>
        <v>---</v>
      </c>
      <c r="D208" s="125" t="str">
        <f>VLOOKUP(C208,'Talente &amp; Stuff'!CL:DM,2,FALSE)</f>
        <v>--/--/--</v>
      </c>
      <c r="E208" s="127" t="str">
        <f>VLOOKUP(C208,'Talente &amp; Stuff'!CL:DM,3,FALSE)</f>
        <v>-</v>
      </c>
      <c r="F208" s="114">
        <f>VLOOKUP(C208,'Talente &amp; Stuff'!CL:DM,4,FALSE)</f>
        <v>0</v>
      </c>
      <c r="G208" s="113">
        <f>VLOOKUP(C208,'Talente &amp; Stuff'!CL:DM,5,FALSE)</f>
        <v>0</v>
      </c>
      <c r="H208" s="113">
        <f>VLOOKUP(C208,'Talente &amp; Stuff'!CL:DM,6,FALSE)</f>
        <v>0</v>
      </c>
      <c r="I208" s="113">
        <f>VLOOKUP(C208,'Talente &amp; Stuff'!CL:DM,7,FALSE)</f>
        <v>0</v>
      </c>
      <c r="J208" s="113">
        <f>VLOOKUP(C208,'Talente &amp; Stuff'!CL:DM,8,FALSE)</f>
        <v>0</v>
      </c>
      <c r="K208" s="113">
        <f>VLOOKUP(C208,'Talente &amp; Stuff'!CL:DM,9,FALSE)</f>
        <v>0</v>
      </c>
      <c r="L208" s="113">
        <f>VLOOKUP(C208,'Talente &amp; Stuff'!CL:DM,10,FALSE)</f>
        <v>0</v>
      </c>
      <c r="M208" s="119">
        <f>VLOOKUP(C208,'Talente &amp; Stuff'!CL:DM,11,FALSE)</f>
        <v>0</v>
      </c>
      <c r="N208" s="47">
        <f>VLOOKUP(C208,'Talente &amp; Stuff'!CL:DM,12,FALSE)</f>
        <v>0</v>
      </c>
      <c r="O208" s="47">
        <f>VLOOKUP(C208,'Talente &amp; Stuff'!CL:DM,13,FALSE)</f>
        <v>0</v>
      </c>
      <c r="P208" s="119">
        <f>VLOOKUP(C208,'Talente &amp; Stuff'!CL:DM,14,FALSE)</f>
        <v>0</v>
      </c>
      <c r="Q208" s="114">
        <f>VLOOKUP(C208,'Talente &amp; Stuff'!CL:DM,15,FALSE)</f>
        <v>0</v>
      </c>
      <c r="R208" s="113">
        <f>VLOOKUP(C208,'Talente &amp; Stuff'!CL:DM,16,FALSE)</f>
        <v>0</v>
      </c>
      <c r="S208" s="119">
        <f>VLOOKUP(C208,'Talente &amp; Stuff'!CL:DM,17,FALSE)</f>
        <v>0</v>
      </c>
      <c r="T208" s="119">
        <f>VLOOKUP(C208,'Talente &amp; Stuff'!CL:DM,18,FALSE)</f>
        <v>0</v>
      </c>
      <c r="U208" s="89">
        <f>VLOOKUP(C208,'Talente &amp; Stuff'!CL:DM,19,FALSE)</f>
        <v>0</v>
      </c>
      <c r="V208" s="47">
        <f>VLOOKUP(C208,'Talente &amp; Stuff'!CL:DM,20,FALSE)</f>
        <v>0</v>
      </c>
      <c r="W208" s="127">
        <f>VLOOKUP(C208,'Talente &amp; Stuff'!CL:DM,21,FALSE)</f>
        <v>0</v>
      </c>
      <c r="X208" s="127">
        <f>VLOOKUP(C208,'Talente &amp; Stuff'!CL:DM,22,FALSE)</f>
        <v>0</v>
      </c>
      <c r="Y208" s="165">
        <f t="shared" si="18"/>
        <v>0</v>
      </c>
      <c r="Z208" s="44">
        <f t="shared" si="19"/>
        <v>0</v>
      </c>
      <c r="AA208" s="125">
        <f>VLOOKUP(C208,'Talente &amp; Stuff'!CL:DM,25,FALSE)</f>
        <v>0</v>
      </c>
      <c r="AB208" s="160">
        <f>VLOOKUP(C208,'Talente &amp; Stuff'!CL:DM,26,FALSE)</f>
        <v>0</v>
      </c>
      <c r="AC208" s="127">
        <f>VLOOKUP(C208,'Talente &amp; Stuff'!CL:DM,27,FALSE)</f>
        <v>0</v>
      </c>
      <c r="AD208" s="125">
        <f>VLOOKUP(C208,'Talente &amp; Stuff'!CL:DM,28,FALSE)</f>
        <v>0</v>
      </c>
      <c r="AE208" s="28"/>
    </row>
    <row r="209" spans="2:31" ht="15" hidden="1" customHeight="1" outlineLevel="2">
      <c r="B209" s="148">
        <v>57</v>
      </c>
      <c r="C209" s="177" t="str">
        <f>Attribute!C209</f>
        <v>---</v>
      </c>
      <c r="D209" s="125" t="str">
        <f>VLOOKUP(C209,'Talente &amp; Stuff'!CL:DM,2,FALSE)</f>
        <v>--/--/--</v>
      </c>
      <c r="E209" s="127" t="str">
        <f>VLOOKUP(C209,'Talente &amp; Stuff'!CL:DM,3,FALSE)</f>
        <v>-</v>
      </c>
      <c r="F209" s="114">
        <f>VLOOKUP(C209,'Talente &amp; Stuff'!CL:DM,4,FALSE)</f>
        <v>0</v>
      </c>
      <c r="G209" s="113">
        <f>VLOOKUP(C209,'Talente &amp; Stuff'!CL:DM,5,FALSE)</f>
        <v>0</v>
      </c>
      <c r="H209" s="113">
        <f>VLOOKUP(C209,'Talente &amp; Stuff'!CL:DM,6,FALSE)</f>
        <v>0</v>
      </c>
      <c r="I209" s="113">
        <f>VLOOKUP(C209,'Talente &amp; Stuff'!CL:DM,7,FALSE)</f>
        <v>0</v>
      </c>
      <c r="J209" s="113">
        <f>VLOOKUP(C209,'Talente &amp; Stuff'!CL:DM,8,FALSE)</f>
        <v>0</v>
      </c>
      <c r="K209" s="113">
        <f>VLOOKUP(C209,'Talente &amp; Stuff'!CL:DM,9,FALSE)</f>
        <v>0</v>
      </c>
      <c r="L209" s="113">
        <f>VLOOKUP(C209,'Talente &amp; Stuff'!CL:DM,10,FALSE)</f>
        <v>0</v>
      </c>
      <c r="M209" s="119">
        <f>VLOOKUP(C209,'Talente &amp; Stuff'!CL:DM,11,FALSE)</f>
        <v>0</v>
      </c>
      <c r="N209" s="47">
        <f>VLOOKUP(C209,'Talente &amp; Stuff'!CL:DM,12,FALSE)</f>
        <v>0</v>
      </c>
      <c r="O209" s="47">
        <f>VLOOKUP(C209,'Talente &amp; Stuff'!CL:DM,13,FALSE)</f>
        <v>0</v>
      </c>
      <c r="P209" s="119">
        <f>VLOOKUP(C209,'Talente &amp; Stuff'!CL:DM,14,FALSE)</f>
        <v>0</v>
      </c>
      <c r="Q209" s="114">
        <f>VLOOKUP(C209,'Talente &amp; Stuff'!CL:DM,15,FALSE)</f>
        <v>0</v>
      </c>
      <c r="R209" s="113">
        <f>VLOOKUP(C209,'Talente &amp; Stuff'!CL:DM,16,FALSE)</f>
        <v>0</v>
      </c>
      <c r="S209" s="119">
        <f>VLOOKUP(C209,'Talente &amp; Stuff'!CL:DM,17,FALSE)</f>
        <v>0</v>
      </c>
      <c r="T209" s="119">
        <f>VLOOKUP(C209,'Talente &amp; Stuff'!CL:DM,18,FALSE)</f>
        <v>0</v>
      </c>
      <c r="U209" s="89">
        <f>VLOOKUP(C209,'Talente &amp; Stuff'!CL:DM,19,FALSE)</f>
        <v>0</v>
      </c>
      <c r="V209" s="47">
        <f>VLOOKUP(C209,'Talente &amp; Stuff'!CL:DM,20,FALSE)</f>
        <v>0</v>
      </c>
      <c r="W209" s="127">
        <f>VLOOKUP(C209,'Talente &amp; Stuff'!CL:DM,21,FALSE)</f>
        <v>0</v>
      </c>
      <c r="X209" s="127">
        <f>VLOOKUP(C209,'Talente &amp; Stuff'!CL:DM,22,FALSE)</f>
        <v>0</v>
      </c>
      <c r="Y209" s="165">
        <f t="shared" si="18"/>
        <v>0</v>
      </c>
      <c r="Z209" s="44">
        <f t="shared" si="19"/>
        <v>0</v>
      </c>
      <c r="AA209" s="125">
        <f>VLOOKUP(C209,'Talente &amp; Stuff'!CL:DM,25,FALSE)</f>
        <v>0</v>
      </c>
      <c r="AB209" s="160">
        <f>VLOOKUP(C209,'Talente &amp; Stuff'!CL:DM,26,FALSE)</f>
        <v>0</v>
      </c>
      <c r="AC209" s="127">
        <f>VLOOKUP(C209,'Talente &amp; Stuff'!CL:DM,27,FALSE)</f>
        <v>0</v>
      </c>
      <c r="AD209" s="125">
        <f>VLOOKUP(C209,'Talente &amp; Stuff'!CL:DM,28,FALSE)</f>
        <v>0</v>
      </c>
      <c r="AE209" s="28"/>
    </row>
    <row r="210" spans="2:31" ht="15" hidden="1" customHeight="1" outlineLevel="2">
      <c r="B210" s="148">
        <v>58</v>
      </c>
      <c r="C210" s="177" t="str">
        <f>Attribute!C210</f>
        <v>---</v>
      </c>
      <c r="D210" s="125" t="str">
        <f>VLOOKUP(C210,'Talente &amp; Stuff'!CL:DM,2,FALSE)</f>
        <v>--/--/--</v>
      </c>
      <c r="E210" s="127" t="str">
        <f>VLOOKUP(C210,'Talente &amp; Stuff'!CL:DM,3,FALSE)</f>
        <v>-</v>
      </c>
      <c r="F210" s="114">
        <f>VLOOKUP(C210,'Talente &amp; Stuff'!CL:DM,4,FALSE)</f>
        <v>0</v>
      </c>
      <c r="G210" s="113">
        <f>VLOOKUP(C210,'Talente &amp; Stuff'!CL:DM,5,FALSE)</f>
        <v>0</v>
      </c>
      <c r="H210" s="113">
        <f>VLOOKUP(C210,'Talente &amp; Stuff'!CL:DM,6,FALSE)</f>
        <v>0</v>
      </c>
      <c r="I210" s="113">
        <f>VLOOKUP(C210,'Talente &amp; Stuff'!CL:DM,7,FALSE)</f>
        <v>0</v>
      </c>
      <c r="J210" s="113">
        <f>VLOOKUP(C210,'Talente &amp; Stuff'!CL:DM,8,FALSE)</f>
        <v>0</v>
      </c>
      <c r="K210" s="113">
        <f>VLOOKUP(C210,'Talente &amp; Stuff'!CL:DM,9,FALSE)</f>
        <v>0</v>
      </c>
      <c r="L210" s="113">
        <f>VLOOKUP(C210,'Talente &amp; Stuff'!CL:DM,10,FALSE)</f>
        <v>0</v>
      </c>
      <c r="M210" s="119">
        <f>VLOOKUP(C210,'Talente &amp; Stuff'!CL:DM,11,FALSE)</f>
        <v>0</v>
      </c>
      <c r="N210" s="47">
        <f>VLOOKUP(C210,'Talente &amp; Stuff'!CL:DM,12,FALSE)</f>
        <v>0</v>
      </c>
      <c r="O210" s="47">
        <f>VLOOKUP(C210,'Talente &amp; Stuff'!CL:DM,13,FALSE)</f>
        <v>0</v>
      </c>
      <c r="P210" s="119">
        <f>VLOOKUP(C210,'Talente &amp; Stuff'!CL:DM,14,FALSE)</f>
        <v>0</v>
      </c>
      <c r="Q210" s="114">
        <f>VLOOKUP(C210,'Talente &amp; Stuff'!CL:DM,15,FALSE)</f>
        <v>0</v>
      </c>
      <c r="R210" s="113">
        <f>VLOOKUP(C210,'Talente &amp; Stuff'!CL:DM,16,FALSE)</f>
        <v>0</v>
      </c>
      <c r="S210" s="119">
        <f>VLOOKUP(C210,'Talente &amp; Stuff'!CL:DM,17,FALSE)</f>
        <v>0</v>
      </c>
      <c r="T210" s="119">
        <f>VLOOKUP(C210,'Talente &amp; Stuff'!CL:DM,18,FALSE)</f>
        <v>0</v>
      </c>
      <c r="U210" s="89">
        <f>VLOOKUP(C210,'Talente &amp; Stuff'!CL:DM,19,FALSE)</f>
        <v>0</v>
      </c>
      <c r="V210" s="47">
        <f>VLOOKUP(C210,'Talente &amp; Stuff'!CL:DM,20,FALSE)</f>
        <v>0</v>
      </c>
      <c r="W210" s="127">
        <f>VLOOKUP(C210,'Talente &amp; Stuff'!CL:DM,21,FALSE)</f>
        <v>0</v>
      </c>
      <c r="X210" s="127">
        <f>VLOOKUP(C210,'Talente &amp; Stuff'!CL:DM,22,FALSE)</f>
        <v>0</v>
      </c>
      <c r="Y210" s="165">
        <f t="shared" si="18"/>
        <v>0</v>
      </c>
      <c r="Z210" s="44">
        <f t="shared" si="19"/>
        <v>0</v>
      </c>
      <c r="AA210" s="125">
        <f>VLOOKUP(C210,'Talente &amp; Stuff'!CL:DM,25,FALSE)</f>
        <v>0</v>
      </c>
      <c r="AB210" s="160">
        <f>VLOOKUP(C210,'Talente &amp; Stuff'!CL:DM,26,FALSE)</f>
        <v>0</v>
      </c>
      <c r="AC210" s="127">
        <f>VLOOKUP(C210,'Talente &amp; Stuff'!CL:DM,27,FALSE)</f>
        <v>0</v>
      </c>
      <c r="AD210" s="125">
        <f>VLOOKUP(C210,'Talente &amp; Stuff'!CL:DM,28,FALSE)</f>
        <v>0</v>
      </c>
      <c r="AE210" s="28"/>
    </row>
    <row r="211" spans="2:31" ht="15" hidden="1" customHeight="1" outlineLevel="2">
      <c r="B211" s="148">
        <v>59</v>
      </c>
      <c r="C211" s="177" t="str">
        <f>Attribute!C211</f>
        <v>---</v>
      </c>
      <c r="D211" s="159" t="str">
        <f>VLOOKUP(C211,'Talente &amp; Stuff'!CL:DM,2,FALSE)</f>
        <v>--/--/--</v>
      </c>
      <c r="E211" s="128" t="str">
        <f>VLOOKUP(C211,'Talente &amp; Stuff'!CL:DM,3,FALSE)</f>
        <v>-</v>
      </c>
      <c r="F211" s="115">
        <f>VLOOKUP(C211,'Talente &amp; Stuff'!CL:DM,4,FALSE)</f>
        <v>0</v>
      </c>
      <c r="G211" s="122">
        <f>VLOOKUP(C211,'Talente &amp; Stuff'!CL:DM,5,FALSE)</f>
        <v>0</v>
      </c>
      <c r="H211" s="122">
        <f>VLOOKUP(C211,'Talente &amp; Stuff'!CL:DM,6,FALSE)</f>
        <v>0</v>
      </c>
      <c r="I211" s="122">
        <f>VLOOKUP(C211,'Talente &amp; Stuff'!CL:DM,7,FALSE)</f>
        <v>0</v>
      </c>
      <c r="J211" s="122">
        <f>VLOOKUP(C211,'Talente &amp; Stuff'!CL:DM,8,FALSE)</f>
        <v>0</v>
      </c>
      <c r="K211" s="122">
        <f>VLOOKUP(C211,'Talente &amp; Stuff'!CL:DM,9,FALSE)</f>
        <v>0</v>
      </c>
      <c r="L211" s="122">
        <f>VLOOKUP(C211,'Talente &amp; Stuff'!CL:DM,10,FALSE)</f>
        <v>0</v>
      </c>
      <c r="M211" s="123">
        <f>VLOOKUP(C211,'Talente &amp; Stuff'!CL:DM,11,FALSE)</f>
        <v>0</v>
      </c>
      <c r="N211" s="88">
        <f>VLOOKUP(C211,'Talente &amp; Stuff'!CL:DM,12,FALSE)</f>
        <v>0</v>
      </c>
      <c r="O211" s="88">
        <f>VLOOKUP(C211,'Talente &amp; Stuff'!CL:DM,13,FALSE)</f>
        <v>0</v>
      </c>
      <c r="P211" s="123">
        <f>VLOOKUP(C211,'Talente &amp; Stuff'!CL:DM,14,FALSE)</f>
        <v>0</v>
      </c>
      <c r="Q211" s="115">
        <f>VLOOKUP(C211,'Talente &amp; Stuff'!CL:DM,15,FALSE)</f>
        <v>0</v>
      </c>
      <c r="R211" s="122">
        <f>VLOOKUP(C211,'Talente &amp; Stuff'!CL:DM,16,FALSE)</f>
        <v>0</v>
      </c>
      <c r="S211" s="123">
        <f>VLOOKUP(C211,'Talente &amp; Stuff'!CL:DM,17,FALSE)</f>
        <v>0</v>
      </c>
      <c r="T211" s="123">
        <f>VLOOKUP(C211,'Talente &amp; Stuff'!CL:DM,18,FALSE)</f>
        <v>0</v>
      </c>
      <c r="U211" s="90">
        <f>VLOOKUP(C211,'Talente &amp; Stuff'!CL:DM,19,FALSE)</f>
        <v>0</v>
      </c>
      <c r="V211" s="88">
        <f>VLOOKUP(C211,'Talente &amp; Stuff'!CL:DM,20,FALSE)</f>
        <v>0</v>
      </c>
      <c r="W211" s="128">
        <f>VLOOKUP(C211,'Talente &amp; Stuff'!CL:DM,21,FALSE)</f>
        <v>0</v>
      </c>
      <c r="X211" s="128">
        <f>VLOOKUP(C211,'Talente &amp; Stuff'!CL:DM,22,FALSE)</f>
        <v>0</v>
      </c>
      <c r="Y211" s="165">
        <f t="shared" si="18"/>
        <v>0</v>
      </c>
      <c r="Z211" s="44">
        <f t="shared" si="19"/>
        <v>0</v>
      </c>
      <c r="AA211" s="159">
        <f>VLOOKUP(C211,'Talente &amp; Stuff'!CL:DM,25,FALSE)</f>
        <v>0</v>
      </c>
      <c r="AB211" s="161">
        <f>VLOOKUP(C211,'Talente &amp; Stuff'!CL:DM,26,FALSE)</f>
        <v>0</v>
      </c>
      <c r="AC211" s="128">
        <f>VLOOKUP(C211,'Talente &amp; Stuff'!CL:DM,27,FALSE)</f>
        <v>0</v>
      </c>
      <c r="AD211" s="159">
        <f>VLOOKUP(C211,'Talente &amp; Stuff'!CL:DM,28,FALSE)</f>
        <v>0</v>
      </c>
      <c r="AE211" s="28"/>
    </row>
    <row r="212" spans="2:31" ht="15" hidden="1" customHeight="1" outlineLevel="1" collapsed="1">
      <c r="B212" s="134" t="s">
        <v>328</v>
      </c>
      <c r="C212" s="83"/>
      <c r="D212" s="84"/>
      <c r="E212" s="84"/>
    </row>
    <row r="213" spans="2:31" ht="15" hidden="1" customHeight="1" outlineLevel="2">
      <c r="B213" s="148">
        <v>1</v>
      </c>
      <c r="C213" s="177" t="str">
        <f>Attribute!C213</f>
        <v>---</v>
      </c>
      <c r="D213" s="85" t="str">
        <f>VLOOKUP(C213,'Talente &amp; Stuff'!CL:DM,2,FALSE)</f>
        <v>--/--/--</v>
      </c>
      <c r="E213" s="126" t="str">
        <f>VLOOKUP(C213,'Talente &amp; Stuff'!CL:DM,3,FALSE)</f>
        <v>-</v>
      </c>
      <c r="F213" s="191">
        <f>VLOOKUP(C213,'Talente &amp; Stuff'!CL:DM,4,FALSE)</f>
        <v>0</v>
      </c>
      <c r="G213" s="118">
        <f>VLOOKUP(C213,'Talente &amp; Stuff'!CL:DM,5,FALSE)</f>
        <v>0</v>
      </c>
      <c r="H213" s="118">
        <f>VLOOKUP(C213,'Talente &amp; Stuff'!CL:DM,6,FALSE)</f>
        <v>0</v>
      </c>
      <c r="I213" s="118">
        <f>VLOOKUP(C213,'Talente &amp; Stuff'!CL:DM,7,FALSE)</f>
        <v>0</v>
      </c>
      <c r="J213" s="118">
        <f>VLOOKUP(C213,'Talente &amp; Stuff'!CL:DM,8,FALSE)</f>
        <v>0</v>
      </c>
      <c r="K213" s="118">
        <f>VLOOKUP(C213,'Talente &amp; Stuff'!CL:DM,9,FALSE)</f>
        <v>0</v>
      </c>
      <c r="L213" s="118">
        <f>VLOOKUP(C213,'Talente &amp; Stuff'!CL:DM,10,FALSE)</f>
        <v>0</v>
      </c>
      <c r="M213" s="92">
        <f>VLOOKUP(C213,'Talente &amp; Stuff'!CL:DM,11,FALSE)</f>
        <v>0</v>
      </c>
      <c r="N213" s="116">
        <f>VLOOKUP(C213,'Talente &amp; Stuff'!CL:DM,12,FALSE)</f>
        <v>0</v>
      </c>
      <c r="O213" s="194">
        <f>VLOOKUP(C213,'Talente &amp; Stuff'!CL:DM,13,FALSE)</f>
        <v>0</v>
      </c>
      <c r="P213" s="192">
        <f>VLOOKUP(C213,'Talente &amp; Stuff'!CL:DM,14,FALSE)</f>
        <v>0</v>
      </c>
      <c r="Q213" s="191">
        <f>VLOOKUP(C213,'Talente &amp; Stuff'!CL:DM,15,FALSE)</f>
        <v>0</v>
      </c>
      <c r="R213" s="170">
        <f>VLOOKUP(C213,'Talente &amp; Stuff'!CL:DM,16,FALSE)</f>
        <v>0</v>
      </c>
      <c r="S213" s="92">
        <f>VLOOKUP(C213,'Talente &amp; Stuff'!CL:DM,17,FALSE)</f>
        <v>0</v>
      </c>
      <c r="T213" s="92">
        <f>VLOOKUP(C213,'Talente &amp; Stuff'!CL:DM,18,FALSE)</f>
        <v>0</v>
      </c>
      <c r="U213" s="193">
        <f>VLOOKUP(C213,'Talente &amp; Stuff'!CL:DM,19,FALSE)</f>
        <v>0</v>
      </c>
      <c r="V213" s="116">
        <f>VLOOKUP(C213,'Talente &amp; Stuff'!CL:DM,20,FALSE)</f>
        <v>0</v>
      </c>
      <c r="W213" s="126">
        <f>VLOOKUP(C213,'Talente &amp; Stuff'!CL:DM,21,FALSE)</f>
        <v>0</v>
      </c>
      <c r="X213" s="126">
        <f>VLOOKUP(C213,'Talente &amp; Stuff'!CL:DM,22,FALSE)</f>
        <v>0</v>
      </c>
      <c r="Y213" s="165">
        <f t="shared" ref="Y213:Y257" si="20">VLOOKUP(C213,Ausgewählte_Zauber_Hexen,110,FALSE)</f>
        <v>0</v>
      </c>
      <c r="Z213" s="44">
        <f t="shared" ref="Z213:Z257" si="21">VLOOKUP(C213,Ausgewählte_Zauber_Hexen,111,FALSE)</f>
        <v>0</v>
      </c>
      <c r="AA213" s="158">
        <f>VLOOKUP(C213,'Talente &amp; Stuff'!CL:DM,25,FALSE)</f>
        <v>0</v>
      </c>
      <c r="AB213" s="91">
        <f>VLOOKUP(C213,'Talente &amp; Stuff'!CL:DM,26,FALSE)</f>
        <v>0</v>
      </c>
      <c r="AC213" s="126">
        <f>VLOOKUP(C213,'Talente &amp; Stuff'!CL:DM,27,FALSE)</f>
        <v>0</v>
      </c>
      <c r="AD213" s="158">
        <f>VLOOKUP(C213,'Talente &amp; Stuff'!CL:DM,28,FALSE)</f>
        <v>0</v>
      </c>
      <c r="AE213" s="28"/>
    </row>
    <row r="214" spans="2:31" ht="15" hidden="1" customHeight="1" outlineLevel="2">
      <c r="B214" s="148">
        <v>2</v>
      </c>
      <c r="C214" s="177" t="str">
        <f>Attribute!C214</f>
        <v>---</v>
      </c>
      <c r="D214" s="125" t="str">
        <f>VLOOKUP(C214,'Talente &amp; Stuff'!CL:DM,2,FALSE)</f>
        <v>--/--/--</v>
      </c>
      <c r="E214" s="127" t="str">
        <f>VLOOKUP(C214,'Talente &amp; Stuff'!CL:DM,3,FALSE)</f>
        <v>-</v>
      </c>
      <c r="F214" s="114">
        <f>VLOOKUP(C214,'Talente &amp; Stuff'!CL:DM,4,FALSE)</f>
        <v>0</v>
      </c>
      <c r="G214" s="113">
        <f>VLOOKUP(C214,'Talente &amp; Stuff'!CL:DM,5,FALSE)</f>
        <v>0</v>
      </c>
      <c r="H214" s="113">
        <f>VLOOKUP(C214,'Talente &amp; Stuff'!CL:DM,6,FALSE)</f>
        <v>0</v>
      </c>
      <c r="I214" s="113">
        <f>VLOOKUP(C214,'Talente &amp; Stuff'!CL:DM,7,FALSE)</f>
        <v>0</v>
      </c>
      <c r="J214" s="113">
        <f>VLOOKUP(C214,'Talente &amp; Stuff'!CL:DM,8,FALSE)</f>
        <v>0</v>
      </c>
      <c r="K214" s="113">
        <f>VLOOKUP(C214,'Talente &amp; Stuff'!CL:DM,9,FALSE)</f>
        <v>0</v>
      </c>
      <c r="L214" s="113">
        <f>VLOOKUP(C214,'Talente &amp; Stuff'!CL:DM,10,FALSE)</f>
        <v>0</v>
      </c>
      <c r="M214" s="119">
        <f>VLOOKUP(C214,'Talente &amp; Stuff'!CL:DM,11,FALSE)</f>
        <v>0</v>
      </c>
      <c r="N214" s="47">
        <f>VLOOKUP(C214,'Talente &amp; Stuff'!CL:DM,12,FALSE)</f>
        <v>0</v>
      </c>
      <c r="O214" s="47">
        <f>VLOOKUP(C214,'Talente &amp; Stuff'!CL:DM,13,FALSE)</f>
        <v>0</v>
      </c>
      <c r="P214" s="119">
        <f>VLOOKUP(C214,'Talente &amp; Stuff'!CL:DM,14,FALSE)</f>
        <v>0</v>
      </c>
      <c r="Q214" s="114">
        <f>VLOOKUP(C214,'Talente &amp; Stuff'!CL:DM,15,FALSE)</f>
        <v>0</v>
      </c>
      <c r="R214" s="113">
        <f>VLOOKUP(C214,'Talente &amp; Stuff'!CL:DM,16,FALSE)</f>
        <v>0</v>
      </c>
      <c r="S214" s="119">
        <f>VLOOKUP(C214,'Talente &amp; Stuff'!CL:DM,17,FALSE)</f>
        <v>0</v>
      </c>
      <c r="T214" s="119">
        <f>VLOOKUP(C214,'Talente &amp; Stuff'!CL:DM,18,FALSE)</f>
        <v>0</v>
      </c>
      <c r="U214" s="89">
        <f>VLOOKUP(C214,'Talente &amp; Stuff'!CL:DM,19,FALSE)</f>
        <v>0</v>
      </c>
      <c r="V214" s="47">
        <f>VLOOKUP(C214,'Talente &amp; Stuff'!CL:DM,20,FALSE)</f>
        <v>0</v>
      </c>
      <c r="W214" s="127">
        <f>VLOOKUP(C214,'Talente &amp; Stuff'!CL:DM,21,FALSE)</f>
        <v>0</v>
      </c>
      <c r="X214" s="127">
        <f>VLOOKUP(C214,'Talente &amp; Stuff'!CL:DM,22,FALSE)</f>
        <v>0</v>
      </c>
      <c r="Y214" s="165">
        <f t="shared" si="20"/>
        <v>0</v>
      </c>
      <c r="Z214" s="44">
        <f t="shared" si="21"/>
        <v>0</v>
      </c>
      <c r="AA214" s="125">
        <f>VLOOKUP(C214,'Talente &amp; Stuff'!CL:DM,25,FALSE)</f>
        <v>0</v>
      </c>
      <c r="AB214" s="160">
        <f>VLOOKUP(C214,'Talente &amp; Stuff'!CL:DM,26,FALSE)</f>
        <v>0</v>
      </c>
      <c r="AC214" s="127">
        <f>VLOOKUP(C214,'Talente &amp; Stuff'!CL:DM,27,FALSE)</f>
        <v>0</v>
      </c>
      <c r="AD214" s="125">
        <f>VLOOKUP(C214,'Talente &amp; Stuff'!CL:DM,28,FALSE)</f>
        <v>0</v>
      </c>
      <c r="AE214" s="28"/>
    </row>
    <row r="215" spans="2:31" ht="15" hidden="1" customHeight="1" outlineLevel="2">
      <c r="B215" s="148">
        <v>3</v>
      </c>
      <c r="C215" s="177" t="str">
        <f>Attribute!C215</f>
        <v>---</v>
      </c>
      <c r="D215" s="125" t="str">
        <f>VLOOKUP(C215,'Talente &amp; Stuff'!CL:DM,2,FALSE)</f>
        <v>--/--/--</v>
      </c>
      <c r="E215" s="127" t="str">
        <f>VLOOKUP(C215,'Talente &amp; Stuff'!CL:DM,3,FALSE)</f>
        <v>-</v>
      </c>
      <c r="F215" s="114">
        <f>VLOOKUP(C215,'Talente &amp; Stuff'!CL:DM,4,FALSE)</f>
        <v>0</v>
      </c>
      <c r="G215" s="113">
        <f>VLOOKUP(C215,'Talente &amp; Stuff'!CL:DM,5,FALSE)</f>
        <v>0</v>
      </c>
      <c r="H215" s="113">
        <f>VLOOKUP(C215,'Talente &amp; Stuff'!CL:DM,6,FALSE)</f>
        <v>0</v>
      </c>
      <c r="I215" s="113">
        <f>VLOOKUP(C215,'Talente &amp; Stuff'!CL:DM,7,FALSE)</f>
        <v>0</v>
      </c>
      <c r="J215" s="113">
        <f>VLOOKUP(C215,'Talente &amp; Stuff'!CL:DM,8,FALSE)</f>
        <v>0</v>
      </c>
      <c r="K215" s="113">
        <f>VLOOKUP(C215,'Talente &amp; Stuff'!CL:DM,9,FALSE)</f>
        <v>0</v>
      </c>
      <c r="L215" s="113">
        <f>VLOOKUP(C215,'Talente &amp; Stuff'!CL:DM,10,FALSE)</f>
        <v>0</v>
      </c>
      <c r="M215" s="119">
        <f>VLOOKUP(C215,'Talente &amp; Stuff'!CL:DM,11,FALSE)</f>
        <v>0</v>
      </c>
      <c r="N215" s="47">
        <f>VLOOKUP(C215,'Talente &amp; Stuff'!CL:DM,12,FALSE)</f>
        <v>0</v>
      </c>
      <c r="O215" s="47">
        <f>VLOOKUP(C215,'Talente &amp; Stuff'!CL:DM,13,FALSE)</f>
        <v>0</v>
      </c>
      <c r="P215" s="119">
        <f>VLOOKUP(C215,'Talente &amp; Stuff'!CL:DM,14,FALSE)</f>
        <v>0</v>
      </c>
      <c r="Q215" s="114">
        <f>VLOOKUP(C215,'Talente &amp; Stuff'!CL:DM,15,FALSE)</f>
        <v>0</v>
      </c>
      <c r="R215" s="113">
        <f>VLOOKUP(C215,'Talente &amp; Stuff'!CL:DM,16,FALSE)</f>
        <v>0</v>
      </c>
      <c r="S215" s="119">
        <f>VLOOKUP(C215,'Talente &amp; Stuff'!CL:DM,17,FALSE)</f>
        <v>0</v>
      </c>
      <c r="T215" s="119">
        <f>VLOOKUP(C215,'Talente &amp; Stuff'!CL:DM,18,FALSE)</f>
        <v>0</v>
      </c>
      <c r="U215" s="89">
        <f>VLOOKUP(C215,'Talente &amp; Stuff'!CL:DM,19,FALSE)</f>
        <v>0</v>
      </c>
      <c r="V215" s="47">
        <f>VLOOKUP(C215,'Talente &amp; Stuff'!CL:DM,20,FALSE)</f>
        <v>0</v>
      </c>
      <c r="W215" s="127">
        <f>VLOOKUP(C215,'Talente &amp; Stuff'!CL:DM,21,FALSE)</f>
        <v>0</v>
      </c>
      <c r="X215" s="127">
        <f>VLOOKUP(C215,'Talente &amp; Stuff'!CL:DM,22,FALSE)</f>
        <v>0</v>
      </c>
      <c r="Y215" s="165">
        <f t="shared" si="20"/>
        <v>0</v>
      </c>
      <c r="Z215" s="44">
        <f t="shared" si="21"/>
        <v>0</v>
      </c>
      <c r="AA215" s="125">
        <f>VLOOKUP(C215,'Talente &amp; Stuff'!CL:DM,25,FALSE)</f>
        <v>0</v>
      </c>
      <c r="AB215" s="160">
        <f>VLOOKUP(C215,'Talente &amp; Stuff'!CL:DM,26,FALSE)</f>
        <v>0</v>
      </c>
      <c r="AC215" s="127">
        <f>VLOOKUP(C215,'Talente &amp; Stuff'!CL:DM,27,FALSE)</f>
        <v>0</v>
      </c>
      <c r="AD215" s="125">
        <f>VLOOKUP(C215,'Talente &amp; Stuff'!CL:DM,28,FALSE)</f>
        <v>0</v>
      </c>
      <c r="AE215" s="28"/>
    </row>
    <row r="216" spans="2:31" ht="15" hidden="1" customHeight="1" outlineLevel="2">
      <c r="B216" s="148">
        <v>4</v>
      </c>
      <c r="C216" s="177" t="str">
        <f>Attribute!C216</f>
        <v>---</v>
      </c>
      <c r="D216" s="86" t="str">
        <f>VLOOKUP(C216,'Talente &amp; Stuff'!CL:DM,2,FALSE)</f>
        <v>--/--/--</v>
      </c>
      <c r="E216" s="167" t="str">
        <f>VLOOKUP(C216,'Talente &amp; Stuff'!CL:DM,3,FALSE)</f>
        <v>-</v>
      </c>
      <c r="F216" s="120">
        <f>VLOOKUP(C216,'Talente &amp; Stuff'!CL:DM,4,FALSE)</f>
        <v>0</v>
      </c>
      <c r="G216" s="117">
        <f>VLOOKUP(C216,'Talente &amp; Stuff'!CL:DM,5,FALSE)</f>
        <v>0</v>
      </c>
      <c r="H216" s="117">
        <f>VLOOKUP(C216,'Talente &amp; Stuff'!CL:DM,6,FALSE)</f>
        <v>0</v>
      </c>
      <c r="I216" s="117">
        <f>VLOOKUP(C216,'Talente &amp; Stuff'!CL:DM,7,FALSE)</f>
        <v>0</v>
      </c>
      <c r="J216" s="117">
        <f>VLOOKUP(C216,'Talente &amp; Stuff'!CL:DM,8,FALSE)</f>
        <v>0</v>
      </c>
      <c r="K216" s="117">
        <f>VLOOKUP(C216,'Talente &amp; Stuff'!CL:DM,9,FALSE)</f>
        <v>0</v>
      </c>
      <c r="L216" s="117">
        <f>VLOOKUP(C216,'Talente &amp; Stuff'!CL:DM,10,FALSE)</f>
        <v>0</v>
      </c>
      <c r="M216" s="121">
        <f>VLOOKUP(C216,'Talente &amp; Stuff'!CL:DM,11,FALSE)</f>
        <v>0</v>
      </c>
      <c r="N216" s="47">
        <f>VLOOKUP(C216,'Talente &amp; Stuff'!CL:DM,12,FALSE)</f>
        <v>0</v>
      </c>
      <c r="O216" s="3">
        <f>VLOOKUP(C216,'Talente &amp; Stuff'!CL:DM,13,FALSE)</f>
        <v>0</v>
      </c>
      <c r="P216" s="174">
        <f>VLOOKUP(C216,'Talente &amp; Stuff'!CL:DM,14,FALSE)</f>
        <v>0</v>
      </c>
      <c r="Q216" s="114">
        <f>VLOOKUP(C216,'Talente &amp; Stuff'!CL:DM,15,FALSE)</f>
        <v>0</v>
      </c>
      <c r="R216" s="117">
        <f>VLOOKUP(C216,'Talente &amp; Stuff'!CL:DM,16,FALSE)</f>
        <v>0</v>
      </c>
      <c r="S216" s="119">
        <f>VLOOKUP(C216,'Talente &amp; Stuff'!CL:DM,17,FALSE)</f>
        <v>0</v>
      </c>
      <c r="T216" s="119">
        <f>VLOOKUP(C216,'Talente &amp; Stuff'!CL:DM,18,FALSE)</f>
        <v>0</v>
      </c>
      <c r="U216" s="89">
        <f>VLOOKUP(C216,'Talente &amp; Stuff'!CL:DM,19,FALSE)</f>
        <v>0</v>
      </c>
      <c r="V216" s="47">
        <f>VLOOKUP(C216,'Talente &amp; Stuff'!CL:DM,20,FALSE)</f>
        <v>0</v>
      </c>
      <c r="W216" s="127">
        <f>VLOOKUP(C216,'Talente &amp; Stuff'!CL:DM,21,FALSE)</f>
        <v>0</v>
      </c>
      <c r="X216" s="127">
        <f>VLOOKUP(C216,'Talente &amp; Stuff'!CL:DM,22,FALSE)</f>
        <v>0</v>
      </c>
      <c r="Y216" s="165">
        <f t="shared" si="20"/>
        <v>0</v>
      </c>
      <c r="Z216" s="44">
        <f t="shared" si="21"/>
        <v>0</v>
      </c>
      <c r="AA216" s="125">
        <f>VLOOKUP(C216,'Talente &amp; Stuff'!CL:DM,25,FALSE)</f>
        <v>0</v>
      </c>
      <c r="AB216" s="160">
        <f>VLOOKUP(C216,'Talente &amp; Stuff'!CL:DM,26,FALSE)</f>
        <v>0</v>
      </c>
      <c r="AC216" s="127">
        <f>VLOOKUP(C216,'Talente &amp; Stuff'!CL:DM,27,FALSE)</f>
        <v>0</v>
      </c>
      <c r="AD216" s="125">
        <f>VLOOKUP(C216,'Talente &amp; Stuff'!CL:DM,28,FALSE)</f>
        <v>0</v>
      </c>
      <c r="AE216" s="28"/>
    </row>
    <row r="217" spans="2:31" ht="15" hidden="1" customHeight="1" outlineLevel="2">
      <c r="B217" s="148">
        <v>5</v>
      </c>
      <c r="C217" s="177" t="str">
        <f>Attribute!C217</f>
        <v>---</v>
      </c>
      <c r="D217" s="86" t="str">
        <f>VLOOKUP(C217,'Talente &amp; Stuff'!CL:DM,2,FALSE)</f>
        <v>--/--/--</v>
      </c>
      <c r="E217" s="167" t="str">
        <f>VLOOKUP(C217,'Talente &amp; Stuff'!CL:DM,3,FALSE)</f>
        <v>-</v>
      </c>
      <c r="F217" s="120">
        <f>VLOOKUP(C217,'Talente &amp; Stuff'!CL:DM,4,FALSE)</f>
        <v>0</v>
      </c>
      <c r="G217" s="117">
        <f>VLOOKUP(C217,'Talente &amp; Stuff'!CL:DM,5,FALSE)</f>
        <v>0</v>
      </c>
      <c r="H217" s="117">
        <f>VLOOKUP(C217,'Talente &amp; Stuff'!CL:DM,6,FALSE)</f>
        <v>0</v>
      </c>
      <c r="I217" s="117">
        <f>VLOOKUP(C217,'Talente &amp; Stuff'!CL:DM,7,FALSE)</f>
        <v>0</v>
      </c>
      <c r="J217" s="117">
        <f>VLOOKUP(C217,'Talente &amp; Stuff'!CL:DM,8,FALSE)</f>
        <v>0</v>
      </c>
      <c r="K217" s="117">
        <f>VLOOKUP(C217,'Talente &amp; Stuff'!CL:DM,9,FALSE)</f>
        <v>0</v>
      </c>
      <c r="L217" s="117">
        <f>VLOOKUP(C217,'Talente &amp; Stuff'!CL:DM,10,FALSE)</f>
        <v>0</v>
      </c>
      <c r="M217" s="121">
        <f>VLOOKUP(C217,'Talente &amp; Stuff'!CL:DM,11,FALSE)</f>
        <v>0</v>
      </c>
      <c r="N217" s="47">
        <f>VLOOKUP(C217,'Talente &amp; Stuff'!CL:DM,12,FALSE)</f>
        <v>0</v>
      </c>
      <c r="O217" s="3">
        <f>VLOOKUP(C217,'Talente &amp; Stuff'!CL:DM,13,FALSE)</f>
        <v>0</v>
      </c>
      <c r="P217" s="174">
        <f>VLOOKUP(C217,'Talente &amp; Stuff'!CL:DM,14,FALSE)</f>
        <v>0</v>
      </c>
      <c r="Q217" s="114">
        <f>VLOOKUP(C217,'Talente &amp; Stuff'!CL:DM,15,FALSE)</f>
        <v>0</v>
      </c>
      <c r="R217" s="117">
        <f>VLOOKUP(C217,'Talente &amp; Stuff'!CL:DM,16,FALSE)</f>
        <v>0</v>
      </c>
      <c r="S217" s="119">
        <f>VLOOKUP(C217,'Talente &amp; Stuff'!CL:DM,17,FALSE)</f>
        <v>0</v>
      </c>
      <c r="T217" s="119">
        <f>VLOOKUP(C217,'Talente &amp; Stuff'!CL:DM,18,FALSE)</f>
        <v>0</v>
      </c>
      <c r="U217" s="89">
        <f>VLOOKUP(C217,'Talente &amp; Stuff'!CL:DM,19,FALSE)</f>
        <v>0</v>
      </c>
      <c r="V217" s="47">
        <f>VLOOKUP(C217,'Talente &amp; Stuff'!CL:DM,20,FALSE)</f>
        <v>0</v>
      </c>
      <c r="W217" s="127">
        <f>VLOOKUP(C217,'Talente &amp; Stuff'!CL:DM,21,FALSE)</f>
        <v>0</v>
      </c>
      <c r="X217" s="127">
        <f>VLOOKUP(C217,'Talente &amp; Stuff'!CL:DM,22,FALSE)</f>
        <v>0</v>
      </c>
      <c r="Y217" s="165">
        <f t="shared" si="20"/>
        <v>0</v>
      </c>
      <c r="Z217" s="44">
        <f t="shared" si="21"/>
        <v>0</v>
      </c>
      <c r="AA217" s="125">
        <f>VLOOKUP(C217,'Talente &amp; Stuff'!CL:DM,25,FALSE)</f>
        <v>0</v>
      </c>
      <c r="AB217" s="160">
        <f>VLOOKUP(C217,'Talente &amp; Stuff'!CL:DM,26,FALSE)</f>
        <v>0</v>
      </c>
      <c r="AC217" s="127">
        <f>VLOOKUP(C217,'Talente &amp; Stuff'!CL:DM,27,FALSE)</f>
        <v>0</v>
      </c>
      <c r="AD217" s="125">
        <f>VLOOKUP(C217,'Talente &amp; Stuff'!CL:DM,28,FALSE)</f>
        <v>0</v>
      </c>
      <c r="AE217" s="28"/>
    </row>
    <row r="218" spans="2:31" ht="15" hidden="1" customHeight="1" outlineLevel="2">
      <c r="B218" s="148">
        <v>6</v>
      </c>
      <c r="C218" s="177" t="str">
        <f>Attribute!C218</f>
        <v>---</v>
      </c>
      <c r="D218" s="125" t="str">
        <f>VLOOKUP(C218,'Talente &amp; Stuff'!CL:DM,2,FALSE)</f>
        <v>--/--/--</v>
      </c>
      <c r="E218" s="127" t="str">
        <f>VLOOKUP(C218,'Talente &amp; Stuff'!CL:DM,3,FALSE)</f>
        <v>-</v>
      </c>
      <c r="F218" s="114">
        <f>VLOOKUP(C218,'Talente &amp; Stuff'!CL:DM,4,FALSE)</f>
        <v>0</v>
      </c>
      <c r="G218" s="113">
        <f>VLOOKUP(C218,'Talente &amp; Stuff'!CL:DM,5,FALSE)</f>
        <v>0</v>
      </c>
      <c r="H218" s="113">
        <f>VLOOKUP(C218,'Talente &amp; Stuff'!CL:DM,6,FALSE)</f>
        <v>0</v>
      </c>
      <c r="I218" s="113">
        <f>VLOOKUP(C218,'Talente &amp; Stuff'!CL:DM,7,FALSE)</f>
        <v>0</v>
      </c>
      <c r="J218" s="113">
        <f>VLOOKUP(C218,'Talente &amp; Stuff'!CL:DM,8,FALSE)</f>
        <v>0</v>
      </c>
      <c r="K218" s="113">
        <f>VLOOKUP(C218,'Talente &amp; Stuff'!CL:DM,9,FALSE)</f>
        <v>0</v>
      </c>
      <c r="L218" s="113">
        <f>VLOOKUP(C218,'Talente &amp; Stuff'!CL:DM,10,FALSE)</f>
        <v>0</v>
      </c>
      <c r="M218" s="119">
        <f>VLOOKUP(C218,'Talente &amp; Stuff'!CL:DM,11,FALSE)</f>
        <v>0</v>
      </c>
      <c r="N218" s="47">
        <f>VLOOKUP(C218,'Talente &amp; Stuff'!CL:DM,12,FALSE)</f>
        <v>0</v>
      </c>
      <c r="O218" s="47">
        <f>VLOOKUP(C218,'Talente &amp; Stuff'!CL:DM,13,FALSE)</f>
        <v>0</v>
      </c>
      <c r="P218" s="119">
        <f>VLOOKUP(C218,'Talente &amp; Stuff'!CL:DM,14,FALSE)</f>
        <v>0</v>
      </c>
      <c r="Q218" s="114">
        <f>VLOOKUP(C218,'Talente &amp; Stuff'!CL:DM,15,FALSE)</f>
        <v>0</v>
      </c>
      <c r="R218" s="113">
        <f>VLOOKUP(C218,'Talente &amp; Stuff'!CL:DM,16,FALSE)</f>
        <v>0</v>
      </c>
      <c r="S218" s="119">
        <f>VLOOKUP(C218,'Talente &amp; Stuff'!CL:DM,17,FALSE)</f>
        <v>0</v>
      </c>
      <c r="T218" s="119">
        <f>VLOOKUP(C218,'Talente &amp; Stuff'!CL:DM,18,FALSE)</f>
        <v>0</v>
      </c>
      <c r="U218" s="89">
        <f>VLOOKUP(C218,'Talente &amp; Stuff'!CL:DM,19,FALSE)</f>
        <v>0</v>
      </c>
      <c r="V218" s="47">
        <f>VLOOKUP(C218,'Talente &amp; Stuff'!CL:DM,20,FALSE)</f>
        <v>0</v>
      </c>
      <c r="W218" s="127">
        <f>VLOOKUP(C218,'Talente &amp; Stuff'!CL:DM,21,FALSE)</f>
        <v>0</v>
      </c>
      <c r="X218" s="127">
        <f>VLOOKUP(C218,'Talente &amp; Stuff'!CL:DM,22,FALSE)</f>
        <v>0</v>
      </c>
      <c r="Y218" s="165">
        <f t="shared" si="20"/>
        <v>0</v>
      </c>
      <c r="Z218" s="44">
        <f t="shared" si="21"/>
        <v>0</v>
      </c>
      <c r="AA218" s="125">
        <f>VLOOKUP(C218,'Talente &amp; Stuff'!CL:DM,25,FALSE)</f>
        <v>0</v>
      </c>
      <c r="AB218" s="160">
        <f>VLOOKUP(C218,'Talente &amp; Stuff'!CL:DM,26,FALSE)</f>
        <v>0</v>
      </c>
      <c r="AC218" s="127">
        <f>VLOOKUP(C218,'Talente &amp; Stuff'!CL:DM,27,FALSE)</f>
        <v>0</v>
      </c>
      <c r="AD218" s="125">
        <f>VLOOKUP(C218,'Talente &amp; Stuff'!CL:DM,28,FALSE)</f>
        <v>0</v>
      </c>
      <c r="AE218" s="28"/>
    </row>
    <row r="219" spans="2:31" ht="15" hidden="1" customHeight="1" outlineLevel="2">
      <c r="B219" s="148">
        <v>7</v>
      </c>
      <c r="C219" s="177" t="str">
        <f>Attribute!C219</f>
        <v>---</v>
      </c>
      <c r="D219" s="125" t="str">
        <f>VLOOKUP(C219,'Talente &amp; Stuff'!CL:DM,2,FALSE)</f>
        <v>--/--/--</v>
      </c>
      <c r="E219" s="127" t="str">
        <f>VLOOKUP(C219,'Talente &amp; Stuff'!CL:DM,3,FALSE)</f>
        <v>-</v>
      </c>
      <c r="F219" s="114">
        <f>VLOOKUP(C219,'Talente &amp; Stuff'!CL:DM,4,FALSE)</f>
        <v>0</v>
      </c>
      <c r="G219" s="113">
        <f>VLOOKUP(C219,'Talente &amp; Stuff'!CL:DM,5,FALSE)</f>
        <v>0</v>
      </c>
      <c r="H219" s="113">
        <f>VLOOKUP(C219,'Talente &amp; Stuff'!CL:DM,6,FALSE)</f>
        <v>0</v>
      </c>
      <c r="I219" s="113">
        <f>VLOOKUP(C219,'Talente &amp; Stuff'!CL:DM,7,FALSE)</f>
        <v>0</v>
      </c>
      <c r="J219" s="113">
        <f>VLOOKUP(C219,'Talente &amp; Stuff'!CL:DM,8,FALSE)</f>
        <v>0</v>
      </c>
      <c r="K219" s="113">
        <f>VLOOKUP(C219,'Talente &amp; Stuff'!CL:DM,9,FALSE)</f>
        <v>0</v>
      </c>
      <c r="L219" s="113">
        <f>VLOOKUP(C219,'Talente &amp; Stuff'!CL:DM,10,FALSE)</f>
        <v>0</v>
      </c>
      <c r="M219" s="119">
        <f>VLOOKUP(C219,'Talente &amp; Stuff'!CL:DM,11,FALSE)</f>
        <v>0</v>
      </c>
      <c r="N219" s="47">
        <f>VLOOKUP(C219,'Talente &amp; Stuff'!CL:DM,12,FALSE)</f>
        <v>0</v>
      </c>
      <c r="O219" s="47">
        <f>VLOOKUP(C219,'Talente &amp; Stuff'!CL:DM,13,FALSE)</f>
        <v>0</v>
      </c>
      <c r="P219" s="119">
        <f>VLOOKUP(C219,'Talente &amp; Stuff'!CL:DM,14,FALSE)</f>
        <v>0</v>
      </c>
      <c r="Q219" s="114">
        <f>VLOOKUP(C219,'Talente &amp; Stuff'!CL:DM,15,FALSE)</f>
        <v>0</v>
      </c>
      <c r="R219" s="113">
        <f>VLOOKUP(C219,'Talente &amp; Stuff'!CL:DM,16,FALSE)</f>
        <v>0</v>
      </c>
      <c r="S219" s="119">
        <f>VLOOKUP(C219,'Talente &amp; Stuff'!CL:DM,17,FALSE)</f>
        <v>0</v>
      </c>
      <c r="T219" s="119">
        <f>VLOOKUP(C219,'Talente &amp; Stuff'!CL:DM,18,FALSE)</f>
        <v>0</v>
      </c>
      <c r="U219" s="89">
        <f>VLOOKUP(C219,'Talente &amp; Stuff'!CL:DM,19,FALSE)</f>
        <v>0</v>
      </c>
      <c r="V219" s="47">
        <f>VLOOKUP(C219,'Talente &amp; Stuff'!CL:DM,20,FALSE)</f>
        <v>0</v>
      </c>
      <c r="W219" s="127">
        <f>VLOOKUP(C219,'Talente &amp; Stuff'!CL:DM,21,FALSE)</f>
        <v>0</v>
      </c>
      <c r="X219" s="127">
        <f>VLOOKUP(C219,'Talente &amp; Stuff'!CL:DM,22,FALSE)</f>
        <v>0</v>
      </c>
      <c r="Y219" s="165">
        <f t="shared" si="20"/>
        <v>0</v>
      </c>
      <c r="Z219" s="44">
        <f t="shared" si="21"/>
        <v>0</v>
      </c>
      <c r="AA219" s="125">
        <f>VLOOKUP(C219,'Talente &amp; Stuff'!CL:DM,25,FALSE)</f>
        <v>0</v>
      </c>
      <c r="AB219" s="160">
        <f>VLOOKUP(C219,'Talente &amp; Stuff'!CL:DM,26,FALSE)</f>
        <v>0</v>
      </c>
      <c r="AC219" s="127">
        <f>VLOOKUP(C219,'Talente &amp; Stuff'!CL:DM,27,FALSE)</f>
        <v>0</v>
      </c>
      <c r="AD219" s="125">
        <f>VLOOKUP(C219,'Talente &amp; Stuff'!CL:DM,28,FALSE)</f>
        <v>0</v>
      </c>
      <c r="AE219" s="28"/>
    </row>
    <row r="220" spans="2:31" ht="15" hidden="1" customHeight="1" outlineLevel="2">
      <c r="B220" s="148">
        <v>8</v>
      </c>
      <c r="C220" s="177" t="str">
        <f>Attribute!C220</f>
        <v>---</v>
      </c>
      <c r="D220" s="125" t="str">
        <f>VLOOKUP(C220,'Talente &amp; Stuff'!CL:DM,2,FALSE)</f>
        <v>--/--/--</v>
      </c>
      <c r="E220" s="127" t="str">
        <f>VLOOKUP(C220,'Talente &amp; Stuff'!CL:DM,3,FALSE)</f>
        <v>-</v>
      </c>
      <c r="F220" s="114">
        <f>VLOOKUP(C220,'Talente &amp; Stuff'!CL:DM,4,FALSE)</f>
        <v>0</v>
      </c>
      <c r="G220" s="113">
        <f>VLOOKUP(C220,'Talente &amp; Stuff'!CL:DM,5,FALSE)</f>
        <v>0</v>
      </c>
      <c r="H220" s="113">
        <f>VLOOKUP(C220,'Talente &amp; Stuff'!CL:DM,6,FALSE)</f>
        <v>0</v>
      </c>
      <c r="I220" s="113">
        <f>VLOOKUP(C220,'Talente &amp; Stuff'!CL:DM,7,FALSE)</f>
        <v>0</v>
      </c>
      <c r="J220" s="113">
        <f>VLOOKUP(C220,'Talente &amp; Stuff'!CL:DM,8,FALSE)</f>
        <v>0</v>
      </c>
      <c r="K220" s="113">
        <f>VLOOKUP(C220,'Talente &amp; Stuff'!CL:DM,9,FALSE)</f>
        <v>0</v>
      </c>
      <c r="L220" s="113">
        <f>VLOOKUP(C220,'Talente &amp; Stuff'!CL:DM,10,FALSE)</f>
        <v>0</v>
      </c>
      <c r="M220" s="119">
        <f>VLOOKUP(C220,'Talente &amp; Stuff'!CL:DM,11,FALSE)</f>
        <v>0</v>
      </c>
      <c r="N220" s="47">
        <f>VLOOKUP(C220,'Talente &amp; Stuff'!CL:DM,12,FALSE)</f>
        <v>0</v>
      </c>
      <c r="O220" s="47">
        <f>VLOOKUP(C220,'Talente &amp; Stuff'!CL:DM,13,FALSE)</f>
        <v>0</v>
      </c>
      <c r="P220" s="119">
        <f>VLOOKUP(C220,'Talente &amp; Stuff'!CL:DM,14,FALSE)</f>
        <v>0</v>
      </c>
      <c r="Q220" s="114">
        <f>VLOOKUP(C220,'Talente &amp; Stuff'!CL:DM,15,FALSE)</f>
        <v>0</v>
      </c>
      <c r="R220" s="113">
        <f>VLOOKUP(C220,'Talente &amp; Stuff'!CL:DM,16,FALSE)</f>
        <v>0</v>
      </c>
      <c r="S220" s="119">
        <f>VLOOKUP(C220,'Talente &amp; Stuff'!CL:DM,17,FALSE)</f>
        <v>0</v>
      </c>
      <c r="T220" s="119">
        <f>VLOOKUP(C220,'Talente &amp; Stuff'!CL:DM,18,FALSE)</f>
        <v>0</v>
      </c>
      <c r="U220" s="89">
        <f>VLOOKUP(C220,'Talente &amp; Stuff'!CL:DM,19,FALSE)</f>
        <v>0</v>
      </c>
      <c r="V220" s="47">
        <f>VLOOKUP(C220,'Talente &amp; Stuff'!CL:DM,20,FALSE)</f>
        <v>0</v>
      </c>
      <c r="W220" s="127">
        <f>VLOOKUP(C220,'Talente &amp; Stuff'!CL:DM,21,FALSE)</f>
        <v>0</v>
      </c>
      <c r="X220" s="127">
        <f>VLOOKUP(C220,'Talente &amp; Stuff'!CL:DM,22,FALSE)</f>
        <v>0</v>
      </c>
      <c r="Y220" s="165">
        <f t="shared" si="20"/>
        <v>0</v>
      </c>
      <c r="Z220" s="44">
        <f t="shared" si="21"/>
        <v>0</v>
      </c>
      <c r="AA220" s="125">
        <f>VLOOKUP(C220,'Talente &amp; Stuff'!CL:DM,25,FALSE)</f>
        <v>0</v>
      </c>
      <c r="AB220" s="160">
        <f>VLOOKUP(C220,'Talente &amp; Stuff'!CL:DM,26,FALSE)</f>
        <v>0</v>
      </c>
      <c r="AC220" s="127">
        <f>VLOOKUP(C220,'Talente &amp; Stuff'!CL:DM,27,FALSE)</f>
        <v>0</v>
      </c>
      <c r="AD220" s="125">
        <f>VLOOKUP(C220,'Talente &amp; Stuff'!CL:DM,28,FALSE)</f>
        <v>0</v>
      </c>
      <c r="AE220" s="28"/>
    </row>
    <row r="221" spans="2:31" ht="15" hidden="1" customHeight="1" outlineLevel="2">
      <c r="B221" s="148">
        <v>9</v>
      </c>
      <c r="C221" s="177" t="str">
        <f>Attribute!C221</f>
        <v>---</v>
      </c>
      <c r="D221" s="125" t="str">
        <f>VLOOKUP(C221,'Talente &amp; Stuff'!CL:DM,2,FALSE)</f>
        <v>--/--/--</v>
      </c>
      <c r="E221" s="127" t="str">
        <f>VLOOKUP(C221,'Talente &amp; Stuff'!CL:DM,3,FALSE)</f>
        <v>-</v>
      </c>
      <c r="F221" s="114">
        <f>VLOOKUP(C221,'Talente &amp; Stuff'!CL:DM,4,FALSE)</f>
        <v>0</v>
      </c>
      <c r="G221" s="113">
        <f>VLOOKUP(C221,'Talente &amp; Stuff'!CL:DM,5,FALSE)</f>
        <v>0</v>
      </c>
      <c r="H221" s="113">
        <f>VLOOKUP(C221,'Talente &amp; Stuff'!CL:DM,6,FALSE)</f>
        <v>0</v>
      </c>
      <c r="I221" s="113">
        <f>VLOOKUP(C221,'Talente &amp; Stuff'!CL:DM,7,FALSE)</f>
        <v>0</v>
      </c>
      <c r="J221" s="113">
        <f>VLOOKUP(C221,'Talente &amp; Stuff'!CL:DM,8,FALSE)</f>
        <v>0</v>
      </c>
      <c r="K221" s="113">
        <f>VLOOKUP(C221,'Talente &amp; Stuff'!CL:DM,9,FALSE)</f>
        <v>0</v>
      </c>
      <c r="L221" s="113">
        <f>VLOOKUP(C221,'Talente &amp; Stuff'!CL:DM,10,FALSE)</f>
        <v>0</v>
      </c>
      <c r="M221" s="119">
        <f>VLOOKUP(C221,'Talente &amp; Stuff'!CL:DM,11,FALSE)</f>
        <v>0</v>
      </c>
      <c r="N221" s="47">
        <f>VLOOKUP(C221,'Talente &amp; Stuff'!CL:DM,12,FALSE)</f>
        <v>0</v>
      </c>
      <c r="O221" s="47">
        <f>VLOOKUP(C221,'Talente &amp; Stuff'!CL:DM,13,FALSE)</f>
        <v>0</v>
      </c>
      <c r="P221" s="119">
        <f>VLOOKUP(C221,'Talente &amp; Stuff'!CL:DM,14,FALSE)</f>
        <v>0</v>
      </c>
      <c r="Q221" s="114">
        <f>VLOOKUP(C221,'Talente &amp; Stuff'!CL:DM,15,FALSE)</f>
        <v>0</v>
      </c>
      <c r="R221" s="113">
        <f>VLOOKUP(C221,'Talente &amp; Stuff'!CL:DM,16,FALSE)</f>
        <v>0</v>
      </c>
      <c r="S221" s="119">
        <f>VLOOKUP(C221,'Talente &amp; Stuff'!CL:DM,17,FALSE)</f>
        <v>0</v>
      </c>
      <c r="T221" s="119">
        <f>VLOOKUP(C221,'Talente &amp; Stuff'!CL:DM,18,FALSE)</f>
        <v>0</v>
      </c>
      <c r="U221" s="89">
        <f>VLOOKUP(C221,'Talente &amp; Stuff'!CL:DM,19,FALSE)</f>
        <v>0</v>
      </c>
      <c r="V221" s="47">
        <f>VLOOKUP(C221,'Talente &amp; Stuff'!CL:DM,20,FALSE)</f>
        <v>0</v>
      </c>
      <c r="W221" s="127">
        <f>VLOOKUP(C221,'Talente &amp; Stuff'!CL:DM,21,FALSE)</f>
        <v>0</v>
      </c>
      <c r="X221" s="127">
        <f>VLOOKUP(C221,'Talente &amp; Stuff'!CL:DM,22,FALSE)</f>
        <v>0</v>
      </c>
      <c r="Y221" s="165">
        <f t="shared" si="20"/>
        <v>0</v>
      </c>
      <c r="Z221" s="44">
        <f t="shared" si="21"/>
        <v>0</v>
      </c>
      <c r="AA221" s="125">
        <f>VLOOKUP(C221,'Talente &amp; Stuff'!CL:DM,25,FALSE)</f>
        <v>0</v>
      </c>
      <c r="AB221" s="160">
        <f>VLOOKUP(C221,'Talente &amp; Stuff'!CL:DM,26,FALSE)</f>
        <v>0</v>
      </c>
      <c r="AC221" s="127">
        <f>VLOOKUP(C221,'Talente &amp; Stuff'!CL:DM,27,FALSE)</f>
        <v>0</v>
      </c>
      <c r="AD221" s="125">
        <f>VLOOKUP(C221,'Talente &amp; Stuff'!CL:DM,28,FALSE)</f>
        <v>0</v>
      </c>
      <c r="AE221" s="28"/>
    </row>
    <row r="222" spans="2:31" ht="15" hidden="1" customHeight="1" outlineLevel="2">
      <c r="B222" s="148">
        <v>10</v>
      </c>
      <c r="C222" s="177" t="str">
        <f>Attribute!C222</f>
        <v>---</v>
      </c>
      <c r="D222" s="86" t="str">
        <f>VLOOKUP(C222,'Talente &amp; Stuff'!CL:DM,2,FALSE)</f>
        <v>--/--/--</v>
      </c>
      <c r="E222" s="167" t="str">
        <f>VLOOKUP(C222,'Talente &amp; Stuff'!CL:DM,3,FALSE)</f>
        <v>-</v>
      </c>
      <c r="F222" s="120">
        <f>VLOOKUP(C222,'Talente &amp; Stuff'!CL:DM,4,FALSE)</f>
        <v>0</v>
      </c>
      <c r="G222" s="117">
        <f>VLOOKUP(C222,'Talente &amp; Stuff'!CL:DM,5,FALSE)</f>
        <v>0</v>
      </c>
      <c r="H222" s="117">
        <f>VLOOKUP(C222,'Talente &amp; Stuff'!CL:DM,6,FALSE)</f>
        <v>0</v>
      </c>
      <c r="I222" s="117">
        <f>VLOOKUP(C222,'Talente &amp; Stuff'!CL:DM,7,FALSE)</f>
        <v>0</v>
      </c>
      <c r="J222" s="117">
        <f>VLOOKUP(C222,'Talente &amp; Stuff'!CL:DM,8,FALSE)</f>
        <v>0</v>
      </c>
      <c r="K222" s="117">
        <f>VLOOKUP(C222,'Talente &amp; Stuff'!CL:DM,9,FALSE)</f>
        <v>0</v>
      </c>
      <c r="L222" s="117">
        <f>VLOOKUP(C222,'Talente &amp; Stuff'!CL:DM,10,FALSE)</f>
        <v>0</v>
      </c>
      <c r="M222" s="121">
        <f>VLOOKUP(C222,'Talente &amp; Stuff'!CL:DM,11,FALSE)</f>
        <v>0</v>
      </c>
      <c r="N222" s="47">
        <f>VLOOKUP(C222,'Talente &amp; Stuff'!CL:DM,12,FALSE)</f>
        <v>0</v>
      </c>
      <c r="O222" s="3">
        <f>VLOOKUP(C222,'Talente &amp; Stuff'!CL:DM,13,FALSE)</f>
        <v>0</v>
      </c>
      <c r="P222" s="174">
        <f>VLOOKUP(C222,'Talente &amp; Stuff'!CL:DM,14,FALSE)</f>
        <v>0</v>
      </c>
      <c r="Q222" s="114">
        <f>VLOOKUP(C222,'Talente &amp; Stuff'!CL:DM,15,FALSE)</f>
        <v>0</v>
      </c>
      <c r="R222" s="117">
        <f>VLOOKUP(C222,'Talente &amp; Stuff'!CL:DM,16,FALSE)</f>
        <v>0</v>
      </c>
      <c r="S222" s="119">
        <f>VLOOKUP(C222,'Talente &amp; Stuff'!CL:DM,17,FALSE)</f>
        <v>0</v>
      </c>
      <c r="T222" s="119">
        <f>VLOOKUP(C222,'Talente &amp; Stuff'!CL:DM,18,FALSE)</f>
        <v>0</v>
      </c>
      <c r="U222" s="89">
        <f>VLOOKUP(C222,'Talente &amp; Stuff'!CL:DM,19,FALSE)</f>
        <v>0</v>
      </c>
      <c r="V222" s="47">
        <f>VLOOKUP(C222,'Talente &amp; Stuff'!CL:DM,20,FALSE)</f>
        <v>0</v>
      </c>
      <c r="W222" s="127">
        <f>VLOOKUP(C222,'Talente &amp; Stuff'!CL:DM,21,FALSE)</f>
        <v>0</v>
      </c>
      <c r="X222" s="127">
        <f>VLOOKUP(C222,'Talente &amp; Stuff'!CL:DM,22,FALSE)</f>
        <v>0</v>
      </c>
      <c r="Y222" s="165">
        <f t="shared" si="20"/>
        <v>0</v>
      </c>
      <c r="Z222" s="44">
        <f t="shared" si="21"/>
        <v>0</v>
      </c>
      <c r="AA222" s="125">
        <f>VLOOKUP(C222,'Talente &amp; Stuff'!CL:DM,25,FALSE)</f>
        <v>0</v>
      </c>
      <c r="AB222" s="160">
        <f>VLOOKUP(C222,'Talente &amp; Stuff'!CL:DM,26,FALSE)</f>
        <v>0</v>
      </c>
      <c r="AC222" s="127">
        <f>VLOOKUP(C222,'Talente &amp; Stuff'!CL:DM,27,FALSE)</f>
        <v>0</v>
      </c>
      <c r="AD222" s="125">
        <f>VLOOKUP(C222,'Talente &amp; Stuff'!CL:DM,28,FALSE)</f>
        <v>0</v>
      </c>
      <c r="AE222" s="28"/>
    </row>
    <row r="223" spans="2:31" ht="15" hidden="1" customHeight="1" outlineLevel="2">
      <c r="B223" s="148">
        <v>11</v>
      </c>
      <c r="C223" s="177" t="str">
        <f>Attribute!C223</f>
        <v>---</v>
      </c>
      <c r="D223" s="86" t="str">
        <f>VLOOKUP(C223,'Talente &amp; Stuff'!CL:DM,2,FALSE)</f>
        <v>--/--/--</v>
      </c>
      <c r="E223" s="167" t="str">
        <f>VLOOKUP(C223,'Talente &amp; Stuff'!CL:DM,3,FALSE)</f>
        <v>-</v>
      </c>
      <c r="F223" s="120">
        <f>VLOOKUP(C223,'Talente &amp; Stuff'!CL:DM,4,FALSE)</f>
        <v>0</v>
      </c>
      <c r="G223" s="117">
        <f>VLOOKUP(C223,'Talente &amp; Stuff'!CL:DM,5,FALSE)</f>
        <v>0</v>
      </c>
      <c r="H223" s="117">
        <f>VLOOKUP(C223,'Talente &amp; Stuff'!CL:DM,6,FALSE)</f>
        <v>0</v>
      </c>
      <c r="I223" s="117">
        <f>VLOOKUP(C223,'Talente &amp; Stuff'!CL:DM,7,FALSE)</f>
        <v>0</v>
      </c>
      <c r="J223" s="117">
        <f>VLOOKUP(C223,'Talente &amp; Stuff'!CL:DM,8,FALSE)</f>
        <v>0</v>
      </c>
      <c r="K223" s="117">
        <f>VLOOKUP(C223,'Talente &amp; Stuff'!CL:DM,9,FALSE)</f>
        <v>0</v>
      </c>
      <c r="L223" s="117">
        <f>VLOOKUP(C223,'Talente &amp; Stuff'!CL:DM,10,FALSE)</f>
        <v>0</v>
      </c>
      <c r="M223" s="121">
        <f>VLOOKUP(C223,'Talente &amp; Stuff'!CL:DM,11,FALSE)</f>
        <v>0</v>
      </c>
      <c r="N223" s="47">
        <f>VLOOKUP(C223,'Talente &amp; Stuff'!CL:DM,12,FALSE)</f>
        <v>0</v>
      </c>
      <c r="O223" s="3">
        <f>VLOOKUP(C223,'Talente &amp; Stuff'!CL:DM,13,FALSE)</f>
        <v>0</v>
      </c>
      <c r="P223" s="174">
        <f>VLOOKUP(C223,'Talente &amp; Stuff'!CL:DM,14,FALSE)</f>
        <v>0</v>
      </c>
      <c r="Q223" s="114">
        <f>VLOOKUP(C223,'Talente &amp; Stuff'!CL:DM,15,FALSE)</f>
        <v>0</v>
      </c>
      <c r="R223" s="117">
        <f>VLOOKUP(C223,'Talente &amp; Stuff'!CL:DM,16,FALSE)</f>
        <v>0</v>
      </c>
      <c r="S223" s="119">
        <f>VLOOKUP(C223,'Talente &amp; Stuff'!CL:DM,17,FALSE)</f>
        <v>0</v>
      </c>
      <c r="T223" s="119">
        <f>VLOOKUP(C223,'Talente &amp; Stuff'!CL:DM,18,FALSE)</f>
        <v>0</v>
      </c>
      <c r="U223" s="89">
        <f>VLOOKUP(C223,'Talente &amp; Stuff'!CL:DM,19,FALSE)</f>
        <v>0</v>
      </c>
      <c r="V223" s="47">
        <f>VLOOKUP(C223,'Talente &amp; Stuff'!CL:DM,20,FALSE)</f>
        <v>0</v>
      </c>
      <c r="W223" s="127">
        <f>VLOOKUP(C223,'Talente &amp; Stuff'!CL:DM,21,FALSE)</f>
        <v>0</v>
      </c>
      <c r="X223" s="127">
        <f>VLOOKUP(C223,'Talente &amp; Stuff'!CL:DM,22,FALSE)</f>
        <v>0</v>
      </c>
      <c r="Y223" s="165">
        <f t="shared" si="20"/>
        <v>0</v>
      </c>
      <c r="Z223" s="44">
        <f t="shared" si="21"/>
        <v>0</v>
      </c>
      <c r="AA223" s="125">
        <f>VLOOKUP(C223,'Talente &amp; Stuff'!CL:DM,25,FALSE)</f>
        <v>0</v>
      </c>
      <c r="AB223" s="160">
        <f>VLOOKUP(C223,'Talente &amp; Stuff'!CL:DM,26,FALSE)</f>
        <v>0</v>
      </c>
      <c r="AC223" s="127">
        <f>VLOOKUP(C223,'Talente &amp; Stuff'!CL:DM,27,FALSE)</f>
        <v>0</v>
      </c>
      <c r="AD223" s="125">
        <f>VLOOKUP(C223,'Talente &amp; Stuff'!CL:DM,28,FALSE)</f>
        <v>0</v>
      </c>
      <c r="AE223" s="28"/>
    </row>
    <row r="224" spans="2:31" ht="15" hidden="1" customHeight="1" outlineLevel="2">
      <c r="B224" s="148">
        <v>12</v>
      </c>
      <c r="C224" s="177" t="str">
        <f>Attribute!C224</f>
        <v>---</v>
      </c>
      <c r="D224" s="86" t="str">
        <f>VLOOKUP(C224,'Talente &amp; Stuff'!CL:DM,2,FALSE)</f>
        <v>--/--/--</v>
      </c>
      <c r="E224" s="167" t="str">
        <f>VLOOKUP(C224,'Talente &amp; Stuff'!CL:DM,3,FALSE)</f>
        <v>-</v>
      </c>
      <c r="F224" s="120">
        <f>VLOOKUP(C224,'Talente &amp; Stuff'!CL:DM,4,FALSE)</f>
        <v>0</v>
      </c>
      <c r="G224" s="117">
        <f>VLOOKUP(C224,'Talente &amp; Stuff'!CL:DM,5,FALSE)</f>
        <v>0</v>
      </c>
      <c r="H224" s="117">
        <f>VLOOKUP(C224,'Talente &amp; Stuff'!CL:DM,6,FALSE)</f>
        <v>0</v>
      </c>
      <c r="I224" s="117">
        <f>VLOOKUP(C224,'Talente &amp; Stuff'!CL:DM,7,FALSE)</f>
        <v>0</v>
      </c>
      <c r="J224" s="117">
        <f>VLOOKUP(C224,'Talente &amp; Stuff'!CL:DM,8,FALSE)</f>
        <v>0</v>
      </c>
      <c r="K224" s="117">
        <f>VLOOKUP(C224,'Talente &amp; Stuff'!CL:DM,9,FALSE)</f>
        <v>0</v>
      </c>
      <c r="L224" s="117">
        <f>VLOOKUP(C224,'Talente &amp; Stuff'!CL:DM,10,FALSE)</f>
        <v>0</v>
      </c>
      <c r="M224" s="121">
        <f>VLOOKUP(C224,'Talente &amp; Stuff'!CL:DM,11,FALSE)</f>
        <v>0</v>
      </c>
      <c r="N224" s="47">
        <f>VLOOKUP(C224,'Talente &amp; Stuff'!CL:DM,12,FALSE)</f>
        <v>0</v>
      </c>
      <c r="O224" s="3">
        <f>VLOOKUP(C224,'Talente &amp; Stuff'!CL:DM,13,FALSE)</f>
        <v>0</v>
      </c>
      <c r="P224" s="174">
        <f>VLOOKUP(C224,'Talente &amp; Stuff'!CL:DM,14,FALSE)</f>
        <v>0</v>
      </c>
      <c r="Q224" s="114">
        <f>VLOOKUP(C224,'Talente &amp; Stuff'!CL:DM,15,FALSE)</f>
        <v>0</v>
      </c>
      <c r="R224" s="117">
        <f>VLOOKUP(C224,'Talente &amp; Stuff'!CL:DM,16,FALSE)</f>
        <v>0</v>
      </c>
      <c r="S224" s="119">
        <f>VLOOKUP(C224,'Talente &amp; Stuff'!CL:DM,17,FALSE)</f>
        <v>0</v>
      </c>
      <c r="T224" s="119">
        <f>VLOOKUP(C224,'Talente &amp; Stuff'!CL:DM,18,FALSE)</f>
        <v>0</v>
      </c>
      <c r="U224" s="89">
        <f>VLOOKUP(C224,'Talente &amp; Stuff'!CL:DM,19,FALSE)</f>
        <v>0</v>
      </c>
      <c r="V224" s="47">
        <f>VLOOKUP(C224,'Talente &amp; Stuff'!CL:DM,20,FALSE)</f>
        <v>0</v>
      </c>
      <c r="W224" s="127">
        <f>VLOOKUP(C224,'Talente &amp; Stuff'!CL:DM,21,FALSE)</f>
        <v>0</v>
      </c>
      <c r="X224" s="127">
        <f>VLOOKUP(C224,'Talente &amp; Stuff'!CL:DM,22,FALSE)</f>
        <v>0</v>
      </c>
      <c r="Y224" s="165">
        <f t="shared" si="20"/>
        <v>0</v>
      </c>
      <c r="Z224" s="44">
        <f t="shared" si="21"/>
        <v>0</v>
      </c>
      <c r="AA224" s="125">
        <f>VLOOKUP(C224,'Talente &amp; Stuff'!CL:DM,25,FALSE)</f>
        <v>0</v>
      </c>
      <c r="AB224" s="160">
        <f>VLOOKUP(C224,'Talente &amp; Stuff'!CL:DM,26,FALSE)</f>
        <v>0</v>
      </c>
      <c r="AC224" s="127">
        <f>VLOOKUP(C224,'Talente &amp; Stuff'!CL:DM,27,FALSE)</f>
        <v>0</v>
      </c>
      <c r="AD224" s="125">
        <f>VLOOKUP(C224,'Talente &amp; Stuff'!CL:DM,28,FALSE)</f>
        <v>0</v>
      </c>
      <c r="AE224" s="28"/>
    </row>
    <row r="225" spans="2:31" ht="15" hidden="1" customHeight="1" outlineLevel="2">
      <c r="B225" s="148">
        <v>13</v>
      </c>
      <c r="C225" s="177" t="str">
        <f>Attribute!C225</f>
        <v>---</v>
      </c>
      <c r="D225" s="86" t="str">
        <f>VLOOKUP(C225,'Talente &amp; Stuff'!CL:DM,2,FALSE)</f>
        <v>--/--/--</v>
      </c>
      <c r="E225" s="167" t="str">
        <f>VLOOKUP(C225,'Talente &amp; Stuff'!CL:DM,3,FALSE)</f>
        <v>-</v>
      </c>
      <c r="F225" s="120">
        <f>VLOOKUP(C225,'Talente &amp; Stuff'!CL:DM,4,FALSE)</f>
        <v>0</v>
      </c>
      <c r="G225" s="117">
        <f>VLOOKUP(C225,'Talente &amp; Stuff'!CL:DM,5,FALSE)</f>
        <v>0</v>
      </c>
      <c r="H225" s="117">
        <f>VLOOKUP(C225,'Talente &amp; Stuff'!CL:DM,6,FALSE)</f>
        <v>0</v>
      </c>
      <c r="I225" s="117">
        <f>VLOOKUP(C225,'Talente &amp; Stuff'!CL:DM,7,FALSE)</f>
        <v>0</v>
      </c>
      <c r="J225" s="117">
        <f>VLOOKUP(C225,'Talente &amp; Stuff'!CL:DM,8,FALSE)</f>
        <v>0</v>
      </c>
      <c r="K225" s="117">
        <f>VLOOKUP(C225,'Talente &amp; Stuff'!CL:DM,9,FALSE)</f>
        <v>0</v>
      </c>
      <c r="L225" s="117">
        <f>VLOOKUP(C225,'Talente &amp; Stuff'!CL:DM,10,FALSE)</f>
        <v>0</v>
      </c>
      <c r="M225" s="121">
        <f>VLOOKUP(C225,'Talente &amp; Stuff'!CL:DM,11,FALSE)</f>
        <v>0</v>
      </c>
      <c r="N225" s="47">
        <f>VLOOKUP(C225,'Talente &amp; Stuff'!CL:DM,12,FALSE)</f>
        <v>0</v>
      </c>
      <c r="O225" s="3">
        <f>VLOOKUP(C225,'Talente &amp; Stuff'!CL:DM,13,FALSE)</f>
        <v>0</v>
      </c>
      <c r="P225" s="174">
        <f>VLOOKUP(C225,'Talente &amp; Stuff'!CL:DM,14,FALSE)</f>
        <v>0</v>
      </c>
      <c r="Q225" s="114">
        <f>VLOOKUP(C225,'Talente &amp; Stuff'!CL:DM,15,FALSE)</f>
        <v>0</v>
      </c>
      <c r="R225" s="117">
        <f>VLOOKUP(C225,'Talente &amp; Stuff'!CL:DM,16,FALSE)</f>
        <v>0</v>
      </c>
      <c r="S225" s="119">
        <f>VLOOKUP(C225,'Talente &amp; Stuff'!CL:DM,17,FALSE)</f>
        <v>0</v>
      </c>
      <c r="T225" s="119">
        <f>VLOOKUP(C225,'Talente &amp; Stuff'!CL:DM,18,FALSE)</f>
        <v>0</v>
      </c>
      <c r="U225" s="89">
        <f>VLOOKUP(C225,'Talente &amp; Stuff'!CL:DM,19,FALSE)</f>
        <v>0</v>
      </c>
      <c r="V225" s="47">
        <f>VLOOKUP(C225,'Talente &amp; Stuff'!CL:DM,20,FALSE)</f>
        <v>0</v>
      </c>
      <c r="W225" s="127">
        <f>VLOOKUP(C225,'Talente &amp; Stuff'!CL:DM,21,FALSE)</f>
        <v>0</v>
      </c>
      <c r="X225" s="127">
        <f>VLOOKUP(C225,'Talente &amp; Stuff'!CL:DM,22,FALSE)</f>
        <v>0</v>
      </c>
      <c r="Y225" s="165">
        <f t="shared" si="20"/>
        <v>0</v>
      </c>
      <c r="Z225" s="44">
        <f t="shared" si="21"/>
        <v>0</v>
      </c>
      <c r="AA225" s="125">
        <f>VLOOKUP(C225,'Talente &amp; Stuff'!CL:DM,25,FALSE)</f>
        <v>0</v>
      </c>
      <c r="AB225" s="160">
        <f>VLOOKUP(C225,'Talente &amp; Stuff'!CL:DM,26,FALSE)</f>
        <v>0</v>
      </c>
      <c r="AC225" s="127">
        <f>VLOOKUP(C225,'Talente &amp; Stuff'!CL:DM,27,FALSE)</f>
        <v>0</v>
      </c>
      <c r="AD225" s="125">
        <f>VLOOKUP(C225,'Talente &amp; Stuff'!CL:DM,28,FALSE)</f>
        <v>0</v>
      </c>
      <c r="AE225" s="28"/>
    </row>
    <row r="226" spans="2:31" ht="15" hidden="1" customHeight="1" outlineLevel="2">
      <c r="B226" s="148">
        <v>14</v>
      </c>
      <c r="C226" s="177" t="str">
        <f>Attribute!C226</f>
        <v>---</v>
      </c>
      <c r="D226" s="86" t="str">
        <f>VLOOKUP(C226,'Talente &amp; Stuff'!CL:DM,2,FALSE)</f>
        <v>--/--/--</v>
      </c>
      <c r="E226" s="167" t="str">
        <f>VLOOKUP(C226,'Talente &amp; Stuff'!CL:DM,3,FALSE)</f>
        <v>-</v>
      </c>
      <c r="F226" s="120">
        <f>VLOOKUP(C226,'Talente &amp; Stuff'!CL:DM,4,FALSE)</f>
        <v>0</v>
      </c>
      <c r="G226" s="117">
        <f>VLOOKUP(C226,'Talente &amp; Stuff'!CL:DM,5,FALSE)</f>
        <v>0</v>
      </c>
      <c r="H226" s="117">
        <f>VLOOKUP(C226,'Talente &amp; Stuff'!CL:DM,6,FALSE)</f>
        <v>0</v>
      </c>
      <c r="I226" s="117">
        <f>VLOOKUP(C226,'Talente &amp; Stuff'!CL:DM,7,FALSE)</f>
        <v>0</v>
      </c>
      <c r="J226" s="117">
        <f>VLOOKUP(C226,'Talente &amp; Stuff'!CL:DM,8,FALSE)</f>
        <v>0</v>
      </c>
      <c r="K226" s="117">
        <f>VLOOKUP(C226,'Talente &amp; Stuff'!CL:DM,9,FALSE)</f>
        <v>0</v>
      </c>
      <c r="L226" s="117">
        <f>VLOOKUP(C226,'Talente &amp; Stuff'!CL:DM,10,FALSE)</f>
        <v>0</v>
      </c>
      <c r="M226" s="121">
        <f>VLOOKUP(C226,'Talente &amp; Stuff'!CL:DM,11,FALSE)</f>
        <v>0</v>
      </c>
      <c r="N226" s="47">
        <f>VLOOKUP(C226,'Talente &amp; Stuff'!CL:DM,12,FALSE)</f>
        <v>0</v>
      </c>
      <c r="O226" s="3">
        <f>VLOOKUP(C226,'Talente &amp; Stuff'!CL:DM,13,FALSE)</f>
        <v>0</v>
      </c>
      <c r="P226" s="174">
        <f>VLOOKUP(C226,'Talente &amp; Stuff'!CL:DM,14,FALSE)</f>
        <v>0</v>
      </c>
      <c r="Q226" s="114">
        <f>VLOOKUP(C226,'Talente &amp; Stuff'!CL:DM,15,FALSE)</f>
        <v>0</v>
      </c>
      <c r="R226" s="117">
        <f>VLOOKUP(C226,'Talente &amp; Stuff'!CL:DM,16,FALSE)</f>
        <v>0</v>
      </c>
      <c r="S226" s="119">
        <f>VLOOKUP(C226,'Talente &amp; Stuff'!CL:DM,17,FALSE)</f>
        <v>0</v>
      </c>
      <c r="T226" s="119">
        <f>VLOOKUP(C226,'Talente &amp; Stuff'!CL:DM,18,FALSE)</f>
        <v>0</v>
      </c>
      <c r="U226" s="89">
        <f>VLOOKUP(C226,'Talente &amp; Stuff'!CL:DM,19,FALSE)</f>
        <v>0</v>
      </c>
      <c r="V226" s="47">
        <f>VLOOKUP(C226,'Talente &amp; Stuff'!CL:DM,20,FALSE)</f>
        <v>0</v>
      </c>
      <c r="W226" s="127">
        <f>VLOOKUP(C226,'Talente &amp; Stuff'!CL:DM,21,FALSE)</f>
        <v>0</v>
      </c>
      <c r="X226" s="127">
        <f>VLOOKUP(C226,'Talente &amp; Stuff'!CL:DM,22,FALSE)</f>
        <v>0</v>
      </c>
      <c r="Y226" s="165">
        <f t="shared" si="20"/>
        <v>0</v>
      </c>
      <c r="Z226" s="44">
        <f t="shared" si="21"/>
        <v>0</v>
      </c>
      <c r="AA226" s="125">
        <f>VLOOKUP(C226,'Talente &amp; Stuff'!CL:DM,25,FALSE)</f>
        <v>0</v>
      </c>
      <c r="AB226" s="160">
        <f>VLOOKUP(C226,'Talente &amp; Stuff'!CL:DM,26,FALSE)</f>
        <v>0</v>
      </c>
      <c r="AC226" s="127">
        <f>VLOOKUP(C226,'Talente &amp; Stuff'!CL:DM,27,FALSE)</f>
        <v>0</v>
      </c>
      <c r="AD226" s="125">
        <f>VLOOKUP(C226,'Talente &amp; Stuff'!CL:DM,28,FALSE)</f>
        <v>0</v>
      </c>
      <c r="AE226" s="28"/>
    </row>
    <row r="227" spans="2:31" ht="15" hidden="1" customHeight="1" outlineLevel="2">
      <c r="B227" s="148">
        <v>15</v>
      </c>
      <c r="C227" s="177" t="str">
        <f>Attribute!C227</f>
        <v>---</v>
      </c>
      <c r="D227" s="86" t="str">
        <f>VLOOKUP(C227,'Talente &amp; Stuff'!CL:DM,2,FALSE)</f>
        <v>--/--/--</v>
      </c>
      <c r="E227" s="167" t="str">
        <f>VLOOKUP(C227,'Talente &amp; Stuff'!CL:DM,3,FALSE)</f>
        <v>-</v>
      </c>
      <c r="F227" s="120">
        <f>VLOOKUP(C227,'Talente &amp; Stuff'!CL:DM,4,FALSE)</f>
        <v>0</v>
      </c>
      <c r="G227" s="117">
        <f>VLOOKUP(C227,'Talente &amp; Stuff'!CL:DM,5,FALSE)</f>
        <v>0</v>
      </c>
      <c r="H227" s="117">
        <f>VLOOKUP(C227,'Talente &amp; Stuff'!CL:DM,6,FALSE)</f>
        <v>0</v>
      </c>
      <c r="I227" s="117">
        <f>VLOOKUP(C227,'Talente &amp; Stuff'!CL:DM,7,FALSE)</f>
        <v>0</v>
      </c>
      <c r="J227" s="117">
        <f>VLOOKUP(C227,'Talente &amp; Stuff'!CL:DM,8,FALSE)</f>
        <v>0</v>
      </c>
      <c r="K227" s="117">
        <f>VLOOKUP(C227,'Talente &amp; Stuff'!CL:DM,9,FALSE)</f>
        <v>0</v>
      </c>
      <c r="L227" s="117">
        <f>VLOOKUP(C227,'Talente &amp; Stuff'!CL:DM,10,FALSE)</f>
        <v>0</v>
      </c>
      <c r="M227" s="121">
        <f>VLOOKUP(C227,'Talente &amp; Stuff'!CL:DM,11,FALSE)</f>
        <v>0</v>
      </c>
      <c r="N227" s="47">
        <f>VLOOKUP(C227,'Talente &amp; Stuff'!CL:DM,12,FALSE)</f>
        <v>0</v>
      </c>
      <c r="O227" s="3">
        <f>VLOOKUP(C227,'Talente &amp; Stuff'!CL:DM,13,FALSE)</f>
        <v>0</v>
      </c>
      <c r="P227" s="174">
        <f>VLOOKUP(C227,'Talente &amp; Stuff'!CL:DM,14,FALSE)</f>
        <v>0</v>
      </c>
      <c r="Q227" s="114">
        <f>VLOOKUP(C227,'Talente &amp; Stuff'!CL:DM,15,FALSE)</f>
        <v>0</v>
      </c>
      <c r="R227" s="117">
        <f>VLOOKUP(C227,'Talente &amp; Stuff'!CL:DM,16,FALSE)</f>
        <v>0</v>
      </c>
      <c r="S227" s="119">
        <f>VLOOKUP(C227,'Talente &amp; Stuff'!CL:DM,17,FALSE)</f>
        <v>0</v>
      </c>
      <c r="T227" s="119">
        <f>VLOOKUP(C227,'Talente &amp; Stuff'!CL:DM,18,FALSE)</f>
        <v>0</v>
      </c>
      <c r="U227" s="89">
        <f>VLOOKUP(C227,'Talente &amp; Stuff'!CL:DM,19,FALSE)</f>
        <v>0</v>
      </c>
      <c r="V227" s="47">
        <f>VLOOKUP(C227,'Talente &amp; Stuff'!CL:DM,20,FALSE)</f>
        <v>0</v>
      </c>
      <c r="W227" s="127">
        <f>VLOOKUP(C227,'Talente &amp; Stuff'!CL:DM,21,FALSE)</f>
        <v>0</v>
      </c>
      <c r="X227" s="127">
        <f>VLOOKUP(C227,'Talente &amp; Stuff'!CL:DM,22,FALSE)</f>
        <v>0</v>
      </c>
      <c r="Y227" s="165">
        <f t="shared" si="20"/>
        <v>0</v>
      </c>
      <c r="Z227" s="44">
        <f t="shared" si="21"/>
        <v>0</v>
      </c>
      <c r="AA227" s="125">
        <f>VLOOKUP(C227,'Talente &amp; Stuff'!CL:DM,25,FALSE)</f>
        <v>0</v>
      </c>
      <c r="AB227" s="160">
        <f>VLOOKUP(C227,'Talente &amp; Stuff'!CL:DM,26,FALSE)</f>
        <v>0</v>
      </c>
      <c r="AC227" s="127">
        <f>VLOOKUP(C227,'Talente &amp; Stuff'!CL:DM,27,FALSE)</f>
        <v>0</v>
      </c>
      <c r="AD227" s="125">
        <f>VLOOKUP(C227,'Talente &amp; Stuff'!CL:DM,28,FALSE)</f>
        <v>0</v>
      </c>
      <c r="AE227" s="28"/>
    </row>
    <row r="228" spans="2:31" ht="15" hidden="1" customHeight="1" outlineLevel="2">
      <c r="B228" s="148">
        <v>16</v>
      </c>
      <c r="C228" s="177" t="str">
        <f>Attribute!C228</f>
        <v>---</v>
      </c>
      <c r="D228" s="86" t="str">
        <f>VLOOKUP(C228,'Talente &amp; Stuff'!CL:DM,2,FALSE)</f>
        <v>--/--/--</v>
      </c>
      <c r="E228" s="167" t="str">
        <f>VLOOKUP(C228,'Talente &amp; Stuff'!CL:DM,3,FALSE)</f>
        <v>-</v>
      </c>
      <c r="F228" s="120">
        <f>VLOOKUP(C228,'Talente &amp; Stuff'!CL:DM,4,FALSE)</f>
        <v>0</v>
      </c>
      <c r="G228" s="117">
        <f>VLOOKUP(C228,'Talente &amp; Stuff'!CL:DM,5,FALSE)</f>
        <v>0</v>
      </c>
      <c r="H228" s="117">
        <f>VLOOKUP(C228,'Talente &amp; Stuff'!CL:DM,6,FALSE)</f>
        <v>0</v>
      </c>
      <c r="I228" s="117">
        <f>VLOOKUP(C228,'Talente &amp; Stuff'!CL:DM,7,FALSE)</f>
        <v>0</v>
      </c>
      <c r="J228" s="117">
        <f>VLOOKUP(C228,'Talente &amp; Stuff'!CL:DM,8,FALSE)</f>
        <v>0</v>
      </c>
      <c r="K228" s="117">
        <f>VLOOKUP(C228,'Talente &amp; Stuff'!CL:DM,9,FALSE)</f>
        <v>0</v>
      </c>
      <c r="L228" s="117">
        <f>VLOOKUP(C228,'Talente &amp; Stuff'!CL:DM,10,FALSE)</f>
        <v>0</v>
      </c>
      <c r="M228" s="121">
        <f>VLOOKUP(C228,'Talente &amp; Stuff'!CL:DM,11,FALSE)</f>
        <v>0</v>
      </c>
      <c r="N228" s="47">
        <f>VLOOKUP(C228,'Talente &amp; Stuff'!CL:DM,12,FALSE)</f>
        <v>0</v>
      </c>
      <c r="O228" s="3">
        <f>VLOOKUP(C228,'Talente &amp; Stuff'!CL:DM,13,FALSE)</f>
        <v>0</v>
      </c>
      <c r="P228" s="174">
        <f>VLOOKUP(C228,'Talente &amp; Stuff'!CL:DM,14,FALSE)</f>
        <v>0</v>
      </c>
      <c r="Q228" s="114">
        <f>VLOOKUP(C228,'Talente &amp; Stuff'!CL:DM,15,FALSE)</f>
        <v>0</v>
      </c>
      <c r="R228" s="117">
        <f>VLOOKUP(C228,'Talente &amp; Stuff'!CL:DM,16,FALSE)</f>
        <v>0</v>
      </c>
      <c r="S228" s="119">
        <f>VLOOKUP(C228,'Talente &amp; Stuff'!CL:DM,17,FALSE)</f>
        <v>0</v>
      </c>
      <c r="T228" s="119">
        <f>VLOOKUP(C228,'Talente &amp; Stuff'!CL:DM,18,FALSE)</f>
        <v>0</v>
      </c>
      <c r="U228" s="89">
        <f>VLOOKUP(C228,'Talente &amp; Stuff'!CL:DM,19,FALSE)</f>
        <v>0</v>
      </c>
      <c r="V228" s="47">
        <f>VLOOKUP(C228,'Talente &amp; Stuff'!CL:DM,20,FALSE)</f>
        <v>0</v>
      </c>
      <c r="W228" s="127">
        <f>VLOOKUP(C228,'Talente &amp; Stuff'!CL:DM,21,FALSE)</f>
        <v>0</v>
      </c>
      <c r="X228" s="127">
        <f>VLOOKUP(C228,'Talente &amp; Stuff'!CL:DM,22,FALSE)</f>
        <v>0</v>
      </c>
      <c r="Y228" s="165">
        <f t="shared" si="20"/>
        <v>0</v>
      </c>
      <c r="Z228" s="44">
        <f t="shared" si="21"/>
        <v>0</v>
      </c>
      <c r="AA228" s="125">
        <f>VLOOKUP(C228,'Talente &amp; Stuff'!CL:DM,25,FALSE)</f>
        <v>0</v>
      </c>
      <c r="AB228" s="160">
        <f>VLOOKUP(C228,'Talente &amp; Stuff'!CL:DM,26,FALSE)</f>
        <v>0</v>
      </c>
      <c r="AC228" s="127">
        <f>VLOOKUP(C228,'Talente &amp; Stuff'!CL:DM,27,FALSE)</f>
        <v>0</v>
      </c>
      <c r="AD228" s="125">
        <f>VLOOKUP(C228,'Talente &amp; Stuff'!CL:DM,28,FALSE)</f>
        <v>0</v>
      </c>
      <c r="AE228" s="28"/>
    </row>
    <row r="229" spans="2:31" ht="15" hidden="1" customHeight="1" outlineLevel="2">
      <c r="B229" s="148">
        <v>17</v>
      </c>
      <c r="C229" s="177" t="str">
        <f>Attribute!C229</f>
        <v>---</v>
      </c>
      <c r="D229" s="86" t="str">
        <f>VLOOKUP(C229,'Talente &amp; Stuff'!CL:DM,2,FALSE)</f>
        <v>--/--/--</v>
      </c>
      <c r="E229" s="167" t="str">
        <f>VLOOKUP(C229,'Talente &amp; Stuff'!CL:DM,3,FALSE)</f>
        <v>-</v>
      </c>
      <c r="F229" s="120">
        <f>VLOOKUP(C229,'Talente &amp; Stuff'!CL:DM,4,FALSE)</f>
        <v>0</v>
      </c>
      <c r="G229" s="117">
        <f>VLOOKUP(C229,'Talente &amp; Stuff'!CL:DM,5,FALSE)</f>
        <v>0</v>
      </c>
      <c r="H229" s="117">
        <f>VLOOKUP(C229,'Talente &amp; Stuff'!CL:DM,6,FALSE)</f>
        <v>0</v>
      </c>
      <c r="I229" s="117">
        <f>VLOOKUP(C229,'Talente &amp; Stuff'!CL:DM,7,FALSE)</f>
        <v>0</v>
      </c>
      <c r="J229" s="117">
        <f>VLOOKUP(C229,'Talente &amp; Stuff'!CL:DM,8,FALSE)</f>
        <v>0</v>
      </c>
      <c r="K229" s="117">
        <f>VLOOKUP(C229,'Talente &amp; Stuff'!CL:DM,9,FALSE)</f>
        <v>0</v>
      </c>
      <c r="L229" s="117">
        <f>VLOOKUP(C229,'Talente &amp; Stuff'!CL:DM,10,FALSE)</f>
        <v>0</v>
      </c>
      <c r="M229" s="121">
        <f>VLOOKUP(C229,'Talente &amp; Stuff'!CL:DM,11,FALSE)</f>
        <v>0</v>
      </c>
      <c r="N229" s="47">
        <f>VLOOKUP(C229,'Talente &amp; Stuff'!CL:DM,12,FALSE)</f>
        <v>0</v>
      </c>
      <c r="O229" s="3">
        <f>VLOOKUP(C229,'Talente &amp; Stuff'!CL:DM,13,FALSE)</f>
        <v>0</v>
      </c>
      <c r="P229" s="174">
        <f>VLOOKUP(C229,'Talente &amp; Stuff'!CL:DM,14,FALSE)</f>
        <v>0</v>
      </c>
      <c r="Q229" s="114">
        <f>VLOOKUP(C229,'Talente &amp; Stuff'!CL:DM,15,FALSE)</f>
        <v>0</v>
      </c>
      <c r="R229" s="117">
        <f>VLOOKUP(C229,'Talente &amp; Stuff'!CL:DM,16,FALSE)</f>
        <v>0</v>
      </c>
      <c r="S229" s="119">
        <f>VLOOKUP(C229,'Talente &amp; Stuff'!CL:DM,17,FALSE)</f>
        <v>0</v>
      </c>
      <c r="T229" s="119">
        <f>VLOOKUP(C229,'Talente &amp; Stuff'!CL:DM,18,FALSE)</f>
        <v>0</v>
      </c>
      <c r="U229" s="89">
        <f>VLOOKUP(C229,'Talente &amp; Stuff'!CL:DM,19,FALSE)</f>
        <v>0</v>
      </c>
      <c r="V229" s="47">
        <f>VLOOKUP(C229,'Talente &amp; Stuff'!CL:DM,20,FALSE)</f>
        <v>0</v>
      </c>
      <c r="W229" s="127">
        <f>VLOOKUP(C229,'Talente &amp; Stuff'!CL:DM,21,FALSE)</f>
        <v>0</v>
      </c>
      <c r="X229" s="127">
        <f>VLOOKUP(C229,'Talente &amp; Stuff'!CL:DM,22,FALSE)</f>
        <v>0</v>
      </c>
      <c r="Y229" s="165">
        <f t="shared" si="20"/>
        <v>0</v>
      </c>
      <c r="Z229" s="44">
        <f t="shared" si="21"/>
        <v>0</v>
      </c>
      <c r="AA229" s="125">
        <f>VLOOKUP(C229,'Talente &amp; Stuff'!CL:DM,25,FALSE)</f>
        <v>0</v>
      </c>
      <c r="AB229" s="160">
        <f>VLOOKUP(C229,'Talente &amp; Stuff'!CL:DM,26,FALSE)</f>
        <v>0</v>
      </c>
      <c r="AC229" s="127">
        <f>VLOOKUP(C229,'Talente &amp; Stuff'!CL:DM,27,FALSE)</f>
        <v>0</v>
      </c>
      <c r="AD229" s="125">
        <f>VLOOKUP(C229,'Talente &amp; Stuff'!CL:DM,28,FALSE)</f>
        <v>0</v>
      </c>
      <c r="AE229" s="28"/>
    </row>
    <row r="230" spans="2:31" ht="15" hidden="1" customHeight="1" outlineLevel="2">
      <c r="B230" s="148">
        <v>18</v>
      </c>
      <c r="C230" s="177" t="str">
        <f>Attribute!C230</f>
        <v>---</v>
      </c>
      <c r="D230" s="86" t="str">
        <f>VLOOKUP(C230,'Talente &amp; Stuff'!CL:DM,2,FALSE)</f>
        <v>--/--/--</v>
      </c>
      <c r="E230" s="167" t="str">
        <f>VLOOKUP(C230,'Talente &amp; Stuff'!CL:DM,3,FALSE)</f>
        <v>-</v>
      </c>
      <c r="F230" s="120">
        <f>VLOOKUP(C230,'Talente &amp; Stuff'!CL:DM,4,FALSE)</f>
        <v>0</v>
      </c>
      <c r="G230" s="117">
        <f>VLOOKUP(C230,'Talente &amp; Stuff'!CL:DM,5,FALSE)</f>
        <v>0</v>
      </c>
      <c r="H230" s="117">
        <f>VLOOKUP(C230,'Talente &amp; Stuff'!CL:DM,6,FALSE)</f>
        <v>0</v>
      </c>
      <c r="I230" s="117">
        <f>VLOOKUP(C230,'Talente &amp; Stuff'!CL:DM,7,FALSE)</f>
        <v>0</v>
      </c>
      <c r="J230" s="117">
        <f>VLOOKUP(C230,'Talente &amp; Stuff'!CL:DM,8,FALSE)</f>
        <v>0</v>
      </c>
      <c r="K230" s="117">
        <f>VLOOKUP(C230,'Talente &amp; Stuff'!CL:DM,9,FALSE)</f>
        <v>0</v>
      </c>
      <c r="L230" s="117">
        <f>VLOOKUP(C230,'Talente &amp; Stuff'!CL:DM,10,FALSE)</f>
        <v>0</v>
      </c>
      <c r="M230" s="121">
        <f>VLOOKUP(C230,'Talente &amp; Stuff'!CL:DM,11,FALSE)</f>
        <v>0</v>
      </c>
      <c r="N230" s="47">
        <f>VLOOKUP(C230,'Talente &amp; Stuff'!CL:DM,12,FALSE)</f>
        <v>0</v>
      </c>
      <c r="O230" s="3">
        <f>VLOOKUP(C230,'Talente &amp; Stuff'!CL:DM,13,FALSE)</f>
        <v>0</v>
      </c>
      <c r="P230" s="174">
        <f>VLOOKUP(C230,'Talente &amp; Stuff'!CL:DM,14,FALSE)</f>
        <v>0</v>
      </c>
      <c r="Q230" s="114">
        <f>VLOOKUP(C230,'Talente &amp; Stuff'!CL:DM,15,FALSE)</f>
        <v>0</v>
      </c>
      <c r="R230" s="117">
        <f>VLOOKUP(C230,'Talente &amp; Stuff'!CL:DM,16,FALSE)</f>
        <v>0</v>
      </c>
      <c r="S230" s="119">
        <f>VLOOKUP(C230,'Talente &amp; Stuff'!CL:DM,17,FALSE)</f>
        <v>0</v>
      </c>
      <c r="T230" s="119">
        <f>VLOOKUP(C230,'Talente &amp; Stuff'!CL:DM,18,FALSE)</f>
        <v>0</v>
      </c>
      <c r="U230" s="89">
        <f>VLOOKUP(C230,'Talente &amp; Stuff'!CL:DM,19,FALSE)</f>
        <v>0</v>
      </c>
      <c r="V230" s="47">
        <f>VLOOKUP(C230,'Talente &amp; Stuff'!CL:DM,20,FALSE)</f>
        <v>0</v>
      </c>
      <c r="W230" s="127">
        <f>VLOOKUP(C230,'Talente &amp; Stuff'!CL:DM,21,FALSE)</f>
        <v>0</v>
      </c>
      <c r="X230" s="127">
        <f>VLOOKUP(C230,'Talente &amp; Stuff'!CL:DM,22,FALSE)</f>
        <v>0</v>
      </c>
      <c r="Y230" s="165">
        <f t="shared" si="20"/>
        <v>0</v>
      </c>
      <c r="Z230" s="44">
        <f t="shared" si="21"/>
        <v>0</v>
      </c>
      <c r="AA230" s="125">
        <f>VLOOKUP(C230,'Talente &amp; Stuff'!CL:DM,25,FALSE)</f>
        <v>0</v>
      </c>
      <c r="AB230" s="160">
        <f>VLOOKUP(C230,'Talente &amp; Stuff'!CL:DM,26,FALSE)</f>
        <v>0</v>
      </c>
      <c r="AC230" s="127">
        <f>VLOOKUP(C230,'Talente &amp; Stuff'!CL:DM,27,FALSE)</f>
        <v>0</v>
      </c>
      <c r="AD230" s="125">
        <f>VLOOKUP(C230,'Talente &amp; Stuff'!CL:DM,28,FALSE)</f>
        <v>0</v>
      </c>
      <c r="AE230" s="28"/>
    </row>
    <row r="231" spans="2:31" ht="15" hidden="1" customHeight="1" outlineLevel="2">
      <c r="B231" s="148">
        <v>19</v>
      </c>
      <c r="C231" s="177" t="str">
        <f>Attribute!C231</f>
        <v>---</v>
      </c>
      <c r="D231" s="86" t="str">
        <f>VLOOKUP(C231,'Talente &amp; Stuff'!CL:DM,2,FALSE)</f>
        <v>--/--/--</v>
      </c>
      <c r="E231" s="167" t="str">
        <f>VLOOKUP(C231,'Talente &amp; Stuff'!CL:DM,3,FALSE)</f>
        <v>-</v>
      </c>
      <c r="F231" s="120">
        <f>VLOOKUP(C231,'Talente &amp; Stuff'!CL:DM,4,FALSE)</f>
        <v>0</v>
      </c>
      <c r="G231" s="117">
        <f>VLOOKUP(C231,'Talente &amp; Stuff'!CL:DM,5,FALSE)</f>
        <v>0</v>
      </c>
      <c r="H231" s="117">
        <f>VLOOKUP(C231,'Talente &amp; Stuff'!CL:DM,6,FALSE)</f>
        <v>0</v>
      </c>
      <c r="I231" s="117">
        <f>VLOOKUP(C231,'Talente &amp; Stuff'!CL:DM,7,FALSE)</f>
        <v>0</v>
      </c>
      <c r="J231" s="117">
        <f>VLOOKUP(C231,'Talente &amp; Stuff'!CL:DM,8,FALSE)</f>
        <v>0</v>
      </c>
      <c r="K231" s="117">
        <f>VLOOKUP(C231,'Talente &amp; Stuff'!CL:DM,9,FALSE)</f>
        <v>0</v>
      </c>
      <c r="L231" s="117">
        <f>VLOOKUP(C231,'Talente &amp; Stuff'!CL:DM,10,FALSE)</f>
        <v>0</v>
      </c>
      <c r="M231" s="121">
        <f>VLOOKUP(C231,'Talente &amp; Stuff'!CL:DM,11,FALSE)</f>
        <v>0</v>
      </c>
      <c r="N231" s="47">
        <f>VLOOKUP(C231,'Talente &amp; Stuff'!CL:DM,12,FALSE)</f>
        <v>0</v>
      </c>
      <c r="O231" s="3">
        <f>VLOOKUP(C231,'Talente &amp; Stuff'!CL:DM,13,FALSE)</f>
        <v>0</v>
      </c>
      <c r="P231" s="174">
        <f>VLOOKUP(C231,'Talente &amp; Stuff'!CL:DM,14,FALSE)</f>
        <v>0</v>
      </c>
      <c r="Q231" s="114">
        <f>VLOOKUP(C231,'Talente &amp; Stuff'!CL:DM,15,FALSE)</f>
        <v>0</v>
      </c>
      <c r="R231" s="117">
        <f>VLOOKUP(C231,'Talente &amp; Stuff'!CL:DM,16,FALSE)</f>
        <v>0</v>
      </c>
      <c r="S231" s="119">
        <f>VLOOKUP(C231,'Talente &amp; Stuff'!CL:DM,17,FALSE)</f>
        <v>0</v>
      </c>
      <c r="T231" s="119">
        <f>VLOOKUP(C231,'Talente &amp; Stuff'!CL:DM,18,FALSE)</f>
        <v>0</v>
      </c>
      <c r="U231" s="89">
        <f>VLOOKUP(C231,'Talente &amp; Stuff'!CL:DM,19,FALSE)</f>
        <v>0</v>
      </c>
      <c r="V231" s="47">
        <f>VLOOKUP(C231,'Talente &amp; Stuff'!CL:DM,20,FALSE)</f>
        <v>0</v>
      </c>
      <c r="W231" s="127">
        <f>VLOOKUP(C231,'Talente &amp; Stuff'!CL:DM,21,FALSE)</f>
        <v>0</v>
      </c>
      <c r="X231" s="127">
        <f>VLOOKUP(C231,'Talente &amp; Stuff'!CL:DM,22,FALSE)</f>
        <v>0</v>
      </c>
      <c r="Y231" s="165">
        <f t="shared" si="20"/>
        <v>0</v>
      </c>
      <c r="Z231" s="44">
        <f t="shared" si="21"/>
        <v>0</v>
      </c>
      <c r="AA231" s="125">
        <f>VLOOKUP(C231,'Talente &amp; Stuff'!CL:DM,25,FALSE)</f>
        <v>0</v>
      </c>
      <c r="AB231" s="160">
        <f>VLOOKUP(C231,'Talente &amp; Stuff'!CL:DM,26,FALSE)</f>
        <v>0</v>
      </c>
      <c r="AC231" s="127">
        <f>VLOOKUP(C231,'Talente &amp; Stuff'!CL:DM,27,FALSE)</f>
        <v>0</v>
      </c>
      <c r="AD231" s="125">
        <f>VLOOKUP(C231,'Talente &amp; Stuff'!CL:DM,28,FALSE)</f>
        <v>0</v>
      </c>
      <c r="AE231" s="28"/>
    </row>
    <row r="232" spans="2:31" ht="15" hidden="1" customHeight="1" outlineLevel="2">
      <c r="B232" s="148">
        <v>20</v>
      </c>
      <c r="C232" s="177" t="str">
        <f>Attribute!C232</f>
        <v>---</v>
      </c>
      <c r="D232" s="86" t="str">
        <f>VLOOKUP(C232,'Talente &amp; Stuff'!CL:DM,2,FALSE)</f>
        <v>--/--/--</v>
      </c>
      <c r="E232" s="167" t="str">
        <f>VLOOKUP(C232,'Talente &amp; Stuff'!CL:DM,3,FALSE)</f>
        <v>-</v>
      </c>
      <c r="F232" s="120">
        <f>VLOOKUP(C232,'Talente &amp; Stuff'!CL:DM,4,FALSE)</f>
        <v>0</v>
      </c>
      <c r="G232" s="117">
        <f>VLOOKUP(C232,'Talente &amp; Stuff'!CL:DM,5,FALSE)</f>
        <v>0</v>
      </c>
      <c r="H232" s="117">
        <f>VLOOKUP(C232,'Talente &amp; Stuff'!CL:DM,6,FALSE)</f>
        <v>0</v>
      </c>
      <c r="I232" s="117">
        <f>VLOOKUP(C232,'Talente &amp; Stuff'!CL:DM,7,FALSE)</f>
        <v>0</v>
      </c>
      <c r="J232" s="117">
        <f>VLOOKUP(C232,'Talente &amp; Stuff'!CL:DM,8,FALSE)</f>
        <v>0</v>
      </c>
      <c r="K232" s="117">
        <f>VLOOKUP(C232,'Talente &amp; Stuff'!CL:DM,9,FALSE)</f>
        <v>0</v>
      </c>
      <c r="L232" s="117">
        <f>VLOOKUP(C232,'Talente &amp; Stuff'!CL:DM,10,FALSE)</f>
        <v>0</v>
      </c>
      <c r="M232" s="121">
        <f>VLOOKUP(C232,'Talente &amp; Stuff'!CL:DM,11,FALSE)</f>
        <v>0</v>
      </c>
      <c r="N232" s="47">
        <f>VLOOKUP(C232,'Talente &amp; Stuff'!CL:DM,12,FALSE)</f>
        <v>0</v>
      </c>
      <c r="O232" s="3">
        <f>VLOOKUP(C232,'Talente &amp; Stuff'!CL:DM,13,FALSE)</f>
        <v>0</v>
      </c>
      <c r="P232" s="174">
        <f>VLOOKUP(C232,'Talente &amp; Stuff'!CL:DM,14,FALSE)</f>
        <v>0</v>
      </c>
      <c r="Q232" s="114">
        <f>VLOOKUP(C232,'Talente &amp; Stuff'!CL:DM,15,FALSE)</f>
        <v>0</v>
      </c>
      <c r="R232" s="117">
        <f>VLOOKUP(C232,'Talente &amp; Stuff'!CL:DM,16,FALSE)</f>
        <v>0</v>
      </c>
      <c r="S232" s="119">
        <f>VLOOKUP(C232,'Talente &amp; Stuff'!CL:DM,17,FALSE)</f>
        <v>0</v>
      </c>
      <c r="T232" s="119">
        <f>VLOOKUP(C232,'Talente &amp; Stuff'!CL:DM,18,FALSE)</f>
        <v>0</v>
      </c>
      <c r="U232" s="89">
        <f>VLOOKUP(C232,'Talente &amp; Stuff'!CL:DM,19,FALSE)</f>
        <v>0</v>
      </c>
      <c r="V232" s="47">
        <f>VLOOKUP(C232,'Talente &amp; Stuff'!CL:DM,20,FALSE)</f>
        <v>0</v>
      </c>
      <c r="W232" s="127">
        <f>VLOOKUP(C232,'Talente &amp; Stuff'!CL:DM,21,FALSE)</f>
        <v>0</v>
      </c>
      <c r="X232" s="127">
        <f>VLOOKUP(C232,'Talente &amp; Stuff'!CL:DM,22,FALSE)</f>
        <v>0</v>
      </c>
      <c r="Y232" s="165">
        <f t="shared" si="20"/>
        <v>0</v>
      </c>
      <c r="Z232" s="44">
        <f t="shared" si="21"/>
        <v>0</v>
      </c>
      <c r="AA232" s="125">
        <f>VLOOKUP(C232,'Talente &amp; Stuff'!CL:DM,25,FALSE)</f>
        <v>0</v>
      </c>
      <c r="AB232" s="160">
        <f>VLOOKUP(C232,'Talente &amp; Stuff'!CL:DM,26,FALSE)</f>
        <v>0</v>
      </c>
      <c r="AC232" s="127">
        <f>VLOOKUP(C232,'Talente &amp; Stuff'!CL:DM,27,FALSE)</f>
        <v>0</v>
      </c>
      <c r="AD232" s="125">
        <f>VLOOKUP(C232,'Talente &amp; Stuff'!CL:DM,28,FALSE)</f>
        <v>0</v>
      </c>
      <c r="AE232" s="28"/>
    </row>
    <row r="233" spans="2:31" ht="15" hidden="1" customHeight="1" outlineLevel="2">
      <c r="B233" s="148">
        <v>21</v>
      </c>
      <c r="C233" s="177" t="str">
        <f>Attribute!C233</f>
        <v>---</v>
      </c>
      <c r="D233" s="86" t="str">
        <f>VLOOKUP(C233,'Talente &amp; Stuff'!CL:DM,2,FALSE)</f>
        <v>--/--/--</v>
      </c>
      <c r="E233" s="167" t="str">
        <f>VLOOKUP(C233,'Talente &amp; Stuff'!CL:DM,3,FALSE)</f>
        <v>-</v>
      </c>
      <c r="F233" s="120">
        <f>VLOOKUP(C233,'Talente &amp; Stuff'!CL:DM,4,FALSE)</f>
        <v>0</v>
      </c>
      <c r="G233" s="117">
        <f>VLOOKUP(C233,'Talente &amp; Stuff'!CL:DM,5,FALSE)</f>
        <v>0</v>
      </c>
      <c r="H233" s="117">
        <f>VLOOKUP(C233,'Talente &amp; Stuff'!CL:DM,6,FALSE)</f>
        <v>0</v>
      </c>
      <c r="I233" s="117">
        <f>VLOOKUP(C233,'Talente &amp; Stuff'!CL:DM,7,FALSE)</f>
        <v>0</v>
      </c>
      <c r="J233" s="117">
        <f>VLOOKUP(C233,'Talente &amp; Stuff'!CL:DM,8,FALSE)</f>
        <v>0</v>
      </c>
      <c r="K233" s="117">
        <f>VLOOKUP(C233,'Talente &amp; Stuff'!CL:DM,9,FALSE)</f>
        <v>0</v>
      </c>
      <c r="L233" s="117">
        <f>VLOOKUP(C233,'Talente &amp; Stuff'!CL:DM,10,FALSE)</f>
        <v>0</v>
      </c>
      <c r="M233" s="121">
        <f>VLOOKUP(C233,'Talente &amp; Stuff'!CL:DM,11,FALSE)</f>
        <v>0</v>
      </c>
      <c r="N233" s="47">
        <f>VLOOKUP(C233,'Talente &amp; Stuff'!CL:DM,12,FALSE)</f>
        <v>0</v>
      </c>
      <c r="O233" s="3">
        <f>VLOOKUP(C233,'Talente &amp; Stuff'!CL:DM,13,FALSE)</f>
        <v>0</v>
      </c>
      <c r="P233" s="174">
        <f>VLOOKUP(C233,'Talente &amp; Stuff'!CL:DM,14,FALSE)</f>
        <v>0</v>
      </c>
      <c r="Q233" s="114">
        <f>VLOOKUP(C233,'Talente &amp; Stuff'!CL:DM,15,FALSE)</f>
        <v>0</v>
      </c>
      <c r="R233" s="117">
        <f>VLOOKUP(C233,'Talente &amp; Stuff'!CL:DM,16,FALSE)</f>
        <v>0</v>
      </c>
      <c r="S233" s="119">
        <f>VLOOKUP(C233,'Talente &amp; Stuff'!CL:DM,17,FALSE)</f>
        <v>0</v>
      </c>
      <c r="T233" s="119">
        <f>VLOOKUP(C233,'Talente &amp; Stuff'!CL:DM,18,FALSE)</f>
        <v>0</v>
      </c>
      <c r="U233" s="89">
        <f>VLOOKUP(C233,'Talente &amp; Stuff'!CL:DM,19,FALSE)</f>
        <v>0</v>
      </c>
      <c r="V233" s="47">
        <f>VLOOKUP(C233,'Talente &amp; Stuff'!CL:DM,20,FALSE)</f>
        <v>0</v>
      </c>
      <c r="W233" s="127">
        <f>VLOOKUP(C233,'Talente &amp; Stuff'!CL:DM,21,FALSE)</f>
        <v>0</v>
      </c>
      <c r="X233" s="127">
        <f>VLOOKUP(C233,'Talente &amp; Stuff'!CL:DM,22,FALSE)</f>
        <v>0</v>
      </c>
      <c r="Y233" s="165">
        <f t="shared" si="20"/>
        <v>0</v>
      </c>
      <c r="Z233" s="44">
        <f t="shared" si="21"/>
        <v>0</v>
      </c>
      <c r="AA233" s="125">
        <f>VLOOKUP(C233,'Talente &amp; Stuff'!CL:DM,25,FALSE)</f>
        <v>0</v>
      </c>
      <c r="AB233" s="160">
        <f>VLOOKUP(C233,'Talente &amp; Stuff'!CL:DM,26,FALSE)</f>
        <v>0</v>
      </c>
      <c r="AC233" s="127">
        <f>VLOOKUP(C233,'Talente &amp; Stuff'!CL:DM,27,FALSE)</f>
        <v>0</v>
      </c>
      <c r="AD233" s="125">
        <f>VLOOKUP(C233,'Talente &amp; Stuff'!CL:DM,28,FALSE)</f>
        <v>0</v>
      </c>
      <c r="AE233" s="28"/>
    </row>
    <row r="234" spans="2:31" ht="15" hidden="1" customHeight="1" outlineLevel="2">
      <c r="B234" s="148">
        <v>22</v>
      </c>
      <c r="C234" s="177" t="str">
        <f>Attribute!C234</f>
        <v>---</v>
      </c>
      <c r="D234" s="86" t="str">
        <f>VLOOKUP(C234,'Talente &amp; Stuff'!CL:DM,2,FALSE)</f>
        <v>--/--/--</v>
      </c>
      <c r="E234" s="167" t="str">
        <f>VLOOKUP(C234,'Talente &amp; Stuff'!CL:DM,3,FALSE)</f>
        <v>-</v>
      </c>
      <c r="F234" s="120">
        <f>VLOOKUP(C234,'Talente &amp; Stuff'!CL:DM,4,FALSE)</f>
        <v>0</v>
      </c>
      <c r="G234" s="117">
        <f>VLOOKUP(C234,'Talente &amp; Stuff'!CL:DM,5,FALSE)</f>
        <v>0</v>
      </c>
      <c r="H234" s="117">
        <f>VLOOKUP(C234,'Talente &amp; Stuff'!CL:DM,6,FALSE)</f>
        <v>0</v>
      </c>
      <c r="I234" s="117">
        <f>VLOOKUP(C234,'Talente &amp; Stuff'!CL:DM,7,FALSE)</f>
        <v>0</v>
      </c>
      <c r="J234" s="117">
        <f>VLOOKUP(C234,'Talente &amp; Stuff'!CL:DM,8,FALSE)</f>
        <v>0</v>
      </c>
      <c r="K234" s="117">
        <f>VLOOKUP(C234,'Talente &amp; Stuff'!CL:DM,9,FALSE)</f>
        <v>0</v>
      </c>
      <c r="L234" s="117">
        <f>VLOOKUP(C234,'Talente &amp; Stuff'!CL:DM,10,FALSE)</f>
        <v>0</v>
      </c>
      <c r="M234" s="121">
        <f>VLOOKUP(C234,'Talente &amp; Stuff'!CL:DM,11,FALSE)</f>
        <v>0</v>
      </c>
      <c r="N234" s="47">
        <f>VLOOKUP(C234,'Talente &amp; Stuff'!CL:DM,12,FALSE)</f>
        <v>0</v>
      </c>
      <c r="O234" s="3">
        <f>VLOOKUP(C234,'Talente &amp; Stuff'!CL:DM,13,FALSE)</f>
        <v>0</v>
      </c>
      <c r="P234" s="174">
        <f>VLOOKUP(C234,'Talente &amp; Stuff'!CL:DM,14,FALSE)</f>
        <v>0</v>
      </c>
      <c r="Q234" s="114">
        <f>VLOOKUP(C234,'Talente &amp; Stuff'!CL:DM,15,FALSE)</f>
        <v>0</v>
      </c>
      <c r="R234" s="117">
        <f>VLOOKUP(C234,'Talente &amp; Stuff'!CL:DM,16,FALSE)</f>
        <v>0</v>
      </c>
      <c r="S234" s="119">
        <f>VLOOKUP(C234,'Talente &amp; Stuff'!CL:DM,17,FALSE)</f>
        <v>0</v>
      </c>
      <c r="T234" s="119">
        <f>VLOOKUP(C234,'Talente &amp; Stuff'!CL:DM,18,FALSE)</f>
        <v>0</v>
      </c>
      <c r="U234" s="89">
        <f>VLOOKUP(C234,'Talente &amp; Stuff'!CL:DM,19,FALSE)</f>
        <v>0</v>
      </c>
      <c r="V234" s="47">
        <f>VLOOKUP(C234,'Talente &amp; Stuff'!CL:DM,20,FALSE)</f>
        <v>0</v>
      </c>
      <c r="W234" s="127">
        <f>VLOOKUP(C234,'Talente &amp; Stuff'!CL:DM,21,FALSE)</f>
        <v>0</v>
      </c>
      <c r="X234" s="127">
        <f>VLOOKUP(C234,'Talente &amp; Stuff'!CL:DM,22,FALSE)</f>
        <v>0</v>
      </c>
      <c r="Y234" s="165">
        <f t="shared" si="20"/>
        <v>0</v>
      </c>
      <c r="Z234" s="44">
        <f t="shared" si="21"/>
        <v>0</v>
      </c>
      <c r="AA234" s="125">
        <f>VLOOKUP(C234,'Talente &amp; Stuff'!CL:DM,25,FALSE)</f>
        <v>0</v>
      </c>
      <c r="AB234" s="160">
        <f>VLOOKUP(C234,'Talente &amp; Stuff'!CL:DM,26,FALSE)</f>
        <v>0</v>
      </c>
      <c r="AC234" s="127">
        <f>VLOOKUP(C234,'Talente &amp; Stuff'!CL:DM,27,FALSE)</f>
        <v>0</v>
      </c>
      <c r="AD234" s="125">
        <f>VLOOKUP(C234,'Talente &amp; Stuff'!CL:DM,28,FALSE)</f>
        <v>0</v>
      </c>
      <c r="AE234" s="28"/>
    </row>
    <row r="235" spans="2:31" ht="15" hidden="1" customHeight="1" outlineLevel="2">
      <c r="B235" s="148">
        <v>23</v>
      </c>
      <c r="C235" s="177" t="str">
        <f>Attribute!C235</f>
        <v>---</v>
      </c>
      <c r="D235" s="86" t="str">
        <f>VLOOKUP(C235,'Talente &amp; Stuff'!CL:DM,2,FALSE)</f>
        <v>--/--/--</v>
      </c>
      <c r="E235" s="167" t="str">
        <f>VLOOKUP(C235,'Talente &amp; Stuff'!CL:DM,3,FALSE)</f>
        <v>-</v>
      </c>
      <c r="F235" s="120">
        <f>VLOOKUP(C235,'Talente &amp; Stuff'!CL:DM,4,FALSE)</f>
        <v>0</v>
      </c>
      <c r="G235" s="117">
        <f>VLOOKUP(C235,'Talente &amp; Stuff'!CL:DM,5,FALSE)</f>
        <v>0</v>
      </c>
      <c r="H235" s="117">
        <f>VLOOKUP(C235,'Talente &amp; Stuff'!CL:DM,6,FALSE)</f>
        <v>0</v>
      </c>
      <c r="I235" s="117">
        <f>VLOOKUP(C235,'Talente &amp; Stuff'!CL:DM,7,FALSE)</f>
        <v>0</v>
      </c>
      <c r="J235" s="117">
        <f>VLOOKUP(C235,'Talente &amp; Stuff'!CL:DM,8,FALSE)</f>
        <v>0</v>
      </c>
      <c r="K235" s="117">
        <f>VLOOKUP(C235,'Talente &amp; Stuff'!CL:DM,9,FALSE)</f>
        <v>0</v>
      </c>
      <c r="L235" s="117">
        <f>VLOOKUP(C235,'Talente &amp; Stuff'!CL:DM,10,FALSE)</f>
        <v>0</v>
      </c>
      <c r="M235" s="121">
        <f>VLOOKUP(C235,'Talente &amp; Stuff'!CL:DM,11,FALSE)</f>
        <v>0</v>
      </c>
      <c r="N235" s="47">
        <f>VLOOKUP(C235,'Talente &amp; Stuff'!CL:DM,12,FALSE)</f>
        <v>0</v>
      </c>
      <c r="O235" s="3">
        <f>VLOOKUP(C235,'Talente &amp; Stuff'!CL:DM,13,FALSE)</f>
        <v>0</v>
      </c>
      <c r="P235" s="174">
        <f>VLOOKUP(C235,'Talente &amp; Stuff'!CL:DM,14,FALSE)</f>
        <v>0</v>
      </c>
      <c r="Q235" s="114">
        <f>VLOOKUP(C235,'Talente &amp; Stuff'!CL:DM,15,FALSE)</f>
        <v>0</v>
      </c>
      <c r="R235" s="117">
        <f>VLOOKUP(C235,'Talente &amp; Stuff'!CL:DM,16,FALSE)</f>
        <v>0</v>
      </c>
      <c r="S235" s="119">
        <f>VLOOKUP(C235,'Talente &amp; Stuff'!CL:DM,17,FALSE)</f>
        <v>0</v>
      </c>
      <c r="T235" s="119">
        <f>VLOOKUP(C235,'Talente &amp; Stuff'!CL:DM,18,FALSE)</f>
        <v>0</v>
      </c>
      <c r="U235" s="89">
        <f>VLOOKUP(C235,'Talente &amp; Stuff'!CL:DM,19,FALSE)</f>
        <v>0</v>
      </c>
      <c r="V235" s="47">
        <f>VLOOKUP(C235,'Talente &amp; Stuff'!CL:DM,20,FALSE)</f>
        <v>0</v>
      </c>
      <c r="W235" s="127">
        <f>VLOOKUP(C235,'Talente &amp; Stuff'!CL:DM,21,FALSE)</f>
        <v>0</v>
      </c>
      <c r="X235" s="127">
        <f>VLOOKUP(C235,'Talente &amp; Stuff'!CL:DM,22,FALSE)</f>
        <v>0</v>
      </c>
      <c r="Y235" s="165">
        <f t="shared" si="20"/>
        <v>0</v>
      </c>
      <c r="Z235" s="44">
        <f t="shared" si="21"/>
        <v>0</v>
      </c>
      <c r="AA235" s="125">
        <f>VLOOKUP(C235,'Talente &amp; Stuff'!CL:DM,25,FALSE)</f>
        <v>0</v>
      </c>
      <c r="AB235" s="160">
        <f>VLOOKUP(C235,'Talente &amp; Stuff'!CL:DM,26,FALSE)</f>
        <v>0</v>
      </c>
      <c r="AC235" s="127">
        <f>VLOOKUP(C235,'Talente &amp; Stuff'!CL:DM,27,FALSE)</f>
        <v>0</v>
      </c>
      <c r="AD235" s="125">
        <f>VLOOKUP(C235,'Talente &amp; Stuff'!CL:DM,28,FALSE)</f>
        <v>0</v>
      </c>
      <c r="AE235" s="28"/>
    </row>
    <row r="236" spans="2:31" ht="15" hidden="1" customHeight="1" outlineLevel="2">
      <c r="B236" s="148">
        <v>24</v>
      </c>
      <c r="C236" s="177" t="str">
        <f>Attribute!C236</f>
        <v>---</v>
      </c>
      <c r="D236" s="86" t="str">
        <f>VLOOKUP(C236,'Talente &amp; Stuff'!CL:DM,2,FALSE)</f>
        <v>--/--/--</v>
      </c>
      <c r="E236" s="167" t="str">
        <f>VLOOKUP(C236,'Talente &amp; Stuff'!CL:DM,3,FALSE)</f>
        <v>-</v>
      </c>
      <c r="F236" s="120">
        <f>VLOOKUP(C236,'Talente &amp; Stuff'!CL:DM,4,FALSE)</f>
        <v>0</v>
      </c>
      <c r="G236" s="117">
        <f>VLOOKUP(C236,'Talente &amp; Stuff'!CL:DM,5,FALSE)</f>
        <v>0</v>
      </c>
      <c r="H236" s="117">
        <f>VLOOKUP(C236,'Talente &amp; Stuff'!CL:DM,6,FALSE)</f>
        <v>0</v>
      </c>
      <c r="I236" s="117">
        <f>VLOOKUP(C236,'Talente &amp; Stuff'!CL:DM,7,FALSE)</f>
        <v>0</v>
      </c>
      <c r="J236" s="117">
        <f>VLOOKUP(C236,'Talente &amp; Stuff'!CL:DM,8,FALSE)</f>
        <v>0</v>
      </c>
      <c r="K236" s="117">
        <f>VLOOKUP(C236,'Talente &amp; Stuff'!CL:DM,9,FALSE)</f>
        <v>0</v>
      </c>
      <c r="L236" s="117">
        <f>VLOOKUP(C236,'Talente &amp; Stuff'!CL:DM,10,FALSE)</f>
        <v>0</v>
      </c>
      <c r="M236" s="121">
        <f>VLOOKUP(C236,'Talente &amp; Stuff'!CL:DM,11,FALSE)</f>
        <v>0</v>
      </c>
      <c r="N236" s="47">
        <f>VLOOKUP(C236,'Talente &amp; Stuff'!CL:DM,12,FALSE)</f>
        <v>0</v>
      </c>
      <c r="O236" s="3">
        <f>VLOOKUP(C236,'Talente &amp; Stuff'!CL:DM,13,FALSE)</f>
        <v>0</v>
      </c>
      <c r="P236" s="174">
        <f>VLOOKUP(C236,'Talente &amp; Stuff'!CL:DM,14,FALSE)</f>
        <v>0</v>
      </c>
      <c r="Q236" s="114">
        <f>VLOOKUP(C236,'Talente &amp; Stuff'!CL:DM,15,FALSE)</f>
        <v>0</v>
      </c>
      <c r="R236" s="117">
        <f>VLOOKUP(C236,'Talente &amp; Stuff'!CL:DM,16,FALSE)</f>
        <v>0</v>
      </c>
      <c r="S236" s="119">
        <f>VLOOKUP(C236,'Talente &amp; Stuff'!CL:DM,17,FALSE)</f>
        <v>0</v>
      </c>
      <c r="T236" s="119">
        <f>VLOOKUP(C236,'Talente &amp; Stuff'!CL:DM,18,FALSE)</f>
        <v>0</v>
      </c>
      <c r="U236" s="89">
        <f>VLOOKUP(C236,'Talente &amp; Stuff'!CL:DM,19,FALSE)</f>
        <v>0</v>
      </c>
      <c r="V236" s="47">
        <f>VLOOKUP(C236,'Talente &amp; Stuff'!CL:DM,20,FALSE)</f>
        <v>0</v>
      </c>
      <c r="W236" s="127">
        <f>VLOOKUP(C236,'Talente &amp; Stuff'!CL:DM,21,FALSE)</f>
        <v>0</v>
      </c>
      <c r="X236" s="127">
        <f>VLOOKUP(C236,'Talente &amp; Stuff'!CL:DM,22,FALSE)</f>
        <v>0</v>
      </c>
      <c r="Y236" s="165">
        <f t="shared" si="20"/>
        <v>0</v>
      </c>
      <c r="Z236" s="44">
        <f t="shared" si="21"/>
        <v>0</v>
      </c>
      <c r="AA236" s="125">
        <f>VLOOKUP(C236,'Talente &amp; Stuff'!CL:DM,25,FALSE)</f>
        <v>0</v>
      </c>
      <c r="AB236" s="160">
        <f>VLOOKUP(C236,'Talente &amp; Stuff'!CL:DM,26,FALSE)</f>
        <v>0</v>
      </c>
      <c r="AC236" s="127">
        <f>VLOOKUP(C236,'Talente &amp; Stuff'!CL:DM,27,FALSE)</f>
        <v>0</v>
      </c>
      <c r="AD236" s="125">
        <f>VLOOKUP(C236,'Talente &amp; Stuff'!CL:DM,28,FALSE)</f>
        <v>0</v>
      </c>
      <c r="AE236" s="28"/>
    </row>
    <row r="237" spans="2:31" ht="15" hidden="1" customHeight="1" outlineLevel="2">
      <c r="B237" s="148">
        <v>25</v>
      </c>
      <c r="C237" s="177" t="str">
        <f>Attribute!C237</f>
        <v>---</v>
      </c>
      <c r="D237" s="86" t="str">
        <f>VLOOKUP(C237,'Talente &amp; Stuff'!CL:DM,2,FALSE)</f>
        <v>--/--/--</v>
      </c>
      <c r="E237" s="167" t="str">
        <f>VLOOKUP(C237,'Talente &amp; Stuff'!CL:DM,3,FALSE)</f>
        <v>-</v>
      </c>
      <c r="F237" s="120">
        <f>VLOOKUP(C237,'Talente &amp; Stuff'!CL:DM,4,FALSE)</f>
        <v>0</v>
      </c>
      <c r="G237" s="117">
        <f>VLOOKUP(C237,'Talente &amp; Stuff'!CL:DM,5,FALSE)</f>
        <v>0</v>
      </c>
      <c r="H237" s="117">
        <f>VLOOKUP(C237,'Talente &amp; Stuff'!CL:DM,6,FALSE)</f>
        <v>0</v>
      </c>
      <c r="I237" s="117">
        <f>VLOOKUP(C237,'Talente &amp; Stuff'!CL:DM,7,FALSE)</f>
        <v>0</v>
      </c>
      <c r="J237" s="117">
        <f>VLOOKUP(C237,'Talente &amp; Stuff'!CL:DM,8,FALSE)</f>
        <v>0</v>
      </c>
      <c r="K237" s="117">
        <f>VLOOKUP(C237,'Talente &amp; Stuff'!CL:DM,9,FALSE)</f>
        <v>0</v>
      </c>
      <c r="L237" s="117">
        <f>VLOOKUP(C237,'Talente &amp; Stuff'!CL:DM,10,FALSE)</f>
        <v>0</v>
      </c>
      <c r="M237" s="121">
        <f>VLOOKUP(C237,'Talente &amp; Stuff'!CL:DM,11,FALSE)</f>
        <v>0</v>
      </c>
      <c r="N237" s="47">
        <f>VLOOKUP(C237,'Talente &amp; Stuff'!CL:DM,12,FALSE)</f>
        <v>0</v>
      </c>
      <c r="O237" s="3">
        <f>VLOOKUP(C237,'Talente &amp; Stuff'!CL:DM,13,FALSE)</f>
        <v>0</v>
      </c>
      <c r="P237" s="174">
        <f>VLOOKUP(C237,'Talente &amp; Stuff'!CL:DM,14,FALSE)</f>
        <v>0</v>
      </c>
      <c r="Q237" s="114">
        <f>VLOOKUP(C237,'Talente &amp; Stuff'!CL:DM,15,FALSE)</f>
        <v>0</v>
      </c>
      <c r="R237" s="117">
        <f>VLOOKUP(C237,'Talente &amp; Stuff'!CL:DM,16,FALSE)</f>
        <v>0</v>
      </c>
      <c r="S237" s="119">
        <f>VLOOKUP(C237,'Talente &amp; Stuff'!CL:DM,17,FALSE)</f>
        <v>0</v>
      </c>
      <c r="T237" s="119">
        <f>VLOOKUP(C237,'Talente &amp; Stuff'!CL:DM,18,FALSE)</f>
        <v>0</v>
      </c>
      <c r="U237" s="89">
        <f>VLOOKUP(C237,'Talente &amp; Stuff'!CL:DM,19,FALSE)</f>
        <v>0</v>
      </c>
      <c r="V237" s="47">
        <f>VLOOKUP(C237,'Talente &amp; Stuff'!CL:DM,20,FALSE)</f>
        <v>0</v>
      </c>
      <c r="W237" s="127">
        <f>VLOOKUP(C237,'Talente &amp; Stuff'!CL:DM,21,FALSE)</f>
        <v>0</v>
      </c>
      <c r="X237" s="127">
        <f>VLOOKUP(C237,'Talente &amp; Stuff'!CL:DM,22,FALSE)</f>
        <v>0</v>
      </c>
      <c r="Y237" s="165">
        <f t="shared" si="20"/>
        <v>0</v>
      </c>
      <c r="Z237" s="44">
        <f t="shared" si="21"/>
        <v>0</v>
      </c>
      <c r="AA237" s="125">
        <f>VLOOKUP(C237,'Talente &amp; Stuff'!CL:DM,25,FALSE)</f>
        <v>0</v>
      </c>
      <c r="AB237" s="160">
        <f>VLOOKUP(C237,'Talente &amp; Stuff'!CL:DM,26,FALSE)</f>
        <v>0</v>
      </c>
      <c r="AC237" s="127">
        <f>VLOOKUP(C237,'Talente &amp; Stuff'!CL:DM,27,FALSE)</f>
        <v>0</v>
      </c>
      <c r="AD237" s="125">
        <f>VLOOKUP(C237,'Talente &amp; Stuff'!CL:DM,28,FALSE)</f>
        <v>0</v>
      </c>
      <c r="AE237" s="28"/>
    </row>
    <row r="238" spans="2:31" ht="15" hidden="1" customHeight="1" outlineLevel="2">
      <c r="B238" s="148">
        <v>26</v>
      </c>
      <c r="C238" s="177" t="str">
        <f>Attribute!C238</f>
        <v>---</v>
      </c>
      <c r="D238" s="86" t="str">
        <f>VLOOKUP(C238,'Talente &amp; Stuff'!CL:DM,2,FALSE)</f>
        <v>--/--/--</v>
      </c>
      <c r="E238" s="167" t="str">
        <f>VLOOKUP(C238,'Talente &amp; Stuff'!CL:DM,3,FALSE)</f>
        <v>-</v>
      </c>
      <c r="F238" s="120">
        <f>VLOOKUP(C238,'Talente &amp; Stuff'!CL:DM,4,FALSE)</f>
        <v>0</v>
      </c>
      <c r="G238" s="117">
        <f>VLOOKUP(C238,'Talente &amp; Stuff'!CL:DM,5,FALSE)</f>
        <v>0</v>
      </c>
      <c r="H238" s="117">
        <f>VLOOKUP(C238,'Talente &amp; Stuff'!CL:DM,6,FALSE)</f>
        <v>0</v>
      </c>
      <c r="I238" s="117">
        <f>VLOOKUP(C238,'Talente &amp; Stuff'!CL:DM,7,FALSE)</f>
        <v>0</v>
      </c>
      <c r="J238" s="117">
        <f>VLOOKUP(C238,'Talente &amp; Stuff'!CL:DM,8,FALSE)</f>
        <v>0</v>
      </c>
      <c r="K238" s="117">
        <f>VLOOKUP(C238,'Talente &amp; Stuff'!CL:DM,9,FALSE)</f>
        <v>0</v>
      </c>
      <c r="L238" s="117">
        <f>VLOOKUP(C238,'Talente &amp; Stuff'!CL:DM,10,FALSE)</f>
        <v>0</v>
      </c>
      <c r="M238" s="121">
        <f>VLOOKUP(C238,'Talente &amp; Stuff'!CL:DM,11,FALSE)</f>
        <v>0</v>
      </c>
      <c r="N238" s="47">
        <f>VLOOKUP(C238,'Talente &amp; Stuff'!CL:DM,12,FALSE)</f>
        <v>0</v>
      </c>
      <c r="O238" s="3">
        <f>VLOOKUP(C238,'Talente &amp; Stuff'!CL:DM,13,FALSE)</f>
        <v>0</v>
      </c>
      <c r="P238" s="174">
        <f>VLOOKUP(C238,'Talente &amp; Stuff'!CL:DM,14,FALSE)</f>
        <v>0</v>
      </c>
      <c r="Q238" s="114">
        <f>VLOOKUP(C238,'Talente &amp; Stuff'!CL:DM,15,FALSE)</f>
        <v>0</v>
      </c>
      <c r="R238" s="117">
        <f>VLOOKUP(C238,'Talente &amp; Stuff'!CL:DM,16,FALSE)</f>
        <v>0</v>
      </c>
      <c r="S238" s="119">
        <f>VLOOKUP(C238,'Talente &amp; Stuff'!CL:DM,17,FALSE)</f>
        <v>0</v>
      </c>
      <c r="T238" s="119">
        <f>VLOOKUP(C238,'Talente &amp; Stuff'!CL:DM,18,FALSE)</f>
        <v>0</v>
      </c>
      <c r="U238" s="89">
        <f>VLOOKUP(C238,'Talente &amp; Stuff'!CL:DM,19,FALSE)</f>
        <v>0</v>
      </c>
      <c r="V238" s="47">
        <f>VLOOKUP(C238,'Talente &amp; Stuff'!CL:DM,20,FALSE)</f>
        <v>0</v>
      </c>
      <c r="W238" s="127">
        <f>VLOOKUP(C238,'Talente &amp; Stuff'!CL:DM,21,FALSE)</f>
        <v>0</v>
      </c>
      <c r="X238" s="127">
        <f>VLOOKUP(C238,'Talente &amp; Stuff'!CL:DM,22,FALSE)</f>
        <v>0</v>
      </c>
      <c r="Y238" s="165">
        <f t="shared" si="20"/>
        <v>0</v>
      </c>
      <c r="Z238" s="44">
        <f t="shared" si="21"/>
        <v>0</v>
      </c>
      <c r="AA238" s="125">
        <f>VLOOKUP(C238,'Talente &amp; Stuff'!CL:DM,25,FALSE)</f>
        <v>0</v>
      </c>
      <c r="AB238" s="160">
        <f>VLOOKUP(C238,'Talente &amp; Stuff'!CL:DM,26,FALSE)</f>
        <v>0</v>
      </c>
      <c r="AC238" s="127">
        <f>VLOOKUP(C238,'Talente &amp; Stuff'!CL:DM,27,FALSE)</f>
        <v>0</v>
      </c>
      <c r="AD238" s="125">
        <f>VLOOKUP(C238,'Talente &amp; Stuff'!CL:DM,28,FALSE)</f>
        <v>0</v>
      </c>
      <c r="AE238" s="28"/>
    </row>
    <row r="239" spans="2:31" ht="15" hidden="1" customHeight="1" outlineLevel="2">
      <c r="B239" s="148">
        <v>27</v>
      </c>
      <c r="C239" s="177" t="str">
        <f>Attribute!C239</f>
        <v>---</v>
      </c>
      <c r="D239" s="86" t="str">
        <f>VLOOKUP(C239,'Talente &amp; Stuff'!CL:DM,2,FALSE)</f>
        <v>--/--/--</v>
      </c>
      <c r="E239" s="167" t="str">
        <f>VLOOKUP(C239,'Talente &amp; Stuff'!CL:DM,3,FALSE)</f>
        <v>-</v>
      </c>
      <c r="F239" s="120">
        <f>VLOOKUP(C239,'Talente &amp; Stuff'!CL:DM,4,FALSE)</f>
        <v>0</v>
      </c>
      <c r="G239" s="117">
        <f>VLOOKUP(C239,'Talente &amp; Stuff'!CL:DM,5,FALSE)</f>
        <v>0</v>
      </c>
      <c r="H239" s="117">
        <f>VLOOKUP(C239,'Talente &amp; Stuff'!CL:DM,6,FALSE)</f>
        <v>0</v>
      </c>
      <c r="I239" s="117">
        <f>VLOOKUP(C239,'Talente &amp; Stuff'!CL:DM,7,FALSE)</f>
        <v>0</v>
      </c>
      <c r="J239" s="117">
        <f>VLOOKUP(C239,'Talente &amp; Stuff'!CL:DM,8,FALSE)</f>
        <v>0</v>
      </c>
      <c r="K239" s="117">
        <f>VLOOKUP(C239,'Talente &amp; Stuff'!CL:DM,9,FALSE)</f>
        <v>0</v>
      </c>
      <c r="L239" s="117">
        <f>VLOOKUP(C239,'Talente &amp; Stuff'!CL:DM,10,FALSE)</f>
        <v>0</v>
      </c>
      <c r="M239" s="121">
        <f>VLOOKUP(C239,'Talente &amp; Stuff'!CL:DM,11,FALSE)</f>
        <v>0</v>
      </c>
      <c r="N239" s="47">
        <f>VLOOKUP(C239,'Talente &amp; Stuff'!CL:DM,12,FALSE)</f>
        <v>0</v>
      </c>
      <c r="O239" s="3">
        <f>VLOOKUP(C239,'Talente &amp; Stuff'!CL:DM,13,FALSE)</f>
        <v>0</v>
      </c>
      <c r="P239" s="174">
        <f>VLOOKUP(C239,'Talente &amp; Stuff'!CL:DM,14,FALSE)</f>
        <v>0</v>
      </c>
      <c r="Q239" s="114">
        <f>VLOOKUP(C239,'Talente &amp; Stuff'!CL:DM,15,FALSE)</f>
        <v>0</v>
      </c>
      <c r="R239" s="117">
        <f>VLOOKUP(C239,'Talente &amp; Stuff'!CL:DM,16,FALSE)</f>
        <v>0</v>
      </c>
      <c r="S239" s="119">
        <f>VLOOKUP(C239,'Talente &amp; Stuff'!CL:DM,17,FALSE)</f>
        <v>0</v>
      </c>
      <c r="T239" s="119">
        <f>VLOOKUP(C239,'Talente &amp; Stuff'!CL:DM,18,FALSE)</f>
        <v>0</v>
      </c>
      <c r="U239" s="89">
        <f>VLOOKUP(C239,'Talente &amp; Stuff'!CL:DM,19,FALSE)</f>
        <v>0</v>
      </c>
      <c r="V239" s="47">
        <f>VLOOKUP(C239,'Talente &amp; Stuff'!CL:DM,20,FALSE)</f>
        <v>0</v>
      </c>
      <c r="W239" s="127">
        <f>VLOOKUP(C239,'Talente &amp; Stuff'!CL:DM,21,FALSE)</f>
        <v>0</v>
      </c>
      <c r="X239" s="127">
        <f>VLOOKUP(C239,'Talente &amp; Stuff'!CL:DM,22,FALSE)</f>
        <v>0</v>
      </c>
      <c r="Y239" s="165">
        <f t="shared" si="20"/>
        <v>0</v>
      </c>
      <c r="Z239" s="44">
        <f t="shared" si="21"/>
        <v>0</v>
      </c>
      <c r="AA239" s="125">
        <f>VLOOKUP(C239,'Talente &amp; Stuff'!CL:DM,25,FALSE)</f>
        <v>0</v>
      </c>
      <c r="AB239" s="160">
        <f>VLOOKUP(C239,'Talente &amp; Stuff'!CL:DM,26,FALSE)</f>
        <v>0</v>
      </c>
      <c r="AC239" s="127">
        <f>VLOOKUP(C239,'Talente &amp; Stuff'!CL:DM,27,FALSE)</f>
        <v>0</v>
      </c>
      <c r="AD239" s="125">
        <f>VLOOKUP(C239,'Talente &amp; Stuff'!CL:DM,28,FALSE)</f>
        <v>0</v>
      </c>
      <c r="AE239" s="28"/>
    </row>
    <row r="240" spans="2:31" ht="15" hidden="1" customHeight="1" outlineLevel="2">
      <c r="B240" s="148">
        <v>28</v>
      </c>
      <c r="C240" s="177" t="str">
        <f>Attribute!C240</f>
        <v>---</v>
      </c>
      <c r="D240" s="86" t="str">
        <f>VLOOKUP(C240,'Talente &amp; Stuff'!CL:DM,2,FALSE)</f>
        <v>--/--/--</v>
      </c>
      <c r="E240" s="167" t="str">
        <f>VLOOKUP(C240,'Talente &amp; Stuff'!CL:DM,3,FALSE)</f>
        <v>-</v>
      </c>
      <c r="F240" s="120">
        <f>VLOOKUP(C240,'Talente &amp; Stuff'!CL:DM,4,FALSE)</f>
        <v>0</v>
      </c>
      <c r="G240" s="117">
        <f>VLOOKUP(C240,'Talente &amp; Stuff'!CL:DM,5,FALSE)</f>
        <v>0</v>
      </c>
      <c r="H240" s="117">
        <f>VLOOKUP(C240,'Talente &amp; Stuff'!CL:DM,6,FALSE)</f>
        <v>0</v>
      </c>
      <c r="I240" s="117">
        <f>VLOOKUP(C240,'Talente &amp; Stuff'!CL:DM,7,FALSE)</f>
        <v>0</v>
      </c>
      <c r="J240" s="117">
        <f>VLOOKUP(C240,'Talente &amp; Stuff'!CL:DM,8,FALSE)</f>
        <v>0</v>
      </c>
      <c r="K240" s="117">
        <f>VLOOKUP(C240,'Talente &amp; Stuff'!CL:DM,9,FALSE)</f>
        <v>0</v>
      </c>
      <c r="L240" s="117">
        <f>VLOOKUP(C240,'Talente &amp; Stuff'!CL:DM,10,FALSE)</f>
        <v>0</v>
      </c>
      <c r="M240" s="121">
        <f>VLOOKUP(C240,'Talente &amp; Stuff'!CL:DM,11,FALSE)</f>
        <v>0</v>
      </c>
      <c r="N240" s="47">
        <f>VLOOKUP(C240,'Talente &amp; Stuff'!CL:DM,12,FALSE)</f>
        <v>0</v>
      </c>
      <c r="O240" s="3">
        <f>VLOOKUP(C240,'Talente &amp; Stuff'!CL:DM,13,FALSE)</f>
        <v>0</v>
      </c>
      <c r="P240" s="174">
        <f>VLOOKUP(C240,'Talente &amp; Stuff'!CL:DM,14,FALSE)</f>
        <v>0</v>
      </c>
      <c r="Q240" s="114">
        <f>VLOOKUP(C240,'Talente &amp; Stuff'!CL:DM,15,FALSE)</f>
        <v>0</v>
      </c>
      <c r="R240" s="117">
        <f>VLOOKUP(C240,'Talente &amp; Stuff'!CL:DM,16,FALSE)</f>
        <v>0</v>
      </c>
      <c r="S240" s="119">
        <f>VLOOKUP(C240,'Talente &amp; Stuff'!CL:DM,17,FALSE)</f>
        <v>0</v>
      </c>
      <c r="T240" s="119">
        <f>VLOOKUP(C240,'Talente &amp; Stuff'!CL:DM,18,FALSE)</f>
        <v>0</v>
      </c>
      <c r="U240" s="89">
        <f>VLOOKUP(C240,'Talente &amp; Stuff'!CL:DM,19,FALSE)</f>
        <v>0</v>
      </c>
      <c r="V240" s="47">
        <f>VLOOKUP(C240,'Talente &amp; Stuff'!CL:DM,20,FALSE)</f>
        <v>0</v>
      </c>
      <c r="W240" s="127">
        <f>VLOOKUP(C240,'Talente &amp; Stuff'!CL:DM,21,FALSE)</f>
        <v>0</v>
      </c>
      <c r="X240" s="127">
        <f>VLOOKUP(C240,'Talente &amp; Stuff'!CL:DM,22,FALSE)</f>
        <v>0</v>
      </c>
      <c r="Y240" s="165">
        <f t="shared" si="20"/>
        <v>0</v>
      </c>
      <c r="Z240" s="44">
        <f t="shared" si="21"/>
        <v>0</v>
      </c>
      <c r="AA240" s="125">
        <f>VLOOKUP(C240,'Talente &amp; Stuff'!CL:DM,25,FALSE)</f>
        <v>0</v>
      </c>
      <c r="AB240" s="160">
        <f>VLOOKUP(C240,'Talente &amp; Stuff'!CL:DM,26,FALSE)</f>
        <v>0</v>
      </c>
      <c r="AC240" s="127">
        <f>VLOOKUP(C240,'Talente &amp; Stuff'!CL:DM,27,FALSE)</f>
        <v>0</v>
      </c>
      <c r="AD240" s="125">
        <f>VLOOKUP(C240,'Talente &amp; Stuff'!CL:DM,28,FALSE)</f>
        <v>0</v>
      </c>
      <c r="AE240" s="28"/>
    </row>
    <row r="241" spans="2:31" ht="15" hidden="1" customHeight="1" outlineLevel="2">
      <c r="B241" s="148">
        <v>29</v>
      </c>
      <c r="C241" s="177" t="str">
        <f>Attribute!C241</f>
        <v>---</v>
      </c>
      <c r="D241" s="125" t="str">
        <f>VLOOKUP(C241,'Talente &amp; Stuff'!CL:DM,2,FALSE)</f>
        <v>--/--/--</v>
      </c>
      <c r="E241" s="127" t="str">
        <f>VLOOKUP(C241,'Talente &amp; Stuff'!CL:DM,3,FALSE)</f>
        <v>-</v>
      </c>
      <c r="F241" s="114">
        <f>VLOOKUP(C241,'Talente &amp; Stuff'!CL:DM,4,FALSE)</f>
        <v>0</v>
      </c>
      <c r="G241" s="113">
        <f>VLOOKUP(C241,'Talente &amp; Stuff'!CL:DM,5,FALSE)</f>
        <v>0</v>
      </c>
      <c r="H241" s="113">
        <f>VLOOKUP(C241,'Talente &amp; Stuff'!CL:DM,6,FALSE)</f>
        <v>0</v>
      </c>
      <c r="I241" s="113">
        <f>VLOOKUP(C241,'Talente &amp; Stuff'!CL:DM,7,FALSE)</f>
        <v>0</v>
      </c>
      <c r="J241" s="113">
        <f>VLOOKUP(C241,'Talente &amp; Stuff'!CL:DM,8,FALSE)</f>
        <v>0</v>
      </c>
      <c r="K241" s="113">
        <f>VLOOKUP(C241,'Talente &amp; Stuff'!CL:DM,9,FALSE)</f>
        <v>0</v>
      </c>
      <c r="L241" s="113">
        <f>VLOOKUP(C241,'Talente &amp; Stuff'!CL:DM,10,FALSE)</f>
        <v>0</v>
      </c>
      <c r="M241" s="119">
        <f>VLOOKUP(C241,'Talente &amp; Stuff'!CL:DM,11,FALSE)</f>
        <v>0</v>
      </c>
      <c r="N241" s="47">
        <f>VLOOKUP(C241,'Talente &amp; Stuff'!CL:DM,12,FALSE)</f>
        <v>0</v>
      </c>
      <c r="O241" s="47">
        <f>VLOOKUP(C241,'Talente &amp; Stuff'!CL:DM,13,FALSE)</f>
        <v>0</v>
      </c>
      <c r="P241" s="119">
        <f>VLOOKUP(C241,'Talente &amp; Stuff'!CL:DM,14,FALSE)</f>
        <v>0</v>
      </c>
      <c r="Q241" s="114">
        <f>VLOOKUP(C241,'Talente &amp; Stuff'!CL:DM,15,FALSE)</f>
        <v>0</v>
      </c>
      <c r="R241" s="113">
        <f>VLOOKUP(C241,'Talente &amp; Stuff'!CL:DM,16,FALSE)</f>
        <v>0</v>
      </c>
      <c r="S241" s="119">
        <f>VLOOKUP(C241,'Talente &amp; Stuff'!CL:DM,17,FALSE)</f>
        <v>0</v>
      </c>
      <c r="T241" s="119">
        <f>VLOOKUP(C241,'Talente &amp; Stuff'!CL:DM,18,FALSE)</f>
        <v>0</v>
      </c>
      <c r="U241" s="89">
        <f>VLOOKUP(C241,'Talente &amp; Stuff'!CL:DM,19,FALSE)</f>
        <v>0</v>
      </c>
      <c r="V241" s="47">
        <f>VLOOKUP(C241,'Talente &amp; Stuff'!CL:DM,20,FALSE)</f>
        <v>0</v>
      </c>
      <c r="W241" s="127">
        <f>VLOOKUP(C241,'Talente &amp; Stuff'!CL:DM,21,FALSE)</f>
        <v>0</v>
      </c>
      <c r="X241" s="127">
        <f>VLOOKUP(C241,'Talente &amp; Stuff'!CL:DM,22,FALSE)</f>
        <v>0</v>
      </c>
      <c r="Y241" s="165">
        <f t="shared" si="20"/>
        <v>0</v>
      </c>
      <c r="Z241" s="44">
        <f t="shared" si="21"/>
        <v>0</v>
      </c>
      <c r="AA241" s="125">
        <f>VLOOKUP(C241,'Talente &amp; Stuff'!CL:DM,25,FALSE)</f>
        <v>0</v>
      </c>
      <c r="AB241" s="160">
        <f>VLOOKUP(C241,'Talente &amp; Stuff'!CL:DM,26,FALSE)</f>
        <v>0</v>
      </c>
      <c r="AC241" s="127">
        <f>VLOOKUP(C241,'Talente &amp; Stuff'!CL:DM,27,FALSE)</f>
        <v>0</v>
      </c>
      <c r="AD241" s="125">
        <f>VLOOKUP(C241,'Talente &amp; Stuff'!CL:DM,28,FALSE)</f>
        <v>0</v>
      </c>
      <c r="AE241" s="28"/>
    </row>
    <row r="242" spans="2:31" ht="15" hidden="1" customHeight="1" outlineLevel="2">
      <c r="B242" s="148">
        <v>30</v>
      </c>
      <c r="C242" s="177" t="str">
        <f>Attribute!C242</f>
        <v>---</v>
      </c>
      <c r="D242" s="125" t="str">
        <f>VLOOKUP(C242,'Talente &amp; Stuff'!CL:DM,2,FALSE)</f>
        <v>--/--/--</v>
      </c>
      <c r="E242" s="127" t="str">
        <f>VLOOKUP(C242,'Talente &amp; Stuff'!CL:DM,3,FALSE)</f>
        <v>-</v>
      </c>
      <c r="F242" s="114">
        <f>VLOOKUP(C242,'Talente &amp; Stuff'!CL:DM,4,FALSE)</f>
        <v>0</v>
      </c>
      <c r="G242" s="113">
        <f>VLOOKUP(C242,'Talente &amp; Stuff'!CL:DM,5,FALSE)</f>
        <v>0</v>
      </c>
      <c r="H242" s="113">
        <f>VLOOKUP(C242,'Talente &amp; Stuff'!CL:DM,6,FALSE)</f>
        <v>0</v>
      </c>
      <c r="I242" s="113">
        <f>VLOOKUP(C242,'Talente &amp; Stuff'!CL:DM,7,FALSE)</f>
        <v>0</v>
      </c>
      <c r="J242" s="113">
        <f>VLOOKUP(C242,'Talente &amp; Stuff'!CL:DM,8,FALSE)</f>
        <v>0</v>
      </c>
      <c r="K242" s="113">
        <f>VLOOKUP(C242,'Talente &amp; Stuff'!CL:DM,9,FALSE)</f>
        <v>0</v>
      </c>
      <c r="L242" s="113">
        <f>VLOOKUP(C242,'Talente &amp; Stuff'!CL:DM,10,FALSE)</f>
        <v>0</v>
      </c>
      <c r="M242" s="119">
        <f>VLOOKUP(C242,'Talente &amp; Stuff'!CL:DM,11,FALSE)</f>
        <v>0</v>
      </c>
      <c r="N242" s="47">
        <f>VLOOKUP(C242,'Talente &amp; Stuff'!CL:DM,12,FALSE)</f>
        <v>0</v>
      </c>
      <c r="O242" s="47">
        <f>VLOOKUP(C242,'Talente &amp; Stuff'!CL:DM,13,FALSE)</f>
        <v>0</v>
      </c>
      <c r="P242" s="119">
        <f>VLOOKUP(C242,'Talente &amp; Stuff'!CL:DM,14,FALSE)</f>
        <v>0</v>
      </c>
      <c r="Q242" s="114">
        <f>VLOOKUP(C242,'Talente &amp; Stuff'!CL:DM,15,FALSE)</f>
        <v>0</v>
      </c>
      <c r="R242" s="113">
        <f>VLOOKUP(C242,'Talente &amp; Stuff'!CL:DM,16,FALSE)</f>
        <v>0</v>
      </c>
      <c r="S242" s="119">
        <f>VLOOKUP(C242,'Talente &amp; Stuff'!CL:DM,17,FALSE)</f>
        <v>0</v>
      </c>
      <c r="T242" s="119">
        <f>VLOOKUP(C242,'Talente &amp; Stuff'!CL:DM,18,FALSE)</f>
        <v>0</v>
      </c>
      <c r="U242" s="89">
        <f>VLOOKUP(C242,'Talente &amp; Stuff'!CL:DM,19,FALSE)</f>
        <v>0</v>
      </c>
      <c r="V242" s="47">
        <f>VLOOKUP(C242,'Talente &amp; Stuff'!CL:DM,20,FALSE)</f>
        <v>0</v>
      </c>
      <c r="W242" s="127">
        <f>VLOOKUP(C242,'Talente &amp; Stuff'!CL:DM,21,FALSE)</f>
        <v>0</v>
      </c>
      <c r="X242" s="127">
        <f>VLOOKUP(C242,'Talente &amp; Stuff'!CL:DM,22,FALSE)</f>
        <v>0</v>
      </c>
      <c r="Y242" s="165">
        <f t="shared" si="20"/>
        <v>0</v>
      </c>
      <c r="Z242" s="44">
        <f t="shared" si="21"/>
        <v>0</v>
      </c>
      <c r="AA242" s="125">
        <f>VLOOKUP(C242,'Talente &amp; Stuff'!CL:DM,25,FALSE)</f>
        <v>0</v>
      </c>
      <c r="AB242" s="160">
        <f>VLOOKUP(C242,'Talente &amp; Stuff'!CL:DM,26,FALSE)</f>
        <v>0</v>
      </c>
      <c r="AC242" s="127">
        <f>VLOOKUP(C242,'Talente &amp; Stuff'!CL:DM,27,FALSE)</f>
        <v>0</v>
      </c>
      <c r="AD242" s="125">
        <f>VLOOKUP(C242,'Talente &amp; Stuff'!CL:DM,28,FALSE)</f>
        <v>0</v>
      </c>
      <c r="AE242" s="28"/>
    </row>
    <row r="243" spans="2:31" ht="15" hidden="1" customHeight="1" outlineLevel="2">
      <c r="B243" s="148">
        <v>31</v>
      </c>
      <c r="C243" s="177" t="str">
        <f>Attribute!C243</f>
        <v>---</v>
      </c>
      <c r="D243" s="125" t="str">
        <f>VLOOKUP(C243,'Talente &amp; Stuff'!CL:DM,2,FALSE)</f>
        <v>--/--/--</v>
      </c>
      <c r="E243" s="127" t="str">
        <f>VLOOKUP(C243,'Talente &amp; Stuff'!CL:DM,3,FALSE)</f>
        <v>-</v>
      </c>
      <c r="F243" s="114">
        <f>VLOOKUP(C243,'Talente &amp; Stuff'!CL:DM,4,FALSE)</f>
        <v>0</v>
      </c>
      <c r="G243" s="113">
        <f>VLOOKUP(C243,'Talente &amp; Stuff'!CL:DM,5,FALSE)</f>
        <v>0</v>
      </c>
      <c r="H243" s="113">
        <f>VLOOKUP(C243,'Talente &amp; Stuff'!CL:DM,6,FALSE)</f>
        <v>0</v>
      </c>
      <c r="I243" s="113">
        <f>VLOOKUP(C243,'Talente &amp; Stuff'!CL:DM,7,FALSE)</f>
        <v>0</v>
      </c>
      <c r="J243" s="113">
        <f>VLOOKUP(C243,'Talente &amp; Stuff'!CL:DM,8,FALSE)</f>
        <v>0</v>
      </c>
      <c r="K243" s="113">
        <f>VLOOKUP(C243,'Talente &amp; Stuff'!CL:DM,9,FALSE)</f>
        <v>0</v>
      </c>
      <c r="L243" s="113">
        <f>VLOOKUP(C243,'Talente &amp; Stuff'!CL:DM,10,FALSE)</f>
        <v>0</v>
      </c>
      <c r="M243" s="119">
        <f>VLOOKUP(C243,'Talente &amp; Stuff'!CL:DM,11,FALSE)</f>
        <v>0</v>
      </c>
      <c r="N243" s="47">
        <f>VLOOKUP(C243,'Talente &amp; Stuff'!CL:DM,12,FALSE)</f>
        <v>0</v>
      </c>
      <c r="O243" s="47">
        <f>VLOOKUP(C243,'Talente &amp; Stuff'!CL:DM,13,FALSE)</f>
        <v>0</v>
      </c>
      <c r="P243" s="119">
        <f>VLOOKUP(C243,'Talente &amp; Stuff'!CL:DM,14,FALSE)</f>
        <v>0</v>
      </c>
      <c r="Q243" s="114">
        <f>VLOOKUP(C243,'Talente &amp; Stuff'!CL:DM,15,FALSE)</f>
        <v>0</v>
      </c>
      <c r="R243" s="113">
        <f>VLOOKUP(C243,'Talente &amp; Stuff'!CL:DM,16,FALSE)</f>
        <v>0</v>
      </c>
      <c r="S243" s="119">
        <f>VLOOKUP(C243,'Talente &amp; Stuff'!CL:DM,17,FALSE)</f>
        <v>0</v>
      </c>
      <c r="T243" s="119">
        <f>VLOOKUP(C243,'Talente &amp; Stuff'!CL:DM,18,FALSE)</f>
        <v>0</v>
      </c>
      <c r="U243" s="89">
        <f>VLOOKUP(C243,'Talente &amp; Stuff'!CL:DM,19,FALSE)</f>
        <v>0</v>
      </c>
      <c r="V243" s="47">
        <f>VLOOKUP(C243,'Talente &amp; Stuff'!CL:DM,20,FALSE)</f>
        <v>0</v>
      </c>
      <c r="W243" s="127">
        <f>VLOOKUP(C243,'Talente &amp; Stuff'!CL:DM,21,FALSE)</f>
        <v>0</v>
      </c>
      <c r="X243" s="127">
        <f>VLOOKUP(C243,'Talente &amp; Stuff'!CL:DM,22,FALSE)</f>
        <v>0</v>
      </c>
      <c r="Y243" s="165">
        <f t="shared" si="20"/>
        <v>0</v>
      </c>
      <c r="Z243" s="44">
        <f t="shared" si="21"/>
        <v>0</v>
      </c>
      <c r="AA243" s="125">
        <f>VLOOKUP(C243,'Talente &amp; Stuff'!CL:DM,25,FALSE)</f>
        <v>0</v>
      </c>
      <c r="AB243" s="160">
        <f>VLOOKUP(C243,'Talente &amp; Stuff'!CL:DM,26,FALSE)</f>
        <v>0</v>
      </c>
      <c r="AC243" s="127">
        <f>VLOOKUP(C243,'Talente &amp; Stuff'!CL:DM,27,FALSE)</f>
        <v>0</v>
      </c>
      <c r="AD243" s="125">
        <f>VLOOKUP(C243,'Talente &amp; Stuff'!CL:DM,28,FALSE)</f>
        <v>0</v>
      </c>
      <c r="AE243" s="28"/>
    </row>
    <row r="244" spans="2:31" ht="15" hidden="1" customHeight="1" outlineLevel="2">
      <c r="B244" s="148">
        <v>32</v>
      </c>
      <c r="C244" s="177" t="str">
        <f>Attribute!C244</f>
        <v>---</v>
      </c>
      <c r="D244" s="125" t="str">
        <f>VLOOKUP(C244,'Talente &amp; Stuff'!CL:DM,2,FALSE)</f>
        <v>--/--/--</v>
      </c>
      <c r="E244" s="127" t="str">
        <f>VLOOKUP(C244,'Talente &amp; Stuff'!CL:DM,3,FALSE)</f>
        <v>-</v>
      </c>
      <c r="F244" s="114">
        <f>VLOOKUP(C244,'Talente &amp; Stuff'!CL:DM,4,FALSE)</f>
        <v>0</v>
      </c>
      <c r="G244" s="113">
        <f>VLOOKUP(C244,'Talente &amp; Stuff'!CL:DM,5,FALSE)</f>
        <v>0</v>
      </c>
      <c r="H244" s="113">
        <f>VLOOKUP(C244,'Talente &amp; Stuff'!CL:DM,6,FALSE)</f>
        <v>0</v>
      </c>
      <c r="I244" s="113">
        <f>VLOOKUP(C244,'Talente &amp; Stuff'!CL:DM,7,FALSE)</f>
        <v>0</v>
      </c>
      <c r="J244" s="113">
        <f>VLOOKUP(C244,'Talente &amp; Stuff'!CL:DM,8,FALSE)</f>
        <v>0</v>
      </c>
      <c r="K244" s="113">
        <f>VLOOKUP(C244,'Talente &amp; Stuff'!CL:DM,9,FALSE)</f>
        <v>0</v>
      </c>
      <c r="L244" s="113">
        <f>VLOOKUP(C244,'Talente &amp; Stuff'!CL:DM,10,FALSE)</f>
        <v>0</v>
      </c>
      <c r="M244" s="119">
        <f>VLOOKUP(C244,'Talente &amp; Stuff'!CL:DM,11,FALSE)</f>
        <v>0</v>
      </c>
      <c r="N244" s="47">
        <f>VLOOKUP(C244,'Talente &amp; Stuff'!CL:DM,12,FALSE)</f>
        <v>0</v>
      </c>
      <c r="O244" s="47">
        <f>VLOOKUP(C244,'Talente &amp; Stuff'!CL:DM,13,FALSE)</f>
        <v>0</v>
      </c>
      <c r="P244" s="119">
        <f>VLOOKUP(C244,'Talente &amp; Stuff'!CL:DM,14,FALSE)</f>
        <v>0</v>
      </c>
      <c r="Q244" s="114">
        <f>VLOOKUP(C244,'Talente &amp; Stuff'!CL:DM,15,FALSE)</f>
        <v>0</v>
      </c>
      <c r="R244" s="113">
        <f>VLOOKUP(C244,'Talente &amp; Stuff'!CL:DM,16,FALSE)</f>
        <v>0</v>
      </c>
      <c r="S244" s="119">
        <f>VLOOKUP(C244,'Talente &amp; Stuff'!CL:DM,17,FALSE)</f>
        <v>0</v>
      </c>
      <c r="T244" s="119">
        <f>VLOOKUP(C244,'Talente &amp; Stuff'!CL:DM,18,FALSE)</f>
        <v>0</v>
      </c>
      <c r="U244" s="89">
        <f>VLOOKUP(C244,'Talente &amp; Stuff'!CL:DM,19,FALSE)</f>
        <v>0</v>
      </c>
      <c r="V244" s="47">
        <f>VLOOKUP(C244,'Talente &amp; Stuff'!CL:DM,20,FALSE)</f>
        <v>0</v>
      </c>
      <c r="W244" s="127">
        <f>VLOOKUP(C244,'Talente &amp; Stuff'!CL:DM,21,FALSE)</f>
        <v>0</v>
      </c>
      <c r="X244" s="127">
        <f>VLOOKUP(C244,'Talente &amp; Stuff'!CL:DM,22,FALSE)</f>
        <v>0</v>
      </c>
      <c r="Y244" s="165">
        <f t="shared" si="20"/>
        <v>0</v>
      </c>
      <c r="Z244" s="44">
        <f t="shared" si="21"/>
        <v>0</v>
      </c>
      <c r="AA244" s="125">
        <f>VLOOKUP(C244,'Talente &amp; Stuff'!CL:DM,25,FALSE)</f>
        <v>0</v>
      </c>
      <c r="AB244" s="160">
        <f>VLOOKUP(C244,'Talente &amp; Stuff'!CL:DM,26,FALSE)</f>
        <v>0</v>
      </c>
      <c r="AC244" s="127">
        <f>VLOOKUP(C244,'Talente &amp; Stuff'!CL:DM,27,FALSE)</f>
        <v>0</v>
      </c>
      <c r="AD244" s="125">
        <f>VLOOKUP(C244,'Talente &amp; Stuff'!CL:DM,28,FALSE)</f>
        <v>0</v>
      </c>
      <c r="AE244" s="28"/>
    </row>
    <row r="245" spans="2:31" ht="15" hidden="1" customHeight="1" outlineLevel="2">
      <c r="B245" s="148">
        <v>33</v>
      </c>
      <c r="C245" s="177" t="str">
        <f>Attribute!C245</f>
        <v>---</v>
      </c>
      <c r="D245" s="125" t="str">
        <f>VLOOKUP(C245,'Talente &amp; Stuff'!CL:DM,2,FALSE)</f>
        <v>--/--/--</v>
      </c>
      <c r="E245" s="127" t="str">
        <f>VLOOKUP(C245,'Talente &amp; Stuff'!CL:DM,3,FALSE)</f>
        <v>-</v>
      </c>
      <c r="F245" s="114">
        <f>VLOOKUP(C245,'Talente &amp; Stuff'!CL:DM,4,FALSE)</f>
        <v>0</v>
      </c>
      <c r="G245" s="113">
        <f>VLOOKUP(C245,'Talente &amp; Stuff'!CL:DM,5,FALSE)</f>
        <v>0</v>
      </c>
      <c r="H245" s="113">
        <f>VLOOKUP(C245,'Talente &amp; Stuff'!CL:DM,6,FALSE)</f>
        <v>0</v>
      </c>
      <c r="I245" s="113">
        <f>VLOOKUP(C245,'Talente &amp; Stuff'!CL:DM,7,FALSE)</f>
        <v>0</v>
      </c>
      <c r="J245" s="113">
        <f>VLOOKUP(C245,'Talente &amp; Stuff'!CL:DM,8,FALSE)</f>
        <v>0</v>
      </c>
      <c r="K245" s="113">
        <f>VLOOKUP(C245,'Talente &amp; Stuff'!CL:DM,9,FALSE)</f>
        <v>0</v>
      </c>
      <c r="L245" s="113">
        <f>VLOOKUP(C245,'Talente &amp; Stuff'!CL:DM,10,FALSE)</f>
        <v>0</v>
      </c>
      <c r="M245" s="119">
        <f>VLOOKUP(C245,'Talente &amp; Stuff'!CL:DM,11,FALSE)</f>
        <v>0</v>
      </c>
      <c r="N245" s="47">
        <f>VLOOKUP(C245,'Talente &amp; Stuff'!CL:DM,12,FALSE)</f>
        <v>0</v>
      </c>
      <c r="O245" s="47">
        <f>VLOOKUP(C245,'Talente &amp; Stuff'!CL:DM,13,FALSE)</f>
        <v>0</v>
      </c>
      <c r="P245" s="119">
        <f>VLOOKUP(C245,'Talente &amp; Stuff'!CL:DM,14,FALSE)</f>
        <v>0</v>
      </c>
      <c r="Q245" s="114">
        <f>VLOOKUP(C245,'Talente &amp; Stuff'!CL:DM,15,FALSE)</f>
        <v>0</v>
      </c>
      <c r="R245" s="113">
        <f>VLOOKUP(C245,'Talente &amp; Stuff'!CL:DM,16,FALSE)</f>
        <v>0</v>
      </c>
      <c r="S245" s="119">
        <f>VLOOKUP(C245,'Talente &amp; Stuff'!CL:DM,17,FALSE)</f>
        <v>0</v>
      </c>
      <c r="T245" s="119">
        <f>VLOOKUP(C245,'Talente &amp; Stuff'!CL:DM,18,FALSE)</f>
        <v>0</v>
      </c>
      <c r="U245" s="89">
        <f>VLOOKUP(C245,'Talente &amp; Stuff'!CL:DM,19,FALSE)</f>
        <v>0</v>
      </c>
      <c r="V245" s="47">
        <f>VLOOKUP(C245,'Talente &amp; Stuff'!CL:DM,20,FALSE)</f>
        <v>0</v>
      </c>
      <c r="W245" s="127">
        <f>VLOOKUP(C245,'Talente &amp; Stuff'!CL:DM,21,FALSE)</f>
        <v>0</v>
      </c>
      <c r="X245" s="127">
        <f>VLOOKUP(C245,'Talente &amp; Stuff'!CL:DM,22,FALSE)</f>
        <v>0</v>
      </c>
      <c r="Y245" s="165">
        <f t="shared" si="20"/>
        <v>0</v>
      </c>
      <c r="Z245" s="44">
        <f t="shared" si="21"/>
        <v>0</v>
      </c>
      <c r="AA245" s="125">
        <f>VLOOKUP(C245,'Talente &amp; Stuff'!CL:DM,25,FALSE)</f>
        <v>0</v>
      </c>
      <c r="AB245" s="160">
        <f>VLOOKUP(C245,'Talente &amp; Stuff'!CL:DM,26,FALSE)</f>
        <v>0</v>
      </c>
      <c r="AC245" s="127">
        <f>VLOOKUP(C245,'Talente &amp; Stuff'!CL:DM,27,FALSE)</f>
        <v>0</v>
      </c>
      <c r="AD245" s="125">
        <f>VLOOKUP(C245,'Talente &amp; Stuff'!CL:DM,28,FALSE)</f>
        <v>0</v>
      </c>
      <c r="AE245" s="28"/>
    </row>
    <row r="246" spans="2:31" ht="15" hidden="1" customHeight="1" outlineLevel="2">
      <c r="B246" s="148">
        <v>34</v>
      </c>
      <c r="C246" s="177" t="str">
        <f>Attribute!C246</f>
        <v>---</v>
      </c>
      <c r="D246" s="125" t="str">
        <f>VLOOKUP(C246,'Talente &amp; Stuff'!CL:DM,2,FALSE)</f>
        <v>--/--/--</v>
      </c>
      <c r="E246" s="127" t="str">
        <f>VLOOKUP(C246,'Talente &amp; Stuff'!CL:DM,3,FALSE)</f>
        <v>-</v>
      </c>
      <c r="F246" s="114">
        <f>VLOOKUP(C246,'Talente &amp; Stuff'!CL:DM,4,FALSE)</f>
        <v>0</v>
      </c>
      <c r="G246" s="113">
        <f>VLOOKUP(C246,'Talente &amp; Stuff'!CL:DM,5,FALSE)</f>
        <v>0</v>
      </c>
      <c r="H246" s="113">
        <f>VLOOKUP(C246,'Talente &amp; Stuff'!CL:DM,6,FALSE)</f>
        <v>0</v>
      </c>
      <c r="I246" s="113">
        <f>VLOOKUP(C246,'Talente &amp; Stuff'!CL:DM,7,FALSE)</f>
        <v>0</v>
      </c>
      <c r="J246" s="113">
        <f>VLOOKUP(C246,'Talente &amp; Stuff'!CL:DM,8,FALSE)</f>
        <v>0</v>
      </c>
      <c r="K246" s="113">
        <f>VLOOKUP(C246,'Talente &amp; Stuff'!CL:DM,9,FALSE)</f>
        <v>0</v>
      </c>
      <c r="L246" s="113">
        <f>VLOOKUP(C246,'Talente &amp; Stuff'!CL:DM,10,FALSE)</f>
        <v>0</v>
      </c>
      <c r="M246" s="119">
        <f>VLOOKUP(C246,'Talente &amp; Stuff'!CL:DM,11,FALSE)</f>
        <v>0</v>
      </c>
      <c r="N246" s="47">
        <f>VLOOKUP(C246,'Talente &amp; Stuff'!CL:DM,12,FALSE)</f>
        <v>0</v>
      </c>
      <c r="O246" s="47">
        <f>VLOOKUP(C246,'Talente &amp; Stuff'!CL:DM,13,FALSE)</f>
        <v>0</v>
      </c>
      <c r="P246" s="119">
        <f>VLOOKUP(C246,'Talente &amp; Stuff'!CL:DM,14,FALSE)</f>
        <v>0</v>
      </c>
      <c r="Q246" s="114">
        <f>VLOOKUP(C246,'Talente &amp; Stuff'!CL:DM,15,FALSE)</f>
        <v>0</v>
      </c>
      <c r="R246" s="113">
        <f>VLOOKUP(C246,'Talente &amp; Stuff'!CL:DM,16,FALSE)</f>
        <v>0</v>
      </c>
      <c r="S246" s="119">
        <f>VLOOKUP(C246,'Talente &amp; Stuff'!CL:DM,17,FALSE)</f>
        <v>0</v>
      </c>
      <c r="T246" s="119">
        <f>VLOOKUP(C246,'Talente &amp; Stuff'!CL:DM,18,FALSE)</f>
        <v>0</v>
      </c>
      <c r="U246" s="89">
        <f>VLOOKUP(C246,'Talente &amp; Stuff'!CL:DM,19,FALSE)</f>
        <v>0</v>
      </c>
      <c r="V246" s="47">
        <f>VLOOKUP(C246,'Talente &amp; Stuff'!CL:DM,20,FALSE)</f>
        <v>0</v>
      </c>
      <c r="W246" s="127">
        <f>VLOOKUP(C246,'Talente &amp; Stuff'!CL:DM,21,FALSE)</f>
        <v>0</v>
      </c>
      <c r="X246" s="127">
        <f>VLOOKUP(C246,'Talente &amp; Stuff'!CL:DM,22,FALSE)</f>
        <v>0</v>
      </c>
      <c r="Y246" s="165">
        <f t="shared" si="20"/>
        <v>0</v>
      </c>
      <c r="Z246" s="44">
        <f t="shared" si="21"/>
        <v>0</v>
      </c>
      <c r="AA246" s="125">
        <f>VLOOKUP(C246,'Talente &amp; Stuff'!CL:DM,25,FALSE)</f>
        <v>0</v>
      </c>
      <c r="AB246" s="160">
        <f>VLOOKUP(C246,'Talente &amp; Stuff'!CL:DM,26,FALSE)</f>
        <v>0</v>
      </c>
      <c r="AC246" s="127">
        <f>VLOOKUP(C246,'Talente &amp; Stuff'!CL:DM,27,FALSE)</f>
        <v>0</v>
      </c>
      <c r="AD246" s="125">
        <f>VLOOKUP(C246,'Talente &amp; Stuff'!CL:DM,28,FALSE)</f>
        <v>0</v>
      </c>
      <c r="AE246" s="28"/>
    </row>
    <row r="247" spans="2:31" ht="15" hidden="1" customHeight="1" outlineLevel="2">
      <c r="B247" s="148">
        <v>35</v>
      </c>
      <c r="C247" s="177" t="str">
        <f>Attribute!C247</f>
        <v>---</v>
      </c>
      <c r="D247" s="125" t="str">
        <f>VLOOKUP(C247,'Talente &amp; Stuff'!CL:DM,2,FALSE)</f>
        <v>--/--/--</v>
      </c>
      <c r="E247" s="127" t="str">
        <f>VLOOKUP(C247,'Talente &amp; Stuff'!CL:DM,3,FALSE)</f>
        <v>-</v>
      </c>
      <c r="F247" s="114">
        <f>VLOOKUP(C247,'Talente &amp; Stuff'!CL:DM,4,FALSE)</f>
        <v>0</v>
      </c>
      <c r="G247" s="113">
        <f>VLOOKUP(C247,'Talente &amp; Stuff'!CL:DM,5,FALSE)</f>
        <v>0</v>
      </c>
      <c r="H247" s="113">
        <f>VLOOKUP(C247,'Talente &amp; Stuff'!CL:DM,6,FALSE)</f>
        <v>0</v>
      </c>
      <c r="I247" s="113">
        <f>VLOOKUP(C247,'Talente &amp; Stuff'!CL:DM,7,FALSE)</f>
        <v>0</v>
      </c>
      <c r="J247" s="113">
        <f>VLOOKUP(C247,'Talente &amp; Stuff'!CL:DM,8,FALSE)</f>
        <v>0</v>
      </c>
      <c r="K247" s="113">
        <f>VLOOKUP(C247,'Talente &amp; Stuff'!CL:DM,9,FALSE)</f>
        <v>0</v>
      </c>
      <c r="L247" s="113">
        <f>VLOOKUP(C247,'Talente &amp; Stuff'!CL:DM,10,FALSE)</f>
        <v>0</v>
      </c>
      <c r="M247" s="119">
        <f>VLOOKUP(C247,'Talente &amp; Stuff'!CL:DM,11,FALSE)</f>
        <v>0</v>
      </c>
      <c r="N247" s="47">
        <f>VLOOKUP(C247,'Talente &amp; Stuff'!CL:DM,12,FALSE)</f>
        <v>0</v>
      </c>
      <c r="O247" s="47">
        <f>VLOOKUP(C247,'Talente &amp; Stuff'!CL:DM,13,FALSE)</f>
        <v>0</v>
      </c>
      <c r="P247" s="119">
        <f>VLOOKUP(C247,'Talente &amp; Stuff'!CL:DM,14,FALSE)</f>
        <v>0</v>
      </c>
      <c r="Q247" s="114">
        <f>VLOOKUP(C247,'Talente &amp; Stuff'!CL:DM,15,FALSE)</f>
        <v>0</v>
      </c>
      <c r="R247" s="113">
        <f>VLOOKUP(C247,'Talente &amp; Stuff'!CL:DM,16,FALSE)</f>
        <v>0</v>
      </c>
      <c r="S247" s="119">
        <f>VLOOKUP(C247,'Talente &amp; Stuff'!CL:DM,17,FALSE)</f>
        <v>0</v>
      </c>
      <c r="T247" s="119">
        <f>VLOOKUP(C247,'Talente &amp; Stuff'!CL:DM,18,FALSE)</f>
        <v>0</v>
      </c>
      <c r="U247" s="89">
        <f>VLOOKUP(C247,'Talente &amp; Stuff'!CL:DM,19,FALSE)</f>
        <v>0</v>
      </c>
      <c r="V247" s="47">
        <f>VLOOKUP(C247,'Talente &amp; Stuff'!CL:DM,20,FALSE)</f>
        <v>0</v>
      </c>
      <c r="W247" s="127">
        <f>VLOOKUP(C247,'Talente &amp; Stuff'!CL:DM,21,FALSE)</f>
        <v>0</v>
      </c>
      <c r="X247" s="127">
        <f>VLOOKUP(C247,'Talente &amp; Stuff'!CL:DM,22,FALSE)</f>
        <v>0</v>
      </c>
      <c r="Y247" s="165">
        <f t="shared" si="20"/>
        <v>0</v>
      </c>
      <c r="Z247" s="44">
        <f t="shared" si="21"/>
        <v>0</v>
      </c>
      <c r="AA247" s="125">
        <f>VLOOKUP(C247,'Talente &amp; Stuff'!CL:DM,25,FALSE)</f>
        <v>0</v>
      </c>
      <c r="AB247" s="160">
        <f>VLOOKUP(C247,'Talente &amp; Stuff'!CL:DM,26,FALSE)</f>
        <v>0</v>
      </c>
      <c r="AC247" s="127">
        <f>VLOOKUP(C247,'Talente &amp; Stuff'!CL:DM,27,FALSE)</f>
        <v>0</v>
      </c>
      <c r="AD247" s="125">
        <f>VLOOKUP(C247,'Talente &amp; Stuff'!CL:DM,28,FALSE)</f>
        <v>0</v>
      </c>
      <c r="AE247" s="28"/>
    </row>
    <row r="248" spans="2:31" ht="15" hidden="1" customHeight="1" outlineLevel="2">
      <c r="B248" s="148">
        <v>36</v>
      </c>
      <c r="C248" s="177" t="str">
        <f>Attribute!C248</f>
        <v>---</v>
      </c>
      <c r="D248" s="125" t="str">
        <f>VLOOKUP(C248,'Talente &amp; Stuff'!CL:DM,2,FALSE)</f>
        <v>--/--/--</v>
      </c>
      <c r="E248" s="127" t="str">
        <f>VLOOKUP(C248,'Talente &amp; Stuff'!CL:DM,3,FALSE)</f>
        <v>-</v>
      </c>
      <c r="F248" s="114">
        <f>VLOOKUP(C248,'Talente &amp; Stuff'!CL:DM,4,FALSE)</f>
        <v>0</v>
      </c>
      <c r="G248" s="113">
        <f>VLOOKUP(C248,'Talente &amp; Stuff'!CL:DM,5,FALSE)</f>
        <v>0</v>
      </c>
      <c r="H248" s="113">
        <f>VLOOKUP(C248,'Talente &amp; Stuff'!CL:DM,6,FALSE)</f>
        <v>0</v>
      </c>
      <c r="I248" s="113">
        <f>VLOOKUP(C248,'Talente &amp; Stuff'!CL:DM,7,FALSE)</f>
        <v>0</v>
      </c>
      <c r="J248" s="113">
        <f>VLOOKUP(C248,'Talente &amp; Stuff'!CL:DM,8,FALSE)</f>
        <v>0</v>
      </c>
      <c r="K248" s="113">
        <f>VLOOKUP(C248,'Talente &amp; Stuff'!CL:DM,9,FALSE)</f>
        <v>0</v>
      </c>
      <c r="L248" s="113">
        <f>VLOOKUP(C248,'Talente &amp; Stuff'!CL:DM,10,FALSE)</f>
        <v>0</v>
      </c>
      <c r="M248" s="119">
        <f>VLOOKUP(C248,'Talente &amp; Stuff'!CL:DM,11,FALSE)</f>
        <v>0</v>
      </c>
      <c r="N248" s="47">
        <f>VLOOKUP(C248,'Talente &amp; Stuff'!CL:DM,12,FALSE)</f>
        <v>0</v>
      </c>
      <c r="O248" s="47">
        <f>VLOOKUP(C248,'Talente &amp; Stuff'!CL:DM,13,FALSE)</f>
        <v>0</v>
      </c>
      <c r="P248" s="119">
        <f>VLOOKUP(C248,'Talente &amp; Stuff'!CL:DM,14,FALSE)</f>
        <v>0</v>
      </c>
      <c r="Q248" s="114">
        <f>VLOOKUP(C248,'Talente &amp; Stuff'!CL:DM,15,FALSE)</f>
        <v>0</v>
      </c>
      <c r="R248" s="113">
        <f>VLOOKUP(C248,'Talente &amp; Stuff'!CL:DM,16,FALSE)</f>
        <v>0</v>
      </c>
      <c r="S248" s="119">
        <f>VLOOKUP(C248,'Talente &amp; Stuff'!CL:DM,17,FALSE)</f>
        <v>0</v>
      </c>
      <c r="T248" s="119">
        <f>VLOOKUP(C248,'Talente &amp; Stuff'!CL:DM,18,FALSE)</f>
        <v>0</v>
      </c>
      <c r="U248" s="89">
        <f>VLOOKUP(C248,'Talente &amp; Stuff'!CL:DM,19,FALSE)</f>
        <v>0</v>
      </c>
      <c r="V248" s="47">
        <f>VLOOKUP(C248,'Talente &amp; Stuff'!CL:DM,20,FALSE)</f>
        <v>0</v>
      </c>
      <c r="W248" s="127">
        <f>VLOOKUP(C248,'Talente &amp; Stuff'!CL:DM,21,FALSE)</f>
        <v>0</v>
      </c>
      <c r="X248" s="127">
        <f>VLOOKUP(C248,'Talente &amp; Stuff'!CL:DM,22,FALSE)</f>
        <v>0</v>
      </c>
      <c r="Y248" s="165">
        <f t="shared" si="20"/>
        <v>0</v>
      </c>
      <c r="Z248" s="44">
        <f t="shared" si="21"/>
        <v>0</v>
      </c>
      <c r="AA248" s="125">
        <f>VLOOKUP(C248,'Talente &amp; Stuff'!CL:DM,25,FALSE)</f>
        <v>0</v>
      </c>
      <c r="AB248" s="160">
        <f>VLOOKUP(C248,'Talente &amp; Stuff'!CL:DM,26,FALSE)</f>
        <v>0</v>
      </c>
      <c r="AC248" s="127">
        <f>VLOOKUP(C248,'Talente &amp; Stuff'!CL:DM,27,FALSE)</f>
        <v>0</v>
      </c>
      <c r="AD248" s="125">
        <f>VLOOKUP(C248,'Talente &amp; Stuff'!CL:DM,28,FALSE)</f>
        <v>0</v>
      </c>
      <c r="AE248" s="28"/>
    </row>
    <row r="249" spans="2:31" ht="15" hidden="1" customHeight="1" outlineLevel="2">
      <c r="B249" s="148">
        <v>37</v>
      </c>
      <c r="C249" s="177" t="str">
        <f>Attribute!C249</f>
        <v>---</v>
      </c>
      <c r="D249" s="125" t="str">
        <f>VLOOKUP(C249,'Talente &amp; Stuff'!CL:DM,2,FALSE)</f>
        <v>--/--/--</v>
      </c>
      <c r="E249" s="127" t="str">
        <f>VLOOKUP(C249,'Talente &amp; Stuff'!CL:DM,3,FALSE)</f>
        <v>-</v>
      </c>
      <c r="F249" s="114">
        <f>VLOOKUP(C249,'Talente &amp; Stuff'!CL:DM,4,FALSE)</f>
        <v>0</v>
      </c>
      <c r="G249" s="113">
        <f>VLOOKUP(C249,'Talente &amp; Stuff'!CL:DM,5,FALSE)</f>
        <v>0</v>
      </c>
      <c r="H249" s="113">
        <f>VLOOKUP(C249,'Talente &amp; Stuff'!CL:DM,6,FALSE)</f>
        <v>0</v>
      </c>
      <c r="I249" s="113">
        <f>VLOOKUP(C249,'Talente &amp; Stuff'!CL:DM,7,FALSE)</f>
        <v>0</v>
      </c>
      <c r="J249" s="113">
        <f>VLOOKUP(C249,'Talente &amp; Stuff'!CL:DM,8,FALSE)</f>
        <v>0</v>
      </c>
      <c r="K249" s="113">
        <f>VLOOKUP(C249,'Talente &amp; Stuff'!CL:DM,9,FALSE)</f>
        <v>0</v>
      </c>
      <c r="L249" s="113">
        <f>VLOOKUP(C249,'Talente &amp; Stuff'!CL:DM,10,FALSE)</f>
        <v>0</v>
      </c>
      <c r="M249" s="119">
        <f>VLOOKUP(C249,'Talente &amp; Stuff'!CL:DM,11,FALSE)</f>
        <v>0</v>
      </c>
      <c r="N249" s="47">
        <f>VLOOKUP(C249,'Talente &amp; Stuff'!CL:DM,12,FALSE)</f>
        <v>0</v>
      </c>
      <c r="O249" s="47">
        <f>VLOOKUP(C249,'Talente &amp; Stuff'!CL:DM,13,FALSE)</f>
        <v>0</v>
      </c>
      <c r="P249" s="119">
        <f>VLOOKUP(C249,'Talente &amp; Stuff'!CL:DM,14,FALSE)</f>
        <v>0</v>
      </c>
      <c r="Q249" s="114">
        <f>VLOOKUP(C249,'Talente &amp; Stuff'!CL:DM,15,FALSE)</f>
        <v>0</v>
      </c>
      <c r="R249" s="113">
        <f>VLOOKUP(C249,'Talente &amp; Stuff'!CL:DM,16,FALSE)</f>
        <v>0</v>
      </c>
      <c r="S249" s="119">
        <f>VLOOKUP(C249,'Talente &amp; Stuff'!CL:DM,17,FALSE)</f>
        <v>0</v>
      </c>
      <c r="T249" s="119">
        <f>VLOOKUP(C249,'Talente &amp; Stuff'!CL:DM,18,FALSE)</f>
        <v>0</v>
      </c>
      <c r="U249" s="89">
        <f>VLOOKUP(C249,'Talente &amp; Stuff'!CL:DM,19,FALSE)</f>
        <v>0</v>
      </c>
      <c r="V249" s="47">
        <f>VLOOKUP(C249,'Talente &amp; Stuff'!CL:DM,20,FALSE)</f>
        <v>0</v>
      </c>
      <c r="W249" s="127">
        <f>VLOOKUP(C249,'Talente &amp; Stuff'!CL:DM,21,FALSE)</f>
        <v>0</v>
      </c>
      <c r="X249" s="127">
        <f>VLOOKUP(C249,'Talente &amp; Stuff'!CL:DM,22,FALSE)</f>
        <v>0</v>
      </c>
      <c r="Y249" s="165">
        <f t="shared" si="20"/>
        <v>0</v>
      </c>
      <c r="Z249" s="44">
        <f t="shared" si="21"/>
        <v>0</v>
      </c>
      <c r="AA249" s="125">
        <f>VLOOKUP(C249,'Talente &amp; Stuff'!CL:DM,25,FALSE)</f>
        <v>0</v>
      </c>
      <c r="AB249" s="160">
        <f>VLOOKUP(C249,'Talente &amp; Stuff'!CL:DM,26,FALSE)</f>
        <v>0</v>
      </c>
      <c r="AC249" s="127">
        <f>VLOOKUP(C249,'Talente &amp; Stuff'!CL:DM,27,FALSE)</f>
        <v>0</v>
      </c>
      <c r="AD249" s="125">
        <f>VLOOKUP(C249,'Talente &amp; Stuff'!CL:DM,28,FALSE)</f>
        <v>0</v>
      </c>
      <c r="AE249" s="28"/>
    </row>
    <row r="250" spans="2:31" ht="15" hidden="1" customHeight="1" outlineLevel="2">
      <c r="B250" s="148">
        <v>38</v>
      </c>
      <c r="C250" s="177" t="str">
        <f>Attribute!C250</f>
        <v>---</v>
      </c>
      <c r="D250" s="125" t="str">
        <f>VLOOKUP(C250,'Talente &amp; Stuff'!CL:DM,2,FALSE)</f>
        <v>--/--/--</v>
      </c>
      <c r="E250" s="127" t="str">
        <f>VLOOKUP(C250,'Talente &amp; Stuff'!CL:DM,3,FALSE)</f>
        <v>-</v>
      </c>
      <c r="F250" s="114">
        <f>VLOOKUP(C250,'Talente &amp; Stuff'!CL:DM,4,FALSE)</f>
        <v>0</v>
      </c>
      <c r="G250" s="113">
        <f>VLOOKUP(C250,'Talente &amp; Stuff'!CL:DM,5,FALSE)</f>
        <v>0</v>
      </c>
      <c r="H250" s="113">
        <f>VLOOKUP(C250,'Talente &amp; Stuff'!CL:DM,6,FALSE)</f>
        <v>0</v>
      </c>
      <c r="I250" s="113">
        <f>VLOOKUP(C250,'Talente &amp; Stuff'!CL:DM,7,FALSE)</f>
        <v>0</v>
      </c>
      <c r="J250" s="113">
        <f>VLOOKUP(C250,'Talente &amp; Stuff'!CL:DM,8,FALSE)</f>
        <v>0</v>
      </c>
      <c r="K250" s="113">
        <f>VLOOKUP(C250,'Talente &amp; Stuff'!CL:DM,9,FALSE)</f>
        <v>0</v>
      </c>
      <c r="L250" s="113">
        <f>VLOOKUP(C250,'Talente &amp; Stuff'!CL:DM,10,FALSE)</f>
        <v>0</v>
      </c>
      <c r="M250" s="119">
        <f>VLOOKUP(C250,'Talente &amp; Stuff'!CL:DM,11,FALSE)</f>
        <v>0</v>
      </c>
      <c r="N250" s="47">
        <f>VLOOKUP(C250,'Talente &amp; Stuff'!CL:DM,12,FALSE)</f>
        <v>0</v>
      </c>
      <c r="O250" s="47">
        <f>VLOOKUP(C250,'Talente &amp; Stuff'!CL:DM,13,FALSE)</f>
        <v>0</v>
      </c>
      <c r="P250" s="119">
        <f>VLOOKUP(C250,'Talente &amp; Stuff'!CL:DM,14,FALSE)</f>
        <v>0</v>
      </c>
      <c r="Q250" s="114">
        <f>VLOOKUP(C250,'Talente &amp; Stuff'!CL:DM,15,FALSE)</f>
        <v>0</v>
      </c>
      <c r="R250" s="113">
        <f>VLOOKUP(C250,'Talente &amp; Stuff'!CL:DM,16,FALSE)</f>
        <v>0</v>
      </c>
      <c r="S250" s="119">
        <f>VLOOKUP(C250,'Talente &amp; Stuff'!CL:DM,17,FALSE)</f>
        <v>0</v>
      </c>
      <c r="T250" s="119">
        <f>VLOOKUP(C250,'Talente &amp; Stuff'!CL:DM,18,FALSE)</f>
        <v>0</v>
      </c>
      <c r="U250" s="89">
        <f>VLOOKUP(C250,'Talente &amp; Stuff'!CL:DM,19,FALSE)</f>
        <v>0</v>
      </c>
      <c r="V250" s="47">
        <f>VLOOKUP(C250,'Talente &amp; Stuff'!CL:DM,20,FALSE)</f>
        <v>0</v>
      </c>
      <c r="W250" s="127">
        <f>VLOOKUP(C250,'Talente &amp; Stuff'!CL:DM,21,FALSE)</f>
        <v>0</v>
      </c>
      <c r="X250" s="127">
        <f>VLOOKUP(C250,'Talente &amp; Stuff'!CL:DM,22,FALSE)</f>
        <v>0</v>
      </c>
      <c r="Y250" s="165">
        <f t="shared" si="20"/>
        <v>0</v>
      </c>
      <c r="Z250" s="44">
        <f t="shared" si="21"/>
        <v>0</v>
      </c>
      <c r="AA250" s="125">
        <f>VLOOKUP(C250,'Talente &amp; Stuff'!CL:DM,25,FALSE)</f>
        <v>0</v>
      </c>
      <c r="AB250" s="160">
        <f>VLOOKUP(C250,'Talente &amp; Stuff'!CL:DM,26,FALSE)</f>
        <v>0</v>
      </c>
      <c r="AC250" s="127">
        <f>VLOOKUP(C250,'Talente &amp; Stuff'!CL:DM,27,FALSE)</f>
        <v>0</v>
      </c>
      <c r="AD250" s="125">
        <f>VLOOKUP(C250,'Talente &amp; Stuff'!CL:DM,28,FALSE)</f>
        <v>0</v>
      </c>
      <c r="AE250" s="28"/>
    </row>
    <row r="251" spans="2:31" ht="15" hidden="1" customHeight="1" outlineLevel="2">
      <c r="B251" s="148">
        <v>39</v>
      </c>
      <c r="C251" s="177" t="str">
        <f>Attribute!C251</f>
        <v>---</v>
      </c>
      <c r="D251" s="125" t="str">
        <f>VLOOKUP(C251,'Talente &amp; Stuff'!CL:DM,2,FALSE)</f>
        <v>--/--/--</v>
      </c>
      <c r="E251" s="127" t="str">
        <f>VLOOKUP(C251,'Talente &amp; Stuff'!CL:DM,3,FALSE)</f>
        <v>-</v>
      </c>
      <c r="F251" s="114">
        <f>VLOOKUP(C251,'Talente &amp; Stuff'!CL:DM,4,FALSE)</f>
        <v>0</v>
      </c>
      <c r="G251" s="113">
        <f>VLOOKUP(C251,'Talente &amp; Stuff'!CL:DM,5,FALSE)</f>
        <v>0</v>
      </c>
      <c r="H251" s="113">
        <f>VLOOKUP(C251,'Talente &amp; Stuff'!CL:DM,6,FALSE)</f>
        <v>0</v>
      </c>
      <c r="I251" s="113">
        <f>VLOOKUP(C251,'Talente &amp; Stuff'!CL:DM,7,FALSE)</f>
        <v>0</v>
      </c>
      <c r="J251" s="113">
        <f>VLOOKUP(C251,'Talente &amp; Stuff'!CL:DM,8,FALSE)</f>
        <v>0</v>
      </c>
      <c r="K251" s="113">
        <f>VLOOKUP(C251,'Talente &amp; Stuff'!CL:DM,9,FALSE)</f>
        <v>0</v>
      </c>
      <c r="L251" s="113">
        <f>VLOOKUP(C251,'Talente &amp; Stuff'!CL:DM,10,FALSE)</f>
        <v>0</v>
      </c>
      <c r="M251" s="119">
        <f>VLOOKUP(C251,'Talente &amp; Stuff'!CL:DM,11,FALSE)</f>
        <v>0</v>
      </c>
      <c r="N251" s="47">
        <f>VLOOKUP(C251,'Talente &amp; Stuff'!CL:DM,12,FALSE)</f>
        <v>0</v>
      </c>
      <c r="O251" s="47">
        <f>VLOOKUP(C251,'Talente &amp; Stuff'!CL:DM,13,FALSE)</f>
        <v>0</v>
      </c>
      <c r="P251" s="119">
        <f>VLOOKUP(C251,'Talente &amp; Stuff'!CL:DM,14,FALSE)</f>
        <v>0</v>
      </c>
      <c r="Q251" s="114">
        <f>VLOOKUP(C251,'Talente &amp; Stuff'!CL:DM,15,FALSE)</f>
        <v>0</v>
      </c>
      <c r="R251" s="113">
        <f>VLOOKUP(C251,'Talente &amp; Stuff'!CL:DM,16,FALSE)</f>
        <v>0</v>
      </c>
      <c r="S251" s="119">
        <f>VLOOKUP(C251,'Talente &amp; Stuff'!CL:DM,17,FALSE)</f>
        <v>0</v>
      </c>
      <c r="T251" s="119">
        <f>VLOOKUP(C251,'Talente &amp; Stuff'!CL:DM,18,FALSE)</f>
        <v>0</v>
      </c>
      <c r="U251" s="89">
        <f>VLOOKUP(C251,'Talente &amp; Stuff'!CL:DM,19,FALSE)</f>
        <v>0</v>
      </c>
      <c r="V251" s="47">
        <f>VLOOKUP(C251,'Talente &amp; Stuff'!CL:DM,20,FALSE)</f>
        <v>0</v>
      </c>
      <c r="W251" s="127">
        <f>VLOOKUP(C251,'Talente &amp; Stuff'!CL:DM,21,FALSE)</f>
        <v>0</v>
      </c>
      <c r="X251" s="127">
        <f>VLOOKUP(C251,'Talente &amp; Stuff'!CL:DM,22,FALSE)</f>
        <v>0</v>
      </c>
      <c r="Y251" s="165">
        <f t="shared" si="20"/>
        <v>0</v>
      </c>
      <c r="Z251" s="44">
        <f t="shared" si="21"/>
        <v>0</v>
      </c>
      <c r="AA251" s="125">
        <f>VLOOKUP(C251,'Talente &amp; Stuff'!CL:DM,25,FALSE)</f>
        <v>0</v>
      </c>
      <c r="AB251" s="160">
        <f>VLOOKUP(C251,'Talente &amp; Stuff'!CL:DM,26,FALSE)</f>
        <v>0</v>
      </c>
      <c r="AC251" s="127">
        <f>VLOOKUP(C251,'Talente &amp; Stuff'!CL:DM,27,FALSE)</f>
        <v>0</v>
      </c>
      <c r="AD251" s="125">
        <f>VLOOKUP(C251,'Talente &amp; Stuff'!CL:DM,28,FALSE)</f>
        <v>0</v>
      </c>
      <c r="AE251" s="28"/>
    </row>
    <row r="252" spans="2:31" ht="15" hidden="1" customHeight="1" outlineLevel="2">
      <c r="B252" s="148">
        <v>40</v>
      </c>
      <c r="C252" s="177" t="str">
        <f>Attribute!C252</f>
        <v>---</v>
      </c>
      <c r="D252" s="86" t="str">
        <f>VLOOKUP(C252,'Talente &amp; Stuff'!CL:DM,2,FALSE)</f>
        <v>--/--/--</v>
      </c>
      <c r="E252" s="127" t="str">
        <f>VLOOKUP(C252,'Talente &amp; Stuff'!CL:DM,3,FALSE)</f>
        <v>-</v>
      </c>
      <c r="F252" s="114">
        <f>VLOOKUP(C252,'Talente &amp; Stuff'!CL:DM,4,FALSE)</f>
        <v>0</v>
      </c>
      <c r="G252" s="113">
        <f>VLOOKUP(C252,'Talente &amp; Stuff'!CL:DM,5,FALSE)</f>
        <v>0</v>
      </c>
      <c r="H252" s="113">
        <f>VLOOKUP(C252,'Talente &amp; Stuff'!CL:DM,6,FALSE)</f>
        <v>0</v>
      </c>
      <c r="I252" s="113">
        <f>VLOOKUP(C252,'Talente &amp; Stuff'!CL:DM,7,FALSE)</f>
        <v>0</v>
      </c>
      <c r="J252" s="113">
        <f>VLOOKUP(C252,'Talente &amp; Stuff'!CL:DM,8,FALSE)</f>
        <v>0</v>
      </c>
      <c r="K252" s="113">
        <f>VLOOKUP(C252,'Talente &amp; Stuff'!CL:DM,9,FALSE)</f>
        <v>0</v>
      </c>
      <c r="L252" s="113">
        <f>VLOOKUP(C252,'Talente &amp; Stuff'!CL:DM,10,FALSE)</f>
        <v>0</v>
      </c>
      <c r="M252" s="119">
        <f>VLOOKUP(C252,'Talente &amp; Stuff'!CL:DM,11,FALSE)</f>
        <v>0</v>
      </c>
      <c r="N252" s="47">
        <f>VLOOKUP(C252,'Talente &amp; Stuff'!CL:DM,12,FALSE)</f>
        <v>0</v>
      </c>
      <c r="O252" s="3">
        <f>VLOOKUP(C252,'Talente &amp; Stuff'!CL:DM,13,FALSE)</f>
        <v>0</v>
      </c>
      <c r="P252" s="174">
        <f>VLOOKUP(C252,'Talente &amp; Stuff'!CL:DM,14,FALSE)</f>
        <v>0</v>
      </c>
      <c r="Q252" s="114">
        <f>VLOOKUP(C252,'Talente &amp; Stuff'!CL:DM,15,FALSE)</f>
        <v>0</v>
      </c>
      <c r="R252" s="113">
        <f>VLOOKUP(C252,'Talente &amp; Stuff'!CL:DM,16,FALSE)</f>
        <v>0</v>
      </c>
      <c r="S252" s="119">
        <f>VLOOKUP(C252,'Talente &amp; Stuff'!CL:DM,17,FALSE)</f>
        <v>0</v>
      </c>
      <c r="T252" s="119">
        <f>VLOOKUP(C252,'Talente &amp; Stuff'!CL:DM,18,FALSE)</f>
        <v>0</v>
      </c>
      <c r="U252" s="89">
        <f>VLOOKUP(C252,'Talente &amp; Stuff'!CL:DM,19,FALSE)</f>
        <v>0</v>
      </c>
      <c r="V252" s="47">
        <f>VLOOKUP(C252,'Talente &amp; Stuff'!CL:DM,20,FALSE)</f>
        <v>0</v>
      </c>
      <c r="W252" s="127">
        <f>VLOOKUP(C252,'Talente &amp; Stuff'!CL:DM,21,FALSE)</f>
        <v>0</v>
      </c>
      <c r="X252" s="127">
        <f>VLOOKUP(C252,'Talente &amp; Stuff'!CL:DM,22,FALSE)</f>
        <v>0</v>
      </c>
      <c r="Y252" s="165">
        <f t="shared" si="20"/>
        <v>0</v>
      </c>
      <c r="Z252" s="44">
        <f t="shared" si="21"/>
        <v>0</v>
      </c>
      <c r="AA252" s="125">
        <f>VLOOKUP(C252,'Talente &amp; Stuff'!CL:DM,25,FALSE)</f>
        <v>0</v>
      </c>
      <c r="AB252" s="160">
        <f>VLOOKUP(C252,'Talente &amp; Stuff'!CL:DM,26,FALSE)</f>
        <v>0</v>
      </c>
      <c r="AC252" s="127">
        <f>VLOOKUP(C252,'Talente &amp; Stuff'!CL:DM,27,FALSE)</f>
        <v>0</v>
      </c>
      <c r="AD252" s="125">
        <f>VLOOKUP(C252,'Talente &amp; Stuff'!CL:DM,28,FALSE)</f>
        <v>0</v>
      </c>
      <c r="AE252" s="28"/>
    </row>
    <row r="253" spans="2:31" ht="15" hidden="1" customHeight="1" outlineLevel="2">
      <c r="B253" s="148">
        <v>41</v>
      </c>
      <c r="C253" s="177" t="str">
        <f>Attribute!C253</f>
        <v>---</v>
      </c>
      <c r="D253" s="125" t="str">
        <f>VLOOKUP(C253,'Talente &amp; Stuff'!CL:DM,2,FALSE)</f>
        <v>--/--/--</v>
      </c>
      <c r="E253" s="127" t="str">
        <f>VLOOKUP(C253,'Talente &amp; Stuff'!CL:DM,3,FALSE)</f>
        <v>-</v>
      </c>
      <c r="F253" s="114">
        <f>VLOOKUP(C253,'Talente &amp; Stuff'!CL:DM,4,FALSE)</f>
        <v>0</v>
      </c>
      <c r="G253" s="113">
        <f>VLOOKUP(C253,'Talente &amp; Stuff'!CL:DM,5,FALSE)</f>
        <v>0</v>
      </c>
      <c r="H253" s="113">
        <f>VLOOKUP(C253,'Talente &amp; Stuff'!CL:DM,6,FALSE)</f>
        <v>0</v>
      </c>
      <c r="I253" s="113">
        <f>VLOOKUP(C253,'Talente &amp; Stuff'!CL:DM,7,FALSE)</f>
        <v>0</v>
      </c>
      <c r="J253" s="113">
        <f>VLOOKUP(C253,'Talente &amp; Stuff'!CL:DM,8,FALSE)</f>
        <v>0</v>
      </c>
      <c r="K253" s="113">
        <f>VLOOKUP(C253,'Talente &amp; Stuff'!CL:DM,9,FALSE)</f>
        <v>0</v>
      </c>
      <c r="L253" s="113">
        <f>VLOOKUP(C253,'Talente &amp; Stuff'!CL:DM,10,FALSE)</f>
        <v>0</v>
      </c>
      <c r="M253" s="119">
        <f>VLOOKUP(C253,'Talente &amp; Stuff'!CL:DM,11,FALSE)</f>
        <v>0</v>
      </c>
      <c r="N253" s="47">
        <f>VLOOKUP(C253,'Talente &amp; Stuff'!CL:DM,12,FALSE)</f>
        <v>0</v>
      </c>
      <c r="O253" s="47">
        <f>VLOOKUP(C253,'Talente &amp; Stuff'!CL:DM,13,FALSE)</f>
        <v>0</v>
      </c>
      <c r="P253" s="119">
        <f>VLOOKUP(C253,'Talente &amp; Stuff'!CL:DM,14,FALSE)</f>
        <v>0</v>
      </c>
      <c r="Q253" s="114">
        <f>VLOOKUP(C253,'Talente &amp; Stuff'!CL:DM,15,FALSE)</f>
        <v>0</v>
      </c>
      <c r="R253" s="113">
        <f>VLOOKUP(C253,'Talente &amp; Stuff'!CL:DM,16,FALSE)</f>
        <v>0</v>
      </c>
      <c r="S253" s="119">
        <f>VLOOKUP(C253,'Talente &amp; Stuff'!CL:DM,17,FALSE)</f>
        <v>0</v>
      </c>
      <c r="T253" s="119">
        <f>VLOOKUP(C253,'Talente &amp; Stuff'!CL:DM,18,FALSE)</f>
        <v>0</v>
      </c>
      <c r="U253" s="89">
        <f>VLOOKUP(C253,'Talente &amp; Stuff'!CL:DM,19,FALSE)</f>
        <v>0</v>
      </c>
      <c r="V253" s="47">
        <f>VLOOKUP(C253,'Talente &amp; Stuff'!CL:DM,20,FALSE)</f>
        <v>0</v>
      </c>
      <c r="W253" s="127">
        <f>VLOOKUP(C253,'Talente &amp; Stuff'!CL:DM,21,FALSE)</f>
        <v>0</v>
      </c>
      <c r="X253" s="127">
        <f>VLOOKUP(C253,'Talente &amp; Stuff'!CL:DM,22,FALSE)</f>
        <v>0</v>
      </c>
      <c r="Y253" s="165">
        <f t="shared" si="20"/>
        <v>0</v>
      </c>
      <c r="Z253" s="44">
        <f t="shared" si="21"/>
        <v>0</v>
      </c>
      <c r="AA253" s="125">
        <f>VLOOKUP(C253,'Talente &amp; Stuff'!CL:DM,25,FALSE)</f>
        <v>0</v>
      </c>
      <c r="AB253" s="160">
        <f>VLOOKUP(C253,'Talente &amp; Stuff'!CL:DM,26,FALSE)</f>
        <v>0</v>
      </c>
      <c r="AC253" s="127">
        <f>VLOOKUP(C253,'Talente &amp; Stuff'!CL:DM,27,FALSE)</f>
        <v>0</v>
      </c>
      <c r="AD253" s="125">
        <f>VLOOKUP(C253,'Talente &amp; Stuff'!CL:DM,28,FALSE)</f>
        <v>0</v>
      </c>
      <c r="AE253" s="28"/>
    </row>
    <row r="254" spans="2:31" ht="15" hidden="1" customHeight="1" outlineLevel="2">
      <c r="B254" s="148">
        <v>42</v>
      </c>
      <c r="C254" s="177" t="str">
        <f>Attribute!C254</f>
        <v>---</v>
      </c>
      <c r="D254" s="125" t="str">
        <f>VLOOKUP(C254,'Talente &amp; Stuff'!CL:DM,2,FALSE)</f>
        <v>--/--/--</v>
      </c>
      <c r="E254" s="127" t="str">
        <f>VLOOKUP(C254,'Talente &amp; Stuff'!CL:DM,3,FALSE)</f>
        <v>-</v>
      </c>
      <c r="F254" s="114">
        <f>VLOOKUP(C254,'Talente &amp; Stuff'!CL:DM,4,FALSE)</f>
        <v>0</v>
      </c>
      <c r="G254" s="113">
        <f>VLOOKUP(C254,'Talente &amp; Stuff'!CL:DM,5,FALSE)</f>
        <v>0</v>
      </c>
      <c r="H254" s="113">
        <f>VLOOKUP(C254,'Talente &amp; Stuff'!CL:DM,6,FALSE)</f>
        <v>0</v>
      </c>
      <c r="I254" s="113">
        <f>VLOOKUP(C254,'Talente &amp; Stuff'!CL:DM,7,FALSE)</f>
        <v>0</v>
      </c>
      <c r="J254" s="113">
        <f>VLOOKUP(C254,'Talente &amp; Stuff'!CL:DM,8,FALSE)</f>
        <v>0</v>
      </c>
      <c r="K254" s="113">
        <f>VLOOKUP(C254,'Talente &amp; Stuff'!CL:DM,9,FALSE)</f>
        <v>0</v>
      </c>
      <c r="L254" s="113">
        <f>VLOOKUP(C254,'Talente &amp; Stuff'!CL:DM,10,FALSE)</f>
        <v>0</v>
      </c>
      <c r="M254" s="119">
        <f>VLOOKUP(C254,'Talente &amp; Stuff'!CL:DM,11,FALSE)</f>
        <v>0</v>
      </c>
      <c r="N254" s="47">
        <f>VLOOKUP(C254,'Talente &amp; Stuff'!CL:DM,12,FALSE)</f>
        <v>0</v>
      </c>
      <c r="O254" s="47">
        <f>VLOOKUP(C254,'Talente &amp; Stuff'!CL:DM,13,FALSE)</f>
        <v>0</v>
      </c>
      <c r="P254" s="119">
        <f>VLOOKUP(C254,'Talente &amp; Stuff'!CL:DM,14,FALSE)</f>
        <v>0</v>
      </c>
      <c r="Q254" s="114">
        <f>VLOOKUP(C254,'Talente &amp; Stuff'!CL:DM,15,FALSE)</f>
        <v>0</v>
      </c>
      <c r="R254" s="113">
        <f>VLOOKUP(C254,'Talente &amp; Stuff'!CL:DM,16,FALSE)</f>
        <v>0</v>
      </c>
      <c r="S254" s="119">
        <f>VLOOKUP(C254,'Talente &amp; Stuff'!CL:DM,17,FALSE)</f>
        <v>0</v>
      </c>
      <c r="T254" s="119">
        <f>VLOOKUP(C254,'Talente &amp; Stuff'!CL:DM,18,FALSE)</f>
        <v>0</v>
      </c>
      <c r="U254" s="89">
        <f>VLOOKUP(C254,'Talente &amp; Stuff'!CL:DM,19,FALSE)</f>
        <v>0</v>
      </c>
      <c r="V254" s="47">
        <f>VLOOKUP(C254,'Talente &amp; Stuff'!CL:DM,20,FALSE)</f>
        <v>0</v>
      </c>
      <c r="W254" s="127">
        <f>VLOOKUP(C254,'Talente &amp; Stuff'!CL:DM,21,FALSE)</f>
        <v>0</v>
      </c>
      <c r="X254" s="127">
        <f>VLOOKUP(C254,'Talente &amp; Stuff'!CL:DM,22,FALSE)</f>
        <v>0</v>
      </c>
      <c r="Y254" s="165">
        <f t="shared" si="20"/>
        <v>0</v>
      </c>
      <c r="Z254" s="44">
        <f t="shared" si="21"/>
        <v>0</v>
      </c>
      <c r="AA254" s="125">
        <f>VLOOKUP(C254,'Talente &amp; Stuff'!CL:DM,25,FALSE)</f>
        <v>0</v>
      </c>
      <c r="AB254" s="160">
        <f>VLOOKUP(C254,'Talente &amp; Stuff'!CL:DM,26,FALSE)</f>
        <v>0</v>
      </c>
      <c r="AC254" s="127">
        <f>VLOOKUP(C254,'Talente &amp; Stuff'!CL:DM,27,FALSE)</f>
        <v>0</v>
      </c>
      <c r="AD254" s="125">
        <f>VLOOKUP(C254,'Talente &amp; Stuff'!CL:DM,28,FALSE)</f>
        <v>0</v>
      </c>
      <c r="AE254" s="28"/>
    </row>
    <row r="255" spans="2:31" ht="15" hidden="1" customHeight="1" outlineLevel="2">
      <c r="B255" s="148">
        <v>43</v>
      </c>
      <c r="C255" s="177" t="str">
        <f>Attribute!C255</f>
        <v>---</v>
      </c>
      <c r="D255" s="86" t="str">
        <f>VLOOKUP(C255,'Talente &amp; Stuff'!CL:DM,2,FALSE)</f>
        <v>--/--/--</v>
      </c>
      <c r="E255" s="127" t="str">
        <f>VLOOKUP(C255,'Talente &amp; Stuff'!CL:DM,3,FALSE)</f>
        <v>-</v>
      </c>
      <c r="F255" s="114">
        <f>VLOOKUP(C255,'Talente &amp; Stuff'!CL:DM,4,FALSE)</f>
        <v>0</v>
      </c>
      <c r="G255" s="113">
        <f>VLOOKUP(C255,'Talente &amp; Stuff'!CL:DM,5,FALSE)</f>
        <v>0</v>
      </c>
      <c r="H255" s="113">
        <f>VLOOKUP(C255,'Talente &amp; Stuff'!CL:DM,6,FALSE)</f>
        <v>0</v>
      </c>
      <c r="I255" s="113">
        <f>VLOOKUP(C255,'Talente &amp; Stuff'!CL:DM,7,FALSE)</f>
        <v>0</v>
      </c>
      <c r="J255" s="113">
        <f>VLOOKUP(C255,'Talente &amp; Stuff'!CL:DM,8,FALSE)</f>
        <v>0</v>
      </c>
      <c r="K255" s="113">
        <f>VLOOKUP(C255,'Talente &amp; Stuff'!CL:DM,9,FALSE)</f>
        <v>0</v>
      </c>
      <c r="L255" s="113">
        <f>VLOOKUP(C255,'Talente &amp; Stuff'!CL:DM,10,FALSE)</f>
        <v>0</v>
      </c>
      <c r="M255" s="119">
        <f>VLOOKUP(C255,'Talente &amp; Stuff'!CL:DM,11,FALSE)</f>
        <v>0</v>
      </c>
      <c r="N255" s="47">
        <f>VLOOKUP(C255,'Talente &amp; Stuff'!CL:DM,12,FALSE)</f>
        <v>0</v>
      </c>
      <c r="O255" s="3">
        <f>VLOOKUP(C255,'Talente &amp; Stuff'!CL:DM,13,FALSE)</f>
        <v>0</v>
      </c>
      <c r="P255" s="174">
        <f>VLOOKUP(C255,'Talente &amp; Stuff'!CL:DM,14,FALSE)</f>
        <v>0</v>
      </c>
      <c r="Q255" s="114">
        <f>VLOOKUP(C255,'Talente &amp; Stuff'!CL:DM,15,FALSE)</f>
        <v>0</v>
      </c>
      <c r="R255" s="113">
        <f>VLOOKUP(C255,'Talente &amp; Stuff'!CL:DM,16,FALSE)</f>
        <v>0</v>
      </c>
      <c r="S255" s="119">
        <f>VLOOKUP(C255,'Talente &amp; Stuff'!CL:DM,17,FALSE)</f>
        <v>0</v>
      </c>
      <c r="T255" s="119">
        <f>VLOOKUP(C255,'Talente &amp; Stuff'!CL:DM,18,FALSE)</f>
        <v>0</v>
      </c>
      <c r="U255" s="89">
        <f>VLOOKUP(C255,'Talente &amp; Stuff'!CL:DM,19,FALSE)</f>
        <v>0</v>
      </c>
      <c r="V255" s="47">
        <f>VLOOKUP(C255,'Talente &amp; Stuff'!CL:DM,20,FALSE)</f>
        <v>0</v>
      </c>
      <c r="W255" s="127">
        <f>VLOOKUP(C255,'Talente &amp; Stuff'!CL:DM,21,FALSE)</f>
        <v>0</v>
      </c>
      <c r="X255" s="127">
        <f>VLOOKUP(C255,'Talente &amp; Stuff'!CL:DM,22,FALSE)</f>
        <v>0</v>
      </c>
      <c r="Y255" s="165">
        <f t="shared" si="20"/>
        <v>0</v>
      </c>
      <c r="Z255" s="44">
        <f t="shared" si="21"/>
        <v>0</v>
      </c>
      <c r="AA255" s="125">
        <f>VLOOKUP(C255,'Talente &amp; Stuff'!CL:DM,25,FALSE)</f>
        <v>0</v>
      </c>
      <c r="AB255" s="160">
        <f>VLOOKUP(C255,'Talente &amp; Stuff'!CL:DM,26,FALSE)</f>
        <v>0</v>
      </c>
      <c r="AC255" s="127">
        <f>VLOOKUP(C255,'Talente &amp; Stuff'!CL:DM,27,FALSE)</f>
        <v>0</v>
      </c>
      <c r="AD255" s="125">
        <f>VLOOKUP(C255,'Talente &amp; Stuff'!CL:DM,28,FALSE)</f>
        <v>0</v>
      </c>
      <c r="AE255" s="28"/>
    </row>
    <row r="256" spans="2:31" ht="15" hidden="1" customHeight="1" outlineLevel="2">
      <c r="B256" s="148">
        <v>44</v>
      </c>
      <c r="C256" s="177" t="str">
        <f>Attribute!C256</f>
        <v>---</v>
      </c>
      <c r="D256" s="125" t="str">
        <f>VLOOKUP(C256,'Talente &amp; Stuff'!CL:DM,2,FALSE)</f>
        <v>--/--/--</v>
      </c>
      <c r="E256" s="127" t="str">
        <f>VLOOKUP(C256,'Talente &amp; Stuff'!CL:DM,3,FALSE)</f>
        <v>-</v>
      </c>
      <c r="F256" s="114">
        <f>VLOOKUP(C256,'Talente &amp; Stuff'!CL:DM,4,FALSE)</f>
        <v>0</v>
      </c>
      <c r="G256" s="113">
        <f>VLOOKUP(C256,'Talente &amp; Stuff'!CL:DM,5,FALSE)</f>
        <v>0</v>
      </c>
      <c r="H256" s="113">
        <f>VLOOKUP(C256,'Talente &amp; Stuff'!CL:DM,6,FALSE)</f>
        <v>0</v>
      </c>
      <c r="I256" s="113">
        <f>VLOOKUP(C256,'Talente &amp; Stuff'!CL:DM,7,FALSE)</f>
        <v>0</v>
      </c>
      <c r="J256" s="113">
        <f>VLOOKUP(C256,'Talente &amp; Stuff'!CL:DM,8,FALSE)</f>
        <v>0</v>
      </c>
      <c r="K256" s="113">
        <f>VLOOKUP(C256,'Talente &amp; Stuff'!CL:DM,9,FALSE)</f>
        <v>0</v>
      </c>
      <c r="L256" s="113">
        <f>VLOOKUP(C256,'Talente &amp; Stuff'!CL:DM,10,FALSE)</f>
        <v>0</v>
      </c>
      <c r="M256" s="119">
        <f>VLOOKUP(C256,'Talente &amp; Stuff'!CL:DM,11,FALSE)</f>
        <v>0</v>
      </c>
      <c r="N256" s="47">
        <f>VLOOKUP(C256,'Talente &amp; Stuff'!CL:DM,12,FALSE)</f>
        <v>0</v>
      </c>
      <c r="O256" s="47">
        <f>VLOOKUP(C256,'Talente &amp; Stuff'!CL:DM,13,FALSE)</f>
        <v>0</v>
      </c>
      <c r="P256" s="119">
        <f>VLOOKUP(C256,'Talente &amp; Stuff'!CL:DM,14,FALSE)</f>
        <v>0</v>
      </c>
      <c r="Q256" s="114">
        <f>VLOOKUP(C256,'Talente &amp; Stuff'!CL:DM,15,FALSE)</f>
        <v>0</v>
      </c>
      <c r="R256" s="113">
        <f>VLOOKUP(C256,'Talente &amp; Stuff'!CL:DM,16,FALSE)</f>
        <v>0</v>
      </c>
      <c r="S256" s="119">
        <f>VLOOKUP(C256,'Talente &amp; Stuff'!CL:DM,17,FALSE)</f>
        <v>0</v>
      </c>
      <c r="T256" s="119">
        <f>VLOOKUP(C256,'Talente &amp; Stuff'!CL:DM,18,FALSE)</f>
        <v>0</v>
      </c>
      <c r="U256" s="89">
        <f>VLOOKUP(C256,'Talente &amp; Stuff'!CL:DM,19,FALSE)</f>
        <v>0</v>
      </c>
      <c r="V256" s="47">
        <f>VLOOKUP(C256,'Talente &amp; Stuff'!CL:DM,20,FALSE)</f>
        <v>0</v>
      </c>
      <c r="W256" s="127">
        <f>VLOOKUP(C256,'Talente &amp; Stuff'!CL:DM,21,FALSE)</f>
        <v>0</v>
      </c>
      <c r="X256" s="127">
        <f>VLOOKUP(C256,'Talente &amp; Stuff'!CL:DM,22,FALSE)</f>
        <v>0</v>
      </c>
      <c r="Y256" s="165">
        <f t="shared" si="20"/>
        <v>0</v>
      </c>
      <c r="Z256" s="44">
        <f t="shared" si="21"/>
        <v>0</v>
      </c>
      <c r="AA256" s="125">
        <f>VLOOKUP(C256,'Talente &amp; Stuff'!CL:DM,25,FALSE)</f>
        <v>0</v>
      </c>
      <c r="AB256" s="160">
        <f>VLOOKUP(C256,'Talente &amp; Stuff'!CL:DM,26,FALSE)</f>
        <v>0</v>
      </c>
      <c r="AC256" s="127">
        <f>VLOOKUP(C256,'Talente &amp; Stuff'!CL:DM,27,FALSE)</f>
        <v>0</v>
      </c>
      <c r="AD256" s="125">
        <f>VLOOKUP(C256,'Talente &amp; Stuff'!CL:DM,28,FALSE)</f>
        <v>0</v>
      </c>
      <c r="AE256" s="28"/>
    </row>
    <row r="257" spans="2:31" ht="15" hidden="1" customHeight="1" outlineLevel="2">
      <c r="B257" s="148">
        <v>45</v>
      </c>
      <c r="C257" s="178" t="str">
        <f>Attribute!C257</f>
        <v>---</v>
      </c>
      <c r="D257" s="159" t="str">
        <f>VLOOKUP(C257,'Talente &amp; Stuff'!CL:DM,2,FALSE)</f>
        <v>--/--/--</v>
      </c>
      <c r="E257" s="128" t="str">
        <f>VLOOKUP(C257,'Talente &amp; Stuff'!CL:DM,3,FALSE)</f>
        <v>-</v>
      </c>
      <c r="F257" s="115">
        <f>VLOOKUP(C257,'Talente &amp; Stuff'!CL:DM,4,FALSE)</f>
        <v>0</v>
      </c>
      <c r="G257" s="122">
        <f>VLOOKUP(C257,'Talente &amp; Stuff'!CL:DM,5,FALSE)</f>
        <v>0</v>
      </c>
      <c r="H257" s="122">
        <f>VLOOKUP(C257,'Talente &amp; Stuff'!CL:DM,6,FALSE)</f>
        <v>0</v>
      </c>
      <c r="I257" s="122">
        <f>VLOOKUP(C257,'Talente &amp; Stuff'!CL:DM,7,FALSE)</f>
        <v>0</v>
      </c>
      <c r="J257" s="122">
        <f>VLOOKUP(C257,'Talente &amp; Stuff'!CL:DM,8,FALSE)</f>
        <v>0</v>
      </c>
      <c r="K257" s="122">
        <f>VLOOKUP(C257,'Talente &amp; Stuff'!CL:DM,9,FALSE)</f>
        <v>0</v>
      </c>
      <c r="L257" s="122">
        <f>VLOOKUP(C257,'Talente &amp; Stuff'!CL:DM,10,FALSE)</f>
        <v>0</v>
      </c>
      <c r="M257" s="123">
        <f>VLOOKUP(C257,'Talente &amp; Stuff'!CL:DM,11,FALSE)</f>
        <v>0</v>
      </c>
      <c r="N257" s="88">
        <f>VLOOKUP(C257,'Talente &amp; Stuff'!CL:DM,12,FALSE)</f>
        <v>0</v>
      </c>
      <c r="O257" s="88">
        <f>VLOOKUP(C257,'Talente &amp; Stuff'!CL:DM,13,FALSE)</f>
        <v>0</v>
      </c>
      <c r="P257" s="123">
        <f>VLOOKUP(C257,'Talente &amp; Stuff'!CL:DM,14,FALSE)</f>
        <v>0</v>
      </c>
      <c r="Q257" s="115">
        <f>VLOOKUP(C257,'Talente &amp; Stuff'!CL:DM,15,FALSE)</f>
        <v>0</v>
      </c>
      <c r="R257" s="122">
        <f>VLOOKUP(C257,'Talente &amp; Stuff'!CL:DM,16,FALSE)</f>
        <v>0</v>
      </c>
      <c r="S257" s="123">
        <f>VLOOKUP(C257,'Talente &amp; Stuff'!CL:DM,17,FALSE)</f>
        <v>0</v>
      </c>
      <c r="T257" s="123">
        <f>VLOOKUP(C257,'Talente &amp; Stuff'!CL:DM,18,FALSE)</f>
        <v>0</v>
      </c>
      <c r="U257" s="90">
        <f>VLOOKUP(C257,'Talente &amp; Stuff'!CL:DM,19,FALSE)</f>
        <v>0</v>
      </c>
      <c r="V257" s="88">
        <f>VLOOKUP(C257,'Talente &amp; Stuff'!CL:DM,20,FALSE)</f>
        <v>0</v>
      </c>
      <c r="W257" s="128">
        <f>VLOOKUP(C257,'Talente &amp; Stuff'!CL:DM,21,FALSE)</f>
        <v>0</v>
      </c>
      <c r="X257" s="128">
        <f>VLOOKUP(C257,'Talente &amp; Stuff'!CL:DM,22,FALSE)</f>
        <v>0</v>
      </c>
      <c r="Y257" s="165">
        <f t="shared" si="20"/>
        <v>0</v>
      </c>
      <c r="Z257" s="44">
        <f t="shared" si="21"/>
        <v>0</v>
      </c>
      <c r="AA257" s="159">
        <f>VLOOKUP(C257,'Talente &amp; Stuff'!CL:DM,25,FALSE)</f>
        <v>0</v>
      </c>
      <c r="AB257" s="161">
        <f>VLOOKUP(C257,'Talente &amp; Stuff'!CL:DM,26,FALSE)</f>
        <v>0</v>
      </c>
      <c r="AC257" s="128">
        <f>VLOOKUP(C257,'Talente &amp; Stuff'!CL:DM,27,FALSE)</f>
        <v>0</v>
      </c>
      <c r="AD257" s="159">
        <f>VLOOKUP(C257,'Talente &amp; Stuff'!CL:DM,28,FALSE)</f>
        <v>0</v>
      </c>
      <c r="AE257" s="28"/>
    </row>
    <row r="258" spans="2:31" ht="15" hidden="1" customHeight="1" outlineLevel="1" collapsed="1">
      <c r="B258" s="134" t="s">
        <v>407</v>
      </c>
      <c r="C258" s="83"/>
      <c r="D258" s="84"/>
      <c r="E258" s="84"/>
    </row>
    <row r="259" spans="2:31" ht="15" hidden="1" customHeight="1" outlineLevel="2">
      <c r="B259" s="148">
        <v>1</v>
      </c>
      <c r="C259" s="200" t="str">
        <f>Attribute!C259</f>
        <v>---</v>
      </c>
      <c r="D259" s="186" t="str">
        <f>VLOOKUP(C259,'Talente &amp; Stuff'!CL:DM,2,FALSE)</f>
        <v>--/--/--</v>
      </c>
      <c r="E259" s="40" t="str">
        <f>VLOOKUP(C259,'Talente &amp; Stuff'!CL:DM,3,FALSE)</f>
        <v>-</v>
      </c>
      <c r="F259" s="17">
        <f>VLOOKUP(C259,'Talente &amp; Stuff'!CL:DM,4,FALSE)</f>
        <v>0</v>
      </c>
      <c r="G259" s="183">
        <f>VLOOKUP(C259,'Talente &amp; Stuff'!CL:DM,5,FALSE)</f>
        <v>0</v>
      </c>
      <c r="H259" s="183">
        <f>VLOOKUP(C259,'Talente &amp; Stuff'!CL:DM,6,FALSE)</f>
        <v>0</v>
      </c>
      <c r="I259" s="183">
        <f>VLOOKUP(C259,'Talente &amp; Stuff'!CL:DM,7,FALSE)</f>
        <v>0</v>
      </c>
      <c r="J259" s="183">
        <f>VLOOKUP(C259,'Talente &amp; Stuff'!CL:DM,8,FALSE)</f>
        <v>0</v>
      </c>
      <c r="K259" s="183">
        <f>VLOOKUP(C259,'Talente &amp; Stuff'!CL:DM,9,FALSE)</f>
        <v>0</v>
      </c>
      <c r="L259" s="183">
        <f>VLOOKUP(C259,'Talente &amp; Stuff'!CL:DM,10,FALSE)</f>
        <v>0</v>
      </c>
      <c r="M259" s="180">
        <f>VLOOKUP(C259,'Talente &amp; Stuff'!CL:DM,11,FALSE)</f>
        <v>0</v>
      </c>
      <c r="N259" s="166">
        <f>VLOOKUP(C259,'Talente &amp; Stuff'!CL:DM,12,FALSE)</f>
        <v>0</v>
      </c>
      <c r="O259" s="32">
        <f>VLOOKUP(C259,'Talente &amp; Stuff'!CL:DM,13,FALSE)</f>
        <v>0</v>
      </c>
      <c r="P259" s="187">
        <f>VLOOKUP(C259,'Talente &amp; Stuff'!CL:DM,14,FALSE)</f>
        <v>0</v>
      </c>
      <c r="Q259" s="17">
        <f>VLOOKUP(C259,'Talente &amp; Stuff'!CL:DM,15,FALSE)</f>
        <v>0</v>
      </c>
      <c r="R259" s="188">
        <f>VLOOKUP(C259,'Talente &amp; Stuff'!CL:DM,16,FALSE)</f>
        <v>0</v>
      </c>
      <c r="S259" s="180">
        <f>VLOOKUP(C259,'Talente &amp; Stuff'!CL:DM,17,FALSE)</f>
        <v>0</v>
      </c>
      <c r="T259" s="189">
        <f>VLOOKUP(C259,'Talente &amp; Stuff'!CL:DM,18,FALSE)</f>
        <v>0</v>
      </c>
      <c r="U259" s="166">
        <f>VLOOKUP(C259,'Talente &amp; Stuff'!CL:DM,19,FALSE)</f>
        <v>0</v>
      </c>
      <c r="V259" s="179">
        <f>VLOOKUP(C259,'Talente &amp; Stuff'!CL:DM,20,FALSE)</f>
        <v>0</v>
      </c>
      <c r="W259" s="182">
        <f>VLOOKUP(C259,'Talente &amp; Stuff'!CL:DM,21,FALSE)</f>
        <v>0</v>
      </c>
      <c r="X259" s="182">
        <f>VLOOKUP(C259,'Talente &amp; Stuff'!CL:DM,22,FALSE)</f>
        <v>0</v>
      </c>
      <c r="Y259" s="165">
        <f>VLOOKUP(C259,Ausgewählte_Zauber_Kristallomanten,110,FALSE)</f>
        <v>0</v>
      </c>
      <c r="Z259" s="44">
        <f>VLOOKUP(C259,Ausgewählte_Zauber_Kristallomanten,111,FALSE)</f>
        <v>0</v>
      </c>
      <c r="AA259" s="40">
        <f>VLOOKUP(C259,'Talente &amp; Stuff'!CL:DM,25,FALSE)</f>
        <v>0</v>
      </c>
      <c r="AB259" s="189">
        <f>VLOOKUP(C259,'Talente &amp; Stuff'!CL:DM,26,FALSE)</f>
        <v>0</v>
      </c>
      <c r="AC259" s="182">
        <f>VLOOKUP(C259,'Talente &amp; Stuff'!CL:DM,27,FALSE)</f>
        <v>0</v>
      </c>
      <c r="AD259" s="40">
        <f>VLOOKUP(C259,'Talente &amp; Stuff'!CL:DM,28,FALSE)</f>
        <v>0</v>
      </c>
      <c r="AE259" s="28"/>
    </row>
    <row r="260" spans="2:31" ht="15" hidden="1" customHeight="1" outlineLevel="1" collapsed="1">
      <c r="B260" s="134" t="s">
        <v>408</v>
      </c>
      <c r="C260" s="83"/>
      <c r="D260" s="84"/>
      <c r="E260" s="84"/>
    </row>
    <row r="261" spans="2:31" ht="15" hidden="1" customHeight="1" outlineLevel="2">
      <c r="B261" s="148">
        <v>1</v>
      </c>
      <c r="C261" s="162" t="str">
        <f>Attribute!C261</f>
        <v>---</v>
      </c>
      <c r="D261" s="85" t="str">
        <f>VLOOKUP(C261,'Talente &amp; Stuff'!CL:DM,2,FALSE)</f>
        <v>--/--/--</v>
      </c>
      <c r="E261" s="126" t="str">
        <f>VLOOKUP(C261,'Talente &amp; Stuff'!CL:DM,3,FALSE)</f>
        <v>-</v>
      </c>
      <c r="F261" s="191">
        <f>VLOOKUP(C261,'Talente &amp; Stuff'!CL:DM,4,FALSE)</f>
        <v>0</v>
      </c>
      <c r="G261" s="118">
        <f>VLOOKUP(C261,'Talente &amp; Stuff'!CL:DM,5,FALSE)</f>
        <v>0</v>
      </c>
      <c r="H261" s="118">
        <f>VLOOKUP(C261,'Talente &amp; Stuff'!CL:DM,6,FALSE)</f>
        <v>0</v>
      </c>
      <c r="I261" s="118">
        <f>VLOOKUP(C261,'Talente &amp; Stuff'!CL:DM,7,FALSE)</f>
        <v>0</v>
      </c>
      <c r="J261" s="118">
        <f>VLOOKUP(C261,'Talente &amp; Stuff'!CL:DM,8,FALSE)</f>
        <v>0</v>
      </c>
      <c r="K261" s="118">
        <f>VLOOKUP(C261,'Talente &amp; Stuff'!CL:DM,9,FALSE)</f>
        <v>0</v>
      </c>
      <c r="L261" s="118">
        <f>VLOOKUP(C261,'Talente &amp; Stuff'!CL:DM,10,FALSE)</f>
        <v>0</v>
      </c>
      <c r="M261" s="92">
        <f>VLOOKUP(C261,'Talente &amp; Stuff'!CL:DM,11,FALSE)</f>
        <v>0</v>
      </c>
      <c r="N261" s="116">
        <f>VLOOKUP(C261,'Talente &amp; Stuff'!CL:DM,12,FALSE)</f>
        <v>0</v>
      </c>
      <c r="O261" s="194">
        <f>VLOOKUP(C261,'Talente &amp; Stuff'!CL:DM,13,FALSE)</f>
        <v>0</v>
      </c>
      <c r="P261" s="192">
        <f>VLOOKUP(C261,'Talente &amp; Stuff'!CL:DM,14,FALSE)</f>
        <v>0</v>
      </c>
      <c r="Q261" s="191">
        <f>VLOOKUP(C261,'Talente &amp; Stuff'!CL:DM,15,FALSE)</f>
        <v>0</v>
      </c>
      <c r="R261" s="170">
        <f>VLOOKUP(C261,'Talente &amp; Stuff'!CL:DM,16,FALSE)</f>
        <v>0</v>
      </c>
      <c r="S261" s="92">
        <f>VLOOKUP(C261,'Talente &amp; Stuff'!CL:DM,17,FALSE)</f>
        <v>0</v>
      </c>
      <c r="T261" s="92">
        <f>VLOOKUP(C261,'Talente &amp; Stuff'!CL:DM,18,FALSE)</f>
        <v>0</v>
      </c>
      <c r="U261" s="193">
        <f>VLOOKUP(C261,'Talente &amp; Stuff'!CL:DM,19,FALSE)</f>
        <v>0</v>
      </c>
      <c r="V261" s="116">
        <f>VLOOKUP(C261,'Talente &amp; Stuff'!CL:DM,20,FALSE)</f>
        <v>0</v>
      </c>
      <c r="W261" s="126">
        <f>VLOOKUP(C261,'Talente &amp; Stuff'!CL:DM,21,FALSE)</f>
        <v>0</v>
      </c>
      <c r="X261" s="126">
        <f>VLOOKUP(C261,'Talente &amp; Stuff'!CL:DM,22,FALSE)</f>
        <v>0</v>
      </c>
      <c r="Y261" s="165">
        <f t="shared" ref="Y261:Y296" si="22">VLOOKUP(C261,Ausgewählte_Zauber_Scharlatane,110,FALSE)</f>
        <v>0</v>
      </c>
      <c r="Z261" s="44">
        <f t="shared" ref="Z261:Z296" si="23">VLOOKUP(C261,Ausgewählte_Zauber_Scharlatane,111,FALSE)</f>
        <v>0</v>
      </c>
      <c r="AA261" s="158">
        <f>VLOOKUP(C261,'Talente &amp; Stuff'!CL:DM,25,FALSE)</f>
        <v>0</v>
      </c>
      <c r="AB261" s="91">
        <f>VLOOKUP(C261,'Talente &amp; Stuff'!CL:DM,26,FALSE)</f>
        <v>0</v>
      </c>
      <c r="AC261" s="126">
        <f>VLOOKUP(C261,'Talente &amp; Stuff'!CL:DM,27,FALSE)</f>
        <v>0</v>
      </c>
      <c r="AD261" s="158">
        <f>VLOOKUP(C261,'Talente &amp; Stuff'!CL:DM,28,FALSE)</f>
        <v>0</v>
      </c>
      <c r="AE261" s="28"/>
    </row>
    <row r="262" spans="2:31" ht="15" hidden="1" customHeight="1" outlineLevel="2">
      <c r="B262" s="148">
        <v>2</v>
      </c>
      <c r="C262" s="163" t="str">
        <f>Attribute!C262</f>
        <v>---</v>
      </c>
      <c r="D262" s="125" t="str">
        <f>VLOOKUP(C262,'Talente &amp; Stuff'!CL:DM,2,FALSE)</f>
        <v>--/--/--</v>
      </c>
      <c r="E262" s="127" t="str">
        <f>VLOOKUP(C262,'Talente &amp; Stuff'!CL:DM,3,FALSE)</f>
        <v>-</v>
      </c>
      <c r="F262" s="114">
        <f>VLOOKUP(C262,'Talente &amp; Stuff'!CL:DM,4,FALSE)</f>
        <v>0</v>
      </c>
      <c r="G262" s="113">
        <f>VLOOKUP(C262,'Talente &amp; Stuff'!CL:DM,5,FALSE)</f>
        <v>0</v>
      </c>
      <c r="H262" s="113">
        <f>VLOOKUP(C262,'Talente &amp; Stuff'!CL:DM,6,FALSE)</f>
        <v>0</v>
      </c>
      <c r="I262" s="113">
        <f>VLOOKUP(C262,'Talente &amp; Stuff'!CL:DM,7,FALSE)</f>
        <v>0</v>
      </c>
      <c r="J262" s="113">
        <f>VLOOKUP(C262,'Talente &amp; Stuff'!CL:DM,8,FALSE)</f>
        <v>0</v>
      </c>
      <c r="K262" s="113">
        <f>VLOOKUP(C262,'Talente &amp; Stuff'!CL:DM,9,FALSE)</f>
        <v>0</v>
      </c>
      <c r="L262" s="113">
        <f>VLOOKUP(C262,'Talente &amp; Stuff'!CL:DM,10,FALSE)</f>
        <v>0</v>
      </c>
      <c r="M262" s="119">
        <f>VLOOKUP(C262,'Talente &amp; Stuff'!CL:DM,11,FALSE)</f>
        <v>0</v>
      </c>
      <c r="N262" s="47">
        <f>VLOOKUP(C262,'Talente &amp; Stuff'!CL:DM,12,FALSE)</f>
        <v>0</v>
      </c>
      <c r="O262" s="47">
        <f>VLOOKUP(C262,'Talente &amp; Stuff'!CL:DM,13,FALSE)</f>
        <v>0</v>
      </c>
      <c r="P262" s="119">
        <f>VLOOKUP(C262,'Talente &amp; Stuff'!CL:DM,14,FALSE)</f>
        <v>0</v>
      </c>
      <c r="Q262" s="114">
        <f>VLOOKUP(C262,'Talente &amp; Stuff'!CL:DM,15,FALSE)</f>
        <v>0</v>
      </c>
      <c r="R262" s="113">
        <f>VLOOKUP(C262,'Talente &amp; Stuff'!CL:DM,16,FALSE)</f>
        <v>0</v>
      </c>
      <c r="S262" s="119">
        <f>VLOOKUP(C262,'Talente &amp; Stuff'!CL:DM,17,FALSE)</f>
        <v>0</v>
      </c>
      <c r="T262" s="119">
        <f>VLOOKUP(C262,'Talente &amp; Stuff'!CL:DM,18,FALSE)</f>
        <v>0</v>
      </c>
      <c r="U262" s="89">
        <f>VLOOKUP(C262,'Talente &amp; Stuff'!CL:DM,19,FALSE)</f>
        <v>0</v>
      </c>
      <c r="V262" s="47">
        <f>VLOOKUP(C262,'Talente &amp; Stuff'!CL:DM,20,FALSE)</f>
        <v>0</v>
      </c>
      <c r="W262" s="127">
        <f>VLOOKUP(C262,'Talente &amp; Stuff'!CL:DM,21,FALSE)</f>
        <v>0</v>
      </c>
      <c r="X262" s="127">
        <f>VLOOKUP(C262,'Talente &amp; Stuff'!CL:DM,22,FALSE)</f>
        <v>0</v>
      </c>
      <c r="Y262" s="165">
        <f t="shared" si="22"/>
        <v>0</v>
      </c>
      <c r="Z262" s="44">
        <f t="shared" si="23"/>
        <v>0</v>
      </c>
      <c r="AA262" s="125">
        <f>VLOOKUP(C262,'Talente &amp; Stuff'!CL:DM,25,FALSE)</f>
        <v>0</v>
      </c>
      <c r="AB262" s="160">
        <f>VLOOKUP(C262,'Talente &amp; Stuff'!CL:DM,26,FALSE)</f>
        <v>0</v>
      </c>
      <c r="AC262" s="127">
        <f>VLOOKUP(C262,'Talente &amp; Stuff'!CL:DM,27,FALSE)</f>
        <v>0</v>
      </c>
      <c r="AD262" s="125">
        <f>VLOOKUP(C262,'Talente &amp; Stuff'!CL:DM,28,FALSE)</f>
        <v>0</v>
      </c>
      <c r="AE262" s="28"/>
    </row>
    <row r="263" spans="2:31" ht="15" hidden="1" customHeight="1" outlineLevel="2">
      <c r="B263" s="148">
        <v>3</v>
      </c>
      <c r="C263" s="163" t="str">
        <f>Attribute!C263</f>
        <v>---</v>
      </c>
      <c r="D263" s="125" t="str">
        <f>VLOOKUP(C263,'Talente &amp; Stuff'!CL:DM,2,FALSE)</f>
        <v>--/--/--</v>
      </c>
      <c r="E263" s="127" t="str">
        <f>VLOOKUP(C263,'Talente &amp; Stuff'!CL:DM,3,FALSE)</f>
        <v>-</v>
      </c>
      <c r="F263" s="114">
        <f>VLOOKUP(C263,'Talente &amp; Stuff'!CL:DM,4,FALSE)</f>
        <v>0</v>
      </c>
      <c r="G263" s="113">
        <f>VLOOKUP(C263,'Talente &amp; Stuff'!CL:DM,5,FALSE)</f>
        <v>0</v>
      </c>
      <c r="H263" s="113">
        <f>VLOOKUP(C263,'Talente &amp; Stuff'!CL:DM,6,FALSE)</f>
        <v>0</v>
      </c>
      <c r="I263" s="113">
        <f>VLOOKUP(C263,'Talente &amp; Stuff'!CL:DM,7,FALSE)</f>
        <v>0</v>
      </c>
      <c r="J263" s="113">
        <f>VLOOKUP(C263,'Talente &amp; Stuff'!CL:DM,8,FALSE)</f>
        <v>0</v>
      </c>
      <c r="K263" s="113">
        <f>VLOOKUP(C263,'Talente &amp; Stuff'!CL:DM,9,FALSE)</f>
        <v>0</v>
      </c>
      <c r="L263" s="113">
        <f>VLOOKUP(C263,'Talente &amp; Stuff'!CL:DM,10,FALSE)</f>
        <v>0</v>
      </c>
      <c r="M263" s="119">
        <f>VLOOKUP(C263,'Talente &amp; Stuff'!CL:DM,11,FALSE)</f>
        <v>0</v>
      </c>
      <c r="N263" s="47">
        <f>VLOOKUP(C263,'Talente &amp; Stuff'!CL:DM,12,FALSE)</f>
        <v>0</v>
      </c>
      <c r="O263" s="47">
        <f>VLOOKUP(C263,'Talente &amp; Stuff'!CL:DM,13,FALSE)</f>
        <v>0</v>
      </c>
      <c r="P263" s="119">
        <f>VLOOKUP(C263,'Talente &amp; Stuff'!CL:DM,14,FALSE)</f>
        <v>0</v>
      </c>
      <c r="Q263" s="114">
        <f>VLOOKUP(C263,'Talente &amp; Stuff'!CL:DM,15,FALSE)</f>
        <v>0</v>
      </c>
      <c r="R263" s="113">
        <f>VLOOKUP(C263,'Talente &amp; Stuff'!CL:DM,16,FALSE)</f>
        <v>0</v>
      </c>
      <c r="S263" s="119">
        <f>VLOOKUP(C263,'Talente &amp; Stuff'!CL:DM,17,FALSE)</f>
        <v>0</v>
      </c>
      <c r="T263" s="119">
        <f>VLOOKUP(C263,'Talente &amp; Stuff'!CL:DM,18,FALSE)</f>
        <v>0</v>
      </c>
      <c r="U263" s="89">
        <f>VLOOKUP(C263,'Talente &amp; Stuff'!CL:DM,19,FALSE)</f>
        <v>0</v>
      </c>
      <c r="V263" s="47">
        <f>VLOOKUP(C263,'Talente &amp; Stuff'!CL:DM,20,FALSE)</f>
        <v>0</v>
      </c>
      <c r="W263" s="127">
        <f>VLOOKUP(C263,'Talente &amp; Stuff'!CL:DM,21,FALSE)</f>
        <v>0</v>
      </c>
      <c r="X263" s="127">
        <f>VLOOKUP(C263,'Talente &amp; Stuff'!CL:DM,22,FALSE)</f>
        <v>0</v>
      </c>
      <c r="Y263" s="165">
        <f t="shared" si="22"/>
        <v>0</v>
      </c>
      <c r="Z263" s="44">
        <f t="shared" si="23"/>
        <v>0</v>
      </c>
      <c r="AA263" s="125">
        <f>VLOOKUP(C263,'Talente &amp; Stuff'!CL:DM,25,FALSE)</f>
        <v>0</v>
      </c>
      <c r="AB263" s="160">
        <f>VLOOKUP(C263,'Talente &amp; Stuff'!CL:DM,26,FALSE)</f>
        <v>0</v>
      </c>
      <c r="AC263" s="127">
        <f>VLOOKUP(C263,'Talente &amp; Stuff'!CL:DM,27,FALSE)</f>
        <v>0</v>
      </c>
      <c r="AD263" s="125">
        <f>VLOOKUP(C263,'Talente &amp; Stuff'!CL:DM,28,FALSE)</f>
        <v>0</v>
      </c>
      <c r="AE263" s="28"/>
    </row>
    <row r="264" spans="2:31" ht="15" hidden="1" customHeight="1" outlineLevel="2">
      <c r="B264" s="148">
        <v>4</v>
      </c>
      <c r="C264" s="163" t="str">
        <f>Attribute!C264</f>
        <v>---</v>
      </c>
      <c r="D264" s="86" t="str">
        <f>VLOOKUP(C264,'Talente &amp; Stuff'!CL:DM,2,FALSE)</f>
        <v>--/--/--</v>
      </c>
      <c r="E264" s="167" t="str">
        <f>VLOOKUP(C264,'Talente &amp; Stuff'!CL:DM,3,FALSE)</f>
        <v>-</v>
      </c>
      <c r="F264" s="120">
        <f>VLOOKUP(C264,'Talente &amp; Stuff'!CL:DM,4,FALSE)</f>
        <v>0</v>
      </c>
      <c r="G264" s="117">
        <f>VLOOKUP(C264,'Talente &amp; Stuff'!CL:DM,5,FALSE)</f>
        <v>0</v>
      </c>
      <c r="H264" s="117">
        <f>VLOOKUP(C264,'Talente &amp; Stuff'!CL:DM,6,FALSE)</f>
        <v>0</v>
      </c>
      <c r="I264" s="117">
        <f>VLOOKUP(C264,'Talente &amp; Stuff'!CL:DM,7,FALSE)</f>
        <v>0</v>
      </c>
      <c r="J264" s="117">
        <f>VLOOKUP(C264,'Talente &amp; Stuff'!CL:DM,8,FALSE)</f>
        <v>0</v>
      </c>
      <c r="K264" s="117">
        <f>VLOOKUP(C264,'Talente &amp; Stuff'!CL:DM,9,FALSE)</f>
        <v>0</v>
      </c>
      <c r="L264" s="117">
        <f>VLOOKUP(C264,'Talente &amp; Stuff'!CL:DM,10,FALSE)</f>
        <v>0</v>
      </c>
      <c r="M264" s="121">
        <f>VLOOKUP(C264,'Talente &amp; Stuff'!CL:DM,11,FALSE)</f>
        <v>0</v>
      </c>
      <c r="N264" s="47">
        <f>VLOOKUP(C264,'Talente &amp; Stuff'!CL:DM,12,FALSE)</f>
        <v>0</v>
      </c>
      <c r="O264" s="3">
        <f>VLOOKUP(C264,'Talente &amp; Stuff'!CL:DM,13,FALSE)</f>
        <v>0</v>
      </c>
      <c r="P264" s="174">
        <f>VLOOKUP(C264,'Talente &amp; Stuff'!CL:DM,14,FALSE)</f>
        <v>0</v>
      </c>
      <c r="Q264" s="114">
        <f>VLOOKUP(C264,'Talente &amp; Stuff'!CL:DM,15,FALSE)</f>
        <v>0</v>
      </c>
      <c r="R264" s="117">
        <f>VLOOKUP(C264,'Talente &amp; Stuff'!CL:DM,16,FALSE)</f>
        <v>0</v>
      </c>
      <c r="S264" s="119">
        <f>VLOOKUP(C264,'Talente &amp; Stuff'!CL:DM,17,FALSE)</f>
        <v>0</v>
      </c>
      <c r="T264" s="119">
        <f>VLOOKUP(C264,'Talente &amp; Stuff'!CL:DM,18,FALSE)</f>
        <v>0</v>
      </c>
      <c r="U264" s="89">
        <f>VLOOKUP(C264,'Talente &amp; Stuff'!CL:DM,19,FALSE)</f>
        <v>0</v>
      </c>
      <c r="V264" s="47">
        <f>VLOOKUP(C264,'Talente &amp; Stuff'!CL:DM,20,FALSE)</f>
        <v>0</v>
      </c>
      <c r="W264" s="127">
        <f>VLOOKUP(C264,'Talente &amp; Stuff'!CL:DM,21,FALSE)</f>
        <v>0</v>
      </c>
      <c r="X264" s="127">
        <f>VLOOKUP(C264,'Talente &amp; Stuff'!CL:DM,22,FALSE)</f>
        <v>0</v>
      </c>
      <c r="Y264" s="165">
        <f t="shared" si="22"/>
        <v>0</v>
      </c>
      <c r="Z264" s="44">
        <f t="shared" si="23"/>
        <v>0</v>
      </c>
      <c r="AA264" s="125">
        <f>VLOOKUP(C264,'Talente &amp; Stuff'!CL:DM,25,FALSE)</f>
        <v>0</v>
      </c>
      <c r="AB264" s="160">
        <f>VLOOKUP(C264,'Talente &amp; Stuff'!CL:DM,26,FALSE)</f>
        <v>0</v>
      </c>
      <c r="AC264" s="127">
        <f>VLOOKUP(C264,'Talente &amp; Stuff'!CL:DM,27,FALSE)</f>
        <v>0</v>
      </c>
      <c r="AD264" s="125">
        <f>VLOOKUP(C264,'Talente &amp; Stuff'!CL:DM,28,FALSE)</f>
        <v>0</v>
      </c>
      <c r="AE264" s="28"/>
    </row>
    <row r="265" spans="2:31" ht="15" hidden="1" customHeight="1" outlineLevel="2">
      <c r="B265" s="148">
        <v>5</v>
      </c>
      <c r="C265" s="163" t="str">
        <f>Attribute!C265</f>
        <v>---</v>
      </c>
      <c r="D265" s="86" t="str">
        <f>VLOOKUP(C265,'Talente &amp; Stuff'!CL:DM,2,FALSE)</f>
        <v>--/--/--</v>
      </c>
      <c r="E265" s="167" t="str">
        <f>VLOOKUP(C265,'Talente &amp; Stuff'!CL:DM,3,FALSE)</f>
        <v>-</v>
      </c>
      <c r="F265" s="120">
        <f>VLOOKUP(C265,'Talente &amp; Stuff'!CL:DM,4,FALSE)</f>
        <v>0</v>
      </c>
      <c r="G265" s="117">
        <f>VLOOKUP(C265,'Talente &amp; Stuff'!CL:DM,5,FALSE)</f>
        <v>0</v>
      </c>
      <c r="H265" s="117">
        <f>VLOOKUP(C265,'Talente &amp; Stuff'!CL:DM,6,FALSE)</f>
        <v>0</v>
      </c>
      <c r="I265" s="117">
        <f>VLOOKUP(C265,'Talente &amp; Stuff'!CL:DM,7,FALSE)</f>
        <v>0</v>
      </c>
      <c r="J265" s="117">
        <f>VLOOKUP(C265,'Talente &amp; Stuff'!CL:DM,8,FALSE)</f>
        <v>0</v>
      </c>
      <c r="K265" s="117">
        <f>VLOOKUP(C265,'Talente &amp; Stuff'!CL:DM,9,FALSE)</f>
        <v>0</v>
      </c>
      <c r="L265" s="117">
        <f>VLOOKUP(C265,'Talente &amp; Stuff'!CL:DM,10,FALSE)</f>
        <v>0</v>
      </c>
      <c r="M265" s="121">
        <f>VLOOKUP(C265,'Talente &amp; Stuff'!CL:DM,11,FALSE)</f>
        <v>0</v>
      </c>
      <c r="N265" s="47">
        <f>VLOOKUP(C265,'Talente &amp; Stuff'!CL:DM,12,FALSE)</f>
        <v>0</v>
      </c>
      <c r="O265" s="3">
        <f>VLOOKUP(C265,'Talente &amp; Stuff'!CL:DM,13,FALSE)</f>
        <v>0</v>
      </c>
      <c r="P265" s="174">
        <f>VLOOKUP(C265,'Talente &amp; Stuff'!CL:DM,14,FALSE)</f>
        <v>0</v>
      </c>
      <c r="Q265" s="114">
        <f>VLOOKUP(C265,'Talente &amp; Stuff'!CL:DM,15,FALSE)</f>
        <v>0</v>
      </c>
      <c r="R265" s="117">
        <f>VLOOKUP(C265,'Talente &amp; Stuff'!CL:DM,16,FALSE)</f>
        <v>0</v>
      </c>
      <c r="S265" s="119">
        <f>VLOOKUP(C265,'Talente &amp; Stuff'!CL:DM,17,FALSE)</f>
        <v>0</v>
      </c>
      <c r="T265" s="119">
        <f>VLOOKUP(C265,'Talente &amp; Stuff'!CL:DM,18,FALSE)</f>
        <v>0</v>
      </c>
      <c r="U265" s="89">
        <f>VLOOKUP(C265,'Talente &amp; Stuff'!CL:DM,19,FALSE)</f>
        <v>0</v>
      </c>
      <c r="V265" s="47">
        <f>VLOOKUP(C265,'Talente &amp; Stuff'!CL:DM,20,FALSE)</f>
        <v>0</v>
      </c>
      <c r="W265" s="127">
        <f>VLOOKUP(C265,'Talente &amp; Stuff'!CL:DM,21,FALSE)</f>
        <v>0</v>
      </c>
      <c r="X265" s="127">
        <f>VLOOKUP(C265,'Talente &amp; Stuff'!CL:DM,22,FALSE)</f>
        <v>0</v>
      </c>
      <c r="Y265" s="165">
        <f t="shared" si="22"/>
        <v>0</v>
      </c>
      <c r="Z265" s="44">
        <f t="shared" si="23"/>
        <v>0</v>
      </c>
      <c r="AA265" s="125">
        <f>VLOOKUP(C265,'Talente &amp; Stuff'!CL:DM,25,FALSE)</f>
        <v>0</v>
      </c>
      <c r="AB265" s="160">
        <f>VLOOKUP(C265,'Talente &amp; Stuff'!CL:DM,26,FALSE)</f>
        <v>0</v>
      </c>
      <c r="AC265" s="127">
        <f>VLOOKUP(C265,'Talente &amp; Stuff'!CL:DM,27,FALSE)</f>
        <v>0</v>
      </c>
      <c r="AD265" s="125">
        <f>VLOOKUP(C265,'Talente &amp; Stuff'!CL:DM,28,FALSE)</f>
        <v>0</v>
      </c>
      <c r="AE265" s="28"/>
    </row>
    <row r="266" spans="2:31" ht="15" hidden="1" customHeight="1" outlineLevel="2">
      <c r="B266" s="148">
        <v>6</v>
      </c>
      <c r="C266" s="163" t="str">
        <f>Attribute!C266</f>
        <v>---</v>
      </c>
      <c r="D266" s="125" t="str">
        <f>VLOOKUP(C266,'Talente &amp; Stuff'!CL:DM,2,FALSE)</f>
        <v>--/--/--</v>
      </c>
      <c r="E266" s="127" t="str">
        <f>VLOOKUP(C266,'Talente &amp; Stuff'!CL:DM,3,FALSE)</f>
        <v>-</v>
      </c>
      <c r="F266" s="114">
        <f>VLOOKUP(C266,'Talente &amp; Stuff'!CL:DM,4,FALSE)</f>
        <v>0</v>
      </c>
      <c r="G266" s="113">
        <f>VLOOKUP(C266,'Talente &amp; Stuff'!CL:DM,5,FALSE)</f>
        <v>0</v>
      </c>
      <c r="H266" s="113">
        <f>VLOOKUP(C266,'Talente &amp; Stuff'!CL:DM,6,FALSE)</f>
        <v>0</v>
      </c>
      <c r="I266" s="113">
        <f>VLOOKUP(C266,'Talente &amp; Stuff'!CL:DM,7,FALSE)</f>
        <v>0</v>
      </c>
      <c r="J266" s="113">
        <f>VLOOKUP(C266,'Talente &amp; Stuff'!CL:DM,8,FALSE)</f>
        <v>0</v>
      </c>
      <c r="K266" s="113">
        <f>VLOOKUP(C266,'Talente &amp; Stuff'!CL:DM,9,FALSE)</f>
        <v>0</v>
      </c>
      <c r="L266" s="113">
        <f>VLOOKUP(C266,'Talente &amp; Stuff'!CL:DM,10,FALSE)</f>
        <v>0</v>
      </c>
      <c r="M266" s="119">
        <f>VLOOKUP(C266,'Talente &amp; Stuff'!CL:DM,11,FALSE)</f>
        <v>0</v>
      </c>
      <c r="N266" s="47">
        <f>VLOOKUP(C266,'Talente &amp; Stuff'!CL:DM,12,FALSE)</f>
        <v>0</v>
      </c>
      <c r="O266" s="47">
        <f>VLOOKUP(C266,'Talente &amp; Stuff'!CL:DM,13,FALSE)</f>
        <v>0</v>
      </c>
      <c r="P266" s="119">
        <f>VLOOKUP(C266,'Talente &amp; Stuff'!CL:DM,14,FALSE)</f>
        <v>0</v>
      </c>
      <c r="Q266" s="114">
        <f>VLOOKUP(C266,'Talente &amp; Stuff'!CL:DM,15,FALSE)</f>
        <v>0</v>
      </c>
      <c r="R266" s="113">
        <f>VLOOKUP(C266,'Talente &amp; Stuff'!CL:DM,16,FALSE)</f>
        <v>0</v>
      </c>
      <c r="S266" s="119">
        <f>VLOOKUP(C266,'Talente &amp; Stuff'!CL:DM,17,FALSE)</f>
        <v>0</v>
      </c>
      <c r="T266" s="119">
        <f>VLOOKUP(C266,'Talente &amp; Stuff'!CL:DM,18,FALSE)</f>
        <v>0</v>
      </c>
      <c r="U266" s="89">
        <f>VLOOKUP(C266,'Talente &amp; Stuff'!CL:DM,19,FALSE)</f>
        <v>0</v>
      </c>
      <c r="V266" s="47">
        <f>VLOOKUP(C266,'Talente &amp; Stuff'!CL:DM,20,FALSE)</f>
        <v>0</v>
      </c>
      <c r="W266" s="127">
        <f>VLOOKUP(C266,'Talente &amp; Stuff'!CL:DM,21,FALSE)</f>
        <v>0</v>
      </c>
      <c r="X266" s="127">
        <f>VLOOKUP(C266,'Talente &amp; Stuff'!CL:DM,22,FALSE)</f>
        <v>0</v>
      </c>
      <c r="Y266" s="165">
        <f t="shared" si="22"/>
        <v>0</v>
      </c>
      <c r="Z266" s="44">
        <f t="shared" si="23"/>
        <v>0</v>
      </c>
      <c r="AA266" s="125">
        <f>VLOOKUP(C266,'Talente &amp; Stuff'!CL:DM,25,FALSE)</f>
        <v>0</v>
      </c>
      <c r="AB266" s="160">
        <f>VLOOKUP(C266,'Talente &amp; Stuff'!CL:DM,26,FALSE)</f>
        <v>0</v>
      </c>
      <c r="AC266" s="127">
        <f>VLOOKUP(C266,'Talente &amp; Stuff'!CL:DM,27,FALSE)</f>
        <v>0</v>
      </c>
      <c r="AD266" s="125">
        <f>VLOOKUP(C266,'Talente &amp; Stuff'!CL:DM,28,FALSE)</f>
        <v>0</v>
      </c>
      <c r="AE266" s="28"/>
    </row>
    <row r="267" spans="2:31" ht="15" hidden="1" customHeight="1" outlineLevel="2">
      <c r="B267" s="148">
        <v>7</v>
      </c>
      <c r="C267" s="163" t="str">
        <f>Attribute!C267</f>
        <v>---</v>
      </c>
      <c r="D267" s="125" t="str">
        <f>VLOOKUP(C267,'Talente &amp; Stuff'!CL:DM,2,FALSE)</f>
        <v>--/--/--</v>
      </c>
      <c r="E267" s="127" t="str">
        <f>VLOOKUP(C267,'Talente &amp; Stuff'!CL:DM,3,FALSE)</f>
        <v>-</v>
      </c>
      <c r="F267" s="114">
        <f>VLOOKUP(C267,'Talente &amp; Stuff'!CL:DM,4,FALSE)</f>
        <v>0</v>
      </c>
      <c r="G267" s="113">
        <f>VLOOKUP(C267,'Talente &amp; Stuff'!CL:DM,5,FALSE)</f>
        <v>0</v>
      </c>
      <c r="H267" s="113">
        <f>VLOOKUP(C267,'Talente &amp; Stuff'!CL:DM,6,FALSE)</f>
        <v>0</v>
      </c>
      <c r="I267" s="113">
        <f>VLOOKUP(C267,'Talente &amp; Stuff'!CL:DM,7,FALSE)</f>
        <v>0</v>
      </c>
      <c r="J267" s="113">
        <f>VLOOKUP(C267,'Talente &amp; Stuff'!CL:DM,8,FALSE)</f>
        <v>0</v>
      </c>
      <c r="K267" s="113">
        <f>VLOOKUP(C267,'Talente &amp; Stuff'!CL:DM,9,FALSE)</f>
        <v>0</v>
      </c>
      <c r="L267" s="113">
        <f>VLOOKUP(C267,'Talente &amp; Stuff'!CL:DM,10,FALSE)</f>
        <v>0</v>
      </c>
      <c r="M267" s="119">
        <f>VLOOKUP(C267,'Talente &amp; Stuff'!CL:DM,11,FALSE)</f>
        <v>0</v>
      </c>
      <c r="N267" s="47">
        <f>VLOOKUP(C267,'Talente &amp; Stuff'!CL:DM,12,FALSE)</f>
        <v>0</v>
      </c>
      <c r="O267" s="47">
        <f>VLOOKUP(C267,'Talente &amp; Stuff'!CL:DM,13,FALSE)</f>
        <v>0</v>
      </c>
      <c r="P267" s="119">
        <f>VLOOKUP(C267,'Talente &amp; Stuff'!CL:DM,14,FALSE)</f>
        <v>0</v>
      </c>
      <c r="Q267" s="114">
        <f>VLOOKUP(C267,'Talente &amp; Stuff'!CL:DM,15,FALSE)</f>
        <v>0</v>
      </c>
      <c r="R267" s="113">
        <f>VLOOKUP(C267,'Talente &amp; Stuff'!CL:DM,16,FALSE)</f>
        <v>0</v>
      </c>
      <c r="S267" s="119">
        <f>VLOOKUP(C267,'Talente &amp; Stuff'!CL:DM,17,FALSE)</f>
        <v>0</v>
      </c>
      <c r="T267" s="119">
        <f>VLOOKUP(C267,'Talente &amp; Stuff'!CL:DM,18,FALSE)</f>
        <v>0</v>
      </c>
      <c r="U267" s="89">
        <f>VLOOKUP(C267,'Talente &amp; Stuff'!CL:DM,19,FALSE)</f>
        <v>0</v>
      </c>
      <c r="V267" s="47">
        <f>VLOOKUP(C267,'Talente &amp; Stuff'!CL:DM,20,FALSE)</f>
        <v>0</v>
      </c>
      <c r="W267" s="127">
        <f>VLOOKUP(C267,'Talente &amp; Stuff'!CL:DM,21,FALSE)</f>
        <v>0</v>
      </c>
      <c r="X267" s="127">
        <f>VLOOKUP(C267,'Talente &amp; Stuff'!CL:DM,22,FALSE)</f>
        <v>0</v>
      </c>
      <c r="Y267" s="165">
        <f t="shared" si="22"/>
        <v>0</v>
      </c>
      <c r="Z267" s="44">
        <f t="shared" si="23"/>
        <v>0</v>
      </c>
      <c r="AA267" s="125">
        <f>VLOOKUP(C267,'Talente &amp; Stuff'!CL:DM,25,FALSE)</f>
        <v>0</v>
      </c>
      <c r="AB267" s="160">
        <f>VLOOKUP(C267,'Talente &amp; Stuff'!CL:DM,26,FALSE)</f>
        <v>0</v>
      </c>
      <c r="AC267" s="127">
        <f>VLOOKUP(C267,'Talente &amp; Stuff'!CL:DM,27,FALSE)</f>
        <v>0</v>
      </c>
      <c r="AD267" s="125">
        <f>VLOOKUP(C267,'Talente &amp; Stuff'!CL:DM,28,FALSE)</f>
        <v>0</v>
      </c>
      <c r="AE267" s="28"/>
    </row>
    <row r="268" spans="2:31" ht="15" hidden="1" customHeight="1" outlineLevel="2">
      <c r="B268" s="148">
        <v>8</v>
      </c>
      <c r="C268" s="163" t="str">
        <f>Attribute!C268</f>
        <v>---</v>
      </c>
      <c r="D268" s="125" t="str">
        <f>VLOOKUP(C268,'Talente &amp; Stuff'!CL:DM,2,FALSE)</f>
        <v>--/--/--</v>
      </c>
      <c r="E268" s="127" t="str">
        <f>VLOOKUP(C268,'Talente &amp; Stuff'!CL:DM,3,FALSE)</f>
        <v>-</v>
      </c>
      <c r="F268" s="114">
        <f>VLOOKUP(C268,'Talente &amp; Stuff'!CL:DM,4,FALSE)</f>
        <v>0</v>
      </c>
      <c r="G268" s="113">
        <f>VLOOKUP(C268,'Talente &amp; Stuff'!CL:DM,5,FALSE)</f>
        <v>0</v>
      </c>
      <c r="H268" s="113">
        <f>VLOOKUP(C268,'Talente &amp; Stuff'!CL:DM,6,FALSE)</f>
        <v>0</v>
      </c>
      <c r="I268" s="113">
        <f>VLOOKUP(C268,'Talente &amp; Stuff'!CL:DM,7,FALSE)</f>
        <v>0</v>
      </c>
      <c r="J268" s="113">
        <f>VLOOKUP(C268,'Talente &amp; Stuff'!CL:DM,8,FALSE)</f>
        <v>0</v>
      </c>
      <c r="K268" s="113">
        <f>VLOOKUP(C268,'Talente &amp; Stuff'!CL:DM,9,FALSE)</f>
        <v>0</v>
      </c>
      <c r="L268" s="113">
        <f>VLOOKUP(C268,'Talente &amp; Stuff'!CL:DM,10,FALSE)</f>
        <v>0</v>
      </c>
      <c r="M268" s="119">
        <f>VLOOKUP(C268,'Talente &amp; Stuff'!CL:DM,11,FALSE)</f>
        <v>0</v>
      </c>
      <c r="N268" s="47">
        <f>VLOOKUP(C268,'Talente &amp; Stuff'!CL:DM,12,FALSE)</f>
        <v>0</v>
      </c>
      <c r="O268" s="47">
        <f>VLOOKUP(C268,'Talente &amp; Stuff'!CL:DM,13,FALSE)</f>
        <v>0</v>
      </c>
      <c r="P268" s="119">
        <f>VLOOKUP(C268,'Talente &amp; Stuff'!CL:DM,14,FALSE)</f>
        <v>0</v>
      </c>
      <c r="Q268" s="114">
        <f>VLOOKUP(C268,'Talente &amp; Stuff'!CL:DM,15,FALSE)</f>
        <v>0</v>
      </c>
      <c r="R268" s="113">
        <f>VLOOKUP(C268,'Talente &amp; Stuff'!CL:DM,16,FALSE)</f>
        <v>0</v>
      </c>
      <c r="S268" s="119">
        <f>VLOOKUP(C268,'Talente &amp; Stuff'!CL:DM,17,FALSE)</f>
        <v>0</v>
      </c>
      <c r="T268" s="119">
        <f>VLOOKUP(C268,'Talente &amp; Stuff'!CL:DM,18,FALSE)</f>
        <v>0</v>
      </c>
      <c r="U268" s="89">
        <f>VLOOKUP(C268,'Talente &amp; Stuff'!CL:DM,19,FALSE)</f>
        <v>0</v>
      </c>
      <c r="V268" s="47">
        <f>VLOOKUP(C268,'Talente &amp; Stuff'!CL:DM,20,FALSE)</f>
        <v>0</v>
      </c>
      <c r="W268" s="127">
        <f>VLOOKUP(C268,'Talente &amp; Stuff'!CL:DM,21,FALSE)</f>
        <v>0</v>
      </c>
      <c r="X268" s="127">
        <f>VLOOKUP(C268,'Talente &amp; Stuff'!CL:DM,22,FALSE)</f>
        <v>0</v>
      </c>
      <c r="Y268" s="165">
        <f t="shared" si="22"/>
        <v>0</v>
      </c>
      <c r="Z268" s="44">
        <f t="shared" si="23"/>
        <v>0</v>
      </c>
      <c r="AA268" s="125">
        <f>VLOOKUP(C268,'Talente &amp; Stuff'!CL:DM,25,FALSE)</f>
        <v>0</v>
      </c>
      <c r="AB268" s="160">
        <f>VLOOKUP(C268,'Talente &amp; Stuff'!CL:DM,26,FALSE)</f>
        <v>0</v>
      </c>
      <c r="AC268" s="127">
        <f>VLOOKUP(C268,'Talente &amp; Stuff'!CL:DM,27,FALSE)</f>
        <v>0</v>
      </c>
      <c r="AD268" s="125">
        <f>VLOOKUP(C268,'Talente &amp; Stuff'!CL:DM,28,FALSE)</f>
        <v>0</v>
      </c>
      <c r="AE268" s="28"/>
    </row>
    <row r="269" spans="2:31" ht="15" hidden="1" customHeight="1" outlineLevel="2">
      <c r="B269" s="148">
        <v>9</v>
      </c>
      <c r="C269" s="163" t="str">
        <f>Attribute!C269</f>
        <v>---</v>
      </c>
      <c r="D269" s="125" t="str">
        <f>VLOOKUP(C269,'Talente &amp; Stuff'!CL:DM,2,FALSE)</f>
        <v>--/--/--</v>
      </c>
      <c r="E269" s="127" t="str">
        <f>VLOOKUP(C269,'Talente &amp; Stuff'!CL:DM,3,FALSE)</f>
        <v>-</v>
      </c>
      <c r="F269" s="114">
        <f>VLOOKUP(C269,'Talente &amp; Stuff'!CL:DM,4,FALSE)</f>
        <v>0</v>
      </c>
      <c r="G269" s="113">
        <f>VLOOKUP(C269,'Talente &amp; Stuff'!CL:DM,5,FALSE)</f>
        <v>0</v>
      </c>
      <c r="H269" s="113">
        <f>VLOOKUP(C269,'Talente &amp; Stuff'!CL:DM,6,FALSE)</f>
        <v>0</v>
      </c>
      <c r="I269" s="113">
        <f>VLOOKUP(C269,'Talente &amp; Stuff'!CL:DM,7,FALSE)</f>
        <v>0</v>
      </c>
      <c r="J269" s="113">
        <f>VLOOKUP(C269,'Talente &amp; Stuff'!CL:DM,8,FALSE)</f>
        <v>0</v>
      </c>
      <c r="K269" s="113">
        <f>VLOOKUP(C269,'Talente &amp; Stuff'!CL:DM,9,FALSE)</f>
        <v>0</v>
      </c>
      <c r="L269" s="113">
        <f>VLOOKUP(C269,'Talente &amp; Stuff'!CL:DM,10,FALSE)</f>
        <v>0</v>
      </c>
      <c r="M269" s="119">
        <f>VLOOKUP(C269,'Talente &amp; Stuff'!CL:DM,11,FALSE)</f>
        <v>0</v>
      </c>
      <c r="N269" s="47">
        <f>VLOOKUP(C269,'Talente &amp; Stuff'!CL:DM,12,FALSE)</f>
        <v>0</v>
      </c>
      <c r="O269" s="47">
        <f>VLOOKUP(C269,'Talente &amp; Stuff'!CL:DM,13,FALSE)</f>
        <v>0</v>
      </c>
      <c r="P269" s="119">
        <f>VLOOKUP(C269,'Talente &amp; Stuff'!CL:DM,14,FALSE)</f>
        <v>0</v>
      </c>
      <c r="Q269" s="114">
        <f>VLOOKUP(C269,'Talente &amp; Stuff'!CL:DM,15,FALSE)</f>
        <v>0</v>
      </c>
      <c r="R269" s="113">
        <f>VLOOKUP(C269,'Talente &amp; Stuff'!CL:DM,16,FALSE)</f>
        <v>0</v>
      </c>
      <c r="S269" s="119">
        <f>VLOOKUP(C269,'Talente &amp; Stuff'!CL:DM,17,FALSE)</f>
        <v>0</v>
      </c>
      <c r="T269" s="119">
        <f>VLOOKUP(C269,'Talente &amp; Stuff'!CL:DM,18,FALSE)</f>
        <v>0</v>
      </c>
      <c r="U269" s="89">
        <f>VLOOKUP(C269,'Talente &amp; Stuff'!CL:DM,19,FALSE)</f>
        <v>0</v>
      </c>
      <c r="V269" s="47">
        <f>VLOOKUP(C269,'Talente &amp; Stuff'!CL:DM,20,FALSE)</f>
        <v>0</v>
      </c>
      <c r="W269" s="127">
        <f>VLOOKUP(C269,'Talente &amp; Stuff'!CL:DM,21,FALSE)</f>
        <v>0</v>
      </c>
      <c r="X269" s="127">
        <f>VLOOKUP(C269,'Talente &amp; Stuff'!CL:DM,22,FALSE)</f>
        <v>0</v>
      </c>
      <c r="Y269" s="165">
        <f t="shared" si="22"/>
        <v>0</v>
      </c>
      <c r="Z269" s="44">
        <f t="shared" si="23"/>
        <v>0</v>
      </c>
      <c r="AA269" s="125">
        <f>VLOOKUP(C269,'Talente &amp; Stuff'!CL:DM,25,FALSE)</f>
        <v>0</v>
      </c>
      <c r="AB269" s="160">
        <f>VLOOKUP(C269,'Talente &amp; Stuff'!CL:DM,26,FALSE)</f>
        <v>0</v>
      </c>
      <c r="AC269" s="127">
        <f>VLOOKUP(C269,'Talente &amp; Stuff'!CL:DM,27,FALSE)</f>
        <v>0</v>
      </c>
      <c r="AD269" s="125">
        <f>VLOOKUP(C269,'Talente &amp; Stuff'!CL:DM,28,FALSE)</f>
        <v>0</v>
      </c>
      <c r="AE269" s="28"/>
    </row>
    <row r="270" spans="2:31" ht="15" hidden="1" customHeight="1" outlineLevel="2">
      <c r="B270" s="148">
        <v>10</v>
      </c>
      <c r="C270" s="163" t="str">
        <f>Attribute!C270</f>
        <v>---</v>
      </c>
      <c r="D270" s="86" t="str">
        <f>VLOOKUP(C270,'Talente &amp; Stuff'!CL:DM,2,FALSE)</f>
        <v>--/--/--</v>
      </c>
      <c r="E270" s="167" t="str">
        <f>VLOOKUP(C270,'Talente &amp; Stuff'!CL:DM,3,FALSE)</f>
        <v>-</v>
      </c>
      <c r="F270" s="120">
        <f>VLOOKUP(C270,'Talente &amp; Stuff'!CL:DM,4,FALSE)</f>
        <v>0</v>
      </c>
      <c r="G270" s="117">
        <f>VLOOKUP(C270,'Talente &amp; Stuff'!CL:DM,5,FALSE)</f>
        <v>0</v>
      </c>
      <c r="H270" s="117">
        <f>VLOOKUP(C270,'Talente &amp; Stuff'!CL:DM,6,FALSE)</f>
        <v>0</v>
      </c>
      <c r="I270" s="117">
        <f>VLOOKUP(C270,'Talente &amp; Stuff'!CL:DM,7,FALSE)</f>
        <v>0</v>
      </c>
      <c r="J270" s="117">
        <f>VLOOKUP(C270,'Talente &amp; Stuff'!CL:DM,8,FALSE)</f>
        <v>0</v>
      </c>
      <c r="K270" s="117">
        <f>VLOOKUP(C270,'Talente &amp; Stuff'!CL:DM,9,FALSE)</f>
        <v>0</v>
      </c>
      <c r="L270" s="117">
        <f>VLOOKUP(C270,'Talente &amp; Stuff'!CL:DM,10,FALSE)</f>
        <v>0</v>
      </c>
      <c r="M270" s="121">
        <f>VLOOKUP(C270,'Talente &amp; Stuff'!CL:DM,11,FALSE)</f>
        <v>0</v>
      </c>
      <c r="N270" s="47">
        <f>VLOOKUP(C270,'Talente &amp; Stuff'!CL:DM,12,FALSE)</f>
        <v>0</v>
      </c>
      <c r="O270" s="3">
        <f>VLOOKUP(C270,'Talente &amp; Stuff'!CL:DM,13,FALSE)</f>
        <v>0</v>
      </c>
      <c r="P270" s="174">
        <f>VLOOKUP(C270,'Talente &amp; Stuff'!CL:DM,14,FALSE)</f>
        <v>0</v>
      </c>
      <c r="Q270" s="114">
        <f>VLOOKUP(C270,'Talente &amp; Stuff'!CL:DM,15,FALSE)</f>
        <v>0</v>
      </c>
      <c r="R270" s="117">
        <f>VLOOKUP(C270,'Talente &amp; Stuff'!CL:DM,16,FALSE)</f>
        <v>0</v>
      </c>
      <c r="S270" s="119">
        <f>VLOOKUP(C270,'Talente &amp; Stuff'!CL:DM,17,FALSE)</f>
        <v>0</v>
      </c>
      <c r="T270" s="119">
        <f>VLOOKUP(C270,'Talente &amp; Stuff'!CL:DM,18,FALSE)</f>
        <v>0</v>
      </c>
      <c r="U270" s="89">
        <f>VLOOKUP(C270,'Talente &amp; Stuff'!CL:DM,19,FALSE)</f>
        <v>0</v>
      </c>
      <c r="V270" s="47">
        <f>VLOOKUP(C270,'Talente &amp; Stuff'!CL:DM,20,FALSE)</f>
        <v>0</v>
      </c>
      <c r="W270" s="127">
        <f>VLOOKUP(C270,'Talente &amp; Stuff'!CL:DM,21,FALSE)</f>
        <v>0</v>
      </c>
      <c r="X270" s="127">
        <f>VLOOKUP(C270,'Talente &amp; Stuff'!CL:DM,22,FALSE)</f>
        <v>0</v>
      </c>
      <c r="Y270" s="165">
        <f t="shared" si="22"/>
        <v>0</v>
      </c>
      <c r="Z270" s="44">
        <f t="shared" si="23"/>
        <v>0</v>
      </c>
      <c r="AA270" s="125">
        <f>VLOOKUP(C270,'Talente &amp; Stuff'!CL:DM,25,FALSE)</f>
        <v>0</v>
      </c>
      <c r="AB270" s="160">
        <f>VLOOKUP(C270,'Talente &amp; Stuff'!CL:DM,26,FALSE)</f>
        <v>0</v>
      </c>
      <c r="AC270" s="127">
        <f>VLOOKUP(C270,'Talente &amp; Stuff'!CL:DM,27,FALSE)</f>
        <v>0</v>
      </c>
      <c r="AD270" s="125">
        <f>VLOOKUP(C270,'Talente &amp; Stuff'!CL:DM,28,FALSE)</f>
        <v>0</v>
      </c>
      <c r="AE270" s="28"/>
    </row>
    <row r="271" spans="2:31" ht="15" hidden="1" customHeight="1" outlineLevel="2">
      <c r="B271" s="148">
        <v>11</v>
      </c>
      <c r="C271" s="163" t="str">
        <f>Attribute!C271</f>
        <v>---</v>
      </c>
      <c r="D271" s="86" t="str">
        <f>VLOOKUP(C271,'Talente &amp; Stuff'!CL:DM,2,FALSE)</f>
        <v>--/--/--</v>
      </c>
      <c r="E271" s="167" t="str">
        <f>VLOOKUP(C271,'Talente &amp; Stuff'!CL:DM,3,FALSE)</f>
        <v>-</v>
      </c>
      <c r="F271" s="120">
        <f>VLOOKUP(C271,'Talente &amp; Stuff'!CL:DM,4,FALSE)</f>
        <v>0</v>
      </c>
      <c r="G271" s="117">
        <f>VLOOKUP(C271,'Talente &amp; Stuff'!CL:DM,5,FALSE)</f>
        <v>0</v>
      </c>
      <c r="H271" s="117">
        <f>VLOOKUP(C271,'Talente &amp; Stuff'!CL:DM,6,FALSE)</f>
        <v>0</v>
      </c>
      <c r="I271" s="117">
        <f>VLOOKUP(C271,'Talente &amp; Stuff'!CL:DM,7,FALSE)</f>
        <v>0</v>
      </c>
      <c r="J271" s="117">
        <f>VLOOKUP(C271,'Talente &amp; Stuff'!CL:DM,8,FALSE)</f>
        <v>0</v>
      </c>
      <c r="K271" s="117">
        <f>VLOOKUP(C271,'Talente &amp; Stuff'!CL:DM,9,FALSE)</f>
        <v>0</v>
      </c>
      <c r="L271" s="117">
        <f>VLOOKUP(C271,'Talente &amp; Stuff'!CL:DM,10,FALSE)</f>
        <v>0</v>
      </c>
      <c r="M271" s="121">
        <f>VLOOKUP(C271,'Talente &amp; Stuff'!CL:DM,11,FALSE)</f>
        <v>0</v>
      </c>
      <c r="N271" s="47">
        <f>VLOOKUP(C271,'Talente &amp; Stuff'!CL:DM,12,FALSE)</f>
        <v>0</v>
      </c>
      <c r="O271" s="3">
        <f>VLOOKUP(C271,'Talente &amp; Stuff'!CL:DM,13,FALSE)</f>
        <v>0</v>
      </c>
      <c r="P271" s="174">
        <f>VLOOKUP(C271,'Talente &amp; Stuff'!CL:DM,14,FALSE)</f>
        <v>0</v>
      </c>
      <c r="Q271" s="114">
        <f>VLOOKUP(C271,'Talente &amp; Stuff'!CL:DM,15,FALSE)</f>
        <v>0</v>
      </c>
      <c r="R271" s="117">
        <f>VLOOKUP(C271,'Talente &amp; Stuff'!CL:DM,16,FALSE)</f>
        <v>0</v>
      </c>
      <c r="S271" s="119">
        <f>VLOOKUP(C271,'Talente &amp; Stuff'!CL:DM,17,FALSE)</f>
        <v>0</v>
      </c>
      <c r="T271" s="119">
        <f>VLOOKUP(C271,'Talente &amp; Stuff'!CL:DM,18,FALSE)</f>
        <v>0</v>
      </c>
      <c r="U271" s="89">
        <f>VLOOKUP(C271,'Talente &amp; Stuff'!CL:DM,19,FALSE)</f>
        <v>0</v>
      </c>
      <c r="V271" s="47">
        <f>VLOOKUP(C271,'Talente &amp; Stuff'!CL:DM,20,FALSE)</f>
        <v>0</v>
      </c>
      <c r="W271" s="127">
        <f>VLOOKUP(C271,'Talente &amp; Stuff'!CL:DM,21,FALSE)</f>
        <v>0</v>
      </c>
      <c r="X271" s="127">
        <f>VLOOKUP(C271,'Talente &amp; Stuff'!CL:DM,22,FALSE)</f>
        <v>0</v>
      </c>
      <c r="Y271" s="165">
        <f t="shared" si="22"/>
        <v>0</v>
      </c>
      <c r="Z271" s="44">
        <f t="shared" si="23"/>
        <v>0</v>
      </c>
      <c r="AA271" s="125">
        <f>VLOOKUP(C271,'Talente &amp; Stuff'!CL:DM,25,FALSE)</f>
        <v>0</v>
      </c>
      <c r="AB271" s="160">
        <f>VLOOKUP(C271,'Talente &amp; Stuff'!CL:DM,26,FALSE)</f>
        <v>0</v>
      </c>
      <c r="AC271" s="127">
        <f>VLOOKUP(C271,'Talente &amp; Stuff'!CL:DM,27,FALSE)</f>
        <v>0</v>
      </c>
      <c r="AD271" s="125">
        <f>VLOOKUP(C271,'Talente &amp; Stuff'!CL:DM,28,FALSE)</f>
        <v>0</v>
      </c>
      <c r="AE271" s="28"/>
    </row>
    <row r="272" spans="2:31" ht="15" hidden="1" customHeight="1" outlineLevel="2">
      <c r="B272" s="148">
        <v>12</v>
      </c>
      <c r="C272" s="163" t="str">
        <f>Attribute!C272</f>
        <v>---</v>
      </c>
      <c r="D272" s="86" t="str">
        <f>VLOOKUP(C272,'Talente &amp; Stuff'!CL:DM,2,FALSE)</f>
        <v>--/--/--</v>
      </c>
      <c r="E272" s="167" t="str">
        <f>VLOOKUP(C272,'Talente &amp; Stuff'!CL:DM,3,FALSE)</f>
        <v>-</v>
      </c>
      <c r="F272" s="120">
        <f>VLOOKUP(C272,'Talente &amp; Stuff'!CL:DM,4,FALSE)</f>
        <v>0</v>
      </c>
      <c r="G272" s="117">
        <f>VLOOKUP(C272,'Talente &amp; Stuff'!CL:DM,5,FALSE)</f>
        <v>0</v>
      </c>
      <c r="H272" s="117">
        <f>VLOOKUP(C272,'Talente &amp; Stuff'!CL:DM,6,FALSE)</f>
        <v>0</v>
      </c>
      <c r="I272" s="117">
        <f>VLOOKUP(C272,'Talente &amp; Stuff'!CL:DM,7,FALSE)</f>
        <v>0</v>
      </c>
      <c r="J272" s="117">
        <f>VLOOKUP(C272,'Talente &amp; Stuff'!CL:DM,8,FALSE)</f>
        <v>0</v>
      </c>
      <c r="K272" s="117">
        <f>VLOOKUP(C272,'Talente &amp; Stuff'!CL:DM,9,FALSE)</f>
        <v>0</v>
      </c>
      <c r="L272" s="117">
        <f>VLOOKUP(C272,'Talente &amp; Stuff'!CL:DM,10,FALSE)</f>
        <v>0</v>
      </c>
      <c r="M272" s="121">
        <f>VLOOKUP(C272,'Talente &amp; Stuff'!CL:DM,11,FALSE)</f>
        <v>0</v>
      </c>
      <c r="N272" s="47">
        <f>VLOOKUP(C272,'Talente &amp; Stuff'!CL:DM,12,FALSE)</f>
        <v>0</v>
      </c>
      <c r="O272" s="3">
        <f>VLOOKUP(C272,'Talente &amp; Stuff'!CL:DM,13,FALSE)</f>
        <v>0</v>
      </c>
      <c r="P272" s="174">
        <f>VLOOKUP(C272,'Talente &amp; Stuff'!CL:DM,14,FALSE)</f>
        <v>0</v>
      </c>
      <c r="Q272" s="114">
        <f>VLOOKUP(C272,'Talente &amp; Stuff'!CL:DM,15,FALSE)</f>
        <v>0</v>
      </c>
      <c r="R272" s="117">
        <f>VLOOKUP(C272,'Talente &amp; Stuff'!CL:DM,16,FALSE)</f>
        <v>0</v>
      </c>
      <c r="S272" s="119">
        <f>VLOOKUP(C272,'Talente &amp; Stuff'!CL:DM,17,FALSE)</f>
        <v>0</v>
      </c>
      <c r="T272" s="119">
        <f>VLOOKUP(C272,'Talente &amp; Stuff'!CL:DM,18,FALSE)</f>
        <v>0</v>
      </c>
      <c r="U272" s="89">
        <f>VLOOKUP(C272,'Talente &amp; Stuff'!CL:DM,19,FALSE)</f>
        <v>0</v>
      </c>
      <c r="V272" s="47">
        <f>VLOOKUP(C272,'Talente &amp; Stuff'!CL:DM,20,FALSE)</f>
        <v>0</v>
      </c>
      <c r="W272" s="127">
        <f>VLOOKUP(C272,'Talente &amp; Stuff'!CL:DM,21,FALSE)</f>
        <v>0</v>
      </c>
      <c r="X272" s="127">
        <f>VLOOKUP(C272,'Talente &amp; Stuff'!CL:DM,22,FALSE)</f>
        <v>0</v>
      </c>
      <c r="Y272" s="165">
        <f t="shared" si="22"/>
        <v>0</v>
      </c>
      <c r="Z272" s="44">
        <f t="shared" si="23"/>
        <v>0</v>
      </c>
      <c r="AA272" s="125">
        <f>VLOOKUP(C272,'Talente &amp; Stuff'!CL:DM,25,FALSE)</f>
        <v>0</v>
      </c>
      <c r="AB272" s="160">
        <f>VLOOKUP(C272,'Talente &amp; Stuff'!CL:DM,26,FALSE)</f>
        <v>0</v>
      </c>
      <c r="AC272" s="127">
        <f>VLOOKUP(C272,'Talente &amp; Stuff'!CL:DM,27,FALSE)</f>
        <v>0</v>
      </c>
      <c r="AD272" s="125">
        <f>VLOOKUP(C272,'Talente &amp; Stuff'!CL:DM,28,FALSE)</f>
        <v>0</v>
      </c>
      <c r="AE272" s="28"/>
    </row>
    <row r="273" spans="2:31" ht="15" hidden="1" customHeight="1" outlineLevel="2">
      <c r="B273" s="148">
        <v>13</v>
      </c>
      <c r="C273" s="163" t="str">
        <f>Attribute!C273</f>
        <v>---</v>
      </c>
      <c r="D273" s="86" t="str">
        <f>VLOOKUP(C273,'Talente &amp; Stuff'!CL:DM,2,FALSE)</f>
        <v>--/--/--</v>
      </c>
      <c r="E273" s="167" t="str">
        <f>VLOOKUP(C273,'Talente &amp; Stuff'!CL:DM,3,FALSE)</f>
        <v>-</v>
      </c>
      <c r="F273" s="120">
        <f>VLOOKUP(C273,'Talente &amp; Stuff'!CL:DM,4,FALSE)</f>
        <v>0</v>
      </c>
      <c r="G273" s="117">
        <f>VLOOKUP(C273,'Talente &amp; Stuff'!CL:DM,5,FALSE)</f>
        <v>0</v>
      </c>
      <c r="H273" s="117">
        <f>VLOOKUP(C273,'Talente &amp; Stuff'!CL:DM,6,FALSE)</f>
        <v>0</v>
      </c>
      <c r="I273" s="117">
        <f>VLOOKUP(C273,'Talente &amp; Stuff'!CL:DM,7,FALSE)</f>
        <v>0</v>
      </c>
      <c r="J273" s="117">
        <f>VLOOKUP(C273,'Talente &amp; Stuff'!CL:DM,8,FALSE)</f>
        <v>0</v>
      </c>
      <c r="K273" s="117">
        <f>VLOOKUP(C273,'Talente &amp; Stuff'!CL:DM,9,FALSE)</f>
        <v>0</v>
      </c>
      <c r="L273" s="117">
        <f>VLOOKUP(C273,'Talente &amp; Stuff'!CL:DM,10,FALSE)</f>
        <v>0</v>
      </c>
      <c r="M273" s="121">
        <f>VLOOKUP(C273,'Talente &amp; Stuff'!CL:DM,11,FALSE)</f>
        <v>0</v>
      </c>
      <c r="N273" s="47">
        <f>VLOOKUP(C273,'Talente &amp; Stuff'!CL:DM,12,FALSE)</f>
        <v>0</v>
      </c>
      <c r="O273" s="3">
        <f>VLOOKUP(C273,'Talente &amp; Stuff'!CL:DM,13,FALSE)</f>
        <v>0</v>
      </c>
      <c r="P273" s="174">
        <f>VLOOKUP(C273,'Talente &amp; Stuff'!CL:DM,14,FALSE)</f>
        <v>0</v>
      </c>
      <c r="Q273" s="114">
        <f>VLOOKUP(C273,'Talente &amp; Stuff'!CL:DM,15,FALSE)</f>
        <v>0</v>
      </c>
      <c r="R273" s="117">
        <f>VLOOKUP(C273,'Talente &amp; Stuff'!CL:DM,16,FALSE)</f>
        <v>0</v>
      </c>
      <c r="S273" s="119">
        <f>VLOOKUP(C273,'Talente &amp; Stuff'!CL:DM,17,FALSE)</f>
        <v>0</v>
      </c>
      <c r="T273" s="119">
        <f>VLOOKUP(C273,'Talente &amp; Stuff'!CL:DM,18,FALSE)</f>
        <v>0</v>
      </c>
      <c r="U273" s="89">
        <f>VLOOKUP(C273,'Talente &amp; Stuff'!CL:DM,19,FALSE)</f>
        <v>0</v>
      </c>
      <c r="V273" s="47">
        <f>VLOOKUP(C273,'Talente &amp; Stuff'!CL:DM,20,FALSE)</f>
        <v>0</v>
      </c>
      <c r="W273" s="127">
        <f>VLOOKUP(C273,'Talente &amp; Stuff'!CL:DM,21,FALSE)</f>
        <v>0</v>
      </c>
      <c r="X273" s="127">
        <f>VLOOKUP(C273,'Talente &amp; Stuff'!CL:DM,22,FALSE)</f>
        <v>0</v>
      </c>
      <c r="Y273" s="165">
        <f t="shared" si="22"/>
        <v>0</v>
      </c>
      <c r="Z273" s="44">
        <f t="shared" si="23"/>
        <v>0</v>
      </c>
      <c r="AA273" s="125">
        <f>VLOOKUP(C273,'Talente &amp; Stuff'!CL:DM,25,FALSE)</f>
        <v>0</v>
      </c>
      <c r="AB273" s="160">
        <f>VLOOKUP(C273,'Talente &amp; Stuff'!CL:DM,26,FALSE)</f>
        <v>0</v>
      </c>
      <c r="AC273" s="127">
        <f>VLOOKUP(C273,'Talente &amp; Stuff'!CL:DM,27,FALSE)</f>
        <v>0</v>
      </c>
      <c r="AD273" s="125">
        <f>VLOOKUP(C273,'Talente &amp; Stuff'!CL:DM,28,FALSE)</f>
        <v>0</v>
      </c>
      <c r="AE273" s="28"/>
    </row>
    <row r="274" spans="2:31" ht="15" hidden="1" customHeight="1" outlineLevel="2">
      <c r="B274" s="148">
        <v>14</v>
      </c>
      <c r="C274" s="163" t="str">
        <f>Attribute!C274</f>
        <v>---</v>
      </c>
      <c r="D274" s="86" t="str">
        <f>VLOOKUP(C274,'Talente &amp; Stuff'!CL:DM,2,FALSE)</f>
        <v>--/--/--</v>
      </c>
      <c r="E274" s="167" t="str">
        <f>VLOOKUP(C274,'Talente &amp; Stuff'!CL:DM,3,FALSE)</f>
        <v>-</v>
      </c>
      <c r="F274" s="120">
        <f>VLOOKUP(C274,'Talente &amp; Stuff'!CL:DM,4,FALSE)</f>
        <v>0</v>
      </c>
      <c r="G274" s="117">
        <f>VLOOKUP(C274,'Talente &amp; Stuff'!CL:DM,5,FALSE)</f>
        <v>0</v>
      </c>
      <c r="H274" s="117">
        <f>VLOOKUP(C274,'Talente &amp; Stuff'!CL:DM,6,FALSE)</f>
        <v>0</v>
      </c>
      <c r="I274" s="117">
        <f>VLOOKUP(C274,'Talente &amp; Stuff'!CL:DM,7,FALSE)</f>
        <v>0</v>
      </c>
      <c r="J274" s="117">
        <f>VLOOKUP(C274,'Talente &amp; Stuff'!CL:DM,8,FALSE)</f>
        <v>0</v>
      </c>
      <c r="K274" s="117">
        <f>VLOOKUP(C274,'Talente &amp; Stuff'!CL:DM,9,FALSE)</f>
        <v>0</v>
      </c>
      <c r="L274" s="117">
        <f>VLOOKUP(C274,'Talente &amp; Stuff'!CL:DM,10,FALSE)</f>
        <v>0</v>
      </c>
      <c r="M274" s="121">
        <f>VLOOKUP(C274,'Talente &amp; Stuff'!CL:DM,11,FALSE)</f>
        <v>0</v>
      </c>
      <c r="N274" s="47">
        <f>VLOOKUP(C274,'Talente &amp; Stuff'!CL:DM,12,FALSE)</f>
        <v>0</v>
      </c>
      <c r="O274" s="3">
        <f>VLOOKUP(C274,'Talente &amp; Stuff'!CL:DM,13,FALSE)</f>
        <v>0</v>
      </c>
      <c r="P274" s="174">
        <f>VLOOKUP(C274,'Talente &amp; Stuff'!CL:DM,14,FALSE)</f>
        <v>0</v>
      </c>
      <c r="Q274" s="114">
        <f>VLOOKUP(C274,'Talente &amp; Stuff'!CL:DM,15,FALSE)</f>
        <v>0</v>
      </c>
      <c r="R274" s="117">
        <f>VLOOKUP(C274,'Talente &amp; Stuff'!CL:DM,16,FALSE)</f>
        <v>0</v>
      </c>
      <c r="S274" s="119">
        <f>VLOOKUP(C274,'Talente &amp; Stuff'!CL:DM,17,FALSE)</f>
        <v>0</v>
      </c>
      <c r="T274" s="119">
        <f>VLOOKUP(C274,'Talente &amp; Stuff'!CL:DM,18,FALSE)</f>
        <v>0</v>
      </c>
      <c r="U274" s="89">
        <f>VLOOKUP(C274,'Talente &amp; Stuff'!CL:DM,19,FALSE)</f>
        <v>0</v>
      </c>
      <c r="V274" s="47">
        <f>VLOOKUP(C274,'Talente &amp; Stuff'!CL:DM,20,FALSE)</f>
        <v>0</v>
      </c>
      <c r="W274" s="127">
        <f>VLOOKUP(C274,'Talente &amp; Stuff'!CL:DM,21,FALSE)</f>
        <v>0</v>
      </c>
      <c r="X274" s="127">
        <f>VLOOKUP(C274,'Talente &amp; Stuff'!CL:DM,22,FALSE)</f>
        <v>0</v>
      </c>
      <c r="Y274" s="165">
        <f t="shared" si="22"/>
        <v>0</v>
      </c>
      <c r="Z274" s="44">
        <f t="shared" si="23"/>
        <v>0</v>
      </c>
      <c r="AA274" s="125">
        <f>VLOOKUP(C274,'Talente &amp; Stuff'!CL:DM,25,FALSE)</f>
        <v>0</v>
      </c>
      <c r="AB274" s="160">
        <f>VLOOKUP(C274,'Talente &amp; Stuff'!CL:DM,26,FALSE)</f>
        <v>0</v>
      </c>
      <c r="AC274" s="127">
        <f>VLOOKUP(C274,'Talente &amp; Stuff'!CL:DM,27,FALSE)</f>
        <v>0</v>
      </c>
      <c r="AD274" s="125">
        <f>VLOOKUP(C274,'Talente &amp; Stuff'!CL:DM,28,FALSE)</f>
        <v>0</v>
      </c>
      <c r="AE274" s="28"/>
    </row>
    <row r="275" spans="2:31" ht="15" hidden="1" customHeight="1" outlineLevel="2">
      <c r="B275" s="148">
        <v>15</v>
      </c>
      <c r="C275" s="163" t="str">
        <f>Attribute!C275</f>
        <v>---</v>
      </c>
      <c r="D275" s="86" t="str">
        <f>VLOOKUP(C275,'Talente &amp; Stuff'!CL:DM,2,FALSE)</f>
        <v>--/--/--</v>
      </c>
      <c r="E275" s="167" t="str">
        <f>VLOOKUP(C275,'Talente &amp; Stuff'!CL:DM,3,FALSE)</f>
        <v>-</v>
      </c>
      <c r="F275" s="120">
        <f>VLOOKUP(C275,'Talente &amp; Stuff'!CL:DM,4,FALSE)</f>
        <v>0</v>
      </c>
      <c r="G275" s="117">
        <f>VLOOKUP(C275,'Talente &amp; Stuff'!CL:DM,5,FALSE)</f>
        <v>0</v>
      </c>
      <c r="H275" s="117">
        <f>VLOOKUP(C275,'Talente &amp; Stuff'!CL:DM,6,FALSE)</f>
        <v>0</v>
      </c>
      <c r="I275" s="117">
        <f>VLOOKUP(C275,'Talente &amp; Stuff'!CL:DM,7,FALSE)</f>
        <v>0</v>
      </c>
      <c r="J275" s="117">
        <f>VLOOKUP(C275,'Talente &amp; Stuff'!CL:DM,8,FALSE)</f>
        <v>0</v>
      </c>
      <c r="K275" s="117">
        <f>VLOOKUP(C275,'Talente &amp; Stuff'!CL:DM,9,FALSE)</f>
        <v>0</v>
      </c>
      <c r="L275" s="117">
        <f>VLOOKUP(C275,'Talente &amp; Stuff'!CL:DM,10,FALSE)</f>
        <v>0</v>
      </c>
      <c r="M275" s="121">
        <f>VLOOKUP(C275,'Talente &amp; Stuff'!CL:DM,11,FALSE)</f>
        <v>0</v>
      </c>
      <c r="N275" s="47">
        <f>VLOOKUP(C275,'Talente &amp; Stuff'!CL:DM,12,FALSE)</f>
        <v>0</v>
      </c>
      <c r="O275" s="3">
        <f>VLOOKUP(C275,'Talente &amp; Stuff'!CL:DM,13,FALSE)</f>
        <v>0</v>
      </c>
      <c r="P275" s="174">
        <f>VLOOKUP(C275,'Talente &amp; Stuff'!CL:DM,14,FALSE)</f>
        <v>0</v>
      </c>
      <c r="Q275" s="114">
        <f>VLOOKUP(C275,'Talente &amp; Stuff'!CL:DM,15,FALSE)</f>
        <v>0</v>
      </c>
      <c r="R275" s="117">
        <f>VLOOKUP(C275,'Talente &amp; Stuff'!CL:DM,16,FALSE)</f>
        <v>0</v>
      </c>
      <c r="S275" s="119">
        <f>VLOOKUP(C275,'Talente &amp; Stuff'!CL:DM,17,FALSE)</f>
        <v>0</v>
      </c>
      <c r="T275" s="119">
        <f>VLOOKUP(C275,'Talente &amp; Stuff'!CL:DM,18,FALSE)</f>
        <v>0</v>
      </c>
      <c r="U275" s="89">
        <f>VLOOKUP(C275,'Talente &amp; Stuff'!CL:DM,19,FALSE)</f>
        <v>0</v>
      </c>
      <c r="V275" s="47">
        <f>VLOOKUP(C275,'Talente &amp; Stuff'!CL:DM,20,FALSE)</f>
        <v>0</v>
      </c>
      <c r="W275" s="127">
        <f>VLOOKUP(C275,'Talente &amp; Stuff'!CL:DM,21,FALSE)</f>
        <v>0</v>
      </c>
      <c r="X275" s="127">
        <f>VLOOKUP(C275,'Talente &amp; Stuff'!CL:DM,22,FALSE)</f>
        <v>0</v>
      </c>
      <c r="Y275" s="165">
        <f t="shared" si="22"/>
        <v>0</v>
      </c>
      <c r="Z275" s="44">
        <f t="shared" si="23"/>
        <v>0</v>
      </c>
      <c r="AA275" s="125">
        <f>VLOOKUP(C275,'Talente &amp; Stuff'!CL:DM,25,FALSE)</f>
        <v>0</v>
      </c>
      <c r="AB275" s="160">
        <f>VLOOKUP(C275,'Talente &amp; Stuff'!CL:DM,26,FALSE)</f>
        <v>0</v>
      </c>
      <c r="AC275" s="127">
        <f>VLOOKUP(C275,'Talente &amp; Stuff'!CL:DM,27,FALSE)</f>
        <v>0</v>
      </c>
      <c r="AD275" s="125">
        <f>VLOOKUP(C275,'Talente &amp; Stuff'!CL:DM,28,FALSE)</f>
        <v>0</v>
      </c>
      <c r="AE275" s="28"/>
    </row>
    <row r="276" spans="2:31" ht="15" hidden="1" customHeight="1" outlineLevel="2">
      <c r="B276" s="148">
        <v>16</v>
      </c>
      <c r="C276" s="163" t="str">
        <f>Attribute!C276</f>
        <v>---</v>
      </c>
      <c r="D276" s="86" t="str">
        <f>VLOOKUP(C276,'Talente &amp; Stuff'!CL:DM,2,FALSE)</f>
        <v>--/--/--</v>
      </c>
      <c r="E276" s="167" t="str">
        <f>VLOOKUP(C276,'Talente &amp; Stuff'!CL:DM,3,FALSE)</f>
        <v>-</v>
      </c>
      <c r="F276" s="120">
        <f>VLOOKUP(C276,'Talente &amp; Stuff'!CL:DM,4,FALSE)</f>
        <v>0</v>
      </c>
      <c r="G276" s="117">
        <f>VLOOKUP(C276,'Talente &amp; Stuff'!CL:DM,5,FALSE)</f>
        <v>0</v>
      </c>
      <c r="H276" s="117">
        <f>VLOOKUP(C276,'Talente &amp; Stuff'!CL:DM,6,FALSE)</f>
        <v>0</v>
      </c>
      <c r="I276" s="117">
        <f>VLOOKUP(C276,'Talente &amp; Stuff'!CL:DM,7,FALSE)</f>
        <v>0</v>
      </c>
      <c r="J276" s="117">
        <f>VLOOKUP(C276,'Talente &amp; Stuff'!CL:DM,8,FALSE)</f>
        <v>0</v>
      </c>
      <c r="K276" s="117">
        <f>VLOOKUP(C276,'Talente &amp; Stuff'!CL:DM,9,FALSE)</f>
        <v>0</v>
      </c>
      <c r="L276" s="117">
        <f>VLOOKUP(C276,'Talente &amp; Stuff'!CL:DM,10,FALSE)</f>
        <v>0</v>
      </c>
      <c r="M276" s="121">
        <f>VLOOKUP(C276,'Talente &amp; Stuff'!CL:DM,11,FALSE)</f>
        <v>0</v>
      </c>
      <c r="N276" s="47">
        <f>VLOOKUP(C276,'Talente &amp; Stuff'!CL:DM,12,FALSE)</f>
        <v>0</v>
      </c>
      <c r="O276" s="3">
        <f>VLOOKUP(C276,'Talente &amp; Stuff'!CL:DM,13,FALSE)</f>
        <v>0</v>
      </c>
      <c r="P276" s="174">
        <f>VLOOKUP(C276,'Talente &amp; Stuff'!CL:DM,14,FALSE)</f>
        <v>0</v>
      </c>
      <c r="Q276" s="114">
        <f>VLOOKUP(C276,'Talente &amp; Stuff'!CL:DM,15,FALSE)</f>
        <v>0</v>
      </c>
      <c r="R276" s="117">
        <f>VLOOKUP(C276,'Talente &amp; Stuff'!CL:DM,16,FALSE)</f>
        <v>0</v>
      </c>
      <c r="S276" s="119">
        <f>VLOOKUP(C276,'Talente &amp; Stuff'!CL:DM,17,FALSE)</f>
        <v>0</v>
      </c>
      <c r="T276" s="119">
        <f>VLOOKUP(C276,'Talente &amp; Stuff'!CL:DM,18,FALSE)</f>
        <v>0</v>
      </c>
      <c r="U276" s="89">
        <f>VLOOKUP(C276,'Talente &amp; Stuff'!CL:DM,19,FALSE)</f>
        <v>0</v>
      </c>
      <c r="V276" s="47">
        <f>VLOOKUP(C276,'Talente &amp; Stuff'!CL:DM,20,FALSE)</f>
        <v>0</v>
      </c>
      <c r="W276" s="127">
        <f>VLOOKUP(C276,'Talente &amp; Stuff'!CL:DM,21,FALSE)</f>
        <v>0</v>
      </c>
      <c r="X276" s="127">
        <f>VLOOKUP(C276,'Talente &amp; Stuff'!CL:DM,22,FALSE)</f>
        <v>0</v>
      </c>
      <c r="Y276" s="165">
        <f t="shared" si="22"/>
        <v>0</v>
      </c>
      <c r="Z276" s="44">
        <f t="shared" si="23"/>
        <v>0</v>
      </c>
      <c r="AA276" s="125">
        <f>VLOOKUP(C276,'Talente &amp; Stuff'!CL:DM,25,FALSE)</f>
        <v>0</v>
      </c>
      <c r="AB276" s="160">
        <f>VLOOKUP(C276,'Talente &amp; Stuff'!CL:DM,26,FALSE)</f>
        <v>0</v>
      </c>
      <c r="AC276" s="127">
        <f>VLOOKUP(C276,'Talente &amp; Stuff'!CL:DM,27,FALSE)</f>
        <v>0</v>
      </c>
      <c r="AD276" s="125">
        <f>VLOOKUP(C276,'Talente &amp; Stuff'!CL:DM,28,FALSE)</f>
        <v>0</v>
      </c>
      <c r="AE276" s="28"/>
    </row>
    <row r="277" spans="2:31" ht="15" hidden="1" customHeight="1" outlineLevel="2">
      <c r="B277" s="148">
        <v>17</v>
      </c>
      <c r="C277" s="163" t="str">
        <f>Attribute!C277</f>
        <v>---</v>
      </c>
      <c r="D277" s="86" t="str">
        <f>VLOOKUP(C277,'Talente &amp; Stuff'!CL:DM,2,FALSE)</f>
        <v>--/--/--</v>
      </c>
      <c r="E277" s="167" t="str">
        <f>VLOOKUP(C277,'Talente &amp; Stuff'!CL:DM,3,FALSE)</f>
        <v>-</v>
      </c>
      <c r="F277" s="120">
        <f>VLOOKUP(C277,'Talente &amp; Stuff'!CL:DM,4,FALSE)</f>
        <v>0</v>
      </c>
      <c r="G277" s="117">
        <f>VLOOKUP(C277,'Talente &amp; Stuff'!CL:DM,5,FALSE)</f>
        <v>0</v>
      </c>
      <c r="H277" s="117">
        <f>VLOOKUP(C277,'Talente &amp; Stuff'!CL:DM,6,FALSE)</f>
        <v>0</v>
      </c>
      <c r="I277" s="117">
        <f>VLOOKUP(C277,'Talente &amp; Stuff'!CL:DM,7,FALSE)</f>
        <v>0</v>
      </c>
      <c r="J277" s="117">
        <f>VLOOKUP(C277,'Talente &amp; Stuff'!CL:DM,8,FALSE)</f>
        <v>0</v>
      </c>
      <c r="K277" s="117">
        <f>VLOOKUP(C277,'Talente &amp; Stuff'!CL:DM,9,FALSE)</f>
        <v>0</v>
      </c>
      <c r="L277" s="117">
        <f>VLOOKUP(C277,'Talente &amp; Stuff'!CL:DM,10,FALSE)</f>
        <v>0</v>
      </c>
      <c r="M277" s="121">
        <f>VLOOKUP(C277,'Talente &amp; Stuff'!CL:DM,11,FALSE)</f>
        <v>0</v>
      </c>
      <c r="N277" s="47">
        <f>VLOOKUP(C277,'Talente &amp; Stuff'!CL:DM,12,FALSE)</f>
        <v>0</v>
      </c>
      <c r="O277" s="3">
        <f>VLOOKUP(C277,'Talente &amp; Stuff'!CL:DM,13,FALSE)</f>
        <v>0</v>
      </c>
      <c r="P277" s="174">
        <f>VLOOKUP(C277,'Talente &amp; Stuff'!CL:DM,14,FALSE)</f>
        <v>0</v>
      </c>
      <c r="Q277" s="114">
        <f>VLOOKUP(C277,'Talente &amp; Stuff'!CL:DM,15,FALSE)</f>
        <v>0</v>
      </c>
      <c r="R277" s="117">
        <f>VLOOKUP(C277,'Talente &amp; Stuff'!CL:DM,16,FALSE)</f>
        <v>0</v>
      </c>
      <c r="S277" s="119">
        <f>VLOOKUP(C277,'Talente &amp; Stuff'!CL:DM,17,FALSE)</f>
        <v>0</v>
      </c>
      <c r="T277" s="119">
        <f>VLOOKUP(C277,'Talente &amp; Stuff'!CL:DM,18,FALSE)</f>
        <v>0</v>
      </c>
      <c r="U277" s="89">
        <f>VLOOKUP(C277,'Talente &amp; Stuff'!CL:DM,19,FALSE)</f>
        <v>0</v>
      </c>
      <c r="V277" s="47">
        <f>VLOOKUP(C277,'Talente &amp; Stuff'!CL:DM,20,FALSE)</f>
        <v>0</v>
      </c>
      <c r="W277" s="127">
        <f>VLOOKUP(C277,'Talente &amp; Stuff'!CL:DM,21,FALSE)</f>
        <v>0</v>
      </c>
      <c r="X277" s="127">
        <f>VLOOKUP(C277,'Talente &amp; Stuff'!CL:DM,22,FALSE)</f>
        <v>0</v>
      </c>
      <c r="Y277" s="165">
        <f t="shared" si="22"/>
        <v>0</v>
      </c>
      <c r="Z277" s="44">
        <f t="shared" si="23"/>
        <v>0</v>
      </c>
      <c r="AA277" s="125">
        <f>VLOOKUP(C277,'Talente &amp; Stuff'!CL:DM,25,FALSE)</f>
        <v>0</v>
      </c>
      <c r="AB277" s="160">
        <f>VLOOKUP(C277,'Talente &amp; Stuff'!CL:DM,26,FALSE)</f>
        <v>0</v>
      </c>
      <c r="AC277" s="127">
        <f>VLOOKUP(C277,'Talente &amp; Stuff'!CL:DM,27,FALSE)</f>
        <v>0</v>
      </c>
      <c r="AD277" s="125">
        <f>VLOOKUP(C277,'Talente &amp; Stuff'!CL:DM,28,FALSE)</f>
        <v>0</v>
      </c>
      <c r="AE277" s="28"/>
    </row>
    <row r="278" spans="2:31" ht="15" hidden="1" customHeight="1" outlineLevel="2">
      <c r="B278" s="148">
        <v>18</v>
      </c>
      <c r="C278" s="163" t="str">
        <f>Attribute!C278</f>
        <v>---</v>
      </c>
      <c r="D278" s="86" t="str">
        <f>VLOOKUP(C278,'Talente &amp; Stuff'!CL:DM,2,FALSE)</f>
        <v>--/--/--</v>
      </c>
      <c r="E278" s="167" t="str">
        <f>VLOOKUP(C278,'Talente &amp; Stuff'!CL:DM,3,FALSE)</f>
        <v>-</v>
      </c>
      <c r="F278" s="120">
        <f>VLOOKUP(C278,'Talente &amp; Stuff'!CL:DM,4,FALSE)</f>
        <v>0</v>
      </c>
      <c r="G278" s="117">
        <f>VLOOKUP(C278,'Talente &amp; Stuff'!CL:DM,5,FALSE)</f>
        <v>0</v>
      </c>
      <c r="H278" s="117">
        <f>VLOOKUP(C278,'Talente &amp; Stuff'!CL:DM,6,FALSE)</f>
        <v>0</v>
      </c>
      <c r="I278" s="117">
        <f>VLOOKUP(C278,'Talente &amp; Stuff'!CL:DM,7,FALSE)</f>
        <v>0</v>
      </c>
      <c r="J278" s="117">
        <f>VLOOKUP(C278,'Talente &amp; Stuff'!CL:DM,8,FALSE)</f>
        <v>0</v>
      </c>
      <c r="K278" s="117">
        <f>VLOOKUP(C278,'Talente &amp; Stuff'!CL:DM,9,FALSE)</f>
        <v>0</v>
      </c>
      <c r="L278" s="117">
        <f>VLOOKUP(C278,'Talente &amp; Stuff'!CL:DM,10,FALSE)</f>
        <v>0</v>
      </c>
      <c r="M278" s="121">
        <f>VLOOKUP(C278,'Talente &amp; Stuff'!CL:DM,11,FALSE)</f>
        <v>0</v>
      </c>
      <c r="N278" s="47">
        <f>VLOOKUP(C278,'Talente &amp; Stuff'!CL:DM,12,FALSE)</f>
        <v>0</v>
      </c>
      <c r="O278" s="3">
        <f>VLOOKUP(C278,'Talente &amp; Stuff'!CL:DM,13,FALSE)</f>
        <v>0</v>
      </c>
      <c r="P278" s="174">
        <f>VLOOKUP(C278,'Talente &amp; Stuff'!CL:DM,14,FALSE)</f>
        <v>0</v>
      </c>
      <c r="Q278" s="114">
        <f>VLOOKUP(C278,'Talente &amp; Stuff'!CL:DM,15,FALSE)</f>
        <v>0</v>
      </c>
      <c r="R278" s="117">
        <f>VLOOKUP(C278,'Talente &amp; Stuff'!CL:DM,16,FALSE)</f>
        <v>0</v>
      </c>
      <c r="S278" s="119">
        <f>VLOOKUP(C278,'Talente &amp; Stuff'!CL:DM,17,FALSE)</f>
        <v>0</v>
      </c>
      <c r="T278" s="119">
        <f>VLOOKUP(C278,'Talente &amp; Stuff'!CL:DM,18,FALSE)</f>
        <v>0</v>
      </c>
      <c r="U278" s="89">
        <f>VLOOKUP(C278,'Talente &amp; Stuff'!CL:DM,19,FALSE)</f>
        <v>0</v>
      </c>
      <c r="V278" s="47">
        <f>VLOOKUP(C278,'Talente &amp; Stuff'!CL:DM,20,FALSE)</f>
        <v>0</v>
      </c>
      <c r="W278" s="127">
        <f>VLOOKUP(C278,'Talente &amp; Stuff'!CL:DM,21,FALSE)</f>
        <v>0</v>
      </c>
      <c r="X278" s="127">
        <f>VLOOKUP(C278,'Talente &amp; Stuff'!CL:DM,22,FALSE)</f>
        <v>0</v>
      </c>
      <c r="Y278" s="165">
        <f t="shared" si="22"/>
        <v>0</v>
      </c>
      <c r="Z278" s="44">
        <f t="shared" si="23"/>
        <v>0</v>
      </c>
      <c r="AA278" s="125">
        <f>VLOOKUP(C278,'Talente &amp; Stuff'!CL:DM,25,FALSE)</f>
        <v>0</v>
      </c>
      <c r="AB278" s="160">
        <f>VLOOKUP(C278,'Talente &amp; Stuff'!CL:DM,26,FALSE)</f>
        <v>0</v>
      </c>
      <c r="AC278" s="127">
        <f>VLOOKUP(C278,'Talente &amp; Stuff'!CL:DM,27,FALSE)</f>
        <v>0</v>
      </c>
      <c r="AD278" s="125">
        <f>VLOOKUP(C278,'Talente &amp; Stuff'!CL:DM,28,FALSE)</f>
        <v>0</v>
      </c>
      <c r="AE278" s="28"/>
    </row>
    <row r="279" spans="2:31" ht="15" hidden="1" customHeight="1" outlineLevel="2">
      <c r="B279" s="148">
        <v>19</v>
      </c>
      <c r="C279" s="163" t="str">
        <f>Attribute!C279</f>
        <v>---</v>
      </c>
      <c r="D279" s="86" t="str">
        <f>VLOOKUP(C279,'Talente &amp; Stuff'!CL:DM,2,FALSE)</f>
        <v>--/--/--</v>
      </c>
      <c r="E279" s="167" t="str">
        <f>VLOOKUP(C279,'Talente &amp; Stuff'!CL:DM,3,FALSE)</f>
        <v>-</v>
      </c>
      <c r="F279" s="120">
        <f>VLOOKUP(C279,'Talente &amp; Stuff'!CL:DM,4,FALSE)</f>
        <v>0</v>
      </c>
      <c r="G279" s="117">
        <f>VLOOKUP(C279,'Talente &amp; Stuff'!CL:DM,5,FALSE)</f>
        <v>0</v>
      </c>
      <c r="H279" s="117">
        <f>VLOOKUP(C279,'Talente &amp; Stuff'!CL:DM,6,FALSE)</f>
        <v>0</v>
      </c>
      <c r="I279" s="117">
        <f>VLOOKUP(C279,'Talente &amp; Stuff'!CL:DM,7,FALSE)</f>
        <v>0</v>
      </c>
      <c r="J279" s="117">
        <f>VLOOKUP(C279,'Talente &amp; Stuff'!CL:DM,8,FALSE)</f>
        <v>0</v>
      </c>
      <c r="K279" s="117">
        <f>VLOOKUP(C279,'Talente &amp; Stuff'!CL:DM,9,FALSE)</f>
        <v>0</v>
      </c>
      <c r="L279" s="117">
        <f>VLOOKUP(C279,'Talente &amp; Stuff'!CL:DM,10,FALSE)</f>
        <v>0</v>
      </c>
      <c r="M279" s="121">
        <f>VLOOKUP(C279,'Talente &amp; Stuff'!CL:DM,11,FALSE)</f>
        <v>0</v>
      </c>
      <c r="N279" s="47">
        <f>VLOOKUP(C279,'Talente &amp; Stuff'!CL:DM,12,FALSE)</f>
        <v>0</v>
      </c>
      <c r="O279" s="3">
        <f>VLOOKUP(C279,'Talente &amp; Stuff'!CL:DM,13,FALSE)</f>
        <v>0</v>
      </c>
      <c r="P279" s="174">
        <f>VLOOKUP(C279,'Talente &amp; Stuff'!CL:DM,14,FALSE)</f>
        <v>0</v>
      </c>
      <c r="Q279" s="114">
        <f>VLOOKUP(C279,'Talente &amp; Stuff'!CL:DM,15,FALSE)</f>
        <v>0</v>
      </c>
      <c r="R279" s="117">
        <f>VLOOKUP(C279,'Talente &amp; Stuff'!CL:DM,16,FALSE)</f>
        <v>0</v>
      </c>
      <c r="S279" s="119">
        <f>VLOOKUP(C279,'Talente &amp; Stuff'!CL:DM,17,FALSE)</f>
        <v>0</v>
      </c>
      <c r="T279" s="119">
        <f>VLOOKUP(C279,'Talente &amp; Stuff'!CL:DM,18,FALSE)</f>
        <v>0</v>
      </c>
      <c r="U279" s="89">
        <f>VLOOKUP(C279,'Talente &amp; Stuff'!CL:DM,19,FALSE)</f>
        <v>0</v>
      </c>
      <c r="V279" s="47">
        <f>VLOOKUP(C279,'Talente &amp; Stuff'!CL:DM,20,FALSE)</f>
        <v>0</v>
      </c>
      <c r="W279" s="127">
        <f>VLOOKUP(C279,'Talente &amp; Stuff'!CL:DM,21,FALSE)</f>
        <v>0</v>
      </c>
      <c r="X279" s="127">
        <f>VLOOKUP(C279,'Talente &amp; Stuff'!CL:DM,22,FALSE)</f>
        <v>0</v>
      </c>
      <c r="Y279" s="165">
        <f t="shared" si="22"/>
        <v>0</v>
      </c>
      <c r="Z279" s="44">
        <f t="shared" si="23"/>
        <v>0</v>
      </c>
      <c r="AA279" s="125">
        <f>VLOOKUP(C279,'Talente &amp; Stuff'!CL:DM,25,FALSE)</f>
        <v>0</v>
      </c>
      <c r="AB279" s="160">
        <f>VLOOKUP(C279,'Talente &amp; Stuff'!CL:DM,26,FALSE)</f>
        <v>0</v>
      </c>
      <c r="AC279" s="127">
        <f>VLOOKUP(C279,'Talente &amp; Stuff'!CL:DM,27,FALSE)</f>
        <v>0</v>
      </c>
      <c r="AD279" s="125">
        <f>VLOOKUP(C279,'Talente &amp; Stuff'!CL:DM,28,FALSE)</f>
        <v>0</v>
      </c>
      <c r="AE279" s="28"/>
    </row>
    <row r="280" spans="2:31" ht="15" hidden="1" customHeight="1" outlineLevel="2">
      <c r="B280" s="148">
        <v>20</v>
      </c>
      <c r="C280" s="163" t="str">
        <f>Attribute!C280</f>
        <v>---</v>
      </c>
      <c r="D280" s="86" t="str">
        <f>VLOOKUP(C280,'Talente &amp; Stuff'!CL:DM,2,FALSE)</f>
        <v>--/--/--</v>
      </c>
      <c r="E280" s="167" t="str">
        <f>VLOOKUP(C280,'Talente &amp; Stuff'!CL:DM,3,FALSE)</f>
        <v>-</v>
      </c>
      <c r="F280" s="120">
        <f>VLOOKUP(C280,'Talente &amp; Stuff'!CL:DM,4,FALSE)</f>
        <v>0</v>
      </c>
      <c r="G280" s="117">
        <f>VLOOKUP(C280,'Talente &amp; Stuff'!CL:DM,5,FALSE)</f>
        <v>0</v>
      </c>
      <c r="H280" s="117">
        <f>VLOOKUP(C280,'Talente &amp; Stuff'!CL:DM,6,FALSE)</f>
        <v>0</v>
      </c>
      <c r="I280" s="117">
        <f>VLOOKUP(C280,'Talente &amp; Stuff'!CL:DM,7,FALSE)</f>
        <v>0</v>
      </c>
      <c r="J280" s="117">
        <f>VLOOKUP(C280,'Talente &amp; Stuff'!CL:DM,8,FALSE)</f>
        <v>0</v>
      </c>
      <c r="K280" s="117">
        <f>VLOOKUP(C280,'Talente &amp; Stuff'!CL:DM,9,FALSE)</f>
        <v>0</v>
      </c>
      <c r="L280" s="117">
        <f>VLOOKUP(C280,'Talente &amp; Stuff'!CL:DM,10,FALSE)</f>
        <v>0</v>
      </c>
      <c r="M280" s="121">
        <f>VLOOKUP(C280,'Talente &amp; Stuff'!CL:DM,11,FALSE)</f>
        <v>0</v>
      </c>
      <c r="N280" s="47">
        <f>VLOOKUP(C280,'Talente &amp; Stuff'!CL:DM,12,FALSE)</f>
        <v>0</v>
      </c>
      <c r="O280" s="3">
        <f>VLOOKUP(C280,'Talente &amp; Stuff'!CL:DM,13,FALSE)</f>
        <v>0</v>
      </c>
      <c r="P280" s="174">
        <f>VLOOKUP(C280,'Talente &amp; Stuff'!CL:DM,14,FALSE)</f>
        <v>0</v>
      </c>
      <c r="Q280" s="114">
        <f>VLOOKUP(C280,'Talente &amp; Stuff'!CL:DM,15,FALSE)</f>
        <v>0</v>
      </c>
      <c r="R280" s="117">
        <f>VLOOKUP(C280,'Talente &amp; Stuff'!CL:DM,16,FALSE)</f>
        <v>0</v>
      </c>
      <c r="S280" s="119">
        <f>VLOOKUP(C280,'Talente &amp; Stuff'!CL:DM,17,FALSE)</f>
        <v>0</v>
      </c>
      <c r="T280" s="119">
        <f>VLOOKUP(C280,'Talente &amp; Stuff'!CL:DM,18,FALSE)</f>
        <v>0</v>
      </c>
      <c r="U280" s="89">
        <f>VLOOKUP(C280,'Talente &amp; Stuff'!CL:DM,19,FALSE)</f>
        <v>0</v>
      </c>
      <c r="V280" s="47">
        <f>VLOOKUP(C280,'Talente &amp; Stuff'!CL:DM,20,FALSE)</f>
        <v>0</v>
      </c>
      <c r="W280" s="127">
        <f>VLOOKUP(C280,'Talente &amp; Stuff'!CL:DM,21,FALSE)</f>
        <v>0</v>
      </c>
      <c r="X280" s="127">
        <f>VLOOKUP(C280,'Talente &amp; Stuff'!CL:DM,22,FALSE)</f>
        <v>0</v>
      </c>
      <c r="Y280" s="165">
        <f t="shared" si="22"/>
        <v>0</v>
      </c>
      <c r="Z280" s="44">
        <f t="shared" si="23"/>
        <v>0</v>
      </c>
      <c r="AA280" s="125">
        <f>VLOOKUP(C280,'Talente &amp; Stuff'!CL:DM,25,FALSE)</f>
        <v>0</v>
      </c>
      <c r="AB280" s="160">
        <f>VLOOKUP(C280,'Talente &amp; Stuff'!CL:DM,26,FALSE)</f>
        <v>0</v>
      </c>
      <c r="AC280" s="127">
        <f>VLOOKUP(C280,'Talente &amp; Stuff'!CL:DM,27,FALSE)</f>
        <v>0</v>
      </c>
      <c r="AD280" s="125">
        <f>VLOOKUP(C280,'Talente &amp; Stuff'!CL:DM,28,FALSE)</f>
        <v>0</v>
      </c>
      <c r="AE280" s="28"/>
    </row>
    <row r="281" spans="2:31" ht="15" hidden="1" customHeight="1" outlineLevel="2">
      <c r="B281" s="148">
        <v>21</v>
      </c>
      <c r="C281" s="163" t="str">
        <f>Attribute!C281</f>
        <v>---</v>
      </c>
      <c r="D281" s="86" t="str">
        <f>VLOOKUP(C281,'Talente &amp; Stuff'!CL:DM,2,FALSE)</f>
        <v>--/--/--</v>
      </c>
      <c r="E281" s="167" t="str">
        <f>VLOOKUP(C281,'Talente &amp; Stuff'!CL:DM,3,FALSE)</f>
        <v>-</v>
      </c>
      <c r="F281" s="120">
        <f>VLOOKUP(C281,'Talente &amp; Stuff'!CL:DM,4,FALSE)</f>
        <v>0</v>
      </c>
      <c r="G281" s="117">
        <f>VLOOKUP(C281,'Talente &amp; Stuff'!CL:DM,5,FALSE)</f>
        <v>0</v>
      </c>
      <c r="H281" s="117">
        <f>VLOOKUP(C281,'Talente &amp; Stuff'!CL:DM,6,FALSE)</f>
        <v>0</v>
      </c>
      <c r="I281" s="117">
        <f>VLOOKUP(C281,'Talente &amp; Stuff'!CL:DM,7,FALSE)</f>
        <v>0</v>
      </c>
      <c r="J281" s="117">
        <f>VLOOKUP(C281,'Talente &amp; Stuff'!CL:DM,8,FALSE)</f>
        <v>0</v>
      </c>
      <c r="K281" s="117">
        <f>VLOOKUP(C281,'Talente &amp; Stuff'!CL:DM,9,FALSE)</f>
        <v>0</v>
      </c>
      <c r="L281" s="117">
        <f>VLOOKUP(C281,'Talente &amp; Stuff'!CL:DM,10,FALSE)</f>
        <v>0</v>
      </c>
      <c r="M281" s="121">
        <f>VLOOKUP(C281,'Talente &amp; Stuff'!CL:DM,11,FALSE)</f>
        <v>0</v>
      </c>
      <c r="N281" s="47">
        <f>VLOOKUP(C281,'Talente &amp; Stuff'!CL:DM,12,FALSE)</f>
        <v>0</v>
      </c>
      <c r="O281" s="3">
        <f>VLOOKUP(C281,'Talente &amp; Stuff'!CL:DM,13,FALSE)</f>
        <v>0</v>
      </c>
      <c r="P281" s="174">
        <f>VLOOKUP(C281,'Talente &amp; Stuff'!CL:DM,14,FALSE)</f>
        <v>0</v>
      </c>
      <c r="Q281" s="114">
        <f>VLOOKUP(C281,'Talente &amp; Stuff'!CL:DM,15,FALSE)</f>
        <v>0</v>
      </c>
      <c r="R281" s="117">
        <f>VLOOKUP(C281,'Talente &amp; Stuff'!CL:DM,16,FALSE)</f>
        <v>0</v>
      </c>
      <c r="S281" s="119">
        <f>VLOOKUP(C281,'Talente &amp; Stuff'!CL:DM,17,FALSE)</f>
        <v>0</v>
      </c>
      <c r="T281" s="119">
        <f>VLOOKUP(C281,'Talente &amp; Stuff'!CL:DM,18,FALSE)</f>
        <v>0</v>
      </c>
      <c r="U281" s="89">
        <f>VLOOKUP(C281,'Talente &amp; Stuff'!CL:DM,19,FALSE)</f>
        <v>0</v>
      </c>
      <c r="V281" s="47">
        <f>VLOOKUP(C281,'Talente &amp; Stuff'!CL:DM,20,FALSE)</f>
        <v>0</v>
      </c>
      <c r="W281" s="127">
        <f>VLOOKUP(C281,'Talente &amp; Stuff'!CL:DM,21,FALSE)</f>
        <v>0</v>
      </c>
      <c r="X281" s="127">
        <f>VLOOKUP(C281,'Talente &amp; Stuff'!CL:DM,22,FALSE)</f>
        <v>0</v>
      </c>
      <c r="Y281" s="165">
        <f t="shared" si="22"/>
        <v>0</v>
      </c>
      <c r="Z281" s="44">
        <f t="shared" si="23"/>
        <v>0</v>
      </c>
      <c r="AA281" s="125">
        <f>VLOOKUP(C281,'Talente &amp; Stuff'!CL:DM,25,FALSE)</f>
        <v>0</v>
      </c>
      <c r="AB281" s="160">
        <f>VLOOKUP(C281,'Talente &amp; Stuff'!CL:DM,26,FALSE)</f>
        <v>0</v>
      </c>
      <c r="AC281" s="127">
        <f>VLOOKUP(C281,'Talente &amp; Stuff'!CL:DM,27,FALSE)</f>
        <v>0</v>
      </c>
      <c r="AD281" s="125">
        <f>VLOOKUP(C281,'Talente &amp; Stuff'!CL:DM,28,FALSE)</f>
        <v>0</v>
      </c>
      <c r="AE281" s="28"/>
    </row>
    <row r="282" spans="2:31" ht="15" hidden="1" customHeight="1" outlineLevel="2">
      <c r="B282" s="148">
        <v>22</v>
      </c>
      <c r="C282" s="163" t="str">
        <f>Attribute!C282</f>
        <v>---</v>
      </c>
      <c r="D282" s="86" t="str">
        <f>VLOOKUP(C282,'Talente &amp; Stuff'!CL:DM,2,FALSE)</f>
        <v>--/--/--</v>
      </c>
      <c r="E282" s="167" t="str">
        <f>VLOOKUP(C282,'Talente &amp; Stuff'!CL:DM,3,FALSE)</f>
        <v>-</v>
      </c>
      <c r="F282" s="120">
        <f>VLOOKUP(C282,'Talente &amp; Stuff'!CL:DM,4,FALSE)</f>
        <v>0</v>
      </c>
      <c r="G282" s="117">
        <f>VLOOKUP(C282,'Talente &amp; Stuff'!CL:DM,5,FALSE)</f>
        <v>0</v>
      </c>
      <c r="H282" s="117">
        <f>VLOOKUP(C282,'Talente &amp; Stuff'!CL:DM,6,FALSE)</f>
        <v>0</v>
      </c>
      <c r="I282" s="117">
        <f>VLOOKUP(C282,'Talente &amp; Stuff'!CL:DM,7,FALSE)</f>
        <v>0</v>
      </c>
      <c r="J282" s="117">
        <f>VLOOKUP(C282,'Talente &amp; Stuff'!CL:DM,8,FALSE)</f>
        <v>0</v>
      </c>
      <c r="K282" s="117">
        <f>VLOOKUP(C282,'Talente &amp; Stuff'!CL:DM,9,FALSE)</f>
        <v>0</v>
      </c>
      <c r="L282" s="117">
        <f>VLOOKUP(C282,'Talente &amp; Stuff'!CL:DM,10,FALSE)</f>
        <v>0</v>
      </c>
      <c r="M282" s="121">
        <f>VLOOKUP(C282,'Talente &amp; Stuff'!CL:DM,11,FALSE)</f>
        <v>0</v>
      </c>
      <c r="N282" s="47">
        <f>VLOOKUP(C282,'Talente &amp; Stuff'!CL:DM,12,FALSE)</f>
        <v>0</v>
      </c>
      <c r="O282" s="3">
        <f>VLOOKUP(C282,'Talente &amp; Stuff'!CL:DM,13,FALSE)</f>
        <v>0</v>
      </c>
      <c r="P282" s="174">
        <f>VLOOKUP(C282,'Talente &amp; Stuff'!CL:DM,14,FALSE)</f>
        <v>0</v>
      </c>
      <c r="Q282" s="114">
        <f>VLOOKUP(C282,'Talente &amp; Stuff'!CL:DM,15,FALSE)</f>
        <v>0</v>
      </c>
      <c r="R282" s="117">
        <f>VLOOKUP(C282,'Talente &amp; Stuff'!CL:DM,16,FALSE)</f>
        <v>0</v>
      </c>
      <c r="S282" s="119">
        <f>VLOOKUP(C282,'Talente &amp; Stuff'!CL:DM,17,FALSE)</f>
        <v>0</v>
      </c>
      <c r="T282" s="119">
        <f>VLOOKUP(C282,'Talente &amp; Stuff'!CL:DM,18,FALSE)</f>
        <v>0</v>
      </c>
      <c r="U282" s="89">
        <f>VLOOKUP(C282,'Talente &amp; Stuff'!CL:DM,19,FALSE)</f>
        <v>0</v>
      </c>
      <c r="V282" s="47">
        <f>VLOOKUP(C282,'Talente &amp; Stuff'!CL:DM,20,FALSE)</f>
        <v>0</v>
      </c>
      <c r="W282" s="127">
        <f>VLOOKUP(C282,'Talente &amp; Stuff'!CL:DM,21,FALSE)</f>
        <v>0</v>
      </c>
      <c r="X282" s="127">
        <f>VLOOKUP(C282,'Talente &amp; Stuff'!CL:DM,22,FALSE)</f>
        <v>0</v>
      </c>
      <c r="Y282" s="165">
        <f t="shared" si="22"/>
        <v>0</v>
      </c>
      <c r="Z282" s="44">
        <f t="shared" si="23"/>
        <v>0</v>
      </c>
      <c r="AA282" s="125">
        <f>VLOOKUP(C282,'Talente &amp; Stuff'!CL:DM,25,FALSE)</f>
        <v>0</v>
      </c>
      <c r="AB282" s="160">
        <f>VLOOKUP(C282,'Talente &amp; Stuff'!CL:DM,26,FALSE)</f>
        <v>0</v>
      </c>
      <c r="AC282" s="127">
        <f>VLOOKUP(C282,'Talente &amp; Stuff'!CL:DM,27,FALSE)</f>
        <v>0</v>
      </c>
      <c r="AD282" s="125">
        <f>VLOOKUP(C282,'Talente &amp; Stuff'!CL:DM,28,FALSE)</f>
        <v>0</v>
      </c>
      <c r="AE282" s="28"/>
    </row>
    <row r="283" spans="2:31" ht="15" hidden="1" customHeight="1" outlineLevel="2">
      <c r="B283" s="148">
        <v>23</v>
      </c>
      <c r="C283" s="163" t="str">
        <f>Attribute!C283</f>
        <v>---</v>
      </c>
      <c r="D283" s="86" t="str">
        <f>VLOOKUP(C283,'Talente &amp; Stuff'!CL:DM,2,FALSE)</f>
        <v>--/--/--</v>
      </c>
      <c r="E283" s="167" t="str">
        <f>VLOOKUP(C283,'Talente &amp; Stuff'!CL:DM,3,FALSE)</f>
        <v>-</v>
      </c>
      <c r="F283" s="120">
        <f>VLOOKUP(C283,'Talente &amp; Stuff'!CL:DM,4,FALSE)</f>
        <v>0</v>
      </c>
      <c r="G283" s="117">
        <f>VLOOKUP(C283,'Talente &amp; Stuff'!CL:DM,5,FALSE)</f>
        <v>0</v>
      </c>
      <c r="H283" s="117">
        <f>VLOOKUP(C283,'Talente &amp; Stuff'!CL:DM,6,FALSE)</f>
        <v>0</v>
      </c>
      <c r="I283" s="117">
        <f>VLOOKUP(C283,'Talente &amp; Stuff'!CL:DM,7,FALSE)</f>
        <v>0</v>
      </c>
      <c r="J283" s="117">
        <f>VLOOKUP(C283,'Talente &amp; Stuff'!CL:DM,8,FALSE)</f>
        <v>0</v>
      </c>
      <c r="K283" s="117">
        <f>VLOOKUP(C283,'Talente &amp; Stuff'!CL:DM,9,FALSE)</f>
        <v>0</v>
      </c>
      <c r="L283" s="117">
        <f>VLOOKUP(C283,'Talente &amp; Stuff'!CL:DM,10,FALSE)</f>
        <v>0</v>
      </c>
      <c r="M283" s="121">
        <f>VLOOKUP(C283,'Talente &amp; Stuff'!CL:DM,11,FALSE)</f>
        <v>0</v>
      </c>
      <c r="N283" s="47">
        <f>VLOOKUP(C283,'Talente &amp; Stuff'!CL:DM,12,FALSE)</f>
        <v>0</v>
      </c>
      <c r="O283" s="3">
        <f>VLOOKUP(C283,'Talente &amp; Stuff'!CL:DM,13,FALSE)</f>
        <v>0</v>
      </c>
      <c r="P283" s="174">
        <f>VLOOKUP(C283,'Talente &amp; Stuff'!CL:DM,14,FALSE)</f>
        <v>0</v>
      </c>
      <c r="Q283" s="114">
        <f>VLOOKUP(C283,'Talente &amp; Stuff'!CL:DM,15,FALSE)</f>
        <v>0</v>
      </c>
      <c r="R283" s="117">
        <f>VLOOKUP(C283,'Talente &amp; Stuff'!CL:DM,16,FALSE)</f>
        <v>0</v>
      </c>
      <c r="S283" s="119">
        <f>VLOOKUP(C283,'Talente &amp; Stuff'!CL:DM,17,FALSE)</f>
        <v>0</v>
      </c>
      <c r="T283" s="119">
        <f>VLOOKUP(C283,'Talente &amp; Stuff'!CL:DM,18,FALSE)</f>
        <v>0</v>
      </c>
      <c r="U283" s="89">
        <f>VLOOKUP(C283,'Talente &amp; Stuff'!CL:DM,19,FALSE)</f>
        <v>0</v>
      </c>
      <c r="V283" s="47">
        <f>VLOOKUP(C283,'Talente &amp; Stuff'!CL:DM,20,FALSE)</f>
        <v>0</v>
      </c>
      <c r="W283" s="127">
        <f>VLOOKUP(C283,'Talente &amp; Stuff'!CL:DM,21,FALSE)</f>
        <v>0</v>
      </c>
      <c r="X283" s="127">
        <f>VLOOKUP(C283,'Talente &amp; Stuff'!CL:DM,22,FALSE)</f>
        <v>0</v>
      </c>
      <c r="Y283" s="165">
        <f t="shared" si="22"/>
        <v>0</v>
      </c>
      <c r="Z283" s="44">
        <f t="shared" si="23"/>
        <v>0</v>
      </c>
      <c r="AA283" s="125">
        <f>VLOOKUP(C283,'Talente &amp; Stuff'!CL:DM,25,FALSE)</f>
        <v>0</v>
      </c>
      <c r="AB283" s="160">
        <f>VLOOKUP(C283,'Talente &amp; Stuff'!CL:DM,26,FALSE)</f>
        <v>0</v>
      </c>
      <c r="AC283" s="127">
        <f>VLOOKUP(C283,'Talente &amp; Stuff'!CL:DM,27,FALSE)</f>
        <v>0</v>
      </c>
      <c r="AD283" s="125">
        <f>VLOOKUP(C283,'Talente &amp; Stuff'!CL:DM,28,FALSE)</f>
        <v>0</v>
      </c>
      <c r="AE283" s="28"/>
    </row>
    <row r="284" spans="2:31" ht="15" hidden="1" customHeight="1" outlineLevel="2">
      <c r="B284" s="148">
        <v>24</v>
      </c>
      <c r="C284" s="163" t="str">
        <f>Attribute!C284</f>
        <v>---</v>
      </c>
      <c r="D284" s="86" t="str">
        <f>VLOOKUP(C284,'Talente &amp; Stuff'!CL:DM,2,FALSE)</f>
        <v>--/--/--</v>
      </c>
      <c r="E284" s="167" t="str">
        <f>VLOOKUP(C284,'Talente &amp; Stuff'!CL:DM,3,FALSE)</f>
        <v>-</v>
      </c>
      <c r="F284" s="120">
        <f>VLOOKUP(C284,'Talente &amp; Stuff'!CL:DM,4,FALSE)</f>
        <v>0</v>
      </c>
      <c r="G284" s="117">
        <f>VLOOKUP(C284,'Talente &amp; Stuff'!CL:DM,5,FALSE)</f>
        <v>0</v>
      </c>
      <c r="H284" s="117">
        <f>VLOOKUP(C284,'Talente &amp; Stuff'!CL:DM,6,FALSE)</f>
        <v>0</v>
      </c>
      <c r="I284" s="117">
        <f>VLOOKUP(C284,'Talente &amp; Stuff'!CL:DM,7,FALSE)</f>
        <v>0</v>
      </c>
      <c r="J284" s="117">
        <f>VLOOKUP(C284,'Talente &amp; Stuff'!CL:DM,8,FALSE)</f>
        <v>0</v>
      </c>
      <c r="K284" s="117">
        <f>VLOOKUP(C284,'Talente &amp; Stuff'!CL:DM,9,FALSE)</f>
        <v>0</v>
      </c>
      <c r="L284" s="117">
        <f>VLOOKUP(C284,'Talente &amp; Stuff'!CL:DM,10,FALSE)</f>
        <v>0</v>
      </c>
      <c r="M284" s="121">
        <f>VLOOKUP(C284,'Talente &amp; Stuff'!CL:DM,11,FALSE)</f>
        <v>0</v>
      </c>
      <c r="N284" s="47">
        <f>VLOOKUP(C284,'Talente &amp; Stuff'!CL:DM,12,FALSE)</f>
        <v>0</v>
      </c>
      <c r="O284" s="3">
        <f>VLOOKUP(C284,'Talente &amp; Stuff'!CL:DM,13,FALSE)</f>
        <v>0</v>
      </c>
      <c r="P284" s="174">
        <f>VLOOKUP(C284,'Talente &amp; Stuff'!CL:DM,14,FALSE)</f>
        <v>0</v>
      </c>
      <c r="Q284" s="114">
        <f>VLOOKUP(C284,'Talente &amp; Stuff'!CL:DM,15,FALSE)</f>
        <v>0</v>
      </c>
      <c r="R284" s="117">
        <f>VLOOKUP(C284,'Talente &amp; Stuff'!CL:DM,16,FALSE)</f>
        <v>0</v>
      </c>
      <c r="S284" s="119">
        <f>VLOOKUP(C284,'Talente &amp; Stuff'!CL:DM,17,FALSE)</f>
        <v>0</v>
      </c>
      <c r="T284" s="119">
        <f>VLOOKUP(C284,'Talente &amp; Stuff'!CL:DM,18,FALSE)</f>
        <v>0</v>
      </c>
      <c r="U284" s="89">
        <f>VLOOKUP(C284,'Talente &amp; Stuff'!CL:DM,19,FALSE)</f>
        <v>0</v>
      </c>
      <c r="V284" s="47">
        <f>VLOOKUP(C284,'Talente &amp; Stuff'!CL:DM,20,FALSE)</f>
        <v>0</v>
      </c>
      <c r="W284" s="127">
        <f>VLOOKUP(C284,'Talente &amp; Stuff'!CL:DM,21,FALSE)</f>
        <v>0</v>
      </c>
      <c r="X284" s="127">
        <f>VLOOKUP(C284,'Talente &amp; Stuff'!CL:DM,22,FALSE)</f>
        <v>0</v>
      </c>
      <c r="Y284" s="165">
        <f t="shared" si="22"/>
        <v>0</v>
      </c>
      <c r="Z284" s="44">
        <f t="shared" si="23"/>
        <v>0</v>
      </c>
      <c r="AA284" s="125">
        <f>VLOOKUP(C284,'Talente &amp; Stuff'!CL:DM,25,FALSE)</f>
        <v>0</v>
      </c>
      <c r="AB284" s="160">
        <f>VLOOKUP(C284,'Talente &amp; Stuff'!CL:DM,26,FALSE)</f>
        <v>0</v>
      </c>
      <c r="AC284" s="127">
        <f>VLOOKUP(C284,'Talente &amp; Stuff'!CL:DM,27,FALSE)</f>
        <v>0</v>
      </c>
      <c r="AD284" s="125">
        <f>VLOOKUP(C284,'Talente &amp; Stuff'!CL:DM,28,FALSE)</f>
        <v>0</v>
      </c>
      <c r="AE284" s="28"/>
    </row>
    <row r="285" spans="2:31" ht="15" hidden="1" customHeight="1" outlineLevel="2">
      <c r="B285" s="148">
        <v>25</v>
      </c>
      <c r="C285" s="163" t="str">
        <f>Attribute!C285</f>
        <v>---</v>
      </c>
      <c r="D285" s="86" t="str">
        <f>VLOOKUP(C285,'Talente &amp; Stuff'!CL:DM,2,FALSE)</f>
        <v>--/--/--</v>
      </c>
      <c r="E285" s="167" t="str">
        <f>VLOOKUP(C285,'Talente &amp; Stuff'!CL:DM,3,FALSE)</f>
        <v>-</v>
      </c>
      <c r="F285" s="120">
        <f>VLOOKUP(C285,'Talente &amp; Stuff'!CL:DM,4,FALSE)</f>
        <v>0</v>
      </c>
      <c r="G285" s="117">
        <f>VLOOKUP(C285,'Talente &amp; Stuff'!CL:DM,5,FALSE)</f>
        <v>0</v>
      </c>
      <c r="H285" s="117">
        <f>VLOOKUP(C285,'Talente &amp; Stuff'!CL:DM,6,FALSE)</f>
        <v>0</v>
      </c>
      <c r="I285" s="117">
        <f>VLOOKUP(C285,'Talente &amp; Stuff'!CL:DM,7,FALSE)</f>
        <v>0</v>
      </c>
      <c r="J285" s="117">
        <f>VLOOKUP(C285,'Talente &amp; Stuff'!CL:DM,8,FALSE)</f>
        <v>0</v>
      </c>
      <c r="K285" s="117">
        <f>VLOOKUP(C285,'Talente &amp; Stuff'!CL:DM,9,FALSE)</f>
        <v>0</v>
      </c>
      <c r="L285" s="117">
        <f>VLOOKUP(C285,'Talente &amp; Stuff'!CL:DM,10,FALSE)</f>
        <v>0</v>
      </c>
      <c r="M285" s="121">
        <f>VLOOKUP(C285,'Talente &amp; Stuff'!CL:DM,11,FALSE)</f>
        <v>0</v>
      </c>
      <c r="N285" s="47">
        <f>VLOOKUP(C285,'Talente &amp; Stuff'!CL:DM,12,FALSE)</f>
        <v>0</v>
      </c>
      <c r="O285" s="3">
        <f>VLOOKUP(C285,'Talente &amp; Stuff'!CL:DM,13,FALSE)</f>
        <v>0</v>
      </c>
      <c r="P285" s="174">
        <f>VLOOKUP(C285,'Talente &amp; Stuff'!CL:DM,14,FALSE)</f>
        <v>0</v>
      </c>
      <c r="Q285" s="114">
        <f>VLOOKUP(C285,'Talente &amp; Stuff'!CL:DM,15,FALSE)</f>
        <v>0</v>
      </c>
      <c r="R285" s="117">
        <f>VLOOKUP(C285,'Talente &amp; Stuff'!CL:DM,16,FALSE)</f>
        <v>0</v>
      </c>
      <c r="S285" s="119">
        <f>VLOOKUP(C285,'Talente &amp; Stuff'!CL:DM,17,FALSE)</f>
        <v>0</v>
      </c>
      <c r="T285" s="119">
        <f>VLOOKUP(C285,'Talente &amp; Stuff'!CL:DM,18,FALSE)</f>
        <v>0</v>
      </c>
      <c r="U285" s="89">
        <f>VLOOKUP(C285,'Talente &amp; Stuff'!CL:DM,19,FALSE)</f>
        <v>0</v>
      </c>
      <c r="V285" s="47">
        <f>VLOOKUP(C285,'Talente &amp; Stuff'!CL:DM,20,FALSE)</f>
        <v>0</v>
      </c>
      <c r="W285" s="127">
        <f>VLOOKUP(C285,'Talente &amp; Stuff'!CL:DM,21,FALSE)</f>
        <v>0</v>
      </c>
      <c r="X285" s="127">
        <f>VLOOKUP(C285,'Talente &amp; Stuff'!CL:DM,22,FALSE)</f>
        <v>0</v>
      </c>
      <c r="Y285" s="165">
        <f t="shared" si="22"/>
        <v>0</v>
      </c>
      <c r="Z285" s="44">
        <f t="shared" si="23"/>
        <v>0</v>
      </c>
      <c r="AA285" s="125">
        <f>VLOOKUP(C285,'Talente &amp; Stuff'!CL:DM,25,FALSE)</f>
        <v>0</v>
      </c>
      <c r="AB285" s="160">
        <f>VLOOKUP(C285,'Talente &amp; Stuff'!CL:DM,26,FALSE)</f>
        <v>0</v>
      </c>
      <c r="AC285" s="127">
        <f>VLOOKUP(C285,'Talente &amp; Stuff'!CL:DM,27,FALSE)</f>
        <v>0</v>
      </c>
      <c r="AD285" s="125">
        <f>VLOOKUP(C285,'Talente &amp; Stuff'!CL:DM,28,FALSE)</f>
        <v>0</v>
      </c>
      <c r="AE285" s="28"/>
    </row>
    <row r="286" spans="2:31" ht="15" hidden="1" customHeight="1" outlineLevel="2">
      <c r="B286" s="148">
        <v>26</v>
      </c>
      <c r="C286" s="163" t="str">
        <f>Attribute!C286</f>
        <v>---</v>
      </c>
      <c r="D286" s="86" t="str">
        <f>VLOOKUP(C286,'Talente &amp; Stuff'!CL:DM,2,FALSE)</f>
        <v>--/--/--</v>
      </c>
      <c r="E286" s="167" t="str">
        <f>VLOOKUP(C286,'Talente &amp; Stuff'!CL:DM,3,FALSE)</f>
        <v>-</v>
      </c>
      <c r="F286" s="120">
        <f>VLOOKUP(C286,'Talente &amp; Stuff'!CL:DM,4,FALSE)</f>
        <v>0</v>
      </c>
      <c r="G286" s="117">
        <f>VLOOKUP(C286,'Talente &amp; Stuff'!CL:DM,5,FALSE)</f>
        <v>0</v>
      </c>
      <c r="H286" s="117">
        <f>VLOOKUP(C286,'Talente &amp; Stuff'!CL:DM,6,FALSE)</f>
        <v>0</v>
      </c>
      <c r="I286" s="117">
        <f>VLOOKUP(C286,'Talente &amp; Stuff'!CL:DM,7,FALSE)</f>
        <v>0</v>
      </c>
      <c r="J286" s="117">
        <f>VLOOKUP(C286,'Talente &amp; Stuff'!CL:DM,8,FALSE)</f>
        <v>0</v>
      </c>
      <c r="K286" s="117">
        <f>VLOOKUP(C286,'Talente &amp; Stuff'!CL:DM,9,FALSE)</f>
        <v>0</v>
      </c>
      <c r="L286" s="117">
        <f>VLOOKUP(C286,'Talente &amp; Stuff'!CL:DM,10,FALSE)</f>
        <v>0</v>
      </c>
      <c r="M286" s="121">
        <f>VLOOKUP(C286,'Talente &amp; Stuff'!CL:DM,11,FALSE)</f>
        <v>0</v>
      </c>
      <c r="N286" s="47">
        <f>VLOOKUP(C286,'Talente &amp; Stuff'!CL:DM,12,FALSE)</f>
        <v>0</v>
      </c>
      <c r="O286" s="3">
        <f>VLOOKUP(C286,'Talente &amp; Stuff'!CL:DM,13,FALSE)</f>
        <v>0</v>
      </c>
      <c r="P286" s="174">
        <f>VLOOKUP(C286,'Talente &amp; Stuff'!CL:DM,14,FALSE)</f>
        <v>0</v>
      </c>
      <c r="Q286" s="114">
        <f>VLOOKUP(C286,'Talente &amp; Stuff'!CL:DM,15,FALSE)</f>
        <v>0</v>
      </c>
      <c r="R286" s="117">
        <f>VLOOKUP(C286,'Talente &amp; Stuff'!CL:DM,16,FALSE)</f>
        <v>0</v>
      </c>
      <c r="S286" s="119">
        <f>VLOOKUP(C286,'Talente &amp; Stuff'!CL:DM,17,FALSE)</f>
        <v>0</v>
      </c>
      <c r="T286" s="119">
        <f>VLOOKUP(C286,'Talente &amp; Stuff'!CL:DM,18,FALSE)</f>
        <v>0</v>
      </c>
      <c r="U286" s="89">
        <f>VLOOKUP(C286,'Talente &amp; Stuff'!CL:DM,19,FALSE)</f>
        <v>0</v>
      </c>
      <c r="V286" s="47">
        <f>VLOOKUP(C286,'Talente &amp; Stuff'!CL:DM,20,FALSE)</f>
        <v>0</v>
      </c>
      <c r="W286" s="127">
        <f>VLOOKUP(C286,'Talente &amp; Stuff'!CL:DM,21,FALSE)</f>
        <v>0</v>
      </c>
      <c r="X286" s="127">
        <f>VLOOKUP(C286,'Talente &amp; Stuff'!CL:DM,22,FALSE)</f>
        <v>0</v>
      </c>
      <c r="Y286" s="165">
        <f t="shared" si="22"/>
        <v>0</v>
      </c>
      <c r="Z286" s="44">
        <f t="shared" si="23"/>
        <v>0</v>
      </c>
      <c r="AA286" s="125">
        <f>VLOOKUP(C286,'Talente &amp; Stuff'!CL:DM,25,FALSE)</f>
        <v>0</v>
      </c>
      <c r="AB286" s="160">
        <f>VLOOKUP(C286,'Talente &amp; Stuff'!CL:DM,26,FALSE)</f>
        <v>0</v>
      </c>
      <c r="AC286" s="127">
        <f>VLOOKUP(C286,'Talente &amp; Stuff'!CL:DM,27,FALSE)</f>
        <v>0</v>
      </c>
      <c r="AD286" s="125">
        <f>VLOOKUP(C286,'Talente &amp; Stuff'!CL:DM,28,FALSE)</f>
        <v>0</v>
      </c>
      <c r="AE286" s="28"/>
    </row>
    <row r="287" spans="2:31" ht="15" hidden="1" customHeight="1" outlineLevel="2">
      <c r="B287" s="148">
        <v>27</v>
      </c>
      <c r="C287" s="163" t="str">
        <f>Attribute!C287</f>
        <v>---</v>
      </c>
      <c r="D287" s="86" t="str">
        <f>VLOOKUP(C287,'Talente &amp; Stuff'!CL:DM,2,FALSE)</f>
        <v>--/--/--</v>
      </c>
      <c r="E287" s="167" t="str">
        <f>VLOOKUP(C287,'Talente &amp; Stuff'!CL:DM,3,FALSE)</f>
        <v>-</v>
      </c>
      <c r="F287" s="120">
        <f>VLOOKUP(C287,'Talente &amp; Stuff'!CL:DM,4,FALSE)</f>
        <v>0</v>
      </c>
      <c r="G287" s="117">
        <f>VLOOKUP(C287,'Talente &amp; Stuff'!CL:DM,5,FALSE)</f>
        <v>0</v>
      </c>
      <c r="H287" s="117">
        <f>VLOOKUP(C287,'Talente &amp; Stuff'!CL:DM,6,FALSE)</f>
        <v>0</v>
      </c>
      <c r="I287" s="117">
        <f>VLOOKUP(C287,'Talente &amp; Stuff'!CL:DM,7,FALSE)</f>
        <v>0</v>
      </c>
      <c r="J287" s="117">
        <f>VLOOKUP(C287,'Talente &amp; Stuff'!CL:DM,8,FALSE)</f>
        <v>0</v>
      </c>
      <c r="K287" s="117">
        <f>VLOOKUP(C287,'Talente &amp; Stuff'!CL:DM,9,FALSE)</f>
        <v>0</v>
      </c>
      <c r="L287" s="117">
        <f>VLOOKUP(C287,'Talente &amp; Stuff'!CL:DM,10,FALSE)</f>
        <v>0</v>
      </c>
      <c r="M287" s="121">
        <f>VLOOKUP(C287,'Talente &amp; Stuff'!CL:DM,11,FALSE)</f>
        <v>0</v>
      </c>
      <c r="N287" s="47">
        <f>VLOOKUP(C287,'Talente &amp; Stuff'!CL:DM,12,FALSE)</f>
        <v>0</v>
      </c>
      <c r="O287" s="3">
        <f>VLOOKUP(C287,'Talente &amp; Stuff'!CL:DM,13,FALSE)</f>
        <v>0</v>
      </c>
      <c r="P287" s="174">
        <f>VLOOKUP(C287,'Talente &amp; Stuff'!CL:DM,14,FALSE)</f>
        <v>0</v>
      </c>
      <c r="Q287" s="114">
        <f>VLOOKUP(C287,'Talente &amp; Stuff'!CL:DM,15,FALSE)</f>
        <v>0</v>
      </c>
      <c r="R287" s="117">
        <f>VLOOKUP(C287,'Talente &amp; Stuff'!CL:DM,16,FALSE)</f>
        <v>0</v>
      </c>
      <c r="S287" s="119">
        <f>VLOOKUP(C287,'Talente &amp; Stuff'!CL:DM,17,FALSE)</f>
        <v>0</v>
      </c>
      <c r="T287" s="119">
        <f>VLOOKUP(C287,'Talente &amp; Stuff'!CL:DM,18,FALSE)</f>
        <v>0</v>
      </c>
      <c r="U287" s="89">
        <f>VLOOKUP(C287,'Talente &amp; Stuff'!CL:DM,19,FALSE)</f>
        <v>0</v>
      </c>
      <c r="V287" s="47">
        <f>VLOOKUP(C287,'Talente &amp; Stuff'!CL:DM,20,FALSE)</f>
        <v>0</v>
      </c>
      <c r="W287" s="127">
        <f>VLOOKUP(C287,'Talente &amp; Stuff'!CL:DM,21,FALSE)</f>
        <v>0</v>
      </c>
      <c r="X287" s="127">
        <f>VLOOKUP(C287,'Talente &amp; Stuff'!CL:DM,22,FALSE)</f>
        <v>0</v>
      </c>
      <c r="Y287" s="165">
        <f t="shared" si="22"/>
        <v>0</v>
      </c>
      <c r="Z287" s="44">
        <f t="shared" si="23"/>
        <v>0</v>
      </c>
      <c r="AA287" s="125">
        <f>VLOOKUP(C287,'Talente &amp; Stuff'!CL:DM,25,FALSE)</f>
        <v>0</v>
      </c>
      <c r="AB287" s="160">
        <f>VLOOKUP(C287,'Talente &amp; Stuff'!CL:DM,26,FALSE)</f>
        <v>0</v>
      </c>
      <c r="AC287" s="127">
        <f>VLOOKUP(C287,'Talente &amp; Stuff'!CL:DM,27,FALSE)</f>
        <v>0</v>
      </c>
      <c r="AD287" s="125">
        <f>VLOOKUP(C287,'Talente &amp; Stuff'!CL:DM,28,FALSE)</f>
        <v>0</v>
      </c>
      <c r="AE287" s="28"/>
    </row>
    <row r="288" spans="2:31" ht="15" hidden="1" customHeight="1" outlineLevel="2">
      <c r="B288" s="148">
        <v>28</v>
      </c>
      <c r="C288" s="163" t="str">
        <f>Attribute!C288</f>
        <v>---</v>
      </c>
      <c r="D288" s="86" t="str">
        <f>VLOOKUP(C288,'Talente &amp; Stuff'!CL:DM,2,FALSE)</f>
        <v>--/--/--</v>
      </c>
      <c r="E288" s="167" t="str">
        <f>VLOOKUP(C288,'Talente &amp; Stuff'!CL:DM,3,FALSE)</f>
        <v>-</v>
      </c>
      <c r="F288" s="120">
        <f>VLOOKUP(C288,'Talente &amp; Stuff'!CL:DM,4,FALSE)</f>
        <v>0</v>
      </c>
      <c r="G288" s="117">
        <f>VLOOKUP(C288,'Talente &amp; Stuff'!CL:DM,5,FALSE)</f>
        <v>0</v>
      </c>
      <c r="H288" s="117">
        <f>VLOOKUP(C288,'Talente &amp; Stuff'!CL:DM,6,FALSE)</f>
        <v>0</v>
      </c>
      <c r="I288" s="117">
        <f>VLOOKUP(C288,'Talente &amp; Stuff'!CL:DM,7,FALSE)</f>
        <v>0</v>
      </c>
      <c r="J288" s="117">
        <f>VLOOKUP(C288,'Talente &amp; Stuff'!CL:DM,8,FALSE)</f>
        <v>0</v>
      </c>
      <c r="K288" s="117">
        <f>VLOOKUP(C288,'Talente &amp; Stuff'!CL:DM,9,FALSE)</f>
        <v>0</v>
      </c>
      <c r="L288" s="117">
        <f>VLOOKUP(C288,'Talente &amp; Stuff'!CL:DM,10,FALSE)</f>
        <v>0</v>
      </c>
      <c r="M288" s="121">
        <f>VLOOKUP(C288,'Talente &amp; Stuff'!CL:DM,11,FALSE)</f>
        <v>0</v>
      </c>
      <c r="N288" s="47">
        <f>VLOOKUP(C288,'Talente &amp; Stuff'!CL:DM,12,FALSE)</f>
        <v>0</v>
      </c>
      <c r="O288" s="3">
        <f>VLOOKUP(C288,'Talente &amp; Stuff'!CL:DM,13,FALSE)</f>
        <v>0</v>
      </c>
      <c r="P288" s="174">
        <f>VLOOKUP(C288,'Talente &amp; Stuff'!CL:DM,14,FALSE)</f>
        <v>0</v>
      </c>
      <c r="Q288" s="114">
        <f>VLOOKUP(C288,'Talente &amp; Stuff'!CL:DM,15,FALSE)</f>
        <v>0</v>
      </c>
      <c r="R288" s="117">
        <f>VLOOKUP(C288,'Talente &amp; Stuff'!CL:DM,16,FALSE)</f>
        <v>0</v>
      </c>
      <c r="S288" s="119">
        <f>VLOOKUP(C288,'Talente &amp; Stuff'!CL:DM,17,FALSE)</f>
        <v>0</v>
      </c>
      <c r="T288" s="119">
        <f>VLOOKUP(C288,'Talente &amp; Stuff'!CL:DM,18,FALSE)</f>
        <v>0</v>
      </c>
      <c r="U288" s="89">
        <f>VLOOKUP(C288,'Talente &amp; Stuff'!CL:DM,19,FALSE)</f>
        <v>0</v>
      </c>
      <c r="V288" s="47">
        <f>VLOOKUP(C288,'Talente &amp; Stuff'!CL:DM,20,FALSE)</f>
        <v>0</v>
      </c>
      <c r="W288" s="127">
        <f>VLOOKUP(C288,'Talente &amp; Stuff'!CL:DM,21,FALSE)</f>
        <v>0</v>
      </c>
      <c r="X288" s="127">
        <f>VLOOKUP(C288,'Talente &amp; Stuff'!CL:DM,22,FALSE)</f>
        <v>0</v>
      </c>
      <c r="Y288" s="165">
        <f t="shared" si="22"/>
        <v>0</v>
      </c>
      <c r="Z288" s="44">
        <f t="shared" si="23"/>
        <v>0</v>
      </c>
      <c r="AA288" s="125">
        <f>VLOOKUP(C288,'Talente &amp; Stuff'!CL:DM,25,FALSE)</f>
        <v>0</v>
      </c>
      <c r="AB288" s="160">
        <f>VLOOKUP(C288,'Talente &amp; Stuff'!CL:DM,26,FALSE)</f>
        <v>0</v>
      </c>
      <c r="AC288" s="127">
        <f>VLOOKUP(C288,'Talente &amp; Stuff'!CL:DM,27,FALSE)</f>
        <v>0</v>
      </c>
      <c r="AD288" s="125">
        <f>VLOOKUP(C288,'Talente &amp; Stuff'!CL:DM,28,FALSE)</f>
        <v>0</v>
      </c>
      <c r="AE288" s="28"/>
    </row>
    <row r="289" spans="1:31" ht="15" hidden="1" customHeight="1" outlineLevel="2">
      <c r="B289" s="148">
        <v>29</v>
      </c>
      <c r="C289" s="163" t="str">
        <f>Attribute!C289</f>
        <v>---</v>
      </c>
      <c r="D289" s="125" t="str">
        <f>VLOOKUP(C289,'Talente &amp; Stuff'!CL:DM,2,FALSE)</f>
        <v>--/--/--</v>
      </c>
      <c r="E289" s="127" t="str">
        <f>VLOOKUP(C289,'Talente &amp; Stuff'!CL:DM,3,FALSE)</f>
        <v>-</v>
      </c>
      <c r="F289" s="114">
        <f>VLOOKUP(C289,'Talente &amp; Stuff'!CL:DM,4,FALSE)</f>
        <v>0</v>
      </c>
      <c r="G289" s="113">
        <f>VLOOKUP(C289,'Talente &amp; Stuff'!CL:DM,5,FALSE)</f>
        <v>0</v>
      </c>
      <c r="H289" s="113">
        <f>VLOOKUP(C289,'Talente &amp; Stuff'!CL:DM,6,FALSE)</f>
        <v>0</v>
      </c>
      <c r="I289" s="113">
        <f>VLOOKUP(C289,'Talente &amp; Stuff'!CL:DM,7,FALSE)</f>
        <v>0</v>
      </c>
      <c r="J289" s="113">
        <f>VLOOKUP(C289,'Talente &amp; Stuff'!CL:DM,8,FALSE)</f>
        <v>0</v>
      </c>
      <c r="K289" s="113">
        <f>VLOOKUP(C289,'Talente &amp; Stuff'!CL:DM,9,FALSE)</f>
        <v>0</v>
      </c>
      <c r="L289" s="113">
        <f>VLOOKUP(C289,'Talente &amp; Stuff'!CL:DM,10,FALSE)</f>
        <v>0</v>
      </c>
      <c r="M289" s="119">
        <f>VLOOKUP(C289,'Talente &amp; Stuff'!CL:DM,11,FALSE)</f>
        <v>0</v>
      </c>
      <c r="N289" s="47">
        <f>VLOOKUP(C289,'Talente &amp; Stuff'!CL:DM,12,FALSE)</f>
        <v>0</v>
      </c>
      <c r="O289" s="47">
        <f>VLOOKUP(C289,'Talente &amp; Stuff'!CL:DM,13,FALSE)</f>
        <v>0</v>
      </c>
      <c r="P289" s="119">
        <f>VLOOKUP(C289,'Talente &amp; Stuff'!CL:DM,14,FALSE)</f>
        <v>0</v>
      </c>
      <c r="Q289" s="114">
        <f>VLOOKUP(C289,'Talente &amp; Stuff'!CL:DM,15,FALSE)</f>
        <v>0</v>
      </c>
      <c r="R289" s="113">
        <f>VLOOKUP(C289,'Talente &amp; Stuff'!CL:DM,16,FALSE)</f>
        <v>0</v>
      </c>
      <c r="S289" s="119">
        <f>VLOOKUP(C289,'Talente &amp; Stuff'!CL:DM,17,FALSE)</f>
        <v>0</v>
      </c>
      <c r="T289" s="119">
        <f>VLOOKUP(C289,'Talente &amp; Stuff'!CL:DM,18,FALSE)</f>
        <v>0</v>
      </c>
      <c r="U289" s="89">
        <f>VLOOKUP(C289,'Talente &amp; Stuff'!CL:DM,19,FALSE)</f>
        <v>0</v>
      </c>
      <c r="V289" s="47">
        <f>VLOOKUP(C289,'Talente &amp; Stuff'!CL:DM,20,FALSE)</f>
        <v>0</v>
      </c>
      <c r="W289" s="127">
        <f>VLOOKUP(C289,'Talente &amp; Stuff'!CL:DM,21,FALSE)</f>
        <v>0</v>
      </c>
      <c r="X289" s="127">
        <f>VLOOKUP(C289,'Talente &amp; Stuff'!CL:DM,22,FALSE)</f>
        <v>0</v>
      </c>
      <c r="Y289" s="165">
        <f t="shared" si="22"/>
        <v>0</v>
      </c>
      <c r="Z289" s="44">
        <f t="shared" si="23"/>
        <v>0</v>
      </c>
      <c r="AA289" s="125">
        <f>VLOOKUP(C289,'Talente &amp; Stuff'!CL:DM,25,FALSE)</f>
        <v>0</v>
      </c>
      <c r="AB289" s="160">
        <f>VLOOKUP(C289,'Talente &amp; Stuff'!CL:DM,26,FALSE)</f>
        <v>0</v>
      </c>
      <c r="AC289" s="127">
        <f>VLOOKUP(C289,'Talente &amp; Stuff'!CL:DM,27,FALSE)</f>
        <v>0</v>
      </c>
      <c r="AD289" s="125">
        <f>VLOOKUP(C289,'Talente &amp; Stuff'!CL:DM,28,FALSE)</f>
        <v>0</v>
      </c>
      <c r="AE289" s="28"/>
    </row>
    <row r="290" spans="1:31" ht="15" hidden="1" customHeight="1" outlineLevel="2">
      <c r="B290" s="148">
        <v>30</v>
      </c>
      <c r="C290" s="163" t="str">
        <f>Attribute!C290</f>
        <v>---</v>
      </c>
      <c r="D290" s="125" t="str">
        <f>VLOOKUP(C290,'Talente &amp; Stuff'!CL:DM,2,FALSE)</f>
        <v>--/--/--</v>
      </c>
      <c r="E290" s="127" t="str">
        <f>VLOOKUP(C290,'Talente &amp; Stuff'!CL:DM,3,FALSE)</f>
        <v>-</v>
      </c>
      <c r="F290" s="114">
        <f>VLOOKUP(C290,'Talente &amp; Stuff'!CL:DM,4,FALSE)</f>
        <v>0</v>
      </c>
      <c r="G290" s="113">
        <f>VLOOKUP(C290,'Talente &amp; Stuff'!CL:DM,5,FALSE)</f>
        <v>0</v>
      </c>
      <c r="H290" s="113">
        <f>VLOOKUP(C290,'Talente &amp; Stuff'!CL:DM,6,FALSE)</f>
        <v>0</v>
      </c>
      <c r="I290" s="113">
        <f>VLOOKUP(C290,'Talente &amp; Stuff'!CL:DM,7,FALSE)</f>
        <v>0</v>
      </c>
      <c r="J290" s="113">
        <f>VLOOKUP(C290,'Talente &amp; Stuff'!CL:DM,8,FALSE)</f>
        <v>0</v>
      </c>
      <c r="K290" s="113">
        <f>VLOOKUP(C290,'Talente &amp; Stuff'!CL:DM,9,FALSE)</f>
        <v>0</v>
      </c>
      <c r="L290" s="113">
        <f>VLOOKUP(C290,'Talente &amp; Stuff'!CL:DM,10,FALSE)</f>
        <v>0</v>
      </c>
      <c r="M290" s="119">
        <f>VLOOKUP(C290,'Talente &amp; Stuff'!CL:DM,11,FALSE)</f>
        <v>0</v>
      </c>
      <c r="N290" s="47">
        <f>VLOOKUP(C290,'Talente &amp; Stuff'!CL:DM,12,FALSE)</f>
        <v>0</v>
      </c>
      <c r="O290" s="47">
        <f>VLOOKUP(C290,'Talente &amp; Stuff'!CL:DM,13,FALSE)</f>
        <v>0</v>
      </c>
      <c r="P290" s="119">
        <f>VLOOKUP(C290,'Talente &amp; Stuff'!CL:DM,14,FALSE)</f>
        <v>0</v>
      </c>
      <c r="Q290" s="114">
        <f>VLOOKUP(C290,'Talente &amp; Stuff'!CL:DM,15,FALSE)</f>
        <v>0</v>
      </c>
      <c r="R290" s="113">
        <f>VLOOKUP(C290,'Talente &amp; Stuff'!CL:DM,16,FALSE)</f>
        <v>0</v>
      </c>
      <c r="S290" s="119">
        <f>VLOOKUP(C290,'Talente &amp; Stuff'!CL:DM,17,FALSE)</f>
        <v>0</v>
      </c>
      <c r="T290" s="119">
        <f>VLOOKUP(C290,'Talente &amp; Stuff'!CL:DM,18,FALSE)</f>
        <v>0</v>
      </c>
      <c r="U290" s="89">
        <f>VLOOKUP(C290,'Talente &amp; Stuff'!CL:DM,19,FALSE)</f>
        <v>0</v>
      </c>
      <c r="V290" s="47">
        <f>VLOOKUP(C290,'Talente &amp; Stuff'!CL:DM,20,FALSE)</f>
        <v>0</v>
      </c>
      <c r="W290" s="127">
        <f>VLOOKUP(C290,'Talente &amp; Stuff'!CL:DM,21,FALSE)</f>
        <v>0</v>
      </c>
      <c r="X290" s="127">
        <f>VLOOKUP(C290,'Talente &amp; Stuff'!CL:DM,22,FALSE)</f>
        <v>0</v>
      </c>
      <c r="Y290" s="165">
        <f t="shared" si="22"/>
        <v>0</v>
      </c>
      <c r="Z290" s="44">
        <f t="shared" si="23"/>
        <v>0</v>
      </c>
      <c r="AA290" s="125">
        <f>VLOOKUP(C290,'Talente &amp; Stuff'!CL:DM,25,FALSE)</f>
        <v>0</v>
      </c>
      <c r="AB290" s="160">
        <f>VLOOKUP(C290,'Talente &amp; Stuff'!CL:DM,26,FALSE)</f>
        <v>0</v>
      </c>
      <c r="AC290" s="127">
        <f>VLOOKUP(C290,'Talente &amp; Stuff'!CL:DM,27,FALSE)</f>
        <v>0</v>
      </c>
      <c r="AD290" s="125">
        <f>VLOOKUP(C290,'Talente &amp; Stuff'!CL:DM,28,FALSE)</f>
        <v>0</v>
      </c>
      <c r="AE290" s="28"/>
    </row>
    <row r="291" spans="1:31" ht="15" hidden="1" customHeight="1" outlineLevel="2">
      <c r="B291" s="148">
        <v>31</v>
      </c>
      <c r="C291" s="163" t="str">
        <f>Attribute!C291</f>
        <v>---</v>
      </c>
      <c r="D291" s="125" t="str">
        <f>VLOOKUP(C291,'Talente &amp; Stuff'!CL:DM,2,FALSE)</f>
        <v>--/--/--</v>
      </c>
      <c r="E291" s="127" t="str">
        <f>VLOOKUP(C291,'Talente &amp; Stuff'!CL:DM,3,FALSE)</f>
        <v>-</v>
      </c>
      <c r="F291" s="114">
        <f>VLOOKUP(C291,'Talente &amp; Stuff'!CL:DM,4,FALSE)</f>
        <v>0</v>
      </c>
      <c r="G291" s="113">
        <f>VLOOKUP(C291,'Talente &amp; Stuff'!CL:DM,5,FALSE)</f>
        <v>0</v>
      </c>
      <c r="H291" s="113">
        <f>VLOOKUP(C291,'Talente &amp; Stuff'!CL:DM,6,FALSE)</f>
        <v>0</v>
      </c>
      <c r="I291" s="113">
        <f>VLOOKUP(C291,'Talente &amp; Stuff'!CL:DM,7,FALSE)</f>
        <v>0</v>
      </c>
      <c r="J291" s="113">
        <f>VLOOKUP(C291,'Talente &amp; Stuff'!CL:DM,8,FALSE)</f>
        <v>0</v>
      </c>
      <c r="K291" s="113">
        <f>VLOOKUP(C291,'Talente &amp; Stuff'!CL:DM,9,FALSE)</f>
        <v>0</v>
      </c>
      <c r="L291" s="113">
        <f>VLOOKUP(C291,'Talente &amp; Stuff'!CL:DM,10,FALSE)</f>
        <v>0</v>
      </c>
      <c r="M291" s="119">
        <f>VLOOKUP(C291,'Talente &amp; Stuff'!CL:DM,11,FALSE)</f>
        <v>0</v>
      </c>
      <c r="N291" s="47">
        <f>VLOOKUP(C291,'Talente &amp; Stuff'!CL:DM,12,FALSE)</f>
        <v>0</v>
      </c>
      <c r="O291" s="47">
        <f>VLOOKUP(C291,'Talente &amp; Stuff'!CL:DM,13,FALSE)</f>
        <v>0</v>
      </c>
      <c r="P291" s="119">
        <f>VLOOKUP(C291,'Talente &amp; Stuff'!CL:DM,14,FALSE)</f>
        <v>0</v>
      </c>
      <c r="Q291" s="114">
        <f>VLOOKUP(C291,'Talente &amp; Stuff'!CL:DM,15,FALSE)</f>
        <v>0</v>
      </c>
      <c r="R291" s="113">
        <f>VLOOKUP(C291,'Talente &amp; Stuff'!CL:DM,16,FALSE)</f>
        <v>0</v>
      </c>
      <c r="S291" s="119">
        <f>VLOOKUP(C291,'Talente &amp; Stuff'!CL:DM,17,FALSE)</f>
        <v>0</v>
      </c>
      <c r="T291" s="119">
        <f>VLOOKUP(C291,'Talente &amp; Stuff'!CL:DM,18,FALSE)</f>
        <v>0</v>
      </c>
      <c r="U291" s="89">
        <f>VLOOKUP(C291,'Talente &amp; Stuff'!CL:DM,19,FALSE)</f>
        <v>0</v>
      </c>
      <c r="V291" s="47">
        <f>VLOOKUP(C291,'Talente &amp; Stuff'!CL:DM,20,FALSE)</f>
        <v>0</v>
      </c>
      <c r="W291" s="127">
        <f>VLOOKUP(C291,'Talente &amp; Stuff'!CL:DM,21,FALSE)</f>
        <v>0</v>
      </c>
      <c r="X291" s="127">
        <f>VLOOKUP(C291,'Talente &amp; Stuff'!CL:DM,22,FALSE)</f>
        <v>0</v>
      </c>
      <c r="Y291" s="165">
        <f t="shared" si="22"/>
        <v>0</v>
      </c>
      <c r="Z291" s="44">
        <f t="shared" si="23"/>
        <v>0</v>
      </c>
      <c r="AA291" s="125">
        <f>VLOOKUP(C291,'Talente &amp; Stuff'!CL:DM,25,FALSE)</f>
        <v>0</v>
      </c>
      <c r="AB291" s="160">
        <f>VLOOKUP(C291,'Talente &amp; Stuff'!CL:DM,26,FALSE)</f>
        <v>0</v>
      </c>
      <c r="AC291" s="127">
        <f>VLOOKUP(C291,'Talente &amp; Stuff'!CL:DM,27,FALSE)</f>
        <v>0</v>
      </c>
      <c r="AD291" s="125">
        <f>VLOOKUP(C291,'Talente &amp; Stuff'!CL:DM,28,FALSE)</f>
        <v>0</v>
      </c>
      <c r="AE291" s="28"/>
    </row>
    <row r="292" spans="1:31" ht="15" hidden="1" customHeight="1" outlineLevel="2">
      <c r="B292" s="148">
        <v>32</v>
      </c>
      <c r="C292" s="163" t="str">
        <f>Attribute!C292</f>
        <v>---</v>
      </c>
      <c r="D292" s="125" t="str">
        <f>VLOOKUP(C292,'Talente &amp; Stuff'!CL:DM,2,FALSE)</f>
        <v>--/--/--</v>
      </c>
      <c r="E292" s="127" t="str">
        <f>VLOOKUP(C292,'Talente &amp; Stuff'!CL:DM,3,FALSE)</f>
        <v>-</v>
      </c>
      <c r="F292" s="114">
        <f>VLOOKUP(C292,'Talente &amp; Stuff'!CL:DM,4,FALSE)</f>
        <v>0</v>
      </c>
      <c r="G292" s="113">
        <f>VLOOKUP(C292,'Talente &amp; Stuff'!CL:DM,5,FALSE)</f>
        <v>0</v>
      </c>
      <c r="H292" s="113">
        <f>VLOOKUP(C292,'Talente &amp; Stuff'!CL:DM,6,FALSE)</f>
        <v>0</v>
      </c>
      <c r="I292" s="113">
        <f>VLOOKUP(C292,'Talente &amp; Stuff'!CL:DM,7,FALSE)</f>
        <v>0</v>
      </c>
      <c r="J292" s="113">
        <f>VLOOKUP(C292,'Talente &amp; Stuff'!CL:DM,8,FALSE)</f>
        <v>0</v>
      </c>
      <c r="K292" s="113">
        <f>VLOOKUP(C292,'Talente &amp; Stuff'!CL:DM,9,FALSE)</f>
        <v>0</v>
      </c>
      <c r="L292" s="113">
        <f>VLOOKUP(C292,'Talente &amp; Stuff'!CL:DM,10,FALSE)</f>
        <v>0</v>
      </c>
      <c r="M292" s="119">
        <f>VLOOKUP(C292,'Talente &amp; Stuff'!CL:DM,11,FALSE)</f>
        <v>0</v>
      </c>
      <c r="N292" s="47">
        <f>VLOOKUP(C292,'Talente &amp; Stuff'!CL:DM,12,FALSE)</f>
        <v>0</v>
      </c>
      <c r="O292" s="47">
        <f>VLOOKUP(C292,'Talente &amp; Stuff'!CL:DM,13,FALSE)</f>
        <v>0</v>
      </c>
      <c r="P292" s="119">
        <f>VLOOKUP(C292,'Talente &amp; Stuff'!CL:DM,14,FALSE)</f>
        <v>0</v>
      </c>
      <c r="Q292" s="114">
        <f>VLOOKUP(C292,'Talente &amp; Stuff'!CL:DM,15,FALSE)</f>
        <v>0</v>
      </c>
      <c r="R292" s="113">
        <f>VLOOKUP(C292,'Talente &amp; Stuff'!CL:DM,16,FALSE)</f>
        <v>0</v>
      </c>
      <c r="S292" s="119">
        <f>VLOOKUP(C292,'Talente &amp; Stuff'!CL:DM,17,FALSE)</f>
        <v>0</v>
      </c>
      <c r="T292" s="119">
        <f>VLOOKUP(C292,'Talente &amp; Stuff'!CL:DM,18,FALSE)</f>
        <v>0</v>
      </c>
      <c r="U292" s="89">
        <f>VLOOKUP(C292,'Talente &amp; Stuff'!CL:DM,19,FALSE)</f>
        <v>0</v>
      </c>
      <c r="V292" s="47">
        <f>VLOOKUP(C292,'Talente &amp; Stuff'!CL:DM,20,FALSE)</f>
        <v>0</v>
      </c>
      <c r="W292" s="127">
        <f>VLOOKUP(C292,'Talente &amp; Stuff'!CL:DM,21,FALSE)</f>
        <v>0</v>
      </c>
      <c r="X292" s="127">
        <f>VLOOKUP(C292,'Talente &amp; Stuff'!CL:DM,22,FALSE)</f>
        <v>0</v>
      </c>
      <c r="Y292" s="165">
        <f t="shared" si="22"/>
        <v>0</v>
      </c>
      <c r="Z292" s="44">
        <f t="shared" si="23"/>
        <v>0</v>
      </c>
      <c r="AA292" s="125">
        <f>VLOOKUP(C292,'Talente &amp; Stuff'!CL:DM,25,FALSE)</f>
        <v>0</v>
      </c>
      <c r="AB292" s="160">
        <f>VLOOKUP(C292,'Talente &amp; Stuff'!CL:DM,26,FALSE)</f>
        <v>0</v>
      </c>
      <c r="AC292" s="127">
        <f>VLOOKUP(C292,'Talente &amp; Stuff'!CL:DM,27,FALSE)</f>
        <v>0</v>
      </c>
      <c r="AD292" s="125">
        <f>VLOOKUP(C292,'Talente &amp; Stuff'!CL:DM,28,FALSE)</f>
        <v>0</v>
      </c>
      <c r="AE292" s="28"/>
    </row>
    <row r="293" spans="1:31" ht="15" hidden="1" customHeight="1" outlineLevel="2">
      <c r="B293" s="148">
        <v>33</v>
      </c>
      <c r="C293" s="163" t="str">
        <f>Attribute!C293</f>
        <v>---</v>
      </c>
      <c r="D293" s="125" t="str">
        <f>VLOOKUP(C293,'Talente &amp; Stuff'!CL:DM,2,FALSE)</f>
        <v>--/--/--</v>
      </c>
      <c r="E293" s="127" t="str">
        <f>VLOOKUP(C293,'Talente &amp; Stuff'!CL:DM,3,FALSE)</f>
        <v>-</v>
      </c>
      <c r="F293" s="114">
        <f>VLOOKUP(C293,'Talente &amp; Stuff'!CL:DM,4,FALSE)</f>
        <v>0</v>
      </c>
      <c r="G293" s="113">
        <f>VLOOKUP(C293,'Talente &amp; Stuff'!CL:DM,5,FALSE)</f>
        <v>0</v>
      </c>
      <c r="H293" s="113">
        <f>VLOOKUP(C293,'Talente &amp; Stuff'!CL:DM,6,FALSE)</f>
        <v>0</v>
      </c>
      <c r="I293" s="113">
        <f>VLOOKUP(C293,'Talente &amp; Stuff'!CL:DM,7,FALSE)</f>
        <v>0</v>
      </c>
      <c r="J293" s="113">
        <f>VLOOKUP(C293,'Talente &amp; Stuff'!CL:DM,8,FALSE)</f>
        <v>0</v>
      </c>
      <c r="K293" s="113">
        <f>VLOOKUP(C293,'Talente &amp; Stuff'!CL:DM,9,FALSE)</f>
        <v>0</v>
      </c>
      <c r="L293" s="113">
        <f>VLOOKUP(C293,'Talente &amp; Stuff'!CL:DM,10,FALSE)</f>
        <v>0</v>
      </c>
      <c r="M293" s="119">
        <f>VLOOKUP(C293,'Talente &amp; Stuff'!CL:DM,11,FALSE)</f>
        <v>0</v>
      </c>
      <c r="N293" s="47">
        <f>VLOOKUP(C293,'Talente &amp; Stuff'!CL:DM,12,FALSE)</f>
        <v>0</v>
      </c>
      <c r="O293" s="47">
        <f>VLOOKUP(C293,'Talente &amp; Stuff'!CL:DM,13,FALSE)</f>
        <v>0</v>
      </c>
      <c r="P293" s="119">
        <f>VLOOKUP(C293,'Talente &amp; Stuff'!CL:DM,14,FALSE)</f>
        <v>0</v>
      </c>
      <c r="Q293" s="114">
        <f>VLOOKUP(C293,'Talente &amp; Stuff'!CL:DM,15,FALSE)</f>
        <v>0</v>
      </c>
      <c r="R293" s="113">
        <f>VLOOKUP(C293,'Talente &amp; Stuff'!CL:DM,16,FALSE)</f>
        <v>0</v>
      </c>
      <c r="S293" s="119">
        <f>VLOOKUP(C293,'Talente &amp; Stuff'!CL:DM,17,FALSE)</f>
        <v>0</v>
      </c>
      <c r="T293" s="119">
        <f>VLOOKUP(C293,'Talente &amp; Stuff'!CL:DM,18,FALSE)</f>
        <v>0</v>
      </c>
      <c r="U293" s="89">
        <f>VLOOKUP(C293,'Talente &amp; Stuff'!CL:DM,19,FALSE)</f>
        <v>0</v>
      </c>
      <c r="V293" s="47">
        <f>VLOOKUP(C293,'Talente &amp; Stuff'!CL:DM,20,FALSE)</f>
        <v>0</v>
      </c>
      <c r="W293" s="127">
        <f>VLOOKUP(C293,'Talente &amp; Stuff'!CL:DM,21,FALSE)</f>
        <v>0</v>
      </c>
      <c r="X293" s="127">
        <f>VLOOKUP(C293,'Talente &amp; Stuff'!CL:DM,22,FALSE)</f>
        <v>0</v>
      </c>
      <c r="Y293" s="165">
        <f t="shared" si="22"/>
        <v>0</v>
      </c>
      <c r="Z293" s="44">
        <f t="shared" si="23"/>
        <v>0</v>
      </c>
      <c r="AA293" s="125">
        <f>VLOOKUP(C293,'Talente &amp; Stuff'!CL:DM,25,FALSE)</f>
        <v>0</v>
      </c>
      <c r="AB293" s="160">
        <f>VLOOKUP(C293,'Talente &amp; Stuff'!CL:DM,26,FALSE)</f>
        <v>0</v>
      </c>
      <c r="AC293" s="127">
        <f>VLOOKUP(C293,'Talente &amp; Stuff'!CL:DM,27,FALSE)</f>
        <v>0</v>
      </c>
      <c r="AD293" s="125">
        <f>VLOOKUP(C293,'Talente &amp; Stuff'!CL:DM,28,FALSE)</f>
        <v>0</v>
      </c>
      <c r="AE293" s="28"/>
    </row>
    <row r="294" spans="1:31" ht="15" hidden="1" customHeight="1" outlineLevel="2">
      <c r="B294" s="148">
        <v>34</v>
      </c>
      <c r="C294" s="163" t="str">
        <f>Attribute!C294</f>
        <v>---</v>
      </c>
      <c r="D294" s="125" t="str">
        <f>VLOOKUP(C294,'Talente &amp; Stuff'!CL:DM,2,FALSE)</f>
        <v>--/--/--</v>
      </c>
      <c r="E294" s="127" t="str">
        <f>VLOOKUP(C294,'Talente &amp; Stuff'!CL:DM,3,FALSE)</f>
        <v>-</v>
      </c>
      <c r="F294" s="114">
        <f>VLOOKUP(C294,'Talente &amp; Stuff'!CL:DM,4,FALSE)</f>
        <v>0</v>
      </c>
      <c r="G294" s="113">
        <f>VLOOKUP(C294,'Talente &amp; Stuff'!CL:DM,5,FALSE)</f>
        <v>0</v>
      </c>
      <c r="H294" s="113">
        <f>VLOOKUP(C294,'Talente &amp; Stuff'!CL:DM,6,FALSE)</f>
        <v>0</v>
      </c>
      <c r="I294" s="113">
        <f>VLOOKUP(C294,'Talente &amp; Stuff'!CL:DM,7,FALSE)</f>
        <v>0</v>
      </c>
      <c r="J294" s="113">
        <f>VLOOKUP(C294,'Talente &amp; Stuff'!CL:DM,8,FALSE)</f>
        <v>0</v>
      </c>
      <c r="K294" s="113">
        <f>VLOOKUP(C294,'Talente &amp; Stuff'!CL:DM,9,FALSE)</f>
        <v>0</v>
      </c>
      <c r="L294" s="113">
        <f>VLOOKUP(C294,'Talente &amp; Stuff'!CL:DM,10,FALSE)</f>
        <v>0</v>
      </c>
      <c r="M294" s="119">
        <f>VLOOKUP(C294,'Talente &amp; Stuff'!CL:DM,11,FALSE)</f>
        <v>0</v>
      </c>
      <c r="N294" s="47">
        <f>VLOOKUP(C294,'Talente &amp; Stuff'!CL:DM,12,FALSE)</f>
        <v>0</v>
      </c>
      <c r="O294" s="47">
        <f>VLOOKUP(C294,'Talente &amp; Stuff'!CL:DM,13,FALSE)</f>
        <v>0</v>
      </c>
      <c r="P294" s="119">
        <f>VLOOKUP(C294,'Talente &amp; Stuff'!CL:DM,14,FALSE)</f>
        <v>0</v>
      </c>
      <c r="Q294" s="114">
        <f>VLOOKUP(C294,'Talente &amp; Stuff'!CL:DM,15,FALSE)</f>
        <v>0</v>
      </c>
      <c r="R294" s="113">
        <f>VLOOKUP(C294,'Talente &amp; Stuff'!CL:DM,16,FALSE)</f>
        <v>0</v>
      </c>
      <c r="S294" s="119">
        <f>VLOOKUP(C294,'Talente &amp; Stuff'!CL:DM,17,FALSE)</f>
        <v>0</v>
      </c>
      <c r="T294" s="119">
        <f>VLOOKUP(C294,'Talente &amp; Stuff'!CL:DM,18,FALSE)</f>
        <v>0</v>
      </c>
      <c r="U294" s="89">
        <f>VLOOKUP(C294,'Talente &amp; Stuff'!CL:DM,19,FALSE)</f>
        <v>0</v>
      </c>
      <c r="V294" s="47">
        <f>VLOOKUP(C294,'Talente &amp; Stuff'!CL:DM,20,FALSE)</f>
        <v>0</v>
      </c>
      <c r="W294" s="127">
        <f>VLOOKUP(C294,'Talente &amp; Stuff'!CL:DM,21,FALSE)</f>
        <v>0</v>
      </c>
      <c r="X294" s="127">
        <f>VLOOKUP(C294,'Talente &amp; Stuff'!CL:DM,22,FALSE)</f>
        <v>0</v>
      </c>
      <c r="Y294" s="165">
        <f t="shared" si="22"/>
        <v>0</v>
      </c>
      <c r="Z294" s="44">
        <f t="shared" si="23"/>
        <v>0</v>
      </c>
      <c r="AA294" s="125">
        <f>VLOOKUP(C294,'Talente &amp; Stuff'!CL:DM,25,FALSE)</f>
        <v>0</v>
      </c>
      <c r="AB294" s="160">
        <f>VLOOKUP(C294,'Talente &amp; Stuff'!CL:DM,26,FALSE)</f>
        <v>0</v>
      </c>
      <c r="AC294" s="127">
        <f>VLOOKUP(C294,'Talente &amp; Stuff'!CL:DM,27,FALSE)</f>
        <v>0</v>
      </c>
      <c r="AD294" s="125">
        <f>VLOOKUP(C294,'Talente &amp; Stuff'!CL:DM,28,FALSE)</f>
        <v>0</v>
      </c>
      <c r="AE294" s="28"/>
    </row>
    <row r="295" spans="1:31" ht="15" hidden="1" customHeight="1" outlineLevel="2">
      <c r="B295" s="148">
        <v>35</v>
      </c>
      <c r="C295" s="163" t="str">
        <f>Attribute!C295</f>
        <v>---</v>
      </c>
      <c r="D295" s="125" t="str">
        <f>VLOOKUP(C295,'Talente &amp; Stuff'!CL:DM,2,FALSE)</f>
        <v>--/--/--</v>
      </c>
      <c r="E295" s="127" t="str">
        <f>VLOOKUP(C295,'Talente &amp; Stuff'!CL:DM,3,FALSE)</f>
        <v>-</v>
      </c>
      <c r="F295" s="114">
        <f>VLOOKUP(C295,'Talente &amp; Stuff'!CL:DM,4,FALSE)</f>
        <v>0</v>
      </c>
      <c r="G295" s="113">
        <f>VLOOKUP(C295,'Talente &amp; Stuff'!CL:DM,5,FALSE)</f>
        <v>0</v>
      </c>
      <c r="H295" s="113">
        <f>VLOOKUP(C295,'Talente &amp; Stuff'!CL:DM,6,FALSE)</f>
        <v>0</v>
      </c>
      <c r="I295" s="113">
        <f>VLOOKUP(C295,'Talente &amp; Stuff'!CL:DM,7,FALSE)</f>
        <v>0</v>
      </c>
      <c r="J295" s="113">
        <f>VLOOKUP(C295,'Talente &amp; Stuff'!CL:DM,8,FALSE)</f>
        <v>0</v>
      </c>
      <c r="K295" s="113">
        <f>VLOOKUP(C295,'Talente &amp; Stuff'!CL:DM,9,FALSE)</f>
        <v>0</v>
      </c>
      <c r="L295" s="113">
        <f>VLOOKUP(C295,'Talente &amp; Stuff'!CL:DM,10,FALSE)</f>
        <v>0</v>
      </c>
      <c r="M295" s="119">
        <f>VLOOKUP(C295,'Talente &amp; Stuff'!CL:DM,11,FALSE)</f>
        <v>0</v>
      </c>
      <c r="N295" s="47">
        <f>VLOOKUP(C295,'Talente &amp; Stuff'!CL:DM,12,FALSE)</f>
        <v>0</v>
      </c>
      <c r="O295" s="47">
        <f>VLOOKUP(C295,'Talente &amp; Stuff'!CL:DM,13,FALSE)</f>
        <v>0</v>
      </c>
      <c r="P295" s="119">
        <f>VLOOKUP(C295,'Talente &amp; Stuff'!CL:DM,14,FALSE)</f>
        <v>0</v>
      </c>
      <c r="Q295" s="114">
        <f>VLOOKUP(C295,'Talente &amp; Stuff'!CL:DM,15,FALSE)</f>
        <v>0</v>
      </c>
      <c r="R295" s="113">
        <f>VLOOKUP(C295,'Talente &amp; Stuff'!CL:DM,16,FALSE)</f>
        <v>0</v>
      </c>
      <c r="S295" s="119">
        <f>VLOOKUP(C295,'Talente &amp; Stuff'!CL:DM,17,FALSE)</f>
        <v>0</v>
      </c>
      <c r="T295" s="119">
        <f>VLOOKUP(C295,'Talente &amp; Stuff'!CL:DM,18,FALSE)</f>
        <v>0</v>
      </c>
      <c r="U295" s="89">
        <f>VLOOKUP(C295,'Talente &amp; Stuff'!CL:DM,19,FALSE)</f>
        <v>0</v>
      </c>
      <c r="V295" s="47">
        <f>VLOOKUP(C295,'Talente &amp; Stuff'!CL:DM,20,FALSE)</f>
        <v>0</v>
      </c>
      <c r="W295" s="127">
        <f>VLOOKUP(C295,'Talente &amp; Stuff'!CL:DM,21,FALSE)</f>
        <v>0</v>
      </c>
      <c r="X295" s="127">
        <f>VLOOKUP(C295,'Talente &amp; Stuff'!CL:DM,22,FALSE)</f>
        <v>0</v>
      </c>
      <c r="Y295" s="165">
        <f t="shared" si="22"/>
        <v>0</v>
      </c>
      <c r="Z295" s="44">
        <f t="shared" si="23"/>
        <v>0</v>
      </c>
      <c r="AA295" s="125">
        <f>VLOOKUP(C295,'Talente &amp; Stuff'!CL:DM,25,FALSE)</f>
        <v>0</v>
      </c>
      <c r="AB295" s="160">
        <f>VLOOKUP(C295,'Talente &amp; Stuff'!CL:DM,26,FALSE)</f>
        <v>0</v>
      </c>
      <c r="AC295" s="127">
        <f>VLOOKUP(C295,'Talente &amp; Stuff'!CL:DM,27,FALSE)</f>
        <v>0</v>
      </c>
      <c r="AD295" s="125">
        <f>VLOOKUP(C295,'Talente &amp; Stuff'!CL:DM,28,FALSE)</f>
        <v>0</v>
      </c>
      <c r="AE295" s="28"/>
    </row>
    <row r="296" spans="1:31" ht="15" hidden="1" customHeight="1" outlineLevel="2">
      <c r="B296" s="148">
        <v>36</v>
      </c>
      <c r="C296" s="164" t="str">
        <f>Attribute!C296</f>
        <v>---</v>
      </c>
      <c r="D296" s="159" t="str">
        <f>VLOOKUP(C296,'Talente &amp; Stuff'!CL:DM,2,FALSE)</f>
        <v>--/--/--</v>
      </c>
      <c r="E296" s="128" t="str">
        <f>VLOOKUP(C296,'Talente &amp; Stuff'!CL:DM,3,FALSE)</f>
        <v>-</v>
      </c>
      <c r="F296" s="115">
        <f>VLOOKUP(C296,'Talente &amp; Stuff'!CL:DM,4,FALSE)</f>
        <v>0</v>
      </c>
      <c r="G296" s="122">
        <f>VLOOKUP(C296,'Talente &amp; Stuff'!CL:DM,5,FALSE)</f>
        <v>0</v>
      </c>
      <c r="H296" s="122">
        <f>VLOOKUP(C296,'Talente &amp; Stuff'!CL:DM,6,FALSE)</f>
        <v>0</v>
      </c>
      <c r="I296" s="122">
        <f>VLOOKUP(C296,'Talente &amp; Stuff'!CL:DM,7,FALSE)</f>
        <v>0</v>
      </c>
      <c r="J296" s="122">
        <f>VLOOKUP(C296,'Talente &amp; Stuff'!CL:DM,8,FALSE)</f>
        <v>0</v>
      </c>
      <c r="K296" s="122">
        <f>VLOOKUP(C296,'Talente &amp; Stuff'!CL:DM,9,FALSE)</f>
        <v>0</v>
      </c>
      <c r="L296" s="122">
        <f>VLOOKUP(C296,'Talente &amp; Stuff'!CL:DM,10,FALSE)</f>
        <v>0</v>
      </c>
      <c r="M296" s="123">
        <f>VLOOKUP(C296,'Talente &amp; Stuff'!CL:DM,11,FALSE)</f>
        <v>0</v>
      </c>
      <c r="N296" s="88">
        <f>VLOOKUP(C296,'Talente &amp; Stuff'!CL:DM,12,FALSE)</f>
        <v>0</v>
      </c>
      <c r="O296" s="88">
        <f>VLOOKUP(C296,'Talente &amp; Stuff'!CL:DM,13,FALSE)</f>
        <v>0</v>
      </c>
      <c r="P296" s="123">
        <f>VLOOKUP(C296,'Talente &amp; Stuff'!CL:DM,14,FALSE)</f>
        <v>0</v>
      </c>
      <c r="Q296" s="115">
        <f>VLOOKUP(C296,'Talente &amp; Stuff'!CL:DM,15,FALSE)</f>
        <v>0</v>
      </c>
      <c r="R296" s="122">
        <f>VLOOKUP(C296,'Talente &amp; Stuff'!CL:DM,16,FALSE)</f>
        <v>0</v>
      </c>
      <c r="S296" s="123">
        <f>VLOOKUP(C296,'Talente &amp; Stuff'!CL:DM,17,FALSE)</f>
        <v>0</v>
      </c>
      <c r="T296" s="123">
        <f>VLOOKUP(C296,'Talente &amp; Stuff'!CL:DM,18,FALSE)</f>
        <v>0</v>
      </c>
      <c r="U296" s="90">
        <f>VLOOKUP(C296,'Talente &amp; Stuff'!CL:DM,19,FALSE)</f>
        <v>0</v>
      </c>
      <c r="V296" s="88">
        <f>VLOOKUP(C296,'Talente &amp; Stuff'!CL:DM,20,FALSE)</f>
        <v>0</v>
      </c>
      <c r="W296" s="128">
        <f>VLOOKUP(C296,'Talente &amp; Stuff'!CL:DM,21,FALSE)</f>
        <v>0</v>
      </c>
      <c r="X296" s="128">
        <f>VLOOKUP(C296,'Talente &amp; Stuff'!CL:DM,22,FALSE)</f>
        <v>0</v>
      </c>
      <c r="Y296" s="165">
        <f t="shared" si="22"/>
        <v>0</v>
      </c>
      <c r="Z296" s="44">
        <f t="shared" si="23"/>
        <v>0</v>
      </c>
      <c r="AA296" s="159">
        <f>VLOOKUP(C296,'Talente &amp; Stuff'!CL:DM,25,FALSE)</f>
        <v>0</v>
      </c>
      <c r="AB296" s="161">
        <f>VLOOKUP(C296,'Talente &amp; Stuff'!CL:DM,26,FALSE)</f>
        <v>0</v>
      </c>
      <c r="AC296" s="128">
        <f>VLOOKUP(C296,'Talente &amp; Stuff'!CL:DM,27,FALSE)</f>
        <v>0</v>
      </c>
      <c r="AD296" s="159">
        <f>VLOOKUP(C296,'Talente &amp; Stuff'!CL:DM,28,FALSE)</f>
        <v>0</v>
      </c>
      <c r="AE296" s="28"/>
    </row>
    <row r="297" spans="1:31" s="217" customFormat="1" hidden="1" outlineLevel="1" collapsed="1">
      <c r="A297" s="185"/>
      <c r="B297" s="216" t="s">
        <v>445</v>
      </c>
      <c r="C297" s="307"/>
      <c r="D297" s="308"/>
      <c r="E297" s="308"/>
      <c r="Y297" s="251"/>
      <c r="Z297" s="251"/>
    </row>
    <row r="298" spans="1:31" s="217" customFormat="1" hidden="1" outlineLevel="2">
      <c r="A298" s="185"/>
      <c r="B298" s="217">
        <v>1</v>
      </c>
      <c r="C298" s="302" t="str">
        <f>Attribute!C298</f>
        <v>---</v>
      </c>
      <c r="D298" s="42" t="str">
        <f>VLOOKUP(C298,'Talente &amp; Stuff'!CL:DM,2,FALSE)</f>
        <v>--/--/--</v>
      </c>
      <c r="E298" s="241" t="str">
        <f>VLOOKUP(C298,'Talente &amp; Stuff'!CL:DM,3,FALSE)</f>
        <v>-</v>
      </c>
      <c r="F298" s="236">
        <f>VLOOKUP(C298,'Talente &amp; Stuff'!CL:DM,4,FALSE)</f>
        <v>0</v>
      </c>
      <c r="G298" s="233">
        <f>VLOOKUP(C298,'Talente &amp; Stuff'!CL:DM,5,FALSE)</f>
        <v>0</v>
      </c>
      <c r="H298" s="233">
        <f>VLOOKUP(C298,'Talente &amp; Stuff'!CL:DM,6,FALSE)</f>
        <v>0</v>
      </c>
      <c r="I298" s="233">
        <f>VLOOKUP(C298,'Talente &amp; Stuff'!CL:DM,7,FALSE)</f>
        <v>0</v>
      </c>
      <c r="J298" s="233">
        <f>VLOOKUP(C298,'Talente &amp; Stuff'!CL:DM,8,FALSE)</f>
        <v>0</v>
      </c>
      <c r="K298" s="233">
        <f>VLOOKUP(C298,'Talente &amp; Stuff'!CL:DM,9,FALSE)</f>
        <v>0</v>
      </c>
      <c r="L298" s="233">
        <f>VLOOKUP(C298,'Talente &amp; Stuff'!CL:DM,10,FALSE)</f>
        <v>0</v>
      </c>
      <c r="M298" s="221">
        <f>VLOOKUP(C298,'Talente &amp; Stuff'!CL:DM,11,FALSE)</f>
        <v>0</v>
      </c>
      <c r="N298" s="220">
        <f>VLOOKUP(C298,'Talente &amp; Stuff'!CL:DM,12,FALSE)</f>
        <v>0</v>
      </c>
      <c r="O298" s="220">
        <f>VLOOKUP(C298,'Talente &amp; Stuff'!CL:DM,13,FALSE)</f>
        <v>0</v>
      </c>
      <c r="P298" s="221">
        <f>VLOOKUP(C298,'Talente &amp; Stuff'!CL:DM,14,FALSE)</f>
        <v>0</v>
      </c>
      <c r="Q298" s="236">
        <f>VLOOKUP(C298,'Talente &amp; Stuff'!CL:DM,15,FALSE)</f>
        <v>0</v>
      </c>
      <c r="R298" s="233">
        <f>VLOOKUP(C298,'Talente &amp; Stuff'!CL:DM,16,FALSE)</f>
        <v>0</v>
      </c>
      <c r="S298" s="221">
        <f>VLOOKUP(C298,'Talente &amp; Stuff'!CL:DM,17,FALSE)</f>
        <v>0</v>
      </c>
      <c r="T298" s="221">
        <f>VLOOKUP(C298,'Talente &amp; Stuff'!CL:DM,18,FALSE)</f>
        <v>0</v>
      </c>
      <c r="U298" s="219">
        <f>VLOOKUP(C298,'Talente &amp; Stuff'!CL:DM,19,FALSE)</f>
        <v>0</v>
      </c>
      <c r="V298" s="220">
        <f>VLOOKUP(C298,'Talente &amp; Stuff'!CL:DM,20,FALSE)</f>
        <v>0</v>
      </c>
      <c r="W298" s="241">
        <f>VLOOKUP(C298,'Talente &amp; Stuff'!CL:DM,21,FALSE)</f>
        <v>0</v>
      </c>
      <c r="X298" s="241">
        <f>VLOOKUP(C298,'Talente &amp; Stuff'!CL:DM,22,FALSE)</f>
        <v>0</v>
      </c>
      <c r="Y298" s="252">
        <f>VLOOKUP(C298,Ausgewählte_Zauber_Zauberbarden,110,FALSE)</f>
        <v>0</v>
      </c>
      <c r="Z298" s="309">
        <f>VLOOKUP(C298,Ausgewählte_Zauber_Zauberbarden,111,FALSE)</f>
        <v>0</v>
      </c>
      <c r="AA298" s="42">
        <f>VLOOKUP(C298,'Talente &amp; Stuff'!CL:DM,25,FALSE)</f>
        <v>0</v>
      </c>
      <c r="AB298" s="78">
        <f>VLOOKUP(C298,'Talente &amp; Stuff'!CL:DM,26,FALSE)</f>
        <v>0</v>
      </c>
      <c r="AC298" s="241">
        <f>VLOOKUP(C298,'Talente &amp; Stuff'!CL:DM,27,FALSE)</f>
        <v>0</v>
      </c>
      <c r="AD298" s="42">
        <f>VLOOKUP(C298,'Talente &amp; Stuff'!CL:DM,28,FALSE)</f>
        <v>0</v>
      </c>
      <c r="AE298" s="343"/>
    </row>
    <row r="299" spans="1:31" s="217" customFormat="1" hidden="1" outlineLevel="2">
      <c r="A299" s="185"/>
      <c r="B299" s="217">
        <v>2</v>
      </c>
      <c r="C299" s="303" t="str">
        <f>Attribute!C299</f>
        <v>---</v>
      </c>
      <c r="D299" s="218" t="str">
        <f>VLOOKUP(C299,'Talente &amp; Stuff'!CL:DM,2,FALSE)</f>
        <v>--/--/--</v>
      </c>
      <c r="E299" s="243" t="str">
        <f>VLOOKUP(C299,'Talente &amp; Stuff'!CL:DM,3,FALSE)</f>
        <v>-</v>
      </c>
      <c r="F299" s="237">
        <f>VLOOKUP(C299,'Talente &amp; Stuff'!CL:DM,4,FALSE)</f>
        <v>0</v>
      </c>
      <c r="G299" s="234">
        <f>VLOOKUP(C299,'Talente &amp; Stuff'!CL:DM,5,FALSE)</f>
        <v>0</v>
      </c>
      <c r="H299" s="234">
        <f>VLOOKUP(C299,'Talente &amp; Stuff'!CL:DM,6,FALSE)</f>
        <v>0</v>
      </c>
      <c r="I299" s="234">
        <f>VLOOKUP(C299,'Talente &amp; Stuff'!CL:DM,7,FALSE)</f>
        <v>0</v>
      </c>
      <c r="J299" s="234">
        <f>VLOOKUP(C299,'Talente &amp; Stuff'!CL:DM,8,FALSE)</f>
        <v>0</v>
      </c>
      <c r="K299" s="234">
        <f>VLOOKUP(C299,'Talente &amp; Stuff'!CL:DM,9,FALSE)</f>
        <v>0</v>
      </c>
      <c r="L299" s="234">
        <f>VLOOKUP(C299,'Talente &amp; Stuff'!CL:DM,10,FALSE)</f>
        <v>0</v>
      </c>
      <c r="M299" s="224">
        <f>VLOOKUP(C299,'Talente &amp; Stuff'!CL:DM,11,FALSE)</f>
        <v>0</v>
      </c>
      <c r="N299" s="223">
        <f>VLOOKUP(C299,'Talente &amp; Stuff'!CL:DM,12,FALSE)</f>
        <v>0</v>
      </c>
      <c r="O299" s="223">
        <f>VLOOKUP(C299,'Talente &amp; Stuff'!CL:DM,13,FALSE)</f>
        <v>0</v>
      </c>
      <c r="P299" s="224">
        <f>VLOOKUP(C299,'Talente &amp; Stuff'!CL:DM,14,FALSE)</f>
        <v>0</v>
      </c>
      <c r="Q299" s="237">
        <f>VLOOKUP(C299,'Talente &amp; Stuff'!CL:DM,15,FALSE)</f>
        <v>0</v>
      </c>
      <c r="R299" s="234">
        <f>VLOOKUP(C299,'Talente &amp; Stuff'!CL:DM,16,FALSE)</f>
        <v>0</v>
      </c>
      <c r="S299" s="224">
        <f>VLOOKUP(C299,'Talente &amp; Stuff'!CL:DM,17,FALSE)</f>
        <v>0</v>
      </c>
      <c r="T299" s="224">
        <f>VLOOKUP(C299,'Talente &amp; Stuff'!CL:DM,18,FALSE)</f>
        <v>0</v>
      </c>
      <c r="U299" s="222">
        <f>VLOOKUP(C299,'Talente &amp; Stuff'!CL:DM,19,FALSE)</f>
        <v>0</v>
      </c>
      <c r="V299" s="223">
        <f>VLOOKUP(C299,'Talente &amp; Stuff'!CL:DM,20,FALSE)</f>
        <v>0</v>
      </c>
      <c r="W299" s="243">
        <f>VLOOKUP(C299,'Talente &amp; Stuff'!CL:DM,21,FALSE)</f>
        <v>0</v>
      </c>
      <c r="X299" s="243">
        <f>VLOOKUP(C299,'Talente &amp; Stuff'!CL:DM,22,FALSE)</f>
        <v>0</v>
      </c>
      <c r="Y299" s="252">
        <f>VLOOKUP(C299,Ausgewählte_Zauber_Zauberbarden,110,FALSE)</f>
        <v>0</v>
      </c>
      <c r="Z299" s="309">
        <f>VLOOKUP(C299,Ausgewählte_Zauber_Zauberbarden,111,FALSE)</f>
        <v>0</v>
      </c>
      <c r="AA299" s="218">
        <f>VLOOKUP(C299,'Talente &amp; Stuff'!CL:DM,25,FALSE)</f>
        <v>0</v>
      </c>
      <c r="AB299" s="242">
        <f>VLOOKUP(C299,'Talente &amp; Stuff'!CL:DM,26,FALSE)</f>
        <v>0</v>
      </c>
      <c r="AC299" s="243">
        <f>VLOOKUP(C299,'Talente &amp; Stuff'!CL:DM,27,FALSE)</f>
        <v>0</v>
      </c>
      <c r="AD299" s="218">
        <f>VLOOKUP(C299,'Talente &amp; Stuff'!CL:DM,28,FALSE)</f>
        <v>0</v>
      </c>
      <c r="AE299" s="343"/>
    </row>
    <row r="300" spans="1:31" s="217" customFormat="1" hidden="1" outlineLevel="2">
      <c r="A300" s="185"/>
      <c r="B300" s="217">
        <v>3</v>
      </c>
      <c r="C300" s="303" t="str">
        <f>Attribute!C300</f>
        <v>---</v>
      </c>
      <c r="D300" s="218" t="str">
        <f>VLOOKUP(C300,'Talente &amp; Stuff'!CL:DM,2,FALSE)</f>
        <v>--/--/--</v>
      </c>
      <c r="E300" s="243" t="str">
        <f>VLOOKUP(C300,'Talente &amp; Stuff'!CL:DM,3,FALSE)</f>
        <v>-</v>
      </c>
      <c r="F300" s="237">
        <f>VLOOKUP(C300,'Talente &amp; Stuff'!CL:DM,4,FALSE)</f>
        <v>0</v>
      </c>
      <c r="G300" s="234">
        <f>VLOOKUP(C300,'Talente &amp; Stuff'!CL:DM,5,FALSE)</f>
        <v>0</v>
      </c>
      <c r="H300" s="234">
        <f>VLOOKUP(C300,'Talente &amp; Stuff'!CL:DM,6,FALSE)</f>
        <v>0</v>
      </c>
      <c r="I300" s="234">
        <f>VLOOKUP(C300,'Talente &amp; Stuff'!CL:DM,7,FALSE)</f>
        <v>0</v>
      </c>
      <c r="J300" s="234">
        <f>VLOOKUP(C300,'Talente &amp; Stuff'!CL:DM,8,FALSE)</f>
        <v>0</v>
      </c>
      <c r="K300" s="234">
        <f>VLOOKUP(C300,'Talente &amp; Stuff'!CL:DM,9,FALSE)</f>
        <v>0</v>
      </c>
      <c r="L300" s="234">
        <f>VLOOKUP(C300,'Talente &amp; Stuff'!CL:DM,10,FALSE)</f>
        <v>0</v>
      </c>
      <c r="M300" s="224">
        <f>VLOOKUP(C300,'Talente &amp; Stuff'!CL:DM,11,FALSE)</f>
        <v>0</v>
      </c>
      <c r="N300" s="223">
        <f>VLOOKUP(C300,'Talente &amp; Stuff'!CL:DM,12,FALSE)</f>
        <v>0</v>
      </c>
      <c r="O300" s="223">
        <f>VLOOKUP(C300,'Talente &amp; Stuff'!CL:DM,13,FALSE)</f>
        <v>0</v>
      </c>
      <c r="P300" s="224">
        <f>VLOOKUP(C300,'Talente &amp; Stuff'!CL:DM,14,FALSE)</f>
        <v>0</v>
      </c>
      <c r="Q300" s="237">
        <f>VLOOKUP(C300,'Talente &amp; Stuff'!CL:DM,15,FALSE)</f>
        <v>0</v>
      </c>
      <c r="R300" s="234">
        <f>VLOOKUP(C300,'Talente &amp; Stuff'!CL:DM,16,FALSE)</f>
        <v>0</v>
      </c>
      <c r="S300" s="224">
        <f>VLOOKUP(C300,'Talente &amp; Stuff'!CL:DM,17,FALSE)</f>
        <v>0</v>
      </c>
      <c r="T300" s="224">
        <f>VLOOKUP(C300,'Talente &amp; Stuff'!CL:DM,18,FALSE)</f>
        <v>0</v>
      </c>
      <c r="U300" s="222">
        <f>VLOOKUP(C300,'Talente &amp; Stuff'!CL:DM,19,FALSE)</f>
        <v>0</v>
      </c>
      <c r="V300" s="223">
        <f>VLOOKUP(C300,'Talente &amp; Stuff'!CL:DM,20,FALSE)</f>
        <v>0</v>
      </c>
      <c r="W300" s="243">
        <f>VLOOKUP(C300,'Talente &amp; Stuff'!CL:DM,21,FALSE)</f>
        <v>0</v>
      </c>
      <c r="X300" s="243">
        <f>VLOOKUP(C300,'Talente &amp; Stuff'!CL:DM,22,FALSE)</f>
        <v>0</v>
      </c>
      <c r="Y300" s="252">
        <f>VLOOKUP(C300,Ausgewählte_Zauber_Zauberbarden,110,FALSE)</f>
        <v>0</v>
      </c>
      <c r="Z300" s="309">
        <f>VLOOKUP(C300,Ausgewählte_Zauber_Zauberbarden,111,FALSE)</f>
        <v>0</v>
      </c>
      <c r="AA300" s="218">
        <f>VLOOKUP(C300,'Talente &amp; Stuff'!CL:DM,25,FALSE)</f>
        <v>0</v>
      </c>
      <c r="AB300" s="242">
        <f>VLOOKUP(C300,'Talente &amp; Stuff'!CL:DM,26,FALSE)</f>
        <v>0</v>
      </c>
      <c r="AC300" s="243">
        <f>VLOOKUP(C300,'Talente &amp; Stuff'!CL:DM,27,FALSE)</f>
        <v>0</v>
      </c>
      <c r="AD300" s="218">
        <f>VLOOKUP(C300,'Talente &amp; Stuff'!CL:DM,28,FALSE)</f>
        <v>0</v>
      </c>
      <c r="AE300" s="343"/>
    </row>
    <row r="301" spans="1:31" s="217" customFormat="1" hidden="1" outlineLevel="2">
      <c r="A301" s="185"/>
      <c r="B301" s="217">
        <v>4</v>
      </c>
      <c r="C301" s="303" t="str">
        <f>Attribute!C301</f>
        <v>---</v>
      </c>
      <c r="D301" s="218" t="str">
        <f>VLOOKUP(C301,'Talente &amp; Stuff'!CL:DM,2,FALSE)</f>
        <v>--/--/--</v>
      </c>
      <c r="E301" s="243" t="str">
        <f>VLOOKUP(C301,'Talente &amp; Stuff'!CL:DM,3,FALSE)</f>
        <v>-</v>
      </c>
      <c r="F301" s="237">
        <f>VLOOKUP(C301,'Talente &amp; Stuff'!CL:DM,4,FALSE)</f>
        <v>0</v>
      </c>
      <c r="G301" s="234">
        <f>VLOOKUP(C301,'Talente &amp; Stuff'!CL:DM,5,FALSE)</f>
        <v>0</v>
      </c>
      <c r="H301" s="234">
        <f>VLOOKUP(C301,'Talente &amp; Stuff'!CL:DM,6,FALSE)</f>
        <v>0</v>
      </c>
      <c r="I301" s="234">
        <f>VLOOKUP(C301,'Talente &amp; Stuff'!CL:DM,7,FALSE)</f>
        <v>0</v>
      </c>
      <c r="J301" s="234">
        <f>VLOOKUP(C301,'Talente &amp; Stuff'!CL:DM,8,FALSE)</f>
        <v>0</v>
      </c>
      <c r="K301" s="234">
        <f>VLOOKUP(C301,'Talente &amp; Stuff'!CL:DM,9,FALSE)</f>
        <v>0</v>
      </c>
      <c r="L301" s="234">
        <f>VLOOKUP(C301,'Talente &amp; Stuff'!CL:DM,10,FALSE)</f>
        <v>0</v>
      </c>
      <c r="M301" s="224">
        <f>VLOOKUP(C301,'Talente &amp; Stuff'!CL:DM,11,FALSE)</f>
        <v>0</v>
      </c>
      <c r="N301" s="223">
        <f>VLOOKUP(C301,'Talente &amp; Stuff'!CL:DM,12,FALSE)</f>
        <v>0</v>
      </c>
      <c r="O301" s="223">
        <f>VLOOKUP(C301,'Talente &amp; Stuff'!CL:DM,13,FALSE)</f>
        <v>0</v>
      </c>
      <c r="P301" s="224">
        <f>VLOOKUP(C301,'Talente &amp; Stuff'!CL:DM,14,FALSE)</f>
        <v>0</v>
      </c>
      <c r="Q301" s="237">
        <f>VLOOKUP(C301,'Talente &amp; Stuff'!CL:DM,15,FALSE)</f>
        <v>0</v>
      </c>
      <c r="R301" s="234">
        <f>VLOOKUP(C301,'Talente &amp; Stuff'!CL:DM,16,FALSE)</f>
        <v>0</v>
      </c>
      <c r="S301" s="224">
        <f>VLOOKUP(C301,'Talente &amp; Stuff'!CL:DM,17,FALSE)</f>
        <v>0</v>
      </c>
      <c r="T301" s="224">
        <f>VLOOKUP(C301,'Talente &amp; Stuff'!CL:DM,18,FALSE)</f>
        <v>0</v>
      </c>
      <c r="U301" s="222">
        <f>VLOOKUP(C301,'Talente &amp; Stuff'!CL:DM,19,FALSE)</f>
        <v>0</v>
      </c>
      <c r="V301" s="223">
        <f>VLOOKUP(C301,'Talente &amp; Stuff'!CL:DM,20,FALSE)</f>
        <v>0</v>
      </c>
      <c r="W301" s="243">
        <f>VLOOKUP(C301,'Talente &amp; Stuff'!CL:DM,21,FALSE)</f>
        <v>0</v>
      </c>
      <c r="X301" s="243">
        <f>VLOOKUP(C301,'Talente &amp; Stuff'!CL:DM,22,FALSE)</f>
        <v>0</v>
      </c>
      <c r="Y301" s="252">
        <f>VLOOKUP(C301,Ausgewählte_Zauber_Zauberbarden,110,FALSE)</f>
        <v>0</v>
      </c>
      <c r="Z301" s="309">
        <f>VLOOKUP(C301,Ausgewählte_Zauber_Zauberbarden,111,FALSE)</f>
        <v>0</v>
      </c>
      <c r="AA301" s="218">
        <f>VLOOKUP(C301,'Talente &amp; Stuff'!CL:DM,25,FALSE)</f>
        <v>0</v>
      </c>
      <c r="AB301" s="242">
        <f>VLOOKUP(C301,'Talente &amp; Stuff'!CL:DM,26,FALSE)</f>
        <v>0</v>
      </c>
      <c r="AC301" s="243">
        <f>VLOOKUP(C301,'Talente &amp; Stuff'!CL:DM,27,FALSE)</f>
        <v>0</v>
      </c>
      <c r="AD301" s="218">
        <f>VLOOKUP(C301,'Talente &amp; Stuff'!CL:DM,28,FALSE)</f>
        <v>0</v>
      </c>
      <c r="AE301" s="343"/>
    </row>
    <row r="302" spans="1:31" s="217" customFormat="1" hidden="1" outlineLevel="2">
      <c r="A302" s="185"/>
      <c r="B302" s="217">
        <v>5</v>
      </c>
      <c r="C302" s="303" t="str">
        <f>Attribute!C302</f>
        <v>---</v>
      </c>
      <c r="D302" s="218" t="str">
        <f>VLOOKUP(C302,'Talente &amp; Stuff'!CL:DM,2,FALSE)</f>
        <v>--/--/--</v>
      </c>
      <c r="E302" s="243" t="str">
        <f>VLOOKUP(C302,'Talente &amp; Stuff'!CL:DM,3,FALSE)</f>
        <v>-</v>
      </c>
      <c r="F302" s="237">
        <f>VLOOKUP(C302,'Talente &amp; Stuff'!CL:DM,4,FALSE)</f>
        <v>0</v>
      </c>
      <c r="G302" s="234">
        <f>VLOOKUP(C302,'Talente &amp; Stuff'!CL:DM,5,FALSE)</f>
        <v>0</v>
      </c>
      <c r="H302" s="234">
        <f>VLOOKUP(C302,'Talente &amp; Stuff'!CL:DM,6,FALSE)</f>
        <v>0</v>
      </c>
      <c r="I302" s="234">
        <f>VLOOKUP(C302,'Talente &amp; Stuff'!CL:DM,7,FALSE)</f>
        <v>0</v>
      </c>
      <c r="J302" s="234">
        <f>VLOOKUP(C302,'Talente &amp; Stuff'!CL:DM,8,FALSE)</f>
        <v>0</v>
      </c>
      <c r="K302" s="234">
        <f>VLOOKUP(C302,'Talente &amp; Stuff'!CL:DM,9,FALSE)</f>
        <v>0</v>
      </c>
      <c r="L302" s="234">
        <f>VLOOKUP(C302,'Talente &amp; Stuff'!CL:DM,10,FALSE)</f>
        <v>0</v>
      </c>
      <c r="M302" s="224">
        <f>VLOOKUP(C302,'Talente &amp; Stuff'!CL:DM,11,FALSE)</f>
        <v>0</v>
      </c>
      <c r="N302" s="223">
        <f>VLOOKUP(C302,'Talente &amp; Stuff'!CL:DM,12,FALSE)</f>
        <v>0</v>
      </c>
      <c r="O302" s="223">
        <f>VLOOKUP(C302,'Talente &amp; Stuff'!CL:DM,13,FALSE)</f>
        <v>0</v>
      </c>
      <c r="P302" s="224">
        <f>VLOOKUP(C302,'Talente &amp; Stuff'!CL:DM,14,FALSE)</f>
        <v>0</v>
      </c>
      <c r="Q302" s="237">
        <f>VLOOKUP(C302,'Talente &amp; Stuff'!CL:DM,15,FALSE)</f>
        <v>0</v>
      </c>
      <c r="R302" s="234">
        <f>VLOOKUP(C302,'Talente &amp; Stuff'!CL:DM,16,FALSE)</f>
        <v>0</v>
      </c>
      <c r="S302" s="224">
        <f>VLOOKUP(C302,'Talente &amp; Stuff'!CL:DM,17,FALSE)</f>
        <v>0</v>
      </c>
      <c r="T302" s="224">
        <f>VLOOKUP(C302,'Talente &amp; Stuff'!CL:DM,18,FALSE)</f>
        <v>0</v>
      </c>
      <c r="U302" s="222">
        <f>VLOOKUP(C302,'Talente &amp; Stuff'!CL:DM,19,FALSE)</f>
        <v>0</v>
      </c>
      <c r="V302" s="223">
        <f>VLOOKUP(C302,'Talente &amp; Stuff'!CL:DM,20,FALSE)</f>
        <v>0</v>
      </c>
      <c r="W302" s="243">
        <f>VLOOKUP(C302,'Talente &amp; Stuff'!CL:DM,21,FALSE)</f>
        <v>0</v>
      </c>
      <c r="X302" s="243">
        <f>VLOOKUP(C302,'Talente &amp; Stuff'!CL:DM,22,FALSE)</f>
        <v>0</v>
      </c>
      <c r="Y302" s="252">
        <f>VLOOKUP(C302,Ausgewählte_Zauber_Zauberbarden,110,FALSE)</f>
        <v>0</v>
      </c>
      <c r="Z302" s="309">
        <f>VLOOKUP(C302,Ausgewählte_Zauber_Zauberbarden,111,FALSE)</f>
        <v>0</v>
      </c>
      <c r="AA302" s="218">
        <f>VLOOKUP(C302,'Talente &amp; Stuff'!CL:DM,25,FALSE)</f>
        <v>0</v>
      </c>
      <c r="AB302" s="242">
        <f>VLOOKUP(C302,'Talente &amp; Stuff'!CL:DM,26,FALSE)</f>
        <v>0</v>
      </c>
      <c r="AC302" s="243">
        <f>VLOOKUP(C302,'Talente &amp; Stuff'!CL:DM,27,FALSE)</f>
        <v>0</v>
      </c>
      <c r="AD302" s="218">
        <f>VLOOKUP(C302,'Talente &amp; Stuff'!CL:DM,28,FALSE)</f>
        <v>0</v>
      </c>
      <c r="AE302" s="343"/>
    </row>
    <row r="303" spans="1:31" s="217" customFormat="1" hidden="1" outlineLevel="2">
      <c r="A303" s="185"/>
      <c r="B303" s="217">
        <v>6</v>
      </c>
      <c r="C303" s="303" t="str">
        <f>Attribute!C303</f>
        <v>---</v>
      </c>
      <c r="D303" s="218" t="str">
        <f>VLOOKUP(C303,'Talente &amp; Stuff'!CL:DM,2,FALSE)</f>
        <v>--/--/--</v>
      </c>
      <c r="E303" s="243" t="str">
        <f>VLOOKUP(C303,'Talente &amp; Stuff'!CL:DM,3,FALSE)</f>
        <v>-</v>
      </c>
      <c r="F303" s="237">
        <f>VLOOKUP(C303,'Talente &amp; Stuff'!CL:DM,4,FALSE)</f>
        <v>0</v>
      </c>
      <c r="G303" s="234">
        <f>VLOOKUP(C303,'Talente &amp; Stuff'!CL:DM,5,FALSE)</f>
        <v>0</v>
      </c>
      <c r="H303" s="234">
        <f>VLOOKUP(C303,'Talente &amp; Stuff'!CL:DM,6,FALSE)</f>
        <v>0</v>
      </c>
      <c r="I303" s="234">
        <f>VLOOKUP(C303,'Talente &amp; Stuff'!CL:DM,7,FALSE)</f>
        <v>0</v>
      </c>
      <c r="J303" s="234">
        <f>VLOOKUP(C303,'Talente &amp; Stuff'!CL:DM,8,FALSE)</f>
        <v>0</v>
      </c>
      <c r="K303" s="234">
        <f>VLOOKUP(C303,'Talente &amp; Stuff'!CL:DM,9,FALSE)</f>
        <v>0</v>
      </c>
      <c r="L303" s="234">
        <f>VLOOKUP(C303,'Talente &amp; Stuff'!CL:DM,10,FALSE)</f>
        <v>0</v>
      </c>
      <c r="M303" s="224">
        <f>VLOOKUP(C303,'Talente &amp; Stuff'!CL:DM,11,FALSE)</f>
        <v>0</v>
      </c>
      <c r="N303" s="223">
        <f>VLOOKUP(C303,'Talente &amp; Stuff'!CL:DM,12,FALSE)</f>
        <v>0</v>
      </c>
      <c r="O303" s="223">
        <f>VLOOKUP(C303,'Talente &amp; Stuff'!CL:DM,13,FALSE)</f>
        <v>0</v>
      </c>
      <c r="P303" s="224">
        <f>VLOOKUP(C303,'Talente &amp; Stuff'!CL:DM,14,FALSE)</f>
        <v>0</v>
      </c>
      <c r="Q303" s="237">
        <f>VLOOKUP(C303,'Talente &amp; Stuff'!CL:DM,15,FALSE)</f>
        <v>0</v>
      </c>
      <c r="R303" s="234">
        <f>VLOOKUP(C303,'Talente &amp; Stuff'!CL:DM,16,FALSE)</f>
        <v>0</v>
      </c>
      <c r="S303" s="224">
        <f>VLOOKUP(C303,'Talente &amp; Stuff'!CL:DM,17,FALSE)</f>
        <v>0</v>
      </c>
      <c r="T303" s="224">
        <f>VLOOKUP(C303,'Talente &amp; Stuff'!CL:DM,18,FALSE)</f>
        <v>0</v>
      </c>
      <c r="U303" s="222">
        <f>VLOOKUP(C303,'Talente &amp; Stuff'!CL:DM,19,FALSE)</f>
        <v>0</v>
      </c>
      <c r="V303" s="223">
        <f>VLOOKUP(C303,'Talente &amp; Stuff'!CL:DM,20,FALSE)</f>
        <v>0</v>
      </c>
      <c r="W303" s="243">
        <f>VLOOKUP(C303,'Talente &amp; Stuff'!CL:DM,21,FALSE)</f>
        <v>0</v>
      </c>
      <c r="X303" s="243">
        <f>VLOOKUP(C303,'Talente &amp; Stuff'!CL:DM,22,FALSE)</f>
        <v>0</v>
      </c>
      <c r="Y303" s="252">
        <f>VLOOKUP(C303,Ausgewählte_Zauber_Zauberbarden,110,FALSE)</f>
        <v>0</v>
      </c>
      <c r="Z303" s="309">
        <f>VLOOKUP(C303,Ausgewählte_Zauber_Zauberbarden,111,FALSE)</f>
        <v>0</v>
      </c>
      <c r="AA303" s="218">
        <f>VLOOKUP(C303,'Talente &amp; Stuff'!CL:DM,25,FALSE)</f>
        <v>0</v>
      </c>
      <c r="AB303" s="242">
        <f>VLOOKUP(C303,'Talente &amp; Stuff'!CL:DM,26,FALSE)</f>
        <v>0</v>
      </c>
      <c r="AC303" s="243">
        <f>VLOOKUP(C303,'Talente &amp; Stuff'!CL:DM,27,FALSE)</f>
        <v>0</v>
      </c>
      <c r="AD303" s="218">
        <f>VLOOKUP(C303,'Talente &amp; Stuff'!CL:DM,28,FALSE)</f>
        <v>0</v>
      </c>
      <c r="AE303" s="343"/>
    </row>
    <row r="304" spans="1:31" s="217" customFormat="1" hidden="1" outlineLevel="2">
      <c r="A304" s="185"/>
      <c r="B304" s="217">
        <v>7</v>
      </c>
      <c r="C304" s="303" t="str">
        <f>Attribute!C304</f>
        <v>---</v>
      </c>
      <c r="D304" s="218" t="str">
        <f>VLOOKUP(C304,'Talente &amp; Stuff'!CL:DM,2,FALSE)</f>
        <v>--/--/--</v>
      </c>
      <c r="E304" s="243" t="str">
        <f>VLOOKUP(C304,'Talente &amp; Stuff'!CL:DM,3,FALSE)</f>
        <v>-</v>
      </c>
      <c r="F304" s="237">
        <f>VLOOKUP(C304,'Talente &amp; Stuff'!CL:DM,4,FALSE)</f>
        <v>0</v>
      </c>
      <c r="G304" s="234">
        <f>VLOOKUP(C304,'Talente &amp; Stuff'!CL:DM,5,FALSE)</f>
        <v>0</v>
      </c>
      <c r="H304" s="234">
        <f>VLOOKUP(C304,'Talente &amp; Stuff'!CL:DM,6,FALSE)</f>
        <v>0</v>
      </c>
      <c r="I304" s="234">
        <f>VLOOKUP(C304,'Talente &amp; Stuff'!CL:DM,7,FALSE)</f>
        <v>0</v>
      </c>
      <c r="J304" s="234">
        <f>VLOOKUP(C304,'Talente &amp; Stuff'!CL:DM,8,FALSE)</f>
        <v>0</v>
      </c>
      <c r="K304" s="234">
        <f>VLOOKUP(C304,'Talente &amp; Stuff'!CL:DM,9,FALSE)</f>
        <v>0</v>
      </c>
      <c r="L304" s="234">
        <f>VLOOKUP(C304,'Talente &amp; Stuff'!CL:DM,10,FALSE)</f>
        <v>0</v>
      </c>
      <c r="M304" s="224">
        <f>VLOOKUP(C304,'Talente &amp; Stuff'!CL:DM,11,FALSE)</f>
        <v>0</v>
      </c>
      <c r="N304" s="223">
        <f>VLOOKUP(C304,'Talente &amp; Stuff'!CL:DM,12,FALSE)</f>
        <v>0</v>
      </c>
      <c r="O304" s="223">
        <f>VLOOKUP(C304,'Talente &amp; Stuff'!CL:DM,13,FALSE)</f>
        <v>0</v>
      </c>
      <c r="P304" s="224">
        <f>VLOOKUP(C304,'Talente &amp; Stuff'!CL:DM,14,FALSE)</f>
        <v>0</v>
      </c>
      <c r="Q304" s="237">
        <f>VLOOKUP(C304,'Talente &amp; Stuff'!CL:DM,15,FALSE)</f>
        <v>0</v>
      </c>
      <c r="R304" s="234">
        <f>VLOOKUP(C304,'Talente &amp; Stuff'!CL:DM,16,FALSE)</f>
        <v>0</v>
      </c>
      <c r="S304" s="224">
        <f>VLOOKUP(C304,'Talente &amp; Stuff'!CL:DM,17,FALSE)</f>
        <v>0</v>
      </c>
      <c r="T304" s="224">
        <f>VLOOKUP(C304,'Talente &amp; Stuff'!CL:DM,18,FALSE)</f>
        <v>0</v>
      </c>
      <c r="U304" s="222">
        <f>VLOOKUP(C304,'Talente &amp; Stuff'!CL:DM,19,FALSE)</f>
        <v>0</v>
      </c>
      <c r="V304" s="223">
        <f>VLOOKUP(C304,'Talente &amp; Stuff'!CL:DM,20,FALSE)</f>
        <v>0</v>
      </c>
      <c r="W304" s="243">
        <f>VLOOKUP(C304,'Talente &amp; Stuff'!CL:DM,21,FALSE)</f>
        <v>0</v>
      </c>
      <c r="X304" s="243">
        <f>VLOOKUP(C304,'Talente &amp; Stuff'!CL:DM,22,FALSE)</f>
        <v>0</v>
      </c>
      <c r="Y304" s="252">
        <f>VLOOKUP(C304,Ausgewählte_Zauber_Zauberbarden,110,FALSE)</f>
        <v>0</v>
      </c>
      <c r="Z304" s="309">
        <f>VLOOKUP(C304,Ausgewählte_Zauber_Zauberbarden,111,FALSE)</f>
        <v>0</v>
      </c>
      <c r="AA304" s="218">
        <f>VLOOKUP(C304,'Talente &amp; Stuff'!CL:DM,25,FALSE)</f>
        <v>0</v>
      </c>
      <c r="AB304" s="242">
        <f>VLOOKUP(C304,'Talente &amp; Stuff'!CL:DM,26,FALSE)</f>
        <v>0</v>
      </c>
      <c r="AC304" s="243">
        <f>VLOOKUP(C304,'Talente &amp; Stuff'!CL:DM,27,FALSE)</f>
        <v>0</v>
      </c>
      <c r="AD304" s="218">
        <f>VLOOKUP(C304,'Talente &amp; Stuff'!CL:DM,28,FALSE)</f>
        <v>0</v>
      </c>
      <c r="AE304" s="343"/>
    </row>
    <row r="305" spans="1:31" s="217" customFormat="1" hidden="1" outlineLevel="2">
      <c r="A305" s="185"/>
      <c r="B305" s="217">
        <v>8</v>
      </c>
      <c r="C305" s="303" t="str">
        <f>Attribute!C305</f>
        <v>---</v>
      </c>
      <c r="D305" s="218" t="str">
        <f>VLOOKUP(C305,'Talente &amp; Stuff'!CL:DM,2,FALSE)</f>
        <v>--/--/--</v>
      </c>
      <c r="E305" s="243" t="str">
        <f>VLOOKUP(C305,'Talente &amp; Stuff'!CL:DM,3,FALSE)</f>
        <v>-</v>
      </c>
      <c r="F305" s="237">
        <f>VLOOKUP(C305,'Talente &amp; Stuff'!CL:DM,4,FALSE)</f>
        <v>0</v>
      </c>
      <c r="G305" s="234">
        <f>VLOOKUP(C305,'Talente &amp; Stuff'!CL:DM,5,FALSE)</f>
        <v>0</v>
      </c>
      <c r="H305" s="234">
        <f>VLOOKUP(C305,'Talente &amp; Stuff'!CL:DM,6,FALSE)</f>
        <v>0</v>
      </c>
      <c r="I305" s="234">
        <f>VLOOKUP(C305,'Talente &amp; Stuff'!CL:DM,7,FALSE)</f>
        <v>0</v>
      </c>
      <c r="J305" s="234">
        <f>VLOOKUP(C305,'Talente &amp; Stuff'!CL:DM,8,FALSE)</f>
        <v>0</v>
      </c>
      <c r="K305" s="234">
        <f>VLOOKUP(C305,'Talente &amp; Stuff'!CL:DM,9,FALSE)</f>
        <v>0</v>
      </c>
      <c r="L305" s="234">
        <f>VLOOKUP(C305,'Talente &amp; Stuff'!CL:DM,10,FALSE)</f>
        <v>0</v>
      </c>
      <c r="M305" s="224">
        <f>VLOOKUP(C305,'Talente &amp; Stuff'!CL:DM,11,FALSE)</f>
        <v>0</v>
      </c>
      <c r="N305" s="223">
        <f>VLOOKUP(C305,'Talente &amp; Stuff'!CL:DM,12,FALSE)</f>
        <v>0</v>
      </c>
      <c r="O305" s="223">
        <f>VLOOKUP(C305,'Talente &amp; Stuff'!CL:DM,13,FALSE)</f>
        <v>0</v>
      </c>
      <c r="P305" s="224">
        <f>VLOOKUP(C305,'Talente &amp; Stuff'!CL:DM,14,FALSE)</f>
        <v>0</v>
      </c>
      <c r="Q305" s="237">
        <f>VLOOKUP(C305,'Talente &amp; Stuff'!CL:DM,15,FALSE)</f>
        <v>0</v>
      </c>
      <c r="R305" s="234">
        <f>VLOOKUP(C305,'Talente &amp; Stuff'!CL:DM,16,FALSE)</f>
        <v>0</v>
      </c>
      <c r="S305" s="224">
        <f>VLOOKUP(C305,'Talente &amp; Stuff'!CL:DM,17,FALSE)</f>
        <v>0</v>
      </c>
      <c r="T305" s="224">
        <f>VLOOKUP(C305,'Talente &amp; Stuff'!CL:DM,18,FALSE)</f>
        <v>0</v>
      </c>
      <c r="U305" s="222">
        <f>VLOOKUP(C305,'Talente &amp; Stuff'!CL:DM,19,FALSE)</f>
        <v>0</v>
      </c>
      <c r="V305" s="223">
        <f>VLOOKUP(C305,'Talente &amp; Stuff'!CL:DM,20,FALSE)</f>
        <v>0</v>
      </c>
      <c r="W305" s="243">
        <f>VLOOKUP(C305,'Talente &amp; Stuff'!CL:DM,21,FALSE)</f>
        <v>0</v>
      </c>
      <c r="X305" s="243">
        <f>VLOOKUP(C305,'Talente &amp; Stuff'!CL:DM,22,FALSE)</f>
        <v>0</v>
      </c>
      <c r="Y305" s="252">
        <f>VLOOKUP(C305,Ausgewählte_Zauber_Zauberbarden,110,FALSE)</f>
        <v>0</v>
      </c>
      <c r="Z305" s="309">
        <f>VLOOKUP(C305,Ausgewählte_Zauber_Zauberbarden,111,FALSE)</f>
        <v>0</v>
      </c>
      <c r="AA305" s="218">
        <f>VLOOKUP(C305,'Talente &amp; Stuff'!CL:DM,25,FALSE)</f>
        <v>0</v>
      </c>
      <c r="AB305" s="242">
        <f>VLOOKUP(C305,'Talente &amp; Stuff'!CL:DM,26,FALSE)</f>
        <v>0</v>
      </c>
      <c r="AC305" s="243">
        <f>VLOOKUP(C305,'Talente &amp; Stuff'!CL:DM,27,FALSE)</f>
        <v>0</v>
      </c>
      <c r="AD305" s="218">
        <f>VLOOKUP(C305,'Talente &amp; Stuff'!CL:DM,28,FALSE)</f>
        <v>0</v>
      </c>
      <c r="AE305" s="343"/>
    </row>
    <row r="306" spans="1:31" s="217" customFormat="1" hidden="1" outlineLevel="2">
      <c r="A306" s="185"/>
      <c r="B306" s="217">
        <v>9</v>
      </c>
      <c r="C306" s="303" t="str">
        <f>Attribute!C306</f>
        <v>---</v>
      </c>
      <c r="D306" s="218" t="str">
        <f>VLOOKUP(C306,'Talente &amp; Stuff'!CL:DM,2,FALSE)</f>
        <v>--/--/--</v>
      </c>
      <c r="E306" s="243" t="str">
        <f>VLOOKUP(C306,'Talente &amp; Stuff'!CL:DM,3,FALSE)</f>
        <v>-</v>
      </c>
      <c r="F306" s="237">
        <f>VLOOKUP(C306,'Talente &amp; Stuff'!CL:DM,4,FALSE)</f>
        <v>0</v>
      </c>
      <c r="G306" s="234">
        <f>VLOOKUP(C306,'Talente &amp; Stuff'!CL:DM,5,FALSE)</f>
        <v>0</v>
      </c>
      <c r="H306" s="234">
        <f>VLOOKUP(C306,'Talente &amp; Stuff'!CL:DM,6,FALSE)</f>
        <v>0</v>
      </c>
      <c r="I306" s="234">
        <f>VLOOKUP(C306,'Talente &amp; Stuff'!CL:DM,7,FALSE)</f>
        <v>0</v>
      </c>
      <c r="J306" s="234">
        <f>VLOOKUP(C306,'Talente &amp; Stuff'!CL:DM,8,FALSE)</f>
        <v>0</v>
      </c>
      <c r="K306" s="234">
        <f>VLOOKUP(C306,'Talente &amp; Stuff'!CL:DM,9,FALSE)</f>
        <v>0</v>
      </c>
      <c r="L306" s="234">
        <f>VLOOKUP(C306,'Talente &amp; Stuff'!CL:DM,10,FALSE)</f>
        <v>0</v>
      </c>
      <c r="M306" s="224">
        <f>VLOOKUP(C306,'Talente &amp; Stuff'!CL:DM,11,FALSE)</f>
        <v>0</v>
      </c>
      <c r="N306" s="223">
        <f>VLOOKUP(C306,'Talente &amp; Stuff'!CL:DM,12,FALSE)</f>
        <v>0</v>
      </c>
      <c r="O306" s="223">
        <f>VLOOKUP(C306,'Talente &amp; Stuff'!CL:DM,13,FALSE)</f>
        <v>0</v>
      </c>
      <c r="P306" s="224">
        <f>VLOOKUP(C306,'Talente &amp; Stuff'!CL:DM,14,FALSE)</f>
        <v>0</v>
      </c>
      <c r="Q306" s="237">
        <f>VLOOKUP(C306,'Talente &amp; Stuff'!CL:DM,15,FALSE)</f>
        <v>0</v>
      </c>
      <c r="R306" s="234">
        <f>VLOOKUP(C306,'Talente &amp; Stuff'!CL:DM,16,FALSE)</f>
        <v>0</v>
      </c>
      <c r="S306" s="224">
        <f>VLOOKUP(C306,'Talente &amp; Stuff'!CL:DM,17,FALSE)</f>
        <v>0</v>
      </c>
      <c r="T306" s="224">
        <f>VLOOKUP(C306,'Talente &amp; Stuff'!CL:DM,18,FALSE)</f>
        <v>0</v>
      </c>
      <c r="U306" s="222">
        <f>VLOOKUP(C306,'Talente &amp; Stuff'!CL:DM,19,FALSE)</f>
        <v>0</v>
      </c>
      <c r="V306" s="223">
        <f>VLOOKUP(C306,'Talente &amp; Stuff'!CL:DM,20,FALSE)</f>
        <v>0</v>
      </c>
      <c r="W306" s="243">
        <f>VLOOKUP(C306,'Talente &amp; Stuff'!CL:DM,21,FALSE)</f>
        <v>0</v>
      </c>
      <c r="X306" s="243">
        <f>VLOOKUP(C306,'Talente &amp; Stuff'!CL:DM,22,FALSE)</f>
        <v>0</v>
      </c>
      <c r="Y306" s="252">
        <f>VLOOKUP(C306,Ausgewählte_Zauber_Zauberbarden,110,FALSE)</f>
        <v>0</v>
      </c>
      <c r="Z306" s="309">
        <f>VLOOKUP(C306,Ausgewählte_Zauber_Zauberbarden,111,FALSE)</f>
        <v>0</v>
      </c>
      <c r="AA306" s="218">
        <f>VLOOKUP(C306,'Talente &amp; Stuff'!CL:DM,25,FALSE)</f>
        <v>0</v>
      </c>
      <c r="AB306" s="242">
        <f>VLOOKUP(C306,'Talente &amp; Stuff'!CL:DM,26,FALSE)</f>
        <v>0</v>
      </c>
      <c r="AC306" s="243">
        <f>VLOOKUP(C306,'Talente &amp; Stuff'!CL:DM,27,FALSE)</f>
        <v>0</v>
      </c>
      <c r="AD306" s="218">
        <f>VLOOKUP(C306,'Talente &amp; Stuff'!CL:DM,28,FALSE)</f>
        <v>0</v>
      </c>
      <c r="AE306" s="343"/>
    </row>
    <row r="307" spans="1:31" s="217" customFormat="1" hidden="1" outlineLevel="2">
      <c r="A307" s="185"/>
      <c r="B307" s="217">
        <v>10</v>
      </c>
      <c r="C307" s="303" t="str">
        <f>Attribute!C307</f>
        <v>---</v>
      </c>
      <c r="D307" s="218" t="str">
        <f>VLOOKUP(C307,'Talente &amp; Stuff'!CL:DM,2,FALSE)</f>
        <v>--/--/--</v>
      </c>
      <c r="E307" s="243" t="str">
        <f>VLOOKUP(C307,'Talente &amp; Stuff'!CL:DM,3,FALSE)</f>
        <v>-</v>
      </c>
      <c r="F307" s="237">
        <f>VLOOKUP(C307,'Talente &amp; Stuff'!CL:DM,4,FALSE)</f>
        <v>0</v>
      </c>
      <c r="G307" s="234">
        <f>VLOOKUP(C307,'Talente &amp; Stuff'!CL:DM,5,FALSE)</f>
        <v>0</v>
      </c>
      <c r="H307" s="234">
        <f>VLOOKUP(C307,'Talente &amp; Stuff'!CL:DM,6,FALSE)</f>
        <v>0</v>
      </c>
      <c r="I307" s="234">
        <f>VLOOKUP(C307,'Talente &amp; Stuff'!CL:DM,7,FALSE)</f>
        <v>0</v>
      </c>
      <c r="J307" s="234">
        <f>VLOOKUP(C307,'Talente &amp; Stuff'!CL:DM,8,FALSE)</f>
        <v>0</v>
      </c>
      <c r="K307" s="234">
        <f>VLOOKUP(C307,'Talente &amp; Stuff'!CL:DM,9,FALSE)</f>
        <v>0</v>
      </c>
      <c r="L307" s="234">
        <f>VLOOKUP(C307,'Talente &amp; Stuff'!CL:DM,10,FALSE)</f>
        <v>0</v>
      </c>
      <c r="M307" s="224">
        <f>VLOOKUP(C307,'Talente &amp; Stuff'!CL:DM,11,FALSE)</f>
        <v>0</v>
      </c>
      <c r="N307" s="223">
        <f>VLOOKUP(C307,'Talente &amp; Stuff'!CL:DM,12,FALSE)</f>
        <v>0</v>
      </c>
      <c r="O307" s="223">
        <f>VLOOKUP(C307,'Talente &amp; Stuff'!CL:DM,13,FALSE)</f>
        <v>0</v>
      </c>
      <c r="P307" s="224">
        <f>VLOOKUP(C307,'Talente &amp; Stuff'!CL:DM,14,FALSE)</f>
        <v>0</v>
      </c>
      <c r="Q307" s="237">
        <f>VLOOKUP(C307,'Talente &amp; Stuff'!CL:DM,15,FALSE)</f>
        <v>0</v>
      </c>
      <c r="R307" s="234">
        <f>VLOOKUP(C307,'Talente &amp; Stuff'!CL:DM,16,FALSE)</f>
        <v>0</v>
      </c>
      <c r="S307" s="224">
        <f>VLOOKUP(C307,'Talente &amp; Stuff'!CL:DM,17,FALSE)</f>
        <v>0</v>
      </c>
      <c r="T307" s="224">
        <f>VLOOKUP(C307,'Talente &amp; Stuff'!CL:DM,18,FALSE)</f>
        <v>0</v>
      </c>
      <c r="U307" s="222">
        <f>VLOOKUP(C307,'Talente &amp; Stuff'!CL:DM,19,FALSE)</f>
        <v>0</v>
      </c>
      <c r="V307" s="223">
        <f>VLOOKUP(C307,'Talente &amp; Stuff'!CL:DM,20,FALSE)</f>
        <v>0</v>
      </c>
      <c r="W307" s="243">
        <f>VLOOKUP(C307,'Talente &amp; Stuff'!CL:DM,21,FALSE)</f>
        <v>0</v>
      </c>
      <c r="X307" s="243">
        <f>VLOOKUP(C307,'Talente &amp; Stuff'!CL:DM,22,FALSE)</f>
        <v>0</v>
      </c>
      <c r="Y307" s="252">
        <f>VLOOKUP(C307,Ausgewählte_Zauber_Zauberbarden,110,FALSE)</f>
        <v>0</v>
      </c>
      <c r="Z307" s="309">
        <f>VLOOKUP(C307,Ausgewählte_Zauber_Zauberbarden,111,FALSE)</f>
        <v>0</v>
      </c>
      <c r="AA307" s="218">
        <f>VLOOKUP(C307,'Talente &amp; Stuff'!CL:DM,25,FALSE)</f>
        <v>0</v>
      </c>
      <c r="AB307" s="242">
        <f>VLOOKUP(C307,'Talente &amp; Stuff'!CL:DM,26,FALSE)</f>
        <v>0</v>
      </c>
      <c r="AC307" s="243">
        <f>VLOOKUP(C307,'Talente &amp; Stuff'!CL:DM,27,FALSE)</f>
        <v>0</v>
      </c>
      <c r="AD307" s="218">
        <f>VLOOKUP(C307,'Talente &amp; Stuff'!CL:DM,28,FALSE)</f>
        <v>0</v>
      </c>
      <c r="AE307" s="343"/>
    </row>
    <row r="308" spans="1:31" s="217" customFormat="1" hidden="1" outlineLevel="2">
      <c r="A308" s="185"/>
      <c r="B308" s="217">
        <v>11</v>
      </c>
      <c r="C308" s="303" t="str">
        <f>Attribute!C308</f>
        <v>---</v>
      </c>
      <c r="D308" s="218" t="str">
        <f>VLOOKUP(C308,'Talente &amp; Stuff'!CL:DM,2,FALSE)</f>
        <v>--/--/--</v>
      </c>
      <c r="E308" s="243" t="str">
        <f>VLOOKUP(C308,'Talente &amp; Stuff'!CL:DM,3,FALSE)</f>
        <v>-</v>
      </c>
      <c r="F308" s="237">
        <f>VLOOKUP(C308,'Talente &amp; Stuff'!CL:DM,4,FALSE)</f>
        <v>0</v>
      </c>
      <c r="G308" s="234">
        <f>VLOOKUP(C308,'Talente &amp; Stuff'!CL:DM,5,FALSE)</f>
        <v>0</v>
      </c>
      <c r="H308" s="234">
        <f>VLOOKUP(C308,'Talente &amp; Stuff'!CL:DM,6,FALSE)</f>
        <v>0</v>
      </c>
      <c r="I308" s="234">
        <f>VLOOKUP(C308,'Talente &amp; Stuff'!CL:DM,7,FALSE)</f>
        <v>0</v>
      </c>
      <c r="J308" s="234">
        <f>VLOOKUP(C308,'Talente &amp; Stuff'!CL:DM,8,FALSE)</f>
        <v>0</v>
      </c>
      <c r="K308" s="234">
        <f>VLOOKUP(C308,'Talente &amp; Stuff'!CL:DM,9,FALSE)</f>
        <v>0</v>
      </c>
      <c r="L308" s="234">
        <f>VLOOKUP(C308,'Talente &amp; Stuff'!CL:DM,10,FALSE)</f>
        <v>0</v>
      </c>
      <c r="M308" s="224">
        <f>VLOOKUP(C308,'Talente &amp; Stuff'!CL:DM,11,FALSE)</f>
        <v>0</v>
      </c>
      <c r="N308" s="223">
        <f>VLOOKUP(C308,'Talente &amp; Stuff'!CL:DM,12,FALSE)</f>
        <v>0</v>
      </c>
      <c r="O308" s="223">
        <f>VLOOKUP(C308,'Talente &amp; Stuff'!CL:DM,13,FALSE)</f>
        <v>0</v>
      </c>
      <c r="P308" s="224">
        <f>VLOOKUP(C308,'Talente &amp; Stuff'!CL:DM,14,FALSE)</f>
        <v>0</v>
      </c>
      <c r="Q308" s="237">
        <f>VLOOKUP(C308,'Talente &amp; Stuff'!CL:DM,15,FALSE)</f>
        <v>0</v>
      </c>
      <c r="R308" s="234">
        <f>VLOOKUP(C308,'Talente &amp; Stuff'!CL:DM,16,FALSE)</f>
        <v>0</v>
      </c>
      <c r="S308" s="224">
        <f>VLOOKUP(C308,'Talente &amp; Stuff'!CL:DM,17,FALSE)</f>
        <v>0</v>
      </c>
      <c r="T308" s="224">
        <f>VLOOKUP(C308,'Talente &amp; Stuff'!CL:DM,18,FALSE)</f>
        <v>0</v>
      </c>
      <c r="U308" s="222">
        <f>VLOOKUP(C308,'Talente &amp; Stuff'!CL:DM,19,FALSE)</f>
        <v>0</v>
      </c>
      <c r="V308" s="223">
        <f>VLOOKUP(C308,'Talente &amp; Stuff'!CL:DM,20,FALSE)</f>
        <v>0</v>
      </c>
      <c r="W308" s="243">
        <f>VLOOKUP(C308,'Talente &amp; Stuff'!CL:DM,21,FALSE)</f>
        <v>0</v>
      </c>
      <c r="X308" s="243">
        <f>VLOOKUP(C308,'Talente &amp; Stuff'!CL:DM,22,FALSE)</f>
        <v>0</v>
      </c>
      <c r="Y308" s="252">
        <f>VLOOKUP(C308,Ausgewählte_Zauber_Zauberbarden,110,FALSE)</f>
        <v>0</v>
      </c>
      <c r="Z308" s="309">
        <f>VLOOKUP(C308,Ausgewählte_Zauber_Zauberbarden,111,FALSE)</f>
        <v>0</v>
      </c>
      <c r="AA308" s="218">
        <f>VLOOKUP(C308,'Talente &amp; Stuff'!CL:DM,25,FALSE)</f>
        <v>0</v>
      </c>
      <c r="AB308" s="242">
        <f>VLOOKUP(C308,'Talente &amp; Stuff'!CL:DM,26,FALSE)</f>
        <v>0</v>
      </c>
      <c r="AC308" s="243">
        <f>VLOOKUP(C308,'Talente &amp; Stuff'!CL:DM,27,FALSE)</f>
        <v>0</v>
      </c>
      <c r="AD308" s="218">
        <f>VLOOKUP(C308,'Talente &amp; Stuff'!CL:DM,28,FALSE)</f>
        <v>0</v>
      </c>
      <c r="AE308" s="343"/>
    </row>
    <row r="309" spans="1:31" s="217" customFormat="1" hidden="1" outlineLevel="2">
      <c r="A309" s="185"/>
      <c r="B309" s="217">
        <v>12</v>
      </c>
      <c r="C309" s="303" t="str">
        <f>Attribute!C309</f>
        <v>---</v>
      </c>
      <c r="D309" s="218" t="str">
        <f>VLOOKUP(C309,'Talente &amp; Stuff'!CL:DM,2,FALSE)</f>
        <v>--/--/--</v>
      </c>
      <c r="E309" s="243" t="str">
        <f>VLOOKUP(C309,'Talente &amp; Stuff'!CL:DM,3,FALSE)</f>
        <v>-</v>
      </c>
      <c r="F309" s="237">
        <f>VLOOKUP(C309,'Talente &amp; Stuff'!CL:DM,4,FALSE)</f>
        <v>0</v>
      </c>
      <c r="G309" s="234">
        <f>VLOOKUP(C309,'Talente &amp; Stuff'!CL:DM,5,FALSE)</f>
        <v>0</v>
      </c>
      <c r="H309" s="234">
        <f>VLOOKUP(C309,'Talente &amp; Stuff'!CL:DM,6,FALSE)</f>
        <v>0</v>
      </c>
      <c r="I309" s="234">
        <f>VLOOKUP(C309,'Talente &amp; Stuff'!CL:DM,7,FALSE)</f>
        <v>0</v>
      </c>
      <c r="J309" s="234">
        <f>VLOOKUP(C309,'Talente &amp; Stuff'!CL:DM,8,FALSE)</f>
        <v>0</v>
      </c>
      <c r="K309" s="234">
        <f>VLOOKUP(C309,'Talente &amp; Stuff'!CL:DM,9,FALSE)</f>
        <v>0</v>
      </c>
      <c r="L309" s="234">
        <f>VLOOKUP(C309,'Talente &amp; Stuff'!CL:DM,10,FALSE)</f>
        <v>0</v>
      </c>
      <c r="M309" s="224">
        <f>VLOOKUP(C309,'Talente &amp; Stuff'!CL:DM,11,FALSE)</f>
        <v>0</v>
      </c>
      <c r="N309" s="223">
        <f>VLOOKUP(C309,'Talente &amp; Stuff'!CL:DM,12,FALSE)</f>
        <v>0</v>
      </c>
      <c r="O309" s="223">
        <f>VLOOKUP(C309,'Talente &amp; Stuff'!CL:DM,13,FALSE)</f>
        <v>0</v>
      </c>
      <c r="P309" s="224">
        <f>VLOOKUP(C309,'Talente &amp; Stuff'!CL:DM,14,FALSE)</f>
        <v>0</v>
      </c>
      <c r="Q309" s="237">
        <f>VLOOKUP(C309,'Talente &amp; Stuff'!CL:DM,15,FALSE)</f>
        <v>0</v>
      </c>
      <c r="R309" s="234">
        <f>VLOOKUP(C309,'Talente &amp; Stuff'!CL:DM,16,FALSE)</f>
        <v>0</v>
      </c>
      <c r="S309" s="224">
        <f>VLOOKUP(C309,'Talente &amp; Stuff'!CL:DM,17,FALSE)</f>
        <v>0</v>
      </c>
      <c r="T309" s="224">
        <f>VLOOKUP(C309,'Talente &amp; Stuff'!CL:DM,18,FALSE)</f>
        <v>0</v>
      </c>
      <c r="U309" s="222">
        <f>VLOOKUP(C309,'Talente &amp; Stuff'!CL:DM,19,FALSE)</f>
        <v>0</v>
      </c>
      <c r="V309" s="223">
        <f>VLOOKUP(C309,'Talente &amp; Stuff'!CL:DM,20,FALSE)</f>
        <v>0</v>
      </c>
      <c r="W309" s="243">
        <f>VLOOKUP(C309,'Talente &amp; Stuff'!CL:DM,21,FALSE)</f>
        <v>0</v>
      </c>
      <c r="X309" s="243">
        <f>VLOOKUP(C309,'Talente &amp; Stuff'!CL:DM,22,FALSE)</f>
        <v>0</v>
      </c>
      <c r="Y309" s="252">
        <f>VLOOKUP(C309,Ausgewählte_Zauber_Zauberbarden,110,FALSE)</f>
        <v>0</v>
      </c>
      <c r="Z309" s="309">
        <f>VLOOKUP(C309,Ausgewählte_Zauber_Zauberbarden,111,FALSE)</f>
        <v>0</v>
      </c>
      <c r="AA309" s="218">
        <f>VLOOKUP(C309,'Talente &amp; Stuff'!CL:DM,25,FALSE)</f>
        <v>0</v>
      </c>
      <c r="AB309" s="242">
        <f>VLOOKUP(C309,'Talente &amp; Stuff'!CL:DM,26,FALSE)</f>
        <v>0</v>
      </c>
      <c r="AC309" s="243">
        <f>VLOOKUP(C309,'Talente &amp; Stuff'!CL:DM,27,FALSE)</f>
        <v>0</v>
      </c>
      <c r="AD309" s="218">
        <f>VLOOKUP(C309,'Talente &amp; Stuff'!CL:DM,28,FALSE)</f>
        <v>0</v>
      </c>
      <c r="AE309" s="343"/>
    </row>
    <row r="310" spans="1:31" s="217" customFormat="1" hidden="1" outlineLevel="2">
      <c r="A310" s="185"/>
      <c r="B310" s="217">
        <v>13</v>
      </c>
      <c r="C310" s="303" t="str">
        <f>Attribute!C310</f>
        <v>---</v>
      </c>
      <c r="D310" s="218" t="str">
        <f>VLOOKUP(C310,'Talente &amp; Stuff'!CL:DM,2,FALSE)</f>
        <v>--/--/--</v>
      </c>
      <c r="E310" s="243" t="str">
        <f>VLOOKUP(C310,'Talente &amp; Stuff'!CL:DM,3,FALSE)</f>
        <v>-</v>
      </c>
      <c r="F310" s="237">
        <f>VLOOKUP(C310,'Talente &amp; Stuff'!CL:DM,4,FALSE)</f>
        <v>0</v>
      </c>
      <c r="G310" s="234">
        <f>VLOOKUP(C310,'Talente &amp; Stuff'!CL:DM,5,FALSE)</f>
        <v>0</v>
      </c>
      <c r="H310" s="234">
        <f>VLOOKUP(C310,'Talente &amp; Stuff'!CL:DM,6,FALSE)</f>
        <v>0</v>
      </c>
      <c r="I310" s="234">
        <f>VLOOKUP(C310,'Talente &amp; Stuff'!CL:DM,7,FALSE)</f>
        <v>0</v>
      </c>
      <c r="J310" s="234">
        <f>VLOOKUP(C310,'Talente &amp; Stuff'!CL:DM,8,FALSE)</f>
        <v>0</v>
      </c>
      <c r="K310" s="234">
        <f>VLOOKUP(C310,'Talente &amp; Stuff'!CL:DM,9,FALSE)</f>
        <v>0</v>
      </c>
      <c r="L310" s="234">
        <f>VLOOKUP(C310,'Talente &amp; Stuff'!CL:DM,10,FALSE)</f>
        <v>0</v>
      </c>
      <c r="M310" s="224">
        <f>VLOOKUP(C310,'Talente &amp; Stuff'!CL:DM,11,FALSE)</f>
        <v>0</v>
      </c>
      <c r="N310" s="223">
        <f>VLOOKUP(C310,'Talente &amp; Stuff'!CL:DM,12,FALSE)</f>
        <v>0</v>
      </c>
      <c r="O310" s="223">
        <f>VLOOKUP(C310,'Talente &amp; Stuff'!CL:DM,13,FALSE)</f>
        <v>0</v>
      </c>
      <c r="P310" s="224">
        <f>VLOOKUP(C310,'Talente &amp; Stuff'!CL:DM,14,FALSE)</f>
        <v>0</v>
      </c>
      <c r="Q310" s="237">
        <f>VLOOKUP(C310,'Talente &amp; Stuff'!CL:DM,15,FALSE)</f>
        <v>0</v>
      </c>
      <c r="R310" s="234">
        <f>VLOOKUP(C310,'Talente &amp; Stuff'!CL:DM,16,FALSE)</f>
        <v>0</v>
      </c>
      <c r="S310" s="224">
        <f>VLOOKUP(C310,'Talente &amp; Stuff'!CL:DM,17,FALSE)</f>
        <v>0</v>
      </c>
      <c r="T310" s="224">
        <f>VLOOKUP(C310,'Talente &amp; Stuff'!CL:DM,18,FALSE)</f>
        <v>0</v>
      </c>
      <c r="U310" s="222">
        <f>VLOOKUP(C310,'Talente &amp; Stuff'!CL:DM,19,FALSE)</f>
        <v>0</v>
      </c>
      <c r="V310" s="223">
        <f>VLOOKUP(C310,'Talente &amp; Stuff'!CL:DM,20,FALSE)</f>
        <v>0</v>
      </c>
      <c r="W310" s="243">
        <f>VLOOKUP(C310,'Talente &amp; Stuff'!CL:DM,21,FALSE)</f>
        <v>0</v>
      </c>
      <c r="X310" s="243">
        <f>VLOOKUP(C310,'Talente &amp; Stuff'!CL:DM,22,FALSE)</f>
        <v>0</v>
      </c>
      <c r="Y310" s="252">
        <f>VLOOKUP(C310,Ausgewählte_Zauber_Zauberbarden,110,FALSE)</f>
        <v>0</v>
      </c>
      <c r="Z310" s="309">
        <f>VLOOKUP(C310,Ausgewählte_Zauber_Zauberbarden,111,FALSE)</f>
        <v>0</v>
      </c>
      <c r="AA310" s="218">
        <f>VLOOKUP(C310,'Talente &amp; Stuff'!CL:DM,25,FALSE)</f>
        <v>0</v>
      </c>
      <c r="AB310" s="242">
        <f>VLOOKUP(C310,'Talente &amp; Stuff'!CL:DM,26,FALSE)</f>
        <v>0</v>
      </c>
      <c r="AC310" s="243">
        <f>VLOOKUP(C310,'Talente &amp; Stuff'!CL:DM,27,FALSE)</f>
        <v>0</v>
      </c>
      <c r="AD310" s="218">
        <f>VLOOKUP(C310,'Talente &amp; Stuff'!CL:DM,28,FALSE)</f>
        <v>0</v>
      </c>
      <c r="AE310" s="343"/>
    </row>
    <row r="311" spans="1:31" s="217" customFormat="1" hidden="1" outlineLevel="2">
      <c r="A311" s="185"/>
      <c r="B311" s="217">
        <v>14</v>
      </c>
      <c r="C311" s="303" t="str">
        <f>Attribute!C311</f>
        <v>---</v>
      </c>
      <c r="D311" s="218" t="str">
        <f>VLOOKUP(C311,'Talente &amp; Stuff'!CL:DM,2,FALSE)</f>
        <v>--/--/--</v>
      </c>
      <c r="E311" s="243" t="str">
        <f>VLOOKUP(C311,'Talente &amp; Stuff'!CL:DM,3,FALSE)</f>
        <v>-</v>
      </c>
      <c r="F311" s="237">
        <f>VLOOKUP(C311,'Talente &amp; Stuff'!CL:DM,4,FALSE)</f>
        <v>0</v>
      </c>
      <c r="G311" s="234">
        <f>VLOOKUP(C311,'Talente &amp; Stuff'!CL:DM,5,FALSE)</f>
        <v>0</v>
      </c>
      <c r="H311" s="234">
        <f>VLOOKUP(C311,'Talente &amp; Stuff'!CL:DM,6,FALSE)</f>
        <v>0</v>
      </c>
      <c r="I311" s="234">
        <f>VLOOKUP(C311,'Talente &amp; Stuff'!CL:DM,7,FALSE)</f>
        <v>0</v>
      </c>
      <c r="J311" s="234">
        <f>VLOOKUP(C311,'Talente &amp; Stuff'!CL:DM,8,FALSE)</f>
        <v>0</v>
      </c>
      <c r="K311" s="234">
        <f>VLOOKUP(C311,'Talente &amp; Stuff'!CL:DM,9,FALSE)</f>
        <v>0</v>
      </c>
      <c r="L311" s="234">
        <f>VLOOKUP(C311,'Talente &amp; Stuff'!CL:DM,10,FALSE)</f>
        <v>0</v>
      </c>
      <c r="M311" s="224">
        <f>VLOOKUP(C311,'Talente &amp; Stuff'!CL:DM,11,FALSE)</f>
        <v>0</v>
      </c>
      <c r="N311" s="223">
        <f>VLOOKUP(C311,'Talente &amp; Stuff'!CL:DM,12,FALSE)</f>
        <v>0</v>
      </c>
      <c r="O311" s="223">
        <f>VLOOKUP(C311,'Talente &amp; Stuff'!CL:DM,13,FALSE)</f>
        <v>0</v>
      </c>
      <c r="P311" s="224">
        <f>VLOOKUP(C311,'Talente &amp; Stuff'!CL:DM,14,FALSE)</f>
        <v>0</v>
      </c>
      <c r="Q311" s="237">
        <f>VLOOKUP(C311,'Talente &amp; Stuff'!CL:DM,15,FALSE)</f>
        <v>0</v>
      </c>
      <c r="R311" s="234">
        <f>VLOOKUP(C311,'Talente &amp; Stuff'!CL:DM,16,FALSE)</f>
        <v>0</v>
      </c>
      <c r="S311" s="224">
        <f>VLOOKUP(C311,'Talente &amp; Stuff'!CL:DM,17,FALSE)</f>
        <v>0</v>
      </c>
      <c r="T311" s="224">
        <f>VLOOKUP(C311,'Talente &amp; Stuff'!CL:DM,18,FALSE)</f>
        <v>0</v>
      </c>
      <c r="U311" s="222">
        <f>VLOOKUP(C311,'Talente &amp; Stuff'!CL:DM,19,FALSE)</f>
        <v>0</v>
      </c>
      <c r="V311" s="223">
        <f>VLOOKUP(C311,'Talente &amp; Stuff'!CL:DM,20,FALSE)</f>
        <v>0</v>
      </c>
      <c r="W311" s="243">
        <f>VLOOKUP(C311,'Talente &amp; Stuff'!CL:DM,21,FALSE)</f>
        <v>0</v>
      </c>
      <c r="X311" s="243">
        <f>VLOOKUP(C311,'Talente &amp; Stuff'!CL:DM,22,FALSE)</f>
        <v>0</v>
      </c>
      <c r="Y311" s="252">
        <f>VLOOKUP(C311,Ausgewählte_Zauber_Zauberbarden,110,FALSE)</f>
        <v>0</v>
      </c>
      <c r="Z311" s="309">
        <f>VLOOKUP(C311,Ausgewählte_Zauber_Zauberbarden,111,FALSE)</f>
        <v>0</v>
      </c>
      <c r="AA311" s="218">
        <f>VLOOKUP(C311,'Talente &amp; Stuff'!CL:DM,25,FALSE)</f>
        <v>0</v>
      </c>
      <c r="AB311" s="242">
        <f>VLOOKUP(C311,'Talente &amp; Stuff'!CL:DM,26,FALSE)</f>
        <v>0</v>
      </c>
      <c r="AC311" s="243">
        <f>VLOOKUP(C311,'Talente &amp; Stuff'!CL:DM,27,FALSE)</f>
        <v>0</v>
      </c>
      <c r="AD311" s="218">
        <f>VLOOKUP(C311,'Talente &amp; Stuff'!CL:DM,28,FALSE)</f>
        <v>0</v>
      </c>
      <c r="AE311" s="343"/>
    </row>
    <row r="312" spans="1:31" s="217" customFormat="1" hidden="1" outlineLevel="2">
      <c r="A312" s="185"/>
      <c r="B312" s="217">
        <v>15</v>
      </c>
      <c r="C312" s="303" t="str">
        <f>Attribute!C312</f>
        <v>---</v>
      </c>
      <c r="D312" s="218" t="str">
        <f>VLOOKUP(C312,'Talente &amp; Stuff'!CL:DM,2,FALSE)</f>
        <v>--/--/--</v>
      </c>
      <c r="E312" s="243" t="str">
        <f>VLOOKUP(C312,'Talente &amp; Stuff'!CL:DM,3,FALSE)</f>
        <v>-</v>
      </c>
      <c r="F312" s="237">
        <f>VLOOKUP(C312,'Talente &amp; Stuff'!CL:DM,4,FALSE)</f>
        <v>0</v>
      </c>
      <c r="G312" s="234">
        <f>VLOOKUP(C312,'Talente &amp; Stuff'!CL:DM,5,FALSE)</f>
        <v>0</v>
      </c>
      <c r="H312" s="234">
        <f>VLOOKUP(C312,'Talente &amp; Stuff'!CL:DM,6,FALSE)</f>
        <v>0</v>
      </c>
      <c r="I312" s="234">
        <f>VLOOKUP(C312,'Talente &amp; Stuff'!CL:DM,7,FALSE)</f>
        <v>0</v>
      </c>
      <c r="J312" s="234">
        <f>VLOOKUP(C312,'Talente &amp; Stuff'!CL:DM,8,FALSE)</f>
        <v>0</v>
      </c>
      <c r="K312" s="234">
        <f>VLOOKUP(C312,'Talente &amp; Stuff'!CL:DM,9,FALSE)</f>
        <v>0</v>
      </c>
      <c r="L312" s="234">
        <f>VLOOKUP(C312,'Talente &amp; Stuff'!CL:DM,10,FALSE)</f>
        <v>0</v>
      </c>
      <c r="M312" s="224">
        <f>VLOOKUP(C312,'Talente &amp; Stuff'!CL:DM,11,FALSE)</f>
        <v>0</v>
      </c>
      <c r="N312" s="223">
        <f>VLOOKUP(C312,'Talente &amp; Stuff'!CL:DM,12,FALSE)</f>
        <v>0</v>
      </c>
      <c r="O312" s="223">
        <f>VLOOKUP(C312,'Talente &amp; Stuff'!CL:DM,13,FALSE)</f>
        <v>0</v>
      </c>
      <c r="P312" s="224">
        <f>VLOOKUP(C312,'Talente &amp; Stuff'!CL:DM,14,FALSE)</f>
        <v>0</v>
      </c>
      <c r="Q312" s="237">
        <f>VLOOKUP(C312,'Talente &amp; Stuff'!CL:DM,15,FALSE)</f>
        <v>0</v>
      </c>
      <c r="R312" s="234">
        <f>VLOOKUP(C312,'Talente &amp; Stuff'!CL:DM,16,FALSE)</f>
        <v>0</v>
      </c>
      <c r="S312" s="224">
        <f>VLOOKUP(C312,'Talente &amp; Stuff'!CL:DM,17,FALSE)</f>
        <v>0</v>
      </c>
      <c r="T312" s="224">
        <f>VLOOKUP(C312,'Talente &amp; Stuff'!CL:DM,18,FALSE)</f>
        <v>0</v>
      </c>
      <c r="U312" s="222">
        <f>VLOOKUP(C312,'Talente &amp; Stuff'!CL:DM,19,FALSE)</f>
        <v>0</v>
      </c>
      <c r="V312" s="223">
        <f>VLOOKUP(C312,'Talente &amp; Stuff'!CL:DM,20,FALSE)</f>
        <v>0</v>
      </c>
      <c r="W312" s="243">
        <f>VLOOKUP(C312,'Talente &amp; Stuff'!CL:DM,21,FALSE)</f>
        <v>0</v>
      </c>
      <c r="X312" s="243">
        <f>VLOOKUP(C312,'Talente &amp; Stuff'!CL:DM,22,FALSE)</f>
        <v>0</v>
      </c>
      <c r="Y312" s="252">
        <f>VLOOKUP(C312,Ausgewählte_Zauber_Zauberbarden,110,FALSE)</f>
        <v>0</v>
      </c>
      <c r="Z312" s="309">
        <f>VLOOKUP(C312,Ausgewählte_Zauber_Zauberbarden,111,FALSE)</f>
        <v>0</v>
      </c>
      <c r="AA312" s="218">
        <f>VLOOKUP(C312,'Talente &amp; Stuff'!CL:DM,25,FALSE)</f>
        <v>0</v>
      </c>
      <c r="AB312" s="242">
        <f>VLOOKUP(C312,'Talente &amp; Stuff'!CL:DM,26,FALSE)</f>
        <v>0</v>
      </c>
      <c r="AC312" s="243">
        <f>VLOOKUP(C312,'Talente &amp; Stuff'!CL:DM,27,FALSE)</f>
        <v>0</v>
      </c>
      <c r="AD312" s="218">
        <f>VLOOKUP(C312,'Talente &amp; Stuff'!CL:DM,28,FALSE)</f>
        <v>0</v>
      </c>
      <c r="AE312" s="343"/>
    </row>
    <row r="313" spans="1:31" s="217" customFormat="1" hidden="1" outlineLevel="2">
      <c r="A313" s="185"/>
      <c r="B313" s="217">
        <v>16</v>
      </c>
      <c r="C313" s="303" t="str">
        <f>Attribute!C313</f>
        <v>---</v>
      </c>
      <c r="D313" s="304" t="str">
        <f>VLOOKUP(C313,'Talente &amp; Stuff'!CL:DM,2,FALSE)</f>
        <v>--/--/--</v>
      </c>
      <c r="E313" s="305" t="str">
        <f>VLOOKUP(C313,'Talente &amp; Stuff'!CL:DM,3,FALSE)</f>
        <v>-</v>
      </c>
      <c r="F313" s="317">
        <f>VLOOKUP(C313,'Talente &amp; Stuff'!CL:DM,4,FALSE)</f>
        <v>0</v>
      </c>
      <c r="G313" s="254">
        <f>VLOOKUP(C313,'Talente &amp; Stuff'!CL:DM,5,FALSE)</f>
        <v>0</v>
      </c>
      <c r="H313" s="254">
        <f>VLOOKUP(C313,'Talente &amp; Stuff'!CL:DM,6,FALSE)</f>
        <v>0</v>
      </c>
      <c r="I313" s="254">
        <f>VLOOKUP(C313,'Talente &amp; Stuff'!CL:DM,7,FALSE)</f>
        <v>0</v>
      </c>
      <c r="J313" s="254">
        <f>VLOOKUP(C313,'Talente &amp; Stuff'!CL:DM,8,FALSE)</f>
        <v>0</v>
      </c>
      <c r="K313" s="254">
        <f>VLOOKUP(C313,'Talente &amp; Stuff'!CL:DM,9,FALSE)</f>
        <v>0</v>
      </c>
      <c r="L313" s="254">
        <f>VLOOKUP(C313,'Talente &amp; Stuff'!CL:DM,10,FALSE)</f>
        <v>0</v>
      </c>
      <c r="M313" s="318">
        <f>VLOOKUP(C313,'Talente &amp; Stuff'!CL:DM,11,FALSE)</f>
        <v>0</v>
      </c>
      <c r="N313" s="223">
        <f>VLOOKUP(C313,'Talente &amp; Stuff'!CL:DM,12,FALSE)</f>
        <v>0</v>
      </c>
      <c r="O313" s="223">
        <f>VLOOKUP(C313,'Talente &amp; Stuff'!CL:DM,13,FALSE)</f>
        <v>0</v>
      </c>
      <c r="P313" s="224">
        <f>VLOOKUP(C313,'Talente &amp; Stuff'!CL:DM,14,FALSE)</f>
        <v>0</v>
      </c>
      <c r="Q313" s="237">
        <f>VLOOKUP(C313,'Talente &amp; Stuff'!CL:DM,15,FALSE)</f>
        <v>0</v>
      </c>
      <c r="R313" s="254">
        <f>VLOOKUP(C313,'Talente &amp; Stuff'!CL:DM,16,FALSE)</f>
        <v>0</v>
      </c>
      <c r="S313" s="224">
        <f>VLOOKUP(C313,'Talente &amp; Stuff'!CL:DM,17,FALSE)</f>
        <v>0</v>
      </c>
      <c r="T313" s="224">
        <f>VLOOKUP(C313,'Talente &amp; Stuff'!CL:DM,18,FALSE)</f>
        <v>0</v>
      </c>
      <c r="U313" s="222">
        <f>VLOOKUP(C313,'Talente &amp; Stuff'!CL:DM,19,FALSE)</f>
        <v>0</v>
      </c>
      <c r="V313" s="223">
        <f>VLOOKUP(C313,'Talente &amp; Stuff'!CL:DM,20,FALSE)</f>
        <v>0</v>
      </c>
      <c r="W313" s="243">
        <f>VLOOKUP(C313,'Talente &amp; Stuff'!CL:DM,21,FALSE)</f>
        <v>0</v>
      </c>
      <c r="X313" s="243">
        <f>VLOOKUP(C313,'Talente &amp; Stuff'!CL:DM,22,FALSE)</f>
        <v>0</v>
      </c>
      <c r="Y313" s="252">
        <f>VLOOKUP(C313,Ausgewählte_Zauber_Zauberbarden,110,FALSE)</f>
        <v>0</v>
      </c>
      <c r="Z313" s="309">
        <f>VLOOKUP(C313,Ausgewählte_Zauber_Zauberbarden,111,FALSE)</f>
        <v>0</v>
      </c>
      <c r="AA313" s="218">
        <f>VLOOKUP(C313,'Talente &amp; Stuff'!CL:DM,25,FALSE)</f>
        <v>0</v>
      </c>
      <c r="AB313" s="242">
        <f>VLOOKUP(C313,'Talente &amp; Stuff'!CL:DM,26,FALSE)</f>
        <v>0</v>
      </c>
      <c r="AC313" s="243">
        <f>VLOOKUP(C313,'Talente &amp; Stuff'!CL:DM,27,FALSE)</f>
        <v>0</v>
      </c>
      <c r="AD313" s="218">
        <f>VLOOKUP(C313,'Talente &amp; Stuff'!CL:DM,28,FALSE)</f>
        <v>0</v>
      </c>
      <c r="AE313" s="343"/>
    </row>
    <row r="314" spans="1:31" s="217" customFormat="1" hidden="1" outlineLevel="2">
      <c r="A314" s="185"/>
      <c r="B314" s="217">
        <v>17</v>
      </c>
      <c r="C314" s="303" t="str">
        <f>Attribute!C314</f>
        <v>---</v>
      </c>
      <c r="D314" s="218" t="str">
        <f>VLOOKUP(C314,'Talente &amp; Stuff'!CL:DM,2,FALSE)</f>
        <v>--/--/--</v>
      </c>
      <c r="E314" s="243" t="str">
        <f>VLOOKUP(C314,'Talente &amp; Stuff'!CL:DM,3,FALSE)</f>
        <v>-</v>
      </c>
      <c r="F314" s="237">
        <f>VLOOKUP(C314,'Talente &amp; Stuff'!CL:DM,4,FALSE)</f>
        <v>0</v>
      </c>
      <c r="G314" s="234">
        <f>VLOOKUP(C314,'Talente &amp; Stuff'!CL:DM,5,FALSE)</f>
        <v>0</v>
      </c>
      <c r="H314" s="234">
        <f>VLOOKUP(C314,'Talente &amp; Stuff'!CL:DM,6,FALSE)</f>
        <v>0</v>
      </c>
      <c r="I314" s="234">
        <f>VLOOKUP(C314,'Talente &amp; Stuff'!CL:DM,7,FALSE)</f>
        <v>0</v>
      </c>
      <c r="J314" s="234">
        <f>VLOOKUP(C314,'Talente &amp; Stuff'!CL:DM,8,FALSE)</f>
        <v>0</v>
      </c>
      <c r="K314" s="234">
        <f>VLOOKUP(C314,'Talente &amp; Stuff'!CL:DM,9,FALSE)</f>
        <v>0</v>
      </c>
      <c r="L314" s="234">
        <f>VLOOKUP(C314,'Talente &amp; Stuff'!CL:DM,10,FALSE)</f>
        <v>0</v>
      </c>
      <c r="M314" s="224">
        <f>VLOOKUP(C314,'Talente &amp; Stuff'!CL:DM,11,FALSE)</f>
        <v>0</v>
      </c>
      <c r="N314" s="223">
        <f>VLOOKUP(C314,'Talente &amp; Stuff'!CL:DM,12,FALSE)</f>
        <v>0</v>
      </c>
      <c r="O314" s="223">
        <f>VLOOKUP(C314,'Talente &amp; Stuff'!CL:DM,13,FALSE)</f>
        <v>0</v>
      </c>
      <c r="P314" s="224">
        <f>VLOOKUP(C314,'Talente &amp; Stuff'!CL:DM,14,FALSE)</f>
        <v>0</v>
      </c>
      <c r="Q314" s="237">
        <f>VLOOKUP(C314,'Talente &amp; Stuff'!CL:DM,15,FALSE)</f>
        <v>0</v>
      </c>
      <c r="R314" s="234">
        <f>VLOOKUP(C314,'Talente &amp; Stuff'!CL:DM,16,FALSE)</f>
        <v>0</v>
      </c>
      <c r="S314" s="224">
        <f>VLOOKUP(C314,'Talente &amp; Stuff'!CL:DM,17,FALSE)</f>
        <v>0</v>
      </c>
      <c r="T314" s="224">
        <f>VLOOKUP(C314,'Talente &amp; Stuff'!CL:DM,18,FALSE)</f>
        <v>0</v>
      </c>
      <c r="U314" s="222">
        <f>VLOOKUP(C314,'Talente &amp; Stuff'!CL:DM,19,FALSE)</f>
        <v>0</v>
      </c>
      <c r="V314" s="223">
        <f>VLOOKUP(C314,'Talente &amp; Stuff'!CL:DM,20,FALSE)</f>
        <v>0</v>
      </c>
      <c r="W314" s="243">
        <f>VLOOKUP(C314,'Talente &amp; Stuff'!CL:DM,21,FALSE)</f>
        <v>0</v>
      </c>
      <c r="X314" s="243">
        <f>VLOOKUP(C314,'Talente &amp; Stuff'!CL:DM,22,FALSE)</f>
        <v>0</v>
      </c>
      <c r="Y314" s="252">
        <f>VLOOKUP(C314,Ausgewählte_Zauber_Zauberbarden,110,FALSE)</f>
        <v>0</v>
      </c>
      <c r="Z314" s="309">
        <f>VLOOKUP(C314,Ausgewählte_Zauber_Zauberbarden,111,FALSE)</f>
        <v>0</v>
      </c>
      <c r="AA314" s="218">
        <f>VLOOKUP(C314,'Talente &amp; Stuff'!CL:DM,25,FALSE)</f>
        <v>0</v>
      </c>
      <c r="AB314" s="242">
        <f>VLOOKUP(C314,'Talente &amp; Stuff'!CL:DM,26,FALSE)</f>
        <v>0</v>
      </c>
      <c r="AC314" s="243">
        <f>VLOOKUP(C314,'Talente &amp; Stuff'!CL:DM,27,FALSE)</f>
        <v>0</v>
      </c>
      <c r="AD314" s="218">
        <f>VLOOKUP(C314,'Talente &amp; Stuff'!CL:DM,28,FALSE)</f>
        <v>0</v>
      </c>
      <c r="AE314" s="343"/>
    </row>
    <row r="315" spans="1:31" s="217" customFormat="1" hidden="1" outlineLevel="2">
      <c r="A315" s="185"/>
      <c r="B315" s="217">
        <v>18</v>
      </c>
      <c r="C315" s="303" t="str">
        <f>Attribute!C315</f>
        <v>---</v>
      </c>
      <c r="D315" s="218" t="str">
        <f>VLOOKUP(C315,'Talente &amp; Stuff'!CL:DM,2,FALSE)</f>
        <v>--/--/--</v>
      </c>
      <c r="E315" s="243" t="str">
        <f>VLOOKUP(C315,'Talente &amp; Stuff'!CL:DM,3,FALSE)</f>
        <v>-</v>
      </c>
      <c r="F315" s="237">
        <f>VLOOKUP(C315,'Talente &amp; Stuff'!CL:DM,4,FALSE)</f>
        <v>0</v>
      </c>
      <c r="G315" s="234">
        <f>VLOOKUP(C315,'Talente &amp; Stuff'!CL:DM,5,FALSE)</f>
        <v>0</v>
      </c>
      <c r="H315" s="234">
        <f>VLOOKUP(C315,'Talente &amp; Stuff'!CL:DM,6,FALSE)</f>
        <v>0</v>
      </c>
      <c r="I315" s="234">
        <f>VLOOKUP(C315,'Talente &amp; Stuff'!CL:DM,7,FALSE)</f>
        <v>0</v>
      </c>
      <c r="J315" s="234">
        <f>VLOOKUP(C315,'Talente &amp; Stuff'!CL:DM,8,FALSE)</f>
        <v>0</v>
      </c>
      <c r="K315" s="234">
        <f>VLOOKUP(C315,'Talente &amp; Stuff'!CL:DM,9,FALSE)</f>
        <v>0</v>
      </c>
      <c r="L315" s="234">
        <f>VLOOKUP(C315,'Talente &amp; Stuff'!CL:DM,10,FALSE)</f>
        <v>0</v>
      </c>
      <c r="M315" s="224">
        <f>VLOOKUP(C315,'Talente &amp; Stuff'!CL:DM,11,FALSE)</f>
        <v>0</v>
      </c>
      <c r="N315" s="223">
        <f>VLOOKUP(C315,'Talente &amp; Stuff'!CL:DM,12,FALSE)</f>
        <v>0</v>
      </c>
      <c r="O315" s="223">
        <f>VLOOKUP(C315,'Talente &amp; Stuff'!CL:DM,13,FALSE)</f>
        <v>0</v>
      </c>
      <c r="P315" s="224">
        <f>VLOOKUP(C315,'Talente &amp; Stuff'!CL:DM,14,FALSE)</f>
        <v>0</v>
      </c>
      <c r="Q315" s="237">
        <f>VLOOKUP(C315,'Talente &amp; Stuff'!CL:DM,15,FALSE)</f>
        <v>0</v>
      </c>
      <c r="R315" s="234">
        <f>VLOOKUP(C315,'Talente &amp; Stuff'!CL:DM,16,FALSE)</f>
        <v>0</v>
      </c>
      <c r="S315" s="224">
        <f>VLOOKUP(C315,'Talente &amp; Stuff'!CL:DM,17,FALSE)</f>
        <v>0</v>
      </c>
      <c r="T315" s="224">
        <f>VLOOKUP(C315,'Talente &amp; Stuff'!CL:DM,18,FALSE)</f>
        <v>0</v>
      </c>
      <c r="U315" s="222">
        <f>VLOOKUP(C315,'Talente &amp; Stuff'!CL:DM,19,FALSE)</f>
        <v>0</v>
      </c>
      <c r="V315" s="223">
        <f>VLOOKUP(C315,'Talente &amp; Stuff'!CL:DM,20,FALSE)</f>
        <v>0</v>
      </c>
      <c r="W315" s="243">
        <f>VLOOKUP(C315,'Talente &amp; Stuff'!CL:DM,21,FALSE)</f>
        <v>0</v>
      </c>
      <c r="X315" s="243">
        <f>VLOOKUP(C315,'Talente &amp; Stuff'!CL:DM,22,FALSE)</f>
        <v>0</v>
      </c>
      <c r="Y315" s="252">
        <f>VLOOKUP(C315,Ausgewählte_Zauber_Zauberbarden,110,FALSE)</f>
        <v>0</v>
      </c>
      <c r="Z315" s="309">
        <f>VLOOKUP(C315,Ausgewählte_Zauber_Zauberbarden,111,FALSE)</f>
        <v>0</v>
      </c>
      <c r="AA315" s="218">
        <f>VLOOKUP(C315,'Talente &amp; Stuff'!CL:DM,25,FALSE)</f>
        <v>0</v>
      </c>
      <c r="AB315" s="242">
        <f>VLOOKUP(C315,'Talente &amp; Stuff'!CL:DM,26,FALSE)</f>
        <v>0</v>
      </c>
      <c r="AC315" s="243">
        <f>VLOOKUP(C315,'Talente &amp; Stuff'!CL:DM,27,FALSE)</f>
        <v>0</v>
      </c>
      <c r="AD315" s="218">
        <f>VLOOKUP(C315,'Talente &amp; Stuff'!CL:DM,28,FALSE)</f>
        <v>0</v>
      </c>
      <c r="AE315" s="343"/>
    </row>
    <row r="316" spans="1:31" s="217" customFormat="1" hidden="1" outlineLevel="2">
      <c r="A316" s="185"/>
      <c r="B316" s="217">
        <v>19</v>
      </c>
      <c r="C316" s="303" t="str">
        <f>Attribute!C316</f>
        <v>---</v>
      </c>
      <c r="D316" s="218" t="str">
        <f>VLOOKUP(C316,'Talente &amp; Stuff'!CL:DM,2,FALSE)</f>
        <v>--/--/--</v>
      </c>
      <c r="E316" s="243" t="str">
        <f>VLOOKUP(C316,'Talente &amp; Stuff'!CL:DM,3,FALSE)</f>
        <v>-</v>
      </c>
      <c r="F316" s="237">
        <f>VLOOKUP(C316,'Talente &amp; Stuff'!CL:DM,4,FALSE)</f>
        <v>0</v>
      </c>
      <c r="G316" s="234">
        <f>VLOOKUP(C316,'Talente &amp; Stuff'!CL:DM,5,FALSE)</f>
        <v>0</v>
      </c>
      <c r="H316" s="234">
        <f>VLOOKUP(C316,'Talente &amp; Stuff'!CL:DM,6,FALSE)</f>
        <v>0</v>
      </c>
      <c r="I316" s="234">
        <f>VLOOKUP(C316,'Talente &amp; Stuff'!CL:DM,7,FALSE)</f>
        <v>0</v>
      </c>
      <c r="J316" s="234">
        <f>VLOOKUP(C316,'Talente &amp; Stuff'!CL:DM,8,FALSE)</f>
        <v>0</v>
      </c>
      <c r="K316" s="234">
        <f>VLOOKUP(C316,'Talente &amp; Stuff'!CL:DM,9,FALSE)</f>
        <v>0</v>
      </c>
      <c r="L316" s="234">
        <f>VLOOKUP(C316,'Talente &amp; Stuff'!CL:DM,10,FALSE)</f>
        <v>0</v>
      </c>
      <c r="M316" s="224">
        <f>VLOOKUP(C316,'Talente &amp; Stuff'!CL:DM,11,FALSE)</f>
        <v>0</v>
      </c>
      <c r="N316" s="223">
        <f>VLOOKUP(C316,'Talente &amp; Stuff'!CL:DM,12,FALSE)</f>
        <v>0</v>
      </c>
      <c r="O316" s="223">
        <f>VLOOKUP(C316,'Talente &amp; Stuff'!CL:DM,13,FALSE)</f>
        <v>0</v>
      </c>
      <c r="P316" s="224">
        <f>VLOOKUP(C316,'Talente &amp; Stuff'!CL:DM,14,FALSE)</f>
        <v>0</v>
      </c>
      <c r="Q316" s="237">
        <f>VLOOKUP(C316,'Talente &amp; Stuff'!CL:DM,15,FALSE)</f>
        <v>0</v>
      </c>
      <c r="R316" s="234">
        <f>VLOOKUP(C316,'Talente &amp; Stuff'!CL:DM,16,FALSE)</f>
        <v>0</v>
      </c>
      <c r="S316" s="224">
        <f>VLOOKUP(C316,'Talente &amp; Stuff'!CL:DM,17,FALSE)</f>
        <v>0</v>
      </c>
      <c r="T316" s="224">
        <f>VLOOKUP(C316,'Talente &amp; Stuff'!CL:DM,18,FALSE)</f>
        <v>0</v>
      </c>
      <c r="U316" s="222">
        <f>VLOOKUP(C316,'Talente &amp; Stuff'!CL:DM,19,FALSE)</f>
        <v>0</v>
      </c>
      <c r="V316" s="223">
        <f>VLOOKUP(C316,'Talente &amp; Stuff'!CL:DM,20,FALSE)</f>
        <v>0</v>
      </c>
      <c r="W316" s="243">
        <f>VLOOKUP(C316,'Talente &amp; Stuff'!CL:DM,21,FALSE)</f>
        <v>0</v>
      </c>
      <c r="X316" s="243">
        <f>VLOOKUP(C316,'Talente &amp; Stuff'!CL:DM,22,FALSE)</f>
        <v>0</v>
      </c>
      <c r="Y316" s="252">
        <f>VLOOKUP(C316,Ausgewählte_Zauber_Zauberbarden,110,FALSE)</f>
        <v>0</v>
      </c>
      <c r="Z316" s="309">
        <f>VLOOKUP(C316,Ausgewählte_Zauber_Zauberbarden,111,FALSE)</f>
        <v>0</v>
      </c>
      <c r="AA316" s="218">
        <f>VLOOKUP(C316,'Talente &amp; Stuff'!CL:DM,25,FALSE)</f>
        <v>0</v>
      </c>
      <c r="AB316" s="242">
        <f>VLOOKUP(C316,'Talente &amp; Stuff'!CL:DM,26,FALSE)</f>
        <v>0</v>
      </c>
      <c r="AC316" s="243">
        <f>VLOOKUP(C316,'Talente &amp; Stuff'!CL:DM,27,FALSE)</f>
        <v>0</v>
      </c>
      <c r="AD316" s="218">
        <f>VLOOKUP(C316,'Talente &amp; Stuff'!CL:DM,28,FALSE)</f>
        <v>0</v>
      </c>
      <c r="AE316" s="343"/>
    </row>
    <row r="317" spans="1:31" s="217" customFormat="1" hidden="1" outlineLevel="2">
      <c r="A317" s="185"/>
      <c r="B317" s="217">
        <v>20</v>
      </c>
      <c r="C317" s="303" t="str">
        <f>Attribute!C317</f>
        <v>---</v>
      </c>
      <c r="D317" s="218" t="str">
        <f>VLOOKUP(C317,'Talente &amp; Stuff'!CL:DM,2,FALSE)</f>
        <v>--/--/--</v>
      </c>
      <c r="E317" s="243" t="str">
        <f>VLOOKUP(C317,'Talente &amp; Stuff'!CL:DM,3,FALSE)</f>
        <v>-</v>
      </c>
      <c r="F317" s="237">
        <f>VLOOKUP(C317,'Talente &amp; Stuff'!CL:DM,4,FALSE)</f>
        <v>0</v>
      </c>
      <c r="G317" s="234">
        <f>VLOOKUP(C317,'Talente &amp; Stuff'!CL:DM,5,FALSE)</f>
        <v>0</v>
      </c>
      <c r="H317" s="234">
        <f>VLOOKUP(C317,'Talente &amp; Stuff'!CL:DM,6,FALSE)</f>
        <v>0</v>
      </c>
      <c r="I317" s="234">
        <f>VLOOKUP(C317,'Talente &amp; Stuff'!CL:DM,7,FALSE)</f>
        <v>0</v>
      </c>
      <c r="J317" s="234">
        <f>VLOOKUP(C317,'Talente &amp; Stuff'!CL:DM,8,FALSE)</f>
        <v>0</v>
      </c>
      <c r="K317" s="234">
        <f>VLOOKUP(C317,'Talente &amp; Stuff'!CL:DM,9,FALSE)</f>
        <v>0</v>
      </c>
      <c r="L317" s="234">
        <f>VLOOKUP(C317,'Talente &amp; Stuff'!CL:DM,10,FALSE)</f>
        <v>0</v>
      </c>
      <c r="M317" s="224">
        <f>VLOOKUP(C317,'Talente &amp; Stuff'!CL:DM,11,FALSE)</f>
        <v>0</v>
      </c>
      <c r="N317" s="223">
        <f>VLOOKUP(C317,'Talente &amp; Stuff'!CL:DM,12,FALSE)</f>
        <v>0</v>
      </c>
      <c r="O317" s="223">
        <f>VLOOKUP(C317,'Talente &amp; Stuff'!CL:DM,13,FALSE)</f>
        <v>0</v>
      </c>
      <c r="P317" s="224">
        <f>VLOOKUP(C317,'Talente &amp; Stuff'!CL:DM,14,FALSE)</f>
        <v>0</v>
      </c>
      <c r="Q317" s="237">
        <f>VLOOKUP(C317,'Talente &amp; Stuff'!CL:DM,15,FALSE)</f>
        <v>0</v>
      </c>
      <c r="R317" s="234">
        <f>VLOOKUP(C317,'Talente &amp; Stuff'!CL:DM,16,FALSE)</f>
        <v>0</v>
      </c>
      <c r="S317" s="224">
        <f>VLOOKUP(C317,'Talente &amp; Stuff'!CL:DM,17,FALSE)</f>
        <v>0</v>
      </c>
      <c r="T317" s="224">
        <f>VLOOKUP(C317,'Talente &amp; Stuff'!CL:DM,18,FALSE)</f>
        <v>0</v>
      </c>
      <c r="U317" s="222">
        <f>VLOOKUP(C317,'Talente &amp; Stuff'!CL:DM,19,FALSE)</f>
        <v>0</v>
      </c>
      <c r="V317" s="223">
        <f>VLOOKUP(C317,'Talente &amp; Stuff'!CL:DM,20,FALSE)</f>
        <v>0</v>
      </c>
      <c r="W317" s="243">
        <f>VLOOKUP(C317,'Talente &amp; Stuff'!CL:DM,21,FALSE)</f>
        <v>0</v>
      </c>
      <c r="X317" s="243">
        <f>VLOOKUP(C317,'Talente &amp; Stuff'!CL:DM,22,FALSE)</f>
        <v>0</v>
      </c>
      <c r="Y317" s="252">
        <f>VLOOKUP(C317,Ausgewählte_Zauber_Zauberbarden,110,FALSE)</f>
        <v>0</v>
      </c>
      <c r="Z317" s="309">
        <f>VLOOKUP(C317,Ausgewählte_Zauber_Zauberbarden,111,FALSE)</f>
        <v>0</v>
      </c>
      <c r="AA317" s="218">
        <f>VLOOKUP(C317,'Talente &amp; Stuff'!CL:DM,25,FALSE)</f>
        <v>0</v>
      </c>
      <c r="AB317" s="242">
        <f>VLOOKUP(C317,'Talente &amp; Stuff'!CL:DM,26,FALSE)</f>
        <v>0</v>
      </c>
      <c r="AC317" s="243">
        <f>VLOOKUP(C317,'Talente &amp; Stuff'!CL:DM,27,FALSE)</f>
        <v>0</v>
      </c>
      <c r="AD317" s="218">
        <f>VLOOKUP(C317,'Talente &amp; Stuff'!CL:DM,28,FALSE)</f>
        <v>0</v>
      </c>
      <c r="AE317" s="343"/>
    </row>
    <row r="318" spans="1:31" s="217" customFormat="1" hidden="1" outlineLevel="2">
      <c r="A318" s="185"/>
      <c r="B318" s="217">
        <v>21</v>
      </c>
      <c r="C318" s="303" t="str">
        <f>Attribute!C318</f>
        <v>---</v>
      </c>
      <c r="D318" s="218" t="str">
        <f>VLOOKUP(C318,'Talente &amp; Stuff'!CL:DM,2,FALSE)</f>
        <v>--/--/--</v>
      </c>
      <c r="E318" s="243" t="str">
        <f>VLOOKUP(C318,'Talente &amp; Stuff'!CL:DM,3,FALSE)</f>
        <v>-</v>
      </c>
      <c r="F318" s="237">
        <f>VLOOKUP(C318,'Talente &amp; Stuff'!CL:DM,4,FALSE)</f>
        <v>0</v>
      </c>
      <c r="G318" s="234">
        <f>VLOOKUP(C318,'Talente &amp; Stuff'!CL:DM,5,FALSE)</f>
        <v>0</v>
      </c>
      <c r="H318" s="234">
        <f>VLOOKUP(C318,'Talente &amp; Stuff'!CL:DM,6,FALSE)</f>
        <v>0</v>
      </c>
      <c r="I318" s="234">
        <f>VLOOKUP(C318,'Talente &amp; Stuff'!CL:DM,7,FALSE)</f>
        <v>0</v>
      </c>
      <c r="J318" s="234">
        <f>VLOOKUP(C318,'Talente &amp; Stuff'!CL:DM,8,FALSE)</f>
        <v>0</v>
      </c>
      <c r="K318" s="234">
        <f>VLOOKUP(C318,'Talente &amp; Stuff'!CL:DM,9,FALSE)</f>
        <v>0</v>
      </c>
      <c r="L318" s="234">
        <f>VLOOKUP(C318,'Talente &amp; Stuff'!CL:DM,10,FALSE)</f>
        <v>0</v>
      </c>
      <c r="M318" s="224">
        <f>VLOOKUP(C318,'Talente &amp; Stuff'!CL:DM,11,FALSE)</f>
        <v>0</v>
      </c>
      <c r="N318" s="223">
        <f>VLOOKUP(C318,'Talente &amp; Stuff'!CL:DM,12,FALSE)</f>
        <v>0</v>
      </c>
      <c r="O318" s="223">
        <f>VLOOKUP(C318,'Talente &amp; Stuff'!CL:DM,13,FALSE)</f>
        <v>0</v>
      </c>
      <c r="P318" s="224">
        <f>VLOOKUP(C318,'Talente &amp; Stuff'!CL:DM,14,FALSE)</f>
        <v>0</v>
      </c>
      <c r="Q318" s="237">
        <f>VLOOKUP(C318,'Talente &amp; Stuff'!CL:DM,15,FALSE)</f>
        <v>0</v>
      </c>
      <c r="R318" s="234">
        <f>VLOOKUP(C318,'Talente &amp; Stuff'!CL:DM,16,FALSE)</f>
        <v>0</v>
      </c>
      <c r="S318" s="224">
        <f>VLOOKUP(C318,'Talente &amp; Stuff'!CL:DM,17,FALSE)</f>
        <v>0</v>
      </c>
      <c r="T318" s="224">
        <f>VLOOKUP(C318,'Talente &amp; Stuff'!CL:DM,18,FALSE)</f>
        <v>0</v>
      </c>
      <c r="U318" s="222">
        <f>VLOOKUP(C318,'Talente &amp; Stuff'!CL:DM,19,FALSE)</f>
        <v>0</v>
      </c>
      <c r="V318" s="223">
        <f>VLOOKUP(C318,'Talente &amp; Stuff'!CL:DM,20,FALSE)</f>
        <v>0</v>
      </c>
      <c r="W318" s="243">
        <f>VLOOKUP(C318,'Talente &amp; Stuff'!CL:DM,21,FALSE)</f>
        <v>0</v>
      </c>
      <c r="X318" s="243">
        <f>VLOOKUP(C318,'Talente &amp; Stuff'!CL:DM,22,FALSE)</f>
        <v>0</v>
      </c>
      <c r="Y318" s="252">
        <f>VLOOKUP(C318,Ausgewählte_Zauber_Zauberbarden,110,FALSE)</f>
        <v>0</v>
      </c>
      <c r="Z318" s="309">
        <f>VLOOKUP(C318,Ausgewählte_Zauber_Zauberbarden,111,FALSE)</f>
        <v>0</v>
      </c>
      <c r="AA318" s="218">
        <f>VLOOKUP(C318,'Talente &amp; Stuff'!CL:DM,25,FALSE)</f>
        <v>0</v>
      </c>
      <c r="AB318" s="242">
        <f>VLOOKUP(C318,'Talente &amp; Stuff'!CL:DM,26,FALSE)</f>
        <v>0</v>
      </c>
      <c r="AC318" s="243">
        <f>VLOOKUP(C318,'Talente &amp; Stuff'!CL:DM,27,FALSE)</f>
        <v>0</v>
      </c>
      <c r="AD318" s="218">
        <f>VLOOKUP(C318,'Talente &amp; Stuff'!CL:DM,28,FALSE)</f>
        <v>0</v>
      </c>
      <c r="AE318" s="343"/>
    </row>
    <row r="319" spans="1:31" s="217" customFormat="1" hidden="1" outlineLevel="2">
      <c r="A319" s="185"/>
      <c r="B319" s="217">
        <v>22</v>
      </c>
      <c r="C319" s="303" t="str">
        <f>Attribute!C319</f>
        <v>---</v>
      </c>
      <c r="D319" s="218" t="str">
        <f>VLOOKUP(C319,'Talente &amp; Stuff'!CL:DM,2,FALSE)</f>
        <v>--/--/--</v>
      </c>
      <c r="E319" s="243" t="str">
        <f>VLOOKUP(C319,'Talente &amp; Stuff'!CL:DM,3,FALSE)</f>
        <v>-</v>
      </c>
      <c r="F319" s="237">
        <f>VLOOKUP(C319,'Talente &amp; Stuff'!CL:DM,4,FALSE)</f>
        <v>0</v>
      </c>
      <c r="G319" s="234">
        <f>VLOOKUP(C319,'Talente &amp; Stuff'!CL:DM,5,FALSE)</f>
        <v>0</v>
      </c>
      <c r="H319" s="234">
        <f>VLOOKUP(C319,'Talente &amp; Stuff'!CL:DM,6,FALSE)</f>
        <v>0</v>
      </c>
      <c r="I319" s="234">
        <f>VLOOKUP(C319,'Talente &amp; Stuff'!CL:DM,7,FALSE)</f>
        <v>0</v>
      </c>
      <c r="J319" s="234">
        <f>VLOOKUP(C319,'Talente &amp; Stuff'!CL:DM,8,FALSE)</f>
        <v>0</v>
      </c>
      <c r="K319" s="234">
        <f>VLOOKUP(C319,'Talente &amp; Stuff'!CL:DM,9,FALSE)</f>
        <v>0</v>
      </c>
      <c r="L319" s="234">
        <f>VLOOKUP(C319,'Talente &amp; Stuff'!CL:DM,10,FALSE)</f>
        <v>0</v>
      </c>
      <c r="M319" s="224">
        <f>VLOOKUP(C319,'Talente &amp; Stuff'!CL:DM,11,FALSE)</f>
        <v>0</v>
      </c>
      <c r="N319" s="223">
        <f>VLOOKUP(C319,'Talente &amp; Stuff'!CL:DM,12,FALSE)</f>
        <v>0</v>
      </c>
      <c r="O319" s="223">
        <f>VLOOKUP(C319,'Talente &amp; Stuff'!CL:DM,13,FALSE)</f>
        <v>0</v>
      </c>
      <c r="P319" s="224">
        <f>VLOOKUP(C319,'Talente &amp; Stuff'!CL:DM,14,FALSE)</f>
        <v>0</v>
      </c>
      <c r="Q319" s="237">
        <f>VLOOKUP(C319,'Talente &amp; Stuff'!CL:DM,15,FALSE)</f>
        <v>0</v>
      </c>
      <c r="R319" s="234">
        <f>VLOOKUP(C319,'Talente &amp; Stuff'!CL:DM,16,FALSE)</f>
        <v>0</v>
      </c>
      <c r="S319" s="224">
        <f>VLOOKUP(C319,'Talente &amp; Stuff'!CL:DM,17,FALSE)</f>
        <v>0</v>
      </c>
      <c r="T319" s="224">
        <f>VLOOKUP(C319,'Talente &amp; Stuff'!CL:DM,18,FALSE)</f>
        <v>0</v>
      </c>
      <c r="U319" s="222">
        <f>VLOOKUP(C319,'Talente &amp; Stuff'!CL:DM,19,FALSE)</f>
        <v>0</v>
      </c>
      <c r="V319" s="223">
        <f>VLOOKUP(C319,'Talente &amp; Stuff'!CL:DM,20,FALSE)</f>
        <v>0</v>
      </c>
      <c r="W319" s="243">
        <f>VLOOKUP(C319,'Talente &amp; Stuff'!CL:DM,21,FALSE)</f>
        <v>0</v>
      </c>
      <c r="X319" s="243">
        <f>VLOOKUP(C319,'Talente &amp; Stuff'!CL:DM,22,FALSE)</f>
        <v>0</v>
      </c>
      <c r="Y319" s="252">
        <f>VLOOKUP(C319,Ausgewählte_Zauber_Zauberbarden,110,FALSE)</f>
        <v>0</v>
      </c>
      <c r="Z319" s="309">
        <f>VLOOKUP(C319,Ausgewählte_Zauber_Zauberbarden,111,FALSE)</f>
        <v>0</v>
      </c>
      <c r="AA319" s="218">
        <f>VLOOKUP(C319,'Talente &amp; Stuff'!CL:DM,25,FALSE)</f>
        <v>0</v>
      </c>
      <c r="AB319" s="242">
        <f>VLOOKUP(C319,'Talente &amp; Stuff'!CL:DM,26,FALSE)</f>
        <v>0</v>
      </c>
      <c r="AC319" s="243">
        <f>VLOOKUP(C319,'Talente &amp; Stuff'!CL:DM,27,FALSE)</f>
        <v>0</v>
      </c>
      <c r="AD319" s="218">
        <f>VLOOKUP(C319,'Talente &amp; Stuff'!CL:DM,28,FALSE)</f>
        <v>0</v>
      </c>
      <c r="AE319" s="343"/>
    </row>
    <row r="320" spans="1:31" s="217" customFormat="1" hidden="1" outlineLevel="2">
      <c r="A320" s="185"/>
      <c r="B320" s="217">
        <v>23</v>
      </c>
      <c r="C320" s="303" t="str">
        <f>Attribute!C320</f>
        <v>---</v>
      </c>
      <c r="D320" s="218" t="str">
        <f>VLOOKUP(C320,'Talente &amp; Stuff'!CL:DM,2,FALSE)</f>
        <v>--/--/--</v>
      </c>
      <c r="E320" s="243" t="str">
        <f>VLOOKUP(C320,'Talente &amp; Stuff'!CL:DM,3,FALSE)</f>
        <v>-</v>
      </c>
      <c r="F320" s="237">
        <f>VLOOKUP(C320,'Talente &amp; Stuff'!CL:DM,4,FALSE)</f>
        <v>0</v>
      </c>
      <c r="G320" s="234">
        <f>VLOOKUP(C320,'Talente &amp; Stuff'!CL:DM,5,FALSE)</f>
        <v>0</v>
      </c>
      <c r="H320" s="234">
        <f>VLOOKUP(C320,'Talente &amp; Stuff'!CL:DM,6,FALSE)</f>
        <v>0</v>
      </c>
      <c r="I320" s="234">
        <f>VLOOKUP(C320,'Talente &amp; Stuff'!CL:DM,7,FALSE)</f>
        <v>0</v>
      </c>
      <c r="J320" s="234">
        <f>VLOOKUP(C320,'Talente &amp; Stuff'!CL:DM,8,FALSE)</f>
        <v>0</v>
      </c>
      <c r="K320" s="234">
        <f>VLOOKUP(C320,'Talente &amp; Stuff'!CL:DM,9,FALSE)</f>
        <v>0</v>
      </c>
      <c r="L320" s="234">
        <f>VLOOKUP(C320,'Talente &amp; Stuff'!CL:DM,10,FALSE)</f>
        <v>0</v>
      </c>
      <c r="M320" s="224">
        <f>VLOOKUP(C320,'Talente &amp; Stuff'!CL:DM,11,FALSE)</f>
        <v>0</v>
      </c>
      <c r="N320" s="223">
        <f>VLOOKUP(C320,'Talente &amp; Stuff'!CL:DM,12,FALSE)</f>
        <v>0</v>
      </c>
      <c r="O320" s="223">
        <f>VLOOKUP(C320,'Talente &amp; Stuff'!CL:DM,13,FALSE)</f>
        <v>0</v>
      </c>
      <c r="P320" s="224">
        <f>VLOOKUP(C320,'Talente &amp; Stuff'!CL:DM,14,FALSE)</f>
        <v>0</v>
      </c>
      <c r="Q320" s="237">
        <f>VLOOKUP(C320,'Talente &amp; Stuff'!CL:DM,15,FALSE)</f>
        <v>0</v>
      </c>
      <c r="R320" s="234">
        <f>VLOOKUP(C320,'Talente &amp; Stuff'!CL:DM,16,FALSE)</f>
        <v>0</v>
      </c>
      <c r="S320" s="224">
        <f>VLOOKUP(C320,'Talente &amp; Stuff'!CL:DM,17,FALSE)</f>
        <v>0</v>
      </c>
      <c r="T320" s="224">
        <f>VLOOKUP(C320,'Talente &amp; Stuff'!CL:DM,18,FALSE)</f>
        <v>0</v>
      </c>
      <c r="U320" s="222">
        <f>VLOOKUP(C320,'Talente &amp; Stuff'!CL:DM,19,FALSE)</f>
        <v>0</v>
      </c>
      <c r="V320" s="223">
        <f>VLOOKUP(C320,'Talente &amp; Stuff'!CL:DM,20,FALSE)</f>
        <v>0</v>
      </c>
      <c r="W320" s="243">
        <f>VLOOKUP(C320,'Talente &amp; Stuff'!CL:DM,21,FALSE)</f>
        <v>0</v>
      </c>
      <c r="X320" s="243">
        <f>VLOOKUP(C320,'Talente &amp; Stuff'!CL:DM,22,FALSE)</f>
        <v>0</v>
      </c>
      <c r="Y320" s="252">
        <f>VLOOKUP(C320,Ausgewählte_Zauber_Zauberbarden,110,FALSE)</f>
        <v>0</v>
      </c>
      <c r="Z320" s="309">
        <f>VLOOKUP(C320,Ausgewählte_Zauber_Zauberbarden,111,FALSE)</f>
        <v>0</v>
      </c>
      <c r="AA320" s="218">
        <f>VLOOKUP(C320,'Talente &amp; Stuff'!CL:DM,25,FALSE)</f>
        <v>0</v>
      </c>
      <c r="AB320" s="242">
        <f>VLOOKUP(C320,'Talente &amp; Stuff'!CL:DM,26,FALSE)</f>
        <v>0</v>
      </c>
      <c r="AC320" s="243">
        <f>VLOOKUP(C320,'Talente &amp; Stuff'!CL:DM,27,FALSE)</f>
        <v>0</v>
      </c>
      <c r="AD320" s="218">
        <f>VLOOKUP(C320,'Talente &amp; Stuff'!CL:DM,28,FALSE)</f>
        <v>0</v>
      </c>
      <c r="AE320" s="343"/>
    </row>
    <row r="321" spans="1:31" s="217" customFormat="1" hidden="1" outlineLevel="2">
      <c r="A321" s="185"/>
      <c r="B321" s="217">
        <v>24</v>
      </c>
      <c r="C321" s="306" t="str">
        <f>Attribute!C321</f>
        <v>---</v>
      </c>
      <c r="D321" s="246" t="str">
        <f>VLOOKUP(C321,'Talente &amp; Stuff'!CL:DM,2,FALSE)</f>
        <v>--/--/--</v>
      </c>
      <c r="E321" s="245" t="str">
        <f>VLOOKUP(C321,'Talente &amp; Stuff'!CL:DM,3,FALSE)</f>
        <v>-</v>
      </c>
      <c r="F321" s="238">
        <f>VLOOKUP(C321,'Talente &amp; Stuff'!CL:DM,4,FALSE)</f>
        <v>0</v>
      </c>
      <c r="G321" s="235">
        <f>VLOOKUP(C321,'Talente &amp; Stuff'!CL:DM,5,FALSE)</f>
        <v>0</v>
      </c>
      <c r="H321" s="235">
        <f>VLOOKUP(C321,'Talente &amp; Stuff'!CL:DM,6,FALSE)</f>
        <v>0</v>
      </c>
      <c r="I321" s="235">
        <f>VLOOKUP(C321,'Talente &amp; Stuff'!CL:DM,7,FALSE)</f>
        <v>0</v>
      </c>
      <c r="J321" s="235">
        <f>VLOOKUP(C321,'Talente &amp; Stuff'!CL:DM,8,FALSE)</f>
        <v>0</v>
      </c>
      <c r="K321" s="235">
        <f>VLOOKUP(C321,'Talente &amp; Stuff'!CL:DM,9,FALSE)</f>
        <v>0</v>
      </c>
      <c r="L321" s="235">
        <f>VLOOKUP(C321,'Talente &amp; Stuff'!CL:DM,10,FALSE)</f>
        <v>0</v>
      </c>
      <c r="M321" s="227">
        <f>VLOOKUP(C321,'Talente &amp; Stuff'!CL:DM,11,FALSE)</f>
        <v>0</v>
      </c>
      <c r="N321" s="226">
        <f>VLOOKUP(C321,'Talente &amp; Stuff'!CL:DM,12,FALSE)</f>
        <v>0</v>
      </c>
      <c r="O321" s="226">
        <f>VLOOKUP(C321,'Talente &amp; Stuff'!CL:DM,13,FALSE)</f>
        <v>0</v>
      </c>
      <c r="P321" s="227">
        <f>VLOOKUP(C321,'Talente &amp; Stuff'!CL:DM,14,FALSE)</f>
        <v>0</v>
      </c>
      <c r="Q321" s="238">
        <f>VLOOKUP(C321,'Talente &amp; Stuff'!CL:DM,15,FALSE)</f>
        <v>0</v>
      </c>
      <c r="R321" s="235">
        <f>VLOOKUP(C321,'Talente &amp; Stuff'!CL:DM,16,FALSE)</f>
        <v>0</v>
      </c>
      <c r="S321" s="227">
        <f>VLOOKUP(C321,'Talente &amp; Stuff'!CL:DM,17,FALSE)</f>
        <v>0</v>
      </c>
      <c r="T321" s="227">
        <f>VLOOKUP(C321,'Talente &amp; Stuff'!CL:DM,18,FALSE)</f>
        <v>0</v>
      </c>
      <c r="U321" s="225">
        <f>VLOOKUP(C321,'Talente &amp; Stuff'!CL:DM,19,FALSE)</f>
        <v>0</v>
      </c>
      <c r="V321" s="226">
        <f>VLOOKUP(C321,'Talente &amp; Stuff'!CL:DM,20,FALSE)</f>
        <v>0</v>
      </c>
      <c r="W321" s="245">
        <f>VLOOKUP(C321,'Talente &amp; Stuff'!CL:DM,21,FALSE)</f>
        <v>0</v>
      </c>
      <c r="X321" s="245">
        <f>VLOOKUP(C321,'Talente &amp; Stuff'!CL:DM,22,FALSE)</f>
        <v>0</v>
      </c>
      <c r="Y321" s="252">
        <f>VLOOKUP(C321,Ausgewählte_Zauber_Zauberbarden,110,FALSE)</f>
        <v>0</v>
      </c>
      <c r="Z321" s="309">
        <f>VLOOKUP(C321,Ausgewählte_Zauber_Zauberbarden,111,FALSE)</f>
        <v>0</v>
      </c>
      <c r="AA321" s="246">
        <f>VLOOKUP(C321,'Talente &amp; Stuff'!CL:DM,25,FALSE)</f>
        <v>0</v>
      </c>
      <c r="AB321" s="244">
        <f>VLOOKUP(C321,'Talente &amp; Stuff'!CL:DM,26,FALSE)</f>
        <v>0</v>
      </c>
      <c r="AC321" s="245">
        <f>VLOOKUP(C321,'Talente &amp; Stuff'!CL:DM,27,FALSE)</f>
        <v>0</v>
      </c>
      <c r="AD321" s="246">
        <f>VLOOKUP(C321,'Talente &amp; Stuff'!CL:DM,28,FALSE)</f>
        <v>0</v>
      </c>
      <c r="AE321" s="343"/>
    </row>
    <row r="322" spans="1:31" s="217" customFormat="1" hidden="1" outlineLevel="1" collapsed="1">
      <c r="A322" s="185"/>
      <c r="B322" s="216" t="s">
        <v>446</v>
      </c>
      <c r="C322" s="307"/>
      <c r="D322" s="308"/>
      <c r="E322" s="308"/>
      <c r="Y322" s="251"/>
      <c r="Z322" s="251"/>
    </row>
    <row r="323" spans="1:31" s="217" customFormat="1" hidden="1" outlineLevel="2">
      <c r="A323" s="185"/>
      <c r="B323" s="217">
        <v>1</v>
      </c>
      <c r="C323" s="302" t="str">
        <f>Attribute!C323</f>
        <v>---</v>
      </c>
      <c r="D323" s="43" t="str">
        <f>VLOOKUP(C323,'Talente &amp; Stuff'!CL:DM,2,FALSE)</f>
        <v>--/--/--</v>
      </c>
      <c r="E323" s="42" t="str">
        <f>VLOOKUP(C323,'Talente &amp; Stuff'!CL:DM,3,FALSE)</f>
        <v>-</v>
      </c>
      <c r="F323" s="236">
        <f>VLOOKUP(C323,'Talente &amp; Stuff'!CL:DM,4,FALSE)</f>
        <v>0</v>
      </c>
      <c r="G323" s="233">
        <f>VLOOKUP(C323,'Talente &amp; Stuff'!CL:DM,5,FALSE)</f>
        <v>0</v>
      </c>
      <c r="H323" s="233">
        <f>VLOOKUP(C323,'Talente &amp; Stuff'!CL:DM,6,FALSE)</f>
        <v>0</v>
      </c>
      <c r="I323" s="233">
        <f>VLOOKUP(C323,'Talente &amp; Stuff'!CL:DM,7,FALSE)</f>
        <v>0</v>
      </c>
      <c r="J323" s="233">
        <f>VLOOKUP(C323,'Talente &amp; Stuff'!CL:DM,8,FALSE)</f>
        <v>0</v>
      </c>
      <c r="K323" s="233">
        <f>VLOOKUP(C323,'Talente &amp; Stuff'!CL:DM,9,FALSE)</f>
        <v>0</v>
      </c>
      <c r="L323" s="233">
        <f>VLOOKUP(C323,'Talente &amp; Stuff'!CL:DM,10,FALSE)</f>
        <v>0</v>
      </c>
      <c r="M323" s="221">
        <f>VLOOKUP(C323,'Talente &amp; Stuff'!CL:DM,11,FALSE)</f>
        <v>0</v>
      </c>
      <c r="N323" s="219">
        <f>VLOOKUP(C323,'Talente &amp; Stuff'!CL:DM,12,FALSE)</f>
        <v>0</v>
      </c>
      <c r="O323" s="220">
        <f>VLOOKUP(C323,'Talente &amp; Stuff'!CL:DM,13,FALSE)</f>
        <v>0</v>
      </c>
      <c r="P323" s="221">
        <f>VLOOKUP(C323,'Talente &amp; Stuff'!CL:DM,14,FALSE)</f>
        <v>0</v>
      </c>
      <c r="Q323" s="236">
        <f>VLOOKUP(C323,'Talente &amp; Stuff'!CL:DM,15,FALSE)</f>
        <v>0</v>
      </c>
      <c r="R323" s="316">
        <f>VLOOKUP(C323,'Talente &amp; Stuff'!CL:DM,16,FALSE)</f>
        <v>0</v>
      </c>
      <c r="S323" s="221">
        <f>VLOOKUP(C323,'Talente &amp; Stuff'!CL:DM,17,FALSE)</f>
        <v>0</v>
      </c>
      <c r="T323" s="78">
        <f>VLOOKUP(C323,'Talente &amp; Stuff'!CL:DM,18,FALSE)</f>
        <v>0</v>
      </c>
      <c r="U323" s="219">
        <f>VLOOKUP(C323,'Talente &amp; Stuff'!CL:DM,19,FALSE)</f>
        <v>0</v>
      </c>
      <c r="V323" s="220">
        <f>VLOOKUP(C323,'Talente &amp; Stuff'!CL:DM,20,FALSE)</f>
        <v>0</v>
      </c>
      <c r="W323" s="241">
        <f>VLOOKUP(C323,'Talente &amp; Stuff'!CL:DM,21,FALSE)</f>
        <v>0</v>
      </c>
      <c r="X323" s="42">
        <f>VLOOKUP(C323,'Talente &amp; Stuff'!CL:DM,22,FALSE)</f>
        <v>0</v>
      </c>
      <c r="Y323" s="252">
        <f>VLOOKUP(C323,Ausgewählte_Zauber_Zaubertänzer,110,FALSE)</f>
        <v>0</v>
      </c>
      <c r="Z323" s="309">
        <f>VLOOKUP(C323,Ausgewählte_Zauber_Zaubertänzer,111,FALSE)</f>
        <v>0</v>
      </c>
      <c r="AA323" s="42">
        <f>VLOOKUP(C323,'Talente &amp; Stuff'!CL:DM,25,FALSE)</f>
        <v>0</v>
      </c>
      <c r="AB323" s="78">
        <f>VLOOKUP(C323,'Talente &amp; Stuff'!CL:DM,26,FALSE)</f>
        <v>0</v>
      </c>
      <c r="AC323" s="42">
        <f>VLOOKUP(C323,'Talente &amp; Stuff'!CL:DM,27,FALSE)</f>
        <v>0</v>
      </c>
      <c r="AD323" s="42">
        <f>VLOOKUP(C323,'Talente &amp; Stuff'!CL:DM,28,FALSE)</f>
        <v>0</v>
      </c>
      <c r="AE323" s="343"/>
    </row>
    <row r="324" spans="1:31" s="217" customFormat="1" hidden="1" outlineLevel="2">
      <c r="A324" s="185"/>
      <c r="B324" s="217">
        <v>2</v>
      </c>
      <c r="C324" s="303" t="str">
        <f>Attribute!C324</f>
        <v>---</v>
      </c>
      <c r="D324" s="304" t="str">
        <f>VLOOKUP(C324,'Talente &amp; Stuff'!CL:DM,2,FALSE)</f>
        <v>--/--/--</v>
      </c>
      <c r="E324" s="304" t="str">
        <f>VLOOKUP(C324,'Talente &amp; Stuff'!CL:DM,3,FALSE)</f>
        <v>-</v>
      </c>
      <c r="F324" s="317">
        <f>VLOOKUP(C324,'Talente &amp; Stuff'!CL:DM,4,FALSE)</f>
        <v>0</v>
      </c>
      <c r="G324" s="254">
        <f>VLOOKUP(C324,'Talente &amp; Stuff'!CL:DM,5,FALSE)</f>
        <v>0</v>
      </c>
      <c r="H324" s="254">
        <f>VLOOKUP(C324,'Talente &amp; Stuff'!CL:DM,6,FALSE)</f>
        <v>0</v>
      </c>
      <c r="I324" s="254">
        <f>VLOOKUP(C324,'Talente &amp; Stuff'!CL:DM,7,FALSE)</f>
        <v>0</v>
      </c>
      <c r="J324" s="254">
        <f>VLOOKUP(C324,'Talente &amp; Stuff'!CL:DM,8,FALSE)</f>
        <v>0</v>
      </c>
      <c r="K324" s="254">
        <f>VLOOKUP(C324,'Talente &amp; Stuff'!CL:DM,9,FALSE)</f>
        <v>0</v>
      </c>
      <c r="L324" s="254">
        <f>VLOOKUP(C324,'Talente &amp; Stuff'!CL:DM,10,FALSE)</f>
        <v>0</v>
      </c>
      <c r="M324" s="318">
        <f>VLOOKUP(C324,'Talente &amp; Stuff'!CL:DM,11,FALSE)</f>
        <v>0</v>
      </c>
      <c r="N324" s="222">
        <f>VLOOKUP(C324,'Talente &amp; Stuff'!CL:DM,12,FALSE)</f>
        <v>0</v>
      </c>
      <c r="O324" s="223">
        <f>VLOOKUP(C324,'Talente &amp; Stuff'!CL:DM,13,FALSE)</f>
        <v>0</v>
      </c>
      <c r="P324" s="224">
        <f>VLOOKUP(C324,'Talente &amp; Stuff'!CL:DM,14,FALSE)</f>
        <v>0</v>
      </c>
      <c r="Q324" s="237">
        <f>VLOOKUP(C324,'Talente &amp; Stuff'!CL:DM,15,FALSE)</f>
        <v>0</v>
      </c>
      <c r="R324" s="254">
        <f>VLOOKUP(C324,'Talente &amp; Stuff'!CL:DM,16,FALSE)</f>
        <v>0</v>
      </c>
      <c r="S324" s="224">
        <f>VLOOKUP(C324,'Talente &amp; Stuff'!CL:DM,17,FALSE)</f>
        <v>0</v>
      </c>
      <c r="T324" s="242">
        <f>VLOOKUP(C324,'Talente &amp; Stuff'!CL:DM,18,FALSE)</f>
        <v>0</v>
      </c>
      <c r="U324" s="222">
        <f>VLOOKUP(C324,'Talente &amp; Stuff'!CL:DM,19,FALSE)</f>
        <v>0</v>
      </c>
      <c r="V324" s="223">
        <f>VLOOKUP(C324,'Talente &amp; Stuff'!CL:DM,20,FALSE)</f>
        <v>0</v>
      </c>
      <c r="W324" s="243">
        <f>VLOOKUP(C324,'Talente &amp; Stuff'!CL:DM,21,FALSE)</f>
        <v>0</v>
      </c>
      <c r="X324" s="218">
        <f>VLOOKUP(C324,'Talente &amp; Stuff'!CL:DM,22,FALSE)</f>
        <v>0</v>
      </c>
      <c r="Y324" s="252">
        <f>VLOOKUP(C324,Ausgewählte_Zauber_Zaubertänzer,110,FALSE)</f>
        <v>0</v>
      </c>
      <c r="Z324" s="309">
        <f>VLOOKUP(C324,Ausgewählte_Zauber_Zaubertänzer,111,FALSE)</f>
        <v>0</v>
      </c>
      <c r="AA324" s="218">
        <f>VLOOKUP(C324,'Talente &amp; Stuff'!CL:DM,25,FALSE)</f>
        <v>0</v>
      </c>
      <c r="AB324" s="242">
        <f>VLOOKUP(C324,'Talente &amp; Stuff'!CL:DM,26,FALSE)</f>
        <v>0</v>
      </c>
      <c r="AC324" s="218">
        <f>VLOOKUP(C324,'Talente &amp; Stuff'!CL:DM,27,FALSE)</f>
        <v>0</v>
      </c>
      <c r="AD324" s="218">
        <f>VLOOKUP(C324,'Talente &amp; Stuff'!CL:DM,28,FALSE)</f>
        <v>0</v>
      </c>
      <c r="AE324" s="343"/>
    </row>
    <row r="325" spans="1:31" s="217" customFormat="1" hidden="1" outlineLevel="2">
      <c r="A325" s="185"/>
      <c r="B325" s="217">
        <v>3</v>
      </c>
      <c r="C325" s="303" t="str">
        <f>Attribute!C325</f>
        <v>---</v>
      </c>
      <c r="D325" s="304" t="str">
        <f>VLOOKUP(C325,'Talente &amp; Stuff'!CL:DM,2,FALSE)</f>
        <v>--/--/--</v>
      </c>
      <c r="E325" s="304" t="str">
        <f>VLOOKUP(C325,'Talente &amp; Stuff'!CL:DM,3,FALSE)</f>
        <v>-</v>
      </c>
      <c r="F325" s="317">
        <f>VLOOKUP(C325,'Talente &amp; Stuff'!CL:DM,4,FALSE)</f>
        <v>0</v>
      </c>
      <c r="G325" s="254">
        <f>VLOOKUP(C325,'Talente &amp; Stuff'!CL:DM,5,FALSE)</f>
        <v>0</v>
      </c>
      <c r="H325" s="254">
        <f>VLOOKUP(C325,'Talente &amp; Stuff'!CL:DM,6,FALSE)</f>
        <v>0</v>
      </c>
      <c r="I325" s="254">
        <f>VLOOKUP(C325,'Talente &amp; Stuff'!CL:DM,7,FALSE)</f>
        <v>0</v>
      </c>
      <c r="J325" s="254">
        <f>VLOOKUP(C325,'Talente &amp; Stuff'!CL:DM,8,FALSE)</f>
        <v>0</v>
      </c>
      <c r="K325" s="254">
        <f>VLOOKUP(C325,'Talente &amp; Stuff'!CL:DM,9,FALSE)</f>
        <v>0</v>
      </c>
      <c r="L325" s="254">
        <f>VLOOKUP(C325,'Talente &amp; Stuff'!CL:DM,10,FALSE)</f>
        <v>0</v>
      </c>
      <c r="M325" s="318">
        <f>VLOOKUP(C325,'Talente &amp; Stuff'!CL:DM,11,FALSE)</f>
        <v>0</v>
      </c>
      <c r="N325" s="222">
        <f>VLOOKUP(C325,'Talente &amp; Stuff'!CL:DM,12,FALSE)</f>
        <v>0</v>
      </c>
      <c r="O325" s="223">
        <f>VLOOKUP(C325,'Talente &amp; Stuff'!CL:DM,13,FALSE)</f>
        <v>0</v>
      </c>
      <c r="P325" s="224">
        <f>VLOOKUP(C325,'Talente &amp; Stuff'!CL:DM,14,FALSE)</f>
        <v>0</v>
      </c>
      <c r="Q325" s="237">
        <f>VLOOKUP(C325,'Talente &amp; Stuff'!CL:DM,15,FALSE)</f>
        <v>0</v>
      </c>
      <c r="R325" s="254">
        <f>VLOOKUP(C325,'Talente &amp; Stuff'!CL:DM,16,FALSE)</f>
        <v>0</v>
      </c>
      <c r="S325" s="224">
        <f>VLOOKUP(C325,'Talente &amp; Stuff'!CL:DM,17,FALSE)</f>
        <v>0</v>
      </c>
      <c r="T325" s="242">
        <f>VLOOKUP(C325,'Talente &amp; Stuff'!CL:DM,18,FALSE)</f>
        <v>0</v>
      </c>
      <c r="U325" s="222">
        <f>VLOOKUP(C325,'Talente &amp; Stuff'!CL:DM,19,FALSE)</f>
        <v>0</v>
      </c>
      <c r="V325" s="223">
        <f>VLOOKUP(C325,'Talente &amp; Stuff'!CL:DM,20,FALSE)</f>
        <v>0</v>
      </c>
      <c r="W325" s="243">
        <f>VLOOKUP(C325,'Talente &amp; Stuff'!CL:DM,21,FALSE)</f>
        <v>0</v>
      </c>
      <c r="X325" s="218">
        <f>VLOOKUP(C325,'Talente &amp; Stuff'!CL:DM,22,FALSE)</f>
        <v>0</v>
      </c>
      <c r="Y325" s="252">
        <f>VLOOKUP(C325,Ausgewählte_Zauber_Zaubertänzer,110,FALSE)</f>
        <v>0</v>
      </c>
      <c r="Z325" s="309">
        <f>VLOOKUP(C325,Ausgewählte_Zauber_Zaubertänzer,111,FALSE)</f>
        <v>0</v>
      </c>
      <c r="AA325" s="218">
        <f>VLOOKUP(C325,'Talente &amp; Stuff'!CL:DM,25,FALSE)</f>
        <v>0</v>
      </c>
      <c r="AB325" s="242">
        <f>VLOOKUP(C325,'Talente &amp; Stuff'!CL:DM,26,FALSE)</f>
        <v>0</v>
      </c>
      <c r="AC325" s="218">
        <f>VLOOKUP(C325,'Talente &amp; Stuff'!CL:DM,27,FALSE)</f>
        <v>0</v>
      </c>
      <c r="AD325" s="218">
        <f>VLOOKUP(C325,'Talente &amp; Stuff'!CL:DM,28,FALSE)</f>
        <v>0</v>
      </c>
      <c r="AE325" s="343"/>
    </row>
    <row r="326" spans="1:31" s="217" customFormat="1" hidden="1" outlineLevel="2">
      <c r="A326" s="185"/>
      <c r="B326" s="217">
        <v>4</v>
      </c>
      <c r="C326" s="303" t="str">
        <f>Attribute!C326</f>
        <v>---</v>
      </c>
      <c r="D326" s="304" t="str">
        <f>VLOOKUP(C326,'Talente &amp; Stuff'!CL:DM,2,FALSE)</f>
        <v>--/--/--</v>
      </c>
      <c r="E326" s="304" t="str">
        <f>VLOOKUP(C326,'Talente &amp; Stuff'!CL:DM,3,FALSE)</f>
        <v>-</v>
      </c>
      <c r="F326" s="317">
        <f>VLOOKUP(C326,'Talente &amp; Stuff'!CL:DM,4,FALSE)</f>
        <v>0</v>
      </c>
      <c r="G326" s="254">
        <f>VLOOKUP(C326,'Talente &amp; Stuff'!CL:DM,5,FALSE)</f>
        <v>0</v>
      </c>
      <c r="H326" s="254">
        <f>VLOOKUP(C326,'Talente &amp; Stuff'!CL:DM,6,FALSE)</f>
        <v>0</v>
      </c>
      <c r="I326" s="254">
        <f>VLOOKUP(C326,'Talente &amp; Stuff'!CL:DM,7,FALSE)</f>
        <v>0</v>
      </c>
      <c r="J326" s="254">
        <f>VLOOKUP(C326,'Talente &amp; Stuff'!CL:DM,8,FALSE)</f>
        <v>0</v>
      </c>
      <c r="K326" s="254">
        <f>VLOOKUP(C326,'Talente &amp; Stuff'!CL:DM,9,FALSE)</f>
        <v>0</v>
      </c>
      <c r="L326" s="254">
        <f>VLOOKUP(C326,'Talente &amp; Stuff'!CL:DM,10,FALSE)</f>
        <v>0</v>
      </c>
      <c r="M326" s="318">
        <f>VLOOKUP(C326,'Talente &amp; Stuff'!CL:DM,11,FALSE)</f>
        <v>0</v>
      </c>
      <c r="N326" s="222">
        <f>VLOOKUP(C326,'Talente &amp; Stuff'!CL:DM,12,FALSE)</f>
        <v>0</v>
      </c>
      <c r="O326" s="223">
        <f>VLOOKUP(C326,'Talente &amp; Stuff'!CL:DM,13,FALSE)</f>
        <v>0</v>
      </c>
      <c r="P326" s="224">
        <f>VLOOKUP(C326,'Talente &amp; Stuff'!CL:DM,14,FALSE)</f>
        <v>0</v>
      </c>
      <c r="Q326" s="237">
        <f>VLOOKUP(C326,'Talente &amp; Stuff'!CL:DM,15,FALSE)</f>
        <v>0</v>
      </c>
      <c r="R326" s="254">
        <f>VLOOKUP(C326,'Talente &amp; Stuff'!CL:DM,16,FALSE)</f>
        <v>0</v>
      </c>
      <c r="S326" s="224">
        <f>VLOOKUP(C326,'Talente &amp; Stuff'!CL:DM,17,FALSE)</f>
        <v>0</v>
      </c>
      <c r="T326" s="242">
        <f>VLOOKUP(C326,'Talente &amp; Stuff'!CL:DM,18,FALSE)</f>
        <v>0</v>
      </c>
      <c r="U326" s="222">
        <f>VLOOKUP(C326,'Talente &amp; Stuff'!CL:DM,19,FALSE)</f>
        <v>0</v>
      </c>
      <c r="V326" s="223">
        <f>VLOOKUP(C326,'Talente &amp; Stuff'!CL:DM,20,FALSE)</f>
        <v>0</v>
      </c>
      <c r="W326" s="243">
        <f>VLOOKUP(C326,'Talente &amp; Stuff'!CL:DM,21,FALSE)</f>
        <v>0</v>
      </c>
      <c r="X326" s="218">
        <f>VLOOKUP(C326,'Talente &amp; Stuff'!CL:DM,22,FALSE)</f>
        <v>0</v>
      </c>
      <c r="Y326" s="252">
        <f>VLOOKUP(C326,Ausgewählte_Zauber_Zaubertänzer,110,FALSE)</f>
        <v>0</v>
      </c>
      <c r="Z326" s="309">
        <f>VLOOKUP(C326,Ausgewählte_Zauber_Zaubertänzer,111,FALSE)</f>
        <v>0</v>
      </c>
      <c r="AA326" s="218">
        <f>VLOOKUP(C326,'Talente &amp; Stuff'!CL:DM,25,FALSE)</f>
        <v>0</v>
      </c>
      <c r="AB326" s="242">
        <f>VLOOKUP(C326,'Talente &amp; Stuff'!CL:DM,26,FALSE)</f>
        <v>0</v>
      </c>
      <c r="AC326" s="218">
        <f>VLOOKUP(C326,'Talente &amp; Stuff'!CL:DM,27,FALSE)</f>
        <v>0</v>
      </c>
      <c r="AD326" s="218">
        <f>VLOOKUP(C326,'Talente &amp; Stuff'!CL:DM,28,FALSE)</f>
        <v>0</v>
      </c>
      <c r="AE326" s="343"/>
    </row>
    <row r="327" spans="1:31" s="217" customFormat="1" hidden="1" outlineLevel="2">
      <c r="A327" s="185"/>
      <c r="B327" s="217">
        <v>5</v>
      </c>
      <c r="C327" s="303" t="str">
        <f>Attribute!C327</f>
        <v>---</v>
      </c>
      <c r="D327" s="304" t="str">
        <f>VLOOKUP(C327,'Talente &amp; Stuff'!CL:DM,2,FALSE)</f>
        <v>--/--/--</v>
      </c>
      <c r="E327" s="304" t="str">
        <f>VLOOKUP(C327,'Talente &amp; Stuff'!CL:DM,3,FALSE)</f>
        <v>-</v>
      </c>
      <c r="F327" s="317">
        <f>VLOOKUP(C327,'Talente &amp; Stuff'!CL:DM,4,FALSE)</f>
        <v>0</v>
      </c>
      <c r="G327" s="254">
        <f>VLOOKUP(C327,'Talente &amp; Stuff'!CL:DM,5,FALSE)</f>
        <v>0</v>
      </c>
      <c r="H327" s="254">
        <f>VLOOKUP(C327,'Talente &amp; Stuff'!CL:DM,6,FALSE)</f>
        <v>0</v>
      </c>
      <c r="I327" s="254">
        <f>VLOOKUP(C327,'Talente &amp; Stuff'!CL:DM,7,FALSE)</f>
        <v>0</v>
      </c>
      <c r="J327" s="254">
        <f>VLOOKUP(C327,'Talente &amp; Stuff'!CL:DM,8,FALSE)</f>
        <v>0</v>
      </c>
      <c r="K327" s="254">
        <f>VLOOKUP(C327,'Talente &amp; Stuff'!CL:DM,9,FALSE)</f>
        <v>0</v>
      </c>
      <c r="L327" s="254">
        <f>VLOOKUP(C327,'Talente &amp; Stuff'!CL:DM,10,FALSE)</f>
        <v>0</v>
      </c>
      <c r="M327" s="318">
        <f>VLOOKUP(C327,'Talente &amp; Stuff'!CL:DM,11,FALSE)</f>
        <v>0</v>
      </c>
      <c r="N327" s="222">
        <f>VLOOKUP(C327,'Talente &amp; Stuff'!CL:DM,12,FALSE)</f>
        <v>0</v>
      </c>
      <c r="O327" s="223">
        <f>VLOOKUP(C327,'Talente &amp; Stuff'!CL:DM,13,FALSE)</f>
        <v>0</v>
      </c>
      <c r="P327" s="224">
        <f>VLOOKUP(C327,'Talente &amp; Stuff'!CL:DM,14,FALSE)</f>
        <v>0</v>
      </c>
      <c r="Q327" s="237">
        <f>VLOOKUP(C327,'Talente &amp; Stuff'!CL:DM,15,FALSE)</f>
        <v>0</v>
      </c>
      <c r="R327" s="254">
        <f>VLOOKUP(C327,'Talente &amp; Stuff'!CL:DM,16,FALSE)</f>
        <v>0</v>
      </c>
      <c r="S327" s="224">
        <f>VLOOKUP(C327,'Talente &amp; Stuff'!CL:DM,17,FALSE)</f>
        <v>0</v>
      </c>
      <c r="T327" s="242">
        <f>VLOOKUP(C327,'Talente &amp; Stuff'!CL:DM,18,FALSE)</f>
        <v>0</v>
      </c>
      <c r="U327" s="222">
        <f>VLOOKUP(C327,'Talente &amp; Stuff'!CL:DM,19,FALSE)</f>
        <v>0</v>
      </c>
      <c r="V327" s="223">
        <f>VLOOKUP(C327,'Talente &amp; Stuff'!CL:DM,20,FALSE)</f>
        <v>0</v>
      </c>
      <c r="W327" s="243">
        <f>VLOOKUP(C327,'Talente &amp; Stuff'!CL:DM,21,FALSE)</f>
        <v>0</v>
      </c>
      <c r="X327" s="218">
        <f>VLOOKUP(C327,'Talente &amp; Stuff'!CL:DM,22,FALSE)</f>
        <v>0</v>
      </c>
      <c r="Y327" s="252">
        <f>VLOOKUP(C327,Ausgewählte_Zauber_Zaubertänzer,110,FALSE)</f>
        <v>0</v>
      </c>
      <c r="Z327" s="309">
        <f>VLOOKUP(C327,Ausgewählte_Zauber_Zaubertänzer,111,FALSE)</f>
        <v>0</v>
      </c>
      <c r="AA327" s="218">
        <f>VLOOKUP(C327,'Talente &amp; Stuff'!CL:DM,25,FALSE)</f>
        <v>0</v>
      </c>
      <c r="AB327" s="242">
        <f>VLOOKUP(C327,'Talente &amp; Stuff'!CL:DM,26,FALSE)</f>
        <v>0</v>
      </c>
      <c r="AC327" s="218">
        <f>VLOOKUP(C327,'Talente &amp; Stuff'!CL:DM,27,FALSE)</f>
        <v>0</v>
      </c>
      <c r="AD327" s="218">
        <f>VLOOKUP(C327,'Talente &amp; Stuff'!CL:DM,28,FALSE)</f>
        <v>0</v>
      </c>
      <c r="AE327" s="343"/>
    </row>
    <row r="328" spans="1:31" s="217" customFormat="1" hidden="1" outlineLevel="2">
      <c r="A328" s="185"/>
      <c r="B328" s="217">
        <v>6</v>
      </c>
      <c r="C328" s="303" t="str">
        <f>Attribute!C328</f>
        <v>---</v>
      </c>
      <c r="D328" s="304" t="str">
        <f>VLOOKUP(C328,'Talente &amp; Stuff'!CL:DM,2,FALSE)</f>
        <v>--/--/--</v>
      </c>
      <c r="E328" s="304" t="str">
        <f>VLOOKUP(C328,'Talente &amp; Stuff'!CL:DM,3,FALSE)</f>
        <v>-</v>
      </c>
      <c r="F328" s="317">
        <f>VLOOKUP(C328,'Talente &amp; Stuff'!CL:DM,4,FALSE)</f>
        <v>0</v>
      </c>
      <c r="G328" s="254">
        <f>VLOOKUP(C328,'Talente &amp; Stuff'!CL:DM,5,FALSE)</f>
        <v>0</v>
      </c>
      <c r="H328" s="254">
        <f>VLOOKUP(C328,'Talente &amp; Stuff'!CL:DM,6,FALSE)</f>
        <v>0</v>
      </c>
      <c r="I328" s="254">
        <f>VLOOKUP(C328,'Talente &amp; Stuff'!CL:DM,7,FALSE)</f>
        <v>0</v>
      </c>
      <c r="J328" s="254">
        <f>VLOOKUP(C328,'Talente &amp; Stuff'!CL:DM,8,FALSE)</f>
        <v>0</v>
      </c>
      <c r="K328" s="254">
        <f>VLOOKUP(C328,'Talente &amp; Stuff'!CL:DM,9,FALSE)</f>
        <v>0</v>
      </c>
      <c r="L328" s="254">
        <f>VLOOKUP(C328,'Talente &amp; Stuff'!CL:DM,10,FALSE)</f>
        <v>0</v>
      </c>
      <c r="M328" s="318">
        <f>VLOOKUP(C328,'Talente &amp; Stuff'!CL:DM,11,FALSE)</f>
        <v>0</v>
      </c>
      <c r="N328" s="222">
        <f>VLOOKUP(C328,'Talente &amp; Stuff'!CL:DM,12,FALSE)</f>
        <v>0</v>
      </c>
      <c r="O328" s="223">
        <f>VLOOKUP(C328,'Talente &amp; Stuff'!CL:DM,13,FALSE)</f>
        <v>0</v>
      </c>
      <c r="P328" s="224">
        <f>VLOOKUP(C328,'Talente &amp; Stuff'!CL:DM,14,FALSE)</f>
        <v>0</v>
      </c>
      <c r="Q328" s="237">
        <f>VLOOKUP(C328,'Talente &amp; Stuff'!CL:DM,15,FALSE)</f>
        <v>0</v>
      </c>
      <c r="R328" s="254">
        <f>VLOOKUP(C328,'Talente &amp; Stuff'!CL:DM,16,FALSE)</f>
        <v>0</v>
      </c>
      <c r="S328" s="224">
        <f>VLOOKUP(C328,'Talente &amp; Stuff'!CL:DM,17,FALSE)</f>
        <v>0</v>
      </c>
      <c r="T328" s="242">
        <f>VLOOKUP(C328,'Talente &amp; Stuff'!CL:DM,18,FALSE)</f>
        <v>0</v>
      </c>
      <c r="U328" s="222">
        <f>VLOOKUP(C328,'Talente &amp; Stuff'!CL:DM,19,FALSE)</f>
        <v>0</v>
      </c>
      <c r="V328" s="223">
        <f>VLOOKUP(C328,'Talente &amp; Stuff'!CL:DM,20,FALSE)</f>
        <v>0</v>
      </c>
      <c r="W328" s="243">
        <f>VLOOKUP(C328,'Talente &amp; Stuff'!CL:DM,21,FALSE)</f>
        <v>0</v>
      </c>
      <c r="X328" s="218">
        <f>VLOOKUP(C328,'Talente &amp; Stuff'!CL:DM,22,FALSE)</f>
        <v>0</v>
      </c>
      <c r="Y328" s="252">
        <f>VLOOKUP(C328,Ausgewählte_Zauber_Zaubertänzer,110,FALSE)</f>
        <v>0</v>
      </c>
      <c r="Z328" s="309">
        <f>VLOOKUP(C328,Ausgewählte_Zauber_Zaubertänzer,111,FALSE)</f>
        <v>0</v>
      </c>
      <c r="AA328" s="218">
        <f>VLOOKUP(C328,'Talente &amp; Stuff'!CL:DM,25,FALSE)</f>
        <v>0</v>
      </c>
      <c r="AB328" s="242">
        <f>VLOOKUP(C328,'Talente &amp; Stuff'!CL:DM,26,FALSE)</f>
        <v>0</v>
      </c>
      <c r="AC328" s="218">
        <f>VLOOKUP(C328,'Talente &amp; Stuff'!CL:DM,27,FALSE)</f>
        <v>0</v>
      </c>
      <c r="AD328" s="218">
        <f>VLOOKUP(C328,'Talente &amp; Stuff'!CL:DM,28,FALSE)</f>
        <v>0</v>
      </c>
      <c r="AE328" s="343"/>
    </row>
    <row r="329" spans="1:31" s="217" customFormat="1" hidden="1" outlineLevel="2">
      <c r="A329" s="185"/>
      <c r="B329" s="217">
        <v>7</v>
      </c>
      <c r="C329" s="303" t="str">
        <f>Attribute!C329</f>
        <v>---</v>
      </c>
      <c r="D329" s="304" t="str">
        <f>VLOOKUP(C329,'Talente &amp; Stuff'!CL:DM,2,FALSE)</f>
        <v>--/--/--</v>
      </c>
      <c r="E329" s="304" t="str">
        <f>VLOOKUP(C329,'Talente &amp; Stuff'!CL:DM,3,FALSE)</f>
        <v>-</v>
      </c>
      <c r="F329" s="317">
        <f>VLOOKUP(C329,'Talente &amp; Stuff'!CL:DM,4,FALSE)</f>
        <v>0</v>
      </c>
      <c r="G329" s="254">
        <f>VLOOKUP(C329,'Talente &amp; Stuff'!CL:DM,5,FALSE)</f>
        <v>0</v>
      </c>
      <c r="H329" s="254">
        <f>VLOOKUP(C329,'Talente &amp; Stuff'!CL:DM,6,FALSE)</f>
        <v>0</v>
      </c>
      <c r="I329" s="254">
        <f>VLOOKUP(C329,'Talente &amp; Stuff'!CL:DM,7,FALSE)</f>
        <v>0</v>
      </c>
      <c r="J329" s="254">
        <f>VLOOKUP(C329,'Talente &amp; Stuff'!CL:DM,8,FALSE)</f>
        <v>0</v>
      </c>
      <c r="K329" s="254">
        <f>VLOOKUP(C329,'Talente &amp; Stuff'!CL:DM,9,FALSE)</f>
        <v>0</v>
      </c>
      <c r="L329" s="254">
        <f>VLOOKUP(C329,'Talente &amp; Stuff'!CL:DM,10,FALSE)</f>
        <v>0</v>
      </c>
      <c r="M329" s="318">
        <f>VLOOKUP(C329,'Talente &amp; Stuff'!CL:DM,11,FALSE)</f>
        <v>0</v>
      </c>
      <c r="N329" s="222">
        <f>VLOOKUP(C329,'Talente &amp; Stuff'!CL:DM,12,FALSE)</f>
        <v>0</v>
      </c>
      <c r="O329" s="223">
        <f>VLOOKUP(C329,'Talente &amp; Stuff'!CL:DM,13,FALSE)</f>
        <v>0</v>
      </c>
      <c r="P329" s="224">
        <f>VLOOKUP(C329,'Talente &amp; Stuff'!CL:DM,14,FALSE)</f>
        <v>0</v>
      </c>
      <c r="Q329" s="237">
        <f>VLOOKUP(C329,'Talente &amp; Stuff'!CL:DM,15,FALSE)</f>
        <v>0</v>
      </c>
      <c r="R329" s="254">
        <f>VLOOKUP(C329,'Talente &amp; Stuff'!CL:DM,16,FALSE)</f>
        <v>0</v>
      </c>
      <c r="S329" s="224">
        <f>VLOOKUP(C329,'Talente &amp; Stuff'!CL:DM,17,FALSE)</f>
        <v>0</v>
      </c>
      <c r="T329" s="242">
        <f>VLOOKUP(C329,'Talente &amp; Stuff'!CL:DM,18,FALSE)</f>
        <v>0</v>
      </c>
      <c r="U329" s="222">
        <f>VLOOKUP(C329,'Talente &amp; Stuff'!CL:DM,19,FALSE)</f>
        <v>0</v>
      </c>
      <c r="V329" s="223">
        <f>VLOOKUP(C329,'Talente &amp; Stuff'!CL:DM,20,FALSE)</f>
        <v>0</v>
      </c>
      <c r="W329" s="243">
        <f>VLOOKUP(C329,'Talente &amp; Stuff'!CL:DM,21,FALSE)</f>
        <v>0</v>
      </c>
      <c r="X329" s="218">
        <f>VLOOKUP(C329,'Talente &amp; Stuff'!CL:DM,22,FALSE)</f>
        <v>0</v>
      </c>
      <c r="Y329" s="252">
        <f>VLOOKUP(C329,Ausgewählte_Zauber_Zaubertänzer,110,FALSE)</f>
        <v>0</v>
      </c>
      <c r="Z329" s="309">
        <f>VLOOKUP(C329,Ausgewählte_Zauber_Zaubertänzer,111,FALSE)</f>
        <v>0</v>
      </c>
      <c r="AA329" s="218">
        <f>VLOOKUP(C329,'Talente &amp; Stuff'!CL:DM,25,FALSE)</f>
        <v>0</v>
      </c>
      <c r="AB329" s="242">
        <f>VLOOKUP(C329,'Talente &amp; Stuff'!CL:DM,26,FALSE)</f>
        <v>0</v>
      </c>
      <c r="AC329" s="218">
        <f>VLOOKUP(C329,'Talente &amp; Stuff'!CL:DM,27,FALSE)</f>
        <v>0</v>
      </c>
      <c r="AD329" s="218">
        <f>VLOOKUP(C329,'Talente &amp; Stuff'!CL:DM,28,FALSE)</f>
        <v>0</v>
      </c>
      <c r="AE329" s="343"/>
    </row>
    <row r="330" spans="1:31" s="217" customFormat="1" hidden="1" outlineLevel="2">
      <c r="A330" s="185"/>
      <c r="B330" s="217">
        <v>8</v>
      </c>
      <c r="C330" s="303" t="str">
        <f>Attribute!C330</f>
        <v>---</v>
      </c>
      <c r="D330" s="304" t="str">
        <f>VLOOKUP(C330,'Talente &amp; Stuff'!CL:DM,2,FALSE)</f>
        <v>--/--/--</v>
      </c>
      <c r="E330" s="304" t="str">
        <f>VLOOKUP(C330,'Talente &amp; Stuff'!CL:DM,3,FALSE)</f>
        <v>-</v>
      </c>
      <c r="F330" s="317">
        <f>VLOOKUP(C330,'Talente &amp; Stuff'!CL:DM,4,FALSE)</f>
        <v>0</v>
      </c>
      <c r="G330" s="254">
        <f>VLOOKUP(C330,'Talente &amp; Stuff'!CL:DM,5,FALSE)</f>
        <v>0</v>
      </c>
      <c r="H330" s="254">
        <f>VLOOKUP(C330,'Talente &amp; Stuff'!CL:DM,6,FALSE)</f>
        <v>0</v>
      </c>
      <c r="I330" s="254">
        <f>VLOOKUP(C330,'Talente &amp; Stuff'!CL:DM,7,FALSE)</f>
        <v>0</v>
      </c>
      <c r="J330" s="254">
        <f>VLOOKUP(C330,'Talente &amp; Stuff'!CL:DM,8,FALSE)</f>
        <v>0</v>
      </c>
      <c r="K330" s="254">
        <f>VLOOKUP(C330,'Talente &amp; Stuff'!CL:DM,9,FALSE)</f>
        <v>0</v>
      </c>
      <c r="L330" s="254">
        <f>VLOOKUP(C330,'Talente &amp; Stuff'!CL:DM,10,FALSE)</f>
        <v>0</v>
      </c>
      <c r="M330" s="318">
        <f>VLOOKUP(C330,'Talente &amp; Stuff'!CL:DM,11,FALSE)</f>
        <v>0</v>
      </c>
      <c r="N330" s="222">
        <f>VLOOKUP(C330,'Talente &amp; Stuff'!CL:DM,12,FALSE)</f>
        <v>0</v>
      </c>
      <c r="O330" s="223">
        <f>VLOOKUP(C330,'Talente &amp; Stuff'!CL:DM,13,FALSE)</f>
        <v>0</v>
      </c>
      <c r="P330" s="224">
        <f>VLOOKUP(C330,'Talente &amp; Stuff'!CL:DM,14,FALSE)</f>
        <v>0</v>
      </c>
      <c r="Q330" s="237">
        <f>VLOOKUP(C330,'Talente &amp; Stuff'!CL:DM,15,FALSE)</f>
        <v>0</v>
      </c>
      <c r="R330" s="254">
        <f>VLOOKUP(C330,'Talente &amp; Stuff'!CL:DM,16,FALSE)</f>
        <v>0</v>
      </c>
      <c r="S330" s="224">
        <f>VLOOKUP(C330,'Talente &amp; Stuff'!CL:DM,17,FALSE)</f>
        <v>0</v>
      </c>
      <c r="T330" s="242">
        <f>VLOOKUP(C330,'Talente &amp; Stuff'!CL:DM,18,FALSE)</f>
        <v>0</v>
      </c>
      <c r="U330" s="222">
        <f>VLOOKUP(C330,'Talente &amp; Stuff'!CL:DM,19,FALSE)</f>
        <v>0</v>
      </c>
      <c r="V330" s="223">
        <f>VLOOKUP(C330,'Talente &amp; Stuff'!CL:DM,20,FALSE)</f>
        <v>0</v>
      </c>
      <c r="W330" s="243">
        <f>VLOOKUP(C330,'Talente &amp; Stuff'!CL:DM,21,FALSE)</f>
        <v>0</v>
      </c>
      <c r="X330" s="218">
        <f>VLOOKUP(C330,'Talente &amp; Stuff'!CL:DM,22,FALSE)</f>
        <v>0</v>
      </c>
      <c r="Y330" s="252">
        <f>VLOOKUP(C330,Ausgewählte_Zauber_Zaubertänzer,110,FALSE)</f>
        <v>0</v>
      </c>
      <c r="Z330" s="309">
        <f>VLOOKUP(C330,Ausgewählte_Zauber_Zaubertänzer,111,FALSE)</f>
        <v>0</v>
      </c>
      <c r="AA330" s="218">
        <f>VLOOKUP(C330,'Talente &amp; Stuff'!CL:DM,25,FALSE)</f>
        <v>0</v>
      </c>
      <c r="AB330" s="242">
        <f>VLOOKUP(C330,'Talente &amp; Stuff'!CL:DM,26,FALSE)</f>
        <v>0</v>
      </c>
      <c r="AC330" s="218">
        <f>VLOOKUP(C330,'Talente &amp; Stuff'!CL:DM,27,FALSE)</f>
        <v>0</v>
      </c>
      <c r="AD330" s="218">
        <f>VLOOKUP(C330,'Talente &amp; Stuff'!CL:DM,28,FALSE)</f>
        <v>0</v>
      </c>
      <c r="AE330" s="343"/>
    </row>
    <row r="331" spans="1:31" s="217" customFormat="1" hidden="1" outlineLevel="2">
      <c r="A331" s="185"/>
      <c r="B331" s="217">
        <v>9</v>
      </c>
      <c r="C331" s="303" t="str">
        <f>Attribute!C331</f>
        <v>---</v>
      </c>
      <c r="D331" s="304" t="str">
        <f>VLOOKUP(C331,'Talente &amp; Stuff'!CL:DM,2,FALSE)</f>
        <v>--/--/--</v>
      </c>
      <c r="E331" s="304" t="str">
        <f>VLOOKUP(C331,'Talente &amp; Stuff'!CL:DM,3,FALSE)</f>
        <v>-</v>
      </c>
      <c r="F331" s="317">
        <f>VLOOKUP(C331,'Talente &amp; Stuff'!CL:DM,4,FALSE)</f>
        <v>0</v>
      </c>
      <c r="G331" s="254">
        <f>VLOOKUP(C331,'Talente &amp; Stuff'!CL:DM,5,FALSE)</f>
        <v>0</v>
      </c>
      <c r="H331" s="254">
        <f>VLOOKUP(C331,'Talente &amp; Stuff'!CL:DM,6,FALSE)</f>
        <v>0</v>
      </c>
      <c r="I331" s="254">
        <f>VLOOKUP(C331,'Talente &amp; Stuff'!CL:DM,7,FALSE)</f>
        <v>0</v>
      </c>
      <c r="J331" s="254">
        <f>VLOOKUP(C331,'Talente &amp; Stuff'!CL:DM,8,FALSE)</f>
        <v>0</v>
      </c>
      <c r="K331" s="254">
        <f>VLOOKUP(C331,'Talente &amp; Stuff'!CL:DM,9,FALSE)</f>
        <v>0</v>
      </c>
      <c r="L331" s="254">
        <f>VLOOKUP(C331,'Talente &amp; Stuff'!CL:DM,10,FALSE)</f>
        <v>0</v>
      </c>
      <c r="M331" s="318">
        <f>VLOOKUP(C331,'Talente &amp; Stuff'!CL:DM,11,FALSE)</f>
        <v>0</v>
      </c>
      <c r="N331" s="222">
        <f>VLOOKUP(C331,'Talente &amp; Stuff'!CL:DM,12,FALSE)</f>
        <v>0</v>
      </c>
      <c r="O331" s="223">
        <f>VLOOKUP(C331,'Talente &amp; Stuff'!CL:DM,13,FALSE)</f>
        <v>0</v>
      </c>
      <c r="P331" s="224">
        <f>VLOOKUP(C331,'Talente &amp; Stuff'!CL:DM,14,FALSE)</f>
        <v>0</v>
      </c>
      <c r="Q331" s="237">
        <f>VLOOKUP(C331,'Talente &amp; Stuff'!CL:DM,15,FALSE)</f>
        <v>0</v>
      </c>
      <c r="R331" s="254">
        <f>VLOOKUP(C331,'Talente &amp; Stuff'!CL:DM,16,FALSE)</f>
        <v>0</v>
      </c>
      <c r="S331" s="224">
        <f>VLOOKUP(C331,'Talente &amp; Stuff'!CL:DM,17,FALSE)</f>
        <v>0</v>
      </c>
      <c r="T331" s="242">
        <f>VLOOKUP(C331,'Talente &amp; Stuff'!CL:DM,18,FALSE)</f>
        <v>0</v>
      </c>
      <c r="U331" s="222">
        <f>VLOOKUP(C331,'Talente &amp; Stuff'!CL:DM,19,FALSE)</f>
        <v>0</v>
      </c>
      <c r="V331" s="223">
        <f>VLOOKUP(C331,'Talente &amp; Stuff'!CL:DM,20,FALSE)</f>
        <v>0</v>
      </c>
      <c r="W331" s="243">
        <f>VLOOKUP(C331,'Talente &amp; Stuff'!CL:DM,21,FALSE)</f>
        <v>0</v>
      </c>
      <c r="X331" s="218">
        <f>VLOOKUP(C331,'Talente &amp; Stuff'!CL:DM,22,FALSE)</f>
        <v>0</v>
      </c>
      <c r="Y331" s="252">
        <f>VLOOKUP(C331,Ausgewählte_Zauber_Zaubertänzer,110,FALSE)</f>
        <v>0</v>
      </c>
      <c r="Z331" s="309">
        <f>VLOOKUP(C331,Ausgewählte_Zauber_Zaubertänzer,111,FALSE)</f>
        <v>0</v>
      </c>
      <c r="AA331" s="218">
        <f>VLOOKUP(C331,'Talente &amp; Stuff'!CL:DM,25,FALSE)</f>
        <v>0</v>
      </c>
      <c r="AB331" s="242">
        <f>VLOOKUP(C331,'Talente &amp; Stuff'!CL:DM,26,FALSE)</f>
        <v>0</v>
      </c>
      <c r="AC331" s="218">
        <f>VLOOKUP(C331,'Talente &amp; Stuff'!CL:DM,27,FALSE)</f>
        <v>0</v>
      </c>
      <c r="AD331" s="218">
        <f>VLOOKUP(C331,'Talente &amp; Stuff'!CL:DM,28,FALSE)</f>
        <v>0</v>
      </c>
      <c r="AE331" s="343"/>
    </row>
    <row r="332" spans="1:31" s="217" customFormat="1" hidden="1" outlineLevel="2">
      <c r="A332" s="185"/>
      <c r="B332" s="217">
        <v>10</v>
      </c>
      <c r="C332" s="303" t="str">
        <f>Attribute!C332</f>
        <v>---</v>
      </c>
      <c r="D332" s="304" t="str">
        <f>VLOOKUP(C332,'Talente &amp; Stuff'!CL:DM,2,FALSE)</f>
        <v>--/--/--</v>
      </c>
      <c r="E332" s="304" t="str">
        <f>VLOOKUP(C332,'Talente &amp; Stuff'!CL:DM,3,FALSE)</f>
        <v>-</v>
      </c>
      <c r="F332" s="317">
        <f>VLOOKUP(C332,'Talente &amp; Stuff'!CL:DM,4,FALSE)</f>
        <v>0</v>
      </c>
      <c r="G332" s="254">
        <f>VLOOKUP(C332,'Talente &amp; Stuff'!CL:DM,5,FALSE)</f>
        <v>0</v>
      </c>
      <c r="H332" s="254">
        <f>VLOOKUP(C332,'Talente &amp; Stuff'!CL:DM,6,FALSE)</f>
        <v>0</v>
      </c>
      <c r="I332" s="254">
        <f>VLOOKUP(C332,'Talente &amp; Stuff'!CL:DM,7,FALSE)</f>
        <v>0</v>
      </c>
      <c r="J332" s="254">
        <f>VLOOKUP(C332,'Talente &amp; Stuff'!CL:DM,8,FALSE)</f>
        <v>0</v>
      </c>
      <c r="K332" s="254">
        <f>VLOOKUP(C332,'Talente &amp; Stuff'!CL:DM,9,FALSE)</f>
        <v>0</v>
      </c>
      <c r="L332" s="254">
        <f>VLOOKUP(C332,'Talente &amp; Stuff'!CL:DM,10,FALSE)</f>
        <v>0</v>
      </c>
      <c r="M332" s="318">
        <f>VLOOKUP(C332,'Talente &amp; Stuff'!CL:DM,11,FALSE)</f>
        <v>0</v>
      </c>
      <c r="N332" s="222">
        <f>VLOOKUP(C332,'Talente &amp; Stuff'!CL:DM,12,FALSE)</f>
        <v>0</v>
      </c>
      <c r="O332" s="223">
        <f>VLOOKUP(C332,'Talente &amp; Stuff'!CL:DM,13,FALSE)</f>
        <v>0</v>
      </c>
      <c r="P332" s="224">
        <f>VLOOKUP(C332,'Talente &amp; Stuff'!CL:DM,14,FALSE)</f>
        <v>0</v>
      </c>
      <c r="Q332" s="237">
        <f>VLOOKUP(C332,'Talente &amp; Stuff'!CL:DM,15,FALSE)</f>
        <v>0</v>
      </c>
      <c r="R332" s="254">
        <f>VLOOKUP(C332,'Talente &amp; Stuff'!CL:DM,16,FALSE)</f>
        <v>0</v>
      </c>
      <c r="S332" s="224">
        <f>VLOOKUP(C332,'Talente &amp; Stuff'!CL:DM,17,FALSE)</f>
        <v>0</v>
      </c>
      <c r="T332" s="242">
        <f>VLOOKUP(C332,'Talente &amp; Stuff'!CL:DM,18,FALSE)</f>
        <v>0</v>
      </c>
      <c r="U332" s="222">
        <f>VLOOKUP(C332,'Talente &amp; Stuff'!CL:DM,19,FALSE)</f>
        <v>0</v>
      </c>
      <c r="V332" s="223">
        <f>VLOOKUP(C332,'Talente &amp; Stuff'!CL:DM,20,FALSE)</f>
        <v>0</v>
      </c>
      <c r="W332" s="243">
        <f>VLOOKUP(C332,'Talente &amp; Stuff'!CL:DM,21,FALSE)</f>
        <v>0</v>
      </c>
      <c r="X332" s="218">
        <f>VLOOKUP(C332,'Talente &amp; Stuff'!CL:DM,22,FALSE)</f>
        <v>0</v>
      </c>
      <c r="Y332" s="252">
        <f>VLOOKUP(C332,Ausgewählte_Zauber_Zaubertänzer,110,FALSE)</f>
        <v>0</v>
      </c>
      <c r="Z332" s="309">
        <f>VLOOKUP(C332,Ausgewählte_Zauber_Zaubertänzer,111,FALSE)</f>
        <v>0</v>
      </c>
      <c r="AA332" s="218">
        <f>VLOOKUP(C332,'Talente &amp; Stuff'!CL:DM,25,FALSE)</f>
        <v>0</v>
      </c>
      <c r="AB332" s="242">
        <f>VLOOKUP(C332,'Talente &amp; Stuff'!CL:DM,26,FALSE)</f>
        <v>0</v>
      </c>
      <c r="AC332" s="218">
        <f>VLOOKUP(C332,'Talente &amp; Stuff'!CL:DM,27,FALSE)</f>
        <v>0</v>
      </c>
      <c r="AD332" s="218">
        <f>VLOOKUP(C332,'Talente &amp; Stuff'!CL:DM,28,FALSE)</f>
        <v>0</v>
      </c>
      <c r="AE332" s="343"/>
    </row>
    <row r="333" spans="1:31" s="217" customFormat="1" hidden="1" outlineLevel="2">
      <c r="A333" s="185"/>
      <c r="B333" s="217">
        <v>11</v>
      </c>
      <c r="C333" s="303" t="str">
        <f>Attribute!C333</f>
        <v>---</v>
      </c>
      <c r="D333" s="304" t="str">
        <f>VLOOKUP(C333,'Talente &amp; Stuff'!CL:DM,2,FALSE)</f>
        <v>--/--/--</v>
      </c>
      <c r="E333" s="304" t="str">
        <f>VLOOKUP(C333,'Talente &amp; Stuff'!CL:DM,3,FALSE)</f>
        <v>-</v>
      </c>
      <c r="F333" s="317">
        <f>VLOOKUP(C333,'Talente &amp; Stuff'!CL:DM,4,FALSE)</f>
        <v>0</v>
      </c>
      <c r="G333" s="254">
        <f>VLOOKUP(C333,'Talente &amp; Stuff'!CL:DM,5,FALSE)</f>
        <v>0</v>
      </c>
      <c r="H333" s="254">
        <f>VLOOKUP(C333,'Talente &amp; Stuff'!CL:DM,6,FALSE)</f>
        <v>0</v>
      </c>
      <c r="I333" s="254">
        <f>VLOOKUP(C333,'Talente &amp; Stuff'!CL:DM,7,FALSE)</f>
        <v>0</v>
      </c>
      <c r="J333" s="254">
        <f>VLOOKUP(C333,'Talente &amp; Stuff'!CL:DM,8,FALSE)</f>
        <v>0</v>
      </c>
      <c r="K333" s="254">
        <f>VLOOKUP(C333,'Talente &amp; Stuff'!CL:DM,9,FALSE)</f>
        <v>0</v>
      </c>
      <c r="L333" s="254">
        <f>VLOOKUP(C333,'Talente &amp; Stuff'!CL:DM,10,FALSE)</f>
        <v>0</v>
      </c>
      <c r="M333" s="318">
        <f>VLOOKUP(C333,'Talente &amp; Stuff'!CL:DM,11,FALSE)</f>
        <v>0</v>
      </c>
      <c r="N333" s="222">
        <f>VLOOKUP(C333,'Talente &amp; Stuff'!CL:DM,12,FALSE)</f>
        <v>0</v>
      </c>
      <c r="O333" s="223">
        <f>VLOOKUP(C333,'Talente &amp; Stuff'!CL:DM,13,FALSE)</f>
        <v>0</v>
      </c>
      <c r="P333" s="224">
        <f>VLOOKUP(C333,'Talente &amp; Stuff'!CL:DM,14,FALSE)</f>
        <v>0</v>
      </c>
      <c r="Q333" s="237">
        <f>VLOOKUP(C333,'Talente &amp; Stuff'!CL:DM,15,FALSE)</f>
        <v>0</v>
      </c>
      <c r="R333" s="254">
        <f>VLOOKUP(C333,'Talente &amp; Stuff'!CL:DM,16,FALSE)</f>
        <v>0</v>
      </c>
      <c r="S333" s="224">
        <f>VLOOKUP(C333,'Talente &amp; Stuff'!CL:DM,17,FALSE)</f>
        <v>0</v>
      </c>
      <c r="T333" s="242">
        <f>VLOOKUP(C333,'Talente &amp; Stuff'!CL:DM,18,FALSE)</f>
        <v>0</v>
      </c>
      <c r="U333" s="222">
        <f>VLOOKUP(C333,'Talente &amp; Stuff'!CL:DM,19,FALSE)</f>
        <v>0</v>
      </c>
      <c r="V333" s="223">
        <f>VLOOKUP(C333,'Talente &amp; Stuff'!CL:DM,20,FALSE)</f>
        <v>0</v>
      </c>
      <c r="W333" s="243">
        <f>VLOOKUP(C333,'Talente &amp; Stuff'!CL:DM,21,FALSE)</f>
        <v>0</v>
      </c>
      <c r="X333" s="218">
        <f>VLOOKUP(C333,'Talente &amp; Stuff'!CL:DM,22,FALSE)</f>
        <v>0</v>
      </c>
      <c r="Y333" s="252">
        <f>VLOOKUP(C333,Ausgewählte_Zauber_Zaubertänzer,110,FALSE)</f>
        <v>0</v>
      </c>
      <c r="Z333" s="309">
        <f>VLOOKUP(C333,Ausgewählte_Zauber_Zaubertänzer,111,FALSE)</f>
        <v>0</v>
      </c>
      <c r="AA333" s="218">
        <f>VLOOKUP(C333,'Talente &amp; Stuff'!CL:DM,25,FALSE)</f>
        <v>0</v>
      </c>
      <c r="AB333" s="242">
        <f>VLOOKUP(C333,'Talente &amp; Stuff'!CL:DM,26,FALSE)</f>
        <v>0</v>
      </c>
      <c r="AC333" s="218">
        <f>VLOOKUP(C333,'Talente &amp; Stuff'!CL:DM,27,FALSE)</f>
        <v>0</v>
      </c>
      <c r="AD333" s="218">
        <f>VLOOKUP(C333,'Talente &amp; Stuff'!CL:DM,28,FALSE)</f>
        <v>0</v>
      </c>
      <c r="AE333" s="343"/>
    </row>
    <row r="334" spans="1:31" s="217" customFormat="1" hidden="1" outlineLevel="2">
      <c r="A334" s="185"/>
      <c r="B334" s="217">
        <v>12</v>
      </c>
      <c r="C334" s="303" t="str">
        <f>Attribute!C334</f>
        <v>---</v>
      </c>
      <c r="D334" s="304" t="str">
        <f>VLOOKUP(C334,'Talente &amp; Stuff'!CL:DM,2,FALSE)</f>
        <v>--/--/--</v>
      </c>
      <c r="E334" s="304" t="str">
        <f>VLOOKUP(C334,'Talente &amp; Stuff'!CL:DM,3,FALSE)</f>
        <v>-</v>
      </c>
      <c r="F334" s="317">
        <f>VLOOKUP(C334,'Talente &amp; Stuff'!CL:DM,4,FALSE)</f>
        <v>0</v>
      </c>
      <c r="G334" s="254">
        <f>VLOOKUP(C334,'Talente &amp; Stuff'!CL:DM,5,FALSE)</f>
        <v>0</v>
      </c>
      <c r="H334" s="254">
        <f>VLOOKUP(C334,'Talente &amp; Stuff'!CL:DM,6,FALSE)</f>
        <v>0</v>
      </c>
      <c r="I334" s="254">
        <f>VLOOKUP(C334,'Talente &amp; Stuff'!CL:DM,7,FALSE)</f>
        <v>0</v>
      </c>
      <c r="J334" s="254">
        <f>VLOOKUP(C334,'Talente &amp; Stuff'!CL:DM,8,FALSE)</f>
        <v>0</v>
      </c>
      <c r="K334" s="254">
        <f>VLOOKUP(C334,'Talente &amp; Stuff'!CL:DM,9,FALSE)</f>
        <v>0</v>
      </c>
      <c r="L334" s="254">
        <f>VLOOKUP(C334,'Talente &amp; Stuff'!CL:DM,10,FALSE)</f>
        <v>0</v>
      </c>
      <c r="M334" s="318">
        <f>VLOOKUP(C334,'Talente &amp; Stuff'!CL:DM,11,FALSE)</f>
        <v>0</v>
      </c>
      <c r="N334" s="222">
        <f>VLOOKUP(C334,'Talente &amp; Stuff'!CL:DM,12,FALSE)</f>
        <v>0</v>
      </c>
      <c r="O334" s="223">
        <f>VLOOKUP(C334,'Talente &amp; Stuff'!CL:DM,13,FALSE)</f>
        <v>0</v>
      </c>
      <c r="P334" s="224">
        <f>VLOOKUP(C334,'Talente &amp; Stuff'!CL:DM,14,FALSE)</f>
        <v>0</v>
      </c>
      <c r="Q334" s="237">
        <f>VLOOKUP(C334,'Talente &amp; Stuff'!CL:DM,15,FALSE)</f>
        <v>0</v>
      </c>
      <c r="R334" s="254">
        <f>VLOOKUP(C334,'Talente &amp; Stuff'!CL:DM,16,FALSE)</f>
        <v>0</v>
      </c>
      <c r="S334" s="224">
        <f>VLOOKUP(C334,'Talente &amp; Stuff'!CL:DM,17,FALSE)</f>
        <v>0</v>
      </c>
      <c r="T334" s="242">
        <f>VLOOKUP(C334,'Talente &amp; Stuff'!CL:DM,18,FALSE)</f>
        <v>0</v>
      </c>
      <c r="U334" s="222">
        <f>VLOOKUP(C334,'Talente &amp; Stuff'!CL:DM,19,FALSE)</f>
        <v>0</v>
      </c>
      <c r="V334" s="223">
        <f>VLOOKUP(C334,'Talente &amp; Stuff'!CL:DM,20,FALSE)</f>
        <v>0</v>
      </c>
      <c r="W334" s="243">
        <f>VLOOKUP(C334,'Talente &amp; Stuff'!CL:DM,21,FALSE)</f>
        <v>0</v>
      </c>
      <c r="X334" s="218">
        <f>VLOOKUP(C334,'Talente &amp; Stuff'!CL:DM,22,FALSE)</f>
        <v>0</v>
      </c>
      <c r="Y334" s="252">
        <f>VLOOKUP(C334,Ausgewählte_Zauber_Zaubertänzer,110,FALSE)</f>
        <v>0</v>
      </c>
      <c r="Z334" s="309">
        <f>VLOOKUP(C334,Ausgewählte_Zauber_Zaubertänzer,111,FALSE)</f>
        <v>0</v>
      </c>
      <c r="AA334" s="218">
        <f>VLOOKUP(C334,'Talente &amp; Stuff'!CL:DM,25,FALSE)</f>
        <v>0</v>
      </c>
      <c r="AB334" s="242">
        <f>VLOOKUP(C334,'Talente &amp; Stuff'!CL:DM,26,FALSE)</f>
        <v>0</v>
      </c>
      <c r="AC334" s="218">
        <f>VLOOKUP(C334,'Talente &amp; Stuff'!CL:DM,27,FALSE)</f>
        <v>0</v>
      </c>
      <c r="AD334" s="218">
        <f>VLOOKUP(C334,'Talente &amp; Stuff'!CL:DM,28,FALSE)</f>
        <v>0</v>
      </c>
      <c r="AE334" s="343"/>
    </row>
    <row r="335" spans="1:31" s="217" customFormat="1" hidden="1" outlineLevel="2">
      <c r="A335" s="185"/>
      <c r="B335" s="217">
        <v>13</v>
      </c>
      <c r="C335" s="303" t="str">
        <f>Attribute!C335</f>
        <v>---</v>
      </c>
      <c r="D335" s="304" t="str">
        <f>VLOOKUP(C335,'Talente &amp; Stuff'!CL:DM,2,FALSE)</f>
        <v>--/--/--</v>
      </c>
      <c r="E335" s="304" t="str">
        <f>VLOOKUP(C335,'Talente &amp; Stuff'!CL:DM,3,FALSE)</f>
        <v>-</v>
      </c>
      <c r="F335" s="317">
        <f>VLOOKUP(C335,'Talente &amp; Stuff'!CL:DM,4,FALSE)</f>
        <v>0</v>
      </c>
      <c r="G335" s="254">
        <f>VLOOKUP(C335,'Talente &amp; Stuff'!CL:DM,5,FALSE)</f>
        <v>0</v>
      </c>
      <c r="H335" s="254">
        <f>VLOOKUP(C335,'Talente &amp; Stuff'!CL:DM,6,FALSE)</f>
        <v>0</v>
      </c>
      <c r="I335" s="254">
        <f>VLOOKUP(C335,'Talente &amp; Stuff'!CL:DM,7,FALSE)</f>
        <v>0</v>
      </c>
      <c r="J335" s="254">
        <f>VLOOKUP(C335,'Talente &amp; Stuff'!CL:DM,8,FALSE)</f>
        <v>0</v>
      </c>
      <c r="K335" s="254">
        <f>VLOOKUP(C335,'Talente &amp; Stuff'!CL:DM,9,FALSE)</f>
        <v>0</v>
      </c>
      <c r="L335" s="254">
        <f>VLOOKUP(C335,'Talente &amp; Stuff'!CL:DM,10,FALSE)</f>
        <v>0</v>
      </c>
      <c r="M335" s="318">
        <f>VLOOKUP(C335,'Talente &amp; Stuff'!CL:DM,11,FALSE)</f>
        <v>0</v>
      </c>
      <c r="N335" s="222">
        <f>VLOOKUP(C335,'Talente &amp; Stuff'!CL:DM,12,FALSE)</f>
        <v>0</v>
      </c>
      <c r="O335" s="223">
        <f>VLOOKUP(C335,'Talente &amp; Stuff'!CL:DM,13,FALSE)</f>
        <v>0</v>
      </c>
      <c r="P335" s="224">
        <f>VLOOKUP(C335,'Talente &amp; Stuff'!CL:DM,14,FALSE)</f>
        <v>0</v>
      </c>
      <c r="Q335" s="237">
        <f>VLOOKUP(C335,'Talente &amp; Stuff'!CL:DM,15,FALSE)</f>
        <v>0</v>
      </c>
      <c r="R335" s="254">
        <f>VLOOKUP(C335,'Talente &amp; Stuff'!CL:DM,16,FALSE)</f>
        <v>0</v>
      </c>
      <c r="S335" s="224">
        <f>VLOOKUP(C335,'Talente &amp; Stuff'!CL:DM,17,FALSE)</f>
        <v>0</v>
      </c>
      <c r="T335" s="242">
        <f>VLOOKUP(C335,'Talente &amp; Stuff'!CL:DM,18,FALSE)</f>
        <v>0</v>
      </c>
      <c r="U335" s="222">
        <f>VLOOKUP(C335,'Talente &amp; Stuff'!CL:DM,19,FALSE)</f>
        <v>0</v>
      </c>
      <c r="V335" s="223">
        <f>VLOOKUP(C335,'Talente &amp; Stuff'!CL:DM,20,FALSE)</f>
        <v>0</v>
      </c>
      <c r="W335" s="243">
        <f>VLOOKUP(C335,'Talente &amp; Stuff'!CL:DM,21,FALSE)</f>
        <v>0</v>
      </c>
      <c r="X335" s="218">
        <f>VLOOKUP(C335,'Talente &amp; Stuff'!CL:DM,22,FALSE)</f>
        <v>0</v>
      </c>
      <c r="Y335" s="252">
        <f>VLOOKUP(C335,Ausgewählte_Zauber_Zaubertänzer,110,FALSE)</f>
        <v>0</v>
      </c>
      <c r="Z335" s="309">
        <f>VLOOKUP(C335,Ausgewählte_Zauber_Zaubertänzer,111,FALSE)</f>
        <v>0</v>
      </c>
      <c r="AA335" s="218">
        <f>VLOOKUP(C335,'Talente &amp; Stuff'!CL:DM,25,FALSE)</f>
        <v>0</v>
      </c>
      <c r="AB335" s="242">
        <f>VLOOKUP(C335,'Talente &amp; Stuff'!CL:DM,26,FALSE)</f>
        <v>0</v>
      </c>
      <c r="AC335" s="218">
        <f>VLOOKUP(C335,'Talente &amp; Stuff'!CL:DM,27,FALSE)</f>
        <v>0</v>
      </c>
      <c r="AD335" s="218">
        <f>VLOOKUP(C335,'Talente &amp; Stuff'!CL:DM,28,FALSE)</f>
        <v>0</v>
      </c>
      <c r="AE335" s="343"/>
    </row>
    <row r="336" spans="1:31" s="217" customFormat="1" hidden="1" outlineLevel="2">
      <c r="A336" s="185"/>
      <c r="B336" s="217">
        <v>14</v>
      </c>
      <c r="C336" s="303" t="str">
        <f>Attribute!C336</f>
        <v>---</v>
      </c>
      <c r="D336" s="304" t="str">
        <f>VLOOKUP(C336,'Talente &amp; Stuff'!CL:DM,2,FALSE)</f>
        <v>--/--/--</v>
      </c>
      <c r="E336" s="304" t="str">
        <f>VLOOKUP(C336,'Talente &amp; Stuff'!CL:DM,3,FALSE)</f>
        <v>-</v>
      </c>
      <c r="F336" s="317">
        <f>VLOOKUP(C336,'Talente &amp; Stuff'!CL:DM,4,FALSE)</f>
        <v>0</v>
      </c>
      <c r="G336" s="254">
        <f>VLOOKUP(C336,'Talente &amp; Stuff'!CL:DM,5,FALSE)</f>
        <v>0</v>
      </c>
      <c r="H336" s="254">
        <f>VLOOKUP(C336,'Talente &amp; Stuff'!CL:DM,6,FALSE)</f>
        <v>0</v>
      </c>
      <c r="I336" s="254">
        <f>VLOOKUP(C336,'Talente &amp; Stuff'!CL:DM,7,FALSE)</f>
        <v>0</v>
      </c>
      <c r="J336" s="254">
        <f>VLOOKUP(C336,'Talente &amp; Stuff'!CL:DM,8,FALSE)</f>
        <v>0</v>
      </c>
      <c r="K336" s="254">
        <f>VLOOKUP(C336,'Talente &amp; Stuff'!CL:DM,9,FALSE)</f>
        <v>0</v>
      </c>
      <c r="L336" s="254">
        <f>VLOOKUP(C336,'Talente &amp; Stuff'!CL:DM,10,FALSE)</f>
        <v>0</v>
      </c>
      <c r="M336" s="318">
        <f>VLOOKUP(C336,'Talente &amp; Stuff'!CL:DM,11,FALSE)</f>
        <v>0</v>
      </c>
      <c r="N336" s="222">
        <f>VLOOKUP(C336,'Talente &amp; Stuff'!CL:DM,12,FALSE)</f>
        <v>0</v>
      </c>
      <c r="O336" s="223">
        <f>VLOOKUP(C336,'Talente &amp; Stuff'!CL:DM,13,FALSE)</f>
        <v>0</v>
      </c>
      <c r="P336" s="224">
        <f>VLOOKUP(C336,'Talente &amp; Stuff'!CL:DM,14,FALSE)</f>
        <v>0</v>
      </c>
      <c r="Q336" s="237">
        <f>VLOOKUP(C336,'Talente &amp; Stuff'!CL:DM,15,FALSE)</f>
        <v>0</v>
      </c>
      <c r="R336" s="254">
        <f>VLOOKUP(C336,'Talente &amp; Stuff'!CL:DM,16,FALSE)</f>
        <v>0</v>
      </c>
      <c r="S336" s="224">
        <f>VLOOKUP(C336,'Talente &amp; Stuff'!CL:DM,17,FALSE)</f>
        <v>0</v>
      </c>
      <c r="T336" s="242">
        <f>VLOOKUP(C336,'Talente &amp; Stuff'!CL:DM,18,FALSE)</f>
        <v>0</v>
      </c>
      <c r="U336" s="222">
        <f>VLOOKUP(C336,'Talente &amp; Stuff'!CL:DM,19,FALSE)</f>
        <v>0</v>
      </c>
      <c r="V336" s="223">
        <f>VLOOKUP(C336,'Talente &amp; Stuff'!CL:DM,20,FALSE)</f>
        <v>0</v>
      </c>
      <c r="W336" s="243">
        <f>VLOOKUP(C336,'Talente &amp; Stuff'!CL:DM,21,FALSE)</f>
        <v>0</v>
      </c>
      <c r="X336" s="218">
        <f>VLOOKUP(C336,'Talente &amp; Stuff'!CL:DM,22,FALSE)</f>
        <v>0</v>
      </c>
      <c r="Y336" s="252">
        <f>VLOOKUP(C336,Ausgewählte_Zauber_Zaubertänzer,110,FALSE)</f>
        <v>0</v>
      </c>
      <c r="Z336" s="309">
        <f>VLOOKUP(C336,Ausgewählte_Zauber_Zaubertänzer,111,FALSE)</f>
        <v>0</v>
      </c>
      <c r="AA336" s="218">
        <f>VLOOKUP(C336,'Talente &amp; Stuff'!CL:DM,25,FALSE)</f>
        <v>0</v>
      </c>
      <c r="AB336" s="242">
        <f>VLOOKUP(C336,'Talente &amp; Stuff'!CL:DM,26,FALSE)</f>
        <v>0</v>
      </c>
      <c r="AC336" s="218">
        <f>VLOOKUP(C336,'Talente &amp; Stuff'!CL:DM,27,FALSE)</f>
        <v>0</v>
      </c>
      <c r="AD336" s="218">
        <f>VLOOKUP(C336,'Talente &amp; Stuff'!CL:DM,28,FALSE)</f>
        <v>0</v>
      </c>
      <c r="AE336" s="343"/>
    </row>
    <row r="337" spans="1:31" s="217" customFormat="1" hidden="1" outlineLevel="2">
      <c r="A337" s="185"/>
      <c r="B337" s="217">
        <v>15</v>
      </c>
      <c r="C337" s="303" t="str">
        <f>Attribute!C337</f>
        <v>---</v>
      </c>
      <c r="D337" s="304" t="str">
        <f>VLOOKUP(C337,'Talente &amp; Stuff'!CL:DM,2,FALSE)</f>
        <v>--/--/--</v>
      </c>
      <c r="E337" s="304" t="str">
        <f>VLOOKUP(C337,'Talente &amp; Stuff'!CL:DM,3,FALSE)</f>
        <v>-</v>
      </c>
      <c r="F337" s="317">
        <f>VLOOKUP(C337,'Talente &amp; Stuff'!CL:DM,4,FALSE)</f>
        <v>0</v>
      </c>
      <c r="G337" s="254">
        <f>VLOOKUP(C337,'Talente &amp; Stuff'!CL:DM,5,FALSE)</f>
        <v>0</v>
      </c>
      <c r="H337" s="254">
        <f>VLOOKUP(C337,'Talente &amp; Stuff'!CL:DM,6,FALSE)</f>
        <v>0</v>
      </c>
      <c r="I337" s="254">
        <f>VLOOKUP(C337,'Talente &amp; Stuff'!CL:DM,7,FALSE)</f>
        <v>0</v>
      </c>
      <c r="J337" s="254">
        <f>VLOOKUP(C337,'Talente &amp; Stuff'!CL:DM,8,FALSE)</f>
        <v>0</v>
      </c>
      <c r="K337" s="254">
        <f>VLOOKUP(C337,'Talente &amp; Stuff'!CL:DM,9,FALSE)</f>
        <v>0</v>
      </c>
      <c r="L337" s="254">
        <f>VLOOKUP(C337,'Talente &amp; Stuff'!CL:DM,10,FALSE)</f>
        <v>0</v>
      </c>
      <c r="M337" s="318">
        <f>VLOOKUP(C337,'Talente &amp; Stuff'!CL:DM,11,FALSE)</f>
        <v>0</v>
      </c>
      <c r="N337" s="222">
        <f>VLOOKUP(C337,'Talente &amp; Stuff'!CL:DM,12,FALSE)</f>
        <v>0</v>
      </c>
      <c r="O337" s="223">
        <f>VLOOKUP(C337,'Talente &amp; Stuff'!CL:DM,13,FALSE)</f>
        <v>0</v>
      </c>
      <c r="P337" s="224">
        <f>VLOOKUP(C337,'Talente &amp; Stuff'!CL:DM,14,FALSE)</f>
        <v>0</v>
      </c>
      <c r="Q337" s="237">
        <f>VLOOKUP(C337,'Talente &amp; Stuff'!CL:DM,15,FALSE)</f>
        <v>0</v>
      </c>
      <c r="R337" s="254">
        <f>VLOOKUP(C337,'Talente &amp; Stuff'!CL:DM,16,FALSE)</f>
        <v>0</v>
      </c>
      <c r="S337" s="224">
        <f>VLOOKUP(C337,'Talente &amp; Stuff'!CL:DM,17,FALSE)</f>
        <v>0</v>
      </c>
      <c r="T337" s="242">
        <f>VLOOKUP(C337,'Talente &amp; Stuff'!CL:DM,18,FALSE)</f>
        <v>0</v>
      </c>
      <c r="U337" s="222">
        <f>VLOOKUP(C337,'Talente &amp; Stuff'!CL:DM,19,FALSE)</f>
        <v>0</v>
      </c>
      <c r="V337" s="223">
        <f>VLOOKUP(C337,'Talente &amp; Stuff'!CL:DM,20,FALSE)</f>
        <v>0</v>
      </c>
      <c r="W337" s="243">
        <f>VLOOKUP(C337,'Talente &amp; Stuff'!CL:DM,21,FALSE)</f>
        <v>0</v>
      </c>
      <c r="X337" s="218">
        <f>VLOOKUP(C337,'Talente &amp; Stuff'!CL:DM,22,FALSE)</f>
        <v>0</v>
      </c>
      <c r="Y337" s="252">
        <f>VLOOKUP(C337,Ausgewählte_Zauber_Zaubertänzer,110,FALSE)</f>
        <v>0</v>
      </c>
      <c r="Z337" s="309">
        <f>VLOOKUP(C337,Ausgewählte_Zauber_Zaubertänzer,111,FALSE)</f>
        <v>0</v>
      </c>
      <c r="AA337" s="218">
        <f>VLOOKUP(C337,'Talente &amp; Stuff'!CL:DM,25,FALSE)</f>
        <v>0</v>
      </c>
      <c r="AB337" s="242">
        <f>VLOOKUP(C337,'Talente &amp; Stuff'!CL:DM,26,FALSE)</f>
        <v>0</v>
      </c>
      <c r="AC337" s="218">
        <f>VLOOKUP(C337,'Talente &amp; Stuff'!CL:DM,27,FALSE)</f>
        <v>0</v>
      </c>
      <c r="AD337" s="218">
        <f>VLOOKUP(C337,'Talente &amp; Stuff'!CL:DM,28,FALSE)</f>
        <v>0</v>
      </c>
      <c r="AE337" s="343"/>
    </row>
    <row r="338" spans="1:31" s="217" customFormat="1" hidden="1" outlineLevel="2">
      <c r="A338" s="185"/>
      <c r="B338" s="217">
        <v>16</v>
      </c>
      <c r="C338" s="303" t="str">
        <f>Attribute!C338</f>
        <v>---</v>
      </c>
      <c r="D338" s="304" t="str">
        <f>VLOOKUP(C338,'Talente &amp; Stuff'!CL:DM,2,FALSE)</f>
        <v>--/--/--</v>
      </c>
      <c r="E338" s="304" t="str">
        <f>VLOOKUP(C338,'Talente &amp; Stuff'!CL:DM,3,FALSE)</f>
        <v>-</v>
      </c>
      <c r="F338" s="317">
        <f>VLOOKUP(C338,'Talente &amp; Stuff'!CL:DM,4,FALSE)</f>
        <v>0</v>
      </c>
      <c r="G338" s="254">
        <f>VLOOKUP(C338,'Talente &amp; Stuff'!CL:DM,5,FALSE)</f>
        <v>0</v>
      </c>
      <c r="H338" s="254">
        <f>VLOOKUP(C338,'Talente &amp; Stuff'!CL:DM,6,FALSE)</f>
        <v>0</v>
      </c>
      <c r="I338" s="254">
        <f>VLOOKUP(C338,'Talente &amp; Stuff'!CL:DM,7,FALSE)</f>
        <v>0</v>
      </c>
      <c r="J338" s="254">
        <f>VLOOKUP(C338,'Talente &amp; Stuff'!CL:DM,8,FALSE)</f>
        <v>0</v>
      </c>
      <c r="K338" s="254">
        <f>VLOOKUP(C338,'Talente &amp; Stuff'!CL:DM,9,FALSE)</f>
        <v>0</v>
      </c>
      <c r="L338" s="254">
        <f>VLOOKUP(C338,'Talente &amp; Stuff'!CL:DM,10,FALSE)</f>
        <v>0</v>
      </c>
      <c r="M338" s="318">
        <f>VLOOKUP(C338,'Talente &amp; Stuff'!CL:DM,11,FALSE)</f>
        <v>0</v>
      </c>
      <c r="N338" s="222">
        <f>VLOOKUP(C338,'Talente &amp; Stuff'!CL:DM,12,FALSE)</f>
        <v>0</v>
      </c>
      <c r="O338" s="223">
        <f>VLOOKUP(C338,'Talente &amp; Stuff'!CL:DM,13,FALSE)</f>
        <v>0</v>
      </c>
      <c r="P338" s="224">
        <f>VLOOKUP(C338,'Talente &amp; Stuff'!CL:DM,14,FALSE)</f>
        <v>0</v>
      </c>
      <c r="Q338" s="237">
        <f>VLOOKUP(C338,'Talente &amp; Stuff'!CL:DM,15,FALSE)</f>
        <v>0</v>
      </c>
      <c r="R338" s="254">
        <f>VLOOKUP(C338,'Talente &amp; Stuff'!CL:DM,16,FALSE)</f>
        <v>0</v>
      </c>
      <c r="S338" s="224">
        <f>VLOOKUP(C338,'Talente &amp; Stuff'!CL:DM,17,FALSE)</f>
        <v>0</v>
      </c>
      <c r="T338" s="242">
        <f>VLOOKUP(C338,'Talente &amp; Stuff'!CL:DM,18,FALSE)</f>
        <v>0</v>
      </c>
      <c r="U338" s="222">
        <f>VLOOKUP(C338,'Talente &amp; Stuff'!CL:DM,19,FALSE)</f>
        <v>0</v>
      </c>
      <c r="V338" s="223">
        <f>VLOOKUP(C338,'Talente &amp; Stuff'!CL:DM,20,FALSE)</f>
        <v>0</v>
      </c>
      <c r="W338" s="243">
        <f>VLOOKUP(C338,'Talente &amp; Stuff'!CL:DM,21,FALSE)</f>
        <v>0</v>
      </c>
      <c r="X338" s="218">
        <f>VLOOKUP(C338,'Talente &amp; Stuff'!CL:DM,22,FALSE)</f>
        <v>0</v>
      </c>
      <c r="Y338" s="252">
        <f>VLOOKUP(C338,Ausgewählte_Zauber_Zaubertänzer,110,FALSE)</f>
        <v>0</v>
      </c>
      <c r="Z338" s="309">
        <f>VLOOKUP(C338,Ausgewählte_Zauber_Zaubertänzer,111,FALSE)</f>
        <v>0</v>
      </c>
      <c r="AA338" s="218">
        <f>VLOOKUP(C338,'Talente &amp; Stuff'!CL:DM,25,FALSE)</f>
        <v>0</v>
      </c>
      <c r="AB338" s="242">
        <f>VLOOKUP(C338,'Talente &amp; Stuff'!CL:DM,26,FALSE)</f>
        <v>0</v>
      </c>
      <c r="AC338" s="218">
        <f>VLOOKUP(C338,'Talente &amp; Stuff'!CL:DM,27,FALSE)</f>
        <v>0</v>
      </c>
      <c r="AD338" s="218">
        <f>VLOOKUP(C338,'Talente &amp; Stuff'!CL:DM,28,FALSE)</f>
        <v>0</v>
      </c>
      <c r="AE338" s="343"/>
    </row>
    <row r="339" spans="1:31" s="217" customFormat="1" hidden="1" outlineLevel="2">
      <c r="A339" s="185"/>
      <c r="B339" s="217">
        <v>17</v>
      </c>
      <c r="C339" s="303" t="str">
        <f>Attribute!C339</f>
        <v>---</v>
      </c>
      <c r="D339" s="304" t="str">
        <f>VLOOKUP(C339,'Talente &amp; Stuff'!CL:DM,2,FALSE)</f>
        <v>--/--/--</v>
      </c>
      <c r="E339" s="304" t="str">
        <f>VLOOKUP(C339,'Talente &amp; Stuff'!CL:DM,3,FALSE)</f>
        <v>-</v>
      </c>
      <c r="F339" s="317">
        <f>VLOOKUP(C339,'Talente &amp; Stuff'!CL:DM,4,FALSE)</f>
        <v>0</v>
      </c>
      <c r="G339" s="254">
        <f>VLOOKUP(C339,'Talente &amp; Stuff'!CL:DM,5,FALSE)</f>
        <v>0</v>
      </c>
      <c r="H339" s="254">
        <f>VLOOKUP(C339,'Talente &amp; Stuff'!CL:DM,6,FALSE)</f>
        <v>0</v>
      </c>
      <c r="I339" s="254">
        <f>VLOOKUP(C339,'Talente &amp; Stuff'!CL:DM,7,FALSE)</f>
        <v>0</v>
      </c>
      <c r="J339" s="254">
        <f>VLOOKUP(C339,'Talente &amp; Stuff'!CL:DM,8,FALSE)</f>
        <v>0</v>
      </c>
      <c r="K339" s="254">
        <f>VLOOKUP(C339,'Talente &amp; Stuff'!CL:DM,9,FALSE)</f>
        <v>0</v>
      </c>
      <c r="L339" s="254">
        <f>VLOOKUP(C339,'Talente &amp; Stuff'!CL:DM,10,FALSE)</f>
        <v>0</v>
      </c>
      <c r="M339" s="318">
        <f>VLOOKUP(C339,'Talente &amp; Stuff'!CL:DM,11,FALSE)</f>
        <v>0</v>
      </c>
      <c r="N339" s="222">
        <f>VLOOKUP(C339,'Talente &amp; Stuff'!CL:DM,12,FALSE)</f>
        <v>0</v>
      </c>
      <c r="O339" s="223">
        <f>VLOOKUP(C339,'Talente &amp; Stuff'!CL:DM,13,FALSE)</f>
        <v>0</v>
      </c>
      <c r="P339" s="224">
        <f>VLOOKUP(C339,'Talente &amp; Stuff'!CL:DM,14,FALSE)</f>
        <v>0</v>
      </c>
      <c r="Q339" s="237">
        <f>VLOOKUP(C339,'Talente &amp; Stuff'!CL:DM,15,FALSE)</f>
        <v>0</v>
      </c>
      <c r="R339" s="254">
        <f>VLOOKUP(C339,'Talente &amp; Stuff'!CL:DM,16,FALSE)</f>
        <v>0</v>
      </c>
      <c r="S339" s="224">
        <f>VLOOKUP(C339,'Talente &amp; Stuff'!CL:DM,17,FALSE)</f>
        <v>0</v>
      </c>
      <c r="T339" s="242">
        <f>VLOOKUP(C339,'Talente &amp; Stuff'!CL:DM,18,FALSE)</f>
        <v>0</v>
      </c>
      <c r="U339" s="222">
        <f>VLOOKUP(C339,'Talente &amp; Stuff'!CL:DM,19,FALSE)</f>
        <v>0</v>
      </c>
      <c r="V339" s="223">
        <f>VLOOKUP(C339,'Talente &amp; Stuff'!CL:DM,20,FALSE)</f>
        <v>0</v>
      </c>
      <c r="W339" s="243">
        <f>VLOOKUP(C339,'Talente &amp; Stuff'!CL:DM,21,FALSE)</f>
        <v>0</v>
      </c>
      <c r="X339" s="218">
        <f>VLOOKUP(C339,'Talente &amp; Stuff'!CL:DM,22,FALSE)</f>
        <v>0</v>
      </c>
      <c r="Y339" s="252">
        <f>VLOOKUP(C339,Ausgewählte_Zauber_Zaubertänzer,110,FALSE)</f>
        <v>0</v>
      </c>
      <c r="Z339" s="309">
        <f>VLOOKUP(C339,Ausgewählte_Zauber_Zaubertänzer,111,FALSE)</f>
        <v>0</v>
      </c>
      <c r="AA339" s="218">
        <f>VLOOKUP(C339,'Talente &amp; Stuff'!CL:DM,25,FALSE)</f>
        <v>0</v>
      </c>
      <c r="AB339" s="242">
        <f>VLOOKUP(C339,'Talente &amp; Stuff'!CL:DM,26,FALSE)</f>
        <v>0</v>
      </c>
      <c r="AC339" s="218">
        <f>VLOOKUP(C339,'Talente &amp; Stuff'!CL:DM,27,FALSE)</f>
        <v>0</v>
      </c>
      <c r="AD339" s="218">
        <f>VLOOKUP(C339,'Talente &amp; Stuff'!CL:DM,28,FALSE)</f>
        <v>0</v>
      </c>
      <c r="AE339" s="343"/>
    </row>
    <row r="340" spans="1:31" s="217" customFormat="1" hidden="1" outlineLevel="2">
      <c r="A340" s="185"/>
      <c r="B340" s="217">
        <v>18</v>
      </c>
      <c r="C340" s="303" t="str">
        <f>Attribute!C340</f>
        <v>---</v>
      </c>
      <c r="D340" s="304" t="str">
        <f>VLOOKUP(C340,'Talente &amp; Stuff'!CL:DM,2,FALSE)</f>
        <v>--/--/--</v>
      </c>
      <c r="E340" s="304" t="str">
        <f>VLOOKUP(C340,'Talente &amp; Stuff'!CL:DM,3,FALSE)</f>
        <v>-</v>
      </c>
      <c r="F340" s="317">
        <f>VLOOKUP(C340,'Talente &amp; Stuff'!CL:DM,4,FALSE)</f>
        <v>0</v>
      </c>
      <c r="G340" s="254">
        <f>VLOOKUP(C340,'Talente &amp; Stuff'!CL:DM,5,FALSE)</f>
        <v>0</v>
      </c>
      <c r="H340" s="254">
        <f>VLOOKUP(C340,'Talente &amp; Stuff'!CL:DM,6,FALSE)</f>
        <v>0</v>
      </c>
      <c r="I340" s="254">
        <f>VLOOKUP(C340,'Talente &amp; Stuff'!CL:DM,7,FALSE)</f>
        <v>0</v>
      </c>
      <c r="J340" s="254">
        <f>VLOOKUP(C340,'Talente &amp; Stuff'!CL:DM,8,FALSE)</f>
        <v>0</v>
      </c>
      <c r="K340" s="254">
        <f>VLOOKUP(C340,'Talente &amp; Stuff'!CL:DM,9,FALSE)</f>
        <v>0</v>
      </c>
      <c r="L340" s="254">
        <f>VLOOKUP(C340,'Talente &amp; Stuff'!CL:DM,10,FALSE)</f>
        <v>0</v>
      </c>
      <c r="M340" s="318">
        <f>VLOOKUP(C340,'Talente &amp; Stuff'!CL:DM,11,FALSE)</f>
        <v>0</v>
      </c>
      <c r="N340" s="222">
        <f>VLOOKUP(C340,'Talente &amp; Stuff'!CL:DM,12,FALSE)</f>
        <v>0</v>
      </c>
      <c r="O340" s="223">
        <f>VLOOKUP(C340,'Talente &amp; Stuff'!CL:DM,13,FALSE)</f>
        <v>0</v>
      </c>
      <c r="P340" s="224">
        <f>VLOOKUP(C340,'Talente &amp; Stuff'!CL:DM,14,FALSE)</f>
        <v>0</v>
      </c>
      <c r="Q340" s="237">
        <f>VLOOKUP(C340,'Talente &amp; Stuff'!CL:DM,15,FALSE)</f>
        <v>0</v>
      </c>
      <c r="R340" s="254">
        <f>VLOOKUP(C340,'Talente &amp; Stuff'!CL:DM,16,FALSE)</f>
        <v>0</v>
      </c>
      <c r="S340" s="224">
        <f>VLOOKUP(C340,'Talente &amp; Stuff'!CL:DM,17,FALSE)</f>
        <v>0</v>
      </c>
      <c r="T340" s="242">
        <f>VLOOKUP(C340,'Talente &amp; Stuff'!CL:DM,18,FALSE)</f>
        <v>0</v>
      </c>
      <c r="U340" s="222">
        <f>VLOOKUP(C340,'Talente &amp; Stuff'!CL:DM,19,FALSE)</f>
        <v>0</v>
      </c>
      <c r="V340" s="223">
        <f>VLOOKUP(C340,'Talente &amp; Stuff'!CL:DM,20,FALSE)</f>
        <v>0</v>
      </c>
      <c r="W340" s="243">
        <f>VLOOKUP(C340,'Talente &amp; Stuff'!CL:DM,21,FALSE)</f>
        <v>0</v>
      </c>
      <c r="X340" s="218">
        <f>VLOOKUP(C340,'Talente &amp; Stuff'!CL:DM,22,FALSE)</f>
        <v>0</v>
      </c>
      <c r="Y340" s="252">
        <f>VLOOKUP(C340,Ausgewählte_Zauber_Zaubertänzer,110,FALSE)</f>
        <v>0</v>
      </c>
      <c r="Z340" s="309">
        <f>VLOOKUP(C340,Ausgewählte_Zauber_Zaubertänzer,111,FALSE)</f>
        <v>0</v>
      </c>
      <c r="AA340" s="218">
        <f>VLOOKUP(C340,'Talente &amp; Stuff'!CL:DM,25,FALSE)</f>
        <v>0</v>
      </c>
      <c r="AB340" s="242">
        <f>VLOOKUP(C340,'Talente &amp; Stuff'!CL:DM,26,FALSE)</f>
        <v>0</v>
      </c>
      <c r="AC340" s="218">
        <f>VLOOKUP(C340,'Talente &amp; Stuff'!CL:DM,27,FALSE)</f>
        <v>0</v>
      </c>
      <c r="AD340" s="218">
        <f>VLOOKUP(C340,'Talente &amp; Stuff'!CL:DM,28,FALSE)</f>
        <v>0</v>
      </c>
      <c r="AE340" s="343"/>
    </row>
    <row r="341" spans="1:31" s="217" customFormat="1" hidden="1" outlineLevel="2">
      <c r="A341" s="185"/>
      <c r="B341" s="217">
        <v>19</v>
      </c>
      <c r="C341" s="303" t="str">
        <f>Attribute!C341</f>
        <v>---</v>
      </c>
      <c r="D341" s="304" t="str">
        <f>VLOOKUP(C341,'Talente &amp; Stuff'!CL:DM,2,FALSE)</f>
        <v>--/--/--</v>
      </c>
      <c r="E341" s="304" t="str">
        <f>VLOOKUP(C341,'Talente &amp; Stuff'!CL:DM,3,FALSE)</f>
        <v>-</v>
      </c>
      <c r="F341" s="317">
        <f>VLOOKUP(C341,'Talente &amp; Stuff'!CL:DM,4,FALSE)</f>
        <v>0</v>
      </c>
      <c r="G341" s="254">
        <f>VLOOKUP(C341,'Talente &amp; Stuff'!CL:DM,5,FALSE)</f>
        <v>0</v>
      </c>
      <c r="H341" s="254">
        <f>VLOOKUP(C341,'Talente &amp; Stuff'!CL:DM,6,FALSE)</f>
        <v>0</v>
      </c>
      <c r="I341" s="254">
        <f>VLOOKUP(C341,'Talente &amp; Stuff'!CL:DM,7,FALSE)</f>
        <v>0</v>
      </c>
      <c r="J341" s="254">
        <f>VLOOKUP(C341,'Talente &amp; Stuff'!CL:DM,8,FALSE)</f>
        <v>0</v>
      </c>
      <c r="K341" s="254">
        <f>VLOOKUP(C341,'Talente &amp; Stuff'!CL:DM,9,FALSE)</f>
        <v>0</v>
      </c>
      <c r="L341" s="254">
        <f>VLOOKUP(C341,'Talente &amp; Stuff'!CL:DM,10,FALSE)</f>
        <v>0</v>
      </c>
      <c r="M341" s="318">
        <f>VLOOKUP(C341,'Talente &amp; Stuff'!CL:DM,11,FALSE)</f>
        <v>0</v>
      </c>
      <c r="N341" s="222">
        <f>VLOOKUP(C341,'Talente &amp; Stuff'!CL:DM,12,FALSE)</f>
        <v>0</v>
      </c>
      <c r="O341" s="223">
        <f>VLOOKUP(C341,'Talente &amp; Stuff'!CL:DM,13,FALSE)</f>
        <v>0</v>
      </c>
      <c r="P341" s="224">
        <f>VLOOKUP(C341,'Talente &amp; Stuff'!CL:DM,14,FALSE)</f>
        <v>0</v>
      </c>
      <c r="Q341" s="237">
        <f>VLOOKUP(C341,'Talente &amp; Stuff'!CL:DM,15,FALSE)</f>
        <v>0</v>
      </c>
      <c r="R341" s="254">
        <f>VLOOKUP(C341,'Talente &amp; Stuff'!CL:DM,16,FALSE)</f>
        <v>0</v>
      </c>
      <c r="S341" s="224">
        <f>VLOOKUP(C341,'Talente &amp; Stuff'!CL:DM,17,FALSE)</f>
        <v>0</v>
      </c>
      <c r="T341" s="242">
        <f>VLOOKUP(C341,'Talente &amp; Stuff'!CL:DM,18,FALSE)</f>
        <v>0</v>
      </c>
      <c r="U341" s="222">
        <f>VLOOKUP(C341,'Talente &amp; Stuff'!CL:DM,19,FALSE)</f>
        <v>0</v>
      </c>
      <c r="V341" s="223">
        <f>VLOOKUP(C341,'Talente &amp; Stuff'!CL:DM,20,FALSE)</f>
        <v>0</v>
      </c>
      <c r="W341" s="243">
        <f>VLOOKUP(C341,'Talente &amp; Stuff'!CL:DM,21,FALSE)</f>
        <v>0</v>
      </c>
      <c r="X341" s="218">
        <f>VLOOKUP(C341,'Talente &amp; Stuff'!CL:DM,22,FALSE)</f>
        <v>0</v>
      </c>
      <c r="Y341" s="252">
        <f>VLOOKUP(C341,Ausgewählte_Zauber_Zaubertänzer,110,FALSE)</f>
        <v>0</v>
      </c>
      <c r="Z341" s="309">
        <f>VLOOKUP(C341,Ausgewählte_Zauber_Zaubertänzer,111,FALSE)</f>
        <v>0</v>
      </c>
      <c r="AA341" s="218">
        <f>VLOOKUP(C341,'Talente &amp; Stuff'!CL:DM,25,FALSE)</f>
        <v>0</v>
      </c>
      <c r="AB341" s="242">
        <f>VLOOKUP(C341,'Talente &amp; Stuff'!CL:DM,26,FALSE)</f>
        <v>0</v>
      </c>
      <c r="AC341" s="218">
        <f>VLOOKUP(C341,'Talente &amp; Stuff'!CL:DM,27,FALSE)</f>
        <v>0</v>
      </c>
      <c r="AD341" s="218">
        <f>VLOOKUP(C341,'Talente &amp; Stuff'!CL:DM,28,FALSE)</f>
        <v>0</v>
      </c>
      <c r="AE341" s="343"/>
    </row>
    <row r="342" spans="1:31" s="217" customFormat="1" hidden="1" outlineLevel="2">
      <c r="A342" s="185"/>
      <c r="B342" s="217">
        <v>20</v>
      </c>
      <c r="C342" s="303" t="str">
        <f>Attribute!C342</f>
        <v>---</v>
      </c>
      <c r="D342" s="304" t="str">
        <f>VLOOKUP(C342,'Talente &amp; Stuff'!CL:DM,2,FALSE)</f>
        <v>--/--/--</v>
      </c>
      <c r="E342" s="304" t="str">
        <f>VLOOKUP(C342,'Talente &amp; Stuff'!CL:DM,3,FALSE)</f>
        <v>-</v>
      </c>
      <c r="F342" s="317">
        <f>VLOOKUP(C342,'Talente &amp; Stuff'!CL:DM,4,FALSE)</f>
        <v>0</v>
      </c>
      <c r="G342" s="254">
        <f>VLOOKUP(C342,'Talente &amp; Stuff'!CL:DM,5,FALSE)</f>
        <v>0</v>
      </c>
      <c r="H342" s="254">
        <f>VLOOKUP(C342,'Talente &amp; Stuff'!CL:DM,6,FALSE)</f>
        <v>0</v>
      </c>
      <c r="I342" s="254">
        <f>VLOOKUP(C342,'Talente &amp; Stuff'!CL:DM,7,FALSE)</f>
        <v>0</v>
      </c>
      <c r="J342" s="254">
        <f>VLOOKUP(C342,'Talente &amp; Stuff'!CL:DM,8,FALSE)</f>
        <v>0</v>
      </c>
      <c r="K342" s="254">
        <f>VLOOKUP(C342,'Talente &amp; Stuff'!CL:DM,9,FALSE)</f>
        <v>0</v>
      </c>
      <c r="L342" s="254">
        <f>VLOOKUP(C342,'Talente &amp; Stuff'!CL:DM,10,FALSE)</f>
        <v>0</v>
      </c>
      <c r="M342" s="318">
        <f>VLOOKUP(C342,'Talente &amp; Stuff'!CL:DM,11,FALSE)</f>
        <v>0</v>
      </c>
      <c r="N342" s="222">
        <f>VLOOKUP(C342,'Talente &amp; Stuff'!CL:DM,12,FALSE)</f>
        <v>0</v>
      </c>
      <c r="O342" s="223">
        <f>VLOOKUP(C342,'Talente &amp; Stuff'!CL:DM,13,FALSE)</f>
        <v>0</v>
      </c>
      <c r="P342" s="224">
        <f>VLOOKUP(C342,'Talente &amp; Stuff'!CL:DM,14,FALSE)</f>
        <v>0</v>
      </c>
      <c r="Q342" s="237">
        <f>VLOOKUP(C342,'Talente &amp; Stuff'!CL:DM,15,FALSE)</f>
        <v>0</v>
      </c>
      <c r="R342" s="254">
        <f>VLOOKUP(C342,'Talente &amp; Stuff'!CL:DM,16,FALSE)</f>
        <v>0</v>
      </c>
      <c r="S342" s="224">
        <f>VLOOKUP(C342,'Talente &amp; Stuff'!CL:DM,17,FALSE)</f>
        <v>0</v>
      </c>
      <c r="T342" s="242">
        <f>VLOOKUP(C342,'Talente &amp; Stuff'!CL:DM,18,FALSE)</f>
        <v>0</v>
      </c>
      <c r="U342" s="222">
        <f>VLOOKUP(C342,'Talente &amp; Stuff'!CL:DM,19,FALSE)</f>
        <v>0</v>
      </c>
      <c r="V342" s="223">
        <f>VLOOKUP(C342,'Talente &amp; Stuff'!CL:DM,20,FALSE)</f>
        <v>0</v>
      </c>
      <c r="W342" s="243">
        <f>VLOOKUP(C342,'Talente &amp; Stuff'!CL:DM,21,FALSE)</f>
        <v>0</v>
      </c>
      <c r="X342" s="218">
        <f>VLOOKUP(C342,'Talente &amp; Stuff'!CL:DM,22,FALSE)</f>
        <v>0</v>
      </c>
      <c r="Y342" s="252">
        <f>VLOOKUP(C342,Ausgewählte_Zauber_Zaubertänzer,110,FALSE)</f>
        <v>0</v>
      </c>
      <c r="Z342" s="309">
        <f>VLOOKUP(C342,Ausgewählte_Zauber_Zaubertänzer,111,FALSE)</f>
        <v>0</v>
      </c>
      <c r="AA342" s="218">
        <f>VLOOKUP(C342,'Talente &amp; Stuff'!CL:DM,25,FALSE)</f>
        <v>0</v>
      </c>
      <c r="AB342" s="242">
        <f>VLOOKUP(C342,'Talente &amp; Stuff'!CL:DM,26,FALSE)</f>
        <v>0</v>
      </c>
      <c r="AC342" s="218">
        <f>VLOOKUP(C342,'Talente &amp; Stuff'!CL:DM,27,FALSE)</f>
        <v>0</v>
      </c>
      <c r="AD342" s="218">
        <f>VLOOKUP(C342,'Talente &amp; Stuff'!CL:DM,28,FALSE)</f>
        <v>0</v>
      </c>
      <c r="AE342" s="343"/>
    </row>
    <row r="343" spans="1:31" s="217" customFormat="1" hidden="1" outlineLevel="2">
      <c r="A343" s="185"/>
      <c r="B343" s="217">
        <v>21</v>
      </c>
      <c r="C343" s="303" t="str">
        <f>Attribute!C343</f>
        <v>---</v>
      </c>
      <c r="D343" s="304" t="str">
        <f>VLOOKUP(C343,'Talente &amp; Stuff'!CL:DM,2,FALSE)</f>
        <v>--/--/--</v>
      </c>
      <c r="E343" s="304" t="str">
        <f>VLOOKUP(C343,'Talente &amp; Stuff'!CL:DM,3,FALSE)</f>
        <v>-</v>
      </c>
      <c r="F343" s="317">
        <f>VLOOKUP(C343,'Talente &amp; Stuff'!CL:DM,4,FALSE)</f>
        <v>0</v>
      </c>
      <c r="G343" s="254">
        <f>VLOOKUP(C343,'Talente &amp; Stuff'!CL:DM,5,FALSE)</f>
        <v>0</v>
      </c>
      <c r="H343" s="254">
        <f>VLOOKUP(C343,'Talente &amp; Stuff'!CL:DM,6,FALSE)</f>
        <v>0</v>
      </c>
      <c r="I343" s="254">
        <f>VLOOKUP(C343,'Talente &amp; Stuff'!CL:DM,7,FALSE)</f>
        <v>0</v>
      </c>
      <c r="J343" s="254">
        <f>VLOOKUP(C343,'Talente &amp; Stuff'!CL:DM,8,FALSE)</f>
        <v>0</v>
      </c>
      <c r="K343" s="254">
        <f>VLOOKUP(C343,'Talente &amp; Stuff'!CL:DM,9,FALSE)</f>
        <v>0</v>
      </c>
      <c r="L343" s="254">
        <f>VLOOKUP(C343,'Talente &amp; Stuff'!CL:DM,10,FALSE)</f>
        <v>0</v>
      </c>
      <c r="M343" s="318">
        <f>VLOOKUP(C343,'Talente &amp; Stuff'!CL:DM,11,FALSE)</f>
        <v>0</v>
      </c>
      <c r="N343" s="222">
        <f>VLOOKUP(C343,'Talente &amp; Stuff'!CL:DM,12,FALSE)</f>
        <v>0</v>
      </c>
      <c r="O343" s="223">
        <f>VLOOKUP(C343,'Talente &amp; Stuff'!CL:DM,13,FALSE)</f>
        <v>0</v>
      </c>
      <c r="P343" s="224">
        <f>VLOOKUP(C343,'Talente &amp; Stuff'!CL:DM,14,FALSE)</f>
        <v>0</v>
      </c>
      <c r="Q343" s="237">
        <f>VLOOKUP(C343,'Talente &amp; Stuff'!CL:DM,15,FALSE)</f>
        <v>0</v>
      </c>
      <c r="R343" s="254">
        <f>VLOOKUP(C343,'Talente &amp; Stuff'!CL:DM,16,FALSE)</f>
        <v>0</v>
      </c>
      <c r="S343" s="224">
        <f>VLOOKUP(C343,'Talente &amp; Stuff'!CL:DM,17,FALSE)</f>
        <v>0</v>
      </c>
      <c r="T343" s="242">
        <f>VLOOKUP(C343,'Talente &amp; Stuff'!CL:DM,18,FALSE)</f>
        <v>0</v>
      </c>
      <c r="U343" s="222">
        <f>VLOOKUP(C343,'Talente &amp; Stuff'!CL:DM,19,FALSE)</f>
        <v>0</v>
      </c>
      <c r="V343" s="223">
        <f>VLOOKUP(C343,'Talente &amp; Stuff'!CL:DM,20,FALSE)</f>
        <v>0</v>
      </c>
      <c r="W343" s="243">
        <f>VLOOKUP(C343,'Talente &amp; Stuff'!CL:DM,21,FALSE)</f>
        <v>0</v>
      </c>
      <c r="X343" s="218">
        <f>VLOOKUP(C343,'Talente &amp; Stuff'!CL:DM,22,FALSE)</f>
        <v>0</v>
      </c>
      <c r="Y343" s="252">
        <f>VLOOKUP(C343,Ausgewählte_Zauber_Zaubertänzer,110,FALSE)</f>
        <v>0</v>
      </c>
      <c r="Z343" s="309">
        <f>VLOOKUP(C343,Ausgewählte_Zauber_Zaubertänzer,111,FALSE)</f>
        <v>0</v>
      </c>
      <c r="AA343" s="218">
        <f>VLOOKUP(C343,'Talente &amp; Stuff'!CL:DM,25,FALSE)</f>
        <v>0</v>
      </c>
      <c r="AB343" s="242">
        <f>VLOOKUP(C343,'Talente &amp; Stuff'!CL:DM,26,FALSE)</f>
        <v>0</v>
      </c>
      <c r="AC343" s="218">
        <f>VLOOKUP(C343,'Talente &amp; Stuff'!CL:DM,27,FALSE)</f>
        <v>0</v>
      </c>
      <c r="AD343" s="218">
        <f>VLOOKUP(C343,'Talente &amp; Stuff'!CL:DM,28,FALSE)</f>
        <v>0</v>
      </c>
      <c r="AE343" s="343"/>
    </row>
    <row r="344" spans="1:31" s="217" customFormat="1" hidden="1" outlineLevel="2">
      <c r="A344" s="185"/>
      <c r="B344" s="217">
        <v>22</v>
      </c>
      <c r="C344" s="303" t="str">
        <f>Attribute!C344</f>
        <v>---</v>
      </c>
      <c r="D344" s="304" t="str">
        <f>VLOOKUP(C344,'Talente &amp; Stuff'!CL:DM,2,FALSE)</f>
        <v>--/--/--</v>
      </c>
      <c r="E344" s="304" t="str">
        <f>VLOOKUP(C344,'Talente &amp; Stuff'!CL:DM,3,FALSE)</f>
        <v>-</v>
      </c>
      <c r="F344" s="317">
        <f>VLOOKUP(C344,'Talente &amp; Stuff'!CL:DM,4,FALSE)</f>
        <v>0</v>
      </c>
      <c r="G344" s="254">
        <f>VLOOKUP(C344,'Talente &amp; Stuff'!CL:DM,5,FALSE)</f>
        <v>0</v>
      </c>
      <c r="H344" s="254">
        <f>VLOOKUP(C344,'Talente &amp; Stuff'!CL:DM,6,FALSE)</f>
        <v>0</v>
      </c>
      <c r="I344" s="254">
        <f>VLOOKUP(C344,'Talente &amp; Stuff'!CL:DM,7,FALSE)</f>
        <v>0</v>
      </c>
      <c r="J344" s="254">
        <f>VLOOKUP(C344,'Talente &amp; Stuff'!CL:DM,8,FALSE)</f>
        <v>0</v>
      </c>
      <c r="K344" s="254">
        <f>VLOOKUP(C344,'Talente &amp; Stuff'!CL:DM,9,FALSE)</f>
        <v>0</v>
      </c>
      <c r="L344" s="254">
        <f>VLOOKUP(C344,'Talente &amp; Stuff'!CL:DM,10,FALSE)</f>
        <v>0</v>
      </c>
      <c r="M344" s="318">
        <f>VLOOKUP(C344,'Talente &amp; Stuff'!CL:DM,11,FALSE)</f>
        <v>0</v>
      </c>
      <c r="N344" s="222">
        <f>VLOOKUP(C344,'Talente &amp; Stuff'!CL:DM,12,FALSE)</f>
        <v>0</v>
      </c>
      <c r="O344" s="223">
        <f>VLOOKUP(C344,'Talente &amp; Stuff'!CL:DM,13,FALSE)</f>
        <v>0</v>
      </c>
      <c r="P344" s="224">
        <f>VLOOKUP(C344,'Talente &amp; Stuff'!CL:DM,14,FALSE)</f>
        <v>0</v>
      </c>
      <c r="Q344" s="237">
        <f>VLOOKUP(C344,'Talente &amp; Stuff'!CL:DM,15,FALSE)</f>
        <v>0</v>
      </c>
      <c r="R344" s="254">
        <f>VLOOKUP(C344,'Talente &amp; Stuff'!CL:DM,16,FALSE)</f>
        <v>0</v>
      </c>
      <c r="S344" s="224">
        <f>VLOOKUP(C344,'Talente &amp; Stuff'!CL:DM,17,FALSE)</f>
        <v>0</v>
      </c>
      <c r="T344" s="242">
        <f>VLOOKUP(C344,'Talente &amp; Stuff'!CL:DM,18,FALSE)</f>
        <v>0</v>
      </c>
      <c r="U344" s="222">
        <f>VLOOKUP(C344,'Talente &amp; Stuff'!CL:DM,19,FALSE)</f>
        <v>0</v>
      </c>
      <c r="V344" s="223">
        <f>VLOOKUP(C344,'Talente &amp; Stuff'!CL:DM,20,FALSE)</f>
        <v>0</v>
      </c>
      <c r="W344" s="243">
        <f>VLOOKUP(C344,'Talente &amp; Stuff'!CL:DM,21,FALSE)</f>
        <v>0</v>
      </c>
      <c r="X344" s="218">
        <f>VLOOKUP(C344,'Talente &amp; Stuff'!CL:DM,22,FALSE)</f>
        <v>0</v>
      </c>
      <c r="Y344" s="252">
        <f>VLOOKUP(C344,Ausgewählte_Zauber_Zaubertänzer,110,FALSE)</f>
        <v>0</v>
      </c>
      <c r="Z344" s="309">
        <f>VLOOKUP(C344,Ausgewählte_Zauber_Zaubertänzer,111,FALSE)</f>
        <v>0</v>
      </c>
      <c r="AA344" s="218">
        <f>VLOOKUP(C344,'Talente &amp; Stuff'!CL:DM,25,FALSE)</f>
        <v>0</v>
      </c>
      <c r="AB344" s="242">
        <f>VLOOKUP(C344,'Talente &amp; Stuff'!CL:DM,26,FALSE)</f>
        <v>0</v>
      </c>
      <c r="AC344" s="218">
        <f>VLOOKUP(C344,'Talente &amp; Stuff'!CL:DM,27,FALSE)</f>
        <v>0</v>
      </c>
      <c r="AD344" s="218">
        <f>VLOOKUP(C344,'Talente &amp; Stuff'!CL:DM,28,FALSE)</f>
        <v>0</v>
      </c>
      <c r="AE344" s="343"/>
    </row>
    <row r="345" spans="1:31" s="217" customFormat="1" hidden="1" outlineLevel="2">
      <c r="A345" s="185"/>
      <c r="B345" s="217">
        <v>23</v>
      </c>
      <c r="C345" s="303" t="str">
        <f>Attribute!C345</f>
        <v>---</v>
      </c>
      <c r="D345" s="304" t="str">
        <f>VLOOKUP(C345,'Talente &amp; Stuff'!CL:DM,2,FALSE)</f>
        <v>--/--/--</v>
      </c>
      <c r="E345" s="218" t="str">
        <f>VLOOKUP(C345,'Talente &amp; Stuff'!CL:DM,3,FALSE)</f>
        <v>-</v>
      </c>
      <c r="F345" s="237">
        <f>VLOOKUP(C345,'Talente &amp; Stuff'!CL:DM,4,FALSE)</f>
        <v>0</v>
      </c>
      <c r="G345" s="234">
        <f>VLOOKUP(C345,'Talente &amp; Stuff'!CL:DM,5,FALSE)</f>
        <v>0</v>
      </c>
      <c r="H345" s="234">
        <f>VLOOKUP(C345,'Talente &amp; Stuff'!CL:DM,6,FALSE)</f>
        <v>0</v>
      </c>
      <c r="I345" s="234">
        <f>VLOOKUP(C345,'Talente &amp; Stuff'!CL:DM,7,FALSE)</f>
        <v>0</v>
      </c>
      <c r="J345" s="234">
        <f>VLOOKUP(C345,'Talente &amp; Stuff'!CL:DM,8,FALSE)</f>
        <v>0</v>
      </c>
      <c r="K345" s="234">
        <f>VLOOKUP(C345,'Talente &amp; Stuff'!CL:DM,9,FALSE)</f>
        <v>0</v>
      </c>
      <c r="L345" s="234">
        <f>VLOOKUP(C345,'Talente &amp; Stuff'!CL:DM,10,FALSE)</f>
        <v>0</v>
      </c>
      <c r="M345" s="224">
        <f>VLOOKUP(C345,'Talente &amp; Stuff'!CL:DM,11,FALSE)</f>
        <v>0</v>
      </c>
      <c r="N345" s="222">
        <f>VLOOKUP(C345,'Talente &amp; Stuff'!CL:DM,12,FALSE)</f>
        <v>0</v>
      </c>
      <c r="O345" s="223">
        <f>VLOOKUP(C345,'Talente &amp; Stuff'!CL:DM,13,FALSE)</f>
        <v>0</v>
      </c>
      <c r="P345" s="224">
        <f>VLOOKUP(C345,'Talente &amp; Stuff'!CL:DM,14,FALSE)</f>
        <v>0</v>
      </c>
      <c r="Q345" s="237">
        <f>VLOOKUP(C345,'Talente &amp; Stuff'!CL:DM,15,FALSE)</f>
        <v>0</v>
      </c>
      <c r="R345" s="254">
        <f>VLOOKUP(C345,'Talente &amp; Stuff'!CL:DM,16,FALSE)</f>
        <v>0</v>
      </c>
      <c r="S345" s="224">
        <f>VLOOKUP(C345,'Talente &amp; Stuff'!CL:DM,17,FALSE)</f>
        <v>0</v>
      </c>
      <c r="T345" s="242">
        <f>VLOOKUP(C345,'Talente &amp; Stuff'!CL:DM,18,FALSE)</f>
        <v>0</v>
      </c>
      <c r="U345" s="222">
        <f>VLOOKUP(C345,'Talente &amp; Stuff'!CL:DM,19,FALSE)</f>
        <v>0</v>
      </c>
      <c r="V345" s="223">
        <f>VLOOKUP(C345,'Talente &amp; Stuff'!CL:DM,20,FALSE)</f>
        <v>0</v>
      </c>
      <c r="W345" s="243">
        <f>VLOOKUP(C345,'Talente &amp; Stuff'!CL:DM,21,FALSE)</f>
        <v>0</v>
      </c>
      <c r="X345" s="218">
        <f>VLOOKUP(C345,'Talente &amp; Stuff'!CL:DM,22,FALSE)</f>
        <v>0</v>
      </c>
      <c r="Y345" s="252">
        <f>VLOOKUP(C345,Ausgewählte_Zauber_Zaubertänzer,110,FALSE)</f>
        <v>0</v>
      </c>
      <c r="Z345" s="309">
        <f>VLOOKUP(C345,Ausgewählte_Zauber_Zaubertänzer,111,FALSE)</f>
        <v>0</v>
      </c>
      <c r="AA345" s="218">
        <f>VLOOKUP(C345,'Talente &amp; Stuff'!CL:DM,25,FALSE)</f>
        <v>0</v>
      </c>
      <c r="AB345" s="242">
        <f>VLOOKUP(C345,'Talente &amp; Stuff'!CL:DM,26,FALSE)</f>
        <v>0</v>
      </c>
      <c r="AC345" s="218">
        <f>VLOOKUP(C345,'Talente &amp; Stuff'!CL:DM,27,FALSE)</f>
        <v>0</v>
      </c>
      <c r="AD345" s="218">
        <f>VLOOKUP(C345,'Talente &amp; Stuff'!CL:DM,28,FALSE)</f>
        <v>0</v>
      </c>
      <c r="AE345" s="343"/>
    </row>
    <row r="346" spans="1:31" s="217" customFormat="1" hidden="1" outlineLevel="2">
      <c r="A346" s="185"/>
      <c r="B346" s="217">
        <v>24</v>
      </c>
      <c r="C346" s="303" t="str">
        <f>Attribute!C346</f>
        <v>---</v>
      </c>
      <c r="D346" s="304" t="str">
        <f>VLOOKUP(C346,'Talente &amp; Stuff'!CL:DM,2,FALSE)</f>
        <v>--/--/--</v>
      </c>
      <c r="E346" s="218" t="str">
        <f>VLOOKUP(C346,'Talente &amp; Stuff'!CL:DM,3,FALSE)</f>
        <v>-</v>
      </c>
      <c r="F346" s="237">
        <f>VLOOKUP(C346,'Talente &amp; Stuff'!CL:DM,4,FALSE)</f>
        <v>0</v>
      </c>
      <c r="G346" s="234">
        <f>VLOOKUP(C346,'Talente &amp; Stuff'!CL:DM,5,FALSE)</f>
        <v>0</v>
      </c>
      <c r="H346" s="234">
        <f>VLOOKUP(C346,'Talente &amp; Stuff'!CL:DM,6,FALSE)</f>
        <v>0</v>
      </c>
      <c r="I346" s="234">
        <f>VLOOKUP(C346,'Talente &amp; Stuff'!CL:DM,7,FALSE)</f>
        <v>0</v>
      </c>
      <c r="J346" s="234">
        <f>VLOOKUP(C346,'Talente &amp; Stuff'!CL:DM,8,FALSE)</f>
        <v>0</v>
      </c>
      <c r="K346" s="234">
        <f>VLOOKUP(C346,'Talente &amp; Stuff'!CL:DM,9,FALSE)</f>
        <v>0</v>
      </c>
      <c r="L346" s="234">
        <f>VLOOKUP(C346,'Talente &amp; Stuff'!CL:DM,10,FALSE)</f>
        <v>0</v>
      </c>
      <c r="M346" s="224">
        <f>VLOOKUP(C346,'Talente &amp; Stuff'!CL:DM,11,FALSE)</f>
        <v>0</v>
      </c>
      <c r="N346" s="222">
        <f>VLOOKUP(C346,'Talente &amp; Stuff'!CL:DM,12,FALSE)</f>
        <v>0</v>
      </c>
      <c r="O346" s="223">
        <f>VLOOKUP(C346,'Talente &amp; Stuff'!CL:DM,13,FALSE)</f>
        <v>0</v>
      </c>
      <c r="P346" s="224">
        <f>VLOOKUP(C346,'Talente &amp; Stuff'!CL:DM,14,FALSE)</f>
        <v>0</v>
      </c>
      <c r="Q346" s="237">
        <f>VLOOKUP(C346,'Talente &amp; Stuff'!CL:DM,15,FALSE)</f>
        <v>0</v>
      </c>
      <c r="R346" s="254">
        <f>VLOOKUP(C346,'Talente &amp; Stuff'!CL:DM,16,FALSE)</f>
        <v>0</v>
      </c>
      <c r="S346" s="224">
        <f>VLOOKUP(C346,'Talente &amp; Stuff'!CL:DM,17,FALSE)</f>
        <v>0</v>
      </c>
      <c r="T346" s="242">
        <f>VLOOKUP(C346,'Talente &amp; Stuff'!CL:DM,18,FALSE)</f>
        <v>0</v>
      </c>
      <c r="U346" s="222">
        <f>VLOOKUP(C346,'Talente &amp; Stuff'!CL:DM,19,FALSE)</f>
        <v>0</v>
      </c>
      <c r="V346" s="223">
        <f>VLOOKUP(C346,'Talente &amp; Stuff'!CL:DM,20,FALSE)</f>
        <v>0</v>
      </c>
      <c r="W346" s="243">
        <f>VLOOKUP(C346,'Talente &amp; Stuff'!CL:DM,21,FALSE)</f>
        <v>0</v>
      </c>
      <c r="X346" s="218">
        <f>VLOOKUP(C346,'Talente &amp; Stuff'!CL:DM,22,FALSE)</f>
        <v>0</v>
      </c>
      <c r="Y346" s="252">
        <f>VLOOKUP(C346,Ausgewählte_Zauber_Zaubertänzer,110,FALSE)</f>
        <v>0</v>
      </c>
      <c r="Z346" s="309">
        <f>VLOOKUP(C346,Ausgewählte_Zauber_Zaubertänzer,111,FALSE)</f>
        <v>0</v>
      </c>
      <c r="AA346" s="218">
        <f>VLOOKUP(C346,'Talente &amp; Stuff'!CL:DM,25,FALSE)</f>
        <v>0</v>
      </c>
      <c r="AB346" s="242">
        <f>VLOOKUP(C346,'Talente &amp; Stuff'!CL:DM,26,FALSE)</f>
        <v>0</v>
      </c>
      <c r="AC346" s="218">
        <f>VLOOKUP(C346,'Talente &amp; Stuff'!CL:DM,27,FALSE)</f>
        <v>0</v>
      </c>
      <c r="AD346" s="218">
        <f>VLOOKUP(C346,'Talente &amp; Stuff'!CL:DM,28,FALSE)</f>
        <v>0</v>
      </c>
      <c r="AE346" s="343"/>
    </row>
    <row r="347" spans="1:31" s="217" customFormat="1" hidden="1" outlineLevel="2">
      <c r="A347" s="185"/>
      <c r="B347" s="217">
        <v>25</v>
      </c>
      <c r="C347" s="303" t="str">
        <f>Attribute!C347</f>
        <v>---</v>
      </c>
      <c r="D347" s="304" t="str">
        <f>VLOOKUP(C347,'Talente &amp; Stuff'!CL:DM,2,FALSE)</f>
        <v>--/--/--</v>
      </c>
      <c r="E347" s="218" t="str">
        <f>VLOOKUP(C347,'Talente &amp; Stuff'!CL:DM,3,FALSE)</f>
        <v>-</v>
      </c>
      <c r="F347" s="237">
        <f>VLOOKUP(C347,'Talente &amp; Stuff'!CL:DM,4,FALSE)</f>
        <v>0</v>
      </c>
      <c r="G347" s="234">
        <f>VLOOKUP(C347,'Talente &amp; Stuff'!CL:DM,5,FALSE)</f>
        <v>0</v>
      </c>
      <c r="H347" s="234">
        <f>VLOOKUP(C347,'Talente &amp; Stuff'!CL:DM,6,FALSE)</f>
        <v>0</v>
      </c>
      <c r="I347" s="234">
        <f>VLOOKUP(C347,'Talente &amp; Stuff'!CL:DM,7,FALSE)</f>
        <v>0</v>
      </c>
      <c r="J347" s="234">
        <f>VLOOKUP(C347,'Talente &amp; Stuff'!CL:DM,8,FALSE)</f>
        <v>0</v>
      </c>
      <c r="K347" s="234">
        <f>VLOOKUP(C347,'Talente &amp; Stuff'!CL:DM,9,FALSE)</f>
        <v>0</v>
      </c>
      <c r="L347" s="234">
        <f>VLOOKUP(C347,'Talente &amp; Stuff'!CL:DM,10,FALSE)</f>
        <v>0</v>
      </c>
      <c r="M347" s="224">
        <f>VLOOKUP(C347,'Talente &amp; Stuff'!CL:DM,11,FALSE)</f>
        <v>0</v>
      </c>
      <c r="N347" s="222">
        <f>VLOOKUP(C347,'Talente &amp; Stuff'!CL:DM,12,FALSE)</f>
        <v>0</v>
      </c>
      <c r="O347" s="223">
        <f>VLOOKUP(C347,'Talente &amp; Stuff'!CL:DM,13,FALSE)</f>
        <v>0</v>
      </c>
      <c r="P347" s="224">
        <f>VLOOKUP(C347,'Talente &amp; Stuff'!CL:DM,14,FALSE)</f>
        <v>0</v>
      </c>
      <c r="Q347" s="237">
        <f>VLOOKUP(C347,'Talente &amp; Stuff'!CL:DM,15,FALSE)</f>
        <v>0</v>
      </c>
      <c r="R347" s="254">
        <f>VLOOKUP(C347,'Talente &amp; Stuff'!CL:DM,16,FALSE)</f>
        <v>0</v>
      </c>
      <c r="S347" s="224">
        <f>VLOOKUP(C347,'Talente &amp; Stuff'!CL:DM,17,FALSE)</f>
        <v>0</v>
      </c>
      <c r="T347" s="242">
        <f>VLOOKUP(C347,'Talente &amp; Stuff'!CL:DM,18,FALSE)</f>
        <v>0</v>
      </c>
      <c r="U347" s="222">
        <f>VLOOKUP(C347,'Talente &amp; Stuff'!CL:DM,19,FALSE)</f>
        <v>0</v>
      </c>
      <c r="V347" s="223">
        <f>VLOOKUP(C347,'Talente &amp; Stuff'!CL:DM,20,FALSE)</f>
        <v>0</v>
      </c>
      <c r="W347" s="243">
        <f>VLOOKUP(C347,'Talente &amp; Stuff'!CL:DM,21,FALSE)</f>
        <v>0</v>
      </c>
      <c r="X347" s="218">
        <f>VLOOKUP(C347,'Talente &amp; Stuff'!CL:DM,22,FALSE)</f>
        <v>0</v>
      </c>
      <c r="Y347" s="252">
        <f>VLOOKUP(C347,Ausgewählte_Zauber_Zaubertänzer,110,FALSE)</f>
        <v>0</v>
      </c>
      <c r="Z347" s="309">
        <f>VLOOKUP(C347,Ausgewählte_Zauber_Zaubertänzer,111,FALSE)</f>
        <v>0</v>
      </c>
      <c r="AA347" s="218">
        <f>VLOOKUP(C347,'Talente &amp; Stuff'!CL:DM,25,FALSE)</f>
        <v>0</v>
      </c>
      <c r="AB347" s="242">
        <f>VLOOKUP(C347,'Talente &amp; Stuff'!CL:DM,26,FALSE)</f>
        <v>0</v>
      </c>
      <c r="AC347" s="218">
        <f>VLOOKUP(C347,'Talente &amp; Stuff'!CL:DM,27,FALSE)</f>
        <v>0</v>
      </c>
      <c r="AD347" s="218">
        <f>VLOOKUP(C347,'Talente &amp; Stuff'!CL:DM,28,FALSE)</f>
        <v>0</v>
      </c>
      <c r="AE347" s="343"/>
    </row>
    <row r="348" spans="1:31" s="217" customFormat="1" hidden="1" outlineLevel="2">
      <c r="A348" s="185"/>
      <c r="B348" s="217">
        <v>26</v>
      </c>
      <c r="C348" s="306" t="str">
        <f>Attribute!C348</f>
        <v>---</v>
      </c>
      <c r="D348" s="314" t="str">
        <f>VLOOKUP(C348,'Talente &amp; Stuff'!CL:DM,2,FALSE)</f>
        <v>--/--/--</v>
      </c>
      <c r="E348" s="246" t="str">
        <f>VLOOKUP(C348,'Talente &amp; Stuff'!CL:DM,3,FALSE)</f>
        <v>-</v>
      </c>
      <c r="F348" s="238">
        <f>VLOOKUP(C348,'Talente &amp; Stuff'!CL:DM,4,FALSE)</f>
        <v>0</v>
      </c>
      <c r="G348" s="235">
        <f>VLOOKUP(C348,'Talente &amp; Stuff'!CL:DM,5,FALSE)</f>
        <v>0</v>
      </c>
      <c r="H348" s="235">
        <f>VLOOKUP(C348,'Talente &amp; Stuff'!CL:DM,6,FALSE)</f>
        <v>0</v>
      </c>
      <c r="I348" s="235">
        <f>VLOOKUP(C348,'Talente &amp; Stuff'!CL:DM,7,FALSE)</f>
        <v>0</v>
      </c>
      <c r="J348" s="235">
        <f>VLOOKUP(C348,'Talente &amp; Stuff'!CL:DM,8,FALSE)</f>
        <v>0</v>
      </c>
      <c r="K348" s="235">
        <f>VLOOKUP(C348,'Talente &amp; Stuff'!CL:DM,9,FALSE)</f>
        <v>0</v>
      </c>
      <c r="L348" s="235">
        <f>VLOOKUP(C348,'Talente &amp; Stuff'!CL:DM,10,FALSE)</f>
        <v>0</v>
      </c>
      <c r="M348" s="227">
        <f>VLOOKUP(C348,'Talente &amp; Stuff'!CL:DM,11,FALSE)</f>
        <v>0</v>
      </c>
      <c r="N348" s="225">
        <f>VLOOKUP(C348,'Talente &amp; Stuff'!CL:DM,12,FALSE)</f>
        <v>0</v>
      </c>
      <c r="O348" s="226">
        <f>VLOOKUP(C348,'Talente &amp; Stuff'!CL:DM,13,FALSE)</f>
        <v>0</v>
      </c>
      <c r="P348" s="227">
        <f>VLOOKUP(C348,'Talente &amp; Stuff'!CL:DM,14,FALSE)</f>
        <v>0</v>
      </c>
      <c r="Q348" s="238">
        <f>VLOOKUP(C348,'Talente &amp; Stuff'!CL:DM,15,FALSE)</f>
        <v>0</v>
      </c>
      <c r="R348" s="315">
        <f>VLOOKUP(C348,'Talente &amp; Stuff'!CL:DM,16,FALSE)</f>
        <v>0</v>
      </c>
      <c r="S348" s="227">
        <f>VLOOKUP(C348,'Talente &amp; Stuff'!CL:DM,17,FALSE)</f>
        <v>0</v>
      </c>
      <c r="T348" s="244">
        <f>VLOOKUP(C348,'Talente &amp; Stuff'!CL:DM,18,FALSE)</f>
        <v>0</v>
      </c>
      <c r="U348" s="225">
        <f>VLOOKUP(C348,'Talente &amp; Stuff'!CL:DM,19,FALSE)</f>
        <v>0</v>
      </c>
      <c r="V348" s="226">
        <f>VLOOKUP(C348,'Talente &amp; Stuff'!CL:DM,20,FALSE)</f>
        <v>0</v>
      </c>
      <c r="W348" s="245">
        <f>VLOOKUP(C348,'Talente &amp; Stuff'!CL:DM,21,FALSE)</f>
        <v>0</v>
      </c>
      <c r="X348" s="246">
        <f>VLOOKUP(C348,'Talente &amp; Stuff'!CL:DM,22,FALSE)</f>
        <v>0</v>
      </c>
      <c r="Y348" s="252">
        <f>VLOOKUP(C348,Ausgewählte_Zauber_Zaubertänzer,110,FALSE)</f>
        <v>0</v>
      </c>
      <c r="Z348" s="309">
        <f>VLOOKUP(C348,Ausgewählte_Zauber_Zaubertänzer,111,FALSE)</f>
        <v>0</v>
      </c>
      <c r="AA348" s="246">
        <f>VLOOKUP(C348,'Talente &amp; Stuff'!CL:DM,25,FALSE)</f>
        <v>0</v>
      </c>
      <c r="AB348" s="244">
        <f>VLOOKUP(C348,'Talente &amp; Stuff'!CL:DM,26,FALSE)</f>
        <v>0</v>
      </c>
      <c r="AC348" s="246">
        <f>VLOOKUP(C348,'Talente &amp; Stuff'!CL:DM,27,FALSE)</f>
        <v>0</v>
      </c>
      <c r="AD348" s="246">
        <f>VLOOKUP(C348,'Talente &amp; Stuff'!CL:DM,28,FALSE)</f>
        <v>0</v>
      </c>
      <c r="AE348" s="343"/>
    </row>
    <row r="349" spans="1:31" ht="15.75" hidden="1" customHeight="1" outlineLevel="1" collapsed="1" thickBot="1"/>
    <row r="350" spans="1:31" ht="15.75" collapsed="1" thickBot="1">
      <c r="A350" s="135" t="s">
        <v>311</v>
      </c>
    </row>
    <row r="351" spans="1:31" ht="15" hidden="1" customHeight="1" outlineLevel="1">
      <c r="B351" s="134" t="s">
        <v>327</v>
      </c>
    </row>
    <row r="352" spans="1:31" ht="15" hidden="1" customHeight="1" outlineLevel="2">
      <c r="B352" s="148">
        <v>1</v>
      </c>
      <c r="C352" s="176" t="str">
        <f>Attribute!C352</f>
        <v>---</v>
      </c>
      <c r="D352" s="85" t="str">
        <f>VLOOKUP(C352,'Talente &amp; Stuff'!CL:DM,2,FALSE)</f>
        <v>--/--/--</v>
      </c>
      <c r="E352" s="158" t="str">
        <f>VLOOKUP(C352,'Talente &amp; Stuff'!CL:DM,3,FALSE)</f>
        <v>-</v>
      </c>
      <c r="F352" s="118">
        <f>VLOOKUP(C352,'Talente &amp; Stuff'!CL:DM,4,FALSE)</f>
        <v>0</v>
      </c>
      <c r="G352" s="118">
        <f>VLOOKUP(C352,'Talente &amp; Stuff'!CL:DM,5,FALSE)</f>
        <v>0</v>
      </c>
      <c r="H352" s="118">
        <f>VLOOKUP(C352,'Talente &amp; Stuff'!CL:DM,6,FALSE)</f>
        <v>0</v>
      </c>
      <c r="I352" s="118">
        <f>VLOOKUP(C352,'Talente &amp; Stuff'!CL:DM,7,FALSE)</f>
        <v>0</v>
      </c>
      <c r="J352" s="118">
        <f>VLOOKUP(C352,'Talente &amp; Stuff'!CL:DM,8,FALSE)</f>
        <v>0</v>
      </c>
      <c r="K352" s="118">
        <f>VLOOKUP(C352,'Talente &amp; Stuff'!CL:DM,9,FALSE)</f>
        <v>0</v>
      </c>
      <c r="L352" s="118">
        <f>VLOOKUP(C352,'Talente &amp; Stuff'!CL:DM,10,FALSE)</f>
        <v>0</v>
      </c>
      <c r="M352" s="118">
        <f>VLOOKUP(C352,'Talente &amp; Stuff'!CL:DM,11,FALSE)</f>
        <v>0</v>
      </c>
      <c r="N352" s="193">
        <f>VLOOKUP(C352,'Talente &amp; Stuff'!CL:DM,12,FALSE)</f>
        <v>0</v>
      </c>
      <c r="O352" s="116">
        <f>VLOOKUP(C352,'Talente &amp; Stuff'!CL:DM,13,FALSE)</f>
        <v>0</v>
      </c>
      <c r="P352" s="92">
        <f>VLOOKUP(C352,'Talente &amp; Stuff'!CL:DM,14,FALSE)</f>
        <v>0</v>
      </c>
      <c r="Q352" s="118">
        <f>VLOOKUP(C352,'Talente &amp; Stuff'!CL:DM,15,FALSE)</f>
        <v>0</v>
      </c>
      <c r="R352" s="118">
        <f>VLOOKUP(C352,'Talente &amp; Stuff'!CL:DM,16,FALSE)</f>
        <v>0</v>
      </c>
      <c r="S352" s="118">
        <f>VLOOKUP(C352,'Talente &amp; Stuff'!CL:DM,17,FALSE)</f>
        <v>0</v>
      </c>
      <c r="T352" s="91">
        <f>VLOOKUP(C352,'Talente &amp; Stuff'!CL:DM,18,FALSE)</f>
        <v>0</v>
      </c>
      <c r="U352" s="116">
        <f>VLOOKUP(C352,'Talente &amp; Stuff'!CL:DM,19,FALSE)</f>
        <v>0</v>
      </c>
      <c r="V352" s="116">
        <f>VLOOKUP(C352,'Talente &amp; Stuff'!CL:DM,20,FALSE)</f>
        <v>0</v>
      </c>
      <c r="W352" s="116">
        <f>VLOOKUP(C352,'Talente &amp; Stuff'!CL:DM,21,FALSE)</f>
        <v>0</v>
      </c>
      <c r="X352" s="158">
        <f>VLOOKUP(C352,'Talente &amp; Stuff'!CL:DM,22,FALSE)</f>
        <v>0</v>
      </c>
      <c r="Y352" s="165">
        <f>VLOOKUP(C352,Ausgewählte_Rituale_Allgemein,110,FALSE)</f>
        <v>0</v>
      </c>
      <c r="Z352" s="44">
        <f>VLOOKUP(C352,Ausgewählte_Rituale_Allgemein,111,FALSE)</f>
        <v>0</v>
      </c>
      <c r="AA352" s="158">
        <f>VLOOKUP(C352,'Talente &amp; Stuff'!CL:DM,25,FALSE)</f>
        <v>0</v>
      </c>
      <c r="AB352" s="91">
        <f>VLOOKUP(C352,'Talente &amp; Stuff'!CL:DM,26,FALSE)</f>
        <v>0</v>
      </c>
      <c r="AC352" s="126">
        <f>VLOOKUP(C352,'Talente &amp; Stuff'!CL:DM,27,FALSE)</f>
        <v>0</v>
      </c>
      <c r="AD352" s="158">
        <f>VLOOKUP(C352,'Talente &amp; Stuff'!CL:DM,28,FALSE)</f>
        <v>0</v>
      </c>
      <c r="AE352" s="28"/>
    </row>
    <row r="353" spans="2:31" ht="15" hidden="1" customHeight="1" outlineLevel="2">
      <c r="B353" s="148">
        <v>2</v>
      </c>
      <c r="C353" s="177" t="str">
        <f>Attribute!C353</f>
        <v>---</v>
      </c>
      <c r="D353" s="86" t="str">
        <f>VLOOKUP(C353,'Talente &amp; Stuff'!CL:DM,2,FALSE)</f>
        <v>--/--/--</v>
      </c>
      <c r="E353" s="125" t="str">
        <f>VLOOKUP(C353,'Talente &amp; Stuff'!CL:DM,3,FALSE)</f>
        <v>-</v>
      </c>
      <c r="F353" s="113">
        <f>VLOOKUP(C353,'Talente &amp; Stuff'!CL:DM,4,FALSE)</f>
        <v>0</v>
      </c>
      <c r="G353" s="113">
        <f>VLOOKUP(C353,'Talente &amp; Stuff'!CL:DM,5,FALSE)</f>
        <v>0</v>
      </c>
      <c r="H353" s="113">
        <f>VLOOKUP(C353,'Talente &amp; Stuff'!CL:DM,6,FALSE)</f>
        <v>0</v>
      </c>
      <c r="I353" s="113">
        <f>VLOOKUP(C353,'Talente &amp; Stuff'!CL:DM,7,FALSE)</f>
        <v>0</v>
      </c>
      <c r="J353" s="113">
        <f>VLOOKUP(C353,'Talente &amp; Stuff'!CL:DM,8,FALSE)</f>
        <v>0</v>
      </c>
      <c r="K353" s="113">
        <f>VLOOKUP(C353,'Talente &amp; Stuff'!CL:DM,9,FALSE)</f>
        <v>0</v>
      </c>
      <c r="L353" s="113">
        <f>VLOOKUP(C353,'Talente &amp; Stuff'!CL:DM,10,FALSE)</f>
        <v>0</v>
      </c>
      <c r="M353" s="113">
        <f>VLOOKUP(C353,'Talente &amp; Stuff'!CL:DM,11,FALSE)</f>
        <v>0</v>
      </c>
      <c r="N353" s="89">
        <f>VLOOKUP(C353,'Talente &amp; Stuff'!CL:DM,12,FALSE)</f>
        <v>0</v>
      </c>
      <c r="O353" s="47">
        <f>VLOOKUP(C353,'Talente &amp; Stuff'!CL:DM,13,FALSE)</f>
        <v>0</v>
      </c>
      <c r="P353" s="119">
        <f>VLOOKUP(C353,'Talente &amp; Stuff'!CL:DM,14,FALSE)</f>
        <v>0</v>
      </c>
      <c r="Q353" s="113">
        <f>VLOOKUP(C353,'Talente &amp; Stuff'!CL:DM,15,FALSE)</f>
        <v>0</v>
      </c>
      <c r="R353" s="113">
        <f>VLOOKUP(C353,'Talente &amp; Stuff'!CL:DM,16,FALSE)</f>
        <v>0</v>
      </c>
      <c r="S353" s="113">
        <f>VLOOKUP(C353,'Talente &amp; Stuff'!CL:DM,17,FALSE)</f>
        <v>0</v>
      </c>
      <c r="T353" s="160">
        <f>VLOOKUP(C353,'Talente &amp; Stuff'!CL:DM,18,FALSE)</f>
        <v>0</v>
      </c>
      <c r="U353" s="47">
        <f>VLOOKUP(C353,'Talente &amp; Stuff'!CL:DM,19,FALSE)</f>
        <v>0</v>
      </c>
      <c r="V353" s="47">
        <f>VLOOKUP(C353,'Talente &amp; Stuff'!CL:DM,20,FALSE)</f>
        <v>0</v>
      </c>
      <c r="W353" s="47">
        <f>VLOOKUP(C353,'Talente &amp; Stuff'!CL:DM,21,FALSE)</f>
        <v>0</v>
      </c>
      <c r="X353" s="125">
        <f>VLOOKUP(C353,'Talente &amp; Stuff'!CL:DM,22,FALSE)</f>
        <v>0</v>
      </c>
      <c r="Y353" s="165">
        <f>VLOOKUP(C353,Ausgewählte_Rituale_Allgemein,110,FALSE)</f>
        <v>0</v>
      </c>
      <c r="Z353" s="44">
        <f>VLOOKUP(C353,Ausgewählte_Rituale_Allgemein,111,FALSE)</f>
        <v>0</v>
      </c>
      <c r="AA353" s="125">
        <f>VLOOKUP(C353,'Talente &amp; Stuff'!CL:DM,25,FALSE)</f>
        <v>0</v>
      </c>
      <c r="AB353" s="160">
        <f>VLOOKUP(C353,'Talente &amp; Stuff'!CL:DM,26,FALSE)</f>
        <v>0</v>
      </c>
      <c r="AC353" s="127">
        <f>VLOOKUP(C353,'Talente &amp; Stuff'!CL:DM,27,FALSE)</f>
        <v>0</v>
      </c>
      <c r="AD353" s="125">
        <f>VLOOKUP(C353,'Talente &amp; Stuff'!CL:DM,28,FALSE)</f>
        <v>0</v>
      </c>
      <c r="AE353" s="28"/>
    </row>
    <row r="354" spans="2:31" ht="15" hidden="1" customHeight="1" outlineLevel="2">
      <c r="B354" s="148">
        <v>3</v>
      </c>
      <c r="C354" s="177" t="str">
        <f>Attribute!C354</f>
        <v>---</v>
      </c>
      <c r="D354" s="86" t="str">
        <f>VLOOKUP(C354,'Talente &amp; Stuff'!CL:DM,2,FALSE)</f>
        <v>--/--/--</v>
      </c>
      <c r="E354" s="125" t="str">
        <f>VLOOKUP(C354,'Talente &amp; Stuff'!CL:DM,3,FALSE)</f>
        <v>-</v>
      </c>
      <c r="F354" s="113">
        <f>VLOOKUP(C354,'Talente &amp; Stuff'!CL:DM,4,FALSE)</f>
        <v>0</v>
      </c>
      <c r="G354" s="113">
        <f>VLOOKUP(C354,'Talente &amp; Stuff'!CL:DM,5,FALSE)</f>
        <v>0</v>
      </c>
      <c r="H354" s="113">
        <f>VLOOKUP(C354,'Talente &amp; Stuff'!CL:DM,6,FALSE)</f>
        <v>0</v>
      </c>
      <c r="I354" s="113">
        <f>VLOOKUP(C354,'Talente &amp; Stuff'!CL:DM,7,FALSE)</f>
        <v>0</v>
      </c>
      <c r="J354" s="113">
        <f>VLOOKUP(C354,'Talente &amp; Stuff'!CL:DM,8,FALSE)</f>
        <v>0</v>
      </c>
      <c r="K354" s="113">
        <f>VLOOKUP(C354,'Talente &amp; Stuff'!CL:DM,9,FALSE)</f>
        <v>0</v>
      </c>
      <c r="L354" s="113">
        <f>VLOOKUP(C354,'Talente &amp; Stuff'!CL:DM,10,FALSE)</f>
        <v>0</v>
      </c>
      <c r="M354" s="113">
        <f>VLOOKUP(C354,'Talente &amp; Stuff'!CL:DM,11,FALSE)</f>
        <v>0</v>
      </c>
      <c r="N354" s="89">
        <f>VLOOKUP(C354,'Talente &amp; Stuff'!CL:DM,12,FALSE)</f>
        <v>0</v>
      </c>
      <c r="O354" s="47">
        <f>VLOOKUP(C354,'Talente &amp; Stuff'!CL:DM,13,FALSE)</f>
        <v>0</v>
      </c>
      <c r="P354" s="119">
        <f>VLOOKUP(C354,'Talente &amp; Stuff'!CL:DM,14,FALSE)</f>
        <v>0</v>
      </c>
      <c r="Q354" s="113">
        <f>VLOOKUP(C354,'Talente &amp; Stuff'!CL:DM,15,FALSE)</f>
        <v>0</v>
      </c>
      <c r="R354" s="113">
        <f>VLOOKUP(C354,'Talente &amp; Stuff'!CL:DM,16,FALSE)</f>
        <v>0</v>
      </c>
      <c r="S354" s="113">
        <f>VLOOKUP(C354,'Talente &amp; Stuff'!CL:DM,17,FALSE)</f>
        <v>0</v>
      </c>
      <c r="T354" s="160">
        <f>VLOOKUP(C354,'Talente &amp; Stuff'!CL:DM,18,FALSE)</f>
        <v>0</v>
      </c>
      <c r="U354" s="47">
        <f>VLOOKUP(C354,'Talente &amp; Stuff'!CL:DM,19,FALSE)</f>
        <v>0</v>
      </c>
      <c r="V354" s="47">
        <f>VLOOKUP(C354,'Talente &amp; Stuff'!CL:DM,20,FALSE)</f>
        <v>0</v>
      </c>
      <c r="W354" s="47">
        <f>VLOOKUP(C354,'Talente &amp; Stuff'!CL:DM,21,FALSE)</f>
        <v>0</v>
      </c>
      <c r="X354" s="125">
        <f>VLOOKUP(C354,'Talente &amp; Stuff'!CL:DM,22,FALSE)</f>
        <v>0</v>
      </c>
      <c r="Y354" s="165">
        <f>VLOOKUP(C354,Ausgewählte_Rituale_Allgemein,110,FALSE)</f>
        <v>0</v>
      </c>
      <c r="Z354" s="44">
        <f>VLOOKUP(C354,Ausgewählte_Rituale_Allgemein,111,FALSE)</f>
        <v>0</v>
      </c>
      <c r="AA354" s="125">
        <f>VLOOKUP(C354,'Talente &amp; Stuff'!CL:DM,25,FALSE)</f>
        <v>0</v>
      </c>
      <c r="AB354" s="160">
        <f>VLOOKUP(C354,'Talente &amp; Stuff'!CL:DM,26,FALSE)</f>
        <v>0</v>
      </c>
      <c r="AC354" s="127">
        <f>VLOOKUP(C354,'Talente &amp; Stuff'!CL:DM,27,FALSE)</f>
        <v>0</v>
      </c>
      <c r="AD354" s="125">
        <f>VLOOKUP(C354,'Talente &amp; Stuff'!CL:DM,28,FALSE)</f>
        <v>0</v>
      </c>
      <c r="AE354" s="28"/>
    </row>
    <row r="355" spans="2:31" ht="15" hidden="1" customHeight="1" outlineLevel="2">
      <c r="B355" s="148">
        <v>4</v>
      </c>
      <c r="C355" s="178" t="str">
        <f>Attribute!C355</f>
        <v>---</v>
      </c>
      <c r="D355" s="23" t="str">
        <f>VLOOKUP(C355,'Talente &amp; Stuff'!CL:DM,2,FALSE)</f>
        <v>--/--/--</v>
      </c>
      <c r="E355" s="159" t="str">
        <f>VLOOKUP(C355,'Talente &amp; Stuff'!CL:DM,3,FALSE)</f>
        <v>-</v>
      </c>
      <c r="F355" s="122">
        <f>VLOOKUP(C355,'Talente &amp; Stuff'!CL:DM,4,FALSE)</f>
        <v>0</v>
      </c>
      <c r="G355" s="122">
        <f>VLOOKUP(C355,'Talente &amp; Stuff'!CL:DM,5,FALSE)</f>
        <v>0</v>
      </c>
      <c r="H355" s="122">
        <f>VLOOKUP(C355,'Talente &amp; Stuff'!CL:DM,6,FALSE)</f>
        <v>0</v>
      </c>
      <c r="I355" s="122">
        <f>VLOOKUP(C355,'Talente &amp; Stuff'!CL:DM,7,FALSE)</f>
        <v>0</v>
      </c>
      <c r="J355" s="122">
        <f>VLOOKUP(C355,'Talente &amp; Stuff'!CL:DM,8,FALSE)</f>
        <v>0</v>
      </c>
      <c r="K355" s="122">
        <f>VLOOKUP(C355,'Talente &amp; Stuff'!CL:DM,9,FALSE)</f>
        <v>0</v>
      </c>
      <c r="L355" s="122">
        <f>VLOOKUP(C355,'Talente &amp; Stuff'!CL:DM,10,FALSE)</f>
        <v>0</v>
      </c>
      <c r="M355" s="122">
        <f>VLOOKUP(C355,'Talente &amp; Stuff'!CL:DM,11,FALSE)</f>
        <v>0</v>
      </c>
      <c r="N355" s="90">
        <f>VLOOKUP(C355,'Talente &amp; Stuff'!CL:DM,12,FALSE)</f>
        <v>0</v>
      </c>
      <c r="O355" s="88">
        <f>VLOOKUP(C355,'Talente &amp; Stuff'!CL:DM,13,FALSE)</f>
        <v>0</v>
      </c>
      <c r="P355" s="123">
        <f>VLOOKUP(C355,'Talente &amp; Stuff'!CL:DM,14,FALSE)</f>
        <v>0</v>
      </c>
      <c r="Q355" s="122">
        <f>VLOOKUP(C355,'Talente &amp; Stuff'!CL:DM,15,FALSE)</f>
        <v>0</v>
      </c>
      <c r="R355" s="122">
        <f>VLOOKUP(C355,'Talente &amp; Stuff'!CL:DM,16,FALSE)</f>
        <v>0</v>
      </c>
      <c r="S355" s="122">
        <f>VLOOKUP(C355,'Talente &amp; Stuff'!CL:DM,17,FALSE)</f>
        <v>0</v>
      </c>
      <c r="T355" s="161">
        <f>VLOOKUP(C355,'Talente &amp; Stuff'!CL:DM,18,FALSE)</f>
        <v>0</v>
      </c>
      <c r="U355" s="88">
        <f>VLOOKUP(C355,'Talente &amp; Stuff'!CL:DM,19,FALSE)</f>
        <v>0</v>
      </c>
      <c r="V355" s="88">
        <f>VLOOKUP(C355,'Talente &amp; Stuff'!CL:DM,20,FALSE)</f>
        <v>0</v>
      </c>
      <c r="W355" s="88">
        <f>VLOOKUP(C355,'Talente &amp; Stuff'!CL:DM,21,FALSE)</f>
        <v>0</v>
      </c>
      <c r="X355" s="159">
        <f>VLOOKUP(C355,'Talente &amp; Stuff'!CL:DM,22,FALSE)</f>
        <v>0</v>
      </c>
      <c r="Y355" s="165">
        <f>VLOOKUP(C355,Ausgewählte_Rituale_Allgemein,110,FALSE)</f>
        <v>0</v>
      </c>
      <c r="Z355" s="44">
        <f>VLOOKUP(C355,Ausgewählte_Rituale_Allgemein,111,FALSE)</f>
        <v>0</v>
      </c>
      <c r="AA355" s="159">
        <f>VLOOKUP(C355,'Talente &amp; Stuff'!CL:DM,25,FALSE)</f>
        <v>0</v>
      </c>
      <c r="AB355" s="161">
        <f>VLOOKUP(C355,'Talente &amp; Stuff'!CL:DM,26,FALSE)</f>
        <v>0</v>
      </c>
      <c r="AC355" s="128">
        <f>VLOOKUP(C355,'Talente &amp; Stuff'!CL:DM,27,FALSE)</f>
        <v>0</v>
      </c>
      <c r="AD355" s="159">
        <f>VLOOKUP(C355,'Talente &amp; Stuff'!CL:DM,28,FALSE)</f>
        <v>0</v>
      </c>
      <c r="AE355" s="28"/>
    </row>
    <row r="356" spans="2:31" ht="15" hidden="1" customHeight="1" outlineLevel="1" collapsed="1">
      <c r="B356" s="134" t="s">
        <v>331</v>
      </c>
      <c r="C356" s="83"/>
      <c r="D356" s="84"/>
      <c r="E356" s="84"/>
    </row>
    <row r="357" spans="2:31" ht="15" hidden="1" customHeight="1" outlineLevel="2">
      <c r="B357" s="148">
        <v>1</v>
      </c>
      <c r="C357" s="176" t="str">
        <f>Attribute!C357</f>
        <v>---</v>
      </c>
      <c r="D357" s="85" t="str">
        <f>VLOOKUP(C357,'Talente &amp; Stuff'!CL:DM,2,FALSE)</f>
        <v>--/--/--</v>
      </c>
      <c r="E357" s="158" t="str">
        <f>VLOOKUP(C357,'Talente &amp; Stuff'!CL:DM,3,FALSE)</f>
        <v>-</v>
      </c>
      <c r="F357" s="118">
        <f>VLOOKUP(C357,'Talente &amp; Stuff'!CL:DM,4,FALSE)</f>
        <v>0</v>
      </c>
      <c r="G357" s="118">
        <f>VLOOKUP(C357,'Talente &amp; Stuff'!CL:DM,5,FALSE)</f>
        <v>0</v>
      </c>
      <c r="H357" s="118">
        <f>VLOOKUP(C357,'Talente &amp; Stuff'!CL:DM,6,FALSE)</f>
        <v>0</v>
      </c>
      <c r="I357" s="118">
        <f>VLOOKUP(C357,'Talente &amp; Stuff'!CL:DM,7,FALSE)</f>
        <v>0</v>
      </c>
      <c r="J357" s="118">
        <f>VLOOKUP(C357,'Talente &amp; Stuff'!CL:DM,8,FALSE)</f>
        <v>0</v>
      </c>
      <c r="K357" s="118">
        <f>VLOOKUP(C357,'Talente &amp; Stuff'!CL:DM,9,FALSE)</f>
        <v>0</v>
      </c>
      <c r="L357" s="118">
        <f>VLOOKUP(C357,'Talente &amp; Stuff'!CL:DM,10,FALSE)</f>
        <v>0</v>
      </c>
      <c r="M357" s="118">
        <f>VLOOKUP(C357,'Talente &amp; Stuff'!CL:DM,11,FALSE)</f>
        <v>0</v>
      </c>
      <c r="N357" s="193">
        <f>VLOOKUP(C357,'Talente &amp; Stuff'!CL:DM,12,FALSE)</f>
        <v>0</v>
      </c>
      <c r="O357" s="116">
        <f>VLOOKUP(C357,'Talente &amp; Stuff'!CL:DM,13,FALSE)</f>
        <v>0</v>
      </c>
      <c r="P357" s="92">
        <f>VLOOKUP(C357,'Talente &amp; Stuff'!CL:DM,14,FALSE)</f>
        <v>0</v>
      </c>
      <c r="Q357" s="118">
        <f>VLOOKUP(C357,'Talente &amp; Stuff'!CL:DM,15,FALSE)</f>
        <v>0</v>
      </c>
      <c r="R357" s="118">
        <f>VLOOKUP(C357,'Talente &amp; Stuff'!CL:DM,16,FALSE)</f>
        <v>0</v>
      </c>
      <c r="S357" s="118">
        <f>VLOOKUP(C357,'Talente &amp; Stuff'!CL:DM,17,FALSE)</f>
        <v>0</v>
      </c>
      <c r="T357" s="91">
        <f>VLOOKUP(C357,'Talente &amp; Stuff'!CL:DM,18,FALSE)</f>
        <v>0</v>
      </c>
      <c r="U357" s="116">
        <f>VLOOKUP(C357,'Talente &amp; Stuff'!CL:DM,19,FALSE)</f>
        <v>0</v>
      </c>
      <c r="V357" s="116">
        <f>VLOOKUP(C357,'Talente &amp; Stuff'!CL:DM,20,FALSE)</f>
        <v>0</v>
      </c>
      <c r="W357" s="116">
        <f>VLOOKUP(C357,'Talente &amp; Stuff'!CL:DM,21,FALSE)</f>
        <v>0</v>
      </c>
      <c r="X357" s="158">
        <f>VLOOKUP(C357,'Talente &amp; Stuff'!CL:DM,22,FALSE)</f>
        <v>0</v>
      </c>
      <c r="Y357" s="165">
        <f t="shared" ref="Y357:Y365" si="24">VLOOKUP(C357,Ausgewählte_Rituale_Druiden,110,FALSE)</f>
        <v>0</v>
      </c>
      <c r="Z357" s="44">
        <f t="shared" ref="Z357:Z365" si="25">VLOOKUP(C357,Ausgewählte_Rituale_Druiden,111,FALSE)</f>
        <v>0</v>
      </c>
      <c r="AA357" s="158">
        <f>VLOOKUP(C357,'Talente &amp; Stuff'!CL:DM,25,FALSE)</f>
        <v>0</v>
      </c>
      <c r="AB357" s="91">
        <f>VLOOKUP(C357,'Talente &amp; Stuff'!CL:DM,26,FALSE)</f>
        <v>0</v>
      </c>
      <c r="AC357" s="126">
        <f>VLOOKUP(C357,'Talente &amp; Stuff'!CL:DM,27,FALSE)</f>
        <v>0</v>
      </c>
      <c r="AD357" s="158">
        <f>VLOOKUP(C357,'Talente &amp; Stuff'!CL:DM,28,FALSE)</f>
        <v>0</v>
      </c>
      <c r="AE357" s="28"/>
    </row>
    <row r="358" spans="2:31" ht="15" hidden="1" customHeight="1" outlineLevel="2">
      <c r="B358" s="148">
        <v>2</v>
      </c>
      <c r="C358" s="177" t="str">
        <f>Attribute!C358</f>
        <v>---</v>
      </c>
      <c r="D358" s="86" t="str">
        <f>VLOOKUP(C358,'Talente &amp; Stuff'!CL:DM,2,FALSE)</f>
        <v>--/--/--</v>
      </c>
      <c r="E358" s="125" t="str">
        <f>VLOOKUP(C358,'Talente &amp; Stuff'!CL:DM,3,FALSE)</f>
        <v>-</v>
      </c>
      <c r="F358" s="113">
        <f>VLOOKUP(C358,'Talente &amp; Stuff'!CL:DM,4,FALSE)</f>
        <v>0</v>
      </c>
      <c r="G358" s="113">
        <f>VLOOKUP(C358,'Talente &amp; Stuff'!CL:DM,5,FALSE)</f>
        <v>0</v>
      </c>
      <c r="H358" s="113">
        <f>VLOOKUP(C358,'Talente &amp; Stuff'!CL:DM,6,FALSE)</f>
        <v>0</v>
      </c>
      <c r="I358" s="113">
        <f>VLOOKUP(C358,'Talente &amp; Stuff'!CL:DM,7,FALSE)</f>
        <v>0</v>
      </c>
      <c r="J358" s="113">
        <f>VLOOKUP(C358,'Talente &amp; Stuff'!CL:DM,8,FALSE)</f>
        <v>0</v>
      </c>
      <c r="K358" s="113">
        <f>VLOOKUP(C358,'Talente &amp; Stuff'!CL:DM,9,FALSE)</f>
        <v>0</v>
      </c>
      <c r="L358" s="113">
        <f>VLOOKUP(C358,'Talente &amp; Stuff'!CL:DM,10,FALSE)</f>
        <v>0</v>
      </c>
      <c r="M358" s="113">
        <f>VLOOKUP(C358,'Talente &amp; Stuff'!CL:DM,11,FALSE)</f>
        <v>0</v>
      </c>
      <c r="N358" s="89">
        <f>VLOOKUP(C358,'Talente &amp; Stuff'!CL:DM,12,FALSE)</f>
        <v>0</v>
      </c>
      <c r="O358" s="47">
        <f>VLOOKUP(C358,'Talente &amp; Stuff'!CL:DM,13,FALSE)</f>
        <v>0</v>
      </c>
      <c r="P358" s="119">
        <f>VLOOKUP(C358,'Talente &amp; Stuff'!CL:DM,14,FALSE)</f>
        <v>0</v>
      </c>
      <c r="Q358" s="113">
        <f>VLOOKUP(C358,'Talente &amp; Stuff'!CL:DM,15,FALSE)</f>
        <v>0</v>
      </c>
      <c r="R358" s="113">
        <f>VLOOKUP(C358,'Talente &amp; Stuff'!CL:DM,16,FALSE)</f>
        <v>0</v>
      </c>
      <c r="S358" s="113">
        <f>VLOOKUP(C358,'Talente &amp; Stuff'!CL:DM,17,FALSE)</f>
        <v>0</v>
      </c>
      <c r="T358" s="160">
        <f>VLOOKUP(C358,'Talente &amp; Stuff'!CL:DM,18,FALSE)</f>
        <v>0</v>
      </c>
      <c r="U358" s="47">
        <f>VLOOKUP(C358,'Talente &amp; Stuff'!CL:DM,19,FALSE)</f>
        <v>0</v>
      </c>
      <c r="V358" s="47">
        <f>VLOOKUP(C358,'Talente &amp; Stuff'!CL:DM,20,FALSE)</f>
        <v>0</v>
      </c>
      <c r="W358" s="47">
        <f>VLOOKUP(C358,'Talente &amp; Stuff'!CL:DM,21,FALSE)</f>
        <v>0</v>
      </c>
      <c r="X358" s="125">
        <f>VLOOKUP(C358,'Talente &amp; Stuff'!CL:DM,22,FALSE)</f>
        <v>0</v>
      </c>
      <c r="Y358" s="165">
        <f t="shared" si="24"/>
        <v>0</v>
      </c>
      <c r="Z358" s="44">
        <f t="shared" si="25"/>
        <v>0</v>
      </c>
      <c r="AA358" s="125">
        <f>VLOOKUP(C358,'Talente &amp; Stuff'!CL:DM,25,FALSE)</f>
        <v>0</v>
      </c>
      <c r="AB358" s="160">
        <f>VLOOKUP(C358,'Talente &amp; Stuff'!CL:DM,26,FALSE)</f>
        <v>0</v>
      </c>
      <c r="AC358" s="127">
        <f>VLOOKUP(C358,'Talente &amp; Stuff'!CL:DM,27,FALSE)</f>
        <v>0</v>
      </c>
      <c r="AD358" s="125">
        <f>VLOOKUP(C358,'Talente &amp; Stuff'!CL:DM,28,FALSE)</f>
        <v>0</v>
      </c>
      <c r="AE358" s="28"/>
    </row>
    <row r="359" spans="2:31" ht="15" hidden="1" customHeight="1" outlineLevel="2">
      <c r="B359" s="148">
        <v>3</v>
      </c>
      <c r="C359" s="177" t="str">
        <f>Attribute!C359</f>
        <v>---</v>
      </c>
      <c r="D359" s="86" t="str">
        <f>VLOOKUP(C359,'Talente &amp; Stuff'!CL:DM,2,FALSE)</f>
        <v>--/--/--</v>
      </c>
      <c r="E359" s="125" t="str">
        <f>VLOOKUP(C359,'Talente &amp; Stuff'!CL:DM,3,FALSE)</f>
        <v>-</v>
      </c>
      <c r="F359" s="113">
        <f>VLOOKUP(C359,'Talente &amp; Stuff'!CL:DM,4,FALSE)</f>
        <v>0</v>
      </c>
      <c r="G359" s="113">
        <f>VLOOKUP(C359,'Talente &amp; Stuff'!CL:DM,5,FALSE)</f>
        <v>0</v>
      </c>
      <c r="H359" s="113">
        <f>VLOOKUP(C359,'Talente &amp; Stuff'!CL:DM,6,FALSE)</f>
        <v>0</v>
      </c>
      <c r="I359" s="113">
        <f>VLOOKUP(C359,'Talente &amp; Stuff'!CL:DM,7,FALSE)</f>
        <v>0</v>
      </c>
      <c r="J359" s="113">
        <f>VLOOKUP(C359,'Talente &amp; Stuff'!CL:DM,8,FALSE)</f>
        <v>0</v>
      </c>
      <c r="K359" s="113">
        <f>VLOOKUP(C359,'Talente &amp; Stuff'!CL:DM,9,FALSE)</f>
        <v>0</v>
      </c>
      <c r="L359" s="113">
        <f>VLOOKUP(C359,'Talente &amp; Stuff'!CL:DM,10,FALSE)</f>
        <v>0</v>
      </c>
      <c r="M359" s="113">
        <f>VLOOKUP(C359,'Talente &amp; Stuff'!CL:DM,11,FALSE)</f>
        <v>0</v>
      </c>
      <c r="N359" s="89">
        <f>VLOOKUP(C359,'Talente &amp; Stuff'!CL:DM,12,FALSE)</f>
        <v>0</v>
      </c>
      <c r="O359" s="47">
        <f>VLOOKUP(C359,'Talente &amp; Stuff'!CL:DM,13,FALSE)</f>
        <v>0</v>
      </c>
      <c r="P359" s="119">
        <f>VLOOKUP(C359,'Talente &amp; Stuff'!CL:DM,14,FALSE)</f>
        <v>0</v>
      </c>
      <c r="Q359" s="113">
        <f>VLOOKUP(C359,'Talente &amp; Stuff'!CL:DM,15,FALSE)</f>
        <v>0</v>
      </c>
      <c r="R359" s="113">
        <f>VLOOKUP(C359,'Talente &amp; Stuff'!CL:DM,16,FALSE)</f>
        <v>0</v>
      </c>
      <c r="S359" s="113">
        <f>VLOOKUP(C359,'Talente &amp; Stuff'!CL:DM,17,FALSE)</f>
        <v>0</v>
      </c>
      <c r="T359" s="160">
        <f>VLOOKUP(C359,'Talente &amp; Stuff'!CL:DM,18,FALSE)</f>
        <v>0</v>
      </c>
      <c r="U359" s="47">
        <f>VLOOKUP(C359,'Talente &amp; Stuff'!CL:DM,19,FALSE)</f>
        <v>0</v>
      </c>
      <c r="V359" s="47">
        <f>VLOOKUP(C359,'Talente &amp; Stuff'!CL:DM,20,FALSE)</f>
        <v>0</v>
      </c>
      <c r="W359" s="47">
        <f>VLOOKUP(C359,'Talente &amp; Stuff'!CL:DM,21,FALSE)</f>
        <v>0</v>
      </c>
      <c r="X359" s="125">
        <f>VLOOKUP(C359,'Talente &amp; Stuff'!CL:DM,22,FALSE)</f>
        <v>0</v>
      </c>
      <c r="Y359" s="165">
        <f t="shared" si="24"/>
        <v>0</v>
      </c>
      <c r="Z359" s="44">
        <f t="shared" si="25"/>
        <v>0</v>
      </c>
      <c r="AA359" s="125">
        <f>VLOOKUP(C359,'Talente &amp; Stuff'!CL:DM,25,FALSE)</f>
        <v>0</v>
      </c>
      <c r="AB359" s="160">
        <f>VLOOKUP(C359,'Talente &amp; Stuff'!CL:DM,26,FALSE)</f>
        <v>0</v>
      </c>
      <c r="AC359" s="127">
        <f>VLOOKUP(C359,'Talente &amp; Stuff'!CL:DM,27,FALSE)</f>
        <v>0</v>
      </c>
      <c r="AD359" s="125">
        <f>VLOOKUP(C359,'Talente &amp; Stuff'!CL:DM,28,FALSE)</f>
        <v>0</v>
      </c>
      <c r="AE359" s="28"/>
    </row>
    <row r="360" spans="2:31" ht="15" hidden="1" customHeight="1" outlineLevel="2">
      <c r="B360" s="148">
        <v>4</v>
      </c>
      <c r="C360" s="177" t="str">
        <f>Attribute!C360</f>
        <v>---</v>
      </c>
      <c r="D360" s="86" t="str">
        <f>VLOOKUP(C360,'Talente &amp; Stuff'!CL:DM,2,FALSE)</f>
        <v>--/--/--</v>
      </c>
      <c r="E360" s="125" t="str">
        <f>VLOOKUP(C360,'Talente &amp; Stuff'!CL:DM,3,FALSE)</f>
        <v>-</v>
      </c>
      <c r="F360" s="113">
        <f>VLOOKUP(C360,'Talente &amp; Stuff'!CL:DM,4,FALSE)</f>
        <v>0</v>
      </c>
      <c r="G360" s="113">
        <f>VLOOKUP(C360,'Talente &amp; Stuff'!CL:DM,5,FALSE)</f>
        <v>0</v>
      </c>
      <c r="H360" s="113">
        <f>VLOOKUP(C360,'Talente &amp; Stuff'!CL:DM,6,FALSE)</f>
        <v>0</v>
      </c>
      <c r="I360" s="113">
        <f>VLOOKUP(C360,'Talente &amp; Stuff'!CL:DM,7,FALSE)</f>
        <v>0</v>
      </c>
      <c r="J360" s="113">
        <f>VLOOKUP(C360,'Talente &amp; Stuff'!CL:DM,8,FALSE)</f>
        <v>0</v>
      </c>
      <c r="K360" s="113">
        <f>VLOOKUP(C360,'Talente &amp; Stuff'!CL:DM,9,FALSE)</f>
        <v>0</v>
      </c>
      <c r="L360" s="113">
        <f>VLOOKUP(C360,'Talente &amp; Stuff'!CL:DM,10,FALSE)</f>
        <v>0</v>
      </c>
      <c r="M360" s="113">
        <f>VLOOKUP(C360,'Talente &amp; Stuff'!CL:DM,11,FALSE)</f>
        <v>0</v>
      </c>
      <c r="N360" s="89">
        <f>VLOOKUP(C360,'Talente &amp; Stuff'!CL:DM,12,FALSE)</f>
        <v>0</v>
      </c>
      <c r="O360" s="47">
        <f>VLOOKUP(C360,'Talente &amp; Stuff'!CL:DM,13,FALSE)</f>
        <v>0</v>
      </c>
      <c r="P360" s="119">
        <f>VLOOKUP(C360,'Talente &amp; Stuff'!CL:DM,14,FALSE)</f>
        <v>0</v>
      </c>
      <c r="Q360" s="113">
        <f>VLOOKUP(C360,'Talente &amp; Stuff'!CL:DM,15,FALSE)</f>
        <v>0</v>
      </c>
      <c r="R360" s="113">
        <f>VLOOKUP(C360,'Talente &amp; Stuff'!CL:DM,16,FALSE)</f>
        <v>0</v>
      </c>
      <c r="S360" s="113">
        <f>VLOOKUP(C360,'Talente &amp; Stuff'!CL:DM,17,FALSE)</f>
        <v>0</v>
      </c>
      <c r="T360" s="160">
        <f>VLOOKUP(C360,'Talente &amp; Stuff'!CL:DM,18,FALSE)</f>
        <v>0</v>
      </c>
      <c r="U360" s="47">
        <f>VLOOKUP(C360,'Talente &amp; Stuff'!CL:DM,19,FALSE)</f>
        <v>0</v>
      </c>
      <c r="V360" s="47">
        <f>VLOOKUP(C360,'Talente &amp; Stuff'!CL:DM,20,FALSE)</f>
        <v>0</v>
      </c>
      <c r="W360" s="47">
        <f>VLOOKUP(C360,'Talente &amp; Stuff'!CL:DM,21,FALSE)</f>
        <v>0</v>
      </c>
      <c r="X360" s="125">
        <f>VLOOKUP(C360,'Talente &amp; Stuff'!CL:DM,22,FALSE)</f>
        <v>0</v>
      </c>
      <c r="Y360" s="165">
        <f t="shared" si="24"/>
        <v>0</v>
      </c>
      <c r="Z360" s="44">
        <f t="shared" si="25"/>
        <v>0</v>
      </c>
      <c r="AA360" s="125">
        <f>VLOOKUP(C360,'Talente &amp; Stuff'!CL:DM,25,FALSE)</f>
        <v>0</v>
      </c>
      <c r="AB360" s="160">
        <f>VLOOKUP(C360,'Talente &amp; Stuff'!CL:DM,26,FALSE)</f>
        <v>0</v>
      </c>
      <c r="AC360" s="127">
        <f>VLOOKUP(C360,'Talente &amp; Stuff'!CL:DM,27,FALSE)</f>
        <v>0</v>
      </c>
      <c r="AD360" s="125">
        <f>VLOOKUP(C360,'Talente &amp; Stuff'!CL:DM,28,FALSE)</f>
        <v>0</v>
      </c>
      <c r="AE360" s="28"/>
    </row>
    <row r="361" spans="2:31" ht="15" hidden="1" customHeight="1" outlineLevel="2">
      <c r="B361" s="148">
        <v>5</v>
      </c>
      <c r="C361" s="177" t="str">
        <f>Attribute!C361</f>
        <v>---</v>
      </c>
      <c r="D361" s="86" t="str">
        <f>VLOOKUP(C361,'Talente &amp; Stuff'!CL:DM,2,FALSE)</f>
        <v>--/--/--</v>
      </c>
      <c r="E361" s="125" t="str">
        <f>VLOOKUP(C361,'Talente &amp; Stuff'!CL:DM,3,FALSE)</f>
        <v>-</v>
      </c>
      <c r="F361" s="113">
        <f>VLOOKUP(C361,'Talente &amp; Stuff'!CL:DM,4,FALSE)</f>
        <v>0</v>
      </c>
      <c r="G361" s="113">
        <f>VLOOKUP(C361,'Talente &amp; Stuff'!CL:DM,5,FALSE)</f>
        <v>0</v>
      </c>
      <c r="H361" s="113">
        <f>VLOOKUP(C361,'Talente &amp; Stuff'!CL:DM,6,FALSE)</f>
        <v>0</v>
      </c>
      <c r="I361" s="113">
        <f>VLOOKUP(C361,'Talente &amp; Stuff'!CL:DM,7,FALSE)</f>
        <v>0</v>
      </c>
      <c r="J361" s="113">
        <f>VLOOKUP(C361,'Talente &amp; Stuff'!CL:DM,8,FALSE)</f>
        <v>0</v>
      </c>
      <c r="K361" s="113">
        <f>VLOOKUP(C361,'Talente &amp; Stuff'!CL:DM,9,FALSE)</f>
        <v>0</v>
      </c>
      <c r="L361" s="113">
        <f>VLOOKUP(C361,'Talente &amp; Stuff'!CL:DM,10,FALSE)</f>
        <v>0</v>
      </c>
      <c r="M361" s="113">
        <f>VLOOKUP(C361,'Talente &amp; Stuff'!CL:DM,11,FALSE)</f>
        <v>0</v>
      </c>
      <c r="N361" s="89">
        <f>VLOOKUP(C361,'Talente &amp; Stuff'!CL:DM,12,FALSE)</f>
        <v>0</v>
      </c>
      <c r="O361" s="47">
        <f>VLOOKUP(C361,'Talente &amp; Stuff'!CL:DM,13,FALSE)</f>
        <v>0</v>
      </c>
      <c r="P361" s="119">
        <f>VLOOKUP(C361,'Talente &amp; Stuff'!CL:DM,14,FALSE)</f>
        <v>0</v>
      </c>
      <c r="Q361" s="113">
        <f>VLOOKUP(C361,'Talente &amp; Stuff'!CL:DM,15,FALSE)</f>
        <v>0</v>
      </c>
      <c r="R361" s="113">
        <f>VLOOKUP(C361,'Talente &amp; Stuff'!CL:DM,16,FALSE)</f>
        <v>0</v>
      </c>
      <c r="S361" s="113">
        <f>VLOOKUP(C361,'Talente &amp; Stuff'!CL:DM,17,FALSE)</f>
        <v>0</v>
      </c>
      <c r="T361" s="160">
        <f>VLOOKUP(C361,'Talente &amp; Stuff'!CL:DM,18,FALSE)</f>
        <v>0</v>
      </c>
      <c r="U361" s="47">
        <f>VLOOKUP(C361,'Talente &amp; Stuff'!CL:DM,19,FALSE)</f>
        <v>0</v>
      </c>
      <c r="V361" s="47">
        <f>VLOOKUP(C361,'Talente &amp; Stuff'!CL:DM,20,FALSE)</f>
        <v>0</v>
      </c>
      <c r="W361" s="47">
        <f>VLOOKUP(C361,'Talente &amp; Stuff'!CL:DM,21,FALSE)</f>
        <v>0</v>
      </c>
      <c r="X361" s="125">
        <f>VLOOKUP(C361,'Talente &amp; Stuff'!CL:DM,22,FALSE)</f>
        <v>0</v>
      </c>
      <c r="Y361" s="165">
        <f t="shared" si="24"/>
        <v>0</v>
      </c>
      <c r="Z361" s="44">
        <f t="shared" si="25"/>
        <v>0</v>
      </c>
      <c r="AA361" s="125">
        <f>VLOOKUP(C361,'Talente &amp; Stuff'!CL:DM,25,FALSE)</f>
        <v>0</v>
      </c>
      <c r="AB361" s="160">
        <f>VLOOKUP(C361,'Talente &amp; Stuff'!CL:DM,26,FALSE)</f>
        <v>0</v>
      </c>
      <c r="AC361" s="127">
        <f>VLOOKUP(C361,'Talente &amp; Stuff'!CL:DM,27,FALSE)</f>
        <v>0</v>
      </c>
      <c r="AD361" s="125">
        <f>VLOOKUP(C361,'Talente &amp; Stuff'!CL:DM,28,FALSE)</f>
        <v>0</v>
      </c>
      <c r="AE361" s="28"/>
    </row>
    <row r="362" spans="2:31" ht="15" hidden="1" customHeight="1" outlineLevel="2">
      <c r="B362" s="148">
        <v>6</v>
      </c>
      <c r="C362" s="177" t="str">
        <f>Attribute!C362</f>
        <v>---</v>
      </c>
      <c r="D362" s="86" t="str">
        <f>VLOOKUP(C362,'Talente &amp; Stuff'!CL:DM,2,FALSE)</f>
        <v>--/--/--</v>
      </c>
      <c r="E362" s="125" t="str">
        <f>VLOOKUP(C362,'Talente &amp; Stuff'!CL:DM,3,FALSE)</f>
        <v>-</v>
      </c>
      <c r="F362" s="113">
        <f>VLOOKUP(C362,'Talente &amp; Stuff'!CL:DM,4,FALSE)</f>
        <v>0</v>
      </c>
      <c r="G362" s="113">
        <f>VLOOKUP(C362,'Talente &amp; Stuff'!CL:DM,5,FALSE)</f>
        <v>0</v>
      </c>
      <c r="H362" s="113">
        <f>VLOOKUP(C362,'Talente &amp; Stuff'!CL:DM,6,FALSE)</f>
        <v>0</v>
      </c>
      <c r="I362" s="113">
        <f>VLOOKUP(C362,'Talente &amp; Stuff'!CL:DM,7,FALSE)</f>
        <v>0</v>
      </c>
      <c r="J362" s="113">
        <f>VLOOKUP(C362,'Talente &amp; Stuff'!CL:DM,8,FALSE)</f>
        <v>0</v>
      </c>
      <c r="K362" s="113">
        <f>VLOOKUP(C362,'Talente &amp; Stuff'!CL:DM,9,FALSE)</f>
        <v>0</v>
      </c>
      <c r="L362" s="113">
        <f>VLOOKUP(C362,'Talente &amp; Stuff'!CL:DM,10,FALSE)</f>
        <v>0</v>
      </c>
      <c r="M362" s="113">
        <f>VLOOKUP(C362,'Talente &amp; Stuff'!CL:DM,11,FALSE)</f>
        <v>0</v>
      </c>
      <c r="N362" s="89">
        <f>VLOOKUP(C362,'Talente &amp; Stuff'!CL:DM,12,FALSE)</f>
        <v>0</v>
      </c>
      <c r="O362" s="47">
        <f>VLOOKUP(C362,'Talente &amp; Stuff'!CL:DM,13,FALSE)</f>
        <v>0</v>
      </c>
      <c r="P362" s="119">
        <f>VLOOKUP(C362,'Talente &amp; Stuff'!CL:DM,14,FALSE)</f>
        <v>0</v>
      </c>
      <c r="Q362" s="113">
        <f>VLOOKUP(C362,'Talente &amp; Stuff'!CL:DM,15,FALSE)</f>
        <v>0</v>
      </c>
      <c r="R362" s="113">
        <f>VLOOKUP(C362,'Talente &amp; Stuff'!CL:DM,16,FALSE)</f>
        <v>0</v>
      </c>
      <c r="S362" s="113">
        <f>VLOOKUP(C362,'Talente &amp; Stuff'!CL:DM,17,FALSE)</f>
        <v>0</v>
      </c>
      <c r="T362" s="160">
        <f>VLOOKUP(C362,'Talente &amp; Stuff'!CL:DM,18,FALSE)</f>
        <v>0</v>
      </c>
      <c r="U362" s="47">
        <f>VLOOKUP(C362,'Talente &amp; Stuff'!CL:DM,19,FALSE)</f>
        <v>0</v>
      </c>
      <c r="V362" s="47">
        <f>VLOOKUP(C362,'Talente &amp; Stuff'!CL:DM,20,FALSE)</f>
        <v>0</v>
      </c>
      <c r="W362" s="47">
        <f>VLOOKUP(C362,'Talente &amp; Stuff'!CL:DM,21,FALSE)</f>
        <v>0</v>
      </c>
      <c r="X362" s="125">
        <f>VLOOKUP(C362,'Talente &amp; Stuff'!CL:DM,22,FALSE)</f>
        <v>0</v>
      </c>
      <c r="Y362" s="165">
        <f t="shared" si="24"/>
        <v>0</v>
      </c>
      <c r="Z362" s="44">
        <f t="shared" si="25"/>
        <v>0</v>
      </c>
      <c r="AA362" s="125">
        <f>VLOOKUP(C362,'Talente &amp; Stuff'!CL:DM,25,FALSE)</f>
        <v>0</v>
      </c>
      <c r="AB362" s="160">
        <f>VLOOKUP(C362,'Talente &amp; Stuff'!CL:DM,26,FALSE)</f>
        <v>0</v>
      </c>
      <c r="AC362" s="127">
        <f>VLOOKUP(C362,'Talente &amp; Stuff'!CL:DM,27,FALSE)</f>
        <v>0</v>
      </c>
      <c r="AD362" s="125">
        <f>VLOOKUP(C362,'Talente &amp; Stuff'!CL:DM,28,FALSE)</f>
        <v>0</v>
      </c>
      <c r="AE362" s="28"/>
    </row>
    <row r="363" spans="2:31" ht="15" hidden="1" customHeight="1" outlineLevel="2">
      <c r="B363" s="148">
        <v>7</v>
      </c>
      <c r="C363" s="177" t="str">
        <f>Attribute!C363</f>
        <v>---</v>
      </c>
      <c r="D363" s="86" t="str">
        <f>VLOOKUP(C363,'Talente &amp; Stuff'!CL:DM,2,FALSE)</f>
        <v>--/--/--</v>
      </c>
      <c r="E363" s="125" t="str">
        <f>VLOOKUP(C363,'Talente &amp; Stuff'!CL:DM,3,FALSE)</f>
        <v>-</v>
      </c>
      <c r="F363" s="113">
        <f>VLOOKUP(C363,'Talente &amp; Stuff'!CL:DM,4,FALSE)</f>
        <v>0</v>
      </c>
      <c r="G363" s="113">
        <f>VLOOKUP(C363,'Talente &amp; Stuff'!CL:DM,5,FALSE)</f>
        <v>0</v>
      </c>
      <c r="H363" s="113">
        <f>VLOOKUP(C363,'Talente &amp; Stuff'!CL:DM,6,FALSE)</f>
        <v>0</v>
      </c>
      <c r="I363" s="113">
        <f>VLOOKUP(C363,'Talente &amp; Stuff'!CL:DM,7,FALSE)</f>
        <v>0</v>
      </c>
      <c r="J363" s="113">
        <f>VLOOKUP(C363,'Talente &amp; Stuff'!CL:DM,8,FALSE)</f>
        <v>0</v>
      </c>
      <c r="K363" s="113">
        <f>VLOOKUP(C363,'Talente &amp; Stuff'!CL:DM,9,FALSE)</f>
        <v>0</v>
      </c>
      <c r="L363" s="113">
        <f>VLOOKUP(C363,'Talente &amp; Stuff'!CL:DM,10,FALSE)</f>
        <v>0</v>
      </c>
      <c r="M363" s="113">
        <f>VLOOKUP(C363,'Talente &amp; Stuff'!CL:DM,11,FALSE)</f>
        <v>0</v>
      </c>
      <c r="N363" s="89">
        <f>VLOOKUP(C363,'Talente &amp; Stuff'!CL:DM,12,FALSE)</f>
        <v>0</v>
      </c>
      <c r="O363" s="47">
        <f>VLOOKUP(C363,'Talente &amp; Stuff'!CL:DM,13,FALSE)</f>
        <v>0</v>
      </c>
      <c r="P363" s="119">
        <f>VLOOKUP(C363,'Talente &amp; Stuff'!CL:DM,14,FALSE)</f>
        <v>0</v>
      </c>
      <c r="Q363" s="113">
        <f>VLOOKUP(C363,'Talente &amp; Stuff'!CL:DM,15,FALSE)</f>
        <v>0</v>
      </c>
      <c r="R363" s="113">
        <f>VLOOKUP(C363,'Talente &amp; Stuff'!CL:DM,16,FALSE)</f>
        <v>0</v>
      </c>
      <c r="S363" s="113">
        <f>VLOOKUP(C363,'Talente &amp; Stuff'!CL:DM,17,FALSE)</f>
        <v>0</v>
      </c>
      <c r="T363" s="160">
        <f>VLOOKUP(C363,'Talente &amp; Stuff'!CL:DM,18,FALSE)</f>
        <v>0</v>
      </c>
      <c r="U363" s="47">
        <f>VLOOKUP(C363,'Talente &amp; Stuff'!CL:DM,19,FALSE)</f>
        <v>0</v>
      </c>
      <c r="V363" s="47">
        <f>VLOOKUP(C363,'Talente &amp; Stuff'!CL:DM,20,FALSE)</f>
        <v>0</v>
      </c>
      <c r="W363" s="47">
        <f>VLOOKUP(C363,'Talente &amp; Stuff'!CL:DM,21,FALSE)</f>
        <v>0</v>
      </c>
      <c r="X363" s="125">
        <f>VLOOKUP(C363,'Talente &amp; Stuff'!CL:DM,22,FALSE)</f>
        <v>0</v>
      </c>
      <c r="Y363" s="165">
        <f t="shared" si="24"/>
        <v>0</v>
      </c>
      <c r="Z363" s="44">
        <f t="shared" si="25"/>
        <v>0</v>
      </c>
      <c r="AA363" s="125">
        <f>VLOOKUP(C363,'Talente &amp; Stuff'!CL:DM,25,FALSE)</f>
        <v>0</v>
      </c>
      <c r="AB363" s="160">
        <f>VLOOKUP(C363,'Talente &amp; Stuff'!CL:DM,26,FALSE)</f>
        <v>0</v>
      </c>
      <c r="AC363" s="127">
        <f>VLOOKUP(C363,'Talente &amp; Stuff'!CL:DM,27,FALSE)</f>
        <v>0</v>
      </c>
      <c r="AD363" s="125">
        <f>VLOOKUP(C363,'Talente &amp; Stuff'!CL:DM,28,FALSE)</f>
        <v>0</v>
      </c>
      <c r="AE363" s="28"/>
    </row>
    <row r="364" spans="2:31" ht="15" hidden="1" customHeight="1" outlineLevel="2">
      <c r="B364" s="148">
        <v>8</v>
      </c>
      <c r="C364" s="177" t="str">
        <f>Attribute!C364</f>
        <v>---</v>
      </c>
      <c r="D364" s="86" t="str">
        <f>VLOOKUP(C364,'Talente &amp; Stuff'!CL:DM,2,FALSE)</f>
        <v>--/--/--</v>
      </c>
      <c r="E364" s="125" t="str">
        <f>VLOOKUP(C364,'Talente &amp; Stuff'!CL:DM,3,FALSE)</f>
        <v>-</v>
      </c>
      <c r="F364" s="113">
        <f>VLOOKUP(C364,'Talente &amp; Stuff'!CL:DM,4,FALSE)</f>
        <v>0</v>
      </c>
      <c r="G364" s="113">
        <f>VLOOKUP(C364,'Talente &amp; Stuff'!CL:DM,5,FALSE)</f>
        <v>0</v>
      </c>
      <c r="H364" s="113">
        <f>VLOOKUP(C364,'Talente &amp; Stuff'!CL:DM,6,FALSE)</f>
        <v>0</v>
      </c>
      <c r="I364" s="113">
        <f>VLOOKUP(C364,'Talente &amp; Stuff'!CL:DM,7,FALSE)</f>
        <v>0</v>
      </c>
      <c r="J364" s="113">
        <f>VLOOKUP(C364,'Talente &amp; Stuff'!CL:DM,8,FALSE)</f>
        <v>0</v>
      </c>
      <c r="K364" s="113">
        <f>VLOOKUP(C364,'Talente &amp; Stuff'!CL:DM,9,FALSE)</f>
        <v>0</v>
      </c>
      <c r="L364" s="113">
        <f>VLOOKUP(C364,'Talente &amp; Stuff'!CL:DM,10,FALSE)</f>
        <v>0</v>
      </c>
      <c r="M364" s="113">
        <f>VLOOKUP(C364,'Talente &amp; Stuff'!CL:DM,11,FALSE)</f>
        <v>0</v>
      </c>
      <c r="N364" s="89">
        <f>VLOOKUP(C364,'Talente &amp; Stuff'!CL:DM,12,FALSE)</f>
        <v>0</v>
      </c>
      <c r="O364" s="47">
        <f>VLOOKUP(C364,'Talente &amp; Stuff'!CL:DM,13,FALSE)</f>
        <v>0</v>
      </c>
      <c r="P364" s="119">
        <f>VLOOKUP(C364,'Talente &amp; Stuff'!CL:DM,14,FALSE)</f>
        <v>0</v>
      </c>
      <c r="Q364" s="113">
        <f>VLOOKUP(C364,'Talente &amp; Stuff'!CL:DM,15,FALSE)</f>
        <v>0</v>
      </c>
      <c r="R364" s="113">
        <f>VLOOKUP(C364,'Talente &amp; Stuff'!CL:DM,16,FALSE)</f>
        <v>0</v>
      </c>
      <c r="S364" s="113">
        <f>VLOOKUP(C364,'Talente &amp; Stuff'!CL:DM,17,FALSE)</f>
        <v>0</v>
      </c>
      <c r="T364" s="160">
        <f>VLOOKUP(C364,'Talente &amp; Stuff'!CL:DM,18,FALSE)</f>
        <v>0</v>
      </c>
      <c r="U364" s="47">
        <f>VLOOKUP(C364,'Talente &amp; Stuff'!CL:DM,19,FALSE)</f>
        <v>0</v>
      </c>
      <c r="V364" s="47">
        <f>VLOOKUP(C364,'Talente &amp; Stuff'!CL:DM,20,FALSE)</f>
        <v>0</v>
      </c>
      <c r="W364" s="47">
        <f>VLOOKUP(C364,'Talente &amp; Stuff'!CL:DM,21,FALSE)</f>
        <v>0</v>
      </c>
      <c r="X364" s="125">
        <f>VLOOKUP(C364,'Talente &amp; Stuff'!CL:DM,22,FALSE)</f>
        <v>0</v>
      </c>
      <c r="Y364" s="165">
        <f t="shared" si="24"/>
        <v>0</v>
      </c>
      <c r="Z364" s="44">
        <f t="shared" si="25"/>
        <v>0</v>
      </c>
      <c r="AA364" s="125">
        <f>VLOOKUP(C364,'Talente &amp; Stuff'!CL:DM,25,FALSE)</f>
        <v>0</v>
      </c>
      <c r="AB364" s="160">
        <f>VLOOKUP(C364,'Talente &amp; Stuff'!CL:DM,26,FALSE)</f>
        <v>0</v>
      </c>
      <c r="AC364" s="127">
        <f>VLOOKUP(C364,'Talente &amp; Stuff'!CL:DM,27,FALSE)</f>
        <v>0</v>
      </c>
      <c r="AD364" s="125">
        <f>VLOOKUP(C364,'Talente &amp; Stuff'!CL:DM,28,FALSE)</f>
        <v>0</v>
      </c>
      <c r="AE364" s="28"/>
    </row>
    <row r="365" spans="2:31" ht="15" hidden="1" customHeight="1" outlineLevel="2">
      <c r="B365" s="148">
        <v>9</v>
      </c>
      <c r="C365" s="178" t="str">
        <f>Attribute!C365</f>
        <v>---</v>
      </c>
      <c r="D365" s="87" t="str">
        <f>VLOOKUP(C365,'Talente &amp; Stuff'!CL:DM,2,FALSE)</f>
        <v>--/--/--</v>
      </c>
      <c r="E365" s="159" t="str">
        <f>VLOOKUP(C365,'Talente &amp; Stuff'!CL:DM,3,FALSE)</f>
        <v>-</v>
      </c>
      <c r="F365" s="122">
        <f>VLOOKUP(C365,'Talente &amp; Stuff'!CL:DM,4,FALSE)</f>
        <v>0</v>
      </c>
      <c r="G365" s="122">
        <f>VLOOKUP(C365,'Talente &amp; Stuff'!CL:DM,5,FALSE)</f>
        <v>0</v>
      </c>
      <c r="H365" s="122">
        <f>VLOOKUP(C365,'Talente &amp; Stuff'!CL:DM,6,FALSE)</f>
        <v>0</v>
      </c>
      <c r="I365" s="122">
        <f>VLOOKUP(C365,'Talente &amp; Stuff'!CL:DM,7,FALSE)</f>
        <v>0</v>
      </c>
      <c r="J365" s="122">
        <f>VLOOKUP(C365,'Talente &amp; Stuff'!CL:DM,8,FALSE)</f>
        <v>0</v>
      </c>
      <c r="K365" s="122">
        <f>VLOOKUP(C365,'Talente &amp; Stuff'!CL:DM,9,FALSE)</f>
        <v>0</v>
      </c>
      <c r="L365" s="122">
        <f>VLOOKUP(C365,'Talente &amp; Stuff'!CL:DM,10,FALSE)</f>
        <v>0</v>
      </c>
      <c r="M365" s="122">
        <f>VLOOKUP(C365,'Talente &amp; Stuff'!CL:DM,11,FALSE)</f>
        <v>0</v>
      </c>
      <c r="N365" s="90">
        <f>VLOOKUP(C365,'Talente &amp; Stuff'!CL:DM,12,FALSE)</f>
        <v>0</v>
      </c>
      <c r="O365" s="88">
        <f>VLOOKUP(C365,'Talente &amp; Stuff'!CL:DM,13,FALSE)</f>
        <v>0</v>
      </c>
      <c r="P365" s="123">
        <f>VLOOKUP(C365,'Talente &amp; Stuff'!CL:DM,14,FALSE)</f>
        <v>0</v>
      </c>
      <c r="Q365" s="122">
        <f>VLOOKUP(C365,'Talente &amp; Stuff'!CL:DM,15,FALSE)</f>
        <v>0</v>
      </c>
      <c r="R365" s="122">
        <f>VLOOKUP(C365,'Talente &amp; Stuff'!CL:DM,16,FALSE)</f>
        <v>0</v>
      </c>
      <c r="S365" s="122">
        <f>VLOOKUP(C365,'Talente &amp; Stuff'!CL:DM,17,FALSE)</f>
        <v>0</v>
      </c>
      <c r="T365" s="161">
        <f>VLOOKUP(C365,'Talente &amp; Stuff'!CL:DM,18,FALSE)</f>
        <v>0</v>
      </c>
      <c r="U365" s="88">
        <f>VLOOKUP(C365,'Talente &amp; Stuff'!CL:DM,19,FALSE)</f>
        <v>0</v>
      </c>
      <c r="V365" s="88">
        <f>VLOOKUP(C365,'Talente &amp; Stuff'!CL:DM,20,FALSE)</f>
        <v>0</v>
      </c>
      <c r="W365" s="88">
        <f>VLOOKUP(C365,'Talente &amp; Stuff'!CL:DM,21,FALSE)</f>
        <v>0</v>
      </c>
      <c r="X365" s="159">
        <f>VLOOKUP(C365,'Talente &amp; Stuff'!CL:DM,22,FALSE)</f>
        <v>0</v>
      </c>
      <c r="Y365" s="165">
        <f t="shared" si="24"/>
        <v>0</v>
      </c>
      <c r="Z365" s="44">
        <f t="shared" si="25"/>
        <v>0</v>
      </c>
      <c r="AA365" s="159">
        <f>VLOOKUP(C365,'Talente &amp; Stuff'!CL:DM,25,FALSE)</f>
        <v>0</v>
      </c>
      <c r="AB365" s="161">
        <f>VLOOKUP(C365,'Talente &amp; Stuff'!CL:DM,26,FALSE)</f>
        <v>0</v>
      </c>
      <c r="AC365" s="128">
        <f>VLOOKUP(C365,'Talente &amp; Stuff'!CL:DM,27,FALSE)</f>
        <v>0</v>
      </c>
      <c r="AD365" s="159">
        <f>VLOOKUP(C365,'Talente &amp; Stuff'!CL:DM,28,FALSE)</f>
        <v>0</v>
      </c>
      <c r="AE365" s="28"/>
    </row>
    <row r="366" spans="2:31" ht="15" hidden="1" customHeight="1" outlineLevel="1" collapsed="1">
      <c r="B366" s="134" t="s">
        <v>330</v>
      </c>
      <c r="C366" s="83"/>
      <c r="D366" s="84"/>
      <c r="E366" s="84"/>
    </row>
    <row r="367" spans="2:31" ht="15" hidden="1" customHeight="1" outlineLevel="2">
      <c r="B367" s="148">
        <v>1</v>
      </c>
      <c r="C367" s="176" t="str">
        <f>Attribute!C367</f>
        <v>---</v>
      </c>
      <c r="D367" s="158" t="str">
        <f>VLOOKUP(C367,'Talente &amp; Stuff'!CL:DM,2,FALSE)</f>
        <v>--/--/--</v>
      </c>
      <c r="E367" s="158" t="str">
        <f>VLOOKUP(C367,'Talente &amp; Stuff'!CL:DM,3,FALSE)</f>
        <v>-</v>
      </c>
      <c r="F367" s="118">
        <f>VLOOKUP(C367,'Talente &amp; Stuff'!CL:DM,4,FALSE)</f>
        <v>0</v>
      </c>
      <c r="G367" s="118">
        <f>VLOOKUP(C367,'Talente &amp; Stuff'!CL:DM,5,FALSE)</f>
        <v>0</v>
      </c>
      <c r="H367" s="118">
        <f>VLOOKUP(C367,'Talente &amp; Stuff'!CL:DM,6,FALSE)</f>
        <v>0</v>
      </c>
      <c r="I367" s="118">
        <f>VLOOKUP(C367,'Talente &amp; Stuff'!CL:DM,7,FALSE)</f>
        <v>0</v>
      </c>
      <c r="J367" s="118">
        <f>VLOOKUP(C367,'Talente &amp; Stuff'!CL:DM,8,FALSE)</f>
        <v>0</v>
      </c>
      <c r="K367" s="118">
        <f>VLOOKUP(C367,'Talente &amp; Stuff'!CL:DM,9,FALSE)</f>
        <v>0</v>
      </c>
      <c r="L367" s="118">
        <f>VLOOKUP(C367,'Talente &amp; Stuff'!CL:DM,10,FALSE)</f>
        <v>0</v>
      </c>
      <c r="M367" s="118">
        <f>VLOOKUP(C367,'Talente &amp; Stuff'!CL:DM,11,FALSE)</f>
        <v>0</v>
      </c>
      <c r="N367" s="193">
        <f>VLOOKUP(C367,'Talente &amp; Stuff'!CL:DM,12,FALSE)</f>
        <v>0</v>
      </c>
      <c r="O367" s="116">
        <f>VLOOKUP(C367,'Talente &amp; Stuff'!CL:DM,13,FALSE)</f>
        <v>0</v>
      </c>
      <c r="P367" s="92">
        <f>VLOOKUP(C367,'Talente &amp; Stuff'!CL:DM,14,FALSE)</f>
        <v>0</v>
      </c>
      <c r="Q367" s="118">
        <f>VLOOKUP(C367,'Talente &amp; Stuff'!CL:DM,15,FALSE)</f>
        <v>0</v>
      </c>
      <c r="R367" s="118">
        <f>VLOOKUP(C367,'Talente &amp; Stuff'!CL:DM,16,FALSE)</f>
        <v>0</v>
      </c>
      <c r="S367" s="118">
        <f>VLOOKUP(C367,'Talente &amp; Stuff'!CL:DM,17,FALSE)</f>
        <v>0</v>
      </c>
      <c r="T367" s="91">
        <f>VLOOKUP(C367,'Talente &amp; Stuff'!CL:DM,18,FALSE)</f>
        <v>0</v>
      </c>
      <c r="U367" s="116">
        <f>VLOOKUP(C367,'Talente &amp; Stuff'!CL:DM,19,FALSE)</f>
        <v>0</v>
      </c>
      <c r="V367" s="116">
        <f>VLOOKUP(C367,'Talente &amp; Stuff'!CL:DM,20,FALSE)</f>
        <v>0</v>
      </c>
      <c r="W367" s="116">
        <f>VLOOKUP(C367,'Talente &amp; Stuff'!CL:DM,21,FALSE)</f>
        <v>0</v>
      </c>
      <c r="X367" s="158">
        <f>VLOOKUP(C367,'Talente &amp; Stuff'!CL:DM,22,FALSE)</f>
        <v>0</v>
      </c>
      <c r="Y367" s="165">
        <f t="shared" ref="Y367:Y374" si="26">VLOOKUP(C367,Ausgewählte_Rituale_Elfen,110,FALSE)</f>
        <v>0</v>
      </c>
      <c r="Z367" s="44">
        <f t="shared" ref="Z367:Z374" si="27">VLOOKUP(C367,Ausgewählte_Rituale_Elfen,111,FALSE)</f>
        <v>0</v>
      </c>
      <c r="AA367" s="158">
        <f>VLOOKUP(C367,'Talente &amp; Stuff'!CL:DM,25,FALSE)</f>
        <v>0</v>
      </c>
      <c r="AB367" s="91">
        <f>VLOOKUP(C367,'Talente &amp; Stuff'!CL:DM,26,FALSE)</f>
        <v>0</v>
      </c>
      <c r="AC367" s="126">
        <f>VLOOKUP(C367,'Talente &amp; Stuff'!CL:DM,27,FALSE)</f>
        <v>0</v>
      </c>
      <c r="AD367" s="158">
        <f>VLOOKUP(C367,'Talente &amp; Stuff'!CL:DM,28,FALSE)</f>
        <v>0</v>
      </c>
      <c r="AE367" s="28"/>
    </row>
    <row r="368" spans="2:31" ht="15" hidden="1" customHeight="1" outlineLevel="2">
      <c r="B368" s="148">
        <v>2</v>
      </c>
      <c r="C368" s="177" t="str">
        <f>Attribute!C368</f>
        <v>---</v>
      </c>
      <c r="D368" s="125" t="str">
        <f>VLOOKUP(C368,'Talente &amp; Stuff'!CL:DM,2,FALSE)</f>
        <v>--/--/--</v>
      </c>
      <c r="E368" s="125" t="str">
        <f>VLOOKUP(C368,'Talente &amp; Stuff'!CL:DM,3,FALSE)</f>
        <v>-</v>
      </c>
      <c r="F368" s="113">
        <f>VLOOKUP(C368,'Talente &amp; Stuff'!CL:DM,4,FALSE)</f>
        <v>0</v>
      </c>
      <c r="G368" s="113">
        <f>VLOOKUP(C368,'Talente &amp; Stuff'!CL:DM,5,FALSE)</f>
        <v>0</v>
      </c>
      <c r="H368" s="113">
        <f>VLOOKUP(C368,'Talente &amp; Stuff'!CL:DM,6,FALSE)</f>
        <v>0</v>
      </c>
      <c r="I368" s="113">
        <f>VLOOKUP(C368,'Talente &amp; Stuff'!CL:DM,7,FALSE)</f>
        <v>0</v>
      </c>
      <c r="J368" s="113">
        <f>VLOOKUP(C368,'Talente &amp; Stuff'!CL:DM,8,FALSE)</f>
        <v>0</v>
      </c>
      <c r="K368" s="113">
        <f>VLOOKUP(C368,'Talente &amp; Stuff'!CL:DM,9,FALSE)</f>
        <v>0</v>
      </c>
      <c r="L368" s="113">
        <f>VLOOKUP(C368,'Talente &amp; Stuff'!CL:DM,10,FALSE)</f>
        <v>0</v>
      </c>
      <c r="M368" s="113">
        <f>VLOOKUP(C368,'Talente &amp; Stuff'!CL:DM,11,FALSE)</f>
        <v>0</v>
      </c>
      <c r="N368" s="89">
        <f>VLOOKUP(C368,'Talente &amp; Stuff'!CL:DM,12,FALSE)</f>
        <v>0</v>
      </c>
      <c r="O368" s="47">
        <f>VLOOKUP(C368,'Talente &amp; Stuff'!CL:DM,13,FALSE)</f>
        <v>0</v>
      </c>
      <c r="P368" s="119">
        <f>VLOOKUP(C368,'Talente &amp; Stuff'!CL:DM,14,FALSE)</f>
        <v>0</v>
      </c>
      <c r="Q368" s="113">
        <f>VLOOKUP(C368,'Talente &amp; Stuff'!CL:DM,15,FALSE)</f>
        <v>0</v>
      </c>
      <c r="R368" s="113">
        <f>VLOOKUP(C368,'Talente &amp; Stuff'!CL:DM,16,FALSE)</f>
        <v>0</v>
      </c>
      <c r="S368" s="113">
        <f>VLOOKUP(C368,'Talente &amp; Stuff'!CL:DM,17,FALSE)</f>
        <v>0</v>
      </c>
      <c r="T368" s="160">
        <f>VLOOKUP(C368,'Talente &amp; Stuff'!CL:DM,18,FALSE)</f>
        <v>0</v>
      </c>
      <c r="U368" s="47">
        <f>VLOOKUP(C368,'Talente &amp; Stuff'!CL:DM,19,FALSE)</f>
        <v>0</v>
      </c>
      <c r="V368" s="47">
        <f>VLOOKUP(C368,'Talente &amp; Stuff'!CL:DM,20,FALSE)</f>
        <v>0</v>
      </c>
      <c r="W368" s="47">
        <f>VLOOKUP(C368,'Talente &amp; Stuff'!CL:DM,21,FALSE)</f>
        <v>0</v>
      </c>
      <c r="X368" s="125">
        <f>VLOOKUP(C368,'Talente &amp; Stuff'!CL:DM,22,FALSE)</f>
        <v>0</v>
      </c>
      <c r="Y368" s="165">
        <f t="shared" si="26"/>
        <v>0</v>
      </c>
      <c r="Z368" s="44">
        <f t="shared" si="27"/>
        <v>0</v>
      </c>
      <c r="AA368" s="125">
        <f>VLOOKUP(C368,'Talente &amp; Stuff'!CL:DM,25,FALSE)</f>
        <v>0</v>
      </c>
      <c r="AB368" s="160">
        <f>VLOOKUP(C368,'Talente &amp; Stuff'!CL:DM,26,FALSE)</f>
        <v>0</v>
      </c>
      <c r="AC368" s="127">
        <f>VLOOKUP(C368,'Talente &amp; Stuff'!CL:DM,27,FALSE)</f>
        <v>0</v>
      </c>
      <c r="AD368" s="125">
        <f>VLOOKUP(C368,'Talente &amp; Stuff'!CL:DM,28,FALSE)</f>
        <v>0</v>
      </c>
      <c r="AE368" s="28"/>
    </row>
    <row r="369" spans="2:31" ht="15" hidden="1" customHeight="1" outlineLevel="2">
      <c r="B369" s="148">
        <v>3</v>
      </c>
      <c r="C369" s="177" t="str">
        <f>Attribute!C369</f>
        <v>---</v>
      </c>
      <c r="D369" s="125" t="str">
        <f>VLOOKUP(C369,'Talente &amp; Stuff'!CL:DM,2,FALSE)</f>
        <v>--/--/--</v>
      </c>
      <c r="E369" s="125" t="str">
        <f>VLOOKUP(C369,'Talente &amp; Stuff'!CL:DM,3,FALSE)</f>
        <v>-</v>
      </c>
      <c r="F369" s="113">
        <f>VLOOKUP(C369,'Talente &amp; Stuff'!CL:DM,4,FALSE)</f>
        <v>0</v>
      </c>
      <c r="G369" s="113">
        <f>VLOOKUP(C369,'Talente &amp; Stuff'!CL:DM,5,FALSE)</f>
        <v>0</v>
      </c>
      <c r="H369" s="113">
        <f>VLOOKUP(C369,'Talente &amp; Stuff'!CL:DM,6,FALSE)</f>
        <v>0</v>
      </c>
      <c r="I369" s="113">
        <f>VLOOKUP(C369,'Talente &amp; Stuff'!CL:DM,7,FALSE)</f>
        <v>0</v>
      </c>
      <c r="J369" s="113">
        <f>VLOOKUP(C369,'Talente &amp; Stuff'!CL:DM,8,FALSE)</f>
        <v>0</v>
      </c>
      <c r="K369" s="113">
        <f>VLOOKUP(C369,'Talente &amp; Stuff'!CL:DM,9,FALSE)</f>
        <v>0</v>
      </c>
      <c r="L369" s="113">
        <f>VLOOKUP(C369,'Talente &amp; Stuff'!CL:DM,10,FALSE)</f>
        <v>0</v>
      </c>
      <c r="M369" s="113">
        <f>VLOOKUP(C369,'Talente &amp; Stuff'!CL:DM,11,FALSE)</f>
        <v>0</v>
      </c>
      <c r="N369" s="89">
        <f>VLOOKUP(C369,'Talente &amp; Stuff'!CL:DM,12,FALSE)</f>
        <v>0</v>
      </c>
      <c r="O369" s="47">
        <f>VLOOKUP(C369,'Talente &amp; Stuff'!CL:DM,13,FALSE)</f>
        <v>0</v>
      </c>
      <c r="P369" s="119">
        <f>VLOOKUP(C369,'Talente &amp; Stuff'!CL:DM,14,FALSE)</f>
        <v>0</v>
      </c>
      <c r="Q369" s="113">
        <f>VLOOKUP(C369,'Talente &amp; Stuff'!CL:DM,15,FALSE)</f>
        <v>0</v>
      </c>
      <c r="R369" s="113">
        <f>VLOOKUP(C369,'Talente &amp; Stuff'!CL:DM,16,FALSE)</f>
        <v>0</v>
      </c>
      <c r="S369" s="113">
        <f>VLOOKUP(C369,'Talente &amp; Stuff'!CL:DM,17,FALSE)</f>
        <v>0</v>
      </c>
      <c r="T369" s="160">
        <f>VLOOKUP(C369,'Talente &amp; Stuff'!CL:DM,18,FALSE)</f>
        <v>0</v>
      </c>
      <c r="U369" s="47">
        <f>VLOOKUP(C369,'Talente &amp; Stuff'!CL:DM,19,FALSE)</f>
        <v>0</v>
      </c>
      <c r="V369" s="47">
        <f>VLOOKUP(C369,'Talente &amp; Stuff'!CL:DM,20,FALSE)</f>
        <v>0</v>
      </c>
      <c r="W369" s="47">
        <f>VLOOKUP(C369,'Talente &amp; Stuff'!CL:DM,21,FALSE)</f>
        <v>0</v>
      </c>
      <c r="X369" s="125">
        <f>VLOOKUP(C369,'Talente &amp; Stuff'!CL:DM,22,FALSE)</f>
        <v>0</v>
      </c>
      <c r="Y369" s="165">
        <f t="shared" si="26"/>
        <v>0</v>
      </c>
      <c r="Z369" s="44">
        <f t="shared" si="27"/>
        <v>0</v>
      </c>
      <c r="AA369" s="125">
        <f>VLOOKUP(C369,'Talente &amp; Stuff'!CL:DM,25,FALSE)</f>
        <v>0</v>
      </c>
      <c r="AB369" s="160">
        <f>VLOOKUP(C369,'Talente &amp; Stuff'!CL:DM,26,FALSE)</f>
        <v>0</v>
      </c>
      <c r="AC369" s="127">
        <f>VLOOKUP(C369,'Talente &amp; Stuff'!CL:DM,27,FALSE)</f>
        <v>0</v>
      </c>
      <c r="AD369" s="125">
        <f>VLOOKUP(C369,'Talente &amp; Stuff'!CL:DM,28,FALSE)</f>
        <v>0</v>
      </c>
      <c r="AE369" s="28"/>
    </row>
    <row r="370" spans="2:31" ht="15" hidden="1" customHeight="1" outlineLevel="2">
      <c r="B370" s="148">
        <v>4</v>
      </c>
      <c r="C370" s="177" t="str">
        <f>Attribute!C370</f>
        <v>---</v>
      </c>
      <c r="D370" s="125" t="str">
        <f>VLOOKUP(C370,'Talente &amp; Stuff'!CL:DM,2,FALSE)</f>
        <v>--/--/--</v>
      </c>
      <c r="E370" s="125" t="str">
        <f>VLOOKUP(C370,'Talente &amp; Stuff'!CL:DM,3,FALSE)</f>
        <v>-</v>
      </c>
      <c r="F370" s="113">
        <f>VLOOKUP(C370,'Talente &amp; Stuff'!CL:DM,4,FALSE)</f>
        <v>0</v>
      </c>
      <c r="G370" s="113">
        <f>VLOOKUP(C370,'Talente &amp; Stuff'!CL:DM,5,FALSE)</f>
        <v>0</v>
      </c>
      <c r="H370" s="113">
        <f>VLOOKUP(C370,'Talente &amp; Stuff'!CL:DM,6,FALSE)</f>
        <v>0</v>
      </c>
      <c r="I370" s="113">
        <f>VLOOKUP(C370,'Talente &amp; Stuff'!CL:DM,7,FALSE)</f>
        <v>0</v>
      </c>
      <c r="J370" s="113">
        <f>VLOOKUP(C370,'Talente &amp; Stuff'!CL:DM,8,FALSE)</f>
        <v>0</v>
      </c>
      <c r="K370" s="113">
        <f>VLOOKUP(C370,'Talente &amp; Stuff'!CL:DM,9,FALSE)</f>
        <v>0</v>
      </c>
      <c r="L370" s="113">
        <f>VLOOKUP(C370,'Talente &amp; Stuff'!CL:DM,10,FALSE)</f>
        <v>0</v>
      </c>
      <c r="M370" s="113">
        <f>VLOOKUP(C370,'Talente &amp; Stuff'!CL:DM,11,FALSE)</f>
        <v>0</v>
      </c>
      <c r="N370" s="89">
        <f>VLOOKUP(C370,'Talente &amp; Stuff'!CL:DM,12,FALSE)</f>
        <v>0</v>
      </c>
      <c r="O370" s="47">
        <f>VLOOKUP(C370,'Talente &amp; Stuff'!CL:DM,13,FALSE)</f>
        <v>0</v>
      </c>
      <c r="P370" s="119">
        <f>VLOOKUP(C370,'Talente &amp; Stuff'!CL:DM,14,FALSE)</f>
        <v>0</v>
      </c>
      <c r="Q370" s="113">
        <f>VLOOKUP(C370,'Talente &amp; Stuff'!CL:DM,15,FALSE)</f>
        <v>0</v>
      </c>
      <c r="R370" s="113">
        <f>VLOOKUP(C370,'Talente &amp; Stuff'!CL:DM,16,FALSE)</f>
        <v>0</v>
      </c>
      <c r="S370" s="113">
        <f>VLOOKUP(C370,'Talente &amp; Stuff'!CL:DM,17,FALSE)</f>
        <v>0</v>
      </c>
      <c r="T370" s="160">
        <f>VLOOKUP(C370,'Talente &amp; Stuff'!CL:DM,18,FALSE)</f>
        <v>0</v>
      </c>
      <c r="U370" s="47">
        <f>VLOOKUP(C370,'Talente &amp; Stuff'!CL:DM,19,FALSE)</f>
        <v>0</v>
      </c>
      <c r="V370" s="47">
        <f>VLOOKUP(C370,'Talente &amp; Stuff'!CL:DM,20,FALSE)</f>
        <v>0</v>
      </c>
      <c r="W370" s="47">
        <f>VLOOKUP(C370,'Talente &amp; Stuff'!CL:DM,21,FALSE)</f>
        <v>0</v>
      </c>
      <c r="X370" s="125">
        <f>VLOOKUP(C370,'Talente &amp; Stuff'!CL:DM,22,FALSE)</f>
        <v>0</v>
      </c>
      <c r="Y370" s="165">
        <f t="shared" si="26"/>
        <v>0</v>
      </c>
      <c r="Z370" s="44">
        <f t="shared" si="27"/>
        <v>0</v>
      </c>
      <c r="AA370" s="125">
        <f>VLOOKUP(C370,'Talente &amp; Stuff'!CL:DM,25,FALSE)</f>
        <v>0</v>
      </c>
      <c r="AB370" s="160">
        <f>VLOOKUP(C370,'Talente &amp; Stuff'!CL:DM,26,FALSE)</f>
        <v>0</v>
      </c>
      <c r="AC370" s="127">
        <f>VLOOKUP(C370,'Talente &amp; Stuff'!CL:DM,27,FALSE)</f>
        <v>0</v>
      </c>
      <c r="AD370" s="125">
        <f>VLOOKUP(C370,'Talente &amp; Stuff'!CL:DM,28,FALSE)</f>
        <v>0</v>
      </c>
      <c r="AE370" s="28"/>
    </row>
    <row r="371" spans="2:31" ht="15" hidden="1" customHeight="1" outlineLevel="2">
      <c r="B371" s="148">
        <v>5</v>
      </c>
      <c r="C371" s="177" t="str">
        <f>Attribute!C371</f>
        <v>---</v>
      </c>
      <c r="D371" s="125" t="str">
        <f>VLOOKUP(C371,'Talente &amp; Stuff'!CL:DM,2,FALSE)</f>
        <v>--/--/--</v>
      </c>
      <c r="E371" s="125" t="str">
        <f>VLOOKUP(C371,'Talente &amp; Stuff'!CL:DM,3,FALSE)</f>
        <v>-</v>
      </c>
      <c r="F371" s="113">
        <f>VLOOKUP(C371,'Talente &amp; Stuff'!CL:DM,4,FALSE)</f>
        <v>0</v>
      </c>
      <c r="G371" s="113">
        <f>VLOOKUP(C371,'Talente &amp; Stuff'!CL:DM,5,FALSE)</f>
        <v>0</v>
      </c>
      <c r="H371" s="113">
        <f>VLOOKUP(C371,'Talente &amp; Stuff'!CL:DM,6,FALSE)</f>
        <v>0</v>
      </c>
      <c r="I371" s="113">
        <f>VLOOKUP(C371,'Talente &amp; Stuff'!CL:DM,7,FALSE)</f>
        <v>0</v>
      </c>
      <c r="J371" s="113">
        <f>VLOOKUP(C371,'Talente &amp; Stuff'!CL:DM,8,FALSE)</f>
        <v>0</v>
      </c>
      <c r="K371" s="113">
        <f>VLOOKUP(C371,'Talente &amp; Stuff'!CL:DM,9,FALSE)</f>
        <v>0</v>
      </c>
      <c r="L371" s="113">
        <f>VLOOKUP(C371,'Talente &amp; Stuff'!CL:DM,10,FALSE)</f>
        <v>0</v>
      </c>
      <c r="M371" s="113">
        <f>VLOOKUP(C371,'Talente &amp; Stuff'!CL:DM,11,FALSE)</f>
        <v>0</v>
      </c>
      <c r="N371" s="89">
        <f>VLOOKUP(C371,'Talente &amp; Stuff'!CL:DM,12,FALSE)</f>
        <v>0</v>
      </c>
      <c r="O371" s="47">
        <f>VLOOKUP(C371,'Talente &amp; Stuff'!CL:DM,13,FALSE)</f>
        <v>0</v>
      </c>
      <c r="P371" s="119">
        <f>VLOOKUP(C371,'Talente &amp; Stuff'!CL:DM,14,FALSE)</f>
        <v>0</v>
      </c>
      <c r="Q371" s="113">
        <f>VLOOKUP(C371,'Talente &amp; Stuff'!CL:DM,15,FALSE)</f>
        <v>0</v>
      </c>
      <c r="R371" s="113">
        <f>VLOOKUP(C371,'Talente &amp; Stuff'!CL:DM,16,FALSE)</f>
        <v>0</v>
      </c>
      <c r="S371" s="113">
        <f>VLOOKUP(C371,'Talente &amp; Stuff'!CL:DM,17,FALSE)</f>
        <v>0</v>
      </c>
      <c r="T371" s="160">
        <f>VLOOKUP(C371,'Talente &amp; Stuff'!CL:DM,18,FALSE)</f>
        <v>0</v>
      </c>
      <c r="U371" s="47">
        <f>VLOOKUP(C371,'Talente &amp; Stuff'!CL:DM,19,FALSE)</f>
        <v>0</v>
      </c>
      <c r="V371" s="47">
        <f>VLOOKUP(C371,'Talente &amp; Stuff'!CL:DM,20,FALSE)</f>
        <v>0</v>
      </c>
      <c r="W371" s="47">
        <f>VLOOKUP(C371,'Talente &amp; Stuff'!CL:DM,21,FALSE)</f>
        <v>0</v>
      </c>
      <c r="X371" s="125">
        <f>VLOOKUP(C371,'Talente &amp; Stuff'!CL:DM,22,FALSE)</f>
        <v>0</v>
      </c>
      <c r="Y371" s="165">
        <f t="shared" si="26"/>
        <v>0</v>
      </c>
      <c r="Z371" s="44">
        <f t="shared" si="27"/>
        <v>0</v>
      </c>
      <c r="AA371" s="125">
        <f>VLOOKUP(C371,'Talente &amp; Stuff'!CL:DM,25,FALSE)</f>
        <v>0</v>
      </c>
      <c r="AB371" s="160">
        <f>VLOOKUP(C371,'Talente &amp; Stuff'!CL:DM,26,FALSE)</f>
        <v>0</v>
      </c>
      <c r="AC371" s="127">
        <f>VLOOKUP(C371,'Talente &amp; Stuff'!CL:DM,27,FALSE)</f>
        <v>0</v>
      </c>
      <c r="AD371" s="125">
        <f>VLOOKUP(C371,'Talente &amp; Stuff'!CL:DM,28,FALSE)</f>
        <v>0</v>
      </c>
      <c r="AE371" s="28"/>
    </row>
    <row r="372" spans="2:31" ht="15" hidden="1" customHeight="1" outlineLevel="2">
      <c r="B372" s="148">
        <v>6</v>
      </c>
      <c r="C372" s="177" t="str">
        <f>Attribute!C372</f>
        <v>---</v>
      </c>
      <c r="D372" s="125" t="str">
        <f>VLOOKUP(C372,'Talente &amp; Stuff'!CL:DM,2,FALSE)</f>
        <v>--/--/--</v>
      </c>
      <c r="E372" s="125" t="str">
        <f>VLOOKUP(C372,'Talente &amp; Stuff'!CL:DM,3,FALSE)</f>
        <v>-</v>
      </c>
      <c r="F372" s="113">
        <f>VLOOKUP(C372,'Talente &amp; Stuff'!CL:DM,4,FALSE)</f>
        <v>0</v>
      </c>
      <c r="G372" s="113">
        <f>VLOOKUP(C372,'Talente &amp; Stuff'!CL:DM,5,FALSE)</f>
        <v>0</v>
      </c>
      <c r="H372" s="113">
        <f>VLOOKUP(C372,'Talente &amp; Stuff'!CL:DM,6,FALSE)</f>
        <v>0</v>
      </c>
      <c r="I372" s="113">
        <f>VLOOKUP(C372,'Talente &amp; Stuff'!CL:DM,7,FALSE)</f>
        <v>0</v>
      </c>
      <c r="J372" s="113">
        <f>VLOOKUP(C372,'Talente &amp; Stuff'!CL:DM,8,FALSE)</f>
        <v>0</v>
      </c>
      <c r="K372" s="113">
        <f>VLOOKUP(C372,'Talente &amp; Stuff'!CL:DM,9,FALSE)</f>
        <v>0</v>
      </c>
      <c r="L372" s="113">
        <f>VLOOKUP(C372,'Talente &amp; Stuff'!CL:DM,10,FALSE)</f>
        <v>0</v>
      </c>
      <c r="M372" s="113">
        <f>VLOOKUP(C372,'Talente &amp; Stuff'!CL:DM,11,FALSE)</f>
        <v>0</v>
      </c>
      <c r="N372" s="89">
        <f>VLOOKUP(C372,'Talente &amp; Stuff'!CL:DM,12,FALSE)</f>
        <v>0</v>
      </c>
      <c r="O372" s="47">
        <f>VLOOKUP(C372,'Talente &amp; Stuff'!CL:DM,13,FALSE)</f>
        <v>0</v>
      </c>
      <c r="P372" s="119">
        <f>VLOOKUP(C372,'Talente &amp; Stuff'!CL:DM,14,FALSE)</f>
        <v>0</v>
      </c>
      <c r="Q372" s="113">
        <f>VLOOKUP(C372,'Talente &amp; Stuff'!CL:DM,15,FALSE)</f>
        <v>0</v>
      </c>
      <c r="R372" s="113">
        <f>VLOOKUP(C372,'Talente &amp; Stuff'!CL:DM,16,FALSE)</f>
        <v>0</v>
      </c>
      <c r="S372" s="113">
        <f>VLOOKUP(C372,'Talente &amp; Stuff'!CL:DM,17,FALSE)</f>
        <v>0</v>
      </c>
      <c r="T372" s="160">
        <f>VLOOKUP(C372,'Talente &amp; Stuff'!CL:DM,18,FALSE)</f>
        <v>0</v>
      </c>
      <c r="U372" s="47">
        <f>VLOOKUP(C372,'Talente &amp; Stuff'!CL:DM,19,FALSE)</f>
        <v>0</v>
      </c>
      <c r="V372" s="47">
        <f>VLOOKUP(C372,'Talente &amp; Stuff'!CL:DM,20,FALSE)</f>
        <v>0</v>
      </c>
      <c r="W372" s="47">
        <f>VLOOKUP(C372,'Talente &amp; Stuff'!CL:DM,21,FALSE)</f>
        <v>0</v>
      </c>
      <c r="X372" s="125">
        <f>VLOOKUP(C372,'Talente &amp; Stuff'!CL:DM,22,FALSE)</f>
        <v>0</v>
      </c>
      <c r="Y372" s="165">
        <f t="shared" si="26"/>
        <v>0</v>
      </c>
      <c r="Z372" s="44">
        <f t="shared" si="27"/>
        <v>0</v>
      </c>
      <c r="AA372" s="125">
        <f>VLOOKUP(C372,'Talente &amp; Stuff'!CL:DM,25,FALSE)</f>
        <v>0</v>
      </c>
      <c r="AB372" s="160">
        <f>VLOOKUP(C372,'Talente &amp; Stuff'!CL:DM,26,FALSE)</f>
        <v>0</v>
      </c>
      <c r="AC372" s="127">
        <f>VLOOKUP(C372,'Talente &amp; Stuff'!CL:DM,27,FALSE)</f>
        <v>0</v>
      </c>
      <c r="AD372" s="125">
        <f>VLOOKUP(C372,'Talente &amp; Stuff'!CL:DM,28,FALSE)</f>
        <v>0</v>
      </c>
      <c r="AE372" s="28"/>
    </row>
    <row r="373" spans="2:31" ht="15" hidden="1" customHeight="1" outlineLevel="2">
      <c r="B373" s="148">
        <v>7</v>
      </c>
      <c r="C373" s="177" t="str">
        <f>Attribute!C373</f>
        <v>---</v>
      </c>
      <c r="D373" s="125" t="str">
        <f>VLOOKUP(C373,'Talente &amp; Stuff'!CL:DM,2,FALSE)</f>
        <v>--/--/--</v>
      </c>
      <c r="E373" s="125" t="str">
        <f>VLOOKUP(C373,'Talente &amp; Stuff'!CL:DM,3,FALSE)</f>
        <v>-</v>
      </c>
      <c r="F373" s="113">
        <f>VLOOKUP(C373,'Talente &amp; Stuff'!CL:DM,4,FALSE)</f>
        <v>0</v>
      </c>
      <c r="G373" s="113">
        <f>VLOOKUP(C373,'Talente &amp; Stuff'!CL:DM,5,FALSE)</f>
        <v>0</v>
      </c>
      <c r="H373" s="113">
        <f>VLOOKUP(C373,'Talente &amp; Stuff'!CL:DM,6,FALSE)</f>
        <v>0</v>
      </c>
      <c r="I373" s="113">
        <f>VLOOKUP(C373,'Talente &amp; Stuff'!CL:DM,7,FALSE)</f>
        <v>0</v>
      </c>
      <c r="J373" s="113">
        <f>VLOOKUP(C373,'Talente &amp; Stuff'!CL:DM,8,FALSE)</f>
        <v>0</v>
      </c>
      <c r="K373" s="113">
        <f>VLOOKUP(C373,'Talente &amp; Stuff'!CL:DM,9,FALSE)</f>
        <v>0</v>
      </c>
      <c r="L373" s="113">
        <f>VLOOKUP(C373,'Talente &amp; Stuff'!CL:DM,10,FALSE)</f>
        <v>0</v>
      </c>
      <c r="M373" s="113">
        <f>VLOOKUP(C373,'Talente &amp; Stuff'!CL:DM,11,FALSE)</f>
        <v>0</v>
      </c>
      <c r="N373" s="89">
        <f>VLOOKUP(C373,'Talente &amp; Stuff'!CL:DM,12,FALSE)</f>
        <v>0</v>
      </c>
      <c r="O373" s="47">
        <f>VLOOKUP(C373,'Talente &amp; Stuff'!CL:DM,13,FALSE)</f>
        <v>0</v>
      </c>
      <c r="P373" s="119">
        <f>VLOOKUP(C373,'Talente &amp; Stuff'!CL:DM,14,FALSE)</f>
        <v>0</v>
      </c>
      <c r="Q373" s="113">
        <f>VLOOKUP(C373,'Talente &amp; Stuff'!CL:DM,15,FALSE)</f>
        <v>0</v>
      </c>
      <c r="R373" s="113">
        <f>VLOOKUP(C373,'Talente &amp; Stuff'!CL:DM,16,FALSE)</f>
        <v>0</v>
      </c>
      <c r="S373" s="113">
        <f>VLOOKUP(C373,'Talente &amp; Stuff'!CL:DM,17,FALSE)</f>
        <v>0</v>
      </c>
      <c r="T373" s="160">
        <f>VLOOKUP(C373,'Talente &amp; Stuff'!CL:DM,18,FALSE)</f>
        <v>0</v>
      </c>
      <c r="U373" s="47">
        <f>VLOOKUP(C373,'Talente &amp; Stuff'!CL:DM,19,FALSE)</f>
        <v>0</v>
      </c>
      <c r="V373" s="47">
        <f>VLOOKUP(C373,'Talente &amp; Stuff'!CL:DM,20,FALSE)</f>
        <v>0</v>
      </c>
      <c r="W373" s="47">
        <f>VLOOKUP(C373,'Talente &amp; Stuff'!CL:DM,21,FALSE)</f>
        <v>0</v>
      </c>
      <c r="X373" s="125">
        <f>VLOOKUP(C373,'Talente &amp; Stuff'!CL:DM,22,FALSE)</f>
        <v>0</v>
      </c>
      <c r="Y373" s="165">
        <f t="shared" si="26"/>
        <v>0</v>
      </c>
      <c r="Z373" s="44">
        <f t="shared" si="27"/>
        <v>0</v>
      </c>
      <c r="AA373" s="125">
        <f>VLOOKUP(C373,'Talente &amp; Stuff'!CL:DM,25,FALSE)</f>
        <v>0</v>
      </c>
      <c r="AB373" s="160">
        <f>VLOOKUP(C373,'Talente &amp; Stuff'!CL:DM,26,FALSE)</f>
        <v>0</v>
      </c>
      <c r="AC373" s="127">
        <f>VLOOKUP(C373,'Talente &amp; Stuff'!CL:DM,27,FALSE)</f>
        <v>0</v>
      </c>
      <c r="AD373" s="125">
        <f>VLOOKUP(C373,'Talente &amp; Stuff'!CL:DM,28,FALSE)</f>
        <v>0</v>
      </c>
      <c r="AE373" s="28"/>
    </row>
    <row r="374" spans="2:31" ht="15" hidden="1" customHeight="1" outlineLevel="2">
      <c r="B374" s="148">
        <v>8</v>
      </c>
      <c r="C374" s="178" t="str">
        <f>Attribute!C374</f>
        <v>---</v>
      </c>
      <c r="D374" s="159" t="str">
        <f>VLOOKUP(C374,'Talente &amp; Stuff'!CL:DM,2,FALSE)</f>
        <v>--/--/--</v>
      </c>
      <c r="E374" s="159" t="str">
        <f>VLOOKUP(C374,'Talente &amp; Stuff'!CL:DM,3,FALSE)</f>
        <v>-</v>
      </c>
      <c r="F374" s="122">
        <f>VLOOKUP(C374,'Talente &amp; Stuff'!CL:DM,4,FALSE)</f>
        <v>0</v>
      </c>
      <c r="G374" s="122">
        <f>VLOOKUP(C374,'Talente &amp; Stuff'!CL:DM,5,FALSE)</f>
        <v>0</v>
      </c>
      <c r="H374" s="122">
        <f>VLOOKUP(C374,'Talente &amp; Stuff'!CL:DM,6,FALSE)</f>
        <v>0</v>
      </c>
      <c r="I374" s="122">
        <f>VLOOKUP(C374,'Talente &amp; Stuff'!CL:DM,7,FALSE)</f>
        <v>0</v>
      </c>
      <c r="J374" s="122">
        <f>VLOOKUP(C374,'Talente &amp; Stuff'!CL:DM,8,FALSE)</f>
        <v>0</v>
      </c>
      <c r="K374" s="122">
        <f>VLOOKUP(C374,'Talente &amp; Stuff'!CL:DM,9,FALSE)</f>
        <v>0</v>
      </c>
      <c r="L374" s="122">
        <f>VLOOKUP(C374,'Talente &amp; Stuff'!CL:DM,10,FALSE)</f>
        <v>0</v>
      </c>
      <c r="M374" s="122">
        <f>VLOOKUP(C374,'Talente &amp; Stuff'!CL:DM,11,FALSE)</f>
        <v>0</v>
      </c>
      <c r="N374" s="90">
        <f>VLOOKUP(C374,'Talente &amp; Stuff'!CL:DM,12,FALSE)</f>
        <v>0</v>
      </c>
      <c r="O374" s="88">
        <f>VLOOKUP(C374,'Talente &amp; Stuff'!CL:DM,13,FALSE)</f>
        <v>0</v>
      </c>
      <c r="P374" s="123">
        <f>VLOOKUP(C374,'Talente &amp; Stuff'!CL:DM,14,FALSE)</f>
        <v>0</v>
      </c>
      <c r="Q374" s="122">
        <f>VLOOKUP(C374,'Talente &amp; Stuff'!CL:DM,15,FALSE)</f>
        <v>0</v>
      </c>
      <c r="R374" s="122">
        <f>VLOOKUP(C374,'Talente &amp; Stuff'!CL:DM,16,FALSE)</f>
        <v>0</v>
      </c>
      <c r="S374" s="122">
        <f>VLOOKUP(C374,'Talente &amp; Stuff'!CL:DM,17,FALSE)</f>
        <v>0</v>
      </c>
      <c r="T374" s="161">
        <f>VLOOKUP(C374,'Talente &amp; Stuff'!CL:DM,18,FALSE)</f>
        <v>0</v>
      </c>
      <c r="U374" s="88">
        <f>VLOOKUP(C374,'Talente &amp; Stuff'!CL:DM,19,FALSE)</f>
        <v>0</v>
      </c>
      <c r="V374" s="88">
        <f>VLOOKUP(C374,'Talente &amp; Stuff'!CL:DM,20,FALSE)</f>
        <v>0</v>
      </c>
      <c r="W374" s="88">
        <f>VLOOKUP(C374,'Talente &amp; Stuff'!CL:DM,21,FALSE)</f>
        <v>0</v>
      </c>
      <c r="X374" s="159">
        <f>VLOOKUP(C374,'Talente &amp; Stuff'!CL:DM,22,FALSE)</f>
        <v>0</v>
      </c>
      <c r="Y374" s="165">
        <f t="shared" si="26"/>
        <v>0</v>
      </c>
      <c r="Z374" s="44">
        <f t="shared" si="27"/>
        <v>0</v>
      </c>
      <c r="AA374" s="159">
        <f>VLOOKUP(C374,'Talente &amp; Stuff'!CL:DM,25,FALSE)</f>
        <v>0</v>
      </c>
      <c r="AB374" s="161">
        <f>VLOOKUP(C374,'Talente &amp; Stuff'!CL:DM,26,FALSE)</f>
        <v>0</v>
      </c>
      <c r="AC374" s="128">
        <f>VLOOKUP(C374,'Talente &amp; Stuff'!CL:DM,27,FALSE)</f>
        <v>0</v>
      </c>
      <c r="AD374" s="159">
        <f>VLOOKUP(C374,'Talente &amp; Stuff'!CL:DM,28,FALSE)</f>
        <v>0</v>
      </c>
      <c r="AE374" s="28"/>
    </row>
    <row r="375" spans="2:31" ht="15" hidden="1" customHeight="1" outlineLevel="1" collapsed="1">
      <c r="B375" s="134" t="s">
        <v>329</v>
      </c>
      <c r="C375" s="83"/>
      <c r="D375" s="84"/>
      <c r="E375" s="84"/>
    </row>
    <row r="376" spans="2:31" ht="15" hidden="1" customHeight="1" outlineLevel="2">
      <c r="B376" s="148">
        <v>1</v>
      </c>
      <c r="C376" s="176" t="str">
        <f>Attribute!C376</f>
        <v>---</v>
      </c>
      <c r="D376" s="85" t="str">
        <f>VLOOKUP(C376,'Talente &amp; Stuff'!CL:DM,2,FALSE)</f>
        <v>--/--/--</v>
      </c>
      <c r="E376" s="158" t="str">
        <f>VLOOKUP(C376,'Talente &amp; Stuff'!CL:DM,3,FALSE)</f>
        <v>-</v>
      </c>
      <c r="F376" s="118">
        <f>VLOOKUP(C376,'Talente &amp; Stuff'!CL:DM,4,FALSE)</f>
        <v>0</v>
      </c>
      <c r="G376" s="118">
        <f>VLOOKUP(C376,'Talente &amp; Stuff'!CL:DM,5,FALSE)</f>
        <v>0</v>
      </c>
      <c r="H376" s="118">
        <f>VLOOKUP(C376,'Talente &amp; Stuff'!CL:DM,6,FALSE)</f>
        <v>0</v>
      </c>
      <c r="I376" s="118">
        <f>VLOOKUP(C376,'Talente &amp; Stuff'!CL:DM,7,FALSE)</f>
        <v>0</v>
      </c>
      <c r="J376" s="118">
        <f>VLOOKUP(C376,'Talente &amp; Stuff'!CL:DM,8,FALSE)</f>
        <v>0</v>
      </c>
      <c r="K376" s="118">
        <f>VLOOKUP(C376,'Talente &amp; Stuff'!CL:DM,9,FALSE)</f>
        <v>0</v>
      </c>
      <c r="L376" s="118">
        <f>VLOOKUP(C376,'Talente &amp; Stuff'!CL:DM,10,FALSE)</f>
        <v>0</v>
      </c>
      <c r="M376" s="118">
        <f>VLOOKUP(C376,'Talente &amp; Stuff'!CL:DM,11,FALSE)</f>
        <v>0</v>
      </c>
      <c r="N376" s="193">
        <f>VLOOKUP(C376,'Talente &amp; Stuff'!CL:DM,12,FALSE)</f>
        <v>0</v>
      </c>
      <c r="O376" s="116">
        <f>VLOOKUP(C376,'Talente &amp; Stuff'!CL:DM,13,FALSE)</f>
        <v>0</v>
      </c>
      <c r="P376" s="92">
        <f>VLOOKUP(C376,'Talente &amp; Stuff'!CL:DM,14,FALSE)</f>
        <v>0</v>
      </c>
      <c r="Q376" s="118">
        <f>VLOOKUP(C376,'Talente &amp; Stuff'!CL:DM,15,FALSE)</f>
        <v>0</v>
      </c>
      <c r="R376" s="118">
        <f>VLOOKUP(C376,'Talente &amp; Stuff'!CL:DM,16,FALSE)</f>
        <v>0</v>
      </c>
      <c r="S376" s="118">
        <f>VLOOKUP(C376,'Talente &amp; Stuff'!CL:DM,17,FALSE)</f>
        <v>0</v>
      </c>
      <c r="T376" s="91">
        <f>VLOOKUP(C376,'Talente &amp; Stuff'!CL:DM,18,FALSE)</f>
        <v>0</v>
      </c>
      <c r="U376" s="116">
        <f>VLOOKUP(C376,'Talente &amp; Stuff'!CL:DM,19,FALSE)</f>
        <v>0</v>
      </c>
      <c r="V376" s="116">
        <f>VLOOKUP(C376,'Talente &amp; Stuff'!CL:DM,20,FALSE)</f>
        <v>0</v>
      </c>
      <c r="W376" s="116">
        <f>VLOOKUP(C376,'Talente &amp; Stuff'!CL:DM,21,FALSE)</f>
        <v>0</v>
      </c>
      <c r="X376" s="158">
        <f>VLOOKUP(C376,'Talente &amp; Stuff'!CL:DM,22,FALSE)</f>
        <v>0</v>
      </c>
      <c r="Y376" s="165">
        <f t="shared" ref="Y376:Y386" si="28">VLOOKUP(C376,Ausgewählte_Rituale_Gildenmagier,110,FALSE)</f>
        <v>0</v>
      </c>
      <c r="Z376" s="44">
        <f t="shared" ref="Z376:Z386" si="29">VLOOKUP(C376,Ausgewählte_Rituale_Gildenmagier,111,FALSE)</f>
        <v>0</v>
      </c>
      <c r="AA376" s="158">
        <f>VLOOKUP(C376,'Talente &amp; Stuff'!CL:DM,25,FALSE)</f>
        <v>0</v>
      </c>
      <c r="AB376" s="91">
        <f>VLOOKUP(C376,'Talente &amp; Stuff'!CL:DM,26,FALSE)</f>
        <v>0</v>
      </c>
      <c r="AC376" s="126">
        <f>VLOOKUP(C376,'Talente &amp; Stuff'!CL:DM,27,FALSE)</f>
        <v>0</v>
      </c>
      <c r="AD376" s="158">
        <f>VLOOKUP(C376,'Talente &amp; Stuff'!CL:DM,28,FALSE)</f>
        <v>0</v>
      </c>
      <c r="AE376" s="28"/>
    </row>
    <row r="377" spans="2:31" ht="15" hidden="1" customHeight="1" outlineLevel="2">
      <c r="B377" s="148">
        <v>2</v>
      </c>
      <c r="C377" s="177" t="str">
        <f>Attribute!C377</f>
        <v>---</v>
      </c>
      <c r="D377" s="86" t="str">
        <f>VLOOKUP(C377,'Talente &amp; Stuff'!CL:DM,2,FALSE)</f>
        <v>--/--/--</v>
      </c>
      <c r="E377" s="125" t="str">
        <f>VLOOKUP(C377,'Talente &amp; Stuff'!CL:DM,3,FALSE)</f>
        <v>-</v>
      </c>
      <c r="F377" s="113">
        <f>VLOOKUP(C377,'Talente &amp; Stuff'!CL:DM,4,FALSE)</f>
        <v>0</v>
      </c>
      <c r="G377" s="113">
        <f>VLOOKUP(C377,'Talente &amp; Stuff'!CL:DM,5,FALSE)</f>
        <v>0</v>
      </c>
      <c r="H377" s="113">
        <f>VLOOKUP(C377,'Talente &amp; Stuff'!CL:DM,6,FALSE)</f>
        <v>0</v>
      </c>
      <c r="I377" s="113">
        <f>VLOOKUP(C377,'Talente &amp; Stuff'!CL:DM,7,FALSE)</f>
        <v>0</v>
      </c>
      <c r="J377" s="113">
        <f>VLOOKUP(C377,'Talente &amp; Stuff'!CL:DM,8,FALSE)</f>
        <v>0</v>
      </c>
      <c r="K377" s="113">
        <f>VLOOKUP(C377,'Talente &amp; Stuff'!CL:DM,9,FALSE)</f>
        <v>0</v>
      </c>
      <c r="L377" s="113">
        <f>VLOOKUP(C377,'Talente &amp; Stuff'!CL:DM,10,FALSE)</f>
        <v>0</v>
      </c>
      <c r="M377" s="113">
        <f>VLOOKUP(C377,'Talente &amp; Stuff'!CL:DM,11,FALSE)</f>
        <v>0</v>
      </c>
      <c r="N377" s="89">
        <f>VLOOKUP(C377,'Talente &amp; Stuff'!CL:DM,12,FALSE)</f>
        <v>0</v>
      </c>
      <c r="O377" s="47">
        <f>VLOOKUP(C377,'Talente &amp; Stuff'!CL:DM,13,FALSE)</f>
        <v>0</v>
      </c>
      <c r="P377" s="119">
        <f>VLOOKUP(C377,'Talente &amp; Stuff'!CL:DM,14,FALSE)</f>
        <v>0</v>
      </c>
      <c r="Q377" s="113">
        <f>VLOOKUP(C377,'Talente &amp; Stuff'!CL:DM,15,FALSE)</f>
        <v>0</v>
      </c>
      <c r="R377" s="113">
        <f>VLOOKUP(C377,'Talente &amp; Stuff'!CL:DM,16,FALSE)</f>
        <v>0</v>
      </c>
      <c r="S377" s="113">
        <f>VLOOKUP(C377,'Talente &amp; Stuff'!CL:DM,17,FALSE)</f>
        <v>0</v>
      </c>
      <c r="T377" s="160">
        <f>VLOOKUP(C377,'Talente &amp; Stuff'!CL:DM,18,FALSE)</f>
        <v>0</v>
      </c>
      <c r="U377" s="47">
        <f>VLOOKUP(C377,'Talente &amp; Stuff'!CL:DM,19,FALSE)</f>
        <v>0</v>
      </c>
      <c r="V377" s="47">
        <f>VLOOKUP(C377,'Talente &amp; Stuff'!CL:DM,20,FALSE)</f>
        <v>0</v>
      </c>
      <c r="W377" s="47">
        <f>VLOOKUP(C377,'Talente &amp; Stuff'!CL:DM,21,FALSE)</f>
        <v>0</v>
      </c>
      <c r="X377" s="125">
        <f>VLOOKUP(C377,'Talente &amp; Stuff'!CL:DM,22,FALSE)</f>
        <v>0</v>
      </c>
      <c r="Y377" s="165">
        <f t="shared" si="28"/>
        <v>0</v>
      </c>
      <c r="Z377" s="44">
        <f t="shared" si="29"/>
        <v>0</v>
      </c>
      <c r="AA377" s="125">
        <f>VLOOKUP(C377,'Talente &amp; Stuff'!CL:DM,25,FALSE)</f>
        <v>0</v>
      </c>
      <c r="AB377" s="160">
        <f>VLOOKUP(C377,'Talente &amp; Stuff'!CL:DM,26,FALSE)</f>
        <v>0</v>
      </c>
      <c r="AC377" s="127">
        <f>VLOOKUP(C377,'Talente &amp; Stuff'!CL:DM,27,FALSE)</f>
        <v>0</v>
      </c>
      <c r="AD377" s="125">
        <f>VLOOKUP(C377,'Talente &amp; Stuff'!CL:DM,28,FALSE)</f>
        <v>0</v>
      </c>
      <c r="AE377" s="28"/>
    </row>
    <row r="378" spans="2:31" ht="15" hidden="1" customHeight="1" outlineLevel="2">
      <c r="B378" s="148">
        <v>3</v>
      </c>
      <c r="C378" s="177" t="str">
        <f>Attribute!C378</f>
        <v>---</v>
      </c>
      <c r="D378" s="86" t="str">
        <f>VLOOKUP(C378,'Talente &amp; Stuff'!CL:DM,2,FALSE)</f>
        <v>--/--/--</v>
      </c>
      <c r="E378" s="125" t="str">
        <f>VLOOKUP(C378,'Talente &amp; Stuff'!CL:DM,3,FALSE)</f>
        <v>-</v>
      </c>
      <c r="F378" s="113">
        <f>VLOOKUP(C378,'Talente &amp; Stuff'!CL:DM,4,FALSE)</f>
        <v>0</v>
      </c>
      <c r="G378" s="113">
        <f>VLOOKUP(C378,'Talente &amp; Stuff'!CL:DM,5,FALSE)</f>
        <v>0</v>
      </c>
      <c r="H378" s="113">
        <f>VLOOKUP(C378,'Talente &amp; Stuff'!CL:DM,6,FALSE)</f>
        <v>0</v>
      </c>
      <c r="I378" s="113">
        <f>VLOOKUP(C378,'Talente &amp; Stuff'!CL:DM,7,FALSE)</f>
        <v>0</v>
      </c>
      <c r="J378" s="113">
        <f>VLOOKUP(C378,'Talente &amp; Stuff'!CL:DM,8,FALSE)</f>
        <v>0</v>
      </c>
      <c r="K378" s="113">
        <f>VLOOKUP(C378,'Talente &amp; Stuff'!CL:DM,9,FALSE)</f>
        <v>0</v>
      </c>
      <c r="L378" s="113">
        <f>VLOOKUP(C378,'Talente &amp; Stuff'!CL:DM,10,FALSE)</f>
        <v>0</v>
      </c>
      <c r="M378" s="113">
        <f>VLOOKUP(C378,'Talente &amp; Stuff'!CL:DM,11,FALSE)</f>
        <v>0</v>
      </c>
      <c r="N378" s="89">
        <f>VLOOKUP(C378,'Talente &amp; Stuff'!CL:DM,12,FALSE)</f>
        <v>0</v>
      </c>
      <c r="O378" s="47">
        <f>VLOOKUP(C378,'Talente &amp; Stuff'!CL:DM,13,FALSE)</f>
        <v>0</v>
      </c>
      <c r="P378" s="119">
        <f>VLOOKUP(C378,'Talente &amp; Stuff'!CL:DM,14,FALSE)</f>
        <v>0</v>
      </c>
      <c r="Q378" s="113">
        <f>VLOOKUP(C378,'Talente &amp; Stuff'!CL:DM,15,FALSE)</f>
        <v>0</v>
      </c>
      <c r="R378" s="113">
        <f>VLOOKUP(C378,'Talente &amp; Stuff'!CL:DM,16,FALSE)</f>
        <v>0</v>
      </c>
      <c r="S378" s="113">
        <f>VLOOKUP(C378,'Talente &amp; Stuff'!CL:DM,17,FALSE)</f>
        <v>0</v>
      </c>
      <c r="T378" s="160">
        <f>VLOOKUP(C378,'Talente &amp; Stuff'!CL:DM,18,FALSE)</f>
        <v>0</v>
      </c>
      <c r="U378" s="47">
        <f>VLOOKUP(C378,'Talente &amp; Stuff'!CL:DM,19,FALSE)</f>
        <v>0</v>
      </c>
      <c r="V378" s="47">
        <f>VLOOKUP(C378,'Talente &amp; Stuff'!CL:DM,20,FALSE)</f>
        <v>0</v>
      </c>
      <c r="W378" s="47">
        <f>VLOOKUP(C378,'Talente &amp; Stuff'!CL:DM,21,FALSE)</f>
        <v>0</v>
      </c>
      <c r="X378" s="125">
        <f>VLOOKUP(C378,'Talente &amp; Stuff'!CL:DM,22,FALSE)</f>
        <v>0</v>
      </c>
      <c r="Y378" s="165">
        <f t="shared" si="28"/>
        <v>0</v>
      </c>
      <c r="Z378" s="44">
        <f t="shared" si="29"/>
        <v>0</v>
      </c>
      <c r="AA378" s="125">
        <f>VLOOKUP(C378,'Talente &amp; Stuff'!CL:DM,25,FALSE)</f>
        <v>0</v>
      </c>
      <c r="AB378" s="160">
        <f>VLOOKUP(C378,'Talente &amp; Stuff'!CL:DM,26,FALSE)</f>
        <v>0</v>
      </c>
      <c r="AC378" s="127">
        <f>VLOOKUP(C378,'Talente &amp; Stuff'!CL:DM,27,FALSE)</f>
        <v>0</v>
      </c>
      <c r="AD378" s="125">
        <f>VLOOKUP(C378,'Talente &amp; Stuff'!CL:DM,28,FALSE)</f>
        <v>0</v>
      </c>
      <c r="AE378" s="28"/>
    </row>
    <row r="379" spans="2:31" ht="15" hidden="1" customHeight="1" outlineLevel="2">
      <c r="B379" s="148">
        <v>4</v>
      </c>
      <c r="C379" s="177" t="str">
        <f>Attribute!C379</f>
        <v>---</v>
      </c>
      <c r="D379" s="86" t="str">
        <f>VLOOKUP(C379,'Talente &amp; Stuff'!CL:DM,2,FALSE)</f>
        <v>--/--/--</v>
      </c>
      <c r="E379" s="125" t="str">
        <f>VLOOKUP(C379,'Talente &amp; Stuff'!CL:DM,3,FALSE)</f>
        <v>-</v>
      </c>
      <c r="F379" s="113">
        <f>VLOOKUP(C379,'Talente &amp; Stuff'!CL:DM,4,FALSE)</f>
        <v>0</v>
      </c>
      <c r="G379" s="113">
        <f>VLOOKUP(C379,'Talente &amp; Stuff'!CL:DM,5,FALSE)</f>
        <v>0</v>
      </c>
      <c r="H379" s="113">
        <f>VLOOKUP(C379,'Talente &amp; Stuff'!CL:DM,6,FALSE)</f>
        <v>0</v>
      </c>
      <c r="I379" s="113">
        <f>VLOOKUP(C379,'Talente &amp; Stuff'!CL:DM,7,FALSE)</f>
        <v>0</v>
      </c>
      <c r="J379" s="113">
        <f>VLOOKUP(C379,'Talente &amp; Stuff'!CL:DM,8,FALSE)</f>
        <v>0</v>
      </c>
      <c r="K379" s="113">
        <f>VLOOKUP(C379,'Talente &amp; Stuff'!CL:DM,9,FALSE)</f>
        <v>0</v>
      </c>
      <c r="L379" s="113">
        <f>VLOOKUP(C379,'Talente &amp; Stuff'!CL:DM,10,FALSE)</f>
        <v>0</v>
      </c>
      <c r="M379" s="113">
        <f>VLOOKUP(C379,'Talente &amp; Stuff'!CL:DM,11,FALSE)</f>
        <v>0</v>
      </c>
      <c r="N379" s="89">
        <f>VLOOKUP(C379,'Talente &amp; Stuff'!CL:DM,12,FALSE)</f>
        <v>0</v>
      </c>
      <c r="O379" s="47">
        <f>VLOOKUP(C379,'Talente &amp; Stuff'!CL:DM,13,FALSE)</f>
        <v>0</v>
      </c>
      <c r="P379" s="119">
        <f>VLOOKUP(C379,'Talente &amp; Stuff'!CL:DM,14,FALSE)</f>
        <v>0</v>
      </c>
      <c r="Q379" s="113">
        <f>VLOOKUP(C379,'Talente &amp; Stuff'!CL:DM,15,FALSE)</f>
        <v>0</v>
      </c>
      <c r="R379" s="113">
        <f>VLOOKUP(C379,'Talente &amp; Stuff'!CL:DM,16,FALSE)</f>
        <v>0</v>
      </c>
      <c r="S379" s="113">
        <f>VLOOKUP(C379,'Talente &amp; Stuff'!CL:DM,17,FALSE)</f>
        <v>0</v>
      </c>
      <c r="T379" s="160">
        <f>VLOOKUP(C379,'Talente &amp; Stuff'!CL:DM,18,FALSE)</f>
        <v>0</v>
      </c>
      <c r="U379" s="47">
        <f>VLOOKUP(C379,'Talente &amp; Stuff'!CL:DM,19,FALSE)</f>
        <v>0</v>
      </c>
      <c r="V379" s="47">
        <f>VLOOKUP(C379,'Talente &amp; Stuff'!CL:DM,20,FALSE)</f>
        <v>0</v>
      </c>
      <c r="W379" s="47">
        <f>VLOOKUP(C379,'Talente &amp; Stuff'!CL:DM,21,FALSE)</f>
        <v>0</v>
      </c>
      <c r="X379" s="125">
        <f>VLOOKUP(C379,'Talente &amp; Stuff'!CL:DM,22,FALSE)</f>
        <v>0</v>
      </c>
      <c r="Y379" s="165">
        <f t="shared" si="28"/>
        <v>0</v>
      </c>
      <c r="Z379" s="44">
        <f t="shared" si="29"/>
        <v>0</v>
      </c>
      <c r="AA379" s="125">
        <f>VLOOKUP(C379,'Talente &amp; Stuff'!CL:DM,25,FALSE)</f>
        <v>0</v>
      </c>
      <c r="AB379" s="160">
        <f>VLOOKUP(C379,'Talente &amp; Stuff'!CL:DM,26,FALSE)</f>
        <v>0</v>
      </c>
      <c r="AC379" s="127">
        <f>VLOOKUP(C379,'Talente &amp; Stuff'!CL:DM,27,FALSE)</f>
        <v>0</v>
      </c>
      <c r="AD379" s="125">
        <f>VLOOKUP(C379,'Talente &amp; Stuff'!CL:DM,28,FALSE)</f>
        <v>0</v>
      </c>
      <c r="AE379" s="28"/>
    </row>
    <row r="380" spans="2:31" ht="15" hidden="1" customHeight="1" outlineLevel="2">
      <c r="B380" s="148">
        <v>5</v>
      </c>
      <c r="C380" s="177" t="str">
        <f>Attribute!C380</f>
        <v>---</v>
      </c>
      <c r="D380" s="86" t="str">
        <f>VLOOKUP(C380,'Talente &amp; Stuff'!CL:DM,2,FALSE)</f>
        <v>--/--/--</v>
      </c>
      <c r="E380" s="125" t="str">
        <f>VLOOKUP(C380,'Talente &amp; Stuff'!CL:DM,3,FALSE)</f>
        <v>-</v>
      </c>
      <c r="F380" s="113">
        <f>VLOOKUP(C380,'Talente &amp; Stuff'!CL:DM,4,FALSE)</f>
        <v>0</v>
      </c>
      <c r="G380" s="113">
        <f>VLOOKUP(C380,'Talente &amp; Stuff'!CL:DM,5,FALSE)</f>
        <v>0</v>
      </c>
      <c r="H380" s="113">
        <f>VLOOKUP(C380,'Talente &amp; Stuff'!CL:DM,6,FALSE)</f>
        <v>0</v>
      </c>
      <c r="I380" s="113">
        <f>VLOOKUP(C380,'Talente &amp; Stuff'!CL:DM,7,FALSE)</f>
        <v>0</v>
      </c>
      <c r="J380" s="113">
        <f>VLOOKUP(C380,'Talente &amp; Stuff'!CL:DM,8,FALSE)</f>
        <v>0</v>
      </c>
      <c r="K380" s="113">
        <f>VLOOKUP(C380,'Talente &amp; Stuff'!CL:DM,9,FALSE)</f>
        <v>0</v>
      </c>
      <c r="L380" s="113">
        <f>VLOOKUP(C380,'Talente &amp; Stuff'!CL:DM,10,FALSE)</f>
        <v>0</v>
      </c>
      <c r="M380" s="113">
        <f>VLOOKUP(C380,'Talente &amp; Stuff'!CL:DM,11,FALSE)</f>
        <v>0</v>
      </c>
      <c r="N380" s="89">
        <f>VLOOKUP(C380,'Talente &amp; Stuff'!CL:DM,12,FALSE)</f>
        <v>0</v>
      </c>
      <c r="O380" s="47">
        <f>VLOOKUP(C380,'Talente &amp; Stuff'!CL:DM,13,FALSE)</f>
        <v>0</v>
      </c>
      <c r="P380" s="119">
        <f>VLOOKUP(C380,'Talente &amp; Stuff'!CL:DM,14,FALSE)</f>
        <v>0</v>
      </c>
      <c r="Q380" s="113">
        <f>VLOOKUP(C380,'Talente &amp; Stuff'!CL:DM,15,FALSE)</f>
        <v>0</v>
      </c>
      <c r="R380" s="113">
        <f>VLOOKUP(C380,'Talente &amp; Stuff'!CL:DM,16,FALSE)</f>
        <v>0</v>
      </c>
      <c r="S380" s="113">
        <f>VLOOKUP(C380,'Talente &amp; Stuff'!CL:DM,17,FALSE)</f>
        <v>0</v>
      </c>
      <c r="T380" s="160">
        <f>VLOOKUP(C380,'Talente &amp; Stuff'!CL:DM,18,FALSE)</f>
        <v>0</v>
      </c>
      <c r="U380" s="47">
        <f>VLOOKUP(C380,'Talente &amp; Stuff'!CL:DM,19,FALSE)</f>
        <v>0</v>
      </c>
      <c r="V380" s="47">
        <f>VLOOKUP(C380,'Talente &amp; Stuff'!CL:DM,20,FALSE)</f>
        <v>0</v>
      </c>
      <c r="W380" s="47">
        <f>VLOOKUP(C380,'Talente &amp; Stuff'!CL:DM,21,FALSE)</f>
        <v>0</v>
      </c>
      <c r="X380" s="125">
        <f>VLOOKUP(C380,'Talente &amp; Stuff'!CL:DM,22,FALSE)</f>
        <v>0</v>
      </c>
      <c r="Y380" s="165">
        <f t="shared" si="28"/>
        <v>0</v>
      </c>
      <c r="Z380" s="44">
        <f t="shared" si="29"/>
        <v>0</v>
      </c>
      <c r="AA380" s="125">
        <f>VLOOKUP(C380,'Talente &amp; Stuff'!CL:DM,25,FALSE)</f>
        <v>0</v>
      </c>
      <c r="AB380" s="160">
        <f>VLOOKUP(C380,'Talente &amp; Stuff'!CL:DM,26,FALSE)</f>
        <v>0</v>
      </c>
      <c r="AC380" s="127">
        <f>VLOOKUP(C380,'Talente &amp; Stuff'!CL:DM,27,FALSE)</f>
        <v>0</v>
      </c>
      <c r="AD380" s="125">
        <f>VLOOKUP(C380,'Talente &amp; Stuff'!CL:DM,28,FALSE)</f>
        <v>0</v>
      </c>
      <c r="AE380" s="28"/>
    </row>
    <row r="381" spans="2:31" ht="15" hidden="1" customHeight="1" outlineLevel="2">
      <c r="B381" s="148">
        <v>6</v>
      </c>
      <c r="C381" s="177" t="str">
        <f>Attribute!C381</f>
        <v>---</v>
      </c>
      <c r="D381" s="86" t="str">
        <f>VLOOKUP(C381,'Talente &amp; Stuff'!CL:DM,2,FALSE)</f>
        <v>--/--/--</v>
      </c>
      <c r="E381" s="125" t="str">
        <f>VLOOKUP(C381,'Talente &amp; Stuff'!CL:DM,3,FALSE)</f>
        <v>-</v>
      </c>
      <c r="F381" s="113">
        <f>VLOOKUP(C381,'Talente &amp; Stuff'!CL:DM,4,FALSE)</f>
        <v>0</v>
      </c>
      <c r="G381" s="113">
        <f>VLOOKUP(C381,'Talente &amp; Stuff'!CL:DM,5,FALSE)</f>
        <v>0</v>
      </c>
      <c r="H381" s="113">
        <f>VLOOKUP(C381,'Talente &amp; Stuff'!CL:DM,6,FALSE)</f>
        <v>0</v>
      </c>
      <c r="I381" s="113">
        <f>VLOOKUP(C381,'Talente &amp; Stuff'!CL:DM,7,FALSE)</f>
        <v>0</v>
      </c>
      <c r="J381" s="113">
        <f>VLOOKUP(C381,'Talente &amp; Stuff'!CL:DM,8,FALSE)</f>
        <v>0</v>
      </c>
      <c r="K381" s="113">
        <f>VLOOKUP(C381,'Talente &amp; Stuff'!CL:DM,9,FALSE)</f>
        <v>0</v>
      </c>
      <c r="L381" s="113">
        <f>VLOOKUP(C381,'Talente &amp; Stuff'!CL:DM,10,FALSE)</f>
        <v>0</v>
      </c>
      <c r="M381" s="113">
        <f>VLOOKUP(C381,'Talente &amp; Stuff'!CL:DM,11,FALSE)</f>
        <v>0</v>
      </c>
      <c r="N381" s="89">
        <f>VLOOKUP(C381,'Talente &amp; Stuff'!CL:DM,12,FALSE)</f>
        <v>0</v>
      </c>
      <c r="O381" s="47">
        <f>VLOOKUP(C381,'Talente &amp; Stuff'!CL:DM,13,FALSE)</f>
        <v>0</v>
      </c>
      <c r="P381" s="119">
        <f>VLOOKUP(C381,'Talente &amp; Stuff'!CL:DM,14,FALSE)</f>
        <v>0</v>
      </c>
      <c r="Q381" s="113">
        <f>VLOOKUP(C381,'Talente &amp; Stuff'!CL:DM,15,FALSE)</f>
        <v>0</v>
      </c>
      <c r="R381" s="113">
        <f>VLOOKUP(C381,'Talente &amp; Stuff'!CL:DM,16,FALSE)</f>
        <v>0</v>
      </c>
      <c r="S381" s="113">
        <f>VLOOKUP(C381,'Talente &amp; Stuff'!CL:DM,17,FALSE)</f>
        <v>0</v>
      </c>
      <c r="T381" s="160">
        <f>VLOOKUP(C381,'Talente &amp; Stuff'!CL:DM,18,FALSE)</f>
        <v>0</v>
      </c>
      <c r="U381" s="47">
        <f>VLOOKUP(C381,'Talente &amp; Stuff'!CL:DM,19,FALSE)</f>
        <v>0</v>
      </c>
      <c r="V381" s="47">
        <f>VLOOKUP(C381,'Talente &amp; Stuff'!CL:DM,20,FALSE)</f>
        <v>0</v>
      </c>
      <c r="W381" s="47">
        <f>VLOOKUP(C381,'Talente &amp; Stuff'!CL:DM,21,FALSE)</f>
        <v>0</v>
      </c>
      <c r="X381" s="125">
        <f>VLOOKUP(C381,'Talente &amp; Stuff'!CL:DM,22,FALSE)</f>
        <v>0</v>
      </c>
      <c r="Y381" s="165">
        <f t="shared" si="28"/>
        <v>0</v>
      </c>
      <c r="Z381" s="44">
        <f t="shared" si="29"/>
        <v>0</v>
      </c>
      <c r="AA381" s="125">
        <f>VLOOKUP(C381,'Talente &amp; Stuff'!CL:DM,25,FALSE)</f>
        <v>0</v>
      </c>
      <c r="AB381" s="160">
        <f>VLOOKUP(C381,'Talente &amp; Stuff'!CL:DM,26,FALSE)</f>
        <v>0</v>
      </c>
      <c r="AC381" s="127">
        <f>VLOOKUP(C381,'Talente &amp; Stuff'!CL:DM,27,FALSE)</f>
        <v>0</v>
      </c>
      <c r="AD381" s="125">
        <f>VLOOKUP(C381,'Talente &amp; Stuff'!CL:DM,28,FALSE)</f>
        <v>0</v>
      </c>
      <c r="AE381" s="28"/>
    </row>
    <row r="382" spans="2:31" ht="15" hidden="1" customHeight="1" outlineLevel="2">
      <c r="B382" s="148">
        <v>7</v>
      </c>
      <c r="C382" s="177" t="str">
        <f>Attribute!C382</f>
        <v>---</v>
      </c>
      <c r="D382" s="86" t="str">
        <f>VLOOKUP(C382,'Talente &amp; Stuff'!CL:DM,2,FALSE)</f>
        <v>--/--/--</v>
      </c>
      <c r="E382" s="125" t="str">
        <f>VLOOKUP(C382,'Talente &amp; Stuff'!CL:DM,3,FALSE)</f>
        <v>-</v>
      </c>
      <c r="F382" s="113">
        <f>VLOOKUP(C382,'Talente &amp; Stuff'!CL:DM,4,FALSE)</f>
        <v>0</v>
      </c>
      <c r="G382" s="113">
        <f>VLOOKUP(C382,'Talente &amp; Stuff'!CL:DM,5,FALSE)</f>
        <v>0</v>
      </c>
      <c r="H382" s="113">
        <f>VLOOKUP(C382,'Talente &amp; Stuff'!CL:DM,6,FALSE)</f>
        <v>0</v>
      </c>
      <c r="I382" s="113">
        <f>VLOOKUP(C382,'Talente &amp; Stuff'!CL:DM,7,FALSE)</f>
        <v>0</v>
      </c>
      <c r="J382" s="113">
        <f>VLOOKUP(C382,'Talente &amp; Stuff'!CL:DM,8,FALSE)</f>
        <v>0</v>
      </c>
      <c r="K382" s="113">
        <f>VLOOKUP(C382,'Talente &amp; Stuff'!CL:DM,9,FALSE)</f>
        <v>0</v>
      </c>
      <c r="L382" s="113">
        <f>VLOOKUP(C382,'Talente &amp; Stuff'!CL:DM,10,FALSE)</f>
        <v>0</v>
      </c>
      <c r="M382" s="113">
        <f>VLOOKUP(C382,'Talente &amp; Stuff'!CL:DM,11,FALSE)</f>
        <v>0</v>
      </c>
      <c r="N382" s="89">
        <f>VLOOKUP(C382,'Talente &amp; Stuff'!CL:DM,12,FALSE)</f>
        <v>0</v>
      </c>
      <c r="O382" s="47">
        <f>VLOOKUP(C382,'Talente &amp; Stuff'!CL:DM,13,FALSE)</f>
        <v>0</v>
      </c>
      <c r="P382" s="119">
        <f>VLOOKUP(C382,'Talente &amp; Stuff'!CL:DM,14,FALSE)</f>
        <v>0</v>
      </c>
      <c r="Q382" s="113">
        <f>VLOOKUP(C382,'Talente &amp; Stuff'!CL:DM,15,FALSE)</f>
        <v>0</v>
      </c>
      <c r="R382" s="113">
        <f>VLOOKUP(C382,'Talente &amp; Stuff'!CL:DM,16,FALSE)</f>
        <v>0</v>
      </c>
      <c r="S382" s="113">
        <f>VLOOKUP(C382,'Talente &amp; Stuff'!CL:DM,17,FALSE)</f>
        <v>0</v>
      </c>
      <c r="T382" s="160">
        <f>VLOOKUP(C382,'Talente &amp; Stuff'!CL:DM,18,FALSE)</f>
        <v>0</v>
      </c>
      <c r="U382" s="47">
        <f>VLOOKUP(C382,'Talente &amp; Stuff'!CL:DM,19,FALSE)</f>
        <v>0</v>
      </c>
      <c r="V382" s="47">
        <f>VLOOKUP(C382,'Talente &amp; Stuff'!CL:DM,20,FALSE)</f>
        <v>0</v>
      </c>
      <c r="W382" s="47">
        <f>VLOOKUP(C382,'Talente &amp; Stuff'!CL:DM,21,FALSE)</f>
        <v>0</v>
      </c>
      <c r="X382" s="125">
        <f>VLOOKUP(C382,'Talente &amp; Stuff'!CL:DM,22,FALSE)</f>
        <v>0</v>
      </c>
      <c r="Y382" s="165">
        <f t="shared" si="28"/>
        <v>0</v>
      </c>
      <c r="Z382" s="44">
        <f t="shared" si="29"/>
        <v>0</v>
      </c>
      <c r="AA382" s="125">
        <f>VLOOKUP(C382,'Talente &amp; Stuff'!CL:DM,25,FALSE)</f>
        <v>0</v>
      </c>
      <c r="AB382" s="160">
        <f>VLOOKUP(C382,'Talente &amp; Stuff'!CL:DM,26,FALSE)</f>
        <v>0</v>
      </c>
      <c r="AC382" s="127">
        <f>VLOOKUP(C382,'Talente &amp; Stuff'!CL:DM,27,FALSE)</f>
        <v>0</v>
      </c>
      <c r="AD382" s="125">
        <f>VLOOKUP(C382,'Talente &amp; Stuff'!CL:DM,28,FALSE)</f>
        <v>0</v>
      </c>
      <c r="AE382" s="28"/>
    </row>
    <row r="383" spans="2:31" ht="15" hidden="1" customHeight="1" outlineLevel="2">
      <c r="B383" s="148">
        <v>8</v>
      </c>
      <c r="C383" s="177" t="str">
        <f>Attribute!C383</f>
        <v>---</v>
      </c>
      <c r="D383" s="86" t="str">
        <f>VLOOKUP(C383,'Talente &amp; Stuff'!CL:DM,2,FALSE)</f>
        <v>--/--/--</v>
      </c>
      <c r="E383" s="125" t="str">
        <f>VLOOKUP(C383,'Talente &amp; Stuff'!CL:DM,3,FALSE)</f>
        <v>-</v>
      </c>
      <c r="F383" s="113">
        <f>VLOOKUP(C383,'Talente &amp; Stuff'!CL:DM,4,FALSE)</f>
        <v>0</v>
      </c>
      <c r="G383" s="113">
        <f>VLOOKUP(C383,'Talente &amp; Stuff'!CL:DM,5,FALSE)</f>
        <v>0</v>
      </c>
      <c r="H383" s="113">
        <f>VLOOKUP(C383,'Talente &amp; Stuff'!CL:DM,6,FALSE)</f>
        <v>0</v>
      </c>
      <c r="I383" s="113">
        <f>VLOOKUP(C383,'Talente &amp; Stuff'!CL:DM,7,FALSE)</f>
        <v>0</v>
      </c>
      <c r="J383" s="113">
        <f>VLOOKUP(C383,'Talente &amp; Stuff'!CL:DM,8,FALSE)</f>
        <v>0</v>
      </c>
      <c r="K383" s="113">
        <f>VLOOKUP(C383,'Talente &amp; Stuff'!CL:DM,9,FALSE)</f>
        <v>0</v>
      </c>
      <c r="L383" s="113">
        <f>VLOOKUP(C383,'Talente &amp; Stuff'!CL:DM,10,FALSE)</f>
        <v>0</v>
      </c>
      <c r="M383" s="113">
        <f>VLOOKUP(C383,'Talente &amp; Stuff'!CL:DM,11,FALSE)</f>
        <v>0</v>
      </c>
      <c r="N383" s="89">
        <f>VLOOKUP(C383,'Talente &amp; Stuff'!CL:DM,12,FALSE)</f>
        <v>0</v>
      </c>
      <c r="O383" s="47">
        <f>VLOOKUP(C383,'Talente &amp; Stuff'!CL:DM,13,FALSE)</f>
        <v>0</v>
      </c>
      <c r="P383" s="119">
        <f>VLOOKUP(C383,'Talente &amp; Stuff'!CL:DM,14,FALSE)</f>
        <v>0</v>
      </c>
      <c r="Q383" s="113">
        <f>VLOOKUP(C383,'Talente &amp; Stuff'!CL:DM,15,FALSE)</f>
        <v>0</v>
      </c>
      <c r="R383" s="113">
        <f>VLOOKUP(C383,'Talente &amp; Stuff'!CL:DM,16,FALSE)</f>
        <v>0</v>
      </c>
      <c r="S383" s="113">
        <f>VLOOKUP(C383,'Talente &amp; Stuff'!CL:DM,17,FALSE)</f>
        <v>0</v>
      </c>
      <c r="T383" s="160">
        <f>VLOOKUP(C383,'Talente &amp; Stuff'!CL:DM,18,FALSE)</f>
        <v>0</v>
      </c>
      <c r="U383" s="47">
        <f>VLOOKUP(C383,'Talente &amp; Stuff'!CL:DM,19,FALSE)</f>
        <v>0</v>
      </c>
      <c r="V383" s="47">
        <f>VLOOKUP(C383,'Talente &amp; Stuff'!CL:DM,20,FALSE)</f>
        <v>0</v>
      </c>
      <c r="W383" s="47">
        <f>VLOOKUP(C383,'Talente &amp; Stuff'!CL:DM,21,FALSE)</f>
        <v>0</v>
      </c>
      <c r="X383" s="125">
        <f>VLOOKUP(C383,'Talente &amp; Stuff'!CL:DM,22,FALSE)</f>
        <v>0</v>
      </c>
      <c r="Y383" s="165">
        <f t="shared" si="28"/>
        <v>0</v>
      </c>
      <c r="Z383" s="44">
        <f t="shared" si="29"/>
        <v>0</v>
      </c>
      <c r="AA383" s="125">
        <f>VLOOKUP(C383,'Talente &amp; Stuff'!CL:DM,25,FALSE)</f>
        <v>0</v>
      </c>
      <c r="AB383" s="160">
        <f>VLOOKUP(C383,'Talente &amp; Stuff'!CL:DM,26,FALSE)</f>
        <v>0</v>
      </c>
      <c r="AC383" s="127">
        <f>VLOOKUP(C383,'Talente &amp; Stuff'!CL:DM,27,FALSE)</f>
        <v>0</v>
      </c>
      <c r="AD383" s="125">
        <f>VLOOKUP(C383,'Talente &amp; Stuff'!CL:DM,28,FALSE)</f>
        <v>0</v>
      </c>
      <c r="AE383" s="28"/>
    </row>
    <row r="384" spans="2:31" ht="15" hidden="1" customHeight="1" outlineLevel="2">
      <c r="B384" s="148">
        <v>9</v>
      </c>
      <c r="C384" s="177" t="str">
        <f>Attribute!C384</f>
        <v>---</v>
      </c>
      <c r="D384" s="86" t="str">
        <f>VLOOKUP(C384,'Talente &amp; Stuff'!CL:DM,2,FALSE)</f>
        <v>--/--/--</v>
      </c>
      <c r="E384" s="125" t="str">
        <f>VLOOKUP(C384,'Talente &amp; Stuff'!CL:DM,3,FALSE)</f>
        <v>-</v>
      </c>
      <c r="F384" s="113">
        <f>VLOOKUP(C384,'Talente &amp; Stuff'!CL:DM,4,FALSE)</f>
        <v>0</v>
      </c>
      <c r="G384" s="113">
        <f>VLOOKUP(C384,'Talente &amp; Stuff'!CL:DM,5,FALSE)</f>
        <v>0</v>
      </c>
      <c r="H384" s="113">
        <f>VLOOKUP(C384,'Talente &amp; Stuff'!CL:DM,6,FALSE)</f>
        <v>0</v>
      </c>
      <c r="I384" s="113">
        <f>VLOOKUP(C384,'Talente &amp; Stuff'!CL:DM,7,FALSE)</f>
        <v>0</v>
      </c>
      <c r="J384" s="113">
        <f>VLOOKUP(C384,'Talente &amp; Stuff'!CL:DM,8,FALSE)</f>
        <v>0</v>
      </c>
      <c r="K384" s="113">
        <f>VLOOKUP(C384,'Talente &amp; Stuff'!CL:DM,9,FALSE)</f>
        <v>0</v>
      </c>
      <c r="L384" s="113">
        <f>VLOOKUP(C384,'Talente &amp; Stuff'!CL:DM,10,FALSE)</f>
        <v>0</v>
      </c>
      <c r="M384" s="113">
        <f>VLOOKUP(C384,'Talente &amp; Stuff'!CL:DM,11,FALSE)</f>
        <v>0</v>
      </c>
      <c r="N384" s="89">
        <f>VLOOKUP(C384,'Talente &amp; Stuff'!CL:DM,12,FALSE)</f>
        <v>0</v>
      </c>
      <c r="O384" s="47">
        <f>VLOOKUP(C384,'Talente &amp; Stuff'!CL:DM,13,FALSE)</f>
        <v>0</v>
      </c>
      <c r="P384" s="119">
        <f>VLOOKUP(C384,'Talente &amp; Stuff'!CL:DM,14,FALSE)</f>
        <v>0</v>
      </c>
      <c r="Q384" s="113">
        <f>VLOOKUP(C384,'Talente &amp; Stuff'!CL:DM,15,FALSE)</f>
        <v>0</v>
      </c>
      <c r="R384" s="113">
        <f>VLOOKUP(C384,'Talente &amp; Stuff'!CL:DM,16,FALSE)</f>
        <v>0</v>
      </c>
      <c r="S384" s="113">
        <f>VLOOKUP(C384,'Talente &amp; Stuff'!CL:DM,17,FALSE)</f>
        <v>0</v>
      </c>
      <c r="T384" s="160">
        <f>VLOOKUP(C384,'Talente &amp; Stuff'!CL:DM,18,FALSE)</f>
        <v>0</v>
      </c>
      <c r="U384" s="47">
        <f>VLOOKUP(C384,'Talente &amp; Stuff'!CL:DM,19,FALSE)</f>
        <v>0</v>
      </c>
      <c r="V384" s="47">
        <f>VLOOKUP(C384,'Talente &amp; Stuff'!CL:DM,20,FALSE)</f>
        <v>0</v>
      </c>
      <c r="W384" s="47">
        <f>VLOOKUP(C384,'Talente &amp; Stuff'!CL:DM,21,FALSE)</f>
        <v>0</v>
      </c>
      <c r="X384" s="125">
        <f>VLOOKUP(C384,'Talente &amp; Stuff'!CL:DM,22,FALSE)</f>
        <v>0</v>
      </c>
      <c r="Y384" s="165">
        <f t="shared" si="28"/>
        <v>0</v>
      </c>
      <c r="Z384" s="44">
        <f t="shared" si="29"/>
        <v>0</v>
      </c>
      <c r="AA384" s="125">
        <f>VLOOKUP(C384,'Talente &amp; Stuff'!CL:DM,25,FALSE)</f>
        <v>0</v>
      </c>
      <c r="AB384" s="160">
        <f>VLOOKUP(C384,'Talente &amp; Stuff'!CL:DM,26,FALSE)</f>
        <v>0</v>
      </c>
      <c r="AC384" s="127">
        <f>VLOOKUP(C384,'Talente &amp; Stuff'!CL:DM,27,FALSE)</f>
        <v>0</v>
      </c>
      <c r="AD384" s="125">
        <f>VLOOKUP(C384,'Talente &amp; Stuff'!CL:DM,28,FALSE)</f>
        <v>0</v>
      </c>
      <c r="AE384" s="28"/>
    </row>
    <row r="385" spans="1:31" ht="15" hidden="1" customHeight="1" outlineLevel="2">
      <c r="B385" s="148">
        <v>10</v>
      </c>
      <c r="C385" s="177" t="str">
        <f>Attribute!C385</f>
        <v>---</v>
      </c>
      <c r="D385" s="86" t="str">
        <f>VLOOKUP(C385,'Talente &amp; Stuff'!CL:DM,2,FALSE)</f>
        <v>--/--/--</v>
      </c>
      <c r="E385" s="125" t="str">
        <f>VLOOKUP(C385,'Talente &amp; Stuff'!CL:DM,3,FALSE)</f>
        <v>-</v>
      </c>
      <c r="F385" s="113">
        <f>VLOOKUP(C385,'Talente &amp; Stuff'!CL:DM,4,FALSE)</f>
        <v>0</v>
      </c>
      <c r="G385" s="113">
        <f>VLOOKUP(C385,'Talente &amp; Stuff'!CL:DM,5,FALSE)</f>
        <v>0</v>
      </c>
      <c r="H385" s="113">
        <f>VLOOKUP(C385,'Talente &amp; Stuff'!CL:DM,6,FALSE)</f>
        <v>0</v>
      </c>
      <c r="I385" s="113">
        <f>VLOOKUP(C385,'Talente &amp; Stuff'!CL:DM,7,FALSE)</f>
        <v>0</v>
      </c>
      <c r="J385" s="113">
        <f>VLOOKUP(C385,'Talente &amp; Stuff'!CL:DM,8,FALSE)</f>
        <v>0</v>
      </c>
      <c r="K385" s="113">
        <f>VLOOKUP(C385,'Talente &amp; Stuff'!CL:DM,9,FALSE)</f>
        <v>0</v>
      </c>
      <c r="L385" s="113">
        <f>VLOOKUP(C385,'Talente &amp; Stuff'!CL:DM,10,FALSE)</f>
        <v>0</v>
      </c>
      <c r="M385" s="113">
        <f>VLOOKUP(C385,'Talente &amp; Stuff'!CL:DM,11,FALSE)</f>
        <v>0</v>
      </c>
      <c r="N385" s="89">
        <f>VLOOKUP(C385,'Talente &amp; Stuff'!CL:DM,12,FALSE)</f>
        <v>0</v>
      </c>
      <c r="O385" s="47">
        <f>VLOOKUP(C385,'Talente &amp; Stuff'!CL:DM,13,FALSE)</f>
        <v>0</v>
      </c>
      <c r="P385" s="119">
        <f>VLOOKUP(C385,'Talente &amp; Stuff'!CL:DM,14,FALSE)</f>
        <v>0</v>
      </c>
      <c r="Q385" s="113">
        <f>VLOOKUP(C385,'Talente &amp; Stuff'!CL:DM,15,FALSE)</f>
        <v>0</v>
      </c>
      <c r="R385" s="113">
        <f>VLOOKUP(C385,'Talente &amp; Stuff'!CL:DM,16,FALSE)</f>
        <v>0</v>
      </c>
      <c r="S385" s="113">
        <f>VLOOKUP(C385,'Talente &amp; Stuff'!CL:DM,17,FALSE)</f>
        <v>0</v>
      </c>
      <c r="T385" s="160">
        <f>VLOOKUP(C385,'Talente &amp; Stuff'!CL:DM,18,FALSE)</f>
        <v>0</v>
      </c>
      <c r="U385" s="47">
        <f>VLOOKUP(C385,'Talente &amp; Stuff'!CL:DM,19,FALSE)</f>
        <v>0</v>
      </c>
      <c r="V385" s="47">
        <f>VLOOKUP(C385,'Talente &amp; Stuff'!CL:DM,20,FALSE)</f>
        <v>0</v>
      </c>
      <c r="W385" s="47">
        <f>VLOOKUP(C385,'Talente &amp; Stuff'!CL:DM,21,FALSE)</f>
        <v>0</v>
      </c>
      <c r="X385" s="125">
        <f>VLOOKUP(C385,'Talente &amp; Stuff'!CL:DM,22,FALSE)</f>
        <v>0</v>
      </c>
      <c r="Y385" s="165">
        <f t="shared" si="28"/>
        <v>0</v>
      </c>
      <c r="Z385" s="44">
        <f t="shared" si="29"/>
        <v>0</v>
      </c>
      <c r="AA385" s="125">
        <f>VLOOKUP(C385,'Talente &amp; Stuff'!CL:DM,25,FALSE)</f>
        <v>0</v>
      </c>
      <c r="AB385" s="160">
        <f>VLOOKUP(C385,'Talente &amp; Stuff'!CL:DM,26,FALSE)</f>
        <v>0</v>
      </c>
      <c r="AC385" s="127">
        <f>VLOOKUP(C385,'Talente &amp; Stuff'!CL:DM,27,FALSE)</f>
        <v>0</v>
      </c>
      <c r="AD385" s="125">
        <f>VLOOKUP(C385,'Talente &amp; Stuff'!CL:DM,28,FALSE)</f>
        <v>0</v>
      </c>
      <c r="AE385" s="28"/>
    </row>
    <row r="386" spans="1:31" ht="15" hidden="1" customHeight="1" outlineLevel="2">
      <c r="B386" s="148">
        <v>11</v>
      </c>
      <c r="C386" s="177" t="str">
        <f>Attribute!C386</f>
        <v>---</v>
      </c>
      <c r="D386" s="87" t="str">
        <f>VLOOKUP(C386,'Talente &amp; Stuff'!CL:DM,2,FALSE)</f>
        <v>--/--/--</v>
      </c>
      <c r="E386" s="159" t="str">
        <f>VLOOKUP(C386,'Talente &amp; Stuff'!CL:DM,3,FALSE)</f>
        <v>-</v>
      </c>
      <c r="F386" s="122">
        <f>VLOOKUP(C386,'Talente &amp; Stuff'!CL:DM,4,FALSE)</f>
        <v>0</v>
      </c>
      <c r="G386" s="122">
        <f>VLOOKUP(C386,'Talente &amp; Stuff'!CL:DM,5,FALSE)</f>
        <v>0</v>
      </c>
      <c r="H386" s="122">
        <f>VLOOKUP(C386,'Talente &amp; Stuff'!CL:DM,6,FALSE)</f>
        <v>0</v>
      </c>
      <c r="I386" s="122">
        <f>VLOOKUP(C386,'Talente &amp; Stuff'!CL:DM,7,FALSE)</f>
        <v>0</v>
      </c>
      <c r="J386" s="122">
        <f>VLOOKUP(C386,'Talente &amp; Stuff'!CL:DM,8,FALSE)</f>
        <v>0</v>
      </c>
      <c r="K386" s="122">
        <f>VLOOKUP(C386,'Talente &amp; Stuff'!CL:DM,9,FALSE)</f>
        <v>0</v>
      </c>
      <c r="L386" s="122">
        <f>VLOOKUP(C386,'Talente &amp; Stuff'!CL:DM,10,FALSE)</f>
        <v>0</v>
      </c>
      <c r="M386" s="122">
        <f>VLOOKUP(C386,'Talente &amp; Stuff'!CL:DM,11,FALSE)</f>
        <v>0</v>
      </c>
      <c r="N386" s="90">
        <f>VLOOKUP(C386,'Talente &amp; Stuff'!CL:DM,12,FALSE)</f>
        <v>0</v>
      </c>
      <c r="O386" s="88">
        <f>VLOOKUP(C386,'Talente &amp; Stuff'!CL:DM,13,FALSE)</f>
        <v>0</v>
      </c>
      <c r="P386" s="123">
        <f>VLOOKUP(C386,'Talente &amp; Stuff'!CL:DM,14,FALSE)</f>
        <v>0</v>
      </c>
      <c r="Q386" s="122">
        <f>VLOOKUP(C386,'Talente &amp; Stuff'!CL:DM,15,FALSE)</f>
        <v>0</v>
      </c>
      <c r="R386" s="122">
        <f>VLOOKUP(C386,'Talente &amp; Stuff'!CL:DM,16,FALSE)</f>
        <v>0</v>
      </c>
      <c r="S386" s="122">
        <f>VLOOKUP(C386,'Talente &amp; Stuff'!CL:DM,17,FALSE)</f>
        <v>0</v>
      </c>
      <c r="T386" s="161">
        <f>VLOOKUP(C386,'Talente &amp; Stuff'!CL:DM,18,FALSE)</f>
        <v>0</v>
      </c>
      <c r="U386" s="88">
        <f>VLOOKUP(C386,'Talente &amp; Stuff'!CL:DM,19,FALSE)</f>
        <v>0</v>
      </c>
      <c r="V386" s="88">
        <f>VLOOKUP(C386,'Talente &amp; Stuff'!CL:DM,20,FALSE)</f>
        <v>0</v>
      </c>
      <c r="W386" s="88">
        <f>VLOOKUP(C386,'Talente &amp; Stuff'!CL:DM,21,FALSE)</f>
        <v>0</v>
      </c>
      <c r="X386" s="159">
        <f>VLOOKUP(C386,'Talente &amp; Stuff'!CL:DM,22,FALSE)</f>
        <v>0</v>
      </c>
      <c r="Y386" s="165">
        <f t="shared" si="28"/>
        <v>0</v>
      </c>
      <c r="Z386" s="44">
        <f t="shared" si="29"/>
        <v>0</v>
      </c>
      <c r="AA386" s="159">
        <f>VLOOKUP(C386,'Talente &amp; Stuff'!CL:DM,25,FALSE)</f>
        <v>0</v>
      </c>
      <c r="AB386" s="161">
        <f>VLOOKUP(C386,'Talente &amp; Stuff'!CL:DM,26,FALSE)</f>
        <v>0</v>
      </c>
      <c r="AC386" s="128">
        <f>VLOOKUP(C386,'Talente &amp; Stuff'!CL:DM,27,FALSE)</f>
        <v>0</v>
      </c>
      <c r="AD386" s="159">
        <f>VLOOKUP(C386,'Talente &amp; Stuff'!CL:DM,28,FALSE)</f>
        <v>0</v>
      </c>
      <c r="AE386" s="28"/>
    </row>
    <row r="387" spans="1:31" ht="15" hidden="1" customHeight="1" outlineLevel="1" collapsed="1">
      <c r="B387" s="134" t="s">
        <v>328</v>
      </c>
      <c r="C387" s="83"/>
      <c r="D387" s="84"/>
      <c r="E387" s="84"/>
    </row>
    <row r="388" spans="1:31" ht="15" hidden="1" customHeight="1" outlineLevel="2">
      <c r="B388" s="148">
        <v>1</v>
      </c>
      <c r="C388" s="176" t="str">
        <f>Attribute!C388</f>
        <v>---</v>
      </c>
      <c r="D388" s="85" t="str">
        <f>VLOOKUP(C388,'Talente &amp; Stuff'!CL:DM,2,FALSE)</f>
        <v>--/--/--</v>
      </c>
      <c r="E388" s="158" t="str">
        <f>VLOOKUP(C388,'Talente &amp; Stuff'!CL:DM,3,FALSE)</f>
        <v>-</v>
      </c>
      <c r="F388" s="118">
        <f>VLOOKUP(C388,'Talente &amp; Stuff'!CL:DM,4,FALSE)</f>
        <v>0</v>
      </c>
      <c r="G388" s="118">
        <f>VLOOKUP(C388,'Talente &amp; Stuff'!CL:DM,5,FALSE)</f>
        <v>0</v>
      </c>
      <c r="H388" s="118">
        <f>VLOOKUP(C388,'Talente &amp; Stuff'!CL:DM,6,FALSE)</f>
        <v>0</v>
      </c>
      <c r="I388" s="118">
        <f>VLOOKUP(C388,'Talente &amp; Stuff'!CL:DM,7,FALSE)</f>
        <v>0</v>
      </c>
      <c r="J388" s="118">
        <f>VLOOKUP(C388,'Talente &amp; Stuff'!CL:DM,8,FALSE)</f>
        <v>0</v>
      </c>
      <c r="K388" s="118">
        <f>VLOOKUP(C388,'Talente &amp; Stuff'!CL:DM,9,FALSE)</f>
        <v>0</v>
      </c>
      <c r="L388" s="118">
        <f>VLOOKUP(C388,'Talente &amp; Stuff'!CL:DM,10,FALSE)</f>
        <v>0</v>
      </c>
      <c r="M388" s="118">
        <f>VLOOKUP(C388,'Talente &amp; Stuff'!CL:DM,11,FALSE)</f>
        <v>0</v>
      </c>
      <c r="N388" s="193">
        <f>VLOOKUP(C388,'Talente &amp; Stuff'!CL:DM,12,FALSE)</f>
        <v>0</v>
      </c>
      <c r="O388" s="116">
        <f>VLOOKUP(C388,'Talente &amp; Stuff'!CL:DM,13,FALSE)</f>
        <v>0</v>
      </c>
      <c r="P388" s="92">
        <f>VLOOKUP(C388,'Talente &amp; Stuff'!CL:DM,14,FALSE)</f>
        <v>0</v>
      </c>
      <c r="Q388" s="118">
        <f>VLOOKUP(C388,'Talente &amp; Stuff'!CL:DM,15,FALSE)</f>
        <v>0</v>
      </c>
      <c r="R388" s="118">
        <f>VLOOKUP(C388,'Talente &amp; Stuff'!CL:DM,16,FALSE)</f>
        <v>0</v>
      </c>
      <c r="S388" s="118">
        <f>VLOOKUP(C388,'Talente &amp; Stuff'!CL:DM,17,FALSE)</f>
        <v>0</v>
      </c>
      <c r="T388" s="91">
        <f>VLOOKUP(C388,'Talente &amp; Stuff'!CL:DM,18,FALSE)</f>
        <v>0</v>
      </c>
      <c r="U388" s="116">
        <f>VLOOKUP(C388,'Talente &amp; Stuff'!CL:DM,19,FALSE)</f>
        <v>0</v>
      </c>
      <c r="V388" s="116">
        <f>VLOOKUP(C388,'Talente &amp; Stuff'!CL:DM,20,FALSE)</f>
        <v>0</v>
      </c>
      <c r="W388" s="116">
        <f>VLOOKUP(C388,'Talente &amp; Stuff'!CL:DM,21,FALSE)</f>
        <v>0</v>
      </c>
      <c r="X388" s="158">
        <f>VLOOKUP(C388,'Talente &amp; Stuff'!CL:DM,22,FALSE)</f>
        <v>0</v>
      </c>
      <c r="Y388" s="165">
        <f>VLOOKUP(C388,Ausgewählte_Rituale_Hexen,110,FALSE)</f>
        <v>0</v>
      </c>
      <c r="Z388" s="44">
        <f>VLOOKUP(C388,Ausgewählte_Rituale_Hexen,111,FALSE)</f>
        <v>0</v>
      </c>
      <c r="AA388" s="158">
        <f>VLOOKUP(C388,'Talente &amp; Stuff'!CL:DM,25,FALSE)</f>
        <v>0</v>
      </c>
      <c r="AB388" s="91">
        <f>VLOOKUP(C388,'Talente &amp; Stuff'!CL:DM,26,FALSE)</f>
        <v>0</v>
      </c>
      <c r="AC388" s="126">
        <f>VLOOKUP(C388,'Talente &amp; Stuff'!CL:DM,27,FALSE)</f>
        <v>0</v>
      </c>
      <c r="AD388" s="158">
        <f>VLOOKUP(C388,'Talente &amp; Stuff'!CL:DM,28,FALSE)</f>
        <v>0</v>
      </c>
      <c r="AE388" s="28"/>
    </row>
    <row r="389" spans="1:31" ht="15" hidden="1" customHeight="1" outlineLevel="2">
      <c r="B389" s="148">
        <v>2</v>
      </c>
      <c r="C389" s="178" t="str">
        <f>Attribute!C389</f>
        <v>---</v>
      </c>
      <c r="D389" s="87" t="str">
        <f>VLOOKUP(C389,'Talente &amp; Stuff'!CL:DM,2,FALSE)</f>
        <v>--/--/--</v>
      </c>
      <c r="E389" s="159" t="str">
        <f>VLOOKUP(C389,'Talente &amp; Stuff'!CL:DM,3,FALSE)</f>
        <v>-</v>
      </c>
      <c r="F389" s="122">
        <f>VLOOKUP(C389,'Talente &amp; Stuff'!CL:DM,4,FALSE)</f>
        <v>0</v>
      </c>
      <c r="G389" s="122">
        <f>VLOOKUP(C389,'Talente &amp; Stuff'!CL:DM,5,FALSE)</f>
        <v>0</v>
      </c>
      <c r="H389" s="122">
        <f>VLOOKUP(C389,'Talente &amp; Stuff'!CL:DM,6,FALSE)</f>
        <v>0</v>
      </c>
      <c r="I389" s="122">
        <f>VLOOKUP(C389,'Talente &amp; Stuff'!CL:DM,7,FALSE)</f>
        <v>0</v>
      </c>
      <c r="J389" s="122">
        <f>VLOOKUP(C389,'Talente &amp; Stuff'!CL:DM,8,FALSE)</f>
        <v>0</v>
      </c>
      <c r="K389" s="122">
        <f>VLOOKUP(C389,'Talente &amp; Stuff'!CL:DM,9,FALSE)</f>
        <v>0</v>
      </c>
      <c r="L389" s="122">
        <f>VLOOKUP(C389,'Talente &amp; Stuff'!CL:DM,10,FALSE)</f>
        <v>0</v>
      </c>
      <c r="M389" s="122">
        <f>VLOOKUP(C389,'Talente &amp; Stuff'!CL:DM,11,FALSE)</f>
        <v>0</v>
      </c>
      <c r="N389" s="90">
        <f>VLOOKUP(C389,'Talente &amp; Stuff'!CL:DM,12,FALSE)</f>
        <v>0</v>
      </c>
      <c r="O389" s="88">
        <f>VLOOKUP(C389,'Talente &amp; Stuff'!CL:DM,13,FALSE)</f>
        <v>0</v>
      </c>
      <c r="P389" s="123">
        <f>VLOOKUP(C389,'Talente &amp; Stuff'!CL:DM,14,FALSE)</f>
        <v>0</v>
      </c>
      <c r="Q389" s="122">
        <f>VLOOKUP(C389,'Talente &amp; Stuff'!CL:DM,15,FALSE)</f>
        <v>0</v>
      </c>
      <c r="R389" s="122">
        <f>VLOOKUP(C389,'Talente &amp; Stuff'!CL:DM,16,FALSE)</f>
        <v>0</v>
      </c>
      <c r="S389" s="122">
        <f>VLOOKUP(C389,'Talente &amp; Stuff'!CL:DM,17,FALSE)</f>
        <v>0</v>
      </c>
      <c r="T389" s="161">
        <f>VLOOKUP(C389,'Talente &amp; Stuff'!CL:DM,18,FALSE)</f>
        <v>0</v>
      </c>
      <c r="U389" s="88">
        <f>VLOOKUP(C389,'Talente &amp; Stuff'!CL:DM,19,FALSE)</f>
        <v>0</v>
      </c>
      <c r="V389" s="88">
        <f>VLOOKUP(C389,'Talente &amp; Stuff'!CL:DM,20,FALSE)</f>
        <v>0</v>
      </c>
      <c r="W389" s="88">
        <f>VLOOKUP(C389,'Talente &amp; Stuff'!CL:DM,21,FALSE)</f>
        <v>0</v>
      </c>
      <c r="X389" s="159">
        <f>VLOOKUP(C389,'Talente &amp; Stuff'!CL:DM,22,FALSE)</f>
        <v>0</v>
      </c>
      <c r="Y389" s="165">
        <f>VLOOKUP(C389,Ausgewählte_Rituale_Hexen,110,FALSE)</f>
        <v>0</v>
      </c>
      <c r="Z389" s="44">
        <f>VLOOKUP(C389,Ausgewählte_Rituale_Hexen,111,FALSE)</f>
        <v>0</v>
      </c>
      <c r="AA389" s="159">
        <f>VLOOKUP(C389,'Talente &amp; Stuff'!CL:DM,25,FALSE)</f>
        <v>0</v>
      </c>
      <c r="AB389" s="161">
        <f>VLOOKUP(C389,'Talente &amp; Stuff'!CL:DM,26,FALSE)</f>
        <v>0</v>
      </c>
      <c r="AC389" s="128">
        <f>VLOOKUP(C389,'Talente &amp; Stuff'!CL:DM,27,FALSE)</f>
        <v>0</v>
      </c>
      <c r="AD389" s="159">
        <f>VLOOKUP(C389,'Talente &amp; Stuff'!CL:DM,28,FALSE)</f>
        <v>0</v>
      </c>
      <c r="AE389" s="28"/>
    </row>
    <row r="390" spans="1:31" ht="15" hidden="1" customHeight="1" outlineLevel="1" collapsed="1">
      <c r="B390" s="134" t="s">
        <v>407</v>
      </c>
      <c r="C390" s="83"/>
      <c r="D390" s="84"/>
      <c r="E390" s="84"/>
    </row>
    <row r="391" spans="1:31" ht="15" hidden="1" customHeight="1" outlineLevel="2">
      <c r="B391" s="148">
        <v>1</v>
      </c>
      <c r="C391" s="176" t="str">
        <f>Attribute!C391</f>
        <v>---</v>
      </c>
      <c r="D391" s="186" t="str">
        <f>VLOOKUP(C391,'Talente &amp; Stuff'!CL:DM,2,FALSE)</f>
        <v>--/--/--</v>
      </c>
      <c r="E391" s="40" t="str">
        <f>VLOOKUP(C391,'Talente &amp; Stuff'!CL:DM,3,FALSE)</f>
        <v>-</v>
      </c>
      <c r="F391" s="183">
        <f>VLOOKUP(C391,'Talente &amp; Stuff'!CL:DM,4,FALSE)</f>
        <v>0</v>
      </c>
      <c r="G391" s="183">
        <f>VLOOKUP(C391,'Talente &amp; Stuff'!CL:DM,5,FALSE)</f>
        <v>0</v>
      </c>
      <c r="H391" s="183">
        <f>VLOOKUP(C391,'Talente &amp; Stuff'!CL:DM,6,FALSE)</f>
        <v>0</v>
      </c>
      <c r="I391" s="183">
        <f>VLOOKUP(C391,'Talente &amp; Stuff'!CL:DM,7,FALSE)</f>
        <v>0</v>
      </c>
      <c r="J391" s="183">
        <f>VLOOKUP(C391,'Talente &amp; Stuff'!CL:DM,8,FALSE)</f>
        <v>0</v>
      </c>
      <c r="K391" s="183">
        <f>VLOOKUP(C391,'Talente &amp; Stuff'!CL:DM,9,FALSE)</f>
        <v>0</v>
      </c>
      <c r="L391" s="183">
        <f>VLOOKUP(C391,'Talente &amp; Stuff'!CL:DM,10,FALSE)</f>
        <v>0</v>
      </c>
      <c r="M391" s="183">
        <f>VLOOKUP(C391,'Talente &amp; Stuff'!CL:DM,11,FALSE)</f>
        <v>0</v>
      </c>
      <c r="N391" s="166">
        <f>VLOOKUP(C391,'Talente &amp; Stuff'!CL:DM,12,FALSE)</f>
        <v>0</v>
      </c>
      <c r="O391" s="179">
        <f>VLOOKUP(C391,'Talente &amp; Stuff'!CL:DM,13,FALSE)</f>
        <v>0</v>
      </c>
      <c r="P391" s="180">
        <f>VLOOKUP(C391,'Talente &amp; Stuff'!CL:DM,14,FALSE)</f>
        <v>0</v>
      </c>
      <c r="Q391" s="183">
        <f>VLOOKUP(C391,'Talente &amp; Stuff'!CL:DM,15,FALSE)</f>
        <v>0</v>
      </c>
      <c r="R391" s="183">
        <f>VLOOKUP(C391,'Talente &amp; Stuff'!CL:DM,16,FALSE)</f>
        <v>0</v>
      </c>
      <c r="S391" s="183">
        <f>VLOOKUP(C391,'Talente &amp; Stuff'!CL:DM,17,FALSE)</f>
        <v>0</v>
      </c>
      <c r="T391" s="189">
        <f>VLOOKUP(C391,'Talente &amp; Stuff'!CL:DM,18,FALSE)</f>
        <v>0</v>
      </c>
      <c r="U391" s="179">
        <f>VLOOKUP(C391,'Talente &amp; Stuff'!CL:DM,19,FALSE)</f>
        <v>0</v>
      </c>
      <c r="V391" s="179">
        <f>VLOOKUP(C391,'Talente &amp; Stuff'!CL:DM,20,FALSE)</f>
        <v>0</v>
      </c>
      <c r="W391" s="179">
        <f>VLOOKUP(C391,'Talente &amp; Stuff'!CL:DM,21,FALSE)</f>
        <v>0</v>
      </c>
      <c r="X391" s="40">
        <f>VLOOKUP(C391,'Talente &amp; Stuff'!CL:DM,22,FALSE)</f>
        <v>0</v>
      </c>
      <c r="Y391" s="165">
        <f>VLOOKUP(C391,Ausgewählte_Rituale_Kristallomanten,110,FALSE)</f>
        <v>0</v>
      </c>
      <c r="Z391" s="44">
        <f>VLOOKUP(C391,Ausgewählte_Rituale_Kristallomanten,111,FALSE)</f>
        <v>0</v>
      </c>
      <c r="AA391" s="40">
        <f>VLOOKUP(C391,'Talente &amp; Stuff'!CL:DM,25,FALSE)</f>
        <v>0</v>
      </c>
      <c r="AB391" s="189">
        <f>VLOOKUP(C391,'Talente &amp; Stuff'!CL:DM,26,FALSE)</f>
        <v>0</v>
      </c>
      <c r="AC391" s="182">
        <f>VLOOKUP(C391,'Talente &amp; Stuff'!CL:DM,27,FALSE)</f>
        <v>0</v>
      </c>
      <c r="AD391" s="40">
        <f>VLOOKUP(C391,'Talente &amp; Stuff'!CL:DM,28,FALSE)</f>
        <v>0</v>
      </c>
      <c r="AE391" s="28"/>
    </row>
    <row r="392" spans="1:31" ht="15" hidden="1" customHeight="1" outlineLevel="1" collapsed="1">
      <c r="B392" s="134" t="s">
        <v>408</v>
      </c>
      <c r="C392" s="83"/>
      <c r="D392" s="84"/>
      <c r="E392" s="84"/>
    </row>
    <row r="393" spans="1:31" ht="15" hidden="1" customHeight="1" outlineLevel="2">
      <c r="B393" s="148">
        <v>1</v>
      </c>
      <c r="C393" s="176" t="str">
        <f>Attribute!C393</f>
        <v>---</v>
      </c>
      <c r="D393" s="85" t="str">
        <f>VLOOKUP(C393,'Talente &amp; Stuff'!CL:DM,2,FALSE)</f>
        <v>--/--/--</v>
      </c>
      <c r="E393" s="193" t="str">
        <f>VLOOKUP(C393,'Talente &amp; Stuff'!CL:DM,3,FALSE)</f>
        <v>-</v>
      </c>
      <c r="F393" s="191">
        <f>VLOOKUP(C393,'Talente &amp; Stuff'!CL:DM,4,FALSE)</f>
        <v>0</v>
      </c>
      <c r="G393" s="118">
        <f>VLOOKUP(C393,'Talente &amp; Stuff'!CL:DM,5,FALSE)</f>
        <v>0</v>
      </c>
      <c r="H393" s="118">
        <f>VLOOKUP(C393,'Talente &amp; Stuff'!CL:DM,6,FALSE)</f>
        <v>0</v>
      </c>
      <c r="I393" s="118">
        <f>VLOOKUP(C393,'Talente &amp; Stuff'!CL:DM,7,FALSE)</f>
        <v>0</v>
      </c>
      <c r="J393" s="118">
        <f>VLOOKUP(C393,'Talente &amp; Stuff'!CL:DM,8,FALSE)</f>
        <v>0</v>
      </c>
      <c r="K393" s="118">
        <f>VLOOKUP(C393,'Talente &amp; Stuff'!CL:DM,9,FALSE)</f>
        <v>0</v>
      </c>
      <c r="L393" s="118">
        <f>VLOOKUP(C393,'Talente &amp; Stuff'!CL:DM,10,FALSE)</f>
        <v>0</v>
      </c>
      <c r="M393" s="92">
        <f>VLOOKUP(C393,'Talente &amp; Stuff'!CL:DM,11,FALSE)</f>
        <v>0</v>
      </c>
      <c r="N393" s="193">
        <f>VLOOKUP(C393,'Talente &amp; Stuff'!CL:DM,12,FALSE)</f>
        <v>0</v>
      </c>
      <c r="O393" s="116">
        <f>VLOOKUP(C393,'Talente &amp; Stuff'!CL:DM,13,FALSE)</f>
        <v>0</v>
      </c>
      <c r="P393" s="92">
        <f>VLOOKUP(C393,'Talente &amp; Stuff'!CL:DM,14,FALSE)</f>
        <v>0</v>
      </c>
      <c r="Q393" s="191">
        <f>VLOOKUP(C393,'Talente &amp; Stuff'!CL:DM,15,FALSE)</f>
        <v>0</v>
      </c>
      <c r="R393" s="118">
        <f>VLOOKUP(C393,'Talente &amp; Stuff'!CL:DM,16,FALSE)</f>
        <v>0</v>
      </c>
      <c r="S393" s="92">
        <f>VLOOKUP(C393,'Talente &amp; Stuff'!CL:DM,17,FALSE)</f>
        <v>0</v>
      </c>
      <c r="T393" s="92">
        <f>VLOOKUP(C393,'Talente &amp; Stuff'!CL:DM,18,FALSE)</f>
        <v>0</v>
      </c>
      <c r="U393" s="193">
        <f>VLOOKUP(C393,'Talente &amp; Stuff'!CL:DM,19,FALSE)</f>
        <v>0</v>
      </c>
      <c r="V393" s="116">
        <f>VLOOKUP(C393,'Talente &amp; Stuff'!CL:DM,20,FALSE)</f>
        <v>0</v>
      </c>
      <c r="W393" s="126">
        <f>VLOOKUP(C393,'Talente &amp; Stuff'!CL:DM,21,FALSE)</f>
        <v>0</v>
      </c>
      <c r="X393" s="158">
        <f>VLOOKUP(C393,'Talente &amp; Stuff'!CL:DM,22,FALSE)</f>
        <v>0</v>
      </c>
      <c r="Y393" s="165">
        <f>VLOOKUP(C393,Ausgewählte_Rituale_Scharlatane,110,FALSE)</f>
        <v>0</v>
      </c>
      <c r="Z393" s="44">
        <f>VLOOKUP(C393,Ausgewählte_Rituale_Scharlatane,111,FALSE)</f>
        <v>0</v>
      </c>
      <c r="AA393" s="158">
        <f>VLOOKUP(C393,'Talente &amp; Stuff'!CL:DM,25,FALSE)</f>
        <v>0</v>
      </c>
      <c r="AB393" s="191">
        <f>VLOOKUP(C393,'Talente &amp; Stuff'!CL:DM,26,FALSE)</f>
        <v>0</v>
      </c>
      <c r="AC393" s="158">
        <f>VLOOKUP(C393,'Talente &amp; Stuff'!CL:DM,27,FALSE)</f>
        <v>0</v>
      </c>
      <c r="AD393" s="158">
        <f>VLOOKUP(C393,'Talente &amp; Stuff'!CL:DM,28,FALSE)</f>
        <v>0</v>
      </c>
      <c r="AE393" s="28"/>
    </row>
    <row r="394" spans="1:31" ht="15" hidden="1" customHeight="1" outlineLevel="2">
      <c r="B394" s="148">
        <v>2</v>
      </c>
      <c r="C394" s="177" t="str">
        <f>Attribute!C394</f>
        <v>---</v>
      </c>
      <c r="D394" s="86" t="str">
        <f>VLOOKUP(C394,'Talente &amp; Stuff'!CL:DM,2,FALSE)</f>
        <v>--/--/--</v>
      </c>
      <c r="E394" s="89" t="str">
        <f>VLOOKUP(C394,'Talente &amp; Stuff'!CL:DM,3,FALSE)</f>
        <v>-</v>
      </c>
      <c r="F394" s="114">
        <f>VLOOKUP(C394,'Talente &amp; Stuff'!CL:DM,4,FALSE)</f>
        <v>0</v>
      </c>
      <c r="G394" s="113">
        <f>VLOOKUP(C394,'Talente &amp; Stuff'!CL:DM,5,FALSE)</f>
        <v>0</v>
      </c>
      <c r="H394" s="113">
        <f>VLOOKUP(C394,'Talente &amp; Stuff'!CL:DM,6,FALSE)</f>
        <v>0</v>
      </c>
      <c r="I394" s="113">
        <f>VLOOKUP(C394,'Talente &amp; Stuff'!CL:DM,7,FALSE)</f>
        <v>0</v>
      </c>
      <c r="J394" s="113">
        <f>VLOOKUP(C394,'Talente &amp; Stuff'!CL:DM,8,FALSE)</f>
        <v>0</v>
      </c>
      <c r="K394" s="113">
        <f>VLOOKUP(C394,'Talente &amp; Stuff'!CL:DM,9,FALSE)</f>
        <v>0</v>
      </c>
      <c r="L394" s="113">
        <f>VLOOKUP(C394,'Talente &amp; Stuff'!CL:DM,10,FALSE)</f>
        <v>0</v>
      </c>
      <c r="M394" s="119">
        <f>VLOOKUP(C394,'Talente &amp; Stuff'!CL:DM,11,FALSE)</f>
        <v>0</v>
      </c>
      <c r="N394" s="89">
        <f>VLOOKUP(C394,'Talente &amp; Stuff'!CL:DM,12,FALSE)</f>
        <v>0</v>
      </c>
      <c r="O394" s="47">
        <f>VLOOKUP(C394,'Talente &amp; Stuff'!CL:DM,13,FALSE)</f>
        <v>0</v>
      </c>
      <c r="P394" s="119">
        <f>VLOOKUP(C394,'Talente &amp; Stuff'!CL:DM,14,FALSE)</f>
        <v>0</v>
      </c>
      <c r="Q394" s="114">
        <f>VLOOKUP(C394,'Talente &amp; Stuff'!CL:DM,15,FALSE)</f>
        <v>0</v>
      </c>
      <c r="R394" s="113">
        <f>VLOOKUP(C394,'Talente &amp; Stuff'!CL:DM,16,FALSE)</f>
        <v>0</v>
      </c>
      <c r="S394" s="119">
        <f>VLOOKUP(C394,'Talente &amp; Stuff'!CL:DM,17,FALSE)</f>
        <v>0</v>
      </c>
      <c r="T394" s="119">
        <f>VLOOKUP(C394,'Talente &amp; Stuff'!CL:DM,18,FALSE)</f>
        <v>0</v>
      </c>
      <c r="U394" s="89">
        <f>VLOOKUP(C394,'Talente &amp; Stuff'!CL:DM,19,FALSE)</f>
        <v>0</v>
      </c>
      <c r="V394" s="47">
        <f>VLOOKUP(C394,'Talente &amp; Stuff'!CL:DM,20,FALSE)</f>
        <v>0</v>
      </c>
      <c r="W394" s="127">
        <f>VLOOKUP(C394,'Talente &amp; Stuff'!CL:DM,21,FALSE)</f>
        <v>0</v>
      </c>
      <c r="X394" s="125">
        <f>VLOOKUP(C394,'Talente &amp; Stuff'!CL:DM,22,FALSE)</f>
        <v>0</v>
      </c>
      <c r="Y394" s="165">
        <f>VLOOKUP(C394,Ausgewählte_Rituale_Scharlatane,110,FALSE)</f>
        <v>0</v>
      </c>
      <c r="Z394" s="44">
        <f>VLOOKUP(C394,Ausgewählte_Rituale_Scharlatane,111,FALSE)</f>
        <v>0</v>
      </c>
      <c r="AA394" s="125">
        <f>VLOOKUP(C394,'Talente &amp; Stuff'!CL:DM,25,FALSE)</f>
        <v>0</v>
      </c>
      <c r="AB394" s="114">
        <f>VLOOKUP(C394,'Talente &amp; Stuff'!CL:DM,26,FALSE)</f>
        <v>0</v>
      </c>
      <c r="AC394" s="125">
        <f>VLOOKUP(C394,'Talente &amp; Stuff'!CL:DM,27,FALSE)</f>
        <v>0</v>
      </c>
      <c r="AD394" s="125">
        <f>VLOOKUP(C394,'Talente &amp; Stuff'!CL:DM,28,FALSE)</f>
        <v>0</v>
      </c>
      <c r="AE394" s="28"/>
    </row>
    <row r="395" spans="1:31" ht="15" hidden="1" customHeight="1" outlineLevel="2">
      <c r="B395" s="148">
        <v>3</v>
      </c>
      <c r="C395" s="177" t="str">
        <f>Attribute!C395</f>
        <v>---</v>
      </c>
      <c r="D395" s="87" t="str">
        <f>VLOOKUP(C395,'Talente &amp; Stuff'!CL:DM,2,FALSE)</f>
        <v>--/--/--</v>
      </c>
      <c r="E395" s="90" t="str">
        <f>VLOOKUP(C395,'Talente &amp; Stuff'!CL:DM,3,FALSE)</f>
        <v>-</v>
      </c>
      <c r="F395" s="115">
        <f>VLOOKUP(C395,'Talente &amp; Stuff'!CL:DM,4,FALSE)</f>
        <v>0</v>
      </c>
      <c r="G395" s="122">
        <f>VLOOKUP(C395,'Talente &amp; Stuff'!CL:DM,5,FALSE)</f>
        <v>0</v>
      </c>
      <c r="H395" s="122">
        <f>VLOOKUP(C395,'Talente &amp; Stuff'!CL:DM,6,FALSE)</f>
        <v>0</v>
      </c>
      <c r="I395" s="122">
        <f>VLOOKUP(C395,'Talente &amp; Stuff'!CL:DM,7,FALSE)</f>
        <v>0</v>
      </c>
      <c r="J395" s="122">
        <f>VLOOKUP(C395,'Talente &amp; Stuff'!CL:DM,8,FALSE)</f>
        <v>0</v>
      </c>
      <c r="K395" s="122">
        <f>VLOOKUP(C395,'Talente &amp; Stuff'!CL:DM,9,FALSE)</f>
        <v>0</v>
      </c>
      <c r="L395" s="122">
        <f>VLOOKUP(C395,'Talente &amp; Stuff'!CL:DM,10,FALSE)</f>
        <v>0</v>
      </c>
      <c r="M395" s="123">
        <f>VLOOKUP(C395,'Talente &amp; Stuff'!CL:DM,11,FALSE)</f>
        <v>0</v>
      </c>
      <c r="N395" s="90">
        <f>VLOOKUP(C395,'Talente &amp; Stuff'!CL:DM,12,FALSE)</f>
        <v>0</v>
      </c>
      <c r="O395" s="88">
        <f>VLOOKUP(C395,'Talente &amp; Stuff'!CL:DM,13,FALSE)</f>
        <v>0</v>
      </c>
      <c r="P395" s="123">
        <f>VLOOKUP(C395,'Talente &amp; Stuff'!CL:DM,14,FALSE)</f>
        <v>0</v>
      </c>
      <c r="Q395" s="115">
        <f>VLOOKUP(C395,'Talente &amp; Stuff'!CL:DM,15,FALSE)</f>
        <v>0</v>
      </c>
      <c r="R395" s="122">
        <f>VLOOKUP(C395,'Talente &amp; Stuff'!CL:DM,16,FALSE)</f>
        <v>0</v>
      </c>
      <c r="S395" s="123">
        <f>VLOOKUP(C395,'Talente &amp; Stuff'!CL:DM,17,FALSE)</f>
        <v>0</v>
      </c>
      <c r="T395" s="123">
        <f>VLOOKUP(C395,'Talente &amp; Stuff'!CL:DM,18,FALSE)</f>
        <v>0</v>
      </c>
      <c r="U395" s="90">
        <f>VLOOKUP(C395,'Talente &amp; Stuff'!CL:DM,19,FALSE)</f>
        <v>0</v>
      </c>
      <c r="V395" s="88">
        <f>VLOOKUP(C395,'Talente &amp; Stuff'!CL:DM,20,FALSE)</f>
        <v>0</v>
      </c>
      <c r="W395" s="128">
        <f>VLOOKUP(C395,'Talente &amp; Stuff'!CL:DM,21,FALSE)</f>
        <v>0</v>
      </c>
      <c r="X395" s="159">
        <f>VLOOKUP(C395,'Talente &amp; Stuff'!CL:DM,22,FALSE)</f>
        <v>0</v>
      </c>
      <c r="Y395" s="165">
        <f>VLOOKUP(C395,Ausgewählte_Rituale_Scharlatane,110,FALSE)</f>
        <v>0</v>
      </c>
      <c r="Z395" s="44">
        <f>VLOOKUP(C395,Ausgewählte_Rituale_Scharlatane,111,FALSE)</f>
        <v>0</v>
      </c>
      <c r="AA395" s="159">
        <f>VLOOKUP(C395,'Talente &amp; Stuff'!CL:DM,25,FALSE)</f>
        <v>0</v>
      </c>
      <c r="AB395" s="115">
        <f>VLOOKUP(C395,'Talente &amp; Stuff'!CL:DM,26,FALSE)</f>
        <v>0</v>
      </c>
      <c r="AC395" s="159">
        <f>VLOOKUP(C395,'Talente &amp; Stuff'!CL:DM,27,FALSE)</f>
        <v>0</v>
      </c>
      <c r="AD395" s="159">
        <f>VLOOKUP(C395,'Talente &amp; Stuff'!CL:DM,28,FALSE)</f>
        <v>0</v>
      </c>
      <c r="AE395" s="28"/>
    </row>
    <row r="396" spans="1:31" ht="15" hidden="1" customHeight="1" outlineLevel="1" collapsed="1"/>
    <row r="397" spans="1:31" ht="15.75" collapsed="1" thickBot="1"/>
    <row r="398" spans="1:31" ht="15.75" thickBot="1">
      <c r="A398" s="135" t="s">
        <v>234</v>
      </c>
    </row>
    <row r="399" spans="1:31" ht="15" hidden="1" customHeight="1" outlineLevel="1">
      <c r="B399" s="134" t="s">
        <v>327</v>
      </c>
    </row>
    <row r="400" spans="1:31" ht="15" hidden="1" customHeight="1" outlineLevel="2">
      <c r="B400" s="148">
        <v>1</v>
      </c>
      <c r="C400" s="176" t="str">
        <f>Attribute!C400</f>
        <v>---</v>
      </c>
      <c r="D400" s="158" t="str">
        <f>VLOOKUP(C400,'Talente &amp; Stuff'!CL:DM,2,FALSE)</f>
        <v>--/--/--</v>
      </c>
      <c r="E400" s="116" t="str">
        <f>VLOOKUP(C400,'Talente &amp; Stuff'!CL:DM,3,FALSE)</f>
        <v>-</v>
      </c>
      <c r="F400" s="191">
        <f>VLOOKUP(C400,'Talente &amp; Stuff'!CL:DM,4,FALSE)</f>
        <v>0</v>
      </c>
      <c r="G400" s="118">
        <f>VLOOKUP(C400,'Talente &amp; Stuff'!CL:DM,5,FALSE)</f>
        <v>0</v>
      </c>
      <c r="H400" s="118">
        <f>VLOOKUP(C400,'Talente &amp; Stuff'!CL:DM,6,FALSE)</f>
        <v>0</v>
      </c>
      <c r="I400" s="118">
        <f>VLOOKUP(C400,'Talente &amp; Stuff'!CL:DM,7,FALSE)</f>
        <v>0</v>
      </c>
      <c r="J400" s="118">
        <f>VLOOKUP(C400,'Talente &amp; Stuff'!CL:DM,8,FALSE)</f>
        <v>0</v>
      </c>
      <c r="K400" s="118">
        <f>VLOOKUP(C400,'Talente &amp; Stuff'!CL:DM,9,FALSE)</f>
        <v>0</v>
      </c>
      <c r="L400" s="118">
        <f>VLOOKUP(C400,'Talente &amp; Stuff'!CL:DM,10,FALSE)</f>
        <v>0</v>
      </c>
      <c r="M400" s="92">
        <f>VLOOKUP(C400,'Talente &amp; Stuff'!CL:DM,11,FALSE)</f>
        <v>0</v>
      </c>
      <c r="N400" s="116">
        <f>VLOOKUP(C400,'Talente &amp; Stuff'!CL:DM,12,FALSE)</f>
        <v>0</v>
      </c>
      <c r="O400" s="116">
        <f>VLOOKUP(C400,'Talente &amp; Stuff'!CL:DM,13,FALSE)</f>
        <v>0</v>
      </c>
      <c r="P400" s="118">
        <f>VLOOKUP(C400,'Talente &amp; Stuff'!CL:DM,14,FALSE)</f>
        <v>0</v>
      </c>
      <c r="Q400" s="191">
        <f>VLOOKUP(C400,'Talente &amp; Stuff'!CL:DM,15,FALSE)</f>
        <v>0</v>
      </c>
      <c r="R400" s="118">
        <f>VLOOKUP(C400,'Talente &amp; Stuff'!CL:DM,16,FALSE)</f>
        <v>0</v>
      </c>
      <c r="S400" s="92">
        <f>VLOOKUP(C400,'Talente &amp; Stuff'!CL:DM,17,FALSE)</f>
        <v>0</v>
      </c>
      <c r="T400" s="91">
        <f>VLOOKUP(C400,'Talente &amp; Stuff'!CL:DM,18,FALSE)</f>
        <v>0</v>
      </c>
      <c r="U400" s="193">
        <f>VLOOKUP(C400,'Talente &amp; Stuff'!CL:DM,19,FALSE)</f>
        <v>0</v>
      </c>
      <c r="V400" s="116">
        <f>VLOOKUP(C400,'Talente &amp; Stuff'!CL:DM,20,FALSE)</f>
        <v>0</v>
      </c>
      <c r="W400" s="126">
        <f>VLOOKUP(C400,'Talente &amp; Stuff'!CL:DM,21,FALSE)</f>
        <v>0</v>
      </c>
      <c r="X400" s="126">
        <f>VLOOKUP(C400,'Talente &amp; Stuff'!CL:DM,22,FALSE)</f>
        <v>0</v>
      </c>
      <c r="Y400" s="165">
        <f>VLOOKUP(C400,Ausgewählte_Liturgien_Allgemein,110,FALSE)</f>
        <v>0</v>
      </c>
      <c r="Z400" s="44">
        <f>VLOOKUP(C400,Ausgewählte_Liturgien_Allgemein,111,FALSE)</f>
        <v>0</v>
      </c>
      <c r="AA400" s="158">
        <f>VLOOKUP(C400,'Talente &amp; Stuff'!CL:DM,25,FALSE)</f>
        <v>0</v>
      </c>
      <c r="AB400" s="91">
        <f>VLOOKUP(C400,'Talente &amp; Stuff'!CL:DM,26,FALSE)</f>
        <v>0</v>
      </c>
      <c r="AC400" s="126">
        <f>VLOOKUP(C400,'Talente &amp; Stuff'!CL:DM,27,FALSE)</f>
        <v>0</v>
      </c>
      <c r="AD400" s="158">
        <f>VLOOKUP(C400,'Talente &amp; Stuff'!CL:DM,28,FALSE)</f>
        <v>0</v>
      </c>
      <c r="AE400" s="28"/>
    </row>
    <row r="401" spans="2:31" ht="15" hidden="1" customHeight="1" outlineLevel="2">
      <c r="B401" s="148">
        <v>2</v>
      </c>
      <c r="C401" s="177" t="str">
        <f>Attribute!C401</f>
        <v>---</v>
      </c>
      <c r="D401" s="125" t="str">
        <f>VLOOKUP(C401,'Talente &amp; Stuff'!CL:DM,2,FALSE)</f>
        <v>--/--/--</v>
      </c>
      <c r="E401" s="47" t="str">
        <f>VLOOKUP(C401,'Talente &amp; Stuff'!CL:DM,3,FALSE)</f>
        <v>-</v>
      </c>
      <c r="F401" s="114">
        <f>VLOOKUP(C401,'Talente &amp; Stuff'!CL:DM,4,FALSE)</f>
        <v>0</v>
      </c>
      <c r="G401" s="113">
        <f>VLOOKUP(C401,'Talente &amp; Stuff'!CL:DM,5,FALSE)</f>
        <v>0</v>
      </c>
      <c r="H401" s="113">
        <f>VLOOKUP(C401,'Talente &amp; Stuff'!CL:DM,6,FALSE)</f>
        <v>0</v>
      </c>
      <c r="I401" s="113">
        <f>VLOOKUP(C401,'Talente &amp; Stuff'!CL:DM,7,FALSE)</f>
        <v>0</v>
      </c>
      <c r="J401" s="113">
        <f>VLOOKUP(C401,'Talente &amp; Stuff'!CL:DM,8,FALSE)</f>
        <v>0</v>
      </c>
      <c r="K401" s="113">
        <f>VLOOKUP(C401,'Talente &amp; Stuff'!CL:DM,9,FALSE)</f>
        <v>0</v>
      </c>
      <c r="L401" s="113">
        <f>VLOOKUP(C401,'Talente &amp; Stuff'!CL:DM,10,FALSE)</f>
        <v>0</v>
      </c>
      <c r="M401" s="119">
        <f>VLOOKUP(C401,'Talente &amp; Stuff'!CL:DM,11,FALSE)</f>
        <v>0</v>
      </c>
      <c r="N401" s="47">
        <f>VLOOKUP(C401,'Talente &amp; Stuff'!CL:DM,12,FALSE)</f>
        <v>0</v>
      </c>
      <c r="O401" s="47">
        <f>VLOOKUP(C401,'Talente &amp; Stuff'!CL:DM,13,FALSE)</f>
        <v>0</v>
      </c>
      <c r="P401" s="113">
        <f>VLOOKUP(C401,'Talente &amp; Stuff'!CL:DM,14,FALSE)</f>
        <v>0</v>
      </c>
      <c r="Q401" s="114">
        <f>VLOOKUP(C401,'Talente &amp; Stuff'!CL:DM,15,FALSE)</f>
        <v>0</v>
      </c>
      <c r="R401" s="113">
        <f>VLOOKUP(C401,'Talente &amp; Stuff'!CL:DM,16,FALSE)</f>
        <v>0</v>
      </c>
      <c r="S401" s="119">
        <f>VLOOKUP(C401,'Talente &amp; Stuff'!CL:DM,17,FALSE)</f>
        <v>0</v>
      </c>
      <c r="T401" s="160">
        <f>VLOOKUP(C401,'Talente &amp; Stuff'!CL:DM,18,FALSE)</f>
        <v>0</v>
      </c>
      <c r="U401" s="89">
        <f>VLOOKUP(C401,'Talente &amp; Stuff'!CL:DM,19,FALSE)</f>
        <v>0</v>
      </c>
      <c r="V401" s="47">
        <f>VLOOKUP(C401,'Talente &amp; Stuff'!CL:DM,20,FALSE)</f>
        <v>0</v>
      </c>
      <c r="W401" s="127">
        <f>VLOOKUP(C401,'Talente &amp; Stuff'!CL:DM,21,FALSE)</f>
        <v>0</v>
      </c>
      <c r="X401" s="127">
        <f>VLOOKUP(C401,'Talente &amp; Stuff'!CL:DM,22,FALSE)</f>
        <v>0</v>
      </c>
      <c r="Y401" s="165">
        <f>VLOOKUP(C401,Ausgewählte_Liturgien_Allgemein,110,FALSE)</f>
        <v>0</v>
      </c>
      <c r="Z401" s="44">
        <f>VLOOKUP(C401,Ausgewählte_Liturgien_Allgemein,111,FALSE)</f>
        <v>0</v>
      </c>
      <c r="AA401" s="125">
        <f>VLOOKUP(C401,'Talente &amp; Stuff'!CL:DM,25,FALSE)</f>
        <v>0</v>
      </c>
      <c r="AB401" s="160">
        <f>VLOOKUP(C401,'Talente &amp; Stuff'!CL:DM,26,FALSE)</f>
        <v>0</v>
      </c>
      <c r="AC401" s="127">
        <f>VLOOKUP(C401,'Talente &amp; Stuff'!CL:DM,27,FALSE)</f>
        <v>0</v>
      </c>
      <c r="AD401" s="125">
        <f>VLOOKUP(C401,'Talente &amp; Stuff'!CL:DM,28,FALSE)</f>
        <v>0</v>
      </c>
      <c r="AE401" s="28"/>
    </row>
    <row r="402" spans="2:31" ht="15" hidden="1" customHeight="1" outlineLevel="2">
      <c r="B402" s="148">
        <v>3</v>
      </c>
      <c r="C402" s="178" t="str">
        <f>Attribute!C402</f>
        <v>---</v>
      </c>
      <c r="D402" s="159" t="str">
        <f>VLOOKUP(C402,'Talente &amp; Stuff'!CL:DM,2,FALSE)</f>
        <v>--/--/--</v>
      </c>
      <c r="E402" s="88" t="str">
        <f>VLOOKUP(C402,'Talente &amp; Stuff'!CL:DM,3,FALSE)</f>
        <v>-</v>
      </c>
      <c r="F402" s="115">
        <f>VLOOKUP(C402,'Talente &amp; Stuff'!CL:DM,4,FALSE)</f>
        <v>0</v>
      </c>
      <c r="G402" s="122">
        <f>VLOOKUP(C402,'Talente &amp; Stuff'!CL:DM,5,FALSE)</f>
        <v>0</v>
      </c>
      <c r="H402" s="122">
        <f>VLOOKUP(C402,'Talente &amp; Stuff'!CL:DM,6,FALSE)</f>
        <v>0</v>
      </c>
      <c r="I402" s="122">
        <f>VLOOKUP(C402,'Talente &amp; Stuff'!CL:DM,7,FALSE)</f>
        <v>0</v>
      </c>
      <c r="J402" s="122">
        <f>VLOOKUP(C402,'Talente &amp; Stuff'!CL:DM,8,FALSE)</f>
        <v>0</v>
      </c>
      <c r="K402" s="122">
        <f>VLOOKUP(C402,'Talente &amp; Stuff'!CL:DM,9,FALSE)</f>
        <v>0</v>
      </c>
      <c r="L402" s="122">
        <f>VLOOKUP(C402,'Talente &amp; Stuff'!CL:DM,10,FALSE)</f>
        <v>0</v>
      </c>
      <c r="M402" s="123">
        <f>VLOOKUP(C402,'Talente &amp; Stuff'!CL:DM,11,FALSE)</f>
        <v>0</v>
      </c>
      <c r="N402" s="88">
        <f>VLOOKUP(C402,'Talente &amp; Stuff'!CL:DM,12,FALSE)</f>
        <v>0</v>
      </c>
      <c r="O402" s="88">
        <f>VLOOKUP(C402,'Talente &amp; Stuff'!CL:DM,13,FALSE)</f>
        <v>0</v>
      </c>
      <c r="P402" s="122">
        <f>VLOOKUP(C402,'Talente &amp; Stuff'!CL:DM,14,FALSE)</f>
        <v>0</v>
      </c>
      <c r="Q402" s="115">
        <f>VLOOKUP(C402,'Talente &amp; Stuff'!CL:DM,15,FALSE)</f>
        <v>0</v>
      </c>
      <c r="R402" s="122">
        <f>VLOOKUP(C402,'Talente &amp; Stuff'!CL:DM,16,FALSE)</f>
        <v>0</v>
      </c>
      <c r="S402" s="123">
        <f>VLOOKUP(C402,'Talente &amp; Stuff'!CL:DM,17,FALSE)</f>
        <v>0</v>
      </c>
      <c r="T402" s="161">
        <f>VLOOKUP(C402,'Talente &amp; Stuff'!CL:DM,18,FALSE)</f>
        <v>0</v>
      </c>
      <c r="U402" s="90">
        <f>VLOOKUP(C402,'Talente &amp; Stuff'!CL:DM,19,FALSE)</f>
        <v>0</v>
      </c>
      <c r="V402" s="88">
        <f>VLOOKUP(C402,'Talente &amp; Stuff'!CL:DM,20,FALSE)</f>
        <v>0</v>
      </c>
      <c r="W402" s="128">
        <f>VLOOKUP(C402,'Talente &amp; Stuff'!CL:DM,21,FALSE)</f>
        <v>0</v>
      </c>
      <c r="X402" s="128">
        <f>VLOOKUP(C402,'Talente &amp; Stuff'!CL:DM,22,FALSE)</f>
        <v>0</v>
      </c>
      <c r="Y402" s="165">
        <f>VLOOKUP(C402,Ausgewählte_Liturgien_Allgemein,110,FALSE)</f>
        <v>0</v>
      </c>
      <c r="Z402" s="44">
        <f>VLOOKUP(C402,Ausgewählte_Liturgien_Allgemein,111,FALSE)</f>
        <v>0</v>
      </c>
      <c r="AA402" s="159">
        <f>VLOOKUP(C402,'Talente &amp; Stuff'!CL:DM,25,FALSE)</f>
        <v>0</v>
      </c>
      <c r="AB402" s="161">
        <f>VLOOKUP(C402,'Talente &amp; Stuff'!CL:DM,26,FALSE)</f>
        <v>0</v>
      </c>
      <c r="AC402" s="128">
        <f>VLOOKUP(C402,'Talente &amp; Stuff'!CL:DM,27,FALSE)</f>
        <v>0</v>
      </c>
      <c r="AD402" s="159">
        <f>VLOOKUP(C402,'Talente &amp; Stuff'!CL:DM,28,FALSE)</f>
        <v>0</v>
      </c>
      <c r="AE402" s="28"/>
    </row>
    <row r="403" spans="2:31" ht="15" hidden="1" customHeight="1" outlineLevel="1" collapsed="1">
      <c r="B403" s="134" t="s">
        <v>326</v>
      </c>
      <c r="C403" s="83"/>
      <c r="D403" s="84"/>
      <c r="E403" s="84"/>
    </row>
    <row r="404" spans="2:31" ht="15" hidden="1" customHeight="1" outlineLevel="2">
      <c r="B404" s="148">
        <v>1</v>
      </c>
      <c r="C404" s="176" t="str">
        <f>Attribute!C404</f>
        <v>---</v>
      </c>
      <c r="D404" s="158" t="str">
        <f>VLOOKUP(C404,'Talente &amp; Stuff'!CL:DM,2,FALSE)</f>
        <v>--/--/--</v>
      </c>
      <c r="E404" s="116" t="str">
        <f>VLOOKUP(C404,'Talente &amp; Stuff'!CL:DM,3,FALSE)</f>
        <v>-</v>
      </c>
      <c r="F404" s="191">
        <f>VLOOKUP(C404,'Talente &amp; Stuff'!CL:DM,4,FALSE)</f>
        <v>0</v>
      </c>
      <c r="G404" s="118">
        <f>VLOOKUP(C404,'Talente &amp; Stuff'!CL:DM,5,FALSE)</f>
        <v>0</v>
      </c>
      <c r="H404" s="118">
        <f>VLOOKUP(C404,'Talente &amp; Stuff'!CL:DM,6,FALSE)</f>
        <v>0</v>
      </c>
      <c r="I404" s="118">
        <f>VLOOKUP(C404,'Talente &amp; Stuff'!CL:DM,7,FALSE)</f>
        <v>0</v>
      </c>
      <c r="J404" s="118">
        <f>VLOOKUP(C404,'Talente &amp; Stuff'!CL:DM,8,FALSE)</f>
        <v>0</v>
      </c>
      <c r="K404" s="118">
        <f>VLOOKUP(C404,'Talente &amp; Stuff'!CL:DM,9,FALSE)</f>
        <v>0</v>
      </c>
      <c r="L404" s="118">
        <f>VLOOKUP(C404,'Talente &amp; Stuff'!CL:DM,10,FALSE)</f>
        <v>0</v>
      </c>
      <c r="M404" s="92">
        <f>VLOOKUP(C404,'Talente &amp; Stuff'!CL:DM,11,FALSE)</f>
        <v>0</v>
      </c>
      <c r="N404" s="116">
        <f>VLOOKUP(C404,'Talente &amp; Stuff'!CL:DM,12,FALSE)</f>
        <v>0</v>
      </c>
      <c r="O404" s="116">
        <f>VLOOKUP(C404,'Talente &amp; Stuff'!CL:DM,13,FALSE)</f>
        <v>0</v>
      </c>
      <c r="P404" s="118">
        <f>VLOOKUP(C404,'Talente &amp; Stuff'!CL:DM,14,FALSE)</f>
        <v>0</v>
      </c>
      <c r="Q404" s="191">
        <f>VLOOKUP(C404,'Talente &amp; Stuff'!CL:DM,15,FALSE)</f>
        <v>0</v>
      </c>
      <c r="R404" s="118">
        <f>VLOOKUP(C404,'Talente &amp; Stuff'!CL:DM,16,FALSE)</f>
        <v>0</v>
      </c>
      <c r="S404" s="92">
        <f>VLOOKUP(C404,'Talente &amp; Stuff'!CL:DM,17,FALSE)</f>
        <v>0</v>
      </c>
      <c r="T404" s="91">
        <f>VLOOKUP(C404,'Talente &amp; Stuff'!CL:DM,18,FALSE)</f>
        <v>0</v>
      </c>
      <c r="U404" s="193">
        <f>VLOOKUP(C404,'Talente &amp; Stuff'!CL:DM,19,FALSE)</f>
        <v>0</v>
      </c>
      <c r="V404" s="116">
        <f>VLOOKUP(C404,'Talente &amp; Stuff'!CL:DM,20,FALSE)</f>
        <v>0</v>
      </c>
      <c r="W404" s="126">
        <f>VLOOKUP(C404,'Talente &amp; Stuff'!CL:DM,21,FALSE)</f>
        <v>0</v>
      </c>
      <c r="X404" s="126">
        <f>VLOOKUP(C404,'Talente &amp; Stuff'!CL:DM,22,FALSE)</f>
        <v>0</v>
      </c>
      <c r="Y404" s="165">
        <f t="shared" ref="Y404:Y409" si="30">VLOOKUP(C404,Ausgewählte_Liturgien_Boron,110,FALSE)</f>
        <v>0</v>
      </c>
      <c r="Z404" s="44">
        <f t="shared" ref="Z404:Z409" si="31">VLOOKUP(C404,Ausgewählte_Liturgien_Boron,111,FALSE)</f>
        <v>0</v>
      </c>
      <c r="AA404" s="158">
        <f>VLOOKUP(C404,'Talente &amp; Stuff'!CL:DM,25,FALSE)</f>
        <v>0</v>
      </c>
      <c r="AB404" s="91">
        <f>VLOOKUP(C404,'Talente &amp; Stuff'!CL:DM,26,FALSE)</f>
        <v>0</v>
      </c>
      <c r="AC404" s="126">
        <f>VLOOKUP(C404,'Talente &amp; Stuff'!CL:DM,27,FALSE)</f>
        <v>0</v>
      </c>
      <c r="AD404" s="158">
        <f>VLOOKUP(C404,'Talente &amp; Stuff'!CL:DM,28,FALSE)</f>
        <v>0</v>
      </c>
      <c r="AE404" s="28"/>
    </row>
    <row r="405" spans="2:31" ht="15" hidden="1" customHeight="1" outlineLevel="2">
      <c r="B405" s="148">
        <v>2</v>
      </c>
      <c r="C405" s="177" t="str">
        <f>Attribute!C405</f>
        <v>---</v>
      </c>
      <c r="D405" s="125" t="str">
        <f>VLOOKUP(C405,'Talente &amp; Stuff'!CL:DM,2,FALSE)</f>
        <v>--/--/--</v>
      </c>
      <c r="E405" s="47" t="str">
        <f>VLOOKUP(C405,'Talente &amp; Stuff'!CL:DM,3,FALSE)</f>
        <v>-</v>
      </c>
      <c r="F405" s="114">
        <f>VLOOKUP(C405,'Talente &amp; Stuff'!CL:DM,4,FALSE)</f>
        <v>0</v>
      </c>
      <c r="G405" s="113">
        <f>VLOOKUP(C405,'Talente &amp; Stuff'!CL:DM,5,FALSE)</f>
        <v>0</v>
      </c>
      <c r="H405" s="113">
        <f>VLOOKUP(C405,'Talente &amp; Stuff'!CL:DM,6,FALSE)</f>
        <v>0</v>
      </c>
      <c r="I405" s="113">
        <f>VLOOKUP(C405,'Talente &amp; Stuff'!CL:DM,7,FALSE)</f>
        <v>0</v>
      </c>
      <c r="J405" s="113">
        <f>VLOOKUP(C405,'Talente &amp; Stuff'!CL:DM,8,FALSE)</f>
        <v>0</v>
      </c>
      <c r="K405" s="113">
        <f>VLOOKUP(C405,'Talente &amp; Stuff'!CL:DM,9,FALSE)</f>
        <v>0</v>
      </c>
      <c r="L405" s="113">
        <f>VLOOKUP(C405,'Talente &amp; Stuff'!CL:DM,10,FALSE)</f>
        <v>0</v>
      </c>
      <c r="M405" s="119">
        <f>VLOOKUP(C405,'Talente &amp; Stuff'!CL:DM,11,FALSE)</f>
        <v>0</v>
      </c>
      <c r="N405" s="47">
        <f>VLOOKUP(C405,'Talente &amp; Stuff'!CL:DM,12,FALSE)</f>
        <v>0</v>
      </c>
      <c r="O405" s="47">
        <f>VLOOKUP(C405,'Talente &amp; Stuff'!CL:DM,13,FALSE)</f>
        <v>0</v>
      </c>
      <c r="P405" s="113">
        <f>VLOOKUP(C405,'Talente &amp; Stuff'!CL:DM,14,FALSE)</f>
        <v>0</v>
      </c>
      <c r="Q405" s="114">
        <f>VLOOKUP(C405,'Talente &amp; Stuff'!CL:DM,15,FALSE)</f>
        <v>0</v>
      </c>
      <c r="R405" s="113">
        <f>VLOOKUP(C405,'Talente &amp; Stuff'!CL:DM,16,FALSE)</f>
        <v>0</v>
      </c>
      <c r="S405" s="119">
        <f>VLOOKUP(C405,'Talente &amp; Stuff'!CL:DM,17,FALSE)</f>
        <v>0</v>
      </c>
      <c r="T405" s="160">
        <f>VLOOKUP(C405,'Talente &amp; Stuff'!CL:DM,18,FALSE)</f>
        <v>0</v>
      </c>
      <c r="U405" s="89">
        <f>VLOOKUP(C405,'Talente &amp; Stuff'!CL:DM,19,FALSE)</f>
        <v>0</v>
      </c>
      <c r="V405" s="47">
        <f>VLOOKUP(C405,'Talente &amp; Stuff'!CL:DM,20,FALSE)</f>
        <v>0</v>
      </c>
      <c r="W405" s="127">
        <f>VLOOKUP(C405,'Talente &amp; Stuff'!CL:DM,21,FALSE)</f>
        <v>0</v>
      </c>
      <c r="X405" s="127">
        <f>VLOOKUP(C405,'Talente &amp; Stuff'!CL:DM,22,FALSE)</f>
        <v>0</v>
      </c>
      <c r="Y405" s="165">
        <f t="shared" si="30"/>
        <v>0</v>
      </c>
      <c r="Z405" s="44">
        <f t="shared" si="31"/>
        <v>0</v>
      </c>
      <c r="AA405" s="125">
        <f>VLOOKUP(C405,'Talente &amp; Stuff'!CL:DM,25,FALSE)</f>
        <v>0</v>
      </c>
      <c r="AB405" s="160">
        <f>VLOOKUP(C405,'Talente &amp; Stuff'!CL:DM,26,FALSE)</f>
        <v>0</v>
      </c>
      <c r="AC405" s="127">
        <f>VLOOKUP(C405,'Talente &amp; Stuff'!CL:DM,27,FALSE)</f>
        <v>0</v>
      </c>
      <c r="AD405" s="125">
        <f>VLOOKUP(C405,'Talente &amp; Stuff'!CL:DM,28,FALSE)</f>
        <v>0</v>
      </c>
      <c r="AE405" s="28"/>
    </row>
    <row r="406" spans="2:31" ht="15" hidden="1" customHeight="1" outlineLevel="2">
      <c r="B406" s="148">
        <v>3</v>
      </c>
      <c r="C406" s="177" t="str">
        <f>Attribute!C406</f>
        <v>---</v>
      </c>
      <c r="D406" s="125" t="str">
        <f>VLOOKUP(C406,'Talente &amp; Stuff'!CL:DM,2,FALSE)</f>
        <v>--/--/--</v>
      </c>
      <c r="E406" s="47" t="str">
        <f>VLOOKUP(C406,'Talente &amp; Stuff'!CL:DM,3,FALSE)</f>
        <v>-</v>
      </c>
      <c r="F406" s="114">
        <f>VLOOKUP(C406,'Talente &amp; Stuff'!CL:DM,4,FALSE)</f>
        <v>0</v>
      </c>
      <c r="G406" s="113">
        <f>VLOOKUP(C406,'Talente &amp; Stuff'!CL:DM,5,FALSE)</f>
        <v>0</v>
      </c>
      <c r="H406" s="113">
        <f>VLOOKUP(C406,'Talente &amp; Stuff'!CL:DM,6,FALSE)</f>
        <v>0</v>
      </c>
      <c r="I406" s="113">
        <f>VLOOKUP(C406,'Talente &amp; Stuff'!CL:DM,7,FALSE)</f>
        <v>0</v>
      </c>
      <c r="J406" s="113">
        <f>VLOOKUP(C406,'Talente &amp; Stuff'!CL:DM,8,FALSE)</f>
        <v>0</v>
      </c>
      <c r="K406" s="113">
        <f>VLOOKUP(C406,'Talente &amp; Stuff'!CL:DM,9,FALSE)</f>
        <v>0</v>
      </c>
      <c r="L406" s="113">
        <f>VLOOKUP(C406,'Talente &amp; Stuff'!CL:DM,10,FALSE)</f>
        <v>0</v>
      </c>
      <c r="M406" s="119">
        <f>VLOOKUP(C406,'Talente &amp; Stuff'!CL:DM,11,FALSE)</f>
        <v>0</v>
      </c>
      <c r="N406" s="47">
        <f>VLOOKUP(C406,'Talente &amp; Stuff'!CL:DM,12,FALSE)</f>
        <v>0</v>
      </c>
      <c r="O406" s="47">
        <f>VLOOKUP(C406,'Talente &amp; Stuff'!CL:DM,13,FALSE)</f>
        <v>0</v>
      </c>
      <c r="P406" s="113">
        <f>VLOOKUP(C406,'Talente &amp; Stuff'!CL:DM,14,FALSE)</f>
        <v>0</v>
      </c>
      <c r="Q406" s="114">
        <f>VLOOKUP(C406,'Talente &amp; Stuff'!CL:DM,15,FALSE)</f>
        <v>0</v>
      </c>
      <c r="R406" s="113">
        <f>VLOOKUP(C406,'Talente &amp; Stuff'!CL:DM,16,FALSE)</f>
        <v>0</v>
      </c>
      <c r="S406" s="119">
        <f>VLOOKUP(C406,'Talente &amp; Stuff'!CL:DM,17,FALSE)</f>
        <v>0</v>
      </c>
      <c r="T406" s="160">
        <f>VLOOKUP(C406,'Talente &amp; Stuff'!CL:DM,18,FALSE)</f>
        <v>0</v>
      </c>
      <c r="U406" s="89">
        <f>VLOOKUP(C406,'Talente &amp; Stuff'!CL:DM,19,FALSE)</f>
        <v>0</v>
      </c>
      <c r="V406" s="47">
        <f>VLOOKUP(C406,'Talente &amp; Stuff'!CL:DM,20,FALSE)</f>
        <v>0</v>
      </c>
      <c r="W406" s="127">
        <f>VLOOKUP(C406,'Talente &amp; Stuff'!CL:DM,21,FALSE)</f>
        <v>0</v>
      </c>
      <c r="X406" s="127">
        <f>VLOOKUP(C406,'Talente &amp; Stuff'!CL:DM,22,FALSE)</f>
        <v>0</v>
      </c>
      <c r="Y406" s="165">
        <f t="shared" si="30"/>
        <v>0</v>
      </c>
      <c r="Z406" s="44">
        <f t="shared" si="31"/>
        <v>0</v>
      </c>
      <c r="AA406" s="125">
        <f>VLOOKUP(C406,'Talente &amp; Stuff'!CL:DM,25,FALSE)</f>
        <v>0</v>
      </c>
      <c r="AB406" s="160">
        <f>VLOOKUP(C406,'Talente &amp; Stuff'!CL:DM,26,FALSE)</f>
        <v>0</v>
      </c>
      <c r="AC406" s="127">
        <f>VLOOKUP(C406,'Talente &amp; Stuff'!CL:DM,27,FALSE)</f>
        <v>0</v>
      </c>
      <c r="AD406" s="125">
        <f>VLOOKUP(C406,'Talente &amp; Stuff'!CL:DM,28,FALSE)</f>
        <v>0</v>
      </c>
      <c r="AE406" s="28"/>
    </row>
    <row r="407" spans="2:31" ht="15" hidden="1" customHeight="1" outlineLevel="2">
      <c r="B407" s="148">
        <v>4</v>
      </c>
      <c r="C407" s="177" t="str">
        <f>Attribute!C407</f>
        <v>---</v>
      </c>
      <c r="D407" s="125" t="str">
        <f>VLOOKUP(C407,'Talente &amp; Stuff'!CL:DM,2,FALSE)</f>
        <v>--/--/--</v>
      </c>
      <c r="E407" s="47" t="str">
        <f>VLOOKUP(C407,'Talente &amp; Stuff'!CL:DM,3,FALSE)</f>
        <v>-</v>
      </c>
      <c r="F407" s="114">
        <f>VLOOKUP(C407,'Talente &amp; Stuff'!CL:DM,4,FALSE)</f>
        <v>0</v>
      </c>
      <c r="G407" s="113">
        <f>VLOOKUP(C407,'Talente &amp; Stuff'!CL:DM,5,FALSE)</f>
        <v>0</v>
      </c>
      <c r="H407" s="113">
        <f>VLOOKUP(C407,'Talente &amp; Stuff'!CL:DM,6,FALSE)</f>
        <v>0</v>
      </c>
      <c r="I407" s="113">
        <f>VLOOKUP(C407,'Talente &amp; Stuff'!CL:DM,7,FALSE)</f>
        <v>0</v>
      </c>
      <c r="J407" s="113">
        <f>VLOOKUP(C407,'Talente &amp; Stuff'!CL:DM,8,FALSE)</f>
        <v>0</v>
      </c>
      <c r="K407" s="113">
        <f>VLOOKUP(C407,'Talente &amp; Stuff'!CL:DM,9,FALSE)</f>
        <v>0</v>
      </c>
      <c r="L407" s="113">
        <f>VLOOKUP(C407,'Talente &amp; Stuff'!CL:DM,10,FALSE)</f>
        <v>0</v>
      </c>
      <c r="M407" s="119">
        <f>VLOOKUP(C407,'Talente &amp; Stuff'!CL:DM,11,FALSE)</f>
        <v>0</v>
      </c>
      <c r="N407" s="47">
        <f>VLOOKUP(C407,'Talente &amp; Stuff'!CL:DM,12,FALSE)</f>
        <v>0</v>
      </c>
      <c r="O407" s="47">
        <f>VLOOKUP(C407,'Talente &amp; Stuff'!CL:DM,13,FALSE)</f>
        <v>0</v>
      </c>
      <c r="P407" s="113">
        <f>VLOOKUP(C407,'Talente &amp; Stuff'!CL:DM,14,FALSE)</f>
        <v>0</v>
      </c>
      <c r="Q407" s="114">
        <f>VLOOKUP(C407,'Talente &amp; Stuff'!CL:DM,15,FALSE)</f>
        <v>0</v>
      </c>
      <c r="R407" s="113">
        <f>VLOOKUP(C407,'Talente &amp; Stuff'!CL:DM,16,FALSE)</f>
        <v>0</v>
      </c>
      <c r="S407" s="119">
        <f>VLOOKUP(C407,'Talente &amp; Stuff'!CL:DM,17,FALSE)</f>
        <v>0</v>
      </c>
      <c r="T407" s="160">
        <f>VLOOKUP(C407,'Talente &amp; Stuff'!CL:DM,18,FALSE)</f>
        <v>0</v>
      </c>
      <c r="U407" s="89">
        <f>VLOOKUP(C407,'Talente &amp; Stuff'!CL:DM,19,FALSE)</f>
        <v>0</v>
      </c>
      <c r="V407" s="47">
        <f>VLOOKUP(C407,'Talente &amp; Stuff'!CL:DM,20,FALSE)</f>
        <v>0</v>
      </c>
      <c r="W407" s="127">
        <f>VLOOKUP(C407,'Talente &amp; Stuff'!CL:DM,21,FALSE)</f>
        <v>0</v>
      </c>
      <c r="X407" s="127">
        <f>VLOOKUP(C407,'Talente &amp; Stuff'!CL:DM,22,FALSE)</f>
        <v>0</v>
      </c>
      <c r="Y407" s="165">
        <f t="shared" si="30"/>
        <v>0</v>
      </c>
      <c r="Z407" s="44">
        <f t="shared" si="31"/>
        <v>0</v>
      </c>
      <c r="AA407" s="125">
        <f>VLOOKUP(C407,'Talente &amp; Stuff'!CL:DM,25,FALSE)</f>
        <v>0</v>
      </c>
      <c r="AB407" s="160">
        <f>VLOOKUP(C407,'Talente &amp; Stuff'!CL:DM,26,FALSE)</f>
        <v>0</v>
      </c>
      <c r="AC407" s="127">
        <f>VLOOKUP(C407,'Talente &amp; Stuff'!CL:DM,27,FALSE)</f>
        <v>0</v>
      </c>
      <c r="AD407" s="125">
        <f>VLOOKUP(C407,'Talente &amp; Stuff'!CL:DM,28,FALSE)</f>
        <v>0</v>
      </c>
      <c r="AE407" s="28"/>
    </row>
    <row r="408" spans="2:31" ht="15" hidden="1" customHeight="1" outlineLevel="2">
      <c r="B408" s="148">
        <v>5</v>
      </c>
      <c r="C408" s="177" t="str">
        <f>Attribute!C408</f>
        <v>---</v>
      </c>
      <c r="D408" s="125" t="str">
        <f>VLOOKUP(C408,'Talente &amp; Stuff'!CL:DM,2,FALSE)</f>
        <v>--/--/--</v>
      </c>
      <c r="E408" s="47" t="str">
        <f>VLOOKUP(C408,'Talente &amp; Stuff'!CL:DM,3,FALSE)</f>
        <v>-</v>
      </c>
      <c r="F408" s="114">
        <f>VLOOKUP(C408,'Talente &amp; Stuff'!CL:DM,4,FALSE)</f>
        <v>0</v>
      </c>
      <c r="G408" s="113">
        <f>VLOOKUP(C408,'Talente &amp; Stuff'!CL:DM,5,FALSE)</f>
        <v>0</v>
      </c>
      <c r="H408" s="113">
        <f>VLOOKUP(C408,'Talente &amp; Stuff'!CL:DM,6,FALSE)</f>
        <v>0</v>
      </c>
      <c r="I408" s="113">
        <f>VLOOKUP(C408,'Talente &amp; Stuff'!CL:DM,7,FALSE)</f>
        <v>0</v>
      </c>
      <c r="J408" s="113">
        <f>VLOOKUP(C408,'Talente &amp; Stuff'!CL:DM,8,FALSE)</f>
        <v>0</v>
      </c>
      <c r="K408" s="113">
        <f>VLOOKUP(C408,'Talente &amp; Stuff'!CL:DM,9,FALSE)</f>
        <v>0</v>
      </c>
      <c r="L408" s="113">
        <f>VLOOKUP(C408,'Talente &amp; Stuff'!CL:DM,10,FALSE)</f>
        <v>0</v>
      </c>
      <c r="M408" s="119">
        <f>VLOOKUP(C408,'Talente &amp; Stuff'!CL:DM,11,FALSE)</f>
        <v>0</v>
      </c>
      <c r="N408" s="47">
        <f>VLOOKUP(C408,'Talente &amp; Stuff'!CL:DM,12,FALSE)</f>
        <v>0</v>
      </c>
      <c r="O408" s="47">
        <f>VLOOKUP(C408,'Talente &amp; Stuff'!CL:DM,13,FALSE)</f>
        <v>0</v>
      </c>
      <c r="P408" s="113">
        <f>VLOOKUP(C408,'Talente &amp; Stuff'!CL:DM,14,FALSE)</f>
        <v>0</v>
      </c>
      <c r="Q408" s="114">
        <f>VLOOKUP(C408,'Talente &amp; Stuff'!CL:DM,15,FALSE)</f>
        <v>0</v>
      </c>
      <c r="R408" s="113">
        <f>VLOOKUP(C408,'Talente &amp; Stuff'!CL:DM,16,FALSE)</f>
        <v>0</v>
      </c>
      <c r="S408" s="119">
        <f>VLOOKUP(C408,'Talente &amp; Stuff'!CL:DM,17,FALSE)</f>
        <v>0</v>
      </c>
      <c r="T408" s="160">
        <f>VLOOKUP(C408,'Talente &amp; Stuff'!CL:DM,18,FALSE)</f>
        <v>0</v>
      </c>
      <c r="U408" s="89">
        <f>VLOOKUP(C408,'Talente &amp; Stuff'!CL:DM,19,FALSE)</f>
        <v>0</v>
      </c>
      <c r="V408" s="47">
        <f>VLOOKUP(C408,'Talente &amp; Stuff'!CL:DM,20,FALSE)</f>
        <v>0</v>
      </c>
      <c r="W408" s="127">
        <f>VLOOKUP(C408,'Talente &amp; Stuff'!CL:DM,21,FALSE)</f>
        <v>0</v>
      </c>
      <c r="X408" s="127">
        <f>VLOOKUP(C408,'Talente &amp; Stuff'!CL:DM,22,FALSE)</f>
        <v>0</v>
      </c>
      <c r="Y408" s="165">
        <f t="shared" si="30"/>
        <v>0</v>
      </c>
      <c r="Z408" s="44">
        <f t="shared" si="31"/>
        <v>0</v>
      </c>
      <c r="AA408" s="125">
        <f>VLOOKUP(C408,'Talente &amp; Stuff'!CL:DM,25,FALSE)</f>
        <v>0</v>
      </c>
      <c r="AB408" s="160">
        <f>VLOOKUP(C408,'Talente &amp; Stuff'!CL:DM,26,FALSE)</f>
        <v>0</v>
      </c>
      <c r="AC408" s="127">
        <f>VLOOKUP(C408,'Talente &amp; Stuff'!CL:DM,27,FALSE)</f>
        <v>0</v>
      </c>
      <c r="AD408" s="125">
        <f>VLOOKUP(C408,'Talente &amp; Stuff'!CL:DM,28,FALSE)</f>
        <v>0</v>
      </c>
      <c r="AE408" s="28"/>
    </row>
    <row r="409" spans="2:31" ht="15" hidden="1" customHeight="1" outlineLevel="2">
      <c r="B409" s="148">
        <v>6</v>
      </c>
      <c r="C409" s="178" t="str">
        <f>Attribute!C409</f>
        <v>---</v>
      </c>
      <c r="D409" s="159" t="str">
        <f>VLOOKUP(C409,'Talente &amp; Stuff'!CL:DM,2,FALSE)</f>
        <v>--/--/--</v>
      </c>
      <c r="E409" s="88" t="str">
        <f>VLOOKUP(C409,'Talente &amp; Stuff'!CL:DM,3,FALSE)</f>
        <v>-</v>
      </c>
      <c r="F409" s="115">
        <f>VLOOKUP(C409,'Talente &amp; Stuff'!CL:DM,4,FALSE)</f>
        <v>0</v>
      </c>
      <c r="G409" s="122">
        <f>VLOOKUP(C409,'Talente &amp; Stuff'!CL:DM,5,FALSE)</f>
        <v>0</v>
      </c>
      <c r="H409" s="122">
        <f>VLOOKUP(C409,'Talente &amp; Stuff'!CL:DM,6,FALSE)</f>
        <v>0</v>
      </c>
      <c r="I409" s="122">
        <f>VLOOKUP(C409,'Talente &amp; Stuff'!CL:DM,7,FALSE)</f>
        <v>0</v>
      </c>
      <c r="J409" s="122">
        <f>VLOOKUP(C409,'Talente &amp; Stuff'!CL:DM,8,FALSE)</f>
        <v>0</v>
      </c>
      <c r="K409" s="122">
        <f>VLOOKUP(C409,'Talente &amp; Stuff'!CL:DM,9,FALSE)</f>
        <v>0</v>
      </c>
      <c r="L409" s="122">
        <f>VLOOKUP(C409,'Talente &amp; Stuff'!CL:DM,10,FALSE)</f>
        <v>0</v>
      </c>
      <c r="M409" s="123">
        <f>VLOOKUP(C409,'Talente &amp; Stuff'!CL:DM,11,FALSE)</f>
        <v>0</v>
      </c>
      <c r="N409" s="88">
        <f>VLOOKUP(C409,'Talente &amp; Stuff'!CL:DM,12,FALSE)</f>
        <v>0</v>
      </c>
      <c r="O409" s="88">
        <f>VLOOKUP(C409,'Talente &amp; Stuff'!CL:DM,13,FALSE)</f>
        <v>0</v>
      </c>
      <c r="P409" s="122">
        <f>VLOOKUP(C409,'Talente &amp; Stuff'!CL:DM,14,FALSE)</f>
        <v>0</v>
      </c>
      <c r="Q409" s="115">
        <f>VLOOKUP(C409,'Talente &amp; Stuff'!CL:DM,15,FALSE)</f>
        <v>0</v>
      </c>
      <c r="R409" s="122">
        <f>VLOOKUP(C409,'Talente &amp; Stuff'!CL:DM,16,FALSE)</f>
        <v>0</v>
      </c>
      <c r="S409" s="123">
        <f>VLOOKUP(C409,'Talente &amp; Stuff'!CL:DM,17,FALSE)</f>
        <v>0</v>
      </c>
      <c r="T409" s="161">
        <f>VLOOKUP(C409,'Talente &amp; Stuff'!CL:DM,18,FALSE)</f>
        <v>0</v>
      </c>
      <c r="U409" s="90">
        <f>VLOOKUP(C409,'Talente &amp; Stuff'!CL:DM,19,FALSE)</f>
        <v>0</v>
      </c>
      <c r="V409" s="88">
        <f>VLOOKUP(C409,'Talente &amp; Stuff'!CL:DM,20,FALSE)</f>
        <v>0</v>
      </c>
      <c r="W409" s="128">
        <f>VLOOKUP(C409,'Talente &amp; Stuff'!CL:DM,21,FALSE)</f>
        <v>0</v>
      </c>
      <c r="X409" s="128">
        <f>VLOOKUP(C409,'Talente &amp; Stuff'!CL:DM,22,FALSE)</f>
        <v>0</v>
      </c>
      <c r="Y409" s="165">
        <f t="shared" si="30"/>
        <v>0</v>
      </c>
      <c r="Z409" s="44">
        <f t="shared" si="31"/>
        <v>0</v>
      </c>
      <c r="AA409" s="159">
        <f>VLOOKUP(C409,'Talente &amp; Stuff'!CL:DM,25,FALSE)</f>
        <v>0</v>
      </c>
      <c r="AB409" s="161">
        <f>VLOOKUP(C409,'Talente &amp; Stuff'!CL:DM,26,FALSE)</f>
        <v>0</v>
      </c>
      <c r="AC409" s="128">
        <f>VLOOKUP(C409,'Talente &amp; Stuff'!CL:DM,27,FALSE)</f>
        <v>0</v>
      </c>
      <c r="AD409" s="159">
        <f>VLOOKUP(C409,'Talente &amp; Stuff'!CL:DM,28,FALSE)</f>
        <v>0</v>
      </c>
      <c r="AE409" s="28"/>
    </row>
    <row r="410" spans="2:31" ht="15" hidden="1" customHeight="1" outlineLevel="1" collapsed="1">
      <c r="B410" s="134" t="s">
        <v>325</v>
      </c>
      <c r="C410" s="83"/>
      <c r="D410" s="84"/>
      <c r="E410" s="84"/>
    </row>
    <row r="411" spans="2:31" ht="15" hidden="1" customHeight="1" outlineLevel="2">
      <c r="B411" s="148">
        <v>1</v>
      </c>
      <c r="C411" s="176" t="str">
        <f>Attribute!C411</f>
        <v>---</v>
      </c>
      <c r="D411" s="158" t="str">
        <f>VLOOKUP(C411,'Talente &amp; Stuff'!CL:DM,2,FALSE)</f>
        <v>--/--/--</v>
      </c>
      <c r="E411" s="116" t="str">
        <f>VLOOKUP(C411,'Talente &amp; Stuff'!CL:DM,3,FALSE)</f>
        <v>-</v>
      </c>
      <c r="F411" s="191">
        <f>VLOOKUP(C411,'Talente &amp; Stuff'!CL:DM,4,FALSE)</f>
        <v>0</v>
      </c>
      <c r="G411" s="118">
        <f>VLOOKUP(C411,'Talente &amp; Stuff'!CL:DM,5,FALSE)</f>
        <v>0</v>
      </c>
      <c r="H411" s="118">
        <f>VLOOKUP(C411,'Talente &amp; Stuff'!CL:DM,6,FALSE)</f>
        <v>0</v>
      </c>
      <c r="I411" s="118">
        <f>VLOOKUP(C411,'Talente &amp; Stuff'!CL:DM,7,FALSE)</f>
        <v>0</v>
      </c>
      <c r="J411" s="118">
        <f>VLOOKUP(C411,'Talente &amp; Stuff'!CL:DM,8,FALSE)</f>
        <v>0</v>
      </c>
      <c r="K411" s="118">
        <f>VLOOKUP(C411,'Talente &amp; Stuff'!CL:DM,9,FALSE)</f>
        <v>0</v>
      </c>
      <c r="L411" s="118">
        <f>VLOOKUP(C411,'Talente &amp; Stuff'!CL:DM,10,FALSE)</f>
        <v>0</v>
      </c>
      <c r="M411" s="92">
        <f>VLOOKUP(C411,'Talente &amp; Stuff'!CL:DM,11,FALSE)</f>
        <v>0</v>
      </c>
      <c r="N411" s="116">
        <f>VLOOKUP(C411,'Talente &amp; Stuff'!CL:DM,12,FALSE)</f>
        <v>0</v>
      </c>
      <c r="O411" s="116">
        <f>VLOOKUP(C411,'Talente &amp; Stuff'!CL:DM,13,FALSE)</f>
        <v>0</v>
      </c>
      <c r="P411" s="118">
        <f>VLOOKUP(C411,'Talente &amp; Stuff'!CL:DM,14,FALSE)</f>
        <v>0</v>
      </c>
      <c r="Q411" s="191">
        <f>VLOOKUP(C411,'Talente &amp; Stuff'!CL:DM,15,FALSE)</f>
        <v>0</v>
      </c>
      <c r="R411" s="118">
        <f>VLOOKUP(C411,'Talente &amp; Stuff'!CL:DM,16,FALSE)</f>
        <v>0</v>
      </c>
      <c r="S411" s="92">
        <f>VLOOKUP(C411,'Talente &amp; Stuff'!CL:DM,17,FALSE)</f>
        <v>0</v>
      </c>
      <c r="T411" s="91">
        <f>VLOOKUP(C411,'Talente &amp; Stuff'!CL:DM,18,FALSE)</f>
        <v>0</v>
      </c>
      <c r="U411" s="193">
        <f>VLOOKUP(C411,'Talente &amp; Stuff'!CL:DM,19,FALSE)</f>
        <v>0</v>
      </c>
      <c r="V411" s="116">
        <f>VLOOKUP(C411,'Talente &amp; Stuff'!CL:DM,20,FALSE)</f>
        <v>0</v>
      </c>
      <c r="W411" s="126">
        <f>VLOOKUP(C411,'Talente &amp; Stuff'!CL:DM,21,FALSE)</f>
        <v>0</v>
      </c>
      <c r="X411" s="126">
        <f>VLOOKUP(C411,'Talente &amp; Stuff'!CL:DM,22,FALSE)</f>
        <v>0</v>
      </c>
      <c r="Y411" s="165">
        <f t="shared" ref="Y411:Y417" si="32">VLOOKUP(C411,Ausgewählte_Liturgien_Hesinde,110,FALSE)</f>
        <v>0</v>
      </c>
      <c r="Z411" s="44">
        <f t="shared" ref="Z411:Z417" si="33">VLOOKUP(C411,Ausgewählte_Liturgien_Hesinde,111,FALSE)</f>
        <v>0</v>
      </c>
      <c r="AA411" s="158">
        <f>VLOOKUP(C411,'Talente &amp; Stuff'!CL:DM,25,FALSE)</f>
        <v>0</v>
      </c>
      <c r="AB411" s="91">
        <f>VLOOKUP(C411,'Talente &amp; Stuff'!CL:DM,26,FALSE)</f>
        <v>0</v>
      </c>
      <c r="AC411" s="126">
        <f>VLOOKUP(C411,'Talente &amp; Stuff'!CL:DM,27,FALSE)</f>
        <v>0</v>
      </c>
      <c r="AD411" s="158">
        <f>VLOOKUP(C411,'Talente &amp; Stuff'!CL:DM,28,FALSE)</f>
        <v>0</v>
      </c>
      <c r="AE411" s="28"/>
    </row>
    <row r="412" spans="2:31" ht="15" hidden="1" customHeight="1" outlineLevel="2">
      <c r="B412" s="148">
        <v>2</v>
      </c>
      <c r="C412" s="177" t="str">
        <f>Attribute!C412</f>
        <v>---</v>
      </c>
      <c r="D412" s="125" t="str">
        <f>VLOOKUP(C412,'Talente &amp; Stuff'!CL:DM,2,FALSE)</f>
        <v>--/--/--</v>
      </c>
      <c r="E412" s="47" t="str">
        <f>VLOOKUP(C412,'Talente &amp; Stuff'!CL:DM,3,FALSE)</f>
        <v>-</v>
      </c>
      <c r="F412" s="114">
        <f>VLOOKUP(C412,'Talente &amp; Stuff'!CL:DM,4,FALSE)</f>
        <v>0</v>
      </c>
      <c r="G412" s="113">
        <f>VLOOKUP(C412,'Talente &amp; Stuff'!CL:DM,5,FALSE)</f>
        <v>0</v>
      </c>
      <c r="H412" s="113">
        <f>VLOOKUP(C412,'Talente &amp; Stuff'!CL:DM,6,FALSE)</f>
        <v>0</v>
      </c>
      <c r="I412" s="113">
        <f>VLOOKUP(C412,'Talente &amp; Stuff'!CL:DM,7,FALSE)</f>
        <v>0</v>
      </c>
      <c r="J412" s="113">
        <f>VLOOKUP(C412,'Talente &amp; Stuff'!CL:DM,8,FALSE)</f>
        <v>0</v>
      </c>
      <c r="K412" s="113">
        <f>VLOOKUP(C412,'Talente &amp; Stuff'!CL:DM,9,FALSE)</f>
        <v>0</v>
      </c>
      <c r="L412" s="113">
        <f>VLOOKUP(C412,'Talente &amp; Stuff'!CL:DM,10,FALSE)</f>
        <v>0</v>
      </c>
      <c r="M412" s="119">
        <f>VLOOKUP(C412,'Talente &amp; Stuff'!CL:DM,11,FALSE)</f>
        <v>0</v>
      </c>
      <c r="N412" s="47">
        <f>VLOOKUP(C412,'Talente &amp; Stuff'!CL:DM,12,FALSE)</f>
        <v>0</v>
      </c>
      <c r="O412" s="47">
        <f>VLOOKUP(C412,'Talente &amp; Stuff'!CL:DM,13,FALSE)</f>
        <v>0</v>
      </c>
      <c r="P412" s="113">
        <f>VLOOKUP(C412,'Talente &amp; Stuff'!CL:DM,14,FALSE)</f>
        <v>0</v>
      </c>
      <c r="Q412" s="114">
        <f>VLOOKUP(C412,'Talente &amp; Stuff'!CL:DM,15,FALSE)</f>
        <v>0</v>
      </c>
      <c r="R412" s="113">
        <f>VLOOKUP(C412,'Talente &amp; Stuff'!CL:DM,16,FALSE)</f>
        <v>0</v>
      </c>
      <c r="S412" s="119">
        <f>VLOOKUP(C412,'Talente &amp; Stuff'!CL:DM,17,FALSE)</f>
        <v>0</v>
      </c>
      <c r="T412" s="160">
        <f>VLOOKUP(C412,'Talente &amp; Stuff'!CL:DM,18,FALSE)</f>
        <v>0</v>
      </c>
      <c r="U412" s="89">
        <f>VLOOKUP(C412,'Talente &amp; Stuff'!CL:DM,19,FALSE)</f>
        <v>0</v>
      </c>
      <c r="V412" s="47">
        <f>VLOOKUP(C412,'Talente &amp; Stuff'!CL:DM,20,FALSE)</f>
        <v>0</v>
      </c>
      <c r="W412" s="127">
        <f>VLOOKUP(C412,'Talente &amp; Stuff'!CL:DM,21,FALSE)</f>
        <v>0</v>
      </c>
      <c r="X412" s="127">
        <f>VLOOKUP(C412,'Talente &amp; Stuff'!CL:DM,22,FALSE)</f>
        <v>0</v>
      </c>
      <c r="Y412" s="165">
        <f t="shared" si="32"/>
        <v>0</v>
      </c>
      <c r="Z412" s="44">
        <f t="shared" si="33"/>
        <v>0</v>
      </c>
      <c r="AA412" s="125">
        <f>VLOOKUP(C412,'Talente &amp; Stuff'!CL:DM,25,FALSE)</f>
        <v>0</v>
      </c>
      <c r="AB412" s="160">
        <f>VLOOKUP(C412,'Talente &amp; Stuff'!CL:DM,26,FALSE)</f>
        <v>0</v>
      </c>
      <c r="AC412" s="127">
        <f>VLOOKUP(C412,'Talente &amp; Stuff'!CL:DM,27,FALSE)</f>
        <v>0</v>
      </c>
      <c r="AD412" s="125">
        <f>VLOOKUP(C412,'Talente &amp; Stuff'!CL:DM,28,FALSE)</f>
        <v>0</v>
      </c>
      <c r="AE412" s="28"/>
    </row>
    <row r="413" spans="2:31" ht="15" hidden="1" customHeight="1" outlineLevel="2">
      <c r="B413" s="148">
        <v>3</v>
      </c>
      <c r="C413" s="177" t="str">
        <f>Attribute!C413</f>
        <v>---</v>
      </c>
      <c r="D413" s="125" t="str">
        <f>VLOOKUP(C413,'Talente &amp; Stuff'!CL:DM,2,FALSE)</f>
        <v>--/--/--</v>
      </c>
      <c r="E413" s="47" t="str">
        <f>VLOOKUP(C413,'Talente &amp; Stuff'!CL:DM,3,FALSE)</f>
        <v>-</v>
      </c>
      <c r="F413" s="114">
        <f>VLOOKUP(C413,'Talente &amp; Stuff'!CL:DM,4,FALSE)</f>
        <v>0</v>
      </c>
      <c r="G413" s="113">
        <f>VLOOKUP(C413,'Talente &amp; Stuff'!CL:DM,5,FALSE)</f>
        <v>0</v>
      </c>
      <c r="H413" s="113">
        <f>VLOOKUP(C413,'Talente &amp; Stuff'!CL:DM,6,FALSE)</f>
        <v>0</v>
      </c>
      <c r="I413" s="113">
        <f>VLOOKUP(C413,'Talente &amp; Stuff'!CL:DM,7,FALSE)</f>
        <v>0</v>
      </c>
      <c r="J413" s="113">
        <f>VLOOKUP(C413,'Talente &amp; Stuff'!CL:DM,8,FALSE)</f>
        <v>0</v>
      </c>
      <c r="K413" s="113">
        <f>VLOOKUP(C413,'Talente &amp; Stuff'!CL:DM,9,FALSE)</f>
        <v>0</v>
      </c>
      <c r="L413" s="113">
        <f>VLOOKUP(C413,'Talente &amp; Stuff'!CL:DM,10,FALSE)</f>
        <v>0</v>
      </c>
      <c r="M413" s="119">
        <f>VLOOKUP(C413,'Talente &amp; Stuff'!CL:DM,11,FALSE)</f>
        <v>0</v>
      </c>
      <c r="N413" s="47">
        <f>VLOOKUP(C413,'Talente &amp; Stuff'!CL:DM,12,FALSE)</f>
        <v>0</v>
      </c>
      <c r="O413" s="47">
        <f>VLOOKUP(C413,'Talente &amp; Stuff'!CL:DM,13,FALSE)</f>
        <v>0</v>
      </c>
      <c r="P413" s="113">
        <f>VLOOKUP(C413,'Talente &amp; Stuff'!CL:DM,14,FALSE)</f>
        <v>0</v>
      </c>
      <c r="Q413" s="114">
        <f>VLOOKUP(C413,'Talente &amp; Stuff'!CL:DM,15,FALSE)</f>
        <v>0</v>
      </c>
      <c r="R413" s="113">
        <f>VLOOKUP(C413,'Talente &amp; Stuff'!CL:DM,16,FALSE)</f>
        <v>0</v>
      </c>
      <c r="S413" s="119">
        <f>VLOOKUP(C413,'Talente &amp; Stuff'!CL:DM,17,FALSE)</f>
        <v>0</v>
      </c>
      <c r="T413" s="160">
        <f>VLOOKUP(C413,'Talente &amp; Stuff'!CL:DM,18,FALSE)</f>
        <v>0</v>
      </c>
      <c r="U413" s="89">
        <f>VLOOKUP(C413,'Talente &amp; Stuff'!CL:DM,19,FALSE)</f>
        <v>0</v>
      </c>
      <c r="V413" s="47">
        <f>VLOOKUP(C413,'Talente &amp; Stuff'!CL:DM,20,FALSE)</f>
        <v>0</v>
      </c>
      <c r="W413" s="127">
        <f>VLOOKUP(C413,'Talente &amp; Stuff'!CL:DM,21,FALSE)</f>
        <v>0</v>
      </c>
      <c r="X413" s="127">
        <f>VLOOKUP(C413,'Talente &amp; Stuff'!CL:DM,22,FALSE)</f>
        <v>0</v>
      </c>
      <c r="Y413" s="165">
        <f t="shared" si="32"/>
        <v>0</v>
      </c>
      <c r="Z413" s="44">
        <f t="shared" si="33"/>
        <v>0</v>
      </c>
      <c r="AA413" s="125">
        <f>VLOOKUP(C413,'Talente &amp; Stuff'!CL:DM,25,FALSE)</f>
        <v>0</v>
      </c>
      <c r="AB413" s="160">
        <f>VLOOKUP(C413,'Talente &amp; Stuff'!CL:DM,26,FALSE)</f>
        <v>0</v>
      </c>
      <c r="AC413" s="127">
        <f>VLOOKUP(C413,'Talente &amp; Stuff'!CL:DM,27,FALSE)</f>
        <v>0</v>
      </c>
      <c r="AD413" s="125">
        <f>VLOOKUP(C413,'Talente &amp; Stuff'!CL:DM,28,FALSE)</f>
        <v>0</v>
      </c>
      <c r="AE413" s="28"/>
    </row>
    <row r="414" spans="2:31" ht="15" hidden="1" customHeight="1" outlineLevel="2">
      <c r="B414" s="148">
        <v>4</v>
      </c>
      <c r="C414" s="177" t="str">
        <f>Attribute!C414</f>
        <v>---</v>
      </c>
      <c r="D414" s="125" t="str">
        <f>VLOOKUP(C414,'Talente &amp; Stuff'!CL:DM,2,FALSE)</f>
        <v>--/--/--</v>
      </c>
      <c r="E414" s="47" t="str">
        <f>VLOOKUP(C414,'Talente &amp; Stuff'!CL:DM,3,FALSE)</f>
        <v>-</v>
      </c>
      <c r="F414" s="114">
        <f>VLOOKUP(C414,'Talente &amp; Stuff'!CL:DM,4,FALSE)</f>
        <v>0</v>
      </c>
      <c r="G414" s="113">
        <f>VLOOKUP(C414,'Talente &amp; Stuff'!CL:DM,5,FALSE)</f>
        <v>0</v>
      </c>
      <c r="H414" s="113">
        <f>VLOOKUP(C414,'Talente &amp; Stuff'!CL:DM,6,FALSE)</f>
        <v>0</v>
      </c>
      <c r="I414" s="113">
        <f>VLOOKUP(C414,'Talente &amp; Stuff'!CL:DM,7,FALSE)</f>
        <v>0</v>
      </c>
      <c r="J414" s="113">
        <f>VLOOKUP(C414,'Talente &amp; Stuff'!CL:DM,8,FALSE)</f>
        <v>0</v>
      </c>
      <c r="K414" s="113">
        <f>VLOOKUP(C414,'Talente &amp; Stuff'!CL:DM,9,FALSE)</f>
        <v>0</v>
      </c>
      <c r="L414" s="113">
        <f>VLOOKUP(C414,'Talente &amp; Stuff'!CL:DM,10,FALSE)</f>
        <v>0</v>
      </c>
      <c r="M414" s="119">
        <f>VLOOKUP(C414,'Talente &amp; Stuff'!CL:DM,11,FALSE)</f>
        <v>0</v>
      </c>
      <c r="N414" s="47">
        <f>VLOOKUP(C414,'Talente &amp; Stuff'!CL:DM,12,FALSE)</f>
        <v>0</v>
      </c>
      <c r="O414" s="47">
        <f>VLOOKUP(C414,'Talente &amp; Stuff'!CL:DM,13,FALSE)</f>
        <v>0</v>
      </c>
      <c r="P414" s="113">
        <f>VLOOKUP(C414,'Talente &amp; Stuff'!CL:DM,14,FALSE)</f>
        <v>0</v>
      </c>
      <c r="Q414" s="114">
        <f>VLOOKUP(C414,'Talente &amp; Stuff'!CL:DM,15,FALSE)</f>
        <v>0</v>
      </c>
      <c r="R414" s="113">
        <f>VLOOKUP(C414,'Talente &amp; Stuff'!CL:DM,16,FALSE)</f>
        <v>0</v>
      </c>
      <c r="S414" s="119">
        <f>VLOOKUP(C414,'Talente &amp; Stuff'!CL:DM,17,FALSE)</f>
        <v>0</v>
      </c>
      <c r="T414" s="160">
        <f>VLOOKUP(C414,'Talente &amp; Stuff'!CL:DM,18,FALSE)</f>
        <v>0</v>
      </c>
      <c r="U414" s="89">
        <f>VLOOKUP(C414,'Talente &amp; Stuff'!CL:DM,19,FALSE)</f>
        <v>0</v>
      </c>
      <c r="V414" s="47">
        <f>VLOOKUP(C414,'Talente &amp; Stuff'!CL:DM,20,FALSE)</f>
        <v>0</v>
      </c>
      <c r="W414" s="127">
        <f>VLOOKUP(C414,'Talente &amp; Stuff'!CL:DM,21,FALSE)</f>
        <v>0</v>
      </c>
      <c r="X414" s="127">
        <f>VLOOKUP(C414,'Talente &amp; Stuff'!CL:DM,22,FALSE)</f>
        <v>0</v>
      </c>
      <c r="Y414" s="165">
        <f t="shared" si="32"/>
        <v>0</v>
      </c>
      <c r="Z414" s="44">
        <f t="shared" si="33"/>
        <v>0</v>
      </c>
      <c r="AA414" s="125">
        <f>VLOOKUP(C414,'Talente &amp; Stuff'!CL:DM,25,FALSE)</f>
        <v>0</v>
      </c>
      <c r="AB414" s="160">
        <f>VLOOKUP(C414,'Talente &amp; Stuff'!CL:DM,26,FALSE)</f>
        <v>0</v>
      </c>
      <c r="AC414" s="127">
        <f>VLOOKUP(C414,'Talente &amp; Stuff'!CL:DM,27,FALSE)</f>
        <v>0</v>
      </c>
      <c r="AD414" s="125">
        <f>VLOOKUP(C414,'Talente &amp; Stuff'!CL:DM,28,FALSE)</f>
        <v>0</v>
      </c>
      <c r="AE414" s="28"/>
    </row>
    <row r="415" spans="2:31" ht="15" hidden="1" customHeight="1" outlineLevel="2">
      <c r="B415" s="148">
        <v>5</v>
      </c>
      <c r="C415" s="177" t="str">
        <f>Attribute!C415</f>
        <v>---</v>
      </c>
      <c r="D415" s="125" t="str">
        <f>VLOOKUP(C415,'Talente &amp; Stuff'!CL:DM,2,FALSE)</f>
        <v>--/--/--</v>
      </c>
      <c r="E415" s="47" t="str">
        <f>VLOOKUP(C415,'Talente &amp; Stuff'!CL:DM,3,FALSE)</f>
        <v>-</v>
      </c>
      <c r="F415" s="114">
        <f>VLOOKUP(C415,'Talente &amp; Stuff'!CL:DM,4,FALSE)</f>
        <v>0</v>
      </c>
      <c r="G415" s="113">
        <f>VLOOKUP(C415,'Talente &amp; Stuff'!CL:DM,5,FALSE)</f>
        <v>0</v>
      </c>
      <c r="H415" s="113">
        <f>VLOOKUP(C415,'Talente &amp; Stuff'!CL:DM,6,FALSE)</f>
        <v>0</v>
      </c>
      <c r="I415" s="113">
        <f>VLOOKUP(C415,'Talente &amp; Stuff'!CL:DM,7,FALSE)</f>
        <v>0</v>
      </c>
      <c r="J415" s="113">
        <f>VLOOKUP(C415,'Talente &amp; Stuff'!CL:DM,8,FALSE)</f>
        <v>0</v>
      </c>
      <c r="K415" s="113">
        <f>VLOOKUP(C415,'Talente &amp; Stuff'!CL:DM,9,FALSE)</f>
        <v>0</v>
      </c>
      <c r="L415" s="113">
        <f>VLOOKUP(C415,'Talente &amp; Stuff'!CL:DM,10,FALSE)</f>
        <v>0</v>
      </c>
      <c r="M415" s="119">
        <f>VLOOKUP(C415,'Talente &amp; Stuff'!CL:DM,11,FALSE)</f>
        <v>0</v>
      </c>
      <c r="N415" s="47">
        <f>VLOOKUP(C415,'Talente &amp; Stuff'!CL:DM,12,FALSE)</f>
        <v>0</v>
      </c>
      <c r="O415" s="47">
        <f>VLOOKUP(C415,'Talente &amp; Stuff'!CL:DM,13,FALSE)</f>
        <v>0</v>
      </c>
      <c r="P415" s="113">
        <f>VLOOKUP(C415,'Talente &amp; Stuff'!CL:DM,14,FALSE)</f>
        <v>0</v>
      </c>
      <c r="Q415" s="114">
        <f>VLOOKUP(C415,'Talente &amp; Stuff'!CL:DM,15,FALSE)</f>
        <v>0</v>
      </c>
      <c r="R415" s="113">
        <f>VLOOKUP(C415,'Talente &amp; Stuff'!CL:DM,16,FALSE)</f>
        <v>0</v>
      </c>
      <c r="S415" s="119">
        <f>VLOOKUP(C415,'Talente &amp; Stuff'!CL:DM,17,FALSE)</f>
        <v>0</v>
      </c>
      <c r="T415" s="160">
        <f>VLOOKUP(C415,'Talente &amp; Stuff'!CL:DM,18,FALSE)</f>
        <v>0</v>
      </c>
      <c r="U415" s="89">
        <f>VLOOKUP(C415,'Talente &amp; Stuff'!CL:DM,19,FALSE)</f>
        <v>0</v>
      </c>
      <c r="V415" s="47">
        <f>VLOOKUP(C415,'Talente &amp; Stuff'!CL:DM,20,FALSE)</f>
        <v>0</v>
      </c>
      <c r="W415" s="127">
        <f>VLOOKUP(C415,'Talente &amp; Stuff'!CL:DM,21,FALSE)</f>
        <v>0</v>
      </c>
      <c r="X415" s="127">
        <f>VLOOKUP(C415,'Talente &amp; Stuff'!CL:DM,22,FALSE)</f>
        <v>0</v>
      </c>
      <c r="Y415" s="165">
        <f t="shared" si="32"/>
        <v>0</v>
      </c>
      <c r="Z415" s="44">
        <f t="shared" si="33"/>
        <v>0</v>
      </c>
      <c r="AA415" s="125">
        <f>VLOOKUP(C415,'Talente &amp; Stuff'!CL:DM,25,FALSE)</f>
        <v>0</v>
      </c>
      <c r="AB415" s="160">
        <f>VLOOKUP(C415,'Talente &amp; Stuff'!CL:DM,26,FALSE)</f>
        <v>0</v>
      </c>
      <c r="AC415" s="127">
        <f>VLOOKUP(C415,'Talente &amp; Stuff'!CL:DM,27,FALSE)</f>
        <v>0</v>
      </c>
      <c r="AD415" s="125">
        <f>VLOOKUP(C415,'Talente &amp; Stuff'!CL:DM,28,FALSE)</f>
        <v>0</v>
      </c>
      <c r="AE415" s="28"/>
    </row>
    <row r="416" spans="2:31" ht="15" hidden="1" customHeight="1" outlineLevel="2">
      <c r="B416" s="148">
        <v>6</v>
      </c>
      <c r="C416" s="177" t="str">
        <f>Attribute!C416</f>
        <v>---</v>
      </c>
      <c r="D416" s="125" t="str">
        <f>VLOOKUP(C416,'Talente &amp; Stuff'!CL:DM,2,FALSE)</f>
        <v>--/--/--</v>
      </c>
      <c r="E416" s="47" t="str">
        <f>VLOOKUP(C416,'Talente &amp; Stuff'!CL:DM,3,FALSE)</f>
        <v>-</v>
      </c>
      <c r="F416" s="114">
        <f>VLOOKUP(C416,'Talente &amp; Stuff'!CL:DM,4,FALSE)</f>
        <v>0</v>
      </c>
      <c r="G416" s="113">
        <f>VLOOKUP(C416,'Talente &amp; Stuff'!CL:DM,5,FALSE)</f>
        <v>0</v>
      </c>
      <c r="H416" s="113">
        <f>VLOOKUP(C416,'Talente &amp; Stuff'!CL:DM,6,FALSE)</f>
        <v>0</v>
      </c>
      <c r="I416" s="113">
        <f>VLOOKUP(C416,'Talente &amp; Stuff'!CL:DM,7,FALSE)</f>
        <v>0</v>
      </c>
      <c r="J416" s="113">
        <f>VLOOKUP(C416,'Talente &amp; Stuff'!CL:DM,8,FALSE)</f>
        <v>0</v>
      </c>
      <c r="K416" s="113">
        <f>VLOOKUP(C416,'Talente &amp; Stuff'!CL:DM,9,FALSE)</f>
        <v>0</v>
      </c>
      <c r="L416" s="113">
        <f>VLOOKUP(C416,'Talente &amp; Stuff'!CL:DM,10,FALSE)</f>
        <v>0</v>
      </c>
      <c r="M416" s="119">
        <f>VLOOKUP(C416,'Talente &amp; Stuff'!CL:DM,11,FALSE)</f>
        <v>0</v>
      </c>
      <c r="N416" s="47">
        <f>VLOOKUP(C416,'Talente &amp; Stuff'!CL:DM,12,FALSE)</f>
        <v>0</v>
      </c>
      <c r="O416" s="47">
        <f>VLOOKUP(C416,'Talente &amp; Stuff'!CL:DM,13,FALSE)</f>
        <v>0</v>
      </c>
      <c r="P416" s="113">
        <f>VLOOKUP(C416,'Talente &amp; Stuff'!CL:DM,14,FALSE)</f>
        <v>0</v>
      </c>
      <c r="Q416" s="114">
        <f>VLOOKUP(C416,'Talente &amp; Stuff'!CL:DM,15,FALSE)</f>
        <v>0</v>
      </c>
      <c r="R416" s="113">
        <f>VLOOKUP(C416,'Talente &amp; Stuff'!CL:DM,16,FALSE)</f>
        <v>0</v>
      </c>
      <c r="S416" s="119">
        <f>VLOOKUP(C416,'Talente &amp; Stuff'!CL:DM,17,FALSE)</f>
        <v>0</v>
      </c>
      <c r="T416" s="160">
        <f>VLOOKUP(C416,'Talente &amp; Stuff'!CL:DM,18,FALSE)</f>
        <v>0</v>
      </c>
      <c r="U416" s="89">
        <f>VLOOKUP(C416,'Talente &amp; Stuff'!CL:DM,19,FALSE)</f>
        <v>0</v>
      </c>
      <c r="V416" s="47">
        <f>VLOOKUP(C416,'Talente &amp; Stuff'!CL:DM,20,FALSE)</f>
        <v>0</v>
      </c>
      <c r="W416" s="127">
        <f>VLOOKUP(C416,'Talente &amp; Stuff'!CL:DM,21,FALSE)</f>
        <v>0</v>
      </c>
      <c r="X416" s="127">
        <f>VLOOKUP(C416,'Talente &amp; Stuff'!CL:DM,22,FALSE)</f>
        <v>0</v>
      </c>
      <c r="Y416" s="165">
        <f t="shared" si="32"/>
        <v>0</v>
      </c>
      <c r="Z416" s="44">
        <f t="shared" si="33"/>
        <v>0</v>
      </c>
      <c r="AA416" s="125">
        <f>VLOOKUP(C416,'Talente &amp; Stuff'!CL:DM,25,FALSE)</f>
        <v>0</v>
      </c>
      <c r="AB416" s="160">
        <f>VLOOKUP(C416,'Talente &amp; Stuff'!CL:DM,26,FALSE)</f>
        <v>0</v>
      </c>
      <c r="AC416" s="127">
        <f>VLOOKUP(C416,'Talente &amp; Stuff'!CL:DM,27,FALSE)</f>
        <v>0</v>
      </c>
      <c r="AD416" s="125">
        <f>VLOOKUP(C416,'Talente &amp; Stuff'!CL:DM,28,FALSE)</f>
        <v>0</v>
      </c>
      <c r="AE416" s="28"/>
    </row>
    <row r="417" spans="2:31" ht="15" hidden="1" customHeight="1" outlineLevel="2">
      <c r="B417" s="148">
        <v>7</v>
      </c>
      <c r="C417" s="178" t="str">
        <f>Attribute!C417</f>
        <v>---</v>
      </c>
      <c r="D417" s="159" t="str">
        <f>VLOOKUP(C417,'Talente &amp; Stuff'!CL:DM,2,FALSE)</f>
        <v>--/--/--</v>
      </c>
      <c r="E417" s="88" t="str">
        <f>VLOOKUP(C417,'Talente &amp; Stuff'!CL:DM,3,FALSE)</f>
        <v>-</v>
      </c>
      <c r="F417" s="115">
        <f>VLOOKUP(C417,'Talente &amp; Stuff'!CL:DM,4,FALSE)</f>
        <v>0</v>
      </c>
      <c r="G417" s="122">
        <f>VLOOKUP(C417,'Talente &amp; Stuff'!CL:DM,5,FALSE)</f>
        <v>0</v>
      </c>
      <c r="H417" s="122">
        <f>VLOOKUP(C417,'Talente &amp; Stuff'!CL:DM,6,FALSE)</f>
        <v>0</v>
      </c>
      <c r="I417" s="122">
        <f>VLOOKUP(C417,'Talente &amp; Stuff'!CL:DM,7,FALSE)</f>
        <v>0</v>
      </c>
      <c r="J417" s="122">
        <f>VLOOKUP(C417,'Talente &amp; Stuff'!CL:DM,8,FALSE)</f>
        <v>0</v>
      </c>
      <c r="K417" s="122">
        <f>VLOOKUP(C417,'Talente &amp; Stuff'!CL:DM,9,FALSE)</f>
        <v>0</v>
      </c>
      <c r="L417" s="122">
        <f>VLOOKUP(C417,'Talente &amp; Stuff'!CL:DM,10,FALSE)</f>
        <v>0</v>
      </c>
      <c r="M417" s="123">
        <f>VLOOKUP(C417,'Talente &amp; Stuff'!CL:DM,11,FALSE)</f>
        <v>0</v>
      </c>
      <c r="N417" s="88">
        <f>VLOOKUP(C417,'Talente &amp; Stuff'!CL:DM,12,FALSE)</f>
        <v>0</v>
      </c>
      <c r="O417" s="88">
        <f>VLOOKUP(C417,'Talente &amp; Stuff'!CL:DM,13,FALSE)</f>
        <v>0</v>
      </c>
      <c r="P417" s="122">
        <f>VLOOKUP(C417,'Talente &amp; Stuff'!CL:DM,14,FALSE)</f>
        <v>0</v>
      </c>
      <c r="Q417" s="115">
        <f>VLOOKUP(C417,'Talente &amp; Stuff'!CL:DM,15,FALSE)</f>
        <v>0</v>
      </c>
      <c r="R417" s="122">
        <f>VLOOKUP(C417,'Talente &amp; Stuff'!CL:DM,16,FALSE)</f>
        <v>0</v>
      </c>
      <c r="S417" s="123">
        <f>VLOOKUP(C417,'Talente &amp; Stuff'!CL:DM,17,FALSE)</f>
        <v>0</v>
      </c>
      <c r="T417" s="161">
        <f>VLOOKUP(C417,'Talente &amp; Stuff'!CL:DM,18,FALSE)</f>
        <v>0</v>
      </c>
      <c r="U417" s="90">
        <f>VLOOKUP(C417,'Talente &amp; Stuff'!CL:DM,19,FALSE)</f>
        <v>0</v>
      </c>
      <c r="V417" s="88">
        <f>VLOOKUP(C417,'Talente &amp; Stuff'!CL:DM,20,FALSE)</f>
        <v>0</v>
      </c>
      <c r="W417" s="128">
        <f>VLOOKUP(C417,'Talente &amp; Stuff'!CL:DM,21,FALSE)</f>
        <v>0</v>
      </c>
      <c r="X417" s="128">
        <f>VLOOKUP(C417,'Talente &amp; Stuff'!CL:DM,22,FALSE)</f>
        <v>0</v>
      </c>
      <c r="Y417" s="165">
        <f t="shared" si="32"/>
        <v>0</v>
      </c>
      <c r="Z417" s="44">
        <f t="shared" si="33"/>
        <v>0</v>
      </c>
      <c r="AA417" s="159">
        <f>VLOOKUP(C417,'Talente &amp; Stuff'!CL:DM,25,FALSE)</f>
        <v>0</v>
      </c>
      <c r="AB417" s="161">
        <f>VLOOKUP(C417,'Talente &amp; Stuff'!CL:DM,26,FALSE)</f>
        <v>0</v>
      </c>
      <c r="AC417" s="128">
        <f>VLOOKUP(C417,'Talente &amp; Stuff'!CL:DM,27,FALSE)</f>
        <v>0</v>
      </c>
      <c r="AD417" s="159">
        <f>VLOOKUP(C417,'Talente &amp; Stuff'!CL:DM,28,FALSE)</f>
        <v>0</v>
      </c>
      <c r="AE417" s="28"/>
    </row>
    <row r="418" spans="2:31" ht="15" hidden="1" customHeight="1" outlineLevel="1" collapsed="1">
      <c r="B418" s="134" t="s">
        <v>324</v>
      </c>
      <c r="C418" s="83"/>
      <c r="D418" s="84"/>
      <c r="E418" s="84"/>
    </row>
    <row r="419" spans="2:31" ht="15" hidden="1" customHeight="1" outlineLevel="2">
      <c r="B419" s="148">
        <v>1</v>
      </c>
      <c r="C419" s="176" t="str">
        <f>Attribute!C419</f>
        <v>---</v>
      </c>
      <c r="D419" s="158" t="str">
        <f>VLOOKUP(C419,'Talente &amp; Stuff'!CL:DM,2,FALSE)</f>
        <v>--/--/--</v>
      </c>
      <c r="E419" s="116" t="str">
        <f>VLOOKUP(C419,'Talente &amp; Stuff'!CL:DM,3,FALSE)</f>
        <v>-</v>
      </c>
      <c r="F419" s="191">
        <f>VLOOKUP(C419,'Talente &amp; Stuff'!CL:DM,4,FALSE)</f>
        <v>0</v>
      </c>
      <c r="G419" s="118">
        <f>VLOOKUP(C419,'Talente &amp; Stuff'!CL:DM,5,FALSE)</f>
        <v>0</v>
      </c>
      <c r="H419" s="118">
        <f>VLOOKUP(C419,'Talente &amp; Stuff'!CL:DM,6,FALSE)</f>
        <v>0</v>
      </c>
      <c r="I419" s="118">
        <f>VLOOKUP(C419,'Talente &amp; Stuff'!CL:DM,7,FALSE)</f>
        <v>0</v>
      </c>
      <c r="J419" s="118">
        <f>VLOOKUP(C419,'Talente &amp; Stuff'!CL:DM,8,FALSE)</f>
        <v>0</v>
      </c>
      <c r="K419" s="118">
        <f>VLOOKUP(C419,'Talente &amp; Stuff'!CL:DM,9,FALSE)</f>
        <v>0</v>
      </c>
      <c r="L419" s="118">
        <f>VLOOKUP(C419,'Talente &amp; Stuff'!CL:DM,10,FALSE)</f>
        <v>0</v>
      </c>
      <c r="M419" s="92">
        <f>VLOOKUP(C419,'Talente &amp; Stuff'!CL:DM,11,FALSE)</f>
        <v>0</v>
      </c>
      <c r="N419" s="116">
        <f>VLOOKUP(C419,'Talente &amp; Stuff'!CL:DM,12,FALSE)</f>
        <v>0</v>
      </c>
      <c r="O419" s="116">
        <f>VLOOKUP(C419,'Talente &amp; Stuff'!CL:DM,13,FALSE)</f>
        <v>0</v>
      </c>
      <c r="P419" s="118">
        <f>VLOOKUP(C419,'Talente &amp; Stuff'!CL:DM,14,FALSE)</f>
        <v>0</v>
      </c>
      <c r="Q419" s="191">
        <f>VLOOKUP(C419,'Talente &amp; Stuff'!CL:DM,15,FALSE)</f>
        <v>0</v>
      </c>
      <c r="R419" s="118">
        <f>VLOOKUP(C419,'Talente &amp; Stuff'!CL:DM,16,FALSE)</f>
        <v>0</v>
      </c>
      <c r="S419" s="92">
        <f>VLOOKUP(C419,'Talente &amp; Stuff'!CL:DM,17,FALSE)</f>
        <v>0</v>
      </c>
      <c r="T419" s="91">
        <f>VLOOKUP(C419,'Talente &amp; Stuff'!CL:DM,18,FALSE)</f>
        <v>0</v>
      </c>
      <c r="U419" s="193">
        <f>VLOOKUP(C419,'Talente &amp; Stuff'!CL:DM,19,FALSE)</f>
        <v>0</v>
      </c>
      <c r="V419" s="116">
        <f>VLOOKUP(C419,'Talente &amp; Stuff'!CL:DM,20,FALSE)</f>
        <v>0</v>
      </c>
      <c r="W419" s="126">
        <f>VLOOKUP(C419,'Talente &amp; Stuff'!CL:DM,21,FALSE)</f>
        <v>0</v>
      </c>
      <c r="X419" s="126">
        <f>VLOOKUP(C419,'Talente &amp; Stuff'!CL:DM,22,FALSE)</f>
        <v>0</v>
      </c>
      <c r="Y419" s="165">
        <f>VLOOKUP(C419,Ausgewählte_Liturgien_Peraine,110,FALSE)</f>
        <v>0</v>
      </c>
      <c r="Z419" s="44">
        <f>VLOOKUP(C419,Ausgewählte_Liturgien_Peraine,111,FALSE)</f>
        <v>0</v>
      </c>
      <c r="AA419" s="158">
        <f>VLOOKUP(C419,'Talente &amp; Stuff'!CL:DM,25,FALSE)</f>
        <v>0</v>
      </c>
      <c r="AB419" s="91">
        <f>VLOOKUP(C419,'Talente &amp; Stuff'!CL:DM,26,FALSE)</f>
        <v>0</v>
      </c>
      <c r="AC419" s="126">
        <f>VLOOKUP(C419,'Talente &amp; Stuff'!CL:DM,27,FALSE)</f>
        <v>0</v>
      </c>
      <c r="AD419" s="158">
        <f>VLOOKUP(C419,'Talente &amp; Stuff'!CL:DM,28,FALSE)</f>
        <v>0</v>
      </c>
      <c r="AE419" s="28"/>
    </row>
    <row r="420" spans="2:31" ht="15" hidden="1" customHeight="1" outlineLevel="2">
      <c r="B420" s="148">
        <v>2</v>
      </c>
      <c r="C420" s="177" t="str">
        <f>Attribute!C420</f>
        <v>---</v>
      </c>
      <c r="D420" s="125" t="str">
        <f>VLOOKUP(C420,'Talente &amp; Stuff'!CL:DM,2,FALSE)</f>
        <v>--/--/--</v>
      </c>
      <c r="E420" s="47" t="str">
        <f>VLOOKUP(C420,'Talente &amp; Stuff'!CL:DM,3,FALSE)</f>
        <v>-</v>
      </c>
      <c r="F420" s="114">
        <f>VLOOKUP(C420,'Talente &amp; Stuff'!CL:DM,4,FALSE)</f>
        <v>0</v>
      </c>
      <c r="G420" s="113">
        <f>VLOOKUP(C420,'Talente &amp; Stuff'!CL:DM,5,FALSE)</f>
        <v>0</v>
      </c>
      <c r="H420" s="113">
        <f>VLOOKUP(C420,'Talente &amp; Stuff'!CL:DM,6,FALSE)</f>
        <v>0</v>
      </c>
      <c r="I420" s="113">
        <f>VLOOKUP(C420,'Talente &amp; Stuff'!CL:DM,7,FALSE)</f>
        <v>0</v>
      </c>
      <c r="J420" s="113">
        <f>VLOOKUP(C420,'Talente &amp; Stuff'!CL:DM,8,FALSE)</f>
        <v>0</v>
      </c>
      <c r="K420" s="113">
        <f>VLOOKUP(C420,'Talente &amp; Stuff'!CL:DM,9,FALSE)</f>
        <v>0</v>
      </c>
      <c r="L420" s="113">
        <f>VLOOKUP(C420,'Talente &amp; Stuff'!CL:DM,10,FALSE)</f>
        <v>0</v>
      </c>
      <c r="M420" s="119">
        <f>VLOOKUP(C420,'Talente &amp; Stuff'!CL:DM,11,FALSE)</f>
        <v>0</v>
      </c>
      <c r="N420" s="47">
        <f>VLOOKUP(C420,'Talente &amp; Stuff'!CL:DM,12,FALSE)</f>
        <v>0</v>
      </c>
      <c r="O420" s="47">
        <f>VLOOKUP(C420,'Talente &amp; Stuff'!CL:DM,13,FALSE)</f>
        <v>0</v>
      </c>
      <c r="P420" s="113">
        <f>VLOOKUP(C420,'Talente &amp; Stuff'!CL:DM,14,FALSE)</f>
        <v>0</v>
      </c>
      <c r="Q420" s="114">
        <f>VLOOKUP(C420,'Talente &amp; Stuff'!CL:DM,15,FALSE)</f>
        <v>0</v>
      </c>
      <c r="R420" s="113">
        <f>VLOOKUP(C420,'Talente &amp; Stuff'!CL:DM,16,FALSE)</f>
        <v>0</v>
      </c>
      <c r="S420" s="119">
        <f>VLOOKUP(C420,'Talente &amp; Stuff'!CL:DM,17,FALSE)</f>
        <v>0</v>
      </c>
      <c r="T420" s="160">
        <f>VLOOKUP(C420,'Talente &amp; Stuff'!CL:DM,18,FALSE)</f>
        <v>0</v>
      </c>
      <c r="U420" s="89">
        <f>VLOOKUP(C420,'Talente &amp; Stuff'!CL:DM,19,FALSE)</f>
        <v>0</v>
      </c>
      <c r="V420" s="47">
        <f>VLOOKUP(C420,'Talente &amp; Stuff'!CL:DM,20,FALSE)</f>
        <v>0</v>
      </c>
      <c r="W420" s="127">
        <f>VLOOKUP(C420,'Talente &amp; Stuff'!CL:DM,21,FALSE)</f>
        <v>0</v>
      </c>
      <c r="X420" s="127">
        <f>VLOOKUP(C420,'Talente &amp; Stuff'!CL:DM,22,FALSE)</f>
        <v>0</v>
      </c>
      <c r="Y420" s="165">
        <f>VLOOKUP(C420,Ausgewählte_Liturgien_Peraine,110,FALSE)</f>
        <v>0</v>
      </c>
      <c r="Z420" s="44">
        <f>VLOOKUP(C420,Ausgewählte_Liturgien_Peraine,111,FALSE)</f>
        <v>0</v>
      </c>
      <c r="AA420" s="125">
        <f>VLOOKUP(C420,'Talente &amp; Stuff'!CL:DM,25,FALSE)</f>
        <v>0</v>
      </c>
      <c r="AB420" s="160">
        <f>VLOOKUP(C420,'Talente &amp; Stuff'!CL:DM,26,FALSE)</f>
        <v>0</v>
      </c>
      <c r="AC420" s="127">
        <f>VLOOKUP(C420,'Talente &amp; Stuff'!CL:DM,27,FALSE)</f>
        <v>0</v>
      </c>
      <c r="AD420" s="125">
        <f>VLOOKUP(C420,'Talente &amp; Stuff'!CL:DM,28,FALSE)</f>
        <v>0</v>
      </c>
      <c r="AE420" s="28"/>
    </row>
    <row r="421" spans="2:31" ht="15" hidden="1" customHeight="1" outlineLevel="2">
      <c r="B421" s="148">
        <v>3</v>
      </c>
      <c r="C421" s="177" t="str">
        <f>Attribute!C421</f>
        <v>---</v>
      </c>
      <c r="D421" s="125" t="str">
        <f>VLOOKUP(C421,'Talente &amp; Stuff'!CL:DM,2,FALSE)</f>
        <v>--/--/--</v>
      </c>
      <c r="E421" s="47" t="str">
        <f>VLOOKUP(C421,'Talente &amp; Stuff'!CL:DM,3,FALSE)</f>
        <v>-</v>
      </c>
      <c r="F421" s="114">
        <f>VLOOKUP(C421,'Talente &amp; Stuff'!CL:DM,4,FALSE)</f>
        <v>0</v>
      </c>
      <c r="G421" s="113">
        <f>VLOOKUP(C421,'Talente &amp; Stuff'!CL:DM,5,FALSE)</f>
        <v>0</v>
      </c>
      <c r="H421" s="113">
        <f>VLOOKUP(C421,'Talente &amp; Stuff'!CL:DM,6,FALSE)</f>
        <v>0</v>
      </c>
      <c r="I421" s="113">
        <f>VLOOKUP(C421,'Talente &amp; Stuff'!CL:DM,7,FALSE)</f>
        <v>0</v>
      </c>
      <c r="J421" s="113">
        <f>VLOOKUP(C421,'Talente &amp; Stuff'!CL:DM,8,FALSE)</f>
        <v>0</v>
      </c>
      <c r="K421" s="113">
        <f>VLOOKUP(C421,'Talente &amp; Stuff'!CL:DM,9,FALSE)</f>
        <v>0</v>
      </c>
      <c r="L421" s="113">
        <f>VLOOKUP(C421,'Talente &amp; Stuff'!CL:DM,10,FALSE)</f>
        <v>0</v>
      </c>
      <c r="M421" s="119">
        <f>VLOOKUP(C421,'Talente &amp; Stuff'!CL:DM,11,FALSE)</f>
        <v>0</v>
      </c>
      <c r="N421" s="47">
        <f>VLOOKUP(C421,'Talente &amp; Stuff'!CL:DM,12,FALSE)</f>
        <v>0</v>
      </c>
      <c r="O421" s="47">
        <f>VLOOKUP(C421,'Talente &amp; Stuff'!CL:DM,13,FALSE)</f>
        <v>0</v>
      </c>
      <c r="P421" s="113">
        <f>VLOOKUP(C421,'Talente &amp; Stuff'!CL:DM,14,FALSE)</f>
        <v>0</v>
      </c>
      <c r="Q421" s="114">
        <f>VLOOKUP(C421,'Talente &amp; Stuff'!CL:DM,15,FALSE)</f>
        <v>0</v>
      </c>
      <c r="R421" s="113">
        <f>VLOOKUP(C421,'Talente &amp; Stuff'!CL:DM,16,FALSE)</f>
        <v>0</v>
      </c>
      <c r="S421" s="119">
        <f>VLOOKUP(C421,'Talente &amp; Stuff'!CL:DM,17,FALSE)</f>
        <v>0</v>
      </c>
      <c r="T421" s="160">
        <f>VLOOKUP(C421,'Talente &amp; Stuff'!CL:DM,18,FALSE)</f>
        <v>0</v>
      </c>
      <c r="U421" s="89">
        <f>VLOOKUP(C421,'Talente &amp; Stuff'!CL:DM,19,FALSE)</f>
        <v>0</v>
      </c>
      <c r="V421" s="47">
        <f>VLOOKUP(C421,'Talente &amp; Stuff'!CL:DM,20,FALSE)</f>
        <v>0</v>
      </c>
      <c r="W421" s="127">
        <f>VLOOKUP(C421,'Talente &amp; Stuff'!CL:DM,21,FALSE)</f>
        <v>0</v>
      </c>
      <c r="X421" s="127">
        <f>VLOOKUP(C421,'Talente &amp; Stuff'!CL:DM,22,FALSE)</f>
        <v>0</v>
      </c>
      <c r="Y421" s="165">
        <f>VLOOKUP(C421,Ausgewählte_Liturgien_Peraine,110,FALSE)</f>
        <v>0</v>
      </c>
      <c r="Z421" s="44">
        <f>VLOOKUP(C421,Ausgewählte_Liturgien_Peraine,111,FALSE)</f>
        <v>0</v>
      </c>
      <c r="AA421" s="125">
        <f>VLOOKUP(C421,'Talente &amp; Stuff'!CL:DM,25,FALSE)</f>
        <v>0</v>
      </c>
      <c r="AB421" s="160">
        <f>VLOOKUP(C421,'Talente &amp; Stuff'!CL:DM,26,FALSE)</f>
        <v>0</v>
      </c>
      <c r="AC421" s="127">
        <f>VLOOKUP(C421,'Talente &amp; Stuff'!CL:DM,27,FALSE)</f>
        <v>0</v>
      </c>
      <c r="AD421" s="125">
        <f>VLOOKUP(C421,'Talente &amp; Stuff'!CL:DM,28,FALSE)</f>
        <v>0</v>
      </c>
      <c r="AE421" s="28"/>
    </row>
    <row r="422" spans="2:31" ht="15" hidden="1" customHeight="1" outlineLevel="2">
      <c r="B422" s="148">
        <v>4</v>
      </c>
      <c r="C422" s="177" t="str">
        <f>Attribute!C422</f>
        <v>---</v>
      </c>
      <c r="D422" s="125" t="str">
        <f>VLOOKUP(C422,'Talente &amp; Stuff'!CL:DM,2,FALSE)</f>
        <v>--/--/--</v>
      </c>
      <c r="E422" s="47" t="str">
        <f>VLOOKUP(C422,'Talente &amp; Stuff'!CL:DM,3,FALSE)</f>
        <v>-</v>
      </c>
      <c r="F422" s="114">
        <f>VLOOKUP(C422,'Talente &amp; Stuff'!CL:DM,4,FALSE)</f>
        <v>0</v>
      </c>
      <c r="G422" s="113">
        <f>VLOOKUP(C422,'Talente &amp; Stuff'!CL:DM,5,FALSE)</f>
        <v>0</v>
      </c>
      <c r="H422" s="113">
        <f>VLOOKUP(C422,'Talente &amp; Stuff'!CL:DM,6,FALSE)</f>
        <v>0</v>
      </c>
      <c r="I422" s="113">
        <f>VLOOKUP(C422,'Talente &amp; Stuff'!CL:DM,7,FALSE)</f>
        <v>0</v>
      </c>
      <c r="J422" s="113">
        <f>VLOOKUP(C422,'Talente &amp; Stuff'!CL:DM,8,FALSE)</f>
        <v>0</v>
      </c>
      <c r="K422" s="113">
        <f>VLOOKUP(C422,'Talente &amp; Stuff'!CL:DM,9,FALSE)</f>
        <v>0</v>
      </c>
      <c r="L422" s="113">
        <f>VLOOKUP(C422,'Talente &amp; Stuff'!CL:DM,10,FALSE)</f>
        <v>0</v>
      </c>
      <c r="M422" s="119">
        <f>VLOOKUP(C422,'Talente &amp; Stuff'!CL:DM,11,FALSE)</f>
        <v>0</v>
      </c>
      <c r="N422" s="47">
        <f>VLOOKUP(C422,'Talente &amp; Stuff'!CL:DM,12,FALSE)</f>
        <v>0</v>
      </c>
      <c r="O422" s="47">
        <f>VLOOKUP(C422,'Talente &amp; Stuff'!CL:DM,13,FALSE)</f>
        <v>0</v>
      </c>
      <c r="P422" s="113">
        <f>VLOOKUP(C422,'Talente &amp; Stuff'!CL:DM,14,FALSE)</f>
        <v>0</v>
      </c>
      <c r="Q422" s="114">
        <f>VLOOKUP(C422,'Talente &amp; Stuff'!CL:DM,15,FALSE)</f>
        <v>0</v>
      </c>
      <c r="R422" s="113">
        <f>VLOOKUP(C422,'Talente &amp; Stuff'!CL:DM,16,FALSE)</f>
        <v>0</v>
      </c>
      <c r="S422" s="119">
        <f>VLOOKUP(C422,'Talente &amp; Stuff'!CL:DM,17,FALSE)</f>
        <v>0</v>
      </c>
      <c r="T422" s="160">
        <f>VLOOKUP(C422,'Talente &amp; Stuff'!CL:DM,18,FALSE)</f>
        <v>0</v>
      </c>
      <c r="U422" s="89">
        <f>VLOOKUP(C422,'Talente &amp; Stuff'!CL:DM,19,FALSE)</f>
        <v>0</v>
      </c>
      <c r="V422" s="47">
        <f>VLOOKUP(C422,'Talente &amp; Stuff'!CL:DM,20,FALSE)</f>
        <v>0</v>
      </c>
      <c r="W422" s="127">
        <f>VLOOKUP(C422,'Talente &amp; Stuff'!CL:DM,21,FALSE)</f>
        <v>0</v>
      </c>
      <c r="X422" s="127">
        <f>VLOOKUP(C422,'Talente &amp; Stuff'!CL:DM,22,FALSE)</f>
        <v>0</v>
      </c>
      <c r="Y422" s="165">
        <f>VLOOKUP(C422,Ausgewählte_Liturgien_Peraine,110,FALSE)</f>
        <v>0</v>
      </c>
      <c r="Z422" s="44">
        <f>VLOOKUP(C422,Ausgewählte_Liturgien_Peraine,111,FALSE)</f>
        <v>0</v>
      </c>
      <c r="AA422" s="125">
        <f>VLOOKUP(C422,'Talente &amp; Stuff'!CL:DM,25,FALSE)</f>
        <v>0</v>
      </c>
      <c r="AB422" s="160">
        <f>VLOOKUP(C422,'Talente &amp; Stuff'!CL:DM,26,FALSE)</f>
        <v>0</v>
      </c>
      <c r="AC422" s="127">
        <f>VLOOKUP(C422,'Talente &amp; Stuff'!CL:DM,27,FALSE)</f>
        <v>0</v>
      </c>
      <c r="AD422" s="125">
        <f>VLOOKUP(C422,'Talente &amp; Stuff'!CL:DM,28,FALSE)</f>
        <v>0</v>
      </c>
      <c r="AE422" s="28"/>
    </row>
    <row r="423" spans="2:31" ht="15" hidden="1" customHeight="1" outlineLevel="2">
      <c r="B423" s="137">
        <v>5</v>
      </c>
      <c r="C423" s="178" t="str">
        <f>Attribute!C423</f>
        <v>---</v>
      </c>
      <c r="D423" s="159" t="str">
        <f>VLOOKUP(C423,'Talente &amp; Stuff'!CL:DM,2,FALSE)</f>
        <v>--/--/--</v>
      </c>
      <c r="E423" s="88" t="str">
        <f>VLOOKUP(C423,'Talente &amp; Stuff'!CL:DM,3,FALSE)</f>
        <v>-</v>
      </c>
      <c r="F423" s="115">
        <f>VLOOKUP(C423,'Talente &amp; Stuff'!CL:DM,4,FALSE)</f>
        <v>0</v>
      </c>
      <c r="G423" s="122">
        <f>VLOOKUP(C423,'Talente &amp; Stuff'!CL:DM,5,FALSE)</f>
        <v>0</v>
      </c>
      <c r="H423" s="122">
        <f>VLOOKUP(C423,'Talente &amp; Stuff'!CL:DM,6,FALSE)</f>
        <v>0</v>
      </c>
      <c r="I423" s="122">
        <f>VLOOKUP(C423,'Talente &amp; Stuff'!CL:DM,7,FALSE)</f>
        <v>0</v>
      </c>
      <c r="J423" s="122">
        <f>VLOOKUP(C423,'Talente &amp; Stuff'!CL:DM,8,FALSE)</f>
        <v>0</v>
      </c>
      <c r="K423" s="122">
        <f>VLOOKUP(C423,'Talente &amp; Stuff'!CL:DM,9,FALSE)</f>
        <v>0</v>
      </c>
      <c r="L423" s="122">
        <f>VLOOKUP(C423,'Talente &amp; Stuff'!CL:DM,10,FALSE)</f>
        <v>0</v>
      </c>
      <c r="M423" s="123">
        <f>VLOOKUP(C423,'Talente &amp; Stuff'!CL:DM,11,FALSE)</f>
        <v>0</v>
      </c>
      <c r="N423" s="88">
        <f>VLOOKUP(C423,'Talente &amp; Stuff'!CL:DM,12,FALSE)</f>
        <v>0</v>
      </c>
      <c r="O423" s="88">
        <f>VLOOKUP(C423,'Talente &amp; Stuff'!CL:DM,13,FALSE)</f>
        <v>0</v>
      </c>
      <c r="P423" s="122">
        <f>VLOOKUP(C423,'Talente &amp; Stuff'!CL:DM,14,FALSE)</f>
        <v>0</v>
      </c>
      <c r="Q423" s="115">
        <f>VLOOKUP(C423,'Talente &amp; Stuff'!CL:DM,15,FALSE)</f>
        <v>0</v>
      </c>
      <c r="R423" s="122">
        <f>VLOOKUP(C423,'Talente &amp; Stuff'!CL:DM,16,FALSE)</f>
        <v>0</v>
      </c>
      <c r="S423" s="123">
        <f>VLOOKUP(C423,'Talente &amp; Stuff'!CL:DM,17,FALSE)</f>
        <v>0</v>
      </c>
      <c r="T423" s="161">
        <f>VLOOKUP(C423,'Talente &amp; Stuff'!CL:DM,18,FALSE)</f>
        <v>0</v>
      </c>
      <c r="U423" s="90">
        <f>VLOOKUP(C423,'Talente &amp; Stuff'!CL:DM,19,FALSE)</f>
        <v>0</v>
      </c>
      <c r="V423" s="88">
        <f>VLOOKUP(C423,'Talente &amp; Stuff'!CL:DM,20,FALSE)</f>
        <v>0</v>
      </c>
      <c r="W423" s="128">
        <f>VLOOKUP(C423,'Talente &amp; Stuff'!CL:DM,21,FALSE)</f>
        <v>0</v>
      </c>
      <c r="X423" s="128">
        <f>VLOOKUP(C423,'Talente &amp; Stuff'!CL:DM,22,FALSE)</f>
        <v>0</v>
      </c>
      <c r="Y423" s="165">
        <f>VLOOKUP(C423,Ausgewählte_Liturgien_Peraine,110,FALSE)</f>
        <v>0</v>
      </c>
      <c r="Z423" s="44">
        <f>VLOOKUP(C423,Ausgewählte_Liturgien_Peraine,111,FALSE)</f>
        <v>0</v>
      </c>
      <c r="AA423" s="159">
        <f>VLOOKUP(C423,'Talente &amp; Stuff'!CL:DM,25,FALSE)</f>
        <v>0</v>
      </c>
      <c r="AB423" s="161">
        <f>VLOOKUP(C423,'Talente &amp; Stuff'!CL:DM,26,FALSE)</f>
        <v>0</v>
      </c>
      <c r="AC423" s="128">
        <f>VLOOKUP(C423,'Talente &amp; Stuff'!CL:DM,27,FALSE)</f>
        <v>0</v>
      </c>
      <c r="AD423" s="159">
        <f>VLOOKUP(C423,'Talente &amp; Stuff'!CL:DM,28,FALSE)</f>
        <v>0</v>
      </c>
      <c r="AE423" s="28"/>
    </row>
    <row r="424" spans="2:31" ht="15" hidden="1" customHeight="1" outlineLevel="1" collapsed="1">
      <c r="B424" s="134" t="s">
        <v>323</v>
      </c>
      <c r="C424" s="83"/>
      <c r="D424" s="84"/>
      <c r="E424" s="84"/>
    </row>
    <row r="425" spans="2:31" ht="15" hidden="1" customHeight="1" outlineLevel="2">
      <c r="B425" s="148">
        <v>1</v>
      </c>
      <c r="C425" s="176" t="str">
        <f>Attribute!C425</f>
        <v>---</v>
      </c>
      <c r="D425" s="158" t="str">
        <f>VLOOKUP(C425,'Talente &amp; Stuff'!CL:DM,2,FALSE)</f>
        <v>--/--/--</v>
      </c>
      <c r="E425" s="116" t="str">
        <f>VLOOKUP(C425,'Talente &amp; Stuff'!CL:DM,3,FALSE)</f>
        <v>-</v>
      </c>
      <c r="F425" s="191">
        <f>VLOOKUP(C425,'Talente &amp; Stuff'!CL:DM,4,FALSE)</f>
        <v>0</v>
      </c>
      <c r="G425" s="118">
        <f>VLOOKUP(C425,'Talente &amp; Stuff'!CL:DM,5,FALSE)</f>
        <v>0</v>
      </c>
      <c r="H425" s="118">
        <f>VLOOKUP(C425,'Talente &amp; Stuff'!CL:DM,6,FALSE)</f>
        <v>0</v>
      </c>
      <c r="I425" s="118">
        <f>VLOOKUP(C425,'Talente &amp; Stuff'!CL:DM,7,FALSE)</f>
        <v>0</v>
      </c>
      <c r="J425" s="118">
        <f>VLOOKUP(C425,'Talente &amp; Stuff'!CL:DM,8,FALSE)</f>
        <v>0</v>
      </c>
      <c r="K425" s="118">
        <f>VLOOKUP(C425,'Talente &amp; Stuff'!CL:DM,9,FALSE)</f>
        <v>0</v>
      </c>
      <c r="L425" s="118">
        <f>VLOOKUP(C425,'Talente &amp; Stuff'!CL:DM,10,FALSE)</f>
        <v>0</v>
      </c>
      <c r="M425" s="92">
        <f>VLOOKUP(C425,'Talente &amp; Stuff'!CL:DM,11,FALSE)</f>
        <v>0</v>
      </c>
      <c r="N425" s="116">
        <f>VLOOKUP(C425,'Talente &amp; Stuff'!CL:DM,12,FALSE)</f>
        <v>0</v>
      </c>
      <c r="O425" s="116">
        <f>VLOOKUP(C425,'Talente &amp; Stuff'!CL:DM,13,FALSE)</f>
        <v>0</v>
      </c>
      <c r="P425" s="118">
        <f>VLOOKUP(C425,'Talente &amp; Stuff'!CL:DM,14,FALSE)</f>
        <v>0</v>
      </c>
      <c r="Q425" s="191">
        <f>VLOOKUP(C425,'Talente &amp; Stuff'!CL:DM,15,FALSE)</f>
        <v>0</v>
      </c>
      <c r="R425" s="118">
        <f>VLOOKUP(C425,'Talente &amp; Stuff'!CL:DM,16,FALSE)</f>
        <v>0</v>
      </c>
      <c r="S425" s="92">
        <f>VLOOKUP(C425,'Talente &amp; Stuff'!CL:DM,17,FALSE)</f>
        <v>0</v>
      </c>
      <c r="T425" s="91">
        <f>VLOOKUP(C425,'Talente &amp; Stuff'!CL:DM,18,FALSE)</f>
        <v>0</v>
      </c>
      <c r="U425" s="193">
        <f>VLOOKUP(C425,'Talente &amp; Stuff'!CL:DM,19,FALSE)</f>
        <v>0</v>
      </c>
      <c r="V425" s="116">
        <f>VLOOKUP(C425,'Talente &amp; Stuff'!CL:DM,20,FALSE)</f>
        <v>0</v>
      </c>
      <c r="W425" s="126">
        <f>VLOOKUP(C425,'Talente &amp; Stuff'!CL:DM,21,FALSE)</f>
        <v>0</v>
      </c>
      <c r="X425" s="126">
        <f>VLOOKUP(C425,'Talente &amp; Stuff'!CL:DM,22,FALSE)</f>
        <v>0</v>
      </c>
      <c r="Y425" s="165">
        <f t="shared" ref="Y425:Y432" si="34">VLOOKUP(C425,Ausgewählte_Liturgien_Phex,110,FALSE)</f>
        <v>0</v>
      </c>
      <c r="Z425" s="44">
        <f t="shared" ref="Z425:Z432" si="35">VLOOKUP(C425,Ausgewählte_Liturgien_Phex,111,FALSE)</f>
        <v>0</v>
      </c>
      <c r="AA425" s="158">
        <f>VLOOKUP(C425,'Talente &amp; Stuff'!CL:DM,25,FALSE)</f>
        <v>0</v>
      </c>
      <c r="AB425" s="91">
        <f>VLOOKUP(C425,'Talente &amp; Stuff'!CL:DM,26,FALSE)</f>
        <v>0</v>
      </c>
      <c r="AC425" s="126">
        <f>VLOOKUP(C425,'Talente &amp; Stuff'!CL:DM,27,FALSE)</f>
        <v>0</v>
      </c>
      <c r="AD425" s="158">
        <f>VLOOKUP(C425,'Talente &amp; Stuff'!CL:DM,28,FALSE)</f>
        <v>0</v>
      </c>
      <c r="AE425" s="28"/>
    </row>
    <row r="426" spans="2:31" ht="15" hidden="1" customHeight="1" outlineLevel="2">
      <c r="B426" s="148">
        <v>2</v>
      </c>
      <c r="C426" s="177" t="str">
        <f>Attribute!C426</f>
        <v>---</v>
      </c>
      <c r="D426" s="125" t="str">
        <f>VLOOKUP(C426,'Talente &amp; Stuff'!CL:DM,2,FALSE)</f>
        <v>--/--/--</v>
      </c>
      <c r="E426" s="47" t="str">
        <f>VLOOKUP(C426,'Talente &amp; Stuff'!CL:DM,3,FALSE)</f>
        <v>-</v>
      </c>
      <c r="F426" s="114">
        <f>VLOOKUP(C426,'Talente &amp; Stuff'!CL:DM,4,FALSE)</f>
        <v>0</v>
      </c>
      <c r="G426" s="113">
        <f>VLOOKUP(C426,'Talente &amp; Stuff'!CL:DM,5,FALSE)</f>
        <v>0</v>
      </c>
      <c r="H426" s="113">
        <f>VLOOKUP(C426,'Talente &amp; Stuff'!CL:DM,6,FALSE)</f>
        <v>0</v>
      </c>
      <c r="I426" s="113">
        <f>VLOOKUP(C426,'Talente &amp; Stuff'!CL:DM,7,FALSE)</f>
        <v>0</v>
      </c>
      <c r="J426" s="113">
        <f>VLOOKUP(C426,'Talente &amp; Stuff'!CL:DM,8,FALSE)</f>
        <v>0</v>
      </c>
      <c r="K426" s="113">
        <f>VLOOKUP(C426,'Talente &amp; Stuff'!CL:DM,9,FALSE)</f>
        <v>0</v>
      </c>
      <c r="L426" s="113">
        <f>VLOOKUP(C426,'Talente &amp; Stuff'!CL:DM,10,FALSE)</f>
        <v>0</v>
      </c>
      <c r="M426" s="119">
        <f>VLOOKUP(C426,'Talente &amp; Stuff'!CL:DM,11,FALSE)</f>
        <v>0</v>
      </c>
      <c r="N426" s="47">
        <f>VLOOKUP(C426,'Talente &amp; Stuff'!CL:DM,12,FALSE)</f>
        <v>0</v>
      </c>
      <c r="O426" s="47">
        <f>VLOOKUP(C426,'Talente &amp; Stuff'!CL:DM,13,FALSE)</f>
        <v>0</v>
      </c>
      <c r="P426" s="113">
        <f>VLOOKUP(C426,'Talente &amp; Stuff'!CL:DM,14,FALSE)</f>
        <v>0</v>
      </c>
      <c r="Q426" s="114">
        <f>VLOOKUP(C426,'Talente &amp; Stuff'!CL:DM,15,FALSE)</f>
        <v>0</v>
      </c>
      <c r="R426" s="113">
        <f>VLOOKUP(C426,'Talente &amp; Stuff'!CL:DM,16,FALSE)</f>
        <v>0</v>
      </c>
      <c r="S426" s="119">
        <f>VLOOKUP(C426,'Talente &amp; Stuff'!CL:DM,17,FALSE)</f>
        <v>0</v>
      </c>
      <c r="T426" s="160">
        <f>VLOOKUP(C426,'Talente &amp; Stuff'!CL:DM,18,FALSE)</f>
        <v>0</v>
      </c>
      <c r="U426" s="89">
        <f>VLOOKUP(C426,'Talente &amp; Stuff'!CL:DM,19,FALSE)</f>
        <v>0</v>
      </c>
      <c r="V426" s="47">
        <f>VLOOKUP(C426,'Talente &amp; Stuff'!CL:DM,20,FALSE)</f>
        <v>0</v>
      </c>
      <c r="W426" s="127">
        <f>VLOOKUP(C426,'Talente &amp; Stuff'!CL:DM,21,FALSE)</f>
        <v>0</v>
      </c>
      <c r="X426" s="127">
        <f>VLOOKUP(C426,'Talente &amp; Stuff'!CL:DM,22,FALSE)</f>
        <v>0</v>
      </c>
      <c r="Y426" s="165">
        <f t="shared" si="34"/>
        <v>0</v>
      </c>
      <c r="Z426" s="44">
        <f t="shared" si="35"/>
        <v>0</v>
      </c>
      <c r="AA426" s="125">
        <f>VLOOKUP(C426,'Talente &amp; Stuff'!CL:DM,25,FALSE)</f>
        <v>0</v>
      </c>
      <c r="AB426" s="160">
        <f>VLOOKUP(C426,'Talente &amp; Stuff'!CL:DM,26,FALSE)</f>
        <v>0</v>
      </c>
      <c r="AC426" s="127">
        <f>VLOOKUP(C426,'Talente &amp; Stuff'!CL:DM,27,FALSE)</f>
        <v>0</v>
      </c>
      <c r="AD426" s="125">
        <f>VLOOKUP(C426,'Talente &amp; Stuff'!CL:DM,28,FALSE)</f>
        <v>0</v>
      </c>
      <c r="AE426" s="28"/>
    </row>
    <row r="427" spans="2:31" ht="15" hidden="1" customHeight="1" outlineLevel="2">
      <c r="B427" s="148">
        <v>3</v>
      </c>
      <c r="C427" s="177" t="str">
        <f>Attribute!C427</f>
        <v>---</v>
      </c>
      <c r="D427" s="125" t="str">
        <f>VLOOKUP(C427,'Talente &amp; Stuff'!CL:DM,2,FALSE)</f>
        <v>--/--/--</v>
      </c>
      <c r="E427" s="47" t="str">
        <f>VLOOKUP(C427,'Talente &amp; Stuff'!CL:DM,3,FALSE)</f>
        <v>-</v>
      </c>
      <c r="F427" s="114">
        <f>VLOOKUP(C427,'Talente &amp; Stuff'!CL:DM,4,FALSE)</f>
        <v>0</v>
      </c>
      <c r="G427" s="113">
        <f>VLOOKUP(C427,'Talente &amp; Stuff'!CL:DM,5,FALSE)</f>
        <v>0</v>
      </c>
      <c r="H427" s="113">
        <f>VLOOKUP(C427,'Talente &amp; Stuff'!CL:DM,6,FALSE)</f>
        <v>0</v>
      </c>
      <c r="I427" s="113">
        <f>VLOOKUP(C427,'Talente &amp; Stuff'!CL:DM,7,FALSE)</f>
        <v>0</v>
      </c>
      <c r="J427" s="113">
        <f>VLOOKUP(C427,'Talente &amp; Stuff'!CL:DM,8,FALSE)</f>
        <v>0</v>
      </c>
      <c r="K427" s="113">
        <f>VLOOKUP(C427,'Talente &amp; Stuff'!CL:DM,9,FALSE)</f>
        <v>0</v>
      </c>
      <c r="L427" s="113">
        <f>VLOOKUP(C427,'Talente &amp; Stuff'!CL:DM,10,FALSE)</f>
        <v>0</v>
      </c>
      <c r="M427" s="119">
        <f>VLOOKUP(C427,'Talente &amp; Stuff'!CL:DM,11,FALSE)</f>
        <v>0</v>
      </c>
      <c r="N427" s="47">
        <f>VLOOKUP(C427,'Talente &amp; Stuff'!CL:DM,12,FALSE)</f>
        <v>0</v>
      </c>
      <c r="O427" s="47">
        <f>VLOOKUP(C427,'Talente &amp; Stuff'!CL:DM,13,FALSE)</f>
        <v>0</v>
      </c>
      <c r="P427" s="113">
        <f>VLOOKUP(C427,'Talente &amp; Stuff'!CL:DM,14,FALSE)</f>
        <v>0</v>
      </c>
      <c r="Q427" s="114">
        <f>VLOOKUP(C427,'Talente &amp; Stuff'!CL:DM,15,FALSE)</f>
        <v>0</v>
      </c>
      <c r="R427" s="113">
        <f>VLOOKUP(C427,'Talente &amp; Stuff'!CL:DM,16,FALSE)</f>
        <v>0</v>
      </c>
      <c r="S427" s="119">
        <f>VLOOKUP(C427,'Talente &amp; Stuff'!CL:DM,17,FALSE)</f>
        <v>0</v>
      </c>
      <c r="T427" s="160">
        <f>VLOOKUP(C427,'Talente &amp; Stuff'!CL:DM,18,FALSE)</f>
        <v>0</v>
      </c>
      <c r="U427" s="89">
        <f>VLOOKUP(C427,'Talente &amp; Stuff'!CL:DM,19,FALSE)</f>
        <v>0</v>
      </c>
      <c r="V427" s="47">
        <f>VLOOKUP(C427,'Talente &amp; Stuff'!CL:DM,20,FALSE)</f>
        <v>0</v>
      </c>
      <c r="W427" s="127">
        <f>VLOOKUP(C427,'Talente &amp; Stuff'!CL:DM,21,FALSE)</f>
        <v>0</v>
      </c>
      <c r="X427" s="127">
        <f>VLOOKUP(C427,'Talente &amp; Stuff'!CL:DM,22,FALSE)</f>
        <v>0</v>
      </c>
      <c r="Y427" s="165">
        <f t="shared" si="34"/>
        <v>0</v>
      </c>
      <c r="Z427" s="44">
        <f t="shared" si="35"/>
        <v>0</v>
      </c>
      <c r="AA427" s="125">
        <f>VLOOKUP(C427,'Talente &amp; Stuff'!CL:DM,25,FALSE)</f>
        <v>0</v>
      </c>
      <c r="AB427" s="160">
        <f>VLOOKUP(C427,'Talente &amp; Stuff'!CL:DM,26,FALSE)</f>
        <v>0</v>
      </c>
      <c r="AC427" s="127">
        <f>VLOOKUP(C427,'Talente &amp; Stuff'!CL:DM,27,FALSE)</f>
        <v>0</v>
      </c>
      <c r="AD427" s="125">
        <f>VLOOKUP(C427,'Talente &amp; Stuff'!CL:DM,28,FALSE)</f>
        <v>0</v>
      </c>
      <c r="AE427" s="28"/>
    </row>
    <row r="428" spans="2:31" ht="15" hidden="1" customHeight="1" outlineLevel="2">
      <c r="B428" s="148">
        <v>4</v>
      </c>
      <c r="C428" s="177" t="str">
        <f>Attribute!C428</f>
        <v>---</v>
      </c>
      <c r="D428" s="125" t="str">
        <f>VLOOKUP(C428,'Talente &amp; Stuff'!CL:DM,2,FALSE)</f>
        <v>--/--/--</v>
      </c>
      <c r="E428" s="47" t="str">
        <f>VLOOKUP(C428,'Talente &amp; Stuff'!CL:DM,3,FALSE)</f>
        <v>-</v>
      </c>
      <c r="F428" s="114">
        <f>VLOOKUP(C428,'Talente &amp; Stuff'!CL:DM,4,FALSE)</f>
        <v>0</v>
      </c>
      <c r="G428" s="113">
        <f>VLOOKUP(C428,'Talente &amp; Stuff'!CL:DM,5,FALSE)</f>
        <v>0</v>
      </c>
      <c r="H428" s="113">
        <f>VLOOKUP(C428,'Talente &amp; Stuff'!CL:DM,6,FALSE)</f>
        <v>0</v>
      </c>
      <c r="I428" s="113">
        <f>VLOOKUP(C428,'Talente &amp; Stuff'!CL:DM,7,FALSE)</f>
        <v>0</v>
      </c>
      <c r="J428" s="113">
        <f>VLOOKUP(C428,'Talente &amp; Stuff'!CL:DM,8,FALSE)</f>
        <v>0</v>
      </c>
      <c r="K428" s="113">
        <f>VLOOKUP(C428,'Talente &amp; Stuff'!CL:DM,9,FALSE)</f>
        <v>0</v>
      </c>
      <c r="L428" s="113">
        <f>VLOOKUP(C428,'Talente &amp; Stuff'!CL:DM,10,FALSE)</f>
        <v>0</v>
      </c>
      <c r="M428" s="119">
        <f>VLOOKUP(C428,'Talente &amp; Stuff'!CL:DM,11,FALSE)</f>
        <v>0</v>
      </c>
      <c r="N428" s="47">
        <f>VLOOKUP(C428,'Talente &amp; Stuff'!CL:DM,12,FALSE)</f>
        <v>0</v>
      </c>
      <c r="O428" s="47">
        <f>VLOOKUP(C428,'Talente &amp; Stuff'!CL:DM,13,FALSE)</f>
        <v>0</v>
      </c>
      <c r="P428" s="113">
        <f>VLOOKUP(C428,'Talente &amp; Stuff'!CL:DM,14,FALSE)</f>
        <v>0</v>
      </c>
      <c r="Q428" s="114">
        <f>VLOOKUP(C428,'Talente &amp; Stuff'!CL:DM,15,FALSE)</f>
        <v>0</v>
      </c>
      <c r="R428" s="113">
        <f>VLOOKUP(C428,'Talente &amp; Stuff'!CL:DM,16,FALSE)</f>
        <v>0</v>
      </c>
      <c r="S428" s="119">
        <f>VLOOKUP(C428,'Talente &amp; Stuff'!CL:DM,17,FALSE)</f>
        <v>0</v>
      </c>
      <c r="T428" s="160">
        <f>VLOOKUP(C428,'Talente &amp; Stuff'!CL:DM,18,FALSE)</f>
        <v>0</v>
      </c>
      <c r="U428" s="89">
        <f>VLOOKUP(C428,'Talente &amp; Stuff'!CL:DM,19,FALSE)</f>
        <v>0</v>
      </c>
      <c r="V428" s="47">
        <f>VLOOKUP(C428,'Talente &amp; Stuff'!CL:DM,20,FALSE)</f>
        <v>0</v>
      </c>
      <c r="W428" s="127">
        <f>VLOOKUP(C428,'Talente &amp; Stuff'!CL:DM,21,FALSE)</f>
        <v>0</v>
      </c>
      <c r="X428" s="127">
        <f>VLOOKUP(C428,'Talente &amp; Stuff'!CL:DM,22,FALSE)</f>
        <v>0</v>
      </c>
      <c r="Y428" s="165">
        <f t="shared" si="34"/>
        <v>0</v>
      </c>
      <c r="Z428" s="44">
        <f t="shared" si="35"/>
        <v>0</v>
      </c>
      <c r="AA428" s="125">
        <f>VLOOKUP(C428,'Talente &amp; Stuff'!CL:DM,25,FALSE)</f>
        <v>0</v>
      </c>
      <c r="AB428" s="160">
        <f>VLOOKUP(C428,'Talente &amp; Stuff'!CL:DM,26,FALSE)</f>
        <v>0</v>
      </c>
      <c r="AC428" s="127">
        <f>VLOOKUP(C428,'Talente &amp; Stuff'!CL:DM,27,FALSE)</f>
        <v>0</v>
      </c>
      <c r="AD428" s="125">
        <f>VLOOKUP(C428,'Talente &amp; Stuff'!CL:DM,28,FALSE)</f>
        <v>0</v>
      </c>
      <c r="AE428" s="28"/>
    </row>
    <row r="429" spans="2:31" ht="15" hidden="1" customHeight="1" outlineLevel="2">
      <c r="B429" s="148">
        <v>5</v>
      </c>
      <c r="C429" s="177" t="str">
        <f>Attribute!C429</f>
        <v>---</v>
      </c>
      <c r="D429" s="125" t="str">
        <f>VLOOKUP(C429,'Talente &amp; Stuff'!CL:DM,2,FALSE)</f>
        <v>--/--/--</v>
      </c>
      <c r="E429" s="47" t="str">
        <f>VLOOKUP(C429,'Talente &amp; Stuff'!CL:DM,3,FALSE)</f>
        <v>-</v>
      </c>
      <c r="F429" s="114">
        <f>VLOOKUP(C429,'Talente &amp; Stuff'!CL:DM,4,FALSE)</f>
        <v>0</v>
      </c>
      <c r="G429" s="113">
        <f>VLOOKUP(C429,'Talente &amp; Stuff'!CL:DM,5,FALSE)</f>
        <v>0</v>
      </c>
      <c r="H429" s="113">
        <f>VLOOKUP(C429,'Talente &amp; Stuff'!CL:DM,6,FALSE)</f>
        <v>0</v>
      </c>
      <c r="I429" s="113">
        <f>VLOOKUP(C429,'Talente &amp; Stuff'!CL:DM,7,FALSE)</f>
        <v>0</v>
      </c>
      <c r="J429" s="113">
        <f>VLOOKUP(C429,'Talente &amp; Stuff'!CL:DM,8,FALSE)</f>
        <v>0</v>
      </c>
      <c r="K429" s="113">
        <f>VLOOKUP(C429,'Talente &amp; Stuff'!CL:DM,9,FALSE)</f>
        <v>0</v>
      </c>
      <c r="L429" s="113">
        <f>VLOOKUP(C429,'Talente &amp; Stuff'!CL:DM,10,FALSE)</f>
        <v>0</v>
      </c>
      <c r="M429" s="119">
        <f>VLOOKUP(C429,'Talente &amp; Stuff'!CL:DM,11,FALSE)</f>
        <v>0</v>
      </c>
      <c r="N429" s="47">
        <f>VLOOKUP(C429,'Talente &amp; Stuff'!CL:DM,12,FALSE)</f>
        <v>0</v>
      </c>
      <c r="O429" s="47">
        <f>VLOOKUP(C429,'Talente &amp; Stuff'!CL:DM,13,FALSE)</f>
        <v>0</v>
      </c>
      <c r="P429" s="113">
        <f>VLOOKUP(C429,'Talente &amp; Stuff'!CL:DM,14,FALSE)</f>
        <v>0</v>
      </c>
      <c r="Q429" s="114">
        <f>VLOOKUP(C429,'Talente &amp; Stuff'!CL:DM,15,FALSE)</f>
        <v>0</v>
      </c>
      <c r="R429" s="113">
        <f>VLOOKUP(C429,'Talente &amp; Stuff'!CL:DM,16,FALSE)</f>
        <v>0</v>
      </c>
      <c r="S429" s="119">
        <f>VLOOKUP(C429,'Talente &amp; Stuff'!CL:DM,17,FALSE)</f>
        <v>0</v>
      </c>
      <c r="T429" s="160">
        <f>VLOOKUP(C429,'Talente &amp; Stuff'!CL:DM,18,FALSE)</f>
        <v>0</v>
      </c>
      <c r="U429" s="89">
        <f>VLOOKUP(C429,'Talente &amp; Stuff'!CL:DM,19,FALSE)</f>
        <v>0</v>
      </c>
      <c r="V429" s="47">
        <f>VLOOKUP(C429,'Talente &amp; Stuff'!CL:DM,20,FALSE)</f>
        <v>0</v>
      </c>
      <c r="W429" s="127">
        <f>VLOOKUP(C429,'Talente &amp; Stuff'!CL:DM,21,FALSE)</f>
        <v>0</v>
      </c>
      <c r="X429" s="127">
        <f>VLOOKUP(C429,'Talente &amp; Stuff'!CL:DM,22,FALSE)</f>
        <v>0</v>
      </c>
      <c r="Y429" s="165">
        <f t="shared" si="34"/>
        <v>0</v>
      </c>
      <c r="Z429" s="44">
        <f t="shared" si="35"/>
        <v>0</v>
      </c>
      <c r="AA429" s="125">
        <f>VLOOKUP(C429,'Talente &amp; Stuff'!CL:DM,25,FALSE)</f>
        <v>0</v>
      </c>
      <c r="AB429" s="160">
        <f>VLOOKUP(C429,'Talente &amp; Stuff'!CL:DM,26,FALSE)</f>
        <v>0</v>
      </c>
      <c r="AC429" s="127">
        <f>VLOOKUP(C429,'Talente &amp; Stuff'!CL:DM,27,FALSE)</f>
        <v>0</v>
      </c>
      <c r="AD429" s="125">
        <f>VLOOKUP(C429,'Talente &amp; Stuff'!CL:DM,28,FALSE)</f>
        <v>0</v>
      </c>
      <c r="AE429" s="28"/>
    </row>
    <row r="430" spans="2:31" ht="15" hidden="1" customHeight="1" outlineLevel="2">
      <c r="B430" s="148">
        <v>6</v>
      </c>
      <c r="C430" s="177" t="str">
        <f>Attribute!C430</f>
        <v>---</v>
      </c>
      <c r="D430" s="125" t="str">
        <f>VLOOKUP(C430,'Talente &amp; Stuff'!CL:DM,2,FALSE)</f>
        <v>--/--/--</v>
      </c>
      <c r="E430" s="47" t="str">
        <f>VLOOKUP(C430,'Talente &amp; Stuff'!CL:DM,3,FALSE)</f>
        <v>-</v>
      </c>
      <c r="F430" s="114">
        <f>VLOOKUP(C430,'Talente &amp; Stuff'!CL:DM,4,FALSE)</f>
        <v>0</v>
      </c>
      <c r="G430" s="113">
        <f>VLOOKUP(C430,'Talente &amp; Stuff'!CL:DM,5,FALSE)</f>
        <v>0</v>
      </c>
      <c r="H430" s="113">
        <f>VLOOKUP(C430,'Talente &amp; Stuff'!CL:DM,6,FALSE)</f>
        <v>0</v>
      </c>
      <c r="I430" s="113">
        <f>VLOOKUP(C430,'Talente &amp; Stuff'!CL:DM,7,FALSE)</f>
        <v>0</v>
      </c>
      <c r="J430" s="113">
        <f>VLOOKUP(C430,'Talente &amp; Stuff'!CL:DM,8,FALSE)</f>
        <v>0</v>
      </c>
      <c r="K430" s="113">
        <f>VLOOKUP(C430,'Talente &amp; Stuff'!CL:DM,9,FALSE)</f>
        <v>0</v>
      </c>
      <c r="L430" s="113">
        <f>VLOOKUP(C430,'Talente &amp; Stuff'!CL:DM,10,FALSE)</f>
        <v>0</v>
      </c>
      <c r="M430" s="119">
        <f>VLOOKUP(C430,'Talente &amp; Stuff'!CL:DM,11,FALSE)</f>
        <v>0</v>
      </c>
      <c r="N430" s="47">
        <f>VLOOKUP(C430,'Talente &amp; Stuff'!CL:DM,12,FALSE)</f>
        <v>0</v>
      </c>
      <c r="O430" s="47">
        <f>VLOOKUP(C430,'Talente &amp; Stuff'!CL:DM,13,FALSE)</f>
        <v>0</v>
      </c>
      <c r="P430" s="113">
        <f>VLOOKUP(C430,'Talente &amp; Stuff'!CL:DM,14,FALSE)</f>
        <v>0</v>
      </c>
      <c r="Q430" s="114">
        <f>VLOOKUP(C430,'Talente &amp; Stuff'!CL:DM,15,FALSE)</f>
        <v>0</v>
      </c>
      <c r="R430" s="113">
        <f>VLOOKUP(C430,'Talente &amp; Stuff'!CL:DM,16,FALSE)</f>
        <v>0</v>
      </c>
      <c r="S430" s="119">
        <f>VLOOKUP(C430,'Talente &amp; Stuff'!CL:DM,17,FALSE)</f>
        <v>0</v>
      </c>
      <c r="T430" s="160">
        <f>VLOOKUP(C430,'Talente &amp; Stuff'!CL:DM,18,FALSE)</f>
        <v>0</v>
      </c>
      <c r="U430" s="89">
        <f>VLOOKUP(C430,'Talente &amp; Stuff'!CL:DM,19,FALSE)</f>
        <v>0</v>
      </c>
      <c r="V430" s="47">
        <f>VLOOKUP(C430,'Talente &amp; Stuff'!CL:DM,20,FALSE)</f>
        <v>0</v>
      </c>
      <c r="W430" s="127">
        <f>VLOOKUP(C430,'Talente &amp; Stuff'!CL:DM,21,FALSE)</f>
        <v>0</v>
      </c>
      <c r="X430" s="127">
        <f>VLOOKUP(C430,'Talente &amp; Stuff'!CL:DM,22,FALSE)</f>
        <v>0</v>
      </c>
      <c r="Y430" s="165">
        <f t="shared" si="34"/>
        <v>0</v>
      </c>
      <c r="Z430" s="44">
        <f t="shared" si="35"/>
        <v>0</v>
      </c>
      <c r="AA430" s="125">
        <f>VLOOKUP(C430,'Talente &amp; Stuff'!CL:DM,25,FALSE)</f>
        <v>0</v>
      </c>
      <c r="AB430" s="160">
        <f>VLOOKUP(C430,'Talente &amp; Stuff'!CL:DM,26,FALSE)</f>
        <v>0</v>
      </c>
      <c r="AC430" s="127">
        <f>VLOOKUP(C430,'Talente &amp; Stuff'!CL:DM,27,FALSE)</f>
        <v>0</v>
      </c>
      <c r="AD430" s="125">
        <f>VLOOKUP(C430,'Talente &amp; Stuff'!CL:DM,28,FALSE)</f>
        <v>0</v>
      </c>
      <c r="AE430" s="28"/>
    </row>
    <row r="431" spans="2:31" ht="15" hidden="1" customHeight="1" outlineLevel="2">
      <c r="B431" s="148">
        <v>7</v>
      </c>
      <c r="C431" s="177" t="str">
        <f>Attribute!C431</f>
        <v>---</v>
      </c>
      <c r="D431" s="125" t="str">
        <f>VLOOKUP(C431,'Talente &amp; Stuff'!CL:DM,2,FALSE)</f>
        <v>--/--/--</v>
      </c>
      <c r="E431" s="47" t="str">
        <f>VLOOKUP(C431,'Talente &amp; Stuff'!CL:DM,3,FALSE)</f>
        <v>-</v>
      </c>
      <c r="F431" s="114">
        <f>VLOOKUP(C431,'Talente &amp; Stuff'!CL:DM,4,FALSE)</f>
        <v>0</v>
      </c>
      <c r="G431" s="113">
        <f>VLOOKUP(C431,'Talente &amp; Stuff'!CL:DM,5,FALSE)</f>
        <v>0</v>
      </c>
      <c r="H431" s="113">
        <f>VLOOKUP(C431,'Talente &amp; Stuff'!CL:DM,6,FALSE)</f>
        <v>0</v>
      </c>
      <c r="I431" s="113">
        <f>VLOOKUP(C431,'Talente &amp; Stuff'!CL:DM,7,FALSE)</f>
        <v>0</v>
      </c>
      <c r="J431" s="113">
        <f>VLOOKUP(C431,'Talente &amp; Stuff'!CL:DM,8,FALSE)</f>
        <v>0</v>
      </c>
      <c r="K431" s="113">
        <f>VLOOKUP(C431,'Talente &amp; Stuff'!CL:DM,9,FALSE)</f>
        <v>0</v>
      </c>
      <c r="L431" s="113">
        <f>VLOOKUP(C431,'Talente &amp; Stuff'!CL:DM,10,FALSE)</f>
        <v>0</v>
      </c>
      <c r="M431" s="119">
        <f>VLOOKUP(C431,'Talente &amp; Stuff'!CL:DM,11,FALSE)</f>
        <v>0</v>
      </c>
      <c r="N431" s="47">
        <f>VLOOKUP(C431,'Talente &amp; Stuff'!CL:DM,12,FALSE)</f>
        <v>0</v>
      </c>
      <c r="O431" s="47">
        <f>VLOOKUP(C431,'Talente &amp; Stuff'!CL:DM,13,FALSE)</f>
        <v>0</v>
      </c>
      <c r="P431" s="113">
        <f>VLOOKUP(C431,'Talente &amp; Stuff'!CL:DM,14,FALSE)</f>
        <v>0</v>
      </c>
      <c r="Q431" s="114">
        <f>VLOOKUP(C431,'Talente &amp; Stuff'!CL:DM,15,FALSE)</f>
        <v>0</v>
      </c>
      <c r="R431" s="113">
        <f>VLOOKUP(C431,'Talente &amp; Stuff'!CL:DM,16,FALSE)</f>
        <v>0</v>
      </c>
      <c r="S431" s="119">
        <f>VLOOKUP(C431,'Talente &amp; Stuff'!CL:DM,17,FALSE)</f>
        <v>0</v>
      </c>
      <c r="T431" s="160">
        <f>VLOOKUP(C431,'Talente &amp; Stuff'!CL:DM,18,FALSE)</f>
        <v>0</v>
      </c>
      <c r="U431" s="89">
        <f>VLOOKUP(C431,'Talente &amp; Stuff'!CL:DM,19,FALSE)</f>
        <v>0</v>
      </c>
      <c r="V431" s="47">
        <f>VLOOKUP(C431,'Talente &amp; Stuff'!CL:DM,20,FALSE)</f>
        <v>0</v>
      </c>
      <c r="W431" s="127">
        <f>VLOOKUP(C431,'Talente &amp; Stuff'!CL:DM,21,FALSE)</f>
        <v>0</v>
      </c>
      <c r="X431" s="127">
        <f>VLOOKUP(C431,'Talente &amp; Stuff'!CL:DM,22,FALSE)</f>
        <v>0</v>
      </c>
      <c r="Y431" s="165">
        <f t="shared" si="34"/>
        <v>0</v>
      </c>
      <c r="Z431" s="44">
        <f t="shared" si="35"/>
        <v>0</v>
      </c>
      <c r="AA431" s="125">
        <f>VLOOKUP(C431,'Talente &amp; Stuff'!CL:DM,25,FALSE)</f>
        <v>0</v>
      </c>
      <c r="AB431" s="160">
        <f>VLOOKUP(C431,'Talente &amp; Stuff'!CL:DM,26,FALSE)</f>
        <v>0</v>
      </c>
      <c r="AC431" s="127">
        <f>VLOOKUP(C431,'Talente &amp; Stuff'!CL:DM,27,FALSE)</f>
        <v>0</v>
      </c>
      <c r="AD431" s="125">
        <f>VLOOKUP(C431,'Talente &amp; Stuff'!CL:DM,28,FALSE)</f>
        <v>0</v>
      </c>
      <c r="AE431" s="28"/>
    </row>
    <row r="432" spans="2:31" ht="15" hidden="1" customHeight="1" outlineLevel="2">
      <c r="B432" s="148">
        <v>8</v>
      </c>
      <c r="C432" s="178" t="str">
        <f>Attribute!C432</f>
        <v>---</v>
      </c>
      <c r="D432" s="159" t="str">
        <f>VLOOKUP(C432,'Talente &amp; Stuff'!CL:DM,2,FALSE)</f>
        <v>--/--/--</v>
      </c>
      <c r="E432" s="88" t="str">
        <f>VLOOKUP(C432,'Talente &amp; Stuff'!CL:DM,3,FALSE)</f>
        <v>-</v>
      </c>
      <c r="F432" s="115">
        <f>VLOOKUP(C432,'Talente &amp; Stuff'!CL:DM,4,FALSE)</f>
        <v>0</v>
      </c>
      <c r="G432" s="122">
        <f>VLOOKUP(C432,'Talente &amp; Stuff'!CL:DM,5,FALSE)</f>
        <v>0</v>
      </c>
      <c r="H432" s="122">
        <f>VLOOKUP(C432,'Talente &amp; Stuff'!CL:DM,6,FALSE)</f>
        <v>0</v>
      </c>
      <c r="I432" s="122">
        <f>VLOOKUP(C432,'Talente &amp; Stuff'!CL:DM,7,FALSE)</f>
        <v>0</v>
      </c>
      <c r="J432" s="122">
        <f>VLOOKUP(C432,'Talente &amp; Stuff'!CL:DM,8,FALSE)</f>
        <v>0</v>
      </c>
      <c r="K432" s="122">
        <f>VLOOKUP(C432,'Talente &amp; Stuff'!CL:DM,9,FALSE)</f>
        <v>0</v>
      </c>
      <c r="L432" s="122">
        <f>VLOOKUP(C432,'Talente &amp; Stuff'!CL:DM,10,FALSE)</f>
        <v>0</v>
      </c>
      <c r="M432" s="123">
        <f>VLOOKUP(C432,'Talente &amp; Stuff'!CL:DM,11,FALSE)</f>
        <v>0</v>
      </c>
      <c r="N432" s="88">
        <f>VLOOKUP(C432,'Talente &amp; Stuff'!CL:DM,12,FALSE)</f>
        <v>0</v>
      </c>
      <c r="O432" s="88">
        <f>VLOOKUP(C432,'Talente &amp; Stuff'!CL:DM,13,FALSE)</f>
        <v>0</v>
      </c>
      <c r="P432" s="122">
        <f>VLOOKUP(C432,'Talente &amp; Stuff'!CL:DM,14,FALSE)</f>
        <v>0</v>
      </c>
      <c r="Q432" s="115">
        <f>VLOOKUP(C432,'Talente &amp; Stuff'!CL:DM,15,FALSE)</f>
        <v>0</v>
      </c>
      <c r="R432" s="122">
        <f>VLOOKUP(C432,'Talente &amp; Stuff'!CL:DM,16,FALSE)</f>
        <v>0</v>
      </c>
      <c r="S432" s="123">
        <f>VLOOKUP(C432,'Talente &amp; Stuff'!CL:DM,17,FALSE)</f>
        <v>0</v>
      </c>
      <c r="T432" s="161">
        <f>VLOOKUP(C432,'Talente &amp; Stuff'!CL:DM,18,FALSE)</f>
        <v>0</v>
      </c>
      <c r="U432" s="90">
        <f>VLOOKUP(C432,'Talente &amp; Stuff'!CL:DM,19,FALSE)</f>
        <v>0</v>
      </c>
      <c r="V432" s="88">
        <f>VLOOKUP(C432,'Talente &amp; Stuff'!CL:DM,20,FALSE)</f>
        <v>0</v>
      </c>
      <c r="W432" s="128">
        <f>VLOOKUP(C432,'Talente &amp; Stuff'!CL:DM,21,FALSE)</f>
        <v>0</v>
      </c>
      <c r="X432" s="128">
        <f>VLOOKUP(C432,'Talente &amp; Stuff'!CL:DM,22,FALSE)</f>
        <v>0</v>
      </c>
      <c r="Y432" s="165">
        <f t="shared" si="34"/>
        <v>0</v>
      </c>
      <c r="Z432" s="44">
        <f t="shared" si="35"/>
        <v>0</v>
      </c>
      <c r="AA432" s="159">
        <f>VLOOKUP(C432,'Talente &amp; Stuff'!CL:DM,25,FALSE)</f>
        <v>0</v>
      </c>
      <c r="AB432" s="161">
        <f>VLOOKUP(C432,'Talente &amp; Stuff'!CL:DM,26,FALSE)</f>
        <v>0</v>
      </c>
      <c r="AC432" s="128">
        <f>VLOOKUP(C432,'Talente &amp; Stuff'!CL:DM,27,FALSE)</f>
        <v>0</v>
      </c>
      <c r="AD432" s="159">
        <f>VLOOKUP(C432,'Talente &amp; Stuff'!CL:DM,28,FALSE)</f>
        <v>0</v>
      </c>
      <c r="AE432" s="28"/>
    </row>
    <row r="433" spans="1:31" ht="15" hidden="1" customHeight="1" outlineLevel="1" collapsed="1">
      <c r="B433" s="134" t="s">
        <v>322</v>
      </c>
      <c r="C433" s="83"/>
      <c r="D433" s="84"/>
      <c r="E433" s="84"/>
    </row>
    <row r="434" spans="1:31" ht="15" hidden="1" customHeight="1" outlineLevel="2">
      <c r="B434" s="148">
        <v>1</v>
      </c>
      <c r="C434" s="176" t="str">
        <f>Attribute!C434</f>
        <v>---</v>
      </c>
      <c r="D434" s="158" t="str">
        <f>VLOOKUP(C434,'Talente &amp; Stuff'!CL:DM,2,FALSE)</f>
        <v>--/--/--</v>
      </c>
      <c r="E434" s="116" t="str">
        <f>VLOOKUP(C434,'Talente &amp; Stuff'!CL:DM,3,FALSE)</f>
        <v>-</v>
      </c>
      <c r="F434" s="191">
        <f>VLOOKUP(C434,'Talente &amp; Stuff'!CL:DM,4,FALSE)</f>
        <v>0</v>
      </c>
      <c r="G434" s="118">
        <f>VLOOKUP(C434,'Talente &amp; Stuff'!CL:DM,5,FALSE)</f>
        <v>0</v>
      </c>
      <c r="H434" s="118">
        <f>VLOOKUP(C434,'Talente &amp; Stuff'!CL:DM,6,FALSE)</f>
        <v>0</v>
      </c>
      <c r="I434" s="118">
        <f>VLOOKUP(C434,'Talente &amp; Stuff'!CL:DM,7,FALSE)</f>
        <v>0</v>
      </c>
      <c r="J434" s="118">
        <f>VLOOKUP(C434,'Talente &amp; Stuff'!CL:DM,8,FALSE)</f>
        <v>0</v>
      </c>
      <c r="K434" s="118">
        <f>VLOOKUP(C434,'Talente &amp; Stuff'!CL:DM,9,FALSE)</f>
        <v>0</v>
      </c>
      <c r="L434" s="118">
        <f>VLOOKUP(C434,'Talente &amp; Stuff'!CL:DM,10,FALSE)</f>
        <v>0</v>
      </c>
      <c r="M434" s="92">
        <f>VLOOKUP(C434,'Talente &amp; Stuff'!CL:DM,11,FALSE)</f>
        <v>0</v>
      </c>
      <c r="N434" s="116">
        <f>VLOOKUP(C434,'Talente &amp; Stuff'!CL:DM,12,FALSE)</f>
        <v>0</v>
      </c>
      <c r="O434" s="116">
        <f>VLOOKUP(C434,'Talente &amp; Stuff'!CL:DM,13,FALSE)</f>
        <v>0</v>
      </c>
      <c r="P434" s="118">
        <f>VLOOKUP(C434,'Talente &amp; Stuff'!CL:DM,14,FALSE)</f>
        <v>0</v>
      </c>
      <c r="Q434" s="191">
        <f>VLOOKUP(C434,'Talente &amp; Stuff'!CL:DM,15,FALSE)</f>
        <v>0</v>
      </c>
      <c r="R434" s="118">
        <f>VLOOKUP(C434,'Talente &amp; Stuff'!CL:DM,16,FALSE)</f>
        <v>0</v>
      </c>
      <c r="S434" s="92">
        <f>VLOOKUP(C434,'Talente &amp; Stuff'!CL:DM,17,FALSE)</f>
        <v>0</v>
      </c>
      <c r="T434" s="91">
        <f>VLOOKUP(C434,'Talente &amp; Stuff'!CL:DM,18,FALSE)</f>
        <v>0</v>
      </c>
      <c r="U434" s="193">
        <f>VLOOKUP(C434,'Talente &amp; Stuff'!CL:DM,19,FALSE)</f>
        <v>0</v>
      </c>
      <c r="V434" s="116">
        <f>VLOOKUP(C434,'Talente &amp; Stuff'!CL:DM,20,FALSE)</f>
        <v>0</v>
      </c>
      <c r="W434" s="126">
        <f>VLOOKUP(C434,'Talente &amp; Stuff'!CL:DM,21,FALSE)</f>
        <v>0</v>
      </c>
      <c r="X434" s="126">
        <f>VLOOKUP(C434,'Talente &amp; Stuff'!CL:DM,22,FALSE)</f>
        <v>0</v>
      </c>
      <c r="Y434" s="175">
        <f t="shared" ref="Y434:Y439" si="36">VLOOKUP(C434,Ausgewählte_Liturgien_Praios,110,FALSE)</f>
        <v>0</v>
      </c>
      <c r="Z434" s="198">
        <f t="shared" ref="Z434:Z439" si="37">VLOOKUP(C434,Ausgewählte_Liturgien_Praios,111,FALSE)</f>
        <v>0</v>
      </c>
      <c r="AA434" s="158">
        <f>VLOOKUP(C434,'Talente &amp; Stuff'!CL:DM,25,FALSE)</f>
        <v>0</v>
      </c>
      <c r="AB434" s="91">
        <f>VLOOKUP(C434,'Talente &amp; Stuff'!CL:DM,26,FALSE)</f>
        <v>0</v>
      </c>
      <c r="AC434" s="126">
        <f>VLOOKUP(C434,'Talente &amp; Stuff'!CL:DM,27,FALSE)</f>
        <v>0</v>
      </c>
      <c r="AD434" s="158">
        <f>VLOOKUP(C434,'Talente &amp; Stuff'!CL:DM,28,FALSE)</f>
        <v>0</v>
      </c>
      <c r="AE434" s="28"/>
    </row>
    <row r="435" spans="1:31" ht="15" hidden="1" customHeight="1" outlineLevel="2">
      <c r="B435" s="148">
        <v>2</v>
      </c>
      <c r="C435" s="177" t="str">
        <f>Attribute!C435</f>
        <v>---</v>
      </c>
      <c r="D435" s="125" t="str">
        <f>VLOOKUP(C435,'Talente &amp; Stuff'!CL:DM,2,FALSE)</f>
        <v>--/--/--</v>
      </c>
      <c r="E435" s="47" t="str">
        <f>VLOOKUP(C435,'Talente &amp; Stuff'!CL:DM,3,FALSE)</f>
        <v>-</v>
      </c>
      <c r="F435" s="114">
        <f>VLOOKUP(C435,'Talente &amp; Stuff'!CL:DM,4,FALSE)</f>
        <v>0</v>
      </c>
      <c r="G435" s="113">
        <f>VLOOKUP(C435,'Talente &amp; Stuff'!CL:DM,5,FALSE)</f>
        <v>0</v>
      </c>
      <c r="H435" s="113">
        <f>VLOOKUP(C435,'Talente &amp; Stuff'!CL:DM,6,FALSE)</f>
        <v>0</v>
      </c>
      <c r="I435" s="113">
        <f>VLOOKUP(C435,'Talente &amp; Stuff'!CL:DM,7,FALSE)</f>
        <v>0</v>
      </c>
      <c r="J435" s="113">
        <f>VLOOKUP(C435,'Talente &amp; Stuff'!CL:DM,8,FALSE)</f>
        <v>0</v>
      </c>
      <c r="K435" s="113">
        <f>VLOOKUP(C435,'Talente &amp; Stuff'!CL:DM,9,FALSE)</f>
        <v>0</v>
      </c>
      <c r="L435" s="113">
        <f>VLOOKUP(C435,'Talente &amp; Stuff'!CL:DM,10,FALSE)</f>
        <v>0</v>
      </c>
      <c r="M435" s="119">
        <f>VLOOKUP(C435,'Talente &amp; Stuff'!CL:DM,11,FALSE)</f>
        <v>0</v>
      </c>
      <c r="N435" s="47">
        <f>VLOOKUP(C435,'Talente &amp; Stuff'!CL:DM,12,FALSE)</f>
        <v>0</v>
      </c>
      <c r="O435" s="47">
        <f>VLOOKUP(C435,'Talente &amp; Stuff'!CL:DM,13,FALSE)</f>
        <v>0</v>
      </c>
      <c r="P435" s="113">
        <f>VLOOKUP(C435,'Talente &amp; Stuff'!CL:DM,14,FALSE)</f>
        <v>0</v>
      </c>
      <c r="Q435" s="114">
        <f>VLOOKUP(C435,'Talente &amp; Stuff'!CL:DM,15,FALSE)</f>
        <v>0</v>
      </c>
      <c r="R435" s="113">
        <f>VLOOKUP(C435,'Talente &amp; Stuff'!CL:DM,16,FALSE)</f>
        <v>0</v>
      </c>
      <c r="S435" s="119">
        <f>VLOOKUP(C435,'Talente &amp; Stuff'!CL:DM,17,FALSE)</f>
        <v>0</v>
      </c>
      <c r="T435" s="160">
        <f>VLOOKUP(C435,'Talente &amp; Stuff'!CL:DM,18,FALSE)</f>
        <v>0</v>
      </c>
      <c r="U435" s="89">
        <f>VLOOKUP(C435,'Talente &amp; Stuff'!CL:DM,19,FALSE)</f>
        <v>0</v>
      </c>
      <c r="V435" s="47">
        <f>VLOOKUP(C435,'Talente &amp; Stuff'!CL:DM,20,FALSE)</f>
        <v>0</v>
      </c>
      <c r="W435" s="127">
        <f>VLOOKUP(C435,'Talente &amp; Stuff'!CL:DM,21,FALSE)</f>
        <v>0</v>
      </c>
      <c r="X435" s="127">
        <f>VLOOKUP(C435,'Talente &amp; Stuff'!CL:DM,22,FALSE)</f>
        <v>0</v>
      </c>
      <c r="Y435" s="175">
        <f t="shared" si="36"/>
        <v>0</v>
      </c>
      <c r="Z435" s="198">
        <f t="shared" si="37"/>
        <v>0</v>
      </c>
      <c r="AA435" s="125">
        <f>VLOOKUP(C435,'Talente &amp; Stuff'!CL:DM,25,FALSE)</f>
        <v>0</v>
      </c>
      <c r="AB435" s="160">
        <f>VLOOKUP(C435,'Talente &amp; Stuff'!CL:DM,26,FALSE)</f>
        <v>0</v>
      </c>
      <c r="AC435" s="127">
        <f>VLOOKUP(C435,'Talente &amp; Stuff'!CL:DM,27,FALSE)</f>
        <v>0</v>
      </c>
      <c r="AD435" s="125">
        <f>VLOOKUP(C435,'Talente &amp; Stuff'!CL:DM,28,FALSE)</f>
        <v>0</v>
      </c>
      <c r="AE435" s="28"/>
    </row>
    <row r="436" spans="1:31" ht="15" hidden="1" customHeight="1" outlineLevel="2">
      <c r="B436" s="148">
        <v>3</v>
      </c>
      <c r="C436" s="177" t="str">
        <f>Attribute!C436</f>
        <v>---</v>
      </c>
      <c r="D436" s="125" t="str">
        <f>VLOOKUP(C436,'Talente &amp; Stuff'!CL:DM,2,FALSE)</f>
        <v>--/--/--</v>
      </c>
      <c r="E436" s="47" t="str">
        <f>VLOOKUP(C436,'Talente &amp; Stuff'!CL:DM,3,FALSE)</f>
        <v>-</v>
      </c>
      <c r="F436" s="114">
        <f>VLOOKUP(C436,'Talente &amp; Stuff'!CL:DM,4,FALSE)</f>
        <v>0</v>
      </c>
      <c r="G436" s="113">
        <f>VLOOKUP(C436,'Talente &amp; Stuff'!CL:DM,5,FALSE)</f>
        <v>0</v>
      </c>
      <c r="H436" s="113">
        <f>VLOOKUP(C436,'Talente &amp; Stuff'!CL:DM,6,FALSE)</f>
        <v>0</v>
      </c>
      <c r="I436" s="113">
        <f>VLOOKUP(C436,'Talente &amp; Stuff'!CL:DM,7,FALSE)</f>
        <v>0</v>
      </c>
      <c r="J436" s="113">
        <f>VLOOKUP(C436,'Talente &amp; Stuff'!CL:DM,8,FALSE)</f>
        <v>0</v>
      </c>
      <c r="K436" s="113">
        <f>VLOOKUP(C436,'Talente &amp; Stuff'!CL:DM,9,FALSE)</f>
        <v>0</v>
      </c>
      <c r="L436" s="113">
        <f>VLOOKUP(C436,'Talente &amp; Stuff'!CL:DM,10,FALSE)</f>
        <v>0</v>
      </c>
      <c r="M436" s="119">
        <f>VLOOKUP(C436,'Talente &amp; Stuff'!CL:DM,11,FALSE)</f>
        <v>0</v>
      </c>
      <c r="N436" s="47">
        <f>VLOOKUP(C436,'Talente &amp; Stuff'!CL:DM,12,FALSE)</f>
        <v>0</v>
      </c>
      <c r="O436" s="47">
        <f>VLOOKUP(C436,'Talente &amp; Stuff'!CL:DM,13,FALSE)</f>
        <v>0</v>
      </c>
      <c r="P436" s="113">
        <f>VLOOKUP(C436,'Talente &amp; Stuff'!CL:DM,14,FALSE)</f>
        <v>0</v>
      </c>
      <c r="Q436" s="114">
        <f>VLOOKUP(C436,'Talente &amp; Stuff'!CL:DM,15,FALSE)</f>
        <v>0</v>
      </c>
      <c r="R436" s="113">
        <f>VLOOKUP(C436,'Talente &amp; Stuff'!CL:DM,16,FALSE)</f>
        <v>0</v>
      </c>
      <c r="S436" s="119">
        <f>VLOOKUP(C436,'Talente &amp; Stuff'!CL:DM,17,FALSE)</f>
        <v>0</v>
      </c>
      <c r="T436" s="160">
        <f>VLOOKUP(C436,'Talente &amp; Stuff'!CL:DM,18,FALSE)</f>
        <v>0</v>
      </c>
      <c r="U436" s="89">
        <f>VLOOKUP(C436,'Talente &amp; Stuff'!CL:DM,19,FALSE)</f>
        <v>0</v>
      </c>
      <c r="V436" s="47">
        <f>VLOOKUP(C436,'Talente &amp; Stuff'!CL:DM,20,FALSE)</f>
        <v>0</v>
      </c>
      <c r="W436" s="127">
        <f>VLOOKUP(C436,'Talente &amp; Stuff'!CL:DM,21,FALSE)</f>
        <v>0</v>
      </c>
      <c r="X436" s="127">
        <f>VLOOKUP(C436,'Talente &amp; Stuff'!CL:DM,22,FALSE)</f>
        <v>0</v>
      </c>
      <c r="Y436" s="175">
        <f t="shared" si="36"/>
        <v>0</v>
      </c>
      <c r="Z436" s="198">
        <f t="shared" si="37"/>
        <v>0</v>
      </c>
      <c r="AA436" s="125">
        <f>VLOOKUP(C436,'Talente &amp; Stuff'!CL:DM,25,FALSE)</f>
        <v>0</v>
      </c>
      <c r="AB436" s="160">
        <f>VLOOKUP(C436,'Talente &amp; Stuff'!CL:DM,26,FALSE)</f>
        <v>0</v>
      </c>
      <c r="AC436" s="127">
        <f>VLOOKUP(C436,'Talente &amp; Stuff'!CL:DM,27,FALSE)</f>
        <v>0</v>
      </c>
      <c r="AD436" s="125">
        <f>VLOOKUP(C436,'Talente &amp; Stuff'!CL:DM,28,FALSE)</f>
        <v>0</v>
      </c>
      <c r="AE436" s="28"/>
    </row>
    <row r="437" spans="1:31" ht="15" hidden="1" customHeight="1" outlineLevel="2">
      <c r="B437" s="148">
        <v>4</v>
      </c>
      <c r="C437" s="177" t="str">
        <f>Attribute!C437</f>
        <v>---</v>
      </c>
      <c r="D437" s="125" t="str">
        <f>VLOOKUP(C437,'Talente &amp; Stuff'!CL:DM,2,FALSE)</f>
        <v>--/--/--</v>
      </c>
      <c r="E437" s="47" t="str">
        <f>VLOOKUP(C437,'Talente &amp; Stuff'!CL:DM,3,FALSE)</f>
        <v>-</v>
      </c>
      <c r="F437" s="114">
        <f>VLOOKUP(C437,'Talente &amp; Stuff'!CL:DM,4,FALSE)</f>
        <v>0</v>
      </c>
      <c r="G437" s="113">
        <f>VLOOKUP(C437,'Talente &amp; Stuff'!CL:DM,5,FALSE)</f>
        <v>0</v>
      </c>
      <c r="H437" s="113">
        <f>VLOOKUP(C437,'Talente &amp; Stuff'!CL:DM,6,FALSE)</f>
        <v>0</v>
      </c>
      <c r="I437" s="113">
        <f>VLOOKUP(C437,'Talente &amp; Stuff'!CL:DM,7,FALSE)</f>
        <v>0</v>
      </c>
      <c r="J437" s="113">
        <f>VLOOKUP(C437,'Talente &amp; Stuff'!CL:DM,8,FALSE)</f>
        <v>0</v>
      </c>
      <c r="K437" s="113">
        <f>VLOOKUP(C437,'Talente &amp; Stuff'!CL:DM,9,FALSE)</f>
        <v>0</v>
      </c>
      <c r="L437" s="113">
        <f>VLOOKUP(C437,'Talente &amp; Stuff'!CL:DM,10,FALSE)</f>
        <v>0</v>
      </c>
      <c r="M437" s="119">
        <f>VLOOKUP(C437,'Talente &amp; Stuff'!CL:DM,11,FALSE)</f>
        <v>0</v>
      </c>
      <c r="N437" s="47">
        <f>VLOOKUP(C437,'Talente &amp; Stuff'!CL:DM,12,FALSE)</f>
        <v>0</v>
      </c>
      <c r="O437" s="47">
        <f>VLOOKUP(C437,'Talente &amp; Stuff'!CL:DM,13,FALSE)</f>
        <v>0</v>
      </c>
      <c r="P437" s="113">
        <f>VLOOKUP(C437,'Talente &amp; Stuff'!CL:DM,14,FALSE)</f>
        <v>0</v>
      </c>
      <c r="Q437" s="114">
        <f>VLOOKUP(C437,'Talente &amp; Stuff'!CL:DM,15,FALSE)</f>
        <v>0</v>
      </c>
      <c r="R437" s="113">
        <f>VLOOKUP(C437,'Talente &amp; Stuff'!CL:DM,16,FALSE)</f>
        <v>0</v>
      </c>
      <c r="S437" s="119">
        <f>VLOOKUP(C437,'Talente &amp; Stuff'!CL:DM,17,FALSE)</f>
        <v>0</v>
      </c>
      <c r="T437" s="160">
        <f>VLOOKUP(C437,'Talente &amp; Stuff'!CL:DM,18,FALSE)</f>
        <v>0</v>
      </c>
      <c r="U437" s="89">
        <f>VLOOKUP(C437,'Talente &amp; Stuff'!CL:DM,19,FALSE)</f>
        <v>0</v>
      </c>
      <c r="V437" s="47">
        <f>VLOOKUP(C437,'Talente &amp; Stuff'!CL:DM,20,FALSE)</f>
        <v>0</v>
      </c>
      <c r="W437" s="127">
        <f>VLOOKUP(C437,'Talente &amp; Stuff'!CL:DM,21,FALSE)</f>
        <v>0</v>
      </c>
      <c r="X437" s="127">
        <f>VLOOKUP(C437,'Talente &amp; Stuff'!CL:DM,22,FALSE)</f>
        <v>0</v>
      </c>
      <c r="Y437" s="175">
        <f t="shared" si="36"/>
        <v>0</v>
      </c>
      <c r="Z437" s="198">
        <f t="shared" si="37"/>
        <v>0</v>
      </c>
      <c r="AA437" s="125">
        <f>VLOOKUP(C437,'Talente &amp; Stuff'!CL:DM,25,FALSE)</f>
        <v>0</v>
      </c>
      <c r="AB437" s="160">
        <f>VLOOKUP(C437,'Talente &amp; Stuff'!CL:DM,26,FALSE)</f>
        <v>0</v>
      </c>
      <c r="AC437" s="127">
        <f>VLOOKUP(C437,'Talente &amp; Stuff'!CL:DM,27,FALSE)</f>
        <v>0</v>
      </c>
      <c r="AD437" s="125">
        <f>VLOOKUP(C437,'Talente &amp; Stuff'!CL:DM,28,FALSE)</f>
        <v>0</v>
      </c>
      <c r="AE437" s="28"/>
    </row>
    <row r="438" spans="1:31" ht="15" hidden="1" customHeight="1" outlineLevel="2">
      <c r="B438" s="148">
        <v>5</v>
      </c>
      <c r="C438" s="177" t="str">
        <f>Attribute!C438</f>
        <v>---</v>
      </c>
      <c r="D438" s="125" t="str">
        <f>VLOOKUP(C438,'Talente &amp; Stuff'!CL:DM,2,FALSE)</f>
        <v>--/--/--</v>
      </c>
      <c r="E438" s="47" t="str">
        <f>VLOOKUP(C438,'Talente &amp; Stuff'!CL:DM,3,FALSE)</f>
        <v>-</v>
      </c>
      <c r="F438" s="114">
        <f>VLOOKUP(C438,'Talente &amp; Stuff'!CL:DM,4,FALSE)</f>
        <v>0</v>
      </c>
      <c r="G438" s="113">
        <f>VLOOKUP(C438,'Talente &amp; Stuff'!CL:DM,5,FALSE)</f>
        <v>0</v>
      </c>
      <c r="H438" s="113">
        <f>VLOOKUP(C438,'Talente &amp; Stuff'!CL:DM,6,FALSE)</f>
        <v>0</v>
      </c>
      <c r="I438" s="113">
        <f>VLOOKUP(C438,'Talente &amp; Stuff'!CL:DM,7,FALSE)</f>
        <v>0</v>
      </c>
      <c r="J438" s="113">
        <f>VLOOKUP(C438,'Talente &amp; Stuff'!CL:DM,8,FALSE)</f>
        <v>0</v>
      </c>
      <c r="K438" s="113">
        <f>VLOOKUP(C438,'Talente &amp; Stuff'!CL:DM,9,FALSE)</f>
        <v>0</v>
      </c>
      <c r="L438" s="113">
        <f>VLOOKUP(C438,'Talente &amp; Stuff'!CL:DM,10,FALSE)</f>
        <v>0</v>
      </c>
      <c r="M438" s="119">
        <f>VLOOKUP(C438,'Talente &amp; Stuff'!CL:DM,11,FALSE)</f>
        <v>0</v>
      </c>
      <c r="N438" s="47">
        <f>VLOOKUP(C438,'Talente &amp; Stuff'!CL:DM,12,FALSE)</f>
        <v>0</v>
      </c>
      <c r="O438" s="47">
        <f>VLOOKUP(C438,'Talente &amp; Stuff'!CL:DM,13,FALSE)</f>
        <v>0</v>
      </c>
      <c r="P438" s="113">
        <f>VLOOKUP(C438,'Talente &amp; Stuff'!CL:DM,14,FALSE)</f>
        <v>0</v>
      </c>
      <c r="Q438" s="114">
        <f>VLOOKUP(C438,'Talente &amp; Stuff'!CL:DM,15,FALSE)</f>
        <v>0</v>
      </c>
      <c r="R438" s="113">
        <f>VLOOKUP(C438,'Talente &amp; Stuff'!CL:DM,16,FALSE)</f>
        <v>0</v>
      </c>
      <c r="S438" s="119">
        <f>VLOOKUP(C438,'Talente &amp; Stuff'!CL:DM,17,FALSE)</f>
        <v>0</v>
      </c>
      <c r="T438" s="160">
        <f>VLOOKUP(C438,'Talente &amp; Stuff'!CL:DM,18,FALSE)</f>
        <v>0</v>
      </c>
      <c r="U438" s="89">
        <f>VLOOKUP(C438,'Talente &amp; Stuff'!CL:DM,19,FALSE)</f>
        <v>0</v>
      </c>
      <c r="V438" s="47">
        <f>VLOOKUP(C438,'Talente &amp; Stuff'!CL:DM,20,FALSE)</f>
        <v>0</v>
      </c>
      <c r="W438" s="127">
        <f>VLOOKUP(C438,'Talente &amp; Stuff'!CL:DM,21,FALSE)</f>
        <v>0</v>
      </c>
      <c r="X438" s="127">
        <f>VLOOKUP(C438,'Talente &amp; Stuff'!CL:DM,22,FALSE)</f>
        <v>0</v>
      </c>
      <c r="Y438" s="175">
        <f t="shared" si="36"/>
        <v>0</v>
      </c>
      <c r="Z438" s="198">
        <f t="shared" si="37"/>
        <v>0</v>
      </c>
      <c r="AA438" s="125">
        <f>VLOOKUP(C438,'Talente &amp; Stuff'!CL:DM,25,FALSE)</f>
        <v>0</v>
      </c>
      <c r="AB438" s="160">
        <f>VLOOKUP(C438,'Talente &amp; Stuff'!CL:DM,26,FALSE)</f>
        <v>0</v>
      </c>
      <c r="AC438" s="127">
        <f>VLOOKUP(C438,'Talente &amp; Stuff'!CL:DM,27,FALSE)</f>
        <v>0</v>
      </c>
      <c r="AD438" s="125">
        <f>VLOOKUP(C438,'Talente &amp; Stuff'!CL:DM,28,FALSE)</f>
        <v>0</v>
      </c>
      <c r="AE438" s="28"/>
    </row>
    <row r="439" spans="1:31" ht="15" hidden="1" customHeight="1" outlineLevel="2">
      <c r="B439" s="148">
        <v>6</v>
      </c>
      <c r="C439" s="178" t="str">
        <f>Attribute!C439</f>
        <v>---</v>
      </c>
      <c r="D439" s="159" t="str">
        <f>VLOOKUP(C439,'Talente &amp; Stuff'!CL:DM,2,FALSE)</f>
        <v>--/--/--</v>
      </c>
      <c r="E439" s="88" t="str">
        <f>VLOOKUP(C439,'Talente &amp; Stuff'!CL:DM,3,FALSE)</f>
        <v>-</v>
      </c>
      <c r="F439" s="115">
        <f>VLOOKUP(C439,'Talente &amp; Stuff'!CL:DM,4,FALSE)</f>
        <v>0</v>
      </c>
      <c r="G439" s="122">
        <f>VLOOKUP(C439,'Talente &amp; Stuff'!CL:DM,5,FALSE)</f>
        <v>0</v>
      </c>
      <c r="H439" s="122">
        <f>VLOOKUP(C439,'Talente &amp; Stuff'!CL:DM,6,FALSE)</f>
        <v>0</v>
      </c>
      <c r="I439" s="122">
        <f>VLOOKUP(C439,'Talente &amp; Stuff'!CL:DM,7,FALSE)</f>
        <v>0</v>
      </c>
      <c r="J439" s="122">
        <f>VLOOKUP(C439,'Talente &amp; Stuff'!CL:DM,8,FALSE)</f>
        <v>0</v>
      </c>
      <c r="K439" s="122">
        <f>VLOOKUP(C439,'Talente &amp; Stuff'!CL:DM,9,FALSE)</f>
        <v>0</v>
      </c>
      <c r="L439" s="122">
        <f>VLOOKUP(C439,'Talente &amp; Stuff'!CL:DM,10,FALSE)</f>
        <v>0</v>
      </c>
      <c r="M439" s="123">
        <f>VLOOKUP(C439,'Talente &amp; Stuff'!CL:DM,11,FALSE)</f>
        <v>0</v>
      </c>
      <c r="N439" s="88">
        <f>VLOOKUP(C439,'Talente &amp; Stuff'!CL:DM,12,FALSE)</f>
        <v>0</v>
      </c>
      <c r="O439" s="88">
        <f>VLOOKUP(C439,'Talente &amp; Stuff'!CL:DM,13,FALSE)</f>
        <v>0</v>
      </c>
      <c r="P439" s="122">
        <f>VLOOKUP(C439,'Talente &amp; Stuff'!CL:DM,14,FALSE)</f>
        <v>0</v>
      </c>
      <c r="Q439" s="115">
        <f>VLOOKUP(C439,'Talente &amp; Stuff'!CL:DM,15,FALSE)</f>
        <v>0</v>
      </c>
      <c r="R439" s="122">
        <f>VLOOKUP(C439,'Talente &amp; Stuff'!CL:DM,16,FALSE)</f>
        <v>0</v>
      </c>
      <c r="S439" s="123">
        <f>VLOOKUP(C439,'Talente &amp; Stuff'!CL:DM,17,FALSE)</f>
        <v>0</v>
      </c>
      <c r="T439" s="161">
        <f>VLOOKUP(C439,'Talente &amp; Stuff'!CL:DM,18,FALSE)</f>
        <v>0</v>
      </c>
      <c r="U439" s="90">
        <f>VLOOKUP(C439,'Talente &amp; Stuff'!CL:DM,19,FALSE)</f>
        <v>0</v>
      </c>
      <c r="V439" s="88">
        <f>VLOOKUP(C439,'Talente &amp; Stuff'!CL:DM,20,FALSE)</f>
        <v>0</v>
      </c>
      <c r="W439" s="128">
        <f>VLOOKUP(C439,'Talente &amp; Stuff'!CL:DM,21,FALSE)</f>
        <v>0</v>
      </c>
      <c r="X439" s="128">
        <f>VLOOKUP(C439,'Talente &amp; Stuff'!CL:DM,22,FALSE)</f>
        <v>0</v>
      </c>
      <c r="Y439" s="175">
        <f t="shared" si="36"/>
        <v>0</v>
      </c>
      <c r="Z439" s="198">
        <f t="shared" si="37"/>
        <v>0</v>
      </c>
      <c r="AA439" s="159">
        <f>VLOOKUP(C439,'Talente &amp; Stuff'!CL:DM,25,FALSE)</f>
        <v>0</v>
      </c>
      <c r="AB439" s="161">
        <f>VLOOKUP(C439,'Talente &amp; Stuff'!CL:DM,26,FALSE)</f>
        <v>0</v>
      </c>
      <c r="AC439" s="128">
        <f>VLOOKUP(C439,'Talente &amp; Stuff'!CL:DM,27,FALSE)</f>
        <v>0</v>
      </c>
      <c r="AD439" s="159">
        <f>VLOOKUP(C439,'Talente &amp; Stuff'!CL:DM,28,FALSE)</f>
        <v>0</v>
      </c>
      <c r="AE439" s="28"/>
    </row>
    <row r="440" spans="1:31" ht="15" hidden="1" customHeight="1" outlineLevel="1" collapsed="1">
      <c r="B440" s="134" t="s">
        <v>321</v>
      </c>
      <c r="C440" s="83"/>
      <c r="D440" s="84"/>
      <c r="E440" s="84"/>
    </row>
    <row r="441" spans="1:31" ht="15" hidden="1" customHeight="1" outlineLevel="2">
      <c r="B441" s="148">
        <v>1</v>
      </c>
      <c r="C441" s="176" t="str">
        <f>Attribute!C441</f>
        <v>---</v>
      </c>
      <c r="D441" s="158" t="str">
        <f>VLOOKUP(C441,'Talente &amp; Stuff'!CL:DM,2,FALSE)</f>
        <v>--/--/--</v>
      </c>
      <c r="E441" s="116" t="str">
        <f>VLOOKUP(C441,'Talente &amp; Stuff'!CL:DM,3,FALSE)</f>
        <v>-</v>
      </c>
      <c r="F441" s="191">
        <f>VLOOKUP(C441,'Talente &amp; Stuff'!CL:DM,4,FALSE)</f>
        <v>0</v>
      </c>
      <c r="G441" s="118">
        <f>VLOOKUP(C441,'Talente &amp; Stuff'!CL:DM,5,FALSE)</f>
        <v>0</v>
      </c>
      <c r="H441" s="118">
        <f>VLOOKUP(C441,'Talente &amp; Stuff'!CL:DM,6,FALSE)</f>
        <v>0</v>
      </c>
      <c r="I441" s="118">
        <f>VLOOKUP(C441,'Talente &amp; Stuff'!CL:DM,7,FALSE)</f>
        <v>0</v>
      </c>
      <c r="J441" s="118">
        <f>VLOOKUP(C441,'Talente &amp; Stuff'!CL:DM,8,FALSE)</f>
        <v>0</v>
      </c>
      <c r="K441" s="118">
        <f>VLOOKUP(C441,'Talente &amp; Stuff'!CL:DM,9,FALSE)</f>
        <v>0</v>
      </c>
      <c r="L441" s="118">
        <f>VLOOKUP(C441,'Talente &amp; Stuff'!CL:DM,10,FALSE)</f>
        <v>0</v>
      </c>
      <c r="M441" s="92">
        <f>VLOOKUP(C441,'Talente &amp; Stuff'!CL:DM,11,FALSE)</f>
        <v>0</v>
      </c>
      <c r="N441" s="116">
        <f>VLOOKUP(C441,'Talente &amp; Stuff'!CL:DM,12,FALSE)</f>
        <v>0</v>
      </c>
      <c r="O441" s="116">
        <f>VLOOKUP(C441,'Talente &amp; Stuff'!CL:DM,13,FALSE)</f>
        <v>0</v>
      </c>
      <c r="P441" s="118">
        <f>VLOOKUP(C441,'Talente &amp; Stuff'!CL:DM,14,FALSE)</f>
        <v>0</v>
      </c>
      <c r="Q441" s="191">
        <f>VLOOKUP(C441,'Talente &amp; Stuff'!CL:DM,15,FALSE)</f>
        <v>0</v>
      </c>
      <c r="R441" s="118">
        <f>VLOOKUP(C441,'Talente &amp; Stuff'!CL:DM,16,FALSE)</f>
        <v>0</v>
      </c>
      <c r="S441" s="92">
        <f>VLOOKUP(C441,'Talente &amp; Stuff'!CL:DM,17,FALSE)</f>
        <v>0</v>
      </c>
      <c r="T441" s="91">
        <f>VLOOKUP(C441,'Talente &amp; Stuff'!CL:DM,18,FALSE)</f>
        <v>0</v>
      </c>
      <c r="U441" s="193">
        <f>VLOOKUP(C441,'Talente &amp; Stuff'!CL:DM,19,FALSE)</f>
        <v>0</v>
      </c>
      <c r="V441" s="116">
        <f>VLOOKUP(C441,'Talente &amp; Stuff'!CL:DM,20,FALSE)</f>
        <v>0</v>
      </c>
      <c r="W441" s="126">
        <f>VLOOKUP(C441,'Talente &amp; Stuff'!CL:DM,21,FALSE)</f>
        <v>0</v>
      </c>
      <c r="X441" s="126">
        <f>VLOOKUP(C441,'Talente &amp; Stuff'!CL:DM,22,FALSE)</f>
        <v>0</v>
      </c>
      <c r="Y441" s="165">
        <f>VLOOKUP(C441,Ausgewählte_Liturgien_Rondra,110,FALSE)</f>
        <v>0</v>
      </c>
      <c r="Z441" s="44">
        <f>VLOOKUP(C441,Ausgewählte_Liturgien_Rondra,111,FALSE)</f>
        <v>0</v>
      </c>
      <c r="AA441" s="158">
        <f>VLOOKUP(C441,'Talente &amp; Stuff'!CL:DM,25,FALSE)</f>
        <v>0</v>
      </c>
      <c r="AB441" s="91">
        <f>VLOOKUP(C441,'Talente &amp; Stuff'!CL:DM,26,FALSE)</f>
        <v>0</v>
      </c>
      <c r="AC441" s="126">
        <f>VLOOKUP(C441,'Talente &amp; Stuff'!CL:DM,27,FALSE)</f>
        <v>0</v>
      </c>
      <c r="AD441" s="158">
        <f>VLOOKUP(C441,'Talente &amp; Stuff'!CL:DM,28,FALSE)</f>
        <v>0</v>
      </c>
      <c r="AE441" s="28"/>
    </row>
    <row r="442" spans="1:31" ht="15" hidden="1" customHeight="1" outlineLevel="2">
      <c r="B442" s="148">
        <v>2</v>
      </c>
      <c r="C442" s="177" t="str">
        <f>Attribute!C442</f>
        <v>---</v>
      </c>
      <c r="D442" s="125" t="str">
        <f>VLOOKUP(C442,'Talente &amp; Stuff'!CL:DM,2,FALSE)</f>
        <v>--/--/--</v>
      </c>
      <c r="E442" s="47" t="str">
        <f>VLOOKUP(C442,'Talente &amp; Stuff'!CL:DM,3,FALSE)</f>
        <v>-</v>
      </c>
      <c r="F442" s="114">
        <f>VLOOKUP(C442,'Talente &amp; Stuff'!CL:DM,4,FALSE)</f>
        <v>0</v>
      </c>
      <c r="G442" s="113">
        <f>VLOOKUP(C442,'Talente &amp; Stuff'!CL:DM,5,FALSE)</f>
        <v>0</v>
      </c>
      <c r="H442" s="113">
        <f>VLOOKUP(C442,'Talente &amp; Stuff'!CL:DM,6,FALSE)</f>
        <v>0</v>
      </c>
      <c r="I442" s="113">
        <f>VLOOKUP(C442,'Talente &amp; Stuff'!CL:DM,7,FALSE)</f>
        <v>0</v>
      </c>
      <c r="J442" s="113">
        <f>VLOOKUP(C442,'Talente &amp; Stuff'!CL:DM,8,FALSE)</f>
        <v>0</v>
      </c>
      <c r="K442" s="113">
        <f>VLOOKUP(C442,'Talente &amp; Stuff'!CL:DM,9,FALSE)</f>
        <v>0</v>
      </c>
      <c r="L442" s="113">
        <f>VLOOKUP(C442,'Talente &amp; Stuff'!CL:DM,10,FALSE)</f>
        <v>0</v>
      </c>
      <c r="M442" s="119">
        <f>VLOOKUP(C442,'Talente &amp; Stuff'!CL:DM,11,FALSE)</f>
        <v>0</v>
      </c>
      <c r="N442" s="47">
        <f>VLOOKUP(C442,'Talente &amp; Stuff'!CL:DM,12,FALSE)</f>
        <v>0</v>
      </c>
      <c r="O442" s="47">
        <f>VLOOKUP(C442,'Talente &amp; Stuff'!CL:DM,13,FALSE)</f>
        <v>0</v>
      </c>
      <c r="P442" s="113">
        <f>VLOOKUP(C442,'Talente &amp; Stuff'!CL:DM,14,FALSE)</f>
        <v>0</v>
      </c>
      <c r="Q442" s="114">
        <f>VLOOKUP(C442,'Talente &amp; Stuff'!CL:DM,15,FALSE)</f>
        <v>0</v>
      </c>
      <c r="R442" s="113">
        <f>VLOOKUP(C442,'Talente &amp; Stuff'!CL:DM,16,FALSE)</f>
        <v>0</v>
      </c>
      <c r="S442" s="119">
        <f>VLOOKUP(C442,'Talente &amp; Stuff'!CL:DM,17,FALSE)</f>
        <v>0</v>
      </c>
      <c r="T442" s="160">
        <f>VLOOKUP(C442,'Talente &amp; Stuff'!CL:DM,18,FALSE)</f>
        <v>0</v>
      </c>
      <c r="U442" s="89">
        <f>VLOOKUP(C442,'Talente &amp; Stuff'!CL:DM,19,FALSE)</f>
        <v>0</v>
      </c>
      <c r="V442" s="47">
        <f>VLOOKUP(C442,'Talente &amp; Stuff'!CL:DM,20,FALSE)</f>
        <v>0</v>
      </c>
      <c r="W442" s="127">
        <f>VLOOKUP(C442,'Talente &amp; Stuff'!CL:DM,21,FALSE)</f>
        <v>0</v>
      </c>
      <c r="X442" s="127">
        <f>VLOOKUP(C442,'Talente &amp; Stuff'!CL:DM,22,FALSE)</f>
        <v>0</v>
      </c>
      <c r="Y442" s="165">
        <f>VLOOKUP(C442,Ausgewählte_Liturgien_Rondra,110,FALSE)</f>
        <v>0</v>
      </c>
      <c r="Z442" s="44">
        <f>VLOOKUP(C442,Ausgewählte_Liturgien_Rondra,111,FALSE)</f>
        <v>0</v>
      </c>
      <c r="AA442" s="125">
        <f>VLOOKUP(C442,'Talente &amp; Stuff'!CL:DM,25,FALSE)</f>
        <v>0</v>
      </c>
      <c r="AB442" s="160">
        <f>VLOOKUP(C442,'Talente &amp; Stuff'!CL:DM,26,FALSE)</f>
        <v>0</v>
      </c>
      <c r="AC442" s="127">
        <f>VLOOKUP(C442,'Talente &amp; Stuff'!CL:DM,27,FALSE)</f>
        <v>0</v>
      </c>
      <c r="AD442" s="125">
        <f>VLOOKUP(C442,'Talente &amp; Stuff'!CL:DM,28,FALSE)</f>
        <v>0</v>
      </c>
      <c r="AE442" s="28"/>
    </row>
    <row r="443" spans="1:31" ht="15" hidden="1" customHeight="1" outlineLevel="2">
      <c r="B443" s="137">
        <v>3</v>
      </c>
      <c r="C443" s="177" t="str">
        <f>Attribute!C443</f>
        <v>---</v>
      </c>
      <c r="D443" s="125" t="str">
        <f>VLOOKUP(C443,'Talente &amp; Stuff'!CL:DM,2,FALSE)</f>
        <v>--/--/--</v>
      </c>
      <c r="E443" s="47" t="str">
        <f>VLOOKUP(C443,'Talente &amp; Stuff'!CL:DM,3,FALSE)</f>
        <v>-</v>
      </c>
      <c r="F443" s="114">
        <f>VLOOKUP(C443,'Talente &amp; Stuff'!CL:DM,4,FALSE)</f>
        <v>0</v>
      </c>
      <c r="G443" s="113">
        <f>VLOOKUP(C443,'Talente &amp; Stuff'!CL:DM,5,FALSE)</f>
        <v>0</v>
      </c>
      <c r="H443" s="113">
        <f>VLOOKUP(C443,'Talente &amp; Stuff'!CL:DM,6,FALSE)</f>
        <v>0</v>
      </c>
      <c r="I443" s="113">
        <f>VLOOKUP(C443,'Talente &amp; Stuff'!CL:DM,7,FALSE)</f>
        <v>0</v>
      </c>
      <c r="J443" s="113">
        <f>VLOOKUP(C443,'Talente &amp; Stuff'!CL:DM,8,FALSE)</f>
        <v>0</v>
      </c>
      <c r="K443" s="113">
        <f>VLOOKUP(C443,'Talente &amp; Stuff'!CL:DM,9,FALSE)</f>
        <v>0</v>
      </c>
      <c r="L443" s="113">
        <f>VLOOKUP(C443,'Talente &amp; Stuff'!CL:DM,10,FALSE)</f>
        <v>0</v>
      </c>
      <c r="M443" s="119">
        <f>VLOOKUP(C443,'Talente &amp; Stuff'!CL:DM,11,FALSE)</f>
        <v>0</v>
      </c>
      <c r="N443" s="47">
        <f>VLOOKUP(C443,'Talente &amp; Stuff'!CL:DM,12,FALSE)</f>
        <v>0</v>
      </c>
      <c r="O443" s="47">
        <f>VLOOKUP(C443,'Talente &amp; Stuff'!CL:DM,13,FALSE)</f>
        <v>0</v>
      </c>
      <c r="P443" s="113">
        <f>VLOOKUP(C443,'Talente &amp; Stuff'!CL:DM,14,FALSE)</f>
        <v>0</v>
      </c>
      <c r="Q443" s="114">
        <f>VLOOKUP(C443,'Talente &amp; Stuff'!CL:DM,15,FALSE)</f>
        <v>0</v>
      </c>
      <c r="R443" s="113">
        <f>VLOOKUP(C443,'Talente &amp; Stuff'!CL:DM,16,FALSE)</f>
        <v>0</v>
      </c>
      <c r="S443" s="119">
        <f>VLOOKUP(C443,'Talente &amp; Stuff'!CL:DM,17,FALSE)</f>
        <v>0</v>
      </c>
      <c r="T443" s="160">
        <f>VLOOKUP(C443,'Talente &amp; Stuff'!CL:DM,18,FALSE)</f>
        <v>0</v>
      </c>
      <c r="U443" s="89">
        <f>VLOOKUP(C443,'Talente &amp; Stuff'!CL:DM,19,FALSE)</f>
        <v>0</v>
      </c>
      <c r="V443" s="47">
        <f>VLOOKUP(C443,'Talente &amp; Stuff'!CL:DM,20,FALSE)</f>
        <v>0</v>
      </c>
      <c r="W443" s="127">
        <f>VLOOKUP(C443,'Talente &amp; Stuff'!CL:DM,21,FALSE)</f>
        <v>0</v>
      </c>
      <c r="X443" s="127">
        <f>VLOOKUP(C443,'Talente &amp; Stuff'!CL:DM,22,FALSE)</f>
        <v>0</v>
      </c>
      <c r="Y443" s="165">
        <f>VLOOKUP(C443,Ausgewählte_Liturgien_Rondra,110,FALSE)</f>
        <v>0</v>
      </c>
      <c r="Z443" s="44">
        <f>VLOOKUP(C443,Ausgewählte_Liturgien_Rondra,111,FALSE)</f>
        <v>0</v>
      </c>
      <c r="AA443" s="125">
        <f>VLOOKUP(C443,'Talente &amp; Stuff'!CL:DM,25,FALSE)</f>
        <v>0</v>
      </c>
      <c r="AB443" s="160">
        <f>VLOOKUP(C443,'Talente &amp; Stuff'!CL:DM,26,FALSE)</f>
        <v>0</v>
      </c>
      <c r="AC443" s="127">
        <f>VLOOKUP(C443,'Talente &amp; Stuff'!CL:DM,27,FALSE)</f>
        <v>0</v>
      </c>
      <c r="AD443" s="125">
        <f>VLOOKUP(C443,'Talente &amp; Stuff'!CL:DM,28,FALSE)</f>
        <v>0</v>
      </c>
      <c r="AE443" s="28"/>
    </row>
    <row r="444" spans="1:31" ht="15" hidden="1" customHeight="1" outlineLevel="2">
      <c r="B444" s="148">
        <v>4</v>
      </c>
      <c r="C444" s="178" t="str">
        <f>Attribute!C444</f>
        <v>---</v>
      </c>
      <c r="D444" s="159" t="str">
        <f>VLOOKUP(C444,'Talente &amp; Stuff'!CL:DM,2,FALSE)</f>
        <v>--/--/--</v>
      </c>
      <c r="E444" s="88" t="str">
        <f>VLOOKUP(C444,'Talente &amp; Stuff'!CL:DM,3,FALSE)</f>
        <v>-</v>
      </c>
      <c r="F444" s="115">
        <f>VLOOKUP(C444,'Talente &amp; Stuff'!CL:DM,4,FALSE)</f>
        <v>0</v>
      </c>
      <c r="G444" s="122">
        <f>VLOOKUP(C444,'Talente &amp; Stuff'!CL:DM,5,FALSE)</f>
        <v>0</v>
      </c>
      <c r="H444" s="122">
        <f>VLOOKUP(C444,'Talente &amp; Stuff'!CL:DM,6,FALSE)</f>
        <v>0</v>
      </c>
      <c r="I444" s="122">
        <f>VLOOKUP(C444,'Talente &amp; Stuff'!CL:DM,7,FALSE)</f>
        <v>0</v>
      </c>
      <c r="J444" s="122">
        <f>VLOOKUP(C444,'Talente &amp; Stuff'!CL:DM,8,FALSE)</f>
        <v>0</v>
      </c>
      <c r="K444" s="122">
        <f>VLOOKUP(C444,'Talente &amp; Stuff'!CL:DM,9,FALSE)</f>
        <v>0</v>
      </c>
      <c r="L444" s="122">
        <f>VLOOKUP(C444,'Talente &amp; Stuff'!CL:DM,10,FALSE)</f>
        <v>0</v>
      </c>
      <c r="M444" s="123">
        <f>VLOOKUP(C444,'Talente &amp; Stuff'!CL:DM,11,FALSE)</f>
        <v>0</v>
      </c>
      <c r="N444" s="88">
        <f>VLOOKUP(C444,'Talente &amp; Stuff'!CL:DM,12,FALSE)</f>
        <v>0</v>
      </c>
      <c r="O444" s="88">
        <f>VLOOKUP(C444,'Talente &amp; Stuff'!CL:DM,13,FALSE)</f>
        <v>0</v>
      </c>
      <c r="P444" s="122">
        <f>VLOOKUP(C444,'Talente &amp; Stuff'!CL:DM,14,FALSE)</f>
        <v>0</v>
      </c>
      <c r="Q444" s="115">
        <f>VLOOKUP(C444,'Talente &amp; Stuff'!CL:DM,15,FALSE)</f>
        <v>0</v>
      </c>
      <c r="R444" s="122">
        <f>VLOOKUP(C444,'Talente &amp; Stuff'!CL:DM,16,FALSE)</f>
        <v>0</v>
      </c>
      <c r="S444" s="123">
        <f>VLOOKUP(C444,'Talente &amp; Stuff'!CL:DM,17,FALSE)</f>
        <v>0</v>
      </c>
      <c r="T444" s="161">
        <f>VLOOKUP(C444,'Talente &amp; Stuff'!CL:DM,18,FALSE)</f>
        <v>0</v>
      </c>
      <c r="U444" s="90">
        <f>VLOOKUP(C444,'Talente &amp; Stuff'!CL:DM,19,FALSE)</f>
        <v>0</v>
      </c>
      <c r="V444" s="88">
        <f>VLOOKUP(C444,'Talente &amp; Stuff'!CL:DM,20,FALSE)</f>
        <v>0</v>
      </c>
      <c r="W444" s="128">
        <f>VLOOKUP(C444,'Talente &amp; Stuff'!CL:DM,21,FALSE)</f>
        <v>0</v>
      </c>
      <c r="X444" s="128">
        <f>VLOOKUP(C444,'Talente &amp; Stuff'!CL:DM,22,FALSE)</f>
        <v>0</v>
      </c>
      <c r="Y444" s="165">
        <f>VLOOKUP(C444,Ausgewählte_Liturgien_Rondra,110,FALSE)</f>
        <v>0</v>
      </c>
      <c r="Z444" s="44">
        <f>VLOOKUP(C444,Ausgewählte_Liturgien_Rondra,111,FALSE)</f>
        <v>0</v>
      </c>
      <c r="AA444" s="159">
        <f>VLOOKUP(C444,'Talente &amp; Stuff'!CL:DM,25,FALSE)</f>
        <v>0</v>
      </c>
      <c r="AB444" s="161">
        <f>VLOOKUP(C444,'Talente &amp; Stuff'!CL:DM,26,FALSE)</f>
        <v>0</v>
      </c>
      <c r="AC444" s="128">
        <f>VLOOKUP(C444,'Talente &amp; Stuff'!CL:DM,27,FALSE)</f>
        <v>0</v>
      </c>
      <c r="AD444" s="159">
        <f>VLOOKUP(C444,'Talente &amp; Stuff'!CL:DM,28,FALSE)</f>
        <v>0</v>
      </c>
      <c r="AE444" s="28"/>
    </row>
    <row r="445" spans="1:31" ht="15.75" hidden="1" customHeight="1" outlineLevel="1" collapsed="1" thickBot="1"/>
    <row r="446" spans="1:31" ht="15.75" collapsed="1" thickBot="1">
      <c r="A446" s="135" t="s">
        <v>269</v>
      </c>
      <c r="X446" s="140"/>
    </row>
    <row r="447" spans="1:31" ht="15" hidden="1" customHeight="1" outlineLevel="1">
      <c r="B447" s="134" t="s">
        <v>327</v>
      </c>
    </row>
    <row r="448" spans="1:31" ht="15" hidden="1" customHeight="1" outlineLevel="2">
      <c r="B448" s="148">
        <v>1</v>
      </c>
      <c r="C448" s="176" t="str">
        <f>Attribute!C448</f>
        <v>---</v>
      </c>
      <c r="D448" s="158" t="str">
        <f>VLOOKUP(C448,'Talente &amp; Stuff'!CL:DM,2,FALSE)</f>
        <v>--/--/--</v>
      </c>
      <c r="E448" s="126" t="str">
        <f>VLOOKUP(C448,'Talente &amp; Stuff'!CL:DM,3,FALSE)</f>
        <v>-</v>
      </c>
      <c r="F448" s="191">
        <f>VLOOKUP(C448,'Talente &amp; Stuff'!CL:DM,4,FALSE)</f>
        <v>0</v>
      </c>
      <c r="G448" s="118">
        <f>VLOOKUP(C448,'Talente &amp; Stuff'!CL:DM,5,FALSE)</f>
        <v>0</v>
      </c>
      <c r="H448" s="118">
        <f>VLOOKUP(C448,'Talente &amp; Stuff'!CL:DM,6,FALSE)</f>
        <v>0</v>
      </c>
      <c r="I448" s="118">
        <f>VLOOKUP(C448,'Talente &amp; Stuff'!CL:DM,7,FALSE)</f>
        <v>0</v>
      </c>
      <c r="J448" s="118">
        <f>VLOOKUP(C448,'Talente &amp; Stuff'!CL:DM,8,FALSE)</f>
        <v>0</v>
      </c>
      <c r="K448" s="118">
        <f>VLOOKUP(C448,'Talente &amp; Stuff'!CL:DM,9,FALSE)</f>
        <v>0</v>
      </c>
      <c r="L448" s="118">
        <f>VLOOKUP(C448,'Talente &amp; Stuff'!CL:DM,10,FALSE)</f>
        <v>0</v>
      </c>
      <c r="M448" s="92">
        <f>VLOOKUP(C448,'Talente &amp; Stuff'!CL:DM,11,FALSE)</f>
        <v>0</v>
      </c>
      <c r="N448" s="116">
        <f>VLOOKUP(C448,'Talente &amp; Stuff'!CL:DM,12,FALSE)</f>
        <v>0</v>
      </c>
      <c r="O448" s="116">
        <f>VLOOKUP(C448,'Talente &amp; Stuff'!CL:DM,13,FALSE)</f>
        <v>0</v>
      </c>
      <c r="P448" s="92">
        <f>VLOOKUP(C448,'Talente &amp; Stuff'!CL:DM,14,FALSE)</f>
        <v>0</v>
      </c>
      <c r="Q448" s="191">
        <f>VLOOKUP(C448,'Talente &amp; Stuff'!CL:DM,15,FALSE)</f>
        <v>0</v>
      </c>
      <c r="R448" s="118">
        <f>VLOOKUP(C448,'Talente &amp; Stuff'!CL:DM,16,FALSE)</f>
        <v>0</v>
      </c>
      <c r="S448" s="92">
        <f>VLOOKUP(C448,'Talente &amp; Stuff'!CL:DM,17,FALSE)</f>
        <v>0</v>
      </c>
      <c r="T448" s="92">
        <f>VLOOKUP(C448,'Talente &amp; Stuff'!CL:DM,18,FALSE)</f>
        <v>0</v>
      </c>
      <c r="U448" s="193">
        <f>VLOOKUP(C448,'Talente &amp; Stuff'!CL:DM,19,FALSE)</f>
        <v>0</v>
      </c>
      <c r="V448" s="116">
        <f>VLOOKUP(C448,'Talente &amp; Stuff'!CL:DM,20,FALSE)</f>
        <v>0</v>
      </c>
      <c r="W448" s="126">
        <f>VLOOKUP(C448,'Talente &amp; Stuff'!CL:DM,21,FALSE)</f>
        <v>0</v>
      </c>
      <c r="X448" s="126">
        <f>VLOOKUP(C448,'Talente &amp; Stuff'!CL:DM,22,FALSE)</f>
        <v>0</v>
      </c>
      <c r="Y448" s="165">
        <f>VLOOKUP(C448,Ausgewählte_Zeremonien_Allgemein,110,FALSE)</f>
        <v>0</v>
      </c>
      <c r="Z448" s="44">
        <f>VLOOKUP(C448,Ausgewählte_Zeremonien_Allgemein,111,FALSE)</f>
        <v>0</v>
      </c>
      <c r="AA448" s="158">
        <f>VLOOKUP(C448,'Talente &amp; Stuff'!CL:DM,25,FALSE)</f>
        <v>0</v>
      </c>
      <c r="AB448" s="91">
        <f>VLOOKUP(C448,'Talente &amp; Stuff'!CL:DM,26,FALSE)</f>
        <v>0</v>
      </c>
      <c r="AC448" s="126">
        <f>VLOOKUP(C448,'Talente &amp; Stuff'!CL:DM,27,FALSE)</f>
        <v>0</v>
      </c>
      <c r="AD448" s="158">
        <f>VLOOKUP(C448,'Talente &amp; Stuff'!CL:DM,28,FALSE)</f>
        <v>0</v>
      </c>
      <c r="AE448" s="28"/>
    </row>
    <row r="449" spans="2:31" ht="15" hidden="1" customHeight="1" outlineLevel="2">
      <c r="B449" s="148">
        <v>2</v>
      </c>
      <c r="C449" s="178" t="str">
        <f>Attribute!C449</f>
        <v>---</v>
      </c>
      <c r="D449" s="159" t="str">
        <f>VLOOKUP(C449,'Talente &amp; Stuff'!CL:DM,2,FALSE)</f>
        <v>--/--/--</v>
      </c>
      <c r="E449" s="128" t="str">
        <f>VLOOKUP(C449,'Talente &amp; Stuff'!CL:DM,3,FALSE)</f>
        <v>-</v>
      </c>
      <c r="F449" s="115">
        <f>VLOOKUP(C449,'Talente &amp; Stuff'!CL:DM,4,FALSE)</f>
        <v>0</v>
      </c>
      <c r="G449" s="122">
        <f>VLOOKUP(C449,'Talente &amp; Stuff'!CL:DM,5,FALSE)</f>
        <v>0</v>
      </c>
      <c r="H449" s="122">
        <f>VLOOKUP(C449,'Talente &amp; Stuff'!CL:DM,6,FALSE)</f>
        <v>0</v>
      </c>
      <c r="I449" s="122">
        <f>VLOOKUP(C449,'Talente &amp; Stuff'!CL:DM,7,FALSE)</f>
        <v>0</v>
      </c>
      <c r="J449" s="122">
        <f>VLOOKUP(C449,'Talente &amp; Stuff'!CL:DM,8,FALSE)</f>
        <v>0</v>
      </c>
      <c r="K449" s="122">
        <f>VLOOKUP(C449,'Talente &amp; Stuff'!CL:DM,9,FALSE)</f>
        <v>0</v>
      </c>
      <c r="L449" s="122">
        <f>VLOOKUP(C449,'Talente &amp; Stuff'!CL:DM,10,FALSE)</f>
        <v>0</v>
      </c>
      <c r="M449" s="123">
        <f>VLOOKUP(C449,'Talente &amp; Stuff'!CL:DM,11,FALSE)</f>
        <v>0</v>
      </c>
      <c r="N449" s="88">
        <f>VLOOKUP(C449,'Talente &amp; Stuff'!CL:DM,12,FALSE)</f>
        <v>0</v>
      </c>
      <c r="O449" s="88">
        <f>VLOOKUP(C449,'Talente &amp; Stuff'!CL:DM,13,FALSE)</f>
        <v>0</v>
      </c>
      <c r="P449" s="123">
        <f>VLOOKUP(C449,'Talente &amp; Stuff'!CL:DM,14,FALSE)</f>
        <v>0</v>
      </c>
      <c r="Q449" s="115">
        <f>VLOOKUP(C449,'Talente &amp; Stuff'!CL:DM,15,FALSE)</f>
        <v>0</v>
      </c>
      <c r="R449" s="122">
        <f>VLOOKUP(C449,'Talente &amp; Stuff'!CL:DM,16,FALSE)</f>
        <v>0</v>
      </c>
      <c r="S449" s="123">
        <f>VLOOKUP(C449,'Talente &amp; Stuff'!CL:DM,17,FALSE)</f>
        <v>0</v>
      </c>
      <c r="T449" s="123">
        <f>VLOOKUP(C449,'Talente &amp; Stuff'!CL:DM,18,FALSE)</f>
        <v>0</v>
      </c>
      <c r="U449" s="90">
        <f>VLOOKUP(C449,'Talente &amp; Stuff'!CL:DM,19,FALSE)</f>
        <v>0</v>
      </c>
      <c r="V449" s="88">
        <f>VLOOKUP(C449,'Talente &amp; Stuff'!CL:DM,20,FALSE)</f>
        <v>0</v>
      </c>
      <c r="W449" s="128">
        <f>VLOOKUP(C449,'Talente &amp; Stuff'!CL:DM,21,FALSE)</f>
        <v>0</v>
      </c>
      <c r="X449" s="128">
        <f>VLOOKUP(C449,'Talente &amp; Stuff'!CL:DM,22,FALSE)</f>
        <v>0</v>
      </c>
      <c r="Y449" s="165">
        <f>VLOOKUP(C449,Ausgewählte_Zeremonien_Allgemein,110,FALSE)</f>
        <v>0</v>
      </c>
      <c r="Z449" s="44">
        <f>VLOOKUP(C449,Ausgewählte_Zeremonien_Allgemein,111,FALSE)</f>
        <v>0</v>
      </c>
      <c r="AA449" s="159">
        <f>VLOOKUP(C449,'Talente &amp; Stuff'!CL:DM,25,FALSE)</f>
        <v>0</v>
      </c>
      <c r="AB449" s="161">
        <f>VLOOKUP(C449,'Talente &amp; Stuff'!CL:DM,26,FALSE)</f>
        <v>0</v>
      </c>
      <c r="AC449" s="128">
        <f>VLOOKUP(C449,'Talente &amp; Stuff'!CL:DM,27,FALSE)</f>
        <v>0</v>
      </c>
      <c r="AD449" s="159">
        <f>VLOOKUP(C449,'Talente &amp; Stuff'!CL:DM,28,FALSE)</f>
        <v>0</v>
      </c>
      <c r="AE449" s="28"/>
    </row>
    <row r="450" spans="2:31" ht="15" hidden="1" customHeight="1" outlineLevel="1" collapsed="1">
      <c r="B450" s="134" t="s">
        <v>326</v>
      </c>
      <c r="C450" s="83"/>
      <c r="D450" s="84"/>
      <c r="E450" s="84"/>
    </row>
    <row r="451" spans="2:31" ht="15" hidden="1" customHeight="1" outlineLevel="2">
      <c r="B451" s="148">
        <v>0</v>
      </c>
      <c r="C451" s="134"/>
      <c r="D451" s="40"/>
      <c r="E451" s="182"/>
      <c r="F451" s="17"/>
      <c r="G451" s="183"/>
      <c r="H451" s="183"/>
      <c r="I451" s="183"/>
      <c r="J451" s="183"/>
      <c r="K451" s="183"/>
      <c r="L451" s="183"/>
      <c r="M451" s="180"/>
      <c r="N451" s="179"/>
      <c r="O451" s="179"/>
      <c r="P451" s="180"/>
      <c r="Q451" s="17"/>
      <c r="R451" s="183"/>
      <c r="S451" s="180"/>
      <c r="T451" s="180"/>
      <c r="U451" s="166"/>
      <c r="V451" s="179"/>
      <c r="W451" s="182"/>
      <c r="X451" s="182"/>
      <c r="Y451" s="134"/>
      <c r="Z451" s="44"/>
      <c r="AA451" s="40"/>
      <c r="AB451" s="189"/>
      <c r="AC451" s="182"/>
      <c r="AD451" s="40"/>
    </row>
    <row r="452" spans="2:31" ht="15" hidden="1" customHeight="1" outlineLevel="1" collapsed="1">
      <c r="B452" s="134" t="s">
        <v>325</v>
      </c>
      <c r="C452" s="83"/>
      <c r="D452" s="84"/>
      <c r="E452" s="84"/>
    </row>
    <row r="453" spans="2:31" ht="15" hidden="1" customHeight="1" outlineLevel="2">
      <c r="B453" s="148">
        <v>0</v>
      </c>
      <c r="C453" s="134"/>
      <c r="D453" s="40"/>
      <c r="E453" s="182"/>
      <c r="F453" s="17"/>
      <c r="G453" s="183"/>
      <c r="H453" s="183"/>
      <c r="I453" s="183"/>
      <c r="J453" s="183"/>
      <c r="K453" s="183"/>
      <c r="L453" s="183"/>
      <c r="M453" s="180"/>
      <c r="N453" s="179"/>
      <c r="O453" s="179"/>
      <c r="P453" s="180"/>
      <c r="Q453" s="17"/>
      <c r="R453" s="183"/>
      <c r="S453" s="180"/>
      <c r="T453" s="180"/>
      <c r="U453" s="166"/>
      <c r="V453" s="179"/>
      <c r="W453" s="182"/>
      <c r="X453" s="182"/>
      <c r="Y453" s="134"/>
      <c r="Z453" s="44"/>
      <c r="AA453" s="40"/>
      <c r="AB453" s="189"/>
      <c r="AC453" s="182"/>
      <c r="AD453" s="40"/>
    </row>
    <row r="454" spans="2:31" ht="15" hidden="1" customHeight="1" outlineLevel="1" collapsed="1">
      <c r="B454" s="134" t="s">
        <v>324</v>
      </c>
      <c r="C454" s="83"/>
      <c r="D454" s="84"/>
      <c r="E454" s="84"/>
    </row>
    <row r="455" spans="2:31" ht="15" hidden="1" customHeight="1" outlineLevel="2">
      <c r="B455" s="148">
        <v>1</v>
      </c>
      <c r="C455" s="200" t="str">
        <f>Attribute!C455</f>
        <v>---</v>
      </c>
      <c r="D455" s="40" t="str">
        <f>VLOOKUP(C455,'Talente &amp; Stuff'!CL:DM,2,FALSE)</f>
        <v>--/--/--</v>
      </c>
      <c r="E455" s="182" t="str">
        <f>VLOOKUP(C455,'Talente &amp; Stuff'!CL:DM,3,FALSE)</f>
        <v>-</v>
      </c>
      <c r="F455" s="17">
        <f>VLOOKUP(C455,'Talente &amp; Stuff'!CL:DM,4,FALSE)</f>
        <v>0</v>
      </c>
      <c r="G455" s="183">
        <f>VLOOKUP(C455,'Talente &amp; Stuff'!CL:DM,5,FALSE)</f>
        <v>0</v>
      </c>
      <c r="H455" s="183">
        <f>VLOOKUP(C455,'Talente &amp; Stuff'!CL:DM,6,FALSE)</f>
        <v>0</v>
      </c>
      <c r="I455" s="183">
        <f>VLOOKUP(C455,'Talente &amp; Stuff'!CL:DM,7,FALSE)</f>
        <v>0</v>
      </c>
      <c r="J455" s="183">
        <f>VLOOKUP(C455,'Talente &amp; Stuff'!CL:DM,8,FALSE)</f>
        <v>0</v>
      </c>
      <c r="K455" s="183">
        <f>VLOOKUP(C455,'Talente &amp; Stuff'!CL:DM,9,FALSE)</f>
        <v>0</v>
      </c>
      <c r="L455" s="183">
        <f>VLOOKUP(C455,'Talente &amp; Stuff'!CL:DM,10,FALSE)</f>
        <v>0</v>
      </c>
      <c r="M455" s="180">
        <f>VLOOKUP(C455,'Talente &amp; Stuff'!CL:DM,11,FALSE)</f>
        <v>0</v>
      </c>
      <c r="N455" s="179">
        <f>VLOOKUP(C455,'Talente &amp; Stuff'!CL:DM,12,FALSE)</f>
        <v>0</v>
      </c>
      <c r="O455" s="179">
        <f>VLOOKUP(C455,'Talente &amp; Stuff'!CL:DM,13,FALSE)</f>
        <v>0</v>
      </c>
      <c r="P455" s="180">
        <f>VLOOKUP(C455,'Talente &amp; Stuff'!CL:DM,14,FALSE)</f>
        <v>0</v>
      </c>
      <c r="Q455" s="17">
        <f>VLOOKUP(C455,'Talente &amp; Stuff'!CL:DM,15,FALSE)</f>
        <v>0</v>
      </c>
      <c r="R455" s="183">
        <f>VLOOKUP(C455,'Talente &amp; Stuff'!CL:DM,16,FALSE)</f>
        <v>0</v>
      </c>
      <c r="S455" s="180">
        <f>VLOOKUP(C455,'Talente &amp; Stuff'!CL:DM,17,FALSE)</f>
        <v>0</v>
      </c>
      <c r="T455" s="180">
        <f>VLOOKUP(C455,'Talente &amp; Stuff'!CL:DM,18,FALSE)</f>
        <v>0</v>
      </c>
      <c r="U455" s="166">
        <f>VLOOKUP(C455,'Talente &amp; Stuff'!CL:DM,19,FALSE)</f>
        <v>0</v>
      </c>
      <c r="V455" s="179">
        <f>VLOOKUP(C455,'Talente &amp; Stuff'!CL:DM,20,FALSE)</f>
        <v>0</v>
      </c>
      <c r="W455" s="182">
        <f>VLOOKUP(C455,'Talente &amp; Stuff'!CL:DM,21,FALSE)</f>
        <v>0</v>
      </c>
      <c r="X455" s="182">
        <f>VLOOKUP(C455,'Talente &amp; Stuff'!CL:DM,22,FALSE)</f>
        <v>0</v>
      </c>
      <c r="Y455" s="165">
        <f>VLOOKUP(C455,Ausgewählte_Zeremonien_Peraine,110,FALSE)</f>
        <v>0</v>
      </c>
      <c r="Z455" s="44">
        <f>VLOOKUP(C455,Ausgewählte_Zeremonien_Peraine,111,FALSE)</f>
        <v>0</v>
      </c>
      <c r="AA455" s="40">
        <f>VLOOKUP(C455,'Talente &amp; Stuff'!CL:DM,25,FALSE)</f>
        <v>0</v>
      </c>
      <c r="AB455" s="189">
        <f>VLOOKUP(C455,'Talente &amp; Stuff'!CL:DM,26,FALSE)</f>
        <v>0</v>
      </c>
      <c r="AC455" s="182">
        <f>VLOOKUP(C455,'Talente &amp; Stuff'!CL:DM,27,FALSE)</f>
        <v>0</v>
      </c>
      <c r="AD455" s="40">
        <f>VLOOKUP(C455,'Talente &amp; Stuff'!CL:DM,28,FALSE)</f>
        <v>0</v>
      </c>
      <c r="AE455" s="28"/>
    </row>
    <row r="456" spans="2:31" ht="15" hidden="1" customHeight="1" outlineLevel="1" collapsed="1">
      <c r="B456" s="134" t="s">
        <v>323</v>
      </c>
      <c r="C456" s="83"/>
      <c r="D456" s="84"/>
      <c r="E456" s="84"/>
    </row>
    <row r="457" spans="2:31" ht="15" hidden="1" customHeight="1" outlineLevel="2">
      <c r="B457" s="148">
        <v>1</v>
      </c>
      <c r="C457" s="200" t="str">
        <f>Attribute!C457</f>
        <v>---</v>
      </c>
      <c r="D457" s="40" t="str">
        <f>VLOOKUP(C457,'Talente &amp; Stuff'!CL:DM,2,FALSE)</f>
        <v>--/--/--</v>
      </c>
      <c r="E457" s="182" t="str">
        <f>VLOOKUP(C457,'Talente &amp; Stuff'!CL:DM,3,FALSE)</f>
        <v>-</v>
      </c>
      <c r="F457" s="17">
        <f>VLOOKUP(C457,'Talente &amp; Stuff'!CL:DM,4,FALSE)</f>
        <v>0</v>
      </c>
      <c r="G457" s="183">
        <f>VLOOKUP(C457,'Talente &amp; Stuff'!CL:DM,5,FALSE)</f>
        <v>0</v>
      </c>
      <c r="H457" s="183">
        <f>VLOOKUP(C457,'Talente &amp; Stuff'!CL:DM,6,FALSE)</f>
        <v>0</v>
      </c>
      <c r="I457" s="183">
        <f>VLOOKUP(C457,'Talente &amp; Stuff'!CL:DM,7,FALSE)</f>
        <v>0</v>
      </c>
      <c r="J457" s="183">
        <f>VLOOKUP(C457,'Talente &amp; Stuff'!CL:DM,8,FALSE)</f>
        <v>0</v>
      </c>
      <c r="K457" s="183">
        <f>VLOOKUP(C457,'Talente &amp; Stuff'!CL:DM,9,FALSE)</f>
        <v>0</v>
      </c>
      <c r="L457" s="183">
        <f>VLOOKUP(C457,'Talente &amp; Stuff'!CL:DM,10,FALSE)</f>
        <v>0</v>
      </c>
      <c r="M457" s="180">
        <f>VLOOKUP(C457,'Talente &amp; Stuff'!CL:DM,11,FALSE)</f>
        <v>0</v>
      </c>
      <c r="N457" s="179">
        <f>VLOOKUP(C457,'Talente &amp; Stuff'!CL:DM,12,FALSE)</f>
        <v>0</v>
      </c>
      <c r="O457" s="179">
        <f>VLOOKUP(C457,'Talente &amp; Stuff'!CL:DM,13,FALSE)</f>
        <v>0</v>
      </c>
      <c r="P457" s="180">
        <f>VLOOKUP(C457,'Talente &amp; Stuff'!CL:DM,14,FALSE)</f>
        <v>0</v>
      </c>
      <c r="Q457" s="17">
        <f>VLOOKUP(C457,'Talente &amp; Stuff'!CL:DM,15,FALSE)</f>
        <v>0</v>
      </c>
      <c r="R457" s="183">
        <f>VLOOKUP(C457,'Talente &amp; Stuff'!CL:DM,16,FALSE)</f>
        <v>0</v>
      </c>
      <c r="S457" s="180">
        <f>VLOOKUP(C457,'Talente &amp; Stuff'!CL:DM,17,FALSE)</f>
        <v>0</v>
      </c>
      <c r="T457" s="180">
        <f>VLOOKUP(C457,'Talente &amp; Stuff'!CL:DM,18,FALSE)</f>
        <v>0</v>
      </c>
      <c r="U457" s="166">
        <f>VLOOKUP(C457,'Talente &amp; Stuff'!CL:DM,19,FALSE)</f>
        <v>0</v>
      </c>
      <c r="V457" s="179">
        <f>VLOOKUP(C457,'Talente &amp; Stuff'!CL:DM,20,FALSE)</f>
        <v>0</v>
      </c>
      <c r="W457" s="182">
        <f>VLOOKUP(C457,'Talente &amp; Stuff'!CL:DM,21,FALSE)</f>
        <v>0</v>
      </c>
      <c r="X457" s="182">
        <f>VLOOKUP(C457,'Talente &amp; Stuff'!CL:DM,22,FALSE)</f>
        <v>0</v>
      </c>
      <c r="Y457" s="165">
        <f>VLOOKUP(C457,Ausgewählte_Zeremonien_Phex,110,FALSE)</f>
        <v>0</v>
      </c>
      <c r="Z457" s="44">
        <f>VLOOKUP(C457,Ausgewählte_Zeremonien_Phex,111,FALSE)</f>
        <v>0</v>
      </c>
      <c r="AA457" s="40">
        <f>VLOOKUP(C457,'Talente &amp; Stuff'!CL:DM,25,FALSE)</f>
        <v>0</v>
      </c>
      <c r="AB457" s="189">
        <f>VLOOKUP(C457,'Talente &amp; Stuff'!CL:DM,26,FALSE)</f>
        <v>0</v>
      </c>
      <c r="AC457" s="182">
        <f>VLOOKUP(C457,'Talente &amp; Stuff'!CL:DM,27,FALSE)</f>
        <v>0</v>
      </c>
      <c r="AD457" s="40">
        <f>VLOOKUP(C457,'Talente &amp; Stuff'!CL:DM,28,FALSE)</f>
        <v>0</v>
      </c>
      <c r="AE457" s="28"/>
    </row>
    <row r="458" spans="2:31" ht="15" hidden="1" customHeight="1" outlineLevel="1" collapsed="1">
      <c r="B458" s="134" t="s">
        <v>322</v>
      </c>
      <c r="C458" s="83"/>
      <c r="D458" s="84"/>
      <c r="E458" s="84"/>
    </row>
    <row r="459" spans="2:31" ht="15" hidden="1" customHeight="1" outlineLevel="2">
      <c r="B459" s="148">
        <v>0</v>
      </c>
      <c r="C459" s="134"/>
      <c r="D459" s="40"/>
      <c r="E459" s="182"/>
      <c r="F459" s="17"/>
      <c r="G459" s="183"/>
      <c r="H459" s="183"/>
      <c r="I459" s="183"/>
      <c r="J459" s="183"/>
      <c r="K459" s="183"/>
      <c r="L459" s="183"/>
      <c r="M459" s="180"/>
      <c r="N459" s="179"/>
      <c r="O459" s="179"/>
      <c r="P459" s="180"/>
      <c r="Q459" s="17"/>
      <c r="R459" s="183"/>
      <c r="S459" s="180"/>
      <c r="T459" s="180"/>
      <c r="U459" s="166"/>
      <c r="V459" s="179"/>
      <c r="W459" s="182"/>
      <c r="X459" s="182"/>
      <c r="Y459" s="134"/>
      <c r="Z459" s="44"/>
      <c r="AA459" s="40"/>
      <c r="AB459" s="189"/>
      <c r="AC459" s="182"/>
      <c r="AD459" s="40"/>
    </row>
    <row r="460" spans="2:31" ht="15" hidden="1" customHeight="1" outlineLevel="1" collapsed="1">
      <c r="B460" s="134" t="s">
        <v>321</v>
      </c>
      <c r="C460" s="83"/>
      <c r="D460" s="84"/>
      <c r="E460" s="84"/>
    </row>
    <row r="461" spans="2:31" ht="15" hidden="1" customHeight="1" outlineLevel="2">
      <c r="B461" s="148">
        <v>1</v>
      </c>
      <c r="C461" s="176" t="str">
        <f>Attribute!C461</f>
        <v>---</v>
      </c>
      <c r="D461" s="158" t="str">
        <f>VLOOKUP(C461,'Talente &amp; Stuff'!CL:DM,2,FALSE)</f>
        <v>--/--/--</v>
      </c>
      <c r="E461" s="126" t="str">
        <f>VLOOKUP(C461,'Talente &amp; Stuff'!CL:DM,3,FALSE)</f>
        <v>-</v>
      </c>
      <c r="F461" s="191">
        <f>VLOOKUP(C461,'Talente &amp; Stuff'!CL:DM,4,FALSE)</f>
        <v>0</v>
      </c>
      <c r="G461" s="118">
        <f>VLOOKUP(C461,'Talente &amp; Stuff'!CL:DM,5,FALSE)</f>
        <v>0</v>
      </c>
      <c r="H461" s="118">
        <f>VLOOKUP(C461,'Talente &amp; Stuff'!CL:DM,6,FALSE)</f>
        <v>0</v>
      </c>
      <c r="I461" s="118">
        <f>VLOOKUP(C461,'Talente &amp; Stuff'!CL:DM,7,FALSE)</f>
        <v>0</v>
      </c>
      <c r="J461" s="118">
        <f>VLOOKUP(C461,'Talente &amp; Stuff'!CL:DM,8,FALSE)</f>
        <v>0</v>
      </c>
      <c r="K461" s="118">
        <f>VLOOKUP(C461,'Talente &amp; Stuff'!CL:DM,9,FALSE)</f>
        <v>0</v>
      </c>
      <c r="L461" s="118">
        <f>VLOOKUP(C461,'Talente &amp; Stuff'!CL:DM,10,FALSE)</f>
        <v>0</v>
      </c>
      <c r="M461" s="92">
        <f>VLOOKUP(C461,'Talente &amp; Stuff'!CL:DM,11,FALSE)</f>
        <v>0</v>
      </c>
      <c r="N461" s="116">
        <f>VLOOKUP(C461,'Talente &amp; Stuff'!CL:DM,12,FALSE)</f>
        <v>0</v>
      </c>
      <c r="O461" s="116">
        <f>VLOOKUP(C461,'Talente &amp; Stuff'!CL:DM,13,FALSE)</f>
        <v>0</v>
      </c>
      <c r="P461" s="92">
        <f>VLOOKUP(C461,'Talente &amp; Stuff'!CL:DM,14,FALSE)</f>
        <v>0</v>
      </c>
      <c r="Q461" s="191">
        <f>VLOOKUP(C461,'Talente &amp; Stuff'!CL:DM,15,FALSE)</f>
        <v>0</v>
      </c>
      <c r="R461" s="118">
        <f>VLOOKUP(C461,'Talente &amp; Stuff'!CL:DM,16,FALSE)</f>
        <v>0</v>
      </c>
      <c r="S461" s="92">
        <f>VLOOKUP(C461,'Talente &amp; Stuff'!CL:DM,17,FALSE)</f>
        <v>0</v>
      </c>
      <c r="T461" s="92">
        <f>VLOOKUP(C461,'Talente &amp; Stuff'!CL:DM,18,FALSE)</f>
        <v>0</v>
      </c>
      <c r="U461" s="193">
        <f>VLOOKUP(C461,'Talente &amp; Stuff'!CL:DM,19,FALSE)</f>
        <v>0</v>
      </c>
      <c r="V461" s="116">
        <f>VLOOKUP(C461,'Talente &amp; Stuff'!CL:DM,20,FALSE)</f>
        <v>0</v>
      </c>
      <c r="W461" s="126">
        <f>VLOOKUP(C461,'Talente &amp; Stuff'!CL:DM,21,FALSE)</f>
        <v>0</v>
      </c>
      <c r="X461" s="126">
        <f>VLOOKUP(C461,'Talente &amp; Stuff'!CL:DM,22,FALSE)</f>
        <v>0</v>
      </c>
      <c r="Y461" s="165">
        <f>VLOOKUP(C461,Ausgewählte_Zeremonien_Rondra,110,FALSE)</f>
        <v>0</v>
      </c>
      <c r="Z461" s="44">
        <f>VLOOKUP(C461,Ausgewählte_Zeremonien_Rondra,111,FALSE)</f>
        <v>0</v>
      </c>
      <c r="AA461" s="158">
        <f>VLOOKUP(C461,'Talente &amp; Stuff'!CL:DM,25,FALSE)</f>
        <v>0</v>
      </c>
      <c r="AB461" s="91">
        <f>VLOOKUP(C461,'Talente &amp; Stuff'!CL:DM,26,FALSE)</f>
        <v>0</v>
      </c>
      <c r="AC461" s="126">
        <f>VLOOKUP(C461,'Talente &amp; Stuff'!CL:DM,27,FALSE)</f>
        <v>0</v>
      </c>
      <c r="AD461" s="158">
        <f>VLOOKUP(C461,'Talente &amp; Stuff'!CL:DM,28,FALSE)</f>
        <v>0</v>
      </c>
      <c r="AE461" s="28"/>
    </row>
    <row r="462" spans="2:31" ht="15" hidden="1" customHeight="1" outlineLevel="2">
      <c r="B462" s="148">
        <v>2</v>
      </c>
      <c r="C462" s="178" t="str">
        <f>Attribute!C462</f>
        <v>---</v>
      </c>
      <c r="D462" s="159" t="str">
        <f>VLOOKUP(C462,'Talente &amp; Stuff'!CL:DM,2,FALSE)</f>
        <v>--/--/--</v>
      </c>
      <c r="E462" s="128" t="str">
        <f>VLOOKUP(C462,'Talente &amp; Stuff'!CL:DM,3,FALSE)</f>
        <v>-</v>
      </c>
      <c r="F462" s="115">
        <f>VLOOKUP(C462,'Talente &amp; Stuff'!CL:DM,4,FALSE)</f>
        <v>0</v>
      </c>
      <c r="G462" s="122">
        <f>VLOOKUP(C462,'Talente &amp; Stuff'!CL:DM,5,FALSE)</f>
        <v>0</v>
      </c>
      <c r="H462" s="122">
        <f>VLOOKUP(C462,'Talente &amp; Stuff'!CL:DM,6,FALSE)</f>
        <v>0</v>
      </c>
      <c r="I462" s="122">
        <f>VLOOKUP(C462,'Talente &amp; Stuff'!CL:DM,7,FALSE)</f>
        <v>0</v>
      </c>
      <c r="J462" s="122">
        <f>VLOOKUP(C462,'Talente &amp; Stuff'!CL:DM,8,FALSE)</f>
        <v>0</v>
      </c>
      <c r="K462" s="122">
        <f>VLOOKUP(C462,'Talente &amp; Stuff'!CL:DM,9,FALSE)</f>
        <v>0</v>
      </c>
      <c r="L462" s="122">
        <f>VLOOKUP(C462,'Talente &amp; Stuff'!CL:DM,10,FALSE)</f>
        <v>0</v>
      </c>
      <c r="M462" s="123">
        <f>VLOOKUP(C462,'Talente &amp; Stuff'!CL:DM,11,FALSE)</f>
        <v>0</v>
      </c>
      <c r="N462" s="88">
        <f>VLOOKUP(C462,'Talente &amp; Stuff'!CL:DM,12,FALSE)</f>
        <v>0</v>
      </c>
      <c r="O462" s="88">
        <f>VLOOKUP(C462,'Talente &amp; Stuff'!CL:DM,13,FALSE)</f>
        <v>0</v>
      </c>
      <c r="P462" s="123">
        <f>VLOOKUP(C462,'Talente &amp; Stuff'!CL:DM,14,FALSE)</f>
        <v>0</v>
      </c>
      <c r="Q462" s="115">
        <f>VLOOKUP(C462,'Talente &amp; Stuff'!CL:DM,15,FALSE)</f>
        <v>0</v>
      </c>
      <c r="R462" s="122">
        <f>VLOOKUP(C462,'Talente &amp; Stuff'!CL:DM,16,FALSE)</f>
        <v>0</v>
      </c>
      <c r="S462" s="123">
        <f>VLOOKUP(C462,'Talente &amp; Stuff'!CL:DM,17,FALSE)</f>
        <v>0</v>
      </c>
      <c r="T462" s="123">
        <f>VLOOKUP(C462,'Talente &amp; Stuff'!CL:DM,18,FALSE)</f>
        <v>0</v>
      </c>
      <c r="U462" s="90">
        <f>VLOOKUP(C462,'Talente &amp; Stuff'!CL:DM,19,FALSE)</f>
        <v>0</v>
      </c>
      <c r="V462" s="88">
        <f>VLOOKUP(C462,'Talente &amp; Stuff'!CL:DM,20,FALSE)</f>
        <v>0</v>
      </c>
      <c r="W462" s="128">
        <f>VLOOKUP(C462,'Talente &amp; Stuff'!CL:DM,21,FALSE)</f>
        <v>0</v>
      </c>
      <c r="X462" s="128">
        <f>VLOOKUP(C462,'Talente &amp; Stuff'!CL:DM,22,FALSE)</f>
        <v>0</v>
      </c>
      <c r="Y462" s="165">
        <f>VLOOKUP(C462,Ausgewählte_Zeremonien_Rondra,110,FALSE)</f>
        <v>0</v>
      </c>
      <c r="Z462" s="44">
        <f>VLOOKUP(C462,Ausgewählte_Zeremonien_Rondra,111,FALSE)</f>
        <v>0</v>
      </c>
      <c r="AA462" s="159">
        <f>VLOOKUP(C462,'Talente &amp; Stuff'!CL:DM,25,FALSE)</f>
        <v>0</v>
      </c>
      <c r="AB462" s="161">
        <f>VLOOKUP(C462,'Talente &amp; Stuff'!CL:DM,26,FALSE)</f>
        <v>0</v>
      </c>
      <c r="AC462" s="128">
        <f>VLOOKUP(C462,'Talente &amp; Stuff'!CL:DM,27,FALSE)</f>
        <v>0</v>
      </c>
      <c r="AD462" s="159">
        <f>VLOOKUP(C462,'Talente &amp; Stuff'!CL:DM,28,FALSE)</f>
        <v>0</v>
      </c>
      <c r="AE462" s="28"/>
    </row>
    <row r="463" spans="2:31" ht="15" hidden="1" customHeight="1" outlineLevel="1" collapsed="1"/>
    <row r="464" spans="2:31" collapsed="1"/>
    <row r="465" spans="3:31" ht="15.75" thickBot="1">
      <c r="C465" s="196"/>
      <c r="D465" s="4"/>
      <c r="E465" s="4"/>
      <c r="F465" s="6"/>
      <c r="G465" s="6"/>
      <c r="H465" s="6"/>
      <c r="I465" s="6"/>
      <c r="J465" s="6"/>
      <c r="K465" s="6"/>
      <c r="L465" s="6"/>
      <c r="M465" s="6"/>
      <c r="N465" s="4"/>
      <c r="O465" s="48"/>
      <c r="P465" s="6"/>
      <c r="Q465" s="101">
        <f>IFERROR(SUM(Q11:Q463)/COUNTIF(Q11:Q463,"&gt;0"),0)</f>
        <v>0</v>
      </c>
      <c r="R465" s="101">
        <f>IFERROR(SUM(R11:R463)/COUNTIF(R11:R463,"&gt;0"),0)</f>
        <v>0</v>
      </c>
      <c r="S465" s="101">
        <f>IFERROR(SUM(S11:S463)/COUNTIF(S11:S463,"&gt;0"),0)</f>
        <v>0</v>
      </c>
      <c r="T465" s="101">
        <f>Q465+R465+S465</f>
        <v>0</v>
      </c>
      <c r="U465" s="4"/>
      <c r="V465" s="4"/>
      <c r="W465" s="4"/>
      <c r="X465" s="4"/>
      <c r="Y465" s="74"/>
      <c r="Z465" s="1"/>
      <c r="AA465" s="4"/>
      <c r="AB465" s="6"/>
      <c r="AC465" s="4"/>
      <c r="AD465" s="27"/>
      <c r="AE465" s="28"/>
    </row>
    <row r="466" spans="3:31" ht="15.75" thickBot="1">
      <c r="C466" s="196"/>
      <c r="D466" s="4"/>
      <c r="E466" s="4"/>
      <c r="F466" s="274" t="s">
        <v>117</v>
      </c>
      <c r="G466" s="275"/>
      <c r="H466" s="275"/>
      <c r="I466" s="275"/>
      <c r="J466" s="275"/>
      <c r="K466" s="275"/>
      <c r="L466" s="276">
        <f>AVERAGE(F468:M468)</f>
        <v>0</v>
      </c>
      <c r="M466" s="277"/>
      <c r="N466" s="4"/>
      <c r="O466" s="4"/>
      <c r="P466" s="6"/>
      <c r="Q466" s="102" t="s">
        <v>113</v>
      </c>
      <c r="R466" s="102" t="s">
        <v>113</v>
      </c>
      <c r="S466" s="102" t="s">
        <v>113</v>
      </c>
      <c r="T466" s="102" t="s">
        <v>113</v>
      </c>
      <c r="U466" s="4"/>
      <c r="V466" s="4"/>
      <c r="W466" s="20" t="s">
        <v>117</v>
      </c>
      <c r="X466" s="19">
        <f>IFERROR(X468/COUNTIF(X11:X463,"&gt;0"),0)</f>
        <v>0</v>
      </c>
      <c r="Y466" s="204">
        <f>IFERROR(Y468/COUNTIF(Y11:Y463,"&gt;0"),0)</f>
        <v>0</v>
      </c>
      <c r="Z466" s="13">
        <f>IFERROR(Z468/COUNTIF(Z11:Z463,"&gt;0"),0)</f>
        <v>0</v>
      </c>
      <c r="AA466" s="19">
        <f>IFERROR(AA468/COUNTIF(AA11:AA463,"&gt;0"),0)</f>
        <v>0</v>
      </c>
      <c r="AB466" s="19">
        <f>IFERROR(SUM(AB11:AB464)/COUNTIF(AB11:AB464,"&gt;0"),0)</f>
        <v>0</v>
      </c>
      <c r="AC466" s="19">
        <f>IFERROR(SUM(AC11:AC464)/COUNTIF(AC11:AC464,"&gt;0"),0)</f>
        <v>0</v>
      </c>
      <c r="AD466" s="24">
        <f>IFERROR(SUM(AD11:AD464)/COUNTIF(AD11:AD464,"&gt;0"),0)</f>
        <v>0</v>
      </c>
      <c r="AE466" s="28"/>
    </row>
    <row r="467" spans="3:31" ht="15.75" thickBot="1">
      <c r="C467" s="196"/>
      <c r="D467" s="4"/>
      <c r="E467" s="4"/>
      <c r="F467" s="65"/>
      <c r="G467" s="65"/>
      <c r="H467" s="65"/>
      <c r="I467" s="65"/>
      <c r="J467" s="65"/>
      <c r="K467" s="65"/>
      <c r="L467" s="65"/>
      <c r="M467" s="65"/>
      <c r="N467" s="4"/>
      <c r="O467" s="4"/>
      <c r="P467" s="6"/>
      <c r="Q467" s="103">
        <f>Konvention_1master^3</f>
        <v>8000</v>
      </c>
      <c r="R467" s="103">
        <f>Konvention_1master^3</f>
        <v>8000</v>
      </c>
      <c r="S467" s="103">
        <f>Konvention_1master^3</f>
        <v>8000</v>
      </c>
      <c r="T467" s="103">
        <f>Konvention_1master^3</f>
        <v>8000</v>
      </c>
      <c r="U467" s="4"/>
      <c r="V467" s="4"/>
      <c r="W467" s="4"/>
      <c r="X467" s="1"/>
      <c r="Y467" s="74"/>
      <c r="Z467" s="1"/>
      <c r="AA467" s="35"/>
      <c r="AB467" s="22"/>
      <c r="AC467" s="35"/>
      <c r="AD467" s="36"/>
      <c r="AE467" s="28"/>
    </row>
    <row r="468" spans="3:31">
      <c r="C468" s="196"/>
      <c r="D468" s="4"/>
      <c r="E468" s="4"/>
      <c r="F468" s="66">
        <f t="shared" ref="F468:P468" si="38">SUM(F11:F463)</f>
        <v>0</v>
      </c>
      <c r="G468" s="66">
        <f t="shared" si="38"/>
        <v>0</v>
      </c>
      <c r="H468" s="66">
        <f t="shared" si="38"/>
        <v>0</v>
      </c>
      <c r="I468" s="66">
        <f t="shared" si="38"/>
        <v>0</v>
      </c>
      <c r="J468" s="66">
        <f t="shared" si="38"/>
        <v>0</v>
      </c>
      <c r="K468" s="66">
        <f t="shared" si="38"/>
        <v>0</v>
      </c>
      <c r="L468" s="66">
        <f t="shared" si="38"/>
        <v>0</v>
      </c>
      <c r="M468" s="66">
        <f t="shared" si="38"/>
        <v>0</v>
      </c>
      <c r="N468" s="10">
        <f t="shared" si="38"/>
        <v>0</v>
      </c>
      <c r="O468" s="11">
        <f t="shared" si="38"/>
        <v>0</v>
      </c>
      <c r="P468" s="104">
        <f t="shared" si="38"/>
        <v>0</v>
      </c>
      <c r="Q468" s="143">
        <f>Q465/Q467</f>
        <v>0</v>
      </c>
      <c r="R468" s="144">
        <f>R465/R467</f>
        <v>0</v>
      </c>
      <c r="S468" s="145">
        <f>S465/S467</f>
        <v>0</v>
      </c>
      <c r="T468" s="146">
        <f>Q468+R468+S468</f>
        <v>0</v>
      </c>
      <c r="U468" s="7">
        <f>IFERROR(N468*Q465/T465,0)</f>
        <v>0</v>
      </c>
      <c r="V468" s="8">
        <f>IFERROR(O468*R465/T465,0)</f>
        <v>0</v>
      </c>
      <c r="W468" s="9">
        <f>IFERROR(P468*S465/T465,0)</f>
        <v>0</v>
      </c>
      <c r="X468" s="7">
        <f>SUMIF(X11:X463,"&gt;0")</f>
        <v>0</v>
      </c>
      <c r="Y468" s="25">
        <f>SUM(Y11:Y463)</f>
        <v>0</v>
      </c>
      <c r="Z468" s="21">
        <f>SUM(Z11:Z463)</f>
        <v>0</v>
      </c>
      <c r="AA468" s="12">
        <f>IFERROR(SUMIF(AA11:AA463,"&gt;0"),0)</f>
        <v>0</v>
      </c>
      <c r="AB468" s="16">
        <f>SUM(AB11:AB463)</f>
        <v>0</v>
      </c>
      <c r="AC468" s="15">
        <f>SUM(AC11:AC463)</f>
        <v>0</v>
      </c>
      <c r="AD468" s="15">
        <f>IFERROR(SUMIF(AD11:AD463,"&gt;0"),0)</f>
        <v>0</v>
      </c>
      <c r="AE468" s="28"/>
    </row>
    <row r="469" spans="3:31" ht="15.75" thickBot="1">
      <c r="C469" s="196"/>
      <c r="D469" s="4"/>
      <c r="E469" s="4"/>
      <c r="F469" s="278" t="s">
        <v>118</v>
      </c>
      <c r="G469" s="279"/>
      <c r="H469" s="279"/>
      <c r="I469" s="279"/>
      <c r="J469" s="279"/>
      <c r="K469" s="279"/>
      <c r="L469" s="279"/>
      <c r="M469" s="280"/>
      <c r="N469" s="281" t="s">
        <v>116</v>
      </c>
      <c r="O469" s="282"/>
      <c r="P469" s="283"/>
      <c r="Q469" s="284" t="s">
        <v>112</v>
      </c>
      <c r="R469" s="285"/>
      <c r="S469" s="286"/>
      <c r="T469" s="80" t="s">
        <v>145</v>
      </c>
      <c r="U469" s="263" t="s">
        <v>123</v>
      </c>
      <c r="V469" s="264"/>
      <c r="W469" s="265"/>
      <c r="X469" s="195" t="s">
        <v>121</v>
      </c>
      <c r="Y469" s="75" t="s">
        <v>122</v>
      </c>
      <c r="Z469" s="49" t="s">
        <v>124</v>
      </c>
      <c r="AA469" s="50" t="s">
        <v>131</v>
      </c>
      <c r="AB469" s="80" t="s">
        <v>154</v>
      </c>
      <c r="AC469" s="50" t="s">
        <v>156</v>
      </c>
      <c r="AD469" s="51" t="s">
        <v>136</v>
      </c>
      <c r="AE469" s="28"/>
    </row>
    <row r="470" spans="3:31">
      <c r="C470" s="196"/>
      <c r="Y470" s="76"/>
      <c r="Z470" s="1"/>
    </row>
    <row r="471" spans="3:31">
      <c r="C471" s="196"/>
      <c r="Y471" s="76"/>
      <c r="Z471" s="1"/>
    </row>
    <row r="472" spans="3:31">
      <c r="C472" s="196"/>
      <c r="Y472" s="76"/>
      <c r="Z472" s="1"/>
    </row>
    <row r="473" spans="3:31">
      <c r="C473" s="196"/>
      <c r="Y473" s="76"/>
      <c r="Z473" s="1"/>
    </row>
    <row r="474" spans="3:31">
      <c r="C474" s="196"/>
      <c r="Y474" s="76"/>
      <c r="Z474" s="1"/>
    </row>
    <row r="475" spans="3:31">
      <c r="C475" s="196"/>
      <c r="Y475" s="76"/>
      <c r="Z475" s="1"/>
    </row>
    <row r="476" spans="3:31">
      <c r="C476" s="148"/>
      <c r="Y476" s="76"/>
      <c r="Z476" s="1"/>
    </row>
    <row r="477" spans="3:31">
      <c r="C477" s="148"/>
      <c r="Y477" s="76"/>
      <c r="Z477" s="1"/>
    </row>
    <row r="478" spans="3:31">
      <c r="C478" s="148"/>
      <c r="Y478" s="77"/>
      <c r="Z478" s="1"/>
    </row>
    <row r="479" spans="3:31">
      <c r="C479" s="148"/>
      <c r="Y479" s="70"/>
      <c r="Z479" s="1"/>
    </row>
    <row r="480" spans="3:31">
      <c r="C480" s="148"/>
      <c r="Y480" s="65"/>
      <c r="Z480" s="1"/>
    </row>
    <row r="481" spans="3:26">
      <c r="C481" s="196"/>
      <c r="Y481" s="65"/>
      <c r="Z481" s="1"/>
    </row>
    <row r="482" spans="3:26">
      <c r="Y482" s="65"/>
      <c r="Z482" s="1"/>
    </row>
    <row r="483" spans="3:26">
      <c r="Y483" s="65"/>
      <c r="Z483" s="1"/>
    </row>
    <row r="484" spans="3:26">
      <c r="Y484" s="65"/>
      <c r="Z484" s="1"/>
    </row>
    <row r="485" spans="3:26">
      <c r="Y485" s="65"/>
      <c r="Z485" s="1"/>
    </row>
    <row r="486" spans="3:26">
      <c r="Y486" s="65"/>
      <c r="Z486" s="1"/>
    </row>
    <row r="487" spans="3:26">
      <c r="Y487" s="65"/>
      <c r="Z487" s="1"/>
    </row>
    <row r="488" spans="3:26">
      <c r="Y488" s="65"/>
      <c r="Z488" s="1"/>
    </row>
    <row r="489" spans="3:26">
      <c r="Y489" s="65"/>
      <c r="Z489" s="1"/>
    </row>
    <row r="490" spans="3:26">
      <c r="Y490" s="65"/>
      <c r="Z490" s="1"/>
    </row>
    <row r="491" spans="3:26">
      <c r="Y491" s="65"/>
      <c r="Z491" s="1"/>
    </row>
    <row r="492" spans="3:26">
      <c r="Y492" s="65"/>
      <c r="Z492" s="1"/>
    </row>
    <row r="493" spans="3:26">
      <c r="Y493" s="65"/>
      <c r="Z493" s="1"/>
    </row>
    <row r="494" spans="3:26">
      <c r="Y494" s="199"/>
      <c r="Z494" s="199"/>
    </row>
    <row r="495" spans="3:26">
      <c r="Y495" s="199"/>
      <c r="Z495" s="199"/>
    </row>
    <row r="496" spans="3:26">
      <c r="Y496" s="199"/>
      <c r="Z496" s="199"/>
    </row>
    <row r="497" spans="25:26">
      <c r="Y497" s="199"/>
      <c r="Z497" s="199"/>
    </row>
    <row r="498" spans="25:26">
      <c r="Y498" s="199"/>
      <c r="Z498" s="199"/>
    </row>
    <row r="499" spans="25:26">
      <c r="Y499" s="65"/>
      <c r="Z499" s="1"/>
    </row>
  </sheetData>
  <mergeCells count="11">
    <mergeCell ref="U469:W469"/>
    <mergeCell ref="F466:K466"/>
    <mergeCell ref="L466:M466"/>
    <mergeCell ref="F469:M469"/>
    <mergeCell ref="N469:P469"/>
    <mergeCell ref="Q469:S469"/>
    <mergeCell ref="F4:M4"/>
    <mergeCell ref="F7:M7"/>
    <mergeCell ref="N7:P7"/>
    <mergeCell ref="Q7:S7"/>
    <mergeCell ref="U7:W7"/>
  </mergeCells>
  <conditionalFormatting sqref="C11:C24 C26:C34 C36:C42 C44:C55 C57:C73 C78:C98 C100:C126 C128:C151 C153:C211 C213:C257 C259 C461:C462 C352:C355 C357:C365 C367:C374 C376:C386 C388:C389 C391 C393:C395 C400:C402 C404:C409 C411:C417 C419:C423 C425:C432 C434:C439 C441:C444 C448:C449 C455 C457 C323:C348 C261:C296 C298:C321">
    <cfRule type="notContainsErrors" dxfId="47" priority="22">
      <formula>NOT(ISERROR(C11))</formula>
    </cfRule>
  </conditionalFormatting>
  <conditionalFormatting sqref="R5">
    <cfRule type="colorScale" priority="16">
      <colorScale>
        <cfvo type="min" val="0"/>
        <cfvo type="num" val="0"/>
        <cfvo type="max" val="0"/>
        <color rgb="FFFF0000"/>
        <color rgb="FFFFFF00"/>
        <color rgb="FF00B050"/>
      </colorScale>
    </cfRule>
  </conditionalFormatting>
  <conditionalFormatting sqref="F468:M468 L466">
    <cfRule type="colorScale" priority="15">
      <colorScale>
        <cfvo type="min" val="0"/>
        <cfvo type="num" val="$L$466"/>
        <cfvo type="max" val="0"/>
        <color rgb="FF63BE7B"/>
        <color rgb="FFFFEB84"/>
        <color rgb="FFF8696B"/>
      </colorScale>
    </cfRule>
  </conditionalFormatting>
  <conditionalFormatting sqref="Z11:Z466">
    <cfRule type="colorScale" priority="14">
      <colorScale>
        <cfvo type="min" val="0"/>
        <cfvo type="formula" val="noch_benötigte_Punkte_Avg/2"/>
        <cfvo type="max" val="0"/>
        <color rgb="FF00B050"/>
        <color rgb="FFFFFF00"/>
        <color rgb="FFFF0000"/>
      </colorScale>
    </cfRule>
  </conditionalFormatting>
  <conditionalFormatting sqref="AC11:AC466">
    <cfRule type="colorScale" priority="13">
      <colorScale>
        <cfvo type="min" val="0"/>
        <cfvo type="formula" val="AP_noch_Avg/2"/>
        <cfvo type="max" val="0"/>
        <color rgb="FF63BE7B"/>
        <color rgb="FFFFEB84"/>
        <color rgb="FFF8696B"/>
      </colorScale>
    </cfRule>
  </conditionalFormatting>
  <conditionalFormatting sqref="AD11:AD466">
    <cfRule type="colorScale" priority="12">
      <colorScale>
        <cfvo type="num" val="0.01"/>
        <cfvo type="max" val="0"/>
        <color rgb="FF63BE7B"/>
        <color rgb="FFF8696B"/>
      </colorScale>
    </cfRule>
  </conditionalFormatting>
  <conditionalFormatting sqref="C298:C321 C323:C348">
    <cfRule type="notContainsErrors" dxfId="46" priority="10">
      <formula>NOT(ISERROR(C298))</formula>
    </cfRule>
  </conditionalFormatting>
  <conditionalFormatting sqref="C298:C321 C323:C348">
    <cfRule type="notContainsErrors" dxfId="45" priority="6">
      <formula>NOT(ISERROR(C298))</formula>
    </cfRule>
  </conditionalFormatting>
  <conditionalFormatting sqref="C298:C321 C323:C348">
    <cfRule type="notContainsErrors" dxfId="44" priority="5">
      <formula>NOT(ISERROR(C298))</formula>
    </cfRule>
  </conditionalFormatting>
  <conditionalFormatting sqref="C261:C296 C298:C321 C323:C348">
    <cfRule type="notContainsErrors" dxfId="43" priority="4">
      <formula>NOT(ISERROR(C261))</formula>
    </cfRule>
  </conditionalFormatting>
  <conditionalFormatting sqref="C298:C321 C323:C348">
    <cfRule type="notContainsErrors" dxfId="42" priority="3">
      <formula>NOT(ISERROR(C298))</formula>
    </cfRule>
  </conditionalFormatting>
  <conditionalFormatting sqref="C298:C321 C323:C348">
    <cfRule type="notContainsErrors" dxfId="41" priority="2">
      <formula>NOT(ISERROR(C298))</formula>
    </cfRule>
  </conditionalFormatting>
  <conditionalFormatting sqref="C298:C321 C323:C348">
    <cfRule type="notContainsErrors" dxfId="40" priority="1">
      <formula>NOT(ISERROR(C298))</formula>
    </cfRule>
  </conditionalFormatting>
  <dataValidations count="5">
    <dataValidation type="list" allowBlank="1" showInputMessage="1" showErrorMessage="1" sqref="C357:C365 C213:C257 C393:C395 C352:C355 C57:C73 C400:C402 C404:C409 C411:C417 C419:C423 C425:C432 C434:C439 C441:C444 C448:C449 C455 C457 C461:C462 C128:C151 C259 C78:C98 C100:C126 C367:C374 C376:C386 C388:C389 C391 C153:C211 C261:C296 C298:C321 C323:C348">
      <formula1>Talente_Handwerkstalente</formula1>
    </dataValidation>
    <dataValidation type="list" allowBlank="1" showInputMessage="1" showErrorMessage="1" sqref="C44:C55">
      <formula1>Talente_Wissenstalente</formula1>
    </dataValidation>
    <dataValidation type="list" allowBlank="1" showInputMessage="1" showErrorMessage="1" sqref="C36:C42">
      <formula1>Talente_Naturtalente</formula1>
    </dataValidation>
    <dataValidation type="list" allowBlank="1" showInputMessage="1" showErrorMessage="1" sqref="C26:C34">
      <formula1>Talente_Gesellschaftstalente</formula1>
    </dataValidation>
    <dataValidation type="list" allowBlank="1" showInputMessage="1" showErrorMessage="1" sqref="C11:C24">
      <formula1>Talente_Körpertalente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64FF64"/>
  </sheetPr>
  <dimension ref="A1:AE499"/>
  <sheetViews>
    <sheetView zoomScaleNormal="100" workbookViewId="0"/>
  </sheetViews>
  <sheetFormatPr baseColWidth="10" defaultColWidth="9.140625" defaultRowHeight="15" outlineLevelRow="2" outlineLevelCol="1"/>
  <cols>
    <col min="1" max="1" width="11.85546875" style="148" customWidth="1"/>
    <col min="2" max="2" width="19.28515625" style="148" customWidth="1"/>
    <col min="3" max="3" width="31.7109375" style="140" customWidth="1"/>
    <col min="4" max="4" width="13.140625" style="148" customWidth="1"/>
    <col min="5" max="5" width="2.28515625" style="148" customWidth="1"/>
    <col min="6" max="13" width="9.28515625" style="148" customWidth="1"/>
    <col min="14" max="16" width="15.42578125" style="148" customWidth="1"/>
    <col min="17" max="19" width="12.42578125" style="148" customWidth="1"/>
    <col min="20" max="20" width="23.5703125" style="148" bestFit="1" customWidth="1"/>
    <col min="21" max="23" width="13" style="148" hidden="1" customWidth="1" outlineLevel="1"/>
    <col min="24" max="24" width="24" style="148" hidden="1" customWidth="1" outlineLevel="1"/>
    <col min="25" max="25" width="18.42578125" style="197" hidden="1" customWidth="1" outlineLevel="1"/>
    <col min="26" max="26" width="21.5703125" style="197" hidden="1" customWidth="1" outlineLevel="1"/>
    <col min="27" max="27" width="11.85546875" style="148" hidden="1" customWidth="1" outlineLevel="1"/>
    <col min="28" max="28" width="14" style="148" hidden="1" customWidth="1" outlineLevel="1"/>
    <col min="29" max="29" width="13.42578125" style="148" hidden="1" customWidth="1" outlineLevel="1"/>
    <col min="30" max="30" width="14.42578125" style="148" hidden="1" customWidth="1" outlineLevel="1"/>
    <col min="31" max="31" width="9.140625" style="148" collapsed="1"/>
    <col min="32" max="16384" width="9.140625" style="148"/>
  </cols>
  <sheetData>
    <row r="1" spans="1:31" s="4" customFormat="1">
      <c r="A1" s="124"/>
      <c r="C1" s="3"/>
      <c r="F1" s="93" t="s">
        <v>0</v>
      </c>
      <c r="G1" s="94" t="s">
        <v>1</v>
      </c>
      <c r="H1" s="94" t="s">
        <v>2</v>
      </c>
      <c r="I1" s="94" t="s">
        <v>3</v>
      </c>
      <c r="J1" s="94" t="s">
        <v>4</v>
      </c>
      <c r="K1" s="94" t="s">
        <v>5</v>
      </c>
      <c r="L1" s="94" t="s">
        <v>6</v>
      </c>
      <c r="M1" s="95" t="s">
        <v>7</v>
      </c>
      <c r="N1" s="32" t="s">
        <v>118</v>
      </c>
      <c r="O1" s="40" t="s">
        <v>283</v>
      </c>
      <c r="P1" s="67"/>
      <c r="Q1" s="6"/>
      <c r="R1" s="6"/>
      <c r="S1" s="6"/>
      <c r="T1" s="6"/>
      <c r="Y1" s="70"/>
      <c r="Z1" s="1"/>
      <c r="AA1" s="35"/>
      <c r="AB1" s="22"/>
      <c r="AC1" s="35"/>
      <c r="AD1" s="36"/>
    </row>
    <row r="2" spans="1:31" s="4" customFormat="1">
      <c r="A2" s="150"/>
      <c r="C2" s="3"/>
      <c r="F2" s="98">
        <f>MUmaster</f>
        <v>8</v>
      </c>
      <c r="G2" s="98">
        <f>KLmaster</f>
        <v>8</v>
      </c>
      <c r="H2" s="98">
        <f>INmaster</f>
        <v>8</v>
      </c>
      <c r="I2" s="98">
        <f>CHmaster+1</f>
        <v>9</v>
      </c>
      <c r="J2" s="98">
        <f>FFmaster</f>
        <v>8</v>
      </c>
      <c r="K2" s="98">
        <f>GEmaster</f>
        <v>8</v>
      </c>
      <c r="L2" s="98">
        <f>KOmaster</f>
        <v>8</v>
      </c>
      <c r="M2" s="98">
        <f>KKmaster</f>
        <v>8</v>
      </c>
      <c r="N2" s="5">
        <f>MUslave+KLslave+INslave+CHslave_CH+FFslave+GEslave+KOslave+KKslave</f>
        <v>65</v>
      </c>
      <c r="O2" s="68">
        <v>20</v>
      </c>
      <c r="P2" s="6"/>
      <c r="Q2" s="6"/>
      <c r="R2" s="6"/>
      <c r="S2" s="6"/>
      <c r="T2" s="6"/>
      <c r="Y2" s="71"/>
      <c r="Z2" s="1"/>
      <c r="AA2" s="35"/>
      <c r="AB2" s="22"/>
      <c r="AC2" s="35"/>
      <c r="AD2" s="36"/>
    </row>
    <row r="3" spans="1:31" s="37" customFormat="1">
      <c r="B3" s="31"/>
      <c r="C3" s="141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Y3" s="71"/>
      <c r="Z3" s="38"/>
      <c r="AA3" s="34"/>
      <c r="AB3" s="67"/>
      <c r="AC3" s="34"/>
      <c r="AD3" s="39"/>
    </row>
    <row r="4" spans="1:31" s="37" customFormat="1">
      <c r="B4" s="31"/>
      <c r="C4" s="141"/>
      <c r="F4" s="287" t="s">
        <v>139</v>
      </c>
      <c r="G4" s="288"/>
      <c r="H4" s="288"/>
      <c r="I4" s="288"/>
      <c r="J4" s="288"/>
      <c r="K4" s="288"/>
      <c r="L4" s="288"/>
      <c r="M4" s="288"/>
      <c r="N4" s="91" t="s">
        <v>334</v>
      </c>
      <c r="O4" s="91" t="s">
        <v>154</v>
      </c>
      <c r="P4" s="191" t="s">
        <v>144</v>
      </c>
      <c r="Q4" s="91" t="s">
        <v>142</v>
      </c>
      <c r="R4" s="92" t="s">
        <v>143</v>
      </c>
      <c r="S4" s="29"/>
      <c r="T4" s="29"/>
      <c r="Y4" s="71"/>
      <c r="Z4" s="38"/>
      <c r="AA4" s="34"/>
      <c r="AB4" s="67"/>
      <c r="AC4" s="34"/>
      <c r="AD4" s="39"/>
    </row>
    <row r="5" spans="1:31" s="37" customFormat="1">
      <c r="B5" s="31"/>
      <c r="C5" s="141"/>
      <c r="F5" s="190">
        <f>MUslave*15+IF(MUslave&gt;14,MUslave-14,0)*15+IF(MUslave&gt;15,MUslave-15,0)*15+IF(MUslave&gt;16,MUslave-16,0)*15+IF(MUslave&gt;17,MUslave-17,0)*15+IF(MUslave&gt;18,MUslave-18,0)*15+IF(MUslave&gt;19,MUslave-19,0)*15+IF(MUslave&gt;20,MUslave-20,0)*15+IF(MUslave&gt;21,MUslave-21,0)*15+IF(MUslave&gt;22,MUslave-22,0)*15+IF(MUslave&gt;23,MUslave-23,0)*15+IF(MUslave&gt;24,MUslave-24,0)*15-120</f>
        <v>0</v>
      </c>
      <c r="G5" s="190">
        <f>KLslave*15+IF(KLslave&gt;14,KLslave-14,0)*15+IF(KLslave&gt;15,KLslave-15,0)*15+IF(KLslave&gt;16,KLslave-16,0)*15+IF(KLslave&gt;17,KLslave-17,0)*15+IF(KLslave&gt;18,KLslave-18,0)*15+IF(KLslave&gt;19,KLslave-19,0)*15+IF(KLslave&gt;20,KLslave-20,0)*15+IF(KLslave&gt;21,KLslave-21,0)*15+IF(KLslave&gt;22,KLslave-22,0)*15+IF(KLslave&gt;23,KLslave-23,0)*15+IF(KLslave&gt;24,KLslave-24,0)*15-120</f>
        <v>0</v>
      </c>
      <c r="H5" s="189">
        <f>INslave*15+IF(INslave&gt;14,INslave-14,0)*15+IF(INslave&gt;15,INslave-15,0)*15+IF(INslave&gt;16,INslave-16,0)*15+IF(INslave&gt;17,INslave-17,0)*15+IF(INslave&gt;18,INslave-18,0)*15+IF(INslave&gt;19,INslave-19,0)*15+IF(INslave&gt;20,INslave-20,0)*15+IF(INslave&gt;21,INslave-21,0)*15+IF(INslave&gt;22,INslave-22,0)*15+IF(INslave&gt;23,INslave-23,0)*15+IF(INslave&gt;24,INslave-24,0)*15-120</f>
        <v>0</v>
      </c>
      <c r="I5" s="189">
        <f>CHslave_CH*15+IF(CHslave_CH&gt;14,CHslave_CH-14,0)*15+IF(CHslave_CH&gt;15,CHslave_CH-15,0)*15+IF(CHslave_CH&gt;16,CHslave_CH-16,0)*15+IF(CHslave_CH&gt;17,CHslave_CH-17,0)*15+IF(CHslave_CH&gt;18,CHslave_CH-18,0)*15+IF(CHslave_CH&gt;19,CHslave_CH-19,0)*15+IF(CHslave_CH&gt;20,CHslave_CH-20,0)*15+IF(CHslave_CH&gt;21,CHslave_CH-21,0)*15+IF(CHslave_CH&gt;22,CHslave_CH-22,0)*15+IF(CHslave_CH&gt;23,CHslave_CH-23,0)*15+IF(CHslave_CH&gt;24,CHslave_CH-24,0)*15-120</f>
        <v>15</v>
      </c>
      <c r="J5" s="189">
        <f>FFslave*15+IF(FFslave&gt;14,FFslave-14,0)*15+IF(FFslave&gt;15,FFslave-15,0)*15+IF(FFslave&gt;16,FFslave-16,0)*15+IF(FFslave&gt;17,FFslave-17,0)*15+IF(FFslave&gt;18,FFslave-18,0)*15+IF(FFslave&gt;19,FFslave-19,0)*15+IF(FFslave&gt;20,FFslave-20,0)*15+IF(FFslave&gt;21,FFslave-21,0)*15+IF(FFslave&gt;22,FFslave-22,0)*15+IF(FFslave&gt;23,FFslave-23,0)*15+IF(FFslave&gt;24,FFslave-24,0)*15-120</f>
        <v>0</v>
      </c>
      <c r="K5" s="189">
        <f>GEslave*15+IF(GEslave&gt;14,GEslave-14,0)*15+IF(GEslave&gt;15,GEslave-15,0)*15+IF(GEslave&gt;16,GEslave-16,0)*15+IF(GEslave&gt;17,GEslave-17,0)*15+IF(GEslave&gt;18,GEslave-18,0)*15+IF(GEslave&gt;19,GEslave-19,0)*15+IF(GEslave&gt;20,GEslave-20,0)*15+IF(GEslave&gt;21,GEslave-21,0)*15+IF(GEslave&gt;22,GEslave-22,0)*15+IF(GEslave&gt;23,GEslave-23,0)*15+IF(GEslave&gt;24,GEslave-24,0)*15-120</f>
        <v>0</v>
      </c>
      <c r="L5" s="189">
        <f>KOslave*15+IF(KOslave&gt;14,KOslave-14,0)*15+IF(KOslave&gt;15,KOslave-15,0)*15+IF(KOslave&gt;16,KOslave-16,0)*15+IF(KOslave&gt;17,KOslave-17,0)*15+IF(KOslave&gt;18,KOslave-18,0)*15+IF(KOslave&gt;19,KOslave-19,0)*15+IF(KOslave&gt;20,KOslave-20,0)*15+IF(KOslave&gt;21,KOslave-21,0)*15+IF(KOslave&gt;22,KOslave-22,0)*15+IF(KOslave&gt;23,KOslave-23,0)*15+IF(KOslave&gt;24,KOslave-24,0)*15-120</f>
        <v>0</v>
      </c>
      <c r="M5" s="189">
        <f>KKslave*15+IF(KKslave&gt;14,KKslave-14,0)*15+IF(KKslave&gt;15,KKslave-15,0)*15+IF(KKslave&gt;16,KKslave-16,0)*15+IF(KKslave&gt;17,KKslave-17,0)*15+IF(KKslave&gt;18,KKslave-18,0)*15+IF(KKslave&gt;19,KKslave-19,0)*15+IF(KKslave&gt;20,KKslave-20,0)*15+IF(KKslave&gt;21,KKslave-21,0)*15+IF(KKslave&gt;22,KKslave-22,0)*15+IF(KKslave&gt;23,KKslave-23,0)*15+IF(KKslave&gt;24,KKslave-24,0)*15-120</f>
        <v>0</v>
      </c>
      <c r="N5" s="189">
        <f>SUM(F5:M5)</f>
        <v>15</v>
      </c>
      <c r="O5" s="189">
        <f>AP_in_Talenten_CH</f>
        <v>0</v>
      </c>
      <c r="P5" s="17">
        <f>AP_in_Attributen_CH+AP_in_Talenten_CH</f>
        <v>15</v>
      </c>
      <c r="Q5" s="99">
        <v>1100</v>
      </c>
      <c r="R5" s="189">
        <f>Q5-P5</f>
        <v>1085</v>
      </c>
      <c r="S5" s="29"/>
      <c r="T5" s="29"/>
      <c r="X5" s="34"/>
      <c r="Y5" s="71"/>
      <c r="Z5" s="38"/>
      <c r="AA5" s="34"/>
      <c r="AB5" s="67"/>
      <c r="AC5" s="34"/>
      <c r="AD5" s="39"/>
    </row>
    <row r="6" spans="1:31" s="4" customFormat="1">
      <c r="A6" s="150"/>
      <c r="C6" s="3"/>
      <c r="F6" s="6"/>
      <c r="G6" s="6"/>
      <c r="H6" s="6"/>
      <c r="I6" s="6"/>
      <c r="J6" s="6"/>
      <c r="K6" s="6"/>
      <c r="L6" s="6"/>
      <c r="M6" s="6"/>
      <c r="P6" s="6"/>
      <c r="Q6" s="6"/>
      <c r="R6" s="6"/>
      <c r="S6" s="6"/>
      <c r="T6" s="6"/>
      <c r="Y6" s="71"/>
      <c r="Z6" s="1"/>
      <c r="AA6" s="35"/>
      <c r="AB6" s="22"/>
      <c r="AC6" s="35"/>
      <c r="AD6" s="36"/>
    </row>
    <row r="7" spans="1:31" s="4" customFormat="1">
      <c r="A7" s="150"/>
      <c r="C7" s="3"/>
      <c r="F7" s="289" t="s">
        <v>126</v>
      </c>
      <c r="G7" s="290"/>
      <c r="H7" s="290"/>
      <c r="I7" s="290"/>
      <c r="J7" s="290"/>
      <c r="K7" s="290"/>
      <c r="L7" s="290"/>
      <c r="M7" s="291"/>
      <c r="N7" s="292" t="s">
        <v>151</v>
      </c>
      <c r="O7" s="293"/>
      <c r="P7" s="294"/>
      <c r="Q7" s="289" t="s">
        <v>150</v>
      </c>
      <c r="R7" s="290"/>
      <c r="S7" s="291"/>
      <c r="T7" s="101" t="s">
        <v>114</v>
      </c>
      <c r="U7" s="292" t="s">
        <v>152</v>
      </c>
      <c r="V7" s="293"/>
      <c r="W7" s="294"/>
      <c r="X7" s="14" t="s">
        <v>153</v>
      </c>
      <c r="Y7" s="72" t="s">
        <v>138</v>
      </c>
      <c r="Z7" s="41" t="s">
        <v>120</v>
      </c>
      <c r="AA7" s="42" t="s">
        <v>130</v>
      </c>
      <c r="AB7" s="78" t="s">
        <v>130</v>
      </c>
      <c r="AC7" s="42" t="s">
        <v>130</v>
      </c>
      <c r="AD7" s="43" t="s">
        <v>130</v>
      </c>
    </row>
    <row r="8" spans="1:31" s="4" customFormat="1" ht="15.75" thickBot="1">
      <c r="A8" s="150"/>
      <c r="B8" s="3"/>
      <c r="C8" s="3"/>
      <c r="D8" s="3"/>
      <c r="F8" s="190" t="s">
        <v>0</v>
      </c>
      <c r="G8" s="190" t="s">
        <v>1</v>
      </c>
      <c r="H8" s="190" t="s">
        <v>2</v>
      </c>
      <c r="I8" s="190" t="s">
        <v>3</v>
      </c>
      <c r="J8" s="190" t="s">
        <v>4</v>
      </c>
      <c r="K8" s="190" t="s">
        <v>5</v>
      </c>
      <c r="L8" s="190" t="s">
        <v>6</v>
      </c>
      <c r="M8" s="190" t="s">
        <v>7</v>
      </c>
      <c r="N8" s="33" t="s">
        <v>109</v>
      </c>
      <c r="O8" s="33" t="s">
        <v>110</v>
      </c>
      <c r="P8" s="190" t="s">
        <v>111</v>
      </c>
      <c r="Q8" s="190" t="s">
        <v>106</v>
      </c>
      <c r="R8" s="190" t="s">
        <v>107</v>
      </c>
      <c r="S8" s="190" t="s">
        <v>108</v>
      </c>
      <c r="T8" s="190" t="s">
        <v>115</v>
      </c>
      <c r="U8" s="40" t="s">
        <v>127</v>
      </c>
      <c r="V8" s="40" t="s">
        <v>128</v>
      </c>
      <c r="W8" s="40" t="s">
        <v>129</v>
      </c>
      <c r="X8" s="33" t="s">
        <v>119</v>
      </c>
      <c r="Y8" s="73" t="s">
        <v>125</v>
      </c>
      <c r="Z8" s="44" t="s">
        <v>343</v>
      </c>
      <c r="AA8" s="45" t="s">
        <v>157</v>
      </c>
      <c r="AB8" s="79" t="s">
        <v>159</v>
      </c>
      <c r="AC8" s="45" t="s">
        <v>155</v>
      </c>
      <c r="AD8" s="46" t="s">
        <v>137</v>
      </c>
    </row>
    <row r="9" spans="1:31" ht="15.75" thickBot="1">
      <c r="A9" s="135" t="s">
        <v>333</v>
      </c>
    </row>
    <row r="10" spans="1:31" ht="15" hidden="1" customHeight="1" outlineLevel="1">
      <c r="B10" s="134" t="s">
        <v>68</v>
      </c>
    </row>
    <row r="11" spans="1:31" ht="15" hidden="1" customHeight="1" outlineLevel="2">
      <c r="B11" s="148">
        <v>1</v>
      </c>
      <c r="C11" s="176" t="str">
        <f>Attribute!C11</f>
        <v>---</v>
      </c>
      <c r="D11" s="126" t="str">
        <f>VLOOKUP(C11,'Talente &amp; Stuff'!DO:EP,2,FALSE)</f>
        <v>--/--/--</v>
      </c>
      <c r="E11" s="158" t="str">
        <f>VLOOKUP(C11,'Talente &amp; Stuff'!DO:EP,3,FALSE)</f>
        <v>-</v>
      </c>
      <c r="F11" s="191">
        <f>VLOOKUP(C11,'Talente &amp; Stuff'!DO:EP,4,FALSE)</f>
        <v>0</v>
      </c>
      <c r="G11" s="118">
        <f>VLOOKUP(C11,'Talente &amp; Stuff'!DO:EP,5,FALSE)</f>
        <v>0</v>
      </c>
      <c r="H11" s="118">
        <f>VLOOKUP(C11,'Talente &amp; Stuff'!DO:EP,6,FALSE)</f>
        <v>0</v>
      </c>
      <c r="I11" s="118">
        <f>VLOOKUP(C11,'Talente &amp; Stuff'!DO:EP,7,FALSE)</f>
        <v>0</v>
      </c>
      <c r="J11" s="118">
        <f>VLOOKUP(C11,'Talente &amp; Stuff'!DO:EP,8,FALSE)</f>
        <v>0</v>
      </c>
      <c r="K11" s="118">
        <f>VLOOKUP(C11,'Talente &amp; Stuff'!DO:EP,9,FALSE)</f>
        <v>0</v>
      </c>
      <c r="L11" s="118">
        <f>VLOOKUP(C11,'Talente &amp; Stuff'!DO:EP,10,FALSE)</f>
        <v>0</v>
      </c>
      <c r="M11" s="92">
        <f>VLOOKUP(C11,'Talente &amp; Stuff'!DO:EP,11,FALSE)</f>
        <v>0</v>
      </c>
      <c r="N11" s="193">
        <f>VLOOKUP(C11,'Talente &amp; Stuff'!DO:EP,12,FALSE)</f>
        <v>0</v>
      </c>
      <c r="O11" s="116">
        <f>VLOOKUP(C11,'Talente &amp; Stuff'!DO:EP,13,FALSE)</f>
        <v>0</v>
      </c>
      <c r="P11" s="92">
        <f>VLOOKUP(C11,'Talente &amp; Stuff'!DO:EP,14,FALSE)</f>
        <v>0</v>
      </c>
      <c r="Q11" s="191">
        <f>VLOOKUP(C11,'Talente &amp; Stuff'!DO:EP,15,FALSE)</f>
        <v>0</v>
      </c>
      <c r="R11" s="118">
        <f>VLOOKUP(C11,'Talente &amp; Stuff'!DO:EP,16,FALSE)</f>
        <v>0</v>
      </c>
      <c r="S11" s="92">
        <f>VLOOKUP(C11,'Talente &amp; Stuff'!DO:EP,17,FALSE)</f>
        <v>0</v>
      </c>
      <c r="T11" s="91">
        <f>VLOOKUP(C11,'Talente &amp; Stuff'!DO:EP,18,FALSE)</f>
        <v>0</v>
      </c>
      <c r="U11" s="193">
        <f>VLOOKUP(C11,'Talente &amp; Stuff'!DO:EP,19,FALSE)</f>
        <v>0</v>
      </c>
      <c r="V11" s="116">
        <f>VLOOKUP(C11,'Talente &amp; Stuff'!DO:EP,20,FALSE)</f>
        <v>0</v>
      </c>
      <c r="W11" s="126">
        <f>VLOOKUP(C11,'Talente &amp; Stuff'!DO:EP,21,FALSE)</f>
        <v>0</v>
      </c>
      <c r="X11" s="158">
        <f>VLOOKUP(C11,'Talente &amp; Stuff'!DO:EP,22,FALSE)</f>
        <v>0</v>
      </c>
      <c r="Y11" s="165">
        <f t="shared" ref="Y11:Y24" si="0">VLOOKUP(C11,Ausgewählte_Talente_Körpertalente,139,FALSE)</f>
        <v>0</v>
      </c>
      <c r="Z11" s="44">
        <f t="shared" ref="Z11:Z24" si="1">VLOOKUP(C11,Ausgewählte_Talente_Körpertalente,140,FALSE)</f>
        <v>0</v>
      </c>
      <c r="AA11" s="158">
        <f>VLOOKUP(C11,'Talente &amp; Stuff'!DO:EP,25,FALSE)</f>
        <v>0</v>
      </c>
      <c r="AB11" s="91">
        <f>VLOOKUP(C11,'Talente &amp; Stuff'!DO:EP,26,FALSE)</f>
        <v>0</v>
      </c>
      <c r="AC11" s="126">
        <f>VLOOKUP(C11,'Talente &amp; Stuff'!DO:EP,27,FALSE)</f>
        <v>0</v>
      </c>
      <c r="AD11" s="158">
        <f>VLOOKUP(C11,'Talente &amp; Stuff'!DO:EP,28,FALSE)</f>
        <v>0</v>
      </c>
      <c r="AE11" s="28"/>
    </row>
    <row r="12" spans="1:31" ht="15" hidden="1" customHeight="1" outlineLevel="2">
      <c r="B12" s="148">
        <v>2</v>
      </c>
      <c r="C12" s="177" t="str">
        <f>Attribute!C12</f>
        <v>---</v>
      </c>
      <c r="D12" s="127" t="str">
        <f>VLOOKUP(C12,'Talente &amp; Stuff'!DO:EP,2,FALSE)</f>
        <v>--/--/--</v>
      </c>
      <c r="E12" s="125" t="str">
        <f>VLOOKUP(C12,'Talente &amp; Stuff'!DO:EP,3,FALSE)</f>
        <v>-</v>
      </c>
      <c r="F12" s="114">
        <f>VLOOKUP(C12,'Talente &amp; Stuff'!DO:EP,4,FALSE)</f>
        <v>0</v>
      </c>
      <c r="G12" s="113">
        <f>VLOOKUP(C12,'Talente &amp; Stuff'!DO:EP,5,FALSE)</f>
        <v>0</v>
      </c>
      <c r="H12" s="113">
        <f>VLOOKUP(C12,'Talente &amp; Stuff'!DO:EP,6,FALSE)</f>
        <v>0</v>
      </c>
      <c r="I12" s="113">
        <f>VLOOKUP(C12,'Talente &amp; Stuff'!DO:EP,7,FALSE)</f>
        <v>0</v>
      </c>
      <c r="J12" s="113">
        <f>VLOOKUP(C12,'Talente &amp; Stuff'!DO:EP,8,FALSE)</f>
        <v>0</v>
      </c>
      <c r="K12" s="113">
        <f>VLOOKUP(C12,'Talente &amp; Stuff'!DO:EP,9,FALSE)</f>
        <v>0</v>
      </c>
      <c r="L12" s="113">
        <f>VLOOKUP(C12,'Talente &amp; Stuff'!DO:EP,10,FALSE)</f>
        <v>0</v>
      </c>
      <c r="M12" s="119">
        <f>VLOOKUP(C12,'Talente &amp; Stuff'!DO:EP,11,FALSE)</f>
        <v>0</v>
      </c>
      <c r="N12" s="89">
        <f>VLOOKUP(C12,'Talente &amp; Stuff'!DO:EP,12,FALSE)</f>
        <v>0</v>
      </c>
      <c r="O12" s="47">
        <f>VLOOKUP(C12,'Talente &amp; Stuff'!DO:EP,13,FALSE)</f>
        <v>0</v>
      </c>
      <c r="P12" s="119">
        <f>VLOOKUP(C12,'Talente &amp; Stuff'!DO:EP,14,FALSE)</f>
        <v>0</v>
      </c>
      <c r="Q12" s="114">
        <f>VLOOKUP(C12,'Talente &amp; Stuff'!DO:EP,15,FALSE)</f>
        <v>0</v>
      </c>
      <c r="R12" s="113">
        <f>VLOOKUP(C12,'Talente &amp; Stuff'!DO:EP,16,FALSE)</f>
        <v>0</v>
      </c>
      <c r="S12" s="119">
        <f>VLOOKUP(C12,'Talente &amp; Stuff'!DO:EP,17,FALSE)</f>
        <v>0</v>
      </c>
      <c r="T12" s="160">
        <f>VLOOKUP(C12,'Talente &amp; Stuff'!DO:EP,18,FALSE)</f>
        <v>0</v>
      </c>
      <c r="U12" s="89">
        <f>VLOOKUP(C12,'Talente &amp; Stuff'!DO:EP,19,FALSE)</f>
        <v>0</v>
      </c>
      <c r="V12" s="47">
        <f>VLOOKUP(C12,'Talente &amp; Stuff'!DO:EP,20,FALSE)</f>
        <v>0</v>
      </c>
      <c r="W12" s="127">
        <f>VLOOKUP(C12,'Talente &amp; Stuff'!DO:EP,21,FALSE)</f>
        <v>0</v>
      </c>
      <c r="X12" s="125">
        <f>VLOOKUP(C12,'Talente &amp; Stuff'!DO:EP,22,FALSE)</f>
        <v>0</v>
      </c>
      <c r="Y12" s="165">
        <f t="shared" si="0"/>
        <v>0</v>
      </c>
      <c r="Z12" s="44">
        <f t="shared" si="1"/>
        <v>0</v>
      </c>
      <c r="AA12" s="125">
        <f>VLOOKUP(C12,'Talente &amp; Stuff'!DO:EP,25,FALSE)</f>
        <v>0</v>
      </c>
      <c r="AB12" s="160">
        <f>VLOOKUP(C12,'Talente &amp; Stuff'!DO:EP,26,FALSE)</f>
        <v>0</v>
      </c>
      <c r="AC12" s="127">
        <f>VLOOKUP(C12,'Talente &amp; Stuff'!DO:EP,27,FALSE)</f>
        <v>0</v>
      </c>
      <c r="AD12" s="125">
        <f>VLOOKUP(C12,'Talente &amp; Stuff'!DO:EP,28,FALSE)</f>
        <v>0</v>
      </c>
      <c r="AE12" s="28"/>
    </row>
    <row r="13" spans="1:31" ht="15" hidden="1" customHeight="1" outlineLevel="2">
      <c r="B13" s="148">
        <v>3</v>
      </c>
      <c r="C13" s="177" t="str">
        <f>Attribute!C13</f>
        <v>---</v>
      </c>
      <c r="D13" s="127" t="str">
        <f>VLOOKUP(C13,'Talente &amp; Stuff'!DO:EP,2,FALSE)</f>
        <v>--/--/--</v>
      </c>
      <c r="E13" s="125" t="str">
        <f>VLOOKUP(C13,'Talente &amp; Stuff'!DO:EP,3,FALSE)</f>
        <v>-</v>
      </c>
      <c r="F13" s="114">
        <f>VLOOKUP(C13,'Talente &amp; Stuff'!DO:EP,4,FALSE)</f>
        <v>0</v>
      </c>
      <c r="G13" s="113">
        <f>VLOOKUP(C13,'Talente &amp; Stuff'!DO:EP,5,FALSE)</f>
        <v>0</v>
      </c>
      <c r="H13" s="113">
        <f>VLOOKUP(C13,'Talente &amp; Stuff'!DO:EP,6,FALSE)</f>
        <v>0</v>
      </c>
      <c r="I13" s="113">
        <f>VLOOKUP(C13,'Talente &amp; Stuff'!DO:EP,7,FALSE)</f>
        <v>0</v>
      </c>
      <c r="J13" s="113">
        <f>VLOOKUP(C13,'Talente &amp; Stuff'!DO:EP,8,FALSE)</f>
        <v>0</v>
      </c>
      <c r="K13" s="113">
        <f>VLOOKUP(C13,'Talente &amp; Stuff'!DO:EP,9,FALSE)</f>
        <v>0</v>
      </c>
      <c r="L13" s="113">
        <f>VLOOKUP(C13,'Talente &amp; Stuff'!DO:EP,10,FALSE)</f>
        <v>0</v>
      </c>
      <c r="M13" s="119">
        <f>VLOOKUP(C13,'Talente &amp; Stuff'!DO:EP,11,FALSE)</f>
        <v>0</v>
      </c>
      <c r="N13" s="89">
        <f>VLOOKUP(C13,'Talente &amp; Stuff'!DO:EP,12,FALSE)</f>
        <v>0</v>
      </c>
      <c r="O13" s="47">
        <f>VLOOKUP(C13,'Talente &amp; Stuff'!DO:EP,13,FALSE)</f>
        <v>0</v>
      </c>
      <c r="P13" s="119">
        <f>VLOOKUP(C13,'Talente &amp; Stuff'!DO:EP,14,FALSE)</f>
        <v>0</v>
      </c>
      <c r="Q13" s="114">
        <f>VLOOKUP(C13,'Talente &amp; Stuff'!DO:EP,15,FALSE)</f>
        <v>0</v>
      </c>
      <c r="R13" s="113">
        <f>VLOOKUP(C13,'Talente &amp; Stuff'!DO:EP,16,FALSE)</f>
        <v>0</v>
      </c>
      <c r="S13" s="119">
        <f>VLOOKUP(C13,'Talente &amp; Stuff'!DO:EP,17,FALSE)</f>
        <v>0</v>
      </c>
      <c r="T13" s="160">
        <f>VLOOKUP(C13,'Talente &amp; Stuff'!DO:EP,18,FALSE)</f>
        <v>0</v>
      </c>
      <c r="U13" s="89">
        <f>VLOOKUP(C13,'Talente &amp; Stuff'!DO:EP,19,FALSE)</f>
        <v>0</v>
      </c>
      <c r="V13" s="47">
        <f>VLOOKUP(C13,'Talente &amp; Stuff'!DO:EP,20,FALSE)</f>
        <v>0</v>
      </c>
      <c r="W13" s="127">
        <f>VLOOKUP(C13,'Talente &amp; Stuff'!DO:EP,21,FALSE)</f>
        <v>0</v>
      </c>
      <c r="X13" s="125">
        <f>VLOOKUP(C13,'Talente &amp; Stuff'!DO:EP,22,FALSE)</f>
        <v>0</v>
      </c>
      <c r="Y13" s="165">
        <f t="shared" si="0"/>
        <v>0</v>
      </c>
      <c r="Z13" s="44">
        <f t="shared" si="1"/>
        <v>0</v>
      </c>
      <c r="AA13" s="125">
        <f>VLOOKUP(C13,'Talente &amp; Stuff'!DO:EP,25,FALSE)</f>
        <v>0</v>
      </c>
      <c r="AB13" s="160">
        <f>VLOOKUP(C13,'Talente &amp; Stuff'!DO:EP,26,FALSE)</f>
        <v>0</v>
      </c>
      <c r="AC13" s="127">
        <f>VLOOKUP(C13,'Talente &amp; Stuff'!DO:EP,27,FALSE)</f>
        <v>0</v>
      </c>
      <c r="AD13" s="125">
        <f>VLOOKUP(C13,'Talente &amp; Stuff'!DO:EP,28,FALSE)</f>
        <v>0</v>
      </c>
      <c r="AE13" s="28"/>
    </row>
    <row r="14" spans="1:31" ht="15" hidden="1" customHeight="1" outlineLevel="2">
      <c r="B14" s="148">
        <v>4</v>
      </c>
      <c r="C14" s="177" t="str">
        <f>Attribute!C14</f>
        <v>---</v>
      </c>
      <c r="D14" s="127" t="str">
        <f>VLOOKUP(C14,'Talente &amp; Stuff'!DO:EP,2,FALSE)</f>
        <v>--/--/--</v>
      </c>
      <c r="E14" s="125" t="str">
        <f>VLOOKUP(C14,'Talente &amp; Stuff'!DO:EP,3,FALSE)</f>
        <v>-</v>
      </c>
      <c r="F14" s="114">
        <f>VLOOKUP(C14,'Talente &amp; Stuff'!DO:EP,4,FALSE)</f>
        <v>0</v>
      </c>
      <c r="G14" s="113">
        <f>VLOOKUP(C14,'Talente &amp; Stuff'!DO:EP,5,FALSE)</f>
        <v>0</v>
      </c>
      <c r="H14" s="113">
        <f>VLOOKUP(C14,'Talente &amp; Stuff'!DO:EP,6,FALSE)</f>
        <v>0</v>
      </c>
      <c r="I14" s="113">
        <f>VLOOKUP(C14,'Talente &amp; Stuff'!DO:EP,7,FALSE)</f>
        <v>0</v>
      </c>
      <c r="J14" s="113">
        <f>VLOOKUP(C14,'Talente &amp; Stuff'!DO:EP,8,FALSE)</f>
        <v>0</v>
      </c>
      <c r="K14" s="113">
        <f>VLOOKUP(C14,'Talente &amp; Stuff'!DO:EP,9,FALSE)</f>
        <v>0</v>
      </c>
      <c r="L14" s="113">
        <f>VLOOKUP(C14,'Talente &amp; Stuff'!DO:EP,10,FALSE)</f>
        <v>0</v>
      </c>
      <c r="M14" s="119">
        <f>VLOOKUP(C14,'Talente &amp; Stuff'!DO:EP,11,FALSE)</f>
        <v>0</v>
      </c>
      <c r="N14" s="89">
        <f>VLOOKUP(C14,'Talente &amp; Stuff'!DO:EP,12,FALSE)</f>
        <v>0</v>
      </c>
      <c r="O14" s="47">
        <f>VLOOKUP(C14,'Talente &amp; Stuff'!DO:EP,13,FALSE)</f>
        <v>0</v>
      </c>
      <c r="P14" s="119">
        <f>VLOOKUP(C14,'Talente &amp; Stuff'!DO:EP,14,FALSE)</f>
        <v>0</v>
      </c>
      <c r="Q14" s="114">
        <f>VLOOKUP(C14,'Talente &amp; Stuff'!DO:EP,15,FALSE)</f>
        <v>0</v>
      </c>
      <c r="R14" s="113">
        <f>VLOOKUP(C14,'Talente &amp; Stuff'!DO:EP,16,FALSE)</f>
        <v>0</v>
      </c>
      <c r="S14" s="119">
        <f>VLOOKUP(C14,'Talente &amp; Stuff'!DO:EP,17,FALSE)</f>
        <v>0</v>
      </c>
      <c r="T14" s="160">
        <f>VLOOKUP(C14,'Talente &amp; Stuff'!DO:EP,18,FALSE)</f>
        <v>0</v>
      </c>
      <c r="U14" s="89">
        <f>VLOOKUP(C14,'Talente &amp; Stuff'!DO:EP,19,FALSE)</f>
        <v>0</v>
      </c>
      <c r="V14" s="47">
        <f>VLOOKUP(C14,'Talente &amp; Stuff'!DO:EP,20,FALSE)</f>
        <v>0</v>
      </c>
      <c r="W14" s="127">
        <f>VLOOKUP(C14,'Talente &amp; Stuff'!DO:EP,21,FALSE)</f>
        <v>0</v>
      </c>
      <c r="X14" s="125">
        <f>VLOOKUP(C14,'Talente &amp; Stuff'!DO:EP,22,FALSE)</f>
        <v>0</v>
      </c>
      <c r="Y14" s="165">
        <f t="shared" si="0"/>
        <v>0</v>
      </c>
      <c r="Z14" s="44">
        <f t="shared" si="1"/>
        <v>0</v>
      </c>
      <c r="AA14" s="125">
        <f>VLOOKUP(C14,'Talente &amp; Stuff'!DO:EP,25,FALSE)</f>
        <v>0</v>
      </c>
      <c r="AB14" s="160">
        <f>VLOOKUP(C14,'Talente &amp; Stuff'!DO:EP,26,FALSE)</f>
        <v>0</v>
      </c>
      <c r="AC14" s="127">
        <f>VLOOKUP(C14,'Talente &amp; Stuff'!DO:EP,27,FALSE)</f>
        <v>0</v>
      </c>
      <c r="AD14" s="125">
        <f>VLOOKUP(C14,'Talente &amp; Stuff'!DO:EP,28,FALSE)</f>
        <v>0</v>
      </c>
      <c r="AE14" s="28"/>
    </row>
    <row r="15" spans="1:31" ht="15" hidden="1" customHeight="1" outlineLevel="2">
      <c r="B15" s="148">
        <v>5</v>
      </c>
      <c r="C15" s="177" t="str">
        <f>Attribute!C15</f>
        <v>---</v>
      </c>
      <c r="D15" s="127" t="str">
        <f>VLOOKUP(C15,'Talente &amp; Stuff'!DO:EP,2,FALSE)</f>
        <v>--/--/--</v>
      </c>
      <c r="E15" s="125" t="str">
        <f>VLOOKUP(C15,'Talente &amp; Stuff'!DO:EP,3,FALSE)</f>
        <v>-</v>
      </c>
      <c r="F15" s="114">
        <f>VLOOKUP(C15,'Talente &amp; Stuff'!DO:EP,4,FALSE)</f>
        <v>0</v>
      </c>
      <c r="G15" s="113">
        <f>VLOOKUP(C15,'Talente &amp; Stuff'!DO:EP,5,FALSE)</f>
        <v>0</v>
      </c>
      <c r="H15" s="113">
        <f>VLOOKUP(C15,'Talente &amp; Stuff'!DO:EP,6,FALSE)</f>
        <v>0</v>
      </c>
      <c r="I15" s="113">
        <f>VLOOKUP(C15,'Talente &amp; Stuff'!DO:EP,7,FALSE)</f>
        <v>0</v>
      </c>
      <c r="J15" s="113">
        <f>VLOOKUP(C15,'Talente &amp; Stuff'!DO:EP,8,FALSE)</f>
        <v>0</v>
      </c>
      <c r="K15" s="113">
        <f>VLOOKUP(C15,'Talente &amp; Stuff'!DO:EP,9,FALSE)</f>
        <v>0</v>
      </c>
      <c r="L15" s="113">
        <f>VLOOKUP(C15,'Talente &amp; Stuff'!DO:EP,10,FALSE)</f>
        <v>0</v>
      </c>
      <c r="M15" s="119">
        <f>VLOOKUP(C15,'Talente &amp; Stuff'!DO:EP,11,FALSE)</f>
        <v>0</v>
      </c>
      <c r="N15" s="89">
        <f>VLOOKUP(C15,'Talente &amp; Stuff'!DO:EP,12,FALSE)</f>
        <v>0</v>
      </c>
      <c r="O15" s="47">
        <f>VLOOKUP(C15,'Talente &amp; Stuff'!DO:EP,13,FALSE)</f>
        <v>0</v>
      </c>
      <c r="P15" s="119">
        <f>VLOOKUP(C15,'Talente &amp; Stuff'!DO:EP,14,FALSE)</f>
        <v>0</v>
      </c>
      <c r="Q15" s="114">
        <f>VLOOKUP(C15,'Talente &amp; Stuff'!DO:EP,15,FALSE)</f>
        <v>0</v>
      </c>
      <c r="R15" s="113">
        <f>VLOOKUP(C15,'Talente &amp; Stuff'!DO:EP,16,FALSE)</f>
        <v>0</v>
      </c>
      <c r="S15" s="119">
        <f>VLOOKUP(C15,'Talente &amp; Stuff'!DO:EP,17,FALSE)</f>
        <v>0</v>
      </c>
      <c r="T15" s="160">
        <f>VLOOKUP(C15,'Talente &amp; Stuff'!DO:EP,18,FALSE)</f>
        <v>0</v>
      </c>
      <c r="U15" s="89">
        <f>VLOOKUP(C15,'Talente &amp; Stuff'!DO:EP,19,FALSE)</f>
        <v>0</v>
      </c>
      <c r="V15" s="47">
        <f>VLOOKUP(C15,'Talente &amp; Stuff'!DO:EP,20,FALSE)</f>
        <v>0</v>
      </c>
      <c r="W15" s="127">
        <f>VLOOKUP(C15,'Talente &amp; Stuff'!DO:EP,21,FALSE)</f>
        <v>0</v>
      </c>
      <c r="X15" s="125">
        <f>VLOOKUP(C15,'Talente &amp; Stuff'!DO:EP,22,FALSE)</f>
        <v>0</v>
      </c>
      <c r="Y15" s="165">
        <f t="shared" si="0"/>
        <v>0</v>
      </c>
      <c r="Z15" s="44">
        <f t="shared" si="1"/>
        <v>0</v>
      </c>
      <c r="AA15" s="125">
        <f>VLOOKUP(C15,'Talente &amp; Stuff'!DO:EP,25,FALSE)</f>
        <v>0</v>
      </c>
      <c r="AB15" s="160">
        <f>VLOOKUP(C15,'Talente &amp; Stuff'!DO:EP,26,FALSE)</f>
        <v>0</v>
      </c>
      <c r="AC15" s="127">
        <f>VLOOKUP(C15,'Talente &amp; Stuff'!DO:EP,27,FALSE)</f>
        <v>0</v>
      </c>
      <c r="AD15" s="125">
        <f>VLOOKUP(C15,'Talente &amp; Stuff'!DO:EP,28,FALSE)</f>
        <v>0</v>
      </c>
      <c r="AE15" s="28"/>
    </row>
    <row r="16" spans="1:31" ht="15" hidden="1" customHeight="1" outlineLevel="2">
      <c r="B16" s="148">
        <v>6</v>
      </c>
      <c r="C16" s="177" t="str">
        <f>Attribute!C16</f>
        <v>---</v>
      </c>
      <c r="D16" s="127" t="str">
        <f>VLOOKUP(C16,'Talente &amp; Stuff'!DO:EP,2,FALSE)</f>
        <v>--/--/--</v>
      </c>
      <c r="E16" s="125" t="str">
        <f>VLOOKUP(C16,'Talente &amp; Stuff'!DO:EP,3,FALSE)</f>
        <v>-</v>
      </c>
      <c r="F16" s="114">
        <f>VLOOKUP(C16,'Talente &amp; Stuff'!DO:EP,4,FALSE)</f>
        <v>0</v>
      </c>
      <c r="G16" s="113">
        <f>VLOOKUP(C16,'Talente &amp; Stuff'!DO:EP,5,FALSE)</f>
        <v>0</v>
      </c>
      <c r="H16" s="113">
        <f>VLOOKUP(C16,'Talente &amp; Stuff'!DO:EP,6,FALSE)</f>
        <v>0</v>
      </c>
      <c r="I16" s="113">
        <f>VLOOKUP(C16,'Talente &amp; Stuff'!DO:EP,7,FALSE)</f>
        <v>0</v>
      </c>
      <c r="J16" s="113">
        <f>VLOOKUP(C16,'Talente &amp; Stuff'!DO:EP,8,FALSE)</f>
        <v>0</v>
      </c>
      <c r="K16" s="113">
        <f>VLOOKUP(C16,'Talente &amp; Stuff'!DO:EP,9,FALSE)</f>
        <v>0</v>
      </c>
      <c r="L16" s="113">
        <f>VLOOKUP(C16,'Talente &amp; Stuff'!DO:EP,10,FALSE)</f>
        <v>0</v>
      </c>
      <c r="M16" s="119">
        <f>VLOOKUP(C16,'Talente &amp; Stuff'!DO:EP,11,FALSE)</f>
        <v>0</v>
      </c>
      <c r="N16" s="89">
        <f>VLOOKUP(C16,'Talente &amp; Stuff'!DO:EP,12,FALSE)</f>
        <v>0</v>
      </c>
      <c r="O16" s="47">
        <f>VLOOKUP(C16,'Talente &amp; Stuff'!DO:EP,13,FALSE)</f>
        <v>0</v>
      </c>
      <c r="P16" s="119">
        <f>VLOOKUP(C16,'Talente &amp; Stuff'!DO:EP,14,FALSE)</f>
        <v>0</v>
      </c>
      <c r="Q16" s="114">
        <f>VLOOKUP(C16,'Talente &amp; Stuff'!DO:EP,15,FALSE)</f>
        <v>0</v>
      </c>
      <c r="R16" s="113">
        <f>VLOOKUP(C16,'Talente &amp; Stuff'!DO:EP,16,FALSE)</f>
        <v>0</v>
      </c>
      <c r="S16" s="119">
        <f>VLOOKUP(C16,'Talente &amp; Stuff'!DO:EP,17,FALSE)</f>
        <v>0</v>
      </c>
      <c r="T16" s="160">
        <f>VLOOKUP(C16,'Talente &amp; Stuff'!DO:EP,18,FALSE)</f>
        <v>0</v>
      </c>
      <c r="U16" s="89">
        <f>VLOOKUP(C16,'Talente &amp; Stuff'!DO:EP,19,FALSE)</f>
        <v>0</v>
      </c>
      <c r="V16" s="47">
        <f>VLOOKUP(C16,'Talente &amp; Stuff'!DO:EP,20,FALSE)</f>
        <v>0</v>
      </c>
      <c r="W16" s="127">
        <f>VLOOKUP(C16,'Talente &amp; Stuff'!DO:EP,21,FALSE)</f>
        <v>0</v>
      </c>
      <c r="X16" s="125">
        <f>VLOOKUP(C16,'Talente &amp; Stuff'!DO:EP,22,FALSE)</f>
        <v>0</v>
      </c>
      <c r="Y16" s="165">
        <f t="shared" si="0"/>
        <v>0</v>
      </c>
      <c r="Z16" s="44">
        <f t="shared" si="1"/>
        <v>0</v>
      </c>
      <c r="AA16" s="125">
        <f>VLOOKUP(C16,'Talente &amp; Stuff'!DO:EP,25,FALSE)</f>
        <v>0</v>
      </c>
      <c r="AB16" s="160">
        <f>VLOOKUP(C16,'Talente &amp; Stuff'!DO:EP,26,FALSE)</f>
        <v>0</v>
      </c>
      <c r="AC16" s="127">
        <f>VLOOKUP(C16,'Talente &amp; Stuff'!DO:EP,27,FALSE)</f>
        <v>0</v>
      </c>
      <c r="AD16" s="125">
        <f>VLOOKUP(C16,'Talente &amp; Stuff'!DO:EP,28,FALSE)</f>
        <v>0</v>
      </c>
      <c r="AE16" s="28"/>
    </row>
    <row r="17" spans="2:31" ht="15" hidden="1" customHeight="1" outlineLevel="2">
      <c r="B17" s="148">
        <v>7</v>
      </c>
      <c r="C17" s="177" t="str">
        <f>Attribute!C17</f>
        <v>---</v>
      </c>
      <c r="D17" s="127" t="str">
        <f>VLOOKUP(C17,'Talente &amp; Stuff'!DO:EP,2,FALSE)</f>
        <v>--/--/--</v>
      </c>
      <c r="E17" s="125" t="str">
        <f>VLOOKUP(C17,'Talente &amp; Stuff'!DO:EP,3,FALSE)</f>
        <v>-</v>
      </c>
      <c r="F17" s="114">
        <f>VLOOKUP(C17,'Talente &amp; Stuff'!DO:EP,4,FALSE)</f>
        <v>0</v>
      </c>
      <c r="G17" s="113">
        <f>VLOOKUP(C17,'Talente &amp; Stuff'!DO:EP,5,FALSE)</f>
        <v>0</v>
      </c>
      <c r="H17" s="113">
        <f>VLOOKUP(C17,'Talente &amp; Stuff'!DO:EP,6,FALSE)</f>
        <v>0</v>
      </c>
      <c r="I17" s="113">
        <f>VLOOKUP(C17,'Talente &amp; Stuff'!DO:EP,7,FALSE)</f>
        <v>0</v>
      </c>
      <c r="J17" s="113">
        <f>VLOOKUP(C17,'Talente &amp; Stuff'!DO:EP,8,FALSE)</f>
        <v>0</v>
      </c>
      <c r="K17" s="113">
        <f>VLOOKUP(C17,'Talente &amp; Stuff'!DO:EP,9,FALSE)</f>
        <v>0</v>
      </c>
      <c r="L17" s="113">
        <f>VLOOKUP(C17,'Talente &amp; Stuff'!DO:EP,10,FALSE)</f>
        <v>0</v>
      </c>
      <c r="M17" s="119">
        <f>VLOOKUP(C17,'Talente &amp; Stuff'!DO:EP,11,FALSE)</f>
        <v>0</v>
      </c>
      <c r="N17" s="89">
        <f>VLOOKUP(C17,'Talente &amp; Stuff'!DO:EP,12,FALSE)</f>
        <v>0</v>
      </c>
      <c r="O17" s="47">
        <f>VLOOKUP(C17,'Talente &amp; Stuff'!DO:EP,13,FALSE)</f>
        <v>0</v>
      </c>
      <c r="P17" s="119">
        <f>VLOOKUP(C17,'Talente &amp; Stuff'!DO:EP,14,FALSE)</f>
        <v>0</v>
      </c>
      <c r="Q17" s="114">
        <f>VLOOKUP(C17,'Talente &amp; Stuff'!DO:EP,15,FALSE)</f>
        <v>0</v>
      </c>
      <c r="R17" s="113">
        <f>VLOOKUP(C17,'Talente &amp; Stuff'!DO:EP,16,FALSE)</f>
        <v>0</v>
      </c>
      <c r="S17" s="119">
        <f>VLOOKUP(C17,'Talente &amp; Stuff'!DO:EP,17,FALSE)</f>
        <v>0</v>
      </c>
      <c r="T17" s="160">
        <f>VLOOKUP(C17,'Talente &amp; Stuff'!DO:EP,18,FALSE)</f>
        <v>0</v>
      </c>
      <c r="U17" s="89">
        <f>VLOOKUP(C17,'Talente &amp; Stuff'!DO:EP,19,FALSE)</f>
        <v>0</v>
      </c>
      <c r="V17" s="47">
        <f>VLOOKUP(C17,'Talente &amp; Stuff'!DO:EP,20,FALSE)</f>
        <v>0</v>
      </c>
      <c r="W17" s="127">
        <f>VLOOKUP(C17,'Talente &amp; Stuff'!DO:EP,21,FALSE)</f>
        <v>0</v>
      </c>
      <c r="X17" s="125">
        <f>VLOOKUP(C17,'Talente &amp; Stuff'!DO:EP,22,FALSE)</f>
        <v>0</v>
      </c>
      <c r="Y17" s="165">
        <f t="shared" si="0"/>
        <v>0</v>
      </c>
      <c r="Z17" s="44">
        <f t="shared" si="1"/>
        <v>0</v>
      </c>
      <c r="AA17" s="125">
        <f>VLOOKUP(C17,'Talente &amp; Stuff'!DO:EP,25,FALSE)</f>
        <v>0</v>
      </c>
      <c r="AB17" s="160">
        <f>VLOOKUP(C17,'Talente &amp; Stuff'!DO:EP,26,FALSE)</f>
        <v>0</v>
      </c>
      <c r="AC17" s="127">
        <f>VLOOKUP(C17,'Talente &amp; Stuff'!DO:EP,27,FALSE)</f>
        <v>0</v>
      </c>
      <c r="AD17" s="125">
        <f>VLOOKUP(C17,'Talente &amp; Stuff'!DO:EP,28,FALSE)</f>
        <v>0</v>
      </c>
      <c r="AE17" s="28"/>
    </row>
    <row r="18" spans="2:31" ht="15" hidden="1" customHeight="1" outlineLevel="2">
      <c r="B18" s="148">
        <v>8</v>
      </c>
      <c r="C18" s="177" t="str">
        <f>Attribute!C18</f>
        <v>---</v>
      </c>
      <c r="D18" s="127" t="str">
        <f>VLOOKUP(C18,'Talente &amp; Stuff'!DO:EP,2,FALSE)</f>
        <v>--/--/--</v>
      </c>
      <c r="E18" s="125" t="str">
        <f>VLOOKUP(C18,'Talente &amp; Stuff'!DO:EP,3,FALSE)</f>
        <v>-</v>
      </c>
      <c r="F18" s="114">
        <f>VLOOKUP(C18,'Talente &amp; Stuff'!DO:EP,4,FALSE)</f>
        <v>0</v>
      </c>
      <c r="G18" s="113">
        <f>VLOOKUP(C18,'Talente &amp; Stuff'!DO:EP,5,FALSE)</f>
        <v>0</v>
      </c>
      <c r="H18" s="113">
        <f>VLOOKUP(C18,'Talente &amp; Stuff'!DO:EP,6,FALSE)</f>
        <v>0</v>
      </c>
      <c r="I18" s="113">
        <f>VLOOKUP(C18,'Talente &amp; Stuff'!DO:EP,7,FALSE)</f>
        <v>0</v>
      </c>
      <c r="J18" s="113">
        <f>VLOOKUP(C18,'Talente &amp; Stuff'!DO:EP,8,FALSE)</f>
        <v>0</v>
      </c>
      <c r="K18" s="113">
        <f>VLOOKUP(C18,'Talente &amp; Stuff'!DO:EP,9,FALSE)</f>
        <v>0</v>
      </c>
      <c r="L18" s="113">
        <f>VLOOKUP(C18,'Talente &amp; Stuff'!DO:EP,10,FALSE)</f>
        <v>0</v>
      </c>
      <c r="M18" s="119">
        <f>VLOOKUP(C18,'Talente &amp; Stuff'!DO:EP,11,FALSE)</f>
        <v>0</v>
      </c>
      <c r="N18" s="89">
        <f>VLOOKUP(C18,'Talente &amp; Stuff'!DO:EP,12,FALSE)</f>
        <v>0</v>
      </c>
      <c r="O18" s="47">
        <f>VLOOKUP(C18,'Talente &amp; Stuff'!DO:EP,13,FALSE)</f>
        <v>0</v>
      </c>
      <c r="P18" s="119">
        <f>VLOOKUP(C18,'Talente &amp; Stuff'!DO:EP,14,FALSE)</f>
        <v>0</v>
      </c>
      <c r="Q18" s="114">
        <f>VLOOKUP(C18,'Talente &amp; Stuff'!DO:EP,15,FALSE)</f>
        <v>0</v>
      </c>
      <c r="R18" s="113">
        <f>VLOOKUP(C18,'Talente &amp; Stuff'!DO:EP,16,FALSE)</f>
        <v>0</v>
      </c>
      <c r="S18" s="119">
        <f>VLOOKUP(C18,'Talente &amp; Stuff'!DO:EP,17,FALSE)</f>
        <v>0</v>
      </c>
      <c r="T18" s="160">
        <f>VLOOKUP(C18,'Talente &amp; Stuff'!DO:EP,18,FALSE)</f>
        <v>0</v>
      </c>
      <c r="U18" s="89">
        <f>VLOOKUP(C18,'Talente &amp; Stuff'!DO:EP,19,FALSE)</f>
        <v>0</v>
      </c>
      <c r="V18" s="47">
        <f>VLOOKUP(C18,'Talente &amp; Stuff'!DO:EP,20,FALSE)</f>
        <v>0</v>
      </c>
      <c r="W18" s="127">
        <f>VLOOKUP(C18,'Talente &amp; Stuff'!DO:EP,21,FALSE)</f>
        <v>0</v>
      </c>
      <c r="X18" s="125">
        <f>VLOOKUP(C18,'Talente &amp; Stuff'!DO:EP,22,FALSE)</f>
        <v>0</v>
      </c>
      <c r="Y18" s="165">
        <f t="shared" si="0"/>
        <v>0</v>
      </c>
      <c r="Z18" s="44">
        <f t="shared" si="1"/>
        <v>0</v>
      </c>
      <c r="AA18" s="125">
        <f>VLOOKUP(C18,'Talente &amp; Stuff'!DO:EP,25,FALSE)</f>
        <v>0</v>
      </c>
      <c r="AB18" s="160">
        <f>VLOOKUP(C18,'Talente &amp; Stuff'!DO:EP,26,FALSE)</f>
        <v>0</v>
      </c>
      <c r="AC18" s="127">
        <f>VLOOKUP(C18,'Talente &amp; Stuff'!DO:EP,27,FALSE)</f>
        <v>0</v>
      </c>
      <c r="AD18" s="125">
        <f>VLOOKUP(C18,'Talente &amp; Stuff'!DO:EP,28,FALSE)</f>
        <v>0</v>
      </c>
      <c r="AE18" s="28"/>
    </row>
    <row r="19" spans="2:31" ht="15" hidden="1" customHeight="1" outlineLevel="2">
      <c r="B19" s="148">
        <v>9</v>
      </c>
      <c r="C19" s="177" t="str">
        <f>Attribute!C19</f>
        <v>---</v>
      </c>
      <c r="D19" s="127" t="str">
        <f>VLOOKUP(C19,'Talente &amp; Stuff'!DO:EP,2,FALSE)</f>
        <v>--/--/--</v>
      </c>
      <c r="E19" s="125" t="str">
        <f>VLOOKUP(C19,'Talente &amp; Stuff'!DO:EP,3,FALSE)</f>
        <v>-</v>
      </c>
      <c r="F19" s="114">
        <f>VLOOKUP(C19,'Talente &amp; Stuff'!DO:EP,4,FALSE)</f>
        <v>0</v>
      </c>
      <c r="G19" s="113">
        <f>VLOOKUP(C19,'Talente &amp; Stuff'!DO:EP,5,FALSE)</f>
        <v>0</v>
      </c>
      <c r="H19" s="113">
        <f>VLOOKUP(C19,'Talente &amp; Stuff'!DO:EP,6,FALSE)</f>
        <v>0</v>
      </c>
      <c r="I19" s="113">
        <f>VLOOKUP(C19,'Talente &amp; Stuff'!DO:EP,7,FALSE)</f>
        <v>0</v>
      </c>
      <c r="J19" s="113">
        <f>VLOOKUP(C19,'Talente &amp; Stuff'!DO:EP,8,FALSE)</f>
        <v>0</v>
      </c>
      <c r="K19" s="113">
        <f>VLOOKUP(C19,'Talente &amp; Stuff'!DO:EP,9,FALSE)</f>
        <v>0</v>
      </c>
      <c r="L19" s="113">
        <f>VLOOKUP(C19,'Talente &amp; Stuff'!DO:EP,10,FALSE)</f>
        <v>0</v>
      </c>
      <c r="M19" s="119">
        <f>VLOOKUP(C19,'Talente &amp; Stuff'!DO:EP,11,FALSE)</f>
        <v>0</v>
      </c>
      <c r="N19" s="89">
        <f>VLOOKUP(C19,'Talente &amp; Stuff'!DO:EP,12,FALSE)</f>
        <v>0</v>
      </c>
      <c r="O19" s="47">
        <f>VLOOKUP(C19,'Talente &amp; Stuff'!DO:EP,13,FALSE)</f>
        <v>0</v>
      </c>
      <c r="P19" s="119">
        <f>VLOOKUP(C19,'Talente &amp; Stuff'!DO:EP,14,FALSE)</f>
        <v>0</v>
      </c>
      <c r="Q19" s="114">
        <f>VLOOKUP(C19,'Talente &amp; Stuff'!DO:EP,15,FALSE)</f>
        <v>0</v>
      </c>
      <c r="R19" s="113">
        <f>VLOOKUP(C19,'Talente &amp; Stuff'!DO:EP,16,FALSE)</f>
        <v>0</v>
      </c>
      <c r="S19" s="119">
        <f>VLOOKUP(C19,'Talente &amp; Stuff'!DO:EP,17,FALSE)</f>
        <v>0</v>
      </c>
      <c r="T19" s="160">
        <f>VLOOKUP(C19,'Talente &amp; Stuff'!DO:EP,18,FALSE)</f>
        <v>0</v>
      </c>
      <c r="U19" s="89">
        <f>VLOOKUP(C19,'Talente &amp; Stuff'!DO:EP,19,FALSE)</f>
        <v>0</v>
      </c>
      <c r="V19" s="47">
        <f>VLOOKUP(C19,'Talente &amp; Stuff'!DO:EP,20,FALSE)</f>
        <v>0</v>
      </c>
      <c r="W19" s="127">
        <f>VLOOKUP(C19,'Talente &amp; Stuff'!DO:EP,21,FALSE)</f>
        <v>0</v>
      </c>
      <c r="X19" s="125">
        <f>VLOOKUP(C19,'Talente &amp; Stuff'!DO:EP,22,FALSE)</f>
        <v>0</v>
      </c>
      <c r="Y19" s="165">
        <f t="shared" si="0"/>
        <v>0</v>
      </c>
      <c r="Z19" s="44">
        <f t="shared" si="1"/>
        <v>0</v>
      </c>
      <c r="AA19" s="125">
        <f>VLOOKUP(C19,'Talente &amp; Stuff'!DO:EP,25,FALSE)</f>
        <v>0</v>
      </c>
      <c r="AB19" s="160">
        <f>VLOOKUP(C19,'Talente &amp; Stuff'!DO:EP,26,FALSE)</f>
        <v>0</v>
      </c>
      <c r="AC19" s="127">
        <f>VLOOKUP(C19,'Talente &amp; Stuff'!DO:EP,27,FALSE)</f>
        <v>0</v>
      </c>
      <c r="AD19" s="125">
        <f>VLOOKUP(C19,'Talente &amp; Stuff'!DO:EP,28,FALSE)</f>
        <v>0</v>
      </c>
      <c r="AE19" s="28"/>
    </row>
    <row r="20" spans="2:31" ht="15" hidden="1" customHeight="1" outlineLevel="2">
      <c r="B20" s="148">
        <v>10</v>
      </c>
      <c r="C20" s="177" t="str">
        <f>Attribute!C20</f>
        <v>---</v>
      </c>
      <c r="D20" s="127" t="str">
        <f>VLOOKUP(C20,'Talente &amp; Stuff'!DO:EP,2,FALSE)</f>
        <v>--/--/--</v>
      </c>
      <c r="E20" s="125" t="str">
        <f>VLOOKUP(C20,'Talente &amp; Stuff'!DO:EP,3,FALSE)</f>
        <v>-</v>
      </c>
      <c r="F20" s="114">
        <f>VLOOKUP(C20,'Talente &amp; Stuff'!DO:EP,4,FALSE)</f>
        <v>0</v>
      </c>
      <c r="G20" s="113">
        <f>VLOOKUP(C20,'Talente &amp; Stuff'!DO:EP,5,FALSE)</f>
        <v>0</v>
      </c>
      <c r="H20" s="113">
        <f>VLOOKUP(C20,'Talente &amp; Stuff'!DO:EP,6,FALSE)</f>
        <v>0</v>
      </c>
      <c r="I20" s="113">
        <f>VLOOKUP(C20,'Talente &amp; Stuff'!DO:EP,7,FALSE)</f>
        <v>0</v>
      </c>
      <c r="J20" s="113">
        <f>VLOOKUP(C20,'Talente &amp; Stuff'!DO:EP,8,FALSE)</f>
        <v>0</v>
      </c>
      <c r="K20" s="113">
        <f>VLOOKUP(C20,'Talente &amp; Stuff'!DO:EP,9,FALSE)</f>
        <v>0</v>
      </c>
      <c r="L20" s="113">
        <f>VLOOKUP(C20,'Talente &amp; Stuff'!DO:EP,10,FALSE)</f>
        <v>0</v>
      </c>
      <c r="M20" s="119">
        <f>VLOOKUP(C20,'Talente &amp; Stuff'!DO:EP,11,FALSE)</f>
        <v>0</v>
      </c>
      <c r="N20" s="89">
        <f>VLOOKUP(C20,'Talente &amp; Stuff'!DO:EP,12,FALSE)</f>
        <v>0</v>
      </c>
      <c r="O20" s="47">
        <f>VLOOKUP(C20,'Talente &amp; Stuff'!DO:EP,13,FALSE)</f>
        <v>0</v>
      </c>
      <c r="P20" s="119">
        <f>VLOOKUP(C20,'Talente &amp; Stuff'!DO:EP,14,FALSE)</f>
        <v>0</v>
      </c>
      <c r="Q20" s="114">
        <f>VLOOKUP(C20,'Talente &amp; Stuff'!DO:EP,15,FALSE)</f>
        <v>0</v>
      </c>
      <c r="R20" s="113">
        <f>VLOOKUP(C20,'Talente &amp; Stuff'!DO:EP,16,FALSE)</f>
        <v>0</v>
      </c>
      <c r="S20" s="119">
        <f>VLOOKUP(C20,'Talente &amp; Stuff'!DO:EP,17,FALSE)</f>
        <v>0</v>
      </c>
      <c r="T20" s="160">
        <f>VLOOKUP(C20,'Talente &amp; Stuff'!DO:EP,18,FALSE)</f>
        <v>0</v>
      </c>
      <c r="U20" s="89">
        <f>VLOOKUP(C20,'Talente &amp; Stuff'!DO:EP,19,FALSE)</f>
        <v>0</v>
      </c>
      <c r="V20" s="47">
        <f>VLOOKUP(C20,'Talente &amp; Stuff'!DO:EP,20,FALSE)</f>
        <v>0</v>
      </c>
      <c r="W20" s="127">
        <f>VLOOKUP(C20,'Talente &amp; Stuff'!DO:EP,21,FALSE)</f>
        <v>0</v>
      </c>
      <c r="X20" s="125">
        <f>VLOOKUP(C20,'Talente &amp; Stuff'!DO:EP,22,FALSE)</f>
        <v>0</v>
      </c>
      <c r="Y20" s="165">
        <f t="shared" si="0"/>
        <v>0</v>
      </c>
      <c r="Z20" s="44">
        <f t="shared" si="1"/>
        <v>0</v>
      </c>
      <c r="AA20" s="125">
        <f>VLOOKUP(C20,'Talente &amp; Stuff'!DO:EP,25,FALSE)</f>
        <v>0</v>
      </c>
      <c r="AB20" s="160">
        <f>VLOOKUP(C20,'Talente &amp; Stuff'!DO:EP,26,FALSE)</f>
        <v>0</v>
      </c>
      <c r="AC20" s="127">
        <f>VLOOKUP(C20,'Talente &amp; Stuff'!DO:EP,27,FALSE)</f>
        <v>0</v>
      </c>
      <c r="AD20" s="125">
        <f>VLOOKUP(C20,'Talente &amp; Stuff'!DO:EP,28,FALSE)</f>
        <v>0</v>
      </c>
      <c r="AE20" s="28"/>
    </row>
    <row r="21" spans="2:31" ht="15" hidden="1" customHeight="1" outlineLevel="2">
      <c r="B21" s="148">
        <v>11</v>
      </c>
      <c r="C21" s="177" t="str">
        <f>Attribute!C21</f>
        <v>---</v>
      </c>
      <c r="D21" s="127" t="str">
        <f>VLOOKUP(C21,'Talente &amp; Stuff'!DO:EP,2,FALSE)</f>
        <v>--/--/--</v>
      </c>
      <c r="E21" s="125" t="str">
        <f>VLOOKUP(C21,'Talente &amp; Stuff'!DO:EP,3,FALSE)</f>
        <v>-</v>
      </c>
      <c r="F21" s="114">
        <f>VLOOKUP(C21,'Talente &amp; Stuff'!DO:EP,4,FALSE)</f>
        <v>0</v>
      </c>
      <c r="G21" s="113">
        <f>VLOOKUP(C21,'Talente &amp; Stuff'!DO:EP,5,FALSE)</f>
        <v>0</v>
      </c>
      <c r="H21" s="113">
        <f>VLOOKUP(C21,'Talente &amp; Stuff'!DO:EP,6,FALSE)</f>
        <v>0</v>
      </c>
      <c r="I21" s="113">
        <f>VLOOKUP(C21,'Talente &amp; Stuff'!DO:EP,7,FALSE)</f>
        <v>0</v>
      </c>
      <c r="J21" s="113">
        <f>VLOOKUP(C21,'Talente &amp; Stuff'!DO:EP,8,FALSE)</f>
        <v>0</v>
      </c>
      <c r="K21" s="113">
        <f>VLOOKUP(C21,'Talente &amp; Stuff'!DO:EP,9,FALSE)</f>
        <v>0</v>
      </c>
      <c r="L21" s="113">
        <f>VLOOKUP(C21,'Talente &amp; Stuff'!DO:EP,10,FALSE)</f>
        <v>0</v>
      </c>
      <c r="M21" s="119">
        <f>VLOOKUP(C21,'Talente &amp; Stuff'!DO:EP,11,FALSE)</f>
        <v>0</v>
      </c>
      <c r="N21" s="89">
        <f>VLOOKUP(C21,'Talente &amp; Stuff'!DO:EP,12,FALSE)</f>
        <v>0</v>
      </c>
      <c r="O21" s="47">
        <f>VLOOKUP(C21,'Talente &amp; Stuff'!DO:EP,13,FALSE)</f>
        <v>0</v>
      </c>
      <c r="P21" s="119">
        <f>VLOOKUP(C21,'Talente &amp; Stuff'!DO:EP,14,FALSE)</f>
        <v>0</v>
      </c>
      <c r="Q21" s="114">
        <f>VLOOKUP(C21,'Talente &amp; Stuff'!DO:EP,15,FALSE)</f>
        <v>0</v>
      </c>
      <c r="R21" s="113">
        <f>VLOOKUP(C21,'Talente &amp; Stuff'!DO:EP,16,FALSE)</f>
        <v>0</v>
      </c>
      <c r="S21" s="119">
        <f>VLOOKUP(C21,'Talente &amp; Stuff'!DO:EP,17,FALSE)</f>
        <v>0</v>
      </c>
      <c r="T21" s="160">
        <f>VLOOKUP(C21,'Talente &amp; Stuff'!DO:EP,18,FALSE)</f>
        <v>0</v>
      </c>
      <c r="U21" s="89">
        <f>VLOOKUP(C21,'Talente &amp; Stuff'!DO:EP,19,FALSE)</f>
        <v>0</v>
      </c>
      <c r="V21" s="47">
        <f>VLOOKUP(C21,'Talente &amp; Stuff'!DO:EP,20,FALSE)</f>
        <v>0</v>
      </c>
      <c r="W21" s="127">
        <f>VLOOKUP(C21,'Talente &amp; Stuff'!DO:EP,21,FALSE)</f>
        <v>0</v>
      </c>
      <c r="X21" s="125">
        <f>VLOOKUP(C21,'Talente &amp; Stuff'!DO:EP,22,FALSE)</f>
        <v>0</v>
      </c>
      <c r="Y21" s="165">
        <f t="shared" si="0"/>
        <v>0</v>
      </c>
      <c r="Z21" s="44">
        <f t="shared" si="1"/>
        <v>0</v>
      </c>
      <c r="AA21" s="125">
        <f>VLOOKUP(C21,'Talente &amp; Stuff'!DO:EP,25,FALSE)</f>
        <v>0</v>
      </c>
      <c r="AB21" s="160">
        <f>VLOOKUP(C21,'Talente &amp; Stuff'!DO:EP,26,FALSE)</f>
        <v>0</v>
      </c>
      <c r="AC21" s="127">
        <f>VLOOKUP(C21,'Talente &amp; Stuff'!DO:EP,27,FALSE)</f>
        <v>0</v>
      </c>
      <c r="AD21" s="125">
        <f>VLOOKUP(C21,'Talente &amp; Stuff'!DO:EP,28,FALSE)</f>
        <v>0</v>
      </c>
      <c r="AE21" s="28"/>
    </row>
    <row r="22" spans="2:31" ht="15" hidden="1" customHeight="1" outlineLevel="2">
      <c r="B22" s="148">
        <v>12</v>
      </c>
      <c r="C22" s="177" t="str">
        <f>Attribute!C22</f>
        <v>---</v>
      </c>
      <c r="D22" s="127" t="str">
        <f>VLOOKUP(C22,'Talente &amp; Stuff'!DO:EP,2,FALSE)</f>
        <v>--/--/--</v>
      </c>
      <c r="E22" s="125" t="str">
        <f>VLOOKUP(C22,'Talente &amp; Stuff'!DO:EP,3,FALSE)</f>
        <v>-</v>
      </c>
      <c r="F22" s="114">
        <f>VLOOKUP(C22,'Talente &amp; Stuff'!DO:EP,4,FALSE)</f>
        <v>0</v>
      </c>
      <c r="G22" s="113">
        <f>VLOOKUP(C22,'Talente &amp; Stuff'!DO:EP,5,FALSE)</f>
        <v>0</v>
      </c>
      <c r="H22" s="113">
        <f>VLOOKUP(C22,'Talente &amp; Stuff'!DO:EP,6,FALSE)</f>
        <v>0</v>
      </c>
      <c r="I22" s="113">
        <f>VLOOKUP(C22,'Talente &amp; Stuff'!DO:EP,7,FALSE)</f>
        <v>0</v>
      </c>
      <c r="J22" s="113">
        <f>VLOOKUP(C22,'Talente &amp; Stuff'!DO:EP,8,FALSE)</f>
        <v>0</v>
      </c>
      <c r="K22" s="113">
        <f>VLOOKUP(C22,'Talente &amp; Stuff'!DO:EP,9,FALSE)</f>
        <v>0</v>
      </c>
      <c r="L22" s="113">
        <f>VLOOKUP(C22,'Talente &amp; Stuff'!DO:EP,10,FALSE)</f>
        <v>0</v>
      </c>
      <c r="M22" s="119">
        <f>VLOOKUP(C22,'Talente &amp; Stuff'!DO:EP,11,FALSE)</f>
        <v>0</v>
      </c>
      <c r="N22" s="89">
        <f>VLOOKUP(C22,'Talente &amp; Stuff'!DO:EP,12,FALSE)</f>
        <v>0</v>
      </c>
      <c r="O22" s="47">
        <f>VLOOKUP(C22,'Talente &amp; Stuff'!DO:EP,13,FALSE)</f>
        <v>0</v>
      </c>
      <c r="P22" s="119">
        <f>VLOOKUP(C22,'Talente &amp; Stuff'!DO:EP,14,FALSE)</f>
        <v>0</v>
      </c>
      <c r="Q22" s="114">
        <f>VLOOKUP(C22,'Talente &amp; Stuff'!DO:EP,15,FALSE)</f>
        <v>0</v>
      </c>
      <c r="R22" s="113">
        <f>VLOOKUP(C22,'Talente &amp; Stuff'!DO:EP,16,FALSE)</f>
        <v>0</v>
      </c>
      <c r="S22" s="119">
        <f>VLOOKUP(C22,'Talente &amp; Stuff'!DO:EP,17,FALSE)</f>
        <v>0</v>
      </c>
      <c r="T22" s="160">
        <f>VLOOKUP(C22,'Talente &amp; Stuff'!DO:EP,18,FALSE)</f>
        <v>0</v>
      </c>
      <c r="U22" s="89">
        <f>VLOOKUP(C22,'Talente &amp; Stuff'!DO:EP,19,FALSE)</f>
        <v>0</v>
      </c>
      <c r="V22" s="47">
        <f>VLOOKUP(C22,'Talente &amp; Stuff'!DO:EP,20,FALSE)</f>
        <v>0</v>
      </c>
      <c r="W22" s="127">
        <f>VLOOKUP(C22,'Talente &amp; Stuff'!DO:EP,21,FALSE)</f>
        <v>0</v>
      </c>
      <c r="X22" s="125">
        <f>VLOOKUP(C22,'Talente &amp; Stuff'!DO:EP,22,FALSE)</f>
        <v>0</v>
      </c>
      <c r="Y22" s="165">
        <f t="shared" si="0"/>
        <v>0</v>
      </c>
      <c r="Z22" s="44">
        <f t="shared" si="1"/>
        <v>0</v>
      </c>
      <c r="AA22" s="125">
        <f>VLOOKUP(C22,'Talente &amp; Stuff'!DO:EP,25,FALSE)</f>
        <v>0</v>
      </c>
      <c r="AB22" s="160">
        <f>VLOOKUP(C22,'Talente &amp; Stuff'!DO:EP,26,FALSE)</f>
        <v>0</v>
      </c>
      <c r="AC22" s="127">
        <f>VLOOKUP(C22,'Talente &amp; Stuff'!DO:EP,27,FALSE)</f>
        <v>0</v>
      </c>
      <c r="AD22" s="125">
        <f>VLOOKUP(C22,'Talente &amp; Stuff'!DO:EP,28,FALSE)</f>
        <v>0</v>
      </c>
      <c r="AE22" s="28"/>
    </row>
    <row r="23" spans="2:31" ht="15" hidden="1" customHeight="1" outlineLevel="2">
      <c r="B23" s="148">
        <v>13</v>
      </c>
      <c r="C23" s="177" t="str">
        <f>Attribute!C23</f>
        <v>---</v>
      </c>
      <c r="D23" s="127" t="str">
        <f>VLOOKUP(C23,'Talente &amp; Stuff'!DO:EP,2,FALSE)</f>
        <v>--/--/--</v>
      </c>
      <c r="E23" s="125" t="str">
        <f>VLOOKUP(C23,'Talente &amp; Stuff'!DO:EP,3,FALSE)</f>
        <v>-</v>
      </c>
      <c r="F23" s="114">
        <f>VLOOKUP(C23,'Talente &amp; Stuff'!DO:EP,4,FALSE)</f>
        <v>0</v>
      </c>
      <c r="G23" s="113">
        <f>VLOOKUP(C23,'Talente &amp; Stuff'!DO:EP,5,FALSE)</f>
        <v>0</v>
      </c>
      <c r="H23" s="113">
        <f>VLOOKUP(C23,'Talente &amp; Stuff'!DO:EP,6,FALSE)</f>
        <v>0</v>
      </c>
      <c r="I23" s="113">
        <f>VLOOKUP(C23,'Talente &amp; Stuff'!DO:EP,7,FALSE)</f>
        <v>0</v>
      </c>
      <c r="J23" s="113">
        <f>VLOOKUP(C23,'Talente &amp; Stuff'!DO:EP,8,FALSE)</f>
        <v>0</v>
      </c>
      <c r="K23" s="113">
        <f>VLOOKUP(C23,'Talente &amp; Stuff'!DO:EP,9,FALSE)</f>
        <v>0</v>
      </c>
      <c r="L23" s="113">
        <f>VLOOKUP(C23,'Talente &amp; Stuff'!DO:EP,10,FALSE)</f>
        <v>0</v>
      </c>
      <c r="M23" s="119">
        <f>VLOOKUP(C23,'Talente &amp; Stuff'!DO:EP,11,FALSE)</f>
        <v>0</v>
      </c>
      <c r="N23" s="89">
        <f>VLOOKUP(C23,'Talente &amp; Stuff'!DO:EP,12,FALSE)</f>
        <v>0</v>
      </c>
      <c r="O23" s="47">
        <f>VLOOKUP(C23,'Talente &amp; Stuff'!DO:EP,13,FALSE)</f>
        <v>0</v>
      </c>
      <c r="P23" s="119">
        <f>VLOOKUP(C23,'Talente &amp; Stuff'!DO:EP,14,FALSE)</f>
        <v>0</v>
      </c>
      <c r="Q23" s="114">
        <f>VLOOKUP(C23,'Talente &amp; Stuff'!DO:EP,15,FALSE)</f>
        <v>0</v>
      </c>
      <c r="R23" s="113">
        <f>VLOOKUP(C23,'Talente &amp; Stuff'!DO:EP,16,FALSE)</f>
        <v>0</v>
      </c>
      <c r="S23" s="119">
        <f>VLOOKUP(C23,'Talente &amp; Stuff'!DO:EP,17,FALSE)</f>
        <v>0</v>
      </c>
      <c r="T23" s="160">
        <f>VLOOKUP(C23,'Talente &amp; Stuff'!DO:EP,18,FALSE)</f>
        <v>0</v>
      </c>
      <c r="U23" s="89">
        <f>VLOOKUP(C23,'Talente &amp; Stuff'!DO:EP,19,FALSE)</f>
        <v>0</v>
      </c>
      <c r="V23" s="47">
        <f>VLOOKUP(C23,'Talente &amp; Stuff'!DO:EP,20,FALSE)</f>
        <v>0</v>
      </c>
      <c r="W23" s="127">
        <f>VLOOKUP(C23,'Talente &amp; Stuff'!DO:EP,21,FALSE)</f>
        <v>0</v>
      </c>
      <c r="X23" s="125">
        <f>VLOOKUP(C23,'Talente &amp; Stuff'!DO:EP,22,FALSE)</f>
        <v>0</v>
      </c>
      <c r="Y23" s="165">
        <f t="shared" si="0"/>
        <v>0</v>
      </c>
      <c r="Z23" s="44">
        <f t="shared" si="1"/>
        <v>0</v>
      </c>
      <c r="AA23" s="125">
        <f>VLOOKUP(C23,'Talente &amp; Stuff'!DO:EP,25,FALSE)</f>
        <v>0</v>
      </c>
      <c r="AB23" s="160">
        <f>VLOOKUP(C23,'Talente &amp; Stuff'!DO:EP,26,FALSE)</f>
        <v>0</v>
      </c>
      <c r="AC23" s="127">
        <f>VLOOKUP(C23,'Talente &amp; Stuff'!DO:EP,27,FALSE)</f>
        <v>0</v>
      </c>
      <c r="AD23" s="125">
        <f>VLOOKUP(C23,'Talente &amp; Stuff'!DO:EP,28,FALSE)</f>
        <v>0</v>
      </c>
      <c r="AE23" s="28"/>
    </row>
    <row r="24" spans="2:31" ht="15" hidden="1" customHeight="1" outlineLevel="2">
      <c r="B24" s="148">
        <v>14</v>
      </c>
      <c r="C24" s="178" t="str">
        <f>Attribute!C24</f>
        <v>---</v>
      </c>
      <c r="D24" s="128" t="str">
        <f>VLOOKUP(C24,'Talente &amp; Stuff'!DO:EP,2,FALSE)</f>
        <v>--/--/--</v>
      </c>
      <c r="E24" s="159" t="str">
        <f>VLOOKUP(C24,'Talente &amp; Stuff'!DO:EP,3,FALSE)</f>
        <v>-</v>
      </c>
      <c r="F24" s="115">
        <f>VLOOKUP(C24,'Talente &amp; Stuff'!DO:EP,4,FALSE)</f>
        <v>0</v>
      </c>
      <c r="G24" s="122">
        <f>VLOOKUP(C24,'Talente &amp; Stuff'!DO:EP,5,FALSE)</f>
        <v>0</v>
      </c>
      <c r="H24" s="122">
        <f>VLOOKUP(C24,'Talente &amp; Stuff'!DO:EP,6,FALSE)</f>
        <v>0</v>
      </c>
      <c r="I24" s="122">
        <f>VLOOKUP(C24,'Talente &amp; Stuff'!DO:EP,7,FALSE)</f>
        <v>0</v>
      </c>
      <c r="J24" s="122">
        <f>VLOOKUP(C24,'Talente &amp; Stuff'!DO:EP,8,FALSE)</f>
        <v>0</v>
      </c>
      <c r="K24" s="122">
        <f>VLOOKUP(C24,'Talente &amp; Stuff'!DO:EP,9,FALSE)</f>
        <v>0</v>
      </c>
      <c r="L24" s="122">
        <f>VLOOKUP(C24,'Talente &amp; Stuff'!DO:EP,10,FALSE)</f>
        <v>0</v>
      </c>
      <c r="M24" s="123">
        <f>VLOOKUP(C24,'Talente &amp; Stuff'!DO:EP,11,FALSE)</f>
        <v>0</v>
      </c>
      <c r="N24" s="90">
        <f>VLOOKUP(C24,'Talente &amp; Stuff'!DO:EP,12,FALSE)</f>
        <v>0</v>
      </c>
      <c r="O24" s="88">
        <f>VLOOKUP(C24,'Talente &amp; Stuff'!DO:EP,13,FALSE)</f>
        <v>0</v>
      </c>
      <c r="P24" s="123">
        <f>VLOOKUP(C24,'Talente &amp; Stuff'!DO:EP,14,FALSE)</f>
        <v>0</v>
      </c>
      <c r="Q24" s="115">
        <f>VLOOKUP(C24,'Talente &amp; Stuff'!DO:EP,15,FALSE)</f>
        <v>0</v>
      </c>
      <c r="R24" s="122">
        <f>VLOOKUP(C24,'Talente &amp; Stuff'!DO:EP,16,FALSE)</f>
        <v>0</v>
      </c>
      <c r="S24" s="123">
        <f>VLOOKUP(C24,'Talente &amp; Stuff'!DO:EP,17,FALSE)</f>
        <v>0</v>
      </c>
      <c r="T24" s="161">
        <f>VLOOKUP(C24,'Talente &amp; Stuff'!DO:EP,18,FALSE)</f>
        <v>0</v>
      </c>
      <c r="U24" s="90">
        <f>VLOOKUP(C24,'Talente &amp; Stuff'!DO:EP,19,FALSE)</f>
        <v>0</v>
      </c>
      <c r="V24" s="88">
        <f>VLOOKUP(C24,'Talente &amp; Stuff'!DO:EP,20,FALSE)</f>
        <v>0</v>
      </c>
      <c r="W24" s="128">
        <f>VLOOKUP(C24,'Talente &amp; Stuff'!DO:EP,21,FALSE)</f>
        <v>0</v>
      </c>
      <c r="X24" s="159">
        <f>VLOOKUP(C24,'Talente &amp; Stuff'!DO:EP,22,FALSE)</f>
        <v>0</v>
      </c>
      <c r="Y24" s="165">
        <f t="shared" si="0"/>
        <v>0</v>
      </c>
      <c r="Z24" s="44">
        <f t="shared" si="1"/>
        <v>0</v>
      </c>
      <c r="AA24" s="159">
        <f>VLOOKUP(C24,'Talente &amp; Stuff'!DO:EP,25,FALSE)</f>
        <v>0</v>
      </c>
      <c r="AB24" s="161">
        <f>VLOOKUP(C24,'Talente &amp; Stuff'!DO:EP,26,FALSE)</f>
        <v>0</v>
      </c>
      <c r="AC24" s="128">
        <f>VLOOKUP(C24,'Talente &amp; Stuff'!DO:EP,27,FALSE)</f>
        <v>0</v>
      </c>
      <c r="AD24" s="159">
        <f>VLOOKUP(C24,'Talente &amp; Stuff'!DO:EP,28,FALSE)</f>
        <v>0</v>
      </c>
      <c r="AE24" s="28"/>
    </row>
    <row r="25" spans="2:31" ht="15" hidden="1" customHeight="1" outlineLevel="1" collapsed="1">
      <c r="B25" s="134" t="s">
        <v>278</v>
      </c>
      <c r="C25" s="83"/>
      <c r="D25" s="84"/>
      <c r="E25" s="84"/>
      <c r="F25" s="30"/>
      <c r="G25" s="30"/>
      <c r="H25" s="30"/>
      <c r="I25" s="30"/>
      <c r="J25" s="30"/>
      <c r="K25" s="30"/>
      <c r="L25" s="30"/>
      <c r="M25" s="30"/>
      <c r="N25" s="31"/>
      <c r="O25" s="31"/>
      <c r="P25" s="30"/>
      <c r="Q25" s="30"/>
      <c r="R25" s="30"/>
      <c r="S25" s="30"/>
      <c r="T25" s="30"/>
      <c r="U25" s="31"/>
      <c r="V25" s="31"/>
      <c r="W25" s="31"/>
      <c r="X25" s="31"/>
      <c r="Y25" s="65"/>
    </row>
    <row r="26" spans="2:31" ht="15" hidden="1" customHeight="1" outlineLevel="2">
      <c r="B26" s="148">
        <v>1</v>
      </c>
      <c r="C26" s="176" t="str">
        <f>Attribute!C26</f>
        <v>---</v>
      </c>
      <c r="D26" s="126" t="str">
        <f>VLOOKUP(C26,'Talente &amp; Stuff'!DO:EP,2,FALSE)</f>
        <v>--/--/--</v>
      </c>
      <c r="E26" s="158" t="str">
        <f>VLOOKUP(C26,'Talente &amp; Stuff'!DO:EP,3,FALSE)</f>
        <v>-</v>
      </c>
      <c r="F26" s="191">
        <f>VLOOKUP(C26,'Talente &amp; Stuff'!DO:EP,4,FALSE)</f>
        <v>0</v>
      </c>
      <c r="G26" s="118">
        <f>VLOOKUP(C26,'Talente &amp; Stuff'!DO:EP,5,FALSE)</f>
        <v>0</v>
      </c>
      <c r="H26" s="118">
        <f>VLOOKUP(C26,'Talente &amp; Stuff'!DO:EP,6,FALSE)</f>
        <v>0</v>
      </c>
      <c r="I26" s="118">
        <f>VLOOKUP(C26,'Talente &amp; Stuff'!DO:EP,7,FALSE)</f>
        <v>0</v>
      </c>
      <c r="J26" s="118">
        <f>VLOOKUP(C26,'Talente &amp; Stuff'!DO:EP,8,FALSE)</f>
        <v>0</v>
      </c>
      <c r="K26" s="118">
        <f>VLOOKUP(C26,'Talente &amp; Stuff'!DO:EP,9,FALSE)</f>
        <v>0</v>
      </c>
      <c r="L26" s="118">
        <f>VLOOKUP(C26,'Talente &amp; Stuff'!DO:EP,10,FALSE)</f>
        <v>0</v>
      </c>
      <c r="M26" s="92">
        <f>VLOOKUP(C26,'Talente &amp; Stuff'!DO:EP,11,FALSE)</f>
        <v>0</v>
      </c>
      <c r="N26" s="193">
        <f>VLOOKUP(C26,'Talente &amp; Stuff'!DO:EP,12,FALSE)</f>
        <v>0</v>
      </c>
      <c r="O26" s="116">
        <f>VLOOKUP(C26,'Talente &amp; Stuff'!DO:EP,13,FALSE)</f>
        <v>0</v>
      </c>
      <c r="P26" s="92">
        <f>VLOOKUP(C26,'Talente &amp; Stuff'!DO:EP,14,FALSE)</f>
        <v>0</v>
      </c>
      <c r="Q26" s="191">
        <f>VLOOKUP(C26,'Talente &amp; Stuff'!DO:EP,15,FALSE)</f>
        <v>0</v>
      </c>
      <c r="R26" s="118">
        <f>VLOOKUP(C26,'Talente &amp; Stuff'!DO:EP,16,FALSE)</f>
        <v>0</v>
      </c>
      <c r="S26" s="92">
        <f>VLOOKUP(C26,'Talente &amp; Stuff'!DO:EP,17,FALSE)</f>
        <v>0</v>
      </c>
      <c r="T26" s="91">
        <f>VLOOKUP(C26,'Talente &amp; Stuff'!DO:EP,18,FALSE)</f>
        <v>0</v>
      </c>
      <c r="U26" s="193">
        <f>VLOOKUP(C26,'Talente &amp; Stuff'!DO:EP,19,FALSE)</f>
        <v>0</v>
      </c>
      <c r="V26" s="116">
        <f>VLOOKUP(C26,'Talente &amp; Stuff'!DO:EP,20,FALSE)</f>
        <v>0</v>
      </c>
      <c r="W26" s="126">
        <f>VLOOKUP(C26,'Talente &amp; Stuff'!DO:EP,21,FALSE)</f>
        <v>0</v>
      </c>
      <c r="X26" s="158">
        <f>VLOOKUP(C26,'Talente &amp; Stuff'!DO:EP,22,FALSE)</f>
        <v>0</v>
      </c>
      <c r="Y26" s="165">
        <f t="shared" ref="Y26:Y34" si="2">VLOOKUP(C26,Ausgewählte_Talente_Gesellschaftstalente,139,FALSE)</f>
        <v>0</v>
      </c>
      <c r="Z26" s="44">
        <f t="shared" ref="Z26:Z34" si="3">VLOOKUP(C26,Ausgewählte_Talente_Gesellschaftstalente,140,FALSE)</f>
        <v>0</v>
      </c>
      <c r="AA26" s="158">
        <f>VLOOKUP(C26,'Talente &amp; Stuff'!DO:EP,25,FALSE)</f>
        <v>0</v>
      </c>
      <c r="AB26" s="91">
        <f>VLOOKUP(C26,'Talente &amp; Stuff'!DO:EP,26,FALSE)</f>
        <v>0</v>
      </c>
      <c r="AC26" s="126">
        <f>VLOOKUP(C26,'Talente &amp; Stuff'!DO:EP,27,FALSE)</f>
        <v>0</v>
      </c>
      <c r="AD26" s="158">
        <f>VLOOKUP(C26,'Talente &amp; Stuff'!DO:EP,28,FALSE)</f>
        <v>0</v>
      </c>
      <c r="AE26" s="28"/>
    </row>
    <row r="27" spans="2:31" ht="15" hidden="1" customHeight="1" outlineLevel="2">
      <c r="B27" s="148">
        <v>2</v>
      </c>
      <c r="C27" s="177" t="str">
        <f>Attribute!C27</f>
        <v>---</v>
      </c>
      <c r="D27" s="127" t="str">
        <f>VLOOKUP(C27,'Talente &amp; Stuff'!DO:EP,2,FALSE)</f>
        <v>--/--/--</v>
      </c>
      <c r="E27" s="125" t="str">
        <f>VLOOKUP(C27,'Talente &amp; Stuff'!DO:EP,3,FALSE)</f>
        <v>-</v>
      </c>
      <c r="F27" s="114">
        <f>VLOOKUP(C27,'Talente &amp; Stuff'!DO:EP,4,FALSE)</f>
        <v>0</v>
      </c>
      <c r="G27" s="113">
        <f>VLOOKUP(C27,'Talente &amp; Stuff'!DO:EP,5,FALSE)</f>
        <v>0</v>
      </c>
      <c r="H27" s="113">
        <f>VLOOKUP(C27,'Talente &amp; Stuff'!DO:EP,6,FALSE)</f>
        <v>0</v>
      </c>
      <c r="I27" s="113">
        <f>VLOOKUP(C27,'Talente &amp; Stuff'!DO:EP,7,FALSE)</f>
        <v>0</v>
      </c>
      <c r="J27" s="113">
        <f>VLOOKUP(C27,'Talente &amp; Stuff'!DO:EP,8,FALSE)</f>
        <v>0</v>
      </c>
      <c r="K27" s="113">
        <f>VLOOKUP(C27,'Talente &amp; Stuff'!DO:EP,9,FALSE)</f>
        <v>0</v>
      </c>
      <c r="L27" s="113">
        <f>VLOOKUP(C27,'Talente &amp; Stuff'!DO:EP,10,FALSE)</f>
        <v>0</v>
      </c>
      <c r="M27" s="119">
        <f>VLOOKUP(C27,'Talente &amp; Stuff'!DO:EP,11,FALSE)</f>
        <v>0</v>
      </c>
      <c r="N27" s="89">
        <f>VLOOKUP(C27,'Talente &amp; Stuff'!DO:EP,12,FALSE)</f>
        <v>0</v>
      </c>
      <c r="O27" s="47">
        <f>VLOOKUP(C27,'Talente &amp; Stuff'!DO:EP,13,FALSE)</f>
        <v>0</v>
      </c>
      <c r="P27" s="119">
        <f>VLOOKUP(C27,'Talente &amp; Stuff'!DO:EP,14,FALSE)</f>
        <v>0</v>
      </c>
      <c r="Q27" s="114">
        <f>VLOOKUP(C27,'Talente &amp; Stuff'!DO:EP,15,FALSE)</f>
        <v>0</v>
      </c>
      <c r="R27" s="113">
        <f>VLOOKUP(C27,'Talente &amp; Stuff'!DO:EP,16,FALSE)</f>
        <v>0</v>
      </c>
      <c r="S27" s="119">
        <f>VLOOKUP(C27,'Talente &amp; Stuff'!DO:EP,17,FALSE)</f>
        <v>0</v>
      </c>
      <c r="T27" s="160">
        <f>VLOOKUP(C27,'Talente &amp; Stuff'!DO:EP,18,FALSE)</f>
        <v>0</v>
      </c>
      <c r="U27" s="89">
        <f>VLOOKUP(C27,'Talente &amp; Stuff'!DO:EP,19,FALSE)</f>
        <v>0</v>
      </c>
      <c r="V27" s="47">
        <f>VLOOKUP(C27,'Talente &amp; Stuff'!DO:EP,20,FALSE)</f>
        <v>0</v>
      </c>
      <c r="W27" s="127">
        <f>VLOOKUP(C27,'Talente &amp; Stuff'!DO:EP,21,FALSE)</f>
        <v>0</v>
      </c>
      <c r="X27" s="125">
        <f>VLOOKUP(C27,'Talente &amp; Stuff'!DO:EP,22,FALSE)</f>
        <v>0</v>
      </c>
      <c r="Y27" s="165">
        <f t="shared" si="2"/>
        <v>0</v>
      </c>
      <c r="Z27" s="44">
        <f t="shared" si="3"/>
        <v>0</v>
      </c>
      <c r="AA27" s="125">
        <f>VLOOKUP(C27,'Talente &amp; Stuff'!DO:EP,25,FALSE)</f>
        <v>0</v>
      </c>
      <c r="AB27" s="160">
        <f>VLOOKUP(C27,'Talente &amp; Stuff'!DO:EP,26,FALSE)</f>
        <v>0</v>
      </c>
      <c r="AC27" s="127">
        <f>VLOOKUP(C27,'Talente &amp; Stuff'!DO:EP,27,FALSE)</f>
        <v>0</v>
      </c>
      <c r="AD27" s="125">
        <f>VLOOKUP(C27,'Talente &amp; Stuff'!DO:EP,28,FALSE)</f>
        <v>0</v>
      </c>
      <c r="AE27" s="28"/>
    </row>
    <row r="28" spans="2:31" ht="15" hidden="1" customHeight="1" outlineLevel="2">
      <c r="B28" s="148">
        <v>3</v>
      </c>
      <c r="C28" s="177" t="str">
        <f>Attribute!C28</f>
        <v>---</v>
      </c>
      <c r="D28" s="127" t="str">
        <f>VLOOKUP(C28,'Talente &amp; Stuff'!DO:EP,2,FALSE)</f>
        <v>--/--/--</v>
      </c>
      <c r="E28" s="125" t="str">
        <f>VLOOKUP(C28,'Talente &amp; Stuff'!DO:EP,3,FALSE)</f>
        <v>-</v>
      </c>
      <c r="F28" s="114">
        <f>VLOOKUP(C28,'Talente &amp; Stuff'!DO:EP,4,FALSE)</f>
        <v>0</v>
      </c>
      <c r="G28" s="113">
        <f>VLOOKUP(C28,'Talente &amp; Stuff'!DO:EP,5,FALSE)</f>
        <v>0</v>
      </c>
      <c r="H28" s="113">
        <f>VLOOKUP(C28,'Talente &amp; Stuff'!DO:EP,6,FALSE)</f>
        <v>0</v>
      </c>
      <c r="I28" s="113">
        <f>VLOOKUP(C28,'Talente &amp; Stuff'!DO:EP,7,FALSE)</f>
        <v>0</v>
      </c>
      <c r="J28" s="113">
        <f>VLOOKUP(C28,'Talente &amp; Stuff'!DO:EP,8,FALSE)</f>
        <v>0</v>
      </c>
      <c r="K28" s="113">
        <f>VLOOKUP(C28,'Talente &amp; Stuff'!DO:EP,9,FALSE)</f>
        <v>0</v>
      </c>
      <c r="L28" s="113">
        <f>VLOOKUP(C28,'Talente &amp; Stuff'!DO:EP,10,FALSE)</f>
        <v>0</v>
      </c>
      <c r="M28" s="119">
        <f>VLOOKUP(C28,'Talente &amp; Stuff'!DO:EP,11,FALSE)</f>
        <v>0</v>
      </c>
      <c r="N28" s="89">
        <f>VLOOKUP(C28,'Talente &amp; Stuff'!DO:EP,12,FALSE)</f>
        <v>0</v>
      </c>
      <c r="O28" s="47">
        <f>VLOOKUP(C28,'Talente &amp; Stuff'!DO:EP,13,FALSE)</f>
        <v>0</v>
      </c>
      <c r="P28" s="119">
        <f>VLOOKUP(C28,'Talente &amp; Stuff'!DO:EP,14,FALSE)</f>
        <v>0</v>
      </c>
      <c r="Q28" s="114">
        <f>VLOOKUP(C28,'Talente &amp; Stuff'!DO:EP,15,FALSE)</f>
        <v>0</v>
      </c>
      <c r="R28" s="113">
        <f>VLOOKUP(C28,'Talente &amp; Stuff'!DO:EP,16,FALSE)</f>
        <v>0</v>
      </c>
      <c r="S28" s="119">
        <f>VLOOKUP(C28,'Talente &amp; Stuff'!DO:EP,17,FALSE)</f>
        <v>0</v>
      </c>
      <c r="T28" s="160">
        <f>VLOOKUP(C28,'Talente &amp; Stuff'!DO:EP,18,FALSE)</f>
        <v>0</v>
      </c>
      <c r="U28" s="89">
        <f>VLOOKUP(C28,'Talente &amp; Stuff'!DO:EP,19,FALSE)</f>
        <v>0</v>
      </c>
      <c r="V28" s="47">
        <f>VLOOKUP(C28,'Talente &amp; Stuff'!DO:EP,20,FALSE)</f>
        <v>0</v>
      </c>
      <c r="W28" s="127">
        <f>VLOOKUP(C28,'Talente &amp; Stuff'!DO:EP,21,FALSE)</f>
        <v>0</v>
      </c>
      <c r="X28" s="125">
        <f>VLOOKUP(C28,'Talente &amp; Stuff'!DO:EP,22,FALSE)</f>
        <v>0</v>
      </c>
      <c r="Y28" s="165">
        <f t="shared" si="2"/>
        <v>0</v>
      </c>
      <c r="Z28" s="44">
        <f t="shared" si="3"/>
        <v>0</v>
      </c>
      <c r="AA28" s="125">
        <f>VLOOKUP(C28,'Talente &amp; Stuff'!DO:EP,25,FALSE)</f>
        <v>0</v>
      </c>
      <c r="AB28" s="160">
        <f>VLOOKUP(C28,'Talente &amp; Stuff'!DO:EP,26,FALSE)</f>
        <v>0</v>
      </c>
      <c r="AC28" s="127">
        <f>VLOOKUP(C28,'Talente &amp; Stuff'!DO:EP,27,FALSE)</f>
        <v>0</v>
      </c>
      <c r="AD28" s="125">
        <f>VLOOKUP(C28,'Talente &amp; Stuff'!DO:EP,28,FALSE)</f>
        <v>0</v>
      </c>
      <c r="AE28" s="28"/>
    </row>
    <row r="29" spans="2:31" ht="15" hidden="1" customHeight="1" outlineLevel="2">
      <c r="B29" s="148">
        <v>4</v>
      </c>
      <c r="C29" s="177" t="str">
        <f>Attribute!C29</f>
        <v>---</v>
      </c>
      <c r="D29" s="127" t="str">
        <f>VLOOKUP(C29,'Talente &amp; Stuff'!DO:EP,2,FALSE)</f>
        <v>--/--/--</v>
      </c>
      <c r="E29" s="125" t="str">
        <f>VLOOKUP(C29,'Talente &amp; Stuff'!DO:EP,3,FALSE)</f>
        <v>-</v>
      </c>
      <c r="F29" s="114">
        <f>VLOOKUP(C29,'Talente &amp; Stuff'!DO:EP,4,FALSE)</f>
        <v>0</v>
      </c>
      <c r="G29" s="113">
        <f>VLOOKUP(C29,'Talente &amp; Stuff'!DO:EP,5,FALSE)</f>
        <v>0</v>
      </c>
      <c r="H29" s="113">
        <f>VLOOKUP(C29,'Talente &amp; Stuff'!DO:EP,6,FALSE)</f>
        <v>0</v>
      </c>
      <c r="I29" s="113">
        <f>VLOOKUP(C29,'Talente &amp; Stuff'!DO:EP,7,FALSE)</f>
        <v>0</v>
      </c>
      <c r="J29" s="113">
        <f>VLOOKUP(C29,'Talente &amp; Stuff'!DO:EP,8,FALSE)</f>
        <v>0</v>
      </c>
      <c r="K29" s="113">
        <f>VLOOKUP(C29,'Talente &amp; Stuff'!DO:EP,9,FALSE)</f>
        <v>0</v>
      </c>
      <c r="L29" s="113">
        <f>VLOOKUP(C29,'Talente &amp; Stuff'!DO:EP,10,FALSE)</f>
        <v>0</v>
      </c>
      <c r="M29" s="119">
        <f>VLOOKUP(C29,'Talente &amp; Stuff'!DO:EP,11,FALSE)</f>
        <v>0</v>
      </c>
      <c r="N29" s="89">
        <f>VLOOKUP(C29,'Talente &amp; Stuff'!DO:EP,12,FALSE)</f>
        <v>0</v>
      </c>
      <c r="O29" s="47">
        <f>VLOOKUP(C29,'Talente &amp; Stuff'!DO:EP,13,FALSE)</f>
        <v>0</v>
      </c>
      <c r="P29" s="119">
        <f>VLOOKUP(C29,'Talente &amp; Stuff'!DO:EP,14,FALSE)</f>
        <v>0</v>
      </c>
      <c r="Q29" s="114">
        <f>VLOOKUP(C29,'Talente &amp; Stuff'!DO:EP,15,FALSE)</f>
        <v>0</v>
      </c>
      <c r="R29" s="113">
        <f>VLOOKUP(C29,'Talente &amp; Stuff'!DO:EP,16,FALSE)</f>
        <v>0</v>
      </c>
      <c r="S29" s="119">
        <f>VLOOKUP(C29,'Talente &amp; Stuff'!DO:EP,17,FALSE)</f>
        <v>0</v>
      </c>
      <c r="T29" s="160">
        <f>VLOOKUP(C29,'Talente &amp; Stuff'!DO:EP,18,FALSE)</f>
        <v>0</v>
      </c>
      <c r="U29" s="89">
        <f>VLOOKUP(C29,'Talente &amp; Stuff'!DO:EP,19,FALSE)</f>
        <v>0</v>
      </c>
      <c r="V29" s="47">
        <f>VLOOKUP(C29,'Talente &amp; Stuff'!DO:EP,20,FALSE)</f>
        <v>0</v>
      </c>
      <c r="W29" s="127">
        <f>VLOOKUP(C29,'Talente &amp; Stuff'!DO:EP,21,FALSE)</f>
        <v>0</v>
      </c>
      <c r="X29" s="125">
        <f>VLOOKUP(C29,'Talente &amp; Stuff'!DO:EP,22,FALSE)</f>
        <v>0</v>
      </c>
      <c r="Y29" s="165">
        <f t="shared" si="2"/>
        <v>0</v>
      </c>
      <c r="Z29" s="44">
        <f t="shared" si="3"/>
        <v>0</v>
      </c>
      <c r="AA29" s="125">
        <f>VLOOKUP(C29,'Talente &amp; Stuff'!DO:EP,25,FALSE)</f>
        <v>0</v>
      </c>
      <c r="AB29" s="160">
        <f>VLOOKUP(C29,'Talente &amp; Stuff'!DO:EP,26,FALSE)</f>
        <v>0</v>
      </c>
      <c r="AC29" s="127">
        <f>VLOOKUP(C29,'Talente &amp; Stuff'!DO:EP,27,FALSE)</f>
        <v>0</v>
      </c>
      <c r="AD29" s="125">
        <f>VLOOKUP(C29,'Talente &amp; Stuff'!DO:EP,28,FALSE)</f>
        <v>0</v>
      </c>
      <c r="AE29" s="28"/>
    </row>
    <row r="30" spans="2:31" ht="15" hidden="1" customHeight="1" outlineLevel="2">
      <c r="B30" s="148">
        <v>5</v>
      </c>
      <c r="C30" s="177" t="str">
        <f>Attribute!C30</f>
        <v>---</v>
      </c>
      <c r="D30" s="127" t="str">
        <f>VLOOKUP(C30,'Talente &amp; Stuff'!DO:EP,2,FALSE)</f>
        <v>--/--/--</v>
      </c>
      <c r="E30" s="125" t="str">
        <f>VLOOKUP(C30,'Talente &amp; Stuff'!DO:EP,3,FALSE)</f>
        <v>-</v>
      </c>
      <c r="F30" s="114">
        <f>VLOOKUP(C30,'Talente &amp; Stuff'!DO:EP,4,FALSE)</f>
        <v>0</v>
      </c>
      <c r="G30" s="113">
        <f>VLOOKUP(C30,'Talente &amp; Stuff'!DO:EP,5,FALSE)</f>
        <v>0</v>
      </c>
      <c r="H30" s="113">
        <f>VLOOKUP(C30,'Talente &amp; Stuff'!DO:EP,6,FALSE)</f>
        <v>0</v>
      </c>
      <c r="I30" s="113">
        <f>VLOOKUP(C30,'Talente &amp; Stuff'!DO:EP,7,FALSE)</f>
        <v>0</v>
      </c>
      <c r="J30" s="113">
        <f>VLOOKUP(C30,'Talente &amp; Stuff'!DO:EP,8,FALSE)</f>
        <v>0</v>
      </c>
      <c r="K30" s="113">
        <f>VLOOKUP(C30,'Talente &amp; Stuff'!DO:EP,9,FALSE)</f>
        <v>0</v>
      </c>
      <c r="L30" s="113">
        <f>VLOOKUP(C30,'Talente &amp; Stuff'!DO:EP,10,FALSE)</f>
        <v>0</v>
      </c>
      <c r="M30" s="119">
        <f>VLOOKUP(C30,'Talente &amp; Stuff'!DO:EP,11,FALSE)</f>
        <v>0</v>
      </c>
      <c r="N30" s="89">
        <f>VLOOKUP(C30,'Talente &amp; Stuff'!DO:EP,12,FALSE)</f>
        <v>0</v>
      </c>
      <c r="O30" s="47">
        <f>VLOOKUP(C30,'Talente &amp; Stuff'!DO:EP,13,FALSE)</f>
        <v>0</v>
      </c>
      <c r="P30" s="119">
        <f>VLOOKUP(C30,'Talente &amp; Stuff'!DO:EP,14,FALSE)</f>
        <v>0</v>
      </c>
      <c r="Q30" s="114">
        <f>VLOOKUP(C30,'Talente &amp; Stuff'!DO:EP,15,FALSE)</f>
        <v>0</v>
      </c>
      <c r="R30" s="113">
        <f>VLOOKUP(C30,'Talente &amp; Stuff'!DO:EP,16,FALSE)</f>
        <v>0</v>
      </c>
      <c r="S30" s="119">
        <f>VLOOKUP(C30,'Talente &amp; Stuff'!DO:EP,17,FALSE)</f>
        <v>0</v>
      </c>
      <c r="T30" s="160">
        <f>VLOOKUP(C30,'Talente &amp; Stuff'!DO:EP,18,FALSE)</f>
        <v>0</v>
      </c>
      <c r="U30" s="89">
        <f>VLOOKUP(C30,'Talente &amp; Stuff'!DO:EP,19,FALSE)</f>
        <v>0</v>
      </c>
      <c r="V30" s="47">
        <f>VLOOKUP(C30,'Talente &amp; Stuff'!DO:EP,20,FALSE)</f>
        <v>0</v>
      </c>
      <c r="W30" s="127">
        <f>VLOOKUP(C30,'Talente &amp; Stuff'!DO:EP,21,FALSE)</f>
        <v>0</v>
      </c>
      <c r="X30" s="125">
        <f>VLOOKUP(C30,'Talente &amp; Stuff'!DO:EP,22,FALSE)</f>
        <v>0</v>
      </c>
      <c r="Y30" s="165">
        <f t="shared" si="2"/>
        <v>0</v>
      </c>
      <c r="Z30" s="44">
        <f t="shared" si="3"/>
        <v>0</v>
      </c>
      <c r="AA30" s="125">
        <f>VLOOKUP(C30,'Talente &amp; Stuff'!DO:EP,25,FALSE)</f>
        <v>0</v>
      </c>
      <c r="AB30" s="160">
        <f>VLOOKUP(C30,'Talente &amp; Stuff'!DO:EP,26,FALSE)</f>
        <v>0</v>
      </c>
      <c r="AC30" s="127">
        <f>VLOOKUP(C30,'Talente &amp; Stuff'!DO:EP,27,FALSE)</f>
        <v>0</v>
      </c>
      <c r="AD30" s="125">
        <f>VLOOKUP(C30,'Talente &amp; Stuff'!DO:EP,28,FALSE)</f>
        <v>0</v>
      </c>
      <c r="AE30" s="28"/>
    </row>
    <row r="31" spans="2:31" ht="15" hidden="1" customHeight="1" outlineLevel="2">
      <c r="B31" s="148">
        <v>6</v>
      </c>
      <c r="C31" s="177" t="str">
        <f>Attribute!C31</f>
        <v>---</v>
      </c>
      <c r="D31" s="127" t="str">
        <f>VLOOKUP(C31,'Talente &amp; Stuff'!DO:EP,2,FALSE)</f>
        <v>--/--/--</v>
      </c>
      <c r="E31" s="125" t="str">
        <f>VLOOKUP(C31,'Talente &amp; Stuff'!DO:EP,3,FALSE)</f>
        <v>-</v>
      </c>
      <c r="F31" s="114">
        <f>VLOOKUP(C31,'Talente &amp; Stuff'!DO:EP,4,FALSE)</f>
        <v>0</v>
      </c>
      <c r="G31" s="113">
        <f>VLOOKUP(C31,'Talente &amp; Stuff'!DO:EP,5,FALSE)</f>
        <v>0</v>
      </c>
      <c r="H31" s="113">
        <f>VLOOKUP(C31,'Talente &amp; Stuff'!DO:EP,6,FALSE)</f>
        <v>0</v>
      </c>
      <c r="I31" s="113">
        <f>VLOOKUP(C31,'Talente &amp; Stuff'!DO:EP,7,FALSE)</f>
        <v>0</v>
      </c>
      <c r="J31" s="113">
        <f>VLOOKUP(C31,'Talente &amp; Stuff'!DO:EP,8,FALSE)</f>
        <v>0</v>
      </c>
      <c r="K31" s="113">
        <f>VLOOKUP(C31,'Talente &amp; Stuff'!DO:EP,9,FALSE)</f>
        <v>0</v>
      </c>
      <c r="L31" s="113">
        <f>VLOOKUP(C31,'Talente &amp; Stuff'!DO:EP,10,FALSE)</f>
        <v>0</v>
      </c>
      <c r="M31" s="119">
        <f>VLOOKUP(C31,'Talente &amp; Stuff'!DO:EP,11,FALSE)</f>
        <v>0</v>
      </c>
      <c r="N31" s="89">
        <f>VLOOKUP(C31,'Talente &amp; Stuff'!DO:EP,12,FALSE)</f>
        <v>0</v>
      </c>
      <c r="O31" s="47">
        <f>VLOOKUP(C31,'Talente &amp; Stuff'!DO:EP,13,FALSE)</f>
        <v>0</v>
      </c>
      <c r="P31" s="119">
        <f>VLOOKUP(C31,'Talente &amp; Stuff'!DO:EP,14,FALSE)</f>
        <v>0</v>
      </c>
      <c r="Q31" s="114">
        <f>VLOOKUP(C31,'Talente &amp; Stuff'!DO:EP,15,FALSE)</f>
        <v>0</v>
      </c>
      <c r="R31" s="113">
        <f>VLOOKUP(C31,'Talente &amp; Stuff'!DO:EP,16,FALSE)</f>
        <v>0</v>
      </c>
      <c r="S31" s="119">
        <f>VLOOKUP(C31,'Talente &amp; Stuff'!DO:EP,17,FALSE)</f>
        <v>0</v>
      </c>
      <c r="T31" s="160">
        <f>VLOOKUP(C31,'Talente &amp; Stuff'!DO:EP,18,FALSE)</f>
        <v>0</v>
      </c>
      <c r="U31" s="89">
        <f>VLOOKUP(C31,'Talente &amp; Stuff'!DO:EP,19,FALSE)</f>
        <v>0</v>
      </c>
      <c r="V31" s="47">
        <f>VLOOKUP(C31,'Talente &amp; Stuff'!DO:EP,20,FALSE)</f>
        <v>0</v>
      </c>
      <c r="W31" s="127">
        <f>VLOOKUP(C31,'Talente &amp; Stuff'!DO:EP,21,FALSE)</f>
        <v>0</v>
      </c>
      <c r="X31" s="125">
        <f>VLOOKUP(C31,'Talente &amp; Stuff'!DO:EP,22,FALSE)</f>
        <v>0</v>
      </c>
      <c r="Y31" s="165">
        <f t="shared" si="2"/>
        <v>0</v>
      </c>
      <c r="Z31" s="44">
        <f t="shared" si="3"/>
        <v>0</v>
      </c>
      <c r="AA31" s="125">
        <f>VLOOKUP(C31,'Talente &amp; Stuff'!DO:EP,25,FALSE)</f>
        <v>0</v>
      </c>
      <c r="AB31" s="160">
        <f>VLOOKUP(C31,'Talente &amp; Stuff'!DO:EP,26,FALSE)</f>
        <v>0</v>
      </c>
      <c r="AC31" s="127">
        <f>VLOOKUP(C31,'Talente &amp; Stuff'!DO:EP,27,FALSE)</f>
        <v>0</v>
      </c>
      <c r="AD31" s="125">
        <f>VLOOKUP(C31,'Talente &amp; Stuff'!DO:EP,28,FALSE)</f>
        <v>0</v>
      </c>
      <c r="AE31" s="28"/>
    </row>
    <row r="32" spans="2:31" ht="15" hidden="1" customHeight="1" outlineLevel="2">
      <c r="B32" s="148">
        <v>7</v>
      </c>
      <c r="C32" s="177" t="str">
        <f>Attribute!C32</f>
        <v>---</v>
      </c>
      <c r="D32" s="127" t="str">
        <f>VLOOKUP(C32,'Talente &amp; Stuff'!DO:EP,2,FALSE)</f>
        <v>--/--/--</v>
      </c>
      <c r="E32" s="125" t="str">
        <f>VLOOKUP(C32,'Talente &amp; Stuff'!DO:EP,3,FALSE)</f>
        <v>-</v>
      </c>
      <c r="F32" s="114">
        <f>VLOOKUP(C32,'Talente &amp; Stuff'!DO:EP,4,FALSE)</f>
        <v>0</v>
      </c>
      <c r="G32" s="113">
        <f>VLOOKUP(C32,'Talente &amp; Stuff'!DO:EP,5,FALSE)</f>
        <v>0</v>
      </c>
      <c r="H32" s="113">
        <f>VLOOKUP(C32,'Talente &amp; Stuff'!DO:EP,6,FALSE)</f>
        <v>0</v>
      </c>
      <c r="I32" s="113">
        <f>VLOOKUP(C32,'Talente &amp; Stuff'!DO:EP,7,FALSE)</f>
        <v>0</v>
      </c>
      <c r="J32" s="113">
        <f>VLOOKUP(C32,'Talente &amp; Stuff'!DO:EP,8,FALSE)</f>
        <v>0</v>
      </c>
      <c r="K32" s="113">
        <f>VLOOKUP(C32,'Talente &amp; Stuff'!DO:EP,9,FALSE)</f>
        <v>0</v>
      </c>
      <c r="L32" s="113">
        <f>VLOOKUP(C32,'Talente &amp; Stuff'!DO:EP,10,FALSE)</f>
        <v>0</v>
      </c>
      <c r="M32" s="119">
        <f>VLOOKUP(C32,'Talente &amp; Stuff'!DO:EP,11,FALSE)</f>
        <v>0</v>
      </c>
      <c r="N32" s="89">
        <f>VLOOKUP(C32,'Talente &amp; Stuff'!DO:EP,12,FALSE)</f>
        <v>0</v>
      </c>
      <c r="O32" s="47">
        <f>VLOOKUP(C32,'Talente &amp; Stuff'!DO:EP,13,FALSE)</f>
        <v>0</v>
      </c>
      <c r="P32" s="119">
        <f>VLOOKUP(C32,'Talente &amp; Stuff'!DO:EP,14,FALSE)</f>
        <v>0</v>
      </c>
      <c r="Q32" s="114">
        <f>VLOOKUP(C32,'Talente &amp; Stuff'!DO:EP,15,FALSE)</f>
        <v>0</v>
      </c>
      <c r="R32" s="113">
        <f>VLOOKUP(C32,'Talente &amp; Stuff'!DO:EP,16,FALSE)</f>
        <v>0</v>
      </c>
      <c r="S32" s="119">
        <f>VLOOKUP(C32,'Talente &amp; Stuff'!DO:EP,17,FALSE)</f>
        <v>0</v>
      </c>
      <c r="T32" s="160">
        <f>VLOOKUP(C32,'Talente &amp; Stuff'!DO:EP,18,FALSE)</f>
        <v>0</v>
      </c>
      <c r="U32" s="89">
        <f>VLOOKUP(C32,'Talente &amp; Stuff'!DO:EP,19,FALSE)</f>
        <v>0</v>
      </c>
      <c r="V32" s="47">
        <f>VLOOKUP(C32,'Talente &amp; Stuff'!DO:EP,20,FALSE)</f>
        <v>0</v>
      </c>
      <c r="W32" s="127">
        <f>VLOOKUP(C32,'Talente &amp; Stuff'!DO:EP,21,FALSE)</f>
        <v>0</v>
      </c>
      <c r="X32" s="125">
        <f>VLOOKUP(C32,'Talente &amp; Stuff'!DO:EP,22,FALSE)</f>
        <v>0</v>
      </c>
      <c r="Y32" s="165">
        <f t="shared" si="2"/>
        <v>0</v>
      </c>
      <c r="Z32" s="44">
        <f t="shared" si="3"/>
        <v>0</v>
      </c>
      <c r="AA32" s="125">
        <f>VLOOKUP(C32,'Talente &amp; Stuff'!DO:EP,25,FALSE)</f>
        <v>0</v>
      </c>
      <c r="AB32" s="160">
        <f>VLOOKUP(C32,'Talente &amp; Stuff'!DO:EP,26,FALSE)</f>
        <v>0</v>
      </c>
      <c r="AC32" s="127">
        <f>VLOOKUP(C32,'Talente &amp; Stuff'!DO:EP,27,FALSE)</f>
        <v>0</v>
      </c>
      <c r="AD32" s="125">
        <f>VLOOKUP(C32,'Talente &amp; Stuff'!DO:EP,28,FALSE)</f>
        <v>0</v>
      </c>
      <c r="AE32" s="28"/>
    </row>
    <row r="33" spans="2:31" ht="15" hidden="1" customHeight="1" outlineLevel="2">
      <c r="B33" s="148">
        <v>8</v>
      </c>
      <c r="C33" s="177" t="str">
        <f>Attribute!C33</f>
        <v>---</v>
      </c>
      <c r="D33" s="127" t="str">
        <f>VLOOKUP(C33,'Talente &amp; Stuff'!DO:EP,2,FALSE)</f>
        <v>--/--/--</v>
      </c>
      <c r="E33" s="125" t="str">
        <f>VLOOKUP(C33,'Talente &amp; Stuff'!DO:EP,3,FALSE)</f>
        <v>-</v>
      </c>
      <c r="F33" s="114">
        <f>VLOOKUP(C33,'Talente &amp; Stuff'!DO:EP,4,FALSE)</f>
        <v>0</v>
      </c>
      <c r="G33" s="113">
        <f>VLOOKUP(C33,'Talente &amp; Stuff'!DO:EP,5,FALSE)</f>
        <v>0</v>
      </c>
      <c r="H33" s="113">
        <f>VLOOKUP(C33,'Talente &amp; Stuff'!DO:EP,6,FALSE)</f>
        <v>0</v>
      </c>
      <c r="I33" s="113">
        <f>VLOOKUP(C33,'Talente &amp; Stuff'!DO:EP,7,FALSE)</f>
        <v>0</v>
      </c>
      <c r="J33" s="113">
        <f>VLOOKUP(C33,'Talente &amp; Stuff'!DO:EP,8,FALSE)</f>
        <v>0</v>
      </c>
      <c r="K33" s="113">
        <f>VLOOKUP(C33,'Talente &amp; Stuff'!DO:EP,9,FALSE)</f>
        <v>0</v>
      </c>
      <c r="L33" s="113">
        <f>VLOOKUP(C33,'Talente &amp; Stuff'!DO:EP,10,FALSE)</f>
        <v>0</v>
      </c>
      <c r="M33" s="119">
        <f>VLOOKUP(C33,'Talente &amp; Stuff'!DO:EP,11,FALSE)</f>
        <v>0</v>
      </c>
      <c r="N33" s="89">
        <f>VLOOKUP(C33,'Talente &amp; Stuff'!DO:EP,12,FALSE)</f>
        <v>0</v>
      </c>
      <c r="O33" s="47">
        <f>VLOOKUP(C33,'Talente &amp; Stuff'!DO:EP,13,FALSE)</f>
        <v>0</v>
      </c>
      <c r="P33" s="119">
        <f>VLOOKUP(C33,'Talente &amp; Stuff'!DO:EP,14,FALSE)</f>
        <v>0</v>
      </c>
      <c r="Q33" s="114">
        <f>VLOOKUP(C33,'Talente &amp; Stuff'!DO:EP,15,FALSE)</f>
        <v>0</v>
      </c>
      <c r="R33" s="113">
        <f>VLOOKUP(C33,'Talente &amp; Stuff'!DO:EP,16,FALSE)</f>
        <v>0</v>
      </c>
      <c r="S33" s="119">
        <f>VLOOKUP(C33,'Talente &amp; Stuff'!DO:EP,17,FALSE)</f>
        <v>0</v>
      </c>
      <c r="T33" s="160">
        <f>VLOOKUP(C33,'Talente &amp; Stuff'!DO:EP,18,FALSE)</f>
        <v>0</v>
      </c>
      <c r="U33" s="89">
        <f>VLOOKUP(C33,'Talente &amp; Stuff'!DO:EP,19,FALSE)</f>
        <v>0</v>
      </c>
      <c r="V33" s="47">
        <f>VLOOKUP(C33,'Talente &amp; Stuff'!DO:EP,20,FALSE)</f>
        <v>0</v>
      </c>
      <c r="W33" s="127">
        <f>VLOOKUP(C33,'Talente &amp; Stuff'!DO:EP,21,FALSE)</f>
        <v>0</v>
      </c>
      <c r="X33" s="125">
        <f>VLOOKUP(C33,'Talente &amp; Stuff'!DO:EP,22,FALSE)</f>
        <v>0</v>
      </c>
      <c r="Y33" s="165">
        <f t="shared" si="2"/>
        <v>0</v>
      </c>
      <c r="Z33" s="44">
        <f t="shared" si="3"/>
        <v>0</v>
      </c>
      <c r="AA33" s="125">
        <f>VLOOKUP(C33,'Talente &amp; Stuff'!DO:EP,25,FALSE)</f>
        <v>0</v>
      </c>
      <c r="AB33" s="160">
        <f>VLOOKUP(C33,'Talente &amp; Stuff'!DO:EP,26,FALSE)</f>
        <v>0</v>
      </c>
      <c r="AC33" s="127">
        <f>VLOOKUP(C33,'Talente &amp; Stuff'!DO:EP,27,FALSE)</f>
        <v>0</v>
      </c>
      <c r="AD33" s="125">
        <f>VLOOKUP(C33,'Talente &amp; Stuff'!DO:EP,28,FALSE)</f>
        <v>0</v>
      </c>
      <c r="AE33" s="28"/>
    </row>
    <row r="34" spans="2:31" ht="15" hidden="1" customHeight="1" outlineLevel="2">
      <c r="B34" s="148">
        <v>9</v>
      </c>
      <c r="C34" s="178" t="str">
        <f>Attribute!C34</f>
        <v>---</v>
      </c>
      <c r="D34" s="128" t="str">
        <f>VLOOKUP(C34,'Talente &amp; Stuff'!DO:EP,2,FALSE)</f>
        <v>--/--/--</v>
      </c>
      <c r="E34" s="159" t="str">
        <f>VLOOKUP(C34,'Talente &amp; Stuff'!DO:EP,3,FALSE)</f>
        <v>-</v>
      </c>
      <c r="F34" s="115">
        <f>VLOOKUP(C34,'Talente &amp; Stuff'!DO:EP,4,FALSE)</f>
        <v>0</v>
      </c>
      <c r="G34" s="122">
        <f>VLOOKUP(C34,'Talente &amp; Stuff'!DO:EP,5,FALSE)</f>
        <v>0</v>
      </c>
      <c r="H34" s="122">
        <f>VLOOKUP(C34,'Talente &amp; Stuff'!DO:EP,6,FALSE)</f>
        <v>0</v>
      </c>
      <c r="I34" s="122">
        <f>VLOOKUP(C34,'Talente &amp; Stuff'!DO:EP,7,FALSE)</f>
        <v>0</v>
      </c>
      <c r="J34" s="122">
        <f>VLOOKUP(C34,'Talente &amp; Stuff'!DO:EP,8,FALSE)</f>
        <v>0</v>
      </c>
      <c r="K34" s="122">
        <f>VLOOKUP(C34,'Talente &amp; Stuff'!DO:EP,9,FALSE)</f>
        <v>0</v>
      </c>
      <c r="L34" s="122">
        <f>VLOOKUP(C34,'Talente &amp; Stuff'!DO:EP,10,FALSE)</f>
        <v>0</v>
      </c>
      <c r="M34" s="123">
        <f>VLOOKUP(C34,'Talente &amp; Stuff'!DO:EP,11,FALSE)</f>
        <v>0</v>
      </c>
      <c r="N34" s="90">
        <f>VLOOKUP(C34,'Talente &amp; Stuff'!DO:EP,12,FALSE)</f>
        <v>0</v>
      </c>
      <c r="O34" s="88">
        <f>VLOOKUP(C34,'Talente &amp; Stuff'!DO:EP,13,FALSE)</f>
        <v>0</v>
      </c>
      <c r="P34" s="123">
        <f>VLOOKUP(C34,'Talente &amp; Stuff'!DO:EP,14,FALSE)</f>
        <v>0</v>
      </c>
      <c r="Q34" s="115">
        <f>VLOOKUP(C34,'Talente &amp; Stuff'!DO:EP,15,FALSE)</f>
        <v>0</v>
      </c>
      <c r="R34" s="122">
        <f>VLOOKUP(C34,'Talente &amp; Stuff'!DO:EP,16,FALSE)</f>
        <v>0</v>
      </c>
      <c r="S34" s="123">
        <f>VLOOKUP(C34,'Talente &amp; Stuff'!DO:EP,17,FALSE)</f>
        <v>0</v>
      </c>
      <c r="T34" s="161">
        <f>VLOOKUP(C34,'Talente &amp; Stuff'!DO:EP,18,FALSE)</f>
        <v>0</v>
      </c>
      <c r="U34" s="90">
        <f>VLOOKUP(C34,'Talente &amp; Stuff'!DO:EP,19,FALSE)</f>
        <v>0</v>
      </c>
      <c r="V34" s="88">
        <f>VLOOKUP(C34,'Talente &amp; Stuff'!DO:EP,20,FALSE)</f>
        <v>0</v>
      </c>
      <c r="W34" s="128">
        <f>VLOOKUP(C34,'Talente &amp; Stuff'!DO:EP,21,FALSE)</f>
        <v>0</v>
      </c>
      <c r="X34" s="159">
        <f>VLOOKUP(C34,'Talente &amp; Stuff'!DO:EP,22,FALSE)</f>
        <v>0</v>
      </c>
      <c r="Y34" s="165">
        <f t="shared" si="2"/>
        <v>0</v>
      </c>
      <c r="Z34" s="44">
        <f t="shared" si="3"/>
        <v>0</v>
      </c>
      <c r="AA34" s="159">
        <f>VLOOKUP(C34,'Talente &amp; Stuff'!DO:EP,25,FALSE)</f>
        <v>0</v>
      </c>
      <c r="AB34" s="161">
        <f>VLOOKUP(C34,'Talente &amp; Stuff'!DO:EP,26,FALSE)</f>
        <v>0</v>
      </c>
      <c r="AC34" s="128">
        <f>VLOOKUP(C34,'Talente &amp; Stuff'!DO:EP,27,FALSE)</f>
        <v>0</v>
      </c>
      <c r="AD34" s="159">
        <f>VLOOKUP(C34,'Talente &amp; Stuff'!DO:EP,28,FALSE)</f>
        <v>0</v>
      </c>
      <c r="AE34" s="28"/>
    </row>
    <row r="35" spans="2:31" ht="15" hidden="1" customHeight="1" outlineLevel="1" collapsed="1">
      <c r="B35" s="134" t="s">
        <v>69</v>
      </c>
      <c r="C35" s="83"/>
      <c r="D35" s="84"/>
      <c r="E35" s="84"/>
      <c r="F35" s="30"/>
      <c r="G35" s="30"/>
      <c r="H35" s="30"/>
      <c r="I35" s="30"/>
      <c r="J35" s="30"/>
      <c r="K35" s="30"/>
      <c r="L35" s="30"/>
      <c r="M35" s="30"/>
      <c r="N35" s="31"/>
      <c r="O35" s="31"/>
      <c r="P35" s="30"/>
      <c r="Q35" s="30"/>
      <c r="R35" s="30"/>
      <c r="S35" s="30"/>
      <c r="T35" s="30"/>
      <c r="U35" s="31"/>
      <c r="V35" s="31"/>
      <c r="W35" s="31"/>
      <c r="X35" s="31"/>
      <c r="Y35" s="65"/>
    </row>
    <row r="36" spans="2:31" ht="15" hidden="1" customHeight="1" outlineLevel="2">
      <c r="B36" s="148">
        <v>1</v>
      </c>
      <c r="C36" s="176" t="str">
        <f>Attribute!C36</f>
        <v>---</v>
      </c>
      <c r="D36" s="126" t="str">
        <f>VLOOKUP(C36,'Talente &amp; Stuff'!DO:EP,2,FALSE)</f>
        <v>--/--/--</v>
      </c>
      <c r="E36" s="158" t="str">
        <f>VLOOKUP(C36,'Talente &amp; Stuff'!DO:EP,3,FALSE)</f>
        <v>-</v>
      </c>
      <c r="F36" s="191">
        <f>VLOOKUP(C36,'Talente &amp; Stuff'!DO:EP,4,FALSE)</f>
        <v>0</v>
      </c>
      <c r="G36" s="118">
        <f>VLOOKUP(C36,'Talente &amp; Stuff'!DO:EP,5,FALSE)</f>
        <v>0</v>
      </c>
      <c r="H36" s="118">
        <f>VLOOKUP(C36,'Talente &amp; Stuff'!DO:EP,6,FALSE)</f>
        <v>0</v>
      </c>
      <c r="I36" s="118">
        <f>VLOOKUP(C36,'Talente &amp; Stuff'!DO:EP,7,FALSE)</f>
        <v>0</v>
      </c>
      <c r="J36" s="118">
        <f>VLOOKUP(C36,'Talente &amp; Stuff'!DO:EP,8,FALSE)</f>
        <v>0</v>
      </c>
      <c r="K36" s="118">
        <f>VLOOKUP(C36,'Talente &amp; Stuff'!DO:EP,9,FALSE)</f>
        <v>0</v>
      </c>
      <c r="L36" s="118">
        <f>VLOOKUP(C36,'Talente &amp; Stuff'!DO:EP,10,FALSE)</f>
        <v>0</v>
      </c>
      <c r="M36" s="92">
        <f>VLOOKUP(C36,'Talente &amp; Stuff'!DO:EP,11,FALSE)</f>
        <v>0</v>
      </c>
      <c r="N36" s="193">
        <f>VLOOKUP(C36,'Talente &amp; Stuff'!DO:EP,12,FALSE)</f>
        <v>0</v>
      </c>
      <c r="O36" s="116">
        <f>VLOOKUP(C36,'Talente &amp; Stuff'!DO:EP,13,FALSE)</f>
        <v>0</v>
      </c>
      <c r="P36" s="92">
        <f>VLOOKUP(C36,'Talente &amp; Stuff'!DO:EP,14,FALSE)</f>
        <v>0</v>
      </c>
      <c r="Q36" s="191">
        <f>VLOOKUP(C36,'Talente &amp; Stuff'!DO:EP,15,FALSE)</f>
        <v>0</v>
      </c>
      <c r="R36" s="118">
        <f>VLOOKUP(C36,'Talente &amp; Stuff'!DO:EP,16,FALSE)</f>
        <v>0</v>
      </c>
      <c r="S36" s="92">
        <f>VLOOKUP(C36,'Talente &amp; Stuff'!DO:EP,17,FALSE)</f>
        <v>0</v>
      </c>
      <c r="T36" s="91">
        <f>VLOOKUP(C36,'Talente &amp; Stuff'!DO:EP,18,FALSE)</f>
        <v>0</v>
      </c>
      <c r="U36" s="193">
        <f>VLOOKUP(C36,'Talente &amp; Stuff'!DO:EP,19,FALSE)</f>
        <v>0</v>
      </c>
      <c r="V36" s="116">
        <f>VLOOKUP(C36,'Talente &amp; Stuff'!DO:EP,20,FALSE)</f>
        <v>0</v>
      </c>
      <c r="W36" s="126">
        <f>VLOOKUP(C36,'Talente &amp; Stuff'!DO:EP,21,FALSE)</f>
        <v>0</v>
      </c>
      <c r="X36" s="158">
        <f>VLOOKUP(C36,'Talente &amp; Stuff'!DO:EP,22,FALSE)</f>
        <v>0</v>
      </c>
      <c r="Y36" s="165">
        <f t="shared" ref="Y36:Y42" si="4">VLOOKUP(C36,Ausgewählte_Talente_Naturtalente,139,FALSE)</f>
        <v>0</v>
      </c>
      <c r="Z36" s="44">
        <f t="shared" ref="Z36:Z42" si="5">VLOOKUP(C36,Ausgewählte_Talente_Naturtalente,140,FALSE)</f>
        <v>0</v>
      </c>
      <c r="AA36" s="158">
        <f>VLOOKUP(C36,'Talente &amp; Stuff'!DO:EP,25,FALSE)</f>
        <v>0</v>
      </c>
      <c r="AB36" s="91">
        <f>VLOOKUP(C36,'Talente &amp; Stuff'!DO:EP,26,FALSE)</f>
        <v>0</v>
      </c>
      <c r="AC36" s="126">
        <f>VLOOKUP(C36,'Talente &amp; Stuff'!DO:EP,27,FALSE)</f>
        <v>0</v>
      </c>
      <c r="AD36" s="158">
        <f>VLOOKUP(C36,'Talente &amp; Stuff'!DO:EP,28,FALSE)</f>
        <v>0</v>
      </c>
      <c r="AE36" s="28"/>
    </row>
    <row r="37" spans="2:31" ht="15" hidden="1" customHeight="1" outlineLevel="2">
      <c r="B37" s="148">
        <v>2</v>
      </c>
      <c r="C37" s="177" t="str">
        <f>Attribute!C37</f>
        <v>---</v>
      </c>
      <c r="D37" s="127" t="str">
        <f>VLOOKUP(C37,'Talente &amp; Stuff'!DO:EP,2,FALSE)</f>
        <v>--/--/--</v>
      </c>
      <c r="E37" s="125" t="str">
        <f>VLOOKUP(C37,'Talente &amp; Stuff'!DO:EP,3,FALSE)</f>
        <v>-</v>
      </c>
      <c r="F37" s="114">
        <f>VLOOKUP(C37,'Talente &amp; Stuff'!DO:EP,4,FALSE)</f>
        <v>0</v>
      </c>
      <c r="G37" s="113">
        <f>VLOOKUP(C37,'Talente &amp; Stuff'!DO:EP,5,FALSE)</f>
        <v>0</v>
      </c>
      <c r="H37" s="113">
        <f>VLOOKUP(C37,'Talente &amp; Stuff'!DO:EP,6,FALSE)</f>
        <v>0</v>
      </c>
      <c r="I37" s="113">
        <f>VLOOKUP(C37,'Talente &amp; Stuff'!DO:EP,7,FALSE)</f>
        <v>0</v>
      </c>
      <c r="J37" s="113">
        <f>VLOOKUP(C37,'Talente &amp; Stuff'!DO:EP,8,FALSE)</f>
        <v>0</v>
      </c>
      <c r="K37" s="113">
        <f>VLOOKUP(C37,'Talente &amp; Stuff'!DO:EP,9,FALSE)</f>
        <v>0</v>
      </c>
      <c r="L37" s="113">
        <f>VLOOKUP(C37,'Talente &amp; Stuff'!DO:EP,10,FALSE)</f>
        <v>0</v>
      </c>
      <c r="M37" s="119">
        <f>VLOOKUP(C37,'Talente &amp; Stuff'!DO:EP,11,FALSE)</f>
        <v>0</v>
      </c>
      <c r="N37" s="89">
        <f>VLOOKUP(C37,'Talente &amp; Stuff'!DO:EP,12,FALSE)</f>
        <v>0</v>
      </c>
      <c r="O37" s="47">
        <f>VLOOKUP(C37,'Talente &amp; Stuff'!DO:EP,13,FALSE)</f>
        <v>0</v>
      </c>
      <c r="P37" s="119">
        <f>VLOOKUP(C37,'Talente &amp; Stuff'!DO:EP,14,FALSE)</f>
        <v>0</v>
      </c>
      <c r="Q37" s="114">
        <f>VLOOKUP(C37,'Talente &amp; Stuff'!DO:EP,15,FALSE)</f>
        <v>0</v>
      </c>
      <c r="R37" s="113">
        <f>VLOOKUP(C37,'Talente &amp; Stuff'!DO:EP,16,FALSE)</f>
        <v>0</v>
      </c>
      <c r="S37" s="119">
        <f>VLOOKUP(C37,'Talente &amp; Stuff'!DO:EP,17,FALSE)</f>
        <v>0</v>
      </c>
      <c r="T37" s="160">
        <f>VLOOKUP(C37,'Talente &amp; Stuff'!DO:EP,18,FALSE)</f>
        <v>0</v>
      </c>
      <c r="U37" s="89">
        <f>VLOOKUP(C37,'Talente &amp; Stuff'!DO:EP,19,FALSE)</f>
        <v>0</v>
      </c>
      <c r="V37" s="47">
        <f>VLOOKUP(C37,'Talente &amp; Stuff'!DO:EP,20,FALSE)</f>
        <v>0</v>
      </c>
      <c r="W37" s="127">
        <f>VLOOKUP(C37,'Talente &amp; Stuff'!DO:EP,21,FALSE)</f>
        <v>0</v>
      </c>
      <c r="X37" s="125">
        <f>VLOOKUP(C37,'Talente &amp; Stuff'!DO:EP,22,FALSE)</f>
        <v>0</v>
      </c>
      <c r="Y37" s="165">
        <f t="shared" si="4"/>
        <v>0</v>
      </c>
      <c r="Z37" s="44">
        <f t="shared" si="5"/>
        <v>0</v>
      </c>
      <c r="AA37" s="125">
        <f>VLOOKUP(C37,'Talente &amp; Stuff'!DO:EP,25,FALSE)</f>
        <v>0</v>
      </c>
      <c r="AB37" s="160">
        <f>VLOOKUP(C37,'Talente &amp; Stuff'!DO:EP,26,FALSE)</f>
        <v>0</v>
      </c>
      <c r="AC37" s="127">
        <f>VLOOKUP(C37,'Talente &amp; Stuff'!DO:EP,27,FALSE)</f>
        <v>0</v>
      </c>
      <c r="AD37" s="125">
        <f>VLOOKUP(C37,'Talente &amp; Stuff'!DO:EP,28,FALSE)</f>
        <v>0</v>
      </c>
      <c r="AE37" s="28"/>
    </row>
    <row r="38" spans="2:31" ht="15" hidden="1" customHeight="1" outlineLevel="2">
      <c r="B38" s="148">
        <v>3</v>
      </c>
      <c r="C38" s="177" t="str">
        <f>Attribute!C38</f>
        <v>---</v>
      </c>
      <c r="D38" s="127" t="str">
        <f>VLOOKUP(C38,'Talente &amp; Stuff'!DO:EP,2,FALSE)</f>
        <v>--/--/--</v>
      </c>
      <c r="E38" s="125" t="str">
        <f>VLOOKUP(C38,'Talente &amp; Stuff'!DO:EP,3,FALSE)</f>
        <v>-</v>
      </c>
      <c r="F38" s="114">
        <f>VLOOKUP(C38,'Talente &amp; Stuff'!DO:EP,4,FALSE)</f>
        <v>0</v>
      </c>
      <c r="G38" s="113">
        <f>VLOOKUP(C38,'Talente &amp; Stuff'!DO:EP,5,FALSE)</f>
        <v>0</v>
      </c>
      <c r="H38" s="113">
        <f>VLOOKUP(C38,'Talente &amp; Stuff'!DO:EP,6,FALSE)</f>
        <v>0</v>
      </c>
      <c r="I38" s="113">
        <f>VLOOKUP(C38,'Talente &amp; Stuff'!DO:EP,7,FALSE)</f>
        <v>0</v>
      </c>
      <c r="J38" s="113">
        <f>VLOOKUP(C38,'Talente &amp; Stuff'!DO:EP,8,FALSE)</f>
        <v>0</v>
      </c>
      <c r="K38" s="113">
        <f>VLOOKUP(C38,'Talente &amp; Stuff'!DO:EP,9,FALSE)</f>
        <v>0</v>
      </c>
      <c r="L38" s="113">
        <f>VLOOKUP(C38,'Talente &amp; Stuff'!DO:EP,10,FALSE)</f>
        <v>0</v>
      </c>
      <c r="M38" s="119">
        <f>VLOOKUP(C38,'Talente &amp; Stuff'!DO:EP,11,FALSE)</f>
        <v>0</v>
      </c>
      <c r="N38" s="89">
        <f>VLOOKUP(C38,'Talente &amp; Stuff'!DO:EP,12,FALSE)</f>
        <v>0</v>
      </c>
      <c r="O38" s="47">
        <f>VLOOKUP(C38,'Talente &amp; Stuff'!DO:EP,13,FALSE)</f>
        <v>0</v>
      </c>
      <c r="P38" s="119">
        <f>VLOOKUP(C38,'Talente &amp; Stuff'!DO:EP,14,FALSE)</f>
        <v>0</v>
      </c>
      <c r="Q38" s="114">
        <f>VLOOKUP(C38,'Talente &amp; Stuff'!DO:EP,15,FALSE)</f>
        <v>0</v>
      </c>
      <c r="R38" s="113">
        <f>VLOOKUP(C38,'Talente &amp; Stuff'!DO:EP,16,FALSE)</f>
        <v>0</v>
      </c>
      <c r="S38" s="119">
        <f>VLOOKUP(C38,'Talente &amp; Stuff'!DO:EP,17,FALSE)</f>
        <v>0</v>
      </c>
      <c r="T38" s="160">
        <f>VLOOKUP(C38,'Talente &amp; Stuff'!DO:EP,18,FALSE)</f>
        <v>0</v>
      </c>
      <c r="U38" s="89">
        <f>VLOOKUP(C38,'Talente &amp; Stuff'!DO:EP,19,FALSE)</f>
        <v>0</v>
      </c>
      <c r="V38" s="47">
        <f>VLOOKUP(C38,'Talente &amp; Stuff'!DO:EP,20,FALSE)</f>
        <v>0</v>
      </c>
      <c r="W38" s="127">
        <f>VLOOKUP(C38,'Talente &amp; Stuff'!DO:EP,21,FALSE)</f>
        <v>0</v>
      </c>
      <c r="X38" s="125">
        <f>VLOOKUP(C38,'Talente &amp; Stuff'!DO:EP,22,FALSE)</f>
        <v>0</v>
      </c>
      <c r="Y38" s="165">
        <f t="shared" si="4"/>
        <v>0</v>
      </c>
      <c r="Z38" s="44">
        <f t="shared" si="5"/>
        <v>0</v>
      </c>
      <c r="AA38" s="125">
        <f>VLOOKUP(C38,'Talente &amp; Stuff'!DO:EP,25,FALSE)</f>
        <v>0</v>
      </c>
      <c r="AB38" s="160">
        <f>VLOOKUP(C38,'Talente &amp; Stuff'!DO:EP,26,FALSE)</f>
        <v>0</v>
      </c>
      <c r="AC38" s="127">
        <f>VLOOKUP(C38,'Talente &amp; Stuff'!DO:EP,27,FALSE)</f>
        <v>0</v>
      </c>
      <c r="AD38" s="125">
        <f>VLOOKUP(C38,'Talente &amp; Stuff'!DO:EP,28,FALSE)</f>
        <v>0</v>
      </c>
      <c r="AE38" s="28"/>
    </row>
    <row r="39" spans="2:31" ht="15" hidden="1" customHeight="1" outlineLevel="2">
      <c r="B39" s="148">
        <v>4</v>
      </c>
      <c r="C39" s="177" t="str">
        <f>Attribute!C39</f>
        <v>---</v>
      </c>
      <c r="D39" s="127" t="str">
        <f>VLOOKUP(C39,'Talente &amp; Stuff'!DO:EP,2,FALSE)</f>
        <v>--/--/--</v>
      </c>
      <c r="E39" s="125" t="str">
        <f>VLOOKUP(C39,'Talente &amp; Stuff'!DO:EP,3,FALSE)</f>
        <v>-</v>
      </c>
      <c r="F39" s="114">
        <f>VLOOKUP(C39,'Talente &amp; Stuff'!DO:EP,4,FALSE)</f>
        <v>0</v>
      </c>
      <c r="G39" s="113">
        <f>VLOOKUP(C39,'Talente &amp; Stuff'!DO:EP,5,FALSE)</f>
        <v>0</v>
      </c>
      <c r="H39" s="113">
        <f>VLOOKUP(C39,'Talente &amp; Stuff'!DO:EP,6,FALSE)</f>
        <v>0</v>
      </c>
      <c r="I39" s="113">
        <f>VLOOKUP(C39,'Talente &amp; Stuff'!DO:EP,7,FALSE)</f>
        <v>0</v>
      </c>
      <c r="J39" s="113">
        <f>VLOOKUP(C39,'Talente &amp; Stuff'!DO:EP,8,FALSE)</f>
        <v>0</v>
      </c>
      <c r="K39" s="113">
        <f>VLOOKUP(C39,'Talente &amp; Stuff'!DO:EP,9,FALSE)</f>
        <v>0</v>
      </c>
      <c r="L39" s="113">
        <f>VLOOKUP(C39,'Talente &amp; Stuff'!DO:EP,10,FALSE)</f>
        <v>0</v>
      </c>
      <c r="M39" s="119">
        <f>VLOOKUP(C39,'Talente &amp; Stuff'!DO:EP,11,FALSE)</f>
        <v>0</v>
      </c>
      <c r="N39" s="89">
        <f>VLOOKUP(C39,'Talente &amp; Stuff'!DO:EP,12,FALSE)</f>
        <v>0</v>
      </c>
      <c r="O39" s="47">
        <f>VLOOKUP(C39,'Talente &amp; Stuff'!DO:EP,13,FALSE)</f>
        <v>0</v>
      </c>
      <c r="P39" s="119">
        <f>VLOOKUP(C39,'Talente &amp; Stuff'!DO:EP,14,FALSE)</f>
        <v>0</v>
      </c>
      <c r="Q39" s="114">
        <f>VLOOKUP(C39,'Talente &amp; Stuff'!DO:EP,15,FALSE)</f>
        <v>0</v>
      </c>
      <c r="R39" s="113">
        <f>VLOOKUP(C39,'Talente &amp; Stuff'!DO:EP,16,FALSE)</f>
        <v>0</v>
      </c>
      <c r="S39" s="119">
        <f>VLOOKUP(C39,'Talente &amp; Stuff'!DO:EP,17,FALSE)</f>
        <v>0</v>
      </c>
      <c r="T39" s="160">
        <f>VLOOKUP(C39,'Talente &amp; Stuff'!DO:EP,18,FALSE)</f>
        <v>0</v>
      </c>
      <c r="U39" s="89">
        <f>VLOOKUP(C39,'Talente &amp; Stuff'!DO:EP,19,FALSE)</f>
        <v>0</v>
      </c>
      <c r="V39" s="47">
        <f>VLOOKUP(C39,'Talente &amp; Stuff'!DO:EP,20,FALSE)</f>
        <v>0</v>
      </c>
      <c r="W39" s="127">
        <f>VLOOKUP(C39,'Talente &amp; Stuff'!DO:EP,21,FALSE)</f>
        <v>0</v>
      </c>
      <c r="X39" s="125">
        <f>VLOOKUP(C39,'Talente &amp; Stuff'!DO:EP,22,FALSE)</f>
        <v>0</v>
      </c>
      <c r="Y39" s="165">
        <f t="shared" si="4"/>
        <v>0</v>
      </c>
      <c r="Z39" s="44">
        <f t="shared" si="5"/>
        <v>0</v>
      </c>
      <c r="AA39" s="125">
        <f>VLOOKUP(C39,'Talente &amp; Stuff'!DO:EP,25,FALSE)</f>
        <v>0</v>
      </c>
      <c r="AB39" s="160">
        <f>VLOOKUP(C39,'Talente &amp; Stuff'!DO:EP,26,FALSE)</f>
        <v>0</v>
      </c>
      <c r="AC39" s="127">
        <f>VLOOKUP(C39,'Talente &amp; Stuff'!DO:EP,27,FALSE)</f>
        <v>0</v>
      </c>
      <c r="AD39" s="125">
        <f>VLOOKUP(C39,'Talente &amp; Stuff'!DO:EP,28,FALSE)</f>
        <v>0</v>
      </c>
      <c r="AE39" s="28"/>
    </row>
    <row r="40" spans="2:31" ht="15" hidden="1" customHeight="1" outlineLevel="2">
      <c r="B40" s="148">
        <v>5</v>
      </c>
      <c r="C40" s="177" t="str">
        <f>Attribute!C40</f>
        <v>---</v>
      </c>
      <c r="D40" s="127" t="str">
        <f>VLOOKUP(C40,'Talente &amp; Stuff'!DO:EP,2,FALSE)</f>
        <v>--/--/--</v>
      </c>
      <c r="E40" s="125" t="str">
        <f>VLOOKUP(C40,'Talente &amp; Stuff'!DO:EP,3,FALSE)</f>
        <v>-</v>
      </c>
      <c r="F40" s="114">
        <f>VLOOKUP(C40,'Talente &amp; Stuff'!DO:EP,4,FALSE)</f>
        <v>0</v>
      </c>
      <c r="G40" s="113">
        <f>VLOOKUP(C40,'Talente &amp; Stuff'!DO:EP,5,FALSE)</f>
        <v>0</v>
      </c>
      <c r="H40" s="113">
        <f>VLOOKUP(C40,'Talente &amp; Stuff'!DO:EP,6,FALSE)</f>
        <v>0</v>
      </c>
      <c r="I40" s="113">
        <f>VLOOKUP(C40,'Talente &amp; Stuff'!DO:EP,7,FALSE)</f>
        <v>0</v>
      </c>
      <c r="J40" s="113">
        <f>VLOOKUP(C40,'Talente &amp; Stuff'!DO:EP,8,FALSE)</f>
        <v>0</v>
      </c>
      <c r="K40" s="113">
        <f>VLOOKUP(C40,'Talente &amp; Stuff'!DO:EP,9,FALSE)</f>
        <v>0</v>
      </c>
      <c r="L40" s="113">
        <f>VLOOKUP(C40,'Talente &amp; Stuff'!DO:EP,10,FALSE)</f>
        <v>0</v>
      </c>
      <c r="M40" s="119">
        <f>VLOOKUP(C40,'Talente &amp; Stuff'!DO:EP,11,FALSE)</f>
        <v>0</v>
      </c>
      <c r="N40" s="89">
        <f>VLOOKUP(C40,'Talente &amp; Stuff'!DO:EP,12,FALSE)</f>
        <v>0</v>
      </c>
      <c r="O40" s="47">
        <f>VLOOKUP(C40,'Talente &amp; Stuff'!DO:EP,13,FALSE)</f>
        <v>0</v>
      </c>
      <c r="P40" s="119">
        <f>VLOOKUP(C40,'Talente &amp; Stuff'!DO:EP,14,FALSE)</f>
        <v>0</v>
      </c>
      <c r="Q40" s="114">
        <f>VLOOKUP(C40,'Talente &amp; Stuff'!DO:EP,15,FALSE)</f>
        <v>0</v>
      </c>
      <c r="R40" s="113">
        <f>VLOOKUP(C40,'Talente &amp; Stuff'!DO:EP,16,FALSE)</f>
        <v>0</v>
      </c>
      <c r="S40" s="119">
        <f>VLOOKUP(C40,'Talente &amp; Stuff'!DO:EP,17,FALSE)</f>
        <v>0</v>
      </c>
      <c r="T40" s="160">
        <f>VLOOKUP(C40,'Talente &amp; Stuff'!DO:EP,18,FALSE)</f>
        <v>0</v>
      </c>
      <c r="U40" s="89">
        <f>VLOOKUP(C40,'Talente &amp; Stuff'!DO:EP,19,FALSE)</f>
        <v>0</v>
      </c>
      <c r="V40" s="47">
        <f>VLOOKUP(C40,'Talente &amp; Stuff'!DO:EP,20,FALSE)</f>
        <v>0</v>
      </c>
      <c r="W40" s="127">
        <f>VLOOKUP(C40,'Talente &amp; Stuff'!DO:EP,21,FALSE)</f>
        <v>0</v>
      </c>
      <c r="X40" s="125">
        <f>VLOOKUP(C40,'Talente &amp; Stuff'!DO:EP,22,FALSE)</f>
        <v>0</v>
      </c>
      <c r="Y40" s="165">
        <f t="shared" si="4"/>
        <v>0</v>
      </c>
      <c r="Z40" s="44">
        <f t="shared" si="5"/>
        <v>0</v>
      </c>
      <c r="AA40" s="125">
        <f>VLOOKUP(C40,'Talente &amp; Stuff'!DO:EP,25,FALSE)</f>
        <v>0</v>
      </c>
      <c r="AB40" s="160">
        <f>VLOOKUP(C40,'Talente &amp; Stuff'!DO:EP,26,FALSE)</f>
        <v>0</v>
      </c>
      <c r="AC40" s="127">
        <f>VLOOKUP(C40,'Talente &amp; Stuff'!DO:EP,27,FALSE)</f>
        <v>0</v>
      </c>
      <c r="AD40" s="125">
        <f>VLOOKUP(C40,'Talente &amp; Stuff'!DO:EP,28,FALSE)</f>
        <v>0</v>
      </c>
      <c r="AE40" s="28"/>
    </row>
    <row r="41" spans="2:31" ht="15" hidden="1" customHeight="1" outlineLevel="2">
      <c r="B41" s="148">
        <v>6</v>
      </c>
      <c r="C41" s="177" t="str">
        <f>Attribute!C41</f>
        <v>---</v>
      </c>
      <c r="D41" s="127" t="str">
        <f>VLOOKUP(C41,'Talente &amp; Stuff'!DO:EP,2,FALSE)</f>
        <v>--/--/--</v>
      </c>
      <c r="E41" s="125" t="str">
        <f>VLOOKUP(C41,'Talente &amp; Stuff'!DO:EP,3,FALSE)</f>
        <v>-</v>
      </c>
      <c r="F41" s="114">
        <f>VLOOKUP(C41,'Talente &amp; Stuff'!DO:EP,4,FALSE)</f>
        <v>0</v>
      </c>
      <c r="G41" s="113">
        <f>VLOOKUP(C41,'Talente &amp; Stuff'!DO:EP,5,FALSE)</f>
        <v>0</v>
      </c>
      <c r="H41" s="113">
        <f>VLOOKUP(C41,'Talente &amp; Stuff'!DO:EP,6,FALSE)</f>
        <v>0</v>
      </c>
      <c r="I41" s="113">
        <f>VLOOKUP(C41,'Talente &amp; Stuff'!DO:EP,7,FALSE)</f>
        <v>0</v>
      </c>
      <c r="J41" s="113">
        <f>VLOOKUP(C41,'Talente &amp; Stuff'!DO:EP,8,FALSE)</f>
        <v>0</v>
      </c>
      <c r="K41" s="113">
        <f>VLOOKUP(C41,'Talente &amp; Stuff'!DO:EP,9,FALSE)</f>
        <v>0</v>
      </c>
      <c r="L41" s="113">
        <f>VLOOKUP(C41,'Talente &amp; Stuff'!DO:EP,10,FALSE)</f>
        <v>0</v>
      </c>
      <c r="M41" s="119">
        <f>VLOOKUP(C41,'Talente &amp; Stuff'!DO:EP,11,FALSE)</f>
        <v>0</v>
      </c>
      <c r="N41" s="89">
        <f>VLOOKUP(C41,'Talente &amp; Stuff'!DO:EP,12,FALSE)</f>
        <v>0</v>
      </c>
      <c r="O41" s="47">
        <f>VLOOKUP(C41,'Talente &amp; Stuff'!DO:EP,13,FALSE)</f>
        <v>0</v>
      </c>
      <c r="P41" s="119">
        <f>VLOOKUP(C41,'Talente &amp; Stuff'!DO:EP,14,FALSE)</f>
        <v>0</v>
      </c>
      <c r="Q41" s="114">
        <f>VLOOKUP(C41,'Talente &amp; Stuff'!DO:EP,15,FALSE)</f>
        <v>0</v>
      </c>
      <c r="R41" s="113">
        <f>VLOOKUP(C41,'Talente &amp; Stuff'!DO:EP,16,FALSE)</f>
        <v>0</v>
      </c>
      <c r="S41" s="119">
        <f>VLOOKUP(C41,'Talente &amp; Stuff'!DO:EP,17,FALSE)</f>
        <v>0</v>
      </c>
      <c r="T41" s="160">
        <f>VLOOKUP(C41,'Talente &amp; Stuff'!DO:EP,18,FALSE)</f>
        <v>0</v>
      </c>
      <c r="U41" s="89">
        <f>VLOOKUP(C41,'Talente &amp; Stuff'!DO:EP,19,FALSE)</f>
        <v>0</v>
      </c>
      <c r="V41" s="47">
        <f>VLOOKUP(C41,'Talente &amp; Stuff'!DO:EP,20,FALSE)</f>
        <v>0</v>
      </c>
      <c r="W41" s="127">
        <f>VLOOKUP(C41,'Talente &amp; Stuff'!DO:EP,21,FALSE)</f>
        <v>0</v>
      </c>
      <c r="X41" s="125">
        <f>VLOOKUP(C41,'Talente &amp; Stuff'!DO:EP,22,FALSE)</f>
        <v>0</v>
      </c>
      <c r="Y41" s="165">
        <f t="shared" si="4"/>
        <v>0</v>
      </c>
      <c r="Z41" s="44">
        <f t="shared" si="5"/>
        <v>0</v>
      </c>
      <c r="AA41" s="125">
        <f>VLOOKUP(C41,'Talente &amp; Stuff'!DO:EP,25,FALSE)</f>
        <v>0</v>
      </c>
      <c r="AB41" s="160">
        <f>VLOOKUP(C41,'Talente &amp; Stuff'!DO:EP,26,FALSE)</f>
        <v>0</v>
      </c>
      <c r="AC41" s="127">
        <f>VLOOKUP(C41,'Talente &amp; Stuff'!DO:EP,27,FALSE)</f>
        <v>0</v>
      </c>
      <c r="AD41" s="125">
        <f>VLOOKUP(C41,'Talente &amp; Stuff'!DO:EP,28,FALSE)</f>
        <v>0</v>
      </c>
      <c r="AE41" s="28"/>
    </row>
    <row r="42" spans="2:31" ht="15" hidden="1" customHeight="1" outlineLevel="2">
      <c r="B42" s="148">
        <v>7</v>
      </c>
      <c r="C42" s="178" t="str">
        <f>Attribute!C42</f>
        <v>---</v>
      </c>
      <c r="D42" s="128" t="str">
        <f>VLOOKUP(C42,'Talente &amp; Stuff'!DO:EP,2,FALSE)</f>
        <v>--/--/--</v>
      </c>
      <c r="E42" s="159" t="str">
        <f>VLOOKUP(C42,'Talente &amp; Stuff'!DO:EP,3,FALSE)</f>
        <v>-</v>
      </c>
      <c r="F42" s="115">
        <f>VLOOKUP(C42,'Talente &amp; Stuff'!DO:EP,4,FALSE)</f>
        <v>0</v>
      </c>
      <c r="G42" s="122">
        <f>VLOOKUP(C42,'Talente &amp; Stuff'!DO:EP,5,FALSE)</f>
        <v>0</v>
      </c>
      <c r="H42" s="122">
        <f>VLOOKUP(C42,'Talente &amp; Stuff'!DO:EP,6,FALSE)</f>
        <v>0</v>
      </c>
      <c r="I42" s="122">
        <f>VLOOKUP(C42,'Talente &amp; Stuff'!DO:EP,7,FALSE)</f>
        <v>0</v>
      </c>
      <c r="J42" s="122">
        <f>VLOOKUP(C42,'Talente &amp; Stuff'!DO:EP,8,FALSE)</f>
        <v>0</v>
      </c>
      <c r="K42" s="122">
        <f>VLOOKUP(C42,'Talente &amp; Stuff'!DO:EP,9,FALSE)</f>
        <v>0</v>
      </c>
      <c r="L42" s="122">
        <f>VLOOKUP(C42,'Talente &amp; Stuff'!DO:EP,10,FALSE)</f>
        <v>0</v>
      </c>
      <c r="M42" s="123">
        <f>VLOOKUP(C42,'Talente &amp; Stuff'!DO:EP,11,FALSE)</f>
        <v>0</v>
      </c>
      <c r="N42" s="90">
        <f>VLOOKUP(C42,'Talente &amp; Stuff'!DO:EP,12,FALSE)</f>
        <v>0</v>
      </c>
      <c r="O42" s="88">
        <f>VLOOKUP(C42,'Talente &amp; Stuff'!DO:EP,13,FALSE)</f>
        <v>0</v>
      </c>
      <c r="P42" s="123">
        <f>VLOOKUP(C42,'Talente &amp; Stuff'!DO:EP,14,FALSE)</f>
        <v>0</v>
      </c>
      <c r="Q42" s="115">
        <f>VLOOKUP(C42,'Talente &amp; Stuff'!DO:EP,15,FALSE)</f>
        <v>0</v>
      </c>
      <c r="R42" s="122">
        <f>VLOOKUP(C42,'Talente &amp; Stuff'!DO:EP,16,FALSE)</f>
        <v>0</v>
      </c>
      <c r="S42" s="123">
        <f>VLOOKUP(C42,'Talente &amp; Stuff'!DO:EP,17,FALSE)</f>
        <v>0</v>
      </c>
      <c r="T42" s="161">
        <f>VLOOKUP(C42,'Talente &amp; Stuff'!DO:EP,18,FALSE)</f>
        <v>0</v>
      </c>
      <c r="U42" s="90">
        <f>VLOOKUP(C42,'Talente &amp; Stuff'!DO:EP,19,FALSE)</f>
        <v>0</v>
      </c>
      <c r="V42" s="88">
        <f>VLOOKUP(C42,'Talente &amp; Stuff'!DO:EP,20,FALSE)</f>
        <v>0</v>
      </c>
      <c r="W42" s="128">
        <f>VLOOKUP(C42,'Talente &amp; Stuff'!DO:EP,21,FALSE)</f>
        <v>0</v>
      </c>
      <c r="X42" s="159">
        <f>VLOOKUP(C42,'Talente &amp; Stuff'!DO:EP,22,FALSE)</f>
        <v>0</v>
      </c>
      <c r="Y42" s="165">
        <f t="shared" si="4"/>
        <v>0</v>
      </c>
      <c r="Z42" s="44">
        <f t="shared" si="5"/>
        <v>0</v>
      </c>
      <c r="AA42" s="159">
        <f>VLOOKUP(C42,'Talente &amp; Stuff'!DO:EP,25,FALSE)</f>
        <v>0</v>
      </c>
      <c r="AB42" s="161">
        <f>VLOOKUP(C42,'Talente &amp; Stuff'!DO:EP,26,FALSE)</f>
        <v>0</v>
      </c>
      <c r="AC42" s="128">
        <f>VLOOKUP(C42,'Talente &amp; Stuff'!DO:EP,27,FALSE)</f>
        <v>0</v>
      </c>
      <c r="AD42" s="159">
        <f>VLOOKUP(C42,'Talente &amp; Stuff'!DO:EP,28,FALSE)</f>
        <v>0</v>
      </c>
      <c r="AE42" s="28"/>
    </row>
    <row r="43" spans="2:31" ht="15" hidden="1" customHeight="1" outlineLevel="1" collapsed="1">
      <c r="B43" s="134" t="s">
        <v>70</v>
      </c>
      <c r="C43" s="83"/>
      <c r="D43" s="84"/>
      <c r="E43" s="84"/>
      <c r="F43" s="30"/>
      <c r="G43" s="30"/>
      <c r="H43" s="30"/>
      <c r="I43" s="30"/>
      <c r="J43" s="30"/>
      <c r="K43" s="30"/>
      <c r="L43" s="30"/>
      <c r="M43" s="30"/>
      <c r="N43" s="31"/>
      <c r="O43" s="31"/>
      <c r="P43" s="30"/>
      <c r="Q43" s="30"/>
      <c r="R43" s="30"/>
      <c r="S43" s="30"/>
      <c r="T43" s="30"/>
      <c r="U43" s="31"/>
      <c r="V43" s="31"/>
      <c r="W43" s="31"/>
      <c r="X43" s="31"/>
      <c r="Y43" s="65"/>
    </row>
    <row r="44" spans="2:31" ht="15" hidden="1" customHeight="1" outlineLevel="2">
      <c r="B44" s="148">
        <v>1</v>
      </c>
      <c r="C44" s="176" t="str">
        <f>Attribute!C44</f>
        <v>---</v>
      </c>
      <c r="D44" s="126" t="str">
        <f>VLOOKUP(C44,'Talente &amp; Stuff'!DO:EP,2,FALSE)</f>
        <v>--/--/--</v>
      </c>
      <c r="E44" s="158" t="str">
        <f>VLOOKUP(C44,'Talente &amp; Stuff'!DO:EP,3,FALSE)</f>
        <v>-</v>
      </c>
      <c r="F44" s="191">
        <f>VLOOKUP(C44,'Talente &amp; Stuff'!DO:EP,4,FALSE)</f>
        <v>0</v>
      </c>
      <c r="G44" s="118">
        <f>VLOOKUP(C44,'Talente &amp; Stuff'!DO:EP,5,FALSE)</f>
        <v>0</v>
      </c>
      <c r="H44" s="118">
        <f>VLOOKUP(C44,'Talente &amp; Stuff'!DO:EP,6,FALSE)</f>
        <v>0</v>
      </c>
      <c r="I44" s="118">
        <f>VLOOKUP(C44,'Talente &amp; Stuff'!DO:EP,7,FALSE)</f>
        <v>0</v>
      </c>
      <c r="J44" s="118">
        <f>VLOOKUP(C44,'Talente &amp; Stuff'!DO:EP,8,FALSE)</f>
        <v>0</v>
      </c>
      <c r="K44" s="118">
        <f>VLOOKUP(C44,'Talente &amp; Stuff'!DO:EP,9,FALSE)</f>
        <v>0</v>
      </c>
      <c r="L44" s="118">
        <f>VLOOKUP(C44,'Talente &amp; Stuff'!DO:EP,10,FALSE)</f>
        <v>0</v>
      </c>
      <c r="M44" s="92">
        <f>VLOOKUP(C44,'Talente &amp; Stuff'!DO:EP,11,FALSE)</f>
        <v>0</v>
      </c>
      <c r="N44" s="193">
        <f>VLOOKUP(C44,'Talente &amp; Stuff'!DO:EP,12,FALSE)</f>
        <v>0</v>
      </c>
      <c r="O44" s="116">
        <f>VLOOKUP(C44,'Talente &amp; Stuff'!DO:EP,13,FALSE)</f>
        <v>0</v>
      </c>
      <c r="P44" s="92">
        <f>VLOOKUP(C44,'Talente &amp; Stuff'!DO:EP,14,FALSE)</f>
        <v>0</v>
      </c>
      <c r="Q44" s="191">
        <f>VLOOKUP(C44,'Talente &amp; Stuff'!DO:EP,15,FALSE)</f>
        <v>0</v>
      </c>
      <c r="R44" s="118">
        <f>VLOOKUP(C44,'Talente &amp; Stuff'!DO:EP,16,FALSE)</f>
        <v>0</v>
      </c>
      <c r="S44" s="92">
        <f>VLOOKUP(C44,'Talente &amp; Stuff'!DO:EP,17,FALSE)</f>
        <v>0</v>
      </c>
      <c r="T44" s="91">
        <f>VLOOKUP(C44,'Talente &amp; Stuff'!DO:EP,18,FALSE)</f>
        <v>0</v>
      </c>
      <c r="U44" s="193">
        <f>VLOOKUP(C44,'Talente &amp; Stuff'!DO:EP,19,FALSE)</f>
        <v>0</v>
      </c>
      <c r="V44" s="116">
        <f>VLOOKUP(C44,'Talente &amp; Stuff'!DO:EP,20,FALSE)</f>
        <v>0</v>
      </c>
      <c r="W44" s="126">
        <f>VLOOKUP(C44,'Talente &amp; Stuff'!DO:EP,21,FALSE)</f>
        <v>0</v>
      </c>
      <c r="X44" s="158">
        <f>VLOOKUP(C44,'Talente &amp; Stuff'!DO:EP,22,FALSE)</f>
        <v>0</v>
      </c>
      <c r="Y44" s="165">
        <f t="shared" ref="Y44:Y55" si="6">VLOOKUP(C44,Ausgewählte_Talente_Wissenstalente,139,FALSE)</f>
        <v>0</v>
      </c>
      <c r="Z44" s="44">
        <f t="shared" ref="Z44:Z55" si="7">VLOOKUP(C44,Ausgewählte_Talente_Wissenstalente,140,FALSE)</f>
        <v>0</v>
      </c>
      <c r="AA44" s="158">
        <f>VLOOKUP(C44,'Talente &amp; Stuff'!DO:EP,25,FALSE)</f>
        <v>0</v>
      </c>
      <c r="AB44" s="91">
        <f>VLOOKUP(C44,'Talente &amp; Stuff'!DO:EP,26,FALSE)</f>
        <v>0</v>
      </c>
      <c r="AC44" s="126">
        <f>VLOOKUP(C44,'Talente &amp; Stuff'!DO:EP,27,FALSE)</f>
        <v>0</v>
      </c>
      <c r="AD44" s="158">
        <f>VLOOKUP(C44,'Talente &amp; Stuff'!DO:EP,28,FALSE)</f>
        <v>0</v>
      </c>
      <c r="AE44" s="28"/>
    </row>
    <row r="45" spans="2:31" ht="15" hidden="1" customHeight="1" outlineLevel="2">
      <c r="B45" s="148">
        <v>2</v>
      </c>
      <c r="C45" s="177" t="str">
        <f>Attribute!C45</f>
        <v>---</v>
      </c>
      <c r="D45" s="127" t="str">
        <f>VLOOKUP(C45,'Talente &amp; Stuff'!DO:EP,2,FALSE)</f>
        <v>--/--/--</v>
      </c>
      <c r="E45" s="125" t="str">
        <f>VLOOKUP(C45,'Talente &amp; Stuff'!DO:EP,3,FALSE)</f>
        <v>-</v>
      </c>
      <c r="F45" s="114">
        <f>VLOOKUP(C45,'Talente &amp; Stuff'!DO:EP,4,FALSE)</f>
        <v>0</v>
      </c>
      <c r="G45" s="113">
        <f>VLOOKUP(C45,'Talente &amp; Stuff'!DO:EP,5,FALSE)</f>
        <v>0</v>
      </c>
      <c r="H45" s="113">
        <f>VLOOKUP(C45,'Talente &amp; Stuff'!DO:EP,6,FALSE)</f>
        <v>0</v>
      </c>
      <c r="I45" s="113">
        <f>VLOOKUP(C45,'Talente &amp; Stuff'!DO:EP,7,FALSE)</f>
        <v>0</v>
      </c>
      <c r="J45" s="113">
        <f>VLOOKUP(C45,'Talente &amp; Stuff'!DO:EP,8,FALSE)</f>
        <v>0</v>
      </c>
      <c r="K45" s="113">
        <f>VLOOKUP(C45,'Talente &amp; Stuff'!DO:EP,9,FALSE)</f>
        <v>0</v>
      </c>
      <c r="L45" s="113">
        <f>VLOOKUP(C45,'Talente &amp; Stuff'!DO:EP,10,FALSE)</f>
        <v>0</v>
      </c>
      <c r="M45" s="119">
        <f>VLOOKUP(C45,'Talente &amp; Stuff'!DO:EP,11,FALSE)</f>
        <v>0</v>
      </c>
      <c r="N45" s="89">
        <f>VLOOKUP(C45,'Talente &amp; Stuff'!DO:EP,12,FALSE)</f>
        <v>0</v>
      </c>
      <c r="O45" s="47">
        <f>VLOOKUP(C45,'Talente &amp; Stuff'!DO:EP,13,FALSE)</f>
        <v>0</v>
      </c>
      <c r="P45" s="119">
        <f>VLOOKUP(C45,'Talente &amp; Stuff'!DO:EP,14,FALSE)</f>
        <v>0</v>
      </c>
      <c r="Q45" s="114">
        <f>VLOOKUP(C45,'Talente &amp; Stuff'!DO:EP,15,FALSE)</f>
        <v>0</v>
      </c>
      <c r="R45" s="113">
        <f>VLOOKUP(C45,'Talente &amp; Stuff'!DO:EP,16,FALSE)</f>
        <v>0</v>
      </c>
      <c r="S45" s="119">
        <f>VLOOKUP(C45,'Talente &amp; Stuff'!DO:EP,17,FALSE)</f>
        <v>0</v>
      </c>
      <c r="T45" s="160">
        <f>VLOOKUP(C45,'Talente &amp; Stuff'!DO:EP,18,FALSE)</f>
        <v>0</v>
      </c>
      <c r="U45" s="89">
        <f>VLOOKUP(C45,'Talente &amp; Stuff'!DO:EP,19,FALSE)</f>
        <v>0</v>
      </c>
      <c r="V45" s="47">
        <f>VLOOKUP(C45,'Talente &amp; Stuff'!DO:EP,20,FALSE)</f>
        <v>0</v>
      </c>
      <c r="W45" s="127">
        <f>VLOOKUP(C45,'Talente &amp; Stuff'!DO:EP,21,FALSE)</f>
        <v>0</v>
      </c>
      <c r="X45" s="125">
        <f>VLOOKUP(C45,'Talente &amp; Stuff'!DO:EP,22,FALSE)</f>
        <v>0</v>
      </c>
      <c r="Y45" s="165">
        <f t="shared" si="6"/>
        <v>0</v>
      </c>
      <c r="Z45" s="44">
        <f t="shared" si="7"/>
        <v>0</v>
      </c>
      <c r="AA45" s="125">
        <f>VLOOKUP(C45,'Talente &amp; Stuff'!DO:EP,25,FALSE)</f>
        <v>0</v>
      </c>
      <c r="AB45" s="160">
        <f>VLOOKUP(C45,'Talente &amp; Stuff'!DO:EP,26,FALSE)</f>
        <v>0</v>
      </c>
      <c r="AC45" s="127">
        <f>VLOOKUP(C45,'Talente &amp; Stuff'!DO:EP,27,FALSE)</f>
        <v>0</v>
      </c>
      <c r="AD45" s="125">
        <f>VLOOKUP(C45,'Talente &amp; Stuff'!DO:EP,28,FALSE)</f>
        <v>0</v>
      </c>
      <c r="AE45" s="28"/>
    </row>
    <row r="46" spans="2:31" ht="15" hidden="1" customHeight="1" outlineLevel="2">
      <c r="B46" s="148">
        <v>3</v>
      </c>
      <c r="C46" s="177" t="str">
        <f>Attribute!C46</f>
        <v>---</v>
      </c>
      <c r="D46" s="127" t="str">
        <f>VLOOKUP(C46,'Talente &amp; Stuff'!DO:EP,2,FALSE)</f>
        <v>--/--/--</v>
      </c>
      <c r="E46" s="125" t="str">
        <f>VLOOKUP(C46,'Talente &amp; Stuff'!DO:EP,3,FALSE)</f>
        <v>-</v>
      </c>
      <c r="F46" s="114">
        <f>VLOOKUP(C46,'Talente &amp; Stuff'!DO:EP,4,FALSE)</f>
        <v>0</v>
      </c>
      <c r="G46" s="113">
        <f>VLOOKUP(C46,'Talente &amp; Stuff'!DO:EP,5,FALSE)</f>
        <v>0</v>
      </c>
      <c r="H46" s="113">
        <f>VLOOKUP(C46,'Talente &amp; Stuff'!DO:EP,6,FALSE)</f>
        <v>0</v>
      </c>
      <c r="I46" s="113">
        <f>VLOOKUP(C46,'Talente &amp; Stuff'!DO:EP,7,FALSE)</f>
        <v>0</v>
      </c>
      <c r="J46" s="113">
        <f>VLOOKUP(C46,'Talente &amp; Stuff'!DO:EP,8,FALSE)</f>
        <v>0</v>
      </c>
      <c r="K46" s="113">
        <f>VLOOKUP(C46,'Talente &amp; Stuff'!DO:EP,9,FALSE)</f>
        <v>0</v>
      </c>
      <c r="L46" s="113">
        <f>VLOOKUP(C46,'Talente &amp; Stuff'!DO:EP,10,FALSE)</f>
        <v>0</v>
      </c>
      <c r="M46" s="119">
        <f>VLOOKUP(C46,'Talente &amp; Stuff'!DO:EP,11,FALSE)</f>
        <v>0</v>
      </c>
      <c r="N46" s="89">
        <f>VLOOKUP(C46,'Talente &amp; Stuff'!DO:EP,12,FALSE)</f>
        <v>0</v>
      </c>
      <c r="O46" s="47">
        <f>VLOOKUP(C46,'Talente &amp; Stuff'!DO:EP,13,FALSE)</f>
        <v>0</v>
      </c>
      <c r="P46" s="119">
        <f>VLOOKUP(C46,'Talente &amp; Stuff'!DO:EP,14,FALSE)</f>
        <v>0</v>
      </c>
      <c r="Q46" s="114">
        <f>VLOOKUP(C46,'Talente &amp; Stuff'!DO:EP,15,FALSE)</f>
        <v>0</v>
      </c>
      <c r="R46" s="113">
        <f>VLOOKUP(C46,'Talente &amp; Stuff'!DO:EP,16,FALSE)</f>
        <v>0</v>
      </c>
      <c r="S46" s="119">
        <f>VLOOKUP(C46,'Talente &amp; Stuff'!DO:EP,17,FALSE)</f>
        <v>0</v>
      </c>
      <c r="T46" s="160">
        <f>VLOOKUP(C46,'Talente &amp; Stuff'!DO:EP,18,FALSE)</f>
        <v>0</v>
      </c>
      <c r="U46" s="89">
        <f>VLOOKUP(C46,'Talente &amp; Stuff'!DO:EP,19,FALSE)</f>
        <v>0</v>
      </c>
      <c r="V46" s="47">
        <f>VLOOKUP(C46,'Talente &amp; Stuff'!DO:EP,20,FALSE)</f>
        <v>0</v>
      </c>
      <c r="W46" s="127">
        <f>VLOOKUP(C46,'Talente &amp; Stuff'!DO:EP,21,FALSE)</f>
        <v>0</v>
      </c>
      <c r="X46" s="125">
        <f>VLOOKUP(C46,'Talente &amp; Stuff'!DO:EP,22,FALSE)</f>
        <v>0</v>
      </c>
      <c r="Y46" s="165">
        <f t="shared" si="6"/>
        <v>0</v>
      </c>
      <c r="Z46" s="44">
        <f t="shared" si="7"/>
        <v>0</v>
      </c>
      <c r="AA46" s="125">
        <f>VLOOKUP(C46,'Talente &amp; Stuff'!DO:EP,25,FALSE)</f>
        <v>0</v>
      </c>
      <c r="AB46" s="160">
        <f>VLOOKUP(C46,'Talente &amp; Stuff'!DO:EP,26,FALSE)</f>
        <v>0</v>
      </c>
      <c r="AC46" s="127">
        <f>VLOOKUP(C46,'Talente &amp; Stuff'!DO:EP,27,FALSE)</f>
        <v>0</v>
      </c>
      <c r="AD46" s="125">
        <f>VLOOKUP(C46,'Talente &amp; Stuff'!DO:EP,28,FALSE)</f>
        <v>0</v>
      </c>
      <c r="AE46" s="28"/>
    </row>
    <row r="47" spans="2:31" ht="15" hidden="1" customHeight="1" outlineLevel="2">
      <c r="B47" s="148">
        <v>4</v>
      </c>
      <c r="C47" s="177" t="str">
        <f>Attribute!C47</f>
        <v>---</v>
      </c>
      <c r="D47" s="127" t="str">
        <f>VLOOKUP(C47,'Talente &amp; Stuff'!DO:EP,2,FALSE)</f>
        <v>--/--/--</v>
      </c>
      <c r="E47" s="125" t="str">
        <f>VLOOKUP(C47,'Talente &amp; Stuff'!DO:EP,3,FALSE)</f>
        <v>-</v>
      </c>
      <c r="F47" s="114">
        <f>VLOOKUP(C47,'Talente &amp; Stuff'!DO:EP,4,FALSE)</f>
        <v>0</v>
      </c>
      <c r="G47" s="113">
        <f>VLOOKUP(C47,'Talente &amp; Stuff'!DO:EP,5,FALSE)</f>
        <v>0</v>
      </c>
      <c r="H47" s="113">
        <f>VLOOKUP(C47,'Talente &amp; Stuff'!DO:EP,6,FALSE)</f>
        <v>0</v>
      </c>
      <c r="I47" s="113">
        <f>VLOOKUP(C47,'Talente &amp; Stuff'!DO:EP,7,FALSE)</f>
        <v>0</v>
      </c>
      <c r="J47" s="113">
        <f>VLOOKUP(C47,'Talente &amp; Stuff'!DO:EP,8,FALSE)</f>
        <v>0</v>
      </c>
      <c r="K47" s="113">
        <f>VLOOKUP(C47,'Talente &amp; Stuff'!DO:EP,9,FALSE)</f>
        <v>0</v>
      </c>
      <c r="L47" s="113">
        <f>VLOOKUP(C47,'Talente &amp; Stuff'!DO:EP,10,FALSE)</f>
        <v>0</v>
      </c>
      <c r="M47" s="119">
        <f>VLOOKUP(C47,'Talente &amp; Stuff'!DO:EP,11,FALSE)</f>
        <v>0</v>
      </c>
      <c r="N47" s="89">
        <f>VLOOKUP(C47,'Talente &amp; Stuff'!DO:EP,12,FALSE)</f>
        <v>0</v>
      </c>
      <c r="O47" s="47">
        <f>VLOOKUP(C47,'Talente &amp; Stuff'!DO:EP,13,FALSE)</f>
        <v>0</v>
      </c>
      <c r="P47" s="119">
        <f>VLOOKUP(C47,'Talente &amp; Stuff'!DO:EP,14,FALSE)</f>
        <v>0</v>
      </c>
      <c r="Q47" s="114">
        <f>VLOOKUP(C47,'Talente &amp; Stuff'!DO:EP,15,FALSE)</f>
        <v>0</v>
      </c>
      <c r="R47" s="113">
        <f>VLOOKUP(C47,'Talente &amp; Stuff'!DO:EP,16,FALSE)</f>
        <v>0</v>
      </c>
      <c r="S47" s="119">
        <f>VLOOKUP(C47,'Talente &amp; Stuff'!DO:EP,17,FALSE)</f>
        <v>0</v>
      </c>
      <c r="T47" s="160">
        <f>VLOOKUP(C47,'Talente &amp; Stuff'!DO:EP,18,FALSE)</f>
        <v>0</v>
      </c>
      <c r="U47" s="89">
        <f>VLOOKUP(C47,'Talente &amp; Stuff'!DO:EP,19,FALSE)</f>
        <v>0</v>
      </c>
      <c r="V47" s="47">
        <f>VLOOKUP(C47,'Talente &amp; Stuff'!DO:EP,20,FALSE)</f>
        <v>0</v>
      </c>
      <c r="W47" s="127">
        <f>VLOOKUP(C47,'Talente &amp; Stuff'!DO:EP,21,FALSE)</f>
        <v>0</v>
      </c>
      <c r="X47" s="125">
        <f>VLOOKUP(C47,'Talente &amp; Stuff'!DO:EP,22,FALSE)</f>
        <v>0</v>
      </c>
      <c r="Y47" s="165">
        <f t="shared" si="6"/>
        <v>0</v>
      </c>
      <c r="Z47" s="44">
        <f t="shared" si="7"/>
        <v>0</v>
      </c>
      <c r="AA47" s="125">
        <f>VLOOKUP(C47,'Talente &amp; Stuff'!DO:EP,25,FALSE)</f>
        <v>0</v>
      </c>
      <c r="AB47" s="160">
        <f>VLOOKUP(C47,'Talente &amp; Stuff'!DO:EP,26,FALSE)</f>
        <v>0</v>
      </c>
      <c r="AC47" s="127">
        <f>VLOOKUP(C47,'Talente &amp; Stuff'!DO:EP,27,FALSE)</f>
        <v>0</v>
      </c>
      <c r="AD47" s="125">
        <f>VLOOKUP(C47,'Talente &amp; Stuff'!DO:EP,28,FALSE)</f>
        <v>0</v>
      </c>
      <c r="AE47" s="28"/>
    </row>
    <row r="48" spans="2:31" ht="15" hidden="1" customHeight="1" outlineLevel="2">
      <c r="B48" s="148">
        <v>5</v>
      </c>
      <c r="C48" s="177" t="str">
        <f>Attribute!C48</f>
        <v>---</v>
      </c>
      <c r="D48" s="127" t="str">
        <f>VLOOKUP(C48,'Talente &amp; Stuff'!DO:EP,2,FALSE)</f>
        <v>--/--/--</v>
      </c>
      <c r="E48" s="125" t="str">
        <f>VLOOKUP(C48,'Talente &amp; Stuff'!DO:EP,3,FALSE)</f>
        <v>-</v>
      </c>
      <c r="F48" s="114">
        <f>VLOOKUP(C48,'Talente &amp; Stuff'!DO:EP,4,FALSE)</f>
        <v>0</v>
      </c>
      <c r="G48" s="113">
        <f>VLOOKUP(C48,'Talente &amp; Stuff'!DO:EP,5,FALSE)</f>
        <v>0</v>
      </c>
      <c r="H48" s="113">
        <f>VLOOKUP(C48,'Talente &amp; Stuff'!DO:EP,6,FALSE)</f>
        <v>0</v>
      </c>
      <c r="I48" s="113">
        <f>VLOOKUP(C48,'Talente &amp; Stuff'!DO:EP,7,FALSE)</f>
        <v>0</v>
      </c>
      <c r="J48" s="113">
        <f>VLOOKUP(C48,'Talente &amp; Stuff'!DO:EP,8,FALSE)</f>
        <v>0</v>
      </c>
      <c r="K48" s="113">
        <f>VLOOKUP(C48,'Talente &amp; Stuff'!DO:EP,9,FALSE)</f>
        <v>0</v>
      </c>
      <c r="L48" s="113">
        <f>VLOOKUP(C48,'Talente &amp; Stuff'!DO:EP,10,FALSE)</f>
        <v>0</v>
      </c>
      <c r="M48" s="119">
        <f>VLOOKUP(C48,'Talente &amp; Stuff'!DO:EP,11,FALSE)</f>
        <v>0</v>
      </c>
      <c r="N48" s="89">
        <f>VLOOKUP(C48,'Talente &amp; Stuff'!DO:EP,12,FALSE)</f>
        <v>0</v>
      </c>
      <c r="O48" s="47">
        <f>VLOOKUP(C48,'Talente &amp; Stuff'!DO:EP,13,FALSE)</f>
        <v>0</v>
      </c>
      <c r="P48" s="119">
        <f>VLOOKUP(C48,'Talente &amp; Stuff'!DO:EP,14,FALSE)</f>
        <v>0</v>
      </c>
      <c r="Q48" s="114">
        <f>VLOOKUP(C48,'Talente &amp; Stuff'!DO:EP,15,FALSE)</f>
        <v>0</v>
      </c>
      <c r="R48" s="113">
        <f>VLOOKUP(C48,'Talente &amp; Stuff'!DO:EP,16,FALSE)</f>
        <v>0</v>
      </c>
      <c r="S48" s="119">
        <f>VLOOKUP(C48,'Talente &amp; Stuff'!DO:EP,17,FALSE)</f>
        <v>0</v>
      </c>
      <c r="T48" s="160">
        <f>VLOOKUP(C48,'Talente &amp; Stuff'!DO:EP,18,FALSE)</f>
        <v>0</v>
      </c>
      <c r="U48" s="89">
        <f>VLOOKUP(C48,'Talente &amp; Stuff'!DO:EP,19,FALSE)</f>
        <v>0</v>
      </c>
      <c r="V48" s="47">
        <f>VLOOKUP(C48,'Talente &amp; Stuff'!DO:EP,20,FALSE)</f>
        <v>0</v>
      </c>
      <c r="W48" s="127">
        <f>VLOOKUP(C48,'Talente &amp; Stuff'!DO:EP,21,FALSE)</f>
        <v>0</v>
      </c>
      <c r="X48" s="125">
        <f>VLOOKUP(C48,'Talente &amp; Stuff'!DO:EP,22,FALSE)</f>
        <v>0</v>
      </c>
      <c r="Y48" s="165">
        <f t="shared" si="6"/>
        <v>0</v>
      </c>
      <c r="Z48" s="44">
        <f t="shared" si="7"/>
        <v>0</v>
      </c>
      <c r="AA48" s="125">
        <f>VLOOKUP(C48,'Talente &amp; Stuff'!DO:EP,25,FALSE)</f>
        <v>0</v>
      </c>
      <c r="AB48" s="160">
        <f>VLOOKUP(C48,'Talente &amp; Stuff'!DO:EP,26,FALSE)</f>
        <v>0</v>
      </c>
      <c r="AC48" s="127">
        <f>VLOOKUP(C48,'Talente &amp; Stuff'!DO:EP,27,FALSE)</f>
        <v>0</v>
      </c>
      <c r="AD48" s="125">
        <f>VLOOKUP(C48,'Talente &amp; Stuff'!DO:EP,28,FALSE)</f>
        <v>0</v>
      </c>
      <c r="AE48" s="28"/>
    </row>
    <row r="49" spans="2:31" ht="15" hidden="1" customHeight="1" outlineLevel="2">
      <c r="B49" s="148">
        <v>6</v>
      </c>
      <c r="C49" s="177" t="str">
        <f>Attribute!C49</f>
        <v>---</v>
      </c>
      <c r="D49" s="127" t="str">
        <f>VLOOKUP(C49,'Talente &amp; Stuff'!DO:EP,2,FALSE)</f>
        <v>--/--/--</v>
      </c>
      <c r="E49" s="125" t="str">
        <f>VLOOKUP(C49,'Talente &amp; Stuff'!DO:EP,3,FALSE)</f>
        <v>-</v>
      </c>
      <c r="F49" s="114">
        <f>VLOOKUP(C49,'Talente &amp; Stuff'!DO:EP,4,FALSE)</f>
        <v>0</v>
      </c>
      <c r="G49" s="113">
        <f>VLOOKUP(C49,'Talente &amp; Stuff'!DO:EP,5,FALSE)</f>
        <v>0</v>
      </c>
      <c r="H49" s="113">
        <f>VLOOKUP(C49,'Talente &amp; Stuff'!DO:EP,6,FALSE)</f>
        <v>0</v>
      </c>
      <c r="I49" s="113">
        <f>VLOOKUP(C49,'Talente &amp; Stuff'!DO:EP,7,FALSE)</f>
        <v>0</v>
      </c>
      <c r="J49" s="113">
        <f>VLOOKUP(C49,'Talente &amp; Stuff'!DO:EP,8,FALSE)</f>
        <v>0</v>
      </c>
      <c r="K49" s="113">
        <f>VLOOKUP(C49,'Talente &amp; Stuff'!DO:EP,9,FALSE)</f>
        <v>0</v>
      </c>
      <c r="L49" s="113">
        <f>VLOOKUP(C49,'Talente &amp; Stuff'!DO:EP,10,FALSE)</f>
        <v>0</v>
      </c>
      <c r="M49" s="119">
        <f>VLOOKUP(C49,'Talente &amp; Stuff'!DO:EP,11,FALSE)</f>
        <v>0</v>
      </c>
      <c r="N49" s="89">
        <f>VLOOKUP(C49,'Talente &amp; Stuff'!DO:EP,12,FALSE)</f>
        <v>0</v>
      </c>
      <c r="O49" s="47">
        <f>VLOOKUP(C49,'Talente &amp; Stuff'!DO:EP,13,FALSE)</f>
        <v>0</v>
      </c>
      <c r="P49" s="119">
        <f>VLOOKUP(C49,'Talente &amp; Stuff'!DO:EP,14,FALSE)</f>
        <v>0</v>
      </c>
      <c r="Q49" s="114">
        <f>VLOOKUP(C49,'Talente &amp; Stuff'!DO:EP,15,FALSE)</f>
        <v>0</v>
      </c>
      <c r="R49" s="113">
        <f>VLOOKUP(C49,'Talente &amp; Stuff'!DO:EP,16,FALSE)</f>
        <v>0</v>
      </c>
      <c r="S49" s="119">
        <f>VLOOKUP(C49,'Talente &amp; Stuff'!DO:EP,17,FALSE)</f>
        <v>0</v>
      </c>
      <c r="T49" s="160">
        <f>VLOOKUP(C49,'Talente &amp; Stuff'!DO:EP,18,FALSE)</f>
        <v>0</v>
      </c>
      <c r="U49" s="89">
        <f>VLOOKUP(C49,'Talente &amp; Stuff'!DO:EP,19,FALSE)</f>
        <v>0</v>
      </c>
      <c r="V49" s="47">
        <f>VLOOKUP(C49,'Talente &amp; Stuff'!DO:EP,20,FALSE)</f>
        <v>0</v>
      </c>
      <c r="W49" s="127">
        <f>VLOOKUP(C49,'Talente &amp; Stuff'!DO:EP,21,FALSE)</f>
        <v>0</v>
      </c>
      <c r="X49" s="125">
        <f>VLOOKUP(C49,'Talente &amp; Stuff'!DO:EP,22,FALSE)</f>
        <v>0</v>
      </c>
      <c r="Y49" s="165">
        <f t="shared" si="6"/>
        <v>0</v>
      </c>
      <c r="Z49" s="44">
        <f t="shared" si="7"/>
        <v>0</v>
      </c>
      <c r="AA49" s="125">
        <f>VLOOKUP(C49,'Talente &amp; Stuff'!DO:EP,25,FALSE)</f>
        <v>0</v>
      </c>
      <c r="AB49" s="160">
        <f>VLOOKUP(C49,'Talente &amp; Stuff'!DO:EP,26,FALSE)</f>
        <v>0</v>
      </c>
      <c r="AC49" s="127">
        <f>VLOOKUP(C49,'Talente &amp; Stuff'!DO:EP,27,FALSE)</f>
        <v>0</v>
      </c>
      <c r="AD49" s="125">
        <f>VLOOKUP(C49,'Talente &amp; Stuff'!DO:EP,28,FALSE)</f>
        <v>0</v>
      </c>
      <c r="AE49" s="28"/>
    </row>
    <row r="50" spans="2:31" ht="15" hidden="1" customHeight="1" outlineLevel="2">
      <c r="B50" s="148">
        <v>7</v>
      </c>
      <c r="C50" s="177" t="str">
        <f>Attribute!C50</f>
        <v>---</v>
      </c>
      <c r="D50" s="127" t="str">
        <f>VLOOKUP(C50,'Talente &amp; Stuff'!DO:EP,2,FALSE)</f>
        <v>--/--/--</v>
      </c>
      <c r="E50" s="125" t="str">
        <f>VLOOKUP(C50,'Talente &amp; Stuff'!DO:EP,3,FALSE)</f>
        <v>-</v>
      </c>
      <c r="F50" s="114">
        <f>VLOOKUP(C50,'Talente &amp; Stuff'!DO:EP,4,FALSE)</f>
        <v>0</v>
      </c>
      <c r="G50" s="113">
        <f>VLOOKUP(C50,'Talente &amp; Stuff'!DO:EP,5,FALSE)</f>
        <v>0</v>
      </c>
      <c r="H50" s="113">
        <f>VLOOKUP(C50,'Talente &amp; Stuff'!DO:EP,6,FALSE)</f>
        <v>0</v>
      </c>
      <c r="I50" s="113">
        <f>VLOOKUP(C50,'Talente &amp; Stuff'!DO:EP,7,FALSE)</f>
        <v>0</v>
      </c>
      <c r="J50" s="113">
        <f>VLOOKUP(C50,'Talente &amp; Stuff'!DO:EP,8,FALSE)</f>
        <v>0</v>
      </c>
      <c r="K50" s="113">
        <f>VLOOKUP(C50,'Talente &amp; Stuff'!DO:EP,9,FALSE)</f>
        <v>0</v>
      </c>
      <c r="L50" s="113">
        <f>VLOOKUP(C50,'Talente &amp; Stuff'!DO:EP,10,FALSE)</f>
        <v>0</v>
      </c>
      <c r="M50" s="119">
        <f>VLOOKUP(C50,'Talente &amp; Stuff'!DO:EP,11,FALSE)</f>
        <v>0</v>
      </c>
      <c r="N50" s="89">
        <f>VLOOKUP(C50,'Talente &amp; Stuff'!DO:EP,12,FALSE)</f>
        <v>0</v>
      </c>
      <c r="O50" s="47">
        <f>VLOOKUP(C50,'Talente &amp; Stuff'!DO:EP,13,FALSE)</f>
        <v>0</v>
      </c>
      <c r="P50" s="119">
        <f>VLOOKUP(C50,'Talente &amp; Stuff'!DO:EP,14,FALSE)</f>
        <v>0</v>
      </c>
      <c r="Q50" s="114">
        <f>VLOOKUP(C50,'Talente &amp; Stuff'!DO:EP,15,FALSE)</f>
        <v>0</v>
      </c>
      <c r="R50" s="113">
        <f>VLOOKUP(C50,'Talente &amp; Stuff'!DO:EP,16,FALSE)</f>
        <v>0</v>
      </c>
      <c r="S50" s="119">
        <f>VLOOKUP(C50,'Talente &amp; Stuff'!DO:EP,17,FALSE)</f>
        <v>0</v>
      </c>
      <c r="T50" s="160">
        <f>VLOOKUP(C50,'Talente &amp; Stuff'!DO:EP,18,FALSE)</f>
        <v>0</v>
      </c>
      <c r="U50" s="89">
        <f>VLOOKUP(C50,'Talente &amp; Stuff'!DO:EP,19,FALSE)</f>
        <v>0</v>
      </c>
      <c r="V50" s="47">
        <f>VLOOKUP(C50,'Talente &amp; Stuff'!DO:EP,20,FALSE)</f>
        <v>0</v>
      </c>
      <c r="W50" s="127">
        <f>VLOOKUP(C50,'Talente &amp; Stuff'!DO:EP,21,FALSE)</f>
        <v>0</v>
      </c>
      <c r="X50" s="125">
        <f>VLOOKUP(C50,'Talente &amp; Stuff'!DO:EP,22,FALSE)</f>
        <v>0</v>
      </c>
      <c r="Y50" s="165">
        <f t="shared" si="6"/>
        <v>0</v>
      </c>
      <c r="Z50" s="44">
        <f t="shared" si="7"/>
        <v>0</v>
      </c>
      <c r="AA50" s="125">
        <f>VLOOKUP(C50,'Talente &amp; Stuff'!DO:EP,25,FALSE)</f>
        <v>0</v>
      </c>
      <c r="AB50" s="160">
        <f>VLOOKUP(C50,'Talente &amp; Stuff'!DO:EP,26,FALSE)</f>
        <v>0</v>
      </c>
      <c r="AC50" s="127">
        <f>VLOOKUP(C50,'Talente &amp; Stuff'!DO:EP,27,FALSE)</f>
        <v>0</v>
      </c>
      <c r="AD50" s="125">
        <f>VLOOKUP(C50,'Talente &amp; Stuff'!DO:EP,28,FALSE)</f>
        <v>0</v>
      </c>
      <c r="AE50" s="28"/>
    </row>
    <row r="51" spans="2:31" ht="15" hidden="1" customHeight="1" outlineLevel="2">
      <c r="B51" s="148">
        <v>8</v>
      </c>
      <c r="C51" s="177" t="str">
        <f>Attribute!C51</f>
        <v>---</v>
      </c>
      <c r="D51" s="127" t="str">
        <f>VLOOKUP(C51,'Talente &amp; Stuff'!DO:EP,2,FALSE)</f>
        <v>--/--/--</v>
      </c>
      <c r="E51" s="125" t="str">
        <f>VLOOKUP(C51,'Talente &amp; Stuff'!DO:EP,3,FALSE)</f>
        <v>-</v>
      </c>
      <c r="F51" s="114">
        <f>VLOOKUP(C51,'Talente &amp; Stuff'!DO:EP,4,FALSE)</f>
        <v>0</v>
      </c>
      <c r="G51" s="113">
        <f>VLOOKUP(C51,'Talente &amp; Stuff'!DO:EP,5,FALSE)</f>
        <v>0</v>
      </c>
      <c r="H51" s="113">
        <f>VLOOKUP(C51,'Talente &amp; Stuff'!DO:EP,6,FALSE)</f>
        <v>0</v>
      </c>
      <c r="I51" s="113">
        <f>VLOOKUP(C51,'Talente &amp; Stuff'!DO:EP,7,FALSE)</f>
        <v>0</v>
      </c>
      <c r="J51" s="113">
        <f>VLOOKUP(C51,'Talente &amp; Stuff'!DO:EP,8,FALSE)</f>
        <v>0</v>
      </c>
      <c r="K51" s="113">
        <f>VLOOKUP(C51,'Talente &amp; Stuff'!DO:EP,9,FALSE)</f>
        <v>0</v>
      </c>
      <c r="L51" s="113">
        <f>VLOOKUP(C51,'Talente &amp; Stuff'!DO:EP,10,FALSE)</f>
        <v>0</v>
      </c>
      <c r="M51" s="119">
        <f>VLOOKUP(C51,'Talente &amp; Stuff'!DO:EP,11,FALSE)</f>
        <v>0</v>
      </c>
      <c r="N51" s="89">
        <f>VLOOKUP(C51,'Talente &amp; Stuff'!DO:EP,12,FALSE)</f>
        <v>0</v>
      </c>
      <c r="O51" s="47">
        <f>VLOOKUP(C51,'Talente &amp; Stuff'!DO:EP,13,FALSE)</f>
        <v>0</v>
      </c>
      <c r="P51" s="119">
        <f>VLOOKUP(C51,'Talente &amp; Stuff'!DO:EP,14,FALSE)</f>
        <v>0</v>
      </c>
      <c r="Q51" s="114">
        <f>VLOOKUP(C51,'Talente &amp; Stuff'!DO:EP,15,FALSE)</f>
        <v>0</v>
      </c>
      <c r="R51" s="113">
        <f>VLOOKUP(C51,'Talente &amp; Stuff'!DO:EP,16,FALSE)</f>
        <v>0</v>
      </c>
      <c r="S51" s="119">
        <f>VLOOKUP(C51,'Talente &amp; Stuff'!DO:EP,17,FALSE)</f>
        <v>0</v>
      </c>
      <c r="T51" s="160">
        <f>VLOOKUP(C51,'Talente &amp; Stuff'!DO:EP,18,FALSE)</f>
        <v>0</v>
      </c>
      <c r="U51" s="89">
        <f>VLOOKUP(C51,'Talente &amp; Stuff'!DO:EP,19,FALSE)</f>
        <v>0</v>
      </c>
      <c r="V51" s="47">
        <f>VLOOKUP(C51,'Talente &amp; Stuff'!DO:EP,20,FALSE)</f>
        <v>0</v>
      </c>
      <c r="W51" s="127">
        <f>VLOOKUP(C51,'Talente &amp; Stuff'!DO:EP,21,FALSE)</f>
        <v>0</v>
      </c>
      <c r="X51" s="125">
        <f>VLOOKUP(C51,'Talente &amp; Stuff'!DO:EP,22,FALSE)</f>
        <v>0</v>
      </c>
      <c r="Y51" s="165">
        <f t="shared" si="6"/>
        <v>0</v>
      </c>
      <c r="Z51" s="44">
        <f t="shared" si="7"/>
        <v>0</v>
      </c>
      <c r="AA51" s="125">
        <f>VLOOKUP(C51,'Talente &amp; Stuff'!DO:EP,25,FALSE)</f>
        <v>0</v>
      </c>
      <c r="AB51" s="160">
        <f>VLOOKUP(C51,'Talente &amp; Stuff'!DO:EP,26,FALSE)</f>
        <v>0</v>
      </c>
      <c r="AC51" s="127">
        <f>VLOOKUP(C51,'Talente &amp; Stuff'!DO:EP,27,FALSE)</f>
        <v>0</v>
      </c>
      <c r="AD51" s="125">
        <f>VLOOKUP(C51,'Talente &amp; Stuff'!DO:EP,28,FALSE)</f>
        <v>0</v>
      </c>
      <c r="AE51" s="28"/>
    </row>
    <row r="52" spans="2:31" ht="15" hidden="1" customHeight="1" outlineLevel="2">
      <c r="B52" s="148">
        <v>9</v>
      </c>
      <c r="C52" s="177" t="str">
        <f>Attribute!C52</f>
        <v>---</v>
      </c>
      <c r="D52" s="127" t="str">
        <f>VLOOKUP(C52,'Talente &amp; Stuff'!DO:EP,2,FALSE)</f>
        <v>--/--/--</v>
      </c>
      <c r="E52" s="125" t="str">
        <f>VLOOKUP(C52,'Talente &amp; Stuff'!DO:EP,3,FALSE)</f>
        <v>-</v>
      </c>
      <c r="F52" s="114">
        <f>VLOOKUP(C52,'Talente &amp; Stuff'!DO:EP,4,FALSE)</f>
        <v>0</v>
      </c>
      <c r="G52" s="113">
        <f>VLOOKUP(C52,'Talente &amp; Stuff'!DO:EP,5,FALSE)</f>
        <v>0</v>
      </c>
      <c r="H52" s="113">
        <f>VLOOKUP(C52,'Talente &amp; Stuff'!DO:EP,6,FALSE)</f>
        <v>0</v>
      </c>
      <c r="I52" s="113">
        <f>VLOOKUP(C52,'Talente &amp; Stuff'!DO:EP,7,FALSE)</f>
        <v>0</v>
      </c>
      <c r="J52" s="113">
        <f>VLOOKUP(C52,'Talente &amp; Stuff'!DO:EP,8,FALSE)</f>
        <v>0</v>
      </c>
      <c r="K52" s="113">
        <f>VLOOKUP(C52,'Talente &amp; Stuff'!DO:EP,9,FALSE)</f>
        <v>0</v>
      </c>
      <c r="L52" s="113">
        <f>VLOOKUP(C52,'Talente &amp; Stuff'!DO:EP,10,FALSE)</f>
        <v>0</v>
      </c>
      <c r="M52" s="119">
        <f>VLOOKUP(C52,'Talente &amp; Stuff'!DO:EP,11,FALSE)</f>
        <v>0</v>
      </c>
      <c r="N52" s="89">
        <f>VLOOKUP(C52,'Talente &amp; Stuff'!DO:EP,12,FALSE)</f>
        <v>0</v>
      </c>
      <c r="O52" s="47">
        <f>VLOOKUP(C52,'Talente &amp; Stuff'!DO:EP,13,FALSE)</f>
        <v>0</v>
      </c>
      <c r="P52" s="119">
        <f>VLOOKUP(C52,'Talente &amp; Stuff'!DO:EP,14,FALSE)</f>
        <v>0</v>
      </c>
      <c r="Q52" s="114">
        <f>VLOOKUP(C52,'Talente &amp; Stuff'!DO:EP,15,FALSE)</f>
        <v>0</v>
      </c>
      <c r="R52" s="113">
        <f>VLOOKUP(C52,'Talente &amp; Stuff'!DO:EP,16,FALSE)</f>
        <v>0</v>
      </c>
      <c r="S52" s="119">
        <f>VLOOKUP(C52,'Talente &amp; Stuff'!DO:EP,17,FALSE)</f>
        <v>0</v>
      </c>
      <c r="T52" s="160">
        <f>VLOOKUP(C52,'Talente &amp; Stuff'!DO:EP,18,FALSE)</f>
        <v>0</v>
      </c>
      <c r="U52" s="89">
        <f>VLOOKUP(C52,'Talente &amp; Stuff'!DO:EP,19,FALSE)</f>
        <v>0</v>
      </c>
      <c r="V52" s="47">
        <f>VLOOKUP(C52,'Talente &amp; Stuff'!DO:EP,20,FALSE)</f>
        <v>0</v>
      </c>
      <c r="W52" s="127">
        <f>VLOOKUP(C52,'Talente &amp; Stuff'!DO:EP,21,FALSE)</f>
        <v>0</v>
      </c>
      <c r="X52" s="125">
        <f>VLOOKUP(C52,'Talente &amp; Stuff'!DO:EP,22,FALSE)</f>
        <v>0</v>
      </c>
      <c r="Y52" s="165">
        <f t="shared" si="6"/>
        <v>0</v>
      </c>
      <c r="Z52" s="44">
        <f t="shared" si="7"/>
        <v>0</v>
      </c>
      <c r="AA52" s="125">
        <f>VLOOKUP(C52,'Talente &amp; Stuff'!DO:EP,25,FALSE)</f>
        <v>0</v>
      </c>
      <c r="AB52" s="160">
        <f>VLOOKUP(C52,'Talente &amp; Stuff'!DO:EP,26,FALSE)</f>
        <v>0</v>
      </c>
      <c r="AC52" s="127">
        <f>VLOOKUP(C52,'Talente &amp; Stuff'!DO:EP,27,FALSE)</f>
        <v>0</v>
      </c>
      <c r="AD52" s="125">
        <f>VLOOKUP(C52,'Talente &amp; Stuff'!DO:EP,28,FALSE)</f>
        <v>0</v>
      </c>
      <c r="AE52" s="28"/>
    </row>
    <row r="53" spans="2:31" ht="15" hidden="1" customHeight="1" outlineLevel="2">
      <c r="B53" s="148">
        <v>10</v>
      </c>
      <c r="C53" s="177" t="str">
        <f>Attribute!C53</f>
        <v>---</v>
      </c>
      <c r="D53" s="127" t="str">
        <f>VLOOKUP(C53,'Talente &amp; Stuff'!DO:EP,2,FALSE)</f>
        <v>--/--/--</v>
      </c>
      <c r="E53" s="125" t="str">
        <f>VLOOKUP(C53,'Talente &amp; Stuff'!DO:EP,3,FALSE)</f>
        <v>-</v>
      </c>
      <c r="F53" s="114">
        <f>VLOOKUP(C53,'Talente &amp; Stuff'!DO:EP,4,FALSE)</f>
        <v>0</v>
      </c>
      <c r="G53" s="113">
        <f>VLOOKUP(C53,'Talente &amp; Stuff'!DO:EP,5,FALSE)</f>
        <v>0</v>
      </c>
      <c r="H53" s="113">
        <f>VLOOKUP(C53,'Talente &amp; Stuff'!DO:EP,6,FALSE)</f>
        <v>0</v>
      </c>
      <c r="I53" s="113">
        <f>VLOOKUP(C53,'Talente &amp; Stuff'!DO:EP,7,FALSE)</f>
        <v>0</v>
      </c>
      <c r="J53" s="113">
        <f>VLOOKUP(C53,'Talente &amp; Stuff'!DO:EP,8,FALSE)</f>
        <v>0</v>
      </c>
      <c r="K53" s="113">
        <f>VLOOKUP(C53,'Talente &amp; Stuff'!DO:EP,9,FALSE)</f>
        <v>0</v>
      </c>
      <c r="L53" s="113">
        <f>VLOOKUP(C53,'Talente &amp; Stuff'!DO:EP,10,FALSE)</f>
        <v>0</v>
      </c>
      <c r="M53" s="119">
        <f>VLOOKUP(C53,'Talente &amp; Stuff'!DO:EP,11,FALSE)</f>
        <v>0</v>
      </c>
      <c r="N53" s="89">
        <f>VLOOKUP(C53,'Talente &amp; Stuff'!DO:EP,12,FALSE)</f>
        <v>0</v>
      </c>
      <c r="O53" s="47">
        <f>VLOOKUP(C53,'Talente &amp; Stuff'!DO:EP,13,FALSE)</f>
        <v>0</v>
      </c>
      <c r="P53" s="119">
        <f>VLOOKUP(C53,'Talente &amp; Stuff'!DO:EP,14,FALSE)</f>
        <v>0</v>
      </c>
      <c r="Q53" s="114">
        <f>VLOOKUP(C53,'Talente &amp; Stuff'!DO:EP,15,FALSE)</f>
        <v>0</v>
      </c>
      <c r="R53" s="113">
        <f>VLOOKUP(C53,'Talente &amp; Stuff'!DO:EP,16,FALSE)</f>
        <v>0</v>
      </c>
      <c r="S53" s="119">
        <f>VLOOKUP(C53,'Talente &amp; Stuff'!DO:EP,17,FALSE)</f>
        <v>0</v>
      </c>
      <c r="T53" s="160">
        <f>VLOOKUP(C53,'Talente &amp; Stuff'!DO:EP,18,FALSE)</f>
        <v>0</v>
      </c>
      <c r="U53" s="89">
        <f>VLOOKUP(C53,'Talente &amp; Stuff'!DO:EP,19,FALSE)</f>
        <v>0</v>
      </c>
      <c r="V53" s="47">
        <f>VLOOKUP(C53,'Talente &amp; Stuff'!DO:EP,20,FALSE)</f>
        <v>0</v>
      </c>
      <c r="W53" s="127">
        <f>VLOOKUP(C53,'Talente &amp; Stuff'!DO:EP,21,FALSE)</f>
        <v>0</v>
      </c>
      <c r="X53" s="125">
        <f>VLOOKUP(C53,'Talente &amp; Stuff'!DO:EP,22,FALSE)</f>
        <v>0</v>
      </c>
      <c r="Y53" s="165">
        <f t="shared" si="6"/>
        <v>0</v>
      </c>
      <c r="Z53" s="44">
        <f t="shared" si="7"/>
        <v>0</v>
      </c>
      <c r="AA53" s="125">
        <f>VLOOKUP(C53,'Talente &amp; Stuff'!DO:EP,25,FALSE)</f>
        <v>0</v>
      </c>
      <c r="AB53" s="160">
        <f>VLOOKUP(C53,'Talente &amp; Stuff'!DO:EP,26,FALSE)</f>
        <v>0</v>
      </c>
      <c r="AC53" s="127">
        <f>VLOOKUP(C53,'Talente &amp; Stuff'!DO:EP,27,FALSE)</f>
        <v>0</v>
      </c>
      <c r="AD53" s="125">
        <f>VLOOKUP(C53,'Talente &amp; Stuff'!DO:EP,28,FALSE)</f>
        <v>0</v>
      </c>
      <c r="AE53" s="28"/>
    </row>
    <row r="54" spans="2:31" ht="15" hidden="1" customHeight="1" outlineLevel="2">
      <c r="B54" s="148">
        <v>11</v>
      </c>
      <c r="C54" s="177" t="str">
        <f>Attribute!C54</f>
        <v>---</v>
      </c>
      <c r="D54" s="127" t="str">
        <f>VLOOKUP(C54,'Talente &amp; Stuff'!DO:EP,2,FALSE)</f>
        <v>--/--/--</v>
      </c>
      <c r="E54" s="125" t="str">
        <f>VLOOKUP(C54,'Talente &amp; Stuff'!DO:EP,3,FALSE)</f>
        <v>-</v>
      </c>
      <c r="F54" s="114">
        <f>VLOOKUP(C54,'Talente &amp; Stuff'!DO:EP,4,FALSE)</f>
        <v>0</v>
      </c>
      <c r="G54" s="113">
        <f>VLOOKUP(C54,'Talente &amp; Stuff'!DO:EP,5,FALSE)</f>
        <v>0</v>
      </c>
      <c r="H54" s="113">
        <f>VLOOKUP(C54,'Talente &amp; Stuff'!DO:EP,6,FALSE)</f>
        <v>0</v>
      </c>
      <c r="I54" s="113">
        <f>VLOOKUP(C54,'Talente &amp; Stuff'!DO:EP,7,FALSE)</f>
        <v>0</v>
      </c>
      <c r="J54" s="113">
        <f>VLOOKUP(C54,'Talente &amp; Stuff'!DO:EP,8,FALSE)</f>
        <v>0</v>
      </c>
      <c r="K54" s="113">
        <f>VLOOKUP(C54,'Talente &amp; Stuff'!DO:EP,9,FALSE)</f>
        <v>0</v>
      </c>
      <c r="L54" s="113">
        <f>VLOOKUP(C54,'Talente &amp; Stuff'!DO:EP,10,FALSE)</f>
        <v>0</v>
      </c>
      <c r="M54" s="119">
        <f>VLOOKUP(C54,'Talente &amp; Stuff'!DO:EP,11,FALSE)</f>
        <v>0</v>
      </c>
      <c r="N54" s="89">
        <f>VLOOKUP(C54,'Talente &amp; Stuff'!DO:EP,12,FALSE)</f>
        <v>0</v>
      </c>
      <c r="O54" s="47">
        <f>VLOOKUP(C54,'Talente &amp; Stuff'!DO:EP,13,FALSE)</f>
        <v>0</v>
      </c>
      <c r="P54" s="119">
        <f>VLOOKUP(C54,'Talente &amp; Stuff'!DO:EP,14,FALSE)</f>
        <v>0</v>
      </c>
      <c r="Q54" s="114">
        <f>VLOOKUP(C54,'Talente &amp; Stuff'!DO:EP,15,FALSE)</f>
        <v>0</v>
      </c>
      <c r="R54" s="113">
        <f>VLOOKUP(C54,'Talente &amp; Stuff'!DO:EP,16,FALSE)</f>
        <v>0</v>
      </c>
      <c r="S54" s="119">
        <f>VLOOKUP(C54,'Talente &amp; Stuff'!DO:EP,17,FALSE)</f>
        <v>0</v>
      </c>
      <c r="T54" s="160">
        <f>VLOOKUP(C54,'Talente &amp; Stuff'!DO:EP,18,FALSE)</f>
        <v>0</v>
      </c>
      <c r="U54" s="89">
        <f>VLOOKUP(C54,'Talente &amp; Stuff'!DO:EP,19,FALSE)</f>
        <v>0</v>
      </c>
      <c r="V54" s="47">
        <f>VLOOKUP(C54,'Talente &amp; Stuff'!DO:EP,20,FALSE)</f>
        <v>0</v>
      </c>
      <c r="W54" s="127">
        <f>VLOOKUP(C54,'Talente &amp; Stuff'!DO:EP,21,FALSE)</f>
        <v>0</v>
      </c>
      <c r="X54" s="125">
        <f>VLOOKUP(C54,'Talente &amp; Stuff'!DO:EP,22,FALSE)</f>
        <v>0</v>
      </c>
      <c r="Y54" s="165">
        <f t="shared" si="6"/>
        <v>0</v>
      </c>
      <c r="Z54" s="44">
        <f t="shared" si="7"/>
        <v>0</v>
      </c>
      <c r="AA54" s="125">
        <f>VLOOKUP(C54,'Talente &amp; Stuff'!DO:EP,25,FALSE)</f>
        <v>0</v>
      </c>
      <c r="AB54" s="160">
        <f>VLOOKUP(C54,'Talente &amp; Stuff'!DO:EP,26,FALSE)</f>
        <v>0</v>
      </c>
      <c r="AC54" s="127">
        <f>VLOOKUP(C54,'Talente &amp; Stuff'!DO:EP,27,FALSE)</f>
        <v>0</v>
      </c>
      <c r="AD54" s="125">
        <f>VLOOKUP(C54,'Talente &amp; Stuff'!DO:EP,28,FALSE)</f>
        <v>0</v>
      </c>
      <c r="AE54" s="28"/>
    </row>
    <row r="55" spans="2:31" ht="15" hidden="1" customHeight="1" outlineLevel="2">
      <c r="B55" s="148">
        <v>12</v>
      </c>
      <c r="C55" s="178" t="str">
        <f>Attribute!C55</f>
        <v>---</v>
      </c>
      <c r="D55" s="128" t="str">
        <f>VLOOKUP(C55,'Talente &amp; Stuff'!DO:EP,2,FALSE)</f>
        <v>--/--/--</v>
      </c>
      <c r="E55" s="159" t="str">
        <f>VLOOKUP(C55,'Talente &amp; Stuff'!DO:EP,3,FALSE)</f>
        <v>-</v>
      </c>
      <c r="F55" s="115">
        <f>VLOOKUP(C55,'Talente &amp; Stuff'!DO:EP,4,FALSE)</f>
        <v>0</v>
      </c>
      <c r="G55" s="122">
        <f>VLOOKUP(C55,'Talente &amp; Stuff'!DO:EP,5,FALSE)</f>
        <v>0</v>
      </c>
      <c r="H55" s="122">
        <f>VLOOKUP(C55,'Talente &amp; Stuff'!DO:EP,6,FALSE)</f>
        <v>0</v>
      </c>
      <c r="I55" s="122">
        <f>VLOOKUP(C55,'Talente &amp; Stuff'!DO:EP,7,FALSE)</f>
        <v>0</v>
      </c>
      <c r="J55" s="122">
        <f>VLOOKUP(C55,'Talente &amp; Stuff'!DO:EP,8,FALSE)</f>
        <v>0</v>
      </c>
      <c r="K55" s="122">
        <f>VLOOKUP(C55,'Talente &amp; Stuff'!DO:EP,9,FALSE)</f>
        <v>0</v>
      </c>
      <c r="L55" s="122">
        <f>VLOOKUP(C55,'Talente &amp; Stuff'!DO:EP,10,FALSE)</f>
        <v>0</v>
      </c>
      <c r="M55" s="123">
        <f>VLOOKUP(C55,'Talente &amp; Stuff'!DO:EP,11,FALSE)</f>
        <v>0</v>
      </c>
      <c r="N55" s="90">
        <f>VLOOKUP(C55,'Talente &amp; Stuff'!DO:EP,12,FALSE)</f>
        <v>0</v>
      </c>
      <c r="O55" s="88">
        <f>VLOOKUP(C55,'Talente &amp; Stuff'!DO:EP,13,FALSE)</f>
        <v>0</v>
      </c>
      <c r="P55" s="123">
        <f>VLOOKUP(C55,'Talente &amp; Stuff'!DO:EP,14,FALSE)</f>
        <v>0</v>
      </c>
      <c r="Q55" s="115">
        <f>VLOOKUP(C55,'Talente &amp; Stuff'!DO:EP,15,FALSE)</f>
        <v>0</v>
      </c>
      <c r="R55" s="122">
        <f>VLOOKUP(C55,'Talente &amp; Stuff'!DO:EP,16,FALSE)</f>
        <v>0</v>
      </c>
      <c r="S55" s="123">
        <f>VLOOKUP(C55,'Talente &amp; Stuff'!DO:EP,17,FALSE)</f>
        <v>0</v>
      </c>
      <c r="T55" s="161">
        <f>VLOOKUP(C55,'Talente &amp; Stuff'!DO:EP,18,FALSE)</f>
        <v>0</v>
      </c>
      <c r="U55" s="90">
        <f>VLOOKUP(C55,'Talente &amp; Stuff'!DO:EP,19,FALSE)</f>
        <v>0</v>
      </c>
      <c r="V55" s="88">
        <f>VLOOKUP(C55,'Talente &amp; Stuff'!DO:EP,20,FALSE)</f>
        <v>0</v>
      </c>
      <c r="W55" s="128">
        <f>VLOOKUP(C55,'Talente &amp; Stuff'!DO:EP,21,FALSE)</f>
        <v>0</v>
      </c>
      <c r="X55" s="159">
        <f>VLOOKUP(C55,'Talente &amp; Stuff'!DO:EP,22,FALSE)</f>
        <v>0</v>
      </c>
      <c r="Y55" s="165">
        <f t="shared" si="6"/>
        <v>0</v>
      </c>
      <c r="Z55" s="44">
        <f t="shared" si="7"/>
        <v>0</v>
      </c>
      <c r="AA55" s="159">
        <f>VLOOKUP(C55,'Talente &amp; Stuff'!DO:EP,25,FALSE)</f>
        <v>0</v>
      </c>
      <c r="AB55" s="161">
        <f>VLOOKUP(C55,'Talente &amp; Stuff'!DO:EP,26,FALSE)</f>
        <v>0</v>
      </c>
      <c r="AC55" s="128">
        <f>VLOOKUP(C55,'Talente &amp; Stuff'!DO:EP,27,FALSE)</f>
        <v>0</v>
      </c>
      <c r="AD55" s="159">
        <f>VLOOKUP(C55,'Talente &amp; Stuff'!DO:EP,28,FALSE)</f>
        <v>0</v>
      </c>
      <c r="AE55" s="28"/>
    </row>
    <row r="56" spans="2:31" ht="15" hidden="1" customHeight="1" outlineLevel="1" collapsed="1">
      <c r="B56" s="134" t="s">
        <v>71</v>
      </c>
      <c r="C56" s="83"/>
      <c r="D56" s="84"/>
      <c r="E56" s="84"/>
      <c r="F56" s="30"/>
      <c r="G56" s="30"/>
      <c r="H56" s="30"/>
      <c r="I56" s="30"/>
      <c r="J56" s="30"/>
      <c r="K56" s="30"/>
      <c r="L56" s="30"/>
      <c r="M56" s="30"/>
      <c r="N56" s="31"/>
      <c r="O56" s="31"/>
      <c r="P56" s="30"/>
      <c r="Q56" s="30"/>
      <c r="R56" s="30"/>
      <c r="S56" s="30"/>
      <c r="T56" s="30"/>
      <c r="U56" s="31"/>
      <c r="V56" s="31"/>
      <c r="W56" s="31"/>
      <c r="X56" s="31"/>
      <c r="Y56" s="65"/>
    </row>
    <row r="57" spans="2:31" ht="15" hidden="1" customHeight="1" outlineLevel="2">
      <c r="B57" s="148">
        <v>1</v>
      </c>
      <c r="C57" s="176" t="str">
        <f>Attribute!C57</f>
        <v>---</v>
      </c>
      <c r="D57" s="126" t="str">
        <f>VLOOKUP(C57,'Talente &amp; Stuff'!DO:EP,2,FALSE)</f>
        <v>--/--/--</v>
      </c>
      <c r="E57" s="158" t="str">
        <f>VLOOKUP(C57,'Talente &amp; Stuff'!DO:EP,3,FALSE)</f>
        <v>-</v>
      </c>
      <c r="F57" s="191">
        <f>VLOOKUP(C57,'Talente &amp; Stuff'!DO:EP,4,FALSE)</f>
        <v>0</v>
      </c>
      <c r="G57" s="118">
        <f>VLOOKUP(C57,'Talente &amp; Stuff'!DO:EP,5,FALSE)</f>
        <v>0</v>
      </c>
      <c r="H57" s="118">
        <f>VLOOKUP(C57,'Talente &amp; Stuff'!DO:EP,6,FALSE)</f>
        <v>0</v>
      </c>
      <c r="I57" s="118">
        <f>VLOOKUP(C57,'Talente &amp; Stuff'!DO:EP,7,FALSE)</f>
        <v>0</v>
      </c>
      <c r="J57" s="118">
        <f>VLOOKUP(C57,'Talente &amp; Stuff'!DO:EP,8,FALSE)</f>
        <v>0</v>
      </c>
      <c r="K57" s="118">
        <f>VLOOKUP(C57,'Talente &amp; Stuff'!DO:EP,9,FALSE)</f>
        <v>0</v>
      </c>
      <c r="L57" s="118">
        <f>VLOOKUP(C57,'Talente &amp; Stuff'!DO:EP,10,FALSE)</f>
        <v>0</v>
      </c>
      <c r="M57" s="92">
        <f>VLOOKUP(C57,'Talente &amp; Stuff'!DO:EP,11,FALSE)</f>
        <v>0</v>
      </c>
      <c r="N57" s="193">
        <f>VLOOKUP(C57,'Talente &amp; Stuff'!DO:EP,12,FALSE)</f>
        <v>0</v>
      </c>
      <c r="O57" s="116">
        <f>VLOOKUP(C57,'Talente &amp; Stuff'!DO:EP,13,FALSE)</f>
        <v>0</v>
      </c>
      <c r="P57" s="92">
        <f>VLOOKUP(C57,'Talente &amp; Stuff'!DO:EP,14,FALSE)</f>
        <v>0</v>
      </c>
      <c r="Q57" s="191">
        <f>VLOOKUP(C57,'Talente &amp; Stuff'!DO:EP,15,FALSE)</f>
        <v>0</v>
      </c>
      <c r="R57" s="118">
        <f>VLOOKUP(C57,'Talente &amp; Stuff'!DO:EP,16,FALSE)</f>
        <v>0</v>
      </c>
      <c r="S57" s="92">
        <f>VLOOKUP(C57,'Talente &amp; Stuff'!DO:EP,17,FALSE)</f>
        <v>0</v>
      </c>
      <c r="T57" s="91">
        <f>VLOOKUP(C57,'Talente &amp; Stuff'!DO:EP,18,FALSE)</f>
        <v>0</v>
      </c>
      <c r="U57" s="193">
        <f>VLOOKUP(C57,'Talente &amp; Stuff'!DO:EP,19,FALSE)</f>
        <v>0</v>
      </c>
      <c r="V57" s="116">
        <f>VLOOKUP(C57,'Talente &amp; Stuff'!DO:EP,20,FALSE)</f>
        <v>0</v>
      </c>
      <c r="W57" s="126">
        <f>VLOOKUP(C57,'Talente &amp; Stuff'!DO:EP,21,FALSE)</f>
        <v>0</v>
      </c>
      <c r="X57" s="158">
        <f>VLOOKUP(C57,'Talente &amp; Stuff'!DO:EP,22,FALSE)</f>
        <v>0</v>
      </c>
      <c r="Y57" s="165">
        <f t="shared" ref="Y57:Y73" si="8">VLOOKUP(C57,Ausgewählte_Talente_Handwerkstalente,139,FALSE)</f>
        <v>0</v>
      </c>
      <c r="Z57" s="44">
        <f t="shared" ref="Z57:Z73" si="9">VLOOKUP(C57,Ausgewählte_Talente_Handwerkstalente,140,FALSE)</f>
        <v>0</v>
      </c>
      <c r="AA57" s="158">
        <f>VLOOKUP(C57,'Talente &amp; Stuff'!DO:EP,25,FALSE)</f>
        <v>0</v>
      </c>
      <c r="AB57" s="91">
        <f>VLOOKUP(C57,'Talente &amp; Stuff'!DO:EP,26,FALSE)</f>
        <v>0</v>
      </c>
      <c r="AC57" s="126">
        <f>VLOOKUP(C57,'Talente &amp; Stuff'!DO:EP,27,FALSE)</f>
        <v>0</v>
      </c>
      <c r="AD57" s="158">
        <f>VLOOKUP(C57,'Talente &amp; Stuff'!DO:EP,28,FALSE)</f>
        <v>0</v>
      </c>
      <c r="AE57" s="28"/>
    </row>
    <row r="58" spans="2:31" ht="15" hidden="1" customHeight="1" outlineLevel="2">
      <c r="B58" s="148">
        <v>2</v>
      </c>
      <c r="C58" s="177" t="str">
        <f>Attribute!C58</f>
        <v>---</v>
      </c>
      <c r="D58" s="127" t="str">
        <f>VLOOKUP(C58,'Talente &amp; Stuff'!DO:EP,2,FALSE)</f>
        <v>--/--/--</v>
      </c>
      <c r="E58" s="125" t="str">
        <f>VLOOKUP(C58,'Talente &amp; Stuff'!DO:EP,3,FALSE)</f>
        <v>-</v>
      </c>
      <c r="F58" s="114">
        <f>VLOOKUP(C58,'Talente &amp; Stuff'!DO:EP,4,FALSE)</f>
        <v>0</v>
      </c>
      <c r="G58" s="113">
        <f>VLOOKUP(C58,'Talente &amp; Stuff'!DO:EP,5,FALSE)</f>
        <v>0</v>
      </c>
      <c r="H58" s="113">
        <f>VLOOKUP(C58,'Talente &amp; Stuff'!DO:EP,6,FALSE)</f>
        <v>0</v>
      </c>
      <c r="I58" s="113">
        <f>VLOOKUP(C58,'Talente &amp; Stuff'!DO:EP,7,FALSE)</f>
        <v>0</v>
      </c>
      <c r="J58" s="113">
        <f>VLOOKUP(C58,'Talente &amp; Stuff'!DO:EP,8,FALSE)</f>
        <v>0</v>
      </c>
      <c r="K58" s="113">
        <f>VLOOKUP(C58,'Talente &amp; Stuff'!DO:EP,9,FALSE)</f>
        <v>0</v>
      </c>
      <c r="L58" s="113">
        <f>VLOOKUP(C58,'Talente &amp; Stuff'!DO:EP,10,FALSE)</f>
        <v>0</v>
      </c>
      <c r="M58" s="119">
        <f>VLOOKUP(C58,'Talente &amp; Stuff'!DO:EP,11,FALSE)</f>
        <v>0</v>
      </c>
      <c r="N58" s="89">
        <f>VLOOKUP(C58,'Talente &amp; Stuff'!DO:EP,12,FALSE)</f>
        <v>0</v>
      </c>
      <c r="O58" s="47">
        <f>VLOOKUP(C58,'Talente &amp; Stuff'!DO:EP,13,FALSE)</f>
        <v>0</v>
      </c>
      <c r="P58" s="119">
        <f>VLOOKUP(C58,'Talente &amp; Stuff'!DO:EP,14,FALSE)</f>
        <v>0</v>
      </c>
      <c r="Q58" s="114">
        <f>VLOOKUP(C58,'Talente &amp; Stuff'!DO:EP,15,FALSE)</f>
        <v>0</v>
      </c>
      <c r="R58" s="113">
        <f>VLOOKUP(C58,'Talente &amp; Stuff'!DO:EP,16,FALSE)</f>
        <v>0</v>
      </c>
      <c r="S58" s="119">
        <f>VLOOKUP(C58,'Talente &amp; Stuff'!DO:EP,17,FALSE)</f>
        <v>0</v>
      </c>
      <c r="T58" s="160">
        <f>VLOOKUP(C58,'Talente &amp; Stuff'!DO:EP,18,FALSE)</f>
        <v>0</v>
      </c>
      <c r="U58" s="89">
        <f>VLOOKUP(C58,'Talente &amp; Stuff'!DO:EP,19,FALSE)</f>
        <v>0</v>
      </c>
      <c r="V58" s="47">
        <f>VLOOKUP(C58,'Talente &amp; Stuff'!DO:EP,20,FALSE)</f>
        <v>0</v>
      </c>
      <c r="W58" s="127">
        <f>VLOOKUP(C58,'Talente &amp; Stuff'!DO:EP,21,FALSE)</f>
        <v>0</v>
      </c>
      <c r="X58" s="125">
        <f>VLOOKUP(C58,'Talente &amp; Stuff'!DO:EP,22,FALSE)</f>
        <v>0</v>
      </c>
      <c r="Y58" s="165">
        <f t="shared" si="8"/>
        <v>0</v>
      </c>
      <c r="Z58" s="44">
        <f t="shared" si="9"/>
        <v>0</v>
      </c>
      <c r="AA58" s="125">
        <f>VLOOKUP(C58,'Talente &amp; Stuff'!DO:EP,25,FALSE)</f>
        <v>0</v>
      </c>
      <c r="AB58" s="160">
        <f>VLOOKUP(C58,'Talente &amp; Stuff'!DO:EP,26,FALSE)</f>
        <v>0</v>
      </c>
      <c r="AC58" s="127">
        <f>VLOOKUP(C58,'Talente &amp; Stuff'!DO:EP,27,FALSE)</f>
        <v>0</v>
      </c>
      <c r="AD58" s="125">
        <f>VLOOKUP(C58,'Talente &amp; Stuff'!DO:EP,28,FALSE)</f>
        <v>0</v>
      </c>
      <c r="AE58" s="28"/>
    </row>
    <row r="59" spans="2:31" ht="15" hidden="1" customHeight="1" outlineLevel="2">
      <c r="B59" s="148">
        <v>3</v>
      </c>
      <c r="C59" s="177" t="str">
        <f>Attribute!C59</f>
        <v>---</v>
      </c>
      <c r="D59" s="127" t="str">
        <f>VLOOKUP(C59,'Talente &amp; Stuff'!DO:EP,2,FALSE)</f>
        <v>--/--/--</v>
      </c>
      <c r="E59" s="125" t="str">
        <f>VLOOKUP(C59,'Talente &amp; Stuff'!DO:EP,3,FALSE)</f>
        <v>-</v>
      </c>
      <c r="F59" s="114">
        <f>VLOOKUP(C59,'Talente &amp; Stuff'!DO:EP,4,FALSE)</f>
        <v>0</v>
      </c>
      <c r="G59" s="113">
        <f>VLOOKUP(C59,'Talente &amp; Stuff'!DO:EP,5,FALSE)</f>
        <v>0</v>
      </c>
      <c r="H59" s="113">
        <f>VLOOKUP(C59,'Talente &amp; Stuff'!DO:EP,6,FALSE)</f>
        <v>0</v>
      </c>
      <c r="I59" s="113">
        <f>VLOOKUP(C59,'Talente &amp; Stuff'!DO:EP,7,FALSE)</f>
        <v>0</v>
      </c>
      <c r="J59" s="113">
        <f>VLOOKUP(C59,'Talente &amp; Stuff'!DO:EP,8,FALSE)</f>
        <v>0</v>
      </c>
      <c r="K59" s="113">
        <f>VLOOKUP(C59,'Talente &amp; Stuff'!DO:EP,9,FALSE)</f>
        <v>0</v>
      </c>
      <c r="L59" s="113">
        <f>VLOOKUP(C59,'Talente &amp; Stuff'!DO:EP,10,FALSE)</f>
        <v>0</v>
      </c>
      <c r="M59" s="119">
        <f>VLOOKUP(C59,'Talente &amp; Stuff'!DO:EP,11,FALSE)</f>
        <v>0</v>
      </c>
      <c r="N59" s="89">
        <f>VLOOKUP(C59,'Talente &amp; Stuff'!DO:EP,12,FALSE)</f>
        <v>0</v>
      </c>
      <c r="O59" s="47">
        <f>VLOOKUP(C59,'Talente &amp; Stuff'!DO:EP,13,FALSE)</f>
        <v>0</v>
      </c>
      <c r="P59" s="119">
        <f>VLOOKUP(C59,'Talente &amp; Stuff'!DO:EP,14,FALSE)</f>
        <v>0</v>
      </c>
      <c r="Q59" s="114">
        <f>VLOOKUP(C59,'Talente &amp; Stuff'!DO:EP,15,FALSE)</f>
        <v>0</v>
      </c>
      <c r="R59" s="113">
        <f>VLOOKUP(C59,'Talente &amp; Stuff'!DO:EP,16,FALSE)</f>
        <v>0</v>
      </c>
      <c r="S59" s="119">
        <f>VLOOKUP(C59,'Talente &amp; Stuff'!DO:EP,17,FALSE)</f>
        <v>0</v>
      </c>
      <c r="T59" s="160">
        <f>VLOOKUP(C59,'Talente &amp; Stuff'!DO:EP,18,FALSE)</f>
        <v>0</v>
      </c>
      <c r="U59" s="89">
        <f>VLOOKUP(C59,'Talente &amp; Stuff'!DO:EP,19,FALSE)</f>
        <v>0</v>
      </c>
      <c r="V59" s="47">
        <f>VLOOKUP(C59,'Talente &amp; Stuff'!DO:EP,20,FALSE)</f>
        <v>0</v>
      </c>
      <c r="W59" s="127">
        <f>VLOOKUP(C59,'Talente &amp; Stuff'!DO:EP,21,FALSE)</f>
        <v>0</v>
      </c>
      <c r="X59" s="125">
        <f>VLOOKUP(C59,'Talente &amp; Stuff'!DO:EP,22,FALSE)</f>
        <v>0</v>
      </c>
      <c r="Y59" s="165">
        <f t="shared" si="8"/>
        <v>0</v>
      </c>
      <c r="Z59" s="44">
        <f t="shared" si="9"/>
        <v>0</v>
      </c>
      <c r="AA59" s="125">
        <f>VLOOKUP(C59,'Talente &amp; Stuff'!DO:EP,25,FALSE)</f>
        <v>0</v>
      </c>
      <c r="AB59" s="160">
        <f>VLOOKUP(C59,'Talente &amp; Stuff'!DO:EP,26,FALSE)</f>
        <v>0</v>
      </c>
      <c r="AC59" s="127">
        <f>VLOOKUP(C59,'Talente &amp; Stuff'!DO:EP,27,FALSE)</f>
        <v>0</v>
      </c>
      <c r="AD59" s="125">
        <f>VLOOKUP(C59,'Talente &amp; Stuff'!DO:EP,28,FALSE)</f>
        <v>0</v>
      </c>
      <c r="AE59" s="28"/>
    </row>
    <row r="60" spans="2:31" ht="15" hidden="1" customHeight="1" outlineLevel="2">
      <c r="B60" s="148">
        <v>4</v>
      </c>
      <c r="C60" s="177" t="str">
        <f>Attribute!C60</f>
        <v>---</v>
      </c>
      <c r="D60" s="127" t="str">
        <f>VLOOKUP(C60,'Talente &amp; Stuff'!DO:EP,2,FALSE)</f>
        <v>--/--/--</v>
      </c>
      <c r="E60" s="125" t="str">
        <f>VLOOKUP(C60,'Talente &amp; Stuff'!DO:EP,3,FALSE)</f>
        <v>-</v>
      </c>
      <c r="F60" s="114">
        <f>VLOOKUP(C60,'Talente &amp; Stuff'!DO:EP,4,FALSE)</f>
        <v>0</v>
      </c>
      <c r="G60" s="113">
        <f>VLOOKUP(C60,'Talente &amp; Stuff'!DO:EP,5,FALSE)</f>
        <v>0</v>
      </c>
      <c r="H60" s="113">
        <f>VLOOKUP(C60,'Talente &amp; Stuff'!DO:EP,6,FALSE)</f>
        <v>0</v>
      </c>
      <c r="I60" s="113">
        <f>VLOOKUP(C60,'Talente &amp; Stuff'!DO:EP,7,FALSE)</f>
        <v>0</v>
      </c>
      <c r="J60" s="113">
        <f>VLOOKUP(C60,'Talente &amp; Stuff'!DO:EP,8,FALSE)</f>
        <v>0</v>
      </c>
      <c r="K60" s="113">
        <f>VLOOKUP(C60,'Talente &amp; Stuff'!DO:EP,9,FALSE)</f>
        <v>0</v>
      </c>
      <c r="L60" s="113">
        <f>VLOOKUP(C60,'Talente &amp; Stuff'!DO:EP,10,FALSE)</f>
        <v>0</v>
      </c>
      <c r="M60" s="119">
        <f>VLOOKUP(C60,'Talente &amp; Stuff'!DO:EP,11,FALSE)</f>
        <v>0</v>
      </c>
      <c r="N60" s="89">
        <f>VLOOKUP(C60,'Talente &amp; Stuff'!DO:EP,12,FALSE)</f>
        <v>0</v>
      </c>
      <c r="O60" s="47">
        <f>VLOOKUP(C60,'Talente &amp; Stuff'!DO:EP,13,FALSE)</f>
        <v>0</v>
      </c>
      <c r="P60" s="119">
        <f>VLOOKUP(C60,'Talente &amp; Stuff'!DO:EP,14,FALSE)</f>
        <v>0</v>
      </c>
      <c r="Q60" s="114">
        <f>VLOOKUP(C60,'Talente &amp; Stuff'!DO:EP,15,FALSE)</f>
        <v>0</v>
      </c>
      <c r="R60" s="113">
        <f>VLOOKUP(C60,'Talente &amp; Stuff'!DO:EP,16,FALSE)</f>
        <v>0</v>
      </c>
      <c r="S60" s="119">
        <f>VLOOKUP(C60,'Talente &amp; Stuff'!DO:EP,17,FALSE)</f>
        <v>0</v>
      </c>
      <c r="T60" s="160">
        <f>VLOOKUP(C60,'Talente &amp; Stuff'!DO:EP,18,FALSE)</f>
        <v>0</v>
      </c>
      <c r="U60" s="89">
        <f>VLOOKUP(C60,'Talente &amp; Stuff'!DO:EP,19,FALSE)</f>
        <v>0</v>
      </c>
      <c r="V60" s="47">
        <f>VLOOKUP(C60,'Talente &amp; Stuff'!DO:EP,20,FALSE)</f>
        <v>0</v>
      </c>
      <c r="W60" s="127">
        <f>VLOOKUP(C60,'Talente &amp; Stuff'!DO:EP,21,FALSE)</f>
        <v>0</v>
      </c>
      <c r="X60" s="125">
        <f>VLOOKUP(C60,'Talente &amp; Stuff'!DO:EP,22,FALSE)</f>
        <v>0</v>
      </c>
      <c r="Y60" s="165">
        <f t="shared" si="8"/>
        <v>0</v>
      </c>
      <c r="Z60" s="44">
        <f t="shared" si="9"/>
        <v>0</v>
      </c>
      <c r="AA60" s="125">
        <f>VLOOKUP(C60,'Talente &amp; Stuff'!DO:EP,25,FALSE)</f>
        <v>0</v>
      </c>
      <c r="AB60" s="160">
        <f>VLOOKUP(C60,'Talente &amp; Stuff'!DO:EP,26,FALSE)</f>
        <v>0</v>
      </c>
      <c r="AC60" s="127">
        <f>VLOOKUP(C60,'Talente &amp; Stuff'!DO:EP,27,FALSE)</f>
        <v>0</v>
      </c>
      <c r="AD60" s="125">
        <f>VLOOKUP(C60,'Talente &amp; Stuff'!DO:EP,28,FALSE)</f>
        <v>0</v>
      </c>
      <c r="AE60" s="28"/>
    </row>
    <row r="61" spans="2:31" ht="15" hidden="1" customHeight="1" outlineLevel="2">
      <c r="B61" s="148">
        <v>5</v>
      </c>
      <c r="C61" s="177" t="str">
        <f>Attribute!C61</f>
        <v>---</v>
      </c>
      <c r="D61" s="127" t="str">
        <f>VLOOKUP(C61,'Talente &amp; Stuff'!DO:EP,2,FALSE)</f>
        <v>--/--/--</v>
      </c>
      <c r="E61" s="125" t="str">
        <f>VLOOKUP(C61,'Talente &amp; Stuff'!DO:EP,3,FALSE)</f>
        <v>-</v>
      </c>
      <c r="F61" s="114">
        <f>VLOOKUP(C61,'Talente &amp; Stuff'!DO:EP,4,FALSE)</f>
        <v>0</v>
      </c>
      <c r="G61" s="113">
        <f>VLOOKUP(C61,'Talente &amp; Stuff'!DO:EP,5,FALSE)</f>
        <v>0</v>
      </c>
      <c r="H61" s="113">
        <f>VLOOKUP(C61,'Talente &amp; Stuff'!DO:EP,6,FALSE)</f>
        <v>0</v>
      </c>
      <c r="I61" s="113">
        <f>VLOOKUP(C61,'Talente &amp; Stuff'!DO:EP,7,FALSE)</f>
        <v>0</v>
      </c>
      <c r="J61" s="113">
        <f>VLOOKUP(C61,'Talente &amp; Stuff'!DO:EP,8,FALSE)</f>
        <v>0</v>
      </c>
      <c r="K61" s="113">
        <f>VLOOKUP(C61,'Talente &amp; Stuff'!DO:EP,9,FALSE)</f>
        <v>0</v>
      </c>
      <c r="L61" s="113">
        <f>VLOOKUP(C61,'Talente &amp; Stuff'!DO:EP,10,FALSE)</f>
        <v>0</v>
      </c>
      <c r="M61" s="119">
        <f>VLOOKUP(C61,'Talente &amp; Stuff'!DO:EP,11,FALSE)</f>
        <v>0</v>
      </c>
      <c r="N61" s="89">
        <f>VLOOKUP(C61,'Talente &amp; Stuff'!DO:EP,12,FALSE)</f>
        <v>0</v>
      </c>
      <c r="O61" s="47">
        <f>VLOOKUP(C61,'Talente &amp; Stuff'!DO:EP,13,FALSE)</f>
        <v>0</v>
      </c>
      <c r="P61" s="119">
        <f>VLOOKUP(C61,'Talente &amp; Stuff'!DO:EP,14,FALSE)</f>
        <v>0</v>
      </c>
      <c r="Q61" s="114">
        <f>VLOOKUP(C61,'Talente &amp; Stuff'!DO:EP,15,FALSE)</f>
        <v>0</v>
      </c>
      <c r="R61" s="113">
        <f>VLOOKUP(C61,'Talente &amp; Stuff'!DO:EP,16,FALSE)</f>
        <v>0</v>
      </c>
      <c r="S61" s="119">
        <f>VLOOKUP(C61,'Talente &amp; Stuff'!DO:EP,17,FALSE)</f>
        <v>0</v>
      </c>
      <c r="T61" s="160">
        <f>VLOOKUP(C61,'Talente &amp; Stuff'!DO:EP,18,FALSE)</f>
        <v>0</v>
      </c>
      <c r="U61" s="89">
        <f>VLOOKUP(C61,'Talente &amp; Stuff'!DO:EP,19,FALSE)</f>
        <v>0</v>
      </c>
      <c r="V61" s="47">
        <f>VLOOKUP(C61,'Talente &amp; Stuff'!DO:EP,20,FALSE)</f>
        <v>0</v>
      </c>
      <c r="W61" s="127">
        <f>VLOOKUP(C61,'Talente &amp; Stuff'!DO:EP,21,FALSE)</f>
        <v>0</v>
      </c>
      <c r="X61" s="125">
        <f>VLOOKUP(C61,'Talente &amp; Stuff'!DO:EP,22,FALSE)</f>
        <v>0</v>
      </c>
      <c r="Y61" s="165">
        <f t="shared" si="8"/>
        <v>0</v>
      </c>
      <c r="Z61" s="44">
        <f t="shared" si="9"/>
        <v>0</v>
      </c>
      <c r="AA61" s="125">
        <f>VLOOKUP(C61,'Talente &amp; Stuff'!DO:EP,25,FALSE)</f>
        <v>0</v>
      </c>
      <c r="AB61" s="160">
        <f>VLOOKUP(C61,'Talente &amp; Stuff'!DO:EP,26,FALSE)</f>
        <v>0</v>
      </c>
      <c r="AC61" s="127">
        <f>VLOOKUP(C61,'Talente &amp; Stuff'!DO:EP,27,FALSE)</f>
        <v>0</v>
      </c>
      <c r="AD61" s="125">
        <f>VLOOKUP(C61,'Talente &amp; Stuff'!DO:EP,28,FALSE)</f>
        <v>0</v>
      </c>
      <c r="AE61" s="28"/>
    </row>
    <row r="62" spans="2:31" ht="15" hidden="1" customHeight="1" outlineLevel="2">
      <c r="B62" s="148">
        <v>6</v>
      </c>
      <c r="C62" s="177" t="str">
        <f>Attribute!C62</f>
        <v>---</v>
      </c>
      <c r="D62" s="127" t="str">
        <f>VLOOKUP(C62,'Talente &amp; Stuff'!DO:EP,2,FALSE)</f>
        <v>--/--/--</v>
      </c>
      <c r="E62" s="125" t="str">
        <f>VLOOKUP(C62,'Talente &amp; Stuff'!DO:EP,3,FALSE)</f>
        <v>-</v>
      </c>
      <c r="F62" s="114">
        <f>VLOOKUP(C62,'Talente &amp; Stuff'!DO:EP,4,FALSE)</f>
        <v>0</v>
      </c>
      <c r="G62" s="113">
        <f>VLOOKUP(C62,'Talente &amp; Stuff'!DO:EP,5,FALSE)</f>
        <v>0</v>
      </c>
      <c r="H62" s="113">
        <f>VLOOKUP(C62,'Talente &amp; Stuff'!DO:EP,6,FALSE)</f>
        <v>0</v>
      </c>
      <c r="I62" s="113">
        <f>VLOOKUP(C62,'Talente &amp; Stuff'!DO:EP,7,FALSE)</f>
        <v>0</v>
      </c>
      <c r="J62" s="113">
        <f>VLOOKUP(C62,'Talente &amp; Stuff'!DO:EP,8,FALSE)</f>
        <v>0</v>
      </c>
      <c r="K62" s="113">
        <f>VLOOKUP(C62,'Talente &amp; Stuff'!DO:EP,9,FALSE)</f>
        <v>0</v>
      </c>
      <c r="L62" s="113">
        <f>VLOOKUP(C62,'Talente &amp; Stuff'!DO:EP,10,FALSE)</f>
        <v>0</v>
      </c>
      <c r="M62" s="119">
        <f>VLOOKUP(C62,'Talente &amp; Stuff'!DO:EP,11,FALSE)</f>
        <v>0</v>
      </c>
      <c r="N62" s="89">
        <f>VLOOKUP(C62,'Talente &amp; Stuff'!DO:EP,12,FALSE)</f>
        <v>0</v>
      </c>
      <c r="O62" s="47">
        <f>VLOOKUP(C62,'Talente &amp; Stuff'!DO:EP,13,FALSE)</f>
        <v>0</v>
      </c>
      <c r="P62" s="119">
        <f>VLOOKUP(C62,'Talente &amp; Stuff'!DO:EP,14,FALSE)</f>
        <v>0</v>
      </c>
      <c r="Q62" s="114">
        <f>VLOOKUP(C62,'Talente &amp; Stuff'!DO:EP,15,FALSE)</f>
        <v>0</v>
      </c>
      <c r="R62" s="113">
        <f>VLOOKUP(C62,'Talente &amp; Stuff'!DO:EP,16,FALSE)</f>
        <v>0</v>
      </c>
      <c r="S62" s="119">
        <f>VLOOKUP(C62,'Talente &amp; Stuff'!DO:EP,17,FALSE)</f>
        <v>0</v>
      </c>
      <c r="T62" s="160">
        <f>VLOOKUP(C62,'Talente &amp; Stuff'!DO:EP,18,FALSE)</f>
        <v>0</v>
      </c>
      <c r="U62" s="89">
        <f>VLOOKUP(C62,'Talente &amp; Stuff'!DO:EP,19,FALSE)</f>
        <v>0</v>
      </c>
      <c r="V62" s="47">
        <f>VLOOKUP(C62,'Talente &amp; Stuff'!DO:EP,20,FALSE)</f>
        <v>0</v>
      </c>
      <c r="W62" s="127">
        <f>VLOOKUP(C62,'Talente &amp; Stuff'!DO:EP,21,FALSE)</f>
        <v>0</v>
      </c>
      <c r="X62" s="125">
        <f>VLOOKUP(C62,'Talente &amp; Stuff'!DO:EP,22,FALSE)</f>
        <v>0</v>
      </c>
      <c r="Y62" s="165">
        <f t="shared" si="8"/>
        <v>0</v>
      </c>
      <c r="Z62" s="44">
        <f t="shared" si="9"/>
        <v>0</v>
      </c>
      <c r="AA62" s="125">
        <f>VLOOKUP(C62,'Talente &amp; Stuff'!DO:EP,25,FALSE)</f>
        <v>0</v>
      </c>
      <c r="AB62" s="160">
        <f>VLOOKUP(C62,'Talente &amp; Stuff'!DO:EP,26,FALSE)</f>
        <v>0</v>
      </c>
      <c r="AC62" s="127">
        <f>VLOOKUP(C62,'Talente &amp; Stuff'!DO:EP,27,FALSE)</f>
        <v>0</v>
      </c>
      <c r="AD62" s="125">
        <f>VLOOKUP(C62,'Talente &amp; Stuff'!DO:EP,28,FALSE)</f>
        <v>0</v>
      </c>
      <c r="AE62" s="28"/>
    </row>
    <row r="63" spans="2:31" ht="15" hidden="1" customHeight="1" outlineLevel="2">
      <c r="B63" s="148">
        <v>7</v>
      </c>
      <c r="C63" s="177" t="str">
        <f>Attribute!C63</f>
        <v>---</v>
      </c>
      <c r="D63" s="127" t="str">
        <f>VLOOKUP(C63,'Talente &amp; Stuff'!DO:EP,2,FALSE)</f>
        <v>--/--/--</v>
      </c>
      <c r="E63" s="125" t="str">
        <f>VLOOKUP(C63,'Talente &amp; Stuff'!DO:EP,3,FALSE)</f>
        <v>-</v>
      </c>
      <c r="F63" s="114">
        <f>VLOOKUP(C63,'Talente &amp; Stuff'!DO:EP,4,FALSE)</f>
        <v>0</v>
      </c>
      <c r="G63" s="113">
        <f>VLOOKUP(C63,'Talente &amp; Stuff'!DO:EP,5,FALSE)</f>
        <v>0</v>
      </c>
      <c r="H63" s="113">
        <f>VLOOKUP(C63,'Talente &amp; Stuff'!DO:EP,6,FALSE)</f>
        <v>0</v>
      </c>
      <c r="I63" s="113">
        <f>VLOOKUP(C63,'Talente &amp; Stuff'!DO:EP,7,FALSE)</f>
        <v>0</v>
      </c>
      <c r="J63" s="113">
        <f>VLOOKUP(C63,'Talente &amp; Stuff'!DO:EP,8,FALSE)</f>
        <v>0</v>
      </c>
      <c r="K63" s="113">
        <f>VLOOKUP(C63,'Talente &amp; Stuff'!DO:EP,9,FALSE)</f>
        <v>0</v>
      </c>
      <c r="L63" s="113">
        <f>VLOOKUP(C63,'Talente &amp; Stuff'!DO:EP,10,FALSE)</f>
        <v>0</v>
      </c>
      <c r="M63" s="119">
        <f>VLOOKUP(C63,'Talente &amp; Stuff'!DO:EP,11,FALSE)</f>
        <v>0</v>
      </c>
      <c r="N63" s="89">
        <f>VLOOKUP(C63,'Talente &amp; Stuff'!DO:EP,12,FALSE)</f>
        <v>0</v>
      </c>
      <c r="O63" s="47">
        <f>VLOOKUP(C63,'Talente &amp; Stuff'!DO:EP,13,FALSE)</f>
        <v>0</v>
      </c>
      <c r="P63" s="119">
        <f>VLOOKUP(C63,'Talente &amp; Stuff'!DO:EP,14,FALSE)</f>
        <v>0</v>
      </c>
      <c r="Q63" s="114">
        <f>VLOOKUP(C63,'Talente &amp; Stuff'!DO:EP,15,FALSE)</f>
        <v>0</v>
      </c>
      <c r="R63" s="113">
        <f>VLOOKUP(C63,'Talente &amp; Stuff'!DO:EP,16,FALSE)</f>
        <v>0</v>
      </c>
      <c r="S63" s="119">
        <f>VLOOKUP(C63,'Talente &amp; Stuff'!DO:EP,17,FALSE)</f>
        <v>0</v>
      </c>
      <c r="T63" s="160">
        <f>VLOOKUP(C63,'Talente &amp; Stuff'!DO:EP,18,FALSE)</f>
        <v>0</v>
      </c>
      <c r="U63" s="89">
        <f>VLOOKUP(C63,'Talente &amp; Stuff'!DO:EP,19,FALSE)</f>
        <v>0</v>
      </c>
      <c r="V63" s="47">
        <f>VLOOKUP(C63,'Talente &amp; Stuff'!DO:EP,20,FALSE)</f>
        <v>0</v>
      </c>
      <c r="W63" s="127">
        <f>VLOOKUP(C63,'Talente &amp; Stuff'!DO:EP,21,FALSE)</f>
        <v>0</v>
      </c>
      <c r="X63" s="125">
        <f>VLOOKUP(C63,'Talente &amp; Stuff'!DO:EP,22,FALSE)</f>
        <v>0</v>
      </c>
      <c r="Y63" s="165">
        <f t="shared" si="8"/>
        <v>0</v>
      </c>
      <c r="Z63" s="44">
        <f t="shared" si="9"/>
        <v>0</v>
      </c>
      <c r="AA63" s="125">
        <f>VLOOKUP(C63,'Talente &amp; Stuff'!DO:EP,25,FALSE)</f>
        <v>0</v>
      </c>
      <c r="AB63" s="160">
        <f>VLOOKUP(C63,'Talente &amp; Stuff'!DO:EP,26,FALSE)</f>
        <v>0</v>
      </c>
      <c r="AC63" s="127">
        <f>VLOOKUP(C63,'Talente &amp; Stuff'!DO:EP,27,FALSE)</f>
        <v>0</v>
      </c>
      <c r="AD63" s="125">
        <f>VLOOKUP(C63,'Talente &amp; Stuff'!DO:EP,28,FALSE)</f>
        <v>0</v>
      </c>
      <c r="AE63" s="28"/>
    </row>
    <row r="64" spans="2:31" ht="15" hidden="1" customHeight="1" outlineLevel="2">
      <c r="B64" s="148">
        <v>8</v>
      </c>
      <c r="C64" s="177" t="str">
        <f>Attribute!C64</f>
        <v>---</v>
      </c>
      <c r="D64" s="127" t="str">
        <f>VLOOKUP(C64,'Talente &amp; Stuff'!DO:EP,2,FALSE)</f>
        <v>--/--/--</v>
      </c>
      <c r="E64" s="125" t="str">
        <f>VLOOKUP(C64,'Talente &amp; Stuff'!DO:EP,3,FALSE)</f>
        <v>-</v>
      </c>
      <c r="F64" s="114">
        <f>VLOOKUP(C64,'Talente &amp; Stuff'!DO:EP,4,FALSE)</f>
        <v>0</v>
      </c>
      <c r="G64" s="113">
        <f>VLOOKUP(C64,'Talente &amp; Stuff'!DO:EP,5,FALSE)</f>
        <v>0</v>
      </c>
      <c r="H64" s="113">
        <f>VLOOKUP(C64,'Talente &amp; Stuff'!DO:EP,6,FALSE)</f>
        <v>0</v>
      </c>
      <c r="I64" s="113">
        <f>VLOOKUP(C64,'Talente &amp; Stuff'!DO:EP,7,FALSE)</f>
        <v>0</v>
      </c>
      <c r="J64" s="113">
        <f>VLOOKUP(C64,'Talente &amp; Stuff'!DO:EP,8,FALSE)</f>
        <v>0</v>
      </c>
      <c r="K64" s="113">
        <f>VLOOKUP(C64,'Talente &amp; Stuff'!DO:EP,9,FALSE)</f>
        <v>0</v>
      </c>
      <c r="L64" s="113">
        <f>VLOOKUP(C64,'Talente &amp; Stuff'!DO:EP,10,FALSE)</f>
        <v>0</v>
      </c>
      <c r="M64" s="119">
        <f>VLOOKUP(C64,'Talente &amp; Stuff'!DO:EP,11,FALSE)</f>
        <v>0</v>
      </c>
      <c r="N64" s="89">
        <f>VLOOKUP(C64,'Talente &amp; Stuff'!DO:EP,12,FALSE)</f>
        <v>0</v>
      </c>
      <c r="O64" s="47">
        <f>VLOOKUP(C64,'Talente &amp; Stuff'!DO:EP,13,FALSE)</f>
        <v>0</v>
      </c>
      <c r="P64" s="119">
        <f>VLOOKUP(C64,'Talente &amp; Stuff'!DO:EP,14,FALSE)</f>
        <v>0</v>
      </c>
      <c r="Q64" s="114">
        <f>VLOOKUP(C64,'Talente &amp; Stuff'!DO:EP,15,FALSE)</f>
        <v>0</v>
      </c>
      <c r="R64" s="113">
        <f>VLOOKUP(C64,'Talente &amp; Stuff'!DO:EP,16,FALSE)</f>
        <v>0</v>
      </c>
      <c r="S64" s="119">
        <f>VLOOKUP(C64,'Talente &amp; Stuff'!DO:EP,17,FALSE)</f>
        <v>0</v>
      </c>
      <c r="T64" s="160">
        <f>VLOOKUP(C64,'Talente &amp; Stuff'!DO:EP,18,FALSE)</f>
        <v>0</v>
      </c>
      <c r="U64" s="89">
        <f>VLOOKUP(C64,'Talente &amp; Stuff'!DO:EP,19,FALSE)</f>
        <v>0</v>
      </c>
      <c r="V64" s="47">
        <f>VLOOKUP(C64,'Talente &amp; Stuff'!DO:EP,20,FALSE)</f>
        <v>0</v>
      </c>
      <c r="W64" s="127">
        <f>VLOOKUP(C64,'Talente &amp; Stuff'!DO:EP,21,FALSE)</f>
        <v>0</v>
      </c>
      <c r="X64" s="125">
        <f>VLOOKUP(C64,'Talente &amp; Stuff'!DO:EP,22,FALSE)</f>
        <v>0</v>
      </c>
      <c r="Y64" s="165">
        <f t="shared" si="8"/>
        <v>0</v>
      </c>
      <c r="Z64" s="44">
        <f t="shared" si="9"/>
        <v>0</v>
      </c>
      <c r="AA64" s="125">
        <f>VLOOKUP(C64,'Talente &amp; Stuff'!DO:EP,25,FALSE)</f>
        <v>0</v>
      </c>
      <c r="AB64" s="160">
        <f>VLOOKUP(C64,'Talente &amp; Stuff'!DO:EP,26,FALSE)</f>
        <v>0</v>
      </c>
      <c r="AC64" s="127">
        <f>VLOOKUP(C64,'Talente &amp; Stuff'!DO:EP,27,FALSE)</f>
        <v>0</v>
      </c>
      <c r="AD64" s="125">
        <f>VLOOKUP(C64,'Talente &amp; Stuff'!DO:EP,28,FALSE)</f>
        <v>0</v>
      </c>
      <c r="AE64" s="28"/>
    </row>
    <row r="65" spans="1:31" ht="15" hidden="1" customHeight="1" outlineLevel="2">
      <c r="B65" s="148">
        <v>9</v>
      </c>
      <c r="C65" s="177" t="str">
        <f>Attribute!C65</f>
        <v>---</v>
      </c>
      <c r="D65" s="127" t="str">
        <f>VLOOKUP(C65,'Talente &amp; Stuff'!DO:EP,2,FALSE)</f>
        <v>--/--/--</v>
      </c>
      <c r="E65" s="125" t="str">
        <f>VLOOKUP(C65,'Talente &amp; Stuff'!DO:EP,3,FALSE)</f>
        <v>-</v>
      </c>
      <c r="F65" s="114">
        <f>VLOOKUP(C65,'Talente &amp; Stuff'!DO:EP,4,FALSE)</f>
        <v>0</v>
      </c>
      <c r="G65" s="113">
        <f>VLOOKUP(C65,'Talente &amp; Stuff'!DO:EP,5,FALSE)</f>
        <v>0</v>
      </c>
      <c r="H65" s="113">
        <f>VLOOKUP(C65,'Talente &amp; Stuff'!DO:EP,6,FALSE)</f>
        <v>0</v>
      </c>
      <c r="I65" s="113">
        <f>VLOOKUP(C65,'Talente &amp; Stuff'!DO:EP,7,FALSE)</f>
        <v>0</v>
      </c>
      <c r="J65" s="113">
        <f>VLOOKUP(C65,'Talente &amp; Stuff'!DO:EP,8,FALSE)</f>
        <v>0</v>
      </c>
      <c r="K65" s="113">
        <f>VLOOKUP(C65,'Talente &amp; Stuff'!DO:EP,9,FALSE)</f>
        <v>0</v>
      </c>
      <c r="L65" s="113">
        <f>VLOOKUP(C65,'Talente &amp; Stuff'!DO:EP,10,FALSE)</f>
        <v>0</v>
      </c>
      <c r="M65" s="119">
        <f>VLOOKUP(C65,'Talente &amp; Stuff'!DO:EP,11,FALSE)</f>
        <v>0</v>
      </c>
      <c r="N65" s="89">
        <f>VLOOKUP(C65,'Talente &amp; Stuff'!DO:EP,12,FALSE)</f>
        <v>0</v>
      </c>
      <c r="O65" s="47">
        <f>VLOOKUP(C65,'Talente &amp; Stuff'!DO:EP,13,FALSE)</f>
        <v>0</v>
      </c>
      <c r="P65" s="119">
        <f>VLOOKUP(C65,'Talente &amp; Stuff'!DO:EP,14,FALSE)</f>
        <v>0</v>
      </c>
      <c r="Q65" s="114">
        <f>VLOOKUP(C65,'Talente &amp; Stuff'!DO:EP,15,FALSE)</f>
        <v>0</v>
      </c>
      <c r="R65" s="113">
        <f>VLOOKUP(C65,'Talente &amp; Stuff'!DO:EP,16,FALSE)</f>
        <v>0</v>
      </c>
      <c r="S65" s="119">
        <f>VLOOKUP(C65,'Talente &amp; Stuff'!DO:EP,17,FALSE)</f>
        <v>0</v>
      </c>
      <c r="T65" s="160">
        <f>VLOOKUP(C65,'Talente &amp; Stuff'!DO:EP,18,FALSE)</f>
        <v>0</v>
      </c>
      <c r="U65" s="89">
        <f>VLOOKUP(C65,'Talente &amp; Stuff'!DO:EP,19,FALSE)</f>
        <v>0</v>
      </c>
      <c r="V65" s="47">
        <f>VLOOKUP(C65,'Talente &amp; Stuff'!DO:EP,20,FALSE)</f>
        <v>0</v>
      </c>
      <c r="W65" s="127">
        <f>VLOOKUP(C65,'Talente &amp; Stuff'!DO:EP,21,FALSE)</f>
        <v>0</v>
      </c>
      <c r="X65" s="125">
        <f>VLOOKUP(C65,'Talente &amp; Stuff'!DO:EP,22,FALSE)</f>
        <v>0</v>
      </c>
      <c r="Y65" s="165">
        <f t="shared" si="8"/>
        <v>0</v>
      </c>
      <c r="Z65" s="44">
        <f t="shared" si="9"/>
        <v>0</v>
      </c>
      <c r="AA65" s="125">
        <f>VLOOKUP(C65,'Talente &amp; Stuff'!DO:EP,25,FALSE)</f>
        <v>0</v>
      </c>
      <c r="AB65" s="160">
        <f>VLOOKUP(C65,'Talente &amp; Stuff'!DO:EP,26,FALSE)</f>
        <v>0</v>
      </c>
      <c r="AC65" s="127">
        <f>VLOOKUP(C65,'Talente &amp; Stuff'!DO:EP,27,FALSE)</f>
        <v>0</v>
      </c>
      <c r="AD65" s="125">
        <f>VLOOKUP(C65,'Talente &amp; Stuff'!DO:EP,28,FALSE)</f>
        <v>0</v>
      </c>
      <c r="AE65" s="28"/>
    </row>
    <row r="66" spans="1:31" ht="15" hidden="1" customHeight="1" outlineLevel="2">
      <c r="B66" s="148">
        <v>10</v>
      </c>
      <c r="C66" s="177" t="str">
        <f>Attribute!C66</f>
        <v>---</v>
      </c>
      <c r="D66" s="127" t="str">
        <f>VLOOKUP(C66,'Talente &amp; Stuff'!DO:EP,2,FALSE)</f>
        <v>--/--/--</v>
      </c>
      <c r="E66" s="125" t="str">
        <f>VLOOKUP(C66,'Talente &amp; Stuff'!DO:EP,3,FALSE)</f>
        <v>-</v>
      </c>
      <c r="F66" s="114">
        <f>VLOOKUP(C66,'Talente &amp; Stuff'!DO:EP,4,FALSE)</f>
        <v>0</v>
      </c>
      <c r="G66" s="113">
        <f>VLOOKUP(C66,'Talente &amp; Stuff'!DO:EP,5,FALSE)</f>
        <v>0</v>
      </c>
      <c r="H66" s="113">
        <f>VLOOKUP(C66,'Talente &amp; Stuff'!DO:EP,6,FALSE)</f>
        <v>0</v>
      </c>
      <c r="I66" s="113">
        <f>VLOOKUP(C66,'Talente &amp; Stuff'!DO:EP,7,FALSE)</f>
        <v>0</v>
      </c>
      <c r="J66" s="113">
        <f>VLOOKUP(C66,'Talente &amp; Stuff'!DO:EP,8,FALSE)</f>
        <v>0</v>
      </c>
      <c r="K66" s="113">
        <f>VLOOKUP(C66,'Talente &amp; Stuff'!DO:EP,9,FALSE)</f>
        <v>0</v>
      </c>
      <c r="L66" s="113">
        <f>VLOOKUP(C66,'Talente &amp; Stuff'!DO:EP,10,FALSE)</f>
        <v>0</v>
      </c>
      <c r="M66" s="119">
        <f>VLOOKUP(C66,'Talente &amp; Stuff'!DO:EP,11,FALSE)</f>
        <v>0</v>
      </c>
      <c r="N66" s="89">
        <f>VLOOKUP(C66,'Talente &amp; Stuff'!DO:EP,12,FALSE)</f>
        <v>0</v>
      </c>
      <c r="O66" s="47">
        <f>VLOOKUP(C66,'Talente &amp; Stuff'!DO:EP,13,FALSE)</f>
        <v>0</v>
      </c>
      <c r="P66" s="119">
        <f>VLOOKUP(C66,'Talente &amp; Stuff'!DO:EP,14,FALSE)</f>
        <v>0</v>
      </c>
      <c r="Q66" s="114">
        <f>VLOOKUP(C66,'Talente &amp; Stuff'!DO:EP,15,FALSE)</f>
        <v>0</v>
      </c>
      <c r="R66" s="113">
        <f>VLOOKUP(C66,'Talente &amp; Stuff'!DO:EP,16,FALSE)</f>
        <v>0</v>
      </c>
      <c r="S66" s="119">
        <f>VLOOKUP(C66,'Talente &amp; Stuff'!DO:EP,17,FALSE)</f>
        <v>0</v>
      </c>
      <c r="T66" s="160">
        <f>VLOOKUP(C66,'Talente &amp; Stuff'!DO:EP,18,FALSE)</f>
        <v>0</v>
      </c>
      <c r="U66" s="89">
        <f>VLOOKUP(C66,'Talente &amp; Stuff'!DO:EP,19,FALSE)</f>
        <v>0</v>
      </c>
      <c r="V66" s="47">
        <f>VLOOKUP(C66,'Talente &amp; Stuff'!DO:EP,20,FALSE)</f>
        <v>0</v>
      </c>
      <c r="W66" s="127">
        <f>VLOOKUP(C66,'Talente &amp; Stuff'!DO:EP,21,FALSE)</f>
        <v>0</v>
      </c>
      <c r="X66" s="125">
        <f>VLOOKUP(C66,'Talente &amp; Stuff'!DO:EP,22,FALSE)</f>
        <v>0</v>
      </c>
      <c r="Y66" s="165">
        <f t="shared" si="8"/>
        <v>0</v>
      </c>
      <c r="Z66" s="44">
        <f t="shared" si="9"/>
        <v>0</v>
      </c>
      <c r="AA66" s="125">
        <f>VLOOKUP(C66,'Talente &amp; Stuff'!DO:EP,25,FALSE)</f>
        <v>0</v>
      </c>
      <c r="AB66" s="160">
        <f>VLOOKUP(C66,'Talente &amp; Stuff'!DO:EP,26,FALSE)</f>
        <v>0</v>
      </c>
      <c r="AC66" s="127">
        <f>VLOOKUP(C66,'Talente &amp; Stuff'!DO:EP,27,FALSE)</f>
        <v>0</v>
      </c>
      <c r="AD66" s="125">
        <f>VLOOKUP(C66,'Talente &amp; Stuff'!DO:EP,28,FALSE)</f>
        <v>0</v>
      </c>
      <c r="AE66" s="28"/>
    </row>
    <row r="67" spans="1:31" ht="15" hidden="1" customHeight="1" outlineLevel="2">
      <c r="B67" s="148">
        <v>11</v>
      </c>
      <c r="C67" s="177" t="str">
        <f>Attribute!C67</f>
        <v>---</v>
      </c>
      <c r="D67" s="127" t="str">
        <f>VLOOKUP(C67,'Talente &amp; Stuff'!DO:EP,2,FALSE)</f>
        <v>--/--/--</v>
      </c>
      <c r="E67" s="125" t="str">
        <f>VLOOKUP(C67,'Talente &amp; Stuff'!DO:EP,3,FALSE)</f>
        <v>-</v>
      </c>
      <c r="F67" s="114">
        <f>VLOOKUP(C67,'Talente &amp; Stuff'!DO:EP,4,FALSE)</f>
        <v>0</v>
      </c>
      <c r="G67" s="113">
        <f>VLOOKUP(C67,'Talente &amp; Stuff'!DO:EP,5,FALSE)</f>
        <v>0</v>
      </c>
      <c r="H67" s="113">
        <f>VLOOKUP(C67,'Talente &amp; Stuff'!DO:EP,6,FALSE)</f>
        <v>0</v>
      </c>
      <c r="I67" s="113">
        <f>VLOOKUP(C67,'Talente &amp; Stuff'!DO:EP,7,FALSE)</f>
        <v>0</v>
      </c>
      <c r="J67" s="113">
        <f>VLOOKUP(C67,'Talente &amp; Stuff'!DO:EP,8,FALSE)</f>
        <v>0</v>
      </c>
      <c r="K67" s="113">
        <f>VLOOKUP(C67,'Talente &amp; Stuff'!DO:EP,9,FALSE)</f>
        <v>0</v>
      </c>
      <c r="L67" s="113">
        <f>VLOOKUP(C67,'Talente &amp; Stuff'!DO:EP,10,FALSE)</f>
        <v>0</v>
      </c>
      <c r="M67" s="119">
        <f>VLOOKUP(C67,'Talente &amp; Stuff'!DO:EP,11,FALSE)</f>
        <v>0</v>
      </c>
      <c r="N67" s="89">
        <f>VLOOKUP(C67,'Talente &amp; Stuff'!DO:EP,12,FALSE)</f>
        <v>0</v>
      </c>
      <c r="O67" s="47">
        <f>VLOOKUP(C67,'Talente &amp; Stuff'!DO:EP,13,FALSE)</f>
        <v>0</v>
      </c>
      <c r="P67" s="119">
        <f>VLOOKUP(C67,'Talente &amp; Stuff'!DO:EP,14,FALSE)</f>
        <v>0</v>
      </c>
      <c r="Q67" s="114">
        <f>VLOOKUP(C67,'Talente &amp; Stuff'!DO:EP,15,FALSE)</f>
        <v>0</v>
      </c>
      <c r="R67" s="113">
        <f>VLOOKUP(C67,'Talente &amp; Stuff'!DO:EP,16,FALSE)</f>
        <v>0</v>
      </c>
      <c r="S67" s="119">
        <f>VLOOKUP(C67,'Talente &amp; Stuff'!DO:EP,17,FALSE)</f>
        <v>0</v>
      </c>
      <c r="T67" s="160">
        <f>VLOOKUP(C67,'Talente &amp; Stuff'!DO:EP,18,FALSE)</f>
        <v>0</v>
      </c>
      <c r="U67" s="89">
        <f>VLOOKUP(C67,'Talente &amp; Stuff'!DO:EP,19,FALSE)</f>
        <v>0</v>
      </c>
      <c r="V67" s="47">
        <f>VLOOKUP(C67,'Talente &amp; Stuff'!DO:EP,20,FALSE)</f>
        <v>0</v>
      </c>
      <c r="W67" s="127">
        <f>VLOOKUP(C67,'Talente &amp; Stuff'!DO:EP,21,FALSE)</f>
        <v>0</v>
      </c>
      <c r="X67" s="125">
        <f>VLOOKUP(C67,'Talente &amp; Stuff'!DO:EP,22,FALSE)</f>
        <v>0</v>
      </c>
      <c r="Y67" s="165">
        <f t="shared" si="8"/>
        <v>0</v>
      </c>
      <c r="Z67" s="44">
        <f t="shared" si="9"/>
        <v>0</v>
      </c>
      <c r="AA67" s="125">
        <f>VLOOKUP(C67,'Talente &amp; Stuff'!DO:EP,25,FALSE)</f>
        <v>0</v>
      </c>
      <c r="AB67" s="160">
        <f>VLOOKUP(C67,'Talente &amp; Stuff'!DO:EP,26,FALSE)</f>
        <v>0</v>
      </c>
      <c r="AC67" s="127">
        <f>VLOOKUP(C67,'Talente &amp; Stuff'!DO:EP,27,FALSE)</f>
        <v>0</v>
      </c>
      <c r="AD67" s="125">
        <f>VLOOKUP(C67,'Talente &amp; Stuff'!DO:EP,28,FALSE)</f>
        <v>0</v>
      </c>
      <c r="AE67" s="28"/>
    </row>
    <row r="68" spans="1:31" ht="15" hidden="1" customHeight="1" outlineLevel="2">
      <c r="B68" s="148">
        <v>12</v>
      </c>
      <c r="C68" s="177" t="str">
        <f>Attribute!C68</f>
        <v>---</v>
      </c>
      <c r="D68" s="127" t="str">
        <f>VLOOKUP(C68,'Talente &amp; Stuff'!DO:EP,2,FALSE)</f>
        <v>--/--/--</v>
      </c>
      <c r="E68" s="125" t="str">
        <f>VLOOKUP(C68,'Talente &amp; Stuff'!DO:EP,3,FALSE)</f>
        <v>-</v>
      </c>
      <c r="F68" s="114">
        <f>VLOOKUP(C68,'Talente &amp; Stuff'!DO:EP,4,FALSE)</f>
        <v>0</v>
      </c>
      <c r="G68" s="113">
        <f>VLOOKUP(C68,'Talente &amp; Stuff'!DO:EP,5,FALSE)</f>
        <v>0</v>
      </c>
      <c r="H68" s="113">
        <f>VLOOKUP(C68,'Talente &amp; Stuff'!DO:EP,6,FALSE)</f>
        <v>0</v>
      </c>
      <c r="I68" s="113">
        <f>VLOOKUP(C68,'Talente &amp; Stuff'!DO:EP,7,FALSE)</f>
        <v>0</v>
      </c>
      <c r="J68" s="113">
        <f>VLOOKUP(C68,'Talente &amp; Stuff'!DO:EP,8,FALSE)</f>
        <v>0</v>
      </c>
      <c r="K68" s="113">
        <f>VLOOKUP(C68,'Talente &amp; Stuff'!DO:EP,9,FALSE)</f>
        <v>0</v>
      </c>
      <c r="L68" s="113">
        <f>VLOOKUP(C68,'Talente &amp; Stuff'!DO:EP,10,FALSE)</f>
        <v>0</v>
      </c>
      <c r="M68" s="119">
        <f>VLOOKUP(C68,'Talente &amp; Stuff'!DO:EP,11,FALSE)</f>
        <v>0</v>
      </c>
      <c r="N68" s="89">
        <f>VLOOKUP(C68,'Talente &amp; Stuff'!DO:EP,12,FALSE)</f>
        <v>0</v>
      </c>
      <c r="O68" s="47">
        <f>VLOOKUP(C68,'Talente &amp; Stuff'!DO:EP,13,FALSE)</f>
        <v>0</v>
      </c>
      <c r="P68" s="119">
        <f>VLOOKUP(C68,'Talente &amp; Stuff'!DO:EP,14,FALSE)</f>
        <v>0</v>
      </c>
      <c r="Q68" s="114">
        <f>VLOOKUP(C68,'Talente &amp; Stuff'!DO:EP,15,FALSE)</f>
        <v>0</v>
      </c>
      <c r="R68" s="113">
        <f>VLOOKUP(C68,'Talente &amp; Stuff'!DO:EP,16,FALSE)</f>
        <v>0</v>
      </c>
      <c r="S68" s="119">
        <f>VLOOKUP(C68,'Talente &amp; Stuff'!DO:EP,17,FALSE)</f>
        <v>0</v>
      </c>
      <c r="T68" s="160">
        <f>VLOOKUP(C68,'Talente &amp; Stuff'!DO:EP,18,FALSE)</f>
        <v>0</v>
      </c>
      <c r="U68" s="89">
        <f>VLOOKUP(C68,'Talente &amp; Stuff'!DO:EP,19,FALSE)</f>
        <v>0</v>
      </c>
      <c r="V68" s="47">
        <f>VLOOKUP(C68,'Talente &amp; Stuff'!DO:EP,20,FALSE)</f>
        <v>0</v>
      </c>
      <c r="W68" s="127">
        <f>VLOOKUP(C68,'Talente &amp; Stuff'!DO:EP,21,FALSE)</f>
        <v>0</v>
      </c>
      <c r="X68" s="125">
        <f>VLOOKUP(C68,'Talente &amp; Stuff'!DO:EP,22,FALSE)</f>
        <v>0</v>
      </c>
      <c r="Y68" s="165">
        <f t="shared" si="8"/>
        <v>0</v>
      </c>
      <c r="Z68" s="44">
        <f t="shared" si="9"/>
        <v>0</v>
      </c>
      <c r="AA68" s="125">
        <f>VLOOKUP(C68,'Talente &amp; Stuff'!DO:EP,25,FALSE)</f>
        <v>0</v>
      </c>
      <c r="AB68" s="160">
        <f>VLOOKUP(C68,'Talente &amp; Stuff'!DO:EP,26,FALSE)</f>
        <v>0</v>
      </c>
      <c r="AC68" s="127">
        <f>VLOOKUP(C68,'Talente &amp; Stuff'!DO:EP,27,FALSE)</f>
        <v>0</v>
      </c>
      <c r="AD68" s="125">
        <f>VLOOKUP(C68,'Talente &amp; Stuff'!DO:EP,28,FALSE)</f>
        <v>0</v>
      </c>
      <c r="AE68" s="28"/>
    </row>
    <row r="69" spans="1:31" ht="15" hidden="1" customHeight="1" outlineLevel="2">
      <c r="B69" s="148">
        <v>13</v>
      </c>
      <c r="C69" s="177" t="str">
        <f>Attribute!C69</f>
        <v>---</v>
      </c>
      <c r="D69" s="127" t="str">
        <f>VLOOKUP(C69,'Talente &amp; Stuff'!DO:EP,2,FALSE)</f>
        <v>--/--/--</v>
      </c>
      <c r="E69" s="125" t="str">
        <f>VLOOKUP(C69,'Talente &amp; Stuff'!DO:EP,3,FALSE)</f>
        <v>-</v>
      </c>
      <c r="F69" s="114">
        <f>VLOOKUP(C69,'Talente &amp; Stuff'!DO:EP,4,FALSE)</f>
        <v>0</v>
      </c>
      <c r="G69" s="113">
        <f>VLOOKUP(C69,'Talente &amp; Stuff'!DO:EP,5,FALSE)</f>
        <v>0</v>
      </c>
      <c r="H69" s="113">
        <f>VLOOKUP(C69,'Talente &amp; Stuff'!DO:EP,6,FALSE)</f>
        <v>0</v>
      </c>
      <c r="I69" s="113">
        <f>VLOOKUP(C69,'Talente &amp; Stuff'!DO:EP,7,FALSE)</f>
        <v>0</v>
      </c>
      <c r="J69" s="113">
        <f>VLOOKUP(C69,'Talente &amp; Stuff'!DO:EP,8,FALSE)</f>
        <v>0</v>
      </c>
      <c r="K69" s="113">
        <f>VLOOKUP(C69,'Talente &amp; Stuff'!DO:EP,9,FALSE)</f>
        <v>0</v>
      </c>
      <c r="L69" s="113">
        <f>VLOOKUP(C69,'Talente &amp; Stuff'!DO:EP,10,FALSE)</f>
        <v>0</v>
      </c>
      <c r="M69" s="119">
        <f>VLOOKUP(C69,'Talente &amp; Stuff'!DO:EP,11,FALSE)</f>
        <v>0</v>
      </c>
      <c r="N69" s="89">
        <f>VLOOKUP(C69,'Talente &amp; Stuff'!DO:EP,12,FALSE)</f>
        <v>0</v>
      </c>
      <c r="O69" s="47">
        <f>VLOOKUP(C69,'Talente &amp; Stuff'!DO:EP,13,FALSE)</f>
        <v>0</v>
      </c>
      <c r="P69" s="119">
        <f>VLOOKUP(C69,'Talente &amp; Stuff'!DO:EP,14,FALSE)</f>
        <v>0</v>
      </c>
      <c r="Q69" s="114">
        <f>VLOOKUP(C69,'Talente &amp; Stuff'!DO:EP,15,FALSE)</f>
        <v>0</v>
      </c>
      <c r="R69" s="113">
        <f>VLOOKUP(C69,'Talente &amp; Stuff'!DO:EP,16,FALSE)</f>
        <v>0</v>
      </c>
      <c r="S69" s="119">
        <f>VLOOKUP(C69,'Talente &amp; Stuff'!DO:EP,17,FALSE)</f>
        <v>0</v>
      </c>
      <c r="T69" s="160">
        <f>VLOOKUP(C69,'Talente &amp; Stuff'!DO:EP,18,FALSE)</f>
        <v>0</v>
      </c>
      <c r="U69" s="89">
        <f>VLOOKUP(C69,'Talente &amp; Stuff'!DO:EP,19,FALSE)</f>
        <v>0</v>
      </c>
      <c r="V69" s="47">
        <f>VLOOKUP(C69,'Talente &amp; Stuff'!DO:EP,20,FALSE)</f>
        <v>0</v>
      </c>
      <c r="W69" s="127">
        <f>VLOOKUP(C69,'Talente &amp; Stuff'!DO:EP,21,FALSE)</f>
        <v>0</v>
      </c>
      <c r="X69" s="125">
        <f>VLOOKUP(C69,'Talente &amp; Stuff'!DO:EP,22,FALSE)</f>
        <v>0</v>
      </c>
      <c r="Y69" s="165">
        <f t="shared" si="8"/>
        <v>0</v>
      </c>
      <c r="Z69" s="44">
        <f t="shared" si="9"/>
        <v>0</v>
      </c>
      <c r="AA69" s="125">
        <f>VLOOKUP(C69,'Talente &amp; Stuff'!DO:EP,25,FALSE)</f>
        <v>0</v>
      </c>
      <c r="AB69" s="160">
        <f>VLOOKUP(C69,'Talente &amp; Stuff'!DO:EP,26,FALSE)</f>
        <v>0</v>
      </c>
      <c r="AC69" s="127">
        <f>VLOOKUP(C69,'Talente &amp; Stuff'!DO:EP,27,FALSE)</f>
        <v>0</v>
      </c>
      <c r="AD69" s="125">
        <f>VLOOKUP(C69,'Talente &amp; Stuff'!DO:EP,28,FALSE)</f>
        <v>0</v>
      </c>
      <c r="AE69" s="28"/>
    </row>
    <row r="70" spans="1:31" ht="15" hidden="1" customHeight="1" outlineLevel="2">
      <c r="B70" s="148">
        <v>14</v>
      </c>
      <c r="C70" s="177" t="str">
        <f>Attribute!C70</f>
        <v>---</v>
      </c>
      <c r="D70" s="127" t="str">
        <f>VLOOKUP(C70,'Talente &amp; Stuff'!DO:EP,2,FALSE)</f>
        <v>--/--/--</v>
      </c>
      <c r="E70" s="125" t="str">
        <f>VLOOKUP(C70,'Talente &amp; Stuff'!DO:EP,3,FALSE)</f>
        <v>-</v>
      </c>
      <c r="F70" s="114">
        <f>VLOOKUP(C70,'Talente &amp; Stuff'!DO:EP,4,FALSE)</f>
        <v>0</v>
      </c>
      <c r="G70" s="113">
        <f>VLOOKUP(C70,'Talente &amp; Stuff'!DO:EP,5,FALSE)</f>
        <v>0</v>
      </c>
      <c r="H70" s="113">
        <f>VLOOKUP(C70,'Talente &amp; Stuff'!DO:EP,6,FALSE)</f>
        <v>0</v>
      </c>
      <c r="I70" s="113">
        <f>VLOOKUP(C70,'Talente &amp; Stuff'!DO:EP,7,FALSE)</f>
        <v>0</v>
      </c>
      <c r="J70" s="113">
        <f>VLOOKUP(C70,'Talente &amp; Stuff'!DO:EP,8,FALSE)</f>
        <v>0</v>
      </c>
      <c r="K70" s="113">
        <f>VLOOKUP(C70,'Talente &amp; Stuff'!DO:EP,9,FALSE)</f>
        <v>0</v>
      </c>
      <c r="L70" s="113">
        <f>VLOOKUP(C70,'Talente &amp; Stuff'!DO:EP,10,FALSE)</f>
        <v>0</v>
      </c>
      <c r="M70" s="119">
        <f>VLOOKUP(C70,'Talente &amp; Stuff'!DO:EP,11,FALSE)</f>
        <v>0</v>
      </c>
      <c r="N70" s="89">
        <f>VLOOKUP(C70,'Talente &amp; Stuff'!DO:EP,12,FALSE)</f>
        <v>0</v>
      </c>
      <c r="O70" s="47">
        <f>VLOOKUP(C70,'Talente &amp; Stuff'!DO:EP,13,FALSE)</f>
        <v>0</v>
      </c>
      <c r="P70" s="119">
        <f>VLOOKUP(C70,'Talente &amp; Stuff'!DO:EP,14,FALSE)</f>
        <v>0</v>
      </c>
      <c r="Q70" s="114">
        <f>VLOOKUP(C70,'Talente &amp; Stuff'!DO:EP,15,FALSE)</f>
        <v>0</v>
      </c>
      <c r="R70" s="113">
        <f>VLOOKUP(C70,'Talente &amp; Stuff'!DO:EP,16,FALSE)</f>
        <v>0</v>
      </c>
      <c r="S70" s="119">
        <f>VLOOKUP(C70,'Talente &amp; Stuff'!DO:EP,17,FALSE)</f>
        <v>0</v>
      </c>
      <c r="T70" s="160">
        <f>VLOOKUP(C70,'Talente &amp; Stuff'!DO:EP,18,FALSE)</f>
        <v>0</v>
      </c>
      <c r="U70" s="89">
        <f>VLOOKUP(C70,'Talente &amp; Stuff'!DO:EP,19,FALSE)</f>
        <v>0</v>
      </c>
      <c r="V70" s="47">
        <f>VLOOKUP(C70,'Talente &amp; Stuff'!DO:EP,20,FALSE)</f>
        <v>0</v>
      </c>
      <c r="W70" s="127">
        <f>VLOOKUP(C70,'Talente &amp; Stuff'!DO:EP,21,FALSE)</f>
        <v>0</v>
      </c>
      <c r="X70" s="125">
        <f>VLOOKUP(C70,'Talente &amp; Stuff'!DO:EP,22,FALSE)</f>
        <v>0</v>
      </c>
      <c r="Y70" s="165">
        <f t="shared" si="8"/>
        <v>0</v>
      </c>
      <c r="Z70" s="44">
        <f t="shared" si="9"/>
        <v>0</v>
      </c>
      <c r="AA70" s="125">
        <f>VLOOKUP(C70,'Talente &amp; Stuff'!DO:EP,25,FALSE)</f>
        <v>0</v>
      </c>
      <c r="AB70" s="160">
        <f>VLOOKUP(C70,'Talente &amp; Stuff'!DO:EP,26,FALSE)</f>
        <v>0</v>
      </c>
      <c r="AC70" s="127">
        <f>VLOOKUP(C70,'Talente &amp; Stuff'!DO:EP,27,FALSE)</f>
        <v>0</v>
      </c>
      <c r="AD70" s="125">
        <f>VLOOKUP(C70,'Talente &amp; Stuff'!DO:EP,28,FALSE)</f>
        <v>0</v>
      </c>
      <c r="AE70" s="28"/>
    </row>
    <row r="71" spans="1:31" ht="15" hidden="1" customHeight="1" outlineLevel="2">
      <c r="B71" s="148">
        <v>15</v>
      </c>
      <c r="C71" s="177" t="str">
        <f>Attribute!C71</f>
        <v>---</v>
      </c>
      <c r="D71" s="127" t="str">
        <f>VLOOKUP(C71,'Talente &amp; Stuff'!DO:EP,2,FALSE)</f>
        <v>--/--/--</v>
      </c>
      <c r="E71" s="125" t="str">
        <f>VLOOKUP(C71,'Talente &amp; Stuff'!DO:EP,3,FALSE)</f>
        <v>-</v>
      </c>
      <c r="F71" s="114">
        <f>VLOOKUP(C71,'Talente &amp; Stuff'!DO:EP,4,FALSE)</f>
        <v>0</v>
      </c>
      <c r="G71" s="113">
        <f>VLOOKUP(C71,'Talente &amp; Stuff'!DO:EP,5,FALSE)</f>
        <v>0</v>
      </c>
      <c r="H71" s="113">
        <f>VLOOKUP(C71,'Talente &amp; Stuff'!DO:EP,6,FALSE)</f>
        <v>0</v>
      </c>
      <c r="I71" s="113">
        <f>VLOOKUP(C71,'Talente &amp; Stuff'!DO:EP,7,FALSE)</f>
        <v>0</v>
      </c>
      <c r="J71" s="113">
        <f>VLOOKUP(C71,'Talente &amp; Stuff'!DO:EP,8,FALSE)</f>
        <v>0</v>
      </c>
      <c r="K71" s="113">
        <f>VLOOKUP(C71,'Talente &amp; Stuff'!DO:EP,9,FALSE)</f>
        <v>0</v>
      </c>
      <c r="L71" s="113">
        <f>VLOOKUP(C71,'Talente &amp; Stuff'!DO:EP,10,FALSE)</f>
        <v>0</v>
      </c>
      <c r="M71" s="119">
        <f>VLOOKUP(C71,'Talente &amp; Stuff'!DO:EP,11,FALSE)</f>
        <v>0</v>
      </c>
      <c r="N71" s="89">
        <f>VLOOKUP(C71,'Talente &amp; Stuff'!DO:EP,12,FALSE)</f>
        <v>0</v>
      </c>
      <c r="O71" s="47">
        <f>VLOOKUP(C71,'Talente &amp; Stuff'!DO:EP,13,FALSE)</f>
        <v>0</v>
      </c>
      <c r="P71" s="119">
        <f>VLOOKUP(C71,'Talente &amp; Stuff'!DO:EP,14,FALSE)</f>
        <v>0</v>
      </c>
      <c r="Q71" s="114">
        <f>VLOOKUP(C71,'Talente &amp; Stuff'!DO:EP,15,FALSE)</f>
        <v>0</v>
      </c>
      <c r="R71" s="113">
        <f>VLOOKUP(C71,'Talente &amp; Stuff'!DO:EP,16,FALSE)</f>
        <v>0</v>
      </c>
      <c r="S71" s="119">
        <f>VLOOKUP(C71,'Talente &amp; Stuff'!DO:EP,17,FALSE)</f>
        <v>0</v>
      </c>
      <c r="T71" s="160">
        <f>VLOOKUP(C71,'Talente &amp; Stuff'!DO:EP,18,FALSE)</f>
        <v>0</v>
      </c>
      <c r="U71" s="89">
        <f>VLOOKUP(C71,'Talente &amp; Stuff'!DO:EP,19,FALSE)</f>
        <v>0</v>
      </c>
      <c r="V71" s="47">
        <f>VLOOKUP(C71,'Talente &amp; Stuff'!DO:EP,20,FALSE)</f>
        <v>0</v>
      </c>
      <c r="W71" s="127">
        <f>VLOOKUP(C71,'Talente &amp; Stuff'!DO:EP,21,FALSE)</f>
        <v>0</v>
      </c>
      <c r="X71" s="125">
        <f>VLOOKUP(C71,'Talente &amp; Stuff'!DO:EP,22,FALSE)</f>
        <v>0</v>
      </c>
      <c r="Y71" s="165">
        <f t="shared" si="8"/>
        <v>0</v>
      </c>
      <c r="Z71" s="44">
        <f t="shared" si="9"/>
        <v>0</v>
      </c>
      <c r="AA71" s="125">
        <f>VLOOKUP(C71,'Talente &amp; Stuff'!DO:EP,25,FALSE)</f>
        <v>0</v>
      </c>
      <c r="AB71" s="160">
        <f>VLOOKUP(C71,'Talente &amp; Stuff'!DO:EP,26,FALSE)</f>
        <v>0</v>
      </c>
      <c r="AC71" s="127">
        <f>VLOOKUP(C71,'Talente &amp; Stuff'!DO:EP,27,FALSE)</f>
        <v>0</v>
      </c>
      <c r="AD71" s="125">
        <f>VLOOKUP(C71,'Talente &amp; Stuff'!DO:EP,28,FALSE)</f>
        <v>0</v>
      </c>
      <c r="AE71" s="28"/>
    </row>
    <row r="72" spans="1:31" ht="15" hidden="1" customHeight="1" outlineLevel="2">
      <c r="B72" s="148">
        <v>16</v>
      </c>
      <c r="C72" s="177" t="str">
        <f>Attribute!C72</f>
        <v>---</v>
      </c>
      <c r="D72" s="127" t="str">
        <f>VLOOKUP(C72,'Talente &amp; Stuff'!DO:EP,2,FALSE)</f>
        <v>--/--/--</v>
      </c>
      <c r="E72" s="125" t="str">
        <f>VLOOKUP(C72,'Talente &amp; Stuff'!DO:EP,3,FALSE)</f>
        <v>-</v>
      </c>
      <c r="F72" s="114">
        <f>VLOOKUP(C72,'Talente &amp; Stuff'!DO:EP,4,FALSE)</f>
        <v>0</v>
      </c>
      <c r="G72" s="113">
        <f>VLOOKUP(C72,'Talente &amp; Stuff'!DO:EP,5,FALSE)</f>
        <v>0</v>
      </c>
      <c r="H72" s="113">
        <f>VLOOKUP(C72,'Talente &amp; Stuff'!DO:EP,6,FALSE)</f>
        <v>0</v>
      </c>
      <c r="I72" s="113">
        <f>VLOOKUP(C72,'Talente &amp; Stuff'!DO:EP,7,FALSE)</f>
        <v>0</v>
      </c>
      <c r="J72" s="113">
        <f>VLOOKUP(C72,'Talente &amp; Stuff'!DO:EP,8,FALSE)</f>
        <v>0</v>
      </c>
      <c r="K72" s="113">
        <f>VLOOKUP(C72,'Talente &amp; Stuff'!DO:EP,9,FALSE)</f>
        <v>0</v>
      </c>
      <c r="L72" s="113">
        <f>VLOOKUP(C72,'Talente &amp; Stuff'!DO:EP,10,FALSE)</f>
        <v>0</v>
      </c>
      <c r="M72" s="119">
        <f>VLOOKUP(C72,'Talente &amp; Stuff'!DO:EP,11,FALSE)</f>
        <v>0</v>
      </c>
      <c r="N72" s="89">
        <f>VLOOKUP(C72,'Talente &amp; Stuff'!DO:EP,12,FALSE)</f>
        <v>0</v>
      </c>
      <c r="O72" s="47">
        <f>VLOOKUP(C72,'Talente &amp; Stuff'!DO:EP,13,FALSE)</f>
        <v>0</v>
      </c>
      <c r="P72" s="119">
        <f>VLOOKUP(C72,'Talente &amp; Stuff'!DO:EP,14,FALSE)</f>
        <v>0</v>
      </c>
      <c r="Q72" s="114">
        <f>VLOOKUP(C72,'Talente &amp; Stuff'!DO:EP,15,FALSE)</f>
        <v>0</v>
      </c>
      <c r="R72" s="113">
        <f>VLOOKUP(C72,'Talente &amp; Stuff'!DO:EP,16,FALSE)</f>
        <v>0</v>
      </c>
      <c r="S72" s="119">
        <f>VLOOKUP(C72,'Talente &amp; Stuff'!DO:EP,17,FALSE)</f>
        <v>0</v>
      </c>
      <c r="T72" s="160">
        <f>VLOOKUP(C72,'Talente &amp; Stuff'!DO:EP,18,FALSE)</f>
        <v>0</v>
      </c>
      <c r="U72" s="89">
        <f>VLOOKUP(C72,'Talente &amp; Stuff'!DO:EP,19,FALSE)</f>
        <v>0</v>
      </c>
      <c r="V72" s="47">
        <f>VLOOKUP(C72,'Talente &amp; Stuff'!DO:EP,20,FALSE)</f>
        <v>0</v>
      </c>
      <c r="W72" s="127">
        <f>VLOOKUP(C72,'Talente &amp; Stuff'!DO:EP,21,FALSE)</f>
        <v>0</v>
      </c>
      <c r="X72" s="125">
        <f>VLOOKUP(C72,'Talente &amp; Stuff'!DO:EP,22,FALSE)</f>
        <v>0</v>
      </c>
      <c r="Y72" s="165">
        <f t="shared" si="8"/>
        <v>0</v>
      </c>
      <c r="Z72" s="44">
        <f t="shared" si="9"/>
        <v>0</v>
      </c>
      <c r="AA72" s="125">
        <f>VLOOKUP(C72,'Talente &amp; Stuff'!DO:EP,25,FALSE)</f>
        <v>0</v>
      </c>
      <c r="AB72" s="160">
        <f>VLOOKUP(C72,'Talente &amp; Stuff'!DO:EP,26,FALSE)</f>
        <v>0</v>
      </c>
      <c r="AC72" s="127">
        <f>VLOOKUP(C72,'Talente &amp; Stuff'!DO:EP,27,FALSE)</f>
        <v>0</v>
      </c>
      <c r="AD72" s="125">
        <f>VLOOKUP(C72,'Talente &amp; Stuff'!DO:EP,28,FALSE)</f>
        <v>0</v>
      </c>
      <c r="AE72" s="28"/>
    </row>
    <row r="73" spans="1:31" ht="15" hidden="1" customHeight="1" outlineLevel="2">
      <c r="B73" s="148">
        <v>17</v>
      </c>
      <c r="C73" s="178" t="str">
        <f>Attribute!C73</f>
        <v>---</v>
      </c>
      <c r="D73" s="128" t="str">
        <f>VLOOKUP(C73,'Talente &amp; Stuff'!DO:EP,2,FALSE)</f>
        <v>--/--/--</v>
      </c>
      <c r="E73" s="159" t="str">
        <f>VLOOKUP(C73,'Talente &amp; Stuff'!DO:EP,3,FALSE)</f>
        <v>-</v>
      </c>
      <c r="F73" s="115">
        <f>VLOOKUP(C73,'Talente &amp; Stuff'!DO:EP,4,FALSE)</f>
        <v>0</v>
      </c>
      <c r="G73" s="122">
        <f>VLOOKUP(C73,'Talente &amp; Stuff'!DO:EP,5,FALSE)</f>
        <v>0</v>
      </c>
      <c r="H73" s="122">
        <f>VLOOKUP(C73,'Talente &amp; Stuff'!DO:EP,6,FALSE)</f>
        <v>0</v>
      </c>
      <c r="I73" s="122">
        <f>VLOOKUP(C73,'Talente &amp; Stuff'!DO:EP,7,FALSE)</f>
        <v>0</v>
      </c>
      <c r="J73" s="122">
        <f>VLOOKUP(C73,'Talente &amp; Stuff'!DO:EP,8,FALSE)</f>
        <v>0</v>
      </c>
      <c r="K73" s="122">
        <f>VLOOKUP(C73,'Talente &amp; Stuff'!DO:EP,9,FALSE)</f>
        <v>0</v>
      </c>
      <c r="L73" s="122">
        <f>VLOOKUP(C73,'Talente &amp; Stuff'!DO:EP,10,FALSE)</f>
        <v>0</v>
      </c>
      <c r="M73" s="123">
        <f>VLOOKUP(C73,'Talente &amp; Stuff'!DO:EP,11,FALSE)</f>
        <v>0</v>
      </c>
      <c r="N73" s="90">
        <f>VLOOKUP(C73,'Talente &amp; Stuff'!DO:EP,12,FALSE)</f>
        <v>0</v>
      </c>
      <c r="O73" s="88">
        <f>VLOOKUP(C73,'Talente &amp; Stuff'!DO:EP,13,FALSE)</f>
        <v>0</v>
      </c>
      <c r="P73" s="123">
        <f>VLOOKUP(C73,'Talente &amp; Stuff'!DO:EP,14,FALSE)</f>
        <v>0</v>
      </c>
      <c r="Q73" s="115">
        <f>VLOOKUP(C73,'Talente &amp; Stuff'!DO:EP,15,FALSE)</f>
        <v>0</v>
      </c>
      <c r="R73" s="122">
        <f>VLOOKUP(C73,'Talente &amp; Stuff'!DO:EP,16,FALSE)</f>
        <v>0</v>
      </c>
      <c r="S73" s="123">
        <f>VLOOKUP(C73,'Talente &amp; Stuff'!DO:EP,17,FALSE)</f>
        <v>0</v>
      </c>
      <c r="T73" s="161">
        <f>VLOOKUP(C73,'Talente &amp; Stuff'!DO:EP,18,FALSE)</f>
        <v>0</v>
      </c>
      <c r="U73" s="90">
        <f>VLOOKUP(C73,'Talente &amp; Stuff'!DO:EP,19,FALSE)</f>
        <v>0</v>
      </c>
      <c r="V73" s="88">
        <f>VLOOKUP(C73,'Talente &amp; Stuff'!DO:EP,20,FALSE)</f>
        <v>0</v>
      </c>
      <c r="W73" s="128">
        <f>VLOOKUP(C73,'Talente &amp; Stuff'!DO:EP,21,FALSE)</f>
        <v>0</v>
      </c>
      <c r="X73" s="159">
        <f>VLOOKUP(C73,'Talente &amp; Stuff'!DO:EP,22,FALSE)</f>
        <v>0</v>
      </c>
      <c r="Y73" s="165">
        <f t="shared" si="8"/>
        <v>0</v>
      </c>
      <c r="Z73" s="44">
        <f t="shared" si="9"/>
        <v>0</v>
      </c>
      <c r="AA73" s="159">
        <f>VLOOKUP(C73,'Talente &amp; Stuff'!DO:EP,25,FALSE)</f>
        <v>0</v>
      </c>
      <c r="AB73" s="161">
        <f>VLOOKUP(C73,'Talente &amp; Stuff'!DO:EP,26,FALSE)</f>
        <v>0</v>
      </c>
      <c r="AC73" s="128">
        <f>VLOOKUP(C73,'Talente &amp; Stuff'!DO:EP,27,FALSE)</f>
        <v>0</v>
      </c>
      <c r="AD73" s="159">
        <f>VLOOKUP(C73,'Talente &amp; Stuff'!DO:EP,28,FALSE)</f>
        <v>0</v>
      </c>
      <c r="AE73" s="28"/>
    </row>
    <row r="74" spans="1:31" ht="15" hidden="1" customHeight="1" outlineLevel="1" collapsed="1"/>
    <row r="75" spans="1:31" ht="15.75" collapsed="1" thickBot="1"/>
    <row r="76" spans="1:31" ht="15.75" thickBot="1">
      <c r="A76" s="135" t="s">
        <v>332</v>
      </c>
    </row>
    <row r="77" spans="1:31" ht="15" hidden="1" customHeight="1" outlineLevel="1">
      <c r="B77" s="134" t="s">
        <v>327</v>
      </c>
      <c r="C77" s="142"/>
    </row>
    <row r="78" spans="1:31" ht="15" hidden="1" customHeight="1" outlineLevel="2">
      <c r="B78" s="148">
        <v>1</v>
      </c>
      <c r="C78" s="176" t="str">
        <f>Attribute!C78</f>
        <v>---</v>
      </c>
      <c r="D78" s="158" t="str">
        <f>VLOOKUP(C78,'Talente &amp; Stuff'!DO:EP,2,FALSE)</f>
        <v>--/--/--</v>
      </c>
      <c r="E78" s="126" t="str">
        <f>VLOOKUP(C78,'Talente &amp; Stuff'!DO:EP,3,FALSE)</f>
        <v>-</v>
      </c>
      <c r="F78" s="191">
        <f>VLOOKUP(C78,'Talente &amp; Stuff'!DO:EP,4,FALSE)</f>
        <v>0</v>
      </c>
      <c r="G78" s="118">
        <f>VLOOKUP(C78,'Talente &amp; Stuff'!DO:EP,5,FALSE)</f>
        <v>0</v>
      </c>
      <c r="H78" s="118">
        <f>VLOOKUP(C78,'Talente &amp; Stuff'!DO:EP,6,FALSE)</f>
        <v>0</v>
      </c>
      <c r="I78" s="118">
        <f>VLOOKUP(C78,'Talente &amp; Stuff'!DO:EP,7,FALSE)</f>
        <v>0</v>
      </c>
      <c r="J78" s="118">
        <f>VLOOKUP(C78,'Talente &amp; Stuff'!DO:EP,8,FALSE)</f>
        <v>0</v>
      </c>
      <c r="K78" s="118">
        <f>VLOOKUP(C78,'Talente &amp; Stuff'!DO:EP,9,FALSE)</f>
        <v>0</v>
      </c>
      <c r="L78" s="118">
        <f>VLOOKUP(C78,'Talente &amp; Stuff'!DO:EP,10,FALSE)</f>
        <v>0</v>
      </c>
      <c r="M78" s="92">
        <f>VLOOKUP(C78,'Talente &amp; Stuff'!DO:EP,11,FALSE)</f>
        <v>0</v>
      </c>
      <c r="N78" s="116">
        <f>VLOOKUP(C78,'Talente &amp; Stuff'!DO:EP,12,FALSE)</f>
        <v>0</v>
      </c>
      <c r="O78" s="116">
        <f>VLOOKUP(C78,'Talente &amp; Stuff'!DO:EP,13,FALSE)</f>
        <v>0</v>
      </c>
      <c r="P78" s="92">
        <f>VLOOKUP(C78,'Talente &amp; Stuff'!DO:EP,14,FALSE)</f>
        <v>0</v>
      </c>
      <c r="Q78" s="191">
        <f>VLOOKUP(C78,'Talente &amp; Stuff'!DO:EP,15,FALSE)</f>
        <v>0</v>
      </c>
      <c r="R78" s="118">
        <f>VLOOKUP(C78,'Talente &amp; Stuff'!DO:EP,16,FALSE)</f>
        <v>0</v>
      </c>
      <c r="S78" s="92">
        <f>VLOOKUP(C78,'Talente &amp; Stuff'!DO:EP,17,FALSE)</f>
        <v>0</v>
      </c>
      <c r="T78" s="92">
        <f>VLOOKUP(C78,'Talente &amp; Stuff'!DO:EP,18,FALSE)</f>
        <v>0</v>
      </c>
      <c r="U78" s="193">
        <f>VLOOKUP(C78,'Talente &amp; Stuff'!DO:EP,19,FALSE)</f>
        <v>0</v>
      </c>
      <c r="V78" s="116">
        <f>VLOOKUP(C78,'Talente &amp; Stuff'!DO:EP,20,FALSE)</f>
        <v>0</v>
      </c>
      <c r="W78" s="126">
        <f>VLOOKUP(C78,'Talente &amp; Stuff'!DO:EP,21,FALSE)</f>
        <v>0</v>
      </c>
      <c r="X78" s="126">
        <f>VLOOKUP(C78,'Talente &amp; Stuff'!DO:EP,22,FALSE)</f>
        <v>0</v>
      </c>
      <c r="Y78" s="165">
        <f t="shared" ref="Y78:Y98" si="10">VLOOKUP(C78,Ausgewählte_Zauber_Allgemein,139,FALSE)</f>
        <v>0</v>
      </c>
      <c r="Z78" s="44">
        <f t="shared" ref="Z78:Z98" si="11">VLOOKUP(C78,Ausgewählte_Zauber_Allgemein,140,FALSE)</f>
        <v>0</v>
      </c>
      <c r="AA78" s="158">
        <f>VLOOKUP(C78,'Talente &amp; Stuff'!DO:EP,25,FALSE)</f>
        <v>0</v>
      </c>
      <c r="AB78" s="91">
        <f>VLOOKUP(C78,'Talente &amp; Stuff'!DO:EP,26,FALSE)</f>
        <v>0</v>
      </c>
      <c r="AC78" s="126">
        <f>VLOOKUP(C78,'Talente &amp; Stuff'!DO:EP,27,FALSE)</f>
        <v>0</v>
      </c>
      <c r="AD78" s="158">
        <f>VLOOKUP(C78,'Talente &amp; Stuff'!DO:EP,28,FALSE)</f>
        <v>0</v>
      </c>
      <c r="AE78" s="28"/>
    </row>
    <row r="79" spans="1:31" ht="15" hidden="1" customHeight="1" outlineLevel="2">
      <c r="B79" s="148">
        <v>2</v>
      </c>
      <c r="C79" s="177" t="str">
        <f>Attribute!C79</f>
        <v>---</v>
      </c>
      <c r="D79" s="125" t="str">
        <f>VLOOKUP(C79,'Talente &amp; Stuff'!DO:EP,2,FALSE)</f>
        <v>--/--/--</v>
      </c>
      <c r="E79" s="127" t="str">
        <f>VLOOKUP(C79,'Talente &amp; Stuff'!DO:EP,3,FALSE)</f>
        <v>-</v>
      </c>
      <c r="F79" s="114">
        <f>VLOOKUP(C79,'Talente &amp; Stuff'!DO:EP,4,FALSE)</f>
        <v>0</v>
      </c>
      <c r="G79" s="113">
        <f>VLOOKUP(C79,'Talente &amp; Stuff'!DO:EP,5,FALSE)</f>
        <v>0</v>
      </c>
      <c r="H79" s="113">
        <f>VLOOKUP(C79,'Talente &amp; Stuff'!DO:EP,6,FALSE)</f>
        <v>0</v>
      </c>
      <c r="I79" s="113">
        <f>VLOOKUP(C79,'Talente &amp; Stuff'!DO:EP,7,FALSE)</f>
        <v>0</v>
      </c>
      <c r="J79" s="113">
        <f>VLOOKUP(C79,'Talente &amp; Stuff'!DO:EP,8,FALSE)</f>
        <v>0</v>
      </c>
      <c r="K79" s="113">
        <f>VLOOKUP(C79,'Talente &amp; Stuff'!DO:EP,9,FALSE)</f>
        <v>0</v>
      </c>
      <c r="L79" s="113">
        <f>VLOOKUP(C79,'Talente &amp; Stuff'!DO:EP,10,FALSE)</f>
        <v>0</v>
      </c>
      <c r="M79" s="119">
        <f>VLOOKUP(C79,'Talente &amp; Stuff'!DO:EP,11,FALSE)</f>
        <v>0</v>
      </c>
      <c r="N79" s="89">
        <f>VLOOKUP(C79,'Talente &amp; Stuff'!DO:EP,12,FALSE)</f>
        <v>0</v>
      </c>
      <c r="O79" s="47">
        <f>VLOOKUP(C79,'Talente &amp; Stuff'!DO:EP,13,FALSE)</f>
        <v>0</v>
      </c>
      <c r="P79" s="119">
        <f>VLOOKUP(C79,'Talente &amp; Stuff'!DO:EP,14,FALSE)</f>
        <v>0</v>
      </c>
      <c r="Q79" s="114">
        <f>VLOOKUP(C79,'Talente &amp; Stuff'!DO:EP,15,FALSE)</f>
        <v>0</v>
      </c>
      <c r="R79" s="113">
        <f>VLOOKUP(C79,'Talente &amp; Stuff'!DO:EP,16,FALSE)</f>
        <v>0</v>
      </c>
      <c r="S79" s="119">
        <f>VLOOKUP(C79,'Talente &amp; Stuff'!DO:EP,17,FALSE)</f>
        <v>0</v>
      </c>
      <c r="T79" s="160">
        <f>VLOOKUP(C79,'Talente &amp; Stuff'!DO:EP,18,FALSE)</f>
        <v>0</v>
      </c>
      <c r="U79" s="89">
        <f>VLOOKUP(C79,'Talente &amp; Stuff'!DO:EP,19,FALSE)</f>
        <v>0</v>
      </c>
      <c r="V79" s="47">
        <f>VLOOKUP(C79,'Talente &amp; Stuff'!DO:EP,20,FALSE)</f>
        <v>0</v>
      </c>
      <c r="W79" s="127">
        <f>VLOOKUP(C79,'Talente &amp; Stuff'!DO:EP,21,FALSE)</f>
        <v>0</v>
      </c>
      <c r="X79" s="127">
        <f>VLOOKUP(C79,'Talente &amp; Stuff'!DO:EP,22,FALSE)</f>
        <v>0</v>
      </c>
      <c r="Y79" s="165">
        <f t="shared" si="10"/>
        <v>0</v>
      </c>
      <c r="Z79" s="44">
        <f t="shared" si="11"/>
        <v>0</v>
      </c>
      <c r="AA79" s="125">
        <f>VLOOKUP(C79,'Talente &amp; Stuff'!DO:EP,25,FALSE)</f>
        <v>0</v>
      </c>
      <c r="AB79" s="160">
        <f>VLOOKUP(C79,'Talente &amp; Stuff'!DO:EP,26,FALSE)</f>
        <v>0</v>
      </c>
      <c r="AC79" s="127">
        <f>VLOOKUP(C79,'Talente &amp; Stuff'!DO:EP,27,FALSE)</f>
        <v>0</v>
      </c>
      <c r="AD79" s="125">
        <f>VLOOKUP(C79,'Talente &amp; Stuff'!DO:EP,28,FALSE)</f>
        <v>0</v>
      </c>
      <c r="AE79" s="28"/>
    </row>
    <row r="80" spans="1:31" ht="15" hidden="1" customHeight="1" outlineLevel="2">
      <c r="B80" s="148">
        <v>3</v>
      </c>
      <c r="C80" s="177" t="str">
        <f>Attribute!C80</f>
        <v>---</v>
      </c>
      <c r="D80" s="125" t="str">
        <f>VLOOKUP(C80,'Talente &amp; Stuff'!DO:EP,2,FALSE)</f>
        <v>--/--/--</v>
      </c>
      <c r="E80" s="127" t="str">
        <f>VLOOKUP(C80,'Talente &amp; Stuff'!DO:EP,3,FALSE)</f>
        <v>-</v>
      </c>
      <c r="F80" s="114">
        <f>VLOOKUP(C80,'Talente &amp; Stuff'!DO:EP,4,FALSE)</f>
        <v>0</v>
      </c>
      <c r="G80" s="113">
        <f>VLOOKUP(C80,'Talente &amp; Stuff'!DO:EP,5,FALSE)</f>
        <v>0</v>
      </c>
      <c r="H80" s="113">
        <f>VLOOKUP(C80,'Talente &amp; Stuff'!DO:EP,6,FALSE)</f>
        <v>0</v>
      </c>
      <c r="I80" s="113">
        <f>VLOOKUP(C80,'Talente &amp; Stuff'!DO:EP,7,FALSE)</f>
        <v>0</v>
      </c>
      <c r="J80" s="113">
        <f>VLOOKUP(C80,'Talente &amp; Stuff'!DO:EP,8,FALSE)</f>
        <v>0</v>
      </c>
      <c r="K80" s="113">
        <f>VLOOKUP(C80,'Talente &amp; Stuff'!DO:EP,9,FALSE)</f>
        <v>0</v>
      </c>
      <c r="L80" s="113">
        <f>VLOOKUP(C80,'Talente &amp; Stuff'!DO:EP,10,FALSE)</f>
        <v>0</v>
      </c>
      <c r="M80" s="119">
        <f>VLOOKUP(C80,'Talente &amp; Stuff'!DO:EP,11,FALSE)</f>
        <v>0</v>
      </c>
      <c r="N80" s="89">
        <f>VLOOKUP(C80,'Talente &amp; Stuff'!DO:EP,12,FALSE)</f>
        <v>0</v>
      </c>
      <c r="O80" s="47">
        <f>VLOOKUP(C80,'Talente &amp; Stuff'!DO:EP,13,FALSE)</f>
        <v>0</v>
      </c>
      <c r="P80" s="119">
        <f>VLOOKUP(C80,'Talente &amp; Stuff'!DO:EP,14,FALSE)</f>
        <v>0</v>
      </c>
      <c r="Q80" s="114">
        <f>VLOOKUP(C80,'Talente &amp; Stuff'!DO:EP,15,FALSE)</f>
        <v>0</v>
      </c>
      <c r="R80" s="113">
        <f>VLOOKUP(C80,'Talente &amp; Stuff'!DO:EP,16,FALSE)</f>
        <v>0</v>
      </c>
      <c r="S80" s="119">
        <f>VLOOKUP(C80,'Talente &amp; Stuff'!DO:EP,17,FALSE)</f>
        <v>0</v>
      </c>
      <c r="T80" s="160">
        <f>VLOOKUP(C80,'Talente &amp; Stuff'!DO:EP,18,FALSE)</f>
        <v>0</v>
      </c>
      <c r="U80" s="89">
        <f>VLOOKUP(C80,'Talente &amp; Stuff'!DO:EP,19,FALSE)</f>
        <v>0</v>
      </c>
      <c r="V80" s="47">
        <f>VLOOKUP(C80,'Talente &amp; Stuff'!DO:EP,20,FALSE)</f>
        <v>0</v>
      </c>
      <c r="W80" s="127">
        <f>VLOOKUP(C80,'Talente &amp; Stuff'!DO:EP,21,FALSE)</f>
        <v>0</v>
      </c>
      <c r="X80" s="127">
        <f>VLOOKUP(C80,'Talente &amp; Stuff'!DO:EP,22,FALSE)</f>
        <v>0</v>
      </c>
      <c r="Y80" s="165">
        <f t="shared" si="10"/>
        <v>0</v>
      </c>
      <c r="Z80" s="44">
        <f t="shared" si="11"/>
        <v>0</v>
      </c>
      <c r="AA80" s="125">
        <f>VLOOKUP(C80,'Talente &amp; Stuff'!DO:EP,25,FALSE)</f>
        <v>0</v>
      </c>
      <c r="AB80" s="160">
        <f>VLOOKUP(C80,'Talente &amp; Stuff'!DO:EP,26,FALSE)</f>
        <v>0</v>
      </c>
      <c r="AC80" s="127">
        <f>VLOOKUP(C80,'Talente &amp; Stuff'!DO:EP,27,FALSE)</f>
        <v>0</v>
      </c>
      <c r="AD80" s="125">
        <f>VLOOKUP(C80,'Talente &amp; Stuff'!DO:EP,28,FALSE)</f>
        <v>0</v>
      </c>
      <c r="AE80" s="28"/>
    </row>
    <row r="81" spans="2:31" ht="15" hidden="1" customHeight="1" outlineLevel="2">
      <c r="B81" s="148">
        <v>4</v>
      </c>
      <c r="C81" s="177" t="str">
        <f>Attribute!C81</f>
        <v>---</v>
      </c>
      <c r="D81" s="125" t="str">
        <f>VLOOKUP(C81,'Talente &amp; Stuff'!DO:EP,2,FALSE)</f>
        <v>--/--/--</v>
      </c>
      <c r="E81" s="127" t="str">
        <f>VLOOKUP(C81,'Talente &amp; Stuff'!DO:EP,3,FALSE)</f>
        <v>-</v>
      </c>
      <c r="F81" s="114">
        <f>VLOOKUP(C81,'Talente &amp; Stuff'!DO:EP,4,FALSE)</f>
        <v>0</v>
      </c>
      <c r="G81" s="113">
        <f>VLOOKUP(C81,'Talente &amp; Stuff'!DO:EP,5,FALSE)</f>
        <v>0</v>
      </c>
      <c r="H81" s="113">
        <f>VLOOKUP(C81,'Talente &amp; Stuff'!DO:EP,6,FALSE)</f>
        <v>0</v>
      </c>
      <c r="I81" s="113">
        <f>VLOOKUP(C81,'Talente &amp; Stuff'!DO:EP,7,FALSE)</f>
        <v>0</v>
      </c>
      <c r="J81" s="113">
        <f>VLOOKUP(C81,'Talente &amp; Stuff'!DO:EP,8,FALSE)</f>
        <v>0</v>
      </c>
      <c r="K81" s="113">
        <f>VLOOKUP(C81,'Talente &amp; Stuff'!DO:EP,9,FALSE)</f>
        <v>0</v>
      </c>
      <c r="L81" s="113">
        <f>VLOOKUP(C81,'Talente &amp; Stuff'!DO:EP,10,FALSE)</f>
        <v>0</v>
      </c>
      <c r="M81" s="119">
        <f>VLOOKUP(C81,'Talente &amp; Stuff'!DO:EP,11,FALSE)</f>
        <v>0</v>
      </c>
      <c r="N81" s="89">
        <f>VLOOKUP(C81,'Talente &amp; Stuff'!DO:EP,12,FALSE)</f>
        <v>0</v>
      </c>
      <c r="O81" s="47">
        <f>VLOOKUP(C81,'Talente &amp; Stuff'!DO:EP,13,FALSE)</f>
        <v>0</v>
      </c>
      <c r="P81" s="119">
        <f>VLOOKUP(C81,'Talente &amp; Stuff'!DO:EP,14,FALSE)</f>
        <v>0</v>
      </c>
      <c r="Q81" s="114">
        <f>VLOOKUP(C81,'Talente &amp; Stuff'!DO:EP,15,FALSE)</f>
        <v>0</v>
      </c>
      <c r="R81" s="113">
        <f>VLOOKUP(C81,'Talente &amp; Stuff'!DO:EP,16,FALSE)</f>
        <v>0</v>
      </c>
      <c r="S81" s="119">
        <f>VLOOKUP(C81,'Talente &amp; Stuff'!DO:EP,17,FALSE)</f>
        <v>0</v>
      </c>
      <c r="T81" s="160">
        <f>VLOOKUP(C81,'Talente &amp; Stuff'!DO:EP,18,FALSE)</f>
        <v>0</v>
      </c>
      <c r="U81" s="89">
        <f>VLOOKUP(C81,'Talente &amp; Stuff'!DO:EP,19,FALSE)</f>
        <v>0</v>
      </c>
      <c r="V81" s="47">
        <f>VLOOKUP(C81,'Talente &amp; Stuff'!DO:EP,20,FALSE)</f>
        <v>0</v>
      </c>
      <c r="W81" s="127">
        <f>VLOOKUP(C81,'Talente &amp; Stuff'!DO:EP,21,FALSE)</f>
        <v>0</v>
      </c>
      <c r="X81" s="127">
        <f>VLOOKUP(C81,'Talente &amp; Stuff'!DO:EP,22,FALSE)</f>
        <v>0</v>
      </c>
      <c r="Y81" s="165">
        <f t="shared" si="10"/>
        <v>0</v>
      </c>
      <c r="Z81" s="44">
        <f t="shared" si="11"/>
        <v>0</v>
      </c>
      <c r="AA81" s="125">
        <f>VLOOKUP(C81,'Talente &amp; Stuff'!DO:EP,25,FALSE)</f>
        <v>0</v>
      </c>
      <c r="AB81" s="160">
        <f>VLOOKUP(C81,'Talente &amp; Stuff'!DO:EP,26,FALSE)</f>
        <v>0</v>
      </c>
      <c r="AC81" s="127">
        <f>VLOOKUP(C81,'Talente &amp; Stuff'!DO:EP,27,FALSE)</f>
        <v>0</v>
      </c>
      <c r="AD81" s="125">
        <f>VLOOKUP(C81,'Talente &amp; Stuff'!DO:EP,28,FALSE)</f>
        <v>0</v>
      </c>
      <c r="AE81" s="28"/>
    </row>
    <row r="82" spans="2:31" ht="15" hidden="1" customHeight="1" outlineLevel="2">
      <c r="B82" s="148">
        <v>5</v>
      </c>
      <c r="C82" s="177" t="str">
        <f>Attribute!C82</f>
        <v>---</v>
      </c>
      <c r="D82" s="125" t="str">
        <f>VLOOKUP(C82,'Talente &amp; Stuff'!DO:EP,2,FALSE)</f>
        <v>--/--/--</v>
      </c>
      <c r="E82" s="127" t="str">
        <f>VLOOKUP(C82,'Talente &amp; Stuff'!DO:EP,3,FALSE)</f>
        <v>-</v>
      </c>
      <c r="F82" s="114">
        <f>VLOOKUP(C82,'Talente &amp; Stuff'!DO:EP,4,FALSE)</f>
        <v>0</v>
      </c>
      <c r="G82" s="113">
        <f>VLOOKUP(C82,'Talente &amp; Stuff'!DO:EP,5,FALSE)</f>
        <v>0</v>
      </c>
      <c r="H82" s="113">
        <f>VLOOKUP(C82,'Talente &amp; Stuff'!DO:EP,6,FALSE)</f>
        <v>0</v>
      </c>
      <c r="I82" s="113">
        <f>VLOOKUP(C82,'Talente &amp; Stuff'!DO:EP,7,FALSE)</f>
        <v>0</v>
      </c>
      <c r="J82" s="113">
        <f>VLOOKUP(C82,'Talente &amp; Stuff'!DO:EP,8,FALSE)</f>
        <v>0</v>
      </c>
      <c r="K82" s="113">
        <f>VLOOKUP(C82,'Talente &amp; Stuff'!DO:EP,9,FALSE)</f>
        <v>0</v>
      </c>
      <c r="L82" s="113">
        <f>VLOOKUP(C82,'Talente &amp; Stuff'!DO:EP,10,FALSE)</f>
        <v>0</v>
      </c>
      <c r="M82" s="119">
        <f>VLOOKUP(C82,'Talente &amp; Stuff'!DO:EP,11,FALSE)</f>
        <v>0</v>
      </c>
      <c r="N82" s="89">
        <f>VLOOKUP(C82,'Talente &amp; Stuff'!DO:EP,12,FALSE)</f>
        <v>0</v>
      </c>
      <c r="O82" s="47">
        <f>VLOOKUP(C82,'Talente &amp; Stuff'!DO:EP,13,FALSE)</f>
        <v>0</v>
      </c>
      <c r="P82" s="119">
        <f>VLOOKUP(C82,'Talente &amp; Stuff'!DO:EP,14,FALSE)</f>
        <v>0</v>
      </c>
      <c r="Q82" s="114">
        <f>VLOOKUP(C82,'Talente &amp; Stuff'!DO:EP,15,FALSE)</f>
        <v>0</v>
      </c>
      <c r="R82" s="113">
        <f>VLOOKUP(C82,'Talente &amp; Stuff'!DO:EP,16,FALSE)</f>
        <v>0</v>
      </c>
      <c r="S82" s="119">
        <f>VLOOKUP(C82,'Talente &amp; Stuff'!DO:EP,17,FALSE)</f>
        <v>0</v>
      </c>
      <c r="T82" s="160">
        <f>VLOOKUP(C82,'Talente &amp; Stuff'!DO:EP,18,FALSE)</f>
        <v>0</v>
      </c>
      <c r="U82" s="89">
        <f>VLOOKUP(C82,'Talente &amp; Stuff'!DO:EP,19,FALSE)</f>
        <v>0</v>
      </c>
      <c r="V82" s="47">
        <f>VLOOKUP(C82,'Talente &amp; Stuff'!DO:EP,20,FALSE)</f>
        <v>0</v>
      </c>
      <c r="W82" s="127">
        <f>VLOOKUP(C82,'Talente &amp; Stuff'!DO:EP,21,FALSE)</f>
        <v>0</v>
      </c>
      <c r="X82" s="127">
        <f>VLOOKUP(C82,'Talente &amp; Stuff'!DO:EP,22,FALSE)</f>
        <v>0</v>
      </c>
      <c r="Y82" s="165">
        <f t="shared" si="10"/>
        <v>0</v>
      </c>
      <c r="Z82" s="44">
        <f t="shared" si="11"/>
        <v>0</v>
      </c>
      <c r="AA82" s="125">
        <f>VLOOKUP(C82,'Talente &amp; Stuff'!DO:EP,25,FALSE)</f>
        <v>0</v>
      </c>
      <c r="AB82" s="160">
        <f>VLOOKUP(C82,'Talente &amp; Stuff'!DO:EP,26,FALSE)</f>
        <v>0</v>
      </c>
      <c r="AC82" s="127">
        <f>VLOOKUP(C82,'Talente &amp; Stuff'!DO:EP,27,FALSE)</f>
        <v>0</v>
      </c>
      <c r="AD82" s="125">
        <f>VLOOKUP(C82,'Talente &amp; Stuff'!DO:EP,28,FALSE)</f>
        <v>0</v>
      </c>
      <c r="AE82" s="28"/>
    </row>
    <row r="83" spans="2:31" ht="15" hidden="1" customHeight="1" outlineLevel="2">
      <c r="B83" s="148">
        <v>6</v>
      </c>
      <c r="C83" s="177" t="str">
        <f>Attribute!C83</f>
        <v>---</v>
      </c>
      <c r="D83" s="125" t="str">
        <f>VLOOKUP(C83,'Talente &amp; Stuff'!DO:EP,2,FALSE)</f>
        <v>--/--/--</v>
      </c>
      <c r="E83" s="127" t="str">
        <f>VLOOKUP(C83,'Talente &amp; Stuff'!DO:EP,3,FALSE)</f>
        <v>-</v>
      </c>
      <c r="F83" s="114">
        <f>VLOOKUP(C83,'Talente &amp; Stuff'!DO:EP,4,FALSE)</f>
        <v>0</v>
      </c>
      <c r="G83" s="113">
        <f>VLOOKUP(C83,'Talente &amp; Stuff'!DO:EP,5,FALSE)</f>
        <v>0</v>
      </c>
      <c r="H83" s="113">
        <f>VLOOKUP(C83,'Talente &amp; Stuff'!DO:EP,6,FALSE)</f>
        <v>0</v>
      </c>
      <c r="I83" s="113">
        <f>VLOOKUP(C83,'Talente &amp; Stuff'!DO:EP,7,FALSE)</f>
        <v>0</v>
      </c>
      <c r="J83" s="113">
        <f>VLOOKUP(C83,'Talente &amp; Stuff'!DO:EP,8,FALSE)</f>
        <v>0</v>
      </c>
      <c r="K83" s="113">
        <f>VLOOKUP(C83,'Talente &amp; Stuff'!DO:EP,9,FALSE)</f>
        <v>0</v>
      </c>
      <c r="L83" s="113">
        <f>VLOOKUP(C83,'Talente &amp; Stuff'!DO:EP,10,FALSE)</f>
        <v>0</v>
      </c>
      <c r="M83" s="119">
        <f>VLOOKUP(C83,'Talente &amp; Stuff'!DO:EP,11,FALSE)</f>
        <v>0</v>
      </c>
      <c r="N83" s="89">
        <f>VLOOKUP(C83,'Talente &amp; Stuff'!DO:EP,12,FALSE)</f>
        <v>0</v>
      </c>
      <c r="O83" s="47">
        <f>VLOOKUP(C83,'Talente &amp; Stuff'!DO:EP,13,FALSE)</f>
        <v>0</v>
      </c>
      <c r="P83" s="119">
        <f>VLOOKUP(C83,'Talente &amp; Stuff'!DO:EP,14,FALSE)</f>
        <v>0</v>
      </c>
      <c r="Q83" s="114">
        <f>VLOOKUP(C83,'Talente &amp; Stuff'!DO:EP,15,FALSE)</f>
        <v>0</v>
      </c>
      <c r="R83" s="113">
        <f>VLOOKUP(C83,'Talente &amp; Stuff'!DO:EP,16,FALSE)</f>
        <v>0</v>
      </c>
      <c r="S83" s="119">
        <f>VLOOKUP(C83,'Talente &amp; Stuff'!DO:EP,17,FALSE)</f>
        <v>0</v>
      </c>
      <c r="T83" s="160">
        <f>VLOOKUP(C83,'Talente &amp; Stuff'!DO:EP,18,FALSE)</f>
        <v>0</v>
      </c>
      <c r="U83" s="89">
        <f>VLOOKUP(C83,'Talente &amp; Stuff'!DO:EP,19,FALSE)</f>
        <v>0</v>
      </c>
      <c r="V83" s="47">
        <f>VLOOKUP(C83,'Talente &amp; Stuff'!DO:EP,20,FALSE)</f>
        <v>0</v>
      </c>
      <c r="W83" s="127">
        <f>VLOOKUP(C83,'Talente &amp; Stuff'!DO:EP,21,FALSE)</f>
        <v>0</v>
      </c>
      <c r="X83" s="127">
        <f>VLOOKUP(C83,'Talente &amp; Stuff'!DO:EP,22,FALSE)</f>
        <v>0</v>
      </c>
      <c r="Y83" s="165">
        <f t="shared" si="10"/>
        <v>0</v>
      </c>
      <c r="Z83" s="44">
        <f t="shared" si="11"/>
        <v>0</v>
      </c>
      <c r="AA83" s="125">
        <f>VLOOKUP(C83,'Talente &amp; Stuff'!DO:EP,25,FALSE)</f>
        <v>0</v>
      </c>
      <c r="AB83" s="160">
        <f>VLOOKUP(C83,'Talente &amp; Stuff'!DO:EP,26,FALSE)</f>
        <v>0</v>
      </c>
      <c r="AC83" s="127">
        <f>VLOOKUP(C83,'Talente &amp; Stuff'!DO:EP,27,FALSE)</f>
        <v>0</v>
      </c>
      <c r="AD83" s="125">
        <f>VLOOKUP(C83,'Talente &amp; Stuff'!DO:EP,28,FALSE)</f>
        <v>0</v>
      </c>
      <c r="AE83" s="28"/>
    </row>
    <row r="84" spans="2:31" ht="15" hidden="1" customHeight="1" outlineLevel="2">
      <c r="B84" s="148">
        <v>7</v>
      </c>
      <c r="C84" s="177" t="str">
        <f>Attribute!C84</f>
        <v>---</v>
      </c>
      <c r="D84" s="125" t="str">
        <f>VLOOKUP(C84,'Talente &amp; Stuff'!DO:EP,2,FALSE)</f>
        <v>--/--/--</v>
      </c>
      <c r="E84" s="127" t="str">
        <f>VLOOKUP(C84,'Talente &amp; Stuff'!DO:EP,3,FALSE)</f>
        <v>-</v>
      </c>
      <c r="F84" s="114">
        <f>VLOOKUP(C84,'Talente &amp; Stuff'!DO:EP,4,FALSE)</f>
        <v>0</v>
      </c>
      <c r="G84" s="113">
        <f>VLOOKUP(C84,'Talente &amp; Stuff'!DO:EP,5,FALSE)</f>
        <v>0</v>
      </c>
      <c r="H84" s="113">
        <f>VLOOKUP(C84,'Talente &amp; Stuff'!DO:EP,6,FALSE)</f>
        <v>0</v>
      </c>
      <c r="I84" s="113">
        <f>VLOOKUP(C84,'Talente &amp; Stuff'!DO:EP,7,FALSE)</f>
        <v>0</v>
      </c>
      <c r="J84" s="113">
        <f>VLOOKUP(C84,'Talente &amp; Stuff'!DO:EP,8,FALSE)</f>
        <v>0</v>
      </c>
      <c r="K84" s="113">
        <f>VLOOKUP(C84,'Talente &amp; Stuff'!DO:EP,9,FALSE)</f>
        <v>0</v>
      </c>
      <c r="L84" s="113">
        <f>VLOOKUP(C84,'Talente &amp; Stuff'!DO:EP,10,FALSE)</f>
        <v>0</v>
      </c>
      <c r="M84" s="119">
        <f>VLOOKUP(C84,'Talente &amp; Stuff'!DO:EP,11,FALSE)</f>
        <v>0</v>
      </c>
      <c r="N84" s="89">
        <f>VLOOKUP(C84,'Talente &amp; Stuff'!DO:EP,12,FALSE)</f>
        <v>0</v>
      </c>
      <c r="O84" s="47">
        <f>VLOOKUP(C84,'Talente &amp; Stuff'!DO:EP,13,FALSE)</f>
        <v>0</v>
      </c>
      <c r="P84" s="119">
        <f>VLOOKUP(C84,'Talente &amp; Stuff'!DO:EP,14,FALSE)</f>
        <v>0</v>
      </c>
      <c r="Q84" s="114">
        <f>VLOOKUP(C84,'Talente &amp; Stuff'!DO:EP,15,FALSE)</f>
        <v>0</v>
      </c>
      <c r="R84" s="113">
        <f>VLOOKUP(C84,'Talente &amp; Stuff'!DO:EP,16,FALSE)</f>
        <v>0</v>
      </c>
      <c r="S84" s="119">
        <f>VLOOKUP(C84,'Talente &amp; Stuff'!DO:EP,17,FALSE)</f>
        <v>0</v>
      </c>
      <c r="T84" s="160">
        <f>VLOOKUP(C84,'Talente &amp; Stuff'!DO:EP,18,FALSE)</f>
        <v>0</v>
      </c>
      <c r="U84" s="89">
        <f>VLOOKUP(C84,'Talente &amp; Stuff'!DO:EP,19,FALSE)</f>
        <v>0</v>
      </c>
      <c r="V84" s="47">
        <f>VLOOKUP(C84,'Talente &amp; Stuff'!DO:EP,20,FALSE)</f>
        <v>0</v>
      </c>
      <c r="W84" s="127">
        <f>VLOOKUP(C84,'Talente &amp; Stuff'!DO:EP,21,FALSE)</f>
        <v>0</v>
      </c>
      <c r="X84" s="127">
        <f>VLOOKUP(C84,'Talente &amp; Stuff'!DO:EP,22,FALSE)</f>
        <v>0</v>
      </c>
      <c r="Y84" s="165">
        <f t="shared" si="10"/>
        <v>0</v>
      </c>
      <c r="Z84" s="44">
        <f t="shared" si="11"/>
        <v>0</v>
      </c>
      <c r="AA84" s="125">
        <f>VLOOKUP(C84,'Talente &amp; Stuff'!DO:EP,25,FALSE)</f>
        <v>0</v>
      </c>
      <c r="AB84" s="160">
        <f>VLOOKUP(C84,'Talente &amp; Stuff'!DO:EP,26,FALSE)</f>
        <v>0</v>
      </c>
      <c r="AC84" s="127">
        <f>VLOOKUP(C84,'Talente &amp; Stuff'!DO:EP,27,FALSE)</f>
        <v>0</v>
      </c>
      <c r="AD84" s="125">
        <f>VLOOKUP(C84,'Talente &amp; Stuff'!DO:EP,28,FALSE)</f>
        <v>0</v>
      </c>
      <c r="AE84" s="28"/>
    </row>
    <row r="85" spans="2:31" ht="15" hidden="1" customHeight="1" outlineLevel="2">
      <c r="B85" s="148">
        <v>8</v>
      </c>
      <c r="C85" s="177" t="str">
        <f>Attribute!C85</f>
        <v>---</v>
      </c>
      <c r="D85" s="125" t="str">
        <f>VLOOKUP(C85,'Talente &amp; Stuff'!DO:EP,2,FALSE)</f>
        <v>--/--/--</v>
      </c>
      <c r="E85" s="127" t="str">
        <f>VLOOKUP(C85,'Talente &amp; Stuff'!DO:EP,3,FALSE)</f>
        <v>-</v>
      </c>
      <c r="F85" s="114">
        <f>VLOOKUP(C85,'Talente &amp; Stuff'!DO:EP,4,FALSE)</f>
        <v>0</v>
      </c>
      <c r="G85" s="113">
        <f>VLOOKUP(C85,'Talente &amp; Stuff'!DO:EP,5,FALSE)</f>
        <v>0</v>
      </c>
      <c r="H85" s="113">
        <f>VLOOKUP(C85,'Talente &amp; Stuff'!DO:EP,6,FALSE)</f>
        <v>0</v>
      </c>
      <c r="I85" s="113">
        <f>VLOOKUP(C85,'Talente &amp; Stuff'!DO:EP,7,FALSE)</f>
        <v>0</v>
      </c>
      <c r="J85" s="113">
        <f>VLOOKUP(C85,'Talente &amp; Stuff'!DO:EP,8,FALSE)</f>
        <v>0</v>
      </c>
      <c r="K85" s="113">
        <f>VLOOKUP(C85,'Talente &amp; Stuff'!DO:EP,9,FALSE)</f>
        <v>0</v>
      </c>
      <c r="L85" s="113">
        <f>VLOOKUP(C85,'Talente &amp; Stuff'!DO:EP,10,FALSE)</f>
        <v>0</v>
      </c>
      <c r="M85" s="119">
        <f>VLOOKUP(C85,'Talente &amp; Stuff'!DO:EP,11,FALSE)</f>
        <v>0</v>
      </c>
      <c r="N85" s="89">
        <f>VLOOKUP(C85,'Talente &amp; Stuff'!DO:EP,12,FALSE)</f>
        <v>0</v>
      </c>
      <c r="O85" s="47">
        <f>VLOOKUP(C85,'Talente &amp; Stuff'!DO:EP,13,FALSE)</f>
        <v>0</v>
      </c>
      <c r="P85" s="119">
        <f>VLOOKUP(C85,'Talente &amp; Stuff'!DO:EP,14,FALSE)</f>
        <v>0</v>
      </c>
      <c r="Q85" s="114">
        <f>VLOOKUP(C85,'Talente &amp; Stuff'!DO:EP,15,FALSE)</f>
        <v>0</v>
      </c>
      <c r="R85" s="113">
        <f>VLOOKUP(C85,'Talente &amp; Stuff'!DO:EP,16,FALSE)</f>
        <v>0</v>
      </c>
      <c r="S85" s="119">
        <f>VLOOKUP(C85,'Talente &amp; Stuff'!DO:EP,17,FALSE)</f>
        <v>0</v>
      </c>
      <c r="T85" s="160">
        <f>VLOOKUP(C85,'Talente &amp; Stuff'!DO:EP,18,FALSE)</f>
        <v>0</v>
      </c>
      <c r="U85" s="89">
        <f>VLOOKUP(C85,'Talente &amp; Stuff'!DO:EP,19,FALSE)</f>
        <v>0</v>
      </c>
      <c r="V85" s="47">
        <f>VLOOKUP(C85,'Talente &amp; Stuff'!DO:EP,20,FALSE)</f>
        <v>0</v>
      </c>
      <c r="W85" s="127">
        <f>VLOOKUP(C85,'Talente &amp; Stuff'!DO:EP,21,FALSE)</f>
        <v>0</v>
      </c>
      <c r="X85" s="127">
        <f>VLOOKUP(C85,'Talente &amp; Stuff'!DO:EP,22,FALSE)</f>
        <v>0</v>
      </c>
      <c r="Y85" s="165">
        <f t="shared" si="10"/>
        <v>0</v>
      </c>
      <c r="Z85" s="44">
        <f t="shared" si="11"/>
        <v>0</v>
      </c>
      <c r="AA85" s="125">
        <f>VLOOKUP(C85,'Talente &amp; Stuff'!DO:EP,25,FALSE)</f>
        <v>0</v>
      </c>
      <c r="AB85" s="160">
        <f>VLOOKUP(C85,'Talente &amp; Stuff'!DO:EP,26,FALSE)</f>
        <v>0</v>
      </c>
      <c r="AC85" s="127">
        <f>VLOOKUP(C85,'Talente &amp; Stuff'!DO:EP,27,FALSE)</f>
        <v>0</v>
      </c>
      <c r="AD85" s="125">
        <f>VLOOKUP(C85,'Talente &amp; Stuff'!DO:EP,28,FALSE)</f>
        <v>0</v>
      </c>
      <c r="AE85" s="28"/>
    </row>
    <row r="86" spans="2:31" ht="15" hidden="1" customHeight="1" outlineLevel="2">
      <c r="B86" s="148">
        <v>9</v>
      </c>
      <c r="C86" s="177" t="str">
        <f>Attribute!C86</f>
        <v>---</v>
      </c>
      <c r="D86" s="125" t="str">
        <f>VLOOKUP(C86,'Talente &amp; Stuff'!DO:EP,2,FALSE)</f>
        <v>--/--/--</v>
      </c>
      <c r="E86" s="127" t="str">
        <f>VLOOKUP(C86,'Talente &amp; Stuff'!DO:EP,3,FALSE)</f>
        <v>-</v>
      </c>
      <c r="F86" s="114">
        <f>VLOOKUP(C86,'Talente &amp; Stuff'!DO:EP,4,FALSE)</f>
        <v>0</v>
      </c>
      <c r="G86" s="113">
        <f>VLOOKUP(C86,'Talente &amp; Stuff'!DO:EP,5,FALSE)</f>
        <v>0</v>
      </c>
      <c r="H86" s="113">
        <f>VLOOKUP(C86,'Talente &amp; Stuff'!DO:EP,6,FALSE)</f>
        <v>0</v>
      </c>
      <c r="I86" s="113">
        <f>VLOOKUP(C86,'Talente &amp; Stuff'!DO:EP,7,FALSE)</f>
        <v>0</v>
      </c>
      <c r="J86" s="113">
        <f>VLOOKUP(C86,'Talente &amp; Stuff'!DO:EP,8,FALSE)</f>
        <v>0</v>
      </c>
      <c r="K86" s="113">
        <f>VLOOKUP(C86,'Talente &amp; Stuff'!DO:EP,9,FALSE)</f>
        <v>0</v>
      </c>
      <c r="L86" s="113">
        <f>VLOOKUP(C86,'Talente &amp; Stuff'!DO:EP,10,FALSE)</f>
        <v>0</v>
      </c>
      <c r="M86" s="119">
        <f>VLOOKUP(C86,'Talente &amp; Stuff'!DO:EP,11,FALSE)</f>
        <v>0</v>
      </c>
      <c r="N86" s="89">
        <f>VLOOKUP(C86,'Talente &amp; Stuff'!DO:EP,12,FALSE)</f>
        <v>0</v>
      </c>
      <c r="O86" s="47">
        <f>VLOOKUP(C86,'Talente &amp; Stuff'!DO:EP,13,FALSE)</f>
        <v>0</v>
      </c>
      <c r="P86" s="119">
        <f>VLOOKUP(C86,'Talente &amp; Stuff'!DO:EP,14,FALSE)</f>
        <v>0</v>
      </c>
      <c r="Q86" s="114">
        <f>VLOOKUP(C86,'Talente &amp; Stuff'!DO:EP,15,FALSE)</f>
        <v>0</v>
      </c>
      <c r="R86" s="113">
        <f>VLOOKUP(C86,'Talente &amp; Stuff'!DO:EP,16,FALSE)</f>
        <v>0</v>
      </c>
      <c r="S86" s="119">
        <f>VLOOKUP(C86,'Talente &amp; Stuff'!DO:EP,17,FALSE)</f>
        <v>0</v>
      </c>
      <c r="T86" s="160">
        <f>VLOOKUP(C86,'Talente &amp; Stuff'!DO:EP,18,FALSE)</f>
        <v>0</v>
      </c>
      <c r="U86" s="89">
        <f>VLOOKUP(C86,'Talente &amp; Stuff'!DO:EP,19,FALSE)</f>
        <v>0</v>
      </c>
      <c r="V86" s="47">
        <f>VLOOKUP(C86,'Talente &amp; Stuff'!DO:EP,20,FALSE)</f>
        <v>0</v>
      </c>
      <c r="W86" s="127">
        <f>VLOOKUP(C86,'Talente &amp; Stuff'!DO:EP,21,FALSE)</f>
        <v>0</v>
      </c>
      <c r="X86" s="127">
        <f>VLOOKUP(C86,'Talente &amp; Stuff'!DO:EP,22,FALSE)</f>
        <v>0</v>
      </c>
      <c r="Y86" s="165">
        <f t="shared" si="10"/>
        <v>0</v>
      </c>
      <c r="Z86" s="44">
        <f t="shared" si="11"/>
        <v>0</v>
      </c>
      <c r="AA86" s="125">
        <f>VLOOKUP(C86,'Talente &amp; Stuff'!DO:EP,25,FALSE)</f>
        <v>0</v>
      </c>
      <c r="AB86" s="160">
        <f>VLOOKUP(C86,'Talente &amp; Stuff'!DO:EP,26,FALSE)</f>
        <v>0</v>
      </c>
      <c r="AC86" s="127">
        <f>VLOOKUP(C86,'Talente &amp; Stuff'!DO:EP,27,FALSE)</f>
        <v>0</v>
      </c>
      <c r="AD86" s="125">
        <f>VLOOKUP(C86,'Talente &amp; Stuff'!DO:EP,28,FALSE)</f>
        <v>0</v>
      </c>
      <c r="AE86" s="28"/>
    </row>
    <row r="87" spans="2:31" ht="15" hidden="1" customHeight="1" outlineLevel="2">
      <c r="B87" s="148">
        <v>10</v>
      </c>
      <c r="C87" s="177" t="str">
        <f>Attribute!C87</f>
        <v>---</v>
      </c>
      <c r="D87" s="125" t="str">
        <f>VLOOKUP(C87,'Talente &amp; Stuff'!DO:EP,2,FALSE)</f>
        <v>--/--/--</v>
      </c>
      <c r="E87" s="127" t="str">
        <f>VLOOKUP(C87,'Talente &amp; Stuff'!DO:EP,3,FALSE)</f>
        <v>-</v>
      </c>
      <c r="F87" s="114">
        <f>VLOOKUP(C87,'Talente &amp; Stuff'!DO:EP,4,FALSE)</f>
        <v>0</v>
      </c>
      <c r="G87" s="113">
        <f>VLOOKUP(C87,'Talente &amp; Stuff'!DO:EP,5,FALSE)</f>
        <v>0</v>
      </c>
      <c r="H87" s="113">
        <f>VLOOKUP(C87,'Talente &amp; Stuff'!DO:EP,6,FALSE)</f>
        <v>0</v>
      </c>
      <c r="I87" s="113">
        <f>VLOOKUP(C87,'Talente &amp; Stuff'!DO:EP,7,FALSE)</f>
        <v>0</v>
      </c>
      <c r="J87" s="113">
        <f>VLOOKUP(C87,'Talente &amp; Stuff'!DO:EP,8,FALSE)</f>
        <v>0</v>
      </c>
      <c r="K87" s="113">
        <f>VLOOKUP(C87,'Talente &amp; Stuff'!DO:EP,9,FALSE)</f>
        <v>0</v>
      </c>
      <c r="L87" s="113">
        <f>VLOOKUP(C87,'Talente &amp; Stuff'!DO:EP,10,FALSE)</f>
        <v>0</v>
      </c>
      <c r="M87" s="119">
        <f>VLOOKUP(C87,'Talente &amp; Stuff'!DO:EP,11,FALSE)</f>
        <v>0</v>
      </c>
      <c r="N87" s="89">
        <f>VLOOKUP(C87,'Talente &amp; Stuff'!DO:EP,12,FALSE)</f>
        <v>0</v>
      </c>
      <c r="O87" s="47">
        <f>VLOOKUP(C87,'Talente &amp; Stuff'!DO:EP,13,FALSE)</f>
        <v>0</v>
      </c>
      <c r="P87" s="119">
        <f>VLOOKUP(C87,'Talente &amp; Stuff'!DO:EP,14,FALSE)</f>
        <v>0</v>
      </c>
      <c r="Q87" s="114">
        <f>VLOOKUP(C87,'Talente &amp; Stuff'!DO:EP,15,FALSE)</f>
        <v>0</v>
      </c>
      <c r="R87" s="113">
        <f>VLOOKUP(C87,'Talente &amp; Stuff'!DO:EP,16,FALSE)</f>
        <v>0</v>
      </c>
      <c r="S87" s="119">
        <f>VLOOKUP(C87,'Talente &amp; Stuff'!DO:EP,17,FALSE)</f>
        <v>0</v>
      </c>
      <c r="T87" s="160">
        <f>VLOOKUP(C87,'Talente &amp; Stuff'!DO:EP,18,FALSE)</f>
        <v>0</v>
      </c>
      <c r="U87" s="89">
        <f>VLOOKUP(C87,'Talente &amp; Stuff'!DO:EP,19,FALSE)</f>
        <v>0</v>
      </c>
      <c r="V87" s="47">
        <f>VLOOKUP(C87,'Talente &amp; Stuff'!DO:EP,20,FALSE)</f>
        <v>0</v>
      </c>
      <c r="W87" s="127">
        <f>VLOOKUP(C87,'Talente &amp; Stuff'!DO:EP,21,FALSE)</f>
        <v>0</v>
      </c>
      <c r="X87" s="127">
        <f>VLOOKUP(C87,'Talente &amp; Stuff'!DO:EP,22,FALSE)</f>
        <v>0</v>
      </c>
      <c r="Y87" s="165">
        <f t="shared" si="10"/>
        <v>0</v>
      </c>
      <c r="Z87" s="44">
        <f t="shared" si="11"/>
        <v>0</v>
      </c>
      <c r="AA87" s="125">
        <f>VLOOKUP(C87,'Talente &amp; Stuff'!DO:EP,25,FALSE)</f>
        <v>0</v>
      </c>
      <c r="AB87" s="160">
        <f>VLOOKUP(C87,'Talente &amp; Stuff'!DO:EP,26,FALSE)</f>
        <v>0</v>
      </c>
      <c r="AC87" s="127">
        <f>VLOOKUP(C87,'Talente &amp; Stuff'!DO:EP,27,FALSE)</f>
        <v>0</v>
      </c>
      <c r="AD87" s="125">
        <f>VLOOKUP(C87,'Talente &amp; Stuff'!DO:EP,28,FALSE)</f>
        <v>0</v>
      </c>
      <c r="AE87" s="28"/>
    </row>
    <row r="88" spans="2:31" ht="15" hidden="1" customHeight="1" outlineLevel="2">
      <c r="B88" s="148">
        <v>11</v>
      </c>
      <c r="C88" s="177" t="str">
        <f>Attribute!C88</f>
        <v>---</v>
      </c>
      <c r="D88" s="125" t="str">
        <f>VLOOKUP(C88,'Talente &amp; Stuff'!DO:EP,2,FALSE)</f>
        <v>--/--/--</v>
      </c>
      <c r="E88" s="127" t="str">
        <f>VLOOKUP(C88,'Talente &amp; Stuff'!DO:EP,3,FALSE)</f>
        <v>-</v>
      </c>
      <c r="F88" s="114">
        <f>VLOOKUP(C88,'Talente &amp; Stuff'!DO:EP,4,FALSE)</f>
        <v>0</v>
      </c>
      <c r="G88" s="113">
        <f>VLOOKUP(C88,'Talente &amp; Stuff'!DO:EP,5,FALSE)</f>
        <v>0</v>
      </c>
      <c r="H88" s="113">
        <f>VLOOKUP(C88,'Talente &amp; Stuff'!DO:EP,6,FALSE)</f>
        <v>0</v>
      </c>
      <c r="I88" s="113">
        <f>VLOOKUP(C88,'Talente &amp; Stuff'!DO:EP,7,FALSE)</f>
        <v>0</v>
      </c>
      <c r="J88" s="113">
        <f>VLOOKUP(C88,'Talente &amp; Stuff'!DO:EP,8,FALSE)</f>
        <v>0</v>
      </c>
      <c r="K88" s="113">
        <f>VLOOKUP(C88,'Talente &amp; Stuff'!DO:EP,9,FALSE)</f>
        <v>0</v>
      </c>
      <c r="L88" s="113">
        <f>VLOOKUP(C88,'Talente &amp; Stuff'!DO:EP,10,FALSE)</f>
        <v>0</v>
      </c>
      <c r="M88" s="119">
        <f>VLOOKUP(C88,'Talente &amp; Stuff'!DO:EP,11,FALSE)</f>
        <v>0</v>
      </c>
      <c r="N88" s="89">
        <f>VLOOKUP(C88,'Talente &amp; Stuff'!DO:EP,12,FALSE)</f>
        <v>0</v>
      </c>
      <c r="O88" s="47">
        <f>VLOOKUP(C88,'Talente &amp; Stuff'!DO:EP,13,FALSE)</f>
        <v>0</v>
      </c>
      <c r="P88" s="119">
        <f>VLOOKUP(C88,'Talente &amp; Stuff'!DO:EP,14,FALSE)</f>
        <v>0</v>
      </c>
      <c r="Q88" s="114">
        <f>VLOOKUP(C88,'Talente &amp; Stuff'!DO:EP,15,FALSE)</f>
        <v>0</v>
      </c>
      <c r="R88" s="113">
        <f>VLOOKUP(C88,'Talente &amp; Stuff'!DO:EP,16,FALSE)</f>
        <v>0</v>
      </c>
      <c r="S88" s="119">
        <f>VLOOKUP(C88,'Talente &amp; Stuff'!DO:EP,17,FALSE)</f>
        <v>0</v>
      </c>
      <c r="T88" s="160">
        <f>VLOOKUP(C88,'Talente &amp; Stuff'!DO:EP,18,FALSE)</f>
        <v>0</v>
      </c>
      <c r="U88" s="89">
        <f>VLOOKUP(C88,'Talente &amp; Stuff'!DO:EP,19,FALSE)</f>
        <v>0</v>
      </c>
      <c r="V88" s="47">
        <f>VLOOKUP(C88,'Talente &amp; Stuff'!DO:EP,20,FALSE)</f>
        <v>0</v>
      </c>
      <c r="W88" s="127">
        <f>VLOOKUP(C88,'Talente &amp; Stuff'!DO:EP,21,FALSE)</f>
        <v>0</v>
      </c>
      <c r="X88" s="127">
        <f>VLOOKUP(C88,'Talente &amp; Stuff'!DO:EP,22,FALSE)</f>
        <v>0</v>
      </c>
      <c r="Y88" s="165">
        <f t="shared" si="10"/>
        <v>0</v>
      </c>
      <c r="Z88" s="44">
        <f t="shared" si="11"/>
        <v>0</v>
      </c>
      <c r="AA88" s="125">
        <f>VLOOKUP(C88,'Talente &amp; Stuff'!DO:EP,25,FALSE)</f>
        <v>0</v>
      </c>
      <c r="AB88" s="160">
        <f>VLOOKUP(C88,'Talente &amp; Stuff'!DO:EP,26,FALSE)</f>
        <v>0</v>
      </c>
      <c r="AC88" s="127">
        <f>VLOOKUP(C88,'Talente &amp; Stuff'!DO:EP,27,FALSE)</f>
        <v>0</v>
      </c>
      <c r="AD88" s="125">
        <f>VLOOKUP(C88,'Talente &amp; Stuff'!DO:EP,28,FALSE)</f>
        <v>0</v>
      </c>
      <c r="AE88" s="28"/>
    </row>
    <row r="89" spans="2:31" ht="15" hidden="1" customHeight="1" outlineLevel="2">
      <c r="B89" s="148">
        <v>12</v>
      </c>
      <c r="C89" s="177" t="str">
        <f>Attribute!C89</f>
        <v>---</v>
      </c>
      <c r="D89" s="125" t="str">
        <f>VLOOKUP(C89,'Talente &amp; Stuff'!DO:EP,2,FALSE)</f>
        <v>--/--/--</v>
      </c>
      <c r="E89" s="127" t="str">
        <f>VLOOKUP(C89,'Talente &amp; Stuff'!DO:EP,3,FALSE)</f>
        <v>-</v>
      </c>
      <c r="F89" s="114">
        <f>VLOOKUP(C89,'Talente &amp; Stuff'!DO:EP,4,FALSE)</f>
        <v>0</v>
      </c>
      <c r="G89" s="113">
        <f>VLOOKUP(C89,'Talente &amp; Stuff'!DO:EP,5,FALSE)</f>
        <v>0</v>
      </c>
      <c r="H89" s="113">
        <f>VLOOKUP(C89,'Talente &amp; Stuff'!DO:EP,6,FALSE)</f>
        <v>0</v>
      </c>
      <c r="I89" s="113">
        <f>VLOOKUP(C89,'Talente &amp; Stuff'!DO:EP,7,FALSE)</f>
        <v>0</v>
      </c>
      <c r="J89" s="113">
        <f>VLOOKUP(C89,'Talente &amp; Stuff'!DO:EP,8,FALSE)</f>
        <v>0</v>
      </c>
      <c r="K89" s="113">
        <f>VLOOKUP(C89,'Talente &amp; Stuff'!DO:EP,9,FALSE)</f>
        <v>0</v>
      </c>
      <c r="L89" s="113">
        <f>VLOOKUP(C89,'Talente &amp; Stuff'!DO:EP,10,FALSE)</f>
        <v>0</v>
      </c>
      <c r="M89" s="119">
        <f>VLOOKUP(C89,'Talente &amp; Stuff'!DO:EP,11,FALSE)</f>
        <v>0</v>
      </c>
      <c r="N89" s="89">
        <f>VLOOKUP(C89,'Talente &amp; Stuff'!DO:EP,12,FALSE)</f>
        <v>0</v>
      </c>
      <c r="O89" s="47">
        <f>VLOOKUP(C89,'Talente &amp; Stuff'!DO:EP,13,FALSE)</f>
        <v>0</v>
      </c>
      <c r="P89" s="119">
        <f>VLOOKUP(C89,'Talente &amp; Stuff'!DO:EP,14,FALSE)</f>
        <v>0</v>
      </c>
      <c r="Q89" s="114">
        <f>VLOOKUP(C89,'Talente &amp; Stuff'!DO:EP,15,FALSE)</f>
        <v>0</v>
      </c>
      <c r="R89" s="113">
        <f>VLOOKUP(C89,'Talente &amp; Stuff'!DO:EP,16,FALSE)</f>
        <v>0</v>
      </c>
      <c r="S89" s="119">
        <f>VLOOKUP(C89,'Talente &amp; Stuff'!DO:EP,17,FALSE)</f>
        <v>0</v>
      </c>
      <c r="T89" s="160">
        <f>VLOOKUP(C89,'Talente &amp; Stuff'!DO:EP,18,FALSE)</f>
        <v>0</v>
      </c>
      <c r="U89" s="89">
        <f>VLOOKUP(C89,'Talente &amp; Stuff'!DO:EP,19,FALSE)</f>
        <v>0</v>
      </c>
      <c r="V89" s="47">
        <f>VLOOKUP(C89,'Talente &amp; Stuff'!DO:EP,20,FALSE)</f>
        <v>0</v>
      </c>
      <c r="W89" s="127">
        <f>VLOOKUP(C89,'Talente &amp; Stuff'!DO:EP,21,FALSE)</f>
        <v>0</v>
      </c>
      <c r="X89" s="127">
        <f>VLOOKUP(C89,'Talente &amp; Stuff'!DO:EP,22,FALSE)</f>
        <v>0</v>
      </c>
      <c r="Y89" s="165">
        <f t="shared" si="10"/>
        <v>0</v>
      </c>
      <c r="Z89" s="44">
        <f t="shared" si="11"/>
        <v>0</v>
      </c>
      <c r="AA89" s="125">
        <f>VLOOKUP(C89,'Talente &amp; Stuff'!DO:EP,25,FALSE)</f>
        <v>0</v>
      </c>
      <c r="AB89" s="160">
        <f>VLOOKUP(C89,'Talente &amp; Stuff'!DO:EP,26,FALSE)</f>
        <v>0</v>
      </c>
      <c r="AC89" s="127">
        <f>VLOOKUP(C89,'Talente &amp; Stuff'!DO:EP,27,FALSE)</f>
        <v>0</v>
      </c>
      <c r="AD89" s="125">
        <f>VLOOKUP(C89,'Talente &amp; Stuff'!DO:EP,28,FALSE)</f>
        <v>0</v>
      </c>
      <c r="AE89" s="28"/>
    </row>
    <row r="90" spans="2:31" ht="15" hidden="1" customHeight="1" outlineLevel="2">
      <c r="B90" s="148">
        <v>13</v>
      </c>
      <c r="C90" s="177" t="str">
        <f>Attribute!C90</f>
        <v>---</v>
      </c>
      <c r="D90" s="125" t="str">
        <f>VLOOKUP(C90,'Talente &amp; Stuff'!DO:EP,2,FALSE)</f>
        <v>--/--/--</v>
      </c>
      <c r="E90" s="127" t="str">
        <f>VLOOKUP(C90,'Talente &amp; Stuff'!DO:EP,3,FALSE)</f>
        <v>-</v>
      </c>
      <c r="F90" s="114">
        <f>VLOOKUP(C90,'Talente &amp; Stuff'!DO:EP,4,FALSE)</f>
        <v>0</v>
      </c>
      <c r="G90" s="113">
        <f>VLOOKUP(C90,'Talente &amp; Stuff'!DO:EP,5,FALSE)</f>
        <v>0</v>
      </c>
      <c r="H90" s="113">
        <f>VLOOKUP(C90,'Talente &amp; Stuff'!DO:EP,6,FALSE)</f>
        <v>0</v>
      </c>
      <c r="I90" s="113">
        <f>VLOOKUP(C90,'Talente &amp; Stuff'!DO:EP,7,FALSE)</f>
        <v>0</v>
      </c>
      <c r="J90" s="113">
        <f>VLOOKUP(C90,'Talente &amp; Stuff'!DO:EP,8,FALSE)</f>
        <v>0</v>
      </c>
      <c r="K90" s="113">
        <f>VLOOKUP(C90,'Talente &amp; Stuff'!DO:EP,9,FALSE)</f>
        <v>0</v>
      </c>
      <c r="L90" s="113">
        <f>VLOOKUP(C90,'Talente &amp; Stuff'!DO:EP,10,FALSE)</f>
        <v>0</v>
      </c>
      <c r="M90" s="119">
        <f>VLOOKUP(C90,'Talente &amp; Stuff'!DO:EP,11,FALSE)</f>
        <v>0</v>
      </c>
      <c r="N90" s="89">
        <f>VLOOKUP(C90,'Talente &amp; Stuff'!DO:EP,12,FALSE)</f>
        <v>0</v>
      </c>
      <c r="O90" s="47">
        <f>VLOOKUP(C90,'Talente &amp; Stuff'!DO:EP,13,FALSE)</f>
        <v>0</v>
      </c>
      <c r="P90" s="119">
        <f>VLOOKUP(C90,'Talente &amp; Stuff'!DO:EP,14,FALSE)</f>
        <v>0</v>
      </c>
      <c r="Q90" s="114">
        <f>VLOOKUP(C90,'Talente &amp; Stuff'!DO:EP,15,FALSE)</f>
        <v>0</v>
      </c>
      <c r="R90" s="113">
        <f>VLOOKUP(C90,'Talente &amp; Stuff'!DO:EP,16,FALSE)</f>
        <v>0</v>
      </c>
      <c r="S90" s="119">
        <f>VLOOKUP(C90,'Talente &amp; Stuff'!DO:EP,17,FALSE)</f>
        <v>0</v>
      </c>
      <c r="T90" s="160">
        <f>VLOOKUP(C90,'Talente &amp; Stuff'!DO:EP,18,FALSE)</f>
        <v>0</v>
      </c>
      <c r="U90" s="89">
        <f>VLOOKUP(C90,'Talente &amp; Stuff'!DO:EP,19,FALSE)</f>
        <v>0</v>
      </c>
      <c r="V90" s="47">
        <f>VLOOKUP(C90,'Talente &amp; Stuff'!DO:EP,20,FALSE)</f>
        <v>0</v>
      </c>
      <c r="W90" s="127">
        <f>VLOOKUP(C90,'Talente &amp; Stuff'!DO:EP,21,FALSE)</f>
        <v>0</v>
      </c>
      <c r="X90" s="127">
        <f>VLOOKUP(C90,'Talente &amp; Stuff'!DO:EP,22,FALSE)</f>
        <v>0</v>
      </c>
      <c r="Y90" s="165">
        <f t="shared" si="10"/>
        <v>0</v>
      </c>
      <c r="Z90" s="44">
        <f t="shared" si="11"/>
        <v>0</v>
      </c>
      <c r="AA90" s="125">
        <f>VLOOKUP(C90,'Talente &amp; Stuff'!DO:EP,25,FALSE)</f>
        <v>0</v>
      </c>
      <c r="AB90" s="160">
        <f>VLOOKUP(C90,'Talente &amp; Stuff'!DO:EP,26,FALSE)</f>
        <v>0</v>
      </c>
      <c r="AC90" s="127">
        <f>VLOOKUP(C90,'Talente &amp; Stuff'!DO:EP,27,FALSE)</f>
        <v>0</v>
      </c>
      <c r="AD90" s="125">
        <f>VLOOKUP(C90,'Talente &amp; Stuff'!DO:EP,28,FALSE)</f>
        <v>0</v>
      </c>
      <c r="AE90" s="28"/>
    </row>
    <row r="91" spans="2:31" ht="15" hidden="1" customHeight="1" outlineLevel="2">
      <c r="B91" s="148">
        <v>14</v>
      </c>
      <c r="C91" s="177" t="str">
        <f>Attribute!C91</f>
        <v>---</v>
      </c>
      <c r="D91" s="125" t="str">
        <f>VLOOKUP(C91,'Talente &amp; Stuff'!DO:EP,2,FALSE)</f>
        <v>--/--/--</v>
      </c>
      <c r="E91" s="127" t="str">
        <f>VLOOKUP(C91,'Talente &amp; Stuff'!DO:EP,3,FALSE)</f>
        <v>-</v>
      </c>
      <c r="F91" s="114">
        <f>VLOOKUP(C91,'Talente &amp; Stuff'!DO:EP,4,FALSE)</f>
        <v>0</v>
      </c>
      <c r="G91" s="113">
        <f>VLOOKUP(C91,'Talente &amp; Stuff'!DO:EP,5,FALSE)</f>
        <v>0</v>
      </c>
      <c r="H91" s="113">
        <f>VLOOKUP(C91,'Talente &amp; Stuff'!DO:EP,6,FALSE)</f>
        <v>0</v>
      </c>
      <c r="I91" s="113">
        <f>VLOOKUP(C91,'Talente &amp; Stuff'!DO:EP,7,FALSE)</f>
        <v>0</v>
      </c>
      <c r="J91" s="113">
        <f>VLOOKUP(C91,'Talente &amp; Stuff'!DO:EP,8,FALSE)</f>
        <v>0</v>
      </c>
      <c r="K91" s="113">
        <f>VLOOKUP(C91,'Talente &amp; Stuff'!DO:EP,9,FALSE)</f>
        <v>0</v>
      </c>
      <c r="L91" s="113">
        <f>VLOOKUP(C91,'Talente &amp; Stuff'!DO:EP,10,FALSE)</f>
        <v>0</v>
      </c>
      <c r="M91" s="119">
        <f>VLOOKUP(C91,'Talente &amp; Stuff'!DO:EP,11,FALSE)</f>
        <v>0</v>
      </c>
      <c r="N91" s="89">
        <f>VLOOKUP(C91,'Talente &amp; Stuff'!DO:EP,12,FALSE)</f>
        <v>0</v>
      </c>
      <c r="O91" s="47">
        <f>VLOOKUP(C91,'Talente &amp; Stuff'!DO:EP,13,FALSE)</f>
        <v>0</v>
      </c>
      <c r="P91" s="119">
        <f>VLOOKUP(C91,'Talente &amp; Stuff'!DO:EP,14,FALSE)</f>
        <v>0</v>
      </c>
      <c r="Q91" s="114">
        <f>VLOOKUP(C91,'Talente &amp; Stuff'!DO:EP,15,FALSE)</f>
        <v>0</v>
      </c>
      <c r="R91" s="113">
        <f>VLOOKUP(C91,'Talente &amp; Stuff'!DO:EP,16,FALSE)</f>
        <v>0</v>
      </c>
      <c r="S91" s="119">
        <f>VLOOKUP(C91,'Talente &amp; Stuff'!DO:EP,17,FALSE)</f>
        <v>0</v>
      </c>
      <c r="T91" s="160">
        <f>VLOOKUP(C91,'Talente &amp; Stuff'!DO:EP,18,FALSE)</f>
        <v>0</v>
      </c>
      <c r="U91" s="89">
        <f>VLOOKUP(C91,'Talente &amp; Stuff'!DO:EP,19,FALSE)</f>
        <v>0</v>
      </c>
      <c r="V91" s="47">
        <f>VLOOKUP(C91,'Talente &amp; Stuff'!DO:EP,20,FALSE)</f>
        <v>0</v>
      </c>
      <c r="W91" s="127">
        <f>VLOOKUP(C91,'Talente &amp; Stuff'!DO:EP,21,FALSE)</f>
        <v>0</v>
      </c>
      <c r="X91" s="127">
        <f>VLOOKUP(C91,'Talente &amp; Stuff'!DO:EP,22,FALSE)</f>
        <v>0</v>
      </c>
      <c r="Y91" s="165">
        <f t="shared" si="10"/>
        <v>0</v>
      </c>
      <c r="Z91" s="44">
        <f t="shared" si="11"/>
        <v>0</v>
      </c>
      <c r="AA91" s="125">
        <f>VLOOKUP(C91,'Talente &amp; Stuff'!DO:EP,25,FALSE)</f>
        <v>0</v>
      </c>
      <c r="AB91" s="160">
        <f>VLOOKUP(C91,'Talente &amp; Stuff'!DO:EP,26,FALSE)</f>
        <v>0</v>
      </c>
      <c r="AC91" s="127">
        <f>VLOOKUP(C91,'Talente &amp; Stuff'!DO:EP,27,FALSE)</f>
        <v>0</v>
      </c>
      <c r="AD91" s="125">
        <f>VLOOKUP(C91,'Talente &amp; Stuff'!DO:EP,28,FALSE)</f>
        <v>0</v>
      </c>
      <c r="AE91" s="28"/>
    </row>
    <row r="92" spans="2:31" ht="15" hidden="1" customHeight="1" outlineLevel="2">
      <c r="B92" s="148">
        <v>15</v>
      </c>
      <c r="C92" s="177" t="str">
        <f>Attribute!C92</f>
        <v>---</v>
      </c>
      <c r="D92" s="86" t="str">
        <f>VLOOKUP(C92,'Talente &amp; Stuff'!DO:EP,2,FALSE)</f>
        <v>--/--/--</v>
      </c>
      <c r="E92" s="127" t="str">
        <f>VLOOKUP(C92,'Talente &amp; Stuff'!DO:EP,3,FALSE)</f>
        <v>-</v>
      </c>
      <c r="F92" s="114">
        <f>VLOOKUP(C92,'Talente &amp; Stuff'!DO:EP,4,FALSE)</f>
        <v>0</v>
      </c>
      <c r="G92" s="113">
        <f>VLOOKUP(C92,'Talente &amp; Stuff'!DO:EP,5,FALSE)</f>
        <v>0</v>
      </c>
      <c r="H92" s="113">
        <f>VLOOKUP(C92,'Talente &amp; Stuff'!DO:EP,6,FALSE)</f>
        <v>0</v>
      </c>
      <c r="I92" s="113">
        <f>VLOOKUP(C92,'Talente &amp; Stuff'!DO:EP,7,FALSE)</f>
        <v>0</v>
      </c>
      <c r="J92" s="113">
        <f>VLOOKUP(C92,'Talente &amp; Stuff'!DO:EP,8,FALSE)</f>
        <v>0</v>
      </c>
      <c r="K92" s="113">
        <f>VLOOKUP(C92,'Talente &amp; Stuff'!DO:EP,9,FALSE)</f>
        <v>0</v>
      </c>
      <c r="L92" s="113">
        <f>VLOOKUP(C92,'Talente &amp; Stuff'!DO:EP,10,FALSE)</f>
        <v>0</v>
      </c>
      <c r="M92" s="119">
        <f>VLOOKUP(C92,'Talente &amp; Stuff'!DO:EP,11,FALSE)</f>
        <v>0</v>
      </c>
      <c r="N92" s="89">
        <f>VLOOKUP(C92,'Talente &amp; Stuff'!DO:EP,12,FALSE)</f>
        <v>0</v>
      </c>
      <c r="O92" s="47">
        <f>VLOOKUP(C92,'Talente &amp; Stuff'!DO:EP,13,FALSE)</f>
        <v>0</v>
      </c>
      <c r="P92" s="119">
        <f>VLOOKUP(C92,'Talente &amp; Stuff'!DO:EP,14,FALSE)</f>
        <v>0</v>
      </c>
      <c r="Q92" s="114">
        <f>VLOOKUP(C92,'Talente &amp; Stuff'!DO:EP,15,FALSE)</f>
        <v>0</v>
      </c>
      <c r="R92" s="113">
        <f>VLOOKUP(C92,'Talente &amp; Stuff'!DO:EP,16,FALSE)</f>
        <v>0</v>
      </c>
      <c r="S92" s="119">
        <f>VLOOKUP(C92,'Talente &amp; Stuff'!DO:EP,17,FALSE)</f>
        <v>0</v>
      </c>
      <c r="T92" s="160">
        <f>VLOOKUP(C92,'Talente &amp; Stuff'!DO:EP,18,FALSE)</f>
        <v>0</v>
      </c>
      <c r="U92" s="89">
        <f>VLOOKUP(C92,'Talente &amp; Stuff'!DO:EP,19,FALSE)</f>
        <v>0</v>
      </c>
      <c r="V92" s="47">
        <f>VLOOKUP(C92,'Talente &amp; Stuff'!DO:EP,20,FALSE)</f>
        <v>0</v>
      </c>
      <c r="W92" s="127">
        <f>VLOOKUP(C92,'Talente &amp; Stuff'!DO:EP,21,FALSE)</f>
        <v>0</v>
      </c>
      <c r="X92" s="127">
        <f>VLOOKUP(C92,'Talente &amp; Stuff'!DO:EP,22,FALSE)</f>
        <v>0</v>
      </c>
      <c r="Y92" s="165">
        <f t="shared" si="10"/>
        <v>0</v>
      </c>
      <c r="Z92" s="44">
        <f t="shared" si="11"/>
        <v>0</v>
      </c>
      <c r="AA92" s="125">
        <f>VLOOKUP(C92,'Talente &amp; Stuff'!DO:EP,25,FALSE)</f>
        <v>0</v>
      </c>
      <c r="AB92" s="160">
        <f>VLOOKUP(C92,'Talente &amp; Stuff'!DO:EP,26,FALSE)</f>
        <v>0</v>
      </c>
      <c r="AC92" s="127">
        <f>VLOOKUP(C92,'Talente &amp; Stuff'!DO:EP,27,FALSE)</f>
        <v>0</v>
      </c>
      <c r="AD92" s="125">
        <f>VLOOKUP(C92,'Talente &amp; Stuff'!DO:EP,28,FALSE)</f>
        <v>0</v>
      </c>
      <c r="AE92" s="28"/>
    </row>
    <row r="93" spans="2:31" ht="15" hidden="1" customHeight="1" outlineLevel="2">
      <c r="B93" s="148">
        <v>16</v>
      </c>
      <c r="C93" s="177" t="str">
        <f>Attribute!C93</f>
        <v>---</v>
      </c>
      <c r="D93" s="125" t="str">
        <f>VLOOKUP(C93,'Talente &amp; Stuff'!DO:EP,2,FALSE)</f>
        <v>--/--/--</v>
      </c>
      <c r="E93" s="127" t="str">
        <f>VLOOKUP(C93,'Talente &amp; Stuff'!DO:EP,3,FALSE)</f>
        <v>-</v>
      </c>
      <c r="F93" s="114">
        <f>VLOOKUP(C93,'Talente &amp; Stuff'!DO:EP,4,FALSE)</f>
        <v>0</v>
      </c>
      <c r="G93" s="113">
        <f>VLOOKUP(C93,'Talente &amp; Stuff'!DO:EP,5,FALSE)</f>
        <v>0</v>
      </c>
      <c r="H93" s="113">
        <f>VLOOKUP(C93,'Talente &amp; Stuff'!DO:EP,6,FALSE)</f>
        <v>0</v>
      </c>
      <c r="I93" s="113">
        <f>VLOOKUP(C93,'Talente &amp; Stuff'!DO:EP,7,FALSE)</f>
        <v>0</v>
      </c>
      <c r="J93" s="113">
        <f>VLOOKUP(C93,'Talente &amp; Stuff'!DO:EP,8,FALSE)</f>
        <v>0</v>
      </c>
      <c r="K93" s="113">
        <f>VLOOKUP(C93,'Talente &amp; Stuff'!DO:EP,9,FALSE)</f>
        <v>0</v>
      </c>
      <c r="L93" s="113">
        <f>VLOOKUP(C93,'Talente &amp; Stuff'!DO:EP,10,FALSE)</f>
        <v>0</v>
      </c>
      <c r="M93" s="119">
        <f>VLOOKUP(C93,'Talente &amp; Stuff'!DO:EP,11,FALSE)</f>
        <v>0</v>
      </c>
      <c r="N93" s="89">
        <f>VLOOKUP(C93,'Talente &amp; Stuff'!DO:EP,12,FALSE)</f>
        <v>0</v>
      </c>
      <c r="O93" s="47">
        <f>VLOOKUP(C93,'Talente &amp; Stuff'!DO:EP,13,FALSE)</f>
        <v>0</v>
      </c>
      <c r="P93" s="119">
        <f>VLOOKUP(C93,'Talente &amp; Stuff'!DO:EP,14,FALSE)</f>
        <v>0</v>
      </c>
      <c r="Q93" s="114">
        <f>VLOOKUP(C93,'Talente &amp; Stuff'!DO:EP,15,FALSE)</f>
        <v>0</v>
      </c>
      <c r="R93" s="113">
        <f>VLOOKUP(C93,'Talente &amp; Stuff'!DO:EP,16,FALSE)</f>
        <v>0</v>
      </c>
      <c r="S93" s="119">
        <f>VLOOKUP(C93,'Talente &amp; Stuff'!DO:EP,17,FALSE)</f>
        <v>0</v>
      </c>
      <c r="T93" s="160">
        <f>VLOOKUP(C93,'Talente &amp; Stuff'!DO:EP,18,FALSE)</f>
        <v>0</v>
      </c>
      <c r="U93" s="89">
        <f>VLOOKUP(C93,'Talente &amp; Stuff'!DO:EP,19,FALSE)</f>
        <v>0</v>
      </c>
      <c r="V93" s="47">
        <f>VLOOKUP(C93,'Talente &amp; Stuff'!DO:EP,20,FALSE)</f>
        <v>0</v>
      </c>
      <c r="W93" s="127">
        <f>VLOOKUP(C93,'Talente &amp; Stuff'!DO:EP,21,FALSE)</f>
        <v>0</v>
      </c>
      <c r="X93" s="127">
        <f>VLOOKUP(C93,'Talente &amp; Stuff'!DO:EP,22,FALSE)</f>
        <v>0</v>
      </c>
      <c r="Y93" s="165">
        <f t="shared" si="10"/>
        <v>0</v>
      </c>
      <c r="Z93" s="44">
        <f t="shared" si="11"/>
        <v>0</v>
      </c>
      <c r="AA93" s="125">
        <f>VLOOKUP(C93,'Talente &amp; Stuff'!DO:EP,25,FALSE)</f>
        <v>0</v>
      </c>
      <c r="AB93" s="160">
        <f>VLOOKUP(C93,'Talente &amp; Stuff'!DO:EP,26,FALSE)</f>
        <v>0</v>
      </c>
      <c r="AC93" s="127">
        <f>VLOOKUP(C93,'Talente &amp; Stuff'!DO:EP,27,FALSE)</f>
        <v>0</v>
      </c>
      <c r="AD93" s="125">
        <f>VLOOKUP(C93,'Talente &amp; Stuff'!DO:EP,28,FALSE)</f>
        <v>0</v>
      </c>
      <c r="AE93" s="28"/>
    </row>
    <row r="94" spans="2:31" ht="15" hidden="1" customHeight="1" outlineLevel="2">
      <c r="B94" s="148">
        <v>17</v>
      </c>
      <c r="C94" s="177" t="str">
        <f>Attribute!C94</f>
        <v>---</v>
      </c>
      <c r="D94" s="125" t="str">
        <f>VLOOKUP(C94,'Talente &amp; Stuff'!DO:EP,2,FALSE)</f>
        <v>--/--/--</v>
      </c>
      <c r="E94" s="127" t="str">
        <f>VLOOKUP(C94,'Talente &amp; Stuff'!DO:EP,3,FALSE)</f>
        <v>-</v>
      </c>
      <c r="F94" s="114">
        <f>VLOOKUP(C94,'Talente &amp; Stuff'!DO:EP,4,FALSE)</f>
        <v>0</v>
      </c>
      <c r="G94" s="113">
        <f>VLOOKUP(C94,'Talente &amp; Stuff'!DO:EP,5,FALSE)</f>
        <v>0</v>
      </c>
      <c r="H94" s="113">
        <f>VLOOKUP(C94,'Talente &amp; Stuff'!DO:EP,6,FALSE)</f>
        <v>0</v>
      </c>
      <c r="I94" s="113">
        <f>VLOOKUP(C94,'Talente &amp; Stuff'!DO:EP,7,FALSE)</f>
        <v>0</v>
      </c>
      <c r="J94" s="113">
        <f>VLOOKUP(C94,'Talente &amp; Stuff'!DO:EP,8,FALSE)</f>
        <v>0</v>
      </c>
      <c r="K94" s="113">
        <f>VLOOKUP(C94,'Talente &amp; Stuff'!DO:EP,9,FALSE)</f>
        <v>0</v>
      </c>
      <c r="L94" s="113">
        <f>VLOOKUP(C94,'Talente &amp; Stuff'!DO:EP,10,FALSE)</f>
        <v>0</v>
      </c>
      <c r="M94" s="119">
        <f>VLOOKUP(C94,'Talente &amp; Stuff'!DO:EP,11,FALSE)</f>
        <v>0</v>
      </c>
      <c r="N94" s="89">
        <f>VLOOKUP(C94,'Talente &amp; Stuff'!DO:EP,12,FALSE)</f>
        <v>0</v>
      </c>
      <c r="O94" s="47">
        <f>VLOOKUP(C94,'Talente &amp; Stuff'!DO:EP,13,FALSE)</f>
        <v>0</v>
      </c>
      <c r="P94" s="119">
        <f>VLOOKUP(C94,'Talente &amp; Stuff'!DO:EP,14,FALSE)</f>
        <v>0</v>
      </c>
      <c r="Q94" s="114">
        <f>VLOOKUP(C94,'Talente &amp; Stuff'!DO:EP,15,FALSE)</f>
        <v>0</v>
      </c>
      <c r="R94" s="113">
        <f>VLOOKUP(C94,'Talente &amp; Stuff'!DO:EP,16,FALSE)</f>
        <v>0</v>
      </c>
      <c r="S94" s="119">
        <f>VLOOKUP(C94,'Talente &amp; Stuff'!DO:EP,17,FALSE)</f>
        <v>0</v>
      </c>
      <c r="T94" s="160">
        <f>VLOOKUP(C94,'Talente &amp; Stuff'!DO:EP,18,FALSE)</f>
        <v>0</v>
      </c>
      <c r="U94" s="89">
        <f>VLOOKUP(C94,'Talente &amp; Stuff'!DO:EP,19,FALSE)</f>
        <v>0</v>
      </c>
      <c r="V94" s="47">
        <f>VLOOKUP(C94,'Talente &amp; Stuff'!DO:EP,20,FALSE)</f>
        <v>0</v>
      </c>
      <c r="W94" s="127">
        <f>VLOOKUP(C94,'Talente &amp; Stuff'!DO:EP,21,FALSE)</f>
        <v>0</v>
      </c>
      <c r="X94" s="127">
        <f>VLOOKUP(C94,'Talente &amp; Stuff'!DO:EP,22,FALSE)</f>
        <v>0</v>
      </c>
      <c r="Y94" s="165">
        <f t="shared" si="10"/>
        <v>0</v>
      </c>
      <c r="Z94" s="44">
        <f t="shared" si="11"/>
        <v>0</v>
      </c>
      <c r="AA94" s="125">
        <f>VLOOKUP(C94,'Talente &amp; Stuff'!DO:EP,25,FALSE)</f>
        <v>0</v>
      </c>
      <c r="AB94" s="160">
        <f>VLOOKUP(C94,'Talente &amp; Stuff'!DO:EP,26,FALSE)</f>
        <v>0</v>
      </c>
      <c r="AC94" s="127">
        <f>VLOOKUP(C94,'Talente &amp; Stuff'!DO:EP,27,FALSE)</f>
        <v>0</v>
      </c>
      <c r="AD94" s="125">
        <f>VLOOKUP(C94,'Talente &amp; Stuff'!DO:EP,28,FALSE)</f>
        <v>0</v>
      </c>
      <c r="AE94" s="28"/>
    </row>
    <row r="95" spans="2:31" ht="15" hidden="1" customHeight="1" outlineLevel="2">
      <c r="B95" s="148">
        <v>18</v>
      </c>
      <c r="C95" s="177" t="str">
        <f>Attribute!C95</f>
        <v>---</v>
      </c>
      <c r="D95" s="125" t="str">
        <f>VLOOKUP(C95,'Talente &amp; Stuff'!DO:EP,2,FALSE)</f>
        <v>--/--/--</v>
      </c>
      <c r="E95" s="127" t="str">
        <f>VLOOKUP(C95,'Talente &amp; Stuff'!DO:EP,3,FALSE)</f>
        <v>-</v>
      </c>
      <c r="F95" s="114">
        <f>VLOOKUP(C95,'Talente &amp; Stuff'!DO:EP,4,FALSE)</f>
        <v>0</v>
      </c>
      <c r="G95" s="113">
        <f>VLOOKUP(C95,'Talente &amp; Stuff'!DO:EP,5,FALSE)</f>
        <v>0</v>
      </c>
      <c r="H95" s="113">
        <f>VLOOKUP(C95,'Talente &amp; Stuff'!DO:EP,6,FALSE)</f>
        <v>0</v>
      </c>
      <c r="I95" s="113">
        <f>VLOOKUP(C95,'Talente &amp; Stuff'!DO:EP,7,FALSE)</f>
        <v>0</v>
      </c>
      <c r="J95" s="113">
        <f>VLOOKUP(C95,'Talente &amp; Stuff'!DO:EP,8,FALSE)</f>
        <v>0</v>
      </c>
      <c r="K95" s="113">
        <f>VLOOKUP(C95,'Talente &amp; Stuff'!DO:EP,9,FALSE)</f>
        <v>0</v>
      </c>
      <c r="L95" s="113">
        <f>VLOOKUP(C95,'Talente &amp; Stuff'!DO:EP,10,FALSE)</f>
        <v>0</v>
      </c>
      <c r="M95" s="119">
        <f>VLOOKUP(C95,'Talente &amp; Stuff'!DO:EP,11,FALSE)</f>
        <v>0</v>
      </c>
      <c r="N95" s="89">
        <f>VLOOKUP(C95,'Talente &amp; Stuff'!DO:EP,12,FALSE)</f>
        <v>0</v>
      </c>
      <c r="O95" s="47">
        <f>VLOOKUP(C95,'Talente &amp; Stuff'!DO:EP,13,FALSE)</f>
        <v>0</v>
      </c>
      <c r="P95" s="119">
        <f>VLOOKUP(C95,'Talente &amp; Stuff'!DO:EP,14,FALSE)</f>
        <v>0</v>
      </c>
      <c r="Q95" s="114">
        <f>VLOOKUP(C95,'Talente &amp; Stuff'!DO:EP,15,FALSE)</f>
        <v>0</v>
      </c>
      <c r="R95" s="113">
        <f>VLOOKUP(C95,'Talente &amp; Stuff'!DO:EP,16,FALSE)</f>
        <v>0</v>
      </c>
      <c r="S95" s="119">
        <f>VLOOKUP(C95,'Talente &amp; Stuff'!DO:EP,17,FALSE)</f>
        <v>0</v>
      </c>
      <c r="T95" s="160">
        <f>VLOOKUP(C95,'Talente &amp; Stuff'!DO:EP,18,FALSE)</f>
        <v>0</v>
      </c>
      <c r="U95" s="89">
        <f>VLOOKUP(C95,'Talente &amp; Stuff'!DO:EP,19,FALSE)</f>
        <v>0</v>
      </c>
      <c r="V95" s="47">
        <f>VLOOKUP(C95,'Talente &amp; Stuff'!DO:EP,20,FALSE)</f>
        <v>0</v>
      </c>
      <c r="W95" s="127">
        <f>VLOOKUP(C95,'Talente &amp; Stuff'!DO:EP,21,FALSE)</f>
        <v>0</v>
      </c>
      <c r="X95" s="127">
        <f>VLOOKUP(C95,'Talente &amp; Stuff'!DO:EP,22,FALSE)</f>
        <v>0</v>
      </c>
      <c r="Y95" s="165">
        <f t="shared" si="10"/>
        <v>0</v>
      </c>
      <c r="Z95" s="44">
        <f t="shared" si="11"/>
        <v>0</v>
      </c>
      <c r="AA95" s="125">
        <f>VLOOKUP(C95,'Talente &amp; Stuff'!DO:EP,25,FALSE)</f>
        <v>0</v>
      </c>
      <c r="AB95" s="160">
        <f>VLOOKUP(C95,'Talente &amp; Stuff'!DO:EP,26,FALSE)</f>
        <v>0</v>
      </c>
      <c r="AC95" s="127">
        <f>VLOOKUP(C95,'Talente &amp; Stuff'!DO:EP,27,FALSE)</f>
        <v>0</v>
      </c>
      <c r="AD95" s="125">
        <f>VLOOKUP(C95,'Talente &amp; Stuff'!DO:EP,28,FALSE)</f>
        <v>0</v>
      </c>
      <c r="AE95" s="28"/>
    </row>
    <row r="96" spans="2:31" ht="15" hidden="1" customHeight="1" outlineLevel="2">
      <c r="B96" s="148">
        <v>19</v>
      </c>
      <c r="C96" s="177" t="str">
        <f>Attribute!C96</f>
        <v>---</v>
      </c>
      <c r="D96" s="125" t="str">
        <f>VLOOKUP(C96,'Talente &amp; Stuff'!DO:EP,2,FALSE)</f>
        <v>--/--/--</v>
      </c>
      <c r="E96" s="127" t="str">
        <f>VLOOKUP(C96,'Talente &amp; Stuff'!DO:EP,3,FALSE)</f>
        <v>-</v>
      </c>
      <c r="F96" s="114">
        <f>VLOOKUP(C96,'Talente &amp; Stuff'!DO:EP,4,FALSE)</f>
        <v>0</v>
      </c>
      <c r="G96" s="113">
        <f>VLOOKUP(C96,'Talente &amp; Stuff'!DO:EP,5,FALSE)</f>
        <v>0</v>
      </c>
      <c r="H96" s="113">
        <f>VLOOKUP(C96,'Talente &amp; Stuff'!DO:EP,6,FALSE)</f>
        <v>0</v>
      </c>
      <c r="I96" s="113">
        <f>VLOOKUP(C96,'Talente &amp; Stuff'!DO:EP,7,FALSE)</f>
        <v>0</v>
      </c>
      <c r="J96" s="113">
        <f>VLOOKUP(C96,'Talente &amp; Stuff'!DO:EP,8,FALSE)</f>
        <v>0</v>
      </c>
      <c r="K96" s="113">
        <f>VLOOKUP(C96,'Talente &amp; Stuff'!DO:EP,9,FALSE)</f>
        <v>0</v>
      </c>
      <c r="L96" s="113">
        <f>VLOOKUP(C96,'Talente &amp; Stuff'!DO:EP,10,FALSE)</f>
        <v>0</v>
      </c>
      <c r="M96" s="119">
        <f>VLOOKUP(C96,'Talente &amp; Stuff'!DO:EP,11,FALSE)</f>
        <v>0</v>
      </c>
      <c r="N96" s="89">
        <f>VLOOKUP(C96,'Talente &amp; Stuff'!DO:EP,12,FALSE)</f>
        <v>0</v>
      </c>
      <c r="O96" s="47">
        <f>VLOOKUP(C96,'Talente &amp; Stuff'!DO:EP,13,FALSE)</f>
        <v>0</v>
      </c>
      <c r="P96" s="119">
        <f>VLOOKUP(C96,'Talente &amp; Stuff'!DO:EP,14,FALSE)</f>
        <v>0</v>
      </c>
      <c r="Q96" s="114">
        <f>VLOOKUP(C96,'Talente &amp; Stuff'!DO:EP,15,FALSE)</f>
        <v>0</v>
      </c>
      <c r="R96" s="113">
        <f>VLOOKUP(C96,'Talente &amp; Stuff'!DO:EP,16,FALSE)</f>
        <v>0</v>
      </c>
      <c r="S96" s="119">
        <f>VLOOKUP(C96,'Talente &amp; Stuff'!DO:EP,17,FALSE)</f>
        <v>0</v>
      </c>
      <c r="T96" s="160">
        <f>VLOOKUP(C96,'Talente &amp; Stuff'!DO:EP,18,FALSE)</f>
        <v>0</v>
      </c>
      <c r="U96" s="89">
        <f>VLOOKUP(C96,'Talente &amp; Stuff'!DO:EP,19,FALSE)</f>
        <v>0</v>
      </c>
      <c r="V96" s="47">
        <f>VLOOKUP(C96,'Talente &amp; Stuff'!DO:EP,20,FALSE)</f>
        <v>0</v>
      </c>
      <c r="W96" s="127">
        <f>VLOOKUP(C96,'Talente &amp; Stuff'!DO:EP,21,FALSE)</f>
        <v>0</v>
      </c>
      <c r="X96" s="127">
        <f>VLOOKUP(C96,'Talente &amp; Stuff'!DO:EP,22,FALSE)</f>
        <v>0</v>
      </c>
      <c r="Y96" s="165">
        <f t="shared" si="10"/>
        <v>0</v>
      </c>
      <c r="Z96" s="44">
        <f t="shared" si="11"/>
        <v>0</v>
      </c>
      <c r="AA96" s="125">
        <f>VLOOKUP(C96,'Talente &amp; Stuff'!DO:EP,25,FALSE)</f>
        <v>0</v>
      </c>
      <c r="AB96" s="160">
        <f>VLOOKUP(C96,'Talente &amp; Stuff'!DO:EP,26,FALSE)</f>
        <v>0</v>
      </c>
      <c r="AC96" s="127">
        <f>VLOOKUP(C96,'Talente &amp; Stuff'!DO:EP,27,FALSE)</f>
        <v>0</v>
      </c>
      <c r="AD96" s="125">
        <f>VLOOKUP(C96,'Talente &amp; Stuff'!DO:EP,28,FALSE)</f>
        <v>0</v>
      </c>
      <c r="AE96" s="28"/>
    </row>
    <row r="97" spans="2:31" ht="15" hidden="1" customHeight="1" outlineLevel="2">
      <c r="B97" s="148">
        <v>20</v>
      </c>
      <c r="C97" s="177" t="str">
        <f>Attribute!C97</f>
        <v>---</v>
      </c>
      <c r="D97" s="125" t="str">
        <f>VLOOKUP(C97,'Talente &amp; Stuff'!DO:EP,2,FALSE)</f>
        <v>--/--/--</v>
      </c>
      <c r="E97" s="127" t="str">
        <f>VLOOKUP(C97,'Talente &amp; Stuff'!DO:EP,3,FALSE)</f>
        <v>-</v>
      </c>
      <c r="F97" s="114">
        <f>VLOOKUP(C97,'Talente &amp; Stuff'!DO:EP,4,FALSE)</f>
        <v>0</v>
      </c>
      <c r="G97" s="113">
        <f>VLOOKUP(C97,'Talente &amp; Stuff'!DO:EP,5,FALSE)</f>
        <v>0</v>
      </c>
      <c r="H97" s="113">
        <f>VLOOKUP(C97,'Talente &amp; Stuff'!DO:EP,6,FALSE)</f>
        <v>0</v>
      </c>
      <c r="I97" s="113">
        <f>VLOOKUP(C97,'Talente &amp; Stuff'!DO:EP,7,FALSE)</f>
        <v>0</v>
      </c>
      <c r="J97" s="113">
        <f>VLOOKUP(C97,'Talente &amp; Stuff'!DO:EP,8,FALSE)</f>
        <v>0</v>
      </c>
      <c r="K97" s="113">
        <f>VLOOKUP(C97,'Talente &amp; Stuff'!DO:EP,9,FALSE)</f>
        <v>0</v>
      </c>
      <c r="L97" s="113">
        <f>VLOOKUP(C97,'Talente &amp; Stuff'!DO:EP,10,FALSE)</f>
        <v>0</v>
      </c>
      <c r="M97" s="119">
        <f>VLOOKUP(C97,'Talente &amp; Stuff'!DO:EP,11,FALSE)</f>
        <v>0</v>
      </c>
      <c r="N97" s="89">
        <f>VLOOKUP(C97,'Talente &amp; Stuff'!DO:EP,12,FALSE)</f>
        <v>0</v>
      </c>
      <c r="O97" s="47">
        <f>VLOOKUP(C97,'Talente &amp; Stuff'!DO:EP,13,FALSE)</f>
        <v>0</v>
      </c>
      <c r="P97" s="119">
        <f>VLOOKUP(C97,'Talente &amp; Stuff'!DO:EP,14,FALSE)</f>
        <v>0</v>
      </c>
      <c r="Q97" s="114">
        <f>VLOOKUP(C97,'Talente &amp; Stuff'!DO:EP,15,FALSE)</f>
        <v>0</v>
      </c>
      <c r="R97" s="113">
        <f>VLOOKUP(C97,'Talente &amp; Stuff'!DO:EP,16,FALSE)</f>
        <v>0</v>
      </c>
      <c r="S97" s="119">
        <f>VLOOKUP(C97,'Talente &amp; Stuff'!DO:EP,17,FALSE)</f>
        <v>0</v>
      </c>
      <c r="T97" s="160">
        <f>VLOOKUP(C97,'Talente &amp; Stuff'!DO:EP,18,FALSE)</f>
        <v>0</v>
      </c>
      <c r="U97" s="89">
        <f>VLOOKUP(C97,'Talente &amp; Stuff'!DO:EP,19,FALSE)</f>
        <v>0</v>
      </c>
      <c r="V97" s="47">
        <f>VLOOKUP(C97,'Talente &amp; Stuff'!DO:EP,20,FALSE)</f>
        <v>0</v>
      </c>
      <c r="W97" s="127">
        <f>VLOOKUP(C97,'Talente &amp; Stuff'!DO:EP,21,FALSE)</f>
        <v>0</v>
      </c>
      <c r="X97" s="127">
        <f>VLOOKUP(C97,'Talente &amp; Stuff'!DO:EP,22,FALSE)</f>
        <v>0</v>
      </c>
      <c r="Y97" s="165">
        <f t="shared" si="10"/>
        <v>0</v>
      </c>
      <c r="Z97" s="44">
        <f t="shared" si="11"/>
        <v>0</v>
      </c>
      <c r="AA97" s="125">
        <f>VLOOKUP(C97,'Talente &amp; Stuff'!DO:EP,25,FALSE)</f>
        <v>0</v>
      </c>
      <c r="AB97" s="160">
        <f>VLOOKUP(C97,'Talente &amp; Stuff'!DO:EP,26,FALSE)</f>
        <v>0</v>
      </c>
      <c r="AC97" s="127">
        <f>VLOOKUP(C97,'Talente &amp; Stuff'!DO:EP,27,FALSE)</f>
        <v>0</v>
      </c>
      <c r="AD97" s="125">
        <f>VLOOKUP(C97,'Talente &amp; Stuff'!DO:EP,28,FALSE)</f>
        <v>0</v>
      </c>
      <c r="AE97" s="28"/>
    </row>
    <row r="98" spans="2:31" ht="15" hidden="1" customHeight="1" outlineLevel="2">
      <c r="B98" s="148">
        <v>21</v>
      </c>
      <c r="C98" s="178" t="str">
        <f>Attribute!C98</f>
        <v>---</v>
      </c>
      <c r="D98" s="87" t="str">
        <f>VLOOKUP(C98,'Talente &amp; Stuff'!DO:EP,2,FALSE)</f>
        <v>--/--/--</v>
      </c>
      <c r="E98" s="128" t="str">
        <f>VLOOKUP(C98,'Talente &amp; Stuff'!DO:EP,3,FALSE)</f>
        <v>-</v>
      </c>
      <c r="F98" s="115">
        <f>VLOOKUP(C98,'Talente &amp; Stuff'!DO:EP,4,FALSE)</f>
        <v>0</v>
      </c>
      <c r="G98" s="122">
        <f>VLOOKUP(C98,'Talente &amp; Stuff'!DO:EP,5,FALSE)</f>
        <v>0</v>
      </c>
      <c r="H98" s="122">
        <f>VLOOKUP(C98,'Talente &amp; Stuff'!DO:EP,6,FALSE)</f>
        <v>0</v>
      </c>
      <c r="I98" s="122">
        <f>VLOOKUP(C98,'Talente &amp; Stuff'!DO:EP,7,FALSE)</f>
        <v>0</v>
      </c>
      <c r="J98" s="122">
        <f>VLOOKUP(C98,'Talente &amp; Stuff'!DO:EP,8,FALSE)</f>
        <v>0</v>
      </c>
      <c r="K98" s="122">
        <f>VLOOKUP(C98,'Talente &amp; Stuff'!DO:EP,9,FALSE)</f>
        <v>0</v>
      </c>
      <c r="L98" s="122">
        <f>VLOOKUP(C98,'Talente &amp; Stuff'!DO:EP,10,FALSE)</f>
        <v>0</v>
      </c>
      <c r="M98" s="123">
        <f>VLOOKUP(C98,'Talente &amp; Stuff'!DO:EP,11,FALSE)</f>
        <v>0</v>
      </c>
      <c r="N98" s="88">
        <f>VLOOKUP(C98,'Talente &amp; Stuff'!DO:EP,12,FALSE)</f>
        <v>0</v>
      </c>
      <c r="O98" s="2">
        <f>VLOOKUP(C98,'Talente &amp; Stuff'!DO:EP,13,FALSE)</f>
        <v>0</v>
      </c>
      <c r="P98" s="173">
        <f>VLOOKUP(C98,'Talente &amp; Stuff'!DO:EP,14,FALSE)</f>
        <v>0</v>
      </c>
      <c r="Q98" s="115">
        <f>VLOOKUP(C98,'Talente &amp; Stuff'!DO:EP,15,FALSE)</f>
        <v>0</v>
      </c>
      <c r="R98" s="169">
        <f>VLOOKUP(C98,'Talente &amp; Stuff'!DO:EP,16,FALSE)</f>
        <v>0</v>
      </c>
      <c r="S98" s="123">
        <f>VLOOKUP(C98,'Talente &amp; Stuff'!DO:EP,17,FALSE)</f>
        <v>0</v>
      </c>
      <c r="T98" s="123">
        <f>VLOOKUP(C98,'Talente &amp; Stuff'!DO:EP,18,FALSE)</f>
        <v>0</v>
      </c>
      <c r="U98" s="90">
        <f>VLOOKUP(C98,'Talente &amp; Stuff'!DO:EP,19,FALSE)</f>
        <v>0</v>
      </c>
      <c r="V98" s="88">
        <f>VLOOKUP(C98,'Talente &amp; Stuff'!DO:EP,20,FALSE)</f>
        <v>0</v>
      </c>
      <c r="W98" s="128">
        <f>VLOOKUP(C98,'Talente &amp; Stuff'!DO:EP,21,FALSE)</f>
        <v>0</v>
      </c>
      <c r="X98" s="128">
        <f>VLOOKUP(C98,'Talente &amp; Stuff'!DO:EP,22,FALSE)</f>
        <v>0</v>
      </c>
      <c r="Y98" s="165">
        <f t="shared" si="10"/>
        <v>0</v>
      </c>
      <c r="Z98" s="44">
        <f t="shared" si="11"/>
        <v>0</v>
      </c>
      <c r="AA98" s="159">
        <f>VLOOKUP(C98,'Talente &amp; Stuff'!DO:EP,25,FALSE)</f>
        <v>0</v>
      </c>
      <c r="AB98" s="161">
        <f>VLOOKUP(C98,'Talente &amp; Stuff'!DO:EP,26,FALSE)</f>
        <v>0</v>
      </c>
      <c r="AC98" s="128">
        <f>VLOOKUP(C98,'Talente &amp; Stuff'!DO:EP,27,FALSE)</f>
        <v>0</v>
      </c>
      <c r="AD98" s="159">
        <f>VLOOKUP(C98,'Talente &amp; Stuff'!DO:EP,28,FALSE)</f>
        <v>0</v>
      </c>
      <c r="AE98" s="28"/>
    </row>
    <row r="99" spans="2:31" ht="15" hidden="1" customHeight="1" outlineLevel="1" collapsed="1">
      <c r="B99" s="134" t="s">
        <v>331</v>
      </c>
      <c r="C99" s="83"/>
      <c r="D99" s="84"/>
      <c r="E99" s="84"/>
    </row>
    <row r="100" spans="2:31" ht="15" hidden="1" customHeight="1" outlineLevel="2">
      <c r="B100" s="148">
        <v>1</v>
      </c>
      <c r="C100" s="176" t="str">
        <f>Attribute!C100</f>
        <v>---</v>
      </c>
      <c r="D100" s="85" t="str">
        <f>VLOOKUP(C100,'Talente &amp; Stuff'!DO:EP,2,FALSE)</f>
        <v>--/--/--</v>
      </c>
      <c r="E100" s="126" t="str">
        <f>VLOOKUP(C100,'Talente &amp; Stuff'!DO:EP,3,FALSE)</f>
        <v>-</v>
      </c>
      <c r="F100" s="191">
        <f>VLOOKUP(C100,'Talente &amp; Stuff'!DO:EP,4,FALSE)</f>
        <v>0</v>
      </c>
      <c r="G100" s="118">
        <f>VLOOKUP(C100,'Talente &amp; Stuff'!DO:EP,5,FALSE)</f>
        <v>0</v>
      </c>
      <c r="H100" s="118">
        <f>VLOOKUP(C100,'Talente &amp; Stuff'!DO:EP,6,FALSE)</f>
        <v>0</v>
      </c>
      <c r="I100" s="118">
        <f>VLOOKUP(C100,'Talente &amp; Stuff'!DO:EP,7,FALSE)</f>
        <v>0</v>
      </c>
      <c r="J100" s="118">
        <f>VLOOKUP(C100,'Talente &amp; Stuff'!DO:EP,8,FALSE)</f>
        <v>0</v>
      </c>
      <c r="K100" s="118">
        <f>VLOOKUP(C100,'Talente &amp; Stuff'!DO:EP,9,FALSE)</f>
        <v>0</v>
      </c>
      <c r="L100" s="118">
        <f>VLOOKUP(C100,'Talente &amp; Stuff'!DO:EP,10,FALSE)</f>
        <v>0</v>
      </c>
      <c r="M100" s="92">
        <f>VLOOKUP(C100,'Talente &amp; Stuff'!DO:EP,11,FALSE)</f>
        <v>0</v>
      </c>
      <c r="N100" s="116">
        <f>VLOOKUP(C100,'Talente &amp; Stuff'!DO:EP,12,FALSE)</f>
        <v>0</v>
      </c>
      <c r="O100" s="194">
        <f>VLOOKUP(C100,'Talente &amp; Stuff'!DO:EP,13,FALSE)</f>
        <v>0</v>
      </c>
      <c r="P100" s="192">
        <f>VLOOKUP(C100,'Talente &amp; Stuff'!DO:EP,14,FALSE)</f>
        <v>0</v>
      </c>
      <c r="Q100" s="191">
        <f>VLOOKUP(C100,'Talente &amp; Stuff'!DO:EP,15,FALSE)</f>
        <v>0</v>
      </c>
      <c r="R100" s="170">
        <f>VLOOKUP(C100,'Talente &amp; Stuff'!DO:EP,16,FALSE)</f>
        <v>0</v>
      </c>
      <c r="S100" s="92">
        <f>VLOOKUP(C100,'Talente &amp; Stuff'!DO:EP,17,FALSE)</f>
        <v>0</v>
      </c>
      <c r="T100" s="92">
        <f>VLOOKUP(C100,'Talente &amp; Stuff'!DO:EP,18,FALSE)</f>
        <v>0</v>
      </c>
      <c r="U100" s="193">
        <f>VLOOKUP(C100,'Talente &amp; Stuff'!DO:EP,19,FALSE)</f>
        <v>0</v>
      </c>
      <c r="V100" s="116">
        <f>VLOOKUP(C100,'Talente &amp; Stuff'!DO:EP,20,FALSE)</f>
        <v>0</v>
      </c>
      <c r="W100" s="126">
        <f>VLOOKUP(C100,'Talente &amp; Stuff'!DO:EP,21,FALSE)</f>
        <v>0</v>
      </c>
      <c r="X100" s="126">
        <f>VLOOKUP(C100,'Talente &amp; Stuff'!DO:EP,22,FALSE)</f>
        <v>0</v>
      </c>
      <c r="Y100" s="165">
        <f t="shared" ref="Y100:Y126" si="12">VLOOKUP(C100,Ausgewählte_Zauber_Druiden,139,FALSE)</f>
        <v>0</v>
      </c>
      <c r="Z100" s="44">
        <f t="shared" ref="Z100:Z126" si="13">VLOOKUP(C100,Ausgewählte_Zauber_Druiden,140,FALSE)</f>
        <v>0</v>
      </c>
      <c r="AA100" s="158">
        <f>VLOOKUP(C100,'Talente &amp; Stuff'!DO:EP,25,FALSE)</f>
        <v>0</v>
      </c>
      <c r="AB100" s="91">
        <f>VLOOKUP(C100,'Talente &amp; Stuff'!DO:EP,26,FALSE)</f>
        <v>0</v>
      </c>
      <c r="AC100" s="126">
        <f>VLOOKUP(C100,'Talente &amp; Stuff'!DO:EP,27,FALSE)</f>
        <v>0</v>
      </c>
      <c r="AD100" s="158">
        <f>VLOOKUP(C100,'Talente &amp; Stuff'!DO:EP,28,FALSE)</f>
        <v>0</v>
      </c>
      <c r="AE100" s="28"/>
    </row>
    <row r="101" spans="2:31" ht="15" hidden="1" customHeight="1" outlineLevel="2">
      <c r="B101" s="148">
        <v>2</v>
      </c>
      <c r="C101" s="177" t="str">
        <f>Attribute!C101</f>
        <v>---</v>
      </c>
      <c r="D101" s="86" t="str">
        <f>VLOOKUP(C101,'Talente &amp; Stuff'!DO:EP,2,FALSE)</f>
        <v>--/--/--</v>
      </c>
      <c r="E101" s="167" t="str">
        <f>VLOOKUP(C101,'Talente &amp; Stuff'!DO:EP,3,FALSE)</f>
        <v>-</v>
      </c>
      <c r="F101" s="120">
        <f>VLOOKUP(C101,'Talente &amp; Stuff'!DO:EP,4,FALSE)</f>
        <v>0</v>
      </c>
      <c r="G101" s="117">
        <f>VLOOKUP(C101,'Talente &amp; Stuff'!DO:EP,5,FALSE)</f>
        <v>0</v>
      </c>
      <c r="H101" s="117">
        <f>VLOOKUP(C101,'Talente &amp; Stuff'!DO:EP,6,FALSE)</f>
        <v>0</v>
      </c>
      <c r="I101" s="117">
        <f>VLOOKUP(C101,'Talente &amp; Stuff'!DO:EP,7,FALSE)</f>
        <v>0</v>
      </c>
      <c r="J101" s="117">
        <f>VLOOKUP(C101,'Talente &amp; Stuff'!DO:EP,8,FALSE)</f>
        <v>0</v>
      </c>
      <c r="K101" s="117">
        <f>VLOOKUP(C101,'Talente &amp; Stuff'!DO:EP,9,FALSE)</f>
        <v>0</v>
      </c>
      <c r="L101" s="117">
        <f>VLOOKUP(C101,'Talente &amp; Stuff'!DO:EP,10,FALSE)</f>
        <v>0</v>
      </c>
      <c r="M101" s="121">
        <f>VLOOKUP(C101,'Talente &amp; Stuff'!DO:EP,11,FALSE)</f>
        <v>0</v>
      </c>
      <c r="N101" s="47">
        <f>VLOOKUP(C101,'Talente &amp; Stuff'!DO:EP,12,FALSE)</f>
        <v>0</v>
      </c>
      <c r="O101" s="3">
        <f>VLOOKUP(C101,'Talente &amp; Stuff'!DO:EP,13,FALSE)</f>
        <v>0</v>
      </c>
      <c r="P101" s="174">
        <f>VLOOKUP(C101,'Talente &amp; Stuff'!DO:EP,14,FALSE)</f>
        <v>0</v>
      </c>
      <c r="Q101" s="114">
        <f>VLOOKUP(C101,'Talente &amp; Stuff'!DO:EP,15,FALSE)</f>
        <v>0</v>
      </c>
      <c r="R101" s="117">
        <f>VLOOKUP(C101,'Talente &amp; Stuff'!DO:EP,16,FALSE)</f>
        <v>0</v>
      </c>
      <c r="S101" s="119">
        <f>VLOOKUP(C101,'Talente &amp; Stuff'!DO:EP,17,FALSE)</f>
        <v>0</v>
      </c>
      <c r="T101" s="119">
        <f>VLOOKUP(C101,'Talente &amp; Stuff'!DO:EP,18,FALSE)</f>
        <v>0</v>
      </c>
      <c r="U101" s="89">
        <f>VLOOKUP(C101,'Talente &amp; Stuff'!DO:EP,19,FALSE)</f>
        <v>0</v>
      </c>
      <c r="V101" s="47">
        <f>VLOOKUP(C101,'Talente &amp; Stuff'!DO:EP,20,FALSE)</f>
        <v>0</v>
      </c>
      <c r="W101" s="127">
        <f>VLOOKUP(C101,'Talente &amp; Stuff'!DO:EP,21,FALSE)</f>
        <v>0</v>
      </c>
      <c r="X101" s="127">
        <f>VLOOKUP(C101,'Talente &amp; Stuff'!DO:EP,22,FALSE)</f>
        <v>0</v>
      </c>
      <c r="Y101" s="165">
        <f t="shared" si="12"/>
        <v>0</v>
      </c>
      <c r="Z101" s="44">
        <f t="shared" si="13"/>
        <v>0</v>
      </c>
      <c r="AA101" s="125">
        <f>VLOOKUP(C101,'Talente &amp; Stuff'!DO:EP,25,FALSE)</f>
        <v>0</v>
      </c>
      <c r="AB101" s="160">
        <f>VLOOKUP(C101,'Talente &amp; Stuff'!DO:EP,26,FALSE)</f>
        <v>0</v>
      </c>
      <c r="AC101" s="127">
        <f>VLOOKUP(C101,'Talente &amp; Stuff'!DO:EP,27,FALSE)</f>
        <v>0</v>
      </c>
      <c r="AD101" s="125">
        <f>VLOOKUP(C101,'Talente &amp; Stuff'!DO:EP,28,FALSE)</f>
        <v>0</v>
      </c>
      <c r="AE101" s="28"/>
    </row>
    <row r="102" spans="2:31" ht="15" hidden="1" customHeight="1" outlineLevel="2">
      <c r="B102" s="148">
        <v>3</v>
      </c>
      <c r="C102" s="177" t="str">
        <f>Attribute!C102</f>
        <v>---</v>
      </c>
      <c r="D102" s="86" t="str">
        <f>VLOOKUP(C102,'Talente &amp; Stuff'!DO:EP,2,FALSE)</f>
        <v>--/--/--</v>
      </c>
      <c r="E102" s="167" t="str">
        <f>VLOOKUP(C102,'Talente &amp; Stuff'!DO:EP,3,FALSE)</f>
        <v>-</v>
      </c>
      <c r="F102" s="120">
        <f>VLOOKUP(C102,'Talente &amp; Stuff'!DO:EP,4,FALSE)</f>
        <v>0</v>
      </c>
      <c r="G102" s="117">
        <f>VLOOKUP(C102,'Talente &amp; Stuff'!DO:EP,5,FALSE)</f>
        <v>0</v>
      </c>
      <c r="H102" s="117">
        <f>VLOOKUP(C102,'Talente &amp; Stuff'!DO:EP,6,FALSE)</f>
        <v>0</v>
      </c>
      <c r="I102" s="117">
        <f>VLOOKUP(C102,'Talente &amp; Stuff'!DO:EP,7,FALSE)</f>
        <v>0</v>
      </c>
      <c r="J102" s="117">
        <f>VLOOKUP(C102,'Talente &amp; Stuff'!DO:EP,8,FALSE)</f>
        <v>0</v>
      </c>
      <c r="K102" s="117">
        <f>VLOOKUP(C102,'Talente &amp; Stuff'!DO:EP,9,FALSE)</f>
        <v>0</v>
      </c>
      <c r="L102" s="117">
        <f>VLOOKUP(C102,'Talente &amp; Stuff'!DO:EP,10,FALSE)</f>
        <v>0</v>
      </c>
      <c r="M102" s="121">
        <f>VLOOKUP(C102,'Talente &amp; Stuff'!DO:EP,11,FALSE)</f>
        <v>0</v>
      </c>
      <c r="N102" s="47">
        <f>VLOOKUP(C102,'Talente &amp; Stuff'!DO:EP,12,FALSE)</f>
        <v>0</v>
      </c>
      <c r="O102" s="3">
        <f>VLOOKUP(C102,'Talente &amp; Stuff'!DO:EP,13,FALSE)</f>
        <v>0</v>
      </c>
      <c r="P102" s="174">
        <f>VLOOKUP(C102,'Talente &amp; Stuff'!DO:EP,14,FALSE)</f>
        <v>0</v>
      </c>
      <c r="Q102" s="114">
        <f>VLOOKUP(C102,'Talente &amp; Stuff'!DO:EP,15,FALSE)</f>
        <v>0</v>
      </c>
      <c r="R102" s="117">
        <f>VLOOKUP(C102,'Talente &amp; Stuff'!DO:EP,16,FALSE)</f>
        <v>0</v>
      </c>
      <c r="S102" s="119">
        <f>VLOOKUP(C102,'Talente &amp; Stuff'!DO:EP,17,FALSE)</f>
        <v>0</v>
      </c>
      <c r="T102" s="119">
        <f>VLOOKUP(C102,'Talente &amp; Stuff'!DO:EP,18,FALSE)</f>
        <v>0</v>
      </c>
      <c r="U102" s="89">
        <f>VLOOKUP(C102,'Talente &amp; Stuff'!DO:EP,19,FALSE)</f>
        <v>0</v>
      </c>
      <c r="V102" s="47">
        <f>VLOOKUP(C102,'Talente &amp; Stuff'!DO:EP,20,FALSE)</f>
        <v>0</v>
      </c>
      <c r="W102" s="127">
        <f>VLOOKUP(C102,'Talente &amp; Stuff'!DO:EP,21,FALSE)</f>
        <v>0</v>
      </c>
      <c r="X102" s="127">
        <f>VLOOKUP(C102,'Talente &amp; Stuff'!DO:EP,22,FALSE)</f>
        <v>0</v>
      </c>
      <c r="Y102" s="165">
        <f t="shared" si="12"/>
        <v>0</v>
      </c>
      <c r="Z102" s="44">
        <f t="shared" si="13"/>
        <v>0</v>
      </c>
      <c r="AA102" s="125">
        <f>VLOOKUP(C102,'Talente &amp; Stuff'!DO:EP,25,FALSE)</f>
        <v>0</v>
      </c>
      <c r="AB102" s="160">
        <f>VLOOKUP(C102,'Talente &amp; Stuff'!DO:EP,26,FALSE)</f>
        <v>0</v>
      </c>
      <c r="AC102" s="127">
        <f>VLOOKUP(C102,'Talente &amp; Stuff'!DO:EP,27,FALSE)</f>
        <v>0</v>
      </c>
      <c r="AD102" s="125">
        <f>VLOOKUP(C102,'Talente &amp; Stuff'!DO:EP,28,FALSE)</f>
        <v>0</v>
      </c>
      <c r="AE102" s="28"/>
    </row>
    <row r="103" spans="2:31" ht="15" hidden="1" customHeight="1" outlineLevel="2">
      <c r="B103" s="148">
        <v>4</v>
      </c>
      <c r="C103" s="177" t="str">
        <f>Attribute!C103</f>
        <v>---</v>
      </c>
      <c r="D103" s="86" t="str">
        <f>VLOOKUP(C103,'Talente &amp; Stuff'!DO:EP,2,FALSE)</f>
        <v>--/--/--</v>
      </c>
      <c r="E103" s="167" t="str">
        <f>VLOOKUP(C103,'Talente &amp; Stuff'!DO:EP,3,FALSE)</f>
        <v>-</v>
      </c>
      <c r="F103" s="120">
        <f>VLOOKUP(C103,'Talente &amp; Stuff'!DO:EP,4,FALSE)</f>
        <v>0</v>
      </c>
      <c r="G103" s="117">
        <f>VLOOKUP(C103,'Talente &amp; Stuff'!DO:EP,5,FALSE)</f>
        <v>0</v>
      </c>
      <c r="H103" s="117">
        <f>VLOOKUP(C103,'Talente &amp; Stuff'!DO:EP,6,FALSE)</f>
        <v>0</v>
      </c>
      <c r="I103" s="117">
        <f>VLOOKUP(C103,'Talente &amp; Stuff'!DO:EP,7,FALSE)</f>
        <v>0</v>
      </c>
      <c r="J103" s="117">
        <f>VLOOKUP(C103,'Talente &amp; Stuff'!DO:EP,8,FALSE)</f>
        <v>0</v>
      </c>
      <c r="K103" s="117">
        <f>VLOOKUP(C103,'Talente &amp; Stuff'!DO:EP,9,FALSE)</f>
        <v>0</v>
      </c>
      <c r="L103" s="117">
        <f>VLOOKUP(C103,'Talente &amp; Stuff'!DO:EP,10,FALSE)</f>
        <v>0</v>
      </c>
      <c r="M103" s="121">
        <f>VLOOKUP(C103,'Talente &amp; Stuff'!DO:EP,11,FALSE)</f>
        <v>0</v>
      </c>
      <c r="N103" s="47">
        <f>VLOOKUP(C103,'Talente &amp; Stuff'!DO:EP,12,FALSE)</f>
        <v>0</v>
      </c>
      <c r="O103" s="3">
        <f>VLOOKUP(C103,'Talente &amp; Stuff'!DO:EP,13,FALSE)</f>
        <v>0</v>
      </c>
      <c r="P103" s="174">
        <f>VLOOKUP(C103,'Talente &amp; Stuff'!DO:EP,14,FALSE)</f>
        <v>0</v>
      </c>
      <c r="Q103" s="114">
        <f>VLOOKUP(C103,'Talente &amp; Stuff'!DO:EP,15,FALSE)</f>
        <v>0</v>
      </c>
      <c r="R103" s="117">
        <f>VLOOKUP(C103,'Talente &amp; Stuff'!DO:EP,16,FALSE)</f>
        <v>0</v>
      </c>
      <c r="S103" s="119">
        <f>VLOOKUP(C103,'Talente &amp; Stuff'!DO:EP,17,FALSE)</f>
        <v>0</v>
      </c>
      <c r="T103" s="119">
        <f>VLOOKUP(C103,'Talente &amp; Stuff'!DO:EP,18,FALSE)</f>
        <v>0</v>
      </c>
      <c r="U103" s="89">
        <f>VLOOKUP(C103,'Talente &amp; Stuff'!DO:EP,19,FALSE)</f>
        <v>0</v>
      </c>
      <c r="V103" s="47">
        <f>VLOOKUP(C103,'Talente &amp; Stuff'!DO:EP,20,FALSE)</f>
        <v>0</v>
      </c>
      <c r="W103" s="127">
        <f>VLOOKUP(C103,'Talente &amp; Stuff'!DO:EP,21,FALSE)</f>
        <v>0</v>
      </c>
      <c r="X103" s="127">
        <f>VLOOKUP(C103,'Talente &amp; Stuff'!DO:EP,22,FALSE)</f>
        <v>0</v>
      </c>
      <c r="Y103" s="165">
        <f t="shared" si="12"/>
        <v>0</v>
      </c>
      <c r="Z103" s="44">
        <f t="shared" si="13"/>
        <v>0</v>
      </c>
      <c r="AA103" s="125">
        <f>VLOOKUP(C103,'Talente &amp; Stuff'!DO:EP,25,FALSE)</f>
        <v>0</v>
      </c>
      <c r="AB103" s="160">
        <f>VLOOKUP(C103,'Talente &amp; Stuff'!DO:EP,26,FALSE)</f>
        <v>0</v>
      </c>
      <c r="AC103" s="127">
        <f>VLOOKUP(C103,'Talente &amp; Stuff'!DO:EP,27,FALSE)</f>
        <v>0</v>
      </c>
      <c r="AD103" s="125">
        <f>VLOOKUP(C103,'Talente &amp; Stuff'!DO:EP,28,FALSE)</f>
        <v>0</v>
      </c>
      <c r="AE103" s="28"/>
    </row>
    <row r="104" spans="2:31" ht="15" hidden="1" customHeight="1" outlineLevel="2">
      <c r="B104" s="148">
        <v>5</v>
      </c>
      <c r="C104" s="177" t="str">
        <f>Attribute!C104</f>
        <v>---</v>
      </c>
      <c r="D104" s="86" t="str">
        <f>VLOOKUP(C104,'Talente &amp; Stuff'!DO:EP,2,FALSE)</f>
        <v>--/--/--</v>
      </c>
      <c r="E104" s="167" t="str">
        <f>VLOOKUP(C104,'Talente &amp; Stuff'!DO:EP,3,FALSE)</f>
        <v>-</v>
      </c>
      <c r="F104" s="120">
        <f>VLOOKUP(C104,'Talente &amp; Stuff'!DO:EP,4,FALSE)</f>
        <v>0</v>
      </c>
      <c r="G104" s="117">
        <f>VLOOKUP(C104,'Talente &amp; Stuff'!DO:EP,5,FALSE)</f>
        <v>0</v>
      </c>
      <c r="H104" s="117">
        <f>VLOOKUP(C104,'Talente &amp; Stuff'!DO:EP,6,FALSE)</f>
        <v>0</v>
      </c>
      <c r="I104" s="117">
        <f>VLOOKUP(C104,'Talente &amp; Stuff'!DO:EP,7,FALSE)</f>
        <v>0</v>
      </c>
      <c r="J104" s="117">
        <f>VLOOKUP(C104,'Talente &amp; Stuff'!DO:EP,8,FALSE)</f>
        <v>0</v>
      </c>
      <c r="K104" s="117">
        <f>VLOOKUP(C104,'Talente &amp; Stuff'!DO:EP,9,FALSE)</f>
        <v>0</v>
      </c>
      <c r="L104" s="117">
        <f>VLOOKUP(C104,'Talente &amp; Stuff'!DO:EP,10,FALSE)</f>
        <v>0</v>
      </c>
      <c r="M104" s="121">
        <f>VLOOKUP(C104,'Talente &amp; Stuff'!DO:EP,11,FALSE)</f>
        <v>0</v>
      </c>
      <c r="N104" s="47">
        <f>VLOOKUP(C104,'Talente &amp; Stuff'!DO:EP,12,FALSE)</f>
        <v>0</v>
      </c>
      <c r="O104" s="3">
        <f>VLOOKUP(C104,'Talente &amp; Stuff'!DO:EP,13,FALSE)</f>
        <v>0</v>
      </c>
      <c r="P104" s="174">
        <f>VLOOKUP(C104,'Talente &amp; Stuff'!DO:EP,14,FALSE)</f>
        <v>0</v>
      </c>
      <c r="Q104" s="114">
        <f>VLOOKUP(C104,'Talente &amp; Stuff'!DO:EP,15,FALSE)</f>
        <v>0</v>
      </c>
      <c r="R104" s="117">
        <f>VLOOKUP(C104,'Talente &amp; Stuff'!DO:EP,16,FALSE)</f>
        <v>0</v>
      </c>
      <c r="S104" s="119">
        <f>VLOOKUP(C104,'Talente &amp; Stuff'!DO:EP,17,FALSE)</f>
        <v>0</v>
      </c>
      <c r="T104" s="119">
        <f>VLOOKUP(C104,'Talente &amp; Stuff'!DO:EP,18,FALSE)</f>
        <v>0</v>
      </c>
      <c r="U104" s="89">
        <f>VLOOKUP(C104,'Talente &amp; Stuff'!DO:EP,19,FALSE)</f>
        <v>0</v>
      </c>
      <c r="V104" s="47">
        <f>VLOOKUP(C104,'Talente &amp; Stuff'!DO:EP,20,FALSE)</f>
        <v>0</v>
      </c>
      <c r="W104" s="127">
        <f>VLOOKUP(C104,'Talente &amp; Stuff'!DO:EP,21,FALSE)</f>
        <v>0</v>
      </c>
      <c r="X104" s="127">
        <f>VLOOKUP(C104,'Talente &amp; Stuff'!DO:EP,22,FALSE)</f>
        <v>0</v>
      </c>
      <c r="Y104" s="165">
        <f t="shared" si="12"/>
        <v>0</v>
      </c>
      <c r="Z104" s="44">
        <f t="shared" si="13"/>
        <v>0</v>
      </c>
      <c r="AA104" s="125">
        <f>VLOOKUP(C104,'Talente &amp; Stuff'!DO:EP,25,FALSE)</f>
        <v>0</v>
      </c>
      <c r="AB104" s="160">
        <f>VLOOKUP(C104,'Talente &amp; Stuff'!DO:EP,26,FALSE)</f>
        <v>0</v>
      </c>
      <c r="AC104" s="127">
        <f>VLOOKUP(C104,'Talente &amp; Stuff'!DO:EP,27,FALSE)</f>
        <v>0</v>
      </c>
      <c r="AD104" s="125">
        <f>VLOOKUP(C104,'Talente &amp; Stuff'!DO:EP,28,FALSE)</f>
        <v>0</v>
      </c>
      <c r="AE104" s="28"/>
    </row>
    <row r="105" spans="2:31" ht="15" hidden="1" customHeight="1" outlineLevel="2">
      <c r="B105" s="148">
        <v>6</v>
      </c>
      <c r="C105" s="177" t="str">
        <f>Attribute!C105</f>
        <v>---</v>
      </c>
      <c r="D105" s="86" t="str">
        <f>VLOOKUP(C105,'Talente &amp; Stuff'!DO:EP,2,FALSE)</f>
        <v>--/--/--</v>
      </c>
      <c r="E105" s="167" t="str">
        <f>VLOOKUP(C105,'Talente &amp; Stuff'!DO:EP,3,FALSE)</f>
        <v>-</v>
      </c>
      <c r="F105" s="120">
        <f>VLOOKUP(C105,'Talente &amp; Stuff'!DO:EP,4,FALSE)</f>
        <v>0</v>
      </c>
      <c r="G105" s="117">
        <f>VLOOKUP(C105,'Talente &amp; Stuff'!DO:EP,5,FALSE)</f>
        <v>0</v>
      </c>
      <c r="H105" s="117">
        <f>VLOOKUP(C105,'Talente &amp; Stuff'!DO:EP,6,FALSE)</f>
        <v>0</v>
      </c>
      <c r="I105" s="117">
        <f>VLOOKUP(C105,'Talente &amp; Stuff'!DO:EP,7,FALSE)</f>
        <v>0</v>
      </c>
      <c r="J105" s="117">
        <f>VLOOKUP(C105,'Talente &amp; Stuff'!DO:EP,8,FALSE)</f>
        <v>0</v>
      </c>
      <c r="K105" s="117">
        <f>VLOOKUP(C105,'Talente &amp; Stuff'!DO:EP,9,FALSE)</f>
        <v>0</v>
      </c>
      <c r="L105" s="117">
        <f>VLOOKUP(C105,'Talente &amp; Stuff'!DO:EP,10,FALSE)</f>
        <v>0</v>
      </c>
      <c r="M105" s="121">
        <f>VLOOKUP(C105,'Talente &amp; Stuff'!DO:EP,11,FALSE)</f>
        <v>0</v>
      </c>
      <c r="N105" s="47">
        <f>VLOOKUP(C105,'Talente &amp; Stuff'!DO:EP,12,FALSE)</f>
        <v>0</v>
      </c>
      <c r="O105" s="3">
        <f>VLOOKUP(C105,'Talente &amp; Stuff'!DO:EP,13,FALSE)</f>
        <v>0</v>
      </c>
      <c r="P105" s="174">
        <f>VLOOKUP(C105,'Talente &amp; Stuff'!DO:EP,14,FALSE)</f>
        <v>0</v>
      </c>
      <c r="Q105" s="114">
        <f>VLOOKUP(C105,'Talente &amp; Stuff'!DO:EP,15,FALSE)</f>
        <v>0</v>
      </c>
      <c r="R105" s="117">
        <f>VLOOKUP(C105,'Talente &amp; Stuff'!DO:EP,16,FALSE)</f>
        <v>0</v>
      </c>
      <c r="S105" s="119">
        <f>VLOOKUP(C105,'Talente &amp; Stuff'!DO:EP,17,FALSE)</f>
        <v>0</v>
      </c>
      <c r="T105" s="119">
        <f>VLOOKUP(C105,'Talente &amp; Stuff'!DO:EP,18,FALSE)</f>
        <v>0</v>
      </c>
      <c r="U105" s="89">
        <f>VLOOKUP(C105,'Talente &amp; Stuff'!DO:EP,19,FALSE)</f>
        <v>0</v>
      </c>
      <c r="V105" s="47">
        <f>VLOOKUP(C105,'Talente &amp; Stuff'!DO:EP,20,FALSE)</f>
        <v>0</v>
      </c>
      <c r="W105" s="127">
        <f>VLOOKUP(C105,'Talente &amp; Stuff'!DO:EP,21,FALSE)</f>
        <v>0</v>
      </c>
      <c r="X105" s="127">
        <f>VLOOKUP(C105,'Talente &amp; Stuff'!DO:EP,22,FALSE)</f>
        <v>0</v>
      </c>
      <c r="Y105" s="165">
        <f t="shared" si="12"/>
        <v>0</v>
      </c>
      <c r="Z105" s="44">
        <f t="shared" si="13"/>
        <v>0</v>
      </c>
      <c r="AA105" s="125">
        <f>VLOOKUP(C105,'Talente &amp; Stuff'!DO:EP,25,FALSE)</f>
        <v>0</v>
      </c>
      <c r="AB105" s="160">
        <f>VLOOKUP(C105,'Talente &amp; Stuff'!DO:EP,26,FALSE)</f>
        <v>0</v>
      </c>
      <c r="AC105" s="127">
        <f>VLOOKUP(C105,'Talente &amp; Stuff'!DO:EP,27,FALSE)</f>
        <v>0</v>
      </c>
      <c r="AD105" s="125">
        <f>VLOOKUP(C105,'Talente &amp; Stuff'!DO:EP,28,FALSE)</f>
        <v>0</v>
      </c>
      <c r="AE105" s="28"/>
    </row>
    <row r="106" spans="2:31" ht="15" hidden="1" customHeight="1" outlineLevel="2">
      <c r="B106" s="148">
        <v>7</v>
      </c>
      <c r="C106" s="177" t="str">
        <f>Attribute!C106</f>
        <v>---</v>
      </c>
      <c r="D106" s="86" t="str">
        <f>VLOOKUP(C106,'Talente &amp; Stuff'!DO:EP,2,FALSE)</f>
        <v>--/--/--</v>
      </c>
      <c r="E106" s="167" t="str">
        <f>VLOOKUP(C106,'Talente &amp; Stuff'!DO:EP,3,FALSE)</f>
        <v>-</v>
      </c>
      <c r="F106" s="120">
        <f>VLOOKUP(C106,'Talente &amp; Stuff'!DO:EP,4,FALSE)</f>
        <v>0</v>
      </c>
      <c r="G106" s="117">
        <f>VLOOKUP(C106,'Talente &amp; Stuff'!DO:EP,5,FALSE)</f>
        <v>0</v>
      </c>
      <c r="H106" s="117">
        <f>VLOOKUP(C106,'Talente &amp; Stuff'!DO:EP,6,FALSE)</f>
        <v>0</v>
      </c>
      <c r="I106" s="117">
        <f>VLOOKUP(C106,'Talente &amp; Stuff'!DO:EP,7,FALSE)</f>
        <v>0</v>
      </c>
      <c r="J106" s="117">
        <f>VLOOKUP(C106,'Talente &amp; Stuff'!DO:EP,8,FALSE)</f>
        <v>0</v>
      </c>
      <c r="K106" s="117">
        <f>VLOOKUP(C106,'Talente &amp; Stuff'!DO:EP,9,FALSE)</f>
        <v>0</v>
      </c>
      <c r="L106" s="117">
        <f>VLOOKUP(C106,'Talente &amp; Stuff'!DO:EP,10,FALSE)</f>
        <v>0</v>
      </c>
      <c r="M106" s="121">
        <f>VLOOKUP(C106,'Talente &amp; Stuff'!DO:EP,11,FALSE)</f>
        <v>0</v>
      </c>
      <c r="N106" s="47">
        <f>VLOOKUP(C106,'Talente &amp; Stuff'!DO:EP,12,FALSE)</f>
        <v>0</v>
      </c>
      <c r="O106" s="3">
        <f>VLOOKUP(C106,'Talente &amp; Stuff'!DO:EP,13,FALSE)</f>
        <v>0</v>
      </c>
      <c r="P106" s="174">
        <f>VLOOKUP(C106,'Talente &amp; Stuff'!DO:EP,14,FALSE)</f>
        <v>0</v>
      </c>
      <c r="Q106" s="114">
        <f>VLOOKUP(C106,'Talente &amp; Stuff'!DO:EP,15,FALSE)</f>
        <v>0</v>
      </c>
      <c r="R106" s="117">
        <f>VLOOKUP(C106,'Talente &amp; Stuff'!DO:EP,16,FALSE)</f>
        <v>0</v>
      </c>
      <c r="S106" s="119">
        <f>VLOOKUP(C106,'Talente &amp; Stuff'!DO:EP,17,FALSE)</f>
        <v>0</v>
      </c>
      <c r="T106" s="119">
        <f>VLOOKUP(C106,'Talente &amp; Stuff'!DO:EP,18,FALSE)</f>
        <v>0</v>
      </c>
      <c r="U106" s="89">
        <f>VLOOKUP(C106,'Talente &amp; Stuff'!DO:EP,19,FALSE)</f>
        <v>0</v>
      </c>
      <c r="V106" s="47">
        <f>VLOOKUP(C106,'Talente &amp; Stuff'!DO:EP,20,FALSE)</f>
        <v>0</v>
      </c>
      <c r="W106" s="127">
        <f>VLOOKUP(C106,'Talente &amp; Stuff'!DO:EP,21,FALSE)</f>
        <v>0</v>
      </c>
      <c r="X106" s="127">
        <f>VLOOKUP(C106,'Talente &amp; Stuff'!DO:EP,22,FALSE)</f>
        <v>0</v>
      </c>
      <c r="Y106" s="165">
        <f t="shared" si="12"/>
        <v>0</v>
      </c>
      <c r="Z106" s="44">
        <f t="shared" si="13"/>
        <v>0</v>
      </c>
      <c r="AA106" s="125">
        <f>VLOOKUP(C106,'Talente &amp; Stuff'!DO:EP,25,FALSE)</f>
        <v>0</v>
      </c>
      <c r="AB106" s="160">
        <f>VLOOKUP(C106,'Talente &amp; Stuff'!DO:EP,26,FALSE)</f>
        <v>0</v>
      </c>
      <c r="AC106" s="127">
        <f>VLOOKUP(C106,'Talente &amp; Stuff'!DO:EP,27,FALSE)</f>
        <v>0</v>
      </c>
      <c r="AD106" s="125">
        <f>VLOOKUP(C106,'Talente &amp; Stuff'!DO:EP,28,FALSE)</f>
        <v>0</v>
      </c>
      <c r="AE106" s="28"/>
    </row>
    <row r="107" spans="2:31" ht="15" hidden="1" customHeight="1" outlineLevel="2">
      <c r="B107" s="148">
        <v>8</v>
      </c>
      <c r="C107" s="177" t="str">
        <f>Attribute!C107</f>
        <v>---</v>
      </c>
      <c r="D107" s="86" t="str">
        <f>VLOOKUP(C107,'Talente &amp; Stuff'!DO:EP,2,FALSE)</f>
        <v>--/--/--</v>
      </c>
      <c r="E107" s="167" t="str">
        <f>VLOOKUP(C107,'Talente &amp; Stuff'!DO:EP,3,FALSE)</f>
        <v>-</v>
      </c>
      <c r="F107" s="120">
        <f>VLOOKUP(C107,'Talente &amp; Stuff'!DO:EP,4,FALSE)</f>
        <v>0</v>
      </c>
      <c r="G107" s="117">
        <f>VLOOKUP(C107,'Talente &amp; Stuff'!DO:EP,5,FALSE)</f>
        <v>0</v>
      </c>
      <c r="H107" s="117">
        <f>VLOOKUP(C107,'Talente &amp; Stuff'!DO:EP,6,FALSE)</f>
        <v>0</v>
      </c>
      <c r="I107" s="117">
        <f>VLOOKUP(C107,'Talente &amp; Stuff'!DO:EP,7,FALSE)</f>
        <v>0</v>
      </c>
      <c r="J107" s="117">
        <f>VLOOKUP(C107,'Talente &amp; Stuff'!DO:EP,8,FALSE)</f>
        <v>0</v>
      </c>
      <c r="K107" s="117">
        <f>VLOOKUP(C107,'Talente &amp; Stuff'!DO:EP,9,FALSE)</f>
        <v>0</v>
      </c>
      <c r="L107" s="117">
        <f>VLOOKUP(C107,'Talente &amp; Stuff'!DO:EP,10,FALSE)</f>
        <v>0</v>
      </c>
      <c r="M107" s="121">
        <f>VLOOKUP(C107,'Talente &amp; Stuff'!DO:EP,11,FALSE)</f>
        <v>0</v>
      </c>
      <c r="N107" s="47">
        <f>VLOOKUP(C107,'Talente &amp; Stuff'!DO:EP,12,FALSE)</f>
        <v>0</v>
      </c>
      <c r="O107" s="3">
        <f>VLOOKUP(C107,'Talente &amp; Stuff'!DO:EP,13,FALSE)</f>
        <v>0</v>
      </c>
      <c r="P107" s="174">
        <f>VLOOKUP(C107,'Talente &amp; Stuff'!DO:EP,14,FALSE)</f>
        <v>0</v>
      </c>
      <c r="Q107" s="114">
        <f>VLOOKUP(C107,'Talente &amp; Stuff'!DO:EP,15,FALSE)</f>
        <v>0</v>
      </c>
      <c r="R107" s="117">
        <f>VLOOKUP(C107,'Talente &amp; Stuff'!DO:EP,16,FALSE)</f>
        <v>0</v>
      </c>
      <c r="S107" s="119">
        <f>VLOOKUP(C107,'Talente &amp; Stuff'!DO:EP,17,FALSE)</f>
        <v>0</v>
      </c>
      <c r="T107" s="119">
        <f>VLOOKUP(C107,'Talente &amp; Stuff'!DO:EP,18,FALSE)</f>
        <v>0</v>
      </c>
      <c r="U107" s="89">
        <f>VLOOKUP(C107,'Talente &amp; Stuff'!DO:EP,19,FALSE)</f>
        <v>0</v>
      </c>
      <c r="V107" s="47">
        <f>VLOOKUP(C107,'Talente &amp; Stuff'!DO:EP,20,FALSE)</f>
        <v>0</v>
      </c>
      <c r="W107" s="127">
        <f>VLOOKUP(C107,'Talente &amp; Stuff'!DO:EP,21,FALSE)</f>
        <v>0</v>
      </c>
      <c r="X107" s="127">
        <f>VLOOKUP(C107,'Talente &amp; Stuff'!DO:EP,22,FALSE)</f>
        <v>0</v>
      </c>
      <c r="Y107" s="165">
        <f t="shared" si="12"/>
        <v>0</v>
      </c>
      <c r="Z107" s="44">
        <f t="shared" si="13"/>
        <v>0</v>
      </c>
      <c r="AA107" s="125">
        <f>VLOOKUP(C107,'Talente &amp; Stuff'!DO:EP,25,FALSE)</f>
        <v>0</v>
      </c>
      <c r="AB107" s="160">
        <f>VLOOKUP(C107,'Talente &amp; Stuff'!DO:EP,26,FALSE)</f>
        <v>0</v>
      </c>
      <c r="AC107" s="127">
        <f>VLOOKUP(C107,'Talente &amp; Stuff'!DO:EP,27,FALSE)</f>
        <v>0</v>
      </c>
      <c r="AD107" s="125">
        <f>VLOOKUP(C107,'Talente &amp; Stuff'!DO:EP,28,FALSE)</f>
        <v>0</v>
      </c>
      <c r="AE107" s="28"/>
    </row>
    <row r="108" spans="2:31" ht="15" hidden="1" customHeight="1" outlineLevel="2">
      <c r="B108" s="148">
        <v>9</v>
      </c>
      <c r="C108" s="177" t="str">
        <f>Attribute!C108</f>
        <v>---</v>
      </c>
      <c r="D108" s="86" t="str">
        <f>VLOOKUP(C108,'Talente &amp; Stuff'!DO:EP,2,FALSE)</f>
        <v>--/--/--</v>
      </c>
      <c r="E108" s="167" t="str">
        <f>VLOOKUP(C108,'Talente &amp; Stuff'!DO:EP,3,FALSE)</f>
        <v>-</v>
      </c>
      <c r="F108" s="120">
        <f>VLOOKUP(C108,'Talente &amp; Stuff'!DO:EP,4,FALSE)</f>
        <v>0</v>
      </c>
      <c r="G108" s="117">
        <f>VLOOKUP(C108,'Talente &amp; Stuff'!DO:EP,5,FALSE)</f>
        <v>0</v>
      </c>
      <c r="H108" s="117">
        <f>VLOOKUP(C108,'Talente &amp; Stuff'!DO:EP,6,FALSE)</f>
        <v>0</v>
      </c>
      <c r="I108" s="117">
        <f>VLOOKUP(C108,'Talente &amp; Stuff'!DO:EP,7,FALSE)</f>
        <v>0</v>
      </c>
      <c r="J108" s="117">
        <f>VLOOKUP(C108,'Talente &amp; Stuff'!DO:EP,8,FALSE)</f>
        <v>0</v>
      </c>
      <c r="K108" s="117">
        <f>VLOOKUP(C108,'Talente &amp; Stuff'!DO:EP,9,FALSE)</f>
        <v>0</v>
      </c>
      <c r="L108" s="117">
        <f>VLOOKUP(C108,'Talente &amp; Stuff'!DO:EP,10,FALSE)</f>
        <v>0</v>
      </c>
      <c r="M108" s="121">
        <f>VLOOKUP(C108,'Talente &amp; Stuff'!DO:EP,11,FALSE)</f>
        <v>0</v>
      </c>
      <c r="N108" s="47">
        <f>VLOOKUP(C108,'Talente &amp; Stuff'!DO:EP,12,FALSE)</f>
        <v>0</v>
      </c>
      <c r="O108" s="3">
        <f>VLOOKUP(C108,'Talente &amp; Stuff'!DO:EP,13,FALSE)</f>
        <v>0</v>
      </c>
      <c r="P108" s="174">
        <f>VLOOKUP(C108,'Talente &amp; Stuff'!DO:EP,14,FALSE)</f>
        <v>0</v>
      </c>
      <c r="Q108" s="114">
        <f>VLOOKUP(C108,'Talente &amp; Stuff'!DO:EP,15,FALSE)</f>
        <v>0</v>
      </c>
      <c r="R108" s="117">
        <f>VLOOKUP(C108,'Talente &amp; Stuff'!DO:EP,16,FALSE)</f>
        <v>0</v>
      </c>
      <c r="S108" s="119">
        <f>VLOOKUP(C108,'Talente &amp; Stuff'!DO:EP,17,FALSE)</f>
        <v>0</v>
      </c>
      <c r="T108" s="119">
        <f>VLOOKUP(C108,'Talente &amp; Stuff'!DO:EP,18,FALSE)</f>
        <v>0</v>
      </c>
      <c r="U108" s="89">
        <f>VLOOKUP(C108,'Talente &amp; Stuff'!DO:EP,19,FALSE)</f>
        <v>0</v>
      </c>
      <c r="V108" s="47">
        <f>VLOOKUP(C108,'Talente &amp; Stuff'!DO:EP,20,FALSE)</f>
        <v>0</v>
      </c>
      <c r="W108" s="127">
        <f>VLOOKUP(C108,'Talente &amp; Stuff'!DO:EP,21,FALSE)</f>
        <v>0</v>
      </c>
      <c r="X108" s="127">
        <f>VLOOKUP(C108,'Talente &amp; Stuff'!DO:EP,22,FALSE)</f>
        <v>0</v>
      </c>
      <c r="Y108" s="165">
        <f t="shared" si="12"/>
        <v>0</v>
      </c>
      <c r="Z108" s="44">
        <f t="shared" si="13"/>
        <v>0</v>
      </c>
      <c r="AA108" s="125">
        <f>VLOOKUP(C108,'Talente &amp; Stuff'!DO:EP,25,FALSE)</f>
        <v>0</v>
      </c>
      <c r="AB108" s="160">
        <f>VLOOKUP(C108,'Talente &amp; Stuff'!DO:EP,26,FALSE)</f>
        <v>0</v>
      </c>
      <c r="AC108" s="127">
        <f>VLOOKUP(C108,'Talente &amp; Stuff'!DO:EP,27,FALSE)</f>
        <v>0</v>
      </c>
      <c r="AD108" s="125">
        <f>VLOOKUP(C108,'Talente &amp; Stuff'!DO:EP,28,FALSE)</f>
        <v>0</v>
      </c>
      <c r="AE108" s="28"/>
    </row>
    <row r="109" spans="2:31" ht="15" hidden="1" customHeight="1" outlineLevel="2">
      <c r="B109" s="148">
        <v>10</v>
      </c>
      <c r="C109" s="177" t="str">
        <f>Attribute!C109</f>
        <v>---</v>
      </c>
      <c r="D109" s="86" t="str">
        <f>VLOOKUP(C109,'Talente &amp; Stuff'!DO:EP,2,FALSE)</f>
        <v>--/--/--</v>
      </c>
      <c r="E109" s="167" t="str">
        <f>VLOOKUP(C109,'Talente &amp; Stuff'!DO:EP,3,FALSE)</f>
        <v>-</v>
      </c>
      <c r="F109" s="120">
        <f>VLOOKUP(C109,'Talente &amp; Stuff'!DO:EP,4,FALSE)</f>
        <v>0</v>
      </c>
      <c r="G109" s="117">
        <f>VLOOKUP(C109,'Talente &amp; Stuff'!DO:EP,5,FALSE)</f>
        <v>0</v>
      </c>
      <c r="H109" s="117">
        <f>VLOOKUP(C109,'Talente &amp; Stuff'!DO:EP,6,FALSE)</f>
        <v>0</v>
      </c>
      <c r="I109" s="117">
        <f>VLOOKUP(C109,'Talente &amp; Stuff'!DO:EP,7,FALSE)</f>
        <v>0</v>
      </c>
      <c r="J109" s="117">
        <f>VLOOKUP(C109,'Talente &amp; Stuff'!DO:EP,8,FALSE)</f>
        <v>0</v>
      </c>
      <c r="K109" s="117">
        <f>VLOOKUP(C109,'Talente &amp; Stuff'!DO:EP,9,FALSE)</f>
        <v>0</v>
      </c>
      <c r="L109" s="117">
        <f>VLOOKUP(C109,'Talente &amp; Stuff'!DO:EP,10,FALSE)</f>
        <v>0</v>
      </c>
      <c r="M109" s="121">
        <f>VLOOKUP(C109,'Talente &amp; Stuff'!DO:EP,11,FALSE)</f>
        <v>0</v>
      </c>
      <c r="N109" s="47">
        <f>VLOOKUP(C109,'Talente &amp; Stuff'!DO:EP,12,FALSE)</f>
        <v>0</v>
      </c>
      <c r="O109" s="3">
        <f>VLOOKUP(C109,'Talente &amp; Stuff'!DO:EP,13,FALSE)</f>
        <v>0</v>
      </c>
      <c r="P109" s="174">
        <f>VLOOKUP(C109,'Talente &amp; Stuff'!DO:EP,14,FALSE)</f>
        <v>0</v>
      </c>
      <c r="Q109" s="114">
        <f>VLOOKUP(C109,'Talente &amp; Stuff'!DO:EP,15,FALSE)</f>
        <v>0</v>
      </c>
      <c r="R109" s="117">
        <f>VLOOKUP(C109,'Talente &amp; Stuff'!DO:EP,16,FALSE)</f>
        <v>0</v>
      </c>
      <c r="S109" s="119">
        <f>VLOOKUP(C109,'Talente &amp; Stuff'!DO:EP,17,FALSE)</f>
        <v>0</v>
      </c>
      <c r="T109" s="119">
        <f>VLOOKUP(C109,'Talente &amp; Stuff'!DO:EP,18,FALSE)</f>
        <v>0</v>
      </c>
      <c r="U109" s="89">
        <f>VLOOKUP(C109,'Talente &amp; Stuff'!DO:EP,19,FALSE)</f>
        <v>0</v>
      </c>
      <c r="V109" s="47">
        <f>VLOOKUP(C109,'Talente &amp; Stuff'!DO:EP,20,FALSE)</f>
        <v>0</v>
      </c>
      <c r="W109" s="127">
        <f>VLOOKUP(C109,'Talente &amp; Stuff'!DO:EP,21,FALSE)</f>
        <v>0</v>
      </c>
      <c r="X109" s="127">
        <f>VLOOKUP(C109,'Talente &amp; Stuff'!DO:EP,22,FALSE)</f>
        <v>0</v>
      </c>
      <c r="Y109" s="165">
        <f t="shared" si="12"/>
        <v>0</v>
      </c>
      <c r="Z109" s="44">
        <f t="shared" si="13"/>
        <v>0</v>
      </c>
      <c r="AA109" s="125">
        <f>VLOOKUP(C109,'Talente &amp; Stuff'!DO:EP,25,FALSE)</f>
        <v>0</v>
      </c>
      <c r="AB109" s="160">
        <f>VLOOKUP(C109,'Talente &amp; Stuff'!DO:EP,26,FALSE)</f>
        <v>0</v>
      </c>
      <c r="AC109" s="127">
        <f>VLOOKUP(C109,'Talente &amp; Stuff'!DO:EP,27,FALSE)</f>
        <v>0</v>
      </c>
      <c r="AD109" s="125">
        <f>VLOOKUP(C109,'Talente &amp; Stuff'!DO:EP,28,FALSE)</f>
        <v>0</v>
      </c>
      <c r="AE109" s="28"/>
    </row>
    <row r="110" spans="2:31" ht="15" hidden="1" customHeight="1" outlineLevel="2">
      <c r="B110" s="148">
        <v>11</v>
      </c>
      <c r="C110" s="177" t="str">
        <f>Attribute!C110</f>
        <v>---</v>
      </c>
      <c r="D110" s="86" t="str">
        <f>VLOOKUP(C110,'Talente &amp; Stuff'!DO:EP,2,FALSE)</f>
        <v>--/--/--</v>
      </c>
      <c r="E110" s="167" t="str">
        <f>VLOOKUP(C110,'Talente &amp; Stuff'!DO:EP,3,FALSE)</f>
        <v>-</v>
      </c>
      <c r="F110" s="120">
        <f>VLOOKUP(C110,'Talente &amp; Stuff'!DO:EP,4,FALSE)</f>
        <v>0</v>
      </c>
      <c r="G110" s="117">
        <f>VLOOKUP(C110,'Talente &amp; Stuff'!DO:EP,5,FALSE)</f>
        <v>0</v>
      </c>
      <c r="H110" s="117">
        <f>VLOOKUP(C110,'Talente &amp; Stuff'!DO:EP,6,FALSE)</f>
        <v>0</v>
      </c>
      <c r="I110" s="117">
        <f>VLOOKUP(C110,'Talente &amp; Stuff'!DO:EP,7,FALSE)</f>
        <v>0</v>
      </c>
      <c r="J110" s="117">
        <f>VLOOKUP(C110,'Talente &amp; Stuff'!DO:EP,8,FALSE)</f>
        <v>0</v>
      </c>
      <c r="K110" s="117">
        <f>VLOOKUP(C110,'Talente &amp; Stuff'!DO:EP,9,FALSE)</f>
        <v>0</v>
      </c>
      <c r="L110" s="117">
        <f>VLOOKUP(C110,'Talente &amp; Stuff'!DO:EP,10,FALSE)</f>
        <v>0</v>
      </c>
      <c r="M110" s="121">
        <f>VLOOKUP(C110,'Talente &amp; Stuff'!DO:EP,11,FALSE)</f>
        <v>0</v>
      </c>
      <c r="N110" s="47">
        <f>VLOOKUP(C110,'Talente &amp; Stuff'!DO:EP,12,FALSE)</f>
        <v>0</v>
      </c>
      <c r="O110" s="3">
        <f>VLOOKUP(C110,'Talente &amp; Stuff'!DO:EP,13,FALSE)</f>
        <v>0</v>
      </c>
      <c r="P110" s="174">
        <f>VLOOKUP(C110,'Talente &amp; Stuff'!DO:EP,14,FALSE)</f>
        <v>0</v>
      </c>
      <c r="Q110" s="114">
        <f>VLOOKUP(C110,'Talente &amp; Stuff'!DO:EP,15,FALSE)</f>
        <v>0</v>
      </c>
      <c r="R110" s="117">
        <f>VLOOKUP(C110,'Talente &amp; Stuff'!DO:EP,16,FALSE)</f>
        <v>0</v>
      </c>
      <c r="S110" s="119">
        <f>VLOOKUP(C110,'Talente &amp; Stuff'!DO:EP,17,FALSE)</f>
        <v>0</v>
      </c>
      <c r="T110" s="119">
        <f>VLOOKUP(C110,'Talente &amp; Stuff'!DO:EP,18,FALSE)</f>
        <v>0</v>
      </c>
      <c r="U110" s="89">
        <f>VLOOKUP(C110,'Talente &amp; Stuff'!DO:EP,19,FALSE)</f>
        <v>0</v>
      </c>
      <c r="V110" s="47">
        <f>VLOOKUP(C110,'Talente &amp; Stuff'!DO:EP,20,FALSE)</f>
        <v>0</v>
      </c>
      <c r="W110" s="127">
        <f>VLOOKUP(C110,'Talente &amp; Stuff'!DO:EP,21,FALSE)</f>
        <v>0</v>
      </c>
      <c r="X110" s="127">
        <f>VLOOKUP(C110,'Talente &amp; Stuff'!DO:EP,22,FALSE)</f>
        <v>0</v>
      </c>
      <c r="Y110" s="165">
        <f t="shared" si="12"/>
        <v>0</v>
      </c>
      <c r="Z110" s="44">
        <f t="shared" si="13"/>
        <v>0</v>
      </c>
      <c r="AA110" s="125">
        <f>VLOOKUP(C110,'Talente &amp; Stuff'!DO:EP,25,FALSE)</f>
        <v>0</v>
      </c>
      <c r="AB110" s="160">
        <f>VLOOKUP(C110,'Talente &amp; Stuff'!DO:EP,26,FALSE)</f>
        <v>0</v>
      </c>
      <c r="AC110" s="127">
        <f>VLOOKUP(C110,'Talente &amp; Stuff'!DO:EP,27,FALSE)</f>
        <v>0</v>
      </c>
      <c r="AD110" s="125">
        <f>VLOOKUP(C110,'Talente &amp; Stuff'!DO:EP,28,FALSE)</f>
        <v>0</v>
      </c>
      <c r="AE110" s="28"/>
    </row>
    <row r="111" spans="2:31" ht="15" hidden="1" customHeight="1" outlineLevel="2">
      <c r="B111" s="148">
        <v>12</v>
      </c>
      <c r="C111" s="177" t="str">
        <f>Attribute!C111</f>
        <v>---</v>
      </c>
      <c r="D111" s="86" t="str">
        <f>VLOOKUP(C111,'Talente &amp; Stuff'!DO:EP,2,FALSE)</f>
        <v>--/--/--</v>
      </c>
      <c r="E111" s="167" t="str">
        <f>VLOOKUP(C111,'Talente &amp; Stuff'!DO:EP,3,FALSE)</f>
        <v>-</v>
      </c>
      <c r="F111" s="120">
        <f>VLOOKUP(C111,'Talente &amp; Stuff'!DO:EP,4,FALSE)</f>
        <v>0</v>
      </c>
      <c r="G111" s="117">
        <f>VLOOKUP(C111,'Talente &amp; Stuff'!DO:EP,5,FALSE)</f>
        <v>0</v>
      </c>
      <c r="H111" s="117">
        <f>VLOOKUP(C111,'Talente &amp; Stuff'!DO:EP,6,FALSE)</f>
        <v>0</v>
      </c>
      <c r="I111" s="117">
        <f>VLOOKUP(C111,'Talente &amp; Stuff'!DO:EP,7,FALSE)</f>
        <v>0</v>
      </c>
      <c r="J111" s="117">
        <f>VLOOKUP(C111,'Talente &amp; Stuff'!DO:EP,8,FALSE)</f>
        <v>0</v>
      </c>
      <c r="K111" s="117">
        <f>VLOOKUP(C111,'Talente &amp; Stuff'!DO:EP,9,FALSE)</f>
        <v>0</v>
      </c>
      <c r="L111" s="117">
        <f>VLOOKUP(C111,'Talente &amp; Stuff'!DO:EP,10,FALSE)</f>
        <v>0</v>
      </c>
      <c r="M111" s="121">
        <f>VLOOKUP(C111,'Talente &amp; Stuff'!DO:EP,11,FALSE)</f>
        <v>0</v>
      </c>
      <c r="N111" s="47">
        <f>VLOOKUP(C111,'Talente &amp; Stuff'!DO:EP,12,FALSE)</f>
        <v>0</v>
      </c>
      <c r="O111" s="3">
        <f>VLOOKUP(C111,'Talente &amp; Stuff'!DO:EP,13,FALSE)</f>
        <v>0</v>
      </c>
      <c r="P111" s="174">
        <f>VLOOKUP(C111,'Talente &amp; Stuff'!DO:EP,14,FALSE)</f>
        <v>0</v>
      </c>
      <c r="Q111" s="114">
        <f>VLOOKUP(C111,'Talente &amp; Stuff'!DO:EP,15,FALSE)</f>
        <v>0</v>
      </c>
      <c r="R111" s="117">
        <f>VLOOKUP(C111,'Talente &amp; Stuff'!DO:EP,16,FALSE)</f>
        <v>0</v>
      </c>
      <c r="S111" s="119">
        <f>VLOOKUP(C111,'Talente &amp; Stuff'!DO:EP,17,FALSE)</f>
        <v>0</v>
      </c>
      <c r="T111" s="119">
        <f>VLOOKUP(C111,'Talente &amp; Stuff'!DO:EP,18,FALSE)</f>
        <v>0</v>
      </c>
      <c r="U111" s="89">
        <f>VLOOKUP(C111,'Talente &amp; Stuff'!DO:EP,19,FALSE)</f>
        <v>0</v>
      </c>
      <c r="V111" s="47">
        <f>VLOOKUP(C111,'Talente &amp; Stuff'!DO:EP,20,FALSE)</f>
        <v>0</v>
      </c>
      <c r="W111" s="127">
        <f>VLOOKUP(C111,'Talente &amp; Stuff'!DO:EP,21,FALSE)</f>
        <v>0</v>
      </c>
      <c r="X111" s="127">
        <f>VLOOKUP(C111,'Talente &amp; Stuff'!DO:EP,22,FALSE)</f>
        <v>0</v>
      </c>
      <c r="Y111" s="165">
        <f t="shared" si="12"/>
        <v>0</v>
      </c>
      <c r="Z111" s="44">
        <f t="shared" si="13"/>
        <v>0</v>
      </c>
      <c r="AA111" s="125">
        <f>VLOOKUP(C111,'Talente &amp; Stuff'!DO:EP,25,FALSE)</f>
        <v>0</v>
      </c>
      <c r="AB111" s="160">
        <f>VLOOKUP(C111,'Talente &amp; Stuff'!DO:EP,26,FALSE)</f>
        <v>0</v>
      </c>
      <c r="AC111" s="127">
        <f>VLOOKUP(C111,'Talente &amp; Stuff'!DO:EP,27,FALSE)</f>
        <v>0</v>
      </c>
      <c r="AD111" s="125">
        <f>VLOOKUP(C111,'Talente &amp; Stuff'!DO:EP,28,FALSE)</f>
        <v>0</v>
      </c>
      <c r="AE111" s="28"/>
    </row>
    <row r="112" spans="2:31" ht="15" hidden="1" customHeight="1" outlineLevel="2">
      <c r="B112" s="148">
        <v>13</v>
      </c>
      <c r="C112" s="177" t="str">
        <f>Attribute!C112</f>
        <v>---</v>
      </c>
      <c r="D112" s="86" t="str">
        <f>VLOOKUP(C112,'Talente &amp; Stuff'!DO:EP,2,FALSE)</f>
        <v>--/--/--</v>
      </c>
      <c r="E112" s="167" t="str">
        <f>VLOOKUP(C112,'Talente &amp; Stuff'!DO:EP,3,FALSE)</f>
        <v>-</v>
      </c>
      <c r="F112" s="120">
        <f>VLOOKUP(C112,'Talente &amp; Stuff'!DO:EP,4,FALSE)</f>
        <v>0</v>
      </c>
      <c r="G112" s="117">
        <f>VLOOKUP(C112,'Talente &amp; Stuff'!DO:EP,5,FALSE)</f>
        <v>0</v>
      </c>
      <c r="H112" s="117">
        <f>VLOOKUP(C112,'Talente &amp; Stuff'!DO:EP,6,FALSE)</f>
        <v>0</v>
      </c>
      <c r="I112" s="117">
        <f>VLOOKUP(C112,'Talente &amp; Stuff'!DO:EP,7,FALSE)</f>
        <v>0</v>
      </c>
      <c r="J112" s="117">
        <f>VLOOKUP(C112,'Talente &amp; Stuff'!DO:EP,8,FALSE)</f>
        <v>0</v>
      </c>
      <c r="K112" s="117">
        <f>VLOOKUP(C112,'Talente &amp; Stuff'!DO:EP,9,FALSE)</f>
        <v>0</v>
      </c>
      <c r="L112" s="117">
        <f>VLOOKUP(C112,'Talente &amp; Stuff'!DO:EP,10,FALSE)</f>
        <v>0</v>
      </c>
      <c r="M112" s="121">
        <f>VLOOKUP(C112,'Talente &amp; Stuff'!DO:EP,11,FALSE)</f>
        <v>0</v>
      </c>
      <c r="N112" s="47">
        <f>VLOOKUP(C112,'Talente &amp; Stuff'!DO:EP,12,FALSE)</f>
        <v>0</v>
      </c>
      <c r="O112" s="3">
        <f>VLOOKUP(C112,'Talente &amp; Stuff'!DO:EP,13,FALSE)</f>
        <v>0</v>
      </c>
      <c r="P112" s="174">
        <f>VLOOKUP(C112,'Talente &amp; Stuff'!DO:EP,14,FALSE)</f>
        <v>0</v>
      </c>
      <c r="Q112" s="114">
        <f>VLOOKUP(C112,'Talente &amp; Stuff'!DO:EP,15,FALSE)</f>
        <v>0</v>
      </c>
      <c r="R112" s="117">
        <f>VLOOKUP(C112,'Talente &amp; Stuff'!DO:EP,16,FALSE)</f>
        <v>0</v>
      </c>
      <c r="S112" s="119">
        <f>VLOOKUP(C112,'Talente &amp; Stuff'!DO:EP,17,FALSE)</f>
        <v>0</v>
      </c>
      <c r="T112" s="119">
        <f>VLOOKUP(C112,'Talente &amp; Stuff'!DO:EP,18,FALSE)</f>
        <v>0</v>
      </c>
      <c r="U112" s="89">
        <f>VLOOKUP(C112,'Talente &amp; Stuff'!DO:EP,19,FALSE)</f>
        <v>0</v>
      </c>
      <c r="V112" s="47">
        <f>VLOOKUP(C112,'Talente &amp; Stuff'!DO:EP,20,FALSE)</f>
        <v>0</v>
      </c>
      <c r="W112" s="127">
        <f>VLOOKUP(C112,'Talente &amp; Stuff'!DO:EP,21,FALSE)</f>
        <v>0</v>
      </c>
      <c r="X112" s="127">
        <f>VLOOKUP(C112,'Talente &amp; Stuff'!DO:EP,22,FALSE)</f>
        <v>0</v>
      </c>
      <c r="Y112" s="165">
        <f t="shared" si="12"/>
        <v>0</v>
      </c>
      <c r="Z112" s="44">
        <f t="shared" si="13"/>
        <v>0</v>
      </c>
      <c r="AA112" s="125">
        <f>VLOOKUP(C112,'Talente &amp; Stuff'!DO:EP,25,FALSE)</f>
        <v>0</v>
      </c>
      <c r="AB112" s="160">
        <f>VLOOKUP(C112,'Talente &amp; Stuff'!DO:EP,26,FALSE)</f>
        <v>0</v>
      </c>
      <c r="AC112" s="127">
        <f>VLOOKUP(C112,'Talente &amp; Stuff'!DO:EP,27,FALSE)</f>
        <v>0</v>
      </c>
      <c r="AD112" s="125">
        <f>VLOOKUP(C112,'Talente &amp; Stuff'!DO:EP,28,FALSE)</f>
        <v>0</v>
      </c>
      <c r="AE112" s="28"/>
    </row>
    <row r="113" spans="2:31" ht="15" hidden="1" customHeight="1" outlineLevel="2">
      <c r="B113" s="148">
        <v>14</v>
      </c>
      <c r="C113" s="177" t="str">
        <f>Attribute!C113</f>
        <v>---</v>
      </c>
      <c r="D113" s="86" t="str">
        <f>VLOOKUP(C113,'Talente &amp; Stuff'!DO:EP,2,FALSE)</f>
        <v>--/--/--</v>
      </c>
      <c r="E113" s="167" t="str">
        <f>VLOOKUP(C113,'Talente &amp; Stuff'!DO:EP,3,FALSE)</f>
        <v>-</v>
      </c>
      <c r="F113" s="120">
        <f>VLOOKUP(C113,'Talente &amp; Stuff'!DO:EP,4,FALSE)</f>
        <v>0</v>
      </c>
      <c r="G113" s="117">
        <f>VLOOKUP(C113,'Talente &amp; Stuff'!DO:EP,5,FALSE)</f>
        <v>0</v>
      </c>
      <c r="H113" s="117">
        <f>VLOOKUP(C113,'Talente &amp; Stuff'!DO:EP,6,FALSE)</f>
        <v>0</v>
      </c>
      <c r="I113" s="117">
        <f>VLOOKUP(C113,'Talente &amp; Stuff'!DO:EP,7,FALSE)</f>
        <v>0</v>
      </c>
      <c r="J113" s="117">
        <f>VLOOKUP(C113,'Talente &amp; Stuff'!DO:EP,8,FALSE)</f>
        <v>0</v>
      </c>
      <c r="K113" s="117">
        <f>VLOOKUP(C113,'Talente &amp; Stuff'!DO:EP,9,FALSE)</f>
        <v>0</v>
      </c>
      <c r="L113" s="117">
        <f>VLOOKUP(C113,'Talente &amp; Stuff'!DO:EP,10,FALSE)</f>
        <v>0</v>
      </c>
      <c r="M113" s="121">
        <f>VLOOKUP(C113,'Talente &amp; Stuff'!DO:EP,11,FALSE)</f>
        <v>0</v>
      </c>
      <c r="N113" s="47">
        <f>VLOOKUP(C113,'Talente &amp; Stuff'!DO:EP,12,FALSE)</f>
        <v>0</v>
      </c>
      <c r="O113" s="3">
        <f>VLOOKUP(C113,'Talente &amp; Stuff'!DO:EP,13,FALSE)</f>
        <v>0</v>
      </c>
      <c r="P113" s="174">
        <f>VLOOKUP(C113,'Talente &amp; Stuff'!DO:EP,14,FALSE)</f>
        <v>0</v>
      </c>
      <c r="Q113" s="114">
        <f>VLOOKUP(C113,'Talente &amp; Stuff'!DO:EP,15,FALSE)</f>
        <v>0</v>
      </c>
      <c r="R113" s="117">
        <f>VLOOKUP(C113,'Talente &amp; Stuff'!DO:EP,16,FALSE)</f>
        <v>0</v>
      </c>
      <c r="S113" s="119">
        <f>VLOOKUP(C113,'Talente &amp; Stuff'!DO:EP,17,FALSE)</f>
        <v>0</v>
      </c>
      <c r="T113" s="119">
        <f>VLOOKUP(C113,'Talente &amp; Stuff'!DO:EP,18,FALSE)</f>
        <v>0</v>
      </c>
      <c r="U113" s="89">
        <f>VLOOKUP(C113,'Talente &amp; Stuff'!DO:EP,19,FALSE)</f>
        <v>0</v>
      </c>
      <c r="V113" s="47">
        <f>VLOOKUP(C113,'Talente &amp; Stuff'!DO:EP,20,FALSE)</f>
        <v>0</v>
      </c>
      <c r="W113" s="127">
        <f>VLOOKUP(C113,'Talente &amp; Stuff'!DO:EP,21,FALSE)</f>
        <v>0</v>
      </c>
      <c r="X113" s="127">
        <f>VLOOKUP(C113,'Talente &amp; Stuff'!DO:EP,22,FALSE)</f>
        <v>0</v>
      </c>
      <c r="Y113" s="165">
        <f t="shared" si="12"/>
        <v>0</v>
      </c>
      <c r="Z113" s="44">
        <f t="shared" si="13"/>
        <v>0</v>
      </c>
      <c r="AA113" s="125">
        <f>VLOOKUP(C113,'Talente &amp; Stuff'!DO:EP,25,FALSE)</f>
        <v>0</v>
      </c>
      <c r="AB113" s="160">
        <f>VLOOKUP(C113,'Talente &amp; Stuff'!DO:EP,26,FALSE)</f>
        <v>0</v>
      </c>
      <c r="AC113" s="127">
        <f>VLOOKUP(C113,'Talente &amp; Stuff'!DO:EP,27,FALSE)</f>
        <v>0</v>
      </c>
      <c r="AD113" s="125">
        <f>VLOOKUP(C113,'Talente &amp; Stuff'!DO:EP,28,FALSE)</f>
        <v>0</v>
      </c>
      <c r="AE113" s="28"/>
    </row>
    <row r="114" spans="2:31" ht="15" hidden="1" customHeight="1" outlineLevel="2">
      <c r="B114" s="148">
        <v>15</v>
      </c>
      <c r="C114" s="177" t="str">
        <f>Attribute!C114</f>
        <v>---</v>
      </c>
      <c r="D114" s="86" t="str">
        <f>VLOOKUP(C114,'Talente &amp; Stuff'!DO:EP,2,FALSE)</f>
        <v>--/--/--</v>
      </c>
      <c r="E114" s="167" t="str">
        <f>VLOOKUP(C114,'Talente &amp; Stuff'!DO:EP,3,FALSE)</f>
        <v>-</v>
      </c>
      <c r="F114" s="120">
        <f>VLOOKUP(C114,'Talente &amp; Stuff'!DO:EP,4,FALSE)</f>
        <v>0</v>
      </c>
      <c r="G114" s="117">
        <f>VLOOKUP(C114,'Talente &amp; Stuff'!DO:EP,5,FALSE)</f>
        <v>0</v>
      </c>
      <c r="H114" s="117">
        <f>VLOOKUP(C114,'Talente &amp; Stuff'!DO:EP,6,FALSE)</f>
        <v>0</v>
      </c>
      <c r="I114" s="117">
        <f>VLOOKUP(C114,'Talente &amp; Stuff'!DO:EP,7,FALSE)</f>
        <v>0</v>
      </c>
      <c r="J114" s="117">
        <f>VLOOKUP(C114,'Talente &amp; Stuff'!DO:EP,8,FALSE)</f>
        <v>0</v>
      </c>
      <c r="K114" s="117">
        <f>VLOOKUP(C114,'Talente &amp; Stuff'!DO:EP,9,FALSE)</f>
        <v>0</v>
      </c>
      <c r="L114" s="117">
        <f>VLOOKUP(C114,'Talente &amp; Stuff'!DO:EP,10,FALSE)</f>
        <v>0</v>
      </c>
      <c r="M114" s="121">
        <f>VLOOKUP(C114,'Talente &amp; Stuff'!DO:EP,11,FALSE)</f>
        <v>0</v>
      </c>
      <c r="N114" s="47">
        <f>VLOOKUP(C114,'Talente &amp; Stuff'!DO:EP,12,FALSE)</f>
        <v>0</v>
      </c>
      <c r="O114" s="3">
        <f>VLOOKUP(C114,'Talente &amp; Stuff'!DO:EP,13,FALSE)</f>
        <v>0</v>
      </c>
      <c r="P114" s="174">
        <f>VLOOKUP(C114,'Talente &amp; Stuff'!DO:EP,14,FALSE)</f>
        <v>0</v>
      </c>
      <c r="Q114" s="114">
        <f>VLOOKUP(C114,'Talente &amp; Stuff'!DO:EP,15,FALSE)</f>
        <v>0</v>
      </c>
      <c r="R114" s="117">
        <f>VLOOKUP(C114,'Talente &amp; Stuff'!DO:EP,16,FALSE)</f>
        <v>0</v>
      </c>
      <c r="S114" s="119">
        <f>VLOOKUP(C114,'Talente &amp; Stuff'!DO:EP,17,FALSE)</f>
        <v>0</v>
      </c>
      <c r="T114" s="119">
        <f>VLOOKUP(C114,'Talente &amp; Stuff'!DO:EP,18,FALSE)</f>
        <v>0</v>
      </c>
      <c r="U114" s="89">
        <f>VLOOKUP(C114,'Talente &amp; Stuff'!DO:EP,19,FALSE)</f>
        <v>0</v>
      </c>
      <c r="V114" s="47">
        <f>VLOOKUP(C114,'Talente &amp; Stuff'!DO:EP,20,FALSE)</f>
        <v>0</v>
      </c>
      <c r="W114" s="127">
        <f>VLOOKUP(C114,'Talente &amp; Stuff'!DO:EP,21,FALSE)</f>
        <v>0</v>
      </c>
      <c r="X114" s="127">
        <f>VLOOKUP(C114,'Talente &amp; Stuff'!DO:EP,22,FALSE)</f>
        <v>0</v>
      </c>
      <c r="Y114" s="165">
        <f t="shared" si="12"/>
        <v>0</v>
      </c>
      <c r="Z114" s="44">
        <f t="shared" si="13"/>
        <v>0</v>
      </c>
      <c r="AA114" s="125">
        <f>VLOOKUP(C114,'Talente &amp; Stuff'!DO:EP,25,FALSE)</f>
        <v>0</v>
      </c>
      <c r="AB114" s="160">
        <f>VLOOKUP(C114,'Talente &amp; Stuff'!DO:EP,26,FALSE)</f>
        <v>0</v>
      </c>
      <c r="AC114" s="127">
        <f>VLOOKUP(C114,'Talente &amp; Stuff'!DO:EP,27,FALSE)</f>
        <v>0</v>
      </c>
      <c r="AD114" s="125">
        <f>VLOOKUP(C114,'Talente &amp; Stuff'!DO:EP,28,FALSE)</f>
        <v>0</v>
      </c>
      <c r="AE114" s="28"/>
    </row>
    <row r="115" spans="2:31" ht="15" hidden="1" customHeight="1" outlineLevel="2">
      <c r="B115" s="148">
        <v>16</v>
      </c>
      <c r="C115" s="177" t="str">
        <f>Attribute!C115</f>
        <v>---</v>
      </c>
      <c r="D115" s="86" t="str">
        <f>VLOOKUP(C115,'Talente &amp; Stuff'!DO:EP,2,FALSE)</f>
        <v>--/--/--</v>
      </c>
      <c r="E115" s="167" t="str">
        <f>VLOOKUP(C115,'Talente &amp; Stuff'!DO:EP,3,FALSE)</f>
        <v>-</v>
      </c>
      <c r="F115" s="120">
        <f>VLOOKUP(C115,'Talente &amp; Stuff'!DO:EP,4,FALSE)</f>
        <v>0</v>
      </c>
      <c r="G115" s="117">
        <f>VLOOKUP(C115,'Talente &amp; Stuff'!DO:EP,5,FALSE)</f>
        <v>0</v>
      </c>
      <c r="H115" s="117">
        <f>VLOOKUP(C115,'Talente &amp; Stuff'!DO:EP,6,FALSE)</f>
        <v>0</v>
      </c>
      <c r="I115" s="117">
        <f>VLOOKUP(C115,'Talente &amp; Stuff'!DO:EP,7,FALSE)</f>
        <v>0</v>
      </c>
      <c r="J115" s="117">
        <f>VLOOKUP(C115,'Talente &amp; Stuff'!DO:EP,8,FALSE)</f>
        <v>0</v>
      </c>
      <c r="K115" s="117">
        <f>VLOOKUP(C115,'Talente &amp; Stuff'!DO:EP,9,FALSE)</f>
        <v>0</v>
      </c>
      <c r="L115" s="117">
        <f>VLOOKUP(C115,'Talente &amp; Stuff'!DO:EP,10,FALSE)</f>
        <v>0</v>
      </c>
      <c r="M115" s="121">
        <f>VLOOKUP(C115,'Talente &amp; Stuff'!DO:EP,11,FALSE)</f>
        <v>0</v>
      </c>
      <c r="N115" s="47">
        <f>VLOOKUP(C115,'Talente &amp; Stuff'!DO:EP,12,FALSE)</f>
        <v>0</v>
      </c>
      <c r="O115" s="3">
        <f>VLOOKUP(C115,'Talente &amp; Stuff'!DO:EP,13,FALSE)</f>
        <v>0</v>
      </c>
      <c r="P115" s="174">
        <f>VLOOKUP(C115,'Talente &amp; Stuff'!DO:EP,14,FALSE)</f>
        <v>0</v>
      </c>
      <c r="Q115" s="114">
        <f>VLOOKUP(C115,'Talente &amp; Stuff'!DO:EP,15,FALSE)</f>
        <v>0</v>
      </c>
      <c r="R115" s="117">
        <f>VLOOKUP(C115,'Talente &amp; Stuff'!DO:EP,16,FALSE)</f>
        <v>0</v>
      </c>
      <c r="S115" s="119">
        <f>VLOOKUP(C115,'Talente &amp; Stuff'!DO:EP,17,FALSE)</f>
        <v>0</v>
      </c>
      <c r="T115" s="119">
        <f>VLOOKUP(C115,'Talente &amp; Stuff'!DO:EP,18,FALSE)</f>
        <v>0</v>
      </c>
      <c r="U115" s="89">
        <f>VLOOKUP(C115,'Talente &amp; Stuff'!DO:EP,19,FALSE)</f>
        <v>0</v>
      </c>
      <c r="V115" s="47">
        <f>VLOOKUP(C115,'Talente &amp; Stuff'!DO:EP,20,FALSE)</f>
        <v>0</v>
      </c>
      <c r="W115" s="127">
        <f>VLOOKUP(C115,'Talente &amp; Stuff'!DO:EP,21,FALSE)</f>
        <v>0</v>
      </c>
      <c r="X115" s="127">
        <f>VLOOKUP(C115,'Talente &amp; Stuff'!DO:EP,22,FALSE)</f>
        <v>0</v>
      </c>
      <c r="Y115" s="165">
        <f t="shared" si="12"/>
        <v>0</v>
      </c>
      <c r="Z115" s="44">
        <f t="shared" si="13"/>
        <v>0</v>
      </c>
      <c r="AA115" s="125">
        <f>VLOOKUP(C115,'Talente &amp; Stuff'!DO:EP,25,FALSE)</f>
        <v>0</v>
      </c>
      <c r="AB115" s="160">
        <f>VLOOKUP(C115,'Talente &amp; Stuff'!DO:EP,26,FALSE)</f>
        <v>0</v>
      </c>
      <c r="AC115" s="127">
        <f>VLOOKUP(C115,'Talente &amp; Stuff'!DO:EP,27,FALSE)</f>
        <v>0</v>
      </c>
      <c r="AD115" s="125">
        <f>VLOOKUP(C115,'Talente &amp; Stuff'!DO:EP,28,FALSE)</f>
        <v>0</v>
      </c>
      <c r="AE115" s="28"/>
    </row>
    <row r="116" spans="2:31" ht="15" hidden="1" customHeight="1" outlineLevel="2">
      <c r="B116" s="148">
        <v>17</v>
      </c>
      <c r="C116" s="177" t="str">
        <f>Attribute!C116</f>
        <v>---</v>
      </c>
      <c r="D116" s="86" t="str">
        <f>VLOOKUP(C116,'Talente &amp; Stuff'!DO:EP,2,FALSE)</f>
        <v>--/--/--</v>
      </c>
      <c r="E116" s="167" t="str">
        <f>VLOOKUP(C116,'Talente &amp; Stuff'!DO:EP,3,FALSE)</f>
        <v>-</v>
      </c>
      <c r="F116" s="120">
        <f>VLOOKUP(C116,'Talente &amp; Stuff'!DO:EP,4,FALSE)</f>
        <v>0</v>
      </c>
      <c r="G116" s="117">
        <f>VLOOKUP(C116,'Talente &amp; Stuff'!DO:EP,5,FALSE)</f>
        <v>0</v>
      </c>
      <c r="H116" s="117">
        <f>VLOOKUP(C116,'Talente &amp; Stuff'!DO:EP,6,FALSE)</f>
        <v>0</v>
      </c>
      <c r="I116" s="117">
        <f>VLOOKUP(C116,'Talente &amp; Stuff'!DO:EP,7,FALSE)</f>
        <v>0</v>
      </c>
      <c r="J116" s="117">
        <f>VLOOKUP(C116,'Talente &amp; Stuff'!DO:EP,8,FALSE)</f>
        <v>0</v>
      </c>
      <c r="K116" s="117">
        <f>VLOOKUP(C116,'Talente &amp; Stuff'!DO:EP,9,FALSE)</f>
        <v>0</v>
      </c>
      <c r="L116" s="117">
        <f>VLOOKUP(C116,'Talente &amp; Stuff'!DO:EP,10,FALSE)</f>
        <v>0</v>
      </c>
      <c r="M116" s="121">
        <f>VLOOKUP(C116,'Talente &amp; Stuff'!DO:EP,11,FALSE)</f>
        <v>0</v>
      </c>
      <c r="N116" s="47">
        <f>VLOOKUP(C116,'Talente &amp; Stuff'!DO:EP,12,FALSE)</f>
        <v>0</v>
      </c>
      <c r="O116" s="3">
        <f>VLOOKUP(C116,'Talente &amp; Stuff'!DO:EP,13,FALSE)</f>
        <v>0</v>
      </c>
      <c r="P116" s="174">
        <f>VLOOKUP(C116,'Talente &amp; Stuff'!DO:EP,14,FALSE)</f>
        <v>0</v>
      </c>
      <c r="Q116" s="114">
        <f>VLOOKUP(C116,'Talente &amp; Stuff'!DO:EP,15,FALSE)</f>
        <v>0</v>
      </c>
      <c r="R116" s="117">
        <f>VLOOKUP(C116,'Talente &amp; Stuff'!DO:EP,16,FALSE)</f>
        <v>0</v>
      </c>
      <c r="S116" s="119">
        <f>VLOOKUP(C116,'Talente &amp; Stuff'!DO:EP,17,FALSE)</f>
        <v>0</v>
      </c>
      <c r="T116" s="119">
        <f>VLOOKUP(C116,'Talente &amp; Stuff'!DO:EP,18,FALSE)</f>
        <v>0</v>
      </c>
      <c r="U116" s="89">
        <f>VLOOKUP(C116,'Talente &amp; Stuff'!DO:EP,19,FALSE)</f>
        <v>0</v>
      </c>
      <c r="V116" s="47">
        <f>VLOOKUP(C116,'Talente &amp; Stuff'!DO:EP,20,FALSE)</f>
        <v>0</v>
      </c>
      <c r="W116" s="127">
        <f>VLOOKUP(C116,'Talente &amp; Stuff'!DO:EP,21,FALSE)</f>
        <v>0</v>
      </c>
      <c r="X116" s="127">
        <f>VLOOKUP(C116,'Talente &amp; Stuff'!DO:EP,22,FALSE)</f>
        <v>0</v>
      </c>
      <c r="Y116" s="165">
        <f t="shared" si="12"/>
        <v>0</v>
      </c>
      <c r="Z116" s="44">
        <f t="shared" si="13"/>
        <v>0</v>
      </c>
      <c r="AA116" s="125">
        <f>VLOOKUP(C116,'Talente &amp; Stuff'!DO:EP,25,FALSE)</f>
        <v>0</v>
      </c>
      <c r="AB116" s="160">
        <f>VLOOKUP(C116,'Talente &amp; Stuff'!DO:EP,26,FALSE)</f>
        <v>0</v>
      </c>
      <c r="AC116" s="127">
        <f>VLOOKUP(C116,'Talente &amp; Stuff'!DO:EP,27,FALSE)</f>
        <v>0</v>
      </c>
      <c r="AD116" s="125">
        <f>VLOOKUP(C116,'Talente &amp; Stuff'!DO:EP,28,FALSE)</f>
        <v>0</v>
      </c>
      <c r="AE116" s="28"/>
    </row>
    <row r="117" spans="2:31" ht="15" hidden="1" customHeight="1" outlineLevel="2">
      <c r="B117" s="148">
        <v>18</v>
      </c>
      <c r="C117" s="177" t="str">
        <f>Attribute!C117</f>
        <v>---</v>
      </c>
      <c r="D117" s="86" t="str">
        <f>VLOOKUP(C117,'Talente &amp; Stuff'!DO:EP,2,FALSE)</f>
        <v>--/--/--</v>
      </c>
      <c r="E117" s="167" t="str">
        <f>VLOOKUP(C117,'Talente &amp; Stuff'!DO:EP,3,FALSE)</f>
        <v>-</v>
      </c>
      <c r="F117" s="120">
        <f>VLOOKUP(C117,'Talente &amp; Stuff'!DO:EP,4,FALSE)</f>
        <v>0</v>
      </c>
      <c r="G117" s="117">
        <f>VLOOKUP(C117,'Talente &amp; Stuff'!DO:EP,5,FALSE)</f>
        <v>0</v>
      </c>
      <c r="H117" s="117">
        <f>VLOOKUP(C117,'Talente &amp; Stuff'!DO:EP,6,FALSE)</f>
        <v>0</v>
      </c>
      <c r="I117" s="117">
        <f>VLOOKUP(C117,'Talente &amp; Stuff'!DO:EP,7,FALSE)</f>
        <v>0</v>
      </c>
      <c r="J117" s="117">
        <f>VLOOKUP(C117,'Talente &amp; Stuff'!DO:EP,8,FALSE)</f>
        <v>0</v>
      </c>
      <c r="K117" s="117">
        <f>VLOOKUP(C117,'Talente &amp; Stuff'!DO:EP,9,FALSE)</f>
        <v>0</v>
      </c>
      <c r="L117" s="117">
        <f>VLOOKUP(C117,'Talente &amp; Stuff'!DO:EP,10,FALSE)</f>
        <v>0</v>
      </c>
      <c r="M117" s="121">
        <f>VLOOKUP(C117,'Talente &amp; Stuff'!DO:EP,11,FALSE)</f>
        <v>0</v>
      </c>
      <c r="N117" s="47">
        <f>VLOOKUP(C117,'Talente &amp; Stuff'!DO:EP,12,FALSE)</f>
        <v>0</v>
      </c>
      <c r="O117" s="3">
        <f>VLOOKUP(C117,'Talente &amp; Stuff'!DO:EP,13,FALSE)</f>
        <v>0</v>
      </c>
      <c r="P117" s="174">
        <f>VLOOKUP(C117,'Talente &amp; Stuff'!DO:EP,14,FALSE)</f>
        <v>0</v>
      </c>
      <c r="Q117" s="114">
        <f>VLOOKUP(C117,'Talente &amp; Stuff'!DO:EP,15,FALSE)</f>
        <v>0</v>
      </c>
      <c r="R117" s="117">
        <f>VLOOKUP(C117,'Talente &amp; Stuff'!DO:EP,16,FALSE)</f>
        <v>0</v>
      </c>
      <c r="S117" s="119">
        <f>VLOOKUP(C117,'Talente &amp; Stuff'!DO:EP,17,FALSE)</f>
        <v>0</v>
      </c>
      <c r="T117" s="119">
        <f>VLOOKUP(C117,'Talente &amp; Stuff'!DO:EP,18,FALSE)</f>
        <v>0</v>
      </c>
      <c r="U117" s="89">
        <f>VLOOKUP(C117,'Talente &amp; Stuff'!DO:EP,19,FALSE)</f>
        <v>0</v>
      </c>
      <c r="V117" s="47">
        <f>VLOOKUP(C117,'Talente &amp; Stuff'!DO:EP,20,FALSE)</f>
        <v>0</v>
      </c>
      <c r="W117" s="127">
        <f>VLOOKUP(C117,'Talente &amp; Stuff'!DO:EP,21,FALSE)</f>
        <v>0</v>
      </c>
      <c r="X117" s="127">
        <f>VLOOKUP(C117,'Talente &amp; Stuff'!DO:EP,22,FALSE)</f>
        <v>0</v>
      </c>
      <c r="Y117" s="165">
        <f t="shared" si="12"/>
        <v>0</v>
      </c>
      <c r="Z117" s="44">
        <f t="shared" si="13"/>
        <v>0</v>
      </c>
      <c r="AA117" s="125">
        <f>VLOOKUP(C117,'Talente &amp; Stuff'!DO:EP,25,FALSE)</f>
        <v>0</v>
      </c>
      <c r="AB117" s="160">
        <f>VLOOKUP(C117,'Talente &amp; Stuff'!DO:EP,26,FALSE)</f>
        <v>0</v>
      </c>
      <c r="AC117" s="127">
        <f>VLOOKUP(C117,'Talente &amp; Stuff'!DO:EP,27,FALSE)</f>
        <v>0</v>
      </c>
      <c r="AD117" s="125">
        <f>VLOOKUP(C117,'Talente &amp; Stuff'!DO:EP,28,FALSE)</f>
        <v>0</v>
      </c>
      <c r="AE117" s="28"/>
    </row>
    <row r="118" spans="2:31" ht="15" hidden="1" customHeight="1" outlineLevel="2">
      <c r="B118" s="148">
        <v>19</v>
      </c>
      <c r="C118" s="177" t="str">
        <f>Attribute!C118</f>
        <v>---</v>
      </c>
      <c r="D118" s="86" t="str">
        <f>VLOOKUP(C118,'Talente &amp; Stuff'!DO:EP,2,FALSE)</f>
        <v>--/--/--</v>
      </c>
      <c r="E118" s="167" t="str">
        <f>VLOOKUP(C118,'Talente &amp; Stuff'!DO:EP,3,FALSE)</f>
        <v>-</v>
      </c>
      <c r="F118" s="120">
        <f>VLOOKUP(C118,'Talente &amp; Stuff'!DO:EP,4,FALSE)</f>
        <v>0</v>
      </c>
      <c r="G118" s="117">
        <f>VLOOKUP(C118,'Talente &amp; Stuff'!DO:EP,5,FALSE)</f>
        <v>0</v>
      </c>
      <c r="H118" s="117">
        <f>VLOOKUP(C118,'Talente &amp; Stuff'!DO:EP,6,FALSE)</f>
        <v>0</v>
      </c>
      <c r="I118" s="117">
        <f>VLOOKUP(C118,'Talente &amp; Stuff'!DO:EP,7,FALSE)</f>
        <v>0</v>
      </c>
      <c r="J118" s="117">
        <f>VLOOKUP(C118,'Talente &amp; Stuff'!DO:EP,8,FALSE)</f>
        <v>0</v>
      </c>
      <c r="K118" s="117">
        <f>VLOOKUP(C118,'Talente &amp; Stuff'!DO:EP,9,FALSE)</f>
        <v>0</v>
      </c>
      <c r="L118" s="117">
        <f>VLOOKUP(C118,'Talente &amp; Stuff'!DO:EP,10,FALSE)</f>
        <v>0</v>
      </c>
      <c r="M118" s="121">
        <f>VLOOKUP(C118,'Talente &amp; Stuff'!DO:EP,11,FALSE)</f>
        <v>0</v>
      </c>
      <c r="N118" s="47">
        <f>VLOOKUP(C118,'Talente &amp; Stuff'!DO:EP,12,FALSE)</f>
        <v>0</v>
      </c>
      <c r="O118" s="3">
        <f>VLOOKUP(C118,'Talente &amp; Stuff'!DO:EP,13,FALSE)</f>
        <v>0</v>
      </c>
      <c r="P118" s="174">
        <f>VLOOKUP(C118,'Talente &amp; Stuff'!DO:EP,14,FALSE)</f>
        <v>0</v>
      </c>
      <c r="Q118" s="114">
        <f>VLOOKUP(C118,'Talente &amp; Stuff'!DO:EP,15,FALSE)</f>
        <v>0</v>
      </c>
      <c r="R118" s="117">
        <f>VLOOKUP(C118,'Talente &amp; Stuff'!DO:EP,16,FALSE)</f>
        <v>0</v>
      </c>
      <c r="S118" s="119">
        <f>VLOOKUP(C118,'Talente &amp; Stuff'!DO:EP,17,FALSE)</f>
        <v>0</v>
      </c>
      <c r="T118" s="119">
        <f>VLOOKUP(C118,'Talente &amp; Stuff'!DO:EP,18,FALSE)</f>
        <v>0</v>
      </c>
      <c r="U118" s="89">
        <f>VLOOKUP(C118,'Talente &amp; Stuff'!DO:EP,19,FALSE)</f>
        <v>0</v>
      </c>
      <c r="V118" s="47">
        <f>VLOOKUP(C118,'Talente &amp; Stuff'!DO:EP,20,FALSE)</f>
        <v>0</v>
      </c>
      <c r="W118" s="127">
        <f>VLOOKUP(C118,'Talente &amp; Stuff'!DO:EP,21,FALSE)</f>
        <v>0</v>
      </c>
      <c r="X118" s="127">
        <f>VLOOKUP(C118,'Talente &amp; Stuff'!DO:EP,22,FALSE)</f>
        <v>0</v>
      </c>
      <c r="Y118" s="165">
        <f t="shared" si="12"/>
        <v>0</v>
      </c>
      <c r="Z118" s="44">
        <f t="shared" si="13"/>
        <v>0</v>
      </c>
      <c r="AA118" s="125">
        <f>VLOOKUP(C118,'Talente &amp; Stuff'!DO:EP,25,FALSE)</f>
        <v>0</v>
      </c>
      <c r="AB118" s="160">
        <f>VLOOKUP(C118,'Talente &amp; Stuff'!DO:EP,26,FALSE)</f>
        <v>0</v>
      </c>
      <c r="AC118" s="127">
        <f>VLOOKUP(C118,'Talente &amp; Stuff'!DO:EP,27,FALSE)</f>
        <v>0</v>
      </c>
      <c r="AD118" s="125">
        <f>VLOOKUP(C118,'Talente &amp; Stuff'!DO:EP,28,FALSE)</f>
        <v>0</v>
      </c>
      <c r="AE118" s="28"/>
    </row>
    <row r="119" spans="2:31" ht="15" hidden="1" customHeight="1" outlineLevel="2">
      <c r="B119" s="148">
        <v>20</v>
      </c>
      <c r="C119" s="177" t="str">
        <f>Attribute!C119</f>
        <v>---</v>
      </c>
      <c r="D119" s="86" t="str">
        <f>VLOOKUP(C119,'Talente &amp; Stuff'!DO:EP,2,FALSE)</f>
        <v>--/--/--</v>
      </c>
      <c r="E119" s="167" t="str">
        <f>VLOOKUP(C119,'Talente &amp; Stuff'!DO:EP,3,FALSE)</f>
        <v>-</v>
      </c>
      <c r="F119" s="120">
        <f>VLOOKUP(C119,'Talente &amp; Stuff'!DO:EP,4,FALSE)</f>
        <v>0</v>
      </c>
      <c r="G119" s="117">
        <f>VLOOKUP(C119,'Talente &amp; Stuff'!DO:EP,5,FALSE)</f>
        <v>0</v>
      </c>
      <c r="H119" s="117">
        <f>VLOOKUP(C119,'Talente &amp; Stuff'!DO:EP,6,FALSE)</f>
        <v>0</v>
      </c>
      <c r="I119" s="117">
        <f>VLOOKUP(C119,'Talente &amp; Stuff'!DO:EP,7,FALSE)</f>
        <v>0</v>
      </c>
      <c r="J119" s="117">
        <f>VLOOKUP(C119,'Talente &amp; Stuff'!DO:EP,8,FALSE)</f>
        <v>0</v>
      </c>
      <c r="K119" s="117">
        <f>VLOOKUP(C119,'Talente &amp; Stuff'!DO:EP,9,FALSE)</f>
        <v>0</v>
      </c>
      <c r="L119" s="117">
        <f>VLOOKUP(C119,'Talente &amp; Stuff'!DO:EP,10,FALSE)</f>
        <v>0</v>
      </c>
      <c r="M119" s="121">
        <f>VLOOKUP(C119,'Talente &amp; Stuff'!DO:EP,11,FALSE)</f>
        <v>0</v>
      </c>
      <c r="N119" s="47">
        <f>VLOOKUP(C119,'Talente &amp; Stuff'!DO:EP,12,FALSE)</f>
        <v>0</v>
      </c>
      <c r="O119" s="3">
        <f>VLOOKUP(C119,'Talente &amp; Stuff'!DO:EP,13,FALSE)</f>
        <v>0</v>
      </c>
      <c r="P119" s="174">
        <f>VLOOKUP(C119,'Talente &amp; Stuff'!DO:EP,14,FALSE)</f>
        <v>0</v>
      </c>
      <c r="Q119" s="114">
        <f>VLOOKUP(C119,'Talente &amp; Stuff'!DO:EP,15,FALSE)</f>
        <v>0</v>
      </c>
      <c r="R119" s="117">
        <f>VLOOKUP(C119,'Talente &amp; Stuff'!DO:EP,16,FALSE)</f>
        <v>0</v>
      </c>
      <c r="S119" s="119">
        <f>VLOOKUP(C119,'Talente &amp; Stuff'!DO:EP,17,FALSE)</f>
        <v>0</v>
      </c>
      <c r="T119" s="119">
        <f>VLOOKUP(C119,'Talente &amp; Stuff'!DO:EP,18,FALSE)</f>
        <v>0</v>
      </c>
      <c r="U119" s="89">
        <f>VLOOKUP(C119,'Talente &amp; Stuff'!DO:EP,19,FALSE)</f>
        <v>0</v>
      </c>
      <c r="V119" s="47">
        <f>VLOOKUP(C119,'Talente &amp; Stuff'!DO:EP,20,FALSE)</f>
        <v>0</v>
      </c>
      <c r="W119" s="127">
        <f>VLOOKUP(C119,'Talente &amp; Stuff'!DO:EP,21,FALSE)</f>
        <v>0</v>
      </c>
      <c r="X119" s="127">
        <f>VLOOKUP(C119,'Talente &amp; Stuff'!DO:EP,22,FALSE)</f>
        <v>0</v>
      </c>
      <c r="Y119" s="165">
        <f t="shared" si="12"/>
        <v>0</v>
      </c>
      <c r="Z119" s="44">
        <f t="shared" si="13"/>
        <v>0</v>
      </c>
      <c r="AA119" s="125">
        <f>VLOOKUP(C119,'Talente &amp; Stuff'!DO:EP,25,FALSE)</f>
        <v>0</v>
      </c>
      <c r="AB119" s="160">
        <f>VLOOKUP(C119,'Talente &amp; Stuff'!DO:EP,26,FALSE)</f>
        <v>0</v>
      </c>
      <c r="AC119" s="127">
        <f>VLOOKUP(C119,'Talente &amp; Stuff'!DO:EP,27,FALSE)</f>
        <v>0</v>
      </c>
      <c r="AD119" s="125">
        <f>VLOOKUP(C119,'Talente &amp; Stuff'!DO:EP,28,FALSE)</f>
        <v>0</v>
      </c>
      <c r="AE119" s="28"/>
    </row>
    <row r="120" spans="2:31" ht="15" hidden="1" customHeight="1" outlineLevel="2">
      <c r="B120" s="148">
        <v>21</v>
      </c>
      <c r="C120" s="177" t="str">
        <f>Attribute!C120</f>
        <v>---</v>
      </c>
      <c r="D120" s="86" t="str">
        <f>VLOOKUP(C120,'Talente &amp; Stuff'!DO:EP,2,FALSE)</f>
        <v>--/--/--</v>
      </c>
      <c r="E120" s="167" t="str">
        <f>VLOOKUP(C120,'Talente &amp; Stuff'!DO:EP,3,FALSE)</f>
        <v>-</v>
      </c>
      <c r="F120" s="120">
        <f>VLOOKUP(C120,'Talente &amp; Stuff'!DO:EP,4,FALSE)</f>
        <v>0</v>
      </c>
      <c r="G120" s="117">
        <f>VLOOKUP(C120,'Talente &amp; Stuff'!DO:EP,5,FALSE)</f>
        <v>0</v>
      </c>
      <c r="H120" s="117">
        <f>VLOOKUP(C120,'Talente &amp; Stuff'!DO:EP,6,FALSE)</f>
        <v>0</v>
      </c>
      <c r="I120" s="117">
        <f>VLOOKUP(C120,'Talente &amp; Stuff'!DO:EP,7,FALSE)</f>
        <v>0</v>
      </c>
      <c r="J120" s="117">
        <f>VLOOKUP(C120,'Talente &amp; Stuff'!DO:EP,8,FALSE)</f>
        <v>0</v>
      </c>
      <c r="K120" s="117">
        <f>VLOOKUP(C120,'Talente &amp; Stuff'!DO:EP,9,FALSE)</f>
        <v>0</v>
      </c>
      <c r="L120" s="117">
        <f>VLOOKUP(C120,'Talente &amp; Stuff'!DO:EP,10,FALSE)</f>
        <v>0</v>
      </c>
      <c r="M120" s="121">
        <f>VLOOKUP(C120,'Talente &amp; Stuff'!DO:EP,11,FALSE)</f>
        <v>0</v>
      </c>
      <c r="N120" s="47">
        <f>VLOOKUP(C120,'Talente &amp; Stuff'!DO:EP,12,FALSE)</f>
        <v>0</v>
      </c>
      <c r="O120" s="3">
        <f>VLOOKUP(C120,'Talente &amp; Stuff'!DO:EP,13,FALSE)</f>
        <v>0</v>
      </c>
      <c r="P120" s="174">
        <f>VLOOKUP(C120,'Talente &amp; Stuff'!DO:EP,14,FALSE)</f>
        <v>0</v>
      </c>
      <c r="Q120" s="114">
        <f>VLOOKUP(C120,'Talente &amp; Stuff'!DO:EP,15,FALSE)</f>
        <v>0</v>
      </c>
      <c r="R120" s="117">
        <f>VLOOKUP(C120,'Talente &amp; Stuff'!DO:EP,16,FALSE)</f>
        <v>0</v>
      </c>
      <c r="S120" s="119">
        <f>VLOOKUP(C120,'Talente &amp; Stuff'!DO:EP,17,FALSE)</f>
        <v>0</v>
      </c>
      <c r="T120" s="119">
        <f>VLOOKUP(C120,'Talente &amp; Stuff'!DO:EP,18,FALSE)</f>
        <v>0</v>
      </c>
      <c r="U120" s="89">
        <f>VLOOKUP(C120,'Talente &amp; Stuff'!DO:EP,19,FALSE)</f>
        <v>0</v>
      </c>
      <c r="V120" s="47">
        <f>VLOOKUP(C120,'Talente &amp; Stuff'!DO:EP,20,FALSE)</f>
        <v>0</v>
      </c>
      <c r="W120" s="127">
        <f>VLOOKUP(C120,'Talente &amp; Stuff'!DO:EP,21,FALSE)</f>
        <v>0</v>
      </c>
      <c r="X120" s="127">
        <f>VLOOKUP(C120,'Talente &amp; Stuff'!DO:EP,22,FALSE)</f>
        <v>0</v>
      </c>
      <c r="Y120" s="165">
        <f t="shared" si="12"/>
        <v>0</v>
      </c>
      <c r="Z120" s="44">
        <f t="shared" si="13"/>
        <v>0</v>
      </c>
      <c r="AA120" s="125">
        <f>VLOOKUP(C120,'Talente &amp; Stuff'!DO:EP,25,FALSE)</f>
        <v>0</v>
      </c>
      <c r="AB120" s="160">
        <f>VLOOKUP(C120,'Talente &amp; Stuff'!DO:EP,26,FALSE)</f>
        <v>0</v>
      </c>
      <c r="AC120" s="127">
        <f>VLOOKUP(C120,'Talente &amp; Stuff'!DO:EP,27,FALSE)</f>
        <v>0</v>
      </c>
      <c r="AD120" s="125">
        <f>VLOOKUP(C120,'Talente &amp; Stuff'!DO:EP,28,FALSE)</f>
        <v>0</v>
      </c>
      <c r="AE120" s="28"/>
    </row>
    <row r="121" spans="2:31" ht="15" hidden="1" customHeight="1" outlineLevel="2">
      <c r="B121" s="148">
        <v>22</v>
      </c>
      <c r="C121" s="177" t="str">
        <f>Attribute!C121</f>
        <v>---</v>
      </c>
      <c r="D121" s="86" t="str">
        <f>VLOOKUP(C121,'Talente &amp; Stuff'!DO:EP,2,FALSE)</f>
        <v>--/--/--</v>
      </c>
      <c r="E121" s="167" t="str">
        <f>VLOOKUP(C121,'Talente &amp; Stuff'!DO:EP,3,FALSE)</f>
        <v>-</v>
      </c>
      <c r="F121" s="120">
        <f>VLOOKUP(C121,'Talente &amp; Stuff'!DO:EP,4,FALSE)</f>
        <v>0</v>
      </c>
      <c r="G121" s="117">
        <f>VLOOKUP(C121,'Talente &amp; Stuff'!DO:EP,5,FALSE)</f>
        <v>0</v>
      </c>
      <c r="H121" s="117">
        <f>VLOOKUP(C121,'Talente &amp; Stuff'!DO:EP,6,FALSE)</f>
        <v>0</v>
      </c>
      <c r="I121" s="117">
        <f>VLOOKUP(C121,'Talente &amp; Stuff'!DO:EP,7,FALSE)</f>
        <v>0</v>
      </c>
      <c r="J121" s="117">
        <f>VLOOKUP(C121,'Talente &amp; Stuff'!DO:EP,8,FALSE)</f>
        <v>0</v>
      </c>
      <c r="K121" s="117">
        <f>VLOOKUP(C121,'Talente &amp; Stuff'!DO:EP,9,FALSE)</f>
        <v>0</v>
      </c>
      <c r="L121" s="117">
        <f>VLOOKUP(C121,'Talente &amp; Stuff'!DO:EP,10,FALSE)</f>
        <v>0</v>
      </c>
      <c r="M121" s="121">
        <f>VLOOKUP(C121,'Talente &amp; Stuff'!DO:EP,11,FALSE)</f>
        <v>0</v>
      </c>
      <c r="N121" s="47">
        <f>VLOOKUP(C121,'Talente &amp; Stuff'!DO:EP,12,FALSE)</f>
        <v>0</v>
      </c>
      <c r="O121" s="3">
        <f>VLOOKUP(C121,'Talente &amp; Stuff'!DO:EP,13,FALSE)</f>
        <v>0</v>
      </c>
      <c r="P121" s="174">
        <f>VLOOKUP(C121,'Talente &amp; Stuff'!DO:EP,14,FALSE)</f>
        <v>0</v>
      </c>
      <c r="Q121" s="114">
        <f>VLOOKUP(C121,'Talente &amp; Stuff'!DO:EP,15,FALSE)</f>
        <v>0</v>
      </c>
      <c r="R121" s="117">
        <f>VLOOKUP(C121,'Talente &amp; Stuff'!DO:EP,16,FALSE)</f>
        <v>0</v>
      </c>
      <c r="S121" s="119">
        <f>VLOOKUP(C121,'Talente &amp; Stuff'!DO:EP,17,FALSE)</f>
        <v>0</v>
      </c>
      <c r="T121" s="119">
        <f>VLOOKUP(C121,'Talente &amp; Stuff'!DO:EP,18,FALSE)</f>
        <v>0</v>
      </c>
      <c r="U121" s="89">
        <f>VLOOKUP(C121,'Talente &amp; Stuff'!DO:EP,19,FALSE)</f>
        <v>0</v>
      </c>
      <c r="V121" s="47">
        <f>VLOOKUP(C121,'Talente &amp; Stuff'!DO:EP,20,FALSE)</f>
        <v>0</v>
      </c>
      <c r="W121" s="127">
        <f>VLOOKUP(C121,'Talente &amp; Stuff'!DO:EP,21,FALSE)</f>
        <v>0</v>
      </c>
      <c r="X121" s="127">
        <f>VLOOKUP(C121,'Talente &amp; Stuff'!DO:EP,22,FALSE)</f>
        <v>0</v>
      </c>
      <c r="Y121" s="165">
        <f t="shared" si="12"/>
        <v>0</v>
      </c>
      <c r="Z121" s="44">
        <f t="shared" si="13"/>
        <v>0</v>
      </c>
      <c r="AA121" s="125">
        <f>VLOOKUP(C121,'Talente &amp; Stuff'!DO:EP,25,FALSE)</f>
        <v>0</v>
      </c>
      <c r="AB121" s="160">
        <f>VLOOKUP(C121,'Talente &amp; Stuff'!DO:EP,26,FALSE)</f>
        <v>0</v>
      </c>
      <c r="AC121" s="127">
        <f>VLOOKUP(C121,'Talente &amp; Stuff'!DO:EP,27,FALSE)</f>
        <v>0</v>
      </c>
      <c r="AD121" s="125">
        <f>VLOOKUP(C121,'Talente &amp; Stuff'!DO:EP,28,FALSE)</f>
        <v>0</v>
      </c>
      <c r="AE121" s="28"/>
    </row>
    <row r="122" spans="2:31" ht="15" hidden="1" customHeight="1" outlineLevel="2">
      <c r="B122" s="148">
        <v>23</v>
      </c>
      <c r="C122" s="177" t="str">
        <f>Attribute!C122</f>
        <v>---</v>
      </c>
      <c r="D122" s="86" t="str">
        <f>VLOOKUP(C122,'Talente &amp; Stuff'!DO:EP,2,FALSE)</f>
        <v>--/--/--</v>
      </c>
      <c r="E122" s="127" t="str">
        <f>VLOOKUP(C122,'Talente &amp; Stuff'!DO:EP,3,FALSE)</f>
        <v>-</v>
      </c>
      <c r="F122" s="114">
        <f>VLOOKUP(C122,'Talente &amp; Stuff'!DO:EP,4,FALSE)</f>
        <v>0</v>
      </c>
      <c r="G122" s="113">
        <f>VLOOKUP(C122,'Talente &amp; Stuff'!DO:EP,5,FALSE)</f>
        <v>0</v>
      </c>
      <c r="H122" s="113">
        <f>VLOOKUP(C122,'Talente &amp; Stuff'!DO:EP,6,FALSE)</f>
        <v>0</v>
      </c>
      <c r="I122" s="113">
        <f>VLOOKUP(C122,'Talente &amp; Stuff'!DO:EP,7,FALSE)</f>
        <v>0</v>
      </c>
      <c r="J122" s="113">
        <f>VLOOKUP(C122,'Talente &amp; Stuff'!DO:EP,8,FALSE)</f>
        <v>0</v>
      </c>
      <c r="K122" s="113">
        <f>VLOOKUP(C122,'Talente &amp; Stuff'!DO:EP,9,FALSE)</f>
        <v>0</v>
      </c>
      <c r="L122" s="113">
        <f>VLOOKUP(C122,'Talente &amp; Stuff'!DO:EP,10,FALSE)</f>
        <v>0</v>
      </c>
      <c r="M122" s="119">
        <f>VLOOKUP(C122,'Talente &amp; Stuff'!DO:EP,11,FALSE)</f>
        <v>0</v>
      </c>
      <c r="N122" s="47">
        <f>VLOOKUP(C122,'Talente &amp; Stuff'!DO:EP,12,FALSE)</f>
        <v>0</v>
      </c>
      <c r="O122" s="3">
        <f>VLOOKUP(C122,'Talente &amp; Stuff'!DO:EP,13,FALSE)</f>
        <v>0</v>
      </c>
      <c r="P122" s="174">
        <f>VLOOKUP(C122,'Talente &amp; Stuff'!DO:EP,14,FALSE)</f>
        <v>0</v>
      </c>
      <c r="Q122" s="114">
        <f>VLOOKUP(C122,'Talente &amp; Stuff'!DO:EP,15,FALSE)</f>
        <v>0</v>
      </c>
      <c r="R122" s="117">
        <f>VLOOKUP(C122,'Talente &amp; Stuff'!DO:EP,16,FALSE)</f>
        <v>0</v>
      </c>
      <c r="S122" s="119">
        <f>VLOOKUP(C122,'Talente &amp; Stuff'!DO:EP,17,FALSE)</f>
        <v>0</v>
      </c>
      <c r="T122" s="119">
        <f>VLOOKUP(C122,'Talente &amp; Stuff'!DO:EP,18,FALSE)</f>
        <v>0</v>
      </c>
      <c r="U122" s="89">
        <f>VLOOKUP(C122,'Talente &amp; Stuff'!DO:EP,19,FALSE)</f>
        <v>0</v>
      </c>
      <c r="V122" s="47">
        <f>VLOOKUP(C122,'Talente &amp; Stuff'!DO:EP,20,FALSE)</f>
        <v>0</v>
      </c>
      <c r="W122" s="127">
        <f>VLOOKUP(C122,'Talente &amp; Stuff'!DO:EP,21,FALSE)</f>
        <v>0</v>
      </c>
      <c r="X122" s="127">
        <f>VLOOKUP(C122,'Talente &amp; Stuff'!DO:EP,22,FALSE)</f>
        <v>0</v>
      </c>
      <c r="Y122" s="165">
        <f t="shared" si="12"/>
        <v>0</v>
      </c>
      <c r="Z122" s="44">
        <f t="shared" si="13"/>
        <v>0</v>
      </c>
      <c r="AA122" s="125">
        <f>VLOOKUP(C122,'Talente &amp; Stuff'!DO:EP,25,FALSE)</f>
        <v>0</v>
      </c>
      <c r="AB122" s="160">
        <f>VLOOKUP(C122,'Talente &amp; Stuff'!DO:EP,26,FALSE)</f>
        <v>0</v>
      </c>
      <c r="AC122" s="127">
        <f>VLOOKUP(C122,'Talente &amp; Stuff'!DO:EP,27,FALSE)</f>
        <v>0</v>
      </c>
      <c r="AD122" s="125">
        <f>VLOOKUP(C122,'Talente &amp; Stuff'!DO:EP,28,FALSE)</f>
        <v>0</v>
      </c>
      <c r="AE122" s="28"/>
    </row>
    <row r="123" spans="2:31" ht="15" hidden="1" customHeight="1" outlineLevel="2">
      <c r="B123" s="148">
        <v>24</v>
      </c>
      <c r="C123" s="177" t="str">
        <f>Attribute!C123</f>
        <v>---</v>
      </c>
      <c r="D123" s="86" t="str">
        <f>VLOOKUP(C123,'Talente &amp; Stuff'!DO:EP,2,FALSE)</f>
        <v>--/--/--</v>
      </c>
      <c r="E123" s="127" t="str">
        <f>VLOOKUP(C123,'Talente &amp; Stuff'!DO:EP,3,FALSE)</f>
        <v>-</v>
      </c>
      <c r="F123" s="114">
        <f>VLOOKUP(C123,'Talente &amp; Stuff'!DO:EP,4,FALSE)</f>
        <v>0</v>
      </c>
      <c r="G123" s="113">
        <f>VLOOKUP(C123,'Talente &amp; Stuff'!DO:EP,5,FALSE)</f>
        <v>0</v>
      </c>
      <c r="H123" s="113">
        <f>VLOOKUP(C123,'Talente &amp; Stuff'!DO:EP,6,FALSE)</f>
        <v>0</v>
      </c>
      <c r="I123" s="113">
        <f>VLOOKUP(C123,'Talente &amp; Stuff'!DO:EP,7,FALSE)</f>
        <v>0</v>
      </c>
      <c r="J123" s="113">
        <f>VLOOKUP(C123,'Talente &amp; Stuff'!DO:EP,8,FALSE)</f>
        <v>0</v>
      </c>
      <c r="K123" s="113">
        <f>VLOOKUP(C123,'Talente &amp; Stuff'!DO:EP,9,FALSE)</f>
        <v>0</v>
      </c>
      <c r="L123" s="113">
        <f>VLOOKUP(C123,'Talente &amp; Stuff'!DO:EP,10,FALSE)</f>
        <v>0</v>
      </c>
      <c r="M123" s="119">
        <f>VLOOKUP(C123,'Talente &amp; Stuff'!DO:EP,11,FALSE)</f>
        <v>0</v>
      </c>
      <c r="N123" s="47">
        <f>VLOOKUP(C123,'Talente &amp; Stuff'!DO:EP,12,FALSE)</f>
        <v>0</v>
      </c>
      <c r="O123" s="3">
        <f>VLOOKUP(C123,'Talente &amp; Stuff'!DO:EP,13,FALSE)</f>
        <v>0</v>
      </c>
      <c r="P123" s="174">
        <f>VLOOKUP(C123,'Talente &amp; Stuff'!DO:EP,14,FALSE)</f>
        <v>0</v>
      </c>
      <c r="Q123" s="114">
        <f>VLOOKUP(C123,'Talente &amp; Stuff'!DO:EP,15,FALSE)</f>
        <v>0</v>
      </c>
      <c r="R123" s="117">
        <f>VLOOKUP(C123,'Talente &amp; Stuff'!DO:EP,16,FALSE)</f>
        <v>0</v>
      </c>
      <c r="S123" s="119">
        <f>VLOOKUP(C123,'Talente &amp; Stuff'!DO:EP,17,FALSE)</f>
        <v>0</v>
      </c>
      <c r="T123" s="119">
        <f>VLOOKUP(C123,'Talente &amp; Stuff'!DO:EP,18,FALSE)</f>
        <v>0</v>
      </c>
      <c r="U123" s="89">
        <f>VLOOKUP(C123,'Talente &amp; Stuff'!DO:EP,19,FALSE)</f>
        <v>0</v>
      </c>
      <c r="V123" s="47">
        <f>VLOOKUP(C123,'Talente &amp; Stuff'!DO:EP,20,FALSE)</f>
        <v>0</v>
      </c>
      <c r="W123" s="127">
        <f>VLOOKUP(C123,'Talente &amp; Stuff'!DO:EP,21,FALSE)</f>
        <v>0</v>
      </c>
      <c r="X123" s="127">
        <f>VLOOKUP(C123,'Talente &amp; Stuff'!DO:EP,22,FALSE)</f>
        <v>0</v>
      </c>
      <c r="Y123" s="165">
        <f t="shared" si="12"/>
        <v>0</v>
      </c>
      <c r="Z123" s="44">
        <f t="shared" si="13"/>
        <v>0</v>
      </c>
      <c r="AA123" s="125">
        <f>VLOOKUP(C123,'Talente &amp; Stuff'!DO:EP,25,FALSE)</f>
        <v>0</v>
      </c>
      <c r="AB123" s="160">
        <f>VLOOKUP(C123,'Talente &amp; Stuff'!DO:EP,26,FALSE)</f>
        <v>0</v>
      </c>
      <c r="AC123" s="127">
        <f>VLOOKUP(C123,'Talente &amp; Stuff'!DO:EP,27,FALSE)</f>
        <v>0</v>
      </c>
      <c r="AD123" s="125">
        <f>VLOOKUP(C123,'Talente &amp; Stuff'!DO:EP,28,FALSE)</f>
        <v>0</v>
      </c>
      <c r="AE123" s="28"/>
    </row>
    <row r="124" spans="2:31" ht="15" hidden="1" customHeight="1" outlineLevel="2">
      <c r="B124" s="148">
        <v>25</v>
      </c>
      <c r="C124" s="177" t="str">
        <f>Attribute!C124</f>
        <v>---</v>
      </c>
      <c r="D124" s="86" t="str">
        <f>VLOOKUP(C124,'Talente &amp; Stuff'!DO:EP,2,FALSE)</f>
        <v>--/--/--</v>
      </c>
      <c r="E124" s="127" t="str">
        <f>VLOOKUP(C124,'Talente &amp; Stuff'!DO:EP,3,FALSE)</f>
        <v>-</v>
      </c>
      <c r="F124" s="114">
        <f>VLOOKUP(C124,'Talente &amp; Stuff'!DO:EP,4,FALSE)</f>
        <v>0</v>
      </c>
      <c r="G124" s="113">
        <f>VLOOKUP(C124,'Talente &amp; Stuff'!DO:EP,5,FALSE)</f>
        <v>0</v>
      </c>
      <c r="H124" s="113">
        <f>VLOOKUP(C124,'Talente &amp; Stuff'!DO:EP,6,FALSE)</f>
        <v>0</v>
      </c>
      <c r="I124" s="113">
        <f>VLOOKUP(C124,'Talente &amp; Stuff'!DO:EP,7,FALSE)</f>
        <v>0</v>
      </c>
      <c r="J124" s="113">
        <f>VLOOKUP(C124,'Talente &amp; Stuff'!DO:EP,8,FALSE)</f>
        <v>0</v>
      </c>
      <c r="K124" s="113">
        <f>VLOOKUP(C124,'Talente &amp; Stuff'!DO:EP,9,FALSE)</f>
        <v>0</v>
      </c>
      <c r="L124" s="113">
        <f>VLOOKUP(C124,'Talente &amp; Stuff'!DO:EP,10,FALSE)</f>
        <v>0</v>
      </c>
      <c r="M124" s="119">
        <f>VLOOKUP(C124,'Talente &amp; Stuff'!DO:EP,11,FALSE)</f>
        <v>0</v>
      </c>
      <c r="N124" s="47">
        <f>VLOOKUP(C124,'Talente &amp; Stuff'!DO:EP,12,FALSE)</f>
        <v>0</v>
      </c>
      <c r="O124" s="3">
        <f>VLOOKUP(C124,'Talente &amp; Stuff'!DO:EP,13,FALSE)</f>
        <v>0</v>
      </c>
      <c r="P124" s="174">
        <f>VLOOKUP(C124,'Talente &amp; Stuff'!DO:EP,14,FALSE)</f>
        <v>0</v>
      </c>
      <c r="Q124" s="114">
        <f>VLOOKUP(C124,'Talente &amp; Stuff'!DO:EP,15,FALSE)</f>
        <v>0</v>
      </c>
      <c r="R124" s="117">
        <f>VLOOKUP(C124,'Talente &amp; Stuff'!DO:EP,16,FALSE)</f>
        <v>0</v>
      </c>
      <c r="S124" s="119">
        <f>VLOOKUP(C124,'Talente &amp; Stuff'!DO:EP,17,FALSE)</f>
        <v>0</v>
      </c>
      <c r="T124" s="119">
        <f>VLOOKUP(C124,'Talente &amp; Stuff'!DO:EP,18,FALSE)</f>
        <v>0</v>
      </c>
      <c r="U124" s="89">
        <f>VLOOKUP(C124,'Talente &amp; Stuff'!DO:EP,19,FALSE)</f>
        <v>0</v>
      </c>
      <c r="V124" s="47">
        <f>VLOOKUP(C124,'Talente &amp; Stuff'!DO:EP,20,FALSE)</f>
        <v>0</v>
      </c>
      <c r="W124" s="127">
        <f>VLOOKUP(C124,'Talente &amp; Stuff'!DO:EP,21,FALSE)</f>
        <v>0</v>
      </c>
      <c r="X124" s="127">
        <f>VLOOKUP(C124,'Talente &amp; Stuff'!DO:EP,22,FALSE)</f>
        <v>0</v>
      </c>
      <c r="Y124" s="165">
        <f t="shared" si="12"/>
        <v>0</v>
      </c>
      <c r="Z124" s="44">
        <f t="shared" si="13"/>
        <v>0</v>
      </c>
      <c r="AA124" s="125">
        <f>VLOOKUP(C124,'Talente &amp; Stuff'!DO:EP,25,FALSE)</f>
        <v>0</v>
      </c>
      <c r="AB124" s="160">
        <f>VLOOKUP(C124,'Talente &amp; Stuff'!DO:EP,26,FALSE)</f>
        <v>0</v>
      </c>
      <c r="AC124" s="127">
        <f>VLOOKUP(C124,'Talente &amp; Stuff'!DO:EP,27,FALSE)</f>
        <v>0</v>
      </c>
      <c r="AD124" s="125">
        <f>VLOOKUP(C124,'Talente &amp; Stuff'!DO:EP,28,FALSE)</f>
        <v>0</v>
      </c>
      <c r="AE124" s="28"/>
    </row>
    <row r="125" spans="2:31" ht="15" hidden="1" customHeight="1" outlineLevel="2">
      <c r="B125" s="148">
        <v>26</v>
      </c>
      <c r="C125" s="177" t="str">
        <f>Attribute!C125</f>
        <v>---</v>
      </c>
      <c r="D125" s="86" t="str">
        <f>VLOOKUP(C125,'Talente &amp; Stuff'!DO:EP,2,FALSE)</f>
        <v>--/--/--</v>
      </c>
      <c r="E125" s="127" t="str">
        <f>VLOOKUP(C125,'Talente &amp; Stuff'!DO:EP,3,FALSE)</f>
        <v>-</v>
      </c>
      <c r="F125" s="114">
        <f>VLOOKUP(C125,'Talente &amp; Stuff'!DO:EP,4,FALSE)</f>
        <v>0</v>
      </c>
      <c r="G125" s="113">
        <f>VLOOKUP(C125,'Talente &amp; Stuff'!DO:EP,5,FALSE)</f>
        <v>0</v>
      </c>
      <c r="H125" s="113">
        <f>VLOOKUP(C125,'Talente &amp; Stuff'!DO:EP,6,FALSE)</f>
        <v>0</v>
      </c>
      <c r="I125" s="113">
        <f>VLOOKUP(C125,'Talente &amp; Stuff'!DO:EP,7,FALSE)</f>
        <v>0</v>
      </c>
      <c r="J125" s="113">
        <f>VLOOKUP(C125,'Talente &amp; Stuff'!DO:EP,8,FALSE)</f>
        <v>0</v>
      </c>
      <c r="K125" s="113">
        <f>VLOOKUP(C125,'Talente &amp; Stuff'!DO:EP,9,FALSE)</f>
        <v>0</v>
      </c>
      <c r="L125" s="113">
        <f>VLOOKUP(C125,'Talente &amp; Stuff'!DO:EP,10,FALSE)</f>
        <v>0</v>
      </c>
      <c r="M125" s="119">
        <f>VLOOKUP(C125,'Talente &amp; Stuff'!DO:EP,11,FALSE)</f>
        <v>0</v>
      </c>
      <c r="N125" s="47">
        <f>VLOOKUP(C125,'Talente &amp; Stuff'!DO:EP,12,FALSE)</f>
        <v>0</v>
      </c>
      <c r="O125" s="3">
        <f>VLOOKUP(C125,'Talente &amp; Stuff'!DO:EP,13,FALSE)</f>
        <v>0</v>
      </c>
      <c r="P125" s="174">
        <f>VLOOKUP(C125,'Talente &amp; Stuff'!DO:EP,14,FALSE)</f>
        <v>0</v>
      </c>
      <c r="Q125" s="114">
        <f>VLOOKUP(C125,'Talente &amp; Stuff'!DO:EP,15,FALSE)</f>
        <v>0</v>
      </c>
      <c r="R125" s="117">
        <f>VLOOKUP(C125,'Talente &amp; Stuff'!DO:EP,16,FALSE)</f>
        <v>0</v>
      </c>
      <c r="S125" s="119">
        <f>VLOOKUP(C125,'Talente &amp; Stuff'!DO:EP,17,FALSE)</f>
        <v>0</v>
      </c>
      <c r="T125" s="119">
        <f>VLOOKUP(C125,'Talente &amp; Stuff'!DO:EP,18,FALSE)</f>
        <v>0</v>
      </c>
      <c r="U125" s="89">
        <f>VLOOKUP(C125,'Talente &amp; Stuff'!DO:EP,19,FALSE)</f>
        <v>0</v>
      </c>
      <c r="V125" s="47">
        <f>VLOOKUP(C125,'Talente &amp; Stuff'!DO:EP,20,FALSE)</f>
        <v>0</v>
      </c>
      <c r="W125" s="127">
        <f>VLOOKUP(C125,'Talente &amp; Stuff'!DO:EP,21,FALSE)</f>
        <v>0</v>
      </c>
      <c r="X125" s="127">
        <f>VLOOKUP(C125,'Talente &amp; Stuff'!DO:EP,22,FALSE)</f>
        <v>0</v>
      </c>
      <c r="Y125" s="165">
        <f t="shared" si="12"/>
        <v>0</v>
      </c>
      <c r="Z125" s="44">
        <f t="shared" si="13"/>
        <v>0</v>
      </c>
      <c r="AA125" s="125">
        <f>VLOOKUP(C125,'Talente &amp; Stuff'!DO:EP,25,FALSE)</f>
        <v>0</v>
      </c>
      <c r="AB125" s="160">
        <f>VLOOKUP(C125,'Talente &amp; Stuff'!DO:EP,26,FALSE)</f>
        <v>0</v>
      </c>
      <c r="AC125" s="127">
        <f>VLOOKUP(C125,'Talente &amp; Stuff'!DO:EP,27,FALSE)</f>
        <v>0</v>
      </c>
      <c r="AD125" s="125">
        <f>VLOOKUP(C125,'Talente &amp; Stuff'!DO:EP,28,FALSE)</f>
        <v>0</v>
      </c>
      <c r="AE125" s="28"/>
    </row>
    <row r="126" spans="2:31" ht="15" hidden="1" customHeight="1" outlineLevel="2">
      <c r="B126" s="148">
        <v>27</v>
      </c>
      <c r="C126" s="178" t="str">
        <f>Attribute!C126</f>
        <v>---</v>
      </c>
      <c r="D126" s="23" t="str">
        <f>VLOOKUP(C126,'Talente &amp; Stuff'!DO:EP,2,FALSE)</f>
        <v>--/--/--</v>
      </c>
      <c r="E126" s="128" t="str">
        <f>VLOOKUP(C126,'Talente &amp; Stuff'!DO:EP,3,FALSE)</f>
        <v>-</v>
      </c>
      <c r="F126" s="115">
        <f>VLOOKUP(C126,'Talente &amp; Stuff'!DO:EP,4,FALSE)</f>
        <v>0</v>
      </c>
      <c r="G126" s="122">
        <f>VLOOKUP(C126,'Talente &amp; Stuff'!DO:EP,5,FALSE)</f>
        <v>0</v>
      </c>
      <c r="H126" s="122">
        <f>VLOOKUP(C126,'Talente &amp; Stuff'!DO:EP,6,FALSE)</f>
        <v>0</v>
      </c>
      <c r="I126" s="122">
        <f>VLOOKUP(C126,'Talente &amp; Stuff'!DO:EP,7,FALSE)</f>
        <v>0</v>
      </c>
      <c r="J126" s="122">
        <f>VLOOKUP(C126,'Talente &amp; Stuff'!DO:EP,8,FALSE)</f>
        <v>0</v>
      </c>
      <c r="K126" s="122">
        <f>VLOOKUP(C126,'Talente &amp; Stuff'!DO:EP,9,FALSE)</f>
        <v>0</v>
      </c>
      <c r="L126" s="122">
        <f>VLOOKUP(C126,'Talente &amp; Stuff'!DO:EP,10,FALSE)</f>
        <v>0</v>
      </c>
      <c r="M126" s="123">
        <f>VLOOKUP(C126,'Talente &amp; Stuff'!DO:EP,11,FALSE)</f>
        <v>0</v>
      </c>
      <c r="N126" s="88">
        <f>VLOOKUP(C126,'Talente &amp; Stuff'!DO:EP,12,FALSE)</f>
        <v>0</v>
      </c>
      <c r="O126" s="2">
        <f>VLOOKUP(C126,'Talente &amp; Stuff'!DO:EP,13,FALSE)</f>
        <v>0</v>
      </c>
      <c r="P126" s="173">
        <f>VLOOKUP(C126,'Talente &amp; Stuff'!DO:EP,14,FALSE)</f>
        <v>0</v>
      </c>
      <c r="Q126" s="115">
        <f>VLOOKUP(C126,'Talente &amp; Stuff'!DO:EP,15,FALSE)</f>
        <v>0</v>
      </c>
      <c r="R126" s="169">
        <f>VLOOKUP(C126,'Talente &amp; Stuff'!DO:EP,16,FALSE)</f>
        <v>0</v>
      </c>
      <c r="S126" s="123">
        <f>VLOOKUP(C126,'Talente &amp; Stuff'!DO:EP,17,FALSE)</f>
        <v>0</v>
      </c>
      <c r="T126" s="123">
        <f>VLOOKUP(C126,'Talente &amp; Stuff'!DO:EP,18,FALSE)</f>
        <v>0</v>
      </c>
      <c r="U126" s="90">
        <f>VLOOKUP(C126,'Talente &amp; Stuff'!DO:EP,19,FALSE)</f>
        <v>0</v>
      </c>
      <c r="V126" s="88">
        <f>VLOOKUP(C126,'Talente &amp; Stuff'!DO:EP,20,FALSE)</f>
        <v>0</v>
      </c>
      <c r="W126" s="128">
        <f>VLOOKUP(C126,'Talente &amp; Stuff'!DO:EP,21,FALSE)</f>
        <v>0</v>
      </c>
      <c r="X126" s="128">
        <f>VLOOKUP(C126,'Talente &amp; Stuff'!DO:EP,22,FALSE)</f>
        <v>0</v>
      </c>
      <c r="Y126" s="165">
        <f t="shared" si="12"/>
        <v>0</v>
      </c>
      <c r="Z126" s="44">
        <f t="shared" si="13"/>
        <v>0</v>
      </c>
      <c r="AA126" s="159">
        <f>VLOOKUP(C126,'Talente &amp; Stuff'!DO:EP,25,FALSE)</f>
        <v>0</v>
      </c>
      <c r="AB126" s="161">
        <f>VLOOKUP(C126,'Talente &amp; Stuff'!DO:EP,26,FALSE)</f>
        <v>0</v>
      </c>
      <c r="AC126" s="128">
        <f>VLOOKUP(C126,'Talente &amp; Stuff'!DO:EP,27,FALSE)</f>
        <v>0</v>
      </c>
      <c r="AD126" s="159">
        <f>VLOOKUP(C126,'Talente &amp; Stuff'!DO:EP,28,FALSE)</f>
        <v>0</v>
      </c>
      <c r="AE126" s="28"/>
    </row>
    <row r="127" spans="2:31" ht="15" hidden="1" customHeight="1" outlineLevel="1" collapsed="1">
      <c r="B127" s="134" t="s">
        <v>330</v>
      </c>
      <c r="C127" s="83"/>
      <c r="D127" s="84"/>
      <c r="E127" s="84"/>
    </row>
    <row r="128" spans="2:31" ht="15" hidden="1" customHeight="1" outlineLevel="2">
      <c r="B128" s="148">
        <v>1</v>
      </c>
      <c r="C128" s="176" t="str">
        <f>Attribute!C128</f>
        <v>---</v>
      </c>
      <c r="D128" s="158" t="str">
        <f>VLOOKUP(C128,'Talente &amp; Stuff'!DO:EP,2,FALSE)</f>
        <v>--/--/--</v>
      </c>
      <c r="E128" s="126" t="str">
        <f>VLOOKUP(C128,'Talente &amp; Stuff'!DO:EP,3,FALSE)</f>
        <v>-</v>
      </c>
      <c r="F128" s="191">
        <f>VLOOKUP(C128,'Talente &amp; Stuff'!DO:EP,4,FALSE)</f>
        <v>0</v>
      </c>
      <c r="G128" s="118">
        <f>VLOOKUP(C128,'Talente &amp; Stuff'!DO:EP,5,FALSE)</f>
        <v>0</v>
      </c>
      <c r="H128" s="118">
        <f>VLOOKUP(C128,'Talente &amp; Stuff'!DO:EP,6,FALSE)</f>
        <v>0</v>
      </c>
      <c r="I128" s="118">
        <f>VLOOKUP(C128,'Talente &amp; Stuff'!DO:EP,7,FALSE)</f>
        <v>0</v>
      </c>
      <c r="J128" s="118">
        <f>VLOOKUP(C128,'Talente &amp; Stuff'!DO:EP,8,FALSE)</f>
        <v>0</v>
      </c>
      <c r="K128" s="118">
        <f>VLOOKUP(C128,'Talente &amp; Stuff'!DO:EP,9,FALSE)</f>
        <v>0</v>
      </c>
      <c r="L128" s="118">
        <f>VLOOKUP(C128,'Talente &amp; Stuff'!DO:EP,10,FALSE)</f>
        <v>0</v>
      </c>
      <c r="M128" s="92">
        <f>VLOOKUP(C128,'Talente &amp; Stuff'!DO:EP,11,FALSE)</f>
        <v>0</v>
      </c>
      <c r="N128" s="116">
        <f>VLOOKUP(C128,'Talente &amp; Stuff'!DO:EP,12,FALSE)</f>
        <v>0</v>
      </c>
      <c r="O128" s="116">
        <f>VLOOKUP(C128,'Talente &amp; Stuff'!DO:EP,13,FALSE)</f>
        <v>0</v>
      </c>
      <c r="P128" s="92">
        <f>VLOOKUP(C128,'Talente &amp; Stuff'!DO:EP,14,FALSE)</f>
        <v>0</v>
      </c>
      <c r="Q128" s="191">
        <f>VLOOKUP(C128,'Talente &amp; Stuff'!DO:EP,15,FALSE)</f>
        <v>0</v>
      </c>
      <c r="R128" s="118">
        <f>VLOOKUP(C128,'Talente &amp; Stuff'!DO:EP,16,FALSE)</f>
        <v>0</v>
      </c>
      <c r="S128" s="92">
        <f>VLOOKUP(C128,'Talente &amp; Stuff'!DO:EP,17,FALSE)</f>
        <v>0</v>
      </c>
      <c r="T128" s="92">
        <f>VLOOKUP(C128,'Talente &amp; Stuff'!DO:EP,18,FALSE)</f>
        <v>0</v>
      </c>
      <c r="U128" s="193">
        <f>VLOOKUP(C128,'Talente &amp; Stuff'!DO:EP,19,FALSE)</f>
        <v>0</v>
      </c>
      <c r="V128" s="116">
        <f>VLOOKUP(C128,'Talente &amp; Stuff'!DO:EP,20,FALSE)</f>
        <v>0</v>
      </c>
      <c r="W128" s="126">
        <f>VLOOKUP(C128,'Talente &amp; Stuff'!DO:EP,21,FALSE)</f>
        <v>0</v>
      </c>
      <c r="X128" s="126">
        <f>VLOOKUP(C128,'Talente &amp; Stuff'!DO:EP,22,FALSE)</f>
        <v>0</v>
      </c>
      <c r="Y128" s="165">
        <f t="shared" ref="Y128:Y151" si="14">VLOOKUP(C128,Ausgewählte_Zauber_Elfen,139,FALSE)</f>
        <v>0</v>
      </c>
      <c r="Z128" s="44">
        <f t="shared" ref="Z128:Z151" si="15">VLOOKUP(C128,Ausgewählte_Zauber_Elfen,140,FALSE)</f>
        <v>0</v>
      </c>
      <c r="AA128" s="158">
        <f>VLOOKUP(C128,'Talente &amp; Stuff'!DO:EP,25,FALSE)</f>
        <v>0</v>
      </c>
      <c r="AB128" s="91">
        <f>VLOOKUP(C128,'Talente &amp; Stuff'!DO:EP,26,FALSE)</f>
        <v>0</v>
      </c>
      <c r="AC128" s="126">
        <f>VLOOKUP(C128,'Talente &amp; Stuff'!DO:EP,27,FALSE)</f>
        <v>0</v>
      </c>
      <c r="AD128" s="158">
        <f>VLOOKUP(C128,'Talente &amp; Stuff'!DO:EP,28,FALSE)</f>
        <v>0</v>
      </c>
      <c r="AE128" s="28"/>
    </row>
    <row r="129" spans="2:31" ht="15" hidden="1" customHeight="1" outlineLevel="2">
      <c r="B129" s="148">
        <v>2</v>
      </c>
      <c r="C129" s="177" t="str">
        <f>Attribute!C129</f>
        <v>---</v>
      </c>
      <c r="D129" s="125" t="str">
        <f>VLOOKUP(C129,'Talente &amp; Stuff'!DO:EP,2,FALSE)</f>
        <v>--/--/--</v>
      </c>
      <c r="E129" s="127" t="str">
        <f>VLOOKUP(C129,'Talente &amp; Stuff'!DO:EP,3,FALSE)</f>
        <v>-</v>
      </c>
      <c r="F129" s="114">
        <f>VLOOKUP(C129,'Talente &amp; Stuff'!DO:EP,4,FALSE)</f>
        <v>0</v>
      </c>
      <c r="G129" s="113">
        <f>VLOOKUP(C129,'Talente &amp; Stuff'!DO:EP,5,FALSE)</f>
        <v>0</v>
      </c>
      <c r="H129" s="113">
        <f>VLOOKUP(C129,'Talente &amp; Stuff'!DO:EP,6,FALSE)</f>
        <v>0</v>
      </c>
      <c r="I129" s="113">
        <f>VLOOKUP(C129,'Talente &amp; Stuff'!DO:EP,7,FALSE)</f>
        <v>0</v>
      </c>
      <c r="J129" s="113">
        <f>VLOOKUP(C129,'Talente &amp; Stuff'!DO:EP,8,FALSE)</f>
        <v>0</v>
      </c>
      <c r="K129" s="113">
        <f>VLOOKUP(C129,'Talente &amp; Stuff'!DO:EP,9,FALSE)</f>
        <v>0</v>
      </c>
      <c r="L129" s="113">
        <f>VLOOKUP(C129,'Talente &amp; Stuff'!DO:EP,10,FALSE)</f>
        <v>0</v>
      </c>
      <c r="M129" s="119">
        <f>VLOOKUP(C129,'Talente &amp; Stuff'!DO:EP,11,FALSE)</f>
        <v>0</v>
      </c>
      <c r="N129" s="47">
        <f>VLOOKUP(C129,'Talente &amp; Stuff'!DO:EP,12,FALSE)</f>
        <v>0</v>
      </c>
      <c r="O129" s="47">
        <f>VLOOKUP(C129,'Talente &amp; Stuff'!DO:EP,13,FALSE)</f>
        <v>0</v>
      </c>
      <c r="P129" s="119">
        <f>VLOOKUP(C129,'Talente &amp; Stuff'!DO:EP,14,FALSE)</f>
        <v>0</v>
      </c>
      <c r="Q129" s="114">
        <f>VLOOKUP(C129,'Talente &amp; Stuff'!DO:EP,15,FALSE)</f>
        <v>0</v>
      </c>
      <c r="R129" s="113">
        <f>VLOOKUP(C129,'Talente &amp; Stuff'!DO:EP,16,FALSE)</f>
        <v>0</v>
      </c>
      <c r="S129" s="119">
        <f>VLOOKUP(C129,'Talente &amp; Stuff'!DO:EP,17,FALSE)</f>
        <v>0</v>
      </c>
      <c r="T129" s="119">
        <f>VLOOKUP(C129,'Talente &amp; Stuff'!DO:EP,18,FALSE)</f>
        <v>0</v>
      </c>
      <c r="U129" s="89">
        <f>VLOOKUP(C129,'Talente &amp; Stuff'!DO:EP,19,FALSE)</f>
        <v>0</v>
      </c>
      <c r="V129" s="47">
        <f>VLOOKUP(C129,'Talente &amp; Stuff'!DO:EP,20,FALSE)</f>
        <v>0</v>
      </c>
      <c r="W129" s="127">
        <f>VLOOKUP(C129,'Talente &amp; Stuff'!DO:EP,21,FALSE)</f>
        <v>0</v>
      </c>
      <c r="X129" s="127">
        <f>VLOOKUP(C129,'Talente &amp; Stuff'!DO:EP,22,FALSE)</f>
        <v>0</v>
      </c>
      <c r="Y129" s="165">
        <f t="shared" si="14"/>
        <v>0</v>
      </c>
      <c r="Z129" s="44">
        <f t="shared" si="15"/>
        <v>0</v>
      </c>
      <c r="AA129" s="125">
        <f>VLOOKUP(C129,'Talente &amp; Stuff'!DO:EP,25,FALSE)</f>
        <v>0</v>
      </c>
      <c r="AB129" s="160">
        <f>VLOOKUP(C129,'Talente &amp; Stuff'!DO:EP,26,FALSE)</f>
        <v>0</v>
      </c>
      <c r="AC129" s="127">
        <f>VLOOKUP(C129,'Talente &amp; Stuff'!DO:EP,27,FALSE)</f>
        <v>0</v>
      </c>
      <c r="AD129" s="125">
        <f>VLOOKUP(C129,'Talente &amp; Stuff'!DO:EP,28,FALSE)</f>
        <v>0</v>
      </c>
      <c r="AE129" s="28"/>
    </row>
    <row r="130" spans="2:31" ht="15" hidden="1" customHeight="1" outlineLevel="2">
      <c r="B130" s="148">
        <v>3</v>
      </c>
      <c r="C130" s="177" t="str">
        <f>Attribute!C130</f>
        <v>---</v>
      </c>
      <c r="D130" s="125" t="str">
        <f>VLOOKUP(C130,'Talente &amp; Stuff'!DO:EP,2,FALSE)</f>
        <v>--/--/--</v>
      </c>
      <c r="E130" s="127" t="str">
        <f>VLOOKUP(C130,'Talente &amp; Stuff'!DO:EP,3,FALSE)</f>
        <v>-</v>
      </c>
      <c r="F130" s="114">
        <f>VLOOKUP(C130,'Talente &amp; Stuff'!DO:EP,4,FALSE)</f>
        <v>0</v>
      </c>
      <c r="G130" s="113">
        <f>VLOOKUP(C130,'Talente &amp; Stuff'!DO:EP,5,FALSE)</f>
        <v>0</v>
      </c>
      <c r="H130" s="113">
        <f>VLOOKUP(C130,'Talente &amp; Stuff'!DO:EP,6,FALSE)</f>
        <v>0</v>
      </c>
      <c r="I130" s="113">
        <f>VLOOKUP(C130,'Talente &amp; Stuff'!DO:EP,7,FALSE)</f>
        <v>0</v>
      </c>
      <c r="J130" s="113">
        <f>VLOOKUP(C130,'Talente &amp; Stuff'!DO:EP,8,FALSE)</f>
        <v>0</v>
      </c>
      <c r="K130" s="113">
        <f>VLOOKUP(C130,'Talente &amp; Stuff'!DO:EP,9,FALSE)</f>
        <v>0</v>
      </c>
      <c r="L130" s="113">
        <f>VLOOKUP(C130,'Talente &amp; Stuff'!DO:EP,10,FALSE)</f>
        <v>0</v>
      </c>
      <c r="M130" s="119">
        <f>VLOOKUP(C130,'Talente &amp; Stuff'!DO:EP,11,FALSE)</f>
        <v>0</v>
      </c>
      <c r="N130" s="47">
        <f>VLOOKUP(C130,'Talente &amp; Stuff'!DO:EP,12,FALSE)</f>
        <v>0</v>
      </c>
      <c r="O130" s="47">
        <f>VLOOKUP(C130,'Talente &amp; Stuff'!DO:EP,13,FALSE)</f>
        <v>0</v>
      </c>
      <c r="P130" s="119">
        <f>VLOOKUP(C130,'Talente &amp; Stuff'!DO:EP,14,FALSE)</f>
        <v>0</v>
      </c>
      <c r="Q130" s="114">
        <f>VLOOKUP(C130,'Talente &amp; Stuff'!DO:EP,15,FALSE)</f>
        <v>0</v>
      </c>
      <c r="R130" s="113">
        <f>VLOOKUP(C130,'Talente &amp; Stuff'!DO:EP,16,FALSE)</f>
        <v>0</v>
      </c>
      <c r="S130" s="119">
        <f>VLOOKUP(C130,'Talente &amp; Stuff'!DO:EP,17,FALSE)</f>
        <v>0</v>
      </c>
      <c r="T130" s="119">
        <f>VLOOKUP(C130,'Talente &amp; Stuff'!DO:EP,18,FALSE)</f>
        <v>0</v>
      </c>
      <c r="U130" s="89">
        <f>VLOOKUP(C130,'Talente &amp; Stuff'!DO:EP,19,FALSE)</f>
        <v>0</v>
      </c>
      <c r="V130" s="47">
        <f>VLOOKUP(C130,'Talente &amp; Stuff'!DO:EP,20,FALSE)</f>
        <v>0</v>
      </c>
      <c r="W130" s="127">
        <f>VLOOKUP(C130,'Talente &amp; Stuff'!DO:EP,21,FALSE)</f>
        <v>0</v>
      </c>
      <c r="X130" s="127">
        <f>VLOOKUP(C130,'Talente &amp; Stuff'!DO:EP,22,FALSE)</f>
        <v>0</v>
      </c>
      <c r="Y130" s="165">
        <f t="shared" si="14"/>
        <v>0</v>
      </c>
      <c r="Z130" s="44">
        <f t="shared" si="15"/>
        <v>0</v>
      </c>
      <c r="AA130" s="125">
        <f>VLOOKUP(C130,'Talente &amp; Stuff'!DO:EP,25,FALSE)</f>
        <v>0</v>
      </c>
      <c r="AB130" s="160">
        <f>VLOOKUP(C130,'Talente &amp; Stuff'!DO:EP,26,FALSE)</f>
        <v>0</v>
      </c>
      <c r="AC130" s="127">
        <f>VLOOKUP(C130,'Talente &amp; Stuff'!DO:EP,27,FALSE)</f>
        <v>0</v>
      </c>
      <c r="AD130" s="125">
        <f>VLOOKUP(C130,'Talente &amp; Stuff'!DO:EP,28,FALSE)</f>
        <v>0</v>
      </c>
      <c r="AE130" s="28"/>
    </row>
    <row r="131" spans="2:31" ht="15" hidden="1" customHeight="1" outlineLevel="2">
      <c r="B131" s="148">
        <v>4</v>
      </c>
      <c r="C131" s="177" t="str">
        <f>Attribute!C131</f>
        <v>---</v>
      </c>
      <c r="D131" s="125" t="str">
        <f>VLOOKUP(C131,'Talente &amp; Stuff'!DO:EP,2,FALSE)</f>
        <v>--/--/--</v>
      </c>
      <c r="E131" s="127" t="str">
        <f>VLOOKUP(C131,'Talente &amp; Stuff'!DO:EP,3,FALSE)</f>
        <v>-</v>
      </c>
      <c r="F131" s="114">
        <f>VLOOKUP(C131,'Talente &amp; Stuff'!DO:EP,4,FALSE)</f>
        <v>0</v>
      </c>
      <c r="G131" s="113">
        <f>VLOOKUP(C131,'Talente &amp; Stuff'!DO:EP,5,FALSE)</f>
        <v>0</v>
      </c>
      <c r="H131" s="113">
        <f>VLOOKUP(C131,'Talente &amp; Stuff'!DO:EP,6,FALSE)</f>
        <v>0</v>
      </c>
      <c r="I131" s="113">
        <f>VLOOKUP(C131,'Talente &amp; Stuff'!DO:EP,7,FALSE)</f>
        <v>0</v>
      </c>
      <c r="J131" s="113">
        <f>VLOOKUP(C131,'Talente &amp; Stuff'!DO:EP,8,FALSE)</f>
        <v>0</v>
      </c>
      <c r="K131" s="113">
        <f>VLOOKUP(C131,'Talente &amp; Stuff'!DO:EP,9,FALSE)</f>
        <v>0</v>
      </c>
      <c r="L131" s="113">
        <f>VLOOKUP(C131,'Talente &amp; Stuff'!DO:EP,10,FALSE)</f>
        <v>0</v>
      </c>
      <c r="M131" s="119">
        <f>VLOOKUP(C131,'Talente &amp; Stuff'!DO:EP,11,FALSE)</f>
        <v>0</v>
      </c>
      <c r="N131" s="47">
        <f>VLOOKUP(C131,'Talente &amp; Stuff'!DO:EP,12,FALSE)</f>
        <v>0</v>
      </c>
      <c r="O131" s="47">
        <f>VLOOKUP(C131,'Talente &amp; Stuff'!DO:EP,13,FALSE)</f>
        <v>0</v>
      </c>
      <c r="P131" s="119">
        <f>VLOOKUP(C131,'Talente &amp; Stuff'!DO:EP,14,FALSE)</f>
        <v>0</v>
      </c>
      <c r="Q131" s="114">
        <f>VLOOKUP(C131,'Talente &amp; Stuff'!DO:EP,15,FALSE)</f>
        <v>0</v>
      </c>
      <c r="R131" s="113">
        <f>VLOOKUP(C131,'Talente &amp; Stuff'!DO:EP,16,FALSE)</f>
        <v>0</v>
      </c>
      <c r="S131" s="119">
        <f>VLOOKUP(C131,'Talente &amp; Stuff'!DO:EP,17,FALSE)</f>
        <v>0</v>
      </c>
      <c r="T131" s="119">
        <f>VLOOKUP(C131,'Talente &amp; Stuff'!DO:EP,18,FALSE)</f>
        <v>0</v>
      </c>
      <c r="U131" s="89">
        <f>VLOOKUP(C131,'Talente &amp; Stuff'!DO:EP,19,FALSE)</f>
        <v>0</v>
      </c>
      <c r="V131" s="47">
        <f>VLOOKUP(C131,'Talente &amp; Stuff'!DO:EP,20,FALSE)</f>
        <v>0</v>
      </c>
      <c r="W131" s="127">
        <f>VLOOKUP(C131,'Talente &amp; Stuff'!DO:EP,21,FALSE)</f>
        <v>0</v>
      </c>
      <c r="X131" s="127">
        <f>VLOOKUP(C131,'Talente &amp; Stuff'!DO:EP,22,FALSE)</f>
        <v>0</v>
      </c>
      <c r="Y131" s="165">
        <f t="shared" si="14"/>
        <v>0</v>
      </c>
      <c r="Z131" s="44">
        <f t="shared" si="15"/>
        <v>0</v>
      </c>
      <c r="AA131" s="125">
        <f>VLOOKUP(C131,'Talente &amp; Stuff'!DO:EP,25,FALSE)</f>
        <v>0</v>
      </c>
      <c r="AB131" s="160">
        <f>VLOOKUP(C131,'Talente &amp; Stuff'!DO:EP,26,FALSE)</f>
        <v>0</v>
      </c>
      <c r="AC131" s="127">
        <f>VLOOKUP(C131,'Talente &amp; Stuff'!DO:EP,27,FALSE)</f>
        <v>0</v>
      </c>
      <c r="AD131" s="125">
        <f>VLOOKUP(C131,'Talente &amp; Stuff'!DO:EP,28,FALSE)</f>
        <v>0</v>
      </c>
      <c r="AE131" s="28"/>
    </row>
    <row r="132" spans="2:31" ht="15" hidden="1" customHeight="1" outlineLevel="2">
      <c r="B132" s="148">
        <v>5</v>
      </c>
      <c r="C132" s="177" t="str">
        <f>Attribute!C132</f>
        <v>---</v>
      </c>
      <c r="D132" s="125" t="str">
        <f>VLOOKUP(C132,'Talente &amp; Stuff'!DO:EP,2,FALSE)</f>
        <v>--/--/--</v>
      </c>
      <c r="E132" s="127" t="str">
        <f>VLOOKUP(C132,'Talente &amp; Stuff'!DO:EP,3,FALSE)</f>
        <v>-</v>
      </c>
      <c r="F132" s="114">
        <f>VLOOKUP(C132,'Talente &amp; Stuff'!DO:EP,4,FALSE)</f>
        <v>0</v>
      </c>
      <c r="G132" s="113">
        <f>VLOOKUP(C132,'Talente &amp; Stuff'!DO:EP,5,FALSE)</f>
        <v>0</v>
      </c>
      <c r="H132" s="113">
        <f>VLOOKUP(C132,'Talente &amp; Stuff'!DO:EP,6,FALSE)</f>
        <v>0</v>
      </c>
      <c r="I132" s="113">
        <f>VLOOKUP(C132,'Talente &amp; Stuff'!DO:EP,7,FALSE)</f>
        <v>0</v>
      </c>
      <c r="J132" s="113">
        <f>VLOOKUP(C132,'Talente &amp; Stuff'!DO:EP,8,FALSE)</f>
        <v>0</v>
      </c>
      <c r="K132" s="113">
        <f>VLOOKUP(C132,'Talente &amp; Stuff'!DO:EP,9,FALSE)</f>
        <v>0</v>
      </c>
      <c r="L132" s="113">
        <f>VLOOKUP(C132,'Talente &amp; Stuff'!DO:EP,10,FALSE)</f>
        <v>0</v>
      </c>
      <c r="M132" s="119">
        <f>VLOOKUP(C132,'Talente &amp; Stuff'!DO:EP,11,FALSE)</f>
        <v>0</v>
      </c>
      <c r="N132" s="47">
        <f>VLOOKUP(C132,'Talente &amp; Stuff'!DO:EP,12,FALSE)</f>
        <v>0</v>
      </c>
      <c r="O132" s="47">
        <f>VLOOKUP(C132,'Talente &amp; Stuff'!DO:EP,13,FALSE)</f>
        <v>0</v>
      </c>
      <c r="P132" s="119">
        <f>VLOOKUP(C132,'Talente &amp; Stuff'!DO:EP,14,FALSE)</f>
        <v>0</v>
      </c>
      <c r="Q132" s="114">
        <f>VLOOKUP(C132,'Talente &amp; Stuff'!DO:EP,15,FALSE)</f>
        <v>0</v>
      </c>
      <c r="R132" s="113">
        <f>VLOOKUP(C132,'Talente &amp; Stuff'!DO:EP,16,FALSE)</f>
        <v>0</v>
      </c>
      <c r="S132" s="119">
        <f>VLOOKUP(C132,'Talente &amp; Stuff'!DO:EP,17,FALSE)</f>
        <v>0</v>
      </c>
      <c r="T132" s="119">
        <f>VLOOKUP(C132,'Talente &amp; Stuff'!DO:EP,18,FALSE)</f>
        <v>0</v>
      </c>
      <c r="U132" s="89">
        <f>VLOOKUP(C132,'Talente &amp; Stuff'!DO:EP,19,FALSE)</f>
        <v>0</v>
      </c>
      <c r="V132" s="47">
        <f>VLOOKUP(C132,'Talente &amp; Stuff'!DO:EP,20,FALSE)</f>
        <v>0</v>
      </c>
      <c r="W132" s="127">
        <f>VLOOKUP(C132,'Talente &amp; Stuff'!DO:EP,21,FALSE)</f>
        <v>0</v>
      </c>
      <c r="X132" s="127">
        <f>VLOOKUP(C132,'Talente &amp; Stuff'!DO:EP,22,FALSE)</f>
        <v>0</v>
      </c>
      <c r="Y132" s="165">
        <f t="shared" si="14"/>
        <v>0</v>
      </c>
      <c r="Z132" s="44">
        <f t="shared" si="15"/>
        <v>0</v>
      </c>
      <c r="AA132" s="125">
        <f>VLOOKUP(C132,'Talente &amp; Stuff'!DO:EP,25,FALSE)</f>
        <v>0</v>
      </c>
      <c r="AB132" s="160">
        <f>VLOOKUP(C132,'Talente &amp; Stuff'!DO:EP,26,FALSE)</f>
        <v>0</v>
      </c>
      <c r="AC132" s="127">
        <f>VLOOKUP(C132,'Talente &amp; Stuff'!DO:EP,27,FALSE)</f>
        <v>0</v>
      </c>
      <c r="AD132" s="125">
        <f>VLOOKUP(C132,'Talente &amp; Stuff'!DO:EP,28,FALSE)</f>
        <v>0</v>
      </c>
      <c r="AE132" s="28"/>
    </row>
    <row r="133" spans="2:31" ht="15" hidden="1" customHeight="1" outlineLevel="2">
      <c r="B133" s="148">
        <v>6</v>
      </c>
      <c r="C133" s="177" t="str">
        <f>Attribute!C133</f>
        <v>---</v>
      </c>
      <c r="D133" s="125" t="str">
        <f>VLOOKUP(C133,'Talente &amp; Stuff'!DO:EP,2,FALSE)</f>
        <v>--/--/--</v>
      </c>
      <c r="E133" s="127" t="str">
        <f>VLOOKUP(C133,'Talente &amp; Stuff'!DO:EP,3,FALSE)</f>
        <v>-</v>
      </c>
      <c r="F133" s="114">
        <f>VLOOKUP(C133,'Talente &amp; Stuff'!DO:EP,4,FALSE)</f>
        <v>0</v>
      </c>
      <c r="G133" s="113">
        <f>VLOOKUP(C133,'Talente &amp; Stuff'!DO:EP,5,FALSE)</f>
        <v>0</v>
      </c>
      <c r="H133" s="113">
        <f>VLOOKUP(C133,'Talente &amp; Stuff'!DO:EP,6,FALSE)</f>
        <v>0</v>
      </c>
      <c r="I133" s="113">
        <f>VLOOKUP(C133,'Talente &amp; Stuff'!DO:EP,7,FALSE)</f>
        <v>0</v>
      </c>
      <c r="J133" s="113">
        <f>VLOOKUP(C133,'Talente &amp; Stuff'!DO:EP,8,FALSE)</f>
        <v>0</v>
      </c>
      <c r="K133" s="113">
        <f>VLOOKUP(C133,'Talente &amp; Stuff'!DO:EP,9,FALSE)</f>
        <v>0</v>
      </c>
      <c r="L133" s="113">
        <f>VLOOKUP(C133,'Talente &amp; Stuff'!DO:EP,10,FALSE)</f>
        <v>0</v>
      </c>
      <c r="M133" s="119">
        <f>VLOOKUP(C133,'Talente &amp; Stuff'!DO:EP,11,FALSE)</f>
        <v>0</v>
      </c>
      <c r="N133" s="47">
        <f>VLOOKUP(C133,'Talente &amp; Stuff'!DO:EP,12,FALSE)</f>
        <v>0</v>
      </c>
      <c r="O133" s="47">
        <f>VLOOKUP(C133,'Talente &amp; Stuff'!DO:EP,13,FALSE)</f>
        <v>0</v>
      </c>
      <c r="P133" s="119">
        <f>VLOOKUP(C133,'Talente &amp; Stuff'!DO:EP,14,FALSE)</f>
        <v>0</v>
      </c>
      <c r="Q133" s="114">
        <f>VLOOKUP(C133,'Talente &amp; Stuff'!DO:EP,15,FALSE)</f>
        <v>0</v>
      </c>
      <c r="R133" s="113">
        <f>VLOOKUP(C133,'Talente &amp; Stuff'!DO:EP,16,FALSE)</f>
        <v>0</v>
      </c>
      <c r="S133" s="119">
        <f>VLOOKUP(C133,'Talente &amp; Stuff'!DO:EP,17,FALSE)</f>
        <v>0</v>
      </c>
      <c r="T133" s="119">
        <f>VLOOKUP(C133,'Talente &amp; Stuff'!DO:EP,18,FALSE)</f>
        <v>0</v>
      </c>
      <c r="U133" s="89">
        <f>VLOOKUP(C133,'Talente &amp; Stuff'!DO:EP,19,FALSE)</f>
        <v>0</v>
      </c>
      <c r="V133" s="47">
        <f>VLOOKUP(C133,'Talente &amp; Stuff'!DO:EP,20,FALSE)</f>
        <v>0</v>
      </c>
      <c r="W133" s="127">
        <f>VLOOKUP(C133,'Talente &amp; Stuff'!DO:EP,21,FALSE)</f>
        <v>0</v>
      </c>
      <c r="X133" s="127">
        <f>VLOOKUP(C133,'Talente &amp; Stuff'!DO:EP,22,FALSE)</f>
        <v>0</v>
      </c>
      <c r="Y133" s="165">
        <f t="shared" si="14"/>
        <v>0</v>
      </c>
      <c r="Z133" s="44">
        <f t="shared" si="15"/>
        <v>0</v>
      </c>
      <c r="AA133" s="125">
        <f>VLOOKUP(C133,'Talente &amp; Stuff'!DO:EP,25,FALSE)</f>
        <v>0</v>
      </c>
      <c r="AB133" s="160">
        <f>VLOOKUP(C133,'Talente &amp; Stuff'!DO:EP,26,FALSE)</f>
        <v>0</v>
      </c>
      <c r="AC133" s="127">
        <f>VLOOKUP(C133,'Talente &amp; Stuff'!DO:EP,27,FALSE)</f>
        <v>0</v>
      </c>
      <c r="AD133" s="125">
        <f>VLOOKUP(C133,'Talente &amp; Stuff'!DO:EP,28,FALSE)</f>
        <v>0</v>
      </c>
      <c r="AE133" s="28"/>
    </row>
    <row r="134" spans="2:31" ht="15" hidden="1" customHeight="1" outlineLevel="2">
      <c r="B134" s="148">
        <v>7</v>
      </c>
      <c r="C134" s="177" t="str">
        <f>Attribute!C134</f>
        <v>---</v>
      </c>
      <c r="D134" s="125" t="str">
        <f>VLOOKUP(C134,'Talente &amp; Stuff'!DO:EP,2,FALSE)</f>
        <v>--/--/--</v>
      </c>
      <c r="E134" s="127" t="str">
        <f>VLOOKUP(C134,'Talente &amp; Stuff'!DO:EP,3,FALSE)</f>
        <v>-</v>
      </c>
      <c r="F134" s="114">
        <f>VLOOKUP(C134,'Talente &amp; Stuff'!DO:EP,4,FALSE)</f>
        <v>0</v>
      </c>
      <c r="G134" s="113">
        <f>VLOOKUP(C134,'Talente &amp; Stuff'!DO:EP,5,FALSE)</f>
        <v>0</v>
      </c>
      <c r="H134" s="113">
        <f>VLOOKUP(C134,'Talente &amp; Stuff'!DO:EP,6,FALSE)</f>
        <v>0</v>
      </c>
      <c r="I134" s="113">
        <f>VLOOKUP(C134,'Talente &amp; Stuff'!DO:EP,7,FALSE)</f>
        <v>0</v>
      </c>
      <c r="J134" s="113">
        <f>VLOOKUP(C134,'Talente &amp; Stuff'!DO:EP,8,FALSE)</f>
        <v>0</v>
      </c>
      <c r="K134" s="113">
        <f>VLOOKUP(C134,'Talente &amp; Stuff'!DO:EP,9,FALSE)</f>
        <v>0</v>
      </c>
      <c r="L134" s="113">
        <f>VLOOKUP(C134,'Talente &amp; Stuff'!DO:EP,10,FALSE)</f>
        <v>0</v>
      </c>
      <c r="M134" s="119">
        <f>VLOOKUP(C134,'Talente &amp; Stuff'!DO:EP,11,FALSE)</f>
        <v>0</v>
      </c>
      <c r="N134" s="47">
        <f>VLOOKUP(C134,'Talente &amp; Stuff'!DO:EP,12,FALSE)</f>
        <v>0</v>
      </c>
      <c r="O134" s="47">
        <f>VLOOKUP(C134,'Talente &amp; Stuff'!DO:EP,13,FALSE)</f>
        <v>0</v>
      </c>
      <c r="P134" s="119">
        <f>VLOOKUP(C134,'Talente &amp; Stuff'!DO:EP,14,FALSE)</f>
        <v>0</v>
      </c>
      <c r="Q134" s="114">
        <f>VLOOKUP(C134,'Talente &amp; Stuff'!DO:EP,15,FALSE)</f>
        <v>0</v>
      </c>
      <c r="R134" s="113">
        <f>VLOOKUP(C134,'Talente &amp; Stuff'!DO:EP,16,FALSE)</f>
        <v>0</v>
      </c>
      <c r="S134" s="119">
        <f>VLOOKUP(C134,'Talente &amp; Stuff'!DO:EP,17,FALSE)</f>
        <v>0</v>
      </c>
      <c r="T134" s="119">
        <f>VLOOKUP(C134,'Talente &amp; Stuff'!DO:EP,18,FALSE)</f>
        <v>0</v>
      </c>
      <c r="U134" s="89">
        <f>VLOOKUP(C134,'Talente &amp; Stuff'!DO:EP,19,FALSE)</f>
        <v>0</v>
      </c>
      <c r="V134" s="47">
        <f>VLOOKUP(C134,'Talente &amp; Stuff'!DO:EP,20,FALSE)</f>
        <v>0</v>
      </c>
      <c r="W134" s="127">
        <f>VLOOKUP(C134,'Talente &amp; Stuff'!DO:EP,21,FALSE)</f>
        <v>0</v>
      </c>
      <c r="X134" s="127">
        <f>VLOOKUP(C134,'Talente &amp; Stuff'!DO:EP,22,FALSE)</f>
        <v>0</v>
      </c>
      <c r="Y134" s="165">
        <f t="shared" si="14"/>
        <v>0</v>
      </c>
      <c r="Z134" s="44">
        <f t="shared" si="15"/>
        <v>0</v>
      </c>
      <c r="AA134" s="125">
        <f>VLOOKUP(C134,'Talente &amp; Stuff'!DO:EP,25,FALSE)</f>
        <v>0</v>
      </c>
      <c r="AB134" s="160">
        <f>VLOOKUP(C134,'Talente &amp; Stuff'!DO:EP,26,FALSE)</f>
        <v>0</v>
      </c>
      <c r="AC134" s="127">
        <f>VLOOKUP(C134,'Talente &amp; Stuff'!DO:EP,27,FALSE)</f>
        <v>0</v>
      </c>
      <c r="AD134" s="125">
        <f>VLOOKUP(C134,'Talente &amp; Stuff'!DO:EP,28,FALSE)</f>
        <v>0</v>
      </c>
      <c r="AE134" s="28"/>
    </row>
    <row r="135" spans="2:31" ht="15" hidden="1" customHeight="1" outlineLevel="2">
      <c r="B135" s="148">
        <v>8</v>
      </c>
      <c r="C135" s="177" t="str">
        <f>Attribute!C135</f>
        <v>---</v>
      </c>
      <c r="D135" s="125" t="str">
        <f>VLOOKUP(C135,'Talente &amp; Stuff'!DO:EP,2,FALSE)</f>
        <v>--/--/--</v>
      </c>
      <c r="E135" s="127" t="str">
        <f>VLOOKUP(C135,'Talente &amp; Stuff'!DO:EP,3,FALSE)</f>
        <v>-</v>
      </c>
      <c r="F135" s="114">
        <f>VLOOKUP(C135,'Talente &amp; Stuff'!DO:EP,4,FALSE)</f>
        <v>0</v>
      </c>
      <c r="G135" s="113">
        <f>VLOOKUP(C135,'Talente &amp; Stuff'!DO:EP,5,FALSE)</f>
        <v>0</v>
      </c>
      <c r="H135" s="113">
        <f>VLOOKUP(C135,'Talente &amp; Stuff'!DO:EP,6,FALSE)</f>
        <v>0</v>
      </c>
      <c r="I135" s="113">
        <f>VLOOKUP(C135,'Talente &amp; Stuff'!DO:EP,7,FALSE)</f>
        <v>0</v>
      </c>
      <c r="J135" s="113">
        <f>VLOOKUP(C135,'Talente &amp; Stuff'!DO:EP,8,FALSE)</f>
        <v>0</v>
      </c>
      <c r="K135" s="113">
        <f>VLOOKUP(C135,'Talente &amp; Stuff'!DO:EP,9,FALSE)</f>
        <v>0</v>
      </c>
      <c r="L135" s="113">
        <f>VLOOKUP(C135,'Talente &amp; Stuff'!DO:EP,10,FALSE)</f>
        <v>0</v>
      </c>
      <c r="M135" s="119">
        <f>VLOOKUP(C135,'Talente &amp; Stuff'!DO:EP,11,FALSE)</f>
        <v>0</v>
      </c>
      <c r="N135" s="47">
        <f>VLOOKUP(C135,'Talente &amp; Stuff'!DO:EP,12,FALSE)</f>
        <v>0</v>
      </c>
      <c r="O135" s="47">
        <f>VLOOKUP(C135,'Talente &amp; Stuff'!DO:EP,13,FALSE)</f>
        <v>0</v>
      </c>
      <c r="P135" s="119">
        <f>VLOOKUP(C135,'Talente &amp; Stuff'!DO:EP,14,FALSE)</f>
        <v>0</v>
      </c>
      <c r="Q135" s="114">
        <f>VLOOKUP(C135,'Talente &amp; Stuff'!DO:EP,15,FALSE)</f>
        <v>0</v>
      </c>
      <c r="R135" s="113">
        <f>VLOOKUP(C135,'Talente &amp; Stuff'!DO:EP,16,FALSE)</f>
        <v>0</v>
      </c>
      <c r="S135" s="119">
        <f>VLOOKUP(C135,'Talente &amp; Stuff'!DO:EP,17,FALSE)</f>
        <v>0</v>
      </c>
      <c r="T135" s="119">
        <f>VLOOKUP(C135,'Talente &amp; Stuff'!DO:EP,18,FALSE)</f>
        <v>0</v>
      </c>
      <c r="U135" s="89">
        <f>VLOOKUP(C135,'Talente &amp; Stuff'!DO:EP,19,FALSE)</f>
        <v>0</v>
      </c>
      <c r="V135" s="47">
        <f>VLOOKUP(C135,'Talente &amp; Stuff'!DO:EP,20,FALSE)</f>
        <v>0</v>
      </c>
      <c r="W135" s="127">
        <f>VLOOKUP(C135,'Talente &amp; Stuff'!DO:EP,21,FALSE)</f>
        <v>0</v>
      </c>
      <c r="X135" s="127">
        <f>VLOOKUP(C135,'Talente &amp; Stuff'!DO:EP,22,FALSE)</f>
        <v>0</v>
      </c>
      <c r="Y135" s="165">
        <f t="shared" si="14"/>
        <v>0</v>
      </c>
      <c r="Z135" s="44">
        <f t="shared" si="15"/>
        <v>0</v>
      </c>
      <c r="AA135" s="125">
        <f>VLOOKUP(C135,'Talente &amp; Stuff'!DO:EP,25,FALSE)</f>
        <v>0</v>
      </c>
      <c r="AB135" s="160">
        <f>VLOOKUP(C135,'Talente &amp; Stuff'!DO:EP,26,FALSE)</f>
        <v>0</v>
      </c>
      <c r="AC135" s="127">
        <f>VLOOKUP(C135,'Talente &amp; Stuff'!DO:EP,27,FALSE)</f>
        <v>0</v>
      </c>
      <c r="AD135" s="125">
        <f>VLOOKUP(C135,'Talente &amp; Stuff'!DO:EP,28,FALSE)</f>
        <v>0</v>
      </c>
      <c r="AE135" s="28"/>
    </row>
    <row r="136" spans="2:31" ht="15" hidden="1" customHeight="1" outlineLevel="2">
      <c r="B136" s="148">
        <v>9</v>
      </c>
      <c r="C136" s="177" t="str">
        <f>Attribute!C136</f>
        <v>---</v>
      </c>
      <c r="D136" s="125" t="str">
        <f>VLOOKUP(C136,'Talente &amp; Stuff'!DO:EP,2,FALSE)</f>
        <v>--/--/--</v>
      </c>
      <c r="E136" s="127" t="str">
        <f>VLOOKUP(C136,'Talente &amp; Stuff'!DO:EP,3,FALSE)</f>
        <v>-</v>
      </c>
      <c r="F136" s="114">
        <f>VLOOKUP(C136,'Talente &amp; Stuff'!DO:EP,4,FALSE)</f>
        <v>0</v>
      </c>
      <c r="G136" s="113">
        <f>VLOOKUP(C136,'Talente &amp; Stuff'!DO:EP,5,FALSE)</f>
        <v>0</v>
      </c>
      <c r="H136" s="113">
        <f>VLOOKUP(C136,'Talente &amp; Stuff'!DO:EP,6,FALSE)</f>
        <v>0</v>
      </c>
      <c r="I136" s="113">
        <f>VLOOKUP(C136,'Talente &amp; Stuff'!DO:EP,7,FALSE)</f>
        <v>0</v>
      </c>
      <c r="J136" s="113">
        <f>VLOOKUP(C136,'Talente &amp; Stuff'!DO:EP,8,FALSE)</f>
        <v>0</v>
      </c>
      <c r="K136" s="113">
        <f>VLOOKUP(C136,'Talente &amp; Stuff'!DO:EP,9,FALSE)</f>
        <v>0</v>
      </c>
      <c r="L136" s="113">
        <f>VLOOKUP(C136,'Talente &amp; Stuff'!DO:EP,10,FALSE)</f>
        <v>0</v>
      </c>
      <c r="M136" s="119">
        <f>VLOOKUP(C136,'Talente &amp; Stuff'!DO:EP,11,FALSE)</f>
        <v>0</v>
      </c>
      <c r="N136" s="47">
        <f>VLOOKUP(C136,'Talente &amp; Stuff'!DO:EP,12,FALSE)</f>
        <v>0</v>
      </c>
      <c r="O136" s="47">
        <f>VLOOKUP(C136,'Talente &amp; Stuff'!DO:EP,13,FALSE)</f>
        <v>0</v>
      </c>
      <c r="P136" s="119">
        <f>VLOOKUP(C136,'Talente &amp; Stuff'!DO:EP,14,FALSE)</f>
        <v>0</v>
      </c>
      <c r="Q136" s="114">
        <f>VLOOKUP(C136,'Talente &amp; Stuff'!DO:EP,15,FALSE)</f>
        <v>0</v>
      </c>
      <c r="R136" s="113">
        <f>VLOOKUP(C136,'Talente &amp; Stuff'!DO:EP,16,FALSE)</f>
        <v>0</v>
      </c>
      <c r="S136" s="119">
        <f>VLOOKUP(C136,'Talente &amp; Stuff'!DO:EP,17,FALSE)</f>
        <v>0</v>
      </c>
      <c r="T136" s="119">
        <f>VLOOKUP(C136,'Talente &amp; Stuff'!DO:EP,18,FALSE)</f>
        <v>0</v>
      </c>
      <c r="U136" s="89">
        <f>VLOOKUP(C136,'Talente &amp; Stuff'!DO:EP,19,FALSE)</f>
        <v>0</v>
      </c>
      <c r="V136" s="47">
        <f>VLOOKUP(C136,'Talente &amp; Stuff'!DO:EP,20,FALSE)</f>
        <v>0</v>
      </c>
      <c r="W136" s="127">
        <f>VLOOKUP(C136,'Talente &amp; Stuff'!DO:EP,21,FALSE)</f>
        <v>0</v>
      </c>
      <c r="X136" s="127">
        <f>VLOOKUP(C136,'Talente &amp; Stuff'!DO:EP,22,FALSE)</f>
        <v>0</v>
      </c>
      <c r="Y136" s="165">
        <f t="shared" si="14"/>
        <v>0</v>
      </c>
      <c r="Z136" s="44">
        <f t="shared" si="15"/>
        <v>0</v>
      </c>
      <c r="AA136" s="125">
        <f>VLOOKUP(C136,'Talente &amp; Stuff'!DO:EP,25,FALSE)</f>
        <v>0</v>
      </c>
      <c r="AB136" s="160">
        <f>VLOOKUP(C136,'Talente &amp; Stuff'!DO:EP,26,FALSE)</f>
        <v>0</v>
      </c>
      <c r="AC136" s="127">
        <f>VLOOKUP(C136,'Talente &amp; Stuff'!DO:EP,27,FALSE)</f>
        <v>0</v>
      </c>
      <c r="AD136" s="125">
        <f>VLOOKUP(C136,'Talente &amp; Stuff'!DO:EP,28,FALSE)</f>
        <v>0</v>
      </c>
      <c r="AE136" s="28"/>
    </row>
    <row r="137" spans="2:31" ht="15" hidden="1" customHeight="1" outlineLevel="2">
      <c r="B137" s="148">
        <v>10</v>
      </c>
      <c r="C137" s="177" t="str">
        <f>Attribute!C137</f>
        <v>---</v>
      </c>
      <c r="D137" s="125" t="str">
        <f>VLOOKUP(C137,'Talente &amp; Stuff'!DO:EP,2,FALSE)</f>
        <v>--/--/--</v>
      </c>
      <c r="E137" s="127" t="str">
        <f>VLOOKUP(C137,'Talente &amp; Stuff'!DO:EP,3,FALSE)</f>
        <v>-</v>
      </c>
      <c r="F137" s="114">
        <f>VLOOKUP(C137,'Talente &amp; Stuff'!DO:EP,4,FALSE)</f>
        <v>0</v>
      </c>
      <c r="G137" s="113">
        <f>VLOOKUP(C137,'Talente &amp; Stuff'!DO:EP,5,FALSE)</f>
        <v>0</v>
      </c>
      <c r="H137" s="113">
        <f>VLOOKUP(C137,'Talente &amp; Stuff'!DO:EP,6,FALSE)</f>
        <v>0</v>
      </c>
      <c r="I137" s="113">
        <f>VLOOKUP(C137,'Talente &amp; Stuff'!DO:EP,7,FALSE)</f>
        <v>0</v>
      </c>
      <c r="J137" s="113">
        <f>VLOOKUP(C137,'Talente &amp; Stuff'!DO:EP,8,FALSE)</f>
        <v>0</v>
      </c>
      <c r="K137" s="113">
        <f>VLOOKUP(C137,'Talente &amp; Stuff'!DO:EP,9,FALSE)</f>
        <v>0</v>
      </c>
      <c r="L137" s="113">
        <f>VLOOKUP(C137,'Talente &amp; Stuff'!DO:EP,10,FALSE)</f>
        <v>0</v>
      </c>
      <c r="M137" s="119">
        <f>VLOOKUP(C137,'Talente &amp; Stuff'!DO:EP,11,FALSE)</f>
        <v>0</v>
      </c>
      <c r="N137" s="47">
        <f>VLOOKUP(C137,'Talente &amp; Stuff'!DO:EP,12,FALSE)</f>
        <v>0</v>
      </c>
      <c r="O137" s="47">
        <f>VLOOKUP(C137,'Talente &amp; Stuff'!DO:EP,13,FALSE)</f>
        <v>0</v>
      </c>
      <c r="P137" s="119">
        <f>VLOOKUP(C137,'Talente &amp; Stuff'!DO:EP,14,FALSE)</f>
        <v>0</v>
      </c>
      <c r="Q137" s="114">
        <f>VLOOKUP(C137,'Talente &amp; Stuff'!DO:EP,15,FALSE)</f>
        <v>0</v>
      </c>
      <c r="R137" s="113">
        <f>VLOOKUP(C137,'Talente &amp; Stuff'!DO:EP,16,FALSE)</f>
        <v>0</v>
      </c>
      <c r="S137" s="119">
        <f>VLOOKUP(C137,'Talente &amp; Stuff'!DO:EP,17,FALSE)</f>
        <v>0</v>
      </c>
      <c r="T137" s="119">
        <f>VLOOKUP(C137,'Talente &amp; Stuff'!DO:EP,18,FALSE)</f>
        <v>0</v>
      </c>
      <c r="U137" s="89">
        <f>VLOOKUP(C137,'Talente &amp; Stuff'!DO:EP,19,FALSE)</f>
        <v>0</v>
      </c>
      <c r="V137" s="47">
        <f>VLOOKUP(C137,'Talente &amp; Stuff'!DO:EP,20,FALSE)</f>
        <v>0</v>
      </c>
      <c r="W137" s="127">
        <f>VLOOKUP(C137,'Talente &amp; Stuff'!DO:EP,21,FALSE)</f>
        <v>0</v>
      </c>
      <c r="X137" s="127">
        <f>VLOOKUP(C137,'Talente &amp; Stuff'!DO:EP,22,FALSE)</f>
        <v>0</v>
      </c>
      <c r="Y137" s="165">
        <f t="shared" si="14"/>
        <v>0</v>
      </c>
      <c r="Z137" s="44">
        <f t="shared" si="15"/>
        <v>0</v>
      </c>
      <c r="AA137" s="125">
        <f>VLOOKUP(C137,'Talente &amp; Stuff'!DO:EP,25,FALSE)</f>
        <v>0</v>
      </c>
      <c r="AB137" s="160">
        <f>VLOOKUP(C137,'Talente &amp; Stuff'!DO:EP,26,FALSE)</f>
        <v>0</v>
      </c>
      <c r="AC137" s="127">
        <f>VLOOKUP(C137,'Talente &amp; Stuff'!DO:EP,27,FALSE)</f>
        <v>0</v>
      </c>
      <c r="AD137" s="125">
        <f>VLOOKUP(C137,'Talente &amp; Stuff'!DO:EP,28,FALSE)</f>
        <v>0</v>
      </c>
      <c r="AE137" s="28"/>
    </row>
    <row r="138" spans="2:31" ht="15" hidden="1" customHeight="1" outlineLevel="2">
      <c r="B138" s="148">
        <v>11</v>
      </c>
      <c r="C138" s="177" t="str">
        <f>Attribute!C138</f>
        <v>---</v>
      </c>
      <c r="D138" s="125" t="str">
        <f>VLOOKUP(C138,'Talente &amp; Stuff'!DO:EP,2,FALSE)</f>
        <v>--/--/--</v>
      </c>
      <c r="E138" s="127" t="str">
        <f>VLOOKUP(C138,'Talente &amp; Stuff'!DO:EP,3,FALSE)</f>
        <v>-</v>
      </c>
      <c r="F138" s="114">
        <f>VLOOKUP(C138,'Talente &amp; Stuff'!DO:EP,4,FALSE)</f>
        <v>0</v>
      </c>
      <c r="G138" s="113">
        <f>VLOOKUP(C138,'Talente &amp; Stuff'!DO:EP,5,FALSE)</f>
        <v>0</v>
      </c>
      <c r="H138" s="113">
        <f>VLOOKUP(C138,'Talente &amp; Stuff'!DO:EP,6,FALSE)</f>
        <v>0</v>
      </c>
      <c r="I138" s="113">
        <f>VLOOKUP(C138,'Talente &amp; Stuff'!DO:EP,7,FALSE)</f>
        <v>0</v>
      </c>
      <c r="J138" s="113">
        <f>VLOOKUP(C138,'Talente &amp; Stuff'!DO:EP,8,FALSE)</f>
        <v>0</v>
      </c>
      <c r="K138" s="113">
        <f>VLOOKUP(C138,'Talente &amp; Stuff'!DO:EP,9,FALSE)</f>
        <v>0</v>
      </c>
      <c r="L138" s="113">
        <f>VLOOKUP(C138,'Talente &amp; Stuff'!DO:EP,10,FALSE)</f>
        <v>0</v>
      </c>
      <c r="M138" s="119">
        <f>VLOOKUP(C138,'Talente &amp; Stuff'!DO:EP,11,FALSE)</f>
        <v>0</v>
      </c>
      <c r="N138" s="47">
        <f>VLOOKUP(C138,'Talente &amp; Stuff'!DO:EP,12,FALSE)</f>
        <v>0</v>
      </c>
      <c r="O138" s="47">
        <f>VLOOKUP(C138,'Talente &amp; Stuff'!DO:EP,13,FALSE)</f>
        <v>0</v>
      </c>
      <c r="P138" s="119">
        <f>VLOOKUP(C138,'Talente &amp; Stuff'!DO:EP,14,FALSE)</f>
        <v>0</v>
      </c>
      <c r="Q138" s="114">
        <f>VLOOKUP(C138,'Talente &amp; Stuff'!DO:EP,15,FALSE)</f>
        <v>0</v>
      </c>
      <c r="R138" s="113">
        <f>VLOOKUP(C138,'Talente &amp; Stuff'!DO:EP,16,FALSE)</f>
        <v>0</v>
      </c>
      <c r="S138" s="119">
        <f>VLOOKUP(C138,'Talente &amp; Stuff'!DO:EP,17,FALSE)</f>
        <v>0</v>
      </c>
      <c r="T138" s="119">
        <f>VLOOKUP(C138,'Talente &amp; Stuff'!DO:EP,18,FALSE)</f>
        <v>0</v>
      </c>
      <c r="U138" s="89">
        <f>VLOOKUP(C138,'Talente &amp; Stuff'!DO:EP,19,FALSE)</f>
        <v>0</v>
      </c>
      <c r="V138" s="47">
        <f>VLOOKUP(C138,'Talente &amp; Stuff'!DO:EP,20,FALSE)</f>
        <v>0</v>
      </c>
      <c r="W138" s="127">
        <f>VLOOKUP(C138,'Talente &amp; Stuff'!DO:EP,21,FALSE)</f>
        <v>0</v>
      </c>
      <c r="X138" s="127">
        <f>VLOOKUP(C138,'Talente &amp; Stuff'!DO:EP,22,FALSE)</f>
        <v>0</v>
      </c>
      <c r="Y138" s="165">
        <f t="shared" si="14"/>
        <v>0</v>
      </c>
      <c r="Z138" s="44">
        <f t="shared" si="15"/>
        <v>0</v>
      </c>
      <c r="AA138" s="125">
        <f>VLOOKUP(C138,'Talente &amp; Stuff'!DO:EP,25,FALSE)</f>
        <v>0</v>
      </c>
      <c r="AB138" s="160">
        <f>VLOOKUP(C138,'Talente &amp; Stuff'!DO:EP,26,FALSE)</f>
        <v>0</v>
      </c>
      <c r="AC138" s="127">
        <f>VLOOKUP(C138,'Talente &amp; Stuff'!DO:EP,27,FALSE)</f>
        <v>0</v>
      </c>
      <c r="AD138" s="125">
        <f>VLOOKUP(C138,'Talente &amp; Stuff'!DO:EP,28,FALSE)</f>
        <v>0</v>
      </c>
      <c r="AE138" s="28"/>
    </row>
    <row r="139" spans="2:31" ht="15" hidden="1" customHeight="1" outlineLevel="2">
      <c r="B139" s="148">
        <v>12</v>
      </c>
      <c r="C139" s="177" t="str">
        <f>Attribute!C139</f>
        <v>---</v>
      </c>
      <c r="D139" s="125" t="str">
        <f>VLOOKUP(C139,'Talente &amp; Stuff'!DO:EP,2,FALSE)</f>
        <v>--/--/--</v>
      </c>
      <c r="E139" s="127" t="str">
        <f>VLOOKUP(C139,'Talente &amp; Stuff'!DO:EP,3,FALSE)</f>
        <v>-</v>
      </c>
      <c r="F139" s="114">
        <f>VLOOKUP(C139,'Talente &amp; Stuff'!DO:EP,4,FALSE)</f>
        <v>0</v>
      </c>
      <c r="G139" s="113">
        <f>VLOOKUP(C139,'Talente &amp; Stuff'!DO:EP,5,FALSE)</f>
        <v>0</v>
      </c>
      <c r="H139" s="113">
        <f>VLOOKUP(C139,'Talente &amp; Stuff'!DO:EP,6,FALSE)</f>
        <v>0</v>
      </c>
      <c r="I139" s="113">
        <f>VLOOKUP(C139,'Talente &amp; Stuff'!DO:EP,7,FALSE)</f>
        <v>0</v>
      </c>
      <c r="J139" s="113">
        <f>VLOOKUP(C139,'Talente &amp; Stuff'!DO:EP,8,FALSE)</f>
        <v>0</v>
      </c>
      <c r="K139" s="113">
        <f>VLOOKUP(C139,'Talente &amp; Stuff'!DO:EP,9,FALSE)</f>
        <v>0</v>
      </c>
      <c r="L139" s="113">
        <f>VLOOKUP(C139,'Talente &amp; Stuff'!DO:EP,10,FALSE)</f>
        <v>0</v>
      </c>
      <c r="M139" s="119">
        <f>VLOOKUP(C139,'Talente &amp; Stuff'!DO:EP,11,FALSE)</f>
        <v>0</v>
      </c>
      <c r="N139" s="47">
        <f>VLOOKUP(C139,'Talente &amp; Stuff'!DO:EP,12,FALSE)</f>
        <v>0</v>
      </c>
      <c r="O139" s="47">
        <f>VLOOKUP(C139,'Talente &amp; Stuff'!DO:EP,13,FALSE)</f>
        <v>0</v>
      </c>
      <c r="P139" s="119">
        <f>VLOOKUP(C139,'Talente &amp; Stuff'!DO:EP,14,FALSE)</f>
        <v>0</v>
      </c>
      <c r="Q139" s="114">
        <f>VLOOKUP(C139,'Talente &amp; Stuff'!DO:EP,15,FALSE)</f>
        <v>0</v>
      </c>
      <c r="R139" s="113">
        <f>VLOOKUP(C139,'Talente &amp; Stuff'!DO:EP,16,FALSE)</f>
        <v>0</v>
      </c>
      <c r="S139" s="119">
        <f>VLOOKUP(C139,'Talente &amp; Stuff'!DO:EP,17,FALSE)</f>
        <v>0</v>
      </c>
      <c r="T139" s="119">
        <f>VLOOKUP(C139,'Talente &amp; Stuff'!DO:EP,18,FALSE)</f>
        <v>0</v>
      </c>
      <c r="U139" s="89">
        <f>VLOOKUP(C139,'Talente &amp; Stuff'!DO:EP,19,FALSE)</f>
        <v>0</v>
      </c>
      <c r="V139" s="47">
        <f>VLOOKUP(C139,'Talente &amp; Stuff'!DO:EP,20,FALSE)</f>
        <v>0</v>
      </c>
      <c r="W139" s="127">
        <f>VLOOKUP(C139,'Talente &amp; Stuff'!DO:EP,21,FALSE)</f>
        <v>0</v>
      </c>
      <c r="X139" s="127">
        <f>VLOOKUP(C139,'Talente &amp; Stuff'!DO:EP,22,FALSE)</f>
        <v>0</v>
      </c>
      <c r="Y139" s="165">
        <f t="shared" si="14"/>
        <v>0</v>
      </c>
      <c r="Z139" s="44">
        <f t="shared" si="15"/>
        <v>0</v>
      </c>
      <c r="AA139" s="125">
        <f>VLOOKUP(C139,'Talente &amp; Stuff'!DO:EP,25,FALSE)</f>
        <v>0</v>
      </c>
      <c r="AB139" s="160">
        <f>VLOOKUP(C139,'Talente &amp; Stuff'!DO:EP,26,FALSE)</f>
        <v>0</v>
      </c>
      <c r="AC139" s="127">
        <f>VLOOKUP(C139,'Talente &amp; Stuff'!DO:EP,27,FALSE)</f>
        <v>0</v>
      </c>
      <c r="AD139" s="125">
        <f>VLOOKUP(C139,'Talente &amp; Stuff'!DO:EP,28,FALSE)</f>
        <v>0</v>
      </c>
      <c r="AE139" s="28"/>
    </row>
    <row r="140" spans="2:31" ht="15" hidden="1" customHeight="1" outlineLevel="2">
      <c r="B140" s="148">
        <v>13</v>
      </c>
      <c r="C140" s="177" t="str">
        <f>Attribute!C140</f>
        <v>---</v>
      </c>
      <c r="D140" s="125" t="str">
        <f>VLOOKUP(C140,'Talente &amp; Stuff'!DO:EP,2,FALSE)</f>
        <v>--/--/--</v>
      </c>
      <c r="E140" s="127" t="str">
        <f>VLOOKUP(C140,'Talente &amp; Stuff'!DO:EP,3,FALSE)</f>
        <v>-</v>
      </c>
      <c r="F140" s="114">
        <f>VLOOKUP(C140,'Talente &amp; Stuff'!DO:EP,4,FALSE)</f>
        <v>0</v>
      </c>
      <c r="G140" s="113">
        <f>VLOOKUP(C140,'Talente &amp; Stuff'!DO:EP,5,FALSE)</f>
        <v>0</v>
      </c>
      <c r="H140" s="113">
        <f>VLOOKUP(C140,'Talente &amp; Stuff'!DO:EP,6,FALSE)</f>
        <v>0</v>
      </c>
      <c r="I140" s="113">
        <f>VLOOKUP(C140,'Talente &amp; Stuff'!DO:EP,7,FALSE)</f>
        <v>0</v>
      </c>
      <c r="J140" s="113">
        <f>VLOOKUP(C140,'Talente &amp; Stuff'!DO:EP,8,FALSE)</f>
        <v>0</v>
      </c>
      <c r="K140" s="113">
        <f>VLOOKUP(C140,'Talente &amp; Stuff'!DO:EP,9,FALSE)</f>
        <v>0</v>
      </c>
      <c r="L140" s="113">
        <f>VLOOKUP(C140,'Talente &amp; Stuff'!DO:EP,10,FALSE)</f>
        <v>0</v>
      </c>
      <c r="M140" s="119">
        <f>VLOOKUP(C140,'Talente &amp; Stuff'!DO:EP,11,FALSE)</f>
        <v>0</v>
      </c>
      <c r="N140" s="47">
        <f>VLOOKUP(C140,'Talente &amp; Stuff'!DO:EP,12,FALSE)</f>
        <v>0</v>
      </c>
      <c r="O140" s="47">
        <f>VLOOKUP(C140,'Talente &amp; Stuff'!DO:EP,13,FALSE)</f>
        <v>0</v>
      </c>
      <c r="P140" s="119">
        <f>VLOOKUP(C140,'Talente &amp; Stuff'!DO:EP,14,FALSE)</f>
        <v>0</v>
      </c>
      <c r="Q140" s="114">
        <f>VLOOKUP(C140,'Talente &amp; Stuff'!DO:EP,15,FALSE)</f>
        <v>0</v>
      </c>
      <c r="R140" s="113">
        <f>VLOOKUP(C140,'Talente &amp; Stuff'!DO:EP,16,FALSE)</f>
        <v>0</v>
      </c>
      <c r="S140" s="119">
        <f>VLOOKUP(C140,'Talente &amp; Stuff'!DO:EP,17,FALSE)</f>
        <v>0</v>
      </c>
      <c r="T140" s="119">
        <f>VLOOKUP(C140,'Talente &amp; Stuff'!DO:EP,18,FALSE)</f>
        <v>0</v>
      </c>
      <c r="U140" s="89">
        <f>VLOOKUP(C140,'Talente &amp; Stuff'!DO:EP,19,FALSE)</f>
        <v>0</v>
      </c>
      <c r="V140" s="47">
        <f>VLOOKUP(C140,'Talente &amp; Stuff'!DO:EP,20,FALSE)</f>
        <v>0</v>
      </c>
      <c r="W140" s="127">
        <f>VLOOKUP(C140,'Talente &amp; Stuff'!DO:EP,21,FALSE)</f>
        <v>0</v>
      </c>
      <c r="X140" s="127">
        <f>VLOOKUP(C140,'Talente &amp; Stuff'!DO:EP,22,FALSE)</f>
        <v>0</v>
      </c>
      <c r="Y140" s="165">
        <f t="shared" si="14"/>
        <v>0</v>
      </c>
      <c r="Z140" s="44">
        <f t="shared" si="15"/>
        <v>0</v>
      </c>
      <c r="AA140" s="125">
        <f>VLOOKUP(C140,'Talente &amp; Stuff'!DO:EP,25,FALSE)</f>
        <v>0</v>
      </c>
      <c r="AB140" s="160">
        <f>VLOOKUP(C140,'Talente &amp; Stuff'!DO:EP,26,FALSE)</f>
        <v>0</v>
      </c>
      <c r="AC140" s="127">
        <f>VLOOKUP(C140,'Talente &amp; Stuff'!DO:EP,27,FALSE)</f>
        <v>0</v>
      </c>
      <c r="AD140" s="125">
        <f>VLOOKUP(C140,'Talente &amp; Stuff'!DO:EP,28,FALSE)</f>
        <v>0</v>
      </c>
      <c r="AE140" s="28"/>
    </row>
    <row r="141" spans="2:31" ht="15" hidden="1" customHeight="1" outlineLevel="2">
      <c r="B141" s="148">
        <v>14</v>
      </c>
      <c r="C141" s="177" t="str">
        <f>Attribute!C141</f>
        <v>---</v>
      </c>
      <c r="D141" s="125" t="str">
        <f>VLOOKUP(C141,'Talente &amp; Stuff'!DO:EP,2,FALSE)</f>
        <v>--/--/--</v>
      </c>
      <c r="E141" s="127" t="str">
        <f>VLOOKUP(C141,'Talente &amp; Stuff'!DO:EP,3,FALSE)</f>
        <v>-</v>
      </c>
      <c r="F141" s="114">
        <f>VLOOKUP(C141,'Talente &amp; Stuff'!DO:EP,4,FALSE)</f>
        <v>0</v>
      </c>
      <c r="G141" s="113">
        <f>VLOOKUP(C141,'Talente &amp; Stuff'!DO:EP,5,FALSE)</f>
        <v>0</v>
      </c>
      <c r="H141" s="113">
        <f>VLOOKUP(C141,'Talente &amp; Stuff'!DO:EP,6,FALSE)</f>
        <v>0</v>
      </c>
      <c r="I141" s="113">
        <f>VLOOKUP(C141,'Talente &amp; Stuff'!DO:EP,7,FALSE)</f>
        <v>0</v>
      </c>
      <c r="J141" s="113">
        <f>VLOOKUP(C141,'Talente &amp; Stuff'!DO:EP,8,FALSE)</f>
        <v>0</v>
      </c>
      <c r="K141" s="113">
        <f>VLOOKUP(C141,'Talente &amp; Stuff'!DO:EP,9,FALSE)</f>
        <v>0</v>
      </c>
      <c r="L141" s="113">
        <f>VLOOKUP(C141,'Talente &amp; Stuff'!DO:EP,10,FALSE)</f>
        <v>0</v>
      </c>
      <c r="M141" s="119">
        <f>VLOOKUP(C141,'Talente &amp; Stuff'!DO:EP,11,FALSE)</f>
        <v>0</v>
      </c>
      <c r="N141" s="47">
        <f>VLOOKUP(C141,'Talente &amp; Stuff'!DO:EP,12,FALSE)</f>
        <v>0</v>
      </c>
      <c r="O141" s="47">
        <f>VLOOKUP(C141,'Talente &amp; Stuff'!DO:EP,13,FALSE)</f>
        <v>0</v>
      </c>
      <c r="P141" s="119">
        <f>VLOOKUP(C141,'Talente &amp; Stuff'!DO:EP,14,FALSE)</f>
        <v>0</v>
      </c>
      <c r="Q141" s="114">
        <f>VLOOKUP(C141,'Talente &amp; Stuff'!DO:EP,15,FALSE)</f>
        <v>0</v>
      </c>
      <c r="R141" s="113">
        <f>VLOOKUP(C141,'Talente &amp; Stuff'!DO:EP,16,FALSE)</f>
        <v>0</v>
      </c>
      <c r="S141" s="119">
        <f>VLOOKUP(C141,'Talente &amp; Stuff'!DO:EP,17,FALSE)</f>
        <v>0</v>
      </c>
      <c r="T141" s="119">
        <f>VLOOKUP(C141,'Talente &amp; Stuff'!DO:EP,18,FALSE)</f>
        <v>0</v>
      </c>
      <c r="U141" s="89">
        <f>VLOOKUP(C141,'Talente &amp; Stuff'!DO:EP,19,FALSE)</f>
        <v>0</v>
      </c>
      <c r="V141" s="47">
        <f>VLOOKUP(C141,'Talente &amp; Stuff'!DO:EP,20,FALSE)</f>
        <v>0</v>
      </c>
      <c r="W141" s="127">
        <f>VLOOKUP(C141,'Talente &amp; Stuff'!DO:EP,21,FALSE)</f>
        <v>0</v>
      </c>
      <c r="X141" s="127">
        <f>VLOOKUP(C141,'Talente &amp; Stuff'!DO:EP,22,FALSE)</f>
        <v>0</v>
      </c>
      <c r="Y141" s="165">
        <f t="shared" si="14"/>
        <v>0</v>
      </c>
      <c r="Z141" s="44">
        <f t="shared" si="15"/>
        <v>0</v>
      </c>
      <c r="AA141" s="125">
        <f>VLOOKUP(C141,'Talente &amp; Stuff'!DO:EP,25,FALSE)</f>
        <v>0</v>
      </c>
      <c r="AB141" s="160">
        <f>VLOOKUP(C141,'Talente &amp; Stuff'!DO:EP,26,FALSE)</f>
        <v>0</v>
      </c>
      <c r="AC141" s="127">
        <f>VLOOKUP(C141,'Talente &amp; Stuff'!DO:EP,27,FALSE)</f>
        <v>0</v>
      </c>
      <c r="AD141" s="125">
        <f>VLOOKUP(C141,'Talente &amp; Stuff'!DO:EP,28,FALSE)</f>
        <v>0</v>
      </c>
      <c r="AE141" s="28"/>
    </row>
    <row r="142" spans="2:31" ht="15" hidden="1" customHeight="1" outlineLevel="2">
      <c r="B142" s="148">
        <v>15</v>
      </c>
      <c r="C142" s="177" t="str">
        <f>Attribute!C142</f>
        <v>---</v>
      </c>
      <c r="D142" s="125" t="str">
        <f>VLOOKUP(C142,'Talente &amp; Stuff'!DO:EP,2,FALSE)</f>
        <v>--/--/--</v>
      </c>
      <c r="E142" s="127" t="str">
        <f>VLOOKUP(C142,'Talente &amp; Stuff'!DO:EP,3,FALSE)</f>
        <v>-</v>
      </c>
      <c r="F142" s="114">
        <f>VLOOKUP(C142,'Talente &amp; Stuff'!DO:EP,4,FALSE)</f>
        <v>0</v>
      </c>
      <c r="G142" s="113">
        <f>VLOOKUP(C142,'Talente &amp; Stuff'!DO:EP,5,FALSE)</f>
        <v>0</v>
      </c>
      <c r="H142" s="113">
        <f>VLOOKUP(C142,'Talente &amp; Stuff'!DO:EP,6,FALSE)</f>
        <v>0</v>
      </c>
      <c r="I142" s="113">
        <f>VLOOKUP(C142,'Talente &amp; Stuff'!DO:EP,7,FALSE)</f>
        <v>0</v>
      </c>
      <c r="J142" s="113">
        <f>VLOOKUP(C142,'Talente &amp; Stuff'!DO:EP,8,FALSE)</f>
        <v>0</v>
      </c>
      <c r="K142" s="113">
        <f>VLOOKUP(C142,'Talente &amp; Stuff'!DO:EP,9,FALSE)</f>
        <v>0</v>
      </c>
      <c r="L142" s="113">
        <f>VLOOKUP(C142,'Talente &amp; Stuff'!DO:EP,10,FALSE)</f>
        <v>0</v>
      </c>
      <c r="M142" s="119">
        <f>VLOOKUP(C142,'Talente &amp; Stuff'!DO:EP,11,FALSE)</f>
        <v>0</v>
      </c>
      <c r="N142" s="47">
        <f>VLOOKUP(C142,'Talente &amp; Stuff'!DO:EP,12,FALSE)</f>
        <v>0</v>
      </c>
      <c r="O142" s="47">
        <f>VLOOKUP(C142,'Talente &amp; Stuff'!DO:EP,13,FALSE)</f>
        <v>0</v>
      </c>
      <c r="P142" s="119">
        <f>VLOOKUP(C142,'Talente &amp; Stuff'!DO:EP,14,FALSE)</f>
        <v>0</v>
      </c>
      <c r="Q142" s="114">
        <f>VLOOKUP(C142,'Talente &amp; Stuff'!DO:EP,15,FALSE)</f>
        <v>0</v>
      </c>
      <c r="R142" s="113">
        <f>VLOOKUP(C142,'Talente &amp; Stuff'!DO:EP,16,FALSE)</f>
        <v>0</v>
      </c>
      <c r="S142" s="119">
        <f>VLOOKUP(C142,'Talente &amp; Stuff'!DO:EP,17,FALSE)</f>
        <v>0</v>
      </c>
      <c r="T142" s="119">
        <f>VLOOKUP(C142,'Talente &amp; Stuff'!DO:EP,18,FALSE)</f>
        <v>0</v>
      </c>
      <c r="U142" s="89">
        <f>VLOOKUP(C142,'Talente &amp; Stuff'!DO:EP,19,FALSE)</f>
        <v>0</v>
      </c>
      <c r="V142" s="47">
        <f>VLOOKUP(C142,'Talente &amp; Stuff'!DO:EP,20,FALSE)</f>
        <v>0</v>
      </c>
      <c r="W142" s="127">
        <f>VLOOKUP(C142,'Talente &amp; Stuff'!DO:EP,21,FALSE)</f>
        <v>0</v>
      </c>
      <c r="X142" s="127">
        <f>VLOOKUP(C142,'Talente &amp; Stuff'!DO:EP,22,FALSE)</f>
        <v>0</v>
      </c>
      <c r="Y142" s="165">
        <f t="shared" si="14"/>
        <v>0</v>
      </c>
      <c r="Z142" s="44">
        <f t="shared" si="15"/>
        <v>0</v>
      </c>
      <c r="AA142" s="125">
        <f>VLOOKUP(C142,'Talente &amp; Stuff'!DO:EP,25,FALSE)</f>
        <v>0</v>
      </c>
      <c r="AB142" s="160">
        <f>VLOOKUP(C142,'Talente &amp; Stuff'!DO:EP,26,FALSE)</f>
        <v>0</v>
      </c>
      <c r="AC142" s="127">
        <f>VLOOKUP(C142,'Talente &amp; Stuff'!DO:EP,27,FALSE)</f>
        <v>0</v>
      </c>
      <c r="AD142" s="125">
        <f>VLOOKUP(C142,'Talente &amp; Stuff'!DO:EP,28,FALSE)</f>
        <v>0</v>
      </c>
      <c r="AE142" s="28"/>
    </row>
    <row r="143" spans="2:31" ht="15" hidden="1" customHeight="1" outlineLevel="2">
      <c r="B143" s="148">
        <v>16</v>
      </c>
      <c r="C143" s="177" t="str">
        <f>Attribute!C143</f>
        <v>---</v>
      </c>
      <c r="D143" s="86" t="str">
        <f>VLOOKUP(C143,'Talente &amp; Stuff'!DO:EP,2,FALSE)</f>
        <v>--/--/--</v>
      </c>
      <c r="E143" s="167" t="str">
        <f>VLOOKUP(C143,'Talente &amp; Stuff'!DO:EP,3,FALSE)</f>
        <v>-</v>
      </c>
      <c r="F143" s="120">
        <f>VLOOKUP(C143,'Talente &amp; Stuff'!DO:EP,4,FALSE)</f>
        <v>0</v>
      </c>
      <c r="G143" s="117">
        <f>VLOOKUP(C143,'Talente &amp; Stuff'!DO:EP,5,FALSE)</f>
        <v>0</v>
      </c>
      <c r="H143" s="117">
        <f>VLOOKUP(C143,'Talente &amp; Stuff'!DO:EP,6,FALSE)</f>
        <v>0</v>
      </c>
      <c r="I143" s="117">
        <f>VLOOKUP(C143,'Talente &amp; Stuff'!DO:EP,7,FALSE)</f>
        <v>0</v>
      </c>
      <c r="J143" s="117">
        <f>VLOOKUP(C143,'Talente &amp; Stuff'!DO:EP,8,FALSE)</f>
        <v>0</v>
      </c>
      <c r="K143" s="117">
        <f>VLOOKUP(C143,'Talente &amp; Stuff'!DO:EP,9,FALSE)</f>
        <v>0</v>
      </c>
      <c r="L143" s="117">
        <f>VLOOKUP(C143,'Talente &amp; Stuff'!DO:EP,10,FALSE)</f>
        <v>0</v>
      </c>
      <c r="M143" s="121">
        <f>VLOOKUP(C143,'Talente &amp; Stuff'!DO:EP,11,FALSE)</f>
        <v>0</v>
      </c>
      <c r="N143" s="47">
        <f>VLOOKUP(C143,'Talente &amp; Stuff'!DO:EP,12,FALSE)</f>
        <v>0</v>
      </c>
      <c r="O143" s="3">
        <f>VLOOKUP(C143,'Talente &amp; Stuff'!DO:EP,13,FALSE)</f>
        <v>0</v>
      </c>
      <c r="P143" s="174">
        <f>VLOOKUP(C143,'Talente &amp; Stuff'!DO:EP,14,FALSE)</f>
        <v>0</v>
      </c>
      <c r="Q143" s="114">
        <f>VLOOKUP(C143,'Talente &amp; Stuff'!DO:EP,15,FALSE)</f>
        <v>0</v>
      </c>
      <c r="R143" s="117">
        <f>VLOOKUP(C143,'Talente &amp; Stuff'!DO:EP,16,FALSE)</f>
        <v>0</v>
      </c>
      <c r="S143" s="119">
        <f>VLOOKUP(C143,'Talente &amp; Stuff'!DO:EP,17,FALSE)</f>
        <v>0</v>
      </c>
      <c r="T143" s="119">
        <f>VLOOKUP(C143,'Talente &amp; Stuff'!DO:EP,18,FALSE)</f>
        <v>0</v>
      </c>
      <c r="U143" s="89">
        <f>VLOOKUP(C143,'Talente &amp; Stuff'!DO:EP,19,FALSE)</f>
        <v>0</v>
      </c>
      <c r="V143" s="47">
        <f>VLOOKUP(C143,'Talente &amp; Stuff'!DO:EP,20,FALSE)</f>
        <v>0</v>
      </c>
      <c r="W143" s="127">
        <f>VLOOKUP(C143,'Talente &amp; Stuff'!DO:EP,21,FALSE)</f>
        <v>0</v>
      </c>
      <c r="X143" s="127">
        <f>VLOOKUP(C143,'Talente &amp; Stuff'!DO:EP,22,FALSE)</f>
        <v>0</v>
      </c>
      <c r="Y143" s="165">
        <f t="shared" si="14"/>
        <v>0</v>
      </c>
      <c r="Z143" s="44">
        <f t="shared" si="15"/>
        <v>0</v>
      </c>
      <c r="AA143" s="125">
        <f>VLOOKUP(C143,'Talente &amp; Stuff'!DO:EP,25,FALSE)</f>
        <v>0</v>
      </c>
      <c r="AB143" s="160">
        <f>VLOOKUP(C143,'Talente &amp; Stuff'!DO:EP,26,FALSE)</f>
        <v>0</v>
      </c>
      <c r="AC143" s="127">
        <f>VLOOKUP(C143,'Talente &amp; Stuff'!DO:EP,27,FALSE)</f>
        <v>0</v>
      </c>
      <c r="AD143" s="125">
        <f>VLOOKUP(C143,'Talente &amp; Stuff'!DO:EP,28,FALSE)</f>
        <v>0</v>
      </c>
      <c r="AE143" s="28"/>
    </row>
    <row r="144" spans="2:31" ht="15" hidden="1" customHeight="1" outlineLevel="2">
      <c r="B144" s="148">
        <v>17</v>
      </c>
      <c r="C144" s="177" t="str">
        <f>Attribute!C144</f>
        <v>---</v>
      </c>
      <c r="D144" s="125" t="str">
        <f>VLOOKUP(C144,'Talente &amp; Stuff'!DO:EP,2,FALSE)</f>
        <v>--/--/--</v>
      </c>
      <c r="E144" s="127" t="str">
        <f>VLOOKUP(C144,'Talente &amp; Stuff'!DO:EP,3,FALSE)</f>
        <v>-</v>
      </c>
      <c r="F144" s="114">
        <f>VLOOKUP(C144,'Talente &amp; Stuff'!DO:EP,4,FALSE)</f>
        <v>0</v>
      </c>
      <c r="G144" s="113">
        <f>VLOOKUP(C144,'Talente &amp; Stuff'!DO:EP,5,FALSE)</f>
        <v>0</v>
      </c>
      <c r="H144" s="113">
        <f>VLOOKUP(C144,'Talente &amp; Stuff'!DO:EP,6,FALSE)</f>
        <v>0</v>
      </c>
      <c r="I144" s="113">
        <f>VLOOKUP(C144,'Talente &amp; Stuff'!DO:EP,7,FALSE)</f>
        <v>0</v>
      </c>
      <c r="J144" s="113">
        <f>VLOOKUP(C144,'Talente &amp; Stuff'!DO:EP,8,FALSE)</f>
        <v>0</v>
      </c>
      <c r="K144" s="113">
        <f>VLOOKUP(C144,'Talente &amp; Stuff'!DO:EP,9,FALSE)</f>
        <v>0</v>
      </c>
      <c r="L144" s="113">
        <f>VLOOKUP(C144,'Talente &amp; Stuff'!DO:EP,10,FALSE)</f>
        <v>0</v>
      </c>
      <c r="M144" s="119">
        <f>VLOOKUP(C144,'Talente &amp; Stuff'!DO:EP,11,FALSE)</f>
        <v>0</v>
      </c>
      <c r="N144" s="47">
        <f>VLOOKUP(C144,'Talente &amp; Stuff'!DO:EP,12,FALSE)</f>
        <v>0</v>
      </c>
      <c r="O144" s="47">
        <f>VLOOKUP(C144,'Talente &amp; Stuff'!DO:EP,13,FALSE)</f>
        <v>0</v>
      </c>
      <c r="P144" s="119">
        <f>VLOOKUP(C144,'Talente &amp; Stuff'!DO:EP,14,FALSE)</f>
        <v>0</v>
      </c>
      <c r="Q144" s="114">
        <f>VLOOKUP(C144,'Talente &amp; Stuff'!DO:EP,15,FALSE)</f>
        <v>0</v>
      </c>
      <c r="R144" s="113">
        <f>VLOOKUP(C144,'Talente &amp; Stuff'!DO:EP,16,FALSE)</f>
        <v>0</v>
      </c>
      <c r="S144" s="119">
        <f>VLOOKUP(C144,'Talente &amp; Stuff'!DO:EP,17,FALSE)</f>
        <v>0</v>
      </c>
      <c r="T144" s="119">
        <f>VLOOKUP(C144,'Talente &amp; Stuff'!DO:EP,18,FALSE)</f>
        <v>0</v>
      </c>
      <c r="U144" s="89">
        <f>VLOOKUP(C144,'Talente &amp; Stuff'!DO:EP,19,FALSE)</f>
        <v>0</v>
      </c>
      <c r="V144" s="47">
        <f>VLOOKUP(C144,'Talente &amp; Stuff'!DO:EP,20,FALSE)</f>
        <v>0</v>
      </c>
      <c r="W144" s="127">
        <f>VLOOKUP(C144,'Talente &amp; Stuff'!DO:EP,21,FALSE)</f>
        <v>0</v>
      </c>
      <c r="X144" s="127">
        <f>VLOOKUP(C144,'Talente &amp; Stuff'!DO:EP,22,FALSE)</f>
        <v>0</v>
      </c>
      <c r="Y144" s="165">
        <f t="shared" si="14"/>
        <v>0</v>
      </c>
      <c r="Z144" s="44">
        <f t="shared" si="15"/>
        <v>0</v>
      </c>
      <c r="AA144" s="125">
        <f>VLOOKUP(C144,'Talente &amp; Stuff'!DO:EP,25,FALSE)</f>
        <v>0</v>
      </c>
      <c r="AB144" s="160">
        <f>VLOOKUP(C144,'Talente &amp; Stuff'!DO:EP,26,FALSE)</f>
        <v>0</v>
      </c>
      <c r="AC144" s="127">
        <f>VLOOKUP(C144,'Talente &amp; Stuff'!DO:EP,27,FALSE)</f>
        <v>0</v>
      </c>
      <c r="AD144" s="125">
        <f>VLOOKUP(C144,'Talente &amp; Stuff'!DO:EP,28,FALSE)</f>
        <v>0</v>
      </c>
      <c r="AE144" s="28"/>
    </row>
    <row r="145" spans="2:31" ht="15" hidden="1" customHeight="1" outlineLevel="2">
      <c r="B145" s="148">
        <v>18</v>
      </c>
      <c r="C145" s="177" t="str">
        <f>Attribute!C145</f>
        <v>---</v>
      </c>
      <c r="D145" s="125" t="str">
        <f>VLOOKUP(C145,'Talente &amp; Stuff'!DO:EP,2,FALSE)</f>
        <v>--/--/--</v>
      </c>
      <c r="E145" s="127" t="str">
        <f>VLOOKUP(C145,'Talente &amp; Stuff'!DO:EP,3,FALSE)</f>
        <v>-</v>
      </c>
      <c r="F145" s="114">
        <f>VLOOKUP(C145,'Talente &amp; Stuff'!DO:EP,4,FALSE)</f>
        <v>0</v>
      </c>
      <c r="G145" s="113">
        <f>VLOOKUP(C145,'Talente &amp; Stuff'!DO:EP,5,FALSE)</f>
        <v>0</v>
      </c>
      <c r="H145" s="113">
        <f>VLOOKUP(C145,'Talente &amp; Stuff'!DO:EP,6,FALSE)</f>
        <v>0</v>
      </c>
      <c r="I145" s="113">
        <f>VLOOKUP(C145,'Talente &amp; Stuff'!DO:EP,7,FALSE)</f>
        <v>0</v>
      </c>
      <c r="J145" s="113">
        <f>VLOOKUP(C145,'Talente &amp; Stuff'!DO:EP,8,FALSE)</f>
        <v>0</v>
      </c>
      <c r="K145" s="113">
        <f>VLOOKUP(C145,'Talente &amp; Stuff'!DO:EP,9,FALSE)</f>
        <v>0</v>
      </c>
      <c r="L145" s="113">
        <f>VLOOKUP(C145,'Talente &amp; Stuff'!DO:EP,10,FALSE)</f>
        <v>0</v>
      </c>
      <c r="M145" s="119">
        <f>VLOOKUP(C145,'Talente &amp; Stuff'!DO:EP,11,FALSE)</f>
        <v>0</v>
      </c>
      <c r="N145" s="47">
        <f>VLOOKUP(C145,'Talente &amp; Stuff'!DO:EP,12,FALSE)</f>
        <v>0</v>
      </c>
      <c r="O145" s="47">
        <f>VLOOKUP(C145,'Talente &amp; Stuff'!DO:EP,13,FALSE)</f>
        <v>0</v>
      </c>
      <c r="P145" s="119">
        <f>VLOOKUP(C145,'Talente &amp; Stuff'!DO:EP,14,FALSE)</f>
        <v>0</v>
      </c>
      <c r="Q145" s="114">
        <f>VLOOKUP(C145,'Talente &amp; Stuff'!DO:EP,15,FALSE)</f>
        <v>0</v>
      </c>
      <c r="R145" s="113">
        <f>VLOOKUP(C145,'Talente &amp; Stuff'!DO:EP,16,FALSE)</f>
        <v>0</v>
      </c>
      <c r="S145" s="119">
        <f>VLOOKUP(C145,'Talente &amp; Stuff'!DO:EP,17,FALSE)</f>
        <v>0</v>
      </c>
      <c r="T145" s="119">
        <f>VLOOKUP(C145,'Talente &amp; Stuff'!DO:EP,18,FALSE)</f>
        <v>0</v>
      </c>
      <c r="U145" s="89">
        <f>VLOOKUP(C145,'Talente &amp; Stuff'!DO:EP,19,FALSE)</f>
        <v>0</v>
      </c>
      <c r="V145" s="47">
        <f>VLOOKUP(C145,'Talente &amp; Stuff'!DO:EP,20,FALSE)</f>
        <v>0</v>
      </c>
      <c r="W145" s="127">
        <f>VLOOKUP(C145,'Talente &amp; Stuff'!DO:EP,21,FALSE)</f>
        <v>0</v>
      </c>
      <c r="X145" s="127">
        <f>VLOOKUP(C145,'Talente &amp; Stuff'!DO:EP,22,FALSE)</f>
        <v>0</v>
      </c>
      <c r="Y145" s="165">
        <f t="shared" si="14"/>
        <v>0</v>
      </c>
      <c r="Z145" s="44">
        <f t="shared" si="15"/>
        <v>0</v>
      </c>
      <c r="AA145" s="125">
        <f>VLOOKUP(C145,'Talente &amp; Stuff'!DO:EP,25,FALSE)</f>
        <v>0</v>
      </c>
      <c r="AB145" s="160">
        <f>VLOOKUP(C145,'Talente &amp; Stuff'!DO:EP,26,FALSE)</f>
        <v>0</v>
      </c>
      <c r="AC145" s="127">
        <f>VLOOKUP(C145,'Talente &amp; Stuff'!DO:EP,27,FALSE)</f>
        <v>0</v>
      </c>
      <c r="AD145" s="125">
        <f>VLOOKUP(C145,'Talente &amp; Stuff'!DO:EP,28,FALSE)</f>
        <v>0</v>
      </c>
      <c r="AE145" s="28"/>
    </row>
    <row r="146" spans="2:31" ht="15" hidden="1" customHeight="1" outlineLevel="2">
      <c r="B146" s="148">
        <v>19</v>
      </c>
      <c r="C146" s="177" t="str">
        <f>Attribute!C146</f>
        <v>---</v>
      </c>
      <c r="D146" s="125" t="str">
        <f>VLOOKUP(C146,'Talente &amp; Stuff'!DO:EP,2,FALSE)</f>
        <v>--/--/--</v>
      </c>
      <c r="E146" s="127" t="str">
        <f>VLOOKUP(C146,'Talente &amp; Stuff'!DO:EP,3,FALSE)</f>
        <v>-</v>
      </c>
      <c r="F146" s="114">
        <f>VLOOKUP(C146,'Talente &amp; Stuff'!DO:EP,4,FALSE)</f>
        <v>0</v>
      </c>
      <c r="G146" s="113">
        <f>VLOOKUP(C146,'Talente &amp; Stuff'!DO:EP,5,FALSE)</f>
        <v>0</v>
      </c>
      <c r="H146" s="113">
        <f>VLOOKUP(C146,'Talente &amp; Stuff'!DO:EP,6,FALSE)</f>
        <v>0</v>
      </c>
      <c r="I146" s="113">
        <f>VLOOKUP(C146,'Talente &amp; Stuff'!DO:EP,7,FALSE)</f>
        <v>0</v>
      </c>
      <c r="J146" s="113">
        <f>VLOOKUP(C146,'Talente &amp; Stuff'!DO:EP,8,FALSE)</f>
        <v>0</v>
      </c>
      <c r="K146" s="113">
        <f>VLOOKUP(C146,'Talente &amp; Stuff'!DO:EP,9,FALSE)</f>
        <v>0</v>
      </c>
      <c r="L146" s="113">
        <f>VLOOKUP(C146,'Talente &amp; Stuff'!DO:EP,10,FALSE)</f>
        <v>0</v>
      </c>
      <c r="M146" s="119">
        <f>VLOOKUP(C146,'Talente &amp; Stuff'!DO:EP,11,FALSE)</f>
        <v>0</v>
      </c>
      <c r="N146" s="47">
        <f>VLOOKUP(C146,'Talente &amp; Stuff'!DO:EP,12,FALSE)</f>
        <v>0</v>
      </c>
      <c r="O146" s="47">
        <f>VLOOKUP(C146,'Talente &amp; Stuff'!DO:EP,13,FALSE)</f>
        <v>0</v>
      </c>
      <c r="P146" s="119">
        <f>VLOOKUP(C146,'Talente &amp; Stuff'!DO:EP,14,FALSE)</f>
        <v>0</v>
      </c>
      <c r="Q146" s="114">
        <f>VLOOKUP(C146,'Talente &amp; Stuff'!DO:EP,15,FALSE)</f>
        <v>0</v>
      </c>
      <c r="R146" s="113">
        <f>VLOOKUP(C146,'Talente &amp; Stuff'!DO:EP,16,FALSE)</f>
        <v>0</v>
      </c>
      <c r="S146" s="119">
        <f>VLOOKUP(C146,'Talente &amp; Stuff'!DO:EP,17,FALSE)</f>
        <v>0</v>
      </c>
      <c r="T146" s="119">
        <f>VLOOKUP(C146,'Talente &amp; Stuff'!DO:EP,18,FALSE)</f>
        <v>0</v>
      </c>
      <c r="U146" s="89">
        <f>VLOOKUP(C146,'Talente &amp; Stuff'!DO:EP,19,FALSE)</f>
        <v>0</v>
      </c>
      <c r="V146" s="47">
        <f>VLOOKUP(C146,'Talente &amp; Stuff'!DO:EP,20,FALSE)</f>
        <v>0</v>
      </c>
      <c r="W146" s="127">
        <f>VLOOKUP(C146,'Talente &amp; Stuff'!DO:EP,21,FALSE)</f>
        <v>0</v>
      </c>
      <c r="X146" s="127">
        <f>VLOOKUP(C146,'Talente &amp; Stuff'!DO:EP,22,FALSE)</f>
        <v>0</v>
      </c>
      <c r="Y146" s="165">
        <f t="shared" si="14"/>
        <v>0</v>
      </c>
      <c r="Z146" s="44">
        <f t="shared" si="15"/>
        <v>0</v>
      </c>
      <c r="AA146" s="125">
        <f>VLOOKUP(C146,'Talente &amp; Stuff'!DO:EP,25,FALSE)</f>
        <v>0</v>
      </c>
      <c r="AB146" s="160">
        <f>VLOOKUP(C146,'Talente &amp; Stuff'!DO:EP,26,FALSE)</f>
        <v>0</v>
      </c>
      <c r="AC146" s="127">
        <f>VLOOKUP(C146,'Talente &amp; Stuff'!DO:EP,27,FALSE)</f>
        <v>0</v>
      </c>
      <c r="AD146" s="125">
        <f>VLOOKUP(C146,'Talente &amp; Stuff'!DO:EP,28,FALSE)</f>
        <v>0</v>
      </c>
      <c r="AE146" s="28"/>
    </row>
    <row r="147" spans="2:31" ht="15" hidden="1" customHeight="1" outlineLevel="2">
      <c r="B147" s="148">
        <v>20</v>
      </c>
      <c r="C147" s="177" t="str">
        <f>Attribute!C147</f>
        <v>---</v>
      </c>
      <c r="D147" s="125" t="str">
        <f>VLOOKUP(C147,'Talente &amp; Stuff'!DO:EP,2,FALSE)</f>
        <v>--/--/--</v>
      </c>
      <c r="E147" s="127" t="str">
        <f>VLOOKUP(C147,'Talente &amp; Stuff'!DO:EP,3,FALSE)</f>
        <v>-</v>
      </c>
      <c r="F147" s="114">
        <f>VLOOKUP(C147,'Talente &amp; Stuff'!DO:EP,4,FALSE)</f>
        <v>0</v>
      </c>
      <c r="G147" s="113">
        <f>VLOOKUP(C147,'Talente &amp; Stuff'!DO:EP,5,FALSE)</f>
        <v>0</v>
      </c>
      <c r="H147" s="113">
        <f>VLOOKUP(C147,'Talente &amp; Stuff'!DO:EP,6,FALSE)</f>
        <v>0</v>
      </c>
      <c r="I147" s="113">
        <f>VLOOKUP(C147,'Talente &amp; Stuff'!DO:EP,7,FALSE)</f>
        <v>0</v>
      </c>
      <c r="J147" s="113">
        <f>VLOOKUP(C147,'Talente &amp; Stuff'!DO:EP,8,FALSE)</f>
        <v>0</v>
      </c>
      <c r="K147" s="113">
        <f>VLOOKUP(C147,'Talente &amp; Stuff'!DO:EP,9,FALSE)</f>
        <v>0</v>
      </c>
      <c r="L147" s="113">
        <f>VLOOKUP(C147,'Talente &amp; Stuff'!DO:EP,10,FALSE)</f>
        <v>0</v>
      </c>
      <c r="M147" s="119">
        <f>VLOOKUP(C147,'Talente &amp; Stuff'!DO:EP,11,FALSE)</f>
        <v>0</v>
      </c>
      <c r="N147" s="47">
        <f>VLOOKUP(C147,'Talente &amp; Stuff'!DO:EP,12,FALSE)</f>
        <v>0</v>
      </c>
      <c r="O147" s="47">
        <f>VLOOKUP(C147,'Talente &amp; Stuff'!DO:EP,13,FALSE)</f>
        <v>0</v>
      </c>
      <c r="P147" s="119">
        <f>VLOOKUP(C147,'Talente &amp; Stuff'!DO:EP,14,FALSE)</f>
        <v>0</v>
      </c>
      <c r="Q147" s="114">
        <f>VLOOKUP(C147,'Talente &amp; Stuff'!DO:EP,15,FALSE)</f>
        <v>0</v>
      </c>
      <c r="R147" s="113">
        <f>VLOOKUP(C147,'Talente &amp; Stuff'!DO:EP,16,FALSE)</f>
        <v>0</v>
      </c>
      <c r="S147" s="119">
        <f>VLOOKUP(C147,'Talente &amp; Stuff'!DO:EP,17,FALSE)</f>
        <v>0</v>
      </c>
      <c r="T147" s="119">
        <f>VLOOKUP(C147,'Talente &amp; Stuff'!DO:EP,18,FALSE)</f>
        <v>0</v>
      </c>
      <c r="U147" s="89">
        <f>VLOOKUP(C147,'Talente &amp; Stuff'!DO:EP,19,FALSE)</f>
        <v>0</v>
      </c>
      <c r="V147" s="47">
        <f>VLOOKUP(C147,'Talente &amp; Stuff'!DO:EP,20,FALSE)</f>
        <v>0</v>
      </c>
      <c r="W147" s="127">
        <f>VLOOKUP(C147,'Talente &amp; Stuff'!DO:EP,21,FALSE)</f>
        <v>0</v>
      </c>
      <c r="X147" s="127">
        <f>VLOOKUP(C147,'Talente &amp; Stuff'!DO:EP,22,FALSE)</f>
        <v>0</v>
      </c>
      <c r="Y147" s="165">
        <f t="shared" si="14"/>
        <v>0</v>
      </c>
      <c r="Z147" s="44">
        <f t="shared" si="15"/>
        <v>0</v>
      </c>
      <c r="AA147" s="125">
        <f>VLOOKUP(C147,'Talente &amp; Stuff'!DO:EP,25,FALSE)</f>
        <v>0</v>
      </c>
      <c r="AB147" s="160">
        <f>VLOOKUP(C147,'Talente &amp; Stuff'!DO:EP,26,FALSE)</f>
        <v>0</v>
      </c>
      <c r="AC147" s="127">
        <f>VLOOKUP(C147,'Talente &amp; Stuff'!DO:EP,27,FALSE)</f>
        <v>0</v>
      </c>
      <c r="AD147" s="125">
        <f>VLOOKUP(C147,'Talente &amp; Stuff'!DO:EP,28,FALSE)</f>
        <v>0</v>
      </c>
      <c r="AE147" s="28"/>
    </row>
    <row r="148" spans="2:31" ht="15" hidden="1" customHeight="1" outlineLevel="2">
      <c r="B148" s="148">
        <v>21</v>
      </c>
      <c r="C148" s="177" t="str">
        <f>Attribute!C148</f>
        <v>---</v>
      </c>
      <c r="D148" s="125" t="str">
        <f>VLOOKUP(C148,'Talente &amp; Stuff'!DO:EP,2,FALSE)</f>
        <v>--/--/--</v>
      </c>
      <c r="E148" s="127" t="str">
        <f>VLOOKUP(C148,'Talente &amp; Stuff'!DO:EP,3,FALSE)</f>
        <v>-</v>
      </c>
      <c r="F148" s="114">
        <f>VLOOKUP(C148,'Talente &amp; Stuff'!DO:EP,4,FALSE)</f>
        <v>0</v>
      </c>
      <c r="G148" s="113">
        <f>VLOOKUP(C148,'Talente &amp; Stuff'!DO:EP,5,FALSE)</f>
        <v>0</v>
      </c>
      <c r="H148" s="113">
        <f>VLOOKUP(C148,'Talente &amp; Stuff'!DO:EP,6,FALSE)</f>
        <v>0</v>
      </c>
      <c r="I148" s="113">
        <f>VLOOKUP(C148,'Talente &amp; Stuff'!DO:EP,7,FALSE)</f>
        <v>0</v>
      </c>
      <c r="J148" s="113">
        <f>VLOOKUP(C148,'Talente &amp; Stuff'!DO:EP,8,FALSE)</f>
        <v>0</v>
      </c>
      <c r="K148" s="113">
        <f>VLOOKUP(C148,'Talente &amp; Stuff'!DO:EP,9,FALSE)</f>
        <v>0</v>
      </c>
      <c r="L148" s="113">
        <f>VLOOKUP(C148,'Talente &amp; Stuff'!DO:EP,10,FALSE)</f>
        <v>0</v>
      </c>
      <c r="M148" s="119">
        <f>VLOOKUP(C148,'Talente &amp; Stuff'!DO:EP,11,FALSE)</f>
        <v>0</v>
      </c>
      <c r="N148" s="47">
        <f>VLOOKUP(C148,'Talente &amp; Stuff'!DO:EP,12,FALSE)</f>
        <v>0</v>
      </c>
      <c r="O148" s="47">
        <f>VLOOKUP(C148,'Talente &amp; Stuff'!DO:EP,13,FALSE)</f>
        <v>0</v>
      </c>
      <c r="P148" s="119">
        <f>VLOOKUP(C148,'Talente &amp; Stuff'!DO:EP,14,FALSE)</f>
        <v>0</v>
      </c>
      <c r="Q148" s="114">
        <f>VLOOKUP(C148,'Talente &amp; Stuff'!DO:EP,15,FALSE)</f>
        <v>0</v>
      </c>
      <c r="R148" s="113">
        <f>VLOOKUP(C148,'Talente &amp; Stuff'!DO:EP,16,FALSE)</f>
        <v>0</v>
      </c>
      <c r="S148" s="119">
        <f>VLOOKUP(C148,'Talente &amp; Stuff'!DO:EP,17,FALSE)</f>
        <v>0</v>
      </c>
      <c r="T148" s="119">
        <f>VLOOKUP(C148,'Talente &amp; Stuff'!DO:EP,18,FALSE)</f>
        <v>0</v>
      </c>
      <c r="U148" s="89">
        <f>VLOOKUP(C148,'Talente &amp; Stuff'!DO:EP,19,FALSE)</f>
        <v>0</v>
      </c>
      <c r="V148" s="47">
        <f>VLOOKUP(C148,'Talente &amp; Stuff'!DO:EP,20,FALSE)</f>
        <v>0</v>
      </c>
      <c r="W148" s="127">
        <f>VLOOKUP(C148,'Talente &amp; Stuff'!DO:EP,21,FALSE)</f>
        <v>0</v>
      </c>
      <c r="X148" s="127">
        <f>VLOOKUP(C148,'Talente &amp; Stuff'!DO:EP,22,FALSE)</f>
        <v>0</v>
      </c>
      <c r="Y148" s="165">
        <f t="shared" si="14"/>
        <v>0</v>
      </c>
      <c r="Z148" s="44">
        <f t="shared" si="15"/>
        <v>0</v>
      </c>
      <c r="AA148" s="125">
        <f>VLOOKUP(C148,'Talente &amp; Stuff'!DO:EP,25,FALSE)</f>
        <v>0</v>
      </c>
      <c r="AB148" s="160">
        <f>VLOOKUP(C148,'Talente &amp; Stuff'!DO:EP,26,FALSE)</f>
        <v>0</v>
      </c>
      <c r="AC148" s="127">
        <f>VLOOKUP(C148,'Talente &amp; Stuff'!DO:EP,27,FALSE)</f>
        <v>0</v>
      </c>
      <c r="AD148" s="125">
        <f>VLOOKUP(C148,'Talente &amp; Stuff'!DO:EP,28,FALSE)</f>
        <v>0</v>
      </c>
      <c r="AE148" s="28"/>
    </row>
    <row r="149" spans="2:31" ht="15" hidden="1" customHeight="1" outlineLevel="2">
      <c r="B149" s="148">
        <v>22</v>
      </c>
      <c r="C149" s="177" t="str">
        <f>Attribute!C149</f>
        <v>---</v>
      </c>
      <c r="D149" s="125" t="str">
        <f>VLOOKUP(C149,'Talente &amp; Stuff'!DO:EP,2,FALSE)</f>
        <v>--/--/--</v>
      </c>
      <c r="E149" s="127" t="str">
        <f>VLOOKUP(C149,'Talente &amp; Stuff'!DO:EP,3,FALSE)</f>
        <v>-</v>
      </c>
      <c r="F149" s="114">
        <f>VLOOKUP(C149,'Talente &amp; Stuff'!DO:EP,4,FALSE)</f>
        <v>0</v>
      </c>
      <c r="G149" s="113">
        <f>VLOOKUP(C149,'Talente &amp; Stuff'!DO:EP,5,FALSE)</f>
        <v>0</v>
      </c>
      <c r="H149" s="113">
        <f>VLOOKUP(C149,'Talente &amp; Stuff'!DO:EP,6,FALSE)</f>
        <v>0</v>
      </c>
      <c r="I149" s="113">
        <f>VLOOKUP(C149,'Talente &amp; Stuff'!DO:EP,7,FALSE)</f>
        <v>0</v>
      </c>
      <c r="J149" s="113">
        <f>VLOOKUP(C149,'Talente &amp; Stuff'!DO:EP,8,FALSE)</f>
        <v>0</v>
      </c>
      <c r="K149" s="113">
        <f>VLOOKUP(C149,'Talente &amp; Stuff'!DO:EP,9,FALSE)</f>
        <v>0</v>
      </c>
      <c r="L149" s="113">
        <f>VLOOKUP(C149,'Talente &amp; Stuff'!DO:EP,10,FALSE)</f>
        <v>0</v>
      </c>
      <c r="M149" s="119">
        <f>VLOOKUP(C149,'Talente &amp; Stuff'!DO:EP,11,FALSE)</f>
        <v>0</v>
      </c>
      <c r="N149" s="47">
        <f>VLOOKUP(C149,'Talente &amp; Stuff'!DO:EP,12,FALSE)</f>
        <v>0</v>
      </c>
      <c r="O149" s="47">
        <f>VLOOKUP(C149,'Talente &amp; Stuff'!DO:EP,13,FALSE)</f>
        <v>0</v>
      </c>
      <c r="P149" s="119">
        <f>VLOOKUP(C149,'Talente &amp; Stuff'!DO:EP,14,FALSE)</f>
        <v>0</v>
      </c>
      <c r="Q149" s="114">
        <f>VLOOKUP(C149,'Talente &amp; Stuff'!DO:EP,15,FALSE)</f>
        <v>0</v>
      </c>
      <c r="R149" s="113">
        <f>VLOOKUP(C149,'Talente &amp; Stuff'!DO:EP,16,FALSE)</f>
        <v>0</v>
      </c>
      <c r="S149" s="119">
        <f>VLOOKUP(C149,'Talente &amp; Stuff'!DO:EP,17,FALSE)</f>
        <v>0</v>
      </c>
      <c r="T149" s="119">
        <f>VLOOKUP(C149,'Talente &amp; Stuff'!DO:EP,18,FALSE)</f>
        <v>0</v>
      </c>
      <c r="U149" s="89">
        <f>VLOOKUP(C149,'Talente &amp; Stuff'!DO:EP,19,FALSE)</f>
        <v>0</v>
      </c>
      <c r="V149" s="47">
        <f>VLOOKUP(C149,'Talente &amp; Stuff'!DO:EP,20,FALSE)</f>
        <v>0</v>
      </c>
      <c r="W149" s="127">
        <f>VLOOKUP(C149,'Talente &amp; Stuff'!DO:EP,21,FALSE)</f>
        <v>0</v>
      </c>
      <c r="X149" s="127">
        <f>VLOOKUP(C149,'Talente &amp; Stuff'!DO:EP,22,FALSE)</f>
        <v>0</v>
      </c>
      <c r="Y149" s="165">
        <f t="shared" si="14"/>
        <v>0</v>
      </c>
      <c r="Z149" s="44">
        <f t="shared" si="15"/>
        <v>0</v>
      </c>
      <c r="AA149" s="125">
        <f>VLOOKUP(C149,'Talente &amp; Stuff'!DO:EP,25,FALSE)</f>
        <v>0</v>
      </c>
      <c r="AB149" s="160">
        <f>VLOOKUP(C149,'Talente &amp; Stuff'!DO:EP,26,FALSE)</f>
        <v>0</v>
      </c>
      <c r="AC149" s="127">
        <f>VLOOKUP(C149,'Talente &amp; Stuff'!DO:EP,27,FALSE)</f>
        <v>0</v>
      </c>
      <c r="AD149" s="125">
        <f>VLOOKUP(C149,'Talente &amp; Stuff'!DO:EP,28,FALSE)</f>
        <v>0</v>
      </c>
      <c r="AE149" s="28"/>
    </row>
    <row r="150" spans="2:31" ht="15" hidden="1" customHeight="1" outlineLevel="2">
      <c r="B150" s="148">
        <v>23</v>
      </c>
      <c r="C150" s="177" t="str">
        <f>Attribute!C150</f>
        <v>---</v>
      </c>
      <c r="D150" s="125" t="str">
        <f>VLOOKUP(C150,'Talente &amp; Stuff'!DO:EP,2,FALSE)</f>
        <v>--/--/--</v>
      </c>
      <c r="E150" s="127" t="str">
        <f>VLOOKUP(C150,'Talente &amp; Stuff'!DO:EP,3,FALSE)</f>
        <v>-</v>
      </c>
      <c r="F150" s="114">
        <f>VLOOKUP(C150,'Talente &amp; Stuff'!DO:EP,4,FALSE)</f>
        <v>0</v>
      </c>
      <c r="G150" s="113">
        <f>VLOOKUP(C150,'Talente &amp; Stuff'!DO:EP,5,FALSE)</f>
        <v>0</v>
      </c>
      <c r="H150" s="113">
        <f>VLOOKUP(C150,'Talente &amp; Stuff'!DO:EP,6,FALSE)</f>
        <v>0</v>
      </c>
      <c r="I150" s="113">
        <f>VLOOKUP(C150,'Talente &amp; Stuff'!DO:EP,7,FALSE)</f>
        <v>0</v>
      </c>
      <c r="J150" s="113">
        <f>VLOOKUP(C150,'Talente &amp; Stuff'!DO:EP,8,FALSE)</f>
        <v>0</v>
      </c>
      <c r="K150" s="113">
        <f>VLOOKUP(C150,'Talente &amp; Stuff'!DO:EP,9,FALSE)</f>
        <v>0</v>
      </c>
      <c r="L150" s="113">
        <f>VLOOKUP(C150,'Talente &amp; Stuff'!DO:EP,10,FALSE)</f>
        <v>0</v>
      </c>
      <c r="M150" s="119">
        <f>VLOOKUP(C150,'Talente &amp; Stuff'!DO:EP,11,FALSE)</f>
        <v>0</v>
      </c>
      <c r="N150" s="47">
        <f>VLOOKUP(C150,'Talente &amp; Stuff'!DO:EP,12,FALSE)</f>
        <v>0</v>
      </c>
      <c r="O150" s="47">
        <f>VLOOKUP(C150,'Talente &amp; Stuff'!DO:EP,13,FALSE)</f>
        <v>0</v>
      </c>
      <c r="P150" s="119">
        <f>VLOOKUP(C150,'Talente &amp; Stuff'!DO:EP,14,FALSE)</f>
        <v>0</v>
      </c>
      <c r="Q150" s="114">
        <f>VLOOKUP(C150,'Talente &amp; Stuff'!DO:EP,15,FALSE)</f>
        <v>0</v>
      </c>
      <c r="R150" s="113">
        <f>VLOOKUP(C150,'Talente &amp; Stuff'!DO:EP,16,FALSE)</f>
        <v>0</v>
      </c>
      <c r="S150" s="119">
        <f>VLOOKUP(C150,'Talente &amp; Stuff'!DO:EP,17,FALSE)</f>
        <v>0</v>
      </c>
      <c r="T150" s="119">
        <f>VLOOKUP(C150,'Talente &amp; Stuff'!DO:EP,18,FALSE)</f>
        <v>0</v>
      </c>
      <c r="U150" s="89">
        <f>VLOOKUP(C150,'Talente &amp; Stuff'!DO:EP,19,FALSE)</f>
        <v>0</v>
      </c>
      <c r="V150" s="47">
        <f>VLOOKUP(C150,'Talente &amp; Stuff'!DO:EP,20,FALSE)</f>
        <v>0</v>
      </c>
      <c r="W150" s="127">
        <f>VLOOKUP(C150,'Talente &amp; Stuff'!DO:EP,21,FALSE)</f>
        <v>0</v>
      </c>
      <c r="X150" s="127">
        <f>VLOOKUP(C150,'Talente &amp; Stuff'!DO:EP,22,FALSE)</f>
        <v>0</v>
      </c>
      <c r="Y150" s="165">
        <f t="shared" si="14"/>
        <v>0</v>
      </c>
      <c r="Z150" s="44">
        <f t="shared" si="15"/>
        <v>0</v>
      </c>
      <c r="AA150" s="125">
        <f>VLOOKUP(C150,'Talente &amp; Stuff'!DO:EP,25,FALSE)</f>
        <v>0</v>
      </c>
      <c r="AB150" s="160">
        <f>VLOOKUP(C150,'Talente &amp; Stuff'!DO:EP,26,FALSE)</f>
        <v>0</v>
      </c>
      <c r="AC150" s="127">
        <f>VLOOKUP(C150,'Talente &amp; Stuff'!DO:EP,27,FALSE)</f>
        <v>0</v>
      </c>
      <c r="AD150" s="125">
        <f>VLOOKUP(C150,'Talente &amp; Stuff'!DO:EP,28,FALSE)</f>
        <v>0</v>
      </c>
      <c r="AE150" s="28"/>
    </row>
    <row r="151" spans="2:31" ht="15" hidden="1" customHeight="1" outlineLevel="2">
      <c r="B151" s="148">
        <v>24</v>
      </c>
      <c r="C151" s="178" t="str">
        <f>Attribute!C151</f>
        <v>---</v>
      </c>
      <c r="D151" s="159" t="str">
        <f>VLOOKUP(C151,'Talente &amp; Stuff'!DO:EP,2,FALSE)</f>
        <v>--/--/--</v>
      </c>
      <c r="E151" s="128" t="str">
        <f>VLOOKUP(C151,'Talente &amp; Stuff'!DO:EP,3,FALSE)</f>
        <v>-</v>
      </c>
      <c r="F151" s="115">
        <f>VLOOKUP(C151,'Talente &amp; Stuff'!DO:EP,4,FALSE)</f>
        <v>0</v>
      </c>
      <c r="G151" s="122">
        <f>VLOOKUP(C151,'Talente &amp; Stuff'!DO:EP,5,FALSE)</f>
        <v>0</v>
      </c>
      <c r="H151" s="122">
        <f>VLOOKUP(C151,'Talente &amp; Stuff'!DO:EP,6,FALSE)</f>
        <v>0</v>
      </c>
      <c r="I151" s="122">
        <f>VLOOKUP(C151,'Talente &amp; Stuff'!DO:EP,7,FALSE)</f>
        <v>0</v>
      </c>
      <c r="J151" s="122">
        <f>VLOOKUP(C151,'Talente &amp; Stuff'!DO:EP,8,FALSE)</f>
        <v>0</v>
      </c>
      <c r="K151" s="122">
        <f>VLOOKUP(C151,'Talente &amp; Stuff'!DO:EP,9,FALSE)</f>
        <v>0</v>
      </c>
      <c r="L151" s="122">
        <f>VLOOKUP(C151,'Talente &amp; Stuff'!DO:EP,10,FALSE)</f>
        <v>0</v>
      </c>
      <c r="M151" s="123">
        <f>VLOOKUP(C151,'Talente &amp; Stuff'!DO:EP,11,FALSE)</f>
        <v>0</v>
      </c>
      <c r="N151" s="88">
        <f>VLOOKUP(C151,'Talente &amp; Stuff'!DO:EP,12,FALSE)</f>
        <v>0</v>
      </c>
      <c r="O151" s="88">
        <f>VLOOKUP(C151,'Talente &amp; Stuff'!DO:EP,13,FALSE)</f>
        <v>0</v>
      </c>
      <c r="P151" s="123">
        <f>VLOOKUP(C151,'Talente &amp; Stuff'!DO:EP,14,FALSE)</f>
        <v>0</v>
      </c>
      <c r="Q151" s="115">
        <f>VLOOKUP(C151,'Talente &amp; Stuff'!DO:EP,15,FALSE)</f>
        <v>0</v>
      </c>
      <c r="R151" s="122">
        <f>VLOOKUP(C151,'Talente &amp; Stuff'!DO:EP,16,FALSE)</f>
        <v>0</v>
      </c>
      <c r="S151" s="123">
        <f>VLOOKUP(C151,'Talente &amp; Stuff'!DO:EP,17,FALSE)</f>
        <v>0</v>
      </c>
      <c r="T151" s="123">
        <f>VLOOKUP(C151,'Talente &amp; Stuff'!DO:EP,18,FALSE)</f>
        <v>0</v>
      </c>
      <c r="U151" s="90">
        <f>VLOOKUP(C151,'Talente &amp; Stuff'!DO:EP,19,FALSE)</f>
        <v>0</v>
      </c>
      <c r="V151" s="88">
        <f>VLOOKUP(C151,'Talente &amp; Stuff'!DO:EP,20,FALSE)</f>
        <v>0</v>
      </c>
      <c r="W151" s="128">
        <f>VLOOKUP(C151,'Talente &amp; Stuff'!DO:EP,21,FALSE)</f>
        <v>0</v>
      </c>
      <c r="X151" s="128">
        <f>VLOOKUP(C151,'Talente &amp; Stuff'!DO:EP,22,FALSE)</f>
        <v>0</v>
      </c>
      <c r="Y151" s="165">
        <f t="shared" si="14"/>
        <v>0</v>
      </c>
      <c r="Z151" s="44">
        <f t="shared" si="15"/>
        <v>0</v>
      </c>
      <c r="AA151" s="159">
        <f>VLOOKUP(C151,'Talente &amp; Stuff'!DO:EP,25,FALSE)</f>
        <v>0</v>
      </c>
      <c r="AB151" s="161">
        <f>VLOOKUP(C151,'Talente &amp; Stuff'!DO:EP,26,FALSE)</f>
        <v>0</v>
      </c>
      <c r="AC151" s="128">
        <f>VLOOKUP(C151,'Talente &amp; Stuff'!DO:EP,27,FALSE)</f>
        <v>0</v>
      </c>
      <c r="AD151" s="159">
        <f>VLOOKUP(C151,'Talente &amp; Stuff'!DO:EP,28,FALSE)</f>
        <v>0</v>
      </c>
      <c r="AE151" s="28"/>
    </row>
    <row r="152" spans="2:31" ht="15" hidden="1" customHeight="1" outlineLevel="1" collapsed="1">
      <c r="B152" s="134" t="s">
        <v>329</v>
      </c>
      <c r="C152" s="83"/>
      <c r="D152" s="84"/>
      <c r="E152" s="84"/>
    </row>
    <row r="153" spans="2:31" ht="15" hidden="1" customHeight="1" outlineLevel="2">
      <c r="B153" s="148">
        <v>1</v>
      </c>
      <c r="C153" s="176" t="str">
        <f>Attribute!C153</f>
        <v>---</v>
      </c>
      <c r="D153" s="85" t="str">
        <f>VLOOKUP(C153,'Talente &amp; Stuff'!DO:EP,2,FALSE)</f>
        <v>--/--/--</v>
      </c>
      <c r="E153" s="168" t="str">
        <f>VLOOKUP(C153,'Talente &amp; Stuff'!DO:EP,3,FALSE)</f>
        <v>-</v>
      </c>
      <c r="F153" s="171">
        <f>VLOOKUP(C153,'Talente &amp; Stuff'!DO:EP,4,FALSE)</f>
        <v>0</v>
      </c>
      <c r="G153" s="170">
        <f>VLOOKUP(C153,'Talente &amp; Stuff'!DO:EP,5,FALSE)</f>
        <v>0</v>
      </c>
      <c r="H153" s="170">
        <f>VLOOKUP(C153,'Talente &amp; Stuff'!DO:EP,6,FALSE)</f>
        <v>0</v>
      </c>
      <c r="I153" s="170">
        <f>VLOOKUP(C153,'Talente &amp; Stuff'!DO:EP,7,FALSE)</f>
        <v>0</v>
      </c>
      <c r="J153" s="170">
        <f>VLOOKUP(C153,'Talente &amp; Stuff'!DO:EP,8,FALSE)</f>
        <v>0</v>
      </c>
      <c r="K153" s="170">
        <f>VLOOKUP(C153,'Talente &amp; Stuff'!DO:EP,9,FALSE)</f>
        <v>0</v>
      </c>
      <c r="L153" s="170">
        <f>VLOOKUP(C153,'Talente &amp; Stuff'!DO:EP,10,FALSE)</f>
        <v>0</v>
      </c>
      <c r="M153" s="172">
        <f>VLOOKUP(C153,'Talente &amp; Stuff'!DO:EP,11,FALSE)</f>
        <v>0</v>
      </c>
      <c r="N153" s="116">
        <f>VLOOKUP(C153,'Talente &amp; Stuff'!DO:EP,12,FALSE)</f>
        <v>0</v>
      </c>
      <c r="O153" s="194">
        <f>VLOOKUP(C153,'Talente &amp; Stuff'!DO:EP,13,FALSE)</f>
        <v>0</v>
      </c>
      <c r="P153" s="192">
        <f>VLOOKUP(C153,'Talente &amp; Stuff'!DO:EP,14,FALSE)</f>
        <v>0</v>
      </c>
      <c r="Q153" s="191">
        <f>VLOOKUP(C153,'Talente &amp; Stuff'!DO:EP,15,FALSE)</f>
        <v>0</v>
      </c>
      <c r="R153" s="170">
        <f>VLOOKUP(C153,'Talente &amp; Stuff'!DO:EP,16,FALSE)</f>
        <v>0</v>
      </c>
      <c r="S153" s="92">
        <f>VLOOKUP(C153,'Talente &amp; Stuff'!DO:EP,17,FALSE)</f>
        <v>0</v>
      </c>
      <c r="T153" s="92">
        <f>VLOOKUP(C153,'Talente &amp; Stuff'!DO:EP,18,FALSE)</f>
        <v>0</v>
      </c>
      <c r="U153" s="193">
        <f>VLOOKUP(C153,'Talente &amp; Stuff'!DO:EP,19,FALSE)</f>
        <v>0</v>
      </c>
      <c r="V153" s="116">
        <f>VLOOKUP(C153,'Talente &amp; Stuff'!DO:EP,20,FALSE)</f>
        <v>0</v>
      </c>
      <c r="W153" s="126">
        <f>VLOOKUP(C153,'Talente &amp; Stuff'!DO:EP,21,FALSE)</f>
        <v>0</v>
      </c>
      <c r="X153" s="126">
        <f>VLOOKUP(C153,'Talente &amp; Stuff'!DO:EP,22,FALSE)</f>
        <v>0</v>
      </c>
      <c r="Y153" s="165">
        <f t="shared" ref="Y153:Y184" si="16">VLOOKUP(C153,Ausgewählte_Zauber_Gildenmagier,139,FALSE)</f>
        <v>0</v>
      </c>
      <c r="Z153" s="44">
        <f t="shared" ref="Z153:Z184" si="17">VLOOKUP(C153,Ausgewählte_Zauber_Gildenmagier,140,FALSE)</f>
        <v>0</v>
      </c>
      <c r="AA153" s="158">
        <f>VLOOKUP(C153,'Talente &amp; Stuff'!DO:EP,25,FALSE)</f>
        <v>0</v>
      </c>
      <c r="AB153" s="91">
        <f>VLOOKUP(C153,'Talente &amp; Stuff'!DO:EP,26,FALSE)</f>
        <v>0</v>
      </c>
      <c r="AC153" s="126">
        <f>VLOOKUP(C153,'Talente &amp; Stuff'!DO:EP,27,FALSE)</f>
        <v>0</v>
      </c>
      <c r="AD153" s="158">
        <f>VLOOKUP(C153,'Talente &amp; Stuff'!DO:EP,28,FALSE)</f>
        <v>0</v>
      </c>
      <c r="AE153" s="28"/>
    </row>
    <row r="154" spans="2:31" ht="15" hidden="1" customHeight="1" outlineLevel="2">
      <c r="B154" s="148">
        <v>2</v>
      </c>
      <c r="C154" s="177" t="str">
        <f>Attribute!C154</f>
        <v>---</v>
      </c>
      <c r="D154" s="86" t="str">
        <f>VLOOKUP(C154,'Talente &amp; Stuff'!DO:EP,2,FALSE)</f>
        <v>--/--/--</v>
      </c>
      <c r="E154" s="167" t="str">
        <f>VLOOKUP(C154,'Talente &amp; Stuff'!DO:EP,3,FALSE)</f>
        <v>-</v>
      </c>
      <c r="F154" s="120">
        <f>VLOOKUP(C154,'Talente &amp; Stuff'!DO:EP,4,FALSE)</f>
        <v>0</v>
      </c>
      <c r="G154" s="117">
        <f>VLOOKUP(C154,'Talente &amp; Stuff'!DO:EP,5,FALSE)</f>
        <v>0</v>
      </c>
      <c r="H154" s="117">
        <f>VLOOKUP(C154,'Talente &amp; Stuff'!DO:EP,6,FALSE)</f>
        <v>0</v>
      </c>
      <c r="I154" s="117">
        <f>VLOOKUP(C154,'Talente &amp; Stuff'!DO:EP,7,FALSE)</f>
        <v>0</v>
      </c>
      <c r="J154" s="117">
        <f>VLOOKUP(C154,'Talente &amp; Stuff'!DO:EP,8,FALSE)</f>
        <v>0</v>
      </c>
      <c r="K154" s="117">
        <f>VLOOKUP(C154,'Talente &amp; Stuff'!DO:EP,9,FALSE)</f>
        <v>0</v>
      </c>
      <c r="L154" s="117">
        <f>VLOOKUP(C154,'Talente &amp; Stuff'!DO:EP,10,FALSE)</f>
        <v>0</v>
      </c>
      <c r="M154" s="121">
        <f>VLOOKUP(C154,'Talente &amp; Stuff'!DO:EP,11,FALSE)</f>
        <v>0</v>
      </c>
      <c r="N154" s="47">
        <f>VLOOKUP(C154,'Talente &amp; Stuff'!DO:EP,12,FALSE)</f>
        <v>0</v>
      </c>
      <c r="O154" s="3">
        <f>VLOOKUP(C154,'Talente &amp; Stuff'!DO:EP,13,FALSE)</f>
        <v>0</v>
      </c>
      <c r="P154" s="174">
        <f>VLOOKUP(C154,'Talente &amp; Stuff'!DO:EP,14,FALSE)</f>
        <v>0</v>
      </c>
      <c r="Q154" s="114">
        <f>VLOOKUP(C154,'Talente &amp; Stuff'!DO:EP,15,FALSE)</f>
        <v>0</v>
      </c>
      <c r="R154" s="117">
        <f>VLOOKUP(C154,'Talente &amp; Stuff'!DO:EP,16,FALSE)</f>
        <v>0</v>
      </c>
      <c r="S154" s="119">
        <f>VLOOKUP(C154,'Talente &amp; Stuff'!DO:EP,17,FALSE)</f>
        <v>0</v>
      </c>
      <c r="T154" s="119">
        <f>VLOOKUP(C154,'Talente &amp; Stuff'!DO:EP,18,FALSE)</f>
        <v>0</v>
      </c>
      <c r="U154" s="89">
        <f>VLOOKUP(C154,'Talente &amp; Stuff'!DO:EP,19,FALSE)</f>
        <v>0</v>
      </c>
      <c r="V154" s="47">
        <f>VLOOKUP(C154,'Talente &amp; Stuff'!DO:EP,20,FALSE)</f>
        <v>0</v>
      </c>
      <c r="W154" s="127">
        <f>VLOOKUP(C154,'Talente &amp; Stuff'!DO:EP,21,FALSE)</f>
        <v>0</v>
      </c>
      <c r="X154" s="127">
        <f>VLOOKUP(C154,'Talente &amp; Stuff'!DO:EP,22,FALSE)</f>
        <v>0</v>
      </c>
      <c r="Y154" s="165">
        <f t="shared" si="16"/>
        <v>0</v>
      </c>
      <c r="Z154" s="44">
        <f t="shared" si="17"/>
        <v>0</v>
      </c>
      <c r="AA154" s="125">
        <f>VLOOKUP(C154,'Talente &amp; Stuff'!DO:EP,25,FALSE)</f>
        <v>0</v>
      </c>
      <c r="AB154" s="160">
        <f>VLOOKUP(C154,'Talente &amp; Stuff'!DO:EP,26,FALSE)</f>
        <v>0</v>
      </c>
      <c r="AC154" s="127">
        <f>VLOOKUP(C154,'Talente &amp; Stuff'!DO:EP,27,FALSE)</f>
        <v>0</v>
      </c>
      <c r="AD154" s="125">
        <f>VLOOKUP(C154,'Talente &amp; Stuff'!DO:EP,28,FALSE)</f>
        <v>0</v>
      </c>
      <c r="AE154" s="28"/>
    </row>
    <row r="155" spans="2:31" ht="15" hidden="1" customHeight="1" outlineLevel="2">
      <c r="B155" s="148">
        <v>3</v>
      </c>
      <c r="C155" s="177" t="str">
        <f>Attribute!C155</f>
        <v>---</v>
      </c>
      <c r="D155" s="86" t="str">
        <f>VLOOKUP(C155,'Talente &amp; Stuff'!DO:EP,2,FALSE)</f>
        <v>--/--/--</v>
      </c>
      <c r="E155" s="167" t="str">
        <f>VLOOKUP(C155,'Talente &amp; Stuff'!DO:EP,3,FALSE)</f>
        <v>-</v>
      </c>
      <c r="F155" s="120">
        <f>VLOOKUP(C155,'Talente &amp; Stuff'!DO:EP,4,FALSE)</f>
        <v>0</v>
      </c>
      <c r="G155" s="117">
        <f>VLOOKUP(C155,'Talente &amp; Stuff'!DO:EP,5,FALSE)</f>
        <v>0</v>
      </c>
      <c r="H155" s="117">
        <f>VLOOKUP(C155,'Talente &amp; Stuff'!DO:EP,6,FALSE)</f>
        <v>0</v>
      </c>
      <c r="I155" s="117">
        <f>VLOOKUP(C155,'Talente &amp; Stuff'!DO:EP,7,FALSE)</f>
        <v>0</v>
      </c>
      <c r="J155" s="117">
        <f>VLOOKUP(C155,'Talente &amp; Stuff'!DO:EP,8,FALSE)</f>
        <v>0</v>
      </c>
      <c r="K155" s="117">
        <f>VLOOKUP(C155,'Talente &amp; Stuff'!DO:EP,9,FALSE)</f>
        <v>0</v>
      </c>
      <c r="L155" s="117">
        <f>VLOOKUP(C155,'Talente &amp; Stuff'!DO:EP,10,FALSE)</f>
        <v>0</v>
      </c>
      <c r="M155" s="121">
        <f>VLOOKUP(C155,'Talente &amp; Stuff'!DO:EP,11,FALSE)</f>
        <v>0</v>
      </c>
      <c r="N155" s="47">
        <f>VLOOKUP(C155,'Talente &amp; Stuff'!DO:EP,12,FALSE)</f>
        <v>0</v>
      </c>
      <c r="O155" s="3">
        <f>VLOOKUP(C155,'Talente &amp; Stuff'!DO:EP,13,FALSE)</f>
        <v>0</v>
      </c>
      <c r="P155" s="174">
        <f>VLOOKUP(C155,'Talente &amp; Stuff'!DO:EP,14,FALSE)</f>
        <v>0</v>
      </c>
      <c r="Q155" s="114">
        <f>VLOOKUP(C155,'Talente &amp; Stuff'!DO:EP,15,FALSE)</f>
        <v>0</v>
      </c>
      <c r="R155" s="117">
        <f>VLOOKUP(C155,'Talente &amp; Stuff'!DO:EP,16,FALSE)</f>
        <v>0</v>
      </c>
      <c r="S155" s="119">
        <f>VLOOKUP(C155,'Talente &amp; Stuff'!DO:EP,17,FALSE)</f>
        <v>0</v>
      </c>
      <c r="T155" s="119">
        <f>VLOOKUP(C155,'Talente &amp; Stuff'!DO:EP,18,FALSE)</f>
        <v>0</v>
      </c>
      <c r="U155" s="89">
        <f>VLOOKUP(C155,'Talente &amp; Stuff'!DO:EP,19,FALSE)</f>
        <v>0</v>
      </c>
      <c r="V155" s="47">
        <f>VLOOKUP(C155,'Talente &amp; Stuff'!DO:EP,20,FALSE)</f>
        <v>0</v>
      </c>
      <c r="W155" s="127">
        <f>VLOOKUP(C155,'Talente &amp; Stuff'!DO:EP,21,FALSE)</f>
        <v>0</v>
      </c>
      <c r="X155" s="127">
        <f>VLOOKUP(C155,'Talente &amp; Stuff'!DO:EP,22,FALSE)</f>
        <v>0</v>
      </c>
      <c r="Y155" s="165">
        <f t="shared" si="16"/>
        <v>0</v>
      </c>
      <c r="Z155" s="44">
        <f t="shared" si="17"/>
        <v>0</v>
      </c>
      <c r="AA155" s="125">
        <f>VLOOKUP(C155,'Talente &amp; Stuff'!DO:EP,25,FALSE)</f>
        <v>0</v>
      </c>
      <c r="AB155" s="160">
        <f>VLOOKUP(C155,'Talente &amp; Stuff'!DO:EP,26,FALSE)</f>
        <v>0</v>
      </c>
      <c r="AC155" s="127">
        <f>VLOOKUP(C155,'Talente &amp; Stuff'!DO:EP,27,FALSE)</f>
        <v>0</v>
      </c>
      <c r="AD155" s="125">
        <f>VLOOKUP(C155,'Talente &amp; Stuff'!DO:EP,28,FALSE)</f>
        <v>0</v>
      </c>
      <c r="AE155" s="28"/>
    </row>
    <row r="156" spans="2:31" ht="15" hidden="1" customHeight="1" outlineLevel="2">
      <c r="B156" s="148">
        <v>4</v>
      </c>
      <c r="C156" s="177" t="str">
        <f>Attribute!C156</f>
        <v>---</v>
      </c>
      <c r="D156" s="86" t="str">
        <f>VLOOKUP(C156,'Talente &amp; Stuff'!DO:EP,2,FALSE)</f>
        <v>--/--/--</v>
      </c>
      <c r="E156" s="167" t="str">
        <f>VLOOKUP(C156,'Talente &amp; Stuff'!DO:EP,3,FALSE)</f>
        <v>-</v>
      </c>
      <c r="F156" s="120">
        <f>VLOOKUP(C156,'Talente &amp; Stuff'!DO:EP,4,FALSE)</f>
        <v>0</v>
      </c>
      <c r="G156" s="117">
        <f>VLOOKUP(C156,'Talente &amp; Stuff'!DO:EP,5,FALSE)</f>
        <v>0</v>
      </c>
      <c r="H156" s="117">
        <f>VLOOKUP(C156,'Talente &amp; Stuff'!DO:EP,6,FALSE)</f>
        <v>0</v>
      </c>
      <c r="I156" s="117">
        <f>VLOOKUP(C156,'Talente &amp; Stuff'!DO:EP,7,FALSE)</f>
        <v>0</v>
      </c>
      <c r="J156" s="117">
        <f>VLOOKUP(C156,'Talente &amp; Stuff'!DO:EP,8,FALSE)</f>
        <v>0</v>
      </c>
      <c r="K156" s="117">
        <f>VLOOKUP(C156,'Talente &amp; Stuff'!DO:EP,9,FALSE)</f>
        <v>0</v>
      </c>
      <c r="L156" s="117">
        <f>VLOOKUP(C156,'Talente &amp; Stuff'!DO:EP,10,FALSE)</f>
        <v>0</v>
      </c>
      <c r="M156" s="121">
        <f>VLOOKUP(C156,'Talente &amp; Stuff'!DO:EP,11,FALSE)</f>
        <v>0</v>
      </c>
      <c r="N156" s="47">
        <f>VLOOKUP(C156,'Talente &amp; Stuff'!DO:EP,12,FALSE)</f>
        <v>0</v>
      </c>
      <c r="O156" s="3">
        <f>VLOOKUP(C156,'Talente &amp; Stuff'!DO:EP,13,FALSE)</f>
        <v>0</v>
      </c>
      <c r="P156" s="174">
        <f>VLOOKUP(C156,'Talente &amp; Stuff'!DO:EP,14,FALSE)</f>
        <v>0</v>
      </c>
      <c r="Q156" s="114">
        <f>VLOOKUP(C156,'Talente &amp; Stuff'!DO:EP,15,FALSE)</f>
        <v>0</v>
      </c>
      <c r="R156" s="117">
        <f>VLOOKUP(C156,'Talente &amp; Stuff'!DO:EP,16,FALSE)</f>
        <v>0</v>
      </c>
      <c r="S156" s="119">
        <f>VLOOKUP(C156,'Talente &amp; Stuff'!DO:EP,17,FALSE)</f>
        <v>0</v>
      </c>
      <c r="T156" s="119">
        <f>VLOOKUP(C156,'Talente &amp; Stuff'!DO:EP,18,FALSE)</f>
        <v>0</v>
      </c>
      <c r="U156" s="89">
        <f>VLOOKUP(C156,'Talente &amp; Stuff'!DO:EP,19,FALSE)</f>
        <v>0</v>
      </c>
      <c r="V156" s="47">
        <f>VLOOKUP(C156,'Talente &amp; Stuff'!DO:EP,20,FALSE)</f>
        <v>0</v>
      </c>
      <c r="W156" s="127">
        <f>VLOOKUP(C156,'Talente &amp; Stuff'!DO:EP,21,FALSE)</f>
        <v>0</v>
      </c>
      <c r="X156" s="127">
        <f>VLOOKUP(C156,'Talente &amp; Stuff'!DO:EP,22,FALSE)</f>
        <v>0</v>
      </c>
      <c r="Y156" s="165">
        <f t="shared" si="16"/>
        <v>0</v>
      </c>
      <c r="Z156" s="44">
        <f t="shared" si="17"/>
        <v>0</v>
      </c>
      <c r="AA156" s="125">
        <f>VLOOKUP(C156,'Talente &amp; Stuff'!DO:EP,25,FALSE)</f>
        <v>0</v>
      </c>
      <c r="AB156" s="160">
        <f>VLOOKUP(C156,'Talente &amp; Stuff'!DO:EP,26,FALSE)</f>
        <v>0</v>
      </c>
      <c r="AC156" s="127">
        <f>VLOOKUP(C156,'Talente &amp; Stuff'!DO:EP,27,FALSE)</f>
        <v>0</v>
      </c>
      <c r="AD156" s="125">
        <f>VLOOKUP(C156,'Talente &amp; Stuff'!DO:EP,28,FALSE)</f>
        <v>0</v>
      </c>
      <c r="AE156" s="28"/>
    </row>
    <row r="157" spans="2:31" ht="15" hidden="1" customHeight="1" outlineLevel="2">
      <c r="B157" s="148">
        <v>5</v>
      </c>
      <c r="C157" s="177" t="str">
        <f>Attribute!C157</f>
        <v>---</v>
      </c>
      <c r="D157" s="86" t="str">
        <f>VLOOKUP(C157,'Talente &amp; Stuff'!DO:EP,2,FALSE)</f>
        <v>--/--/--</v>
      </c>
      <c r="E157" s="167" t="str">
        <f>VLOOKUP(C157,'Talente &amp; Stuff'!DO:EP,3,FALSE)</f>
        <v>-</v>
      </c>
      <c r="F157" s="120">
        <f>VLOOKUP(C157,'Talente &amp; Stuff'!DO:EP,4,FALSE)</f>
        <v>0</v>
      </c>
      <c r="G157" s="117">
        <f>VLOOKUP(C157,'Talente &amp; Stuff'!DO:EP,5,FALSE)</f>
        <v>0</v>
      </c>
      <c r="H157" s="117">
        <f>VLOOKUP(C157,'Talente &amp; Stuff'!DO:EP,6,FALSE)</f>
        <v>0</v>
      </c>
      <c r="I157" s="117">
        <f>VLOOKUP(C157,'Talente &amp; Stuff'!DO:EP,7,FALSE)</f>
        <v>0</v>
      </c>
      <c r="J157" s="117">
        <f>VLOOKUP(C157,'Talente &amp; Stuff'!DO:EP,8,FALSE)</f>
        <v>0</v>
      </c>
      <c r="K157" s="117">
        <f>VLOOKUP(C157,'Talente &amp; Stuff'!DO:EP,9,FALSE)</f>
        <v>0</v>
      </c>
      <c r="L157" s="117">
        <f>VLOOKUP(C157,'Talente &amp; Stuff'!DO:EP,10,FALSE)</f>
        <v>0</v>
      </c>
      <c r="M157" s="121">
        <f>VLOOKUP(C157,'Talente &amp; Stuff'!DO:EP,11,FALSE)</f>
        <v>0</v>
      </c>
      <c r="N157" s="47">
        <f>VLOOKUP(C157,'Talente &amp; Stuff'!DO:EP,12,FALSE)</f>
        <v>0</v>
      </c>
      <c r="O157" s="3">
        <f>VLOOKUP(C157,'Talente &amp; Stuff'!DO:EP,13,FALSE)</f>
        <v>0</v>
      </c>
      <c r="P157" s="174">
        <f>VLOOKUP(C157,'Talente &amp; Stuff'!DO:EP,14,FALSE)</f>
        <v>0</v>
      </c>
      <c r="Q157" s="114">
        <f>VLOOKUP(C157,'Talente &amp; Stuff'!DO:EP,15,FALSE)</f>
        <v>0</v>
      </c>
      <c r="R157" s="117">
        <f>VLOOKUP(C157,'Talente &amp; Stuff'!DO:EP,16,FALSE)</f>
        <v>0</v>
      </c>
      <c r="S157" s="119">
        <f>VLOOKUP(C157,'Talente &amp; Stuff'!DO:EP,17,FALSE)</f>
        <v>0</v>
      </c>
      <c r="T157" s="119">
        <f>VLOOKUP(C157,'Talente &amp; Stuff'!DO:EP,18,FALSE)</f>
        <v>0</v>
      </c>
      <c r="U157" s="89">
        <f>VLOOKUP(C157,'Talente &amp; Stuff'!DO:EP,19,FALSE)</f>
        <v>0</v>
      </c>
      <c r="V157" s="47">
        <f>VLOOKUP(C157,'Talente &amp; Stuff'!DO:EP,20,FALSE)</f>
        <v>0</v>
      </c>
      <c r="W157" s="127">
        <f>VLOOKUP(C157,'Talente &amp; Stuff'!DO:EP,21,FALSE)</f>
        <v>0</v>
      </c>
      <c r="X157" s="127">
        <f>VLOOKUP(C157,'Talente &amp; Stuff'!DO:EP,22,FALSE)</f>
        <v>0</v>
      </c>
      <c r="Y157" s="165">
        <f t="shared" si="16"/>
        <v>0</v>
      </c>
      <c r="Z157" s="44">
        <f t="shared" si="17"/>
        <v>0</v>
      </c>
      <c r="AA157" s="125">
        <f>VLOOKUP(C157,'Talente &amp; Stuff'!DO:EP,25,FALSE)</f>
        <v>0</v>
      </c>
      <c r="AB157" s="160">
        <f>VLOOKUP(C157,'Talente &amp; Stuff'!DO:EP,26,FALSE)</f>
        <v>0</v>
      </c>
      <c r="AC157" s="127">
        <f>VLOOKUP(C157,'Talente &amp; Stuff'!DO:EP,27,FALSE)</f>
        <v>0</v>
      </c>
      <c r="AD157" s="125">
        <f>VLOOKUP(C157,'Talente &amp; Stuff'!DO:EP,28,FALSE)</f>
        <v>0</v>
      </c>
      <c r="AE157" s="28"/>
    </row>
    <row r="158" spans="2:31" ht="15" hidden="1" customHeight="1" outlineLevel="2">
      <c r="B158" s="148">
        <v>6</v>
      </c>
      <c r="C158" s="177" t="str">
        <f>Attribute!C158</f>
        <v>---</v>
      </c>
      <c r="D158" s="86" t="str">
        <f>VLOOKUP(C158,'Talente &amp; Stuff'!DO:EP,2,FALSE)</f>
        <v>--/--/--</v>
      </c>
      <c r="E158" s="167" t="str">
        <f>VLOOKUP(C158,'Talente &amp; Stuff'!DO:EP,3,FALSE)</f>
        <v>-</v>
      </c>
      <c r="F158" s="120">
        <f>VLOOKUP(C158,'Talente &amp; Stuff'!DO:EP,4,FALSE)</f>
        <v>0</v>
      </c>
      <c r="G158" s="117">
        <f>VLOOKUP(C158,'Talente &amp; Stuff'!DO:EP,5,FALSE)</f>
        <v>0</v>
      </c>
      <c r="H158" s="117">
        <f>VLOOKUP(C158,'Talente &amp; Stuff'!DO:EP,6,FALSE)</f>
        <v>0</v>
      </c>
      <c r="I158" s="117">
        <f>VLOOKUP(C158,'Talente &amp; Stuff'!DO:EP,7,FALSE)</f>
        <v>0</v>
      </c>
      <c r="J158" s="117">
        <f>VLOOKUP(C158,'Talente &amp; Stuff'!DO:EP,8,FALSE)</f>
        <v>0</v>
      </c>
      <c r="K158" s="117">
        <f>VLOOKUP(C158,'Talente &amp; Stuff'!DO:EP,9,FALSE)</f>
        <v>0</v>
      </c>
      <c r="L158" s="117">
        <f>VLOOKUP(C158,'Talente &amp; Stuff'!DO:EP,10,FALSE)</f>
        <v>0</v>
      </c>
      <c r="M158" s="121">
        <f>VLOOKUP(C158,'Talente &amp; Stuff'!DO:EP,11,FALSE)</f>
        <v>0</v>
      </c>
      <c r="N158" s="47">
        <f>VLOOKUP(C158,'Talente &amp; Stuff'!DO:EP,12,FALSE)</f>
        <v>0</v>
      </c>
      <c r="O158" s="3">
        <f>VLOOKUP(C158,'Talente &amp; Stuff'!DO:EP,13,FALSE)</f>
        <v>0</v>
      </c>
      <c r="P158" s="174">
        <f>VLOOKUP(C158,'Talente &amp; Stuff'!DO:EP,14,FALSE)</f>
        <v>0</v>
      </c>
      <c r="Q158" s="114">
        <f>VLOOKUP(C158,'Talente &amp; Stuff'!DO:EP,15,FALSE)</f>
        <v>0</v>
      </c>
      <c r="R158" s="117">
        <f>VLOOKUP(C158,'Talente &amp; Stuff'!DO:EP,16,FALSE)</f>
        <v>0</v>
      </c>
      <c r="S158" s="119">
        <f>VLOOKUP(C158,'Talente &amp; Stuff'!DO:EP,17,FALSE)</f>
        <v>0</v>
      </c>
      <c r="T158" s="119">
        <f>VLOOKUP(C158,'Talente &amp; Stuff'!DO:EP,18,FALSE)</f>
        <v>0</v>
      </c>
      <c r="U158" s="89">
        <f>VLOOKUP(C158,'Talente &amp; Stuff'!DO:EP,19,FALSE)</f>
        <v>0</v>
      </c>
      <c r="V158" s="47">
        <f>VLOOKUP(C158,'Talente &amp; Stuff'!DO:EP,20,FALSE)</f>
        <v>0</v>
      </c>
      <c r="W158" s="127">
        <f>VLOOKUP(C158,'Talente &amp; Stuff'!DO:EP,21,FALSE)</f>
        <v>0</v>
      </c>
      <c r="X158" s="127">
        <f>VLOOKUP(C158,'Talente &amp; Stuff'!DO:EP,22,FALSE)</f>
        <v>0</v>
      </c>
      <c r="Y158" s="165">
        <f t="shared" si="16"/>
        <v>0</v>
      </c>
      <c r="Z158" s="44">
        <f t="shared" si="17"/>
        <v>0</v>
      </c>
      <c r="AA158" s="125">
        <f>VLOOKUP(C158,'Talente &amp; Stuff'!DO:EP,25,FALSE)</f>
        <v>0</v>
      </c>
      <c r="AB158" s="160">
        <f>VLOOKUP(C158,'Talente &amp; Stuff'!DO:EP,26,FALSE)</f>
        <v>0</v>
      </c>
      <c r="AC158" s="127">
        <f>VLOOKUP(C158,'Talente &amp; Stuff'!DO:EP,27,FALSE)</f>
        <v>0</v>
      </c>
      <c r="AD158" s="125">
        <f>VLOOKUP(C158,'Talente &amp; Stuff'!DO:EP,28,FALSE)</f>
        <v>0</v>
      </c>
      <c r="AE158" s="28"/>
    </row>
    <row r="159" spans="2:31" ht="15" hidden="1" customHeight="1" outlineLevel="2">
      <c r="B159" s="148">
        <v>7</v>
      </c>
      <c r="C159" s="177" t="str">
        <f>Attribute!C159</f>
        <v>---</v>
      </c>
      <c r="D159" s="86" t="str">
        <f>VLOOKUP(C159,'Talente &amp; Stuff'!DO:EP,2,FALSE)</f>
        <v>--/--/--</v>
      </c>
      <c r="E159" s="167" t="str">
        <f>VLOOKUP(C159,'Talente &amp; Stuff'!DO:EP,3,FALSE)</f>
        <v>-</v>
      </c>
      <c r="F159" s="120">
        <f>VLOOKUP(C159,'Talente &amp; Stuff'!DO:EP,4,FALSE)</f>
        <v>0</v>
      </c>
      <c r="G159" s="117">
        <f>VLOOKUP(C159,'Talente &amp; Stuff'!DO:EP,5,FALSE)</f>
        <v>0</v>
      </c>
      <c r="H159" s="117">
        <f>VLOOKUP(C159,'Talente &amp; Stuff'!DO:EP,6,FALSE)</f>
        <v>0</v>
      </c>
      <c r="I159" s="117">
        <f>VLOOKUP(C159,'Talente &amp; Stuff'!DO:EP,7,FALSE)</f>
        <v>0</v>
      </c>
      <c r="J159" s="117">
        <f>VLOOKUP(C159,'Talente &amp; Stuff'!DO:EP,8,FALSE)</f>
        <v>0</v>
      </c>
      <c r="K159" s="117">
        <f>VLOOKUP(C159,'Talente &amp; Stuff'!DO:EP,9,FALSE)</f>
        <v>0</v>
      </c>
      <c r="L159" s="117">
        <f>VLOOKUP(C159,'Talente &amp; Stuff'!DO:EP,10,FALSE)</f>
        <v>0</v>
      </c>
      <c r="M159" s="121">
        <f>VLOOKUP(C159,'Talente &amp; Stuff'!DO:EP,11,FALSE)</f>
        <v>0</v>
      </c>
      <c r="N159" s="47">
        <f>VLOOKUP(C159,'Talente &amp; Stuff'!DO:EP,12,FALSE)</f>
        <v>0</v>
      </c>
      <c r="O159" s="3">
        <f>VLOOKUP(C159,'Talente &amp; Stuff'!DO:EP,13,FALSE)</f>
        <v>0</v>
      </c>
      <c r="P159" s="174">
        <f>VLOOKUP(C159,'Talente &amp; Stuff'!DO:EP,14,FALSE)</f>
        <v>0</v>
      </c>
      <c r="Q159" s="114">
        <f>VLOOKUP(C159,'Talente &amp; Stuff'!DO:EP,15,FALSE)</f>
        <v>0</v>
      </c>
      <c r="R159" s="117">
        <f>VLOOKUP(C159,'Talente &amp; Stuff'!DO:EP,16,FALSE)</f>
        <v>0</v>
      </c>
      <c r="S159" s="119">
        <f>VLOOKUP(C159,'Talente &amp; Stuff'!DO:EP,17,FALSE)</f>
        <v>0</v>
      </c>
      <c r="T159" s="119">
        <f>VLOOKUP(C159,'Talente &amp; Stuff'!DO:EP,18,FALSE)</f>
        <v>0</v>
      </c>
      <c r="U159" s="89">
        <f>VLOOKUP(C159,'Talente &amp; Stuff'!DO:EP,19,FALSE)</f>
        <v>0</v>
      </c>
      <c r="V159" s="47">
        <f>VLOOKUP(C159,'Talente &amp; Stuff'!DO:EP,20,FALSE)</f>
        <v>0</v>
      </c>
      <c r="W159" s="127">
        <f>VLOOKUP(C159,'Talente &amp; Stuff'!DO:EP,21,FALSE)</f>
        <v>0</v>
      </c>
      <c r="X159" s="127">
        <f>VLOOKUP(C159,'Talente &amp; Stuff'!DO:EP,22,FALSE)</f>
        <v>0</v>
      </c>
      <c r="Y159" s="165">
        <f t="shared" si="16"/>
        <v>0</v>
      </c>
      <c r="Z159" s="44">
        <f t="shared" si="17"/>
        <v>0</v>
      </c>
      <c r="AA159" s="125">
        <f>VLOOKUP(C159,'Talente &amp; Stuff'!DO:EP,25,FALSE)</f>
        <v>0</v>
      </c>
      <c r="AB159" s="160">
        <f>VLOOKUP(C159,'Talente &amp; Stuff'!DO:EP,26,FALSE)</f>
        <v>0</v>
      </c>
      <c r="AC159" s="127">
        <f>VLOOKUP(C159,'Talente &amp; Stuff'!DO:EP,27,FALSE)</f>
        <v>0</v>
      </c>
      <c r="AD159" s="125">
        <f>VLOOKUP(C159,'Talente &amp; Stuff'!DO:EP,28,FALSE)</f>
        <v>0</v>
      </c>
      <c r="AE159" s="28"/>
    </row>
    <row r="160" spans="2:31" ht="15" hidden="1" customHeight="1" outlineLevel="2">
      <c r="B160" s="148">
        <v>8</v>
      </c>
      <c r="C160" s="177" t="str">
        <f>Attribute!C160</f>
        <v>---</v>
      </c>
      <c r="D160" s="86" t="str">
        <f>VLOOKUP(C160,'Talente &amp; Stuff'!DO:EP,2,FALSE)</f>
        <v>--/--/--</v>
      </c>
      <c r="E160" s="167" t="str">
        <f>VLOOKUP(C160,'Talente &amp; Stuff'!DO:EP,3,FALSE)</f>
        <v>-</v>
      </c>
      <c r="F160" s="120">
        <f>VLOOKUP(C160,'Talente &amp; Stuff'!DO:EP,4,FALSE)</f>
        <v>0</v>
      </c>
      <c r="G160" s="117">
        <f>VLOOKUP(C160,'Talente &amp; Stuff'!DO:EP,5,FALSE)</f>
        <v>0</v>
      </c>
      <c r="H160" s="117">
        <f>VLOOKUP(C160,'Talente &amp; Stuff'!DO:EP,6,FALSE)</f>
        <v>0</v>
      </c>
      <c r="I160" s="117">
        <f>VLOOKUP(C160,'Talente &amp; Stuff'!DO:EP,7,FALSE)</f>
        <v>0</v>
      </c>
      <c r="J160" s="117">
        <f>VLOOKUP(C160,'Talente &amp; Stuff'!DO:EP,8,FALSE)</f>
        <v>0</v>
      </c>
      <c r="K160" s="117">
        <f>VLOOKUP(C160,'Talente &amp; Stuff'!DO:EP,9,FALSE)</f>
        <v>0</v>
      </c>
      <c r="L160" s="117">
        <f>VLOOKUP(C160,'Talente &amp; Stuff'!DO:EP,10,FALSE)</f>
        <v>0</v>
      </c>
      <c r="M160" s="121">
        <f>VLOOKUP(C160,'Talente &amp; Stuff'!DO:EP,11,FALSE)</f>
        <v>0</v>
      </c>
      <c r="N160" s="47">
        <f>VLOOKUP(C160,'Talente &amp; Stuff'!DO:EP,12,FALSE)</f>
        <v>0</v>
      </c>
      <c r="O160" s="3">
        <f>VLOOKUP(C160,'Talente &amp; Stuff'!DO:EP,13,FALSE)</f>
        <v>0</v>
      </c>
      <c r="P160" s="174">
        <f>VLOOKUP(C160,'Talente &amp; Stuff'!DO:EP,14,FALSE)</f>
        <v>0</v>
      </c>
      <c r="Q160" s="114">
        <f>VLOOKUP(C160,'Talente &amp; Stuff'!DO:EP,15,FALSE)</f>
        <v>0</v>
      </c>
      <c r="R160" s="117">
        <f>VLOOKUP(C160,'Talente &amp; Stuff'!DO:EP,16,FALSE)</f>
        <v>0</v>
      </c>
      <c r="S160" s="119">
        <f>VLOOKUP(C160,'Talente &amp; Stuff'!DO:EP,17,FALSE)</f>
        <v>0</v>
      </c>
      <c r="T160" s="119">
        <f>VLOOKUP(C160,'Talente &amp; Stuff'!DO:EP,18,FALSE)</f>
        <v>0</v>
      </c>
      <c r="U160" s="89">
        <f>VLOOKUP(C160,'Talente &amp; Stuff'!DO:EP,19,FALSE)</f>
        <v>0</v>
      </c>
      <c r="V160" s="47">
        <f>VLOOKUP(C160,'Talente &amp; Stuff'!DO:EP,20,FALSE)</f>
        <v>0</v>
      </c>
      <c r="W160" s="127">
        <f>VLOOKUP(C160,'Talente &amp; Stuff'!DO:EP,21,FALSE)</f>
        <v>0</v>
      </c>
      <c r="X160" s="127">
        <f>VLOOKUP(C160,'Talente &amp; Stuff'!DO:EP,22,FALSE)</f>
        <v>0</v>
      </c>
      <c r="Y160" s="165">
        <f t="shared" si="16"/>
        <v>0</v>
      </c>
      <c r="Z160" s="44">
        <f t="shared" si="17"/>
        <v>0</v>
      </c>
      <c r="AA160" s="125">
        <f>VLOOKUP(C160,'Talente &amp; Stuff'!DO:EP,25,FALSE)</f>
        <v>0</v>
      </c>
      <c r="AB160" s="160">
        <f>VLOOKUP(C160,'Talente &amp; Stuff'!DO:EP,26,FALSE)</f>
        <v>0</v>
      </c>
      <c r="AC160" s="127">
        <f>VLOOKUP(C160,'Talente &amp; Stuff'!DO:EP,27,FALSE)</f>
        <v>0</v>
      </c>
      <c r="AD160" s="125">
        <f>VLOOKUP(C160,'Talente &amp; Stuff'!DO:EP,28,FALSE)</f>
        <v>0</v>
      </c>
      <c r="AE160" s="28"/>
    </row>
    <row r="161" spans="2:31" ht="15" hidden="1" customHeight="1" outlineLevel="2">
      <c r="B161" s="148">
        <v>9</v>
      </c>
      <c r="C161" s="177" t="str">
        <f>Attribute!C161</f>
        <v>---</v>
      </c>
      <c r="D161" s="86" t="str">
        <f>VLOOKUP(C161,'Talente &amp; Stuff'!DO:EP,2,FALSE)</f>
        <v>--/--/--</v>
      </c>
      <c r="E161" s="167" t="str">
        <f>VLOOKUP(C161,'Talente &amp; Stuff'!DO:EP,3,FALSE)</f>
        <v>-</v>
      </c>
      <c r="F161" s="120">
        <f>VLOOKUP(C161,'Talente &amp; Stuff'!DO:EP,4,FALSE)</f>
        <v>0</v>
      </c>
      <c r="G161" s="117">
        <f>VLOOKUP(C161,'Talente &amp; Stuff'!DO:EP,5,FALSE)</f>
        <v>0</v>
      </c>
      <c r="H161" s="117">
        <f>VLOOKUP(C161,'Talente &amp; Stuff'!DO:EP,6,FALSE)</f>
        <v>0</v>
      </c>
      <c r="I161" s="117">
        <f>VLOOKUP(C161,'Talente &amp; Stuff'!DO:EP,7,FALSE)</f>
        <v>0</v>
      </c>
      <c r="J161" s="117">
        <f>VLOOKUP(C161,'Talente &amp; Stuff'!DO:EP,8,FALSE)</f>
        <v>0</v>
      </c>
      <c r="K161" s="117">
        <f>VLOOKUP(C161,'Talente &amp; Stuff'!DO:EP,9,FALSE)</f>
        <v>0</v>
      </c>
      <c r="L161" s="117">
        <f>VLOOKUP(C161,'Talente &amp; Stuff'!DO:EP,10,FALSE)</f>
        <v>0</v>
      </c>
      <c r="M161" s="121">
        <f>VLOOKUP(C161,'Talente &amp; Stuff'!DO:EP,11,FALSE)</f>
        <v>0</v>
      </c>
      <c r="N161" s="47">
        <f>VLOOKUP(C161,'Talente &amp; Stuff'!DO:EP,12,FALSE)</f>
        <v>0</v>
      </c>
      <c r="O161" s="3">
        <f>VLOOKUP(C161,'Talente &amp; Stuff'!DO:EP,13,FALSE)</f>
        <v>0</v>
      </c>
      <c r="P161" s="174">
        <f>VLOOKUP(C161,'Talente &amp; Stuff'!DO:EP,14,FALSE)</f>
        <v>0</v>
      </c>
      <c r="Q161" s="114">
        <f>VLOOKUP(C161,'Talente &amp; Stuff'!DO:EP,15,FALSE)</f>
        <v>0</v>
      </c>
      <c r="R161" s="117">
        <f>VLOOKUP(C161,'Talente &amp; Stuff'!DO:EP,16,FALSE)</f>
        <v>0</v>
      </c>
      <c r="S161" s="119">
        <f>VLOOKUP(C161,'Talente &amp; Stuff'!DO:EP,17,FALSE)</f>
        <v>0</v>
      </c>
      <c r="T161" s="119">
        <f>VLOOKUP(C161,'Talente &amp; Stuff'!DO:EP,18,FALSE)</f>
        <v>0</v>
      </c>
      <c r="U161" s="89">
        <f>VLOOKUP(C161,'Talente &amp; Stuff'!DO:EP,19,FALSE)</f>
        <v>0</v>
      </c>
      <c r="V161" s="47">
        <f>VLOOKUP(C161,'Talente &amp; Stuff'!DO:EP,20,FALSE)</f>
        <v>0</v>
      </c>
      <c r="W161" s="127">
        <f>VLOOKUP(C161,'Talente &amp; Stuff'!DO:EP,21,FALSE)</f>
        <v>0</v>
      </c>
      <c r="X161" s="127">
        <f>VLOOKUP(C161,'Talente &amp; Stuff'!DO:EP,22,FALSE)</f>
        <v>0</v>
      </c>
      <c r="Y161" s="165">
        <f t="shared" si="16"/>
        <v>0</v>
      </c>
      <c r="Z161" s="44">
        <f t="shared" si="17"/>
        <v>0</v>
      </c>
      <c r="AA161" s="125">
        <f>VLOOKUP(C161,'Talente &amp; Stuff'!DO:EP,25,FALSE)</f>
        <v>0</v>
      </c>
      <c r="AB161" s="160">
        <f>VLOOKUP(C161,'Talente &amp; Stuff'!DO:EP,26,FALSE)</f>
        <v>0</v>
      </c>
      <c r="AC161" s="127">
        <f>VLOOKUP(C161,'Talente &amp; Stuff'!DO:EP,27,FALSE)</f>
        <v>0</v>
      </c>
      <c r="AD161" s="125">
        <f>VLOOKUP(C161,'Talente &amp; Stuff'!DO:EP,28,FALSE)</f>
        <v>0</v>
      </c>
      <c r="AE161" s="28"/>
    </row>
    <row r="162" spans="2:31" ht="15" hidden="1" customHeight="1" outlineLevel="2">
      <c r="B162" s="148">
        <v>10</v>
      </c>
      <c r="C162" s="177" t="str">
        <f>Attribute!C162</f>
        <v>---</v>
      </c>
      <c r="D162" s="86" t="str">
        <f>VLOOKUP(C162,'Talente &amp; Stuff'!DO:EP,2,FALSE)</f>
        <v>--/--/--</v>
      </c>
      <c r="E162" s="167" t="str">
        <f>VLOOKUP(C162,'Talente &amp; Stuff'!DO:EP,3,FALSE)</f>
        <v>-</v>
      </c>
      <c r="F162" s="120">
        <f>VLOOKUP(C162,'Talente &amp; Stuff'!DO:EP,4,FALSE)</f>
        <v>0</v>
      </c>
      <c r="G162" s="117">
        <f>VLOOKUP(C162,'Talente &amp; Stuff'!DO:EP,5,FALSE)</f>
        <v>0</v>
      </c>
      <c r="H162" s="117">
        <f>VLOOKUP(C162,'Talente &amp; Stuff'!DO:EP,6,FALSE)</f>
        <v>0</v>
      </c>
      <c r="I162" s="117">
        <f>VLOOKUP(C162,'Talente &amp; Stuff'!DO:EP,7,FALSE)</f>
        <v>0</v>
      </c>
      <c r="J162" s="117">
        <f>VLOOKUP(C162,'Talente &amp; Stuff'!DO:EP,8,FALSE)</f>
        <v>0</v>
      </c>
      <c r="K162" s="117">
        <f>VLOOKUP(C162,'Talente &amp; Stuff'!DO:EP,9,FALSE)</f>
        <v>0</v>
      </c>
      <c r="L162" s="117">
        <f>VLOOKUP(C162,'Talente &amp; Stuff'!DO:EP,10,FALSE)</f>
        <v>0</v>
      </c>
      <c r="M162" s="121">
        <f>VLOOKUP(C162,'Talente &amp; Stuff'!DO:EP,11,FALSE)</f>
        <v>0</v>
      </c>
      <c r="N162" s="47">
        <f>VLOOKUP(C162,'Talente &amp; Stuff'!DO:EP,12,FALSE)</f>
        <v>0</v>
      </c>
      <c r="O162" s="3">
        <f>VLOOKUP(C162,'Talente &amp; Stuff'!DO:EP,13,FALSE)</f>
        <v>0</v>
      </c>
      <c r="P162" s="174">
        <f>VLOOKUP(C162,'Talente &amp; Stuff'!DO:EP,14,FALSE)</f>
        <v>0</v>
      </c>
      <c r="Q162" s="114">
        <f>VLOOKUP(C162,'Talente &amp; Stuff'!DO:EP,15,FALSE)</f>
        <v>0</v>
      </c>
      <c r="R162" s="117">
        <f>VLOOKUP(C162,'Talente &amp; Stuff'!DO:EP,16,FALSE)</f>
        <v>0</v>
      </c>
      <c r="S162" s="119">
        <f>VLOOKUP(C162,'Talente &amp; Stuff'!DO:EP,17,FALSE)</f>
        <v>0</v>
      </c>
      <c r="T162" s="119">
        <f>VLOOKUP(C162,'Talente &amp; Stuff'!DO:EP,18,FALSE)</f>
        <v>0</v>
      </c>
      <c r="U162" s="89">
        <f>VLOOKUP(C162,'Talente &amp; Stuff'!DO:EP,19,FALSE)</f>
        <v>0</v>
      </c>
      <c r="V162" s="47">
        <f>VLOOKUP(C162,'Talente &amp; Stuff'!DO:EP,20,FALSE)</f>
        <v>0</v>
      </c>
      <c r="W162" s="127">
        <f>VLOOKUP(C162,'Talente &amp; Stuff'!DO:EP,21,FALSE)</f>
        <v>0</v>
      </c>
      <c r="X162" s="127">
        <f>VLOOKUP(C162,'Talente &amp; Stuff'!DO:EP,22,FALSE)</f>
        <v>0</v>
      </c>
      <c r="Y162" s="165">
        <f t="shared" si="16"/>
        <v>0</v>
      </c>
      <c r="Z162" s="44">
        <f t="shared" si="17"/>
        <v>0</v>
      </c>
      <c r="AA162" s="125">
        <f>VLOOKUP(C162,'Talente &amp; Stuff'!DO:EP,25,FALSE)</f>
        <v>0</v>
      </c>
      <c r="AB162" s="160">
        <f>VLOOKUP(C162,'Talente &amp; Stuff'!DO:EP,26,FALSE)</f>
        <v>0</v>
      </c>
      <c r="AC162" s="127">
        <f>VLOOKUP(C162,'Talente &amp; Stuff'!DO:EP,27,FALSE)</f>
        <v>0</v>
      </c>
      <c r="AD162" s="125">
        <f>VLOOKUP(C162,'Talente &amp; Stuff'!DO:EP,28,FALSE)</f>
        <v>0</v>
      </c>
      <c r="AE162" s="28"/>
    </row>
    <row r="163" spans="2:31" ht="15" hidden="1" customHeight="1" outlineLevel="2">
      <c r="B163" s="148">
        <v>11</v>
      </c>
      <c r="C163" s="177" t="str">
        <f>Attribute!C163</f>
        <v>---</v>
      </c>
      <c r="D163" s="86" t="str">
        <f>VLOOKUP(C163,'Talente &amp; Stuff'!DO:EP,2,FALSE)</f>
        <v>--/--/--</v>
      </c>
      <c r="E163" s="167" t="str">
        <f>VLOOKUP(C163,'Talente &amp; Stuff'!DO:EP,3,FALSE)</f>
        <v>-</v>
      </c>
      <c r="F163" s="120">
        <f>VLOOKUP(C163,'Talente &amp; Stuff'!DO:EP,4,FALSE)</f>
        <v>0</v>
      </c>
      <c r="G163" s="117">
        <f>VLOOKUP(C163,'Talente &amp; Stuff'!DO:EP,5,FALSE)</f>
        <v>0</v>
      </c>
      <c r="H163" s="117">
        <f>VLOOKUP(C163,'Talente &amp; Stuff'!DO:EP,6,FALSE)</f>
        <v>0</v>
      </c>
      <c r="I163" s="117">
        <f>VLOOKUP(C163,'Talente &amp; Stuff'!DO:EP,7,FALSE)</f>
        <v>0</v>
      </c>
      <c r="J163" s="117">
        <f>VLOOKUP(C163,'Talente &amp; Stuff'!DO:EP,8,FALSE)</f>
        <v>0</v>
      </c>
      <c r="K163" s="117">
        <f>VLOOKUP(C163,'Talente &amp; Stuff'!DO:EP,9,FALSE)</f>
        <v>0</v>
      </c>
      <c r="L163" s="117">
        <f>VLOOKUP(C163,'Talente &amp; Stuff'!DO:EP,10,FALSE)</f>
        <v>0</v>
      </c>
      <c r="M163" s="121">
        <f>VLOOKUP(C163,'Talente &amp; Stuff'!DO:EP,11,FALSE)</f>
        <v>0</v>
      </c>
      <c r="N163" s="47">
        <f>VLOOKUP(C163,'Talente &amp; Stuff'!DO:EP,12,FALSE)</f>
        <v>0</v>
      </c>
      <c r="O163" s="3">
        <f>VLOOKUP(C163,'Talente &amp; Stuff'!DO:EP,13,FALSE)</f>
        <v>0</v>
      </c>
      <c r="P163" s="174">
        <f>VLOOKUP(C163,'Talente &amp; Stuff'!DO:EP,14,FALSE)</f>
        <v>0</v>
      </c>
      <c r="Q163" s="114">
        <f>VLOOKUP(C163,'Talente &amp; Stuff'!DO:EP,15,FALSE)</f>
        <v>0</v>
      </c>
      <c r="R163" s="117">
        <f>VLOOKUP(C163,'Talente &amp; Stuff'!DO:EP,16,FALSE)</f>
        <v>0</v>
      </c>
      <c r="S163" s="119">
        <f>VLOOKUP(C163,'Talente &amp; Stuff'!DO:EP,17,FALSE)</f>
        <v>0</v>
      </c>
      <c r="T163" s="119">
        <f>VLOOKUP(C163,'Talente &amp; Stuff'!DO:EP,18,FALSE)</f>
        <v>0</v>
      </c>
      <c r="U163" s="89">
        <f>VLOOKUP(C163,'Talente &amp; Stuff'!DO:EP,19,FALSE)</f>
        <v>0</v>
      </c>
      <c r="V163" s="47">
        <f>VLOOKUP(C163,'Talente &amp; Stuff'!DO:EP,20,FALSE)</f>
        <v>0</v>
      </c>
      <c r="W163" s="127">
        <f>VLOOKUP(C163,'Talente &amp; Stuff'!DO:EP,21,FALSE)</f>
        <v>0</v>
      </c>
      <c r="X163" s="127">
        <f>VLOOKUP(C163,'Talente &amp; Stuff'!DO:EP,22,FALSE)</f>
        <v>0</v>
      </c>
      <c r="Y163" s="165">
        <f t="shared" si="16"/>
        <v>0</v>
      </c>
      <c r="Z163" s="44">
        <f t="shared" si="17"/>
        <v>0</v>
      </c>
      <c r="AA163" s="125">
        <f>VLOOKUP(C163,'Talente &amp; Stuff'!DO:EP,25,FALSE)</f>
        <v>0</v>
      </c>
      <c r="AB163" s="160">
        <f>VLOOKUP(C163,'Talente &amp; Stuff'!DO:EP,26,FALSE)</f>
        <v>0</v>
      </c>
      <c r="AC163" s="127">
        <f>VLOOKUP(C163,'Talente &amp; Stuff'!DO:EP,27,FALSE)</f>
        <v>0</v>
      </c>
      <c r="AD163" s="125">
        <f>VLOOKUP(C163,'Talente &amp; Stuff'!DO:EP,28,FALSE)</f>
        <v>0</v>
      </c>
      <c r="AE163" s="28"/>
    </row>
    <row r="164" spans="2:31" ht="15" hidden="1" customHeight="1" outlineLevel="2">
      <c r="B164" s="148">
        <v>12</v>
      </c>
      <c r="C164" s="177" t="str">
        <f>Attribute!C164</f>
        <v>---</v>
      </c>
      <c r="D164" s="86" t="str">
        <f>VLOOKUP(C164,'Talente &amp; Stuff'!DO:EP,2,FALSE)</f>
        <v>--/--/--</v>
      </c>
      <c r="E164" s="167" t="str">
        <f>VLOOKUP(C164,'Talente &amp; Stuff'!DO:EP,3,FALSE)</f>
        <v>-</v>
      </c>
      <c r="F164" s="120">
        <f>VLOOKUP(C164,'Talente &amp; Stuff'!DO:EP,4,FALSE)</f>
        <v>0</v>
      </c>
      <c r="G164" s="117">
        <f>VLOOKUP(C164,'Talente &amp; Stuff'!DO:EP,5,FALSE)</f>
        <v>0</v>
      </c>
      <c r="H164" s="117">
        <f>VLOOKUP(C164,'Talente &amp; Stuff'!DO:EP,6,FALSE)</f>
        <v>0</v>
      </c>
      <c r="I164" s="117">
        <f>VLOOKUP(C164,'Talente &amp; Stuff'!DO:EP,7,FALSE)</f>
        <v>0</v>
      </c>
      <c r="J164" s="117">
        <f>VLOOKUP(C164,'Talente &amp; Stuff'!DO:EP,8,FALSE)</f>
        <v>0</v>
      </c>
      <c r="K164" s="117">
        <f>VLOOKUP(C164,'Talente &amp; Stuff'!DO:EP,9,FALSE)</f>
        <v>0</v>
      </c>
      <c r="L164" s="117">
        <f>VLOOKUP(C164,'Talente &amp; Stuff'!DO:EP,10,FALSE)</f>
        <v>0</v>
      </c>
      <c r="M164" s="121">
        <f>VLOOKUP(C164,'Talente &amp; Stuff'!DO:EP,11,FALSE)</f>
        <v>0</v>
      </c>
      <c r="N164" s="47">
        <f>VLOOKUP(C164,'Talente &amp; Stuff'!DO:EP,12,FALSE)</f>
        <v>0</v>
      </c>
      <c r="O164" s="3">
        <f>VLOOKUP(C164,'Talente &amp; Stuff'!DO:EP,13,FALSE)</f>
        <v>0</v>
      </c>
      <c r="P164" s="174">
        <f>VLOOKUP(C164,'Talente &amp; Stuff'!DO:EP,14,FALSE)</f>
        <v>0</v>
      </c>
      <c r="Q164" s="114">
        <f>VLOOKUP(C164,'Talente &amp; Stuff'!DO:EP,15,FALSE)</f>
        <v>0</v>
      </c>
      <c r="R164" s="117">
        <f>VLOOKUP(C164,'Talente &amp; Stuff'!DO:EP,16,FALSE)</f>
        <v>0</v>
      </c>
      <c r="S164" s="119">
        <f>VLOOKUP(C164,'Talente &amp; Stuff'!DO:EP,17,FALSE)</f>
        <v>0</v>
      </c>
      <c r="T164" s="119">
        <f>VLOOKUP(C164,'Talente &amp; Stuff'!DO:EP,18,FALSE)</f>
        <v>0</v>
      </c>
      <c r="U164" s="89">
        <f>VLOOKUP(C164,'Talente &amp; Stuff'!DO:EP,19,FALSE)</f>
        <v>0</v>
      </c>
      <c r="V164" s="47">
        <f>VLOOKUP(C164,'Talente &amp; Stuff'!DO:EP,20,FALSE)</f>
        <v>0</v>
      </c>
      <c r="W164" s="127">
        <f>VLOOKUP(C164,'Talente &amp; Stuff'!DO:EP,21,FALSE)</f>
        <v>0</v>
      </c>
      <c r="X164" s="127">
        <f>VLOOKUP(C164,'Talente &amp; Stuff'!DO:EP,22,FALSE)</f>
        <v>0</v>
      </c>
      <c r="Y164" s="165">
        <f t="shared" si="16"/>
        <v>0</v>
      </c>
      <c r="Z164" s="44">
        <f t="shared" si="17"/>
        <v>0</v>
      </c>
      <c r="AA164" s="125">
        <f>VLOOKUP(C164,'Talente &amp; Stuff'!DO:EP,25,FALSE)</f>
        <v>0</v>
      </c>
      <c r="AB164" s="160">
        <f>VLOOKUP(C164,'Talente &amp; Stuff'!DO:EP,26,FALSE)</f>
        <v>0</v>
      </c>
      <c r="AC164" s="127">
        <f>VLOOKUP(C164,'Talente &amp; Stuff'!DO:EP,27,FALSE)</f>
        <v>0</v>
      </c>
      <c r="AD164" s="125">
        <f>VLOOKUP(C164,'Talente &amp; Stuff'!DO:EP,28,FALSE)</f>
        <v>0</v>
      </c>
      <c r="AE164" s="28"/>
    </row>
    <row r="165" spans="2:31" ht="15" hidden="1" customHeight="1" outlineLevel="2">
      <c r="B165" s="148">
        <v>13</v>
      </c>
      <c r="C165" s="177" t="str">
        <f>Attribute!C165</f>
        <v>---</v>
      </c>
      <c r="D165" s="86" t="str">
        <f>VLOOKUP(C165,'Talente &amp; Stuff'!DO:EP,2,FALSE)</f>
        <v>--/--/--</v>
      </c>
      <c r="E165" s="167" t="str">
        <f>VLOOKUP(C165,'Talente &amp; Stuff'!DO:EP,3,FALSE)</f>
        <v>-</v>
      </c>
      <c r="F165" s="120">
        <f>VLOOKUP(C165,'Talente &amp; Stuff'!DO:EP,4,FALSE)</f>
        <v>0</v>
      </c>
      <c r="G165" s="117">
        <f>VLOOKUP(C165,'Talente &amp; Stuff'!DO:EP,5,FALSE)</f>
        <v>0</v>
      </c>
      <c r="H165" s="117">
        <f>VLOOKUP(C165,'Talente &amp; Stuff'!DO:EP,6,FALSE)</f>
        <v>0</v>
      </c>
      <c r="I165" s="117">
        <f>VLOOKUP(C165,'Talente &amp; Stuff'!DO:EP,7,FALSE)</f>
        <v>0</v>
      </c>
      <c r="J165" s="117">
        <f>VLOOKUP(C165,'Talente &amp; Stuff'!DO:EP,8,FALSE)</f>
        <v>0</v>
      </c>
      <c r="K165" s="117">
        <f>VLOOKUP(C165,'Talente &amp; Stuff'!DO:EP,9,FALSE)</f>
        <v>0</v>
      </c>
      <c r="L165" s="117">
        <f>VLOOKUP(C165,'Talente &amp; Stuff'!DO:EP,10,FALSE)</f>
        <v>0</v>
      </c>
      <c r="M165" s="121">
        <f>VLOOKUP(C165,'Talente &amp; Stuff'!DO:EP,11,FALSE)</f>
        <v>0</v>
      </c>
      <c r="N165" s="47">
        <f>VLOOKUP(C165,'Talente &amp; Stuff'!DO:EP,12,FALSE)</f>
        <v>0</v>
      </c>
      <c r="O165" s="3">
        <f>VLOOKUP(C165,'Talente &amp; Stuff'!DO:EP,13,FALSE)</f>
        <v>0</v>
      </c>
      <c r="P165" s="174">
        <f>VLOOKUP(C165,'Talente &amp; Stuff'!DO:EP,14,FALSE)</f>
        <v>0</v>
      </c>
      <c r="Q165" s="114">
        <f>VLOOKUP(C165,'Talente &amp; Stuff'!DO:EP,15,FALSE)</f>
        <v>0</v>
      </c>
      <c r="R165" s="117">
        <f>VLOOKUP(C165,'Talente &amp; Stuff'!DO:EP,16,FALSE)</f>
        <v>0</v>
      </c>
      <c r="S165" s="119">
        <f>VLOOKUP(C165,'Talente &amp; Stuff'!DO:EP,17,FALSE)</f>
        <v>0</v>
      </c>
      <c r="T165" s="119">
        <f>VLOOKUP(C165,'Talente &amp; Stuff'!DO:EP,18,FALSE)</f>
        <v>0</v>
      </c>
      <c r="U165" s="89">
        <f>VLOOKUP(C165,'Talente &amp; Stuff'!DO:EP,19,FALSE)</f>
        <v>0</v>
      </c>
      <c r="V165" s="47">
        <f>VLOOKUP(C165,'Talente &amp; Stuff'!DO:EP,20,FALSE)</f>
        <v>0</v>
      </c>
      <c r="W165" s="127">
        <f>VLOOKUP(C165,'Talente &amp; Stuff'!DO:EP,21,FALSE)</f>
        <v>0</v>
      </c>
      <c r="X165" s="127">
        <f>VLOOKUP(C165,'Talente &amp; Stuff'!DO:EP,22,FALSE)</f>
        <v>0</v>
      </c>
      <c r="Y165" s="165">
        <f t="shared" si="16"/>
        <v>0</v>
      </c>
      <c r="Z165" s="44">
        <f t="shared" si="17"/>
        <v>0</v>
      </c>
      <c r="AA165" s="125">
        <f>VLOOKUP(C165,'Talente &amp; Stuff'!DO:EP,25,FALSE)</f>
        <v>0</v>
      </c>
      <c r="AB165" s="160">
        <f>VLOOKUP(C165,'Talente &amp; Stuff'!DO:EP,26,FALSE)</f>
        <v>0</v>
      </c>
      <c r="AC165" s="127">
        <f>VLOOKUP(C165,'Talente &amp; Stuff'!DO:EP,27,FALSE)</f>
        <v>0</v>
      </c>
      <c r="AD165" s="125">
        <f>VLOOKUP(C165,'Talente &amp; Stuff'!DO:EP,28,FALSE)</f>
        <v>0</v>
      </c>
      <c r="AE165" s="28"/>
    </row>
    <row r="166" spans="2:31" ht="15" hidden="1" customHeight="1" outlineLevel="2">
      <c r="B166" s="148">
        <v>14</v>
      </c>
      <c r="C166" s="177" t="str">
        <f>Attribute!C166</f>
        <v>---</v>
      </c>
      <c r="D166" s="86" t="str">
        <f>VLOOKUP(C166,'Talente &amp; Stuff'!DO:EP,2,FALSE)</f>
        <v>--/--/--</v>
      </c>
      <c r="E166" s="167" t="str">
        <f>VLOOKUP(C166,'Talente &amp; Stuff'!DO:EP,3,FALSE)</f>
        <v>-</v>
      </c>
      <c r="F166" s="120">
        <f>VLOOKUP(C166,'Talente &amp; Stuff'!DO:EP,4,FALSE)</f>
        <v>0</v>
      </c>
      <c r="G166" s="117">
        <f>VLOOKUP(C166,'Talente &amp; Stuff'!DO:EP,5,FALSE)</f>
        <v>0</v>
      </c>
      <c r="H166" s="117">
        <f>VLOOKUP(C166,'Talente &amp; Stuff'!DO:EP,6,FALSE)</f>
        <v>0</v>
      </c>
      <c r="I166" s="117">
        <f>VLOOKUP(C166,'Talente &amp; Stuff'!DO:EP,7,FALSE)</f>
        <v>0</v>
      </c>
      <c r="J166" s="117">
        <f>VLOOKUP(C166,'Talente &amp; Stuff'!DO:EP,8,FALSE)</f>
        <v>0</v>
      </c>
      <c r="K166" s="117">
        <f>VLOOKUP(C166,'Talente &amp; Stuff'!DO:EP,9,FALSE)</f>
        <v>0</v>
      </c>
      <c r="L166" s="117">
        <f>VLOOKUP(C166,'Talente &amp; Stuff'!DO:EP,10,FALSE)</f>
        <v>0</v>
      </c>
      <c r="M166" s="121">
        <f>VLOOKUP(C166,'Talente &amp; Stuff'!DO:EP,11,FALSE)</f>
        <v>0</v>
      </c>
      <c r="N166" s="47">
        <f>VLOOKUP(C166,'Talente &amp; Stuff'!DO:EP,12,FALSE)</f>
        <v>0</v>
      </c>
      <c r="O166" s="3">
        <f>VLOOKUP(C166,'Talente &amp; Stuff'!DO:EP,13,FALSE)</f>
        <v>0</v>
      </c>
      <c r="P166" s="174">
        <f>VLOOKUP(C166,'Talente &amp; Stuff'!DO:EP,14,FALSE)</f>
        <v>0</v>
      </c>
      <c r="Q166" s="114">
        <f>VLOOKUP(C166,'Talente &amp; Stuff'!DO:EP,15,FALSE)</f>
        <v>0</v>
      </c>
      <c r="R166" s="117">
        <f>VLOOKUP(C166,'Talente &amp; Stuff'!DO:EP,16,FALSE)</f>
        <v>0</v>
      </c>
      <c r="S166" s="119">
        <f>VLOOKUP(C166,'Talente &amp; Stuff'!DO:EP,17,FALSE)</f>
        <v>0</v>
      </c>
      <c r="T166" s="119">
        <f>VLOOKUP(C166,'Talente &amp; Stuff'!DO:EP,18,FALSE)</f>
        <v>0</v>
      </c>
      <c r="U166" s="89">
        <f>VLOOKUP(C166,'Talente &amp; Stuff'!DO:EP,19,FALSE)</f>
        <v>0</v>
      </c>
      <c r="V166" s="47">
        <f>VLOOKUP(C166,'Talente &amp; Stuff'!DO:EP,20,FALSE)</f>
        <v>0</v>
      </c>
      <c r="W166" s="127">
        <f>VLOOKUP(C166,'Talente &amp; Stuff'!DO:EP,21,FALSE)</f>
        <v>0</v>
      </c>
      <c r="X166" s="127">
        <f>VLOOKUP(C166,'Talente &amp; Stuff'!DO:EP,22,FALSE)</f>
        <v>0</v>
      </c>
      <c r="Y166" s="165">
        <f t="shared" si="16"/>
        <v>0</v>
      </c>
      <c r="Z166" s="44">
        <f t="shared" si="17"/>
        <v>0</v>
      </c>
      <c r="AA166" s="125">
        <f>VLOOKUP(C166,'Talente &amp; Stuff'!DO:EP,25,FALSE)</f>
        <v>0</v>
      </c>
      <c r="AB166" s="160">
        <f>VLOOKUP(C166,'Talente &amp; Stuff'!DO:EP,26,FALSE)</f>
        <v>0</v>
      </c>
      <c r="AC166" s="127">
        <f>VLOOKUP(C166,'Talente &amp; Stuff'!DO:EP,27,FALSE)</f>
        <v>0</v>
      </c>
      <c r="AD166" s="125">
        <f>VLOOKUP(C166,'Talente &amp; Stuff'!DO:EP,28,FALSE)</f>
        <v>0</v>
      </c>
      <c r="AE166" s="28"/>
    </row>
    <row r="167" spans="2:31" ht="15" hidden="1" customHeight="1" outlineLevel="2">
      <c r="B167" s="148">
        <v>15</v>
      </c>
      <c r="C167" s="177" t="str">
        <f>Attribute!C167</f>
        <v>---</v>
      </c>
      <c r="D167" s="86" t="str">
        <f>VLOOKUP(C167,'Talente &amp; Stuff'!DO:EP,2,FALSE)</f>
        <v>--/--/--</v>
      </c>
      <c r="E167" s="167" t="str">
        <f>VLOOKUP(C167,'Talente &amp; Stuff'!DO:EP,3,FALSE)</f>
        <v>-</v>
      </c>
      <c r="F167" s="120">
        <f>VLOOKUP(C167,'Talente &amp; Stuff'!DO:EP,4,FALSE)</f>
        <v>0</v>
      </c>
      <c r="G167" s="117">
        <f>VLOOKUP(C167,'Talente &amp; Stuff'!DO:EP,5,FALSE)</f>
        <v>0</v>
      </c>
      <c r="H167" s="117">
        <f>VLOOKUP(C167,'Talente &amp; Stuff'!DO:EP,6,FALSE)</f>
        <v>0</v>
      </c>
      <c r="I167" s="117">
        <f>VLOOKUP(C167,'Talente &amp; Stuff'!DO:EP,7,FALSE)</f>
        <v>0</v>
      </c>
      <c r="J167" s="117">
        <f>VLOOKUP(C167,'Talente &amp; Stuff'!DO:EP,8,FALSE)</f>
        <v>0</v>
      </c>
      <c r="K167" s="117">
        <f>VLOOKUP(C167,'Talente &amp; Stuff'!DO:EP,9,FALSE)</f>
        <v>0</v>
      </c>
      <c r="L167" s="117">
        <f>VLOOKUP(C167,'Talente &amp; Stuff'!DO:EP,10,FALSE)</f>
        <v>0</v>
      </c>
      <c r="M167" s="121">
        <f>VLOOKUP(C167,'Talente &amp; Stuff'!DO:EP,11,FALSE)</f>
        <v>0</v>
      </c>
      <c r="N167" s="47">
        <f>VLOOKUP(C167,'Talente &amp; Stuff'!DO:EP,12,FALSE)</f>
        <v>0</v>
      </c>
      <c r="O167" s="3">
        <f>VLOOKUP(C167,'Talente &amp; Stuff'!DO:EP,13,FALSE)</f>
        <v>0</v>
      </c>
      <c r="P167" s="174">
        <f>VLOOKUP(C167,'Talente &amp; Stuff'!DO:EP,14,FALSE)</f>
        <v>0</v>
      </c>
      <c r="Q167" s="114">
        <f>VLOOKUP(C167,'Talente &amp; Stuff'!DO:EP,15,FALSE)</f>
        <v>0</v>
      </c>
      <c r="R167" s="117">
        <f>VLOOKUP(C167,'Talente &amp; Stuff'!DO:EP,16,FALSE)</f>
        <v>0</v>
      </c>
      <c r="S167" s="119">
        <f>VLOOKUP(C167,'Talente &amp; Stuff'!DO:EP,17,FALSE)</f>
        <v>0</v>
      </c>
      <c r="T167" s="119">
        <f>VLOOKUP(C167,'Talente &amp; Stuff'!DO:EP,18,FALSE)</f>
        <v>0</v>
      </c>
      <c r="U167" s="89">
        <f>VLOOKUP(C167,'Talente &amp; Stuff'!DO:EP,19,FALSE)</f>
        <v>0</v>
      </c>
      <c r="V167" s="47">
        <f>VLOOKUP(C167,'Talente &amp; Stuff'!DO:EP,20,FALSE)</f>
        <v>0</v>
      </c>
      <c r="W167" s="127">
        <f>VLOOKUP(C167,'Talente &amp; Stuff'!DO:EP,21,FALSE)</f>
        <v>0</v>
      </c>
      <c r="X167" s="127">
        <f>VLOOKUP(C167,'Talente &amp; Stuff'!DO:EP,22,FALSE)</f>
        <v>0</v>
      </c>
      <c r="Y167" s="165">
        <f t="shared" si="16"/>
        <v>0</v>
      </c>
      <c r="Z167" s="44">
        <f t="shared" si="17"/>
        <v>0</v>
      </c>
      <c r="AA167" s="125">
        <f>VLOOKUP(C167,'Talente &amp; Stuff'!DO:EP,25,FALSE)</f>
        <v>0</v>
      </c>
      <c r="AB167" s="160">
        <f>VLOOKUP(C167,'Talente &amp; Stuff'!DO:EP,26,FALSE)</f>
        <v>0</v>
      </c>
      <c r="AC167" s="127">
        <f>VLOOKUP(C167,'Talente &amp; Stuff'!DO:EP,27,FALSE)</f>
        <v>0</v>
      </c>
      <c r="AD167" s="125">
        <f>VLOOKUP(C167,'Talente &amp; Stuff'!DO:EP,28,FALSE)</f>
        <v>0</v>
      </c>
      <c r="AE167" s="28"/>
    </row>
    <row r="168" spans="2:31" ht="15" hidden="1" customHeight="1" outlineLevel="2">
      <c r="B168" s="148">
        <v>16</v>
      </c>
      <c r="C168" s="177" t="str">
        <f>Attribute!C168</f>
        <v>---</v>
      </c>
      <c r="D168" s="86" t="str">
        <f>VLOOKUP(C168,'Talente &amp; Stuff'!DO:EP,2,FALSE)</f>
        <v>--/--/--</v>
      </c>
      <c r="E168" s="167" t="str">
        <f>VLOOKUP(C168,'Talente &amp; Stuff'!DO:EP,3,FALSE)</f>
        <v>-</v>
      </c>
      <c r="F168" s="120">
        <f>VLOOKUP(C168,'Talente &amp; Stuff'!DO:EP,4,FALSE)</f>
        <v>0</v>
      </c>
      <c r="G168" s="117">
        <f>VLOOKUP(C168,'Talente &amp; Stuff'!DO:EP,5,FALSE)</f>
        <v>0</v>
      </c>
      <c r="H168" s="117">
        <f>VLOOKUP(C168,'Talente &amp; Stuff'!DO:EP,6,FALSE)</f>
        <v>0</v>
      </c>
      <c r="I168" s="117">
        <f>VLOOKUP(C168,'Talente &amp; Stuff'!DO:EP,7,FALSE)</f>
        <v>0</v>
      </c>
      <c r="J168" s="117">
        <f>VLOOKUP(C168,'Talente &amp; Stuff'!DO:EP,8,FALSE)</f>
        <v>0</v>
      </c>
      <c r="K168" s="117">
        <f>VLOOKUP(C168,'Talente &amp; Stuff'!DO:EP,9,FALSE)</f>
        <v>0</v>
      </c>
      <c r="L168" s="117">
        <f>VLOOKUP(C168,'Talente &amp; Stuff'!DO:EP,10,FALSE)</f>
        <v>0</v>
      </c>
      <c r="M168" s="121">
        <f>VLOOKUP(C168,'Talente &amp; Stuff'!DO:EP,11,FALSE)</f>
        <v>0</v>
      </c>
      <c r="N168" s="47">
        <f>VLOOKUP(C168,'Talente &amp; Stuff'!DO:EP,12,FALSE)</f>
        <v>0</v>
      </c>
      <c r="O168" s="3">
        <f>VLOOKUP(C168,'Talente &amp; Stuff'!DO:EP,13,FALSE)</f>
        <v>0</v>
      </c>
      <c r="P168" s="174">
        <f>VLOOKUP(C168,'Talente &amp; Stuff'!DO:EP,14,FALSE)</f>
        <v>0</v>
      </c>
      <c r="Q168" s="114">
        <f>VLOOKUP(C168,'Talente &amp; Stuff'!DO:EP,15,FALSE)</f>
        <v>0</v>
      </c>
      <c r="R168" s="117">
        <f>VLOOKUP(C168,'Talente &amp; Stuff'!DO:EP,16,FALSE)</f>
        <v>0</v>
      </c>
      <c r="S168" s="119">
        <f>VLOOKUP(C168,'Talente &amp; Stuff'!DO:EP,17,FALSE)</f>
        <v>0</v>
      </c>
      <c r="T168" s="119">
        <f>VLOOKUP(C168,'Talente &amp; Stuff'!DO:EP,18,FALSE)</f>
        <v>0</v>
      </c>
      <c r="U168" s="89">
        <f>VLOOKUP(C168,'Talente &amp; Stuff'!DO:EP,19,FALSE)</f>
        <v>0</v>
      </c>
      <c r="V168" s="47">
        <f>VLOOKUP(C168,'Talente &amp; Stuff'!DO:EP,20,FALSE)</f>
        <v>0</v>
      </c>
      <c r="W168" s="127">
        <f>VLOOKUP(C168,'Talente &amp; Stuff'!DO:EP,21,FALSE)</f>
        <v>0</v>
      </c>
      <c r="X168" s="127">
        <f>VLOOKUP(C168,'Talente &amp; Stuff'!DO:EP,22,FALSE)</f>
        <v>0</v>
      </c>
      <c r="Y168" s="165">
        <f t="shared" si="16"/>
        <v>0</v>
      </c>
      <c r="Z168" s="44">
        <f t="shared" si="17"/>
        <v>0</v>
      </c>
      <c r="AA168" s="125">
        <f>VLOOKUP(C168,'Talente &amp; Stuff'!DO:EP,25,FALSE)</f>
        <v>0</v>
      </c>
      <c r="AB168" s="160">
        <f>VLOOKUP(C168,'Talente &amp; Stuff'!DO:EP,26,FALSE)</f>
        <v>0</v>
      </c>
      <c r="AC168" s="127">
        <f>VLOOKUP(C168,'Talente &amp; Stuff'!DO:EP,27,FALSE)</f>
        <v>0</v>
      </c>
      <c r="AD168" s="125">
        <f>VLOOKUP(C168,'Talente &amp; Stuff'!DO:EP,28,FALSE)</f>
        <v>0</v>
      </c>
      <c r="AE168" s="28"/>
    </row>
    <row r="169" spans="2:31" ht="15" hidden="1" customHeight="1" outlineLevel="2">
      <c r="B169" s="148">
        <v>17</v>
      </c>
      <c r="C169" s="177" t="str">
        <f>Attribute!C169</f>
        <v>---</v>
      </c>
      <c r="D169" s="86" t="str">
        <f>VLOOKUP(C169,'Talente &amp; Stuff'!DO:EP,2,FALSE)</f>
        <v>--/--/--</v>
      </c>
      <c r="E169" s="167" t="str">
        <f>VLOOKUP(C169,'Talente &amp; Stuff'!DO:EP,3,FALSE)</f>
        <v>-</v>
      </c>
      <c r="F169" s="120">
        <f>VLOOKUP(C169,'Talente &amp; Stuff'!DO:EP,4,FALSE)</f>
        <v>0</v>
      </c>
      <c r="G169" s="117">
        <f>VLOOKUP(C169,'Talente &amp; Stuff'!DO:EP,5,FALSE)</f>
        <v>0</v>
      </c>
      <c r="H169" s="117">
        <f>VLOOKUP(C169,'Talente &amp; Stuff'!DO:EP,6,FALSE)</f>
        <v>0</v>
      </c>
      <c r="I169" s="117">
        <f>VLOOKUP(C169,'Talente &amp; Stuff'!DO:EP,7,FALSE)</f>
        <v>0</v>
      </c>
      <c r="J169" s="117">
        <f>VLOOKUP(C169,'Talente &amp; Stuff'!DO:EP,8,FALSE)</f>
        <v>0</v>
      </c>
      <c r="K169" s="117">
        <f>VLOOKUP(C169,'Talente &amp; Stuff'!DO:EP,9,FALSE)</f>
        <v>0</v>
      </c>
      <c r="L169" s="117">
        <f>VLOOKUP(C169,'Talente &amp; Stuff'!DO:EP,10,FALSE)</f>
        <v>0</v>
      </c>
      <c r="M169" s="121">
        <f>VLOOKUP(C169,'Talente &amp; Stuff'!DO:EP,11,FALSE)</f>
        <v>0</v>
      </c>
      <c r="N169" s="47">
        <f>VLOOKUP(C169,'Talente &amp; Stuff'!DO:EP,12,FALSE)</f>
        <v>0</v>
      </c>
      <c r="O169" s="3">
        <f>VLOOKUP(C169,'Talente &amp; Stuff'!DO:EP,13,FALSE)</f>
        <v>0</v>
      </c>
      <c r="P169" s="174">
        <f>VLOOKUP(C169,'Talente &amp; Stuff'!DO:EP,14,FALSE)</f>
        <v>0</v>
      </c>
      <c r="Q169" s="114">
        <f>VLOOKUP(C169,'Talente &amp; Stuff'!DO:EP,15,FALSE)</f>
        <v>0</v>
      </c>
      <c r="R169" s="117">
        <f>VLOOKUP(C169,'Talente &amp; Stuff'!DO:EP,16,FALSE)</f>
        <v>0</v>
      </c>
      <c r="S169" s="119">
        <f>VLOOKUP(C169,'Talente &amp; Stuff'!DO:EP,17,FALSE)</f>
        <v>0</v>
      </c>
      <c r="T169" s="119">
        <f>VLOOKUP(C169,'Talente &amp; Stuff'!DO:EP,18,FALSE)</f>
        <v>0</v>
      </c>
      <c r="U169" s="89">
        <f>VLOOKUP(C169,'Talente &amp; Stuff'!DO:EP,19,FALSE)</f>
        <v>0</v>
      </c>
      <c r="V169" s="47">
        <f>VLOOKUP(C169,'Talente &amp; Stuff'!DO:EP,20,FALSE)</f>
        <v>0</v>
      </c>
      <c r="W169" s="127">
        <f>VLOOKUP(C169,'Talente &amp; Stuff'!DO:EP,21,FALSE)</f>
        <v>0</v>
      </c>
      <c r="X169" s="127">
        <f>VLOOKUP(C169,'Talente &amp; Stuff'!DO:EP,22,FALSE)</f>
        <v>0</v>
      </c>
      <c r="Y169" s="165">
        <f t="shared" si="16"/>
        <v>0</v>
      </c>
      <c r="Z169" s="44">
        <f t="shared" si="17"/>
        <v>0</v>
      </c>
      <c r="AA169" s="125">
        <f>VLOOKUP(C169,'Talente &amp; Stuff'!DO:EP,25,FALSE)</f>
        <v>0</v>
      </c>
      <c r="AB169" s="160">
        <f>VLOOKUP(C169,'Talente &amp; Stuff'!DO:EP,26,FALSE)</f>
        <v>0</v>
      </c>
      <c r="AC169" s="127">
        <f>VLOOKUP(C169,'Talente &amp; Stuff'!DO:EP,27,FALSE)</f>
        <v>0</v>
      </c>
      <c r="AD169" s="125">
        <f>VLOOKUP(C169,'Talente &amp; Stuff'!DO:EP,28,FALSE)</f>
        <v>0</v>
      </c>
      <c r="AE169" s="28"/>
    </row>
    <row r="170" spans="2:31" ht="15" hidden="1" customHeight="1" outlineLevel="2">
      <c r="B170" s="148">
        <v>18</v>
      </c>
      <c r="C170" s="177" t="str">
        <f>Attribute!C170</f>
        <v>---</v>
      </c>
      <c r="D170" s="86" t="str">
        <f>VLOOKUP(C170,'Talente &amp; Stuff'!DO:EP,2,FALSE)</f>
        <v>--/--/--</v>
      </c>
      <c r="E170" s="167" t="str">
        <f>VLOOKUP(C170,'Talente &amp; Stuff'!DO:EP,3,FALSE)</f>
        <v>-</v>
      </c>
      <c r="F170" s="120">
        <f>VLOOKUP(C170,'Talente &amp; Stuff'!DO:EP,4,FALSE)</f>
        <v>0</v>
      </c>
      <c r="G170" s="117">
        <f>VLOOKUP(C170,'Talente &amp; Stuff'!DO:EP,5,FALSE)</f>
        <v>0</v>
      </c>
      <c r="H170" s="117">
        <f>VLOOKUP(C170,'Talente &amp; Stuff'!DO:EP,6,FALSE)</f>
        <v>0</v>
      </c>
      <c r="I170" s="117">
        <f>VLOOKUP(C170,'Talente &amp; Stuff'!DO:EP,7,FALSE)</f>
        <v>0</v>
      </c>
      <c r="J170" s="117">
        <f>VLOOKUP(C170,'Talente &amp; Stuff'!DO:EP,8,FALSE)</f>
        <v>0</v>
      </c>
      <c r="K170" s="117">
        <f>VLOOKUP(C170,'Talente &amp; Stuff'!DO:EP,9,FALSE)</f>
        <v>0</v>
      </c>
      <c r="L170" s="117">
        <f>VLOOKUP(C170,'Talente &amp; Stuff'!DO:EP,10,FALSE)</f>
        <v>0</v>
      </c>
      <c r="M170" s="121">
        <f>VLOOKUP(C170,'Talente &amp; Stuff'!DO:EP,11,FALSE)</f>
        <v>0</v>
      </c>
      <c r="N170" s="47">
        <f>VLOOKUP(C170,'Talente &amp; Stuff'!DO:EP,12,FALSE)</f>
        <v>0</v>
      </c>
      <c r="O170" s="3">
        <f>VLOOKUP(C170,'Talente &amp; Stuff'!DO:EP,13,FALSE)</f>
        <v>0</v>
      </c>
      <c r="P170" s="174">
        <f>VLOOKUP(C170,'Talente &amp; Stuff'!DO:EP,14,FALSE)</f>
        <v>0</v>
      </c>
      <c r="Q170" s="114">
        <f>VLOOKUP(C170,'Talente &amp; Stuff'!DO:EP,15,FALSE)</f>
        <v>0</v>
      </c>
      <c r="R170" s="117">
        <f>VLOOKUP(C170,'Talente &amp; Stuff'!DO:EP,16,FALSE)</f>
        <v>0</v>
      </c>
      <c r="S170" s="119">
        <f>VLOOKUP(C170,'Talente &amp; Stuff'!DO:EP,17,FALSE)</f>
        <v>0</v>
      </c>
      <c r="T170" s="119">
        <f>VLOOKUP(C170,'Talente &amp; Stuff'!DO:EP,18,FALSE)</f>
        <v>0</v>
      </c>
      <c r="U170" s="89">
        <f>VLOOKUP(C170,'Talente &amp; Stuff'!DO:EP,19,FALSE)</f>
        <v>0</v>
      </c>
      <c r="V170" s="47">
        <f>VLOOKUP(C170,'Talente &amp; Stuff'!DO:EP,20,FALSE)</f>
        <v>0</v>
      </c>
      <c r="W170" s="127">
        <f>VLOOKUP(C170,'Talente &amp; Stuff'!DO:EP,21,FALSE)</f>
        <v>0</v>
      </c>
      <c r="X170" s="127">
        <f>VLOOKUP(C170,'Talente &amp; Stuff'!DO:EP,22,FALSE)</f>
        <v>0</v>
      </c>
      <c r="Y170" s="165">
        <f t="shared" si="16"/>
        <v>0</v>
      </c>
      <c r="Z170" s="44">
        <f t="shared" si="17"/>
        <v>0</v>
      </c>
      <c r="AA170" s="125">
        <f>VLOOKUP(C170,'Talente &amp; Stuff'!DO:EP,25,FALSE)</f>
        <v>0</v>
      </c>
      <c r="AB170" s="160">
        <f>VLOOKUP(C170,'Talente &amp; Stuff'!DO:EP,26,FALSE)</f>
        <v>0</v>
      </c>
      <c r="AC170" s="127">
        <f>VLOOKUP(C170,'Talente &amp; Stuff'!DO:EP,27,FALSE)</f>
        <v>0</v>
      </c>
      <c r="AD170" s="125">
        <f>VLOOKUP(C170,'Talente &amp; Stuff'!DO:EP,28,FALSE)</f>
        <v>0</v>
      </c>
      <c r="AE170" s="28"/>
    </row>
    <row r="171" spans="2:31" ht="15" hidden="1" customHeight="1" outlineLevel="2">
      <c r="B171" s="148">
        <v>19</v>
      </c>
      <c r="C171" s="177" t="str">
        <f>Attribute!C171</f>
        <v>---</v>
      </c>
      <c r="D171" s="86" t="str">
        <f>VLOOKUP(C171,'Talente &amp; Stuff'!DO:EP,2,FALSE)</f>
        <v>--/--/--</v>
      </c>
      <c r="E171" s="167" t="str">
        <f>VLOOKUP(C171,'Talente &amp; Stuff'!DO:EP,3,FALSE)</f>
        <v>-</v>
      </c>
      <c r="F171" s="120">
        <f>VLOOKUP(C171,'Talente &amp; Stuff'!DO:EP,4,FALSE)</f>
        <v>0</v>
      </c>
      <c r="G171" s="117">
        <f>VLOOKUP(C171,'Talente &amp; Stuff'!DO:EP,5,FALSE)</f>
        <v>0</v>
      </c>
      <c r="H171" s="117">
        <f>VLOOKUP(C171,'Talente &amp; Stuff'!DO:EP,6,FALSE)</f>
        <v>0</v>
      </c>
      <c r="I171" s="117">
        <f>VLOOKUP(C171,'Talente &amp; Stuff'!DO:EP,7,FALSE)</f>
        <v>0</v>
      </c>
      <c r="J171" s="117">
        <f>VLOOKUP(C171,'Talente &amp; Stuff'!DO:EP,8,FALSE)</f>
        <v>0</v>
      </c>
      <c r="K171" s="117">
        <f>VLOOKUP(C171,'Talente &amp; Stuff'!DO:EP,9,FALSE)</f>
        <v>0</v>
      </c>
      <c r="L171" s="117">
        <f>VLOOKUP(C171,'Talente &amp; Stuff'!DO:EP,10,FALSE)</f>
        <v>0</v>
      </c>
      <c r="M171" s="121">
        <f>VLOOKUP(C171,'Talente &amp; Stuff'!DO:EP,11,FALSE)</f>
        <v>0</v>
      </c>
      <c r="N171" s="47">
        <f>VLOOKUP(C171,'Talente &amp; Stuff'!DO:EP,12,FALSE)</f>
        <v>0</v>
      </c>
      <c r="O171" s="3">
        <f>VLOOKUP(C171,'Talente &amp; Stuff'!DO:EP,13,FALSE)</f>
        <v>0</v>
      </c>
      <c r="P171" s="174">
        <f>VLOOKUP(C171,'Talente &amp; Stuff'!DO:EP,14,FALSE)</f>
        <v>0</v>
      </c>
      <c r="Q171" s="114">
        <f>VLOOKUP(C171,'Talente &amp; Stuff'!DO:EP,15,FALSE)</f>
        <v>0</v>
      </c>
      <c r="R171" s="117">
        <f>VLOOKUP(C171,'Talente &amp; Stuff'!DO:EP,16,FALSE)</f>
        <v>0</v>
      </c>
      <c r="S171" s="119">
        <f>VLOOKUP(C171,'Talente &amp; Stuff'!DO:EP,17,FALSE)</f>
        <v>0</v>
      </c>
      <c r="T171" s="119">
        <f>VLOOKUP(C171,'Talente &amp; Stuff'!DO:EP,18,FALSE)</f>
        <v>0</v>
      </c>
      <c r="U171" s="89">
        <f>VLOOKUP(C171,'Talente &amp; Stuff'!DO:EP,19,FALSE)</f>
        <v>0</v>
      </c>
      <c r="V171" s="47">
        <f>VLOOKUP(C171,'Talente &amp; Stuff'!DO:EP,20,FALSE)</f>
        <v>0</v>
      </c>
      <c r="W171" s="127">
        <f>VLOOKUP(C171,'Talente &amp; Stuff'!DO:EP,21,FALSE)</f>
        <v>0</v>
      </c>
      <c r="X171" s="127">
        <f>VLOOKUP(C171,'Talente &amp; Stuff'!DO:EP,22,FALSE)</f>
        <v>0</v>
      </c>
      <c r="Y171" s="165">
        <f t="shared" si="16"/>
        <v>0</v>
      </c>
      <c r="Z171" s="44">
        <f t="shared" si="17"/>
        <v>0</v>
      </c>
      <c r="AA171" s="125">
        <f>VLOOKUP(C171,'Talente &amp; Stuff'!DO:EP,25,FALSE)</f>
        <v>0</v>
      </c>
      <c r="AB171" s="160">
        <f>VLOOKUP(C171,'Talente &amp; Stuff'!DO:EP,26,FALSE)</f>
        <v>0</v>
      </c>
      <c r="AC171" s="127">
        <f>VLOOKUP(C171,'Talente &amp; Stuff'!DO:EP,27,FALSE)</f>
        <v>0</v>
      </c>
      <c r="AD171" s="125">
        <f>VLOOKUP(C171,'Talente &amp; Stuff'!DO:EP,28,FALSE)</f>
        <v>0</v>
      </c>
      <c r="AE171" s="28"/>
    </row>
    <row r="172" spans="2:31" ht="15" hidden="1" customHeight="1" outlineLevel="2">
      <c r="B172" s="148">
        <v>20</v>
      </c>
      <c r="C172" s="177" t="str">
        <f>Attribute!C172</f>
        <v>---</v>
      </c>
      <c r="D172" s="86" t="str">
        <f>VLOOKUP(C172,'Talente &amp; Stuff'!DO:EP,2,FALSE)</f>
        <v>--/--/--</v>
      </c>
      <c r="E172" s="167" t="str">
        <f>VLOOKUP(C172,'Talente &amp; Stuff'!DO:EP,3,FALSE)</f>
        <v>-</v>
      </c>
      <c r="F172" s="120">
        <f>VLOOKUP(C172,'Talente &amp; Stuff'!DO:EP,4,FALSE)</f>
        <v>0</v>
      </c>
      <c r="G172" s="117">
        <f>VLOOKUP(C172,'Talente &amp; Stuff'!DO:EP,5,FALSE)</f>
        <v>0</v>
      </c>
      <c r="H172" s="117">
        <f>VLOOKUP(C172,'Talente &amp; Stuff'!DO:EP,6,FALSE)</f>
        <v>0</v>
      </c>
      <c r="I172" s="117">
        <f>VLOOKUP(C172,'Talente &amp; Stuff'!DO:EP,7,FALSE)</f>
        <v>0</v>
      </c>
      <c r="J172" s="117">
        <f>VLOOKUP(C172,'Talente &amp; Stuff'!DO:EP,8,FALSE)</f>
        <v>0</v>
      </c>
      <c r="K172" s="117">
        <f>VLOOKUP(C172,'Talente &amp; Stuff'!DO:EP,9,FALSE)</f>
        <v>0</v>
      </c>
      <c r="L172" s="117">
        <f>VLOOKUP(C172,'Talente &amp; Stuff'!DO:EP,10,FALSE)</f>
        <v>0</v>
      </c>
      <c r="M172" s="121">
        <f>VLOOKUP(C172,'Talente &amp; Stuff'!DO:EP,11,FALSE)</f>
        <v>0</v>
      </c>
      <c r="N172" s="47">
        <f>VLOOKUP(C172,'Talente &amp; Stuff'!DO:EP,12,FALSE)</f>
        <v>0</v>
      </c>
      <c r="O172" s="3">
        <f>VLOOKUP(C172,'Talente &amp; Stuff'!DO:EP,13,FALSE)</f>
        <v>0</v>
      </c>
      <c r="P172" s="174">
        <f>VLOOKUP(C172,'Talente &amp; Stuff'!DO:EP,14,FALSE)</f>
        <v>0</v>
      </c>
      <c r="Q172" s="114">
        <f>VLOOKUP(C172,'Talente &amp; Stuff'!DO:EP,15,FALSE)</f>
        <v>0</v>
      </c>
      <c r="R172" s="117">
        <f>VLOOKUP(C172,'Talente &amp; Stuff'!DO:EP,16,FALSE)</f>
        <v>0</v>
      </c>
      <c r="S172" s="119">
        <f>VLOOKUP(C172,'Talente &amp; Stuff'!DO:EP,17,FALSE)</f>
        <v>0</v>
      </c>
      <c r="T172" s="119">
        <f>VLOOKUP(C172,'Talente &amp; Stuff'!DO:EP,18,FALSE)</f>
        <v>0</v>
      </c>
      <c r="U172" s="89">
        <f>VLOOKUP(C172,'Talente &amp; Stuff'!DO:EP,19,FALSE)</f>
        <v>0</v>
      </c>
      <c r="V172" s="47">
        <f>VLOOKUP(C172,'Talente &amp; Stuff'!DO:EP,20,FALSE)</f>
        <v>0</v>
      </c>
      <c r="W172" s="127">
        <f>VLOOKUP(C172,'Talente &amp; Stuff'!DO:EP,21,FALSE)</f>
        <v>0</v>
      </c>
      <c r="X172" s="127">
        <f>VLOOKUP(C172,'Talente &amp; Stuff'!DO:EP,22,FALSE)</f>
        <v>0</v>
      </c>
      <c r="Y172" s="165">
        <f t="shared" si="16"/>
        <v>0</v>
      </c>
      <c r="Z172" s="44">
        <f t="shared" si="17"/>
        <v>0</v>
      </c>
      <c r="AA172" s="125">
        <f>VLOOKUP(C172,'Talente &amp; Stuff'!DO:EP,25,FALSE)</f>
        <v>0</v>
      </c>
      <c r="AB172" s="160">
        <f>VLOOKUP(C172,'Talente &amp; Stuff'!DO:EP,26,FALSE)</f>
        <v>0</v>
      </c>
      <c r="AC172" s="127">
        <f>VLOOKUP(C172,'Talente &amp; Stuff'!DO:EP,27,FALSE)</f>
        <v>0</v>
      </c>
      <c r="AD172" s="125">
        <f>VLOOKUP(C172,'Talente &amp; Stuff'!DO:EP,28,FALSE)</f>
        <v>0</v>
      </c>
      <c r="AE172" s="28"/>
    </row>
    <row r="173" spans="2:31" ht="15" hidden="1" customHeight="1" outlineLevel="2">
      <c r="B173" s="148">
        <v>21</v>
      </c>
      <c r="C173" s="177" t="str">
        <f>Attribute!C173</f>
        <v>---</v>
      </c>
      <c r="D173" s="86" t="str">
        <f>VLOOKUP(C173,'Talente &amp; Stuff'!DO:EP,2,FALSE)</f>
        <v>--/--/--</v>
      </c>
      <c r="E173" s="167" t="str">
        <f>VLOOKUP(C173,'Talente &amp; Stuff'!DO:EP,3,FALSE)</f>
        <v>-</v>
      </c>
      <c r="F173" s="120">
        <f>VLOOKUP(C173,'Talente &amp; Stuff'!DO:EP,4,FALSE)</f>
        <v>0</v>
      </c>
      <c r="G173" s="117">
        <f>VLOOKUP(C173,'Talente &amp; Stuff'!DO:EP,5,FALSE)</f>
        <v>0</v>
      </c>
      <c r="H173" s="117">
        <f>VLOOKUP(C173,'Talente &amp; Stuff'!DO:EP,6,FALSE)</f>
        <v>0</v>
      </c>
      <c r="I173" s="117">
        <f>VLOOKUP(C173,'Talente &amp; Stuff'!DO:EP,7,FALSE)</f>
        <v>0</v>
      </c>
      <c r="J173" s="117">
        <f>VLOOKUP(C173,'Talente &amp; Stuff'!DO:EP,8,FALSE)</f>
        <v>0</v>
      </c>
      <c r="K173" s="117">
        <f>VLOOKUP(C173,'Talente &amp; Stuff'!DO:EP,9,FALSE)</f>
        <v>0</v>
      </c>
      <c r="L173" s="117">
        <f>VLOOKUP(C173,'Talente &amp; Stuff'!DO:EP,10,FALSE)</f>
        <v>0</v>
      </c>
      <c r="M173" s="121">
        <f>VLOOKUP(C173,'Talente &amp; Stuff'!DO:EP,11,FALSE)</f>
        <v>0</v>
      </c>
      <c r="N173" s="47">
        <f>VLOOKUP(C173,'Talente &amp; Stuff'!DO:EP,12,FALSE)</f>
        <v>0</v>
      </c>
      <c r="O173" s="3">
        <f>VLOOKUP(C173,'Talente &amp; Stuff'!DO:EP,13,FALSE)</f>
        <v>0</v>
      </c>
      <c r="P173" s="174">
        <f>VLOOKUP(C173,'Talente &amp; Stuff'!DO:EP,14,FALSE)</f>
        <v>0</v>
      </c>
      <c r="Q173" s="114">
        <f>VLOOKUP(C173,'Talente &amp; Stuff'!DO:EP,15,FALSE)</f>
        <v>0</v>
      </c>
      <c r="R173" s="117">
        <f>VLOOKUP(C173,'Talente &amp; Stuff'!DO:EP,16,FALSE)</f>
        <v>0</v>
      </c>
      <c r="S173" s="119">
        <f>VLOOKUP(C173,'Talente &amp; Stuff'!DO:EP,17,FALSE)</f>
        <v>0</v>
      </c>
      <c r="T173" s="119">
        <f>VLOOKUP(C173,'Talente &amp; Stuff'!DO:EP,18,FALSE)</f>
        <v>0</v>
      </c>
      <c r="U173" s="89">
        <f>VLOOKUP(C173,'Talente &amp; Stuff'!DO:EP,19,FALSE)</f>
        <v>0</v>
      </c>
      <c r="V173" s="47">
        <f>VLOOKUP(C173,'Talente &amp; Stuff'!DO:EP,20,FALSE)</f>
        <v>0</v>
      </c>
      <c r="W173" s="127">
        <f>VLOOKUP(C173,'Talente &amp; Stuff'!DO:EP,21,FALSE)</f>
        <v>0</v>
      </c>
      <c r="X173" s="127">
        <f>VLOOKUP(C173,'Talente &amp; Stuff'!DO:EP,22,FALSE)</f>
        <v>0</v>
      </c>
      <c r="Y173" s="165">
        <f t="shared" si="16"/>
        <v>0</v>
      </c>
      <c r="Z173" s="44">
        <f t="shared" si="17"/>
        <v>0</v>
      </c>
      <c r="AA173" s="125">
        <f>VLOOKUP(C173,'Talente &amp; Stuff'!DO:EP,25,FALSE)</f>
        <v>0</v>
      </c>
      <c r="AB173" s="160">
        <f>VLOOKUP(C173,'Talente &amp; Stuff'!DO:EP,26,FALSE)</f>
        <v>0</v>
      </c>
      <c r="AC173" s="127">
        <f>VLOOKUP(C173,'Talente &amp; Stuff'!DO:EP,27,FALSE)</f>
        <v>0</v>
      </c>
      <c r="AD173" s="125">
        <f>VLOOKUP(C173,'Talente &amp; Stuff'!DO:EP,28,FALSE)</f>
        <v>0</v>
      </c>
      <c r="AE173" s="28"/>
    </row>
    <row r="174" spans="2:31" ht="15" hidden="1" customHeight="1" outlineLevel="2">
      <c r="B174" s="148">
        <v>22</v>
      </c>
      <c r="C174" s="177" t="str">
        <f>Attribute!C174</f>
        <v>---</v>
      </c>
      <c r="D174" s="86" t="str">
        <f>VLOOKUP(C174,'Talente &amp; Stuff'!DO:EP,2,FALSE)</f>
        <v>--/--/--</v>
      </c>
      <c r="E174" s="167" t="str">
        <f>VLOOKUP(C174,'Talente &amp; Stuff'!DO:EP,3,FALSE)</f>
        <v>-</v>
      </c>
      <c r="F174" s="120">
        <f>VLOOKUP(C174,'Talente &amp; Stuff'!DO:EP,4,FALSE)</f>
        <v>0</v>
      </c>
      <c r="G174" s="117">
        <f>VLOOKUP(C174,'Talente &amp; Stuff'!DO:EP,5,FALSE)</f>
        <v>0</v>
      </c>
      <c r="H174" s="117">
        <f>VLOOKUP(C174,'Talente &amp; Stuff'!DO:EP,6,FALSE)</f>
        <v>0</v>
      </c>
      <c r="I174" s="117">
        <f>VLOOKUP(C174,'Talente &amp; Stuff'!DO:EP,7,FALSE)</f>
        <v>0</v>
      </c>
      <c r="J174" s="117">
        <f>VLOOKUP(C174,'Talente &amp; Stuff'!DO:EP,8,FALSE)</f>
        <v>0</v>
      </c>
      <c r="K174" s="117">
        <f>VLOOKUP(C174,'Talente &amp; Stuff'!DO:EP,9,FALSE)</f>
        <v>0</v>
      </c>
      <c r="L174" s="117">
        <f>VLOOKUP(C174,'Talente &amp; Stuff'!DO:EP,10,FALSE)</f>
        <v>0</v>
      </c>
      <c r="M174" s="121">
        <f>VLOOKUP(C174,'Talente &amp; Stuff'!DO:EP,11,FALSE)</f>
        <v>0</v>
      </c>
      <c r="N174" s="47">
        <f>VLOOKUP(C174,'Talente &amp; Stuff'!DO:EP,12,FALSE)</f>
        <v>0</v>
      </c>
      <c r="O174" s="3">
        <f>VLOOKUP(C174,'Talente &amp; Stuff'!DO:EP,13,FALSE)</f>
        <v>0</v>
      </c>
      <c r="P174" s="174">
        <f>VLOOKUP(C174,'Talente &amp; Stuff'!DO:EP,14,FALSE)</f>
        <v>0</v>
      </c>
      <c r="Q174" s="114">
        <f>VLOOKUP(C174,'Talente &amp; Stuff'!DO:EP,15,FALSE)</f>
        <v>0</v>
      </c>
      <c r="R174" s="117">
        <f>VLOOKUP(C174,'Talente &amp; Stuff'!DO:EP,16,FALSE)</f>
        <v>0</v>
      </c>
      <c r="S174" s="119">
        <f>VLOOKUP(C174,'Talente &amp; Stuff'!DO:EP,17,FALSE)</f>
        <v>0</v>
      </c>
      <c r="T174" s="119">
        <f>VLOOKUP(C174,'Talente &amp; Stuff'!DO:EP,18,FALSE)</f>
        <v>0</v>
      </c>
      <c r="U174" s="89">
        <f>VLOOKUP(C174,'Talente &amp; Stuff'!DO:EP,19,FALSE)</f>
        <v>0</v>
      </c>
      <c r="V174" s="47">
        <f>VLOOKUP(C174,'Talente &amp; Stuff'!DO:EP,20,FALSE)</f>
        <v>0</v>
      </c>
      <c r="W174" s="127">
        <f>VLOOKUP(C174,'Talente &amp; Stuff'!DO:EP,21,FALSE)</f>
        <v>0</v>
      </c>
      <c r="X174" s="127">
        <f>VLOOKUP(C174,'Talente &amp; Stuff'!DO:EP,22,FALSE)</f>
        <v>0</v>
      </c>
      <c r="Y174" s="165">
        <f t="shared" si="16"/>
        <v>0</v>
      </c>
      <c r="Z174" s="44">
        <f t="shared" si="17"/>
        <v>0</v>
      </c>
      <c r="AA174" s="125">
        <f>VLOOKUP(C174,'Talente &amp; Stuff'!DO:EP,25,FALSE)</f>
        <v>0</v>
      </c>
      <c r="AB174" s="160">
        <f>VLOOKUP(C174,'Talente &amp; Stuff'!DO:EP,26,FALSE)</f>
        <v>0</v>
      </c>
      <c r="AC174" s="127">
        <f>VLOOKUP(C174,'Talente &amp; Stuff'!DO:EP,27,FALSE)</f>
        <v>0</v>
      </c>
      <c r="AD174" s="125">
        <f>VLOOKUP(C174,'Talente &amp; Stuff'!DO:EP,28,FALSE)</f>
        <v>0</v>
      </c>
      <c r="AE174" s="28"/>
    </row>
    <row r="175" spans="2:31" ht="15" hidden="1" customHeight="1" outlineLevel="2">
      <c r="B175" s="148">
        <v>23</v>
      </c>
      <c r="C175" s="177" t="str">
        <f>Attribute!C175</f>
        <v>---</v>
      </c>
      <c r="D175" s="86" t="str">
        <f>VLOOKUP(C175,'Talente &amp; Stuff'!DO:EP,2,FALSE)</f>
        <v>--/--/--</v>
      </c>
      <c r="E175" s="167" t="str">
        <f>VLOOKUP(C175,'Talente &amp; Stuff'!DO:EP,3,FALSE)</f>
        <v>-</v>
      </c>
      <c r="F175" s="120">
        <f>VLOOKUP(C175,'Talente &amp; Stuff'!DO:EP,4,FALSE)</f>
        <v>0</v>
      </c>
      <c r="G175" s="117">
        <f>VLOOKUP(C175,'Talente &amp; Stuff'!DO:EP,5,FALSE)</f>
        <v>0</v>
      </c>
      <c r="H175" s="117">
        <f>VLOOKUP(C175,'Talente &amp; Stuff'!DO:EP,6,FALSE)</f>
        <v>0</v>
      </c>
      <c r="I175" s="117">
        <f>VLOOKUP(C175,'Talente &amp; Stuff'!DO:EP,7,FALSE)</f>
        <v>0</v>
      </c>
      <c r="J175" s="117">
        <f>VLOOKUP(C175,'Talente &amp; Stuff'!DO:EP,8,FALSE)</f>
        <v>0</v>
      </c>
      <c r="K175" s="117">
        <f>VLOOKUP(C175,'Talente &amp; Stuff'!DO:EP,9,FALSE)</f>
        <v>0</v>
      </c>
      <c r="L175" s="117">
        <f>VLOOKUP(C175,'Talente &amp; Stuff'!DO:EP,10,FALSE)</f>
        <v>0</v>
      </c>
      <c r="M175" s="121">
        <f>VLOOKUP(C175,'Talente &amp; Stuff'!DO:EP,11,FALSE)</f>
        <v>0</v>
      </c>
      <c r="N175" s="47">
        <f>VLOOKUP(C175,'Talente &amp; Stuff'!DO:EP,12,FALSE)</f>
        <v>0</v>
      </c>
      <c r="O175" s="3">
        <f>VLOOKUP(C175,'Talente &amp; Stuff'!DO:EP,13,FALSE)</f>
        <v>0</v>
      </c>
      <c r="P175" s="174">
        <f>VLOOKUP(C175,'Talente &amp; Stuff'!DO:EP,14,FALSE)</f>
        <v>0</v>
      </c>
      <c r="Q175" s="114">
        <f>VLOOKUP(C175,'Talente &amp; Stuff'!DO:EP,15,FALSE)</f>
        <v>0</v>
      </c>
      <c r="R175" s="117">
        <f>VLOOKUP(C175,'Talente &amp; Stuff'!DO:EP,16,FALSE)</f>
        <v>0</v>
      </c>
      <c r="S175" s="119">
        <f>VLOOKUP(C175,'Talente &amp; Stuff'!DO:EP,17,FALSE)</f>
        <v>0</v>
      </c>
      <c r="T175" s="119">
        <f>VLOOKUP(C175,'Talente &amp; Stuff'!DO:EP,18,FALSE)</f>
        <v>0</v>
      </c>
      <c r="U175" s="89">
        <f>VLOOKUP(C175,'Talente &amp; Stuff'!DO:EP,19,FALSE)</f>
        <v>0</v>
      </c>
      <c r="V175" s="47">
        <f>VLOOKUP(C175,'Talente &amp; Stuff'!DO:EP,20,FALSE)</f>
        <v>0</v>
      </c>
      <c r="W175" s="127">
        <f>VLOOKUP(C175,'Talente &amp; Stuff'!DO:EP,21,FALSE)</f>
        <v>0</v>
      </c>
      <c r="X175" s="127">
        <f>VLOOKUP(C175,'Talente &amp; Stuff'!DO:EP,22,FALSE)</f>
        <v>0</v>
      </c>
      <c r="Y175" s="165">
        <f t="shared" si="16"/>
        <v>0</v>
      </c>
      <c r="Z175" s="44">
        <f t="shared" si="17"/>
        <v>0</v>
      </c>
      <c r="AA175" s="125">
        <f>VLOOKUP(C175,'Talente &amp; Stuff'!DO:EP,25,FALSE)</f>
        <v>0</v>
      </c>
      <c r="AB175" s="160">
        <f>VLOOKUP(C175,'Talente &amp; Stuff'!DO:EP,26,FALSE)</f>
        <v>0</v>
      </c>
      <c r="AC175" s="127">
        <f>VLOOKUP(C175,'Talente &amp; Stuff'!DO:EP,27,FALSE)</f>
        <v>0</v>
      </c>
      <c r="AD175" s="125">
        <f>VLOOKUP(C175,'Talente &amp; Stuff'!DO:EP,28,FALSE)</f>
        <v>0</v>
      </c>
      <c r="AE175" s="28"/>
    </row>
    <row r="176" spans="2:31" ht="15" hidden="1" customHeight="1" outlineLevel="2">
      <c r="B176" s="148">
        <v>24</v>
      </c>
      <c r="C176" s="177" t="str">
        <f>Attribute!C176</f>
        <v>---</v>
      </c>
      <c r="D176" s="86" t="str">
        <f>VLOOKUP(C176,'Talente &amp; Stuff'!DO:EP,2,FALSE)</f>
        <v>--/--/--</v>
      </c>
      <c r="E176" s="167" t="str">
        <f>VLOOKUP(C176,'Talente &amp; Stuff'!DO:EP,3,FALSE)</f>
        <v>-</v>
      </c>
      <c r="F176" s="120">
        <f>VLOOKUP(C176,'Talente &amp; Stuff'!DO:EP,4,FALSE)</f>
        <v>0</v>
      </c>
      <c r="G176" s="117">
        <f>VLOOKUP(C176,'Talente &amp; Stuff'!DO:EP,5,FALSE)</f>
        <v>0</v>
      </c>
      <c r="H176" s="117">
        <f>VLOOKUP(C176,'Talente &amp; Stuff'!DO:EP,6,FALSE)</f>
        <v>0</v>
      </c>
      <c r="I176" s="117">
        <f>VLOOKUP(C176,'Talente &amp; Stuff'!DO:EP,7,FALSE)</f>
        <v>0</v>
      </c>
      <c r="J176" s="117">
        <f>VLOOKUP(C176,'Talente &amp; Stuff'!DO:EP,8,FALSE)</f>
        <v>0</v>
      </c>
      <c r="K176" s="117">
        <f>VLOOKUP(C176,'Talente &amp; Stuff'!DO:EP,9,FALSE)</f>
        <v>0</v>
      </c>
      <c r="L176" s="117">
        <f>VLOOKUP(C176,'Talente &amp; Stuff'!DO:EP,10,FALSE)</f>
        <v>0</v>
      </c>
      <c r="M176" s="121">
        <f>VLOOKUP(C176,'Talente &amp; Stuff'!DO:EP,11,FALSE)</f>
        <v>0</v>
      </c>
      <c r="N176" s="47">
        <f>VLOOKUP(C176,'Talente &amp; Stuff'!DO:EP,12,FALSE)</f>
        <v>0</v>
      </c>
      <c r="O176" s="3">
        <f>VLOOKUP(C176,'Talente &amp; Stuff'!DO:EP,13,FALSE)</f>
        <v>0</v>
      </c>
      <c r="P176" s="174">
        <f>VLOOKUP(C176,'Talente &amp; Stuff'!DO:EP,14,FALSE)</f>
        <v>0</v>
      </c>
      <c r="Q176" s="114">
        <f>VLOOKUP(C176,'Talente &amp; Stuff'!DO:EP,15,FALSE)</f>
        <v>0</v>
      </c>
      <c r="R176" s="117">
        <f>VLOOKUP(C176,'Talente &amp; Stuff'!DO:EP,16,FALSE)</f>
        <v>0</v>
      </c>
      <c r="S176" s="119">
        <f>VLOOKUP(C176,'Talente &amp; Stuff'!DO:EP,17,FALSE)</f>
        <v>0</v>
      </c>
      <c r="T176" s="119">
        <f>VLOOKUP(C176,'Talente &amp; Stuff'!DO:EP,18,FALSE)</f>
        <v>0</v>
      </c>
      <c r="U176" s="89">
        <f>VLOOKUP(C176,'Talente &amp; Stuff'!DO:EP,19,FALSE)</f>
        <v>0</v>
      </c>
      <c r="V176" s="47">
        <f>VLOOKUP(C176,'Talente &amp; Stuff'!DO:EP,20,FALSE)</f>
        <v>0</v>
      </c>
      <c r="W176" s="127">
        <f>VLOOKUP(C176,'Talente &amp; Stuff'!DO:EP,21,FALSE)</f>
        <v>0</v>
      </c>
      <c r="X176" s="127">
        <f>VLOOKUP(C176,'Talente &amp; Stuff'!DO:EP,22,FALSE)</f>
        <v>0</v>
      </c>
      <c r="Y176" s="165">
        <f t="shared" si="16"/>
        <v>0</v>
      </c>
      <c r="Z176" s="44">
        <f t="shared" si="17"/>
        <v>0</v>
      </c>
      <c r="AA176" s="125">
        <f>VLOOKUP(C176,'Talente &amp; Stuff'!DO:EP,25,FALSE)</f>
        <v>0</v>
      </c>
      <c r="AB176" s="160">
        <f>VLOOKUP(C176,'Talente &amp; Stuff'!DO:EP,26,FALSE)</f>
        <v>0</v>
      </c>
      <c r="AC176" s="127">
        <f>VLOOKUP(C176,'Talente &amp; Stuff'!DO:EP,27,FALSE)</f>
        <v>0</v>
      </c>
      <c r="AD176" s="125">
        <f>VLOOKUP(C176,'Talente &amp; Stuff'!DO:EP,28,FALSE)</f>
        <v>0</v>
      </c>
      <c r="AE176" s="28"/>
    </row>
    <row r="177" spans="2:31" ht="15" hidden="1" customHeight="1" outlineLevel="2">
      <c r="B177" s="148">
        <v>25</v>
      </c>
      <c r="C177" s="177" t="str">
        <f>Attribute!C177</f>
        <v>---</v>
      </c>
      <c r="D177" s="86" t="str">
        <f>VLOOKUP(C177,'Talente &amp; Stuff'!DO:EP,2,FALSE)</f>
        <v>--/--/--</v>
      </c>
      <c r="E177" s="167" t="str">
        <f>VLOOKUP(C177,'Talente &amp; Stuff'!DO:EP,3,FALSE)</f>
        <v>-</v>
      </c>
      <c r="F177" s="120">
        <f>VLOOKUP(C177,'Talente &amp; Stuff'!DO:EP,4,FALSE)</f>
        <v>0</v>
      </c>
      <c r="G177" s="117">
        <f>VLOOKUP(C177,'Talente &amp; Stuff'!DO:EP,5,FALSE)</f>
        <v>0</v>
      </c>
      <c r="H177" s="117">
        <f>VLOOKUP(C177,'Talente &amp; Stuff'!DO:EP,6,FALSE)</f>
        <v>0</v>
      </c>
      <c r="I177" s="117">
        <f>VLOOKUP(C177,'Talente &amp; Stuff'!DO:EP,7,FALSE)</f>
        <v>0</v>
      </c>
      <c r="J177" s="117">
        <f>VLOOKUP(C177,'Talente &amp; Stuff'!DO:EP,8,FALSE)</f>
        <v>0</v>
      </c>
      <c r="K177" s="117">
        <f>VLOOKUP(C177,'Talente &amp; Stuff'!DO:EP,9,FALSE)</f>
        <v>0</v>
      </c>
      <c r="L177" s="117">
        <f>VLOOKUP(C177,'Talente &amp; Stuff'!DO:EP,10,FALSE)</f>
        <v>0</v>
      </c>
      <c r="M177" s="121">
        <f>VLOOKUP(C177,'Talente &amp; Stuff'!DO:EP,11,FALSE)</f>
        <v>0</v>
      </c>
      <c r="N177" s="47">
        <f>VLOOKUP(C177,'Talente &amp; Stuff'!DO:EP,12,FALSE)</f>
        <v>0</v>
      </c>
      <c r="O177" s="3">
        <f>VLOOKUP(C177,'Talente &amp; Stuff'!DO:EP,13,FALSE)</f>
        <v>0</v>
      </c>
      <c r="P177" s="174">
        <f>VLOOKUP(C177,'Talente &amp; Stuff'!DO:EP,14,FALSE)</f>
        <v>0</v>
      </c>
      <c r="Q177" s="114">
        <f>VLOOKUP(C177,'Talente &amp; Stuff'!DO:EP,15,FALSE)</f>
        <v>0</v>
      </c>
      <c r="R177" s="117">
        <f>VLOOKUP(C177,'Talente &amp; Stuff'!DO:EP,16,FALSE)</f>
        <v>0</v>
      </c>
      <c r="S177" s="119">
        <f>VLOOKUP(C177,'Talente &amp; Stuff'!DO:EP,17,FALSE)</f>
        <v>0</v>
      </c>
      <c r="T177" s="119">
        <f>VLOOKUP(C177,'Talente &amp; Stuff'!DO:EP,18,FALSE)</f>
        <v>0</v>
      </c>
      <c r="U177" s="89">
        <f>VLOOKUP(C177,'Talente &amp; Stuff'!DO:EP,19,FALSE)</f>
        <v>0</v>
      </c>
      <c r="V177" s="47">
        <f>VLOOKUP(C177,'Talente &amp; Stuff'!DO:EP,20,FALSE)</f>
        <v>0</v>
      </c>
      <c r="W177" s="127">
        <f>VLOOKUP(C177,'Talente &amp; Stuff'!DO:EP,21,FALSE)</f>
        <v>0</v>
      </c>
      <c r="X177" s="127">
        <f>VLOOKUP(C177,'Talente &amp; Stuff'!DO:EP,22,FALSE)</f>
        <v>0</v>
      </c>
      <c r="Y177" s="165">
        <f t="shared" si="16"/>
        <v>0</v>
      </c>
      <c r="Z177" s="44">
        <f t="shared" si="17"/>
        <v>0</v>
      </c>
      <c r="AA177" s="125">
        <f>VLOOKUP(C177,'Talente &amp; Stuff'!DO:EP,25,FALSE)</f>
        <v>0</v>
      </c>
      <c r="AB177" s="160">
        <f>VLOOKUP(C177,'Talente &amp; Stuff'!DO:EP,26,FALSE)</f>
        <v>0</v>
      </c>
      <c r="AC177" s="127">
        <f>VLOOKUP(C177,'Talente &amp; Stuff'!DO:EP,27,FALSE)</f>
        <v>0</v>
      </c>
      <c r="AD177" s="125">
        <f>VLOOKUP(C177,'Talente &amp; Stuff'!DO:EP,28,FALSE)</f>
        <v>0</v>
      </c>
      <c r="AE177" s="28"/>
    </row>
    <row r="178" spans="2:31" ht="15" hidden="1" customHeight="1" outlineLevel="2">
      <c r="B178" s="148">
        <v>26</v>
      </c>
      <c r="C178" s="177" t="str">
        <f>Attribute!C178</f>
        <v>---</v>
      </c>
      <c r="D178" s="86" t="str">
        <f>VLOOKUP(C178,'Talente &amp; Stuff'!DO:EP,2,FALSE)</f>
        <v>--/--/--</v>
      </c>
      <c r="E178" s="167" t="str">
        <f>VLOOKUP(C178,'Talente &amp; Stuff'!DO:EP,3,FALSE)</f>
        <v>-</v>
      </c>
      <c r="F178" s="120">
        <f>VLOOKUP(C178,'Talente &amp; Stuff'!DO:EP,4,FALSE)</f>
        <v>0</v>
      </c>
      <c r="G178" s="117">
        <f>VLOOKUP(C178,'Talente &amp; Stuff'!DO:EP,5,FALSE)</f>
        <v>0</v>
      </c>
      <c r="H178" s="117">
        <f>VLOOKUP(C178,'Talente &amp; Stuff'!DO:EP,6,FALSE)</f>
        <v>0</v>
      </c>
      <c r="I178" s="117">
        <f>VLOOKUP(C178,'Talente &amp; Stuff'!DO:EP,7,FALSE)</f>
        <v>0</v>
      </c>
      <c r="J178" s="117">
        <f>VLOOKUP(C178,'Talente &amp; Stuff'!DO:EP,8,FALSE)</f>
        <v>0</v>
      </c>
      <c r="K178" s="117">
        <f>VLOOKUP(C178,'Talente &amp; Stuff'!DO:EP,9,FALSE)</f>
        <v>0</v>
      </c>
      <c r="L178" s="117">
        <f>VLOOKUP(C178,'Talente &amp; Stuff'!DO:EP,10,FALSE)</f>
        <v>0</v>
      </c>
      <c r="M178" s="121">
        <f>VLOOKUP(C178,'Talente &amp; Stuff'!DO:EP,11,FALSE)</f>
        <v>0</v>
      </c>
      <c r="N178" s="47">
        <f>VLOOKUP(C178,'Talente &amp; Stuff'!DO:EP,12,FALSE)</f>
        <v>0</v>
      </c>
      <c r="O178" s="3">
        <f>VLOOKUP(C178,'Talente &amp; Stuff'!DO:EP,13,FALSE)</f>
        <v>0</v>
      </c>
      <c r="P178" s="174">
        <f>VLOOKUP(C178,'Talente &amp; Stuff'!DO:EP,14,FALSE)</f>
        <v>0</v>
      </c>
      <c r="Q178" s="114">
        <f>VLOOKUP(C178,'Talente &amp; Stuff'!DO:EP,15,FALSE)</f>
        <v>0</v>
      </c>
      <c r="R178" s="117">
        <f>VLOOKUP(C178,'Talente &amp; Stuff'!DO:EP,16,FALSE)</f>
        <v>0</v>
      </c>
      <c r="S178" s="119">
        <f>VLOOKUP(C178,'Talente &amp; Stuff'!DO:EP,17,FALSE)</f>
        <v>0</v>
      </c>
      <c r="T178" s="119">
        <f>VLOOKUP(C178,'Talente &amp; Stuff'!DO:EP,18,FALSE)</f>
        <v>0</v>
      </c>
      <c r="U178" s="89">
        <f>VLOOKUP(C178,'Talente &amp; Stuff'!DO:EP,19,FALSE)</f>
        <v>0</v>
      </c>
      <c r="V178" s="47">
        <f>VLOOKUP(C178,'Talente &amp; Stuff'!DO:EP,20,FALSE)</f>
        <v>0</v>
      </c>
      <c r="W178" s="127">
        <f>VLOOKUP(C178,'Talente &amp; Stuff'!DO:EP,21,FALSE)</f>
        <v>0</v>
      </c>
      <c r="X178" s="127">
        <f>VLOOKUP(C178,'Talente &amp; Stuff'!DO:EP,22,FALSE)</f>
        <v>0</v>
      </c>
      <c r="Y178" s="165">
        <f t="shared" si="16"/>
        <v>0</v>
      </c>
      <c r="Z178" s="44">
        <f t="shared" si="17"/>
        <v>0</v>
      </c>
      <c r="AA178" s="125">
        <f>VLOOKUP(C178,'Talente &amp; Stuff'!DO:EP,25,FALSE)</f>
        <v>0</v>
      </c>
      <c r="AB178" s="160">
        <f>VLOOKUP(C178,'Talente &amp; Stuff'!DO:EP,26,FALSE)</f>
        <v>0</v>
      </c>
      <c r="AC178" s="127">
        <f>VLOOKUP(C178,'Talente &amp; Stuff'!DO:EP,27,FALSE)</f>
        <v>0</v>
      </c>
      <c r="AD178" s="125">
        <f>VLOOKUP(C178,'Talente &amp; Stuff'!DO:EP,28,FALSE)</f>
        <v>0</v>
      </c>
      <c r="AE178" s="28"/>
    </row>
    <row r="179" spans="2:31" ht="15" hidden="1" customHeight="1" outlineLevel="2">
      <c r="B179" s="148">
        <v>27</v>
      </c>
      <c r="C179" s="177" t="str">
        <f>Attribute!C179</f>
        <v>---</v>
      </c>
      <c r="D179" s="86" t="str">
        <f>VLOOKUP(C179,'Talente &amp; Stuff'!DO:EP,2,FALSE)</f>
        <v>--/--/--</v>
      </c>
      <c r="E179" s="167" t="str">
        <f>VLOOKUP(C179,'Talente &amp; Stuff'!DO:EP,3,FALSE)</f>
        <v>-</v>
      </c>
      <c r="F179" s="120">
        <f>VLOOKUP(C179,'Talente &amp; Stuff'!DO:EP,4,FALSE)</f>
        <v>0</v>
      </c>
      <c r="G179" s="117">
        <f>VLOOKUP(C179,'Talente &amp; Stuff'!DO:EP,5,FALSE)</f>
        <v>0</v>
      </c>
      <c r="H179" s="117">
        <f>VLOOKUP(C179,'Talente &amp; Stuff'!DO:EP,6,FALSE)</f>
        <v>0</v>
      </c>
      <c r="I179" s="117">
        <f>VLOOKUP(C179,'Talente &amp; Stuff'!DO:EP,7,FALSE)</f>
        <v>0</v>
      </c>
      <c r="J179" s="117">
        <f>VLOOKUP(C179,'Talente &amp; Stuff'!DO:EP,8,FALSE)</f>
        <v>0</v>
      </c>
      <c r="K179" s="117">
        <f>VLOOKUP(C179,'Talente &amp; Stuff'!DO:EP,9,FALSE)</f>
        <v>0</v>
      </c>
      <c r="L179" s="117">
        <f>VLOOKUP(C179,'Talente &amp; Stuff'!DO:EP,10,FALSE)</f>
        <v>0</v>
      </c>
      <c r="M179" s="121">
        <f>VLOOKUP(C179,'Talente &amp; Stuff'!DO:EP,11,FALSE)</f>
        <v>0</v>
      </c>
      <c r="N179" s="47">
        <f>VLOOKUP(C179,'Talente &amp; Stuff'!DO:EP,12,FALSE)</f>
        <v>0</v>
      </c>
      <c r="O179" s="3">
        <f>VLOOKUP(C179,'Talente &amp; Stuff'!DO:EP,13,FALSE)</f>
        <v>0</v>
      </c>
      <c r="P179" s="174">
        <f>VLOOKUP(C179,'Talente &amp; Stuff'!DO:EP,14,FALSE)</f>
        <v>0</v>
      </c>
      <c r="Q179" s="114">
        <f>VLOOKUP(C179,'Talente &amp; Stuff'!DO:EP,15,FALSE)</f>
        <v>0</v>
      </c>
      <c r="R179" s="117">
        <f>VLOOKUP(C179,'Talente &amp; Stuff'!DO:EP,16,FALSE)</f>
        <v>0</v>
      </c>
      <c r="S179" s="119">
        <f>VLOOKUP(C179,'Talente &amp; Stuff'!DO:EP,17,FALSE)</f>
        <v>0</v>
      </c>
      <c r="T179" s="119">
        <f>VLOOKUP(C179,'Talente &amp; Stuff'!DO:EP,18,FALSE)</f>
        <v>0</v>
      </c>
      <c r="U179" s="89">
        <f>VLOOKUP(C179,'Talente &amp; Stuff'!DO:EP,19,FALSE)</f>
        <v>0</v>
      </c>
      <c r="V179" s="47">
        <f>VLOOKUP(C179,'Talente &amp; Stuff'!DO:EP,20,FALSE)</f>
        <v>0</v>
      </c>
      <c r="W179" s="127">
        <f>VLOOKUP(C179,'Talente &amp; Stuff'!DO:EP,21,FALSE)</f>
        <v>0</v>
      </c>
      <c r="X179" s="127">
        <f>VLOOKUP(C179,'Talente &amp; Stuff'!DO:EP,22,FALSE)</f>
        <v>0</v>
      </c>
      <c r="Y179" s="165">
        <f t="shared" si="16"/>
        <v>0</v>
      </c>
      <c r="Z179" s="44">
        <f t="shared" si="17"/>
        <v>0</v>
      </c>
      <c r="AA179" s="125">
        <f>VLOOKUP(C179,'Talente &amp; Stuff'!DO:EP,25,FALSE)</f>
        <v>0</v>
      </c>
      <c r="AB179" s="160">
        <f>VLOOKUP(C179,'Talente &amp; Stuff'!DO:EP,26,FALSE)</f>
        <v>0</v>
      </c>
      <c r="AC179" s="127">
        <f>VLOOKUP(C179,'Talente &amp; Stuff'!DO:EP,27,FALSE)</f>
        <v>0</v>
      </c>
      <c r="AD179" s="125">
        <f>VLOOKUP(C179,'Talente &amp; Stuff'!DO:EP,28,FALSE)</f>
        <v>0</v>
      </c>
      <c r="AE179" s="28"/>
    </row>
    <row r="180" spans="2:31" ht="15" hidden="1" customHeight="1" outlineLevel="2">
      <c r="B180" s="148">
        <v>28</v>
      </c>
      <c r="C180" s="177" t="str">
        <f>Attribute!C180</f>
        <v>---</v>
      </c>
      <c r="D180" s="86" t="str">
        <f>VLOOKUP(C180,'Talente &amp; Stuff'!DO:EP,2,FALSE)</f>
        <v>--/--/--</v>
      </c>
      <c r="E180" s="167" t="str">
        <f>VLOOKUP(C180,'Talente &amp; Stuff'!DO:EP,3,FALSE)</f>
        <v>-</v>
      </c>
      <c r="F180" s="120">
        <f>VLOOKUP(C180,'Talente &amp; Stuff'!DO:EP,4,FALSE)</f>
        <v>0</v>
      </c>
      <c r="G180" s="117">
        <f>VLOOKUP(C180,'Talente &amp; Stuff'!DO:EP,5,FALSE)</f>
        <v>0</v>
      </c>
      <c r="H180" s="117">
        <f>VLOOKUP(C180,'Talente &amp; Stuff'!DO:EP,6,FALSE)</f>
        <v>0</v>
      </c>
      <c r="I180" s="117">
        <f>VLOOKUP(C180,'Talente &amp; Stuff'!DO:EP,7,FALSE)</f>
        <v>0</v>
      </c>
      <c r="J180" s="117">
        <f>VLOOKUP(C180,'Talente &amp; Stuff'!DO:EP,8,FALSE)</f>
        <v>0</v>
      </c>
      <c r="K180" s="117">
        <f>VLOOKUP(C180,'Talente &amp; Stuff'!DO:EP,9,FALSE)</f>
        <v>0</v>
      </c>
      <c r="L180" s="117">
        <f>VLOOKUP(C180,'Talente &amp; Stuff'!DO:EP,10,FALSE)</f>
        <v>0</v>
      </c>
      <c r="M180" s="121">
        <f>VLOOKUP(C180,'Talente &amp; Stuff'!DO:EP,11,FALSE)</f>
        <v>0</v>
      </c>
      <c r="N180" s="47">
        <f>VLOOKUP(C180,'Talente &amp; Stuff'!DO:EP,12,FALSE)</f>
        <v>0</v>
      </c>
      <c r="O180" s="3">
        <f>VLOOKUP(C180,'Talente &amp; Stuff'!DO:EP,13,FALSE)</f>
        <v>0</v>
      </c>
      <c r="P180" s="174">
        <f>VLOOKUP(C180,'Talente &amp; Stuff'!DO:EP,14,FALSE)</f>
        <v>0</v>
      </c>
      <c r="Q180" s="114">
        <f>VLOOKUP(C180,'Talente &amp; Stuff'!DO:EP,15,FALSE)</f>
        <v>0</v>
      </c>
      <c r="R180" s="117">
        <f>VLOOKUP(C180,'Talente &amp; Stuff'!DO:EP,16,FALSE)</f>
        <v>0</v>
      </c>
      <c r="S180" s="119">
        <f>VLOOKUP(C180,'Talente &amp; Stuff'!DO:EP,17,FALSE)</f>
        <v>0</v>
      </c>
      <c r="T180" s="119">
        <f>VLOOKUP(C180,'Talente &amp; Stuff'!DO:EP,18,FALSE)</f>
        <v>0</v>
      </c>
      <c r="U180" s="89">
        <f>VLOOKUP(C180,'Talente &amp; Stuff'!DO:EP,19,FALSE)</f>
        <v>0</v>
      </c>
      <c r="V180" s="47">
        <f>VLOOKUP(C180,'Talente &amp; Stuff'!DO:EP,20,FALSE)</f>
        <v>0</v>
      </c>
      <c r="W180" s="127">
        <f>VLOOKUP(C180,'Talente &amp; Stuff'!DO:EP,21,FALSE)</f>
        <v>0</v>
      </c>
      <c r="X180" s="127">
        <f>VLOOKUP(C180,'Talente &amp; Stuff'!DO:EP,22,FALSE)</f>
        <v>0</v>
      </c>
      <c r="Y180" s="165">
        <f t="shared" si="16"/>
        <v>0</v>
      </c>
      <c r="Z180" s="44">
        <f t="shared" si="17"/>
        <v>0</v>
      </c>
      <c r="AA180" s="125">
        <f>VLOOKUP(C180,'Talente &amp; Stuff'!DO:EP,25,FALSE)</f>
        <v>0</v>
      </c>
      <c r="AB180" s="160">
        <f>VLOOKUP(C180,'Talente &amp; Stuff'!DO:EP,26,FALSE)</f>
        <v>0</v>
      </c>
      <c r="AC180" s="127">
        <f>VLOOKUP(C180,'Talente &amp; Stuff'!DO:EP,27,FALSE)</f>
        <v>0</v>
      </c>
      <c r="AD180" s="125">
        <f>VLOOKUP(C180,'Talente &amp; Stuff'!DO:EP,28,FALSE)</f>
        <v>0</v>
      </c>
      <c r="AE180" s="28"/>
    </row>
    <row r="181" spans="2:31" ht="15" hidden="1" customHeight="1" outlineLevel="2">
      <c r="B181" s="148">
        <v>29</v>
      </c>
      <c r="C181" s="177" t="str">
        <f>Attribute!C181</f>
        <v>---</v>
      </c>
      <c r="D181" s="86" t="str">
        <f>VLOOKUP(C181,'Talente &amp; Stuff'!DO:EP,2,FALSE)</f>
        <v>--/--/--</v>
      </c>
      <c r="E181" s="167" t="str">
        <f>VLOOKUP(C181,'Talente &amp; Stuff'!DO:EP,3,FALSE)</f>
        <v>-</v>
      </c>
      <c r="F181" s="120">
        <f>VLOOKUP(C181,'Talente &amp; Stuff'!DO:EP,4,FALSE)</f>
        <v>0</v>
      </c>
      <c r="G181" s="117">
        <f>VLOOKUP(C181,'Talente &amp; Stuff'!DO:EP,5,FALSE)</f>
        <v>0</v>
      </c>
      <c r="H181" s="117">
        <f>VLOOKUP(C181,'Talente &amp; Stuff'!DO:EP,6,FALSE)</f>
        <v>0</v>
      </c>
      <c r="I181" s="117">
        <f>VLOOKUP(C181,'Talente &amp; Stuff'!DO:EP,7,FALSE)</f>
        <v>0</v>
      </c>
      <c r="J181" s="117">
        <f>VLOOKUP(C181,'Talente &amp; Stuff'!DO:EP,8,FALSE)</f>
        <v>0</v>
      </c>
      <c r="K181" s="117">
        <f>VLOOKUP(C181,'Talente &amp; Stuff'!DO:EP,9,FALSE)</f>
        <v>0</v>
      </c>
      <c r="L181" s="117">
        <f>VLOOKUP(C181,'Talente &amp; Stuff'!DO:EP,10,FALSE)</f>
        <v>0</v>
      </c>
      <c r="M181" s="121">
        <f>VLOOKUP(C181,'Talente &amp; Stuff'!DO:EP,11,FALSE)</f>
        <v>0</v>
      </c>
      <c r="N181" s="47">
        <f>VLOOKUP(C181,'Talente &amp; Stuff'!DO:EP,12,FALSE)</f>
        <v>0</v>
      </c>
      <c r="O181" s="3">
        <f>VLOOKUP(C181,'Talente &amp; Stuff'!DO:EP,13,FALSE)</f>
        <v>0</v>
      </c>
      <c r="P181" s="174">
        <f>VLOOKUP(C181,'Talente &amp; Stuff'!DO:EP,14,FALSE)</f>
        <v>0</v>
      </c>
      <c r="Q181" s="114">
        <f>VLOOKUP(C181,'Talente &amp; Stuff'!DO:EP,15,FALSE)</f>
        <v>0</v>
      </c>
      <c r="R181" s="117">
        <f>VLOOKUP(C181,'Talente &amp; Stuff'!DO:EP,16,FALSE)</f>
        <v>0</v>
      </c>
      <c r="S181" s="119">
        <f>VLOOKUP(C181,'Talente &amp; Stuff'!DO:EP,17,FALSE)</f>
        <v>0</v>
      </c>
      <c r="T181" s="119">
        <f>VLOOKUP(C181,'Talente &amp; Stuff'!DO:EP,18,FALSE)</f>
        <v>0</v>
      </c>
      <c r="U181" s="89">
        <f>VLOOKUP(C181,'Talente &amp; Stuff'!DO:EP,19,FALSE)</f>
        <v>0</v>
      </c>
      <c r="V181" s="47">
        <f>VLOOKUP(C181,'Talente &amp; Stuff'!DO:EP,20,FALSE)</f>
        <v>0</v>
      </c>
      <c r="W181" s="127">
        <f>VLOOKUP(C181,'Talente &amp; Stuff'!DO:EP,21,FALSE)</f>
        <v>0</v>
      </c>
      <c r="X181" s="127">
        <f>VLOOKUP(C181,'Talente &amp; Stuff'!DO:EP,22,FALSE)</f>
        <v>0</v>
      </c>
      <c r="Y181" s="165">
        <f t="shared" si="16"/>
        <v>0</v>
      </c>
      <c r="Z181" s="44">
        <f t="shared" si="17"/>
        <v>0</v>
      </c>
      <c r="AA181" s="125">
        <f>VLOOKUP(C181,'Talente &amp; Stuff'!DO:EP,25,FALSE)</f>
        <v>0</v>
      </c>
      <c r="AB181" s="160">
        <f>VLOOKUP(C181,'Talente &amp; Stuff'!DO:EP,26,FALSE)</f>
        <v>0</v>
      </c>
      <c r="AC181" s="127">
        <f>VLOOKUP(C181,'Talente &amp; Stuff'!DO:EP,27,FALSE)</f>
        <v>0</v>
      </c>
      <c r="AD181" s="125">
        <f>VLOOKUP(C181,'Talente &amp; Stuff'!DO:EP,28,FALSE)</f>
        <v>0</v>
      </c>
      <c r="AE181" s="28"/>
    </row>
    <row r="182" spans="2:31" ht="15" hidden="1" customHeight="1" outlineLevel="2">
      <c r="B182" s="148">
        <v>30</v>
      </c>
      <c r="C182" s="177" t="str">
        <f>Attribute!C182</f>
        <v>---</v>
      </c>
      <c r="D182" s="86" t="str">
        <f>VLOOKUP(C182,'Talente &amp; Stuff'!DO:EP,2,FALSE)</f>
        <v>--/--/--</v>
      </c>
      <c r="E182" s="167" t="str">
        <f>VLOOKUP(C182,'Talente &amp; Stuff'!DO:EP,3,FALSE)</f>
        <v>-</v>
      </c>
      <c r="F182" s="120">
        <f>VLOOKUP(C182,'Talente &amp; Stuff'!DO:EP,4,FALSE)</f>
        <v>0</v>
      </c>
      <c r="G182" s="117">
        <f>VLOOKUP(C182,'Talente &amp; Stuff'!DO:EP,5,FALSE)</f>
        <v>0</v>
      </c>
      <c r="H182" s="117">
        <f>VLOOKUP(C182,'Talente &amp; Stuff'!DO:EP,6,FALSE)</f>
        <v>0</v>
      </c>
      <c r="I182" s="117">
        <f>VLOOKUP(C182,'Talente &amp; Stuff'!DO:EP,7,FALSE)</f>
        <v>0</v>
      </c>
      <c r="J182" s="117">
        <f>VLOOKUP(C182,'Talente &amp; Stuff'!DO:EP,8,FALSE)</f>
        <v>0</v>
      </c>
      <c r="K182" s="117">
        <f>VLOOKUP(C182,'Talente &amp; Stuff'!DO:EP,9,FALSE)</f>
        <v>0</v>
      </c>
      <c r="L182" s="117">
        <f>VLOOKUP(C182,'Talente &amp; Stuff'!DO:EP,10,FALSE)</f>
        <v>0</v>
      </c>
      <c r="M182" s="121">
        <f>VLOOKUP(C182,'Talente &amp; Stuff'!DO:EP,11,FALSE)</f>
        <v>0</v>
      </c>
      <c r="N182" s="47">
        <f>VLOOKUP(C182,'Talente &amp; Stuff'!DO:EP,12,FALSE)</f>
        <v>0</v>
      </c>
      <c r="O182" s="3">
        <f>VLOOKUP(C182,'Talente &amp; Stuff'!DO:EP,13,FALSE)</f>
        <v>0</v>
      </c>
      <c r="P182" s="174">
        <f>VLOOKUP(C182,'Talente &amp; Stuff'!DO:EP,14,FALSE)</f>
        <v>0</v>
      </c>
      <c r="Q182" s="114">
        <f>VLOOKUP(C182,'Talente &amp; Stuff'!DO:EP,15,FALSE)</f>
        <v>0</v>
      </c>
      <c r="R182" s="117">
        <f>VLOOKUP(C182,'Talente &amp; Stuff'!DO:EP,16,FALSE)</f>
        <v>0</v>
      </c>
      <c r="S182" s="119">
        <f>VLOOKUP(C182,'Talente &amp; Stuff'!DO:EP,17,FALSE)</f>
        <v>0</v>
      </c>
      <c r="T182" s="119">
        <f>VLOOKUP(C182,'Talente &amp; Stuff'!DO:EP,18,FALSE)</f>
        <v>0</v>
      </c>
      <c r="U182" s="89">
        <f>VLOOKUP(C182,'Talente &amp; Stuff'!DO:EP,19,FALSE)</f>
        <v>0</v>
      </c>
      <c r="V182" s="47">
        <f>VLOOKUP(C182,'Talente &amp; Stuff'!DO:EP,20,FALSE)</f>
        <v>0</v>
      </c>
      <c r="W182" s="127">
        <f>VLOOKUP(C182,'Talente &amp; Stuff'!DO:EP,21,FALSE)</f>
        <v>0</v>
      </c>
      <c r="X182" s="127">
        <f>VLOOKUP(C182,'Talente &amp; Stuff'!DO:EP,22,FALSE)</f>
        <v>0</v>
      </c>
      <c r="Y182" s="165">
        <f t="shared" si="16"/>
        <v>0</v>
      </c>
      <c r="Z182" s="44">
        <f t="shared" si="17"/>
        <v>0</v>
      </c>
      <c r="AA182" s="125">
        <f>VLOOKUP(C182,'Talente &amp; Stuff'!DO:EP,25,FALSE)</f>
        <v>0</v>
      </c>
      <c r="AB182" s="160">
        <f>VLOOKUP(C182,'Talente &amp; Stuff'!DO:EP,26,FALSE)</f>
        <v>0</v>
      </c>
      <c r="AC182" s="127">
        <f>VLOOKUP(C182,'Talente &amp; Stuff'!DO:EP,27,FALSE)</f>
        <v>0</v>
      </c>
      <c r="AD182" s="125">
        <f>VLOOKUP(C182,'Talente &amp; Stuff'!DO:EP,28,FALSE)</f>
        <v>0</v>
      </c>
      <c r="AE182" s="28"/>
    </row>
    <row r="183" spans="2:31" ht="15" hidden="1" customHeight="1" outlineLevel="2">
      <c r="B183" s="148">
        <v>31</v>
      </c>
      <c r="C183" s="177" t="str">
        <f>Attribute!C183</f>
        <v>---</v>
      </c>
      <c r="D183" s="86" t="str">
        <f>VLOOKUP(C183,'Talente &amp; Stuff'!DO:EP,2,FALSE)</f>
        <v>--/--/--</v>
      </c>
      <c r="E183" s="167" t="str">
        <f>VLOOKUP(C183,'Talente &amp; Stuff'!DO:EP,3,FALSE)</f>
        <v>-</v>
      </c>
      <c r="F183" s="120">
        <f>VLOOKUP(C183,'Talente &amp; Stuff'!DO:EP,4,FALSE)</f>
        <v>0</v>
      </c>
      <c r="G183" s="117">
        <f>VLOOKUP(C183,'Talente &amp; Stuff'!DO:EP,5,FALSE)</f>
        <v>0</v>
      </c>
      <c r="H183" s="117">
        <f>VLOOKUP(C183,'Talente &amp; Stuff'!DO:EP,6,FALSE)</f>
        <v>0</v>
      </c>
      <c r="I183" s="117">
        <f>VLOOKUP(C183,'Talente &amp; Stuff'!DO:EP,7,FALSE)</f>
        <v>0</v>
      </c>
      <c r="J183" s="117">
        <f>VLOOKUP(C183,'Talente &amp; Stuff'!DO:EP,8,FALSE)</f>
        <v>0</v>
      </c>
      <c r="K183" s="117">
        <f>VLOOKUP(C183,'Talente &amp; Stuff'!DO:EP,9,FALSE)</f>
        <v>0</v>
      </c>
      <c r="L183" s="117">
        <f>VLOOKUP(C183,'Talente &amp; Stuff'!DO:EP,10,FALSE)</f>
        <v>0</v>
      </c>
      <c r="M183" s="121">
        <f>VLOOKUP(C183,'Talente &amp; Stuff'!DO:EP,11,FALSE)</f>
        <v>0</v>
      </c>
      <c r="N183" s="47">
        <f>VLOOKUP(C183,'Talente &amp; Stuff'!DO:EP,12,FALSE)</f>
        <v>0</v>
      </c>
      <c r="O183" s="3">
        <f>VLOOKUP(C183,'Talente &amp; Stuff'!DO:EP,13,FALSE)</f>
        <v>0</v>
      </c>
      <c r="P183" s="174">
        <f>VLOOKUP(C183,'Talente &amp; Stuff'!DO:EP,14,FALSE)</f>
        <v>0</v>
      </c>
      <c r="Q183" s="114">
        <f>VLOOKUP(C183,'Talente &amp; Stuff'!DO:EP,15,FALSE)</f>
        <v>0</v>
      </c>
      <c r="R183" s="117">
        <f>VLOOKUP(C183,'Talente &amp; Stuff'!DO:EP,16,FALSE)</f>
        <v>0</v>
      </c>
      <c r="S183" s="119">
        <f>VLOOKUP(C183,'Talente &amp; Stuff'!DO:EP,17,FALSE)</f>
        <v>0</v>
      </c>
      <c r="T183" s="119">
        <f>VLOOKUP(C183,'Talente &amp; Stuff'!DO:EP,18,FALSE)</f>
        <v>0</v>
      </c>
      <c r="U183" s="89">
        <f>VLOOKUP(C183,'Talente &amp; Stuff'!DO:EP,19,FALSE)</f>
        <v>0</v>
      </c>
      <c r="V183" s="47">
        <f>VLOOKUP(C183,'Talente &amp; Stuff'!DO:EP,20,FALSE)</f>
        <v>0</v>
      </c>
      <c r="W183" s="127">
        <f>VLOOKUP(C183,'Talente &amp; Stuff'!DO:EP,21,FALSE)</f>
        <v>0</v>
      </c>
      <c r="X183" s="127">
        <f>VLOOKUP(C183,'Talente &amp; Stuff'!DO:EP,22,FALSE)</f>
        <v>0</v>
      </c>
      <c r="Y183" s="165">
        <f t="shared" si="16"/>
        <v>0</v>
      </c>
      <c r="Z183" s="44">
        <f t="shared" si="17"/>
        <v>0</v>
      </c>
      <c r="AA183" s="125">
        <f>VLOOKUP(C183,'Talente &amp; Stuff'!DO:EP,25,FALSE)</f>
        <v>0</v>
      </c>
      <c r="AB183" s="160">
        <f>VLOOKUP(C183,'Talente &amp; Stuff'!DO:EP,26,FALSE)</f>
        <v>0</v>
      </c>
      <c r="AC183" s="127">
        <f>VLOOKUP(C183,'Talente &amp; Stuff'!DO:EP,27,FALSE)</f>
        <v>0</v>
      </c>
      <c r="AD183" s="125">
        <f>VLOOKUP(C183,'Talente &amp; Stuff'!DO:EP,28,FALSE)</f>
        <v>0</v>
      </c>
      <c r="AE183" s="28"/>
    </row>
    <row r="184" spans="2:31" ht="15" hidden="1" customHeight="1" outlineLevel="2">
      <c r="B184" s="148">
        <v>32</v>
      </c>
      <c r="C184" s="177" t="str">
        <f>Attribute!C184</f>
        <v>---</v>
      </c>
      <c r="D184" s="86" t="str">
        <f>VLOOKUP(C184,'Talente &amp; Stuff'!DO:EP,2,FALSE)</f>
        <v>--/--/--</v>
      </c>
      <c r="E184" s="167" t="str">
        <f>VLOOKUP(C184,'Talente &amp; Stuff'!DO:EP,3,FALSE)</f>
        <v>-</v>
      </c>
      <c r="F184" s="120">
        <f>VLOOKUP(C184,'Talente &amp; Stuff'!DO:EP,4,FALSE)</f>
        <v>0</v>
      </c>
      <c r="G184" s="117">
        <f>VLOOKUP(C184,'Talente &amp; Stuff'!DO:EP,5,FALSE)</f>
        <v>0</v>
      </c>
      <c r="H184" s="117">
        <f>VLOOKUP(C184,'Talente &amp; Stuff'!DO:EP,6,FALSE)</f>
        <v>0</v>
      </c>
      <c r="I184" s="117">
        <f>VLOOKUP(C184,'Talente &amp; Stuff'!DO:EP,7,FALSE)</f>
        <v>0</v>
      </c>
      <c r="J184" s="117">
        <f>VLOOKUP(C184,'Talente &amp; Stuff'!DO:EP,8,FALSE)</f>
        <v>0</v>
      </c>
      <c r="K184" s="117">
        <f>VLOOKUP(C184,'Talente &amp; Stuff'!DO:EP,9,FALSE)</f>
        <v>0</v>
      </c>
      <c r="L184" s="117">
        <f>VLOOKUP(C184,'Talente &amp; Stuff'!DO:EP,10,FALSE)</f>
        <v>0</v>
      </c>
      <c r="M184" s="121">
        <f>VLOOKUP(C184,'Talente &amp; Stuff'!DO:EP,11,FALSE)</f>
        <v>0</v>
      </c>
      <c r="N184" s="47">
        <f>VLOOKUP(C184,'Talente &amp; Stuff'!DO:EP,12,FALSE)</f>
        <v>0</v>
      </c>
      <c r="O184" s="3">
        <f>VLOOKUP(C184,'Talente &amp; Stuff'!DO:EP,13,FALSE)</f>
        <v>0</v>
      </c>
      <c r="P184" s="174">
        <f>VLOOKUP(C184,'Talente &amp; Stuff'!DO:EP,14,FALSE)</f>
        <v>0</v>
      </c>
      <c r="Q184" s="114">
        <f>VLOOKUP(C184,'Talente &amp; Stuff'!DO:EP,15,FALSE)</f>
        <v>0</v>
      </c>
      <c r="R184" s="117">
        <f>VLOOKUP(C184,'Talente &amp; Stuff'!DO:EP,16,FALSE)</f>
        <v>0</v>
      </c>
      <c r="S184" s="119">
        <f>VLOOKUP(C184,'Talente &amp; Stuff'!DO:EP,17,FALSE)</f>
        <v>0</v>
      </c>
      <c r="T184" s="119">
        <f>VLOOKUP(C184,'Talente &amp; Stuff'!DO:EP,18,FALSE)</f>
        <v>0</v>
      </c>
      <c r="U184" s="89">
        <f>VLOOKUP(C184,'Talente &amp; Stuff'!DO:EP,19,FALSE)</f>
        <v>0</v>
      </c>
      <c r="V184" s="47">
        <f>VLOOKUP(C184,'Talente &amp; Stuff'!DO:EP,20,FALSE)</f>
        <v>0</v>
      </c>
      <c r="W184" s="127">
        <f>VLOOKUP(C184,'Talente &amp; Stuff'!DO:EP,21,FALSE)</f>
        <v>0</v>
      </c>
      <c r="X184" s="127">
        <f>VLOOKUP(C184,'Talente &amp; Stuff'!DO:EP,22,FALSE)</f>
        <v>0</v>
      </c>
      <c r="Y184" s="165">
        <f t="shared" si="16"/>
        <v>0</v>
      </c>
      <c r="Z184" s="44">
        <f t="shared" si="17"/>
        <v>0</v>
      </c>
      <c r="AA184" s="125">
        <f>VLOOKUP(C184,'Talente &amp; Stuff'!DO:EP,25,FALSE)</f>
        <v>0</v>
      </c>
      <c r="AB184" s="160">
        <f>VLOOKUP(C184,'Talente &amp; Stuff'!DO:EP,26,FALSE)</f>
        <v>0</v>
      </c>
      <c r="AC184" s="127">
        <f>VLOOKUP(C184,'Talente &amp; Stuff'!DO:EP,27,FALSE)</f>
        <v>0</v>
      </c>
      <c r="AD184" s="125">
        <f>VLOOKUP(C184,'Talente &amp; Stuff'!DO:EP,28,FALSE)</f>
        <v>0</v>
      </c>
      <c r="AE184" s="28"/>
    </row>
    <row r="185" spans="2:31" ht="15" hidden="1" customHeight="1" outlineLevel="2">
      <c r="B185" s="148">
        <v>33</v>
      </c>
      <c r="C185" s="177" t="str">
        <f>Attribute!C185</f>
        <v>---</v>
      </c>
      <c r="D185" s="86" t="str">
        <f>VLOOKUP(C185,'Talente &amp; Stuff'!DO:EP,2,FALSE)</f>
        <v>--/--/--</v>
      </c>
      <c r="E185" s="167" t="str">
        <f>VLOOKUP(C185,'Talente &amp; Stuff'!DO:EP,3,FALSE)</f>
        <v>-</v>
      </c>
      <c r="F185" s="120">
        <f>VLOOKUP(C185,'Talente &amp; Stuff'!DO:EP,4,FALSE)</f>
        <v>0</v>
      </c>
      <c r="G185" s="117">
        <f>VLOOKUP(C185,'Talente &amp; Stuff'!DO:EP,5,FALSE)</f>
        <v>0</v>
      </c>
      <c r="H185" s="117">
        <f>VLOOKUP(C185,'Talente &amp; Stuff'!DO:EP,6,FALSE)</f>
        <v>0</v>
      </c>
      <c r="I185" s="117">
        <f>VLOOKUP(C185,'Talente &amp; Stuff'!DO:EP,7,FALSE)</f>
        <v>0</v>
      </c>
      <c r="J185" s="117">
        <f>VLOOKUP(C185,'Talente &amp; Stuff'!DO:EP,8,FALSE)</f>
        <v>0</v>
      </c>
      <c r="K185" s="117">
        <f>VLOOKUP(C185,'Talente &amp; Stuff'!DO:EP,9,FALSE)</f>
        <v>0</v>
      </c>
      <c r="L185" s="117">
        <f>VLOOKUP(C185,'Talente &amp; Stuff'!DO:EP,10,FALSE)</f>
        <v>0</v>
      </c>
      <c r="M185" s="121">
        <f>VLOOKUP(C185,'Talente &amp; Stuff'!DO:EP,11,FALSE)</f>
        <v>0</v>
      </c>
      <c r="N185" s="47">
        <f>VLOOKUP(C185,'Talente &amp; Stuff'!DO:EP,12,FALSE)</f>
        <v>0</v>
      </c>
      <c r="O185" s="3">
        <f>VLOOKUP(C185,'Talente &amp; Stuff'!DO:EP,13,FALSE)</f>
        <v>0</v>
      </c>
      <c r="P185" s="174">
        <f>VLOOKUP(C185,'Talente &amp; Stuff'!DO:EP,14,FALSE)</f>
        <v>0</v>
      </c>
      <c r="Q185" s="114">
        <f>VLOOKUP(C185,'Talente &amp; Stuff'!DO:EP,15,FALSE)</f>
        <v>0</v>
      </c>
      <c r="R185" s="117">
        <f>VLOOKUP(C185,'Talente &amp; Stuff'!DO:EP,16,FALSE)</f>
        <v>0</v>
      </c>
      <c r="S185" s="119">
        <f>VLOOKUP(C185,'Talente &amp; Stuff'!DO:EP,17,FALSE)</f>
        <v>0</v>
      </c>
      <c r="T185" s="119">
        <f>VLOOKUP(C185,'Talente &amp; Stuff'!DO:EP,18,FALSE)</f>
        <v>0</v>
      </c>
      <c r="U185" s="89">
        <f>VLOOKUP(C185,'Talente &amp; Stuff'!DO:EP,19,FALSE)</f>
        <v>0</v>
      </c>
      <c r="V185" s="47">
        <f>VLOOKUP(C185,'Talente &amp; Stuff'!DO:EP,20,FALSE)</f>
        <v>0</v>
      </c>
      <c r="W185" s="127">
        <f>VLOOKUP(C185,'Talente &amp; Stuff'!DO:EP,21,FALSE)</f>
        <v>0</v>
      </c>
      <c r="X185" s="127">
        <f>VLOOKUP(C185,'Talente &amp; Stuff'!DO:EP,22,FALSE)</f>
        <v>0</v>
      </c>
      <c r="Y185" s="165">
        <f t="shared" ref="Y185:Y211" si="18">VLOOKUP(C185,Ausgewählte_Zauber_Gildenmagier,139,FALSE)</f>
        <v>0</v>
      </c>
      <c r="Z185" s="44">
        <f t="shared" ref="Z185:Z211" si="19">VLOOKUP(C185,Ausgewählte_Zauber_Gildenmagier,140,FALSE)</f>
        <v>0</v>
      </c>
      <c r="AA185" s="125">
        <f>VLOOKUP(C185,'Talente &amp; Stuff'!DO:EP,25,FALSE)</f>
        <v>0</v>
      </c>
      <c r="AB185" s="160">
        <f>VLOOKUP(C185,'Talente &amp; Stuff'!DO:EP,26,FALSE)</f>
        <v>0</v>
      </c>
      <c r="AC185" s="127">
        <f>VLOOKUP(C185,'Talente &amp; Stuff'!DO:EP,27,FALSE)</f>
        <v>0</v>
      </c>
      <c r="AD185" s="125">
        <f>VLOOKUP(C185,'Talente &amp; Stuff'!DO:EP,28,FALSE)</f>
        <v>0</v>
      </c>
      <c r="AE185" s="28"/>
    </row>
    <row r="186" spans="2:31" ht="15" hidden="1" customHeight="1" outlineLevel="2">
      <c r="B186" s="148">
        <v>34</v>
      </c>
      <c r="C186" s="177" t="str">
        <f>Attribute!C186</f>
        <v>---</v>
      </c>
      <c r="D186" s="86" t="str">
        <f>VLOOKUP(C186,'Talente &amp; Stuff'!DO:EP,2,FALSE)</f>
        <v>--/--/--</v>
      </c>
      <c r="E186" s="167" t="str">
        <f>VLOOKUP(C186,'Talente &amp; Stuff'!DO:EP,3,FALSE)</f>
        <v>-</v>
      </c>
      <c r="F186" s="120">
        <f>VLOOKUP(C186,'Talente &amp; Stuff'!DO:EP,4,FALSE)</f>
        <v>0</v>
      </c>
      <c r="G186" s="117">
        <f>VLOOKUP(C186,'Talente &amp; Stuff'!DO:EP,5,FALSE)</f>
        <v>0</v>
      </c>
      <c r="H186" s="117">
        <f>VLOOKUP(C186,'Talente &amp; Stuff'!DO:EP,6,FALSE)</f>
        <v>0</v>
      </c>
      <c r="I186" s="117">
        <f>VLOOKUP(C186,'Talente &amp; Stuff'!DO:EP,7,FALSE)</f>
        <v>0</v>
      </c>
      <c r="J186" s="117">
        <f>VLOOKUP(C186,'Talente &amp; Stuff'!DO:EP,8,FALSE)</f>
        <v>0</v>
      </c>
      <c r="K186" s="117">
        <f>VLOOKUP(C186,'Talente &amp; Stuff'!DO:EP,9,FALSE)</f>
        <v>0</v>
      </c>
      <c r="L186" s="117">
        <f>VLOOKUP(C186,'Talente &amp; Stuff'!DO:EP,10,FALSE)</f>
        <v>0</v>
      </c>
      <c r="M186" s="121">
        <f>VLOOKUP(C186,'Talente &amp; Stuff'!DO:EP,11,FALSE)</f>
        <v>0</v>
      </c>
      <c r="N186" s="47">
        <f>VLOOKUP(C186,'Talente &amp; Stuff'!DO:EP,12,FALSE)</f>
        <v>0</v>
      </c>
      <c r="O186" s="3">
        <f>VLOOKUP(C186,'Talente &amp; Stuff'!DO:EP,13,FALSE)</f>
        <v>0</v>
      </c>
      <c r="P186" s="174">
        <f>VLOOKUP(C186,'Talente &amp; Stuff'!DO:EP,14,FALSE)</f>
        <v>0</v>
      </c>
      <c r="Q186" s="114">
        <f>VLOOKUP(C186,'Talente &amp; Stuff'!DO:EP,15,FALSE)</f>
        <v>0</v>
      </c>
      <c r="R186" s="117">
        <f>VLOOKUP(C186,'Talente &amp; Stuff'!DO:EP,16,FALSE)</f>
        <v>0</v>
      </c>
      <c r="S186" s="119">
        <f>VLOOKUP(C186,'Talente &amp; Stuff'!DO:EP,17,FALSE)</f>
        <v>0</v>
      </c>
      <c r="T186" s="119">
        <f>VLOOKUP(C186,'Talente &amp; Stuff'!DO:EP,18,FALSE)</f>
        <v>0</v>
      </c>
      <c r="U186" s="89">
        <f>VLOOKUP(C186,'Talente &amp; Stuff'!DO:EP,19,FALSE)</f>
        <v>0</v>
      </c>
      <c r="V186" s="47">
        <f>VLOOKUP(C186,'Talente &amp; Stuff'!DO:EP,20,FALSE)</f>
        <v>0</v>
      </c>
      <c r="W186" s="127">
        <f>VLOOKUP(C186,'Talente &amp; Stuff'!DO:EP,21,FALSE)</f>
        <v>0</v>
      </c>
      <c r="X186" s="127">
        <f>VLOOKUP(C186,'Talente &amp; Stuff'!DO:EP,22,FALSE)</f>
        <v>0</v>
      </c>
      <c r="Y186" s="165">
        <f t="shared" si="18"/>
        <v>0</v>
      </c>
      <c r="Z186" s="44">
        <f t="shared" si="19"/>
        <v>0</v>
      </c>
      <c r="AA186" s="125">
        <f>VLOOKUP(C186,'Talente &amp; Stuff'!DO:EP,25,FALSE)</f>
        <v>0</v>
      </c>
      <c r="AB186" s="160">
        <f>VLOOKUP(C186,'Talente &amp; Stuff'!DO:EP,26,FALSE)</f>
        <v>0</v>
      </c>
      <c r="AC186" s="127">
        <f>VLOOKUP(C186,'Talente &amp; Stuff'!DO:EP,27,FALSE)</f>
        <v>0</v>
      </c>
      <c r="AD186" s="125">
        <f>VLOOKUP(C186,'Talente &amp; Stuff'!DO:EP,28,FALSE)</f>
        <v>0</v>
      </c>
      <c r="AE186" s="28"/>
    </row>
    <row r="187" spans="2:31" ht="15" hidden="1" customHeight="1" outlineLevel="2">
      <c r="B187" s="148">
        <v>35</v>
      </c>
      <c r="C187" s="177" t="str">
        <f>Attribute!C187</f>
        <v>---</v>
      </c>
      <c r="D187" s="86" t="str">
        <f>VLOOKUP(C187,'Talente &amp; Stuff'!DO:EP,2,FALSE)</f>
        <v>--/--/--</v>
      </c>
      <c r="E187" s="167" t="str">
        <f>VLOOKUP(C187,'Talente &amp; Stuff'!DO:EP,3,FALSE)</f>
        <v>-</v>
      </c>
      <c r="F187" s="120">
        <f>VLOOKUP(C187,'Talente &amp; Stuff'!DO:EP,4,FALSE)</f>
        <v>0</v>
      </c>
      <c r="G187" s="117">
        <f>VLOOKUP(C187,'Talente &amp; Stuff'!DO:EP,5,FALSE)</f>
        <v>0</v>
      </c>
      <c r="H187" s="117">
        <f>VLOOKUP(C187,'Talente &amp; Stuff'!DO:EP,6,FALSE)</f>
        <v>0</v>
      </c>
      <c r="I187" s="117">
        <f>VLOOKUP(C187,'Talente &amp; Stuff'!DO:EP,7,FALSE)</f>
        <v>0</v>
      </c>
      <c r="J187" s="117">
        <f>VLOOKUP(C187,'Talente &amp; Stuff'!DO:EP,8,FALSE)</f>
        <v>0</v>
      </c>
      <c r="K187" s="117">
        <f>VLOOKUP(C187,'Talente &amp; Stuff'!DO:EP,9,FALSE)</f>
        <v>0</v>
      </c>
      <c r="L187" s="117">
        <f>VLOOKUP(C187,'Talente &amp; Stuff'!DO:EP,10,FALSE)</f>
        <v>0</v>
      </c>
      <c r="M187" s="121">
        <f>VLOOKUP(C187,'Talente &amp; Stuff'!DO:EP,11,FALSE)</f>
        <v>0</v>
      </c>
      <c r="N187" s="47">
        <f>VLOOKUP(C187,'Talente &amp; Stuff'!DO:EP,12,FALSE)</f>
        <v>0</v>
      </c>
      <c r="O187" s="3">
        <f>VLOOKUP(C187,'Talente &amp; Stuff'!DO:EP,13,FALSE)</f>
        <v>0</v>
      </c>
      <c r="P187" s="174">
        <f>VLOOKUP(C187,'Talente &amp; Stuff'!DO:EP,14,FALSE)</f>
        <v>0</v>
      </c>
      <c r="Q187" s="114">
        <f>VLOOKUP(C187,'Talente &amp; Stuff'!DO:EP,15,FALSE)</f>
        <v>0</v>
      </c>
      <c r="R187" s="117">
        <f>VLOOKUP(C187,'Talente &amp; Stuff'!DO:EP,16,FALSE)</f>
        <v>0</v>
      </c>
      <c r="S187" s="119">
        <f>VLOOKUP(C187,'Talente &amp; Stuff'!DO:EP,17,FALSE)</f>
        <v>0</v>
      </c>
      <c r="T187" s="119">
        <f>VLOOKUP(C187,'Talente &amp; Stuff'!DO:EP,18,FALSE)</f>
        <v>0</v>
      </c>
      <c r="U187" s="89">
        <f>VLOOKUP(C187,'Talente &amp; Stuff'!DO:EP,19,FALSE)</f>
        <v>0</v>
      </c>
      <c r="V187" s="47">
        <f>VLOOKUP(C187,'Talente &amp; Stuff'!DO:EP,20,FALSE)</f>
        <v>0</v>
      </c>
      <c r="W187" s="127">
        <f>VLOOKUP(C187,'Talente &amp; Stuff'!DO:EP,21,FALSE)</f>
        <v>0</v>
      </c>
      <c r="X187" s="127">
        <f>VLOOKUP(C187,'Talente &amp; Stuff'!DO:EP,22,FALSE)</f>
        <v>0</v>
      </c>
      <c r="Y187" s="165">
        <f t="shared" si="18"/>
        <v>0</v>
      </c>
      <c r="Z187" s="44">
        <f t="shared" si="19"/>
        <v>0</v>
      </c>
      <c r="AA187" s="125">
        <f>VLOOKUP(C187,'Talente &amp; Stuff'!DO:EP,25,FALSE)</f>
        <v>0</v>
      </c>
      <c r="AB187" s="160">
        <f>VLOOKUP(C187,'Talente &amp; Stuff'!DO:EP,26,FALSE)</f>
        <v>0</v>
      </c>
      <c r="AC187" s="127">
        <f>VLOOKUP(C187,'Talente &amp; Stuff'!DO:EP,27,FALSE)</f>
        <v>0</v>
      </c>
      <c r="AD187" s="125">
        <f>VLOOKUP(C187,'Talente &amp; Stuff'!DO:EP,28,FALSE)</f>
        <v>0</v>
      </c>
      <c r="AE187" s="28"/>
    </row>
    <row r="188" spans="2:31" ht="15" hidden="1" customHeight="1" outlineLevel="2">
      <c r="B188" s="148">
        <v>36</v>
      </c>
      <c r="C188" s="177" t="str">
        <f>Attribute!C188</f>
        <v>---</v>
      </c>
      <c r="D188" s="86" t="str">
        <f>VLOOKUP(C188,'Talente &amp; Stuff'!DO:EP,2,FALSE)</f>
        <v>--/--/--</v>
      </c>
      <c r="E188" s="167" t="str">
        <f>VLOOKUP(C188,'Talente &amp; Stuff'!DO:EP,3,FALSE)</f>
        <v>-</v>
      </c>
      <c r="F188" s="120">
        <f>VLOOKUP(C188,'Talente &amp; Stuff'!DO:EP,4,FALSE)</f>
        <v>0</v>
      </c>
      <c r="G188" s="117">
        <f>VLOOKUP(C188,'Talente &amp; Stuff'!DO:EP,5,FALSE)</f>
        <v>0</v>
      </c>
      <c r="H188" s="117">
        <f>VLOOKUP(C188,'Talente &amp; Stuff'!DO:EP,6,FALSE)</f>
        <v>0</v>
      </c>
      <c r="I188" s="117">
        <f>VLOOKUP(C188,'Talente &amp; Stuff'!DO:EP,7,FALSE)</f>
        <v>0</v>
      </c>
      <c r="J188" s="117">
        <f>VLOOKUP(C188,'Talente &amp; Stuff'!DO:EP,8,FALSE)</f>
        <v>0</v>
      </c>
      <c r="K188" s="117">
        <f>VLOOKUP(C188,'Talente &amp; Stuff'!DO:EP,9,FALSE)</f>
        <v>0</v>
      </c>
      <c r="L188" s="117">
        <f>VLOOKUP(C188,'Talente &amp; Stuff'!DO:EP,10,FALSE)</f>
        <v>0</v>
      </c>
      <c r="M188" s="121">
        <f>VLOOKUP(C188,'Talente &amp; Stuff'!DO:EP,11,FALSE)</f>
        <v>0</v>
      </c>
      <c r="N188" s="47">
        <f>VLOOKUP(C188,'Talente &amp; Stuff'!DO:EP,12,FALSE)</f>
        <v>0</v>
      </c>
      <c r="O188" s="3">
        <f>VLOOKUP(C188,'Talente &amp; Stuff'!DO:EP,13,FALSE)</f>
        <v>0</v>
      </c>
      <c r="P188" s="174">
        <f>VLOOKUP(C188,'Talente &amp; Stuff'!DO:EP,14,FALSE)</f>
        <v>0</v>
      </c>
      <c r="Q188" s="114">
        <f>VLOOKUP(C188,'Talente &amp; Stuff'!DO:EP,15,FALSE)</f>
        <v>0</v>
      </c>
      <c r="R188" s="117">
        <f>VLOOKUP(C188,'Talente &amp; Stuff'!DO:EP,16,FALSE)</f>
        <v>0</v>
      </c>
      <c r="S188" s="119">
        <f>VLOOKUP(C188,'Talente &amp; Stuff'!DO:EP,17,FALSE)</f>
        <v>0</v>
      </c>
      <c r="T188" s="119">
        <f>VLOOKUP(C188,'Talente &amp; Stuff'!DO:EP,18,FALSE)</f>
        <v>0</v>
      </c>
      <c r="U188" s="89">
        <f>VLOOKUP(C188,'Talente &amp; Stuff'!DO:EP,19,FALSE)</f>
        <v>0</v>
      </c>
      <c r="V188" s="47">
        <f>VLOOKUP(C188,'Talente &amp; Stuff'!DO:EP,20,FALSE)</f>
        <v>0</v>
      </c>
      <c r="W188" s="127">
        <f>VLOOKUP(C188,'Talente &amp; Stuff'!DO:EP,21,FALSE)</f>
        <v>0</v>
      </c>
      <c r="X188" s="127">
        <f>VLOOKUP(C188,'Talente &amp; Stuff'!DO:EP,22,FALSE)</f>
        <v>0</v>
      </c>
      <c r="Y188" s="165">
        <f t="shared" si="18"/>
        <v>0</v>
      </c>
      <c r="Z188" s="44">
        <f t="shared" si="19"/>
        <v>0</v>
      </c>
      <c r="AA188" s="125">
        <f>VLOOKUP(C188,'Talente &amp; Stuff'!DO:EP,25,FALSE)</f>
        <v>0</v>
      </c>
      <c r="AB188" s="160">
        <f>VLOOKUP(C188,'Talente &amp; Stuff'!DO:EP,26,FALSE)</f>
        <v>0</v>
      </c>
      <c r="AC188" s="127">
        <f>VLOOKUP(C188,'Talente &amp; Stuff'!DO:EP,27,FALSE)</f>
        <v>0</v>
      </c>
      <c r="AD188" s="125">
        <f>VLOOKUP(C188,'Talente &amp; Stuff'!DO:EP,28,FALSE)</f>
        <v>0</v>
      </c>
      <c r="AE188" s="28"/>
    </row>
    <row r="189" spans="2:31" ht="15" hidden="1" customHeight="1" outlineLevel="2">
      <c r="B189" s="148">
        <v>37</v>
      </c>
      <c r="C189" s="177" t="str">
        <f>Attribute!C189</f>
        <v>---</v>
      </c>
      <c r="D189" s="86" t="str">
        <f>VLOOKUP(C189,'Talente &amp; Stuff'!DO:EP,2,FALSE)</f>
        <v>--/--/--</v>
      </c>
      <c r="E189" s="167" t="str">
        <f>VLOOKUP(C189,'Talente &amp; Stuff'!DO:EP,3,FALSE)</f>
        <v>-</v>
      </c>
      <c r="F189" s="120">
        <f>VLOOKUP(C189,'Talente &amp; Stuff'!DO:EP,4,FALSE)</f>
        <v>0</v>
      </c>
      <c r="G189" s="117">
        <f>VLOOKUP(C189,'Talente &amp; Stuff'!DO:EP,5,FALSE)</f>
        <v>0</v>
      </c>
      <c r="H189" s="117">
        <f>VLOOKUP(C189,'Talente &amp; Stuff'!DO:EP,6,FALSE)</f>
        <v>0</v>
      </c>
      <c r="I189" s="117">
        <f>VLOOKUP(C189,'Talente &amp; Stuff'!DO:EP,7,FALSE)</f>
        <v>0</v>
      </c>
      <c r="J189" s="117">
        <f>VLOOKUP(C189,'Talente &amp; Stuff'!DO:EP,8,FALSE)</f>
        <v>0</v>
      </c>
      <c r="K189" s="117">
        <f>VLOOKUP(C189,'Talente &amp; Stuff'!DO:EP,9,FALSE)</f>
        <v>0</v>
      </c>
      <c r="L189" s="117">
        <f>VLOOKUP(C189,'Talente &amp; Stuff'!DO:EP,10,FALSE)</f>
        <v>0</v>
      </c>
      <c r="M189" s="121">
        <f>VLOOKUP(C189,'Talente &amp; Stuff'!DO:EP,11,FALSE)</f>
        <v>0</v>
      </c>
      <c r="N189" s="47">
        <f>VLOOKUP(C189,'Talente &amp; Stuff'!DO:EP,12,FALSE)</f>
        <v>0</v>
      </c>
      <c r="O189" s="3">
        <f>VLOOKUP(C189,'Talente &amp; Stuff'!DO:EP,13,FALSE)</f>
        <v>0</v>
      </c>
      <c r="P189" s="174">
        <f>VLOOKUP(C189,'Talente &amp; Stuff'!DO:EP,14,FALSE)</f>
        <v>0</v>
      </c>
      <c r="Q189" s="114">
        <f>VLOOKUP(C189,'Talente &amp; Stuff'!DO:EP,15,FALSE)</f>
        <v>0</v>
      </c>
      <c r="R189" s="117">
        <f>VLOOKUP(C189,'Talente &amp; Stuff'!DO:EP,16,FALSE)</f>
        <v>0</v>
      </c>
      <c r="S189" s="119">
        <f>VLOOKUP(C189,'Talente &amp; Stuff'!DO:EP,17,FALSE)</f>
        <v>0</v>
      </c>
      <c r="T189" s="119">
        <f>VLOOKUP(C189,'Talente &amp; Stuff'!DO:EP,18,FALSE)</f>
        <v>0</v>
      </c>
      <c r="U189" s="89">
        <f>VLOOKUP(C189,'Talente &amp; Stuff'!DO:EP,19,FALSE)</f>
        <v>0</v>
      </c>
      <c r="V189" s="47">
        <f>VLOOKUP(C189,'Talente &amp; Stuff'!DO:EP,20,FALSE)</f>
        <v>0</v>
      </c>
      <c r="W189" s="127">
        <f>VLOOKUP(C189,'Talente &amp; Stuff'!DO:EP,21,FALSE)</f>
        <v>0</v>
      </c>
      <c r="X189" s="127">
        <f>VLOOKUP(C189,'Talente &amp; Stuff'!DO:EP,22,FALSE)</f>
        <v>0</v>
      </c>
      <c r="Y189" s="165">
        <f t="shared" si="18"/>
        <v>0</v>
      </c>
      <c r="Z189" s="44">
        <f t="shared" si="19"/>
        <v>0</v>
      </c>
      <c r="AA189" s="125">
        <f>VLOOKUP(C189,'Talente &amp; Stuff'!DO:EP,25,FALSE)</f>
        <v>0</v>
      </c>
      <c r="AB189" s="160">
        <f>VLOOKUP(C189,'Talente &amp; Stuff'!DO:EP,26,FALSE)</f>
        <v>0</v>
      </c>
      <c r="AC189" s="127">
        <f>VLOOKUP(C189,'Talente &amp; Stuff'!DO:EP,27,FALSE)</f>
        <v>0</v>
      </c>
      <c r="AD189" s="125">
        <f>VLOOKUP(C189,'Talente &amp; Stuff'!DO:EP,28,FALSE)</f>
        <v>0</v>
      </c>
      <c r="AE189" s="28"/>
    </row>
    <row r="190" spans="2:31" ht="15" hidden="1" customHeight="1" outlineLevel="2">
      <c r="B190" s="148">
        <v>38</v>
      </c>
      <c r="C190" s="177" t="str">
        <f>Attribute!C190</f>
        <v>---</v>
      </c>
      <c r="D190" s="86" t="str">
        <f>VLOOKUP(C190,'Talente &amp; Stuff'!DO:EP,2,FALSE)</f>
        <v>--/--/--</v>
      </c>
      <c r="E190" s="167" t="str">
        <f>VLOOKUP(C190,'Talente &amp; Stuff'!DO:EP,3,FALSE)</f>
        <v>-</v>
      </c>
      <c r="F190" s="120">
        <f>VLOOKUP(C190,'Talente &amp; Stuff'!DO:EP,4,FALSE)</f>
        <v>0</v>
      </c>
      <c r="G190" s="117">
        <f>VLOOKUP(C190,'Talente &amp; Stuff'!DO:EP,5,FALSE)</f>
        <v>0</v>
      </c>
      <c r="H190" s="117">
        <f>VLOOKUP(C190,'Talente &amp; Stuff'!DO:EP,6,FALSE)</f>
        <v>0</v>
      </c>
      <c r="I190" s="117">
        <f>VLOOKUP(C190,'Talente &amp; Stuff'!DO:EP,7,FALSE)</f>
        <v>0</v>
      </c>
      <c r="J190" s="117">
        <f>VLOOKUP(C190,'Talente &amp; Stuff'!DO:EP,8,FALSE)</f>
        <v>0</v>
      </c>
      <c r="K190" s="117">
        <f>VLOOKUP(C190,'Talente &amp; Stuff'!DO:EP,9,FALSE)</f>
        <v>0</v>
      </c>
      <c r="L190" s="117">
        <f>VLOOKUP(C190,'Talente &amp; Stuff'!DO:EP,10,FALSE)</f>
        <v>0</v>
      </c>
      <c r="M190" s="121">
        <f>VLOOKUP(C190,'Talente &amp; Stuff'!DO:EP,11,FALSE)</f>
        <v>0</v>
      </c>
      <c r="N190" s="47">
        <f>VLOOKUP(C190,'Talente &amp; Stuff'!DO:EP,12,FALSE)</f>
        <v>0</v>
      </c>
      <c r="O190" s="3">
        <f>VLOOKUP(C190,'Talente &amp; Stuff'!DO:EP,13,FALSE)</f>
        <v>0</v>
      </c>
      <c r="P190" s="174">
        <f>VLOOKUP(C190,'Talente &amp; Stuff'!DO:EP,14,FALSE)</f>
        <v>0</v>
      </c>
      <c r="Q190" s="114">
        <f>VLOOKUP(C190,'Talente &amp; Stuff'!DO:EP,15,FALSE)</f>
        <v>0</v>
      </c>
      <c r="R190" s="117">
        <f>VLOOKUP(C190,'Talente &amp; Stuff'!DO:EP,16,FALSE)</f>
        <v>0</v>
      </c>
      <c r="S190" s="119">
        <f>VLOOKUP(C190,'Talente &amp; Stuff'!DO:EP,17,FALSE)</f>
        <v>0</v>
      </c>
      <c r="T190" s="119">
        <f>VLOOKUP(C190,'Talente &amp; Stuff'!DO:EP,18,FALSE)</f>
        <v>0</v>
      </c>
      <c r="U190" s="89">
        <f>VLOOKUP(C190,'Talente &amp; Stuff'!DO:EP,19,FALSE)</f>
        <v>0</v>
      </c>
      <c r="V190" s="47">
        <f>VLOOKUP(C190,'Talente &amp; Stuff'!DO:EP,20,FALSE)</f>
        <v>0</v>
      </c>
      <c r="W190" s="127">
        <f>VLOOKUP(C190,'Talente &amp; Stuff'!DO:EP,21,FALSE)</f>
        <v>0</v>
      </c>
      <c r="X190" s="127">
        <f>VLOOKUP(C190,'Talente &amp; Stuff'!DO:EP,22,FALSE)</f>
        <v>0</v>
      </c>
      <c r="Y190" s="165">
        <f t="shared" si="18"/>
        <v>0</v>
      </c>
      <c r="Z190" s="44">
        <f t="shared" si="19"/>
        <v>0</v>
      </c>
      <c r="AA190" s="125">
        <f>VLOOKUP(C190,'Talente &amp; Stuff'!DO:EP,25,FALSE)</f>
        <v>0</v>
      </c>
      <c r="AB190" s="160">
        <f>VLOOKUP(C190,'Talente &amp; Stuff'!DO:EP,26,FALSE)</f>
        <v>0</v>
      </c>
      <c r="AC190" s="127">
        <f>VLOOKUP(C190,'Talente &amp; Stuff'!DO:EP,27,FALSE)</f>
        <v>0</v>
      </c>
      <c r="AD190" s="125">
        <f>VLOOKUP(C190,'Talente &amp; Stuff'!DO:EP,28,FALSE)</f>
        <v>0</v>
      </c>
      <c r="AE190" s="28"/>
    </row>
    <row r="191" spans="2:31" ht="15" hidden="1" customHeight="1" outlineLevel="2">
      <c r="B191" s="148">
        <v>39</v>
      </c>
      <c r="C191" s="177" t="str">
        <f>Attribute!C191</f>
        <v>---</v>
      </c>
      <c r="D191" s="86" t="str">
        <f>VLOOKUP(C191,'Talente &amp; Stuff'!DO:EP,2,FALSE)</f>
        <v>--/--/--</v>
      </c>
      <c r="E191" s="167" t="str">
        <f>VLOOKUP(C191,'Talente &amp; Stuff'!DO:EP,3,FALSE)</f>
        <v>-</v>
      </c>
      <c r="F191" s="120">
        <f>VLOOKUP(C191,'Talente &amp; Stuff'!DO:EP,4,FALSE)</f>
        <v>0</v>
      </c>
      <c r="G191" s="117">
        <f>VLOOKUP(C191,'Talente &amp; Stuff'!DO:EP,5,FALSE)</f>
        <v>0</v>
      </c>
      <c r="H191" s="117">
        <f>VLOOKUP(C191,'Talente &amp; Stuff'!DO:EP,6,FALSE)</f>
        <v>0</v>
      </c>
      <c r="I191" s="117">
        <f>VLOOKUP(C191,'Talente &amp; Stuff'!DO:EP,7,FALSE)</f>
        <v>0</v>
      </c>
      <c r="J191" s="117">
        <f>VLOOKUP(C191,'Talente &amp; Stuff'!DO:EP,8,FALSE)</f>
        <v>0</v>
      </c>
      <c r="K191" s="117">
        <f>VLOOKUP(C191,'Talente &amp; Stuff'!DO:EP,9,FALSE)</f>
        <v>0</v>
      </c>
      <c r="L191" s="117">
        <f>VLOOKUP(C191,'Talente &amp; Stuff'!DO:EP,10,FALSE)</f>
        <v>0</v>
      </c>
      <c r="M191" s="121">
        <f>VLOOKUP(C191,'Talente &amp; Stuff'!DO:EP,11,FALSE)</f>
        <v>0</v>
      </c>
      <c r="N191" s="47">
        <f>VLOOKUP(C191,'Talente &amp; Stuff'!DO:EP,12,FALSE)</f>
        <v>0</v>
      </c>
      <c r="O191" s="3">
        <f>VLOOKUP(C191,'Talente &amp; Stuff'!DO:EP,13,FALSE)</f>
        <v>0</v>
      </c>
      <c r="P191" s="174">
        <f>VLOOKUP(C191,'Talente &amp; Stuff'!DO:EP,14,FALSE)</f>
        <v>0</v>
      </c>
      <c r="Q191" s="114">
        <f>VLOOKUP(C191,'Talente &amp; Stuff'!DO:EP,15,FALSE)</f>
        <v>0</v>
      </c>
      <c r="R191" s="117">
        <f>VLOOKUP(C191,'Talente &amp; Stuff'!DO:EP,16,FALSE)</f>
        <v>0</v>
      </c>
      <c r="S191" s="119">
        <f>VLOOKUP(C191,'Talente &amp; Stuff'!DO:EP,17,FALSE)</f>
        <v>0</v>
      </c>
      <c r="T191" s="119">
        <f>VLOOKUP(C191,'Talente &amp; Stuff'!DO:EP,18,FALSE)</f>
        <v>0</v>
      </c>
      <c r="U191" s="89">
        <f>VLOOKUP(C191,'Talente &amp; Stuff'!DO:EP,19,FALSE)</f>
        <v>0</v>
      </c>
      <c r="V191" s="47">
        <f>VLOOKUP(C191,'Talente &amp; Stuff'!DO:EP,20,FALSE)</f>
        <v>0</v>
      </c>
      <c r="W191" s="127">
        <f>VLOOKUP(C191,'Talente &amp; Stuff'!DO:EP,21,FALSE)</f>
        <v>0</v>
      </c>
      <c r="X191" s="127">
        <f>VLOOKUP(C191,'Talente &amp; Stuff'!DO:EP,22,FALSE)</f>
        <v>0</v>
      </c>
      <c r="Y191" s="165">
        <f t="shared" si="18"/>
        <v>0</v>
      </c>
      <c r="Z191" s="44">
        <f t="shared" si="19"/>
        <v>0</v>
      </c>
      <c r="AA191" s="125">
        <f>VLOOKUP(C191,'Talente &amp; Stuff'!DO:EP,25,FALSE)</f>
        <v>0</v>
      </c>
      <c r="AB191" s="160">
        <f>VLOOKUP(C191,'Talente &amp; Stuff'!DO:EP,26,FALSE)</f>
        <v>0</v>
      </c>
      <c r="AC191" s="127">
        <f>VLOOKUP(C191,'Talente &amp; Stuff'!DO:EP,27,FALSE)</f>
        <v>0</v>
      </c>
      <c r="AD191" s="125">
        <f>VLOOKUP(C191,'Talente &amp; Stuff'!DO:EP,28,FALSE)</f>
        <v>0</v>
      </c>
      <c r="AE191" s="28"/>
    </row>
    <row r="192" spans="2:31" ht="15" hidden="1" customHeight="1" outlineLevel="2">
      <c r="B192" s="148">
        <v>40</v>
      </c>
      <c r="C192" s="177" t="str">
        <f>Attribute!C192</f>
        <v>---</v>
      </c>
      <c r="D192" s="125" t="str">
        <f>VLOOKUP(C192,'Talente &amp; Stuff'!DO:EP,2,FALSE)</f>
        <v>--/--/--</v>
      </c>
      <c r="E192" s="127" t="str">
        <f>VLOOKUP(C192,'Talente &amp; Stuff'!DO:EP,3,FALSE)</f>
        <v>-</v>
      </c>
      <c r="F192" s="114">
        <f>VLOOKUP(C192,'Talente &amp; Stuff'!DO:EP,4,FALSE)</f>
        <v>0</v>
      </c>
      <c r="G192" s="113">
        <f>VLOOKUP(C192,'Talente &amp; Stuff'!DO:EP,5,FALSE)</f>
        <v>0</v>
      </c>
      <c r="H192" s="113">
        <f>VLOOKUP(C192,'Talente &amp; Stuff'!DO:EP,6,FALSE)</f>
        <v>0</v>
      </c>
      <c r="I192" s="113">
        <f>VLOOKUP(C192,'Talente &amp; Stuff'!DO:EP,7,FALSE)</f>
        <v>0</v>
      </c>
      <c r="J192" s="113">
        <f>VLOOKUP(C192,'Talente &amp; Stuff'!DO:EP,8,FALSE)</f>
        <v>0</v>
      </c>
      <c r="K192" s="113">
        <f>VLOOKUP(C192,'Talente &amp; Stuff'!DO:EP,9,FALSE)</f>
        <v>0</v>
      </c>
      <c r="L192" s="113">
        <f>VLOOKUP(C192,'Talente &amp; Stuff'!DO:EP,10,FALSE)</f>
        <v>0</v>
      </c>
      <c r="M192" s="119">
        <f>VLOOKUP(C192,'Talente &amp; Stuff'!DO:EP,11,FALSE)</f>
        <v>0</v>
      </c>
      <c r="N192" s="47">
        <f>VLOOKUP(C192,'Talente &amp; Stuff'!DO:EP,12,FALSE)</f>
        <v>0</v>
      </c>
      <c r="O192" s="47">
        <f>VLOOKUP(C192,'Talente &amp; Stuff'!DO:EP,13,FALSE)</f>
        <v>0</v>
      </c>
      <c r="P192" s="119">
        <f>VLOOKUP(C192,'Talente &amp; Stuff'!DO:EP,14,FALSE)</f>
        <v>0</v>
      </c>
      <c r="Q192" s="114">
        <f>VLOOKUP(C192,'Talente &amp; Stuff'!DO:EP,15,FALSE)</f>
        <v>0</v>
      </c>
      <c r="R192" s="113">
        <f>VLOOKUP(C192,'Talente &amp; Stuff'!DO:EP,16,FALSE)</f>
        <v>0</v>
      </c>
      <c r="S192" s="119">
        <f>VLOOKUP(C192,'Talente &amp; Stuff'!DO:EP,17,FALSE)</f>
        <v>0</v>
      </c>
      <c r="T192" s="119">
        <f>VLOOKUP(C192,'Talente &amp; Stuff'!DO:EP,18,FALSE)</f>
        <v>0</v>
      </c>
      <c r="U192" s="89">
        <f>VLOOKUP(C192,'Talente &amp; Stuff'!DO:EP,19,FALSE)</f>
        <v>0</v>
      </c>
      <c r="V192" s="47">
        <f>VLOOKUP(C192,'Talente &amp; Stuff'!DO:EP,20,FALSE)</f>
        <v>0</v>
      </c>
      <c r="W192" s="127">
        <f>VLOOKUP(C192,'Talente &amp; Stuff'!DO:EP,21,FALSE)</f>
        <v>0</v>
      </c>
      <c r="X192" s="127">
        <f>VLOOKUP(C192,'Talente &amp; Stuff'!DO:EP,22,FALSE)</f>
        <v>0</v>
      </c>
      <c r="Y192" s="165">
        <f t="shared" si="18"/>
        <v>0</v>
      </c>
      <c r="Z192" s="44">
        <f t="shared" si="19"/>
        <v>0</v>
      </c>
      <c r="AA192" s="125">
        <f>VLOOKUP(C192,'Talente &amp; Stuff'!DO:EP,25,FALSE)</f>
        <v>0</v>
      </c>
      <c r="AB192" s="160">
        <f>VLOOKUP(C192,'Talente &amp; Stuff'!DO:EP,26,FALSE)</f>
        <v>0</v>
      </c>
      <c r="AC192" s="127">
        <f>VLOOKUP(C192,'Talente &amp; Stuff'!DO:EP,27,FALSE)</f>
        <v>0</v>
      </c>
      <c r="AD192" s="125">
        <f>VLOOKUP(C192,'Talente &amp; Stuff'!DO:EP,28,FALSE)</f>
        <v>0</v>
      </c>
      <c r="AE192" s="28"/>
    </row>
    <row r="193" spans="2:31" ht="15" hidden="1" customHeight="1" outlineLevel="2">
      <c r="B193" s="148">
        <v>41</v>
      </c>
      <c r="C193" s="177" t="str">
        <f>Attribute!C193</f>
        <v>---</v>
      </c>
      <c r="D193" s="86" t="str">
        <f>VLOOKUP(C193,'Talente &amp; Stuff'!DO:EP,2,FALSE)</f>
        <v>--/--/--</v>
      </c>
      <c r="E193" s="167" t="str">
        <f>VLOOKUP(C193,'Talente &amp; Stuff'!DO:EP,3,FALSE)</f>
        <v>-</v>
      </c>
      <c r="F193" s="120">
        <f>VLOOKUP(C193,'Talente &amp; Stuff'!DO:EP,4,FALSE)</f>
        <v>0</v>
      </c>
      <c r="G193" s="117">
        <f>VLOOKUP(C193,'Talente &amp; Stuff'!DO:EP,5,FALSE)</f>
        <v>0</v>
      </c>
      <c r="H193" s="117">
        <f>VLOOKUP(C193,'Talente &amp; Stuff'!DO:EP,6,FALSE)</f>
        <v>0</v>
      </c>
      <c r="I193" s="117">
        <f>VLOOKUP(C193,'Talente &amp; Stuff'!DO:EP,7,FALSE)</f>
        <v>0</v>
      </c>
      <c r="J193" s="117">
        <f>VLOOKUP(C193,'Talente &amp; Stuff'!DO:EP,8,FALSE)</f>
        <v>0</v>
      </c>
      <c r="K193" s="117">
        <f>VLOOKUP(C193,'Talente &amp; Stuff'!DO:EP,9,FALSE)</f>
        <v>0</v>
      </c>
      <c r="L193" s="117">
        <f>VLOOKUP(C193,'Talente &amp; Stuff'!DO:EP,10,FALSE)</f>
        <v>0</v>
      </c>
      <c r="M193" s="121">
        <f>VLOOKUP(C193,'Talente &amp; Stuff'!DO:EP,11,FALSE)</f>
        <v>0</v>
      </c>
      <c r="N193" s="47">
        <f>VLOOKUP(C193,'Talente &amp; Stuff'!DO:EP,12,FALSE)</f>
        <v>0</v>
      </c>
      <c r="O193" s="3">
        <f>VLOOKUP(C193,'Talente &amp; Stuff'!DO:EP,13,FALSE)</f>
        <v>0</v>
      </c>
      <c r="P193" s="174">
        <f>VLOOKUP(C193,'Talente &amp; Stuff'!DO:EP,14,FALSE)</f>
        <v>0</v>
      </c>
      <c r="Q193" s="114">
        <f>VLOOKUP(C193,'Talente &amp; Stuff'!DO:EP,15,FALSE)</f>
        <v>0</v>
      </c>
      <c r="R193" s="117">
        <f>VLOOKUP(C193,'Talente &amp; Stuff'!DO:EP,16,FALSE)</f>
        <v>0</v>
      </c>
      <c r="S193" s="119">
        <f>VLOOKUP(C193,'Talente &amp; Stuff'!DO:EP,17,FALSE)</f>
        <v>0</v>
      </c>
      <c r="T193" s="119">
        <f>VLOOKUP(C193,'Talente &amp; Stuff'!DO:EP,18,FALSE)</f>
        <v>0</v>
      </c>
      <c r="U193" s="89">
        <f>VLOOKUP(C193,'Talente &amp; Stuff'!DO:EP,19,FALSE)</f>
        <v>0</v>
      </c>
      <c r="V193" s="47">
        <f>VLOOKUP(C193,'Talente &amp; Stuff'!DO:EP,20,FALSE)</f>
        <v>0</v>
      </c>
      <c r="W193" s="127">
        <f>VLOOKUP(C193,'Talente &amp; Stuff'!DO:EP,21,FALSE)</f>
        <v>0</v>
      </c>
      <c r="X193" s="127">
        <f>VLOOKUP(C193,'Talente &amp; Stuff'!DO:EP,22,FALSE)</f>
        <v>0</v>
      </c>
      <c r="Y193" s="165">
        <f t="shared" si="18"/>
        <v>0</v>
      </c>
      <c r="Z193" s="44">
        <f t="shared" si="19"/>
        <v>0</v>
      </c>
      <c r="AA193" s="125">
        <f>VLOOKUP(C193,'Talente &amp; Stuff'!DO:EP,25,FALSE)</f>
        <v>0</v>
      </c>
      <c r="AB193" s="160">
        <f>VLOOKUP(C193,'Talente &amp; Stuff'!DO:EP,26,FALSE)</f>
        <v>0</v>
      </c>
      <c r="AC193" s="127">
        <f>VLOOKUP(C193,'Talente &amp; Stuff'!DO:EP,27,FALSE)</f>
        <v>0</v>
      </c>
      <c r="AD193" s="125">
        <f>VLOOKUP(C193,'Talente &amp; Stuff'!DO:EP,28,FALSE)</f>
        <v>0</v>
      </c>
      <c r="AE193" s="28"/>
    </row>
    <row r="194" spans="2:31" ht="15" hidden="1" customHeight="1" outlineLevel="2">
      <c r="B194" s="148">
        <v>42</v>
      </c>
      <c r="C194" s="177" t="str">
        <f>Attribute!C194</f>
        <v>---</v>
      </c>
      <c r="D194" s="86" t="str">
        <f>VLOOKUP(C194,'Talente &amp; Stuff'!DO:EP,2,FALSE)</f>
        <v>--/--/--</v>
      </c>
      <c r="E194" s="167" t="str">
        <f>VLOOKUP(C194,'Talente &amp; Stuff'!DO:EP,3,FALSE)</f>
        <v>-</v>
      </c>
      <c r="F194" s="120">
        <f>VLOOKUP(C194,'Talente &amp; Stuff'!DO:EP,4,FALSE)</f>
        <v>0</v>
      </c>
      <c r="G194" s="117">
        <f>VLOOKUP(C194,'Talente &amp; Stuff'!DO:EP,5,FALSE)</f>
        <v>0</v>
      </c>
      <c r="H194" s="117">
        <f>VLOOKUP(C194,'Talente &amp; Stuff'!DO:EP,6,FALSE)</f>
        <v>0</v>
      </c>
      <c r="I194" s="117">
        <f>VLOOKUP(C194,'Talente &amp; Stuff'!DO:EP,7,FALSE)</f>
        <v>0</v>
      </c>
      <c r="J194" s="117">
        <f>VLOOKUP(C194,'Talente &amp; Stuff'!DO:EP,8,FALSE)</f>
        <v>0</v>
      </c>
      <c r="K194" s="117">
        <f>VLOOKUP(C194,'Talente &amp; Stuff'!DO:EP,9,FALSE)</f>
        <v>0</v>
      </c>
      <c r="L194" s="117">
        <f>VLOOKUP(C194,'Talente &amp; Stuff'!DO:EP,10,FALSE)</f>
        <v>0</v>
      </c>
      <c r="M194" s="121">
        <f>VLOOKUP(C194,'Talente &amp; Stuff'!DO:EP,11,FALSE)</f>
        <v>0</v>
      </c>
      <c r="N194" s="47">
        <f>VLOOKUP(C194,'Talente &amp; Stuff'!DO:EP,12,FALSE)</f>
        <v>0</v>
      </c>
      <c r="O194" s="3">
        <f>VLOOKUP(C194,'Talente &amp; Stuff'!DO:EP,13,FALSE)</f>
        <v>0</v>
      </c>
      <c r="P194" s="174">
        <f>VLOOKUP(C194,'Talente &amp; Stuff'!DO:EP,14,FALSE)</f>
        <v>0</v>
      </c>
      <c r="Q194" s="114">
        <f>VLOOKUP(C194,'Talente &amp; Stuff'!DO:EP,15,FALSE)</f>
        <v>0</v>
      </c>
      <c r="R194" s="117">
        <f>VLOOKUP(C194,'Talente &amp; Stuff'!DO:EP,16,FALSE)</f>
        <v>0</v>
      </c>
      <c r="S194" s="119">
        <f>VLOOKUP(C194,'Talente &amp; Stuff'!DO:EP,17,FALSE)</f>
        <v>0</v>
      </c>
      <c r="T194" s="119">
        <f>VLOOKUP(C194,'Talente &amp; Stuff'!DO:EP,18,FALSE)</f>
        <v>0</v>
      </c>
      <c r="U194" s="89">
        <f>VLOOKUP(C194,'Talente &amp; Stuff'!DO:EP,19,FALSE)</f>
        <v>0</v>
      </c>
      <c r="V194" s="47">
        <f>VLOOKUP(C194,'Talente &amp; Stuff'!DO:EP,20,FALSE)</f>
        <v>0</v>
      </c>
      <c r="W194" s="127">
        <f>VLOOKUP(C194,'Talente &amp; Stuff'!DO:EP,21,FALSE)</f>
        <v>0</v>
      </c>
      <c r="X194" s="127">
        <f>VLOOKUP(C194,'Talente &amp; Stuff'!DO:EP,22,FALSE)</f>
        <v>0</v>
      </c>
      <c r="Y194" s="165">
        <f t="shared" si="18"/>
        <v>0</v>
      </c>
      <c r="Z194" s="44">
        <f t="shared" si="19"/>
        <v>0</v>
      </c>
      <c r="AA194" s="125">
        <f>VLOOKUP(C194,'Talente &amp; Stuff'!DO:EP,25,FALSE)</f>
        <v>0</v>
      </c>
      <c r="AB194" s="160">
        <f>VLOOKUP(C194,'Talente &amp; Stuff'!DO:EP,26,FALSE)</f>
        <v>0</v>
      </c>
      <c r="AC194" s="127">
        <f>VLOOKUP(C194,'Talente &amp; Stuff'!DO:EP,27,FALSE)</f>
        <v>0</v>
      </c>
      <c r="AD194" s="125">
        <f>VLOOKUP(C194,'Talente &amp; Stuff'!DO:EP,28,FALSE)</f>
        <v>0</v>
      </c>
      <c r="AE194" s="28"/>
    </row>
    <row r="195" spans="2:31" ht="15" hidden="1" customHeight="1" outlineLevel="2">
      <c r="B195" s="148">
        <v>43</v>
      </c>
      <c r="C195" s="177" t="str">
        <f>Attribute!C195</f>
        <v>---</v>
      </c>
      <c r="D195" s="125" t="str">
        <f>VLOOKUP(C195,'Talente &amp; Stuff'!DO:EP,2,FALSE)</f>
        <v>--/--/--</v>
      </c>
      <c r="E195" s="127" t="str">
        <f>VLOOKUP(C195,'Talente &amp; Stuff'!DO:EP,3,FALSE)</f>
        <v>-</v>
      </c>
      <c r="F195" s="114">
        <f>VLOOKUP(C195,'Talente &amp; Stuff'!DO:EP,4,FALSE)</f>
        <v>0</v>
      </c>
      <c r="G195" s="113">
        <f>VLOOKUP(C195,'Talente &amp; Stuff'!DO:EP,5,FALSE)</f>
        <v>0</v>
      </c>
      <c r="H195" s="113">
        <f>VLOOKUP(C195,'Talente &amp; Stuff'!DO:EP,6,FALSE)</f>
        <v>0</v>
      </c>
      <c r="I195" s="113">
        <f>VLOOKUP(C195,'Talente &amp; Stuff'!DO:EP,7,FALSE)</f>
        <v>0</v>
      </c>
      <c r="J195" s="113">
        <f>VLOOKUP(C195,'Talente &amp; Stuff'!DO:EP,8,FALSE)</f>
        <v>0</v>
      </c>
      <c r="K195" s="113">
        <f>VLOOKUP(C195,'Talente &amp; Stuff'!DO:EP,9,FALSE)</f>
        <v>0</v>
      </c>
      <c r="L195" s="113">
        <f>VLOOKUP(C195,'Talente &amp; Stuff'!DO:EP,10,FALSE)</f>
        <v>0</v>
      </c>
      <c r="M195" s="119">
        <f>VLOOKUP(C195,'Talente &amp; Stuff'!DO:EP,11,FALSE)</f>
        <v>0</v>
      </c>
      <c r="N195" s="47">
        <f>VLOOKUP(C195,'Talente &amp; Stuff'!DO:EP,12,FALSE)</f>
        <v>0</v>
      </c>
      <c r="O195" s="47">
        <f>VLOOKUP(C195,'Talente &amp; Stuff'!DO:EP,13,FALSE)</f>
        <v>0</v>
      </c>
      <c r="P195" s="119">
        <f>VLOOKUP(C195,'Talente &amp; Stuff'!DO:EP,14,FALSE)</f>
        <v>0</v>
      </c>
      <c r="Q195" s="114">
        <f>VLOOKUP(C195,'Talente &amp; Stuff'!DO:EP,15,FALSE)</f>
        <v>0</v>
      </c>
      <c r="R195" s="113">
        <f>VLOOKUP(C195,'Talente &amp; Stuff'!DO:EP,16,FALSE)</f>
        <v>0</v>
      </c>
      <c r="S195" s="119">
        <f>VLOOKUP(C195,'Talente &amp; Stuff'!DO:EP,17,FALSE)</f>
        <v>0</v>
      </c>
      <c r="T195" s="119">
        <f>VLOOKUP(C195,'Talente &amp; Stuff'!DO:EP,18,FALSE)</f>
        <v>0</v>
      </c>
      <c r="U195" s="89">
        <f>VLOOKUP(C195,'Talente &amp; Stuff'!DO:EP,19,FALSE)</f>
        <v>0</v>
      </c>
      <c r="V195" s="47">
        <f>VLOOKUP(C195,'Talente &amp; Stuff'!DO:EP,20,FALSE)</f>
        <v>0</v>
      </c>
      <c r="W195" s="127">
        <f>VLOOKUP(C195,'Talente &amp; Stuff'!DO:EP,21,FALSE)</f>
        <v>0</v>
      </c>
      <c r="X195" s="127">
        <f>VLOOKUP(C195,'Talente &amp; Stuff'!DO:EP,22,FALSE)</f>
        <v>0</v>
      </c>
      <c r="Y195" s="165">
        <f t="shared" si="18"/>
        <v>0</v>
      </c>
      <c r="Z195" s="44">
        <f t="shared" si="19"/>
        <v>0</v>
      </c>
      <c r="AA195" s="125">
        <f>VLOOKUP(C195,'Talente &amp; Stuff'!DO:EP,25,FALSE)</f>
        <v>0</v>
      </c>
      <c r="AB195" s="160">
        <f>VLOOKUP(C195,'Talente &amp; Stuff'!DO:EP,26,FALSE)</f>
        <v>0</v>
      </c>
      <c r="AC195" s="127">
        <f>VLOOKUP(C195,'Talente &amp; Stuff'!DO:EP,27,FALSE)</f>
        <v>0</v>
      </c>
      <c r="AD195" s="125">
        <f>VLOOKUP(C195,'Talente &amp; Stuff'!DO:EP,28,FALSE)</f>
        <v>0</v>
      </c>
      <c r="AE195" s="28"/>
    </row>
    <row r="196" spans="2:31" ht="15" hidden="1" customHeight="1" outlineLevel="2">
      <c r="B196" s="148">
        <v>44</v>
      </c>
      <c r="C196" s="177" t="str">
        <f>Attribute!C196</f>
        <v>---</v>
      </c>
      <c r="D196" s="86" t="str">
        <f>VLOOKUP(C196,'Talente &amp; Stuff'!DO:EP,2,FALSE)</f>
        <v>--/--/--</v>
      </c>
      <c r="E196" s="167" t="str">
        <f>VLOOKUP(C196,'Talente &amp; Stuff'!DO:EP,3,FALSE)</f>
        <v>-</v>
      </c>
      <c r="F196" s="120">
        <f>VLOOKUP(C196,'Talente &amp; Stuff'!DO:EP,4,FALSE)</f>
        <v>0</v>
      </c>
      <c r="G196" s="117">
        <f>VLOOKUP(C196,'Talente &amp; Stuff'!DO:EP,5,FALSE)</f>
        <v>0</v>
      </c>
      <c r="H196" s="117">
        <f>VLOOKUP(C196,'Talente &amp; Stuff'!DO:EP,6,FALSE)</f>
        <v>0</v>
      </c>
      <c r="I196" s="117">
        <f>VLOOKUP(C196,'Talente &amp; Stuff'!DO:EP,7,FALSE)</f>
        <v>0</v>
      </c>
      <c r="J196" s="117">
        <f>VLOOKUP(C196,'Talente &amp; Stuff'!DO:EP,8,FALSE)</f>
        <v>0</v>
      </c>
      <c r="K196" s="117">
        <f>VLOOKUP(C196,'Talente &amp; Stuff'!DO:EP,9,FALSE)</f>
        <v>0</v>
      </c>
      <c r="L196" s="117">
        <f>VLOOKUP(C196,'Talente &amp; Stuff'!DO:EP,10,FALSE)</f>
        <v>0</v>
      </c>
      <c r="M196" s="121">
        <f>VLOOKUP(C196,'Talente &amp; Stuff'!DO:EP,11,FALSE)</f>
        <v>0</v>
      </c>
      <c r="N196" s="47">
        <f>VLOOKUP(C196,'Talente &amp; Stuff'!DO:EP,12,FALSE)</f>
        <v>0</v>
      </c>
      <c r="O196" s="3">
        <f>VLOOKUP(C196,'Talente &amp; Stuff'!DO:EP,13,FALSE)</f>
        <v>0</v>
      </c>
      <c r="P196" s="174">
        <f>VLOOKUP(C196,'Talente &amp; Stuff'!DO:EP,14,FALSE)</f>
        <v>0</v>
      </c>
      <c r="Q196" s="114">
        <f>VLOOKUP(C196,'Talente &amp; Stuff'!DO:EP,15,FALSE)</f>
        <v>0</v>
      </c>
      <c r="R196" s="117">
        <f>VLOOKUP(C196,'Talente &amp; Stuff'!DO:EP,16,FALSE)</f>
        <v>0</v>
      </c>
      <c r="S196" s="119">
        <f>VLOOKUP(C196,'Talente &amp; Stuff'!DO:EP,17,FALSE)</f>
        <v>0</v>
      </c>
      <c r="T196" s="119">
        <f>VLOOKUP(C196,'Talente &amp; Stuff'!DO:EP,18,FALSE)</f>
        <v>0</v>
      </c>
      <c r="U196" s="89">
        <f>VLOOKUP(C196,'Talente &amp; Stuff'!DO:EP,19,FALSE)</f>
        <v>0</v>
      </c>
      <c r="V196" s="47">
        <f>VLOOKUP(C196,'Talente &amp; Stuff'!DO:EP,20,FALSE)</f>
        <v>0</v>
      </c>
      <c r="W196" s="127">
        <f>VLOOKUP(C196,'Talente &amp; Stuff'!DO:EP,21,FALSE)</f>
        <v>0</v>
      </c>
      <c r="X196" s="127">
        <f>VLOOKUP(C196,'Talente &amp; Stuff'!DO:EP,22,FALSE)</f>
        <v>0</v>
      </c>
      <c r="Y196" s="165">
        <f t="shared" si="18"/>
        <v>0</v>
      </c>
      <c r="Z196" s="44">
        <f t="shared" si="19"/>
        <v>0</v>
      </c>
      <c r="AA196" s="125">
        <f>VLOOKUP(C196,'Talente &amp; Stuff'!DO:EP,25,FALSE)</f>
        <v>0</v>
      </c>
      <c r="AB196" s="160">
        <f>VLOOKUP(C196,'Talente &amp; Stuff'!DO:EP,26,FALSE)</f>
        <v>0</v>
      </c>
      <c r="AC196" s="127">
        <f>VLOOKUP(C196,'Talente &amp; Stuff'!DO:EP,27,FALSE)</f>
        <v>0</v>
      </c>
      <c r="AD196" s="125">
        <f>VLOOKUP(C196,'Talente &amp; Stuff'!DO:EP,28,FALSE)</f>
        <v>0</v>
      </c>
      <c r="AE196" s="28"/>
    </row>
    <row r="197" spans="2:31" ht="15" hidden="1" customHeight="1" outlineLevel="2">
      <c r="B197" s="148">
        <v>45</v>
      </c>
      <c r="C197" s="177" t="str">
        <f>Attribute!C197</f>
        <v>---</v>
      </c>
      <c r="D197" s="86" t="str">
        <f>VLOOKUP(C197,'Talente &amp; Stuff'!DO:EP,2,FALSE)</f>
        <v>--/--/--</v>
      </c>
      <c r="E197" s="167" t="str">
        <f>VLOOKUP(C197,'Talente &amp; Stuff'!DO:EP,3,FALSE)</f>
        <v>-</v>
      </c>
      <c r="F197" s="120">
        <f>VLOOKUP(C197,'Talente &amp; Stuff'!DO:EP,4,FALSE)</f>
        <v>0</v>
      </c>
      <c r="G197" s="117">
        <f>VLOOKUP(C197,'Talente &amp; Stuff'!DO:EP,5,FALSE)</f>
        <v>0</v>
      </c>
      <c r="H197" s="117">
        <f>VLOOKUP(C197,'Talente &amp; Stuff'!DO:EP,6,FALSE)</f>
        <v>0</v>
      </c>
      <c r="I197" s="117">
        <f>VLOOKUP(C197,'Talente &amp; Stuff'!DO:EP,7,FALSE)</f>
        <v>0</v>
      </c>
      <c r="J197" s="117">
        <f>VLOOKUP(C197,'Talente &amp; Stuff'!DO:EP,8,FALSE)</f>
        <v>0</v>
      </c>
      <c r="K197" s="117">
        <f>VLOOKUP(C197,'Talente &amp; Stuff'!DO:EP,9,FALSE)</f>
        <v>0</v>
      </c>
      <c r="L197" s="117">
        <f>VLOOKUP(C197,'Talente &amp; Stuff'!DO:EP,10,FALSE)</f>
        <v>0</v>
      </c>
      <c r="M197" s="121">
        <f>VLOOKUP(C197,'Talente &amp; Stuff'!DO:EP,11,FALSE)</f>
        <v>0</v>
      </c>
      <c r="N197" s="47">
        <f>VLOOKUP(C197,'Talente &amp; Stuff'!DO:EP,12,FALSE)</f>
        <v>0</v>
      </c>
      <c r="O197" s="3">
        <f>VLOOKUP(C197,'Talente &amp; Stuff'!DO:EP,13,FALSE)</f>
        <v>0</v>
      </c>
      <c r="P197" s="174">
        <f>VLOOKUP(C197,'Talente &amp; Stuff'!DO:EP,14,FALSE)</f>
        <v>0</v>
      </c>
      <c r="Q197" s="114">
        <f>VLOOKUP(C197,'Talente &amp; Stuff'!DO:EP,15,FALSE)</f>
        <v>0</v>
      </c>
      <c r="R197" s="117">
        <f>VLOOKUP(C197,'Talente &amp; Stuff'!DO:EP,16,FALSE)</f>
        <v>0</v>
      </c>
      <c r="S197" s="119">
        <f>VLOOKUP(C197,'Talente &amp; Stuff'!DO:EP,17,FALSE)</f>
        <v>0</v>
      </c>
      <c r="T197" s="119">
        <f>VLOOKUP(C197,'Talente &amp; Stuff'!DO:EP,18,FALSE)</f>
        <v>0</v>
      </c>
      <c r="U197" s="89">
        <f>VLOOKUP(C197,'Talente &amp; Stuff'!DO:EP,19,FALSE)</f>
        <v>0</v>
      </c>
      <c r="V197" s="47">
        <f>VLOOKUP(C197,'Talente &amp; Stuff'!DO:EP,20,FALSE)</f>
        <v>0</v>
      </c>
      <c r="W197" s="127">
        <f>VLOOKUP(C197,'Talente &amp; Stuff'!DO:EP,21,FALSE)</f>
        <v>0</v>
      </c>
      <c r="X197" s="127">
        <f>VLOOKUP(C197,'Talente &amp; Stuff'!DO:EP,22,FALSE)</f>
        <v>0</v>
      </c>
      <c r="Y197" s="165">
        <f t="shared" si="18"/>
        <v>0</v>
      </c>
      <c r="Z197" s="44">
        <f t="shared" si="19"/>
        <v>0</v>
      </c>
      <c r="AA197" s="125">
        <f>VLOOKUP(C197,'Talente &amp; Stuff'!DO:EP,25,FALSE)</f>
        <v>0</v>
      </c>
      <c r="AB197" s="160">
        <f>VLOOKUP(C197,'Talente &amp; Stuff'!DO:EP,26,FALSE)</f>
        <v>0</v>
      </c>
      <c r="AC197" s="127">
        <f>VLOOKUP(C197,'Talente &amp; Stuff'!DO:EP,27,FALSE)</f>
        <v>0</v>
      </c>
      <c r="AD197" s="125">
        <f>VLOOKUP(C197,'Talente &amp; Stuff'!DO:EP,28,FALSE)</f>
        <v>0</v>
      </c>
      <c r="AE197" s="28"/>
    </row>
    <row r="198" spans="2:31" ht="15" hidden="1" customHeight="1" outlineLevel="2">
      <c r="B198" s="148">
        <v>46</v>
      </c>
      <c r="C198" s="177" t="str">
        <f>Attribute!C198</f>
        <v>---</v>
      </c>
      <c r="D198" s="86" t="str">
        <f>VLOOKUP(C198,'Talente &amp; Stuff'!DO:EP,2,FALSE)</f>
        <v>--/--/--</v>
      </c>
      <c r="E198" s="167" t="str">
        <f>VLOOKUP(C198,'Talente &amp; Stuff'!DO:EP,3,FALSE)</f>
        <v>-</v>
      </c>
      <c r="F198" s="120">
        <f>VLOOKUP(C198,'Talente &amp; Stuff'!DO:EP,4,FALSE)</f>
        <v>0</v>
      </c>
      <c r="G198" s="117">
        <f>VLOOKUP(C198,'Talente &amp; Stuff'!DO:EP,5,FALSE)</f>
        <v>0</v>
      </c>
      <c r="H198" s="117">
        <f>VLOOKUP(C198,'Talente &amp; Stuff'!DO:EP,6,FALSE)</f>
        <v>0</v>
      </c>
      <c r="I198" s="117">
        <f>VLOOKUP(C198,'Talente &amp; Stuff'!DO:EP,7,FALSE)</f>
        <v>0</v>
      </c>
      <c r="J198" s="117">
        <f>VLOOKUP(C198,'Talente &amp; Stuff'!DO:EP,8,FALSE)</f>
        <v>0</v>
      </c>
      <c r="K198" s="117">
        <f>VLOOKUP(C198,'Talente &amp; Stuff'!DO:EP,9,FALSE)</f>
        <v>0</v>
      </c>
      <c r="L198" s="117">
        <f>VLOOKUP(C198,'Talente &amp; Stuff'!DO:EP,10,FALSE)</f>
        <v>0</v>
      </c>
      <c r="M198" s="121">
        <f>VLOOKUP(C198,'Talente &amp; Stuff'!DO:EP,11,FALSE)</f>
        <v>0</v>
      </c>
      <c r="N198" s="47">
        <f>VLOOKUP(C198,'Talente &amp; Stuff'!DO:EP,12,FALSE)</f>
        <v>0</v>
      </c>
      <c r="O198" s="3">
        <f>VLOOKUP(C198,'Talente &amp; Stuff'!DO:EP,13,FALSE)</f>
        <v>0</v>
      </c>
      <c r="P198" s="174">
        <f>VLOOKUP(C198,'Talente &amp; Stuff'!DO:EP,14,FALSE)</f>
        <v>0</v>
      </c>
      <c r="Q198" s="114">
        <f>VLOOKUP(C198,'Talente &amp; Stuff'!DO:EP,15,FALSE)</f>
        <v>0</v>
      </c>
      <c r="R198" s="117">
        <f>VLOOKUP(C198,'Talente &amp; Stuff'!DO:EP,16,FALSE)</f>
        <v>0</v>
      </c>
      <c r="S198" s="119">
        <f>VLOOKUP(C198,'Talente &amp; Stuff'!DO:EP,17,FALSE)</f>
        <v>0</v>
      </c>
      <c r="T198" s="119">
        <f>VLOOKUP(C198,'Talente &amp; Stuff'!DO:EP,18,FALSE)</f>
        <v>0</v>
      </c>
      <c r="U198" s="89">
        <f>VLOOKUP(C198,'Talente &amp; Stuff'!DO:EP,19,FALSE)</f>
        <v>0</v>
      </c>
      <c r="V198" s="47">
        <f>VLOOKUP(C198,'Talente &amp; Stuff'!DO:EP,20,FALSE)</f>
        <v>0</v>
      </c>
      <c r="W198" s="127">
        <f>VLOOKUP(C198,'Talente &amp; Stuff'!DO:EP,21,FALSE)</f>
        <v>0</v>
      </c>
      <c r="X198" s="127">
        <f>VLOOKUP(C198,'Talente &amp; Stuff'!DO:EP,22,FALSE)</f>
        <v>0</v>
      </c>
      <c r="Y198" s="165">
        <f t="shared" si="18"/>
        <v>0</v>
      </c>
      <c r="Z198" s="44">
        <f t="shared" si="19"/>
        <v>0</v>
      </c>
      <c r="AA198" s="125">
        <f>VLOOKUP(C198,'Talente &amp; Stuff'!DO:EP,25,FALSE)</f>
        <v>0</v>
      </c>
      <c r="AB198" s="160">
        <f>VLOOKUP(C198,'Talente &amp; Stuff'!DO:EP,26,FALSE)</f>
        <v>0</v>
      </c>
      <c r="AC198" s="127">
        <f>VLOOKUP(C198,'Talente &amp; Stuff'!DO:EP,27,FALSE)</f>
        <v>0</v>
      </c>
      <c r="AD198" s="125">
        <f>VLOOKUP(C198,'Talente &amp; Stuff'!DO:EP,28,FALSE)</f>
        <v>0</v>
      </c>
      <c r="AE198" s="28"/>
    </row>
    <row r="199" spans="2:31" ht="15" hidden="1" customHeight="1" outlineLevel="2">
      <c r="B199" s="148">
        <v>47</v>
      </c>
      <c r="C199" s="177" t="str">
        <f>Attribute!C199</f>
        <v>---</v>
      </c>
      <c r="D199" s="125" t="str">
        <f>VLOOKUP(C199,'Talente &amp; Stuff'!DO:EP,2,FALSE)</f>
        <v>--/--/--</v>
      </c>
      <c r="E199" s="127" t="str">
        <f>VLOOKUP(C199,'Talente &amp; Stuff'!DO:EP,3,FALSE)</f>
        <v>-</v>
      </c>
      <c r="F199" s="114">
        <f>VLOOKUP(C199,'Talente &amp; Stuff'!DO:EP,4,FALSE)</f>
        <v>0</v>
      </c>
      <c r="G199" s="113">
        <f>VLOOKUP(C199,'Talente &amp; Stuff'!DO:EP,5,FALSE)</f>
        <v>0</v>
      </c>
      <c r="H199" s="113">
        <f>VLOOKUP(C199,'Talente &amp; Stuff'!DO:EP,6,FALSE)</f>
        <v>0</v>
      </c>
      <c r="I199" s="113">
        <f>VLOOKUP(C199,'Talente &amp; Stuff'!DO:EP,7,FALSE)</f>
        <v>0</v>
      </c>
      <c r="J199" s="113">
        <f>VLOOKUP(C199,'Talente &amp; Stuff'!DO:EP,8,FALSE)</f>
        <v>0</v>
      </c>
      <c r="K199" s="113">
        <f>VLOOKUP(C199,'Talente &amp; Stuff'!DO:EP,9,FALSE)</f>
        <v>0</v>
      </c>
      <c r="L199" s="113">
        <f>VLOOKUP(C199,'Talente &amp; Stuff'!DO:EP,10,FALSE)</f>
        <v>0</v>
      </c>
      <c r="M199" s="119">
        <f>VLOOKUP(C199,'Talente &amp; Stuff'!DO:EP,11,FALSE)</f>
        <v>0</v>
      </c>
      <c r="N199" s="47">
        <f>VLOOKUP(C199,'Talente &amp; Stuff'!DO:EP,12,FALSE)</f>
        <v>0</v>
      </c>
      <c r="O199" s="47">
        <f>VLOOKUP(C199,'Talente &amp; Stuff'!DO:EP,13,FALSE)</f>
        <v>0</v>
      </c>
      <c r="P199" s="119">
        <f>VLOOKUP(C199,'Talente &amp; Stuff'!DO:EP,14,FALSE)</f>
        <v>0</v>
      </c>
      <c r="Q199" s="114">
        <f>VLOOKUP(C199,'Talente &amp; Stuff'!DO:EP,15,FALSE)</f>
        <v>0</v>
      </c>
      <c r="R199" s="113">
        <f>VLOOKUP(C199,'Talente &amp; Stuff'!DO:EP,16,FALSE)</f>
        <v>0</v>
      </c>
      <c r="S199" s="119">
        <f>VLOOKUP(C199,'Talente &amp; Stuff'!DO:EP,17,FALSE)</f>
        <v>0</v>
      </c>
      <c r="T199" s="119">
        <f>VLOOKUP(C199,'Talente &amp; Stuff'!DO:EP,18,FALSE)</f>
        <v>0</v>
      </c>
      <c r="U199" s="89">
        <f>VLOOKUP(C199,'Talente &amp; Stuff'!DO:EP,19,FALSE)</f>
        <v>0</v>
      </c>
      <c r="V199" s="47">
        <f>VLOOKUP(C199,'Talente &amp; Stuff'!DO:EP,20,FALSE)</f>
        <v>0</v>
      </c>
      <c r="W199" s="127">
        <f>VLOOKUP(C199,'Talente &amp; Stuff'!DO:EP,21,FALSE)</f>
        <v>0</v>
      </c>
      <c r="X199" s="127">
        <f>VLOOKUP(C199,'Talente &amp; Stuff'!DO:EP,22,FALSE)</f>
        <v>0</v>
      </c>
      <c r="Y199" s="165">
        <f t="shared" si="18"/>
        <v>0</v>
      </c>
      <c r="Z199" s="44">
        <f t="shared" si="19"/>
        <v>0</v>
      </c>
      <c r="AA199" s="125">
        <f>VLOOKUP(C199,'Talente &amp; Stuff'!DO:EP,25,FALSE)</f>
        <v>0</v>
      </c>
      <c r="AB199" s="160">
        <f>VLOOKUP(C199,'Talente &amp; Stuff'!DO:EP,26,FALSE)</f>
        <v>0</v>
      </c>
      <c r="AC199" s="127">
        <f>VLOOKUP(C199,'Talente &amp; Stuff'!DO:EP,27,FALSE)</f>
        <v>0</v>
      </c>
      <c r="AD199" s="125">
        <f>VLOOKUP(C199,'Talente &amp; Stuff'!DO:EP,28,FALSE)</f>
        <v>0</v>
      </c>
      <c r="AE199" s="28"/>
    </row>
    <row r="200" spans="2:31" ht="15" hidden="1" customHeight="1" outlineLevel="2">
      <c r="B200" s="148">
        <v>48</v>
      </c>
      <c r="C200" s="177" t="str">
        <f>Attribute!C200</f>
        <v>---</v>
      </c>
      <c r="D200" s="86" t="str">
        <f>VLOOKUP(C200,'Talente &amp; Stuff'!DO:EP,2,FALSE)</f>
        <v>--/--/--</v>
      </c>
      <c r="E200" s="167" t="str">
        <f>VLOOKUP(C200,'Talente &amp; Stuff'!DO:EP,3,FALSE)</f>
        <v>-</v>
      </c>
      <c r="F200" s="120">
        <f>VLOOKUP(C200,'Talente &amp; Stuff'!DO:EP,4,FALSE)</f>
        <v>0</v>
      </c>
      <c r="G200" s="117">
        <f>VLOOKUP(C200,'Talente &amp; Stuff'!DO:EP,5,FALSE)</f>
        <v>0</v>
      </c>
      <c r="H200" s="117">
        <f>VLOOKUP(C200,'Talente &amp; Stuff'!DO:EP,6,FALSE)</f>
        <v>0</v>
      </c>
      <c r="I200" s="117">
        <f>VLOOKUP(C200,'Talente &amp; Stuff'!DO:EP,7,FALSE)</f>
        <v>0</v>
      </c>
      <c r="J200" s="117">
        <f>VLOOKUP(C200,'Talente &amp; Stuff'!DO:EP,8,FALSE)</f>
        <v>0</v>
      </c>
      <c r="K200" s="117">
        <f>VLOOKUP(C200,'Talente &amp; Stuff'!DO:EP,9,FALSE)</f>
        <v>0</v>
      </c>
      <c r="L200" s="117">
        <f>VLOOKUP(C200,'Talente &amp; Stuff'!DO:EP,10,FALSE)</f>
        <v>0</v>
      </c>
      <c r="M200" s="121">
        <f>VLOOKUP(C200,'Talente &amp; Stuff'!DO:EP,11,FALSE)</f>
        <v>0</v>
      </c>
      <c r="N200" s="47">
        <f>VLOOKUP(C200,'Talente &amp; Stuff'!DO:EP,12,FALSE)</f>
        <v>0</v>
      </c>
      <c r="O200" s="3">
        <f>VLOOKUP(C200,'Talente &amp; Stuff'!DO:EP,13,FALSE)</f>
        <v>0</v>
      </c>
      <c r="P200" s="174">
        <f>VLOOKUP(C200,'Talente &amp; Stuff'!DO:EP,14,FALSE)</f>
        <v>0</v>
      </c>
      <c r="Q200" s="114">
        <f>VLOOKUP(C200,'Talente &amp; Stuff'!DO:EP,15,FALSE)</f>
        <v>0</v>
      </c>
      <c r="R200" s="117">
        <f>VLOOKUP(C200,'Talente &amp; Stuff'!DO:EP,16,FALSE)</f>
        <v>0</v>
      </c>
      <c r="S200" s="119">
        <f>VLOOKUP(C200,'Talente &amp; Stuff'!DO:EP,17,FALSE)</f>
        <v>0</v>
      </c>
      <c r="T200" s="119">
        <f>VLOOKUP(C200,'Talente &amp; Stuff'!DO:EP,18,FALSE)</f>
        <v>0</v>
      </c>
      <c r="U200" s="89">
        <f>VLOOKUP(C200,'Talente &amp; Stuff'!DO:EP,19,FALSE)</f>
        <v>0</v>
      </c>
      <c r="V200" s="47">
        <f>VLOOKUP(C200,'Talente &amp; Stuff'!DO:EP,20,FALSE)</f>
        <v>0</v>
      </c>
      <c r="W200" s="127">
        <f>VLOOKUP(C200,'Talente &amp; Stuff'!DO:EP,21,FALSE)</f>
        <v>0</v>
      </c>
      <c r="X200" s="127">
        <f>VLOOKUP(C200,'Talente &amp; Stuff'!DO:EP,22,FALSE)</f>
        <v>0</v>
      </c>
      <c r="Y200" s="165">
        <f t="shared" si="18"/>
        <v>0</v>
      </c>
      <c r="Z200" s="44">
        <f t="shared" si="19"/>
        <v>0</v>
      </c>
      <c r="AA200" s="125">
        <f>VLOOKUP(C200,'Talente &amp; Stuff'!DO:EP,25,FALSE)</f>
        <v>0</v>
      </c>
      <c r="AB200" s="160">
        <f>VLOOKUP(C200,'Talente &amp; Stuff'!DO:EP,26,FALSE)</f>
        <v>0</v>
      </c>
      <c r="AC200" s="127">
        <f>VLOOKUP(C200,'Talente &amp; Stuff'!DO:EP,27,FALSE)</f>
        <v>0</v>
      </c>
      <c r="AD200" s="125">
        <f>VLOOKUP(C200,'Talente &amp; Stuff'!DO:EP,28,FALSE)</f>
        <v>0</v>
      </c>
      <c r="AE200" s="28"/>
    </row>
    <row r="201" spans="2:31" ht="15" hidden="1" customHeight="1" outlineLevel="2">
      <c r="B201" s="148">
        <v>49</v>
      </c>
      <c r="C201" s="177" t="str">
        <f>Attribute!C201</f>
        <v>---</v>
      </c>
      <c r="D201" s="125" t="str">
        <f>VLOOKUP(C201,'Talente &amp; Stuff'!DO:EP,2,FALSE)</f>
        <v>--/--/--</v>
      </c>
      <c r="E201" s="127" t="str">
        <f>VLOOKUP(C201,'Talente &amp; Stuff'!DO:EP,3,FALSE)</f>
        <v>-</v>
      </c>
      <c r="F201" s="114">
        <f>VLOOKUP(C201,'Talente &amp; Stuff'!DO:EP,4,FALSE)</f>
        <v>0</v>
      </c>
      <c r="G201" s="113">
        <f>VLOOKUP(C201,'Talente &amp; Stuff'!DO:EP,5,FALSE)</f>
        <v>0</v>
      </c>
      <c r="H201" s="113">
        <f>VLOOKUP(C201,'Talente &amp; Stuff'!DO:EP,6,FALSE)</f>
        <v>0</v>
      </c>
      <c r="I201" s="113">
        <f>VLOOKUP(C201,'Talente &amp; Stuff'!DO:EP,7,FALSE)</f>
        <v>0</v>
      </c>
      <c r="J201" s="113">
        <f>VLOOKUP(C201,'Talente &amp; Stuff'!DO:EP,8,FALSE)</f>
        <v>0</v>
      </c>
      <c r="K201" s="113">
        <f>VLOOKUP(C201,'Talente &amp; Stuff'!DO:EP,9,FALSE)</f>
        <v>0</v>
      </c>
      <c r="L201" s="113">
        <f>VLOOKUP(C201,'Talente &amp; Stuff'!DO:EP,10,FALSE)</f>
        <v>0</v>
      </c>
      <c r="M201" s="119">
        <f>VLOOKUP(C201,'Talente &amp; Stuff'!DO:EP,11,FALSE)</f>
        <v>0</v>
      </c>
      <c r="N201" s="47">
        <f>VLOOKUP(C201,'Talente &amp; Stuff'!DO:EP,12,FALSE)</f>
        <v>0</v>
      </c>
      <c r="O201" s="47">
        <f>VLOOKUP(C201,'Talente &amp; Stuff'!DO:EP,13,FALSE)</f>
        <v>0</v>
      </c>
      <c r="P201" s="119">
        <f>VLOOKUP(C201,'Talente &amp; Stuff'!DO:EP,14,FALSE)</f>
        <v>0</v>
      </c>
      <c r="Q201" s="114">
        <f>VLOOKUP(C201,'Talente &amp; Stuff'!DO:EP,15,FALSE)</f>
        <v>0</v>
      </c>
      <c r="R201" s="113">
        <f>VLOOKUP(C201,'Talente &amp; Stuff'!DO:EP,16,FALSE)</f>
        <v>0</v>
      </c>
      <c r="S201" s="119">
        <f>VLOOKUP(C201,'Talente &amp; Stuff'!DO:EP,17,FALSE)</f>
        <v>0</v>
      </c>
      <c r="T201" s="119">
        <f>VLOOKUP(C201,'Talente &amp; Stuff'!DO:EP,18,FALSE)</f>
        <v>0</v>
      </c>
      <c r="U201" s="89">
        <f>VLOOKUP(C201,'Talente &amp; Stuff'!DO:EP,19,FALSE)</f>
        <v>0</v>
      </c>
      <c r="V201" s="47">
        <f>VLOOKUP(C201,'Talente &amp; Stuff'!DO:EP,20,FALSE)</f>
        <v>0</v>
      </c>
      <c r="W201" s="127">
        <f>VLOOKUP(C201,'Talente &amp; Stuff'!DO:EP,21,FALSE)</f>
        <v>0</v>
      </c>
      <c r="X201" s="127">
        <f>VLOOKUP(C201,'Talente &amp; Stuff'!DO:EP,22,FALSE)</f>
        <v>0</v>
      </c>
      <c r="Y201" s="165">
        <f t="shared" si="18"/>
        <v>0</v>
      </c>
      <c r="Z201" s="44">
        <f t="shared" si="19"/>
        <v>0</v>
      </c>
      <c r="AA201" s="125">
        <f>VLOOKUP(C201,'Talente &amp; Stuff'!DO:EP,25,FALSE)</f>
        <v>0</v>
      </c>
      <c r="AB201" s="160">
        <f>VLOOKUP(C201,'Talente &amp; Stuff'!DO:EP,26,FALSE)</f>
        <v>0</v>
      </c>
      <c r="AC201" s="127">
        <f>VLOOKUP(C201,'Talente &amp; Stuff'!DO:EP,27,FALSE)</f>
        <v>0</v>
      </c>
      <c r="AD201" s="125">
        <f>VLOOKUP(C201,'Talente &amp; Stuff'!DO:EP,28,FALSE)</f>
        <v>0</v>
      </c>
      <c r="AE201" s="28"/>
    </row>
    <row r="202" spans="2:31" ht="15" hidden="1" customHeight="1" outlineLevel="2">
      <c r="B202" s="148">
        <v>50</v>
      </c>
      <c r="C202" s="177" t="str">
        <f>Attribute!C202</f>
        <v>---</v>
      </c>
      <c r="D202" s="125" t="str">
        <f>VLOOKUP(C202,'Talente &amp; Stuff'!DO:EP,2,FALSE)</f>
        <v>--/--/--</v>
      </c>
      <c r="E202" s="127" t="str">
        <f>VLOOKUP(C202,'Talente &amp; Stuff'!DO:EP,3,FALSE)</f>
        <v>-</v>
      </c>
      <c r="F202" s="114">
        <f>VLOOKUP(C202,'Talente &amp; Stuff'!DO:EP,4,FALSE)</f>
        <v>0</v>
      </c>
      <c r="G202" s="113">
        <f>VLOOKUP(C202,'Talente &amp; Stuff'!DO:EP,5,FALSE)</f>
        <v>0</v>
      </c>
      <c r="H202" s="113">
        <f>VLOOKUP(C202,'Talente &amp; Stuff'!DO:EP,6,FALSE)</f>
        <v>0</v>
      </c>
      <c r="I202" s="113">
        <f>VLOOKUP(C202,'Talente &amp; Stuff'!DO:EP,7,FALSE)</f>
        <v>0</v>
      </c>
      <c r="J202" s="113">
        <f>VLOOKUP(C202,'Talente &amp; Stuff'!DO:EP,8,FALSE)</f>
        <v>0</v>
      </c>
      <c r="K202" s="113">
        <f>VLOOKUP(C202,'Talente &amp; Stuff'!DO:EP,9,FALSE)</f>
        <v>0</v>
      </c>
      <c r="L202" s="113">
        <f>VLOOKUP(C202,'Talente &amp; Stuff'!DO:EP,10,FALSE)</f>
        <v>0</v>
      </c>
      <c r="M202" s="119">
        <f>VLOOKUP(C202,'Talente &amp; Stuff'!DO:EP,11,FALSE)</f>
        <v>0</v>
      </c>
      <c r="N202" s="47">
        <f>VLOOKUP(C202,'Talente &amp; Stuff'!DO:EP,12,FALSE)</f>
        <v>0</v>
      </c>
      <c r="O202" s="47">
        <f>VLOOKUP(C202,'Talente &amp; Stuff'!DO:EP,13,FALSE)</f>
        <v>0</v>
      </c>
      <c r="P202" s="119">
        <f>VLOOKUP(C202,'Talente &amp; Stuff'!DO:EP,14,FALSE)</f>
        <v>0</v>
      </c>
      <c r="Q202" s="114">
        <f>VLOOKUP(C202,'Talente &amp; Stuff'!DO:EP,15,FALSE)</f>
        <v>0</v>
      </c>
      <c r="R202" s="113">
        <f>VLOOKUP(C202,'Talente &amp; Stuff'!DO:EP,16,FALSE)</f>
        <v>0</v>
      </c>
      <c r="S202" s="119">
        <f>VLOOKUP(C202,'Talente &amp; Stuff'!DO:EP,17,FALSE)</f>
        <v>0</v>
      </c>
      <c r="T202" s="119">
        <f>VLOOKUP(C202,'Talente &amp; Stuff'!DO:EP,18,FALSE)</f>
        <v>0</v>
      </c>
      <c r="U202" s="89">
        <f>VLOOKUP(C202,'Talente &amp; Stuff'!DO:EP,19,FALSE)</f>
        <v>0</v>
      </c>
      <c r="V202" s="47">
        <f>VLOOKUP(C202,'Talente &amp; Stuff'!DO:EP,20,FALSE)</f>
        <v>0</v>
      </c>
      <c r="W202" s="127">
        <f>VLOOKUP(C202,'Talente &amp; Stuff'!DO:EP,21,FALSE)</f>
        <v>0</v>
      </c>
      <c r="X202" s="127">
        <f>VLOOKUP(C202,'Talente &amp; Stuff'!DO:EP,22,FALSE)</f>
        <v>0</v>
      </c>
      <c r="Y202" s="165">
        <f t="shared" si="18"/>
        <v>0</v>
      </c>
      <c r="Z202" s="44">
        <f t="shared" si="19"/>
        <v>0</v>
      </c>
      <c r="AA202" s="125">
        <f>VLOOKUP(C202,'Talente &amp; Stuff'!DO:EP,25,FALSE)</f>
        <v>0</v>
      </c>
      <c r="AB202" s="160">
        <f>VLOOKUP(C202,'Talente &amp; Stuff'!DO:EP,26,FALSE)</f>
        <v>0</v>
      </c>
      <c r="AC202" s="127">
        <f>VLOOKUP(C202,'Talente &amp; Stuff'!DO:EP,27,FALSE)</f>
        <v>0</v>
      </c>
      <c r="AD202" s="125">
        <f>VLOOKUP(C202,'Talente &amp; Stuff'!DO:EP,28,FALSE)</f>
        <v>0</v>
      </c>
      <c r="AE202" s="28"/>
    </row>
    <row r="203" spans="2:31" ht="15" hidden="1" customHeight="1" outlineLevel="2">
      <c r="B203" s="148">
        <v>51</v>
      </c>
      <c r="C203" s="177" t="str">
        <f>Attribute!C203</f>
        <v>---</v>
      </c>
      <c r="D203" s="86" t="str">
        <f>VLOOKUP(C203,'Talente &amp; Stuff'!DO:EP,2,FALSE)</f>
        <v>--/--/--</v>
      </c>
      <c r="E203" s="167" t="str">
        <f>VLOOKUP(C203,'Talente &amp; Stuff'!DO:EP,3,FALSE)</f>
        <v>-</v>
      </c>
      <c r="F203" s="120">
        <f>VLOOKUP(C203,'Talente &amp; Stuff'!DO:EP,4,FALSE)</f>
        <v>0</v>
      </c>
      <c r="G203" s="117">
        <f>VLOOKUP(C203,'Talente &amp; Stuff'!DO:EP,5,FALSE)</f>
        <v>0</v>
      </c>
      <c r="H203" s="117">
        <f>VLOOKUP(C203,'Talente &amp; Stuff'!DO:EP,6,FALSE)</f>
        <v>0</v>
      </c>
      <c r="I203" s="117">
        <f>VLOOKUP(C203,'Talente &amp; Stuff'!DO:EP,7,FALSE)</f>
        <v>0</v>
      </c>
      <c r="J203" s="117">
        <f>VLOOKUP(C203,'Talente &amp; Stuff'!DO:EP,8,FALSE)</f>
        <v>0</v>
      </c>
      <c r="K203" s="117">
        <f>VLOOKUP(C203,'Talente &amp; Stuff'!DO:EP,9,FALSE)</f>
        <v>0</v>
      </c>
      <c r="L203" s="117">
        <f>VLOOKUP(C203,'Talente &amp; Stuff'!DO:EP,10,FALSE)</f>
        <v>0</v>
      </c>
      <c r="M203" s="121">
        <f>VLOOKUP(C203,'Talente &amp; Stuff'!DO:EP,11,FALSE)</f>
        <v>0</v>
      </c>
      <c r="N203" s="47">
        <f>VLOOKUP(C203,'Talente &amp; Stuff'!DO:EP,12,FALSE)</f>
        <v>0</v>
      </c>
      <c r="O203" s="3">
        <f>VLOOKUP(C203,'Talente &amp; Stuff'!DO:EP,13,FALSE)</f>
        <v>0</v>
      </c>
      <c r="P203" s="174">
        <f>VLOOKUP(C203,'Talente &amp; Stuff'!DO:EP,14,FALSE)</f>
        <v>0</v>
      </c>
      <c r="Q203" s="114">
        <f>VLOOKUP(C203,'Talente &amp; Stuff'!DO:EP,15,FALSE)</f>
        <v>0</v>
      </c>
      <c r="R203" s="117">
        <f>VLOOKUP(C203,'Talente &amp; Stuff'!DO:EP,16,FALSE)</f>
        <v>0</v>
      </c>
      <c r="S203" s="119">
        <f>VLOOKUP(C203,'Talente &amp; Stuff'!DO:EP,17,FALSE)</f>
        <v>0</v>
      </c>
      <c r="T203" s="119">
        <f>VLOOKUP(C203,'Talente &amp; Stuff'!DO:EP,18,FALSE)</f>
        <v>0</v>
      </c>
      <c r="U203" s="89">
        <f>VLOOKUP(C203,'Talente &amp; Stuff'!DO:EP,19,FALSE)</f>
        <v>0</v>
      </c>
      <c r="V203" s="47">
        <f>VLOOKUP(C203,'Talente &amp; Stuff'!DO:EP,20,FALSE)</f>
        <v>0</v>
      </c>
      <c r="W203" s="127">
        <f>VLOOKUP(C203,'Talente &amp; Stuff'!DO:EP,21,FALSE)</f>
        <v>0</v>
      </c>
      <c r="X203" s="127">
        <f>VLOOKUP(C203,'Talente &amp; Stuff'!DO:EP,22,FALSE)</f>
        <v>0</v>
      </c>
      <c r="Y203" s="165">
        <f t="shared" si="18"/>
        <v>0</v>
      </c>
      <c r="Z203" s="44">
        <f t="shared" si="19"/>
        <v>0</v>
      </c>
      <c r="AA203" s="125">
        <f>VLOOKUP(C203,'Talente &amp; Stuff'!DO:EP,25,FALSE)</f>
        <v>0</v>
      </c>
      <c r="AB203" s="160">
        <f>VLOOKUP(C203,'Talente &amp; Stuff'!DO:EP,26,FALSE)</f>
        <v>0</v>
      </c>
      <c r="AC203" s="127">
        <f>VLOOKUP(C203,'Talente &amp; Stuff'!DO:EP,27,FALSE)</f>
        <v>0</v>
      </c>
      <c r="AD203" s="125">
        <f>VLOOKUP(C203,'Talente &amp; Stuff'!DO:EP,28,FALSE)</f>
        <v>0</v>
      </c>
      <c r="AE203" s="28"/>
    </row>
    <row r="204" spans="2:31" ht="15" hidden="1" customHeight="1" outlineLevel="2">
      <c r="B204" s="148">
        <v>52</v>
      </c>
      <c r="C204" s="177" t="str">
        <f>Attribute!C204</f>
        <v>---</v>
      </c>
      <c r="D204" s="125" t="str">
        <f>VLOOKUP(C204,'Talente &amp; Stuff'!DO:EP,2,FALSE)</f>
        <v>--/--/--</v>
      </c>
      <c r="E204" s="127" t="str">
        <f>VLOOKUP(C204,'Talente &amp; Stuff'!DO:EP,3,FALSE)</f>
        <v>-</v>
      </c>
      <c r="F204" s="114">
        <f>VLOOKUP(C204,'Talente &amp; Stuff'!DO:EP,4,FALSE)</f>
        <v>0</v>
      </c>
      <c r="G204" s="113">
        <f>VLOOKUP(C204,'Talente &amp; Stuff'!DO:EP,5,FALSE)</f>
        <v>0</v>
      </c>
      <c r="H204" s="113">
        <f>VLOOKUP(C204,'Talente &amp; Stuff'!DO:EP,6,FALSE)</f>
        <v>0</v>
      </c>
      <c r="I204" s="113">
        <f>VLOOKUP(C204,'Talente &amp; Stuff'!DO:EP,7,FALSE)</f>
        <v>0</v>
      </c>
      <c r="J204" s="113">
        <f>VLOOKUP(C204,'Talente &amp; Stuff'!DO:EP,8,FALSE)</f>
        <v>0</v>
      </c>
      <c r="K204" s="113">
        <f>VLOOKUP(C204,'Talente &amp; Stuff'!DO:EP,9,FALSE)</f>
        <v>0</v>
      </c>
      <c r="L204" s="113">
        <f>VLOOKUP(C204,'Talente &amp; Stuff'!DO:EP,10,FALSE)</f>
        <v>0</v>
      </c>
      <c r="M204" s="119">
        <f>VLOOKUP(C204,'Talente &amp; Stuff'!DO:EP,11,FALSE)</f>
        <v>0</v>
      </c>
      <c r="N204" s="47">
        <f>VLOOKUP(C204,'Talente &amp; Stuff'!DO:EP,12,FALSE)</f>
        <v>0</v>
      </c>
      <c r="O204" s="47">
        <f>VLOOKUP(C204,'Talente &amp; Stuff'!DO:EP,13,FALSE)</f>
        <v>0</v>
      </c>
      <c r="P204" s="119">
        <f>VLOOKUP(C204,'Talente &amp; Stuff'!DO:EP,14,FALSE)</f>
        <v>0</v>
      </c>
      <c r="Q204" s="114">
        <f>VLOOKUP(C204,'Talente &amp; Stuff'!DO:EP,15,FALSE)</f>
        <v>0</v>
      </c>
      <c r="R204" s="113">
        <f>VLOOKUP(C204,'Talente &amp; Stuff'!DO:EP,16,FALSE)</f>
        <v>0</v>
      </c>
      <c r="S204" s="119">
        <f>VLOOKUP(C204,'Talente &amp; Stuff'!DO:EP,17,FALSE)</f>
        <v>0</v>
      </c>
      <c r="T204" s="119">
        <f>VLOOKUP(C204,'Talente &amp; Stuff'!DO:EP,18,FALSE)</f>
        <v>0</v>
      </c>
      <c r="U204" s="89">
        <f>VLOOKUP(C204,'Talente &amp; Stuff'!DO:EP,19,FALSE)</f>
        <v>0</v>
      </c>
      <c r="V204" s="47">
        <f>VLOOKUP(C204,'Talente &amp; Stuff'!DO:EP,20,FALSE)</f>
        <v>0</v>
      </c>
      <c r="W204" s="127">
        <f>VLOOKUP(C204,'Talente &amp; Stuff'!DO:EP,21,FALSE)</f>
        <v>0</v>
      </c>
      <c r="X204" s="127">
        <f>VLOOKUP(C204,'Talente &amp; Stuff'!DO:EP,22,FALSE)</f>
        <v>0</v>
      </c>
      <c r="Y204" s="165">
        <f t="shared" si="18"/>
        <v>0</v>
      </c>
      <c r="Z204" s="44">
        <f t="shared" si="19"/>
        <v>0</v>
      </c>
      <c r="AA204" s="125">
        <f>VLOOKUP(C204,'Talente &amp; Stuff'!DO:EP,25,FALSE)</f>
        <v>0</v>
      </c>
      <c r="AB204" s="160">
        <f>VLOOKUP(C204,'Talente &amp; Stuff'!DO:EP,26,FALSE)</f>
        <v>0</v>
      </c>
      <c r="AC204" s="127">
        <f>VLOOKUP(C204,'Talente &amp; Stuff'!DO:EP,27,FALSE)</f>
        <v>0</v>
      </c>
      <c r="AD204" s="125">
        <f>VLOOKUP(C204,'Talente &amp; Stuff'!DO:EP,28,FALSE)</f>
        <v>0</v>
      </c>
      <c r="AE204" s="28"/>
    </row>
    <row r="205" spans="2:31" ht="15" hidden="1" customHeight="1" outlineLevel="2">
      <c r="B205" s="148">
        <v>53</v>
      </c>
      <c r="C205" s="177" t="str">
        <f>Attribute!C205</f>
        <v>---</v>
      </c>
      <c r="D205" s="86" t="str">
        <f>VLOOKUP(C205,'Talente &amp; Stuff'!DO:EP,2,FALSE)</f>
        <v>--/--/--</v>
      </c>
      <c r="E205" s="127" t="str">
        <f>VLOOKUP(C205,'Talente &amp; Stuff'!DO:EP,3,FALSE)</f>
        <v>-</v>
      </c>
      <c r="F205" s="114">
        <f>VLOOKUP(C205,'Talente &amp; Stuff'!DO:EP,4,FALSE)</f>
        <v>0</v>
      </c>
      <c r="G205" s="113">
        <f>VLOOKUP(C205,'Talente &amp; Stuff'!DO:EP,5,FALSE)</f>
        <v>0</v>
      </c>
      <c r="H205" s="113">
        <f>VLOOKUP(C205,'Talente &amp; Stuff'!DO:EP,6,FALSE)</f>
        <v>0</v>
      </c>
      <c r="I205" s="113">
        <f>VLOOKUP(C205,'Talente &amp; Stuff'!DO:EP,7,FALSE)</f>
        <v>0</v>
      </c>
      <c r="J205" s="113">
        <f>VLOOKUP(C205,'Talente &amp; Stuff'!DO:EP,8,FALSE)</f>
        <v>0</v>
      </c>
      <c r="K205" s="113">
        <f>VLOOKUP(C205,'Talente &amp; Stuff'!DO:EP,9,FALSE)</f>
        <v>0</v>
      </c>
      <c r="L205" s="113">
        <f>VLOOKUP(C205,'Talente &amp; Stuff'!DO:EP,10,FALSE)</f>
        <v>0</v>
      </c>
      <c r="M205" s="119">
        <f>VLOOKUP(C205,'Talente &amp; Stuff'!DO:EP,11,FALSE)</f>
        <v>0</v>
      </c>
      <c r="N205" s="47">
        <f>VLOOKUP(C205,'Talente &amp; Stuff'!DO:EP,12,FALSE)</f>
        <v>0</v>
      </c>
      <c r="O205" s="3">
        <f>VLOOKUP(C205,'Talente &amp; Stuff'!DO:EP,13,FALSE)</f>
        <v>0</v>
      </c>
      <c r="P205" s="174">
        <f>VLOOKUP(C205,'Talente &amp; Stuff'!DO:EP,14,FALSE)</f>
        <v>0</v>
      </c>
      <c r="Q205" s="114">
        <f>VLOOKUP(C205,'Talente &amp; Stuff'!DO:EP,15,FALSE)</f>
        <v>0</v>
      </c>
      <c r="R205" s="117">
        <f>VLOOKUP(C205,'Talente &amp; Stuff'!DO:EP,16,FALSE)</f>
        <v>0</v>
      </c>
      <c r="S205" s="119">
        <f>VLOOKUP(C205,'Talente &amp; Stuff'!DO:EP,17,FALSE)</f>
        <v>0</v>
      </c>
      <c r="T205" s="119">
        <f>VLOOKUP(C205,'Talente &amp; Stuff'!DO:EP,18,FALSE)</f>
        <v>0</v>
      </c>
      <c r="U205" s="89">
        <f>VLOOKUP(C205,'Talente &amp; Stuff'!DO:EP,19,FALSE)</f>
        <v>0</v>
      </c>
      <c r="V205" s="47">
        <f>VLOOKUP(C205,'Talente &amp; Stuff'!DO:EP,20,FALSE)</f>
        <v>0</v>
      </c>
      <c r="W205" s="127">
        <f>VLOOKUP(C205,'Talente &amp; Stuff'!DO:EP,21,FALSE)</f>
        <v>0</v>
      </c>
      <c r="X205" s="127">
        <f>VLOOKUP(C205,'Talente &amp; Stuff'!DO:EP,22,FALSE)</f>
        <v>0</v>
      </c>
      <c r="Y205" s="165">
        <f t="shared" si="18"/>
        <v>0</v>
      </c>
      <c r="Z205" s="44">
        <f t="shared" si="19"/>
        <v>0</v>
      </c>
      <c r="AA205" s="125">
        <f>VLOOKUP(C205,'Talente &amp; Stuff'!DO:EP,25,FALSE)</f>
        <v>0</v>
      </c>
      <c r="AB205" s="160">
        <f>VLOOKUP(C205,'Talente &amp; Stuff'!DO:EP,26,FALSE)</f>
        <v>0</v>
      </c>
      <c r="AC205" s="127">
        <f>VLOOKUP(C205,'Talente &amp; Stuff'!DO:EP,27,FALSE)</f>
        <v>0</v>
      </c>
      <c r="AD205" s="125">
        <f>VLOOKUP(C205,'Talente &amp; Stuff'!DO:EP,28,FALSE)</f>
        <v>0</v>
      </c>
      <c r="AE205" s="28"/>
    </row>
    <row r="206" spans="2:31" ht="15" hidden="1" customHeight="1" outlineLevel="2">
      <c r="B206" s="148">
        <v>54</v>
      </c>
      <c r="C206" s="177" t="str">
        <f>Attribute!C206</f>
        <v>---</v>
      </c>
      <c r="D206" s="125" t="str">
        <f>VLOOKUP(C206,'Talente &amp; Stuff'!DO:EP,2,FALSE)</f>
        <v>--/--/--</v>
      </c>
      <c r="E206" s="127" t="str">
        <f>VLOOKUP(C206,'Talente &amp; Stuff'!DO:EP,3,FALSE)</f>
        <v>-</v>
      </c>
      <c r="F206" s="114">
        <f>VLOOKUP(C206,'Talente &amp; Stuff'!DO:EP,4,FALSE)</f>
        <v>0</v>
      </c>
      <c r="G206" s="113">
        <f>VLOOKUP(C206,'Talente &amp; Stuff'!DO:EP,5,FALSE)</f>
        <v>0</v>
      </c>
      <c r="H206" s="113">
        <f>VLOOKUP(C206,'Talente &amp; Stuff'!DO:EP,6,FALSE)</f>
        <v>0</v>
      </c>
      <c r="I206" s="113">
        <f>VLOOKUP(C206,'Talente &amp; Stuff'!DO:EP,7,FALSE)</f>
        <v>0</v>
      </c>
      <c r="J206" s="113">
        <f>VLOOKUP(C206,'Talente &amp; Stuff'!DO:EP,8,FALSE)</f>
        <v>0</v>
      </c>
      <c r="K206" s="113">
        <f>VLOOKUP(C206,'Talente &amp; Stuff'!DO:EP,9,FALSE)</f>
        <v>0</v>
      </c>
      <c r="L206" s="113">
        <f>VLOOKUP(C206,'Talente &amp; Stuff'!DO:EP,10,FALSE)</f>
        <v>0</v>
      </c>
      <c r="M206" s="119">
        <f>VLOOKUP(C206,'Talente &amp; Stuff'!DO:EP,11,FALSE)</f>
        <v>0</v>
      </c>
      <c r="N206" s="47">
        <f>VLOOKUP(C206,'Talente &amp; Stuff'!DO:EP,12,FALSE)</f>
        <v>0</v>
      </c>
      <c r="O206" s="47">
        <f>VLOOKUP(C206,'Talente &amp; Stuff'!DO:EP,13,FALSE)</f>
        <v>0</v>
      </c>
      <c r="P206" s="119">
        <f>VLOOKUP(C206,'Talente &amp; Stuff'!DO:EP,14,FALSE)</f>
        <v>0</v>
      </c>
      <c r="Q206" s="114">
        <f>VLOOKUP(C206,'Talente &amp; Stuff'!DO:EP,15,FALSE)</f>
        <v>0</v>
      </c>
      <c r="R206" s="113">
        <f>VLOOKUP(C206,'Talente &amp; Stuff'!DO:EP,16,FALSE)</f>
        <v>0</v>
      </c>
      <c r="S206" s="119">
        <f>VLOOKUP(C206,'Talente &amp; Stuff'!DO:EP,17,FALSE)</f>
        <v>0</v>
      </c>
      <c r="T206" s="119">
        <f>VLOOKUP(C206,'Talente &amp; Stuff'!DO:EP,18,FALSE)</f>
        <v>0</v>
      </c>
      <c r="U206" s="89">
        <f>VLOOKUP(C206,'Talente &amp; Stuff'!DO:EP,19,FALSE)</f>
        <v>0</v>
      </c>
      <c r="V206" s="47">
        <f>VLOOKUP(C206,'Talente &amp; Stuff'!DO:EP,20,FALSE)</f>
        <v>0</v>
      </c>
      <c r="W206" s="127">
        <f>VLOOKUP(C206,'Talente &amp; Stuff'!DO:EP,21,FALSE)</f>
        <v>0</v>
      </c>
      <c r="X206" s="127">
        <f>VLOOKUP(C206,'Talente &amp; Stuff'!DO:EP,22,FALSE)</f>
        <v>0</v>
      </c>
      <c r="Y206" s="165">
        <f t="shared" si="18"/>
        <v>0</v>
      </c>
      <c r="Z206" s="44">
        <f t="shared" si="19"/>
        <v>0</v>
      </c>
      <c r="AA206" s="125">
        <f>VLOOKUP(C206,'Talente &amp; Stuff'!DO:EP,25,FALSE)</f>
        <v>0</v>
      </c>
      <c r="AB206" s="160">
        <f>VLOOKUP(C206,'Talente &amp; Stuff'!DO:EP,26,FALSE)</f>
        <v>0</v>
      </c>
      <c r="AC206" s="127">
        <f>VLOOKUP(C206,'Talente &amp; Stuff'!DO:EP,27,FALSE)</f>
        <v>0</v>
      </c>
      <c r="AD206" s="125">
        <f>VLOOKUP(C206,'Talente &amp; Stuff'!DO:EP,28,FALSE)</f>
        <v>0</v>
      </c>
      <c r="AE206" s="28"/>
    </row>
    <row r="207" spans="2:31" ht="15" hidden="1" customHeight="1" outlineLevel="2">
      <c r="B207" s="148">
        <v>55</v>
      </c>
      <c r="C207" s="177" t="str">
        <f>Attribute!C207</f>
        <v>---</v>
      </c>
      <c r="D207" s="125" t="str">
        <f>VLOOKUP(C207,'Talente &amp; Stuff'!DO:EP,2,FALSE)</f>
        <v>--/--/--</v>
      </c>
      <c r="E207" s="127" t="str">
        <f>VLOOKUP(C207,'Talente &amp; Stuff'!DO:EP,3,FALSE)</f>
        <v>-</v>
      </c>
      <c r="F207" s="114">
        <f>VLOOKUP(C207,'Talente &amp; Stuff'!DO:EP,4,FALSE)</f>
        <v>0</v>
      </c>
      <c r="G207" s="113">
        <f>VLOOKUP(C207,'Talente &amp; Stuff'!DO:EP,5,FALSE)</f>
        <v>0</v>
      </c>
      <c r="H207" s="113">
        <f>VLOOKUP(C207,'Talente &amp; Stuff'!DO:EP,6,FALSE)</f>
        <v>0</v>
      </c>
      <c r="I207" s="113">
        <f>VLOOKUP(C207,'Talente &amp; Stuff'!DO:EP,7,FALSE)</f>
        <v>0</v>
      </c>
      <c r="J207" s="113">
        <f>VLOOKUP(C207,'Talente &amp; Stuff'!DO:EP,8,FALSE)</f>
        <v>0</v>
      </c>
      <c r="K207" s="113">
        <f>VLOOKUP(C207,'Talente &amp; Stuff'!DO:EP,9,FALSE)</f>
        <v>0</v>
      </c>
      <c r="L207" s="113">
        <f>VLOOKUP(C207,'Talente &amp; Stuff'!DO:EP,10,FALSE)</f>
        <v>0</v>
      </c>
      <c r="M207" s="119">
        <f>VLOOKUP(C207,'Talente &amp; Stuff'!DO:EP,11,FALSE)</f>
        <v>0</v>
      </c>
      <c r="N207" s="47">
        <f>VLOOKUP(C207,'Talente &amp; Stuff'!DO:EP,12,FALSE)</f>
        <v>0</v>
      </c>
      <c r="O207" s="47">
        <f>VLOOKUP(C207,'Talente &amp; Stuff'!DO:EP,13,FALSE)</f>
        <v>0</v>
      </c>
      <c r="P207" s="119">
        <f>VLOOKUP(C207,'Talente &amp; Stuff'!DO:EP,14,FALSE)</f>
        <v>0</v>
      </c>
      <c r="Q207" s="114">
        <f>VLOOKUP(C207,'Talente &amp; Stuff'!DO:EP,15,FALSE)</f>
        <v>0</v>
      </c>
      <c r="R207" s="113">
        <f>VLOOKUP(C207,'Talente &amp; Stuff'!DO:EP,16,FALSE)</f>
        <v>0</v>
      </c>
      <c r="S207" s="119">
        <f>VLOOKUP(C207,'Talente &amp; Stuff'!DO:EP,17,FALSE)</f>
        <v>0</v>
      </c>
      <c r="T207" s="119">
        <f>VLOOKUP(C207,'Talente &amp; Stuff'!DO:EP,18,FALSE)</f>
        <v>0</v>
      </c>
      <c r="U207" s="89">
        <f>VLOOKUP(C207,'Talente &amp; Stuff'!DO:EP,19,FALSE)</f>
        <v>0</v>
      </c>
      <c r="V207" s="47">
        <f>VLOOKUP(C207,'Talente &amp; Stuff'!DO:EP,20,FALSE)</f>
        <v>0</v>
      </c>
      <c r="W207" s="127">
        <f>VLOOKUP(C207,'Talente &amp; Stuff'!DO:EP,21,FALSE)</f>
        <v>0</v>
      </c>
      <c r="X207" s="127">
        <f>VLOOKUP(C207,'Talente &amp; Stuff'!DO:EP,22,FALSE)</f>
        <v>0</v>
      </c>
      <c r="Y207" s="165">
        <f t="shared" si="18"/>
        <v>0</v>
      </c>
      <c r="Z207" s="44">
        <f t="shared" si="19"/>
        <v>0</v>
      </c>
      <c r="AA207" s="125">
        <f>VLOOKUP(C207,'Talente &amp; Stuff'!DO:EP,25,FALSE)</f>
        <v>0</v>
      </c>
      <c r="AB207" s="160">
        <f>VLOOKUP(C207,'Talente &amp; Stuff'!DO:EP,26,FALSE)</f>
        <v>0</v>
      </c>
      <c r="AC207" s="127">
        <f>VLOOKUP(C207,'Talente &amp; Stuff'!DO:EP,27,FALSE)</f>
        <v>0</v>
      </c>
      <c r="AD207" s="125">
        <f>VLOOKUP(C207,'Talente &amp; Stuff'!DO:EP,28,FALSE)</f>
        <v>0</v>
      </c>
      <c r="AE207" s="28"/>
    </row>
    <row r="208" spans="2:31" ht="15" hidden="1" customHeight="1" outlineLevel="2">
      <c r="B208" s="148">
        <v>56</v>
      </c>
      <c r="C208" s="177" t="str">
        <f>Attribute!C208</f>
        <v>---</v>
      </c>
      <c r="D208" s="125" t="str">
        <f>VLOOKUP(C208,'Talente &amp; Stuff'!DO:EP,2,FALSE)</f>
        <v>--/--/--</v>
      </c>
      <c r="E208" s="127" t="str">
        <f>VLOOKUP(C208,'Talente &amp; Stuff'!DO:EP,3,FALSE)</f>
        <v>-</v>
      </c>
      <c r="F208" s="114">
        <f>VLOOKUP(C208,'Talente &amp; Stuff'!DO:EP,4,FALSE)</f>
        <v>0</v>
      </c>
      <c r="G208" s="113">
        <f>VLOOKUP(C208,'Talente &amp; Stuff'!DO:EP,5,FALSE)</f>
        <v>0</v>
      </c>
      <c r="H208" s="113">
        <f>VLOOKUP(C208,'Talente &amp; Stuff'!DO:EP,6,FALSE)</f>
        <v>0</v>
      </c>
      <c r="I208" s="113">
        <f>VLOOKUP(C208,'Talente &amp; Stuff'!DO:EP,7,FALSE)</f>
        <v>0</v>
      </c>
      <c r="J208" s="113">
        <f>VLOOKUP(C208,'Talente &amp; Stuff'!DO:EP,8,FALSE)</f>
        <v>0</v>
      </c>
      <c r="K208" s="113">
        <f>VLOOKUP(C208,'Talente &amp; Stuff'!DO:EP,9,FALSE)</f>
        <v>0</v>
      </c>
      <c r="L208" s="113">
        <f>VLOOKUP(C208,'Talente &amp; Stuff'!DO:EP,10,FALSE)</f>
        <v>0</v>
      </c>
      <c r="M208" s="119">
        <f>VLOOKUP(C208,'Talente &amp; Stuff'!DO:EP,11,FALSE)</f>
        <v>0</v>
      </c>
      <c r="N208" s="47">
        <f>VLOOKUP(C208,'Talente &amp; Stuff'!DO:EP,12,FALSE)</f>
        <v>0</v>
      </c>
      <c r="O208" s="47">
        <f>VLOOKUP(C208,'Talente &amp; Stuff'!DO:EP,13,FALSE)</f>
        <v>0</v>
      </c>
      <c r="P208" s="119">
        <f>VLOOKUP(C208,'Talente &amp; Stuff'!DO:EP,14,FALSE)</f>
        <v>0</v>
      </c>
      <c r="Q208" s="114">
        <f>VLOOKUP(C208,'Talente &amp; Stuff'!DO:EP,15,FALSE)</f>
        <v>0</v>
      </c>
      <c r="R208" s="113">
        <f>VLOOKUP(C208,'Talente &amp; Stuff'!DO:EP,16,FALSE)</f>
        <v>0</v>
      </c>
      <c r="S208" s="119">
        <f>VLOOKUP(C208,'Talente &amp; Stuff'!DO:EP,17,FALSE)</f>
        <v>0</v>
      </c>
      <c r="T208" s="119">
        <f>VLOOKUP(C208,'Talente &amp; Stuff'!DO:EP,18,FALSE)</f>
        <v>0</v>
      </c>
      <c r="U208" s="89">
        <f>VLOOKUP(C208,'Talente &amp; Stuff'!DO:EP,19,FALSE)</f>
        <v>0</v>
      </c>
      <c r="V208" s="47">
        <f>VLOOKUP(C208,'Talente &amp; Stuff'!DO:EP,20,FALSE)</f>
        <v>0</v>
      </c>
      <c r="W208" s="127">
        <f>VLOOKUP(C208,'Talente &amp; Stuff'!DO:EP,21,FALSE)</f>
        <v>0</v>
      </c>
      <c r="X208" s="127">
        <f>VLOOKUP(C208,'Talente &amp; Stuff'!DO:EP,22,FALSE)</f>
        <v>0</v>
      </c>
      <c r="Y208" s="165">
        <f t="shared" si="18"/>
        <v>0</v>
      </c>
      <c r="Z208" s="44">
        <f t="shared" si="19"/>
        <v>0</v>
      </c>
      <c r="AA208" s="125">
        <f>VLOOKUP(C208,'Talente &amp; Stuff'!DO:EP,25,FALSE)</f>
        <v>0</v>
      </c>
      <c r="AB208" s="160">
        <f>VLOOKUP(C208,'Talente &amp; Stuff'!DO:EP,26,FALSE)</f>
        <v>0</v>
      </c>
      <c r="AC208" s="127">
        <f>VLOOKUP(C208,'Talente &amp; Stuff'!DO:EP,27,FALSE)</f>
        <v>0</v>
      </c>
      <c r="AD208" s="125">
        <f>VLOOKUP(C208,'Talente &amp; Stuff'!DO:EP,28,FALSE)</f>
        <v>0</v>
      </c>
      <c r="AE208" s="28"/>
    </row>
    <row r="209" spans="2:31" ht="15" hidden="1" customHeight="1" outlineLevel="2">
      <c r="B209" s="148">
        <v>57</v>
      </c>
      <c r="C209" s="177" t="str">
        <f>Attribute!C209</f>
        <v>---</v>
      </c>
      <c r="D209" s="125" t="str">
        <f>VLOOKUP(C209,'Talente &amp; Stuff'!DO:EP,2,FALSE)</f>
        <v>--/--/--</v>
      </c>
      <c r="E209" s="127" t="str">
        <f>VLOOKUP(C209,'Talente &amp; Stuff'!DO:EP,3,FALSE)</f>
        <v>-</v>
      </c>
      <c r="F209" s="114">
        <f>VLOOKUP(C209,'Talente &amp; Stuff'!DO:EP,4,FALSE)</f>
        <v>0</v>
      </c>
      <c r="G209" s="113">
        <f>VLOOKUP(C209,'Talente &amp; Stuff'!DO:EP,5,FALSE)</f>
        <v>0</v>
      </c>
      <c r="H209" s="113">
        <f>VLOOKUP(C209,'Talente &amp; Stuff'!DO:EP,6,FALSE)</f>
        <v>0</v>
      </c>
      <c r="I209" s="113">
        <f>VLOOKUP(C209,'Talente &amp; Stuff'!DO:EP,7,FALSE)</f>
        <v>0</v>
      </c>
      <c r="J209" s="113">
        <f>VLOOKUP(C209,'Talente &amp; Stuff'!DO:EP,8,FALSE)</f>
        <v>0</v>
      </c>
      <c r="K209" s="113">
        <f>VLOOKUP(C209,'Talente &amp; Stuff'!DO:EP,9,FALSE)</f>
        <v>0</v>
      </c>
      <c r="L209" s="113">
        <f>VLOOKUP(C209,'Talente &amp; Stuff'!DO:EP,10,FALSE)</f>
        <v>0</v>
      </c>
      <c r="M209" s="119">
        <f>VLOOKUP(C209,'Talente &amp; Stuff'!DO:EP,11,FALSE)</f>
        <v>0</v>
      </c>
      <c r="N209" s="47">
        <f>VLOOKUP(C209,'Talente &amp; Stuff'!DO:EP,12,FALSE)</f>
        <v>0</v>
      </c>
      <c r="O209" s="47">
        <f>VLOOKUP(C209,'Talente &amp; Stuff'!DO:EP,13,FALSE)</f>
        <v>0</v>
      </c>
      <c r="P209" s="119">
        <f>VLOOKUP(C209,'Talente &amp; Stuff'!DO:EP,14,FALSE)</f>
        <v>0</v>
      </c>
      <c r="Q209" s="114">
        <f>VLOOKUP(C209,'Talente &amp; Stuff'!DO:EP,15,FALSE)</f>
        <v>0</v>
      </c>
      <c r="R209" s="113">
        <f>VLOOKUP(C209,'Talente &amp; Stuff'!DO:EP,16,FALSE)</f>
        <v>0</v>
      </c>
      <c r="S209" s="119">
        <f>VLOOKUP(C209,'Talente &amp; Stuff'!DO:EP,17,FALSE)</f>
        <v>0</v>
      </c>
      <c r="T209" s="119">
        <f>VLOOKUP(C209,'Talente &amp; Stuff'!DO:EP,18,FALSE)</f>
        <v>0</v>
      </c>
      <c r="U209" s="89">
        <f>VLOOKUP(C209,'Talente &amp; Stuff'!DO:EP,19,FALSE)</f>
        <v>0</v>
      </c>
      <c r="V209" s="47">
        <f>VLOOKUP(C209,'Talente &amp; Stuff'!DO:EP,20,FALSE)</f>
        <v>0</v>
      </c>
      <c r="W209" s="127">
        <f>VLOOKUP(C209,'Talente &amp; Stuff'!DO:EP,21,FALSE)</f>
        <v>0</v>
      </c>
      <c r="X209" s="127">
        <f>VLOOKUP(C209,'Talente &amp; Stuff'!DO:EP,22,FALSE)</f>
        <v>0</v>
      </c>
      <c r="Y209" s="165">
        <f t="shared" si="18"/>
        <v>0</v>
      </c>
      <c r="Z209" s="44">
        <f t="shared" si="19"/>
        <v>0</v>
      </c>
      <c r="AA209" s="125">
        <f>VLOOKUP(C209,'Talente &amp; Stuff'!DO:EP,25,FALSE)</f>
        <v>0</v>
      </c>
      <c r="AB209" s="160">
        <f>VLOOKUP(C209,'Talente &amp; Stuff'!DO:EP,26,FALSE)</f>
        <v>0</v>
      </c>
      <c r="AC209" s="127">
        <f>VLOOKUP(C209,'Talente &amp; Stuff'!DO:EP,27,FALSE)</f>
        <v>0</v>
      </c>
      <c r="AD209" s="125">
        <f>VLOOKUP(C209,'Talente &amp; Stuff'!DO:EP,28,FALSE)</f>
        <v>0</v>
      </c>
      <c r="AE209" s="28"/>
    </row>
    <row r="210" spans="2:31" ht="15" hidden="1" customHeight="1" outlineLevel="2">
      <c r="B210" s="148">
        <v>58</v>
      </c>
      <c r="C210" s="177" t="str">
        <f>Attribute!C210</f>
        <v>---</v>
      </c>
      <c r="D210" s="125" t="str">
        <f>VLOOKUP(C210,'Talente &amp; Stuff'!DO:EP,2,FALSE)</f>
        <v>--/--/--</v>
      </c>
      <c r="E210" s="127" t="str">
        <f>VLOOKUP(C210,'Talente &amp; Stuff'!DO:EP,3,FALSE)</f>
        <v>-</v>
      </c>
      <c r="F210" s="114">
        <f>VLOOKUP(C210,'Talente &amp; Stuff'!DO:EP,4,FALSE)</f>
        <v>0</v>
      </c>
      <c r="G210" s="113">
        <f>VLOOKUP(C210,'Talente &amp; Stuff'!DO:EP,5,FALSE)</f>
        <v>0</v>
      </c>
      <c r="H210" s="113">
        <f>VLOOKUP(C210,'Talente &amp; Stuff'!DO:EP,6,FALSE)</f>
        <v>0</v>
      </c>
      <c r="I210" s="113">
        <f>VLOOKUP(C210,'Talente &amp; Stuff'!DO:EP,7,FALSE)</f>
        <v>0</v>
      </c>
      <c r="J210" s="113">
        <f>VLOOKUP(C210,'Talente &amp; Stuff'!DO:EP,8,FALSE)</f>
        <v>0</v>
      </c>
      <c r="K210" s="113">
        <f>VLOOKUP(C210,'Talente &amp; Stuff'!DO:EP,9,FALSE)</f>
        <v>0</v>
      </c>
      <c r="L210" s="113">
        <f>VLOOKUP(C210,'Talente &amp; Stuff'!DO:EP,10,FALSE)</f>
        <v>0</v>
      </c>
      <c r="M210" s="119">
        <f>VLOOKUP(C210,'Talente &amp; Stuff'!DO:EP,11,FALSE)</f>
        <v>0</v>
      </c>
      <c r="N210" s="47">
        <f>VLOOKUP(C210,'Talente &amp; Stuff'!DO:EP,12,FALSE)</f>
        <v>0</v>
      </c>
      <c r="O210" s="47">
        <f>VLOOKUP(C210,'Talente &amp; Stuff'!DO:EP,13,FALSE)</f>
        <v>0</v>
      </c>
      <c r="P210" s="119">
        <f>VLOOKUP(C210,'Talente &amp; Stuff'!DO:EP,14,FALSE)</f>
        <v>0</v>
      </c>
      <c r="Q210" s="114">
        <f>VLOOKUP(C210,'Talente &amp; Stuff'!DO:EP,15,FALSE)</f>
        <v>0</v>
      </c>
      <c r="R210" s="113">
        <f>VLOOKUP(C210,'Talente &amp; Stuff'!DO:EP,16,FALSE)</f>
        <v>0</v>
      </c>
      <c r="S210" s="119">
        <f>VLOOKUP(C210,'Talente &amp; Stuff'!DO:EP,17,FALSE)</f>
        <v>0</v>
      </c>
      <c r="T210" s="119">
        <f>VLOOKUP(C210,'Talente &amp; Stuff'!DO:EP,18,FALSE)</f>
        <v>0</v>
      </c>
      <c r="U210" s="89">
        <f>VLOOKUP(C210,'Talente &amp; Stuff'!DO:EP,19,FALSE)</f>
        <v>0</v>
      </c>
      <c r="V210" s="47">
        <f>VLOOKUP(C210,'Talente &amp; Stuff'!DO:EP,20,FALSE)</f>
        <v>0</v>
      </c>
      <c r="W210" s="127">
        <f>VLOOKUP(C210,'Talente &amp; Stuff'!DO:EP,21,FALSE)</f>
        <v>0</v>
      </c>
      <c r="X210" s="127">
        <f>VLOOKUP(C210,'Talente &amp; Stuff'!DO:EP,22,FALSE)</f>
        <v>0</v>
      </c>
      <c r="Y210" s="165">
        <f t="shared" si="18"/>
        <v>0</v>
      </c>
      <c r="Z210" s="44">
        <f t="shared" si="19"/>
        <v>0</v>
      </c>
      <c r="AA210" s="125">
        <f>VLOOKUP(C210,'Talente &amp; Stuff'!DO:EP,25,FALSE)</f>
        <v>0</v>
      </c>
      <c r="AB210" s="160">
        <f>VLOOKUP(C210,'Talente &amp; Stuff'!DO:EP,26,FALSE)</f>
        <v>0</v>
      </c>
      <c r="AC210" s="127">
        <f>VLOOKUP(C210,'Talente &amp; Stuff'!DO:EP,27,FALSE)</f>
        <v>0</v>
      </c>
      <c r="AD210" s="125">
        <f>VLOOKUP(C210,'Talente &amp; Stuff'!DO:EP,28,FALSE)</f>
        <v>0</v>
      </c>
      <c r="AE210" s="28"/>
    </row>
    <row r="211" spans="2:31" ht="15" hidden="1" customHeight="1" outlineLevel="2">
      <c r="B211" s="148">
        <v>59</v>
      </c>
      <c r="C211" s="177" t="str">
        <f>Attribute!C211</f>
        <v>---</v>
      </c>
      <c r="D211" s="159" t="str">
        <f>VLOOKUP(C211,'Talente &amp; Stuff'!DO:EP,2,FALSE)</f>
        <v>--/--/--</v>
      </c>
      <c r="E211" s="128" t="str">
        <f>VLOOKUP(C211,'Talente &amp; Stuff'!DO:EP,3,FALSE)</f>
        <v>-</v>
      </c>
      <c r="F211" s="115">
        <f>VLOOKUP(C211,'Talente &amp; Stuff'!DO:EP,4,FALSE)</f>
        <v>0</v>
      </c>
      <c r="G211" s="122">
        <f>VLOOKUP(C211,'Talente &amp; Stuff'!DO:EP,5,FALSE)</f>
        <v>0</v>
      </c>
      <c r="H211" s="122">
        <f>VLOOKUP(C211,'Talente &amp; Stuff'!DO:EP,6,FALSE)</f>
        <v>0</v>
      </c>
      <c r="I211" s="122">
        <f>VLOOKUP(C211,'Talente &amp; Stuff'!DO:EP,7,FALSE)</f>
        <v>0</v>
      </c>
      <c r="J211" s="122">
        <f>VLOOKUP(C211,'Talente &amp; Stuff'!DO:EP,8,FALSE)</f>
        <v>0</v>
      </c>
      <c r="K211" s="122">
        <f>VLOOKUP(C211,'Talente &amp; Stuff'!DO:EP,9,FALSE)</f>
        <v>0</v>
      </c>
      <c r="L211" s="122">
        <f>VLOOKUP(C211,'Talente &amp; Stuff'!DO:EP,10,FALSE)</f>
        <v>0</v>
      </c>
      <c r="M211" s="123">
        <f>VLOOKUP(C211,'Talente &amp; Stuff'!DO:EP,11,FALSE)</f>
        <v>0</v>
      </c>
      <c r="N211" s="88">
        <f>VLOOKUP(C211,'Talente &amp; Stuff'!DO:EP,12,FALSE)</f>
        <v>0</v>
      </c>
      <c r="O211" s="88">
        <f>VLOOKUP(C211,'Talente &amp; Stuff'!DO:EP,13,FALSE)</f>
        <v>0</v>
      </c>
      <c r="P211" s="123">
        <f>VLOOKUP(C211,'Talente &amp; Stuff'!DO:EP,14,FALSE)</f>
        <v>0</v>
      </c>
      <c r="Q211" s="115">
        <f>VLOOKUP(C211,'Talente &amp; Stuff'!DO:EP,15,FALSE)</f>
        <v>0</v>
      </c>
      <c r="R211" s="122">
        <f>VLOOKUP(C211,'Talente &amp; Stuff'!DO:EP,16,FALSE)</f>
        <v>0</v>
      </c>
      <c r="S211" s="123">
        <f>VLOOKUP(C211,'Talente &amp; Stuff'!DO:EP,17,FALSE)</f>
        <v>0</v>
      </c>
      <c r="T211" s="123">
        <f>VLOOKUP(C211,'Talente &amp; Stuff'!DO:EP,18,FALSE)</f>
        <v>0</v>
      </c>
      <c r="U211" s="90">
        <f>VLOOKUP(C211,'Talente &amp; Stuff'!DO:EP,19,FALSE)</f>
        <v>0</v>
      </c>
      <c r="V211" s="88">
        <f>VLOOKUP(C211,'Talente &amp; Stuff'!DO:EP,20,FALSE)</f>
        <v>0</v>
      </c>
      <c r="W211" s="128">
        <f>VLOOKUP(C211,'Talente &amp; Stuff'!DO:EP,21,FALSE)</f>
        <v>0</v>
      </c>
      <c r="X211" s="128">
        <f>VLOOKUP(C211,'Talente &amp; Stuff'!DO:EP,22,FALSE)</f>
        <v>0</v>
      </c>
      <c r="Y211" s="165">
        <f t="shared" si="18"/>
        <v>0</v>
      </c>
      <c r="Z211" s="44">
        <f t="shared" si="19"/>
        <v>0</v>
      </c>
      <c r="AA211" s="159">
        <f>VLOOKUP(C211,'Talente &amp; Stuff'!DO:EP,25,FALSE)</f>
        <v>0</v>
      </c>
      <c r="AB211" s="161">
        <f>VLOOKUP(C211,'Talente &amp; Stuff'!DO:EP,26,FALSE)</f>
        <v>0</v>
      </c>
      <c r="AC211" s="128">
        <f>VLOOKUP(C211,'Talente &amp; Stuff'!DO:EP,27,FALSE)</f>
        <v>0</v>
      </c>
      <c r="AD211" s="159">
        <f>VLOOKUP(C211,'Talente &amp; Stuff'!DO:EP,28,FALSE)</f>
        <v>0</v>
      </c>
      <c r="AE211" s="28"/>
    </row>
    <row r="212" spans="2:31" ht="15" hidden="1" customHeight="1" outlineLevel="1" collapsed="1">
      <c r="B212" s="134" t="s">
        <v>328</v>
      </c>
      <c r="C212" s="83"/>
      <c r="D212" s="84"/>
      <c r="E212" s="84"/>
    </row>
    <row r="213" spans="2:31" ht="15" hidden="1" customHeight="1" outlineLevel="2">
      <c r="B213" s="148">
        <v>1</v>
      </c>
      <c r="C213" s="177" t="str">
        <f>Attribute!C213</f>
        <v>---</v>
      </c>
      <c r="D213" s="85" t="str">
        <f>VLOOKUP(C213,'Talente &amp; Stuff'!DO:EP,2,FALSE)</f>
        <v>--/--/--</v>
      </c>
      <c r="E213" s="126" t="str">
        <f>VLOOKUP(C213,'Talente &amp; Stuff'!DO:EP,3,FALSE)</f>
        <v>-</v>
      </c>
      <c r="F213" s="191">
        <f>VLOOKUP(C213,'Talente &amp; Stuff'!DO:EP,4,FALSE)</f>
        <v>0</v>
      </c>
      <c r="G213" s="118">
        <f>VLOOKUP(C213,'Talente &amp; Stuff'!DO:EP,5,FALSE)</f>
        <v>0</v>
      </c>
      <c r="H213" s="118">
        <f>VLOOKUP(C213,'Talente &amp; Stuff'!DO:EP,6,FALSE)</f>
        <v>0</v>
      </c>
      <c r="I213" s="118">
        <f>VLOOKUP(C213,'Talente &amp; Stuff'!DO:EP,7,FALSE)</f>
        <v>0</v>
      </c>
      <c r="J213" s="118">
        <f>VLOOKUP(C213,'Talente &amp; Stuff'!DO:EP,8,FALSE)</f>
        <v>0</v>
      </c>
      <c r="K213" s="118">
        <f>VLOOKUP(C213,'Talente &amp; Stuff'!DO:EP,9,FALSE)</f>
        <v>0</v>
      </c>
      <c r="L213" s="118">
        <f>VLOOKUP(C213,'Talente &amp; Stuff'!DO:EP,10,FALSE)</f>
        <v>0</v>
      </c>
      <c r="M213" s="92">
        <f>VLOOKUP(C213,'Talente &amp; Stuff'!DO:EP,11,FALSE)</f>
        <v>0</v>
      </c>
      <c r="N213" s="116">
        <f>VLOOKUP(C213,'Talente &amp; Stuff'!DO:EP,12,FALSE)</f>
        <v>0</v>
      </c>
      <c r="O213" s="194">
        <f>VLOOKUP(C213,'Talente &amp; Stuff'!DO:EP,13,FALSE)</f>
        <v>0</v>
      </c>
      <c r="P213" s="192">
        <f>VLOOKUP(C213,'Talente &amp; Stuff'!DO:EP,14,FALSE)</f>
        <v>0</v>
      </c>
      <c r="Q213" s="191">
        <f>VLOOKUP(C213,'Talente &amp; Stuff'!DO:EP,15,FALSE)</f>
        <v>0</v>
      </c>
      <c r="R213" s="170">
        <f>VLOOKUP(C213,'Talente &amp; Stuff'!DO:EP,16,FALSE)</f>
        <v>0</v>
      </c>
      <c r="S213" s="92">
        <f>VLOOKUP(C213,'Talente &amp; Stuff'!DO:EP,17,FALSE)</f>
        <v>0</v>
      </c>
      <c r="T213" s="92">
        <f>VLOOKUP(C213,'Talente &amp; Stuff'!DO:EP,18,FALSE)</f>
        <v>0</v>
      </c>
      <c r="U213" s="193">
        <f>VLOOKUP(C213,'Talente &amp; Stuff'!DO:EP,19,FALSE)</f>
        <v>0</v>
      </c>
      <c r="V213" s="116">
        <f>VLOOKUP(C213,'Talente &amp; Stuff'!DO:EP,20,FALSE)</f>
        <v>0</v>
      </c>
      <c r="W213" s="126">
        <f>VLOOKUP(C213,'Talente &amp; Stuff'!DO:EP,21,FALSE)</f>
        <v>0</v>
      </c>
      <c r="X213" s="126">
        <f>VLOOKUP(C213,'Talente &amp; Stuff'!DO:EP,22,FALSE)</f>
        <v>0</v>
      </c>
      <c r="Y213" s="165">
        <f t="shared" ref="Y213:Y257" si="20">VLOOKUP(C213,Ausgewählte_Zauber_Hexen,139,FALSE)</f>
        <v>0</v>
      </c>
      <c r="Z213" s="44">
        <f t="shared" ref="Z213:Z257" si="21">VLOOKUP(C213,Ausgewählte_Zauber_Hexen,140,FALSE)</f>
        <v>0</v>
      </c>
      <c r="AA213" s="158">
        <f>VLOOKUP(C213,'Talente &amp; Stuff'!DO:EP,25,FALSE)</f>
        <v>0</v>
      </c>
      <c r="AB213" s="91">
        <f>VLOOKUP(C213,'Talente &amp; Stuff'!DO:EP,26,FALSE)</f>
        <v>0</v>
      </c>
      <c r="AC213" s="126">
        <f>VLOOKUP(C213,'Talente &amp; Stuff'!DO:EP,27,FALSE)</f>
        <v>0</v>
      </c>
      <c r="AD213" s="158">
        <f>VLOOKUP(C213,'Talente &amp; Stuff'!DO:EP,28,FALSE)</f>
        <v>0</v>
      </c>
      <c r="AE213" s="28"/>
    </row>
    <row r="214" spans="2:31" ht="15" hidden="1" customHeight="1" outlineLevel="2">
      <c r="B214" s="148">
        <v>2</v>
      </c>
      <c r="C214" s="177" t="str">
        <f>Attribute!C214</f>
        <v>---</v>
      </c>
      <c r="D214" s="125" t="str">
        <f>VLOOKUP(C214,'Talente &amp; Stuff'!DO:EP,2,FALSE)</f>
        <v>--/--/--</v>
      </c>
      <c r="E214" s="127" t="str">
        <f>VLOOKUP(C214,'Talente &amp; Stuff'!DO:EP,3,FALSE)</f>
        <v>-</v>
      </c>
      <c r="F214" s="114">
        <f>VLOOKUP(C214,'Talente &amp; Stuff'!DO:EP,4,FALSE)</f>
        <v>0</v>
      </c>
      <c r="G214" s="113">
        <f>VLOOKUP(C214,'Talente &amp; Stuff'!DO:EP,5,FALSE)</f>
        <v>0</v>
      </c>
      <c r="H214" s="113">
        <f>VLOOKUP(C214,'Talente &amp; Stuff'!DO:EP,6,FALSE)</f>
        <v>0</v>
      </c>
      <c r="I214" s="113">
        <f>VLOOKUP(C214,'Talente &amp; Stuff'!DO:EP,7,FALSE)</f>
        <v>0</v>
      </c>
      <c r="J214" s="113">
        <f>VLOOKUP(C214,'Talente &amp; Stuff'!DO:EP,8,FALSE)</f>
        <v>0</v>
      </c>
      <c r="K214" s="113">
        <f>VLOOKUP(C214,'Talente &amp; Stuff'!DO:EP,9,FALSE)</f>
        <v>0</v>
      </c>
      <c r="L214" s="113">
        <f>VLOOKUP(C214,'Talente &amp; Stuff'!DO:EP,10,FALSE)</f>
        <v>0</v>
      </c>
      <c r="M214" s="119">
        <f>VLOOKUP(C214,'Talente &amp; Stuff'!DO:EP,11,FALSE)</f>
        <v>0</v>
      </c>
      <c r="N214" s="47">
        <f>VLOOKUP(C214,'Talente &amp; Stuff'!DO:EP,12,FALSE)</f>
        <v>0</v>
      </c>
      <c r="O214" s="47">
        <f>VLOOKUP(C214,'Talente &amp; Stuff'!DO:EP,13,FALSE)</f>
        <v>0</v>
      </c>
      <c r="P214" s="119">
        <f>VLOOKUP(C214,'Talente &amp; Stuff'!DO:EP,14,FALSE)</f>
        <v>0</v>
      </c>
      <c r="Q214" s="114">
        <f>VLOOKUP(C214,'Talente &amp; Stuff'!DO:EP,15,FALSE)</f>
        <v>0</v>
      </c>
      <c r="R214" s="113">
        <f>VLOOKUP(C214,'Talente &amp; Stuff'!DO:EP,16,FALSE)</f>
        <v>0</v>
      </c>
      <c r="S214" s="119">
        <f>VLOOKUP(C214,'Talente &amp; Stuff'!DO:EP,17,FALSE)</f>
        <v>0</v>
      </c>
      <c r="T214" s="119">
        <f>VLOOKUP(C214,'Talente &amp; Stuff'!DO:EP,18,FALSE)</f>
        <v>0</v>
      </c>
      <c r="U214" s="89">
        <f>VLOOKUP(C214,'Talente &amp; Stuff'!DO:EP,19,FALSE)</f>
        <v>0</v>
      </c>
      <c r="V214" s="47">
        <f>VLOOKUP(C214,'Talente &amp; Stuff'!DO:EP,20,FALSE)</f>
        <v>0</v>
      </c>
      <c r="W214" s="127">
        <f>VLOOKUP(C214,'Talente &amp; Stuff'!DO:EP,21,FALSE)</f>
        <v>0</v>
      </c>
      <c r="X214" s="127">
        <f>VLOOKUP(C214,'Talente &amp; Stuff'!DO:EP,22,FALSE)</f>
        <v>0</v>
      </c>
      <c r="Y214" s="165">
        <f t="shared" si="20"/>
        <v>0</v>
      </c>
      <c r="Z214" s="44">
        <f t="shared" si="21"/>
        <v>0</v>
      </c>
      <c r="AA214" s="125">
        <f>VLOOKUP(C214,'Talente &amp; Stuff'!DO:EP,25,FALSE)</f>
        <v>0</v>
      </c>
      <c r="AB214" s="160">
        <f>VLOOKUP(C214,'Talente &amp; Stuff'!DO:EP,26,FALSE)</f>
        <v>0</v>
      </c>
      <c r="AC214" s="127">
        <f>VLOOKUP(C214,'Talente &amp; Stuff'!DO:EP,27,FALSE)</f>
        <v>0</v>
      </c>
      <c r="AD214" s="125">
        <f>VLOOKUP(C214,'Talente &amp; Stuff'!DO:EP,28,FALSE)</f>
        <v>0</v>
      </c>
      <c r="AE214" s="28"/>
    </row>
    <row r="215" spans="2:31" ht="15" hidden="1" customHeight="1" outlineLevel="2">
      <c r="B215" s="148">
        <v>3</v>
      </c>
      <c r="C215" s="177" t="str">
        <f>Attribute!C215</f>
        <v>---</v>
      </c>
      <c r="D215" s="125" t="str">
        <f>VLOOKUP(C215,'Talente &amp; Stuff'!DO:EP,2,FALSE)</f>
        <v>--/--/--</v>
      </c>
      <c r="E215" s="127" t="str">
        <f>VLOOKUP(C215,'Talente &amp; Stuff'!DO:EP,3,FALSE)</f>
        <v>-</v>
      </c>
      <c r="F215" s="114">
        <f>VLOOKUP(C215,'Talente &amp; Stuff'!DO:EP,4,FALSE)</f>
        <v>0</v>
      </c>
      <c r="G215" s="113">
        <f>VLOOKUP(C215,'Talente &amp; Stuff'!DO:EP,5,FALSE)</f>
        <v>0</v>
      </c>
      <c r="H215" s="113">
        <f>VLOOKUP(C215,'Talente &amp; Stuff'!DO:EP,6,FALSE)</f>
        <v>0</v>
      </c>
      <c r="I215" s="113">
        <f>VLOOKUP(C215,'Talente &amp; Stuff'!DO:EP,7,FALSE)</f>
        <v>0</v>
      </c>
      <c r="J215" s="113">
        <f>VLOOKUP(C215,'Talente &amp; Stuff'!DO:EP,8,FALSE)</f>
        <v>0</v>
      </c>
      <c r="K215" s="113">
        <f>VLOOKUP(C215,'Talente &amp; Stuff'!DO:EP,9,FALSE)</f>
        <v>0</v>
      </c>
      <c r="L215" s="113">
        <f>VLOOKUP(C215,'Talente &amp; Stuff'!DO:EP,10,FALSE)</f>
        <v>0</v>
      </c>
      <c r="M215" s="119">
        <f>VLOOKUP(C215,'Talente &amp; Stuff'!DO:EP,11,FALSE)</f>
        <v>0</v>
      </c>
      <c r="N215" s="47">
        <f>VLOOKUP(C215,'Talente &amp; Stuff'!DO:EP,12,FALSE)</f>
        <v>0</v>
      </c>
      <c r="O215" s="47">
        <f>VLOOKUP(C215,'Talente &amp; Stuff'!DO:EP,13,FALSE)</f>
        <v>0</v>
      </c>
      <c r="P215" s="119">
        <f>VLOOKUP(C215,'Talente &amp; Stuff'!DO:EP,14,FALSE)</f>
        <v>0</v>
      </c>
      <c r="Q215" s="114">
        <f>VLOOKUP(C215,'Talente &amp; Stuff'!DO:EP,15,FALSE)</f>
        <v>0</v>
      </c>
      <c r="R215" s="113">
        <f>VLOOKUP(C215,'Talente &amp; Stuff'!DO:EP,16,FALSE)</f>
        <v>0</v>
      </c>
      <c r="S215" s="119">
        <f>VLOOKUP(C215,'Talente &amp; Stuff'!DO:EP,17,FALSE)</f>
        <v>0</v>
      </c>
      <c r="T215" s="119">
        <f>VLOOKUP(C215,'Talente &amp; Stuff'!DO:EP,18,FALSE)</f>
        <v>0</v>
      </c>
      <c r="U215" s="89">
        <f>VLOOKUP(C215,'Talente &amp; Stuff'!DO:EP,19,FALSE)</f>
        <v>0</v>
      </c>
      <c r="V215" s="47">
        <f>VLOOKUP(C215,'Talente &amp; Stuff'!DO:EP,20,FALSE)</f>
        <v>0</v>
      </c>
      <c r="W215" s="127">
        <f>VLOOKUP(C215,'Talente &amp; Stuff'!DO:EP,21,FALSE)</f>
        <v>0</v>
      </c>
      <c r="X215" s="127">
        <f>VLOOKUP(C215,'Talente &amp; Stuff'!DO:EP,22,FALSE)</f>
        <v>0</v>
      </c>
      <c r="Y215" s="165">
        <f t="shared" si="20"/>
        <v>0</v>
      </c>
      <c r="Z215" s="44">
        <f t="shared" si="21"/>
        <v>0</v>
      </c>
      <c r="AA215" s="125">
        <f>VLOOKUP(C215,'Talente &amp; Stuff'!DO:EP,25,FALSE)</f>
        <v>0</v>
      </c>
      <c r="AB215" s="160">
        <f>VLOOKUP(C215,'Talente &amp; Stuff'!DO:EP,26,FALSE)</f>
        <v>0</v>
      </c>
      <c r="AC215" s="127">
        <f>VLOOKUP(C215,'Talente &amp; Stuff'!DO:EP,27,FALSE)</f>
        <v>0</v>
      </c>
      <c r="AD215" s="125">
        <f>VLOOKUP(C215,'Talente &amp; Stuff'!DO:EP,28,FALSE)</f>
        <v>0</v>
      </c>
      <c r="AE215" s="28"/>
    </row>
    <row r="216" spans="2:31" ht="15" hidden="1" customHeight="1" outlineLevel="2">
      <c r="B216" s="148">
        <v>4</v>
      </c>
      <c r="C216" s="177" t="str">
        <f>Attribute!C216</f>
        <v>---</v>
      </c>
      <c r="D216" s="86" t="str">
        <f>VLOOKUP(C216,'Talente &amp; Stuff'!DO:EP,2,FALSE)</f>
        <v>--/--/--</v>
      </c>
      <c r="E216" s="167" t="str">
        <f>VLOOKUP(C216,'Talente &amp; Stuff'!DO:EP,3,FALSE)</f>
        <v>-</v>
      </c>
      <c r="F216" s="120">
        <f>VLOOKUP(C216,'Talente &amp; Stuff'!DO:EP,4,FALSE)</f>
        <v>0</v>
      </c>
      <c r="G216" s="117">
        <f>VLOOKUP(C216,'Talente &amp; Stuff'!DO:EP,5,FALSE)</f>
        <v>0</v>
      </c>
      <c r="H216" s="117">
        <f>VLOOKUP(C216,'Talente &amp; Stuff'!DO:EP,6,FALSE)</f>
        <v>0</v>
      </c>
      <c r="I216" s="117">
        <f>VLOOKUP(C216,'Talente &amp; Stuff'!DO:EP,7,FALSE)</f>
        <v>0</v>
      </c>
      <c r="J216" s="117">
        <f>VLOOKUP(C216,'Talente &amp; Stuff'!DO:EP,8,FALSE)</f>
        <v>0</v>
      </c>
      <c r="K216" s="117">
        <f>VLOOKUP(C216,'Talente &amp; Stuff'!DO:EP,9,FALSE)</f>
        <v>0</v>
      </c>
      <c r="L216" s="117">
        <f>VLOOKUP(C216,'Talente &amp; Stuff'!DO:EP,10,FALSE)</f>
        <v>0</v>
      </c>
      <c r="M216" s="121">
        <f>VLOOKUP(C216,'Talente &amp; Stuff'!DO:EP,11,FALSE)</f>
        <v>0</v>
      </c>
      <c r="N216" s="47">
        <f>VLOOKUP(C216,'Talente &amp; Stuff'!DO:EP,12,FALSE)</f>
        <v>0</v>
      </c>
      <c r="O216" s="3">
        <f>VLOOKUP(C216,'Talente &amp; Stuff'!DO:EP,13,FALSE)</f>
        <v>0</v>
      </c>
      <c r="P216" s="174">
        <f>VLOOKUP(C216,'Talente &amp; Stuff'!DO:EP,14,FALSE)</f>
        <v>0</v>
      </c>
      <c r="Q216" s="114">
        <f>VLOOKUP(C216,'Talente &amp; Stuff'!DO:EP,15,FALSE)</f>
        <v>0</v>
      </c>
      <c r="R216" s="117">
        <f>VLOOKUP(C216,'Talente &amp; Stuff'!DO:EP,16,FALSE)</f>
        <v>0</v>
      </c>
      <c r="S216" s="119">
        <f>VLOOKUP(C216,'Talente &amp; Stuff'!DO:EP,17,FALSE)</f>
        <v>0</v>
      </c>
      <c r="T216" s="119">
        <f>VLOOKUP(C216,'Talente &amp; Stuff'!DO:EP,18,FALSE)</f>
        <v>0</v>
      </c>
      <c r="U216" s="89">
        <f>VLOOKUP(C216,'Talente &amp; Stuff'!DO:EP,19,FALSE)</f>
        <v>0</v>
      </c>
      <c r="V216" s="47">
        <f>VLOOKUP(C216,'Talente &amp; Stuff'!DO:EP,20,FALSE)</f>
        <v>0</v>
      </c>
      <c r="W216" s="127">
        <f>VLOOKUP(C216,'Talente &amp; Stuff'!DO:EP,21,FALSE)</f>
        <v>0</v>
      </c>
      <c r="X216" s="127">
        <f>VLOOKUP(C216,'Talente &amp; Stuff'!DO:EP,22,FALSE)</f>
        <v>0</v>
      </c>
      <c r="Y216" s="165">
        <f t="shared" si="20"/>
        <v>0</v>
      </c>
      <c r="Z216" s="44">
        <f t="shared" si="21"/>
        <v>0</v>
      </c>
      <c r="AA216" s="125">
        <f>VLOOKUP(C216,'Talente &amp; Stuff'!DO:EP,25,FALSE)</f>
        <v>0</v>
      </c>
      <c r="AB216" s="160">
        <f>VLOOKUP(C216,'Talente &amp; Stuff'!DO:EP,26,FALSE)</f>
        <v>0</v>
      </c>
      <c r="AC216" s="127">
        <f>VLOOKUP(C216,'Talente &amp; Stuff'!DO:EP,27,FALSE)</f>
        <v>0</v>
      </c>
      <c r="AD216" s="125">
        <f>VLOOKUP(C216,'Talente &amp; Stuff'!DO:EP,28,FALSE)</f>
        <v>0</v>
      </c>
      <c r="AE216" s="28"/>
    </row>
    <row r="217" spans="2:31" ht="15" hidden="1" customHeight="1" outlineLevel="2">
      <c r="B217" s="148">
        <v>5</v>
      </c>
      <c r="C217" s="177" t="str">
        <f>Attribute!C217</f>
        <v>---</v>
      </c>
      <c r="D217" s="86" t="str">
        <f>VLOOKUP(C217,'Talente &amp; Stuff'!DO:EP,2,FALSE)</f>
        <v>--/--/--</v>
      </c>
      <c r="E217" s="167" t="str">
        <f>VLOOKUP(C217,'Talente &amp; Stuff'!DO:EP,3,FALSE)</f>
        <v>-</v>
      </c>
      <c r="F217" s="120">
        <f>VLOOKUP(C217,'Talente &amp; Stuff'!DO:EP,4,FALSE)</f>
        <v>0</v>
      </c>
      <c r="G217" s="117">
        <f>VLOOKUP(C217,'Talente &amp; Stuff'!DO:EP,5,FALSE)</f>
        <v>0</v>
      </c>
      <c r="H217" s="117">
        <f>VLOOKUP(C217,'Talente &amp; Stuff'!DO:EP,6,FALSE)</f>
        <v>0</v>
      </c>
      <c r="I217" s="117">
        <f>VLOOKUP(C217,'Talente &amp; Stuff'!DO:EP,7,FALSE)</f>
        <v>0</v>
      </c>
      <c r="J217" s="117">
        <f>VLOOKUP(C217,'Talente &amp; Stuff'!DO:EP,8,FALSE)</f>
        <v>0</v>
      </c>
      <c r="K217" s="117">
        <f>VLOOKUP(C217,'Talente &amp; Stuff'!DO:EP,9,FALSE)</f>
        <v>0</v>
      </c>
      <c r="L217" s="117">
        <f>VLOOKUP(C217,'Talente &amp; Stuff'!DO:EP,10,FALSE)</f>
        <v>0</v>
      </c>
      <c r="M217" s="121">
        <f>VLOOKUP(C217,'Talente &amp; Stuff'!DO:EP,11,FALSE)</f>
        <v>0</v>
      </c>
      <c r="N217" s="47">
        <f>VLOOKUP(C217,'Talente &amp; Stuff'!DO:EP,12,FALSE)</f>
        <v>0</v>
      </c>
      <c r="O217" s="3">
        <f>VLOOKUP(C217,'Talente &amp; Stuff'!DO:EP,13,FALSE)</f>
        <v>0</v>
      </c>
      <c r="P217" s="174">
        <f>VLOOKUP(C217,'Talente &amp; Stuff'!DO:EP,14,FALSE)</f>
        <v>0</v>
      </c>
      <c r="Q217" s="114">
        <f>VLOOKUP(C217,'Talente &amp; Stuff'!DO:EP,15,FALSE)</f>
        <v>0</v>
      </c>
      <c r="R217" s="117">
        <f>VLOOKUP(C217,'Talente &amp; Stuff'!DO:EP,16,FALSE)</f>
        <v>0</v>
      </c>
      <c r="S217" s="119">
        <f>VLOOKUP(C217,'Talente &amp; Stuff'!DO:EP,17,FALSE)</f>
        <v>0</v>
      </c>
      <c r="T217" s="119">
        <f>VLOOKUP(C217,'Talente &amp; Stuff'!DO:EP,18,FALSE)</f>
        <v>0</v>
      </c>
      <c r="U217" s="89">
        <f>VLOOKUP(C217,'Talente &amp; Stuff'!DO:EP,19,FALSE)</f>
        <v>0</v>
      </c>
      <c r="V217" s="47">
        <f>VLOOKUP(C217,'Talente &amp; Stuff'!DO:EP,20,FALSE)</f>
        <v>0</v>
      </c>
      <c r="W217" s="127">
        <f>VLOOKUP(C217,'Talente &amp; Stuff'!DO:EP,21,FALSE)</f>
        <v>0</v>
      </c>
      <c r="X217" s="127">
        <f>VLOOKUP(C217,'Talente &amp; Stuff'!DO:EP,22,FALSE)</f>
        <v>0</v>
      </c>
      <c r="Y217" s="165">
        <f t="shared" si="20"/>
        <v>0</v>
      </c>
      <c r="Z217" s="44">
        <f t="shared" si="21"/>
        <v>0</v>
      </c>
      <c r="AA217" s="125">
        <f>VLOOKUP(C217,'Talente &amp; Stuff'!DO:EP,25,FALSE)</f>
        <v>0</v>
      </c>
      <c r="AB217" s="160">
        <f>VLOOKUP(C217,'Talente &amp; Stuff'!DO:EP,26,FALSE)</f>
        <v>0</v>
      </c>
      <c r="AC217" s="127">
        <f>VLOOKUP(C217,'Talente &amp; Stuff'!DO:EP,27,FALSE)</f>
        <v>0</v>
      </c>
      <c r="AD217" s="125">
        <f>VLOOKUP(C217,'Talente &amp; Stuff'!DO:EP,28,FALSE)</f>
        <v>0</v>
      </c>
      <c r="AE217" s="28"/>
    </row>
    <row r="218" spans="2:31" ht="15" hidden="1" customHeight="1" outlineLevel="2">
      <c r="B218" s="148">
        <v>6</v>
      </c>
      <c r="C218" s="177" t="str">
        <f>Attribute!C218</f>
        <v>---</v>
      </c>
      <c r="D218" s="125" t="str">
        <f>VLOOKUP(C218,'Talente &amp; Stuff'!DO:EP,2,FALSE)</f>
        <v>--/--/--</v>
      </c>
      <c r="E218" s="127" t="str">
        <f>VLOOKUP(C218,'Talente &amp; Stuff'!DO:EP,3,FALSE)</f>
        <v>-</v>
      </c>
      <c r="F218" s="114">
        <f>VLOOKUP(C218,'Talente &amp; Stuff'!DO:EP,4,FALSE)</f>
        <v>0</v>
      </c>
      <c r="G218" s="113">
        <f>VLOOKUP(C218,'Talente &amp; Stuff'!DO:EP,5,FALSE)</f>
        <v>0</v>
      </c>
      <c r="H218" s="113">
        <f>VLOOKUP(C218,'Talente &amp; Stuff'!DO:EP,6,FALSE)</f>
        <v>0</v>
      </c>
      <c r="I218" s="113">
        <f>VLOOKUP(C218,'Talente &amp; Stuff'!DO:EP,7,FALSE)</f>
        <v>0</v>
      </c>
      <c r="J218" s="113">
        <f>VLOOKUP(C218,'Talente &amp; Stuff'!DO:EP,8,FALSE)</f>
        <v>0</v>
      </c>
      <c r="K218" s="113">
        <f>VLOOKUP(C218,'Talente &amp; Stuff'!DO:EP,9,FALSE)</f>
        <v>0</v>
      </c>
      <c r="L218" s="113">
        <f>VLOOKUP(C218,'Talente &amp; Stuff'!DO:EP,10,FALSE)</f>
        <v>0</v>
      </c>
      <c r="M218" s="119">
        <f>VLOOKUP(C218,'Talente &amp; Stuff'!DO:EP,11,FALSE)</f>
        <v>0</v>
      </c>
      <c r="N218" s="47">
        <f>VLOOKUP(C218,'Talente &amp; Stuff'!DO:EP,12,FALSE)</f>
        <v>0</v>
      </c>
      <c r="O218" s="47">
        <f>VLOOKUP(C218,'Talente &amp; Stuff'!DO:EP,13,FALSE)</f>
        <v>0</v>
      </c>
      <c r="P218" s="119">
        <f>VLOOKUP(C218,'Talente &amp; Stuff'!DO:EP,14,FALSE)</f>
        <v>0</v>
      </c>
      <c r="Q218" s="114">
        <f>VLOOKUP(C218,'Talente &amp; Stuff'!DO:EP,15,FALSE)</f>
        <v>0</v>
      </c>
      <c r="R218" s="113">
        <f>VLOOKUP(C218,'Talente &amp; Stuff'!DO:EP,16,FALSE)</f>
        <v>0</v>
      </c>
      <c r="S218" s="119">
        <f>VLOOKUP(C218,'Talente &amp; Stuff'!DO:EP,17,FALSE)</f>
        <v>0</v>
      </c>
      <c r="T218" s="119">
        <f>VLOOKUP(C218,'Talente &amp; Stuff'!DO:EP,18,FALSE)</f>
        <v>0</v>
      </c>
      <c r="U218" s="89">
        <f>VLOOKUP(C218,'Talente &amp; Stuff'!DO:EP,19,FALSE)</f>
        <v>0</v>
      </c>
      <c r="V218" s="47">
        <f>VLOOKUP(C218,'Talente &amp; Stuff'!DO:EP,20,FALSE)</f>
        <v>0</v>
      </c>
      <c r="W218" s="127">
        <f>VLOOKUP(C218,'Talente &amp; Stuff'!DO:EP,21,FALSE)</f>
        <v>0</v>
      </c>
      <c r="X218" s="127">
        <f>VLOOKUP(C218,'Talente &amp; Stuff'!DO:EP,22,FALSE)</f>
        <v>0</v>
      </c>
      <c r="Y218" s="165">
        <f t="shared" si="20"/>
        <v>0</v>
      </c>
      <c r="Z218" s="44">
        <f t="shared" si="21"/>
        <v>0</v>
      </c>
      <c r="AA218" s="125">
        <f>VLOOKUP(C218,'Talente &amp; Stuff'!DO:EP,25,FALSE)</f>
        <v>0</v>
      </c>
      <c r="AB218" s="160">
        <f>VLOOKUP(C218,'Talente &amp; Stuff'!DO:EP,26,FALSE)</f>
        <v>0</v>
      </c>
      <c r="AC218" s="127">
        <f>VLOOKUP(C218,'Talente &amp; Stuff'!DO:EP,27,FALSE)</f>
        <v>0</v>
      </c>
      <c r="AD218" s="125">
        <f>VLOOKUP(C218,'Talente &amp; Stuff'!DO:EP,28,FALSE)</f>
        <v>0</v>
      </c>
      <c r="AE218" s="28"/>
    </row>
    <row r="219" spans="2:31" ht="15" hidden="1" customHeight="1" outlineLevel="2">
      <c r="B219" s="148">
        <v>7</v>
      </c>
      <c r="C219" s="177" t="str">
        <f>Attribute!C219</f>
        <v>---</v>
      </c>
      <c r="D219" s="125" t="str">
        <f>VLOOKUP(C219,'Talente &amp; Stuff'!DO:EP,2,FALSE)</f>
        <v>--/--/--</v>
      </c>
      <c r="E219" s="127" t="str">
        <f>VLOOKUP(C219,'Talente &amp; Stuff'!DO:EP,3,FALSE)</f>
        <v>-</v>
      </c>
      <c r="F219" s="114">
        <f>VLOOKUP(C219,'Talente &amp; Stuff'!DO:EP,4,FALSE)</f>
        <v>0</v>
      </c>
      <c r="G219" s="113">
        <f>VLOOKUP(C219,'Talente &amp; Stuff'!DO:EP,5,FALSE)</f>
        <v>0</v>
      </c>
      <c r="H219" s="113">
        <f>VLOOKUP(C219,'Talente &amp; Stuff'!DO:EP,6,FALSE)</f>
        <v>0</v>
      </c>
      <c r="I219" s="113">
        <f>VLOOKUP(C219,'Talente &amp; Stuff'!DO:EP,7,FALSE)</f>
        <v>0</v>
      </c>
      <c r="J219" s="113">
        <f>VLOOKUP(C219,'Talente &amp; Stuff'!DO:EP,8,FALSE)</f>
        <v>0</v>
      </c>
      <c r="K219" s="113">
        <f>VLOOKUP(C219,'Talente &amp; Stuff'!DO:EP,9,FALSE)</f>
        <v>0</v>
      </c>
      <c r="L219" s="113">
        <f>VLOOKUP(C219,'Talente &amp; Stuff'!DO:EP,10,FALSE)</f>
        <v>0</v>
      </c>
      <c r="M219" s="119">
        <f>VLOOKUP(C219,'Talente &amp; Stuff'!DO:EP,11,FALSE)</f>
        <v>0</v>
      </c>
      <c r="N219" s="47">
        <f>VLOOKUP(C219,'Talente &amp; Stuff'!DO:EP,12,FALSE)</f>
        <v>0</v>
      </c>
      <c r="O219" s="47">
        <f>VLOOKUP(C219,'Talente &amp; Stuff'!DO:EP,13,FALSE)</f>
        <v>0</v>
      </c>
      <c r="P219" s="119">
        <f>VLOOKUP(C219,'Talente &amp; Stuff'!DO:EP,14,FALSE)</f>
        <v>0</v>
      </c>
      <c r="Q219" s="114">
        <f>VLOOKUP(C219,'Talente &amp; Stuff'!DO:EP,15,FALSE)</f>
        <v>0</v>
      </c>
      <c r="R219" s="113">
        <f>VLOOKUP(C219,'Talente &amp; Stuff'!DO:EP,16,FALSE)</f>
        <v>0</v>
      </c>
      <c r="S219" s="119">
        <f>VLOOKUP(C219,'Talente &amp; Stuff'!DO:EP,17,FALSE)</f>
        <v>0</v>
      </c>
      <c r="T219" s="119">
        <f>VLOOKUP(C219,'Talente &amp; Stuff'!DO:EP,18,FALSE)</f>
        <v>0</v>
      </c>
      <c r="U219" s="89">
        <f>VLOOKUP(C219,'Talente &amp; Stuff'!DO:EP,19,FALSE)</f>
        <v>0</v>
      </c>
      <c r="V219" s="47">
        <f>VLOOKUP(C219,'Talente &amp; Stuff'!DO:EP,20,FALSE)</f>
        <v>0</v>
      </c>
      <c r="W219" s="127">
        <f>VLOOKUP(C219,'Talente &amp; Stuff'!DO:EP,21,FALSE)</f>
        <v>0</v>
      </c>
      <c r="X219" s="127">
        <f>VLOOKUP(C219,'Talente &amp; Stuff'!DO:EP,22,FALSE)</f>
        <v>0</v>
      </c>
      <c r="Y219" s="165">
        <f t="shared" si="20"/>
        <v>0</v>
      </c>
      <c r="Z219" s="44">
        <f t="shared" si="21"/>
        <v>0</v>
      </c>
      <c r="AA219" s="125">
        <f>VLOOKUP(C219,'Talente &amp; Stuff'!DO:EP,25,FALSE)</f>
        <v>0</v>
      </c>
      <c r="AB219" s="160">
        <f>VLOOKUP(C219,'Talente &amp; Stuff'!DO:EP,26,FALSE)</f>
        <v>0</v>
      </c>
      <c r="AC219" s="127">
        <f>VLOOKUP(C219,'Talente &amp; Stuff'!DO:EP,27,FALSE)</f>
        <v>0</v>
      </c>
      <c r="AD219" s="125">
        <f>VLOOKUP(C219,'Talente &amp; Stuff'!DO:EP,28,FALSE)</f>
        <v>0</v>
      </c>
      <c r="AE219" s="28"/>
    </row>
    <row r="220" spans="2:31" ht="15" hidden="1" customHeight="1" outlineLevel="2">
      <c r="B220" s="148">
        <v>8</v>
      </c>
      <c r="C220" s="177" t="str">
        <f>Attribute!C220</f>
        <v>---</v>
      </c>
      <c r="D220" s="125" t="str">
        <f>VLOOKUP(C220,'Talente &amp; Stuff'!DO:EP,2,FALSE)</f>
        <v>--/--/--</v>
      </c>
      <c r="E220" s="127" t="str">
        <f>VLOOKUP(C220,'Talente &amp; Stuff'!DO:EP,3,FALSE)</f>
        <v>-</v>
      </c>
      <c r="F220" s="114">
        <f>VLOOKUP(C220,'Talente &amp; Stuff'!DO:EP,4,FALSE)</f>
        <v>0</v>
      </c>
      <c r="G220" s="113">
        <f>VLOOKUP(C220,'Talente &amp; Stuff'!DO:EP,5,FALSE)</f>
        <v>0</v>
      </c>
      <c r="H220" s="113">
        <f>VLOOKUP(C220,'Talente &amp; Stuff'!DO:EP,6,FALSE)</f>
        <v>0</v>
      </c>
      <c r="I220" s="113">
        <f>VLOOKUP(C220,'Talente &amp; Stuff'!DO:EP,7,FALSE)</f>
        <v>0</v>
      </c>
      <c r="J220" s="113">
        <f>VLOOKUP(C220,'Talente &amp; Stuff'!DO:EP,8,FALSE)</f>
        <v>0</v>
      </c>
      <c r="K220" s="113">
        <f>VLOOKUP(C220,'Talente &amp; Stuff'!DO:EP,9,FALSE)</f>
        <v>0</v>
      </c>
      <c r="L220" s="113">
        <f>VLOOKUP(C220,'Talente &amp; Stuff'!DO:EP,10,FALSE)</f>
        <v>0</v>
      </c>
      <c r="M220" s="119">
        <f>VLOOKUP(C220,'Talente &amp; Stuff'!DO:EP,11,FALSE)</f>
        <v>0</v>
      </c>
      <c r="N220" s="47">
        <f>VLOOKUP(C220,'Talente &amp; Stuff'!DO:EP,12,FALSE)</f>
        <v>0</v>
      </c>
      <c r="O220" s="47">
        <f>VLOOKUP(C220,'Talente &amp; Stuff'!DO:EP,13,FALSE)</f>
        <v>0</v>
      </c>
      <c r="P220" s="119">
        <f>VLOOKUP(C220,'Talente &amp; Stuff'!DO:EP,14,FALSE)</f>
        <v>0</v>
      </c>
      <c r="Q220" s="114">
        <f>VLOOKUP(C220,'Talente &amp; Stuff'!DO:EP,15,FALSE)</f>
        <v>0</v>
      </c>
      <c r="R220" s="113">
        <f>VLOOKUP(C220,'Talente &amp; Stuff'!DO:EP,16,FALSE)</f>
        <v>0</v>
      </c>
      <c r="S220" s="119">
        <f>VLOOKUP(C220,'Talente &amp; Stuff'!DO:EP,17,FALSE)</f>
        <v>0</v>
      </c>
      <c r="T220" s="119">
        <f>VLOOKUP(C220,'Talente &amp; Stuff'!DO:EP,18,FALSE)</f>
        <v>0</v>
      </c>
      <c r="U220" s="89">
        <f>VLOOKUP(C220,'Talente &amp; Stuff'!DO:EP,19,FALSE)</f>
        <v>0</v>
      </c>
      <c r="V220" s="47">
        <f>VLOOKUP(C220,'Talente &amp; Stuff'!DO:EP,20,FALSE)</f>
        <v>0</v>
      </c>
      <c r="W220" s="127">
        <f>VLOOKUP(C220,'Talente &amp; Stuff'!DO:EP,21,FALSE)</f>
        <v>0</v>
      </c>
      <c r="X220" s="127">
        <f>VLOOKUP(C220,'Talente &amp; Stuff'!DO:EP,22,FALSE)</f>
        <v>0</v>
      </c>
      <c r="Y220" s="165">
        <f t="shared" si="20"/>
        <v>0</v>
      </c>
      <c r="Z220" s="44">
        <f t="shared" si="21"/>
        <v>0</v>
      </c>
      <c r="AA220" s="125">
        <f>VLOOKUP(C220,'Talente &amp; Stuff'!DO:EP,25,FALSE)</f>
        <v>0</v>
      </c>
      <c r="AB220" s="160">
        <f>VLOOKUP(C220,'Talente &amp; Stuff'!DO:EP,26,FALSE)</f>
        <v>0</v>
      </c>
      <c r="AC220" s="127">
        <f>VLOOKUP(C220,'Talente &amp; Stuff'!DO:EP,27,FALSE)</f>
        <v>0</v>
      </c>
      <c r="AD220" s="125">
        <f>VLOOKUP(C220,'Talente &amp; Stuff'!DO:EP,28,FALSE)</f>
        <v>0</v>
      </c>
      <c r="AE220" s="28"/>
    </row>
    <row r="221" spans="2:31" ht="15" hidden="1" customHeight="1" outlineLevel="2">
      <c r="B221" s="148">
        <v>9</v>
      </c>
      <c r="C221" s="177" t="str">
        <f>Attribute!C221</f>
        <v>---</v>
      </c>
      <c r="D221" s="125" t="str">
        <f>VLOOKUP(C221,'Talente &amp; Stuff'!DO:EP,2,FALSE)</f>
        <v>--/--/--</v>
      </c>
      <c r="E221" s="127" t="str">
        <f>VLOOKUP(C221,'Talente &amp; Stuff'!DO:EP,3,FALSE)</f>
        <v>-</v>
      </c>
      <c r="F221" s="114">
        <f>VLOOKUP(C221,'Talente &amp; Stuff'!DO:EP,4,FALSE)</f>
        <v>0</v>
      </c>
      <c r="G221" s="113">
        <f>VLOOKUP(C221,'Talente &amp; Stuff'!DO:EP,5,FALSE)</f>
        <v>0</v>
      </c>
      <c r="H221" s="113">
        <f>VLOOKUP(C221,'Talente &amp; Stuff'!DO:EP,6,FALSE)</f>
        <v>0</v>
      </c>
      <c r="I221" s="113">
        <f>VLOOKUP(C221,'Talente &amp; Stuff'!DO:EP,7,FALSE)</f>
        <v>0</v>
      </c>
      <c r="J221" s="113">
        <f>VLOOKUP(C221,'Talente &amp; Stuff'!DO:EP,8,FALSE)</f>
        <v>0</v>
      </c>
      <c r="K221" s="113">
        <f>VLOOKUP(C221,'Talente &amp; Stuff'!DO:EP,9,FALSE)</f>
        <v>0</v>
      </c>
      <c r="L221" s="113">
        <f>VLOOKUP(C221,'Talente &amp; Stuff'!DO:EP,10,FALSE)</f>
        <v>0</v>
      </c>
      <c r="M221" s="119">
        <f>VLOOKUP(C221,'Talente &amp; Stuff'!DO:EP,11,FALSE)</f>
        <v>0</v>
      </c>
      <c r="N221" s="47">
        <f>VLOOKUP(C221,'Talente &amp; Stuff'!DO:EP,12,FALSE)</f>
        <v>0</v>
      </c>
      <c r="O221" s="47">
        <f>VLOOKUP(C221,'Talente &amp; Stuff'!DO:EP,13,FALSE)</f>
        <v>0</v>
      </c>
      <c r="P221" s="119">
        <f>VLOOKUP(C221,'Talente &amp; Stuff'!DO:EP,14,FALSE)</f>
        <v>0</v>
      </c>
      <c r="Q221" s="114">
        <f>VLOOKUP(C221,'Talente &amp; Stuff'!DO:EP,15,FALSE)</f>
        <v>0</v>
      </c>
      <c r="R221" s="113">
        <f>VLOOKUP(C221,'Talente &amp; Stuff'!DO:EP,16,FALSE)</f>
        <v>0</v>
      </c>
      <c r="S221" s="119">
        <f>VLOOKUP(C221,'Talente &amp; Stuff'!DO:EP,17,FALSE)</f>
        <v>0</v>
      </c>
      <c r="T221" s="119">
        <f>VLOOKUP(C221,'Talente &amp; Stuff'!DO:EP,18,FALSE)</f>
        <v>0</v>
      </c>
      <c r="U221" s="89">
        <f>VLOOKUP(C221,'Talente &amp; Stuff'!DO:EP,19,FALSE)</f>
        <v>0</v>
      </c>
      <c r="V221" s="47">
        <f>VLOOKUP(C221,'Talente &amp; Stuff'!DO:EP,20,FALSE)</f>
        <v>0</v>
      </c>
      <c r="W221" s="127">
        <f>VLOOKUP(C221,'Talente &amp; Stuff'!DO:EP,21,FALSE)</f>
        <v>0</v>
      </c>
      <c r="X221" s="127">
        <f>VLOOKUP(C221,'Talente &amp; Stuff'!DO:EP,22,FALSE)</f>
        <v>0</v>
      </c>
      <c r="Y221" s="165">
        <f t="shared" si="20"/>
        <v>0</v>
      </c>
      <c r="Z221" s="44">
        <f t="shared" si="21"/>
        <v>0</v>
      </c>
      <c r="AA221" s="125">
        <f>VLOOKUP(C221,'Talente &amp; Stuff'!DO:EP,25,FALSE)</f>
        <v>0</v>
      </c>
      <c r="AB221" s="160">
        <f>VLOOKUP(C221,'Talente &amp; Stuff'!DO:EP,26,FALSE)</f>
        <v>0</v>
      </c>
      <c r="AC221" s="127">
        <f>VLOOKUP(C221,'Talente &amp; Stuff'!DO:EP,27,FALSE)</f>
        <v>0</v>
      </c>
      <c r="AD221" s="125">
        <f>VLOOKUP(C221,'Talente &amp; Stuff'!DO:EP,28,FALSE)</f>
        <v>0</v>
      </c>
      <c r="AE221" s="28"/>
    </row>
    <row r="222" spans="2:31" ht="15" hidden="1" customHeight="1" outlineLevel="2">
      <c r="B222" s="148">
        <v>10</v>
      </c>
      <c r="C222" s="177" t="str">
        <f>Attribute!C222</f>
        <v>---</v>
      </c>
      <c r="D222" s="86" t="str">
        <f>VLOOKUP(C222,'Talente &amp; Stuff'!DO:EP,2,FALSE)</f>
        <v>--/--/--</v>
      </c>
      <c r="E222" s="167" t="str">
        <f>VLOOKUP(C222,'Talente &amp; Stuff'!DO:EP,3,FALSE)</f>
        <v>-</v>
      </c>
      <c r="F222" s="120">
        <f>VLOOKUP(C222,'Talente &amp; Stuff'!DO:EP,4,FALSE)</f>
        <v>0</v>
      </c>
      <c r="G222" s="117">
        <f>VLOOKUP(C222,'Talente &amp; Stuff'!DO:EP,5,FALSE)</f>
        <v>0</v>
      </c>
      <c r="H222" s="117">
        <f>VLOOKUP(C222,'Talente &amp; Stuff'!DO:EP,6,FALSE)</f>
        <v>0</v>
      </c>
      <c r="I222" s="117">
        <f>VLOOKUP(C222,'Talente &amp; Stuff'!DO:EP,7,FALSE)</f>
        <v>0</v>
      </c>
      <c r="J222" s="117">
        <f>VLOOKUP(C222,'Talente &amp; Stuff'!DO:EP,8,FALSE)</f>
        <v>0</v>
      </c>
      <c r="K222" s="117">
        <f>VLOOKUP(C222,'Talente &amp; Stuff'!DO:EP,9,FALSE)</f>
        <v>0</v>
      </c>
      <c r="L222" s="117">
        <f>VLOOKUP(C222,'Talente &amp; Stuff'!DO:EP,10,FALSE)</f>
        <v>0</v>
      </c>
      <c r="M222" s="121">
        <f>VLOOKUP(C222,'Talente &amp; Stuff'!DO:EP,11,FALSE)</f>
        <v>0</v>
      </c>
      <c r="N222" s="47">
        <f>VLOOKUP(C222,'Talente &amp; Stuff'!DO:EP,12,FALSE)</f>
        <v>0</v>
      </c>
      <c r="O222" s="3">
        <f>VLOOKUP(C222,'Talente &amp; Stuff'!DO:EP,13,FALSE)</f>
        <v>0</v>
      </c>
      <c r="P222" s="174">
        <f>VLOOKUP(C222,'Talente &amp; Stuff'!DO:EP,14,FALSE)</f>
        <v>0</v>
      </c>
      <c r="Q222" s="114">
        <f>VLOOKUP(C222,'Talente &amp; Stuff'!DO:EP,15,FALSE)</f>
        <v>0</v>
      </c>
      <c r="R222" s="117">
        <f>VLOOKUP(C222,'Talente &amp; Stuff'!DO:EP,16,FALSE)</f>
        <v>0</v>
      </c>
      <c r="S222" s="119">
        <f>VLOOKUP(C222,'Talente &amp; Stuff'!DO:EP,17,FALSE)</f>
        <v>0</v>
      </c>
      <c r="T222" s="119">
        <f>VLOOKUP(C222,'Talente &amp; Stuff'!DO:EP,18,FALSE)</f>
        <v>0</v>
      </c>
      <c r="U222" s="89">
        <f>VLOOKUP(C222,'Talente &amp; Stuff'!DO:EP,19,FALSE)</f>
        <v>0</v>
      </c>
      <c r="V222" s="47">
        <f>VLOOKUP(C222,'Talente &amp; Stuff'!DO:EP,20,FALSE)</f>
        <v>0</v>
      </c>
      <c r="W222" s="127">
        <f>VLOOKUP(C222,'Talente &amp; Stuff'!DO:EP,21,FALSE)</f>
        <v>0</v>
      </c>
      <c r="X222" s="127">
        <f>VLOOKUP(C222,'Talente &amp; Stuff'!DO:EP,22,FALSE)</f>
        <v>0</v>
      </c>
      <c r="Y222" s="165">
        <f t="shared" si="20"/>
        <v>0</v>
      </c>
      <c r="Z222" s="44">
        <f t="shared" si="21"/>
        <v>0</v>
      </c>
      <c r="AA222" s="125">
        <f>VLOOKUP(C222,'Talente &amp; Stuff'!DO:EP,25,FALSE)</f>
        <v>0</v>
      </c>
      <c r="AB222" s="160">
        <f>VLOOKUP(C222,'Talente &amp; Stuff'!DO:EP,26,FALSE)</f>
        <v>0</v>
      </c>
      <c r="AC222" s="127">
        <f>VLOOKUP(C222,'Talente &amp; Stuff'!DO:EP,27,FALSE)</f>
        <v>0</v>
      </c>
      <c r="AD222" s="125">
        <f>VLOOKUP(C222,'Talente &amp; Stuff'!DO:EP,28,FALSE)</f>
        <v>0</v>
      </c>
      <c r="AE222" s="28"/>
    </row>
    <row r="223" spans="2:31" ht="15" hidden="1" customHeight="1" outlineLevel="2">
      <c r="B223" s="148">
        <v>11</v>
      </c>
      <c r="C223" s="177" t="str">
        <f>Attribute!C223</f>
        <v>---</v>
      </c>
      <c r="D223" s="86" t="str">
        <f>VLOOKUP(C223,'Talente &amp; Stuff'!DO:EP,2,FALSE)</f>
        <v>--/--/--</v>
      </c>
      <c r="E223" s="167" t="str">
        <f>VLOOKUP(C223,'Talente &amp; Stuff'!DO:EP,3,FALSE)</f>
        <v>-</v>
      </c>
      <c r="F223" s="120">
        <f>VLOOKUP(C223,'Talente &amp; Stuff'!DO:EP,4,FALSE)</f>
        <v>0</v>
      </c>
      <c r="G223" s="117">
        <f>VLOOKUP(C223,'Talente &amp; Stuff'!DO:EP,5,FALSE)</f>
        <v>0</v>
      </c>
      <c r="H223" s="117">
        <f>VLOOKUP(C223,'Talente &amp; Stuff'!DO:EP,6,FALSE)</f>
        <v>0</v>
      </c>
      <c r="I223" s="117">
        <f>VLOOKUP(C223,'Talente &amp; Stuff'!DO:EP,7,FALSE)</f>
        <v>0</v>
      </c>
      <c r="J223" s="117">
        <f>VLOOKUP(C223,'Talente &amp; Stuff'!DO:EP,8,FALSE)</f>
        <v>0</v>
      </c>
      <c r="K223" s="117">
        <f>VLOOKUP(C223,'Talente &amp; Stuff'!DO:EP,9,FALSE)</f>
        <v>0</v>
      </c>
      <c r="L223" s="117">
        <f>VLOOKUP(C223,'Talente &amp; Stuff'!DO:EP,10,FALSE)</f>
        <v>0</v>
      </c>
      <c r="M223" s="121">
        <f>VLOOKUP(C223,'Talente &amp; Stuff'!DO:EP,11,FALSE)</f>
        <v>0</v>
      </c>
      <c r="N223" s="47">
        <f>VLOOKUP(C223,'Talente &amp; Stuff'!DO:EP,12,FALSE)</f>
        <v>0</v>
      </c>
      <c r="O223" s="3">
        <f>VLOOKUP(C223,'Talente &amp; Stuff'!DO:EP,13,FALSE)</f>
        <v>0</v>
      </c>
      <c r="P223" s="174">
        <f>VLOOKUP(C223,'Talente &amp; Stuff'!DO:EP,14,FALSE)</f>
        <v>0</v>
      </c>
      <c r="Q223" s="114">
        <f>VLOOKUP(C223,'Talente &amp; Stuff'!DO:EP,15,FALSE)</f>
        <v>0</v>
      </c>
      <c r="R223" s="117">
        <f>VLOOKUP(C223,'Talente &amp; Stuff'!DO:EP,16,FALSE)</f>
        <v>0</v>
      </c>
      <c r="S223" s="119">
        <f>VLOOKUP(C223,'Talente &amp; Stuff'!DO:EP,17,FALSE)</f>
        <v>0</v>
      </c>
      <c r="T223" s="119">
        <f>VLOOKUP(C223,'Talente &amp; Stuff'!DO:EP,18,FALSE)</f>
        <v>0</v>
      </c>
      <c r="U223" s="89">
        <f>VLOOKUP(C223,'Talente &amp; Stuff'!DO:EP,19,FALSE)</f>
        <v>0</v>
      </c>
      <c r="V223" s="47">
        <f>VLOOKUP(C223,'Talente &amp; Stuff'!DO:EP,20,FALSE)</f>
        <v>0</v>
      </c>
      <c r="W223" s="127">
        <f>VLOOKUP(C223,'Talente &amp; Stuff'!DO:EP,21,FALSE)</f>
        <v>0</v>
      </c>
      <c r="X223" s="127">
        <f>VLOOKUP(C223,'Talente &amp; Stuff'!DO:EP,22,FALSE)</f>
        <v>0</v>
      </c>
      <c r="Y223" s="165">
        <f t="shared" si="20"/>
        <v>0</v>
      </c>
      <c r="Z223" s="44">
        <f t="shared" si="21"/>
        <v>0</v>
      </c>
      <c r="AA223" s="125">
        <f>VLOOKUP(C223,'Talente &amp; Stuff'!DO:EP,25,FALSE)</f>
        <v>0</v>
      </c>
      <c r="AB223" s="160">
        <f>VLOOKUP(C223,'Talente &amp; Stuff'!DO:EP,26,FALSE)</f>
        <v>0</v>
      </c>
      <c r="AC223" s="127">
        <f>VLOOKUP(C223,'Talente &amp; Stuff'!DO:EP,27,FALSE)</f>
        <v>0</v>
      </c>
      <c r="AD223" s="125">
        <f>VLOOKUP(C223,'Talente &amp; Stuff'!DO:EP,28,FALSE)</f>
        <v>0</v>
      </c>
      <c r="AE223" s="28"/>
    </row>
    <row r="224" spans="2:31" ht="15" hidden="1" customHeight="1" outlineLevel="2">
      <c r="B224" s="148">
        <v>12</v>
      </c>
      <c r="C224" s="177" t="str">
        <f>Attribute!C224</f>
        <v>---</v>
      </c>
      <c r="D224" s="86" t="str">
        <f>VLOOKUP(C224,'Talente &amp; Stuff'!DO:EP,2,FALSE)</f>
        <v>--/--/--</v>
      </c>
      <c r="E224" s="167" t="str">
        <f>VLOOKUP(C224,'Talente &amp; Stuff'!DO:EP,3,FALSE)</f>
        <v>-</v>
      </c>
      <c r="F224" s="120">
        <f>VLOOKUP(C224,'Talente &amp; Stuff'!DO:EP,4,FALSE)</f>
        <v>0</v>
      </c>
      <c r="G224" s="117">
        <f>VLOOKUP(C224,'Talente &amp; Stuff'!DO:EP,5,FALSE)</f>
        <v>0</v>
      </c>
      <c r="H224" s="117">
        <f>VLOOKUP(C224,'Talente &amp; Stuff'!DO:EP,6,FALSE)</f>
        <v>0</v>
      </c>
      <c r="I224" s="117">
        <f>VLOOKUP(C224,'Talente &amp; Stuff'!DO:EP,7,FALSE)</f>
        <v>0</v>
      </c>
      <c r="J224" s="117">
        <f>VLOOKUP(C224,'Talente &amp; Stuff'!DO:EP,8,FALSE)</f>
        <v>0</v>
      </c>
      <c r="K224" s="117">
        <f>VLOOKUP(C224,'Talente &amp; Stuff'!DO:EP,9,FALSE)</f>
        <v>0</v>
      </c>
      <c r="L224" s="117">
        <f>VLOOKUP(C224,'Talente &amp; Stuff'!DO:EP,10,FALSE)</f>
        <v>0</v>
      </c>
      <c r="M224" s="121">
        <f>VLOOKUP(C224,'Talente &amp; Stuff'!DO:EP,11,FALSE)</f>
        <v>0</v>
      </c>
      <c r="N224" s="47">
        <f>VLOOKUP(C224,'Talente &amp; Stuff'!DO:EP,12,FALSE)</f>
        <v>0</v>
      </c>
      <c r="O224" s="3">
        <f>VLOOKUP(C224,'Talente &amp; Stuff'!DO:EP,13,FALSE)</f>
        <v>0</v>
      </c>
      <c r="P224" s="174">
        <f>VLOOKUP(C224,'Talente &amp; Stuff'!DO:EP,14,FALSE)</f>
        <v>0</v>
      </c>
      <c r="Q224" s="114">
        <f>VLOOKUP(C224,'Talente &amp; Stuff'!DO:EP,15,FALSE)</f>
        <v>0</v>
      </c>
      <c r="R224" s="117">
        <f>VLOOKUP(C224,'Talente &amp; Stuff'!DO:EP,16,FALSE)</f>
        <v>0</v>
      </c>
      <c r="S224" s="119">
        <f>VLOOKUP(C224,'Talente &amp; Stuff'!DO:EP,17,FALSE)</f>
        <v>0</v>
      </c>
      <c r="T224" s="119">
        <f>VLOOKUP(C224,'Talente &amp; Stuff'!DO:EP,18,FALSE)</f>
        <v>0</v>
      </c>
      <c r="U224" s="89">
        <f>VLOOKUP(C224,'Talente &amp; Stuff'!DO:EP,19,FALSE)</f>
        <v>0</v>
      </c>
      <c r="V224" s="47">
        <f>VLOOKUP(C224,'Talente &amp; Stuff'!DO:EP,20,FALSE)</f>
        <v>0</v>
      </c>
      <c r="W224" s="127">
        <f>VLOOKUP(C224,'Talente &amp; Stuff'!DO:EP,21,FALSE)</f>
        <v>0</v>
      </c>
      <c r="X224" s="127">
        <f>VLOOKUP(C224,'Talente &amp; Stuff'!DO:EP,22,FALSE)</f>
        <v>0</v>
      </c>
      <c r="Y224" s="165">
        <f t="shared" si="20"/>
        <v>0</v>
      </c>
      <c r="Z224" s="44">
        <f t="shared" si="21"/>
        <v>0</v>
      </c>
      <c r="AA224" s="125">
        <f>VLOOKUP(C224,'Talente &amp; Stuff'!DO:EP,25,FALSE)</f>
        <v>0</v>
      </c>
      <c r="AB224" s="160">
        <f>VLOOKUP(C224,'Talente &amp; Stuff'!DO:EP,26,FALSE)</f>
        <v>0</v>
      </c>
      <c r="AC224" s="127">
        <f>VLOOKUP(C224,'Talente &amp; Stuff'!DO:EP,27,FALSE)</f>
        <v>0</v>
      </c>
      <c r="AD224" s="125">
        <f>VLOOKUP(C224,'Talente &amp; Stuff'!DO:EP,28,FALSE)</f>
        <v>0</v>
      </c>
      <c r="AE224" s="28"/>
    </row>
    <row r="225" spans="2:31" ht="15" hidden="1" customHeight="1" outlineLevel="2">
      <c r="B225" s="148">
        <v>13</v>
      </c>
      <c r="C225" s="177" t="str">
        <f>Attribute!C225</f>
        <v>---</v>
      </c>
      <c r="D225" s="86" t="str">
        <f>VLOOKUP(C225,'Talente &amp; Stuff'!DO:EP,2,FALSE)</f>
        <v>--/--/--</v>
      </c>
      <c r="E225" s="167" t="str">
        <f>VLOOKUP(C225,'Talente &amp; Stuff'!DO:EP,3,FALSE)</f>
        <v>-</v>
      </c>
      <c r="F225" s="120">
        <f>VLOOKUP(C225,'Talente &amp; Stuff'!DO:EP,4,FALSE)</f>
        <v>0</v>
      </c>
      <c r="G225" s="117">
        <f>VLOOKUP(C225,'Talente &amp; Stuff'!DO:EP,5,FALSE)</f>
        <v>0</v>
      </c>
      <c r="H225" s="117">
        <f>VLOOKUP(C225,'Talente &amp; Stuff'!DO:EP,6,FALSE)</f>
        <v>0</v>
      </c>
      <c r="I225" s="117">
        <f>VLOOKUP(C225,'Talente &amp; Stuff'!DO:EP,7,FALSE)</f>
        <v>0</v>
      </c>
      <c r="J225" s="117">
        <f>VLOOKUP(C225,'Talente &amp; Stuff'!DO:EP,8,FALSE)</f>
        <v>0</v>
      </c>
      <c r="K225" s="117">
        <f>VLOOKUP(C225,'Talente &amp; Stuff'!DO:EP,9,FALSE)</f>
        <v>0</v>
      </c>
      <c r="L225" s="117">
        <f>VLOOKUP(C225,'Talente &amp; Stuff'!DO:EP,10,FALSE)</f>
        <v>0</v>
      </c>
      <c r="M225" s="121">
        <f>VLOOKUP(C225,'Talente &amp; Stuff'!DO:EP,11,FALSE)</f>
        <v>0</v>
      </c>
      <c r="N225" s="47">
        <f>VLOOKUP(C225,'Talente &amp; Stuff'!DO:EP,12,FALSE)</f>
        <v>0</v>
      </c>
      <c r="O225" s="3">
        <f>VLOOKUP(C225,'Talente &amp; Stuff'!DO:EP,13,FALSE)</f>
        <v>0</v>
      </c>
      <c r="P225" s="174">
        <f>VLOOKUP(C225,'Talente &amp; Stuff'!DO:EP,14,FALSE)</f>
        <v>0</v>
      </c>
      <c r="Q225" s="114">
        <f>VLOOKUP(C225,'Talente &amp; Stuff'!DO:EP,15,FALSE)</f>
        <v>0</v>
      </c>
      <c r="R225" s="117">
        <f>VLOOKUP(C225,'Talente &amp; Stuff'!DO:EP,16,FALSE)</f>
        <v>0</v>
      </c>
      <c r="S225" s="119">
        <f>VLOOKUP(C225,'Talente &amp; Stuff'!DO:EP,17,FALSE)</f>
        <v>0</v>
      </c>
      <c r="T225" s="119">
        <f>VLOOKUP(C225,'Talente &amp; Stuff'!DO:EP,18,FALSE)</f>
        <v>0</v>
      </c>
      <c r="U225" s="89">
        <f>VLOOKUP(C225,'Talente &amp; Stuff'!DO:EP,19,FALSE)</f>
        <v>0</v>
      </c>
      <c r="V225" s="47">
        <f>VLOOKUP(C225,'Talente &amp; Stuff'!DO:EP,20,FALSE)</f>
        <v>0</v>
      </c>
      <c r="W225" s="127">
        <f>VLOOKUP(C225,'Talente &amp; Stuff'!DO:EP,21,FALSE)</f>
        <v>0</v>
      </c>
      <c r="X225" s="127">
        <f>VLOOKUP(C225,'Talente &amp; Stuff'!DO:EP,22,FALSE)</f>
        <v>0</v>
      </c>
      <c r="Y225" s="165">
        <f t="shared" si="20"/>
        <v>0</v>
      </c>
      <c r="Z225" s="44">
        <f t="shared" si="21"/>
        <v>0</v>
      </c>
      <c r="AA225" s="125">
        <f>VLOOKUP(C225,'Talente &amp; Stuff'!DO:EP,25,FALSE)</f>
        <v>0</v>
      </c>
      <c r="AB225" s="160">
        <f>VLOOKUP(C225,'Talente &amp; Stuff'!DO:EP,26,FALSE)</f>
        <v>0</v>
      </c>
      <c r="AC225" s="127">
        <f>VLOOKUP(C225,'Talente &amp; Stuff'!DO:EP,27,FALSE)</f>
        <v>0</v>
      </c>
      <c r="AD225" s="125">
        <f>VLOOKUP(C225,'Talente &amp; Stuff'!DO:EP,28,FALSE)</f>
        <v>0</v>
      </c>
      <c r="AE225" s="28"/>
    </row>
    <row r="226" spans="2:31" ht="15" hidden="1" customHeight="1" outlineLevel="2">
      <c r="B226" s="148">
        <v>14</v>
      </c>
      <c r="C226" s="177" t="str">
        <f>Attribute!C226</f>
        <v>---</v>
      </c>
      <c r="D226" s="86" t="str">
        <f>VLOOKUP(C226,'Talente &amp; Stuff'!DO:EP,2,FALSE)</f>
        <v>--/--/--</v>
      </c>
      <c r="E226" s="167" t="str">
        <f>VLOOKUP(C226,'Talente &amp; Stuff'!DO:EP,3,FALSE)</f>
        <v>-</v>
      </c>
      <c r="F226" s="120">
        <f>VLOOKUP(C226,'Talente &amp; Stuff'!DO:EP,4,FALSE)</f>
        <v>0</v>
      </c>
      <c r="G226" s="117">
        <f>VLOOKUP(C226,'Talente &amp; Stuff'!DO:EP,5,FALSE)</f>
        <v>0</v>
      </c>
      <c r="H226" s="117">
        <f>VLOOKUP(C226,'Talente &amp; Stuff'!DO:EP,6,FALSE)</f>
        <v>0</v>
      </c>
      <c r="I226" s="117">
        <f>VLOOKUP(C226,'Talente &amp; Stuff'!DO:EP,7,FALSE)</f>
        <v>0</v>
      </c>
      <c r="J226" s="117">
        <f>VLOOKUP(C226,'Talente &amp; Stuff'!DO:EP,8,FALSE)</f>
        <v>0</v>
      </c>
      <c r="K226" s="117">
        <f>VLOOKUP(C226,'Talente &amp; Stuff'!DO:EP,9,FALSE)</f>
        <v>0</v>
      </c>
      <c r="L226" s="117">
        <f>VLOOKUP(C226,'Talente &amp; Stuff'!DO:EP,10,FALSE)</f>
        <v>0</v>
      </c>
      <c r="M226" s="121">
        <f>VLOOKUP(C226,'Talente &amp; Stuff'!DO:EP,11,FALSE)</f>
        <v>0</v>
      </c>
      <c r="N226" s="47">
        <f>VLOOKUP(C226,'Talente &amp; Stuff'!DO:EP,12,FALSE)</f>
        <v>0</v>
      </c>
      <c r="O226" s="3">
        <f>VLOOKUP(C226,'Talente &amp; Stuff'!DO:EP,13,FALSE)</f>
        <v>0</v>
      </c>
      <c r="P226" s="174">
        <f>VLOOKUP(C226,'Talente &amp; Stuff'!DO:EP,14,FALSE)</f>
        <v>0</v>
      </c>
      <c r="Q226" s="114">
        <f>VLOOKUP(C226,'Talente &amp; Stuff'!DO:EP,15,FALSE)</f>
        <v>0</v>
      </c>
      <c r="R226" s="117">
        <f>VLOOKUP(C226,'Talente &amp; Stuff'!DO:EP,16,FALSE)</f>
        <v>0</v>
      </c>
      <c r="S226" s="119">
        <f>VLOOKUP(C226,'Talente &amp; Stuff'!DO:EP,17,FALSE)</f>
        <v>0</v>
      </c>
      <c r="T226" s="119">
        <f>VLOOKUP(C226,'Talente &amp; Stuff'!DO:EP,18,FALSE)</f>
        <v>0</v>
      </c>
      <c r="U226" s="89">
        <f>VLOOKUP(C226,'Talente &amp; Stuff'!DO:EP,19,FALSE)</f>
        <v>0</v>
      </c>
      <c r="V226" s="47">
        <f>VLOOKUP(C226,'Talente &amp; Stuff'!DO:EP,20,FALSE)</f>
        <v>0</v>
      </c>
      <c r="W226" s="127">
        <f>VLOOKUP(C226,'Talente &amp; Stuff'!DO:EP,21,FALSE)</f>
        <v>0</v>
      </c>
      <c r="X226" s="127">
        <f>VLOOKUP(C226,'Talente &amp; Stuff'!DO:EP,22,FALSE)</f>
        <v>0</v>
      </c>
      <c r="Y226" s="165">
        <f t="shared" si="20"/>
        <v>0</v>
      </c>
      <c r="Z226" s="44">
        <f t="shared" si="21"/>
        <v>0</v>
      </c>
      <c r="AA226" s="125">
        <f>VLOOKUP(C226,'Talente &amp; Stuff'!DO:EP,25,FALSE)</f>
        <v>0</v>
      </c>
      <c r="AB226" s="160">
        <f>VLOOKUP(C226,'Talente &amp; Stuff'!DO:EP,26,FALSE)</f>
        <v>0</v>
      </c>
      <c r="AC226" s="127">
        <f>VLOOKUP(C226,'Talente &amp; Stuff'!DO:EP,27,FALSE)</f>
        <v>0</v>
      </c>
      <c r="AD226" s="125">
        <f>VLOOKUP(C226,'Talente &amp; Stuff'!DO:EP,28,FALSE)</f>
        <v>0</v>
      </c>
      <c r="AE226" s="28"/>
    </row>
    <row r="227" spans="2:31" ht="15" hidden="1" customHeight="1" outlineLevel="2">
      <c r="B227" s="148">
        <v>15</v>
      </c>
      <c r="C227" s="177" t="str">
        <f>Attribute!C227</f>
        <v>---</v>
      </c>
      <c r="D227" s="86" t="str">
        <f>VLOOKUP(C227,'Talente &amp; Stuff'!DO:EP,2,FALSE)</f>
        <v>--/--/--</v>
      </c>
      <c r="E227" s="167" t="str">
        <f>VLOOKUP(C227,'Talente &amp; Stuff'!DO:EP,3,FALSE)</f>
        <v>-</v>
      </c>
      <c r="F227" s="120">
        <f>VLOOKUP(C227,'Talente &amp; Stuff'!DO:EP,4,FALSE)</f>
        <v>0</v>
      </c>
      <c r="G227" s="117">
        <f>VLOOKUP(C227,'Talente &amp; Stuff'!DO:EP,5,FALSE)</f>
        <v>0</v>
      </c>
      <c r="H227" s="117">
        <f>VLOOKUP(C227,'Talente &amp; Stuff'!DO:EP,6,FALSE)</f>
        <v>0</v>
      </c>
      <c r="I227" s="117">
        <f>VLOOKUP(C227,'Talente &amp; Stuff'!DO:EP,7,FALSE)</f>
        <v>0</v>
      </c>
      <c r="J227" s="117">
        <f>VLOOKUP(C227,'Talente &amp; Stuff'!DO:EP,8,FALSE)</f>
        <v>0</v>
      </c>
      <c r="K227" s="117">
        <f>VLOOKUP(C227,'Talente &amp; Stuff'!DO:EP,9,FALSE)</f>
        <v>0</v>
      </c>
      <c r="L227" s="117">
        <f>VLOOKUP(C227,'Talente &amp; Stuff'!DO:EP,10,FALSE)</f>
        <v>0</v>
      </c>
      <c r="M227" s="121">
        <f>VLOOKUP(C227,'Talente &amp; Stuff'!DO:EP,11,FALSE)</f>
        <v>0</v>
      </c>
      <c r="N227" s="47">
        <f>VLOOKUP(C227,'Talente &amp; Stuff'!DO:EP,12,FALSE)</f>
        <v>0</v>
      </c>
      <c r="O227" s="3">
        <f>VLOOKUP(C227,'Talente &amp; Stuff'!DO:EP,13,FALSE)</f>
        <v>0</v>
      </c>
      <c r="P227" s="174">
        <f>VLOOKUP(C227,'Talente &amp; Stuff'!DO:EP,14,FALSE)</f>
        <v>0</v>
      </c>
      <c r="Q227" s="114">
        <f>VLOOKUP(C227,'Talente &amp; Stuff'!DO:EP,15,FALSE)</f>
        <v>0</v>
      </c>
      <c r="R227" s="117">
        <f>VLOOKUP(C227,'Talente &amp; Stuff'!DO:EP,16,FALSE)</f>
        <v>0</v>
      </c>
      <c r="S227" s="119">
        <f>VLOOKUP(C227,'Talente &amp; Stuff'!DO:EP,17,FALSE)</f>
        <v>0</v>
      </c>
      <c r="T227" s="119">
        <f>VLOOKUP(C227,'Talente &amp; Stuff'!DO:EP,18,FALSE)</f>
        <v>0</v>
      </c>
      <c r="U227" s="89">
        <f>VLOOKUP(C227,'Talente &amp; Stuff'!DO:EP,19,FALSE)</f>
        <v>0</v>
      </c>
      <c r="V227" s="47">
        <f>VLOOKUP(C227,'Talente &amp; Stuff'!DO:EP,20,FALSE)</f>
        <v>0</v>
      </c>
      <c r="W227" s="127">
        <f>VLOOKUP(C227,'Talente &amp; Stuff'!DO:EP,21,FALSE)</f>
        <v>0</v>
      </c>
      <c r="X227" s="127">
        <f>VLOOKUP(C227,'Talente &amp; Stuff'!DO:EP,22,FALSE)</f>
        <v>0</v>
      </c>
      <c r="Y227" s="165">
        <f t="shared" si="20"/>
        <v>0</v>
      </c>
      <c r="Z227" s="44">
        <f t="shared" si="21"/>
        <v>0</v>
      </c>
      <c r="AA227" s="125">
        <f>VLOOKUP(C227,'Talente &amp; Stuff'!DO:EP,25,FALSE)</f>
        <v>0</v>
      </c>
      <c r="AB227" s="160">
        <f>VLOOKUP(C227,'Talente &amp; Stuff'!DO:EP,26,FALSE)</f>
        <v>0</v>
      </c>
      <c r="AC227" s="127">
        <f>VLOOKUP(C227,'Talente &amp; Stuff'!DO:EP,27,FALSE)</f>
        <v>0</v>
      </c>
      <c r="AD227" s="125">
        <f>VLOOKUP(C227,'Talente &amp; Stuff'!DO:EP,28,FALSE)</f>
        <v>0</v>
      </c>
      <c r="AE227" s="28"/>
    </row>
    <row r="228" spans="2:31" ht="15" hidden="1" customHeight="1" outlineLevel="2">
      <c r="B228" s="148">
        <v>16</v>
      </c>
      <c r="C228" s="177" t="str">
        <f>Attribute!C228</f>
        <v>---</v>
      </c>
      <c r="D228" s="86" t="str">
        <f>VLOOKUP(C228,'Talente &amp; Stuff'!DO:EP,2,FALSE)</f>
        <v>--/--/--</v>
      </c>
      <c r="E228" s="167" t="str">
        <f>VLOOKUP(C228,'Talente &amp; Stuff'!DO:EP,3,FALSE)</f>
        <v>-</v>
      </c>
      <c r="F228" s="120">
        <f>VLOOKUP(C228,'Talente &amp; Stuff'!DO:EP,4,FALSE)</f>
        <v>0</v>
      </c>
      <c r="G228" s="117">
        <f>VLOOKUP(C228,'Talente &amp; Stuff'!DO:EP,5,FALSE)</f>
        <v>0</v>
      </c>
      <c r="H228" s="117">
        <f>VLOOKUP(C228,'Talente &amp; Stuff'!DO:EP,6,FALSE)</f>
        <v>0</v>
      </c>
      <c r="I228" s="117">
        <f>VLOOKUP(C228,'Talente &amp; Stuff'!DO:EP,7,FALSE)</f>
        <v>0</v>
      </c>
      <c r="J228" s="117">
        <f>VLOOKUP(C228,'Talente &amp; Stuff'!DO:EP,8,FALSE)</f>
        <v>0</v>
      </c>
      <c r="K228" s="117">
        <f>VLOOKUP(C228,'Talente &amp; Stuff'!DO:EP,9,FALSE)</f>
        <v>0</v>
      </c>
      <c r="L228" s="117">
        <f>VLOOKUP(C228,'Talente &amp; Stuff'!DO:EP,10,FALSE)</f>
        <v>0</v>
      </c>
      <c r="M228" s="121">
        <f>VLOOKUP(C228,'Talente &amp; Stuff'!DO:EP,11,FALSE)</f>
        <v>0</v>
      </c>
      <c r="N228" s="47">
        <f>VLOOKUP(C228,'Talente &amp; Stuff'!DO:EP,12,FALSE)</f>
        <v>0</v>
      </c>
      <c r="O228" s="3">
        <f>VLOOKUP(C228,'Talente &amp; Stuff'!DO:EP,13,FALSE)</f>
        <v>0</v>
      </c>
      <c r="P228" s="174">
        <f>VLOOKUP(C228,'Talente &amp; Stuff'!DO:EP,14,FALSE)</f>
        <v>0</v>
      </c>
      <c r="Q228" s="114">
        <f>VLOOKUP(C228,'Talente &amp; Stuff'!DO:EP,15,FALSE)</f>
        <v>0</v>
      </c>
      <c r="R228" s="117">
        <f>VLOOKUP(C228,'Talente &amp; Stuff'!DO:EP,16,FALSE)</f>
        <v>0</v>
      </c>
      <c r="S228" s="119">
        <f>VLOOKUP(C228,'Talente &amp; Stuff'!DO:EP,17,FALSE)</f>
        <v>0</v>
      </c>
      <c r="T228" s="119">
        <f>VLOOKUP(C228,'Talente &amp; Stuff'!DO:EP,18,FALSE)</f>
        <v>0</v>
      </c>
      <c r="U228" s="89">
        <f>VLOOKUP(C228,'Talente &amp; Stuff'!DO:EP,19,FALSE)</f>
        <v>0</v>
      </c>
      <c r="V228" s="47">
        <f>VLOOKUP(C228,'Talente &amp; Stuff'!DO:EP,20,FALSE)</f>
        <v>0</v>
      </c>
      <c r="W228" s="127">
        <f>VLOOKUP(C228,'Talente &amp; Stuff'!DO:EP,21,FALSE)</f>
        <v>0</v>
      </c>
      <c r="X228" s="127">
        <f>VLOOKUP(C228,'Talente &amp; Stuff'!DO:EP,22,FALSE)</f>
        <v>0</v>
      </c>
      <c r="Y228" s="165">
        <f t="shared" si="20"/>
        <v>0</v>
      </c>
      <c r="Z228" s="44">
        <f t="shared" si="21"/>
        <v>0</v>
      </c>
      <c r="AA228" s="125">
        <f>VLOOKUP(C228,'Talente &amp; Stuff'!DO:EP,25,FALSE)</f>
        <v>0</v>
      </c>
      <c r="AB228" s="160">
        <f>VLOOKUP(C228,'Talente &amp; Stuff'!DO:EP,26,FALSE)</f>
        <v>0</v>
      </c>
      <c r="AC228" s="127">
        <f>VLOOKUP(C228,'Talente &amp; Stuff'!DO:EP,27,FALSE)</f>
        <v>0</v>
      </c>
      <c r="AD228" s="125">
        <f>VLOOKUP(C228,'Talente &amp; Stuff'!DO:EP,28,FALSE)</f>
        <v>0</v>
      </c>
      <c r="AE228" s="28"/>
    </row>
    <row r="229" spans="2:31" ht="15" hidden="1" customHeight="1" outlineLevel="2">
      <c r="B229" s="148">
        <v>17</v>
      </c>
      <c r="C229" s="177" t="str">
        <f>Attribute!C229</f>
        <v>---</v>
      </c>
      <c r="D229" s="86" t="str">
        <f>VLOOKUP(C229,'Talente &amp; Stuff'!DO:EP,2,FALSE)</f>
        <v>--/--/--</v>
      </c>
      <c r="E229" s="167" t="str">
        <f>VLOOKUP(C229,'Talente &amp; Stuff'!DO:EP,3,FALSE)</f>
        <v>-</v>
      </c>
      <c r="F229" s="120">
        <f>VLOOKUP(C229,'Talente &amp; Stuff'!DO:EP,4,FALSE)</f>
        <v>0</v>
      </c>
      <c r="G229" s="117">
        <f>VLOOKUP(C229,'Talente &amp; Stuff'!DO:EP,5,FALSE)</f>
        <v>0</v>
      </c>
      <c r="H229" s="117">
        <f>VLOOKUP(C229,'Talente &amp; Stuff'!DO:EP,6,FALSE)</f>
        <v>0</v>
      </c>
      <c r="I229" s="117">
        <f>VLOOKUP(C229,'Talente &amp; Stuff'!DO:EP,7,FALSE)</f>
        <v>0</v>
      </c>
      <c r="J229" s="117">
        <f>VLOOKUP(C229,'Talente &amp; Stuff'!DO:EP,8,FALSE)</f>
        <v>0</v>
      </c>
      <c r="K229" s="117">
        <f>VLOOKUP(C229,'Talente &amp; Stuff'!DO:EP,9,FALSE)</f>
        <v>0</v>
      </c>
      <c r="L229" s="117">
        <f>VLOOKUP(C229,'Talente &amp; Stuff'!DO:EP,10,FALSE)</f>
        <v>0</v>
      </c>
      <c r="M229" s="121">
        <f>VLOOKUP(C229,'Talente &amp; Stuff'!DO:EP,11,FALSE)</f>
        <v>0</v>
      </c>
      <c r="N229" s="47">
        <f>VLOOKUP(C229,'Talente &amp; Stuff'!DO:EP,12,FALSE)</f>
        <v>0</v>
      </c>
      <c r="O229" s="3">
        <f>VLOOKUP(C229,'Talente &amp; Stuff'!DO:EP,13,FALSE)</f>
        <v>0</v>
      </c>
      <c r="P229" s="174">
        <f>VLOOKUP(C229,'Talente &amp; Stuff'!DO:EP,14,FALSE)</f>
        <v>0</v>
      </c>
      <c r="Q229" s="114">
        <f>VLOOKUP(C229,'Talente &amp; Stuff'!DO:EP,15,FALSE)</f>
        <v>0</v>
      </c>
      <c r="R229" s="117">
        <f>VLOOKUP(C229,'Talente &amp; Stuff'!DO:EP,16,FALSE)</f>
        <v>0</v>
      </c>
      <c r="S229" s="119">
        <f>VLOOKUP(C229,'Talente &amp; Stuff'!DO:EP,17,FALSE)</f>
        <v>0</v>
      </c>
      <c r="T229" s="119">
        <f>VLOOKUP(C229,'Talente &amp; Stuff'!DO:EP,18,FALSE)</f>
        <v>0</v>
      </c>
      <c r="U229" s="89">
        <f>VLOOKUP(C229,'Talente &amp; Stuff'!DO:EP,19,FALSE)</f>
        <v>0</v>
      </c>
      <c r="V229" s="47">
        <f>VLOOKUP(C229,'Talente &amp; Stuff'!DO:EP,20,FALSE)</f>
        <v>0</v>
      </c>
      <c r="W229" s="127">
        <f>VLOOKUP(C229,'Talente &amp; Stuff'!DO:EP,21,FALSE)</f>
        <v>0</v>
      </c>
      <c r="X229" s="127">
        <f>VLOOKUP(C229,'Talente &amp; Stuff'!DO:EP,22,FALSE)</f>
        <v>0</v>
      </c>
      <c r="Y229" s="165">
        <f t="shared" si="20"/>
        <v>0</v>
      </c>
      <c r="Z229" s="44">
        <f t="shared" si="21"/>
        <v>0</v>
      </c>
      <c r="AA229" s="125">
        <f>VLOOKUP(C229,'Talente &amp; Stuff'!DO:EP,25,FALSE)</f>
        <v>0</v>
      </c>
      <c r="AB229" s="160">
        <f>VLOOKUP(C229,'Talente &amp; Stuff'!DO:EP,26,FALSE)</f>
        <v>0</v>
      </c>
      <c r="AC229" s="127">
        <f>VLOOKUP(C229,'Talente &amp; Stuff'!DO:EP,27,FALSE)</f>
        <v>0</v>
      </c>
      <c r="AD229" s="125">
        <f>VLOOKUP(C229,'Talente &amp; Stuff'!DO:EP,28,FALSE)</f>
        <v>0</v>
      </c>
      <c r="AE229" s="28"/>
    </row>
    <row r="230" spans="2:31" ht="15" hidden="1" customHeight="1" outlineLevel="2">
      <c r="B230" s="148">
        <v>18</v>
      </c>
      <c r="C230" s="177" t="str">
        <f>Attribute!C230</f>
        <v>---</v>
      </c>
      <c r="D230" s="86" t="str">
        <f>VLOOKUP(C230,'Talente &amp; Stuff'!DO:EP,2,FALSE)</f>
        <v>--/--/--</v>
      </c>
      <c r="E230" s="167" t="str">
        <f>VLOOKUP(C230,'Talente &amp; Stuff'!DO:EP,3,FALSE)</f>
        <v>-</v>
      </c>
      <c r="F230" s="120">
        <f>VLOOKUP(C230,'Talente &amp; Stuff'!DO:EP,4,FALSE)</f>
        <v>0</v>
      </c>
      <c r="G230" s="117">
        <f>VLOOKUP(C230,'Talente &amp; Stuff'!DO:EP,5,FALSE)</f>
        <v>0</v>
      </c>
      <c r="H230" s="117">
        <f>VLOOKUP(C230,'Talente &amp; Stuff'!DO:EP,6,FALSE)</f>
        <v>0</v>
      </c>
      <c r="I230" s="117">
        <f>VLOOKUP(C230,'Talente &amp; Stuff'!DO:EP,7,FALSE)</f>
        <v>0</v>
      </c>
      <c r="J230" s="117">
        <f>VLOOKUP(C230,'Talente &amp; Stuff'!DO:EP,8,FALSE)</f>
        <v>0</v>
      </c>
      <c r="K230" s="117">
        <f>VLOOKUP(C230,'Talente &amp; Stuff'!DO:EP,9,FALSE)</f>
        <v>0</v>
      </c>
      <c r="L230" s="117">
        <f>VLOOKUP(C230,'Talente &amp; Stuff'!DO:EP,10,FALSE)</f>
        <v>0</v>
      </c>
      <c r="M230" s="121">
        <f>VLOOKUP(C230,'Talente &amp; Stuff'!DO:EP,11,FALSE)</f>
        <v>0</v>
      </c>
      <c r="N230" s="47">
        <f>VLOOKUP(C230,'Talente &amp; Stuff'!DO:EP,12,FALSE)</f>
        <v>0</v>
      </c>
      <c r="O230" s="3">
        <f>VLOOKUP(C230,'Talente &amp; Stuff'!DO:EP,13,FALSE)</f>
        <v>0</v>
      </c>
      <c r="P230" s="174">
        <f>VLOOKUP(C230,'Talente &amp; Stuff'!DO:EP,14,FALSE)</f>
        <v>0</v>
      </c>
      <c r="Q230" s="114">
        <f>VLOOKUP(C230,'Talente &amp; Stuff'!DO:EP,15,FALSE)</f>
        <v>0</v>
      </c>
      <c r="R230" s="117">
        <f>VLOOKUP(C230,'Talente &amp; Stuff'!DO:EP,16,FALSE)</f>
        <v>0</v>
      </c>
      <c r="S230" s="119">
        <f>VLOOKUP(C230,'Talente &amp; Stuff'!DO:EP,17,FALSE)</f>
        <v>0</v>
      </c>
      <c r="T230" s="119">
        <f>VLOOKUP(C230,'Talente &amp; Stuff'!DO:EP,18,FALSE)</f>
        <v>0</v>
      </c>
      <c r="U230" s="89">
        <f>VLOOKUP(C230,'Talente &amp; Stuff'!DO:EP,19,FALSE)</f>
        <v>0</v>
      </c>
      <c r="V230" s="47">
        <f>VLOOKUP(C230,'Talente &amp; Stuff'!DO:EP,20,FALSE)</f>
        <v>0</v>
      </c>
      <c r="W230" s="127">
        <f>VLOOKUP(C230,'Talente &amp; Stuff'!DO:EP,21,FALSE)</f>
        <v>0</v>
      </c>
      <c r="X230" s="127">
        <f>VLOOKUP(C230,'Talente &amp; Stuff'!DO:EP,22,FALSE)</f>
        <v>0</v>
      </c>
      <c r="Y230" s="165">
        <f t="shared" si="20"/>
        <v>0</v>
      </c>
      <c r="Z230" s="44">
        <f t="shared" si="21"/>
        <v>0</v>
      </c>
      <c r="AA230" s="125">
        <f>VLOOKUP(C230,'Talente &amp; Stuff'!DO:EP,25,FALSE)</f>
        <v>0</v>
      </c>
      <c r="AB230" s="160">
        <f>VLOOKUP(C230,'Talente &amp; Stuff'!DO:EP,26,FALSE)</f>
        <v>0</v>
      </c>
      <c r="AC230" s="127">
        <f>VLOOKUP(C230,'Talente &amp; Stuff'!DO:EP,27,FALSE)</f>
        <v>0</v>
      </c>
      <c r="AD230" s="125">
        <f>VLOOKUP(C230,'Talente &amp; Stuff'!DO:EP,28,FALSE)</f>
        <v>0</v>
      </c>
      <c r="AE230" s="28"/>
    </row>
    <row r="231" spans="2:31" ht="15" hidden="1" customHeight="1" outlineLevel="2">
      <c r="B231" s="148">
        <v>19</v>
      </c>
      <c r="C231" s="177" t="str">
        <f>Attribute!C231</f>
        <v>---</v>
      </c>
      <c r="D231" s="86" t="str">
        <f>VLOOKUP(C231,'Talente &amp; Stuff'!DO:EP,2,FALSE)</f>
        <v>--/--/--</v>
      </c>
      <c r="E231" s="167" t="str">
        <f>VLOOKUP(C231,'Talente &amp; Stuff'!DO:EP,3,FALSE)</f>
        <v>-</v>
      </c>
      <c r="F231" s="120">
        <f>VLOOKUP(C231,'Talente &amp; Stuff'!DO:EP,4,FALSE)</f>
        <v>0</v>
      </c>
      <c r="G231" s="117">
        <f>VLOOKUP(C231,'Talente &amp; Stuff'!DO:EP,5,FALSE)</f>
        <v>0</v>
      </c>
      <c r="H231" s="117">
        <f>VLOOKUP(C231,'Talente &amp; Stuff'!DO:EP,6,FALSE)</f>
        <v>0</v>
      </c>
      <c r="I231" s="117">
        <f>VLOOKUP(C231,'Talente &amp; Stuff'!DO:EP,7,FALSE)</f>
        <v>0</v>
      </c>
      <c r="J231" s="117">
        <f>VLOOKUP(C231,'Talente &amp; Stuff'!DO:EP,8,FALSE)</f>
        <v>0</v>
      </c>
      <c r="K231" s="117">
        <f>VLOOKUP(C231,'Talente &amp; Stuff'!DO:EP,9,FALSE)</f>
        <v>0</v>
      </c>
      <c r="L231" s="117">
        <f>VLOOKUP(C231,'Talente &amp; Stuff'!DO:EP,10,FALSE)</f>
        <v>0</v>
      </c>
      <c r="M231" s="121">
        <f>VLOOKUP(C231,'Talente &amp; Stuff'!DO:EP,11,FALSE)</f>
        <v>0</v>
      </c>
      <c r="N231" s="47">
        <f>VLOOKUP(C231,'Talente &amp; Stuff'!DO:EP,12,FALSE)</f>
        <v>0</v>
      </c>
      <c r="O231" s="3">
        <f>VLOOKUP(C231,'Talente &amp; Stuff'!DO:EP,13,FALSE)</f>
        <v>0</v>
      </c>
      <c r="P231" s="174">
        <f>VLOOKUP(C231,'Talente &amp; Stuff'!DO:EP,14,FALSE)</f>
        <v>0</v>
      </c>
      <c r="Q231" s="114">
        <f>VLOOKUP(C231,'Talente &amp; Stuff'!DO:EP,15,FALSE)</f>
        <v>0</v>
      </c>
      <c r="R231" s="117">
        <f>VLOOKUP(C231,'Talente &amp; Stuff'!DO:EP,16,FALSE)</f>
        <v>0</v>
      </c>
      <c r="S231" s="119">
        <f>VLOOKUP(C231,'Talente &amp; Stuff'!DO:EP,17,FALSE)</f>
        <v>0</v>
      </c>
      <c r="T231" s="119">
        <f>VLOOKUP(C231,'Talente &amp; Stuff'!DO:EP,18,FALSE)</f>
        <v>0</v>
      </c>
      <c r="U231" s="89">
        <f>VLOOKUP(C231,'Talente &amp; Stuff'!DO:EP,19,FALSE)</f>
        <v>0</v>
      </c>
      <c r="V231" s="47">
        <f>VLOOKUP(C231,'Talente &amp; Stuff'!DO:EP,20,FALSE)</f>
        <v>0</v>
      </c>
      <c r="W231" s="127">
        <f>VLOOKUP(C231,'Talente &amp; Stuff'!DO:EP,21,FALSE)</f>
        <v>0</v>
      </c>
      <c r="X231" s="127">
        <f>VLOOKUP(C231,'Talente &amp; Stuff'!DO:EP,22,FALSE)</f>
        <v>0</v>
      </c>
      <c r="Y231" s="165">
        <f t="shared" si="20"/>
        <v>0</v>
      </c>
      <c r="Z231" s="44">
        <f t="shared" si="21"/>
        <v>0</v>
      </c>
      <c r="AA231" s="125">
        <f>VLOOKUP(C231,'Talente &amp; Stuff'!DO:EP,25,FALSE)</f>
        <v>0</v>
      </c>
      <c r="AB231" s="160">
        <f>VLOOKUP(C231,'Talente &amp; Stuff'!DO:EP,26,FALSE)</f>
        <v>0</v>
      </c>
      <c r="AC231" s="127">
        <f>VLOOKUP(C231,'Talente &amp; Stuff'!DO:EP,27,FALSE)</f>
        <v>0</v>
      </c>
      <c r="AD231" s="125">
        <f>VLOOKUP(C231,'Talente &amp; Stuff'!DO:EP,28,FALSE)</f>
        <v>0</v>
      </c>
      <c r="AE231" s="28"/>
    </row>
    <row r="232" spans="2:31" ht="15" hidden="1" customHeight="1" outlineLevel="2">
      <c r="B232" s="148">
        <v>20</v>
      </c>
      <c r="C232" s="177" t="str">
        <f>Attribute!C232</f>
        <v>---</v>
      </c>
      <c r="D232" s="86" t="str">
        <f>VLOOKUP(C232,'Talente &amp; Stuff'!DO:EP,2,FALSE)</f>
        <v>--/--/--</v>
      </c>
      <c r="E232" s="167" t="str">
        <f>VLOOKUP(C232,'Talente &amp; Stuff'!DO:EP,3,FALSE)</f>
        <v>-</v>
      </c>
      <c r="F232" s="120">
        <f>VLOOKUP(C232,'Talente &amp; Stuff'!DO:EP,4,FALSE)</f>
        <v>0</v>
      </c>
      <c r="G232" s="117">
        <f>VLOOKUP(C232,'Talente &amp; Stuff'!DO:EP,5,FALSE)</f>
        <v>0</v>
      </c>
      <c r="H232" s="117">
        <f>VLOOKUP(C232,'Talente &amp; Stuff'!DO:EP,6,FALSE)</f>
        <v>0</v>
      </c>
      <c r="I232" s="117">
        <f>VLOOKUP(C232,'Talente &amp; Stuff'!DO:EP,7,FALSE)</f>
        <v>0</v>
      </c>
      <c r="J232" s="117">
        <f>VLOOKUP(C232,'Talente &amp; Stuff'!DO:EP,8,FALSE)</f>
        <v>0</v>
      </c>
      <c r="K232" s="117">
        <f>VLOOKUP(C232,'Talente &amp; Stuff'!DO:EP,9,FALSE)</f>
        <v>0</v>
      </c>
      <c r="L232" s="117">
        <f>VLOOKUP(C232,'Talente &amp; Stuff'!DO:EP,10,FALSE)</f>
        <v>0</v>
      </c>
      <c r="M232" s="121">
        <f>VLOOKUP(C232,'Talente &amp; Stuff'!DO:EP,11,FALSE)</f>
        <v>0</v>
      </c>
      <c r="N232" s="47">
        <f>VLOOKUP(C232,'Talente &amp; Stuff'!DO:EP,12,FALSE)</f>
        <v>0</v>
      </c>
      <c r="O232" s="3">
        <f>VLOOKUP(C232,'Talente &amp; Stuff'!DO:EP,13,FALSE)</f>
        <v>0</v>
      </c>
      <c r="P232" s="174">
        <f>VLOOKUP(C232,'Talente &amp; Stuff'!DO:EP,14,FALSE)</f>
        <v>0</v>
      </c>
      <c r="Q232" s="114">
        <f>VLOOKUP(C232,'Talente &amp; Stuff'!DO:EP,15,FALSE)</f>
        <v>0</v>
      </c>
      <c r="R232" s="117">
        <f>VLOOKUP(C232,'Talente &amp; Stuff'!DO:EP,16,FALSE)</f>
        <v>0</v>
      </c>
      <c r="S232" s="119">
        <f>VLOOKUP(C232,'Talente &amp; Stuff'!DO:EP,17,FALSE)</f>
        <v>0</v>
      </c>
      <c r="T232" s="119">
        <f>VLOOKUP(C232,'Talente &amp; Stuff'!DO:EP,18,FALSE)</f>
        <v>0</v>
      </c>
      <c r="U232" s="89">
        <f>VLOOKUP(C232,'Talente &amp; Stuff'!DO:EP,19,FALSE)</f>
        <v>0</v>
      </c>
      <c r="V232" s="47">
        <f>VLOOKUP(C232,'Talente &amp; Stuff'!DO:EP,20,FALSE)</f>
        <v>0</v>
      </c>
      <c r="W232" s="127">
        <f>VLOOKUP(C232,'Talente &amp; Stuff'!DO:EP,21,FALSE)</f>
        <v>0</v>
      </c>
      <c r="X232" s="127">
        <f>VLOOKUP(C232,'Talente &amp; Stuff'!DO:EP,22,FALSE)</f>
        <v>0</v>
      </c>
      <c r="Y232" s="165">
        <f t="shared" si="20"/>
        <v>0</v>
      </c>
      <c r="Z232" s="44">
        <f t="shared" si="21"/>
        <v>0</v>
      </c>
      <c r="AA232" s="125">
        <f>VLOOKUP(C232,'Talente &amp; Stuff'!DO:EP,25,FALSE)</f>
        <v>0</v>
      </c>
      <c r="AB232" s="160">
        <f>VLOOKUP(C232,'Talente &amp; Stuff'!DO:EP,26,FALSE)</f>
        <v>0</v>
      </c>
      <c r="AC232" s="127">
        <f>VLOOKUP(C232,'Talente &amp; Stuff'!DO:EP,27,FALSE)</f>
        <v>0</v>
      </c>
      <c r="AD232" s="125">
        <f>VLOOKUP(C232,'Talente &amp; Stuff'!DO:EP,28,FALSE)</f>
        <v>0</v>
      </c>
      <c r="AE232" s="28"/>
    </row>
    <row r="233" spans="2:31" ht="15" hidden="1" customHeight="1" outlineLevel="2">
      <c r="B233" s="148">
        <v>21</v>
      </c>
      <c r="C233" s="177" t="str">
        <f>Attribute!C233</f>
        <v>---</v>
      </c>
      <c r="D233" s="86" t="str">
        <f>VLOOKUP(C233,'Talente &amp; Stuff'!DO:EP,2,FALSE)</f>
        <v>--/--/--</v>
      </c>
      <c r="E233" s="167" t="str">
        <f>VLOOKUP(C233,'Talente &amp; Stuff'!DO:EP,3,FALSE)</f>
        <v>-</v>
      </c>
      <c r="F233" s="120">
        <f>VLOOKUP(C233,'Talente &amp; Stuff'!DO:EP,4,FALSE)</f>
        <v>0</v>
      </c>
      <c r="G233" s="117">
        <f>VLOOKUP(C233,'Talente &amp; Stuff'!DO:EP,5,FALSE)</f>
        <v>0</v>
      </c>
      <c r="H233" s="117">
        <f>VLOOKUP(C233,'Talente &amp; Stuff'!DO:EP,6,FALSE)</f>
        <v>0</v>
      </c>
      <c r="I233" s="117">
        <f>VLOOKUP(C233,'Talente &amp; Stuff'!DO:EP,7,FALSE)</f>
        <v>0</v>
      </c>
      <c r="J233" s="117">
        <f>VLOOKUP(C233,'Talente &amp; Stuff'!DO:EP,8,FALSE)</f>
        <v>0</v>
      </c>
      <c r="K233" s="117">
        <f>VLOOKUP(C233,'Talente &amp; Stuff'!DO:EP,9,FALSE)</f>
        <v>0</v>
      </c>
      <c r="L233" s="117">
        <f>VLOOKUP(C233,'Talente &amp; Stuff'!DO:EP,10,FALSE)</f>
        <v>0</v>
      </c>
      <c r="M233" s="121">
        <f>VLOOKUP(C233,'Talente &amp; Stuff'!DO:EP,11,FALSE)</f>
        <v>0</v>
      </c>
      <c r="N233" s="47">
        <f>VLOOKUP(C233,'Talente &amp; Stuff'!DO:EP,12,FALSE)</f>
        <v>0</v>
      </c>
      <c r="O233" s="3">
        <f>VLOOKUP(C233,'Talente &amp; Stuff'!DO:EP,13,FALSE)</f>
        <v>0</v>
      </c>
      <c r="P233" s="174">
        <f>VLOOKUP(C233,'Talente &amp; Stuff'!DO:EP,14,FALSE)</f>
        <v>0</v>
      </c>
      <c r="Q233" s="114">
        <f>VLOOKUP(C233,'Talente &amp; Stuff'!DO:EP,15,FALSE)</f>
        <v>0</v>
      </c>
      <c r="R233" s="117">
        <f>VLOOKUP(C233,'Talente &amp; Stuff'!DO:EP,16,FALSE)</f>
        <v>0</v>
      </c>
      <c r="S233" s="119">
        <f>VLOOKUP(C233,'Talente &amp; Stuff'!DO:EP,17,FALSE)</f>
        <v>0</v>
      </c>
      <c r="T233" s="119">
        <f>VLOOKUP(C233,'Talente &amp; Stuff'!DO:EP,18,FALSE)</f>
        <v>0</v>
      </c>
      <c r="U233" s="89">
        <f>VLOOKUP(C233,'Talente &amp; Stuff'!DO:EP,19,FALSE)</f>
        <v>0</v>
      </c>
      <c r="V233" s="47">
        <f>VLOOKUP(C233,'Talente &amp; Stuff'!DO:EP,20,FALSE)</f>
        <v>0</v>
      </c>
      <c r="W233" s="127">
        <f>VLOOKUP(C233,'Talente &amp; Stuff'!DO:EP,21,FALSE)</f>
        <v>0</v>
      </c>
      <c r="X233" s="127">
        <f>VLOOKUP(C233,'Talente &amp; Stuff'!DO:EP,22,FALSE)</f>
        <v>0</v>
      </c>
      <c r="Y233" s="165">
        <f t="shared" si="20"/>
        <v>0</v>
      </c>
      <c r="Z233" s="44">
        <f t="shared" si="21"/>
        <v>0</v>
      </c>
      <c r="AA233" s="125">
        <f>VLOOKUP(C233,'Talente &amp; Stuff'!DO:EP,25,FALSE)</f>
        <v>0</v>
      </c>
      <c r="AB233" s="160">
        <f>VLOOKUP(C233,'Talente &amp; Stuff'!DO:EP,26,FALSE)</f>
        <v>0</v>
      </c>
      <c r="AC233" s="127">
        <f>VLOOKUP(C233,'Talente &amp; Stuff'!DO:EP,27,FALSE)</f>
        <v>0</v>
      </c>
      <c r="AD233" s="125">
        <f>VLOOKUP(C233,'Talente &amp; Stuff'!DO:EP,28,FALSE)</f>
        <v>0</v>
      </c>
      <c r="AE233" s="28"/>
    </row>
    <row r="234" spans="2:31" ht="15" hidden="1" customHeight="1" outlineLevel="2">
      <c r="B234" s="148">
        <v>22</v>
      </c>
      <c r="C234" s="177" t="str">
        <f>Attribute!C234</f>
        <v>---</v>
      </c>
      <c r="D234" s="86" t="str">
        <f>VLOOKUP(C234,'Talente &amp; Stuff'!DO:EP,2,FALSE)</f>
        <v>--/--/--</v>
      </c>
      <c r="E234" s="167" t="str">
        <f>VLOOKUP(C234,'Talente &amp; Stuff'!DO:EP,3,FALSE)</f>
        <v>-</v>
      </c>
      <c r="F234" s="120">
        <f>VLOOKUP(C234,'Talente &amp; Stuff'!DO:EP,4,FALSE)</f>
        <v>0</v>
      </c>
      <c r="G234" s="117">
        <f>VLOOKUP(C234,'Talente &amp; Stuff'!DO:EP,5,FALSE)</f>
        <v>0</v>
      </c>
      <c r="H234" s="117">
        <f>VLOOKUP(C234,'Talente &amp; Stuff'!DO:EP,6,FALSE)</f>
        <v>0</v>
      </c>
      <c r="I234" s="117">
        <f>VLOOKUP(C234,'Talente &amp; Stuff'!DO:EP,7,FALSE)</f>
        <v>0</v>
      </c>
      <c r="J234" s="117">
        <f>VLOOKUP(C234,'Talente &amp; Stuff'!DO:EP,8,FALSE)</f>
        <v>0</v>
      </c>
      <c r="K234" s="117">
        <f>VLOOKUP(C234,'Talente &amp; Stuff'!DO:EP,9,FALSE)</f>
        <v>0</v>
      </c>
      <c r="L234" s="117">
        <f>VLOOKUP(C234,'Talente &amp; Stuff'!DO:EP,10,FALSE)</f>
        <v>0</v>
      </c>
      <c r="M234" s="121">
        <f>VLOOKUP(C234,'Talente &amp; Stuff'!DO:EP,11,FALSE)</f>
        <v>0</v>
      </c>
      <c r="N234" s="47">
        <f>VLOOKUP(C234,'Talente &amp; Stuff'!DO:EP,12,FALSE)</f>
        <v>0</v>
      </c>
      <c r="O234" s="3">
        <f>VLOOKUP(C234,'Talente &amp; Stuff'!DO:EP,13,FALSE)</f>
        <v>0</v>
      </c>
      <c r="P234" s="174">
        <f>VLOOKUP(C234,'Talente &amp; Stuff'!DO:EP,14,FALSE)</f>
        <v>0</v>
      </c>
      <c r="Q234" s="114">
        <f>VLOOKUP(C234,'Talente &amp; Stuff'!DO:EP,15,FALSE)</f>
        <v>0</v>
      </c>
      <c r="R234" s="117">
        <f>VLOOKUP(C234,'Talente &amp; Stuff'!DO:EP,16,FALSE)</f>
        <v>0</v>
      </c>
      <c r="S234" s="119">
        <f>VLOOKUP(C234,'Talente &amp; Stuff'!DO:EP,17,FALSE)</f>
        <v>0</v>
      </c>
      <c r="T234" s="119">
        <f>VLOOKUP(C234,'Talente &amp; Stuff'!DO:EP,18,FALSE)</f>
        <v>0</v>
      </c>
      <c r="U234" s="89">
        <f>VLOOKUP(C234,'Talente &amp; Stuff'!DO:EP,19,FALSE)</f>
        <v>0</v>
      </c>
      <c r="V234" s="47">
        <f>VLOOKUP(C234,'Talente &amp; Stuff'!DO:EP,20,FALSE)</f>
        <v>0</v>
      </c>
      <c r="W234" s="127">
        <f>VLOOKUP(C234,'Talente &amp; Stuff'!DO:EP,21,FALSE)</f>
        <v>0</v>
      </c>
      <c r="X234" s="127">
        <f>VLOOKUP(C234,'Talente &amp; Stuff'!DO:EP,22,FALSE)</f>
        <v>0</v>
      </c>
      <c r="Y234" s="165">
        <f t="shared" si="20"/>
        <v>0</v>
      </c>
      <c r="Z234" s="44">
        <f t="shared" si="21"/>
        <v>0</v>
      </c>
      <c r="AA234" s="125">
        <f>VLOOKUP(C234,'Talente &amp; Stuff'!DO:EP,25,FALSE)</f>
        <v>0</v>
      </c>
      <c r="AB234" s="160">
        <f>VLOOKUP(C234,'Talente &amp; Stuff'!DO:EP,26,FALSE)</f>
        <v>0</v>
      </c>
      <c r="AC234" s="127">
        <f>VLOOKUP(C234,'Talente &amp; Stuff'!DO:EP,27,FALSE)</f>
        <v>0</v>
      </c>
      <c r="AD234" s="125">
        <f>VLOOKUP(C234,'Talente &amp; Stuff'!DO:EP,28,FALSE)</f>
        <v>0</v>
      </c>
      <c r="AE234" s="28"/>
    </row>
    <row r="235" spans="2:31" ht="15" hidden="1" customHeight="1" outlineLevel="2">
      <c r="B235" s="148">
        <v>23</v>
      </c>
      <c r="C235" s="177" t="str">
        <f>Attribute!C235</f>
        <v>---</v>
      </c>
      <c r="D235" s="86" t="str">
        <f>VLOOKUP(C235,'Talente &amp; Stuff'!DO:EP,2,FALSE)</f>
        <v>--/--/--</v>
      </c>
      <c r="E235" s="167" t="str">
        <f>VLOOKUP(C235,'Talente &amp; Stuff'!DO:EP,3,FALSE)</f>
        <v>-</v>
      </c>
      <c r="F235" s="120">
        <f>VLOOKUP(C235,'Talente &amp; Stuff'!DO:EP,4,FALSE)</f>
        <v>0</v>
      </c>
      <c r="G235" s="117">
        <f>VLOOKUP(C235,'Talente &amp; Stuff'!DO:EP,5,FALSE)</f>
        <v>0</v>
      </c>
      <c r="H235" s="117">
        <f>VLOOKUP(C235,'Talente &amp; Stuff'!DO:EP,6,FALSE)</f>
        <v>0</v>
      </c>
      <c r="I235" s="117">
        <f>VLOOKUP(C235,'Talente &amp; Stuff'!DO:EP,7,FALSE)</f>
        <v>0</v>
      </c>
      <c r="J235" s="117">
        <f>VLOOKUP(C235,'Talente &amp; Stuff'!DO:EP,8,FALSE)</f>
        <v>0</v>
      </c>
      <c r="K235" s="117">
        <f>VLOOKUP(C235,'Talente &amp; Stuff'!DO:EP,9,FALSE)</f>
        <v>0</v>
      </c>
      <c r="L235" s="117">
        <f>VLOOKUP(C235,'Talente &amp; Stuff'!DO:EP,10,FALSE)</f>
        <v>0</v>
      </c>
      <c r="M235" s="121">
        <f>VLOOKUP(C235,'Talente &amp; Stuff'!DO:EP,11,FALSE)</f>
        <v>0</v>
      </c>
      <c r="N235" s="47">
        <f>VLOOKUP(C235,'Talente &amp; Stuff'!DO:EP,12,FALSE)</f>
        <v>0</v>
      </c>
      <c r="O235" s="3">
        <f>VLOOKUP(C235,'Talente &amp; Stuff'!DO:EP,13,FALSE)</f>
        <v>0</v>
      </c>
      <c r="P235" s="174">
        <f>VLOOKUP(C235,'Talente &amp; Stuff'!DO:EP,14,FALSE)</f>
        <v>0</v>
      </c>
      <c r="Q235" s="114">
        <f>VLOOKUP(C235,'Talente &amp; Stuff'!DO:EP,15,FALSE)</f>
        <v>0</v>
      </c>
      <c r="R235" s="117">
        <f>VLOOKUP(C235,'Talente &amp; Stuff'!DO:EP,16,FALSE)</f>
        <v>0</v>
      </c>
      <c r="S235" s="119">
        <f>VLOOKUP(C235,'Talente &amp; Stuff'!DO:EP,17,FALSE)</f>
        <v>0</v>
      </c>
      <c r="T235" s="119">
        <f>VLOOKUP(C235,'Talente &amp; Stuff'!DO:EP,18,FALSE)</f>
        <v>0</v>
      </c>
      <c r="U235" s="89">
        <f>VLOOKUP(C235,'Talente &amp; Stuff'!DO:EP,19,FALSE)</f>
        <v>0</v>
      </c>
      <c r="V235" s="47">
        <f>VLOOKUP(C235,'Talente &amp; Stuff'!DO:EP,20,FALSE)</f>
        <v>0</v>
      </c>
      <c r="W235" s="127">
        <f>VLOOKUP(C235,'Talente &amp; Stuff'!DO:EP,21,FALSE)</f>
        <v>0</v>
      </c>
      <c r="X235" s="127">
        <f>VLOOKUP(C235,'Talente &amp; Stuff'!DO:EP,22,FALSE)</f>
        <v>0</v>
      </c>
      <c r="Y235" s="165">
        <f t="shared" si="20"/>
        <v>0</v>
      </c>
      <c r="Z235" s="44">
        <f t="shared" si="21"/>
        <v>0</v>
      </c>
      <c r="AA235" s="125">
        <f>VLOOKUP(C235,'Talente &amp; Stuff'!DO:EP,25,FALSE)</f>
        <v>0</v>
      </c>
      <c r="AB235" s="160">
        <f>VLOOKUP(C235,'Talente &amp; Stuff'!DO:EP,26,FALSE)</f>
        <v>0</v>
      </c>
      <c r="AC235" s="127">
        <f>VLOOKUP(C235,'Talente &amp; Stuff'!DO:EP,27,FALSE)</f>
        <v>0</v>
      </c>
      <c r="AD235" s="125">
        <f>VLOOKUP(C235,'Talente &amp; Stuff'!DO:EP,28,FALSE)</f>
        <v>0</v>
      </c>
      <c r="AE235" s="28"/>
    </row>
    <row r="236" spans="2:31" ht="15" hidden="1" customHeight="1" outlineLevel="2">
      <c r="B236" s="148">
        <v>24</v>
      </c>
      <c r="C236" s="177" t="str">
        <f>Attribute!C236</f>
        <v>---</v>
      </c>
      <c r="D236" s="86" t="str">
        <f>VLOOKUP(C236,'Talente &amp; Stuff'!DO:EP,2,FALSE)</f>
        <v>--/--/--</v>
      </c>
      <c r="E236" s="167" t="str">
        <f>VLOOKUP(C236,'Talente &amp; Stuff'!DO:EP,3,FALSE)</f>
        <v>-</v>
      </c>
      <c r="F236" s="120">
        <f>VLOOKUP(C236,'Talente &amp; Stuff'!DO:EP,4,FALSE)</f>
        <v>0</v>
      </c>
      <c r="G236" s="117">
        <f>VLOOKUP(C236,'Talente &amp; Stuff'!DO:EP,5,FALSE)</f>
        <v>0</v>
      </c>
      <c r="H236" s="117">
        <f>VLOOKUP(C236,'Talente &amp; Stuff'!DO:EP,6,FALSE)</f>
        <v>0</v>
      </c>
      <c r="I236" s="117">
        <f>VLOOKUP(C236,'Talente &amp; Stuff'!DO:EP,7,FALSE)</f>
        <v>0</v>
      </c>
      <c r="J236" s="117">
        <f>VLOOKUP(C236,'Talente &amp; Stuff'!DO:EP,8,FALSE)</f>
        <v>0</v>
      </c>
      <c r="K236" s="117">
        <f>VLOOKUP(C236,'Talente &amp; Stuff'!DO:EP,9,FALSE)</f>
        <v>0</v>
      </c>
      <c r="L236" s="117">
        <f>VLOOKUP(C236,'Talente &amp; Stuff'!DO:EP,10,FALSE)</f>
        <v>0</v>
      </c>
      <c r="M236" s="121">
        <f>VLOOKUP(C236,'Talente &amp; Stuff'!DO:EP,11,FALSE)</f>
        <v>0</v>
      </c>
      <c r="N236" s="47">
        <f>VLOOKUP(C236,'Talente &amp; Stuff'!DO:EP,12,FALSE)</f>
        <v>0</v>
      </c>
      <c r="O236" s="3">
        <f>VLOOKUP(C236,'Talente &amp; Stuff'!DO:EP,13,FALSE)</f>
        <v>0</v>
      </c>
      <c r="P236" s="174">
        <f>VLOOKUP(C236,'Talente &amp; Stuff'!DO:EP,14,FALSE)</f>
        <v>0</v>
      </c>
      <c r="Q236" s="114">
        <f>VLOOKUP(C236,'Talente &amp; Stuff'!DO:EP,15,FALSE)</f>
        <v>0</v>
      </c>
      <c r="R236" s="117">
        <f>VLOOKUP(C236,'Talente &amp; Stuff'!DO:EP,16,FALSE)</f>
        <v>0</v>
      </c>
      <c r="S236" s="119">
        <f>VLOOKUP(C236,'Talente &amp; Stuff'!DO:EP,17,FALSE)</f>
        <v>0</v>
      </c>
      <c r="T236" s="119">
        <f>VLOOKUP(C236,'Talente &amp; Stuff'!DO:EP,18,FALSE)</f>
        <v>0</v>
      </c>
      <c r="U236" s="89">
        <f>VLOOKUP(C236,'Talente &amp; Stuff'!DO:EP,19,FALSE)</f>
        <v>0</v>
      </c>
      <c r="V236" s="47">
        <f>VLOOKUP(C236,'Talente &amp; Stuff'!DO:EP,20,FALSE)</f>
        <v>0</v>
      </c>
      <c r="W236" s="127">
        <f>VLOOKUP(C236,'Talente &amp; Stuff'!DO:EP,21,FALSE)</f>
        <v>0</v>
      </c>
      <c r="X236" s="127">
        <f>VLOOKUP(C236,'Talente &amp; Stuff'!DO:EP,22,FALSE)</f>
        <v>0</v>
      </c>
      <c r="Y236" s="165">
        <f t="shared" si="20"/>
        <v>0</v>
      </c>
      <c r="Z236" s="44">
        <f t="shared" si="21"/>
        <v>0</v>
      </c>
      <c r="AA236" s="125">
        <f>VLOOKUP(C236,'Talente &amp; Stuff'!DO:EP,25,FALSE)</f>
        <v>0</v>
      </c>
      <c r="AB236" s="160">
        <f>VLOOKUP(C236,'Talente &amp; Stuff'!DO:EP,26,FALSE)</f>
        <v>0</v>
      </c>
      <c r="AC236" s="127">
        <f>VLOOKUP(C236,'Talente &amp; Stuff'!DO:EP,27,FALSE)</f>
        <v>0</v>
      </c>
      <c r="AD236" s="125">
        <f>VLOOKUP(C236,'Talente &amp; Stuff'!DO:EP,28,FALSE)</f>
        <v>0</v>
      </c>
      <c r="AE236" s="28"/>
    </row>
    <row r="237" spans="2:31" ht="15" hidden="1" customHeight="1" outlineLevel="2">
      <c r="B237" s="148">
        <v>25</v>
      </c>
      <c r="C237" s="177" t="str">
        <f>Attribute!C237</f>
        <v>---</v>
      </c>
      <c r="D237" s="86" t="str">
        <f>VLOOKUP(C237,'Talente &amp; Stuff'!DO:EP,2,FALSE)</f>
        <v>--/--/--</v>
      </c>
      <c r="E237" s="167" t="str">
        <f>VLOOKUP(C237,'Talente &amp; Stuff'!DO:EP,3,FALSE)</f>
        <v>-</v>
      </c>
      <c r="F237" s="120">
        <f>VLOOKUP(C237,'Talente &amp; Stuff'!DO:EP,4,FALSE)</f>
        <v>0</v>
      </c>
      <c r="G237" s="117">
        <f>VLOOKUP(C237,'Talente &amp; Stuff'!DO:EP,5,FALSE)</f>
        <v>0</v>
      </c>
      <c r="H237" s="117">
        <f>VLOOKUP(C237,'Talente &amp; Stuff'!DO:EP,6,FALSE)</f>
        <v>0</v>
      </c>
      <c r="I237" s="117">
        <f>VLOOKUP(C237,'Talente &amp; Stuff'!DO:EP,7,FALSE)</f>
        <v>0</v>
      </c>
      <c r="J237" s="117">
        <f>VLOOKUP(C237,'Talente &amp; Stuff'!DO:EP,8,FALSE)</f>
        <v>0</v>
      </c>
      <c r="K237" s="117">
        <f>VLOOKUP(C237,'Talente &amp; Stuff'!DO:EP,9,FALSE)</f>
        <v>0</v>
      </c>
      <c r="L237" s="117">
        <f>VLOOKUP(C237,'Talente &amp; Stuff'!DO:EP,10,FALSE)</f>
        <v>0</v>
      </c>
      <c r="M237" s="121">
        <f>VLOOKUP(C237,'Talente &amp; Stuff'!DO:EP,11,FALSE)</f>
        <v>0</v>
      </c>
      <c r="N237" s="47">
        <f>VLOOKUP(C237,'Talente &amp; Stuff'!DO:EP,12,FALSE)</f>
        <v>0</v>
      </c>
      <c r="O237" s="3">
        <f>VLOOKUP(C237,'Talente &amp; Stuff'!DO:EP,13,FALSE)</f>
        <v>0</v>
      </c>
      <c r="P237" s="174">
        <f>VLOOKUP(C237,'Talente &amp; Stuff'!DO:EP,14,FALSE)</f>
        <v>0</v>
      </c>
      <c r="Q237" s="114">
        <f>VLOOKUP(C237,'Talente &amp; Stuff'!DO:EP,15,FALSE)</f>
        <v>0</v>
      </c>
      <c r="R237" s="117">
        <f>VLOOKUP(C237,'Talente &amp; Stuff'!DO:EP,16,FALSE)</f>
        <v>0</v>
      </c>
      <c r="S237" s="119">
        <f>VLOOKUP(C237,'Talente &amp; Stuff'!DO:EP,17,FALSE)</f>
        <v>0</v>
      </c>
      <c r="T237" s="119">
        <f>VLOOKUP(C237,'Talente &amp; Stuff'!DO:EP,18,FALSE)</f>
        <v>0</v>
      </c>
      <c r="U237" s="89">
        <f>VLOOKUP(C237,'Talente &amp; Stuff'!DO:EP,19,FALSE)</f>
        <v>0</v>
      </c>
      <c r="V237" s="47">
        <f>VLOOKUP(C237,'Talente &amp; Stuff'!DO:EP,20,FALSE)</f>
        <v>0</v>
      </c>
      <c r="W237" s="127">
        <f>VLOOKUP(C237,'Talente &amp; Stuff'!DO:EP,21,FALSE)</f>
        <v>0</v>
      </c>
      <c r="X237" s="127">
        <f>VLOOKUP(C237,'Talente &amp; Stuff'!DO:EP,22,FALSE)</f>
        <v>0</v>
      </c>
      <c r="Y237" s="165">
        <f t="shared" si="20"/>
        <v>0</v>
      </c>
      <c r="Z237" s="44">
        <f t="shared" si="21"/>
        <v>0</v>
      </c>
      <c r="AA237" s="125">
        <f>VLOOKUP(C237,'Talente &amp; Stuff'!DO:EP,25,FALSE)</f>
        <v>0</v>
      </c>
      <c r="AB237" s="160">
        <f>VLOOKUP(C237,'Talente &amp; Stuff'!DO:EP,26,FALSE)</f>
        <v>0</v>
      </c>
      <c r="AC237" s="127">
        <f>VLOOKUP(C237,'Talente &amp; Stuff'!DO:EP,27,FALSE)</f>
        <v>0</v>
      </c>
      <c r="AD237" s="125">
        <f>VLOOKUP(C237,'Talente &amp; Stuff'!DO:EP,28,FALSE)</f>
        <v>0</v>
      </c>
      <c r="AE237" s="28"/>
    </row>
    <row r="238" spans="2:31" ht="15" hidden="1" customHeight="1" outlineLevel="2">
      <c r="B238" s="148">
        <v>26</v>
      </c>
      <c r="C238" s="177" t="str">
        <f>Attribute!C238</f>
        <v>---</v>
      </c>
      <c r="D238" s="86" t="str">
        <f>VLOOKUP(C238,'Talente &amp; Stuff'!DO:EP,2,FALSE)</f>
        <v>--/--/--</v>
      </c>
      <c r="E238" s="167" t="str">
        <f>VLOOKUP(C238,'Talente &amp; Stuff'!DO:EP,3,FALSE)</f>
        <v>-</v>
      </c>
      <c r="F238" s="120">
        <f>VLOOKUP(C238,'Talente &amp; Stuff'!DO:EP,4,FALSE)</f>
        <v>0</v>
      </c>
      <c r="G238" s="117">
        <f>VLOOKUP(C238,'Talente &amp; Stuff'!DO:EP,5,FALSE)</f>
        <v>0</v>
      </c>
      <c r="H238" s="117">
        <f>VLOOKUP(C238,'Talente &amp; Stuff'!DO:EP,6,FALSE)</f>
        <v>0</v>
      </c>
      <c r="I238" s="117">
        <f>VLOOKUP(C238,'Talente &amp; Stuff'!DO:EP,7,FALSE)</f>
        <v>0</v>
      </c>
      <c r="J238" s="117">
        <f>VLOOKUP(C238,'Talente &amp; Stuff'!DO:EP,8,FALSE)</f>
        <v>0</v>
      </c>
      <c r="K238" s="117">
        <f>VLOOKUP(C238,'Talente &amp; Stuff'!DO:EP,9,FALSE)</f>
        <v>0</v>
      </c>
      <c r="L238" s="117">
        <f>VLOOKUP(C238,'Talente &amp; Stuff'!DO:EP,10,FALSE)</f>
        <v>0</v>
      </c>
      <c r="M238" s="121">
        <f>VLOOKUP(C238,'Talente &amp; Stuff'!DO:EP,11,FALSE)</f>
        <v>0</v>
      </c>
      <c r="N238" s="47">
        <f>VLOOKUP(C238,'Talente &amp; Stuff'!DO:EP,12,FALSE)</f>
        <v>0</v>
      </c>
      <c r="O238" s="3">
        <f>VLOOKUP(C238,'Talente &amp; Stuff'!DO:EP,13,FALSE)</f>
        <v>0</v>
      </c>
      <c r="P238" s="174">
        <f>VLOOKUP(C238,'Talente &amp; Stuff'!DO:EP,14,FALSE)</f>
        <v>0</v>
      </c>
      <c r="Q238" s="114">
        <f>VLOOKUP(C238,'Talente &amp; Stuff'!DO:EP,15,FALSE)</f>
        <v>0</v>
      </c>
      <c r="R238" s="117">
        <f>VLOOKUP(C238,'Talente &amp; Stuff'!DO:EP,16,FALSE)</f>
        <v>0</v>
      </c>
      <c r="S238" s="119">
        <f>VLOOKUP(C238,'Talente &amp; Stuff'!DO:EP,17,FALSE)</f>
        <v>0</v>
      </c>
      <c r="T238" s="119">
        <f>VLOOKUP(C238,'Talente &amp; Stuff'!DO:EP,18,FALSE)</f>
        <v>0</v>
      </c>
      <c r="U238" s="89">
        <f>VLOOKUP(C238,'Talente &amp; Stuff'!DO:EP,19,FALSE)</f>
        <v>0</v>
      </c>
      <c r="V238" s="47">
        <f>VLOOKUP(C238,'Talente &amp; Stuff'!DO:EP,20,FALSE)</f>
        <v>0</v>
      </c>
      <c r="W238" s="127">
        <f>VLOOKUP(C238,'Talente &amp; Stuff'!DO:EP,21,FALSE)</f>
        <v>0</v>
      </c>
      <c r="X238" s="127">
        <f>VLOOKUP(C238,'Talente &amp; Stuff'!DO:EP,22,FALSE)</f>
        <v>0</v>
      </c>
      <c r="Y238" s="165">
        <f t="shared" si="20"/>
        <v>0</v>
      </c>
      <c r="Z238" s="44">
        <f t="shared" si="21"/>
        <v>0</v>
      </c>
      <c r="AA238" s="125">
        <f>VLOOKUP(C238,'Talente &amp; Stuff'!DO:EP,25,FALSE)</f>
        <v>0</v>
      </c>
      <c r="AB238" s="160">
        <f>VLOOKUP(C238,'Talente &amp; Stuff'!DO:EP,26,FALSE)</f>
        <v>0</v>
      </c>
      <c r="AC238" s="127">
        <f>VLOOKUP(C238,'Talente &amp; Stuff'!DO:EP,27,FALSE)</f>
        <v>0</v>
      </c>
      <c r="AD238" s="125">
        <f>VLOOKUP(C238,'Talente &amp; Stuff'!DO:EP,28,FALSE)</f>
        <v>0</v>
      </c>
      <c r="AE238" s="28"/>
    </row>
    <row r="239" spans="2:31" ht="15" hidden="1" customHeight="1" outlineLevel="2">
      <c r="B239" s="148">
        <v>27</v>
      </c>
      <c r="C239" s="177" t="str">
        <f>Attribute!C239</f>
        <v>---</v>
      </c>
      <c r="D239" s="86" t="str">
        <f>VLOOKUP(C239,'Talente &amp; Stuff'!DO:EP,2,FALSE)</f>
        <v>--/--/--</v>
      </c>
      <c r="E239" s="167" t="str">
        <f>VLOOKUP(C239,'Talente &amp; Stuff'!DO:EP,3,FALSE)</f>
        <v>-</v>
      </c>
      <c r="F239" s="120">
        <f>VLOOKUP(C239,'Talente &amp; Stuff'!DO:EP,4,FALSE)</f>
        <v>0</v>
      </c>
      <c r="G239" s="117">
        <f>VLOOKUP(C239,'Talente &amp; Stuff'!DO:EP,5,FALSE)</f>
        <v>0</v>
      </c>
      <c r="H239" s="117">
        <f>VLOOKUP(C239,'Talente &amp; Stuff'!DO:EP,6,FALSE)</f>
        <v>0</v>
      </c>
      <c r="I239" s="117">
        <f>VLOOKUP(C239,'Talente &amp; Stuff'!DO:EP,7,FALSE)</f>
        <v>0</v>
      </c>
      <c r="J239" s="117">
        <f>VLOOKUP(C239,'Talente &amp; Stuff'!DO:EP,8,FALSE)</f>
        <v>0</v>
      </c>
      <c r="K239" s="117">
        <f>VLOOKUP(C239,'Talente &amp; Stuff'!DO:EP,9,FALSE)</f>
        <v>0</v>
      </c>
      <c r="L239" s="117">
        <f>VLOOKUP(C239,'Talente &amp; Stuff'!DO:EP,10,FALSE)</f>
        <v>0</v>
      </c>
      <c r="M239" s="121">
        <f>VLOOKUP(C239,'Talente &amp; Stuff'!DO:EP,11,FALSE)</f>
        <v>0</v>
      </c>
      <c r="N239" s="47">
        <f>VLOOKUP(C239,'Talente &amp; Stuff'!DO:EP,12,FALSE)</f>
        <v>0</v>
      </c>
      <c r="O239" s="3">
        <f>VLOOKUP(C239,'Talente &amp; Stuff'!DO:EP,13,FALSE)</f>
        <v>0</v>
      </c>
      <c r="P239" s="174">
        <f>VLOOKUP(C239,'Talente &amp; Stuff'!DO:EP,14,FALSE)</f>
        <v>0</v>
      </c>
      <c r="Q239" s="114">
        <f>VLOOKUP(C239,'Talente &amp; Stuff'!DO:EP,15,FALSE)</f>
        <v>0</v>
      </c>
      <c r="R239" s="117">
        <f>VLOOKUP(C239,'Talente &amp; Stuff'!DO:EP,16,FALSE)</f>
        <v>0</v>
      </c>
      <c r="S239" s="119">
        <f>VLOOKUP(C239,'Talente &amp; Stuff'!DO:EP,17,FALSE)</f>
        <v>0</v>
      </c>
      <c r="T239" s="119">
        <f>VLOOKUP(C239,'Talente &amp; Stuff'!DO:EP,18,FALSE)</f>
        <v>0</v>
      </c>
      <c r="U239" s="89">
        <f>VLOOKUP(C239,'Talente &amp; Stuff'!DO:EP,19,FALSE)</f>
        <v>0</v>
      </c>
      <c r="V239" s="47">
        <f>VLOOKUP(C239,'Talente &amp; Stuff'!DO:EP,20,FALSE)</f>
        <v>0</v>
      </c>
      <c r="W239" s="127">
        <f>VLOOKUP(C239,'Talente &amp; Stuff'!DO:EP,21,FALSE)</f>
        <v>0</v>
      </c>
      <c r="X239" s="127">
        <f>VLOOKUP(C239,'Talente &amp; Stuff'!DO:EP,22,FALSE)</f>
        <v>0</v>
      </c>
      <c r="Y239" s="165">
        <f t="shared" si="20"/>
        <v>0</v>
      </c>
      <c r="Z239" s="44">
        <f t="shared" si="21"/>
        <v>0</v>
      </c>
      <c r="AA239" s="125">
        <f>VLOOKUP(C239,'Talente &amp; Stuff'!DO:EP,25,FALSE)</f>
        <v>0</v>
      </c>
      <c r="AB239" s="160">
        <f>VLOOKUP(C239,'Talente &amp; Stuff'!DO:EP,26,FALSE)</f>
        <v>0</v>
      </c>
      <c r="AC239" s="127">
        <f>VLOOKUP(C239,'Talente &amp; Stuff'!DO:EP,27,FALSE)</f>
        <v>0</v>
      </c>
      <c r="AD239" s="125">
        <f>VLOOKUP(C239,'Talente &amp; Stuff'!DO:EP,28,FALSE)</f>
        <v>0</v>
      </c>
      <c r="AE239" s="28"/>
    </row>
    <row r="240" spans="2:31" ht="15" hidden="1" customHeight="1" outlineLevel="2">
      <c r="B240" s="148">
        <v>28</v>
      </c>
      <c r="C240" s="177" t="str">
        <f>Attribute!C240</f>
        <v>---</v>
      </c>
      <c r="D240" s="86" t="str">
        <f>VLOOKUP(C240,'Talente &amp; Stuff'!DO:EP,2,FALSE)</f>
        <v>--/--/--</v>
      </c>
      <c r="E240" s="167" t="str">
        <f>VLOOKUP(C240,'Talente &amp; Stuff'!DO:EP,3,FALSE)</f>
        <v>-</v>
      </c>
      <c r="F240" s="120">
        <f>VLOOKUP(C240,'Talente &amp; Stuff'!DO:EP,4,FALSE)</f>
        <v>0</v>
      </c>
      <c r="G240" s="117">
        <f>VLOOKUP(C240,'Talente &amp; Stuff'!DO:EP,5,FALSE)</f>
        <v>0</v>
      </c>
      <c r="H240" s="117">
        <f>VLOOKUP(C240,'Talente &amp; Stuff'!DO:EP,6,FALSE)</f>
        <v>0</v>
      </c>
      <c r="I240" s="117">
        <f>VLOOKUP(C240,'Talente &amp; Stuff'!DO:EP,7,FALSE)</f>
        <v>0</v>
      </c>
      <c r="J240" s="117">
        <f>VLOOKUP(C240,'Talente &amp; Stuff'!DO:EP,8,FALSE)</f>
        <v>0</v>
      </c>
      <c r="K240" s="117">
        <f>VLOOKUP(C240,'Talente &amp; Stuff'!DO:EP,9,FALSE)</f>
        <v>0</v>
      </c>
      <c r="L240" s="117">
        <f>VLOOKUP(C240,'Talente &amp; Stuff'!DO:EP,10,FALSE)</f>
        <v>0</v>
      </c>
      <c r="M240" s="121">
        <f>VLOOKUP(C240,'Talente &amp; Stuff'!DO:EP,11,FALSE)</f>
        <v>0</v>
      </c>
      <c r="N240" s="47">
        <f>VLOOKUP(C240,'Talente &amp; Stuff'!DO:EP,12,FALSE)</f>
        <v>0</v>
      </c>
      <c r="O240" s="3">
        <f>VLOOKUP(C240,'Talente &amp; Stuff'!DO:EP,13,FALSE)</f>
        <v>0</v>
      </c>
      <c r="P240" s="174">
        <f>VLOOKUP(C240,'Talente &amp; Stuff'!DO:EP,14,FALSE)</f>
        <v>0</v>
      </c>
      <c r="Q240" s="114">
        <f>VLOOKUP(C240,'Talente &amp; Stuff'!DO:EP,15,FALSE)</f>
        <v>0</v>
      </c>
      <c r="R240" s="117">
        <f>VLOOKUP(C240,'Talente &amp; Stuff'!DO:EP,16,FALSE)</f>
        <v>0</v>
      </c>
      <c r="S240" s="119">
        <f>VLOOKUP(C240,'Talente &amp; Stuff'!DO:EP,17,FALSE)</f>
        <v>0</v>
      </c>
      <c r="T240" s="119">
        <f>VLOOKUP(C240,'Talente &amp; Stuff'!DO:EP,18,FALSE)</f>
        <v>0</v>
      </c>
      <c r="U240" s="89">
        <f>VLOOKUP(C240,'Talente &amp; Stuff'!DO:EP,19,FALSE)</f>
        <v>0</v>
      </c>
      <c r="V240" s="47">
        <f>VLOOKUP(C240,'Talente &amp; Stuff'!DO:EP,20,FALSE)</f>
        <v>0</v>
      </c>
      <c r="W240" s="127">
        <f>VLOOKUP(C240,'Talente &amp; Stuff'!DO:EP,21,FALSE)</f>
        <v>0</v>
      </c>
      <c r="X240" s="127">
        <f>VLOOKUP(C240,'Talente &amp; Stuff'!DO:EP,22,FALSE)</f>
        <v>0</v>
      </c>
      <c r="Y240" s="165">
        <f t="shared" si="20"/>
        <v>0</v>
      </c>
      <c r="Z240" s="44">
        <f t="shared" si="21"/>
        <v>0</v>
      </c>
      <c r="AA240" s="125">
        <f>VLOOKUP(C240,'Talente &amp; Stuff'!DO:EP,25,FALSE)</f>
        <v>0</v>
      </c>
      <c r="AB240" s="160">
        <f>VLOOKUP(C240,'Talente &amp; Stuff'!DO:EP,26,FALSE)</f>
        <v>0</v>
      </c>
      <c r="AC240" s="127">
        <f>VLOOKUP(C240,'Talente &amp; Stuff'!DO:EP,27,FALSE)</f>
        <v>0</v>
      </c>
      <c r="AD240" s="125">
        <f>VLOOKUP(C240,'Talente &amp; Stuff'!DO:EP,28,FALSE)</f>
        <v>0</v>
      </c>
      <c r="AE240" s="28"/>
    </row>
    <row r="241" spans="2:31" ht="15" hidden="1" customHeight="1" outlineLevel="2">
      <c r="B241" s="148">
        <v>29</v>
      </c>
      <c r="C241" s="177" t="str">
        <f>Attribute!C241</f>
        <v>---</v>
      </c>
      <c r="D241" s="125" t="str">
        <f>VLOOKUP(C241,'Talente &amp; Stuff'!DO:EP,2,FALSE)</f>
        <v>--/--/--</v>
      </c>
      <c r="E241" s="127" t="str">
        <f>VLOOKUP(C241,'Talente &amp; Stuff'!DO:EP,3,FALSE)</f>
        <v>-</v>
      </c>
      <c r="F241" s="114">
        <f>VLOOKUP(C241,'Talente &amp; Stuff'!DO:EP,4,FALSE)</f>
        <v>0</v>
      </c>
      <c r="G241" s="113">
        <f>VLOOKUP(C241,'Talente &amp; Stuff'!DO:EP,5,FALSE)</f>
        <v>0</v>
      </c>
      <c r="H241" s="113">
        <f>VLOOKUP(C241,'Talente &amp; Stuff'!DO:EP,6,FALSE)</f>
        <v>0</v>
      </c>
      <c r="I241" s="113">
        <f>VLOOKUP(C241,'Talente &amp; Stuff'!DO:EP,7,FALSE)</f>
        <v>0</v>
      </c>
      <c r="J241" s="113">
        <f>VLOOKUP(C241,'Talente &amp; Stuff'!DO:EP,8,FALSE)</f>
        <v>0</v>
      </c>
      <c r="K241" s="113">
        <f>VLOOKUP(C241,'Talente &amp; Stuff'!DO:EP,9,FALSE)</f>
        <v>0</v>
      </c>
      <c r="L241" s="113">
        <f>VLOOKUP(C241,'Talente &amp; Stuff'!DO:EP,10,FALSE)</f>
        <v>0</v>
      </c>
      <c r="M241" s="119">
        <f>VLOOKUP(C241,'Talente &amp; Stuff'!DO:EP,11,FALSE)</f>
        <v>0</v>
      </c>
      <c r="N241" s="47">
        <f>VLOOKUP(C241,'Talente &amp; Stuff'!DO:EP,12,FALSE)</f>
        <v>0</v>
      </c>
      <c r="O241" s="47">
        <f>VLOOKUP(C241,'Talente &amp; Stuff'!DO:EP,13,FALSE)</f>
        <v>0</v>
      </c>
      <c r="P241" s="119">
        <f>VLOOKUP(C241,'Talente &amp; Stuff'!DO:EP,14,FALSE)</f>
        <v>0</v>
      </c>
      <c r="Q241" s="114">
        <f>VLOOKUP(C241,'Talente &amp; Stuff'!DO:EP,15,FALSE)</f>
        <v>0</v>
      </c>
      <c r="R241" s="113">
        <f>VLOOKUP(C241,'Talente &amp; Stuff'!DO:EP,16,FALSE)</f>
        <v>0</v>
      </c>
      <c r="S241" s="119">
        <f>VLOOKUP(C241,'Talente &amp; Stuff'!DO:EP,17,FALSE)</f>
        <v>0</v>
      </c>
      <c r="T241" s="119">
        <f>VLOOKUP(C241,'Talente &amp; Stuff'!DO:EP,18,FALSE)</f>
        <v>0</v>
      </c>
      <c r="U241" s="89">
        <f>VLOOKUP(C241,'Talente &amp; Stuff'!DO:EP,19,FALSE)</f>
        <v>0</v>
      </c>
      <c r="V241" s="47">
        <f>VLOOKUP(C241,'Talente &amp; Stuff'!DO:EP,20,FALSE)</f>
        <v>0</v>
      </c>
      <c r="W241" s="127">
        <f>VLOOKUP(C241,'Talente &amp; Stuff'!DO:EP,21,FALSE)</f>
        <v>0</v>
      </c>
      <c r="X241" s="127">
        <f>VLOOKUP(C241,'Talente &amp; Stuff'!DO:EP,22,FALSE)</f>
        <v>0</v>
      </c>
      <c r="Y241" s="165">
        <f t="shared" si="20"/>
        <v>0</v>
      </c>
      <c r="Z241" s="44">
        <f t="shared" si="21"/>
        <v>0</v>
      </c>
      <c r="AA241" s="125">
        <f>VLOOKUP(C241,'Talente &amp; Stuff'!DO:EP,25,FALSE)</f>
        <v>0</v>
      </c>
      <c r="AB241" s="160">
        <f>VLOOKUP(C241,'Talente &amp; Stuff'!DO:EP,26,FALSE)</f>
        <v>0</v>
      </c>
      <c r="AC241" s="127">
        <f>VLOOKUP(C241,'Talente &amp; Stuff'!DO:EP,27,FALSE)</f>
        <v>0</v>
      </c>
      <c r="AD241" s="125">
        <f>VLOOKUP(C241,'Talente &amp; Stuff'!DO:EP,28,FALSE)</f>
        <v>0</v>
      </c>
      <c r="AE241" s="28"/>
    </row>
    <row r="242" spans="2:31" ht="15" hidden="1" customHeight="1" outlineLevel="2">
      <c r="B242" s="148">
        <v>30</v>
      </c>
      <c r="C242" s="177" t="str">
        <f>Attribute!C242</f>
        <v>---</v>
      </c>
      <c r="D242" s="125" t="str">
        <f>VLOOKUP(C242,'Talente &amp; Stuff'!DO:EP,2,FALSE)</f>
        <v>--/--/--</v>
      </c>
      <c r="E242" s="127" t="str">
        <f>VLOOKUP(C242,'Talente &amp; Stuff'!DO:EP,3,FALSE)</f>
        <v>-</v>
      </c>
      <c r="F242" s="114">
        <f>VLOOKUP(C242,'Talente &amp; Stuff'!DO:EP,4,FALSE)</f>
        <v>0</v>
      </c>
      <c r="G242" s="113">
        <f>VLOOKUP(C242,'Talente &amp; Stuff'!DO:EP,5,FALSE)</f>
        <v>0</v>
      </c>
      <c r="H242" s="113">
        <f>VLOOKUP(C242,'Talente &amp; Stuff'!DO:EP,6,FALSE)</f>
        <v>0</v>
      </c>
      <c r="I242" s="113">
        <f>VLOOKUP(C242,'Talente &amp; Stuff'!DO:EP,7,FALSE)</f>
        <v>0</v>
      </c>
      <c r="J242" s="113">
        <f>VLOOKUP(C242,'Talente &amp; Stuff'!DO:EP,8,FALSE)</f>
        <v>0</v>
      </c>
      <c r="K242" s="113">
        <f>VLOOKUP(C242,'Talente &amp; Stuff'!DO:EP,9,FALSE)</f>
        <v>0</v>
      </c>
      <c r="L242" s="113">
        <f>VLOOKUP(C242,'Talente &amp; Stuff'!DO:EP,10,FALSE)</f>
        <v>0</v>
      </c>
      <c r="M242" s="119">
        <f>VLOOKUP(C242,'Talente &amp; Stuff'!DO:EP,11,FALSE)</f>
        <v>0</v>
      </c>
      <c r="N242" s="47">
        <f>VLOOKUP(C242,'Talente &amp; Stuff'!DO:EP,12,FALSE)</f>
        <v>0</v>
      </c>
      <c r="O242" s="47">
        <f>VLOOKUP(C242,'Talente &amp; Stuff'!DO:EP,13,FALSE)</f>
        <v>0</v>
      </c>
      <c r="P242" s="119">
        <f>VLOOKUP(C242,'Talente &amp; Stuff'!DO:EP,14,FALSE)</f>
        <v>0</v>
      </c>
      <c r="Q242" s="114">
        <f>VLOOKUP(C242,'Talente &amp; Stuff'!DO:EP,15,FALSE)</f>
        <v>0</v>
      </c>
      <c r="R242" s="113">
        <f>VLOOKUP(C242,'Talente &amp; Stuff'!DO:EP,16,FALSE)</f>
        <v>0</v>
      </c>
      <c r="S242" s="119">
        <f>VLOOKUP(C242,'Talente &amp; Stuff'!DO:EP,17,FALSE)</f>
        <v>0</v>
      </c>
      <c r="T242" s="119">
        <f>VLOOKUP(C242,'Talente &amp; Stuff'!DO:EP,18,FALSE)</f>
        <v>0</v>
      </c>
      <c r="U242" s="89">
        <f>VLOOKUP(C242,'Talente &amp; Stuff'!DO:EP,19,FALSE)</f>
        <v>0</v>
      </c>
      <c r="V242" s="47">
        <f>VLOOKUP(C242,'Talente &amp; Stuff'!DO:EP,20,FALSE)</f>
        <v>0</v>
      </c>
      <c r="W242" s="127">
        <f>VLOOKUP(C242,'Talente &amp; Stuff'!DO:EP,21,FALSE)</f>
        <v>0</v>
      </c>
      <c r="X242" s="127">
        <f>VLOOKUP(C242,'Talente &amp; Stuff'!DO:EP,22,FALSE)</f>
        <v>0</v>
      </c>
      <c r="Y242" s="165">
        <f t="shared" si="20"/>
        <v>0</v>
      </c>
      <c r="Z242" s="44">
        <f t="shared" si="21"/>
        <v>0</v>
      </c>
      <c r="AA242" s="125">
        <f>VLOOKUP(C242,'Talente &amp; Stuff'!DO:EP,25,FALSE)</f>
        <v>0</v>
      </c>
      <c r="AB242" s="160">
        <f>VLOOKUP(C242,'Talente &amp; Stuff'!DO:EP,26,FALSE)</f>
        <v>0</v>
      </c>
      <c r="AC242" s="127">
        <f>VLOOKUP(C242,'Talente &amp; Stuff'!DO:EP,27,FALSE)</f>
        <v>0</v>
      </c>
      <c r="AD242" s="125">
        <f>VLOOKUP(C242,'Talente &amp; Stuff'!DO:EP,28,FALSE)</f>
        <v>0</v>
      </c>
      <c r="AE242" s="28"/>
    </row>
    <row r="243" spans="2:31" ht="15" hidden="1" customHeight="1" outlineLevel="2">
      <c r="B243" s="148">
        <v>31</v>
      </c>
      <c r="C243" s="177" t="str">
        <f>Attribute!C243</f>
        <v>---</v>
      </c>
      <c r="D243" s="125" t="str">
        <f>VLOOKUP(C243,'Talente &amp; Stuff'!DO:EP,2,FALSE)</f>
        <v>--/--/--</v>
      </c>
      <c r="E243" s="127" t="str">
        <f>VLOOKUP(C243,'Talente &amp; Stuff'!DO:EP,3,FALSE)</f>
        <v>-</v>
      </c>
      <c r="F243" s="114">
        <f>VLOOKUP(C243,'Talente &amp; Stuff'!DO:EP,4,FALSE)</f>
        <v>0</v>
      </c>
      <c r="G243" s="113">
        <f>VLOOKUP(C243,'Talente &amp; Stuff'!DO:EP,5,FALSE)</f>
        <v>0</v>
      </c>
      <c r="H243" s="113">
        <f>VLOOKUP(C243,'Talente &amp; Stuff'!DO:EP,6,FALSE)</f>
        <v>0</v>
      </c>
      <c r="I243" s="113">
        <f>VLOOKUP(C243,'Talente &amp; Stuff'!DO:EP,7,FALSE)</f>
        <v>0</v>
      </c>
      <c r="J243" s="113">
        <f>VLOOKUP(C243,'Talente &amp; Stuff'!DO:EP,8,FALSE)</f>
        <v>0</v>
      </c>
      <c r="K243" s="113">
        <f>VLOOKUP(C243,'Talente &amp; Stuff'!DO:EP,9,FALSE)</f>
        <v>0</v>
      </c>
      <c r="L243" s="113">
        <f>VLOOKUP(C243,'Talente &amp; Stuff'!DO:EP,10,FALSE)</f>
        <v>0</v>
      </c>
      <c r="M243" s="119">
        <f>VLOOKUP(C243,'Talente &amp; Stuff'!DO:EP,11,FALSE)</f>
        <v>0</v>
      </c>
      <c r="N243" s="47">
        <f>VLOOKUP(C243,'Talente &amp; Stuff'!DO:EP,12,FALSE)</f>
        <v>0</v>
      </c>
      <c r="O243" s="47">
        <f>VLOOKUP(C243,'Talente &amp; Stuff'!DO:EP,13,FALSE)</f>
        <v>0</v>
      </c>
      <c r="P243" s="119">
        <f>VLOOKUP(C243,'Talente &amp; Stuff'!DO:EP,14,FALSE)</f>
        <v>0</v>
      </c>
      <c r="Q243" s="114">
        <f>VLOOKUP(C243,'Talente &amp; Stuff'!DO:EP,15,FALSE)</f>
        <v>0</v>
      </c>
      <c r="R243" s="113">
        <f>VLOOKUP(C243,'Talente &amp; Stuff'!DO:EP,16,FALSE)</f>
        <v>0</v>
      </c>
      <c r="S243" s="119">
        <f>VLOOKUP(C243,'Talente &amp; Stuff'!DO:EP,17,FALSE)</f>
        <v>0</v>
      </c>
      <c r="T243" s="119">
        <f>VLOOKUP(C243,'Talente &amp; Stuff'!DO:EP,18,FALSE)</f>
        <v>0</v>
      </c>
      <c r="U243" s="89">
        <f>VLOOKUP(C243,'Talente &amp; Stuff'!DO:EP,19,FALSE)</f>
        <v>0</v>
      </c>
      <c r="V243" s="47">
        <f>VLOOKUP(C243,'Talente &amp; Stuff'!DO:EP,20,FALSE)</f>
        <v>0</v>
      </c>
      <c r="W243" s="127">
        <f>VLOOKUP(C243,'Talente &amp; Stuff'!DO:EP,21,FALSE)</f>
        <v>0</v>
      </c>
      <c r="X243" s="127">
        <f>VLOOKUP(C243,'Talente &amp; Stuff'!DO:EP,22,FALSE)</f>
        <v>0</v>
      </c>
      <c r="Y243" s="165">
        <f t="shared" si="20"/>
        <v>0</v>
      </c>
      <c r="Z243" s="44">
        <f t="shared" si="21"/>
        <v>0</v>
      </c>
      <c r="AA243" s="125">
        <f>VLOOKUP(C243,'Talente &amp; Stuff'!DO:EP,25,FALSE)</f>
        <v>0</v>
      </c>
      <c r="AB243" s="160">
        <f>VLOOKUP(C243,'Talente &amp; Stuff'!DO:EP,26,FALSE)</f>
        <v>0</v>
      </c>
      <c r="AC243" s="127">
        <f>VLOOKUP(C243,'Talente &amp; Stuff'!DO:EP,27,FALSE)</f>
        <v>0</v>
      </c>
      <c r="AD243" s="125">
        <f>VLOOKUP(C243,'Talente &amp; Stuff'!DO:EP,28,FALSE)</f>
        <v>0</v>
      </c>
      <c r="AE243" s="28"/>
    </row>
    <row r="244" spans="2:31" ht="15" hidden="1" customHeight="1" outlineLevel="2">
      <c r="B244" s="148">
        <v>32</v>
      </c>
      <c r="C244" s="177" t="str">
        <f>Attribute!C244</f>
        <v>---</v>
      </c>
      <c r="D244" s="125" t="str">
        <f>VLOOKUP(C244,'Talente &amp; Stuff'!DO:EP,2,FALSE)</f>
        <v>--/--/--</v>
      </c>
      <c r="E244" s="127" t="str">
        <f>VLOOKUP(C244,'Talente &amp; Stuff'!DO:EP,3,FALSE)</f>
        <v>-</v>
      </c>
      <c r="F244" s="114">
        <f>VLOOKUP(C244,'Talente &amp; Stuff'!DO:EP,4,FALSE)</f>
        <v>0</v>
      </c>
      <c r="G244" s="113">
        <f>VLOOKUP(C244,'Talente &amp; Stuff'!DO:EP,5,FALSE)</f>
        <v>0</v>
      </c>
      <c r="H244" s="113">
        <f>VLOOKUP(C244,'Talente &amp; Stuff'!DO:EP,6,FALSE)</f>
        <v>0</v>
      </c>
      <c r="I244" s="113">
        <f>VLOOKUP(C244,'Talente &amp; Stuff'!DO:EP,7,FALSE)</f>
        <v>0</v>
      </c>
      <c r="J244" s="113">
        <f>VLOOKUP(C244,'Talente &amp; Stuff'!DO:EP,8,FALSE)</f>
        <v>0</v>
      </c>
      <c r="K244" s="113">
        <f>VLOOKUP(C244,'Talente &amp; Stuff'!DO:EP,9,FALSE)</f>
        <v>0</v>
      </c>
      <c r="L244" s="113">
        <f>VLOOKUP(C244,'Talente &amp; Stuff'!DO:EP,10,FALSE)</f>
        <v>0</v>
      </c>
      <c r="M244" s="119">
        <f>VLOOKUP(C244,'Talente &amp; Stuff'!DO:EP,11,FALSE)</f>
        <v>0</v>
      </c>
      <c r="N244" s="47">
        <f>VLOOKUP(C244,'Talente &amp; Stuff'!DO:EP,12,FALSE)</f>
        <v>0</v>
      </c>
      <c r="O244" s="47">
        <f>VLOOKUP(C244,'Talente &amp; Stuff'!DO:EP,13,FALSE)</f>
        <v>0</v>
      </c>
      <c r="P244" s="119">
        <f>VLOOKUP(C244,'Talente &amp; Stuff'!DO:EP,14,FALSE)</f>
        <v>0</v>
      </c>
      <c r="Q244" s="114">
        <f>VLOOKUP(C244,'Talente &amp; Stuff'!DO:EP,15,FALSE)</f>
        <v>0</v>
      </c>
      <c r="R244" s="113">
        <f>VLOOKUP(C244,'Talente &amp; Stuff'!DO:EP,16,FALSE)</f>
        <v>0</v>
      </c>
      <c r="S244" s="119">
        <f>VLOOKUP(C244,'Talente &amp; Stuff'!DO:EP,17,FALSE)</f>
        <v>0</v>
      </c>
      <c r="T244" s="119">
        <f>VLOOKUP(C244,'Talente &amp; Stuff'!DO:EP,18,FALSE)</f>
        <v>0</v>
      </c>
      <c r="U244" s="89">
        <f>VLOOKUP(C244,'Talente &amp; Stuff'!DO:EP,19,FALSE)</f>
        <v>0</v>
      </c>
      <c r="V244" s="47">
        <f>VLOOKUP(C244,'Talente &amp; Stuff'!DO:EP,20,FALSE)</f>
        <v>0</v>
      </c>
      <c r="W244" s="127">
        <f>VLOOKUP(C244,'Talente &amp; Stuff'!DO:EP,21,FALSE)</f>
        <v>0</v>
      </c>
      <c r="X244" s="127">
        <f>VLOOKUP(C244,'Talente &amp; Stuff'!DO:EP,22,FALSE)</f>
        <v>0</v>
      </c>
      <c r="Y244" s="165">
        <f t="shared" si="20"/>
        <v>0</v>
      </c>
      <c r="Z244" s="44">
        <f t="shared" si="21"/>
        <v>0</v>
      </c>
      <c r="AA244" s="125">
        <f>VLOOKUP(C244,'Talente &amp; Stuff'!DO:EP,25,FALSE)</f>
        <v>0</v>
      </c>
      <c r="AB244" s="160">
        <f>VLOOKUP(C244,'Talente &amp; Stuff'!DO:EP,26,FALSE)</f>
        <v>0</v>
      </c>
      <c r="AC244" s="127">
        <f>VLOOKUP(C244,'Talente &amp; Stuff'!DO:EP,27,FALSE)</f>
        <v>0</v>
      </c>
      <c r="AD244" s="125">
        <f>VLOOKUP(C244,'Talente &amp; Stuff'!DO:EP,28,FALSE)</f>
        <v>0</v>
      </c>
      <c r="AE244" s="28"/>
    </row>
    <row r="245" spans="2:31" ht="15" hidden="1" customHeight="1" outlineLevel="2">
      <c r="B245" s="148">
        <v>33</v>
      </c>
      <c r="C245" s="177" t="str">
        <f>Attribute!C245</f>
        <v>---</v>
      </c>
      <c r="D245" s="125" t="str">
        <f>VLOOKUP(C245,'Talente &amp; Stuff'!DO:EP,2,FALSE)</f>
        <v>--/--/--</v>
      </c>
      <c r="E245" s="127" t="str">
        <f>VLOOKUP(C245,'Talente &amp; Stuff'!DO:EP,3,FALSE)</f>
        <v>-</v>
      </c>
      <c r="F245" s="114">
        <f>VLOOKUP(C245,'Talente &amp; Stuff'!DO:EP,4,FALSE)</f>
        <v>0</v>
      </c>
      <c r="G245" s="113">
        <f>VLOOKUP(C245,'Talente &amp; Stuff'!DO:EP,5,FALSE)</f>
        <v>0</v>
      </c>
      <c r="H245" s="113">
        <f>VLOOKUP(C245,'Talente &amp; Stuff'!DO:EP,6,FALSE)</f>
        <v>0</v>
      </c>
      <c r="I245" s="113">
        <f>VLOOKUP(C245,'Talente &amp; Stuff'!DO:EP,7,FALSE)</f>
        <v>0</v>
      </c>
      <c r="J245" s="113">
        <f>VLOOKUP(C245,'Talente &amp; Stuff'!DO:EP,8,FALSE)</f>
        <v>0</v>
      </c>
      <c r="K245" s="113">
        <f>VLOOKUP(C245,'Talente &amp; Stuff'!DO:EP,9,FALSE)</f>
        <v>0</v>
      </c>
      <c r="L245" s="113">
        <f>VLOOKUP(C245,'Talente &amp; Stuff'!DO:EP,10,FALSE)</f>
        <v>0</v>
      </c>
      <c r="M245" s="119">
        <f>VLOOKUP(C245,'Talente &amp; Stuff'!DO:EP,11,FALSE)</f>
        <v>0</v>
      </c>
      <c r="N245" s="47">
        <f>VLOOKUP(C245,'Talente &amp; Stuff'!DO:EP,12,FALSE)</f>
        <v>0</v>
      </c>
      <c r="O245" s="47">
        <f>VLOOKUP(C245,'Talente &amp; Stuff'!DO:EP,13,FALSE)</f>
        <v>0</v>
      </c>
      <c r="P245" s="119">
        <f>VLOOKUP(C245,'Talente &amp; Stuff'!DO:EP,14,FALSE)</f>
        <v>0</v>
      </c>
      <c r="Q245" s="114">
        <f>VLOOKUP(C245,'Talente &amp; Stuff'!DO:EP,15,FALSE)</f>
        <v>0</v>
      </c>
      <c r="R245" s="113">
        <f>VLOOKUP(C245,'Talente &amp; Stuff'!DO:EP,16,FALSE)</f>
        <v>0</v>
      </c>
      <c r="S245" s="119">
        <f>VLOOKUP(C245,'Talente &amp; Stuff'!DO:EP,17,FALSE)</f>
        <v>0</v>
      </c>
      <c r="T245" s="119">
        <f>VLOOKUP(C245,'Talente &amp; Stuff'!DO:EP,18,FALSE)</f>
        <v>0</v>
      </c>
      <c r="U245" s="89">
        <f>VLOOKUP(C245,'Talente &amp; Stuff'!DO:EP,19,FALSE)</f>
        <v>0</v>
      </c>
      <c r="V245" s="47">
        <f>VLOOKUP(C245,'Talente &amp; Stuff'!DO:EP,20,FALSE)</f>
        <v>0</v>
      </c>
      <c r="W245" s="127">
        <f>VLOOKUP(C245,'Talente &amp; Stuff'!DO:EP,21,FALSE)</f>
        <v>0</v>
      </c>
      <c r="X245" s="127">
        <f>VLOOKUP(C245,'Talente &amp; Stuff'!DO:EP,22,FALSE)</f>
        <v>0</v>
      </c>
      <c r="Y245" s="165">
        <f t="shared" si="20"/>
        <v>0</v>
      </c>
      <c r="Z245" s="44">
        <f t="shared" si="21"/>
        <v>0</v>
      </c>
      <c r="AA245" s="125">
        <f>VLOOKUP(C245,'Talente &amp; Stuff'!DO:EP,25,FALSE)</f>
        <v>0</v>
      </c>
      <c r="AB245" s="160">
        <f>VLOOKUP(C245,'Talente &amp; Stuff'!DO:EP,26,FALSE)</f>
        <v>0</v>
      </c>
      <c r="AC245" s="127">
        <f>VLOOKUP(C245,'Talente &amp; Stuff'!DO:EP,27,FALSE)</f>
        <v>0</v>
      </c>
      <c r="AD245" s="125">
        <f>VLOOKUP(C245,'Talente &amp; Stuff'!DO:EP,28,FALSE)</f>
        <v>0</v>
      </c>
      <c r="AE245" s="28"/>
    </row>
    <row r="246" spans="2:31" ht="15" hidden="1" customHeight="1" outlineLevel="2">
      <c r="B246" s="148">
        <v>34</v>
      </c>
      <c r="C246" s="177" t="str">
        <f>Attribute!C246</f>
        <v>---</v>
      </c>
      <c r="D246" s="125" t="str">
        <f>VLOOKUP(C246,'Talente &amp; Stuff'!DO:EP,2,FALSE)</f>
        <v>--/--/--</v>
      </c>
      <c r="E246" s="127" t="str">
        <f>VLOOKUP(C246,'Talente &amp; Stuff'!DO:EP,3,FALSE)</f>
        <v>-</v>
      </c>
      <c r="F246" s="114">
        <f>VLOOKUP(C246,'Talente &amp; Stuff'!DO:EP,4,FALSE)</f>
        <v>0</v>
      </c>
      <c r="G246" s="113">
        <f>VLOOKUP(C246,'Talente &amp; Stuff'!DO:EP,5,FALSE)</f>
        <v>0</v>
      </c>
      <c r="H246" s="113">
        <f>VLOOKUP(C246,'Talente &amp; Stuff'!DO:EP,6,FALSE)</f>
        <v>0</v>
      </c>
      <c r="I246" s="113">
        <f>VLOOKUP(C246,'Talente &amp; Stuff'!DO:EP,7,FALSE)</f>
        <v>0</v>
      </c>
      <c r="J246" s="113">
        <f>VLOOKUP(C246,'Talente &amp; Stuff'!DO:EP,8,FALSE)</f>
        <v>0</v>
      </c>
      <c r="K246" s="113">
        <f>VLOOKUP(C246,'Talente &amp; Stuff'!DO:EP,9,FALSE)</f>
        <v>0</v>
      </c>
      <c r="L246" s="113">
        <f>VLOOKUP(C246,'Talente &amp; Stuff'!DO:EP,10,FALSE)</f>
        <v>0</v>
      </c>
      <c r="M246" s="119">
        <f>VLOOKUP(C246,'Talente &amp; Stuff'!DO:EP,11,FALSE)</f>
        <v>0</v>
      </c>
      <c r="N246" s="47">
        <f>VLOOKUP(C246,'Talente &amp; Stuff'!DO:EP,12,FALSE)</f>
        <v>0</v>
      </c>
      <c r="O246" s="47">
        <f>VLOOKUP(C246,'Talente &amp; Stuff'!DO:EP,13,FALSE)</f>
        <v>0</v>
      </c>
      <c r="P246" s="119">
        <f>VLOOKUP(C246,'Talente &amp; Stuff'!DO:EP,14,FALSE)</f>
        <v>0</v>
      </c>
      <c r="Q246" s="114">
        <f>VLOOKUP(C246,'Talente &amp; Stuff'!DO:EP,15,FALSE)</f>
        <v>0</v>
      </c>
      <c r="R246" s="113">
        <f>VLOOKUP(C246,'Talente &amp; Stuff'!DO:EP,16,FALSE)</f>
        <v>0</v>
      </c>
      <c r="S246" s="119">
        <f>VLOOKUP(C246,'Talente &amp; Stuff'!DO:EP,17,FALSE)</f>
        <v>0</v>
      </c>
      <c r="T246" s="119">
        <f>VLOOKUP(C246,'Talente &amp; Stuff'!DO:EP,18,FALSE)</f>
        <v>0</v>
      </c>
      <c r="U246" s="89">
        <f>VLOOKUP(C246,'Talente &amp; Stuff'!DO:EP,19,FALSE)</f>
        <v>0</v>
      </c>
      <c r="V246" s="47">
        <f>VLOOKUP(C246,'Talente &amp; Stuff'!DO:EP,20,FALSE)</f>
        <v>0</v>
      </c>
      <c r="W246" s="127">
        <f>VLOOKUP(C246,'Talente &amp; Stuff'!DO:EP,21,FALSE)</f>
        <v>0</v>
      </c>
      <c r="X246" s="127">
        <f>VLOOKUP(C246,'Talente &amp; Stuff'!DO:EP,22,FALSE)</f>
        <v>0</v>
      </c>
      <c r="Y246" s="165">
        <f t="shared" si="20"/>
        <v>0</v>
      </c>
      <c r="Z246" s="44">
        <f t="shared" si="21"/>
        <v>0</v>
      </c>
      <c r="AA246" s="125">
        <f>VLOOKUP(C246,'Talente &amp; Stuff'!DO:EP,25,FALSE)</f>
        <v>0</v>
      </c>
      <c r="AB246" s="160">
        <f>VLOOKUP(C246,'Talente &amp; Stuff'!DO:EP,26,FALSE)</f>
        <v>0</v>
      </c>
      <c r="AC246" s="127">
        <f>VLOOKUP(C246,'Talente &amp; Stuff'!DO:EP,27,FALSE)</f>
        <v>0</v>
      </c>
      <c r="AD246" s="125">
        <f>VLOOKUP(C246,'Talente &amp; Stuff'!DO:EP,28,FALSE)</f>
        <v>0</v>
      </c>
      <c r="AE246" s="28"/>
    </row>
    <row r="247" spans="2:31" ht="15" hidden="1" customHeight="1" outlineLevel="2">
      <c r="B247" s="148">
        <v>35</v>
      </c>
      <c r="C247" s="177" t="str">
        <f>Attribute!C247</f>
        <v>---</v>
      </c>
      <c r="D247" s="125" t="str">
        <f>VLOOKUP(C247,'Talente &amp; Stuff'!DO:EP,2,FALSE)</f>
        <v>--/--/--</v>
      </c>
      <c r="E247" s="127" t="str">
        <f>VLOOKUP(C247,'Talente &amp; Stuff'!DO:EP,3,FALSE)</f>
        <v>-</v>
      </c>
      <c r="F247" s="114">
        <f>VLOOKUP(C247,'Talente &amp; Stuff'!DO:EP,4,FALSE)</f>
        <v>0</v>
      </c>
      <c r="G247" s="113">
        <f>VLOOKUP(C247,'Talente &amp; Stuff'!DO:EP,5,FALSE)</f>
        <v>0</v>
      </c>
      <c r="H247" s="113">
        <f>VLOOKUP(C247,'Talente &amp; Stuff'!DO:EP,6,FALSE)</f>
        <v>0</v>
      </c>
      <c r="I247" s="113">
        <f>VLOOKUP(C247,'Talente &amp; Stuff'!DO:EP,7,FALSE)</f>
        <v>0</v>
      </c>
      <c r="J247" s="113">
        <f>VLOOKUP(C247,'Talente &amp; Stuff'!DO:EP,8,FALSE)</f>
        <v>0</v>
      </c>
      <c r="K247" s="113">
        <f>VLOOKUP(C247,'Talente &amp; Stuff'!DO:EP,9,FALSE)</f>
        <v>0</v>
      </c>
      <c r="L247" s="113">
        <f>VLOOKUP(C247,'Talente &amp; Stuff'!DO:EP,10,FALSE)</f>
        <v>0</v>
      </c>
      <c r="M247" s="119">
        <f>VLOOKUP(C247,'Talente &amp; Stuff'!DO:EP,11,FALSE)</f>
        <v>0</v>
      </c>
      <c r="N247" s="47">
        <f>VLOOKUP(C247,'Talente &amp; Stuff'!DO:EP,12,FALSE)</f>
        <v>0</v>
      </c>
      <c r="O247" s="47">
        <f>VLOOKUP(C247,'Talente &amp; Stuff'!DO:EP,13,FALSE)</f>
        <v>0</v>
      </c>
      <c r="P247" s="119">
        <f>VLOOKUP(C247,'Talente &amp; Stuff'!DO:EP,14,FALSE)</f>
        <v>0</v>
      </c>
      <c r="Q247" s="114">
        <f>VLOOKUP(C247,'Talente &amp; Stuff'!DO:EP,15,FALSE)</f>
        <v>0</v>
      </c>
      <c r="R247" s="113">
        <f>VLOOKUP(C247,'Talente &amp; Stuff'!DO:EP,16,FALSE)</f>
        <v>0</v>
      </c>
      <c r="S247" s="119">
        <f>VLOOKUP(C247,'Talente &amp; Stuff'!DO:EP,17,FALSE)</f>
        <v>0</v>
      </c>
      <c r="T247" s="119">
        <f>VLOOKUP(C247,'Talente &amp; Stuff'!DO:EP,18,FALSE)</f>
        <v>0</v>
      </c>
      <c r="U247" s="89">
        <f>VLOOKUP(C247,'Talente &amp; Stuff'!DO:EP,19,FALSE)</f>
        <v>0</v>
      </c>
      <c r="V247" s="47">
        <f>VLOOKUP(C247,'Talente &amp; Stuff'!DO:EP,20,FALSE)</f>
        <v>0</v>
      </c>
      <c r="W247" s="127">
        <f>VLOOKUP(C247,'Talente &amp; Stuff'!DO:EP,21,FALSE)</f>
        <v>0</v>
      </c>
      <c r="X247" s="127">
        <f>VLOOKUP(C247,'Talente &amp; Stuff'!DO:EP,22,FALSE)</f>
        <v>0</v>
      </c>
      <c r="Y247" s="165">
        <f t="shared" si="20"/>
        <v>0</v>
      </c>
      <c r="Z247" s="44">
        <f t="shared" si="21"/>
        <v>0</v>
      </c>
      <c r="AA247" s="125">
        <f>VLOOKUP(C247,'Talente &amp; Stuff'!DO:EP,25,FALSE)</f>
        <v>0</v>
      </c>
      <c r="AB247" s="160">
        <f>VLOOKUP(C247,'Talente &amp; Stuff'!DO:EP,26,FALSE)</f>
        <v>0</v>
      </c>
      <c r="AC247" s="127">
        <f>VLOOKUP(C247,'Talente &amp; Stuff'!DO:EP,27,FALSE)</f>
        <v>0</v>
      </c>
      <c r="AD247" s="125">
        <f>VLOOKUP(C247,'Talente &amp; Stuff'!DO:EP,28,FALSE)</f>
        <v>0</v>
      </c>
      <c r="AE247" s="28"/>
    </row>
    <row r="248" spans="2:31" ht="15" hidden="1" customHeight="1" outlineLevel="2">
      <c r="B248" s="148">
        <v>36</v>
      </c>
      <c r="C248" s="177" t="str">
        <f>Attribute!C248</f>
        <v>---</v>
      </c>
      <c r="D248" s="125" t="str">
        <f>VLOOKUP(C248,'Talente &amp; Stuff'!DO:EP,2,FALSE)</f>
        <v>--/--/--</v>
      </c>
      <c r="E248" s="127" t="str">
        <f>VLOOKUP(C248,'Talente &amp; Stuff'!DO:EP,3,FALSE)</f>
        <v>-</v>
      </c>
      <c r="F248" s="114">
        <f>VLOOKUP(C248,'Talente &amp; Stuff'!DO:EP,4,FALSE)</f>
        <v>0</v>
      </c>
      <c r="G248" s="113">
        <f>VLOOKUP(C248,'Talente &amp; Stuff'!DO:EP,5,FALSE)</f>
        <v>0</v>
      </c>
      <c r="H248" s="113">
        <f>VLOOKUP(C248,'Talente &amp; Stuff'!DO:EP,6,FALSE)</f>
        <v>0</v>
      </c>
      <c r="I248" s="113">
        <f>VLOOKUP(C248,'Talente &amp; Stuff'!DO:EP,7,FALSE)</f>
        <v>0</v>
      </c>
      <c r="J248" s="113">
        <f>VLOOKUP(C248,'Talente &amp; Stuff'!DO:EP,8,FALSE)</f>
        <v>0</v>
      </c>
      <c r="K248" s="113">
        <f>VLOOKUP(C248,'Talente &amp; Stuff'!DO:EP,9,FALSE)</f>
        <v>0</v>
      </c>
      <c r="L248" s="113">
        <f>VLOOKUP(C248,'Talente &amp; Stuff'!DO:EP,10,FALSE)</f>
        <v>0</v>
      </c>
      <c r="M248" s="119">
        <f>VLOOKUP(C248,'Talente &amp; Stuff'!DO:EP,11,FALSE)</f>
        <v>0</v>
      </c>
      <c r="N248" s="47">
        <f>VLOOKUP(C248,'Talente &amp; Stuff'!DO:EP,12,FALSE)</f>
        <v>0</v>
      </c>
      <c r="O248" s="47">
        <f>VLOOKUP(C248,'Talente &amp; Stuff'!DO:EP,13,FALSE)</f>
        <v>0</v>
      </c>
      <c r="P248" s="119">
        <f>VLOOKUP(C248,'Talente &amp; Stuff'!DO:EP,14,FALSE)</f>
        <v>0</v>
      </c>
      <c r="Q248" s="114">
        <f>VLOOKUP(C248,'Talente &amp; Stuff'!DO:EP,15,FALSE)</f>
        <v>0</v>
      </c>
      <c r="R248" s="113">
        <f>VLOOKUP(C248,'Talente &amp; Stuff'!DO:EP,16,FALSE)</f>
        <v>0</v>
      </c>
      <c r="S248" s="119">
        <f>VLOOKUP(C248,'Talente &amp; Stuff'!DO:EP,17,FALSE)</f>
        <v>0</v>
      </c>
      <c r="T248" s="119">
        <f>VLOOKUP(C248,'Talente &amp; Stuff'!DO:EP,18,FALSE)</f>
        <v>0</v>
      </c>
      <c r="U248" s="89">
        <f>VLOOKUP(C248,'Talente &amp; Stuff'!DO:EP,19,FALSE)</f>
        <v>0</v>
      </c>
      <c r="V248" s="47">
        <f>VLOOKUP(C248,'Talente &amp; Stuff'!DO:EP,20,FALSE)</f>
        <v>0</v>
      </c>
      <c r="W248" s="127">
        <f>VLOOKUP(C248,'Talente &amp; Stuff'!DO:EP,21,FALSE)</f>
        <v>0</v>
      </c>
      <c r="X248" s="127">
        <f>VLOOKUP(C248,'Talente &amp; Stuff'!DO:EP,22,FALSE)</f>
        <v>0</v>
      </c>
      <c r="Y248" s="165">
        <f t="shared" si="20"/>
        <v>0</v>
      </c>
      <c r="Z248" s="44">
        <f t="shared" si="21"/>
        <v>0</v>
      </c>
      <c r="AA248" s="125">
        <f>VLOOKUP(C248,'Talente &amp; Stuff'!DO:EP,25,FALSE)</f>
        <v>0</v>
      </c>
      <c r="AB248" s="160">
        <f>VLOOKUP(C248,'Talente &amp; Stuff'!DO:EP,26,FALSE)</f>
        <v>0</v>
      </c>
      <c r="AC248" s="127">
        <f>VLOOKUP(C248,'Talente &amp; Stuff'!DO:EP,27,FALSE)</f>
        <v>0</v>
      </c>
      <c r="AD248" s="125">
        <f>VLOOKUP(C248,'Talente &amp; Stuff'!DO:EP,28,FALSE)</f>
        <v>0</v>
      </c>
      <c r="AE248" s="28"/>
    </row>
    <row r="249" spans="2:31" ht="15" hidden="1" customHeight="1" outlineLevel="2">
      <c r="B249" s="148">
        <v>37</v>
      </c>
      <c r="C249" s="177" t="str">
        <f>Attribute!C249</f>
        <v>---</v>
      </c>
      <c r="D249" s="125" t="str">
        <f>VLOOKUP(C249,'Talente &amp; Stuff'!DO:EP,2,FALSE)</f>
        <v>--/--/--</v>
      </c>
      <c r="E249" s="127" t="str">
        <f>VLOOKUP(C249,'Talente &amp; Stuff'!DO:EP,3,FALSE)</f>
        <v>-</v>
      </c>
      <c r="F249" s="114">
        <f>VLOOKUP(C249,'Talente &amp; Stuff'!DO:EP,4,FALSE)</f>
        <v>0</v>
      </c>
      <c r="G249" s="113">
        <f>VLOOKUP(C249,'Talente &amp; Stuff'!DO:EP,5,FALSE)</f>
        <v>0</v>
      </c>
      <c r="H249" s="113">
        <f>VLOOKUP(C249,'Talente &amp; Stuff'!DO:EP,6,FALSE)</f>
        <v>0</v>
      </c>
      <c r="I249" s="113">
        <f>VLOOKUP(C249,'Talente &amp; Stuff'!DO:EP,7,FALSE)</f>
        <v>0</v>
      </c>
      <c r="J249" s="113">
        <f>VLOOKUP(C249,'Talente &amp; Stuff'!DO:EP,8,FALSE)</f>
        <v>0</v>
      </c>
      <c r="K249" s="113">
        <f>VLOOKUP(C249,'Talente &amp; Stuff'!DO:EP,9,FALSE)</f>
        <v>0</v>
      </c>
      <c r="L249" s="113">
        <f>VLOOKUP(C249,'Talente &amp; Stuff'!DO:EP,10,FALSE)</f>
        <v>0</v>
      </c>
      <c r="M249" s="119">
        <f>VLOOKUP(C249,'Talente &amp; Stuff'!DO:EP,11,FALSE)</f>
        <v>0</v>
      </c>
      <c r="N249" s="47">
        <f>VLOOKUP(C249,'Talente &amp; Stuff'!DO:EP,12,FALSE)</f>
        <v>0</v>
      </c>
      <c r="O249" s="47">
        <f>VLOOKUP(C249,'Talente &amp; Stuff'!DO:EP,13,FALSE)</f>
        <v>0</v>
      </c>
      <c r="P249" s="119">
        <f>VLOOKUP(C249,'Talente &amp; Stuff'!DO:EP,14,FALSE)</f>
        <v>0</v>
      </c>
      <c r="Q249" s="114">
        <f>VLOOKUP(C249,'Talente &amp; Stuff'!DO:EP,15,FALSE)</f>
        <v>0</v>
      </c>
      <c r="R249" s="113">
        <f>VLOOKUP(C249,'Talente &amp; Stuff'!DO:EP,16,FALSE)</f>
        <v>0</v>
      </c>
      <c r="S249" s="119">
        <f>VLOOKUP(C249,'Talente &amp; Stuff'!DO:EP,17,FALSE)</f>
        <v>0</v>
      </c>
      <c r="T249" s="119">
        <f>VLOOKUP(C249,'Talente &amp; Stuff'!DO:EP,18,FALSE)</f>
        <v>0</v>
      </c>
      <c r="U249" s="89">
        <f>VLOOKUP(C249,'Talente &amp; Stuff'!DO:EP,19,FALSE)</f>
        <v>0</v>
      </c>
      <c r="V249" s="47">
        <f>VLOOKUP(C249,'Talente &amp; Stuff'!DO:EP,20,FALSE)</f>
        <v>0</v>
      </c>
      <c r="W249" s="127">
        <f>VLOOKUP(C249,'Talente &amp; Stuff'!DO:EP,21,FALSE)</f>
        <v>0</v>
      </c>
      <c r="X249" s="127">
        <f>VLOOKUP(C249,'Talente &amp; Stuff'!DO:EP,22,FALSE)</f>
        <v>0</v>
      </c>
      <c r="Y249" s="165">
        <f t="shared" si="20"/>
        <v>0</v>
      </c>
      <c r="Z249" s="44">
        <f t="shared" si="21"/>
        <v>0</v>
      </c>
      <c r="AA249" s="125">
        <f>VLOOKUP(C249,'Talente &amp; Stuff'!DO:EP,25,FALSE)</f>
        <v>0</v>
      </c>
      <c r="AB249" s="160">
        <f>VLOOKUP(C249,'Talente &amp; Stuff'!DO:EP,26,FALSE)</f>
        <v>0</v>
      </c>
      <c r="AC249" s="127">
        <f>VLOOKUP(C249,'Talente &amp; Stuff'!DO:EP,27,FALSE)</f>
        <v>0</v>
      </c>
      <c r="AD249" s="125">
        <f>VLOOKUP(C249,'Talente &amp; Stuff'!DO:EP,28,FALSE)</f>
        <v>0</v>
      </c>
      <c r="AE249" s="28"/>
    </row>
    <row r="250" spans="2:31" ht="15" hidden="1" customHeight="1" outlineLevel="2">
      <c r="B250" s="148">
        <v>38</v>
      </c>
      <c r="C250" s="177" t="str">
        <f>Attribute!C250</f>
        <v>---</v>
      </c>
      <c r="D250" s="125" t="str">
        <f>VLOOKUP(C250,'Talente &amp; Stuff'!DO:EP,2,FALSE)</f>
        <v>--/--/--</v>
      </c>
      <c r="E250" s="127" t="str">
        <f>VLOOKUP(C250,'Talente &amp; Stuff'!DO:EP,3,FALSE)</f>
        <v>-</v>
      </c>
      <c r="F250" s="114">
        <f>VLOOKUP(C250,'Talente &amp; Stuff'!DO:EP,4,FALSE)</f>
        <v>0</v>
      </c>
      <c r="G250" s="113">
        <f>VLOOKUP(C250,'Talente &amp; Stuff'!DO:EP,5,FALSE)</f>
        <v>0</v>
      </c>
      <c r="H250" s="113">
        <f>VLOOKUP(C250,'Talente &amp; Stuff'!DO:EP,6,FALSE)</f>
        <v>0</v>
      </c>
      <c r="I250" s="113">
        <f>VLOOKUP(C250,'Talente &amp; Stuff'!DO:EP,7,FALSE)</f>
        <v>0</v>
      </c>
      <c r="J250" s="113">
        <f>VLOOKUP(C250,'Talente &amp; Stuff'!DO:EP,8,FALSE)</f>
        <v>0</v>
      </c>
      <c r="K250" s="113">
        <f>VLOOKUP(C250,'Talente &amp; Stuff'!DO:EP,9,FALSE)</f>
        <v>0</v>
      </c>
      <c r="L250" s="113">
        <f>VLOOKUP(C250,'Talente &amp; Stuff'!DO:EP,10,FALSE)</f>
        <v>0</v>
      </c>
      <c r="M250" s="119">
        <f>VLOOKUP(C250,'Talente &amp; Stuff'!DO:EP,11,FALSE)</f>
        <v>0</v>
      </c>
      <c r="N250" s="47">
        <f>VLOOKUP(C250,'Talente &amp; Stuff'!DO:EP,12,FALSE)</f>
        <v>0</v>
      </c>
      <c r="O250" s="47">
        <f>VLOOKUP(C250,'Talente &amp; Stuff'!DO:EP,13,FALSE)</f>
        <v>0</v>
      </c>
      <c r="P250" s="119">
        <f>VLOOKUP(C250,'Talente &amp; Stuff'!DO:EP,14,FALSE)</f>
        <v>0</v>
      </c>
      <c r="Q250" s="114">
        <f>VLOOKUP(C250,'Talente &amp; Stuff'!DO:EP,15,FALSE)</f>
        <v>0</v>
      </c>
      <c r="R250" s="113">
        <f>VLOOKUP(C250,'Talente &amp; Stuff'!DO:EP,16,FALSE)</f>
        <v>0</v>
      </c>
      <c r="S250" s="119">
        <f>VLOOKUP(C250,'Talente &amp; Stuff'!DO:EP,17,FALSE)</f>
        <v>0</v>
      </c>
      <c r="T250" s="119">
        <f>VLOOKUP(C250,'Talente &amp; Stuff'!DO:EP,18,FALSE)</f>
        <v>0</v>
      </c>
      <c r="U250" s="89">
        <f>VLOOKUP(C250,'Talente &amp; Stuff'!DO:EP,19,FALSE)</f>
        <v>0</v>
      </c>
      <c r="V250" s="47">
        <f>VLOOKUP(C250,'Talente &amp; Stuff'!DO:EP,20,FALSE)</f>
        <v>0</v>
      </c>
      <c r="W250" s="127">
        <f>VLOOKUP(C250,'Talente &amp; Stuff'!DO:EP,21,FALSE)</f>
        <v>0</v>
      </c>
      <c r="X250" s="127">
        <f>VLOOKUP(C250,'Talente &amp; Stuff'!DO:EP,22,FALSE)</f>
        <v>0</v>
      </c>
      <c r="Y250" s="165">
        <f t="shared" si="20"/>
        <v>0</v>
      </c>
      <c r="Z250" s="44">
        <f t="shared" si="21"/>
        <v>0</v>
      </c>
      <c r="AA250" s="125">
        <f>VLOOKUP(C250,'Talente &amp; Stuff'!DO:EP,25,FALSE)</f>
        <v>0</v>
      </c>
      <c r="AB250" s="160">
        <f>VLOOKUP(C250,'Talente &amp; Stuff'!DO:EP,26,FALSE)</f>
        <v>0</v>
      </c>
      <c r="AC250" s="127">
        <f>VLOOKUP(C250,'Talente &amp; Stuff'!DO:EP,27,FALSE)</f>
        <v>0</v>
      </c>
      <c r="AD250" s="125">
        <f>VLOOKUP(C250,'Talente &amp; Stuff'!DO:EP,28,FALSE)</f>
        <v>0</v>
      </c>
      <c r="AE250" s="28"/>
    </row>
    <row r="251" spans="2:31" ht="15" hidden="1" customHeight="1" outlineLevel="2">
      <c r="B251" s="148">
        <v>39</v>
      </c>
      <c r="C251" s="177" t="str">
        <f>Attribute!C251</f>
        <v>---</v>
      </c>
      <c r="D251" s="125" t="str">
        <f>VLOOKUP(C251,'Talente &amp; Stuff'!DO:EP,2,FALSE)</f>
        <v>--/--/--</v>
      </c>
      <c r="E251" s="127" t="str">
        <f>VLOOKUP(C251,'Talente &amp; Stuff'!DO:EP,3,FALSE)</f>
        <v>-</v>
      </c>
      <c r="F251" s="114">
        <f>VLOOKUP(C251,'Talente &amp; Stuff'!DO:EP,4,FALSE)</f>
        <v>0</v>
      </c>
      <c r="G251" s="113">
        <f>VLOOKUP(C251,'Talente &amp; Stuff'!DO:EP,5,FALSE)</f>
        <v>0</v>
      </c>
      <c r="H251" s="113">
        <f>VLOOKUP(C251,'Talente &amp; Stuff'!DO:EP,6,FALSE)</f>
        <v>0</v>
      </c>
      <c r="I251" s="113">
        <f>VLOOKUP(C251,'Talente &amp; Stuff'!DO:EP,7,FALSE)</f>
        <v>0</v>
      </c>
      <c r="J251" s="113">
        <f>VLOOKUP(C251,'Talente &amp; Stuff'!DO:EP,8,FALSE)</f>
        <v>0</v>
      </c>
      <c r="K251" s="113">
        <f>VLOOKUP(C251,'Talente &amp; Stuff'!DO:EP,9,FALSE)</f>
        <v>0</v>
      </c>
      <c r="L251" s="113">
        <f>VLOOKUP(C251,'Talente &amp; Stuff'!DO:EP,10,FALSE)</f>
        <v>0</v>
      </c>
      <c r="M251" s="119">
        <f>VLOOKUP(C251,'Talente &amp; Stuff'!DO:EP,11,FALSE)</f>
        <v>0</v>
      </c>
      <c r="N251" s="47">
        <f>VLOOKUP(C251,'Talente &amp; Stuff'!DO:EP,12,FALSE)</f>
        <v>0</v>
      </c>
      <c r="O251" s="47">
        <f>VLOOKUP(C251,'Talente &amp; Stuff'!DO:EP,13,FALSE)</f>
        <v>0</v>
      </c>
      <c r="P251" s="119">
        <f>VLOOKUP(C251,'Talente &amp; Stuff'!DO:EP,14,FALSE)</f>
        <v>0</v>
      </c>
      <c r="Q251" s="114">
        <f>VLOOKUP(C251,'Talente &amp; Stuff'!DO:EP,15,FALSE)</f>
        <v>0</v>
      </c>
      <c r="R251" s="113">
        <f>VLOOKUP(C251,'Talente &amp; Stuff'!DO:EP,16,FALSE)</f>
        <v>0</v>
      </c>
      <c r="S251" s="119">
        <f>VLOOKUP(C251,'Talente &amp; Stuff'!DO:EP,17,FALSE)</f>
        <v>0</v>
      </c>
      <c r="T251" s="119">
        <f>VLOOKUP(C251,'Talente &amp; Stuff'!DO:EP,18,FALSE)</f>
        <v>0</v>
      </c>
      <c r="U251" s="89">
        <f>VLOOKUP(C251,'Talente &amp; Stuff'!DO:EP,19,FALSE)</f>
        <v>0</v>
      </c>
      <c r="V251" s="47">
        <f>VLOOKUP(C251,'Talente &amp; Stuff'!DO:EP,20,FALSE)</f>
        <v>0</v>
      </c>
      <c r="W251" s="127">
        <f>VLOOKUP(C251,'Talente &amp; Stuff'!DO:EP,21,FALSE)</f>
        <v>0</v>
      </c>
      <c r="X251" s="127">
        <f>VLOOKUP(C251,'Talente &amp; Stuff'!DO:EP,22,FALSE)</f>
        <v>0</v>
      </c>
      <c r="Y251" s="165">
        <f t="shared" si="20"/>
        <v>0</v>
      </c>
      <c r="Z251" s="44">
        <f t="shared" si="21"/>
        <v>0</v>
      </c>
      <c r="AA251" s="125">
        <f>VLOOKUP(C251,'Talente &amp; Stuff'!DO:EP,25,FALSE)</f>
        <v>0</v>
      </c>
      <c r="AB251" s="160">
        <f>VLOOKUP(C251,'Talente &amp; Stuff'!DO:EP,26,FALSE)</f>
        <v>0</v>
      </c>
      <c r="AC251" s="127">
        <f>VLOOKUP(C251,'Talente &amp; Stuff'!DO:EP,27,FALSE)</f>
        <v>0</v>
      </c>
      <c r="AD251" s="125">
        <f>VLOOKUP(C251,'Talente &amp; Stuff'!DO:EP,28,FALSE)</f>
        <v>0</v>
      </c>
      <c r="AE251" s="28"/>
    </row>
    <row r="252" spans="2:31" ht="15" hidden="1" customHeight="1" outlineLevel="2">
      <c r="B252" s="148">
        <v>40</v>
      </c>
      <c r="C252" s="177" t="str">
        <f>Attribute!C252</f>
        <v>---</v>
      </c>
      <c r="D252" s="86" t="str">
        <f>VLOOKUP(C252,'Talente &amp; Stuff'!DO:EP,2,FALSE)</f>
        <v>--/--/--</v>
      </c>
      <c r="E252" s="127" t="str">
        <f>VLOOKUP(C252,'Talente &amp; Stuff'!DO:EP,3,FALSE)</f>
        <v>-</v>
      </c>
      <c r="F252" s="114">
        <f>VLOOKUP(C252,'Talente &amp; Stuff'!DO:EP,4,FALSE)</f>
        <v>0</v>
      </c>
      <c r="G252" s="113">
        <f>VLOOKUP(C252,'Talente &amp; Stuff'!DO:EP,5,FALSE)</f>
        <v>0</v>
      </c>
      <c r="H252" s="113">
        <f>VLOOKUP(C252,'Talente &amp; Stuff'!DO:EP,6,FALSE)</f>
        <v>0</v>
      </c>
      <c r="I252" s="113">
        <f>VLOOKUP(C252,'Talente &amp; Stuff'!DO:EP,7,FALSE)</f>
        <v>0</v>
      </c>
      <c r="J252" s="113">
        <f>VLOOKUP(C252,'Talente &amp; Stuff'!DO:EP,8,FALSE)</f>
        <v>0</v>
      </c>
      <c r="K252" s="113">
        <f>VLOOKUP(C252,'Talente &amp; Stuff'!DO:EP,9,FALSE)</f>
        <v>0</v>
      </c>
      <c r="L252" s="113">
        <f>VLOOKUP(C252,'Talente &amp; Stuff'!DO:EP,10,FALSE)</f>
        <v>0</v>
      </c>
      <c r="M252" s="119">
        <f>VLOOKUP(C252,'Talente &amp; Stuff'!DO:EP,11,FALSE)</f>
        <v>0</v>
      </c>
      <c r="N252" s="47">
        <f>VLOOKUP(C252,'Talente &amp; Stuff'!DO:EP,12,FALSE)</f>
        <v>0</v>
      </c>
      <c r="O252" s="3">
        <f>VLOOKUP(C252,'Talente &amp; Stuff'!DO:EP,13,FALSE)</f>
        <v>0</v>
      </c>
      <c r="P252" s="174">
        <f>VLOOKUP(C252,'Talente &amp; Stuff'!DO:EP,14,FALSE)</f>
        <v>0</v>
      </c>
      <c r="Q252" s="114">
        <f>VLOOKUP(C252,'Talente &amp; Stuff'!DO:EP,15,FALSE)</f>
        <v>0</v>
      </c>
      <c r="R252" s="113">
        <f>VLOOKUP(C252,'Talente &amp; Stuff'!DO:EP,16,FALSE)</f>
        <v>0</v>
      </c>
      <c r="S252" s="119">
        <f>VLOOKUP(C252,'Talente &amp; Stuff'!DO:EP,17,FALSE)</f>
        <v>0</v>
      </c>
      <c r="T252" s="119">
        <f>VLOOKUP(C252,'Talente &amp; Stuff'!DO:EP,18,FALSE)</f>
        <v>0</v>
      </c>
      <c r="U252" s="89">
        <f>VLOOKUP(C252,'Talente &amp; Stuff'!DO:EP,19,FALSE)</f>
        <v>0</v>
      </c>
      <c r="V252" s="47">
        <f>VLOOKUP(C252,'Talente &amp; Stuff'!DO:EP,20,FALSE)</f>
        <v>0</v>
      </c>
      <c r="W252" s="127">
        <f>VLOOKUP(C252,'Talente &amp; Stuff'!DO:EP,21,FALSE)</f>
        <v>0</v>
      </c>
      <c r="X252" s="127">
        <f>VLOOKUP(C252,'Talente &amp; Stuff'!DO:EP,22,FALSE)</f>
        <v>0</v>
      </c>
      <c r="Y252" s="165">
        <f t="shared" si="20"/>
        <v>0</v>
      </c>
      <c r="Z252" s="44">
        <f t="shared" si="21"/>
        <v>0</v>
      </c>
      <c r="AA252" s="125">
        <f>VLOOKUP(C252,'Talente &amp; Stuff'!DO:EP,25,FALSE)</f>
        <v>0</v>
      </c>
      <c r="AB252" s="160">
        <f>VLOOKUP(C252,'Talente &amp; Stuff'!DO:EP,26,FALSE)</f>
        <v>0</v>
      </c>
      <c r="AC252" s="127">
        <f>VLOOKUP(C252,'Talente &amp; Stuff'!DO:EP,27,FALSE)</f>
        <v>0</v>
      </c>
      <c r="AD252" s="125">
        <f>VLOOKUP(C252,'Talente &amp; Stuff'!DO:EP,28,FALSE)</f>
        <v>0</v>
      </c>
      <c r="AE252" s="28"/>
    </row>
    <row r="253" spans="2:31" ht="15" hidden="1" customHeight="1" outlineLevel="2">
      <c r="B253" s="148">
        <v>41</v>
      </c>
      <c r="C253" s="177" t="str">
        <f>Attribute!C253</f>
        <v>---</v>
      </c>
      <c r="D253" s="125" t="str">
        <f>VLOOKUP(C253,'Talente &amp; Stuff'!DO:EP,2,FALSE)</f>
        <v>--/--/--</v>
      </c>
      <c r="E253" s="127" t="str">
        <f>VLOOKUP(C253,'Talente &amp; Stuff'!DO:EP,3,FALSE)</f>
        <v>-</v>
      </c>
      <c r="F253" s="114">
        <f>VLOOKUP(C253,'Talente &amp; Stuff'!DO:EP,4,FALSE)</f>
        <v>0</v>
      </c>
      <c r="G253" s="113">
        <f>VLOOKUP(C253,'Talente &amp; Stuff'!DO:EP,5,FALSE)</f>
        <v>0</v>
      </c>
      <c r="H253" s="113">
        <f>VLOOKUP(C253,'Talente &amp; Stuff'!DO:EP,6,FALSE)</f>
        <v>0</v>
      </c>
      <c r="I253" s="113">
        <f>VLOOKUP(C253,'Talente &amp; Stuff'!DO:EP,7,FALSE)</f>
        <v>0</v>
      </c>
      <c r="J253" s="113">
        <f>VLOOKUP(C253,'Talente &amp; Stuff'!DO:EP,8,FALSE)</f>
        <v>0</v>
      </c>
      <c r="K253" s="113">
        <f>VLOOKUP(C253,'Talente &amp; Stuff'!DO:EP,9,FALSE)</f>
        <v>0</v>
      </c>
      <c r="L253" s="113">
        <f>VLOOKUP(C253,'Talente &amp; Stuff'!DO:EP,10,FALSE)</f>
        <v>0</v>
      </c>
      <c r="M253" s="119">
        <f>VLOOKUP(C253,'Talente &amp; Stuff'!DO:EP,11,FALSE)</f>
        <v>0</v>
      </c>
      <c r="N253" s="47">
        <f>VLOOKUP(C253,'Talente &amp; Stuff'!DO:EP,12,FALSE)</f>
        <v>0</v>
      </c>
      <c r="O253" s="47">
        <f>VLOOKUP(C253,'Talente &amp; Stuff'!DO:EP,13,FALSE)</f>
        <v>0</v>
      </c>
      <c r="P253" s="119">
        <f>VLOOKUP(C253,'Talente &amp; Stuff'!DO:EP,14,FALSE)</f>
        <v>0</v>
      </c>
      <c r="Q253" s="114">
        <f>VLOOKUP(C253,'Talente &amp; Stuff'!DO:EP,15,FALSE)</f>
        <v>0</v>
      </c>
      <c r="R253" s="113">
        <f>VLOOKUP(C253,'Talente &amp; Stuff'!DO:EP,16,FALSE)</f>
        <v>0</v>
      </c>
      <c r="S253" s="119">
        <f>VLOOKUP(C253,'Talente &amp; Stuff'!DO:EP,17,FALSE)</f>
        <v>0</v>
      </c>
      <c r="T253" s="119">
        <f>VLOOKUP(C253,'Talente &amp; Stuff'!DO:EP,18,FALSE)</f>
        <v>0</v>
      </c>
      <c r="U253" s="89">
        <f>VLOOKUP(C253,'Talente &amp; Stuff'!DO:EP,19,FALSE)</f>
        <v>0</v>
      </c>
      <c r="V253" s="47">
        <f>VLOOKUP(C253,'Talente &amp; Stuff'!DO:EP,20,FALSE)</f>
        <v>0</v>
      </c>
      <c r="W253" s="127">
        <f>VLOOKUP(C253,'Talente &amp; Stuff'!DO:EP,21,FALSE)</f>
        <v>0</v>
      </c>
      <c r="X253" s="127">
        <f>VLOOKUP(C253,'Talente &amp; Stuff'!DO:EP,22,FALSE)</f>
        <v>0</v>
      </c>
      <c r="Y253" s="165">
        <f t="shared" si="20"/>
        <v>0</v>
      </c>
      <c r="Z253" s="44">
        <f t="shared" si="21"/>
        <v>0</v>
      </c>
      <c r="AA253" s="125">
        <f>VLOOKUP(C253,'Talente &amp; Stuff'!DO:EP,25,FALSE)</f>
        <v>0</v>
      </c>
      <c r="AB253" s="160">
        <f>VLOOKUP(C253,'Talente &amp; Stuff'!DO:EP,26,FALSE)</f>
        <v>0</v>
      </c>
      <c r="AC253" s="127">
        <f>VLOOKUP(C253,'Talente &amp; Stuff'!DO:EP,27,FALSE)</f>
        <v>0</v>
      </c>
      <c r="AD253" s="125">
        <f>VLOOKUP(C253,'Talente &amp; Stuff'!DO:EP,28,FALSE)</f>
        <v>0</v>
      </c>
      <c r="AE253" s="28"/>
    </row>
    <row r="254" spans="2:31" ht="15" hidden="1" customHeight="1" outlineLevel="2">
      <c r="B254" s="148">
        <v>42</v>
      </c>
      <c r="C254" s="177" t="str">
        <f>Attribute!C254</f>
        <v>---</v>
      </c>
      <c r="D254" s="125" t="str">
        <f>VLOOKUP(C254,'Talente &amp; Stuff'!DO:EP,2,FALSE)</f>
        <v>--/--/--</v>
      </c>
      <c r="E254" s="127" t="str">
        <f>VLOOKUP(C254,'Talente &amp; Stuff'!DO:EP,3,FALSE)</f>
        <v>-</v>
      </c>
      <c r="F254" s="114">
        <f>VLOOKUP(C254,'Talente &amp; Stuff'!DO:EP,4,FALSE)</f>
        <v>0</v>
      </c>
      <c r="G254" s="113">
        <f>VLOOKUP(C254,'Talente &amp; Stuff'!DO:EP,5,FALSE)</f>
        <v>0</v>
      </c>
      <c r="H254" s="113">
        <f>VLOOKUP(C254,'Talente &amp; Stuff'!DO:EP,6,FALSE)</f>
        <v>0</v>
      </c>
      <c r="I254" s="113">
        <f>VLOOKUP(C254,'Talente &amp; Stuff'!DO:EP,7,FALSE)</f>
        <v>0</v>
      </c>
      <c r="J254" s="113">
        <f>VLOOKUP(C254,'Talente &amp; Stuff'!DO:EP,8,FALSE)</f>
        <v>0</v>
      </c>
      <c r="K254" s="113">
        <f>VLOOKUP(C254,'Talente &amp; Stuff'!DO:EP,9,FALSE)</f>
        <v>0</v>
      </c>
      <c r="L254" s="113">
        <f>VLOOKUP(C254,'Talente &amp; Stuff'!DO:EP,10,FALSE)</f>
        <v>0</v>
      </c>
      <c r="M254" s="119">
        <f>VLOOKUP(C254,'Talente &amp; Stuff'!DO:EP,11,FALSE)</f>
        <v>0</v>
      </c>
      <c r="N254" s="47">
        <f>VLOOKUP(C254,'Talente &amp; Stuff'!DO:EP,12,FALSE)</f>
        <v>0</v>
      </c>
      <c r="O254" s="47">
        <f>VLOOKUP(C254,'Talente &amp; Stuff'!DO:EP,13,FALSE)</f>
        <v>0</v>
      </c>
      <c r="P254" s="119">
        <f>VLOOKUP(C254,'Talente &amp; Stuff'!DO:EP,14,FALSE)</f>
        <v>0</v>
      </c>
      <c r="Q254" s="114">
        <f>VLOOKUP(C254,'Talente &amp; Stuff'!DO:EP,15,FALSE)</f>
        <v>0</v>
      </c>
      <c r="R254" s="113">
        <f>VLOOKUP(C254,'Talente &amp; Stuff'!DO:EP,16,FALSE)</f>
        <v>0</v>
      </c>
      <c r="S254" s="119">
        <f>VLOOKUP(C254,'Talente &amp; Stuff'!DO:EP,17,FALSE)</f>
        <v>0</v>
      </c>
      <c r="T254" s="119">
        <f>VLOOKUP(C254,'Talente &amp; Stuff'!DO:EP,18,FALSE)</f>
        <v>0</v>
      </c>
      <c r="U254" s="89">
        <f>VLOOKUP(C254,'Talente &amp; Stuff'!DO:EP,19,FALSE)</f>
        <v>0</v>
      </c>
      <c r="V254" s="47">
        <f>VLOOKUP(C254,'Talente &amp; Stuff'!DO:EP,20,FALSE)</f>
        <v>0</v>
      </c>
      <c r="W254" s="127">
        <f>VLOOKUP(C254,'Talente &amp; Stuff'!DO:EP,21,FALSE)</f>
        <v>0</v>
      </c>
      <c r="X254" s="127">
        <f>VLOOKUP(C254,'Talente &amp; Stuff'!DO:EP,22,FALSE)</f>
        <v>0</v>
      </c>
      <c r="Y254" s="165">
        <f t="shared" si="20"/>
        <v>0</v>
      </c>
      <c r="Z254" s="44">
        <f t="shared" si="21"/>
        <v>0</v>
      </c>
      <c r="AA254" s="125">
        <f>VLOOKUP(C254,'Talente &amp; Stuff'!DO:EP,25,FALSE)</f>
        <v>0</v>
      </c>
      <c r="AB254" s="160">
        <f>VLOOKUP(C254,'Talente &amp; Stuff'!DO:EP,26,FALSE)</f>
        <v>0</v>
      </c>
      <c r="AC254" s="127">
        <f>VLOOKUP(C254,'Talente &amp; Stuff'!DO:EP,27,FALSE)</f>
        <v>0</v>
      </c>
      <c r="AD254" s="125">
        <f>VLOOKUP(C254,'Talente &amp; Stuff'!DO:EP,28,FALSE)</f>
        <v>0</v>
      </c>
      <c r="AE254" s="28"/>
    </row>
    <row r="255" spans="2:31" ht="15" hidden="1" customHeight="1" outlineLevel="2">
      <c r="B255" s="148">
        <v>43</v>
      </c>
      <c r="C255" s="177" t="str">
        <f>Attribute!C255</f>
        <v>---</v>
      </c>
      <c r="D255" s="86" t="str">
        <f>VLOOKUP(C255,'Talente &amp; Stuff'!DO:EP,2,FALSE)</f>
        <v>--/--/--</v>
      </c>
      <c r="E255" s="127" t="str">
        <f>VLOOKUP(C255,'Talente &amp; Stuff'!DO:EP,3,FALSE)</f>
        <v>-</v>
      </c>
      <c r="F255" s="114">
        <f>VLOOKUP(C255,'Talente &amp; Stuff'!DO:EP,4,FALSE)</f>
        <v>0</v>
      </c>
      <c r="G255" s="113">
        <f>VLOOKUP(C255,'Talente &amp; Stuff'!DO:EP,5,FALSE)</f>
        <v>0</v>
      </c>
      <c r="H255" s="113">
        <f>VLOOKUP(C255,'Talente &amp; Stuff'!DO:EP,6,FALSE)</f>
        <v>0</v>
      </c>
      <c r="I255" s="113">
        <f>VLOOKUP(C255,'Talente &amp; Stuff'!DO:EP,7,FALSE)</f>
        <v>0</v>
      </c>
      <c r="J255" s="113">
        <f>VLOOKUP(C255,'Talente &amp; Stuff'!DO:EP,8,FALSE)</f>
        <v>0</v>
      </c>
      <c r="K255" s="113">
        <f>VLOOKUP(C255,'Talente &amp; Stuff'!DO:EP,9,FALSE)</f>
        <v>0</v>
      </c>
      <c r="L255" s="113">
        <f>VLOOKUP(C255,'Talente &amp; Stuff'!DO:EP,10,FALSE)</f>
        <v>0</v>
      </c>
      <c r="M255" s="119">
        <f>VLOOKUP(C255,'Talente &amp; Stuff'!DO:EP,11,FALSE)</f>
        <v>0</v>
      </c>
      <c r="N255" s="47">
        <f>VLOOKUP(C255,'Talente &amp; Stuff'!DO:EP,12,FALSE)</f>
        <v>0</v>
      </c>
      <c r="O255" s="3">
        <f>VLOOKUP(C255,'Talente &amp; Stuff'!DO:EP,13,FALSE)</f>
        <v>0</v>
      </c>
      <c r="P255" s="174">
        <f>VLOOKUP(C255,'Talente &amp; Stuff'!DO:EP,14,FALSE)</f>
        <v>0</v>
      </c>
      <c r="Q255" s="114">
        <f>VLOOKUP(C255,'Talente &amp; Stuff'!DO:EP,15,FALSE)</f>
        <v>0</v>
      </c>
      <c r="R255" s="113">
        <f>VLOOKUP(C255,'Talente &amp; Stuff'!DO:EP,16,FALSE)</f>
        <v>0</v>
      </c>
      <c r="S255" s="119">
        <f>VLOOKUP(C255,'Talente &amp; Stuff'!DO:EP,17,FALSE)</f>
        <v>0</v>
      </c>
      <c r="T255" s="119">
        <f>VLOOKUP(C255,'Talente &amp; Stuff'!DO:EP,18,FALSE)</f>
        <v>0</v>
      </c>
      <c r="U255" s="89">
        <f>VLOOKUP(C255,'Talente &amp; Stuff'!DO:EP,19,FALSE)</f>
        <v>0</v>
      </c>
      <c r="V255" s="47">
        <f>VLOOKUP(C255,'Talente &amp; Stuff'!DO:EP,20,FALSE)</f>
        <v>0</v>
      </c>
      <c r="W255" s="127">
        <f>VLOOKUP(C255,'Talente &amp; Stuff'!DO:EP,21,FALSE)</f>
        <v>0</v>
      </c>
      <c r="X255" s="127">
        <f>VLOOKUP(C255,'Talente &amp; Stuff'!DO:EP,22,FALSE)</f>
        <v>0</v>
      </c>
      <c r="Y255" s="165">
        <f t="shared" si="20"/>
        <v>0</v>
      </c>
      <c r="Z255" s="44">
        <f t="shared" si="21"/>
        <v>0</v>
      </c>
      <c r="AA255" s="125">
        <f>VLOOKUP(C255,'Talente &amp; Stuff'!DO:EP,25,FALSE)</f>
        <v>0</v>
      </c>
      <c r="AB255" s="160">
        <f>VLOOKUP(C255,'Talente &amp; Stuff'!DO:EP,26,FALSE)</f>
        <v>0</v>
      </c>
      <c r="AC255" s="127">
        <f>VLOOKUP(C255,'Talente &amp; Stuff'!DO:EP,27,FALSE)</f>
        <v>0</v>
      </c>
      <c r="AD255" s="125">
        <f>VLOOKUP(C255,'Talente &amp; Stuff'!DO:EP,28,FALSE)</f>
        <v>0</v>
      </c>
      <c r="AE255" s="28"/>
    </row>
    <row r="256" spans="2:31" ht="15" hidden="1" customHeight="1" outlineLevel="2">
      <c r="B256" s="148">
        <v>44</v>
      </c>
      <c r="C256" s="177" t="str">
        <f>Attribute!C256</f>
        <v>---</v>
      </c>
      <c r="D256" s="125" t="str">
        <f>VLOOKUP(C256,'Talente &amp; Stuff'!DO:EP,2,FALSE)</f>
        <v>--/--/--</v>
      </c>
      <c r="E256" s="127" t="str">
        <f>VLOOKUP(C256,'Talente &amp; Stuff'!DO:EP,3,FALSE)</f>
        <v>-</v>
      </c>
      <c r="F256" s="114">
        <f>VLOOKUP(C256,'Talente &amp; Stuff'!DO:EP,4,FALSE)</f>
        <v>0</v>
      </c>
      <c r="G256" s="113">
        <f>VLOOKUP(C256,'Talente &amp; Stuff'!DO:EP,5,FALSE)</f>
        <v>0</v>
      </c>
      <c r="H256" s="113">
        <f>VLOOKUP(C256,'Talente &amp; Stuff'!DO:EP,6,FALSE)</f>
        <v>0</v>
      </c>
      <c r="I256" s="113">
        <f>VLOOKUP(C256,'Talente &amp; Stuff'!DO:EP,7,FALSE)</f>
        <v>0</v>
      </c>
      <c r="J256" s="113">
        <f>VLOOKUP(C256,'Talente &amp; Stuff'!DO:EP,8,FALSE)</f>
        <v>0</v>
      </c>
      <c r="K256" s="113">
        <f>VLOOKUP(C256,'Talente &amp; Stuff'!DO:EP,9,FALSE)</f>
        <v>0</v>
      </c>
      <c r="L256" s="113">
        <f>VLOOKUP(C256,'Talente &amp; Stuff'!DO:EP,10,FALSE)</f>
        <v>0</v>
      </c>
      <c r="M256" s="119">
        <f>VLOOKUP(C256,'Talente &amp; Stuff'!DO:EP,11,FALSE)</f>
        <v>0</v>
      </c>
      <c r="N256" s="47">
        <f>VLOOKUP(C256,'Talente &amp; Stuff'!DO:EP,12,FALSE)</f>
        <v>0</v>
      </c>
      <c r="O256" s="47">
        <f>VLOOKUP(C256,'Talente &amp; Stuff'!DO:EP,13,FALSE)</f>
        <v>0</v>
      </c>
      <c r="P256" s="119">
        <f>VLOOKUP(C256,'Talente &amp; Stuff'!DO:EP,14,FALSE)</f>
        <v>0</v>
      </c>
      <c r="Q256" s="114">
        <f>VLOOKUP(C256,'Talente &amp; Stuff'!DO:EP,15,FALSE)</f>
        <v>0</v>
      </c>
      <c r="R256" s="113">
        <f>VLOOKUP(C256,'Talente &amp; Stuff'!DO:EP,16,FALSE)</f>
        <v>0</v>
      </c>
      <c r="S256" s="119">
        <f>VLOOKUP(C256,'Talente &amp; Stuff'!DO:EP,17,FALSE)</f>
        <v>0</v>
      </c>
      <c r="T256" s="119">
        <f>VLOOKUP(C256,'Talente &amp; Stuff'!DO:EP,18,FALSE)</f>
        <v>0</v>
      </c>
      <c r="U256" s="89">
        <f>VLOOKUP(C256,'Talente &amp; Stuff'!DO:EP,19,FALSE)</f>
        <v>0</v>
      </c>
      <c r="V256" s="47">
        <f>VLOOKUP(C256,'Talente &amp; Stuff'!DO:EP,20,FALSE)</f>
        <v>0</v>
      </c>
      <c r="W256" s="127">
        <f>VLOOKUP(C256,'Talente &amp; Stuff'!DO:EP,21,FALSE)</f>
        <v>0</v>
      </c>
      <c r="X256" s="127">
        <f>VLOOKUP(C256,'Talente &amp; Stuff'!DO:EP,22,FALSE)</f>
        <v>0</v>
      </c>
      <c r="Y256" s="165">
        <f t="shared" si="20"/>
        <v>0</v>
      </c>
      <c r="Z256" s="44">
        <f t="shared" si="21"/>
        <v>0</v>
      </c>
      <c r="AA256" s="125">
        <f>VLOOKUP(C256,'Talente &amp; Stuff'!DO:EP,25,FALSE)</f>
        <v>0</v>
      </c>
      <c r="AB256" s="160">
        <f>VLOOKUP(C256,'Talente &amp; Stuff'!DO:EP,26,FALSE)</f>
        <v>0</v>
      </c>
      <c r="AC256" s="127">
        <f>VLOOKUP(C256,'Talente &amp; Stuff'!DO:EP,27,FALSE)</f>
        <v>0</v>
      </c>
      <c r="AD256" s="125">
        <f>VLOOKUP(C256,'Talente &amp; Stuff'!DO:EP,28,FALSE)</f>
        <v>0</v>
      </c>
      <c r="AE256" s="28"/>
    </row>
    <row r="257" spans="2:31" ht="15" hidden="1" customHeight="1" outlineLevel="2">
      <c r="B257" s="148">
        <v>45</v>
      </c>
      <c r="C257" s="178" t="str">
        <f>Attribute!C257</f>
        <v>---</v>
      </c>
      <c r="D257" s="159" t="str">
        <f>VLOOKUP(C257,'Talente &amp; Stuff'!DO:EP,2,FALSE)</f>
        <v>--/--/--</v>
      </c>
      <c r="E257" s="128" t="str">
        <f>VLOOKUP(C257,'Talente &amp; Stuff'!DO:EP,3,FALSE)</f>
        <v>-</v>
      </c>
      <c r="F257" s="115">
        <f>VLOOKUP(C257,'Talente &amp; Stuff'!DO:EP,4,FALSE)</f>
        <v>0</v>
      </c>
      <c r="G257" s="122">
        <f>VLOOKUP(C257,'Talente &amp; Stuff'!DO:EP,5,FALSE)</f>
        <v>0</v>
      </c>
      <c r="H257" s="122">
        <f>VLOOKUP(C257,'Talente &amp; Stuff'!DO:EP,6,FALSE)</f>
        <v>0</v>
      </c>
      <c r="I257" s="122">
        <f>VLOOKUP(C257,'Talente &amp; Stuff'!DO:EP,7,FALSE)</f>
        <v>0</v>
      </c>
      <c r="J257" s="122">
        <f>VLOOKUP(C257,'Talente &amp; Stuff'!DO:EP,8,FALSE)</f>
        <v>0</v>
      </c>
      <c r="K257" s="122">
        <f>VLOOKUP(C257,'Talente &amp; Stuff'!DO:EP,9,FALSE)</f>
        <v>0</v>
      </c>
      <c r="L257" s="122">
        <f>VLOOKUP(C257,'Talente &amp; Stuff'!DO:EP,10,FALSE)</f>
        <v>0</v>
      </c>
      <c r="M257" s="123">
        <f>VLOOKUP(C257,'Talente &amp; Stuff'!DO:EP,11,FALSE)</f>
        <v>0</v>
      </c>
      <c r="N257" s="88">
        <f>VLOOKUP(C257,'Talente &amp; Stuff'!DO:EP,12,FALSE)</f>
        <v>0</v>
      </c>
      <c r="O257" s="88">
        <f>VLOOKUP(C257,'Talente &amp; Stuff'!DO:EP,13,FALSE)</f>
        <v>0</v>
      </c>
      <c r="P257" s="123">
        <f>VLOOKUP(C257,'Talente &amp; Stuff'!DO:EP,14,FALSE)</f>
        <v>0</v>
      </c>
      <c r="Q257" s="115">
        <f>VLOOKUP(C257,'Talente &amp; Stuff'!DO:EP,15,FALSE)</f>
        <v>0</v>
      </c>
      <c r="R257" s="122">
        <f>VLOOKUP(C257,'Talente &amp; Stuff'!DO:EP,16,FALSE)</f>
        <v>0</v>
      </c>
      <c r="S257" s="123">
        <f>VLOOKUP(C257,'Talente &amp; Stuff'!DO:EP,17,FALSE)</f>
        <v>0</v>
      </c>
      <c r="T257" s="123">
        <f>VLOOKUP(C257,'Talente &amp; Stuff'!DO:EP,18,FALSE)</f>
        <v>0</v>
      </c>
      <c r="U257" s="90">
        <f>VLOOKUP(C257,'Talente &amp; Stuff'!DO:EP,19,FALSE)</f>
        <v>0</v>
      </c>
      <c r="V257" s="88">
        <f>VLOOKUP(C257,'Talente &amp; Stuff'!DO:EP,20,FALSE)</f>
        <v>0</v>
      </c>
      <c r="W257" s="128">
        <f>VLOOKUP(C257,'Talente &amp; Stuff'!DO:EP,21,FALSE)</f>
        <v>0</v>
      </c>
      <c r="X257" s="128">
        <f>VLOOKUP(C257,'Talente &amp; Stuff'!DO:EP,22,FALSE)</f>
        <v>0</v>
      </c>
      <c r="Y257" s="165">
        <f t="shared" si="20"/>
        <v>0</v>
      </c>
      <c r="Z257" s="44">
        <f t="shared" si="21"/>
        <v>0</v>
      </c>
      <c r="AA257" s="159">
        <f>VLOOKUP(C257,'Talente &amp; Stuff'!DO:EP,25,FALSE)</f>
        <v>0</v>
      </c>
      <c r="AB257" s="161">
        <f>VLOOKUP(C257,'Talente &amp; Stuff'!DO:EP,26,FALSE)</f>
        <v>0</v>
      </c>
      <c r="AC257" s="128">
        <f>VLOOKUP(C257,'Talente &amp; Stuff'!DO:EP,27,FALSE)</f>
        <v>0</v>
      </c>
      <c r="AD257" s="159">
        <f>VLOOKUP(C257,'Talente &amp; Stuff'!DO:EP,28,FALSE)</f>
        <v>0</v>
      </c>
      <c r="AE257" s="28"/>
    </row>
    <row r="258" spans="2:31" ht="15" hidden="1" customHeight="1" outlineLevel="1" collapsed="1">
      <c r="B258" s="134" t="s">
        <v>407</v>
      </c>
      <c r="C258" s="83"/>
      <c r="D258" s="84"/>
      <c r="E258" s="84"/>
    </row>
    <row r="259" spans="2:31" ht="15" hidden="1" customHeight="1" outlineLevel="2">
      <c r="B259" s="148">
        <v>1</v>
      </c>
      <c r="C259" s="200" t="str">
        <f>Attribute!C259</f>
        <v>---</v>
      </c>
      <c r="D259" s="186" t="str">
        <f>VLOOKUP(C259,'Talente &amp; Stuff'!DO:EP,2,FALSE)</f>
        <v>--/--/--</v>
      </c>
      <c r="E259" s="40" t="str">
        <f>VLOOKUP(C259,'Talente &amp; Stuff'!DO:EP,3,FALSE)</f>
        <v>-</v>
      </c>
      <c r="F259" s="17">
        <f>VLOOKUP(C259,'Talente &amp; Stuff'!DO:EP,4,FALSE)</f>
        <v>0</v>
      </c>
      <c r="G259" s="183">
        <f>VLOOKUP(C259,'Talente &amp; Stuff'!DO:EP,5,FALSE)</f>
        <v>0</v>
      </c>
      <c r="H259" s="183">
        <f>VLOOKUP(C259,'Talente &amp; Stuff'!DO:EP,6,FALSE)</f>
        <v>0</v>
      </c>
      <c r="I259" s="183">
        <f>VLOOKUP(C259,'Talente &amp; Stuff'!DO:EP,7,FALSE)</f>
        <v>0</v>
      </c>
      <c r="J259" s="183">
        <f>VLOOKUP(C259,'Talente &amp; Stuff'!DO:EP,8,FALSE)</f>
        <v>0</v>
      </c>
      <c r="K259" s="183">
        <f>VLOOKUP(C259,'Talente &amp; Stuff'!DO:EP,9,FALSE)</f>
        <v>0</v>
      </c>
      <c r="L259" s="183">
        <f>VLOOKUP(C259,'Talente &amp; Stuff'!DO:EP,10,FALSE)</f>
        <v>0</v>
      </c>
      <c r="M259" s="180">
        <f>VLOOKUP(C259,'Talente &amp; Stuff'!DO:EP,11,FALSE)</f>
        <v>0</v>
      </c>
      <c r="N259" s="166">
        <f>VLOOKUP(C259,'Talente &amp; Stuff'!DO:EP,12,FALSE)</f>
        <v>0</v>
      </c>
      <c r="O259" s="32">
        <f>VLOOKUP(C259,'Talente &amp; Stuff'!DO:EP,13,FALSE)</f>
        <v>0</v>
      </c>
      <c r="P259" s="187">
        <f>VLOOKUP(C259,'Talente &amp; Stuff'!DO:EP,14,FALSE)</f>
        <v>0</v>
      </c>
      <c r="Q259" s="17">
        <f>VLOOKUP(C259,'Talente &amp; Stuff'!DO:EP,15,FALSE)</f>
        <v>0</v>
      </c>
      <c r="R259" s="188">
        <f>VLOOKUP(C259,'Talente &amp; Stuff'!DO:EP,16,FALSE)</f>
        <v>0</v>
      </c>
      <c r="S259" s="180">
        <f>VLOOKUP(C259,'Talente &amp; Stuff'!DO:EP,17,FALSE)</f>
        <v>0</v>
      </c>
      <c r="T259" s="189">
        <f>VLOOKUP(C259,'Talente &amp; Stuff'!DO:EP,18,FALSE)</f>
        <v>0</v>
      </c>
      <c r="U259" s="166">
        <f>VLOOKUP(C259,'Talente &amp; Stuff'!DO:EP,19,FALSE)</f>
        <v>0</v>
      </c>
      <c r="V259" s="179">
        <f>VLOOKUP(C259,'Talente &amp; Stuff'!DO:EP,20,FALSE)</f>
        <v>0</v>
      </c>
      <c r="W259" s="182">
        <f>VLOOKUP(C259,'Talente &amp; Stuff'!DO:EP,21,FALSE)</f>
        <v>0</v>
      </c>
      <c r="X259" s="182">
        <f>VLOOKUP(C259,'Talente &amp; Stuff'!DO:EP,22,FALSE)</f>
        <v>0</v>
      </c>
      <c r="Y259" s="165">
        <f>VLOOKUP(C259,Ausgewählte_Zauber_Kristallomanten,139,FALSE)</f>
        <v>0</v>
      </c>
      <c r="Z259" s="44">
        <f>VLOOKUP(C259,Ausgewählte_Zauber_Kristallomanten,140,FALSE)</f>
        <v>0</v>
      </c>
      <c r="AA259" s="40">
        <f>VLOOKUP(C259,'Talente &amp; Stuff'!DO:EP,25,FALSE)</f>
        <v>0</v>
      </c>
      <c r="AB259" s="189">
        <f>VLOOKUP(C259,'Talente &amp; Stuff'!DO:EP,26,FALSE)</f>
        <v>0</v>
      </c>
      <c r="AC259" s="182">
        <f>VLOOKUP(C259,'Talente &amp; Stuff'!DO:EP,27,FALSE)</f>
        <v>0</v>
      </c>
      <c r="AD259" s="40">
        <f>VLOOKUP(C259,'Talente &amp; Stuff'!DO:EP,28,FALSE)</f>
        <v>0</v>
      </c>
      <c r="AE259" s="28"/>
    </row>
    <row r="260" spans="2:31" ht="15" hidden="1" customHeight="1" outlineLevel="1" collapsed="1">
      <c r="B260" s="134" t="s">
        <v>408</v>
      </c>
      <c r="C260" s="83"/>
      <c r="D260" s="84"/>
      <c r="E260" s="84"/>
    </row>
    <row r="261" spans="2:31" ht="15" hidden="1" customHeight="1" outlineLevel="2">
      <c r="B261" s="148">
        <v>1</v>
      </c>
      <c r="C261" s="162" t="str">
        <f>Attribute!C261</f>
        <v>---</v>
      </c>
      <c r="D261" s="85" t="str">
        <f>VLOOKUP(C261,'Talente &amp; Stuff'!DO:EP,2,FALSE)</f>
        <v>--/--/--</v>
      </c>
      <c r="E261" s="126" t="str">
        <f>VLOOKUP(C261,'Talente &amp; Stuff'!DO:EP,3,FALSE)</f>
        <v>-</v>
      </c>
      <c r="F261" s="191">
        <f>VLOOKUP(C261,'Talente &amp; Stuff'!DO:EP,4,FALSE)</f>
        <v>0</v>
      </c>
      <c r="G261" s="118">
        <f>VLOOKUP(C261,'Talente &amp; Stuff'!DO:EP,5,FALSE)</f>
        <v>0</v>
      </c>
      <c r="H261" s="118">
        <f>VLOOKUP(C261,'Talente &amp; Stuff'!DO:EP,6,FALSE)</f>
        <v>0</v>
      </c>
      <c r="I261" s="118">
        <f>VLOOKUP(C261,'Talente &amp; Stuff'!DO:EP,7,FALSE)</f>
        <v>0</v>
      </c>
      <c r="J261" s="118">
        <f>VLOOKUP(C261,'Talente &amp; Stuff'!DO:EP,8,FALSE)</f>
        <v>0</v>
      </c>
      <c r="K261" s="118">
        <f>VLOOKUP(C261,'Talente &amp; Stuff'!DO:EP,9,FALSE)</f>
        <v>0</v>
      </c>
      <c r="L261" s="118">
        <f>VLOOKUP(C261,'Talente &amp; Stuff'!DO:EP,10,FALSE)</f>
        <v>0</v>
      </c>
      <c r="M261" s="92">
        <f>VLOOKUP(C261,'Talente &amp; Stuff'!DO:EP,11,FALSE)</f>
        <v>0</v>
      </c>
      <c r="N261" s="116">
        <f>VLOOKUP(C261,'Talente &amp; Stuff'!DO:EP,12,FALSE)</f>
        <v>0</v>
      </c>
      <c r="O261" s="194">
        <f>VLOOKUP(C261,'Talente &amp; Stuff'!DO:EP,13,FALSE)</f>
        <v>0</v>
      </c>
      <c r="P261" s="192">
        <f>VLOOKUP(C261,'Talente &amp; Stuff'!DO:EP,14,FALSE)</f>
        <v>0</v>
      </c>
      <c r="Q261" s="191">
        <f>VLOOKUP(C261,'Talente &amp; Stuff'!DO:EP,15,FALSE)</f>
        <v>0</v>
      </c>
      <c r="R261" s="170">
        <f>VLOOKUP(C261,'Talente &amp; Stuff'!DO:EP,16,FALSE)</f>
        <v>0</v>
      </c>
      <c r="S261" s="92">
        <f>VLOOKUP(C261,'Talente &amp; Stuff'!DO:EP,17,FALSE)</f>
        <v>0</v>
      </c>
      <c r="T261" s="92">
        <f>VLOOKUP(C261,'Talente &amp; Stuff'!DO:EP,18,FALSE)</f>
        <v>0</v>
      </c>
      <c r="U261" s="193">
        <f>VLOOKUP(C261,'Talente &amp; Stuff'!DO:EP,19,FALSE)</f>
        <v>0</v>
      </c>
      <c r="V261" s="116">
        <f>VLOOKUP(C261,'Talente &amp; Stuff'!DO:EP,20,FALSE)</f>
        <v>0</v>
      </c>
      <c r="W261" s="126">
        <f>VLOOKUP(C261,'Talente &amp; Stuff'!DO:EP,21,FALSE)</f>
        <v>0</v>
      </c>
      <c r="X261" s="126">
        <f>VLOOKUP(C261,'Talente &amp; Stuff'!DO:EP,22,FALSE)</f>
        <v>0</v>
      </c>
      <c r="Y261" s="165">
        <f t="shared" ref="Y261:Y296" si="22">VLOOKUP(C261,Ausgewählte_Zauber_Scharlatane,139,FALSE)</f>
        <v>0</v>
      </c>
      <c r="Z261" s="44">
        <f t="shared" ref="Z261:Z296" si="23">VLOOKUP(C261,Ausgewählte_Zauber_Scharlatane,140,FALSE)</f>
        <v>0</v>
      </c>
      <c r="AA261" s="158">
        <f>VLOOKUP(C261,'Talente &amp; Stuff'!DO:EP,25,FALSE)</f>
        <v>0</v>
      </c>
      <c r="AB261" s="91">
        <f>VLOOKUP(C261,'Talente &amp; Stuff'!DO:EP,26,FALSE)</f>
        <v>0</v>
      </c>
      <c r="AC261" s="126">
        <f>VLOOKUP(C261,'Talente &amp; Stuff'!DO:EP,27,FALSE)</f>
        <v>0</v>
      </c>
      <c r="AD261" s="158">
        <f>VLOOKUP(C261,'Talente &amp; Stuff'!DO:EP,28,FALSE)</f>
        <v>0</v>
      </c>
      <c r="AE261" s="28"/>
    </row>
    <row r="262" spans="2:31" ht="15" hidden="1" customHeight="1" outlineLevel="2">
      <c r="B262" s="148">
        <v>2</v>
      </c>
      <c r="C262" s="163" t="str">
        <f>Attribute!C262</f>
        <v>---</v>
      </c>
      <c r="D262" s="125" t="str">
        <f>VLOOKUP(C262,'Talente &amp; Stuff'!DO:EP,2,FALSE)</f>
        <v>--/--/--</v>
      </c>
      <c r="E262" s="127" t="str">
        <f>VLOOKUP(C262,'Talente &amp; Stuff'!DO:EP,3,FALSE)</f>
        <v>-</v>
      </c>
      <c r="F262" s="114">
        <f>VLOOKUP(C262,'Talente &amp; Stuff'!DO:EP,4,FALSE)</f>
        <v>0</v>
      </c>
      <c r="G262" s="113">
        <f>VLOOKUP(C262,'Talente &amp; Stuff'!DO:EP,5,FALSE)</f>
        <v>0</v>
      </c>
      <c r="H262" s="113">
        <f>VLOOKUP(C262,'Talente &amp; Stuff'!DO:EP,6,FALSE)</f>
        <v>0</v>
      </c>
      <c r="I262" s="113">
        <f>VLOOKUP(C262,'Talente &amp; Stuff'!DO:EP,7,FALSE)</f>
        <v>0</v>
      </c>
      <c r="J262" s="113">
        <f>VLOOKUP(C262,'Talente &amp; Stuff'!DO:EP,8,FALSE)</f>
        <v>0</v>
      </c>
      <c r="K262" s="113">
        <f>VLOOKUP(C262,'Talente &amp; Stuff'!DO:EP,9,FALSE)</f>
        <v>0</v>
      </c>
      <c r="L262" s="113">
        <f>VLOOKUP(C262,'Talente &amp; Stuff'!DO:EP,10,FALSE)</f>
        <v>0</v>
      </c>
      <c r="M262" s="119">
        <f>VLOOKUP(C262,'Talente &amp; Stuff'!DO:EP,11,FALSE)</f>
        <v>0</v>
      </c>
      <c r="N262" s="47">
        <f>VLOOKUP(C262,'Talente &amp; Stuff'!DO:EP,12,FALSE)</f>
        <v>0</v>
      </c>
      <c r="O262" s="47">
        <f>VLOOKUP(C262,'Talente &amp; Stuff'!DO:EP,13,FALSE)</f>
        <v>0</v>
      </c>
      <c r="P262" s="119">
        <f>VLOOKUP(C262,'Talente &amp; Stuff'!DO:EP,14,FALSE)</f>
        <v>0</v>
      </c>
      <c r="Q262" s="114">
        <f>VLOOKUP(C262,'Talente &amp; Stuff'!DO:EP,15,FALSE)</f>
        <v>0</v>
      </c>
      <c r="R262" s="113">
        <f>VLOOKUP(C262,'Talente &amp; Stuff'!DO:EP,16,FALSE)</f>
        <v>0</v>
      </c>
      <c r="S262" s="119">
        <f>VLOOKUP(C262,'Talente &amp; Stuff'!DO:EP,17,FALSE)</f>
        <v>0</v>
      </c>
      <c r="T262" s="119">
        <f>VLOOKUP(C262,'Talente &amp; Stuff'!DO:EP,18,FALSE)</f>
        <v>0</v>
      </c>
      <c r="U262" s="89">
        <f>VLOOKUP(C262,'Talente &amp; Stuff'!DO:EP,19,FALSE)</f>
        <v>0</v>
      </c>
      <c r="V262" s="47">
        <f>VLOOKUP(C262,'Talente &amp; Stuff'!DO:EP,20,FALSE)</f>
        <v>0</v>
      </c>
      <c r="W262" s="127">
        <f>VLOOKUP(C262,'Talente &amp; Stuff'!DO:EP,21,FALSE)</f>
        <v>0</v>
      </c>
      <c r="X262" s="127">
        <f>VLOOKUP(C262,'Talente &amp; Stuff'!DO:EP,22,FALSE)</f>
        <v>0</v>
      </c>
      <c r="Y262" s="165">
        <f t="shared" si="22"/>
        <v>0</v>
      </c>
      <c r="Z262" s="44">
        <f t="shared" si="23"/>
        <v>0</v>
      </c>
      <c r="AA262" s="125">
        <f>VLOOKUP(C262,'Talente &amp; Stuff'!DO:EP,25,FALSE)</f>
        <v>0</v>
      </c>
      <c r="AB262" s="160">
        <f>VLOOKUP(C262,'Talente &amp; Stuff'!DO:EP,26,FALSE)</f>
        <v>0</v>
      </c>
      <c r="AC262" s="127">
        <f>VLOOKUP(C262,'Talente &amp; Stuff'!DO:EP,27,FALSE)</f>
        <v>0</v>
      </c>
      <c r="AD262" s="125">
        <f>VLOOKUP(C262,'Talente &amp; Stuff'!DO:EP,28,FALSE)</f>
        <v>0</v>
      </c>
      <c r="AE262" s="28"/>
    </row>
    <row r="263" spans="2:31" ht="15" hidden="1" customHeight="1" outlineLevel="2">
      <c r="B263" s="148">
        <v>3</v>
      </c>
      <c r="C263" s="163" t="str">
        <f>Attribute!C263</f>
        <v>---</v>
      </c>
      <c r="D263" s="125" t="str">
        <f>VLOOKUP(C263,'Talente &amp; Stuff'!DO:EP,2,FALSE)</f>
        <v>--/--/--</v>
      </c>
      <c r="E263" s="127" t="str">
        <f>VLOOKUP(C263,'Talente &amp; Stuff'!DO:EP,3,FALSE)</f>
        <v>-</v>
      </c>
      <c r="F263" s="114">
        <f>VLOOKUP(C263,'Talente &amp; Stuff'!DO:EP,4,FALSE)</f>
        <v>0</v>
      </c>
      <c r="G263" s="113">
        <f>VLOOKUP(C263,'Talente &amp; Stuff'!DO:EP,5,FALSE)</f>
        <v>0</v>
      </c>
      <c r="H263" s="113">
        <f>VLOOKUP(C263,'Talente &amp; Stuff'!DO:EP,6,FALSE)</f>
        <v>0</v>
      </c>
      <c r="I263" s="113">
        <f>VLOOKUP(C263,'Talente &amp; Stuff'!DO:EP,7,FALSE)</f>
        <v>0</v>
      </c>
      <c r="J263" s="113">
        <f>VLOOKUP(C263,'Talente &amp; Stuff'!DO:EP,8,FALSE)</f>
        <v>0</v>
      </c>
      <c r="K263" s="113">
        <f>VLOOKUP(C263,'Talente &amp; Stuff'!DO:EP,9,FALSE)</f>
        <v>0</v>
      </c>
      <c r="L263" s="113">
        <f>VLOOKUP(C263,'Talente &amp; Stuff'!DO:EP,10,FALSE)</f>
        <v>0</v>
      </c>
      <c r="M263" s="119">
        <f>VLOOKUP(C263,'Talente &amp; Stuff'!DO:EP,11,FALSE)</f>
        <v>0</v>
      </c>
      <c r="N263" s="47">
        <f>VLOOKUP(C263,'Talente &amp; Stuff'!DO:EP,12,FALSE)</f>
        <v>0</v>
      </c>
      <c r="O263" s="47">
        <f>VLOOKUP(C263,'Talente &amp; Stuff'!DO:EP,13,FALSE)</f>
        <v>0</v>
      </c>
      <c r="P263" s="119">
        <f>VLOOKUP(C263,'Talente &amp; Stuff'!DO:EP,14,FALSE)</f>
        <v>0</v>
      </c>
      <c r="Q263" s="114">
        <f>VLOOKUP(C263,'Talente &amp; Stuff'!DO:EP,15,FALSE)</f>
        <v>0</v>
      </c>
      <c r="R263" s="113">
        <f>VLOOKUP(C263,'Talente &amp; Stuff'!DO:EP,16,FALSE)</f>
        <v>0</v>
      </c>
      <c r="S263" s="119">
        <f>VLOOKUP(C263,'Talente &amp; Stuff'!DO:EP,17,FALSE)</f>
        <v>0</v>
      </c>
      <c r="T263" s="119">
        <f>VLOOKUP(C263,'Talente &amp; Stuff'!DO:EP,18,FALSE)</f>
        <v>0</v>
      </c>
      <c r="U263" s="89">
        <f>VLOOKUP(C263,'Talente &amp; Stuff'!DO:EP,19,FALSE)</f>
        <v>0</v>
      </c>
      <c r="V263" s="47">
        <f>VLOOKUP(C263,'Talente &amp; Stuff'!DO:EP,20,FALSE)</f>
        <v>0</v>
      </c>
      <c r="W263" s="127">
        <f>VLOOKUP(C263,'Talente &amp; Stuff'!DO:EP,21,FALSE)</f>
        <v>0</v>
      </c>
      <c r="X263" s="127">
        <f>VLOOKUP(C263,'Talente &amp; Stuff'!DO:EP,22,FALSE)</f>
        <v>0</v>
      </c>
      <c r="Y263" s="165">
        <f t="shared" si="22"/>
        <v>0</v>
      </c>
      <c r="Z263" s="44">
        <f t="shared" si="23"/>
        <v>0</v>
      </c>
      <c r="AA263" s="125">
        <f>VLOOKUP(C263,'Talente &amp; Stuff'!DO:EP,25,FALSE)</f>
        <v>0</v>
      </c>
      <c r="AB263" s="160">
        <f>VLOOKUP(C263,'Talente &amp; Stuff'!DO:EP,26,FALSE)</f>
        <v>0</v>
      </c>
      <c r="AC263" s="127">
        <f>VLOOKUP(C263,'Talente &amp; Stuff'!DO:EP,27,FALSE)</f>
        <v>0</v>
      </c>
      <c r="AD263" s="125">
        <f>VLOOKUP(C263,'Talente &amp; Stuff'!DO:EP,28,FALSE)</f>
        <v>0</v>
      </c>
      <c r="AE263" s="28"/>
    </row>
    <row r="264" spans="2:31" ht="15" hidden="1" customHeight="1" outlineLevel="2">
      <c r="B264" s="148">
        <v>4</v>
      </c>
      <c r="C264" s="163" t="str">
        <f>Attribute!C264</f>
        <v>---</v>
      </c>
      <c r="D264" s="86" t="str">
        <f>VLOOKUP(C264,'Talente &amp; Stuff'!DO:EP,2,FALSE)</f>
        <v>--/--/--</v>
      </c>
      <c r="E264" s="167" t="str">
        <f>VLOOKUP(C264,'Talente &amp; Stuff'!DO:EP,3,FALSE)</f>
        <v>-</v>
      </c>
      <c r="F264" s="120">
        <f>VLOOKUP(C264,'Talente &amp; Stuff'!DO:EP,4,FALSE)</f>
        <v>0</v>
      </c>
      <c r="G264" s="117">
        <f>VLOOKUP(C264,'Talente &amp; Stuff'!DO:EP,5,FALSE)</f>
        <v>0</v>
      </c>
      <c r="H264" s="117">
        <f>VLOOKUP(C264,'Talente &amp; Stuff'!DO:EP,6,FALSE)</f>
        <v>0</v>
      </c>
      <c r="I264" s="117">
        <f>VLOOKUP(C264,'Talente &amp; Stuff'!DO:EP,7,FALSE)</f>
        <v>0</v>
      </c>
      <c r="J264" s="117">
        <f>VLOOKUP(C264,'Talente &amp; Stuff'!DO:EP,8,FALSE)</f>
        <v>0</v>
      </c>
      <c r="K264" s="117">
        <f>VLOOKUP(C264,'Talente &amp; Stuff'!DO:EP,9,FALSE)</f>
        <v>0</v>
      </c>
      <c r="L264" s="117">
        <f>VLOOKUP(C264,'Talente &amp; Stuff'!DO:EP,10,FALSE)</f>
        <v>0</v>
      </c>
      <c r="M264" s="121">
        <f>VLOOKUP(C264,'Talente &amp; Stuff'!DO:EP,11,FALSE)</f>
        <v>0</v>
      </c>
      <c r="N264" s="47">
        <f>VLOOKUP(C264,'Talente &amp; Stuff'!DO:EP,12,FALSE)</f>
        <v>0</v>
      </c>
      <c r="O264" s="3">
        <f>VLOOKUP(C264,'Talente &amp; Stuff'!DO:EP,13,FALSE)</f>
        <v>0</v>
      </c>
      <c r="P264" s="174">
        <f>VLOOKUP(C264,'Talente &amp; Stuff'!DO:EP,14,FALSE)</f>
        <v>0</v>
      </c>
      <c r="Q264" s="114">
        <f>VLOOKUP(C264,'Talente &amp; Stuff'!DO:EP,15,FALSE)</f>
        <v>0</v>
      </c>
      <c r="R264" s="117">
        <f>VLOOKUP(C264,'Talente &amp; Stuff'!DO:EP,16,FALSE)</f>
        <v>0</v>
      </c>
      <c r="S264" s="119">
        <f>VLOOKUP(C264,'Talente &amp; Stuff'!DO:EP,17,FALSE)</f>
        <v>0</v>
      </c>
      <c r="T264" s="119">
        <f>VLOOKUP(C264,'Talente &amp; Stuff'!DO:EP,18,FALSE)</f>
        <v>0</v>
      </c>
      <c r="U264" s="89">
        <f>VLOOKUP(C264,'Talente &amp; Stuff'!DO:EP,19,FALSE)</f>
        <v>0</v>
      </c>
      <c r="V264" s="47">
        <f>VLOOKUP(C264,'Talente &amp; Stuff'!DO:EP,20,FALSE)</f>
        <v>0</v>
      </c>
      <c r="W264" s="127">
        <f>VLOOKUP(C264,'Talente &amp; Stuff'!DO:EP,21,FALSE)</f>
        <v>0</v>
      </c>
      <c r="X264" s="127">
        <f>VLOOKUP(C264,'Talente &amp; Stuff'!DO:EP,22,FALSE)</f>
        <v>0</v>
      </c>
      <c r="Y264" s="165">
        <f t="shared" si="22"/>
        <v>0</v>
      </c>
      <c r="Z264" s="44">
        <f t="shared" si="23"/>
        <v>0</v>
      </c>
      <c r="AA264" s="125">
        <f>VLOOKUP(C264,'Talente &amp; Stuff'!DO:EP,25,FALSE)</f>
        <v>0</v>
      </c>
      <c r="AB264" s="160">
        <f>VLOOKUP(C264,'Talente &amp; Stuff'!DO:EP,26,FALSE)</f>
        <v>0</v>
      </c>
      <c r="AC264" s="127">
        <f>VLOOKUP(C264,'Talente &amp; Stuff'!DO:EP,27,FALSE)</f>
        <v>0</v>
      </c>
      <c r="AD264" s="125">
        <f>VLOOKUP(C264,'Talente &amp; Stuff'!DO:EP,28,FALSE)</f>
        <v>0</v>
      </c>
      <c r="AE264" s="28"/>
    </row>
    <row r="265" spans="2:31" ht="15" hidden="1" customHeight="1" outlineLevel="2">
      <c r="B265" s="148">
        <v>5</v>
      </c>
      <c r="C265" s="163" t="str">
        <f>Attribute!C265</f>
        <v>---</v>
      </c>
      <c r="D265" s="86" t="str">
        <f>VLOOKUP(C265,'Talente &amp; Stuff'!DO:EP,2,FALSE)</f>
        <v>--/--/--</v>
      </c>
      <c r="E265" s="167" t="str">
        <f>VLOOKUP(C265,'Talente &amp; Stuff'!DO:EP,3,FALSE)</f>
        <v>-</v>
      </c>
      <c r="F265" s="120">
        <f>VLOOKUP(C265,'Talente &amp; Stuff'!DO:EP,4,FALSE)</f>
        <v>0</v>
      </c>
      <c r="G265" s="117">
        <f>VLOOKUP(C265,'Talente &amp; Stuff'!DO:EP,5,FALSE)</f>
        <v>0</v>
      </c>
      <c r="H265" s="117">
        <f>VLOOKUP(C265,'Talente &amp; Stuff'!DO:EP,6,FALSE)</f>
        <v>0</v>
      </c>
      <c r="I265" s="117">
        <f>VLOOKUP(C265,'Talente &amp; Stuff'!DO:EP,7,FALSE)</f>
        <v>0</v>
      </c>
      <c r="J265" s="117">
        <f>VLOOKUP(C265,'Talente &amp; Stuff'!DO:EP,8,FALSE)</f>
        <v>0</v>
      </c>
      <c r="K265" s="117">
        <f>VLOOKUP(C265,'Talente &amp; Stuff'!DO:EP,9,FALSE)</f>
        <v>0</v>
      </c>
      <c r="L265" s="117">
        <f>VLOOKUP(C265,'Talente &amp; Stuff'!DO:EP,10,FALSE)</f>
        <v>0</v>
      </c>
      <c r="M265" s="121">
        <f>VLOOKUP(C265,'Talente &amp; Stuff'!DO:EP,11,FALSE)</f>
        <v>0</v>
      </c>
      <c r="N265" s="47">
        <f>VLOOKUP(C265,'Talente &amp; Stuff'!DO:EP,12,FALSE)</f>
        <v>0</v>
      </c>
      <c r="O265" s="3">
        <f>VLOOKUP(C265,'Talente &amp; Stuff'!DO:EP,13,FALSE)</f>
        <v>0</v>
      </c>
      <c r="P265" s="174">
        <f>VLOOKUP(C265,'Talente &amp; Stuff'!DO:EP,14,FALSE)</f>
        <v>0</v>
      </c>
      <c r="Q265" s="114">
        <f>VLOOKUP(C265,'Talente &amp; Stuff'!DO:EP,15,FALSE)</f>
        <v>0</v>
      </c>
      <c r="R265" s="117">
        <f>VLOOKUP(C265,'Talente &amp; Stuff'!DO:EP,16,FALSE)</f>
        <v>0</v>
      </c>
      <c r="S265" s="119">
        <f>VLOOKUP(C265,'Talente &amp; Stuff'!DO:EP,17,FALSE)</f>
        <v>0</v>
      </c>
      <c r="T265" s="119">
        <f>VLOOKUP(C265,'Talente &amp; Stuff'!DO:EP,18,FALSE)</f>
        <v>0</v>
      </c>
      <c r="U265" s="89">
        <f>VLOOKUP(C265,'Talente &amp; Stuff'!DO:EP,19,FALSE)</f>
        <v>0</v>
      </c>
      <c r="V265" s="47">
        <f>VLOOKUP(C265,'Talente &amp; Stuff'!DO:EP,20,FALSE)</f>
        <v>0</v>
      </c>
      <c r="W265" s="127">
        <f>VLOOKUP(C265,'Talente &amp; Stuff'!DO:EP,21,FALSE)</f>
        <v>0</v>
      </c>
      <c r="X265" s="127">
        <f>VLOOKUP(C265,'Talente &amp; Stuff'!DO:EP,22,FALSE)</f>
        <v>0</v>
      </c>
      <c r="Y265" s="165">
        <f t="shared" si="22"/>
        <v>0</v>
      </c>
      <c r="Z265" s="44">
        <f t="shared" si="23"/>
        <v>0</v>
      </c>
      <c r="AA265" s="125">
        <f>VLOOKUP(C265,'Talente &amp; Stuff'!DO:EP,25,FALSE)</f>
        <v>0</v>
      </c>
      <c r="AB265" s="160">
        <f>VLOOKUP(C265,'Talente &amp; Stuff'!DO:EP,26,FALSE)</f>
        <v>0</v>
      </c>
      <c r="AC265" s="127">
        <f>VLOOKUP(C265,'Talente &amp; Stuff'!DO:EP,27,FALSE)</f>
        <v>0</v>
      </c>
      <c r="AD265" s="125">
        <f>VLOOKUP(C265,'Talente &amp; Stuff'!DO:EP,28,FALSE)</f>
        <v>0</v>
      </c>
      <c r="AE265" s="28"/>
    </row>
    <row r="266" spans="2:31" ht="15" hidden="1" customHeight="1" outlineLevel="2">
      <c r="B266" s="148">
        <v>6</v>
      </c>
      <c r="C266" s="163" t="str">
        <f>Attribute!C266</f>
        <v>---</v>
      </c>
      <c r="D266" s="125" t="str">
        <f>VLOOKUP(C266,'Talente &amp; Stuff'!DO:EP,2,FALSE)</f>
        <v>--/--/--</v>
      </c>
      <c r="E266" s="127" t="str">
        <f>VLOOKUP(C266,'Talente &amp; Stuff'!DO:EP,3,FALSE)</f>
        <v>-</v>
      </c>
      <c r="F266" s="114">
        <f>VLOOKUP(C266,'Talente &amp; Stuff'!DO:EP,4,FALSE)</f>
        <v>0</v>
      </c>
      <c r="G266" s="113">
        <f>VLOOKUP(C266,'Talente &amp; Stuff'!DO:EP,5,FALSE)</f>
        <v>0</v>
      </c>
      <c r="H266" s="113">
        <f>VLOOKUP(C266,'Talente &amp; Stuff'!DO:EP,6,FALSE)</f>
        <v>0</v>
      </c>
      <c r="I266" s="113">
        <f>VLOOKUP(C266,'Talente &amp; Stuff'!DO:EP,7,FALSE)</f>
        <v>0</v>
      </c>
      <c r="J266" s="113">
        <f>VLOOKUP(C266,'Talente &amp; Stuff'!DO:EP,8,FALSE)</f>
        <v>0</v>
      </c>
      <c r="K266" s="113">
        <f>VLOOKUP(C266,'Talente &amp; Stuff'!DO:EP,9,FALSE)</f>
        <v>0</v>
      </c>
      <c r="L266" s="113">
        <f>VLOOKUP(C266,'Talente &amp; Stuff'!DO:EP,10,FALSE)</f>
        <v>0</v>
      </c>
      <c r="M266" s="119">
        <f>VLOOKUP(C266,'Talente &amp; Stuff'!DO:EP,11,FALSE)</f>
        <v>0</v>
      </c>
      <c r="N266" s="47">
        <f>VLOOKUP(C266,'Talente &amp; Stuff'!DO:EP,12,FALSE)</f>
        <v>0</v>
      </c>
      <c r="O266" s="47">
        <f>VLOOKUP(C266,'Talente &amp; Stuff'!DO:EP,13,FALSE)</f>
        <v>0</v>
      </c>
      <c r="P266" s="119">
        <f>VLOOKUP(C266,'Talente &amp; Stuff'!DO:EP,14,FALSE)</f>
        <v>0</v>
      </c>
      <c r="Q266" s="114">
        <f>VLOOKUP(C266,'Talente &amp; Stuff'!DO:EP,15,FALSE)</f>
        <v>0</v>
      </c>
      <c r="R266" s="113">
        <f>VLOOKUP(C266,'Talente &amp; Stuff'!DO:EP,16,FALSE)</f>
        <v>0</v>
      </c>
      <c r="S266" s="119">
        <f>VLOOKUP(C266,'Talente &amp; Stuff'!DO:EP,17,FALSE)</f>
        <v>0</v>
      </c>
      <c r="T266" s="119">
        <f>VLOOKUP(C266,'Talente &amp; Stuff'!DO:EP,18,FALSE)</f>
        <v>0</v>
      </c>
      <c r="U266" s="89">
        <f>VLOOKUP(C266,'Talente &amp; Stuff'!DO:EP,19,FALSE)</f>
        <v>0</v>
      </c>
      <c r="V266" s="47">
        <f>VLOOKUP(C266,'Talente &amp; Stuff'!DO:EP,20,FALSE)</f>
        <v>0</v>
      </c>
      <c r="W266" s="127">
        <f>VLOOKUP(C266,'Talente &amp; Stuff'!DO:EP,21,FALSE)</f>
        <v>0</v>
      </c>
      <c r="X266" s="127">
        <f>VLOOKUP(C266,'Talente &amp; Stuff'!DO:EP,22,FALSE)</f>
        <v>0</v>
      </c>
      <c r="Y266" s="165">
        <f t="shared" si="22"/>
        <v>0</v>
      </c>
      <c r="Z266" s="44">
        <f t="shared" si="23"/>
        <v>0</v>
      </c>
      <c r="AA266" s="125">
        <f>VLOOKUP(C266,'Talente &amp; Stuff'!DO:EP,25,FALSE)</f>
        <v>0</v>
      </c>
      <c r="AB266" s="160">
        <f>VLOOKUP(C266,'Talente &amp; Stuff'!DO:EP,26,FALSE)</f>
        <v>0</v>
      </c>
      <c r="AC266" s="127">
        <f>VLOOKUP(C266,'Talente &amp; Stuff'!DO:EP,27,FALSE)</f>
        <v>0</v>
      </c>
      <c r="AD266" s="125">
        <f>VLOOKUP(C266,'Talente &amp; Stuff'!DO:EP,28,FALSE)</f>
        <v>0</v>
      </c>
      <c r="AE266" s="28"/>
    </row>
    <row r="267" spans="2:31" ht="15" hidden="1" customHeight="1" outlineLevel="2">
      <c r="B267" s="148">
        <v>7</v>
      </c>
      <c r="C267" s="163" t="str">
        <f>Attribute!C267</f>
        <v>---</v>
      </c>
      <c r="D267" s="125" t="str">
        <f>VLOOKUP(C267,'Talente &amp; Stuff'!DO:EP,2,FALSE)</f>
        <v>--/--/--</v>
      </c>
      <c r="E267" s="127" t="str">
        <f>VLOOKUP(C267,'Talente &amp; Stuff'!DO:EP,3,FALSE)</f>
        <v>-</v>
      </c>
      <c r="F267" s="114">
        <f>VLOOKUP(C267,'Talente &amp; Stuff'!DO:EP,4,FALSE)</f>
        <v>0</v>
      </c>
      <c r="G267" s="113">
        <f>VLOOKUP(C267,'Talente &amp; Stuff'!DO:EP,5,FALSE)</f>
        <v>0</v>
      </c>
      <c r="H267" s="113">
        <f>VLOOKUP(C267,'Talente &amp; Stuff'!DO:EP,6,FALSE)</f>
        <v>0</v>
      </c>
      <c r="I267" s="113">
        <f>VLOOKUP(C267,'Talente &amp; Stuff'!DO:EP,7,FALSE)</f>
        <v>0</v>
      </c>
      <c r="J267" s="113">
        <f>VLOOKUP(C267,'Talente &amp; Stuff'!DO:EP,8,FALSE)</f>
        <v>0</v>
      </c>
      <c r="K267" s="113">
        <f>VLOOKUP(C267,'Talente &amp; Stuff'!DO:EP,9,FALSE)</f>
        <v>0</v>
      </c>
      <c r="L267" s="113">
        <f>VLOOKUP(C267,'Talente &amp; Stuff'!DO:EP,10,FALSE)</f>
        <v>0</v>
      </c>
      <c r="M267" s="119">
        <f>VLOOKUP(C267,'Talente &amp; Stuff'!DO:EP,11,FALSE)</f>
        <v>0</v>
      </c>
      <c r="N267" s="47">
        <f>VLOOKUP(C267,'Talente &amp; Stuff'!DO:EP,12,FALSE)</f>
        <v>0</v>
      </c>
      <c r="O267" s="47">
        <f>VLOOKUP(C267,'Talente &amp; Stuff'!DO:EP,13,FALSE)</f>
        <v>0</v>
      </c>
      <c r="P267" s="119">
        <f>VLOOKUP(C267,'Talente &amp; Stuff'!DO:EP,14,FALSE)</f>
        <v>0</v>
      </c>
      <c r="Q267" s="114">
        <f>VLOOKUP(C267,'Talente &amp; Stuff'!DO:EP,15,FALSE)</f>
        <v>0</v>
      </c>
      <c r="R267" s="113">
        <f>VLOOKUP(C267,'Talente &amp; Stuff'!DO:EP,16,FALSE)</f>
        <v>0</v>
      </c>
      <c r="S267" s="119">
        <f>VLOOKUP(C267,'Talente &amp; Stuff'!DO:EP,17,FALSE)</f>
        <v>0</v>
      </c>
      <c r="T267" s="119">
        <f>VLOOKUP(C267,'Talente &amp; Stuff'!DO:EP,18,FALSE)</f>
        <v>0</v>
      </c>
      <c r="U267" s="89">
        <f>VLOOKUP(C267,'Talente &amp; Stuff'!DO:EP,19,FALSE)</f>
        <v>0</v>
      </c>
      <c r="V267" s="47">
        <f>VLOOKUP(C267,'Talente &amp; Stuff'!DO:EP,20,FALSE)</f>
        <v>0</v>
      </c>
      <c r="W267" s="127">
        <f>VLOOKUP(C267,'Talente &amp; Stuff'!DO:EP,21,FALSE)</f>
        <v>0</v>
      </c>
      <c r="X267" s="127">
        <f>VLOOKUP(C267,'Talente &amp; Stuff'!DO:EP,22,FALSE)</f>
        <v>0</v>
      </c>
      <c r="Y267" s="165">
        <f t="shared" si="22"/>
        <v>0</v>
      </c>
      <c r="Z267" s="44">
        <f t="shared" si="23"/>
        <v>0</v>
      </c>
      <c r="AA267" s="125">
        <f>VLOOKUP(C267,'Talente &amp; Stuff'!DO:EP,25,FALSE)</f>
        <v>0</v>
      </c>
      <c r="AB267" s="160">
        <f>VLOOKUP(C267,'Talente &amp; Stuff'!DO:EP,26,FALSE)</f>
        <v>0</v>
      </c>
      <c r="AC267" s="127">
        <f>VLOOKUP(C267,'Talente &amp; Stuff'!DO:EP,27,FALSE)</f>
        <v>0</v>
      </c>
      <c r="AD267" s="125">
        <f>VLOOKUP(C267,'Talente &amp; Stuff'!DO:EP,28,FALSE)</f>
        <v>0</v>
      </c>
      <c r="AE267" s="28"/>
    </row>
    <row r="268" spans="2:31" ht="15" hidden="1" customHeight="1" outlineLevel="2">
      <c r="B268" s="148">
        <v>8</v>
      </c>
      <c r="C268" s="163" t="str">
        <f>Attribute!C268</f>
        <v>---</v>
      </c>
      <c r="D268" s="125" t="str">
        <f>VLOOKUP(C268,'Talente &amp; Stuff'!DO:EP,2,FALSE)</f>
        <v>--/--/--</v>
      </c>
      <c r="E268" s="127" t="str">
        <f>VLOOKUP(C268,'Talente &amp; Stuff'!DO:EP,3,FALSE)</f>
        <v>-</v>
      </c>
      <c r="F268" s="114">
        <f>VLOOKUP(C268,'Talente &amp; Stuff'!DO:EP,4,FALSE)</f>
        <v>0</v>
      </c>
      <c r="G268" s="113">
        <f>VLOOKUP(C268,'Talente &amp; Stuff'!DO:EP,5,FALSE)</f>
        <v>0</v>
      </c>
      <c r="H268" s="113">
        <f>VLOOKUP(C268,'Talente &amp; Stuff'!DO:EP,6,FALSE)</f>
        <v>0</v>
      </c>
      <c r="I268" s="113">
        <f>VLOOKUP(C268,'Talente &amp; Stuff'!DO:EP,7,FALSE)</f>
        <v>0</v>
      </c>
      <c r="J268" s="113">
        <f>VLOOKUP(C268,'Talente &amp; Stuff'!DO:EP,8,FALSE)</f>
        <v>0</v>
      </c>
      <c r="K268" s="113">
        <f>VLOOKUP(C268,'Talente &amp; Stuff'!DO:EP,9,FALSE)</f>
        <v>0</v>
      </c>
      <c r="L268" s="113">
        <f>VLOOKUP(C268,'Talente &amp; Stuff'!DO:EP,10,FALSE)</f>
        <v>0</v>
      </c>
      <c r="M268" s="119">
        <f>VLOOKUP(C268,'Talente &amp; Stuff'!DO:EP,11,FALSE)</f>
        <v>0</v>
      </c>
      <c r="N268" s="47">
        <f>VLOOKUP(C268,'Talente &amp; Stuff'!DO:EP,12,FALSE)</f>
        <v>0</v>
      </c>
      <c r="O268" s="47">
        <f>VLOOKUP(C268,'Talente &amp; Stuff'!DO:EP,13,FALSE)</f>
        <v>0</v>
      </c>
      <c r="P268" s="119">
        <f>VLOOKUP(C268,'Talente &amp; Stuff'!DO:EP,14,FALSE)</f>
        <v>0</v>
      </c>
      <c r="Q268" s="114">
        <f>VLOOKUP(C268,'Talente &amp; Stuff'!DO:EP,15,FALSE)</f>
        <v>0</v>
      </c>
      <c r="R268" s="113">
        <f>VLOOKUP(C268,'Talente &amp; Stuff'!DO:EP,16,FALSE)</f>
        <v>0</v>
      </c>
      <c r="S268" s="119">
        <f>VLOOKUP(C268,'Talente &amp; Stuff'!DO:EP,17,FALSE)</f>
        <v>0</v>
      </c>
      <c r="T268" s="119">
        <f>VLOOKUP(C268,'Talente &amp; Stuff'!DO:EP,18,FALSE)</f>
        <v>0</v>
      </c>
      <c r="U268" s="89">
        <f>VLOOKUP(C268,'Talente &amp; Stuff'!DO:EP,19,FALSE)</f>
        <v>0</v>
      </c>
      <c r="V268" s="47">
        <f>VLOOKUP(C268,'Talente &amp; Stuff'!DO:EP,20,FALSE)</f>
        <v>0</v>
      </c>
      <c r="W268" s="127">
        <f>VLOOKUP(C268,'Talente &amp; Stuff'!DO:EP,21,FALSE)</f>
        <v>0</v>
      </c>
      <c r="X268" s="127">
        <f>VLOOKUP(C268,'Talente &amp; Stuff'!DO:EP,22,FALSE)</f>
        <v>0</v>
      </c>
      <c r="Y268" s="165">
        <f t="shared" si="22"/>
        <v>0</v>
      </c>
      <c r="Z268" s="44">
        <f t="shared" si="23"/>
        <v>0</v>
      </c>
      <c r="AA268" s="125">
        <f>VLOOKUP(C268,'Talente &amp; Stuff'!DO:EP,25,FALSE)</f>
        <v>0</v>
      </c>
      <c r="AB268" s="160">
        <f>VLOOKUP(C268,'Talente &amp; Stuff'!DO:EP,26,FALSE)</f>
        <v>0</v>
      </c>
      <c r="AC268" s="127">
        <f>VLOOKUP(C268,'Talente &amp; Stuff'!DO:EP,27,FALSE)</f>
        <v>0</v>
      </c>
      <c r="AD268" s="125">
        <f>VLOOKUP(C268,'Talente &amp; Stuff'!DO:EP,28,FALSE)</f>
        <v>0</v>
      </c>
      <c r="AE268" s="28"/>
    </row>
    <row r="269" spans="2:31" ht="15" hidden="1" customHeight="1" outlineLevel="2">
      <c r="B269" s="148">
        <v>9</v>
      </c>
      <c r="C269" s="163" t="str">
        <f>Attribute!C269</f>
        <v>---</v>
      </c>
      <c r="D269" s="125" t="str">
        <f>VLOOKUP(C269,'Talente &amp; Stuff'!DO:EP,2,FALSE)</f>
        <v>--/--/--</v>
      </c>
      <c r="E269" s="127" t="str">
        <f>VLOOKUP(C269,'Talente &amp; Stuff'!DO:EP,3,FALSE)</f>
        <v>-</v>
      </c>
      <c r="F269" s="114">
        <f>VLOOKUP(C269,'Talente &amp; Stuff'!DO:EP,4,FALSE)</f>
        <v>0</v>
      </c>
      <c r="G269" s="113">
        <f>VLOOKUP(C269,'Talente &amp; Stuff'!DO:EP,5,FALSE)</f>
        <v>0</v>
      </c>
      <c r="H269" s="113">
        <f>VLOOKUP(C269,'Talente &amp; Stuff'!DO:EP,6,FALSE)</f>
        <v>0</v>
      </c>
      <c r="I269" s="113">
        <f>VLOOKUP(C269,'Talente &amp; Stuff'!DO:EP,7,FALSE)</f>
        <v>0</v>
      </c>
      <c r="J269" s="113">
        <f>VLOOKUP(C269,'Talente &amp; Stuff'!DO:EP,8,FALSE)</f>
        <v>0</v>
      </c>
      <c r="K269" s="113">
        <f>VLOOKUP(C269,'Talente &amp; Stuff'!DO:EP,9,FALSE)</f>
        <v>0</v>
      </c>
      <c r="L269" s="113">
        <f>VLOOKUP(C269,'Talente &amp; Stuff'!DO:EP,10,FALSE)</f>
        <v>0</v>
      </c>
      <c r="M269" s="119">
        <f>VLOOKUP(C269,'Talente &amp; Stuff'!DO:EP,11,FALSE)</f>
        <v>0</v>
      </c>
      <c r="N269" s="47">
        <f>VLOOKUP(C269,'Talente &amp; Stuff'!DO:EP,12,FALSE)</f>
        <v>0</v>
      </c>
      <c r="O269" s="47">
        <f>VLOOKUP(C269,'Talente &amp; Stuff'!DO:EP,13,FALSE)</f>
        <v>0</v>
      </c>
      <c r="P269" s="119">
        <f>VLOOKUP(C269,'Talente &amp; Stuff'!DO:EP,14,FALSE)</f>
        <v>0</v>
      </c>
      <c r="Q269" s="114">
        <f>VLOOKUP(C269,'Talente &amp; Stuff'!DO:EP,15,FALSE)</f>
        <v>0</v>
      </c>
      <c r="R269" s="113">
        <f>VLOOKUP(C269,'Talente &amp; Stuff'!DO:EP,16,FALSE)</f>
        <v>0</v>
      </c>
      <c r="S269" s="119">
        <f>VLOOKUP(C269,'Talente &amp; Stuff'!DO:EP,17,FALSE)</f>
        <v>0</v>
      </c>
      <c r="T269" s="119">
        <f>VLOOKUP(C269,'Talente &amp; Stuff'!DO:EP,18,FALSE)</f>
        <v>0</v>
      </c>
      <c r="U269" s="89">
        <f>VLOOKUP(C269,'Talente &amp; Stuff'!DO:EP,19,FALSE)</f>
        <v>0</v>
      </c>
      <c r="V269" s="47">
        <f>VLOOKUP(C269,'Talente &amp; Stuff'!DO:EP,20,FALSE)</f>
        <v>0</v>
      </c>
      <c r="W269" s="127">
        <f>VLOOKUP(C269,'Talente &amp; Stuff'!DO:EP,21,FALSE)</f>
        <v>0</v>
      </c>
      <c r="X269" s="127">
        <f>VLOOKUP(C269,'Talente &amp; Stuff'!DO:EP,22,FALSE)</f>
        <v>0</v>
      </c>
      <c r="Y269" s="165">
        <f t="shared" si="22"/>
        <v>0</v>
      </c>
      <c r="Z269" s="44">
        <f t="shared" si="23"/>
        <v>0</v>
      </c>
      <c r="AA269" s="125">
        <f>VLOOKUP(C269,'Talente &amp; Stuff'!DO:EP,25,FALSE)</f>
        <v>0</v>
      </c>
      <c r="AB269" s="160">
        <f>VLOOKUP(C269,'Talente &amp; Stuff'!DO:EP,26,FALSE)</f>
        <v>0</v>
      </c>
      <c r="AC269" s="127">
        <f>VLOOKUP(C269,'Talente &amp; Stuff'!DO:EP,27,FALSE)</f>
        <v>0</v>
      </c>
      <c r="AD269" s="125">
        <f>VLOOKUP(C269,'Talente &amp; Stuff'!DO:EP,28,FALSE)</f>
        <v>0</v>
      </c>
      <c r="AE269" s="28"/>
    </row>
    <row r="270" spans="2:31" ht="15" hidden="1" customHeight="1" outlineLevel="2">
      <c r="B270" s="148">
        <v>10</v>
      </c>
      <c r="C270" s="163" t="str">
        <f>Attribute!C270</f>
        <v>---</v>
      </c>
      <c r="D270" s="86" t="str">
        <f>VLOOKUP(C270,'Talente &amp; Stuff'!DO:EP,2,FALSE)</f>
        <v>--/--/--</v>
      </c>
      <c r="E270" s="167" t="str">
        <f>VLOOKUP(C270,'Talente &amp; Stuff'!DO:EP,3,FALSE)</f>
        <v>-</v>
      </c>
      <c r="F270" s="120">
        <f>VLOOKUP(C270,'Talente &amp; Stuff'!DO:EP,4,FALSE)</f>
        <v>0</v>
      </c>
      <c r="G270" s="117">
        <f>VLOOKUP(C270,'Talente &amp; Stuff'!DO:EP,5,FALSE)</f>
        <v>0</v>
      </c>
      <c r="H270" s="117">
        <f>VLOOKUP(C270,'Talente &amp; Stuff'!DO:EP,6,FALSE)</f>
        <v>0</v>
      </c>
      <c r="I270" s="117">
        <f>VLOOKUP(C270,'Talente &amp; Stuff'!DO:EP,7,FALSE)</f>
        <v>0</v>
      </c>
      <c r="J270" s="117">
        <f>VLOOKUP(C270,'Talente &amp; Stuff'!DO:EP,8,FALSE)</f>
        <v>0</v>
      </c>
      <c r="K270" s="117">
        <f>VLOOKUP(C270,'Talente &amp; Stuff'!DO:EP,9,FALSE)</f>
        <v>0</v>
      </c>
      <c r="L270" s="117">
        <f>VLOOKUP(C270,'Talente &amp; Stuff'!DO:EP,10,FALSE)</f>
        <v>0</v>
      </c>
      <c r="M270" s="121">
        <f>VLOOKUP(C270,'Talente &amp; Stuff'!DO:EP,11,FALSE)</f>
        <v>0</v>
      </c>
      <c r="N270" s="47">
        <f>VLOOKUP(C270,'Talente &amp; Stuff'!DO:EP,12,FALSE)</f>
        <v>0</v>
      </c>
      <c r="O270" s="3">
        <f>VLOOKUP(C270,'Talente &amp; Stuff'!DO:EP,13,FALSE)</f>
        <v>0</v>
      </c>
      <c r="P270" s="174">
        <f>VLOOKUP(C270,'Talente &amp; Stuff'!DO:EP,14,FALSE)</f>
        <v>0</v>
      </c>
      <c r="Q270" s="114">
        <f>VLOOKUP(C270,'Talente &amp; Stuff'!DO:EP,15,FALSE)</f>
        <v>0</v>
      </c>
      <c r="R270" s="117">
        <f>VLOOKUP(C270,'Talente &amp; Stuff'!DO:EP,16,FALSE)</f>
        <v>0</v>
      </c>
      <c r="S270" s="119">
        <f>VLOOKUP(C270,'Talente &amp; Stuff'!DO:EP,17,FALSE)</f>
        <v>0</v>
      </c>
      <c r="T270" s="119">
        <f>VLOOKUP(C270,'Talente &amp; Stuff'!DO:EP,18,FALSE)</f>
        <v>0</v>
      </c>
      <c r="U270" s="89">
        <f>VLOOKUP(C270,'Talente &amp; Stuff'!DO:EP,19,FALSE)</f>
        <v>0</v>
      </c>
      <c r="V270" s="47">
        <f>VLOOKUP(C270,'Talente &amp; Stuff'!DO:EP,20,FALSE)</f>
        <v>0</v>
      </c>
      <c r="W270" s="127">
        <f>VLOOKUP(C270,'Talente &amp; Stuff'!DO:EP,21,FALSE)</f>
        <v>0</v>
      </c>
      <c r="X270" s="127">
        <f>VLOOKUP(C270,'Talente &amp; Stuff'!DO:EP,22,FALSE)</f>
        <v>0</v>
      </c>
      <c r="Y270" s="165">
        <f t="shared" si="22"/>
        <v>0</v>
      </c>
      <c r="Z270" s="44">
        <f t="shared" si="23"/>
        <v>0</v>
      </c>
      <c r="AA270" s="125">
        <f>VLOOKUP(C270,'Talente &amp; Stuff'!DO:EP,25,FALSE)</f>
        <v>0</v>
      </c>
      <c r="AB270" s="160">
        <f>VLOOKUP(C270,'Talente &amp; Stuff'!DO:EP,26,FALSE)</f>
        <v>0</v>
      </c>
      <c r="AC270" s="127">
        <f>VLOOKUP(C270,'Talente &amp; Stuff'!DO:EP,27,FALSE)</f>
        <v>0</v>
      </c>
      <c r="AD270" s="125">
        <f>VLOOKUP(C270,'Talente &amp; Stuff'!DO:EP,28,FALSE)</f>
        <v>0</v>
      </c>
      <c r="AE270" s="28"/>
    </row>
    <row r="271" spans="2:31" ht="15" hidden="1" customHeight="1" outlineLevel="2">
      <c r="B271" s="148">
        <v>11</v>
      </c>
      <c r="C271" s="163" t="str">
        <f>Attribute!C271</f>
        <v>---</v>
      </c>
      <c r="D271" s="86" t="str">
        <f>VLOOKUP(C271,'Talente &amp; Stuff'!DO:EP,2,FALSE)</f>
        <v>--/--/--</v>
      </c>
      <c r="E271" s="167" t="str">
        <f>VLOOKUP(C271,'Talente &amp; Stuff'!DO:EP,3,FALSE)</f>
        <v>-</v>
      </c>
      <c r="F271" s="120">
        <f>VLOOKUP(C271,'Talente &amp; Stuff'!DO:EP,4,FALSE)</f>
        <v>0</v>
      </c>
      <c r="G271" s="117">
        <f>VLOOKUP(C271,'Talente &amp; Stuff'!DO:EP,5,FALSE)</f>
        <v>0</v>
      </c>
      <c r="H271" s="117">
        <f>VLOOKUP(C271,'Talente &amp; Stuff'!DO:EP,6,FALSE)</f>
        <v>0</v>
      </c>
      <c r="I271" s="117">
        <f>VLOOKUP(C271,'Talente &amp; Stuff'!DO:EP,7,FALSE)</f>
        <v>0</v>
      </c>
      <c r="J271" s="117">
        <f>VLOOKUP(C271,'Talente &amp; Stuff'!DO:EP,8,FALSE)</f>
        <v>0</v>
      </c>
      <c r="K271" s="117">
        <f>VLOOKUP(C271,'Talente &amp; Stuff'!DO:EP,9,FALSE)</f>
        <v>0</v>
      </c>
      <c r="L271" s="117">
        <f>VLOOKUP(C271,'Talente &amp; Stuff'!DO:EP,10,FALSE)</f>
        <v>0</v>
      </c>
      <c r="M271" s="121">
        <f>VLOOKUP(C271,'Talente &amp; Stuff'!DO:EP,11,FALSE)</f>
        <v>0</v>
      </c>
      <c r="N271" s="47">
        <f>VLOOKUP(C271,'Talente &amp; Stuff'!DO:EP,12,FALSE)</f>
        <v>0</v>
      </c>
      <c r="O271" s="3">
        <f>VLOOKUP(C271,'Talente &amp; Stuff'!DO:EP,13,FALSE)</f>
        <v>0</v>
      </c>
      <c r="P271" s="174">
        <f>VLOOKUP(C271,'Talente &amp; Stuff'!DO:EP,14,FALSE)</f>
        <v>0</v>
      </c>
      <c r="Q271" s="114">
        <f>VLOOKUP(C271,'Talente &amp; Stuff'!DO:EP,15,FALSE)</f>
        <v>0</v>
      </c>
      <c r="R271" s="117">
        <f>VLOOKUP(C271,'Talente &amp; Stuff'!DO:EP,16,FALSE)</f>
        <v>0</v>
      </c>
      <c r="S271" s="119">
        <f>VLOOKUP(C271,'Talente &amp; Stuff'!DO:EP,17,FALSE)</f>
        <v>0</v>
      </c>
      <c r="T271" s="119">
        <f>VLOOKUP(C271,'Talente &amp; Stuff'!DO:EP,18,FALSE)</f>
        <v>0</v>
      </c>
      <c r="U271" s="89">
        <f>VLOOKUP(C271,'Talente &amp; Stuff'!DO:EP,19,FALSE)</f>
        <v>0</v>
      </c>
      <c r="V271" s="47">
        <f>VLOOKUP(C271,'Talente &amp; Stuff'!DO:EP,20,FALSE)</f>
        <v>0</v>
      </c>
      <c r="W271" s="127">
        <f>VLOOKUP(C271,'Talente &amp; Stuff'!DO:EP,21,FALSE)</f>
        <v>0</v>
      </c>
      <c r="X271" s="127">
        <f>VLOOKUP(C271,'Talente &amp; Stuff'!DO:EP,22,FALSE)</f>
        <v>0</v>
      </c>
      <c r="Y271" s="165">
        <f t="shared" si="22"/>
        <v>0</v>
      </c>
      <c r="Z271" s="44">
        <f t="shared" si="23"/>
        <v>0</v>
      </c>
      <c r="AA271" s="125">
        <f>VLOOKUP(C271,'Talente &amp; Stuff'!DO:EP,25,FALSE)</f>
        <v>0</v>
      </c>
      <c r="AB271" s="160">
        <f>VLOOKUP(C271,'Talente &amp; Stuff'!DO:EP,26,FALSE)</f>
        <v>0</v>
      </c>
      <c r="AC271" s="127">
        <f>VLOOKUP(C271,'Talente &amp; Stuff'!DO:EP,27,FALSE)</f>
        <v>0</v>
      </c>
      <c r="AD271" s="125">
        <f>VLOOKUP(C271,'Talente &amp; Stuff'!DO:EP,28,FALSE)</f>
        <v>0</v>
      </c>
      <c r="AE271" s="28"/>
    </row>
    <row r="272" spans="2:31" ht="15" hidden="1" customHeight="1" outlineLevel="2">
      <c r="B272" s="148">
        <v>12</v>
      </c>
      <c r="C272" s="163" t="str">
        <f>Attribute!C272</f>
        <v>---</v>
      </c>
      <c r="D272" s="86" t="str">
        <f>VLOOKUP(C272,'Talente &amp; Stuff'!DO:EP,2,FALSE)</f>
        <v>--/--/--</v>
      </c>
      <c r="E272" s="167" t="str">
        <f>VLOOKUP(C272,'Talente &amp; Stuff'!DO:EP,3,FALSE)</f>
        <v>-</v>
      </c>
      <c r="F272" s="120">
        <f>VLOOKUP(C272,'Talente &amp; Stuff'!DO:EP,4,FALSE)</f>
        <v>0</v>
      </c>
      <c r="G272" s="117">
        <f>VLOOKUP(C272,'Talente &amp; Stuff'!DO:EP,5,FALSE)</f>
        <v>0</v>
      </c>
      <c r="H272" s="117">
        <f>VLOOKUP(C272,'Talente &amp; Stuff'!DO:EP,6,FALSE)</f>
        <v>0</v>
      </c>
      <c r="I272" s="117">
        <f>VLOOKUP(C272,'Talente &amp; Stuff'!DO:EP,7,FALSE)</f>
        <v>0</v>
      </c>
      <c r="J272" s="117">
        <f>VLOOKUP(C272,'Talente &amp; Stuff'!DO:EP,8,FALSE)</f>
        <v>0</v>
      </c>
      <c r="K272" s="117">
        <f>VLOOKUP(C272,'Talente &amp; Stuff'!DO:EP,9,FALSE)</f>
        <v>0</v>
      </c>
      <c r="L272" s="117">
        <f>VLOOKUP(C272,'Talente &amp; Stuff'!DO:EP,10,FALSE)</f>
        <v>0</v>
      </c>
      <c r="M272" s="121">
        <f>VLOOKUP(C272,'Talente &amp; Stuff'!DO:EP,11,FALSE)</f>
        <v>0</v>
      </c>
      <c r="N272" s="47">
        <f>VLOOKUP(C272,'Talente &amp; Stuff'!DO:EP,12,FALSE)</f>
        <v>0</v>
      </c>
      <c r="O272" s="3">
        <f>VLOOKUP(C272,'Talente &amp; Stuff'!DO:EP,13,FALSE)</f>
        <v>0</v>
      </c>
      <c r="P272" s="174">
        <f>VLOOKUP(C272,'Talente &amp; Stuff'!DO:EP,14,FALSE)</f>
        <v>0</v>
      </c>
      <c r="Q272" s="114">
        <f>VLOOKUP(C272,'Talente &amp; Stuff'!DO:EP,15,FALSE)</f>
        <v>0</v>
      </c>
      <c r="R272" s="117">
        <f>VLOOKUP(C272,'Talente &amp; Stuff'!DO:EP,16,FALSE)</f>
        <v>0</v>
      </c>
      <c r="S272" s="119">
        <f>VLOOKUP(C272,'Talente &amp; Stuff'!DO:EP,17,FALSE)</f>
        <v>0</v>
      </c>
      <c r="T272" s="119">
        <f>VLOOKUP(C272,'Talente &amp; Stuff'!DO:EP,18,FALSE)</f>
        <v>0</v>
      </c>
      <c r="U272" s="89">
        <f>VLOOKUP(C272,'Talente &amp; Stuff'!DO:EP,19,FALSE)</f>
        <v>0</v>
      </c>
      <c r="V272" s="47">
        <f>VLOOKUP(C272,'Talente &amp; Stuff'!DO:EP,20,FALSE)</f>
        <v>0</v>
      </c>
      <c r="W272" s="127">
        <f>VLOOKUP(C272,'Talente &amp; Stuff'!DO:EP,21,FALSE)</f>
        <v>0</v>
      </c>
      <c r="X272" s="127">
        <f>VLOOKUP(C272,'Talente &amp; Stuff'!DO:EP,22,FALSE)</f>
        <v>0</v>
      </c>
      <c r="Y272" s="165">
        <f t="shared" si="22"/>
        <v>0</v>
      </c>
      <c r="Z272" s="44">
        <f t="shared" si="23"/>
        <v>0</v>
      </c>
      <c r="AA272" s="125">
        <f>VLOOKUP(C272,'Talente &amp; Stuff'!DO:EP,25,FALSE)</f>
        <v>0</v>
      </c>
      <c r="AB272" s="160">
        <f>VLOOKUP(C272,'Talente &amp; Stuff'!DO:EP,26,FALSE)</f>
        <v>0</v>
      </c>
      <c r="AC272" s="127">
        <f>VLOOKUP(C272,'Talente &amp; Stuff'!DO:EP,27,FALSE)</f>
        <v>0</v>
      </c>
      <c r="AD272" s="125">
        <f>VLOOKUP(C272,'Talente &amp; Stuff'!DO:EP,28,FALSE)</f>
        <v>0</v>
      </c>
      <c r="AE272" s="28"/>
    </row>
    <row r="273" spans="2:31" ht="15" hidden="1" customHeight="1" outlineLevel="2">
      <c r="B273" s="148">
        <v>13</v>
      </c>
      <c r="C273" s="163" t="str">
        <f>Attribute!C273</f>
        <v>---</v>
      </c>
      <c r="D273" s="86" t="str">
        <f>VLOOKUP(C273,'Talente &amp; Stuff'!DO:EP,2,FALSE)</f>
        <v>--/--/--</v>
      </c>
      <c r="E273" s="167" t="str">
        <f>VLOOKUP(C273,'Talente &amp; Stuff'!DO:EP,3,FALSE)</f>
        <v>-</v>
      </c>
      <c r="F273" s="120">
        <f>VLOOKUP(C273,'Talente &amp; Stuff'!DO:EP,4,FALSE)</f>
        <v>0</v>
      </c>
      <c r="G273" s="117">
        <f>VLOOKUP(C273,'Talente &amp; Stuff'!DO:EP,5,FALSE)</f>
        <v>0</v>
      </c>
      <c r="H273" s="117">
        <f>VLOOKUP(C273,'Talente &amp; Stuff'!DO:EP,6,FALSE)</f>
        <v>0</v>
      </c>
      <c r="I273" s="117">
        <f>VLOOKUP(C273,'Talente &amp; Stuff'!DO:EP,7,FALSE)</f>
        <v>0</v>
      </c>
      <c r="J273" s="117">
        <f>VLOOKUP(C273,'Talente &amp; Stuff'!DO:EP,8,FALSE)</f>
        <v>0</v>
      </c>
      <c r="K273" s="117">
        <f>VLOOKUP(C273,'Talente &amp; Stuff'!DO:EP,9,FALSE)</f>
        <v>0</v>
      </c>
      <c r="L273" s="117">
        <f>VLOOKUP(C273,'Talente &amp; Stuff'!DO:EP,10,FALSE)</f>
        <v>0</v>
      </c>
      <c r="M273" s="121">
        <f>VLOOKUP(C273,'Talente &amp; Stuff'!DO:EP,11,FALSE)</f>
        <v>0</v>
      </c>
      <c r="N273" s="47">
        <f>VLOOKUP(C273,'Talente &amp; Stuff'!DO:EP,12,FALSE)</f>
        <v>0</v>
      </c>
      <c r="O273" s="3">
        <f>VLOOKUP(C273,'Talente &amp; Stuff'!DO:EP,13,FALSE)</f>
        <v>0</v>
      </c>
      <c r="P273" s="174">
        <f>VLOOKUP(C273,'Talente &amp; Stuff'!DO:EP,14,FALSE)</f>
        <v>0</v>
      </c>
      <c r="Q273" s="114">
        <f>VLOOKUP(C273,'Talente &amp; Stuff'!DO:EP,15,FALSE)</f>
        <v>0</v>
      </c>
      <c r="R273" s="117">
        <f>VLOOKUP(C273,'Talente &amp; Stuff'!DO:EP,16,FALSE)</f>
        <v>0</v>
      </c>
      <c r="S273" s="119">
        <f>VLOOKUP(C273,'Talente &amp; Stuff'!DO:EP,17,FALSE)</f>
        <v>0</v>
      </c>
      <c r="T273" s="119">
        <f>VLOOKUP(C273,'Talente &amp; Stuff'!DO:EP,18,FALSE)</f>
        <v>0</v>
      </c>
      <c r="U273" s="89">
        <f>VLOOKUP(C273,'Talente &amp; Stuff'!DO:EP,19,FALSE)</f>
        <v>0</v>
      </c>
      <c r="V273" s="47">
        <f>VLOOKUP(C273,'Talente &amp; Stuff'!DO:EP,20,FALSE)</f>
        <v>0</v>
      </c>
      <c r="W273" s="127">
        <f>VLOOKUP(C273,'Talente &amp; Stuff'!DO:EP,21,FALSE)</f>
        <v>0</v>
      </c>
      <c r="X273" s="127">
        <f>VLOOKUP(C273,'Talente &amp; Stuff'!DO:EP,22,FALSE)</f>
        <v>0</v>
      </c>
      <c r="Y273" s="165">
        <f t="shared" si="22"/>
        <v>0</v>
      </c>
      <c r="Z273" s="44">
        <f t="shared" si="23"/>
        <v>0</v>
      </c>
      <c r="AA273" s="125">
        <f>VLOOKUP(C273,'Talente &amp; Stuff'!DO:EP,25,FALSE)</f>
        <v>0</v>
      </c>
      <c r="AB273" s="160">
        <f>VLOOKUP(C273,'Talente &amp; Stuff'!DO:EP,26,FALSE)</f>
        <v>0</v>
      </c>
      <c r="AC273" s="127">
        <f>VLOOKUP(C273,'Talente &amp; Stuff'!DO:EP,27,FALSE)</f>
        <v>0</v>
      </c>
      <c r="AD273" s="125">
        <f>VLOOKUP(C273,'Talente &amp; Stuff'!DO:EP,28,FALSE)</f>
        <v>0</v>
      </c>
      <c r="AE273" s="28"/>
    </row>
    <row r="274" spans="2:31" ht="15" hidden="1" customHeight="1" outlineLevel="2">
      <c r="B274" s="148">
        <v>14</v>
      </c>
      <c r="C274" s="163" t="str">
        <f>Attribute!C274</f>
        <v>---</v>
      </c>
      <c r="D274" s="86" t="str">
        <f>VLOOKUP(C274,'Talente &amp; Stuff'!DO:EP,2,FALSE)</f>
        <v>--/--/--</v>
      </c>
      <c r="E274" s="167" t="str">
        <f>VLOOKUP(C274,'Talente &amp; Stuff'!DO:EP,3,FALSE)</f>
        <v>-</v>
      </c>
      <c r="F274" s="120">
        <f>VLOOKUP(C274,'Talente &amp; Stuff'!DO:EP,4,FALSE)</f>
        <v>0</v>
      </c>
      <c r="G274" s="117">
        <f>VLOOKUP(C274,'Talente &amp; Stuff'!DO:EP,5,FALSE)</f>
        <v>0</v>
      </c>
      <c r="H274" s="117">
        <f>VLOOKUP(C274,'Talente &amp; Stuff'!DO:EP,6,FALSE)</f>
        <v>0</v>
      </c>
      <c r="I274" s="117">
        <f>VLOOKUP(C274,'Talente &amp; Stuff'!DO:EP,7,FALSE)</f>
        <v>0</v>
      </c>
      <c r="J274" s="117">
        <f>VLOOKUP(C274,'Talente &amp; Stuff'!DO:EP,8,FALSE)</f>
        <v>0</v>
      </c>
      <c r="K274" s="117">
        <f>VLOOKUP(C274,'Talente &amp; Stuff'!DO:EP,9,FALSE)</f>
        <v>0</v>
      </c>
      <c r="L274" s="117">
        <f>VLOOKUP(C274,'Talente &amp; Stuff'!DO:EP,10,FALSE)</f>
        <v>0</v>
      </c>
      <c r="M274" s="121">
        <f>VLOOKUP(C274,'Talente &amp; Stuff'!DO:EP,11,FALSE)</f>
        <v>0</v>
      </c>
      <c r="N274" s="47">
        <f>VLOOKUP(C274,'Talente &amp; Stuff'!DO:EP,12,FALSE)</f>
        <v>0</v>
      </c>
      <c r="O274" s="3">
        <f>VLOOKUP(C274,'Talente &amp; Stuff'!DO:EP,13,FALSE)</f>
        <v>0</v>
      </c>
      <c r="P274" s="174">
        <f>VLOOKUP(C274,'Talente &amp; Stuff'!DO:EP,14,FALSE)</f>
        <v>0</v>
      </c>
      <c r="Q274" s="114">
        <f>VLOOKUP(C274,'Talente &amp; Stuff'!DO:EP,15,FALSE)</f>
        <v>0</v>
      </c>
      <c r="R274" s="117">
        <f>VLOOKUP(C274,'Talente &amp; Stuff'!DO:EP,16,FALSE)</f>
        <v>0</v>
      </c>
      <c r="S274" s="119">
        <f>VLOOKUP(C274,'Talente &amp; Stuff'!DO:EP,17,FALSE)</f>
        <v>0</v>
      </c>
      <c r="T274" s="119">
        <f>VLOOKUP(C274,'Talente &amp; Stuff'!DO:EP,18,FALSE)</f>
        <v>0</v>
      </c>
      <c r="U274" s="89">
        <f>VLOOKUP(C274,'Talente &amp; Stuff'!DO:EP,19,FALSE)</f>
        <v>0</v>
      </c>
      <c r="V274" s="47">
        <f>VLOOKUP(C274,'Talente &amp; Stuff'!DO:EP,20,FALSE)</f>
        <v>0</v>
      </c>
      <c r="W274" s="127">
        <f>VLOOKUP(C274,'Talente &amp; Stuff'!DO:EP,21,FALSE)</f>
        <v>0</v>
      </c>
      <c r="X274" s="127">
        <f>VLOOKUP(C274,'Talente &amp; Stuff'!DO:EP,22,FALSE)</f>
        <v>0</v>
      </c>
      <c r="Y274" s="165">
        <f t="shared" si="22"/>
        <v>0</v>
      </c>
      <c r="Z274" s="44">
        <f t="shared" si="23"/>
        <v>0</v>
      </c>
      <c r="AA274" s="125">
        <f>VLOOKUP(C274,'Talente &amp; Stuff'!DO:EP,25,FALSE)</f>
        <v>0</v>
      </c>
      <c r="AB274" s="160">
        <f>VLOOKUP(C274,'Talente &amp; Stuff'!DO:EP,26,FALSE)</f>
        <v>0</v>
      </c>
      <c r="AC274" s="127">
        <f>VLOOKUP(C274,'Talente &amp; Stuff'!DO:EP,27,FALSE)</f>
        <v>0</v>
      </c>
      <c r="AD274" s="125">
        <f>VLOOKUP(C274,'Talente &amp; Stuff'!DO:EP,28,FALSE)</f>
        <v>0</v>
      </c>
      <c r="AE274" s="28"/>
    </row>
    <row r="275" spans="2:31" ht="15" hidden="1" customHeight="1" outlineLevel="2">
      <c r="B275" s="148">
        <v>15</v>
      </c>
      <c r="C275" s="163" t="str">
        <f>Attribute!C275</f>
        <v>---</v>
      </c>
      <c r="D275" s="86" t="str">
        <f>VLOOKUP(C275,'Talente &amp; Stuff'!DO:EP,2,FALSE)</f>
        <v>--/--/--</v>
      </c>
      <c r="E275" s="167" t="str">
        <f>VLOOKUP(C275,'Talente &amp; Stuff'!DO:EP,3,FALSE)</f>
        <v>-</v>
      </c>
      <c r="F275" s="120">
        <f>VLOOKUP(C275,'Talente &amp; Stuff'!DO:EP,4,FALSE)</f>
        <v>0</v>
      </c>
      <c r="G275" s="117">
        <f>VLOOKUP(C275,'Talente &amp; Stuff'!DO:EP,5,FALSE)</f>
        <v>0</v>
      </c>
      <c r="H275" s="117">
        <f>VLOOKUP(C275,'Talente &amp; Stuff'!DO:EP,6,FALSE)</f>
        <v>0</v>
      </c>
      <c r="I275" s="117">
        <f>VLOOKUP(C275,'Talente &amp; Stuff'!DO:EP,7,FALSE)</f>
        <v>0</v>
      </c>
      <c r="J275" s="117">
        <f>VLOOKUP(C275,'Talente &amp; Stuff'!DO:EP,8,FALSE)</f>
        <v>0</v>
      </c>
      <c r="K275" s="117">
        <f>VLOOKUP(C275,'Talente &amp; Stuff'!DO:EP,9,FALSE)</f>
        <v>0</v>
      </c>
      <c r="L275" s="117">
        <f>VLOOKUP(C275,'Talente &amp; Stuff'!DO:EP,10,FALSE)</f>
        <v>0</v>
      </c>
      <c r="M275" s="121">
        <f>VLOOKUP(C275,'Talente &amp; Stuff'!DO:EP,11,FALSE)</f>
        <v>0</v>
      </c>
      <c r="N275" s="47">
        <f>VLOOKUP(C275,'Talente &amp; Stuff'!DO:EP,12,FALSE)</f>
        <v>0</v>
      </c>
      <c r="O275" s="3">
        <f>VLOOKUP(C275,'Talente &amp; Stuff'!DO:EP,13,FALSE)</f>
        <v>0</v>
      </c>
      <c r="P275" s="174">
        <f>VLOOKUP(C275,'Talente &amp; Stuff'!DO:EP,14,FALSE)</f>
        <v>0</v>
      </c>
      <c r="Q275" s="114">
        <f>VLOOKUP(C275,'Talente &amp; Stuff'!DO:EP,15,FALSE)</f>
        <v>0</v>
      </c>
      <c r="R275" s="117">
        <f>VLOOKUP(C275,'Talente &amp; Stuff'!DO:EP,16,FALSE)</f>
        <v>0</v>
      </c>
      <c r="S275" s="119">
        <f>VLOOKUP(C275,'Talente &amp; Stuff'!DO:EP,17,FALSE)</f>
        <v>0</v>
      </c>
      <c r="T275" s="119">
        <f>VLOOKUP(C275,'Talente &amp; Stuff'!DO:EP,18,FALSE)</f>
        <v>0</v>
      </c>
      <c r="U275" s="89">
        <f>VLOOKUP(C275,'Talente &amp; Stuff'!DO:EP,19,FALSE)</f>
        <v>0</v>
      </c>
      <c r="V275" s="47">
        <f>VLOOKUP(C275,'Talente &amp; Stuff'!DO:EP,20,FALSE)</f>
        <v>0</v>
      </c>
      <c r="W275" s="127">
        <f>VLOOKUP(C275,'Talente &amp; Stuff'!DO:EP,21,FALSE)</f>
        <v>0</v>
      </c>
      <c r="X275" s="127">
        <f>VLOOKUP(C275,'Talente &amp; Stuff'!DO:EP,22,FALSE)</f>
        <v>0</v>
      </c>
      <c r="Y275" s="165">
        <f t="shared" si="22"/>
        <v>0</v>
      </c>
      <c r="Z275" s="44">
        <f t="shared" si="23"/>
        <v>0</v>
      </c>
      <c r="AA275" s="125">
        <f>VLOOKUP(C275,'Talente &amp; Stuff'!DO:EP,25,FALSE)</f>
        <v>0</v>
      </c>
      <c r="AB275" s="160">
        <f>VLOOKUP(C275,'Talente &amp; Stuff'!DO:EP,26,FALSE)</f>
        <v>0</v>
      </c>
      <c r="AC275" s="127">
        <f>VLOOKUP(C275,'Talente &amp; Stuff'!DO:EP,27,FALSE)</f>
        <v>0</v>
      </c>
      <c r="AD275" s="125">
        <f>VLOOKUP(C275,'Talente &amp; Stuff'!DO:EP,28,FALSE)</f>
        <v>0</v>
      </c>
      <c r="AE275" s="28"/>
    </row>
    <row r="276" spans="2:31" ht="15" hidden="1" customHeight="1" outlineLevel="2">
      <c r="B276" s="148">
        <v>16</v>
      </c>
      <c r="C276" s="163" t="str">
        <f>Attribute!C276</f>
        <v>---</v>
      </c>
      <c r="D276" s="86" t="str">
        <f>VLOOKUP(C276,'Talente &amp; Stuff'!DO:EP,2,FALSE)</f>
        <v>--/--/--</v>
      </c>
      <c r="E276" s="167" t="str">
        <f>VLOOKUP(C276,'Talente &amp; Stuff'!DO:EP,3,FALSE)</f>
        <v>-</v>
      </c>
      <c r="F276" s="120">
        <f>VLOOKUP(C276,'Talente &amp; Stuff'!DO:EP,4,FALSE)</f>
        <v>0</v>
      </c>
      <c r="G276" s="117">
        <f>VLOOKUP(C276,'Talente &amp; Stuff'!DO:EP,5,FALSE)</f>
        <v>0</v>
      </c>
      <c r="H276" s="117">
        <f>VLOOKUP(C276,'Talente &amp; Stuff'!DO:EP,6,FALSE)</f>
        <v>0</v>
      </c>
      <c r="I276" s="117">
        <f>VLOOKUP(C276,'Talente &amp; Stuff'!DO:EP,7,FALSE)</f>
        <v>0</v>
      </c>
      <c r="J276" s="117">
        <f>VLOOKUP(C276,'Talente &amp; Stuff'!DO:EP,8,FALSE)</f>
        <v>0</v>
      </c>
      <c r="K276" s="117">
        <f>VLOOKUP(C276,'Talente &amp; Stuff'!DO:EP,9,FALSE)</f>
        <v>0</v>
      </c>
      <c r="L276" s="117">
        <f>VLOOKUP(C276,'Talente &amp; Stuff'!DO:EP,10,FALSE)</f>
        <v>0</v>
      </c>
      <c r="M276" s="121">
        <f>VLOOKUP(C276,'Talente &amp; Stuff'!DO:EP,11,FALSE)</f>
        <v>0</v>
      </c>
      <c r="N276" s="47">
        <f>VLOOKUP(C276,'Talente &amp; Stuff'!DO:EP,12,FALSE)</f>
        <v>0</v>
      </c>
      <c r="O276" s="3">
        <f>VLOOKUP(C276,'Talente &amp; Stuff'!DO:EP,13,FALSE)</f>
        <v>0</v>
      </c>
      <c r="P276" s="174">
        <f>VLOOKUP(C276,'Talente &amp; Stuff'!DO:EP,14,FALSE)</f>
        <v>0</v>
      </c>
      <c r="Q276" s="114">
        <f>VLOOKUP(C276,'Talente &amp; Stuff'!DO:EP,15,FALSE)</f>
        <v>0</v>
      </c>
      <c r="R276" s="117">
        <f>VLOOKUP(C276,'Talente &amp; Stuff'!DO:EP,16,FALSE)</f>
        <v>0</v>
      </c>
      <c r="S276" s="119">
        <f>VLOOKUP(C276,'Talente &amp; Stuff'!DO:EP,17,FALSE)</f>
        <v>0</v>
      </c>
      <c r="T276" s="119">
        <f>VLOOKUP(C276,'Talente &amp; Stuff'!DO:EP,18,FALSE)</f>
        <v>0</v>
      </c>
      <c r="U276" s="89">
        <f>VLOOKUP(C276,'Talente &amp; Stuff'!DO:EP,19,FALSE)</f>
        <v>0</v>
      </c>
      <c r="V276" s="47">
        <f>VLOOKUP(C276,'Talente &amp; Stuff'!DO:EP,20,FALSE)</f>
        <v>0</v>
      </c>
      <c r="W276" s="127">
        <f>VLOOKUP(C276,'Talente &amp; Stuff'!DO:EP,21,FALSE)</f>
        <v>0</v>
      </c>
      <c r="X276" s="127">
        <f>VLOOKUP(C276,'Talente &amp; Stuff'!DO:EP,22,FALSE)</f>
        <v>0</v>
      </c>
      <c r="Y276" s="165">
        <f t="shared" si="22"/>
        <v>0</v>
      </c>
      <c r="Z276" s="44">
        <f t="shared" si="23"/>
        <v>0</v>
      </c>
      <c r="AA276" s="125">
        <f>VLOOKUP(C276,'Talente &amp; Stuff'!DO:EP,25,FALSE)</f>
        <v>0</v>
      </c>
      <c r="AB276" s="160">
        <f>VLOOKUP(C276,'Talente &amp; Stuff'!DO:EP,26,FALSE)</f>
        <v>0</v>
      </c>
      <c r="AC276" s="127">
        <f>VLOOKUP(C276,'Talente &amp; Stuff'!DO:EP,27,FALSE)</f>
        <v>0</v>
      </c>
      <c r="AD276" s="125">
        <f>VLOOKUP(C276,'Talente &amp; Stuff'!DO:EP,28,FALSE)</f>
        <v>0</v>
      </c>
      <c r="AE276" s="28"/>
    </row>
    <row r="277" spans="2:31" ht="15" hidden="1" customHeight="1" outlineLevel="2">
      <c r="B277" s="148">
        <v>17</v>
      </c>
      <c r="C277" s="163" t="str">
        <f>Attribute!C277</f>
        <v>---</v>
      </c>
      <c r="D277" s="86" t="str">
        <f>VLOOKUP(C277,'Talente &amp; Stuff'!DO:EP,2,FALSE)</f>
        <v>--/--/--</v>
      </c>
      <c r="E277" s="167" t="str">
        <f>VLOOKUP(C277,'Talente &amp; Stuff'!DO:EP,3,FALSE)</f>
        <v>-</v>
      </c>
      <c r="F277" s="120">
        <f>VLOOKUP(C277,'Talente &amp; Stuff'!DO:EP,4,FALSE)</f>
        <v>0</v>
      </c>
      <c r="G277" s="117">
        <f>VLOOKUP(C277,'Talente &amp; Stuff'!DO:EP,5,FALSE)</f>
        <v>0</v>
      </c>
      <c r="H277" s="117">
        <f>VLOOKUP(C277,'Talente &amp; Stuff'!DO:EP,6,FALSE)</f>
        <v>0</v>
      </c>
      <c r="I277" s="117">
        <f>VLOOKUP(C277,'Talente &amp; Stuff'!DO:EP,7,FALSE)</f>
        <v>0</v>
      </c>
      <c r="J277" s="117">
        <f>VLOOKUP(C277,'Talente &amp; Stuff'!DO:EP,8,FALSE)</f>
        <v>0</v>
      </c>
      <c r="K277" s="117">
        <f>VLOOKUP(C277,'Talente &amp; Stuff'!DO:EP,9,FALSE)</f>
        <v>0</v>
      </c>
      <c r="L277" s="117">
        <f>VLOOKUP(C277,'Talente &amp; Stuff'!DO:EP,10,FALSE)</f>
        <v>0</v>
      </c>
      <c r="M277" s="121">
        <f>VLOOKUP(C277,'Talente &amp; Stuff'!DO:EP,11,FALSE)</f>
        <v>0</v>
      </c>
      <c r="N277" s="47">
        <f>VLOOKUP(C277,'Talente &amp; Stuff'!DO:EP,12,FALSE)</f>
        <v>0</v>
      </c>
      <c r="O277" s="3">
        <f>VLOOKUP(C277,'Talente &amp; Stuff'!DO:EP,13,FALSE)</f>
        <v>0</v>
      </c>
      <c r="P277" s="174">
        <f>VLOOKUP(C277,'Talente &amp; Stuff'!DO:EP,14,FALSE)</f>
        <v>0</v>
      </c>
      <c r="Q277" s="114">
        <f>VLOOKUP(C277,'Talente &amp; Stuff'!DO:EP,15,FALSE)</f>
        <v>0</v>
      </c>
      <c r="R277" s="117">
        <f>VLOOKUP(C277,'Talente &amp; Stuff'!DO:EP,16,FALSE)</f>
        <v>0</v>
      </c>
      <c r="S277" s="119">
        <f>VLOOKUP(C277,'Talente &amp; Stuff'!DO:EP,17,FALSE)</f>
        <v>0</v>
      </c>
      <c r="T277" s="119">
        <f>VLOOKUP(C277,'Talente &amp; Stuff'!DO:EP,18,FALSE)</f>
        <v>0</v>
      </c>
      <c r="U277" s="89">
        <f>VLOOKUP(C277,'Talente &amp; Stuff'!DO:EP,19,FALSE)</f>
        <v>0</v>
      </c>
      <c r="V277" s="47">
        <f>VLOOKUP(C277,'Talente &amp; Stuff'!DO:EP,20,FALSE)</f>
        <v>0</v>
      </c>
      <c r="W277" s="127">
        <f>VLOOKUP(C277,'Talente &amp; Stuff'!DO:EP,21,FALSE)</f>
        <v>0</v>
      </c>
      <c r="X277" s="127">
        <f>VLOOKUP(C277,'Talente &amp; Stuff'!DO:EP,22,FALSE)</f>
        <v>0</v>
      </c>
      <c r="Y277" s="165">
        <f t="shared" si="22"/>
        <v>0</v>
      </c>
      <c r="Z277" s="44">
        <f t="shared" si="23"/>
        <v>0</v>
      </c>
      <c r="AA277" s="125">
        <f>VLOOKUP(C277,'Talente &amp; Stuff'!DO:EP,25,FALSE)</f>
        <v>0</v>
      </c>
      <c r="AB277" s="160">
        <f>VLOOKUP(C277,'Talente &amp; Stuff'!DO:EP,26,FALSE)</f>
        <v>0</v>
      </c>
      <c r="AC277" s="127">
        <f>VLOOKUP(C277,'Talente &amp; Stuff'!DO:EP,27,FALSE)</f>
        <v>0</v>
      </c>
      <c r="AD277" s="125">
        <f>VLOOKUP(C277,'Talente &amp; Stuff'!DO:EP,28,FALSE)</f>
        <v>0</v>
      </c>
      <c r="AE277" s="28"/>
    </row>
    <row r="278" spans="2:31" ht="15" hidden="1" customHeight="1" outlineLevel="2">
      <c r="B278" s="148">
        <v>18</v>
      </c>
      <c r="C278" s="163" t="str">
        <f>Attribute!C278</f>
        <v>---</v>
      </c>
      <c r="D278" s="86" t="str">
        <f>VLOOKUP(C278,'Talente &amp; Stuff'!DO:EP,2,FALSE)</f>
        <v>--/--/--</v>
      </c>
      <c r="E278" s="167" t="str">
        <f>VLOOKUP(C278,'Talente &amp; Stuff'!DO:EP,3,FALSE)</f>
        <v>-</v>
      </c>
      <c r="F278" s="120">
        <f>VLOOKUP(C278,'Talente &amp; Stuff'!DO:EP,4,FALSE)</f>
        <v>0</v>
      </c>
      <c r="G278" s="117">
        <f>VLOOKUP(C278,'Talente &amp; Stuff'!DO:EP,5,FALSE)</f>
        <v>0</v>
      </c>
      <c r="H278" s="117">
        <f>VLOOKUP(C278,'Talente &amp; Stuff'!DO:EP,6,FALSE)</f>
        <v>0</v>
      </c>
      <c r="I278" s="117">
        <f>VLOOKUP(C278,'Talente &amp; Stuff'!DO:EP,7,FALSE)</f>
        <v>0</v>
      </c>
      <c r="J278" s="117">
        <f>VLOOKUP(C278,'Talente &amp; Stuff'!DO:EP,8,FALSE)</f>
        <v>0</v>
      </c>
      <c r="K278" s="117">
        <f>VLOOKUP(C278,'Talente &amp; Stuff'!DO:EP,9,FALSE)</f>
        <v>0</v>
      </c>
      <c r="L278" s="117">
        <f>VLOOKUP(C278,'Talente &amp; Stuff'!DO:EP,10,FALSE)</f>
        <v>0</v>
      </c>
      <c r="M278" s="121">
        <f>VLOOKUP(C278,'Talente &amp; Stuff'!DO:EP,11,FALSE)</f>
        <v>0</v>
      </c>
      <c r="N278" s="47">
        <f>VLOOKUP(C278,'Talente &amp; Stuff'!DO:EP,12,FALSE)</f>
        <v>0</v>
      </c>
      <c r="O278" s="3">
        <f>VLOOKUP(C278,'Talente &amp; Stuff'!DO:EP,13,FALSE)</f>
        <v>0</v>
      </c>
      <c r="P278" s="174">
        <f>VLOOKUP(C278,'Talente &amp; Stuff'!DO:EP,14,FALSE)</f>
        <v>0</v>
      </c>
      <c r="Q278" s="114">
        <f>VLOOKUP(C278,'Talente &amp; Stuff'!DO:EP,15,FALSE)</f>
        <v>0</v>
      </c>
      <c r="R278" s="117">
        <f>VLOOKUP(C278,'Talente &amp; Stuff'!DO:EP,16,FALSE)</f>
        <v>0</v>
      </c>
      <c r="S278" s="119">
        <f>VLOOKUP(C278,'Talente &amp; Stuff'!DO:EP,17,FALSE)</f>
        <v>0</v>
      </c>
      <c r="T278" s="119">
        <f>VLOOKUP(C278,'Talente &amp; Stuff'!DO:EP,18,FALSE)</f>
        <v>0</v>
      </c>
      <c r="U278" s="89">
        <f>VLOOKUP(C278,'Talente &amp; Stuff'!DO:EP,19,FALSE)</f>
        <v>0</v>
      </c>
      <c r="V278" s="47">
        <f>VLOOKUP(C278,'Talente &amp; Stuff'!DO:EP,20,FALSE)</f>
        <v>0</v>
      </c>
      <c r="W278" s="127">
        <f>VLOOKUP(C278,'Talente &amp; Stuff'!DO:EP,21,FALSE)</f>
        <v>0</v>
      </c>
      <c r="X278" s="127">
        <f>VLOOKUP(C278,'Talente &amp; Stuff'!DO:EP,22,FALSE)</f>
        <v>0</v>
      </c>
      <c r="Y278" s="165">
        <f t="shared" si="22"/>
        <v>0</v>
      </c>
      <c r="Z278" s="44">
        <f t="shared" si="23"/>
        <v>0</v>
      </c>
      <c r="AA278" s="125">
        <f>VLOOKUP(C278,'Talente &amp; Stuff'!DO:EP,25,FALSE)</f>
        <v>0</v>
      </c>
      <c r="AB278" s="160">
        <f>VLOOKUP(C278,'Talente &amp; Stuff'!DO:EP,26,FALSE)</f>
        <v>0</v>
      </c>
      <c r="AC278" s="127">
        <f>VLOOKUP(C278,'Talente &amp; Stuff'!DO:EP,27,FALSE)</f>
        <v>0</v>
      </c>
      <c r="AD278" s="125">
        <f>VLOOKUP(C278,'Talente &amp; Stuff'!DO:EP,28,FALSE)</f>
        <v>0</v>
      </c>
      <c r="AE278" s="28"/>
    </row>
    <row r="279" spans="2:31" ht="15" hidden="1" customHeight="1" outlineLevel="2">
      <c r="B279" s="148">
        <v>19</v>
      </c>
      <c r="C279" s="163" t="str">
        <f>Attribute!C279</f>
        <v>---</v>
      </c>
      <c r="D279" s="86" t="str">
        <f>VLOOKUP(C279,'Talente &amp; Stuff'!DO:EP,2,FALSE)</f>
        <v>--/--/--</v>
      </c>
      <c r="E279" s="167" t="str">
        <f>VLOOKUP(C279,'Talente &amp; Stuff'!DO:EP,3,FALSE)</f>
        <v>-</v>
      </c>
      <c r="F279" s="120">
        <f>VLOOKUP(C279,'Talente &amp; Stuff'!DO:EP,4,FALSE)</f>
        <v>0</v>
      </c>
      <c r="G279" s="117">
        <f>VLOOKUP(C279,'Talente &amp; Stuff'!DO:EP,5,FALSE)</f>
        <v>0</v>
      </c>
      <c r="H279" s="117">
        <f>VLOOKUP(C279,'Talente &amp; Stuff'!DO:EP,6,FALSE)</f>
        <v>0</v>
      </c>
      <c r="I279" s="117">
        <f>VLOOKUP(C279,'Talente &amp; Stuff'!DO:EP,7,FALSE)</f>
        <v>0</v>
      </c>
      <c r="J279" s="117">
        <f>VLOOKUP(C279,'Talente &amp; Stuff'!DO:EP,8,FALSE)</f>
        <v>0</v>
      </c>
      <c r="K279" s="117">
        <f>VLOOKUP(C279,'Talente &amp; Stuff'!DO:EP,9,FALSE)</f>
        <v>0</v>
      </c>
      <c r="L279" s="117">
        <f>VLOOKUP(C279,'Talente &amp; Stuff'!DO:EP,10,FALSE)</f>
        <v>0</v>
      </c>
      <c r="M279" s="121">
        <f>VLOOKUP(C279,'Talente &amp; Stuff'!DO:EP,11,FALSE)</f>
        <v>0</v>
      </c>
      <c r="N279" s="47">
        <f>VLOOKUP(C279,'Talente &amp; Stuff'!DO:EP,12,FALSE)</f>
        <v>0</v>
      </c>
      <c r="O279" s="3">
        <f>VLOOKUP(C279,'Talente &amp; Stuff'!DO:EP,13,FALSE)</f>
        <v>0</v>
      </c>
      <c r="P279" s="174">
        <f>VLOOKUP(C279,'Talente &amp; Stuff'!DO:EP,14,FALSE)</f>
        <v>0</v>
      </c>
      <c r="Q279" s="114">
        <f>VLOOKUP(C279,'Talente &amp; Stuff'!DO:EP,15,FALSE)</f>
        <v>0</v>
      </c>
      <c r="R279" s="117">
        <f>VLOOKUP(C279,'Talente &amp; Stuff'!DO:EP,16,FALSE)</f>
        <v>0</v>
      </c>
      <c r="S279" s="119">
        <f>VLOOKUP(C279,'Talente &amp; Stuff'!DO:EP,17,FALSE)</f>
        <v>0</v>
      </c>
      <c r="T279" s="119">
        <f>VLOOKUP(C279,'Talente &amp; Stuff'!DO:EP,18,FALSE)</f>
        <v>0</v>
      </c>
      <c r="U279" s="89">
        <f>VLOOKUP(C279,'Talente &amp; Stuff'!DO:EP,19,FALSE)</f>
        <v>0</v>
      </c>
      <c r="V279" s="47">
        <f>VLOOKUP(C279,'Talente &amp; Stuff'!DO:EP,20,FALSE)</f>
        <v>0</v>
      </c>
      <c r="W279" s="127">
        <f>VLOOKUP(C279,'Talente &amp; Stuff'!DO:EP,21,FALSE)</f>
        <v>0</v>
      </c>
      <c r="X279" s="127">
        <f>VLOOKUP(C279,'Talente &amp; Stuff'!DO:EP,22,FALSE)</f>
        <v>0</v>
      </c>
      <c r="Y279" s="165">
        <f t="shared" si="22"/>
        <v>0</v>
      </c>
      <c r="Z279" s="44">
        <f t="shared" si="23"/>
        <v>0</v>
      </c>
      <c r="AA279" s="125">
        <f>VLOOKUP(C279,'Talente &amp; Stuff'!DO:EP,25,FALSE)</f>
        <v>0</v>
      </c>
      <c r="AB279" s="160">
        <f>VLOOKUP(C279,'Talente &amp; Stuff'!DO:EP,26,FALSE)</f>
        <v>0</v>
      </c>
      <c r="AC279" s="127">
        <f>VLOOKUP(C279,'Talente &amp; Stuff'!DO:EP,27,FALSE)</f>
        <v>0</v>
      </c>
      <c r="AD279" s="125">
        <f>VLOOKUP(C279,'Talente &amp; Stuff'!DO:EP,28,FALSE)</f>
        <v>0</v>
      </c>
      <c r="AE279" s="28"/>
    </row>
    <row r="280" spans="2:31" ht="15" hidden="1" customHeight="1" outlineLevel="2">
      <c r="B280" s="148">
        <v>20</v>
      </c>
      <c r="C280" s="163" t="str">
        <f>Attribute!C280</f>
        <v>---</v>
      </c>
      <c r="D280" s="86" t="str">
        <f>VLOOKUP(C280,'Talente &amp; Stuff'!DO:EP,2,FALSE)</f>
        <v>--/--/--</v>
      </c>
      <c r="E280" s="167" t="str">
        <f>VLOOKUP(C280,'Talente &amp; Stuff'!DO:EP,3,FALSE)</f>
        <v>-</v>
      </c>
      <c r="F280" s="120">
        <f>VLOOKUP(C280,'Talente &amp; Stuff'!DO:EP,4,FALSE)</f>
        <v>0</v>
      </c>
      <c r="G280" s="117">
        <f>VLOOKUP(C280,'Talente &amp; Stuff'!DO:EP,5,FALSE)</f>
        <v>0</v>
      </c>
      <c r="H280" s="117">
        <f>VLOOKUP(C280,'Talente &amp; Stuff'!DO:EP,6,FALSE)</f>
        <v>0</v>
      </c>
      <c r="I280" s="117">
        <f>VLOOKUP(C280,'Talente &amp; Stuff'!DO:EP,7,FALSE)</f>
        <v>0</v>
      </c>
      <c r="J280" s="117">
        <f>VLOOKUP(C280,'Talente &amp; Stuff'!DO:EP,8,FALSE)</f>
        <v>0</v>
      </c>
      <c r="K280" s="117">
        <f>VLOOKUP(C280,'Talente &amp; Stuff'!DO:EP,9,FALSE)</f>
        <v>0</v>
      </c>
      <c r="L280" s="117">
        <f>VLOOKUP(C280,'Talente &amp; Stuff'!DO:EP,10,FALSE)</f>
        <v>0</v>
      </c>
      <c r="M280" s="121">
        <f>VLOOKUP(C280,'Talente &amp; Stuff'!DO:EP,11,FALSE)</f>
        <v>0</v>
      </c>
      <c r="N280" s="47">
        <f>VLOOKUP(C280,'Talente &amp; Stuff'!DO:EP,12,FALSE)</f>
        <v>0</v>
      </c>
      <c r="O280" s="3">
        <f>VLOOKUP(C280,'Talente &amp; Stuff'!DO:EP,13,FALSE)</f>
        <v>0</v>
      </c>
      <c r="P280" s="174">
        <f>VLOOKUP(C280,'Talente &amp; Stuff'!DO:EP,14,FALSE)</f>
        <v>0</v>
      </c>
      <c r="Q280" s="114">
        <f>VLOOKUP(C280,'Talente &amp; Stuff'!DO:EP,15,FALSE)</f>
        <v>0</v>
      </c>
      <c r="R280" s="117">
        <f>VLOOKUP(C280,'Talente &amp; Stuff'!DO:EP,16,FALSE)</f>
        <v>0</v>
      </c>
      <c r="S280" s="119">
        <f>VLOOKUP(C280,'Talente &amp; Stuff'!DO:EP,17,FALSE)</f>
        <v>0</v>
      </c>
      <c r="T280" s="119">
        <f>VLOOKUP(C280,'Talente &amp; Stuff'!DO:EP,18,FALSE)</f>
        <v>0</v>
      </c>
      <c r="U280" s="89">
        <f>VLOOKUP(C280,'Talente &amp; Stuff'!DO:EP,19,FALSE)</f>
        <v>0</v>
      </c>
      <c r="V280" s="47">
        <f>VLOOKUP(C280,'Talente &amp; Stuff'!DO:EP,20,FALSE)</f>
        <v>0</v>
      </c>
      <c r="W280" s="127">
        <f>VLOOKUP(C280,'Talente &amp; Stuff'!DO:EP,21,FALSE)</f>
        <v>0</v>
      </c>
      <c r="X280" s="127">
        <f>VLOOKUP(C280,'Talente &amp; Stuff'!DO:EP,22,FALSE)</f>
        <v>0</v>
      </c>
      <c r="Y280" s="165">
        <f t="shared" si="22"/>
        <v>0</v>
      </c>
      <c r="Z280" s="44">
        <f t="shared" si="23"/>
        <v>0</v>
      </c>
      <c r="AA280" s="125">
        <f>VLOOKUP(C280,'Talente &amp; Stuff'!DO:EP,25,FALSE)</f>
        <v>0</v>
      </c>
      <c r="AB280" s="160">
        <f>VLOOKUP(C280,'Talente &amp; Stuff'!DO:EP,26,FALSE)</f>
        <v>0</v>
      </c>
      <c r="AC280" s="127">
        <f>VLOOKUP(C280,'Talente &amp; Stuff'!DO:EP,27,FALSE)</f>
        <v>0</v>
      </c>
      <c r="AD280" s="125">
        <f>VLOOKUP(C280,'Talente &amp; Stuff'!DO:EP,28,FALSE)</f>
        <v>0</v>
      </c>
      <c r="AE280" s="28"/>
    </row>
    <row r="281" spans="2:31" ht="15" hidden="1" customHeight="1" outlineLevel="2">
      <c r="B281" s="148">
        <v>21</v>
      </c>
      <c r="C281" s="163" t="str">
        <f>Attribute!C281</f>
        <v>---</v>
      </c>
      <c r="D281" s="86" t="str">
        <f>VLOOKUP(C281,'Talente &amp; Stuff'!DO:EP,2,FALSE)</f>
        <v>--/--/--</v>
      </c>
      <c r="E281" s="167" t="str">
        <f>VLOOKUP(C281,'Talente &amp; Stuff'!DO:EP,3,FALSE)</f>
        <v>-</v>
      </c>
      <c r="F281" s="120">
        <f>VLOOKUP(C281,'Talente &amp; Stuff'!DO:EP,4,FALSE)</f>
        <v>0</v>
      </c>
      <c r="G281" s="117">
        <f>VLOOKUP(C281,'Talente &amp; Stuff'!DO:EP,5,FALSE)</f>
        <v>0</v>
      </c>
      <c r="H281" s="117">
        <f>VLOOKUP(C281,'Talente &amp; Stuff'!DO:EP,6,FALSE)</f>
        <v>0</v>
      </c>
      <c r="I281" s="117">
        <f>VLOOKUP(C281,'Talente &amp; Stuff'!DO:EP,7,FALSE)</f>
        <v>0</v>
      </c>
      <c r="J281" s="117">
        <f>VLOOKUP(C281,'Talente &amp; Stuff'!DO:EP,8,FALSE)</f>
        <v>0</v>
      </c>
      <c r="K281" s="117">
        <f>VLOOKUP(C281,'Talente &amp; Stuff'!DO:EP,9,FALSE)</f>
        <v>0</v>
      </c>
      <c r="L281" s="117">
        <f>VLOOKUP(C281,'Talente &amp; Stuff'!DO:EP,10,FALSE)</f>
        <v>0</v>
      </c>
      <c r="M281" s="121">
        <f>VLOOKUP(C281,'Talente &amp; Stuff'!DO:EP,11,FALSE)</f>
        <v>0</v>
      </c>
      <c r="N281" s="47">
        <f>VLOOKUP(C281,'Talente &amp; Stuff'!DO:EP,12,FALSE)</f>
        <v>0</v>
      </c>
      <c r="O281" s="3">
        <f>VLOOKUP(C281,'Talente &amp; Stuff'!DO:EP,13,FALSE)</f>
        <v>0</v>
      </c>
      <c r="P281" s="174">
        <f>VLOOKUP(C281,'Talente &amp; Stuff'!DO:EP,14,FALSE)</f>
        <v>0</v>
      </c>
      <c r="Q281" s="114">
        <f>VLOOKUP(C281,'Talente &amp; Stuff'!DO:EP,15,FALSE)</f>
        <v>0</v>
      </c>
      <c r="R281" s="117">
        <f>VLOOKUP(C281,'Talente &amp; Stuff'!DO:EP,16,FALSE)</f>
        <v>0</v>
      </c>
      <c r="S281" s="119">
        <f>VLOOKUP(C281,'Talente &amp; Stuff'!DO:EP,17,FALSE)</f>
        <v>0</v>
      </c>
      <c r="T281" s="119">
        <f>VLOOKUP(C281,'Talente &amp; Stuff'!DO:EP,18,FALSE)</f>
        <v>0</v>
      </c>
      <c r="U281" s="89">
        <f>VLOOKUP(C281,'Talente &amp; Stuff'!DO:EP,19,FALSE)</f>
        <v>0</v>
      </c>
      <c r="V281" s="47">
        <f>VLOOKUP(C281,'Talente &amp; Stuff'!DO:EP,20,FALSE)</f>
        <v>0</v>
      </c>
      <c r="W281" s="127">
        <f>VLOOKUP(C281,'Talente &amp; Stuff'!DO:EP,21,FALSE)</f>
        <v>0</v>
      </c>
      <c r="X281" s="127">
        <f>VLOOKUP(C281,'Talente &amp; Stuff'!DO:EP,22,FALSE)</f>
        <v>0</v>
      </c>
      <c r="Y281" s="165">
        <f t="shared" si="22"/>
        <v>0</v>
      </c>
      <c r="Z281" s="44">
        <f t="shared" si="23"/>
        <v>0</v>
      </c>
      <c r="AA281" s="125">
        <f>VLOOKUP(C281,'Talente &amp; Stuff'!DO:EP,25,FALSE)</f>
        <v>0</v>
      </c>
      <c r="AB281" s="160">
        <f>VLOOKUP(C281,'Talente &amp; Stuff'!DO:EP,26,FALSE)</f>
        <v>0</v>
      </c>
      <c r="AC281" s="127">
        <f>VLOOKUP(C281,'Talente &amp; Stuff'!DO:EP,27,FALSE)</f>
        <v>0</v>
      </c>
      <c r="AD281" s="125">
        <f>VLOOKUP(C281,'Talente &amp; Stuff'!DO:EP,28,FALSE)</f>
        <v>0</v>
      </c>
      <c r="AE281" s="28"/>
    </row>
    <row r="282" spans="2:31" ht="15" hidden="1" customHeight="1" outlineLevel="2">
      <c r="B282" s="148">
        <v>22</v>
      </c>
      <c r="C282" s="163" t="str">
        <f>Attribute!C282</f>
        <v>---</v>
      </c>
      <c r="D282" s="86" t="str">
        <f>VLOOKUP(C282,'Talente &amp; Stuff'!DO:EP,2,FALSE)</f>
        <v>--/--/--</v>
      </c>
      <c r="E282" s="167" t="str">
        <f>VLOOKUP(C282,'Talente &amp; Stuff'!DO:EP,3,FALSE)</f>
        <v>-</v>
      </c>
      <c r="F282" s="120">
        <f>VLOOKUP(C282,'Talente &amp; Stuff'!DO:EP,4,FALSE)</f>
        <v>0</v>
      </c>
      <c r="G282" s="117">
        <f>VLOOKUP(C282,'Talente &amp; Stuff'!DO:EP,5,FALSE)</f>
        <v>0</v>
      </c>
      <c r="H282" s="117">
        <f>VLOOKUP(C282,'Talente &amp; Stuff'!DO:EP,6,FALSE)</f>
        <v>0</v>
      </c>
      <c r="I282" s="117">
        <f>VLOOKUP(C282,'Talente &amp; Stuff'!DO:EP,7,FALSE)</f>
        <v>0</v>
      </c>
      <c r="J282" s="117">
        <f>VLOOKUP(C282,'Talente &amp; Stuff'!DO:EP,8,FALSE)</f>
        <v>0</v>
      </c>
      <c r="K282" s="117">
        <f>VLOOKUP(C282,'Talente &amp; Stuff'!DO:EP,9,FALSE)</f>
        <v>0</v>
      </c>
      <c r="L282" s="117">
        <f>VLOOKUP(C282,'Talente &amp; Stuff'!DO:EP,10,FALSE)</f>
        <v>0</v>
      </c>
      <c r="M282" s="121">
        <f>VLOOKUP(C282,'Talente &amp; Stuff'!DO:EP,11,FALSE)</f>
        <v>0</v>
      </c>
      <c r="N282" s="47">
        <f>VLOOKUP(C282,'Talente &amp; Stuff'!DO:EP,12,FALSE)</f>
        <v>0</v>
      </c>
      <c r="O282" s="3">
        <f>VLOOKUP(C282,'Talente &amp; Stuff'!DO:EP,13,FALSE)</f>
        <v>0</v>
      </c>
      <c r="P282" s="174">
        <f>VLOOKUP(C282,'Talente &amp; Stuff'!DO:EP,14,FALSE)</f>
        <v>0</v>
      </c>
      <c r="Q282" s="114">
        <f>VLOOKUP(C282,'Talente &amp; Stuff'!DO:EP,15,FALSE)</f>
        <v>0</v>
      </c>
      <c r="R282" s="117">
        <f>VLOOKUP(C282,'Talente &amp; Stuff'!DO:EP,16,FALSE)</f>
        <v>0</v>
      </c>
      <c r="S282" s="119">
        <f>VLOOKUP(C282,'Talente &amp; Stuff'!DO:EP,17,FALSE)</f>
        <v>0</v>
      </c>
      <c r="T282" s="119">
        <f>VLOOKUP(C282,'Talente &amp; Stuff'!DO:EP,18,FALSE)</f>
        <v>0</v>
      </c>
      <c r="U282" s="89">
        <f>VLOOKUP(C282,'Talente &amp; Stuff'!DO:EP,19,FALSE)</f>
        <v>0</v>
      </c>
      <c r="V282" s="47">
        <f>VLOOKUP(C282,'Talente &amp; Stuff'!DO:EP,20,FALSE)</f>
        <v>0</v>
      </c>
      <c r="W282" s="127">
        <f>VLOOKUP(C282,'Talente &amp; Stuff'!DO:EP,21,FALSE)</f>
        <v>0</v>
      </c>
      <c r="X282" s="127">
        <f>VLOOKUP(C282,'Talente &amp; Stuff'!DO:EP,22,FALSE)</f>
        <v>0</v>
      </c>
      <c r="Y282" s="165">
        <f t="shared" si="22"/>
        <v>0</v>
      </c>
      <c r="Z282" s="44">
        <f t="shared" si="23"/>
        <v>0</v>
      </c>
      <c r="AA282" s="125">
        <f>VLOOKUP(C282,'Talente &amp; Stuff'!DO:EP,25,FALSE)</f>
        <v>0</v>
      </c>
      <c r="AB282" s="160">
        <f>VLOOKUP(C282,'Talente &amp; Stuff'!DO:EP,26,FALSE)</f>
        <v>0</v>
      </c>
      <c r="AC282" s="127">
        <f>VLOOKUP(C282,'Talente &amp; Stuff'!DO:EP,27,FALSE)</f>
        <v>0</v>
      </c>
      <c r="AD282" s="125">
        <f>VLOOKUP(C282,'Talente &amp; Stuff'!DO:EP,28,FALSE)</f>
        <v>0</v>
      </c>
      <c r="AE282" s="28"/>
    </row>
    <row r="283" spans="2:31" ht="15" hidden="1" customHeight="1" outlineLevel="2">
      <c r="B283" s="148">
        <v>23</v>
      </c>
      <c r="C283" s="163" t="str">
        <f>Attribute!C283</f>
        <v>---</v>
      </c>
      <c r="D283" s="86" t="str">
        <f>VLOOKUP(C283,'Talente &amp; Stuff'!DO:EP,2,FALSE)</f>
        <v>--/--/--</v>
      </c>
      <c r="E283" s="167" t="str">
        <f>VLOOKUP(C283,'Talente &amp; Stuff'!DO:EP,3,FALSE)</f>
        <v>-</v>
      </c>
      <c r="F283" s="120">
        <f>VLOOKUP(C283,'Talente &amp; Stuff'!DO:EP,4,FALSE)</f>
        <v>0</v>
      </c>
      <c r="G283" s="117">
        <f>VLOOKUP(C283,'Talente &amp; Stuff'!DO:EP,5,FALSE)</f>
        <v>0</v>
      </c>
      <c r="H283" s="117">
        <f>VLOOKUP(C283,'Talente &amp; Stuff'!DO:EP,6,FALSE)</f>
        <v>0</v>
      </c>
      <c r="I283" s="117">
        <f>VLOOKUP(C283,'Talente &amp; Stuff'!DO:EP,7,FALSE)</f>
        <v>0</v>
      </c>
      <c r="J283" s="117">
        <f>VLOOKUP(C283,'Talente &amp; Stuff'!DO:EP,8,FALSE)</f>
        <v>0</v>
      </c>
      <c r="K283" s="117">
        <f>VLOOKUP(C283,'Talente &amp; Stuff'!DO:EP,9,FALSE)</f>
        <v>0</v>
      </c>
      <c r="L283" s="117">
        <f>VLOOKUP(C283,'Talente &amp; Stuff'!DO:EP,10,FALSE)</f>
        <v>0</v>
      </c>
      <c r="M283" s="121">
        <f>VLOOKUP(C283,'Talente &amp; Stuff'!DO:EP,11,FALSE)</f>
        <v>0</v>
      </c>
      <c r="N283" s="47">
        <f>VLOOKUP(C283,'Talente &amp; Stuff'!DO:EP,12,FALSE)</f>
        <v>0</v>
      </c>
      <c r="O283" s="3">
        <f>VLOOKUP(C283,'Talente &amp; Stuff'!DO:EP,13,FALSE)</f>
        <v>0</v>
      </c>
      <c r="P283" s="174">
        <f>VLOOKUP(C283,'Talente &amp; Stuff'!DO:EP,14,FALSE)</f>
        <v>0</v>
      </c>
      <c r="Q283" s="114">
        <f>VLOOKUP(C283,'Talente &amp; Stuff'!DO:EP,15,FALSE)</f>
        <v>0</v>
      </c>
      <c r="R283" s="117">
        <f>VLOOKUP(C283,'Talente &amp; Stuff'!DO:EP,16,FALSE)</f>
        <v>0</v>
      </c>
      <c r="S283" s="119">
        <f>VLOOKUP(C283,'Talente &amp; Stuff'!DO:EP,17,FALSE)</f>
        <v>0</v>
      </c>
      <c r="T283" s="119">
        <f>VLOOKUP(C283,'Talente &amp; Stuff'!DO:EP,18,FALSE)</f>
        <v>0</v>
      </c>
      <c r="U283" s="89">
        <f>VLOOKUP(C283,'Talente &amp; Stuff'!DO:EP,19,FALSE)</f>
        <v>0</v>
      </c>
      <c r="V283" s="47">
        <f>VLOOKUP(C283,'Talente &amp; Stuff'!DO:EP,20,FALSE)</f>
        <v>0</v>
      </c>
      <c r="W283" s="127">
        <f>VLOOKUP(C283,'Talente &amp; Stuff'!DO:EP,21,FALSE)</f>
        <v>0</v>
      </c>
      <c r="X283" s="127">
        <f>VLOOKUP(C283,'Talente &amp; Stuff'!DO:EP,22,FALSE)</f>
        <v>0</v>
      </c>
      <c r="Y283" s="165">
        <f t="shared" si="22"/>
        <v>0</v>
      </c>
      <c r="Z283" s="44">
        <f t="shared" si="23"/>
        <v>0</v>
      </c>
      <c r="AA283" s="125">
        <f>VLOOKUP(C283,'Talente &amp; Stuff'!DO:EP,25,FALSE)</f>
        <v>0</v>
      </c>
      <c r="AB283" s="160">
        <f>VLOOKUP(C283,'Talente &amp; Stuff'!DO:EP,26,FALSE)</f>
        <v>0</v>
      </c>
      <c r="AC283" s="127">
        <f>VLOOKUP(C283,'Talente &amp; Stuff'!DO:EP,27,FALSE)</f>
        <v>0</v>
      </c>
      <c r="AD283" s="125">
        <f>VLOOKUP(C283,'Talente &amp; Stuff'!DO:EP,28,FALSE)</f>
        <v>0</v>
      </c>
      <c r="AE283" s="28"/>
    </row>
    <row r="284" spans="2:31" ht="15" hidden="1" customHeight="1" outlineLevel="2">
      <c r="B284" s="148">
        <v>24</v>
      </c>
      <c r="C284" s="163" t="str">
        <f>Attribute!C284</f>
        <v>---</v>
      </c>
      <c r="D284" s="86" t="str">
        <f>VLOOKUP(C284,'Talente &amp; Stuff'!DO:EP,2,FALSE)</f>
        <v>--/--/--</v>
      </c>
      <c r="E284" s="167" t="str">
        <f>VLOOKUP(C284,'Talente &amp; Stuff'!DO:EP,3,FALSE)</f>
        <v>-</v>
      </c>
      <c r="F284" s="120">
        <f>VLOOKUP(C284,'Talente &amp; Stuff'!DO:EP,4,FALSE)</f>
        <v>0</v>
      </c>
      <c r="G284" s="117">
        <f>VLOOKUP(C284,'Talente &amp; Stuff'!DO:EP,5,FALSE)</f>
        <v>0</v>
      </c>
      <c r="H284" s="117">
        <f>VLOOKUP(C284,'Talente &amp; Stuff'!DO:EP,6,FALSE)</f>
        <v>0</v>
      </c>
      <c r="I284" s="117">
        <f>VLOOKUP(C284,'Talente &amp; Stuff'!DO:EP,7,FALSE)</f>
        <v>0</v>
      </c>
      <c r="J284" s="117">
        <f>VLOOKUP(C284,'Talente &amp; Stuff'!DO:EP,8,FALSE)</f>
        <v>0</v>
      </c>
      <c r="K284" s="117">
        <f>VLOOKUP(C284,'Talente &amp; Stuff'!DO:EP,9,FALSE)</f>
        <v>0</v>
      </c>
      <c r="L284" s="117">
        <f>VLOOKUP(C284,'Talente &amp; Stuff'!DO:EP,10,FALSE)</f>
        <v>0</v>
      </c>
      <c r="M284" s="121">
        <f>VLOOKUP(C284,'Talente &amp; Stuff'!DO:EP,11,FALSE)</f>
        <v>0</v>
      </c>
      <c r="N284" s="47">
        <f>VLOOKUP(C284,'Talente &amp; Stuff'!DO:EP,12,FALSE)</f>
        <v>0</v>
      </c>
      <c r="O284" s="3">
        <f>VLOOKUP(C284,'Talente &amp; Stuff'!DO:EP,13,FALSE)</f>
        <v>0</v>
      </c>
      <c r="P284" s="174">
        <f>VLOOKUP(C284,'Talente &amp; Stuff'!DO:EP,14,FALSE)</f>
        <v>0</v>
      </c>
      <c r="Q284" s="114">
        <f>VLOOKUP(C284,'Talente &amp; Stuff'!DO:EP,15,FALSE)</f>
        <v>0</v>
      </c>
      <c r="R284" s="117">
        <f>VLOOKUP(C284,'Talente &amp; Stuff'!DO:EP,16,FALSE)</f>
        <v>0</v>
      </c>
      <c r="S284" s="119">
        <f>VLOOKUP(C284,'Talente &amp; Stuff'!DO:EP,17,FALSE)</f>
        <v>0</v>
      </c>
      <c r="T284" s="119">
        <f>VLOOKUP(C284,'Talente &amp; Stuff'!DO:EP,18,FALSE)</f>
        <v>0</v>
      </c>
      <c r="U284" s="89">
        <f>VLOOKUP(C284,'Talente &amp; Stuff'!DO:EP,19,FALSE)</f>
        <v>0</v>
      </c>
      <c r="V284" s="47">
        <f>VLOOKUP(C284,'Talente &amp; Stuff'!DO:EP,20,FALSE)</f>
        <v>0</v>
      </c>
      <c r="W284" s="127">
        <f>VLOOKUP(C284,'Talente &amp; Stuff'!DO:EP,21,FALSE)</f>
        <v>0</v>
      </c>
      <c r="X284" s="127">
        <f>VLOOKUP(C284,'Talente &amp; Stuff'!DO:EP,22,FALSE)</f>
        <v>0</v>
      </c>
      <c r="Y284" s="165">
        <f t="shared" si="22"/>
        <v>0</v>
      </c>
      <c r="Z284" s="44">
        <f t="shared" si="23"/>
        <v>0</v>
      </c>
      <c r="AA284" s="125">
        <f>VLOOKUP(C284,'Talente &amp; Stuff'!DO:EP,25,FALSE)</f>
        <v>0</v>
      </c>
      <c r="AB284" s="160">
        <f>VLOOKUP(C284,'Talente &amp; Stuff'!DO:EP,26,FALSE)</f>
        <v>0</v>
      </c>
      <c r="AC284" s="127">
        <f>VLOOKUP(C284,'Talente &amp; Stuff'!DO:EP,27,FALSE)</f>
        <v>0</v>
      </c>
      <c r="AD284" s="125">
        <f>VLOOKUP(C284,'Talente &amp; Stuff'!DO:EP,28,FALSE)</f>
        <v>0</v>
      </c>
      <c r="AE284" s="28"/>
    </row>
    <row r="285" spans="2:31" ht="15" hidden="1" customHeight="1" outlineLevel="2">
      <c r="B285" s="148">
        <v>25</v>
      </c>
      <c r="C285" s="163" t="str">
        <f>Attribute!C285</f>
        <v>---</v>
      </c>
      <c r="D285" s="86" t="str">
        <f>VLOOKUP(C285,'Talente &amp; Stuff'!DO:EP,2,FALSE)</f>
        <v>--/--/--</v>
      </c>
      <c r="E285" s="167" t="str">
        <f>VLOOKUP(C285,'Talente &amp; Stuff'!DO:EP,3,FALSE)</f>
        <v>-</v>
      </c>
      <c r="F285" s="120">
        <f>VLOOKUP(C285,'Talente &amp; Stuff'!DO:EP,4,FALSE)</f>
        <v>0</v>
      </c>
      <c r="G285" s="117">
        <f>VLOOKUP(C285,'Talente &amp; Stuff'!DO:EP,5,FALSE)</f>
        <v>0</v>
      </c>
      <c r="H285" s="117">
        <f>VLOOKUP(C285,'Talente &amp; Stuff'!DO:EP,6,FALSE)</f>
        <v>0</v>
      </c>
      <c r="I285" s="117">
        <f>VLOOKUP(C285,'Talente &amp; Stuff'!DO:EP,7,FALSE)</f>
        <v>0</v>
      </c>
      <c r="J285" s="117">
        <f>VLOOKUP(C285,'Talente &amp; Stuff'!DO:EP,8,FALSE)</f>
        <v>0</v>
      </c>
      <c r="K285" s="117">
        <f>VLOOKUP(C285,'Talente &amp; Stuff'!DO:EP,9,FALSE)</f>
        <v>0</v>
      </c>
      <c r="L285" s="117">
        <f>VLOOKUP(C285,'Talente &amp; Stuff'!DO:EP,10,FALSE)</f>
        <v>0</v>
      </c>
      <c r="M285" s="121">
        <f>VLOOKUP(C285,'Talente &amp; Stuff'!DO:EP,11,FALSE)</f>
        <v>0</v>
      </c>
      <c r="N285" s="47">
        <f>VLOOKUP(C285,'Talente &amp; Stuff'!DO:EP,12,FALSE)</f>
        <v>0</v>
      </c>
      <c r="O285" s="3">
        <f>VLOOKUP(C285,'Talente &amp; Stuff'!DO:EP,13,FALSE)</f>
        <v>0</v>
      </c>
      <c r="P285" s="174">
        <f>VLOOKUP(C285,'Talente &amp; Stuff'!DO:EP,14,FALSE)</f>
        <v>0</v>
      </c>
      <c r="Q285" s="114">
        <f>VLOOKUP(C285,'Talente &amp; Stuff'!DO:EP,15,FALSE)</f>
        <v>0</v>
      </c>
      <c r="R285" s="117">
        <f>VLOOKUP(C285,'Talente &amp; Stuff'!DO:EP,16,FALSE)</f>
        <v>0</v>
      </c>
      <c r="S285" s="119">
        <f>VLOOKUP(C285,'Talente &amp; Stuff'!DO:EP,17,FALSE)</f>
        <v>0</v>
      </c>
      <c r="T285" s="119">
        <f>VLOOKUP(C285,'Talente &amp; Stuff'!DO:EP,18,FALSE)</f>
        <v>0</v>
      </c>
      <c r="U285" s="89">
        <f>VLOOKUP(C285,'Talente &amp; Stuff'!DO:EP,19,FALSE)</f>
        <v>0</v>
      </c>
      <c r="V285" s="47">
        <f>VLOOKUP(C285,'Talente &amp; Stuff'!DO:EP,20,FALSE)</f>
        <v>0</v>
      </c>
      <c r="W285" s="127">
        <f>VLOOKUP(C285,'Talente &amp; Stuff'!DO:EP,21,FALSE)</f>
        <v>0</v>
      </c>
      <c r="X285" s="127">
        <f>VLOOKUP(C285,'Talente &amp; Stuff'!DO:EP,22,FALSE)</f>
        <v>0</v>
      </c>
      <c r="Y285" s="165">
        <f t="shared" si="22"/>
        <v>0</v>
      </c>
      <c r="Z285" s="44">
        <f t="shared" si="23"/>
        <v>0</v>
      </c>
      <c r="AA285" s="125">
        <f>VLOOKUP(C285,'Talente &amp; Stuff'!DO:EP,25,FALSE)</f>
        <v>0</v>
      </c>
      <c r="AB285" s="160">
        <f>VLOOKUP(C285,'Talente &amp; Stuff'!DO:EP,26,FALSE)</f>
        <v>0</v>
      </c>
      <c r="AC285" s="127">
        <f>VLOOKUP(C285,'Talente &amp; Stuff'!DO:EP,27,FALSE)</f>
        <v>0</v>
      </c>
      <c r="AD285" s="125">
        <f>VLOOKUP(C285,'Talente &amp; Stuff'!DO:EP,28,FALSE)</f>
        <v>0</v>
      </c>
      <c r="AE285" s="28"/>
    </row>
    <row r="286" spans="2:31" ht="15" hidden="1" customHeight="1" outlineLevel="2">
      <c r="B286" s="148">
        <v>26</v>
      </c>
      <c r="C286" s="163" t="str">
        <f>Attribute!C286</f>
        <v>---</v>
      </c>
      <c r="D286" s="86" t="str">
        <f>VLOOKUP(C286,'Talente &amp; Stuff'!DO:EP,2,FALSE)</f>
        <v>--/--/--</v>
      </c>
      <c r="E286" s="167" t="str">
        <f>VLOOKUP(C286,'Talente &amp; Stuff'!DO:EP,3,FALSE)</f>
        <v>-</v>
      </c>
      <c r="F286" s="120">
        <f>VLOOKUP(C286,'Talente &amp; Stuff'!DO:EP,4,FALSE)</f>
        <v>0</v>
      </c>
      <c r="G286" s="117">
        <f>VLOOKUP(C286,'Talente &amp; Stuff'!DO:EP,5,FALSE)</f>
        <v>0</v>
      </c>
      <c r="H286" s="117">
        <f>VLOOKUP(C286,'Talente &amp; Stuff'!DO:EP,6,FALSE)</f>
        <v>0</v>
      </c>
      <c r="I286" s="117">
        <f>VLOOKUP(C286,'Talente &amp; Stuff'!DO:EP,7,FALSE)</f>
        <v>0</v>
      </c>
      <c r="J286" s="117">
        <f>VLOOKUP(C286,'Talente &amp; Stuff'!DO:EP,8,FALSE)</f>
        <v>0</v>
      </c>
      <c r="K286" s="117">
        <f>VLOOKUP(C286,'Talente &amp; Stuff'!DO:EP,9,FALSE)</f>
        <v>0</v>
      </c>
      <c r="L286" s="117">
        <f>VLOOKUP(C286,'Talente &amp; Stuff'!DO:EP,10,FALSE)</f>
        <v>0</v>
      </c>
      <c r="M286" s="121">
        <f>VLOOKUP(C286,'Talente &amp; Stuff'!DO:EP,11,FALSE)</f>
        <v>0</v>
      </c>
      <c r="N286" s="47">
        <f>VLOOKUP(C286,'Talente &amp; Stuff'!DO:EP,12,FALSE)</f>
        <v>0</v>
      </c>
      <c r="O286" s="3">
        <f>VLOOKUP(C286,'Talente &amp; Stuff'!DO:EP,13,FALSE)</f>
        <v>0</v>
      </c>
      <c r="P286" s="174">
        <f>VLOOKUP(C286,'Talente &amp; Stuff'!DO:EP,14,FALSE)</f>
        <v>0</v>
      </c>
      <c r="Q286" s="114">
        <f>VLOOKUP(C286,'Talente &amp; Stuff'!DO:EP,15,FALSE)</f>
        <v>0</v>
      </c>
      <c r="R286" s="117">
        <f>VLOOKUP(C286,'Talente &amp; Stuff'!DO:EP,16,FALSE)</f>
        <v>0</v>
      </c>
      <c r="S286" s="119">
        <f>VLOOKUP(C286,'Talente &amp; Stuff'!DO:EP,17,FALSE)</f>
        <v>0</v>
      </c>
      <c r="T286" s="119">
        <f>VLOOKUP(C286,'Talente &amp; Stuff'!DO:EP,18,FALSE)</f>
        <v>0</v>
      </c>
      <c r="U286" s="89">
        <f>VLOOKUP(C286,'Talente &amp; Stuff'!DO:EP,19,FALSE)</f>
        <v>0</v>
      </c>
      <c r="V286" s="47">
        <f>VLOOKUP(C286,'Talente &amp; Stuff'!DO:EP,20,FALSE)</f>
        <v>0</v>
      </c>
      <c r="W286" s="127">
        <f>VLOOKUP(C286,'Talente &amp; Stuff'!DO:EP,21,FALSE)</f>
        <v>0</v>
      </c>
      <c r="X286" s="127">
        <f>VLOOKUP(C286,'Talente &amp; Stuff'!DO:EP,22,FALSE)</f>
        <v>0</v>
      </c>
      <c r="Y286" s="165">
        <f t="shared" si="22"/>
        <v>0</v>
      </c>
      <c r="Z286" s="44">
        <f t="shared" si="23"/>
        <v>0</v>
      </c>
      <c r="AA286" s="125">
        <f>VLOOKUP(C286,'Talente &amp; Stuff'!DO:EP,25,FALSE)</f>
        <v>0</v>
      </c>
      <c r="AB286" s="160">
        <f>VLOOKUP(C286,'Talente &amp; Stuff'!DO:EP,26,FALSE)</f>
        <v>0</v>
      </c>
      <c r="AC286" s="127">
        <f>VLOOKUP(C286,'Talente &amp; Stuff'!DO:EP,27,FALSE)</f>
        <v>0</v>
      </c>
      <c r="AD286" s="125">
        <f>VLOOKUP(C286,'Talente &amp; Stuff'!DO:EP,28,FALSE)</f>
        <v>0</v>
      </c>
      <c r="AE286" s="28"/>
    </row>
    <row r="287" spans="2:31" ht="15" hidden="1" customHeight="1" outlineLevel="2">
      <c r="B287" s="148">
        <v>27</v>
      </c>
      <c r="C287" s="163" t="str">
        <f>Attribute!C287</f>
        <v>---</v>
      </c>
      <c r="D287" s="86" t="str">
        <f>VLOOKUP(C287,'Talente &amp; Stuff'!DO:EP,2,FALSE)</f>
        <v>--/--/--</v>
      </c>
      <c r="E287" s="167" t="str">
        <f>VLOOKUP(C287,'Talente &amp; Stuff'!DO:EP,3,FALSE)</f>
        <v>-</v>
      </c>
      <c r="F287" s="120">
        <f>VLOOKUP(C287,'Talente &amp; Stuff'!DO:EP,4,FALSE)</f>
        <v>0</v>
      </c>
      <c r="G287" s="117">
        <f>VLOOKUP(C287,'Talente &amp; Stuff'!DO:EP,5,FALSE)</f>
        <v>0</v>
      </c>
      <c r="H287" s="117">
        <f>VLOOKUP(C287,'Talente &amp; Stuff'!DO:EP,6,FALSE)</f>
        <v>0</v>
      </c>
      <c r="I287" s="117">
        <f>VLOOKUP(C287,'Talente &amp; Stuff'!DO:EP,7,FALSE)</f>
        <v>0</v>
      </c>
      <c r="J287" s="117">
        <f>VLOOKUP(C287,'Talente &amp; Stuff'!DO:EP,8,FALSE)</f>
        <v>0</v>
      </c>
      <c r="K287" s="117">
        <f>VLOOKUP(C287,'Talente &amp; Stuff'!DO:EP,9,FALSE)</f>
        <v>0</v>
      </c>
      <c r="L287" s="117">
        <f>VLOOKUP(C287,'Talente &amp; Stuff'!DO:EP,10,FALSE)</f>
        <v>0</v>
      </c>
      <c r="M287" s="121">
        <f>VLOOKUP(C287,'Talente &amp; Stuff'!DO:EP,11,FALSE)</f>
        <v>0</v>
      </c>
      <c r="N287" s="47">
        <f>VLOOKUP(C287,'Talente &amp; Stuff'!DO:EP,12,FALSE)</f>
        <v>0</v>
      </c>
      <c r="O287" s="3">
        <f>VLOOKUP(C287,'Talente &amp; Stuff'!DO:EP,13,FALSE)</f>
        <v>0</v>
      </c>
      <c r="P287" s="174">
        <f>VLOOKUP(C287,'Talente &amp; Stuff'!DO:EP,14,FALSE)</f>
        <v>0</v>
      </c>
      <c r="Q287" s="114">
        <f>VLOOKUP(C287,'Talente &amp; Stuff'!DO:EP,15,FALSE)</f>
        <v>0</v>
      </c>
      <c r="R287" s="117">
        <f>VLOOKUP(C287,'Talente &amp; Stuff'!DO:EP,16,FALSE)</f>
        <v>0</v>
      </c>
      <c r="S287" s="119">
        <f>VLOOKUP(C287,'Talente &amp; Stuff'!DO:EP,17,FALSE)</f>
        <v>0</v>
      </c>
      <c r="T287" s="119">
        <f>VLOOKUP(C287,'Talente &amp; Stuff'!DO:EP,18,FALSE)</f>
        <v>0</v>
      </c>
      <c r="U287" s="89">
        <f>VLOOKUP(C287,'Talente &amp; Stuff'!DO:EP,19,FALSE)</f>
        <v>0</v>
      </c>
      <c r="V287" s="47">
        <f>VLOOKUP(C287,'Talente &amp; Stuff'!DO:EP,20,FALSE)</f>
        <v>0</v>
      </c>
      <c r="W287" s="127">
        <f>VLOOKUP(C287,'Talente &amp; Stuff'!DO:EP,21,FALSE)</f>
        <v>0</v>
      </c>
      <c r="X287" s="127">
        <f>VLOOKUP(C287,'Talente &amp; Stuff'!DO:EP,22,FALSE)</f>
        <v>0</v>
      </c>
      <c r="Y287" s="165">
        <f t="shared" si="22"/>
        <v>0</v>
      </c>
      <c r="Z287" s="44">
        <f t="shared" si="23"/>
        <v>0</v>
      </c>
      <c r="AA287" s="125">
        <f>VLOOKUP(C287,'Talente &amp; Stuff'!DO:EP,25,FALSE)</f>
        <v>0</v>
      </c>
      <c r="AB287" s="160">
        <f>VLOOKUP(C287,'Talente &amp; Stuff'!DO:EP,26,FALSE)</f>
        <v>0</v>
      </c>
      <c r="AC287" s="127">
        <f>VLOOKUP(C287,'Talente &amp; Stuff'!DO:EP,27,FALSE)</f>
        <v>0</v>
      </c>
      <c r="AD287" s="125">
        <f>VLOOKUP(C287,'Talente &amp; Stuff'!DO:EP,28,FALSE)</f>
        <v>0</v>
      </c>
      <c r="AE287" s="28"/>
    </row>
    <row r="288" spans="2:31" ht="15" hidden="1" customHeight="1" outlineLevel="2">
      <c r="B288" s="148">
        <v>28</v>
      </c>
      <c r="C288" s="163" t="str">
        <f>Attribute!C288</f>
        <v>---</v>
      </c>
      <c r="D288" s="86" t="str">
        <f>VLOOKUP(C288,'Talente &amp; Stuff'!DO:EP,2,FALSE)</f>
        <v>--/--/--</v>
      </c>
      <c r="E288" s="167" t="str">
        <f>VLOOKUP(C288,'Talente &amp; Stuff'!DO:EP,3,FALSE)</f>
        <v>-</v>
      </c>
      <c r="F288" s="120">
        <f>VLOOKUP(C288,'Talente &amp; Stuff'!DO:EP,4,FALSE)</f>
        <v>0</v>
      </c>
      <c r="G288" s="117">
        <f>VLOOKUP(C288,'Talente &amp; Stuff'!DO:EP,5,FALSE)</f>
        <v>0</v>
      </c>
      <c r="H288" s="117">
        <f>VLOOKUP(C288,'Talente &amp; Stuff'!DO:EP,6,FALSE)</f>
        <v>0</v>
      </c>
      <c r="I288" s="117">
        <f>VLOOKUP(C288,'Talente &amp; Stuff'!DO:EP,7,FALSE)</f>
        <v>0</v>
      </c>
      <c r="J288" s="117">
        <f>VLOOKUP(C288,'Talente &amp; Stuff'!DO:EP,8,FALSE)</f>
        <v>0</v>
      </c>
      <c r="K288" s="117">
        <f>VLOOKUP(C288,'Talente &amp; Stuff'!DO:EP,9,FALSE)</f>
        <v>0</v>
      </c>
      <c r="L288" s="117">
        <f>VLOOKUP(C288,'Talente &amp; Stuff'!DO:EP,10,FALSE)</f>
        <v>0</v>
      </c>
      <c r="M288" s="121">
        <f>VLOOKUP(C288,'Talente &amp; Stuff'!DO:EP,11,FALSE)</f>
        <v>0</v>
      </c>
      <c r="N288" s="47">
        <f>VLOOKUP(C288,'Talente &amp; Stuff'!DO:EP,12,FALSE)</f>
        <v>0</v>
      </c>
      <c r="O288" s="3">
        <f>VLOOKUP(C288,'Talente &amp; Stuff'!DO:EP,13,FALSE)</f>
        <v>0</v>
      </c>
      <c r="P288" s="174">
        <f>VLOOKUP(C288,'Talente &amp; Stuff'!DO:EP,14,FALSE)</f>
        <v>0</v>
      </c>
      <c r="Q288" s="114">
        <f>VLOOKUP(C288,'Talente &amp; Stuff'!DO:EP,15,FALSE)</f>
        <v>0</v>
      </c>
      <c r="R288" s="117">
        <f>VLOOKUP(C288,'Talente &amp; Stuff'!DO:EP,16,FALSE)</f>
        <v>0</v>
      </c>
      <c r="S288" s="119">
        <f>VLOOKUP(C288,'Talente &amp; Stuff'!DO:EP,17,FALSE)</f>
        <v>0</v>
      </c>
      <c r="T288" s="119">
        <f>VLOOKUP(C288,'Talente &amp; Stuff'!DO:EP,18,FALSE)</f>
        <v>0</v>
      </c>
      <c r="U288" s="89">
        <f>VLOOKUP(C288,'Talente &amp; Stuff'!DO:EP,19,FALSE)</f>
        <v>0</v>
      </c>
      <c r="V288" s="47">
        <f>VLOOKUP(C288,'Talente &amp; Stuff'!DO:EP,20,FALSE)</f>
        <v>0</v>
      </c>
      <c r="W288" s="127">
        <f>VLOOKUP(C288,'Talente &amp; Stuff'!DO:EP,21,FALSE)</f>
        <v>0</v>
      </c>
      <c r="X288" s="127">
        <f>VLOOKUP(C288,'Talente &amp; Stuff'!DO:EP,22,FALSE)</f>
        <v>0</v>
      </c>
      <c r="Y288" s="165">
        <f t="shared" si="22"/>
        <v>0</v>
      </c>
      <c r="Z288" s="44">
        <f t="shared" si="23"/>
        <v>0</v>
      </c>
      <c r="AA288" s="125">
        <f>VLOOKUP(C288,'Talente &amp; Stuff'!DO:EP,25,FALSE)</f>
        <v>0</v>
      </c>
      <c r="AB288" s="160">
        <f>VLOOKUP(C288,'Talente &amp; Stuff'!DO:EP,26,FALSE)</f>
        <v>0</v>
      </c>
      <c r="AC288" s="127">
        <f>VLOOKUP(C288,'Talente &amp; Stuff'!DO:EP,27,FALSE)</f>
        <v>0</v>
      </c>
      <c r="AD288" s="125">
        <f>VLOOKUP(C288,'Talente &amp; Stuff'!DO:EP,28,FALSE)</f>
        <v>0</v>
      </c>
      <c r="AE288" s="28"/>
    </row>
    <row r="289" spans="1:31" ht="15" hidden="1" customHeight="1" outlineLevel="2">
      <c r="B289" s="148">
        <v>29</v>
      </c>
      <c r="C289" s="163" t="str">
        <f>Attribute!C289</f>
        <v>---</v>
      </c>
      <c r="D289" s="125" t="str">
        <f>VLOOKUP(C289,'Talente &amp; Stuff'!DO:EP,2,FALSE)</f>
        <v>--/--/--</v>
      </c>
      <c r="E289" s="127" t="str">
        <f>VLOOKUP(C289,'Talente &amp; Stuff'!DO:EP,3,FALSE)</f>
        <v>-</v>
      </c>
      <c r="F289" s="114">
        <f>VLOOKUP(C289,'Talente &amp; Stuff'!DO:EP,4,FALSE)</f>
        <v>0</v>
      </c>
      <c r="G289" s="113">
        <f>VLOOKUP(C289,'Talente &amp; Stuff'!DO:EP,5,FALSE)</f>
        <v>0</v>
      </c>
      <c r="H289" s="113">
        <f>VLOOKUP(C289,'Talente &amp; Stuff'!DO:EP,6,FALSE)</f>
        <v>0</v>
      </c>
      <c r="I289" s="113">
        <f>VLOOKUP(C289,'Talente &amp; Stuff'!DO:EP,7,FALSE)</f>
        <v>0</v>
      </c>
      <c r="J289" s="113">
        <f>VLOOKUP(C289,'Talente &amp; Stuff'!DO:EP,8,FALSE)</f>
        <v>0</v>
      </c>
      <c r="K289" s="113">
        <f>VLOOKUP(C289,'Talente &amp; Stuff'!DO:EP,9,FALSE)</f>
        <v>0</v>
      </c>
      <c r="L289" s="113">
        <f>VLOOKUP(C289,'Talente &amp; Stuff'!DO:EP,10,FALSE)</f>
        <v>0</v>
      </c>
      <c r="M289" s="119">
        <f>VLOOKUP(C289,'Talente &amp; Stuff'!DO:EP,11,FALSE)</f>
        <v>0</v>
      </c>
      <c r="N289" s="47">
        <f>VLOOKUP(C289,'Talente &amp; Stuff'!DO:EP,12,FALSE)</f>
        <v>0</v>
      </c>
      <c r="O289" s="47">
        <f>VLOOKUP(C289,'Talente &amp; Stuff'!DO:EP,13,FALSE)</f>
        <v>0</v>
      </c>
      <c r="P289" s="119">
        <f>VLOOKUP(C289,'Talente &amp; Stuff'!DO:EP,14,FALSE)</f>
        <v>0</v>
      </c>
      <c r="Q289" s="114">
        <f>VLOOKUP(C289,'Talente &amp; Stuff'!DO:EP,15,FALSE)</f>
        <v>0</v>
      </c>
      <c r="R289" s="113">
        <f>VLOOKUP(C289,'Talente &amp; Stuff'!DO:EP,16,FALSE)</f>
        <v>0</v>
      </c>
      <c r="S289" s="119">
        <f>VLOOKUP(C289,'Talente &amp; Stuff'!DO:EP,17,FALSE)</f>
        <v>0</v>
      </c>
      <c r="T289" s="119">
        <f>VLOOKUP(C289,'Talente &amp; Stuff'!DO:EP,18,FALSE)</f>
        <v>0</v>
      </c>
      <c r="U289" s="89">
        <f>VLOOKUP(C289,'Talente &amp; Stuff'!DO:EP,19,FALSE)</f>
        <v>0</v>
      </c>
      <c r="V289" s="47">
        <f>VLOOKUP(C289,'Talente &amp; Stuff'!DO:EP,20,FALSE)</f>
        <v>0</v>
      </c>
      <c r="W289" s="127">
        <f>VLOOKUP(C289,'Talente &amp; Stuff'!DO:EP,21,FALSE)</f>
        <v>0</v>
      </c>
      <c r="X289" s="127">
        <f>VLOOKUP(C289,'Talente &amp; Stuff'!DO:EP,22,FALSE)</f>
        <v>0</v>
      </c>
      <c r="Y289" s="165">
        <f t="shared" si="22"/>
        <v>0</v>
      </c>
      <c r="Z289" s="44">
        <f t="shared" si="23"/>
        <v>0</v>
      </c>
      <c r="AA289" s="125">
        <f>VLOOKUP(C289,'Talente &amp; Stuff'!DO:EP,25,FALSE)</f>
        <v>0</v>
      </c>
      <c r="AB289" s="160">
        <f>VLOOKUP(C289,'Talente &amp; Stuff'!DO:EP,26,FALSE)</f>
        <v>0</v>
      </c>
      <c r="AC289" s="127">
        <f>VLOOKUP(C289,'Talente &amp; Stuff'!DO:EP,27,FALSE)</f>
        <v>0</v>
      </c>
      <c r="AD289" s="125">
        <f>VLOOKUP(C289,'Talente &amp; Stuff'!DO:EP,28,FALSE)</f>
        <v>0</v>
      </c>
      <c r="AE289" s="28"/>
    </row>
    <row r="290" spans="1:31" ht="15" hidden="1" customHeight="1" outlineLevel="2">
      <c r="B290" s="148">
        <v>30</v>
      </c>
      <c r="C290" s="163" t="str">
        <f>Attribute!C290</f>
        <v>---</v>
      </c>
      <c r="D290" s="125" t="str">
        <f>VLOOKUP(C290,'Talente &amp; Stuff'!DO:EP,2,FALSE)</f>
        <v>--/--/--</v>
      </c>
      <c r="E290" s="127" t="str">
        <f>VLOOKUP(C290,'Talente &amp; Stuff'!DO:EP,3,FALSE)</f>
        <v>-</v>
      </c>
      <c r="F290" s="114">
        <f>VLOOKUP(C290,'Talente &amp; Stuff'!DO:EP,4,FALSE)</f>
        <v>0</v>
      </c>
      <c r="G290" s="113">
        <f>VLOOKUP(C290,'Talente &amp; Stuff'!DO:EP,5,FALSE)</f>
        <v>0</v>
      </c>
      <c r="H290" s="113">
        <f>VLOOKUP(C290,'Talente &amp; Stuff'!DO:EP,6,FALSE)</f>
        <v>0</v>
      </c>
      <c r="I290" s="113">
        <f>VLOOKUP(C290,'Talente &amp; Stuff'!DO:EP,7,FALSE)</f>
        <v>0</v>
      </c>
      <c r="J290" s="113">
        <f>VLOOKUP(C290,'Talente &amp; Stuff'!DO:EP,8,FALSE)</f>
        <v>0</v>
      </c>
      <c r="K290" s="113">
        <f>VLOOKUP(C290,'Talente &amp; Stuff'!DO:EP,9,FALSE)</f>
        <v>0</v>
      </c>
      <c r="L290" s="113">
        <f>VLOOKUP(C290,'Talente &amp; Stuff'!DO:EP,10,FALSE)</f>
        <v>0</v>
      </c>
      <c r="M290" s="119">
        <f>VLOOKUP(C290,'Talente &amp; Stuff'!DO:EP,11,FALSE)</f>
        <v>0</v>
      </c>
      <c r="N290" s="47">
        <f>VLOOKUP(C290,'Talente &amp; Stuff'!DO:EP,12,FALSE)</f>
        <v>0</v>
      </c>
      <c r="O290" s="47">
        <f>VLOOKUP(C290,'Talente &amp; Stuff'!DO:EP,13,FALSE)</f>
        <v>0</v>
      </c>
      <c r="P290" s="119">
        <f>VLOOKUP(C290,'Talente &amp; Stuff'!DO:EP,14,FALSE)</f>
        <v>0</v>
      </c>
      <c r="Q290" s="114">
        <f>VLOOKUP(C290,'Talente &amp; Stuff'!DO:EP,15,FALSE)</f>
        <v>0</v>
      </c>
      <c r="R290" s="113">
        <f>VLOOKUP(C290,'Talente &amp; Stuff'!DO:EP,16,FALSE)</f>
        <v>0</v>
      </c>
      <c r="S290" s="119">
        <f>VLOOKUP(C290,'Talente &amp; Stuff'!DO:EP,17,FALSE)</f>
        <v>0</v>
      </c>
      <c r="T290" s="119">
        <f>VLOOKUP(C290,'Talente &amp; Stuff'!DO:EP,18,FALSE)</f>
        <v>0</v>
      </c>
      <c r="U290" s="89">
        <f>VLOOKUP(C290,'Talente &amp; Stuff'!DO:EP,19,FALSE)</f>
        <v>0</v>
      </c>
      <c r="V290" s="47">
        <f>VLOOKUP(C290,'Talente &amp; Stuff'!DO:EP,20,FALSE)</f>
        <v>0</v>
      </c>
      <c r="W290" s="127">
        <f>VLOOKUP(C290,'Talente &amp; Stuff'!DO:EP,21,FALSE)</f>
        <v>0</v>
      </c>
      <c r="X290" s="127">
        <f>VLOOKUP(C290,'Talente &amp; Stuff'!DO:EP,22,FALSE)</f>
        <v>0</v>
      </c>
      <c r="Y290" s="165">
        <f t="shared" si="22"/>
        <v>0</v>
      </c>
      <c r="Z290" s="44">
        <f t="shared" si="23"/>
        <v>0</v>
      </c>
      <c r="AA290" s="125">
        <f>VLOOKUP(C290,'Talente &amp; Stuff'!DO:EP,25,FALSE)</f>
        <v>0</v>
      </c>
      <c r="AB290" s="160">
        <f>VLOOKUP(C290,'Talente &amp; Stuff'!DO:EP,26,FALSE)</f>
        <v>0</v>
      </c>
      <c r="AC290" s="127">
        <f>VLOOKUP(C290,'Talente &amp; Stuff'!DO:EP,27,FALSE)</f>
        <v>0</v>
      </c>
      <c r="AD290" s="125">
        <f>VLOOKUP(C290,'Talente &amp; Stuff'!DO:EP,28,FALSE)</f>
        <v>0</v>
      </c>
      <c r="AE290" s="28"/>
    </row>
    <row r="291" spans="1:31" ht="15" hidden="1" customHeight="1" outlineLevel="2">
      <c r="B291" s="148">
        <v>31</v>
      </c>
      <c r="C291" s="163" t="str">
        <f>Attribute!C291</f>
        <v>---</v>
      </c>
      <c r="D291" s="125" t="str">
        <f>VLOOKUP(C291,'Talente &amp; Stuff'!DO:EP,2,FALSE)</f>
        <v>--/--/--</v>
      </c>
      <c r="E291" s="127" t="str">
        <f>VLOOKUP(C291,'Talente &amp; Stuff'!DO:EP,3,FALSE)</f>
        <v>-</v>
      </c>
      <c r="F291" s="114">
        <f>VLOOKUP(C291,'Talente &amp; Stuff'!DO:EP,4,FALSE)</f>
        <v>0</v>
      </c>
      <c r="G291" s="113">
        <f>VLOOKUP(C291,'Talente &amp; Stuff'!DO:EP,5,FALSE)</f>
        <v>0</v>
      </c>
      <c r="H291" s="113">
        <f>VLOOKUP(C291,'Talente &amp; Stuff'!DO:EP,6,FALSE)</f>
        <v>0</v>
      </c>
      <c r="I291" s="113">
        <f>VLOOKUP(C291,'Talente &amp; Stuff'!DO:EP,7,FALSE)</f>
        <v>0</v>
      </c>
      <c r="J291" s="113">
        <f>VLOOKUP(C291,'Talente &amp; Stuff'!DO:EP,8,FALSE)</f>
        <v>0</v>
      </c>
      <c r="K291" s="113">
        <f>VLOOKUP(C291,'Talente &amp; Stuff'!DO:EP,9,FALSE)</f>
        <v>0</v>
      </c>
      <c r="L291" s="113">
        <f>VLOOKUP(C291,'Talente &amp; Stuff'!DO:EP,10,FALSE)</f>
        <v>0</v>
      </c>
      <c r="M291" s="119">
        <f>VLOOKUP(C291,'Talente &amp; Stuff'!DO:EP,11,FALSE)</f>
        <v>0</v>
      </c>
      <c r="N291" s="47">
        <f>VLOOKUP(C291,'Talente &amp; Stuff'!DO:EP,12,FALSE)</f>
        <v>0</v>
      </c>
      <c r="O291" s="47">
        <f>VLOOKUP(C291,'Talente &amp; Stuff'!DO:EP,13,FALSE)</f>
        <v>0</v>
      </c>
      <c r="P291" s="119">
        <f>VLOOKUP(C291,'Talente &amp; Stuff'!DO:EP,14,FALSE)</f>
        <v>0</v>
      </c>
      <c r="Q291" s="114">
        <f>VLOOKUP(C291,'Talente &amp; Stuff'!DO:EP,15,FALSE)</f>
        <v>0</v>
      </c>
      <c r="R291" s="113">
        <f>VLOOKUP(C291,'Talente &amp; Stuff'!DO:EP,16,FALSE)</f>
        <v>0</v>
      </c>
      <c r="S291" s="119">
        <f>VLOOKUP(C291,'Talente &amp; Stuff'!DO:EP,17,FALSE)</f>
        <v>0</v>
      </c>
      <c r="T291" s="119">
        <f>VLOOKUP(C291,'Talente &amp; Stuff'!DO:EP,18,FALSE)</f>
        <v>0</v>
      </c>
      <c r="U291" s="89">
        <f>VLOOKUP(C291,'Talente &amp; Stuff'!DO:EP,19,FALSE)</f>
        <v>0</v>
      </c>
      <c r="V291" s="47">
        <f>VLOOKUP(C291,'Talente &amp; Stuff'!DO:EP,20,FALSE)</f>
        <v>0</v>
      </c>
      <c r="W291" s="127">
        <f>VLOOKUP(C291,'Talente &amp; Stuff'!DO:EP,21,FALSE)</f>
        <v>0</v>
      </c>
      <c r="X291" s="127">
        <f>VLOOKUP(C291,'Talente &amp; Stuff'!DO:EP,22,FALSE)</f>
        <v>0</v>
      </c>
      <c r="Y291" s="165">
        <f t="shared" si="22"/>
        <v>0</v>
      </c>
      <c r="Z291" s="44">
        <f t="shared" si="23"/>
        <v>0</v>
      </c>
      <c r="AA291" s="125">
        <f>VLOOKUP(C291,'Talente &amp; Stuff'!DO:EP,25,FALSE)</f>
        <v>0</v>
      </c>
      <c r="AB291" s="160">
        <f>VLOOKUP(C291,'Talente &amp; Stuff'!DO:EP,26,FALSE)</f>
        <v>0</v>
      </c>
      <c r="AC291" s="127">
        <f>VLOOKUP(C291,'Talente &amp; Stuff'!DO:EP,27,FALSE)</f>
        <v>0</v>
      </c>
      <c r="AD291" s="125">
        <f>VLOOKUP(C291,'Talente &amp; Stuff'!DO:EP,28,FALSE)</f>
        <v>0</v>
      </c>
      <c r="AE291" s="28"/>
    </row>
    <row r="292" spans="1:31" ht="15" hidden="1" customHeight="1" outlineLevel="2">
      <c r="B292" s="148">
        <v>32</v>
      </c>
      <c r="C292" s="163" t="str">
        <f>Attribute!C292</f>
        <v>---</v>
      </c>
      <c r="D292" s="125" t="str">
        <f>VLOOKUP(C292,'Talente &amp; Stuff'!DO:EP,2,FALSE)</f>
        <v>--/--/--</v>
      </c>
      <c r="E292" s="127" t="str">
        <f>VLOOKUP(C292,'Talente &amp; Stuff'!DO:EP,3,FALSE)</f>
        <v>-</v>
      </c>
      <c r="F292" s="114">
        <f>VLOOKUP(C292,'Talente &amp; Stuff'!DO:EP,4,FALSE)</f>
        <v>0</v>
      </c>
      <c r="G292" s="113">
        <f>VLOOKUP(C292,'Talente &amp; Stuff'!DO:EP,5,FALSE)</f>
        <v>0</v>
      </c>
      <c r="H292" s="113">
        <f>VLOOKUP(C292,'Talente &amp; Stuff'!DO:EP,6,FALSE)</f>
        <v>0</v>
      </c>
      <c r="I292" s="113">
        <f>VLOOKUP(C292,'Talente &amp; Stuff'!DO:EP,7,FALSE)</f>
        <v>0</v>
      </c>
      <c r="J292" s="113">
        <f>VLOOKUP(C292,'Talente &amp; Stuff'!DO:EP,8,FALSE)</f>
        <v>0</v>
      </c>
      <c r="K292" s="113">
        <f>VLOOKUP(C292,'Talente &amp; Stuff'!DO:EP,9,FALSE)</f>
        <v>0</v>
      </c>
      <c r="L292" s="113">
        <f>VLOOKUP(C292,'Talente &amp; Stuff'!DO:EP,10,FALSE)</f>
        <v>0</v>
      </c>
      <c r="M292" s="119">
        <f>VLOOKUP(C292,'Talente &amp; Stuff'!DO:EP,11,FALSE)</f>
        <v>0</v>
      </c>
      <c r="N292" s="47">
        <f>VLOOKUP(C292,'Talente &amp; Stuff'!DO:EP,12,FALSE)</f>
        <v>0</v>
      </c>
      <c r="O292" s="47">
        <f>VLOOKUP(C292,'Talente &amp; Stuff'!DO:EP,13,FALSE)</f>
        <v>0</v>
      </c>
      <c r="P292" s="119">
        <f>VLOOKUP(C292,'Talente &amp; Stuff'!DO:EP,14,FALSE)</f>
        <v>0</v>
      </c>
      <c r="Q292" s="114">
        <f>VLOOKUP(C292,'Talente &amp; Stuff'!DO:EP,15,FALSE)</f>
        <v>0</v>
      </c>
      <c r="R292" s="113">
        <f>VLOOKUP(C292,'Talente &amp; Stuff'!DO:EP,16,FALSE)</f>
        <v>0</v>
      </c>
      <c r="S292" s="119">
        <f>VLOOKUP(C292,'Talente &amp; Stuff'!DO:EP,17,FALSE)</f>
        <v>0</v>
      </c>
      <c r="T292" s="119">
        <f>VLOOKUP(C292,'Talente &amp; Stuff'!DO:EP,18,FALSE)</f>
        <v>0</v>
      </c>
      <c r="U292" s="89">
        <f>VLOOKUP(C292,'Talente &amp; Stuff'!DO:EP,19,FALSE)</f>
        <v>0</v>
      </c>
      <c r="V292" s="47">
        <f>VLOOKUP(C292,'Talente &amp; Stuff'!DO:EP,20,FALSE)</f>
        <v>0</v>
      </c>
      <c r="W292" s="127">
        <f>VLOOKUP(C292,'Talente &amp; Stuff'!DO:EP,21,FALSE)</f>
        <v>0</v>
      </c>
      <c r="X292" s="127">
        <f>VLOOKUP(C292,'Talente &amp; Stuff'!DO:EP,22,FALSE)</f>
        <v>0</v>
      </c>
      <c r="Y292" s="165">
        <f t="shared" si="22"/>
        <v>0</v>
      </c>
      <c r="Z292" s="44">
        <f t="shared" si="23"/>
        <v>0</v>
      </c>
      <c r="AA292" s="125">
        <f>VLOOKUP(C292,'Talente &amp; Stuff'!DO:EP,25,FALSE)</f>
        <v>0</v>
      </c>
      <c r="AB292" s="160">
        <f>VLOOKUP(C292,'Talente &amp; Stuff'!DO:EP,26,FALSE)</f>
        <v>0</v>
      </c>
      <c r="AC292" s="127">
        <f>VLOOKUP(C292,'Talente &amp; Stuff'!DO:EP,27,FALSE)</f>
        <v>0</v>
      </c>
      <c r="AD292" s="125">
        <f>VLOOKUP(C292,'Talente &amp; Stuff'!DO:EP,28,FALSE)</f>
        <v>0</v>
      </c>
      <c r="AE292" s="28"/>
    </row>
    <row r="293" spans="1:31" ht="15" hidden="1" customHeight="1" outlineLevel="2">
      <c r="B293" s="148">
        <v>33</v>
      </c>
      <c r="C293" s="163" t="str">
        <f>Attribute!C293</f>
        <v>---</v>
      </c>
      <c r="D293" s="125" t="str">
        <f>VLOOKUP(C293,'Talente &amp; Stuff'!DO:EP,2,FALSE)</f>
        <v>--/--/--</v>
      </c>
      <c r="E293" s="127" t="str">
        <f>VLOOKUP(C293,'Talente &amp; Stuff'!DO:EP,3,FALSE)</f>
        <v>-</v>
      </c>
      <c r="F293" s="114">
        <f>VLOOKUP(C293,'Talente &amp; Stuff'!DO:EP,4,FALSE)</f>
        <v>0</v>
      </c>
      <c r="G293" s="113">
        <f>VLOOKUP(C293,'Talente &amp; Stuff'!DO:EP,5,FALSE)</f>
        <v>0</v>
      </c>
      <c r="H293" s="113">
        <f>VLOOKUP(C293,'Talente &amp; Stuff'!DO:EP,6,FALSE)</f>
        <v>0</v>
      </c>
      <c r="I293" s="113">
        <f>VLOOKUP(C293,'Talente &amp; Stuff'!DO:EP,7,FALSE)</f>
        <v>0</v>
      </c>
      <c r="J293" s="113">
        <f>VLOOKUP(C293,'Talente &amp; Stuff'!DO:EP,8,FALSE)</f>
        <v>0</v>
      </c>
      <c r="K293" s="113">
        <f>VLOOKUP(C293,'Talente &amp; Stuff'!DO:EP,9,FALSE)</f>
        <v>0</v>
      </c>
      <c r="L293" s="113">
        <f>VLOOKUP(C293,'Talente &amp; Stuff'!DO:EP,10,FALSE)</f>
        <v>0</v>
      </c>
      <c r="M293" s="119">
        <f>VLOOKUP(C293,'Talente &amp; Stuff'!DO:EP,11,FALSE)</f>
        <v>0</v>
      </c>
      <c r="N293" s="47">
        <f>VLOOKUP(C293,'Talente &amp; Stuff'!DO:EP,12,FALSE)</f>
        <v>0</v>
      </c>
      <c r="O293" s="47">
        <f>VLOOKUP(C293,'Talente &amp; Stuff'!DO:EP,13,FALSE)</f>
        <v>0</v>
      </c>
      <c r="P293" s="119">
        <f>VLOOKUP(C293,'Talente &amp; Stuff'!DO:EP,14,FALSE)</f>
        <v>0</v>
      </c>
      <c r="Q293" s="114">
        <f>VLOOKUP(C293,'Talente &amp; Stuff'!DO:EP,15,FALSE)</f>
        <v>0</v>
      </c>
      <c r="R293" s="113">
        <f>VLOOKUP(C293,'Talente &amp; Stuff'!DO:EP,16,FALSE)</f>
        <v>0</v>
      </c>
      <c r="S293" s="119">
        <f>VLOOKUP(C293,'Talente &amp; Stuff'!DO:EP,17,FALSE)</f>
        <v>0</v>
      </c>
      <c r="T293" s="119">
        <f>VLOOKUP(C293,'Talente &amp; Stuff'!DO:EP,18,FALSE)</f>
        <v>0</v>
      </c>
      <c r="U293" s="89">
        <f>VLOOKUP(C293,'Talente &amp; Stuff'!DO:EP,19,FALSE)</f>
        <v>0</v>
      </c>
      <c r="V293" s="47">
        <f>VLOOKUP(C293,'Talente &amp; Stuff'!DO:EP,20,FALSE)</f>
        <v>0</v>
      </c>
      <c r="W293" s="127">
        <f>VLOOKUP(C293,'Talente &amp; Stuff'!DO:EP,21,FALSE)</f>
        <v>0</v>
      </c>
      <c r="X293" s="127">
        <f>VLOOKUP(C293,'Talente &amp; Stuff'!DO:EP,22,FALSE)</f>
        <v>0</v>
      </c>
      <c r="Y293" s="165">
        <f t="shared" si="22"/>
        <v>0</v>
      </c>
      <c r="Z293" s="44">
        <f t="shared" si="23"/>
        <v>0</v>
      </c>
      <c r="AA293" s="125">
        <f>VLOOKUP(C293,'Talente &amp; Stuff'!DO:EP,25,FALSE)</f>
        <v>0</v>
      </c>
      <c r="AB293" s="160">
        <f>VLOOKUP(C293,'Talente &amp; Stuff'!DO:EP,26,FALSE)</f>
        <v>0</v>
      </c>
      <c r="AC293" s="127">
        <f>VLOOKUP(C293,'Talente &amp; Stuff'!DO:EP,27,FALSE)</f>
        <v>0</v>
      </c>
      <c r="AD293" s="125">
        <f>VLOOKUP(C293,'Talente &amp; Stuff'!DO:EP,28,FALSE)</f>
        <v>0</v>
      </c>
      <c r="AE293" s="28"/>
    </row>
    <row r="294" spans="1:31" ht="15" hidden="1" customHeight="1" outlineLevel="2">
      <c r="B294" s="148">
        <v>34</v>
      </c>
      <c r="C294" s="163" t="str">
        <f>Attribute!C294</f>
        <v>---</v>
      </c>
      <c r="D294" s="125" t="str">
        <f>VLOOKUP(C294,'Talente &amp; Stuff'!DO:EP,2,FALSE)</f>
        <v>--/--/--</v>
      </c>
      <c r="E294" s="127" t="str">
        <f>VLOOKUP(C294,'Talente &amp; Stuff'!DO:EP,3,FALSE)</f>
        <v>-</v>
      </c>
      <c r="F294" s="114">
        <f>VLOOKUP(C294,'Talente &amp; Stuff'!DO:EP,4,FALSE)</f>
        <v>0</v>
      </c>
      <c r="G294" s="113">
        <f>VLOOKUP(C294,'Talente &amp; Stuff'!DO:EP,5,FALSE)</f>
        <v>0</v>
      </c>
      <c r="H294" s="113">
        <f>VLOOKUP(C294,'Talente &amp; Stuff'!DO:EP,6,FALSE)</f>
        <v>0</v>
      </c>
      <c r="I294" s="113">
        <f>VLOOKUP(C294,'Talente &amp; Stuff'!DO:EP,7,FALSE)</f>
        <v>0</v>
      </c>
      <c r="J294" s="113">
        <f>VLOOKUP(C294,'Talente &amp; Stuff'!DO:EP,8,FALSE)</f>
        <v>0</v>
      </c>
      <c r="K294" s="113">
        <f>VLOOKUP(C294,'Talente &amp; Stuff'!DO:EP,9,FALSE)</f>
        <v>0</v>
      </c>
      <c r="L294" s="113">
        <f>VLOOKUP(C294,'Talente &amp; Stuff'!DO:EP,10,FALSE)</f>
        <v>0</v>
      </c>
      <c r="M294" s="119">
        <f>VLOOKUP(C294,'Talente &amp; Stuff'!DO:EP,11,FALSE)</f>
        <v>0</v>
      </c>
      <c r="N294" s="47">
        <f>VLOOKUP(C294,'Talente &amp; Stuff'!DO:EP,12,FALSE)</f>
        <v>0</v>
      </c>
      <c r="O294" s="47">
        <f>VLOOKUP(C294,'Talente &amp; Stuff'!DO:EP,13,FALSE)</f>
        <v>0</v>
      </c>
      <c r="P294" s="119">
        <f>VLOOKUP(C294,'Talente &amp; Stuff'!DO:EP,14,FALSE)</f>
        <v>0</v>
      </c>
      <c r="Q294" s="114">
        <f>VLOOKUP(C294,'Talente &amp; Stuff'!DO:EP,15,FALSE)</f>
        <v>0</v>
      </c>
      <c r="R294" s="113">
        <f>VLOOKUP(C294,'Talente &amp; Stuff'!DO:EP,16,FALSE)</f>
        <v>0</v>
      </c>
      <c r="S294" s="119">
        <f>VLOOKUP(C294,'Talente &amp; Stuff'!DO:EP,17,FALSE)</f>
        <v>0</v>
      </c>
      <c r="T294" s="119">
        <f>VLOOKUP(C294,'Talente &amp; Stuff'!DO:EP,18,FALSE)</f>
        <v>0</v>
      </c>
      <c r="U294" s="89">
        <f>VLOOKUP(C294,'Talente &amp; Stuff'!DO:EP,19,FALSE)</f>
        <v>0</v>
      </c>
      <c r="V294" s="47">
        <f>VLOOKUP(C294,'Talente &amp; Stuff'!DO:EP,20,FALSE)</f>
        <v>0</v>
      </c>
      <c r="W294" s="127">
        <f>VLOOKUP(C294,'Talente &amp; Stuff'!DO:EP,21,FALSE)</f>
        <v>0</v>
      </c>
      <c r="X294" s="127">
        <f>VLOOKUP(C294,'Talente &amp; Stuff'!DO:EP,22,FALSE)</f>
        <v>0</v>
      </c>
      <c r="Y294" s="165">
        <f t="shared" si="22"/>
        <v>0</v>
      </c>
      <c r="Z294" s="44">
        <f t="shared" si="23"/>
        <v>0</v>
      </c>
      <c r="AA294" s="125">
        <f>VLOOKUP(C294,'Talente &amp; Stuff'!DO:EP,25,FALSE)</f>
        <v>0</v>
      </c>
      <c r="AB294" s="160">
        <f>VLOOKUP(C294,'Talente &amp; Stuff'!DO:EP,26,FALSE)</f>
        <v>0</v>
      </c>
      <c r="AC294" s="127">
        <f>VLOOKUP(C294,'Talente &amp; Stuff'!DO:EP,27,FALSE)</f>
        <v>0</v>
      </c>
      <c r="AD294" s="125">
        <f>VLOOKUP(C294,'Talente &amp; Stuff'!DO:EP,28,FALSE)</f>
        <v>0</v>
      </c>
      <c r="AE294" s="28"/>
    </row>
    <row r="295" spans="1:31" ht="15" hidden="1" customHeight="1" outlineLevel="2">
      <c r="B295" s="148">
        <v>35</v>
      </c>
      <c r="C295" s="163" t="str">
        <f>Attribute!C295</f>
        <v>---</v>
      </c>
      <c r="D295" s="125" t="str">
        <f>VLOOKUP(C295,'Talente &amp; Stuff'!DO:EP,2,FALSE)</f>
        <v>--/--/--</v>
      </c>
      <c r="E295" s="127" t="str">
        <f>VLOOKUP(C295,'Talente &amp; Stuff'!DO:EP,3,FALSE)</f>
        <v>-</v>
      </c>
      <c r="F295" s="114">
        <f>VLOOKUP(C295,'Talente &amp; Stuff'!DO:EP,4,FALSE)</f>
        <v>0</v>
      </c>
      <c r="G295" s="113">
        <f>VLOOKUP(C295,'Talente &amp; Stuff'!DO:EP,5,FALSE)</f>
        <v>0</v>
      </c>
      <c r="H295" s="113">
        <f>VLOOKUP(C295,'Talente &amp; Stuff'!DO:EP,6,FALSE)</f>
        <v>0</v>
      </c>
      <c r="I295" s="113">
        <f>VLOOKUP(C295,'Talente &amp; Stuff'!DO:EP,7,FALSE)</f>
        <v>0</v>
      </c>
      <c r="J295" s="113">
        <f>VLOOKUP(C295,'Talente &amp; Stuff'!DO:EP,8,FALSE)</f>
        <v>0</v>
      </c>
      <c r="K295" s="113">
        <f>VLOOKUP(C295,'Talente &amp; Stuff'!DO:EP,9,FALSE)</f>
        <v>0</v>
      </c>
      <c r="L295" s="113">
        <f>VLOOKUP(C295,'Talente &amp; Stuff'!DO:EP,10,FALSE)</f>
        <v>0</v>
      </c>
      <c r="M295" s="119">
        <f>VLOOKUP(C295,'Talente &amp; Stuff'!DO:EP,11,FALSE)</f>
        <v>0</v>
      </c>
      <c r="N295" s="47">
        <f>VLOOKUP(C295,'Talente &amp; Stuff'!DO:EP,12,FALSE)</f>
        <v>0</v>
      </c>
      <c r="O295" s="47">
        <f>VLOOKUP(C295,'Talente &amp; Stuff'!DO:EP,13,FALSE)</f>
        <v>0</v>
      </c>
      <c r="P295" s="119">
        <f>VLOOKUP(C295,'Talente &amp; Stuff'!DO:EP,14,FALSE)</f>
        <v>0</v>
      </c>
      <c r="Q295" s="114">
        <f>VLOOKUP(C295,'Talente &amp; Stuff'!DO:EP,15,FALSE)</f>
        <v>0</v>
      </c>
      <c r="R295" s="113">
        <f>VLOOKUP(C295,'Talente &amp; Stuff'!DO:EP,16,FALSE)</f>
        <v>0</v>
      </c>
      <c r="S295" s="119">
        <f>VLOOKUP(C295,'Talente &amp; Stuff'!DO:EP,17,FALSE)</f>
        <v>0</v>
      </c>
      <c r="T295" s="119">
        <f>VLOOKUP(C295,'Talente &amp; Stuff'!DO:EP,18,FALSE)</f>
        <v>0</v>
      </c>
      <c r="U295" s="89">
        <f>VLOOKUP(C295,'Talente &amp; Stuff'!DO:EP,19,FALSE)</f>
        <v>0</v>
      </c>
      <c r="V295" s="47">
        <f>VLOOKUP(C295,'Talente &amp; Stuff'!DO:EP,20,FALSE)</f>
        <v>0</v>
      </c>
      <c r="W295" s="127">
        <f>VLOOKUP(C295,'Talente &amp; Stuff'!DO:EP,21,FALSE)</f>
        <v>0</v>
      </c>
      <c r="X295" s="127">
        <f>VLOOKUP(C295,'Talente &amp; Stuff'!DO:EP,22,FALSE)</f>
        <v>0</v>
      </c>
      <c r="Y295" s="165">
        <f t="shared" si="22"/>
        <v>0</v>
      </c>
      <c r="Z295" s="44">
        <f t="shared" si="23"/>
        <v>0</v>
      </c>
      <c r="AA295" s="125">
        <f>VLOOKUP(C295,'Talente &amp; Stuff'!DO:EP,25,FALSE)</f>
        <v>0</v>
      </c>
      <c r="AB295" s="160">
        <f>VLOOKUP(C295,'Talente &amp; Stuff'!DO:EP,26,FALSE)</f>
        <v>0</v>
      </c>
      <c r="AC295" s="127">
        <f>VLOOKUP(C295,'Talente &amp; Stuff'!DO:EP,27,FALSE)</f>
        <v>0</v>
      </c>
      <c r="AD295" s="125">
        <f>VLOOKUP(C295,'Talente &amp; Stuff'!DO:EP,28,FALSE)</f>
        <v>0</v>
      </c>
      <c r="AE295" s="28"/>
    </row>
    <row r="296" spans="1:31" ht="15" hidden="1" customHeight="1" outlineLevel="2">
      <c r="B296" s="148">
        <v>36</v>
      </c>
      <c r="C296" s="164" t="str">
        <f>Attribute!C296</f>
        <v>---</v>
      </c>
      <c r="D296" s="159" t="str">
        <f>VLOOKUP(C296,'Talente &amp; Stuff'!DO:EP,2,FALSE)</f>
        <v>--/--/--</v>
      </c>
      <c r="E296" s="128" t="str">
        <f>VLOOKUP(C296,'Talente &amp; Stuff'!DO:EP,3,FALSE)</f>
        <v>-</v>
      </c>
      <c r="F296" s="115">
        <f>VLOOKUP(C296,'Talente &amp; Stuff'!DO:EP,4,FALSE)</f>
        <v>0</v>
      </c>
      <c r="G296" s="122">
        <f>VLOOKUP(C296,'Talente &amp; Stuff'!DO:EP,5,FALSE)</f>
        <v>0</v>
      </c>
      <c r="H296" s="122">
        <f>VLOOKUP(C296,'Talente &amp; Stuff'!DO:EP,6,FALSE)</f>
        <v>0</v>
      </c>
      <c r="I296" s="122">
        <f>VLOOKUP(C296,'Talente &amp; Stuff'!DO:EP,7,FALSE)</f>
        <v>0</v>
      </c>
      <c r="J296" s="122">
        <f>VLOOKUP(C296,'Talente &amp; Stuff'!DO:EP,8,FALSE)</f>
        <v>0</v>
      </c>
      <c r="K296" s="122">
        <f>VLOOKUP(C296,'Talente &amp; Stuff'!DO:EP,9,FALSE)</f>
        <v>0</v>
      </c>
      <c r="L296" s="122">
        <f>VLOOKUP(C296,'Talente &amp; Stuff'!DO:EP,10,FALSE)</f>
        <v>0</v>
      </c>
      <c r="M296" s="123">
        <f>VLOOKUP(C296,'Talente &amp; Stuff'!DO:EP,11,FALSE)</f>
        <v>0</v>
      </c>
      <c r="N296" s="88">
        <f>VLOOKUP(C296,'Talente &amp; Stuff'!DO:EP,12,FALSE)</f>
        <v>0</v>
      </c>
      <c r="O296" s="88">
        <f>VLOOKUP(C296,'Talente &amp; Stuff'!DO:EP,13,FALSE)</f>
        <v>0</v>
      </c>
      <c r="P296" s="123">
        <f>VLOOKUP(C296,'Talente &amp; Stuff'!DO:EP,14,FALSE)</f>
        <v>0</v>
      </c>
      <c r="Q296" s="115">
        <f>VLOOKUP(C296,'Talente &amp; Stuff'!DO:EP,15,FALSE)</f>
        <v>0</v>
      </c>
      <c r="R296" s="122">
        <f>VLOOKUP(C296,'Talente &amp; Stuff'!DO:EP,16,FALSE)</f>
        <v>0</v>
      </c>
      <c r="S296" s="123">
        <f>VLOOKUP(C296,'Talente &amp; Stuff'!DO:EP,17,FALSE)</f>
        <v>0</v>
      </c>
      <c r="T296" s="123">
        <f>VLOOKUP(C296,'Talente &amp; Stuff'!DO:EP,18,FALSE)</f>
        <v>0</v>
      </c>
      <c r="U296" s="90">
        <f>VLOOKUP(C296,'Talente &amp; Stuff'!DO:EP,19,FALSE)</f>
        <v>0</v>
      </c>
      <c r="V296" s="88">
        <f>VLOOKUP(C296,'Talente &amp; Stuff'!DO:EP,20,FALSE)</f>
        <v>0</v>
      </c>
      <c r="W296" s="128">
        <f>VLOOKUP(C296,'Talente &amp; Stuff'!DO:EP,21,FALSE)</f>
        <v>0</v>
      </c>
      <c r="X296" s="128">
        <f>VLOOKUP(C296,'Talente &amp; Stuff'!DO:EP,22,FALSE)</f>
        <v>0</v>
      </c>
      <c r="Y296" s="165">
        <f t="shared" si="22"/>
        <v>0</v>
      </c>
      <c r="Z296" s="44">
        <f t="shared" si="23"/>
        <v>0</v>
      </c>
      <c r="AA296" s="159">
        <f>VLOOKUP(C296,'Talente &amp; Stuff'!DO:EP,25,FALSE)</f>
        <v>0</v>
      </c>
      <c r="AB296" s="161">
        <f>VLOOKUP(C296,'Talente &amp; Stuff'!DO:EP,26,FALSE)</f>
        <v>0</v>
      </c>
      <c r="AC296" s="128">
        <f>VLOOKUP(C296,'Talente &amp; Stuff'!DO:EP,27,FALSE)</f>
        <v>0</v>
      </c>
      <c r="AD296" s="159">
        <f>VLOOKUP(C296,'Talente &amp; Stuff'!DO:EP,28,FALSE)</f>
        <v>0</v>
      </c>
      <c r="AE296" s="28"/>
    </row>
    <row r="297" spans="1:31" s="217" customFormat="1" hidden="1" outlineLevel="1" collapsed="1">
      <c r="A297" s="185"/>
      <c r="B297" s="216" t="s">
        <v>445</v>
      </c>
      <c r="C297" s="307"/>
      <c r="D297" s="308"/>
      <c r="E297" s="308"/>
      <c r="Y297" s="251"/>
      <c r="Z297" s="251"/>
    </row>
    <row r="298" spans="1:31" s="217" customFormat="1" hidden="1" outlineLevel="2">
      <c r="A298" s="185"/>
      <c r="B298" s="217">
        <v>1</v>
      </c>
      <c r="C298" s="302" t="str">
        <f>Attribute!C298</f>
        <v>---</v>
      </c>
      <c r="D298" s="42" t="str">
        <f>VLOOKUP(C298,'Talente &amp; Stuff'!DO:EP,2,FALSE)</f>
        <v>--/--/--</v>
      </c>
      <c r="E298" s="241" t="str">
        <f>VLOOKUP(C298,'Talente &amp; Stuff'!DO:EP,3,FALSE)</f>
        <v>-</v>
      </c>
      <c r="F298" s="236">
        <f>VLOOKUP(C298,'Talente &amp; Stuff'!DO:EP,4,FALSE)</f>
        <v>0</v>
      </c>
      <c r="G298" s="233">
        <f>VLOOKUP(C298,'Talente &amp; Stuff'!DO:EP,5,FALSE)</f>
        <v>0</v>
      </c>
      <c r="H298" s="233">
        <f>VLOOKUP(C298,'Talente &amp; Stuff'!DO:EP,6,FALSE)</f>
        <v>0</v>
      </c>
      <c r="I298" s="233">
        <f>VLOOKUP(C298,'Talente &amp; Stuff'!DO:EP,7,FALSE)</f>
        <v>0</v>
      </c>
      <c r="J298" s="233">
        <f>VLOOKUP(C298,'Talente &amp; Stuff'!DO:EP,8,FALSE)</f>
        <v>0</v>
      </c>
      <c r="K298" s="233">
        <f>VLOOKUP(C298,'Talente &amp; Stuff'!DO:EP,9,FALSE)</f>
        <v>0</v>
      </c>
      <c r="L298" s="233">
        <f>VLOOKUP(C298,'Talente &amp; Stuff'!DO:EP,10,FALSE)</f>
        <v>0</v>
      </c>
      <c r="M298" s="221">
        <f>VLOOKUP(C298,'Talente &amp; Stuff'!DO:EP,11,FALSE)</f>
        <v>0</v>
      </c>
      <c r="N298" s="220">
        <f>VLOOKUP(C298,'Talente &amp; Stuff'!DO:EP,12,FALSE)</f>
        <v>0</v>
      </c>
      <c r="O298" s="220">
        <f>VLOOKUP(C298,'Talente &amp; Stuff'!DO:EP,13,FALSE)</f>
        <v>0</v>
      </c>
      <c r="P298" s="221">
        <f>VLOOKUP(C298,'Talente &amp; Stuff'!DO:EP,14,FALSE)</f>
        <v>0</v>
      </c>
      <c r="Q298" s="236">
        <f>VLOOKUP(C298,'Talente &amp; Stuff'!DO:EP,15,FALSE)</f>
        <v>0</v>
      </c>
      <c r="R298" s="233">
        <f>VLOOKUP(C298,'Talente &amp; Stuff'!DO:EP,16,FALSE)</f>
        <v>0</v>
      </c>
      <c r="S298" s="221">
        <f>VLOOKUP(C298,'Talente &amp; Stuff'!DO:EP,17,FALSE)</f>
        <v>0</v>
      </c>
      <c r="T298" s="221">
        <f>VLOOKUP(C298,'Talente &amp; Stuff'!DO:EP,18,FALSE)</f>
        <v>0</v>
      </c>
      <c r="U298" s="219">
        <f>VLOOKUP(C298,'Talente &amp; Stuff'!DO:EP,19,FALSE)</f>
        <v>0</v>
      </c>
      <c r="V298" s="220">
        <f>VLOOKUP(C298,'Talente &amp; Stuff'!DO:EP,20,FALSE)</f>
        <v>0</v>
      </c>
      <c r="W298" s="241">
        <f>VLOOKUP(C298,'Talente &amp; Stuff'!DO:EP,21,FALSE)</f>
        <v>0</v>
      </c>
      <c r="X298" s="241">
        <f>VLOOKUP(C298,'Talente &amp; Stuff'!DO:EP,22,FALSE)</f>
        <v>0</v>
      </c>
      <c r="Y298" s="252">
        <f>VLOOKUP(C298,Ausgewählte_Zauber_Zauberbarden,139,FALSE)</f>
        <v>0</v>
      </c>
      <c r="Z298" s="309">
        <f>VLOOKUP(C298,Ausgewählte_Zauber_Zauberbarden,140,FALSE)</f>
        <v>0</v>
      </c>
      <c r="AA298" s="42">
        <f>VLOOKUP(C298,'Talente &amp; Stuff'!DO:EP,25,FALSE)</f>
        <v>0</v>
      </c>
      <c r="AB298" s="78">
        <f>VLOOKUP(C298,'Talente &amp; Stuff'!DO:EP,26,FALSE)</f>
        <v>0</v>
      </c>
      <c r="AC298" s="241">
        <f>VLOOKUP(C298,'Talente &amp; Stuff'!DO:EP,27,FALSE)</f>
        <v>0</v>
      </c>
      <c r="AD298" s="42">
        <f>VLOOKUP(C298,'Talente &amp; Stuff'!DO:EP,28,FALSE)</f>
        <v>0</v>
      </c>
      <c r="AE298" s="343"/>
    </row>
    <row r="299" spans="1:31" s="217" customFormat="1" hidden="1" outlineLevel="2">
      <c r="A299" s="185"/>
      <c r="B299" s="217">
        <v>2</v>
      </c>
      <c r="C299" s="303" t="str">
        <f>Attribute!C299</f>
        <v>---</v>
      </c>
      <c r="D299" s="218" t="str">
        <f>VLOOKUP(C299,'Talente &amp; Stuff'!DO:EP,2,FALSE)</f>
        <v>--/--/--</v>
      </c>
      <c r="E299" s="243" t="str">
        <f>VLOOKUP(C299,'Talente &amp; Stuff'!DO:EP,3,FALSE)</f>
        <v>-</v>
      </c>
      <c r="F299" s="237">
        <f>VLOOKUP(C299,'Talente &amp; Stuff'!DO:EP,4,FALSE)</f>
        <v>0</v>
      </c>
      <c r="G299" s="234">
        <f>VLOOKUP(C299,'Talente &amp; Stuff'!DO:EP,5,FALSE)</f>
        <v>0</v>
      </c>
      <c r="H299" s="234">
        <f>VLOOKUP(C299,'Talente &amp; Stuff'!DO:EP,6,FALSE)</f>
        <v>0</v>
      </c>
      <c r="I299" s="234">
        <f>VLOOKUP(C299,'Talente &amp; Stuff'!DO:EP,7,FALSE)</f>
        <v>0</v>
      </c>
      <c r="J299" s="234">
        <f>VLOOKUP(C299,'Talente &amp; Stuff'!DO:EP,8,FALSE)</f>
        <v>0</v>
      </c>
      <c r="K299" s="234">
        <f>VLOOKUP(C299,'Talente &amp; Stuff'!DO:EP,9,FALSE)</f>
        <v>0</v>
      </c>
      <c r="L299" s="234">
        <f>VLOOKUP(C299,'Talente &amp; Stuff'!DO:EP,10,FALSE)</f>
        <v>0</v>
      </c>
      <c r="M299" s="224">
        <f>VLOOKUP(C299,'Talente &amp; Stuff'!DO:EP,11,FALSE)</f>
        <v>0</v>
      </c>
      <c r="N299" s="223">
        <f>VLOOKUP(C299,'Talente &amp; Stuff'!DO:EP,12,FALSE)</f>
        <v>0</v>
      </c>
      <c r="O299" s="223">
        <f>VLOOKUP(C299,'Talente &amp; Stuff'!DO:EP,13,FALSE)</f>
        <v>0</v>
      </c>
      <c r="P299" s="224">
        <f>VLOOKUP(C299,'Talente &amp; Stuff'!DO:EP,14,FALSE)</f>
        <v>0</v>
      </c>
      <c r="Q299" s="237">
        <f>VLOOKUP(C299,'Talente &amp; Stuff'!DO:EP,15,FALSE)</f>
        <v>0</v>
      </c>
      <c r="R299" s="234">
        <f>VLOOKUP(C299,'Talente &amp; Stuff'!DO:EP,16,FALSE)</f>
        <v>0</v>
      </c>
      <c r="S299" s="224">
        <f>VLOOKUP(C299,'Talente &amp; Stuff'!DO:EP,17,FALSE)</f>
        <v>0</v>
      </c>
      <c r="T299" s="224">
        <f>VLOOKUP(C299,'Talente &amp; Stuff'!DO:EP,18,FALSE)</f>
        <v>0</v>
      </c>
      <c r="U299" s="222">
        <f>VLOOKUP(C299,'Talente &amp; Stuff'!DO:EP,19,FALSE)</f>
        <v>0</v>
      </c>
      <c r="V299" s="223">
        <f>VLOOKUP(C299,'Talente &amp; Stuff'!DO:EP,20,FALSE)</f>
        <v>0</v>
      </c>
      <c r="W299" s="243">
        <f>VLOOKUP(C299,'Talente &amp; Stuff'!DO:EP,21,FALSE)</f>
        <v>0</v>
      </c>
      <c r="X299" s="243">
        <f>VLOOKUP(C299,'Talente &amp; Stuff'!DO:EP,22,FALSE)</f>
        <v>0</v>
      </c>
      <c r="Y299" s="252">
        <f>VLOOKUP(C299,Ausgewählte_Zauber_Zauberbarden,139,FALSE)</f>
        <v>0</v>
      </c>
      <c r="Z299" s="309">
        <f>VLOOKUP(C299,Ausgewählte_Zauber_Zauberbarden,140,FALSE)</f>
        <v>0</v>
      </c>
      <c r="AA299" s="218">
        <f>VLOOKUP(C299,'Talente &amp; Stuff'!DO:EP,25,FALSE)</f>
        <v>0</v>
      </c>
      <c r="AB299" s="242">
        <f>VLOOKUP(C299,'Talente &amp; Stuff'!DO:EP,26,FALSE)</f>
        <v>0</v>
      </c>
      <c r="AC299" s="243">
        <f>VLOOKUP(C299,'Talente &amp; Stuff'!DO:EP,27,FALSE)</f>
        <v>0</v>
      </c>
      <c r="AD299" s="218">
        <f>VLOOKUP(C299,'Talente &amp; Stuff'!DO:EP,28,FALSE)</f>
        <v>0</v>
      </c>
      <c r="AE299" s="343"/>
    </row>
    <row r="300" spans="1:31" s="217" customFormat="1" hidden="1" outlineLevel="2">
      <c r="A300" s="185"/>
      <c r="B300" s="217">
        <v>3</v>
      </c>
      <c r="C300" s="303" t="str">
        <f>Attribute!C300</f>
        <v>---</v>
      </c>
      <c r="D300" s="218" t="str">
        <f>VLOOKUP(C300,'Talente &amp; Stuff'!DO:EP,2,FALSE)</f>
        <v>--/--/--</v>
      </c>
      <c r="E300" s="243" t="str">
        <f>VLOOKUP(C300,'Talente &amp; Stuff'!DO:EP,3,FALSE)</f>
        <v>-</v>
      </c>
      <c r="F300" s="237">
        <f>VLOOKUP(C300,'Talente &amp; Stuff'!DO:EP,4,FALSE)</f>
        <v>0</v>
      </c>
      <c r="G300" s="234">
        <f>VLOOKUP(C300,'Talente &amp; Stuff'!DO:EP,5,FALSE)</f>
        <v>0</v>
      </c>
      <c r="H300" s="234">
        <f>VLOOKUP(C300,'Talente &amp; Stuff'!DO:EP,6,FALSE)</f>
        <v>0</v>
      </c>
      <c r="I300" s="234">
        <f>VLOOKUP(C300,'Talente &amp; Stuff'!DO:EP,7,FALSE)</f>
        <v>0</v>
      </c>
      <c r="J300" s="234">
        <f>VLOOKUP(C300,'Talente &amp; Stuff'!DO:EP,8,FALSE)</f>
        <v>0</v>
      </c>
      <c r="K300" s="234">
        <f>VLOOKUP(C300,'Talente &amp; Stuff'!DO:EP,9,FALSE)</f>
        <v>0</v>
      </c>
      <c r="L300" s="234">
        <f>VLOOKUP(C300,'Talente &amp; Stuff'!DO:EP,10,FALSE)</f>
        <v>0</v>
      </c>
      <c r="M300" s="224">
        <f>VLOOKUP(C300,'Talente &amp; Stuff'!DO:EP,11,FALSE)</f>
        <v>0</v>
      </c>
      <c r="N300" s="223">
        <f>VLOOKUP(C300,'Talente &amp; Stuff'!DO:EP,12,FALSE)</f>
        <v>0</v>
      </c>
      <c r="O300" s="223">
        <f>VLOOKUP(C300,'Talente &amp; Stuff'!DO:EP,13,FALSE)</f>
        <v>0</v>
      </c>
      <c r="P300" s="224">
        <f>VLOOKUP(C300,'Talente &amp; Stuff'!DO:EP,14,FALSE)</f>
        <v>0</v>
      </c>
      <c r="Q300" s="237">
        <f>VLOOKUP(C300,'Talente &amp; Stuff'!DO:EP,15,FALSE)</f>
        <v>0</v>
      </c>
      <c r="R300" s="234">
        <f>VLOOKUP(C300,'Talente &amp; Stuff'!DO:EP,16,FALSE)</f>
        <v>0</v>
      </c>
      <c r="S300" s="224">
        <f>VLOOKUP(C300,'Talente &amp; Stuff'!DO:EP,17,FALSE)</f>
        <v>0</v>
      </c>
      <c r="T300" s="224">
        <f>VLOOKUP(C300,'Talente &amp; Stuff'!DO:EP,18,FALSE)</f>
        <v>0</v>
      </c>
      <c r="U300" s="222">
        <f>VLOOKUP(C300,'Talente &amp; Stuff'!DO:EP,19,FALSE)</f>
        <v>0</v>
      </c>
      <c r="V300" s="223">
        <f>VLOOKUP(C300,'Talente &amp; Stuff'!DO:EP,20,FALSE)</f>
        <v>0</v>
      </c>
      <c r="W300" s="243">
        <f>VLOOKUP(C300,'Talente &amp; Stuff'!DO:EP,21,FALSE)</f>
        <v>0</v>
      </c>
      <c r="X300" s="243">
        <f>VLOOKUP(C300,'Talente &amp; Stuff'!DO:EP,22,FALSE)</f>
        <v>0</v>
      </c>
      <c r="Y300" s="252">
        <f>VLOOKUP(C300,Ausgewählte_Zauber_Zauberbarden,139,FALSE)</f>
        <v>0</v>
      </c>
      <c r="Z300" s="309">
        <f>VLOOKUP(C300,Ausgewählte_Zauber_Zauberbarden,140,FALSE)</f>
        <v>0</v>
      </c>
      <c r="AA300" s="218">
        <f>VLOOKUP(C300,'Talente &amp; Stuff'!DO:EP,25,FALSE)</f>
        <v>0</v>
      </c>
      <c r="AB300" s="242">
        <f>VLOOKUP(C300,'Talente &amp; Stuff'!DO:EP,26,FALSE)</f>
        <v>0</v>
      </c>
      <c r="AC300" s="243">
        <f>VLOOKUP(C300,'Talente &amp; Stuff'!DO:EP,27,FALSE)</f>
        <v>0</v>
      </c>
      <c r="AD300" s="218">
        <f>VLOOKUP(C300,'Talente &amp; Stuff'!DO:EP,28,FALSE)</f>
        <v>0</v>
      </c>
      <c r="AE300" s="343"/>
    </row>
    <row r="301" spans="1:31" s="217" customFormat="1" hidden="1" outlineLevel="2">
      <c r="A301" s="185"/>
      <c r="B301" s="217">
        <v>4</v>
      </c>
      <c r="C301" s="303" t="str">
        <f>Attribute!C301</f>
        <v>---</v>
      </c>
      <c r="D301" s="218" t="str">
        <f>VLOOKUP(C301,'Talente &amp; Stuff'!DO:EP,2,FALSE)</f>
        <v>--/--/--</v>
      </c>
      <c r="E301" s="243" t="str">
        <f>VLOOKUP(C301,'Talente &amp; Stuff'!DO:EP,3,FALSE)</f>
        <v>-</v>
      </c>
      <c r="F301" s="237">
        <f>VLOOKUP(C301,'Talente &amp; Stuff'!DO:EP,4,FALSE)</f>
        <v>0</v>
      </c>
      <c r="G301" s="234">
        <f>VLOOKUP(C301,'Talente &amp; Stuff'!DO:EP,5,FALSE)</f>
        <v>0</v>
      </c>
      <c r="H301" s="234">
        <f>VLOOKUP(C301,'Talente &amp; Stuff'!DO:EP,6,FALSE)</f>
        <v>0</v>
      </c>
      <c r="I301" s="234">
        <f>VLOOKUP(C301,'Talente &amp; Stuff'!DO:EP,7,FALSE)</f>
        <v>0</v>
      </c>
      <c r="J301" s="234">
        <f>VLOOKUP(C301,'Talente &amp; Stuff'!DO:EP,8,FALSE)</f>
        <v>0</v>
      </c>
      <c r="K301" s="234">
        <f>VLOOKUP(C301,'Talente &amp; Stuff'!DO:EP,9,FALSE)</f>
        <v>0</v>
      </c>
      <c r="L301" s="234">
        <f>VLOOKUP(C301,'Talente &amp; Stuff'!DO:EP,10,FALSE)</f>
        <v>0</v>
      </c>
      <c r="M301" s="224">
        <f>VLOOKUP(C301,'Talente &amp; Stuff'!DO:EP,11,FALSE)</f>
        <v>0</v>
      </c>
      <c r="N301" s="223">
        <f>VLOOKUP(C301,'Talente &amp; Stuff'!DO:EP,12,FALSE)</f>
        <v>0</v>
      </c>
      <c r="O301" s="223">
        <f>VLOOKUP(C301,'Talente &amp; Stuff'!DO:EP,13,FALSE)</f>
        <v>0</v>
      </c>
      <c r="P301" s="224">
        <f>VLOOKUP(C301,'Talente &amp; Stuff'!DO:EP,14,FALSE)</f>
        <v>0</v>
      </c>
      <c r="Q301" s="237">
        <f>VLOOKUP(C301,'Talente &amp; Stuff'!DO:EP,15,FALSE)</f>
        <v>0</v>
      </c>
      <c r="R301" s="234">
        <f>VLOOKUP(C301,'Talente &amp; Stuff'!DO:EP,16,FALSE)</f>
        <v>0</v>
      </c>
      <c r="S301" s="224">
        <f>VLOOKUP(C301,'Talente &amp; Stuff'!DO:EP,17,FALSE)</f>
        <v>0</v>
      </c>
      <c r="T301" s="224">
        <f>VLOOKUP(C301,'Talente &amp; Stuff'!DO:EP,18,FALSE)</f>
        <v>0</v>
      </c>
      <c r="U301" s="222">
        <f>VLOOKUP(C301,'Talente &amp; Stuff'!DO:EP,19,FALSE)</f>
        <v>0</v>
      </c>
      <c r="V301" s="223">
        <f>VLOOKUP(C301,'Talente &amp; Stuff'!DO:EP,20,FALSE)</f>
        <v>0</v>
      </c>
      <c r="W301" s="243">
        <f>VLOOKUP(C301,'Talente &amp; Stuff'!DO:EP,21,FALSE)</f>
        <v>0</v>
      </c>
      <c r="X301" s="243">
        <f>VLOOKUP(C301,'Talente &amp; Stuff'!DO:EP,22,FALSE)</f>
        <v>0</v>
      </c>
      <c r="Y301" s="252">
        <f>VLOOKUP(C301,Ausgewählte_Zauber_Zauberbarden,139,FALSE)</f>
        <v>0</v>
      </c>
      <c r="Z301" s="309">
        <f>VLOOKUP(C301,Ausgewählte_Zauber_Zauberbarden,140,FALSE)</f>
        <v>0</v>
      </c>
      <c r="AA301" s="218">
        <f>VLOOKUP(C301,'Talente &amp; Stuff'!DO:EP,25,FALSE)</f>
        <v>0</v>
      </c>
      <c r="AB301" s="242">
        <f>VLOOKUP(C301,'Talente &amp; Stuff'!DO:EP,26,FALSE)</f>
        <v>0</v>
      </c>
      <c r="AC301" s="243">
        <f>VLOOKUP(C301,'Talente &amp; Stuff'!DO:EP,27,FALSE)</f>
        <v>0</v>
      </c>
      <c r="AD301" s="218">
        <f>VLOOKUP(C301,'Talente &amp; Stuff'!DO:EP,28,FALSE)</f>
        <v>0</v>
      </c>
      <c r="AE301" s="343"/>
    </row>
    <row r="302" spans="1:31" s="217" customFormat="1" hidden="1" outlineLevel="2">
      <c r="A302" s="185"/>
      <c r="B302" s="217">
        <v>5</v>
      </c>
      <c r="C302" s="303" t="str">
        <f>Attribute!C302</f>
        <v>---</v>
      </c>
      <c r="D302" s="218" t="str">
        <f>VLOOKUP(C302,'Talente &amp; Stuff'!DO:EP,2,FALSE)</f>
        <v>--/--/--</v>
      </c>
      <c r="E302" s="243" t="str">
        <f>VLOOKUP(C302,'Talente &amp; Stuff'!DO:EP,3,FALSE)</f>
        <v>-</v>
      </c>
      <c r="F302" s="237">
        <f>VLOOKUP(C302,'Talente &amp; Stuff'!DO:EP,4,FALSE)</f>
        <v>0</v>
      </c>
      <c r="G302" s="234">
        <f>VLOOKUP(C302,'Talente &amp; Stuff'!DO:EP,5,FALSE)</f>
        <v>0</v>
      </c>
      <c r="H302" s="234">
        <f>VLOOKUP(C302,'Talente &amp; Stuff'!DO:EP,6,FALSE)</f>
        <v>0</v>
      </c>
      <c r="I302" s="234">
        <f>VLOOKUP(C302,'Talente &amp; Stuff'!DO:EP,7,FALSE)</f>
        <v>0</v>
      </c>
      <c r="J302" s="234">
        <f>VLOOKUP(C302,'Talente &amp; Stuff'!DO:EP,8,FALSE)</f>
        <v>0</v>
      </c>
      <c r="K302" s="234">
        <f>VLOOKUP(C302,'Talente &amp; Stuff'!DO:EP,9,FALSE)</f>
        <v>0</v>
      </c>
      <c r="L302" s="234">
        <f>VLOOKUP(C302,'Talente &amp; Stuff'!DO:EP,10,FALSE)</f>
        <v>0</v>
      </c>
      <c r="M302" s="224">
        <f>VLOOKUP(C302,'Talente &amp; Stuff'!DO:EP,11,FALSE)</f>
        <v>0</v>
      </c>
      <c r="N302" s="223">
        <f>VLOOKUP(C302,'Talente &amp; Stuff'!DO:EP,12,FALSE)</f>
        <v>0</v>
      </c>
      <c r="O302" s="223">
        <f>VLOOKUP(C302,'Talente &amp; Stuff'!DO:EP,13,FALSE)</f>
        <v>0</v>
      </c>
      <c r="P302" s="224">
        <f>VLOOKUP(C302,'Talente &amp; Stuff'!DO:EP,14,FALSE)</f>
        <v>0</v>
      </c>
      <c r="Q302" s="237">
        <f>VLOOKUP(C302,'Talente &amp; Stuff'!DO:EP,15,FALSE)</f>
        <v>0</v>
      </c>
      <c r="R302" s="234">
        <f>VLOOKUP(C302,'Talente &amp; Stuff'!DO:EP,16,FALSE)</f>
        <v>0</v>
      </c>
      <c r="S302" s="224">
        <f>VLOOKUP(C302,'Talente &amp; Stuff'!DO:EP,17,FALSE)</f>
        <v>0</v>
      </c>
      <c r="T302" s="224">
        <f>VLOOKUP(C302,'Talente &amp; Stuff'!DO:EP,18,FALSE)</f>
        <v>0</v>
      </c>
      <c r="U302" s="222">
        <f>VLOOKUP(C302,'Talente &amp; Stuff'!DO:EP,19,FALSE)</f>
        <v>0</v>
      </c>
      <c r="V302" s="223">
        <f>VLOOKUP(C302,'Talente &amp; Stuff'!DO:EP,20,FALSE)</f>
        <v>0</v>
      </c>
      <c r="W302" s="243">
        <f>VLOOKUP(C302,'Talente &amp; Stuff'!DO:EP,21,FALSE)</f>
        <v>0</v>
      </c>
      <c r="X302" s="243">
        <f>VLOOKUP(C302,'Talente &amp; Stuff'!DO:EP,22,FALSE)</f>
        <v>0</v>
      </c>
      <c r="Y302" s="252">
        <f>VLOOKUP(C302,Ausgewählte_Zauber_Zauberbarden,139,FALSE)</f>
        <v>0</v>
      </c>
      <c r="Z302" s="309">
        <f>VLOOKUP(C302,Ausgewählte_Zauber_Zauberbarden,140,FALSE)</f>
        <v>0</v>
      </c>
      <c r="AA302" s="218">
        <f>VLOOKUP(C302,'Talente &amp; Stuff'!DO:EP,25,FALSE)</f>
        <v>0</v>
      </c>
      <c r="AB302" s="242">
        <f>VLOOKUP(C302,'Talente &amp; Stuff'!DO:EP,26,FALSE)</f>
        <v>0</v>
      </c>
      <c r="AC302" s="243">
        <f>VLOOKUP(C302,'Talente &amp; Stuff'!DO:EP,27,FALSE)</f>
        <v>0</v>
      </c>
      <c r="AD302" s="218">
        <f>VLOOKUP(C302,'Talente &amp; Stuff'!DO:EP,28,FALSE)</f>
        <v>0</v>
      </c>
      <c r="AE302" s="343"/>
    </row>
    <row r="303" spans="1:31" s="217" customFormat="1" hidden="1" outlineLevel="2">
      <c r="A303" s="185"/>
      <c r="B303" s="217">
        <v>6</v>
      </c>
      <c r="C303" s="303" t="str">
        <f>Attribute!C303</f>
        <v>---</v>
      </c>
      <c r="D303" s="218" t="str">
        <f>VLOOKUP(C303,'Talente &amp; Stuff'!DO:EP,2,FALSE)</f>
        <v>--/--/--</v>
      </c>
      <c r="E303" s="243" t="str">
        <f>VLOOKUP(C303,'Talente &amp; Stuff'!DO:EP,3,FALSE)</f>
        <v>-</v>
      </c>
      <c r="F303" s="237">
        <f>VLOOKUP(C303,'Talente &amp; Stuff'!DO:EP,4,FALSE)</f>
        <v>0</v>
      </c>
      <c r="G303" s="234">
        <f>VLOOKUP(C303,'Talente &amp; Stuff'!DO:EP,5,FALSE)</f>
        <v>0</v>
      </c>
      <c r="H303" s="234">
        <f>VLOOKUP(C303,'Talente &amp; Stuff'!DO:EP,6,FALSE)</f>
        <v>0</v>
      </c>
      <c r="I303" s="234">
        <f>VLOOKUP(C303,'Talente &amp; Stuff'!DO:EP,7,FALSE)</f>
        <v>0</v>
      </c>
      <c r="J303" s="234">
        <f>VLOOKUP(C303,'Talente &amp; Stuff'!DO:EP,8,FALSE)</f>
        <v>0</v>
      </c>
      <c r="K303" s="234">
        <f>VLOOKUP(C303,'Talente &amp; Stuff'!DO:EP,9,FALSE)</f>
        <v>0</v>
      </c>
      <c r="L303" s="234">
        <f>VLOOKUP(C303,'Talente &amp; Stuff'!DO:EP,10,FALSE)</f>
        <v>0</v>
      </c>
      <c r="M303" s="224">
        <f>VLOOKUP(C303,'Talente &amp; Stuff'!DO:EP,11,FALSE)</f>
        <v>0</v>
      </c>
      <c r="N303" s="223">
        <f>VLOOKUP(C303,'Talente &amp; Stuff'!DO:EP,12,FALSE)</f>
        <v>0</v>
      </c>
      <c r="O303" s="223">
        <f>VLOOKUP(C303,'Talente &amp; Stuff'!DO:EP,13,FALSE)</f>
        <v>0</v>
      </c>
      <c r="P303" s="224">
        <f>VLOOKUP(C303,'Talente &amp; Stuff'!DO:EP,14,FALSE)</f>
        <v>0</v>
      </c>
      <c r="Q303" s="237">
        <f>VLOOKUP(C303,'Talente &amp; Stuff'!DO:EP,15,FALSE)</f>
        <v>0</v>
      </c>
      <c r="R303" s="234">
        <f>VLOOKUP(C303,'Talente &amp; Stuff'!DO:EP,16,FALSE)</f>
        <v>0</v>
      </c>
      <c r="S303" s="224">
        <f>VLOOKUP(C303,'Talente &amp; Stuff'!DO:EP,17,FALSE)</f>
        <v>0</v>
      </c>
      <c r="T303" s="224">
        <f>VLOOKUP(C303,'Talente &amp; Stuff'!DO:EP,18,FALSE)</f>
        <v>0</v>
      </c>
      <c r="U303" s="222">
        <f>VLOOKUP(C303,'Talente &amp; Stuff'!DO:EP,19,FALSE)</f>
        <v>0</v>
      </c>
      <c r="V303" s="223">
        <f>VLOOKUP(C303,'Talente &amp; Stuff'!DO:EP,20,FALSE)</f>
        <v>0</v>
      </c>
      <c r="W303" s="243">
        <f>VLOOKUP(C303,'Talente &amp; Stuff'!DO:EP,21,FALSE)</f>
        <v>0</v>
      </c>
      <c r="X303" s="243">
        <f>VLOOKUP(C303,'Talente &amp; Stuff'!DO:EP,22,FALSE)</f>
        <v>0</v>
      </c>
      <c r="Y303" s="252">
        <f>VLOOKUP(C303,Ausgewählte_Zauber_Zauberbarden,139,FALSE)</f>
        <v>0</v>
      </c>
      <c r="Z303" s="309">
        <f>VLOOKUP(C303,Ausgewählte_Zauber_Zauberbarden,140,FALSE)</f>
        <v>0</v>
      </c>
      <c r="AA303" s="218">
        <f>VLOOKUP(C303,'Talente &amp; Stuff'!DO:EP,25,FALSE)</f>
        <v>0</v>
      </c>
      <c r="AB303" s="242">
        <f>VLOOKUP(C303,'Talente &amp; Stuff'!DO:EP,26,FALSE)</f>
        <v>0</v>
      </c>
      <c r="AC303" s="243">
        <f>VLOOKUP(C303,'Talente &amp; Stuff'!DO:EP,27,FALSE)</f>
        <v>0</v>
      </c>
      <c r="AD303" s="218">
        <f>VLOOKUP(C303,'Talente &amp; Stuff'!DO:EP,28,FALSE)</f>
        <v>0</v>
      </c>
      <c r="AE303" s="343"/>
    </row>
    <row r="304" spans="1:31" s="217" customFormat="1" hidden="1" outlineLevel="2">
      <c r="A304" s="185"/>
      <c r="B304" s="217">
        <v>7</v>
      </c>
      <c r="C304" s="303" t="str">
        <f>Attribute!C304</f>
        <v>---</v>
      </c>
      <c r="D304" s="218" t="str">
        <f>VLOOKUP(C304,'Talente &amp; Stuff'!DO:EP,2,FALSE)</f>
        <v>--/--/--</v>
      </c>
      <c r="E304" s="243" t="str">
        <f>VLOOKUP(C304,'Talente &amp; Stuff'!DO:EP,3,FALSE)</f>
        <v>-</v>
      </c>
      <c r="F304" s="237">
        <f>VLOOKUP(C304,'Talente &amp; Stuff'!DO:EP,4,FALSE)</f>
        <v>0</v>
      </c>
      <c r="G304" s="234">
        <f>VLOOKUP(C304,'Talente &amp; Stuff'!DO:EP,5,FALSE)</f>
        <v>0</v>
      </c>
      <c r="H304" s="234">
        <f>VLOOKUP(C304,'Talente &amp; Stuff'!DO:EP,6,FALSE)</f>
        <v>0</v>
      </c>
      <c r="I304" s="234">
        <f>VLOOKUP(C304,'Talente &amp; Stuff'!DO:EP,7,FALSE)</f>
        <v>0</v>
      </c>
      <c r="J304" s="234">
        <f>VLOOKUP(C304,'Talente &amp; Stuff'!DO:EP,8,FALSE)</f>
        <v>0</v>
      </c>
      <c r="K304" s="234">
        <f>VLOOKUP(C304,'Talente &amp; Stuff'!DO:EP,9,FALSE)</f>
        <v>0</v>
      </c>
      <c r="L304" s="234">
        <f>VLOOKUP(C304,'Talente &amp; Stuff'!DO:EP,10,FALSE)</f>
        <v>0</v>
      </c>
      <c r="M304" s="224">
        <f>VLOOKUP(C304,'Talente &amp; Stuff'!DO:EP,11,FALSE)</f>
        <v>0</v>
      </c>
      <c r="N304" s="223">
        <f>VLOOKUP(C304,'Talente &amp; Stuff'!DO:EP,12,FALSE)</f>
        <v>0</v>
      </c>
      <c r="O304" s="223">
        <f>VLOOKUP(C304,'Talente &amp; Stuff'!DO:EP,13,FALSE)</f>
        <v>0</v>
      </c>
      <c r="P304" s="224">
        <f>VLOOKUP(C304,'Talente &amp; Stuff'!DO:EP,14,FALSE)</f>
        <v>0</v>
      </c>
      <c r="Q304" s="237">
        <f>VLOOKUP(C304,'Talente &amp; Stuff'!DO:EP,15,FALSE)</f>
        <v>0</v>
      </c>
      <c r="R304" s="234">
        <f>VLOOKUP(C304,'Talente &amp; Stuff'!DO:EP,16,FALSE)</f>
        <v>0</v>
      </c>
      <c r="S304" s="224">
        <f>VLOOKUP(C304,'Talente &amp; Stuff'!DO:EP,17,FALSE)</f>
        <v>0</v>
      </c>
      <c r="T304" s="224">
        <f>VLOOKUP(C304,'Talente &amp; Stuff'!DO:EP,18,FALSE)</f>
        <v>0</v>
      </c>
      <c r="U304" s="222">
        <f>VLOOKUP(C304,'Talente &amp; Stuff'!DO:EP,19,FALSE)</f>
        <v>0</v>
      </c>
      <c r="V304" s="223">
        <f>VLOOKUP(C304,'Talente &amp; Stuff'!DO:EP,20,FALSE)</f>
        <v>0</v>
      </c>
      <c r="W304" s="243">
        <f>VLOOKUP(C304,'Talente &amp; Stuff'!DO:EP,21,FALSE)</f>
        <v>0</v>
      </c>
      <c r="X304" s="243">
        <f>VLOOKUP(C304,'Talente &amp; Stuff'!DO:EP,22,FALSE)</f>
        <v>0</v>
      </c>
      <c r="Y304" s="252">
        <f>VLOOKUP(C304,Ausgewählte_Zauber_Zauberbarden,139,FALSE)</f>
        <v>0</v>
      </c>
      <c r="Z304" s="309">
        <f>VLOOKUP(C304,Ausgewählte_Zauber_Zauberbarden,140,FALSE)</f>
        <v>0</v>
      </c>
      <c r="AA304" s="218">
        <f>VLOOKUP(C304,'Talente &amp; Stuff'!DO:EP,25,FALSE)</f>
        <v>0</v>
      </c>
      <c r="AB304" s="242">
        <f>VLOOKUP(C304,'Talente &amp; Stuff'!DO:EP,26,FALSE)</f>
        <v>0</v>
      </c>
      <c r="AC304" s="243">
        <f>VLOOKUP(C304,'Talente &amp; Stuff'!DO:EP,27,FALSE)</f>
        <v>0</v>
      </c>
      <c r="AD304" s="218">
        <f>VLOOKUP(C304,'Talente &amp; Stuff'!DO:EP,28,FALSE)</f>
        <v>0</v>
      </c>
      <c r="AE304" s="343"/>
    </row>
    <row r="305" spans="1:31" s="217" customFormat="1" hidden="1" outlineLevel="2">
      <c r="A305" s="185"/>
      <c r="B305" s="217">
        <v>8</v>
      </c>
      <c r="C305" s="303" t="str">
        <f>Attribute!C305</f>
        <v>---</v>
      </c>
      <c r="D305" s="218" t="str">
        <f>VLOOKUP(C305,'Talente &amp; Stuff'!DO:EP,2,FALSE)</f>
        <v>--/--/--</v>
      </c>
      <c r="E305" s="243" t="str">
        <f>VLOOKUP(C305,'Talente &amp; Stuff'!DO:EP,3,FALSE)</f>
        <v>-</v>
      </c>
      <c r="F305" s="237">
        <f>VLOOKUP(C305,'Talente &amp; Stuff'!DO:EP,4,FALSE)</f>
        <v>0</v>
      </c>
      <c r="G305" s="234">
        <f>VLOOKUP(C305,'Talente &amp; Stuff'!DO:EP,5,FALSE)</f>
        <v>0</v>
      </c>
      <c r="H305" s="234">
        <f>VLOOKUP(C305,'Talente &amp; Stuff'!DO:EP,6,FALSE)</f>
        <v>0</v>
      </c>
      <c r="I305" s="234">
        <f>VLOOKUP(C305,'Talente &amp; Stuff'!DO:EP,7,FALSE)</f>
        <v>0</v>
      </c>
      <c r="J305" s="234">
        <f>VLOOKUP(C305,'Talente &amp; Stuff'!DO:EP,8,FALSE)</f>
        <v>0</v>
      </c>
      <c r="K305" s="234">
        <f>VLOOKUP(C305,'Talente &amp; Stuff'!DO:EP,9,FALSE)</f>
        <v>0</v>
      </c>
      <c r="L305" s="234">
        <f>VLOOKUP(C305,'Talente &amp; Stuff'!DO:EP,10,FALSE)</f>
        <v>0</v>
      </c>
      <c r="M305" s="224">
        <f>VLOOKUP(C305,'Talente &amp; Stuff'!DO:EP,11,FALSE)</f>
        <v>0</v>
      </c>
      <c r="N305" s="223">
        <f>VLOOKUP(C305,'Talente &amp; Stuff'!DO:EP,12,FALSE)</f>
        <v>0</v>
      </c>
      <c r="O305" s="223">
        <f>VLOOKUP(C305,'Talente &amp; Stuff'!DO:EP,13,FALSE)</f>
        <v>0</v>
      </c>
      <c r="P305" s="224">
        <f>VLOOKUP(C305,'Talente &amp; Stuff'!DO:EP,14,FALSE)</f>
        <v>0</v>
      </c>
      <c r="Q305" s="237">
        <f>VLOOKUP(C305,'Talente &amp; Stuff'!DO:EP,15,FALSE)</f>
        <v>0</v>
      </c>
      <c r="R305" s="234">
        <f>VLOOKUP(C305,'Talente &amp; Stuff'!DO:EP,16,FALSE)</f>
        <v>0</v>
      </c>
      <c r="S305" s="224">
        <f>VLOOKUP(C305,'Talente &amp; Stuff'!DO:EP,17,FALSE)</f>
        <v>0</v>
      </c>
      <c r="T305" s="224">
        <f>VLOOKUP(C305,'Talente &amp; Stuff'!DO:EP,18,FALSE)</f>
        <v>0</v>
      </c>
      <c r="U305" s="222">
        <f>VLOOKUP(C305,'Talente &amp; Stuff'!DO:EP,19,FALSE)</f>
        <v>0</v>
      </c>
      <c r="V305" s="223">
        <f>VLOOKUP(C305,'Talente &amp; Stuff'!DO:EP,20,FALSE)</f>
        <v>0</v>
      </c>
      <c r="W305" s="243">
        <f>VLOOKUP(C305,'Talente &amp; Stuff'!DO:EP,21,FALSE)</f>
        <v>0</v>
      </c>
      <c r="X305" s="243">
        <f>VLOOKUP(C305,'Talente &amp; Stuff'!DO:EP,22,FALSE)</f>
        <v>0</v>
      </c>
      <c r="Y305" s="252">
        <f>VLOOKUP(C305,Ausgewählte_Zauber_Zauberbarden,139,FALSE)</f>
        <v>0</v>
      </c>
      <c r="Z305" s="309">
        <f>VLOOKUP(C305,Ausgewählte_Zauber_Zauberbarden,140,FALSE)</f>
        <v>0</v>
      </c>
      <c r="AA305" s="218">
        <f>VLOOKUP(C305,'Talente &amp; Stuff'!DO:EP,25,FALSE)</f>
        <v>0</v>
      </c>
      <c r="AB305" s="242">
        <f>VLOOKUP(C305,'Talente &amp; Stuff'!DO:EP,26,FALSE)</f>
        <v>0</v>
      </c>
      <c r="AC305" s="243">
        <f>VLOOKUP(C305,'Talente &amp; Stuff'!DO:EP,27,FALSE)</f>
        <v>0</v>
      </c>
      <c r="AD305" s="218">
        <f>VLOOKUP(C305,'Talente &amp; Stuff'!DO:EP,28,FALSE)</f>
        <v>0</v>
      </c>
      <c r="AE305" s="343"/>
    </row>
    <row r="306" spans="1:31" s="217" customFormat="1" hidden="1" outlineLevel="2">
      <c r="A306" s="185"/>
      <c r="B306" s="217">
        <v>9</v>
      </c>
      <c r="C306" s="303" t="str">
        <f>Attribute!C306</f>
        <v>---</v>
      </c>
      <c r="D306" s="218" t="str">
        <f>VLOOKUP(C306,'Talente &amp; Stuff'!DO:EP,2,FALSE)</f>
        <v>--/--/--</v>
      </c>
      <c r="E306" s="243" t="str">
        <f>VLOOKUP(C306,'Talente &amp; Stuff'!DO:EP,3,FALSE)</f>
        <v>-</v>
      </c>
      <c r="F306" s="237">
        <f>VLOOKUP(C306,'Talente &amp; Stuff'!DO:EP,4,FALSE)</f>
        <v>0</v>
      </c>
      <c r="G306" s="234">
        <f>VLOOKUP(C306,'Talente &amp; Stuff'!DO:EP,5,FALSE)</f>
        <v>0</v>
      </c>
      <c r="H306" s="234">
        <f>VLOOKUP(C306,'Talente &amp; Stuff'!DO:EP,6,FALSE)</f>
        <v>0</v>
      </c>
      <c r="I306" s="234">
        <f>VLOOKUP(C306,'Talente &amp; Stuff'!DO:EP,7,FALSE)</f>
        <v>0</v>
      </c>
      <c r="J306" s="234">
        <f>VLOOKUP(C306,'Talente &amp; Stuff'!DO:EP,8,FALSE)</f>
        <v>0</v>
      </c>
      <c r="K306" s="234">
        <f>VLOOKUP(C306,'Talente &amp; Stuff'!DO:EP,9,FALSE)</f>
        <v>0</v>
      </c>
      <c r="L306" s="234">
        <f>VLOOKUP(C306,'Talente &amp; Stuff'!DO:EP,10,FALSE)</f>
        <v>0</v>
      </c>
      <c r="M306" s="224">
        <f>VLOOKUP(C306,'Talente &amp; Stuff'!DO:EP,11,FALSE)</f>
        <v>0</v>
      </c>
      <c r="N306" s="223">
        <f>VLOOKUP(C306,'Talente &amp; Stuff'!DO:EP,12,FALSE)</f>
        <v>0</v>
      </c>
      <c r="O306" s="223">
        <f>VLOOKUP(C306,'Talente &amp; Stuff'!DO:EP,13,FALSE)</f>
        <v>0</v>
      </c>
      <c r="P306" s="224">
        <f>VLOOKUP(C306,'Talente &amp; Stuff'!DO:EP,14,FALSE)</f>
        <v>0</v>
      </c>
      <c r="Q306" s="237">
        <f>VLOOKUP(C306,'Talente &amp; Stuff'!DO:EP,15,FALSE)</f>
        <v>0</v>
      </c>
      <c r="R306" s="234">
        <f>VLOOKUP(C306,'Talente &amp; Stuff'!DO:EP,16,FALSE)</f>
        <v>0</v>
      </c>
      <c r="S306" s="224">
        <f>VLOOKUP(C306,'Talente &amp; Stuff'!DO:EP,17,FALSE)</f>
        <v>0</v>
      </c>
      <c r="T306" s="224">
        <f>VLOOKUP(C306,'Talente &amp; Stuff'!DO:EP,18,FALSE)</f>
        <v>0</v>
      </c>
      <c r="U306" s="222">
        <f>VLOOKUP(C306,'Talente &amp; Stuff'!DO:EP,19,FALSE)</f>
        <v>0</v>
      </c>
      <c r="V306" s="223">
        <f>VLOOKUP(C306,'Talente &amp; Stuff'!DO:EP,20,FALSE)</f>
        <v>0</v>
      </c>
      <c r="W306" s="243">
        <f>VLOOKUP(C306,'Talente &amp; Stuff'!DO:EP,21,FALSE)</f>
        <v>0</v>
      </c>
      <c r="X306" s="243">
        <f>VLOOKUP(C306,'Talente &amp; Stuff'!DO:EP,22,FALSE)</f>
        <v>0</v>
      </c>
      <c r="Y306" s="252">
        <f>VLOOKUP(C306,Ausgewählte_Zauber_Zauberbarden,139,FALSE)</f>
        <v>0</v>
      </c>
      <c r="Z306" s="309">
        <f>VLOOKUP(C306,Ausgewählte_Zauber_Zauberbarden,140,FALSE)</f>
        <v>0</v>
      </c>
      <c r="AA306" s="218">
        <f>VLOOKUP(C306,'Talente &amp; Stuff'!DO:EP,25,FALSE)</f>
        <v>0</v>
      </c>
      <c r="AB306" s="242">
        <f>VLOOKUP(C306,'Talente &amp; Stuff'!DO:EP,26,FALSE)</f>
        <v>0</v>
      </c>
      <c r="AC306" s="243">
        <f>VLOOKUP(C306,'Talente &amp; Stuff'!DO:EP,27,FALSE)</f>
        <v>0</v>
      </c>
      <c r="AD306" s="218">
        <f>VLOOKUP(C306,'Talente &amp; Stuff'!DO:EP,28,FALSE)</f>
        <v>0</v>
      </c>
      <c r="AE306" s="343"/>
    </row>
    <row r="307" spans="1:31" s="217" customFormat="1" hidden="1" outlineLevel="2">
      <c r="A307" s="185"/>
      <c r="B307" s="217">
        <v>10</v>
      </c>
      <c r="C307" s="303" t="str">
        <f>Attribute!C307</f>
        <v>---</v>
      </c>
      <c r="D307" s="218" t="str">
        <f>VLOOKUP(C307,'Talente &amp; Stuff'!DO:EP,2,FALSE)</f>
        <v>--/--/--</v>
      </c>
      <c r="E307" s="243" t="str">
        <f>VLOOKUP(C307,'Talente &amp; Stuff'!DO:EP,3,FALSE)</f>
        <v>-</v>
      </c>
      <c r="F307" s="237">
        <f>VLOOKUP(C307,'Talente &amp; Stuff'!DO:EP,4,FALSE)</f>
        <v>0</v>
      </c>
      <c r="G307" s="234">
        <f>VLOOKUP(C307,'Talente &amp; Stuff'!DO:EP,5,FALSE)</f>
        <v>0</v>
      </c>
      <c r="H307" s="234">
        <f>VLOOKUP(C307,'Talente &amp; Stuff'!DO:EP,6,FALSE)</f>
        <v>0</v>
      </c>
      <c r="I307" s="234">
        <f>VLOOKUP(C307,'Talente &amp; Stuff'!DO:EP,7,FALSE)</f>
        <v>0</v>
      </c>
      <c r="J307" s="234">
        <f>VLOOKUP(C307,'Talente &amp; Stuff'!DO:EP,8,FALSE)</f>
        <v>0</v>
      </c>
      <c r="K307" s="234">
        <f>VLOOKUP(C307,'Talente &amp; Stuff'!DO:EP,9,FALSE)</f>
        <v>0</v>
      </c>
      <c r="L307" s="234">
        <f>VLOOKUP(C307,'Talente &amp; Stuff'!DO:EP,10,FALSE)</f>
        <v>0</v>
      </c>
      <c r="M307" s="224">
        <f>VLOOKUP(C307,'Talente &amp; Stuff'!DO:EP,11,FALSE)</f>
        <v>0</v>
      </c>
      <c r="N307" s="223">
        <f>VLOOKUP(C307,'Talente &amp; Stuff'!DO:EP,12,FALSE)</f>
        <v>0</v>
      </c>
      <c r="O307" s="223">
        <f>VLOOKUP(C307,'Talente &amp; Stuff'!DO:EP,13,FALSE)</f>
        <v>0</v>
      </c>
      <c r="P307" s="224">
        <f>VLOOKUP(C307,'Talente &amp; Stuff'!DO:EP,14,FALSE)</f>
        <v>0</v>
      </c>
      <c r="Q307" s="237">
        <f>VLOOKUP(C307,'Talente &amp; Stuff'!DO:EP,15,FALSE)</f>
        <v>0</v>
      </c>
      <c r="R307" s="234">
        <f>VLOOKUP(C307,'Talente &amp; Stuff'!DO:EP,16,FALSE)</f>
        <v>0</v>
      </c>
      <c r="S307" s="224">
        <f>VLOOKUP(C307,'Talente &amp; Stuff'!DO:EP,17,FALSE)</f>
        <v>0</v>
      </c>
      <c r="T307" s="224">
        <f>VLOOKUP(C307,'Talente &amp; Stuff'!DO:EP,18,FALSE)</f>
        <v>0</v>
      </c>
      <c r="U307" s="222">
        <f>VLOOKUP(C307,'Talente &amp; Stuff'!DO:EP,19,FALSE)</f>
        <v>0</v>
      </c>
      <c r="V307" s="223">
        <f>VLOOKUP(C307,'Talente &amp; Stuff'!DO:EP,20,FALSE)</f>
        <v>0</v>
      </c>
      <c r="W307" s="243">
        <f>VLOOKUP(C307,'Talente &amp; Stuff'!DO:EP,21,FALSE)</f>
        <v>0</v>
      </c>
      <c r="X307" s="243">
        <f>VLOOKUP(C307,'Talente &amp; Stuff'!DO:EP,22,FALSE)</f>
        <v>0</v>
      </c>
      <c r="Y307" s="252">
        <f>VLOOKUP(C307,Ausgewählte_Zauber_Zauberbarden,139,FALSE)</f>
        <v>0</v>
      </c>
      <c r="Z307" s="309">
        <f>VLOOKUP(C307,Ausgewählte_Zauber_Zauberbarden,140,FALSE)</f>
        <v>0</v>
      </c>
      <c r="AA307" s="218">
        <f>VLOOKUP(C307,'Talente &amp; Stuff'!DO:EP,25,FALSE)</f>
        <v>0</v>
      </c>
      <c r="AB307" s="242">
        <f>VLOOKUP(C307,'Talente &amp; Stuff'!DO:EP,26,FALSE)</f>
        <v>0</v>
      </c>
      <c r="AC307" s="243">
        <f>VLOOKUP(C307,'Talente &amp; Stuff'!DO:EP,27,FALSE)</f>
        <v>0</v>
      </c>
      <c r="AD307" s="218">
        <f>VLOOKUP(C307,'Talente &amp; Stuff'!DO:EP,28,FALSE)</f>
        <v>0</v>
      </c>
      <c r="AE307" s="343"/>
    </row>
    <row r="308" spans="1:31" s="217" customFormat="1" hidden="1" outlineLevel="2">
      <c r="A308" s="185"/>
      <c r="B308" s="217">
        <v>11</v>
      </c>
      <c r="C308" s="303" t="str">
        <f>Attribute!C308</f>
        <v>---</v>
      </c>
      <c r="D308" s="218" t="str">
        <f>VLOOKUP(C308,'Talente &amp; Stuff'!DO:EP,2,FALSE)</f>
        <v>--/--/--</v>
      </c>
      <c r="E308" s="243" t="str">
        <f>VLOOKUP(C308,'Talente &amp; Stuff'!DO:EP,3,FALSE)</f>
        <v>-</v>
      </c>
      <c r="F308" s="237">
        <f>VLOOKUP(C308,'Talente &amp; Stuff'!DO:EP,4,FALSE)</f>
        <v>0</v>
      </c>
      <c r="G308" s="234">
        <f>VLOOKUP(C308,'Talente &amp; Stuff'!DO:EP,5,FALSE)</f>
        <v>0</v>
      </c>
      <c r="H308" s="234">
        <f>VLOOKUP(C308,'Talente &amp; Stuff'!DO:EP,6,FALSE)</f>
        <v>0</v>
      </c>
      <c r="I308" s="234">
        <f>VLOOKUP(C308,'Talente &amp; Stuff'!DO:EP,7,FALSE)</f>
        <v>0</v>
      </c>
      <c r="J308" s="234">
        <f>VLOOKUP(C308,'Talente &amp; Stuff'!DO:EP,8,FALSE)</f>
        <v>0</v>
      </c>
      <c r="K308" s="234">
        <f>VLOOKUP(C308,'Talente &amp; Stuff'!DO:EP,9,FALSE)</f>
        <v>0</v>
      </c>
      <c r="L308" s="234">
        <f>VLOOKUP(C308,'Talente &amp; Stuff'!DO:EP,10,FALSE)</f>
        <v>0</v>
      </c>
      <c r="M308" s="224">
        <f>VLOOKUP(C308,'Talente &amp; Stuff'!DO:EP,11,FALSE)</f>
        <v>0</v>
      </c>
      <c r="N308" s="223">
        <f>VLOOKUP(C308,'Talente &amp; Stuff'!DO:EP,12,FALSE)</f>
        <v>0</v>
      </c>
      <c r="O308" s="223">
        <f>VLOOKUP(C308,'Talente &amp; Stuff'!DO:EP,13,FALSE)</f>
        <v>0</v>
      </c>
      <c r="P308" s="224">
        <f>VLOOKUP(C308,'Talente &amp; Stuff'!DO:EP,14,FALSE)</f>
        <v>0</v>
      </c>
      <c r="Q308" s="237">
        <f>VLOOKUP(C308,'Talente &amp; Stuff'!DO:EP,15,FALSE)</f>
        <v>0</v>
      </c>
      <c r="R308" s="234">
        <f>VLOOKUP(C308,'Talente &amp; Stuff'!DO:EP,16,FALSE)</f>
        <v>0</v>
      </c>
      <c r="S308" s="224">
        <f>VLOOKUP(C308,'Talente &amp; Stuff'!DO:EP,17,FALSE)</f>
        <v>0</v>
      </c>
      <c r="T308" s="224">
        <f>VLOOKUP(C308,'Talente &amp; Stuff'!DO:EP,18,FALSE)</f>
        <v>0</v>
      </c>
      <c r="U308" s="222">
        <f>VLOOKUP(C308,'Talente &amp; Stuff'!DO:EP,19,FALSE)</f>
        <v>0</v>
      </c>
      <c r="V308" s="223">
        <f>VLOOKUP(C308,'Talente &amp; Stuff'!DO:EP,20,FALSE)</f>
        <v>0</v>
      </c>
      <c r="W308" s="243">
        <f>VLOOKUP(C308,'Talente &amp; Stuff'!DO:EP,21,FALSE)</f>
        <v>0</v>
      </c>
      <c r="X308" s="243">
        <f>VLOOKUP(C308,'Talente &amp; Stuff'!DO:EP,22,FALSE)</f>
        <v>0</v>
      </c>
      <c r="Y308" s="252">
        <f>VLOOKUP(C308,Ausgewählte_Zauber_Zauberbarden,139,FALSE)</f>
        <v>0</v>
      </c>
      <c r="Z308" s="309">
        <f>VLOOKUP(C308,Ausgewählte_Zauber_Zauberbarden,140,FALSE)</f>
        <v>0</v>
      </c>
      <c r="AA308" s="218">
        <f>VLOOKUP(C308,'Talente &amp; Stuff'!DO:EP,25,FALSE)</f>
        <v>0</v>
      </c>
      <c r="AB308" s="242">
        <f>VLOOKUP(C308,'Talente &amp; Stuff'!DO:EP,26,FALSE)</f>
        <v>0</v>
      </c>
      <c r="AC308" s="243">
        <f>VLOOKUP(C308,'Talente &amp; Stuff'!DO:EP,27,FALSE)</f>
        <v>0</v>
      </c>
      <c r="AD308" s="218">
        <f>VLOOKUP(C308,'Talente &amp; Stuff'!DO:EP,28,FALSE)</f>
        <v>0</v>
      </c>
      <c r="AE308" s="343"/>
    </row>
    <row r="309" spans="1:31" s="217" customFormat="1" hidden="1" outlineLevel="2">
      <c r="A309" s="185"/>
      <c r="B309" s="217">
        <v>12</v>
      </c>
      <c r="C309" s="303" t="str">
        <f>Attribute!C309</f>
        <v>---</v>
      </c>
      <c r="D309" s="218" t="str">
        <f>VLOOKUP(C309,'Talente &amp; Stuff'!DO:EP,2,FALSE)</f>
        <v>--/--/--</v>
      </c>
      <c r="E309" s="243" t="str">
        <f>VLOOKUP(C309,'Talente &amp; Stuff'!DO:EP,3,FALSE)</f>
        <v>-</v>
      </c>
      <c r="F309" s="237">
        <f>VLOOKUP(C309,'Talente &amp; Stuff'!DO:EP,4,FALSE)</f>
        <v>0</v>
      </c>
      <c r="G309" s="234">
        <f>VLOOKUP(C309,'Talente &amp; Stuff'!DO:EP,5,FALSE)</f>
        <v>0</v>
      </c>
      <c r="H309" s="234">
        <f>VLOOKUP(C309,'Talente &amp; Stuff'!DO:EP,6,FALSE)</f>
        <v>0</v>
      </c>
      <c r="I309" s="234">
        <f>VLOOKUP(C309,'Talente &amp; Stuff'!DO:EP,7,FALSE)</f>
        <v>0</v>
      </c>
      <c r="J309" s="234">
        <f>VLOOKUP(C309,'Talente &amp; Stuff'!DO:EP,8,FALSE)</f>
        <v>0</v>
      </c>
      <c r="K309" s="234">
        <f>VLOOKUP(C309,'Talente &amp; Stuff'!DO:EP,9,FALSE)</f>
        <v>0</v>
      </c>
      <c r="L309" s="234">
        <f>VLOOKUP(C309,'Talente &amp; Stuff'!DO:EP,10,FALSE)</f>
        <v>0</v>
      </c>
      <c r="M309" s="224">
        <f>VLOOKUP(C309,'Talente &amp; Stuff'!DO:EP,11,FALSE)</f>
        <v>0</v>
      </c>
      <c r="N309" s="223">
        <f>VLOOKUP(C309,'Talente &amp; Stuff'!DO:EP,12,FALSE)</f>
        <v>0</v>
      </c>
      <c r="O309" s="223">
        <f>VLOOKUP(C309,'Talente &amp; Stuff'!DO:EP,13,FALSE)</f>
        <v>0</v>
      </c>
      <c r="P309" s="224">
        <f>VLOOKUP(C309,'Talente &amp; Stuff'!DO:EP,14,FALSE)</f>
        <v>0</v>
      </c>
      <c r="Q309" s="237">
        <f>VLOOKUP(C309,'Talente &amp; Stuff'!DO:EP,15,FALSE)</f>
        <v>0</v>
      </c>
      <c r="R309" s="234">
        <f>VLOOKUP(C309,'Talente &amp; Stuff'!DO:EP,16,FALSE)</f>
        <v>0</v>
      </c>
      <c r="S309" s="224">
        <f>VLOOKUP(C309,'Talente &amp; Stuff'!DO:EP,17,FALSE)</f>
        <v>0</v>
      </c>
      <c r="T309" s="224">
        <f>VLOOKUP(C309,'Talente &amp; Stuff'!DO:EP,18,FALSE)</f>
        <v>0</v>
      </c>
      <c r="U309" s="222">
        <f>VLOOKUP(C309,'Talente &amp; Stuff'!DO:EP,19,FALSE)</f>
        <v>0</v>
      </c>
      <c r="V309" s="223">
        <f>VLOOKUP(C309,'Talente &amp; Stuff'!DO:EP,20,FALSE)</f>
        <v>0</v>
      </c>
      <c r="W309" s="243">
        <f>VLOOKUP(C309,'Talente &amp; Stuff'!DO:EP,21,FALSE)</f>
        <v>0</v>
      </c>
      <c r="X309" s="243">
        <f>VLOOKUP(C309,'Talente &amp; Stuff'!DO:EP,22,FALSE)</f>
        <v>0</v>
      </c>
      <c r="Y309" s="252">
        <f>VLOOKUP(C309,Ausgewählte_Zauber_Zauberbarden,139,FALSE)</f>
        <v>0</v>
      </c>
      <c r="Z309" s="309">
        <f>VLOOKUP(C309,Ausgewählte_Zauber_Zauberbarden,140,FALSE)</f>
        <v>0</v>
      </c>
      <c r="AA309" s="218">
        <f>VLOOKUP(C309,'Talente &amp; Stuff'!DO:EP,25,FALSE)</f>
        <v>0</v>
      </c>
      <c r="AB309" s="242">
        <f>VLOOKUP(C309,'Talente &amp; Stuff'!DO:EP,26,FALSE)</f>
        <v>0</v>
      </c>
      <c r="AC309" s="243">
        <f>VLOOKUP(C309,'Talente &amp; Stuff'!DO:EP,27,FALSE)</f>
        <v>0</v>
      </c>
      <c r="AD309" s="218">
        <f>VLOOKUP(C309,'Talente &amp; Stuff'!DO:EP,28,FALSE)</f>
        <v>0</v>
      </c>
      <c r="AE309" s="343"/>
    </row>
    <row r="310" spans="1:31" s="217" customFormat="1" hidden="1" outlineLevel="2">
      <c r="A310" s="185"/>
      <c r="B310" s="217">
        <v>13</v>
      </c>
      <c r="C310" s="303" t="str">
        <f>Attribute!C310</f>
        <v>---</v>
      </c>
      <c r="D310" s="218" t="str">
        <f>VLOOKUP(C310,'Talente &amp; Stuff'!DO:EP,2,FALSE)</f>
        <v>--/--/--</v>
      </c>
      <c r="E310" s="243" t="str">
        <f>VLOOKUP(C310,'Talente &amp; Stuff'!DO:EP,3,FALSE)</f>
        <v>-</v>
      </c>
      <c r="F310" s="237">
        <f>VLOOKUP(C310,'Talente &amp; Stuff'!DO:EP,4,FALSE)</f>
        <v>0</v>
      </c>
      <c r="G310" s="234">
        <f>VLOOKUP(C310,'Talente &amp; Stuff'!DO:EP,5,FALSE)</f>
        <v>0</v>
      </c>
      <c r="H310" s="234">
        <f>VLOOKUP(C310,'Talente &amp; Stuff'!DO:EP,6,FALSE)</f>
        <v>0</v>
      </c>
      <c r="I310" s="234">
        <f>VLOOKUP(C310,'Talente &amp; Stuff'!DO:EP,7,FALSE)</f>
        <v>0</v>
      </c>
      <c r="J310" s="234">
        <f>VLOOKUP(C310,'Talente &amp; Stuff'!DO:EP,8,FALSE)</f>
        <v>0</v>
      </c>
      <c r="K310" s="234">
        <f>VLOOKUP(C310,'Talente &amp; Stuff'!DO:EP,9,FALSE)</f>
        <v>0</v>
      </c>
      <c r="L310" s="234">
        <f>VLOOKUP(C310,'Talente &amp; Stuff'!DO:EP,10,FALSE)</f>
        <v>0</v>
      </c>
      <c r="M310" s="224">
        <f>VLOOKUP(C310,'Talente &amp; Stuff'!DO:EP,11,FALSE)</f>
        <v>0</v>
      </c>
      <c r="N310" s="223">
        <f>VLOOKUP(C310,'Talente &amp; Stuff'!DO:EP,12,FALSE)</f>
        <v>0</v>
      </c>
      <c r="O310" s="223">
        <f>VLOOKUP(C310,'Talente &amp; Stuff'!DO:EP,13,FALSE)</f>
        <v>0</v>
      </c>
      <c r="P310" s="224">
        <f>VLOOKUP(C310,'Talente &amp; Stuff'!DO:EP,14,FALSE)</f>
        <v>0</v>
      </c>
      <c r="Q310" s="237">
        <f>VLOOKUP(C310,'Talente &amp; Stuff'!DO:EP,15,FALSE)</f>
        <v>0</v>
      </c>
      <c r="R310" s="234">
        <f>VLOOKUP(C310,'Talente &amp; Stuff'!DO:EP,16,FALSE)</f>
        <v>0</v>
      </c>
      <c r="S310" s="224">
        <f>VLOOKUP(C310,'Talente &amp; Stuff'!DO:EP,17,FALSE)</f>
        <v>0</v>
      </c>
      <c r="T310" s="224">
        <f>VLOOKUP(C310,'Talente &amp; Stuff'!DO:EP,18,FALSE)</f>
        <v>0</v>
      </c>
      <c r="U310" s="222">
        <f>VLOOKUP(C310,'Talente &amp; Stuff'!DO:EP,19,FALSE)</f>
        <v>0</v>
      </c>
      <c r="V310" s="223">
        <f>VLOOKUP(C310,'Talente &amp; Stuff'!DO:EP,20,FALSE)</f>
        <v>0</v>
      </c>
      <c r="W310" s="243">
        <f>VLOOKUP(C310,'Talente &amp; Stuff'!DO:EP,21,FALSE)</f>
        <v>0</v>
      </c>
      <c r="X310" s="243">
        <f>VLOOKUP(C310,'Talente &amp; Stuff'!DO:EP,22,FALSE)</f>
        <v>0</v>
      </c>
      <c r="Y310" s="252">
        <f>VLOOKUP(C310,Ausgewählte_Zauber_Zauberbarden,139,FALSE)</f>
        <v>0</v>
      </c>
      <c r="Z310" s="309">
        <f>VLOOKUP(C310,Ausgewählte_Zauber_Zauberbarden,140,FALSE)</f>
        <v>0</v>
      </c>
      <c r="AA310" s="218">
        <f>VLOOKUP(C310,'Talente &amp; Stuff'!DO:EP,25,FALSE)</f>
        <v>0</v>
      </c>
      <c r="AB310" s="242">
        <f>VLOOKUP(C310,'Talente &amp; Stuff'!DO:EP,26,FALSE)</f>
        <v>0</v>
      </c>
      <c r="AC310" s="243">
        <f>VLOOKUP(C310,'Talente &amp; Stuff'!DO:EP,27,FALSE)</f>
        <v>0</v>
      </c>
      <c r="AD310" s="218">
        <f>VLOOKUP(C310,'Talente &amp; Stuff'!DO:EP,28,FALSE)</f>
        <v>0</v>
      </c>
      <c r="AE310" s="343"/>
    </row>
    <row r="311" spans="1:31" s="217" customFormat="1" hidden="1" outlineLevel="2">
      <c r="A311" s="185"/>
      <c r="B311" s="217">
        <v>14</v>
      </c>
      <c r="C311" s="303" t="str">
        <f>Attribute!C311</f>
        <v>---</v>
      </c>
      <c r="D311" s="218" t="str">
        <f>VLOOKUP(C311,'Talente &amp; Stuff'!DO:EP,2,FALSE)</f>
        <v>--/--/--</v>
      </c>
      <c r="E311" s="243" t="str">
        <f>VLOOKUP(C311,'Talente &amp; Stuff'!DO:EP,3,FALSE)</f>
        <v>-</v>
      </c>
      <c r="F311" s="237">
        <f>VLOOKUP(C311,'Talente &amp; Stuff'!DO:EP,4,FALSE)</f>
        <v>0</v>
      </c>
      <c r="G311" s="234">
        <f>VLOOKUP(C311,'Talente &amp; Stuff'!DO:EP,5,FALSE)</f>
        <v>0</v>
      </c>
      <c r="H311" s="234">
        <f>VLOOKUP(C311,'Talente &amp; Stuff'!DO:EP,6,FALSE)</f>
        <v>0</v>
      </c>
      <c r="I311" s="234">
        <f>VLOOKUP(C311,'Talente &amp; Stuff'!DO:EP,7,FALSE)</f>
        <v>0</v>
      </c>
      <c r="J311" s="234">
        <f>VLOOKUP(C311,'Talente &amp; Stuff'!DO:EP,8,FALSE)</f>
        <v>0</v>
      </c>
      <c r="K311" s="234">
        <f>VLOOKUP(C311,'Talente &amp; Stuff'!DO:EP,9,FALSE)</f>
        <v>0</v>
      </c>
      <c r="L311" s="234">
        <f>VLOOKUP(C311,'Talente &amp; Stuff'!DO:EP,10,FALSE)</f>
        <v>0</v>
      </c>
      <c r="M311" s="224">
        <f>VLOOKUP(C311,'Talente &amp; Stuff'!DO:EP,11,FALSE)</f>
        <v>0</v>
      </c>
      <c r="N311" s="223">
        <f>VLOOKUP(C311,'Talente &amp; Stuff'!DO:EP,12,FALSE)</f>
        <v>0</v>
      </c>
      <c r="O311" s="223">
        <f>VLOOKUP(C311,'Talente &amp; Stuff'!DO:EP,13,FALSE)</f>
        <v>0</v>
      </c>
      <c r="P311" s="224">
        <f>VLOOKUP(C311,'Talente &amp; Stuff'!DO:EP,14,FALSE)</f>
        <v>0</v>
      </c>
      <c r="Q311" s="237">
        <f>VLOOKUP(C311,'Talente &amp; Stuff'!DO:EP,15,FALSE)</f>
        <v>0</v>
      </c>
      <c r="R311" s="234">
        <f>VLOOKUP(C311,'Talente &amp; Stuff'!DO:EP,16,FALSE)</f>
        <v>0</v>
      </c>
      <c r="S311" s="224">
        <f>VLOOKUP(C311,'Talente &amp; Stuff'!DO:EP,17,FALSE)</f>
        <v>0</v>
      </c>
      <c r="T311" s="224">
        <f>VLOOKUP(C311,'Talente &amp; Stuff'!DO:EP,18,FALSE)</f>
        <v>0</v>
      </c>
      <c r="U311" s="222">
        <f>VLOOKUP(C311,'Talente &amp; Stuff'!DO:EP,19,FALSE)</f>
        <v>0</v>
      </c>
      <c r="V311" s="223">
        <f>VLOOKUP(C311,'Talente &amp; Stuff'!DO:EP,20,FALSE)</f>
        <v>0</v>
      </c>
      <c r="W311" s="243">
        <f>VLOOKUP(C311,'Talente &amp; Stuff'!DO:EP,21,FALSE)</f>
        <v>0</v>
      </c>
      <c r="X311" s="243">
        <f>VLOOKUP(C311,'Talente &amp; Stuff'!DO:EP,22,FALSE)</f>
        <v>0</v>
      </c>
      <c r="Y311" s="252">
        <f>VLOOKUP(C311,Ausgewählte_Zauber_Zauberbarden,139,FALSE)</f>
        <v>0</v>
      </c>
      <c r="Z311" s="309">
        <f>VLOOKUP(C311,Ausgewählte_Zauber_Zauberbarden,140,FALSE)</f>
        <v>0</v>
      </c>
      <c r="AA311" s="218">
        <f>VLOOKUP(C311,'Talente &amp; Stuff'!DO:EP,25,FALSE)</f>
        <v>0</v>
      </c>
      <c r="AB311" s="242">
        <f>VLOOKUP(C311,'Talente &amp; Stuff'!DO:EP,26,FALSE)</f>
        <v>0</v>
      </c>
      <c r="AC311" s="243">
        <f>VLOOKUP(C311,'Talente &amp; Stuff'!DO:EP,27,FALSE)</f>
        <v>0</v>
      </c>
      <c r="AD311" s="218">
        <f>VLOOKUP(C311,'Talente &amp; Stuff'!DO:EP,28,FALSE)</f>
        <v>0</v>
      </c>
      <c r="AE311" s="343"/>
    </row>
    <row r="312" spans="1:31" s="217" customFormat="1" hidden="1" outlineLevel="2">
      <c r="A312" s="185"/>
      <c r="B312" s="217">
        <v>15</v>
      </c>
      <c r="C312" s="303" t="str">
        <f>Attribute!C312</f>
        <v>---</v>
      </c>
      <c r="D312" s="218" t="str">
        <f>VLOOKUP(C312,'Talente &amp; Stuff'!DO:EP,2,FALSE)</f>
        <v>--/--/--</v>
      </c>
      <c r="E312" s="243" t="str">
        <f>VLOOKUP(C312,'Talente &amp; Stuff'!DO:EP,3,FALSE)</f>
        <v>-</v>
      </c>
      <c r="F312" s="237">
        <f>VLOOKUP(C312,'Talente &amp; Stuff'!DO:EP,4,FALSE)</f>
        <v>0</v>
      </c>
      <c r="G312" s="234">
        <f>VLOOKUP(C312,'Talente &amp; Stuff'!DO:EP,5,FALSE)</f>
        <v>0</v>
      </c>
      <c r="H312" s="234">
        <f>VLOOKUP(C312,'Talente &amp; Stuff'!DO:EP,6,FALSE)</f>
        <v>0</v>
      </c>
      <c r="I312" s="234">
        <f>VLOOKUP(C312,'Talente &amp; Stuff'!DO:EP,7,FALSE)</f>
        <v>0</v>
      </c>
      <c r="J312" s="234">
        <f>VLOOKUP(C312,'Talente &amp; Stuff'!DO:EP,8,FALSE)</f>
        <v>0</v>
      </c>
      <c r="K312" s="234">
        <f>VLOOKUP(C312,'Talente &amp; Stuff'!DO:EP,9,FALSE)</f>
        <v>0</v>
      </c>
      <c r="L312" s="234">
        <f>VLOOKUP(C312,'Talente &amp; Stuff'!DO:EP,10,FALSE)</f>
        <v>0</v>
      </c>
      <c r="M312" s="224">
        <f>VLOOKUP(C312,'Talente &amp; Stuff'!DO:EP,11,FALSE)</f>
        <v>0</v>
      </c>
      <c r="N312" s="223">
        <f>VLOOKUP(C312,'Talente &amp; Stuff'!DO:EP,12,FALSE)</f>
        <v>0</v>
      </c>
      <c r="O312" s="223">
        <f>VLOOKUP(C312,'Talente &amp; Stuff'!DO:EP,13,FALSE)</f>
        <v>0</v>
      </c>
      <c r="P312" s="224">
        <f>VLOOKUP(C312,'Talente &amp; Stuff'!DO:EP,14,FALSE)</f>
        <v>0</v>
      </c>
      <c r="Q312" s="237">
        <f>VLOOKUP(C312,'Talente &amp; Stuff'!DO:EP,15,FALSE)</f>
        <v>0</v>
      </c>
      <c r="R312" s="234">
        <f>VLOOKUP(C312,'Talente &amp; Stuff'!DO:EP,16,FALSE)</f>
        <v>0</v>
      </c>
      <c r="S312" s="224">
        <f>VLOOKUP(C312,'Talente &amp; Stuff'!DO:EP,17,FALSE)</f>
        <v>0</v>
      </c>
      <c r="T312" s="224">
        <f>VLOOKUP(C312,'Talente &amp; Stuff'!DO:EP,18,FALSE)</f>
        <v>0</v>
      </c>
      <c r="U312" s="222">
        <f>VLOOKUP(C312,'Talente &amp; Stuff'!DO:EP,19,FALSE)</f>
        <v>0</v>
      </c>
      <c r="V312" s="223">
        <f>VLOOKUP(C312,'Talente &amp; Stuff'!DO:EP,20,FALSE)</f>
        <v>0</v>
      </c>
      <c r="W312" s="243">
        <f>VLOOKUP(C312,'Talente &amp; Stuff'!DO:EP,21,FALSE)</f>
        <v>0</v>
      </c>
      <c r="X312" s="243">
        <f>VLOOKUP(C312,'Talente &amp; Stuff'!DO:EP,22,FALSE)</f>
        <v>0</v>
      </c>
      <c r="Y312" s="252">
        <f>VLOOKUP(C312,Ausgewählte_Zauber_Zauberbarden,139,FALSE)</f>
        <v>0</v>
      </c>
      <c r="Z312" s="309">
        <f>VLOOKUP(C312,Ausgewählte_Zauber_Zauberbarden,140,FALSE)</f>
        <v>0</v>
      </c>
      <c r="AA312" s="218">
        <f>VLOOKUP(C312,'Talente &amp; Stuff'!DO:EP,25,FALSE)</f>
        <v>0</v>
      </c>
      <c r="AB312" s="242">
        <f>VLOOKUP(C312,'Talente &amp; Stuff'!DO:EP,26,FALSE)</f>
        <v>0</v>
      </c>
      <c r="AC312" s="243">
        <f>VLOOKUP(C312,'Talente &amp; Stuff'!DO:EP,27,FALSE)</f>
        <v>0</v>
      </c>
      <c r="AD312" s="218">
        <f>VLOOKUP(C312,'Talente &amp; Stuff'!DO:EP,28,FALSE)</f>
        <v>0</v>
      </c>
      <c r="AE312" s="343"/>
    </row>
    <row r="313" spans="1:31" s="217" customFormat="1" hidden="1" outlineLevel="2">
      <c r="A313" s="185"/>
      <c r="B313" s="217">
        <v>16</v>
      </c>
      <c r="C313" s="303" t="str">
        <f>Attribute!C313</f>
        <v>---</v>
      </c>
      <c r="D313" s="304" t="str">
        <f>VLOOKUP(C313,'Talente &amp; Stuff'!DO:EP,2,FALSE)</f>
        <v>--/--/--</v>
      </c>
      <c r="E313" s="305" t="str">
        <f>VLOOKUP(C313,'Talente &amp; Stuff'!DO:EP,3,FALSE)</f>
        <v>-</v>
      </c>
      <c r="F313" s="317">
        <f>VLOOKUP(C313,'Talente &amp; Stuff'!DO:EP,4,FALSE)</f>
        <v>0</v>
      </c>
      <c r="G313" s="254">
        <f>VLOOKUP(C313,'Talente &amp; Stuff'!DO:EP,5,FALSE)</f>
        <v>0</v>
      </c>
      <c r="H313" s="254">
        <f>VLOOKUP(C313,'Talente &amp; Stuff'!DO:EP,6,FALSE)</f>
        <v>0</v>
      </c>
      <c r="I313" s="254">
        <f>VLOOKUP(C313,'Talente &amp; Stuff'!DO:EP,7,FALSE)</f>
        <v>0</v>
      </c>
      <c r="J313" s="254">
        <f>VLOOKUP(C313,'Talente &amp; Stuff'!DO:EP,8,FALSE)</f>
        <v>0</v>
      </c>
      <c r="K313" s="254">
        <f>VLOOKUP(C313,'Talente &amp; Stuff'!DO:EP,9,FALSE)</f>
        <v>0</v>
      </c>
      <c r="L313" s="254">
        <f>VLOOKUP(C313,'Talente &amp; Stuff'!DO:EP,10,FALSE)</f>
        <v>0</v>
      </c>
      <c r="M313" s="318">
        <f>VLOOKUP(C313,'Talente &amp; Stuff'!DO:EP,11,FALSE)</f>
        <v>0</v>
      </c>
      <c r="N313" s="223">
        <f>VLOOKUP(C313,'Talente &amp; Stuff'!DO:EP,12,FALSE)</f>
        <v>0</v>
      </c>
      <c r="O313" s="223">
        <f>VLOOKUP(C313,'Talente &amp; Stuff'!DO:EP,13,FALSE)</f>
        <v>0</v>
      </c>
      <c r="P313" s="224">
        <f>VLOOKUP(C313,'Talente &amp; Stuff'!DO:EP,14,FALSE)</f>
        <v>0</v>
      </c>
      <c r="Q313" s="237">
        <f>VLOOKUP(C313,'Talente &amp; Stuff'!DO:EP,15,FALSE)</f>
        <v>0</v>
      </c>
      <c r="R313" s="254">
        <f>VLOOKUP(C313,'Talente &amp; Stuff'!DO:EP,16,FALSE)</f>
        <v>0</v>
      </c>
      <c r="S313" s="224">
        <f>VLOOKUP(C313,'Talente &amp; Stuff'!DO:EP,17,FALSE)</f>
        <v>0</v>
      </c>
      <c r="T313" s="224">
        <f>VLOOKUP(C313,'Talente &amp; Stuff'!DO:EP,18,FALSE)</f>
        <v>0</v>
      </c>
      <c r="U313" s="222">
        <f>VLOOKUP(C313,'Talente &amp; Stuff'!DO:EP,19,FALSE)</f>
        <v>0</v>
      </c>
      <c r="V313" s="223">
        <f>VLOOKUP(C313,'Talente &amp; Stuff'!DO:EP,20,FALSE)</f>
        <v>0</v>
      </c>
      <c r="W313" s="243">
        <f>VLOOKUP(C313,'Talente &amp; Stuff'!DO:EP,21,FALSE)</f>
        <v>0</v>
      </c>
      <c r="X313" s="243">
        <f>VLOOKUP(C313,'Talente &amp; Stuff'!DO:EP,22,FALSE)</f>
        <v>0</v>
      </c>
      <c r="Y313" s="252">
        <f>VLOOKUP(C313,Ausgewählte_Zauber_Zauberbarden,139,FALSE)</f>
        <v>0</v>
      </c>
      <c r="Z313" s="309">
        <f>VLOOKUP(C313,Ausgewählte_Zauber_Zauberbarden,140,FALSE)</f>
        <v>0</v>
      </c>
      <c r="AA313" s="218">
        <f>VLOOKUP(C313,'Talente &amp; Stuff'!DO:EP,25,FALSE)</f>
        <v>0</v>
      </c>
      <c r="AB313" s="242">
        <f>VLOOKUP(C313,'Talente &amp; Stuff'!DO:EP,26,FALSE)</f>
        <v>0</v>
      </c>
      <c r="AC313" s="243">
        <f>VLOOKUP(C313,'Talente &amp; Stuff'!DO:EP,27,FALSE)</f>
        <v>0</v>
      </c>
      <c r="AD313" s="218">
        <f>VLOOKUP(C313,'Talente &amp; Stuff'!DO:EP,28,FALSE)</f>
        <v>0</v>
      </c>
      <c r="AE313" s="343"/>
    </row>
    <row r="314" spans="1:31" s="217" customFormat="1" hidden="1" outlineLevel="2">
      <c r="A314" s="185"/>
      <c r="B314" s="217">
        <v>17</v>
      </c>
      <c r="C314" s="303" t="str">
        <f>Attribute!C314</f>
        <v>---</v>
      </c>
      <c r="D314" s="218" t="str">
        <f>VLOOKUP(C314,'Talente &amp; Stuff'!DO:EP,2,FALSE)</f>
        <v>--/--/--</v>
      </c>
      <c r="E314" s="243" t="str">
        <f>VLOOKUP(C314,'Talente &amp; Stuff'!DO:EP,3,FALSE)</f>
        <v>-</v>
      </c>
      <c r="F314" s="237">
        <f>VLOOKUP(C314,'Talente &amp; Stuff'!DO:EP,4,FALSE)</f>
        <v>0</v>
      </c>
      <c r="G314" s="234">
        <f>VLOOKUP(C314,'Talente &amp; Stuff'!DO:EP,5,FALSE)</f>
        <v>0</v>
      </c>
      <c r="H314" s="234">
        <f>VLOOKUP(C314,'Talente &amp; Stuff'!DO:EP,6,FALSE)</f>
        <v>0</v>
      </c>
      <c r="I314" s="234">
        <f>VLOOKUP(C314,'Talente &amp; Stuff'!DO:EP,7,FALSE)</f>
        <v>0</v>
      </c>
      <c r="J314" s="234">
        <f>VLOOKUP(C314,'Talente &amp; Stuff'!DO:EP,8,FALSE)</f>
        <v>0</v>
      </c>
      <c r="K314" s="234">
        <f>VLOOKUP(C314,'Talente &amp; Stuff'!DO:EP,9,FALSE)</f>
        <v>0</v>
      </c>
      <c r="L314" s="234">
        <f>VLOOKUP(C314,'Talente &amp; Stuff'!DO:EP,10,FALSE)</f>
        <v>0</v>
      </c>
      <c r="M314" s="224">
        <f>VLOOKUP(C314,'Talente &amp; Stuff'!DO:EP,11,FALSE)</f>
        <v>0</v>
      </c>
      <c r="N314" s="223">
        <f>VLOOKUP(C314,'Talente &amp; Stuff'!DO:EP,12,FALSE)</f>
        <v>0</v>
      </c>
      <c r="O314" s="223">
        <f>VLOOKUP(C314,'Talente &amp; Stuff'!DO:EP,13,FALSE)</f>
        <v>0</v>
      </c>
      <c r="P314" s="224">
        <f>VLOOKUP(C314,'Talente &amp; Stuff'!DO:EP,14,FALSE)</f>
        <v>0</v>
      </c>
      <c r="Q314" s="237">
        <f>VLOOKUP(C314,'Talente &amp; Stuff'!DO:EP,15,FALSE)</f>
        <v>0</v>
      </c>
      <c r="R314" s="234">
        <f>VLOOKUP(C314,'Talente &amp; Stuff'!DO:EP,16,FALSE)</f>
        <v>0</v>
      </c>
      <c r="S314" s="224">
        <f>VLOOKUP(C314,'Talente &amp; Stuff'!DO:EP,17,FALSE)</f>
        <v>0</v>
      </c>
      <c r="T314" s="224">
        <f>VLOOKUP(C314,'Talente &amp; Stuff'!DO:EP,18,FALSE)</f>
        <v>0</v>
      </c>
      <c r="U314" s="222">
        <f>VLOOKUP(C314,'Talente &amp; Stuff'!DO:EP,19,FALSE)</f>
        <v>0</v>
      </c>
      <c r="V314" s="223">
        <f>VLOOKUP(C314,'Talente &amp; Stuff'!DO:EP,20,FALSE)</f>
        <v>0</v>
      </c>
      <c r="W314" s="243">
        <f>VLOOKUP(C314,'Talente &amp; Stuff'!DO:EP,21,FALSE)</f>
        <v>0</v>
      </c>
      <c r="X314" s="243">
        <f>VLOOKUP(C314,'Talente &amp; Stuff'!DO:EP,22,FALSE)</f>
        <v>0</v>
      </c>
      <c r="Y314" s="252">
        <f>VLOOKUP(C314,Ausgewählte_Zauber_Zauberbarden,139,FALSE)</f>
        <v>0</v>
      </c>
      <c r="Z314" s="309">
        <f>VLOOKUP(C314,Ausgewählte_Zauber_Zauberbarden,140,FALSE)</f>
        <v>0</v>
      </c>
      <c r="AA314" s="218">
        <f>VLOOKUP(C314,'Talente &amp; Stuff'!DO:EP,25,FALSE)</f>
        <v>0</v>
      </c>
      <c r="AB314" s="242">
        <f>VLOOKUP(C314,'Talente &amp; Stuff'!DO:EP,26,FALSE)</f>
        <v>0</v>
      </c>
      <c r="AC314" s="243">
        <f>VLOOKUP(C314,'Talente &amp; Stuff'!DO:EP,27,FALSE)</f>
        <v>0</v>
      </c>
      <c r="AD314" s="218">
        <f>VLOOKUP(C314,'Talente &amp; Stuff'!DO:EP,28,FALSE)</f>
        <v>0</v>
      </c>
      <c r="AE314" s="343"/>
    </row>
    <row r="315" spans="1:31" s="217" customFormat="1" hidden="1" outlineLevel="2">
      <c r="A315" s="185"/>
      <c r="B315" s="217">
        <v>18</v>
      </c>
      <c r="C315" s="303" t="str">
        <f>Attribute!C315</f>
        <v>---</v>
      </c>
      <c r="D315" s="218" t="str">
        <f>VLOOKUP(C315,'Talente &amp; Stuff'!DO:EP,2,FALSE)</f>
        <v>--/--/--</v>
      </c>
      <c r="E315" s="243" t="str">
        <f>VLOOKUP(C315,'Talente &amp; Stuff'!DO:EP,3,FALSE)</f>
        <v>-</v>
      </c>
      <c r="F315" s="237">
        <f>VLOOKUP(C315,'Talente &amp; Stuff'!DO:EP,4,FALSE)</f>
        <v>0</v>
      </c>
      <c r="G315" s="234">
        <f>VLOOKUP(C315,'Talente &amp; Stuff'!DO:EP,5,FALSE)</f>
        <v>0</v>
      </c>
      <c r="H315" s="234">
        <f>VLOOKUP(C315,'Talente &amp; Stuff'!DO:EP,6,FALSE)</f>
        <v>0</v>
      </c>
      <c r="I315" s="234">
        <f>VLOOKUP(C315,'Talente &amp; Stuff'!DO:EP,7,FALSE)</f>
        <v>0</v>
      </c>
      <c r="J315" s="234">
        <f>VLOOKUP(C315,'Talente &amp; Stuff'!DO:EP,8,FALSE)</f>
        <v>0</v>
      </c>
      <c r="K315" s="234">
        <f>VLOOKUP(C315,'Talente &amp; Stuff'!DO:EP,9,FALSE)</f>
        <v>0</v>
      </c>
      <c r="L315" s="234">
        <f>VLOOKUP(C315,'Talente &amp; Stuff'!DO:EP,10,FALSE)</f>
        <v>0</v>
      </c>
      <c r="M315" s="224">
        <f>VLOOKUP(C315,'Talente &amp; Stuff'!DO:EP,11,FALSE)</f>
        <v>0</v>
      </c>
      <c r="N315" s="223">
        <f>VLOOKUP(C315,'Talente &amp; Stuff'!DO:EP,12,FALSE)</f>
        <v>0</v>
      </c>
      <c r="O315" s="223">
        <f>VLOOKUP(C315,'Talente &amp; Stuff'!DO:EP,13,FALSE)</f>
        <v>0</v>
      </c>
      <c r="P315" s="224">
        <f>VLOOKUP(C315,'Talente &amp; Stuff'!DO:EP,14,FALSE)</f>
        <v>0</v>
      </c>
      <c r="Q315" s="237">
        <f>VLOOKUP(C315,'Talente &amp; Stuff'!DO:EP,15,FALSE)</f>
        <v>0</v>
      </c>
      <c r="R315" s="234">
        <f>VLOOKUP(C315,'Talente &amp; Stuff'!DO:EP,16,FALSE)</f>
        <v>0</v>
      </c>
      <c r="S315" s="224">
        <f>VLOOKUP(C315,'Talente &amp; Stuff'!DO:EP,17,FALSE)</f>
        <v>0</v>
      </c>
      <c r="T315" s="224">
        <f>VLOOKUP(C315,'Talente &amp; Stuff'!DO:EP,18,FALSE)</f>
        <v>0</v>
      </c>
      <c r="U315" s="222">
        <f>VLOOKUP(C315,'Talente &amp; Stuff'!DO:EP,19,FALSE)</f>
        <v>0</v>
      </c>
      <c r="V315" s="223">
        <f>VLOOKUP(C315,'Talente &amp; Stuff'!DO:EP,20,FALSE)</f>
        <v>0</v>
      </c>
      <c r="W315" s="243">
        <f>VLOOKUP(C315,'Talente &amp; Stuff'!DO:EP,21,FALSE)</f>
        <v>0</v>
      </c>
      <c r="X315" s="243">
        <f>VLOOKUP(C315,'Talente &amp; Stuff'!DO:EP,22,FALSE)</f>
        <v>0</v>
      </c>
      <c r="Y315" s="252">
        <f>VLOOKUP(C315,Ausgewählte_Zauber_Zauberbarden,139,FALSE)</f>
        <v>0</v>
      </c>
      <c r="Z315" s="309">
        <f>VLOOKUP(C315,Ausgewählte_Zauber_Zauberbarden,140,FALSE)</f>
        <v>0</v>
      </c>
      <c r="AA315" s="218">
        <f>VLOOKUP(C315,'Talente &amp; Stuff'!DO:EP,25,FALSE)</f>
        <v>0</v>
      </c>
      <c r="AB315" s="242">
        <f>VLOOKUP(C315,'Talente &amp; Stuff'!DO:EP,26,FALSE)</f>
        <v>0</v>
      </c>
      <c r="AC315" s="243">
        <f>VLOOKUP(C315,'Talente &amp; Stuff'!DO:EP,27,FALSE)</f>
        <v>0</v>
      </c>
      <c r="AD315" s="218">
        <f>VLOOKUP(C315,'Talente &amp; Stuff'!DO:EP,28,FALSE)</f>
        <v>0</v>
      </c>
      <c r="AE315" s="343"/>
    </row>
    <row r="316" spans="1:31" s="217" customFormat="1" hidden="1" outlineLevel="2">
      <c r="A316" s="185"/>
      <c r="B316" s="217">
        <v>19</v>
      </c>
      <c r="C316" s="303" t="str">
        <f>Attribute!C316</f>
        <v>---</v>
      </c>
      <c r="D316" s="218" t="str">
        <f>VLOOKUP(C316,'Talente &amp; Stuff'!DO:EP,2,FALSE)</f>
        <v>--/--/--</v>
      </c>
      <c r="E316" s="243" t="str">
        <f>VLOOKUP(C316,'Talente &amp; Stuff'!DO:EP,3,FALSE)</f>
        <v>-</v>
      </c>
      <c r="F316" s="237">
        <f>VLOOKUP(C316,'Talente &amp; Stuff'!DO:EP,4,FALSE)</f>
        <v>0</v>
      </c>
      <c r="G316" s="234">
        <f>VLOOKUP(C316,'Talente &amp; Stuff'!DO:EP,5,FALSE)</f>
        <v>0</v>
      </c>
      <c r="H316" s="234">
        <f>VLOOKUP(C316,'Talente &amp; Stuff'!DO:EP,6,FALSE)</f>
        <v>0</v>
      </c>
      <c r="I316" s="234">
        <f>VLOOKUP(C316,'Talente &amp; Stuff'!DO:EP,7,FALSE)</f>
        <v>0</v>
      </c>
      <c r="J316" s="234">
        <f>VLOOKUP(C316,'Talente &amp; Stuff'!DO:EP,8,FALSE)</f>
        <v>0</v>
      </c>
      <c r="K316" s="234">
        <f>VLOOKUP(C316,'Talente &amp; Stuff'!DO:EP,9,FALSE)</f>
        <v>0</v>
      </c>
      <c r="L316" s="234">
        <f>VLOOKUP(C316,'Talente &amp; Stuff'!DO:EP,10,FALSE)</f>
        <v>0</v>
      </c>
      <c r="M316" s="224">
        <f>VLOOKUP(C316,'Talente &amp; Stuff'!DO:EP,11,FALSE)</f>
        <v>0</v>
      </c>
      <c r="N316" s="223">
        <f>VLOOKUP(C316,'Talente &amp; Stuff'!DO:EP,12,FALSE)</f>
        <v>0</v>
      </c>
      <c r="O316" s="223">
        <f>VLOOKUP(C316,'Talente &amp; Stuff'!DO:EP,13,FALSE)</f>
        <v>0</v>
      </c>
      <c r="P316" s="224">
        <f>VLOOKUP(C316,'Talente &amp; Stuff'!DO:EP,14,FALSE)</f>
        <v>0</v>
      </c>
      <c r="Q316" s="237">
        <f>VLOOKUP(C316,'Talente &amp; Stuff'!DO:EP,15,FALSE)</f>
        <v>0</v>
      </c>
      <c r="R316" s="234">
        <f>VLOOKUP(C316,'Talente &amp; Stuff'!DO:EP,16,FALSE)</f>
        <v>0</v>
      </c>
      <c r="S316" s="224">
        <f>VLOOKUP(C316,'Talente &amp; Stuff'!DO:EP,17,FALSE)</f>
        <v>0</v>
      </c>
      <c r="T316" s="224">
        <f>VLOOKUP(C316,'Talente &amp; Stuff'!DO:EP,18,FALSE)</f>
        <v>0</v>
      </c>
      <c r="U316" s="222">
        <f>VLOOKUP(C316,'Talente &amp; Stuff'!DO:EP,19,FALSE)</f>
        <v>0</v>
      </c>
      <c r="V316" s="223">
        <f>VLOOKUP(C316,'Talente &amp; Stuff'!DO:EP,20,FALSE)</f>
        <v>0</v>
      </c>
      <c r="W316" s="243">
        <f>VLOOKUP(C316,'Talente &amp; Stuff'!DO:EP,21,FALSE)</f>
        <v>0</v>
      </c>
      <c r="X316" s="243">
        <f>VLOOKUP(C316,'Talente &amp; Stuff'!DO:EP,22,FALSE)</f>
        <v>0</v>
      </c>
      <c r="Y316" s="252">
        <f>VLOOKUP(C316,Ausgewählte_Zauber_Zauberbarden,139,FALSE)</f>
        <v>0</v>
      </c>
      <c r="Z316" s="309">
        <f>VLOOKUP(C316,Ausgewählte_Zauber_Zauberbarden,140,FALSE)</f>
        <v>0</v>
      </c>
      <c r="AA316" s="218">
        <f>VLOOKUP(C316,'Talente &amp; Stuff'!DO:EP,25,FALSE)</f>
        <v>0</v>
      </c>
      <c r="AB316" s="242">
        <f>VLOOKUP(C316,'Talente &amp; Stuff'!DO:EP,26,FALSE)</f>
        <v>0</v>
      </c>
      <c r="AC316" s="243">
        <f>VLOOKUP(C316,'Talente &amp; Stuff'!DO:EP,27,FALSE)</f>
        <v>0</v>
      </c>
      <c r="AD316" s="218">
        <f>VLOOKUP(C316,'Talente &amp; Stuff'!DO:EP,28,FALSE)</f>
        <v>0</v>
      </c>
      <c r="AE316" s="343"/>
    </row>
    <row r="317" spans="1:31" s="217" customFormat="1" hidden="1" outlineLevel="2">
      <c r="A317" s="185"/>
      <c r="B317" s="217">
        <v>20</v>
      </c>
      <c r="C317" s="303" t="str">
        <f>Attribute!C317</f>
        <v>---</v>
      </c>
      <c r="D317" s="218" t="str">
        <f>VLOOKUP(C317,'Talente &amp; Stuff'!DO:EP,2,FALSE)</f>
        <v>--/--/--</v>
      </c>
      <c r="E317" s="243" t="str">
        <f>VLOOKUP(C317,'Talente &amp; Stuff'!DO:EP,3,FALSE)</f>
        <v>-</v>
      </c>
      <c r="F317" s="237">
        <f>VLOOKUP(C317,'Talente &amp; Stuff'!DO:EP,4,FALSE)</f>
        <v>0</v>
      </c>
      <c r="G317" s="234">
        <f>VLOOKUP(C317,'Talente &amp; Stuff'!DO:EP,5,FALSE)</f>
        <v>0</v>
      </c>
      <c r="H317" s="234">
        <f>VLOOKUP(C317,'Talente &amp; Stuff'!DO:EP,6,FALSE)</f>
        <v>0</v>
      </c>
      <c r="I317" s="234">
        <f>VLOOKUP(C317,'Talente &amp; Stuff'!DO:EP,7,FALSE)</f>
        <v>0</v>
      </c>
      <c r="J317" s="234">
        <f>VLOOKUP(C317,'Talente &amp; Stuff'!DO:EP,8,FALSE)</f>
        <v>0</v>
      </c>
      <c r="K317" s="234">
        <f>VLOOKUP(C317,'Talente &amp; Stuff'!DO:EP,9,FALSE)</f>
        <v>0</v>
      </c>
      <c r="L317" s="234">
        <f>VLOOKUP(C317,'Talente &amp; Stuff'!DO:EP,10,FALSE)</f>
        <v>0</v>
      </c>
      <c r="M317" s="224">
        <f>VLOOKUP(C317,'Talente &amp; Stuff'!DO:EP,11,FALSE)</f>
        <v>0</v>
      </c>
      <c r="N317" s="223">
        <f>VLOOKUP(C317,'Talente &amp; Stuff'!DO:EP,12,FALSE)</f>
        <v>0</v>
      </c>
      <c r="O317" s="223">
        <f>VLOOKUP(C317,'Talente &amp; Stuff'!DO:EP,13,FALSE)</f>
        <v>0</v>
      </c>
      <c r="P317" s="224">
        <f>VLOOKUP(C317,'Talente &amp; Stuff'!DO:EP,14,FALSE)</f>
        <v>0</v>
      </c>
      <c r="Q317" s="237">
        <f>VLOOKUP(C317,'Talente &amp; Stuff'!DO:EP,15,FALSE)</f>
        <v>0</v>
      </c>
      <c r="R317" s="234">
        <f>VLOOKUP(C317,'Talente &amp; Stuff'!DO:EP,16,FALSE)</f>
        <v>0</v>
      </c>
      <c r="S317" s="224">
        <f>VLOOKUP(C317,'Talente &amp; Stuff'!DO:EP,17,FALSE)</f>
        <v>0</v>
      </c>
      <c r="T317" s="224">
        <f>VLOOKUP(C317,'Talente &amp; Stuff'!DO:EP,18,FALSE)</f>
        <v>0</v>
      </c>
      <c r="U317" s="222">
        <f>VLOOKUP(C317,'Talente &amp; Stuff'!DO:EP,19,FALSE)</f>
        <v>0</v>
      </c>
      <c r="V317" s="223">
        <f>VLOOKUP(C317,'Talente &amp; Stuff'!DO:EP,20,FALSE)</f>
        <v>0</v>
      </c>
      <c r="W317" s="243">
        <f>VLOOKUP(C317,'Talente &amp; Stuff'!DO:EP,21,FALSE)</f>
        <v>0</v>
      </c>
      <c r="X317" s="243">
        <f>VLOOKUP(C317,'Talente &amp; Stuff'!DO:EP,22,FALSE)</f>
        <v>0</v>
      </c>
      <c r="Y317" s="252">
        <f>VLOOKUP(C317,Ausgewählte_Zauber_Zauberbarden,139,FALSE)</f>
        <v>0</v>
      </c>
      <c r="Z317" s="309">
        <f>VLOOKUP(C317,Ausgewählte_Zauber_Zauberbarden,140,FALSE)</f>
        <v>0</v>
      </c>
      <c r="AA317" s="218">
        <f>VLOOKUP(C317,'Talente &amp; Stuff'!DO:EP,25,FALSE)</f>
        <v>0</v>
      </c>
      <c r="AB317" s="242">
        <f>VLOOKUP(C317,'Talente &amp; Stuff'!DO:EP,26,FALSE)</f>
        <v>0</v>
      </c>
      <c r="AC317" s="243">
        <f>VLOOKUP(C317,'Talente &amp; Stuff'!DO:EP,27,FALSE)</f>
        <v>0</v>
      </c>
      <c r="AD317" s="218">
        <f>VLOOKUP(C317,'Talente &amp; Stuff'!DO:EP,28,FALSE)</f>
        <v>0</v>
      </c>
      <c r="AE317" s="343"/>
    </row>
    <row r="318" spans="1:31" s="217" customFormat="1" hidden="1" outlineLevel="2">
      <c r="A318" s="185"/>
      <c r="B318" s="217">
        <v>21</v>
      </c>
      <c r="C318" s="303" t="str">
        <f>Attribute!C318</f>
        <v>---</v>
      </c>
      <c r="D318" s="218" t="str">
        <f>VLOOKUP(C318,'Talente &amp; Stuff'!DO:EP,2,FALSE)</f>
        <v>--/--/--</v>
      </c>
      <c r="E318" s="243" t="str">
        <f>VLOOKUP(C318,'Talente &amp; Stuff'!DO:EP,3,FALSE)</f>
        <v>-</v>
      </c>
      <c r="F318" s="237">
        <f>VLOOKUP(C318,'Talente &amp; Stuff'!DO:EP,4,FALSE)</f>
        <v>0</v>
      </c>
      <c r="G318" s="234">
        <f>VLOOKUP(C318,'Talente &amp; Stuff'!DO:EP,5,FALSE)</f>
        <v>0</v>
      </c>
      <c r="H318" s="234">
        <f>VLOOKUP(C318,'Talente &amp; Stuff'!DO:EP,6,FALSE)</f>
        <v>0</v>
      </c>
      <c r="I318" s="234">
        <f>VLOOKUP(C318,'Talente &amp; Stuff'!DO:EP,7,FALSE)</f>
        <v>0</v>
      </c>
      <c r="J318" s="234">
        <f>VLOOKUP(C318,'Talente &amp; Stuff'!DO:EP,8,FALSE)</f>
        <v>0</v>
      </c>
      <c r="K318" s="234">
        <f>VLOOKUP(C318,'Talente &amp; Stuff'!DO:EP,9,FALSE)</f>
        <v>0</v>
      </c>
      <c r="L318" s="234">
        <f>VLOOKUP(C318,'Talente &amp; Stuff'!DO:EP,10,FALSE)</f>
        <v>0</v>
      </c>
      <c r="M318" s="224">
        <f>VLOOKUP(C318,'Talente &amp; Stuff'!DO:EP,11,FALSE)</f>
        <v>0</v>
      </c>
      <c r="N318" s="223">
        <f>VLOOKUP(C318,'Talente &amp; Stuff'!DO:EP,12,FALSE)</f>
        <v>0</v>
      </c>
      <c r="O318" s="223">
        <f>VLOOKUP(C318,'Talente &amp; Stuff'!DO:EP,13,FALSE)</f>
        <v>0</v>
      </c>
      <c r="P318" s="224">
        <f>VLOOKUP(C318,'Talente &amp; Stuff'!DO:EP,14,FALSE)</f>
        <v>0</v>
      </c>
      <c r="Q318" s="237">
        <f>VLOOKUP(C318,'Talente &amp; Stuff'!DO:EP,15,FALSE)</f>
        <v>0</v>
      </c>
      <c r="R318" s="234">
        <f>VLOOKUP(C318,'Talente &amp; Stuff'!DO:EP,16,FALSE)</f>
        <v>0</v>
      </c>
      <c r="S318" s="224">
        <f>VLOOKUP(C318,'Talente &amp; Stuff'!DO:EP,17,FALSE)</f>
        <v>0</v>
      </c>
      <c r="T318" s="224">
        <f>VLOOKUP(C318,'Talente &amp; Stuff'!DO:EP,18,FALSE)</f>
        <v>0</v>
      </c>
      <c r="U318" s="222">
        <f>VLOOKUP(C318,'Talente &amp; Stuff'!DO:EP,19,FALSE)</f>
        <v>0</v>
      </c>
      <c r="V318" s="223">
        <f>VLOOKUP(C318,'Talente &amp; Stuff'!DO:EP,20,FALSE)</f>
        <v>0</v>
      </c>
      <c r="W318" s="243">
        <f>VLOOKUP(C318,'Talente &amp; Stuff'!DO:EP,21,FALSE)</f>
        <v>0</v>
      </c>
      <c r="X318" s="243">
        <f>VLOOKUP(C318,'Talente &amp; Stuff'!DO:EP,22,FALSE)</f>
        <v>0</v>
      </c>
      <c r="Y318" s="252">
        <f>VLOOKUP(C318,Ausgewählte_Zauber_Zauberbarden,139,FALSE)</f>
        <v>0</v>
      </c>
      <c r="Z318" s="309">
        <f>VLOOKUP(C318,Ausgewählte_Zauber_Zauberbarden,140,FALSE)</f>
        <v>0</v>
      </c>
      <c r="AA318" s="218">
        <f>VLOOKUP(C318,'Talente &amp; Stuff'!DO:EP,25,FALSE)</f>
        <v>0</v>
      </c>
      <c r="AB318" s="242">
        <f>VLOOKUP(C318,'Talente &amp; Stuff'!DO:EP,26,FALSE)</f>
        <v>0</v>
      </c>
      <c r="AC318" s="243">
        <f>VLOOKUP(C318,'Talente &amp; Stuff'!DO:EP,27,FALSE)</f>
        <v>0</v>
      </c>
      <c r="AD318" s="218">
        <f>VLOOKUP(C318,'Talente &amp; Stuff'!DO:EP,28,FALSE)</f>
        <v>0</v>
      </c>
      <c r="AE318" s="343"/>
    </row>
    <row r="319" spans="1:31" s="217" customFormat="1" hidden="1" outlineLevel="2">
      <c r="A319" s="185"/>
      <c r="B319" s="217">
        <v>22</v>
      </c>
      <c r="C319" s="303" t="str">
        <f>Attribute!C319</f>
        <v>---</v>
      </c>
      <c r="D319" s="218" t="str">
        <f>VLOOKUP(C319,'Talente &amp; Stuff'!DO:EP,2,FALSE)</f>
        <v>--/--/--</v>
      </c>
      <c r="E319" s="243" t="str">
        <f>VLOOKUP(C319,'Talente &amp; Stuff'!DO:EP,3,FALSE)</f>
        <v>-</v>
      </c>
      <c r="F319" s="237">
        <f>VLOOKUP(C319,'Talente &amp; Stuff'!DO:EP,4,FALSE)</f>
        <v>0</v>
      </c>
      <c r="G319" s="234">
        <f>VLOOKUP(C319,'Talente &amp; Stuff'!DO:EP,5,FALSE)</f>
        <v>0</v>
      </c>
      <c r="H319" s="234">
        <f>VLOOKUP(C319,'Talente &amp; Stuff'!DO:EP,6,FALSE)</f>
        <v>0</v>
      </c>
      <c r="I319" s="234">
        <f>VLOOKUP(C319,'Talente &amp; Stuff'!DO:EP,7,FALSE)</f>
        <v>0</v>
      </c>
      <c r="J319" s="234">
        <f>VLOOKUP(C319,'Talente &amp; Stuff'!DO:EP,8,FALSE)</f>
        <v>0</v>
      </c>
      <c r="K319" s="234">
        <f>VLOOKUP(C319,'Talente &amp; Stuff'!DO:EP,9,FALSE)</f>
        <v>0</v>
      </c>
      <c r="L319" s="234">
        <f>VLOOKUP(C319,'Talente &amp; Stuff'!DO:EP,10,FALSE)</f>
        <v>0</v>
      </c>
      <c r="M319" s="224">
        <f>VLOOKUP(C319,'Talente &amp; Stuff'!DO:EP,11,FALSE)</f>
        <v>0</v>
      </c>
      <c r="N319" s="223">
        <f>VLOOKUP(C319,'Talente &amp; Stuff'!DO:EP,12,FALSE)</f>
        <v>0</v>
      </c>
      <c r="O319" s="223">
        <f>VLOOKUP(C319,'Talente &amp; Stuff'!DO:EP,13,FALSE)</f>
        <v>0</v>
      </c>
      <c r="P319" s="224">
        <f>VLOOKUP(C319,'Talente &amp; Stuff'!DO:EP,14,FALSE)</f>
        <v>0</v>
      </c>
      <c r="Q319" s="237">
        <f>VLOOKUP(C319,'Talente &amp; Stuff'!DO:EP,15,FALSE)</f>
        <v>0</v>
      </c>
      <c r="R319" s="234">
        <f>VLOOKUP(C319,'Talente &amp; Stuff'!DO:EP,16,FALSE)</f>
        <v>0</v>
      </c>
      <c r="S319" s="224">
        <f>VLOOKUP(C319,'Talente &amp; Stuff'!DO:EP,17,FALSE)</f>
        <v>0</v>
      </c>
      <c r="T319" s="224">
        <f>VLOOKUP(C319,'Talente &amp; Stuff'!DO:EP,18,FALSE)</f>
        <v>0</v>
      </c>
      <c r="U319" s="222">
        <f>VLOOKUP(C319,'Talente &amp; Stuff'!DO:EP,19,FALSE)</f>
        <v>0</v>
      </c>
      <c r="V319" s="223">
        <f>VLOOKUP(C319,'Talente &amp; Stuff'!DO:EP,20,FALSE)</f>
        <v>0</v>
      </c>
      <c r="W319" s="243">
        <f>VLOOKUP(C319,'Talente &amp; Stuff'!DO:EP,21,FALSE)</f>
        <v>0</v>
      </c>
      <c r="X319" s="243">
        <f>VLOOKUP(C319,'Talente &amp; Stuff'!DO:EP,22,FALSE)</f>
        <v>0</v>
      </c>
      <c r="Y319" s="252">
        <f>VLOOKUP(C319,Ausgewählte_Zauber_Zauberbarden,139,FALSE)</f>
        <v>0</v>
      </c>
      <c r="Z319" s="309">
        <f>VLOOKUP(C319,Ausgewählte_Zauber_Zauberbarden,140,FALSE)</f>
        <v>0</v>
      </c>
      <c r="AA319" s="218">
        <f>VLOOKUP(C319,'Talente &amp; Stuff'!DO:EP,25,FALSE)</f>
        <v>0</v>
      </c>
      <c r="AB319" s="242">
        <f>VLOOKUP(C319,'Talente &amp; Stuff'!DO:EP,26,FALSE)</f>
        <v>0</v>
      </c>
      <c r="AC319" s="243">
        <f>VLOOKUP(C319,'Talente &amp; Stuff'!DO:EP,27,FALSE)</f>
        <v>0</v>
      </c>
      <c r="AD319" s="218">
        <f>VLOOKUP(C319,'Talente &amp; Stuff'!DO:EP,28,FALSE)</f>
        <v>0</v>
      </c>
      <c r="AE319" s="343"/>
    </row>
    <row r="320" spans="1:31" s="217" customFormat="1" hidden="1" outlineLevel="2">
      <c r="A320" s="185"/>
      <c r="B320" s="217">
        <v>23</v>
      </c>
      <c r="C320" s="303" t="str">
        <f>Attribute!C320</f>
        <v>---</v>
      </c>
      <c r="D320" s="218" t="str">
        <f>VLOOKUP(C320,'Talente &amp; Stuff'!DO:EP,2,FALSE)</f>
        <v>--/--/--</v>
      </c>
      <c r="E320" s="243" t="str">
        <f>VLOOKUP(C320,'Talente &amp; Stuff'!DO:EP,3,FALSE)</f>
        <v>-</v>
      </c>
      <c r="F320" s="237">
        <f>VLOOKUP(C320,'Talente &amp; Stuff'!DO:EP,4,FALSE)</f>
        <v>0</v>
      </c>
      <c r="G320" s="234">
        <f>VLOOKUP(C320,'Talente &amp; Stuff'!DO:EP,5,FALSE)</f>
        <v>0</v>
      </c>
      <c r="H320" s="234">
        <f>VLOOKUP(C320,'Talente &amp; Stuff'!DO:EP,6,FALSE)</f>
        <v>0</v>
      </c>
      <c r="I320" s="234">
        <f>VLOOKUP(C320,'Talente &amp; Stuff'!DO:EP,7,FALSE)</f>
        <v>0</v>
      </c>
      <c r="J320" s="234">
        <f>VLOOKUP(C320,'Talente &amp; Stuff'!DO:EP,8,FALSE)</f>
        <v>0</v>
      </c>
      <c r="K320" s="234">
        <f>VLOOKUP(C320,'Talente &amp; Stuff'!DO:EP,9,FALSE)</f>
        <v>0</v>
      </c>
      <c r="L320" s="234">
        <f>VLOOKUP(C320,'Talente &amp; Stuff'!DO:EP,10,FALSE)</f>
        <v>0</v>
      </c>
      <c r="M320" s="224">
        <f>VLOOKUP(C320,'Talente &amp; Stuff'!DO:EP,11,FALSE)</f>
        <v>0</v>
      </c>
      <c r="N320" s="223">
        <f>VLOOKUP(C320,'Talente &amp; Stuff'!DO:EP,12,FALSE)</f>
        <v>0</v>
      </c>
      <c r="O320" s="223">
        <f>VLOOKUP(C320,'Talente &amp; Stuff'!DO:EP,13,FALSE)</f>
        <v>0</v>
      </c>
      <c r="P320" s="224">
        <f>VLOOKUP(C320,'Talente &amp; Stuff'!DO:EP,14,FALSE)</f>
        <v>0</v>
      </c>
      <c r="Q320" s="237">
        <f>VLOOKUP(C320,'Talente &amp; Stuff'!DO:EP,15,FALSE)</f>
        <v>0</v>
      </c>
      <c r="R320" s="234">
        <f>VLOOKUP(C320,'Talente &amp; Stuff'!DO:EP,16,FALSE)</f>
        <v>0</v>
      </c>
      <c r="S320" s="224">
        <f>VLOOKUP(C320,'Talente &amp; Stuff'!DO:EP,17,FALSE)</f>
        <v>0</v>
      </c>
      <c r="T320" s="224">
        <f>VLOOKUP(C320,'Talente &amp; Stuff'!DO:EP,18,FALSE)</f>
        <v>0</v>
      </c>
      <c r="U320" s="222">
        <f>VLOOKUP(C320,'Talente &amp; Stuff'!DO:EP,19,FALSE)</f>
        <v>0</v>
      </c>
      <c r="V320" s="223">
        <f>VLOOKUP(C320,'Talente &amp; Stuff'!DO:EP,20,FALSE)</f>
        <v>0</v>
      </c>
      <c r="W320" s="243">
        <f>VLOOKUP(C320,'Talente &amp; Stuff'!DO:EP,21,FALSE)</f>
        <v>0</v>
      </c>
      <c r="X320" s="243">
        <f>VLOOKUP(C320,'Talente &amp; Stuff'!DO:EP,22,FALSE)</f>
        <v>0</v>
      </c>
      <c r="Y320" s="252">
        <f>VLOOKUP(C320,Ausgewählte_Zauber_Zauberbarden,139,FALSE)</f>
        <v>0</v>
      </c>
      <c r="Z320" s="309">
        <f>VLOOKUP(C320,Ausgewählte_Zauber_Zauberbarden,140,FALSE)</f>
        <v>0</v>
      </c>
      <c r="AA320" s="218">
        <f>VLOOKUP(C320,'Talente &amp; Stuff'!DO:EP,25,FALSE)</f>
        <v>0</v>
      </c>
      <c r="AB320" s="242">
        <f>VLOOKUP(C320,'Talente &amp; Stuff'!DO:EP,26,FALSE)</f>
        <v>0</v>
      </c>
      <c r="AC320" s="243">
        <f>VLOOKUP(C320,'Talente &amp; Stuff'!DO:EP,27,FALSE)</f>
        <v>0</v>
      </c>
      <c r="AD320" s="218">
        <f>VLOOKUP(C320,'Talente &amp; Stuff'!DO:EP,28,FALSE)</f>
        <v>0</v>
      </c>
      <c r="AE320" s="343"/>
    </row>
    <row r="321" spans="1:31" s="217" customFormat="1" hidden="1" outlineLevel="2">
      <c r="A321" s="185"/>
      <c r="B321" s="217">
        <v>24</v>
      </c>
      <c r="C321" s="306" t="str">
        <f>Attribute!C321</f>
        <v>---</v>
      </c>
      <c r="D321" s="246" t="str">
        <f>VLOOKUP(C321,'Talente &amp; Stuff'!DO:EP,2,FALSE)</f>
        <v>--/--/--</v>
      </c>
      <c r="E321" s="245" t="str">
        <f>VLOOKUP(C321,'Talente &amp; Stuff'!DO:EP,3,FALSE)</f>
        <v>-</v>
      </c>
      <c r="F321" s="238">
        <f>VLOOKUP(C321,'Talente &amp; Stuff'!DO:EP,4,FALSE)</f>
        <v>0</v>
      </c>
      <c r="G321" s="235">
        <f>VLOOKUP(C321,'Talente &amp; Stuff'!DO:EP,5,FALSE)</f>
        <v>0</v>
      </c>
      <c r="H321" s="235">
        <f>VLOOKUP(C321,'Talente &amp; Stuff'!DO:EP,6,FALSE)</f>
        <v>0</v>
      </c>
      <c r="I321" s="235">
        <f>VLOOKUP(C321,'Talente &amp; Stuff'!DO:EP,7,FALSE)</f>
        <v>0</v>
      </c>
      <c r="J321" s="235">
        <f>VLOOKUP(C321,'Talente &amp; Stuff'!DO:EP,8,FALSE)</f>
        <v>0</v>
      </c>
      <c r="K321" s="235">
        <f>VLOOKUP(C321,'Talente &amp; Stuff'!DO:EP,9,FALSE)</f>
        <v>0</v>
      </c>
      <c r="L321" s="235">
        <f>VLOOKUP(C321,'Talente &amp; Stuff'!DO:EP,10,FALSE)</f>
        <v>0</v>
      </c>
      <c r="M321" s="227">
        <f>VLOOKUP(C321,'Talente &amp; Stuff'!DO:EP,11,FALSE)</f>
        <v>0</v>
      </c>
      <c r="N321" s="226">
        <f>VLOOKUP(C321,'Talente &amp; Stuff'!DO:EP,12,FALSE)</f>
        <v>0</v>
      </c>
      <c r="O321" s="226">
        <f>VLOOKUP(C321,'Talente &amp; Stuff'!DO:EP,13,FALSE)</f>
        <v>0</v>
      </c>
      <c r="P321" s="227">
        <f>VLOOKUP(C321,'Talente &amp; Stuff'!DO:EP,14,FALSE)</f>
        <v>0</v>
      </c>
      <c r="Q321" s="238">
        <f>VLOOKUP(C321,'Talente &amp; Stuff'!DO:EP,15,FALSE)</f>
        <v>0</v>
      </c>
      <c r="R321" s="235">
        <f>VLOOKUP(C321,'Talente &amp; Stuff'!DO:EP,16,FALSE)</f>
        <v>0</v>
      </c>
      <c r="S321" s="227">
        <f>VLOOKUP(C321,'Talente &amp; Stuff'!DO:EP,17,FALSE)</f>
        <v>0</v>
      </c>
      <c r="T321" s="227">
        <f>VLOOKUP(C321,'Talente &amp; Stuff'!DO:EP,18,FALSE)</f>
        <v>0</v>
      </c>
      <c r="U321" s="225">
        <f>VLOOKUP(C321,'Talente &amp; Stuff'!DO:EP,19,FALSE)</f>
        <v>0</v>
      </c>
      <c r="V321" s="226">
        <f>VLOOKUP(C321,'Talente &amp; Stuff'!DO:EP,20,FALSE)</f>
        <v>0</v>
      </c>
      <c r="W321" s="245">
        <f>VLOOKUP(C321,'Talente &amp; Stuff'!DO:EP,21,FALSE)</f>
        <v>0</v>
      </c>
      <c r="X321" s="245">
        <f>VLOOKUP(C321,'Talente &amp; Stuff'!DO:EP,22,FALSE)</f>
        <v>0</v>
      </c>
      <c r="Y321" s="252">
        <f>VLOOKUP(C321,Ausgewählte_Zauber_Zauberbarden,139,FALSE)</f>
        <v>0</v>
      </c>
      <c r="Z321" s="309">
        <f>VLOOKUP(C321,Ausgewählte_Zauber_Zauberbarden,140,FALSE)</f>
        <v>0</v>
      </c>
      <c r="AA321" s="246">
        <f>VLOOKUP(C321,'Talente &amp; Stuff'!DO:EP,25,FALSE)</f>
        <v>0</v>
      </c>
      <c r="AB321" s="244">
        <f>VLOOKUP(C321,'Talente &amp; Stuff'!DO:EP,26,FALSE)</f>
        <v>0</v>
      </c>
      <c r="AC321" s="245">
        <f>VLOOKUP(C321,'Talente &amp; Stuff'!DO:EP,27,FALSE)</f>
        <v>0</v>
      </c>
      <c r="AD321" s="246">
        <f>VLOOKUP(C321,'Talente &amp; Stuff'!DO:EP,28,FALSE)</f>
        <v>0</v>
      </c>
      <c r="AE321" s="343"/>
    </row>
    <row r="322" spans="1:31" s="217" customFormat="1" hidden="1" outlineLevel="1" collapsed="1">
      <c r="A322" s="185"/>
      <c r="B322" s="216" t="s">
        <v>446</v>
      </c>
      <c r="C322" s="307"/>
      <c r="D322" s="308"/>
      <c r="E322" s="308"/>
      <c r="Y322" s="251"/>
      <c r="Z322" s="251"/>
    </row>
    <row r="323" spans="1:31" s="217" customFormat="1" hidden="1" outlineLevel="2">
      <c r="A323" s="185"/>
      <c r="B323" s="217">
        <v>1</v>
      </c>
      <c r="C323" s="302" t="str">
        <f>Attribute!C323</f>
        <v>---</v>
      </c>
      <c r="D323" s="43" t="str">
        <f>VLOOKUP(C323,'Talente &amp; Stuff'!DO:EP,2,FALSE)</f>
        <v>--/--/--</v>
      </c>
      <c r="E323" s="42" t="str">
        <f>VLOOKUP(C323,'Talente &amp; Stuff'!DO:EP,3,FALSE)</f>
        <v>-</v>
      </c>
      <c r="F323" s="236">
        <f>VLOOKUP(C323,'Talente &amp; Stuff'!DO:EP,4,FALSE)</f>
        <v>0</v>
      </c>
      <c r="G323" s="233">
        <f>VLOOKUP(C323,'Talente &amp; Stuff'!DO:EP,5,FALSE)</f>
        <v>0</v>
      </c>
      <c r="H323" s="233">
        <f>VLOOKUP(C323,'Talente &amp; Stuff'!DO:EP,6,FALSE)</f>
        <v>0</v>
      </c>
      <c r="I323" s="233">
        <f>VLOOKUP(C323,'Talente &amp; Stuff'!DO:EP,7,FALSE)</f>
        <v>0</v>
      </c>
      <c r="J323" s="233">
        <f>VLOOKUP(C323,'Talente &amp; Stuff'!DO:EP,8,FALSE)</f>
        <v>0</v>
      </c>
      <c r="K323" s="233">
        <f>VLOOKUP(C323,'Talente &amp; Stuff'!DO:EP,9,FALSE)</f>
        <v>0</v>
      </c>
      <c r="L323" s="233">
        <f>VLOOKUP(C323,'Talente &amp; Stuff'!DO:EP,10,FALSE)</f>
        <v>0</v>
      </c>
      <c r="M323" s="221">
        <f>VLOOKUP(C323,'Talente &amp; Stuff'!DO:EP,11,FALSE)</f>
        <v>0</v>
      </c>
      <c r="N323" s="219">
        <f>VLOOKUP(C323,'Talente &amp; Stuff'!DO:EP,12,FALSE)</f>
        <v>0</v>
      </c>
      <c r="O323" s="220">
        <f>VLOOKUP(C323,'Talente &amp; Stuff'!DO:EP,13,FALSE)</f>
        <v>0</v>
      </c>
      <c r="P323" s="221">
        <f>VLOOKUP(C323,'Talente &amp; Stuff'!DO:EP,14,FALSE)</f>
        <v>0</v>
      </c>
      <c r="Q323" s="236">
        <f>VLOOKUP(C323,'Talente &amp; Stuff'!DO:EP,15,FALSE)</f>
        <v>0</v>
      </c>
      <c r="R323" s="316">
        <f>VLOOKUP(C323,'Talente &amp; Stuff'!DO:EP,16,FALSE)</f>
        <v>0</v>
      </c>
      <c r="S323" s="221">
        <f>VLOOKUP(C323,'Talente &amp; Stuff'!DO:EP,17,FALSE)</f>
        <v>0</v>
      </c>
      <c r="T323" s="78">
        <f>VLOOKUP(C323,'Talente &amp; Stuff'!DO:EP,18,FALSE)</f>
        <v>0</v>
      </c>
      <c r="U323" s="219">
        <f>VLOOKUP(C323,'Talente &amp; Stuff'!DO:EP,19,FALSE)</f>
        <v>0</v>
      </c>
      <c r="V323" s="220">
        <f>VLOOKUP(C323,'Talente &amp; Stuff'!DO:EP,20,FALSE)</f>
        <v>0</v>
      </c>
      <c r="W323" s="241">
        <f>VLOOKUP(C323,'Talente &amp; Stuff'!DO:EP,21,FALSE)</f>
        <v>0</v>
      </c>
      <c r="X323" s="42">
        <f>VLOOKUP(C323,'Talente &amp; Stuff'!DO:EP,22,FALSE)</f>
        <v>0</v>
      </c>
      <c r="Y323" s="252">
        <f>VLOOKUP(C323,Ausgewählte_Zauber_Zaubertänzer,139,FALSE)</f>
        <v>0</v>
      </c>
      <c r="Z323" s="309">
        <f>VLOOKUP(C323,Ausgewählte_Zauber_Zaubertänzer,140,FALSE)</f>
        <v>0</v>
      </c>
      <c r="AA323" s="42">
        <f>VLOOKUP(C323,'Talente &amp; Stuff'!DO:EP,25,FALSE)</f>
        <v>0</v>
      </c>
      <c r="AB323" s="78">
        <f>VLOOKUP(C323,'Talente &amp; Stuff'!DO:EP,26,FALSE)</f>
        <v>0</v>
      </c>
      <c r="AC323" s="42">
        <f>VLOOKUP(C323,'Talente &amp; Stuff'!DO:EP,27,FALSE)</f>
        <v>0</v>
      </c>
      <c r="AD323" s="42">
        <f>VLOOKUP(C323,'Talente &amp; Stuff'!DO:EP,28,FALSE)</f>
        <v>0</v>
      </c>
      <c r="AE323" s="343"/>
    </row>
    <row r="324" spans="1:31" s="217" customFormat="1" hidden="1" outlineLevel="2">
      <c r="A324" s="185"/>
      <c r="B324" s="217">
        <v>2</v>
      </c>
      <c r="C324" s="303" t="str">
        <f>Attribute!C324</f>
        <v>---</v>
      </c>
      <c r="D324" s="304" t="str">
        <f>VLOOKUP(C324,'Talente &amp; Stuff'!DO:EP,2,FALSE)</f>
        <v>--/--/--</v>
      </c>
      <c r="E324" s="304" t="str">
        <f>VLOOKUP(C324,'Talente &amp; Stuff'!DO:EP,3,FALSE)</f>
        <v>-</v>
      </c>
      <c r="F324" s="317">
        <f>VLOOKUP(C324,'Talente &amp; Stuff'!DO:EP,4,FALSE)</f>
        <v>0</v>
      </c>
      <c r="G324" s="254">
        <f>VLOOKUP(C324,'Talente &amp; Stuff'!DO:EP,5,FALSE)</f>
        <v>0</v>
      </c>
      <c r="H324" s="254">
        <f>VLOOKUP(C324,'Talente &amp; Stuff'!DO:EP,6,FALSE)</f>
        <v>0</v>
      </c>
      <c r="I324" s="254">
        <f>VLOOKUP(C324,'Talente &amp; Stuff'!DO:EP,7,FALSE)</f>
        <v>0</v>
      </c>
      <c r="J324" s="254">
        <f>VLOOKUP(C324,'Talente &amp; Stuff'!DO:EP,8,FALSE)</f>
        <v>0</v>
      </c>
      <c r="K324" s="254">
        <f>VLOOKUP(C324,'Talente &amp; Stuff'!DO:EP,9,FALSE)</f>
        <v>0</v>
      </c>
      <c r="L324" s="254">
        <f>VLOOKUP(C324,'Talente &amp; Stuff'!DO:EP,10,FALSE)</f>
        <v>0</v>
      </c>
      <c r="M324" s="318">
        <f>VLOOKUP(C324,'Talente &amp; Stuff'!DO:EP,11,FALSE)</f>
        <v>0</v>
      </c>
      <c r="N324" s="222">
        <f>VLOOKUP(C324,'Talente &amp; Stuff'!DO:EP,12,FALSE)</f>
        <v>0</v>
      </c>
      <c r="O324" s="223">
        <f>VLOOKUP(C324,'Talente &amp; Stuff'!DO:EP,13,FALSE)</f>
        <v>0</v>
      </c>
      <c r="P324" s="224">
        <f>VLOOKUP(C324,'Talente &amp; Stuff'!DO:EP,14,FALSE)</f>
        <v>0</v>
      </c>
      <c r="Q324" s="237">
        <f>VLOOKUP(C324,'Talente &amp; Stuff'!DO:EP,15,FALSE)</f>
        <v>0</v>
      </c>
      <c r="R324" s="254">
        <f>VLOOKUP(C324,'Talente &amp; Stuff'!DO:EP,16,FALSE)</f>
        <v>0</v>
      </c>
      <c r="S324" s="224">
        <f>VLOOKUP(C324,'Talente &amp; Stuff'!DO:EP,17,FALSE)</f>
        <v>0</v>
      </c>
      <c r="T324" s="242">
        <f>VLOOKUP(C324,'Talente &amp; Stuff'!DO:EP,18,FALSE)</f>
        <v>0</v>
      </c>
      <c r="U324" s="222">
        <f>VLOOKUP(C324,'Talente &amp; Stuff'!DO:EP,19,FALSE)</f>
        <v>0</v>
      </c>
      <c r="V324" s="223">
        <f>VLOOKUP(C324,'Talente &amp; Stuff'!DO:EP,20,FALSE)</f>
        <v>0</v>
      </c>
      <c r="W324" s="243">
        <f>VLOOKUP(C324,'Talente &amp; Stuff'!DO:EP,21,FALSE)</f>
        <v>0</v>
      </c>
      <c r="X324" s="218">
        <f>VLOOKUP(C324,'Talente &amp; Stuff'!DO:EP,22,FALSE)</f>
        <v>0</v>
      </c>
      <c r="Y324" s="252">
        <f>VLOOKUP(C324,Ausgewählte_Zauber_Zaubertänzer,139,FALSE)</f>
        <v>0</v>
      </c>
      <c r="Z324" s="309">
        <f>VLOOKUP(C324,Ausgewählte_Zauber_Zaubertänzer,140,FALSE)</f>
        <v>0</v>
      </c>
      <c r="AA324" s="218">
        <f>VLOOKUP(C324,'Talente &amp; Stuff'!DO:EP,25,FALSE)</f>
        <v>0</v>
      </c>
      <c r="AB324" s="242">
        <f>VLOOKUP(C324,'Talente &amp; Stuff'!DO:EP,26,FALSE)</f>
        <v>0</v>
      </c>
      <c r="AC324" s="218">
        <f>VLOOKUP(C324,'Talente &amp; Stuff'!DO:EP,27,FALSE)</f>
        <v>0</v>
      </c>
      <c r="AD324" s="218">
        <f>VLOOKUP(C324,'Talente &amp; Stuff'!DO:EP,28,FALSE)</f>
        <v>0</v>
      </c>
      <c r="AE324" s="343"/>
    </row>
    <row r="325" spans="1:31" s="217" customFormat="1" hidden="1" outlineLevel="2">
      <c r="A325" s="185"/>
      <c r="B325" s="217">
        <v>3</v>
      </c>
      <c r="C325" s="303" t="str">
        <f>Attribute!C325</f>
        <v>---</v>
      </c>
      <c r="D325" s="304" t="str">
        <f>VLOOKUP(C325,'Talente &amp; Stuff'!DO:EP,2,FALSE)</f>
        <v>--/--/--</v>
      </c>
      <c r="E325" s="304" t="str">
        <f>VLOOKUP(C325,'Talente &amp; Stuff'!DO:EP,3,FALSE)</f>
        <v>-</v>
      </c>
      <c r="F325" s="317">
        <f>VLOOKUP(C325,'Talente &amp; Stuff'!DO:EP,4,FALSE)</f>
        <v>0</v>
      </c>
      <c r="G325" s="254">
        <f>VLOOKUP(C325,'Talente &amp; Stuff'!DO:EP,5,FALSE)</f>
        <v>0</v>
      </c>
      <c r="H325" s="254">
        <f>VLOOKUP(C325,'Talente &amp; Stuff'!DO:EP,6,FALSE)</f>
        <v>0</v>
      </c>
      <c r="I325" s="254">
        <f>VLOOKUP(C325,'Talente &amp; Stuff'!DO:EP,7,FALSE)</f>
        <v>0</v>
      </c>
      <c r="J325" s="254">
        <f>VLOOKUP(C325,'Talente &amp; Stuff'!DO:EP,8,FALSE)</f>
        <v>0</v>
      </c>
      <c r="K325" s="254">
        <f>VLOOKUP(C325,'Talente &amp; Stuff'!DO:EP,9,FALSE)</f>
        <v>0</v>
      </c>
      <c r="L325" s="254">
        <f>VLOOKUP(C325,'Talente &amp; Stuff'!DO:EP,10,FALSE)</f>
        <v>0</v>
      </c>
      <c r="M325" s="318">
        <f>VLOOKUP(C325,'Talente &amp; Stuff'!DO:EP,11,FALSE)</f>
        <v>0</v>
      </c>
      <c r="N325" s="222">
        <f>VLOOKUP(C325,'Talente &amp; Stuff'!DO:EP,12,FALSE)</f>
        <v>0</v>
      </c>
      <c r="O325" s="223">
        <f>VLOOKUP(C325,'Talente &amp; Stuff'!DO:EP,13,FALSE)</f>
        <v>0</v>
      </c>
      <c r="P325" s="224">
        <f>VLOOKUP(C325,'Talente &amp; Stuff'!DO:EP,14,FALSE)</f>
        <v>0</v>
      </c>
      <c r="Q325" s="237">
        <f>VLOOKUP(C325,'Talente &amp; Stuff'!DO:EP,15,FALSE)</f>
        <v>0</v>
      </c>
      <c r="R325" s="254">
        <f>VLOOKUP(C325,'Talente &amp; Stuff'!DO:EP,16,FALSE)</f>
        <v>0</v>
      </c>
      <c r="S325" s="224">
        <f>VLOOKUP(C325,'Talente &amp; Stuff'!DO:EP,17,FALSE)</f>
        <v>0</v>
      </c>
      <c r="T325" s="242">
        <f>VLOOKUP(C325,'Talente &amp; Stuff'!DO:EP,18,FALSE)</f>
        <v>0</v>
      </c>
      <c r="U325" s="222">
        <f>VLOOKUP(C325,'Talente &amp; Stuff'!DO:EP,19,FALSE)</f>
        <v>0</v>
      </c>
      <c r="V325" s="223">
        <f>VLOOKUP(C325,'Talente &amp; Stuff'!DO:EP,20,FALSE)</f>
        <v>0</v>
      </c>
      <c r="W325" s="243">
        <f>VLOOKUP(C325,'Talente &amp; Stuff'!DO:EP,21,FALSE)</f>
        <v>0</v>
      </c>
      <c r="X325" s="218">
        <f>VLOOKUP(C325,'Talente &amp; Stuff'!DO:EP,22,FALSE)</f>
        <v>0</v>
      </c>
      <c r="Y325" s="252">
        <f>VLOOKUP(C325,Ausgewählte_Zauber_Zaubertänzer,139,FALSE)</f>
        <v>0</v>
      </c>
      <c r="Z325" s="309">
        <f>VLOOKUP(C325,Ausgewählte_Zauber_Zaubertänzer,140,FALSE)</f>
        <v>0</v>
      </c>
      <c r="AA325" s="218">
        <f>VLOOKUP(C325,'Talente &amp; Stuff'!DO:EP,25,FALSE)</f>
        <v>0</v>
      </c>
      <c r="AB325" s="242">
        <f>VLOOKUP(C325,'Talente &amp; Stuff'!DO:EP,26,FALSE)</f>
        <v>0</v>
      </c>
      <c r="AC325" s="218">
        <f>VLOOKUP(C325,'Talente &amp; Stuff'!DO:EP,27,FALSE)</f>
        <v>0</v>
      </c>
      <c r="AD325" s="218">
        <f>VLOOKUP(C325,'Talente &amp; Stuff'!DO:EP,28,FALSE)</f>
        <v>0</v>
      </c>
      <c r="AE325" s="343"/>
    </row>
    <row r="326" spans="1:31" s="217" customFormat="1" hidden="1" outlineLevel="2">
      <c r="A326" s="185"/>
      <c r="B326" s="217">
        <v>4</v>
      </c>
      <c r="C326" s="303" t="str">
        <f>Attribute!C326</f>
        <v>---</v>
      </c>
      <c r="D326" s="304" t="str">
        <f>VLOOKUP(C326,'Talente &amp; Stuff'!DO:EP,2,FALSE)</f>
        <v>--/--/--</v>
      </c>
      <c r="E326" s="304" t="str">
        <f>VLOOKUP(C326,'Talente &amp; Stuff'!DO:EP,3,FALSE)</f>
        <v>-</v>
      </c>
      <c r="F326" s="317">
        <f>VLOOKUP(C326,'Talente &amp; Stuff'!DO:EP,4,FALSE)</f>
        <v>0</v>
      </c>
      <c r="G326" s="254">
        <f>VLOOKUP(C326,'Talente &amp; Stuff'!DO:EP,5,FALSE)</f>
        <v>0</v>
      </c>
      <c r="H326" s="254">
        <f>VLOOKUP(C326,'Talente &amp; Stuff'!DO:EP,6,FALSE)</f>
        <v>0</v>
      </c>
      <c r="I326" s="254">
        <f>VLOOKUP(C326,'Talente &amp; Stuff'!DO:EP,7,FALSE)</f>
        <v>0</v>
      </c>
      <c r="J326" s="254">
        <f>VLOOKUP(C326,'Talente &amp; Stuff'!DO:EP,8,FALSE)</f>
        <v>0</v>
      </c>
      <c r="K326" s="254">
        <f>VLOOKUP(C326,'Talente &amp; Stuff'!DO:EP,9,FALSE)</f>
        <v>0</v>
      </c>
      <c r="L326" s="254">
        <f>VLOOKUP(C326,'Talente &amp; Stuff'!DO:EP,10,FALSE)</f>
        <v>0</v>
      </c>
      <c r="M326" s="318">
        <f>VLOOKUP(C326,'Talente &amp; Stuff'!DO:EP,11,FALSE)</f>
        <v>0</v>
      </c>
      <c r="N326" s="222">
        <f>VLOOKUP(C326,'Talente &amp; Stuff'!DO:EP,12,FALSE)</f>
        <v>0</v>
      </c>
      <c r="O326" s="223">
        <f>VLOOKUP(C326,'Talente &amp; Stuff'!DO:EP,13,FALSE)</f>
        <v>0</v>
      </c>
      <c r="P326" s="224">
        <f>VLOOKUP(C326,'Talente &amp; Stuff'!DO:EP,14,FALSE)</f>
        <v>0</v>
      </c>
      <c r="Q326" s="237">
        <f>VLOOKUP(C326,'Talente &amp; Stuff'!DO:EP,15,FALSE)</f>
        <v>0</v>
      </c>
      <c r="R326" s="254">
        <f>VLOOKUP(C326,'Talente &amp; Stuff'!DO:EP,16,FALSE)</f>
        <v>0</v>
      </c>
      <c r="S326" s="224">
        <f>VLOOKUP(C326,'Talente &amp; Stuff'!DO:EP,17,FALSE)</f>
        <v>0</v>
      </c>
      <c r="T326" s="242">
        <f>VLOOKUP(C326,'Talente &amp; Stuff'!DO:EP,18,FALSE)</f>
        <v>0</v>
      </c>
      <c r="U326" s="222">
        <f>VLOOKUP(C326,'Talente &amp; Stuff'!DO:EP,19,FALSE)</f>
        <v>0</v>
      </c>
      <c r="V326" s="223">
        <f>VLOOKUP(C326,'Talente &amp; Stuff'!DO:EP,20,FALSE)</f>
        <v>0</v>
      </c>
      <c r="W326" s="243">
        <f>VLOOKUP(C326,'Talente &amp; Stuff'!DO:EP,21,FALSE)</f>
        <v>0</v>
      </c>
      <c r="X326" s="218">
        <f>VLOOKUP(C326,'Talente &amp; Stuff'!DO:EP,22,FALSE)</f>
        <v>0</v>
      </c>
      <c r="Y326" s="252">
        <f>VLOOKUP(C326,Ausgewählte_Zauber_Zaubertänzer,139,FALSE)</f>
        <v>0</v>
      </c>
      <c r="Z326" s="309">
        <f>VLOOKUP(C326,Ausgewählte_Zauber_Zaubertänzer,140,FALSE)</f>
        <v>0</v>
      </c>
      <c r="AA326" s="218">
        <f>VLOOKUP(C326,'Talente &amp; Stuff'!DO:EP,25,FALSE)</f>
        <v>0</v>
      </c>
      <c r="AB326" s="242">
        <f>VLOOKUP(C326,'Talente &amp; Stuff'!DO:EP,26,FALSE)</f>
        <v>0</v>
      </c>
      <c r="AC326" s="218">
        <f>VLOOKUP(C326,'Talente &amp; Stuff'!DO:EP,27,FALSE)</f>
        <v>0</v>
      </c>
      <c r="AD326" s="218">
        <f>VLOOKUP(C326,'Talente &amp; Stuff'!DO:EP,28,FALSE)</f>
        <v>0</v>
      </c>
      <c r="AE326" s="343"/>
    </row>
    <row r="327" spans="1:31" s="217" customFormat="1" hidden="1" outlineLevel="2">
      <c r="A327" s="185"/>
      <c r="B327" s="217">
        <v>5</v>
      </c>
      <c r="C327" s="303" t="str">
        <f>Attribute!C327</f>
        <v>---</v>
      </c>
      <c r="D327" s="304" t="str">
        <f>VLOOKUP(C327,'Talente &amp; Stuff'!DO:EP,2,FALSE)</f>
        <v>--/--/--</v>
      </c>
      <c r="E327" s="304" t="str">
        <f>VLOOKUP(C327,'Talente &amp; Stuff'!DO:EP,3,FALSE)</f>
        <v>-</v>
      </c>
      <c r="F327" s="317">
        <f>VLOOKUP(C327,'Talente &amp; Stuff'!DO:EP,4,FALSE)</f>
        <v>0</v>
      </c>
      <c r="G327" s="254">
        <f>VLOOKUP(C327,'Talente &amp; Stuff'!DO:EP,5,FALSE)</f>
        <v>0</v>
      </c>
      <c r="H327" s="254">
        <f>VLOOKUP(C327,'Talente &amp; Stuff'!DO:EP,6,FALSE)</f>
        <v>0</v>
      </c>
      <c r="I327" s="254">
        <f>VLOOKUP(C327,'Talente &amp; Stuff'!DO:EP,7,FALSE)</f>
        <v>0</v>
      </c>
      <c r="J327" s="254">
        <f>VLOOKUP(C327,'Talente &amp; Stuff'!DO:EP,8,FALSE)</f>
        <v>0</v>
      </c>
      <c r="K327" s="254">
        <f>VLOOKUP(C327,'Talente &amp; Stuff'!DO:EP,9,FALSE)</f>
        <v>0</v>
      </c>
      <c r="L327" s="254">
        <f>VLOOKUP(C327,'Talente &amp; Stuff'!DO:EP,10,FALSE)</f>
        <v>0</v>
      </c>
      <c r="M327" s="318">
        <f>VLOOKUP(C327,'Talente &amp; Stuff'!DO:EP,11,FALSE)</f>
        <v>0</v>
      </c>
      <c r="N327" s="222">
        <f>VLOOKUP(C327,'Talente &amp; Stuff'!DO:EP,12,FALSE)</f>
        <v>0</v>
      </c>
      <c r="O327" s="223">
        <f>VLOOKUP(C327,'Talente &amp; Stuff'!DO:EP,13,FALSE)</f>
        <v>0</v>
      </c>
      <c r="P327" s="224">
        <f>VLOOKUP(C327,'Talente &amp; Stuff'!DO:EP,14,FALSE)</f>
        <v>0</v>
      </c>
      <c r="Q327" s="237">
        <f>VLOOKUP(C327,'Talente &amp; Stuff'!DO:EP,15,FALSE)</f>
        <v>0</v>
      </c>
      <c r="R327" s="254">
        <f>VLOOKUP(C327,'Talente &amp; Stuff'!DO:EP,16,FALSE)</f>
        <v>0</v>
      </c>
      <c r="S327" s="224">
        <f>VLOOKUP(C327,'Talente &amp; Stuff'!DO:EP,17,FALSE)</f>
        <v>0</v>
      </c>
      <c r="T327" s="242">
        <f>VLOOKUP(C327,'Talente &amp; Stuff'!DO:EP,18,FALSE)</f>
        <v>0</v>
      </c>
      <c r="U327" s="222">
        <f>VLOOKUP(C327,'Talente &amp; Stuff'!DO:EP,19,FALSE)</f>
        <v>0</v>
      </c>
      <c r="V327" s="223">
        <f>VLOOKUP(C327,'Talente &amp; Stuff'!DO:EP,20,FALSE)</f>
        <v>0</v>
      </c>
      <c r="W327" s="243">
        <f>VLOOKUP(C327,'Talente &amp; Stuff'!DO:EP,21,FALSE)</f>
        <v>0</v>
      </c>
      <c r="X327" s="218">
        <f>VLOOKUP(C327,'Talente &amp; Stuff'!DO:EP,22,FALSE)</f>
        <v>0</v>
      </c>
      <c r="Y327" s="252">
        <f>VLOOKUP(C327,Ausgewählte_Zauber_Zaubertänzer,139,FALSE)</f>
        <v>0</v>
      </c>
      <c r="Z327" s="309">
        <f>VLOOKUP(C327,Ausgewählte_Zauber_Zaubertänzer,140,FALSE)</f>
        <v>0</v>
      </c>
      <c r="AA327" s="218">
        <f>VLOOKUP(C327,'Talente &amp; Stuff'!DO:EP,25,FALSE)</f>
        <v>0</v>
      </c>
      <c r="AB327" s="242">
        <f>VLOOKUP(C327,'Talente &amp; Stuff'!DO:EP,26,FALSE)</f>
        <v>0</v>
      </c>
      <c r="AC327" s="218">
        <f>VLOOKUP(C327,'Talente &amp; Stuff'!DO:EP,27,FALSE)</f>
        <v>0</v>
      </c>
      <c r="AD327" s="218">
        <f>VLOOKUP(C327,'Talente &amp; Stuff'!DO:EP,28,FALSE)</f>
        <v>0</v>
      </c>
      <c r="AE327" s="343"/>
    </row>
    <row r="328" spans="1:31" s="217" customFormat="1" hidden="1" outlineLevel="2">
      <c r="A328" s="185"/>
      <c r="B328" s="217">
        <v>6</v>
      </c>
      <c r="C328" s="303" t="str">
        <f>Attribute!C328</f>
        <v>---</v>
      </c>
      <c r="D328" s="304" t="str">
        <f>VLOOKUP(C328,'Talente &amp; Stuff'!DO:EP,2,FALSE)</f>
        <v>--/--/--</v>
      </c>
      <c r="E328" s="304" t="str">
        <f>VLOOKUP(C328,'Talente &amp; Stuff'!DO:EP,3,FALSE)</f>
        <v>-</v>
      </c>
      <c r="F328" s="317">
        <f>VLOOKUP(C328,'Talente &amp; Stuff'!DO:EP,4,FALSE)</f>
        <v>0</v>
      </c>
      <c r="G328" s="254">
        <f>VLOOKUP(C328,'Talente &amp; Stuff'!DO:EP,5,FALSE)</f>
        <v>0</v>
      </c>
      <c r="H328" s="254">
        <f>VLOOKUP(C328,'Talente &amp; Stuff'!DO:EP,6,FALSE)</f>
        <v>0</v>
      </c>
      <c r="I328" s="254">
        <f>VLOOKUP(C328,'Talente &amp; Stuff'!DO:EP,7,FALSE)</f>
        <v>0</v>
      </c>
      <c r="J328" s="254">
        <f>VLOOKUP(C328,'Talente &amp; Stuff'!DO:EP,8,FALSE)</f>
        <v>0</v>
      </c>
      <c r="K328" s="254">
        <f>VLOOKUP(C328,'Talente &amp; Stuff'!DO:EP,9,FALSE)</f>
        <v>0</v>
      </c>
      <c r="L328" s="254">
        <f>VLOOKUP(C328,'Talente &amp; Stuff'!DO:EP,10,FALSE)</f>
        <v>0</v>
      </c>
      <c r="M328" s="318">
        <f>VLOOKUP(C328,'Talente &amp; Stuff'!DO:EP,11,FALSE)</f>
        <v>0</v>
      </c>
      <c r="N328" s="222">
        <f>VLOOKUP(C328,'Talente &amp; Stuff'!DO:EP,12,FALSE)</f>
        <v>0</v>
      </c>
      <c r="O328" s="223">
        <f>VLOOKUP(C328,'Talente &amp; Stuff'!DO:EP,13,FALSE)</f>
        <v>0</v>
      </c>
      <c r="P328" s="224">
        <f>VLOOKUP(C328,'Talente &amp; Stuff'!DO:EP,14,FALSE)</f>
        <v>0</v>
      </c>
      <c r="Q328" s="237">
        <f>VLOOKUP(C328,'Talente &amp; Stuff'!DO:EP,15,FALSE)</f>
        <v>0</v>
      </c>
      <c r="R328" s="254">
        <f>VLOOKUP(C328,'Talente &amp; Stuff'!DO:EP,16,FALSE)</f>
        <v>0</v>
      </c>
      <c r="S328" s="224">
        <f>VLOOKUP(C328,'Talente &amp; Stuff'!DO:EP,17,FALSE)</f>
        <v>0</v>
      </c>
      <c r="T328" s="242">
        <f>VLOOKUP(C328,'Talente &amp; Stuff'!DO:EP,18,FALSE)</f>
        <v>0</v>
      </c>
      <c r="U328" s="222">
        <f>VLOOKUP(C328,'Talente &amp; Stuff'!DO:EP,19,FALSE)</f>
        <v>0</v>
      </c>
      <c r="V328" s="223">
        <f>VLOOKUP(C328,'Talente &amp; Stuff'!DO:EP,20,FALSE)</f>
        <v>0</v>
      </c>
      <c r="W328" s="243">
        <f>VLOOKUP(C328,'Talente &amp; Stuff'!DO:EP,21,FALSE)</f>
        <v>0</v>
      </c>
      <c r="X328" s="218">
        <f>VLOOKUP(C328,'Talente &amp; Stuff'!DO:EP,22,FALSE)</f>
        <v>0</v>
      </c>
      <c r="Y328" s="252">
        <f>VLOOKUP(C328,Ausgewählte_Zauber_Zaubertänzer,139,FALSE)</f>
        <v>0</v>
      </c>
      <c r="Z328" s="309">
        <f>VLOOKUP(C328,Ausgewählte_Zauber_Zaubertänzer,140,FALSE)</f>
        <v>0</v>
      </c>
      <c r="AA328" s="218">
        <f>VLOOKUP(C328,'Talente &amp; Stuff'!DO:EP,25,FALSE)</f>
        <v>0</v>
      </c>
      <c r="AB328" s="242">
        <f>VLOOKUP(C328,'Talente &amp; Stuff'!DO:EP,26,FALSE)</f>
        <v>0</v>
      </c>
      <c r="AC328" s="218">
        <f>VLOOKUP(C328,'Talente &amp; Stuff'!DO:EP,27,FALSE)</f>
        <v>0</v>
      </c>
      <c r="AD328" s="218">
        <f>VLOOKUP(C328,'Talente &amp; Stuff'!DO:EP,28,FALSE)</f>
        <v>0</v>
      </c>
      <c r="AE328" s="343"/>
    </row>
    <row r="329" spans="1:31" s="217" customFormat="1" hidden="1" outlineLevel="2">
      <c r="A329" s="185"/>
      <c r="B329" s="217">
        <v>7</v>
      </c>
      <c r="C329" s="303" t="str">
        <f>Attribute!C329</f>
        <v>---</v>
      </c>
      <c r="D329" s="304" t="str">
        <f>VLOOKUP(C329,'Talente &amp; Stuff'!DO:EP,2,FALSE)</f>
        <v>--/--/--</v>
      </c>
      <c r="E329" s="304" t="str">
        <f>VLOOKUP(C329,'Talente &amp; Stuff'!DO:EP,3,FALSE)</f>
        <v>-</v>
      </c>
      <c r="F329" s="317">
        <f>VLOOKUP(C329,'Talente &amp; Stuff'!DO:EP,4,FALSE)</f>
        <v>0</v>
      </c>
      <c r="G329" s="254">
        <f>VLOOKUP(C329,'Talente &amp; Stuff'!DO:EP,5,FALSE)</f>
        <v>0</v>
      </c>
      <c r="H329" s="254">
        <f>VLOOKUP(C329,'Talente &amp; Stuff'!DO:EP,6,FALSE)</f>
        <v>0</v>
      </c>
      <c r="I329" s="254">
        <f>VLOOKUP(C329,'Talente &amp; Stuff'!DO:EP,7,FALSE)</f>
        <v>0</v>
      </c>
      <c r="J329" s="254">
        <f>VLOOKUP(C329,'Talente &amp; Stuff'!DO:EP,8,FALSE)</f>
        <v>0</v>
      </c>
      <c r="K329" s="254">
        <f>VLOOKUP(C329,'Talente &amp; Stuff'!DO:EP,9,FALSE)</f>
        <v>0</v>
      </c>
      <c r="L329" s="254">
        <f>VLOOKUP(C329,'Talente &amp; Stuff'!DO:EP,10,FALSE)</f>
        <v>0</v>
      </c>
      <c r="M329" s="318">
        <f>VLOOKUP(C329,'Talente &amp; Stuff'!DO:EP,11,FALSE)</f>
        <v>0</v>
      </c>
      <c r="N329" s="222">
        <f>VLOOKUP(C329,'Talente &amp; Stuff'!DO:EP,12,FALSE)</f>
        <v>0</v>
      </c>
      <c r="O329" s="223">
        <f>VLOOKUP(C329,'Talente &amp; Stuff'!DO:EP,13,FALSE)</f>
        <v>0</v>
      </c>
      <c r="P329" s="224">
        <f>VLOOKUP(C329,'Talente &amp; Stuff'!DO:EP,14,FALSE)</f>
        <v>0</v>
      </c>
      <c r="Q329" s="237">
        <f>VLOOKUP(C329,'Talente &amp; Stuff'!DO:EP,15,FALSE)</f>
        <v>0</v>
      </c>
      <c r="R329" s="254">
        <f>VLOOKUP(C329,'Talente &amp; Stuff'!DO:EP,16,FALSE)</f>
        <v>0</v>
      </c>
      <c r="S329" s="224">
        <f>VLOOKUP(C329,'Talente &amp; Stuff'!DO:EP,17,FALSE)</f>
        <v>0</v>
      </c>
      <c r="T329" s="242">
        <f>VLOOKUP(C329,'Talente &amp; Stuff'!DO:EP,18,FALSE)</f>
        <v>0</v>
      </c>
      <c r="U329" s="222">
        <f>VLOOKUP(C329,'Talente &amp; Stuff'!DO:EP,19,FALSE)</f>
        <v>0</v>
      </c>
      <c r="V329" s="223">
        <f>VLOOKUP(C329,'Talente &amp; Stuff'!DO:EP,20,FALSE)</f>
        <v>0</v>
      </c>
      <c r="W329" s="243">
        <f>VLOOKUP(C329,'Talente &amp; Stuff'!DO:EP,21,FALSE)</f>
        <v>0</v>
      </c>
      <c r="X329" s="218">
        <f>VLOOKUP(C329,'Talente &amp; Stuff'!DO:EP,22,FALSE)</f>
        <v>0</v>
      </c>
      <c r="Y329" s="252">
        <f>VLOOKUP(C329,Ausgewählte_Zauber_Zaubertänzer,139,FALSE)</f>
        <v>0</v>
      </c>
      <c r="Z329" s="309">
        <f>VLOOKUP(C329,Ausgewählte_Zauber_Zaubertänzer,140,FALSE)</f>
        <v>0</v>
      </c>
      <c r="AA329" s="218">
        <f>VLOOKUP(C329,'Talente &amp; Stuff'!DO:EP,25,FALSE)</f>
        <v>0</v>
      </c>
      <c r="AB329" s="242">
        <f>VLOOKUP(C329,'Talente &amp; Stuff'!DO:EP,26,FALSE)</f>
        <v>0</v>
      </c>
      <c r="AC329" s="218">
        <f>VLOOKUP(C329,'Talente &amp; Stuff'!DO:EP,27,FALSE)</f>
        <v>0</v>
      </c>
      <c r="AD329" s="218">
        <f>VLOOKUP(C329,'Talente &amp; Stuff'!DO:EP,28,FALSE)</f>
        <v>0</v>
      </c>
      <c r="AE329" s="343"/>
    </row>
    <row r="330" spans="1:31" s="217" customFormat="1" hidden="1" outlineLevel="2">
      <c r="A330" s="185"/>
      <c r="B330" s="217">
        <v>8</v>
      </c>
      <c r="C330" s="303" t="str">
        <f>Attribute!C330</f>
        <v>---</v>
      </c>
      <c r="D330" s="304" t="str">
        <f>VLOOKUP(C330,'Talente &amp; Stuff'!DO:EP,2,FALSE)</f>
        <v>--/--/--</v>
      </c>
      <c r="E330" s="304" t="str">
        <f>VLOOKUP(C330,'Talente &amp; Stuff'!DO:EP,3,FALSE)</f>
        <v>-</v>
      </c>
      <c r="F330" s="317">
        <f>VLOOKUP(C330,'Talente &amp; Stuff'!DO:EP,4,FALSE)</f>
        <v>0</v>
      </c>
      <c r="G330" s="254">
        <f>VLOOKUP(C330,'Talente &amp; Stuff'!DO:EP,5,FALSE)</f>
        <v>0</v>
      </c>
      <c r="H330" s="254">
        <f>VLOOKUP(C330,'Talente &amp; Stuff'!DO:EP,6,FALSE)</f>
        <v>0</v>
      </c>
      <c r="I330" s="254">
        <f>VLOOKUP(C330,'Talente &amp; Stuff'!DO:EP,7,FALSE)</f>
        <v>0</v>
      </c>
      <c r="J330" s="254">
        <f>VLOOKUP(C330,'Talente &amp; Stuff'!DO:EP,8,FALSE)</f>
        <v>0</v>
      </c>
      <c r="K330" s="254">
        <f>VLOOKUP(C330,'Talente &amp; Stuff'!DO:EP,9,FALSE)</f>
        <v>0</v>
      </c>
      <c r="L330" s="254">
        <f>VLOOKUP(C330,'Talente &amp; Stuff'!DO:EP,10,FALSE)</f>
        <v>0</v>
      </c>
      <c r="M330" s="318">
        <f>VLOOKUP(C330,'Talente &amp; Stuff'!DO:EP,11,FALSE)</f>
        <v>0</v>
      </c>
      <c r="N330" s="222">
        <f>VLOOKUP(C330,'Talente &amp; Stuff'!DO:EP,12,FALSE)</f>
        <v>0</v>
      </c>
      <c r="O330" s="223">
        <f>VLOOKUP(C330,'Talente &amp; Stuff'!DO:EP,13,FALSE)</f>
        <v>0</v>
      </c>
      <c r="P330" s="224">
        <f>VLOOKUP(C330,'Talente &amp; Stuff'!DO:EP,14,FALSE)</f>
        <v>0</v>
      </c>
      <c r="Q330" s="237">
        <f>VLOOKUP(C330,'Talente &amp; Stuff'!DO:EP,15,FALSE)</f>
        <v>0</v>
      </c>
      <c r="R330" s="254">
        <f>VLOOKUP(C330,'Talente &amp; Stuff'!DO:EP,16,FALSE)</f>
        <v>0</v>
      </c>
      <c r="S330" s="224">
        <f>VLOOKUP(C330,'Talente &amp; Stuff'!DO:EP,17,FALSE)</f>
        <v>0</v>
      </c>
      <c r="T330" s="242">
        <f>VLOOKUP(C330,'Talente &amp; Stuff'!DO:EP,18,FALSE)</f>
        <v>0</v>
      </c>
      <c r="U330" s="222">
        <f>VLOOKUP(C330,'Talente &amp; Stuff'!DO:EP,19,FALSE)</f>
        <v>0</v>
      </c>
      <c r="V330" s="223">
        <f>VLOOKUP(C330,'Talente &amp; Stuff'!DO:EP,20,FALSE)</f>
        <v>0</v>
      </c>
      <c r="W330" s="243">
        <f>VLOOKUP(C330,'Talente &amp; Stuff'!DO:EP,21,FALSE)</f>
        <v>0</v>
      </c>
      <c r="X330" s="218">
        <f>VLOOKUP(C330,'Talente &amp; Stuff'!DO:EP,22,FALSE)</f>
        <v>0</v>
      </c>
      <c r="Y330" s="252">
        <f>VLOOKUP(C330,Ausgewählte_Zauber_Zaubertänzer,139,FALSE)</f>
        <v>0</v>
      </c>
      <c r="Z330" s="309">
        <f>VLOOKUP(C330,Ausgewählte_Zauber_Zaubertänzer,140,FALSE)</f>
        <v>0</v>
      </c>
      <c r="AA330" s="218">
        <f>VLOOKUP(C330,'Talente &amp; Stuff'!DO:EP,25,FALSE)</f>
        <v>0</v>
      </c>
      <c r="AB330" s="242">
        <f>VLOOKUP(C330,'Talente &amp; Stuff'!DO:EP,26,FALSE)</f>
        <v>0</v>
      </c>
      <c r="AC330" s="218">
        <f>VLOOKUP(C330,'Talente &amp; Stuff'!DO:EP,27,FALSE)</f>
        <v>0</v>
      </c>
      <c r="AD330" s="218">
        <f>VLOOKUP(C330,'Talente &amp; Stuff'!DO:EP,28,FALSE)</f>
        <v>0</v>
      </c>
      <c r="AE330" s="343"/>
    </row>
    <row r="331" spans="1:31" s="217" customFormat="1" hidden="1" outlineLevel="2">
      <c r="A331" s="185"/>
      <c r="B331" s="217">
        <v>9</v>
      </c>
      <c r="C331" s="303" t="str">
        <f>Attribute!C331</f>
        <v>---</v>
      </c>
      <c r="D331" s="304" t="str">
        <f>VLOOKUP(C331,'Talente &amp; Stuff'!DO:EP,2,FALSE)</f>
        <v>--/--/--</v>
      </c>
      <c r="E331" s="304" t="str">
        <f>VLOOKUP(C331,'Talente &amp; Stuff'!DO:EP,3,FALSE)</f>
        <v>-</v>
      </c>
      <c r="F331" s="317">
        <f>VLOOKUP(C331,'Talente &amp; Stuff'!DO:EP,4,FALSE)</f>
        <v>0</v>
      </c>
      <c r="G331" s="254">
        <f>VLOOKUP(C331,'Talente &amp; Stuff'!DO:EP,5,FALSE)</f>
        <v>0</v>
      </c>
      <c r="H331" s="254">
        <f>VLOOKUP(C331,'Talente &amp; Stuff'!DO:EP,6,FALSE)</f>
        <v>0</v>
      </c>
      <c r="I331" s="254">
        <f>VLOOKUP(C331,'Talente &amp; Stuff'!DO:EP,7,FALSE)</f>
        <v>0</v>
      </c>
      <c r="J331" s="254">
        <f>VLOOKUP(C331,'Talente &amp; Stuff'!DO:EP,8,FALSE)</f>
        <v>0</v>
      </c>
      <c r="K331" s="254">
        <f>VLOOKUP(C331,'Talente &amp; Stuff'!DO:EP,9,FALSE)</f>
        <v>0</v>
      </c>
      <c r="L331" s="254">
        <f>VLOOKUP(C331,'Talente &amp; Stuff'!DO:EP,10,FALSE)</f>
        <v>0</v>
      </c>
      <c r="M331" s="318">
        <f>VLOOKUP(C331,'Talente &amp; Stuff'!DO:EP,11,FALSE)</f>
        <v>0</v>
      </c>
      <c r="N331" s="222">
        <f>VLOOKUP(C331,'Talente &amp; Stuff'!DO:EP,12,FALSE)</f>
        <v>0</v>
      </c>
      <c r="O331" s="223">
        <f>VLOOKUP(C331,'Talente &amp; Stuff'!DO:EP,13,FALSE)</f>
        <v>0</v>
      </c>
      <c r="P331" s="224">
        <f>VLOOKUP(C331,'Talente &amp; Stuff'!DO:EP,14,FALSE)</f>
        <v>0</v>
      </c>
      <c r="Q331" s="237">
        <f>VLOOKUP(C331,'Talente &amp; Stuff'!DO:EP,15,FALSE)</f>
        <v>0</v>
      </c>
      <c r="R331" s="254">
        <f>VLOOKUP(C331,'Talente &amp; Stuff'!DO:EP,16,FALSE)</f>
        <v>0</v>
      </c>
      <c r="S331" s="224">
        <f>VLOOKUP(C331,'Talente &amp; Stuff'!DO:EP,17,FALSE)</f>
        <v>0</v>
      </c>
      <c r="T331" s="242">
        <f>VLOOKUP(C331,'Talente &amp; Stuff'!DO:EP,18,FALSE)</f>
        <v>0</v>
      </c>
      <c r="U331" s="222">
        <f>VLOOKUP(C331,'Talente &amp; Stuff'!DO:EP,19,FALSE)</f>
        <v>0</v>
      </c>
      <c r="V331" s="223">
        <f>VLOOKUP(C331,'Talente &amp; Stuff'!DO:EP,20,FALSE)</f>
        <v>0</v>
      </c>
      <c r="W331" s="243">
        <f>VLOOKUP(C331,'Talente &amp; Stuff'!DO:EP,21,FALSE)</f>
        <v>0</v>
      </c>
      <c r="X331" s="218">
        <f>VLOOKUP(C331,'Talente &amp; Stuff'!DO:EP,22,FALSE)</f>
        <v>0</v>
      </c>
      <c r="Y331" s="252">
        <f>VLOOKUP(C331,Ausgewählte_Zauber_Zaubertänzer,139,FALSE)</f>
        <v>0</v>
      </c>
      <c r="Z331" s="309">
        <f>VLOOKUP(C331,Ausgewählte_Zauber_Zaubertänzer,140,FALSE)</f>
        <v>0</v>
      </c>
      <c r="AA331" s="218">
        <f>VLOOKUP(C331,'Talente &amp; Stuff'!DO:EP,25,FALSE)</f>
        <v>0</v>
      </c>
      <c r="AB331" s="242">
        <f>VLOOKUP(C331,'Talente &amp; Stuff'!DO:EP,26,FALSE)</f>
        <v>0</v>
      </c>
      <c r="AC331" s="218">
        <f>VLOOKUP(C331,'Talente &amp; Stuff'!DO:EP,27,FALSE)</f>
        <v>0</v>
      </c>
      <c r="AD331" s="218">
        <f>VLOOKUP(C331,'Talente &amp; Stuff'!DO:EP,28,FALSE)</f>
        <v>0</v>
      </c>
      <c r="AE331" s="343"/>
    </row>
    <row r="332" spans="1:31" s="217" customFormat="1" hidden="1" outlineLevel="2">
      <c r="A332" s="185"/>
      <c r="B332" s="217">
        <v>10</v>
      </c>
      <c r="C332" s="303" t="str">
        <f>Attribute!C332</f>
        <v>---</v>
      </c>
      <c r="D332" s="304" t="str">
        <f>VLOOKUP(C332,'Talente &amp; Stuff'!DO:EP,2,FALSE)</f>
        <v>--/--/--</v>
      </c>
      <c r="E332" s="304" t="str">
        <f>VLOOKUP(C332,'Talente &amp; Stuff'!DO:EP,3,FALSE)</f>
        <v>-</v>
      </c>
      <c r="F332" s="317">
        <f>VLOOKUP(C332,'Talente &amp; Stuff'!DO:EP,4,FALSE)</f>
        <v>0</v>
      </c>
      <c r="G332" s="254">
        <f>VLOOKUP(C332,'Talente &amp; Stuff'!DO:EP,5,FALSE)</f>
        <v>0</v>
      </c>
      <c r="H332" s="254">
        <f>VLOOKUP(C332,'Talente &amp; Stuff'!DO:EP,6,FALSE)</f>
        <v>0</v>
      </c>
      <c r="I332" s="254">
        <f>VLOOKUP(C332,'Talente &amp; Stuff'!DO:EP,7,FALSE)</f>
        <v>0</v>
      </c>
      <c r="J332" s="254">
        <f>VLOOKUP(C332,'Talente &amp; Stuff'!DO:EP,8,FALSE)</f>
        <v>0</v>
      </c>
      <c r="K332" s="254">
        <f>VLOOKUP(C332,'Talente &amp; Stuff'!DO:EP,9,FALSE)</f>
        <v>0</v>
      </c>
      <c r="L332" s="254">
        <f>VLOOKUP(C332,'Talente &amp; Stuff'!DO:EP,10,FALSE)</f>
        <v>0</v>
      </c>
      <c r="M332" s="318">
        <f>VLOOKUP(C332,'Talente &amp; Stuff'!DO:EP,11,FALSE)</f>
        <v>0</v>
      </c>
      <c r="N332" s="222">
        <f>VLOOKUP(C332,'Talente &amp; Stuff'!DO:EP,12,FALSE)</f>
        <v>0</v>
      </c>
      <c r="O332" s="223">
        <f>VLOOKUP(C332,'Talente &amp; Stuff'!DO:EP,13,FALSE)</f>
        <v>0</v>
      </c>
      <c r="P332" s="224">
        <f>VLOOKUP(C332,'Talente &amp; Stuff'!DO:EP,14,FALSE)</f>
        <v>0</v>
      </c>
      <c r="Q332" s="237">
        <f>VLOOKUP(C332,'Talente &amp; Stuff'!DO:EP,15,FALSE)</f>
        <v>0</v>
      </c>
      <c r="R332" s="254">
        <f>VLOOKUP(C332,'Talente &amp; Stuff'!DO:EP,16,FALSE)</f>
        <v>0</v>
      </c>
      <c r="S332" s="224">
        <f>VLOOKUP(C332,'Talente &amp; Stuff'!DO:EP,17,FALSE)</f>
        <v>0</v>
      </c>
      <c r="T332" s="242">
        <f>VLOOKUP(C332,'Talente &amp; Stuff'!DO:EP,18,FALSE)</f>
        <v>0</v>
      </c>
      <c r="U332" s="222">
        <f>VLOOKUP(C332,'Talente &amp; Stuff'!DO:EP,19,FALSE)</f>
        <v>0</v>
      </c>
      <c r="V332" s="223">
        <f>VLOOKUP(C332,'Talente &amp; Stuff'!DO:EP,20,FALSE)</f>
        <v>0</v>
      </c>
      <c r="W332" s="243">
        <f>VLOOKUP(C332,'Talente &amp; Stuff'!DO:EP,21,FALSE)</f>
        <v>0</v>
      </c>
      <c r="X332" s="218">
        <f>VLOOKUP(C332,'Talente &amp; Stuff'!DO:EP,22,FALSE)</f>
        <v>0</v>
      </c>
      <c r="Y332" s="252">
        <f>VLOOKUP(C332,Ausgewählte_Zauber_Zaubertänzer,139,FALSE)</f>
        <v>0</v>
      </c>
      <c r="Z332" s="309">
        <f>VLOOKUP(C332,Ausgewählte_Zauber_Zaubertänzer,140,FALSE)</f>
        <v>0</v>
      </c>
      <c r="AA332" s="218">
        <f>VLOOKUP(C332,'Talente &amp; Stuff'!DO:EP,25,FALSE)</f>
        <v>0</v>
      </c>
      <c r="AB332" s="242">
        <f>VLOOKUP(C332,'Talente &amp; Stuff'!DO:EP,26,FALSE)</f>
        <v>0</v>
      </c>
      <c r="AC332" s="218">
        <f>VLOOKUP(C332,'Talente &amp; Stuff'!DO:EP,27,FALSE)</f>
        <v>0</v>
      </c>
      <c r="AD332" s="218">
        <f>VLOOKUP(C332,'Talente &amp; Stuff'!DO:EP,28,FALSE)</f>
        <v>0</v>
      </c>
      <c r="AE332" s="343"/>
    </row>
    <row r="333" spans="1:31" s="217" customFormat="1" hidden="1" outlineLevel="2">
      <c r="A333" s="185"/>
      <c r="B333" s="217">
        <v>11</v>
      </c>
      <c r="C333" s="303" t="str">
        <f>Attribute!C333</f>
        <v>---</v>
      </c>
      <c r="D333" s="304" t="str">
        <f>VLOOKUP(C333,'Talente &amp; Stuff'!DO:EP,2,FALSE)</f>
        <v>--/--/--</v>
      </c>
      <c r="E333" s="304" t="str">
        <f>VLOOKUP(C333,'Talente &amp; Stuff'!DO:EP,3,FALSE)</f>
        <v>-</v>
      </c>
      <c r="F333" s="317">
        <f>VLOOKUP(C333,'Talente &amp; Stuff'!DO:EP,4,FALSE)</f>
        <v>0</v>
      </c>
      <c r="G333" s="254">
        <f>VLOOKUP(C333,'Talente &amp; Stuff'!DO:EP,5,FALSE)</f>
        <v>0</v>
      </c>
      <c r="H333" s="254">
        <f>VLOOKUP(C333,'Talente &amp; Stuff'!DO:EP,6,FALSE)</f>
        <v>0</v>
      </c>
      <c r="I333" s="254">
        <f>VLOOKUP(C333,'Talente &amp; Stuff'!DO:EP,7,FALSE)</f>
        <v>0</v>
      </c>
      <c r="J333" s="254">
        <f>VLOOKUP(C333,'Talente &amp; Stuff'!DO:EP,8,FALSE)</f>
        <v>0</v>
      </c>
      <c r="K333" s="254">
        <f>VLOOKUP(C333,'Talente &amp; Stuff'!DO:EP,9,FALSE)</f>
        <v>0</v>
      </c>
      <c r="L333" s="254">
        <f>VLOOKUP(C333,'Talente &amp; Stuff'!DO:EP,10,FALSE)</f>
        <v>0</v>
      </c>
      <c r="M333" s="318">
        <f>VLOOKUP(C333,'Talente &amp; Stuff'!DO:EP,11,FALSE)</f>
        <v>0</v>
      </c>
      <c r="N333" s="222">
        <f>VLOOKUP(C333,'Talente &amp; Stuff'!DO:EP,12,FALSE)</f>
        <v>0</v>
      </c>
      <c r="O333" s="223">
        <f>VLOOKUP(C333,'Talente &amp; Stuff'!DO:EP,13,FALSE)</f>
        <v>0</v>
      </c>
      <c r="P333" s="224">
        <f>VLOOKUP(C333,'Talente &amp; Stuff'!DO:EP,14,FALSE)</f>
        <v>0</v>
      </c>
      <c r="Q333" s="237">
        <f>VLOOKUP(C333,'Talente &amp; Stuff'!DO:EP,15,FALSE)</f>
        <v>0</v>
      </c>
      <c r="R333" s="254">
        <f>VLOOKUP(C333,'Talente &amp; Stuff'!DO:EP,16,FALSE)</f>
        <v>0</v>
      </c>
      <c r="S333" s="224">
        <f>VLOOKUP(C333,'Talente &amp; Stuff'!DO:EP,17,FALSE)</f>
        <v>0</v>
      </c>
      <c r="T333" s="242">
        <f>VLOOKUP(C333,'Talente &amp; Stuff'!DO:EP,18,FALSE)</f>
        <v>0</v>
      </c>
      <c r="U333" s="222">
        <f>VLOOKUP(C333,'Talente &amp; Stuff'!DO:EP,19,FALSE)</f>
        <v>0</v>
      </c>
      <c r="V333" s="223">
        <f>VLOOKUP(C333,'Talente &amp; Stuff'!DO:EP,20,FALSE)</f>
        <v>0</v>
      </c>
      <c r="W333" s="243">
        <f>VLOOKUP(C333,'Talente &amp; Stuff'!DO:EP,21,FALSE)</f>
        <v>0</v>
      </c>
      <c r="X333" s="218">
        <f>VLOOKUP(C333,'Talente &amp; Stuff'!DO:EP,22,FALSE)</f>
        <v>0</v>
      </c>
      <c r="Y333" s="252">
        <f>VLOOKUP(C333,Ausgewählte_Zauber_Zaubertänzer,139,FALSE)</f>
        <v>0</v>
      </c>
      <c r="Z333" s="309">
        <f>VLOOKUP(C333,Ausgewählte_Zauber_Zaubertänzer,140,FALSE)</f>
        <v>0</v>
      </c>
      <c r="AA333" s="218">
        <f>VLOOKUP(C333,'Talente &amp; Stuff'!DO:EP,25,FALSE)</f>
        <v>0</v>
      </c>
      <c r="AB333" s="242">
        <f>VLOOKUP(C333,'Talente &amp; Stuff'!DO:EP,26,FALSE)</f>
        <v>0</v>
      </c>
      <c r="AC333" s="218">
        <f>VLOOKUP(C333,'Talente &amp; Stuff'!DO:EP,27,FALSE)</f>
        <v>0</v>
      </c>
      <c r="AD333" s="218">
        <f>VLOOKUP(C333,'Talente &amp; Stuff'!DO:EP,28,FALSE)</f>
        <v>0</v>
      </c>
      <c r="AE333" s="343"/>
    </row>
    <row r="334" spans="1:31" s="217" customFormat="1" hidden="1" outlineLevel="2">
      <c r="A334" s="185"/>
      <c r="B334" s="217">
        <v>12</v>
      </c>
      <c r="C334" s="303" t="str">
        <f>Attribute!C334</f>
        <v>---</v>
      </c>
      <c r="D334" s="304" t="str">
        <f>VLOOKUP(C334,'Talente &amp; Stuff'!DO:EP,2,FALSE)</f>
        <v>--/--/--</v>
      </c>
      <c r="E334" s="304" t="str">
        <f>VLOOKUP(C334,'Talente &amp; Stuff'!DO:EP,3,FALSE)</f>
        <v>-</v>
      </c>
      <c r="F334" s="317">
        <f>VLOOKUP(C334,'Talente &amp; Stuff'!DO:EP,4,FALSE)</f>
        <v>0</v>
      </c>
      <c r="G334" s="254">
        <f>VLOOKUP(C334,'Talente &amp; Stuff'!DO:EP,5,FALSE)</f>
        <v>0</v>
      </c>
      <c r="H334" s="254">
        <f>VLOOKUP(C334,'Talente &amp; Stuff'!DO:EP,6,FALSE)</f>
        <v>0</v>
      </c>
      <c r="I334" s="254">
        <f>VLOOKUP(C334,'Talente &amp; Stuff'!DO:EP,7,FALSE)</f>
        <v>0</v>
      </c>
      <c r="J334" s="254">
        <f>VLOOKUP(C334,'Talente &amp; Stuff'!DO:EP,8,FALSE)</f>
        <v>0</v>
      </c>
      <c r="K334" s="254">
        <f>VLOOKUP(C334,'Talente &amp; Stuff'!DO:EP,9,FALSE)</f>
        <v>0</v>
      </c>
      <c r="L334" s="254">
        <f>VLOOKUP(C334,'Talente &amp; Stuff'!DO:EP,10,FALSE)</f>
        <v>0</v>
      </c>
      <c r="M334" s="318">
        <f>VLOOKUP(C334,'Talente &amp; Stuff'!DO:EP,11,FALSE)</f>
        <v>0</v>
      </c>
      <c r="N334" s="222">
        <f>VLOOKUP(C334,'Talente &amp; Stuff'!DO:EP,12,FALSE)</f>
        <v>0</v>
      </c>
      <c r="O334" s="223">
        <f>VLOOKUP(C334,'Talente &amp; Stuff'!DO:EP,13,FALSE)</f>
        <v>0</v>
      </c>
      <c r="P334" s="224">
        <f>VLOOKUP(C334,'Talente &amp; Stuff'!DO:EP,14,FALSE)</f>
        <v>0</v>
      </c>
      <c r="Q334" s="237">
        <f>VLOOKUP(C334,'Talente &amp; Stuff'!DO:EP,15,FALSE)</f>
        <v>0</v>
      </c>
      <c r="R334" s="254">
        <f>VLOOKUP(C334,'Talente &amp; Stuff'!DO:EP,16,FALSE)</f>
        <v>0</v>
      </c>
      <c r="S334" s="224">
        <f>VLOOKUP(C334,'Talente &amp; Stuff'!DO:EP,17,FALSE)</f>
        <v>0</v>
      </c>
      <c r="T334" s="242">
        <f>VLOOKUP(C334,'Talente &amp; Stuff'!DO:EP,18,FALSE)</f>
        <v>0</v>
      </c>
      <c r="U334" s="222">
        <f>VLOOKUP(C334,'Talente &amp; Stuff'!DO:EP,19,FALSE)</f>
        <v>0</v>
      </c>
      <c r="V334" s="223">
        <f>VLOOKUP(C334,'Talente &amp; Stuff'!DO:EP,20,FALSE)</f>
        <v>0</v>
      </c>
      <c r="W334" s="243">
        <f>VLOOKUP(C334,'Talente &amp; Stuff'!DO:EP,21,FALSE)</f>
        <v>0</v>
      </c>
      <c r="X334" s="218">
        <f>VLOOKUP(C334,'Talente &amp; Stuff'!DO:EP,22,FALSE)</f>
        <v>0</v>
      </c>
      <c r="Y334" s="252">
        <f>VLOOKUP(C334,Ausgewählte_Zauber_Zaubertänzer,139,FALSE)</f>
        <v>0</v>
      </c>
      <c r="Z334" s="309">
        <f>VLOOKUP(C334,Ausgewählte_Zauber_Zaubertänzer,140,FALSE)</f>
        <v>0</v>
      </c>
      <c r="AA334" s="218">
        <f>VLOOKUP(C334,'Talente &amp; Stuff'!DO:EP,25,FALSE)</f>
        <v>0</v>
      </c>
      <c r="AB334" s="242">
        <f>VLOOKUP(C334,'Talente &amp; Stuff'!DO:EP,26,FALSE)</f>
        <v>0</v>
      </c>
      <c r="AC334" s="218">
        <f>VLOOKUP(C334,'Talente &amp; Stuff'!DO:EP,27,FALSE)</f>
        <v>0</v>
      </c>
      <c r="AD334" s="218">
        <f>VLOOKUP(C334,'Talente &amp; Stuff'!DO:EP,28,FALSE)</f>
        <v>0</v>
      </c>
      <c r="AE334" s="343"/>
    </row>
    <row r="335" spans="1:31" s="217" customFormat="1" hidden="1" outlineLevel="2">
      <c r="A335" s="185"/>
      <c r="B335" s="217">
        <v>13</v>
      </c>
      <c r="C335" s="303" t="str">
        <f>Attribute!C335</f>
        <v>---</v>
      </c>
      <c r="D335" s="304" t="str">
        <f>VLOOKUP(C335,'Talente &amp; Stuff'!DO:EP,2,FALSE)</f>
        <v>--/--/--</v>
      </c>
      <c r="E335" s="304" t="str">
        <f>VLOOKUP(C335,'Talente &amp; Stuff'!DO:EP,3,FALSE)</f>
        <v>-</v>
      </c>
      <c r="F335" s="317">
        <f>VLOOKUP(C335,'Talente &amp; Stuff'!DO:EP,4,FALSE)</f>
        <v>0</v>
      </c>
      <c r="G335" s="254">
        <f>VLOOKUP(C335,'Talente &amp; Stuff'!DO:EP,5,FALSE)</f>
        <v>0</v>
      </c>
      <c r="H335" s="254">
        <f>VLOOKUP(C335,'Talente &amp; Stuff'!DO:EP,6,FALSE)</f>
        <v>0</v>
      </c>
      <c r="I335" s="254">
        <f>VLOOKUP(C335,'Talente &amp; Stuff'!DO:EP,7,FALSE)</f>
        <v>0</v>
      </c>
      <c r="J335" s="254">
        <f>VLOOKUP(C335,'Talente &amp; Stuff'!DO:EP,8,FALSE)</f>
        <v>0</v>
      </c>
      <c r="K335" s="254">
        <f>VLOOKUP(C335,'Talente &amp; Stuff'!DO:EP,9,FALSE)</f>
        <v>0</v>
      </c>
      <c r="L335" s="254">
        <f>VLOOKUP(C335,'Talente &amp; Stuff'!DO:EP,10,FALSE)</f>
        <v>0</v>
      </c>
      <c r="M335" s="318">
        <f>VLOOKUP(C335,'Talente &amp; Stuff'!DO:EP,11,FALSE)</f>
        <v>0</v>
      </c>
      <c r="N335" s="222">
        <f>VLOOKUP(C335,'Talente &amp; Stuff'!DO:EP,12,FALSE)</f>
        <v>0</v>
      </c>
      <c r="O335" s="223">
        <f>VLOOKUP(C335,'Talente &amp; Stuff'!DO:EP,13,FALSE)</f>
        <v>0</v>
      </c>
      <c r="P335" s="224">
        <f>VLOOKUP(C335,'Talente &amp; Stuff'!DO:EP,14,FALSE)</f>
        <v>0</v>
      </c>
      <c r="Q335" s="237">
        <f>VLOOKUP(C335,'Talente &amp; Stuff'!DO:EP,15,FALSE)</f>
        <v>0</v>
      </c>
      <c r="R335" s="254">
        <f>VLOOKUP(C335,'Talente &amp; Stuff'!DO:EP,16,FALSE)</f>
        <v>0</v>
      </c>
      <c r="S335" s="224">
        <f>VLOOKUP(C335,'Talente &amp; Stuff'!DO:EP,17,FALSE)</f>
        <v>0</v>
      </c>
      <c r="T335" s="242">
        <f>VLOOKUP(C335,'Talente &amp; Stuff'!DO:EP,18,FALSE)</f>
        <v>0</v>
      </c>
      <c r="U335" s="222">
        <f>VLOOKUP(C335,'Talente &amp; Stuff'!DO:EP,19,FALSE)</f>
        <v>0</v>
      </c>
      <c r="V335" s="223">
        <f>VLOOKUP(C335,'Talente &amp; Stuff'!DO:EP,20,FALSE)</f>
        <v>0</v>
      </c>
      <c r="W335" s="243">
        <f>VLOOKUP(C335,'Talente &amp; Stuff'!DO:EP,21,FALSE)</f>
        <v>0</v>
      </c>
      <c r="X335" s="218">
        <f>VLOOKUP(C335,'Talente &amp; Stuff'!DO:EP,22,FALSE)</f>
        <v>0</v>
      </c>
      <c r="Y335" s="252">
        <f>VLOOKUP(C335,Ausgewählte_Zauber_Zaubertänzer,139,FALSE)</f>
        <v>0</v>
      </c>
      <c r="Z335" s="309">
        <f>VLOOKUP(C335,Ausgewählte_Zauber_Zaubertänzer,140,FALSE)</f>
        <v>0</v>
      </c>
      <c r="AA335" s="218">
        <f>VLOOKUP(C335,'Talente &amp; Stuff'!DO:EP,25,FALSE)</f>
        <v>0</v>
      </c>
      <c r="AB335" s="242">
        <f>VLOOKUP(C335,'Talente &amp; Stuff'!DO:EP,26,FALSE)</f>
        <v>0</v>
      </c>
      <c r="AC335" s="218">
        <f>VLOOKUP(C335,'Talente &amp; Stuff'!DO:EP,27,FALSE)</f>
        <v>0</v>
      </c>
      <c r="AD335" s="218">
        <f>VLOOKUP(C335,'Talente &amp; Stuff'!DO:EP,28,FALSE)</f>
        <v>0</v>
      </c>
      <c r="AE335" s="343"/>
    </row>
    <row r="336" spans="1:31" s="217" customFormat="1" hidden="1" outlineLevel="2">
      <c r="A336" s="185"/>
      <c r="B336" s="217">
        <v>14</v>
      </c>
      <c r="C336" s="303" t="str">
        <f>Attribute!C336</f>
        <v>---</v>
      </c>
      <c r="D336" s="304" t="str">
        <f>VLOOKUP(C336,'Talente &amp; Stuff'!DO:EP,2,FALSE)</f>
        <v>--/--/--</v>
      </c>
      <c r="E336" s="304" t="str">
        <f>VLOOKUP(C336,'Talente &amp; Stuff'!DO:EP,3,FALSE)</f>
        <v>-</v>
      </c>
      <c r="F336" s="317">
        <f>VLOOKUP(C336,'Talente &amp; Stuff'!DO:EP,4,FALSE)</f>
        <v>0</v>
      </c>
      <c r="G336" s="254">
        <f>VLOOKUP(C336,'Talente &amp; Stuff'!DO:EP,5,FALSE)</f>
        <v>0</v>
      </c>
      <c r="H336" s="254">
        <f>VLOOKUP(C336,'Talente &amp; Stuff'!DO:EP,6,FALSE)</f>
        <v>0</v>
      </c>
      <c r="I336" s="254">
        <f>VLOOKUP(C336,'Talente &amp; Stuff'!DO:EP,7,FALSE)</f>
        <v>0</v>
      </c>
      <c r="J336" s="254">
        <f>VLOOKUP(C336,'Talente &amp; Stuff'!DO:EP,8,FALSE)</f>
        <v>0</v>
      </c>
      <c r="K336" s="254">
        <f>VLOOKUP(C336,'Talente &amp; Stuff'!DO:EP,9,FALSE)</f>
        <v>0</v>
      </c>
      <c r="L336" s="254">
        <f>VLOOKUP(C336,'Talente &amp; Stuff'!DO:EP,10,FALSE)</f>
        <v>0</v>
      </c>
      <c r="M336" s="318">
        <f>VLOOKUP(C336,'Talente &amp; Stuff'!DO:EP,11,FALSE)</f>
        <v>0</v>
      </c>
      <c r="N336" s="222">
        <f>VLOOKUP(C336,'Talente &amp; Stuff'!DO:EP,12,FALSE)</f>
        <v>0</v>
      </c>
      <c r="O336" s="223">
        <f>VLOOKUP(C336,'Talente &amp; Stuff'!DO:EP,13,FALSE)</f>
        <v>0</v>
      </c>
      <c r="P336" s="224">
        <f>VLOOKUP(C336,'Talente &amp; Stuff'!DO:EP,14,FALSE)</f>
        <v>0</v>
      </c>
      <c r="Q336" s="237">
        <f>VLOOKUP(C336,'Talente &amp; Stuff'!DO:EP,15,FALSE)</f>
        <v>0</v>
      </c>
      <c r="R336" s="254">
        <f>VLOOKUP(C336,'Talente &amp; Stuff'!DO:EP,16,FALSE)</f>
        <v>0</v>
      </c>
      <c r="S336" s="224">
        <f>VLOOKUP(C336,'Talente &amp; Stuff'!DO:EP,17,FALSE)</f>
        <v>0</v>
      </c>
      <c r="T336" s="242">
        <f>VLOOKUP(C336,'Talente &amp; Stuff'!DO:EP,18,FALSE)</f>
        <v>0</v>
      </c>
      <c r="U336" s="222">
        <f>VLOOKUP(C336,'Talente &amp; Stuff'!DO:EP,19,FALSE)</f>
        <v>0</v>
      </c>
      <c r="V336" s="223">
        <f>VLOOKUP(C336,'Talente &amp; Stuff'!DO:EP,20,FALSE)</f>
        <v>0</v>
      </c>
      <c r="W336" s="243">
        <f>VLOOKUP(C336,'Talente &amp; Stuff'!DO:EP,21,FALSE)</f>
        <v>0</v>
      </c>
      <c r="X336" s="218">
        <f>VLOOKUP(C336,'Talente &amp; Stuff'!DO:EP,22,FALSE)</f>
        <v>0</v>
      </c>
      <c r="Y336" s="252">
        <f>VLOOKUP(C336,Ausgewählte_Zauber_Zaubertänzer,139,FALSE)</f>
        <v>0</v>
      </c>
      <c r="Z336" s="309">
        <f>VLOOKUP(C336,Ausgewählte_Zauber_Zaubertänzer,140,FALSE)</f>
        <v>0</v>
      </c>
      <c r="AA336" s="218">
        <f>VLOOKUP(C336,'Talente &amp; Stuff'!DO:EP,25,FALSE)</f>
        <v>0</v>
      </c>
      <c r="AB336" s="242">
        <f>VLOOKUP(C336,'Talente &amp; Stuff'!DO:EP,26,FALSE)</f>
        <v>0</v>
      </c>
      <c r="AC336" s="218">
        <f>VLOOKUP(C336,'Talente &amp; Stuff'!DO:EP,27,FALSE)</f>
        <v>0</v>
      </c>
      <c r="AD336" s="218">
        <f>VLOOKUP(C336,'Talente &amp; Stuff'!DO:EP,28,FALSE)</f>
        <v>0</v>
      </c>
      <c r="AE336" s="343"/>
    </row>
    <row r="337" spans="1:31" s="217" customFormat="1" hidden="1" outlineLevel="2">
      <c r="A337" s="185"/>
      <c r="B337" s="217">
        <v>15</v>
      </c>
      <c r="C337" s="303" t="str">
        <f>Attribute!C337</f>
        <v>---</v>
      </c>
      <c r="D337" s="304" t="str">
        <f>VLOOKUP(C337,'Talente &amp; Stuff'!DO:EP,2,FALSE)</f>
        <v>--/--/--</v>
      </c>
      <c r="E337" s="304" t="str">
        <f>VLOOKUP(C337,'Talente &amp; Stuff'!DO:EP,3,FALSE)</f>
        <v>-</v>
      </c>
      <c r="F337" s="317">
        <f>VLOOKUP(C337,'Talente &amp; Stuff'!DO:EP,4,FALSE)</f>
        <v>0</v>
      </c>
      <c r="G337" s="254">
        <f>VLOOKUP(C337,'Talente &amp; Stuff'!DO:EP,5,FALSE)</f>
        <v>0</v>
      </c>
      <c r="H337" s="254">
        <f>VLOOKUP(C337,'Talente &amp; Stuff'!DO:EP,6,FALSE)</f>
        <v>0</v>
      </c>
      <c r="I337" s="254">
        <f>VLOOKUP(C337,'Talente &amp; Stuff'!DO:EP,7,FALSE)</f>
        <v>0</v>
      </c>
      <c r="J337" s="254">
        <f>VLOOKUP(C337,'Talente &amp; Stuff'!DO:EP,8,FALSE)</f>
        <v>0</v>
      </c>
      <c r="K337" s="254">
        <f>VLOOKUP(C337,'Talente &amp; Stuff'!DO:EP,9,FALSE)</f>
        <v>0</v>
      </c>
      <c r="L337" s="254">
        <f>VLOOKUP(C337,'Talente &amp; Stuff'!DO:EP,10,FALSE)</f>
        <v>0</v>
      </c>
      <c r="M337" s="318">
        <f>VLOOKUP(C337,'Talente &amp; Stuff'!DO:EP,11,FALSE)</f>
        <v>0</v>
      </c>
      <c r="N337" s="222">
        <f>VLOOKUP(C337,'Talente &amp; Stuff'!DO:EP,12,FALSE)</f>
        <v>0</v>
      </c>
      <c r="O337" s="223">
        <f>VLOOKUP(C337,'Talente &amp; Stuff'!DO:EP,13,FALSE)</f>
        <v>0</v>
      </c>
      <c r="P337" s="224">
        <f>VLOOKUP(C337,'Talente &amp; Stuff'!DO:EP,14,FALSE)</f>
        <v>0</v>
      </c>
      <c r="Q337" s="237">
        <f>VLOOKUP(C337,'Talente &amp; Stuff'!DO:EP,15,FALSE)</f>
        <v>0</v>
      </c>
      <c r="R337" s="254">
        <f>VLOOKUP(C337,'Talente &amp; Stuff'!DO:EP,16,FALSE)</f>
        <v>0</v>
      </c>
      <c r="S337" s="224">
        <f>VLOOKUP(C337,'Talente &amp; Stuff'!DO:EP,17,FALSE)</f>
        <v>0</v>
      </c>
      <c r="T337" s="242">
        <f>VLOOKUP(C337,'Talente &amp; Stuff'!DO:EP,18,FALSE)</f>
        <v>0</v>
      </c>
      <c r="U337" s="222">
        <f>VLOOKUP(C337,'Talente &amp; Stuff'!DO:EP,19,FALSE)</f>
        <v>0</v>
      </c>
      <c r="V337" s="223">
        <f>VLOOKUP(C337,'Talente &amp; Stuff'!DO:EP,20,FALSE)</f>
        <v>0</v>
      </c>
      <c r="W337" s="243">
        <f>VLOOKUP(C337,'Talente &amp; Stuff'!DO:EP,21,FALSE)</f>
        <v>0</v>
      </c>
      <c r="X337" s="218">
        <f>VLOOKUP(C337,'Talente &amp; Stuff'!DO:EP,22,FALSE)</f>
        <v>0</v>
      </c>
      <c r="Y337" s="252">
        <f>VLOOKUP(C337,Ausgewählte_Zauber_Zaubertänzer,139,FALSE)</f>
        <v>0</v>
      </c>
      <c r="Z337" s="309">
        <f>VLOOKUP(C337,Ausgewählte_Zauber_Zaubertänzer,140,FALSE)</f>
        <v>0</v>
      </c>
      <c r="AA337" s="218">
        <f>VLOOKUP(C337,'Talente &amp; Stuff'!DO:EP,25,FALSE)</f>
        <v>0</v>
      </c>
      <c r="AB337" s="242">
        <f>VLOOKUP(C337,'Talente &amp; Stuff'!DO:EP,26,FALSE)</f>
        <v>0</v>
      </c>
      <c r="AC337" s="218">
        <f>VLOOKUP(C337,'Talente &amp; Stuff'!DO:EP,27,FALSE)</f>
        <v>0</v>
      </c>
      <c r="AD337" s="218">
        <f>VLOOKUP(C337,'Talente &amp; Stuff'!DO:EP,28,FALSE)</f>
        <v>0</v>
      </c>
      <c r="AE337" s="343"/>
    </row>
    <row r="338" spans="1:31" s="217" customFormat="1" hidden="1" outlineLevel="2">
      <c r="A338" s="185"/>
      <c r="B338" s="217">
        <v>16</v>
      </c>
      <c r="C338" s="303" t="str">
        <f>Attribute!C338</f>
        <v>---</v>
      </c>
      <c r="D338" s="304" t="str">
        <f>VLOOKUP(C338,'Talente &amp; Stuff'!DO:EP,2,FALSE)</f>
        <v>--/--/--</v>
      </c>
      <c r="E338" s="304" t="str">
        <f>VLOOKUP(C338,'Talente &amp; Stuff'!DO:EP,3,FALSE)</f>
        <v>-</v>
      </c>
      <c r="F338" s="317">
        <f>VLOOKUP(C338,'Talente &amp; Stuff'!DO:EP,4,FALSE)</f>
        <v>0</v>
      </c>
      <c r="G338" s="254">
        <f>VLOOKUP(C338,'Talente &amp; Stuff'!DO:EP,5,FALSE)</f>
        <v>0</v>
      </c>
      <c r="H338" s="254">
        <f>VLOOKUP(C338,'Talente &amp; Stuff'!DO:EP,6,FALSE)</f>
        <v>0</v>
      </c>
      <c r="I338" s="254">
        <f>VLOOKUP(C338,'Talente &amp; Stuff'!DO:EP,7,FALSE)</f>
        <v>0</v>
      </c>
      <c r="J338" s="254">
        <f>VLOOKUP(C338,'Talente &amp; Stuff'!DO:EP,8,FALSE)</f>
        <v>0</v>
      </c>
      <c r="K338" s="254">
        <f>VLOOKUP(C338,'Talente &amp; Stuff'!DO:EP,9,FALSE)</f>
        <v>0</v>
      </c>
      <c r="L338" s="254">
        <f>VLOOKUP(C338,'Talente &amp; Stuff'!DO:EP,10,FALSE)</f>
        <v>0</v>
      </c>
      <c r="M338" s="318">
        <f>VLOOKUP(C338,'Talente &amp; Stuff'!DO:EP,11,FALSE)</f>
        <v>0</v>
      </c>
      <c r="N338" s="222">
        <f>VLOOKUP(C338,'Talente &amp; Stuff'!DO:EP,12,FALSE)</f>
        <v>0</v>
      </c>
      <c r="O338" s="223">
        <f>VLOOKUP(C338,'Talente &amp; Stuff'!DO:EP,13,FALSE)</f>
        <v>0</v>
      </c>
      <c r="P338" s="224">
        <f>VLOOKUP(C338,'Talente &amp; Stuff'!DO:EP,14,FALSE)</f>
        <v>0</v>
      </c>
      <c r="Q338" s="237">
        <f>VLOOKUP(C338,'Talente &amp; Stuff'!DO:EP,15,FALSE)</f>
        <v>0</v>
      </c>
      <c r="R338" s="254">
        <f>VLOOKUP(C338,'Talente &amp; Stuff'!DO:EP,16,FALSE)</f>
        <v>0</v>
      </c>
      <c r="S338" s="224">
        <f>VLOOKUP(C338,'Talente &amp; Stuff'!DO:EP,17,FALSE)</f>
        <v>0</v>
      </c>
      <c r="T338" s="242">
        <f>VLOOKUP(C338,'Talente &amp; Stuff'!DO:EP,18,FALSE)</f>
        <v>0</v>
      </c>
      <c r="U338" s="222">
        <f>VLOOKUP(C338,'Talente &amp; Stuff'!DO:EP,19,FALSE)</f>
        <v>0</v>
      </c>
      <c r="V338" s="223">
        <f>VLOOKUP(C338,'Talente &amp; Stuff'!DO:EP,20,FALSE)</f>
        <v>0</v>
      </c>
      <c r="W338" s="243">
        <f>VLOOKUP(C338,'Talente &amp; Stuff'!DO:EP,21,FALSE)</f>
        <v>0</v>
      </c>
      <c r="X338" s="218">
        <f>VLOOKUP(C338,'Talente &amp; Stuff'!DO:EP,22,FALSE)</f>
        <v>0</v>
      </c>
      <c r="Y338" s="252">
        <f>VLOOKUP(C338,Ausgewählte_Zauber_Zaubertänzer,139,FALSE)</f>
        <v>0</v>
      </c>
      <c r="Z338" s="309">
        <f>VLOOKUP(C338,Ausgewählte_Zauber_Zaubertänzer,140,FALSE)</f>
        <v>0</v>
      </c>
      <c r="AA338" s="218">
        <f>VLOOKUP(C338,'Talente &amp; Stuff'!DO:EP,25,FALSE)</f>
        <v>0</v>
      </c>
      <c r="AB338" s="242">
        <f>VLOOKUP(C338,'Talente &amp; Stuff'!DO:EP,26,FALSE)</f>
        <v>0</v>
      </c>
      <c r="AC338" s="218">
        <f>VLOOKUP(C338,'Talente &amp; Stuff'!DO:EP,27,FALSE)</f>
        <v>0</v>
      </c>
      <c r="AD338" s="218">
        <f>VLOOKUP(C338,'Talente &amp; Stuff'!DO:EP,28,FALSE)</f>
        <v>0</v>
      </c>
      <c r="AE338" s="343"/>
    </row>
    <row r="339" spans="1:31" s="217" customFormat="1" hidden="1" outlineLevel="2">
      <c r="A339" s="185"/>
      <c r="B339" s="217">
        <v>17</v>
      </c>
      <c r="C339" s="303" t="str">
        <f>Attribute!C339</f>
        <v>---</v>
      </c>
      <c r="D339" s="304" t="str">
        <f>VLOOKUP(C339,'Talente &amp; Stuff'!DO:EP,2,FALSE)</f>
        <v>--/--/--</v>
      </c>
      <c r="E339" s="304" t="str">
        <f>VLOOKUP(C339,'Talente &amp; Stuff'!DO:EP,3,FALSE)</f>
        <v>-</v>
      </c>
      <c r="F339" s="317">
        <f>VLOOKUP(C339,'Talente &amp; Stuff'!DO:EP,4,FALSE)</f>
        <v>0</v>
      </c>
      <c r="G339" s="254">
        <f>VLOOKUP(C339,'Talente &amp; Stuff'!DO:EP,5,FALSE)</f>
        <v>0</v>
      </c>
      <c r="H339" s="254">
        <f>VLOOKUP(C339,'Talente &amp; Stuff'!DO:EP,6,FALSE)</f>
        <v>0</v>
      </c>
      <c r="I339" s="254">
        <f>VLOOKUP(C339,'Talente &amp; Stuff'!DO:EP,7,FALSE)</f>
        <v>0</v>
      </c>
      <c r="J339" s="254">
        <f>VLOOKUP(C339,'Talente &amp; Stuff'!DO:EP,8,FALSE)</f>
        <v>0</v>
      </c>
      <c r="K339" s="254">
        <f>VLOOKUP(C339,'Talente &amp; Stuff'!DO:EP,9,FALSE)</f>
        <v>0</v>
      </c>
      <c r="L339" s="254">
        <f>VLOOKUP(C339,'Talente &amp; Stuff'!DO:EP,10,FALSE)</f>
        <v>0</v>
      </c>
      <c r="M339" s="318">
        <f>VLOOKUP(C339,'Talente &amp; Stuff'!DO:EP,11,FALSE)</f>
        <v>0</v>
      </c>
      <c r="N339" s="222">
        <f>VLOOKUP(C339,'Talente &amp; Stuff'!DO:EP,12,FALSE)</f>
        <v>0</v>
      </c>
      <c r="O339" s="223">
        <f>VLOOKUP(C339,'Talente &amp; Stuff'!DO:EP,13,FALSE)</f>
        <v>0</v>
      </c>
      <c r="P339" s="224">
        <f>VLOOKUP(C339,'Talente &amp; Stuff'!DO:EP,14,FALSE)</f>
        <v>0</v>
      </c>
      <c r="Q339" s="237">
        <f>VLOOKUP(C339,'Talente &amp; Stuff'!DO:EP,15,FALSE)</f>
        <v>0</v>
      </c>
      <c r="R339" s="254">
        <f>VLOOKUP(C339,'Talente &amp; Stuff'!DO:EP,16,FALSE)</f>
        <v>0</v>
      </c>
      <c r="S339" s="224">
        <f>VLOOKUP(C339,'Talente &amp; Stuff'!DO:EP,17,FALSE)</f>
        <v>0</v>
      </c>
      <c r="T339" s="242">
        <f>VLOOKUP(C339,'Talente &amp; Stuff'!DO:EP,18,FALSE)</f>
        <v>0</v>
      </c>
      <c r="U339" s="222">
        <f>VLOOKUP(C339,'Talente &amp; Stuff'!DO:EP,19,FALSE)</f>
        <v>0</v>
      </c>
      <c r="V339" s="223">
        <f>VLOOKUP(C339,'Talente &amp; Stuff'!DO:EP,20,FALSE)</f>
        <v>0</v>
      </c>
      <c r="W339" s="243">
        <f>VLOOKUP(C339,'Talente &amp; Stuff'!DO:EP,21,FALSE)</f>
        <v>0</v>
      </c>
      <c r="X339" s="218">
        <f>VLOOKUP(C339,'Talente &amp; Stuff'!DO:EP,22,FALSE)</f>
        <v>0</v>
      </c>
      <c r="Y339" s="252">
        <f>VLOOKUP(C339,Ausgewählte_Zauber_Zaubertänzer,139,FALSE)</f>
        <v>0</v>
      </c>
      <c r="Z339" s="309">
        <f>VLOOKUP(C339,Ausgewählte_Zauber_Zaubertänzer,140,FALSE)</f>
        <v>0</v>
      </c>
      <c r="AA339" s="218">
        <f>VLOOKUP(C339,'Talente &amp; Stuff'!DO:EP,25,FALSE)</f>
        <v>0</v>
      </c>
      <c r="AB339" s="242">
        <f>VLOOKUP(C339,'Talente &amp; Stuff'!DO:EP,26,FALSE)</f>
        <v>0</v>
      </c>
      <c r="AC339" s="218">
        <f>VLOOKUP(C339,'Talente &amp; Stuff'!DO:EP,27,FALSE)</f>
        <v>0</v>
      </c>
      <c r="AD339" s="218">
        <f>VLOOKUP(C339,'Talente &amp; Stuff'!DO:EP,28,FALSE)</f>
        <v>0</v>
      </c>
      <c r="AE339" s="343"/>
    </row>
    <row r="340" spans="1:31" s="217" customFormat="1" hidden="1" outlineLevel="2">
      <c r="A340" s="185"/>
      <c r="B340" s="217">
        <v>18</v>
      </c>
      <c r="C340" s="303" t="str">
        <f>Attribute!C340</f>
        <v>---</v>
      </c>
      <c r="D340" s="304" t="str">
        <f>VLOOKUP(C340,'Talente &amp; Stuff'!DO:EP,2,FALSE)</f>
        <v>--/--/--</v>
      </c>
      <c r="E340" s="304" t="str">
        <f>VLOOKUP(C340,'Talente &amp; Stuff'!DO:EP,3,FALSE)</f>
        <v>-</v>
      </c>
      <c r="F340" s="317">
        <f>VLOOKUP(C340,'Talente &amp; Stuff'!DO:EP,4,FALSE)</f>
        <v>0</v>
      </c>
      <c r="G340" s="254">
        <f>VLOOKUP(C340,'Talente &amp; Stuff'!DO:EP,5,FALSE)</f>
        <v>0</v>
      </c>
      <c r="H340" s="254">
        <f>VLOOKUP(C340,'Talente &amp; Stuff'!DO:EP,6,FALSE)</f>
        <v>0</v>
      </c>
      <c r="I340" s="254">
        <f>VLOOKUP(C340,'Talente &amp; Stuff'!DO:EP,7,FALSE)</f>
        <v>0</v>
      </c>
      <c r="J340" s="254">
        <f>VLOOKUP(C340,'Talente &amp; Stuff'!DO:EP,8,FALSE)</f>
        <v>0</v>
      </c>
      <c r="K340" s="254">
        <f>VLOOKUP(C340,'Talente &amp; Stuff'!DO:EP,9,FALSE)</f>
        <v>0</v>
      </c>
      <c r="L340" s="254">
        <f>VLOOKUP(C340,'Talente &amp; Stuff'!DO:EP,10,FALSE)</f>
        <v>0</v>
      </c>
      <c r="M340" s="318">
        <f>VLOOKUP(C340,'Talente &amp; Stuff'!DO:EP,11,FALSE)</f>
        <v>0</v>
      </c>
      <c r="N340" s="222">
        <f>VLOOKUP(C340,'Talente &amp; Stuff'!DO:EP,12,FALSE)</f>
        <v>0</v>
      </c>
      <c r="O340" s="223">
        <f>VLOOKUP(C340,'Talente &amp; Stuff'!DO:EP,13,FALSE)</f>
        <v>0</v>
      </c>
      <c r="P340" s="224">
        <f>VLOOKUP(C340,'Talente &amp; Stuff'!DO:EP,14,FALSE)</f>
        <v>0</v>
      </c>
      <c r="Q340" s="237">
        <f>VLOOKUP(C340,'Talente &amp; Stuff'!DO:EP,15,FALSE)</f>
        <v>0</v>
      </c>
      <c r="R340" s="254">
        <f>VLOOKUP(C340,'Talente &amp; Stuff'!DO:EP,16,FALSE)</f>
        <v>0</v>
      </c>
      <c r="S340" s="224">
        <f>VLOOKUP(C340,'Talente &amp; Stuff'!DO:EP,17,FALSE)</f>
        <v>0</v>
      </c>
      <c r="T340" s="242">
        <f>VLOOKUP(C340,'Talente &amp; Stuff'!DO:EP,18,FALSE)</f>
        <v>0</v>
      </c>
      <c r="U340" s="222">
        <f>VLOOKUP(C340,'Talente &amp; Stuff'!DO:EP,19,FALSE)</f>
        <v>0</v>
      </c>
      <c r="V340" s="223">
        <f>VLOOKUP(C340,'Talente &amp; Stuff'!DO:EP,20,FALSE)</f>
        <v>0</v>
      </c>
      <c r="W340" s="243">
        <f>VLOOKUP(C340,'Talente &amp; Stuff'!DO:EP,21,FALSE)</f>
        <v>0</v>
      </c>
      <c r="X340" s="218">
        <f>VLOOKUP(C340,'Talente &amp; Stuff'!DO:EP,22,FALSE)</f>
        <v>0</v>
      </c>
      <c r="Y340" s="252">
        <f>VLOOKUP(C340,Ausgewählte_Zauber_Zaubertänzer,139,FALSE)</f>
        <v>0</v>
      </c>
      <c r="Z340" s="309">
        <f>VLOOKUP(C340,Ausgewählte_Zauber_Zaubertänzer,140,FALSE)</f>
        <v>0</v>
      </c>
      <c r="AA340" s="218">
        <f>VLOOKUP(C340,'Talente &amp; Stuff'!DO:EP,25,FALSE)</f>
        <v>0</v>
      </c>
      <c r="AB340" s="242">
        <f>VLOOKUP(C340,'Talente &amp; Stuff'!DO:EP,26,FALSE)</f>
        <v>0</v>
      </c>
      <c r="AC340" s="218">
        <f>VLOOKUP(C340,'Talente &amp; Stuff'!DO:EP,27,FALSE)</f>
        <v>0</v>
      </c>
      <c r="AD340" s="218">
        <f>VLOOKUP(C340,'Talente &amp; Stuff'!DO:EP,28,FALSE)</f>
        <v>0</v>
      </c>
      <c r="AE340" s="343"/>
    </row>
    <row r="341" spans="1:31" s="217" customFormat="1" hidden="1" outlineLevel="2">
      <c r="A341" s="185"/>
      <c r="B341" s="217">
        <v>19</v>
      </c>
      <c r="C341" s="303" t="str">
        <f>Attribute!C341</f>
        <v>---</v>
      </c>
      <c r="D341" s="304" t="str">
        <f>VLOOKUP(C341,'Talente &amp; Stuff'!DO:EP,2,FALSE)</f>
        <v>--/--/--</v>
      </c>
      <c r="E341" s="304" t="str">
        <f>VLOOKUP(C341,'Talente &amp; Stuff'!DO:EP,3,FALSE)</f>
        <v>-</v>
      </c>
      <c r="F341" s="317">
        <f>VLOOKUP(C341,'Talente &amp; Stuff'!DO:EP,4,FALSE)</f>
        <v>0</v>
      </c>
      <c r="G341" s="254">
        <f>VLOOKUP(C341,'Talente &amp; Stuff'!DO:EP,5,FALSE)</f>
        <v>0</v>
      </c>
      <c r="H341" s="254">
        <f>VLOOKUP(C341,'Talente &amp; Stuff'!DO:EP,6,FALSE)</f>
        <v>0</v>
      </c>
      <c r="I341" s="254">
        <f>VLOOKUP(C341,'Talente &amp; Stuff'!DO:EP,7,FALSE)</f>
        <v>0</v>
      </c>
      <c r="J341" s="254">
        <f>VLOOKUP(C341,'Talente &amp; Stuff'!DO:EP,8,FALSE)</f>
        <v>0</v>
      </c>
      <c r="K341" s="254">
        <f>VLOOKUP(C341,'Talente &amp; Stuff'!DO:EP,9,FALSE)</f>
        <v>0</v>
      </c>
      <c r="L341" s="254">
        <f>VLOOKUP(C341,'Talente &amp; Stuff'!DO:EP,10,FALSE)</f>
        <v>0</v>
      </c>
      <c r="M341" s="318">
        <f>VLOOKUP(C341,'Talente &amp; Stuff'!DO:EP,11,FALSE)</f>
        <v>0</v>
      </c>
      <c r="N341" s="222">
        <f>VLOOKUP(C341,'Talente &amp; Stuff'!DO:EP,12,FALSE)</f>
        <v>0</v>
      </c>
      <c r="O341" s="223">
        <f>VLOOKUP(C341,'Talente &amp; Stuff'!DO:EP,13,FALSE)</f>
        <v>0</v>
      </c>
      <c r="P341" s="224">
        <f>VLOOKUP(C341,'Talente &amp; Stuff'!DO:EP,14,FALSE)</f>
        <v>0</v>
      </c>
      <c r="Q341" s="237">
        <f>VLOOKUP(C341,'Talente &amp; Stuff'!DO:EP,15,FALSE)</f>
        <v>0</v>
      </c>
      <c r="R341" s="254">
        <f>VLOOKUP(C341,'Talente &amp; Stuff'!DO:EP,16,FALSE)</f>
        <v>0</v>
      </c>
      <c r="S341" s="224">
        <f>VLOOKUP(C341,'Talente &amp; Stuff'!DO:EP,17,FALSE)</f>
        <v>0</v>
      </c>
      <c r="T341" s="242">
        <f>VLOOKUP(C341,'Talente &amp; Stuff'!DO:EP,18,FALSE)</f>
        <v>0</v>
      </c>
      <c r="U341" s="222">
        <f>VLOOKUP(C341,'Talente &amp; Stuff'!DO:EP,19,FALSE)</f>
        <v>0</v>
      </c>
      <c r="V341" s="223">
        <f>VLOOKUP(C341,'Talente &amp; Stuff'!DO:EP,20,FALSE)</f>
        <v>0</v>
      </c>
      <c r="W341" s="243">
        <f>VLOOKUP(C341,'Talente &amp; Stuff'!DO:EP,21,FALSE)</f>
        <v>0</v>
      </c>
      <c r="X341" s="218">
        <f>VLOOKUP(C341,'Talente &amp; Stuff'!DO:EP,22,FALSE)</f>
        <v>0</v>
      </c>
      <c r="Y341" s="252">
        <f>VLOOKUP(C341,Ausgewählte_Zauber_Zaubertänzer,139,FALSE)</f>
        <v>0</v>
      </c>
      <c r="Z341" s="309">
        <f>VLOOKUP(C341,Ausgewählte_Zauber_Zaubertänzer,140,FALSE)</f>
        <v>0</v>
      </c>
      <c r="AA341" s="218">
        <f>VLOOKUP(C341,'Talente &amp; Stuff'!DO:EP,25,FALSE)</f>
        <v>0</v>
      </c>
      <c r="AB341" s="242">
        <f>VLOOKUP(C341,'Talente &amp; Stuff'!DO:EP,26,FALSE)</f>
        <v>0</v>
      </c>
      <c r="AC341" s="218">
        <f>VLOOKUP(C341,'Talente &amp; Stuff'!DO:EP,27,FALSE)</f>
        <v>0</v>
      </c>
      <c r="AD341" s="218">
        <f>VLOOKUP(C341,'Talente &amp; Stuff'!DO:EP,28,FALSE)</f>
        <v>0</v>
      </c>
      <c r="AE341" s="343"/>
    </row>
    <row r="342" spans="1:31" s="217" customFormat="1" hidden="1" outlineLevel="2">
      <c r="A342" s="185"/>
      <c r="B342" s="217">
        <v>20</v>
      </c>
      <c r="C342" s="303" t="str">
        <f>Attribute!C342</f>
        <v>---</v>
      </c>
      <c r="D342" s="304" t="str">
        <f>VLOOKUP(C342,'Talente &amp; Stuff'!DO:EP,2,FALSE)</f>
        <v>--/--/--</v>
      </c>
      <c r="E342" s="304" t="str">
        <f>VLOOKUP(C342,'Talente &amp; Stuff'!DO:EP,3,FALSE)</f>
        <v>-</v>
      </c>
      <c r="F342" s="317">
        <f>VLOOKUP(C342,'Talente &amp; Stuff'!DO:EP,4,FALSE)</f>
        <v>0</v>
      </c>
      <c r="G342" s="254">
        <f>VLOOKUP(C342,'Talente &amp; Stuff'!DO:EP,5,FALSE)</f>
        <v>0</v>
      </c>
      <c r="H342" s="254">
        <f>VLOOKUP(C342,'Talente &amp; Stuff'!DO:EP,6,FALSE)</f>
        <v>0</v>
      </c>
      <c r="I342" s="254">
        <f>VLOOKUP(C342,'Talente &amp; Stuff'!DO:EP,7,FALSE)</f>
        <v>0</v>
      </c>
      <c r="J342" s="254">
        <f>VLOOKUP(C342,'Talente &amp; Stuff'!DO:EP,8,FALSE)</f>
        <v>0</v>
      </c>
      <c r="K342" s="254">
        <f>VLOOKUP(C342,'Talente &amp; Stuff'!DO:EP,9,FALSE)</f>
        <v>0</v>
      </c>
      <c r="L342" s="254">
        <f>VLOOKUP(C342,'Talente &amp; Stuff'!DO:EP,10,FALSE)</f>
        <v>0</v>
      </c>
      <c r="M342" s="318">
        <f>VLOOKUP(C342,'Talente &amp; Stuff'!DO:EP,11,FALSE)</f>
        <v>0</v>
      </c>
      <c r="N342" s="222">
        <f>VLOOKUP(C342,'Talente &amp; Stuff'!DO:EP,12,FALSE)</f>
        <v>0</v>
      </c>
      <c r="O342" s="223">
        <f>VLOOKUP(C342,'Talente &amp; Stuff'!DO:EP,13,FALSE)</f>
        <v>0</v>
      </c>
      <c r="P342" s="224">
        <f>VLOOKUP(C342,'Talente &amp; Stuff'!DO:EP,14,FALSE)</f>
        <v>0</v>
      </c>
      <c r="Q342" s="237">
        <f>VLOOKUP(C342,'Talente &amp; Stuff'!DO:EP,15,FALSE)</f>
        <v>0</v>
      </c>
      <c r="R342" s="254">
        <f>VLOOKUP(C342,'Talente &amp; Stuff'!DO:EP,16,FALSE)</f>
        <v>0</v>
      </c>
      <c r="S342" s="224">
        <f>VLOOKUP(C342,'Talente &amp; Stuff'!DO:EP,17,FALSE)</f>
        <v>0</v>
      </c>
      <c r="T342" s="242">
        <f>VLOOKUP(C342,'Talente &amp; Stuff'!DO:EP,18,FALSE)</f>
        <v>0</v>
      </c>
      <c r="U342" s="222">
        <f>VLOOKUP(C342,'Talente &amp; Stuff'!DO:EP,19,FALSE)</f>
        <v>0</v>
      </c>
      <c r="V342" s="223">
        <f>VLOOKUP(C342,'Talente &amp; Stuff'!DO:EP,20,FALSE)</f>
        <v>0</v>
      </c>
      <c r="W342" s="243">
        <f>VLOOKUP(C342,'Talente &amp; Stuff'!DO:EP,21,FALSE)</f>
        <v>0</v>
      </c>
      <c r="X342" s="218">
        <f>VLOOKUP(C342,'Talente &amp; Stuff'!DO:EP,22,FALSE)</f>
        <v>0</v>
      </c>
      <c r="Y342" s="252">
        <f>VLOOKUP(C342,Ausgewählte_Zauber_Zaubertänzer,139,FALSE)</f>
        <v>0</v>
      </c>
      <c r="Z342" s="309">
        <f>VLOOKUP(C342,Ausgewählte_Zauber_Zaubertänzer,140,FALSE)</f>
        <v>0</v>
      </c>
      <c r="AA342" s="218">
        <f>VLOOKUP(C342,'Talente &amp; Stuff'!DO:EP,25,FALSE)</f>
        <v>0</v>
      </c>
      <c r="AB342" s="242">
        <f>VLOOKUP(C342,'Talente &amp; Stuff'!DO:EP,26,FALSE)</f>
        <v>0</v>
      </c>
      <c r="AC342" s="218">
        <f>VLOOKUP(C342,'Talente &amp; Stuff'!DO:EP,27,FALSE)</f>
        <v>0</v>
      </c>
      <c r="AD342" s="218">
        <f>VLOOKUP(C342,'Talente &amp; Stuff'!DO:EP,28,FALSE)</f>
        <v>0</v>
      </c>
      <c r="AE342" s="343"/>
    </row>
    <row r="343" spans="1:31" s="217" customFormat="1" hidden="1" outlineLevel="2">
      <c r="A343" s="185"/>
      <c r="B343" s="217">
        <v>21</v>
      </c>
      <c r="C343" s="303" t="str">
        <f>Attribute!C343</f>
        <v>---</v>
      </c>
      <c r="D343" s="304" t="str">
        <f>VLOOKUP(C343,'Talente &amp; Stuff'!DO:EP,2,FALSE)</f>
        <v>--/--/--</v>
      </c>
      <c r="E343" s="304" t="str">
        <f>VLOOKUP(C343,'Talente &amp; Stuff'!DO:EP,3,FALSE)</f>
        <v>-</v>
      </c>
      <c r="F343" s="317">
        <f>VLOOKUP(C343,'Talente &amp; Stuff'!DO:EP,4,FALSE)</f>
        <v>0</v>
      </c>
      <c r="G343" s="254">
        <f>VLOOKUP(C343,'Talente &amp; Stuff'!DO:EP,5,FALSE)</f>
        <v>0</v>
      </c>
      <c r="H343" s="254">
        <f>VLOOKUP(C343,'Talente &amp; Stuff'!DO:EP,6,FALSE)</f>
        <v>0</v>
      </c>
      <c r="I343" s="254">
        <f>VLOOKUP(C343,'Talente &amp; Stuff'!DO:EP,7,FALSE)</f>
        <v>0</v>
      </c>
      <c r="J343" s="254">
        <f>VLOOKUP(C343,'Talente &amp; Stuff'!DO:EP,8,FALSE)</f>
        <v>0</v>
      </c>
      <c r="K343" s="254">
        <f>VLOOKUP(C343,'Talente &amp; Stuff'!DO:EP,9,FALSE)</f>
        <v>0</v>
      </c>
      <c r="L343" s="254">
        <f>VLOOKUP(C343,'Talente &amp; Stuff'!DO:EP,10,FALSE)</f>
        <v>0</v>
      </c>
      <c r="M343" s="318">
        <f>VLOOKUP(C343,'Talente &amp; Stuff'!DO:EP,11,FALSE)</f>
        <v>0</v>
      </c>
      <c r="N343" s="222">
        <f>VLOOKUP(C343,'Talente &amp; Stuff'!DO:EP,12,FALSE)</f>
        <v>0</v>
      </c>
      <c r="O343" s="223">
        <f>VLOOKUP(C343,'Talente &amp; Stuff'!DO:EP,13,FALSE)</f>
        <v>0</v>
      </c>
      <c r="P343" s="224">
        <f>VLOOKUP(C343,'Talente &amp; Stuff'!DO:EP,14,FALSE)</f>
        <v>0</v>
      </c>
      <c r="Q343" s="237">
        <f>VLOOKUP(C343,'Talente &amp; Stuff'!DO:EP,15,FALSE)</f>
        <v>0</v>
      </c>
      <c r="R343" s="254">
        <f>VLOOKUP(C343,'Talente &amp; Stuff'!DO:EP,16,FALSE)</f>
        <v>0</v>
      </c>
      <c r="S343" s="224">
        <f>VLOOKUP(C343,'Talente &amp; Stuff'!DO:EP,17,FALSE)</f>
        <v>0</v>
      </c>
      <c r="T343" s="242">
        <f>VLOOKUP(C343,'Talente &amp; Stuff'!DO:EP,18,FALSE)</f>
        <v>0</v>
      </c>
      <c r="U343" s="222">
        <f>VLOOKUP(C343,'Talente &amp; Stuff'!DO:EP,19,FALSE)</f>
        <v>0</v>
      </c>
      <c r="V343" s="223">
        <f>VLOOKUP(C343,'Talente &amp; Stuff'!DO:EP,20,FALSE)</f>
        <v>0</v>
      </c>
      <c r="W343" s="243">
        <f>VLOOKUP(C343,'Talente &amp; Stuff'!DO:EP,21,FALSE)</f>
        <v>0</v>
      </c>
      <c r="X343" s="218">
        <f>VLOOKUP(C343,'Talente &amp; Stuff'!DO:EP,22,FALSE)</f>
        <v>0</v>
      </c>
      <c r="Y343" s="252">
        <f>VLOOKUP(C343,Ausgewählte_Zauber_Zaubertänzer,139,FALSE)</f>
        <v>0</v>
      </c>
      <c r="Z343" s="309">
        <f>VLOOKUP(C343,Ausgewählte_Zauber_Zaubertänzer,140,FALSE)</f>
        <v>0</v>
      </c>
      <c r="AA343" s="218">
        <f>VLOOKUP(C343,'Talente &amp; Stuff'!DO:EP,25,FALSE)</f>
        <v>0</v>
      </c>
      <c r="AB343" s="242">
        <f>VLOOKUP(C343,'Talente &amp; Stuff'!DO:EP,26,FALSE)</f>
        <v>0</v>
      </c>
      <c r="AC343" s="218">
        <f>VLOOKUP(C343,'Talente &amp; Stuff'!DO:EP,27,FALSE)</f>
        <v>0</v>
      </c>
      <c r="AD343" s="218">
        <f>VLOOKUP(C343,'Talente &amp; Stuff'!DO:EP,28,FALSE)</f>
        <v>0</v>
      </c>
      <c r="AE343" s="343"/>
    </row>
    <row r="344" spans="1:31" s="217" customFormat="1" hidden="1" outlineLevel="2">
      <c r="A344" s="185"/>
      <c r="B344" s="217">
        <v>22</v>
      </c>
      <c r="C344" s="303" t="str">
        <f>Attribute!C344</f>
        <v>---</v>
      </c>
      <c r="D344" s="304" t="str">
        <f>VLOOKUP(C344,'Talente &amp; Stuff'!DO:EP,2,FALSE)</f>
        <v>--/--/--</v>
      </c>
      <c r="E344" s="304" t="str">
        <f>VLOOKUP(C344,'Talente &amp; Stuff'!DO:EP,3,FALSE)</f>
        <v>-</v>
      </c>
      <c r="F344" s="317">
        <f>VLOOKUP(C344,'Talente &amp; Stuff'!DO:EP,4,FALSE)</f>
        <v>0</v>
      </c>
      <c r="G344" s="254">
        <f>VLOOKUP(C344,'Talente &amp; Stuff'!DO:EP,5,FALSE)</f>
        <v>0</v>
      </c>
      <c r="H344" s="254">
        <f>VLOOKUP(C344,'Talente &amp; Stuff'!DO:EP,6,FALSE)</f>
        <v>0</v>
      </c>
      <c r="I344" s="254">
        <f>VLOOKUP(C344,'Talente &amp; Stuff'!DO:EP,7,FALSE)</f>
        <v>0</v>
      </c>
      <c r="J344" s="254">
        <f>VLOOKUP(C344,'Talente &amp; Stuff'!DO:EP,8,FALSE)</f>
        <v>0</v>
      </c>
      <c r="K344" s="254">
        <f>VLOOKUP(C344,'Talente &amp; Stuff'!DO:EP,9,FALSE)</f>
        <v>0</v>
      </c>
      <c r="L344" s="254">
        <f>VLOOKUP(C344,'Talente &amp; Stuff'!DO:EP,10,FALSE)</f>
        <v>0</v>
      </c>
      <c r="M344" s="318">
        <f>VLOOKUP(C344,'Talente &amp; Stuff'!DO:EP,11,FALSE)</f>
        <v>0</v>
      </c>
      <c r="N344" s="222">
        <f>VLOOKUP(C344,'Talente &amp; Stuff'!DO:EP,12,FALSE)</f>
        <v>0</v>
      </c>
      <c r="O344" s="223">
        <f>VLOOKUP(C344,'Talente &amp; Stuff'!DO:EP,13,FALSE)</f>
        <v>0</v>
      </c>
      <c r="P344" s="224">
        <f>VLOOKUP(C344,'Talente &amp; Stuff'!DO:EP,14,FALSE)</f>
        <v>0</v>
      </c>
      <c r="Q344" s="237">
        <f>VLOOKUP(C344,'Talente &amp; Stuff'!DO:EP,15,FALSE)</f>
        <v>0</v>
      </c>
      <c r="R344" s="254">
        <f>VLOOKUP(C344,'Talente &amp; Stuff'!DO:EP,16,FALSE)</f>
        <v>0</v>
      </c>
      <c r="S344" s="224">
        <f>VLOOKUP(C344,'Talente &amp; Stuff'!DO:EP,17,FALSE)</f>
        <v>0</v>
      </c>
      <c r="T344" s="242">
        <f>VLOOKUP(C344,'Talente &amp; Stuff'!DO:EP,18,FALSE)</f>
        <v>0</v>
      </c>
      <c r="U344" s="222">
        <f>VLOOKUP(C344,'Talente &amp; Stuff'!DO:EP,19,FALSE)</f>
        <v>0</v>
      </c>
      <c r="V344" s="223">
        <f>VLOOKUP(C344,'Talente &amp; Stuff'!DO:EP,20,FALSE)</f>
        <v>0</v>
      </c>
      <c r="W344" s="243">
        <f>VLOOKUP(C344,'Talente &amp; Stuff'!DO:EP,21,FALSE)</f>
        <v>0</v>
      </c>
      <c r="X344" s="218">
        <f>VLOOKUP(C344,'Talente &amp; Stuff'!DO:EP,22,FALSE)</f>
        <v>0</v>
      </c>
      <c r="Y344" s="252">
        <f>VLOOKUP(C344,Ausgewählte_Zauber_Zaubertänzer,139,FALSE)</f>
        <v>0</v>
      </c>
      <c r="Z344" s="309">
        <f>VLOOKUP(C344,Ausgewählte_Zauber_Zaubertänzer,140,FALSE)</f>
        <v>0</v>
      </c>
      <c r="AA344" s="218">
        <f>VLOOKUP(C344,'Talente &amp; Stuff'!DO:EP,25,FALSE)</f>
        <v>0</v>
      </c>
      <c r="AB344" s="242">
        <f>VLOOKUP(C344,'Talente &amp; Stuff'!DO:EP,26,FALSE)</f>
        <v>0</v>
      </c>
      <c r="AC344" s="218">
        <f>VLOOKUP(C344,'Talente &amp; Stuff'!DO:EP,27,FALSE)</f>
        <v>0</v>
      </c>
      <c r="AD344" s="218">
        <f>VLOOKUP(C344,'Talente &amp; Stuff'!DO:EP,28,FALSE)</f>
        <v>0</v>
      </c>
      <c r="AE344" s="343"/>
    </row>
    <row r="345" spans="1:31" s="217" customFormat="1" hidden="1" outlineLevel="2">
      <c r="A345" s="185"/>
      <c r="B345" s="217">
        <v>23</v>
      </c>
      <c r="C345" s="303" t="str">
        <f>Attribute!C345</f>
        <v>---</v>
      </c>
      <c r="D345" s="304" t="str">
        <f>VLOOKUP(C345,'Talente &amp; Stuff'!DO:EP,2,FALSE)</f>
        <v>--/--/--</v>
      </c>
      <c r="E345" s="218" t="str">
        <f>VLOOKUP(C345,'Talente &amp; Stuff'!DO:EP,3,FALSE)</f>
        <v>-</v>
      </c>
      <c r="F345" s="237">
        <f>VLOOKUP(C345,'Talente &amp; Stuff'!DO:EP,4,FALSE)</f>
        <v>0</v>
      </c>
      <c r="G345" s="234">
        <f>VLOOKUP(C345,'Talente &amp; Stuff'!DO:EP,5,FALSE)</f>
        <v>0</v>
      </c>
      <c r="H345" s="234">
        <f>VLOOKUP(C345,'Talente &amp; Stuff'!DO:EP,6,FALSE)</f>
        <v>0</v>
      </c>
      <c r="I345" s="234">
        <f>VLOOKUP(C345,'Talente &amp; Stuff'!DO:EP,7,FALSE)</f>
        <v>0</v>
      </c>
      <c r="J345" s="234">
        <f>VLOOKUP(C345,'Talente &amp; Stuff'!DO:EP,8,FALSE)</f>
        <v>0</v>
      </c>
      <c r="K345" s="234">
        <f>VLOOKUP(C345,'Talente &amp; Stuff'!DO:EP,9,FALSE)</f>
        <v>0</v>
      </c>
      <c r="L345" s="234">
        <f>VLOOKUP(C345,'Talente &amp; Stuff'!DO:EP,10,FALSE)</f>
        <v>0</v>
      </c>
      <c r="M345" s="224">
        <f>VLOOKUP(C345,'Talente &amp; Stuff'!DO:EP,11,FALSE)</f>
        <v>0</v>
      </c>
      <c r="N345" s="222">
        <f>VLOOKUP(C345,'Talente &amp; Stuff'!DO:EP,12,FALSE)</f>
        <v>0</v>
      </c>
      <c r="O345" s="223">
        <f>VLOOKUP(C345,'Talente &amp; Stuff'!DO:EP,13,FALSE)</f>
        <v>0</v>
      </c>
      <c r="P345" s="224">
        <f>VLOOKUP(C345,'Talente &amp; Stuff'!DO:EP,14,FALSE)</f>
        <v>0</v>
      </c>
      <c r="Q345" s="237">
        <f>VLOOKUP(C345,'Talente &amp; Stuff'!DO:EP,15,FALSE)</f>
        <v>0</v>
      </c>
      <c r="R345" s="254">
        <f>VLOOKUP(C345,'Talente &amp; Stuff'!DO:EP,16,FALSE)</f>
        <v>0</v>
      </c>
      <c r="S345" s="224">
        <f>VLOOKUP(C345,'Talente &amp; Stuff'!DO:EP,17,FALSE)</f>
        <v>0</v>
      </c>
      <c r="T345" s="242">
        <f>VLOOKUP(C345,'Talente &amp; Stuff'!DO:EP,18,FALSE)</f>
        <v>0</v>
      </c>
      <c r="U345" s="222">
        <f>VLOOKUP(C345,'Talente &amp; Stuff'!DO:EP,19,FALSE)</f>
        <v>0</v>
      </c>
      <c r="V345" s="223">
        <f>VLOOKUP(C345,'Talente &amp; Stuff'!DO:EP,20,FALSE)</f>
        <v>0</v>
      </c>
      <c r="W345" s="243">
        <f>VLOOKUP(C345,'Talente &amp; Stuff'!DO:EP,21,FALSE)</f>
        <v>0</v>
      </c>
      <c r="X345" s="218">
        <f>VLOOKUP(C345,'Talente &amp; Stuff'!DO:EP,22,FALSE)</f>
        <v>0</v>
      </c>
      <c r="Y345" s="252">
        <f>VLOOKUP(C345,Ausgewählte_Zauber_Zaubertänzer,139,FALSE)</f>
        <v>0</v>
      </c>
      <c r="Z345" s="309">
        <f>VLOOKUP(C345,Ausgewählte_Zauber_Zaubertänzer,140,FALSE)</f>
        <v>0</v>
      </c>
      <c r="AA345" s="218">
        <f>VLOOKUP(C345,'Talente &amp; Stuff'!DO:EP,25,FALSE)</f>
        <v>0</v>
      </c>
      <c r="AB345" s="242">
        <f>VLOOKUP(C345,'Talente &amp; Stuff'!DO:EP,26,FALSE)</f>
        <v>0</v>
      </c>
      <c r="AC345" s="218">
        <f>VLOOKUP(C345,'Talente &amp; Stuff'!DO:EP,27,FALSE)</f>
        <v>0</v>
      </c>
      <c r="AD345" s="218">
        <f>VLOOKUP(C345,'Talente &amp; Stuff'!DO:EP,28,FALSE)</f>
        <v>0</v>
      </c>
      <c r="AE345" s="343"/>
    </row>
    <row r="346" spans="1:31" s="217" customFormat="1" hidden="1" outlineLevel="2">
      <c r="A346" s="185"/>
      <c r="B346" s="217">
        <v>24</v>
      </c>
      <c r="C346" s="303" t="str">
        <f>Attribute!C346</f>
        <v>---</v>
      </c>
      <c r="D346" s="304" t="str">
        <f>VLOOKUP(C346,'Talente &amp; Stuff'!DO:EP,2,FALSE)</f>
        <v>--/--/--</v>
      </c>
      <c r="E346" s="218" t="str">
        <f>VLOOKUP(C346,'Talente &amp; Stuff'!DO:EP,3,FALSE)</f>
        <v>-</v>
      </c>
      <c r="F346" s="237">
        <f>VLOOKUP(C346,'Talente &amp; Stuff'!DO:EP,4,FALSE)</f>
        <v>0</v>
      </c>
      <c r="G346" s="234">
        <f>VLOOKUP(C346,'Talente &amp; Stuff'!DO:EP,5,FALSE)</f>
        <v>0</v>
      </c>
      <c r="H346" s="234">
        <f>VLOOKUP(C346,'Talente &amp; Stuff'!DO:EP,6,FALSE)</f>
        <v>0</v>
      </c>
      <c r="I346" s="234">
        <f>VLOOKUP(C346,'Talente &amp; Stuff'!DO:EP,7,FALSE)</f>
        <v>0</v>
      </c>
      <c r="J346" s="234">
        <f>VLOOKUP(C346,'Talente &amp; Stuff'!DO:EP,8,FALSE)</f>
        <v>0</v>
      </c>
      <c r="K346" s="234">
        <f>VLOOKUP(C346,'Talente &amp; Stuff'!DO:EP,9,FALSE)</f>
        <v>0</v>
      </c>
      <c r="L346" s="234">
        <f>VLOOKUP(C346,'Talente &amp; Stuff'!DO:EP,10,FALSE)</f>
        <v>0</v>
      </c>
      <c r="M346" s="224">
        <f>VLOOKUP(C346,'Talente &amp; Stuff'!DO:EP,11,FALSE)</f>
        <v>0</v>
      </c>
      <c r="N346" s="222">
        <f>VLOOKUP(C346,'Talente &amp; Stuff'!DO:EP,12,FALSE)</f>
        <v>0</v>
      </c>
      <c r="O346" s="223">
        <f>VLOOKUP(C346,'Talente &amp; Stuff'!DO:EP,13,FALSE)</f>
        <v>0</v>
      </c>
      <c r="P346" s="224">
        <f>VLOOKUP(C346,'Talente &amp; Stuff'!DO:EP,14,FALSE)</f>
        <v>0</v>
      </c>
      <c r="Q346" s="237">
        <f>VLOOKUP(C346,'Talente &amp; Stuff'!DO:EP,15,FALSE)</f>
        <v>0</v>
      </c>
      <c r="R346" s="254">
        <f>VLOOKUP(C346,'Talente &amp; Stuff'!DO:EP,16,FALSE)</f>
        <v>0</v>
      </c>
      <c r="S346" s="224">
        <f>VLOOKUP(C346,'Talente &amp; Stuff'!DO:EP,17,FALSE)</f>
        <v>0</v>
      </c>
      <c r="T346" s="242">
        <f>VLOOKUP(C346,'Talente &amp; Stuff'!DO:EP,18,FALSE)</f>
        <v>0</v>
      </c>
      <c r="U346" s="222">
        <f>VLOOKUP(C346,'Talente &amp; Stuff'!DO:EP,19,FALSE)</f>
        <v>0</v>
      </c>
      <c r="V346" s="223">
        <f>VLOOKUP(C346,'Talente &amp; Stuff'!DO:EP,20,FALSE)</f>
        <v>0</v>
      </c>
      <c r="W346" s="243">
        <f>VLOOKUP(C346,'Talente &amp; Stuff'!DO:EP,21,FALSE)</f>
        <v>0</v>
      </c>
      <c r="X346" s="218">
        <f>VLOOKUP(C346,'Talente &amp; Stuff'!DO:EP,22,FALSE)</f>
        <v>0</v>
      </c>
      <c r="Y346" s="252">
        <f>VLOOKUP(C346,Ausgewählte_Zauber_Zaubertänzer,139,FALSE)</f>
        <v>0</v>
      </c>
      <c r="Z346" s="309">
        <f>VLOOKUP(C346,Ausgewählte_Zauber_Zaubertänzer,140,FALSE)</f>
        <v>0</v>
      </c>
      <c r="AA346" s="218">
        <f>VLOOKUP(C346,'Talente &amp; Stuff'!DO:EP,25,FALSE)</f>
        <v>0</v>
      </c>
      <c r="AB346" s="242">
        <f>VLOOKUP(C346,'Talente &amp; Stuff'!DO:EP,26,FALSE)</f>
        <v>0</v>
      </c>
      <c r="AC346" s="218">
        <f>VLOOKUP(C346,'Talente &amp; Stuff'!DO:EP,27,FALSE)</f>
        <v>0</v>
      </c>
      <c r="AD346" s="218">
        <f>VLOOKUP(C346,'Talente &amp; Stuff'!DO:EP,28,FALSE)</f>
        <v>0</v>
      </c>
      <c r="AE346" s="343"/>
    </row>
    <row r="347" spans="1:31" s="217" customFormat="1" hidden="1" outlineLevel="2">
      <c r="A347" s="185"/>
      <c r="B347" s="217">
        <v>25</v>
      </c>
      <c r="C347" s="303" t="str">
        <f>Attribute!C347</f>
        <v>---</v>
      </c>
      <c r="D347" s="304" t="str">
        <f>VLOOKUP(C347,'Talente &amp; Stuff'!DO:EP,2,FALSE)</f>
        <v>--/--/--</v>
      </c>
      <c r="E347" s="218" t="str">
        <f>VLOOKUP(C347,'Talente &amp; Stuff'!DO:EP,3,FALSE)</f>
        <v>-</v>
      </c>
      <c r="F347" s="237">
        <f>VLOOKUP(C347,'Talente &amp; Stuff'!DO:EP,4,FALSE)</f>
        <v>0</v>
      </c>
      <c r="G347" s="234">
        <f>VLOOKUP(C347,'Talente &amp; Stuff'!DO:EP,5,FALSE)</f>
        <v>0</v>
      </c>
      <c r="H347" s="234">
        <f>VLOOKUP(C347,'Talente &amp; Stuff'!DO:EP,6,FALSE)</f>
        <v>0</v>
      </c>
      <c r="I347" s="234">
        <f>VLOOKUP(C347,'Talente &amp; Stuff'!DO:EP,7,FALSE)</f>
        <v>0</v>
      </c>
      <c r="J347" s="234">
        <f>VLOOKUP(C347,'Talente &amp; Stuff'!DO:EP,8,FALSE)</f>
        <v>0</v>
      </c>
      <c r="K347" s="234">
        <f>VLOOKUP(C347,'Talente &amp; Stuff'!DO:EP,9,FALSE)</f>
        <v>0</v>
      </c>
      <c r="L347" s="234">
        <f>VLOOKUP(C347,'Talente &amp; Stuff'!DO:EP,10,FALSE)</f>
        <v>0</v>
      </c>
      <c r="M347" s="224">
        <f>VLOOKUP(C347,'Talente &amp; Stuff'!DO:EP,11,FALSE)</f>
        <v>0</v>
      </c>
      <c r="N347" s="222">
        <f>VLOOKUP(C347,'Talente &amp; Stuff'!DO:EP,12,FALSE)</f>
        <v>0</v>
      </c>
      <c r="O347" s="223">
        <f>VLOOKUP(C347,'Talente &amp; Stuff'!DO:EP,13,FALSE)</f>
        <v>0</v>
      </c>
      <c r="P347" s="224">
        <f>VLOOKUP(C347,'Talente &amp; Stuff'!DO:EP,14,FALSE)</f>
        <v>0</v>
      </c>
      <c r="Q347" s="237">
        <f>VLOOKUP(C347,'Talente &amp; Stuff'!DO:EP,15,FALSE)</f>
        <v>0</v>
      </c>
      <c r="R347" s="254">
        <f>VLOOKUP(C347,'Talente &amp; Stuff'!DO:EP,16,FALSE)</f>
        <v>0</v>
      </c>
      <c r="S347" s="224">
        <f>VLOOKUP(C347,'Talente &amp; Stuff'!DO:EP,17,FALSE)</f>
        <v>0</v>
      </c>
      <c r="T347" s="242">
        <f>VLOOKUP(C347,'Talente &amp; Stuff'!DO:EP,18,FALSE)</f>
        <v>0</v>
      </c>
      <c r="U347" s="222">
        <f>VLOOKUP(C347,'Talente &amp; Stuff'!DO:EP,19,FALSE)</f>
        <v>0</v>
      </c>
      <c r="V347" s="223">
        <f>VLOOKUP(C347,'Talente &amp; Stuff'!DO:EP,20,FALSE)</f>
        <v>0</v>
      </c>
      <c r="W347" s="243">
        <f>VLOOKUP(C347,'Talente &amp; Stuff'!DO:EP,21,FALSE)</f>
        <v>0</v>
      </c>
      <c r="X347" s="218">
        <f>VLOOKUP(C347,'Talente &amp; Stuff'!DO:EP,22,FALSE)</f>
        <v>0</v>
      </c>
      <c r="Y347" s="252">
        <f>VLOOKUP(C347,Ausgewählte_Zauber_Zaubertänzer,139,FALSE)</f>
        <v>0</v>
      </c>
      <c r="Z347" s="309">
        <f>VLOOKUP(C347,Ausgewählte_Zauber_Zaubertänzer,140,FALSE)</f>
        <v>0</v>
      </c>
      <c r="AA347" s="218">
        <f>VLOOKUP(C347,'Talente &amp; Stuff'!DO:EP,25,FALSE)</f>
        <v>0</v>
      </c>
      <c r="AB347" s="242">
        <f>VLOOKUP(C347,'Talente &amp; Stuff'!DO:EP,26,FALSE)</f>
        <v>0</v>
      </c>
      <c r="AC347" s="218">
        <f>VLOOKUP(C347,'Talente &amp; Stuff'!DO:EP,27,FALSE)</f>
        <v>0</v>
      </c>
      <c r="AD347" s="218">
        <f>VLOOKUP(C347,'Talente &amp; Stuff'!DO:EP,28,FALSE)</f>
        <v>0</v>
      </c>
      <c r="AE347" s="343"/>
    </row>
    <row r="348" spans="1:31" s="217" customFormat="1" hidden="1" outlineLevel="2">
      <c r="A348" s="185"/>
      <c r="B348" s="217">
        <v>26</v>
      </c>
      <c r="C348" s="306" t="str">
        <f>Attribute!C348</f>
        <v>---</v>
      </c>
      <c r="D348" s="314" t="str">
        <f>VLOOKUP(C348,'Talente &amp; Stuff'!DO:EP,2,FALSE)</f>
        <v>--/--/--</v>
      </c>
      <c r="E348" s="246" t="str">
        <f>VLOOKUP(C348,'Talente &amp; Stuff'!DO:EP,3,FALSE)</f>
        <v>-</v>
      </c>
      <c r="F348" s="238">
        <f>VLOOKUP(C348,'Talente &amp; Stuff'!DO:EP,4,FALSE)</f>
        <v>0</v>
      </c>
      <c r="G348" s="235">
        <f>VLOOKUP(C348,'Talente &amp; Stuff'!DO:EP,5,FALSE)</f>
        <v>0</v>
      </c>
      <c r="H348" s="235">
        <f>VLOOKUP(C348,'Talente &amp; Stuff'!DO:EP,6,FALSE)</f>
        <v>0</v>
      </c>
      <c r="I348" s="235">
        <f>VLOOKUP(C348,'Talente &amp; Stuff'!DO:EP,7,FALSE)</f>
        <v>0</v>
      </c>
      <c r="J348" s="235">
        <f>VLOOKUP(C348,'Talente &amp; Stuff'!DO:EP,8,FALSE)</f>
        <v>0</v>
      </c>
      <c r="K348" s="235">
        <f>VLOOKUP(C348,'Talente &amp; Stuff'!DO:EP,9,FALSE)</f>
        <v>0</v>
      </c>
      <c r="L348" s="235">
        <f>VLOOKUP(C348,'Talente &amp; Stuff'!DO:EP,10,FALSE)</f>
        <v>0</v>
      </c>
      <c r="M348" s="227">
        <f>VLOOKUP(C348,'Talente &amp; Stuff'!DO:EP,11,FALSE)</f>
        <v>0</v>
      </c>
      <c r="N348" s="225">
        <f>VLOOKUP(C348,'Talente &amp; Stuff'!DO:EP,12,FALSE)</f>
        <v>0</v>
      </c>
      <c r="O348" s="226">
        <f>VLOOKUP(C348,'Talente &amp; Stuff'!DO:EP,13,FALSE)</f>
        <v>0</v>
      </c>
      <c r="P348" s="227">
        <f>VLOOKUP(C348,'Talente &amp; Stuff'!DO:EP,14,FALSE)</f>
        <v>0</v>
      </c>
      <c r="Q348" s="238">
        <f>VLOOKUP(C348,'Talente &amp; Stuff'!DO:EP,15,FALSE)</f>
        <v>0</v>
      </c>
      <c r="R348" s="315">
        <f>VLOOKUP(C348,'Talente &amp; Stuff'!DO:EP,16,FALSE)</f>
        <v>0</v>
      </c>
      <c r="S348" s="227">
        <f>VLOOKUP(C348,'Talente &amp; Stuff'!DO:EP,17,FALSE)</f>
        <v>0</v>
      </c>
      <c r="T348" s="244">
        <f>VLOOKUP(C348,'Talente &amp; Stuff'!DO:EP,18,FALSE)</f>
        <v>0</v>
      </c>
      <c r="U348" s="225">
        <f>VLOOKUP(C348,'Talente &amp; Stuff'!DO:EP,19,FALSE)</f>
        <v>0</v>
      </c>
      <c r="V348" s="226">
        <f>VLOOKUP(C348,'Talente &amp; Stuff'!DO:EP,20,FALSE)</f>
        <v>0</v>
      </c>
      <c r="W348" s="245">
        <f>VLOOKUP(C348,'Talente &amp; Stuff'!DO:EP,21,FALSE)</f>
        <v>0</v>
      </c>
      <c r="X348" s="246">
        <f>VLOOKUP(C348,'Talente &amp; Stuff'!DO:EP,22,FALSE)</f>
        <v>0</v>
      </c>
      <c r="Y348" s="252">
        <f>VLOOKUP(C348,Ausgewählte_Zauber_Zaubertänzer,139,FALSE)</f>
        <v>0</v>
      </c>
      <c r="Z348" s="309">
        <f>VLOOKUP(C348,Ausgewählte_Zauber_Zaubertänzer,140,FALSE)</f>
        <v>0</v>
      </c>
      <c r="AA348" s="246">
        <f>VLOOKUP(C348,'Talente &amp; Stuff'!DO:EP,25,FALSE)</f>
        <v>0</v>
      </c>
      <c r="AB348" s="244">
        <f>VLOOKUP(C348,'Talente &amp; Stuff'!DO:EP,26,FALSE)</f>
        <v>0</v>
      </c>
      <c r="AC348" s="246">
        <f>VLOOKUP(C348,'Talente &amp; Stuff'!DO:EP,27,FALSE)</f>
        <v>0</v>
      </c>
      <c r="AD348" s="246">
        <f>VLOOKUP(C348,'Talente &amp; Stuff'!DO:EP,28,FALSE)</f>
        <v>0</v>
      </c>
      <c r="AE348" s="343"/>
    </row>
    <row r="349" spans="1:31" ht="15.75" hidden="1" customHeight="1" outlineLevel="1" collapsed="1" thickBot="1"/>
    <row r="350" spans="1:31" ht="15.75" collapsed="1" thickBot="1">
      <c r="A350" s="135" t="s">
        <v>311</v>
      </c>
    </row>
    <row r="351" spans="1:31" ht="15" hidden="1" customHeight="1" outlineLevel="1">
      <c r="B351" s="134" t="s">
        <v>327</v>
      </c>
    </row>
    <row r="352" spans="1:31" ht="15" hidden="1" customHeight="1" outlineLevel="2">
      <c r="B352" s="148">
        <v>1</v>
      </c>
      <c r="C352" s="176" t="str">
        <f>Attribute!C352</f>
        <v>---</v>
      </c>
      <c r="D352" s="85" t="str">
        <f>VLOOKUP(C352,'Talente &amp; Stuff'!DO:EP,2,FALSE)</f>
        <v>--/--/--</v>
      </c>
      <c r="E352" s="158" t="str">
        <f>VLOOKUP(C352,'Talente &amp; Stuff'!DO:EP,3,FALSE)</f>
        <v>-</v>
      </c>
      <c r="F352" s="118">
        <f>VLOOKUP(C352,'Talente &amp; Stuff'!DO:EP,4,FALSE)</f>
        <v>0</v>
      </c>
      <c r="G352" s="118">
        <f>VLOOKUP(C352,'Talente &amp; Stuff'!DO:EP,5,FALSE)</f>
        <v>0</v>
      </c>
      <c r="H352" s="118">
        <f>VLOOKUP(C352,'Talente &amp; Stuff'!DO:EP,6,FALSE)</f>
        <v>0</v>
      </c>
      <c r="I352" s="118">
        <f>VLOOKUP(C352,'Talente &amp; Stuff'!DO:EP,7,FALSE)</f>
        <v>0</v>
      </c>
      <c r="J352" s="118">
        <f>VLOOKUP(C352,'Talente &amp; Stuff'!DO:EP,8,FALSE)</f>
        <v>0</v>
      </c>
      <c r="K352" s="118">
        <f>VLOOKUP(C352,'Talente &amp; Stuff'!DO:EP,9,FALSE)</f>
        <v>0</v>
      </c>
      <c r="L352" s="118">
        <f>VLOOKUP(C352,'Talente &amp; Stuff'!DO:EP,10,FALSE)</f>
        <v>0</v>
      </c>
      <c r="M352" s="118">
        <f>VLOOKUP(C352,'Talente &amp; Stuff'!DO:EP,11,FALSE)</f>
        <v>0</v>
      </c>
      <c r="N352" s="193">
        <f>VLOOKUP(C352,'Talente &amp; Stuff'!DO:EP,12,FALSE)</f>
        <v>0</v>
      </c>
      <c r="O352" s="116">
        <f>VLOOKUP(C352,'Talente &amp; Stuff'!DO:EP,13,FALSE)</f>
        <v>0</v>
      </c>
      <c r="P352" s="92">
        <f>VLOOKUP(C352,'Talente &amp; Stuff'!DO:EP,14,FALSE)</f>
        <v>0</v>
      </c>
      <c r="Q352" s="118">
        <f>VLOOKUP(C352,'Talente &amp; Stuff'!DO:EP,15,FALSE)</f>
        <v>0</v>
      </c>
      <c r="R352" s="118">
        <f>VLOOKUP(C352,'Talente &amp; Stuff'!DO:EP,16,FALSE)</f>
        <v>0</v>
      </c>
      <c r="S352" s="118">
        <f>VLOOKUP(C352,'Talente &amp; Stuff'!DO:EP,17,FALSE)</f>
        <v>0</v>
      </c>
      <c r="T352" s="91">
        <f>VLOOKUP(C352,'Talente &amp; Stuff'!DO:EP,18,FALSE)</f>
        <v>0</v>
      </c>
      <c r="U352" s="116">
        <f>VLOOKUP(C352,'Talente &amp; Stuff'!DO:EP,19,FALSE)</f>
        <v>0</v>
      </c>
      <c r="V352" s="116">
        <f>VLOOKUP(C352,'Talente &amp; Stuff'!DO:EP,20,FALSE)</f>
        <v>0</v>
      </c>
      <c r="W352" s="116">
        <f>VLOOKUP(C352,'Talente &amp; Stuff'!DO:EP,21,FALSE)</f>
        <v>0</v>
      </c>
      <c r="X352" s="158">
        <f>VLOOKUP(C352,'Talente &amp; Stuff'!DO:EP,22,FALSE)</f>
        <v>0</v>
      </c>
      <c r="Y352" s="165">
        <f>VLOOKUP(C352,Ausgewählte_Rituale_Allgemein,139,FALSE)</f>
        <v>0</v>
      </c>
      <c r="Z352" s="44">
        <f>VLOOKUP(C352,Ausgewählte_Rituale_Allgemein,140,FALSE)</f>
        <v>0</v>
      </c>
      <c r="AA352" s="158">
        <f>VLOOKUP(C352,'Talente &amp; Stuff'!DO:EP,25,FALSE)</f>
        <v>0</v>
      </c>
      <c r="AB352" s="91">
        <f>VLOOKUP(C352,'Talente &amp; Stuff'!DO:EP,26,FALSE)</f>
        <v>0</v>
      </c>
      <c r="AC352" s="126">
        <f>VLOOKUP(C352,'Talente &amp; Stuff'!DO:EP,27,FALSE)</f>
        <v>0</v>
      </c>
      <c r="AD352" s="158">
        <f>VLOOKUP(C352,'Talente &amp; Stuff'!DO:EP,28,FALSE)</f>
        <v>0</v>
      </c>
      <c r="AE352" s="28"/>
    </row>
    <row r="353" spans="2:31" ht="15" hidden="1" customHeight="1" outlineLevel="2">
      <c r="B353" s="148">
        <v>2</v>
      </c>
      <c r="C353" s="177" t="str">
        <f>Attribute!C353</f>
        <v>---</v>
      </c>
      <c r="D353" s="86" t="str">
        <f>VLOOKUP(C353,'Talente &amp; Stuff'!DO:EP,2,FALSE)</f>
        <v>--/--/--</v>
      </c>
      <c r="E353" s="125" t="str">
        <f>VLOOKUP(C353,'Talente &amp; Stuff'!DO:EP,3,FALSE)</f>
        <v>-</v>
      </c>
      <c r="F353" s="113">
        <f>VLOOKUP(C353,'Talente &amp; Stuff'!DO:EP,4,FALSE)</f>
        <v>0</v>
      </c>
      <c r="G353" s="113">
        <f>VLOOKUP(C353,'Talente &amp; Stuff'!DO:EP,5,FALSE)</f>
        <v>0</v>
      </c>
      <c r="H353" s="113">
        <f>VLOOKUP(C353,'Talente &amp; Stuff'!DO:EP,6,FALSE)</f>
        <v>0</v>
      </c>
      <c r="I353" s="113">
        <f>VLOOKUP(C353,'Talente &amp; Stuff'!DO:EP,7,FALSE)</f>
        <v>0</v>
      </c>
      <c r="J353" s="113">
        <f>VLOOKUP(C353,'Talente &amp; Stuff'!DO:EP,8,FALSE)</f>
        <v>0</v>
      </c>
      <c r="K353" s="113">
        <f>VLOOKUP(C353,'Talente &amp; Stuff'!DO:EP,9,FALSE)</f>
        <v>0</v>
      </c>
      <c r="L353" s="113">
        <f>VLOOKUP(C353,'Talente &amp; Stuff'!DO:EP,10,FALSE)</f>
        <v>0</v>
      </c>
      <c r="M353" s="113">
        <f>VLOOKUP(C353,'Talente &amp; Stuff'!DO:EP,11,FALSE)</f>
        <v>0</v>
      </c>
      <c r="N353" s="89">
        <f>VLOOKUP(C353,'Talente &amp; Stuff'!DO:EP,12,FALSE)</f>
        <v>0</v>
      </c>
      <c r="O353" s="47">
        <f>VLOOKUP(C353,'Talente &amp; Stuff'!DO:EP,13,FALSE)</f>
        <v>0</v>
      </c>
      <c r="P353" s="119">
        <f>VLOOKUP(C353,'Talente &amp; Stuff'!DO:EP,14,FALSE)</f>
        <v>0</v>
      </c>
      <c r="Q353" s="113">
        <f>VLOOKUP(C353,'Talente &amp; Stuff'!DO:EP,15,FALSE)</f>
        <v>0</v>
      </c>
      <c r="R353" s="113">
        <f>VLOOKUP(C353,'Talente &amp; Stuff'!DO:EP,16,FALSE)</f>
        <v>0</v>
      </c>
      <c r="S353" s="113">
        <f>VLOOKUP(C353,'Talente &amp; Stuff'!DO:EP,17,FALSE)</f>
        <v>0</v>
      </c>
      <c r="T353" s="160">
        <f>VLOOKUP(C353,'Talente &amp; Stuff'!DO:EP,18,FALSE)</f>
        <v>0</v>
      </c>
      <c r="U353" s="47">
        <f>VLOOKUP(C353,'Talente &amp; Stuff'!DO:EP,19,FALSE)</f>
        <v>0</v>
      </c>
      <c r="V353" s="47">
        <f>VLOOKUP(C353,'Talente &amp; Stuff'!DO:EP,20,FALSE)</f>
        <v>0</v>
      </c>
      <c r="W353" s="47">
        <f>VLOOKUP(C353,'Talente &amp; Stuff'!DO:EP,21,FALSE)</f>
        <v>0</v>
      </c>
      <c r="X353" s="125">
        <f>VLOOKUP(C353,'Talente &amp; Stuff'!DO:EP,22,FALSE)</f>
        <v>0</v>
      </c>
      <c r="Y353" s="165">
        <f>VLOOKUP(C353,Ausgewählte_Rituale_Allgemein,139,FALSE)</f>
        <v>0</v>
      </c>
      <c r="Z353" s="44">
        <f>VLOOKUP(C353,Ausgewählte_Rituale_Allgemein,140,FALSE)</f>
        <v>0</v>
      </c>
      <c r="AA353" s="125">
        <f>VLOOKUP(C353,'Talente &amp; Stuff'!DO:EP,25,FALSE)</f>
        <v>0</v>
      </c>
      <c r="AB353" s="160">
        <f>VLOOKUP(C353,'Talente &amp; Stuff'!DO:EP,26,FALSE)</f>
        <v>0</v>
      </c>
      <c r="AC353" s="127">
        <f>VLOOKUP(C353,'Talente &amp; Stuff'!DO:EP,27,FALSE)</f>
        <v>0</v>
      </c>
      <c r="AD353" s="125">
        <f>VLOOKUP(C353,'Talente &amp; Stuff'!DO:EP,28,FALSE)</f>
        <v>0</v>
      </c>
      <c r="AE353" s="28"/>
    </row>
    <row r="354" spans="2:31" ht="15" hidden="1" customHeight="1" outlineLevel="2">
      <c r="B354" s="148">
        <v>3</v>
      </c>
      <c r="C354" s="177" t="str">
        <f>Attribute!C354</f>
        <v>---</v>
      </c>
      <c r="D354" s="86" t="str">
        <f>VLOOKUP(C354,'Talente &amp; Stuff'!DO:EP,2,FALSE)</f>
        <v>--/--/--</v>
      </c>
      <c r="E354" s="125" t="str">
        <f>VLOOKUP(C354,'Talente &amp; Stuff'!DO:EP,3,FALSE)</f>
        <v>-</v>
      </c>
      <c r="F354" s="113">
        <f>VLOOKUP(C354,'Talente &amp; Stuff'!DO:EP,4,FALSE)</f>
        <v>0</v>
      </c>
      <c r="G354" s="113">
        <f>VLOOKUP(C354,'Talente &amp; Stuff'!DO:EP,5,FALSE)</f>
        <v>0</v>
      </c>
      <c r="H354" s="113">
        <f>VLOOKUP(C354,'Talente &amp; Stuff'!DO:EP,6,FALSE)</f>
        <v>0</v>
      </c>
      <c r="I354" s="113">
        <f>VLOOKUP(C354,'Talente &amp; Stuff'!DO:EP,7,FALSE)</f>
        <v>0</v>
      </c>
      <c r="J354" s="113">
        <f>VLOOKUP(C354,'Talente &amp; Stuff'!DO:EP,8,FALSE)</f>
        <v>0</v>
      </c>
      <c r="K354" s="113">
        <f>VLOOKUP(C354,'Talente &amp; Stuff'!DO:EP,9,FALSE)</f>
        <v>0</v>
      </c>
      <c r="L354" s="113">
        <f>VLOOKUP(C354,'Talente &amp; Stuff'!DO:EP,10,FALSE)</f>
        <v>0</v>
      </c>
      <c r="M354" s="113">
        <f>VLOOKUP(C354,'Talente &amp; Stuff'!DO:EP,11,FALSE)</f>
        <v>0</v>
      </c>
      <c r="N354" s="89">
        <f>VLOOKUP(C354,'Talente &amp; Stuff'!DO:EP,12,FALSE)</f>
        <v>0</v>
      </c>
      <c r="O354" s="47">
        <f>VLOOKUP(C354,'Talente &amp; Stuff'!DO:EP,13,FALSE)</f>
        <v>0</v>
      </c>
      <c r="P354" s="119">
        <f>VLOOKUP(C354,'Talente &amp; Stuff'!DO:EP,14,FALSE)</f>
        <v>0</v>
      </c>
      <c r="Q354" s="113">
        <f>VLOOKUP(C354,'Talente &amp; Stuff'!DO:EP,15,FALSE)</f>
        <v>0</v>
      </c>
      <c r="R354" s="113">
        <f>VLOOKUP(C354,'Talente &amp; Stuff'!DO:EP,16,FALSE)</f>
        <v>0</v>
      </c>
      <c r="S354" s="113">
        <f>VLOOKUP(C354,'Talente &amp; Stuff'!DO:EP,17,FALSE)</f>
        <v>0</v>
      </c>
      <c r="T354" s="160">
        <f>VLOOKUP(C354,'Talente &amp; Stuff'!DO:EP,18,FALSE)</f>
        <v>0</v>
      </c>
      <c r="U354" s="47">
        <f>VLOOKUP(C354,'Talente &amp; Stuff'!DO:EP,19,FALSE)</f>
        <v>0</v>
      </c>
      <c r="V354" s="47">
        <f>VLOOKUP(C354,'Talente &amp; Stuff'!DO:EP,20,FALSE)</f>
        <v>0</v>
      </c>
      <c r="W354" s="47">
        <f>VLOOKUP(C354,'Talente &amp; Stuff'!DO:EP,21,FALSE)</f>
        <v>0</v>
      </c>
      <c r="X354" s="125">
        <f>VLOOKUP(C354,'Talente &amp; Stuff'!DO:EP,22,FALSE)</f>
        <v>0</v>
      </c>
      <c r="Y354" s="165">
        <f>VLOOKUP(C354,Ausgewählte_Rituale_Allgemein,139,FALSE)</f>
        <v>0</v>
      </c>
      <c r="Z354" s="44">
        <f>VLOOKUP(C354,Ausgewählte_Rituale_Allgemein,140,FALSE)</f>
        <v>0</v>
      </c>
      <c r="AA354" s="125">
        <f>VLOOKUP(C354,'Talente &amp; Stuff'!DO:EP,25,FALSE)</f>
        <v>0</v>
      </c>
      <c r="AB354" s="160">
        <f>VLOOKUP(C354,'Talente &amp; Stuff'!DO:EP,26,FALSE)</f>
        <v>0</v>
      </c>
      <c r="AC354" s="127">
        <f>VLOOKUP(C354,'Talente &amp; Stuff'!DO:EP,27,FALSE)</f>
        <v>0</v>
      </c>
      <c r="AD354" s="125">
        <f>VLOOKUP(C354,'Talente &amp; Stuff'!DO:EP,28,FALSE)</f>
        <v>0</v>
      </c>
      <c r="AE354" s="28"/>
    </row>
    <row r="355" spans="2:31" ht="15" hidden="1" customHeight="1" outlineLevel="2">
      <c r="B355" s="148">
        <v>4</v>
      </c>
      <c r="C355" s="178" t="str">
        <f>Attribute!C355</f>
        <v>---</v>
      </c>
      <c r="D355" s="23" t="str">
        <f>VLOOKUP(C355,'Talente &amp; Stuff'!DO:EP,2,FALSE)</f>
        <v>--/--/--</v>
      </c>
      <c r="E355" s="159" t="str">
        <f>VLOOKUP(C355,'Talente &amp; Stuff'!DO:EP,3,FALSE)</f>
        <v>-</v>
      </c>
      <c r="F355" s="122">
        <f>VLOOKUP(C355,'Talente &amp; Stuff'!DO:EP,4,FALSE)</f>
        <v>0</v>
      </c>
      <c r="G355" s="122">
        <f>VLOOKUP(C355,'Talente &amp; Stuff'!DO:EP,5,FALSE)</f>
        <v>0</v>
      </c>
      <c r="H355" s="122">
        <f>VLOOKUP(C355,'Talente &amp; Stuff'!DO:EP,6,FALSE)</f>
        <v>0</v>
      </c>
      <c r="I355" s="122">
        <f>VLOOKUP(C355,'Talente &amp; Stuff'!DO:EP,7,FALSE)</f>
        <v>0</v>
      </c>
      <c r="J355" s="122">
        <f>VLOOKUP(C355,'Talente &amp; Stuff'!DO:EP,8,FALSE)</f>
        <v>0</v>
      </c>
      <c r="K355" s="122">
        <f>VLOOKUP(C355,'Talente &amp; Stuff'!DO:EP,9,FALSE)</f>
        <v>0</v>
      </c>
      <c r="L355" s="122">
        <f>VLOOKUP(C355,'Talente &amp; Stuff'!DO:EP,10,FALSE)</f>
        <v>0</v>
      </c>
      <c r="M355" s="122">
        <f>VLOOKUP(C355,'Talente &amp; Stuff'!DO:EP,11,FALSE)</f>
        <v>0</v>
      </c>
      <c r="N355" s="90">
        <f>VLOOKUP(C355,'Talente &amp; Stuff'!DO:EP,12,FALSE)</f>
        <v>0</v>
      </c>
      <c r="O355" s="88">
        <f>VLOOKUP(C355,'Talente &amp; Stuff'!DO:EP,13,FALSE)</f>
        <v>0</v>
      </c>
      <c r="P355" s="123">
        <f>VLOOKUP(C355,'Talente &amp; Stuff'!DO:EP,14,FALSE)</f>
        <v>0</v>
      </c>
      <c r="Q355" s="122">
        <f>VLOOKUP(C355,'Talente &amp; Stuff'!DO:EP,15,FALSE)</f>
        <v>0</v>
      </c>
      <c r="R355" s="122">
        <f>VLOOKUP(C355,'Talente &amp; Stuff'!DO:EP,16,FALSE)</f>
        <v>0</v>
      </c>
      <c r="S355" s="122">
        <f>VLOOKUP(C355,'Talente &amp; Stuff'!DO:EP,17,FALSE)</f>
        <v>0</v>
      </c>
      <c r="T355" s="161">
        <f>VLOOKUP(C355,'Talente &amp; Stuff'!DO:EP,18,FALSE)</f>
        <v>0</v>
      </c>
      <c r="U355" s="88">
        <f>VLOOKUP(C355,'Talente &amp; Stuff'!DO:EP,19,FALSE)</f>
        <v>0</v>
      </c>
      <c r="V355" s="88">
        <f>VLOOKUP(C355,'Talente &amp; Stuff'!DO:EP,20,FALSE)</f>
        <v>0</v>
      </c>
      <c r="W355" s="88">
        <f>VLOOKUP(C355,'Talente &amp; Stuff'!DO:EP,21,FALSE)</f>
        <v>0</v>
      </c>
      <c r="X355" s="159">
        <f>VLOOKUP(C355,'Talente &amp; Stuff'!DO:EP,22,FALSE)</f>
        <v>0</v>
      </c>
      <c r="Y355" s="165">
        <f>VLOOKUP(C355,Ausgewählte_Rituale_Allgemein,139,FALSE)</f>
        <v>0</v>
      </c>
      <c r="Z355" s="44">
        <f>VLOOKUP(C355,Ausgewählte_Rituale_Allgemein,140,FALSE)</f>
        <v>0</v>
      </c>
      <c r="AA355" s="159">
        <f>VLOOKUP(C355,'Talente &amp; Stuff'!DO:EP,25,FALSE)</f>
        <v>0</v>
      </c>
      <c r="AB355" s="161">
        <f>VLOOKUP(C355,'Talente &amp; Stuff'!DO:EP,26,FALSE)</f>
        <v>0</v>
      </c>
      <c r="AC355" s="128">
        <f>VLOOKUP(C355,'Talente &amp; Stuff'!DO:EP,27,FALSE)</f>
        <v>0</v>
      </c>
      <c r="AD355" s="159">
        <f>VLOOKUP(C355,'Talente &amp; Stuff'!DO:EP,28,FALSE)</f>
        <v>0</v>
      </c>
      <c r="AE355" s="28"/>
    </row>
    <row r="356" spans="2:31" ht="15" hidden="1" customHeight="1" outlineLevel="1" collapsed="1">
      <c r="B356" s="134" t="s">
        <v>331</v>
      </c>
      <c r="C356" s="83"/>
      <c r="D356" s="84"/>
      <c r="E356" s="84"/>
    </row>
    <row r="357" spans="2:31" ht="15" hidden="1" customHeight="1" outlineLevel="2">
      <c r="B357" s="148">
        <v>1</v>
      </c>
      <c r="C357" s="176" t="str">
        <f>Attribute!C357</f>
        <v>---</v>
      </c>
      <c r="D357" s="85" t="str">
        <f>VLOOKUP(C357,'Talente &amp; Stuff'!DO:EP,2,FALSE)</f>
        <v>--/--/--</v>
      </c>
      <c r="E357" s="158" t="str">
        <f>VLOOKUP(C357,'Talente &amp; Stuff'!DO:EP,3,FALSE)</f>
        <v>-</v>
      </c>
      <c r="F357" s="118">
        <f>VLOOKUP(C357,'Talente &amp; Stuff'!DO:EP,4,FALSE)</f>
        <v>0</v>
      </c>
      <c r="G357" s="118">
        <f>VLOOKUP(C357,'Talente &amp; Stuff'!DO:EP,5,FALSE)</f>
        <v>0</v>
      </c>
      <c r="H357" s="118">
        <f>VLOOKUP(C357,'Talente &amp; Stuff'!DO:EP,6,FALSE)</f>
        <v>0</v>
      </c>
      <c r="I357" s="118">
        <f>VLOOKUP(C357,'Talente &amp; Stuff'!DO:EP,7,FALSE)</f>
        <v>0</v>
      </c>
      <c r="J357" s="118">
        <f>VLOOKUP(C357,'Talente &amp; Stuff'!DO:EP,8,FALSE)</f>
        <v>0</v>
      </c>
      <c r="K357" s="118">
        <f>VLOOKUP(C357,'Talente &amp; Stuff'!DO:EP,9,FALSE)</f>
        <v>0</v>
      </c>
      <c r="L357" s="118">
        <f>VLOOKUP(C357,'Talente &amp; Stuff'!DO:EP,10,FALSE)</f>
        <v>0</v>
      </c>
      <c r="M357" s="118">
        <f>VLOOKUP(C357,'Talente &amp; Stuff'!DO:EP,11,FALSE)</f>
        <v>0</v>
      </c>
      <c r="N357" s="193">
        <f>VLOOKUP(C357,'Talente &amp; Stuff'!DO:EP,12,FALSE)</f>
        <v>0</v>
      </c>
      <c r="O357" s="116">
        <f>VLOOKUP(C357,'Talente &amp; Stuff'!DO:EP,13,FALSE)</f>
        <v>0</v>
      </c>
      <c r="P357" s="92">
        <f>VLOOKUP(C357,'Talente &amp; Stuff'!DO:EP,14,FALSE)</f>
        <v>0</v>
      </c>
      <c r="Q357" s="118">
        <f>VLOOKUP(C357,'Talente &amp; Stuff'!DO:EP,15,FALSE)</f>
        <v>0</v>
      </c>
      <c r="R357" s="118">
        <f>VLOOKUP(C357,'Talente &amp; Stuff'!DO:EP,16,FALSE)</f>
        <v>0</v>
      </c>
      <c r="S357" s="118">
        <f>VLOOKUP(C357,'Talente &amp; Stuff'!DO:EP,17,FALSE)</f>
        <v>0</v>
      </c>
      <c r="T357" s="91">
        <f>VLOOKUP(C357,'Talente &amp; Stuff'!DO:EP,18,FALSE)</f>
        <v>0</v>
      </c>
      <c r="U357" s="116">
        <f>VLOOKUP(C357,'Talente &amp; Stuff'!DO:EP,19,FALSE)</f>
        <v>0</v>
      </c>
      <c r="V357" s="116">
        <f>VLOOKUP(C357,'Talente &amp; Stuff'!DO:EP,20,FALSE)</f>
        <v>0</v>
      </c>
      <c r="W357" s="116">
        <f>VLOOKUP(C357,'Talente &amp; Stuff'!DO:EP,21,FALSE)</f>
        <v>0</v>
      </c>
      <c r="X357" s="158">
        <f>VLOOKUP(C357,'Talente &amp; Stuff'!DO:EP,22,FALSE)</f>
        <v>0</v>
      </c>
      <c r="Y357" s="165">
        <f t="shared" ref="Y357:Y365" si="24">VLOOKUP(C357,Ausgewählte_Rituale_Druiden,139,FALSE)</f>
        <v>0</v>
      </c>
      <c r="Z357" s="44">
        <f t="shared" ref="Z357:Z365" si="25">VLOOKUP(C357,Ausgewählte_Rituale_Druiden,140,FALSE)</f>
        <v>0</v>
      </c>
      <c r="AA357" s="158">
        <f>VLOOKUP(C357,'Talente &amp; Stuff'!DO:EP,25,FALSE)</f>
        <v>0</v>
      </c>
      <c r="AB357" s="91">
        <f>VLOOKUP(C357,'Talente &amp; Stuff'!DO:EP,26,FALSE)</f>
        <v>0</v>
      </c>
      <c r="AC357" s="126">
        <f>VLOOKUP(C357,'Talente &amp; Stuff'!DO:EP,27,FALSE)</f>
        <v>0</v>
      </c>
      <c r="AD357" s="158">
        <f>VLOOKUP(C357,'Talente &amp; Stuff'!DO:EP,28,FALSE)</f>
        <v>0</v>
      </c>
      <c r="AE357" s="28"/>
    </row>
    <row r="358" spans="2:31" ht="15" hidden="1" customHeight="1" outlineLevel="2">
      <c r="B358" s="148">
        <v>2</v>
      </c>
      <c r="C358" s="177" t="str">
        <f>Attribute!C358</f>
        <v>---</v>
      </c>
      <c r="D358" s="86" t="str">
        <f>VLOOKUP(C358,'Talente &amp; Stuff'!DO:EP,2,FALSE)</f>
        <v>--/--/--</v>
      </c>
      <c r="E358" s="125" t="str">
        <f>VLOOKUP(C358,'Talente &amp; Stuff'!DO:EP,3,FALSE)</f>
        <v>-</v>
      </c>
      <c r="F358" s="113">
        <f>VLOOKUP(C358,'Talente &amp; Stuff'!DO:EP,4,FALSE)</f>
        <v>0</v>
      </c>
      <c r="G358" s="113">
        <f>VLOOKUP(C358,'Talente &amp; Stuff'!DO:EP,5,FALSE)</f>
        <v>0</v>
      </c>
      <c r="H358" s="113">
        <f>VLOOKUP(C358,'Talente &amp; Stuff'!DO:EP,6,FALSE)</f>
        <v>0</v>
      </c>
      <c r="I358" s="113">
        <f>VLOOKUP(C358,'Talente &amp; Stuff'!DO:EP,7,FALSE)</f>
        <v>0</v>
      </c>
      <c r="J358" s="113">
        <f>VLOOKUP(C358,'Talente &amp; Stuff'!DO:EP,8,FALSE)</f>
        <v>0</v>
      </c>
      <c r="K358" s="113">
        <f>VLOOKUP(C358,'Talente &amp; Stuff'!DO:EP,9,FALSE)</f>
        <v>0</v>
      </c>
      <c r="L358" s="113">
        <f>VLOOKUP(C358,'Talente &amp; Stuff'!DO:EP,10,FALSE)</f>
        <v>0</v>
      </c>
      <c r="M358" s="113">
        <f>VLOOKUP(C358,'Talente &amp; Stuff'!DO:EP,11,FALSE)</f>
        <v>0</v>
      </c>
      <c r="N358" s="89">
        <f>VLOOKUP(C358,'Talente &amp; Stuff'!DO:EP,12,FALSE)</f>
        <v>0</v>
      </c>
      <c r="O358" s="47">
        <f>VLOOKUP(C358,'Talente &amp; Stuff'!DO:EP,13,FALSE)</f>
        <v>0</v>
      </c>
      <c r="P358" s="119">
        <f>VLOOKUP(C358,'Talente &amp; Stuff'!DO:EP,14,FALSE)</f>
        <v>0</v>
      </c>
      <c r="Q358" s="113">
        <f>VLOOKUP(C358,'Talente &amp; Stuff'!DO:EP,15,FALSE)</f>
        <v>0</v>
      </c>
      <c r="R358" s="113">
        <f>VLOOKUP(C358,'Talente &amp; Stuff'!DO:EP,16,FALSE)</f>
        <v>0</v>
      </c>
      <c r="S358" s="113">
        <f>VLOOKUP(C358,'Talente &amp; Stuff'!DO:EP,17,FALSE)</f>
        <v>0</v>
      </c>
      <c r="T358" s="160">
        <f>VLOOKUP(C358,'Talente &amp; Stuff'!DO:EP,18,FALSE)</f>
        <v>0</v>
      </c>
      <c r="U358" s="47">
        <f>VLOOKUP(C358,'Talente &amp; Stuff'!DO:EP,19,FALSE)</f>
        <v>0</v>
      </c>
      <c r="V358" s="47">
        <f>VLOOKUP(C358,'Talente &amp; Stuff'!DO:EP,20,FALSE)</f>
        <v>0</v>
      </c>
      <c r="W358" s="47">
        <f>VLOOKUP(C358,'Talente &amp; Stuff'!DO:EP,21,FALSE)</f>
        <v>0</v>
      </c>
      <c r="X358" s="125">
        <f>VLOOKUP(C358,'Talente &amp; Stuff'!DO:EP,22,FALSE)</f>
        <v>0</v>
      </c>
      <c r="Y358" s="165">
        <f t="shared" si="24"/>
        <v>0</v>
      </c>
      <c r="Z358" s="44">
        <f t="shared" si="25"/>
        <v>0</v>
      </c>
      <c r="AA358" s="125">
        <f>VLOOKUP(C358,'Talente &amp; Stuff'!DO:EP,25,FALSE)</f>
        <v>0</v>
      </c>
      <c r="AB358" s="160">
        <f>VLOOKUP(C358,'Talente &amp; Stuff'!DO:EP,26,FALSE)</f>
        <v>0</v>
      </c>
      <c r="AC358" s="127">
        <f>VLOOKUP(C358,'Talente &amp; Stuff'!DO:EP,27,FALSE)</f>
        <v>0</v>
      </c>
      <c r="AD358" s="125">
        <f>VLOOKUP(C358,'Talente &amp; Stuff'!DO:EP,28,FALSE)</f>
        <v>0</v>
      </c>
      <c r="AE358" s="28"/>
    </row>
    <row r="359" spans="2:31" ht="15" hidden="1" customHeight="1" outlineLevel="2">
      <c r="B359" s="148">
        <v>3</v>
      </c>
      <c r="C359" s="177" t="str">
        <f>Attribute!C359</f>
        <v>---</v>
      </c>
      <c r="D359" s="86" t="str">
        <f>VLOOKUP(C359,'Talente &amp; Stuff'!DO:EP,2,FALSE)</f>
        <v>--/--/--</v>
      </c>
      <c r="E359" s="125" t="str">
        <f>VLOOKUP(C359,'Talente &amp; Stuff'!DO:EP,3,FALSE)</f>
        <v>-</v>
      </c>
      <c r="F359" s="113">
        <f>VLOOKUP(C359,'Talente &amp; Stuff'!DO:EP,4,FALSE)</f>
        <v>0</v>
      </c>
      <c r="G359" s="113">
        <f>VLOOKUP(C359,'Talente &amp; Stuff'!DO:EP,5,FALSE)</f>
        <v>0</v>
      </c>
      <c r="H359" s="113">
        <f>VLOOKUP(C359,'Talente &amp; Stuff'!DO:EP,6,FALSE)</f>
        <v>0</v>
      </c>
      <c r="I359" s="113">
        <f>VLOOKUP(C359,'Talente &amp; Stuff'!DO:EP,7,FALSE)</f>
        <v>0</v>
      </c>
      <c r="J359" s="113">
        <f>VLOOKUP(C359,'Talente &amp; Stuff'!DO:EP,8,FALSE)</f>
        <v>0</v>
      </c>
      <c r="K359" s="113">
        <f>VLOOKUP(C359,'Talente &amp; Stuff'!DO:EP,9,FALSE)</f>
        <v>0</v>
      </c>
      <c r="L359" s="113">
        <f>VLOOKUP(C359,'Talente &amp; Stuff'!DO:EP,10,FALSE)</f>
        <v>0</v>
      </c>
      <c r="M359" s="113">
        <f>VLOOKUP(C359,'Talente &amp; Stuff'!DO:EP,11,FALSE)</f>
        <v>0</v>
      </c>
      <c r="N359" s="89">
        <f>VLOOKUP(C359,'Talente &amp; Stuff'!DO:EP,12,FALSE)</f>
        <v>0</v>
      </c>
      <c r="O359" s="47">
        <f>VLOOKUP(C359,'Talente &amp; Stuff'!DO:EP,13,FALSE)</f>
        <v>0</v>
      </c>
      <c r="P359" s="119">
        <f>VLOOKUP(C359,'Talente &amp; Stuff'!DO:EP,14,FALSE)</f>
        <v>0</v>
      </c>
      <c r="Q359" s="113">
        <f>VLOOKUP(C359,'Talente &amp; Stuff'!DO:EP,15,FALSE)</f>
        <v>0</v>
      </c>
      <c r="R359" s="113">
        <f>VLOOKUP(C359,'Talente &amp; Stuff'!DO:EP,16,FALSE)</f>
        <v>0</v>
      </c>
      <c r="S359" s="113">
        <f>VLOOKUP(C359,'Talente &amp; Stuff'!DO:EP,17,FALSE)</f>
        <v>0</v>
      </c>
      <c r="T359" s="160">
        <f>VLOOKUP(C359,'Talente &amp; Stuff'!DO:EP,18,FALSE)</f>
        <v>0</v>
      </c>
      <c r="U359" s="47">
        <f>VLOOKUP(C359,'Talente &amp; Stuff'!DO:EP,19,FALSE)</f>
        <v>0</v>
      </c>
      <c r="V359" s="47">
        <f>VLOOKUP(C359,'Talente &amp; Stuff'!DO:EP,20,FALSE)</f>
        <v>0</v>
      </c>
      <c r="W359" s="47">
        <f>VLOOKUP(C359,'Talente &amp; Stuff'!DO:EP,21,FALSE)</f>
        <v>0</v>
      </c>
      <c r="X359" s="125">
        <f>VLOOKUP(C359,'Talente &amp; Stuff'!DO:EP,22,FALSE)</f>
        <v>0</v>
      </c>
      <c r="Y359" s="165">
        <f t="shared" si="24"/>
        <v>0</v>
      </c>
      <c r="Z359" s="44">
        <f t="shared" si="25"/>
        <v>0</v>
      </c>
      <c r="AA359" s="125">
        <f>VLOOKUP(C359,'Talente &amp; Stuff'!DO:EP,25,FALSE)</f>
        <v>0</v>
      </c>
      <c r="AB359" s="160">
        <f>VLOOKUP(C359,'Talente &amp; Stuff'!DO:EP,26,FALSE)</f>
        <v>0</v>
      </c>
      <c r="AC359" s="127">
        <f>VLOOKUP(C359,'Talente &amp; Stuff'!DO:EP,27,FALSE)</f>
        <v>0</v>
      </c>
      <c r="AD359" s="125">
        <f>VLOOKUP(C359,'Talente &amp; Stuff'!DO:EP,28,FALSE)</f>
        <v>0</v>
      </c>
      <c r="AE359" s="28"/>
    </row>
    <row r="360" spans="2:31" ht="15" hidden="1" customHeight="1" outlineLevel="2">
      <c r="B360" s="148">
        <v>4</v>
      </c>
      <c r="C360" s="177" t="str">
        <f>Attribute!C360</f>
        <v>---</v>
      </c>
      <c r="D360" s="86" t="str">
        <f>VLOOKUP(C360,'Talente &amp; Stuff'!DO:EP,2,FALSE)</f>
        <v>--/--/--</v>
      </c>
      <c r="E360" s="125" t="str">
        <f>VLOOKUP(C360,'Talente &amp; Stuff'!DO:EP,3,FALSE)</f>
        <v>-</v>
      </c>
      <c r="F360" s="113">
        <f>VLOOKUP(C360,'Talente &amp; Stuff'!DO:EP,4,FALSE)</f>
        <v>0</v>
      </c>
      <c r="G360" s="113">
        <f>VLOOKUP(C360,'Talente &amp; Stuff'!DO:EP,5,FALSE)</f>
        <v>0</v>
      </c>
      <c r="H360" s="113">
        <f>VLOOKUP(C360,'Talente &amp; Stuff'!DO:EP,6,FALSE)</f>
        <v>0</v>
      </c>
      <c r="I360" s="113">
        <f>VLOOKUP(C360,'Talente &amp; Stuff'!DO:EP,7,FALSE)</f>
        <v>0</v>
      </c>
      <c r="J360" s="113">
        <f>VLOOKUP(C360,'Talente &amp; Stuff'!DO:EP,8,FALSE)</f>
        <v>0</v>
      </c>
      <c r="K360" s="113">
        <f>VLOOKUP(C360,'Talente &amp; Stuff'!DO:EP,9,FALSE)</f>
        <v>0</v>
      </c>
      <c r="L360" s="113">
        <f>VLOOKUP(C360,'Talente &amp; Stuff'!DO:EP,10,FALSE)</f>
        <v>0</v>
      </c>
      <c r="M360" s="113">
        <f>VLOOKUP(C360,'Talente &amp; Stuff'!DO:EP,11,FALSE)</f>
        <v>0</v>
      </c>
      <c r="N360" s="89">
        <f>VLOOKUP(C360,'Talente &amp; Stuff'!DO:EP,12,FALSE)</f>
        <v>0</v>
      </c>
      <c r="O360" s="47">
        <f>VLOOKUP(C360,'Talente &amp; Stuff'!DO:EP,13,FALSE)</f>
        <v>0</v>
      </c>
      <c r="P360" s="119">
        <f>VLOOKUP(C360,'Talente &amp; Stuff'!DO:EP,14,FALSE)</f>
        <v>0</v>
      </c>
      <c r="Q360" s="113">
        <f>VLOOKUP(C360,'Talente &amp; Stuff'!DO:EP,15,FALSE)</f>
        <v>0</v>
      </c>
      <c r="R360" s="113">
        <f>VLOOKUP(C360,'Talente &amp; Stuff'!DO:EP,16,FALSE)</f>
        <v>0</v>
      </c>
      <c r="S360" s="113">
        <f>VLOOKUP(C360,'Talente &amp; Stuff'!DO:EP,17,FALSE)</f>
        <v>0</v>
      </c>
      <c r="T360" s="160">
        <f>VLOOKUP(C360,'Talente &amp; Stuff'!DO:EP,18,FALSE)</f>
        <v>0</v>
      </c>
      <c r="U360" s="47">
        <f>VLOOKUP(C360,'Talente &amp; Stuff'!DO:EP,19,FALSE)</f>
        <v>0</v>
      </c>
      <c r="V360" s="47">
        <f>VLOOKUP(C360,'Talente &amp; Stuff'!DO:EP,20,FALSE)</f>
        <v>0</v>
      </c>
      <c r="W360" s="47">
        <f>VLOOKUP(C360,'Talente &amp; Stuff'!DO:EP,21,FALSE)</f>
        <v>0</v>
      </c>
      <c r="X360" s="125">
        <f>VLOOKUP(C360,'Talente &amp; Stuff'!DO:EP,22,FALSE)</f>
        <v>0</v>
      </c>
      <c r="Y360" s="165">
        <f t="shared" si="24"/>
        <v>0</v>
      </c>
      <c r="Z360" s="44">
        <f t="shared" si="25"/>
        <v>0</v>
      </c>
      <c r="AA360" s="125">
        <f>VLOOKUP(C360,'Talente &amp; Stuff'!DO:EP,25,FALSE)</f>
        <v>0</v>
      </c>
      <c r="AB360" s="160">
        <f>VLOOKUP(C360,'Talente &amp; Stuff'!DO:EP,26,FALSE)</f>
        <v>0</v>
      </c>
      <c r="AC360" s="127">
        <f>VLOOKUP(C360,'Talente &amp; Stuff'!DO:EP,27,FALSE)</f>
        <v>0</v>
      </c>
      <c r="AD360" s="125">
        <f>VLOOKUP(C360,'Talente &amp; Stuff'!DO:EP,28,FALSE)</f>
        <v>0</v>
      </c>
      <c r="AE360" s="28"/>
    </row>
    <row r="361" spans="2:31" ht="15" hidden="1" customHeight="1" outlineLevel="2">
      <c r="B361" s="148">
        <v>5</v>
      </c>
      <c r="C361" s="177" t="str">
        <f>Attribute!C361</f>
        <v>---</v>
      </c>
      <c r="D361" s="86" t="str">
        <f>VLOOKUP(C361,'Talente &amp; Stuff'!DO:EP,2,FALSE)</f>
        <v>--/--/--</v>
      </c>
      <c r="E361" s="125" t="str">
        <f>VLOOKUP(C361,'Talente &amp; Stuff'!DO:EP,3,FALSE)</f>
        <v>-</v>
      </c>
      <c r="F361" s="113">
        <f>VLOOKUP(C361,'Talente &amp; Stuff'!DO:EP,4,FALSE)</f>
        <v>0</v>
      </c>
      <c r="G361" s="113">
        <f>VLOOKUP(C361,'Talente &amp; Stuff'!DO:EP,5,FALSE)</f>
        <v>0</v>
      </c>
      <c r="H361" s="113">
        <f>VLOOKUP(C361,'Talente &amp; Stuff'!DO:EP,6,FALSE)</f>
        <v>0</v>
      </c>
      <c r="I361" s="113">
        <f>VLOOKUP(C361,'Talente &amp; Stuff'!DO:EP,7,FALSE)</f>
        <v>0</v>
      </c>
      <c r="J361" s="113">
        <f>VLOOKUP(C361,'Talente &amp; Stuff'!DO:EP,8,FALSE)</f>
        <v>0</v>
      </c>
      <c r="K361" s="113">
        <f>VLOOKUP(C361,'Talente &amp; Stuff'!DO:EP,9,FALSE)</f>
        <v>0</v>
      </c>
      <c r="L361" s="113">
        <f>VLOOKUP(C361,'Talente &amp; Stuff'!DO:EP,10,FALSE)</f>
        <v>0</v>
      </c>
      <c r="M361" s="113">
        <f>VLOOKUP(C361,'Talente &amp; Stuff'!DO:EP,11,FALSE)</f>
        <v>0</v>
      </c>
      <c r="N361" s="89">
        <f>VLOOKUP(C361,'Talente &amp; Stuff'!DO:EP,12,FALSE)</f>
        <v>0</v>
      </c>
      <c r="O361" s="47">
        <f>VLOOKUP(C361,'Talente &amp; Stuff'!DO:EP,13,FALSE)</f>
        <v>0</v>
      </c>
      <c r="P361" s="119">
        <f>VLOOKUP(C361,'Talente &amp; Stuff'!DO:EP,14,FALSE)</f>
        <v>0</v>
      </c>
      <c r="Q361" s="113">
        <f>VLOOKUP(C361,'Talente &amp; Stuff'!DO:EP,15,FALSE)</f>
        <v>0</v>
      </c>
      <c r="R361" s="113">
        <f>VLOOKUP(C361,'Talente &amp; Stuff'!DO:EP,16,FALSE)</f>
        <v>0</v>
      </c>
      <c r="S361" s="113">
        <f>VLOOKUP(C361,'Talente &amp; Stuff'!DO:EP,17,FALSE)</f>
        <v>0</v>
      </c>
      <c r="T361" s="160">
        <f>VLOOKUP(C361,'Talente &amp; Stuff'!DO:EP,18,FALSE)</f>
        <v>0</v>
      </c>
      <c r="U361" s="47">
        <f>VLOOKUP(C361,'Talente &amp; Stuff'!DO:EP,19,FALSE)</f>
        <v>0</v>
      </c>
      <c r="V361" s="47">
        <f>VLOOKUP(C361,'Talente &amp; Stuff'!DO:EP,20,FALSE)</f>
        <v>0</v>
      </c>
      <c r="W361" s="47">
        <f>VLOOKUP(C361,'Talente &amp; Stuff'!DO:EP,21,FALSE)</f>
        <v>0</v>
      </c>
      <c r="X361" s="125">
        <f>VLOOKUP(C361,'Talente &amp; Stuff'!DO:EP,22,FALSE)</f>
        <v>0</v>
      </c>
      <c r="Y361" s="165">
        <f t="shared" si="24"/>
        <v>0</v>
      </c>
      <c r="Z361" s="44">
        <f t="shared" si="25"/>
        <v>0</v>
      </c>
      <c r="AA361" s="125">
        <f>VLOOKUP(C361,'Talente &amp; Stuff'!DO:EP,25,FALSE)</f>
        <v>0</v>
      </c>
      <c r="AB361" s="160">
        <f>VLOOKUP(C361,'Talente &amp; Stuff'!DO:EP,26,FALSE)</f>
        <v>0</v>
      </c>
      <c r="AC361" s="127">
        <f>VLOOKUP(C361,'Talente &amp; Stuff'!DO:EP,27,FALSE)</f>
        <v>0</v>
      </c>
      <c r="AD361" s="125">
        <f>VLOOKUP(C361,'Talente &amp; Stuff'!DO:EP,28,FALSE)</f>
        <v>0</v>
      </c>
      <c r="AE361" s="28"/>
    </row>
    <row r="362" spans="2:31" ht="15" hidden="1" customHeight="1" outlineLevel="2">
      <c r="B362" s="148">
        <v>6</v>
      </c>
      <c r="C362" s="177" t="str">
        <f>Attribute!C362</f>
        <v>---</v>
      </c>
      <c r="D362" s="86" t="str">
        <f>VLOOKUP(C362,'Talente &amp; Stuff'!DO:EP,2,FALSE)</f>
        <v>--/--/--</v>
      </c>
      <c r="E362" s="125" t="str">
        <f>VLOOKUP(C362,'Talente &amp; Stuff'!DO:EP,3,FALSE)</f>
        <v>-</v>
      </c>
      <c r="F362" s="113">
        <f>VLOOKUP(C362,'Talente &amp; Stuff'!DO:EP,4,FALSE)</f>
        <v>0</v>
      </c>
      <c r="G362" s="113">
        <f>VLOOKUP(C362,'Talente &amp; Stuff'!DO:EP,5,FALSE)</f>
        <v>0</v>
      </c>
      <c r="H362" s="113">
        <f>VLOOKUP(C362,'Talente &amp; Stuff'!DO:EP,6,FALSE)</f>
        <v>0</v>
      </c>
      <c r="I362" s="113">
        <f>VLOOKUP(C362,'Talente &amp; Stuff'!DO:EP,7,FALSE)</f>
        <v>0</v>
      </c>
      <c r="J362" s="113">
        <f>VLOOKUP(C362,'Talente &amp; Stuff'!DO:EP,8,FALSE)</f>
        <v>0</v>
      </c>
      <c r="K362" s="113">
        <f>VLOOKUP(C362,'Talente &amp; Stuff'!DO:EP,9,FALSE)</f>
        <v>0</v>
      </c>
      <c r="L362" s="113">
        <f>VLOOKUP(C362,'Talente &amp; Stuff'!DO:EP,10,FALSE)</f>
        <v>0</v>
      </c>
      <c r="M362" s="113">
        <f>VLOOKUP(C362,'Talente &amp; Stuff'!DO:EP,11,FALSE)</f>
        <v>0</v>
      </c>
      <c r="N362" s="89">
        <f>VLOOKUP(C362,'Talente &amp; Stuff'!DO:EP,12,FALSE)</f>
        <v>0</v>
      </c>
      <c r="O362" s="47">
        <f>VLOOKUP(C362,'Talente &amp; Stuff'!DO:EP,13,FALSE)</f>
        <v>0</v>
      </c>
      <c r="P362" s="119">
        <f>VLOOKUP(C362,'Talente &amp; Stuff'!DO:EP,14,FALSE)</f>
        <v>0</v>
      </c>
      <c r="Q362" s="113">
        <f>VLOOKUP(C362,'Talente &amp; Stuff'!DO:EP,15,FALSE)</f>
        <v>0</v>
      </c>
      <c r="R362" s="113">
        <f>VLOOKUP(C362,'Talente &amp; Stuff'!DO:EP,16,FALSE)</f>
        <v>0</v>
      </c>
      <c r="S362" s="113">
        <f>VLOOKUP(C362,'Talente &amp; Stuff'!DO:EP,17,FALSE)</f>
        <v>0</v>
      </c>
      <c r="T362" s="160">
        <f>VLOOKUP(C362,'Talente &amp; Stuff'!DO:EP,18,FALSE)</f>
        <v>0</v>
      </c>
      <c r="U362" s="47">
        <f>VLOOKUP(C362,'Talente &amp; Stuff'!DO:EP,19,FALSE)</f>
        <v>0</v>
      </c>
      <c r="V362" s="47">
        <f>VLOOKUP(C362,'Talente &amp; Stuff'!DO:EP,20,FALSE)</f>
        <v>0</v>
      </c>
      <c r="W362" s="47">
        <f>VLOOKUP(C362,'Talente &amp; Stuff'!DO:EP,21,FALSE)</f>
        <v>0</v>
      </c>
      <c r="X362" s="125">
        <f>VLOOKUP(C362,'Talente &amp; Stuff'!DO:EP,22,FALSE)</f>
        <v>0</v>
      </c>
      <c r="Y362" s="165">
        <f t="shared" si="24"/>
        <v>0</v>
      </c>
      <c r="Z362" s="44">
        <f t="shared" si="25"/>
        <v>0</v>
      </c>
      <c r="AA362" s="125">
        <f>VLOOKUP(C362,'Talente &amp; Stuff'!DO:EP,25,FALSE)</f>
        <v>0</v>
      </c>
      <c r="AB362" s="160">
        <f>VLOOKUP(C362,'Talente &amp; Stuff'!DO:EP,26,FALSE)</f>
        <v>0</v>
      </c>
      <c r="AC362" s="127">
        <f>VLOOKUP(C362,'Talente &amp; Stuff'!DO:EP,27,FALSE)</f>
        <v>0</v>
      </c>
      <c r="AD362" s="125">
        <f>VLOOKUP(C362,'Talente &amp; Stuff'!DO:EP,28,FALSE)</f>
        <v>0</v>
      </c>
      <c r="AE362" s="28"/>
    </row>
    <row r="363" spans="2:31" ht="15" hidden="1" customHeight="1" outlineLevel="2">
      <c r="B363" s="148">
        <v>7</v>
      </c>
      <c r="C363" s="177" t="str">
        <f>Attribute!C363</f>
        <v>---</v>
      </c>
      <c r="D363" s="86" t="str">
        <f>VLOOKUP(C363,'Talente &amp; Stuff'!DO:EP,2,FALSE)</f>
        <v>--/--/--</v>
      </c>
      <c r="E363" s="125" t="str">
        <f>VLOOKUP(C363,'Talente &amp; Stuff'!DO:EP,3,FALSE)</f>
        <v>-</v>
      </c>
      <c r="F363" s="113">
        <f>VLOOKUP(C363,'Talente &amp; Stuff'!DO:EP,4,FALSE)</f>
        <v>0</v>
      </c>
      <c r="G363" s="113">
        <f>VLOOKUP(C363,'Talente &amp; Stuff'!DO:EP,5,FALSE)</f>
        <v>0</v>
      </c>
      <c r="H363" s="113">
        <f>VLOOKUP(C363,'Talente &amp; Stuff'!DO:EP,6,FALSE)</f>
        <v>0</v>
      </c>
      <c r="I363" s="113">
        <f>VLOOKUP(C363,'Talente &amp; Stuff'!DO:EP,7,FALSE)</f>
        <v>0</v>
      </c>
      <c r="J363" s="113">
        <f>VLOOKUP(C363,'Talente &amp; Stuff'!DO:EP,8,FALSE)</f>
        <v>0</v>
      </c>
      <c r="K363" s="113">
        <f>VLOOKUP(C363,'Talente &amp; Stuff'!DO:EP,9,FALSE)</f>
        <v>0</v>
      </c>
      <c r="L363" s="113">
        <f>VLOOKUP(C363,'Talente &amp; Stuff'!DO:EP,10,FALSE)</f>
        <v>0</v>
      </c>
      <c r="M363" s="113">
        <f>VLOOKUP(C363,'Talente &amp; Stuff'!DO:EP,11,FALSE)</f>
        <v>0</v>
      </c>
      <c r="N363" s="89">
        <f>VLOOKUP(C363,'Talente &amp; Stuff'!DO:EP,12,FALSE)</f>
        <v>0</v>
      </c>
      <c r="O363" s="47">
        <f>VLOOKUP(C363,'Talente &amp; Stuff'!DO:EP,13,FALSE)</f>
        <v>0</v>
      </c>
      <c r="P363" s="119">
        <f>VLOOKUP(C363,'Talente &amp; Stuff'!DO:EP,14,FALSE)</f>
        <v>0</v>
      </c>
      <c r="Q363" s="113">
        <f>VLOOKUP(C363,'Talente &amp; Stuff'!DO:EP,15,FALSE)</f>
        <v>0</v>
      </c>
      <c r="R363" s="113">
        <f>VLOOKUP(C363,'Talente &amp; Stuff'!DO:EP,16,FALSE)</f>
        <v>0</v>
      </c>
      <c r="S363" s="113">
        <f>VLOOKUP(C363,'Talente &amp; Stuff'!DO:EP,17,FALSE)</f>
        <v>0</v>
      </c>
      <c r="T363" s="160">
        <f>VLOOKUP(C363,'Talente &amp; Stuff'!DO:EP,18,FALSE)</f>
        <v>0</v>
      </c>
      <c r="U363" s="47">
        <f>VLOOKUP(C363,'Talente &amp; Stuff'!DO:EP,19,FALSE)</f>
        <v>0</v>
      </c>
      <c r="V363" s="47">
        <f>VLOOKUP(C363,'Talente &amp; Stuff'!DO:EP,20,FALSE)</f>
        <v>0</v>
      </c>
      <c r="W363" s="47">
        <f>VLOOKUP(C363,'Talente &amp; Stuff'!DO:EP,21,FALSE)</f>
        <v>0</v>
      </c>
      <c r="X363" s="125">
        <f>VLOOKUP(C363,'Talente &amp; Stuff'!DO:EP,22,FALSE)</f>
        <v>0</v>
      </c>
      <c r="Y363" s="165">
        <f t="shared" si="24"/>
        <v>0</v>
      </c>
      <c r="Z363" s="44">
        <f t="shared" si="25"/>
        <v>0</v>
      </c>
      <c r="AA363" s="125">
        <f>VLOOKUP(C363,'Talente &amp; Stuff'!DO:EP,25,FALSE)</f>
        <v>0</v>
      </c>
      <c r="AB363" s="160">
        <f>VLOOKUP(C363,'Talente &amp; Stuff'!DO:EP,26,FALSE)</f>
        <v>0</v>
      </c>
      <c r="AC363" s="127">
        <f>VLOOKUP(C363,'Talente &amp; Stuff'!DO:EP,27,FALSE)</f>
        <v>0</v>
      </c>
      <c r="AD363" s="125">
        <f>VLOOKUP(C363,'Talente &amp; Stuff'!DO:EP,28,FALSE)</f>
        <v>0</v>
      </c>
      <c r="AE363" s="28"/>
    </row>
    <row r="364" spans="2:31" ht="15" hidden="1" customHeight="1" outlineLevel="2">
      <c r="B364" s="148">
        <v>8</v>
      </c>
      <c r="C364" s="177" t="str">
        <f>Attribute!C364</f>
        <v>---</v>
      </c>
      <c r="D364" s="86" t="str">
        <f>VLOOKUP(C364,'Talente &amp; Stuff'!DO:EP,2,FALSE)</f>
        <v>--/--/--</v>
      </c>
      <c r="E364" s="125" t="str">
        <f>VLOOKUP(C364,'Talente &amp; Stuff'!DO:EP,3,FALSE)</f>
        <v>-</v>
      </c>
      <c r="F364" s="113">
        <f>VLOOKUP(C364,'Talente &amp; Stuff'!DO:EP,4,FALSE)</f>
        <v>0</v>
      </c>
      <c r="G364" s="113">
        <f>VLOOKUP(C364,'Talente &amp; Stuff'!DO:EP,5,FALSE)</f>
        <v>0</v>
      </c>
      <c r="H364" s="113">
        <f>VLOOKUP(C364,'Talente &amp; Stuff'!DO:EP,6,FALSE)</f>
        <v>0</v>
      </c>
      <c r="I364" s="113">
        <f>VLOOKUP(C364,'Talente &amp; Stuff'!DO:EP,7,FALSE)</f>
        <v>0</v>
      </c>
      <c r="J364" s="113">
        <f>VLOOKUP(C364,'Talente &amp; Stuff'!DO:EP,8,FALSE)</f>
        <v>0</v>
      </c>
      <c r="K364" s="113">
        <f>VLOOKUP(C364,'Talente &amp; Stuff'!DO:EP,9,FALSE)</f>
        <v>0</v>
      </c>
      <c r="L364" s="113">
        <f>VLOOKUP(C364,'Talente &amp; Stuff'!DO:EP,10,FALSE)</f>
        <v>0</v>
      </c>
      <c r="M364" s="113">
        <f>VLOOKUP(C364,'Talente &amp; Stuff'!DO:EP,11,FALSE)</f>
        <v>0</v>
      </c>
      <c r="N364" s="89">
        <f>VLOOKUP(C364,'Talente &amp; Stuff'!DO:EP,12,FALSE)</f>
        <v>0</v>
      </c>
      <c r="O364" s="47">
        <f>VLOOKUP(C364,'Talente &amp; Stuff'!DO:EP,13,FALSE)</f>
        <v>0</v>
      </c>
      <c r="P364" s="119">
        <f>VLOOKUP(C364,'Talente &amp; Stuff'!DO:EP,14,FALSE)</f>
        <v>0</v>
      </c>
      <c r="Q364" s="113">
        <f>VLOOKUP(C364,'Talente &amp; Stuff'!DO:EP,15,FALSE)</f>
        <v>0</v>
      </c>
      <c r="R364" s="113">
        <f>VLOOKUP(C364,'Talente &amp; Stuff'!DO:EP,16,FALSE)</f>
        <v>0</v>
      </c>
      <c r="S364" s="113">
        <f>VLOOKUP(C364,'Talente &amp; Stuff'!DO:EP,17,FALSE)</f>
        <v>0</v>
      </c>
      <c r="T364" s="160">
        <f>VLOOKUP(C364,'Talente &amp; Stuff'!DO:EP,18,FALSE)</f>
        <v>0</v>
      </c>
      <c r="U364" s="47">
        <f>VLOOKUP(C364,'Talente &amp; Stuff'!DO:EP,19,FALSE)</f>
        <v>0</v>
      </c>
      <c r="V364" s="47">
        <f>VLOOKUP(C364,'Talente &amp; Stuff'!DO:EP,20,FALSE)</f>
        <v>0</v>
      </c>
      <c r="W364" s="47">
        <f>VLOOKUP(C364,'Talente &amp; Stuff'!DO:EP,21,FALSE)</f>
        <v>0</v>
      </c>
      <c r="X364" s="125">
        <f>VLOOKUP(C364,'Talente &amp; Stuff'!DO:EP,22,FALSE)</f>
        <v>0</v>
      </c>
      <c r="Y364" s="165">
        <f t="shared" si="24"/>
        <v>0</v>
      </c>
      <c r="Z364" s="44">
        <f t="shared" si="25"/>
        <v>0</v>
      </c>
      <c r="AA364" s="125">
        <f>VLOOKUP(C364,'Talente &amp; Stuff'!DO:EP,25,FALSE)</f>
        <v>0</v>
      </c>
      <c r="AB364" s="160">
        <f>VLOOKUP(C364,'Talente &amp; Stuff'!DO:EP,26,FALSE)</f>
        <v>0</v>
      </c>
      <c r="AC364" s="127">
        <f>VLOOKUP(C364,'Talente &amp; Stuff'!DO:EP,27,FALSE)</f>
        <v>0</v>
      </c>
      <c r="AD364" s="125">
        <f>VLOOKUP(C364,'Talente &amp; Stuff'!DO:EP,28,FALSE)</f>
        <v>0</v>
      </c>
      <c r="AE364" s="28"/>
    </row>
    <row r="365" spans="2:31" ht="15" hidden="1" customHeight="1" outlineLevel="2">
      <c r="B365" s="148">
        <v>9</v>
      </c>
      <c r="C365" s="178" t="str">
        <f>Attribute!C365</f>
        <v>---</v>
      </c>
      <c r="D365" s="87" t="str">
        <f>VLOOKUP(C365,'Talente &amp; Stuff'!DO:EP,2,FALSE)</f>
        <v>--/--/--</v>
      </c>
      <c r="E365" s="159" t="str">
        <f>VLOOKUP(C365,'Talente &amp; Stuff'!DO:EP,3,FALSE)</f>
        <v>-</v>
      </c>
      <c r="F365" s="122">
        <f>VLOOKUP(C365,'Talente &amp; Stuff'!DO:EP,4,FALSE)</f>
        <v>0</v>
      </c>
      <c r="G365" s="122">
        <f>VLOOKUP(C365,'Talente &amp; Stuff'!DO:EP,5,FALSE)</f>
        <v>0</v>
      </c>
      <c r="H365" s="122">
        <f>VLOOKUP(C365,'Talente &amp; Stuff'!DO:EP,6,FALSE)</f>
        <v>0</v>
      </c>
      <c r="I365" s="122">
        <f>VLOOKUP(C365,'Talente &amp; Stuff'!DO:EP,7,FALSE)</f>
        <v>0</v>
      </c>
      <c r="J365" s="122">
        <f>VLOOKUP(C365,'Talente &amp; Stuff'!DO:EP,8,FALSE)</f>
        <v>0</v>
      </c>
      <c r="K365" s="122">
        <f>VLOOKUP(C365,'Talente &amp; Stuff'!DO:EP,9,FALSE)</f>
        <v>0</v>
      </c>
      <c r="L365" s="122">
        <f>VLOOKUP(C365,'Talente &amp; Stuff'!DO:EP,10,FALSE)</f>
        <v>0</v>
      </c>
      <c r="M365" s="122">
        <f>VLOOKUP(C365,'Talente &amp; Stuff'!DO:EP,11,FALSE)</f>
        <v>0</v>
      </c>
      <c r="N365" s="90">
        <f>VLOOKUP(C365,'Talente &amp; Stuff'!DO:EP,12,FALSE)</f>
        <v>0</v>
      </c>
      <c r="O365" s="88">
        <f>VLOOKUP(C365,'Talente &amp; Stuff'!DO:EP,13,FALSE)</f>
        <v>0</v>
      </c>
      <c r="P365" s="123">
        <f>VLOOKUP(C365,'Talente &amp; Stuff'!DO:EP,14,FALSE)</f>
        <v>0</v>
      </c>
      <c r="Q365" s="122">
        <f>VLOOKUP(C365,'Talente &amp; Stuff'!DO:EP,15,FALSE)</f>
        <v>0</v>
      </c>
      <c r="R365" s="122">
        <f>VLOOKUP(C365,'Talente &amp; Stuff'!DO:EP,16,FALSE)</f>
        <v>0</v>
      </c>
      <c r="S365" s="122">
        <f>VLOOKUP(C365,'Talente &amp; Stuff'!DO:EP,17,FALSE)</f>
        <v>0</v>
      </c>
      <c r="T365" s="161">
        <f>VLOOKUP(C365,'Talente &amp; Stuff'!DO:EP,18,FALSE)</f>
        <v>0</v>
      </c>
      <c r="U365" s="88">
        <f>VLOOKUP(C365,'Talente &amp; Stuff'!DO:EP,19,FALSE)</f>
        <v>0</v>
      </c>
      <c r="V365" s="88">
        <f>VLOOKUP(C365,'Talente &amp; Stuff'!DO:EP,20,FALSE)</f>
        <v>0</v>
      </c>
      <c r="W365" s="88">
        <f>VLOOKUP(C365,'Talente &amp; Stuff'!DO:EP,21,FALSE)</f>
        <v>0</v>
      </c>
      <c r="X365" s="159">
        <f>VLOOKUP(C365,'Talente &amp; Stuff'!DO:EP,22,FALSE)</f>
        <v>0</v>
      </c>
      <c r="Y365" s="165">
        <f t="shared" si="24"/>
        <v>0</v>
      </c>
      <c r="Z365" s="44">
        <f t="shared" si="25"/>
        <v>0</v>
      </c>
      <c r="AA365" s="159">
        <f>VLOOKUP(C365,'Talente &amp; Stuff'!DO:EP,25,FALSE)</f>
        <v>0</v>
      </c>
      <c r="AB365" s="161">
        <f>VLOOKUP(C365,'Talente &amp; Stuff'!DO:EP,26,FALSE)</f>
        <v>0</v>
      </c>
      <c r="AC365" s="128">
        <f>VLOOKUP(C365,'Talente &amp; Stuff'!DO:EP,27,FALSE)</f>
        <v>0</v>
      </c>
      <c r="AD365" s="159">
        <f>VLOOKUP(C365,'Talente &amp; Stuff'!DO:EP,28,FALSE)</f>
        <v>0</v>
      </c>
      <c r="AE365" s="28"/>
    </row>
    <row r="366" spans="2:31" ht="15" hidden="1" customHeight="1" outlineLevel="1" collapsed="1">
      <c r="B366" s="134" t="s">
        <v>330</v>
      </c>
      <c r="C366" s="83"/>
      <c r="D366" s="84"/>
      <c r="E366" s="84"/>
    </row>
    <row r="367" spans="2:31" ht="15" hidden="1" customHeight="1" outlineLevel="2">
      <c r="B367" s="148">
        <v>1</v>
      </c>
      <c r="C367" s="176" t="str">
        <f>Attribute!C367</f>
        <v>---</v>
      </c>
      <c r="D367" s="158" t="str">
        <f>VLOOKUP(C367,'Talente &amp; Stuff'!DO:EP,2,FALSE)</f>
        <v>--/--/--</v>
      </c>
      <c r="E367" s="158" t="str">
        <f>VLOOKUP(C367,'Talente &amp; Stuff'!DO:EP,3,FALSE)</f>
        <v>-</v>
      </c>
      <c r="F367" s="118">
        <f>VLOOKUP(C367,'Talente &amp; Stuff'!DO:EP,4,FALSE)</f>
        <v>0</v>
      </c>
      <c r="G367" s="118">
        <f>VLOOKUP(C367,'Talente &amp; Stuff'!DO:EP,5,FALSE)</f>
        <v>0</v>
      </c>
      <c r="H367" s="118">
        <f>VLOOKUP(C367,'Talente &amp; Stuff'!DO:EP,6,FALSE)</f>
        <v>0</v>
      </c>
      <c r="I367" s="118">
        <f>VLOOKUP(C367,'Talente &amp; Stuff'!DO:EP,7,FALSE)</f>
        <v>0</v>
      </c>
      <c r="J367" s="118">
        <f>VLOOKUP(C367,'Talente &amp; Stuff'!DO:EP,8,FALSE)</f>
        <v>0</v>
      </c>
      <c r="K367" s="118">
        <f>VLOOKUP(C367,'Talente &amp; Stuff'!DO:EP,9,FALSE)</f>
        <v>0</v>
      </c>
      <c r="L367" s="118">
        <f>VLOOKUP(C367,'Talente &amp; Stuff'!DO:EP,10,FALSE)</f>
        <v>0</v>
      </c>
      <c r="M367" s="118">
        <f>VLOOKUP(C367,'Talente &amp; Stuff'!DO:EP,11,FALSE)</f>
        <v>0</v>
      </c>
      <c r="N367" s="193">
        <f>VLOOKUP(C367,'Talente &amp; Stuff'!DO:EP,12,FALSE)</f>
        <v>0</v>
      </c>
      <c r="O367" s="116">
        <f>VLOOKUP(C367,'Talente &amp; Stuff'!DO:EP,13,FALSE)</f>
        <v>0</v>
      </c>
      <c r="P367" s="92">
        <f>VLOOKUP(C367,'Talente &amp; Stuff'!DO:EP,14,FALSE)</f>
        <v>0</v>
      </c>
      <c r="Q367" s="118">
        <f>VLOOKUP(C367,'Talente &amp; Stuff'!DO:EP,15,FALSE)</f>
        <v>0</v>
      </c>
      <c r="R367" s="118">
        <f>VLOOKUP(C367,'Talente &amp; Stuff'!DO:EP,16,FALSE)</f>
        <v>0</v>
      </c>
      <c r="S367" s="118">
        <f>VLOOKUP(C367,'Talente &amp; Stuff'!DO:EP,17,FALSE)</f>
        <v>0</v>
      </c>
      <c r="T367" s="91">
        <f>VLOOKUP(C367,'Talente &amp; Stuff'!DO:EP,18,FALSE)</f>
        <v>0</v>
      </c>
      <c r="U367" s="116">
        <f>VLOOKUP(C367,'Talente &amp; Stuff'!DO:EP,19,FALSE)</f>
        <v>0</v>
      </c>
      <c r="V367" s="116">
        <f>VLOOKUP(C367,'Talente &amp; Stuff'!DO:EP,20,FALSE)</f>
        <v>0</v>
      </c>
      <c r="W367" s="116">
        <f>VLOOKUP(C367,'Talente &amp; Stuff'!DO:EP,21,FALSE)</f>
        <v>0</v>
      </c>
      <c r="X367" s="158">
        <f>VLOOKUP(C367,'Talente &amp; Stuff'!DO:EP,22,FALSE)</f>
        <v>0</v>
      </c>
      <c r="Y367" s="165">
        <f t="shared" ref="Y367:Y374" si="26">VLOOKUP(C367,Ausgewählte_Rituale_Elfen,139,FALSE)</f>
        <v>0</v>
      </c>
      <c r="Z367" s="44">
        <f t="shared" ref="Z367:Z374" si="27">VLOOKUP(C367,Ausgewählte_Rituale_Elfen,140,FALSE)</f>
        <v>0</v>
      </c>
      <c r="AA367" s="158">
        <f>VLOOKUP(C367,'Talente &amp; Stuff'!DO:EP,25,FALSE)</f>
        <v>0</v>
      </c>
      <c r="AB367" s="91">
        <f>VLOOKUP(C367,'Talente &amp; Stuff'!DO:EP,26,FALSE)</f>
        <v>0</v>
      </c>
      <c r="AC367" s="126">
        <f>VLOOKUP(C367,'Talente &amp; Stuff'!DO:EP,27,FALSE)</f>
        <v>0</v>
      </c>
      <c r="AD367" s="158">
        <f>VLOOKUP(C367,'Talente &amp; Stuff'!DO:EP,28,FALSE)</f>
        <v>0</v>
      </c>
      <c r="AE367" s="28"/>
    </row>
    <row r="368" spans="2:31" ht="15" hidden="1" customHeight="1" outlineLevel="2">
      <c r="B368" s="148">
        <v>2</v>
      </c>
      <c r="C368" s="177" t="str">
        <f>Attribute!C368</f>
        <v>---</v>
      </c>
      <c r="D368" s="125" t="str">
        <f>VLOOKUP(C368,'Talente &amp; Stuff'!DO:EP,2,FALSE)</f>
        <v>--/--/--</v>
      </c>
      <c r="E368" s="125" t="str">
        <f>VLOOKUP(C368,'Talente &amp; Stuff'!DO:EP,3,FALSE)</f>
        <v>-</v>
      </c>
      <c r="F368" s="113">
        <f>VLOOKUP(C368,'Talente &amp; Stuff'!DO:EP,4,FALSE)</f>
        <v>0</v>
      </c>
      <c r="G368" s="113">
        <f>VLOOKUP(C368,'Talente &amp; Stuff'!DO:EP,5,FALSE)</f>
        <v>0</v>
      </c>
      <c r="H368" s="113">
        <f>VLOOKUP(C368,'Talente &amp; Stuff'!DO:EP,6,FALSE)</f>
        <v>0</v>
      </c>
      <c r="I368" s="113">
        <f>VLOOKUP(C368,'Talente &amp; Stuff'!DO:EP,7,FALSE)</f>
        <v>0</v>
      </c>
      <c r="J368" s="113">
        <f>VLOOKUP(C368,'Talente &amp; Stuff'!DO:EP,8,FALSE)</f>
        <v>0</v>
      </c>
      <c r="K368" s="113">
        <f>VLOOKUP(C368,'Talente &amp; Stuff'!DO:EP,9,FALSE)</f>
        <v>0</v>
      </c>
      <c r="L368" s="113">
        <f>VLOOKUP(C368,'Talente &amp; Stuff'!DO:EP,10,FALSE)</f>
        <v>0</v>
      </c>
      <c r="M368" s="113">
        <f>VLOOKUP(C368,'Talente &amp; Stuff'!DO:EP,11,FALSE)</f>
        <v>0</v>
      </c>
      <c r="N368" s="89">
        <f>VLOOKUP(C368,'Talente &amp; Stuff'!DO:EP,12,FALSE)</f>
        <v>0</v>
      </c>
      <c r="O368" s="47">
        <f>VLOOKUP(C368,'Talente &amp; Stuff'!DO:EP,13,FALSE)</f>
        <v>0</v>
      </c>
      <c r="P368" s="119">
        <f>VLOOKUP(C368,'Talente &amp; Stuff'!DO:EP,14,FALSE)</f>
        <v>0</v>
      </c>
      <c r="Q368" s="113">
        <f>VLOOKUP(C368,'Talente &amp; Stuff'!DO:EP,15,FALSE)</f>
        <v>0</v>
      </c>
      <c r="R368" s="113">
        <f>VLOOKUP(C368,'Talente &amp; Stuff'!DO:EP,16,FALSE)</f>
        <v>0</v>
      </c>
      <c r="S368" s="113">
        <f>VLOOKUP(C368,'Talente &amp; Stuff'!DO:EP,17,FALSE)</f>
        <v>0</v>
      </c>
      <c r="T368" s="160">
        <f>VLOOKUP(C368,'Talente &amp; Stuff'!DO:EP,18,FALSE)</f>
        <v>0</v>
      </c>
      <c r="U368" s="47">
        <f>VLOOKUP(C368,'Talente &amp; Stuff'!DO:EP,19,FALSE)</f>
        <v>0</v>
      </c>
      <c r="V368" s="47">
        <f>VLOOKUP(C368,'Talente &amp; Stuff'!DO:EP,20,FALSE)</f>
        <v>0</v>
      </c>
      <c r="W368" s="47">
        <f>VLOOKUP(C368,'Talente &amp; Stuff'!DO:EP,21,FALSE)</f>
        <v>0</v>
      </c>
      <c r="X368" s="125">
        <f>VLOOKUP(C368,'Talente &amp; Stuff'!DO:EP,22,FALSE)</f>
        <v>0</v>
      </c>
      <c r="Y368" s="165">
        <f t="shared" si="26"/>
        <v>0</v>
      </c>
      <c r="Z368" s="44">
        <f t="shared" si="27"/>
        <v>0</v>
      </c>
      <c r="AA368" s="125">
        <f>VLOOKUP(C368,'Talente &amp; Stuff'!DO:EP,25,FALSE)</f>
        <v>0</v>
      </c>
      <c r="AB368" s="160">
        <f>VLOOKUP(C368,'Talente &amp; Stuff'!DO:EP,26,FALSE)</f>
        <v>0</v>
      </c>
      <c r="AC368" s="127">
        <f>VLOOKUP(C368,'Talente &amp; Stuff'!DO:EP,27,FALSE)</f>
        <v>0</v>
      </c>
      <c r="AD368" s="125">
        <f>VLOOKUP(C368,'Talente &amp; Stuff'!DO:EP,28,FALSE)</f>
        <v>0</v>
      </c>
      <c r="AE368" s="28"/>
    </row>
    <row r="369" spans="2:31" ht="15" hidden="1" customHeight="1" outlineLevel="2">
      <c r="B369" s="148">
        <v>3</v>
      </c>
      <c r="C369" s="177" t="str">
        <f>Attribute!C369</f>
        <v>---</v>
      </c>
      <c r="D369" s="125" t="str">
        <f>VLOOKUP(C369,'Talente &amp; Stuff'!DO:EP,2,FALSE)</f>
        <v>--/--/--</v>
      </c>
      <c r="E369" s="125" t="str">
        <f>VLOOKUP(C369,'Talente &amp; Stuff'!DO:EP,3,FALSE)</f>
        <v>-</v>
      </c>
      <c r="F369" s="113">
        <f>VLOOKUP(C369,'Talente &amp; Stuff'!DO:EP,4,FALSE)</f>
        <v>0</v>
      </c>
      <c r="G369" s="113">
        <f>VLOOKUP(C369,'Talente &amp; Stuff'!DO:EP,5,FALSE)</f>
        <v>0</v>
      </c>
      <c r="H369" s="113">
        <f>VLOOKUP(C369,'Talente &amp; Stuff'!DO:EP,6,FALSE)</f>
        <v>0</v>
      </c>
      <c r="I369" s="113">
        <f>VLOOKUP(C369,'Talente &amp; Stuff'!DO:EP,7,FALSE)</f>
        <v>0</v>
      </c>
      <c r="J369" s="113">
        <f>VLOOKUP(C369,'Talente &amp; Stuff'!DO:EP,8,FALSE)</f>
        <v>0</v>
      </c>
      <c r="K369" s="113">
        <f>VLOOKUP(C369,'Talente &amp; Stuff'!DO:EP,9,FALSE)</f>
        <v>0</v>
      </c>
      <c r="L369" s="113">
        <f>VLOOKUP(C369,'Talente &amp; Stuff'!DO:EP,10,FALSE)</f>
        <v>0</v>
      </c>
      <c r="M369" s="113">
        <f>VLOOKUP(C369,'Talente &amp; Stuff'!DO:EP,11,FALSE)</f>
        <v>0</v>
      </c>
      <c r="N369" s="89">
        <f>VLOOKUP(C369,'Talente &amp; Stuff'!DO:EP,12,FALSE)</f>
        <v>0</v>
      </c>
      <c r="O369" s="47">
        <f>VLOOKUP(C369,'Talente &amp; Stuff'!DO:EP,13,FALSE)</f>
        <v>0</v>
      </c>
      <c r="P369" s="119">
        <f>VLOOKUP(C369,'Talente &amp; Stuff'!DO:EP,14,FALSE)</f>
        <v>0</v>
      </c>
      <c r="Q369" s="113">
        <f>VLOOKUP(C369,'Talente &amp; Stuff'!DO:EP,15,FALSE)</f>
        <v>0</v>
      </c>
      <c r="R369" s="113">
        <f>VLOOKUP(C369,'Talente &amp; Stuff'!DO:EP,16,FALSE)</f>
        <v>0</v>
      </c>
      <c r="S369" s="113">
        <f>VLOOKUP(C369,'Talente &amp; Stuff'!DO:EP,17,FALSE)</f>
        <v>0</v>
      </c>
      <c r="T369" s="160">
        <f>VLOOKUP(C369,'Talente &amp; Stuff'!DO:EP,18,FALSE)</f>
        <v>0</v>
      </c>
      <c r="U369" s="47">
        <f>VLOOKUP(C369,'Talente &amp; Stuff'!DO:EP,19,FALSE)</f>
        <v>0</v>
      </c>
      <c r="V369" s="47">
        <f>VLOOKUP(C369,'Talente &amp; Stuff'!DO:EP,20,FALSE)</f>
        <v>0</v>
      </c>
      <c r="W369" s="47">
        <f>VLOOKUP(C369,'Talente &amp; Stuff'!DO:EP,21,FALSE)</f>
        <v>0</v>
      </c>
      <c r="X369" s="125">
        <f>VLOOKUP(C369,'Talente &amp; Stuff'!DO:EP,22,FALSE)</f>
        <v>0</v>
      </c>
      <c r="Y369" s="165">
        <f t="shared" si="26"/>
        <v>0</v>
      </c>
      <c r="Z369" s="44">
        <f t="shared" si="27"/>
        <v>0</v>
      </c>
      <c r="AA369" s="125">
        <f>VLOOKUP(C369,'Talente &amp; Stuff'!DO:EP,25,FALSE)</f>
        <v>0</v>
      </c>
      <c r="AB369" s="160">
        <f>VLOOKUP(C369,'Talente &amp; Stuff'!DO:EP,26,FALSE)</f>
        <v>0</v>
      </c>
      <c r="AC369" s="127">
        <f>VLOOKUP(C369,'Talente &amp; Stuff'!DO:EP,27,FALSE)</f>
        <v>0</v>
      </c>
      <c r="AD369" s="125">
        <f>VLOOKUP(C369,'Talente &amp; Stuff'!DO:EP,28,FALSE)</f>
        <v>0</v>
      </c>
      <c r="AE369" s="28"/>
    </row>
    <row r="370" spans="2:31" ht="15" hidden="1" customHeight="1" outlineLevel="2">
      <c r="B370" s="148">
        <v>4</v>
      </c>
      <c r="C370" s="177" t="str">
        <f>Attribute!C370</f>
        <v>---</v>
      </c>
      <c r="D370" s="125" t="str">
        <f>VLOOKUP(C370,'Talente &amp; Stuff'!DO:EP,2,FALSE)</f>
        <v>--/--/--</v>
      </c>
      <c r="E370" s="125" t="str">
        <f>VLOOKUP(C370,'Talente &amp; Stuff'!DO:EP,3,FALSE)</f>
        <v>-</v>
      </c>
      <c r="F370" s="113">
        <f>VLOOKUP(C370,'Talente &amp; Stuff'!DO:EP,4,FALSE)</f>
        <v>0</v>
      </c>
      <c r="G370" s="113">
        <f>VLOOKUP(C370,'Talente &amp; Stuff'!DO:EP,5,FALSE)</f>
        <v>0</v>
      </c>
      <c r="H370" s="113">
        <f>VLOOKUP(C370,'Talente &amp; Stuff'!DO:EP,6,FALSE)</f>
        <v>0</v>
      </c>
      <c r="I370" s="113">
        <f>VLOOKUP(C370,'Talente &amp; Stuff'!DO:EP,7,FALSE)</f>
        <v>0</v>
      </c>
      <c r="J370" s="113">
        <f>VLOOKUP(C370,'Talente &amp; Stuff'!DO:EP,8,FALSE)</f>
        <v>0</v>
      </c>
      <c r="K370" s="113">
        <f>VLOOKUP(C370,'Talente &amp; Stuff'!DO:EP,9,FALSE)</f>
        <v>0</v>
      </c>
      <c r="L370" s="113">
        <f>VLOOKUP(C370,'Talente &amp; Stuff'!DO:EP,10,FALSE)</f>
        <v>0</v>
      </c>
      <c r="M370" s="113">
        <f>VLOOKUP(C370,'Talente &amp; Stuff'!DO:EP,11,FALSE)</f>
        <v>0</v>
      </c>
      <c r="N370" s="89">
        <f>VLOOKUP(C370,'Talente &amp; Stuff'!DO:EP,12,FALSE)</f>
        <v>0</v>
      </c>
      <c r="O370" s="47">
        <f>VLOOKUP(C370,'Talente &amp; Stuff'!DO:EP,13,FALSE)</f>
        <v>0</v>
      </c>
      <c r="P370" s="119">
        <f>VLOOKUP(C370,'Talente &amp; Stuff'!DO:EP,14,FALSE)</f>
        <v>0</v>
      </c>
      <c r="Q370" s="113">
        <f>VLOOKUP(C370,'Talente &amp; Stuff'!DO:EP,15,FALSE)</f>
        <v>0</v>
      </c>
      <c r="R370" s="113">
        <f>VLOOKUP(C370,'Talente &amp; Stuff'!DO:EP,16,FALSE)</f>
        <v>0</v>
      </c>
      <c r="S370" s="113">
        <f>VLOOKUP(C370,'Talente &amp; Stuff'!DO:EP,17,FALSE)</f>
        <v>0</v>
      </c>
      <c r="T370" s="160">
        <f>VLOOKUP(C370,'Talente &amp; Stuff'!DO:EP,18,FALSE)</f>
        <v>0</v>
      </c>
      <c r="U370" s="47">
        <f>VLOOKUP(C370,'Talente &amp; Stuff'!DO:EP,19,FALSE)</f>
        <v>0</v>
      </c>
      <c r="V370" s="47">
        <f>VLOOKUP(C370,'Talente &amp; Stuff'!DO:EP,20,FALSE)</f>
        <v>0</v>
      </c>
      <c r="W370" s="47">
        <f>VLOOKUP(C370,'Talente &amp; Stuff'!DO:EP,21,FALSE)</f>
        <v>0</v>
      </c>
      <c r="X370" s="125">
        <f>VLOOKUP(C370,'Talente &amp; Stuff'!DO:EP,22,FALSE)</f>
        <v>0</v>
      </c>
      <c r="Y370" s="165">
        <f t="shared" si="26"/>
        <v>0</v>
      </c>
      <c r="Z370" s="44">
        <f t="shared" si="27"/>
        <v>0</v>
      </c>
      <c r="AA370" s="125">
        <f>VLOOKUP(C370,'Talente &amp; Stuff'!DO:EP,25,FALSE)</f>
        <v>0</v>
      </c>
      <c r="AB370" s="160">
        <f>VLOOKUP(C370,'Talente &amp; Stuff'!DO:EP,26,FALSE)</f>
        <v>0</v>
      </c>
      <c r="AC370" s="127">
        <f>VLOOKUP(C370,'Talente &amp; Stuff'!DO:EP,27,FALSE)</f>
        <v>0</v>
      </c>
      <c r="AD370" s="125">
        <f>VLOOKUP(C370,'Talente &amp; Stuff'!DO:EP,28,FALSE)</f>
        <v>0</v>
      </c>
      <c r="AE370" s="28"/>
    </row>
    <row r="371" spans="2:31" ht="15" hidden="1" customHeight="1" outlineLevel="2">
      <c r="B371" s="148">
        <v>5</v>
      </c>
      <c r="C371" s="177" t="str">
        <f>Attribute!C371</f>
        <v>---</v>
      </c>
      <c r="D371" s="125" t="str">
        <f>VLOOKUP(C371,'Talente &amp; Stuff'!DO:EP,2,FALSE)</f>
        <v>--/--/--</v>
      </c>
      <c r="E371" s="125" t="str">
        <f>VLOOKUP(C371,'Talente &amp; Stuff'!DO:EP,3,FALSE)</f>
        <v>-</v>
      </c>
      <c r="F371" s="113">
        <f>VLOOKUP(C371,'Talente &amp; Stuff'!DO:EP,4,FALSE)</f>
        <v>0</v>
      </c>
      <c r="G371" s="113">
        <f>VLOOKUP(C371,'Talente &amp; Stuff'!DO:EP,5,FALSE)</f>
        <v>0</v>
      </c>
      <c r="H371" s="113">
        <f>VLOOKUP(C371,'Talente &amp; Stuff'!DO:EP,6,FALSE)</f>
        <v>0</v>
      </c>
      <c r="I371" s="113">
        <f>VLOOKUP(C371,'Talente &amp; Stuff'!DO:EP,7,FALSE)</f>
        <v>0</v>
      </c>
      <c r="J371" s="113">
        <f>VLOOKUP(C371,'Talente &amp; Stuff'!DO:EP,8,FALSE)</f>
        <v>0</v>
      </c>
      <c r="K371" s="113">
        <f>VLOOKUP(C371,'Talente &amp; Stuff'!DO:EP,9,FALSE)</f>
        <v>0</v>
      </c>
      <c r="L371" s="113">
        <f>VLOOKUP(C371,'Talente &amp; Stuff'!DO:EP,10,FALSE)</f>
        <v>0</v>
      </c>
      <c r="M371" s="113">
        <f>VLOOKUP(C371,'Talente &amp; Stuff'!DO:EP,11,FALSE)</f>
        <v>0</v>
      </c>
      <c r="N371" s="89">
        <f>VLOOKUP(C371,'Talente &amp; Stuff'!DO:EP,12,FALSE)</f>
        <v>0</v>
      </c>
      <c r="O371" s="47">
        <f>VLOOKUP(C371,'Talente &amp; Stuff'!DO:EP,13,FALSE)</f>
        <v>0</v>
      </c>
      <c r="P371" s="119">
        <f>VLOOKUP(C371,'Talente &amp; Stuff'!DO:EP,14,FALSE)</f>
        <v>0</v>
      </c>
      <c r="Q371" s="113">
        <f>VLOOKUP(C371,'Talente &amp; Stuff'!DO:EP,15,FALSE)</f>
        <v>0</v>
      </c>
      <c r="R371" s="113">
        <f>VLOOKUP(C371,'Talente &amp; Stuff'!DO:EP,16,FALSE)</f>
        <v>0</v>
      </c>
      <c r="S371" s="113">
        <f>VLOOKUP(C371,'Talente &amp; Stuff'!DO:EP,17,FALSE)</f>
        <v>0</v>
      </c>
      <c r="T371" s="160">
        <f>VLOOKUP(C371,'Talente &amp; Stuff'!DO:EP,18,FALSE)</f>
        <v>0</v>
      </c>
      <c r="U371" s="47">
        <f>VLOOKUP(C371,'Talente &amp; Stuff'!DO:EP,19,FALSE)</f>
        <v>0</v>
      </c>
      <c r="V371" s="47">
        <f>VLOOKUP(C371,'Talente &amp; Stuff'!DO:EP,20,FALSE)</f>
        <v>0</v>
      </c>
      <c r="W371" s="47">
        <f>VLOOKUP(C371,'Talente &amp; Stuff'!DO:EP,21,FALSE)</f>
        <v>0</v>
      </c>
      <c r="X371" s="125">
        <f>VLOOKUP(C371,'Talente &amp; Stuff'!DO:EP,22,FALSE)</f>
        <v>0</v>
      </c>
      <c r="Y371" s="165">
        <f t="shared" si="26"/>
        <v>0</v>
      </c>
      <c r="Z371" s="44">
        <f t="shared" si="27"/>
        <v>0</v>
      </c>
      <c r="AA371" s="125">
        <f>VLOOKUP(C371,'Talente &amp; Stuff'!DO:EP,25,FALSE)</f>
        <v>0</v>
      </c>
      <c r="AB371" s="160">
        <f>VLOOKUP(C371,'Talente &amp; Stuff'!DO:EP,26,FALSE)</f>
        <v>0</v>
      </c>
      <c r="AC371" s="127">
        <f>VLOOKUP(C371,'Talente &amp; Stuff'!DO:EP,27,FALSE)</f>
        <v>0</v>
      </c>
      <c r="AD371" s="125">
        <f>VLOOKUP(C371,'Talente &amp; Stuff'!DO:EP,28,FALSE)</f>
        <v>0</v>
      </c>
      <c r="AE371" s="28"/>
    </row>
    <row r="372" spans="2:31" ht="15" hidden="1" customHeight="1" outlineLevel="2">
      <c r="B372" s="148">
        <v>6</v>
      </c>
      <c r="C372" s="177" t="str">
        <f>Attribute!C372</f>
        <v>---</v>
      </c>
      <c r="D372" s="125" t="str">
        <f>VLOOKUP(C372,'Talente &amp; Stuff'!DO:EP,2,FALSE)</f>
        <v>--/--/--</v>
      </c>
      <c r="E372" s="125" t="str">
        <f>VLOOKUP(C372,'Talente &amp; Stuff'!DO:EP,3,FALSE)</f>
        <v>-</v>
      </c>
      <c r="F372" s="113">
        <f>VLOOKUP(C372,'Talente &amp; Stuff'!DO:EP,4,FALSE)</f>
        <v>0</v>
      </c>
      <c r="G372" s="113">
        <f>VLOOKUP(C372,'Talente &amp; Stuff'!DO:EP,5,FALSE)</f>
        <v>0</v>
      </c>
      <c r="H372" s="113">
        <f>VLOOKUP(C372,'Talente &amp; Stuff'!DO:EP,6,FALSE)</f>
        <v>0</v>
      </c>
      <c r="I372" s="113">
        <f>VLOOKUP(C372,'Talente &amp; Stuff'!DO:EP,7,FALSE)</f>
        <v>0</v>
      </c>
      <c r="J372" s="113">
        <f>VLOOKUP(C372,'Talente &amp; Stuff'!DO:EP,8,FALSE)</f>
        <v>0</v>
      </c>
      <c r="K372" s="113">
        <f>VLOOKUP(C372,'Talente &amp; Stuff'!DO:EP,9,FALSE)</f>
        <v>0</v>
      </c>
      <c r="L372" s="113">
        <f>VLOOKUP(C372,'Talente &amp; Stuff'!DO:EP,10,FALSE)</f>
        <v>0</v>
      </c>
      <c r="M372" s="113">
        <f>VLOOKUP(C372,'Talente &amp; Stuff'!DO:EP,11,FALSE)</f>
        <v>0</v>
      </c>
      <c r="N372" s="89">
        <f>VLOOKUP(C372,'Talente &amp; Stuff'!DO:EP,12,FALSE)</f>
        <v>0</v>
      </c>
      <c r="O372" s="47">
        <f>VLOOKUP(C372,'Talente &amp; Stuff'!DO:EP,13,FALSE)</f>
        <v>0</v>
      </c>
      <c r="P372" s="119">
        <f>VLOOKUP(C372,'Talente &amp; Stuff'!DO:EP,14,FALSE)</f>
        <v>0</v>
      </c>
      <c r="Q372" s="113">
        <f>VLOOKUP(C372,'Talente &amp; Stuff'!DO:EP,15,FALSE)</f>
        <v>0</v>
      </c>
      <c r="R372" s="113">
        <f>VLOOKUP(C372,'Talente &amp; Stuff'!DO:EP,16,FALSE)</f>
        <v>0</v>
      </c>
      <c r="S372" s="113">
        <f>VLOOKUP(C372,'Talente &amp; Stuff'!DO:EP,17,FALSE)</f>
        <v>0</v>
      </c>
      <c r="T372" s="160">
        <f>VLOOKUP(C372,'Talente &amp; Stuff'!DO:EP,18,FALSE)</f>
        <v>0</v>
      </c>
      <c r="U372" s="47">
        <f>VLOOKUP(C372,'Talente &amp; Stuff'!DO:EP,19,FALSE)</f>
        <v>0</v>
      </c>
      <c r="V372" s="47">
        <f>VLOOKUP(C372,'Talente &amp; Stuff'!DO:EP,20,FALSE)</f>
        <v>0</v>
      </c>
      <c r="W372" s="47">
        <f>VLOOKUP(C372,'Talente &amp; Stuff'!DO:EP,21,FALSE)</f>
        <v>0</v>
      </c>
      <c r="X372" s="125">
        <f>VLOOKUP(C372,'Talente &amp; Stuff'!DO:EP,22,FALSE)</f>
        <v>0</v>
      </c>
      <c r="Y372" s="165">
        <f t="shared" si="26"/>
        <v>0</v>
      </c>
      <c r="Z372" s="44">
        <f t="shared" si="27"/>
        <v>0</v>
      </c>
      <c r="AA372" s="125">
        <f>VLOOKUP(C372,'Talente &amp; Stuff'!DO:EP,25,FALSE)</f>
        <v>0</v>
      </c>
      <c r="AB372" s="160">
        <f>VLOOKUP(C372,'Talente &amp; Stuff'!DO:EP,26,FALSE)</f>
        <v>0</v>
      </c>
      <c r="AC372" s="127">
        <f>VLOOKUP(C372,'Talente &amp; Stuff'!DO:EP,27,FALSE)</f>
        <v>0</v>
      </c>
      <c r="AD372" s="125">
        <f>VLOOKUP(C372,'Talente &amp; Stuff'!DO:EP,28,FALSE)</f>
        <v>0</v>
      </c>
      <c r="AE372" s="28"/>
    </row>
    <row r="373" spans="2:31" ht="15" hidden="1" customHeight="1" outlineLevel="2">
      <c r="B373" s="148">
        <v>7</v>
      </c>
      <c r="C373" s="177" t="str">
        <f>Attribute!C373</f>
        <v>---</v>
      </c>
      <c r="D373" s="125" t="str">
        <f>VLOOKUP(C373,'Talente &amp; Stuff'!DO:EP,2,FALSE)</f>
        <v>--/--/--</v>
      </c>
      <c r="E373" s="125" t="str">
        <f>VLOOKUP(C373,'Talente &amp; Stuff'!DO:EP,3,FALSE)</f>
        <v>-</v>
      </c>
      <c r="F373" s="113">
        <f>VLOOKUP(C373,'Talente &amp; Stuff'!DO:EP,4,FALSE)</f>
        <v>0</v>
      </c>
      <c r="G373" s="113">
        <f>VLOOKUP(C373,'Talente &amp; Stuff'!DO:EP,5,FALSE)</f>
        <v>0</v>
      </c>
      <c r="H373" s="113">
        <f>VLOOKUP(C373,'Talente &amp; Stuff'!DO:EP,6,FALSE)</f>
        <v>0</v>
      </c>
      <c r="I373" s="113">
        <f>VLOOKUP(C373,'Talente &amp; Stuff'!DO:EP,7,FALSE)</f>
        <v>0</v>
      </c>
      <c r="J373" s="113">
        <f>VLOOKUP(C373,'Talente &amp; Stuff'!DO:EP,8,FALSE)</f>
        <v>0</v>
      </c>
      <c r="K373" s="113">
        <f>VLOOKUP(C373,'Talente &amp; Stuff'!DO:EP,9,FALSE)</f>
        <v>0</v>
      </c>
      <c r="L373" s="113">
        <f>VLOOKUP(C373,'Talente &amp; Stuff'!DO:EP,10,FALSE)</f>
        <v>0</v>
      </c>
      <c r="M373" s="113">
        <f>VLOOKUP(C373,'Talente &amp; Stuff'!DO:EP,11,FALSE)</f>
        <v>0</v>
      </c>
      <c r="N373" s="89">
        <f>VLOOKUP(C373,'Talente &amp; Stuff'!DO:EP,12,FALSE)</f>
        <v>0</v>
      </c>
      <c r="O373" s="47">
        <f>VLOOKUP(C373,'Talente &amp; Stuff'!DO:EP,13,FALSE)</f>
        <v>0</v>
      </c>
      <c r="P373" s="119">
        <f>VLOOKUP(C373,'Talente &amp; Stuff'!DO:EP,14,FALSE)</f>
        <v>0</v>
      </c>
      <c r="Q373" s="113">
        <f>VLOOKUP(C373,'Talente &amp; Stuff'!DO:EP,15,FALSE)</f>
        <v>0</v>
      </c>
      <c r="R373" s="113">
        <f>VLOOKUP(C373,'Talente &amp; Stuff'!DO:EP,16,FALSE)</f>
        <v>0</v>
      </c>
      <c r="S373" s="113">
        <f>VLOOKUP(C373,'Talente &amp; Stuff'!DO:EP,17,FALSE)</f>
        <v>0</v>
      </c>
      <c r="T373" s="160">
        <f>VLOOKUP(C373,'Talente &amp; Stuff'!DO:EP,18,FALSE)</f>
        <v>0</v>
      </c>
      <c r="U373" s="47">
        <f>VLOOKUP(C373,'Talente &amp; Stuff'!DO:EP,19,FALSE)</f>
        <v>0</v>
      </c>
      <c r="V373" s="47">
        <f>VLOOKUP(C373,'Talente &amp; Stuff'!DO:EP,20,FALSE)</f>
        <v>0</v>
      </c>
      <c r="W373" s="47">
        <f>VLOOKUP(C373,'Talente &amp; Stuff'!DO:EP,21,FALSE)</f>
        <v>0</v>
      </c>
      <c r="X373" s="125">
        <f>VLOOKUP(C373,'Talente &amp; Stuff'!DO:EP,22,FALSE)</f>
        <v>0</v>
      </c>
      <c r="Y373" s="165">
        <f t="shared" si="26"/>
        <v>0</v>
      </c>
      <c r="Z373" s="44">
        <f t="shared" si="27"/>
        <v>0</v>
      </c>
      <c r="AA373" s="125">
        <f>VLOOKUP(C373,'Talente &amp; Stuff'!DO:EP,25,FALSE)</f>
        <v>0</v>
      </c>
      <c r="AB373" s="160">
        <f>VLOOKUP(C373,'Talente &amp; Stuff'!DO:EP,26,FALSE)</f>
        <v>0</v>
      </c>
      <c r="AC373" s="127">
        <f>VLOOKUP(C373,'Talente &amp; Stuff'!DO:EP,27,FALSE)</f>
        <v>0</v>
      </c>
      <c r="AD373" s="125">
        <f>VLOOKUP(C373,'Talente &amp; Stuff'!DO:EP,28,FALSE)</f>
        <v>0</v>
      </c>
      <c r="AE373" s="28"/>
    </row>
    <row r="374" spans="2:31" ht="15" hidden="1" customHeight="1" outlineLevel="2">
      <c r="B374" s="148">
        <v>8</v>
      </c>
      <c r="C374" s="178" t="str">
        <f>Attribute!C374</f>
        <v>---</v>
      </c>
      <c r="D374" s="159" t="str">
        <f>VLOOKUP(C374,'Talente &amp; Stuff'!DO:EP,2,FALSE)</f>
        <v>--/--/--</v>
      </c>
      <c r="E374" s="159" t="str">
        <f>VLOOKUP(C374,'Talente &amp; Stuff'!DO:EP,3,FALSE)</f>
        <v>-</v>
      </c>
      <c r="F374" s="122">
        <f>VLOOKUP(C374,'Talente &amp; Stuff'!DO:EP,4,FALSE)</f>
        <v>0</v>
      </c>
      <c r="G374" s="122">
        <f>VLOOKUP(C374,'Talente &amp; Stuff'!DO:EP,5,FALSE)</f>
        <v>0</v>
      </c>
      <c r="H374" s="122">
        <f>VLOOKUP(C374,'Talente &amp; Stuff'!DO:EP,6,FALSE)</f>
        <v>0</v>
      </c>
      <c r="I374" s="122">
        <f>VLOOKUP(C374,'Talente &amp; Stuff'!DO:EP,7,FALSE)</f>
        <v>0</v>
      </c>
      <c r="J374" s="122">
        <f>VLOOKUP(C374,'Talente &amp; Stuff'!DO:EP,8,FALSE)</f>
        <v>0</v>
      </c>
      <c r="K374" s="122">
        <f>VLOOKUP(C374,'Talente &amp; Stuff'!DO:EP,9,FALSE)</f>
        <v>0</v>
      </c>
      <c r="L374" s="122">
        <f>VLOOKUP(C374,'Talente &amp; Stuff'!DO:EP,10,FALSE)</f>
        <v>0</v>
      </c>
      <c r="M374" s="122">
        <f>VLOOKUP(C374,'Talente &amp; Stuff'!DO:EP,11,FALSE)</f>
        <v>0</v>
      </c>
      <c r="N374" s="90">
        <f>VLOOKUP(C374,'Talente &amp; Stuff'!DO:EP,12,FALSE)</f>
        <v>0</v>
      </c>
      <c r="O374" s="88">
        <f>VLOOKUP(C374,'Talente &amp; Stuff'!DO:EP,13,FALSE)</f>
        <v>0</v>
      </c>
      <c r="P374" s="123">
        <f>VLOOKUP(C374,'Talente &amp; Stuff'!DO:EP,14,FALSE)</f>
        <v>0</v>
      </c>
      <c r="Q374" s="122">
        <f>VLOOKUP(C374,'Talente &amp; Stuff'!DO:EP,15,FALSE)</f>
        <v>0</v>
      </c>
      <c r="R374" s="122">
        <f>VLOOKUP(C374,'Talente &amp; Stuff'!DO:EP,16,FALSE)</f>
        <v>0</v>
      </c>
      <c r="S374" s="122">
        <f>VLOOKUP(C374,'Talente &amp; Stuff'!DO:EP,17,FALSE)</f>
        <v>0</v>
      </c>
      <c r="T374" s="161">
        <f>VLOOKUP(C374,'Talente &amp; Stuff'!DO:EP,18,FALSE)</f>
        <v>0</v>
      </c>
      <c r="U374" s="88">
        <f>VLOOKUP(C374,'Talente &amp; Stuff'!DO:EP,19,FALSE)</f>
        <v>0</v>
      </c>
      <c r="V374" s="88">
        <f>VLOOKUP(C374,'Talente &amp; Stuff'!DO:EP,20,FALSE)</f>
        <v>0</v>
      </c>
      <c r="W374" s="88">
        <f>VLOOKUP(C374,'Talente &amp; Stuff'!DO:EP,21,FALSE)</f>
        <v>0</v>
      </c>
      <c r="X374" s="159">
        <f>VLOOKUP(C374,'Talente &amp; Stuff'!DO:EP,22,FALSE)</f>
        <v>0</v>
      </c>
      <c r="Y374" s="165">
        <f t="shared" si="26"/>
        <v>0</v>
      </c>
      <c r="Z374" s="44">
        <f t="shared" si="27"/>
        <v>0</v>
      </c>
      <c r="AA374" s="159">
        <f>VLOOKUP(C374,'Talente &amp; Stuff'!DO:EP,25,FALSE)</f>
        <v>0</v>
      </c>
      <c r="AB374" s="161">
        <f>VLOOKUP(C374,'Talente &amp; Stuff'!DO:EP,26,FALSE)</f>
        <v>0</v>
      </c>
      <c r="AC374" s="128">
        <f>VLOOKUP(C374,'Talente &amp; Stuff'!DO:EP,27,FALSE)</f>
        <v>0</v>
      </c>
      <c r="AD374" s="159">
        <f>VLOOKUP(C374,'Talente &amp; Stuff'!DO:EP,28,FALSE)</f>
        <v>0</v>
      </c>
      <c r="AE374" s="28"/>
    </row>
    <row r="375" spans="2:31" ht="15" hidden="1" customHeight="1" outlineLevel="1" collapsed="1">
      <c r="B375" s="134" t="s">
        <v>329</v>
      </c>
      <c r="C375" s="83"/>
      <c r="D375" s="84"/>
      <c r="E375" s="84"/>
    </row>
    <row r="376" spans="2:31" ht="15" hidden="1" customHeight="1" outlineLevel="2">
      <c r="B376" s="148">
        <v>1</v>
      </c>
      <c r="C376" s="176" t="str">
        <f>Attribute!C376</f>
        <v>---</v>
      </c>
      <c r="D376" s="85" t="str">
        <f>VLOOKUP(C376,'Talente &amp; Stuff'!DO:EP,2,FALSE)</f>
        <v>--/--/--</v>
      </c>
      <c r="E376" s="158" t="str">
        <f>VLOOKUP(C376,'Talente &amp; Stuff'!DO:EP,3,FALSE)</f>
        <v>-</v>
      </c>
      <c r="F376" s="118">
        <f>VLOOKUP(C376,'Talente &amp; Stuff'!DO:EP,4,FALSE)</f>
        <v>0</v>
      </c>
      <c r="G376" s="118">
        <f>VLOOKUP(C376,'Talente &amp; Stuff'!DO:EP,5,FALSE)</f>
        <v>0</v>
      </c>
      <c r="H376" s="118">
        <f>VLOOKUP(C376,'Talente &amp; Stuff'!DO:EP,6,FALSE)</f>
        <v>0</v>
      </c>
      <c r="I376" s="118">
        <f>VLOOKUP(C376,'Talente &amp; Stuff'!DO:EP,7,FALSE)</f>
        <v>0</v>
      </c>
      <c r="J376" s="118">
        <f>VLOOKUP(C376,'Talente &amp; Stuff'!DO:EP,8,FALSE)</f>
        <v>0</v>
      </c>
      <c r="K376" s="118">
        <f>VLOOKUP(C376,'Talente &amp; Stuff'!DO:EP,9,FALSE)</f>
        <v>0</v>
      </c>
      <c r="L376" s="118">
        <f>VLOOKUP(C376,'Talente &amp; Stuff'!DO:EP,10,FALSE)</f>
        <v>0</v>
      </c>
      <c r="M376" s="118">
        <f>VLOOKUP(C376,'Talente &amp; Stuff'!DO:EP,11,FALSE)</f>
        <v>0</v>
      </c>
      <c r="N376" s="193">
        <f>VLOOKUP(C376,'Talente &amp; Stuff'!DO:EP,12,FALSE)</f>
        <v>0</v>
      </c>
      <c r="O376" s="116">
        <f>VLOOKUP(C376,'Talente &amp; Stuff'!DO:EP,13,FALSE)</f>
        <v>0</v>
      </c>
      <c r="P376" s="92">
        <f>VLOOKUP(C376,'Talente &amp; Stuff'!DO:EP,14,FALSE)</f>
        <v>0</v>
      </c>
      <c r="Q376" s="118">
        <f>VLOOKUP(C376,'Talente &amp; Stuff'!DO:EP,15,FALSE)</f>
        <v>0</v>
      </c>
      <c r="R376" s="118">
        <f>VLOOKUP(C376,'Talente &amp; Stuff'!DO:EP,16,FALSE)</f>
        <v>0</v>
      </c>
      <c r="S376" s="118">
        <f>VLOOKUP(C376,'Talente &amp; Stuff'!DO:EP,17,FALSE)</f>
        <v>0</v>
      </c>
      <c r="T376" s="91">
        <f>VLOOKUP(C376,'Talente &amp; Stuff'!DO:EP,18,FALSE)</f>
        <v>0</v>
      </c>
      <c r="U376" s="116">
        <f>VLOOKUP(C376,'Talente &amp; Stuff'!DO:EP,19,FALSE)</f>
        <v>0</v>
      </c>
      <c r="V376" s="116">
        <f>VLOOKUP(C376,'Talente &amp; Stuff'!DO:EP,20,FALSE)</f>
        <v>0</v>
      </c>
      <c r="W376" s="116">
        <f>VLOOKUP(C376,'Talente &amp; Stuff'!DO:EP,21,FALSE)</f>
        <v>0</v>
      </c>
      <c r="X376" s="158">
        <f>VLOOKUP(C376,'Talente &amp; Stuff'!DO:EP,22,FALSE)</f>
        <v>0</v>
      </c>
      <c r="Y376" s="165">
        <f t="shared" ref="Y376:Y386" si="28">VLOOKUP(C376,Ausgewählte_Rituale_Gildenmagier,139,FALSE)</f>
        <v>0</v>
      </c>
      <c r="Z376" s="44">
        <f t="shared" ref="Z376:Z386" si="29">VLOOKUP(C376,Ausgewählte_Rituale_Gildenmagier,140,FALSE)</f>
        <v>0</v>
      </c>
      <c r="AA376" s="158">
        <f>VLOOKUP(C376,'Talente &amp; Stuff'!DO:EP,25,FALSE)</f>
        <v>0</v>
      </c>
      <c r="AB376" s="91">
        <f>VLOOKUP(C376,'Talente &amp; Stuff'!DO:EP,26,FALSE)</f>
        <v>0</v>
      </c>
      <c r="AC376" s="126">
        <f>VLOOKUP(C376,'Talente &amp; Stuff'!DO:EP,27,FALSE)</f>
        <v>0</v>
      </c>
      <c r="AD376" s="158">
        <f>VLOOKUP(C376,'Talente &amp; Stuff'!DO:EP,28,FALSE)</f>
        <v>0</v>
      </c>
      <c r="AE376" s="28"/>
    </row>
    <row r="377" spans="2:31" ht="15" hidden="1" customHeight="1" outlineLevel="2">
      <c r="B377" s="148">
        <v>2</v>
      </c>
      <c r="C377" s="177" t="str">
        <f>Attribute!C377</f>
        <v>---</v>
      </c>
      <c r="D377" s="86" t="str">
        <f>VLOOKUP(C377,'Talente &amp; Stuff'!DO:EP,2,FALSE)</f>
        <v>--/--/--</v>
      </c>
      <c r="E377" s="125" t="str">
        <f>VLOOKUP(C377,'Talente &amp; Stuff'!DO:EP,3,FALSE)</f>
        <v>-</v>
      </c>
      <c r="F377" s="113">
        <f>VLOOKUP(C377,'Talente &amp; Stuff'!DO:EP,4,FALSE)</f>
        <v>0</v>
      </c>
      <c r="G377" s="113">
        <f>VLOOKUP(C377,'Talente &amp; Stuff'!DO:EP,5,FALSE)</f>
        <v>0</v>
      </c>
      <c r="H377" s="113">
        <f>VLOOKUP(C377,'Talente &amp; Stuff'!DO:EP,6,FALSE)</f>
        <v>0</v>
      </c>
      <c r="I377" s="113">
        <f>VLOOKUP(C377,'Talente &amp; Stuff'!DO:EP,7,FALSE)</f>
        <v>0</v>
      </c>
      <c r="J377" s="113">
        <f>VLOOKUP(C377,'Talente &amp; Stuff'!DO:EP,8,FALSE)</f>
        <v>0</v>
      </c>
      <c r="K377" s="113">
        <f>VLOOKUP(C377,'Talente &amp; Stuff'!DO:EP,9,FALSE)</f>
        <v>0</v>
      </c>
      <c r="L377" s="113">
        <f>VLOOKUP(C377,'Talente &amp; Stuff'!DO:EP,10,FALSE)</f>
        <v>0</v>
      </c>
      <c r="M377" s="113">
        <f>VLOOKUP(C377,'Talente &amp; Stuff'!DO:EP,11,FALSE)</f>
        <v>0</v>
      </c>
      <c r="N377" s="89">
        <f>VLOOKUP(C377,'Talente &amp; Stuff'!DO:EP,12,FALSE)</f>
        <v>0</v>
      </c>
      <c r="O377" s="47">
        <f>VLOOKUP(C377,'Talente &amp; Stuff'!DO:EP,13,FALSE)</f>
        <v>0</v>
      </c>
      <c r="P377" s="119">
        <f>VLOOKUP(C377,'Talente &amp; Stuff'!DO:EP,14,FALSE)</f>
        <v>0</v>
      </c>
      <c r="Q377" s="113">
        <f>VLOOKUP(C377,'Talente &amp; Stuff'!DO:EP,15,FALSE)</f>
        <v>0</v>
      </c>
      <c r="R377" s="113">
        <f>VLOOKUP(C377,'Talente &amp; Stuff'!DO:EP,16,FALSE)</f>
        <v>0</v>
      </c>
      <c r="S377" s="113">
        <f>VLOOKUP(C377,'Talente &amp; Stuff'!DO:EP,17,FALSE)</f>
        <v>0</v>
      </c>
      <c r="T377" s="160">
        <f>VLOOKUP(C377,'Talente &amp; Stuff'!DO:EP,18,FALSE)</f>
        <v>0</v>
      </c>
      <c r="U377" s="47">
        <f>VLOOKUP(C377,'Talente &amp; Stuff'!DO:EP,19,FALSE)</f>
        <v>0</v>
      </c>
      <c r="V377" s="47">
        <f>VLOOKUP(C377,'Talente &amp; Stuff'!DO:EP,20,FALSE)</f>
        <v>0</v>
      </c>
      <c r="W377" s="47">
        <f>VLOOKUP(C377,'Talente &amp; Stuff'!DO:EP,21,FALSE)</f>
        <v>0</v>
      </c>
      <c r="X377" s="125">
        <f>VLOOKUP(C377,'Talente &amp; Stuff'!DO:EP,22,FALSE)</f>
        <v>0</v>
      </c>
      <c r="Y377" s="165">
        <f t="shared" si="28"/>
        <v>0</v>
      </c>
      <c r="Z377" s="44">
        <f t="shared" si="29"/>
        <v>0</v>
      </c>
      <c r="AA377" s="125">
        <f>VLOOKUP(C377,'Talente &amp; Stuff'!DO:EP,25,FALSE)</f>
        <v>0</v>
      </c>
      <c r="AB377" s="160">
        <f>VLOOKUP(C377,'Talente &amp; Stuff'!DO:EP,26,FALSE)</f>
        <v>0</v>
      </c>
      <c r="AC377" s="127">
        <f>VLOOKUP(C377,'Talente &amp; Stuff'!DO:EP,27,FALSE)</f>
        <v>0</v>
      </c>
      <c r="AD377" s="125">
        <f>VLOOKUP(C377,'Talente &amp; Stuff'!DO:EP,28,FALSE)</f>
        <v>0</v>
      </c>
      <c r="AE377" s="28"/>
    </row>
    <row r="378" spans="2:31" ht="15" hidden="1" customHeight="1" outlineLevel="2">
      <c r="B378" s="148">
        <v>3</v>
      </c>
      <c r="C378" s="177" t="str">
        <f>Attribute!C378</f>
        <v>---</v>
      </c>
      <c r="D378" s="86" t="str">
        <f>VLOOKUP(C378,'Talente &amp; Stuff'!DO:EP,2,FALSE)</f>
        <v>--/--/--</v>
      </c>
      <c r="E378" s="125" t="str">
        <f>VLOOKUP(C378,'Talente &amp; Stuff'!DO:EP,3,FALSE)</f>
        <v>-</v>
      </c>
      <c r="F378" s="113">
        <f>VLOOKUP(C378,'Talente &amp; Stuff'!DO:EP,4,FALSE)</f>
        <v>0</v>
      </c>
      <c r="G378" s="113">
        <f>VLOOKUP(C378,'Talente &amp; Stuff'!DO:EP,5,FALSE)</f>
        <v>0</v>
      </c>
      <c r="H378" s="113">
        <f>VLOOKUP(C378,'Talente &amp; Stuff'!DO:EP,6,FALSE)</f>
        <v>0</v>
      </c>
      <c r="I378" s="113">
        <f>VLOOKUP(C378,'Talente &amp; Stuff'!DO:EP,7,FALSE)</f>
        <v>0</v>
      </c>
      <c r="J378" s="113">
        <f>VLOOKUP(C378,'Talente &amp; Stuff'!DO:EP,8,FALSE)</f>
        <v>0</v>
      </c>
      <c r="K378" s="113">
        <f>VLOOKUP(C378,'Talente &amp; Stuff'!DO:EP,9,FALSE)</f>
        <v>0</v>
      </c>
      <c r="L378" s="113">
        <f>VLOOKUP(C378,'Talente &amp; Stuff'!DO:EP,10,FALSE)</f>
        <v>0</v>
      </c>
      <c r="M378" s="113">
        <f>VLOOKUP(C378,'Talente &amp; Stuff'!DO:EP,11,FALSE)</f>
        <v>0</v>
      </c>
      <c r="N378" s="89">
        <f>VLOOKUP(C378,'Talente &amp; Stuff'!DO:EP,12,FALSE)</f>
        <v>0</v>
      </c>
      <c r="O378" s="47">
        <f>VLOOKUP(C378,'Talente &amp; Stuff'!DO:EP,13,FALSE)</f>
        <v>0</v>
      </c>
      <c r="P378" s="119">
        <f>VLOOKUP(C378,'Talente &amp; Stuff'!DO:EP,14,FALSE)</f>
        <v>0</v>
      </c>
      <c r="Q378" s="113">
        <f>VLOOKUP(C378,'Talente &amp; Stuff'!DO:EP,15,FALSE)</f>
        <v>0</v>
      </c>
      <c r="R378" s="113">
        <f>VLOOKUP(C378,'Talente &amp; Stuff'!DO:EP,16,FALSE)</f>
        <v>0</v>
      </c>
      <c r="S378" s="113">
        <f>VLOOKUP(C378,'Talente &amp; Stuff'!DO:EP,17,FALSE)</f>
        <v>0</v>
      </c>
      <c r="T378" s="160">
        <f>VLOOKUP(C378,'Talente &amp; Stuff'!DO:EP,18,FALSE)</f>
        <v>0</v>
      </c>
      <c r="U378" s="47">
        <f>VLOOKUP(C378,'Talente &amp; Stuff'!DO:EP,19,FALSE)</f>
        <v>0</v>
      </c>
      <c r="V378" s="47">
        <f>VLOOKUP(C378,'Talente &amp; Stuff'!DO:EP,20,FALSE)</f>
        <v>0</v>
      </c>
      <c r="W378" s="47">
        <f>VLOOKUP(C378,'Talente &amp; Stuff'!DO:EP,21,FALSE)</f>
        <v>0</v>
      </c>
      <c r="X378" s="125">
        <f>VLOOKUP(C378,'Talente &amp; Stuff'!DO:EP,22,FALSE)</f>
        <v>0</v>
      </c>
      <c r="Y378" s="165">
        <f t="shared" si="28"/>
        <v>0</v>
      </c>
      <c r="Z378" s="44">
        <f t="shared" si="29"/>
        <v>0</v>
      </c>
      <c r="AA378" s="125">
        <f>VLOOKUP(C378,'Talente &amp; Stuff'!DO:EP,25,FALSE)</f>
        <v>0</v>
      </c>
      <c r="AB378" s="160">
        <f>VLOOKUP(C378,'Talente &amp; Stuff'!DO:EP,26,FALSE)</f>
        <v>0</v>
      </c>
      <c r="AC378" s="127">
        <f>VLOOKUP(C378,'Talente &amp; Stuff'!DO:EP,27,FALSE)</f>
        <v>0</v>
      </c>
      <c r="AD378" s="125">
        <f>VLOOKUP(C378,'Talente &amp; Stuff'!DO:EP,28,FALSE)</f>
        <v>0</v>
      </c>
      <c r="AE378" s="28"/>
    </row>
    <row r="379" spans="2:31" ht="15" hidden="1" customHeight="1" outlineLevel="2">
      <c r="B379" s="148">
        <v>4</v>
      </c>
      <c r="C379" s="177" t="str">
        <f>Attribute!C379</f>
        <v>---</v>
      </c>
      <c r="D379" s="86" t="str">
        <f>VLOOKUP(C379,'Talente &amp; Stuff'!DO:EP,2,FALSE)</f>
        <v>--/--/--</v>
      </c>
      <c r="E379" s="125" t="str">
        <f>VLOOKUP(C379,'Talente &amp; Stuff'!DO:EP,3,FALSE)</f>
        <v>-</v>
      </c>
      <c r="F379" s="113">
        <f>VLOOKUP(C379,'Talente &amp; Stuff'!DO:EP,4,FALSE)</f>
        <v>0</v>
      </c>
      <c r="G379" s="113">
        <f>VLOOKUP(C379,'Talente &amp; Stuff'!DO:EP,5,FALSE)</f>
        <v>0</v>
      </c>
      <c r="H379" s="113">
        <f>VLOOKUP(C379,'Talente &amp; Stuff'!DO:EP,6,FALSE)</f>
        <v>0</v>
      </c>
      <c r="I379" s="113">
        <f>VLOOKUP(C379,'Talente &amp; Stuff'!DO:EP,7,FALSE)</f>
        <v>0</v>
      </c>
      <c r="J379" s="113">
        <f>VLOOKUP(C379,'Talente &amp; Stuff'!DO:EP,8,FALSE)</f>
        <v>0</v>
      </c>
      <c r="K379" s="113">
        <f>VLOOKUP(C379,'Talente &amp; Stuff'!DO:EP,9,FALSE)</f>
        <v>0</v>
      </c>
      <c r="L379" s="113">
        <f>VLOOKUP(C379,'Talente &amp; Stuff'!DO:EP,10,FALSE)</f>
        <v>0</v>
      </c>
      <c r="M379" s="113">
        <f>VLOOKUP(C379,'Talente &amp; Stuff'!DO:EP,11,FALSE)</f>
        <v>0</v>
      </c>
      <c r="N379" s="89">
        <f>VLOOKUP(C379,'Talente &amp; Stuff'!DO:EP,12,FALSE)</f>
        <v>0</v>
      </c>
      <c r="O379" s="47">
        <f>VLOOKUP(C379,'Talente &amp; Stuff'!DO:EP,13,FALSE)</f>
        <v>0</v>
      </c>
      <c r="P379" s="119">
        <f>VLOOKUP(C379,'Talente &amp; Stuff'!DO:EP,14,FALSE)</f>
        <v>0</v>
      </c>
      <c r="Q379" s="113">
        <f>VLOOKUP(C379,'Talente &amp; Stuff'!DO:EP,15,FALSE)</f>
        <v>0</v>
      </c>
      <c r="R379" s="113">
        <f>VLOOKUP(C379,'Talente &amp; Stuff'!DO:EP,16,FALSE)</f>
        <v>0</v>
      </c>
      <c r="S379" s="113">
        <f>VLOOKUP(C379,'Talente &amp; Stuff'!DO:EP,17,FALSE)</f>
        <v>0</v>
      </c>
      <c r="T379" s="160">
        <f>VLOOKUP(C379,'Talente &amp; Stuff'!DO:EP,18,FALSE)</f>
        <v>0</v>
      </c>
      <c r="U379" s="47">
        <f>VLOOKUP(C379,'Talente &amp; Stuff'!DO:EP,19,FALSE)</f>
        <v>0</v>
      </c>
      <c r="V379" s="47">
        <f>VLOOKUP(C379,'Talente &amp; Stuff'!DO:EP,20,FALSE)</f>
        <v>0</v>
      </c>
      <c r="W379" s="47">
        <f>VLOOKUP(C379,'Talente &amp; Stuff'!DO:EP,21,FALSE)</f>
        <v>0</v>
      </c>
      <c r="X379" s="125">
        <f>VLOOKUP(C379,'Talente &amp; Stuff'!DO:EP,22,FALSE)</f>
        <v>0</v>
      </c>
      <c r="Y379" s="165">
        <f t="shared" si="28"/>
        <v>0</v>
      </c>
      <c r="Z379" s="44">
        <f t="shared" si="29"/>
        <v>0</v>
      </c>
      <c r="AA379" s="125">
        <f>VLOOKUP(C379,'Talente &amp; Stuff'!DO:EP,25,FALSE)</f>
        <v>0</v>
      </c>
      <c r="AB379" s="160">
        <f>VLOOKUP(C379,'Talente &amp; Stuff'!DO:EP,26,FALSE)</f>
        <v>0</v>
      </c>
      <c r="AC379" s="127">
        <f>VLOOKUP(C379,'Talente &amp; Stuff'!DO:EP,27,FALSE)</f>
        <v>0</v>
      </c>
      <c r="AD379" s="125">
        <f>VLOOKUP(C379,'Talente &amp; Stuff'!DO:EP,28,FALSE)</f>
        <v>0</v>
      </c>
      <c r="AE379" s="28"/>
    </row>
    <row r="380" spans="2:31" ht="15" hidden="1" customHeight="1" outlineLevel="2">
      <c r="B380" s="148">
        <v>5</v>
      </c>
      <c r="C380" s="177" t="str">
        <f>Attribute!C380</f>
        <v>---</v>
      </c>
      <c r="D380" s="86" t="str">
        <f>VLOOKUP(C380,'Talente &amp; Stuff'!DO:EP,2,FALSE)</f>
        <v>--/--/--</v>
      </c>
      <c r="E380" s="125" t="str">
        <f>VLOOKUP(C380,'Talente &amp; Stuff'!DO:EP,3,FALSE)</f>
        <v>-</v>
      </c>
      <c r="F380" s="113">
        <f>VLOOKUP(C380,'Talente &amp; Stuff'!DO:EP,4,FALSE)</f>
        <v>0</v>
      </c>
      <c r="G380" s="113">
        <f>VLOOKUP(C380,'Talente &amp; Stuff'!DO:EP,5,FALSE)</f>
        <v>0</v>
      </c>
      <c r="H380" s="113">
        <f>VLOOKUP(C380,'Talente &amp; Stuff'!DO:EP,6,FALSE)</f>
        <v>0</v>
      </c>
      <c r="I380" s="113">
        <f>VLOOKUP(C380,'Talente &amp; Stuff'!DO:EP,7,FALSE)</f>
        <v>0</v>
      </c>
      <c r="J380" s="113">
        <f>VLOOKUP(C380,'Talente &amp; Stuff'!DO:EP,8,FALSE)</f>
        <v>0</v>
      </c>
      <c r="K380" s="113">
        <f>VLOOKUP(C380,'Talente &amp; Stuff'!DO:EP,9,FALSE)</f>
        <v>0</v>
      </c>
      <c r="L380" s="113">
        <f>VLOOKUP(C380,'Talente &amp; Stuff'!DO:EP,10,FALSE)</f>
        <v>0</v>
      </c>
      <c r="M380" s="113">
        <f>VLOOKUP(C380,'Talente &amp; Stuff'!DO:EP,11,FALSE)</f>
        <v>0</v>
      </c>
      <c r="N380" s="89">
        <f>VLOOKUP(C380,'Talente &amp; Stuff'!DO:EP,12,FALSE)</f>
        <v>0</v>
      </c>
      <c r="O380" s="47">
        <f>VLOOKUP(C380,'Talente &amp; Stuff'!DO:EP,13,FALSE)</f>
        <v>0</v>
      </c>
      <c r="P380" s="119">
        <f>VLOOKUP(C380,'Talente &amp; Stuff'!DO:EP,14,FALSE)</f>
        <v>0</v>
      </c>
      <c r="Q380" s="113">
        <f>VLOOKUP(C380,'Talente &amp; Stuff'!DO:EP,15,FALSE)</f>
        <v>0</v>
      </c>
      <c r="R380" s="113">
        <f>VLOOKUP(C380,'Talente &amp; Stuff'!DO:EP,16,FALSE)</f>
        <v>0</v>
      </c>
      <c r="S380" s="113">
        <f>VLOOKUP(C380,'Talente &amp; Stuff'!DO:EP,17,FALSE)</f>
        <v>0</v>
      </c>
      <c r="T380" s="160">
        <f>VLOOKUP(C380,'Talente &amp; Stuff'!DO:EP,18,FALSE)</f>
        <v>0</v>
      </c>
      <c r="U380" s="47">
        <f>VLOOKUP(C380,'Talente &amp; Stuff'!DO:EP,19,FALSE)</f>
        <v>0</v>
      </c>
      <c r="V380" s="47">
        <f>VLOOKUP(C380,'Talente &amp; Stuff'!DO:EP,20,FALSE)</f>
        <v>0</v>
      </c>
      <c r="W380" s="47">
        <f>VLOOKUP(C380,'Talente &amp; Stuff'!DO:EP,21,FALSE)</f>
        <v>0</v>
      </c>
      <c r="X380" s="125">
        <f>VLOOKUP(C380,'Talente &amp; Stuff'!DO:EP,22,FALSE)</f>
        <v>0</v>
      </c>
      <c r="Y380" s="165">
        <f t="shared" si="28"/>
        <v>0</v>
      </c>
      <c r="Z380" s="44">
        <f t="shared" si="29"/>
        <v>0</v>
      </c>
      <c r="AA380" s="125">
        <f>VLOOKUP(C380,'Talente &amp; Stuff'!DO:EP,25,FALSE)</f>
        <v>0</v>
      </c>
      <c r="AB380" s="160">
        <f>VLOOKUP(C380,'Talente &amp; Stuff'!DO:EP,26,FALSE)</f>
        <v>0</v>
      </c>
      <c r="AC380" s="127">
        <f>VLOOKUP(C380,'Talente &amp; Stuff'!DO:EP,27,FALSE)</f>
        <v>0</v>
      </c>
      <c r="AD380" s="125">
        <f>VLOOKUP(C380,'Talente &amp; Stuff'!DO:EP,28,FALSE)</f>
        <v>0</v>
      </c>
      <c r="AE380" s="28"/>
    </row>
    <row r="381" spans="2:31" ht="15" hidden="1" customHeight="1" outlineLevel="2">
      <c r="B381" s="148">
        <v>6</v>
      </c>
      <c r="C381" s="177" t="str">
        <f>Attribute!C381</f>
        <v>---</v>
      </c>
      <c r="D381" s="86" t="str">
        <f>VLOOKUP(C381,'Talente &amp; Stuff'!DO:EP,2,FALSE)</f>
        <v>--/--/--</v>
      </c>
      <c r="E381" s="125" t="str">
        <f>VLOOKUP(C381,'Talente &amp; Stuff'!DO:EP,3,FALSE)</f>
        <v>-</v>
      </c>
      <c r="F381" s="113">
        <f>VLOOKUP(C381,'Talente &amp; Stuff'!DO:EP,4,FALSE)</f>
        <v>0</v>
      </c>
      <c r="G381" s="113">
        <f>VLOOKUP(C381,'Talente &amp; Stuff'!DO:EP,5,FALSE)</f>
        <v>0</v>
      </c>
      <c r="H381" s="113">
        <f>VLOOKUP(C381,'Talente &amp; Stuff'!DO:EP,6,FALSE)</f>
        <v>0</v>
      </c>
      <c r="I381" s="113">
        <f>VLOOKUP(C381,'Talente &amp; Stuff'!DO:EP,7,FALSE)</f>
        <v>0</v>
      </c>
      <c r="J381" s="113">
        <f>VLOOKUP(C381,'Talente &amp; Stuff'!DO:EP,8,FALSE)</f>
        <v>0</v>
      </c>
      <c r="K381" s="113">
        <f>VLOOKUP(C381,'Talente &amp; Stuff'!DO:EP,9,FALSE)</f>
        <v>0</v>
      </c>
      <c r="L381" s="113">
        <f>VLOOKUP(C381,'Talente &amp; Stuff'!DO:EP,10,FALSE)</f>
        <v>0</v>
      </c>
      <c r="M381" s="113">
        <f>VLOOKUP(C381,'Talente &amp; Stuff'!DO:EP,11,FALSE)</f>
        <v>0</v>
      </c>
      <c r="N381" s="89">
        <f>VLOOKUP(C381,'Talente &amp; Stuff'!DO:EP,12,FALSE)</f>
        <v>0</v>
      </c>
      <c r="O381" s="47">
        <f>VLOOKUP(C381,'Talente &amp; Stuff'!DO:EP,13,FALSE)</f>
        <v>0</v>
      </c>
      <c r="P381" s="119">
        <f>VLOOKUP(C381,'Talente &amp; Stuff'!DO:EP,14,FALSE)</f>
        <v>0</v>
      </c>
      <c r="Q381" s="113">
        <f>VLOOKUP(C381,'Talente &amp; Stuff'!DO:EP,15,FALSE)</f>
        <v>0</v>
      </c>
      <c r="R381" s="113">
        <f>VLOOKUP(C381,'Talente &amp; Stuff'!DO:EP,16,FALSE)</f>
        <v>0</v>
      </c>
      <c r="S381" s="113">
        <f>VLOOKUP(C381,'Talente &amp; Stuff'!DO:EP,17,FALSE)</f>
        <v>0</v>
      </c>
      <c r="T381" s="160">
        <f>VLOOKUP(C381,'Talente &amp; Stuff'!DO:EP,18,FALSE)</f>
        <v>0</v>
      </c>
      <c r="U381" s="47">
        <f>VLOOKUP(C381,'Talente &amp; Stuff'!DO:EP,19,FALSE)</f>
        <v>0</v>
      </c>
      <c r="V381" s="47">
        <f>VLOOKUP(C381,'Talente &amp; Stuff'!DO:EP,20,FALSE)</f>
        <v>0</v>
      </c>
      <c r="W381" s="47">
        <f>VLOOKUP(C381,'Talente &amp; Stuff'!DO:EP,21,FALSE)</f>
        <v>0</v>
      </c>
      <c r="X381" s="125">
        <f>VLOOKUP(C381,'Talente &amp; Stuff'!DO:EP,22,FALSE)</f>
        <v>0</v>
      </c>
      <c r="Y381" s="165">
        <f t="shared" si="28"/>
        <v>0</v>
      </c>
      <c r="Z381" s="44">
        <f t="shared" si="29"/>
        <v>0</v>
      </c>
      <c r="AA381" s="125">
        <f>VLOOKUP(C381,'Talente &amp; Stuff'!DO:EP,25,FALSE)</f>
        <v>0</v>
      </c>
      <c r="AB381" s="160">
        <f>VLOOKUP(C381,'Talente &amp; Stuff'!DO:EP,26,FALSE)</f>
        <v>0</v>
      </c>
      <c r="AC381" s="127">
        <f>VLOOKUP(C381,'Talente &amp; Stuff'!DO:EP,27,FALSE)</f>
        <v>0</v>
      </c>
      <c r="AD381" s="125">
        <f>VLOOKUP(C381,'Talente &amp; Stuff'!DO:EP,28,FALSE)</f>
        <v>0</v>
      </c>
      <c r="AE381" s="28"/>
    </row>
    <row r="382" spans="2:31" ht="15" hidden="1" customHeight="1" outlineLevel="2">
      <c r="B382" s="148">
        <v>7</v>
      </c>
      <c r="C382" s="177" t="str">
        <f>Attribute!C382</f>
        <v>---</v>
      </c>
      <c r="D382" s="86" t="str">
        <f>VLOOKUP(C382,'Talente &amp; Stuff'!DO:EP,2,FALSE)</f>
        <v>--/--/--</v>
      </c>
      <c r="E382" s="125" t="str">
        <f>VLOOKUP(C382,'Talente &amp; Stuff'!DO:EP,3,FALSE)</f>
        <v>-</v>
      </c>
      <c r="F382" s="113">
        <f>VLOOKUP(C382,'Talente &amp; Stuff'!DO:EP,4,FALSE)</f>
        <v>0</v>
      </c>
      <c r="G382" s="113">
        <f>VLOOKUP(C382,'Talente &amp; Stuff'!DO:EP,5,FALSE)</f>
        <v>0</v>
      </c>
      <c r="H382" s="113">
        <f>VLOOKUP(C382,'Talente &amp; Stuff'!DO:EP,6,FALSE)</f>
        <v>0</v>
      </c>
      <c r="I382" s="113">
        <f>VLOOKUP(C382,'Talente &amp; Stuff'!DO:EP,7,FALSE)</f>
        <v>0</v>
      </c>
      <c r="J382" s="113">
        <f>VLOOKUP(C382,'Talente &amp; Stuff'!DO:EP,8,FALSE)</f>
        <v>0</v>
      </c>
      <c r="K382" s="113">
        <f>VLOOKUP(C382,'Talente &amp; Stuff'!DO:EP,9,FALSE)</f>
        <v>0</v>
      </c>
      <c r="L382" s="113">
        <f>VLOOKUP(C382,'Talente &amp; Stuff'!DO:EP,10,FALSE)</f>
        <v>0</v>
      </c>
      <c r="M382" s="113">
        <f>VLOOKUP(C382,'Talente &amp; Stuff'!DO:EP,11,FALSE)</f>
        <v>0</v>
      </c>
      <c r="N382" s="89">
        <f>VLOOKUP(C382,'Talente &amp; Stuff'!DO:EP,12,FALSE)</f>
        <v>0</v>
      </c>
      <c r="O382" s="47">
        <f>VLOOKUP(C382,'Talente &amp; Stuff'!DO:EP,13,FALSE)</f>
        <v>0</v>
      </c>
      <c r="P382" s="119">
        <f>VLOOKUP(C382,'Talente &amp; Stuff'!DO:EP,14,FALSE)</f>
        <v>0</v>
      </c>
      <c r="Q382" s="113">
        <f>VLOOKUP(C382,'Talente &amp; Stuff'!DO:EP,15,FALSE)</f>
        <v>0</v>
      </c>
      <c r="R382" s="113">
        <f>VLOOKUP(C382,'Talente &amp; Stuff'!DO:EP,16,FALSE)</f>
        <v>0</v>
      </c>
      <c r="S382" s="113">
        <f>VLOOKUP(C382,'Talente &amp; Stuff'!DO:EP,17,FALSE)</f>
        <v>0</v>
      </c>
      <c r="T382" s="160">
        <f>VLOOKUP(C382,'Talente &amp; Stuff'!DO:EP,18,FALSE)</f>
        <v>0</v>
      </c>
      <c r="U382" s="47">
        <f>VLOOKUP(C382,'Talente &amp; Stuff'!DO:EP,19,FALSE)</f>
        <v>0</v>
      </c>
      <c r="V382" s="47">
        <f>VLOOKUP(C382,'Talente &amp; Stuff'!DO:EP,20,FALSE)</f>
        <v>0</v>
      </c>
      <c r="W382" s="47">
        <f>VLOOKUP(C382,'Talente &amp; Stuff'!DO:EP,21,FALSE)</f>
        <v>0</v>
      </c>
      <c r="X382" s="125">
        <f>VLOOKUP(C382,'Talente &amp; Stuff'!DO:EP,22,FALSE)</f>
        <v>0</v>
      </c>
      <c r="Y382" s="165">
        <f t="shared" si="28"/>
        <v>0</v>
      </c>
      <c r="Z382" s="44">
        <f t="shared" si="29"/>
        <v>0</v>
      </c>
      <c r="AA382" s="125">
        <f>VLOOKUP(C382,'Talente &amp; Stuff'!DO:EP,25,FALSE)</f>
        <v>0</v>
      </c>
      <c r="AB382" s="160">
        <f>VLOOKUP(C382,'Talente &amp; Stuff'!DO:EP,26,FALSE)</f>
        <v>0</v>
      </c>
      <c r="AC382" s="127">
        <f>VLOOKUP(C382,'Talente &amp; Stuff'!DO:EP,27,FALSE)</f>
        <v>0</v>
      </c>
      <c r="AD382" s="125">
        <f>VLOOKUP(C382,'Talente &amp; Stuff'!DO:EP,28,FALSE)</f>
        <v>0</v>
      </c>
      <c r="AE382" s="28"/>
    </row>
    <row r="383" spans="2:31" ht="15" hidden="1" customHeight="1" outlineLevel="2">
      <c r="B383" s="148">
        <v>8</v>
      </c>
      <c r="C383" s="177" t="str">
        <f>Attribute!C383</f>
        <v>---</v>
      </c>
      <c r="D383" s="86" t="str">
        <f>VLOOKUP(C383,'Talente &amp; Stuff'!DO:EP,2,FALSE)</f>
        <v>--/--/--</v>
      </c>
      <c r="E383" s="125" t="str">
        <f>VLOOKUP(C383,'Talente &amp; Stuff'!DO:EP,3,FALSE)</f>
        <v>-</v>
      </c>
      <c r="F383" s="113">
        <f>VLOOKUP(C383,'Talente &amp; Stuff'!DO:EP,4,FALSE)</f>
        <v>0</v>
      </c>
      <c r="G383" s="113">
        <f>VLOOKUP(C383,'Talente &amp; Stuff'!DO:EP,5,FALSE)</f>
        <v>0</v>
      </c>
      <c r="H383" s="113">
        <f>VLOOKUP(C383,'Talente &amp; Stuff'!DO:EP,6,FALSE)</f>
        <v>0</v>
      </c>
      <c r="I383" s="113">
        <f>VLOOKUP(C383,'Talente &amp; Stuff'!DO:EP,7,FALSE)</f>
        <v>0</v>
      </c>
      <c r="J383" s="113">
        <f>VLOOKUP(C383,'Talente &amp; Stuff'!DO:EP,8,FALSE)</f>
        <v>0</v>
      </c>
      <c r="K383" s="113">
        <f>VLOOKUP(C383,'Talente &amp; Stuff'!DO:EP,9,FALSE)</f>
        <v>0</v>
      </c>
      <c r="L383" s="113">
        <f>VLOOKUP(C383,'Talente &amp; Stuff'!DO:EP,10,FALSE)</f>
        <v>0</v>
      </c>
      <c r="M383" s="113">
        <f>VLOOKUP(C383,'Talente &amp; Stuff'!DO:EP,11,FALSE)</f>
        <v>0</v>
      </c>
      <c r="N383" s="89">
        <f>VLOOKUP(C383,'Talente &amp; Stuff'!DO:EP,12,FALSE)</f>
        <v>0</v>
      </c>
      <c r="O383" s="47">
        <f>VLOOKUP(C383,'Talente &amp; Stuff'!DO:EP,13,FALSE)</f>
        <v>0</v>
      </c>
      <c r="P383" s="119">
        <f>VLOOKUP(C383,'Talente &amp; Stuff'!DO:EP,14,FALSE)</f>
        <v>0</v>
      </c>
      <c r="Q383" s="113">
        <f>VLOOKUP(C383,'Talente &amp; Stuff'!DO:EP,15,FALSE)</f>
        <v>0</v>
      </c>
      <c r="R383" s="113">
        <f>VLOOKUP(C383,'Talente &amp; Stuff'!DO:EP,16,FALSE)</f>
        <v>0</v>
      </c>
      <c r="S383" s="113">
        <f>VLOOKUP(C383,'Talente &amp; Stuff'!DO:EP,17,FALSE)</f>
        <v>0</v>
      </c>
      <c r="T383" s="160">
        <f>VLOOKUP(C383,'Talente &amp; Stuff'!DO:EP,18,FALSE)</f>
        <v>0</v>
      </c>
      <c r="U383" s="47">
        <f>VLOOKUP(C383,'Talente &amp; Stuff'!DO:EP,19,FALSE)</f>
        <v>0</v>
      </c>
      <c r="V383" s="47">
        <f>VLOOKUP(C383,'Talente &amp; Stuff'!DO:EP,20,FALSE)</f>
        <v>0</v>
      </c>
      <c r="W383" s="47">
        <f>VLOOKUP(C383,'Talente &amp; Stuff'!DO:EP,21,FALSE)</f>
        <v>0</v>
      </c>
      <c r="X383" s="125">
        <f>VLOOKUP(C383,'Talente &amp; Stuff'!DO:EP,22,FALSE)</f>
        <v>0</v>
      </c>
      <c r="Y383" s="165">
        <f t="shared" si="28"/>
        <v>0</v>
      </c>
      <c r="Z383" s="44">
        <f t="shared" si="29"/>
        <v>0</v>
      </c>
      <c r="AA383" s="125">
        <f>VLOOKUP(C383,'Talente &amp; Stuff'!DO:EP,25,FALSE)</f>
        <v>0</v>
      </c>
      <c r="AB383" s="160">
        <f>VLOOKUP(C383,'Talente &amp; Stuff'!DO:EP,26,FALSE)</f>
        <v>0</v>
      </c>
      <c r="AC383" s="127">
        <f>VLOOKUP(C383,'Talente &amp; Stuff'!DO:EP,27,FALSE)</f>
        <v>0</v>
      </c>
      <c r="AD383" s="125">
        <f>VLOOKUP(C383,'Talente &amp; Stuff'!DO:EP,28,FALSE)</f>
        <v>0</v>
      </c>
      <c r="AE383" s="28"/>
    </row>
    <row r="384" spans="2:31" ht="15" hidden="1" customHeight="1" outlineLevel="2">
      <c r="B384" s="148">
        <v>9</v>
      </c>
      <c r="C384" s="177" t="str">
        <f>Attribute!C384</f>
        <v>---</v>
      </c>
      <c r="D384" s="86" t="str">
        <f>VLOOKUP(C384,'Talente &amp; Stuff'!DO:EP,2,FALSE)</f>
        <v>--/--/--</v>
      </c>
      <c r="E384" s="125" t="str">
        <f>VLOOKUP(C384,'Talente &amp; Stuff'!DO:EP,3,FALSE)</f>
        <v>-</v>
      </c>
      <c r="F384" s="113">
        <f>VLOOKUP(C384,'Talente &amp; Stuff'!DO:EP,4,FALSE)</f>
        <v>0</v>
      </c>
      <c r="G384" s="113">
        <f>VLOOKUP(C384,'Talente &amp; Stuff'!DO:EP,5,FALSE)</f>
        <v>0</v>
      </c>
      <c r="H384" s="113">
        <f>VLOOKUP(C384,'Talente &amp; Stuff'!DO:EP,6,FALSE)</f>
        <v>0</v>
      </c>
      <c r="I384" s="113">
        <f>VLOOKUP(C384,'Talente &amp; Stuff'!DO:EP,7,FALSE)</f>
        <v>0</v>
      </c>
      <c r="J384" s="113">
        <f>VLOOKUP(C384,'Talente &amp; Stuff'!DO:EP,8,FALSE)</f>
        <v>0</v>
      </c>
      <c r="K384" s="113">
        <f>VLOOKUP(C384,'Talente &amp; Stuff'!DO:EP,9,FALSE)</f>
        <v>0</v>
      </c>
      <c r="L384" s="113">
        <f>VLOOKUP(C384,'Talente &amp; Stuff'!DO:EP,10,FALSE)</f>
        <v>0</v>
      </c>
      <c r="M384" s="113">
        <f>VLOOKUP(C384,'Talente &amp; Stuff'!DO:EP,11,FALSE)</f>
        <v>0</v>
      </c>
      <c r="N384" s="89">
        <f>VLOOKUP(C384,'Talente &amp; Stuff'!DO:EP,12,FALSE)</f>
        <v>0</v>
      </c>
      <c r="O384" s="47">
        <f>VLOOKUP(C384,'Talente &amp; Stuff'!DO:EP,13,FALSE)</f>
        <v>0</v>
      </c>
      <c r="P384" s="119">
        <f>VLOOKUP(C384,'Talente &amp; Stuff'!DO:EP,14,FALSE)</f>
        <v>0</v>
      </c>
      <c r="Q384" s="113">
        <f>VLOOKUP(C384,'Talente &amp; Stuff'!DO:EP,15,FALSE)</f>
        <v>0</v>
      </c>
      <c r="R384" s="113">
        <f>VLOOKUP(C384,'Talente &amp; Stuff'!DO:EP,16,FALSE)</f>
        <v>0</v>
      </c>
      <c r="S384" s="113">
        <f>VLOOKUP(C384,'Talente &amp; Stuff'!DO:EP,17,FALSE)</f>
        <v>0</v>
      </c>
      <c r="T384" s="160">
        <f>VLOOKUP(C384,'Talente &amp; Stuff'!DO:EP,18,FALSE)</f>
        <v>0</v>
      </c>
      <c r="U384" s="47">
        <f>VLOOKUP(C384,'Talente &amp; Stuff'!DO:EP,19,FALSE)</f>
        <v>0</v>
      </c>
      <c r="V384" s="47">
        <f>VLOOKUP(C384,'Talente &amp; Stuff'!DO:EP,20,FALSE)</f>
        <v>0</v>
      </c>
      <c r="W384" s="47">
        <f>VLOOKUP(C384,'Talente &amp; Stuff'!DO:EP,21,FALSE)</f>
        <v>0</v>
      </c>
      <c r="X384" s="125">
        <f>VLOOKUP(C384,'Talente &amp; Stuff'!DO:EP,22,FALSE)</f>
        <v>0</v>
      </c>
      <c r="Y384" s="165">
        <f t="shared" si="28"/>
        <v>0</v>
      </c>
      <c r="Z384" s="44">
        <f t="shared" si="29"/>
        <v>0</v>
      </c>
      <c r="AA384" s="125">
        <f>VLOOKUP(C384,'Talente &amp; Stuff'!DO:EP,25,FALSE)</f>
        <v>0</v>
      </c>
      <c r="AB384" s="160">
        <f>VLOOKUP(C384,'Talente &amp; Stuff'!DO:EP,26,FALSE)</f>
        <v>0</v>
      </c>
      <c r="AC384" s="127">
        <f>VLOOKUP(C384,'Talente &amp; Stuff'!DO:EP,27,FALSE)</f>
        <v>0</v>
      </c>
      <c r="AD384" s="125">
        <f>VLOOKUP(C384,'Talente &amp; Stuff'!DO:EP,28,FALSE)</f>
        <v>0</v>
      </c>
      <c r="AE384" s="28"/>
    </row>
    <row r="385" spans="1:31" ht="15" hidden="1" customHeight="1" outlineLevel="2">
      <c r="B385" s="148">
        <v>10</v>
      </c>
      <c r="C385" s="177" t="str">
        <f>Attribute!C385</f>
        <v>---</v>
      </c>
      <c r="D385" s="86" t="str">
        <f>VLOOKUP(C385,'Talente &amp; Stuff'!DO:EP,2,FALSE)</f>
        <v>--/--/--</v>
      </c>
      <c r="E385" s="125" t="str">
        <f>VLOOKUP(C385,'Talente &amp; Stuff'!DO:EP,3,FALSE)</f>
        <v>-</v>
      </c>
      <c r="F385" s="113">
        <f>VLOOKUP(C385,'Talente &amp; Stuff'!DO:EP,4,FALSE)</f>
        <v>0</v>
      </c>
      <c r="G385" s="113">
        <f>VLOOKUP(C385,'Talente &amp; Stuff'!DO:EP,5,FALSE)</f>
        <v>0</v>
      </c>
      <c r="H385" s="113">
        <f>VLOOKUP(C385,'Talente &amp; Stuff'!DO:EP,6,FALSE)</f>
        <v>0</v>
      </c>
      <c r="I385" s="113">
        <f>VLOOKUP(C385,'Talente &amp; Stuff'!DO:EP,7,FALSE)</f>
        <v>0</v>
      </c>
      <c r="J385" s="113">
        <f>VLOOKUP(C385,'Talente &amp; Stuff'!DO:EP,8,FALSE)</f>
        <v>0</v>
      </c>
      <c r="K385" s="113">
        <f>VLOOKUP(C385,'Talente &amp; Stuff'!DO:EP,9,FALSE)</f>
        <v>0</v>
      </c>
      <c r="L385" s="113">
        <f>VLOOKUP(C385,'Talente &amp; Stuff'!DO:EP,10,FALSE)</f>
        <v>0</v>
      </c>
      <c r="M385" s="113">
        <f>VLOOKUP(C385,'Talente &amp; Stuff'!DO:EP,11,FALSE)</f>
        <v>0</v>
      </c>
      <c r="N385" s="89">
        <f>VLOOKUP(C385,'Talente &amp; Stuff'!DO:EP,12,FALSE)</f>
        <v>0</v>
      </c>
      <c r="O385" s="47">
        <f>VLOOKUP(C385,'Talente &amp; Stuff'!DO:EP,13,FALSE)</f>
        <v>0</v>
      </c>
      <c r="P385" s="119">
        <f>VLOOKUP(C385,'Talente &amp; Stuff'!DO:EP,14,FALSE)</f>
        <v>0</v>
      </c>
      <c r="Q385" s="113">
        <f>VLOOKUP(C385,'Talente &amp; Stuff'!DO:EP,15,FALSE)</f>
        <v>0</v>
      </c>
      <c r="R385" s="113">
        <f>VLOOKUP(C385,'Talente &amp; Stuff'!DO:EP,16,FALSE)</f>
        <v>0</v>
      </c>
      <c r="S385" s="113">
        <f>VLOOKUP(C385,'Talente &amp; Stuff'!DO:EP,17,FALSE)</f>
        <v>0</v>
      </c>
      <c r="T385" s="160">
        <f>VLOOKUP(C385,'Talente &amp; Stuff'!DO:EP,18,FALSE)</f>
        <v>0</v>
      </c>
      <c r="U385" s="47">
        <f>VLOOKUP(C385,'Talente &amp; Stuff'!DO:EP,19,FALSE)</f>
        <v>0</v>
      </c>
      <c r="V385" s="47">
        <f>VLOOKUP(C385,'Talente &amp; Stuff'!DO:EP,20,FALSE)</f>
        <v>0</v>
      </c>
      <c r="W385" s="47">
        <f>VLOOKUP(C385,'Talente &amp; Stuff'!DO:EP,21,FALSE)</f>
        <v>0</v>
      </c>
      <c r="X385" s="125">
        <f>VLOOKUP(C385,'Talente &amp; Stuff'!DO:EP,22,FALSE)</f>
        <v>0</v>
      </c>
      <c r="Y385" s="165">
        <f t="shared" si="28"/>
        <v>0</v>
      </c>
      <c r="Z385" s="44">
        <f t="shared" si="29"/>
        <v>0</v>
      </c>
      <c r="AA385" s="125">
        <f>VLOOKUP(C385,'Talente &amp; Stuff'!DO:EP,25,FALSE)</f>
        <v>0</v>
      </c>
      <c r="AB385" s="160">
        <f>VLOOKUP(C385,'Talente &amp; Stuff'!DO:EP,26,FALSE)</f>
        <v>0</v>
      </c>
      <c r="AC385" s="127">
        <f>VLOOKUP(C385,'Talente &amp; Stuff'!DO:EP,27,FALSE)</f>
        <v>0</v>
      </c>
      <c r="AD385" s="125">
        <f>VLOOKUP(C385,'Talente &amp; Stuff'!DO:EP,28,FALSE)</f>
        <v>0</v>
      </c>
      <c r="AE385" s="28"/>
    </row>
    <row r="386" spans="1:31" ht="15" hidden="1" customHeight="1" outlineLevel="2">
      <c r="B386" s="148">
        <v>11</v>
      </c>
      <c r="C386" s="177" t="str">
        <f>Attribute!C386</f>
        <v>---</v>
      </c>
      <c r="D386" s="87" t="str">
        <f>VLOOKUP(C386,'Talente &amp; Stuff'!DO:EP,2,FALSE)</f>
        <v>--/--/--</v>
      </c>
      <c r="E386" s="159" t="str">
        <f>VLOOKUP(C386,'Talente &amp; Stuff'!DO:EP,3,FALSE)</f>
        <v>-</v>
      </c>
      <c r="F386" s="122">
        <f>VLOOKUP(C386,'Talente &amp; Stuff'!DO:EP,4,FALSE)</f>
        <v>0</v>
      </c>
      <c r="G386" s="122">
        <f>VLOOKUP(C386,'Talente &amp; Stuff'!DO:EP,5,FALSE)</f>
        <v>0</v>
      </c>
      <c r="H386" s="122">
        <f>VLOOKUP(C386,'Talente &amp; Stuff'!DO:EP,6,FALSE)</f>
        <v>0</v>
      </c>
      <c r="I386" s="122">
        <f>VLOOKUP(C386,'Talente &amp; Stuff'!DO:EP,7,FALSE)</f>
        <v>0</v>
      </c>
      <c r="J386" s="122">
        <f>VLOOKUP(C386,'Talente &amp; Stuff'!DO:EP,8,FALSE)</f>
        <v>0</v>
      </c>
      <c r="K386" s="122">
        <f>VLOOKUP(C386,'Talente &amp; Stuff'!DO:EP,9,FALSE)</f>
        <v>0</v>
      </c>
      <c r="L386" s="122">
        <f>VLOOKUP(C386,'Talente &amp; Stuff'!DO:EP,10,FALSE)</f>
        <v>0</v>
      </c>
      <c r="M386" s="122">
        <f>VLOOKUP(C386,'Talente &amp; Stuff'!DO:EP,11,FALSE)</f>
        <v>0</v>
      </c>
      <c r="N386" s="90">
        <f>VLOOKUP(C386,'Talente &amp; Stuff'!DO:EP,12,FALSE)</f>
        <v>0</v>
      </c>
      <c r="O386" s="88">
        <f>VLOOKUP(C386,'Talente &amp; Stuff'!DO:EP,13,FALSE)</f>
        <v>0</v>
      </c>
      <c r="P386" s="123">
        <f>VLOOKUP(C386,'Talente &amp; Stuff'!DO:EP,14,FALSE)</f>
        <v>0</v>
      </c>
      <c r="Q386" s="122">
        <f>VLOOKUP(C386,'Talente &amp; Stuff'!DO:EP,15,FALSE)</f>
        <v>0</v>
      </c>
      <c r="R386" s="122">
        <f>VLOOKUP(C386,'Talente &amp; Stuff'!DO:EP,16,FALSE)</f>
        <v>0</v>
      </c>
      <c r="S386" s="122">
        <f>VLOOKUP(C386,'Talente &amp; Stuff'!DO:EP,17,FALSE)</f>
        <v>0</v>
      </c>
      <c r="T386" s="161">
        <f>VLOOKUP(C386,'Talente &amp; Stuff'!DO:EP,18,FALSE)</f>
        <v>0</v>
      </c>
      <c r="U386" s="88">
        <f>VLOOKUP(C386,'Talente &amp; Stuff'!DO:EP,19,FALSE)</f>
        <v>0</v>
      </c>
      <c r="V386" s="88">
        <f>VLOOKUP(C386,'Talente &amp; Stuff'!DO:EP,20,FALSE)</f>
        <v>0</v>
      </c>
      <c r="W386" s="88">
        <f>VLOOKUP(C386,'Talente &amp; Stuff'!DO:EP,21,FALSE)</f>
        <v>0</v>
      </c>
      <c r="X386" s="159">
        <f>VLOOKUP(C386,'Talente &amp; Stuff'!DO:EP,22,FALSE)</f>
        <v>0</v>
      </c>
      <c r="Y386" s="165">
        <f t="shared" si="28"/>
        <v>0</v>
      </c>
      <c r="Z386" s="44">
        <f t="shared" si="29"/>
        <v>0</v>
      </c>
      <c r="AA386" s="159">
        <f>VLOOKUP(C386,'Talente &amp; Stuff'!DO:EP,25,FALSE)</f>
        <v>0</v>
      </c>
      <c r="AB386" s="161">
        <f>VLOOKUP(C386,'Talente &amp; Stuff'!DO:EP,26,FALSE)</f>
        <v>0</v>
      </c>
      <c r="AC386" s="128">
        <f>VLOOKUP(C386,'Talente &amp; Stuff'!DO:EP,27,FALSE)</f>
        <v>0</v>
      </c>
      <c r="AD386" s="159">
        <f>VLOOKUP(C386,'Talente &amp; Stuff'!DO:EP,28,FALSE)</f>
        <v>0</v>
      </c>
      <c r="AE386" s="28"/>
    </row>
    <row r="387" spans="1:31" ht="15" hidden="1" customHeight="1" outlineLevel="1" collapsed="1">
      <c r="B387" s="134" t="s">
        <v>328</v>
      </c>
      <c r="C387" s="83"/>
      <c r="D387" s="84"/>
      <c r="E387" s="84"/>
    </row>
    <row r="388" spans="1:31" ht="15" hidden="1" customHeight="1" outlineLevel="2">
      <c r="B388" s="148">
        <v>1</v>
      </c>
      <c r="C388" s="176" t="str">
        <f>Attribute!C388</f>
        <v>---</v>
      </c>
      <c r="D388" s="85" t="str">
        <f>VLOOKUP(C388,'Talente &amp; Stuff'!DO:EP,2,FALSE)</f>
        <v>--/--/--</v>
      </c>
      <c r="E388" s="158" t="str">
        <f>VLOOKUP(C388,'Talente &amp; Stuff'!DO:EP,3,FALSE)</f>
        <v>-</v>
      </c>
      <c r="F388" s="118">
        <f>VLOOKUP(C388,'Talente &amp; Stuff'!DO:EP,4,FALSE)</f>
        <v>0</v>
      </c>
      <c r="G388" s="118">
        <f>VLOOKUP(C388,'Talente &amp; Stuff'!DO:EP,5,FALSE)</f>
        <v>0</v>
      </c>
      <c r="H388" s="118">
        <f>VLOOKUP(C388,'Talente &amp; Stuff'!DO:EP,6,FALSE)</f>
        <v>0</v>
      </c>
      <c r="I388" s="118">
        <f>VLOOKUP(C388,'Talente &amp; Stuff'!DO:EP,7,FALSE)</f>
        <v>0</v>
      </c>
      <c r="J388" s="118">
        <f>VLOOKUP(C388,'Talente &amp; Stuff'!DO:EP,8,FALSE)</f>
        <v>0</v>
      </c>
      <c r="K388" s="118">
        <f>VLOOKUP(C388,'Talente &amp; Stuff'!DO:EP,9,FALSE)</f>
        <v>0</v>
      </c>
      <c r="L388" s="118">
        <f>VLOOKUP(C388,'Talente &amp; Stuff'!DO:EP,10,FALSE)</f>
        <v>0</v>
      </c>
      <c r="M388" s="118">
        <f>VLOOKUP(C388,'Talente &amp; Stuff'!DO:EP,11,FALSE)</f>
        <v>0</v>
      </c>
      <c r="N388" s="193">
        <f>VLOOKUP(C388,'Talente &amp; Stuff'!DO:EP,12,FALSE)</f>
        <v>0</v>
      </c>
      <c r="O388" s="116">
        <f>VLOOKUP(C388,'Talente &amp; Stuff'!DO:EP,13,FALSE)</f>
        <v>0</v>
      </c>
      <c r="P388" s="92">
        <f>VLOOKUP(C388,'Talente &amp; Stuff'!DO:EP,14,FALSE)</f>
        <v>0</v>
      </c>
      <c r="Q388" s="118">
        <f>VLOOKUP(C388,'Talente &amp; Stuff'!DO:EP,15,FALSE)</f>
        <v>0</v>
      </c>
      <c r="R388" s="118">
        <f>VLOOKUP(C388,'Talente &amp; Stuff'!DO:EP,16,FALSE)</f>
        <v>0</v>
      </c>
      <c r="S388" s="118">
        <f>VLOOKUP(C388,'Talente &amp; Stuff'!DO:EP,17,FALSE)</f>
        <v>0</v>
      </c>
      <c r="T388" s="91">
        <f>VLOOKUP(C388,'Talente &amp; Stuff'!DO:EP,18,FALSE)</f>
        <v>0</v>
      </c>
      <c r="U388" s="116">
        <f>VLOOKUP(C388,'Talente &amp; Stuff'!DO:EP,19,FALSE)</f>
        <v>0</v>
      </c>
      <c r="V388" s="116">
        <f>VLOOKUP(C388,'Talente &amp; Stuff'!DO:EP,20,FALSE)</f>
        <v>0</v>
      </c>
      <c r="W388" s="116">
        <f>VLOOKUP(C388,'Talente &amp; Stuff'!DO:EP,21,FALSE)</f>
        <v>0</v>
      </c>
      <c r="X388" s="158">
        <f>VLOOKUP(C388,'Talente &amp; Stuff'!DO:EP,22,FALSE)</f>
        <v>0</v>
      </c>
      <c r="Y388" s="165">
        <f>VLOOKUP(C388,Ausgewählte_Rituale_Hexen,139,FALSE)</f>
        <v>0</v>
      </c>
      <c r="Z388" s="44">
        <f>VLOOKUP(C388,Ausgewählte_Rituale_Hexen,140,FALSE)</f>
        <v>0</v>
      </c>
      <c r="AA388" s="158">
        <f>VLOOKUP(C388,'Talente &amp; Stuff'!DO:EP,25,FALSE)</f>
        <v>0</v>
      </c>
      <c r="AB388" s="91">
        <f>VLOOKUP(C388,'Talente &amp; Stuff'!DO:EP,26,FALSE)</f>
        <v>0</v>
      </c>
      <c r="AC388" s="126">
        <f>VLOOKUP(C388,'Talente &amp; Stuff'!DO:EP,27,FALSE)</f>
        <v>0</v>
      </c>
      <c r="AD388" s="158">
        <f>VLOOKUP(C388,'Talente &amp; Stuff'!DO:EP,28,FALSE)</f>
        <v>0</v>
      </c>
      <c r="AE388" s="28"/>
    </row>
    <row r="389" spans="1:31" ht="15" hidden="1" customHeight="1" outlineLevel="2">
      <c r="B389" s="148">
        <v>2</v>
      </c>
      <c r="C389" s="178" t="str">
        <f>Attribute!C389</f>
        <v>---</v>
      </c>
      <c r="D389" s="87" t="str">
        <f>VLOOKUP(C389,'Talente &amp; Stuff'!DO:EP,2,FALSE)</f>
        <v>--/--/--</v>
      </c>
      <c r="E389" s="159" t="str">
        <f>VLOOKUP(C389,'Talente &amp; Stuff'!DO:EP,3,FALSE)</f>
        <v>-</v>
      </c>
      <c r="F389" s="122">
        <f>VLOOKUP(C389,'Talente &amp; Stuff'!DO:EP,4,FALSE)</f>
        <v>0</v>
      </c>
      <c r="G389" s="122">
        <f>VLOOKUP(C389,'Talente &amp; Stuff'!DO:EP,5,FALSE)</f>
        <v>0</v>
      </c>
      <c r="H389" s="122">
        <f>VLOOKUP(C389,'Talente &amp; Stuff'!DO:EP,6,FALSE)</f>
        <v>0</v>
      </c>
      <c r="I389" s="122">
        <f>VLOOKUP(C389,'Talente &amp; Stuff'!DO:EP,7,FALSE)</f>
        <v>0</v>
      </c>
      <c r="J389" s="122">
        <f>VLOOKUP(C389,'Talente &amp; Stuff'!DO:EP,8,FALSE)</f>
        <v>0</v>
      </c>
      <c r="K389" s="122">
        <f>VLOOKUP(C389,'Talente &amp; Stuff'!DO:EP,9,FALSE)</f>
        <v>0</v>
      </c>
      <c r="L389" s="122">
        <f>VLOOKUP(C389,'Talente &amp; Stuff'!DO:EP,10,FALSE)</f>
        <v>0</v>
      </c>
      <c r="M389" s="122">
        <f>VLOOKUP(C389,'Talente &amp; Stuff'!DO:EP,11,FALSE)</f>
        <v>0</v>
      </c>
      <c r="N389" s="90">
        <f>VLOOKUP(C389,'Talente &amp; Stuff'!DO:EP,12,FALSE)</f>
        <v>0</v>
      </c>
      <c r="O389" s="88">
        <f>VLOOKUP(C389,'Talente &amp; Stuff'!DO:EP,13,FALSE)</f>
        <v>0</v>
      </c>
      <c r="P389" s="123">
        <f>VLOOKUP(C389,'Talente &amp; Stuff'!DO:EP,14,FALSE)</f>
        <v>0</v>
      </c>
      <c r="Q389" s="122">
        <f>VLOOKUP(C389,'Talente &amp; Stuff'!DO:EP,15,FALSE)</f>
        <v>0</v>
      </c>
      <c r="R389" s="122">
        <f>VLOOKUP(C389,'Talente &amp; Stuff'!DO:EP,16,FALSE)</f>
        <v>0</v>
      </c>
      <c r="S389" s="122">
        <f>VLOOKUP(C389,'Talente &amp; Stuff'!DO:EP,17,FALSE)</f>
        <v>0</v>
      </c>
      <c r="T389" s="161">
        <f>VLOOKUP(C389,'Talente &amp; Stuff'!DO:EP,18,FALSE)</f>
        <v>0</v>
      </c>
      <c r="U389" s="88">
        <f>VLOOKUP(C389,'Talente &amp; Stuff'!DO:EP,19,FALSE)</f>
        <v>0</v>
      </c>
      <c r="V389" s="88">
        <f>VLOOKUP(C389,'Talente &amp; Stuff'!DO:EP,20,FALSE)</f>
        <v>0</v>
      </c>
      <c r="W389" s="88">
        <f>VLOOKUP(C389,'Talente &amp; Stuff'!DO:EP,21,FALSE)</f>
        <v>0</v>
      </c>
      <c r="X389" s="159">
        <f>VLOOKUP(C389,'Talente &amp; Stuff'!DO:EP,22,FALSE)</f>
        <v>0</v>
      </c>
      <c r="Y389" s="165">
        <f>VLOOKUP(C389,Ausgewählte_Rituale_Hexen,139,FALSE)</f>
        <v>0</v>
      </c>
      <c r="Z389" s="44">
        <f>VLOOKUP(C389,Ausgewählte_Rituale_Hexen,140,FALSE)</f>
        <v>0</v>
      </c>
      <c r="AA389" s="159">
        <f>VLOOKUP(C389,'Talente &amp; Stuff'!DO:EP,25,FALSE)</f>
        <v>0</v>
      </c>
      <c r="AB389" s="161">
        <f>VLOOKUP(C389,'Talente &amp; Stuff'!DO:EP,26,FALSE)</f>
        <v>0</v>
      </c>
      <c r="AC389" s="128">
        <f>VLOOKUP(C389,'Talente &amp; Stuff'!DO:EP,27,FALSE)</f>
        <v>0</v>
      </c>
      <c r="AD389" s="159">
        <f>VLOOKUP(C389,'Talente &amp; Stuff'!DO:EP,28,FALSE)</f>
        <v>0</v>
      </c>
      <c r="AE389" s="28"/>
    </row>
    <row r="390" spans="1:31" ht="15" hidden="1" customHeight="1" outlineLevel="1" collapsed="1">
      <c r="B390" s="134" t="s">
        <v>407</v>
      </c>
      <c r="C390" s="83"/>
      <c r="D390" s="84"/>
      <c r="E390" s="84"/>
    </row>
    <row r="391" spans="1:31" ht="15" hidden="1" customHeight="1" outlineLevel="2">
      <c r="B391" s="148">
        <v>1</v>
      </c>
      <c r="C391" s="176" t="str">
        <f>Attribute!C391</f>
        <v>---</v>
      </c>
      <c r="D391" s="186" t="str">
        <f>VLOOKUP(C391,'Talente &amp; Stuff'!DO:EP,2,FALSE)</f>
        <v>--/--/--</v>
      </c>
      <c r="E391" s="40" t="str">
        <f>VLOOKUP(C391,'Talente &amp; Stuff'!DO:EP,3,FALSE)</f>
        <v>-</v>
      </c>
      <c r="F391" s="183">
        <f>VLOOKUP(C391,'Talente &amp; Stuff'!DO:EP,4,FALSE)</f>
        <v>0</v>
      </c>
      <c r="G391" s="183">
        <f>VLOOKUP(C391,'Talente &amp; Stuff'!DO:EP,5,FALSE)</f>
        <v>0</v>
      </c>
      <c r="H391" s="183">
        <f>VLOOKUP(C391,'Talente &amp; Stuff'!DO:EP,6,FALSE)</f>
        <v>0</v>
      </c>
      <c r="I391" s="183">
        <f>VLOOKUP(C391,'Talente &amp; Stuff'!DO:EP,7,FALSE)</f>
        <v>0</v>
      </c>
      <c r="J391" s="183">
        <f>VLOOKUP(C391,'Talente &amp; Stuff'!DO:EP,8,FALSE)</f>
        <v>0</v>
      </c>
      <c r="K391" s="183">
        <f>VLOOKUP(C391,'Talente &amp; Stuff'!DO:EP,9,FALSE)</f>
        <v>0</v>
      </c>
      <c r="L391" s="183">
        <f>VLOOKUP(C391,'Talente &amp; Stuff'!DO:EP,10,FALSE)</f>
        <v>0</v>
      </c>
      <c r="M391" s="183">
        <f>VLOOKUP(C391,'Talente &amp; Stuff'!DO:EP,11,FALSE)</f>
        <v>0</v>
      </c>
      <c r="N391" s="166">
        <f>VLOOKUP(C391,'Talente &amp; Stuff'!DO:EP,12,FALSE)</f>
        <v>0</v>
      </c>
      <c r="O391" s="179">
        <f>VLOOKUP(C391,'Talente &amp; Stuff'!DO:EP,13,FALSE)</f>
        <v>0</v>
      </c>
      <c r="P391" s="180">
        <f>VLOOKUP(C391,'Talente &amp; Stuff'!DO:EP,14,FALSE)</f>
        <v>0</v>
      </c>
      <c r="Q391" s="183">
        <f>VLOOKUP(C391,'Talente &amp; Stuff'!DO:EP,15,FALSE)</f>
        <v>0</v>
      </c>
      <c r="R391" s="183">
        <f>VLOOKUP(C391,'Talente &amp; Stuff'!DO:EP,16,FALSE)</f>
        <v>0</v>
      </c>
      <c r="S391" s="183">
        <f>VLOOKUP(C391,'Talente &amp; Stuff'!DO:EP,17,FALSE)</f>
        <v>0</v>
      </c>
      <c r="T391" s="189">
        <f>VLOOKUP(C391,'Talente &amp; Stuff'!DO:EP,18,FALSE)</f>
        <v>0</v>
      </c>
      <c r="U391" s="179">
        <f>VLOOKUP(C391,'Talente &amp; Stuff'!DO:EP,19,FALSE)</f>
        <v>0</v>
      </c>
      <c r="V391" s="179">
        <f>VLOOKUP(C391,'Talente &amp; Stuff'!DO:EP,20,FALSE)</f>
        <v>0</v>
      </c>
      <c r="W391" s="179">
        <f>VLOOKUP(C391,'Talente &amp; Stuff'!DO:EP,21,FALSE)</f>
        <v>0</v>
      </c>
      <c r="X391" s="40">
        <f>VLOOKUP(C391,'Talente &amp; Stuff'!DO:EP,22,FALSE)</f>
        <v>0</v>
      </c>
      <c r="Y391" s="165">
        <f>VLOOKUP(C391,Ausgewählte_Rituale_Kristallomanten,139,FALSE)</f>
        <v>0</v>
      </c>
      <c r="Z391" s="44">
        <f>VLOOKUP(C391,Ausgewählte_Rituale_Kristallomanten,140,FALSE)</f>
        <v>0</v>
      </c>
      <c r="AA391" s="40">
        <f>VLOOKUP(C391,'Talente &amp; Stuff'!DO:EP,25,FALSE)</f>
        <v>0</v>
      </c>
      <c r="AB391" s="189">
        <f>VLOOKUP(C391,'Talente &amp; Stuff'!DO:EP,26,FALSE)</f>
        <v>0</v>
      </c>
      <c r="AC391" s="182">
        <f>VLOOKUP(C391,'Talente &amp; Stuff'!DO:EP,27,FALSE)</f>
        <v>0</v>
      </c>
      <c r="AD391" s="40">
        <f>VLOOKUP(C391,'Talente &amp; Stuff'!DO:EP,28,FALSE)</f>
        <v>0</v>
      </c>
      <c r="AE391" s="28"/>
    </row>
    <row r="392" spans="1:31" ht="15" hidden="1" customHeight="1" outlineLevel="1" collapsed="1">
      <c r="B392" s="134" t="s">
        <v>408</v>
      </c>
      <c r="C392" s="83"/>
      <c r="D392" s="84"/>
      <c r="E392" s="84"/>
    </row>
    <row r="393" spans="1:31" ht="15" hidden="1" customHeight="1" outlineLevel="2">
      <c r="B393" s="148">
        <v>1</v>
      </c>
      <c r="C393" s="176" t="str">
        <f>Attribute!C393</f>
        <v>---</v>
      </c>
      <c r="D393" s="85" t="str">
        <f>VLOOKUP(C393,'Talente &amp; Stuff'!DO:EP,2,FALSE)</f>
        <v>--/--/--</v>
      </c>
      <c r="E393" s="193" t="str">
        <f>VLOOKUP(C393,'Talente &amp; Stuff'!DO:EP,3,FALSE)</f>
        <v>-</v>
      </c>
      <c r="F393" s="191">
        <f>VLOOKUP(C393,'Talente &amp; Stuff'!DO:EP,4,FALSE)</f>
        <v>0</v>
      </c>
      <c r="G393" s="118">
        <f>VLOOKUP(C393,'Talente &amp; Stuff'!DO:EP,5,FALSE)</f>
        <v>0</v>
      </c>
      <c r="H393" s="118">
        <f>VLOOKUP(C393,'Talente &amp; Stuff'!DO:EP,6,FALSE)</f>
        <v>0</v>
      </c>
      <c r="I393" s="118">
        <f>VLOOKUP(C393,'Talente &amp; Stuff'!DO:EP,7,FALSE)</f>
        <v>0</v>
      </c>
      <c r="J393" s="118">
        <f>VLOOKUP(C393,'Talente &amp; Stuff'!DO:EP,8,FALSE)</f>
        <v>0</v>
      </c>
      <c r="K393" s="118">
        <f>VLOOKUP(C393,'Talente &amp; Stuff'!DO:EP,9,FALSE)</f>
        <v>0</v>
      </c>
      <c r="L393" s="118">
        <f>VLOOKUP(C393,'Talente &amp; Stuff'!DO:EP,10,FALSE)</f>
        <v>0</v>
      </c>
      <c r="M393" s="92">
        <f>VLOOKUP(C393,'Talente &amp; Stuff'!DO:EP,11,FALSE)</f>
        <v>0</v>
      </c>
      <c r="N393" s="193">
        <f>VLOOKUP(C393,'Talente &amp; Stuff'!DO:EP,12,FALSE)</f>
        <v>0</v>
      </c>
      <c r="O393" s="116">
        <f>VLOOKUP(C393,'Talente &amp; Stuff'!DO:EP,13,FALSE)</f>
        <v>0</v>
      </c>
      <c r="P393" s="92">
        <f>VLOOKUP(C393,'Talente &amp; Stuff'!DO:EP,14,FALSE)</f>
        <v>0</v>
      </c>
      <c r="Q393" s="191">
        <f>VLOOKUP(C393,'Talente &amp; Stuff'!DO:EP,15,FALSE)</f>
        <v>0</v>
      </c>
      <c r="R393" s="118">
        <f>VLOOKUP(C393,'Talente &amp; Stuff'!DO:EP,16,FALSE)</f>
        <v>0</v>
      </c>
      <c r="S393" s="92">
        <f>VLOOKUP(C393,'Talente &amp; Stuff'!DO:EP,17,FALSE)</f>
        <v>0</v>
      </c>
      <c r="T393" s="92">
        <f>VLOOKUP(C393,'Talente &amp; Stuff'!DO:EP,18,FALSE)</f>
        <v>0</v>
      </c>
      <c r="U393" s="193">
        <f>VLOOKUP(C393,'Talente &amp; Stuff'!DO:EP,19,FALSE)</f>
        <v>0</v>
      </c>
      <c r="V393" s="116">
        <f>VLOOKUP(C393,'Talente &amp; Stuff'!DO:EP,20,FALSE)</f>
        <v>0</v>
      </c>
      <c r="W393" s="126">
        <f>VLOOKUP(C393,'Talente &amp; Stuff'!DO:EP,21,FALSE)</f>
        <v>0</v>
      </c>
      <c r="X393" s="158">
        <f>VLOOKUP(C393,'Talente &amp; Stuff'!DO:EP,22,FALSE)</f>
        <v>0</v>
      </c>
      <c r="Y393" s="165">
        <f>VLOOKUP(C393,Ausgewählte_Rituale_Scharlatane,139,FALSE)</f>
        <v>0</v>
      </c>
      <c r="Z393" s="44">
        <f>VLOOKUP(C393,Ausgewählte_Rituale_Scharlatane,140,FALSE)</f>
        <v>0</v>
      </c>
      <c r="AA393" s="158">
        <f>VLOOKUP(C393,'Talente &amp; Stuff'!DO:EP,25,FALSE)</f>
        <v>0</v>
      </c>
      <c r="AB393" s="191">
        <f>VLOOKUP(C393,'Talente &amp; Stuff'!DO:EP,26,FALSE)</f>
        <v>0</v>
      </c>
      <c r="AC393" s="158">
        <f>VLOOKUP(C393,'Talente &amp; Stuff'!DO:EP,27,FALSE)</f>
        <v>0</v>
      </c>
      <c r="AD393" s="158">
        <f>VLOOKUP(C393,'Talente &amp; Stuff'!DO:EP,28,FALSE)</f>
        <v>0</v>
      </c>
      <c r="AE393" s="28"/>
    </row>
    <row r="394" spans="1:31" ht="15" hidden="1" customHeight="1" outlineLevel="2">
      <c r="B394" s="148">
        <v>2</v>
      </c>
      <c r="C394" s="177" t="str">
        <f>Attribute!C394</f>
        <v>---</v>
      </c>
      <c r="D394" s="86" t="str">
        <f>VLOOKUP(C394,'Talente &amp; Stuff'!DO:EP,2,FALSE)</f>
        <v>--/--/--</v>
      </c>
      <c r="E394" s="89" t="str">
        <f>VLOOKUP(C394,'Talente &amp; Stuff'!DO:EP,3,FALSE)</f>
        <v>-</v>
      </c>
      <c r="F394" s="114">
        <f>VLOOKUP(C394,'Talente &amp; Stuff'!DO:EP,4,FALSE)</f>
        <v>0</v>
      </c>
      <c r="G394" s="113">
        <f>VLOOKUP(C394,'Talente &amp; Stuff'!DO:EP,5,FALSE)</f>
        <v>0</v>
      </c>
      <c r="H394" s="113">
        <f>VLOOKUP(C394,'Talente &amp; Stuff'!DO:EP,6,FALSE)</f>
        <v>0</v>
      </c>
      <c r="I394" s="113">
        <f>VLOOKUP(C394,'Talente &amp; Stuff'!DO:EP,7,FALSE)</f>
        <v>0</v>
      </c>
      <c r="J394" s="113">
        <f>VLOOKUP(C394,'Talente &amp; Stuff'!DO:EP,8,FALSE)</f>
        <v>0</v>
      </c>
      <c r="K394" s="113">
        <f>VLOOKUP(C394,'Talente &amp; Stuff'!DO:EP,9,FALSE)</f>
        <v>0</v>
      </c>
      <c r="L394" s="113">
        <f>VLOOKUP(C394,'Talente &amp; Stuff'!DO:EP,10,FALSE)</f>
        <v>0</v>
      </c>
      <c r="M394" s="119">
        <f>VLOOKUP(C394,'Talente &amp; Stuff'!DO:EP,11,FALSE)</f>
        <v>0</v>
      </c>
      <c r="N394" s="89">
        <f>VLOOKUP(C394,'Talente &amp; Stuff'!DO:EP,12,FALSE)</f>
        <v>0</v>
      </c>
      <c r="O394" s="47">
        <f>VLOOKUP(C394,'Talente &amp; Stuff'!DO:EP,13,FALSE)</f>
        <v>0</v>
      </c>
      <c r="P394" s="119">
        <f>VLOOKUP(C394,'Talente &amp; Stuff'!DO:EP,14,FALSE)</f>
        <v>0</v>
      </c>
      <c r="Q394" s="114">
        <f>VLOOKUP(C394,'Talente &amp; Stuff'!DO:EP,15,FALSE)</f>
        <v>0</v>
      </c>
      <c r="R394" s="113">
        <f>VLOOKUP(C394,'Talente &amp; Stuff'!DO:EP,16,FALSE)</f>
        <v>0</v>
      </c>
      <c r="S394" s="119">
        <f>VLOOKUP(C394,'Talente &amp; Stuff'!DO:EP,17,FALSE)</f>
        <v>0</v>
      </c>
      <c r="T394" s="119">
        <f>VLOOKUP(C394,'Talente &amp; Stuff'!DO:EP,18,FALSE)</f>
        <v>0</v>
      </c>
      <c r="U394" s="89">
        <f>VLOOKUP(C394,'Talente &amp; Stuff'!DO:EP,19,FALSE)</f>
        <v>0</v>
      </c>
      <c r="V394" s="47">
        <f>VLOOKUP(C394,'Talente &amp; Stuff'!DO:EP,20,FALSE)</f>
        <v>0</v>
      </c>
      <c r="W394" s="127">
        <f>VLOOKUP(C394,'Talente &amp; Stuff'!DO:EP,21,FALSE)</f>
        <v>0</v>
      </c>
      <c r="X394" s="125">
        <f>VLOOKUP(C394,'Talente &amp; Stuff'!DO:EP,22,FALSE)</f>
        <v>0</v>
      </c>
      <c r="Y394" s="165">
        <f>VLOOKUP(C394,Ausgewählte_Rituale_Scharlatane,139,FALSE)</f>
        <v>0</v>
      </c>
      <c r="Z394" s="44">
        <f>VLOOKUP(C394,Ausgewählte_Rituale_Scharlatane,140,FALSE)</f>
        <v>0</v>
      </c>
      <c r="AA394" s="125">
        <f>VLOOKUP(C394,'Talente &amp; Stuff'!DO:EP,25,FALSE)</f>
        <v>0</v>
      </c>
      <c r="AB394" s="114">
        <f>VLOOKUP(C394,'Talente &amp; Stuff'!DO:EP,26,FALSE)</f>
        <v>0</v>
      </c>
      <c r="AC394" s="125">
        <f>VLOOKUP(C394,'Talente &amp; Stuff'!DO:EP,27,FALSE)</f>
        <v>0</v>
      </c>
      <c r="AD394" s="125">
        <f>VLOOKUP(C394,'Talente &amp; Stuff'!DO:EP,28,FALSE)</f>
        <v>0</v>
      </c>
      <c r="AE394" s="28"/>
    </row>
    <row r="395" spans="1:31" ht="15" hidden="1" customHeight="1" outlineLevel="2">
      <c r="B395" s="148">
        <v>3</v>
      </c>
      <c r="C395" s="177" t="str">
        <f>Attribute!C395</f>
        <v>---</v>
      </c>
      <c r="D395" s="87" t="str">
        <f>VLOOKUP(C395,'Talente &amp; Stuff'!DO:EP,2,FALSE)</f>
        <v>--/--/--</v>
      </c>
      <c r="E395" s="90" t="str">
        <f>VLOOKUP(C395,'Talente &amp; Stuff'!DO:EP,3,FALSE)</f>
        <v>-</v>
      </c>
      <c r="F395" s="115">
        <f>VLOOKUP(C395,'Talente &amp; Stuff'!DO:EP,4,FALSE)</f>
        <v>0</v>
      </c>
      <c r="G395" s="122">
        <f>VLOOKUP(C395,'Talente &amp; Stuff'!DO:EP,5,FALSE)</f>
        <v>0</v>
      </c>
      <c r="H395" s="122">
        <f>VLOOKUP(C395,'Talente &amp; Stuff'!DO:EP,6,FALSE)</f>
        <v>0</v>
      </c>
      <c r="I395" s="122">
        <f>VLOOKUP(C395,'Talente &amp; Stuff'!DO:EP,7,FALSE)</f>
        <v>0</v>
      </c>
      <c r="J395" s="122">
        <f>VLOOKUP(C395,'Talente &amp; Stuff'!DO:EP,8,FALSE)</f>
        <v>0</v>
      </c>
      <c r="K395" s="122">
        <f>VLOOKUP(C395,'Talente &amp; Stuff'!DO:EP,9,FALSE)</f>
        <v>0</v>
      </c>
      <c r="L395" s="122">
        <f>VLOOKUP(C395,'Talente &amp; Stuff'!DO:EP,10,FALSE)</f>
        <v>0</v>
      </c>
      <c r="M395" s="123">
        <f>VLOOKUP(C395,'Talente &amp; Stuff'!DO:EP,11,FALSE)</f>
        <v>0</v>
      </c>
      <c r="N395" s="90">
        <f>VLOOKUP(C395,'Talente &amp; Stuff'!DO:EP,12,FALSE)</f>
        <v>0</v>
      </c>
      <c r="O395" s="88">
        <f>VLOOKUP(C395,'Talente &amp; Stuff'!DO:EP,13,FALSE)</f>
        <v>0</v>
      </c>
      <c r="P395" s="123">
        <f>VLOOKUP(C395,'Talente &amp; Stuff'!DO:EP,14,FALSE)</f>
        <v>0</v>
      </c>
      <c r="Q395" s="115">
        <f>VLOOKUP(C395,'Talente &amp; Stuff'!DO:EP,15,FALSE)</f>
        <v>0</v>
      </c>
      <c r="R395" s="122">
        <f>VLOOKUP(C395,'Talente &amp; Stuff'!DO:EP,16,FALSE)</f>
        <v>0</v>
      </c>
      <c r="S395" s="123">
        <f>VLOOKUP(C395,'Talente &amp; Stuff'!DO:EP,17,FALSE)</f>
        <v>0</v>
      </c>
      <c r="T395" s="123">
        <f>VLOOKUP(C395,'Talente &amp; Stuff'!DO:EP,18,FALSE)</f>
        <v>0</v>
      </c>
      <c r="U395" s="90">
        <f>VLOOKUP(C395,'Talente &amp; Stuff'!DO:EP,19,FALSE)</f>
        <v>0</v>
      </c>
      <c r="V395" s="88">
        <f>VLOOKUP(C395,'Talente &amp; Stuff'!DO:EP,20,FALSE)</f>
        <v>0</v>
      </c>
      <c r="W395" s="128">
        <f>VLOOKUP(C395,'Talente &amp; Stuff'!DO:EP,21,FALSE)</f>
        <v>0</v>
      </c>
      <c r="X395" s="159">
        <f>VLOOKUP(C395,'Talente &amp; Stuff'!DO:EP,22,FALSE)</f>
        <v>0</v>
      </c>
      <c r="Y395" s="165">
        <f>VLOOKUP(C395,Ausgewählte_Rituale_Scharlatane,139,FALSE)</f>
        <v>0</v>
      </c>
      <c r="Z395" s="44">
        <f>VLOOKUP(C395,Ausgewählte_Rituale_Scharlatane,140,FALSE)</f>
        <v>0</v>
      </c>
      <c r="AA395" s="159">
        <f>VLOOKUP(C395,'Talente &amp; Stuff'!DO:EP,25,FALSE)</f>
        <v>0</v>
      </c>
      <c r="AB395" s="115">
        <f>VLOOKUP(C395,'Talente &amp; Stuff'!DO:EP,26,FALSE)</f>
        <v>0</v>
      </c>
      <c r="AC395" s="159">
        <f>VLOOKUP(C395,'Talente &amp; Stuff'!DO:EP,27,FALSE)</f>
        <v>0</v>
      </c>
      <c r="AD395" s="159">
        <f>VLOOKUP(C395,'Talente &amp; Stuff'!DO:EP,28,FALSE)</f>
        <v>0</v>
      </c>
      <c r="AE395" s="28"/>
    </row>
    <row r="396" spans="1:31" ht="15" hidden="1" customHeight="1" outlineLevel="1" collapsed="1"/>
    <row r="397" spans="1:31" ht="15.75" collapsed="1" thickBot="1"/>
    <row r="398" spans="1:31" ht="15.75" thickBot="1">
      <c r="A398" s="135" t="s">
        <v>234</v>
      </c>
    </row>
    <row r="399" spans="1:31" ht="15" hidden="1" customHeight="1" outlineLevel="1">
      <c r="B399" s="134" t="s">
        <v>327</v>
      </c>
    </row>
    <row r="400" spans="1:31" ht="15" hidden="1" customHeight="1" outlineLevel="2">
      <c r="B400" s="148">
        <v>1</v>
      </c>
      <c r="C400" s="176" t="str">
        <f>Attribute!C400</f>
        <v>---</v>
      </c>
      <c r="D400" s="158" t="str">
        <f>VLOOKUP(C400,'Talente &amp; Stuff'!DO:EP,2,FALSE)</f>
        <v>--/--/--</v>
      </c>
      <c r="E400" s="116" t="str">
        <f>VLOOKUP(C400,'Talente &amp; Stuff'!DO:EP,3,FALSE)</f>
        <v>-</v>
      </c>
      <c r="F400" s="191">
        <f>VLOOKUP(C400,'Talente &amp; Stuff'!DO:EP,4,FALSE)</f>
        <v>0</v>
      </c>
      <c r="G400" s="118">
        <f>VLOOKUP(C400,'Talente &amp; Stuff'!DO:EP,5,FALSE)</f>
        <v>0</v>
      </c>
      <c r="H400" s="118">
        <f>VLOOKUP(C400,'Talente &amp; Stuff'!DO:EP,6,FALSE)</f>
        <v>0</v>
      </c>
      <c r="I400" s="118">
        <f>VLOOKUP(C400,'Talente &amp; Stuff'!DO:EP,7,FALSE)</f>
        <v>0</v>
      </c>
      <c r="J400" s="118">
        <f>VLOOKUP(C400,'Talente &amp; Stuff'!DO:EP,8,FALSE)</f>
        <v>0</v>
      </c>
      <c r="K400" s="118">
        <f>VLOOKUP(C400,'Talente &amp; Stuff'!DO:EP,9,FALSE)</f>
        <v>0</v>
      </c>
      <c r="L400" s="118">
        <f>VLOOKUP(C400,'Talente &amp; Stuff'!DO:EP,10,FALSE)</f>
        <v>0</v>
      </c>
      <c r="M400" s="92">
        <f>VLOOKUP(C400,'Talente &amp; Stuff'!DO:EP,11,FALSE)</f>
        <v>0</v>
      </c>
      <c r="N400" s="116">
        <f>VLOOKUP(C400,'Talente &amp; Stuff'!DO:EP,12,FALSE)</f>
        <v>0</v>
      </c>
      <c r="O400" s="116">
        <f>VLOOKUP(C400,'Talente &amp; Stuff'!DO:EP,13,FALSE)</f>
        <v>0</v>
      </c>
      <c r="P400" s="118">
        <f>VLOOKUP(C400,'Talente &amp; Stuff'!DO:EP,14,FALSE)</f>
        <v>0</v>
      </c>
      <c r="Q400" s="191">
        <f>VLOOKUP(C400,'Talente &amp; Stuff'!DO:EP,15,FALSE)</f>
        <v>0</v>
      </c>
      <c r="R400" s="118">
        <f>VLOOKUP(C400,'Talente &amp; Stuff'!DO:EP,16,FALSE)</f>
        <v>0</v>
      </c>
      <c r="S400" s="92">
        <f>VLOOKUP(C400,'Talente &amp; Stuff'!DO:EP,17,FALSE)</f>
        <v>0</v>
      </c>
      <c r="T400" s="91">
        <f>VLOOKUP(C400,'Talente &amp; Stuff'!DO:EP,18,FALSE)</f>
        <v>0</v>
      </c>
      <c r="U400" s="193">
        <f>VLOOKUP(C400,'Talente &amp; Stuff'!DO:EP,19,FALSE)</f>
        <v>0</v>
      </c>
      <c r="V400" s="116">
        <f>VLOOKUP(C400,'Talente &amp; Stuff'!DO:EP,20,FALSE)</f>
        <v>0</v>
      </c>
      <c r="W400" s="126">
        <f>VLOOKUP(C400,'Talente &amp; Stuff'!DO:EP,21,FALSE)</f>
        <v>0</v>
      </c>
      <c r="X400" s="126">
        <f>VLOOKUP(C400,'Talente &amp; Stuff'!DO:EP,22,FALSE)</f>
        <v>0</v>
      </c>
      <c r="Y400" s="165">
        <f>VLOOKUP(C400,Ausgewählte_Liturgien_Allgemein,139,FALSE)</f>
        <v>0</v>
      </c>
      <c r="Z400" s="44">
        <f>VLOOKUP(C400,Ausgewählte_Liturgien_Allgemein,140,FALSE)</f>
        <v>0</v>
      </c>
      <c r="AA400" s="158">
        <f>VLOOKUP(C400,'Talente &amp; Stuff'!DO:EP,25,FALSE)</f>
        <v>0</v>
      </c>
      <c r="AB400" s="91">
        <f>VLOOKUP(C400,'Talente &amp; Stuff'!DO:EP,26,FALSE)</f>
        <v>0</v>
      </c>
      <c r="AC400" s="126">
        <f>VLOOKUP(C400,'Talente &amp; Stuff'!DO:EP,27,FALSE)</f>
        <v>0</v>
      </c>
      <c r="AD400" s="158">
        <f>VLOOKUP(C400,'Talente &amp; Stuff'!DO:EP,28,FALSE)</f>
        <v>0</v>
      </c>
      <c r="AE400" s="28"/>
    </row>
    <row r="401" spans="2:31" ht="15" hidden="1" customHeight="1" outlineLevel="2">
      <c r="B401" s="148">
        <v>2</v>
      </c>
      <c r="C401" s="177" t="str">
        <f>Attribute!C401</f>
        <v>---</v>
      </c>
      <c r="D401" s="125" t="str">
        <f>VLOOKUP(C401,'Talente &amp; Stuff'!DO:EP,2,FALSE)</f>
        <v>--/--/--</v>
      </c>
      <c r="E401" s="47" t="str">
        <f>VLOOKUP(C401,'Talente &amp; Stuff'!DO:EP,3,FALSE)</f>
        <v>-</v>
      </c>
      <c r="F401" s="114">
        <f>VLOOKUP(C401,'Talente &amp; Stuff'!DO:EP,4,FALSE)</f>
        <v>0</v>
      </c>
      <c r="G401" s="113">
        <f>VLOOKUP(C401,'Talente &amp; Stuff'!DO:EP,5,FALSE)</f>
        <v>0</v>
      </c>
      <c r="H401" s="113">
        <f>VLOOKUP(C401,'Talente &amp; Stuff'!DO:EP,6,FALSE)</f>
        <v>0</v>
      </c>
      <c r="I401" s="113">
        <f>VLOOKUP(C401,'Talente &amp; Stuff'!DO:EP,7,FALSE)</f>
        <v>0</v>
      </c>
      <c r="J401" s="113">
        <f>VLOOKUP(C401,'Talente &amp; Stuff'!DO:EP,8,FALSE)</f>
        <v>0</v>
      </c>
      <c r="K401" s="113">
        <f>VLOOKUP(C401,'Talente &amp; Stuff'!DO:EP,9,FALSE)</f>
        <v>0</v>
      </c>
      <c r="L401" s="113">
        <f>VLOOKUP(C401,'Talente &amp; Stuff'!DO:EP,10,FALSE)</f>
        <v>0</v>
      </c>
      <c r="M401" s="119">
        <f>VLOOKUP(C401,'Talente &amp; Stuff'!DO:EP,11,FALSE)</f>
        <v>0</v>
      </c>
      <c r="N401" s="47">
        <f>VLOOKUP(C401,'Talente &amp; Stuff'!DO:EP,12,FALSE)</f>
        <v>0</v>
      </c>
      <c r="O401" s="47">
        <f>VLOOKUP(C401,'Talente &amp; Stuff'!DO:EP,13,FALSE)</f>
        <v>0</v>
      </c>
      <c r="P401" s="113">
        <f>VLOOKUP(C401,'Talente &amp; Stuff'!DO:EP,14,FALSE)</f>
        <v>0</v>
      </c>
      <c r="Q401" s="114">
        <f>VLOOKUP(C401,'Talente &amp; Stuff'!DO:EP,15,FALSE)</f>
        <v>0</v>
      </c>
      <c r="R401" s="113">
        <f>VLOOKUP(C401,'Talente &amp; Stuff'!DO:EP,16,FALSE)</f>
        <v>0</v>
      </c>
      <c r="S401" s="119">
        <f>VLOOKUP(C401,'Talente &amp; Stuff'!DO:EP,17,FALSE)</f>
        <v>0</v>
      </c>
      <c r="T401" s="160">
        <f>VLOOKUP(C401,'Talente &amp; Stuff'!DO:EP,18,FALSE)</f>
        <v>0</v>
      </c>
      <c r="U401" s="89">
        <f>VLOOKUP(C401,'Talente &amp; Stuff'!DO:EP,19,FALSE)</f>
        <v>0</v>
      </c>
      <c r="V401" s="47">
        <f>VLOOKUP(C401,'Talente &amp; Stuff'!DO:EP,20,FALSE)</f>
        <v>0</v>
      </c>
      <c r="W401" s="127">
        <f>VLOOKUP(C401,'Talente &amp; Stuff'!DO:EP,21,FALSE)</f>
        <v>0</v>
      </c>
      <c r="X401" s="127">
        <f>VLOOKUP(C401,'Talente &amp; Stuff'!DO:EP,22,FALSE)</f>
        <v>0</v>
      </c>
      <c r="Y401" s="165">
        <f>VLOOKUP(C401,Ausgewählte_Liturgien_Allgemein,139,FALSE)</f>
        <v>0</v>
      </c>
      <c r="Z401" s="44">
        <f>VLOOKUP(C401,Ausgewählte_Liturgien_Allgemein,140,FALSE)</f>
        <v>0</v>
      </c>
      <c r="AA401" s="125">
        <f>VLOOKUP(C401,'Talente &amp; Stuff'!DO:EP,25,FALSE)</f>
        <v>0</v>
      </c>
      <c r="AB401" s="160">
        <f>VLOOKUP(C401,'Talente &amp; Stuff'!DO:EP,26,FALSE)</f>
        <v>0</v>
      </c>
      <c r="AC401" s="127">
        <f>VLOOKUP(C401,'Talente &amp; Stuff'!DO:EP,27,FALSE)</f>
        <v>0</v>
      </c>
      <c r="AD401" s="125">
        <f>VLOOKUP(C401,'Talente &amp; Stuff'!DO:EP,28,FALSE)</f>
        <v>0</v>
      </c>
      <c r="AE401" s="28"/>
    </row>
    <row r="402" spans="2:31" ht="15" hidden="1" customHeight="1" outlineLevel="2">
      <c r="B402" s="148">
        <v>3</v>
      </c>
      <c r="C402" s="178" t="str">
        <f>Attribute!C402</f>
        <v>---</v>
      </c>
      <c r="D402" s="159" t="str">
        <f>VLOOKUP(C402,'Talente &amp; Stuff'!DO:EP,2,FALSE)</f>
        <v>--/--/--</v>
      </c>
      <c r="E402" s="88" t="str">
        <f>VLOOKUP(C402,'Talente &amp; Stuff'!DO:EP,3,FALSE)</f>
        <v>-</v>
      </c>
      <c r="F402" s="115">
        <f>VLOOKUP(C402,'Talente &amp; Stuff'!DO:EP,4,FALSE)</f>
        <v>0</v>
      </c>
      <c r="G402" s="122">
        <f>VLOOKUP(C402,'Talente &amp; Stuff'!DO:EP,5,FALSE)</f>
        <v>0</v>
      </c>
      <c r="H402" s="122">
        <f>VLOOKUP(C402,'Talente &amp; Stuff'!DO:EP,6,FALSE)</f>
        <v>0</v>
      </c>
      <c r="I402" s="122">
        <f>VLOOKUP(C402,'Talente &amp; Stuff'!DO:EP,7,FALSE)</f>
        <v>0</v>
      </c>
      <c r="J402" s="122">
        <f>VLOOKUP(C402,'Talente &amp; Stuff'!DO:EP,8,FALSE)</f>
        <v>0</v>
      </c>
      <c r="K402" s="122">
        <f>VLOOKUP(C402,'Talente &amp; Stuff'!DO:EP,9,FALSE)</f>
        <v>0</v>
      </c>
      <c r="L402" s="122">
        <f>VLOOKUP(C402,'Talente &amp; Stuff'!DO:EP,10,FALSE)</f>
        <v>0</v>
      </c>
      <c r="M402" s="123">
        <f>VLOOKUP(C402,'Talente &amp; Stuff'!DO:EP,11,FALSE)</f>
        <v>0</v>
      </c>
      <c r="N402" s="88">
        <f>VLOOKUP(C402,'Talente &amp; Stuff'!DO:EP,12,FALSE)</f>
        <v>0</v>
      </c>
      <c r="O402" s="88">
        <f>VLOOKUP(C402,'Talente &amp; Stuff'!DO:EP,13,FALSE)</f>
        <v>0</v>
      </c>
      <c r="P402" s="122">
        <f>VLOOKUP(C402,'Talente &amp; Stuff'!DO:EP,14,FALSE)</f>
        <v>0</v>
      </c>
      <c r="Q402" s="115">
        <f>VLOOKUP(C402,'Talente &amp; Stuff'!DO:EP,15,FALSE)</f>
        <v>0</v>
      </c>
      <c r="R402" s="122">
        <f>VLOOKUP(C402,'Talente &amp; Stuff'!DO:EP,16,FALSE)</f>
        <v>0</v>
      </c>
      <c r="S402" s="123">
        <f>VLOOKUP(C402,'Talente &amp; Stuff'!DO:EP,17,FALSE)</f>
        <v>0</v>
      </c>
      <c r="T402" s="161">
        <f>VLOOKUP(C402,'Talente &amp; Stuff'!DO:EP,18,FALSE)</f>
        <v>0</v>
      </c>
      <c r="U402" s="90">
        <f>VLOOKUP(C402,'Talente &amp; Stuff'!DO:EP,19,FALSE)</f>
        <v>0</v>
      </c>
      <c r="V402" s="88">
        <f>VLOOKUP(C402,'Talente &amp; Stuff'!DO:EP,20,FALSE)</f>
        <v>0</v>
      </c>
      <c r="W402" s="128">
        <f>VLOOKUP(C402,'Talente &amp; Stuff'!DO:EP,21,FALSE)</f>
        <v>0</v>
      </c>
      <c r="X402" s="128">
        <f>VLOOKUP(C402,'Talente &amp; Stuff'!DO:EP,22,FALSE)</f>
        <v>0</v>
      </c>
      <c r="Y402" s="165">
        <f>VLOOKUP(C402,Ausgewählte_Liturgien_Allgemein,139,FALSE)</f>
        <v>0</v>
      </c>
      <c r="Z402" s="44">
        <f>VLOOKUP(C402,Ausgewählte_Liturgien_Allgemein,140,FALSE)</f>
        <v>0</v>
      </c>
      <c r="AA402" s="159">
        <f>VLOOKUP(C402,'Talente &amp; Stuff'!DO:EP,25,FALSE)</f>
        <v>0</v>
      </c>
      <c r="AB402" s="161">
        <f>VLOOKUP(C402,'Talente &amp; Stuff'!DO:EP,26,FALSE)</f>
        <v>0</v>
      </c>
      <c r="AC402" s="128">
        <f>VLOOKUP(C402,'Talente &amp; Stuff'!DO:EP,27,FALSE)</f>
        <v>0</v>
      </c>
      <c r="AD402" s="159">
        <f>VLOOKUP(C402,'Talente &amp; Stuff'!DO:EP,28,FALSE)</f>
        <v>0</v>
      </c>
      <c r="AE402" s="28"/>
    </row>
    <row r="403" spans="2:31" ht="15" hidden="1" customHeight="1" outlineLevel="1" collapsed="1">
      <c r="B403" s="134" t="s">
        <v>326</v>
      </c>
      <c r="C403" s="83"/>
      <c r="D403" s="84"/>
      <c r="E403" s="84"/>
    </row>
    <row r="404" spans="2:31" ht="15" hidden="1" customHeight="1" outlineLevel="2">
      <c r="B404" s="148">
        <v>1</v>
      </c>
      <c r="C404" s="176" t="str">
        <f>Attribute!C404</f>
        <v>---</v>
      </c>
      <c r="D404" s="158" t="str">
        <f>VLOOKUP(C404,'Talente &amp; Stuff'!DO:EP,2,FALSE)</f>
        <v>--/--/--</v>
      </c>
      <c r="E404" s="116" t="str">
        <f>VLOOKUP(C404,'Talente &amp; Stuff'!DO:EP,3,FALSE)</f>
        <v>-</v>
      </c>
      <c r="F404" s="191">
        <f>VLOOKUP(C404,'Talente &amp; Stuff'!DO:EP,4,FALSE)</f>
        <v>0</v>
      </c>
      <c r="G404" s="118">
        <f>VLOOKUP(C404,'Talente &amp; Stuff'!DO:EP,5,FALSE)</f>
        <v>0</v>
      </c>
      <c r="H404" s="118">
        <f>VLOOKUP(C404,'Talente &amp; Stuff'!DO:EP,6,FALSE)</f>
        <v>0</v>
      </c>
      <c r="I404" s="118">
        <f>VLOOKUP(C404,'Talente &amp; Stuff'!DO:EP,7,FALSE)</f>
        <v>0</v>
      </c>
      <c r="J404" s="118">
        <f>VLOOKUP(C404,'Talente &amp; Stuff'!DO:EP,8,FALSE)</f>
        <v>0</v>
      </c>
      <c r="K404" s="118">
        <f>VLOOKUP(C404,'Talente &amp; Stuff'!DO:EP,9,FALSE)</f>
        <v>0</v>
      </c>
      <c r="L404" s="118">
        <f>VLOOKUP(C404,'Talente &amp; Stuff'!DO:EP,10,FALSE)</f>
        <v>0</v>
      </c>
      <c r="M404" s="92">
        <f>VLOOKUP(C404,'Talente &amp; Stuff'!DO:EP,11,FALSE)</f>
        <v>0</v>
      </c>
      <c r="N404" s="116">
        <f>VLOOKUP(C404,'Talente &amp; Stuff'!DO:EP,12,FALSE)</f>
        <v>0</v>
      </c>
      <c r="O404" s="116">
        <f>VLOOKUP(C404,'Talente &amp; Stuff'!DO:EP,13,FALSE)</f>
        <v>0</v>
      </c>
      <c r="P404" s="118">
        <f>VLOOKUP(C404,'Talente &amp; Stuff'!DO:EP,14,FALSE)</f>
        <v>0</v>
      </c>
      <c r="Q404" s="191">
        <f>VLOOKUP(C404,'Talente &amp; Stuff'!DO:EP,15,FALSE)</f>
        <v>0</v>
      </c>
      <c r="R404" s="118">
        <f>VLOOKUP(C404,'Talente &amp; Stuff'!DO:EP,16,FALSE)</f>
        <v>0</v>
      </c>
      <c r="S404" s="92">
        <f>VLOOKUP(C404,'Talente &amp; Stuff'!DO:EP,17,FALSE)</f>
        <v>0</v>
      </c>
      <c r="T404" s="91">
        <f>VLOOKUP(C404,'Talente &amp; Stuff'!DO:EP,18,FALSE)</f>
        <v>0</v>
      </c>
      <c r="U404" s="193">
        <f>VLOOKUP(C404,'Talente &amp; Stuff'!DO:EP,19,FALSE)</f>
        <v>0</v>
      </c>
      <c r="V404" s="116">
        <f>VLOOKUP(C404,'Talente &amp; Stuff'!DO:EP,20,FALSE)</f>
        <v>0</v>
      </c>
      <c r="W404" s="126">
        <f>VLOOKUP(C404,'Talente &amp; Stuff'!DO:EP,21,FALSE)</f>
        <v>0</v>
      </c>
      <c r="X404" s="126">
        <f>VLOOKUP(C404,'Talente &amp; Stuff'!DO:EP,22,FALSE)</f>
        <v>0</v>
      </c>
      <c r="Y404" s="165">
        <f t="shared" ref="Y404:Y409" si="30">VLOOKUP(C404,Ausgewählte_Liturgien_Boron,139,FALSE)</f>
        <v>0</v>
      </c>
      <c r="Z404" s="44">
        <f t="shared" ref="Z404:Z409" si="31">VLOOKUP(C404,Ausgewählte_Liturgien_Boron,140,FALSE)</f>
        <v>0</v>
      </c>
      <c r="AA404" s="158">
        <f>VLOOKUP(C404,'Talente &amp; Stuff'!DO:EP,25,FALSE)</f>
        <v>0</v>
      </c>
      <c r="AB404" s="91">
        <f>VLOOKUP(C404,'Talente &amp; Stuff'!DO:EP,26,FALSE)</f>
        <v>0</v>
      </c>
      <c r="AC404" s="126">
        <f>VLOOKUP(C404,'Talente &amp; Stuff'!DO:EP,27,FALSE)</f>
        <v>0</v>
      </c>
      <c r="AD404" s="158">
        <f>VLOOKUP(C404,'Talente &amp; Stuff'!DO:EP,28,FALSE)</f>
        <v>0</v>
      </c>
      <c r="AE404" s="28"/>
    </row>
    <row r="405" spans="2:31" ht="15" hidden="1" customHeight="1" outlineLevel="2">
      <c r="B405" s="148">
        <v>2</v>
      </c>
      <c r="C405" s="177" t="str">
        <f>Attribute!C405</f>
        <v>---</v>
      </c>
      <c r="D405" s="125" t="str">
        <f>VLOOKUP(C405,'Talente &amp; Stuff'!DO:EP,2,FALSE)</f>
        <v>--/--/--</v>
      </c>
      <c r="E405" s="47" t="str">
        <f>VLOOKUP(C405,'Talente &amp; Stuff'!DO:EP,3,FALSE)</f>
        <v>-</v>
      </c>
      <c r="F405" s="114">
        <f>VLOOKUP(C405,'Talente &amp; Stuff'!DO:EP,4,FALSE)</f>
        <v>0</v>
      </c>
      <c r="G405" s="113">
        <f>VLOOKUP(C405,'Talente &amp; Stuff'!DO:EP,5,FALSE)</f>
        <v>0</v>
      </c>
      <c r="H405" s="113">
        <f>VLOOKUP(C405,'Talente &amp; Stuff'!DO:EP,6,FALSE)</f>
        <v>0</v>
      </c>
      <c r="I405" s="113">
        <f>VLOOKUP(C405,'Talente &amp; Stuff'!DO:EP,7,FALSE)</f>
        <v>0</v>
      </c>
      <c r="J405" s="113">
        <f>VLOOKUP(C405,'Talente &amp; Stuff'!DO:EP,8,FALSE)</f>
        <v>0</v>
      </c>
      <c r="K405" s="113">
        <f>VLOOKUP(C405,'Talente &amp; Stuff'!DO:EP,9,FALSE)</f>
        <v>0</v>
      </c>
      <c r="L405" s="113">
        <f>VLOOKUP(C405,'Talente &amp; Stuff'!DO:EP,10,FALSE)</f>
        <v>0</v>
      </c>
      <c r="M405" s="119">
        <f>VLOOKUP(C405,'Talente &amp; Stuff'!DO:EP,11,FALSE)</f>
        <v>0</v>
      </c>
      <c r="N405" s="47">
        <f>VLOOKUP(C405,'Talente &amp; Stuff'!DO:EP,12,FALSE)</f>
        <v>0</v>
      </c>
      <c r="O405" s="47">
        <f>VLOOKUP(C405,'Talente &amp; Stuff'!DO:EP,13,FALSE)</f>
        <v>0</v>
      </c>
      <c r="P405" s="113">
        <f>VLOOKUP(C405,'Talente &amp; Stuff'!DO:EP,14,FALSE)</f>
        <v>0</v>
      </c>
      <c r="Q405" s="114">
        <f>VLOOKUP(C405,'Talente &amp; Stuff'!DO:EP,15,FALSE)</f>
        <v>0</v>
      </c>
      <c r="R405" s="113">
        <f>VLOOKUP(C405,'Talente &amp; Stuff'!DO:EP,16,FALSE)</f>
        <v>0</v>
      </c>
      <c r="S405" s="119">
        <f>VLOOKUP(C405,'Talente &amp; Stuff'!DO:EP,17,FALSE)</f>
        <v>0</v>
      </c>
      <c r="T405" s="160">
        <f>VLOOKUP(C405,'Talente &amp; Stuff'!DO:EP,18,FALSE)</f>
        <v>0</v>
      </c>
      <c r="U405" s="89">
        <f>VLOOKUP(C405,'Talente &amp; Stuff'!DO:EP,19,FALSE)</f>
        <v>0</v>
      </c>
      <c r="V405" s="47">
        <f>VLOOKUP(C405,'Talente &amp; Stuff'!DO:EP,20,FALSE)</f>
        <v>0</v>
      </c>
      <c r="W405" s="127">
        <f>VLOOKUP(C405,'Talente &amp; Stuff'!DO:EP,21,FALSE)</f>
        <v>0</v>
      </c>
      <c r="X405" s="127">
        <f>VLOOKUP(C405,'Talente &amp; Stuff'!DO:EP,22,FALSE)</f>
        <v>0</v>
      </c>
      <c r="Y405" s="165">
        <f t="shared" si="30"/>
        <v>0</v>
      </c>
      <c r="Z405" s="44">
        <f t="shared" si="31"/>
        <v>0</v>
      </c>
      <c r="AA405" s="125">
        <f>VLOOKUP(C405,'Talente &amp; Stuff'!DO:EP,25,FALSE)</f>
        <v>0</v>
      </c>
      <c r="AB405" s="160">
        <f>VLOOKUP(C405,'Talente &amp; Stuff'!DO:EP,26,FALSE)</f>
        <v>0</v>
      </c>
      <c r="AC405" s="127">
        <f>VLOOKUP(C405,'Talente &amp; Stuff'!DO:EP,27,FALSE)</f>
        <v>0</v>
      </c>
      <c r="AD405" s="125">
        <f>VLOOKUP(C405,'Talente &amp; Stuff'!DO:EP,28,FALSE)</f>
        <v>0</v>
      </c>
      <c r="AE405" s="28"/>
    </row>
    <row r="406" spans="2:31" ht="15" hidden="1" customHeight="1" outlineLevel="2">
      <c r="B406" s="148">
        <v>3</v>
      </c>
      <c r="C406" s="177" t="str">
        <f>Attribute!C406</f>
        <v>---</v>
      </c>
      <c r="D406" s="125" t="str">
        <f>VLOOKUP(C406,'Talente &amp; Stuff'!DO:EP,2,FALSE)</f>
        <v>--/--/--</v>
      </c>
      <c r="E406" s="47" t="str">
        <f>VLOOKUP(C406,'Talente &amp; Stuff'!DO:EP,3,FALSE)</f>
        <v>-</v>
      </c>
      <c r="F406" s="114">
        <f>VLOOKUP(C406,'Talente &amp; Stuff'!DO:EP,4,FALSE)</f>
        <v>0</v>
      </c>
      <c r="G406" s="113">
        <f>VLOOKUP(C406,'Talente &amp; Stuff'!DO:EP,5,FALSE)</f>
        <v>0</v>
      </c>
      <c r="H406" s="113">
        <f>VLOOKUP(C406,'Talente &amp; Stuff'!DO:EP,6,FALSE)</f>
        <v>0</v>
      </c>
      <c r="I406" s="113">
        <f>VLOOKUP(C406,'Talente &amp; Stuff'!DO:EP,7,FALSE)</f>
        <v>0</v>
      </c>
      <c r="J406" s="113">
        <f>VLOOKUP(C406,'Talente &amp; Stuff'!DO:EP,8,FALSE)</f>
        <v>0</v>
      </c>
      <c r="K406" s="113">
        <f>VLOOKUP(C406,'Talente &amp; Stuff'!DO:EP,9,FALSE)</f>
        <v>0</v>
      </c>
      <c r="L406" s="113">
        <f>VLOOKUP(C406,'Talente &amp; Stuff'!DO:EP,10,FALSE)</f>
        <v>0</v>
      </c>
      <c r="M406" s="119">
        <f>VLOOKUP(C406,'Talente &amp; Stuff'!DO:EP,11,FALSE)</f>
        <v>0</v>
      </c>
      <c r="N406" s="47">
        <f>VLOOKUP(C406,'Talente &amp; Stuff'!DO:EP,12,FALSE)</f>
        <v>0</v>
      </c>
      <c r="O406" s="47">
        <f>VLOOKUP(C406,'Talente &amp; Stuff'!DO:EP,13,FALSE)</f>
        <v>0</v>
      </c>
      <c r="P406" s="113">
        <f>VLOOKUP(C406,'Talente &amp; Stuff'!DO:EP,14,FALSE)</f>
        <v>0</v>
      </c>
      <c r="Q406" s="114">
        <f>VLOOKUP(C406,'Talente &amp; Stuff'!DO:EP,15,FALSE)</f>
        <v>0</v>
      </c>
      <c r="R406" s="113">
        <f>VLOOKUP(C406,'Talente &amp; Stuff'!DO:EP,16,FALSE)</f>
        <v>0</v>
      </c>
      <c r="S406" s="119">
        <f>VLOOKUP(C406,'Talente &amp; Stuff'!DO:EP,17,FALSE)</f>
        <v>0</v>
      </c>
      <c r="T406" s="160">
        <f>VLOOKUP(C406,'Talente &amp; Stuff'!DO:EP,18,FALSE)</f>
        <v>0</v>
      </c>
      <c r="U406" s="89">
        <f>VLOOKUP(C406,'Talente &amp; Stuff'!DO:EP,19,FALSE)</f>
        <v>0</v>
      </c>
      <c r="V406" s="47">
        <f>VLOOKUP(C406,'Talente &amp; Stuff'!DO:EP,20,FALSE)</f>
        <v>0</v>
      </c>
      <c r="W406" s="127">
        <f>VLOOKUP(C406,'Talente &amp; Stuff'!DO:EP,21,FALSE)</f>
        <v>0</v>
      </c>
      <c r="X406" s="127">
        <f>VLOOKUP(C406,'Talente &amp; Stuff'!DO:EP,22,FALSE)</f>
        <v>0</v>
      </c>
      <c r="Y406" s="165">
        <f t="shared" si="30"/>
        <v>0</v>
      </c>
      <c r="Z406" s="44">
        <f t="shared" si="31"/>
        <v>0</v>
      </c>
      <c r="AA406" s="125">
        <f>VLOOKUP(C406,'Talente &amp; Stuff'!DO:EP,25,FALSE)</f>
        <v>0</v>
      </c>
      <c r="AB406" s="160">
        <f>VLOOKUP(C406,'Talente &amp; Stuff'!DO:EP,26,FALSE)</f>
        <v>0</v>
      </c>
      <c r="AC406" s="127">
        <f>VLOOKUP(C406,'Talente &amp; Stuff'!DO:EP,27,FALSE)</f>
        <v>0</v>
      </c>
      <c r="AD406" s="125">
        <f>VLOOKUP(C406,'Talente &amp; Stuff'!DO:EP,28,FALSE)</f>
        <v>0</v>
      </c>
      <c r="AE406" s="28"/>
    </row>
    <row r="407" spans="2:31" ht="15" hidden="1" customHeight="1" outlineLevel="2">
      <c r="B407" s="148">
        <v>4</v>
      </c>
      <c r="C407" s="177" t="str">
        <f>Attribute!C407</f>
        <v>---</v>
      </c>
      <c r="D407" s="125" t="str">
        <f>VLOOKUP(C407,'Talente &amp; Stuff'!DO:EP,2,FALSE)</f>
        <v>--/--/--</v>
      </c>
      <c r="E407" s="47" t="str">
        <f>VLOOKUP(C407,'Talente &amp; Stuff'!DO:EP,3,FALSE)</f>
        <v>-</v>
      </c>
      <c r="F407" s="114">
        <f>VLOOKUP(C407,'Talente &amp; Stuff'!DO:EP,4,FALSE)</f>
        <v>0</v>
      </c>
      <c r="G407" s="113">
        <f>VLOOKUP(C407,'Talente &amp; Stuff'!DO:EP,5,FALSE)</f>
        <v>0</v>
      </c>
      <c r="H407" s="113">
        <f>VLOOKUP(C407,'Talente &amp; Stuff'!DO:EP,6,FALSE)</f>
        <v>0</v>
      </c>
      <c r="I407" s="113">
        <f>VLOOKUP(C407,'Talente &amp; Stuff'!DO:EP,7,FALSE)</f>
        <v>0</v>
      </c>
      <c r="J407" s="113">
        <f>VLOOKUP(C407,'Talente &amp; Stuff'!DO:EP,8,FALSE)</f>
        <v>0</v>
      </c>
      <c r="K407" s="113">
        <f>VLOOKUP(C407,'Talente &amp; Stuff'!DO:EP,9,FALSE)</f>
        <v>0</v>
      </c>
      <c r="L407" s="113">
        <f>VLOOKUP(C407,'Talente &amp; Stuff'!DO:EP,10,FALSE)</f>
        <v>0</v>
      </c>
      <c r="M407" s="119">
        <f>VLOOKUP(C407,'Talente &amp; Stuff'!DO:EP,11,FALSE)</f>
        <v>0</v>
      </c>
      <c r="N407" s="47">
        <f>VLOOKUP(C407,'Talente &amp; Stuff'!DO:EP,12,FALSE)</f>
        <v>0</v>
      </c>
      <c r="O407" s="47">
        <f>VLOOKUP(C407,'Talente &amp; Stuff'!DO:EP,13,FALSE)</f>
        <v>0</v>
      </c>
      <c r="P407" s="113">
        <f>VLOOKUP(C407,'Talente &amp; Stuff'!DO:EP,14,FALSE)</f>
        <v>0</v>
      </c>
      <c r="Q407" s="114">
        <f>VLOOKUP(C407,'Talente &amp; Stuff'!DO:EP,15,FALSE)</f>
        <v>0</v>
      </c>
      <c r="R407" s="113">
        <f>VLOOKUP(C407,'Talente &amp; Stuff'!DO:EP,16,FALSE)</f>
        <v>0</v>
      </c>
      <c r="S407" s="119">
        <f>VLOOKUP(C407,'Talente &amp; Stuff'!DO:EP,17,FALSE)</f>
        <v>0</v>
      </c>
      <c r="T407" s="160">
        <f>VLOOKUP(C407,'Talente &amp; Stuff'!DO:EP,18,FALSE)</f>
        <v>0</v>
      </c>
      <c r="U407" s="89">
        <f>VLOOKUP(C407,'Talente &amp; Stuff'!DO:EP,19,FALSE)</f>
        <v>0</v>
      </c>
      <c r="V407" s="47">
        <f>VLOOKUP(C407,'Talente &amp; Stuff'!DO:EP,20,FALSE)</f>
        <v>0</v>
      </c>
      <c r="W407" s="127">
        <f>VLOOKUP(C407,'Talente &amp; Stuff'!DO:EP,21,FALSE)</f>
        <v>0</v>
      </c>
      <c r="X407" s="127">
        <f>VLOOKUP(C407,'Talente &amp; Stuff'!DO:EP,22,FALSE)</f>
        <v>0</v>
      </c>
      <c r="Y407" s="165">
        <f t="shared" si="30"/>
        <v>0</v>
      </c>
      <c r="Z407" s="44">
        <f t="shared" si="31"/>
        <v>0</v>
      </c>
      <c r="AA407" s="125">
        <f>VLOOKUP(C407,'Talente &amp; Stuff'!DO:EP,25,FALSE)</f>
        <v>0</v>
      </c>
      <c r="AB407" s="160">
        <f>VLOOKUP(C407,'Talente &amp; Stuff'!DO:EP,26,FALSE)</f>
        <v>0</v>
      </c>
      <c r="AC407" s="127">
        <f>VLOOKUP(C407,'Talente &amp; Stuff'!DO:EP,27,FALSE)</f>
        <v>0</v>
      </c>
      <c r="AD407" s="125">
        <f>VLOOKUP(C407,'Talente &amp; Stuff'!DO:EP,28,FALSE)</f>
        <v>0</v>
      </c>
      <c r="AE407" s="28"/>
    </row>
    <row r="408" spans="2:31" ht="15" hidden="1" customHeight="1" outlineLevel="2">
      <c r="B408" s="148">
        <v>5</v>
      </c>
      <c r="C408" s="177" t="str">
        <f>Attribute!C408</f>
        <v>---</v>
      </c>
      <c r="D408" s="125" t="str">
        <f>VLOOKUP(C408,'Talente &amp; Stuff'!DO:EP,2,FALSE)</f>
        <v>--/--/--</v>
      </c>
      <c r="E408" s="47" t="str">
        <f>VLOOKUP(C408,'Talente &amp; Stuff'!DO:EP,3,FALSE)</f>
        <v>-</v>
      </c>
      <c r="F408" s="114">
        <f>VLOOKUP(C408,'Talente &amp; Stuff'!DO:EP,4,FALSE)</f>
        <v>0</v>
      </c>
      <c r="G408" s="113">
        <f>VLOOKUP(C408,'Talente &amp; Stuff'!DO:EP,5,FALSE)</f>
        <v>0</v>
      </c>
      <c r="H408" s="113">
        <f>VLOOKUP(C408,'Talente &amp; Stuff'!DO:EP,6,FALSE)</f>
        <v>0</v>
      </c>
      <c r="I408" s="113">
        <f>VLOOKUP(C408,'Talente &amp; Stuff'!DO:EP,7,FALSE)</f>
        <v>0</v>
      </c>
      <c r="J408" s="113">
        <f>VLOOKUP(C408,'Talente &amp; Stuff'!DO:EP,8,FALSE)</f>
        <v>0</v>
      </c>
      <c r="K408" s="113">
        <f>VLOOKUP(C408,'Talente &amp; Stuff'!DO:EP,9,FALSE)</f>
        <v>0</v>
      </c>
      <c r="L408" s="113">
        <f>VLOOKUP(C408,'Talente &amp; Stuff'!DO:EP,10,FALSE)</f>
        <v>0</v>
      </c>
      <c r="M408" s="119">
        <f>VLOOKUP(C408,'Talente &amp; Stuff'!DO:EP,11,FALSE)</f>
        <v>0</v>
      </c>
      <c r="N408" s="47">
        <f>VLOOKUP(C408,'Talente &amp; Stuff'!DO:EP,12,FALSE)</f>
        <v>0</v>
      </c>
      <c r="O408" s="47">
        <f>VLOOKUP(C408,'Talente &amp; Stuff'!DO:EP,13,FALSE)</f>
        <v>0</v>
      </c>
      <c r="P408" s="113">
        <f>VLOOKUP(C408,'Talente &amp; Stuff'!DO:EP,14,FALSE)</f>
        <v>0</v>
      </c>
      <c r="Q408" s="114">
        <f>VLOOKUP(C408,'Talente &amp; Stuff'!DO:EP,15,FALSE)</f>
        <v>0</v>
      </c>
      <c r="R408" s="113">
        <f>VLOOKUP(C408,'Talente &amp; Stuff'!DO:EP,16,FALSE)</f>
        <v>0</v>
      </c>
      <c r="S408" s="119">
        <f>VLOOKUP(C408,'Talente &amp; Stuff'!DO:EP,17,FALSE)</f>
        <v>0</v>
      </c>
      <c r="T408" s="160">
        <f>VLOOKUP(C408,'Talente &amp; Stuff'!DO:EP,18,FALSE)</f>
        <v>0</v>
      </c>
      <c r="U408" s="89">
        <f>VLOOKUP(C408,'Talente &amp; Stuff'!DO:EP,19,FALSE)</f>
        <v>0</v>
      </c>
      <c r="V408" s="47">
        <f>VLOOKUP(C408,'Talente &amp; Stuff'!DO:EP,20,FALSE)</f>
        <v>0</v>
      </c>
      <c r="W408" s="127">
        <f>VLOOKUP(C408,'Talente &amp; Stuff'!DO:EP,21,FALSE)</f>
        <v>0</v>
      </c>
      <c r="X408" s="127">
        <f>VLOOKUP(C408,'Talente &amp; Stuff'!DO:EP,22,FALSE)</f>
        <v>0</v>
      </c>
      <c r="Y408" s="165">
        <f t="shared" si="30"/>
        <v>0</v>
      </c>
      <c r="Z408" s="44">
        <f t="shared" si="31"/>
        <v>0</v>
      </c>
      <c r="AA408" s="125">
        <f>VLOOKUP(C408,'Talente &amp; Stuff'!DO:EP,25,FALSE)</f>
        <v>0</v>
      </c>
      <c r="AB408" s="160">
        <f>VLOOKUP(C408,'Talente &amp; Stuff'!DO:EP,26,FALSE)</f>
        <v>0</v>
      </c>
      <c r="AC408" s="127">
        <f>VLOOKUP(C408,'Talente &amp; Stuff'!DO:EP,27,FALSE)</f>
        <v>0</v>
      </c>
      <c r="AD408" s="125">
        <f>VLOOKUP(C408,'Talente &amp; Stuff'!DO:EP,28,FALSE)</f>
        <v>0</v>
      </c>
      <c r="AE408" s="28"/>
    </row>
    <row r="409" spans="2:31" ht="15" hidden="1" customHeight="1" outlineLevel="2">
      <c r="B409" s="148">
        <v>6</v>
      </c>
      <c r="C409" s="178" t="str">
        <f>Attribute!C409</f>
        <v>---</v>
      </c>
      <c r="D409" s="159" t="str">
        <f>VLOOKUP(C409,'Talente &amp; Stuff'!DO:EP,2,FALSE)</f>
        <v>--/--/--</v>
      </c>
      <c r="E409" s="88" t="str">
        <f>VLOOKUP(C409,'Talente &amp; Stuff'!DO:EP,3,FALSE)</f>
        <v>-</v>
      </c>
      <c r="F409" s="115">
        <f>VLOOKUP(C409,'Talente &amp; Stuff'!DO:EP,4,FALSE)</f>
        <v>0</v>
      </c>
      <c r="G409" s="122">
        <f>VLOOKUP(C409,'Talente &amp; Stuff'!DO:EP,5,FALSE)</f>
        <v>0</v>
      </c>
      <c r="H409" s="122">
        <f>VLOOKUP(C409,'Talente &amp; Stuff'!DO:EP,6,FALSE)</f>
        <v>0</v>
      </c>
      <c r="I409" s="122">
        <f>VLOOKUP(C409,'Talente &amp; Stuff'!DO:EP,7,FALSE)</f>
        <v>0</v>
      </c>
      <c r="J409" s="122">
        <f>VLOOKUP(C409,'Talente &amp; Stuff'!DO:EP,8,FALSE)</f>
        <v>0</v>
      </c>
      <c r="K409" s="122">
        <f>VLOOKUP(C409,'Talente &amp; Stuff'!DO:EP,9,FALSE)</f>
        <v>0</v>
      </c>
      <c r="L409" s="122">
        <f>VLOOKUP(C409,'Talente &amp; Stuff'!DO:EP,10,FALSE)</f>
        <v>0</v>
      </c>
      <c r="M409" s="123">
        <f>VLOOKUP(C409,'Talente &amp; Stuff'!DO:EP,11,FALSE)</f>
        <v>0</v>
      </c>
      <c r="N409" s="88">
        <f>VLOOKUP(C409,'Talente &amp; Stuff'!DO:EP,12,FALSE)</f>
        <v>0</v>
      </c>
      <c r="O409" s="88">
        <f>VLOOKUP(C409,'Talente &amp; Stuff'!DO:EP,13,FALSE)</f>
        <v>0</v>
      </c>
      <c r="P409" s="122">
        <f>VLOOKUP(C409,'Talente &amp; Stuff'!DO:EP,14,FALSE)</f>
        <v>0</v>
      </c>
      <c r="Q409" s="115">
        <f>VLOOKUP(C409,'Talente &amp; Stuff'!DO:EP,15,FALSE)</f>
        <v>0</v>
      </c>
      <c r="R409" s="122">
        <f>VLOOKUP(C409,'Talente &amp; Stuff'!DO:EP,16,FALSE)</f>
        <v>0</v>
      </c>
      <c r="S409" s="123">
        <f>VLOOKUP(C409,'Talente &amp; Stuff'!DO:EP,17,FALSE)</f>
        <v>0</v>
      </c>
      <c r="T409" s="161">
        <f>VLOOKUP(C409,'Talente &amp; Stuff'!DO:EP,18,FALSE)</f>
        <v>0</v>
      </c>
      <c r="U409" s="90">
        <f>VLOOKUP(C409,'Talente &amp; Stuff'!DO:EP,19,FALSE)</f>
        <v>0</v>
      </c>
      <c r="V409" s="88">
        <f>VLOOKUP(C409,'Talente &amp; Stuff'!DO:EP,20,FALSE)</f>
        <v>0</v>
      </c>
      <c r="W409" s="128">
        <f>VLOOKUP(C409,'Talente &amp; Stuff'!DO:EP,21,FALSE)</f>
        <v>0</v>
      </c>
      <c r="X409" s="128">
        <f>VLOOKUP(C409,'Talente &amp; Stuff'!DO:EP,22,FALSE)</f>
        <v>0</v>
      </c>
      <c r="Y409" s="165">
        <f t="shared" si="30"/>
        <v>0</v>
      </c>
      <c r="Z409" s="44">
        <f t="shared" si="31"/>
        <v>0</v>
      </c>
      <c r="AA409" s="159">
        <f>VLOOKUP(C409,'Talente &amp; Stuff'!DO:EP,25,FALSE)</f>
        <v>0</v>
      </c>
      <c r="AB409" s="161">
        <f>VLOOKUP(C409,'Talente &amp; Stuff'!DO:EP,26,FALSE)</f>
        <v>0</v>
      </c>
      <c r="AC409" s="128">
        <f>VLOOKUP(C409,'Talente &amp; Stuff'!DO:EP,27,FALSE)</f>
        <v>0</v>
      </c>
      <c r="AD409" s="159">
        <f>VLOOKUP(C409,'Talente &amp; Stuff'!DO:EP,28,FALSE)</f>
        <v>0</v>
      </c>
      <c r="AE409" s="28"/>
    </row>
    <row r="410" spans="2:31" ht="15" hidden="1" customHeight="1" outlineLevel="1" collapsed="1">
      <c r="B410" s="134" t="s">
        <v>325</v>
      </c>
      <c r="C410" s="83"/>
      <c r="D410" s="84"/>
      <c r="E410" s="84"/>
    </row>
    <row r="411" spans="2:31" ht="15" hidden="1" customHeight="1" outlineLevel="2">
      <c r="B411" s="148">
        <v>1</v>
      </c>
      <c r="C411" s="176" t="str">
        <f>Attribute!C411</f>
        <v>---</v>
      </c>
      <c r="D411" s="158" t="str">
        <f>VLOOKUP(C411,'Talente &amp; Stuff'!DO:EP,2,FALSE)</f>
        <v>--/--/--</v>
      </c>
      <c r="E411" s="116" t="str">
        <f>VLOOKUP(C411,'Talente &amp; Stuff'!DO:EP,3,FALSE)</f>
        <v>-</v>
      </c>
      <c r="F411" s="191">
        <f>VLOOKUP(C411,'Talente &amp; Stuff'!DO:EP,4,FALSE)</f>
        <v>0</v>
      </c>
      <c r="G411" s="118">
        <f>VLOOKUP(C411,'Talente &amp; Stuff'!DO:EP,5,FALSE)</f>
        <v>0</v>
      </c>
      <c r="H411" s="118">
        <f>VLOOKUP(C411,'Talente &amp; Stuff'!DO:EP,6,FALSE)</f>
        <v>0</v>
      </c>
      <c r="I411" s="118">
        <f>VLOOKUP(C411,'Talente &amp; Stuff'!DO:EP,7,FALSE)</f>
        <v>0</v>
      </c>
      <c r="J411" s="118">
        <f>VLOOKUP(C411,'Talente &amp; Stuff'!DO:EP,8,FALSE)</f>
        <v>0</v>
      </c>
      <c r="K411" s="118">
        <f>VLOOKUP(C411,'Talente &amp; Stuff'!DO:EP,9,FALSE)</f>
        <v>0</v>
      </c>
      <c r="L411" s="118">
        <f>VLOOKUP(C411,'Talente &amp; Stuff'!DO:EP,10,FALSE)</f>
        <v>0</v>
      </c>
      <c r="M411" s="92">
        <f>VLOOKUP(C411,'Talente &amp; Stuff'!DO:EP,11,FALSE)</f>
        <v>0</v>
      </c>
      <c r="N411" s="116">
        <f>VLOOKUP(C411,'Talente &amp; Stuff'!DO:EP,12,FALSE)</f>
        <v>0</v>
      </c>
      <c r="O411" s="116">
        <f>VLOOKUP(C411,'Talente &amp; Stuff'!DO:EP,13,FALSE)</f>
        <v>0</v>
      </c>
      <c r="P411" s="118">
        <f>VLOOKUP(C411,'Talente &amp; Stuff'!DO:EP,14,FALSE)</f>
        <v>0</v>
      </c>
      <c r="Q411" s="191">
        <f>VLOOKUP(C411,'Talente &amp; Stuff'!DO:EP,15,FALSE)</f>
        <v>0</v>
      </c>
      <c r="R411" s="118">
        <f>VLOOKUP(C411,'Talente &amp; Stuff'!DO:EP,16,FALSE)</f>
        <v>0</v>
      </c>
      <c r="S411" s="92">
        <f>VLOOKUP(C411,'Talente &amp; Stuff'!DO:EP,17,FALSE)</f>
        <v>0</v>
      </c>
      <c r="T411" s="91">
        <f>VLOOKUP(C411,'Talente &amp; Stuff'!DO:EP,18,FALSE)</f>
        <v>0</v>
      </c>
      <c r="U411" s="193">
        <f>VLOOKUP(C411,'Talente &amp; Stuff'!DO:EP,19,FALSE)</f>
        <v>0</v>
      </c>
      <c r="V411" s="116">
        <f>VLOOKUP(C411,'Talente &amp; Stuff'!DO:EP,20,FALSE)</f>
        <v>0</v>
      </c>
      <c r="W411" s="126">
        <f>VLOOKUP(C411,'Talente &amp; Stuff'!DO:EP,21,FALSE)</f>
        <v>0</v>
      </c>
      <c r="X411" s="126">
        <f>VLOOKUP(C411,'Talente &amp; Stuff'!DO:EP,22,FALSE)</f>
        <v>0</v>
      </c>
      <c r="Y411" s="165">
        <f t="shared" ref="Y411:Y417" si="32">VLOOKUP(C411,Ausgewählte_Liturgien_Hesinde,139,FALSE)</f>
        <v>0</v>
      </c>
      <c r="Z411" s="44">
        <f t="shared" ref="Z411:Z417" si="33">VLOOKUP(C411,Ausgewählte_Liturgien_Hesinde,140,FALSE)</f>
        <v>0</v>
      </c>
      <c r="AA411" s="158">
        <f>VLOOKUP(C411,'Talente &amp; Stuff'!DO:EP,25,FALSE)</f>
        <v>0</v>
      </c>
      <c r="AB411" s="91">
        <f>VLOOKUP(C411,'Talente &amp; Stuff'!DO:EP,26,FALSE)</f>
        <v>0</v>
      </c>
      <c r="AC411" s="126">
        <f>VLOOKUP(C411,'Talente &amp; Stuff'!DO:EP,27,FALSE)</f>
        <v>0</v>
      </c>
      <c r="AD411" s="158">
        <f>VLOOKUP(C411,'Talente &amp; Stuff'!DO:EP,28,FALSE)</f>
        <v>0</v>
      </c>
      <c r="AE411" s="28"/>
    </row>
    <row r="412" spans="2:31" ht="15" hidden="1" customHeight="1" outlineLevel="2">
      <c r="B412" s="148">
        <v>2</v>
      </c>
      <c r="C412" s="177" t="str">
        <f>Attribute!C412</f>
        <v>---</v>
      </c>
      <c r="D412" s="125" t="str">
        <f>VLOOKUP(C412,'Talente &amp; Stuff'!DO:EP,2,FALSE)</f>
        <v>--/--/--</v>
      </c>
      <c r="E412" s="47" t="str">
        <f>VLOOKUP(C412,'Talente &amp; Stuff'!DO:EP,3,FALSE)</f>
        <v>-</v>
      </c>
      <c r="F412" s="114">
        <f>VLOOKUP(C412,'Talente &amp; Stuff'!DO:EP,4,FALSE)</f>
        <v>0</v>
      </c>
      <c r="G412" s="113">
        <f>VLOOKUP(C412,'Talente &amp; Stuff'!DO:EP,5,FALSE)</f>
        <v>0</v>
      </c>
      <c r="H412" s="113">
        <f>VLOOKUP(C412,'Talente &amp; Stuff'!DO:EP,6,FALSE)</f>
        <v>0</v>
      </c>
      <c r="I412" s="113">
        <f>VLOOKUP(C412,'Talente &amp; Stuff'!DO:EP,7,FALSE)</f>
        <v>0</v>
      </c>
      <c r="J412" s="113">
        <f>VLOOKUP(C412,'Talente &amp; Stuff'!DO:EP,8,FALSE)</f>
        <v>0</v>
      </c>
      <c r="K412" s="113">
        <f>VLOOKUP(C412,'Talente &amp; Stuff'!DO:EP,9,FALSE)</f>
        <v>0</v>
      </c>
      <c r="L412" s="113">
        <f>VLOOKUP(C412,'Talente &amp; Stuff'!DO:EP,10,FALSE)</f>
        <v>0</v>
      </c>
      <c r="M412" s="119">
        <f>VLOOKUP(C412,'Talente &amp; Stuff'!DO:EP,11,FALSE)</f>
        <v>0</v>
      </c>
      <c r="N412" s="47">
        <f>VLOOKUP(C412,'Talente &amp; Stuff'!DO:EP,12,FALSE)</f>
        <v>0</v>
      </c>
      <c r="O412" s="47">
        <f>VLOOKUP(C412,'Talente &amp; Stuff'!DO:EP,13,FALSE)</f>
        <v>0</v>
      </c>
      <c r="P412" s="113">
        <f>VLOOKUP(C412,'Talente &amp; Stuff'!DO:EP,14,FALSE)</f>
        <v>0</v>
      </c>
      <c r="Q412" s="114">
        <f>VLOOKUP(C412,'Talente &amp; Stuff'!DO:EP,15,FALSE)</f>
        <v>0</v>
      </c>
      <c r="R412" s="113">
        <f>VLOOKUP(C412,'Talente &amp; Stuff'!DO:EP,16,FALSE)</f>
        <v>0</v>
      </c>
      <c r="S412" s="119">
        <f>VLOOKUP(C412,'Talente &amp; Stuff'!DO:EP,17,FALSE)</f>
        <v>0</v>
      </c>
      <c r="T412" s="160">
        <f>VLOOKUP(C412,'Talente &amp; Stuff'!DO:EP,18,FALSE)</f>
        <v>0</v>
      </c>
      <c r="U412" s="89">
        <f>VLOOKUP(C412,'Talente &amp; Stuff'!DO:EP,19,FALSE)</f>
        <v>0</v>
      </c>
      <c r="V412" s="47">
        <f>VLOOKUP(C412,'Talente &amp; Stuff'!DO:EP,20,FALSE)</f>
        <v>0</v>
      </c>
      <c r="W412" s="127">
        <f>VLOOKUP(C412,'Talente &amp; Stuff'!DO:EP,21,FALSE)</f>
        <v>0</v>
      </c>
      <c r="X412" s="127">
        <f>VLOOKUP(C412,'Talente &amp; Stuff'!DO:EP,22,FALSE)</f>
        <v>0</v>
      </c>
      <c r="Y412" s="165">
        <f t="shared" si="32"/>
        <v>0</v>
      </c>
      <c r="Z412" s="44">
        <f t="shared" si="33"/>
        <v>0</v>
      </c>
      <c r="AA412" s="125">
        <f>VLOOKUP(C412,'Talente &amp; Stuff'!DO:EP,25,FALSE)</f>
        <v>0</v>
      </c>
      <c r="AB412" s="160">
        <f>VLOOKUP(C412,'Talente &amp; Stuff'!DO:EP,26,FALSE)</f>
        <v>0</v>
      </c>
      <c r="AC412" s="127">
        <f>VLOOKUP(C412,'Talente &amp; Stuff'!DO:EP,27,FALSE)</f>
        <v>0</v>
      </c>
      <c r="AD412" s="125">
        <f>VLOOKUP(C412,'Talente &amp; Stuff'!DO:EP,28,FALSE)</f>
        <v>0</v>
      </c>
      <c r="AE412" s="28"/>
    </row>
    <row r="413" spans="2:31" ht="15" hidden="1" customHeight="1" outlineLevel="2">
      <c r="B413" s="148">
        <v>3</v>
      </c>
      <c r="C413" s="177" t="str">
        <f>Attribute!C413</f>
        <v>---</v>
      </c>
      <c r="D413" s="125" t="str">
        <f>VLOOKUP(C413,'Talente &amp; Stuff'!DO:EP,2,FALSE)</f>
        <v>--/--/--</v>
      </c>
      <c r="E413" s="47" t="str">
        <f>VLOOKUP(C413,'Talente &amp; Stuff'!DO:EP,3,FALSE)</f>
        <v>-</v>
      </c>
      <c r="F413" s="114">
        <f>VLOOKUP(C413,'Talente &amp; Stuff'!DO:EP,4,FALSE)</f>
        <v>0</v>
      </c>
      <c r="G413" s="113">
        <f>VLOOKUP(C413,'Talente &amp; Stuff'!DO:EP,5,FALSE)</f>
        <v>0</v>
      </c>
      <c r="H413" s="113">
        <f>VLOOKUP(C413,'Talente &amp; Stuff'!DO:EP,6,FALSE)</f>
        <v>0</v>
      </c>
      <c r="I413" s="113">
        <f>VLOOKUP(C413,'Talente &amp; Stuff'!DO:EP,7,FALSE)</f>
        <v>0</v>
      </c>
      <c r="J413" s="113">
        <f>VLOOKUP(C413,'Talente &amp; Stuff'!DO:EP,8,FALSE)</f>
        <v>0</v>
      </c>
      <c r="K413" s="113">
        <f>VLOOKUP(C413,'Talente &amp; Stuff'!DO:EP,9,FALSE)</f>
        <v>0</v>
      </c>
      <c r="L413" s="113">
        <f>VLOOKUP(C413,'Talente &amp; Stuff'!DO:EP,10,FALSE)</f>
        <v>0</v>
      </c>
      <c r="M413" s="119">
        <f>VLOOKUP(C413,'Talente &amp; Stuff'!DO:EP,11,FALSE)</f>
        <v>0</v>
      </c>
      <c r="N413" s="47">
        <f>VLOOKUP(C413,'Talente &amp; Stuff'!DO:EP,12,FALSE)</f>
        <v>0</v>
      </c>
      <c r="O413" s="47">
        <f>VLOOKUP(C413,'Talente &amp; Stuff'!DO:EP,13,FALSE)</f>
        <v>0</v>
      </c>
      <c r="P413" s="113">
        <f>VLOOKUP(C413,'Talente &amp; Stuff'!DO:EP,14,FALSE)</f>
        <v>0</v>
      </c>
      <c r="Q413" s="114">
        <f>VLOOKUP(C413,'Talente &amp; Stuff'!DO:EP,15,FALSE)</f>
        <v>0</v>
      </c>
      <c r="R413" s="113">
        <f>VLOOKUP(C413,'Talente &amp; Stuff'!DO:EP,16,FALSE)</f>
        <v>0</v>
      </c>
      <c r="S413" s="119">
        <f>VLOOKUP(C413,'Talente &amp; Stuff'!DO:EP,17,FALSE)</f>
        <v>0</v>
      </c>
      <c r="T413" s="160">
        <f>VLOOKUP(C413,'Talente &amp; Stuff'!DO:EP,18,FALSE)</f>
        <v>0</v>
      </c>
      <c r="U413" s="89">
        <f>VLOOKUP(C413,'Talente &amp; Stuff'!DO:EP,19,FALSE)</f>
        <v>0</v>
      </c>
      <c r="V413" s="47">
        <f>VLOOKUP(C413,'Talente &amp; Stuff'!DO:EP,20,FALSE)</f>
        <v>0</v>
      </c>
      <c r="W413" s="127">
        <f>VLOOKUP(C413,'Talente &amp; Stuff'!DO:EP,21,FALSE)</f>
        <v>0</v>
      </c>
      <c r="X413" s="127">
        <f>VLOOKUP(C413,'Talente &amp; Stuff'!DO:EP,22,FALSE)</f>
        <v>0</v>
      </c>
      <c r="Y413" s="165">
        <f t="shared" si="32"/>
        <v>0</v>
      </c>
      <c r="Z413" s="44">
        <f t="shared" si="33"/>
        <v>0</v>
      </c>
      <c r="AA413" s="125">
        <f>VLOOKUP(C413,'Talente &amp; Stuff'!DO:EP,25,FALSE)</f>
        <v>0</v>
      </c>
      <c r="AB413" s="160">
        <f>VLOOKUP(C413,'Talente &amp; Stuff'!DO:EP,26,FALSE)</f>
        <v>0</v>
      </c>
      <c r="AC413" s="127">
        <f>VLOOKUP(C413,'Talente &amp; Stuff'!DO:EP,27,FALSE)</f>
        <v>0</v>
      </c>
      <c r="AD413" s="125">
        <f>VLOOKUP(C413,'Talente &amp; Stuff'!DO:EP,28,FALSE)</f>
        <v>0</v>
      </c>
      <c r="AE413" s="28"/>
    </row>
    <row r="414" spans="2:31" ht="15" hidden="1" customHeight="1" outlineLevel="2">
      <c r="B414" s="148">
        <v>4</v>
      </c>
      <c r="C414" s="177" t="str">
        <f>Attribute!C414</f>
        <v>---</v>
      </c>
      <c r="D414" s="125" t="str">
        <f>VLOOKUP(C414,'Talente &amp; Stuff'!DO:EP,2,FALSE)</f>
        <v>--/--/--</v>
      </c>
      <c r="E414" s="47" t="str">
        <f>VLOOKUP(C414,'Talente &amp; Stuff'!DO:EP,3,FALSE)</f>
        <v>-</v>
      </c>
      <c r="F414" s="114">
        <f>VLOOKUP(C414,'Talente &amp; Stuff'!DO:EP,4,FALSE)</f>
        <v>0</v>
      </c>
      <c r="G414" s="113">
        <f>VLOOKUP(C414,'Talente &amp; Stuff'!DO:EP,5,FALSE)</f>
        <v>0</v>
      </c>
      <c r="H414" s="113">
        <f>VLOOKUP(C414,'Talente &amp; Stuff'!DO:EP,6,FALSE)</f>
        <v>0</v>
      </c>
      <c r="I414" s="113">
        <f>VLOOKUP(C414,'Talente &amp; Stuff'!DO:EP,7,FALSE)</f>
        <v>0</v>
      </c>
      <c r="J414" s="113">
        <f>VLOOKUP(C414,'Talente &amp; Stuff'!DO:EP,8,FALSE)</f>
        <v>0</v>
      </c>
      <c r="K414" s="113">
        <f>VLOOKUP(C414,'Talente &amp; Stuff'!DO:EP,9,FALSE)</f>
        <v>0</v>
      </c>
      <c r="L414" s="113">
        <f>VLOOKUP(C414,'Talente &amp; Stuff'!DO:EP,10,FALSE)</f>
        <v>0</v>
      </c>
      <c r="M414" s="119">
        <f>VLOOKUP(C414,'Talente &amp; Stuff'!DO:EP,11,FALSE)</f>
        <v>0</v>
      </c>
      <c r="N414" s="47">
        <f>VLOOKUP(C414,'Talente &amp; Stuff'!DO:EP,12,FALSE)</f>
        <v>0</v>
      </c>
      <c r="O414" s="47">
        <f>VLOOKUP(C414,'Talente &amp; Stuff'!DO:EP,13,FALSE)</f>
        <v>0</v>
      </c>
      <c r="P414" s="113">
        <f>VLOOKUP(C414,'Talente &amp; Stuff'!DO:EP,14,FALSE)</f>
        <v>0</v>
      </c>
      <c r="Q414" s="114">
        <f>VLOOKUP(C414,'Talente &amp; Stuff'!DO:EP,15,FALSE)</f>
        <v>0</v>
      </c>
      <c r="R414" s="113">
        <f>VLOOKUP(C414,'Talente &amp; Stuff'!DO:EP,16,FALSE)</f>
        <v>0</v>
      </c>
      <c r="S414" s="119">
        <f>VLOOKUP(C414,'Talente &amp; Stuff'!DO:EP,17,FALSE)</f>
        <v>0</v>
      </c>
      <c r="T414" s="160">
        <f>VLOOKUP(C414,'Talente &amp; Stuff'!DO:EP,18,FALSE)</f>
        <v>0</v>
      </c>
      <c r="U414" s="89">
        <f>VLOOKUP(C414,'Talente &amp; Stuff'!DO:EP,19,FALSE)</f>
        <v>0</v>
      </c>
      <c r="V414" s="47">
        <f>VLOOKUP(C414,'Talente &amp; Stuff'!DO:EP,20,FALSE)</f>
        <v>0</v>
      </c>
      <c r="W414" s="127">
        <f>VLOOKUP(C414,'Talente &amp; Stuff'!DO:EP,21,FALSE)</f>
        <v>0</v>
      </c>
      <c r="X414" s="127">
        <f>VLOOKUP(C414,'Talente &amp; Stuff'!DO:EP,22,FALSE)</f>
        <v>0</v>
      </c>
      <c r="Y414" s="165">
        <f t="shared" si="32"/>
        <v>0</v>
      </c>
      <c r="Z414" s="44">
        <f t="shared" si="33"/>
        <v>0</v>
      </c>
      <c r="AA414" s="125">
        <f>VLOOKUP(C414,'Talente &amp; Stuff'!DO:EP,25,FALSE)</f>
        <v>0</v>
      </c>
      <c r="AB414" s="160">
        <f>VLOOKUP(C414,'Talente &amp; Stuff'!DO:EP,26,FALSE)</f>
        <v>0</v>
      </c>
      <c r="AC414" s="127">
        <f>VLOOKUP(C414,'Talente &amp; Stuff'!DO:EP,27,FALSE)</f>
        <v>0</v>
      </c>
      <c r="AD414" s="125">
        <f>VLOOKUP(C414,'Talente &amp; Stuff'!DO:EP,28,FALSE)</f>
        <v>0</v>
      </c>
      <c r="AE414" s="28"/>
    </row>
    <row r="415" spans="2:31" ht="15" hidden="1" customHeight="1" outlineLevel="2">
      <c r="B415" s="148">
        <v>5</v>
      </c>
      <c r="C415" s="177" t="str">
        <f>Attribute!C415</f>
        <v>---</v>
      </c>
      <c r="D415" s="125" t="str">
        <f>VLOOKUP(C415,'Talente &amp; Stuff'!DO:EP,2,FALSE)</f>
        <v>--/--/--</v>
      </c>
      <c r="E415" s="47" t="str">
        <f>VLOOKUP(C415,'Talente &amp; Stuff'!DO:EP,3,FALSE)</f>
        <v>-</v>
      </c>
      <c r="F415" s="114">
        <f>VLOOKUP(C415,'Talente &amp; Stuff'!DO:EP,4,FALSE)</f>
        <v>0</v>
      </c>
      <c r="G415" s="113">
        <f>VLOOKUP(C415,'Talente &amp; Stuff'!DO:EP,5,FALSE)</f>
        <v>0</v>
      </c>
      <c r="H415" s="113">
        <f>VLOOKUP(C415,'Talente &amp; Stuff'!DO:EP,6,FALSE)</f>
        <v>0</v>
      </c>
      <c r="I415" s="113">
        <f>VLOOKUP(C415,'Talente &amp; Stuff'!DO:EP,7,FALSE)</f>
        <v>0</v>
      </c>
      <c r="J415" s="113">
        <f>VLOOKUP(C415,'Talente &amp; Stuff'!DO:EP,8,FALSE)</f>
        <v>0</v>
      </c>
      <c r="K415" s="113">
        <f>VLOOKUP(C415,'Talente &amp; Stuff'!DO:EP,9,FALSE)</f>
        <v>0</v>
      </c>
      <c r="L415" s="113">
        <f>VLOOKUP(C415,'Talente &amp; Stuff'!DO:EP,10,FALSE)</f>
        <v>0</v>
      </c>
      <c r="M415" s="119">
        <f>VLOOKUP(C415,'Talente &amp; Stuff'!DO:EP,11,FALSE)</f>
        <v>0</v>
      </c>
      <c r="N415" s="47">
        <f>VLOOKUP(C415,'Talente &amp; Stuff'!DO:EP,12,FALSE)</f>
        <v>0</v>
      </c>
      <c r="O415" s="47">
        <f>VLOOKUP(C415,'Talente &amp; Stuff'!DO:EP,13,FALSE)</f>
        <v>0</v>
      </c>
      <c r="P415" s="113">
        <f>VLOOKUP(C415,'Talente &amp; Stuff'!DO:EP,14,FALSE)</f>
        <v>0</v>
      </c>
      <c r="Q415" s="114">
        <f>VLOOKUP(C415,'Talente &amp; Stuff'!DO:EP,15,FALSE)</f>
        <v>0</v>
      </c>
      <c r="R415" s="113">
        <f>VLOOKUP(C415,'Talente &amp; Stuff'!DO:EP,16,FALSE)</f>
        <v>0</v>
      </c>
      <c r="S415" s="119">
        <f>VLOOKUP(C415,'Talente &amp; Stuff'!DO:EP,17,FALSE)</f>
        <v>0</v>
      </c>
      <c r="T415" s="160">
        <f>VLOOKUP(C415,'Talente &amp; Stuff'!DO:EP,18,FALSE)</f>
        <v>0</v>
      </c>
      <c r="U415" s="89">
        <f>VLOOKUP(C415,'Talente &amp; Stuff'!DO:EP,19,FALSE)</f>
        <v>0</v>
      </c>
      <c r="V415" s="47">
        <f>VLOOKUP(C415,'Talente &amp; Stuff'!DO:EP,20,FALSE)</f>
        <v>0</v>
      </c>
      <c r="W415" s="127">
        <f>VLOOKUP(C415,'Talente &amp; Stuff'!DO:EP,21,FALSE)</f>
        <v>0</v>
      </c>
      <c r="X415" s="127">
        <f>VLOOKUP(C415,'Talente &amp; Stuff'!DO:EP,22,FALSE)</f>
        <v>0</v>
      </c>
      <c r="Y415" s="165">
        <f t="shared" si="32"/>
        <v>0</v>
      </c>
      <c r="Z415" s="44">
        <f t="shared" si="33"/>
        <v>0</v>
      </c>
      <c r="AA415" s="125">
        <f>VLOOKUP(C415,'Talente &amp; Stuff'!DO:EP,25,FALSE)</f>
        <v>0</v>
      </c>
      <c r="AB415" s="160">
        <f>VLOOKUP(C415,'Talente &amp; Stuff'!DO:EP,26,FALSE)</f>
        <v>0</v>
      </c>
      <c r="AC415" s="127">
        <f>VLOOKUP(C415,'Talente &amp; Stuff'!DO:EP,27,FALSE)</f>
        <v>0</v>
      </c>
      <c r="AD415" s="125">
        <f>VLOOKUP(C415,'Talente &amp; Stuff'!DO:EP,28,FALSE)</f>
        <v>0</v>
      </c>
      <c r="AE415" s="28"/>
    </row>
    <row r="416" spans="2:31" ht="15" hidden="1" customHeight="1" outlineLevel="2">
      <c r="B416" s="148">
        <v>6</v>
      </c>
      <c r="C416" s="177" t="str">
        <f>Attribute!C416</f>
        <v>---</v>
      </c>
      <c r="D416" s="125" t="str">
        <f>VLOOKUP(C416,'Talente &amp; Stuff'!DO:EP,2,FALSE)</f>
        <v>--/--/--</v>
      </c>
      <c r="E416" s="47" t="str">
        <f>VLOOKUP(C416,'Talente &amp; Stuff'!DO:EP,3,FALSE)</f>
        <v>-</v>
      </c>
      <c r="F416" s="114">
        <f>VLOOKUP(C416,'Talente &amp; Stuff'!DO:EP,4,FALSE)</f>
        <v>0</v>
      </c>
      <c r="G416" s="113">
        <f>VLOOKUP(C416,'Talente &amp; Stuff'!DO:EP,5,FALSE)</f>
        <v>0</v>
      </c>
      <c r="H416" s="113">
        <f>VLOOKUP(C416,'Talente &amp; Stuff'!DO:EP,6,FALSE)</f>
        <v>0</v>
      </c>
      <c r="I416" s="113">
        <f>VLOOKUP(C416,'Talente &amp; Stuff'!DO:EP,7,FALSE)</f>
        <v>0</v>
      </c>
      <c r="J416" s="113">
        <f>VLOOKUP(C416,'Talente &amp; Stuff'!DO:EP,8,FALSE)</f>
        <v>0</v>
      </c>
      <c r="K416" s="113">
        <f>VLOOKUP(C416,'Talente &amp; Stuff'!DO:EP,9,FALSE)</f>
        <v>0</v>
      </c>
      <c r="L416" s="113">
        <f>VLOOKUP(C416,'Talente &amp; Stuff'!DO:EP,10,FALSE)</f>
        <v>0</v>
      </c>
      <c r="M416" s="119">
        <f>VLOOKUP(C416,'Talente &amp; Stuff'!DO:EP,11,FALSE)</f>
        <v>0</v>
      </c>
      <c r="N416" s="47">
        <f>VLOOKUP(C416,'Talente &amp; Stuff'!DO:EP,12,FALSE)</f>
        <v>0</v>
      </c>
      <c r="O416" s="47">
        <f>VLOOKUP(C416,'Talente &amp; Stuff'!DO:EP,13,FALSE)</f>
        <v>0</v>
      </c>
      <c r="P416" s="113">
        <f>VLOOKUP(C416,'Talente &amp; Stuff'!DO:EP,14,FALSE)</f>
        <v>0</v>
      </c>
      <c r="Q416" s="114">
        <f>VLOOKUP(C416,'Talente &amp; Stuff'!DO:EP,15,FALSE)</f>
        <v>0</v>
      </c>
      <c r="R416" s="113">
        <f>VLOOKUP(C416,'Talente &amp; Stuff'!DO:EP,16,FALSE)</f>
        <v>0</v>
      </c>
      <c r="S416" s="119">
        <f>VLOOKUP(C416,'Talente &amp; Stuff'!DO:EP,17,FALSE)</f>
        <v>0</v>
      </c>
      <c r="T416" s="160">
        <f>VLOOKUP(C416,'Talente &amp; Stuff'!DO:EP,18,FALSE)</f>
        <v>0</v>
      </c>
      <c r="U416" s="89">
        <f>VLOOKUP(C416,'Talente &amp; Stuff'!DO:EP,19,FALSE)</f>
        <v>0</v>
      </c>
      <c r="V416" s="47">
        <f>VLOOKUP(C416,'Talente &amp; Stuff'!DO:EP,20,FALSE)</f>
        <v>0</v>
      </c>
      <c r="W416" s="127">
        <f>VLOOKUP(C416,'Talente &amp; Stuff'!DO:EP,21,FALSE)</f>
        <v>0</v>
      </c>
      <c r="X416" s="127">
        <f>VLOOKUP(C416,'Talente &amp; Stuff'!DO:EP,22,FALSE)</f>
        <v>0</v>
      </c>
      <c r="Y416" s="165">
        <f t="shared" si="32"/>
        <v>0</v>
      </c>
      <c r="Z416" s="44">
        <f t="shared" si="33"/>
        <v>0</v>
      </c>
      <c r="AA416" s="125">
        <f>VLOOKUP(C416,'Talente &amp; Stuff'!DO:EP,25,FALSE)</f>
        <v>0</v>
      </c>
      <c r="AB416" s="160">
        <f>VLOOKUP(C416,'Talente &amp; Stuff'!DO:EP,26,FALSE)</f>
        <v>0</v>
      </c>
      <c r="AC416" s="127">
        <f>VLOOKUP(C416,'Talente &amp; Stuff'!DO:EP,27,FALSE)</f>
        <v>0</v>
      </c>
      <c r="AD416" s="125">
        <f>VLOOKUP(C416,'Talente &amp; Stuff'!DO:EP,28,FALSE)</f>
        <v>0</v>
      </c>
      <c r="AE416" s="28"/>
    </row>
    <row r="417" spans="2:31" ht="15" hidden="1" customHeight="1" outlineLevel="2">
      <c r="B417" s="148">
        <v>7</v>
      </c>
      <c r="C417" s="178" t="str">
        <f>Attribute!C417</f>
        <v>---</v>
      </c>
      <c r="D417" s="159" t="str">
        <f>VLOOKUP(C417,'Talente &amp; Stuff'!DO:EP,2,FALSE)</f>
        <v>--/--/--</v>
      </c>
      <c r="E417" s="88" t="str">
        <f>VLOOKUP(C417,'Talente &amp; Stuff'!DO:EP,3,FALSE)</f>
        <v>-</v>
      </c>
      <c r="F417" s="115">
        <f>VLOOKUP(C417,'Talente &amp; Stuff'!DO:EP,4,FALSE)</f>
        <v>0</v>
      </c>
      <c r="G417" s="122">
        <f>VLOOKUP(C417,'Talente &amp; Stuff'!DO:EP,5,FALSE)</f>
        <v>0</v>
      </c>
      <c r="H417" s="122">
        <f>VLOOKUP(C417,'Talente &amp; Stuff'!DO:EP,6,FALSE)</f>
        <v>0</v>
      </c>
      <c r="I417" s="122">
        <f>VLOOKUP(C417,'Talente &amp; Stuff'!DO:EP,7,FALSE)</f>
        <v>0</v>
      </c>
      <c r="J417" s="122">
        <f>VLOOKUP(C417,'Talente &amp; Stuff'!DO:EP,8,FALSE)</f>
        <v>0</v>
      </c>
      <c r="K417" s="122">
        <f>VLOOKUP(C417,'Talente &amp; Stuff'!DO:EP,9,FALSE)</f>
        <v>0</v>
      </c>
      <c r="L417" s="122">
        <f>VLOOKUP(C417,'Talente &amp; Stuff'!DO:EP,10,FALSE)</f>
        <v>0</v>
      </c>
      <c r="M417" s="123">
        <f>VLOOKUP(C417,'Talente &amp; Stuff'!DO:EP,11,FALSE)</f>
        <v>0</v>
      </c>
      <c r="N417" s="88">
        <f>VLOOKUP(C417,'Talente &amp; Stuff'!DO:EP,12,FALSE)</f>
        <v>0</v>
      </c>
      <c r="O417" s="88">
        <f>VLOOKUP(C417,'Talente &amp; Stuff'!DO:EP,13,FALSE)</f>
        <v>0</v>
      </c>
      <c r="P417" s="122">
        <f>VLOOKUP(C417,'Talente &amp; Stuff'!DO:EP,14,FALSE)</f>
        <v>0</v>
      </c>
      <c r="Q417" s="115">
        <f>VLOOKUP(C417,'Talente &amp; Stuff'!DO:EP,15,FALSE)</f>
        <v>0</v>
      </c>
      <c r="R417" s="122">
        <f>VLOOKUP(C417,'Talente &amp; Stuff'!DO:EP,16,FALSE)</f>
        <v>0</v>
      </c>
      <c r="S417" s="123">
        <f>VLOOKUP(C417,'Talente &amp; Stuff'!DO:EP,17,FALSE)</f>
        <v>0</v>
      </c>
      <c r="T417" s="161">
        <f>VLOOKUP(C417,'Talente &amp; Stuff'!DO:EP,18,FALSE)</f>
        <v>0</v>
      </c>
      <c r="U417" s="90">
        <f>VLOOKUP(C417,'Talente &amp; Stuff'!DO:EP,19,FALSE)</f>
        <v>0</v>
      </c>
      <c r="V417" s="88">
        <f>VLOOKUP(C417,'Talente &amp; Stuff'!DO:EP,20,FALSE)</f>
        <v>0</v>
      </c>
      <c r="W417" s="128">
        <f>VLOOKUP(C417,'Talente &amp; Stuff'!DO:EP,21,FALSE)</f>
        <v>0</v>
      </c>
      <c r="X417" s="128">
        <f>VLOOKUP(C417,'Talente &amp; Stuff'!DO:EP,22,FALSE)</f>
        <v>0</v>
      </c>
      <c r="Y417" s="165">
        <f t="shared" si="32"/>
        <v>0</v>
      </c>
      <c r="Z417" s="44">
        <f t="shared" si="33"/>
        <v>0</v>
      </c>
      <c r="AA417" s="159">
        <f>VLOOKUP(C417,'Talente &amp; Stuff'!DO:EP,25,FALSE)</f>
        <v>0</v>
      </c>
      <c r="AB417" s="161">
        <f>VLOOKUP(C417,'Talente &amp; Stuff'!DO:EP,26,FALSE)</f>
        <v>0</v>
      </c>
      <c r="AC417" s="128">
        <f>VLOOKUP(C417,'Talente &amp; Stuff'!DO:EP,27,FALSE)</f>
        <v>0</v>
      </c>
      <c r="AD417" s="159">
        <f>VLOOKUP(C417,'Talente &amp; Stuff'!DO:EP,28,FALSE)</f>
        <v>0</v>
      </c>
      <c r="AE417" s="28"/>
    </row>
    <row r="418" spans="2:31" ht="15" hidden="1" customHeight="1" outlineLevel="1" collapsed="1">
      <c r="B418" s="134" t="s">
        <v>324</v>
      </c>
      <c r="C418" s="83"/>
      <c r="D418" s="84"/>
      <c r="E418" s="84"/>
    </row>
    <row r="419" spans="2:31" ht="15" hidden="1" customHeight="1" outlineLevel="2">
      <c r="B419" s="148">
        <v>1</v>
      </c>
      <c r="C419" s="176" t="str">
        <f>Attribute!C419</f>
        <v>---</v>
      </c>
      <c r="D419" s="158" t="str">
        <f>VLOOKUP(C419,'Talente &amp; Stuff'!DO:EP,2,FALSE)</f>
        <v>--/--/--</v>
      </c>
      <c r="E419" s="116" t="str">
        <f>VLOOKUP(C419,'Talente &amp; Stuff'!DO:EP,3,FALSE)</f>
        <v>-</v>
      </c>
      <c r="F419" s="191">
        <f>VLOOKUP(C419,'Talente &amp; Stuff'!DO:EP,4,FALSE)</f>
        <v>0</v>
      </c>
      <c r="G419" s="118">
        <f>VLOOKUP(C419,'Talente &amp; Stuff'!DO:EP,5,FALSE)</f>
        <v>0</v>
      </c>
      <c r="H419" s="118">
        <f>VLOOKUP(C419,'Talente &amp; Stuff'!DO:EP,6,FALSE)</f>
        <v>0</v>
      </c>
      <c r="I419" s="118">
        <f>VLOOKUP(C419,'Talente &amp; Stuff'!DO:EP,7,FALSE)</f>
        <v>0</v>
      </c>
      <c r="J419" s="118">
        <f>VLOOKUP(C419,'Talente &amp; Stuff'!DO:EP,8,FALSE)</f>
        <v>0</v>
      </c>
      <c r="K419" s="118">
        <f>VLOOKUP(C419,'Talente &amp; Stuff'!DO:EP,9,FALSE)</f>
        <v>0</v>
      </c>
      <c r="L419" s="118">
        <f>VLOOKUP(C419,'Talente &amp; Stuff'!DO:EP,10,FALSE)</f>
        <v>0</v>
      </c>
      <c r="M419" s="92">
        <f>VLOOKUP(C419,'Talente &amp; Stuff'!DO:EP,11,FALSE)</f>
        <v>0</v>
      </c>
      <c r="N419" s="116">
        <f>VLOOKUP(C419,'Talente &amp; Stuff'!DO:EP,12,FALSE)</f>
        <v>0</v>
      </c>
      <c r="O419" s="116">
        <f>VLOOKUP(C419,'Talente &amp; Stuff'!DO:EP,13,FALSE)</f>
        <v>0</v>
      </c>
      <c r="P419" s="118">
        <f>VLOOKUP(C419,'Talente &amp; Stuff'!DO:EP,14,FALSE)</f>
        <v>0</v>
      </c>
      <c r="Q419" s="191">
        <f>VLOOKUP(C419,'Talente &amp; Stuff'!DO:EP,15,FALSE)</f>
        <v>0</v>
      </c>
      <c r="R419" s="118">
        <f>VLOOKUP(C419,'Talente &amp; Stuff'!DO:EP,16,FALSE)</f>
        <v>0</v>
      </c>
      <c r="S419" s="92">
        <f>VLOOKUP(C419,'Talente &amp; Stuff'!DO:EP,17,FALSE)</f>
        <v>0</v>
      </c>
      <c r="T419" s="91">
        <f>VLOOKUP(C419,'Talente &amp; Stuff'!DO:EP,18,FALSE)</f>
        <v>0</v>
      </c>
      <c r="U419" s="193">
        <f>VLOOKUP(C419,'Talente &amp; Stuff'!DO:EP,19,FALSE)</f>
        <v>0</v>
      </c>
      <c r="V419" s="116">
        <f>VLOOKUP(C419,'Talente &amp; Stuff'!DO:EP,20,FALSE)</f>
        <v>0</v>
      </c>
      <c r="W419" s="126">
        <f>VLOOKUP(C419,'Talente &amp; Stuff'!DO:EP,21,FALSE)</f>
        <v>0</v>
      </c>
      <c r="X419" s="126">
        <f>VLOOKUP(C419,'Talente &amp; Stuff'!DO:EP,22,FALSE)</f>
        <v>0</v>
      </c>
      <c r="Y419" s="165">
        <f>VLOOKUP(C419,Ausgewählte_Liturgien_Peraine,139,FALSE)</f>
        <v>0</v>
      </c>
      <c r="Z419" s="44">
        <f>VLOOKUP(C419,Ausgewählte_Liturgien_Peraine,140,FALSE)</f>
        <v>0</v>
      </c>
      <c r="AA419" s="158">
        <f>VLOOKUP(C419,'Talente &amp; Stuff'!DO:EP,25,FALSE)</f>
        <v>0</v>
      </c>
      <c r="AB419" s="91">
        <f>VLOOKUP(C419,'Talente &amp; Stuff'!DO:EP,26,FALSE)</f>
        <v>0</v>
      </c>
      <c r="AC419" s="126">
        <f>VLOOKUP(C419,'Talente &amp; Stuff'!DO:EP,27,FALSE)</f>
        <v>0</v>
      </c>
      <c r="AD419" s="158">
        <f>VLOOKUP(C419,'Talente &amp; Stuff'!DO:EP,28,FALSE)</f>
        <v>0</v>
      </c>
      <c r="AE419" s="28"/>
    </row>
    <row r="420" spans="2:31" ht="15" hidden="1" customHeight="1" outlineLevel="2">
      <c r="B420" s="148">
        <v>2</v>
      </c>
      <c r="C420" s="177" t="str">
        <f>Attribute!C420</f>
        <v>---</v>
      </c>
      <c r="D420" s="125" t="str">
        <f>VLOOKUP(C420,'Talente &amp; Stuff'!DO:EP,2,FALSE)</f>
        <v>--/--/--</v>
      </c>
      <c r="E420" s="47" t="str">
        <f>VLOOKUP(C420,'Talente &amp; Stuff'!DO:EP,3,FALSE)</f>
        <v>-</v>
      </c>
      <c r="F420" s="114">
        <f>VLOOKUP(C420,'Talente &amp; Stuff'!DO:EP,4,FALSE)</f>
        <v>0</v>
      </c>
      <c r="G420" s="113">
        <f>VLOOKUP(C420,'Talente &amp; Stuff'!DO:EP,5,FALSE)</f>
        <v>0</v>
      </c>
      <c r="H420" s="113">
        <f>VLOOKUP(C420,'Talente &amp; Stuff'!DO:EP,6,FALSE)</f>
        <v>0</v>
      </c>
      <c r="I420" s="113">
        <f>VLOOKUP(C420,'Talente &amp; Stuff'!DO:EP,7,FALSE)</f>
        <v>0</v>
      </c>
      <c r="J420" s="113">
        <f>VLOOKUP(C420,'Talente &amp; Stuff'!DO:EP,8,FALSE)</f>
        <v>0</v>
      </c>
      <c r="K420" s="113">
        <f>VLOOKUP(C420,'Talente &amp; Stuff'!DO:EP,9,FALSE)</f>
        <v>0</v>
      </c>
      <c r="L420" s="113">
        <f>VLOOKUP(C420,'Talente &amp; Stuff'!DO:EP,10,FALSE)</f>
        <v>0</v>
      </c>
      <c r="M420" s="119">
        <f>VLOOKUP(C420,'Talente &amp; Stuff'!DO:EP,11,FALSE)</f>
        <v>0</v>
      </c>
      <c r="N420" s="47">
        <f>VLOOKUP(C420,'Talente &amp; Stuff'!DO:EP,12,FALSE)</f>
        <v>0</v>
      </c>
      <c r="O420" s="47">
        <f>VLOOKUP(C420,'Talente &amp; Stuff'!DO:EP,13,FALSE)</f>
        <v>0</v>
      </c>
      <c r="P420" s="113">
        <f>VLOOKUP(C420,'Talente &amp; Stuff'!DO:EP,14,FALSE)</f>
        <v>0</v>
      </c>
      <c r="Q420" s="114">
        <f>VLOOKUP(C420,'Talente &amp; Stuff'!DO:EP,15,FALSE)</f>
        <v>0</v>
      </c>
      <c r="R420" s="113">
        <f>VLOOKUP(C420,'Talente &amp; Stuff'!DO:EP,16,FALSE)</f>
        <v>0</v>
      </c>
      <c r="S420" s="119">
        <f>VLOOKUP(C420,'Talente &amp; Stuff'!DO:EP,17,FALSE)</f>
        <v>0</v>
      </c>
      <c r="T420" s="160">
        <f>VLOOKUP(C420,'Talente &amp; Stuff'!DO:EP,18,FALSE)</f>
        <v>0</v>
      </c>
      <c r="U420" s="89">
        <f>VLOOKUP(C420,'Talente &amp; Stuff'!DO:EP,19,FALSE)</f>
        <v>0</v>
      </c>
      <c r="V420" s="47">
        <f>VLOOKUP(C420,'Talente &amp; Stuff'!DO:EP,20,FALSE)</f>
        <v>0</v>
      </c>
      <c r="W420" s="127">
        <f>VLOOKUP(C420,'Talente &amp; Stuff'!DO:EP,21,FALSE)</f>
        <v>0</v>
      </c>
      <c r="X420" s="127">
        <f>VLOOKUP(C420,'Talente &amp; Stuff'!DO:EP,22,FALSE)</f>
        <v>0</v>
      </c>
      <c r="Y420" s="165">
        <f>VLOOKUP(C420,Ausgewählte_Liturgien_Peraine,139,FALSE)</f>
        <v>0</v>
      </c>
      <c r="Z420" s="44">
        <f>VLOOKUP(C420,Ausgewählte_Liturgien_Peraine,140,FALSE)</f>
        <v>0</v>
      </c>
      <c r="AA420" s="125">
        <f>VLOOKUP(C420,'Talente &amp; Stuff'!DO:EP,25,FALSE)</f>
        <v>0</v>
      </c>
      <c r="AB420" s="160">
        <f>VLOOKUP(C420,'Talente &amp; Stuff'!DO:EP,26,FALSE)</f>
        <v>0</v>
      </c>
      <c r="AC420" s="127">
        <f>VLOOKUP(C420,'Talente &amp; Stuff'!DO:EP,27,FALSE)</f>
        <v>0</v>
      </c>
      <c r="AD420" s="125">
        <f>VLOOKUP(C420,'Talente &amp; Stuff'!DO:EP,28,FALSE)</f>
        <v>0</v>
      </c>
      <c r="AE420" s="28"/>
    </row>
    <row r="421" spans="2:31" ht="15" hidden="1" customHeight="1" outlineLevel="2">
      <c r="B421" s="148">
        <v>3</v>
      </c>
      <c r="C421" s="177" t="str">
        <f>Attribute!C421</f>
        <v>---</v>
      </c>
      <c r="D421" s="125" t="str">
        <f>VLOOKUP(C421,'Talente &amp; Stuff'!DO:EP,2,FALSE)</f>
        <v>--/--/--</v>
      </c>
      <c r="E421" s="47" t="str">
        <f>VLOOKUP(C421,'Talente &amp; Stuff'!DO:EP,3,FALSE)</f>
        <v>-</v>
      </c>
      <c r="F421" s="114">
        <f>VLOOKUP(C421,'Talente &amp; Stuff'!DO:EP,4,FALSE)</f>
        <v>0</v>
      </c>
      <c r="G421" s="113">
        <f>VLOOKUP(C421,'Talente &amp; Stuff'!DO:EP,5,FALSE)</f>
        <v>0</v>
      </c>
      <c r="H421" s="113">
        <f>VLOOKUP(C421,'Talente &amp; Stuff'!DO:EP,6,FALSE)</f>
        <v>0</v>
      </c>
      <c r="I421" s="113">
        <f>VLOOKUP(C421,'Talente &amp; Stuff'!DO:EP,7,FALSE)</f>
        <v>0</v>
      </c>
      <c r="J421" s="113">
        <f>VLOOKUP(C421,'Talente &amp; Stuff'!DO:EP,8,FALSE)</f>
        <v>0</v>
      </c>
      <c r="K421" s="113">
        <f>VLOOKUP(C421,'Talente &amp; Stuff'!DO:EP,9,FALSE)</f>
        <v>0</v>
      </c>
      <c r="L421" s="113">
        <f>VLOOKUP(C421,'Talente &amp; Stuff'!DO:EP,10,FALSE)</f>
        <v>0</v>
      </c>
      <c r="M421" s="119">
        <f>VLOOKUP(C421,'Talente &amp; Stuff'!DO:EP,11,FALSE)</f>
        <v>0</v>
      </c>
      <c r="N421" s="47">
        <f>VLOOKUP(C421,'Talente &amp; Stuff'!DO:EP,12,FALSE)</f>
        <v>0</v>
      </c>
      <c r="O421" s="47">
        <f>VLOOKUP(C421,'Talente &amp; Stuff'!DO:EP,13,FALSE)</f>
        <v>0</v>
      </c>
      <c r="P421" s="113">
        <f>VLOOKUP(C421,'Talente &amp; Stuff'!DO:EP,14,FALSE)</f>
        <v>0</v>
      </c>
      <c r="Q421" s="114">
        <f>VLOOKUP(C421,'Talente &amp; Stuff'!DO:EP,15,FALSE)</f>
        <v>0</v>
      </c>
      <c r="R421" s="113">
        <f>VLOOKUP(C421,'Talente &amp; Stuff'!DO:EP,16,FALSE)</f>
        <v>0</v>
      </c>
      <c r="S421" s="119">
        <f>VLOOKUP(C421,'Talente &amp; Stuff'!DO:EP,17,FALSE)</f>
        <v>0</v>
      </c>
      <c r="T421" s="160">
        <f>VLOOKUP(C421,'Talente &amp; Stuff'!DO:EP,18,FALSE)</f>
        <v>0</v>
      </c>
      <c r="U421" s="89">
        <f>VLOOKUP(C421,'Talente &amp; Stuff'!DO:EP,19,FALSE)</f>
        <v>0</v>
      </c>
      <c r="V421" s="47">
        <f>VLOOKUP(C421,'Talente &amp; Stuff'!DO:EP,20,FALSE)</f>
        <v>0</v>
      </c>
      <c r="W421" s="127">
        <f>VLOOKUP(C421,'Talente &amp; Stuff'!DO:EP,21,FALSE)</f>
        <v>0</v>
      </c>
      <c r="X421" s="127">
        <f>VLOOKUP(C421,'Talente &amp; Stuff'!DO:EP,22,FALSE)</f>
        <v>0</v>
      </c>
      <c r="Y421" s="165">
        <f>VLOOKUP(C421,Ausgewählte_Liturgien_Peraine,139,FALSE)</f>
        <v>0</v>
      </c>
      <c r="Z421" s="44">
        <f>VLOOKUP(C421,Ausgewählte_Liturgien_Peraine,140,FALSE)</f>
        <v>0</v>
      </c>
      <c r="AA421" s="125">
        <f>VLOOKUP(C421,'Talente &amp; Stuff'!DO:EP,25,FALSE)</f>
        <v>0</v>
      </c>
      <c r="AB421" s="160">
        <f>VLOOKUP(C421,'Talente &amp; Stuff'!DO:EP,26,FALSE)</f>
        <v>0</v>
      </c>
      <c r="AC421" s="127">
        <f>VLOOKUP(C421,'Talente &amp; Stuff'!DO:EP,27,FALSE)</f>
        <v>0</v>
      </c>
      <c r="AD421" s="125">
        <f>VLOOKUP(C421,'Talente &amp; Stuff'!DO:EP,28,FALSE)</f>
        <v>0</v>
      </c>
      <c r="AE421" s="28"/>
    </row>
    <row r="422" spans="2:31" ht="15" hidden="1" customHeight="1" outlineLevel="2">
      <c r="B422" s="148">
        <v>4</v>
      </c>
      <c r="C422" s="177" t="str">
        <f>Attribute!C422</f>
        <v>---</v>
      </c>
      <c r="D422" s="125" t="str">
        <f>VLOOKUP(C422,'Talente &amp; Stuff'!DO:EP,2,FALSE)</f>
        <v>--/--/--</v>
      </c>
      <c r="E422" s="47" t="str">
        <f>VLOOKUP(C422,'Talente &amp; Stuff'!DO:EP,3,FALSE)</f>
        <v>-</v>
      </c>
      <c r="F422" s="114">
        <f>VLOOKUP(C422,'Talente &amp; Stuff'!DO:EP,4,FALSE)</f>
        <v>0</v>
      </c>
      <c r="G422" s="113">
        <f>VLOOKUP(C422,'Talente &amp; Stuff'!DO:EP,5,FALSE)</f>
        <v>0</v>
      </c>
      <c r="H422" s="113">
        <f>VLOOKUP(C422,'Talente &amp; Stuff'!DO:EP,6,FALSE)</f>
        <v>0</v>
      </c>
      <c r="I422" s="113">
        <f>VLOOKUP(C422,'Talente &amp; Stuff'!DO:EP,7,FALSE)</f>
        <v>0</v>
      </c>
      <c r="J422" s="113">
        <f>VLOOKUP(C422,'Talente &amp; Stuff'!DO:EP,8,FALSE)</f>
        <v>0</v>
      </c>
      <c r="K422" s="113">
        <f>VLOOKUP(C422,'Talente &amp; Stuff'!DO:EP,9,FALSE)</f>
        <v>0</v>
      </c>
      <c r="L422" s="113">
        <f>VLOOKUP(C422,'Talente &amp; Stuff'!DO:EP,10,FALSE)</f>
        <v>0</v>
      </c>
      <c r="M422" s="119">
        <f>VLOOKUP(C422,'Talente &amp; Stuff'!DO:EP,11,FALSE)</f>
        <v>0</v>
      </c>
      <c r="N422" s="47">
        <f>VLOOKUP(C422,'Talente &amp; Stuff'!DO:EP,12,FALSE)</f>
        <v>0</v>
      </c>
      <c r="O422" s="47">
        <f>VLOOKUP(C422,'Talente &amp; Stuff'!DO:EP,13,FALSE)</f>
        <v>0</v>
      </c>
      <c r="P422" s="113">
        <f>VLOOKUP(C422,'Talente &amp; Stuff'!DO:EP,14,FALSE)</f>
        <v>0</v>
      </c>
      <c r="Q422" s="114">
        <f>VLOOKUP(C422,'Talente &amp; Stuff'!DO:EP,15,FALSE)</f>
        <v>0</v>
      </c>
      <c r="R422" s="113">
        <f>VLOOKUP(C422,'Talente &amp; Stuff'!DO:EP,16,FALSE)</f>
        <v>0</v>
      </c>
      <c r="S422" s="119">
        <f>VLOOKUP(C422,'Talente &amp; Stuff'!DO:EP,17,FALSE)</f>
        <v>0</v>
      </c>
      <c r="T422" s="160">
        <f>VLOOKUP(C422,'Talente &amp; Stuff'!DO:EP,18,FALSE)</f>
        <v>0</v>
      </c>
      <c r="U422" s="89">
        <f>VLOOKUP(C422,'Talente &amp; Stuff'!DO:EP,19,FALSE)</f>
        <v>0</v>
      </c>
      <c r="V422" s="47">
        <f>VLOOKUP(C422,'Talente &amp; Stuff'!DO:EP,20,FALSE)</f>
        <v>0</v>
      </c>
      <c r="W422" s="127">
        <f>VLOOKUP(C422,'Talente &amp; Stuff'!DO:EP,21,FALSE)</f>
        <v>0</v>
      </c>
      <c r="X422" s="127">
        <f>VLOOKUP(C422,'Talente &amp; Stuff'!DO:EP,22,FALSE)</f>
        <v>0</v>
      </c>
      <c r="Y422" s="165">
        <f>VLOOKUP(C422,Ausgewählte_Liturgien_Peraine,139,FALSE)</f>
        <v>0</v>
      </c>
      <c r="Z422" s="44">
        <f>VLOOKUP(C422,Ausgewählte_Liturgien_Peraine,140,FALSE)</f>
        <v>0</v>
      </c>
      <c r="AA422" s="125">
        <f>VLOOKUP(C422,'Talente &amp; Stuff'!DO:EP,25,FALSE)</f>
        <v>0</v>
      </c>
      <c r="AB422" s="160">
        <f>VLOOKUP(C422,'Talente &amp; Stuff'!DO:EP,26,FALSE)</f>
        <v>0</v>
      </c>
      <c r="AC422" s="127">
        <f>VLOOKUP(C422,'Talente &amp; Stuff'!DO:EP,27,FALSE)</f>
        <v>0</v>
      </c>
      <c r="AD422" s="125">
        <f>VLOOKUP(C422,'Talente &amp; Stuff'!DO:EP,28,FALSE)</f>
        <v>0</v>
      </c>
      <c r="AE422" s="28"/>
    </row>
    <row r="423" spans="2:31" ht="15" hidden="1" customHeight="1" outlineLevel="2">
      <c r="B423" s="137">
        <v>5</v>
      </c>
      <c r="C423" s="178" t="str">
        <f>Attribute!C423</f>
        <v>---</v>
      </c>
      <c r="D423" s="159" t="str">
        <f>VLOOKUP(C423,'Talente &amp; Stuff'!DO:EP,2,FALSE)</f>
        <v>--/--/--</v>
      </c>
      <c r="E423" s="88" t="str">
        <f>VLOOKUP(C423,'Talente &amp; Stuff'!DO:EP,3,FALSE)</f>
        <v>-</v>
      </c>
      <c r="F423" s="115">
        <f>VLOOKUP(C423,'Talente &amp; Stuff'!DO:EP,4,FALSE)</f>
        <v>0</v>
      </c>
      <c r="G423" s="122">
        <f>VLOOKUP(C423,'Talente &amp; Stuff'!DO:EP,5,FALSE)</f>
        <v>0</v>
      </c>
      <c r="H423" s="122">
        <f>VLOOKUP(C423,'Talente &amp; Stuff'!DO:EP,6,FALSE)</f>
        <v>0</v>
      </c>
      <c r="I423" s="122">
        <f>VLOOKUP(C423,'Talente &amp; Stuff'!DO:EP,7,FALSE)</f>
        <v>0</v>
      </c>
      <c r="J423" s="122">
        <f>VLOOKUP(C423,'Talente &amp; Stuff'!DO:EP,8,FALSE)</f>
        <v>0</v>
      </c>
      <c r="K423" s="122">
        <f>VLOOKUP(C423,'Talente &amp; Stuff'!DO:EP,9,FALSE)</f>
        <v>0</v>
      </c>
      <c r="L423" s="122">
        <f>VLOOKUP(C423,'Talente &amp; Stuff'!DO:EP,10,FALSE)</f>
        <v>0</v>
      </c>
      <c r="M423" s="123">
        <f>VLOOKUP(C423,'Talente &amp; Stuff'!DO:EP,11,FALSE)</f>
        <v>0</v>
      </c>
      <c r="N423" s="88">
        <f>VLOOKUP(C423,'Talente &amp; Stuff'!DO:EP,12,FALSE)</f>
        <v>0</v>
      </c>
      <c r="O423" s="88">
        <f>VLOOKUP(C423,'Talente &amp; Stuff'!DO:EP,13,FALSE)</f>
        <v>0</v>
      </c>
      <c r="P423" s="122">
        <f>VLOOKUP(C423,'Talente &amp; Stuff'!DO:EP,14,FALSE)</f>
        <v>0</v>
      </c>
      <c r="Q423" s="115">
        <f>VLOOKUP(C423,'Talente &amp; Stuff'!DO:EP,15,FALSE)</f>
        <v>0</v>
      </c>
      <c r="R423" s="122">
        <f>VLOOKUP(C423,'Talente &amp; Stuff'!DO:EP,16,FALSE)</f>
        <v>0</v>
      </c>
      <c r="S423" s="123">
        <f>VLOOKUP(C423,'Talente &amp; Stuff'!DO:EP,17,FALSE)</f>
        <v>0</v>
      </c>
      <c r="T423" s="161">
        <f>VLOOKUP(C423,'Talente &amp; Stuff'!DO:EP,18,FALSE)</f>
        <v>0</v>
      </c>
      <c r="U423" s="90">
        <f>VLOOKUP(C423,'Talente &amp; Stuff'!DO:EP,19,FALSE)</f>
        <v>0</v>
      </c>
      <c r="V423" s="88">
        <f>VLOOKUP(C423,'Talente &amp; Stuff'!DO:EP,20,FALSE)</f>
        <v>0</v>
      </c>
      <c r="W423" s="128">
        <f>VLOOKUP(C423,'Talente &amp; Stuff'!DO:EP,21,FALSE)</f>
        <v>0</v>
      </c>
      <c r="X423" s="128">
        <f>VLOOKUP(C423,'Talente &amp; Stuff'!DO:EP,22,FALSE)</f>
        <v>0</v>
      </c>
      <c r="Y423" s="165">
        <f>VLOOKUP(C423,Ausgewählte_Liturgien_Peraine,139,FALSE)</f>
        <v>0</v>
      </c>
      <c r="Z423" s="44">
        <f>VLOOKUP(C423,Ausgewählte_Liturgien_Peraine,140,FALSE)</f>
        <v>0</v>
      </c>
      <c r="AA423" s="159">
        <f>VLOOKUP(C423,'Talente &amp; Stuff'!DO:EP,25,FALSE)</f>
        <v>0</v>
      </c>
      <c r="AB423" s="161">
        <f>VLOOKUP(C423,'Talente &amp; Stuff'!DO:EP,26,FALSE)</f>
        <v>0</v>
      </c>
      <c r="AC423" s="128">
        <f>VLOOKUP(C423,'Talente &amp; Stuff'!DO:EP,27,FALSE)</f>
        <v>0</v>
      </c>
      <c r="AD423" s="159">
        <f>VLOOKUP(C423,'Talente &amp; Stuff'!DO:EP,28,FALSE)</f>
        <v>0</v>
      </c>
      <c r="AE423" s="28"/>
    </row>
    <row r="424" spans="2:31" ht="15" hidden="1" customHeight="1" outlineLevel="1" collapsed="1">
      <c r="B424" s="134" t="s">
        <v>323</v>
      </c>
      <c r="C424" s="83"/>
      <c r="D424" s="84"/>
      <c r="E424" s="84"/>
    </row>
    <row r="425" spans="2:31" ht="15" hidden="1" customHeight="1" outlineLevel="2">
      <c r="B425" s="148">
        <v>1</v>
      </c>
      <c r="C425" s="176" t="str">
        <f>Attribute!C425</f>
        <v>---</v>
      </c>
      <c r="D425" s="158" t="str">
        <f>VLOOKUP(C425,'Talente &amp; Stuff'!DO:EP,2,FALSE)</f>
        <v>--/--/--</v>
      </c>
      <c r="E425" s="116" t="str">
        <f>VLOOKUP(C425,'Talente &amp; Stuff'!DO:EP,3,FALSE)</f>
        <v>-</v>
      </c>
      <c r="F425" s="191">
        <f>VLOOKUP(C425,'Talente &amp; Stuff'!DO:EP,4,FALSE)</f>
        <v>0</v>
      </c>
      <c r="G425" s="118">
        <f>VLOOKUP(C425,'Talente &amp; Stuff'!DO:EP,5,FALSE)</f>
        <v>0</v>
      </c>
      <c r="H425" s="118">
        <f>VLOOKUP(C425,'Talente &amp; Stuff'!DO:EP,6,FALSE)</f>
        <v>0</v>
      </c>
      <c r="I425" s="118">
        <f>VLOOKUP(C425,'Talente &amp; Stuff'!DO:EP,7,FALSE)</f>
        <v>0</v>
      </c>
      <c r="J425" s="118">
        <f>VLOOKUP(C425,'Talente &amp; Stuff'!DO:EP,8,FALSE)</f>
        <v>0</v>
      </c>
      <c r="K425" s="118">
        <f>VLOOKUP(C425,'Talente &amp; Stuff'!DO:EP,9,FALSE)</f>
        <v>0</v>
      </c>
      <c r="L425" s="118">
        <f>VLOOKUP(C425,'Talente &amp; Stuff'!DO:EP,10,FALSE)</f>
        <v>0</v>
      </c>
      <c r="M425" s="92">
        <f>VLOOKUP(C425,'Talente &amp; Stuff'!DO:EP,11,FALSE)</f>
        <v>0</v>
      </c>
      <c r="N425" s="116">
        <f>VLOOKUP(C425,'Talente &amp; Stuff'!DO:EP,12,FALSE)</f>
        <v>0</v>
      </c>
      <c r="O425" s="116">
        <f>VLOOKUP(C425,'Talente &amp; Stuff'!DO:EP,13,FALSE)</f>
        <v>0</v>
      </c>
      <c r="P425" s="118">
        <f>VLOOKUP(C425,'Talente &amp; Stuff'!DO:EP,14,FALSE)</f>
        <v>0</v>
      </c>
      <c r="Q425" s="191">
        <f>VLOOKUP(C425,'Talente &amp; Stuff'!DO:EP,15,FALSE)</f>
        <v>0</v>
      </c>
      <c r="R425" s="118">
        <f>VLOOKUP(C425,'Talente &amp; Stuff'!DO:EP,16,FALSE)</f>
        <v>0</v>
      </c>
      <c r="S425" s="92">
        <f>VLOOKUP(C425,'Talente &amp; Stuff'!DO:EP,17,FALSE)</f>
        <v>0</v>
      </c>
      <c r="T425" s="91">
        <f>VLOOKUP(C425,'Talente &amp; Stuff'!DO:EP,18,FALSE)</f>
        <v>0</v>
      </c>
      <c r="U425" s="193">
        <f>VLOOKUP(C425,'Talente &amp; Stuff'!DO:EP,19,FALSE)</f>
        <v>0</v>
      </c>
      <c r="V425" s="116">
        <f>VLOOKUP(C425,'Talente &amp; Stuff'!DO:EP,20,FALSE)</f>
        <v>0</v>
      </c>
      <c r="W425" s="126">
        <f>VLOOKUP(C425,'Talente &amp; Stuff'!DO:EP,21,FALSE)</f>
        <v>0</v>
      </c>
      <c r="X425" s="126">
        <f>VLOOKUP(C425,'Talente &amp; Stuff'!DO:EP,22,FALSE)</f>
        <v>0</v>
      </c>
      <c r="Y425" s="165">
        <f t="shared" ref="Y425:Y432" si="34">VLOOKUP(C425,Ausgewählte_Liturgien_Phex,139,FALSE)</f>
        <v>0</v>
      </c>
      <c r="Z425" s="44">
        <f t="shared" ref="Z425:Z432" si="35">VLOOKUP(C425,Ausgewählte_Liturgien_Phex,140,FALSE)</f>
        <v>0</v>
      </c>
      <c r="AA425" s="158">
        <f>VLOOKUP(C425,'Talente &amp; Stuff'!DO:EP,25,FALSE)</f>
        <v>0</v>
      </c>
      <c r="AB425" s="91">
        <f>VLOOKUP(C425,'Talente &amp; Stuff'!DO:EP,26,FALSE)</f>
        <v>0</v>
      </c>
      <c r="AC425" s="126">
        <f>VLOOKUP(C425,'Talente &amp; Stuff'!DO:EP,27,FALSE)</f>
        <v>0</v>
      </c>
      <c r="AD425" s="158">
        <f>VLOOKUP(C425,'Talente &amp; Stuff'!DO:EP,28,FALSE)</f>
        <v>0</v>
      </c>
      <c r="AE425" s="28"/>
    </row>
    <row r="426" spans="2:31" ht="15" hidden="1" customHeight="1" outlineLevel="2">
      <c r="B426" s="148">
        <v>2</v>
      </c>
      <c r="C426" s="177" t="str">
        <f>Attribute!C426</f>
        <v>---</v>
      </c>
      <c r="D426" s="125" t="str">
        <f>VLOOKUP(C426,'Talente &amp; Stuff'!DO:EP,2,FALSE)</f>
        <v>--/--/--</v>
      </c>
      <c r="E426" s="47" t="str">
        <f>VLOOKUP(C426,'Talente &amp; Stuff'!DO:EP,3,FALSE)</f>
        <v>-</v>
      </c>
      <c r="F426" s="114">
        <f>VLOOKUP(C426,'Talente &amp; Stuff'!DO:EP,4,FALSE)</f>
        <v>0</v>
      </c>
      <c r="G426" s="113">
        <f>VLOOKUP(C426,'Talente &amp; Stuff'!DO:EP,5,FALSE)</f>
        <v>0</v>
      </c>
      <c r="H426" s="113">
        <f>VLOOKUP(C426,'Talente &amp; Stuff'!DO:EP,6,FALSE)</f>
        <v>0</v>
      </c>
      <c r="I426" s="113">
        <f>VLOOKUP(C426,'Talente &amp; Stuff'!DO:EP,7,FALSE)</f>
        <v>0</v>
      </c>
      <c r="J426" s="113">
        <f>VLOOKUP(C426,'Talente &amp; Stuff'!DO:EP,8,FALSE)</f>
        <v>0</v>
      </c>
      <c r="K426" s="113">
        <f>VLOOKUP(C426,'Talente &amp; Stuff'!DO:EP,9,FALSE)</f>
        <v>0</v>
      </c>
      <c r="L426" s="113">
        <f>VLOOKUP(C426,'Talente &amp; Stuff'!DO:EP,10,FALSE)</f>
        <v>0</v>
      </c>
      <c r="M426" s="119">
        <f>VLOOKUP(C426,'Talente &amp; Stuff'!DO:EP,11,FALSE)</f>
        <v>0</v>
      </c>
      <c r="N426" s="47">
        <f>VLOOKUP(C426,'Talente &amp; Stuff'!DO:EP,12,FALSE)</f>
        <v>0</v>
      </c>
      <c r="O426" s="47">
        <f>VLOOKUP(C426,'Talente &amp; Stuff'!DO:EP,13,FALSE)</f>
        <v>0</v>
      </c>
      <c r="P426" s="113">
        <f>VLOOKUP(C426,'Talente &amp; Stuff'!DO:EP,14,FALSE)</f>
        <v>0</v>
      </c>
      <c r="Q426" s="114">
        <f>VLOOKUP(C426,'Talente &amp; Stuff'!DO:EP,15,FALSE)</f>
        <v>0</v>
      </c>
      <c r="R426" s="113">
        <f>VLOOKUP(C426,'Talente &amp; Stuff'!DO:EP,16,FALSE)</f>
        <v>0</v>
      </c>
      <c r="S426" s="119">
        <f>VLOOKUP(C426,'Talente &amp; Stuff'!DO:EP,17,FALSE)</f>
        <v>0</v>
      </c>
      <c r="T426" s="160">
        <f>VLOOKUP(C426,'Talente &amp; Stuff'!DO:EP,18,FALSE)</f>
        <v>0</v>
      </c>
      <c r="U426" s="89">
        <f>VLOOKUP(C426,'Talente &amp; Stuff'!DO:EP,19,FALSE)</f>
        <v>0</v>
      </c>
      <c r="V426" s="47">
        <f>VLOOKUP(C426,'Talente &amp; Stuff'!DO:EP,20,FALSE)</f>
        <v>0</v>
      </c>
      <c r="W426" s="127">
        <f>VLOOKUP(C426,'Talente &amp; Stuff'!DO:EP,21,FALSE)</f>
        <v>0</v>
      </c>
      <c r="X426" s="127">
        <f>VLOOKUP(C426,'Talente &amp; Stuff'!DO:EP,22,FALSE)</f>
        <v>0</v>
      </c>
      <c r="Y426" s="165">
        <f t="shared" si="34"/>
        <v>0</v>
      </c>
      <c r="Z426" s="44">
        <f t="shared" si="35"/>
        <v>0</v>
      </c>
      <c r="AA426" s="125">
        <f>VLOOKUP(C426,'Talente &amp; Stuff'!DO:EP,25,FALSE)</f>
        <v>0</v>
      </c>
      <c r="AB426" s="160">
        <f>VLOOKUP(C426,'Talente &amp; Stuff'!DO:EP,26,FALSE)</f>
        <v>0</v>
      </c>
      <c r="AC426" s="127">
        <f>VLOOKUP(C426,'Talente &amp; Stuff'!DO:EP,27,FALSE)</f>
        <v>0</v>
      </c>
      <c r="AD426" s="125">
        <f>VLOOKUP(C426,'Talente &amp; Stuff'!DO:EP,28,FALSE)</f>
        <v>0</v>
      </c>
      <c r="AE426" s="28"/>
    </row>
    <row r="427" spans="2:31" ht="15" hidden="1" customHeight="1" outlineLevel="2">
      <c r="B427" s="148">
        <v>3</v>
      </c>
      <c r="C427" s="177" t="str">
        <f>Attribute!C427</f>
        <v>---</v>
      </c>
      <c r="D427" s="125" t="str">
        <f>VLOOKUP(C427,'Talente &amp; Stuff'!DO:EP,2,FALSE)</f>
        <v>--/--/--</v>
      </c>
      <c r="E427" s="47" t="str">
        <f>VLOOKUP(C427,'Talente &amp; Stuff'!DO:EP,3,FALSE)</f>
        <v>-</v>
      </c>
      <c r="F427" s="114">
        <f>VLOOKUP(C427,'Talente &amp; Stuff'!DO:EP,4,FALSE)</f>
        <v>0</v>
      </c>
      <c r="G427" s="113">
        <f>VLOOKUP(C427,'Talente &amp; Stuff'!DO:EP,5,FALSE)</f>
        <v>0</v>
      </c>
      <c r="H427" s="113">
        <f>VLOOKUP(C427,'Talente &amp; Stuff'!DO:EP,6,FALSE)</f>
        <v>0</v>
      </c>
      <c r="I427" s="113">
        <f>VLOOKUP(C427,'Talente &amp; Stuff'!DO:EP,7,FALSE)</f>
        <v>0</v>
      </c>
      <c r="J427" s="113">
        <f>VLOOKUP(C427,'Talente &amp; Stuff'!DO:EP,8,FALSE)</f>
        <v>0</v>
      </c>
      <c r="K427" s="113">
        <f>VLOOKUP(C427,'Talente &amp; Stuff'!DO:EP,9,FALSE)</f>
        <v>0</v>
      </c>
      <c r="L427" s="113">
        <f>VLOOKUP(C427,'Talente &amp; Stuff'!DO:EP,10,FALSE)</f>
        <v>0</v>
      </c>
      <c r="M427" s="119">
        <f>VLOOKUP(C427,'Talente &amp; Stuff'!DO:EP,11,FALSE)</f>
        <v>0</v>
      </c>
      <c r="N427" s="47">
        <f>VLOOKUP(C427,'Talente &amp; Stuff'!DO:EP,12,FALSE)</f>
        <v>0</v>
      </c>
      <c r="O427" s="47">
        <f>VLOOKUP(C427,'Talente &amp; Stuff'!DO:EP,13,FALSE)</f>
        <v>0</v>
      </c>
      <c r="P427" s="113">
        <f>VLOOKUP(C427,'Talente &amp; Stuff'!DO:EP,14,FALSE)</f>
        <v>0</v>
      </c>
      <c r="Q427" s="114">
        <f>VLOOKUP(C427,'Talente &amp; Stuff'!DO:EP,15,FALSE)</f>
        <v>0</v>
      </c>
      <c r="R427" s="113">
        <f>VLOOKUP(C427,'Talente &amp; Stuff'!DO:EP,16,FALSE)</f>
        <v>0</v>
      </c>
      <c r="S427" s="119">
        <f>VLOOKUP(C427,'Talente &amp; Stuff'!DO:EP,17,FALSE)</f>
        <v>0</v>
      </c>
      <c r="T427" s="160">
        <f>VLOOKUP(C427,'Talente &amp; Stuff'!DO:EP,18,FALSE)</f>
        <v>0</v>
      </c>
      <c r="U427" s="89">
        <f>VLOOKUP(C427,'Talente &amp; Stuff'!DO:EP,19,FALSE)</f>
        <v>0</v>
      </c>
      <c r="V427" s="47">
        <f>VLOOKUP(C427,'Talente &amp; Stuff'!DO:EP,20,FALSE)</f>
        <v>0</v>
      </c>
      <c r="W427" s="127">
        <f>VLOOKUP(C427,'Talente &amp; Stuff'!DO:EP,21,FALSE)</f>
        <v>0</v>
      </c>
      <c r="X427" s="127">
        <f>VLOOKUP(C427,'Talente &amp; Stuff'!DO:EP,22,FALSE)</f>
        <v>0</v>
      </c>
      <c r="Y427" s="165">
        <f t="shared" si="34"/>
        <v>0</v>
      </c>
      <c r="Z427" s="44">
        <f t="shared" si="35"/>
        <v>0</v>
      </c>
      <c r="AA427" s="125">
        <f>VLOOKUP(C427,'Talente &amp; Stuff'!DO:EP,25,FALSE)</f>
        <v>0</v>
      </c>
      <c r="AB427" s="160">
        <f>VLOOKUP(C427,'Talente &amp; Stuff'!DO:EP,26,FALSE)</f>
        <v>0</v>
      </c>
      <c r="AC427" s="127">
        <f>VLOOKUP(C427,'Talente &amp; Stuff'!DO:EP,27,FALSE)</f>
        <v>0</v>
      </c>
      <c r="AD427" s="125">
        <f>VLOOKUP(C427,'Talente &amp; Stuff'!DO:EP,28,FALSE)</f>
        <v>0</v>
      </c>
      <c r="AE427" s="28"/>
    </row>
    <row r="428" spans="2:31" ht="15" hidden="1" customHeight="1" outlineLevel="2">
      <c r="B428" s="148">
        <v>4</v>
      </c>
      <c r="C428" s="177" t="str">
        <f>Attribute!C428</f>
        <v>---</v>
      </c>
      <c r="D428" s="125" t="str">
        <f>VLOOKUP(C428,'Talente &amp; Stuff'!DO:EP,2,FALSE)</f>
        <v>--/--/--</v>
      </c>
      <c r="E428" s="47" t="str">
        <f>VLOOKUP(C428,'Talente &amp; Stuff'!DO:EP,3,FALSE)</f>
        <v>-</v>
      </c>
      <c r="F428" s="114">
        <f>VLOOKUP(C428,'Talente &amp; Stuff'!DO:EP,4,FALSE)</f>
        <v>0</v>
      </c>
      <c r="G428" s="113">
        <f>VLOOKUP(C428,'Talente &amp; Stuff'!DO:EP,5,FALSE)</f>
        <v>0</v>
      </c>
      <c r="H428" s="113">
        <f>VLOOKUP(C428,'Talente &amp; Stuff'!DO:EP,6,FALSE)</f>
        <v>0</v>
      </c>
      <c r="I428" s="113">
        <f>VLOOKUP(C428,'Talente &amp; Stuff'!DO:EP,7,FALSE)</f>
        <v>0</v>
      </c>
      <c r="J428" s="113">
        <f>VLOOKUP(C428,'Talente &amp; Stuff'!DO:EP,8,FALSE)</f>
        <v>0</v>
      </c>
      <c r="K428" s="113">
        <f>VLOOKUP(C428,'Talente &amp; Stuff'!DO:EP,9,FALSE)</f>
        <v>0</v>
      </c>
      <c r="L428" s="113">
        <f>VLOOKUP(C428,'Talente &amp; Stuff'!DO:EP,10,FALSE)</f>
        <v>0</v>
      </c>
      <c r="M428" s="119">
        <f>VLOOKUP(C428,'Talente &amp; Stuff'!DO:EP,11,FALSE)</f>
        <v>0</v>
      </c>
      <c r="N428" s="47">
        <f>VLOOKUP(C428,'Talente &amp; Stuff'!DO:EP,12,FALSE)</f>
        <v>0</v>
      </c>
      <c r="O428" s="47">
        <f>VLOOKUP(C428,'Talente &amp; Stuff'!DO:EP,13,FALSE)</f>
        <v>0</v>
      </c>
      <c r="P428" s="113">
        <f>VLOOKUP(C428,'Talente &amp; Stuff'!DO:EP,14,FALSE)</f>
        <v>0</v>
      </c>
      <c r="Q428" s="114">
        <f>VLOOKUP(C428,'Talente &amp; Stuff'!DO:EP,15,FALSE)</f>
        <v>0</v>
      </c>
      <c r="R428" s="113">
        <f>VLOOKUP(C428,'Talente &amp; Stuff'!DO:EP,16,FALSE)</f>
        <v>0</v>
      </c>
      <c r="S428" s="119">
        <f>VLOOKUP(C428,'Talente &amp; Stuff'!DO:EP,17,FALSE)</f>
        <v>0</v>
      </c>
      <c r="T428" s="160">
        <f>VLOOKUP(C428,'Talente &amp; Stuff'!DO:EP,18,FALSE)</f>
        <v>0</v>
      </c>
      <c r="U428" s="89">
        <f>VLOOKUP(C428,'Talente &amp; Stuff'!DO:EP,19,FALSE)</f>
        <v>0</v>
      </c>
      <c r="V428" s="47">
        <f>VLOOKUP(C428,'Talente &amp; Stuff'!DO:EP,20,FALSE)</f>
        <v>0</v>
      </c>
      <c r="W428" s="127">
        <f>VLOOKUP(C428,'Talente &amp; Stuff'!DO:EP,21,FALSE)</f>
        <v>0</v>
      </c>
      <c r="X428" s="127">
        <f>VLOOKUP(C428,'Talente &amp; Stuff'!DO:EP,22,FALSE)</f>
        <v>0</v>
      </c>
      <c r="Y428" s="165">
        <f t="shared" si="34"/>
        <v>0</v>
      </c>
      <c r="Z428" s="44">
        <f t="shared" si="35"/>
        <v>0</v>
      </c>
      <c r="AA428" s="125">
        <f>VLOOKUP(C428,'Talente &amp; Stuff'!DO:EP,25,FALSE)</f>
        <v>0</v>
      </c>
      <c r="AB428" s="160">
        <f>VLOOKUP(C428,'Talente &amp; Stuff'!DO:EP,26,FALSE)</f>
        <v>0</v>
      </c>
      <c r="AC428" s="127">
        <f>VLOOKUP(C428,'Talente &amp; Stuff'!DO:EP,27,FALSE)</f>
        <v>0</v>
      </c>
      <c r="AD428" s="125">
        <f>VLOOKUP(C428,'Talente &amp; Stuff'!DO:EP,28,FALSE)</f>
        <v>0</v>
      </c>
      <c r="AE428" s="28"/>
    </row>
    <row r="429" spans="2:31" ht="15" hidden="1" customHeight="1" outlineLevel="2">
      <c r="B429" s="148">
        <v>5</v>
      </c>
      <c r="C429" s="177" t="str">
        <f>Attribute!C429</f>
        <v>---</v>
      </c>
      <c r="D429" s="125" t="str">
        <f>VLOOKUP(C429,'Talente &amp; Stuff'!DO:EP,2,FALSE)</f>
        <v>--/--/--</v>
      </c>
      <c r="E429" s="47" t="str">
        <f>VLOOKUP(C429,'Talente &amp; Stuff'!DO:EP,3,FALSE)</f>
        <v>-</v>
      </c>
      <c r="F429" s="114">
        <f>VLOOKUP(C429,'Talente &amp; Stuff'!DO:EP,4,FALSE)</f>
        <v>0</v>
      </c>
      <c r="G429" s="113">
        <f>VLOOKUP(C429,'Talente &amp; Stuff'!DO:EP,5,FALSE)</f>
        <v>0</v>
      </c>
      <c r="H429" s="113">
        <f>VLOOKUP(C429,'Talente &amp; Stuff'!DO:EP,6,FALSE)</f>
        <v>0</v>
      </c>
      <c r="I429" s="113">
        <f>VLOOKUP(C429,'Talente &amp; Stuff'!DO:EP,7,FALSE)</f>
        <v>0</v>
      </c>
      <c r="J429" s="113">
        <f>VLOOKUP(C429,'Talente &amp; Stuff'!DO:EP,8,FALSE)</f>
        <v>0</v>
      </c>
      <c r="K429" s="113">
        <f>VLOOKUP(C429,'Talente &amp; Stuff'!DO:EP,9,FALSE)</f>
        <v>0</v>
      </c>
      <c r="L429" s="113">
        <f>VLOOKUP(C429,'Talente &amp; Stuff'!DO:EP,10,FALSE)</f>
        <v>0</v>
      </c>
      <c r="M429" s="119">
        <f>VLOOKUP(C429,'Talente &amp; Stuff'!DO:EP,11,FALSE)</f>
        <v>0</v>
      </c>
      <c r="N429" s="47">
        <f>VLOOKUP(C429,'Talente &amp; Stuff'!DO:EP,12,FALSE)</f>
        <v>0</v>
      </c>
      <c r="O429" s="47">
        <f>VLOOKUP(C429,'Talente &amp; Stuff'!DO:EP,13,FALSE)</f>
        <v>0</v>
      </c>
      <c r="P429" s="113">
        <f>VLOOKUP(C429,'Talente &amp; Stuff'!DO:EP,14,FALSE)</f>
        <v>0</v>
      </c>
      <c r="Q429" s="114">
        <f>VLOOKUP(C429,'Talente &amp; Stuff'!DO:EP,15,FALSE)</f>
        <v>0</v>
      </c>
      <c r="R429" s="113">
        <f>VLOOKUP(C429,'Talente &amp; Stuff'!DO:EP,16,FALSE)</f>
        <v>0</v>
      </c>
      <c r="S429" s="119">
        <f>VLOOKUP(C429,'Talente &amp; Stuff'!DO:EP,17,FALSE)</f>
        <v>0</v>
      </c>
      <c r="T429" s="160">
        <f>VLOOKUP(C429,'Talente &amp; Stuff'!DO:EP,18,FALSE)</f>
        <v>0</v>
      </c>
      <c r="U429" s="89">
        <f>VLOOKUP(C429,'Talente &amp; Stuff'!DO:EP,19,FALSE)</f>
        <v>0</v>
      </c>
      <c r="V429" s="47">
        <f>VLOOKUP(C429,'Talente &amp; Stuff'!DO:EP,20,FALSE)</f>
        <v>0</v>
      </c>
      <c r="W429" s="127">
        <f>VLOOKUP(C429,'Talente &amp; Stuff'!DO:EP,21,FALSE)</f>
        <v>0</v>
      </c>
      <c r="X429" s="127">
        <f>VLOOKUP(C429,'Talente &amp; Stuff'!DO:EP,22,FALSE)</f>
        <v>0</v>
      </c>
      <c r="Y429" s="165">
        <f t="shared" si="34"/>
        <v>0</v>
      </c>
      <c r="Z429" s="44">
        <f t="shared" si="35"/>
        <v>0</v>
      </c>
      <c r="AA429" s="125">
        <f>VLOOKUP(C429,'Talente &amp; Stuff'!DO:EP,25,FALSE)</f>
        <v>0</v>
      </c>
      <c r="AB429" s="160">
        <f>VLOOKUP(C429,'Talente &amp; Stuff'!DO:EP,26,FALSE)</f>
        <v>0</v>
      </c>
      <c r="AC429" s="127">
        <f>VLOOKUP(C429,'Talente &amp; Stuff'!DO:EP,27,FALSE)</f>
        <v>0</v>
      </c>
      <c r="AD429" s="125">
        <f>VLOOKUP(C429,'Talente &amp; Stuff'!DO:EP,28,FALSE)</f>
        <v>0</v>
      </c>
      <c r="AE429" s="28"/>
    </row>
    <row r="430" spans="2:31" ht="15" hidden="1" customHeight="1" outlineLevel="2">
      <c r="B430" s="148">
        <v>6</v>
      </c>
      <c r="C430" s="177" t="str">
        <f>Attribute!C430</f>
        <v>---</v>
      </c>
      <c r="D430" s="125" t="str">
        <f>VLOOKUP(C430,'Talente &amp; Stuff'!DO:EP,2,FALSE)</f>
        <v>--/--/--</v>
      </c>
      <c r="E430" s="47" t="str">
        <f>VLOOKUP(C430,'Talente &amp; Stuff'!DO:EP,3,FALSE)</f>
        <v>-</v>
      </c>
      <c r="F430" s="114">
        <f>VLOOKUP(C430,'Talente &amp; Stuff'!DO:EP,4,FALSE)</f>
        <v>0</v>
      </c>
      <c r="G430" s="113">
        <f>VLOOKUP(C430,'Talente &amp; Stuff'!DO:EP,5,FALSE)</f>
        <v>0</v>
      </c>
      <c r="H430" s="113">
        <f>VLOOKUP(C430,'Talente &amp; Stuff'!DO:EP,6,FALSE)</f>
        <v>0</v>
      </c>
      <c r="I430" s="113">
        <f>VLOOKUP(C430,'Talente &amp; Stuff'!DO:EP,7,FALSE)</f>
        <v>0</v>
      </c>
      <c r="J430" s="113">
        <f>VLOOKUP(C430,'Talente &amp; Stuff'!DO:EP,8,FALSE)</f>
        <v>0</v>
      </c>
      <c r="K430" s="113">
        <f>VLOOKUP(C430,'Talente &amp; Stuff'!DO:EP,9,FALSE)</f>
        <v>0</v>
      </c>
      <c r="L430" s="113">
        <f>VLOOKUP(C430,'Talente &amp; Stuff'!DO:EP,10,FALSE)</f>
        <v>0</v>
      </c>
      <c r="M430" s="119">
        <f>VLOOKUP(C430,'Talente &amp; Stuff'!DO:EP,11,FALSE)</f>
        <v>0</v>
      </c>
      <c r="N430" s="47">
        <f>VLOOKUP(C430,'Talente &amp; Stuff'!DO:EP,12,FALSE)</f>
        <v>0</v>
      </c>
      <c r="O430" s="47">
        <f>VLOOKUP(C430,'Talente &amp; Stuff'!DO:EP,13,FALSE)</f>
        <v>0</v>
      </c>
      <c r="P430" s="113">
        <f>VLOOKUP(C430,'Talente &amp; Stuff'!DO:EP,14,FALSE)</f>
        <v>0</v>
      </c>
      <c r="Q430" s="114">
        <f>VLOOKUP(C430,'Talente &amp; Stuff'!DO:EP,15,FALSE)</f>
        <v>0</v>
      </c>
      <c r="R430" s="113">
        <f>VLOOKUP(C430,'Talente &amp; Stuff'!DO:EP,16,FALSE)</f>
        <v>0</v>
      </c>
      <c r="S430" s="119">
        <f>VLOOKUP(C430,'Talente &amp; Stuff'!DO:EP,17,FALSE)</f>
        <v>0</v>
      </c>
      <c r="T430" s="160">
        <f>VLOOKUP(C430,'Talente &amp; Stuff'!DO:EP,18,FALSE)</f>
        <v>0</v>
      </c>
      <c r="U430" s="89">
        <f>VLOOKUP(C430,'Talente &amp; Stuff'!DO:EP,19,FALSE)</f>
        <v>0</v>
      </c>
      <c r="V430" s="47">
        <f>VLOOKUP(C430,'Talente &amp; Stuff'!DO:EP,20,FALSE)</f>
        <v>0</v>
      </c>
      <c r="W430" s="127">
        <f>VLOOKUP(C430,'Talente &amp; Stuff'!DO:EP,21,FALSE)</f>
        <v>0</v>
      </c>
      <c r="X430" s="127">
        <f>VLOOKUP(C430,'Talente &amp; Stuff'!DO:EP,22,FALSE)</f>
        <v>0</v>
      </c>
      <c r="Y430" s="165">
        <f t="shared" si="34"/>
        <v>0</v>
      </c>
      <c r="Z430" s="44">
        <f t="shared" si="35"/>
        <v>0</v>
      </c>
      <c r="AA430" s="125">
        <f>VLOOKUP(C430,'Talente &amp; Stuff'!DO:EP,25,FALSE)</f>
        <v>0</v>
      </c>
      <c r="AB430" s="160">
        <f>VLOOKUP(C430,'Talente &amp; Stuff'!DO:EP,26,FALSE)</f>
        <v>0</v>
      </c>
      <c r="AC430" s="127">
        <f>VLOOKUP(C430,'Talente &amp; Stuff'!DO:EP,27,FALSE)</f>
        <v>0</v>
      </c>
      <c r="AD430" s="125">
        <f>VLOOKUP(C430,'Talente &amp; Stuff'!DO:EP,28,FALSE)</f>
        <v>0</v>
      </c>
      <c r="AE430" s="28"/>
    </row>
    <row r="431" spans="2:31" ht="15" hidden="1" customHeight="1" outlineLevel="2">
      <c r="B431" s="148">
        <v>7</v>
      </c>
      <c r="C431" s="177" t="str">
        <f>Attribute!C431</f>
        <v>---</v>
      </c>
      <c r="D431" s="125" t="str">
        <f>VLOOKUP(C431,'Talente &amp; Stuff'!DO:EP,2,FALSE)</f>
        <v>--/--/--</v>
      </c>
      <c r="E431" s="47" t="str">
        <f>VLOOKUP(C431,'Talente &amp; Stuff'!DO:EP,3,FALSE)</f>
        <v>-</v>
      </c>
      <c r="F431" s="114">
        <f>VLOOKUP(C431,'Talente &amp; Stuff'!DO:EP,4,FALSE)</f>
        <v>0</v>
      </c>
      <c r="G431" s="113">
        <f>VLOOKUP(C431,'Talente &amp; Stuff'!DO:EP,5,FALSE)</f>
        <v>0</v>
      </c>
      <c r="H431" s="113">
        <f>VLOOKUP(C431,'Talente &amp; Stuff'!DO:EP,6,FALSE)</f>
        <v>0</v>
      </c>
      <c r="I431" s="113">
        <f>VLOOKUP(C431,'Talente &amp; Stuff'!DO:EP,7,FALSE)</f>
        <v>0</v>
      </c>
      <c r="J431" s="113">
        <f>VLOOKUP(C431,'Talente &amp; Stuff'!DO:EP,8,FALSE)</f>
        <v>0</v>
      </c>
      <c r="K431" s="113">
        <f>VLOOKUP(C431,'Talente &amp; Stuff'!DO:EP,9,FALSE)</f>
        <v>0</v>
      </c>
      <c r="L431" s="113">
        <f>VLOOKUP(C431,'Talente &amp; Stuff'!DO:EP,10,FALSE)</f>
        <v>0</v>
      </c>
      <c r="M431" s="119">
        <f>VLOOKUP(C431,'Talente &amp; Stuff'!DO:EP,11,FALSE)</f>
        <v>0</v>
      </c>
      <c r="N431" s="47">
        <f>VLOOKUP(C431,'Talente &amp; Stuff'!DO:EP,12,FALSE)</f>
        <v>0</v>
      </c>
      <c r="O431" s="47">
        <f>VLOOKUP(C431,'Talente &amp; Stuff'!DO:EP,13,FALSE)</f>
        <v>0</v>
      </c>
      <c r="P431" s="113">
        <f>VLOOKUP(C431,'Talente &amp; Stuff'!DO:EP,14,FALSE)</f>
        <v>0</v>
      </c>
      <c r="Q431" s="114">
        <f>VLOOKUP(C431,'Talente &amp; Stuff'!DO:EP,15,FALSE)</f>
        <v>0</v>
      </c>
      <c r="R431" s="113">
        <f>VLOOKUP(C431,'Talente &amp; Stuff'!DO:EP,16,FALSE)</f>
        <v>0</v>
      </c>
      <c r="S431" s="119">
        <f>VLOOKUP(C431,'Talente &amp; Stuff'!DO:EP,17,FALSE)</f>
        <v>0</v>
      </c>
      <c r="T431" s="160">
        <f>VLOOKUP(C431,'Talente &amp; Stuff'!DO:EP,18,FALSE)</f>
        <v>0</v>
      </c>
      <c r="U431" s="89">
        <f>VLOOKUP(C431,'Talente &amp; Stuff'!DO:EP,19,FALSE)</f>
        <v>0</v>
      </c>
      <c r="V431" s="47">
        <f>VLOOKUP(C431,'Talente &amp; Stuff'!DO:EP,20,FALSE)</f>
        <v>0</v>
      </c>
      <c r="W431" s="127">
        <f>VLOOKUP(C431,'Talente &amp; Stuff'!DO:EP,21,FALSE)</f>
        <v>0</v>
      </c>
      <c r="X431" s="127">
        <f>VLOOKUP(C431,'Talente &amp; Stuff'!DO:EP,22,FALSE)</f>
        <v>0</v>
      </c>
      <c r="Y431" s="165">
        <f t="shared" si="34"/>
        <v>0</v>
      </c>
      <c r="Z431" s="44">
        <f t="shared" si="35"/>
        <v>0</v>
      </c>
      <c r="AA431" s="125">
        <f>VLOOKUP(C431,'Talente &amp; Stuff'!DO:EP,25,FALSE)</f>
        <v>0</v>
      </c>
      <c r="AB431" s="160">
        <f>VLOOKUP(C431,'Talente &amp; Stuff'!DO:EP,26,FALSE)</f>
        <v>0</v>
      </c>
      <c r="AC431" s="127">
        <f>VLOOKUP(C431,'Talente &amp; Stuff'!DO:EP,27,FALSE)</f>
        <v>0</v>
      </c>
      <c r="AD431" s="125">
        <f>VLOOKUP(C431,'Talente &amp; Stuff'!DO:EP,28,FALSE)</f>
        <v>0</v>
      </c>
      <c r="AE431" s="28"/>
    </row>
    <row r="432" spans="2:31" ht="15" hidden="1" customHeight="1" outlineLevel="2">
      <c r="B432" s="148">
        <v>8</v>
      </c>
      <c r="C432" s="178" t="str">
        <f>Attribute!C432</f>
        <v>---</v>
      </c>
      <c r="D432" s="159" t="str">
        <f>VLOOKUP(C432,'Talente &amp; Stuff'!DO:EP,2,FALSE)</f>
        <v>--/--/--</v>
      </c>
      <c r="E432" s="88" t="str">
        <f>VLOOKUP(C432,'Talente &amp; Stuff'!DO:EP,3,FALSE)</f>
        <v>-</v>
      </c>
      <c r="F432" s="115">
        <f>VLOOKUP(C432,'Talente &amp; Stuff'!DO:EP,4,FALSE)</f>
        <v>0</v>
      </c>
      <c r="G432" s="122">
        <f>VLOOKUP(C432,'Talente &amp; Stuff'!DO:EP,5,FALSE)</f>
        <v>0</v>
      </c>
      <c r="H432" s="122">
        <f>VLOOKUP(C432,'Talente &amp; Stuff'!DO:EP,6,FALSE)</f>
        <v>0</v>
      </c>
      <c r="I432" s="122">
        <f>VLOOKUP(C432,'Talente &amp; Stuff'!DO:EP,7,FALSE)</f>
        <v>0</v>
      </c>
      <c r="J432" s="122">
        <f>VLOOKUP(C432,'Talente &amp; Stuff'!DO:EP,8,FALSE)</f>
        <v>0</v>
      </c>
      <c r="K432" s="122">
        <f>VLOOKUP(C432,'Talente &amp; Stuff'!DO:EP,9,FALSE)</f>
        <v>0</v>
      </c>
      <c r="L432" s="122">
        <f>VLOOKUP(C432,'Talente &amp; Stuff'!DO:EP,10,FALSE)</f>
        <v>0</v>
      </c>
      <c r="M432" s="123">
        <f>VLOOKUP(C432,'Talente &amp; Stuff'!DO:EP,11,FALSE)</f>
        <v>0</v>
      </c>
      <c r="N432" s="88">
        <f>VLOOKUP(C432,'Talente &amp; Stuff'!DO:EP,12,FALSE)</f>
        <v>0</v>
      </c>
      <c r="O432" s="88">
        <f>VLOOKUP(C432,'Talente &amp; Stuff'!DO:EP,13,FALSE)</f>
        <v>0</v>
      </c>
      <c r="P432" s="122">
        <f>VLOOKUP(C432,'Talente &amp; Stuff'!DO:EP,14,FALSE)</f>
        <v>0</v>
      </c>
      <c r="Q432" s="115">
        <f>VLOOKUP(C432,'Talente &amp; Stuff'!DO:EP,15,FALSE)</f>
        <v>0</v>
      </c>
      <c r="R432" s="122">
        <f>VLOOKUP(C432,'Talente &amp; Stuff'!DO:EP,16,FALSE)</f>
        <v>0</v>
      </c>
      <c r="S432" s="123">
        <f>VLOOKUP(C432,'Talente &amp; Stuff'!DO:EP,17,FALSE)</f>
        <v>0</v>
      </c>
      <c r="T432" s="161">
        <f>VLOOKUP(C432,'Talente &amp; Stuff'!DO:EP,18,FALSE)</f>
        <v>0</v>
      </c>
      <c r="U432" s="90">
        <f>VLOOKUP(C432,'Talente &amp; Stuff'!DO:EP,19,FALSE)</f>
        <v>0</v>
      </c>
      <c r="V432" s="88">
        <f>VLOOKUP(C432,'Talente &amp; Stuff'!DO:EP,20,FALSE)</f>
        <v>0</v>
      </c>
      <c r="W432" s="128">
        <f>VLOOKUP(C432,'Talente &amp; Stuff'!DO:EP,21,FALSE)</f>
        <v>0</v>
      </c>
      <c r="X432" s="128">
        <f>VLOOKUP(C432,'Talente &amp; Stuff'!DO:EP,22,FALSE)</f>
        <v>0</v>
      </c>
      <c r="Y432" s="165">
        <f t="shared" si="34"/>
        <v>0</v>
      </c>
      <c r="Z432" s="44">
        <f t="shared" si="35"/>
        <v>0</v>
      </c>
      <c r="AA432" s="159">
        <f>VLOOKUP(C432,'Talente &amp; Stuff'!DO:EP,25,FALSE)</f>
        <v>0</v>
      </c>
      <c r="AB432" s="161">
        <f>VLOOKUP(C432,'Talente &amp; Stuff'!DO:EP,26,FALSE)</f>
        <v>0</v>
      </c>
      <c r="AC432" s="128">
        <f>VLOOKUP(C432,'Talente &amp; Stuff'!DO:EP,27,FALSE)</f>
        <v>0</v>
      </c>
      <c r="AD432" s="159">
        <f>VLOOKUP(C432,'Talente &amp; Stuff'!DO:EP,28,FALSE)</f>
        <v>0</v>
      </c>
      <c r="AE432" s="28"/>
    </row>
    <row r="433" spans="1:31" ht="15" hidden="1" customHeight="1" outlineLevel="1" collapsed="1">
      <c r="B433" s="134" t="s">
        <v>322</v>
      </c>
      <c r="C433" s="83"/>
      <c r="D433" s="84"/>
      <c r="E433" s="84"/>
    </row>
    <row r="434" spans="1:31" ht="15" hidden="1" customHeight="1" outlineLevel="2">
      <c r="B434" s="148">
        <v>1</v>
      </c>
      <c r="C434" s="176" t="str">
        <f>Attribute!C434</f>
        <v>---</v>
      </c>
      <c r="D434" s="158" t="str">
        <f>VLOOKUP(C434,'Talente &amp; Stuff'!DO:EP,2,FALSE)</f>
        <v>--/--/--</v>
      </c>
      <c r="E434" s="116" t="str">
        <f>VLOOKUP(C434,'Talente &amp; Stuff'!DO:EP,3,FALSE)</f>
        <v>-</v>
      </c>
      <c r="F434" s="191">
        <f>VLOOKUP(C434,'Talente &amp; Stuff'!DO:EP,4,FALSE)</f>
        <v>0</v>
      </c>
      <c r="G434" s="118">
        <f>VLOOKUP(C434,'Talente &amp; Stuff'!DO:EP,5,FALSE)</f>
        <v>0</v>
      </c>
      <c r="H434" s="118">
        <f>VLOOKUP(C434,'Talente &amp; Stuff'!DO:EP,6,FALSE)</f>
        <v>0</v>
      </c>
      <c r="I434" s="118">
        <f>VLOOKUP(C434,'Talente &amp; Stuff'!DO:EP,7,FALSE)</f>
        <v>0</v>
      </c>
      <c r="J434" s="118">
        <f>VLOOKUP(C434,'Talente &amp; Stuff'!DO:EP,8,FALSE)</f>
        <v>0</v>
      </c>
      <c r="K434" s="118">
        <f>VLOOKUP(C434,'Talente &amp; Stuff'!DO:EP,9,FALSE)</f>
        <v>0</v>
      </c>
      <c r="L434" s="118">
        <f>VLOOKUP(C434,'Talente &amp; Stuff'!DO:EP,10,FALSE)</f>
        <v>0</v>
      </c>
      <c r="M434" s="92">
        <f>VLOOKUP(C434,'Talente &amp; Stuff'!DO:EP,11,FALSE)</f>
        <v>0</v>
      </c>
      <c r="N434" s="116">
        <f>VLOOKUP(C434,'Talente &amp; Stuff'!DO:EP,12,FALSE)</f>
        <v>0</v>
      </c>
      <c r="O434" s="116">
        <f>VLOOKUP(C434,'Talente &amp; Stuff'!DO:EP,13,FALSE)</f>
        <v>0</v>
      </c>
      <c r="P434" s="118">
        <f>VLOOKUP(C434,'Talente &amp; Stuff'!DO:EP,14,FALSE)</f>
        <v>0</v>
      </c>
      <c r="Q434" s="191">
        <f>VLOOKUP(C434,'Talente &amp; Stuff'!DO:EP,15,FALSE)</f>
        <v>0</v>
      </c>
      <c r="R434" s="118">
        <f>VLOOKUP(C434,'Talente &amp; Stuff'!DO:EP,16,FALSE)</f>
        <v>0</v>
      </c>
      <c r="S434" s="92">
        <f>VLOOKUP(C434,'Talente &amp; Stuff'!DO:EP,17,FALSE)</f>
        <v>0</v>
      </c>
      <c r="T434" s="91">
        <f>VLOOKUP(C434,'Talente &amp; Stuff'!DO:EP,18,FALSE)</f>
        <v>0</v>
      </c>
      <c r="U434" s="193">
        <f>VLOOKUP(C434,'Talente &amp; Stuff'!DO:EP,19,FALSE)</f>
        <v>0</v>
      </c>
      <c r="V434" s="116">
        <f>VLOOKUP(C434,'Talente &amp; Stuff'!DO:EP,20,FALSE)</f>
        <v>0</v>
      </c>
      <c r="W434" s="126">
        <f>VLOOKUP(C434,'Talente &amp; Stuff'!DO:EP,21,FALSE)</f>
        <v>0</v>
      </c>
      <c r="X434" s="126">
        <f>VLOOKUP(C434,'Talente &amp; Stuff'!DO:EP,22,FALSE)</f>
        <v>0</v>
      </c>
      <c r="Y434" s="175">
        <f t="shared" ref="Y434:Y439" si="36">VLOOKUP(C434,Ausgewählte_Liturgien_Praios,139,FALSE)</f>
        <v>0</v>
      </c>
      <c r="Z434" s="198">
        <f t="shared" ref="Z434:Z439" si="37">VLOOKUP(C434,Ausgewählte_Liturgien_Praios,140,FALSE)</f>
        <v>0</v>
      </c>
      <c r="AA434" s="158">
        <f>VLOOKUP(C434,'Talente &amp; Stuff'!DO:EP,25,FALSE)</f>
        <v>0</v>
      </c>
      <c r="AB434" s="91">
        <f>VLOOKUP(C434,'Talente &amp; Stuff'!DO:EP,26,FALSE)</f>
        <v>0</v>
      </c>
      <c r="AC434" s="126">
        <f>VLOOKUP(C434,'Talente &amp; Stuff'!DO:EP,27,FALSE)</f>
        <v>0</v>
      </c>
      <c r="AD434" s="158">
        <f>VLOOKUP(C434,'Talente &amp; Stuff'!DO:EP,28,FALSE)</f>
        <v>0</v>
      </c>
      <c r="AE434" s="28"/>
    </row>
    <row r="435" spans="1:31" ht="15" hidden="1" customHeight="1" outlineLevel="2">
      <c r="B435" s="148">
        <v>2</v>
      </c>
      <c r="C435" s="177" t="str">
        <f>Attribute!C435</f>
        <v>---</v>
      </c>
      <c r="D435" s="125" t="str">
        <f>VLOOKUP(C435,'Talente &amp; Stuff'!DO:EP,2,FALSE)</f>
        <v>--/--/--</v>
      </c>
      <c r="E435" s="47" t="str">
        <f>VLOOKUP(C435,'Talente &amp; Stuff'!DO:EP,3,FALSE)</f>
        <v>-</v>
      </c>
      <c r="F435" s="114">
        <f>VLOOKUP(C435,'Talente &amp; Stuff'!DO:EP,4,FALSE)</f>
        <v>0</v>
      </c>
      <c r="G435" s="113">
        <f>VLOOKUP(C435,'Talente &amp; Stuff'!DO:EP,5,FALSE)</f>
        <v>0</v>
      </c>
      <c r="H435" s="113">
        <f>VLOOKUP(C435,'Talente &amp; Stuff'!DO:EP,6,FALSE)</f>
        <v>0</v>
      </c>
      <c r="I435" s="113">
        <f>VLOOKUP(C435,'Talente &amp; Stuff'!DO:EP,7,FALSE)</f>
        <v>0</v>
      </c>
      <c r="J435" s="113">
        <f>VLOOKUP(C435,'Talente &amp; Stuff'!DO:EP,8,FALSE)</f>
        <v>0</v>
      </c>
      <c r="K435" s="113">
        <f>VLOOKUP(C435,'Talente &amp; Stuff'!DO:EP,9,FALSE)</f>
        <v>0</v>
      </c>
      <c r="L435" s="113">
        <f>VLOOKUP(C435,'Talente &amp; Stuff'!DO:EP,10,FALSE)</f>
        <v>0</v>
      </c>
      <c r="M435" s="119">
        <f>VLOOKUP(C435,'Talente &amp; Stuff'!DO:EP,11,FALSE)</f>
        <v>0</v>
      </c>
      <c r="N435" s="47">
        <f>VLOOKUP(C435,'Talente &amp; Stuff'!DO:EP,12,FALSE)</f>
        <v>0</v>
      </c>
      <c r="O435" s="47">
        <f>VLOOKUP(C435,'Talente &amp; Stuff'!DO:EP,13,FALSE)</f>
        <v>0</v>
      </c>
      <c r="P435" s="113">
        <f>VLOOKUP(C435,'Talente &amp; Stuff'!DO:EP,14,FALSE)</f>
        <v>0</v>
      </c>
      <c r="Q435" s="114">
        <f>VLOOKUP(C435,'Talente &amp; Stuff'!DO:EP,15,FALSE)</f>
        <v>0</v>
      </c>
      <c r="R435" s="113">
        <f>VLOOKUP(C435,'Talente &amp; Stuff'!DO:EP,16,FALSE)</f>
        <v>0</v>
      </c>
      <c r="S435" s="119">
        <f>VLOOKUP(C435,'Talente &amp; Stuff'!DO:EP,17,FALSE)</f>
        <v>0</v>
      </c>
      <c r="T435" s="160">
        <f>VLOOKUP(C435,'Talente &amp; Stuff'!DO:EP,18,FALSE)</f>
        <v>0</v>
      </c>
      <c r="U435" s="89">
        <f>VLOOKUP(C435,'Talente &amp; Stuff'!DO:EP,19,FALSE)</f>
        <v>0</v>
      </c>
      <c r="V435" s="47">
        <f>VLOOKUP(C435,'Talente &amp; Stuff'!DO:EP,20,FALSE)</f>
        <v>0</v>
      </c>
      <c r="W435" s="127">
        <f>VLOOKUP(C435,'Talente &amp; Stuff'!DO:EP,21,FALSE)</f>
        <v>0</v>
      </c>
      <c r="X435" s="127">
        <f>VLOOKUP(C435,'Talente &amp; Stuff'!DO:EP,22,FALSE)</f>
        <v>0</v>
      </c>
      <c r="Y435" s="175">
        <f t="shared" si="36"/>
        <v>0</v>
      </c>
      <c r="Z435" s="198">
        <f t="shared" si="37"/>
        <v>0</v>
      </c>
      <c r="AA435" s="125">
        <f>VLOOKUP(C435,'Talente &amp; Stuff'!DO:EP,25,FALSE)</f>
        <v>0</v>
      </c>
      <c r="AB435" s="160">
        <f>VLOOKUP(C435,'Talente &amp; Stuff'!DO:EP,26,FALSE)</f>
        <v>0</v>
      </c>
      <c r="AC435" s="127">
        <f>VLOOKUP(C435,'Talente &amp; Stuff'!DO:EP,27,FALSE)</f>
        <v>0</v>
      </c>
      <c r="AD435" s="125">
        <f>VLOOKUP(C435,'Talente &amp; Stuff'!DO:EP,28,FALSE)</f>
        <v>0</v>
      </c>
      <c r="AE435" s="28"/>
    </row>
    <row r="436" spans="1:31" ht="15" hidden="1" customHeight="1" outlineLevel="2">
      <c r="B436" s="148">
        <v>3</v>
      </c>
      <c r="C436" s="177" t="str">
        <f>Attribute!C436</f>
        <v>---</v>
      </c>
      <c r="D436" s="125" t="str">
        <f>VLOOKUP(C436,'Talente &amp; Stuff'!DO:EP,2,FALSE)</f>
        <v>--/--/--</v>
      </c>
      <c r="E436" s="47" t="str">
        <f>VLOOKUP(C436,'Talente &amp; Stuff'!DO:EP,3,FALSE)</f>
        <v>-</v>
      </c>
      <c r="F436" s="114">
        <f>VLOOKUP(C436,'Talente &amp; Stuff'!DO:EP,4,FALSE)</f>
        <v>0</v>
      </c>
      <c r="G436" s="113">
        <f>VLOOKUP(C436,'Talente &amp; Stuff'!DO:EP,5,FALSE)</f>
        <v>0</v>
      </c>
      <c r="H436" s="113">
        <f>VLOOKUP(C436,'Talente &amp; Stuff'!DO:EP,6,FALSE)</f>
        <v>0</v>
      </c>
      <c r="I436" s="113">
        <f>VLOOKUP(C436,'Talente &amp; Stuff'!DO:EP,7,FALSE)</f>
        <v>0</v>
      </c>
      <c r="J436" s="113">
        <f>VLOOKUP(C436,'Talente &amp; Stuff'!DO:EP,8,FALSE)</f>
        <v>0</v>
      </c>
      <c r="K436" s="113">
        <f>VLOOKUP(C436,'Talente &amp; Stuff'!DO:EP,9,FALSE)</f>
        <v>0</v>
      </c>
      <c r="L436" s="113">
        <f>VLOOKUP(C436,'Talente &amp; Stuff'!DO:EP,10,FALSE)</f>
        <v>0</v>
      </c>
      <c r="M436" s="119">
        <f>VLOOKUP(C436,'Talente &amp; Stuff'!DO:EP,11,FALSE)</f>
        <v>0</v>
      </c>
      <c r="N436" s="47">
        <f>VLOOKUP(C436,'Talente &amp; Stuff'!DO:EP,12,FALSE)</f>
        <v>0</v>
      </c>
      <c r="O436" s="47">
        <f>VLOOKUP(C436,'Talente &amp; Stuff'!DO:EP,13,FALSE)</f>
        <v>0</v>
      </c>
      <c r="P436" s="113">
        <f>VLOOKUP(C436,'Talente &amp; Stuff'!DO:EP,14,FALSE)</f>
        <v>0</v>
      </c>
      <c r="Q436" s="114">
        <f>VLOOKUP(C436,'Talente &amp; Stuff'!DO:EP,15,FALSE)</f>
        <v>0</v>
      </c>
      <c r="R436" s="113">
        <f>VLOOKUP(C436,'Talente &amp; Stuff'!DO:EP,16,FALSE)</f>
        <v>0</v>
      </c>
      <c r="S436" s="119">
        <f>VLOOKUP(C436,'Talente &amp; Stuff'!DO:EP,17,FALSE)</f>
        <v>0</v>
      </c>
      <c r="T436" s="160">
        <f>VLOOKUP(C436,'Talente &amp; Stuff'!DO:EP,18,FALSE)</f>
        <v>0</v>
      </c>
      <c r="U436" s="89">
        <f>VLOOKUP(C436,'Talente &amp; Stuff'!DO:EP,19,FALSE)</f>
        <v>0</v>
      </c>
      <c r="V436" s="47">
        <f>VLOOKUP(C436,'Talente &amp; Stuff'!DO:EP,20,FALSE)</f>
        <v>0</v>
      </c>
      <c r="W436" s="127">
        <f>VLOOKUP(C436,'Talente &amp; Stuff'!DO:EP,21,FALSE)</f>
        <v>0</v>
      </c>
      <c r="X436" s="127">
        <f>VLOOKUP(C436,'Talente &amp; Stuff'!DO:EP,22,FALSE)</f>
        <v>0</v>
      </c>
      <c r="Y436" s="175">
        <f t="shared" si="36"/>
        <v>0</v>
      </c>
      <c r="Z436" s="198">
        <f t="shared" si="37"/>
        <v>0</v>
      </c>
      <c r="AA436" s="125">
        <f>VLOOKUP(C436,'Talente &amp; Stuff'!DO:EP,25,FALSE)</f>
        <v>0</v>
      </c>
      <c r="AB436" s="160">
        <f>VLOOKUP(C436,'Talente &amp; Stuff'!DO:EP,26,FALSE)</f>
        <v>0</v>
      </c>
      <c r="AC436" s="127">
        <f>VLOOKUP(C436,'Talente &amp; Stuff'!DO:EP,27,FALSE)</f>
        <v>0</v>
      </c>
      <c r="AD436" s="125">
        <f>VLOOKUP(C436,'Talente &amp; Stuff'!DO:EP,28,FALSE)</f>
        <v>0</v>
      </c>
      <c r="AE436" s="28"/>
    </row>
    <row r="437" spans="1:31" ht="15" hidden="1" customHeight="1" outlineLevel="2">
      <c r="B437" s="148">
        <v>4</v>
      </c>
      <c r="C437" s="177" t="str">
        <f>Attribute!C437</f>
        <v>---</v>
      </c>
      <c r="D437" s="125" t="str">
        <f>VLOOKUP(C437,'Talente &amp; Stuff'!DO:EP,2,FALSE)</f>
        <v>--/--/--</v>
      </c>
      <c r="E437" s="47" t="str">
        <f>VLOOKUP(C437,'Talente &amp; Stuff'!DO:EP,3,FALSE)</f>
        <v>-</v>
      </c>
      <c r="F437" s="114">
        <f>VLOOKUP(C437,'Talente &amp; Stuff'!DO:EP,4,FALSE)</f>
        <v>0</v>
      </c>
      <c r="G437" s="113">
        <f>VLOOKUP(C437,'Talente &amp; Stuff'!DO:EP,5,FALSE)</f>
        <v>0</v>
      </c>
      <c r="H437" s="113">
        <f>VLOOKUP(C437,'Talente &amp; Stuff'!DO:EP,6,FALSE)</f>
        <v>0</v>
      </c>
      <c r="I437" s="113">
        <f>VLOOKUP(C437,'Talente &amp; Stuff'!DO:EP,7,FALSE)</f>
        <v>0</v>
      </c>
      <c r="J437" s="113">
        <f>VLOOKUP(C437,'Talente &amp; Stuff'!DO:EP,8,FALSE)</f>
        <v>0</v>
      </c>
      <c r="K437" s="113">
        <f>VLOOKUP(C437,'Talente &amp; Stuff'!DO:EP,9,FALSE)</f>
        <v>0</v>
      </c>
      <c r="L437" s="113">
        <f>VLOOKUP(C437,'Talente &amp; Stuff'!DO:EP,10,FALSE)</f>
        <v>0</v>
      </c>
      <c r="M437" s="119">
        <f>VLOOKUP(C437,'Talente &amp; Stuff'!DO:EP,11,FALSE)</f>
        <v>0</v>
      </c>
      <c r="N437" s="47">
        <f>VLOOKUP(C437,'Talente &amp; Stuff'!DO:EP,12,FALSE)</f>
        <v>0</v>
      </c>
      <c r="O437" s="47">
        <f>VLOOKUP(C437,'Talente &amp; Stuff'!DO:EP,13,FALSE)</f>
        <v>0</v>
      </c>
      <c r="P437" s="113">
        <f>VLOOKUP(C437,'Talente &amp; Stuff'!DO:EP,14,FALSE)</f>
        <v>0</v>
      </c>
      <c r="Q437" s="114">
        <f>VLOOKUP(C437,'Talente &amp; Stuff'!DO:EP,15,FALSE)</f>
        <v>0</v>
      </c>
      <c r="R437" s="113">
        <f>VLOOKUP(C437,'Talente &amp; Stuff'!DO:EP,16,FALSE)</f>
        <v>0</v>
      </c>
      <c r="S437" s="119">
        <f>VLOOKUP(C437,'Talente &amp; Stuff'!DO:EP,17,FALSE)</f>
        <v>0</v>
      </c>
      <c r="T437" s="160">
        <f>VLOOKUP(C437,'Talente &amp; Stuff'!DO:EP,18,FALSE)</f>
        <v>0</v>
      </c>
      <c r="U437" s="89">
        <f>VLOOKUP(C437,'Talente &amp; Stuff'!DO:EP,19,FALSE)</f>
        <v>0</v>
      </c>
      <c r="V437" s="47">
        <f>VLOOKUP(C437,'Talente &amp; Stuff'!DO:EP,20,FALSE)</f>
        <v>0</v>
      </c>
      <c r="W437" s="127">
        <f>VLOOKUP(C437,'Talente &amp; Stuff'!DO:EP,21,FALSE)</f>
        <v>0</v>
      </c>
      <c r="X437" s="127">
        <f>VLOOKUP(C437,'Talente &amp; Stuff'!DO:EP,22,FALSE)</f>
        <v>0</v>
      </c>
      <c r="Y437" s="175">
        <f t="shared" si="36"/>
        <v>0</v>
      </c>
      <c r="Z437" s="198">
        <f t="shared" si="37"/>
        <v>0</v>
      </c>
      <c r="AA437" s="125">
        <f>VLOOKUP(C437,'Talente &amp; Stuff'!DO:EP,25,FALSE)</f>
        <v>0</v>
      </c>
      <c r="AB437" s="160">
        <f>VLOOKUP(C437,'Talente &amp; Stuff'!DO:EP,26,FALSE)</f>
        <v>0</v>
      </c>
      <c r="AC437" s="127">
        <f>VLOOKUP(C437,'Talente &amp; Stuff'!DO:EP,27,FALSE)</f>
        <v>0</v>
      </c>
      <c r="AD437" s="125">
        <f>VLOOKUP(C437,'Talente &amp; Stuff'!DO:EP,28,FALSE)</f>
        <v>0</v>
      </c>
      <c r="AE437" s="28"/>
    </row>
    <row r="438" spans="1:31" ht="15" hidden="1" customHeight="1" outlineLevel="2">
      <c r="B438" s="148">
        <v>5</v>
      </c>
      <c r="C438" s="177" t="str">
        <f>Attribute!C438</f>
        <v>---</v>
      </c>
      <c r="D438" s="125" t="str">
        <f>VLOOKUP(C438,'Talente &amp; Stuff'!DO:EP,2,FALSE)</f>
        <v>--/--/--</v>
      </c>
      <c r="E438" s="47" t="str">
        <f>VLOOKUP(C438,'Talente &amp; Stuff'!DO:EP,3,FALSE)</f>
        <v>-</v>
      </c>
      <c r="F438" s="114">
        <f>VLOOKUP(C438,'Talente &amp; Stuff'!DO:EP,4,FALSE)</f>
        <v>0</v>
      </c>
      <c r="G438" s="113">
        <f>VLOOKUP(C438,'Talente &amp; Stuff'!DO:EP,5,FALSE)</f>
        <v>0</v>
      </c>
      <c r="H438" s="113">
        <f>VLOOKUP(C438,'Talente &amp; Stuff'!DO:EP,6,FALSE)</f>
        <v>0</v>
      </c>
      <c r="I438" s="113">
        <f>VLOOKUP(C438,'Talente &amp; Stuff'!DO:EP,7,FALSE)</f>
        <v>0</v>
      </c>
      <c r="J438" s="113">
        <f>VLOOKUP(C438,'Talente &amp; Stuff'!DO:EP,8,FALSE)</f>
        <v>0</v>
      </c>
      <c r="K438" s="113">
        <f>VLOOKUP(C438,'Talente &amp; Stuff'!DO:EP,9,FALSE)</f>
        <v>0</v>
      </c>
      <c r="L438" s="113">
        <f>VLOOKUP(C438,'Talente &amp; Stuff'!DO:EP,10,FALSE)</f>
        <v>0</v>
      </c>
      <c r="M438" s="119">
        <f>VLOOKUP(C438,'Talente &amp; Stuff'!DO:EP,11,FALSE)</f>
        <v>0</v>
      </c>
      <c r="N438" s="47">
        <f>VLOOKUP(C438,'Talente &amp; Stuff'!DO:EP,12,FALSE)</f>
        <v>0</v>
      </c>
      <c r="O438" s="47">
        <f>VLOOKUP(C438,'Talente &amp; Stuff'!DO:EP,13,FALSE)</f>
        <v>0</v>
      </c>
      <c r="P438" s="113">
        <f>VLOOKUP(C438,'Talente &amp; Stuff'!DO:EP,14,FALSE)</f>
        <v>0</v>
      </c>
      <c r="Q438" s="114">
        <f>VLOOKUP(C438,'Talente &amp; Stuff'!DO:EP,15,FALSE)</f>
        <v>0</v>
      </c>
      <c r="R438" s="113">
        <f>VLOOKUP(C438,'Talente &amp; Stuff'!DO:EP,16,FALSE)</f>
        <v>0</v>
      </c>
      <c r="S438" s="119">
        <f>VLOOKUP(C438,'Talente &amp; Stuff'!DO:EP,17,FALSE)</f>
        <v>0</v>
      </c>
      <c r="T438" s="160">
        <f>VLOOKUP(C438,'Talente &amp; Stuff'!DO:EP,18,FALSE)</f>
        <v>0</v>
      </c>
      <c r="U438" s="89">
        <f>VLOOKUP(C438,'Talente &amp; Stuff'!DO:EP,19,FALSE)</f>
        <v>0</v>
      </c>
      <c r="V438" s="47">
        <f>VLOOKUP(C438,'Talente &amp; Stuff'!DO:EP,20,FALSE)</f>
        <v>0</v>
      </c>
      <c r="W438" s="127">
        <f>VLOOKUP(C438,'Talente &amp; Stuff'!DO:EP,21,FALSE)</f>
        <v>0</v>
      </c>
      <c r="X438" s="127">
        <f>VLOOKUP(C438,'Talente &amp; Stuff'!DO:EP,22,FALSE)</f>
        <v>0</v>
      </c>
      <c r="Y438" s="175">
        <f t="shared" si="36"/>
        <v>0</v>
      </c>
      <c r="Z438" s="198">
        <f t="shared" si="37"/>
        <v>0</v>
      </c>
      <c r="AA438" s="125">
        <f>VLOOKUP(C438,'Talente &amp; Stuff'!DO:EP,25,FALSE)</f>
        <v>0</v>
      </c>
      <c r="AB438" s="160">
        <f>VLOOKUP(C438,'Talente &amp; Stuff'!DO:EP,26,FALSE)</f>
        <v>0</v>
      </c>
      <c r="AC438" s="127">
        <f>VLOOKUP(C438,'Talente &amp; Stuff'!DO:EP,27,FALSE)</f>
        <v>0</v>
      </c>
      <c r="AD438" s="125">
        <f>VLOOKUP(C438,'Talente &amp; Stuff'!DO:EP,28,FALSE)</f>
        <v>0</v>
      </c>
      <c r="AE438" s="28"/>
    </row>
    <row r="439" spans="1:31" ht="15" hidden="1" customHeight="1" outlineLevel="2">
      <c r="B439" s="148">
        <v>6</v>
      </c>
      <c r="C439" s="178" t="str">
        <f>Attribute!C439</f>
        <v>---</v>
      </c>
      <c r="D439" s="159" t="str">
        <f>VLOOKUP(C439,'Talente &amp; Stuff'!DO:EP,2,FALSE)</f>
        <v>--/--/--</v>
      </c>
      <c r="E439" s="88" t="str">
        <f>VLOOKUP(C439,'Talente &amp; Stuff'!DO:EP,3,FALSE)</f>
        <v>-</v>
      </c>
      <c r="F439" s="115">
        <f>VLOOKUP(C439,'Talente &amp; Stuff'!DO:EP,4,FALSE)</f>
        <v>0</v>
      </c>
      <c r="G439" s="122">
        <f>VLOOKUP(C439,'Talente &amp; Stuff'!DO:EP,5,FALSE)</f>
        <v>0</v>
      </c>
      <c r="H439" s="122">
        <f>VLOOKUP(C439,'Talente &amp; Stuff'!DO:EP,6,FALSE)</f>
        <v>0</v>
      </c>
      <c r="I439" s="122">
        <f>VLOOKUP(C439,'Talente &amp; Stuff'!DO:EP,7,FALSE)</f>
        <v>0</v>
      </c>
      <c r="J439" s="122">
        <f>VLOOKUP(C439,'Talente &amp; Stuff'!DO:EP,8,FALSE)</f>
        <v>0</v>
      </c>
      <c r="K439" s="122">
        <f>VLOOKUP(C439,'Talente &amp; Stuff'!DO:EP,9,FALSE)</f>
        <v>0</v>
      </c>
      <c r="L439" s="122">
        <f>VLOOKUP(C439,'Talente &amp; Stuff'!DO:EP,10,FALSE)</f>
        <v>0</v>
      </c>
      <c r="M439" s="123">
        <f>VLOOKUP(C439,'Talente &amp; Stuff'!DO:EP,11,FALSE)</f>
        <v>0</v>
      </c>
      <c r="N439" s="88">
        <f>VLOOKUP(C439,'Talente &amp; Stuff'!DO:EP,12,FALSE)</f>
        <v>0</v>
      </c>
      <c r="O439" s="88">
        <f>VLOOKUP(C439,'Talente &amp; Stuff'!DO:EP,13,FALSE)</f>
        <v>0</v>
      </c>
      <c r="P439" s="122">
        <f>VLOOKUP(C439,'Talente &amp; Stuff'!DO:EP,14,FALSE)</f>
        <v>0</v>
      </c>
      <c r="Q439" s="115">
        <f>VLOOKUP(C439,'Talente &amp; Stuff'!DO:EP,15,FALSE)</f>
        <v>0</v>
      </c>
      <c r="R439" s="122">
        <f>VLOOKUP(C439,'Talente &amp; Stuff'!DO:EP,16,FALSE)</f>
        <v>0</v>
      </c>
      <c r="S439" s="123">
        <f>VLOOKUP(C439,'Talente &amp; Stuff'!DO:EP,17,FALSE)</f>
        <v>0</v>
      </c>
      <c r="T439" s="161">
        <f>VLOOKUP(C439,'Talente &amp; Stuff'!DO:EP,18,FALSE)</f>
        <v>0</v>
      </c>
      <c r="U439" s="90">
        <f>VLOOKUP(C439,'Talente &amp; Stuff'!DO:EP,19,FALSE)</f>
        <v>0</v>
      </c>
      <c r="V439" s="88">
        <f>VLOOKUP(C439,'Talente &amp; Stuff'!DO:EP,20,FALSE)</f>
        <v>0</v>
      </c>
      <c r="W439" s="128">
        <f>VLOOKUP(C439,'Talente &amp; Stuff'!DO:EP,21,FALSE)</f>
        <v>0</v>
      </c>
      <c r="X439" s="128">
        <f>VLOOKUP(C439,'Talente &amp; Stuff'!DO:EP,22,FALSE)</f>
        <v>0</v>
      </c>
      <c r="Y439" s="175">
        <f t="shared" si="36"/>
        <v>0</v>
      </c>
      <c r="Z439" s="198">
        <f t="shared" si="37"/>
        <v>0</v>
      </c>
      <c r="AA439" s="159">
        <f>VLOOKUP(C439,'Talente &amp; Stuff'!DO:EP,25,FALSE)</f>
        <v>0</v>
      </c>
      <c r="AB439" s="161">
        <f>VLOOKUP(C439,'Talente &amp; Stuff'!DO:EP,26,FALSE)</f>
        <v>0</v>
      </c>
      <c r="AC439" s="128">
        <f>VLOOKUP(C439,'Talente &amp; Stuff'!DO:EP,27,FALSE)</f>
        <v>0</v>
      </c>
      <c r="AD439" s="159">
        <f>VLOOKUP(C439,'Talente &amp; Stuff'!DO:EP,28,FALSE)</f>
        <v>0</v>
      </c>
      <c r="AE439" s="28"/>
    </row>
    <row r="440" spans="1:31" ht="15" hidden="1" customHeight="1" outlineLevel="1" collapsed="1">
      <c r="B440" s="134" t="s">
        <v>321</v>
      </c>
      <c r="C440" s="83"/>
      <c r="D440" s="84"/>
      <c r="E440" s="84"/>
    </row>
    <row r="441" spans="1:31" ht="15" hidden="1" customHeight="1" outlineLevel="2">
      <c r="B441" s="148">
        <v>1</v>
      </c>
      <c r="C441" s="176" t="str">
        <f>Attribute!C441</f>
        <v>---</v>
      </c>
      <c r="D441" s="158" t="str">
        <f>VLOOKUP(C441,'Talente &amp; Stuff'!DO:EP,2,FALSE)</f>
        <v>--/--/--</v>
      </c>
      <c r="E441" s="116" t="str">
        <f>VLOOKUP(C441,'Talente &amp; Stuff'!DO:EP,3,FALSE)</f>
        <v>-</v>
      </c>
      <c r="F441" s="191">
        <f>VLOOKUP(C441,'Talente &amp; Stuff'!DO:EP,4,FALSE)</f>
        <v>0</v>
      </c>
      <c r="G441" s="118">
        <f>VLOOKUP(C441,'Talente &amp; Stuff'!DO:EP,5,FALSE)</f>
        <v>0</v>
      </c>
      <c r="H441" s="118">
        <f>VLOOKUP(C441,'Talente &amp; Stuff'!DO:EP,6,FALSE)</f>
        <v>0</v>
      </c>
      <c r="I441" s="118">
        <f>VLOOKUP(C441,'Talente &amp; Stuff'!DO:EP,7,FALSE)</f>
        <v>0</v>
      </c>
      <c r="J441" s="118">
        <f>VLOOKUP(C441,'Talente &amp; Stuff'!DO:EP,8,FALSE)</f>
        <v>0</v>
      </c>
      <c r="K441" s="118">
        <f>VLOOKUP(C441,'Talente &amp; Stuff'!DO:EP,9,FALSE)</f>
        <v>0</v>
      </c>
      <c r="L441" s="118">
        <f>VLOOKUP(C441,'Talente &amp; Stuff'!DO:EP,10,FALSE)</f>
        <v>0</v>
      </c>
      <c r="M441" s="92">
        <f>VLOOKUP(C441,'Talente &amp; Stuff'!DO:EP,11,FALSE)</f>
        <v>0</v>
      </c>
      <c r="N441" s="116">
        <f>VLOOKUP(C441,'Talente &amp; Stuff'!DO:EP,12,FALSE)</f>
        <v>0</v>
      </c>
      <c r="O441" s="116">
        <f>VLOOKUP(C441,'Talente &amp; Stuff'!DO:EP,13,FALSE)</f>
        <v>0</v>
      </c>
      <c r="P441" s="118">
        <f>VLOOKUP(C441,'Talente &amp; Stuff'!DO:EP,14,FALSE)</f>
        <v>0</v>
      </c>
      <c r="Q441" s="191">
        <f>VLOOKUP(C441,'Talente &amp; Stuff'!DO:EP,15,FALSE)</f>
        <v>0</v>
      </c>
      <c r="R441" s="118">
        <f>VLOOKUP(C441,'Talente &amp; Stuff'!DO:EP,16,FALSE)</f>
        <v>0</v>
      </c>
      <c r="S441" s="92">
        <f>VLOOKUP(C441,'Talente &amp; Stuff'!DO:EP,17,FALSE)</f>
        <v>0</v>
      </c>
      <c r="T441" s="91">
        <f>VLOOKUP(C441,'Talente &amp; Stuff'!DO:EP,18,FALSE)</f>
        <v>0</v>
      </c>
      <c r="U441" s="193">
        <f>VLOOKUP(C441,'Talente &amp; Stuff'!DO:EP,19,FALSE)</f>
        <v>0</v>
      </c>
      <c r="V441" s="116">
        <f>VLOOKUP(C441,'Talente &amp; Stuff'!DO:EP,20,FALSE)</f>
        <v>0</v>
      </c>
      <c r="W441" s="126">
        <f>VLOOKUP(C441,'Talente &amp; Stuff'!DO:EP,21,FALSE)</f>
        <v>0</v>
      </c>
      <c r="X441" s="126">
        <f>VLOOKUP(C441,'Talente &amp; Stuff'!DO:EP,22,FALSE)</f>
        <v>0</v>
      </c>
      <c r="Y441" s="165">
        <f>VLOOKUP(C441,Ausgewählte_Liturgien_Rondra,139,FALSE)</f>
        <v>0</v>
      </c>
      <c r="Z441" s="44">
        <f>VLOOKUP(C441,Ausgewählte_Liturgien_Rondra,140,FALSE)</f>
        <v>0</v>
      </c>
      <c r="AA441" s="158">
        <f>VLOOKUP(C441,'Talente &amp; Stuff'!DO:EP,25,FALSE)</f>
        <v>0</v>
      </c>
      <c r="AB441" s="91">
        <f>VLOOKUP(C441,'Talente &amp; Stuff'!DO:EP,26,FALSE)</f>
        <v>0</v>
      </c>
      <c r="AC441" s="126">
        <f>VLOOKUP(C441,'Talente &amp; Stuff'!DO:EP,27,FALSE)</f>
        <v>0</v>
      </c>
      <c r="AD441" s="158">
        <f>VLOOKUP(C441,'Talente &amp; Stuff'!DO:EP,28,FALSE)</f>
        <v>0</v>
      </c>
      <c r="AE441" s="28"/>
    </row>
    <row r="442" spans="1:31" ht="15" hidden="1" customHeight="1" outlineLevel="2">
      <c r="B442" s="148">
        <v>2</v>
      </c>
      <c r="C442" s="177" t="str">
        <f>Attribute!C442</f>
        <v>---</v>
      </c>
      <c r="D442" s="125" t="str">
        <f>VLOOKUP(C442,'Talente &amp; Stuff'!DO:EP,2,FALSE)</f>
        <v>--/--/--</v>
      </c>
      <c r="E442" s="47" t="str">
        <f>VLOOKUP(C442,'Talente &amp; Stuff'!DO:EP,3,FALSE)</f>
        <v>-</v>
      </c>
      <c r="F442" s="114">
        <f>VLOOKUP(C442,'Talente &amp; Stuff'!DO:EP,4,FALSE)</f>
        <v>0</v>
      </c>
      <c r="G442" s="113">
        <f>VLOOKUP(C442,'Talente &amp; Stuff'!DO:EP,5,FALSE)</f>
        <v>0</v>
      </c>
      <c r="H442" s="113">
        <f>VLOOKUP(C442,'Talente &amp; Stuff'!DO:EP,6,FALSE)</f>
        <v>0</v>
      </c>
      <c r="I442" s="113">
        <f>VLOOKUP(C442,'Talente &amp; Stuff'!DO:EP,7,FALSE)</f>
        <v>0</v>
      </c>
      <c r="J442" s="113">
        <f>VLOOKUP(C442,'Talente &amp; Stuff'!DO:EP,8,FALSE)</f>
        <v>0</v>
      </c>
      <c r="K442" s="113">
        <f>VLOOKUP(C442,'Talente &amp; Stuff'!DO:EP,9,FALSE)</f>
        <v>0</v>
      </c>
      <c r="L442" s="113">
        <f>VLOOKUP(C442,'Talente &amp; Stuff'!DO:EP,10,FALSE)</f>
        <v>0</v>
      </c>
      <c r="M442" s="119">
        <f>VLOOKUP(C442,'Talente &amp; Stuff'!DO:EP,11,FALSE)</f>
        <v>0</v>
      </c>
      <c r="N442" s="47">
        <f>VLOOKUP(C442,'Talente &amp; Stuff'!DO:EP,12,FALSE)</f>
        <v>0</v>
      </c>
      <c r="O442" s="47">
        <f>VLOOKUP(C442,'Talente &amp; Stuff'!DO:EP,13,FALSE)</f>
        <v>0</v>
      </c>
      <c r="P442" s="113">
        <f>VLOOKUP(C442,'Talente &amp; Stuff'!DO:EP,14,FALSE)</f>
        <v>0</v>
      </c>
      <c r="Q442" s="114">
        <f>VLOOKUP(C442,'Talente &amp; Stuff'!DO:EP,15,FALSE)</f>
        <v>0</v>
      </c>
      <c r="R442" s="113">
        <f>VLOOKUP(C442,'Talente &amp; Stuff'!DO:EP,16,FALSE)</f>
        <v>0</v>
      </c>
      <c r="S442" s="119">
        <f>VLOOKUP(C442,'Talente &amp; Stuff'!DO:EP,17,FALSE)</f>
        <v>0</v>
      </c>
      <c r="T442" s="160">
        <f>VLOOKUP(C442,'Talente &amp; Stuff'!DO:EP,18,FALSE)</f>
        <v>0</v>
      </c>
      <c r="U442" s="89">
        <f>VLOOKUP(C442,'Talente &amp; Stuff'!DO:EP,19,FALSE)</f>
        <v>0</v>
      </c>
      <c r="V442" s="47">
        <f>VLOOKUP(C442,'Talente &amp; Stuff'!DO:EP,20,FALSE)</f>
        <v>0</v>
      </c>
      <c r="W442" s="127">
        <f>VLOOKUP(C442,'Talente &amp; Stuff'!DO:EP,21,FALSE)</f>
        <v>0</v>
      </c>
      <c r="X442" s="127">
        <f>VLOOKUP(C442,'Talente &amp; Stuff'!DO:EP,22,FALSE)</f>
        <v>0</v>
      </c>
      <c r="Y442" s="165">
        <f>VLOOKUP(C442,Ausgewählte_Liturgien_Rondra,139,FALSE)</f>
        <v>0</v>
      </c>
      <c r="Z442" s="44">
        <f>VLOOKUP(C442,Ausgewählte_Liturgien_Rondra,140,FALSE)</f>
        <v>0</v>
      </c>
      <c r="AA442" s="125">
        <f>VLOOKUP(C442,'Talente &amp; Stuff'!DO:EP,25,FALSE)</f>
        <v>0</v>
      </c>
      <c r="AB442" s="160">
        <f>VLOOKUP(C442,'Talente &amp; Stuff'!DO:EP,26,FALSE)</f>
        <v>0</v>
      </c>
      <c r="AC442" s="127">
        <f>VLOOKUP(C442,'Talente &amp; Stuff'!DO:EP,27,FALSE)</f>
        <v>0</v>
      </c>
      <c r="AD442" s="125">
        <f>VLOOKUP(C442,'Talente &amp; Stuff'!DO:EP,28,FALSE)</f>
        <v>0</v>
      </c>
      <c r="AE442" s="28"/>
    </row>
    <row r="443" spans="1:31" ht="15" hidden="1" customHeight="1" outlineLevel="2">
      <c r="B443" s="137">
        <v>3</v>
      </c>
      <c r="C443" s="177" t="str">
        <f>Attribute!C443</f>
        <v>---</v>
      </c>
      <c r="D443" s="125" t="str">
        <f>VLOOKUP(C443,'Talente &amp; Stuff'!DO:EP,2,FALSE)</f>
        <v>--/--/--</v>
      </c>
      <c r="E443" s="47" t="str">
        <f>VLOOKUP(C443,'Talente &amp; Stuff'!DO:EP,3,FALSE)</f>
        <v>-</v>
      </c>
      <c r="F443" s="114">
        <f>VLOOKUP(C443,'Talente &amp; Stuff'!DO:EP,4,FALSE)</f>
        <v>0</v>
      </c>
      <c r="G443" s="113">
        <f>VLOOKUP(C443,'Talente &amp; Stuff'!DO:EP,5,FALSE)</f>
        <v>0</v>
      </c>
      <c r="H443" s="113">
        <f>VLOOKUP(C443,'Talente &amp; Stuff'!DO:EP,6,FALSE)</f>
        <v>0</v>
      </c>
      <c r="I443" s="113">
        <f>VLOOKUP(C443,'Talente &amp; Stuff'!DO:EP,7,FALSE)</f>
        <v>0</v>
      </c>
      <c r="J443" s="113">
        <f>VLOOKUP(C443,'Talente &amp; Stuff'!DO:EP,8,FALSE)</f>
        <v>0</v>
      </c>
      <c r="K443" s="113">
        <f>VLOOKUP(C443,'Talente &amp; Stuff'!DO:EP,9,FALSE)</f>
        <v>0</v>
      </c>
      <c r="L443" s="113">
        <f>VLOOKUP(C443,'Talente &amp; Stuff'!DO:EP,10,FALSE)</f>
        <v>0</v>
      </c>
      <c r="M443" s="119">
        <f>VLOOKUP(C443,'Talente &amp; Stuff'!DO:EP,11,FALSE)</f>
        <v>0</v>
      </c>
      <c r="N443" s="47">
        <f>VLOOKUP(C443,'Talente &amp; Stuff'!DO:EP,12,FALSE)</f>
        <v>0</v>
      </c>
      <c r="O443" s="47">
        <f>VLOOKUP(C443,'Talente &amp; Stuff'!DO:EP,13,FALSE)</f>
        <v>0</v>
      </c>
      <c r="P443" s="113">
        <f>VLOOKUP(C443,'Talente &amp; Stuff'!DO:EP,14,FALSE)</f>
        <v>0</v>
      </c>
      <c r="Q443" s="114">
        <f>VLOOKUP(C443,'Talente &amp; Stuff'!DO:EP,15,FALSE)</f>
        <v>0</v>
      </c>
      <c r="R443" s="113">
        <f>VLOOKUP(C443,'Talente &amp; Stuff'!DO:EP,16,FALSE)</f>
        <v>0</v>
      </c>
      <c r="S443" s="119">
        <f>VLOOKUP(C443,'Talente &amp; Stuff'!DO:EP,17,FALSE)</f>
        <v>0</v>
      </c>
      <c r="T443" s="160">
        <f>VLOOKUP(C443,'Talente &amp; Stuff'!DO:EP,18,FALSE)</f>
        <v>0</v>
      </c>
      <c r="U443" s="89">
        <f>VLOOKUP(C443,'Talente &amp; Stuff'!DO:EP,19,FALSE)</f>
        <v>0</v>
      </c>
      <c r="V443" s="47">
        <f>VLOOKUP(C443,'Talente &amp; Stuff'!DO:EP,20,FALSE)</f>
        <v>0</v>
      </c>
      <c r="W443" s="127">
        <f>VLOOKUP(C443,'Talente &amp; Stuff'!DO:EP,21,FALSE)</f>
        <v>0</v>
      </c>
      <c r="X443" s="127">
        <f>VLOOKUP(C443,'Talente &amp; Stuff'!DO:EP,22,FALSE)</f>
        <v>0</v>
      </c>
      <c r="Y443" s="165">
        <f>VLOOKUP(C443,Ausgewählte_Liturgien_Rondra,139,FALSE)</f>
        <v>0</v>
      </c>
      <c r="Z443" s="44">
        <f>VLOOKUP(C443,Ausgewählte_Liturgien_Rondra,140,FALSE)</f>
        <v>0</v>
      </c>
      <c r="AA443" s="125">
        <f>VLOOKUP(C443,'Talente &amp; Stuff'!DO:EP,25,FALSE)</f>
        <v>0</v>
      </c>
      <c r="AB443" s="160">
        <f>VLOOKUP(C443,'Talente &amp; Stuff'!DO:EP,26,FALSE)</f>
        <v>0</v>
      </c>
      <c r="AC443" s="127">
        <f>VLOOKUP(C443,'Talente &amp; Stuff'!DO:EP,27,FALSE)</f>
        <v>0</v>
      </c>
      <c r="AD443" s="125">
        <f>VLOOKUP(C443,'Talente &amp; Stuff'!DO:EP,28,FALSE)</f>
        <v>0</v>
      </c>
      <c r="AE443" s="28"/>
    </row>
    <row r="444" spans="1:31" ht="15" hidden="1" customHeight="1" outlineLevel="2">
      <c r="B444" s="148">
        <v>4</v>
      </c>
      <c r="C444" s="178" t="str">
        <f>Attribute!C444</f>
        <v>---</v>
      </c>
      <c r="D444" s="159" t="str">
        <f>VLOOKUP(C444,'Talente &amp; Stuff'!DO:EP,2,FALSE)</f>
        <v>--/--/--</v>
      </c>
      <c r="E444" s="88" t="str">
        <f>VLOOKUP(C444,'Talente &amp; Stuff'!DO:EP,3,FALSE)</f>
        <v>-</v>
      </c>
      <c r="F444" s="115">
        <f>VLOOKUP(C444,'Talente &amp; Stuff'!DO:EP,4,FALSE)</f>
        <v>0</v>
      </c>
      <c r="G444" s="122">
        <f>VLOOKUP(C444,'Talente &amp; Stuff'!DO:EP,5,FALSE)</f>
        <v>0</v>
      </c>
      <c r="H444" s="122">
        <f>VLOOKUP(C444,'Talente &amp; Stuff'!DO:EP,6,FALSE)</f>
        <v>0</v>
      </c>
      <c r="I444" s="122">
        <f>VLOOKUP(C444,'Talente &amp; Stuff'!DO:EP,7,FALSE)</f>
        <v>0</v>
      </c>
      <c r="J444" s="122">
        <f>VLOOKUP(C444,'Talente &amp; Stuff'!DO:EP,8,FALSE)</f>
        <v>0</v>
      </c>
      <c r="K444" s="122">
        <f>VLOOKUP(C444,'Talente &amp; Stuff'!DO:EP,9,FALSE)</f>
        <v>0</v>
      </c>
      <c r="L444" s="122">
        <f>VLOOKUP(C444,'Talente &amp; Stuff'!DO:EP,10,FALSE)</f>
        <v>0</v>
      </c>
      <c r="M444" s="123">
        <f>VLOOKUP(C444,'Talente &amp; Stuff'!DO:EP,11,FALSE)</f>
        <v>0</v>
      </c>
      <c r="N444" s="88">
        <f>VLOOKUP(C444,'Talente &amp; Stuff'!DO:EP,12,FALSE)</f>
        <v>0</v>
      </c>
      <c r="O444" s="88">
        <f>VLOOKUP(C444,'Talente &amp; Stuff'!DO:EP,13,FALSE)</f>
        <v>0</v>
      </c>
      <c r="P444" s="122">
        <f>VLOOKUP(C444,'Talente &amp; Stuff'!DO:EP,14,FALSE)</f>
        <v>0</v>
      </c>
      <c r="Q444" s="115">
        <f>VLOOKUP(C444,'Talente &amp; Stuff'!DO:EP,15,FALSE)</f>
        <v>0</v>
      </c>
      <c r="R444" s="122">
        <f>VLOOKUP(C444,'Talente &amp; Stuff'!DO:EP,16,FALSE)</f>
        <v>0</v>
      </c>
      <c r="S444" s="123">
        <f>VLOOKUP(C444,'Talente &amp; Stuff'!DO:EP,17,FALSE)</f>
        <v>0</v>
      </c>
      <c r="T444" s="161">
        <f>VLOOKUP(C444,'Talente &amp; Stuff'!DO:EP,18,FALSE)</f>
        <v>0</v>
      </c>
      <c r="U444" s="90">
        <f>VLOOKUP(C444,'Talente &amp; Stuff'!DO:EP,19,FALSE)</f>
        <v>0</v>
      </c>
      <c r="V444" s="88">
        <f>VLOOKUP(C444,'Talente &amp; Stuff'!DO:EP,20,FALSE)</f>
        <v>0</v>
      </c>
      <c r="W444" s="128">
        <f>VLOOKUP(C444,'Talente &amp; Stuff'!DO:EP,21,FALSE)</f>
        <v>0</v>
      </c>
      <c r="X444" s="128">
        <f>VLOOKUP(C444,'Talente &amp; Stuff'!DO:EP,22,FALSE)</f>
        <v>0</v>
      </c>
      <c r="Y444" s="165">
        <f>VLOOKUP(C444,Ausgewählte_Liturgien_Rondra,139,FALSE)</f>
        <v>0</v>
      </c>
      <c r="Z444" s="44">
        <f>VLOOKUP(C444,Ausgewählte_Liturgien_Rondra,140,FALSE)</f>
        <v>0</v>
      </c>
      <c r="AA444" s="159">
        <f>VLOOKUP(C444,'Talente &amp; Stuff'!DO:EP,25,FALSE)</f>
        <v>0</v>
      </c>
      <c r="AB444" s="161">
        <f>VLOOKUP(C444,'Talente &amp; Stuff'!DO:EP,26,FALSE)</f>
        <v>0</v>
      </c>
      <c r="AC444" s="128">
        <f>VLOOKUP(C444,'Talente &amp; Stuff'!DO:EP,27,FALSE)</f>
        <v>0</v>
      </c>
      <c r="AD444" s="159">
        <f>VLOOKUP(C444,'Talente &amp; Stuff'!DO:EP,28,FALSE)</f>
        <v>0</v>
      </c>
      <c r="AE444" s="28"/>
    </row>
    <row r="445" spans="1:31" ht="15.75" hidden="1" customHeight="1" outlineLevel="1" collapsed="1" thickBot="1"/>
    <row r="446" spans="1:31" ht="15.75" collapsed="1" thickBot="1">
      <c r="A446" s="135" t="s">
        <v>269</v>
      </c>
      <c r="X446" s="140"/>
    </row>
    <row r="447" spans="1:31" ht="15" hidden="1" customHeight="1" outlineLevel="1">
      <c r="B447" s="134" t="s">
        <v>327</v>
      </c>
    </row>
    <row r="448" spans="1:31" ht="15" hidden="1" customHeight="1" outlineLevel="2">
      <c r="B448" s="148">
        <v>1</v>
      </c>
      <c r="C448" s="176" t="str">
        <f>Attribute!C448</f>
        <v>---</v>
      </c>
      <c r="D448" s="158" t="str">
        <f>VLOOKUP(C448,'Talente &amp; Stuff'!DO:EP,2,FALSE)</f>
        <v>--/--/--</v>
      </c>
      <c r="E448" s="126" t="str">
        <f>VLOOKUP(C448,'Talente &amp; Stuff'!DO:EP,3,FALSE)</f>
        <v>-</v>
      </c>
      <c r="F448" s="191">
        <f>VLOOKUP(C448,'Talente &amp; Stuff'!DO:EP,4,FALSE)</f>
        <v>0</v>
      </c>
      <c r="G448" s="118">
        <f>VLOOKUP(C448,'Talente &amp; Stuff'!DO:EP,5,FALSE)</f>
        <v>0</v>
      </c>
      <c r="H448" s="118">
        <f>VLOOKUP(C448,'Talente &amp; Stuff'!DO:EP,6,FALSE)</f>
        <v>0</v>
      </c>
      <c r="I448" s="118">
        <f>VLOOKUP(C448,'Talente &amp; Stuff'!DO:EP,7,FALSE)</f>
        <v>0</v>
      </c>
      <c r="J448" s="118">
        <f>VLOOKUP(C448,'Talente &amp; Stuff'!DO:EP,8,FALSE)</f>
        <v>0</v>
      </c>
      <c r="K448" s="118">
        <f>VLOOKUP(C448,'Talente &amp; Stuff'!DO:EP,9,FALSE)</f>
        <v>0</v>
      </c>
      <c r="L448" s="118">
        <f>VLOOKUP(C448,'Talente &amp; Stuff'!DO:EP,10,FALSE)</f>
        <v>0</v>
      </c>
      <c r="M448" s="92">
        <f>VLOOKUP(C448,'Talente &amp; Stuff'!DO:EP,11,FALSE)</f>
        <v>0</v>
      </c>
      <c r="N448" s="116">
        <f>VLOOKUP(C448,'Talente &amp; Stuff'!DO:EP,12,FALSE)</f>
        <v>0</v>
      </c>
      <c r="O448" s="116">
        <f>VLOOKUP(C448,'Talente &amp; Stuff'!DO:EP,13,FALSE)</f>
        <v>0</v>
      </c>
      <c r="P448" s="92">
        <f>VLOOKUP(C448,'Talente &amp; Stuff'!DO:EP,14,FALSE)</f>
        <v>0</v>
      </c>
      <c r="Q448" s="191">
        <f>VLOOKUP(C448,'Talente &amp; Stuff'!DO:EP,15,FALSE)</f>
        <v>0</v>
      </c>
      <c r="R448" s="118">
        <f>VLOOKUP(C448,'Talente &amp; Stuff'!DO:EP,16,FALSE)</f>
        <v>0</v>
      </c>
      <c r="S448" s="92">
        <f>VLOOKUP(C448,'Talente &amp; Stuff'!DO:EP,17,FALSE)</f>
        <v>0</v>
      </c>
      <c r="T448" s="92">
        <f>VLOOKUP(C448,'Talente &amp; Stuff'!DO:EP,18,FALSE)</f>
        <v>0</v>
      </c>
      <c r="U448" s="193">
        <f>VLOOKUP(C448,'Talente &amp; Stuff'!DO:EP,19,FALSE)</f>
        <v>0</v>
      </c>
      <c r="V448" s="116">
        <f>VLOOKUP(C448,'Talente &amp; Stuff'!DO:EP,20,FALSE)</f>
        <v>0</v>
      </c>
      <c r="W448" s="126">
        <f>VLOOKUP(C448,'Talente &amp; Stuff'!DO:EP,21,FALSE)</f>
        <v>0</v>
      </c>
      <c r="X448" s="126">
        <f>VLOOKUP(C448,'Talente &amp; Stuff'!DO:EP,22,FALSE)</f>
        <v>0</v>
      </c>
      <c r="Y448" s="165">
        <f>VLOOKUP(C448,Ausgewählte_Zeremonien_Allgemein,139,FALSE)</f>
        <v>0</v>
      </c>
      <c r="Z448" s="44">
        <f>VLOOKUP(C448,Ausgewählte_Zeremonien_Allgemein,140,FALSE)</f>
        <v>0</v>
      </c>
      <c r="AA448" s="158">
        <f>VLOOKUP(C448,'Talente &amp; Stuff'!DO:EP,25,FALSE)</f>
        <v>0</v>
      </c>
      <c r="AB448" s="91">
        <f>VLOOKUP(C448,'Talente &amp; Stuff'!DO:EP,26,FALSE)</f>
        <v>0</v>
      </c>
      <c r="AC448" s="126">
        <f>VLOOKUP(C448,'Talente &amp; Stuff'!DO:EP,27,FALSE)</f>
        <v>0</v>
      </c>
      <c r="AD448" s="158">
        <f>VLOOKUP(C448,'Talente &amp; Stuff'!DO:EP,28,FALSE)</f>
        <v>0</v>
      </c>
      <c r="AE448" s="28"/>
    </row>
    <row r="449" spans="2:31" ht="15" hidden="1" customHeight="1" outlineLevel="2">
      <c r="B449" s="148">
        <v>2</v>
      </c>
      <c r="C449" s="178" t="str">
        <f>Attribute!C449</f>
        <v>---</v>
      </c>
      <c r="D449" s="159" t="str">
        <f>VLOOKUP(C449,'Talente &amp; Stuff'!DO:EP,2,FALSE)</f>
        <v>--/--/--</v>
      </c>
      <c r="E449" s="128" t="str">
        <f>VLOOKUP(C449,'Talente &amp; Stuff'!DO:EP,3,FALSE)</f>
        <v>-</v>
      </c>
      <c r="F449" s="115">
        <f>VLOOKUP(C449,'Talente &amp; Stuff'!DO:EP,4,FALSE)</f>
        <v>0</v>
      </c>
      <c r="G449" s="122">
        <f>VLOOKUP(C449,'Talente &amp; Stuff'!DO:EP,5,FALSE)</f>
        <v>0</v>
      </c>
      <c r="H449" s="122">
        <f>VLOOKUP(C449,'Talente &amp; Stuff'!DO:EP,6,FALSE)</f>
        <v>0</v>
      </c>
      <c r="I449" s="122">
        <f>VLOOKUP(C449,'Talente &amp; Stuff'!DO:EP,7,FALSE)</f>
        <v>0</v>
      </c>
      <c r="J449" s="122">
        <f>VLOOKUP(C449,'Talente &amp; Stuff'!DO:EP,8,FALSE)</f>
        <v>0</v>
      </c>
      <c r="K449" s="122">
        <f>VLOOKUP(C449,'Talente &amp; Stuff'!DO:EP,9,FALSE)</f>
        <v>0</v>
      </c>
      <c r="L449" s="122">
        <f>VLOOKUP(C449,'Talente &amp; Stuff'!DO:EP,10,FALSE)</f>
        <v>0</v>
      </c>
      <c r="M449" s="123">
        <f>VLOOKUP(C449,'Talente &amp; Stuff'!DO:EP,11,FALSE)</f>
        <v>0</v>
      </c>
      <c r="N449" s="88">
        <f>VLOOKUP(C449,'Talente &amp; Stuff'!DO:EP,12,FALSE)</f>
        <v>0</v>
      </c>
      <c r="O449" s="88">
        <f>VLOOKUP(C449,'Talente &amp; Stuff'!DO:EP,13,FALSE)</f>
        <v>0</v>
      </c>
      <c r="P449" s="123">
        <f>VLOOKUP(C449,'Talente &amp; Stuff'!DO:EP,14,FALSE)</f>
        <v>0</v>
      </c>
      <c r="Q449" s="115">
        <f>VLOOKUP(C449,'Talente &amp; Stuff'!DO:EP,15,FALSE)</f>
        <v>0</v>
      </c>
      <c r="R449" s="122">
        <f>VLOOKUP(C449,'Talente &amp; Stuff'!DO:EP,16,FALSE)</f>
        <v>0</v>
      </c>
      <c r="S449" s="123">
        <f>VLOOKUP(C449,'Talente &amp; Stuff'!DO:EP,17,FALSE)</f>
        <v>0</v>
      </c>
      <c r="T449" s="123">
        <f>VLOOKUP(C449,'Talente &amp; Stuff'!DO:EP,18,FALSE)</f>
        <v>0</v>
      </c>
      <c r="U449" s="90">
        <f>VLOOKUP(C449,'Talente &amp; Stuff'!DO:EP,19,FALSE)</f>
        <v>0</v>
      </c>
      <c r="V449" s="88">
        <f>VLOOKUP(C449,'Talente &amp; Stuff'!DO:EP,20,FALSE)</f>
        <v>0</v>
      </c>
      <c r="W449" s="128">
        <f>VLOOKUP(C449,'Talente &amp; Stuff'!DO:EP,21,FALSE)</f>
        <v>0</v>
      </c>
      <c r="X449" s="128">
        <f>VLOOKUP(C449,'Talente &amp; Stuff'!DO:EP,22,FALSE)</f>
        <v>0</v>
      </c>
      <c r="Y449" s="165">
        <f>VLOOKUP(C449,Ausgewählte_Zeremonien_Allgemein,139,FALSE)</f>
        <v>0</v>
      </c>
      <c r="Z449" s="44">
        <f>VLOOKUP(C449,Ausgewählte_Zeremonien_Allgemein,140,FALSE)</f>
        <v>0</v>
      </c>
      <c r="AA449" s="159">
        <f>VLOOKUP(C449,'Talente &amp; Stuff'!DO:EP,25,FALSE)</f>
        <v>0</v>
      </c>
      <c r="AB449" s="161">
        <f>VLOOKUP(C449,'Talente &amp; Stuff'!DO:EP,26,FALSE)</f>
        <v>0</v>
      </c>
      <c r="AC449" s="128">
        <f>VLOOKUP(C449,'Talente &amp; Stuff'!DO:EP,27,FALSE)</f>
        <v>0</v>
      </c>
      <c r="AD449" s="159">
        <f>VLOOKUP(C449,'Talente &amp; Stuff'!DO:EP,28,FALSE)</f>
        <v>0</v>
      </c>
      <c r="AE449" s="28"/>
    </row>
    <row r="450" spans="2:31" ht="15" hidden="1" customHeight="1" outlineLevel="1" collapsed="1">
      <c r="B450" s="134" t="s">
        <v>326</v>
      </c>
      <c r="C450" s="83"/>
      <c r="D450" s="84"/>
      <c r="E450" s="84"/>
    </row>
    <row r="451" spans="2:31" ht="15" hidden="1" customHeight="1" outlineLevel="2">
      <c r="B451" s="148">
        <v>0</v>
      </c>
      <c r="C451" s="134"/>
      <c r="D451" s="40"/>
      <c r="E451" s="182"/>
      <c r="F451" s="17"/>
      <c r="G451" s="183"/>
      <c r="H451" s="183"/>
      <c r="I451" s="183"/>
      <c r="J451" s="183"/>
      <c r="K451" s="183"/>
      <c r="L451" s="183"/>
      <c r="M451" s="180"/>
      <c r="N451" s="179"/>
      <c r="O451" s="179"/>
      <c r="P451" s="180"/>
      <c r="Q451" s="17"/>
      <c r="R451" s="183"/>
      <c r="S451" s="180"/>
      <c r="T451" s="180"/>
      <c r="U451" s="166"/>
      <c r="V451" s="179"/>
      <c r="W451" s="182"/>
      <c r="X451" s="182"/>
      <c r="Y451" s="134"/>
      <c r="Z451" s="44"/>
      <c r="AA451" s="40"/>
      <c r="AB451" s="189"/>
      <c r="AC451" s="182"/>
      <c r="AD451" s="40"/>
    </row>
    <row r="452" spans="2:31" ht="15" hidden="1" customHeight="1" outlineLevel="1" collapsed="1">
      <c r="B452" s="134" t="s">
        <v>325</v>
      </c>
      <c r="C452" s="83"/>
      <c r="D452" s="84"/>
      <c r="E452" s="84"/>
    </row>
    <row r="453" spans="2:31" ht="15" hidden="1" customHeight="1" outlineLevel="2">
      <c r="B453" s="148">
        <v>0</v>
      </c>
      <c r="C453" s="134"/>
      <c r="D453" s="40"/>
      <c r="E453" s="182"/>
      <c r="F453" s="17"/>
      <c r="G453" s="183"/>
      <c r="H453" s="183"/>
      <c r="I453" s="183"/>
      <c r="J453" s="183"/>
      <c r="K453" s="183"/>
      <c r="L453" s="183"/>
      <c r="M453" s="180"/>
      <c r="N453" s="179"/>
      <c r="O453" s="179"/>
      <c r="P453" s="180"/>
      <c r="Q453" s="17"/>
      <c r="R453" s="183"/>
      <c r="S453" s="180"/>
      <c r="T453" s="180"/>
      <c r="U453" s="166"/>
      <c r="V453" s="179"/>
      <c r="W453" s="182"/>
      <c r="X453" s="182"/>
      <c r="Y453" s="134"/>
      <c r="Z453" s="44"/>
      <c r="AA453" s="40"/>
      <c r="AB453" s="189"/>
      <c r="AC453" s="182"/>
      <c r="AD453" s="40"/>
    </row>
    <row r="454" spans="2:31" ht="15" hidden="1" customHeight="1" outlineLevel="1" collapsed="1">
      <c r="B454" s="134" t="s">
        <v>324</v>
      </c>
      <c r="C454" s="83"/>
      <c r="D454" s="84"/>
      <c r="E454" s="84"/>
    </row>
    <row r="455" spans="2:31" ht="15" hidden="1" customHeight="1" outlineLevel="2">
      <c r="B455" s="148">
        <v>1</v>
      </c>
      <c r="C455" s="200" t="str">
        <f>Attribute!C455</f>
        <v>---</v>
      </c>
      <c r="D455" s="40" t="str">
        <f>VLOOKUP(C455,'Talente &amp; Stuff'!DO:EP,2,FALSE)</f>
        <v>--/--/--</v>
      </c>
      <c r="E455" s="182" t="str">
        <f>VLOOKUP(C455,'Talente &amp; Stuff'!DO:EP,3,FALSE)</f>
        <v>-</v>
      </c>
      <c r="F455" s="17">
        <f>VLOOKUP(C455,'Talente &amp; Stuff'!DO:EP,4,FALSE)</f>
        <v>0</v>
      </c>
      <c r="G455" s="183">
        <f>VLOOKUP(C455,'Talente &amp; Stuff'!DO:EP,5,FALSE)</f>
        <v>0</v>
      </c>
      <c r="H455" s="183">
        <f>VLOOKUP(C455,'Talente &amp; Stuff'!DO:EP,6,FALSE)</f>
        <v>0</v>
      </c>
      <c r="I455" s="183">
        <f>VLOOKUP(C455,'Talente &amp; Stuff'!DO:EP,7,FALSE)</f>
        <v>0</v>
      </c>
      <c r="J455" s="183">
        <f>VLOOKUP(C455,'Talente &amp; Stuff'!DO:EP,8,FALSE)</f>
        <v>0</v>
      </c>
      <c r="K455" s="183">
        <f>VLOOKUP(C455,'Talente &amp; Stuff'!DO:EP,9,FALSE)</f>
        <v>0</v>
      </c>
      <c r="L455" s="183">
        <f>VLOOKUP(C455,'Talente &amp; Stuff'!DO:EP,10,FALSE)</f>
        <v>0</v>
      </c>
      <c r="M455" s="180">
        <f>VLOOKUP(C455,'Talente &amp; Stuff'!DO:EP,11,FALSE)</f>
        <v>0</v>
      </c>
      <c r="N455" s="179">
        <f>VLOOKUP(C455,'Talente &amp; Stuff'!DO:EP,12,FALSE)</f>
        <v>0</v>
      </c>
      <c r="O455" s="179">
        <f>VLOOKUP(C455,'Talente &amp; Stuff'!DO:EP,13,FALSE)</f>
        <v>0</v>
      </c>
      <c r="P455" s="180">
        <f>VLOOKUP(C455,'Talente &amp; Stuff'!DO:EP,14,FALSE)</f>
        <v>0</v>
      </c>
      <c r="Q455" s="17">
        <f>VLOOKUP(C455,'Talente &amp; Stuff'!DO:EP,15,FALSE)</f>
        <v>0</v>
      </c>
      <c r="R455" s="183">
        <f>VLOOKUP(C455,'Talente &amp; Stuff'!DO:EP,16,FALSE)</f>
        <v>0</v>
      </c>
      <c r="S455" s="180">
        <f>VLOOKUP(C455,'Talente &amp; Stuff'!DO:EP,17,FALSE)</f>
        <v>0</v>
      </c>
      <c r="T455" s="180">
        <f>VLOOKUP(C455,'Talente &amp; Stuff'!DO:EP,18,FALSE)</f>
        <v>0</v>
      </c>
      <c r="U455" s="166">
        <f>VLOOKUP(C455,'Talente &amp; Stuff'!DO:EP,19,FALSE)</f>
        <v>0</v>
      </c>
      <c r="V455" s="179">
        <f>VLOOKUP(C455,'Talente &amp; Stuff'!DO:EP,20,FALSE)</f>
        <v>0</v>
      </c>
      <c r="W455" s="182">
        <f>VLOOKUP(C455,'Talente &amp; Stuff'!DO:EP,21,FALSE)</f>
        <v>0</v>
      </c>
      <c r="X455" s="182">
        <f>VLOOKUP(C455,'Talente &amp; Stuff'!DO:EP,22,FALSE)</f>
        <v>0</v>
      </c>
      <c r="Y455" s="165">
        <f>VLOOKUP(C455,Ausgewählte_Zeremonien_Peraine,139,FALSE)</f>
        <v>0</v>
      </c>
      <c r="Z455" s="44">
        <f>VLOOKUP(C455,Ausgewählte_Zeremonien_Peraine,140,FALSE)</f>
        <v>0</v>
      </c>
      <c r="AA455" s="40">
        <f>VLOOKUP(C455,'Talente &amp; Stuff'!DO:EP,25,FALSE)</f>
        <v>0</v>
      </c>
      <c r="AB455" s="189">
        <f>VLOOKUP(C455,'Talente &amp; Stuff'!DO:EP,26,FALSE)</f>
        <v>0</v>
      </c>
      <c r="AC455" s="182">
        <f>VLOOKUP(C455,'Talente &amp; Stuff'!DO:EP,27,FALSE)</f>
        <v>0</v>
      </c>
      <c r="AD455" s="40">
        <f>VLOOKUP(C455,'Talente &amp; Stuff'!DO:EP,28,FALSE)</f>
        <v>0</v>
      </c>
      <c r="AE455" s="28"/>
    </row>
    <row r="456" spans="2:31" ht="15" hidden="1" customHeight="1" outlineLevel="1" collapsed="1">
      <c r="B456" s="134" t="s">
        <v>323</v>
      </c>
      <c r="C456" s="83"/>
      <c r="D456" s="84"/>
      <c r="E456" s="84"/>
    </row>
    <row r="457" spans="2:31" ht="15" hidden="1" customHeight="1" outlineLevel="2">
      <c r="B457" s="148">
        <v>1</v>
      </c>
      <c r="C457" s="200" t="str">
        <f>Attribute!C457</f>
        <v>---</v>
      </c>
      <c r="D457" s="40" t="str">
        <f>VLOOKUP(C457,'Talente &amp; Stuff'!DO:EP,2,FALSE)</f>
        <v>--/--/--</v>
      </c>
      <c r="E457" s="182" t="str">
        <f>VLOOKUP(C457,'Talente &amp; Stuff'!DO:EP,3,FALSE)</f>
        <v>-</v>
      </c>
      <c r="F457" s="17">
        <f>VLOOKUP(C457,'Talente &amp; Stuff'!DO:EP,4,FALSE)</f>
        <v>0</v>
      </c>
      <c r="G457" s="183">
        <f>VLOOKUP(C457,'Talente &amp; Stuff'!DO:EP,5,FALSE)</f>
        <v>0</v>
      </c>
      <c r="H457" s="183">
        <f>VLOOKUP(C457,'Talente &amp; Stuff'!DO:EP,6,FALSE)</f>
        <v>0</v>
      </c>
      <c r="I457" s="183">
        <f>VLOOKUP(C457,'Talente &amp; Stuff'!DO:EP,7,FALSE)</f>
        <v>0</v>
      </c>
      <c r="J457" s="183">
        <f>VLOOKUP(C457,'Talente &amp; Stuff'!DO:EP,8,FALSE)</f>
        <v>0</v>
      </c>
      <c r="K457" s="183">
        <f>VLOOKUP(C457,'Talente &amp; Stuff'!DO:EP,9,FALSE)</f>
        <v>0</v>
      </c>
      <c r="L457" s="183">
        <f>VLOOKUP(C457,'Talente &amp; Stuff'!DO:EP,10,FALSE)</f>
        <v>0</v>
      </c>
      <c r="M457" s="180">
        <f>VLOOKUP(C457,'Talente &amp; Stuff'!DO:EP,11,FALSE)</f>
        <v>0</v>
      </c>
      <c r="N457" s="179">
        <f>VLOOKUP(C457,'Talente &amp; Stuff'!DO:EP,12,FALSE)</f>
        <v>0</v>
      </c>
      <c r="O457" s="179">
        <f>VLOOKUP(C457,'Talente &amp; Stuff'!DO:EP,13,FALSE)</f>
        <v>0</v>
      </c>
      <c r="P457" s="180">
        <f>VLOOKUP(C457,'Talente &amp; Stuff'!DO:EP,14,FALSE)</f>
        <v>0</v>
      </c>
      <c r="Q457" s="17">
        <f>VLOOKUP(C457,'Talente &amp; Stuff'!DO:EP,15,FALSE)</f>
        <v>0</v>
      </c>
      <c r="R457" s="183">
        <f>VLOOKUP(C457,'Talente &amp; Stuff'!DO:EP,16,FALSE)</f>
        <v>0</v>
      </c>
      <c r="S457" s="180">
        <f>VLOOKUP(C457,'Talente &amp; Stuff'!DO:EP,17,FALSE)</f>
        <v>0</v>
      </c>
      <c r="T457" s="180">
        <f>VLOOKUP(C457,'Talente &amp; Stuff'!DO:EP,18,FALSE)</f>
        <v>0</v>
      </c>
      <c r="U457" s="166">
        <f>VLOOKUP(C457,'Talente &amp; Stuff'!DO:EP,19,FALSE)</f>
        <v>0</v>
      </c>
      <c r="V457" s="179">
        <f>VLOOKUP(C457,'Talente &amp; Stuff'!DO:EP,20,FALSE)</f>
        <v>0</v>
      </c>
      <c r="W457" s="182">
        <f>VLOOKUP(C457,'Talente &amp; Stuff'!DO:EP,21,FALSE)</f>
        <v>0</v>
      </c>
      <c r="X457" s="182">
        <f>VLOOKUP(C457,'Talente &amp; Stuff'!DO:EP,22,FALSE)</f>
        <v>0</v>
      </c>
      <c r="Y457" s="165">
        <f>VLOOKUP(C457,Ausgewählte_Zeremonien_Phex,139,FALSE)</f>
        <v>0</v>
      </c>
      <c r="Z457" s="44">
        <f>VLOOKUP(C457,Ausgewählte_Zeremonien_Phex,140,FALSE)</f>
        <v>0</v>
      </c>
      <c r="AA457" s="40">
        <f>VLOOKUP(C457,'Talente &amp; Stuff'!DO:EP,25,FALSE)</f>
        <v>0</v>
      </c>
      <c r="AB457" s="189">
        <f>VLOOKUP(C457,'Talente &amp; Stuff'!DO:EP,26,FALSE)</f>
        <v>0</v>
      </c>
      <c r="AC457" s="182">
        <f>VLOOKUP(C457,'Talente &amp; Stuff'!DO:EP,27,FALSE)</f>
        <v>0</v>
      </c>
      <c r="AD457" s="40">
        <f>VLOOKUP(C457,'Talente &amp; Stuff'!DO:EP,28,FALSE)</f>
        <v>0</v>
      </c>
      <c r="AE457" s="28"/>
    </row>
    <row r="458" spans="2:31" ht="15" hidden="1" customHeight="1" outlineLevel="1" collapsed="1">
      <c r="B458" s="134" t="s">
        <v>322</v>
      </c>
      <c r="C458" s="83"/>
      <c r="D458" s="84"/>
      <c r="E458" s="84"/>
    </row>
    <row r="459" spans="2:31" ht="15" hidden="1" customHeight="1" outlineLevel="2">
      <c r="B459" s="148">
        <v>0</v>
      </c>
      <c r="C459" s="134"/>
      <c r="D459" s="40"/>
      <c r="E459" s="182"/>
      <c r="F459" s="17"/>
      <c r="G459" s="183"/>
      <c r="H459" s="183"/>
      <c r="I459" s="183"/>
      <c r="J459" s="183"/>
      <c r="K459" s="183"/>
      <c r="L459" s="183"/>
      <c r="M459" s="180"/>
      <c r="N459" s="179"/>
      <c r="O459" s="179"/>
      <c r="P459" s="180"/>
      <c r="Q459" s="17"/>
      <c r="R459" s="183"/>
      <c r="S459" s="180"/>
      <c r="T459" s="180"/>
      <c r="U459" s="166"/>
      <c r="V459" s="179"/>
      <c r="W459" s="182"/>
      <c r="X459" s="182"/>
      <c r="Y459" s="134"/>
      <c r="Z459" s="44"/>
      <c r="AA459" s="40"/>
      <c r="AB459" s="189"/>
      <c r="AC459" s="182"/>
      <c r="AD459" s="40"/>
    </row>
    <row r="460" spans="2:31" ht="15" hidden="1" customHeight="1" outlineLevel="1" collapsed="1">
      <c r="B460" s="134" t="s">
        <v>321</v>
      </c>
      <c r="C460" s="83"/>
      <c r="D460" s="84"/>
      <c r="E460" s="84"/>
    </row>
    <row r="461" spans="2:31" ht="15" hidden="1" customHeight="1" outlineLevel="2">
      <c r="B461" s="148">
        <v>1</v>
      </c>
      <c r="C461" s="176" t="str">
        <f>Attribute!C461</f>
        <v>---</v>
      </c>
      <c r="D461" s="158" t="str">
        <f>VLOOKUP(C461,'Talente &amp; Stuff'!DO:EP,2,FALSE)</f>
        <v>--/--/--</v>
      </c>
      <c r="E461" s="126" t="str">
        <f>VLOOKUP(C461,'Talente &amp; Stuff'!DO:EP,3,FALSE)</f>
        <v>-</v>
      </c>
      <c r="F461" s="191">
        <f>VLOOKUP(C461,'Talente &amp; Stuff'!DO:EP,4,FALSE)</f>
        <v>0</v>
      </c>
      <c r="G461" s="118">
        <f>VLOOKUP(C461,'Talente &amp; Stuff'!DO:EP,5,FALSE)</f>
        <v>0</v>
      </c>
      <c r="H461" s="118">
        <f>VLOOKUP(C461,'Talente &amp; Stuff'!DO:EP,6,FALSE)</f>
        <v>0</v>
      </c>
      <c r="I461" s="118">
        <f>VLOOKUP(C461,'Talente &amp; Stuff'!DO:EP,7,FALSE)</f>
        <v>0</v>
      </c>
      <c r="J461" s="118">
        <f>VLOOKUP(C461,'Talente &amp; Stuff'!DO:EP,8,FALSE)</f>
        <v>0</v>
      </c>
      <c r="K461" s="118">
        <f>VLOOKUP(C461,'Talente &amp; Stuff'!DO:EP,9,FALSE)</f>
        <v>0</v>
      </c>
      <c r="L461" s="118">
        <f>VLOOKUP(C461,'Talente &amp; Stuff'!DO:EP,10,FALSE)</f>
        <v>0</v>
      </c>
      <c r="M461" s="92">
        <f>VLOOKUP(C461,'Talente &amp; Stuff'!DO:EP,11,FALSE)</f>
        <v>0</v>
      </c>
      <c r="N461" s="116">
        <f>VLOOKUP(C461,'Talente &amp; Stuff'!DO:EP,12,FALSE)</f>
        <v>0</v>
      </c>
      <c r="O461" s="116">
        <f>VLOOKUP(C461,'Talente &amp; Stuff'!DO:EP,13,FALSE)</f>
        <v>0</v>
      </c>
      <c r="P461" s="92">
        <f>VLOOKUP(C461,'Talente &amp; Stuff'!DO:EP,14,FALSE)</f>
        <v>0</v>
      </c>
      <c r="Q461" s="191">
        <f>VLOOKUP(C461,'Talente &amp; Stuff'!DO:EP,15,FALSE)</f>
        <v>0</v>
      </c>
      <c r="R461" s="118">
        <f>VLOOKUP(C461,'Talente &amp; Stuff'!DO:EP,16,FALSE)</f>
        <v>0</v>
      </c>
      <c r="S461" s="92">
        <f>VLOOKUP(C461,'Talente &amp; Stuff'!DO:EP,17,FALSE)</f>
        <v>0</v>
      </c>
      <c r="T461" s="92">
        <f>VLOOKUP(C461,'Talente &amp; Stuff'!DO:EP,18,FALSE)</f>
        <v>0</v>
      </c>
      <c r="U461" s="193">
        <f>VLOOKUP(C461,'Talente &amp; Stuff'!DO:EP,19,FALSE)</f>
        <v>0</v>
      </c>
      <c r="V461" s="116">
        <f>VLOOKUP(C461,'Talente &amp; Stuff'!DO:EP,20,FALSE)</f>
        <v>0</v>
      </c>
      <c r="W461" s="126">
        <f>VLOOKUP(C461,'Talente &amp; Stuff'!DO:EP,21,FALSE)</f>
        <v>0</v>
      </c>
      <c r="X461" s="126">
        <f>VLOOKUP(C461,'Talente &amp; Stuff'!DO:EP,22,FALSE)</f>
        <v>0</v>
      </c>
      <c r="Y461" s="165">
        <f>VLOOKUP(C461,Ausgewählte_Zeremonien_Rondra,139,FALSE)</f>
        <v>0</v>
      </c>
      <c r="Z461" s="44">
        <f>VLOOKUP(C461,Ausgewählte_Zeremonien_Rondra,140,FALSE)</f>
        <v>0</v>
      </c>
      <c r="AA461" s="158">
        <f>VLOOKUP(C461,'Talente &amp; Stuff'!DO:EP,25,FALSE)</f>
        <v>0</v>
      </c>
      <c r="AB461" s="91">
        <f>VLOOKUP(C461,'Talente &amp; Stuff'!DO:EP,26,FALSE)</f>
        <v>0</v>
      </c>
      <c r="AC461" s="126">
        <f>VLOOKUP(C461,'Talente &amp; Stuff'!DO:EP,27,FALSE)</f>
        <v>0</v>
      </c>
      <c r="AD461" s="158">
        <f>VLOOKUP(C461,'Talente &amp; Stuff'!DO:EP,28,FALSE)</f>
        <v>0</v>
      </c>
      <c r="AE461" s="28"/>
    </row>
    <row r="462" spans="2:31" ht="15" hidden="1" customHeight="1" outlineLevel="2">
      <c r="B462" s="148">
        <v>2</v>
      </c>
      <c r="C462" s="178" t="str">
        <f>Attribute!C462</f>
        <v>---</v>
      </c>
      <c r="D462" s="159" t="str">
        <f>VLOOKUP(C462,'Talente &amp; Stuff'!DO:EP,2,FALSE)</f>
        <v>--/--/--</v>
      </c>
      <c r="E462" s="128" t="str">
        <f>VLOOKUP(C462,'Talente &amp; Stuff'!DO:EP,3,FALSE)</f>
        <v>-</v>
      </c>
      <c r="F462" s="115">
        <f>VLOOKUP(C462,'Talente &amp; Stuff'!DO:EP,4,FALSE)</f>
        <v>0</v>
      </c>
      <c r="G462" s="122">
        <f>VLOOKUP(C462,'Talente &amp; Stuff'!DO:EP,5,FALSE)</f>
        <v>0</v>
      </c>
      <c r="H462" s="122">
        <f>VLOOKUP(C462,'Talente &amp; Stuff'!DO:EP,6,FALSE)</f>
        <v>0</v>
      </c>
      <c r="I462" s="122">
        <f>VLOOKUP(C462,'Talente &amp; Stuff'!DO:EP,7,FALSE)</f>
        <v>0</v>
      </c>
      <c r="J462" s="122">
        <f>VLOOKUP(C462,'Talente &amp; Stuff'!DO:EP,8,FALSE)</f>
        <v>0</v>
      </c>
      <c r="K462" s="122">
        <f>VLOOKUP(C462,'Talente &amp; Stuff'!DO:EP,9,FALSE)</f>
        <v>0</v>
      </c>
      <c r="L462" s="122">
        <f>VLOOKUP(C462,'Talente &amp; Stuff'!DO:EP,10,FALSE)</f>
        <v>0</v>
      </c>
      <c r="M462" s="123">
        <f>VLOOKUP(C462,'Talente &amp; Stuff'!DO:EP,11,FALSE)</f>
        <v>0</v>
      </c>
      <c r="N462" s="88">
        <f>VLOOKUP(C462,'Talente &amp; Stuff'!DO:EP,12,FALSE)</f>
        <v>0</v>
      </c>
      <c r="O462" s="88">
        <f>VLOOKUP(C462,'Talente &amp; Stuff'!DO:EP,13,FALSE)</f>
        <v>0</v>
      </c>
      <c r="P462" s="123">
        <f>VLOOKUP(C462,'Talente &amp; Stuff'!DO:EP,14,FALSE)</f>
        <v>0</v>
      </c>
      <c r="Q462" s="115">
        <f>VLOOKUP(C462,'Talente &amp; Stuff'!DO:EP,15,FALSE)</f>
        <v>0</v>
      </c>
      <c r="R462" s="122">
        <f>VLOOKUP(C462,'Talente &amp; Stuff'!DO:EP,16,FALSE)</f>
        <v>0</v>
      </c>
      <c r="S462" s="123">
        <f>VLOOKUP(C462,'Talente &amp; Stuff'!DO:EP,17,FALSE)</f>
        <v>0</v>
      </c>
      <c r="T462" s="123">
        <f>VLOOKUP(C462,'Talente &amp; Stuff'!DO:EP,18,FALSE)</f>
        <v>0</v>
      </c>
      <c r="U462" s="90">
        <f>VLOOKUP(C462,'Talente &amp; Stuff'!DO:EP,19,FALSE)</f>
        <v>0</v>
      </c>
      <c r="V462" s="88">
        <f>VLOOKUP(C462,'Talente &amp; Stuff'!DO:EP,20,FALSE)</f>
        <v>0</v>
      </c>
      <c r="W462" s="128">
        <f>VLOOKUP(C462,'Talente &amp; Stuff'!DO:EP,21,FALSE)</f>
        <v>0</v>
      </c>
      <c r="X462" s="128">
        <f>VLOOKUP(C462,'Talente &amp; Stuff'!DO:EP,22,FALSE)</f>
        <v>0</v>
      </c>
      <c r="Y462" s="165">
        <f>VLOOKUP(C462,Ausgewählte_Zeremonien_Rondra,139,FALSE)</f>
        <v>0</v>
      </c>
      <c r="Z462" s="44">
        <f>VLOOKUP(C462,Ausgewählte_Zeremonien_Rondra,140,FALSE)</f>
        <v>0</v>
      </c>
      <c r="AA462" s="159">
        <f>VLOOKUP(C462,'Talente &amp; Stuff'!DO:EP,25,FALSE)</f>
        <v>0</v>
      </c>
      <c r="AB462" s="161">
        <f>VLOOKUP(C462,'Talente &amp; Stuff'!DO:EP,26,FALSE)</f>
        <v>0</v>
      </c>
      <c r="AC462" s="128">
        <f>VLOOKUP(C462,'Talente &amp; Stuff'!DO:EP,27,FALSE)</f>
        <v>0</v>
      </c>
      <c r="AD462" s="159">
        <f>VLOOKUP(C462,'Talente &amp; Stuff'!DO:EP,28,FALSE)</f>
        <v>0</v>
      </c>
      <c r="AE462" s="28"/>
    </row>
    <row r="463" spans="2:31" ht="15" hidden="1" customHeight="1" outlineLevel="1" collapsed="1"/>
    <row r="464" spans="2:31" collapsed="1"/>
    <row r="465" spans="3:31" ht="15.75" thickBot="1">
      <c r="C465" s="196"/>
      <c r="D465" s="4"/>
      <c r="E465" s="4"/>
      <c r="F465" s="6"/>
      <c r="G465" s="6"/>
      <c r="H465" s="6"/>
      <c r="I465" s="6"/>
      <c r="J465" s="6"/>
      <c r="K465" s="6"/>
      <c r="L465" s="6"/>
      <c r="M465" s="6"/>
      <c r="N465" s="4"/>
      <c r="O465" s="48"/>
      <c r="P465" s="6"/>
      <c r="Q465" s="101">
        <f>IFERROR(SUM(Q11:Q463)/COUNTIF(Q11:Q463,"&gt;0"),0)</f>
        <v>0</v>
      </c>
      <c r="R465" s="101">
        <f>IFERROR(SUM(R11:R463)/COUNTIF(R11:R463,"&gt;0"),0)</f>
        <v>0</v>
      </c>
      <c r="S465" s="101">
        <f>IFERROR(SUM(S11:S463)/COUNTIF(S11:S463,"&gt;0"),0)</f>
        <v>0</v>
      </c>
      <c r="T465" s="101">
        <f>Q465+R465+S465</f>
        <v>0</v>
      </c>
      <c r="U465" s="4"/>
      <c r="V465" s="4"/>
      <c r="W465" s="4"/>
      <c r="X465" s="4"/>
      <c r="Y465" s="74"/>
      <c r="Z465" s="1"/>
      <c r="AA465" s="4"/>
      <c r="AB465" s="6"/>
      <c r="AC465" s="4"/>
      <c r="AD465" s="27"/>
      <c r="AE465" s="28"/>
    </row>
    <row r="466" spans="3:31" ht="15.75" thickBot="1">
      <c r="C466" s="196"/>
      <c r="D466" s="4"/>
      <c r="E466" s="4"/>
      <c r="F466" s="274" t="s">
        <v>117</v>
      </c>
      <c r="G466" s="275"/>
      <c r="H466" s="275"/>
      <c r="I466" s="275"/>
      <c r="J466" s="275"/>
      <c r="K466" s="275"/>
      <c r="L466" s="276">
        <f>AVERAGE(F468:M468)</f>
        <v>0</v>
      </c>
      <c r="M466" s="277"/>
      <c r="N466" s="4"/>
      <c r="O466" s="4"/>
      <c r="P466" s="6"/>
      <c r="Q466" s="102" t="s">
        <v>113</v>
      </c>
      <c r="R466" s="102" t="s">
        <v>113</v>
      </c>
      <c r="S466" s="102" t="s">
        <v>113</v>
      </c>
      <c r="T466" s="102" t="s">
        <v>113</v>
      </c>
      <c r="U466" s="4"/>
      <c r="V466" s="4"/>
      <c r="W466" s="20" t="s">
        <v>117</v>
      </c>
      <c r="X466" s="19">
        <f>IFERROR(X468/COUNTIF(X11:X463,"&gt;0"),0)</f>
        <v>0</v>
      </c>
      <c r="Y466" s="204">
        <f>IFERROR(Y468/COUNTIF(Y11:Y463,"&gt;0"),0)</f>
        <v>0</v>
      </c>
      <c r="Z466" s="13">
        <f>IFERROR(Z468/COUNTIF(Z11:Z463,"&gt;0"),0)</f>
        <v>0</v>
      </c>
      <c r="AA466" s="19">
        <f>IFERROR(AA468/COUNTIF(AA11:AA463,"&gt;0"),0)</f>
        <v>0</v>
      </c>
      <c r="AB466" s="19">
        <f>IFERROR(SUM(AB11:AB464)/COUNTIF(AB11:AB464,"&gt;0"),0)</f>
        <v>0</v>
      </c>
      <c r="AC466" s="19">
        <f>IFERROR(SUM(AC11:AC464)/COUNTIF(AC11:AC464,"&gt;0"),0)</f>
        <v>0</v>
      </c>
      <c r="AD466" s="24">
        <f>IFERROR(SUM(AD11:AD464)/COUNTIF(AD11:AD464,"&gt;0"),0)</f>
        <v>0</v>
      </c>
      <c r="AE466" s="28"/>
    </row>
    <row r="467" spans="3:31" ht="15.75" thickBot="1">
      <c r="C467" s="196"/>
      <c r="D467" s="4"/>
      <c r="E467" s="4"/>
      <c r="F467" s="65"/>
      <c r="G467" s="65"/>
      <c r="H467" s="65"/>
      <c r="I467" s="65"/>
      <c r="J467" s="65"/>
      <c r="K467" s="65"/>
      <c r="L467" s="65"/>
      <c r="M467" s="65"/>
      <c r="N467" s="4"/>
      <c r="O467" s="4"/>
      <c r="P467" s="6"/>
      <c r="Q467" s="103">
        <f>Konvention_1master^3</f>
        <v>8000</v>
      </c>
      <c r="R467" s="103">
        <f>Konvention_1master^3</f>
        <v>8000</v>
      </c>
      <c r="S467" s="103">
        <f>Konvention_1master^3</f>
        <v>8000</v>
      </c>
      <c r="T467" s="103">
        <f>Konvention_1master^3</f>
        <v>8000</v>
      </c>
      <c r="U467" s="4"/>
      <c r="V467" s="4"/>
      <c r="W467" s="4"/>
      <c r="X467" s="1"/>
      <c r="Y467" s="74"/>
      <c r="Z467" s="1"/>
      <c r="AA467" s="35"/>
      <c r="AB467" s="22"/>
      <c r="AC467" s="35"/>
      <c r="AD467" s="36"/>
      <c r="AE467" s="28"/>
    </row>
    <row r="468" spans="3:31">
      <c r="C468" s="196"/>
      <c r="D468" s="4"/>
      <c r="E468" s="4"/>
      <c r="F468" s="66">
        <f t="shared" ref="F468:P468" si="38">SUM(F11:F463)</f>
        <v>0</v>
      </c>
      <c r="G468" s="66">
        <f t="shared" si="38"/>
        <v>0</v>
      </c>
      <c r="H468" s="66">
        <f t="shared" si="38"/>
        <v>0</v>
      </c>
      <c r="I468" s="66">
        <f t="shared" si="38"/>
        <v>0</v>
      </c>
      <c r="J468" s="66">
        <f t="shared" si="38"/>
        <v>0</v>
      </c>
      <c r="K468" s="66">
        <f t="shared" si="38"/>
        <v>0</v>
      </c>
      <c r="L468" s="66">
        <f t="shared" si="38"/>
        <v>0</v>
      </c>
      <c r="M468" s="66">
        <f t="shared" si="38"/>
        <v>0</v>
      </c>
      <c r="N468" s="10">
        <f t="shared" si="38"/>
        <v>0</v>
      </c>
      <c r="O468" s="11">
        <f t="shared" si="38"/>
        <v>0</v>
      </c>
      <c r="P468" s="104">
        <f t="shared" si="38"/>
        <v>0</v>
      </c>
      <c r="Q468" s="143">
        <f>Q465/Q467</f>
        <v>0</v>
      </c>
      <c r="R468" s="144">
        <f>R465/R467</f>
        <v>0</v>
      </c>
      <c r="S468" s="145">
        <f>S465/S467</f>
        <v>0</v>
      </c>
      <c r="T468" s="146">
        <f>Q468+R468+S468</f>
        <v>0</v>
      </c>
      <c r="U468" s="7">
        <f>IFERROR(N468*Q465/T465,0)</f>
        <v>0</v>
      </c>
      <c r="V468" s="8">
        <f>IFERROR(O468*R465/T465,0)</f>
        <v>0</v>
      </c>
      <c r="W468" s="9">
        <f>IFERROR(P468*S465/T465,0)</f>
        <v>0</v>
      </c>
      <c r="X468" s="7">
        <f>SUMIF(X11:X463,"&gt;0")</f>
        <v>0</v>
      </c>
      <c r="Y468" s="25">
        <f>SUM(Y11:Y463)</f>
        <v>0</v>
      </c>
      <c r="Z468" s="21">
        <f>SUM(Z11:Z463)</f>
        <v>0</v>
      </c>
      <c r="AA468" s="12">
        <f>IFERROR(SUMIF(AA11:AA463,"&gt;0"),0)</f>
        <v>0</v>
      </c>
      <c r="AB468" s="16">
        <f>SUM(AB11:AB463)</f>
        <v>0</v>
      </c>
      <c r="AC468" s="15">
        <f>SUM(AC11:AC463)</f>
        <v>0</v>
      </c>
      <c r="AD468" s="15">
        <f>IFERROR(SUMIF(AD11:AD463,"&gt;0"),0)</f>
        <v>0</v>
      </c>
      <c r="AE468" s="28"/>
    </row>
    <row r="469" spans="3:31" ht="15.75" thickBot="1">
      <c r="C469" s="196"/>
      <c r="D469" s="4"/>
      <c r="E469" s="4"/>
      <c r="F469" s="278" t="s">
        <v>118</v>
      </c>
      <c r="G469" s="279"/>
      <c r="H469" s="279"/>
      <c r="I469" s="279"/>
      <c r="J469" s="279"/>
      <c r="K469" s="279"/>
      <c r="L469" s="279"/>
      <c r="M469" s="280"/>
      <c r="N469" s="281" t="s">
        <v>116</v>
      </c>
      <c r="O469" s="282"/>
      <c r="P469" s="283"/>
      <c r="Q469" s="284" t="s">
        <v>112</v>
      </c>
      <c r="R469" s="285"/>
      <c r="S469" s="286"/>
      <c r="T469" s="80" t="s">
        <v>145</v>
      </c>
      <c r="U469" s="263" t="s">
        <v>123</v>
      </c>
      <c r="V469" s="264"/>
      <c r="W469" s="265"/>
      <c r="X469" s="195" t="s">
        <v>121</v>
      </c>
      <c r="Y469" s="75" t="s">
        <v>122</v>
      </c>
      <c r="Z469" s="49" t="s">
        <v>124</v>
      </c>
      <c r="AA469" s="50" t="s">
        <v>131</v>
      </c>
      <c r="AB469" s="80" t="s">
        <v>154</v>
      </c>
      <c r="AC469" s="50" t="s">
        <v>156</v>
      </c>
      <c r="AD469" s="51" t="s">
        <v>136</v>
      </c>
      <c r="AE469" s="28"/>
    </row>
    <row r="470" spans="3:31">
      <c r="C470" s="196"/>
      <c r="Y470" s="76"/>
      <c r="Z470" s="1"/>
    </row>
    <row r="471" spans="3:31">
      <c r="C471" s="196"/>
      <c r="Y471" s="76"/>
      <c r="Z471" s="1"/>
    </row>
    <row r="472" spans="3:31">
      <c r="C472" s="196"/>
      <c r="Y472" s="76"/>
      <c r="Z472" s="1"/>
    </row>
    <row r="473" spans="3:31">
      <c r="C473" s="196"/>
      <c r="Y473" s="76"/>
      <c r="Z473" s="1"/>
    </row>
    <row r="474" spans="3:31">
      <c r="C474" s="196"/>
      <c r="Y474" s="76"/>
      <c r="Z474" s="1"/>
    </row>
    <row r="475" spans="3:31">
      <c r="C475" s="196"/>
      <c r="Y475" s="76"/>
      <c r="Z475" s="1"/>
    </row>
    <row r="476" spans="3:31">
      <c r="C476" s="148"/>
      <c r="Y476" s="76"/>
      <c r="Z476" s="1"/>
    </row>
    <row r="477" spans="3:31">
      <c r="C477" s="148"/>
      <c r="Y477" s="76"/>
      <c r="Z477" s="1"/>
    </row>
    <row r="478" spans="3:31">
      <c r="C478" s="148"/>
      <c r="Y478" s="77"/>
      <c r="Z478" s="1"/>
    </row>
    <row r="479" spans="3:31">
      <c r="C479" s="148"/>
      <c r="Y479" s="70"/>
      <c r="Z479" s="1"/>
    </row>
    <row r="480" spans="3:31">
      <c r="C480" s="148"/>
      <c r="Y480" s="65"/>
      <c r="Z480" s="1"/>
    </row>
    <row r="481" spans="3:26">
      <c r="C481" s="196"/>
      <c r="Y481" s="65"/>
      <c r="Z481" s="1"/>
    </row>
    <row r="482" spans="3:26">
      <c r="Y482" s="65"/>
      <c r="Z482" s="1"/>
    </row>
    <row r="483" spans="3:26">
      <c r="Y483" s="65"/>
      <c r="Z483" s="1"/>
    </row>
    <row r="484" spans="3:26">
      <c r="Y484" s="65"/>
      <c r="Z484" s="1"/>
    </row>
    <row r="485" spans="3:26">
      <c r="Y485" s="65"/>
      <c r="Z485" s="1"/>
    </row>
    <row r="486" spans="3:26">
      <c r="Y486" s="65"/>
      <c r="Z486" s="1"/>
    </row>
    <row r="487" spans="3:26">
      <c r="Y487" s="65"/>
      <c r="Z487" s="1"/>
    </row>
    <row r="488" spans="3:26">
      <c r="Y488" s="65"/>
      <c r="Z488" s="1"/>
    </row>
    <row r="489" spans="3:26">
      <c r="Y489" s="65"/>
      <c r="Z489" s="1"/>
    </row>
    <row r="490" spans="3:26">
      <c r="Y490" s="65"/>
      <c r="Z490" s="1"/>
    </row>
    <row r="491" spans="3:26">
      <c r="Y491" s="65"/>
      <c r="Z491" s="1"/>
    </row>
    <row r="492" spans="3:26">
      <c r="Y492" s="65"/>
      <c r="Z492" s="1"/>
    </row>
    <row r="493" spans="3:26">
      <c r="Y493" s="65"/>
      <c r="Z493" s="1"/>
    </row>
    <row r="494" spans="3:26">
      <c r="Y494" s="199"/>
      <c r="Z494" s="199"/>
    </row>
    <row r="495" spans="3:26">
      <c r="Y495" s="199"/>
      <c r="Z495" s="199"/>
    </row>
    <row r="496" spans="3:26">
      <c r="Y496" s="199"/>
      <c r="Z496" s="199"/>
    </row>
    <row r="497" spans="25:26">
      <c r="Y497" s="199"/>
      <c r="Z497" s="199"/>
    </row>
    <row r="498" spans="25:26">
      <c r="Y498" s="199"/>
      <c r="Z498" s="199"/>
    </row>
    <row r="499" spans="25:26">
      <c r="Y499" s="65"/>
      <c r="Z499" s="1"/>
    </row>
  </sheetData>
  <mergeCells count="11">
    <mergeCell ref="U469:W469"/>
    <mergeCell ref="F466:K466"/>
    <mergeCell ref="L466:M466"/>
    <mergeCell ref="F469:M469"/>
    <mergeCell ref="N469:P469"/>
    <mergeCell ref="Q469:S469"/>
    <mergeCell ref="F4:M4"/>
    <mergeCell ref="F7:M7"/>
    <mergeCell ref="N7:P7"/>
    <mergeCell ref="Q7:S7"/>
    <mergeCell ref="U7:W7"/>
  </mergeCells>
  <conditionalFormatting sqref="C11:C24 C26:C34 C36:C42 C44:C55 C57:C73 C78:C98 C100:C126 C128:C151 C153:C211 C213:C257 C259 C461:C462 C352:C355 C357:C365 C367:C374 C376:C386 C388:C389 C391 C393:C395 C400:C402 C404:C409 C411:C417 C419:C423 C425:C432 C434:C439 C441:C444 C448:C449 C455 C457 C323:C348 C261:C296 C298:C321">
    <cfRule type="notContainsErrors" dxfId="39" priority="22">
      <formula>NOT(ISERROR(C11))</formula>
    </cfRule>
  </conditionalFormatting>
  <conditionalFormatting sqref="R5">
    <cfRule type="colorScale" priority="16">
      <colorScale>
        <cfvo type="min" val="0"/>
        <cfvo type="num" val="0"/>
        <cfvo type="max" val="0"/>
        <color rgb="FFFF0000"/>
        <color rgb="FFFFFF00"/>
        <color rgb="FF00B050"/>
      </colorScale>
    </cfRule>
  </conditionalFormatting>
  <conditionalFormatting sqref="F468:M468 L466">
    <cfRule type="colorScale" priority="15">
      <colorScale>
        <cfvo type="min" val="0"/>
        <cfvo type="num" val="$L$466"/>
        <cfvo type="max" val="0"/>
        <color rgb="FF63BE7B"/>
        <color rgb="FFFFEB84"/>
        <color rgb="FFF8696B"/>
      </colorScale>
    </cfRule>
  </conditionalFormatting>
  <conditionalFormatting sqref="Z11:Z466">
    <cfRule type="colorScale" priority="14">
      <colorScale>
        <cfvo type="min" val="0"/>
        <cfvo type="formula" val="noch_benötigte_Punkte_Avg/2"/>
        <cfvo type="max" val="0"/>
        <color rgb="FF00B050"/>
        <color rgb="FFFFFF00"/>
        <color rgb="FFFF0000"/>
      </colorScale>
    </cfRule>
  </conditionalFormatting>
  <conditionalFormatting sqref="AC11:AC466">
    <cfRule type="colorScale" priority="13">
      <colorScale>
        <cfvo type="min" val="0"/>
        <cfvo type="formula" val="AP_noch_Avg/2"/>
        <cfvo type="max" val="0"/>
        <color rgb="FF63BE7B"/>
        <color rgb="FFFFEB84"/>
        <color rgb="FFF8696B"/>
      </colorScale>
    </cfRule>
  </conditionalFormatting>
  <conditionalFormatting sqref="AD11:AD466">
    <cfRule type="colorScale" priority="12">
      <colorScale>
        <cfvo type="num" val="0.01"/>
        <cfvo type="max" val="0"/>
        <color rgb="FF63BE7B"/>
        <color rgb="FFF8696B"/>
      </colorScale>
    </cfRule>
  </conditionalFormatting>
  <conditionalFormatting sqref="C298:C321 C323:C348">
    <cfRule type="notContainsErrors" dxfId="38" priority="10">
      <formula>NOT(ISERROR(C298))</formula>
    </cfRule>
  </conditionalFormatting>
  <conditionalFormatting sqref="C298:C321 C323:C348">
    <cfRule type="notContainsErrors" dxfId="37" priority="6">
      <formula>NOT(ISERROR(C298))</formula>
    </cfRule>
  </conditionalFormatting>
  <conditionalFormatting sqref="C298:C321 C323:C348">
    <cfRule type="notContainsErrors" dxfId="36" priority="5">
      <formula>NOT(ISERROR(C298))</formula>
    </cfRule>
  </conditionalFormatting>
  <conditionalFormatting sqref="C261:C296 C298:C321 C323:C348">
    <cfRule type="notContainsErrors" dxfId="35" priority="4">
      <formula>NOT(ISERROR(C261))</formula>
    </cfRule>
  </conditionalFormatting>
  <conditionalFormatting sqref="C298:C321 C323:C348">
    <cfRule type="notContainsErrors" dxfId="34" priority="3">
      <formula>NOT(ISERROR(C298))</formula>
    </cfRule>
  </conditionalFormatting>
  <conditionalFormatting sqref="C298:C321 C323:C348">
    <cfRule type="notContainsErrors" dxfId="33" priority="2">
      <formula>NOT(ISERROR(C298))</formula>
    </cfRule>
  </conditionalFormatting>
  <conditionalFormatting sqref="C298:C321 C323:C348">
    <cfRule type="notContainsErrors" dxfId="32" priority="1">
      <formula>NOT(ISERROR(C298))</formula>
    </cfRule>
  </conditionalFormatting>
  <dataValidations count="5">
    <dataValidation type="list" allowBlank="1" showInputMessage="1" showErrorMessage="1" sqref="C357:C365 C213:C257 C393:C395 C352:C355 C57:C73 C400:C402 C404:C409 C411:C417 C419:C423 C425:C432 C434:C439 C441:C444 C448:C449 C455 C457 C461:C462 C128:C151 C259 C78:C98 C100:C126 C367:C374 C376:C386 C388:C389 C391 C153:C211 C261:C296 C298:C321 C323:C348">
      <formula1>Talente_Handwerkstalente</formula1>
    </dataValidation>
    <dataValidation type="list" allowBlank="1" showInputMessage="1" showErrorMessage="1" sqref="C11:C24">
      <formula1>Talente_Körpertalente</formula1>
    </dataValidation>
    <dataValidation type="list" allowBlank="1" showInputMessage="1" showErrorMessage="1" sqref="C26:C34">
      <formula1>Talente_Gesellschaftstalente</formula1>
    </dataValidation>
    <dataValidation type="list" allowBlank="1" showInputMessage="1" showErrorMessage="1" sqref="C36:C42">
      <formula1>Talente_Naturtalente</formula1>
    </dataValidation>
    <dataValidation type="list" allowBlank="1" showInputMessage="1" showErrorMessage="1" sqref="C44:C55">
      <formula1>Talente_Wissenstalente</formula1>
    </dataValidation>
  </dataValidation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64FF64"/>
  </sheetPr>
  <dimension ref="A1:AE499"/>
  <sheetViews>
    <sheetView zoomScaleNormal="100" workbookViewId="0"/>
  </sheetViews>
  <sheetFormatPr baseColWidth="10" defaultColWidth="9.140625" defaultRowHeight="15" outlineLevelRow="2" outlineLevelCol="1"/>
  <cols>
    <col min="1" max="1" width="11.85546875" style="148" customWidth="1"/>
    <col min="2" max="2" width="19.28515625" style="148" customWidth="1"/>
    <col min="3" max="3" width="31.7109375" style="140" customWidth="1"/>
    <col min="4" max="4" width="13.140625" style="148" customWidth="1"/>
    <col min="5" max="5" width="2.28515625" style="148" customWidth="1"/>
    <col min="6" max="13" width="9.28515625" style="148" customWidth="1"/>
    <col min="14" max="16" width="15.42578125" style="148" customWidth="1"/>
    <col min="17" max="19" width="12.42578125" style="148" customWidth="1"/>
    <col min="20" max="20" width="23.5703125" style="148" bestFit="1" customWidth="1"/>
    <col min="21" max="23" width="13" style="148" hidden="1" customWidth="1" outlineLevel="1"/>
    <col min="24" max="24" width="24" style="148" hidden="1" customWidth="1" outlineLevel="1"/>
    <col min="25" max="25" width="18.42578125" style="197" hidden="1" customWidth="1" outlineLevel="1"/>
    <col min="26" max="26" width="21.5703125" style="197" hidden="1" customWidth="1" outlineLevel="1"/>
    <col min="27" max="27" width="11.85546875" style="148" hidden="1" customWidth="1" outlineLevel="1"/>
    <col min="28" max="28" width="14" style="148" hidden="1" customWidth="1" outlineLevel="1"/>
    <col min="29" max="29" width="13.42578125" style="148" hidden="1" customWidth="1" outlineLevel="1"/>
    <col min="30" max="30" width="14.42578125" style="148" hidden="1" customWidth="1" outlineLevel="1"/>
    <col min="31" max="31" width="9.140625" style="148" collapsed="1"/>
    <col min="32" max="16384" width="9.140625" style="148"/>
  </cols>
  <sheetData>
    <row r="1" spans="1:31" s="4" customFormat="1">
      <c r="A1" s="124"/>
      <c r="C1" s="3"/>
      <c r="F1" s="93" t="s">
        <v>0</v>
      </c>
      <c r="G1" s="94" t="s">
        <v>1</v>
      </c>
      <c r="H1" s="94" t="s">
        <v>2</v>
      </c>
      <c r="I1" s="94" t="s">
        <v>3</v>
      </c>
      <c r="J1" s="94" t="s">
        <v>4</v>
      </c>
      <c r="K1" s="94" t="s">
        <v>5</v>
      </c>
      <c r="L1" s="94" t="s">
        <v>6</v>
      </c>
      <c r="M1" s="95" t="s">
        <v>7</v>
      </c>
      <c r="N1" s="32" t="s">
        <v>118</v>
      </c>
      <c r="O1" s="40" t="s">
        <v>283</v>
      </c>
      <c r="P1" s="67"/>
      <c r="Q1" s="6"/>
      <c r="R1" s="6"/>
      <c r="S1" s="6"/>
      <c r="T1" s="6"/>
      <c r="Y1" s="70"/>
      <c r="Z1" s="1"/>
      <c r="AA1" s="35"/>
      <c r="AB1" s="22"/>
      <c r="AC1" s="35"/>
      <c r="AD1" s="36"/>
    </row>
    <row r="2" spans="1:31" s="4" customFormat="1">
      <c r="A2" s="150"/>
      <c r="C2" s="3"/>
      <c r="F2" s="98">
        <f>MUmaster</f>
        <v>8</v>
      </c>
      <c r="G2" s="98">
        <f>KLmaster</f>
        <v>8</v>
      </c>
      <c r="H2" s="98">
        <f>INmaster</f>
        <v>8</v>
      </c>
      <c r="I2" s="98">
        <f>CHmaster</f>
        <v>8</v>
      </c>
      <c r="J2" s="98">
        <f>FFmaster+1</f>
        <v>9</v>
      </c>
      <c r="K2" s="98">
        <f>GEmaster</f>
        <v>8</v>
      </c>
      <c r="L2" s="98">
        <f>KOmaster</f>
        <v>8</v>
      </c>
      <c r="M2" s="98">
        <f>KKmaster</f>
        <v>8</v>
      </c>
      <c r="N2" s="5">
        <f>MUslave+KLslave+INslave+CHslave+FFslave_FF+GEslave+KOslave+KKslave</f>
        <v>65</v>
      </c>
      <c r="O2" s="68">
        <v>20</v>
      </c>
      <c r="P2" s="6"/>
      <c r="Q2" s="6"/>
      <c r="R2" s="6"/>
      <c r="S2" s="6"/>
      <c r="T2" s="6"/>
      <c r="Y2" s="71"/>
      <c r="Z2" s="1"/>
      <c r="AA2" s="35"/>
      <c r="AB2" s="22"/>
      <c r="AC2" s="35"/>
      <c r="AD2" s="36"/>
    </row>
    <row r="3" spans="1:31" s="37" customFormat="1">
      <c r="B3" s="31"/>
      <c r="C3" s="141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Y3" s="71"/>
      <c r="Z3" s="38"/>
      <c r="AA3" s="34"/>
      <c r="AB3" s="67"/>
      <c r="AC3" s="34"/>
      <c r="AD3" s="39"/>
    </row>
    <row r="4" spans="1:31" s="37" customFormat="1">
      <c r="B4" s="31"/>
      <c r="C4" s="141"/>
      <c r="F4" s="287" t="s">
        <v>139</v>
      </c>
      <c r="G4" s="288"/>
      <c r="H4" s="288"/>
      <c r="I4" s="288"/>
      <c r="J4" s="288"/>
      <c r="K4" s="288"/>
      <c r="L4" s="288"/>
      <c r="M4" s="288"/>
      <c r="N4" s="91" t="s">
        <v>334</v>
      </c>
      <c r="O4" s="91" t="s">
        <v>154</v>
      </c>
      <c r="P4" s="191" t="s">
        <v>144</v>
      </c>
      <c r="Q4" s="91" t="s">
        <v>142</v>
      </c>
      <c r="R4" s="92" t="s">
        <v>143</v>
      </c>
      <c r="S4" s="29"/>
      <c r="T4" s="29"/>
      <c r="Y4" s="71"/>
      <c r="Z4" s="38"/>
      <c r="AA4" s="34"/>
      <c r="AB4" s="67"/>
      <c r="AC4" s="34"/>
      <c r="AD4" s="39"/>
    </row>
    <row r="5" spans="1:31" s="37" customFormat="1">
      <c r="B5" s="31"/>
      <c r="C5" s="141"/>
      <c r="F5" s="190">
        <f>MUslave*15+IF(MUslave&gt;14,MUslave-14,0)*15+IF(MUslave&gt;15,MUslave-15,0)*15+IF(MUslave&gt;16,MUslave-16,0)*15+IF(MUslave&gt;17,MUslave-17,0)*15+IF(MUslave&gt;18,MUslave-18,0)*15+IF(MUslave&gt;19,MUslave-19,0)*15+IF(MUslave&gt;20,MUslave-20,0)*15+IF(MUslave&gt;21,MUslave-21,0)*15+IF(MUslave&gt;22,MUslave-22,0)*15+IF(MUslave&gt;23,MUslave-23,0)*15+IF(MUslave&gt;24,MUslave-24,0)*15-120</f>
        <v>0</v>
      </c>
      <c r="G5" s="190">
        <f>KLslave*15+IF(KLslave&gt;14,KLslave-14,0)*15+IF(KLslave&gt;15,KLslave-15,0)*15+IF(KLslave&gt;16,KLslave-16,0)*15+IF(KLslave&gt;17,KLslave-17,0)*15+IF(KLslave&gt;18,KLslave-18,0)*15+IF(KLslave&gt;19,KLslave-19,0)*15+IF(KLslave&gt;20,KLslave-20,0)*15+IF(KLslave&gt;21,KLslave-21,0)*15+IF(KLslave&gt;22,KLslave-22,0)*15+IF(KLslave&gt;23,KLslave-23,0)*15+IF(KLslave&gt;24,KLslave-24,0)*15-120</f>
        <v>0</v>
      </c>
      <c r="H5" s="189">
        <f>INslave*15+IF(INslave&gt;14,INslave-14,0)*15+IF(INslave&gt;15,INslave-15,0)*15+IF(INslave&gt;16,INslave-16,0)*15+IF(INslave&gt;17,INslave-17,0)*15+IF(INslave&gt;18,INslave-18,0)*15+IF(INslave&gt;19,INslave-19,0)*15+IF(INslave&gt;20,INslave-20,0)*15+IF(INslave&gt;21,INslave-21,0)*15+IF(INslave&gt;22,INslave-22,0)*15+IF(INslave&gt;23,INslave-23,0)*15+IF(INslave&gt;24,INslave-24,0)*15-120</f>
        <v>0</v>
      </c>
      <c r="I5" s="189">
        <f>CHslave*15+IF(CHslave&gt;14,CHslave-14,0)*15+IF(CHslave&gt;15,CHslave-15,0)*15+IF(CHslave&gt;16,CHslave-16,0)*15+IF(CHslave&gt;17,CHslave-17,0)*15+IF(CHslave&gt;18,CHslave-18,0)*15+IF(CHslave&gt;19,CHslave-19,0)*15+IF(CHslave&gt;20,CHslave-20,0)*15+IF(CHslave&gt;21,CHslave-21,0)*15+IF(CHslave&gt;22,CHslave-22,0)*15+IF(CHslave&gt;23,CHslave-23,0)*15+IF(CHslave&gt;24,CHslave-24,0)*15-120</f>
        <v>0</v>
      </c>
      <c r="J5" s="189">
        <f>FFslave_FF*15+IF(FFslave_FF&gt;14,FFslave_FF-14,0)*15+IF(FFslave_FF&gt;15,FFslave_FF-15,0)*15+IF(FFslave_FF&gt;16,FFslave_FF-16,0)*15+IF(FFslave_FF&gt;17,FFslave_FF-17,0)*15+IF(FFslave_FF&gt;18,FFslave_FF-18,0)*15+IF(FFslave_FF&gt;19,FFslave_FF-19,0)*15+IF(FFslave_FF&gt;20,FFslave_FF-20,0)*15+IF(FFslave_FF&gt;21,FFslave_FF-21,0)*15+IF(FFslave_FF&gt;22,FFslave_FF-22,0)*15+IF(FFslave_FF&gt;23,FFslave_FF-23,0)*15+IF(FFslave_FF&gt;24,FFslave_FF-24,0)*15-120</f>
        <v>15</v>
      </c>
      <c r="K5" s="189">
        <f>GEslave*15+IF(GEslave&gt;14,GEslave-14,0)*15+IF(GEslave&gt;15,GEslave-15,0)*15+IF(GEslave&gt;16,GEslave-16,0)*15+IF(GEslave&gt;17,GEslave-17,0)*15+IF(GEslave&gt;18,GEslave-18,0)*15+IF(GEslave&gt;19,GEslave-19,0)*15+IF(GEslave&gt;20,GEslave-20,0)*15+IF(GEslave&gt;21,GEslave-21,0)*15+IF(GEslave&gt;22,GEslave-22,0)*15+IF(GEslave&gt;23,GEslave-23,0)*15+IF(GEslave&gt;24,GEslave-24,0)*15-120</f>
        <v>0</v>
      </c>
      <c r="L5" s="189">
        <f>KOslave*15+IF(KOslave&gt;14,KOslave-14,0)*15+IF(KOslave&gt;15,KOslave-15,0)*15+IF(KOslave&gt;16,KOslave-16,0)*15+IF(KOslave&gt;17,KOslave-17,0)*15+IF(KOslave&gt;18,KOslave-18,0)*15+IF(KOslave&gt;19,KOslave-19,0)*15+IF(KOslave&gt;20,KOslave-20,0)*15+IF(KOslave&gt;21,KOslave-21,0)*15+IF(KOslave&gt;22,KOslave-22,0)*15+IF(KOslave&gt;23,KOslave-23,0)*15+IF(KOslave&gt;24,KOslave-24,0)*15-120</f>
        <v>0</v>
      </c>
      <c r="M5" s="189">
        <f>KKslave*15+IF(KKslave&gt;14,KKslave-14,0)*15+IF(KKslave&gt;15,KKslave-15,0)*15+IF(KKslave&gt;16,KKslave-16,0)*15+IF(KKslave&gt;17,KKslave-17,0)*15+IF(KKslave&gt;18,KKslave-18,0)*15+IF(KKslave&gt;19,KKslave-19,0)*15+IF(KKslave&gt;20,KKslave-20,0)*15+IF(KKslave&gt;21,KKslave-21,0)*15+IF(KKslave&gt;22,KKslave-22,0)*15+IF(KKslave&gt;23,KKslave-23,0)*15+IF(KKslave&gt;24,KKslave-24,0)*15-120</f>
        <v>0</v>
      </c>
      <c r="N5" s="189">
        <f>SUM(F5:M5)</f>
        <v>15</v>
      </c>
      <c r="O5" s="189">
        <f>AP_in_Talenten_FF</f>
        <v>0</v>
      </c>
      <c r="P5" s="17">
        <f>AP_in_Attributen_FF+AP_in_Talenten_FF</f>
        <v>15</v>
      </c>
      <c r="Q5" s="99">
        <v>1100</v>
      </c>
      <c r="R5" s="189">
        <f>Q5-P5</f>
        <v>1085</v>
      </c>
      <c r="S5" s="29"/>
      <c r="T5" s="29"/>
      <c r="X5" s="34"/>
      <c r="Y5" s="71"/>
      <c r="Z5" s="38"/>
      <c r="AA5" s="34"/>
      <c r="AB5" s="67"/>
      <c r="AC5" s="34"/>
      <c r="AD5" s="39"/>
    </row>
    <row r="6" spans="1:31" s="4" customFormat="1">
      <c r="A6" s="150"/>
      <c r="C6" s="3"/>
      <c r="F6" s="6"/>
      <c r="G6" s="6"/>
      <c r="H6" s="6"/>
      <c r="I6" s="6"/>
      <c r="J6" s="6"/>
      <c r="K6" s="6"/>
      <c r="L6" s="6"/>
      <c r="M6" s="6"/>
      <c r="P6" s="6"/>
      <c r="Q6" s="6"/>
      <c r="R6" s="6"/>
      <c r="S6" s="6"/>
      <c r="T6" s="6"/>
      <c r="Y6" s="71"/>
      <c r="Z6" s="1"/>
      <c r="AA6" s="35"/>
      <c r="AB6" s="22"/>
      <c r="AC6" s="35"/>
      <c r="AD6" s="36"/>
    </row>
    <row r="7" spans="1:31" s="4" customFormat="1">
      <c r="A7" s="150"/>
      <c r="C7" s="3"/>
      <c r="F7" s="289" t="s">
        <v>126</v>
      </c>
      <c r="G7" s="290"/>
      <c r="H7" s="290"/>
      <c r="I7" s="290"/>
      <c r="J7" s="290"/>
      <c r="K7" s="290"/>
      <c r="L7" s="290"/>
      <c r="M7" s="291"/>
      <c r="N7" s="292" t="s">
        <v>151</v>
      </c>
      <c r="O7" s="293"/>
      <c r="P7" s="294"/>
      <c r="Q7" s="289" t="s">
        <v>150</v>
      </c>
      <c r="R7" s="290"/>
      <c r="S7" s="291"/>
      <c r="T7" s="101" t="s">
        <v>114</v>
      </c>
      <c r="U7" s="292" t="s">
        <v>152</v>
      </c>
      <c r="V7" s="293"/>
      <c r="W7" s="294"/>
      <c r="X7" s="14" t="s">
        <v>153</v>
      </c>
      <c r="Y7" s="72" t="s">
        <v>138</v>
      </c>
      <c r="Z7" s="41" t="s">
        <v>120</v>
      </c>
      <c r="AA7" s="42" t="s">
        <v>130</v>
      </c>
      <c r="AB7" s="78" t="s">
        <v>130</v>
      </c>
      <c r="AC7" s="42" t="s">
        <v>130</v>
      </c>
      <c r="AD7" s="43" t="s">
        <v>130</v>
      </c>
    </row>
    <row r="8" spans="1:31" s="4" customFormat="1" ht="15.75" thickBot="1">
      <c r="A8" s="150"/>
      <c r="B8" s="3"/>
      <c r="C8" s="3"/>
      <c r="D8" s="3"/>
      <c r="F8" s="190" t="s">
        <v>0</v>
      </c>
      <c r="G8" s="190" t="s">
        <v>1</v>
      </c>
      <c r="H8" s="190" t="s">
        <v>2</v>
      </c>
      <c r="I8" s="190" t="s">
        <v>3</v>
      </c>
      <c r="J8" s="190" t="s">
        <v>4</v>
      </c>
      <c r="K8" s="190" t="s">
        <v>5</v>
      </c>
      <c r="L8" s="190" t="s">
        <v>6</v>
      </c>
      <c r="M8" s="190" t="s">
        <v>7</v>
      </c>
      <c r="N8" s="33" t="s">
        <v>109</v>
      </c>
      <c r="O8" s="33" t="s">
        <v>110</v>
      </c>
      <c r="P8" s="190" t="s">
        <v>111</v>
      </c>
      <c r="Q8" s="190" t="s">
        <v>106</v>
      </c>
      <c r="R8" s="190" t="s">
        <v>107</v>
      </c>
      <c r="S8" s="190" t="s">
        <v>108</v>
      </c>
      <c r="T8" s="190" t="s">
        <v>115</v>
      </c>
      <c r="U8" s="40" t="s">
        <v>127</v>
      </c>
      <c r="V8" s="40" t="s">
        <v>128</v>
      </c>
      <c r="W8" s="40" t="s">
        <v>129</v>
      </c>
      <c r="X8" s="33" t="s">
        <v>119</v>
      </c>
      <c r="Y8" s="73" t="s">
        <v>125</v>
      </c>
      <c r="Z8" s="44" t="s">
        <v>343</v>
      </c>
      <c r="AA8" s="45" t="s">
        <v>157</v>
      </c>
      <c r="AB8" s="79" t="s">
        <v>159</v>
      </c>
      <c r="AC8" s="45" t="s">
        <v>155</v>
      </c>
      <c r="AD8" s="46" t="s">
        <v>137</v>
      </c>
    </row>
    <row r="9" spans="1:31" ht="15.75" thickBot="1">
      <c r="A9" s="135" t="s">
        <v>333</v>
      </c>
    </row>
    <row r="10" spans="1:31" ht="15" hidden="1" customHeight="1" outlineLevel="1">
      <c r="B10" s="134" t="s">
        <v>68</v>
      </c>
    </row>
    <row r="11" spans="1:31" ht="15" hidden="1" customHeight="1" outlineLevel="2">
      <c r="B11" s="148">
        <v>1</v>
      </c>
      <c r="C11" s="176" t="str">
        <f>Attribute!C11</f>
        <v>---</v>
      </c>
      <c r="D11" s="126" t="str">
        <f>VLOOKUP(C11,'Talente &amp; Stuff'!ER:FT,2,FALSE)</f>
        <v>--/--/--</v>
      </c>
      <c r="E11" s="158" t="str">
        <f>VLOOKUP(C11,'Talente &amp; Stuff'!ER:FT,3,FALSE)</f>
        <v>-</v>
      </c>
      <c r="F11" s="191">
        <f>VLOOKUP(C11,'Talente &amp; Stuff'!ER:FT,4,FALSE)</f>
        <v>0</v>
      </c>
      <c r="G11" s="118">
        <f>VLOOKUP(C11,'Talente &amp; Stuff'!ER:FT,5,FALSE)</f>
        <v>0</v>
      </c>
      <c r="H11" s="118">
        <f>VLOOKUP(C11,'Talente &amp; Stuff'!ER:FT,6,FALSE)</f>
        <v>0</v>
      </c>
      <c r="I11" s="118">
        <f>VLOOKUP(C11,'Talente &amp; Stuff'!ER:FT,7,FALSE)</f>
        <v>0</v>
      </c>
      <c r="J11" s="118">
        <f>VLOOKUP(C11,'Talente &amp; Stuff'!ER:FT,8,FALSE)</f>
        <v>0</v>
      </c>
      <c r="K11" s="118">
        <f>VLOOKUP(C11,'Talente &amp; Stuff'!ER:FT,9,FALSE)</f>
        <v>0</v>
      </c>
      <c r="L11" s="118">
        <f>VLOOKUP(C11,'Talente &amp; Stuff'!ER:FT,10,FALSE)</f>
        <v>0</v>
      </c>
      <c r="M11" s="92">
        <f>VLOOKUP(C11,'Talente &amp; Stuff'!ER:FT,11,FALSE)</f>
        <v>0</v>
      </c>
      <c r="N11" s="193">
        <f>VLOOKUP(C11,'Talente &amp; Stuff'!ER:FT,12,FALSE)</f>
        <v>0</v>
      </c>
      <c r="O11" s="116">
        <f>VLOOKUP(C11,'Talente &amp; Stuff'!ER:FT,13,FALSE)</f>
        <v>0</v>
      </c>
      <c r="P11" s="92">
        <f>VLOOKUP(C11,'Talente &amp; Stuff'!ER:FT,14,FALSE)</f>
        <v>0</v>
      </c>
      <c r="Q11" s="191">
        <f>VLOOKUP(C11,'Talente &amp; Stuff'!ER:FT,15,FALSE)</f>
        <v>0</v>
      </c>
      <c r="R11" s="118">
        <f>VLOOKUP(C11,'Talente &amp; Stuff'!ER:FT,16,FALSE)</f>
        <v>0</v>
      </c>
      <c r="S11" s="92">
        <f>VLOOKUP(C11,'Talente &amp; Stuff'!ER:FT,17,FALSE)</f>
        <v>0</v>
      </c>
      <c r="T11" s="91">
        <f>VLOOKUP(C11,'Talente &amp; Stuff'!ER:FT,18,FALSE)</f>
        <v>0</v>
      </c>
      <c r="U11" s="193">
        <f>VLOOKUP(C11,'Talente &amp; Stuff'!ER:FT,19,FALSE)</f>
        <v>0</v>
      </c>
      <c r="V11" s="116">
        <f>VLOOKUP(C11,'Talente &amp; Stuff'!ER:FT,20,FALSE)</f>
        <v>0</v>
      </c>
      <c r="W11" s="126">
        <f>VLOOKUP(C11,'Talente &amp; Stuff'!ER:FT,21,FALSE)</f>
        <v>0</v>
      </c>
      <c r="X11" s="158">
        <f>VLOOKUP(C11,'Talente &amp; Stuff'!ER:FT,22,FALSE)</f>
        <v>0</v>
      </c>
      <c r="Y11" s="165">
        <f t="shared" ref="Y11:Y24" si="0">VLOOKUP(C11,Ausgewählte_Talente_Körpertalente,168,FALSE)</f>
        <v>0</v>
      </c>
      <c r="Z11" s="44">
        <f t="shared" ref="Z11:Z24" si="1">VLOOKUP(C11,Ausgewählte_Talente_Körpertalente,169,FALSE)</f>
        <v>0</v>
      </c>
      <c r="AA11" s="158">
        <f>VLOOKUP(C11,'Talente &amp; Stuff'!ER:FT,25,FALSE)</f>
        <v>0</v>
      </c>
      <c r="AB11" s="91">
        <f>VLOOKUP(C11,'Talente &amp; Stuff'!ER:FT,26,FALSE)</f>
        <v>0</v>
      </c>
      <c r="AC11" s="126">
        <f>VLOOKUP(C11,'Talente &amp; Stuff'!ER:FT,27,FALSE)</f>
        <v>0</v>
      </c>
      <c r="AD11" s="158">
        <f>VLOOKUP(C11,'Talente &amp; Stuff'!ER:FT,28,FALSE)</f>
        <v>0</v>
      </c>
      <c r="AE11" s="28"/>
    </row>
    <row r="12" spans="1:31" ht="15" hidden="1" customHeight="1" outlineLevel="2">
      <c r="B12" s="148">
        <v>2</v>
      </c>
      <c r="C12" s="177" t="str">
        <f>Attribute!C12</f>
        <v>---</v>
      </c>
      <c r="D12" s="127" t="str">
        <f>VLOOKUP(C12,'Talente &amp; Stuff'!ER:FT,2,FALSE)</f>
        <v>--/--/--</v>
      </c>
      <c r="E12" s="125" t="str">
        <f>VLOOKUP(C12,'Talente &amp; Stuff'!ER:FT,3,FALSE)</f>
        <v>-</v>
      </c>
      <c r="F12" s="114">
        <f>VLOOKUP(C12,'Talente &amp; Stuff'!ER:FT,4,FALSE)</f>
        <v>0</v>
      </c>
      <c r="G12" s="113">
        <f>VLOOKUP(C12,'Talente &amp; Stuff'!ER:FT,5,FALSE)</f>
        <v>0</v>
      </c>
      <c r="H12" s="113">
        <f>VLOOKUP(C12,'Talente &amp; Stuff'!ER:FT,6,FALSE)</f>
        <v>0</v>
      </c>
      <c r="I12" s="113">
        <f>VLOOKUP(C12,'Talente &amp; Stuff'!ER:FT,7,FALSE)</f>
        <v>0</v>
      </c>
      <c r="J12" s="113">
        <f>VLOOKUP(C12,'Talente &amp; Stuff'!ER:FT,8,FALSE)</f>
        <v>0</v>
      </c>
      <c r="K12" s="113">
        <f>VLOOKUP(C12,'Talente &amp; Stuff'!ER:FT,9,FALSE)</f>
        <v>0</v>
      </c>
      <c r="L12" s="113">
        <f>VLOOKUP(C12,'Talente &amp; Stuff'!ER:FT,10,FALSE)</f>
        <v>0</v>
      </c>
      <c r="M12" s="119">
        <f>VLOOKUP(C12,'Talente &amp; Stuff'!ER:FT,11,FALSE)</f>
        <v>0</v>
      </c>
      <c r="N12" s="89">
        <f>VLOOKUP(C12,'Talente &amp; Stuff'!ER:FT,12,FALSE)</f>
        <v>0</v>
      </c>
      <c r="O12" s="47">
        <f>VLOOKUP(C12,'Talente &amp; Stuff'!ER:FT,13,FALSE)</f>
        <v>0</v>
      </c>
      <c r="P12" s="119">
        <f>VLOOKUP(C12,'Talente &amp; Stuff'!ER:FT,14,FALSE)</f>
        <v>0</v>
      </c>
      <c r="Q12" s="114">
        <f>VLOOKUP(C12,'Talente &amp; Stuff'!ER:FT,15,FALSE)</f>
        <v>0</v>
      </c>
      <c r="R12" s="113">
        <f>VLOOKUP(C12,'Talente &amp; Stuff'!ER:FT,16,FALSE)</f>
        <v>0</v>
      </c>
      <c r="S12" s="119">
        <f>VLOOKUP(C12,'Talente &amp; Stuff'!ER:FT,17,FALSE)</f>
        <v>0</v>
      </c>
      <c r="T12" s="160">
        <f>VLOOKUP(C12,'Talente &amp; Stuff'!ER:FT,18,FALSE)</f>
        <v>0</v>
      </c>
      <c r="U12" s="89">
        <f>VLOOKUP(C12,'Talente &amp; Stuff'!ER:FT,19,FALSE)</f>
        <v>0</v>
      </c>
      <c r="V12" s="47">
        <f>VLOOKUP(C12,'Talente &amp; Stuff'!ER:FT,20,FALSE)</f>
        <v>0</v>
      </c>
      <c r="W12" s="127">
        <f>VLOOKUP(C12,'Talente &amp; Stuff'!ER:FT,21,FALSE)</f>
        <v>0</v>
      </c>
      <c r="X12" s="125">
        <f>VLOOKUP(C12,'Talente &amp; Stuff'!ER:FT,22,FALSE)</f>
        <v>0</v>
      </c>
      <c r="Y12" s="165">
        <f t="shared" si="0"/>
        <v>0</v>
      </c>
      <c r="Z12" s="44">
        <f t="shared" si="1"/>
        <v>0</v>
      </c>
      <c r="AA12" s="125">
        <f>VLOOKUP(C12,'Talente &amp; Stuff'!ER:FT,25,FALSE)</f>
        <v>0</v>
      </c>
      <c r="AB12" s="160">
        <f>VLOOKUP(C12,'Talente &amp; Stuff'!ER:FT,26,FALSE)</f>
        <v>0</v>
      </c>
      <c r="AC12" s="127">
        <f>VLOOKUP(C12,'Talente &amp; Stuff'!ER:FT,27,FALSE)</f>
        <v>0</v>
      </c>
      <c r="AD12" s="125">
        <f>VLOOKUP(C12,'Talente &amp; Stuff'!ER:FT,28,FALSE)</f>
        <v>0</v>
      </c>
      <c r="AE12" s="28"/>
    </row>
    <row r="13" spans="1:31" ht="15" hidden="1" customHeight="1" outlineLevel="2">
      <c r="B13" s="148">
        <v>3</v>
      </c>
      <c r="C13" s="177" t="str">
        <f>Attribute!C13</f>
        <v>---</v>
      </c>
      <c r="D13" s="127" t="str">
        <f>VLOOKUP(C13,'Talente &amp; Stuff'!ER:FT,2,FALSE)</f>
        <v>--/--/--</v>
      </c>
      <c r="E13" s="125" t="str">
        <f>VLOOKUP(C13,'Talente &amp; Stuff'!ER:FT,3,FALSE)</f>
        <v>-</v>
      </c>
      <c r="F13" s="114">
        <f>VLOOKUP(C13,'Talente &amp; Stuff'!ER:FT,4,FALSE)</f>
        <v>0</v>
      </c>
      <c r="G13" s="113">
        <f>VLOOKUP(C13,'Talente &amp; Stuff'!ER:FT,5,FALSE)</f>
        <v>0</v>
      </c>
      <c r="H13" s="113">
        <f>VLOOKUP(C13,'Talente &amp; Stuff'!ER:FT,6,FALSE)</f>
        <v>0</v>
      </c>
      <c r="I13" s="113">
        <f>VLOOKUP(C13,'Talente &amp; Stuff'!ER:FT,7,FALSE)</f>
        <v>0</v>
      </c>
      <c r="J13" s="113">
        <f>VLOOKUP(C13,'Talente &amp; Stuff'!ER:FT,8,FALSE)</f>
        <v>0</v>
      </c>
      <c r="K13" s="113">
        <f>VLOOKUP(C13,'Talente &amp; Stuff'!ER:FT,9,FALSE)</f>
        <v>0</v>
      </c>
      <c r="L13" s="113">
        <f>VLOOKUP(C13,'Talente &amp; Stuff'!ER:FT,10,FALSE)</f>
        <v>0</v>
      </c>
      <c r="M13" s="119">
        <f>VLOOKUP(C13,'Talente &amp; Stuff'!ER:FT,11,FALSE)</f>
        <v>0</v>
      </c>
      <c r="N13" s="89">
        <f>VLOOKUP(C13,'Talente &amp; Stuff'!ER:FT,12,FALSE)</f>
        <v>0</v>
      </c>
      <c r="O13" s="47">
        <f>VLOOKUP(C13,'Talente &amp; Stuff'!ER:FT,13,FALSE)</f>
        <v>0</v>
      </c>
      <c r="P13" s="119">
        <f>VLOOKUP(C13,'Talente &amp; Stuff'!ER:FT,14,FALSE)</f>
        <v>0</v>
      </c>
      <c r="Q13" s="114">
        <f>VLOOKUP(C13,'Talente &amp; Stuff'!ER:FT,15,FALSE)</f>
        <v>0</v>
      </c>
      <c r="R13" s="113">
        <f>VLOOKUP(C13,'Talente &amp; Stuff'!ER:FT,16,FALSE)</f>
        <v>0</v>
      </c>
      <c r="S13" s="119">
        <f>VLOOKUP(C13,'Talente &amp; Stuff'!ER:FT,17,FALSE)</f>
        <v>0</v>
      </c>
      <c r="T13" s="160">
        <f>VLOOKUP(C13,'Talente &amp; Stuff'!ER:FT,18,FALSE)</f>
        <v>0</v>
      </c>
      <c r="U13" s="89">
        <f>VLOOKUP(C13,'Talente &amp; Stuff'!ER:FT,19,FALSE)</f>
        <v>0</v>
      </c>
      <c r="V13" s="47">
        <f>VLOOKUP(C13,'Talente &amp; Stuff'!ER:FT,20,FALSE)</f>
        <v>0</v>
      </c>
      <c r="W13" s="127">
        <f>VLOOKUP(C13,'Talente &amp; Stuff'!ER:FT,21,FALSE)</f>
        <v>0</v>
      </c>
      <c r="X13" s="125">
        <f>VLOOKUP(C13,'Talente &amp; Stuff'!ER:FT,22,FALSE)</f>
        <v>0</v>
      </c>
      <c r="Y13" s="165">
        <f t="shared" si="0"/>
        <v>0</v>
      </c>
      <c r="Z13" s="44">
        <f t="shared" si="1"/>
        <v>0</v>
      </c>
      <c r="AA13" s="125">
        <f>VLOOKUP(C13,'Talente &amp; Stuff'!ER:FT,25,FALSE)</f>
        <v>0</v>
      </c>
      <c r="AB13" s="160">
        <f>VLOOKUP(C13,'Talente &amp; Stuff'!ER:FT,26,FALSE)</f>
        <v>0</v>
      </c>
      <c r="AC13" s="127">
        <f>VLOOKUP(C13,'Talente &amp; Stuff'!ER:FT,27,FALSE)</f>
        <v>0</v>
      </c>
      <c r="AD13" s="125">
        <f>VLOOKUP(C13,'Talente &amp; Stuff'!ER:FT,28,FALSE)</f>
        <v>0</v>
      </c>
      <c r="AE13" s="28"/>
    </row>
    <row r="14" spans="1:31" ht="15" hidden="1" customHeight="1" outlineLevel="2">
      <c r="B14" s="148">
        <v>4</v>
      </c>
      <c r="C14" s="177" t="str">
        <f>Attribute!C14</f>
        <v>---</v>
      </c>
      <c r="D14" s="127" t="str">
        <f>VLOOKUP(C14,'Talente &amp; Stuff'!ER:FT,2,FALSE)</f>
        <v>--/--/--</v>
      </c>
      <c r="E14" s="125" t="str">
        <f>VLOOKUP(C14,'Talente &amp; Stuff'!ER:FT,3,FALSE)</f>
        <v>-</v>
      </c>
      <c r="F14" s="114">
        <f>VLOOKUP(C14,'Talente &amp; Stuff'!ER:FT,4,FALSE)</f>
        <v>0</v>
      </c>
      <c r="G14" s="113">
        <f>VLOOKUP(C14,'Talente &amp; Stuff'!ER:FT,5,FALSE)</f>
        <v>0</v>
      </c>
      <c r="H14" s="113">
        <f>VLOOKUP(C14,'Talente &amp; Stuff'!ER:FT,6,FALSE)</f>
        <v>0</v>
      </c>
      <c r="I14" s="113">
        <f>VLOOKUP(C14,'Talente &amp; Stuff'!ER:FT,7,FALSE)</f>
        <v>0</v>
      </c>
      <c r="J14" s="113">
        <f>VLOOKUP(C14,'Talente &amp; Stuff'!ER:FT,8,FALSE)</f>
        <v>0</v>
      </c>
      <c r="K14" s="113">
        <f>VLOOKUP(C14,'Talente &amp; Stuff'!ER:FT,9,FALSE)</f>
        <v>0</v>
      </c>
      <c r="L14" s="113">
        <f>VLOOKUP(C14,'Talente &amp; Stuff'!ER:FT,10,FALSE)</f>
        <v>0</v>
      </c>
      <c r="M14" s="119">
        <f>VLOOKUP(C14,'Talente &amp; Stuff'!ER:FT,11,FALSE)</f>
        <v>0</v>
      </c>
      <c r="N14" s="89">
        <f>VLOOKUP(C14,'Talente &amp; Stuff'!ER:FT,12,FALSE)</f>
        <v>0</v>
      </c>
      <c r="O14" s="47">
        <f>VLOOKUP(C14,'Talente &amp; Stuff'!ER:FT,13,FALSE)</f>
        <v>0</v>
      </c>
      <c r="P14" s="119">
        <f>VLOOKUP(C14,'Talente &amp; Stuff'!ER:FT,14,FALSE)</f>
        <v>0</v>
      </c>
      <c r="Q14" s="114">
        <f>VLOOKUP(C14,'Talente &amp; Stuff'!ER:FT,15,FALSE)</f>
        <v>0</v>
      </c>
      <c r="R14" s="113">
        <f>VLOOKUP(C14,'Talente &amp; Stuff'!ER:FT,16,FALSE)</f>
        <v>0</v>
      </c>
      <c r="S14" s="119">
        <f>VLOOKUP(C14,'Talente &amp; Stuff'!ER:FT,17,FALSE)</f>
        <v>0</v>
      </c>
      <c r="T14" s="160">
        <f>VLOOKUP(C14,'Talente &amp; Stuff'!ER:FT,18,FALSE)</f>
        <v>0</v>
      </c>
      <c r="U14" s="89">
        <f>VLOOKUP(C14,'Talente &amp; Stuff'!ER:FT,19,FALSE)</f>
        <v>0</v>
      </c>
      <c r="V14" s="47">
        <f>VLOOKUP(C14,'Talente &amp; Stuff'!ER:FT,20,FALSE)</f>
        <v>0</v>
      </c>
      <c r="W14" s="127">
        <f>VLOOKUP(C14,'Talente &amp; Stuff'!ER:FT,21,FALSE)</f>
        <v>0</v>
      </c>
      <c r="X14" s="125">
        <f>VLOOKUP(C14,'Talente &amp; Stuff'!ER:FT,22,FALSE)</f>
        <v>0</v>
      </c>
      <c r="Y14" s="165">
        <f t="shared" si="0"/>
        <v>0</v>
      </c>
      <c r="Z14" s="44">
        <f t="shared" si="1"/>
        <v>0</v>
      </c>
      <c r="AA14" s="125">
        <f>VLOOKUP(C14,'Talente &amp; Stuff'!ER:FT,25,FALSE)</f>
        <v>0</v>
      </c>
      <c r="AB14" s="160">
        <f>VLOOKUP(C14,'Talente &amp; Stuff'!ER:FT,26,FALSE)</f>
        <v>0</v>
      </c>
      <c r="AC14" s="127">
        <f>VLOOKUP(C14,'Talente &amp; Stuff'!ER:FT,27,FALSE)</f>
        <v>0</v>
      </c>
      <c r="AD14" s="125">
        <f>VLOOKUP(C14,'Talente &amp; Stuff'!ER:FT,28,FALSE)</f>
        <v>0</v>
      </c>
      <c r="AE14" s="28"/>
    </row>
    <row r="15" spans="1:31" ht="15" hidden="1" customHeight="1" outlineLevel="2">
      <c r="B15" s="148">
        <v>5</v>
      </c>
      <c r="C15" s="177" t="str">
        <f>Attribute!C15</f>
        <v>---</v>
      </c>
      <c r="D15" s="127" t="str">
        <f>VLOOKUP(C15,'Talente &amp; Stuff'!ER:FT,2,FALSE)</f>
        <v>--/--/--</v>
      </c>
      <c r="E15" s="125" t="str">
        <f>VLOOKUP(C15,'Talente &amp; Stuff'!ER:FT,3,FALSE)</f>
        <v>-</v>
      </c>
      <c r="F15" s="114">
        <f>VLOOKUP(C15,'Talente &amp; Stuff'!ER:FT,4,FALSE)</f>
        <v>0</v>
      </c>
      <c r="G15" s="113">
        <f>VLOOKUP(C15,'Talente &amp; Stuff'!ER:FT,5,FALSE)</f>
        <v>0</v>
      </c>
      <c r="H15" s="113">
        <f>VLOOKUP(C15,'Talente &amp; Stuff'!ER:FT,6,FALSE)</f>
        <v>0</v>
      </c>
      <c r="I15" s="113">
        <f>VLOOKUP(C15,'Talente &amp; Stuff'!ER:FT,7,FALSE)</f>
        <v>0</v>
      </c>
      <c r="J15" s="113">
        <f>VLOOKUP(C15,'Talente &amp; Stuff'!ER:FT,8,FALSE)</f>
        <v>0</v>
      </c>
      <c r="K15" s="113">
        <f>VLOOKUP(C15,'Talente &amp; Stuff'!ER:FT,9,FALSE)</f>
        <v>0</v>
      </c>
      <c r="L15" s="113">
        <f>VLOOKUP(C15,'Talente &amp; Stuff'!ER:FT,10,FALSE)</f>
        <v>0</v>
      </c>
      <c r="M15" s="119">
        <f>VLOOKUP(C15,'Talente &amp; Stuff'!ER:FT,11,FALSE)</f>
        <v>0</v>
      </c>
      <c r="N15" s="89">
        <f>VLOOKUP(C15,'Talente &amp; Stuff'!ER:FT,12,FALSE)</f>
        <v>0</v>
      </c>
      <c r="O15" s="47">
        <f>VLOOKUP(C15,'Talente &amp; Stuff'!ER:FT,13,FALSE)</f>
        <v>0</v>
      </c>
      <c r="P15" s="119">
        <f>VLOOKUP(C15,'Talente &amp; Stuff'!ER:FT,14,FALSE)</f>
        <v>0</v>
      </c>
      <c r="Q15" s="114">
        <f>VLOOKUP(C15,'Talente &amp; Stuff'!ER:FT,15,FALSE)</f>
        <v>0</v>
      </c>
      <c r="R15" s="113">
        <f>VLOOKUP(C15,'Talente &amp; Stuff'!ER:FT,16,FALSE)</f>
        <v>0</v>
      </c>
      <c r="S15" s="119">
        <f>VLOOKUP(C15,'Talente &amp; Stuff'!ER:FT,17,FALSE)</f>
        <v>0</v>
      </c>
      <c r="T15" s="160">
        <f>VLOOKUP(C15,'Talente &amp; Stuff'!ER:FT,18,FALSE)</f>
        <v>0</v>
      </c>
      <c r="U15" s="89">
        <f>VLOOKUP(C15,'Talente &amp; Stuff'!ER:FT,19,FALSE)</f>
        <v>0</v>
      </c>
      <c r="V15" s="47">
        <f>VLOOKUP(C15,'Talente &amp; Stuff'!ER:FT,20,FALSE)</f>
        <v>0</v>
      </c>
      <c r="W15" s="127">
        <f>VLOOKUP(C15,'Talente &amp; Stuff'!ER:FT,21,FALSE)</f>
        <v>0</v>
      </c>
      <c r="X15" s="125">
        <f>VLOOKUP(C15,'Talente &amp; Stuff'!ER:FT,22,FALSE)</f>
        <v>0</v>
      </c>
      <c r="Y15" s="165">
        <f t="shared" si="0"/>
        <v>0</v>
      </c>
      <c r="Z15" s="44">
        <f t="shared" si="1"/>
        <v>0</v>
      </c>
      <c r="AA15" s="125">
        <f>VLOOKUP(C15,'Talente &amp; Stuff'!ER:FT,25,FALSE)</f>
        <v>0</v>
      </c>
      <c r="AB15" s="160">
        <f>VLOOKUP(C15,'Talente &amp; Stuff'!ER:FT,26,FALSE)</f>
        <v>0</v>
      </c>
      <c r="AC15" s="127">
        <f>VLOOKUP(C15,'Talente &amp; Stuff'!ER:FT,27,FALSE)</f>
        <v>0</v>
      </c>
      <c r="AD15" s="125">
        <f>VLOOKUP(C15,'Talente &amp; Stuff'!ER:FT,28,FALSE)</f>
        <v>0</v>
      </c>
      <c r="AE15" s="28"/>
    </row>
    <row r="16" spans="1:31" ht="15" hidden="1" customHeight="1" outlineLevel="2">
      <c r="B16" s="148">
        <v>6</v>
      </c>
      <c r="C16" s="177" t="str">
        <f>Attribute!C16</f>
        <v>---</v>
      </c>
      <c r="D16" s="127" t="str">
        <f>VLOOKUP(C16,'Talente &amp; Stuff'!ER:FT,2,FALSE)</f>
        <v>--/--/--</v>
      </c>
      <c r="E16" s="125" t="str">
        <f>VLOOKUP(C16,'Talente &amp; Stuff'!ER:FT,3,FALSE)</f>
        <v>-</v>
      </c>
      <c r="F16" s="114">
        <f>VLOOKUP(C16,'Talente &amp; Stuff'!ER:FT,4,FALSE)</f>
        <v>0</v>
      </c>
      <c r="G16" s="113">
        <f>VLOOKUP(C16,'Talente &amp; Stuff'!ER:FT,5,FALSE)</f>
        <v>0</v>
      </c>
      <c r="H16" s="113">
        <f>VLOOKUP(C16,'Talente &amp; Stuff'!ER:FT,6,FALSE)</f>
        <v>0</v>
      </c>
      <c r="I16" s="113">
        <f>VLOOKUP(C16,'Talente &amp; Stuff'!ER:FT,7,FALSE)</f>
        <v>0</v>
      </c>
      <c r="J16" s="113">
        <f>VLOOKUP(C16,'Talente &amp; Stuff'!ER:FT,8,FALSE)</f>
        <v>0</v>
      </c>
      <c r="K16" s="113">
        <f>VLOOKUP(C16,'Talente &amp; Stuff'!ER:FT,9,FALSE)</f>
        <v>0</v>
      </c>
      <c r="L16" s="113">
        <f>VLOOKUP(C16,'Talente &amp; Stuff'!ER:FT,10,FALSE)</f>
        <v>0</v>
      </c>
      <c r="M16" s="119">
        <f>VLOOKUP(C16,'Talente &amp; Stuff'!ER:FT,11,FALSE)</f>
        <v>0</v>
      </c>
      <c r="N16" s="89">
        <f>VLOOKUP(C16,'Talente &amp; Stuff'!ER:FT,12,FALSE)</f>
        <v>0</v>
      </c>
      <c r="O16" s="47">
        <f>VLOOKUP(C16,'Talente &amp; Stuff'!ER:FT,13,FALSE)</f>
        <v>0</v>
      </c>
      <c r="P16" s="119">
        <f>VLOOKUP(C16,'Talente &amp; Stuff'!ER:FT,14,FALSE)</f>
        <v>0</v>
      </c>
      <c r="Q16" s="114">
        <f>VLOOKUP(C16,'Talente &amp; Stuff'!ER:FT,15,FALSE)</f>
        <v>0</v>
      </c>
      <c r="R16" s="113">
        <f>VLOOKUP(C16,'Talente &amp; Stuff'!ER:FT,16,FALSE)</f>
        <v>0</v>
      </c>
      <c r="S16" s="119">
        <f>VLOOKUP(C16,'Talente &amp; Stuff'!ER:FT,17,FALSE)</f>
        <v>0</v>
      </c>
      <c r="T16" s="160">
        <f>VLOOKUP(C16,'Talente &amp; Stuff'!ER:FT,18,FALSE)</f>
        <v>0</v>
      </c>
      <c r="U16" s="89">
        <f>VLOOKUP(C16,'Talente &amp; Stuff'!ER:FT,19,FALSE)</f>
        <v>0</v>
      </c>
      <c r="V16" s="47">
        <f>VLOOKUP(C16,'Talente &amp; Stuff'!ER:FT,20,FALSE)</f>
        <v>0</v>
      </c>
      <c r="W16" s="127">
        <f>VLOOKUP(C16,'Talente &amp; Stuff'!ER:FT,21,FALSE)</f>
        <v>0</v>
      </c>
      <c r="X16" s="125">
        <f>VLOOKUP(C16,'Talente &amp; Stuff'!ER:FT,22,FALSE)</f>
        <v>0</v>
      </c>
      <c r="Y16" s="165">
        <f t="shared" si="0"/>
        <v>0</v>
      </c>
      <c r="Z16" s="44">
        <f t="shared" si="1"/>
        <v>0</v>
      </c>
      <c r="AA16" s="125">
        <f>VLOOKUP(C16,'Talente &amp; Stuff'!ER:FT,25,FALSE)</f>
        <v>0</v>
      </c>
      <c r="AB16" s="160">
        <f>VLOOKUP(C16,'Talente &amp; Stuff'!ER:FT,26,FALSE)</f>
        <v>0</v>
      </c>
      <c r="AC16" s="127">
        <f>VLOOKUP(C16,'Talente &amp; Stuff'!ER:FT,27,FALSE)</f>
        <v>0</v>
      </c>
      <c r="AD16" s="125">
        <f>VLOOKUP(C16,'Talente &amp; Stuff'!ER:FT,28,FALSE)</f>
        <v>0</v>
      </c>
      <c r="AE16" s="28"/>
    </row>
    <row r="17" spans="2:31" ht="15" hidden="1" customHeight="1" outlineLevel="2">
      <c r="B17" s="148">
        <v>7</v>
      </c>
      <c r="C17" s="177" t="str">
        <f>Attribute!C17</f>
        <v>---</v>
      </c>
      <c r="D17" s="127" t="str">
        <f>VLOOKUP(C17,'Talente &amp; Stuff'!ER:FT,2,FALSE)</f>
        <v>--/--/--</v>
      </c>
      <c r="E17" s="125" t="str">
        <f>VLOOKUP(C17,'Talente &amp; Stuff'!ER:FT,3,FALSE)</f>
        <v>-</v>
      </c>
      <c r="F17" s="114">
        <f>VLOOKUP(C17,'Talente &amp; Stuff'!ER:FT,4,FALSE)</f>
        <v>0</v>
      </c>
      <c r="G17" s="113">
        <f>VLOOKUP(C17,'Talente &amp; Stuff'!ER:FT,5,FALSE)</f>
        <v>0</v>
      </c>
      <c r="H17" s="113">
        <f>VLOOKUP(C17,'Talente &amp; Stuff'!ER:FT,6,FALSE)</f>
        <v>0</v>
      </c>
      <c r="I17" s="113">
        <f>VLOOKUP(C17,'Talente &amp; Stuff'!ER:FT,7,FALSE)</f>
        <v>0</v>
      </c>
      <c r="J17" s="113">
        <f>VLOOKUP(C17,'Talente &amp; Stuff'!ER:FT,8,FALSE)</f>
        <v>0</v>
      </c>
      <c r="K17" s="113">
        <f>VLOOKUP(C17,'Talente &amp; Stuff'!ER:FT,9,FALSE)</f>
        <v>0</v>
      </c>
      <c r="L17" s="113">
        <f>VLOOKUP(C17,'Talente &amp; Stuff'!ER:FT,10,FALSE)</f>
        <v>0</v>
      </c>
      <c r="M17" s="119">
        <f>VLOOKUP(C17,'Talente &amp; Stuff'!ER:FT,11,FALSE)</f>
        <v>0</v>
      </c>
      <c r="N17" s="89">
        <f>VLOOKUP(C17,'Talente &amp; Stuff'!ER:FT,12,FALSE)</f>
        <v>0</v>
      </c>
      <c r="O17" s="47">
        <f>VLOOKUP(C17,'Talente &amp; Stuff'!ER:FT,13,FALSE)</f>
        <v>0</v>
      </c>
      <c r="P17" s="119">
        <f>VLOOKUP(C17,'Talente &amp; Stuff'!ER:FT,14,FALSE)</f>
        <v>0</v>
      </c>
      <c r="Q17" s="114">
        <f>VLOOKUP(C17,'Talente &amp; Stuff'!ER:FT,15,FALSE)</f>
        <v>0</v>
      </c>
      <c r="R17" s="113">
        <f>VLOOKUP(C17,'Talente &amp; Stuff'!ER:FT,16,FALSE)</f>
        <v>0</v>
      </c>
      <c r="S17" s="119">
        <f>VLOOKUP(C17,'Talente &amp; Stuff'!ER:FT,17,FALSE)</f>
        <v>0</v>
      </c>
      <c r="T17" s="160">
        <f>VLOOKUP(C17,'Talente &amp; Stuff'!ER:FT,18,FALSE)</f>
        <v>0</v>
      </c>
      <c r="U17" s="89">
        <f>VLOOKUP(C17,'Talente &amp; Stuff'!ER:FT,19,FALSE)</f>
        <v>0</v>
      </c>
      <c r="V17" s="47">
        <f>VLOOKUP(C17,'Talente &amp; Stuff'!ER:FT,20,FALSE)</f>
        <v>0</v>
      </c>
      <c r="W17" s="127">
        <f>VLOOKUP(C17,'Talente &amp; Stuff'!ER:FT,21,FALSE)</f>
        <v>0</v>
      </c>
      <c r="X17" s="125">
        <f>VLOOKUP(C17,'Talente &amp; Stuff'!ER:FT,22,FALSE)</f>
        <v>0</v>
      </c>
      <c r="Y17" s="165">
        <f t="shared" si="0"/>
        <v>0</v>
      </c>
      <c r="Z17" s="44">
        <f t="shared" si="1"/>
        <v>0</v>
      </c>
      <c r="AA17" s="125">
        <f>VLOOKUP(C17,'Talente &amp; Stuff'!ER:FT,25,FALSE)</f>
        <v>0</v>
      </c>
      <c r="AB17" s="160">
        <f>VLOOKUP(C17,'Talente &amp; Stuff'!ER:FT,26,FALSE)</f>
        <v>0</v>
      </c>
      <c r="AC17" s="127">
        <f>VLOOKUP(C17,'Talente &amp; Stuff'!ER:FT,27,FALSE)</f>
        <v>0</v>
      </c>
      <c r="AD17" s="125">
        <f>VLOOKUP(C17,'Talente &amp; Stuff'!ER:FT,28,FALSE)</f>
        <v>0</v>
      </c>
      <c r="AE17" s="28"/>
    </row>
    <row r="18" spans="2:31" ht="15" hidden="1" customHeight="1" outlineLevel="2">
      <c r="B18" s="148">
        <v>8</v>
      </c>
      <c r="C18" s="177" t="str">
        <f>Attribute!C18</f>
        <v>---</v>
      </c>
      <c r="D18" s="127" t="str">
        <f>VLOOKUP(C18,'Talente &amp; Stuff'!ER:FT,2,FALSE)</f>
        <v>--/--/--</v>
      </c>
      <c r="E18" s="125" t="str">
        <f>VLOOKUP(C18,'Talente &amp; Stuff'!ER:FT,3,FALSE)</f>
        <v>-</v>
      </c>
      <c r="F18" s="114">
        <f>VLOOKUP(C18,'Talente &amp; Stuff'!ER:FT,4,FALSE)</f>
        <v>0</v>
      </c>
      <c r="G18" s="113">
        <f>VLOOKUP(C18,'Talente &amp; Stuff'!ER:FT,5,FALSE)</f>
        <v>0</v>
      </c>
      <c r="H18" s="113">
        <f>VLOOKUP(C18,'Talente &amp; Stuff'!ER:FT,6,FALSE)</f>
        <v>0</v>
      </c>
      <c r="I18" s="113">
        <f>VLOOKUP(C18,'Talente &amp; Stuff'!ER:FT,7,FALSE)</f>
        <v>0</v>
      </c>
      <c r="J18" s="113">
        <f>VLOOKUP(C18,'Talente &amp; Stuff'!ER:FT,8,FALSE)</f>
        <v>0</v>
      </c>
      <c r="K18" s="113">
        <f>VLOOKUP(C18,'Talente &amp; Stuff'!ER:FT,9,FALSE)</f>
        <v>0</v>
      </c>
      <c r="L18" s="113">
        <f>VLOOKUP(C18,'Talente &amp; Stuff'!ER:FT,10,FALSE)</f>
        <v>0</v>
      </c>
      <c r="M18" s="119">
        <f>VLOOKUP(C18,'Talente &amp; Stuff'!ER:FT,11,FALSE)</f>
        <v>0</v>
      </c>
      <c r="N18" s="89">
        <f>VLOOKUP(C18,'Talente &amp; Stuff'!ER:FT,12,FALSE)</f>
        <v>0</v>
      </c>
      <c r="O18" s="47">
        <f>VLOOKUP(C18,'Talente &amp; Stuff'!ER:FT,13,FALSE)</f>
        <v>0</v>
      </c>
      <c r="P18" s="119">
        <f>VLOOKUP(C18,'Talente &amp; Stuff'!ER:FT,14,FALSE)</f>
        <v>0</v>
      </c>
      <c r="Q18" s="114">
        <f>VLOOKUP(C18,'Talente &amp; Stuff'!ER:FT,15,FALSE)</f>
        <v>0</v>
      </c>
      <c r="R18" s="113">
        <f>VLOOKUP(C18,'Talente &amp; Stuff'!ER:FT,16,FALSE)</f>
        <v>0</v>
      </c>
      <c r="S18" s="119">
        <f>VLOOKUP(C18,'Talente &amp; Stuff'!ER:FT,17,FALSE)</f>
        <v>0</v>
      </c>
      <c r="T18" s="160">
        <f>VLOOKUP(C18,'Talente &amp; Stuff'!ER:FT,18,FALSE)</f>
        <v>0</v>
      </c>
      <c r="U18" s="89">
        <f>VLOOKUP(C18,'Talente &amp; Stuff'!ER:FT,19,FALSE)</f>
        <v>0</v>
      </c>
      <c r="V18" s="47">
        <f>VLOOKUP(C18,'Talente &amp; Stuff'!ER:FT,20,FALSE)</f>
        <v>0</v>
      </c>
      <c r="W18" s="127">
        <f>VLOOKUP(C18,'Talente &amp; Stuff'!ER:FT,21,FALSE)</f>
        <v>0</v>
      </c>
      <c r="X18" s="125">
        <f>VLOOKUP(C18,'Talente &amp; Stuff'!ER:FT,22,FALSE)</f>
        <v>0</v>
      </c>
      <c r="Y18" s="165">
        <f t="shared" si="0"/>
        <v>0</v>
      </c>
      <c r="Z18" s="44">
        <f t="shared" si="1"/>
        <v>0</v>
      </c>
      <c r="AA18" s="125">
        <f>VLOOKUP(C18,'Talente &amp; Stuff'!ER:FT,25,FALSE)</f>
        <v>0</v>
      </c>
      <c r="AB18" s="160">
        <f>VLOOKUP(C18,'Talente &amp; Stuff'!ER:FT,26,FALSE)</f>
        <v>0</v>
      </c>
      <c r="AC18" s="127">
        <f>VLOOKUP(C18,'Talente &amp; Stuff'!ER:FT,27,FALSE)</f>
        <v>0</v>
      </c>
      <c r="AD18" s="125">
        <f>VLOOKUP(C18,'Talente &amp; Stuff'!ER:FT,28,FALSE)</f>
        <v>0</v>
      </c>
      <c r="AE18" s="28"/>
    </row>
    <row r="19" spans="2:31" ht="15" hidden="1" customHeight="1" outlineLevel="2">
      <c r="B19" s="148">
        <v>9</v>
      </c>
      <c r="C19" s="177" t="str">
        <f>Attribute!C19</f>
        <v>---</v>
      </c>
      <c r="D19" s="127" t="str">
        <f>VLOOKUP(C19,'Talente &amp; Stuff'!ER:FT,2,FALSE)</f>
        <v>--/--/--</v>
      </c>
      <c r="E19" s="125" t="str">
        <f>VLOOKUP(C19,'Talente &amp; Stuff'!ER:FT,3,FALSE)</f>
        <v>-</v>
      </c>
      <c r="F19" s="114">
        <f>VLOOKUP(C19,'Talente &amp; Stuff'!ER:FT,4,FALSE)</f>
        <v>0</v>
      </c>
      <c r="G19" s="113">
        <f>VLOOKUP(C19,'Talente &amp; Stuff'!ER:FT,5,FALSE)</f>
        <v>0</v>
      </c>
      <c r="H19" s="113">
        <f>VLOOKUP(C19,'Talente &amp; Stuff'!ER:FT,6,FALSE)</f>
        <v>0</v>
      </c>
      <c r="I19" s="113">
        <f>VLOOKUP(C19,'Talente &amp; Stuff'!ER:FT,7,FALSE)</f>
        <v>0</v>
      </c>
      <c r="J19" s="113">
        <f>VLOOKUP(C19,'Talente &amp; Stuff'!ER:FT,8,FALSE)</f>
        <v>0</v>
      </c>
      <c r="K19" s="113">
        <f>VLOOKUP(C19,'Talente &amp; Stuff'!ER:FT,9,FALSE)</f>
        <v>0</v>
      </c>
      <c r="L19" s="113">
        <f>VLOOKUP(C19,'Talente &amp; Stuff'!ER:FT,10,FALSE)</f>
        <v>0</v>
      </c>
      <c r="M19" s="119">
        <f>VLOOKUP(C19,'Talente &amp; Stuff'!ER:FT,11,FALSE)</f>
        <v>0</v>
      </c>
      <c r="N19" s="89">
        <f>VLOOKUP(C19,'Talente &amp; Stuff'!ER:FT,12,FALSE)</f>
        <v>0</v>
      </c>
      <c r="O19" s="47">
        <f>VLOOKUP(C19,'Talente &amp; Stuff'!ER:FT,13,FALSE)</f>
        <v>0</v>
      </c>
      <c r="P19" s="119">
        <f>VLOOKUP(C19,'Talente &amp; Stuff'!ER:FT,14,FALSE)</f>
        <v>0</v>
      </c>
      <c r="Q19" s="114">
        <f>VLOOKUP(C19,'Talente &amp; Stuff'!ER:FT,15,FALSE)</f>
        <v>0</v>
      </c>
      <c r="R19" s="113">
        <f>VLOOKUP(C19,'Talente &amp; Stuff'!ER:FT,16,FALSE)</f>
        <v>0</v>
      </c>
      <c r="S19" s="119">
        <f>VLOOKUP(C19,'Talente &amp; Stuff'!ER:FT,17,FALSE)</f>
        <v>0</v>
      </c>
      <c r="T19" s="160">
        <f>VLOOKUP(C19,'Talente &amp; Stuff'!ER:FT,18,FALSE)</f>
        <v>0</v>
      </c>
      <c r="U19" s="89">
        <f>VLOOKUP(C19,'Talente &amp; Stuff'!ER:FT,19,FALSE)</f>
        <v>0</v>
      </c>
      <c r="V19" s="47">
        <f>VLOOKUP(C19,'Talente &amp; Stuff'!ER:FT,20,FALSE)</f>
        <v>0</v>
      </c>
      <c r="W19" s="127">
        <f>VLOOKUP(C19,'Talente &amp; Stuff'!ER:FT,21,FALSE)</f>
        <v>0</v>
      </c>
      <c r="X19" s="125">
        <f>VLOOKUP(C19,'Talente &amp; Stuff'!ER:FT,22,FALSE)</f>
        <v>0</v>
      </c>
      <c r="Y19" s="165">
        <f t="shared" si="0"/>
        <v>0</v>
      </c>
      <c r="Z19" s="44">
        <f t="shared" si="1"/>
        <v>0</v>
      </c>
      <c r="AA19" s="125">
        <f>VLOOKUP(C19,'Talente &amp; Stuff'!ER:FT,25,FALSE)</f>
        <v>0</v>
      </c>
      <c r="AB19" s="160">
        <f>VLOOKUP(C19,'Talente &amp; Stuff'!ER:FT,26,FALSE)</f>
        <v>0</v>
      </c>
      <c r="AC19" s="127">
        <f>VLOOKUP(C19,'Talente &amp; Stuff'!ER:FT,27,FALSE)</f>
        <v>0</v>
      </c>
      <c r="AD19" s="125">
        <f>VLOOKUP(C19,'Talente &amp; Stuff'!ER:FT,28,FALSE)</f>
        <v>0</v>
      </c>
      <c r="AE19" s="28"/>
    </row>
    <row r="20" spans="2:31" ht="15" hidden="1" customHeight="1" outlineLevel="2">
      <c r="B20" s="148">
        <v>10</v>
      </c>
      <c r="C20" s="177" t="str">
        <f>Attribute!C20</f>
        <v>---</v>
      </c>
      <c r="D20" s="127" t="str">
        <f>VLOOKUP(C20,'Talente &amp; Stuff'!ER:FT,2,FALSE)</f>
        <v>--/--/--</v>
      </c>
      <c r="E20" s="125" t="str">
        <f>VLOOKUP(C20,'Talente &amp; Stuff'!ER:FT,3,FALSE)</f>
        <v>-</v>
      </c>
      <c r="F20" s="114">
        <f>VLOOKUP(C20,'Talente &amp; Stuff'!ER:FT,4,FALSE)</f>
        <v>0</v>
      </c>
      <c r="G20" s="113">
        <f>VLOOKUP(C20,'Talente &amp; Stuff'!ER:FT,5,FALSE)</f>
        <v>0</v>
      </c>
      <c r="H20" s="113">
        <f>VLOOKUP(C20,'Talente &amp; Stuff'!ER:FT,6,FALSE)</f>
        <v>0</v>
      </c>
      <c r="I20" s="113">
        <f>VLOOKUP(C20,'Talente &amp; Stuff'!ER:FT,7,FALSE)</f>
        <v>0</v>
      </c>
      <c r="J20" s="113">
        <f>VLOOKUP(C20,'Talente &amp; Stuff'!ER:FT,8,FALSE)</f>
        <v>0</v>
      </c>
      <c r="K20" s="113">
        <f>VLOOKUP(C20,'Talente &amp; Stuff'!ER:FT,9,FALSE)</f>
        <v>0</v>
      </c>
      <c r="L20" s="113">
        <f>VLOOKUP(C20,'Talente &amp; Stuff'!ER:FT,10,FALSE)</f>
        <v>0</v>
      </c>
      <c r="M20" s="119">
        <f>VLOOKUP(C20,'Talente &amp; Stuff'!ER:FT,11,FALSE)</f>
        <v>0</v>
      </c>
      <c r="N20" s="89">
        <f>VLOOKUP(C20,'Talente &amp; Stuff'!ER:FT,12,FALSE)</f>
        <v>0</v>
      </c>
      <c r="O20" s="47">
        <f>VLOOKUP(C20,'Talente &amp; Stuff'!ER:FT,13,FALSE)</f>
        <v>0</v>
      </c>
      <c r="P20" s="119">
        <f>VLOOKUP(C20,'Talente &amp; Stuff'!ER:FT,14,FALSE)</f>
        <v>0</v>
      </c>
      <c r="Q20" s="114">
        <f>VLOOKUP(C20,'Talente &amp; Stuff'!ER:FT,15,FALSE)</f>
        <v>0</v>
      </c>
      <c r="R20" s="113">
        <f>VLOOKUP(C20,'Talente &amp; Stuff'!ER:FT,16,FALSE)</f>
        <v>0</v>
      </c>
      <c r="S20" s="119">
        <f>VLOOKUP(C20,'Talente &amp; Stuff'!ER:FT,17,FALSE)</f>
        <v>0</v>
      </c>
      <c r="T20" s="160">
        <f>VLOOKUP(C20,'Talente &amp; Stuff'!ER:FT,18,FALSE)</f>
        <v>0</v>
      </c>
      <c r="U20" s="89">
        <f>VLOOKUP(C20,'Talente &amp; Stuff'!ER:FT,19,FALSE)</f>
        <v>0</v>
      </c>
      <c r="V20" s="47">
        <f>VLOOKUP(C20,'Talente &amp; Stuff'!ER:FT,20,FALSE)</f>
        <v>0</v>
      </c>
      <c r="W20" s="127">
        <f>VLOOKUP(C20,'Talente &amp; Stuff'!ER:FT,21,FALSE)</f>
        <v>0</v>
      </c>
      <c r="X20" s="125">
        <f>VLOOKUP(C20,'Talente &amp; Stuff'!ER:FT,22,FALSE)</f>
        <v>0</v>
      </c>
      <c r="Y20" s="165">
        <f t="shared" si="0"/>
        <v>0</v>
      </c>
      <c r="Z20" s="44">
        <f t="shared" si="1"/>
        <v>0</v>
      </c>
      <c r="AA20" s="125">
        <f>VLOOKUP(C20,'Talente &amp; Stuff'!ER:FT,25,FALSE)</f>
        <v>0</v>
      </c>
      <c r="AB20" s="160">
        <f>VLOOKUP(C20,'Talente &amp; Stuff'!ER:FT,26,FALSE)</f>
        <v>0</v>
      </c>
      <c r="AC20" s="127">
        <f>VLOOKUP(C20,'Talente &amp; Stuff'!ER:FT,27,FALSE)</f>
        <v>0</v>
      </c>
      <c r="AD20" s="125">
        <f>VLOOKUP(C20,'Talente &amp; Stuff'!ER:FT,28,FALSE)</f>
        <v>0</v>
      </c>
      <c r="AE20" s="28"/>
    </row>
    <row r="21" spans="2:31" ht="15" hidden="1" customHeight="1" outlineLevel="2">
      <c r="B21" s="148">
        <v>11</v>
      </c>
      <c r="C21" s="177" t="str">
        <f>Attribute!C21</f>
        <v>---</v>
      </c>
      <c r="D21" s="127" t="str">
        <f>VLOOKUP(C21,'Talente &amp; Stuff'!ER:FT,2,FALSE)</f>
        <v>--/--/--</v>
      </c>
      <c r="E21" s="125" t="str">
        <f>VLOOKUP(C21,'Talente &amp; Stuff'!ER:FT,3,FALSE)</f>
        <v>-</v>
      </c>
      <c r="F21" s="114">
        <f>VLOOKUP(C21,'Talente &amp; Stuff'!ER:FT,4,FALSE)</f>
        <v>0</v>
      </c>
      <c r="G21" s="113">
        <f>VLOOKUP(C21,'Talente &amp; Stuff'!ER:FT,5,FALSE)</f>
        <v>0</v>
      </c>
      <c r="H21" s="113">
        <f>VLOOKUP(C21,'Talente &amp; Stuff'!ER:FT,6,FALSE)</f>
        <v>0</v>
      </c>
      <c r="I21" s="113">
        <f>VLOOKUP(C21,'Talente &amp; Stuff'!ER:FT,7,FALSE)</f>
        <v>0</v>
      </c>
      <c r="J21" s="113">
        <f>VLOOKUP(C21,'Talente &amp; Stuff'!ER:FT,8,FALSE)</f>
        <v>0</v>
      </c>
      <c r="K21" s="113">
        <f>VLOOKUP(C21,'Talente &amp; Stuff'!ER:FT,9,FALSE)</f>
        <v>0</v>
      </c>
      <c r="L21" s="113">
        <f>VLOOKUP(C21,'Talente &amp; Stuff'!ER:FT,10,FALSE)</f>
        <v>0</v>
      </c>
      <c r="M21" s="119">
        <f>VLOOKUP(C21,'Talente &amp; Stuff'!ER:FT,11,FALSE)</f>
        <v>0</v>
      </c>
      <c r="N21" s="89">
        <f>VLOOKUP(C21,'Talente &amp; Stuff'!ER:FT,12,FALSE)</f>
        <v>0</v>
      </c>
      <c r="O21" s="47">
        <f>VLOOKUP(C21,'Talente &amp; Stuff'!ER:FT,13,FALSE)</f>
        <v>0</v>
      </c>
      <c r="P21" s="119">
        <f>VLOOKUP(C21,'Talente &amp; Stuff'!ER:FT,14,FALSE)</f>
        <v>0</v>
      </c>
      <c r="Q21" s="114">
        <f>VLOOKUP(C21,'Talente &amp; Stuff'!ER:FT,15,FALSE)</f>
        <v>0</v>
      </c>
      <c r="R21" s="113">
        <f>VLOOKUP(C21,'Talente &amp; Stuff'!ER:FT,16,FALSE)</f>
        <v>0</v>
      </c>
      <c r="S21" s="119">
        <f>VLOOKUP(C21,'Talente &amp; Stuff'!ER:FT,17,FALSE)</f>
        <v>0</v>
      </c>
      <c r="T21" s="160">
        <f>VLOOKUP(C21,'Talente &amp; Stuff'!ER:FT,18,FALSE)</f>
        <v>0</v>
      </c>
      <c r="U21" s="89">
        <f>VLOOKUP(C21,'Talente &amp; Stuff'!ER:FT,19,FALSE)</f>
        <v>0</v>
      </c>
      <c r="V21" s="47">
        <f>VLOOKUP(C21,'Talente &amp; Stuff'!ER:FT,20,FALSE)</f>
        <v>0</v>
      </c>
      <c r="W21" s="127">
        <f>VLOOKUP(C21,'Talente &amp; Stuff'!ER:FT,21,FALSE)</f>
        <v>0</v>
      </c>
      <c r="X21" s="125">
        <f>VLOOKUP(C21,'Talente &amp; Stuff'!ER:FT,22,FALSE)</f>
        <v>0</v>
      </c>
      <c r="Y21" s="165">
        <f t="shared" si="0"/>
        <v>0</v>
      </c>
      <c r="Z21" s="44">
        <f t="shared" si="1"/>
        <v>0</v>
      </c>
      <c r="AA21" s="125">
        <f>VLOOKUP(C21,'Talente &amp; Stuff'!ER:FT,25,FALSE)</f>
        <v>0</v>
      </c>
      <c r="AB21" s="160">
        <f>VLOOKUP(C21,'Talente &amp; Stuff'!ER:FT,26,FALSE)</f>
        <v>0</v>
      </c>
      <c r="AC21" s="127">
        <f>VLOOKUP(C21,'Talente &amp; Stuff'!ER:FT,27,FALSE)</f>
        <v>0</v>
      </c>
      <c r="AD21" s="125">
        <f>VLOOKUP(C21,'Talente &amp; Stuff'!ER:FT,28,FALSE)</f>
        <v>0</v>
      </c>
      <c r="AE21" s="28"/>
    </row>
    <row r="22" spans="2:31" ht="15" hidden="1" customHeight="1" outlineLevel="2">
      <c r="B22" s="148">
        <v>12</v>
      </c>
      <c r="C22" s="177" t="str">
        <f>Attribute!C22</f>
        <v>---</v>
      </c>
      <c r="D22" s="127" t="str">
        <f>VLOOKUP(C22,'Talente &amp; Stuff'!ER:FT,2,FALSE)</f>
        <v>--/--/--</v>
      </c>
      <c r="E22" s="125" t="str">
        <f>VLOOKUP(C22,'Talente &amp; Stuff'!ER:FT,3,FALSE)</f>
        <v>-</v>
      </c>
      <c r="F22" s="114">
        <f>VLOOKUP(C22,'Talente &amp; Stuff'!ER:FT,4,FALSE)</f>
        <v>0</v>
      </c>
      <c r="G22" s="113">
        <f>VLOOKUP(C22,'Talente &amp; Stuff'!ER:FT,5,FALSE)</f>
        <v>0</v>
      </c>
      <c r="H22" s="113">
        <f>VLOOKUP(C22,'Talente &amp; Stuff'!ER:FT,6,FALSE)</f>
        <v>0</v>
      </c>
      <c r="I22" s="113">
        <f>VLOOKUP(C22,'Talente &amp; Stuff'!ER:FT,7,FALSE)</f>
        <v>0</v>
      </c>
      <c r="J22" s="113">
        <f>VLOOKUP(C22,'Talente &amp; Stuff'!ER:FT,8,FALSE)</f>
        <v>0</v>
      </c>
      <c r="K22" s="113">
        <f>VLOOKUP(C22,'Talente &amp; Stuff'!ER:FT,9,FALSE)</f>
        <v>0</v>
      </c>
      <c r="L22" s="113">
        <f>VLOOKUP(C22,'Talente &amp; Stuff'!ER:FT,10,FALSE)</f>
        <v>0</v>
      </c>
      <c r="M22" s="119">
        <f>VLOOKUP(C22,'Talente &amp; Stuff'!ER:FT,11,FALSE)</f>
        <v>0</v>
      </c>
      <c r="N22" s="89">
        <f>VLOOKUP(C22,'Talente &amp; Stuff'!ER:FT,12,FALSE)</f>
        <v>0</v>
      </c>
      <c r="O22" s="47">
        <f>VLOOKUP(C22,'Talente &amp; Stuff'!ER:FT,13,FALSE)</f>
        <v>0</v>
      </c>
      <c r="P22" s="119">
        <f>VLOOKUP(C22,'Talente &amp; Stuff'!ER:FT,14,FALSE)</f>
        <v>0</v>
      </c>
      <c r="Q22" s="114">
        <f>VLOOKUP(C22,'Talente &amp; Stuff'!ER:FT,15,FALSE)</f>
        <v>0</v>
      </c>
      <c r="R22" s="113">
        <f>VLOOKUP(C22,'Talente &amp; Stuff'!ER:FT,16,FALSE)</f>
        <v>0</v>
      </c>
      <c r="S22" s="119">
        <f>VLOOKUP(C22,'Talente &amp; Stuff'!ER:FT,17,FALSE)</f>
        <v>0</v>
      </c>
      <c r="T22" s="160">
        <f>VLOOKUP(C22,'Talente &amp; Stuff'!ER:FT,18,FALSE)</f>
        <v>0</v>
      </c>
      <c r="U22" s="89">
        <f>VLOOKUP(C22,'Talente &amp; Stuff'!ER:FT,19,FALSE)</f>
        <v>0</v>
      </c>
      <c r="V22" s="47">
        <f>VLOOKUP(C22,'Talente &amp; Stuff'!ER:FT,20,FALSE)</f>
        <v>0</v>
      </c>
      <c r="W22" s="127">
        <f>VLOOKUP(C22,'Talente &amp; Stuff'!ER:FT,21,FALSE)</f>
        <v>0</v>
      </c>
      <c r="X22" s="125">
        <f>VLOOKUP(C22,'Talente &amp; Stuff'!ER:FT,22,FALSE)</f>
        <v>0</v>
      </c>
      <c r="Y22" s="165">
        <f t="shared" si="0"/>
        <v>0</v>
      </c>
      <c r="Z22" s="44">
        <f t="shared" si="1"/>
        <v>0</v>
      </c>
      <c r="AA22" s="125">
        <f>VLOOKUP(C22,'Talente &amp; Stuff'!ER:FT,25,FALSE)</f>
        <v>0</v>
      </c>
      <c r="AB22" s="160">
        <f>VLOOKUP(C22,'Talente &amp; Stuff'!ER:FT,26,FALSE)</f>
        <v>0</v>
      </c>
      <c r="AC22" s="127">
        <f>VLOOKUP(C22,'Talente &amp; Stuff'!ER:FT,27,FALSE)</f>
        <v>0</v>
      </c>
      <c r="AD22" s="125">
        <f>VLOOKUP(C22,'Talente &amp; Stuff'!ER:FT,28,FALSE)</f>
        <v>0</v>
      </c>
      <c r="AE22" s="28"/>
    </row>
    <row r="23" spans="2:31" ht="15" hidden="1" customHeight="1" outlineLevel="2">
      <c r="B23" s="148">
        <v>13</v>
      </c>
      <c r="C23" s="177" t="str">
        <f>Attribute!C23</f>
        <v>---</v>
      </c>
      <c r="D23" s="127" t="str">
        <f>VLOOKUP(C23,'Talente &amp; Stuff'!ER:FT,2,FALSE)</f>
        <v>--/--/--</v>
      </c>
      <c r="E23" s="125" t="str">
        <f>VLOOKUP(C23,'Talente &amp; Stuff'!ER:FT,3,FALSE)</f>
        <v>-</v>
      </c>
      <c r="F23" s="114">
        <f>VLOOKUP(C23,'Talente &amp; Stuff'!ER:FT,4,FALSE)</f>
        <v>0</v>
      </c>
      <c r="G23" s="113">
        <f>VLOOKUP(C23,'Talente &amp; Stuff'!ER:FT,5,FALSE)</f>
        <v>0</v>
      </c>
      <c r="H23" s="113">
        <f>VLOOKUP(C23,'Talente &amp; Stuff'!ER:FT,6,FALSE)</f>
        <v>0</v>
      </c>
      <c r="I23" s="113">
        <f>VLOOKUP(C23,'Talente &amp; Stuff'!ER:FT,7,FALSE)</f>
        <v>0</v>
      </c>
      <c r="J23" s="113">
        <f>VLOOKUP(C23,'Talente &amp; Stuff'!ER:FT,8,FALSE)</f>
        <v>0</v>
      </c>
      <c r="K23" s="113">
        <f>VLOOKUP(C23,'Talente &amp; Stuff'!ER:FT,9,FALSE)</f>
        <v>0</v>
      </c>
      <c r="L23" s="113">
        <f>VLOOKUP(C23,'Talente &amp; Stuff'!ER:FT,10,FALSE)</f>
        <v>0</v>
      </c>
      <c r="M23" s="119">
        <f>VLOOKUP(C23,'Talente &amp; Stuff'!ER:FT,11,FALSE)</f>
        <v>0</v>
      </c>
      <c r="N23" s="89">
        <f>VLOOKUP(C23,'Talente &amp; Stuff'!ER:FT,12,FALSE)</f>
        <v>0</v>
      </c>
      <c r="O23" s="47">
        <f>VLOOKUP(C23,'Talente &amp; Stuff'!ER:FT,13,FALSE)</f>
        <v>0</v>
      </c>
      <c r="P23" s="119">
        <f>VLOOKUP(C23,'Talente &amp; Stuff'!ER:FT,14,FALSE)</f>
        <v>0</v>
      </c>
      <c r="Q23" s="114">
        <f>VLOOKUP(C23,'Talente &amp; Stuff'!ER:FT,15,FALSE)</f>
        <v>0</v>
      </c>
      <c r="R23" s="113">
        <f>VLOOKUP(C23,'Talente &amp; Stuff'!ER:FT,16,FALSE)</f>
        <v>0</v>
      </c>
      <c r="S23" s="119">
        <f>VLOOKUP(C23,'Talente &amp; Stuff'!ER:FT,17,FALSE)</f>
        <v>0</v>
      </c>
      <c r="T23" s="160">
        <f>VLOOKUP(C23,'Talente &amp; Stuff'!ER:FT,18,FALSE)</f>
        <v>0</v>
      </c>
      <c r="U23" s="89">
        <f>VLOOKUP(C23,'Talente &amp; Stuff'!ER:FT,19,FALSE)</f>
        <v>0</v>
      </c>
      <c r="V23" s="47">
        <f>VLOOKUP(C23,'Talente &amp; Stuff'!ER:FT,20,FALSE)</f>
        <v>0</v>
      </c>
      <c r="W23" s="127">
        <f>VLOOKUP(C23,'Talente &amp; Stuff'!ER:FT,21,FALSE)</f>
        <v>0</v>
      </c>
      <c r="X23" s="125">
        <f>VLOOKUP(C23,'Talente &amp; Stuff'!ER:FT,22,FALSE)</f>
        <v>0</v>
      </c>
      <c r="Y23" s="165">
        <f t="shared" si="0"/>
        <v>0</v>
      </c>
      <c r="Z23" s="44">
        <f t="shared" si="1"/>
        <v>0</v>
      </c>
      <c r="AA23" s="125">
        <f>VLOOKUP(C23,'Talente &amp; Stuff'!ER:FT,25,FALSE)</f>
        <v>0</v>
      </c>
      <c r="AB23" s="160">
        <f>VLOOKUP(C23,'Talente &amp; Stuff'!ER:FT,26,FALSE)</f>
        <v>0</v>
      </c>
      <c r="AC23" s="127">
        <f>VLOOKUP(C23,'Talente &amp; Stuff'!ER:FT,27,FALSE)</f>
        <v>0</v>
      </c>
      <c r="AD23" s="125">
        <f>VLOOKUP(C23,'Talente &amp; Stuff'!ER:FT,28,FALSE)</f>
        <v>0</v>
      </c>
      <c r="AE23" s="28"/>
    </row>
    <row r="24" spans="2:31" ht="15" hidden="1" customHeight="1" outlineLevel="2">
      <c r="B24" s="148">
        <v>14</v>
      </c>
      <c r="C24" s="178" t="str">
        <f>Attribute!C24</f>
        <v>---</v>
      </c>
      <c r="D24" s="128" t="str">
        <f>VLOOKUP(C24,'Talente &amp; Stuff'!ER:FT,2,FALSE)</f>
        <v>--/--/--</v>
      </c>
      <c r="E24" s="159" t="str">
        <f>VLOOKUP(C24,'Talente &amp; Stuff'!ER:FT,3,FALSE)</f>
        <v>-</v>
      </c>
      <c r="F24" s="115">
        <f>VLOOKUP(C24,'Talente &amp; Stuff'!ER:FT,4,FALSE)</f>
        <v>0</v>
      </c>
      <c r="G24" s="122">
        <f>VLOOKUP(C24,'Talente &amp; Stuff'!ER:FT,5,FALSE)</f>
        <v>0</v>
      </c>
      <c r="H24" s="122">
        <f>VLOOKUP(C24,'Talente &amp; Stuff'!ER:FT,6,FALSE)</f>
        <v>0</v>
      </c>
      <c r="I24" s="122">
        <f>VLOOKUP(C24,'Talente &amp; Stuff'!ER:FT,7,FALSE)</f>
        <v>0</v>
      </c>
      <c r="J24" s="122">
        <f>VLOOKUP(C24,'Talente &amp; Stuff'!ER:FT,8,FALSE)</f>
        <v>0</v>
      </c>
      <c r="K24" s="122">
        <f>VLOOKUP(C24,'Talente &amp; Stuff'!ER:FT,9,FALSE)</f>
        <v>0</v>
      </c>
      <c r="L24" s="122">
        <f>VLOOKUP(C24,'Talente &amp; Stuff'!ER:FT,10,FALSE)</f>
        <v>0</v>
      </c>
      <c r="M24" s="123">
        <f>VLOOKUP(C24,'Talente &amp; Stuff'!ER:FT,11,FALSE)</f>
        <v>0</v>
      </c>
      <c r="N24" s="90">
        <f>VLOOKUP(C24,'Talente &amp; Stuff'!ER:FT,12,FALSE)</f>
        <v>0</v>
      </c>
      <c r="O24" s="88">
        <f>VLOOKUP(C24,'Talente &amp; Stuff'!ER:FT,13,FALSE)</f>
        <v>0</v>
      </c>
      <c r="P24" s="123">
        <f>VLOOKUP(C24,'Talente &amp; Stuff'!ER:FT,14,FALSE)</f>
        <v>0</v>
      </c>
      <c r="Q24" s="115">
        <f>VLOOKUP(C24,'Talente &amp; Stuff'!ER:FT,15,FALSE)</f>
        <v>0</v>
      </c>
      <c r="R24" s="122">
        <f>VLOOKUP(C24,'Talente &amp; Stuff'!ER:FT,16,FALSE)</f>
        <v>0</v>
      </c>
      <c r="S24" s="123">
        <f>VLOOKUP(C24,'Talente &amp; Stuff'!ER:FT,17,FALSE)</f>
        <v>0</v>
      </c>
      <c r="T24" s="161">
        <f>VLOOKUP(C24,'Talente &amp; Stuff'!ER:FT,18,FALSE)</f>
        <v>0</v>
      </c>
      <c r="U24" s="90">
        <f>VLOOKUP(C24,'Talente &amp; Stuff'!ER:FT,19,FALSE)</f>
        <v>0</v>
      </c>
      <c r="V24" s="88">
        <f>VLOOKUP(C24,'Talente &amp; Stuff'!ER:FT,20,FALSE)</f>
        <v>0</v>
      </c>
      <c r="W24" s="128">
        <f>VLOOKUP(C24,'Talente &amp; Stuff'!ER:FT,21,FALSE)</f>
        <v>0</v>
      </c>
      <c r="X24" s="159">
        <f>VLOOKUP(C24,'Talente &amp; Stuff'!ER:FT,22,FALSE)</f>
        <v>0</v>
      </c>
      <c r="Y24" s="165">
        <f t="shared" si="0"/>
        <v>0</v>
      </c>
      <c r="Z24" s="44">
        <f t="shared" si="1"/>
        <v>0</v>
      </c>
      <c r="AA24" s="159">
        <f>VLOOKUP(C24,'Talente &amp; Stuff'!ER:FT,25,FALSE)</f>
        <v>0</v>
      </c>
      <c r="AB24" s="161">
        <f>VLOOKUP(C24,'Talente &amp; Stuff'!ER:FT,26,FALSE)</f>
        <v>0</v>
      </c>
      <c r="AC24" s="128">
        <f>VLOOKUP(C24,'Talente &amp; Stuff'!ER:FT,27,FALSE)</f>
        <v>0</v>
      </c>
      <c r="AD24" s="159">
        <f>VLOOKUP(C24,'Talente &amp; Stuff'!ER:FT,28,FALSE)</f>
        <v>0</v>
      </c>
      <c r="AE24" s="28"/>
    </row>
    <row r="25" spans="2:31" ht="15" hidden="1" customHeight="1" outlineLevel="1" collapsed="1">
      <c r="B25" s="134" t="s">
        <v>278</v>
      </c>
      <c r="C25" s="83"/>
      <c r="D25" s="84"/>
      <c r="E25" s="84"/>
      <c r="F25" s="30"/>
      <c r="G25" s="30"/>
      <c r="H25" s="30"/>
      <c r="I25" s="30"/>
      <c r="J25" s="30"/>
      <c r="K25" s="30"/>
      <c r="L25" s="30"/>
      <c r="M25" s="30"/>
      <c r="N25" s="31"/>
      <c r="O25" s="31"/>
      <c r="P25" s="30"/>
      <c r="Q25" s="30"/>
      <c r="R25" s="30"/>
      <c r="S25" s="30"/>
      <c r="T25" s="30"/>
      <c r="U25" s="31"/>
      <c r="V25" s="31"/>
      <c r="W25" s="31"/>
      <c r="X25" s="31"/>
      <c r="Y25" s="65"/>
    </row>
    <row r="26" spans="2:31" ht="15" hidden="1" customHeight="1" outlineLevel="2">
      <c r="B26" s="148">
        <v>1</v>
      </c>
      <c r="C26" s="176" t="str">
        <f>Attribute!C26</f>
        <v>---</v>
      </c>
      <c r="D26" s="126" t="str">
        <f>VLOOKUP(C26,'Talente &amp; Stuff'!ER:FT,2,FALSE)</f>
        <v>--/--/--</v>
      </c>
      <c r="E26" s="158" t="str">
        <f>VLOOKUP(C26,'Talente &amp; Stuff'!ER:FT,3,FALSE)</f>
        <v>-</v>
      </c>
      <c r="F26" s="191">
        <f>VLOOKUP(C26,'Talente &amp; Stuff'!ER:FT,4,FALSE)</f>
        <v>0</v>
      </c>
      <c r="G26" s="118">
        <f>VLOOKUP(C26,'Talente &amp; Stuff'!ER:FT,5,FALSE)</f>
        <v>0</v>
      </c>
      <c r="H26" s="118">
        <f>VLOOKUP(C26,'Talente &amp; Stuff'!ER:FT,6,FALSE)</f>
        <v>0</v>
      </c>
      <c r="I26" s="118">
        <f>VLOOKUP(C26,'Talente &amp; Stuff'!ER:FT,7,FALSE)</f>
        <v>0</v>
      </c>
      <c r="J26" s="118">
        <f>VLOOKUP(C26,'Talente &amp; Stuff'!ER:FT,8,FALSE)</f>
        <v>0</v>
      </c>
      <c r="K26" s="118">
        <f>VLOOKUP(C26,'Talente &amp; Stuff'!ER:FT,9,FALSE)</f>
        <v>0</v>
      </c>
      <c r="L26" s="118">
        <f>VLOOKUP(C26,'Talente &amp; Stuff'!ER:FT,10,FALSE)</f>
        <v>0</v>
      </c>
      <c r="M26" s="92">
        <f>VLOOKUP(C26,'Talente &amp; Stuff'!ER:FT,11,FALSE)</f>
        <v>0</v>
      </c>
      <c r="N26" s="193">
        <f>VLOOKUP(C26,'Talente &amp; Stuff'!ER:FT,12,FALSE)</f>
        <v>0</v>
      </c>
      <c r="O26" s="116">
        <f>VLOOKUP(C26,'Talente &amp; Stuff'!ER:FT,13,FALSE)</f>
        <v>0</v>
      </c>
      <c r="P26" s="92">
        <f>VLOOKUP(C26,'Talente &amp; Stuff'!ER:FT,14,FALSE)</f>
        <v>0</v>
      </c>
      <c r="Q26" s="191">
        <f>VLOOKUP(C26,'Talente &amp; Stuff'!ER:FT,15,FALSE)</f>
        <v>0</v>
      </c>
      <c r="R26" s="118">
        <f>VLOOKUP(C26,'Talente &amp; Stuff'!ER:FT,16,FALSE)</f>
        <v>0</v>
      </c>
      <c r="S26" s="92">
        <f>VLOOKUP(C26,'Talente &amp; Stuff'!ER:FT,17,FALSE)</f>
        <v>0</v>
      </c>
      <c r="T26" s="91">
        <f>VLOOKUP(C26,'Talente &amp; Stuff'!ER:FT,18,FALSE)</f>
        <v>0</v>
      </c>
      <c r="U26" s="193">
        <f>VLOOKUP(C26,'Talente &amp; Stuff'!ER:FT,19,FALSE)</f>
        <v>0</v>
      </c>
      <c r="V26" s="116">
        <f>VLOOKUP(C26,'Talente &amp; Stuff'!ER:FT,20,FALSE)</f>
        <v>0</v>
      </c>
      <c r="W26" s="126">
        <f>VLOOKUP(C26,'Talente &amp; Stuff'!ER:FT,21,FALSE)</f>
        <v>0</v>
      </c>
      <c r="X26" s="158">
        <f>VLOOKUP(C26,'Talente &amp; Stuff'!ER:FT,22,FALSE)</f>
        <v>0</v>
      </c>
      <c r="Y26" s="165">
        <f t="shared" ref="Y26:Y34" si="2">VLOOKUP(C26,Ausgewählte_Talente_Gesellschaftstalente,168,FALSE)</f>
        <v>0</v>
      </c>
      <c r="Z26" s="44">
        <f t="shared" ref="Z26:Z34" si="3">VLOOKUP(C26,Ausgewählte_Talente_Gesellschaftstalente,169,FALSE)</f>
        <v>0</v>
      </c>
      <c r="AA26" s="158">
        <f>VLOOKUP(C26,'Talente &amp; Stuff'!ER:FT,25,FALSE)</f>
        <v>0</v>
      </c>
      <c r="AB26" s="91">
        <f>VLOOKUP(C26,'Talente &amp; Stuff'!ER:FT,26,FALSE)</f>
        <v>0</v>
      </c>
      <c r="AC26" s="126">
        <f>VLOOKUP(C26,'Talente &amp; Stuff'!ER:FT,27,FALSE)</f>
        <v>0</v>
      </c>
      <c r="AD26" s="158">
        <f>VLOOKUP(C26,'Talente &amp; Stuff'!ER:FT,28,FALSE)</f>
        <v>0</v>
      </c>
      <c r="AE26" s="28"/>
    </row>
    <row r="27" spans="2:31" ht="15" hidden="1" customHeight="1" outlineLevel="2">
      <c r="B27" s="148">
        <v>2</v>
      </c>
      <c r="C27" s="177" t="str">
        <f>Attribute!C27</f>
        <v>---</v>
      </c>
      <c r="D27" s="127" t="str">
        <f>VLOOKUP(C27,'Talente &amp; Stuff'!ER:FT,2,FALSE)</f>
        <v>--/--/--</v>
      </c>
      <c r="E27" s="125" t="str">
        <f>VLOOKUP(C27,'Talente &amp; Stuff'!ER:FT,3,FALSE)</f>
        <v>-</v>
      </c>
      <c r="F27" s="114">
        <f>VLOOKUP(C27,'Talente &amp; Stuff'!ER:FT,4,FALSE)</f>
        <v>0</v>
      </c>
      <c r="G27" s="113">
        <f>VLOOKUP(C27,'Talente &amp; Stuff'!ER:FT,5,FALSE)</f>
        <v>0</v>
      </c>
      <c r="H27" s="113">
        <f>VLOOKUP(C27,'Talente &amp; Stuff'!ER:FT,6,FALSE)</f>
        <v>0</v>
      </c>
      <c r="I27" s="113">
        <f>VLOOKUP(C27,'Talente &amp; Stuff'!ER:FT,7,FALSE)</f>
        <v>0</v>
      </c>
      <c r="J27" s="113">
        <f>VLOOKUP(C27,'Talente &amp; Stuff'!ER:FT,8,FALSE)</f>
        <v>0</v>
      </c>
      <c r="K27" s="113">
        <f>VLOOKUP(C27,'Talente &amp; Stuff'!ER:FT,9,FALSE)</f>
        <v>0</v>
      </c>
      <c r="L27" s="113">
        <f>VLOOKUP(C27,'Talente &amp; Stuff'!ER:FT,10,FALSE)</f>
        <v>0</v>
      </c>
      <c r="M27" s="119">
        <f>VLOOKUP(C27,'Talente &amp; Stuff'!ER:FT,11,FALSE)</f>
        <v>0</v>
      </c>
      <c r="N27" s="89">
        <f>VLOOKUP(C27,'Talente &amp; Stuff'!ER:FT,12,FALSE)</f>
        <v>0</v>
      </c>
      <c r="O27" s="47">
        <f>VLOOKUP(C27,'Talente &amp; Stuff'!ER:FT,13,FALSE)</f>
        <v>0</v>
      </c>
      <c r="P27" s="119">
        <f>VLOOKUP(C27,'Talente &amp; Stuff'!ER:FT,14,FALSE)</f>
        <v>0</v>
      </c>
      <c r="Q27" s="114">
        <f>VLOOKUP(C27,'Talente &amp; Stuff'!ER:FT,15,FALSE)</f>
        <v>0</v>
      </c>
      <c r="R27" s="113">
        <f>VLOOKUP(C27,'Talente &amp; Stuff'!ER:FT,16,FALSE)</f>
        <v>0</v>
      </c>
      <c r="S27" s="119">
        <f>VLOOKUP(C27,'Talente &amp; Stuff'!ER:FT,17,FALSE)</f>
        <v>0</v>
      </c>
      <c r="T27" s="160">
        <f>VLOOKUP(C27,'Talente &amp; Stuff'!ER:FT,18,FALSE)</f>
        <v>0</v>
      </c>
      <c r="U27" s="89">
        <f>VLOOKUP(C27,'Talente &amp; Stuff'!ER:FT,19,FALSE)</f>
        <v>0</v>
      </c>
      <c r="V27" s="47">
        <f>VLOOKUP(C27,'Talente &amp; Stuff'!ER:FT,20,FALSE)</f>
        <v>0</v>
      </c>
      <c r="W27" s="127">
        <f>VLOOKUP(C27,'Talente &amp; Stuff'!ER:FT,21,FALSE)</f>
        <v>0</v>
      </c>
      <c r="X27" s="125">
        <f>VLOOKUP(C27,'Talente &amp; Stuff'!ER:FT,22,FALSE)</f>
        <v>0</v>
      </c>
      <c r="Y27" s="165">
        <f t="shared" si="2"/>
        <v>0</v>
      </c>
      <c r="Z27" s="44">
        <f t="shared" si="3"/>
        <v>0</v>
      </c>
      <c r="AA27" s="125">
        <f>VLOOKUP(C27,'Talente &amp; Stuff'!ER:FT,25,FALSE)</f>
        <v>0</v>
      </c>
      <c r="AB27" s="160">
        <f>VLOOKUP(C27,'Talente &amp; Stuff'!ER:FT,26,FALSE)</f>
        <v>0</v>
      </c>
      <c r="AC27" s="127">
        <f>VLOOKUP(C27,'Talente &amp; Stuff'!ER:FT,27,FALSE)</f>
        <v>0</v>
      </c>
      <c r="AD27" s="125">
        <f>VLOOKUP(C27,'Talente &amp; Stuff'!ER:FT,28,FALSE)</f>
        <v>0</v>
      </c>
      <c r="AE27" s="28"/>
    </row>
    <row r="28" spans="2:31" ht="15" hidden="1" customHeight="1" outlineLevel="2">
      <c r="B28" s="148">
        <v>3</v>
      </c>
      <c r="C28" s="177" t="str">
        <f>Attribute!C28</f>
        <v>---</v>
      </c>
      <c r="D28" s="127" t="str">
        <f>VLOOKUP(C28,'Talente &amp; Stuff'!ER:FT,2,FALSE)</f>
        <v>--/--/--</v>
      </c>
      <c r="E28" s="125" t="str">
        <f>VLOOKUP(C28,'Talente &amp; Stuff'!ER:FT,3,FALSE)</f>
        <v>-</v>
      </c>
      <c r="F28" s="114">
        <f>VLOOKUP(C28,'Talente &amp; Stuff'!ER:FT,4,FALSE)</f>
        <v>0</v>
      </c>
      <c r="G28" s="113">
        <f>VLOOKUP(C28,'Talente &amp; Stuff'!ER:FT,5,FALSE)</f>
        <v>0</v>
      </c>
      <c r="H28" s="113">
        <f>VLOOKUP(C28,'Talente &amp; Stuff'!ER:FT,6,FALSE)</f>
        <v>0</v>
      </c>
      <c r="I28" s="113">
        <f>VLOOKUP(C28,'Talente &amp; Stuff'!ER:FT,7,FALSE)</f>
        <v>0</v>
      </c>
      <c r="J28" s="113">
        <f>VLOOKUP(C28,'Talente &amp; Stuff'!ER:FT,8,FALSE)</f>
        <v>0</v>
      </c>
      <c r="K28" s="113">
        <f>VLOOKUP(C28,'Talente &amp; Stuff'!ER:FT,9,FALSE)</f>
        <v>0</v>
      </c>
      <c r="L28" s="113">
        <f>VLOOKUP(C28,'Talente &amp; Stuff'!ER:FT,10,FALSE)</f>
        <v>0</v>
      </c>
      <c r="M28" s="119">
        <f>VLOOKUP(C28,'Talente &amp; Stuff'!ER:FT,11,FALSE)</f>
        <v>0</v>
      </c>
      <c r="N28" s="89">
        <f>VLOOKUP(C28,'Talente &amp; Stuff'!ER:FT,12,FALSE)</f>
        <v>0</v>
      </c>
      <c r="O28" s="47">
        <f>VLOOKUP(C28,'Talente &amp; Stuff'!ER:FT,13,FALSE)</f>
        <v>0</v>
      </c>
      <c r="P28" s="119">
        <f>VLOOKUP(C28,'Talente &amp; Stuff'!ER:FT,14,FALSE)</f>
        <v>0</v>
      </c>
      <c r="Q28" s="114">
        <f>VLOOKUP(C28,'Talente &amp; Stuff'!ER:FT,15,FALSE)</f>
        <v>0</v>
      </c>
      <c r="R28" s="113">
        <f>VLOOKUP(C28,'Talente &amp; Stuff'!ER:FT,16,FALSE)</f>
        <v>0</v>
      </c>
      <c r="S28" s="119">
        <f>VLOOKUP(C28,'Talente &amp; Stuff'!ER:FT,17,FALSE)</f>
        <v>0</v>
      </c>
      <c r="T28" s="160">
        <f>VLOOKUP(C28,'Talente &amp; Stuff'!ER:FT,18,FALSE)</f>
        <v>0</v>
      </c>
      <c r="U28" s="89">
        <f>VLOOKUP(C28,'Talente &amp; Stuff'!ER:FT,19,FALSE)</f>
        <v>0</v>
      </c>
      <c r="V28" s="47">
        <f>VLOOKUP(C28,'Talente &amp; Stuff'!ER:FT,20,FALSE)</f>
        <v>0</v>
      </c>
      <c r="W28" s="127">
        <f>VLOOKUP(C28,'Talente &amp; Stuff'!ER:FT,21,FALSE)</f>
        <v>0</v>
      </c>
      <c r="X28" s="125">
        <f>VLOOKUP(C28,'Talente &amp; Stuff'!ER:FT,22,FALSE)</f>
        <v>0</v>
      </c>
      <c r="Y28" s="165">
        <f t="shared" si="2"/>
        <v>0</v>
      </c>
      <c r="Z28" s="44">
        <f t="shared" si="3"/>
        <v>0</v>
      </c>
      <c r="AA28" s="125">
        <f>VLOOKUP(C28,'Talente &amp; Stuff'!ER:FT,25,FALSE)</f>
        <v>0</v>
      </c>
      <c r="AB28" s="160">
        <f>VLOOKUP(C28,'Talente &amp; Stuff'!ER:FT,26,FALSE)</f>
        <v>0</v>
      </c>
      <c r="AC28" s="127">
        <f>VLOOKUP(C28,'Talente &amp; Stuff'!ER:FT,27,FALSE)</f>
        <v>0</v>
      </c>
      <c r="AD28" s="125">
        <f>VLOOKUP(C28,'Talente &amp; Stuff'!ER:FT,28,FALSE)</f>
        <v>0</v>
      </c>
      <c r="AE28" s="28"/>
    </row>
    <row r="29" spans="2:31" ht="15" hidden="1" customHeight="1" outlineLevel="2">
      <c r="B29" s="148">
        <v>4</v>
      </c>
      <c r="C29" s="177" t="str">
        <f>Attribute!C29</f>
        <v>---</v>
      </c>
      <c r="D29" s="127" t="str">
        <f>VLOOKUP(C29,'Talente &amp; Stuff'!ER:FT,2,FALSE)</f>
        <v>--/--/--</v>
      </c>
      <c r="E29" s="125" t="str">
        <f>VLOOKUP(C29,'Talente &amp; Stuff'!ER:FT,3,FALSE)</f>
        <v>-</v>
      </c>
      <c r="F29" s="114">
        <f>VLOOKUP(C29,'Talente &amp; Stuff'!ER:FT,4,FALSE)</f>
        <v>0</v>
      </c>
      <c r="G29" s="113">
        <f>VLOOKUP(C29,'Talente &amp; Stuff'!ER:FT,5,FALSE)</f>
        <v>0</v>
      </c>
      <c r="H29" s="113">
        <f>VLOOKUP(C29,'Talente &amp; Stuff'!ER:FT,6,FALSE)</f>
        <v>0</v>
      </c>
      <c r="I29" s="113">
        <f>VLOOKUP(C29,'Talente &amp; Stuff'!ER:FT,7,FALSE)</f>
        <v>0</v>
      </c>
      <c r="J29" s="113">
        <f>VLOOKUP(C29,'Talente &amp; Stuff'!ER:FT,8,FALSE)</f>
        <v>0</v>
      </c>
      <c r="K29" s="113">
        <f>VLOOKUP(C29,'Talente &amp; Stuff'!ER:FT,9,FALSE)</f>
        <v>0</v>
      </c>
      <c r="L29" s="113">
        <f>VLOOKUP(C29,'Talente &amp; Stuff'!ER:FT,10,FALSE)</f>
        <v>0</v>
      </c>
      <c r="M29" s="119">
        <f>VLOOKUP(C29,'Talente &amp; Stuff'!ER:FT,11,FALSE)</f>
        <v>0</v>
      </c>
      <c r="N29" s="89">
        <f>VLOOKUP(C29,'Talente &amp; Stuff'!ER:FT,12,FALSE)</f>
        <v>0</v>
      </c>
      <c r="O29" s="47">
        <f>VLOOKUP(C29,'Talente &amp; Stuff'!ER:FT,13,FALSE)</f>
        <v>0</v>
      </c>
      <c r="P29" s="119">
        <f>VLOOKUP(C29,'Talente &amp; Stuff'!ER:FT,14,FALSE)</f>
        <v>0</v>
      </c>
      <c r="Q29" s="114">
        <f>VLOOKUP(C29,'Talente &amp; Stuff'!ER:FT,15,FALSE)</f>
        <v>0</v>
      </c>
      <c r="R29" s="113">
        <f>VLOOKUP(C29,'Talente &amp; Stuff'!ER:FT,16,FALSE)</f>
        <v>0</v>
      </c>
      <c r="S29" s="119">
        <f>VLOOKUP(C29,'Talente &amp; Stuff'!ER:FT,17,FALSE)</f>
        <v>0</v>
      </c>
      <c r="T29" s="160">
        <f>VLOOKUP(C29,'Talente &amp; Stuff'!ER:FT,18,FALSE)</f>
        <v>0</v>
      </c>
      <c r="U29" s="89">
        <f>VLOOKUP(C29,'Talente &amp; Stuff'!ER:FT,19,FALSE)</f>
        <v>0</v>
      </c>
      <c r="V29" s="47">
        <f>VLOOKUP(C29,'Talente &amp; Stuff'!ER:FT,20,FALSE)</f>
        <v>0</v>
      </c>
      <c r="W29" s="127">
        <f>VLOOKUP(C29,'Talente &amp; Stuff'!ER:FT,21,FALSE)</f>
        <v>0</v>
      </c>
      <c r="X29" s="125">
        <f>VLOOKUP(C29,'Talente &amp; Stuff'!ER:FT,22,FALSE)</f>
        <v>0</v>
      </c>
      <c r="Y29" s="165">
        <f t="shared" si="2"/>
        <v>0</v>
      </c>
      <c r="Z29" s="44">
        <f t="shared" si="3"/>
        <v>0</v>
      </c>
      <c r="AA29" s="125">
        <f>VLOOKUP(C29,'Talente &amp; Stuff'!ER:FT,25,FALSE)</f>
        <v>0</v>
      </c>
      <c r="AB29" s="160">
        <f>VLOOKUP(C29,'Talente &amp; Stuff'!ER:FT,26,FALSE)</f>
        <v>0</v>
      </c>
      <c r="AC29" s="127">
        <f>VLOOKUP(C29,'Talente &amp; Stuff'!ER:FT,27,FALSE)</f>
        <v>0</v>
      </c>
      <c r="AD29" s="125">
        <f>VLOOKUP(C29,'Talente &amp; Stuff'!ER:FT,28,FALSE)</f>
        <v>0</v>
      </c>
      <c r="AE29" s="28"/>
    </row>
    <row r="30" spans="2:31" ht="15" hidden="1" customHeight="1" outlineLevel="2">
      <c r="B30" s="148">
        <v>5</v>
      </c>
      <c r="C30" s="177" t="str">
        <f>Attribute!C30</f>
        <v>---</v>
      </c>
      <c r="D30" s="127" t="str">
        <f>VLOOKUP(C30,'Talente &amp; Stuff'!ER:FT,2,FALSE)</f>
        <v>--/--/--</v>
      </c>
      <c r="E30" s="125" t="str">
        <f>VLOOKUP(C30,'Talente &amp; Stuff'!ER:FT,3,FALSE)</f>
        <v>-</v>
      </c>
      <c r="F30" s="114">
        <f>VLOOKUP(C30,'Talente &amp; Stuff'!ER:FT,4,FALSE)</f>
        <v>0</v>
      </c>
      <c r="G30" s="113">
        <f>VLOOKUP(C30,'Talente &amp; Stuff'!ER:FT,5,FALSE)</f>
        <v>0</v>
      </c>
      <c r="H30" s="113">
        <f>VLOOKUP(C30,'Talente &amp; Stuff'!ER:FT,6,FALSE)</f>
        <v>0</v>
      </c>
      <c r="I30" s="113">
        <f>VLOOKUP(C30,'Talente &amp; Stuff'!ER:FT,7,FALSE)</f>
        <v>0</v>
      </c>
      <c r="J30" s="113">
        <f>VLOOKUP(C30,'Talente &amp; Stuff'!ER:FT,8,FALSE)</f>
        <v>0</v>
      </c>
      <c r="K30" s="113">
        <f>VLOOKUP(C30,'Talente &amp; Stuff'!ER:FT,9,FALSE)</f>
        <v>0</v>
      </c>
      <c r="L30" s="113">
        <f>VLOOKUP(C30,'Talente &amp; Stuff'!ER:FT,10,FALSE)</f>
        <v>0</v>
      </c>
      <c r="M30" s="119">
        <f>VLOOKUP(C30,'Talente &amp; Stuff'!ER:FT,11,FALSE)</f>
        <v>0</v>
      </c>
      <c r="N30" s="89">
        <f>VLOOKUP(C30,'Talente &amp; Stuff'!ER:FT,12,FALSE)</f>
        <v>0</v>
      </c>
      <c r="O30" s="47">
        <f>VLOOKUP(C30,'Talente &amp; Stuff'!ER:FT,13,FALSE)</f>
        <v>0</v>
      </c>
      <c r="P30" s="119">
        <f>VLOOKUP(C30,'Talente &amp; Stuff'!ER:FT,14,FALSE)</f>
        <v>0</v>
      </c>
      <c r="Q30" s="114">
        <f>VLOOKUP(C30,'Talente &amp; Stuff'!ER:FT,15,FALSE)</f>
        <v>0</v>
      </c>
      <c r="R30" s="113">
        <f>VLOOKUP(C30,'Talente &amp; Stuff'!ER:FT,16,FALSE)</f>
        <v>0</v>
      </c>
      <c r="S30" s="119">
        <f>VLOOKUP(C30,'Talente &amp; Stuff'!ER:FT,17,FALSE)</f>
        <v>0</v>
      </c>
      <c r="T30" s="160">
        <f>VLOOKUP(C30,'Talente &amp; Stuff'!ER:FT,18,FALSE)</f>
        <v>0</v>
      </c>
      <c r="U30" s="89">
        <f>VLOOKUP(C30,'Talente &amp; Stuff'!ER:FT,19,FALSE)</f>
        <v>0</v>
      </c>
      <c r="V30" s="47">
        <f>VLOOKUP(C30,'Talente &amp; Stuff'!ER:FT,20,FALSE)</f>
        <v>0</v>
      </c>
      <c r="W30" s="127">
        <f>VLOOKUP(C30,'Talente &amp; Stuff'!ER:FT,21,FALSE)</f>
        <v>0</v>
      </c>
      <c r="X30" s="125">
        <f>VLOOKUP(C30,'Talente &amp; Stuff'!ER:FT,22,FALSE)</f>
        <v>0</v>
      </c>
      <c r="Y30" s="165">
        <f t="shared" si="2"/>
        <v>0</v>
      </c>
      <c r="Z30" s="44">
        <f t="shared" si="3"/>
        <v>0</v>
      </c>
      <c r="AA30" s="125">
        <f>VLOOKUP(C30,'Talente &amp; Stuff'!ER:FT,25,FALSE)</f>
        <v>0</v>
      </c>
      <c r="AB30" s="160">
        <f>VLOOKUP(C30,'Talente &amp; Stuff'!ER:FT,26,FALSE)</f>
        <v>0</v>
      </c>
      <c r="AC30" s="127">
        <f>VLOOKUP(C30,'Talente &amp; Stuff'!ER:FT,27,FALSE)</f>
        <v>0</v>
      </c>
      <c r="AD30" s="125">
        <f>VLOOKUP(C30,'Talente &amp; Stuff'!ER:FT,28,FALSE)</f>
        <v>0</v>
      </c>
      <c r="AE30" s="28"/>
    </row>
    <row r="31" spans="2:31" ht="15" hidden="1" customHeight="1" outlineLevel="2">
      <c r="B31" s="148">
        <v>6</v>
      </c>
      <c r="C31" s="177" t="str">
        <f>Attribute!C31</f>
        <v>---</v>
      </c>
      <c r="D31" s="127" t="str">
        <f>VLOOKUP(C31,'Talente &amp; Stuff'!ER:FT,2,FALSE)</f>
        <v>--/--/--</v>
      </c>
      <c r="E31" s="125" t="str">
        <f>VLOOKUP(C31,'Talente &amp; Stuff'!ER:FT,3,FALSE)</f>
        <v>-</v>
      </c>
      <c r="F31" s="114">
        <f>VLOOKUP(C31,'Talente &amp; Stuff'!ER:FT,4,FALSE)</f>
        <v>0</v>
      </c>
      <c r="G31" s="113">
        <f>VLOOKUP(C31,'Talente &amp; Stuff'!ER:FT,5,FALSE)</f>
        <v>0</v>
      </c>
      <c r="H31" s="113">
        <f>VLOOKUP(C31,'Talente &amp; Stuff'!ER:FT,6,FALSE)</f>
        <v>0</v>
      </c>
      <c r="I31" s="113">
        <f>VLOOKUP(C31,'Talente &amp; Stuff'!ER:FT,7,FALSE)</f>
        <v>0</v>
      </c>
      <c r="J31" s="113">
        <f>VLOOKUP(C31,'Talente &amp; Stuff'!ER:FT,8,FALSE)</f>
        <v>0</v>
      </c>
      <c r="K31" s="113">
        <f>VLOOKUP(C31,'Talente &amp; Stuff'!ER:FT,9,FALSE)</f>
        <v>0</v>
      </c>
      <c r="L31" s="113">
        <f>VLOOKUP(C31,'Talente &amp; Stuff'!ER:FT,10,FALSE)</f>
        <v>0</v>
      </c>
      <c r="M31" s="119">
        <f>VLOOKUP(C31,'Talente &amp; Stuff'!ER:FT,11,FALSE)</f>
        <v>0</v>
      </c>
      <c r="N31" s="89">
        <f>VLOOKUP(C31,'Talente &amp; Stuff'!ER:FT,12,FALSE)</f>
        <v>0</v>
      </c>
      <c r="O31" s="47">
        <f>VLOOKUP(C31,'Talente &amp; Stuff'!ER:FT,13,FALSE)</f>
        <v>0</v>
      </c>
      <c r="P31" s="119">
        <f>VLOOKUP(C31,'Talente &amp; Stuff'!ER:FT,14,FALSE)</f>
        <v>0</v>
      </c>
      <c r="Q31" s="114">
        <f>VLOOKUP(C31,'Talente &amp; Stuff'!ER:FT,15,FALSE)</f>
        <v>0</v>
      </c>
      <c r="R31" s="113">
        <f>VLOOKUP(C31,'Talente &amp; Stuff'!ER:FT,16,FALSE)</f>
        <v>0</v>
      </c>
      <c r="S31" s="119">
        <f>VLOOKUP(C31,'Talente &amp; Stuff'!ER:FT,17,FALSE)</f>
        <v>0</v>
      </c>
      <c r="T31" s="160">
        <f>VLOOKUP(C31,'Talente &amp; Stuff'!ER:FT,18,FALSE)</f>
        <v>0</v>
      </c>
      <c r="U31" s="89">
        <f>VLOOKUP(C31,'Talente &amp; Stuff'!ER:FT,19,FALSE)</f>
        <v>0</v>
      </c>
      <c r="V31" s="47">
        <f>VLOOKUP(C31,'Talente &amp; Stuff'!ER:FT,20,FALSE)</f>
        <v>0</v>
      </c>
      <c r="W31" s="127">
        <f>VLOOKUP(C31,'Talente &amp; Stuff'!ER:FT,21,FALSE)</f>
        <v>0</v>
      </c>
      <c r="X31" s="125">
        <f>VLOOKUP(C31,'Talente &amp; Stuff'!ER:FT,22,FALSE)</f>
        <v>0</v>
      </c>
      <c r="Y31" s="165">
        <f t="shared" si="2"/>
        <v>0</v>
      </c>
      <c r="Z31" s="44">
        <f t="shared" si="3"/>
        <v>0</v>
      </c>
      <c r="AA31" s="125">
        <f>VLOOKUP(C31,'Talente &amp; Stuff'!ER:FT,25,FALSE)</f>
        <v>0</v>
      </c>
      <c r="AB31" s="160">
        <f>VLOOKUP(C31,'Talente &amp; Stuff'!ER:FT,26,FALSE)</f>
        <v>0</v>
      </c>
      <c r="AC31" s="127">
        <f>VLOOKUP(C31,'Talente &amp; Stuff'!ER:FT,27,FALSE)</f>
        <v>0</v>
      </c>
      <c r="AD31" s="125">
        <f>VLOOKUP(C31,'Talente &amp; Stuff'!ER:FT,28,FALSE)</f>
        <v>0</v>
      </c>
      <c r="AE31" s="28"/>
    </row>
    <row r="32" spans="2:31" ht="15" hidden="1" customHeight="1" outlineLevel="2">
      <c r="B32" s="148">
        <v>7</v>
      </c>
      <c r="C32" s="177" t="str">
        <f>Attribute!C32</f>
        <v>---</v>
      </c>
      <c r="D32" s="127" t="str">
        <f>VLOOKUP(C32,'Talente &amp; Stuff'!ER:FT,2,FALSE)</f>
        <v>--/--/--</v>
      </c>
      <c r="E32" s="125" t="str">
        <f>VLOOKUP(C32,'Talente &amp; Stuff'!ER:FT,3,FALSE)</f>
        <v>-</v>
      </c>
      <c r="F32" s="114">
        <f>VLOOKUP(C32,'Talente &amp; Stuff'!ER:FT,4,FALSE)</f>
        <v>0</v>
      </c>
      <c r="G32" s="113">
        <f>VLOOKUP(C32,'Talente &amp; Stuff'!ER:FT,5,FALSE)</f>
        <v>0</v>
      </c>
      <c r="H32" s="113">
        <f>VLOOKUP(C32,'Talente &amp; Stuff'!ER:FT,6,FALSE)</f>
        <v>0</v>
      </c>
      <c r="I32" s="113">
        <f>VLOOKUP(C32,'Talente &amp; Stuff'!ER:FT,7,FALSE)</f>
        <v>0</v>
      </c>
      <c r="J32" s="113">
        <f>VLOOKUP(C32,'Talente &amp; Stuff'!ER:FT,8,FALSE)</f>
        <v>0</v>
      </c>
      <c r="K32" s="113">
        <f>VLOOKUP(C32,'Talente &amp; Stuff'!ER:FT,9,FALSE)</f>
        <v>0</v>
      </c>
      <c r="L32" s="113">
        <f>VLOOKUP(C32,'Talente &amp; Stuff'!ER:FT,10,FALSE)</f>
        <v>0</v>
      </c>
      <c r="M32" s="119">
        <f>VLOOKUP(C32,'Talente &amp; Stuff'!ER:FT,11,FALSE)</f>
        <v>0</v>
      </c>
      <c r="N32" s="89">
        <f>VLOOKUP(C32,'Talente &amp; Stuff'!ER:FT,12,FALSE)</f>
        <v>0</v>
      </c>
      <c r="O32" s="47">
        <f>VLOOKUP(C32,'Talente &amp; Stuff'!ER:FT,13,FALSE)</f>
        <v>0</v>
      </c>
      <c r="P32" s="119">
        <f>VLOOKUP(C32,'Talente &amp; Stuff'!ER:FT,14,FALSE)</f>
        <v>0</v>
      </c>
      <c r="Q32" s="114">
        <f>VLOOKUP(C32,'Talente &amp; Stuff'!ER:FT,15,FALSE)</f>
        <v>0</v>
      </c>
      <c r="R32" s="113">
        <f>VLOOKUP(C32,'Talente &amp; Stuff'!ER:FT,16,FALSE)</f>
        <v>0</v>
      </c>
      <c r="S32" s="119">
        <f>VLOOKUP(C32,'Talente &amp; Stuff'!ER:FT,17,FALSE)</f>
        <v>0</v>
      </c>
      <c r="T32" s="160">
        <f>VLOOKUP(C32,'Talente &amp; Stuff'!ER:FT,18,FALSE)</f>
        <v>0</v>
      </c>
      <c r="U32" s="89">
        <f>VLOOKUP(C32,'Talente &amp; Stuff'!ER:FT,19,FALSE)</f>
        <v>0</v>
      </c>
      <c r="V32" s="47">
        <f>VLOOKUP(C32,'Talente &amp; Stuff'!ER:FT,20,FALSE)</f>
        <v>0</v>
      </c>
      <c r="W32" s="127">
        <f>VLOOKUP(C32,'Talente &amp; Stuff'!ER:FT,21,FALSE)</f>
        <v>0</v>
      </c>
      <c r="X32" s="125">
        <f>VLOOKUP(C32,'Talente &amp; Stuff'!ER:FT,22,FALSE)</f>
        <v>0</v>
      </c>
      <c r="Y32" s="165">
        <f t="shared" si="2"/>
        <v>0</v>
      </c>
      <c r="Z32" s="44">
        <f t="shared" si="3"/>
        <v>0</v>
      </c>
      <c r="AA32" s="125">
        <f>VLOOKUP(C32,'Talente &amp; Stuff'!ER:FT,25,FALSE)</f>
        <v>0</v>
      </c>
      <c r="AB32" s="160">
        <f>VLOOKUP(C32,'Talente &amp; Stuff'!ER:FT,26,FALSE)</f>
        <v>0</v>
      </c>
      <c r="AC32" s="127">
        <f>VLOOKUP(C32,'Talente &amp; Stuff'!ER:FT,27,FALSE)</f>
        <v>0</v>
      </c>
      <c r="AD32" s="125">
        <f>VLOOKUP(C32,'Talente &amp; Stuff'!ER:FT,28,FALSE)</f>
        <v>0</v>
      </c>
      <c r="AE32" s="28"/>
    </row>
    <row r="33" spans="2:31" ht="15" hidden="1" customHeight="1" outlineLevel="2">
      <c r="B33" s="148">
        <v>8</v>
      </c>
      <c r="C33" s="177" t="str">
        <f>Attribute!C33</f>
        <v>---</v>
      </c>
      <c r="D33" s="127" t="str">
        <f>VLOOKUP(C33,'Talente &amp; Stuff'!ER:FT,2,FALSE)</f>
        <v>--/--/--</v>
      </c>
      <c r="E33" s="125" t="str">
        <f>VLOOKUP(C33,'Talente &amp; Stuff'!ER:FT,3,FALSE)</f>
        <v>-</v>
      </c>
      <c r="F33" s="114">
        <f>VLOOKUP(C33,'Talente &amp; Stuff'!ER:FT,4,FALSE)</f>
        <v>0</v>
      </c>
      <c r="G33" s="113">
        <f>VLOOKUP(C33,'Talente &amp; Stuff'!ER:FT,5,FALSE)</f>
        <v>0</v>
      </c>
      <c r="H33" s="113">
        <f>VLOOKUP(C33,'Talente &amp; Stuff'!ER:FT,6,FALSE)</f>
        <v>0</v>
      </c>
      <c r="I33" s="113">
        <f>VLOOKUP(C33,'Talente &amp; Stuff'!ER:FT,7,FALSE)</f>
        <v>0</v>
      </c>
      <c r="J33" s="113">
        <f>VLOOKUP(C33,'Talente &amp; Stuff'!ER:FT,8,FALSE)</f>
        <v>0</v>
      </c>
      <c r="K33" s="113">
        <f>VLOOKUP(C33,'Talente &amp; Stuff'!ER:FT,9,FALSE)</f>
        <v>0</v>
      </c>
      <c r="L33" s="113">
        <f>VLOOKUP(C33,'Talente &amp; Stuff'!ER:FT,10,FALSE)</f>
        <v>0</v>
      </c>
      <c r="M33" s="119">
        <f>VLOOKUP(C33,'Talente &amp; Stuff'!ER:FT,11,FALSE)</f>
        <v>0</v>
      </c>
      <c r="N33" s="89">
        <f>VLOOKUP(C33,'Talente &amp; Stuff'!ER:FT,12,FALSE)</f>
        <v>0</v>
      </c>
      <c r="O33" s="47">
        <f>VLOOKUP(C33,'Talente &amp; Stuff'!ER:FT,13,FALSE)</f>
        <v>0</v>
      </c>
      <c r="P33" s="119">
        <f>VLOOKUP(C33,'Talente &amp; Stuff'!ER:FT,14,FALSE)</f>
        <v>0</v>
      </c>
      <c r="Q33" s="114">
        <f>VLOOKUP(C33,'Talente &amp; Stuff'!ER:FT,15,FALSE)</f>
        <v>0</v>
      </c>
      <c r="R33" s="113">
        <f>VLOOKUP(C33,'Talente &amp; Stuff'!ER:FT,16,FALSE)</f>
        <v>0</v>
      </c>
      <c r="S33" s="119">
        <f>VLOOKUP(C33,'Talente &amp; Stuff'!ER:FT,17,FALSE)</f>
        <v>0</v>
      </c>
      <c r="T33" s="160">
        <f>VLOOKUP(C33,'Talente &amp; Stuff'!ER:FT,18,FALSE)</f>
        <v>0</v>
      </c>
      <c r="U33" s="89">
        <f>VLOOKUP(C33,'Talente &amp; Stuff'!ER:FT,19,FALSE)</f>
        <v>0</v>
      </c>
      <c r="V33" s="47">
        <f>VLOOKUP(C33,'Talente &amp; Stuff'!ER:FT,20,FALSE)</f>
        <v>0</v>
      </c>
      <c r="W33" s="127">
        <f>VLOOKUP(C33,'Talente &amp; Stuff'!ER:FT,21,FALSE)</f>
        <v>0</v>
      </c>
      <c r="X33" s="125">
        <f>VLOOKUP(C33,'Talente &amp; Stuff'!ER:FT,22,FALSE)</f>
        <v>0</v>
      </c>
      <c r="Y33" s="165">
        <f t="shared" si="2"/>
        <v>0</v>
      </c>
      <c r="Z33" s="44">
        <f t="shared" si="3"/>
        <v>0</v>
      </c>
      <c r="AA33" s="125">
        <f>VLOOKUP(C33,'Talente &amp; Stuff'!ER:FT,25,FALSE)</f>
        <v>0</v>
      </c>
      <c r="AB33" s="160">
        <f>VLOOKUP(C33,'Talente &amp; Stuff'!ER:FT,26,FALSE)</f>
        <v>0</v>
      </c>
      <c r="AC33" s="127">
        <f>VLOOKUP(C33,'Talente &amp; Stuff'!ER:FT,27,FALSE)</f>
        <v>0</v>
      </c>
      <c r="AD33" s="125">
        <f>VLOOKUP(C33,'Talente &amp; Stuff'!ER:FT,28,FALSE)</f>
        <v>0</v>
      </c>
      <c r="AE33" s="28"/>
    </row>
    <row r="34" spans="2:31" ht="15" hidden="1" customHeight="1" outlineLevel="2">
      <c r="B34" s="148">
        <v>9</v>
      </c>
      <c r="C34" s="178" t="str">
        <f>Attribute!C34</f>
        <v>---</v>
      </c>
      <c r="D34" s="128" t="str">
        <f>VLOOKUP(C34,'Talente &amp; Stuff'!ER:FT,2,FALSE)</f>
        <v>--/--/--</v>
      </c>
      <c r="E34" s="159" t="str">
        <f>VLOOKUP(C34,'Talente &amp; Stuff'!ER:FT,3,FALSE)</f>
        <v>-</v>
      </c>
      <c r="F34" s="115">
        <f>VLOOKUP(C34,'Talente &amp; Stuff'!ER:FT,4,FALSE)</f>
        <v>0</v>
      </c>
      <c r="G34" s="122">
        <f>VLOOKUP(C34,'Talente &amp; Stuff'!ER:FT,5,FALSE)</f>
        <v>0</v>
      </c>
      <c r="H34" s="122">
        <f>VLOOKUP(C34,'Talente &amp; Stuff'!ER:FT,6,FALSE)</f>
        <v>0</v>
      </c>
      <c r="I34" s="122">
        <f>VLOOKUP(C34,'Talente &amp; Stuff'!ER:FT,7,FALSE)</f>
        <v>0</v>
      </c>
      <c r="J34" s="122">
        <f>VLOOKUP(C34,'Talente &amp; Stuff'!ER:FT,8,FALSE)</f>
        <v>0</v>
      </c>
      <c r="K34" s="122">
        <f>VLOOKUP(C34,'Talente &amp; Stuff'!ER:FT,9,FALSE)</f>
        <v>0</v>
      </c>
      <c r="L34" s="122">
        <f>VLOOKUP(C34,'Talente &amp; Stuff'!ER:FT,10,FALSE)</f>
        <v>0</v>
      </c>
      <c r="M34" s="123">
        <f>VLOOKUP(C34,'Talente &amp; Stuff'!ER:FT,11,FALSE)</f>
        <v>0</v>
      </c>
      <c r="N34" s="90">
        <f>VLOOKUP(C34,'Talente &amp; Stuff'!ER:FT,12,FALSE)</f>
        <v>0</v>
      </c>
      <c r="O34" s="88">
        <f>VLOOKUP(C34,'Talente &amp; Stuff'!ER:FT,13,FALSE)</f>
        <v>0</v>
      </c>
      <c r="P34" s="123">
        <f>VLOOKUP(C34,'Talente &amp; Stuff'!ER:FT,14,FALSE)</f>
        <v>0</v>
      </c>
      <c r="Q34" s="115">
        <f>VLOOKUP(C34,'Talente &amp; Stuff'!ER:FT,15,FALSE)</f>
        <v>0</v>
      </c>
      <c r="R34" s="122">
        <f>VLOOKUP(C34,'Talente &amp; Stuff'!ER:FT,16,FALSE)</f>
        <v>0</v>
      </c>
      <c r="S34" s="123">
        <f>VLOOKUP(C34,'Talente &amp; Stuff'!ER:FT,17,FALSE)</f>
        <v>0</v>
      </c>
      <c r="T34" s="161">
        <f>VLOOKUP(C34,'Talente &amp; Stuff'!ER:FT,18,FALSE)</f>
        <v>0</v>
      </c>
      <c r="U34" s="90">
        <f>VLOOKUP(C34,'Talente &amp; Stuff'!ER:FT,19,FALSE)</f>
        <v>0</v>
      </c>
      <c r="V34" s="88">
        <f>VLOOKUP(C34,'Talente &amp; Stuff'!ER:FT,20,FALSE)</f>
        <v>0</v>
      </c>
      <c r="W34" s="128">
        <f>VLOOKUP(C34,'Talente &amp; Stuff'!ER:FT,21,FALSE)</f>
        <v>0</v>
      </c>
      <c r="X34" s="159">
        <f>VLOOKUP(C34,'Talente &amp; Stuff'!ER:FT,22,FALSE)</f>
        <v>0</v>
      </c>
      <c r="Y34" s="165">
        <f t="shared" si="2"/>
        <v>0</v>
      </c>
      <c r="Z34" s="44">
        <f t="shared" si="3"/>
        <v>0</v>
      </c>
      <c r="AA34" s="159">
        <f>VLOOKUP(C34,'Talente &amp; Stuff'!ER:FT,25,FALSE)</f>
        <v>0</v>
      </c>
      <c r="AB34" s="161">
        <f>VLOOKUP(C34,'Talente &amp; Stuff'!ER:FT,26,FALSE)</f>
        <v>0</v>
      </c>
      <c r="AC34" s="128">
        <f>VLOOKUP(C34,'Talente &amp; Stuff'!ER:FT,27,FALSE)</f>
        <v>0</v>
      </c>
      <c r="AD34" s="159">
        <f>VLOOKUP(C34,'Talente &amp; Stuff'!ER:FT,28,FALSE)</f>
        <v>0</v>
      </c>
      <c r="AE34" s="28"/>
    </row>
    <row r="35" spans="2:31" ht="15" hidden="1" customHeight="1" outlineLevel="1" collapsed="1">
      <c r="B35" s="134" t="s">
        <v>69</v>
      </c>
      <c r="C35" s="83"/>
      <c r="D35" s="84"/>
      <c r="E35" s="84"/>
      <c r="F35" s="30"/>
      <c r="G35" s="30"/>
      <c r="H35" s="30"/>
      <c r="I35" s="30"/>
      <c r="J35" s="30"/>
      <c r="K35" s="30"/>
      <c r="L35" s="30"/>
      <c r="M35" s="30"/>
      <c r="N35" s="31"/>
      <c r="O35" s="31"/>
      <c r="P35" s="30"/>
      <c r="Q35" s="30"/>
      <c r="R35" s="30"/>
      <c r="S35" s="30"/>
      <c r="T35" s="30"/>
      <c r="U35" s="31"/>
      <c r="V35" s="31"/>
      <c r="W35" s="31"/>
      <c r="X35" s="31"/>
      <c r="Y35" s="65"/>
    </row>
    <row r="36" spans="2:31" ht="15" hidden="1" customHeight="1" outlineLevel="2">
      <c r="B36" s="148">
        <v>1</v>
      </c>
      <c r="C36" s="176" t="str">
        <f>Attribute!C36</f>
        <v>---</v>
      </c>
      <c r="D36" s="126" t="str">
        <f>VLOOKUP(C36,'Talente &amp; Stuff'!ER:FT,2,FALSE)</f>
        <v>--/--/--</v>
      </c>
      <c r="E36" s="158" t="str">
        <f>VLOOKUP(C36,'Talente &amp; Stuff'!ER:FT,3,FALSE)</f>
        <v>-</v>
      </c>
      <c r="F36" s="191">
        <f>VLOOKUP(C36,'Talente &amp; Stuff'!ER:FT,4,FALSE)</f>
        <v>0</v>
      </c>
      <c r="G36" s="118">
        <f>VLOOKUP(C36,'Talente &amp; Stuff'!ER:FT,5,FALSE)</f>
        <v>0</v>
      </c>
      <c r="H36" s="118">
        <f>VLOOKUP(C36,'Talente &amp; Stuff'!ER:FT,6,FALSE)</f>
        <v>0</v>
      </c>
      <c r="I36" s="118">
        <f>VLOOKUP(C36,'Talente &amp; Stuff'!ER:FT,7,FALSE)</f>
        <v>0</v>
      </c>
      <c r="J36" s="118">
        <f>VLOOKUP(C36,'Talente &amp; Stuff'!ER:FT,8,FALSE)</f>
        <v>0</v>
      </c>
      <c r="K36" s="118">
        <f>VLOOKUP(C36,'Talente &amp; Stuff'!ER:FT,9,FALSE)</f>
        <v>0</v>
      </c>
      <c r="L36" s="118">
        <f>VLOOKUP(C36,'Talente &amp; Stuff'!ER:FT,10,FALSE)</f>
        <v>0</v>
      </c>
      <c r="M36" s="92">
        <f>VLOOKUP(C36,'Talente &amp; Stuff'!ER:FT,11,FALSE)</f>
        <v>0</v>
      </c>
      <c r="N36" s="193">
        <f>VLOOKUP(C36,'Talente &amp; Stuff'!ER:FT,12,FALSE)</f>
        <v>0</v>
      </c>
      <c r="O36" s="116">
        <f>VLOOKUP(C36,'Talente &amp; Stuff'!ER:FT,13,FALSE)</f>
        <v>0</v>
      </c>
      <c r="P36" s="92">
        <f>VLOOKUP(C36,'Talente &amp; Stuff'!ER:FT,14,FALSE)</f>
        <v>0</v>
      </c>
      <c r="Q36" s="191">
        <f>VLOOKUP(C36,'Talente &amp; Stuff'!ER:FT,15,FALSE)</f>
        <v>0</v>
      </c>
      <c r="R36" s="118">
        <f>VLOOKUP(C36,'Talente &amp; Stuff'!ER:FT,16,FALSE)</f>
        <v>0</v>
      </c>
      <c r="S36" s="92">
        <f>VLOOKUP(C36,'Talente &amp; Stuff'!ER:FT,17,FALSE)</f>
        <v>0</v>
      </c>
      <c r="T36" s="91">
        <f>VLOOKUP(C36,'Talente &amp; Stuff'!ER:FT,18,FALSE)</f>
        <v>0</v>
      </c>
      <c r="U36" s="193">
        <f>VLOOKUP(C36,'Talente &amp; Stuff'!ER:FT,19,FALSE)</f>
        <v>0</v>
      </c>
      <c r="V36" s="116">
        <f>VLOOKUP(C36,'Talente &amp; Stuff'!ER:FT,20,FALSE)</f>
        <v>0</v>
      </c>
      <c r="W36" s="126">
        <f>VLOOKUP(C36,'Talente &amp; Stuff'!ER:FT,21,FALSE)</f>
        <v>0</v>
      </c>
      <c r="X36" s="158">
        <f>VLOOKUP(C36,'Talente &amp; Stuff'!ER:FT,22,FALSE)</f>
        <v>0</v>
      </c>
      <c r="Y36" s="165">
        <f t="shared" ref="Y36:Y42" si="4">VLOOKUP(C36,Ausgewählte_Talente_Naturtalente,168,FALSE)</f>
        <v>0</v>
      </c>
      <c r="Z36" s="44">
        <f t="shared" ref="Z36:Z42" si="5">VLOOKUP(C36,Ausgewählte_Talente_Naturtalente,169,FALSE)</f>
        <v>0</v>
      </c>
      <c r="AA36" s="158">
        <f>VLOOKUP(C36,'Talente &amp; Stuff'!ER:FT,25,FALSE)</f>
        <v>0</v>
      </c>
      <c r="AB36" s="91">
        <f>VLOOKUP(C36,'Talente &amp; Stuff'!ER:FT,26,FALSE)</f>
        <v>0</v>
      </c>
      <c r="AC36" s="126">
        <f>VLOOKUP(C36,'Talente &amp; Stuff'!ER:FT,27,FALSE)</f>
        <v>0</v>
      </c>
      <c r="AD36" s="158">
        <f>VLOOKUP(C36,'Talente &amp; Stuff'!ER:FT,28,FALSE)</f>
        <v>0</v>
      </c>
      <c r="AE36" s="28"/>
    </row>
    <row r="37" spans="2:31" ht="15" hidden="1" customHeight="1" outlineLevel="2">
      <c r="B37" s="148">
        <v>2</v>
      </c>
      <c r="C37" s="177" t="str">
        <f>Attribute!C37</f>
        <v>---</v>
      </c>
      <c r="D37" s="127" t="str">
        <f>VLOOKUP(C37,'Talente &amp; Stuff'!ER:FT,2,FALSE)</f>
        <v>--/--/--</v>
      </c>
      <c r="E37" s="125" t="str">
        <f>VLOOKUP(C37,'Talente &amp; Stuff'!ER:FT,3,FALSE)</f>
        <v>-</v>
      </c>
      <c r="F37" s="114">
        <f>VLOOKUP(C37,'Talente &amp; Stuff'!ER:FT,4,FALSE)</f>
        <v>0</v>
      </c>
      <c r="G37" s="113">
        <f>VLOOKUP(C37,'Talente &amp; Stuff'!ER:FT,5,FALSE)</f>
        <v>0</v>
      </c>
      <c r="H37" s="113">
        <f>VLOOKUP(C37,'Talente &amp; Stuff'!ER:FT,6,FALSE)</f>
        <v>0</v>
      </c>
      <c r="I37" s="113">
        <f>VLOOKUP(C37,'Talente &amp; Stuff'!ER:FT,7,FALSE)</f>
        <v>0</v>
      </c>
      <c r="J37" s="113">
        <f>VLOOKUP(C37,'Talente &amp; Stuff'!ER:FT,8,FALSE)</f>
        <v>0</v>
      </c>
      <c r="K37" s="113">
        <f>VLOOKUP(C37,'Talente &amp; Stuff'!ER:FT,9,FALSE)</f>
        <v>0</v>
      </c>
      <c r="L37" s="113">
        <f>VLOOKUP(C37,'Talente &amp; Stuff'!ER:FT,10,FALSE)</f>
        <v>0</v>
      </c>
      <c r="M37" s="119">
        <f>VLOOKUP(C37,'Talente &amp; Stuff'!ER:FT,11,FALSE)</f>
        <v>0</v>
      </c>
      <c r="N37" s="89">
        <f>VLOOKUP(C37,'Talente &amp; Stuff'!ER:FT,12,FALSE)</f>
        <v>0</v>
      </c>
      <c r="O37" s="47">
        <f>VLOOKUP(C37,'Talente &amp; Stuff'!ER:FT,13,FALSE)</f>
        <v>0</v>
      </c>
      <c r="P37" s="119">
        <f>VLOOKUP(C37,'Talente &amp; Stuff'!ER:FT,14,FALSE)</f>
        <v>0</v>
      </c>
      <c r="Q37" s="114">
        <f>VLOOKUP(C37,'Talente &amp; Stuff'!ER:FT,15,FALSE)</f>
        <v>0</v>
      </c>
      <c r="R37" s="113">
        <f>VLOOKUP(C37,'Talente &amp; Stuff'!ER:FT,16,FALSE)</f>
        <v>0</v>
      </c>
      <c r="S37" s="119">
        <f>VLOOKUP(C37,'Talente &amp; Stuff'!ER:FT,17,FALSE)</f>
        <v>0</v>
      </c>
      <c r="T37" s="160">
        <f>VLOOKUP(C37,'Talente &amp; Stuff'!ER:FT,18,FALSE)</f>
        <v>0</v>
      </c>
      <c r="U37" s="89">
        <f>VLOOKUP(C37,'Talente &amp; Stuff'!ER:FT,19,FALSE)</f>
        <v>0</v>
      </c>
      <c r="V37" s="47">
        <f>VLOOKUP(C37,'Talente &amp; Stuff'!ER:FT,20,FALSE)</f>
        <v>0</v>
      </c>
      <c r="W37" s="127">
        <f>VLOOKUP(C37,'Talente &amp; Stuff'!ER:FT,21,FALSE)</f>
        <v>0</v>
      </c>
      <c r="X37" s="125">
        <f>VLOOKUP(C37,'Talente &amp; Stuff'!ER:FT,22,FALSE)</f>
        <v>0</v>
      </c>
      <c r="Y37" s="165">
        <f t="shared" si="4"/>
        <v>0</v>
      </c>
      <c r="Z37" s="44">
        <f t="shared" si="5"/>
        <v>0</v>
      </c>
      <c r="AA37" s="125">
        <f>VLOOKUP(C37,'Talente &amp; Stuff'!ER:FT,25,FALSE)</f>
        <v>0</v>
      </c>
      <c r="AB37" s="160">
        <f>VLOOKUP(C37,'Talente &amp; Stuff'!ER:FT,26,FALSE)</f>
        <v>0</v>
      </c>
      <c r="AC37" s="127">
        <f>VLOOKUP(C37,'Talente &amp; Stuff'!ER:FT,27,FALSE)</f>
        <v>0</v>
      </c>
      <c r="AD37" s="125">
        <f>VLOOKUP(C37,'Talente &amp; Stuff'!ER:FT,28,FALSE)</f>
        <v>0</v>
      </c>
      <c r="AE37" s="28"/>
    </row>
    <row r="38" spans="2:31" ht="15" hidden="1" customHeight="1" outlineLevel="2">
      <c r="B38" s="148">
        <v>3</v>
      </c>
      <c r="C38" s="177" t="str">
        <f>Attribute!C38</f>
        <v>---</v>
      </c>
      <c r="D38" s="127" t="str">
        <f>VLOOKUP(C38,'Talente &amp; Stuff'!ER:FT,2,FALSE)</f>
        <v>--/--/--</v>
      </c>
      <c r="E38" s="125" t="str">
        <f>VLOOKUP(C38,'Talente &amp; Stuff'!ER:FT,3,FALSE)</f>
        <v>-</v>
      </c>
      <c r="F38" s="114">
        <f>VLOOKUP(C38,'Talente &amp; Stuff'!ER:FT,4,FALSE)</f>
        <v>0</v>
      </c>
      <c r="G38" s="113">
        <f>VLOOKUP(C38,'Talente &amp; Stuff'!ER:FT,5,FALSE)</f>
        <v>0</v>
      </c>
      <c r="H38" s="113">
        <f>VLOOKUP(C38,'Talente &amp; Stuff'!ER:FT,6,FALSE)</f>
        <v>0</v>
      </c>
      <c r="I38" s="113">
        <f>VLOOKUP(C38,'Talente &amp; Stuff'!ER:FT,7,FALSE)</f>
        <v>0</v>
      </c>
      <c r="J38" s="113">
        <f>VLOOKUP(C38,'Talente &amp; Stuff'!ER:FT,8,FALSE)</f>
        <v>0</v>
      </c>
      <c r="K38" s="113">
        <f>VLOOKUP(C38,'Talente &amp; Stuff'!ER:FT,9,FALSE)</f>
        <v>0</v>
      </c>
      <c r="L38" s="113">
        <f>VLOOKUP(C38,'Talente &amp; Stuff'!ER:FT,10,FALSE)</f>
        <v>0</v>
      </c>
      <c r="M38" s="119">
        <f>VLOOKUP(C38,'Talente &amp; Stuff'!ER:FT,11,FALSE)</f>
        <v>0</v>
      </c>
      <c r="N38" s="89">
        <f>VLOOKUP(C38,'Talente &amp; Stuff'!ER:FT,12,FALSE)</f>
        <v>0</v>
      </c>
      <c r="O38" s="47">
        <f>VLOOKUP(C38,'Talente &amp; Stuff'!ER:FT,13,FALSE)</f>
        <v>0</v>
      </c>
      <c r="P38" s="119">
        <f>VLOOKUP(C38,'Talente &amp; Stuff'!ER:FT,14,FALSE)</f>
        <v>0</v>
      </c>
      <c r="Q38" s="114">
        <f>VLOOKUP(C38,'Talente &amp; Stuff'!ER:FT,15,FALSE)</f>
        <v>0</v>
      </c>
      <c r="R38" s="113">
        <f>VLOOKUP(C38,'Talente &amp; Stuff'!ER:FT,16,FALSE)</f>
        <v>0</v>
      </c>
      <c r="S38" s="119">
        <f>VLOOKUP(C38,'Talente &amp; Stuff'!ER:FT,17,FALSE)</f>
        <v>0</v>
      </c>
      <c r="T38" s="160">
        <f>VLOOKUP(C38,'Talente &amp; Stuff'!ER:FT,18,FALSE)</f>
        <v>0</v>
      </c>
      <c r="U38" s="89">
        <f>VLOOKUP(C38,'Talente &amp; Stuff'!ER:FT,19,FALSE)</f>
        <v>0</v>
      </c>
      <c r="V38" s="47">
        <f>VLOOKUP(C38,'Talente &amp; Stuff'!ER:FT,20,FALSE)</f>
        <v>0</v>
      </c>
      <c r="W38" s="127">
        <f>VLOOKUP(C38,'Talente &amp; Stuff'!ER:FT,21,FALSE)</f>
        <v>0</v>
      </c>
      <c r="X38" s="125">
        <f>VLOOKUP(C38,'Talente &amp; Stuff'!ER:FT,22,FALSE)</f>
        <v>0</v>
      </c>
      <c r="Y38" s="165">
        <f t="shared" si="4"/>
        <v>0</v>
      </c>
      <c r="Z38" s="44">
        <f t="shared" si="5"/>
        <v>0</v>
      </c>
      <c r="AA38" s="125">
        <f>VLOOKUP(C38,'Talente &amp; Stuff'!ER:FT,25,FALSE)</f>
        <v>0</v>
      </c>
      <c r="AB38" s="160">
        <f>VLOOKUP(C38,'Talente &amp; Stuff'!ER:FT,26,FALSE)</f>
        <v>0</v>
      </c>
      <c r="AC38" s="127">
        <f>VLOOKUP(C38,'Talente &amp; Stuff'!ER:FT,27,FALSE)</f>
        <v>0</v>
      </c>
      <c r="AD38" s="125">
        <f>VLOOKUP(C38,'Talente &amp; Stuff'!ER:FT,28,FALSE)</f>
        <v>0</v>
      </c>
      <c r="AE38" s="28"/>
    </row>
    <row r="39" spans="2:31" ht="15" hidden="1" customHeight="1" outlineLevel="2">
      <c r="B39" s="148">
        <v>4</v>
      </c>
      <c r="C39" s="177" t="str">
        <f>Attribute!C39</f>
        <v>---</v>
      </c>
      <c r="D39" s="127" t="str">
        <f>VLOOKUP(C39,'Talente &amp; Stuff'!ER:FT,2,FALSE)</f>
        <v>--/--/--</v>
      </c>
      <c r="E39" s="125" t="str">
        <f>VLOOKUP(C39,'Talente &amp; Stuff'!ER:FT,3,FALSE)</f>
        <v>-</v>
      </c>
      <c r="F39" s="114">
        <f>VLOOKUP(C39,'Talente &amp; Stuff'!ER:FT,4,FALSE)</f>
        <v>0</v>
      </c>
      <c r="G39" s="113">
        <f>VLOOKUP(C39,'Talente &amp; Stuff'!ER:FT,5,FALSE)</f>
        <v>0</v>
      </c>
      <c r="H39" s="113">
        <f>VLOOKUP(C39,'Talente &amp; Stuff'!ER:FT,6,FALSE)</f>
        <v>0</v>
      </c>
      <c r="I39" s="113">
        <f>VLOOKUP(C39,'Talente &amp; Stuff'!ER:FT,7,FALSE)</f>
        <v>0</v>
      </c>
      <c r="J39" s="113">
        <f>VLOOKUP(C39,'Talente &amp; Stuff'!ER:FT,8,FALSE)</f>
        <v>0</v>
      </c>
      <c r="K39" s="113">
        <f>VLOOKUP(C39,'Talente &amp; Stuff'!ER:FT,9,FALSE)</f>
        <v>0</v>
      </c>
      <c r="L39" s="113">
        <f>VLOOKUP(C39,'Talente &amp; Stuff'!ER:FT,10,FALSE)</f>
        <v>0</v>
      </c>
      <c r="M39" s="119">
        <f>VLOOKUP(C39,'Talente &amp; Stuff'!ER:FT,11,FALSE)</f>
        <v>0</v>
      </c>
      <c r="N39" s="89">
        <f>VLOOKUP(C39,'Talente &amp; Stuff'!ER:FT,12,FALSE)</f>
        <v>0</v>
      </c>
      <c r="O39" s="47">
        <f>VLOOKUP(C39,'Talente &amp; Stuff'!ER:FT,13,FALSE)</f>
        <v>0</v>
      </c>
      <c r="P39" s="119">
        <f>VLOOKUP(C39,'Talente &amp; Stuff'!ER:FT,14,FALSE)</f>
        <v>0</v>
      </c>
      <c r="Q39" s="114">
        <f>VLOOKUP(C39,'Talente &amp; Stuff'!ER:FT,15,FALSE)</f>
        <v>0</v>
      </c>
      <c r="R39" s="113">
        <f>VLOOKUP(C39,'Talente &amp; Stuff'!ER:FT,16,FALSE)</f>
        <v>0</v>
      </c>
      <c r="S39" s="119">
        <f>VLOOKUP(C39,'Talente &amp; Stuff'!ER:FT,17,FALSE)</f>
        <v>0</v>
      </c>
      <c r="T39" s="160">
        <f>VLOOKUP(C39,'Talente &amp; Stuff'!ER:FT,18,FALSE)</f>
        <v>0</v>
      </c>
      <c r="U39" s="89">
        <f>VLOOKUP(C39,'Talente &amp; Stuff'!ER:FT,19,FALSE)</f>
        <v>0</v>
      </c>
      <c r="V39" s="47">
        <f>VLOOKUP(C39,'Talente &amp; Stuff'!ER:FT,20,FALSE)</f>
        <v>0</v>
      </c>
      <c r="W39" s="127">
        <f>VLOOKUP(C39,'Talente &amp; Stuff'!ER:FT,21,FALSE)</f>
        <v>0</v>
      </c>
      <c r="X39" s="125">
        <f>VLOOKUP(C39,'Talente &amp; Stuff'!ER:FT,22,FALSE)</f>
        <v>0</v>
      </c>
      <c r="Y39" s="165">
        <f t="shared" si="4"/>
        <v>0</v>
      </c>
      <c r="Z39" s="44">
        <f t="shared" si="5"/>
        <v>0</v>
      </c>
      <c r="AA39" s="125">
        <f>VLOOKUP(C39,'Talente &amp; Stuff'!ER:FT,25,FALSE)</f>
        <v>0</v>
      </c>
      <c r="AB39" s="160">
        <f>VLOOKUP(C39,'Talente &amp; Stuff'!ER:FT,26,FALSE)</f>
        <v>0</v>
      </c>
      <c r="AC39" s="127">
        <f>VLOOKUP(C39,'Talente &amp; Stuff'!ER:FT,27,FALSE)</f>
        <v>0</v>
      </c>
      <c r="AD39" s="125">
        <f>VLOOKUP(C39,'Talente &amp; Stuff'!ER:FT,28,FALSE)</f>
        <v>0</v>
      </c>
      <c r="AE39" s="28"/>
    </row>
    <row r="40" spans="2:31" ht="15" hidden="1" customHeight="1" outlineLevel="2">
      <c r="B40" s="148">
        <v>5</v>
      </c>
      <c r="C40" s="177" t="str">
        <f>Attribute!C40</f>
        <v>---</v>
      </c>
      <c r="D40" s="127" t="str">
        <f>VLOOKUP(C40,'Talente &amp; Stuff'!ER:FT,2,FALSE)</f>
        <v>--/--/--</v>
      </c>
      <c r="E40" s="125" t="str">
        <f>VLOOKUP(C40,'Talente &amp; Stuff'!ER:FT,3,FALSE)</f>
        <v>-</v>
      </c>
      <c r="F40" s="114">
        <f>VLOOKUP(C40,'Talente &amp; Stuff'!ER:FT,4,FALSE)</f>
        <v>0</v>
      </c>
      <c r="G40" s="113">
        <f>VLOOKUP(C40,'Talente &amp; Stuff'!ER:FT,5,FALSE)</f>
        <v>0</v>
      </c>
      <c r="H40" s="113">
        <f>VLOOKUP(C40,'Talente &amp; Stuff'!ER:FT,6,FALSE)</f>
        <v>0</v>
      </c>
      <c r="I40" s="113">
        <f>VLOOKUP(C40,'Talente &amp; Stuff'!ER:FT,7,FALSE)</f>
        <v>0</v>
      </c>
      <c r="J40" s="113">
        <f>VLOOKUP(C40,'Talente &amp; Stuff'!ER:FT,8,FALSE)</f>
        <v>0</v>
      </c>
      <c r="K40" s="113">
        <f>VLOOKUP(C40,'Talente &amp; Stuff'!ER:FT,9,FALSE)</f>
        <v>0</v>
      </c>
      <c r="L40" s="113">
        <f>VLOOKUP(C40,'Talente &amp; Stuff'!ER:FT,10,FALSE)</f>
        <v>0</v>
      </c>
      <c r="M40" s="119">
        <f>VLOOKUP(C40,'Talente &amp; Stuff'!ER:FT,11,FALSE)</f>
        <v>0</v>
      </c>
      <c r="N40" s="89">
        <f>VLOOKUP(C40,'Talente &amp; Stuff'!ER:FT,12,FALSE)</f>
        <v>0</v>
      </c>
      <c r="O40" s="47">
        <f>VLOOKUP(C40,'Talente &amp; Stuff'!ER:FT,13,FALSE)</f>
        <v>0</v>
      </c>
      <c r="P40" s="119">
        <f>VLOOKUP(C40,'Talente &amp; Stuff'!ER:FT,14,FALSE)</f>
        <v>0</v>
      </c>
      <c r="Q40" s="114">
        <f>VLOOKUP(C40,'Talente &amp; Stuff'!ER:FT,15,FALSE)</f>
        <v>0</v>
      </c>
      <c r="R40" s="113">
        <f>VLOOKUP(C40,'Talente &amp; Stuff'!ER:FT,16,FALSE)</f>
        <v>0</v>
      </c>
      <c r="S40" s="119">
        <f>VLOOKUP(C40,'Talente &amp; Stuff'!ER:FT,17,FALSE)</f>
        <v>0</v>
      </c>
      <c r="T40" s="160">
        <f>VLOOKUP(C40,'Talente &amp; Stuff'!ER:FT,18,FALSE)</f>
        <v>0</v>
      </c>
      <c r="U40" s="89">
        <f>VLOOKUP(C40,'Talente &amp; Stuff'!ER:FT,19,FALSE)</f>
        <v>0</v>
      </c>
      <c r="V40" s="47">
        <f>VLOOKUP(C40,'Talente &amp; Stuff'!ER:FT,20,FALSE)</f>
        <v>0</v>
      </c>
      <c r="W40" s="127">
        <f>VLOOKUP(C40,'Talente &amp; Stuff'!ER:FT,21,FALSE)</f>
        <v>0</v>
      </c>
      <c r="X40" s="125">
        <f>VLOOKUP(C40,'Talente &amp; Stuff'!ER:FT,22,FALSE)</f>
        <v>0</v>
      </c>
      <c r="Y40" s="165">
        <f t="shared" si="4"/>
        <v>0</v>
      </c>
      <c r="Z40" s="44">
        <f t="shared" si="5"/>
        <v>0</v>
      </c>
      <c r="AA40" s="125">
        <f>VLOOKUP(C40,'Talente &amp; Stuff'!ER:FT,25,FALSE)</f>
        <v>0</v>
      </c>
      <c r="AB40" s="160">
        <f>VLOOKUP(C40,'Talente &amp; Stuff'!ER:FT,26,FALSE)</f>
        <v>0</v>
      </c>
      <c r="AC40" s="127">
        <f>VLOOKUP(C40,'Talente &amp; Stuff'!ER:FT,27,FALSE)</f>
        <v>0</v>
      </c>
      <c r="AD40" s="125">
        <f>VLOOKUP(C40,'Talente &amp; Stuff'!ER:FT,28,FALSE)</f>
        <v>0</v>
      </c>
      <c r="AE40" s="28"/>
    </row>
    <row r="41" spans="2:31" ht="15" hidden="1" customHeight="1" outlineLevel="2">
      <c r="B41" s="148">
        <v>6</v>
      </c>
      <c r="C41" s="177" t="str">
        <f>Attribute!C41</f>
        <v>---</v>
      </c>
      <c r="D41" s="127" t="str">
        <f>VLOOKUP(C41,'Talente &amp; Stuff'!ER:FT,2,FALSE)</f>
        <v>--/--/--</v>
      </c>
      <c r="E41" s="125" t="str">
        <f>VLOOKUP(C41,'Talente &amp; Stuff'!ER:FT,3,FALSE)</f>
        <v>-</v>
      </c>
      <c r="F41" s="114">
        <f>VLOOKUP(C41,'Talente &amp; Stuff'!ER:FT,4,FALSE)</f>
        <v>0</v>
      </c>
      <c r="G41" s="113">
        <f>VLOOKUP(C41,'Talente &amp; Stuff'!ER:FT,5,FALSE)</f>
        <v>0</v>
      </c>
      <c r="H41" s="113">
        <f>VLOOKUP(C41,'Talente &amp; Stuff'!ER:FT,6,FALSE)</f>
        <v>0</v>
      </c>
      <c r="I41" s="113">
        <f>VLOOKUP(C41,'Talente &amp; Stuff'!ER:FT,7,FALSE)</f>
        <v>0</v>
      </c>
      <c r="J41" s="113">
        <f>VLOOKUP(C41,'Talente &amp; Stuff'!ER:FT,8,FALSE)</f>
        <v>0</v>
      </c>
      <c r="K41" s="113">
        <f>VLOOKUP(C41,'Talente &amp; Stuff'!ER:FT,9,FALSE)</f>
        <v>0</v>
      </c>
      <c r="L41" s="113">
        <f>VLOOKUP(C41,'Talente &amp; Stuff'!ER:FT,10,FALSE)</f>
        <v>0</v>
      </c>
      <c r="M41" s="119">
        <f>VLOOKUP(C41,'Talente &amp; Stuff'!ER:FT,11,FALSE)</f>
        <v>0</v>
      </c>
      <c r="N41" s="89">
        <f>VLOOKUP(C41,'Talente &amp; Stuff'!ER:FT,12,FALSE)</f>
        <v>0</v>
      </c>
      <c r="O41" s="47">
        <f>VLOOKUP(C41,'Talente &amp; Stuff'!ER:FT,13,FALSE)</f>
        <v>0</v>
      </c>
      <c r="P41" s="119">
        <f>VLOOKUP(C41,'Talente &amp; Stuff'!ER:FT,14,FALSE)</f>
        <v>0</v>
      </c>
      <c r="Q41" s="114">
        <f>VLOOKUP(C41,'Talente &amp; Stuff'!ER:FT,15,FALSE)</f>
        <v>0</v>
      </c>
      <c r="R41" s="113">
        <f>VLOOKUP(C41,'Talente &amp; Stuff'!ER:FT,16,FALSE)</f>
        <v>0</v>
      </c>
      <c r="S41" s="119">
        <f>VLOOKUP(C41,'Talente &amp; Stuff'!ER:FT,17,FALSE)</f>
        <v>0</v>
      </c>
      <c r="T41" s="160">
        <f>VLOOKUP(C41,'Talente &amp; Stuff'!ER:FT,18,FALSE)</f>
        <v>0</v>
      </c>
      <c r="U41" s="89">
        <f>VLOOKUP(C41,'Talente &amp; Stuff'!ER:FT,19,FALSE)</f>
        <v>0</v>
      </c>
      <c r="V41" s="47">
        <f>VLOOKUP(C41,'Talente &amp; Stuff'!ER:FT,20,FALSE)</f>
        <v>0</v>
      </c>
      <c r="W41" s="127">
        <f>VLOOKUP(C41,'Talente &amp; Stuff'!ER:FT,21,FALSE)</f>
        <v>0</v>
      </c>
      <c r="X41" s="125">
        <f>VLOOKUP(C41,'Talente &amp; Stuff'!ER:FT,22,FALSE)</f>
        <v>0</v>
      </c>
      <c r="Y41" s="165">
        <f t="shared" si="4"/>
        <v>0</v>
      </c>
      <c r="Z41" s="44">
        <f t="shared" si="5"/>
        <v>0</v>
      </c>
      <c r="AA41" s="125">
        <f>VLOOKUP(C41,'Talente &amp; Stuff'!ER:FT,25,FALSE)</f>
        <v>0</v>
      </c>
      <c r="AB41" s="160">
        <f>VLOOKUP(C41,'Talente &amp; Stuff'!ER:FT,26,FALSE)</f>
        <v>0</v>
      </c>
      <c r="AC41" s="127">
        <f>VLOOKUP(C41,'Talente &amp; Stuff'!ER:FT,27,FALSE)</f>
        <v>0</v>
      </c>
      <c r="AD41" s="125">
        <f>VLOOKUP(C41,'Talente &amp; Stuff'!ER:FT,28,FALSE)</f>
        <v>0</v>
      </c>
      <c r="AE41" s="28"/>
    </row>
    <row r="42" spans="2:31" ht="15" hidden="1" customHeight="1" outlineLevel="2">
      <c r="B42" s="148">
        <v>7</v>
      </c>
      <c r="C42" s="178" t="str">
        <f>Attribute!C42</f>
        <v>---</v>
      </c>
      <c r="D42" s="128" t="str">
        <f>VLOOKUP(C42,'Talente &amp; Stuff'!ER:FT,2,FALSE)</f>
        <v>--/--/--</v>
      </c>
      <c r="E42" s="159" t="str">
        <f>VLOOKUP(C42,'Talente &amp; Stuff'!ER:FT,3,FALSE)</f>
        <v>-</v>
      </c>
      <c r="F42" s="115">
        <f>VLOOKUP(C42,'Talente &amp; Stuff'!ER:FT,4,FALSE)</f>
        <v>0</v>
      </c>
      <c r="G42" s="122">
        <f>VLOOKUP(C42,'Talente &amp; Stuff'!ER:FT,5,FALSE)</f>
        <v>0</v>
      </c>
      <c r="H42" s="122">
        <f>VLOOKUP(C42,'Talente &amp; Stuff'!ER:FT,6,FALSE)</f>
        <v>0</v>
      </c>
      <c r="I42" s="122">
        <f>VLOOKUP(C42,'Talente &amp; Stuff'!ER:FT,7,FALSE)</f>
        <v>0</v>
      </c>
      <c r="J42" s="122">
        <f>VLOOKUP(C42,'Talente &amp; Stuff'!ER:FT,8,FALSE)</f>
        <v>0</v>
      </c>
      <c r="K42" s="122">
        <f>VLOOKUP(C42,'Talente &amp; Stuff'!ER:FT,9,FALSE)</f>
        <v>0</v>
      </c>
      <c r="L42" s="122">
        <f>VLOOKUP(C42,'Talente &amp; Stuff'!ER:FT,10,FALSE)</f>
        <v>0</v>
      </c>
      <c r="M42" s="123">
        <f>VLOOKUP(C42,'Talente &amp; Stuff'!ER:FT,11,FALSE)</f>
        <v>0</v>
      </c>
      <c r="N42" s="90">
        <f>VLOOKUP(C42,'Talente &amp; Stuff'!ER:FT,12,FALSE)</f>
        <v>0</v>
      </c>
      <c r="O42" s="88">
        <f>VLOOKUP(C42,'Talente &amp; Stuff'!ER:FT,13,FALSE)</f>
        <v>0</v>
      </c>
      <c r="P42" s="123">
        <f>VLOOKUP(C42,'Talente &amp; Stuff'!ER:FT,14,FALSE)</f>
        <v>0</v>
      </c>
      <c r="Q42" s="115">
        <f>VLOOKUP(C42,'Talente &amp; Stuff'!ER:FT,15,FALSE)</f>
        <v>0</v>
      </c>
      <c r="R42" s="122">
        <f>VLOOKUP(C42,'Talente &amp; Stuff'!ER:FT,16,FALSE)</f>
        <v>0</v>
      </c>
      <c r="S42" s="123">
        <f>VLOOKUP(C42,'Talente &amp; Stuff'!ER:FT,17,FALSE)</f>
        <v>0</v>
      </c>
      <c r="T42" s="161">
        <f>VLOOKUP(C42,'Talente &amp; Stuff'!ER:FT,18,FALSE)</f>
        <v>0</v>
      </c>
      <c r="U42" s="90">
        <f>VLOOKUP(C42,'Talente &amp; Stuff'!ER:FT,19,FALSE)</f>
        <v>0</v>
      </c>
      <c r="V42" s="88">
        <f>VLOOKUP(C42,'Talente &amp; Stuff'!ER:FT,20,FALSE)</f>
        <v>0</v>
      </c>
      <c r="W42" s="128">
        <f>VLOOKUP(C42,'Talente &amp; Stuff'!ER:FT,21,FALSE)</f>
        <v>0</v>
      </c>
      <c r="X42" s="159">
        <f>VLOOKUP(C42,'Talente &amp; Stuff'!ER:FT,22,FALSE)</f>
        <v>0</v>
      </c>
      <c r="Y42" s="165">
        <f t="shared" si="4"/>
        <v>0</v>
      </c>
      <c r="Z42" s="44">
        <f t="shared" si="5"/>
        <v>0</v>
      </c>
      <c r="AA42" s="159">
        <f>VLOOKUP(C42,'Talente &amp; Stuff'!ER:FT,25,FALSE)</f>
        <v>0</v>
      </c>
      <c r="AB42" s="161">
        <f>VLOOKUP(C42,'Talente &amp; Stuff'!ER:FT,26,FALSE)</f>
        <v>0</v>
      </c>
      <c r="AC42" s="128">
        <f>VLOOKUP(C42,'Talente &amp; Stuff'!ER:FT,27,FALSE)</f>
        <v>0</v>
      </c>
      <c r="AD42" s="159">
        <f>VLOOKUP(C42,'Talente &amp; Stuff'!ER:FT,28,FALSE)</f>
        <v>0</v>
      </c>
      <c r="AE42" s="28"/>
    </row>
    <row r="43" spans="2:31" ht="15" hidden="1" customHeight="1" outlineLevel="1" collapsed="1">
      <c r="B43" s="134" t="s">
        <v>70</v>
      </c>
      <c r="C43" s="83"/>
      <c r="D43" s="84"/>
      <c r="E43" s="84"/>
      <c r="F43" s="30"/>
      <c r="G43" s="30"/>
      <c r="H43" s="30"/>
      <c r="I43" s="30"/>
      <c r="J43" s="30"/>
      <c r="K43" s="30"/>
      <c r="L43" s="30"/>
      <c r="M43" s="30"/>
      <c r="N43" s="31"/>
      <c r="O43" s="31"/>
      <c r="P43" s="30"/>
      <c r="Q43" s="30"/>
      <c r="R43" s="30"/>
      <c r="S43" s="30"/>
      <c r="T43" s="30"/>
      <c r="U43" s="31"/>
      <c r="V43" s="31"/>
      <c r="W43" s="31"/>
      <c r="X43" s="31"/>
      <c r="Y43" s="65"/>
    </row>
    <row r="44" spans="2:31" ht="15" hidden="1" customHeight="1" outlineLevel="2">
      <c r="B44" s="148">
        <v>1</v>
      </c>
      <c r="C44" s="176" t="str">
        <f>Attribute!C44</f>
        <v>---</v>
      </c>
      <c r="D44" s="126" t="str">
        <f>VLOOKUP(C44,'Talente &amp; Stuff'!ER:FT,2,FALSE)</f>
        <v>--/--/--</v>
      </c>
      <c r="E44" s="158" t="str">
        <f>VLOOKUP(C44,'Talente &amp; Stuff'!ER:FT,3,FALSE)</f>
        <v>-</v>
      </c>
      <c r="F44" s="191">
        <f>VLOOKUP(C44,'Talente &amp; Stuff'!ER:FT,4,FALSE)</f>
        <v>0</v>
      </c>
      <c r="G44" s="118">
        <f>VLOOKUP(C44,'Talente &amp; Stuff'!ER:FT,5,FALSE)</f>
        <v>0</v>
      </c>
      <c r="H44" s="118">
        <f>VLOOKUP(C44,'Talente &amp; Stuff'!ER:FT,6,FALSE)</f>
        <v>0</v>
      </c>
      <c r="I44" s="118">
        <f>VLOOKUP(C44,'Talente &amp; Stuff'!ER:FT,7,FALSE)</f>
        <v>0</v>
      </c>
      <c r="J44" s="118">
        <f>VLOOKUP(C44,'Talente &amp; Stuff'!ER:FT,8,FALSE)</f>
        <v>0</v>
      </c>
      <c r="K44" s="118">
        <f>VLOOKUP(C44,'Talente &amp; Stuff'!ER:FT,9,FALSE)</f>
        <v>0</v>
      </c>
      <c r="L44" s="118">
        <f>VLOOKUP(C44,'Talente &amp; Stuff'!ER:FT,10,FALSE)</f>
        <v>0</v>
      </c>
      <c r="M44" s="92">
        <f>VLOOKUP(C44,'Talente &amp; Stuff'!ER:FT,11,FALSE)</f>
        <v>0</v>
      </c>
      <c r="N44" s="193">
        <f>VLOOKUP(C44,'Talente &amp; Stuff'!ER:FT,12,FALSE)</f>
        <v>0</v>
      </c>
      <c r="O44" s="116">
        <f>VLOOKUP(C44,'Talente &amp; Stuff'!ER:FT,13,FALSE)</f>
        <v>0</v>
      </c>
      <c r="P44" s="92">
        <f>VLOOKUP(C44,'Talente &amp; Stuff'!ER:FT,14,FALSE)</f>
        <v>0</v>
      </c>
      <c r="Q44" s="191">
        <f>VLOOKUP(C44,'Talente &amp; Stuff'!ER:FT,15,FALSE)</f>
        <v>0</v>
      </c>
      <c r="R44" s="118">
        <f>VLOOKUP(C44,'Talente &amp; Stuff'!ER:FT,16,FALSE)</f>
        <v>0</v>
      </c>
      <c r="S44" s="92">
        <f>VLOOKUP(C44,'Talente &amp; Stuff'!ER:FT,17,FALSE)</f>
        <v>0</v>
      </c>
      <c r="T44" s="91">
        <f>VLOOKUP(C44,'Talente &amp; Stuff'!ER:FT,18,FALSE)</f>
        <v>0</v>
      </c>
      <c r="U44" s="193">
        <f>VLOOKUP(C44,'Talente &amp; Stuff'!ER:FT,19,FALSE)</f>
        <v>0</v>
      </c>
      <c r="V44" s="116">
        <f>VLOOKUP(C44,'Talente &amp; Stuff'!ER:FT,20,FALSE)</f>
        <v>0</v>
      </c>
      <c r="W44" s="126">
        <f>VLOOKUP(C44,'Talente &amp; Stuff'!ER:FT,21,FALSE)</f>
        <v>0</v>
      </c>
      <c r="X44" s="158">
        <f>VLOOKUP(C44,'Talente &amp; Stuff'!ER:FT,22,FALSE)</f>
        <v>0</v>
      </c>
      <c r="Y44" s="165">
        <f t="shared" ref="Y44:Y55" si="6">VLOOKUP(C44,Ausgewählte_Talente_Wissenstalente,168,FALSE)</f>
        <v>0</v>
      </c>
      <c r="Z44" s="44">
        <f t="shared" ref="Z44:Z55" si="7">VLOOKUP(C44,Ausgewählte_Talente_Wissenstalente,169,FALSE)</f>
        <v>0</v>
      </c>
      <c r="AA44" s="158">
        <f>VLOOKUP(C44,'Talente &amp; Stuff'!ER:FT,25,FALSE)</f>
        <v>0</v>
      </c>
      <c r="AB44" s="91">
        <f>VLOOKUP(C44,'Talente &amp; Stuff'!ER:FT,26,FALSE)</f>
        <v>0</v>
      </c>
      <c r="AC44" s="126">
        <f>VLOOKUP(C44,'Talente &amp; Stuff'!ER:FT,27,FALSE)</f>
        <v>0</v>
      </c>
      <c r="AD44" s="158">
        <f>VLOOKUP(C44,'Talente &amp; Stuff'!ER:FT,28,FALSE)</f>
        <v>0</v>
      </c>
      <c r="AE44" s="28"/>
    </row>
    <row r="45" spans="2:31" ht="15" hidden="1" customHeight="1" outlineLevel="2">
      <c r="B45" s="148">
        <v>2</v>
      </c>
      <c r="C45" s="177" t="str">
        <f>Attribute!C45</f>
        <v>---</v>
      </c>
      <c r="D45" s="127" t="str">
        <f>VLOOKUP(C45,'Talente &amp; Stuff'!ER:FT,2,FALSE)</f>
        <v>--/--/--</v>
      </c>
      <c r="E45" s="125" t="str">
        <f>VLOOKUP(C45,'Talente &amp; Stuff'!ER:FT,3,FALSE)</f>
        <v>-</v>
      </c>
      <c r="F45" s="114">
        <f>VLOOKUP(C45,'Talente &amp; Stuff'!ER:FT,4,FALSE)</f>
        <v>0</v>
      </c>
      <c r="G45" s="113">
        <f>VLOOKUP(C45,'Talente &amp; Stuff'!ER:FT,5,FALSE)</f>
        <v>0</v>
      </c>
      <c r="H45" s="113">
        <f>VLOOKUP(C45,'Talente &amp; Stuff'!ER:FT,6,FALSE)</f>
        <v>0</v>
      </c>
      <c r="I45" s="113">
        <f>VLOOKUP(C45,'Talente &amp; Stuff'!ER:FT,7,FALSE)</f>
        <v>0</v>
      </c>
      <c r="J45" s="113">
        <f>VLOOKUP(C45,'Talente &amp; Stuff'!ER:FT,8,FALSE)</f>
        <v>0</v>
      </c>
      <c r="K45" s="113">
        <f>VLOOKUP(C45,'Talente &amp; Stuff'!ER:FT,9,FALSE)</f>
        <v>0</v>
      </c>
      <c r="L45" s="113">
        <f>VLOOKUP(C45,'Talente &amp; Stuff'!ER:FT,10,FALSE)</f>
        <v>0</v>
      </c>
      <c r="M45" s="119">
        <f>VLOOKUP(C45,'Talente &amp; Stuff'!ER:FT,11,FALSE)</f>
        <v>0</v>
      </c>
      <c r="N45" s="89">
        <f>VLOOKUP(C45,'Talente &amp; Stuff'!ER:FT,12,FALSE)</f>
        <v>0</v>
      </c>
      <c r="O45" s="47">
        <f>VLOOKUP(C45,'Talente &amp; Stuff'!ER:FT,13,FALSE)</f>
        <v>0</v>
      </c>
      <c r="P45" s="119">
        <f>VLOOKUP(C45,'Talente &amp; Stuff'!ER:FT,14,FALSE)</f>
        <v>0</v>
      </c>
      <c r="Q45" s="114">
        <f>VLOOKUP(C45,'Talente &amp; Stuff'!ER:FT,15,FALSE)</f>
        <v>0</v>
      </c>
      <c r="R45" s="113">
        <f>VLOOKUP(C45,'Talente &amp; Stuff'!ER:FT,16,FALSE)</f>
        <v>0</v>
      </c>
      <c r="S45" s="119">
        <f>VLOOKUP(C45,'Talente &amp; Stuff'!ER:FT,17,FALSE)</f>
        <v>0</v>
      </c>
      <c r="T45" s="160">
        <f>VLOOKUP(C45,'Talente &amp; Stuff'!ER:FT,18,FALSE)</f>
        <v>0</v>
      </c>
      <c r="U45" s="89">
        <f>VLOOKUP(C45,'Talente &amp; Stuff'!ER:FT,19,FALSE)</f>
        <v>0</v>
      </c>
      <c r="V45" s="47">
        <f>VLOOKUP(C45,'Talente &amp; Stuff'!ER:FT,20,FALSE)</f>
        <v>0</v>
      </c>
      <c r="W45" s="127">
        <f>VLOOKUP(C45,'Talente &amp; Stuff'!ER:FT,21,FALSE)</f>
        <v>0</v>
      </c>
      <c r="X45" s="125">
        <f>VLOOKUP(C45,'Talente &amp; Stuff'!ER:FT,22,FALSE)</f>
        <v>0</v>
      </c>
      <c r="Y45" s="165">
        <f t="shared" si="6"/>
        <v>0</v>
      </c>
      <c r="Z45" s="44">
        <f t="shared" si="7"/>
        <v>0</v>
      </c>
      <c r="AA45" s="125">
        <f>VLOOKUP(C45,'Talente &amp; Stuff'!ER:FT,25,FALSE)</f>
        <v>0</v>
      </c>
      <c r="AB45" s="160">
        <f>VLOOKUP(C45,'Talente &amp; Stuff'!ER:FT,26,FALSE)</f>
        <v>0</v>
      </c>
      <c r="AC45" s="127">
        <f>VLOOKUP(C45,'Talente &amp; Stuff'!ER:FT,27,FALSE)</f>
        <v>0</v>
      </c>
      <c r="AD45" s="125">
        <f>VLOOKUP(C45,'Talente &amp; Stuff'!ER:FT,28,FALSE)</f>
        <v>0</v>
      </c>
      <c r="AE45" s="28"/>
    </row>
    <row r="46" spans="2:31" ht="15" hidden="1" customHeight="1" outlineLevel="2">
      <c r="B46" s="148">
        <v>3</v>
      </c>
      <c r="C46" s="177" t="str">
        <f>Attribute!C46</f>
        <v>---</v>
      </c>
      <c r="D46" s="127" t="str">
        <f>VLOOKUP(C46,'Talente &amp; Stuff'!ER:FT,2,FALSE)</f>
        <v>--/--/--</v>
      </c>
      <c r="E46" s="125" t="str">
        <f>VLOOKUP(C46,'Talente &amp; Stuff'!ER:FT,3,FALSE)</f>
        <v>-</v>
      </c>
      <c r="F46" s="114">
        <f>VLOOKUP(C46,'Talente &amp; Stuff'!ER:FT,4,FALSE)</f>
        <v>0</v>
      </c>
      <c r="G46" s="113">
        <f>VLOOKUP(C46,'Talente &amp; Stuff'!ER:FT,5,FALSE)</f>
        <v>0</v>
      </c>
      <c r="H46" s="113">
        <f>VLOOKUP(C46,'Talente &amp; Stuff'!ER:FT,6,FALSE)</f>
        <v>0</v>
      </c>
      <c r="I46" s="113">
        <f>VLOOKUP(C46,'Talente &amp; Stuff'!ER:FT,7,FALSE)</f>
        <v>0</v>
      </c>
      <c r="J46" s="113">
        <f>VLOOKUP(C46,'Talente &amp; Stuff'!ER:FT,8,FALSE)</f>
        <v>0</v>
      </c>
      <c r="K46" s="113">
        <f>VLOOKUP(C46,'Talente &amp; Stuff'!ER:FT,9,FALSE)</f>
        <v>0</v>
      </c>
      <c r="L46" s="113">
        <f>VLOOKUP(C46,'Talente &amp; Stuff'!ER:FT,10,FALSE)</f>
        <v>0</v>
      </c>
      <c r="M46" s="119">
        <f>VLOOKUP(C46,'Talente &amp; Stuff'!ER:FT,11,FALSE)</f>
        <v>0</v>
      </c>
      <c r="N46" s="89">
        <f>VLOOKUP(C46,'Talente &amp; Stuff'!ER:FT,12,FALSE)</f>
        <v>0</v>
      </c>
      <c r="O46" s="47">
        <f>VLOOKUP(C46,'Talente &amp; Stuff'!ER:FT,13,FALSE)</f>
        <v>0</v>
      </c>
      <c r="P46" s="119">
        <f>VLOOKUP(C46,'Talente &amp; Stuff'!ER:FT,14,FALSE)</f>
        <v>0</v>
      </c>
      <c r="Q46" s="114">
        <f>VLOOKUP(C46,'Talente &amp; Stuff'!ER:FT,15,FALSE)</f>
        <v>0</v>
      </c>
      <c r="R46" s="113">
        <f>VLOOKUP(C46,'Talente &amp; Stuff'!ER:FT,16,FALSE)</f>
        <v>0</v>
      </c>
      <c r="S46" s="119">
        <f>VLOOKUP(C46,'Talente &amp; Stuff'!ER:FT,17,FALSE)</f>
        <v>0</v>
      </c>
      <c r="T46" s="160">
        <f>VLOOKUP(C46,'Talente &amp; Stuff'!ER:FT,18,FALSE)</f>
        <v>0</v>
      </c>
      <c r="U46" s="89">
        <f>VLOOKUP(C46,'Talente &amp; Stuff'!ER:FT,19,FALSE)</f>
        <v>0</v>
      </c>
      <c r="V46" s="47">
        <f>VLOOKUP(C46,'Talente &amp; Stuff'!ER:FT,20,FALSE)</f>
        <v>0</v>
      </c>
      <c r="W46" s="127">
        <f>VLOOKUP(C46,'Talente &amp; Stuff'!ER:FT,21,FALSE)</f>
        <v>0</v>
      </c>
      <c r="X46" s="125">
        <f>VLOOKUP(C46,'Talente &amp; Stuff'!ER:FT,22,FALSE)</f>
        <v>0</v>
      </c>
      <c r="Y46" s="165">
        <f t="shared" si="6"/>
        <v>0</v>
      </c>
      <c r="Z46" s="44">
        <f t="shared" si="7"/>
        <v>0</v>
      </c>
      <c r="AA46" s="125">
        <f>VLOOKUP(C46,'Talente &amp; Stuff'!ER:FT,25,FALSE)</f>
        <v>0</v>
      </c>
      <c r="AB46" s="160">
        <f>VLOOKUP(C46,'Talente &amp; Stuff'!ER:FT,26,FALSE)</f>
        <v>0</v>
      </c>
      <c r="AC46" s="127">
        <f>VLOOKUP(C46,'Talente &amp; Stuff'!ER:FT,27,FALSE)</f>
        <v>0</v>
      </c>
      <c r="AD46" s="125">
        <f>VLOOKUP(C46,'Talente &amp; Stuff'!ER:FT,28,FALSE)</f>
        <v>0</v>
      </c>
      <c r="AE46" s="28"/>
    </row>
    <row r="47" spans="2:31" ht="15" hidden="1" customHeight="1" outlineLevel="2">
      <c r="B47" s="148">
        <v>4</v>
      </c>
      <c r="C47" s="177" t="str">
        <f>Attribute!C47</f>
        <v>---</v>
      </c>
      <c r="D47" s="127" t="str">
        <f>VLOOKUP(C47,'Talente &amp; Stuff'!ER:FT,2,FALSE)</f>
        <v>--/--/--</v>
      </c>
      <c r="E47" s="125" t="str">
        <f>VLOOKUP(C47,'Talente &amp; Stuff'!ER:FT,3,FALSE)</f>
        <v>-</v>
      </c>
      <c r="F47" s="114">
        <f>VLOOKUP(C47,'Talente &amp; Stuff'!ER:FT,4,FALSE)</f>
        <v>0</v>
      </c>
      <c r="G47" s="113">
        <f>VLOOKUP(C47,'Talente &amp; Stuff'!ER:FT,5,FALSE)</f>
        <v>0</v>
      </c>
      <c r="H47" s="113">
        <f>VLOOKUP(C47,'Talente &amp; Stuff'!ER:FT,6,FALSE)</f>
        <v>0</v>
      </c>
      <c r="I47" s="113">
        <f>VLOOKUP(C47,'Talente &amp; Stuff'!ER:FT,7,FALSE)</f>
        <v>0</v>
      </c>
      <c r="J47" s="113">
        <f>VLOOKUP(C47,'Talente &amp; Stuff'!ER:FT,8,FALSE)</f>
        <v>0</v>
      </c>
      <c r="K47" s="113">
        <f>VLOOKUP(C47,'Talente &amp; Stuff'!ER:FT,9,FALSE)</f>
        <v>0</v>
      </c>
      <c r="L47" s="113">
        <f>VLOOKUP(C47,'Talente &amp; Stuff'!ER:FT,10,FALSE)</f>
        <v>0</v>
      </c>
      <c r="M47" s="119">
        <f>VLOOKUP(C47,'Talente &amp; Stuff'!ER:FT,11,FALSE)</f>
        <v>0</v>
      </c>
      <c r="N47" s="89">
        <f>VLOOKUP(C47,'Talente &amp; Stuff'!ER:FT,12,FALSE)</f>
        <v>0</v>
      </c>
      <c r="O47" s="47">
        <f>VLOOKUP(C47,'Talente &amp; Stuff'!ER:FT,13,FALSE)</f>
        <v>0</v>
      </c>
      <c r="P47" s="119">
        <f>VLOOKUP(C47,'Talente &amp; Stuff'!ER:FT,14,FALSE)</f>
        <v>0</v>
      </c>
      <c r="Q47" s="114">
        <f>VLOOKUP(C47,'Talente &amp; Stuff'!ER:FT,15,FALSE)</f>
        <v>0</v>
      </c>
      <c r="R47" s="113">
        <f>VLOOKUP(C47,'Talente &amp; Stuff'!ER:FT,16,FALSE)</f>
        <v>0</v>
      </c>
      <c r="S47" s="119">
        <f>VLOOKUP(C47,'Talente &amp; Stuff'!ER:FT,17,FALSE)</f>
        <v>0</v>
      </c>
      <c r="T47" s="160">
        <f>VLOOKUP(C47,'Talente &amp; Stuff'!ER:FT,18,FALSE)</f>
        <v>0</v>
      </c>
      <c r="U47" s="89">
        <f>VLOOKUP(C47,'Talente &amp; Stuff'!ER:FT,19,FALSE)</f>
        <v>0</v>
      </c>
      <c r="V47" s="47">
        <f>VLOOKUP(C47,'Talente &amp; Stuff'!ER:FT,20,FALSE)</f>
        <v>0</v>
      </c>
      <c r="W47" s="127">
        <f>VLOOKUP(C47,'Talente &amp; Stuff'!ER:FT,21,FALSE)</f>
        <v>0</v>
      </c>
      <c r="X47" s="125">
        <f>VLOOKUP(C47,'Talente &amp; Stuff'!ER:FT,22,FALSE)</f>
        <v>0</v>
      </c>
      <c r="Y47" s="165">
        <f t="shared" si="6"/>
        <v>0</v>
      </c>
      <c r="Z47" s="44">
        <f t="shared" si="7"/>
        <v>0</v>
      </c>
      <c r="AA47" s="125">
        <f>VLOOKUP(C47,'Talente &amp; Stuff'!ER:FT,25,FALSE)</f>
        <v>0</v>
      </c>
      <c r="AB47" s="160">
        <f>VLOOKUP(C47,'Talente &amp; Stuff'!ER:FT,26,FALSE)</f>
        <v>0</v>
      </c>
      <c r="AC47" s="127">
        <f>VLOOKUP(C47,'Talente &amp; Stuff'!ER:FT,27,FALSE)</f>
        <v>0</v>
      </c>
      <c r="AD47" s="125">
        <f>VLOOKUP(C47,'Talente &amp; Stuff'!ER:FT,28,FALSE)</f>
        <v>0</v>
      </c>
      <c r="AE47" s="28"/>
    </row>
    <row r="48" spans="2:31" ht="15" hidden="1" customHeight="1" outlineLevel="2">
      <c r="B48" s="148">
        <v>5</v>
      </c>
      <c r="C48" s="177" t="str">
        <f>Attribute!C48</f>
        <v>---</v>
      </c>
      <c r="D48" s="127" t="str">
        <f>VLOOKUP(C48,'Talente &amp; Stuff'!ER:FT,2,FALSE)</f>
        <v>--/--/--</v>
      </c>
      <c r="E48" s="125" t="str">
        <f>VLOOKUP(C48,'Talente &amp; Stuff'!ER:FT,3,FALSE)</f>
        <v>-</v>
      </c>
      <c r="F48" s="114">
        <f>VLOOKUP(C48,'Talente &amp; Stuff'!ER:FT,4,FALSE)</f>
        <v>0</v>
      </c>
      <c r="G48" s="113">
        <f>VLOOKUP(C48,'Talente &amp; Stuff'!ER:FT,5,FALSE)</f>
        <v>0</v>
      </c>
      <c r="H48" s="113">
        <f>VLOOKUP(C48,'Talente &amp; Stuff'!ER:FT,6,FALSE)</f>
        <v>0</v>
      </c>
      <c r="I48" s="113">
        <f>VLOOKUP(C48,'Talente &amp; Stuff'!ER:FT,7,FALSE)</f>
        <v>0</v>
      </c>
      <c r="J48" s="113">
        <f>VLOOKUP(C48,'Talente &amp; Stuff'!ER:FT,8,FALSE)</f>
        <v>0</v>
      </c>
      <c r="K48" s="113">
        <f>VLOOKUP(C48,'Talente &amp; Stuff'!ER:FT,9,FALSE)</f>
        <v>0</v>
      </c>
      <c r="L48" s="113">
        <f>VLOOKUP(C48,'Talente &amp; Stuff'!ER:FT,10,FALSE)</f>
        <v>0</v>
      </c>
      <c r="M48" s="119">
        <f>VLOOKUP(C48,'Talente &amp; Stuff'!ER:FT,11,FALSE)</f>
        <v>0</v>
      </c>
      <c r="N48" s="89">
        <f>VLOOKUP(C48,'Talente &amp; Stuff'!ER:FT,12,FALSE)</f>
        <v>0</v>
      </c>
      <c r="O48" s="47">
        <f>VLOOKUP(C48,'Talente &amp; Stuff'!ER:FT,13,FALSE)</f>
        <v>0</v>
      </c>
      <c r="P48" s="119">
        <f>VLOOKUP(C48,'Talente &amp; Stuff'!ER:FT,14,FALSE)</f>
        <v>0</v>
      </c>
      <c r="Q48" s="114">
        <f>VLOOKUP(C48,'Talente &amp; Stuff'!ER:FT,15,FALSE)</f>
        <v>0</v>
      </c>
      <c r="R48" s="113">
        <f>VLOOKUP(C48,'Talente &amp; Stuff'!ER:FT,16,FALSE)</f>
        <v>0</v>
      </c>
      <c r="S48" s="119">
        <f>VLOOKUP(C48,'Talente &amp; Stuff'!ER:FT,17,FALSE)</f>
        <v>0</v>
      </c>
      <c r="T48" s="160">
        <f>VLOOKUP(C48,'Talente &amp; Stuff'!ER:FT,18,FALSE)</f>
        <v>0</v>
      </c>
      <c r="U48" s="89">
        <f>VLOOKUP(C48,'Talente &amp; Stuff'!ER:FT,19,FALSE)</f>
        <v>0</v>
      </c>
      <c r="V48" s="47">
        <f>VLOOKUP(C48,'Talente &amp; Stuff'!ER:FT,20,FALSE)</f>
        <v>0</v>
      </c>
      <c r="W48" s="127">
        <f>VLOOKUP(C48,'Talente &amp; Stuff'!ER:FT,21,FALSE)</f>
        <v>0</v>
      </c>
      <c r="X48" s="125">
        <f>VLOOKUP(C48,'Talente &amp; Stuff'!ER:FT,22,FALSE)</f>
        <v>0</v>
      </c>
      <c r="Y48" s="165">
        <f t="shared" si="6"/>
        <v>0</v>
      </c>
      <c r="Z48" s="44">
        <f t="shared" si="7"/>
        <v>0</v>
      </c>
      <c r="AA48" s="125">
        <f>VLOOKUP(C48,'Talente &amp; Stuff'!ER:FT,25,FALSE)</f>
        <v>0</v>
      </c>
      <c r="AB48" s="160">
        <f>VLOOKUP(C48,'Talente &amp; Stuff'!ER:FT,26,FALSE)</f>
        <v>0</v>
      </c>
      <c r="AC48" s="127">
        <f>VLOOKUP(C48,'Talente &amp; Stuff'!ER:FT,27,FALSE)</f>
        <v>0</v>
      </c>
      <c r="AD48" s="125">
        <f>VLOOKUP(C48,'Talente &amp; Stuff'!ER:FT,28,FALSE)</f>
        <v>0</v>
      </c>
      <c r="AE48" s="28"/>
    </row>
    <row r="49" spans="2:31" ht="15" hidden="1" customHeight="1" outlineLevel="2">
      <c r="B49" s="148">
        <v>6</v>
      </c>
      <c r="C49" s="177" t="str">
        <f>Attribute!C49</f>
        <v>---</v>
      </c>
      <c r="D49" s="127" t="str">
        <f>VLOOKUP(C49,'Talente &amp; Stuff'!ER:FT,2,FALSE)</f>
        <v>--/--/--</v>
      </c>
      <c r="E49" s="125" t="str">
        <f>VLOOKUP(C49,'Talente &amp; Stuff'!ER:FT,3,FALSE)</f>
        <v>-</v>
      </c>
      <c r="F49" s="114">
        <f>VLOOKUP(C49,'Talente &amp; Stuff'!ER:FT,4,FALSE)</f>
        <v>0</v>
      </c>
      <c r="G49" s="113">
        <f>VLOOKUP(C49,'Talente &amp; Stuff'!ER:FT,5,FALSE)</f>
        <v>0</v>
      </c>
      <c r="H49" s="113">
        <f>VLOOKUP(C49,'Talente &amp; Stuff'!ER:FT,6,FALSE)</f>
        <v>0</v>
      </c>
      <c r="I49" s="113">
        <f>VLOOKUP(C49,'Talente &amp; Stuff'!ER:FT,7,FALSE)</f>
        <v>0</v>
      </c>
      <c r="J49" s="113">
        <f>VLOOKUP(C49,'Talente &amp; Stuff'!ER:FT,8,FALSE)</f>
        <v>0</v>
      </c>
      <c r="K49" s="113">
        <f>VLOOKUP(C49,'Talente &amp; Stuff'!ER:FT,9,FALSE)</f>
        <v>0</v>
      </c>
      <c r="L49" s="113">
        <f>VLOOKUP(C49,'Talente &amp; Stuff'!ER:FT,10,FALSE)</f>
        <v>0</v>
      </c>
      <c r="M49" s="119">
        <f>VLOOKUP(C49,'Talente &amp; Stuff'!ER:FT,11,FALSE)</f>
        <v>0</v>
      </c>
      <c r="N49" s="89">
        <f>VLOOKUP(C49,'Talente &amp; Stuff'!ER:FT,12,FALSE)</f>
        <v>0</v>
      </c>
      <c r="O49" s="47">
        <f>VLOOKUP(C49,'Talente &amp; Stuff'!ER:FT,13,FALSE)</f>
        <v>0</v>
      </c>
      <c r="P49" s="119">
        <f>VLOOKUP(C49,'Talente &amp; Stuff'!ER:FT,14,FALSE)</f>
        <v>0</v>
      </c>
      <c r="Q49" s="114">
        <f>VLOOKUP(C49,'Talente &amp; Stuff'!ER:FT,15,FALSE)</f>
        <v>0</v>
      </c>
      <c r="R49" s="113">
        <f>VLOOKUP(C49,'Talente &amp; Stuff'!ER:FT,16,FALSE)</f>
        <v>0</v>
      </c>
      <c r="S49" s="119">
        <f>VLOOKUP(C49,'Talente &amp; Stuff'!ER:FT,17,FALSE)</f>
        <v>0</v>
      </c>
      <c r="T49" s="160">
        <f>VLOOKUP(C49,'Talente &amp; Stuff'!ER:FT,18,FALSE)</f>
        <v>0</v>
      </c>
      <c r="U49" s="89">
        <f>VLOOKUP(C49,'Talente &amp; Stuff'!ER:FT,19,FALSE)</f>
        <v>0</v>
      </c>
      <c r="V49" s="47">
        <f>VLOOKUP(C49,'Talente &amp; Stuff'!ER:FT,20,FALSE)</f>
        <v>0</v>
      </c>
      <c r="W49" s="127">
        <f>VLOOKUP(C49,'Talente &amp; Stuff'!ER:FT,21,FALSE)</f>
        <v>0</v>
      </c>
      <c r="X49" s="125">
        <f>VLOOKUP(C49,'Talente &amp; Stuff'!ER:FT,22,FALSE)</f>
        <v>0</v>
      </c>
      <c r="Y49" s="165">
        <f t="shared" si="6"/>
        <v>0</v>
      </c>
      <c r="Z49" s="44">
        <f t="shared" si="7"/>
        <v>0</v>
      </c>
      <c r="AA49" s="125">
        <f>VLOOKUP(C49,'Talente &amp; Stuff'!ER:FT,25,FALSE)</f>
        <v>0</v>
      </c>
      <c r="AB49" s="160">
        <f>VLOOKUP(C49,'Talente &amp; Stuff'!ER:FT,26,FALSE)</f>
        <v>0</v>
      </c>
      <c r="AC49" s="127">
        <f>VLOOKUP(C49,'Talente &amp; Stuff'!ER:FT,27,FALSE)</f>
        <v>0</v>
      </c>
      <c r="AD49" s="125">
        <f>VLOOKUP(C49,'Talente &amp; Stuff'!ER:FT,28,FALSE)</f>
        <v>0</v>
      </c>
      <c r="AE49" s="28"/>
    </row>
    <row r="50" spans="2:31" ht="15" hidden="1" customHeight="1" outlineLevel="2">
      <c r="B50" s="148">
        <v>7</v>
      </c>
      <c r="C50" s="177" t="str">
        <f>Attribute!C50</f>
        <v>---</v>
      </c>
      <c r="D50" s="127" t="str">
        <f>VLOOKUP(C50,'Talente &amp; Stuff'!ER:FT,2,FALSE)</f>
        <v>--/--/--</v>
      </c>
      <c r="E50" s="125" t="str">
        <f>VLOOKUP(C50,'Talente &amp; Stuff'!ER:FT,3,FALSE)</f>
        <v>-</v>
      </c>
      <c r="F50" s="114">
        <f>VLOOKUP(C50,'Talente &amp; Stuff'!ER:FT,4,FALSE)</f>
        <v>0</v>
      </c>
      <c r="G50" s="113">
        <f>VLOOKUP(C50,'Talente &amp; Stuff'!ER:FT,5,FALSE)</f>
        <v>0</v>
      </c>
      <c r="H50" s="113">
        <f>VLOOKUP(C50,'Talente &amp; Stuff'!ER:FT,6,FALSE)</f>
        <v>0</v>
      </c>
      <c r="I50" s="113">
        <f>VLOOKUP(C50,'Talente &amp; Stuff'!ER:FT,7,FALSE)</f>
        <v>0</v>
      </c>
      <c r="J50" s="113">
        <f>VLOOKUP(C50,'Talente &amp; Stuff'!ER:FT,8,FALSE)</f>
        <v>0</v>
      </c>
      <c r="K50" s="113">
        <f>VLOOKUP(C50,'Talente &amp; Stuff'!ER:FT,9,FALSE)</f>
        <v>0</v>
      </c>
      <c r="L50" s="113">
        <f>VLOOKUP(C50,'Talente &amp; Stuff'!ER:FT,10,FALSE)</f>
        <v>0</v>
      </c>
      <c r="M50" s="119">
        <f>VLOOKUP(C50,'Talente &amp; Stuff'!ER:FT,11,FALSE)</f>
        <v>0</v>
      </c>
      <c r="N50" s="89">
        <f>VLOOKUP(C50,'Talente &amp; Stuff'!ER:FT,12,FALSE)</f>
        <v>0</v>
      </c>
      <c r="O50" s="47">
        <f>VLOOKUP(C50,'Talente &amp; Stuff'!ER:FT,13,FALSE)</f>
        <v>0</v>
      </c>
      <c r="P50" s="119">
        <f>VLOOKUP(C50,'Talente &amp; Stuff'!ER:FT,14,FALSE)</f>
        <v>0</v>
      </c>
      <c r="Q50" s="114">
        <f>VLOOKUP(C50,'Talente &amp; Stuff'!ER:FT,15,FALSE)</f>
        <v>0</v>
      </c>
      <c r="R50" s="113">
        <f>VLOOKUP(C50,'Talente &amp; Stuff'!ER:FT,16,FALSE)</f>
        <v>0</v>
      </c>
      <c r="S50" s="119">
        <f>VLOOKUP(C50,'Talente &amp; Stuff'!ER:FT,17,FALSE)</f>
        <v>0</v>
      </c>
      <c r="T50" s="160">
        <f>VLOOKUP(C50,'Talente &amp; Stuff'!ER:FT,18,FALSE)</f>
        <v>0</v>
      </c>
      <c r="U50" s="89">
        <f>VLOOKUP(C50,'Talente &amp; Stuff'!ER:FT,19,FALSE)</f>
        <v>0</v>
      </c>
      <c r="V50" s="47">
        <f>VLOOKUP(C50,'Talente &amp; Stuff'!ER:FT,20,FALSE)</f>
        <v>0</v>
      </c>
      <c r="W50" s="127">
        <f>VLOOKUP(C50,'Talente &amp; Stuff'!ER:FT,21,FALSE)</f>
        <v>0</v>
      </c>
      <c r="X50" s="125">
        <f>VLOOKUP(C50,'Talente &amp; Stuff'!ER:FT,22,FALSE)</f>
        <v>0</v>
      </c>
      <c r="Y50" s="165">
        <f t="shared" si="6"/>
        <v>0</v>
      </c>
      <c r="Z50" s="44">
        <f t="shared" si="7"/>
        <v>0</v>
      </c>
      <c r="AA50" s="125">
        <f>VLOOKUP(C50,'Talente &amp; Stuff'!ER:FT,25,FALSE)</f>
        <v>0</v>
      </c>
      <c r="AB50" s="160">
        <f>VLOOKUP(C50,'Talente &amp; Stuff'!ER:FT,26,FALSE)</f>
        <v>0</v>
      </c>
      <c r="AC50" s="127">
        <f>VLOOKUP(C50,'Talente &amp; Stuff'!ER:FT,27,FALSE)</f>
        <v>0</v>
      </c>
      <c r="AD50" s="125">
        <f>VLOOKUP(C50,'Talente &amp; Stuff'!ER:FT,28,FALSE)</f>
        <v>0</v>
      </c>
      <c r="AE50" s="28"/>
    </row>
    <row r="51" spans="2:31" ht="15" hidden="1" customHeight="1" outlineLevel="2">
      <c r="B51" s="148">
        <v>8</v>
      </c>
      <c r="C51" s="177" t="str">
        <f>Attribute!C51</f>
        <v>---</v>
      </c>
      <c r="D51" s="127" t="str">
        <f>VLOOKUP(C51,'Talente &amp; Stuff'!ER:FT,2,FALSE)</f>
        <v>--/--/--</v>
      </c>
      <c r="E51" s="125" t="str">
        <f>VLOOKUP(C51,'Talente &amp; Stuff'!ER:FT,3,FALSE)</f>
        <v>-</v>
      </c>
      <c r="F51" s="114">
        <f>VLOOKUP(C51,'Talente &amp; Stuff'!ER:FT,4,FALSE)</f>
        <v>0</v>
      </c>
      <c r="G51" s="113">
        <f>VLOOKUP(C51,'Talente &amp; Stuff'!ER:FT,5,FALSE)</f>
        <v>0</v>
      </c>
      <c r="H51" s="113">
        <f>VLOOKUP(C51,'Talente &amp; Stuff'!ER:FT,6,FALSE)</f>
        <v>0</v>
      </c>
      <c r="I51" s="113">
        <f>VLOOKUP(C51,'Talente &amp; Stuff'!ER:FT,7,FALSE)</f>
        <v>0</v>
      </c>
      <c r="J51" s="113">
        <f>VLOOKUP(C51,'Talente &amp; Stuff'!ER:FT,8,FALSE)</f>
        <v>0</v>
      </c>
      <c r="K51" s="113">
        <f>VLOOKUP(C51,'Talente &amp; Stuff'!ER:FT,9,FALSE)</f>
        <v>0</v>
      </c>
      <c r="L51" s="113">
        <f>VLOOKUP(C51,'Talente &amp; Stuff'!ER:FT,10,FALSE)</f>
        <v>0</v>
      </c>
      <c r="M51" s="119">
        <f>VLOOKUP(C51,'Talente &amp; Stuff'!ER:FT,11,FALSE)</f>
        <v>0</v>
      </c>
      <c r="N51" s="89">
        <f>VLOOKUP(C51,'Talente &amp; Stuff'!ER:FT,12,FALSE)</f>
        <v>0</v>
      </c>
      <c r="O51" s="47">
        <f>VLOOKUP(C51,'Talente &amp; Stuff'!ER:FT,13,FALSE)</f>
        <v>0</v>
      </c>
      <c r="P51" s="119">
        <f>VLOOKUP(C51,'Talente &amp; Stuff'!ER:FT,14,FALSE)</f>
        <v>0</v>
      </c>
      <c r="Q51" s="114">
        <f>VLOOKUP(C51,'Talente &amp; Stuff'!ER:FT,15,FALSE)</f>
        <v>0</v>
      </c>
      <c r="R51" s="113">
        <f>VLOOKUP(C51,'Talente &amp; Stuff'!ER:FT,16,FALSE)</f>
        <v>0</v>
      </c>
      <c r="S51" s="119">
        <f>VLOOKUP(C51,'Talente &amp; Stuff'!ER:FT,17,FALSE)</f>
        <v>0</v>
      </c>
      <c r="T51" s="160">
        <f>VLOOKUP(C51,'Talente &amp; Stuff'!ER:FT,18,FALSE)</f>
        <v>0</v>
      </c>
      <c r="U51" s="89">
        <f>VLOOKUP(C51,'Talente &amp; Stuff'!ER:FT,19,FALSE)</f>
        <v>0</v>
      </c>
      <c r="V51" s="47">
        <f>VLOOKUP(C51,'Talente &amp; Stuff'!ER:FT,20,FALSE)</f>
        <v>0</v>
      </c>
      <c r="W51" s="127">
        <f>VLOOKUP(C51,'Talente &amp; Stuff'!ER:FT,21,FALSE)</f>
        <v>0</v>
      </c>
      <c r="X51" s="125">
        <f>VLOOKUP(C51,'Talente &amp; Stuff'!ER:FT,22,FALSE)</f>
        <v>0</v>
      </c>
      <c r="Y51" s="165">
        <f t="shared" si="6"/>
        <v>0</v>
      </c>
      <c r="Z51" s="44">
        <f t="shared" si="7"/>
        <v>0</v>
      </c>
      <c r="AA51" s="125">
        <f>VLOOKUP(C51,'Talente &amp; Stuff'!ER:FT,25,FALSE)</f>
        <v>0</v>
      </c>
      <c r="AB51" s="160">
        <f>VLOOKUP(C51,'Talente &amp; Stuff'!ER:FT,26,FALSE)</f>
        <v>0</v>
      </c>
      <c r="AC51" s="127">
        <f>VLOOKUP(C51,'Talente &amp; Stuff'!ER:FT,27,FALSE)</f>
        <v>0</v>
      </c>
      <c r="AD51" s="125">
        <f>VLOOKUP(C51,'Talente &amp; Stuff'!ER:FT,28,FALSE)</f>
        <v>0</v>
      </c>
      <c r="AE51" s="28"/>
    </row>
    <row r="52" spans="2:31" ht="15" hidden="1" customHeight="1" outlineLevel="2">
      <c r="B52" s="148">
        <v>9</v>
      </c>
      <c r="C52" s="177" t="str">
        <f>Attribute!C52</f>
        <v>---</v>
      </c>
      <c r="D52" s="127" t="str">
        <f>VLOOKUP(C52,'Talente &amp; Stuff'!ER:FT,2,FALSE)</f>
        <v>--/--/--</v>
      </c>
      <c r="E52" s="125" t="str">
        <f>VLOOKUP(C52,'Talente &amp; Stuff'!ER:FT,3,FALSE)</f>
        <v>-</v>
      </c>
      <c r="F52" s="114">
        <f>VLOOKUP(C52,'Talente &amp; Stuff'!ER:FT,4,FALSE)</f>
        <v>0</v>
      </c>
      <c r="G52" s="113">
        <f>VLOOKUP(C52,'Talente &amp; Stuff'!ER:FT,5,FALSE)</f>
        <v>0</v>
      </c>
      <c r="H52" s="113">
        <f>VLOOKUP(C52,'Talente &amp; Stuff'!ER:FT,6,FALSE)</f>
        <v>0</v>
      </c>
      <c r="I52" s="113">
        <f>VLOOKUP(C52,'Talente &amp; Stuff'!ER:FT,7,FALSE)</f>
        <v>0</v>
      </c>
      <c r="J52" s="113">
        <f>VLOOKUP(C52,'Talente &amp; Stuff'!ER:FT,8,FALSE)</f>
        <v>0</v>
      </c>
      <c r="K52" s="113">
        <f>VLOOKUP(C52,'Talente &amp; Stuff'!ER:FT,9,FALSE)</f>
        <v>0</v>
      </c>
      <c r="L52" s="113">
        <f>VLOOKUP(C52,'Talente &amp; Stuff'!ER:FT,10,FALSE)</f>
        <v>0</v>
      </c>
      <c r="M52" s="119">
        <f>VLOOKUP(C52,'Talente &amp; Stuff'!ER:FT,11,FALSE)</f>
        <v>0</v>
      </c>
      <c r="N52" s="89">
        <f>VLOOKUP(C52,'Talente &amp; Stuff'!ER:FT,12,FALSE)</f>
        <v>0</v>
      </c>
      <c r="O52" s="47">
        <f>VLOOKUP(C52,'Talente &amp; Stuff'!ER:FT,13,FALSE)</f>
        <v>0</v>
      </c>
      <c r="P52" s="119">
        <f>VLOOKUP(C52,'Talente &amp; Stuff'!ER:FT,14,FALSE)</f>
        <v>0</v>
      </c>
      <c r="Q52" s="114">
        <f>VLOOKUP(C52,'Talente &amp; Stuff'!ER:FT,15,FALSE)</f>
        <v>0</v>
      </c>
      <c r="R52" s="113">
        <f>VLOOKUP(C52,'Talente &amp; Stuff'!ER:FT,16,FALSE)</f>
        <v>0</v>
      </c>
      <c r="S52" s="119">
        <f>VLOOKUP(C52,'Talente &amp; Stuff'!ER:FT,17,FALSE)</f>
        <v>0</v>
      </c>
      <c r="T52" s="160">
        <f>VLOOKUP(C52,'Talente &amp; Stuff'!ER:FT,18,FALSE)</f>
        <v>0</v>
      </c>
      <c r="U52" s="89">
        <f>VLOOKUP(C52,'Talente &amp; Stuff'!ER:FT,19,FALSE)</f>
        <v>0</v>
      </c>
      <c r="V52" s="47">
        <f>VLOOKUP(C52,'Talente &amp; Stuff'!ER:FT,20,FALSE)</f>
        <v>0</v>
      </c>
      <c r="W52" s="127">
        <f>VLOOKUP(C52,'Talente &amp; Stuff'!ER:FT,21,FALSE)</f>
        <v>0</v>
      </c>
      <c r="X52" s="125">
        <f>VLOOKUP(C52,'Talente &amp; Stuff'!ER:FT,22,FALSE)</f>
        <v>0</v>
      </c>
      <c r="Y52" s="165">
        <f t="shared" si="6"/>
        <v>0</v>
      </c>
      <c r="Z52" s="44">
        <f t="shared" si="7"/>
        <v>0</v>
      </c>
      <c r="AA52" s="125">
        <f>VLOOKUP(C52,'Talente &amp; Stuff'!ER:FT,25,FALSE)</f>
        <v>0</v>
      </c>
      <c r="AB52" s="160">
        <f>VLOOKUP(C52,'Talente &amp; Stuff'!ER:FT,26,FALSE)</f>
        <v>0</v>
      </c>
      <c r="AC52" s="127">
        <f>VLOOKUP(C52,'Talente &amp; Stuff'!ER:FT,27,FALSE)</f>
        <v>0</v>
      </c>
      <c r="AD52" s="125">
        <f>VLOOKUP(C52,'Talente &amp; Stuff'!ER:FT,28,FALSE)</f>
        <v>0</v>
      </c>
      <c r="AE52" s="28"/>
    </row>
    <row r="53" spans="2:31" ht="15" hidden="1" customHeight="1" outlineLevel="2">
      <c r="B53" s="148">
        <v>10</v>
      </c>
      <c r="C53" s="177" t="str">
        <f>Attribute!C53</f>
        <v>---</v>
      </c>
      <c r="D53" s="127" t="str">
        <f>VLOOKUP(C53,'Talente &amp; Stuff'!ER:FT,2,FALSE)</f>
        <v>--/--/--</v>
      </c>
      <c r="E53" s="125" t="str">
        <f>VLOOKUP(C53,'Talente &amp; Stuff'!ER:FT,3,FALSE)</f>
        <v>-</v>
      </c>
      <c r="F53" s="114">
        <f>VLOOKUP(C53,'Talente &amp; Stuff'!ER:FT,4,FALSE)</f>
        <v>0</v>
      </c>
      <c r="G53" s="113">
        <f>VLOOKUP(C53,'Talente &amp; Stuff'!ER:FT,5,FALSE)</f>
        <v>0</v>
      </c>
      <c r="H53" s="113">
        <f>VLOOKUP(C53,'Talente &amp; Stuff'!ER:FT,6,FALSE)</f>
        <v>0</v>
      </c>
      <c r="I53" s="113">
        <f>VLOOKUP(C53,'Talente &amp; Stuff'!ER:FT,7,FALSE)</f>
        <v>0</v>
      </c>
      <c r="J53" s="113">
        <f>VLOOKUP(C53,'Talente &amp; Stuff'!ER:FT,8,FALSE)</f>
        <v>0</v>
      </c>
      <c r="K53" s="113">
        <f>VLOOKUP(C53,'Talente &amp; Stuff'!ER:FT,9,FALSE)</f>
        <v>0</v>
      </c>
      <c r="L53" s="113">
        <f>VLOOKUP(C53,'Talente &amp; Stuff'!ER:FT,10,FALSE)</f>
        <v>0</v>
      </c>
      <c r="M53" s="119">
        <f>VLOOKUP(C53,'Talente &amp; Stuff'!ER:FT,11,FALSE)</f>
        <v>0</v>
      </c>
      <c r="N53" s="89">
        <f>VLOOKUP(C53,'Talente &amp; Stuff'!ER:FT,12,FALSE)</f>
        <v>0</v>
      </c>
      <c r="O53" s="47">
        <f>VLOOKUP(C53,'Talente &amp; Stuff'!ER:FT,13,FALSE)</f>
        <v>0</v>
      </c>
      <c r="P53" s="119">
        <f>VLOOKUP(C53,'Talente &amp; Stuff'!ER:FT,14,FALSE)</f>
        <v>0</v>
      </c>
      <c r="Q53" s="114">
        <f>VLOOKUP(C53,'Talente &amp; Stuff'!ER:FT,15,FALSE)</f>
        <v>0</v>
      </c>
      <c r="R53" s="113">
        <f>VLOOKUP(C53,'Talente &amp; Stuff'!ER:FT,16,FALSE)</f>
        <v>0</v>
      </c>
      <c r="S53" s="119">
        <f>VLOOKUP(C53,'Talente &amp; Stuff'!ER:FT,17,FALSE)</f>
        <v>0</v>
      </c>
      <c r="T53" s="160">
        <f>VLOOKUP(C53,'Talente &amp; Stuff'!ER:FT,18,FALSE)</f>
        <v>0</v>
      </c>
      <c r="U53" s="89">
        <f>VLOOKUP(C53,'Talente &amp; Stuff'!ER:FT,19,FALSE)</f>
        <v>0</v>
      </c>
      <c r="V53" s="47">
        <f>VLOOKUP(C53,'Talente &amp; Stuff'!ER:FT,20,FALSE)</f>
        <v>0</v>
      </c>
      <c r="W53" s="127">
        <f>VLOOKUP(C53,'Talente &amp; Stuff'!ER:FT,21,FALSE)</f>
        <v>0</v>
      </c>
      <c r="X53" s="125">
        <f>VLOOKUP(C53,'Talente &amp; Stuff'!ER:FT,22,FALSE)</f>
        <v>0</v>
      </c>
      <c r="Y53" s="165">
        <f t="shared" si="6"/>
        <v>0</v>
      </c>
      <c r="Z53" s="44">
        <f t="shared" si="7"/>
        <v>0</v>
      </c>
      <c r="AA53" s="125">
        <f>VLOOKUP(C53,'Talente &amp; Stuff'!ER:FT,25,FALSE)</f>
        <v>0</v>
      </c>
      <c r="AB53" s="160">
        <f>VLOOKUP(C53,'Talente &amp; Stuff'!ER:FT,26,FALSE)</f>
        <v>0</v>
      </c>
      <c r="AC53" s="127">
        <f>VLOOKUP(C53,'Talente &amp; Stuff'!ER:FT,27,FALSE)</f>
        <v>0</v>
      </c>
      <c r="AD53" s="125">
        <f>VLOOKUP(C53,'Talente &amp; Stuff'!ER:FT,28,FALSE)</f>
        <v>0</v>
      </c>
      <c r="AE53" s="28"/>
    </row>
    <row r="54" spans="2:31" ht="15" hidden="1" customHeight="1" outlineLevel="2">
      <c r="B54" s="148">
        <v>11</v>
      </c>
      <c r="C54" s="177" t="str">
        <f>Attribute!C54</f>
        <v>---</v>
      </c>
      <c r="D54" s="127" t="str">
        <f>VLOOKUP(C54,'Talente &amp; Stuff'!ER:FT,2,FALSE)</f>
        <v>--/--/--</v>
      </c>
      <c r="E54" s="125" t="str">
        <f>VLOOKUP(C54,'Talente &amp; Stuff'!ER:FT,3,FALSE)</f>
        <v>-</v>
      </c>
      <c r="F54" s="114">
        <f>VLOOKUP(C54,'Talente &amp; Stuff'!ER:FT,4,FALSE)</f>
        <v>0</v>
      </c>
      <c r="G54" s="113">
        <f>VLOOKUP(C54,'Talente &amp; Stuff'!ER:FT,5,FALSE)</f>
        <v>0</v>
      </c>
      <c r="H54" s="113">
        <f>VLOOKUP(C54,'Talente &amp; Stuff'!ER:FT,6,FALSE)</f>
        <v>0</v>
      </c>
      <c r="I54" s="113">
        <f>VLOOKUP(C54,'Talente &amp; Stuff'!ER:FT,7,FALSE)</f>
        <v>0</v>
      </c>
      <c r="J54" s="113">
        <f>VLOOKUP(C54,'Talente &amp; Stuff'!ER:FT,8,FALSE)</f>
        <v>0</v>
      </c>
      <c r="K54" s="113">
        <f>VLOOKUP(C54,'Talente &amp; Stuff'!ER:FT,9,FALSE)</f>
        <v>0</v>
      </c>
      <c r="L54" s="113">
        <f>VLOOKUP(C54,'Talente &amp; Stuff'!ER:FT,10,FALSE)</f>
        <v>0</v>
      </c>
      <c r="M54" s="119">
        <f>VLOOKUP(C54,'Talente &amp; Stuff'!ER:FT,11,FALSE)</f>
        <v>0</v>
      </c>
      <c r="N54" s="89">
        <f>VLOOKUP(C54,'Talente &amp; Stuff'!ER:FT,12,FALSE)</f>
        <v>0</v>
      </c>
      <c r="O54" s="47">
        <f>VLOOKUP(C54,'Talente &amp; Stuff'!ER:FT,13,FALSE)</f>
        <v>0</v>
      </c>
      <c r="P54" s="119">
        <f>VLOOKUP(C54,'Talente &amp; Stuff'!ER:FT,14,FALSE)</f>
        <v>0</v>
      </c>
      <c r="Q54" s="114">
        <f>VLOOKUP(C54,'Talente &amp; Stuff'!ER:FT,15,FALSE)</f>
        <v>0</v>
      </c>
      <c r="R54" s="113">
        <f>VLOOKUP(C54,'Talente &amp; Stuff'!ER:FT,16,FALSE)</f>
        <v>0</v>
      </c>
      <c r="S54" s="119">
        <f>VLOOKUP(C54,'Talente &amp; Stuff'!ER:FT,17,FALSE)</f>
        <v>0</v>
      </c>
      <c r="T54" s="160">
        <f>VLOOKUP(C54,'Talente &amp; Stuff'!ER:FT,18,FALSE)</f>
        <v>0</v>
      </c>
      <c r="U54" s="89">
        <f>VLOOKUP(C54,'Talente &amp; Stuff'!ER:FT,19,FALSE)</f>
        <v>0</v>
      </c>
      <c r="V54" s="47">
        <f>VLOOKUP(C54,'Talente &amp; Stuff'!ER:FT,20,FALSE)</f>
        <v>0</v>
      </c>
      <c r="W54" s="127">
        <f>VLOOKUP(C54,'Talente &amp; Stuff'!ER:FT,21,FALSE)</f>
        <v>0</v>
      </c>
      <c r="X54" s="125">
        <f>VLOOKUP(C54,'Talente &amp; Stuff'!ER:FT,22,FALSE)</f>
        <v>0</v>
      </c>
      <c r="Y54" s="165">
        <f t="shared" si="6"/>
        <v>0</v>
      </c>
      <c r="Z54" s="44">
        <f t="shared" si="7"/>
        <v>0</v>
      </c>
      <c r="AA54" s="125">
        <f>VLOOKUP(C54,'Talente &amp; Stuff'!ER:FT,25,FALSE)</f>
        <v>0</v>
      </c>
      <c r="AB54" s="160">
        <f>VLOOKUP(C54,'Talente &amp; Stuff'!ER:FT,26,FALSE)</f>
        <v>0</v>
      </c>
      <c r="AC54" s="127">
        <f>VLOOKUP(C54,'Talente &amp; Stuff'!ER:FT,27,FALSE)</f>
        <v>0</v>
      </c>
      <c r="AD54" s="125">
        <f>VLOOKUP(C54,'Talente &amp; Stuff'!ER:FT,28,FALSE)</f>
        <v>0</v>
      </c>
      <c r="AE54" s="28"/>
    </row>
    <row r="55" spans="2:31" ht="15" hidden="1" customHeight="1" outlineLevel="2">
      <c r="B55" s="148">
        <v>12</v>
      </c>
      <c r="C55" s="178" t="str">
        <f>Attribute!C55</f>
        <v>---</v>
      </c>
      <c r="D55" s="128" t="str">
        <f>VLOOKUP(C55,'Talente &amp; Stuff'!ER:FT,2,FALSE)</f>
        <v>--/--/--</v>
      </c>
      <c r="E55" s="159" t="str">
        <f>VLOOKUP(C55,'Talente &amp; Stuff'!ER:FT,3,FALSE)</f>
        <v>-</v>
      </c>
      <c r="F55" s="115">
        <f>VLOOKUP(C55,'Talente &amp; Stuff'!ER:FT,4,FALSE)</f>
        <v>0</v>
      </c>
      <c r="G55" s="122">
        <f>VLOOKUP(C55,'Talente &amp; Stuff'!ER:FT,5,FALSE)</f>
        <v>0</v>
      </c>
      <c r="H55" s="122">
        <f>VLOOKUP(C55,'Talente &amp; Stuff'!ER:FT,6,FALSE)</f>
        <v>0</v>
      </c>
      <c r="I55" s="122">
        <f>VLOOKUP(C55,'Talente &amp; Stuff'!ER:FT,7,FALSE)</f>
        <v>0</v>
      </c>
      <c r="J55" s="122">
        <f>VLOOKUP(C55,'Talente &amp; Stuff'!ER:FT,8,FALSE)</f>
        <v>0</v>
      </c>
      <c r="K55" s="122">
        <f>VLOOKUP(C55,'Talente &amp; Stuff'!ER:FT,9,FALSE)</f>
        <v>0</v>
      </c>
      <c r="L55" s="122">
        <f>VLOOKUP(C55,'Talente &amp; Stuff'!ER:FT,10,FALSE)</f>
        <v>0</v>
      </c>
      <c r="M55" s="123">
        <f>VLOOKUP(C55,'Talente &amp; Stuff'!ER:FT,11,FALSE)</f>
        <v>0</v>
      </c>
      <c r="N55" s="90">
        <f>VLOOKUP(C55,'Talente &amp; Stuff'!ER:FT,12,FALSE)</f>
        <v>0</v>
      </c>
      <c r="O55" s="88">
        <f>VLOOKUP(C55,'Talente &amp; Stuff'!ER:FT,13,FALSE)</f>
        <v>0</v>
      </c>
      <c r="P55" s="123">
        <f>VLOOKUP(C55,'Talente &amp; Stuff'!ER:FT,14,FALSE)</f>
        <v>0</v>
      </c>
      <c r="Q55" s="115">
        <f>VLOOKUP(C55,'Talente &amp; Stuff'!ER:FT,15,FALSE)</f>
        <v>0</v>
      </c>
      <c r="R55" s="122">
        <f>VLOOKUP(C55,'Talente &amp; Stuff'!ER:FT,16,FALSE)</f>
        <v>0</v>
      </c>
      <c r="S55" s="123">
        <f>VLOOKUP(C55,'Talente &amp; Stuff'!ER:FT,17,FALSE)</f>
        <v>0</v>
      </c>
      <c r="T55" s="161">
        <f>VLOOKUP(C55,'Talente &amp; Stuff'!ER:FT,18,FALSE)</f>
        <v>0</v>
      </c>
      <c r="U55" s="90">
        <f>VLOOKUP(C55,'Talente &amp; Stuff'!ER:FT,19,FALSE)</f>
        <v>0</v>
      </c>
      <c r="V55" s="88">
        <f>VLOOKUP(C55,'Talente &amp; Stuff'!ER:FT,20,FALSE)</f>
        <v>0</v>
      </c>
      <c r="W55" s="128">
        <f>VLOOKUP(C55,'Talente &amp; Stuff'!ER:FT,21,FALSE)</f>
        <v>0</v>
      </c>
      <c r="X55" s="159">
        <f>VLOOKUP(C55,'Talente &amp; Stuff'!ER:FT,22,FALSE)</f>
        <v>0</v>
      </c>
      <c r="Y55" s="165">
        <f t="shared" si="6"/>
        <v>0</v>
      </c>
      <c r="Z55" s="44">
        <f t="shared" si="7"/>
        <v>0</v>
      </c>
      <c r="AA55" s="159">
        <f>VLOOKUP(C55,'Talente &amp; Stuff'!ER:FT,25,FALSE)</f>
        <v>0</v>
      </c>
      <c r="AB55" s="161">
        <f>VLOOKUP(C55,'Talente &amp; Stuff'!ER:FT,26,FALSE)</f>
        <v>0</v>
      </c>
      <c r="AC55" s="128">
        <f>VLOOKUP(C55,'Talente &amp; Stuff'!ER:FT,27,FALSE)</f>
        <v>0</v>
      </c>
      <c r="AD55" s="159">
        <f>VLOOKUP(C55,'Talente &amp; Stuff'!ER:FT,28,FALSE)</f>
        <v>0</v>
      </c>
      <c r="AE55" s="28"/>
    </row>
    <row r="56" spans="2:31" ht="15" hidden="1" customHeight="1" outlineLevel="1" collapsed="1">
      <c r="B56" s="134" t="s">
        <v>71</v>
      </c>
      <c r="C56" s="83"/>
      <c r="D56" s="84"/>
      <c r="E56" s="84"/>
      <c r="F56" s="30"/>
      <c r="G56" s="30"/>
      <c r="H56" s="30"/>
      <c r="I56" s="30"/>
      <c r="J56" s="30"/>
      <c r="K56" s="30"/>
      <c r="L56" s="30"/>
      <c r="M56" s="30"/>
      <c r="N56" s="31"/>
      <c r="O56" s="31"/>
      <c r="P56" s="30"/>
      <c r="Q56" s="30"/>
      <c r="R56" s="30"/>
      <c r="S56" s="30"/>
      <c r="T56" s="30"/>
      <c r="U56" s="31"/>
      <c r="V56" s="31"/>
      <c r="W56" s="31"/>
      <c r="X56" s="31"/>
      <c r="Y56" s="65"/>
    </row>
    <row r="57" spans="2:31" ht="15" hidden="1" customHeight="1" outlineLevel="2">
      <c r="B57" s="148">
        <v>1</v>
      </c>
      <c r="C57" s="176" t="str">
        <f>Attribute!C57</f>
        <v>---</v>
      </c>
      <c r="D57" s="126" t="str">
        <f>VLOOKUP(C57,'Talente &amp; Stuff'!ER:FT,2,FALSE)</f>
        <v>--/--/--</v>
      </c>
      <c r="E57" s="158" t="str">
        <f>VLOOKUP(C57,'Talente &amp; Stuff'!ER:FT,3,FALSE)</f>
        <v>-</v>
      </c>
      <c r="F57" s="191">
        <f>VLOOKUP(C57,'Talente &amp; Stuff'!ER:FT,4,FALSE)</f>
        <v>0</v>
      </c>
      <c r="G57" s="118">
        <f>VLOOKUP(C57,'Talente &amp; Stuff'!ER:FT,5,FALSE)</f>
        <v>0</v>
      </c>
      <c r="H57" s="118">
        <f>VLOOKUP(C57,'Talente &amp; Stuff'!ER:FT,6,FALSE)</f>
        <v>0</v>
      </c>
      <c r="I57" s="118">
        <f>VLOOKUP(C57,'Talente &amp; Stuff'!ER:FT,7,FALSE)</f>
        <v>0</v>
      </c>
      <c r="J57" s="118">
        <f>VLOOKUP(C57,'Talente &amp; Stuff'!ER:FT,8,FALSE)</f>
        <v>0</v>
      </c>
      <c r="K57" s="118">
        <f>VLOOKUP(C57,'Talente &amp; Stuff'!ER:FT,9,FALSE)</f>
        <v>0</v>
      </c>
      <c r="L57" s="118">
        <f>VLOOKUP(C57,'Talente &amp; Stuff'!ER:FT,10,FALSE)</f>
        <v>0</v>
      </c>
      <c r="M57" s="92">
        <f>VLOOKUP(C57,'Talente &amp; Stuff'!ER:FT,11,FALSE)</f>
        <v>0</v>
      </c>
      <c r="N57" s="193">
        <f>VLOOKUP(C57,'Talente &amp; Stuff'!ER:FT,12,FALSE)</f>
        <v>0</v>
      </c>
      <c r="O57" s="116">
        <f>VLOOKUP(C57,'Talente &amp; Stuff'!ER:FT,13,FALSE)</f>
        <v>0</v>
      </c>
      <c r="P57" s="92">
        <f>VLOOKUP(C57,'Talente &amp; Stuff'!ER:FT,14,FALSE)</f>
        <v>0</v>
      </c>
      <c r="Q57" s="191">
        <f>VLOOKUP(C57,'Talente &amp; Stuff'!ER:FT,15,FALSE)</f>
        <v>0</v>
      </c>
      <c r="R57" s="118">
        <f>VLOOKUP(C57,'Talente &amp; Stuff'!ER:FT,16,FALSE)</f>
        <v>0</v>
      </c>
      <c r="S57" s="92">
        <f>VLOOKUP(C57,'Talente &amp; Stuff'!ER:FT,17,FALSE)</f>
        <v>0</v>
      </c>
      <c r="T57" s="91">
        <f>VLOOKUP(C57,'Talente &amp; Stuff'!ER:FT,18,FALSE)</f>
        <v>0</v>
      </c>
      <c r="U57" s="193">
        <f>VLOOKUP(C57,'Talente &amp; Stuff'!ER:FT,19,FALSE)</f>
        <v>0</v>
      </c>
      <c r="V57" s="116">
        <f>VLOOKUP(C57,'Talente &amp; Stuff'!ER:FT,20,FALSE)</f>
        <v>0</v>
      </c>
      <c r="W57" s="126">
        <f>VLOOKUP(C57,'Talente &amp; Stuff'!ER:FT,21,FALSE)</f>
        <v>0</v>
      </c>
      <c r="X57" s="158">
        <f>VLOOKUP(C57,'Talente &amp; Stuff'!ER:FT,22,FALSE)</f>
        <v>0</v>
      </c>
      <c r="Y57" s="165">
        <f t="shared" ref="Y57:Y73" si="8">VLOOKUP(C57,Ausgewählte_Talente_Handwerkstalente,168,FALSE)</f>
        <v>0</v>
      </c>
      <c r="Z57" s="44">
        <f t="shared" ref="Z57:Z73" si="9">VLOOKUP(C57,Ausgewählte_Talente_Handwerkstalente,169,FALSE)</f>
        <v>0</v>
      </c>
      <c r="AA57" s="158">
        <f>VLOOKUP(C57,'Talente &amp; Stuff'!ER:FT,25,FALSE)</f>
        <v>0</v>
      </c>
      <c r="AB57" s="91">
        <f>VLOOKUP(C57,'Talente &amp; Stuff'!ER:FT,26,FALSE)</f>
        <v>0</v>
      </c>
      <c r="AC57" s="126">
        <f>VLOOKUP(C57,'Talente &amp; Stuff'!ER:FT,27,FALSE)</f>
        <v>0</v>
      </c>
      <c r="AD57" s="158">
        <f>VLOOKUP(C57,'Talente &amp; Stuff'!ER:FT,28,FALSE)</f>
        <v>0</v>
      </c>
      <c r="AE57" s="28"/>
    </row>
    <row r="58" spans="2:31" ht="15" hidden="1" customHeight="1" outlineLevel="2">
      <c r="B58" s="148">
        <v>2</v>
      </c>
      <c r="C58" s="177" t="str">
        <f>Attribute!C58</f>
        <v>---</v>
      </c>
      <c r="D58" s="127" t="str">
        <f>VLOOKUP(C58,'Talente &amp; Stuff'!ER:FT,2,FALSE)</f>
        <v>--/--/--</v>
      </c>
      <c r="E58" s="125" t="str">
        <f>VLOOKUP(C58,'Talente &amp; Stuff'!ER:FT,3,FALSE)</f>
        <v>-</v>
      </c>
      <c r="F58" s="114">
        <f>VLOOKUP(C58,'Talente &amp; Stuff'!ER:FT,4,FALSE)</f>
        <v>0</v>
      </c>
      <c r="G58" s="113">
        <f>VLOOKUP(C58,'Talente &amp; Stuff'!ER:FT,5,FALSE)</f>
        <v>0</v>
      </c>
      <c r="H58" s="113">
        <f>VLOOKUP(C58,'Talente &amp; Stuff'!ER:FT,6,FALSE)</f>
        <v>0</v>
      </c>
      <c r="I58" s="113">
        <f>VLOOKUP(C58,'Talente &amp; Stuff'!ER:FT,7,FALSE)</f>
        <v>0</v>
      </c>
      <c r="J58" s="113">
        <f>VLOOKUP(C58,'Talente &amp; Stuff'!ER:FT,8,FALSE)</f>
        <v>0</v>
      </c>
      <c r="K58" s="113">
        <f>VLOOKUP(C58,'Talente &amp; Stuff'!ER:FT,9,FALSE)</f>
        <v>0</v>
      </c>
      <c r="L58" s="113">
        <f>VLOOKUP(C58,'Talente &amp; Stuff'!ER:FT,10,FALSE)</f>
        <v>0</v>
      </c>
      <c r="M58" s="119">
        <f>VLOOKUP(C58,'Talente &amp; Stuff'!ER:FT,11,FALSE)</f>
        <v>0</v>
      </c>
      <c r="N58" s="89">
        <f>VLOOKUP(C58,'Talente &amp; Stuff'!ER:FT,12,FALSE)</f>
        <v>0</v>
      </c>
      <c r="O58" s="47">
        <f>VLOOKUP(C58,'Talente &amp; Stuff'!ER:FT,13,FALSE)</f>
        <v>0</v>
      </c>
      <c r="P58" s="119">
        <f>VLOOKUP(C58,'Talente &amp; Stuff'!ER:FT,14,FALSE)</f>
        <v>0</v>
      </c>
      <c r="Q58" s="114">
        <f>VLOOKUP(C58,'Talente &amp; Stuff'!ER:FT,15,FALSE)</f>
        <v>0</v>
      </c>
      <c r="R58" s="113">
        <f>VLOOKUP(C58,'Talente &amp; Stuff'!ER:FT,16,FALSE)</f>
        <v>0</v>
      </c>
      <c r="S58" s="119">
        <f>VLOOKUP(C58,'Talente &amp; Stuff'!ER:FT,17,FALSE)</f>
        <v>0</v>
      </c>
      <c r="T58" s="160">
        <f>VLOOKUP(C58,'Talente &amp; Stuff'!ER:FT,18,FALSE)</f>
        <v>0</v>
      </c>
      <c r="U58" s="89">
        <f>VLOOKUP(C58,'Talente &amp; Stuff'!ER:FT,19,FALSE)</f>
        <v>0</v>
      </c>
      <c r="V58" s="47">
        <f>VLOOKUP(C58,'Talente &amp; Stuff'!ER:FT,20,FALSE)</f>
        <v>0</v>
      </c>
      <c r="W58" s="127">
        <f>VLOOKUP(C58,'Talente &amp; Stuff'!ER:FT,21,FALSE)</f>
        <v>0</v>
      </c>
      <c r="X58" s="125">
        <f>VLOOKUP(C58,'Talente &amp; Stuff'!ER:FT,22,FALSE)</f>
        <v>0</v>
      </c>
      <c r="Y58" s="165">
        <f t="shared" si="8"/>
        <v>0</v>
      </c>
      <c r="Z58" s="44">
        <f t="shared" si="9"/>
        <v>0</v>
      </c>
      <c r="AA58" s="125">
        <f>VLOOKUP(C58,'Talente &amp; Stuff'!ER:FT,25,FALSE)</f>
        <v>0</v>
      </c>
      <c r="AB58" s="160">
        <f>VLOOKUP(C58,'Talente &amp; Stuff'!ER:FT,26,FALSE)</f>
        <v>0</v>
      </c>
      <c r="AC58" s="127">
        <f>VLOOKUP(C58,'Talente &amp; Stuff'!ER:FT,27,FALSE)</f>
        <v>0</v>
      </c>
      <c r="AD58" s="125">
        <f>VLOOKUP(C58,'Talente &amp; Stuff'!ER:FT,28,FALSE)</f>
        <v>0</v>
      </c>
      <c r="AE58" s="28"/>
    </row>
    <row r="59" spans="2:31" ht="15" hidden="1" customHeight="1" outlineLevel="2">
      <c r="B59" s="148">
        <v>3</v>
      </c>
      <c r="C59" s="177" t="str">
        <f>Attribute!C59</f>
        <v>---</v>
      </c>
      <c r="D59" s="127" t="str">
        <f>VLOOKUP(C59,'Talente &amp; Stuff'!ER:FT,2,FALSE)</f>
        <v>--/--/--</v>
      </c>
      <c r="E59" s="125" t="str">
        <f>VLOOKUP(C59,'Talente &amp; Stuff'!ER:FT,3,FALSE)</f>
        <v>-</v>
      </c>
      <c r="F59" s="114">
        <f>VLOOKUP(C59,'Talente &amp; Stuff'!ER:FT,4,FALSE)</f>
        <v>0</v>
      </c>
      <c r="G59" s="113">
        <f>VLOOKUP(C59,'Talente &amp; Stuff'!ER:FT,5,FALSE)</f>
        <v>0</v>
      </c>
      <c r="H59" s="113">
        <f>VLOOKUP(C59,'Talente &amp; Stuff'!ER:FT,6,FALSE)</f>
        <v>0</v>
      </c>
      <c r="I59" s="113">
        <f>VLOOKUP(C59,'Talente &amp; Stuff'!ER:FT,7,FALSE)</f>
        <v>0</v>
      </c>
      <c r="J59" s="113">
        <f>VLOOKUP(C59,'Talente &amp; Stuff'!ER:FT,8,FALSE)</f>
        <v>0</v>
      </c>
      <c r="K59" s="113">
        <f>VLOOKUP(C59,'Talente &amp; Stuff'!ER:FT,9,FALSE)</f>
        <v>0</v>
      </c>
      <c r="L59" s="113">
        <f>VLOOKUP(C59,'Talente &amp; Stuff'!ER:FT,10,FALSE)</f>
        <v>0</v>
      </c>
      <c r="M59" s="119">
        <f>VLOOKUP(C59,'Talente &amp; Stuff'!ER:FT,11,FALSE)</f>
        <v>0</v>
      </c>
      <c r="N59" s="89">
        <f>VLOOKUP(C59,'Talente &amp; Stuff'!ER:FT,12,FALSE)</f>
        <v>0</v>
      </c>
      <c r="O59" s="47">
        <f>VLOOKUP(C59,'Talente &amp; Stuff'!ER:FT,13,FALSE)</f>
        <v>0</v>
      </c>
      <c r="P59" s="119">
        <f>VLOOKUP(C59,'Talente &amp; Stuff'!ER:FT,14,FALSE)</f>
        <v>0</v>
      </c>
      <c r="Q59" s="114">
        <f>VLOOKUP(C59,'Talente &amp; Stuff'!ER:FT,15,FALSE)</f>
        <v>0</v>
      </c>
      <c r="R59" s="113">
        <f>VLOOKUP(C59,'Talente &amp; Stuff'!ER:FT,16,FALSE)</f>
        <v>0</v>
      </c>
      <c r="S59" s="119">
        <f>VLOOKUP(C59,'Talente &amp; Stuff'!ER:FT,17,FALSE)</f>
        <v>0</v>
      </c>
      <c r="T59" s="160">
        <f>VLOOKUP(C59,'Talente &amp; Stuff'!ER:FT,18,FALSE)</f>
        <v>0</v>
      </c>
      <c r="U59" s="89">
        <f>VLOOKUP(C59,'Talente &amp; Stuff'!ER:FT,19,FALSE)</f>
        <v>0</v>
      </c>
      <c r="V59" s="47">
        <f>VLOOKUP(C59,'Talente &amp; Stuff'!ER:FT,20,FALSE)</f>
        <v>0</v>
      </c>
      <c r="W59" s="127">
        <f>VLOOKUP(C59,'Talente &amp; Stuff'!ER:FT,21,FALSE)</f>
        <v>0</v>
      </c>
      <c r="X59" s="125">
        <f>VLOOKUP(C59,'Talente &amp; Stuff'!ER:FT,22,FALSE)</f>
        <v>0</v>
      </c>
      <c r="Y59" s="165">
        <f t="shared" si="8"/>
        <v>0</v>
      </c>
      <c r="Z59" s="44">
        <f t="shared" si="9"/>
        <v>0</v>
      </c>
      <c r="AA59" s="125">
        <f>VLOOKUP(C59,'Talente &amp; Stuff'!ER:FT,25,FALSE)</f>
        <v>0</v>
      </c>
      <c r="AB59" s="160">
        <f>VLOOKUP(C59,'Talente &amp; Stuff'!ER:FT,26,FALSE)</f>
        <v>0</v>
      </c>
      <c r="AC59" s="127">
        <f>VLOOKUP(C59,'Talente &amp; Stuff'!ER:FT,27,FALSE)</f>
        <v>0</v>
      </c>
      <c r="AD59" s="125">
        <f>VLOOKUP(C59,'Talente &amp; Stuff'!ER:FT,28,FALSE)</f>
        <v>0</v>
      </c>
      <c r="AE59" s="28"/>
    </row>
    <row r="60" spans="2:31" ht="15" hidden="1" customHeight="1" outlineLevel="2">
      <c r="B60" s="148">
        <v>4</v>
      </c>
      <c r="C60" s="177" t="str">
        <f>Attribute!C60</f>
        <v>---</v>
      </c>
      <c r="D60" s="127" t="str">
        <f>VLOOKUP(C60,'Talente &amp; Stuff'!ER:FT,2,FALSE)</f>
        <v>--/--/--</v>
      </c>
      <c r="E60" s="125" t="str">
        <f>VLOOKUP(C60,'Talente &amp; Stuff'!ER:FT,3,FALSE)</f>
        <v>-</v>
      </c>
      <c r="F60" s="114">
        <f>VLOOKUP(C60,'Talente &amp; Stuff'!ER:FT,4,FALSE)</f>
        <v>0</v>
      </c>
      <c r="G60" s="113">
        <f>VLOOKUP(C60,'Talente &amp; Stuff'!ER:FT,5,FALSE)</f>
        <v>0</v>
      </c>
      <c r="H60" s="113">
        <f>VLOOKUP(C60,'Talente &amp; Stuff'!ER:FT,6,FALSE)</f>
        <v>0</v>
      </c>
      <c r="I60" s="113">
        <f>VLOOKUP(C60,'Talente &amp; Stuff'!ER:FT,7,FALSE)</f>
        <v>0</v>
      </c>
      <c r="J60" s="113">
        <f>VLOOKUP(C60,'Talente &amp; Stuff'!ER:FT,8,FALSE)</f>
        <v>0</v>
      </c>
      <c r="K60" s="113">
        <f>VLOOKUP(C60,'Talente &amp; Stuff'!ER:FT,9,FALSE)</f>
        <v>0</v>
      </c>
      <c r="L60" s="113">
        <f>VLOOKUP(C60,'Talente &amp; Stuff'!ER:FT,10,FALSE)</f>
        <v>0</v>
      </c>
      <c r="M60" s="119">
        <f>VLOOKUP(C60,'Talente &amp; Stuff'!ER:FT,11,FALSE)</f>
        <v>0</v>
      </c>
      <c r="N60" s="89">
        <f>VLOOKUP(C60,'Talente &amp; Stuff'!ER:FT,12,FALSE)</f>
        <v>0</v>
      </c>
      <c r="O60" s="47">
        <f>VLOOKUP(C60,'Talente &amp; Stuff'!ER:FT,13,FALSE)</f>
        <v>0</v>
      </c>
      <c r="P60" s="119">
        <f>VLOOKUP(C60,'Talente &amp; Stuff'!ER:FT,14,FALSE)</f>
        <v>0</v>
      </c>
      <c r="Q60" s="114">
        <f>VLOOKUP(C60,'Talente &amp; Stuff'!ER:FT,15,FALSE)</f>
        <v>0</v>
      </c>
      <c r="R60" s="113">
        <f>VLOOKUP(C60,'Talente &amp; Stuff'!ER:FT,16,FALSE)</f>
        <v>0</v>
      </c>
      <c r="S60" s="119">
        <f>VLOOKUP(C60,'Talente &amp; Stuff'!ER:FT,17,FALSE)</f>
        <v>0</v>
      </c>
      <c r="T60" s="160">
        <f>VLOOKUP(C60,'Talente &amp; Stuff'!ER:FT,18,FALSE)</f>
        <v>0</v>
      </c>
      <c r="U60" s="89">
        <f>VLOOKUP(C60,'Talente &amp; Stuff'!ER:FT,19,FALSE)</f>
        <v>0</v>
      </c>
      <c r="V60" s="47">
        <f>VLOOKUP(C60,'Talente &amp; Stuff'!ER:FT,20,FALSE)</f>
        <v>0</v>
      </c>
      <c r="W60" s="127">
        <f>VLOOKUP(C60,'Talente &amp; Stuff'!ER:FT,21,FALSE)</f>
        <v>0</v>
      </c>
      <c r="X60" s="125">
        <f>VLOOKUP(C60,'Talente &amp; Stuff'!ER:FT,22,FALSE)</f>
        <v>0</v>
      </c>
      <c r="Y60" s="165">
        <f t="shared" si="8"/>
        <v>0</v>
      </c>
      <c r="Z60" s="44">
        <f t="shared" si="9"/>
        <v>0</v>
      </c>
      <c r="AA60" s="125">
        <f>VLOOKUP(C60,'Talente &amp; Stuff'!ER:FT,25,FALSE)</f>
        <v>0</v>
      </c>
      <c r="AB60" s="160">
        <f>VLOOKUP(C60,'Talente &amp; Stuff'!ER:FT,26,FALSE)</f>
        <v>0</v>
      </c>
      <c r="AC60" s="127">
        <f>VLOOKUP(C60,'Talente &amp; Stuff'!ER:FT,27,FALSE)</f>
        <v>0</v>
      </c>
      <c r="AD60" s="125">
        <f>VLOOKUP(C60,'Talente &amp; Stuff'!ER:FT,28,FALSE)</f>
        <v>0</v>
      </c>
      <c r="AE60" s="28"/>
    </row>
    <row r="61" spans="2:31" ht="15" hidden="1" customHeight="1" outlineLevel="2">
      <c r="B61" s="148">
        <v>5</v>
      </c>
      <c r="C61" s="177" t="str">
        <f>Attribute!C61</f>
        <v>---</v>
      </c>
      <c r="D61" s="127" t="str">
        <f>VLOOKUP(C61,'Talente &amp; Stuff'!ER:FT,2,FALSE)</f>
        <v>--/--/--</v>
      </c>
      <c r="E61" s="125" t="str">
        <f>VLOOKUP(C61,'Talente &amp; Stuff'!ER:FT,3,FALSE)</f>
        <v>-</v>
      </c>
      <c r="F61" s="114">
        <f>VLOOKUP(C61,'Talente &amp; Stuff'!ER:FT,4,FALSE)</f>
        <v>0</v>
      </c>
      <c r="G61" s="113">
        <f>VLOOKUP(C61,'Talente &amp; Stuff'!ER:FT,5,FALSE)</f>
        <v>0</v>
      </c>
      <c r="H61" s="113">
        <f>VLOOKUP(C61,'Talente &amp; Stuff'!ER:FT,6,FALSE)</f>
        <v>0</v>
      </c>
      <c r="I61" s="113">
        <f>VLOOKUP(C61,'Talente &amp; Stuff'!ER:FT,7,FALSE)</f>
        <v>0</v>
      </c>
      <c r="J61" s="113">
        <f>VLOOKUP(C61,'Talente &amp; Stuff'!ER:FT,8,FALSE)</f>
        <v>0</v>
      </c>
      <c r="K61" s="113">
        <f>VLOOKUP(C61,'Talente &amp; Stuff'!ER:FT,9,FALSE)</f>
        <v>0</v>
      </c>
      <c r="L61" s="113">
        <f>VLOOKUP(C61,'Talente &amp; Stuff'!ER:FT,10,FALSE)</f>
        <v>0</v>
      </c>
      <c r="M61" s="119">
        <f>VLOOKUP(C61,'Talente &amp; Stuff'!ER:FT,11,FALSE)</f>
        <v>0</v>
      </c>
      <c r="N61" s="89">
        <f>VLOOKUP(C61,'Talente &amp; Stuff'!ER:FT,12,FALSE)</f>
        <v>0</v>
      </c>
      <c r="O61" s="47">
        <f>VLOOKUP(C61,'Talente &amp; Stuff'!ER:FT,13,FALSE)</f>
        <v>0</v>
      </c>
      <c r="P61" s="119">
        <f>VLOOKUP(C61,'Talente &amp; Stuff'!ER:FT,14,FALSE)</f>
        <v>0</v>
      </c>
      <c r="Q61" s="114">
        <f>VLOOKUP(C61,'Talente &amp; Stuff'!ER:FT,15,FALSE)</f>
        <v>0</v>
      </c>
      <c r="R61" s="113">
        <f>VLOOKUP(C61,'Talente &amp; Stuff'!ER:FT,16,FALSE)</f>
        <v>0</v>
      </c>
      <c r="S61" s="119">
        <f>VLOOKUP(C61,'Talente &amp; Stuff'!ER:FT,17,FALSE)</f>
        <v>0</v>
      </c>
      <c r="T61" s="160">
        <f>VLOOKUP(C61,'Talente &amp; Stuff'!ER:FT,18,FALSE)</f>
        <v>0</v>
      </c>
      <c r="U61" s="89">
        <f>VLOOKUP(C61,'Talente &amp; Stuff'!ER:FT,19,FALSE)</f>
        <v>0</v>
      </c>
      <c r="V61" s="47">
        <f>VLOOKUP(C61,'Talente &amp; Stuff'!ER:FT,20,FALSE)</f>
        <v>0</v>
      </c>
      <c r="W61" s="127">
        <f>VLOOKUP(C61,'Talente &amp; Stuff'!ER:FT,21,FALSE)</f>
        <v>0</v>
      </c>
      <c r="X61" s="125">
        <f>VLOOKUP(C61,'Talente &amp; Stuff'!ER:FT,22,FALSE)</f>
        <v>0</v>
      </c>
      <c r="Y61" s="165">
        <f t="shared" si="8"/>
        <v>0</v>
      </c>
      <c r="Z61" s="44">
        <f t="shared" si="9"/>
        <v>0</v>
      </c>
      <c r="AA61" s="125">
        <f>VLOOKUP(C61,'Talente &amp; Stuff'!ER:FT,25,FALSE)</f>
        <v>0</v>
      </c>
      <c r="AB61" s="160">
        <f>VLOOKUP(C61,'Talente &amp; Stuff'!ER:FT,26,FALSE)</f>
        <v>0</v>
      </c>
      <c r="AC61" s="127">
        <f>VLOOKUP(C61,'Talente &amp; Stuff'!ER:FT,27,FALSE)</f>
        <v>0</v>
      </c>
      <c r="AD61" s="125">
        <f>VLOOKUP(C61,'Talente &amp; Stuff'!ER:FT,28,FALSE)</f>
        <v>0</v>
      </c>
      <c r="AE61" s="28"/>
    </row>
    <row r="62" spans="2:31" ht="15" hidden="1" customHeight="1" outlineLevel="2">
      <c r="B62" s="148">
        <v>6</v>
      </c>
      <c r="C62" s="177" t="str">
        <f>Attribute!C62</f>
        <v>---</v>
      </c>
      <c r="D62" s="127" t="str">
        <f>VLOOKUP(C62,'Talente &amp; Stuff'!ER:FT,2,FALSE)</f>
        <v>--/--/--</v>
      </c>
      <c r="E62" s="125" t="str">
        <f>VLOOKUP(C62,'Talente &amp; Stuff'!ER:FT,3,FALSE)</f>
        <v>-</v>
      </c>
      <c r="F62" s="114">
        <f>VLOOKUP(C62,'Talente &amp; Stuff'!ER:FT,4,FALSE)</f>
        <v>0</v>
      </c>
      <c r="G62" s="113">
        <f>VLOOKUP(C62,'Talente &amp; Stuff'!ER:FT,5,FALSE)</f>
        <v>0</v>
      </c>
      <c r="H62" s="113">
        <f>VLOOKUP(C62,'Talente &amp; Stuff'!ER:FT,6,FALSE)</f>
        <v>0</v>
      </c>
      <c r="I62" s="113">
        <f>VLOOKUP(C62,'Talente &amp; Stuff'!ER:FT,7,FALSE)</f>
        <v>0</v>
      </c>
      <c r="J62" s="113">
        <f>VLOOKUP(C62,'Talente &amp; Stuff'!ER:FT,8,FALSE)</f>
        <v>0</v>
      </c>
      <c r="K62" s="113">
        <f>VLOOKUP(C62,'Talente &amp; Stuff'!ER:FT,9,FALSE)</f>
        <v>0</v>
      </c>
      <c r="L62" s="113">
        <f>VLOOKUP(C62,'Talente &amp; Stuff'!ER:FT,10,FALSE)</f>
        <v>0</v>
      </c>
      <c r="M62" s="119">
        <f>VLOOKUP(C62,'Talente &amp; Stuff'!ER:FT,11,FALSE)</f>
        <v>0</v>
      </c>
      <c r="N62" s="89">
        <f>VLOOKUP(C62,'Talente &amp; Stuff'!ER:FT,12,FALSE)</f>
        <v>0</v>
      </c>
      <c r="O62" s="47">
        <f>VLOOKUP(C62,'Talente &amp; Stuff'!ER:FT,13,FALSE)</f>
        <v>0</v>
      </c>
      <c r="P62" s="119">
        <f>VLOOKUP(C62,'Talente &amp; Stuff'!ER:FT,14,FALSE)</f>
        <v>0</v>
      </c>
      <c r="Q62" s="114">
        <f>VLOOKUP(C62,'Talente &amp; Stuff'!ER:FT,15,FALSE)</f>
        <v>0</v>
      </c>
      <c r="R62" s="113">
        <f>VLOOKUP(C62,'Talente &amp; Stuff'!ER:FT,16,FALSE)</f>
        <v>0</v>
      </c>
      <c r="S62" s="119">
        <f>VLOOKUP(C62,'Talente &amp; Stuff'!ER:FT,17,FALSE)</f>
        <v>0</v>
      </c>
      <c r="T62" s="160">
        <f>VLOOKUP(C62,'Talente &amp; Stuff'!ER:FT,18,FALSE)</f>
        <v>0</v>
      </c>
      <c r="U62" s="89">
        <f>VLOOKUP(C62,'Talente &amp; Stuff'!ER:FT,19,FALSE)</f>
        <v>0</v>
      </c>
      <c r="V62" s="47">
        <f>VLOOKUP(C62,'Talente &amp; Stuff'!ER:FT,20,FALSE)</f>
        <v>0</v>
      </c>
      <c r="W62" s="127">
        <f>VLOOKUP(C62,'Talente &amp; Stuff'!ER:FT,21,FALSE)</f>
        <v>0</v>
      </c>
      <c r="X62" s="125">
        <f>VLOOKUP(C62,'Talente &amp; Stuff'!ER:FT,22,FALSE)</f>
        <v>0</v>
      </c>
      <c r="Y62" s="165">
        <f t="shared" si="8"/>
        <v>0</v>
      </c>
      <c r="Z62" s="44">
        <f t="shared" si="9"/>
        <v>0</v>
      </c>
      <c r="AA62" s="125">
        <f>VLOOKUP(C62,'Talente &amp; Stuff'!ER:FT,25,FALSE)</f>
        <v>0</v>
      </c>
      <c r="AB62" s="160">
        <f>VLOOKUP(C62,'Talente &amp; Stuff'!ER:FT,26,FALSE)</f>
        <v>0</v>
      </c>
      <c r="AC62" s="127">
        <f>VLOOKUP(C62,'Talente &amp; Stuff'!ER:FT,27,FALSE)</f>
        <v>0</v>
      </c>
      <c r="AD62" s="125">
        <f>VLOOKUP(C62,'Talente &amp; Stuff'!ER:FT,28,FALSE)</f>
        <v>0</v>
      </c>
      <c r="AE62" s="28"/>
    </row>
    <row r="63" spans="2:31" ht="15" hidden="1" customHeight="1" outlineLevel="2">
      <c r="B63" s="148">
        <v>7</v>
      </c>
      <c r="C63" s="177" t="str">
        <f>Attribute!C63</f>
        <v>---</v>
      </c>
      <c r="D63" s="127" t="str">
        <f>VLOOKUP(C63,'Talente &amp; Stuff'!ER:FT,2,FALSE)</f>
        <v>--/--/--</v>
      </c>
      <c r="E63" s="125" t="str">
        <f>VLOOKUP(C63,'Talente &amp; Stuff'!ER:FT,3,FALSE)</f>
        <v>-</v>
      </c>
      <c r="F63" s="114">
        <f>VLOOKUP(C63,'Talente &amp; Stuff'!ER:FT,4,FALSE)</f>
        <v>0</v>
      </c>
      <c r="G63" s="113">
        <f>VLOOKUP(C63,'Talente &amp; Stuff'!ER:FT,5,FALSE)</f>
        <v>0</v>
      </c>
      <c r="H63" s="113">
        <f>VLOOKUP(C63,'Talente &amp; Stuff'!ER:FT,6,FALSE)</f>
        <v>0</v>
      </c>
      <c r="I63" s="113">
        <f>VLOOKUP(C63,'Talente &amp; Stuff'!ER:FT,7,FALSE)</f>
        <v>0</v>
      </c>
      <c r="J63" s="113">
        <f>VLOOKUP(C63,'Talente &amp; Stuff'!ER:FT,8,FALSE)</f>
        <v>0</v>
      </c>
      <c r="K63" s="113">
        <f>VLOOKUP(C63,'Talente &amp; Stuff'!ER:FT,9,FALSE)</f>
        <v>0</v>
      </c>
      <c r="L63" s="113">
        <f>VLOOKUP(C63,'Talente &amp; Stuff'!ER:FT,10,FALSE)</f>
        <v>0</v>
      </c>
      <c r="M63" s="119">
        <f>VLOOKUP(C63,'Talente &amp; Stuff'!ER:FT,11,FALSE)</f>
        <v>0</v>
      </c>
      <c r="N63" s="89">
        <f>VLOOKUP(C63,'Talente &amp; Stuff'!ER:FT,12,FALSE)</f>
        <v>0</v>
      </c>
      <c r="O63" s="47">
        <f>VLOOKUP(C63,'Talente &amp; Stuff'!ER:FT,13,FALSE)</f>
        <v>0</v>
      </c>
      <c r="P63" s="119">
        <f>VLOOKUP(C63,'Talente &amp; Stuff'!ER:FT,14,FALSE)</f>
        <v>0</v>
      </c>
      <c r="Q63" s="114">
        <f>VLOOKUP(C63,'Talente &amp; Stuff'!ER:FT,15,FALSE)</f>
        <v>0</v>
      </c>
      <c r="R63" s="113">
        <f>VLOOKUP(C63,'Talente &amp; Stuff'!ER:FT,16,FALSE)</f>
        <v>0</v>
      </c>
      <c r="S63" s="119">
        <f>VLOOKUP(C63,'Talente &amp; Stuff'!ER:FT,17,FALSE)</f>
        <v>0</v>
      </c>
      <c r="T63" s="160">
        <f>VLOOKUP(C63,'Talente &amp; Stuff'!ER:FT,18,FALSE)</f>
        <v>0</v>
      </c>
      <c r="U63" s="89">
        <f>VLOOKUP(C63,'Talente &amp; Stuff'!ER:FT,19,FALSE)</f>
        <v>0</v>
      </c>
      <c r="V63" s="47">
        <f>VLOOKUP(C63,'Talente &amp; Stuff'!ER:FT,20,FALSE)</f>
        <v>0</v>
      </c>
      <c r="W63" s="127">
        <f>VLOOKUP(C63,'Talente &amp; Stuff'!ER:FT,21,FALSE)</f>
        <v>0</v>
      </c>
      <c r="X63" s="125">
        <f>VLOOKUP(C63,'Talente &amp; Stuff'!ER:FT,22,FALSE)</f>
        <v>0</v>
      </c>
      <c r="Y63" s="165">
        <f t="shared" si="8"/>
        <v>0</v>
      </c>
      <c r="Z63" s="44">
        <f t="shared" si="9"/>
        <v>0</v>
      </c>
      <c r="AA63" s="125">
        <f>VLOOKUP(C63,'Talente &amp; Stuff'!ER:FT,25,FALSE)</f>
        <v>0</v>
      </c>
      <c r="AB63" s="160">
        <f>VLOOKUP(C63,'Talente &amp; Stuff'!ER:FT,26,FALSE)</f>
        <v>0</v>
      </c>
      <c r="AC63" s="127">
        <f>VLOOKUP(C63,'Talente &amp; Stuff'!ER:FT,27,FALSE)</f>
        <v>0</v>
      </c>
      <c r="AD63" s="125">
        <f>VLOOKUP(C63,'Talente &amp; Stuff'!ER:FT,28,FALSE)</f>
        <v>0</v>
      </c>
      <c r="AE63" s="28"/>
    </row>
    <row r="64" spans="2:31" ht="15" hidden="1" customHeight="1" outlineLevel="2">
      <c r="B64" s="148">
        <v>8</v>
      </c>
      <c r="C64" s="177" t="str">
        <f>Attribute!C64</f>
        <v>---</v>
      </c>
      <c r="D64" s="127" t="str">
        <f>VLOOKUP(C64,'Talente &amp; Stuff'!ER:FT,2,FALSE)</f>
        <v>--/--/--</v>
      </c>
      <c r="E64" s="125" t="str">
        <f>VLOOKUP(C64,'Talente &amp; Stuff'!ER:FT,3,FALSE)</f>
        <v>-</v>
      </c>
      <c r="F64" s="114">
        <f>VLOOKUP(C64,'Talente &amp; Stuff'!ER:FT,4,FALSE)</f>
        <v>0</v>
      </c>
      <c r="G64" s="113">
        <f>VLOOKUP(C64,'Talente &amp; Stuff'!ER:FT,5,FALSE)</f>
        <v>0</v>
      </c>
      <c r="H64" s="113">
        <f>VLOOKUP(C64,'Talente &amp; Stuff'!ER:FT,6,FALSE)</f>
        <v>0</v>
      </c>
      <c r="I64" s="113">
        <f>VLOOKUP(C64,'Talente &amp; Stuff'!ER:FT,7,FALSE)</f>
        <v>0</v>
      </c>
      <c r="J64" s="113">
        <f>VLOOKUP(C64,'Talente &amp; Stuff'!ER:FT,8,FALSE)</f>
        <v>0</v>
      </c>
      <c r="K64" s="113">
        <f>VLOOKUP(C64,'Talente &amp; Stuff'!ER:FT,9,FALSE)</f>
        <v>0</v>
      </c>
      <c r="L64" s="113">
        <f>VLOOKUP(C64,'Talente &amp; Stuff'!ER:FT,10,FALSE)</f>
        <v>0</v>
      </c>
      <c r="M64" s="119">
        <f>VLOOKUP(C64,'Talente &amp; Stuff'!ER:FT,11,FALSE)</f>
        <v>0</v>
      </c>
      <c r="N64" s="89">
        <f>VLOOKUP(C64,'Talente &amp; Stuff'!ER:FT,12,FALSE)</f>
        <v>0</v>
      </c>
      <c r="O64" s="47">
        <f>VLOOKUP(C64,'Talente &amp; Stuff'!ER:FT,13,FALSE)</f>
        <v>0</v>
      </c>
      <c r="P64" s="119">
        <f>VLOOKUP(C64,'Talente &amp; Stuff'!ER:FT,14,FALSE)</f>
        <v>0</v>
      </c>
      <c r="Q64" s="114">
        <f>VLOOKUP(C64,'Talente &amp; Stuff'!ER:FT,15,FALSE)</f>
        <v>0</v>
      </c>
      <c r="R64" s="113">
        <f>VLOOKUP(C64,'Talente &amp; Stuff'!ER:FT,16,FALSE)</f>
        <v>0</v>
      </c>
      <c r="S64" s="119">
        <f>VLOOKUP(C64,'Talente &amp; Stuff'!ER:FT,17,FALSE)</f>
        <v>0</v>
      </c>
      <c r="T64" s="160">
        <f>VLOOKUP(C64,'Talente &amp; Stuff'!ER:FT,18,FALSE)</f>
        <v>0</v>
      </c>
      <c r="U64" s="89">
        <f>VLOOKUP(C64,'Talente &amp; Stuff'!ER:FT,19,FALSE)</f>
        <v>0</v>
      </c>
      <c r="V64" s="47">
        <f>VLOOKUP(C64,'Talente &amp; Stuff'!ER:FT,20,FALSE)</f>
        <v>0</v>
      </c>
      <c r="W64" s="127">
        <f>VLOOKUP(C64,'Talente &amp; Stuff'!ER:FT,21,FALSE)</f>
        <v>0</v>
      </c>
      <c r="X64" s="125">
        <f>VLOOKUP(C64,'Talente &amp; Stuff'!ER:FT,22,FALSE)</f>
        <v>0</v>
      </c>
      <c r="Y64" s="165">
        <f t="shared" si="8"/>
        <v>0</v>
      </c>
      <c r="Z64" s="44">
        <f t="shared" si="9"/>
        <v>0</v>
      </c>
      <c r="AA64" s="125">
        <f>VLOOKUP(C64,'Talente &amp; Stuff'!ER:FT,25,FALSE)</f>
        <v>0</v>
      </c>
      <c r="AB64" s="160">
        <f>VLOOKUP(C64,'Talente &amp; Stuff'!ER:FT,26,FALSE)</f>
        <v>0</v>
      </c>
      <c r="AC64" s="127">
        <f>VLOOKUP(C64,'Talente &amp; Stuff'!ER:FT,27,FALSE)</f>
        <v>0</v>
      </c>
      <c r="AD64" s="125">
        <f>VLOOKUP(C64,'Talente &amp; Stuff'!ER:FT,28,FALSE)</f>
        <v>0</v>
      </c>
      <c r="AE64" s="28"/>
    </row>
    <row r="65" spans="1:31" ht="15" hidden="1" customHeight="1" outlineLevel="2">
      <c r="B65" s="148">
        <v>9</v>
      </c>
      <c r="C65" s="177" t="str">
        <f>Attribute!C65</f>
        <v>---</v>
      </c>
      <c r="D65" s="127" t="str">
        <f>VLOOKUP(C65,'Talente &amp; Stuff'!ER:FT,2,FALSE)</f>
        <v>--/--/--</v>
      </c>
      <c r="E65" s="125" t="str">
        <f>VLOOKUP(C65,'Talente &amp; Stuff'!ER:FT,3,FALSE)</f>
        <v>-</v>
      </c>
      <c r="F65" s="114">
        <f>VLOOKUP(C65,'Talente &amp; Stuff'!ER:FT,4,FALSE)</f>
        <v>0</v>
      </c>
      <c r="G65" s="113">
        <f>VLOOKUP(C65,'Talente &amp; Stuff'!ER:FT,5,FALSE)</f>
        <v>0</v>
      </c>
      <c r="H65" s="113">
        <f>VLOOKUP(C65,'Talente &amp; Stuff'!ER:FT,6,FALSE)</f>
        <v>0</v>
      </c>
      <c r="I65" s="113">
        <f>VLOOKUP(C65,'Talente &amp; Stuff'!ER:FT,7,FALSE)</f>
        <v>0</v>
      </c>
      <c r="J65" s="113">
        <f>VLOOKUP(C65,'Talente &amp; Stuff'!ER:FT,8,FALSE)</f>
        <v>0</v>
      </c>
      <c r="K65" s="113">
        <f>VLOOKUP(C65,'Talente &amp; Stuff'!ER:FT,9,FALSE)</f>
        <v>0</v>
      </c>
      <c r="L65" s="113">
        <f>VLOOKUP(C65,'Talente &amp; Stuff'!ER:FT,10,FALSE)</f>
        <v>0</v>
      </c>
      <c r="M65" s="119">
        <f>VLOOKUP(C65,'Talente &amp; Stuff'!ER:FT,11,FALSE)</f>
        <v>0</v>
      </c>
      <c r="N65" s="89">
        <f>VLOOKUP(C65,'Talente &amp; Stuff'!ER:FT,12,FALSE)</f>
        <v>0</v>
      </c>
      <c r="O65" s="47">
        <f>VLOOKUP(C65,'Talente &amp; Stuff'!ER:FT,13,FALSE)</f>
        <v>0</v>
      </c>
      <c r="P65" s="119">
        <f>VLOOKUP(C65,'Talente &amp; Stuff'!ER:FT,14,FALSE)</f>
        <v>0</v>
      </c>
      <c r="Q65" s="114">
        <f>VLOOKUP(C65,'Talente &amp; Stuff'!ER:FT,15,FALSE)</f>
        <v>0</v>
      </c>
      <c r="R65" s="113">
        <f>VLOOKUP(C65,'Talente &amp; Stuff'!ER:FT,16,FALSE)</f>
        <v>0</v>
      </c>
      <c r="S65" s="119">
        <f>VLOOKUP(C65,'Talente &amp; Stuff'!ER:FT,17,FALSE)</f>
        <v>0</v>
      </c>
      <c r="T65" s="160">
        <f>VLOOKUP(C65,'Talente &amp; Stuff'!ER:FT,18,FALSE)</f>
        <v>0</v>
      </c>
      <c r="U65" s="89">
        <f>VLOOKUP(C65,'Talente &amp; Stuff'!ER:FT,19,FALSE)</f>
        <v>0</v>
      </c>
      <c r="V65" s="47">
        <f>VLOOKUP(C65,'Talente &amp; Stuff'!ER:FT,20,FALSE)</f>
        <v>0</v>
      </c>
      <c r="W65" s="127">
        <f>VLOOKUP(C65,'Talente &amp; Stuff'!ER:FT,21,FALSE)</f>
        <v>0</v>
      </c>
      <c r="X65" s="125">
        <f>VLOOKUP(C65,'Talente &amp; Stuff'!ER:FT,22,FALSE)</f>
        <v>0</v>
      </c>
      <c r="Y65" s="165">
        <f t="shared" si="8"/>
        <v>0</v>
      </c>
      <c r="Z65" s="44">
        <f t="shared" si="9"/>
        <v>0</v>
      </c>
      <c r="AA65" s="125">
        <f>VLOOKUP(C65,'Talente &amp; Stuff'!ER:FT,25,FALSE)</f>
        <v>0</v>
      </c>
      <c r="AB65" s="160">
        <f>VLOOKUP(C65,'Talente &amp; Stuff'!ER:FT,26,FALSE)</f>
        <v>0</v>
      </c>
      <c r="AC65" s="127">
        <f>VLOOKUP(C65,'Talente &amp; Stuff'!ER:FT,27,FALSE)</f>
        <v>0</v>
      </c>
      <c r="AD65" s="125">
        <f>VLOOKUP(C65,'Talente &amp; Stuff'!ER:FT,28,FALSE)</f>
        <v>0</v>
      </c>
      <c r="AE65" s="28"/>
    </row>
    <row r="66" spans="1:31" ht="15" hidden="1" customHeight="1" outlineLevel="2">
      <c r="B66" s="148">
        <v>10</v>
      </c>
      <c r="C66" s="177" t="str">
        <f>Attribute!C66</f>
        <v>---</v>
      </c>
      <c r="D66" s="127" t="str">
        <f>VLOOKUP(C66,'Talente &amp; Stuff'!ER:FT,2,FALSE)</f>
        <v>--/--/--</v>
      </c>
      <c r="E66" s="125" t="str">
        <f>VLOOKUP(C66,'Talente &amp; Stuff'!ER:FT,3,FALSE)</f>
        <v>-</v>
      </c>
      <c r="F66" s="114">
        <f>VLOOKUP(C66,'Talente &amp; Stuff'!ER:FT,4,FALSE)</f>
        <v>0</v>
      </c>
      <c r="G66" s="113">
        <f>VLOOKUP(C66,'Talente &amp; Stuff'!ER:FT,5,FALSE)</f>
        <v>0</v>
      </c>
      <c r="H66" s="113">
        <f>VLOOKUP(C66,'Talente &amp; Stuff'!ER:FT,6,FALSE)</f>
        <v>0</v>
      </c>
      <c r="I66" s="113">
        <f>VLOOKUP(C66,'Talente &amp; Stuff'!ER:FT,7,FALSE)</f>
        <v>0</v>
      </c>
      <c r="J66" s="113">
        <f>VLOOKUP(C66,'Talente &amp; Stuff'!ER:FT,8,FALSE)</f>
        <v>0</v>
      </c>
      <c r="K66" s="113">
        <f>VLOOKUP(C66,'Talente &amp; Stuff'!ER:FT,9,FALSE)</f>
        <v>0</v>
      </c>
      <c r="L66" s="113">
        <f>VLOOKUP(C66,'Talente &amp; Stuff'!ER:FT,10,FALSE)</f>
        <v>0</v>
      </c>
      <c r="M66" s="119">
        <f>VLOOKUP(C66,'Talente &amp; Stuff'!ER:FT,11,FALSE)</f>
        <v>0</v>
      </c>
      <c r="N66" s="89">
        <f>VLOOKUP(C66,'Talente &amp; Stuff'!ER:FT,12,FALSE)</f>
        <v>0</v>
      </c>
      <c r="O66" s="47">
        <f>VLOOKUP(C66,'Talente &amp; Stuff'!ER:FT,13,FALSE)</f>
        <v>0</v>
      </c>
      <c r="P66" s="119">
        <f>VLOOKUP(C66,'Talente &amp; Stuff'!ER:FT,14,FALSE)</f>
        <v>0</v>
      </c>
      <c r="Q66" s="114">
        <f>VLOOKUP(C66,'Talente &amp; Stuff'!ER:FT,15,FALSE)</f>
        <v>0</v>
      </c>
      <c r="R66" s="113">
        <f>VLOOKUP(C66,'Talente &amp; Stuff'!ER:FT,16,FALSE)</f>
        <v>0</v>
      </c>
      <c r="S66" s="119">
        <f>VLOOKUP(C66,'Talente &amp; Stuff'!ER:FT,17,FALSE)</f>
        <v>0</v>
      </c>
      <c r="T66" s="160">
        <f>VLOOKUP(C66,'Talente &amp; Stuff'!ER:FT,18,FALSE)</f>
        <v>0</v>
      </c>
      <c r="U66" s="89">
        <f>VLOOKUP(C66,'Talente &amp; Stuff'!ER:FT,19,FALSE)</f>
        <v>0</v>
      </c>
      <c r="V66" s="47">
        <f>VLOOKUP(C66,'Talente &amp; Stuff'!ER:FT,20,FALSE)</f>
        <v>0</v>
      </c>
      <c r="W66" s="127">
        <f>VLOOKUP(C66,'Talente &amp; Stuff'!ER:FT,21,FALSE)</f>
        <v>0</v>
      </c>
      <c r="X66" s="125">
        <f>VLOOKUP(C66,'Talente &amp; Stuff'!ER:FT,22,FALSE)</f>
        <v>0</v>
      </c>
      <c r="Y66" s="165">
        <f t="shared" si="8"/>
        <v>0</v>
      </c>
      <c r="Z66" s="44">
        <f t="shared" si="9"/>
        <v>0</v>
      </c>
      <c r="AA66" s="125">
        <f>VLOOKUP(C66,'Talente &amp; Stuff'!ER:FT,25,FALSE)</f>
        <v>0</v>
      </c>
      <c r="AB66" s="160">
        <f>VLOOKUP(C66,'Talente &amp; Stuff'!ER:FT,26,FALSE)</f>
        <v>0</v>
      </c>
      <c r="AC66" s="127">
        <f>VLOOKUP(C66,'Talente &amp; Stuff'!ER:FT,27,FALSE)</f>
        <v>0</v>
      </c>
      <c r="AD66" s="125">
        <f>VLOOKUP(C66,'Talente &amp; Stuff'!ER:FT,28,FALSE)</f>
        <v>0</v>
      </c>
      <c r="AE66" s="28"/>
    </row>
    <row r="67" spans="1:31" ht="15" hidden="1" customHeight="1" outlineLevel="2">
      <c r="B67" s="148">
        <v>11</v>
      </c>
      <c r="C67" s="177" t="str">
        <f>Attribute!C67</f>
        <v>---</v>
      </c>
      <c r="D67" s="127" t="str">
        <f>VLOOKUP(C67,'Talente &amp; Stuff'!ER:FT,2,FALSE)</f>
        <v>--/--/--</v>
      </c>
      <c r="E67" s="125" t="str">
        <f>VLOOKUP(C67,'Talente &amp; Stuff'!ER:FT,3,FALSE)</f>
        <v>-</v>
      </c>
      <c r="F67" s="114">
        <f>VLOOKUP(C67,'Talente &amp; Stuff'!ER:FT,4,FALSE)</f>
        <v>0</v>
      </c>
      <c r="G67" s="113">
        <f>VLOOKUP(C67,'Talente &amp; Stuff'!ER:FT,5,FALSE)</f>
        <v>0</v>
      </c>
      <c r="H67" s="113">
        <f>VLOOKUP(C67,'Talente &amp; Stuff'!ER:FT,6,FALSE)</f>
        <v>0</v>
      </c>
      <c r="I67" s="113">
        <f>VLOOKUP(C67,'Talente &amp; Stuff'!ER:FT,7,FALSE)</f>
        <v>0</v>
      </c>
      <c r="J67" s="113">
        <f>VLOOKUP(C67,'Talente &amp; Stuff'!ER:FT,8,FALSE)</f>
        <v>0</v>
      </c>
      <c r="K67" s="113">
        <f>VLOOKUP(C67,'Talente &amp; Stuff'!ER:FT,9,FALSE)</f>
        <v>0</v>
      </c>
      <c r="L67" s="113">
        <f>VLOOKUP(C67,'Talente &amp; Stuff'!ER:FT,10,FALSE)</f>
        <v>0</v>
      </c>
      <c r="M67" s="119">
        <f>VLOOKUP(C67,'Talente &amp; Stuff'!ER:FT,11,FALSE)</f>
        <v>0</v>
      </c>
      <c r="N67" s="89">
        <f>VLOOKUP(C67,'Talente &amp; Stuff'!ER:FT,12,FALSE)</f>
        <v>0</v>
      </c>
      <c r="O67" s="47">
        <f>VLOOKUP(C67,'Talente &amp; Stuff'!ER:FT,13,FALSE)</f>
        <v>0</v>
      </c>
      <c r="P67" s="119">
        <f>VLOOKUP(C67,'Talente &amp; Stuff'!ER:FT,14,FALSE)</f>
        <v>0</v>
      </c>
      <c r="Q67" s="114">
        <f>VLOOKUP(C67,'Talente &amp; Stuff'!ER:FT,15,FALSE)</f>
        <v>0</v>
      </c>
      <c r="R67" s="113">
        <f>VLOOKUP(C67,'Talente &amp; Stuff'!ER:FT,16,FALSE)</f>
        <v>0</v>
      </c>
      <c r="S67" s="119">
        <f>VLOOKUP(C67,'Talente &amp; Stuff'!ER:FT,17,FALSE)</f>
        <v>0</v>
      </c>
      <c r="T67" s="160">
        <f>VLOOKUP(C67,'Talente &amp; Stuff'!ER:FT,18,FALSE)</f>
        <v>0</v>
      </c>
      <c r="U67" s="89">
        <f>VLOOKUP(C67,'Talente &amp; Stuff'!ER:FT,19,FALSE)</f>
        <v>0</v>
      </c>
      <c r="V67" s="47">
        <f>VLOOKUP(C67,'Talente &amp; Stuff'!ER:FT,20,FALSE)</f>
        <v>0</v>
      </c>
      <c r="W67" s="127">
        <f>VLOOKUP(C67,'Talente &amp; Stuff'!ER:FT,21,FALSE)</f>
        <v>0</v>
      </c>
      <c r="X67" s="125">
        <f>VLOOKUP(C67,'Talente &amp; Stuff'!ER:FT,22,FALSE)</f>
        <v>0</v>
      </c>
      <c r="Y67" s="165">
        <f t="shared" si="8"/>
        <v>0</v>
      </c>
      <c r="Z67" s="44">
        <f t="shared" si="9"/>
        <v>0</v>
      </c>
      <c r="AA67" s="125">
        <f>VLOOKUP(C67,'Talente &amp; Stuff'!ER:FT,25,FALSE)</f>
        <v>0</v>
      </c>
      <c r="AB67" s="160">
        <f>VLOOKUP(C67,'Talente &amp; Stuff'!ER:FT,26,FALSE)</f>
        <v>0</v>
      </c>
      <c r="AC67" s="127">
        <f>VLOOKUP(C67,'Talente &amp; Stuff'!ER:FT,27,FALSE)</f>
        <v>0</v>
      </c>
      <c r="AD67" s="125">
        <f>VLOOKUP(C67,'Talente &amp; Stuff'!ER:FT,28,FALSE)</f>
        <v>0</v>
      </c>
      <c r="AE67" s="28"/>
    </row>
    <row r="68" spans="1:31" ht="15" hidden="1" customHeight="1" outlineLevel="2">
      <c r="B68" s="148">
        <v>12</v>
      </c>
      <c r="C68" s="177" t="str">
        <f>Attribute!C68</f>
        <v>---</v>
      </c>
      <c r="D68" s="127" t="str">
        <f>VLOOKUP(C68,'Talente &amp; Stuff'!ER:FT,2,FALSE)</f>
        <v>--/--/--</v>
      </c>
      <c r="E68" s="125" t="str">
        <f>VLOOKUP(C68,'Talente &amp; Stuff'!ER:FT,3,FALSE)</f>
        <v>-</v>
      </c>
      <c r="F68" s="114">
        <f>VLOOKUP(C68,'Talente &amp; Stuff'!ER:FT,4,FALSE)</f>
        <v>0</v>
      </c>
      <c r="G68" s="113">
        <f>VLOOKUP(C68,'Talente &amp; Stuff'!ER:FT,5,FALSE)</f>
        <v>0</v>
      </c>
      <c r="H68" s="113">
        <f>VLOOKUP(C68,'Talente &amp; Stuff'!ER:FT,6,FALSE)</f>
        <v>0</v>
      </c>
      <c r="I68" s="113">
        <f>VLOOKUP(C68,'Talente &amp; Stuff'!ER:FT,7,FALSE)</f>
        <v>0</v>
      </c>
      <c r="J68" s="113">
        <f>VLOOKUP(C68,'Talente &amp; Stuff'!ER:FT,8,FALSE)</f>
        <v>0</v>
      </c>
      <c r="K68" s="113">
        <f>VLOOKUP(C68,'Talente &amp; Stuff'!ER:FT,9,FALSE)</f>
        <v>0</v>
      </c>
      <c r="L68" s="113">
        <f>VLOOKUP(C68,'Talente &amp; Stuff'!ER:FT,10,FALSE)</f>
        <v>0</v>
      </c>
      <c r="M68" s="119">
        <f>VLOOKUP(C68,'Talente &amp; Stuff'!ER:FT,11,FALSE)</f>
        <v>0</v>
      </c>
      <c r="N68" s="89">
        <f>VLOOKUP(C68,'Talente &amp; Stuff'!ER:FT,12,FALSE)</f>
        <v>0</v>
      </c>
      <c r="O68" s="47">
        <f>VLOOKUP(C68,'Talente &amp; Stuff'!ER:FT,13,FALSE)</f>
        <v>0</v>
      </c>
      <c r="P68" s="119">
        <f>VLOOKUP(C68,'Talente &amp; Stuff'!ER:FT,14,FALSE)</f>
        <v>0</v>
      </c>
      <c r="Q68" s="114">
        <f>VLOOKUP(C68,'Talente &amp; Stuff'!ER:FT,15,FALSE)</f>
        <v>0</v>
      </c>
      <c r="R68" s="113">
        <f>VLOOKUP(C68,'Talente &amp; Stuff'!ER:FT,16,FALSE)</f>
        <v>0</v>
      </c>
      <c r="S68" s="119">
        <f>VLOOKUP(C68,'Talente &amp; Stuff'!ER:FT,17,FALSE)</f>
        <v>0</v>
      </c>
      <c r="T68" s="160">
        <f>VLOOKUP(C68,'Talente &amp; Stuff'!ER:FT,18,FALSE)</f>
        <v>0</v>
      </c>
      <c r="U68" s="89">
        <f>VLOOKUP(C68,'Talente &amp; Stuff'!ER:FT,19,FALSE)</f>
        <v>0</v>
      </c>
      <c r="V68" s="47">
        <f>VLOOKUP(C68,'Talente &amp; Stuff'!ER:FT,20,FALSE)</f>
        <v>0</v>
      </c>
      <c r="W68" s="127">
        <f>VLOOKUP(C68,'Talente &amp; Stuff'!ER:FT,21,FALSE)</f>
        <v>0</v>
      </c>
      <c r="X68" s="125">
        <f>VLOOKUP(C68,'Talente &amp; Stuff'!ER:FT,22,FALSE)</f>
        <v>0</v>
      </c>
      <c r="Y68" s="165">
        <f t="shared" si="8"/>
        <v>0</v>
      </c>
      <c r="Z68" s="44">
        <f t="shared" si="9"/>
        <v>0</v>
      </c>
      <c r="AA68" s="125">
        <f>VLOOKUP(C68,'Talente &amp; Stuff'!ER:FT,25,FALSE)</f>
        <v>0</v>
      </c>
      <c r="AB68" s="160">
        <f>VLOOKUP(C68,'Talente &amp; Stuff'!ER:FT,26,FALSE)</f>
        <v>0</v>
      </c>
      <c r="AC68" s="127">
        <f>VLOOKUP(C68,'Talente &amp; Stuff'!ER:FT,27,FALSE)</f>
        <v>0</v>
      </c>
      <c r="AD68" s="125">
        <f>VLOOKUP(C68,'Talente &amp; Stuff'!ER:FT,28,FALSE)</f>
        <v>0</v>
      </c>
      <c r="AE68" s="28"/>
    </row>
    <row r="69" spans="1:31" ht="15" hidden="1" customHeight="1" outlineLevel="2">
      <c r="B69" s="148">
        <v>13</v>
      </c>
      <c r="C69" s="177" t="str">
        <f>Attribute!C69</f>
        <v>---</v>
      </c>
      <c r="D69" s="127" t="str">
        <f>VLOOKUP(C69,'Talente &amp; Stuff'!ER:FT,2,FALSE)</f>
        <v>--/--/--</v>
      </c>
      <c r="E69" s="125" t="str">
        <f>VLOOKUP(C69,'Talente &amp; Stuff'!ER:FT,3,FALSE)</f>
        <v>-</v>
      </c>
      <c r="F69" s="114">
        <f>VLOOKUP(C69,'Talente &amp; Stuff'!ER:FT,4,FALSE)</f>
        <v>0</v>
      </c>
      <c r="G69" s="113">
        <f>VLOOKUP(C69,'Talente &amp; Stuff'!ER:FT,5,FALSE)</f>
        <v>0</v>
      </c>
      <c r="H69" s="113">
        <f>VLOOKUP(C69,'Talente &amp; Stuff'!ER:FT,6,FALSE)</f>
        <v>0</v>
      </c>
      <c r="I69" s="113">
        <f>VLOOKUP(C69,'Talente &amp; Stuff'!ER:FT,7,FALSE)</f>
        <v>0</v>
      </c>
      <c r="J69" s="113">
        <f>VLOOKUP(C69,'Talente &amp; Stuff'!ER:FT,8,FALSE)</f>
        <v>0</v>
      </c>
      <c r="K69" s="113">
        <f>VLOOKUP(C69,'Talente &amp; Stuff'!ER:FT,9,FALSE)</f>
        <v>0</v>
      </c>
      <c r="L69" s="113">
        <f>VLOOKUP(C69,'Talente &amp; Stuff'!ER:FT,10,FALSE)</f>
        <v>0</v>
      </c>
      <c r="M69" s="119">
        <f>VLOOKUP(C69,'Talente &amp; Stuff'!ER:FT,11,FALSE)</f>
        <v>0</v>
      </c>
      <c r="N69" s="89">
        <f>VLOOKUP(C69,'Talente &amp; Stuff'!ER:FT,12,FALSE)</f>
        <v>0</v>
      </c>
      <c r="O69" s="47">
        <f>VLOOKUP(C69,'Talente &amp; Stuff'!ER:FT,13,FALSE)</f>
        <v>0</v>
      </c>
      <c r="P69" s="119">
        <f>VLOOKUP(C69,'Talente &amp; Stuff'!ER:FT,14,FALSE)</f>
        <v>0</v>
      </c>
      <c r="Q69" s="114">
        <f>VLOOKUP(C69,'Talente &amp; Stuff'!ER:FT,15,FALSE)</f>
        <v>0</v>
      </c>
      <c r="R69" s="113">
        <f>VLOOKUP(C69,'Talente &amp; Stuff'!ER:FT,16,FALSE)</f>
        <v>0</v>
      </c>
      <c r="S69" s="119">
        <f>VLOOKUP(C69,'Talente &amp; Stuff'!ER:FT,17,FALSE)</f>
        <v>0</v>
      </c>
      <c r="T69" s="160">
        <f>VLOOKUP(C69,'Talente &amp; Stuff'!ER:FT,18,FALSE)</f>
        <v>0</v>
      </c>
      <c r="U69" s="89">
        <f>VLOOKUP(C69,'Talente &amp; Stuff'!ER:FT,19,FALSE)</f>
        <v>0</v>
      </c>
      <c r="V69" s="47">
        <f>VLOOKUP(C69,'Talente &amp; Stuff'!ER:FT,20,FALSE)</f>
        <v>0</v>
      </c>
      <c r="W69" s="127">
        <f>VLOOKUP(C69,'Talente &amp; Stuff'!ER:FT,21,FALSE)</f>
        <v>0</v>
      </c>
      <c r="X69" s="125">
        <f>VLOOKUP(C69,'Talente &amp; Stuff'!ER:FT,22,FALSE)</f>
        <v>0</v>
      </c>
      <c r="Y69" s="165">
        <f t="shared" si="8"/>
        <v>0</v>
      </c>
      <c r="Z69" s="44">
        <f t="shared" si="9"/>
        <v>0</v>
      </c>
      <c r="AA69" s="125">
        <f>VLOOKUP(C69,'Talente &amp; Stuff'!ER:FT,25,FALSE)</f>
        <v>0</v>
      </c>
      <c r="AB69" s="160">
        <f>VLOOKUP(C69,'Talente &amp; Stuff'!ER:FT,26,FALSE)</f>
        <v>0</v>
      </c>
      <c r="AC69" s="127">
        <f>VLOOKUP(C69,'Talente &amp; Stuff'!ER:FT,27,FALSE)</f>
        <v>0</v>
      </c>
      <c r="AD69" s="125">
        <f>VLOOKUP(C69,'Talente &amp; Stuff'!ER:FT,28,FALSE)</f>
        <v>0</v>
      </c>
      <c r="AE69" s="28"/>
    </row>
    <row r="70" spans="1:31" ht="15" hidden="1" customHeight="1" outlineLevel="2">
      <c r="B70" s="148">
        <v>14</v>
      </c>
      <c r="C70" s="177" t="str">
        <f>Attribute!C70</f>
        <v>---</v>
      </c>
      <c r="D70" s="127" t="str">
        <f>VLOOKUP(C70,'Talente &amp; Stuff'!ER:FT,2,FALSE)</f>
        <v>--/--/--</v>
      </c>
      <c r="E70" s="125" t="str">
        <f>VLOOKUP(C70,'Talente &amp; Stuff'!ER:FT,3,FALSE)</f>
        <v>-</v>
      </c>
      <c r="F70" s="114">
        <f>VLOOKUP(C70,'Talente &amp; Stuff'!ER:FT,4,FALSE)</f>
        <v>0</v>
      </c>
      <c r="G70" s="113">
        <f>VLOOKUP(C70,'Talente &amp; Stuff'!ER:FT,5,FALSE)</f>
        <v>0</v>
      </c>
      <c r="H70" s="113">
        <f>VLOOKUP(C70,'Talente &amp; Stuff'!ER:FT,6,FALSE)</f>
        <v>0</v>
      </c>
      <c r="I70" s="113">
        <f>VLOOKUP(C70,'Talente &amp; Stuff'!ER:FT,7,FALSE)</f>
        <v>0</v>
      </c>
      <c r="J70" s="113">
        <f>VLOOKUP(C70,'Talente &amp; Stuff'!ER:FT,8,FALSE)</f>
        <v>0</v>
      </c>
      <c r="K70" s="113">
        <f>VLOOKUP(C70,'Talente &amp; Stuff'!ER:FT,9,FALSE)</f>
        <v>0</v>
      </c>
      <c r="L70" s="113">
        <f>VLOOKUP(C70,'Talente &amp; Stuff'!ER:FT,10,FALSE)</f>
        <v>0</v>
      </c>
      <c r="M70" s="119">
        <f>VLOOKUP(C70,'Talente &amp; Stuff'!ER:FT,11,FALSE)</f>
        <v>0</v>
      </c>
      <c r="N70" s="89">
        <f>VLOOKUP(C70,'Talente &amp; Stuff'!ER:FT,12,FALSE)</f>
        <v>0</v>
      </c>
      <c r="O70" s="47">
        <f>VLOOKUP(C70,'Talente &amp; Stuff'!ER:FT,13,FALSE)</f>
        <v>0</v>
      </c>
      <c r="P70" s="119">
        <f>VLOOKUP(C70,'Talente &amp; Stuff'!ER:FT,14,FALSE)</f>
        <v>0</v>
      </c>
      <c r="Q70" s="114">
        <f>VLOOKUP(C70,'Talente &amp; Stuff'!ER:FT,15,FALSE)</f>
        <v>0</v>
      </c>
      <c r="R70" s="113">
        <f>VLOOKUP(C70,'Talente &amp; Stuff'!ER:FT,16,FALSE)</f>
        <v>0</v>
      </c>
      <c r="S70" s="119">
        <f>VLOOKUP(C70,'Talente &amp; Stuff'!ER:FT,17,FALSE)</f>
        <v>0</v>
      </c>
      <c r="T70" s="160">
        <f>VLOOKUP(C70,'Talente &amp; Stuff'!ER:FT,18,FALSE)</f>
        <v>0</v>
      </c>
      <c r="U70" s="89">
        <f>VLOOKUP(C70,'Talente &amp; Stuff'!ER:FT,19,FALSE)</f>
        <v>0</v>
      </c>
      <c r="V70" s="47">
        <f>VLOOKUP(C70,'Talente &amp; Stuff'!ER:FT,20,FALSE)</f>
        <v>0</v>
      </c>
      <c r="W70" s="127">
        <f>VLOOKUP(C70,'Talente &amp; Stuff'!ER:FT,21,FALSE)</f>
        <v>0</v>
      </c>
      <c r="X70" s="125">
        <f>VLOOKUP(C70,'Talente &amp; Stuff'!ER:FT,22,FALSE)</f>
        <v>0</v>
      </c>
      <c r="Y70" s="165">
        <f t="shared" si="8"/>
        <v>0</v>
      </c>
      <c r="Z70" s="44">
        <f t="shared" si="9"/>
        <v>0</v>
      </c>
      <c r="AA70" s="125">
        <f>VLOOKUP(C70,'Talente &amp; Stuff'!ER:FT,25,FALSE)</f>
        <v>0</v>
      </c>
      <c r="AB70" s="160">
        <f>VLOOKUP(C70,'Talente &amp; Stuff'!ER:FT,26,FALSE)</f>
        <v>0</v>
      </c>
      <c r="AC70" s="127">
        <f>VLOOKUP(C70,'Talente &amp; Stuff'!ER:FT,27,FALSE)</f>
        <v>0</v>
      </c>
      <c r="AD70" s="125">
        <f>VLOOKUP(C70,'Talente &amp; Stuff'!ER:FT,28,FALSE)</f>
        <v>0</v>
      </c>
      <c r="AE70" s="28"/>
    </row>
    <row r="71" spans="1:31" ht="15" hidden="1" customHeight="1" outlineLevel="2">
      <c r="B71" s="148">
        <v>15</v>
      </c>
      <c r="C71" s="177" t="str">
        <f>Attribute!C71</f>
        <v>---</v>
      </c>
      <c r="D71" s="127" t="str">
        <f>VLOOKUP(C71,'Talente &amp; Stuff'!ER:FT,2,FALSE)</f>
        <v>--/--/--</v>
      </c>
      <c r="E71" s="125" t="str">
        <f>VLOOKUP(C71,'Talente &amp; Stuff'!ER:FT,3,FALSE)</f>
        <v>-</v>
      </c>
      <c r="F71" s="114">
        <f>VLOOKUP(C71,'Talente &amp; Stuff'!ER:FT,4,FALSE)</f>
        <v>0</v>
      </c>
      <c r="G71" s="113">
        <f>VLOOKUP(C71,'Talente &amp; Stuff'!ER:FT,5,FALSE)</f>
        <v>0</v>
      </c>
      <c r="H71" s="113">
        <f>VLOOKUP(C71,'Talente &amp; Stuff'!ER:FT,6,FALSE)</f>
        <v>0</v>
      </c>
      <c r="I71" s="113">
        <f>VLOOKUP(C71,'Talente &amp; Stuff'!ER:FT,7,FALSE)</f>
        <v>0</v>
      </c>
      <c r="J71" s="113">
        <f>VLOOKUP(C71,'Talente &amp; Stuff'!ER:FT,8,FALSE)</f>
        <v>0</v>
      </c>
      <c r="K71" s="113">
        <f>VLOOKUP(C71,'Talente &amp; Stuff'!ER:FT,9,FALSE)</f>
        <v>0</v>
      </c>
      <c r="L71" s="113">
        <f>VLOOKUP(C71,'Talente &amp; Stuff'!ER:FT,10,FALSE)</f>
        <v>0</v>
      </c>
      <c r="M71" s="119">
        <f>VLOOKUP(C71,'Talente &amp; Stuff'!ER:FT,11,FALSE)</f>
        <v>0</v>
      </c>
      <c r="N71" s="89">
        <f>VLOOKUP(C71,'Talente &amp; Stuff'!ER:FT,12,FALSE)</f>
        <v>0</v>
      </c>
      <c r="O71" s="47">
        <f>VLOOKUP(C71,'Talente &amp; Stuff'!ER:FT,13,FALSE)</f>
        <v>0</v>
      </c>
      <c r="P71" s="119">
        <f>VLOOKUP(C71,'Talente &amp; Stuff'!ER:FT,14,FALSE)</f>
        <v>0</v>
      </c>
      <c r="Q71" s="114">
        <f>VLOOKUP(C71,'Talente &amp; Stuff'!ER:FT,15,FALSE)</f>
        <v>0</v>
      </c>
      <c r="R71" s="113">
        <f>VLOOKUP(C71,'Talente &amp; Stuff'!ER:FT,16,FALSE)</f>
        <v>0</v>
      </c>
      <c r="S71" s="119">
        <f>VLOOKUP(C71,'Talente &amp; Stuff'!ER:FT,17,FALSE)</f>
        <v>0</v>
      </c>
      <c r="T71" s="160">
        <f>VLOOKUP(C71,'Talente &amp; Stuff'!ER:FT,18,FALSE)</f>
        <v>0</v>
      </c>
      <c r="U71" s="89">
        <f>VLOOKUP(C71,'Talente &amp; Stuff'!ER:FT,19,FALSE)</f>
        <v>0</v>
      </c>
      <c r="V71" s="47">
        <f>VLOOKUP(C71,'Talente &amp; Stuff'!ER:FT,20,FALSE)</f>
        <v>0</v>
      </c>
      <c r="W71" s="127">
        <f>VLOOKUP(C71,'Talente &amp; Stuff'!ER:FT,21,FALSE)</f>
        <v>0</v>
      </c>
      <c r="X71" s="125">
        <f>VLOOKUP(C71,'Talente &amp; Stuff'!ER:FT,22,FALSE)</f>
        <v>0</v>
      </c>
      <c r="Y71" s="165">
        <f t="shared" si="8"/>
        <v>0</v>
      </c>
      <c r="Z71" s="44">
        <f t="shared" si="9"/>
        <v>0</v>
      </c>
      <c r="AA71" s="125">
        <f>VLOOKUP(C71,'Talente &amp; Stuff'!ER:FT,25,FALSE)</f>
        <v>0</v>
      </c>
      <c r="AB71" s="160">
        <f>VLOOKUP(C71,'Talente &amp; Stuff'!ER:FT,26,FALSE)</f>
        <v>0</v>
      </c>
      <c r="AC71" s="127">
        <f>VLOOKUP(C71,'Talente &amp; Stuff'!ER:FT,27,FALSE)</f>
        <v>0</v>
      </c>
      <c r="AD71" s="125">
        <f>VLOOKUP(C71,'Talente &amp; Stuff'!ER:FT,28,FALSE)</f>
        <v>0</v>
      </c>
      <c r="AE71" s="28"/>
    </row>
    <row r="72" spans="1:31" ht="15" hidden="1" customHeight="1" outlineLevel="2">
      <c r="B72" s="148">
        <v>16</v>
      </c>
      <c r="C72" s="177" t="str">
        <f>Attribute!C72</f>
        <v>---</v>
      </c>
      <c r="D72" s="127" t="str">
        <f>VLOOKUP(C72,'Talente &amp; Stuff'!ER:FT,2,FALSE)</f>
        <v>--/--/--</v>
      </c>
      <c r="E72" s="125" t="str">
        <f>VLOOKUP(C72,'Talente &amp; Stuff'!ER:FT,3,FALSE)</f>
        <v>-</v>
      </c>
      <c r="F72" s="114">
        <f>VLOOKUP(C72,'Talente &amp; Stuff'!ER:FT,4,FALSE)</f>
        <v>0</v>
      </c>
      <c r="G72" s="113">
        <f>VLOOKUP(C72,'Talente &amp; Stuff'!ER:FT,5,FALSE)</f>
        <v>0</v>
      </c>
      <c r="H72" s="113">
        <f>VLOOKUP(C72,'Talente &amp; Stuff'!ER:FT,6,FALSE)</f>
        <v>0</v>
      </c>
      <c r="I72" s="113">
        <f>VLOOKUP(C72,'Talente &amp; Stuff'!ER:FT,7,FALSE)</f>
        <v>0</v>
      </c>
      <c r="J72" s="113">
        <f>VLOOKUP(C72,'Talente &amp; Stuff'!ER:FT,8,FALSE)</f>
        <v>0</v>
      </c>
      <c r="K72" s="113">
        <f>VLOOKUP(C72,'Talente &amp; Stuff'!ER:FT,9,FALSE)</f>
        <v>0</v>
      </c>
      <c r="L72" s="113">
        <f>VLOOKUP(C72,'Talente &amp; Stuff'!ER:FT,10,FALSE)</f>
        <v>0</v>
      </c>
      <c r="M72" s="119">
        <f>VLOOKUP(C72,'Talente &amp; Stuff'!ER:FT,11,FALSE)</f>
        <v>0</v>
      </c>
      <c r="N72" s="89">
        <f>VLOOKUP(C72,'Talente &amp; Stuff'!ER:FT,12,FALSE)</f>
        <v>0</v>
      </c>
      <c r="O72" s="47">
        <f>VLOOKUP(C72,'Talente &amp; Stuff'!ER:FT,13,FALSE)</f>
        <v>0</v>
      </c>
      <c r="P72" s="119">
        <f>VLOOKUP(C72,'Talente &amp; Stuff'!ER:FT,14,FALSE)</f>
        <v>0</v>
      </c>
      <c r="Q72" s="114">
        <f>VLOOKUP(C72,'Talente &amp; Stuff'!ER:FT,15,FALSE)</f>
        <v>0</v>
      </c>
      <c r="R72" s="113">
        <f>VLOOKUP(C72,'Talente &amp; Stuff'!ER:FT,16,FALSE)</f>
        <v>0</v>
      </c>
      <c r="S72" s="119">
        <f>VLOOKUP(C72,'Talente &amp; Stuff'!ER:FT,17,FALSE)</f>
        <v>0</v>
      </c>
      <c r="T72" s="160">
        <f>VLOOKUP(C72,'Talente &amp; Stuff'!ER:FT,18,FALSE)</f>
        <v>0</v>
      </c>
      <c r="U72" s="89">
        <f>VLOOKUP(C72,'Talente &amp; Stuff'!ER:FT,19,FALSE)</f>
        <v>0</v>
      </c>
      <c r="V72" s="47">
        <f>VLOOKUP(C72,'Talente &amp; Stuff'!ER:FT,20,FALSE)</f>
        <v>0</v>
      </c>
      <c r="W72" s="127">
        <f>VLOOKUP(C72,'Talente &amp; Stuff'!ER:FT,21,FALSE)</f>
        <v>0</v>
      </c>
      <c r="X72" s="125">
        <f>VLOOKUP(C72,'Talente &amp; Stuff'!ER:FT,22,FALSE)</f>
        <v>0</v>
      </c>
      <c r="Y72" s="165">
        <f t="shared" si="8"/>
        <v>0</v>
      </c>
      <c r="Z72" s="44">
        <f t="shared" si="9"/>
        <v>0</v>
      </c>
      <c r="AA72" s="125">
        <f>VLOOKUP(C72,'Talente &amp; Stuff'!ER:FT,25,FALSE)</f>
        <v>0</v>
      </c>
      <c r="AB72" s="160">
        <f>VLOOKUP(C72,'Talente &amp; Stuff'!ER:FT,26,FALSE)</f>
        <v>0</v>
      </c>
      <c r="AC72" s="127">
        <f>VLOOKUP(C72,'Talente &amp; Stuff'!ER:FT,27,FALSE)</f>
        <v>0</v>
      </c>
      <c r="AD72" s="125">
        <f>VLOOKUP(C72,'Talente &amp; Stuff'!ER:FT,28,FALSE)</f>
        <v>0</v>
      </c>
      <c r="AE72" s="28"/>
    </row>
    <row r="73" spans="1:31" ht="15" hidden="1" customHeight="1" outlineLevel="2">
      <c r="B73" s="148">
        <v>17</v>
      </c>
      <c r="C73" s="178" t="str">
        <f>Attribute!C73</f>
        <v>---</v>
      </c>
      <c r="D73" s="128" t="str">
        <f>VLOOKUP(C73,'Talente &amp; Stuff'!ER:FT,2,FALSE)</f>
        <v>--/--/--</v>
      </c>
      <c r="E73" s="159" t="str">
        <f>VLOOKUP(C73,'Talente &amp; Stuff'!ER:FT,3,FALSE)</f>
        <v>-</v>
      </c>
      <c r="F73" s="115">
        <f>VLOOKUP(C73,'Talente &amp; Stuff'!ER:FT,4,FALSE)</f>
        <v>0</v>
      </c>
      <c r="G73" s="122">
        <f>VLOOKUP(C73,'Talente &amp; Stuff'!ER:FT,5,FALSE)</f>
        <v>0</v>
      </c>
      <c r="H73" s="122">
        <f>VLOOKUP(C73,'Talente &amp; Stuff'!ER:FT,6,FALSE)</f>
        <v>0</v>
      </c>
      <c r="I73" s="122">
        <f>VLOOKUP(C73,'Talente &amp; Stuff'!ER:FT,7,FALSE)</f>
        <v>0</v>
      </c>
      <c r="J73" s="122">
        <f>VLOOKUP(C73,'Talente &amp; Stuff'!ER:FT,8,FALSE)</f>
        <v>0</v>
      </c>
      <c r="K73" s="122">
        <f>VLOOKUP(C73,'Talente &amp; Stuff'!ER:FT,9,FALSE)</f>
        <v>0</v>
      </c>
      <c r="L73" s="122">
        <f>VLOOKUP(C73,'Talente &amp; Stuff'!ER:FT,10,FALSE)</f>
        <v>0</v>
      </c>
      <c r="M73" s="123">
        <f>VLOOKUP(C73,'Talente &amp; Stuff'!ER:FT,11,FALSE)</f>
        <v>0</v>
      </c>
      <c r="N73" s="90">
        <f>VLOOKUP(C73,'Talente &amp; Stuff'!ER:FT,12,FALSE)</f>
        <v>0</v>
      </c>
      <c r="O73" s="88">
        <f>VLOOKUP(C73,'Talente &amp; Stuff'!ER:FT,13,FALSE)</f>
        <v>0</v>
      </c>
      <c r="P73" s="123">
        <f>VLOOKUP(C73,'Talente &amp; Stuff'!ER:FT,14,FALSE)</f>
        <v>0</v>
      </c>
      <c r="Q73" s="115">
        <f>VLOOKUP(C73,'Talente &amp; Stuff'!ER:FT,15,FALSE)</f>
        <v>0</v>
      </c>
      <c r="R73" s="122">
        <f>VLOOKUP(C73,'Talente &amp; Stuff'!ER:FT,16,FALSE)</f>
        <v>0</v>
      </c>
      <c r="S73" s="123">
        <f>VLOOKUP(C73,'Talente &amp; Stuff'!ER:FT,17,FALSE)</f>
        <v>0</v>
      </c>
      <c r="T73" s="161">
        <f>VLOOKUP(C73,'Talente &amp; Stuff'!ER:FT,18,FALSE)</f>
        <v>0</v>
      </c>
      <c r="U73" s="90">
        <f>VLOOKUP(C73,'Talente &amp; Stuff'!ER:FT,19,FALSE)</f>
        <v>0</v>
      </c>
      <c r="V73" s="88">
        <f>VLOOKUP(C73,'Talente &amp; Stuff'!ER:FT,20,FALSE)</f>
        <v>0</v>
      </c>
      <c r="W73" s="128">
        <f>VLOOKUP(C73,'Talente &amp; Stuff'!ER:FT,21,FALSE)</f>
        <v>0</v>
      </c>
      <c r="X73" s="159">
        <f>VLOOKUP(C73,'Talente &amp; Stuff'!ER:FT,22,FALSE)</f>
        <v>0</v>
      </c>
      <c r="Y73" s="165">
        <f t="shared" si="8"/>
        <v>0</v>
      </c>
      <c r="Z73" s="44">
        <f t="shared" si="9"/>
        <v>0</v>
      </c>
      <c r="AA73" s="159">
        <f>VLOOKUP(C73,'Talente &amp; Stuff'!ER:FT,25,FALSE)</f>
        <v>0</v>
      </c>
      <c r="AB73" s="161">
        <f>VLOOKUP(C73,'Talente &amp; Stuff'!ER:FT,26,FALSE)</f>
        <v>0</v>
      </c>
      <c r="AC73" s="128">
        <f>VLOOKUP(C73,'Talente &amp; Stuff'!ER:FT,27,FALSE)</f>
        <v>0</v>
      </c>
      <c r="AD73" s="159">
        <f>VLOOKUP(C73,'Talente &amp; Stuff'!ER:FT,28,FALSE)</f>
        <v>0</v>
      </c>
      <c r="AE73" s="28"/>
    </row>
    <row r="74" spans="1:31" ht="15" hidden="1" customHeight="1" outlineLevel="1" collapsed="1"/>
    <row r="75" spans="1:31" ht="15.75" collapsed="1" thickBot="1"/>
    <row r="76" spans="1:31" ht="15.75" thickBot="1">
      <c r="A76" s="135" t="s">
        <v>332</v>
      </c>
    </row>
    <row r="77" spans="1:31" ht="15" hidden="1" customHeight="1" outlineLevel="1">
      <c r="B77" s="134" t="s">
        <v>327</v>
      </c>
      <c r="C77" s="142"/>
    </row>
    <row r="78" spans="1:31" ht="15" hidden="1" customHeight="1" outlineLevel="2">
      <c r="B78" s="148">
        <v>1</v>
      </c>
      <c r="C78" s="176" t="str">
        <f>Attribute!C78</f>
        <v>---</v>
      </c>
      <c r="D78" s="158" t="str">
        <f>VLOOKUP(C78,'Talente &amp; Stuff'!ER:FT,2,FALSE)</f>
        <v>--/--/--</v>
      </c>
      <c r="E78" s="126" t="str">
        <f>VLOOKUP(C78,'Talente &amp; Stuff'!ER:FT,3,FALSE)</f>
        <v>-</v>
      </c>
      <c r="F78" s="191">
        <f>VLOOKUP(C78,'Talente &amp; Stuff'!ER:FT,4,FALSE)</f>
        <v>0</v>
      </c>
      <c r="G78" s="118">
        <f>VLOOKUP(C78,'Talente &amp; Stuff'!ER:FT,5,FALSE)</f>
        <v>0</v>
      </c>
      <c r="H78" s="118">
        <f>VLOOKUP(C78,'Talente &amp; Stuff'!ER:FT,6,FALSE)</f>
        <v>0</v>
      </c>
      <c r="I78" s="118">
        <f>VLOOKUP(C78,'Talente &amp; Stuff'!ER:FT,7,FALSE)</f>
        <v>0</v>
      </c>
      <c r="J78" s="118">
        <f>VLOOKUP(C78,'Talente &amp; Stuff'!ER:FT,8,FALSE)</f>
        <v>0</v>
      </c>
      <c r="K78" s="118">
        <f>VLOOKUP(C78,'Talente &amp; Stuff'!ER:FT,9,FALSE)</f>
        <v>0</v>
      </c>
      <c r="L78" s="118">
        <f>VLOOKUP(C78,'Talente &amp; Stuff'!ER:FT,10,FALSE)</f>
        <v>0</v>
      </c>
      <c r="M78" s="92">
        <f>VLOOKUP(C78,'Talente &amp; Stuff'!ER:FT,11,FALSE)</f>
        <v>0</v>
      </c>
      <c r="N78" s="116">
        <f>VLOOKUP(C78,'Talente &amp; Stuff'!ER:FT,12,FALSE)</f>
        <v>0</v>
      </c>
      <c r="O78" s="116">
        <f>VLOOKUP(C78,'Talente &amp; Stuff'!ER:FT,13,FALSE)</f>
        <v>0</v>
      </c>
      <c r="P78" s="92">
        <f>VLOOKUP(C78,'Talente &amp; Stuff'!ER:FT,14,FALSE)</f>
        <v>0</v>
      </c>
      <c r="Q78" s="191">
        <f>VLOOKUP(C78,'Talente &amp; Stuff'!ER:FT,15,FALSE)</f>
        <v>0</v>
      </c>
      <c r="R78" s="118">
        <f>VLOOKUP(C78,'Talente &amp; Stuff'!ER:FT,16,FALSE)</f>
        <v>0</v>
      </c>
      <c r="S78" s="92">
        <f>VLOOKUP(C78,'Talente &amp; Stuff'!ER:FT,17,FALSE)</f>
        <v>0</v>
      </c>
      <c r="T78" s="92">
        <f>VLOOKUP(C78,'Talente &amp; Stuff'!ER:FT,18,FALSE)</f>
        <v>0</v>
      </c>
      <c r="U78" s="193">
        <f>VLOOKUP(C78,'Talente &amp; Stuff'!ER:FT,19,FALSE)</f>
        <v>0</v>
      </c>
      <c r="V78" s="116">
        <f>VLOOKUP(C78,'Talente &amp; Stuff'!ER:FT,20,FALSE)</f>
        <v>0</v>
      </c>
      <c r="W78" s="126">
        <f>VLOOKUP(C78,'Talente &amp; Stuff'!ER:FT,21,FALSE)</f>
        <v>0</v>
      </c>
      <c r="X78" s="126">
        <f>VLOOKUP(C78,'Talente &amp; Stuff'!ER:FT,22,FALSE)</f>
        <v>0</v>
      </c>
      <c r="Y78" s="165">
        <f t="shared" ref="Y78:Y98" si="10">VLOOKUP(C78,Ausgewählte_Zauber_Allgemein,168,FALSE)</f>
        <v>0</v>
      </c>
      <c r="Z78" s="44">
        <f t="shared" ref="Z78:Z98" si="11">VLOOKUP(C78,Ausgewählte_Zauber_Allgemein,169,FALSE)</f>
        <v>0</v>
      </c>
      <c r="AA78" s="158">
        <f>VLOOKUP(C78,'Talente &amp; Stuff'!ER:FT,25,FALSE)</f>
        <v>0</v>
      </c>
      <c r="AB78" s="91">
        <f>VLOOKUP(C78,'Talente &amp; Stuff'!ER:FT,26,FALSE)</f>
        <v>0</v>
      </c>
      <c r="AC78" s="126">
        <f>VLOOKUP(C78,'Talente &amp; Stuff'!ER:FT,27,FALSE)</f>
        <v>0</v>
      </c>
      <c r="AD78" s="158">
        <f>VLOOKUP(C78,'Talente &amp; Stuff'!ER:FT,28,FALSE)</f>
        <v>0</v>
      </c>
      <c r="AE78" s="28"/>
    </row>
    <row r="79" spans="1:31" ht="15" hidden="1" customHeight="1" outlineLevel="2">
      <c r="B79" s="148">
        <v>2</v>
      </c>
      <c r="C79" s="177" t="str">
        <f>Attribute!C79</f>
        <v>---</v>
      </c>
      <c r="D79" s="125" t="str">
        <f>VLOOKUP(C79,'Talente &amp; Stuff'!ER:FT,2,FALSE)</f>
        <v>--/--/--</v>
      </c>
      <c r="E79" s="127" t="str">
        <f>VLOOKUP(C79,'Talente &amp; Stuff'!ER:FT,3,FALSE)</f>
        <v>-</v>
      </c>
      <c r="F79" s="114">
        <f>VLOOKUP(C79,'Talente &amp; Stuff'!ER:FT,4,FALSE)</f>
        <v>0</v>
      </c>
      <c r="G79" s="113">
        <f>VLOOKUP(C79,'Talente &amp; Stuff'!ER:FT,5,FALSE)</f>
        <v>0</v>
      </c>
      <c r="H79" s="113">
        <f>VLOOKUP(C79,'Talente &amp; Stuff'!ER:FT,6,FALSE)</f>
        <v>0</v>
      </c>
      <c r="I79" s="113">
        <f>VLOOKUP(C79,'Talente &amp; Stuff'!ER:FT,7,FALSE)</f>
        <v>0</v>
      </c>
      <c r="J79" s="113">
        <f>VLOOKUP(C79,'Talente &amp; Stuff'!ER:FT,8,FALSE)</f>
        <v>0</v>
      </c>
      <c r="K79" s="113">
        <f>VLOOKUP(C79,'Talente &amp; Stuff'!ER:FT,9,FALSE)</f>
        <v>0</v>
      </c>
      <c r="L79" s="113">
        <f>VLOOKUP(C79,'Talente &amp; Stuff'!ER:FT,10,FALSE)</f>
        <v>0</v>
      </c>
      <c r="M79" s="119">
        <f>VLOOKUP(C79,'Talente &amp; Stuff'!ER:FT,11,FALSE)</f>
        <v>0</v>
      </c>
      <c r="N79" s="89">
        <f>VLOOKUP(C79,'Talente &amp; Stuff'!ER:FT,12,FALSE)</f>
        <v>0</v>
      </c>
      <c r="O79" s="47">
        <f>VLOOKUP(C79,'Talente &amp; Stuff'!ER:FT,13,FALSE)</f>
        <v>0</v>
      </c>
      <c r="P79" s="119">
        <f>VLOOKUP(C79,'Talente &amp; Stuff'!ER:FT,14,FALSE)</f>
        <v>0</v>
      </c>
      <c r="Q79" s="114">
        <f>VLOOKUP(C79,'Talente &amp; Stuff'!ER:FT,15,FALSE)</f>
        <v>0</v>
      </c>
      <c r="R79" s="113">
        <f>VLOOKUP(C79,'Talente &amp; Stuff'!ER:FT,16,FALSE)</f>
        <v>0</v>
      </c>
      <c r="S79" s="119">
        <f>VLOOKUP(C79,'Talente &amp; Stuff'!ER:FT,17,FALSE)</f>
        <v>0</v>
      </c>
      <c r="T79" s="160">
        <f>VLOOKUP(C79,'Talente &amp; Stuff'!ER:FT,18,FALSE)</f>
        <v>0</v>
      </c>
      <c r="U79" s="89">
        <f>VLOOKUP(C79,'Talente &amp; Stuff'!ER:FT,19,FALSE)</f>
        <v>0</v>
      </c>
      <c r="V79" s="47">
        <f>VLOOKUP(C79,'Talente &amp; Stuff'!ER:FT,20,FALSE)</f>
        <v>0</v>
      </c>
      <c r="W79" s="127">
        <f>VLOOKUP(C79,'Talente &amp; Stuff'!ER:FT,21,FALSE)</f>
        <v>0</v>
      </c>
      <c r="X79" s="127">
        <f>VLOOKUP(C79,'Talente &amp; Stuff'!ER:FT,22,FALSE)</f>
        <v>0</v>
      </c>
      <c r="Y79" s="165">
        <f t="shared" si="10"/>
        <v>0</v>
      </c>
      <c r="Z79" s="44">
        <f t="shared" si="11"/>
        <v>0</v>
      </c>
      <c r="AA79" s="125">
        <f>VLOOKUP(C79,'Talente &amp; Stuff'!ER:FT,25,FALSE)</f>
        <v>0</v>
      </c>
      <c r="AB79" s="160">
        <f>VLOOKUP(C79,'Talente &amp; Stuff'!ER:FT,26,FALSE)</f>
        <v>0</v>
      </c>
      <c r="AC79" s="127">
        <f>VLOOKUP(C79,'Talente &amp; Stuff'!ER:FT,27,FALSE)</f>
        <v>0</v>
      </c>
      <c r="AD79" s="125">
        <f>VLOOKUP(C79,'Talente &amp; Stuff'!ER:FT,28,FALSE)</f>
        <v>0</v>
      </c>
      <c r="AE79" s="28"/>
    </row>
    <row r="80" spans="1:31" ht="15" hidden="1" customHeight="1" outlineLevel="2">
      <c r="B80" s="148">
        <v>3</v>
      </c>
      <c r="C80" s="177" t="str">
        <f>Attribute!C80</f>
        <v>---</v>
      </c>
      <c r="D80" s="125" t="str">
        <f>VLOOKUP(C80,'Talente &amp; Stuff'!ER:FT,2,FALSE)</f>
        <v>--/--/--</v>
      </c>
      <c r="E80" s="127" t="str">
        <f>VLOOKUP(C80,'Talente &amp; Stuff'!ER:FT,3,FALSE)</f>
        <v>-</v>
      </c>
      <c r="F80" s="114">
        <f>VLOOKUP(C80,'Talente &amp; Stuff'!ER:FT,4,FALSE)</f>
        <v>0</v>
      </c>
      <c r="G80" s="113">
        <f>VLOOKUP(C80,'Talente &amp; Stuff'!ER:FT,5,FALSE)</f>
        <v>0</v>
      </c>
      <c r="H80" s="113">
        <f>VLOOKUP(C80,'Talente &amp; Stuff'!ER:FT,6,FALSE)</f>
        <v>0</v>
      </c>
      <c r="I80" s="113">
        <f>VLOOKUP(C80,'Talente &amp; Stuff'!ER:FT,7,FALSE)</f>
        <v>0</v>
      </c>
      <c r="J80" s="113">
        <f>VLOOKUP(C80,'Talente &amp; Stuff'!ER:FT,8,FALSE)</f>
        <v>0</v>
      </c>
      <c r="K80" s="113">
        <f>VLOOKUP(C80,'Talente &amp; Stuff'!ER:FT,9,FALSE)</f>
        <v>0</v>
      </c>
      <c r="L80" s="113">
        <f>VLOOKUP(C80,'Talente &amp; Stuff'!ER:FT,10,FALSE)</f>
        <v>0</v>
      </c>
      <c r="M80" s="119">
        <f>VLOOKUP(C80,'Talente &amp; Stuff'!ER:FT,11,FALSE)</f>
        <v>0</v>
      </c>
      <c r="N80" s="89">
        <f>VLOOKUP(C80,'Talente &amp; Stuff'!ER:FT,12,FALSE)</f>
        <v>0</v>
      </c>
      <c r="O80" s="47">
        <f>VLOOKUP(C80,'Talente &amp; Stuff'!ER:FT,13,FALSE)</f>
        <v>0</v>
      </c>
      <c r="P80" s="119">
        <f>VLOOKUP(C80,'Talente &amp; Stuff'!ER:FT,14,FALSE)</f>
        <v>0</v>
      </c>
      <c r="Q80" s="114">
        <f>VLOOKUP(C80,'Talente &amp; Stuff'!ER:FT,15,FALSE)</f>
        <v>0</v>
      </c>
      <c r="R80" s="113">
        <f>VLOOKUP(C80,'Talente &amp; Stuff'!ER:FT,16,FALSE)</f>
        <v>0</v>
      </c>
      <c r="S80" s="119">
        <f>VLOOKUP(C80,'Talente &amp; Stuff'!ER:FT,17,FALSE)</f>
        <v>0</v>
      </c>
      <c r="T80" s="160">
        <f>VLOOKUP(C80,'Talente &amp; Stuff'!ER:FT,18,FALSE)</f>
        <v>0</v>
      </c>
      <c r="U80" s="89">
        <f>VLOOKUP(C80,'Talente &amp; Stuff'!ER:FT,19,FALSE)</f>
        <v>0</v>
      </c>
      <c r="V80" s="47">
        <f>VLOOKUP(C80,'Talente &amp; Stuff'!ER:FT,20,FALSE)</f>
        <v>0</v>
      </c>
      <c r="W80" s="127">
        <f>VLOOKUP(C80,'Talente &amp; Stuff'!ER:FT,21,FALSE)</f>
        <v>0</v>
      </c>
      <c r="X80" s="127">
        <f>VLOOKUP(C80,'Talente &amp; Stuff'!ER:FT,22,FALSE)</f>
        <v>0</v>
      </c>
      <c r="Y80" s="165">
        <f t="shared" si="10"/>
        <v>0</v>
      </c>
      <c r="Z80" s="44">
        <f t="shared" si="11"/>
        <v>0</v>
      </c>
      <c r="AA80" s="125">
        <f>VLOOKUP(C80,'Talente &amp; Stuff'!ER:FT,25,FALSE)</f>
        <v>0</v>
      </c>
      <c r="AB80" s="160">
        <f>VLOOKUP(C80,'Talente &amp; Stuff'!ER:FT,26,FALSE)</f>
        <v>0</v>
      </c>
      <c r="AC80" s="127">
        <f>VLOOKUP(C80,'Talente &amp; Stuff'!ER:FT,27,FALSE)</f>
        <v>0</v>
      </c>
      <c r="AD80" s="125">
        <f>VLOOKUP(C80,'Talente &amp; Stuff'!ER:FT,28,FALSE)</f>
        <v>0</v>
      </c>
      <c r="AE80" s="28"/>
    </row>
    <row r="81" spans="2:31" ht="15" hidden="1" customHeight="1" outlineLevel="2">
      <c r="B81" s="148">
        <v>4</v>
      </c>
      <c r="C81" s="177" t="str">
        <f>Attribute!C81</f>
        <v>---</v>
      </c>
      <c r="D81" s="125" t="str">
        <f>VLOOKUP(C81,'Talente &amp; Stuff'!ER:FT,2,FALSE)</f>
        <v>--/--/--</v>
      </c>
      <c r="E81" s="127" t="str">
        <f>VLOOKUP(C81,'Talente &amp; Stuff'!ER:FT,3,FALSE)</f>
        <v>-</v>
      </c>
      <c r="F81" s="114">
        <f>VLOOKUP(C81,'Talente &amp; Stuff'!ER:FT,4,FALSE)</f>
        <v>0</v>
      </c>
      <c r="G81" s="113">
        <f>VLOOKUP(C81,'Talente &amp; Stuff'!ER:FT,5,FALSE)</f>
        <v>0</v>
      </c>
      <c r="H81" s="113">
        <f>VLOOKUP(C81,'Talente &amp; Stuff'!ER:FT,6,FALSE)</f>
        <v>0</v>
      </c>
      <c r="I81" s="113">
        <f>VLOOKUP(C81,'Talente &amp; Stuff'!ER:FT,7,FALSE)</f>
        <v>0</v>
      </c>
      <c r="J81" s="113">
        <f>VLOOKUP(C81,'Talente &amp; Stuff'!ER:FT,8,FALSE)</f>
        <v>0</v>
      </c>
      <c r="K81" s="113">
        <f>VLOOKUP(C81,'Talente &amp; Stuff'!ER:FT,9,FALSE)</f>
        <v>0</v>
      </c>
      <c r="L81" s="113">
        <f>VLOOKUP(C81,'Talente &amp; Stuff'!ER:FT,10,FALSE)</f>
        <v>0</v>
      </c>
      <c r="M81" s="119">
        <f>VLOOKUP(C81,'Talente &amp; Stuff'!ER:FT,11,FALSE)</f>
        <v>0</v>
      </c>
      <c r="N81" s="89">
        <f>VLOOKUP(C81,'Talente &amp; Stuff'!ER:FT,12,FALSE)</f>
        <v>0</v>
      </c>
      <c r="O81" s="47">
        <f>VLOOKUP(C81,'Talente &amp; Stuff'!ER:FT,13,FALSE)</f>
        <v>0</v>
      </c>
      <c r="P81" s="119">
        <f>VLOOKUP(C81,'Talente &amp; Stuff'!ER:FT,14,FALSE)</f>
        <v>0</v>
      </c>
      <c r="Q81" s="114">
        <f>VLOOKUP(C81,'Talente &amp; Stuff'!ER:FT,15,FALSE)</f>
        <v>0</v>
      </c>
      <c r="R81" s="113">
        <f>VLOOKUP(C81,'Talente &amp; Stuff'!ER:FT,16,FALSE)</f>
        <v>0</v>
      </c>
      <c r="S81" s="119">
        <f>VLOOKUP(C81,'Talente &amp; Stuff'!ER:FT,17,FALSE)</f>
        <v>0</v>
      </c>
      <c r="T81" s="160">
        <f>VLOOKUP(C81,'Talente &amp; Stuff'!ER:FT,18,FALSE)</f>
        <v>0</v>
      </c>
      <c r="U81" s="89">
        <f>VLOOKUP(C81,'Talente &amp; Stuff'!ER:FT,19,FALSE)</f>
        <v>0</v>
      </c>
      <c r="V81" s="47">
        <f>VLOOKUP(C81,'Talente &amp; Stuff'!ER:FT,20,FALSE)</f>
        <v>0</v>
      </c>
      <c r="W81" s="127">
        <f>VLOOKUP(C81,'Talente &amp; Stuff'!ER:FT,21,FALSE)</f>
        <v>0</v>
      </c>
      <c r="X81" s="127">
        <f>VLOOKUP(C81,'Talente &amp; Stuff'!ER:FT,22,FALSE)</f>
        <v>0</v>
      </c>
      <c r="Y81" s="165">
        <f t="shared" si="10"/>
        <v>0</v>
      </c>
      <c r="Z81" s="44">
        <f t="shared" si="11"/>
        <v>0</v>
      </c>
      <c r="AA81" s="125">
        <f>VLOOKUP(C81,'Talente &amp; Stuff'!ER:FT,25,FALSE)</f>
        <v>0</v>
      </c>
      <c r="AB81" s="160">
        <f>VLOOKUP(C81,'Talente &amp; Stuff'!ER:FT,26,FALSE)</f>
        <v>0</v>
      </c>
      <c r="AC81" s="127">
        <f>VLOOKUP(C81,'Talente &amp; Stuff'!ER:FT,27,FALSE)</f>
        <v>0</v>
      </c>
      <c r="AD81" s="125">
        <f>VLOOKUP(C81,'Talente &amp; Stuff'!ER:FT,28,FALSE)</f>
        <v>0</v>
      </c>
      <c r="AE81" s="28"/>
    </row>
    <row r="82" spans="2:31" ht="15" hidden="1" customHeight="1" outlineLevel="2">
      <c r="B82" s="148">
        <v>5</v>
      </c>
      <c r="C82" s="177" t="str">
        <f>Attribute!C82</f>
        <v>---</v>
      </c>
      <c r="D82" s="125" t="str">
        <f>VLOOKUP(C82,'Talente &amp; Stuff'!ER:FT,2,FALSE)</f>
        <v>--/--/--</v>
      </c>
      <c r="E82" s="127" t="str">
        <f>VLOOKUP(C82,'Talente &amp; Stuff'!ER:FT,3,FALSE)</f>
        <v>-</v>
      </c>
      <c r="F82" s="114">
        <f>VLOOKUP(C82,'Talente &amp; Stuff'!ER:FT,4,FALSE)</f>
        <v>0</v>
      </c>
      <c r="G82" s="113">
        <f>VLOOKUP(C82,'Talente &amp; Stuff'!ER:FT,5,FALSE)</f>
        <v>0</v>
      </c>
      <c r="H82" s="113">
        <f>VLOOKUP(C82,'Talente &amp; Stuff'!ER:FT,6,FALSE)</f>
        <v>0</v>
      </c>
      <c r="I82" s="113">
        <f>VLOOKUP(C82,'Talente &amp; Stuff'!ER:FT,7,FALSE)</f>
        <v>0</v>
      </c>
      <c r="J82" s="113">
        <f>VLOOKUP(C82,'Talente &amp; Stuff'!ER:FT,8,FALSE)</f>
        <v>0</v>
      </c>
      <c r="K82" s="113">
        <f>VLOOKUP(C82,'Talente &amp; Stuff'!ER:FT,9,FALSE)</f>
        <v>0</v>
      </c>
      <c r="L82" s="113">
        <f>VLOOKUP(C82,'Talente &amp; Stuff'!ER:FT,10,FALSE)</f>
        <v>0</v>
      </c>
      <c r="M82" s="119">
        <f>VLOOKUP(C82,'Talente &amp; Stuff'!ER:FT,11,FALSE)</f>
        <v>0</v>
      </c>
      <c r="N82" s="89">
        <f>VLOOKUP(C82,'Talente &amp; Stuff'!ER:FT,12,FALSE)</f>
        <v>0</v>
      </c>
      <c r="O82" s="47">
        <f>VLOOKUP(C82,'Talente &amp; Stuff'!ER:FT,13,FALSE)</f>
        <v>0</v>
      </c>
      <c r="P82" s="119">
        <f>VLOOKUP(C82,'Talente &amp; Stuff'!ER:FT,14,FALSE)</f>
        <v>0</v>
      </c>
      <c r="Q82" s="114">
        <f>VLOOKUP(C82,'Talente &amp; Stuff'!ER:FT,15,FALSE)</f>
        <v>0</v>
      </c>
      <c r="R82" s="113">
        <f>VLOOKUP(C82,'Talente &amp; Stuff'!ER:FT,16,FALSE)</f>
        <v>0</v>
      </c>
      <c r="S82" s="119">
        <f>VLOOKUP(C82,'Talente &amp; Stuff'!ER:FT,17,FALSE)</f>
        <v>0</v>
      </c>
      <c r="T82" s="160">
        <f>VLOOKUP(C82,'Talente &amp; Stuff'!ER:FT,18,FALSE)</f>
        <v>0</v>
      </c>
      <c r="U82" s="89">
        <f>VLOOKUP(C82,'Talente &amp; Stuff'!ER:FT,19,FALSE)</f>
        <v>0</v>
      </c>
      <c r="V82" s="47">
        <f>VLOOKUP(C82,'Talente &amp; Stuff'!ER:FT,20,FALSE)</f>
        <v>0</v>
      </c>
      <c r="W82" s="127">
        <f>VLOOKUP(C82,'Talente &amp; Stuff'!ER:FT,21,FALSE)</f>
        <v>0</v>
      </c>
      <c r="X82" s="127">
        <f>VLOOKUP(C82,'Talente &amp; Stuff'!ER:FT,22,FALSE)</f>
        <v>0</v>
      </c>
      <c r="Y82" s="165">
        <f t="shared" si="10"/>
        <v>0</v>
      </c>
      <c r="Z82" s="44">
        <f t="shared" si="11"/>
        <v>0</v>
      </c>
      <c r="AA82" s="125">
        <f>VLOOKUP(C82,'Talente &amp; Stuff'!ER:FT,25,FALSE)</f>
        <v>0</v>
      </c>
      <c r="AB82" s="160">
        <f>VLOOKUP(C82,'Talente &amp; Stuff'!ER:FT,26,FALSE)</f>
        <v>0</v>
      </c>
      <c r="AC82" s="127">
        <f>VLOOKUP(C82,'Talente &amp; Stuff'!ER:FT,27,FALSE)</f>
        <v>0</v>
      </c>
      <c r="AD82" s="125">
        <f>VLOOKUP(C82,'Talente &amp; Stuff'!ER:FT,28,FALSE)</f>
        <v>0</v>
      </c>
      <c r="AE82" s="28"/>
    </row>
    <row r="83" spans="2:31" ht="15" hidden="1" customHeight="1" outlineLevel="2">
      <c r="B83" s="148">
        <v>6</v>
      </c>
      <c r="C83" s="177" t="str">
        <f>Attribute!C83</f>
        <v>---</v>
      </c>
      <c r="D83" s="125" t="str">
        <f>VLOOKUP(C83,'Talente &amp; Stuff'!ER:FT,2,FALSE)</f>
        <v>--/--/--</v>
      </c>
      <c r="E83" s="127" t="str">
        <f>VLOOKUP(C83,'Talente &amp; Stuff'!ER:FT,3,FALSE)</f>
        <v>-</v>
      </c>
      <c r="F83" s="114">
        <f>VLOOKUP(C83,'Talente &amp; Stuff'!ER:FT,4,FALSE)</f>
        <v>0</v>
      </c>
      <c r="G83" s="113">
        <f>VLOOKUP(C83,'Talente &amp; Stuff'!ER:FT,5,FALSE)</f>
        <v>0</v>
      </c>
      <c r="H83" s="113">
        <f>VLOOKUP(C83,'Talente &amp; Stuff'!ER:FT,6,FALSE)</f>
        <v>0</v>
      </c>
      <c r="I83" s="113">
        <f>VLOOKUP(C83,'Talente &amp; Stuff'!ER:FT,7,FALSE)</f>
        <v>0</v>
      </c>
      <c r="J83" s="113">
        <f>VLOOKUP(C83,'Talente &amp; Stuff'!ER:FT,8,FALSE)</f>
        <v>0</v>
      </c>
      <c r="K83" s="113">
        <f>VLOOKUP(C83,'Talente &amp; Stuff'!ER:FT,9,FALSE)</f>
        <v>0</v>
      </c>
      <c r="L83" s="113">
        <f>VLOOKUP(C83,'Talente &amp; Stuff'!ER:FT,10,FALSE)</f>
        <v>0</v>
      </c>
      <c r="M83" s="119">
        <f>VLOOKUP(C83,'Talente &amp; Stuff'!ER:FT,11,FALSE)</f>
        <v>0</v>
      </c>
      <c r="N83" s="89">
        <f>VLOOKUP(C83,'Talente &amp; Stuff'!ER:FT,12,FALSE)</f>
        <v>0</v>
      </c>
      <c r="O83" s="47">
        <f>VLOOKUP(C83,'Talente &amp; Stuff'!ER:FT,13,FALSE)</f>
        <v>0</v>
      </c>
      <c r="P83" s="119">
        <f>VLOOKUP(C83,'Talente &amp; Stuff'!ER:FT,14,FALSE)</f>
        <v>0</v>
      </c>
      <c r="Q83" s="114">
        <f>VLOOKUP(C83,'Talente &amp; Stuff'!ER:FT,15,FALSE)</f>
        <v>0</v>
      </c>
      <c r="R83" s="113">
        <f>VLOOKUP(C83,'Talente &amp; Stuff'!ER:FT,16,FALSE)</f>
        <v>0</v>
      </c>
      <c r="S83" s="119">
        <f>VLOOKUP(C83,'Talente &amp; Stuff'!ER:FT,17,FALSE)</f>
        <v>0</v>
      </c>
      <c r="T83" s="160">
        <f>VLOOKUP(C83,'Talente &amp; Stuff'!ER:FT,18,FALSE)</f>
        <v>0</v>
      </c>
      <c r="U83" s="89">
        <f>VLOOKUP(C83,'Talente &amp; Stuff'!ER:FT,19,FALSE)</f>
        <v>0</v>
      </c>
      <c r="V83" s="47">
        <f>VLOOKUP(C83,'Talente &amp; Stuff'!ER:FT,20,FALSE)</f>
        <v>0</v>
      </c>
      <c r="W83" s="127">
        <f>VLOOKUP(C83,'Talente &amp; Stuff'!ER:FT,21,FALSE)</f>
        <v>0</v>
      </c>
      <c r="X83" s="127">
        <f>VLOOKUP(C83,'Talente &amp; Stuff'!ER:FT,22,FALSE)</f>
        <v>0</v>
      </c>
      <c r="Y83" s="165">
        <f t="shared" si="10"/>
        <v>0</v>
      </c>
      <c r="Z83" s="44">
        <f t="shared" si="11"/>
        <v>0</v>
      </c>
      <c r="AA83" s="125">
        <f>VLOOKUP(C83,'Talente &amp; Stuff'!ER:FT,25,FALSE)</f>
        <v>0</v>
      </c>
      <c r="AB83" s="160">
        <f>VLOOKUP(C83,'Talente &amp; Stuff'!ER:FT,26,FALSE)</f>
        <v>0</v>
      </c>
      <c r="AC83" s="127">
        <f>VLOOKUP(C83,'Talente &amp; Stuff'!ER:FT,27,FALSE)</f>
        <v>0</v>
      </c>
      <c r="AD83" s="125">
        <f>VLOOKUP(C83,'Talente &amp; Stuff'!ER:FT,28,FALSE)</f>
        <v>0</v>
      </c>
      <c r="AE83" s="28"/>
    </row>
    <row r="84" spans="2:31" ht="15" hidden="1" customHeight="1" outlineLevel="2">
      <c r="B84" s="148">
        <v>7</v>
      </c>
      <c r="C84" s="177" t="str">
        <f>Attribute!C84</f>
        <v>---</v>
      </c>
      <c r="D84" s="125" t="str">
        <f>VLOOKUP(C84,'Talente &amp; Stuff'!ER:FT,2,FALSE)</f>
        <v>--/--/--</v>
      </c>
      <c r="E84" s="127" t="str">
        <f>VLOOKUP(C84,'Talente &amp; Stuff'!ER:FT,3,FALSE)</f>
        <v>-</v>
      </c>
      <c r="F84" s="114">
        <f>VLOOKUP(C84,'Talente &amp; Stuff'!ER:FT,4,FALSE)</f>
        <v>0</v>
      </c>
      <c r="G84" s="113">
        <f>VLOOKUP(C84,'Talente &amp; Stuff'!ER:FT,5,FALSE)</f>
        <v>0</v>
      </c>
      <c r="H84" s="113">
        <f>VLOOKUP(C84,'Talente &amp; Stuff'!ER:FT,6,FALSE)</f>
        <v>0</v>
      </c>
      <c r="I84" s="113">
        <f>VLOOKUP(C84,'Talente &amp; Stuff'!ER:FT,7,FALSE)</f>
        <v>0</v>
      </c>
      <c r="J84" s="113">
        <f>VLOOKUP(C84,'Talente &amp; Stuff'!ER:FT,8,FALSE)</f>
        <v>0</v>
      </c>
      <c r="K84" s="113">
        <f>VLOOKUP(C84,'Talente &amp; Stuff'!ER:FT,9,FALSE)</f>
        <v>0</v>
      </c>
      <c r="L84" s="113">
        <f>VLOOKUP(C84,'Talente &amp; Stuff'!ER:FT,10,FALSE)</f>
        <v>0</v>
      </c>
      <c r="M84" s="119">
        <f>VLOOKUP(C84,'Talente &amp; Stuff'!ER:FT,11,FALSE)</f>
        <v>0</v>
      </c>
      <c r="N84" s="89">
        <f>VLOOKUP(C84,'Talente &amp; Stuff'!ER:FT,12,FALSE)</f>
        <v>0</v>
      </c>
      <c r="O84" s="47">
        <f>VLOOKUP(C84,'Talente &amp; Stuff'!ER:FT,13,FALSE)</f>
        <v>0</v>
      </c>
      <c r="P84" s="119">
        <f>VLOOKUP(C84,'Talente &amp; Stuff'!ER:FT,14,FALSE)</f>
        <v>0</v>
      </c>
      <c r="Q84" s="114">
        <f>VLOOKUP(C84,'Talente &amp; Stuff'!ER:FT,15,FALSE)</f>
        <v>0</v>
      </c>
      <c r="R84" s="113">
        <f>VLOOKUP(C84,'Talente &amp; Stuff'!ER:FT,16,FALSE)</f>
        <v>0</v>
      </c>
      <c r="S84" s="119">
        <f>VLOOKUP(C84,'Talente &amp; Stuff'!ER:FT,17,FALSE)</f>
        <v>0</v>
      </c>
      <c r="T84" s="160">
        <f>VLOOKUP(C84,'Talente &amp; Stuff'!ER:FT,18,FALSE)</f>
        <v>0</v>
      </c>
      <c r="U84" s="89">
        <f>VLOOKUP(C84,'Talente &amp; Stuff'!ER:FT,19,FALSE)</f>
        <v>0</v>
      </c>
      <c r="V84" s="47">
        <f>VLOOKUP(C84,'Talente &amp; Stuff'!ER:FT,20,FALSE)</f>
        <v>0</v>
      </c>
      <c r="W84" s="127">
        <f>VLOOKUP(C84,'Talente &amp; Stuff'!ER:FT,21,FALSE)</f>
        <v>0</v>
      </c>
      <c r="X84" s="127">
        <f>VLOOKUP(C84,'Talente &amp; Stuff'!ER:FT,22,FALSE)</f>
        <v>0</v>
      </c>
      <c r="Y84" s="165">
        <f t="shared" si="10"/>
        <v>0</v>
      </c>
      <c r="Z84" s="44">
        <f t="shared" si="11"/>
        <v>0</v>
      </c>
      <c r="AA84" s="125">
        <f>VLOOKUP(C84,'Talente &amp; Stuff'!ER:FT,25,FALSE)</f>
        <v>0</v>
      </c>
      <c r="AB84" s="160">
        <f>VLOOKUP(C84,'Talente &amp; Stuff'!ER:FT,26,FALSE)</f>
        <v>0</v>
      </c>
      <c r="AC84" s="127">
        <f>VLOOKUP(C84,'Talente &amp; Stuff'!ER:FT,27,FALSE)</f>
        <v>0</v>
      </c>
      <c r="AD84" s="125">
        <f>VLOOKUP(C84,'Talente &amp; Stuff'!ER:FT,28,FALSE)</f>
        <v>0</v>
      </c>
      <c r="AE84" s="28"/>
    </row>
    <row r="85" spans="2:31" ht="15" hidden="1" customHeight="1" outlineLevel="2">
      <c r="B85" s="148">
        <v>8</v>
      </c>
      <c r="C85" s="177" t="str">
        <f>Attribute!C85</f>
        <v>---</v>
      </c>
      <c r="D85" s="125" t="str">
        <f>VLOOKUP(C85,'Talente &amp; Stuff'!ER:FT,2,FALSE)</f>
        <v>--/--/--</v>
      </c>
      <c r="E85" s="127" t="str">
        <f>VLOOKUP(C85,'Talente &amp; Stuff'!ER:FT,3,FALSE)</f>
        <v>-</v>
      </c>
      <c r="F85" s="114">
        <f>VLOOKUP(C85,'Talente &amp; Stuff'!ER:FT,4,FALSE)</f>
        <v>0</v>
      </c>
      <c r="G85" s="113">
        <f>VLOOKUP(C85,'Talente &amp; Stuff'!ER:FT,5,FALSE)</f>
        <v>0</v>
      </c>
      <c r="H85" s="113">
        <f>VLOOKUP(C85,'Talente &amp; Stuff'!ER:FT,6,FALSE)</f>
        <v>0</v>
      </c>
      <c r="I85" s="113">
        <f>VLOOKUP(C85,'Talente &amp; Stuff'!ER:FT,7,FALSE)</f>
        <v>0</v>
      </c>
      <c r="J85" s="113">
        <f>VLOOKUP(C85,'Talente &amp; Stuff'!ER:FT,8,FALSE)</f>
        <v>0</v>
      </c>
      <c r="K85" s="113">
        <f>VLOOKUP(C85,'Talente &amp; Stuff'!ER:FT,9,FALSE)</f>
        <v>0</v>
      </c>
      <c r="L85" s="113">
        <f>VLOOKUP(C85,'Talente &amp; Stuff'!ER:FT,10,FALSE)</f>
        <v>0</v>
      </c>
      <c r="M85" s="119">
        <f>VLOOKUP(C85,'Talente &amp; Stuff'!ER:FT,11,FALSE)</f>
        <v>0</v>
      </c>
      <c r="N85" s="89">
        <f>VLOOKUP(C85,'Talente &amp; Stuff'!ER:FT,12,FALSE)</f>
        <v>0</v>
      </c>
      <c r="O85" s="47">
        <f>VLOOKUP(C85,'Talente &amp; Stuff'!ER:FT,13,FALSE)</f>
        <v>0</v>
      </c>
      <c r="P85" s="119">
        <f>VLOOKUP(C85,'Talente &amp; Stuff'!ER:FT,14,FALSE)</f>
        <v>0</v>
      </c>
      <c r="Q85" s="114">
        <f>VLOOKUP(C85,'Talente &amp; Stuff'!ER:FT,15,FALSE)</f>
        <v>0</v>
      </c>
      <c r="R85" s="113">
        <f>VLOOKUP(C85,'Talente &amp; Stuff'!ER:FT,16,FALSE)</f>
        <v>0</v>
      </c>
      <c r="S85" s="119">
        <f>VLOOKUP(C85,'Talente &amp; Stuff'!ER:FT,17,FALSE)</f>
        <v>0</v>
      </c>
      <c r="T85" s="160">
        <f>VLOOKUP(C85,'Talente &amp; Stuff'!ER:FT,18,FALSE)</f>
        <v>0</v>
      </c>
      <c r="U85" s="89">
        <f>VLOOKUP(C85,'Talente &amp; Stuff'!ER:FT,19,FALSE)</f>
        <v>0</v>
      </c>
      <c r="V85" s="47">
        <f>VLOOKUP(C85,'Talente &amp; Stuff'!ER:FT,20,FALSE)</f>
        <v>0</v>
      </c>
      <c r="W85" s="127">
        <f>VLOOKUP(C85,'Talente &amp; Stuff'!ER:FT,21,FALSE)</f>
        <v>0</v>
      </c>
      <c r="X85" s="127">
        <f>VLOOKUP(C85,'Talente &amp; Stuff'!ER:FT,22,FALSE)</f>
        <v>0</v>
      </c>
      <c r="Y85" s="165">
        <f t="shared" si="10"/>
        <v>0</v>
      </c>
      <c r="Z85" s="44">
        <f t="shared" si="11"/>
        <v>0</v>
      </c>
      <c r="AA85" s="125">
        <f>VLOOKUP(C85,'Talente &amp; Stuff'!ER:FT,25,FALSE)</f>
        <v>0</v>
      </c>
      <c r="AB85" s="160">
        <f>VLOOKUP(C85,'Talente &amp; Stuff'!ER:FT,26,FALSE)</f>
        <v>0</v>
      </c>
      <c r="AC85" s="127">
        <f>VLOOKUP(C85,'Talente &amp; Stuff'!ER:FT,27,FALSE)</f>
        <v>0</v>
      </c>
      <c r="AD85" s="125">
        <f>VLOOKUP(C85,'Talente &amp; Stuff'!ER:FT,28,FALSE)</f>
        <v>0</v>
      </c>
      <c r="AE85" s="28"/>
    </row>
    <row r="86" spans="2:31" ht="15" hidden="1" customHeight="1" outlineLevel="2">
      <c r="B86" s="148">
        <v>9</v>
      </c>
      <c r="C86" s="177" t="str">
        <f>Attribute!C86</f>
        <v>---</v>
      </c>
      <c r="D86" s="125" t="str">
        <f>VLOOKUP(C86,'Talente &amp; Stuff'!ER:FT,2,FALSE)</f>
        <v>--/--/--</v>
      </c>
      <c r="E86" s="127" t="str">
        <f>VLOOKUP(C86,'Talente &amp; Stuff'!ER:FT,3,FALSE)</f>
        <v>-</v>
      </c>
      <c r="F86" s="114">
        <f>VLOOKUP(C86,'Talente &amp; Stuff'!ER:FT,4,FALSE)</f>
        <v>0</v>
      </c>
      <c r="G86" s="113">
        <f>VLOOKUP(C86,'Talente &amp; Stuff'!ER:FT,5,FALSE)</f>
        <v>0</v>
      </c>
      <c r="H86" s="113">
        <f>VLOOKUP(C86,'Talente &amp; Stuff'!ER:FT,6,FALSE)</f>
        <v>0</v>
      </c>
      <c r="I86" s="113">
        <f>VLOOKUP(C86,'Talente &amp; Stuff'!ER:FT,7,FALSE)</f>
        <v>0</v>
      </c>
      <c r="J86" s="113">
        <f>VLOOKUP(C86,'Talente &amp; Stuff'!ER:FT,8,FALSE)</f>
        <v>0</v>
      </c>
      <c r="K86" s="113">
        <f>VLOOKUP(C86,'Talente &amp; Stuff'!ER:FT,9,FALSE)</f>
        <v>0</v>
      </c>
      <c r="L86" s="113">
        <f>VLOOKUP(C86,'Talente &amp; Stuff'!ER:FT,10,FALSE)</f>
        <v>0</v>
      </c>
      <c r="M86" s="119">
        <f>VLOOKUP(C86,'Talente &amp; Stuff'!ER:FT,11,FALSE)</f>
        <v>0</v>
      </c>
      <c r="N86" s="89">
        <f>VLOOKUP(C86,'Talente &amp; Stuff'!ER:FT,12,FALSE)</f>
        <v>0</v>
      </c>
      <c r="O86" s="47">
        <f>VLOOKUP(C86,'Talente &amp; Stuff'!ER:FT,13,FALSE)</f>
        <v>0</v>
      </c>
      <c r="P86" s="119">
        <f>VLOOKUP(C86,'Talente &amp; Stuff'!ER:FT,14,FALSE)</f>
        <v>0</v>
      </c>
      <c r="Q86" s="114">
        <f>VLOOKUP(C86,'Talente &amp; Stuff'!ER:FT,15,FALSE)</f>
        <v>0</v>
      </c>
      <c r="R86" s="113">
        <f>VLOOKUP(C86,'Talente &amp; Stuff'!ER:FT,16,FALSE)</f>
        <v>0</v>
      </c>
      <c r="S86" s="119">
        <f>VLOOKUP(C86,'Talente &amp; Stuff'!ER:FT,17,FALSE)</f>
        <v>0</v>
      </c>
      <c r="T86" s="160">
        <f>VLOOKUP(C86,'Talente &amp; Stuff'!ER:FT,18,FALSE)</f>
        <v>0</v>
      </c>
      <c r="U86" s="89">
        <f>VLOOKUP(C86,'Talente &amp; Stuff'!ER:FT,19,FALSE)</f>
        <v>0</v>
      </c>
      <c r="V86" s="47">
        <f>VLOOKUP(C86,'Talente &amp; Stuff'!ER:FT,20,FALSE)</f>
        <v>0</v>
      </c>
      <c r="W86" s="127">
        <f>VLOOKUP(C86,'Talente &amp; Stuff'!ER:FT,21,FALSE)</f>
        <v>0</v>
      </c>
      <c r="X86" s="127">
        <f>VLOOKUP(C86,'Talente &amp; Stuff'!ER:FT,22,FALSE)</f>
        <v>0</v>
      </c>
      <c r="Y86" s="165">
        <f t="shared" si="10"/>
        <v>0</v>
      </c>
      <c r="Z86" s="44">
        <f t="shared" si="11"/>
        <v>0</v>
      </c>
      <c r="AA86" s="125">
        <f>VLOOKUP(C86,'Talente &amp; Stuff'!ER:FT,25,FALSE)</f>
        <v>0</v>
      </c>
      <c r="AB86" s="160">
        <f>VLOOKUP(C86,'Talente &amp; Stuff'!ER:FT,26,FALSE)</f>
        <v>0</v>
      </c>
      <c r="AC86" s="127">
        <f>VLOOKUP(C86,'Talente &amp; Stuff'!ER:FT,27,FALSE)</f>
        <v>0</v>
      </c>
      <c r="AD86" s="125">
        <f>VLOOKUP(C86,'Talente &amp; Stuff'!ER:FT,28,FALSE)</f>
        <v>0</v>
      </c>
      <c r="AE86" s="28"/>
    </row>
    <row r="87" spans="2:31" ht="15" hidden="1" customHeight="1" outlineLevel="2">
      <c r="B87" s="148">
        <v>10</v>
      </c>
      <c r="C87" s="177" t="str">
        <f>Attribute!C87</f>
        <v>---</v>
      </c>
      <c r="D87" s="125" t="str">
        <f>VLOOKUP(C87,'Talente &amp; Stuff'!ER:FT,2,FALSE)</f>
        <v>--/--/--</v>
      </c>
      <c r="E87" s="127" t="str">
        <f>VLOOKUP(C87,'Talente &amp; Stuff'!ER:FT,3,FALSE)</f>
        <v>-</v>
      </c>
      <c r="F87" s="114">
        <f>VLOOKUP(C87,'Talente &amp; Stuff'!ER:FT,4,FALSE)</f>
        <v>0</v>
      </c>
      <c r="G87" s="113">
        <f>VLOOKUP(C87,'Talente &amp; Stuff'!ER:FT,5,FALSE)</f>
        <v>0</v>
      </c>
      <c r="H87" s="113">
        <f>VLOOKUP(C87,'Talente &amp; Stuff'!ER:FT,6,FALSE)</f>
        <v>0</v>
      </c>
      <c r="I87" s="113">
        <f>VLOOKUP(C87,'Talente &amp; Stuff'!ER:FT,7,FALSE)</f>
        <v>0</v>
      </c>
      <c r="J87" s="113">
        <f>VLOOKUP(C87,'Talente &amp; Stuff'!ER:FT,8,FALSE)</f>
        <v>0</v>
      </c>
      <c r="K87" s="113">
        <f>VLOOKUP(C87,'Talente &amp; Stuff'!ER:FT,9,FALSE)</f>
        <v>0</v>
      </c>
      <c r="L87" s="113">
        <f>VLOOKUP(C87,'Talente &amp; Stuff'!ER:FT,10,FALSE)</f>
        <v>0</v>
      </c>
      <c r="M87" s="119">
        <f>VLOOKUP(C87,'Talente &amp; Stuff'!ER:FT,11,FALSE)</f>
        <v>0</v>
      </c>
      <c r="N87" s="89">
        <f>VLOOKUP(C87,'Talente &amp; Stuff'!ER:FT,12,FALSE)</f>
        <v>0</v>
      </c>
      <c r="O87" s="47">
        <f>VLOOKUP(C87,'Talente &amp; Stuff'!ER:FT,13,FALSE)</f>
        <v>0</v>
      </c>
      <c r="P87" s="119">
        <f>VLOOKUP(C87,'Talente &amp; Stuff'!ER:FT,14,FALSE)</f>
        <v>0</v>
      </c>
      <c r="Q87" s="114">
        <f>VLOOKUP(C87,'Talente &amp; Stuff'!ER:FT,15,FALSE)</f>
        <v>0</v>
      </c>
      <c r="R87" s="113">
        <f>VLOOKUP(C87,'Talente &amp; Stuff'!ER:FT,16,FALSE)</f>
        <v>0</v>
      </c>
      <c r="S87" s="119">
        <f>VLOOKUP(C87,'Talente &amp; Stuff'!ER:FT,17,FALSE)</f>
        <v>0</v>
      </c>
      <c r="T87" s="160">
        <f>VLOOKUP(C87,'Talente &amp; Stuff'!ER:FT,18,FALSE)</f>
        <v>0</v>
      </c>
      <c r="U87" s="89">
        <f>VLOOKUP(C87,'Talente &amp; Stuff'!ER:FT,19,FALSE)</f>
        <v>0</v>
      </c>
      <c r="V87" s="47">
        <f>VLOOKUP(C87,'Talente &amp; Stuff'!ER:FT,20,FALSE)</f>
        <v>0</v>
      </c>
      <c r="W87" s="127">
        <f>VLOOKUP(C87,'Talente &amp; Stuff'!ER:FT,21,FALSE)</f>
        <v>0</v>
      </c>
      <c r="X87" s="127">
        <f>VLOOKUP(C87,'Talente &amp; Stuff'!ER:FT,22,FALSE)</f>
        <v>0</v>
      </c>
      <c r="Y87" s="165">
        <f t="shared" si="10"/>
        <v>0</v>
      </c>
      <c r="Z87" s="44">
        <f t="shared" si="11"/>
        <v>0</v>
      </c>
      <c r="AA87" s="125">
        <f>VLOOKUP(C87,'Talente &amp; Stuff'!ER:FT,25,FALSE)</f>
        <v>0</v>
      </c>
      <c r="AB87" s="160">
        <f>VLOOKUP(C87,'Talente &amp; Stuff'!ER:FT,26,FALSE)</f>
        <v>0</v>
      </c>
      <c r="AC87" s="127">
        <f>VLOOKUP(C87,'Talente &amp; Stuff'!ER:FT,27,FALSE)</f>
        <v>0</v>
      </c>
      <c r="AD87" s="125">
        <f>VLOOKUP(C87,'Talente &amp; Stuff'!ER:FT,28,FALSE)</f>
        <v>0</v>
      </c>
      <c r="AE87" s="28"/>
    </row>
    <row r="88" spans="2:31" ht="15" hidden="1" customHeight="1" outlineLevel="2">
      <c r="B88" s="148">
        <v>11</v>
      </c>
      <c r="C88" s="177" t="str">
        <f>Attribute!C88</f>
        <v>---</v>
      </c>
      <c r="D88" s="125" t="str">
        <f>VLOOKUP(C88,'Talente &amp; Stuff'!ER:FT,2,FALSE)</f>
        <v>--/--/--</v>
      </c>
      <c r="E88" s="127" t="str">
        <f>VLOOKUP(C88,'Talente &amp; Stuff'!ER:FT,3,FALSE)</f>
        <v>-</v>
      </c>
      <c r="F88" s="114">
        <f>VLOOKUP(C88,'Talente &amp; Stuff'!ER:FT,4,FALSE)</f>
        <v>0</v>
      </c>
      <c r="G88" s="113">
        <f>VLOOKUP(C88,'Talente &amp; Stuff'!ER:FT,5,FALSE)</f>
        <v>0</v>
      </c>
      <c r="H88" s="113">
        <f>VLOOKUP(C88,'Talente &amp; Stuff'!ER:FT,6,FALSE)</f>
        <v>0</v>
      </c>
      <c r="I88" s="113">
        <f>VLOOKUP(C88,'Talente &amp; Stuff'!ER:FT,7,FALSE)</f>
        <v>0</v>
      </c>
      <c r="J88" s="113">
        <f>VLOOKUP(C88,'Talente &amp; Stuff'!ER:FT,8,FALSE)</f>
        <v>0</v>
      </c>
      <c r="K88" s="113">
        <f>VLOOKUP(C88,'Talente &amp; Stuff'!ER:FT,9,FALSE)</f>
        <v>0</v>
      </c>
      <c r="L88" s="113">
        <f>VLOOKUP(C88,'Talente &amp; Stuff'!ER:FT,10,FALSE)</f>
        <v>0</v>
      </c>
      <c r="M88" s="119">
        <f>VLOOKUP(C88,'Talente &amp; Stuff'!ER:FT,11,FALSE)</f>
        <v>0</v>
      </c>
      <c r="N88" s="89">
        <f>VLOOKUP(C88,'Talente &amp; Stuff'!ER:FT,12,FALSE)</f>
        <v>0</v>
      </c>
      <c r="O88" s="47">
        <f>VLOOKUP(C88,'Talente &amp; Stuff'!ER:FT,13,FALSE)</f>
        <v>0</v>
      </c>
      <c r="P88" s="119">
        <f>VLOOKUP(C88,'Talente &amp; Stuff'!ER:FT,14,FALSE)</f>
        <v>0</v>
      </c>
      <c r="Q88" s="114">
        <f>VLOOKUP(C88,'Talente &amp; Stuff'!ER:FT,15,FALSE)</f>
        <v>0</v>
      </c>
      <c r="R88" s="113">
        <f>VLOOKUP(C88,'Talente &amp; Stuff'!ER:FT,16,FALSE)</f>
        <v>0</v>
      </c>
      <c r="S88" s="119">
        <f>VLOOKUP(C88,'Talente &amp; Stuff'!ER:FT,17,FALSE)</f>
        <v>0</v>
      </c>
      <c r="T88" s="160">
        <f>VLOOKUP(C88,'Talente &amp; Stuff'!ER:FT,18,FALSE)</f>
        <v>0</v>
      </c>
      <c r="U88" s="89">
        <f>VLOOKUP(C88,'Talente &amp; Stuff'!ER:FT,19,FALSE)</f>
        <v>0</v>
      </c>
      <c r="V88" s="47">
        <f>VLOOKUP(C88,'Talente &amp; Stuff'!ER:FT,20,FALSE)</f>
        <v>0</v>
      </c>
      <c r="W88" s="127">
        <f>VLOOKUP(C88,'Talente &amp; Stuff'!ER:FT,21,FALSE)</f>
        <v>0</v>
      </c>
      <c r="X88" s="127">
        <f>VLOOKUP(C88,'Talente &amp; Stuff'!ER:FT,22,FALSE)</f>
        <v>0</v>
      </c>
      <c r="Y88" s="165">
        <f t="shared" si="10"/>
        <v>0</v>
      </c>
      <c r="Z88" s="44">
        <f t="shared" si="11"/>
        <v>0</v>
      </c>
      <c r="AA88" s="125">
        <f>VLOOKUP(C88,'Talente &amp; Stuff'!ER:FT,25,FALSE)</f>
        <v>0</v>
      </c>
      <c r="AB88" s="160">
        <f>VLOOKUP(C88,'Talente &amp; Stuff'!ER:FT,26,FALSE)</f>
        <v>0</v>
      </c>
      <c r="AC88" s="127">
        <f>VLOOKUP(C88,'Talente &amp; Stuff'!ER:FT,27,FALSE)</f>
        <v>0</v>
      </c>
      <c r="AD88" s="125">
        <f>VLOOKUP(C88,'Talente &amp; Stuff'!ER:FT,28,FALSE)</f>
        <v>0</v>
      </c>
      <c r="AE88" s="28"/>
    </row>
    <row r="89" spans="2:31" ht="15" hidden="1" customHeight="1" outlineLevel="2">
      <c r="B89" s="148">
        <v>12</v>
      </c>
      <c r="C89" s="177" t="str">
        <f>Attribute!C89</f>
        <v>---</v>
      </c>
      <c r="D89" s="125" t="str">
        <f>VLOOKUP(C89,'Talente &amp; Stuff'!ER:FT,2,FALSE)</f>
        <v>--/--/--</v>
      </c>
      <c r="E89" s="127" t="str">
        <f>VLOOKUP(C89,'Talente &amp; Stuff'!ER:FT,3,FALSE)</f>
        <v>-</v>
      </c>
      <c r="F89" s="114">
        <f>VLOOKUP(C89,'Talente &amp; Stuff'!ER:FT,4,FALSE)</f>
        <v>0</v>
      </c>
      <c r="G89" s="113">
        <f>VLOOKUP(C89,'Talente &amp; Stuff'!ER:FT,5,FALSE)</f>
        <v>0</v>
      </c>
      <c r="H89" s="113">
        <f>VLOOKUP(C89,'Talente &amp; Stuff'!ER:FT,6,FALSE)</f>
        <v>0</v>
      </c>
      <c r="I89" s="113">
        <f>VLOOKUP(C89,'Talente &amp; Stuff'!ER:FT,7,FALSE)</f>
        <v>0</v>
      </c>
      <c r="J89" s="113">
        <f>VLOOKUP(C89,'Talente &amp; Stuff'!ER:FT,8,FALSE)</f>
        <v>0</v>
      </c>
      <c r="K89" s="113">
        <f>VLOOKUP(C89,'Talente &amp; Stuff'!ER:FT,9,FALSE)</f>
        <v>0</v>
      </c>
      <c r="L89" s="113">
        <f>VLOOKUP(C89,'Talente &amp; Stuff'!ER:FT,10,FALSE)</f>
        <v>0</v>
      </c>
      <c r="M89" s="119">
        <f>VLOOKUP(C89,'Talente &amp; Stuff'!ER:FT,11,FALSE)</f>
        <v>0</v>
      </c>
      <c r="N89" s="89">
        <f>VLOOKUP(C89,'Talente &amp; Stuff'!ER:FT,12,FALSE)</f>
        <v>0</v>
      </c>
      <c r="O89" s="47">
        <f>VLOOKUP(C89,'Talente &amp; Stuff'!ER:FT,13,FALSE)</f>
        <v>0</v>
      </c>
      <c r="P89" s="119">
        <f>VLOOKUP(C89,'Talente &amp; Stuff'!ER:FT,14,FALSE)</f>
        <v>0</v>
      </c>
      <c r="Q89" s="114">
        <f>VLOOKUP(C89,'Talente &amp; Stuff'!ER:FT,15,FALSE)</f>
        <v>0</v>
      </c>
      <c r="R89" s="113">
        <f>VLOOKUP(C89,'Talente &amp; Stuff'!ER:FT,16,FALSE)</f>
        <v>0</v>
      </c>
      <c r="S89" s="119">
        <f>VLOOKUP(C89,'Talente &amp; Stuff'!ER:FT,17,FALSE)</f>
        <v>0</v>
      </c>
      <c r="T89" s="160">
        <f>VLOOKUP(C89,'Talente &amp; Stuff'!ER:FT,18,FALSE)</f>
        <v>0</v>
      </c>
      <c r="U89" s="89">
        <f>VLOOKUP(C89,'Talente &amp; Stuff'!ER:FT,19,FALSE)</f>
        <v>0</v>
      </c>
      <c r="V89" s="47">
        <f>VLOOKUP(C89,'Talente &amp; Stuff'!ER:FT,20,FALSE)</f>
        <v>0</v>
      </c>
      <c r="W89" s="127">
        <f>VLOOKUP(C89,'Talente &amp; Stuff'!ER:FT,21,FALSE)</f>
        <v>0</v>
      </c>
      <c r="X89" s="127">
        <f>VLOOKUP(C89,'Talente &amp; Stuff'!ER:FT,22,FALSE)</f>
        <v>0</v>
      </c>
      <c r="Y89" s="165">
        <f t="shared" si="10"/>
        <v>0</v>
      </c>
      <c r="Z89" s="44">
        <f t="shared" si="11"/>
        <v>0</v>
      </c>
      <c r="AA89" s="125">
        <f>VLOOKUP(C89,'Talente &amp; Stuff'!ER:FT,25,FALSE)</f>
        <v>0</v>
      </c>
      <c r="AB89" s="160">
        <f>VLOOKUP(C89,'Talente &amp; Stuff'!ER:FT,26,FALSE)</f>
        <v>0</v>
      </c>
      <c r="AC89" s="127">
        <f>VLOOKUP(C89,'Talente &amp; Stuff'!ER:FT,27,FALSE)</f>
        <v>0</v>
      </c>
      <c r="AD89" s="125">
        <f>VLOOKUP(C89,'Talente &amp; Stuff'!ER:FT,28,FALSE)</f>
        <v>0</v>
      </c>
      <c r="AE89" s="28"/>
    </row>
    <row r="90" spans="2:31" ht="15" hidden="1" customHeight="1" outlineLevel="2">
      <c r="B90" s="148">
        <v>13</v>
      </c>
      <c r="C90" s="177" t="str">
        <f>Attribute!C90</f>
        <v>---</v>
      </c>
      <c r="D90" s="125" t="str">
        <f>VLOOKUP(C90,'Talente &amp; Stuff'!ER:FT,2,FALSE)</f>
        <v>--/--/--</v>
      </c>
      <c r="E90" s="127" t="str">
        <f>VLOOKUP(C90,'Talente &amp; Stuff'!ER:FT,3,FALSE)</f>
        <v>-</v>
      </c>
      <c r="F90" s="114">
        <f>VLOOKUP(C90,'Talente &amp; Stuff'!ER:FT,4,FALSE)</f>
        <v>0</v>
      </c>
      <c r="G90" s="113">
        <f>VLOOKUP(C90,'Talente &amp; Stuff'!ER:FT,5,FALSE)</f>
        <v>0</v>
      </c>
      <c r="H90" s="113">
        <f>VLOOKUP(C90,'Talente &amp; Stuff'!ER:FT,6,FALSE)</f>
        <v>0</v>
      </c>
      <c r="I90" s="113">
        <f>VLOOKUP(C90,'Talente &amp; Stuff'!ER:FT,7,FALSE)</f>
        <v>0</v>
      </c>
      <c r="J90" s="113">
        <f>VLOOKUP(C90,'Talente &amp; Stuff'!ER:FT,8,FALSE)</f>
        <v>0</v>
      </c>
      <c r="K90" s="113">
        <f>VLOOKUP(C90,'Talente &amp; Stuff'!ER:FT,9,FALSE)</f>
        <v>0</v>
      </c>
      <c r="L90" s="113">
        <f>VLOOKUP(C90,'Talente &amp; Stuff'!ER:FT,10,FALSE)</f>
        <v>0</v>
      </c>
      <c r="M90" s="119">
        <f>VLOOKUP(C90,'Talente &amp; Stuff'!ER:FT,11,FALSE)</f>
        <v>0</v>
      </c>
      <c r="N90" s="89">
        <f>VLOOKUP(C90,'Talente &amp; Stuff'!ER:FT,12,FALSE)</f>
        <v>0</v>
      </c>
      <c r="O90" s="47">
        <f>VLOOKUP(C90,'Talente &amp; Stuff'!ER:FT,13,FALSE)</f>
        <v>0</v>
      </c>
      <c r="P90" s="119">
        <f>VLOOKUP(C90,'Talente &amp; Stuff'!ER:FT,14,FALSE)</f>
        <v>0</v>
      </c>
      <c r="Q90" s="114">
        <f>VLOOKUP(C90,'Talente &amp; Stuff'!ER:FT,15,FALSE)</f>
        <v>0</v>
      </c>
      <c r="R90" s="113">
        <f>VLOOKUP(C90,'Talente &amp; Stuff'!ER:FT,16,FALSE)</f>
        <v>0</v>
      </c>
      <c r="S90" s="119">
        <f>VLOOKUP(C90,'Talente &amp; Stuff'!ER:FT,17,FALSE)</f>
        <v>0</v>
      </c>
      <c r="T90" s="160">
        <f>VLOOKUP(C90,'Talente &amp; Stuff'!ER:FT,18,FALSE)</f>
        <v>0</v>
      </c>
      <c r="U90" s="89">
        <f>VLOOKUP(C90,'Talente &amp; Stuff'!ER:FT,19,FALSE)</f>
        <v>0</v>
      </c>
      <c r="V90" s="47">
        <f>VLOOKUP(C90,'Talente &amp; Stuff'!ER:FT,20,FALSE)</f>
        <v>0</v>
      </c>
      <c r="W90" s="127">
        <f>VLOOKUP(C90,'Talente &amp; Stuff'!ER:FT,21,FALSE)</f>
        <v>0</v>
      </c>
      <c r="X90" s="127">
        <f>VLOOKUP(C90,'Talente &amp; Stuff'!ER:FT,22,FALSE)</f>
        <v>0</v>
      </c>
      <c r="Y90" s="165">
        <f t="shared" si="10"/>
        <v>0</v>
      </c>
      <c r="Z90" s="44">
        <f t="shared" si="11"/>
        <v>0</v>
      </c>
      <c r="AA90" s="125">
        <f>VLOOKUP(C90,'Talente &amp; Stuff'!ER:FT,25,FALSE)</f>
        <v>0</v>
      </c>
      <c r="AB90" s="160">
        <f>VLOOKUP(C90,'Talente &amp; Stuff'!ER:FT,26,FALSE)</f>
        <v>0</v>
      </c>
      <c r="AC90" s="127">
        <f>VLOOKUP(C90,'Talente &amp; Stuff'!ER:FT,27,FALSE)</f>
        <v>0</v>
      </c>
      <c r="AD90" s="125">
        <f>VLOOKUP(C90,'Talente &amp; Stuff'!ER:FT,28,FALSE)</f>
        <v>0</v>
      </c>
      <c r="AE90" s="28"/>
    </row>
    <row r="91" spans="2:31" ht="15" hidden="1" customHeight="1" outlineLevel="2">
      <c r="B91" s="148">
        <v>14</v>
      </c>
      <c r="C91" s="177" t="str">
        <f>Attribute!C91</f>
        <v>---</v>
      </c>
      <c r="D91" s="125" t="str">
        <f>VLOOKUP(C91,'Talente &amp; Stuff'!ER:FT,2,FALSE)</f>
        <v>--/--/--</v>
      </c>
      <c r="E91" s="127" t="str">
        <f>VLOOKUP(C91,'Talente &amp; Stuff'!ER:FT,3,FALSE)</f>
        <v>-</v>
      </c>
      <c r="F91" s="114">
        <f>VLOOKUP(C91,'Talente &amp; Stuff'!ER:FT,4,FALSE)</f>
        <v>0</v>
      </c>
      <c r="G91" s="113">
        <f>VLOOKUP(C91,'Talente &amp; Stuff'!ER:FT,5,FALSE)</f>
        <v>0</v>
      </c>
      <c r="H91" s="113">
        <f>VLOOKUP(C91,'Talente &amp; Stuff'!ER:FT,6,FALSE)</f>
        <v>0</v>
      </c>
      <c r="I91" s="113">
        <f>VLOOKUP(C91,'Talente &amp; Stuff'!ER:FT,7,FALSE)</f>
        <v>0</v>
      </c>
      <c r="J91" s="113">
        <f>VLOOKUP(C91,'Talente &amp; Stuff'!ER:FT,8,FALSE)</f>
        <v>0</v>
      </c>
      <c r="K91" s="113">
        <f>VLOOKUP(C91,'Talente &amp; Stuff'!ER:FT,9,FALSE)</f>
        <v>0</v>
      </c>
      <c r="L91" s="113">
        <f>VLOOKUP(C91,'Talente &amp; Stuff'!ER:FT,10,FALSE)</f>
        <v>0</v>
      </c>
      <c r="M91" s="119">
        <f>VLOOKUP(C91,'Talente &amp; Stuff'!ER:FT,11,FALSE)</f>
        <v>0</v>
      </c>
      <c r="N91" s="89">
        <f>VLOOKUP(C91,'Talente &amp; Stuff'!ER:FT,12,FALSE)</f>
        <v>0</v>
      </c>
      <c r="O91" s="47">
        <f>VLOOKUP(C91,'Talente &amp; Stuff'!ER:FT,13,FALSE)</f>
        <v>0</v>
      </c>
      <c r="P91" s="119">
        <f>VLOOKUP(C91,'Talente &amp; Stuff'!ER:FT,14,FALSE)</f>
        <v>0</v>
      </c>
      <c r="Q91" s="114">
        <f>VLOOKUP(C91,'Talente &amp; Stuff'!ER:FT,15,FALSE)</f>
        <v>0</v>
      </c>
      <c r="R91" s="113">
        <f>VLOOKUP(C91,'Talente &amp; Stuff'!ER:FT,16,FALSE)</f>
        <v>0</v>
      </c>
      <c r="S91" s="119">
        <f>VLOOKUP(C91,'Talente &amp; Stuff'!ER:FT,17,FALSE)</f>
        <v>0</v>
      </c>
      <c r="T91" s="160">
        <f>VLOOKUP(C91,'Talente &amp; Stuff'!ER:FT,18,FALSE)</f>
        <v>0</v>
      </c>
      <c r="U91" s="89">
        <f>VLOOKUP(C91,'Talente &amp; Stuff'!ER:FT,19,FALSE)</f>
        <v>0</v>
      </c>
      <c r="V91" s="47">
        <f>VLOOKUP(C91,'Talente &amp; Stuff'!ER:FT,20,FALSE)</f>
        <v>0</v>
      </c>
      <c r="W91" s="127">
        <f>VLOOKUP(C91,'Talente &amp; Stuff'!ER:FT,21,FALSE)</f>
        <v>0</v>
      </c>
      <c r="X91" s="127">
        <f>VLOOKUP(C91,'Talente &amp; Stuff'!ER:FT,22,FALSE)</f>
        <v>0</v>
      </c>
      <c r="Y91" s="165">
        <f t="shared" si="10"/>
        <v>0</v>
      </c>
      <c r="Z91" s="44">
        <f t="shared" si="11"/>
        <v>0</v>
      </c>
      <c r="AA91" s="125">
        <f>VLOOKUP(C91,'Talente &amp; Stuff'!ER:FT,25,FALSE)</f>
        <v>0</v>
      </c>
      <c r="AB91" s="160">
        <f>VLOOKUP(C91,'Talente &amp; Stuff'!ER:FT,26,FALSE)</f>
        <v>0</v>
      </c>
      <c r="AC91" s="127">
        <f>VLOOKUP(C91,'Talente &amp; Stuff'!ER:FT,27,FALSE)</f>
        <v>0</v>
      </c>
      <c r="AD91" s="125">
        <f>VLOOKUP(C91,'Talente &amp; Stuff'!ER:FT,28,FALSE)</f>
        <v>0</v>
      </c>
      <c r="AE91" s="28"/>
    </row>
    <row r="92" spans="2:31" ht="15" hidden="1" customHeight="1" outlineLevel="2">
      <c r="B92" s="148">
        <v>15</v>
      </c>
      <c r="C92" s="177" t="str">
        <f>Attribute!C92</f>
        <v>---</v>
      </c>
      <c r="D92" s="86" t="str">
        <f>VLOOKUP(C92,'Talente &amp; Stuff'!ER:FT,2,FALSE)</f>
        <v>--/--/--</v>
      </c>
      <c r="E92" s="127" t="str">
        <f>VLOOKUP(C92,'Talente &amp; Stuff'!ER:FT,3,FALSE)</f>
        <v>-</v>
      </c>
      <c r="F92" s="114">
        <f>VLOOKUP(C92,'Talente &amp; Stuff'!ER:FT,4,FALSE)</f>
        <v>0</v>
      </c>
      <c r="G92" s="113">
        <f>VLOOKUP(C92,'Talente &amp; Stuff'!ER:FT,5,FALSE)</f>
        <v>0</v>
      </c>
      <c r="H92" s="113">
        <f>VLOOKUP(C92,'Talente &amp; Stuff'!ER:FT,6,FALSE)</f>
        <v>0</v>
      </c>
      <c r="I92" s="113">
        <f>VLOOKUP(C92,'Talente &amp; Stuff'!ER:FT,7,FALSE)</f>
        <v>0</v>
      </c>
      <c r="J92" s="113">
        <f>VLOOKUP(C92,'Talente &amp; Stuff'!ER:FT,8,FALSE)</f>
        <v>0</v>
      </c>
      <c r="K92" s="113">
        <f>VLOOKUP(C92,'Talente &amp; Stuff'!ER:FT,9,FALSE)</f>
        <v>0</v>
      </c>
      <c r="L92" s="113">
        <f>VLOOKUP(C92,'Talente &amp; Stuff'!ER:FT,10,FALSE)</f>
        <v>0</v>
      </c>
      <c r="M92" s="119">
        <f>VLOOKUP(C92,'Talente &amp; Stuff'!ER:FT,11,FALSE)</f>
        <v>0</v>
      </c>
      <c r="N92" s="89">
        <f>VLOOKUP(C92,'Talente &amp; Stuff'!ER:FT,12,FALSE)</f>
        <v>0</v>
      </c>
      <c r="O92" s="47">
        <f>VLOOKUP(C92,'Talente &amp; Stuff'!ER:FT,13,FALSE)</f>
        <v>0</v>
      </c>
      <c r="P92" s="119">
        <f>VLOOKUP(C92,'Talente &amp; Stuff'!ER:FT,14,FALSE)</f>
        <v>0</v>
      </c>
      <c r="Q92" s="114">
        <f>VLOOKUP(C92,'Talente &amp; Stuff'!ER:FT,15,FALSE)</f>
        <v>0</v>
      </c>
      <c r="R92" s="113">
        <f>VLOOKUP(C92,'Talente &amp; Stuff'!ER:FT,16,FALSE)</f>
        <v>0</v>
      </c>
      <c r="S92" s="119">
        <f>VLOOKUP(C92,'Talente &amp; Stuff'!ER:FT,17,FALSE)</f>
        <v>0</v>
      </c>
      <c r="T92" s="160">
        <f>VLOOKUP(C92,'Talente &amp; Stuff'!ER:FT,18,FALSE)</f>
        <v>0</v>
      </c>
      <c r="U92" s="89">
        <f>VLOOKUP(C92,'Talente &amp; Stuff'!ER:FT,19,FALSE)</f>
        <v>0</v>
      </c>
      <c r="V92" s="47">
        <f>VLOOKUP(C92,'Talente &amp; Stuff'!ER:FT,20,FALSE)</f>
        <v>0</v>
      </c>
      <c r="W92" s="127">
        <f>VLOOKUP(C92,'Talente &amp; Stuff'!ER:FT,21,FALSE)</f>
        <v>0</v>
      </c>
      <c r="X92" s="127">
        <f>VLOOKUP(C92,'Talente &amp; Stuff'!ER:FT,22,FALSE)</f>
        <v>0</v>
      </c>
      <c r="Y92" s="165">
        <f t="shared" si="10"/>
        <v>0</v>
      </c>
      <c r="Z92" s="44">
        <f t="shared" si="11"/>
        <v>0</v>
      </c>
      <c r="AA92" s="125">
        <f>VLOOKUP(C92,'Talente &amp; Stuff'!ER:FT,25,FALSE)</f>
        <v>0</v>
      </c>
      <c r="AB92" s="160">
        <f>VLOOKUP(C92,'Talente &amp; Stuff'!ER:FT,26,FALSE)</f>
        <v>0</v>
      </c>
      <c r="AC92" s="127">
        <f>VLOOKUP(C92,'Talente &amp; Stuff'!ER:FT,27,FALSE)</f>
        <v>0</v>
      </c>
      <c r="AD92" s="125">
        <f>VLOOKUP(C92,'Talente &amp; Stuff'!ER:FT,28,FALSE)</f>
        <v>0</v>
      </c>
      <c r="AE92" s="28"/>
    </row>
    <row r="93" spans="2:31" ht="15" hidden="1" customHeight="1" outlineLevel="2">
      <c r="B93" s="148">
        <v>16</v>
      </c>
      <c r="C93" s="177" t="str">
        <f>Attribute!C93</f>
        <v>---</v>
      </c>
      <c r="D93" s="125" t="str">
        <f>VLOOKUP(C93,'Talente &amp; Stuff'!ER:FT,2,FALSE)</f>
        <v>--/--/--</v>
      </c>
      <c r="E93" s="127" t="str">
        <f>VLOOKUP(C93,'Talente &amp; Stuff'!ER:FT,3,FALSE)</f>
        <v>-</v>
      </c>
      <c r="F93" s="114">
        <f>VLOOKUP(C93,'Talente &amp; Stuff'!ER:FT,4,FALSE)</f>
        <v>0</v>
      </c>
      <c r="G93" s="113">
        <f>VLOOKUP(C93,'Talente &amp; Stuff'!ER:FT,5,FALSE)</f>
        <v>0</v>
      </c>
      <c r="H93" s="113">
        <f>VLOOKUP(C93,'Talente &amp; Stuff'!ER:FT,6,FALSE)</f>
        <v>0</v>
      </c>
      <c r="I93" s="113">
        <f>VLOOKUP(C93,'Talente &amp; Stuff'!ER:FT,7,FALSE)</f>
        <v>0</v>
      </c>
      <c r="J93" s="113">
        <f>VLOOKUP(C93,'Talente &amp; Stuff'!ER:FT,8,FALSE)</f>
        <v>0</v>
      </c>
      <c r="K93" s="113">
        <f>VLOOKUP(C93,'Talente &amp; Stuff'!ER:FT,9,FALSE)</f>
        <v>0</v>
      </c>
      <c r="L93" s="113">
        <f>VLOOKUP(C93,'Talente &amp; Stuff'!ER:FT,10,FALSE)</f>
        <v>0</v>
      </c>
      <c r="M93" s="119">
        <f>VLOOKUP(C93,'Talente &amp; Stuff'!ER:FT,11,FALSE)</f>
        <v>0</v>
      </c>
      <c r="N93" s="89">
        <f>VLOOKUP(C93,'Talente &amp; Stuff'!ER:FT,12,FALSE)</f>
        <v>0</v>
      </c>
      <c r="O93" s="47">
        <f>VLOOKUP(C93,'Talente &amp; Stuff'!ER:FT,13,FALSE)</f>
        <v>0</v>
      </c>
      <c r="P93" s="119">
        <f>VLOOKUP(C93,'Talente &amp; Stuff'!ER:FT,14,FALSE)</f>
        <v>0</v>
      </c>
      <c r="Q93" s="114">
        <f>VLOOKUP(C93,'Talente &amp; Stuff'!ER:FT,15,FALSE)</f>
        <v>0</v>
      </c>
      <c r="R93" s="113">
        <f>VLOOKUP(C93,'Talente &amp; Stuff'!ER:FT,16,FALSE)</f>
        <v>0</v>
      </c>
      <c r="S93" s="119">
        <f>VLOOKUP(C93,'Talente &amp; Stuff'!ER:FT,17,FALSE)</f>
        <v>0</v>
      </c>
      <c r="T93" s="160">
        <f>VLOOKUP(C93,'Talente &amp; Stuff'!ER:FT,18,FALSE)</f>
        <v>0</v>
      </c>
      <c r="U93" s="89">
        <f>VLOOKUP(C93,'Talente &amp; Stuff'!ER:FT,19,FALSE)</f>
        <v>0</v>
      </c>
      <c r="V93" s="47">
        <f>VLOOKUP(C93,'Talente &amp; Stuff'!ER:FT,20,FALSE)</f>
        <v>0</v>
      </c>
      <c r="W93" s="127">
        <f>VLOOKUP(C93,'Talente &amp; Stuff'!ER:FT,21,FALSE)</f>
        <v>0</v>
      </c>
      <c r="X93" s="127">
        <f>VLOOKUP(C93,'Talente &amp; Stuff'!ER:FT,22,FALSE)</f>
        <v>0</v>
      </c>
      <c r="Y93" s="165">
        <f t="shared" si="10"/>
        <v>0</v>
      </c>
      <c r="Z93" s="44">
        <f t="shared" si="11"/>
        <v>0</v>
      </c>
      <c r="AA93" s="125">
        <f>VLOOKUP(C93,'Talente &amp; Stuff'!ER:FT,25,FALSE)</f>
        <v>0</v>
      </c>
      <c r="AB93" s="160">
        <f>VLOOKUP(C93,'Talente &amp; Stuff'!ER:FT,26,FALSE)</f>
        <v>0</v>
      </c>
      <c r="AC93" s="127">
        <f>VLOOKUP(C93,'Talente &amp; Stuff'!ER:FT,27,FALSE)</f>
        <v>0</v>
      </c>
      <c r="AD93" s="125">
        <f>VLOOKUP(C93,'Talente &amp; Stuff'!ER:FT,28,FALSE)</f>
        <v>0</v>
      </c>
      <c r="AE93" s="28"/>
    </row>
    <row r="94" spans="2:31" ht="15" hidden="1" customHeight="1" outlineLevel="2">
      <c r="B94" s="148">
        <v>17</v>
      </c>
      <c r="C94" s="177" t="str">
        <f>Attribute!C94</f>
        <v>---</v>
      </c>
      <c r="D94" s="125" t="str">
        <f>VLOOKUP(C94,'Talente &amp; Stuff'!ER:FT,2,FALSE)</f>
        <v>--/--/--</v>
      </c>
      <c r="E94" s="127" t="str">
        <f>VLOOKUP(C94,'Talente &amp; Stuff'!ER:FT,3,FALSE)</f>
        <v>-</v>
      </c>
      <c r="F94" s="114">
        <f>VLOOKUP(C94,'Talente &amp; Stuff'!ER:FT,4,FALSE)</f>
        <v>0</v>
      </c>
      <c r="G94" s="113">
        <f>VLOOKUP(C94,'Talente &amp; Stuff'!ER:FT,5,FALSE)</f>
        <v>0</v>
      </c>
      <c r="H94" s="113">
        <f>VLOOKUP(C94,'Talente &amp; Stuff'!ER:FT,6,FALSE)</f>
        <v>0</v>
      </c>
      <c r="I94" s="113">
        <f>VLOOKUP(C94,'Talente &amp; Stuff'!ER:FT,7,FALSE)</f>
        <v>0</v>
      </c>
      <c r="J94" s="113">
        <f>VLOOKUP(C94,'Talente &amp; Stuff'!ER:FT,8,FALSE)</f>
        <v>0</v>
      </c>
      <c r="K94" s="113">
        <f>VLOOKUP(C94,'Talente &amp; Stuff'!ER:FT,9,FALSE)</f>
        <v>0</v>
      </c>
      <c r="L94" s="113">
        <f>VLOOKUP(C94,'Talente &amp; Stuff'!ER:FT,10,FALSE)</f>
        <v>0</v>
      </c>
      <c r="M94" s="119">
        <f>VLOOKUP(C94,'Talente &amp; Stuff'!ER:FT,11,FALSE)</f>
        <v>0</v>
      </c>
      <c r="N94" s="89">
        <f>VLOOKUP(C94,'Talente &amp; Stuff'!ER:FT,12,FALSE)</f>
        <v>0</v>
      </c>
      <c r="O94" s="47">
        <f>VLOOKUP(C94,'Talente &amp; Stuff'!ER:FT,13,FALSE)</f>
        <v>0</v>
      </c>
      <c r="P94" s="119">
        <f>VLOOKUP(C94,'Talente &amp; Stuff'!ER:FT,14,FALSE)</f>
        <v>0</v>
      </c>
      <c r="Q94" s="114">
        <f>VLOOKUP(C94,'Talente &amp; Stuff'!ER:FT,15,FALSE)</f>
        <v>0</v>
      </c>
      <c r="R94" s="113">
        <f>VLOOKUP(C94,'Talente &amp; Stuff'!ER:FT,16,FALSE)</f>
        <v>0</v>
      </c>
      <c r="S94" s="119">
        <f>VLOOKUP(C94,'Talente &amp; Stuff'!ER:FT,17,FALSE)</f>
        <v>0</v>
      </c>
      <c r="T94" s="160">
        <f>VLOOKUP(C94,'Talente &amp; Stuff'!ER:FT,18,FALSE)</f>
        <v>0</v>
      </c>
      <c r="U94" s="89">
        <f>VLOOKUP(C94,'Talente &amp; Stuff'!ER:FT,19,FALSE)</f>
        <v>0</v>
      </c>
      <c r="V94" s="47">
        <f>VLOOKUP(C94,'Talente &amp; Stuff'!ER:FT,20,FALSE)</f>
        <v>0</v>
      </c>
      <c r="W94" s="127">
        <f>VLOOKUP(C94,'Talente &amp; Stuff'!ER:FT,21,FALSE)</f>
        <v>0</v>
      </c>
      <c r="X94" s="127">
        <f>VLOOKUP(C94,'Talente &amp; Stuff'!ER:FT,22,FALSE)</f>
        <v>0</v>
      </c>
      <c r="Y94" s="165">
        <f t="shared" si="10"/>
        <v>0</v>
      </c>
      <c r="Z94" s="44">
        <f t="shared" si="11"/>
        <v>0</v>
      </c>
      <c r="AA94" s="125">
        <f>VLOOKUP(C94,'Talente &amp; Stuff'!ER:FT,25,FALSE)</f>
        <v>0</v>
      </c>
      <c r="AB94" s="160">
        <f>VLOOKUP(C94,'Talente &amp; Stuff'!ER:FT,26,FALSE)</f>
        <v>0</v>
      </c>
      <c r="AC94" s="127">
        <f>VLOOKUP(C94,'Talente &amp; Stuff'!ER:FT,27,FALSE)</f>
        <v>0</v>
      </c>
      <c r="AD94" s="125">
        <f>VLOOKUP(C94,'Talente &amp; Stuff'!ER:FT,28,FALSE)</f>
        <v>0</v>
      </c>
      <c r="AE94" s="28"/>
    </row>
    <row r="95" spans="2:31" ht="15" hidden="1" customHeight="1" outlineLevel="2">
      <c r="B95" s="148">
        <v>18</v>
      </c>
      <c r="C95" s="177" t="str">
        <f>Attribute!C95</f>
        <v>---</v>
      </c>
      <c r="D95" s="125" t="str">
        <f>VLOOKUP(C95,'Talente &amp; Stuff'!ER:FT,2,FALSE)</f>
        <v>--/--/--</v>
      </c>
      <c r="E95" s="127" t="str">
        <f>VLOOKUP(C95,'Talente &amp; Stuff'!ER:FT,3,FALSE)</f>
        <v>-</v>
      </c>
      <c r="F95" s="114">
        <f>VLOOKUP(C95,'Talente &amp; Stuff'!ER:FT,4,FALSE)</f>
        <v>0</v>
      </c>
      <c r="G95" s="113">
        <f>VLOOKUP(C95,'Talente &amp; Stuff'!ER:FT,5,FALSE)</f>
        <v>0</v>
      </c>
      <c r="H95" s="113">
        <f>VLOOKUP(C95,'Talente &amp; Stuff'!ER:FT,6,FALSE)</f>
        <v>0</v>
      </c>
      <c r="I95" s="113">
        <f>VLOOKUP(C95,'Talente &amp; Stuff'!ER:FT,7,FALSE)</f>
        <v>0</v>
      </c>
      <c r="J95" s="113">
        <f>VLOOKUP(C95,'Talente &amp; Stuff'!ER:FT,8,FALSE)</f>
        <v>0</v>
      </c>
      <c r="K95" s="113">
        <f>VLOOKUP(C95,'Talente &amp; Stuff'!ER:FT,9,FALSE)</f>
        <v>0</v>
      </c>
      <c r="L95" s="113">
        <f>VLOOKUP(C95,'Talente &amp; Stuff'!ER:FT,10,FALSE)</f>
        <v>0</v>
      </c>
      <c r="M95" s="119">
        <f>VLOOKUP(C95,'Talente &amp; Stuff'!ER:FT,11,FALSE)</f>
        <v>0</v>
      </c>
      <c r="N95" s="89">
        <f>VLOOKUP(C95,'Talente &amp; Stuff'!ER:FT,12,FALSE)</f>
        <v>0</v>
      </c>
      <c r="O95" s="47">
        <f>VLOOKUP(C95,'Talente &amp; Stuff'!ER:FT,13,FALSE)</f>
        <v>0</v>
      </c>
      <c r="P95" s="119">
        <f>VLOOKUP(C95,'Talente &amp; Stuff'!ER:FT,14,FALSE)</f>
        <v>0</v>
      </c>
      <c r="Q95" s="114">
        <f>VLOOKUP(C95,'Talente &amp; Stuff'!ER:FT,15,FALSE)</f>
        <v>0</v>
      </c>
      <c r="R95" s="113">
        <f>VLOOKUP(C95,'Talente &amp; Stuff'!ER:FT,16,FALSE)</f>
        <v>0</v>
      </c>
      <c r="S95" s="119">
        <f>VLOOKUP(C95,'Talente &amp; Stuff'!ER:FT,17,FALSE)</f>
        <v>0</v>
      </c>
      <c r="T95" s="160">
        <f>VLOOKUP(C95,'Talente &amp; Stuff'!ER:FT,18,FALSE)</f>
        <v>0</v>
      </c>
      <c r="U95" s="89">
        <f>VLOOKUP(C95,'Talente &amp; Stuff'!ER:FT,19,FALSE)</f>
        <v>0</v>
      </c>
      <c r="V95" s="47">
        <f>VLOOKUP(C95,'Talente &amp; Stuff'!ER:FT,20,FALSE)</f>
        <v>0</v>
      </c>
      <c r="W95" s="127">
        <f>VLOOKUP(C95,'Talente &amp; Stuff'!ER:FT,21,FALSE)</f>
        <v>0</v>
      </c>
      <c r="X95" s="127">
        <f>VLOOKUP(C95,'Talente &amp; Stuff'!ER:FT,22,FALSE)</f>
        <v>0</v>
      </c>
      <c r="Y95" s="165">
        <f t="shared" si="10"/>
        <v>0</v>
      </c>
      <c r="Z95" s="44">
        <f t="shared" si="11"/>
        <v>0</v>
      </c>
      <c r="AA95" s="125">
        <f>VLOOKUP(C95,'Talente &amp; Stuff'!ER:FT,25,FALSE)</f>
        <v>0</v>
      </c>
      <c r="AB95" s="160">
        <f>VLOOKUP(C95,'Talente &amp; Stuff'!ER:FT,26,FALSE)</f>
        <v>0</v>
      </c>
      <c r="AC95" s="127">
        <f>VLOOKUP(C95,'Talente &amp; Stuff'!ER:FT,27,FALSE)</f>
        <v>0</v>
      </c>
      <c r="AD95" s="125">
        <f>VLOOKUP(C95,'Talente &amp; Stuff'!ER:FT,28,FALSE)</f>
        <v>0</v>
      </c>
      <c r="AE95" s="28"/>
    </row>
    <row r="96" spans="2:31" ht="15" hidden="1" customHeight="1" outlineLevel="2">
      <c r="B96" s="148">
        <v>19</v>
      </c>
      <c r="C96" s="177" t="str">
        <f>Attribute!C96</f>
        <v>---</v>
      </c>
      <c r="D96" s="125" t="str">
        <f>VLOOKUP(C96,'Talente &amp; Stuff'!ER:FT,2,FALSE)</f>
        <v>--/--/--</v>
      </c>
      <c r="E96" s="127" t="str">
        <f>VLOOKUP(C96,'Talente &amp; Stuff'!ER:FT,3,FALSE)</f>
        <v>-</v>
      </c>
      <c r="F96" s="114">
        <f>VLOOKUP(C96,'Talente &amp; Stuff'!ER:FT,4,FALSE)</f>
        <v>0</v>
      </c>
      <c r="G96" s="113">
        <f>VLOOKUP(C96,'Talente &amp; Stuff'!ER:FT,5,FALSE)</f>
        <v>0</v>
      </c>
      <c r="H96" s="113">
        <f>VLOOKUP(C96,'Talente &amp; Stuff'!ER:FT,6,FALSE)</f>
        <v>0</v>
      </c>
      <c r="I96" s="113">
        <f>VLOOKUP(C96,'Talente &amp; Stuff'!ER:FT,7,FALSE)</f>
        <v>0</v>
      </c>
      <c r="J96" s="113">
        <f>VLOOKUP(C96,'Talente &amp; Stuff'!ER:FT,8,FALSE)</f>
        <v>0</v>
      </c>
      <c r="K96" s="113">
        <f>VLOOKUP(C96,'Talente &amp; Stuff'!ER:FT,9,FALSE)</f>
        <v>0</v>
      </c>
      <c r="L96" s="113">
        <f>VLOOKUP(C96,'Talente &amp; Stuff'!ER:FT,10,FALSE)</f>
        <v>0</v>
      </c>
      <c r="M96" s="119">
        <f>VLOOKUP(C96,'Talente &amp; Stuff'!ER:FT,11,FALSE)</f>
        <v>0</v>
      </c>
      <c r="N96" s="89">
        <f>VLOOKUP(C96,'Talente &amp; Stuff'!ER:FT,12,FALSE)</f>
        <v>0</v>
      </c>
      <c r="O96" s="47">
        <f>VLOOKUP(C96,'Talente &amp; Stuff'!ER:FT,13,FALSE)</f>
        <v>0</v>
      </c>
      <c r="P96" s="119">
        <f>VLOOKUP(C96,'Talente &amp; Stuff'!ER:FT,14,FALSE)</f>
        <v>0</v>
      </c>
      <c r="Q96" s="114">
        <f>VLOOKUP(C96,'Talente &amp; Stuff'!ER:FT,15,FALSE)</f>
        <v>0</v>
      </c>
      <c r="R96" s="113">
        <f>VLOOKUP(C96,'Talente &amp; Stuff'!ER:FT,16,FALSE)</f>
        <v>0</v>
      </c>
      <c r="S96" s="119">
        <f>VLOOKUP(C96,'Talente &amp; Stuff'!ER:FT,17,FALSE)</f>
        <v>0</v>
      </c>
      <c r="T96" s="160">
        <f>VLOOKUP(C96,'Talente &amp; Stuff'!ER:FT,18,FALSE)</f>
        <v>0</v>
      </c>
      <c r="U96" s="89">
        <f>VLOOKUP(C96,'Talente &amp; Stuff'!ER:FT,19,FALSE)</f>
        <v>0</v>
      </c>
      <c r="V96" s="47">
        <f>VLOOKUP(C96,'Talente &amp; Stuff'!ER:FT,20,FALSE)</f>
        <v>0</v>
      </c>
      <c r="W96" s="127">
        <f>VLOOKUP(C96,'Talente &amp; Stuff'!ER:FT,21,FALSE)</f>
        <v>0</v>
      </c>
      <c r="X96" s="127">
        <f>VLOOKUP(C96,'Talente &amp; Stuff'!ER:FT,22,FALSE)</f>
        <v>0</v>
      </c>
      <c r="Y96" s="165">
        <f t="shared" si="10"/>
        <v>0</v>
      </c>
      <c r="Z96" s="44">
        <f t="shared" si="11"/>
        <v>0</v>
      </c>
      <c r="AA96" s="125">
        <f>VLOOKUP(C96,'Talente &amp; Stuff'!ER:FT,25,FALSE)</f>
        <v>0</v>
      </c>
      <c r="AB96" s="160">
        <f>VLOOKUP(C96,'Talente &amp; Stuff'!ER:FT,26,FALSE)</f>
        <v>0</v>
      </c>
      <c r="AC96" s="127">
        <f>VLOOKUP(C96,'Talente &amp; Stuff'!ER:FT,27,FALSE)</f>
        <v>0</v>
      </c>
      <c r="AD96" s="125">
        <f>VLOOKUP(C96,'Talente &amp; Stuff'!ER:FT,28,FALSE)</f>
        <v>0</v>
      </c>
      <c r="AE96" s="28"/>
    </row>
    <row r="97" spans="2:31" ht="15" hidden="1" customHeight="1" outlineLevel="2">
      <c r="B97" s="148">
        <v>20</v>
      </c>
      <c r="C97" s="177" t="str">
        <f>Attribute!C97</f>
        <v>---</v>
      </c>
      <c r="D97" s="125" t="str">
        <f>VLOOKUP(C97,'Talente &amp; Stuff'!ER:FT,2,FALSE)</f>
        <v>--/--/--</v>
      </c>
      <c r="E97" s="127" t="str">
        <f>VLOOKUP(C97,'Talente &amp; Stuff'!ER:FT,3,FALSE)</f>
        <v>-</v>
      </c>
      <c r="F97" s="114">
        <f>VLOOKUP(C97,'Talente &amp; Stuff'!ER:FT,4,FALSE)</f>
        <v>0</v>
      </c>
      <c r="G97" s="113">
        <f>VLOOKUP(C97,'Talente &amp; Stuff'!ER:FT,5,FALSE)</f>
        <v>0</v>
      </c>
      <c r="H97" s="113">
        <f>VLOOKUP(C97,'Talente &amp; Stuff'!ER:FT,6,FALSE)</f>
        <v>0</v>
      </c>
      <c r="I97" s="113">
        <f>VLOOKUP(C97,'Talente &amp; Stuff'!ER:FT,7,FALSE)</f>
        <v>0</v>
      </c>
      <c r="J97" s="113">
        <f>VLOOKUP(C97,'Talente &amp; Stuff'!ER:FT,8,FALSE)</f>
        <v>0</v>
      </c>
      <c r="K97" s="113">
        <f>VLOOKUP(C97,'Talente &amp; Stuff'!ER:FT,9,FALSE)</f>
        <v>0</v>
      </c>
      <c r="L97" s="113">
        <f>VLOOKUP(C97,'Talente &amp; Stuff'!ER:FT,10,FALSE)</f>
        <v>0</v>
      </c>
      <c r="M97" s="119">
        <f>VLOOKUP(C97,'Talente &amp; Stuff'!ER:FT,11,FALSE)</f>
        <v>0</v>
      </c>
      <c r="N97" s="89">
        <f>VLOOKUP(C97,'Talente &amp; Stuff'!ER:FT,12,FALSE)</f>
        <v>0</v>
      </c>
      <c r="O97" s="47">
        <f>VLOOKUP(C97,'Talente &amp; Stuff'!ER:FT,13,FALSE)</f>
        <v>0</v>
      </c>
      <c r="P97" s="119">
        <f>VLOOKUP(C97,'Talente &amp; Stuff'!ER:FT,14,FALSE)</f>
        <v>0</v>
      </c>
      <c r="Q97" s="114">
        <f>VLOOKUP(C97,'Talente &amp; Stuff'!ER:FT,15,FALSE)</f>
        <v>0</v>
      </c>
      <c r="R97" s="113">
        <f>VLOOKUP(C97,'Talente &amp; Stuff'!ER:FT,16,FALSE)</f>
        <v>0</v>
      </c>
      <c r="S97" s="119">
        <f>VLOOKUP(C97,'Talente &amp; Stuff'!ER:FT,17,FALSE)</f>
        <v>0</v>
      </c>
      <c r="T97" s="160">
        <f>VLOOKUP(C97,'Talente &amp; Stuff'!ER:FT,18,FALSE)</f>
        <v>0</v>
      </c>
      <c r="U97" s="89">
        <f>VLOOKUP(C97,'Talente &amp; Stuff'!ER:FT,19,FALSE)</f>
        <v>0</v>
      </c>
      <c r="V97" s="47">
        <f>VLOOKUP(C97,'Talente &amp; Stuff'!ER:FT,20,FALSE)</f>
        <v>0</v>
      </c>
      <c r="W97" s="127">
        <f>VLOOKUP(C97,'Talente &amp; Stuff'!ER:FT,21,FALSE)</f>
        <v>0</v>
      </c>
      <c r="X97" s="127">
        <f>VLOOKUP(C97,'Talente &amp; Stuff'!ER:FT,22,FALSE)</f>
        <v>0</v>
      </c>
      <c r="Y97" s="165">
        <f t="shared" si="10"/>
        <v>0</v>
      </c>
      <c r="Z97" s="44">
        <f t="shared" si="11"/>
        <v>0</v>
      </c>
      <c r="AA97" s="125">
        <f>VLOOKUP(C97,'Talente &amp; Stuff'!ER:FT,25,FALSE)</f>
        <v>0</v>
      </c>
      <c r="AB97" s="160">
        <f>VLOOKUP(C97,'Talente &amp; Stuff'!ER:FT,26,FALSE)</f>
        <v>0</v>
      </c>
      <c r="AC97" s="127">
        <f>VLOOKUP(C97,'Talente &amp; Stuff'!ER:FT,27,FALSE)</f>
        <v>0</v>
      </c>
      <c r="AD97" s="125">
        <f>VLOOKUP(C97,'Talente &amp; Stuff'!ER:FT,28,FALSE)</f>
        <v>0</v>
      </c>
      <c r="AE97" s="28"/>
    </row>
    <row r="98" spans="2:31" ht="15" hidden="1" customHeight="1" outlineLevel="2">
      <c r="B98" s="148">
        <v>21</v>
      </c>
      <c r="C98" s="178" t="str">
        <f>Attribute!C98</f>
        <v>---</v>
      </c>
      <c r="D98" s="87" t="str">
        <f>VLOOKUP(C98,'Talente &amp; Stuff'!ER:FT,2,FALSE)</f>
        <v>--/--/--</v>
      </c>
      <c r="E98" s="128" t="str">
        <f>VLOOKUP(C98,'Talente &amp; Stuff'!ER:FT,3,FALSE)</f>
        <v>-</v>
      </c>
      <c r="F98" s="115">
        <f>VLOOKUP(C98,'Talente &amp; Stuff'!ER:FT,4,FALSE)</f>
        <v>0</v>
      </c>
      <c r="G98" s="122">
        <f>VLOOKUP(C98,'Talente &amp; Stuff'!ER:FT,5,FALSE)</f>
        <v>0</v>
      </c>
      <c r="H98" s="122">
        <f>VLOOKUP(C98,'Talente &amp; Stuff'!ER:FT,6,FALSE)</f>
        <v>0</v>
      </c>
      <c r="I98" s="122">
        <f>VLOOKUP(C98,'Talente &amp; Stuff'!ER:FT,7,FALSE)</f>
        <v>0</v>
      </c>
      <c r="J98" s="122">
        <f>VLOOKUP(C98,'Talente &amp; Stuff'!ER:FT,8,FALSE)</f>
        <v>0</v>
      </c>
      <c r="K98" s="122">
        <f>VLOOKUP(C98,'Talente &amp; Stuff'!ER:FT,9,FALSE)</f>
        <v>0</v>
      </c>
      <c r="L98" s="122">
        <f>VLOOKUP(C98,'Talente &amp; Stuff'!ER:FT,10,FALSE)</f>
        <v>0</v>
      </c>
      <c r="M98" s="123">
        <f>VLOOKUP(C98,'Talente &amp; Stuff'!ER:FT,11,FALSE)</f>
        <v>0</v>
      </c>
      <c r="N98" s="88">
        <f>VLOOKUP(C98,'Talente &amp; Stuff'!ER:FT,12,FALSE)</f>
        <v>0</v>
      </c>
      <c r="O98" s="2">
        <f>VLOOKUP(C98,'Talente &amp; Stuff'!ER:FT,13,FALSE)</f>
        <v>0</v>
      </c>
      <c r="P98" s="173">
        <f>VLOOKUP(C98,'Talente &amp; Stuff'!ER:FT,14,FALSE)</f>
        <v>0</v>
      </c>
      <c r="Q98" s="115">
        <f>VLOOKUP(C98,'Talente &amp; Stuff'!ER:FT,15,FALSE)</f>
        <v>0</v>
      </c>
      <c r="R98" s="169">
        <f>VLOOKUP(C98,'Talente &amp; Stuff'!ER:FT,16,FALSE)</f>
        <v>0</v>
      </c>
      <c r="S98" s="123">
        <f>VLOOKUP(C98,'Talente &amp; Stuff'!ER:FT,17,FALSE)</f>
        <v>0</v>
      </c>
      <c r="T98" s="123">
        <f>VLOOKUP(C98,'Talente &amp; Stuff'!ER:FT,18,FALSE)</f>
        <v>0</v>
      </c>
      <c r="U98" s="90">
        <f>VLOOKUP(C98,'Talente &amp; Stuff'!ER:FT,19,FALSE)</f>
        <v>0</v>
      </c>
      <c r="V98" s="88">
        <f>VLOOKUP(C98,'Talente &amp; Stuff'!ER:FT,20,FALSE)</f>
        <v>0</v>
      </c>
      <c r="W98" s="128">
        <f>VLOOKUP(C98,'Talente &amp; Stuff'!ER:FT,21,FALSE)</f>
        <v>0</v>
      </c>
      <c r="X98" s="128">
        <f>VLOOKUP(C98,'Talente &amp; Stuff'!ER:FT,22,FALSE)</f>
        <v>0</v>
      </c>
      <c r="Y98" s="165">
        <f t="shared" si="10"/>
        <v>0</v>
      </c>
      <c r="Z98" s="44">
        <f t="shared" si="11"/>
        <v>0</v>
      </c>
      <c r="AA98" s="159">
        <f>VLOOKUP(C98,'Talente &amp; Stuff'!ER:FT,25,FALSE)</f>
        <v>0</v>
      </c>
      <c r="AB98" s="161">
        <f>VLOOKUP(C98,'Talente &amp; Stuff'!ER:FT,26,FALSE)</f>
        <v>0</v>
      </c>
      <c r="AC98" s="128">
        <f>VLOOKUP(C98,'Talente &amp; Stuff'!ER:FT,27,FALSE)</f>
        <v>0</v>
      </c>
      <c r="AD98" s="159">
        <f>VLOOKUP(C98,'Talente &amp; Stuff'!ER:FT,28,FALSE)</f>
        <v>0</v>
      </c>
      <c r="AE98" s="28"/>
    </row>
    <row r="99" spans="2:31" ht="15" hidden="1" customHeight="1" outlineLevel="1" collapsed="1">
      <c r="B99" s="134" t="s">
        <v>331</v>
      </c>
      <c r="C99" s="83"/>
      <c r="D99" s="84"/>
      <c r="E99" s="84"/>
    </row>
    <row r="100" spans="2:31" ht="15" hidden="1" customHeight="1" outlineLevel="2">
      <c r="B100" s="148">
        <v>1</v>
      </c>
      <c r="C100" s="176" t="str">
        <f>Attribute!C100</f>
        <v>---</v>
      </c>
      <c r="D100" s="85" t="str">
        <f>VLOOKUP(C100,'Talente &amp; Stuff'!ER:FT,2,FALSE)</f>
        <v>--/--/--</v>
      </c>
      <c r="E100" s="126" t="str">
        <f>VLOOKUP(C100,'Talente &amp; Stuff'!ER:FT,3,FALSE)</f>
        <v>-</v>
      </c>
      <c r="F100" s="191">
        <f>VLOOKUP(C100,'Talente &amp; Stuff'!ER:FT,4,FALSE)</f>
        <v>0</v>
      </c>
      <c r="G100" s="118">
        <f>VLOOKUP(C100,'Talente &amp; Stuff'!ER:FT,5,FALSE)</f>
        <v>0</v>
      </c>
      <c r="H100" s="118">
        <f>VLOOKUP(C100,'Talente &amp; Stuff'!ER:FT,6,FALSE)</f>
        <v>0</v>
      </c>
      <c r="I100" s="118">
        <f>VLOOKUP(C100,'Talente &amp; Stuff'!ER:FT,7,FALSE)</f>
        <v>0</v>
      </c>
      <c r="J100" s="118">
        <f>VLOOKUP(C100,'Talente &amp; Stuff'!ER:FT,8,FALSE)</f>
        <v>0</v>
      </c>
      <c r="K100" s="118">
        <f>VLOOKUP(C100,'Talente &amp; Stuff'!ER:FT,9,FALSE)</f>
        <v>0</v>
      </c>
      <c r="L100" s="118">
        <f>VLOOKUP(C100,'Talente &amp; Stuff'!ER:FT,10,FALSE)</f>
        <v>0</v>
      </c>
      <c r="M100" s="92">
        <f>VLOOKUP(C100,'Talente &amp; Stuff'!ER:FT,11,FALSE)</f>
        <v>0</v>
      </c>
      <c r="N100" s="116">
        <f>VLOOKUP(C100,'Talente &amp; Stuff'!ER:FT,12,FALSE)</f>
        <v>0</v>
      </c>
      <c r="O100" s="194">
        <f>VLOOKUP(C100,'Talente &amp; Stuff'!ER:FT,13,FALSE)</f>
        <v>0</v>
      </c>
      <c r="P100" s="192">
        <f>VLOOKUP(C100,'Talente &amp; Stuff'!ER:FT,14,FALSE)</f>
        <v>0</v>
      </c>
      <c r="Q100" s="191">
        <f>VLOOKUP(C100,'Talente &amp; Stuff'!ER:FT,15,FALSE)</f>
        <v>0</v>
      </c>
      <c r="R100" s="170">
        <f>VLOOKUP(C100,'Talente &amp; Stuff'!ER:FT,16,FALSE)</f>
        <v>0</v>
      </c>
      <c r="S100" s="92">
        <f>VLOOKUP(C100,'Talente &amp; Stuff'!ER:FT,17,FALSE)</f>
        <v>0</v>
      </c>
      <c r="T100" s="92">
        <f>VLOOKUP(C100,'Talente &amp; Stuff'!ER:FT,18,FALSE)</f>
        <v>0</v>
      </c>
      <c r="U100" s="193">
        <f>VLOOKUP(C100,'Talente &amp; Stuff'!ER:FT,19,FALSE)</f>
        <v>0</v>
      </c>
      <c r="V100" s="116">
        <f>VLOOKUP(C100,'Talente &amp; Stuff'!ER:FT,20,FALSE)</f>
        <v>0</v>
      </c>
      <c r="W100" s="126">
        <f>VLOOKUP(C100,'Talente &amp; Stuff'!ER:FT,21,FALSE)</f>
        <v>0</v>
      </c>
      <c r="X100" s="126">
        <f>VLOOKUP(C100,'Talente &amp; Stuff'!ER:FT,22,FALSE)</f>
        <v>0</v>
      </c>
      <c r="Y100" s="165">
        <f t="shared" ref="Y100:Y126" si="12">VLOOKUP(C100,Ausgewählte_Zauber_Druiden,168,FALSE)</f>
        <v>0</v>
      </c>
      <c r="Z100" s="44">
        <f t="shared" ref="Z100:Z126" si="13">VLOOKUP(C100,Ausgewählte_Zauber_Druiden,169,FALSE)</f>
        <v>0</v>
      </c>
      <c r="AA100" s="158">
        <f>VLOOKUP(C100,'Talente &amp; Stuff'!ER:FT,25,FALSE)</f>
        <v>0</v>
      </c>
      <c r="AB100" s="91">
        <f>VLOOKUP(C100,'Talente &amp; Stuff'!ER:FT,26,FALSE)</f>
        <v>0</v>
      </c>
      <c r="AC100" s="126">
        <f>VLOOKUP(C100,'Talente &amp; Stuff'!ER:FT,27,FALSE)</f>
        <v>0</v>
      </c>
      <c r="AD100" s="158">
        <f>VLOOKUP(C100,'Talente &amp; Stuff'!ER:FT,28,FALSE)</f>
        <v>0</v>
      </c>
      <c r="AE100" s="28"/>
    </row>
    <row r="101" spans="2:31" ht="15" hidden="1" customHeight="1" outlineLevel="2">
      <c r="B101" s="148">
        <v>2</v>
      </c>
      <c r="C101" s="177" t="str">
        <f>Attribute!C101</f>
        <v>---</v>
      </c>
      <c r="D101" s="86" t="str">
        <f>VLOOKUP(C101,'Talente &amp; Stuff'!ER:FT,2,FALSE)</f>
        <v>--/--/--</v>
      </c>
      <c r="E101" s="167" t="str">
        <f>VLOOKUP(C101,'Talente &amp; Stuff'!ER:FT,3,FALSE)</f>
        <v>-</v>
      </c>
      <c r="F101" s="120">
        <f>VLOOKUP(C101,'Talente &amp; Stuff'!ER:FT,4,FALSE)</f>
        <v>0</v>
      </c>
      <c r="G101" s="117">
        <f>VLOOKUP(C101,'Talente &amp; Stuff'!ER:FT,5,FALSE)</f>
        <v>0</v>
      </c>
      <c r="H101" s="117">
        <f>VLOOKUP(C101,'Talente &amp; Stuff'!ER:FT,6,FALSE)</f>
        <v>0</v>
      </c>
      <c r="I101" s="117">
        <f>VLOOKUP(C101,'Talente &amp; Stuff'!ER:FT,7,FALSE)</f>
        <v>0</v>
      </c>
      <c r="J101" s="117">
        <f>VLOOKUP(C101,'Talente &amp; Stuff'!ER:FT,8,FALSE)</f>
        <v>0</v>
      </c>
      <c r="K101" s="117">
        <f>VLOOKUP(C101,'Talente &amp; Stuff'!ER:FT,9,FALSE)</f>
        <v>0</v>
      </c>
      <c r="L101" s="117">
        <f>VLOOKUP(C101,'Talente &amp; Stuff'!ER:FT,10,FALSE)</f>
        <v>0</v>
      </c>
      <c r="M101" s="121">
        <f>VLOOKUP(C101,'Talente &amp; Stuff'!ER:FT,11,FALSE)</f>
        <v>0</v>
      </c>
      <c r="N101" s="47">
        <f>VLOOKUP(C101,'Talente &amp; Stuff'!ER:FT,12,FALSE)</f>
        <v>0</v>
      </c>
      <c r="O101" s="3">
        <f>VLOOKUP(C101,'Talente &amp; Stuff'!ER:FT,13,FALSE)</f>
        <v>0</v>
      </c>
      <c r="P101" s="174">
        <f>VLOOKUP(C101,'Talente &amp; Stuff'!ER:FT,14,FALSE)</f>
        <v>0</v>
      </c>
      <c r="Q101" s="114">
        <f>VLOOKUP(C101,'Talente &amp; Stuff'!ER:FT,15,FALSE)</f>
        <v>0</v>
      </c>
      <c r="R101" s="117">
        <f>VLOOKUP(C101,'Talente &amp; Stuff'!ER:FT,16,FALSE)</f>
        <v>0</v>
      </c>
      <c r="S101" s="119">
        <f>VLOOKUP(C101,'Talente &amp; Stuff'!ER:FT,17,FALSE)</f>
        <v>0</v>
      </c>
      <c r="T101" s="119">
        <f>VLOOKUP(C101,'Talente &amp; Stuff'!ER:FT,18,FALSE)</f>
        <v>0</v>
      </c>
      <c r="U101" s="89">
        <f>VLOOKUP(C101,'Talente &amp; Stuff'!ER:FT,19,FALSE)</f>
        <v>0</v>
      </c>
      <c r="V101" s="47">
        <f>VLOOKUP(C101,'Talente &amp; Stuff'!ER:FT,20,FALSE)</f>
        <v>0</v>
      </c>
      <c r="W101" s="127">
        <f>VLOOKUP(C101,'Talente &amp; Stuff'!ER:FT,21,FALSE)</f>
        <v>0</v>
      </c>
      <c r="X101" s="127">
        <f>VLOOKUP(C101,'Talente &amp; Stuff'!ER:FT,22,FALSE)</f>
        <v>0</v>
      </c>
      <c r="Y101" s="165">
        <f t="shared" si="12"/>
        <v>0</v>
      </c>
      <c r="Z101" s="44">
        <f t="shared" si="13"/>
        <v>0</v>
      </c>
      <c r="AA101" s="125">
        <f>VLOOKUP(C101,'Talente &amp; Stuff'!ER:FT,25,FALSE)</f>
        <v>0</v>
      </c>
      <c r="AB101" s="160">
        <f>VLOOKUP(C101,'Talente &amp; Stuff'!ER:FT,26,FALSE)</f>
        <v>0</v>
      </c>
      <c r="AC101" s="127">
        <f>VLOOKUP(C101,'Talente &amp; Stuff'!ER:FT,27,FALSE)</f>
        <v>0</v>
      </c>
      <c r="AD101" s="125">
        <f>VLOOKUP(C101,'Talente &amp; Stuff'!ER:FT,28,FALSE)</f>
        <v>0</v>
      </c>
      <c r="AE101" s="28"/>
    </row>
    <row r="102" spans="2:31" ht="15" hidden="1" customHeight="1" outlineLevel="2">
      <c r="B102" s="148">
        <v>3</v>
      </c>
      <c r="C102" s="177" t="str">
        <f>Attribute!C102</f>
        <v>---</v>
      </c>
      <c r="D102" s="86" t="str">
        <f>VLOOKUP(C102,'Talente &amp; Stuff'!ER:FT,2,FALSE)</f>
        <v>--/--/--</v>
      </c>
      <c r="E102" s="167" t="str">
        <f>VLOOKUP(C102,'Talente &amp; Stuff'!ER:FT,3,FALSE)</f>
        <v>-</v>
      </c>
      <c r="F102" s="120">
        <f>VLOOKUP(C102,'Talente &amp; Stuff'!ER:FT,4,FALSE)</f>
        <v>0</v>
      </c>
      <c r="G102" s="117">
        <f>VLOOKUP(C102,'Talente &amp; Stuff'!ER:FT,5,FALSE)</f>
        <v>0</v>
      </c>
      <c r="H102" s="117">
        <f>VLOOKUP(C102,'Talente &amp; Stuff'!ER:FT,6,FALSE)</f>
        <v>0</v>
      </c>
      <c r="I102" s="117">
        <f>VLOOKUP(C102,'Talente &amp; Stuff'!ER:FT,7,FALSE)</f>
        <v>0</v>
      </c>
      <c r="J102" s="117">
        <f>VLOOKUP(C102,'Talente &amp; Stuff'!ER:FT,8,FALSE)</f>
        <v>0</v>
      </c>
      <c r="K102" s="117">
        <f>VLOOKUP(C102,'Talente &amp; Stuff'!ER:FT,9,FALSE)</f>
        <v>0</v>
      </c>
      <c r="L102" s="117">
        <f>VLOOKUP(C102,'Talente &amp; Stuff'!ER:FT,10,FALSE)</f>
        <v>0</v>
      </c>
      <c r="M102" s="121">
        <f>VLOOKUP(C102,'Talente &amp; Stuff'!ER:FT,11,FALSE)</f>
        <v>0</v>
      </c>
      <c r="N102" s="47">
        <f>VLOOKUP(C102,'Talente &amp; Stuff'!ER:FT,12,FALSE)</f>
        <v>0</v>
      </c>
      <c r="O102" s="3">
        <f>VLOOKUP(C102,'Talente &amp; Stuff'!ER:FT,13,FALSE)</f>
        <v>0</v>
      </c>
      <c r="P102" s="174">
        <f>VLOOKUP(C102,'Talente &amp; Stuff'!ER:FT,14,FALSE)</f>
        <v>0</v>
      </c>
      <c r="Q102" s="114">
        <f>VLOOKUP(C102,'Talente &amp; Stuff'!ER:FT,15,FALSE)</f>
        <v>0</v>
      </c>
      <c r="R102" s="117">
        <f>VLOOKUP(C102,'Talente &amp; Stuff'!ER:FT,16,FALSE)</f>
        <v>0</v>
      </c>
      <c r="S102" s="119">
        <f>VLOOKUP(C102,'Talente &amp; Stuff'!ER:FT,17,FALSE)</f>
        <v>0</v>
      </c>
      <c r="T102" s="119">
        <f>VLOOKUP(C102,'Talente &amp; Stuff'!ER:FT,18,FALSE)</f>
        <v>0</v>
      </c>
      <c r="U102" s="89">
        <f>VLOOKUP(C102,'Talente &amp; Stuff'!ER:FT,19,FALSE)</f>
        <v>0</v>
      </c>
      <c r="V102" s="47">
        <f>VLOOKUP(C102,'Talente &amp; Stuff'!ER:FT,20,FALSE)</f>
        <v>0</v>
      </c>
      <c r="W102" s="127">
        <f>VLOOKUP(C102,'Talente &amp; Stuff'!ER:FT,21,FALSE)</f>
        <v>0</v>
      </c>
      <c r="X102" s="127">
        <f>VLOOKUP(C102,'Talente &amp; Stuff'!ER:FT,22,FALSE)</f>
        <v>0</v>
      </c>
      <c r="Y102" s="165">
        <f t="shared" si="12"/>
        <v>0</v>
      </c>
      <c r="Z102" s="44">
        <f t="shared" si="13"/>
        <v>0</v>
      </c>
      <c r="AA102" s="125">
        <f>VLOOKUP(C102,'Talente &amp; Stuff'!ER:FT,25,FALSE)</f>
        <v>0</v>
      </c>
      <c r="AB102" s="160">
        <f>VLOOKUP(C102,'Talente &amp; Stuff'!ER:FT,26,FALSE)</f>
        <v>0</v>
      </c>
      <c r="AC102" s="127">
        <f>VLOOKUP(C102,'Talente &amp; Stuff'!ER:FT,27,FALSE)</f>
        <v>0</v>
      </c>
      <c r="AD102" s="125">
        <f>VLOOKUP(C102,'Talente &amp; Stuff'!ER:FT,28,FALSE)</f>
        <v>0</v>
      </c>
      <c r="AE102" s="28"/>
    </row>
    <row r="103" spans="2:31" ht="15" hidden="1" customHeight="1" outlineLevel="2">
      <c r="B103" s="148">
        <v>4</v>
      </c>
      <c r="C103" s="177" t="str">
        <f>Attribute!C103</f>
        <v>---</v>
      </c>
      <c r="D103" s="86" t="str">
        <f>VLOOKUP(C103,'Talente &amp; Stuff'!ER:FT,2,FALSE)</f>
        <v>--/--/--</v>
      </c>
      <c r="E103" s="167" t="str">
        <f>VLOOKUP(C103,'Talente &amp; Stuff'!ER:FT,3,FALSE)</f>
        <v>-</v>
      </c>
      <c r="F103" s="120">
        <f>VLOOKUP(C103,'Talente &amp; Stuff'!ER:FT,4,FALSE)</f>
        <v>0</v>
      </c>
      <c r="G103" s="117">
        <f>VLOOKUP(C103,'Talente &amp; Stuff'!ER:FT,5,FALSE)</f>
        <v>0</v>
      </c>
      <c r="H103" s="117">
        <f>VLOOKUP(C103,'Talente &amp; Stuff'!ER:FT,6,FALSE)</f>
        <v>0</v>
      </c>
      <c r="I103" s="117">
        <f>VLOOKUP(C103,'Talente &amp; Stuff'!ER:FT,7,FALSE)</f>
        <v>0</v>
      </c>
      <c r="J103" s="117">
        <f>VLOOKUP(C103,'Talente &amp; Stuff'!ER:FT,8,FALSE)</f>
        <v>0</v>
      </c>
      <c r="K103" s="117">
        <f>VLOOKUP(C103,'Talente &amp; Stuff'!ER:FT,9,FALSE)</f>
        <v>0</v>
      </c>
      <c r="L103" s="117">
        <f>VLOOKUP(C103,'Talente &amp; Stuff'!ER:FT,10,FALSE)</f>
        <v>0</v>
      </c>
      <c r="M103" s="121">
        <f>VLOOKUP(C103,'Talente &amp; Stuff'!ER:FT,11,FALSE)</f>
        <v>0</v>
      </c>
      <c r="N103" s="47">
        <f>VLOOKUP(C103,'Talente &amp; Stuff'!ER:FT,12,FALSE)</f>
        <v>0</v>
      </c>
      <c r="O103" s="3">
        <f>VLOOKUP(C103,'Talente &amp; Stuff'!ER:FT,13,FALSE)</f>
        <v>0</v>
      </c>
      <c r="P103" s="174">
        <f>VLOOKUP(C103,'Talente &amp; Stuff'!ER:FT,14,FALSE)</f>
        <v>0</v>
      </c>
      <c r="Q103" s="114">
        <f>VLOOKUP(C103,'Talente &amp; Stuff'!ER:FT,15,FALSE)</f>
        <v>0</v>
      </c>
      <c r="R103" s="117">
        <f>VLOOKUP(C103,'Talente &amp; Stuff'!ER:FT,16,FALSE)</f>
        <v>0</v>
      </c>
      <c r="S103" s="119">
        <f>VLOOKUP(C103,'Talente &amp; Stuff'!ER:FT,17,FALSE)</f>
        <v>0</v>
      </c>
      <c r="T103" s="119">
        <f>VLOOKUP(C103,'Talente &amp; Stuff'!ER:FT,18,FALSE)</f>
        <v>0</v>
      </c>
      <c r="U103" s="89">
        <f>VLOOKUP(C103,'Talente &amp; Stuff'!ER:FT,19,FALSE)</f>
        <v>0</v>
      </c>
      <c r="V103" s="47">
        <f>VLOOKUP(C103,'Talente &amp; Stuff'!ER:FT,20,FALSE)</f>
        <v>0</v>
      </c>
      <c r="W103" s="127">
        <f>VLOOKUP(C103,'Talente &amp; Stuff'!ER:FT,21,FALSE)</f>
        <v>0</v>
      </c>
      <c r="X103" s="127">
        <f>VLOOKUP(C103,'Talente &amp; Stuff'!ER:FT,22,FALSE)</f>
        <v>0</v>
      </c>
      <c r="Y103" s="165">
        <f t="shared" si="12"/>
        <v>0</v>
      </c>
      <c r="Z103" s="44">
        <f t="shared" si="13"/>
        <v>0</v>
      </c>
      <c r="AA103" s="125">
        <f>VLOOKUP(C103,'Talente &amp; Stuff'!ER:FT,25,FALSE)</f>
        <v>0</v>
      </c>
      <c r="AB103" s="160">
        <f>VLOOKUP(C103,'Talente &amp; Stuff'!ER:FT,26,FALSE)</f>
        <v>0</v>
      </c>
      <c r="AC103" s="127">
        <f>VLOOKUP(C103,'Talente &amp; Stuff'!ER:FT,27,FALSE)</f>
        <v>0</v>
      </c>
      <c r="AD103" s="125">
        <f>VLOOKUP(C103,'Talente &amp; Stuff'!ER:FT,28,FALSE)</f>
        <v>0</v>
      </c>
      <c r="AE103" s="28"/>
    </row>
    <row r="104" spans="2:31" ht="15" hidden="1" customHeight="1" outlineLevel="2">
      <c r="B104" s="148">
        <v>5</v>
      </c>
      <c r="C104" s="177" t="str">
        <f>Attribute!C104</f>
        <v>---</v>
      </c>
      <c r="D104" s="86" t="str">
        <f>VLOOKUP(C104,'Talente &amp; Stuff'!ER:FT,2,FALSE)</f>
        <v>--/--/--</v>
      </c>
      <c r="E104" s="167" t="str">
        <f>VLOOKUP(C104,'Talente &amp; Stuff'!ER:FT,3,FALSE)</f>
        <v>-</v>
      </c>
      <c r="F104" s="120">
        <f>VLOOKUP(C104,'Talente &amp; Stuff'!ER:FT,4,FALSE)</f>
        <v>0</v>
      </c>
      <c r="G104" s="117">
        <f>VLOOKUP(C104,'Talente &amp; Stuff'!ER:FT,5,FALSE)</f>
        <v>0</v>
      </c>
      <c r="H104" s="117">
        <f>VLOOKUP(C104,'Talente &amp; Stuff'!ER:FT,6,FALSE)</f>
        <v>0</v>
      </c>
      <c r="I104" s="117">
        <f>VLOOKUP(C104,'Talente &amp; Stuff'!ER:FT,7,FALSE)</f>
        <v>0</v>
      </c>
      <c r="J104" s="117">
        <f>VLOOKUP(C104,'Talente &amp; Stuff'!ER:FT,8,FALSE)</f>
        <v>0</v>
      </c>
      <c r="K104" s="117">
        <f>VLOOKUP(C104,'Talente &amp; Stuff'!ER:FT,9,FALSE)</f>
        <v>0</v>
      </c>
      <c r="L104" s="117">
        <f>VLOOKUP(C104,'Talente &amp; Stuff'!ER:FT,10,FALSE)</f>
        <v>0</v>
      </c>
      <c r="M104" s="121">
        <f>VLOOKUP(C104,'Talente &amp; Stuff'!ER:FT,11,FALSE)</f>
        <v>0</v>
      </c>
      <c r="N104" s="47">
        <f>VLOOKUP(C104,'Talente &amp; Stuff'!ER:FT,12,FALSE)</f>
        <v>0</v>
      </c>
      <c r="O104" s="3">
        <f>VLOOKUP(C104,'Talente &amp; Stuff'!ER:FT,13,FALSE)</f>
        <v>0</v>
      </c>
      <c r="P104" s="174">
        <f>VLOOKUP(C104,'Talente &amp; Stuff'!ER:FT,14,FALSE)</f>
        <v>0</v>
      </c>
      <c r="Q104" s="114">
        <f>VLOOKUP(C104,'Talente &amp; Stuff'!ER:FT,15,FALSE)</f>
        <v>0</v>
      </c>
      <c r="R104" s="117">
        <f>VLOOKUP(C104,'Talente &amp; Stuff'!ER:FT,16,FALSE)</f>
        <v>0</v>
      </c>
      <c r="S104" s="119">
        <f>VLOOKUP(C104,'Talente &amp; Stuff'!ER:FT,17,FALSE)</f>
        <v>0</v>
      </c>
      <c r="T104" s="119">
        <f>VLOOKUP(C104,'Talente &amp; Stuff'!ER:FT,18,FALSE)</f>
        <v>0</v>
      </c>
      <c r="U104" s="89">
        <f>VLOOKUP(C104,'Talente &amp; Stuff'!ER:FT,19,FALSE)</f>
        <v>0</v>
      </c>
      <c r="V104" s="47">
        <f>VLOOKUP(C104,'Talente &amp; Stuff'!ER:FT,20,FALSE)</f>
        <v>0</v>
      </c>
      <c r="W104" s="127">
        <f>VLOOKUP(C104,'Talente &amp; Stuff'!ER:FT,21,FALSE)</f>
        <v>0</v>
      </c>
      <c r="X104" s="127">
        <f>VLOOKUP(C104,'Talente &amp; Stuff'!ER:FT,22,FALSE)</f>
        <v>0</v>
      </c>
      <c r="Y104" s="165">
        <f t="shared" si="12"/>
        <v>0</v>
      </c>
      <c r="Z104" s="44">
        <f t="shared" si="13"/>
        <v>0</v>
      </c>
      <c r="AA104" s="125">
        <f>VLOOKUP(C104,'Talente &amp; Stuff'!ER:FT,25,FALSE)</f>
        <v>0</v>
      </c>
      <c r="AB104" s="160">
        <f>VLOOKUP(C104,'Talente &amp; Stuff'!ER:FT,26,FALSE)</f>
        <v>0</v>
      </c>
      <c r="AC104" s="127">
        <f>VLOOKUP(C104,'Talente &amp; Stuff'!ER:FT,27,FALSE)</f>
        <v>0</v>
      </c>
      <c r="AD104" s="125">
        <f>VLOOKUP(C104,'Talente &amp; Stuff'!ER:FT,28,FALSE)</f>
        <v>0</v>
      </c>
      <c r="AE104" s="28"/>
    </row>
    <row r="105" spans="2:31" ht="15" hidden="1" customHeight="1" outlineLevel="2">
      <c r="B105" s="148">
        <v>6</v>
      </c>
      <c r="C105" s="177" t="str">
        <f>Attribute!C105</f>
        <v>---</v>
      </c>
      <c r="D105" s="86" t="str">
        <f>VLOOKUP(C105,'Talente &amp; Stuff'!ER:FT,2,FALSE)</f>
        <v>--/--/--</v>
      </c>
      <c r="E105" s="167" t="str">
        <f>VLOOKUP(C105,'Talente &amp; Stuff'!ER:FT,3,FALSE)</f>
        <v>-</v>
      </c>
      <c r="F105" s="120">
        <f>VLOOKUP(C105,'Talente &amp; Stuff'!ER:FT,4,FALSE)</f>
        <v>0</v>
      </c>
      <c r="G105" s="117">
        <f>VLOOKUP(C105,'Talente &amp; Stuff'!ER:FT,5,FALSE)</f>
        <v>0</v>
      </c>
      <c r="H105" s="117">
        <f>VLOOKUP(C105,'Talente &amp; Stuff'!ER:FT,6,FALSE)</f>
        <v>0</v>
      </c>
      <c r="I105" s="117">
        <f>VLOOKUP(C105,'Talente &amp; Stuff'!ER:FT,7,FALSE)</f>
        <v>0</v>
      </c>
      <c r="J105" s="117">
        <f>VLOOKUP(C105,'Talente &amp; Stuff'!ER:FT,8,FALSE)</f>
        <v>0</v>
      </c>
      <c r="K105" s="117">
        <f>VLOOKUP(C105,'Talente &amp; Stuff'!ER:FT,9,FALSE)</f>
        <v>0</v>
      </c>
      <c r="L105" s="117">
        <f>VLOOKUP(C105,'Talente &amp; Stuff'!ER:FT,10,FALSE)</f>
        <v>0</v>
      </c>
      <c r="M105" s="121">
        <f>VLOOKUP(C105,'Talente &amp; Stuff'!ER:FT,11,FALSE)</f>
        <v>0</v>
      </c>
      <c r="N105" s="47">
        <f>VLOOKUP(C105,'Talente &amp; Stuff'!ER:FT,12,FALSE)</f>
        <v>0</v>
      </c>
      <c r="O105" s="3">
        <f>VLOOKUP(C105,'Talente &amp; Stuff'!ER:FT,13,FALSE)</f>
        <v>0</v>
      </c>
      <c r="P105" s="174">
        <f>VLOOKUP(C105,'Talente &amp; Stuff'!ER:FT,14,FALSE)</f>
        <v>0</v>
      </c>
      <c r="Q105" s="114">
        <f>VLOOKUP(C105,'Talente &amp; Stuff'!ER:FT,15,FALSE)</f>
        <v>0</v>
      </c>
      <c r="R105" s="117">
        <f>VLOOKUP(C105,'Talente &amp; Stuff'!ER:FT,16,FALSE)</f>
        <v>0</v>
      </c>
      <c r="S105" s="119">
        <f>VLOOKUP(C105,'Talente &amp; Stuff'!ER:FT,17,FALSE)</f>
        <v>0</v>
      </c>
      <c r="T105" s="119">
        <f>VLOOKUP(C105,'Talente &amp; Stuff'!ER:FT,18,FALSE)</f>
        <v>0</v>
      </c>
      <c r="U105" s="89">
        <f>VLOOKUP(C105,'Talente &amp; Stuff'!ER:FT,19,FALSE)</f>
        <v>0</v>
      </c>
      <c r="V105" s="47">
        <f>VLOOKUP(C105,'Talente &amp; Stuff'!ER:FT,20,FALSE)</f>
        <v>0</v>
      </c>
      <c r="W105" s="127">
        <f>VLOOKUP(C105,'Talente &amp; Stuff'!ER:FT,21,FALSE)</f>
        <v>0</v>
      </c>
      <c r="X105" s="127">
        <f>VLOOKUP(C105,'Talente &amp; Stuff'!ER:FT,22,FALSE)</f>
        <v>0</v>
      </c>
      <c r="Y105" s="165">
        <f t="shared" si="12"/>
        <v>0</v>
      </c>
      <c r="Z105" s="44">
        <f t="shared" si="13"/>
        <v>0</v>
      </c>
      <c r="AA105" s="125">
        <f>VLOOKUP(C105,'Talente &amp; Stuff'!ER:FT,25,FALSE)</f>
        <v>0</v>
      </c>
      <c r="AB105" s="160">
        <f>VLOOKUP(C105,'Talente &amp; Stuff'!ER:FT,26,FALSE)</f>
        <v>0</v>
      </c>
      <c r="AC105" s="127">
        <f>VLOOKUP(C105,'Talente &amp; Stuff'!ER:FT,27,FALSE)</f>
        <v>0</v>
      </c>
      <c r="AD105" s="125">
        <f>VLOOKUP(C105,'Talente &amp; Stuff'!ER:FT,28,FALSE)</f>
        <v>0</v>
      </c>
      <c r="AE105" s="28"/>
    </row>
    <row r="106" spans="2:31" ht="15" hidden="1" customHeight="1" outlineLevel="2">
      <c r="B106" s="148">
        <v>7</v>
      </c>
      <c r="C106" s="177" t="str">
        <f>Attribute!C106</f>
        <v>---</v>
      </c>
      <c r="D106" s="86" t="str">
        <f>VLOOKUP(C106,'Talente &amp; Stuff'!ER:FT,2,FALSE)</f>
        <v>--/--/--</v>
      </c>
      <c r="E106" s="167" t="str">
        <f>VLOOKUP(C106,'Talente &amp; Stuff'!ER:FT,3,FALSE)</f>
        <v>-</v>
      </c>
      <c r="F106" s="120">
        <f>VLOOKUP(C106,'Talente &amp; Stuff'!ER:FT,4,FALSE)</f>
        <v>0</v>
      </c>
      <c r="G106" s="117">
        <f>VLOOKUP(C106,'Talente &amp; Stuff'!ER:FT,5,FALSE)</f>
        <v>0</v>
      </c>
      <c r="H106" s="117">
        <f>VLOOKUP(C106,'Talente &amp; Stuff'!ER:FT,6,FALSE)</f>
        <v>0</v>
      </c>
      <c r="I106" s="117">
        <f>VLOOKUP(C106,'Talente &amp; Stuff'!ER:FT,7,FALSE)</f>
        <v>0</v>
      </c>
      <c r="J106" s="117">
        <f>VLOOKUP(C106,'Talente &amp; Stuff'!ER:FT,8,FALSE)</f>
        <v>0</v>
      </c>
      <c r="K106" s="117">
        <f>VLOOKUP(C106,'Talente &amp; Stuff'!ER:FT,9,FALSE)</f>
        <v>0</v>
      </c>
      <c r="L106" s="117">
        <f>VLOOKUP(C106,'Talente &amp; Stuff'!ER:FT,10,FALSE)</f>
        <v>0</v>
      </c>
      <c r="M106" s="121">
        <f>VLOOKUP(C106,'Talente &amp; Stuff'!ER:FT,11,FALSE)</f>
        <v>0</v>
      </c>
      <c r="N106" s="47">
        <f>VLOOKUP(C106,'Talente &amp; Stuff'!ER:FT,12,FALSE)</f>
        <v>0</v>
      </c>
      <c r="O106" s="3">
        <f>VLOOKUP(C106,'Talente &amp; Stuff'!ER:FT,13,FALSE)</f>
        <v>0</v>
      </c>
      <c r="P106" s="174">
        <f>VLOOKUP(C106,'Talente &amp; Stuff'!ER:FT,14,FALSE)</f>
        <v>0</v>
      </c>
      <c r="Q106" s="114">
        <f>VLOOKUP(C106,'Talente &amp; Stuff'!ER:FT,15,FALSE)</f>
        <v>0</v>
      </c>
      <c r="R106" s="117">
        <f>VLOOKUP(C106,'Talente &amp; Stuff'!ER:FT,16,FALSE)</f>
        <v>0</v>
      </c>
      <c r="S106" s="119">
        <f>VLOOKUP(C106,'Talente &amp; Stuff'!ER:FT,17,FALSE)</f>
        <v>0</v>
      </c>
      <c r="T106" s="119">
        <f>VLOOKUP(C106,'Talente &amp; Stuff'!ER:FT,18,FALSE)</f>
        <v>0</v>
      </c>
      <c r="U106" s="89">
        <f>VLOOKUP(C106,'Talente &amp; Stuff'!ER:FT,19,FALSE)</f>
        <v>0</v>
      </c>
      <c r="V106" s="47">
        <f>VLOOKUP(C106,'Talente &amp; Stuff'!ER:FT,20,FALSE)</f>
        <v>0</v>
      </c>
      <c r="W106" s="127">
        <f>VLOOKUP(C106,'Talente &amp; Stuff'!ER:FT,21,FALSE)</f>
        <v>0</v>
      </c>
      <c r="X106" s="127">
        <f>VLOOKUP(C106,'Talente &amp; Stuff'!ER:FT,22,FALSE)</f>
        <v>0</v>
      </c>
      <c r="Y106" s="165">
        <f t="shared" si="12"/>
        <v>0</v>
      </c>
      <c r="Z106" s="44">
        <f t="shared" si="13"/>
        <v>0</v>
      </c>
      <c r="AA106" s="125">
        <f>VLOOKUP(C106,'Talente &amp; Stuff'!ER:FT,25,FALSE)</f>
        <v>0</v>
      </c>
      <c r="AB106" s="160">
        <f>VLOOKUP(C106,'Talente &amp; Stuff'!ER:FT,26,FALSE)</f>
        <v>0</v>
      </c>
      <c r="AC106" s="127">
        <f>VLOOKUP(C106,'Talente &amp; Stuff'!ER:FT,27,FALSE)</f>
        <v>0</v>
      </c>
      <c r="AD106" s="125">
        <f>VLOOKUP(C106,'Talente &amp; Stuff'!ER:FT,28,FALSE)</f>
        <v>0</v>
      </c>
      <c r="AE106" s="28"/>
    </row>
    <row r="107" spans="2:31" ht="15" hidden="1" customHeight="1" outlineLevel="2">
      <c r="B107" s="148">
        <v>8</v>
      </c>
      <c r="C107" s="177" t="str">
        <f>Attribute!C107</f>
        <v>---</v>
      </c>
      <c r="D107" s="86" t="str">
        <f>VLOOKUP(C107,'Talente &amp; Stuff'!ER:FT,2,FALSE)</f>
        <v>--/--/--</v>
      </c>
      <c r="E107" s="167" t="str">
        <f>VLOOKUP(C107,'Talente &amp; Stuff'!ER:FT,3,FALSE)</f>
        <v>-</v>
      </c>
      <c r="F107" s="120">
        <f>VLOOKUP(C107,'Talente &amp; Stuff'!ER:FT,4,FALSE)</f>
        <v>0</v>
      </c>
      <c r="G107" s="117">
        <f>VLOOKUP(C107,'Talente &amp; Stuff'!ER:FT,5,FALSE)</f>
        <v>0</v>
      </c>
      <c r="H107" s="117">
        <f>VLOOKUP(C107,'Talente &amp; Stuff'!ER:FT,6,FALSE)</f>
        <v>0</v>
      </c>
      <c r="I107" s="117">
        <f>VLOOKUP(C107,'Talente &amp; Stuff'!ER:FT,7,FALSE)</f>
        <v>0</v>
      </c>
      <c r="J107" s="117">
        <f>VLOOKUP(C107,'Talente &amp; Stuff'!ER:FT,8,FALSE)</f>
        <v>0</v>
      </c>
      <c r="K107" s="117">
        <f>VLOOKUP(C107,'Talente &amp; Stuff'!ER:FT,9,FALSE)</f>
        <v>0</v>
      </c>
      <c r="L107" s="117">
        <f>VLOOKUP(C107,'Talente &amp; Stuff'!ER:FT,10,FALSE)</f>
        <v>0</v>
      </c>
      <c r="M107" s="121">
        <f>VLOOKUP(C107,'Talente &amp; Stuff'!ER:FT,11,FALSE)</f>
        <v>0</v>
      </c>
      <c r="N107" s="47">
        <f>VLOOKUP(C107,'Talente &amp; Stuff'!ER:FT,12,FALSE)</f>
        <v>0</v>
      </c>
      <c r="O107" s="3">
        <f>VLOOKUP(C107,'Talente &amp; Stuff'!ER:FT,13,FALSE)</f>
        <v>0</v>
      </c>
      <c r="P107" s="174">
        <f>VLOOKUP(C107,'Talente &amp; Stuff'!ER:FT,14,FALSE)</f>
        <v>0</v>
      </c>
      <c r="Q107" s="114">
        <f>VLOOKUP(C107,'Talente &amp; Stuff'!ER:FT,15,FALSE)</f>
        <v>0</v>
      </c>
      <c r="R107" s="117">
        <f>VLOOKUP(C107,'Talente &amp; Stuff'!ER:FT,16,FALSE)</f>
        <v>0</v>
      </c>
      <c r="S107" s="119">
        <f>VLOOKUP(C107,'Talente &amp; Stuff'!ER:FT,17,FALSE)</f>
        <v>0</v>
      </c>
      <c r="T107" s="119">
        <f>VLOOKUP(C107,'Talente &amp; Stuff'!ER:FT,18,FALSE)</f>
        <v>0</v>
      </c>
      <c r="U107" s="89">
        <f>VLOOKUP(C107,'Talente &amp; Stuff'!ER:FT,19,FALSE)</f>
        <v>0</v>
      </c>
      <c r="V107" s="47">
        <f>VLOOKUP(C107,'Talente &amp; Stuff'!ER:FT,20,FALSE)</f>
        <v>0</v>
      </c>
      <c r="W107" s="127">
        <f>VLOOKUP(C107,'Talente &amp; Stuff'!ER:FT,21,FALSE)</f>
        <v>0</v>
      </c>
      <c r="X107" s="127">
        <f>VLOOKUP(C107,'Talente &amp; Stuff'!ER:FT,22,FALSE)</f>
        <v>0</v>
      </c>
      <c r="Y107" s="165">
        <f t="shared" si="12"/>
        <v>0</v>
      </c>
      <c r="Z107" s="44">
        <f t="shared" si="13"/>
        <v>0</v>
      </c>
      <c r="AA107" s="125">
        <f>VLOOKUP(C107,'Talente &amp; Stuff'!ER:FT,25,FALSE)</f>
        <v>0</v>
      </c>
      <c r="AB107" s="160">
        <f>VLOOKUP(C107,'Talente &amp; Stuff'!ER:FT,26,FALSE)</f>
        <v>0</v>
      </c>
      <c r="AC107" s="127">
        <f>VLOOKUP(C107,'Talente &amp; Stuff'!ER:FT,27,FALSE)</f>
        <v>0</v>
      </c>
      <c r="AD107" s="125">
        <f>VLOOKUP(C107,'Talente &amp; Stuff'!ER:FT,28,FALSE)</f>
        <v>0</v>
      </c>
      <c r="AE107" s="28"/>
    </row>
    <row r="108" spans="2:31" ht="15" hidden="1" customHeight="1" outlineLevel="2">
      <c r="B108" s="148">
        <v>9</v>
      </c>
      <c r="C108" s="177" t="str">
        <f>Attribute!C108</f>
        <v>---</v>
      </c>
      <c r="D108" s="86" t="str">
        <f>VLOOKUP(C108,'Talente &amp; Stuff'!ER:FT,2,FALSE)</f>
        <v>--/--/--</v>
      </c>
      <c r="E108" s="167" t="str">
        <f>VLOOKUP(C108,'Talente &amp; Stuff'!ER:FT,3,FALSE)</f>
        <v>-</v>
      </c>
      <c r="F108" s="120">
        <f>VLOOKUP(C108,'Talente &amp; Stuff'!ER:FT,4,FALSE)</f>
        <v>0</v>
      </c>
      <c r="G108" s="117">
        <f>VLOOKUP(C108,'Talente &amp; Stuff'!ER:FT,5,FALSE)</f>
        <v>0</v>
      </c>
      <c r="H108" s="117">
        <f>VLOOKUP(C108,'Talente &amp; Stuff'!ER:FT,6,FALSE)</f>
        <v>0</v>
      </c>
      <c r="I108" s="117">
        <f>VLOOKUP(C108,'Talente &amp; Stuff'!ER:FT,7,FALSE)</f>
        <v>0</v>
      </c>
      <c r="J108" s="117">
        <f>VLOOKUP(C108,'Talente &amp; Stuff'!ER:FT,8,FALSE)</f>
        <v>0</v>
      </c>
      <c r="K108" s="117">
        <f>VLOOKUP(C108,'Talente &amp; Stuff'!ER:FT,9,FALSE)</f>
        <v>0</v>
      </c>
      <c r="L108" s="117">
        <f>VLOOKUP(C108,'Talente &amp; Stuff'!ER:FT,10,FALSE)</f>
        <v>0</v>
      </c>
      <c r="M108" s="121">
        <f>VLOOKUP(C108,'Talente &amp; Stuff'!ER:FT,11,FALSE)</f>
        <v>0</v>
      </c>
      <c r="N108" s="47">
        <f>VLOOKUP(C108,'Talente &amp; Stuff'!ER:FT,12,FALSE)</f>
        <v>0</v>
      </c>
      <c r="O108" s="3">
        <f>VLOOKUP(C108,'Talente &amp; Stuff'!ER:FT,13,FALSE)</f>
        <v>0</v>
      </c>
      <c r="P108" s="174">
        <f>VLOOKUP(C108,'Talente &amp; Stuff'!ER:FT,14,FALSE)</f>
        <v>0</v>
      </c>
      <c r="Q108" s="114">
        <f>VLOOKUP(C108,'Talente &amp; Stuff'!ER:FT,15,FALSE)</f>
        <v>0</v>
      </c>
      <c r="R108" s="117">
        <f>VLOOKUP(C108,'Talente &amp; Stuff'!ER:FT,16,FALSE)</f>
        <v>0</v>
      </c>
      <c r="S108" s="119">
        <f>VLOOKUP(C108,'Talente &amp; Stuff'!ER:FT,17,FALSE)</f>
        <v>0</v>
      </c>
      <c r="T108" s="119">
        <f>VLOOKUP(C108,'Talente &amp; Stuff'!ER:FT,18,FALSE)</f>
        <v>0</v>
      </c>
      <c r="U108" s="89">
        <f>VLOOKUP(C108,'Talente &amp; Stuff'!ER:FT,19,FALSE)</f>
        <v>0</v>
      </c>
      <c r="V108" s="47">
        <f>VLOOKUP(C108,'Talente &amp; Stuff'!ER:FT,20,FALSE)</f>
        <v>0</v>
      </c>
      <c r="W108" s="127">
        <f>VLOOKUP(C108,'Talente &amp; Stuff'!ER:FT,21,FALSE)</f>
        <v>0</v>
      </c>
      <c r="X108" s="127">
        <f>VLOOKUP(C108,'Talente &amp; Stuff'!ER:FT,22,FALSE)</f>
        <v>0</v>
      </c>
      <c r="Y108" s="165">
        <f t="shared" si="12"/>
        <v>0</v>
      </c>
      <c r="Z108" s="44">
        <f t="shared" si="13"/>
        <v>0</v>
      </c>
      <c r="AA108" s="125">
        <f>VLOOKUP(C108,'Talente &amp; Stuff'!ER:FT,25,FALSE)</f>
        <v>0</v>
      </c>
      <c r="AB108" s="160">
        <f>VLOOKUP(C108,'Talente &amp; Stuff'!ER:FT,26,FALSE)</f>
        <v>0</v>
      </c>
      <c r="AC108" s="127">
        <f>VLOOKUP(C108,'Talente &amp; Stuff'!ER:FT,27,FALSE)</f>
        <v>0</v>
      </c>
      <c r="AD108" s="125">
        <f>VLOOKUP(C108,'Talente &amp; Stuff'!ER:FT,28,FALSE)</f>
        <v>0</v>
      </c>
      <c r="AE108" s="28"/>
    </row>
    <row r="109" spans="2:31" ht="15" hidden="1" customHeight="1" outlineLevel="2">
      <c r="B109" s="148">
        <v>10</v>
      </c>
      <c r="C109" s="177" t="str">
        <f>Attribute!C109</f>
        <v>---</v>
      </c>
      <c r="D109" s="86" t="str">
        <f>VLOOKUP(C109,'Talente &amp; Stuff'!ER:FT,2,FALSE)</f>
        <v>--/--/--</v>
      </c>
      <c r="E109" s="167" t="str">
        <f>VLOOKUP(C109,'Talente &amp; Stuff'!ER:FT,3,FALSE)</f>
        <v>-</v>
      </c>
      <c r="F109" s="120">
        <f>VLOOKUP(C109,'Talente &amp; Stuff'!ER:FT,4,FALSE)</f>
        <v>0</v>
      </c>
      <c r="G109" s="117">
        <f>VLOOKUP(C109,'Talente &amp; Stuff'!ER:FT,5,FALSE)</f>
        <v>0</v>
      </c>
      <c r="H109" s="117">
        <f>VLOOKUP(C109,'Talente &amp; Stuff'!ER:FT,6,FALSE)</f>
        <v>0</v>
      </c>
      <c r="I109" s="117">
        <f>VLOOKUP(C109,'Talente &amp; Stuff'!ER:FT,7,FALSE)</f>
        <v>0</v>
      </c>
      <c r="J109" s="117">
        <f>VLOOKUP(C109,'Talente &amp; Stuff'!ER:FT,8,FALSE)</f>
        <v>0</v>
      </c>
      <c r="K109" s="117">
        <f>VLOOKUP(C109,'Talente &amp; Stuff'!ER:FT,9,FALSE)</f>
        <v>0</v>
      </c>
      <c r="L109" s="117">
        <f>VLOOKUP(C109,'Talente &amp; Stuff'!ER:FT,10,FALSE)</f>
        <v>0</v>
      </c>
      <c r="M109" s="121">
        <f>VLOOKUP(C109,'Talente &amp; Stuff'!ER:FT,11,FALSE)</f>
        <v>0</v>
      </c>
      <c r="N109" s="47">
        <f>VLOOKUP(C109,'Talente &amp; Stuff'!ER:FT,12,FALSE)</f>
        <v>0</v>
      </c>
      <c r="O109" s="3">
        <f>VLOOKUP(C109,'Talente &amp; Stuff'!ER:FT,13,FALSE)</f>
        <v>0</v>
      </c>
      <c r="P109" s="174">
        <f>VLOOKUP(C109,'Talente &amp; Stuff'!ER:FT,14,FALSE)</f>
        <v>0</v>
      </c>
      <c r="Q109" s="114">
        <f>VLOOKUP(C109,'Talente &amp; Stuff'!ER:FT,15,FALSE)</f>
        <v>0</v>
      </c>
      <c r="R109" s="117">
        <f>VLOOKUP(C109,'Talente &amp; Stuff'!ER:FT,16,FALSE)</f>
        <v>0</v>
      </c>
      <c r="S109" s="119">
        <f>VLOOKUP(C109,'Talente &amp; Stuff'!ER:FT,17,FALSE)</f>
        <v>0</v>
      </c>
      <c r="T109" s="119">
        <f>VLOOKUP(C109,'Talente &amp; Stuff'!ER:FT,18,FALSE)</f>
        <v>0</v>
      </c>
      <c r="U109" s="89">
        <f>VLOOKUP(C109,'Talente &amp; Stuff'!ER:FT,19,FALSE)</f>
        <v>0</v>
      </c>
      <c r="V109" s="47">
        <f>VLOOKUP(C109,'Talente &amp; Stuff'!ER:FT,20,FALSE)</f>
        <v>0</v>
      </c>
      <c r="W109" s="127">
        <f>VLOOKUP(C109,'Talente &amp; Stuff'!ER:FT,21,FALSE)</f>
        <v>0</v>
      </c>
      <c r="X109" s="127">
        <f>VLOOKUP(C109,'Talente &amp; Stuff'!ER:FT,22,FALSE)</f>
        <v>0</v>
      </c>
      <c r="Y109" s="165">
        <f t="shared" si="12"/>
        <v>0</v>
      </c>
      <c r="Z109" s="44">
        <f t="shared" si="13"/>
        <v>0</v>
      </c>
      <c r="AA109" s="125">
        <f>VLOOKUP(C109,'Talente &amp; Stuff'!ER:FT,25,FALSE)</f>
        <v>0</v>
      </c>
      <c r="AB109" s="160">
        <f>VLOOKUP(C109,'Talente &amp; Stuff'!ER:FT,26,FALSE)</f>
        <v>0</v>
      </c>
      <c r="AC109" s="127">
        <f>VLOOKUP(C109,'Talente &amp; Stuff'!ER:FT,27,FALSE)</f>
        <v>0</v>
      </c>
      <c r="AD109" s="125">
        <f>VLOOKUP(C109,'Talente &amp; Stuff'!ER:FT,28,FALSE)</f>
        <v>0</v>
      </c>
      <c r="AE109" s="28"/>
    </row>
    <row r="110" spans="2:31" ht="15" hidden="1" customHeight="1" outlineLevel="2">
      <c r="B110" s="148">
        <v>11</v>
      </c>
      <c r="C110" s="177" t="str">
        <f>Attribute!C110</f>
        <v>---</v>
      </c>
      <c r="D110" s="86" t="str">
        <f>VLOOKUP(C110,'Talente &amp; Stuff'!ER:FT,2,FALSE)</f>
        <v>--/--/--</v>
      </c>
      <c r="E110" s="167" t="str">
        <f>VLOOKUP(C110,'Talente &amp; Stuff'!ER:FT,3,FALSE)</f>
        <v>-</v>
      </c>
      <c r="F110" s="120">
        <f>VLOOKUP(C110,'Talente &amp; Stuff'!ER:FT,4,FALSE)</f>
        <v>0</v>
      </c>
      <c r="G110" s="117">
        <f>VLOOKUP(C110,'Talente &amp; Stuff'!ER:FT,5,FALSE)</f>
        <v>0</v>
      </c>
      <c r="H110" s="117">
        <f>VLOOKUP(C110,'Talente &amp; Stuff'!ER:FT,6,FALSE)</f>
        <v>0</v>
      </c>
      <c r="I110" s="117">
        <f>VLOOKUP(C110,'Talente &amp; Stuff'!ER:FT,7,FALSE)</f>
        <v>0</v>
      </c>
      <c r="J110" s="117">
        <f>VLOOKUP(C110,'Talente &amp; Stuff'!ER:FT,8,FALSE)</f>
        <v>0</v>
      </c>
      <c r="K110" s="117">
        <f>VLOOKUP(C110,'Talente &amp; Stuff'!ER:FT,9,FALSE)</f>
        <v>0</v>
      </c>
      <c r="L110" s="117">
        <f>VLOOKUP(C110,'Talente &amp; Stuff'!ER:FT,10,FALSE)</f>
        <v>0</v>
      </c>
      <c r="M110" s="121">
        <f>VLOOKUP(C110,'Talente &amp; Stuff'!ER:FT,11,FALSE)</f>
        <v>0</v>
      </c>
      <c r="N110" s="47">
        <f>VLOOKUP(C110,'Talente &amp; Stuff'!ER:FT,12,FALSE)</f>
        <v>0</v>
      </c>
      <c r="O110" s="3">
        <f>VLOOKUP(C110,'Talente &amp; Stuff'!ER:FT,13,FALSE)</f>
        <v>0</v>
      </c>
      <c r="P110" s="174">
        <f>VLOOKUP(C110,'Talente &amp; Stuff'!ER:FT,14,FALSE)</f>
        <v>0</v>
      </c>
      <c r="Q110" s="114">
        <f>VLOOKUP(C110,'Talente &amp; Stuff'!ER:FT,15,FALSE)</f>
        <v>0</v>
      </c>
      <c r="R110" s="117">
        <f>VLOOKUP(C110,'Talente &amp; Stuff'!ER:FT,16,FALSE)</f>
        <v>0</v>
      </c>
      <c r="S110" s="119">
        <f>VLOOKUP(C110,'Talente &amp; Stuff'!ER:FT,17,FALSE)</f>
        <v>0</v>
      </c>
      <c r="T110" s="119">
        <f>VLOOKUP(C110,'Talente &amp; Stuff'!ER:FT,18,FALSE)</f>
        <v>0</v>
      </c>
      <c r="U110" s="89">
        <f>VLOOKUP(C110,'Talente &amp; Stuff'!ER:FT,19,FALSE)</f>
        <v>0</v>
      </c>
      <c r="V110" s="47">
        <f>VLOOKUP(C110,'Talente &amp; Stuff'!ER:FT,20,FALSE)</f>
        <v>0</v>
      </c>
      <c r="W110" s="127">
        <f>VLOOKUP(C110,'Talente &amp; Stuff'!ER:FT,21,FALSE)</f>
        <v>0</v>
      </c>
      <c r="X110" s="127">
        <f>VLOOKUP(C110,'Talente &amp; Stuff'!ER:FT,22,FALSE)</f>
        <v>0</v>
      </c>
      <c r="Y110" s="165">
        <f t="shared" si="12"/>
        <v>0</v>
      </c>
      <c r="Z110" s="44">
        <f t="shared" si="13"/>
        <v>0</v>
      </c>
      <c r="AA110" s="125">
        <f>VLOOKUP(C110,'Talente &amp; Stuff'!ER:FT,25,FALSE)</f>
        <v>0</v>
      </c>
      <c r="AB110" s="160">
        <f>VLOOKUP(C110,'Talente &amp; Stuff'!ER:FT,26,FALSE)</f>
        <v>0</v>
      </c>
      <c r="AC110" s="127">
        <f>VLOOKUP(C110,'Talente &amp; Stuff'!ER:FT,27,FALSE)</f>
        <v>0</v>
      </c>
      <c r="AD110" s="125">
        <f>VLOOKUP(C110,'Talente &amp; Stuff'!ER:FT,28,FALSE)</f>
        <v>0</v>
      </c>
      <c r="AE110" s="28"/>
    </row>
    <row r="111" spans="2:31" ht="15" hidden="1" customHeight="1" outlineLevel="2">
      <c r="B111" s="148">
        <v>12</v>
      </c>
      <c r="C111" s="177" t="str">
        <f>Attribute!C111</f>
        <v>---</v>
      </c>
      <c r="D111" s="86" t="str">
        <f>VLOOKUP(C111,'Talente &amp; Stuff'!ER:FT,2,FALSE)</f>
        <v>--/--/--</v>
      </c>
      <c r="E111" s="167" t="str">
        <f>VLOOKUP(C111,'Talente &amp; Stuff'!ER:FT,3,FALSE)</f>
        <v>-</v>
      </c>
      <c r="F111" s="120">
        <f>VLOOKUP(C111,'Talente &amp; Stuff'!ER:FT,4,FALSE)</f>
        <v>0</v>
      </c>
      <c r="G111" s="117">
        <f>VLOOKUP(C111,'Talente &amp; Stuff'!ER:FT,5,FALSE)</f>
        <v>0</v>
      </c>
      <c r="H111" s="117">
        <f>VLOOKUP(C111,'Talente &amp; Stuff'!ER:FT,6,FALSE)</f>
        <v>0</v>
      </c>
      <c r="I111" s="117">
        <f>VLOOKUP(C111,'Talente &amp; Stuff'!ER:FT,7,FALSE)</f>
        <v>0</v>
      </c>
      <c r="J111" s="117">
        <f>VLOOKUP(C111,'Talente &amp; Stuff'!ER:FT,8,FALSE)</f>
        <v>0</v>
      </c>
      <c r="K111" s="117">
        <f>VLOOKUP(C111,'Talente &amp; Stuff'!ER:FT,9,FALSE)</f>
        <v>0</v>
      </c>
      <c r="L111" s="117">
        <f>VLOOKUP(C111,'Talente &amp; Stuff'!ER:FT,10,FALSE)</f>
        <v>0</v>
      </c>
      <c r="M111" s="121">
        <f>VLOOKUP(C111,'Talente &amp; Stuff'!ER:FT,11,FALSE)</f>
        <v>0</v>
      </c>
      <c r="N111" s="47">
        <f>VLOOKUP(C111,'Talente &amp; Stuff'!ER:FT,12,FALSE)</f>
        <v>0</v>
      </c>
      <c r="O111" s="3">
        <f>VLOOKUP(C111,'Talente &amp; Stuff'!ER:FT,13,FALSE)</f>
        <v>0</v>
      </c>
      <c r="P111" s="174">
        <f>VLOOKUP(C111,'Talente &amp; Stuff'!ER:FT,14,FALSE)</f>
        <v>0</v>
      </c>
      <c r="Q111" s="114">
        <f>VLOOKUP(C111,'Talente &amp; Stuff'!ER:FT,15,FALSE)</f>
        <v>0</v>
      </c>
      <c r="R111" s="117">
        <f>VLOOKUP(C111,'Talente &amp; Stuff'!ER:FT,16,FALSE)</f>
        <v>0</v>
      </c>
      <c r="S111" s="119">
        <f>VLOOKUP(C111,'Talente &amp; Stuff'!ER:FT,17,FALSE)</f>
        <v>0</v>
      </c>
      <c r="T111" s="119">
        <f>VLOOKUP(C111,'Talente &amp; Stuff'!ER:FT,18,FALSE)</f>
        <v>0</v>
      </c>
      <c r="U111" s="89">
        <f>VLOOKUP(C111,'Talente &amp; Stuff'!ER:FT,19,FALSE)</f>
        <v>0</v>
      </c>
      <c r="V111" s="47">
        <f>VLOOKUP(C111,'Talente &amp; Stuff'!ER:FT,20,FALSE)</f>
        <v>0</v>
      </c>
      <c r="W111" s="127">
        <f>VLOOKUP(C111,'Talente &amp; Stuff'!ER:FT,21,FALSE)</f>
        <v>0</v>
      </c>
      <c r="X111" s="127">
        <f>VLOOKUP(C111,'Talente &amp; Stuff'!ER:FT,22,FALSE)</f>
        <v>0</v>
      </c>
      <c r="Y111" s="165">
        <f t="shared" si="12"/>
        <v>0</v>
      </c>
      <c r="Z111" s="44">
        <f t="shared" si="13"/>
        <v>0</v>
      </c>
      <c r="AA111" s="125">
        <f>VLOOKUP(C111,'Talente &amp; Stuff'!ER:FT,25,FALSE)</f>
        <v>0</v>
      </c>
      <c r="AB111" s="160">
        <f>VLOOKUP(C111,'Talente &amp; Stuff'!ER:FT,26,FALSE)</f>
        <v>0</v>
      </c>
      <c r="AC111" s="127">
        <f>VLOOKUP(C111,'Talente &amp; Stuff'!ER:FT,27,FALSE)</f>
        <v>0</v>
      </c>
      <c r="AD111" s="125">
        <f>VLOOKUP(C111,'Talente &amp; Stuff'!ER:FT,28,FALSE)</f>
        <v>0</v>
      </c>
      <c r="AE111" s="28"/>
    </row>
    <row r="112" spans="2:31" ht="15" hidden="1" customHeight="1" outlineLevel="2">
      <c r="B112" s="148">
        <v>13</v>
      </c>
      <c r="C112" s="177" t="str">
        <f>Attribute!C112</f>
        <v>---</v>
      </c>
      <c r="D112" s="86" t="str">
        <f>VLOOKUP(C112,'Talente &amp; Stuff'!ER:FT,2,FALSE)</f>
        <v>--/--/--</v>
      </c>
      <c r="E112" s="167" t="str">
        <f>VLOOKUP(C112,'Talente &amp; Stuff'!ER:FT,3,FALSE)</f>
        <v>-</v>
      </c>
      <c r="F112" s="120">
        <f>VLOOKUP(C112,'Talente &amp; Stuff'!ER:FT,4,FALSE)</f>
        <v>0</v>
      </c>
      <c r="G112" s="117">
        <f>VLOOKUP(C112,'Talente &amp; Stuff'!ER:FT,5,FALSE)</f>
        <v>0</v>
      </c>
      <c r="H112" s="117">
        <f>VLOOKUP(C112,'Talente &amp; Stuff'!ER:FT,6,FALSE)</f>
        <v>0</v>
      </c>
      <c r="I112" s="117">
        <f>VLOOKUP(C112,'Talente &amp; Stuff'!ER:FT,7,FALSE)</f>
        <v>0</v>
      </c>
      <c r="J112" s="117">
        <f>VLOOKUP(C112,'Talente &amp; Stuff'!ER:FT,8,FALSE)</f>
        <v>0</v>
      </c>
      <c r="K112" s="117">
        <f>VLOOKUP(C112,'Talente &amp; Stuff'!ER:FT,9,FALSE)</f>
        <v>0</v>
      </c>
      <c r="L112" s="117">
        <f>VLOOKUP(C112,'Talente &amp; Stuff'!ER:FT,10,FALSE)</f>
        <v>0</v>
      </c>
      <c r="M112" s="121">
        <f>VLOOKUP(C112,'Talente &amp; Stuff'!ER:FT,11,FALSE)</f>
        <v>0</v>
      </c>
      <c r="N112" s="47">
        <f>VLOOKUP(C112,'Talente &amp; Stuff'!ER:FT,12,FALSE)</f>
        <v>0</v>
      </c>
      <c r="O112" s="3">
        <f>VLOOKUP(C112,'Talente &amp; Stuff'!ER:FT,13,FALSE)</f>
        <v>0</v>
      </c>
      <c r="P112" s="174">
        <f>VLOOKUP(C112,'Talente &amp; Stuff'!ER:FT,14,FALSE)</f>
        <v>0</v>
      </c>
      <c r="Q112" s="114">
        <f>VLOOKUP(C112,'Talente &amp; Stuff'!ER:FT,15,FALSE)</f>
        <v>0</v>
      </c>
      <c r="R112" s="117">
        <f>VLOOKUP(C112,'Talente &amp; Stuff'!ER:FT,16,FALSE)</f>
        <v>0</v>
      </c>
      <c r="S112" s="119">
        <f>VLOOKUP(C112,'Talente &amp; Stuff'!ER:FT,17,FALSE)</f>
        <v>0</v>
      </c>
      <c r="T112" s="119">
        <f>VLOOKUP(C112,'Talente &amp; Stuff'!ER:FT,18,FALSE)</f>
        <v>0</v>
      </c>
      <c r="U112" s="89">
        <f>VLOOKUP(C112,'Talente &amp; Stuff'!ER:FT,19,FALSE)</f>
        <v>0</v>
      </c>
      <c r="V112" s="47">
        <f>VLOOKUP(C112,'Talente &amp; Stuff'!ER:FT,20,FALSE)</f>
        <v>0</v>
      </c>
      <c r="W112" s="127">
        <f>VLOOKUP(C112,'Talente &amp; Stuff'!ER:FT,21,FALSE)</f>
        <v>0</v>
      </c>
      <c r="X112" s="127">
        <f>VLOOKUP(C112,'Talente &amp; Stuff'!ER:FT,22,FALSE)</f>
        <v>0</v>
      </c>
      <c r="Y112" s="165">
        <f t="shared" si="12"/>
        <v>0</v>
      </c>
      <c r="Z112" s="44">
        <f t="shared" si="13"/>
        <v>0</v>
      </c>
      <c r="AA112" s="125">
        <f>VLOOKUP(C112,'Talente &amp; Stuff'!ER:FT,25,FALSE)</f>
        <v>0</v>
      </c>
      <c r="AB112" s="160">
        <f>VLOOKUP(C112,'Talente &amp; Stuff'!ER:FT,26,FALSE)</f>
        <v>0</v>
      </c>
      <c r="AC112" s="127">
        <f>VLOOKUP(C112,'Talente &amp; Stuff'!ER:FT,27,FALSE)</f>
        <v>0</v>
      </c>
      <c r="AD112" s="125">
        <f>VLOOKUP(C112,'Talente &amp; Stuff'!ER:FT,28,FALSE)</f>
        <v>0</v>
      </c>
      <c r="AE112" s="28"/>
    </row>
    <row r="113" spans="2:31" ht="15" hidden="1" customHeight="1" outlineLevel="2">
      <c r="B113" s="148">
        <v>14</v>
      </c>
      <c r="C113" s="177" t="str">
        <f>Attribute!C113</f>
        <v>---</v>
      </c>
      <c r="D113" s="86" t="str">
        <f>VLOOKUP(C113,'Talente &amp; Stuff'!ER:FT,2,FALSE)</f>
        <v>--/--/--</v>
      </c>
      <c r="E113" s="167" t="str">
        <f>VLOOKUP(C113,'Talente &amp; Stuff'!ER:FT,3,FALSE)</f>
        <v>-</v>
      </c>
      <c r="F113" s="120">
        <f>VLOOKUP(C113,'Talente &amp; Stuff'!ER:FT,4,FALSE)</f>
        <v>0</v>
      </c>
      <c r="G113" s="117">
        <f>VLOOKUP(C113,'Talente &amp; Stuff'!ER:FT,5,FALSE)</f>
        <v>0</v>
      </c>
      <c r="H113" s="117">
        <f>VLOOKUP(C113,'Talente &amp; Stuff'!ER:FT,6,FALSE)</f>
        <v>0</v>
      </c>
      <c r="I113" s="117">
        <f>VLOOKUP(C113,'Talente &amp; Stuff'!ER:FT,7,FALSE)</f>
        <v>0</v>
      </c>
      <c r="J113" s="117">
        <f>VLOOKUP(C113,'Talente &amp; Stuff'!ER:FT,8,FALSE)</f>
        <v>0</v>
      </c>
      <c r="K113" s="117">
        <f>VLOOKUP(C113,'Talente &amp; Stuff'!ER:FT,9,FALSE)</f>
        <v>0</v>
      </c>
      <c r="L113" s="117">
        <f>VLOOKUP(C113,'Talente &amp; Stuff'!ER:FT,10,FALSE)</f>
        <v>0</v>
      </c>
      <c r="M113" s="121">
        <f>VLOOKUP(C113,'Talente &amp; Stuff'!ER:FT,11,FALSE)</f>
        <v>0</v>
      </c>
      <c r="N113" s="47">
        <f>VLOOKUP(C113,'Talente &amp; Stuff'!ER:FT,12,FALSE)</f>
        <v>0</v>
      </c>
      <c r="O113" s="3">
        <f>VLOOKUP(C113,'Talente &amp; Stuff'!ER:FT,13,FALSE)</f>
        <v>0</v>
      </c>
      <c r="P113" s="174">
        <f>VLOOKUP(C113,'Talente &amp; Stuff'!ER:FT,14,FALSE)</f>
        <v>0</v>
      </c>
      <c r="Q113" s="114">
        <f>VLOOKUP(C113,'Talente &amp; Stuff'!ER:FT,15,FALSE)</f>
        <v>0</v>
      </c>
      <c r="R113" s="117">
        <f>VLOOKUP(C113,'Talente &amp; Stuff'!ER:FT,16,FALSE)</f>
        <v>0</v>
      </c>
      <c r="S113" s="119">
        <f>VLOOKUP(C113,'Talente &amp; Stuff'!ER:FT,17,FALSE)</f>
        <v>0</v>
      </c>
      <c r="T113" s="119">
        <f>VLOOKUP(C113,'Talente &amp; Stuff'!ER:FT,18,FALSE)</f>
        <v>0</v>
      </c>
      <c r="U113" s="89">
        <f>VLOOKUP(C113,'Talente &amp; Stuff'!ER:FT,19,FALSE)</f>
        <v>0</v>
      </c>
      <c r="V113" s="47">
        <f>VLOOKUP(C113,'Talente &amp; Stuff'!ER:FT,20,FALSE)</f>
        <v>0</v>
      </c>
      <c r="W113" s="127">
        <f>VLOOKUP(C113,'Talente &amp; Stuff'!ER:FT,21,FALSE)</f>
        <v>0</v>
      </c>
      <c r="X113" s="127">
        <f>VLOOKUP(C113,'Talente &amp; Stuff'!ER:FT,22,FALSE)</f>
        <v>0</v>
      </c>
      <c r="Y113" s="165">
        <f t="shared" si="12"/>
        <v>0</v>
      </c>
      <c r="Z113" s="44">
        <f t="shared" si="13"/>
        <v>0</v>
      </c>
      <c r="AA113" s="125">
        <f>VLOOKUP(C113,'Talente &amp; Stuff'!ER:FT,25,FALSE)</f>
        <v>0</v>
      </c>
      <c r="AB113" s="160">
        <f>VLOOKUP(C113,'Talente &amp; Stuff'!ER:FT,26,FALSE)</f>
        <v>0</v>
      </c>
      <c r="AC113" s="127">
        <f>VLOOKUP(C113,'Talente &amp; Stuff'!ER:FT,27,FALSE)</f>
        <v>0</v>
      </c>
      <c r="AD113" s="125">
        <f>VLOOKUP(C113,'Talente &amp; Stuff'!ER:FT,28,FALSE)</f>
        <v>0</v>
      </c>
      <c r="AE113" s="28"/>
    </row>
    <row r="114" spans="2:31" ht="15" hidden="1" customHeight="1" outlineLevel="2">
      <c r="B114" s="148">
        <v>15</v>
      </c>
      <c r="C114" s="177" t="str">
        <f>Attribute!C114</f>
        <v>---</v>
      </c>
      <c r="D114" s="86" t="str">
        <f>VLOOKUP(C114,'Talente &amp; Stuff'!ER:FT,2,FALSE)</f>
        <v>--/--/--</v>
      </c>
      <c r="E114" s="167" t="str">
        <f>VLOOKUP(C114,'Talente &amp; Stuff'!ER:FT,3,FALSE)</f>
        <v>-</v>
      </c>
      <c r="F114" s="120">
        <f>VLOOKUP(C114,'Talente &amp; Stuff'!ER:FT,4,FALSE)</f>
        <v>0</v>
      </c>
      <c r="G114" s="117">
        <f>VLOOKUP(C114,'Talente &amp; Stuff'!ER:FT,5,FALSE)</f>
        <v>0</v>
      </c>
      <c r="H114" s="117">
        <f>VLOOKUP(C114,'Talente &amp; Stuff'!ER:FT,6,FALSE)</f>
        <v>0</v>
      </c>
      <c r="I114" s="117">
        <f>VLOOKUP(C114,'Talente &amp; Stuff'!ER:FT,7,FALSE)</f>
        <v>0</v>
      </c>
      <c r="J114" s="117">
        <f>VLOOKUP(C114,'Talente &amp; Stuff'!ER:FT,8,FALSE)</f>
        <v>0</v>
      </c>
      <c r="K114" s="117">
        <f>VLOOKUP(C114,'Talente &amp; Stuff'!ER:FT,9,FALSE)</f>
        <v>0</v>
      </c>
      <c r="L114" s="117">
        <f>VLOOKUP(C114,'Talente &amp; Stuff'!ER:FT,10,FALSE)</f>
        <v>0</v>
      </c>
      <c r="M114" s="121">
        <f>VLOOKUP(C114,'Talente &amp; Stuff'!ER:FT,11,FALSE)</f>
        <v>0</v>
      </c>
      <c r="N114" s="47">
        <f>VLOOKUP(C114,'Talente &amp; Stuff'!ER:FT,12,FALSE)</f>
        <v>0</v>
      </c>
      <c r="O114" s="3">
        <f>VLOOKUP(C114,'Talente &amp; Stuff'!ER:FT,13,FALSE)</f>
        <v>0</v>
      </c>
      <c r="P114" s="174">
        <f>VLOOKUP(C114,'Talente &amp; Stuff'!ER:FT,14,FALSE)</f>
        <v>0</v>
      </c>
      <c r="Q114" s="114">
        <f>VLOOKUP(C114,'Talente &amp; Stuff'!ER:FT,15,FALSE)</f>
        <v>0</v>
      </c>
      <c r="R114" s="117">
        <f>VLOOKUP(C114,'Talente &amp; Stuff'!ER:FT,16,FALSE)</f>
        <v>0</v>
      </c>
      <c r="S114" s="119">
        <f>VLOOKUP(C114,'Talente &amp; Stuff'!ER:FT,17,FALSE)</f>
        <v>0</v>
      </c>
      <c r="T114" s="119">
        <f>VLOOKUP(C114,'Talente &amp; Stuff'!ER:FT,18,FALSE)</f>
        <v>0</v>
      </c>
      <c r="U114" s="89">
        <f>VLOOKUP(C114,'Talente &amp; Stuff'!ER:FT,19,FALSE)</f>
        <v>0</v>
      </c>
      <c r="V114" s="47">
        <f>VLOOKUP(C114,'Talente &amp; Stuff'!ER:FT,20,FALSE)</f>
        <v>0</v>
      </c>
      <c r="W114" s="127">
        <f>VLOOKUP(C114,'Talente &amp; Stuff'!ER:FT,21,FALSE)</f>
        <v>0</v>
      </c>
      <c r="X114" s="127">
        <f>VLOOKUP(C114,'Talente &amp; Stuff'!ER:FT,22,FALSE)</f>
        <v>0</v>
      </c>
      <c r="Y114" s="165">
        <f t="shared" si="12"/>
        <v>0</v>
      </c>
      <c r="Z114" s="44">
        <f t="shared" si="13"/>
        <v>0</v>
      </c>
      <c r="AA114" s="125">
        <f>VLOOKUP(C114,'Talente &amp; Stuff'!ER:FT,25,FALSE)</f>
        <v>0</v>
      </c>
      <c r="AB114" s="160">
        <f>VLOOKUP(C114,'Talente &amp; Stuff'!ER:FT,26,FALSE)</f>
        <v>0</v>
      </c>
      <c r="AC114" s="127">
        <f>VLOOKUP(C114,'Talente &amp; Stuff'!ER:FT,27,FALSE)</f>
        <v>0</v>
      </c>
      <c r="AD114" s="125">
        <f>VLOOKUP(C114,'Talente &amp; Stuff'!ER:FT,28,FALSE)</f>
        <v>0</v>
      </c>
      <c r="AE114" s="28"/>
    </row>
    <row r="115" spans="2:31" ht="15" hidden="1" customHeight="1" outlineLevel="2">
      <c r="B115" s="148">
        <v>16</v>
      </c>
      <c r="C115" s="177" t="str">
        <f>Attribute!C115</f>
        <v>---</v>
      </c>
      <c r="D115" s="86" t="str">
        <f>VLOOKUP(C115,'Talente &amp; Stuff'!ER:FT,2,FALSE)</f>
        <v>--/--/--</v>
      </c>
      <c r="E115" s="167" t="str">
        <f>VLOOKUP(C115,'Talente &amp; Stuff'!ER:FT,3,FALSE)</f>
        <v>-</v>
      </c>
      <c r="F115" s="120">
        <f>VLOOKUP(C115,'Talente &amp; Stuff'!ER:FT,4,FALSE)</f>
        <v>0</v>
      </c>
      <c r="G115" s="117">
        <f>VLOOKUP(C115,'Talente &amp; Stuff'!ER:FT,5,FALSE)</f>
        <v>0</v>
      </c>
      <c r="H115" s="117">
        <f>VLOOKUP(C115,'Talente &amp; Stuff'!ER:FT,6,FALSE)</f>
        <v>0</v>
      </c>
      <c r="I115" s="117">
        <f>VLOOKUP(C115,'Talente &amp; Stuff'!ER:FT,7,FALSE)</f>
        <v>0</v>
      </c>
      <c r="J115" s="117">
        <f>VLOOKUP(C115,'Talente &amp; Stuff'!ER:FT,8,FALSE)</f>
        <v>0</v>
      </c>
      <c r="K115" s="117">
        <f>VLOOKUP(C115,'Talente &amp; Stuff'!ER:FT,9,FALSE)</f>
        <v>0</v>
      </c>
      <c r="L115" s="117">
        <f>VLOOKUP(C115,'Talente &amp; Stuff'!ER:FT,10,FALSE)</f>
        <v>0</v>
      </c>
      <c r="M115" s="121">
        <f>VLOOKUP(C115,'Talente &amp; Stuff'!ER:FT,11,FALSE)</f>
        <v>0</v>
      </c>
      <c r="N115" s="47">
        <f>VLOOKUP(C115,'Talente &amp; Stuff'!ER:FT,12,FALSE)</f>
        <v>0</v>
      </c>
      <c r="O115" s="3">
        <f>VLOOKUP(C115,'Talente &amp; Stuff'!ER:FT,13,FALSE)</f>
        <v>0</v>
      </c>
      <c r="P115" s="174">
        <f>VLOOKUP(C115,'Talente &amp; Stuff'!ER:FT,14,FALSE)</f>
        <v>0</v>
      </c>
      <c r="Q115" s="114">
        <f>VLOOKUP(C115,'Talente &amp; Stuff'!ER:FT,15,FALSE)</f>
        <v>0</v>
      </c>
      <c r="R115" s="117">
        <f>VLOOKUP(C115,'Talente &amp; Stuff'!ER:FT,16,FALSE)</f>
        <v>0</v>
      </c>
      <c r="S115" s="119">
        <f>VLOOKUP(C115,'Talente &amp; Stuff'!ER:FT,17,FALSE)</f>
        <v>0</v>
      </c>
      <c r="T115" s="119">
        <f>VLOOKUP(C115,'Talente &amp; Stuff'!ER:FT,18,FALSE)</f>
        <v>0</v>
      </c>
      <c r="U115" s="89">
        <f>VLOOKUP(C115,'Talente &amp; Stuff'!ER:FT,19,FALSE)</f>
        <v>0</v>
      </c>
      <c r="V115" s="47">
        <f>VLOOKUP(C115,'Talente &amp; Stuff'!ER:FT,20,FALSE)</f>
        <v>0</v>
      </c>
      <c r="W115" s="127">
        <f>VLOOKUP(C115,'Talente &amp; Stuff'!ER:FT,21,FALSE)</f>
        <v>0</v>
      </c>
      <c r="X115" s="127">
        <f>VLOOKUP(C115,'Talente &amp; Stuff'!ER:FT,22,FALSE)</f>
        <v>0</v>
      </c>
      <c r="Y115" s="165">
        <f t="shared" si="12"/>
        <v>0</v>
      </c>
      <c r="Z115" s="44">
        <f t="shared" si="13"/>
        <v>0</v>
      </c>
      <c r="AA115" s="125">
        <f>VLOOKUP(C115,'Talente &amp; Stuff'!ER:FT,25,FALSE)</f>
        <v>0</v>
      </c>
      <c r="AB115" s="160">
        <f>VLOOKUP(C115,'Talente &amp; Stuff'!ER:FT,26,FALSE)</f>
        <v>0</v>
      </c>
      <c r="AC115" s="127">
        <f>VLOOKUP(C115,'Talente &amp; Stuff'!ER:FT,27,FALSE)</f>
        <v>0</v>
      </c>
      <c r="AD115" s="125">
        <f>VLOOKUP(C115,'Talente &amp; Stuff'!ER:FT,28,FALSE)</f>
        <v>0</v>
      </c>
      <c r="AE115" s="28"/>
    </row>
    <row r="116" spans="2:31" ht="15" hidden="1" customHeight="1" outlineLevel="2">
      <c r="B116" s="148">
        <v>17</v>
      </c>
      <c r="C116" s="177" t="str">
        <f>Attribute!C116</f>
        <v>---</v>
      </c>
      <c r="D116" s="86" t="str">
        <f>VLOOKUP(C116,'Talente &amp; Stuff'!ER:FT,2,FALSE)</f>
        <v>--/--/--</v>
      </c>
      <c r="E116" s="167" t="str">
        <f>VLOOKUP(C116,'Talente &amp; Stuff'!ER:FT,3,FALSE)</f>
        <v>-</v>
      </c>
      <c r="F116" s="120">
        <f>VLOOKUP(C116,'Talente &amp; Stuff'!ER:FT,4,FALSE)</f>
        <v>0</v>
      </c>
      <c r="G116" s="117">
        <f>VLOOKUP(C116,'Talente &amp; Stuff'!ER:FT,5,FALSE)</f>
        <v>0</v>
      </c>
      <c r="H116" s="117">
        <f>VLOOKUP(C116,'Talente &amp; Stuff'!ER:FT,6,FALSE)</f>
        <v>0</v>
      </c>
      <c r="I116" s="117">
        <f>VLOOKUP(C116,'Talente &amp; Stuff'!ER:FT,7,FALSE)</f>
        <v>0</v>
      </c>
      <c r="J116" s="117">
        <f>VLOOKUP(C116,'Talente &amp; Stuff'!ER:FT,8,FALSE)</f>
        <v>0</v>
      </c>
      <c r="K116" s="117">
        <f>VLOOKUP(C116,'Talente &amp; Stuff'!ER:FT,9,FALSE)</f>
        <v>0</v>
      </c>
      <c r="L116" s="117">
        <f>VLOOKUP(C116,'Talente &amp; Stuff'!ER:FT,10,FALSE)</f>
        <v>0</v>
      </c>
      <c r="M116" s="121">
        <f>VLOOKUP(C116,'Talente &amp; Stuff'!ER:FT,11,FALSE)</f>
        <v>0</v>
      </c>
      <c r="N116" s="47">
        <f>VLOOKUP(C116,'Talente &amp; Stuff'!ER:FT,12,FALSE)</f>
        <v>0</v>
      </c>
      <c r="O116" s="3">
        <f>VLOOKUP(C116,'Talente &amp; Stuff'!ER:FT,13,FALSE)</f>
        <v>0</v>
      </c>
      <c r="P116" s="174">
        <f>VLOOKUP(C116,'Talente &amp; Stuff'!ER:FT,14,FALSE)</f>
        <v>0</v>
      </c>
      <c r="Q116" s="114">
        <f>VLOOKUP(C116,'Talente &amp; Stuff'!ER:FT,15,FALSE)</f>
        <v>0</v>
      </c>
      <c r="R116" s="117">
        <f>VLOOKUP(C116,'Talente &amp; Stuff'!ER:FT,16,FALSE)</f>
        <v>0</v>
      </c>
      <c r="S116" s="119">
        <f>VLOOKUP(C116,'Talente &amp; Stuff'!ER:FT,17,FALSE)</f>
        <v>0</v>
      </c>
      <c r="T116" s="119">
        <f>VLOOKUP(C116,'Talente &amp; Stuff'!ER:FT,18,FALSE)</f>
        <v>0</v>
      </c>
      <c r="U116" s="89">
        <f>VLOOKUP(C116,'Talente &amp; Stuff'!ER:FT,19,FALSE)</f>
        <v>0</v>
      </c>
      <c r="V116" s="47">
        <f>VLOOKUP(C116,'Talente &amp; Stuff'!ER:FT,20,FALSE)</f>
        <v>0</v>
      </c>
      <c r="W116" s="127">
        <f>VLOOKUP(C116,'Talente &amp; Stuff'!ER:FT,21,FALSE)</f>
        <v>0</v>
      </c>
      <c r="X116" s="127">
        <f>VLOOKUP(C116,'Talente &amp; Stuff'!ER:FT,22,FALSE)</f>
        <v>0</v>
      </c>
      <c r="Y116" s="165">
        <f t="shared" si="12"/>
        <v>0</v>
      </c>
      <c r="Z116" s="44">
        <f t="shared" si="13"/>
        <v>0</v>
      </c>
      <c r="AA116" s="125">
        <f>VLOOKUP(C116,'Talente &amp; Stuff'!ER:FT,25,FALSE)</f>
        <v>0</v>
      </c>
      <c r="AB116" s="160">
        <f>VLOOKUP(C116,'Talente &amp; Stuff'!ER:FT,26,FALSE)</f>
        <v>0</v>
      </c>
      <c r="AC116" s="127">
        <f>VLOOKUP(C116,'Talente &amp; Stuff'!ER:FT,27,FALSE)</f>
        <v>0</v>
      </c>
      <c r="AD116" s="125">
        <f>VLOOKUP(C116,'Talente &amp; Stuff'!ER:FT,28,FALSE)</f>
        <v>0</v>
      </c>
      <c r="AE116" s="28"/>
    </row>
    <row r="117" spans="2:31" ht="15" hidden="1" customHeight="1" outlineLevel="2">
      <c r="B117" s="148">
        <v>18</v>
      </c>
      <c r="C117" s="177" t="str">
        <f>Attribute!C117</f>
        <v>---</v>
      </c>
      <c r="D117" s="86" t="str">
        <f>VLOOKUP(C117,'Talente &amp; Stuff'!ER:FT,2,FALSE)</f>
        <v>--/--/--</v>
      </c>
      <c r="E117" s="167" t="str">
        <f>VLOOKUP(C117,'Talente &amp; Stuff'!ER:FT,3,FALSE)</f>
        <v>-</v>
      </c>
      <c r="F117" s="120">
        <f>VLOOKUP(C117,'Talente &amp; Stuff'!ER:FT,4,FALSE)</f>
        <v>0</v>
      </c>
      <c r="G117" s="117">
        <f>VLOOKUP(C117,'Talente &amp; Stuff'!ER:FT,5,FALSE)</f>
        <v>0</v>
      </c>
      <c r="H117" s="117">
        <f>VLOOKUP(C117,'Talente &amp; Stuff'!ER:FT,6,FALSE)</f>
        <v>0</v>
      </c>
      <c r="I117" s="117">
        <f>VLOOKUP(C117,'Talente &amp; Stuff'!ER:FT,7,FALSE)</f>
        <v>0</v>
      </c>
      <c r="J117" s="117">
        <f>VLOOKUP(C117,'Talente &amp; Stuff'!ER:FT,8,FALSE)</f>
        <v>0</v>
      </c>
      <c r="K117" s="117">
        <f>VLOOKUP(C117,'Talente &amp; Stuff'!ER:FT,9,FALSE)</f>
        <v>0</v>
      </c>
      <c r="L117" s="117">
        <f>VLOOKUP(C117,'Talente &amp; Stuff'!ER:FT,10,FALSE)</f>
        <v>0</v>
      </c>
      <c r="M117" s="121">
        <f>VLOOKUP(C117,'Talente &amp; Stuff'!ER:FT,11,FALSE)</f>
        <v>0</v>
      </c>
      <c r="N117" s="47">
        <f>VLOOKUP(C117,'Talente &amp; Stuff'!ER:FT,12,FALSE)</f>
        <v>0</v>
      </c>
      <c r="O117" s="3">
        <f>VLOOKUP(C117,'Talente &amp; Stuff'!ER:FT,13,FALSE)</f>
        <v>0</v>
      </c>
      <c r="P117" s="174">
        <f>VLOOKUP(C117,'Talente &amp; Stuff'!ER:FT,14,FALSE)</f>
        <v>0</v>
      </c>
      <c r="Q117" s="114">
        <f>VLOOKUP(C117,'Talente &amp; Stuff'!ER:FT,15,FALSE)</f>
        <v>0</v>
      </c>
      <c r="R117" s="117">
        <f>VLOOKUP(C117,'Talente &amp; Stuff'!ER:FT,16,FALSE)</f>
        <v>0</v>
      </c>
      <c r="S117" s="119">
        <f>VLOOKUP(C117,'Talente &amp; Stuff'!ER:FT,17,FALSE)</f>
        <v>0</v>
      </c>
      <c r="T117" s="119">
        <f>VLOOKUP(C117,'Talente &amp; Stuff'!ER:FT,18,FALSE)</f>
        <v>0</v>
      </c>
      <c r="U117" s="89">
        <f>VLOOKUP(C117,'Talente &amp; Stuff'!ER:FT,19,FALSE)</f>
        <v>0</v>
      </c>
      <c r="V117" s="47">
        <f>VLOOKUP(C117,'Talente &amp; Stuff'!ER:FT,20,FALSE)</f>
        <v>0</v>
      </c>
      <c r="W117" s="127">
        <f>VLOOKUP(C117,'Talente &amp; Stuff'!ER:FT,21,FALSE)</f>
        <v>0</v>
      </c>
      <c r="X117" s="127">
        <f>VLOOKUP(C117,'Talente &amp; Stuff'!ER:FT,22,FALSE)</f>
        <v>0</v>
      </c>
      <c r="Y117" s="165">
        <f t="shared" si="12"/>
        <v>0</v>
      </c>
      <c r="Z117" s="44">
        <f t="shared" si="13"/>
        <v>0</v>
      </c>
      <c r="AA117" s="125">
        <f>VLOOKUP(C117,'Talente &amp; Stuff'!ER:FT,25,FALSE)</f>
        <v>0</v>
      </c>
      <c r="AB117" s="160">
        <f>VLOOKUP(C117,'Talente &amp; Stuff'!ER:FT,26,FALSE)</f>
        <v>0</v>
      </c>
      <c r="AC117" s="127">
        <f>VLOOKUP(C117,'Talente &amp; Stuff'!ER:FT,27,FALSE)</f>
        <v>0</v>
      </c>
      <c r="AD117" s="125">
        <f>VLOOKUP(C117,'Talente &amp; Stuff'!ER:FT,28,FALSE)</f>
        <v>0</v>
      </c>
      <c r="AE117" s="28"/>
    </row>
    <row r="118" spans="2:31" ht="15" hidden="1" customHeight="1" outlineLevel="2">
      <c r="B118" s="148">
        <v>19</v>
      </c>
      <c r="C118" s="177" t="str">
        <f>Attribute!C118</f>
        <v>---</v>
      </c>
      <c r="D118" s="86" t="str">
        <f>VLOOKUP(C118,'Talente &amp; Stuff'!ER:FT,2,FALSE)</f>
        <v>--/--/--</v>
      </c>
      <c r="E118" s="167" t="str">
        <f>VLOOKUP(C118,'Talente &amp; Stuff'!ER:FT,3,FALSE)</f>
        <v>-</v>
      </c>
      <c r="F118" s="120">
        <f>VLOOKUP(C118,'Talente &amp; Stuff'!ER:FT,4,FALSE)</f>
        <v>0</v>
      </c>
      <c r="G118" s="117">
        <f>VLOOKUP(C118,'Talente &amp; Stuff'!ER:FT,5,FALSE)</f>
        <v>0</v>
      </c>
      <c r="H118" s="117">
        <f>VLOOKUP(C118,'Talente &amp; Stuff'!ER:FT,6,FALSE)</f>
        <v>0</v>
      </c>
      <c r="I118" s="117">
        <f>VLOOKUP(C118,'Talente &amp; Stuff'!ER:FT,7,FALSE)</f>
        <v>0</v>
      </c>
      <c r="J118" s="117">
        <f>VLOOKUP(C118,'Talente &amp; Stuff'!ER:FT,8,FALSE)</f>
        <v>0</v>
      </c>
      <c r="K118" s="117">
        <f>VLOOKUP(C118,'Talente &amp; Stuff'!ER:FT,9,FALSE)</f>
        <v>0</v>
      </c>
      <c r="L118" s="117">
        <f>VLOOKUP(C118,'Talente &amp; Stuff'!ER:FT,10,FALSE)</f>
        <v>0</v>
      </c>
      <c r="M118" s="121">
        <f>VLOOKUP(C118,'Talente &amp; Stuff'!ER:FT,11,FALSE)</f>
        <v>0</v>
      </c>
      <c r="N118" s="47">
        <f>VLOOKUP(C118,'Talente &amp; Stuff'!ER:FT,12,FALSE)</f>
        <v>0</v>
      </c>
      <c r="O118" s="3">
        <f>VLOOKUP(C118,'Talente &amp; Stuff'!ER:FT,13,FALSE)</f>
        <v>0</v>
      </c>
      <c r="P118" s="174">
        <f>VLOOKUP(C118,'Talente &amp; Stuff'!ER:FT,14,FALSE)</f>
        <v>0</v>
      </c>
      <c r="Q118" s="114">
        <f>VLOOKUP(C118,'Talente &amp; Stuff'!ER:FT,15,FALSE)</f>
        <v>0</v>
      </c>
      <c r="R118" s="117">
        <f>VLOOKUP(C118,'Talente &amp; Stuff'!ER:FT,16,FALSE)</f>
        <v>0</v>
      </c>
      <c r="S118" s="119">
        <f>VLOOKUP(C118,'Talente &amp; Stuff'!ER:FT,17,FALSE)</f>
        <v>0</v>
      </c>
      <c r="T118" s="119">
        <f>VLOOKUP(C118,'Talente &amp; Stuff'!ER:FT,18,FALSE)</f>
        <v>0</v>
      </c>
      <c r="U118" s="89">
        <f>VLOOKUP(C118,'Talente &amp; Stuff'!ER:FT,19,FALSE)</f>
        <v>0</v>
      </c>
      <c r="V118" s="47">
        <f>VLOOKUP(C118,'Talente &amp; Stuff'!ER:FT,20,FALSE)</f>
        <v>0</v>
      </c>
      <c r="W118" s="127">
        <f>VLOOKUP(C118,'Talente &amp; Stuff'!ER:FT,21,FALSE)</f>
        <v>0</v>
      </c>
      <c r="X118" s="127">
        <f>VLOOKUP(C118,'Talente &amp; Stuff'!ER:FT,22,FALSE)</f>
        <v>0</v>
      </c>
      <c r="Y118" s="165">
        <f t="shared" si="12"/>
        <v>0</v>
      </c>
      <c r="Z118" s="44">
        <f t="shared" si="13"/>
        <v>0</v>
      </c>
      <c r="AA118" s="125">
        <f>VLOOKUP(C118,'Talente &amp; Stuff'!ER:FT,25,FALSE)</f>
        <v>0</v>
      </c>
      <c r="AB118" s="160">
        <f>VLOOKUP(C118,'Talente &amp; Stuff'!ER:FT,26,FALSE)</f>
        <v>0</v>
      </c>
      <c r="AC118" s="127">
        <f>VLOOKUP(C118,'Talente &amp; Stuff'!ER:FT,27,FALSE)</f>
        <v>0</v>
      </c>
      <c r="AD118" s="125">
        <f>VLOOKUP(C118,'Talente &amp; Stuff'!ER:FT,28,FALSE)</f>
        <v>0</v>
      </c>
      <c r="AE118" s="28"/>
    </row>
    <row r="119" spans="2:31" ht="15" hidden="1" customHeight="1" outlineLevel="2">
      <c r="B119" s="148">
        <v>20</v>
      </c>
      <c r="C119" s="177" t="str">
        <f>Attribute!C119</f>
        <v>---</v>
      </c>
      <c r="D119" s="86" t="str">
        <f>VLOOKUP(C119,'Talente &amp; Stuff'!ER:FT,2,FALSE)</f>
        <v>--/--/--</v>
      </c>
      <c r="E119" s="167" t="str">
        <f>VLOOKUP(C119,'Talente &amp; Stuff'!ER:FT,3,FALSE)</f>
        <v>-</v>
      </c>
      <c r="F119" s="120">
        <f>VLOOKUP(C119,'Talente &amp; Stuff'!ER:FT,4,FALSE)</f>
        <v>0</v>
      </c>
      <c r="G119" s="117">
        <f>VLOOKUP(C119,'Talente &amp; Stuff'!ER:FT,5,FALSE)</f>
        <v>0</v>
      </c>
      <c r="H119" s="117">
        <f>VLOOKUP(C119,'Talente &amp; Stuff'!ER:FT,6,FALSE)</f>
        <v>0</v>
      </c>
      <c r="I119" s="117">
        <f>VLOOKUP(C119,'Talente &amp; Stuff'!ER:FT,7,FALSE)</f>
        <v>0</v>
      </c>
      <c r="J119" s="117">
        <f>VLOOKUP(C119,'Talente &amp; Stuff'!ER:FT,8,FALSE)</f>
        <v>0</v>
      </c>
      <c r="K119" s="117">
        <f>VLOOKUP(C119,'Talente &amp; Stuff'!ER:FT,9,FALSE)</f>
        <v>0</v>
      </c>
      <c r="L119" s="117">
        <f>VLOOKUP(C119,'Talente &amp; Stuff'!ER:FT,10,FALSE)</f>
        <v>0</v>
      </c>
      <c r="M119" s="121">
        <f>VLOOKUP(C119,'Talente &amp; Stuff'!ER:FT,11,FALSE)</f>
        <v>0</v>
      </c>
      <c r="N119" s="47">
        <f>VLOOKUP(C119,'Talente &amp; Stuff'!ER:FT,12,FALSE)</f>
        <v>0</v>
      </c>
      <c r="O119" s="3">
        <f>VLOOKUP(C119,'Talente &amp; Stuff'!ER:FT,13,FALSE)</f>
        <v>0</v>
      </c>
      <c r="P119" s="174">
        <f>VLOOKUP(C119,'Talente &amp; Stuff'!ER:FT,14,FALSE)</f>
        <v>0</v>
      </c>
      <c r="Q119" s="114">
        <f>VLOOKUP(C119,'Talente &amp; Stuff'!ER:FT,15,FALSE)</f>
        <v>0</v>
      </c>
      <c r="R119" s="117">
        <f>VLOOKUP(C119,'Talente &amp; Stuff'!ER:FT,16,FALSE)</f>
        <v>0</v>
      </c>
      <c r="S119" s="119">
        <f>VLOOKUP(C119,'Talente &amp; Stuff'!ER:FT,17,FALSE)</f>
        <v>0</v>
      </c>
      <c r="T119" s="119">
        <f>VLOOKUP(C119,'Talente &amp; Stuff'!ER:FT,18,FALSE)</f>
        <v>0</v>
      </c>
      <c r="U119" s="89">
        <f>VLOOKUP(C119,'Talente &amp; Stuff'!ER:FT,19,FALSE)</f>
        <v>0</v>
      </c>
      <c r="V119" s="47">
        <f>VLOOKUP(C119,'Talente &amp; Stuff'!ER:FT,20,FALSE)</f>
        <v>0</v>
      </c>
      <c r="W119" s="127">
        <f>VLOOKUP(C119,'Talente &amp; Stuff'!ER:FT,21,FALSE)</f>
        <v>0</v>
      </c>
      <c r="X119" s="127">
        <f>VLOOKUP(C119,'Talente &amp; Stuff'!ER:FT,22,FALSE)</f>
        <v>0</v>
      </c>
      <c r="Y119" s="165">
        <f t="shared" si="12"/>
        <v>0</v>
      </c>
      <c r="Z119" s="44">
        <f t="shared" si="13"/>
        <v>0</v>
      </c>
      <c r="AA119" s="125">
        <f>VLOOKUP(C119,'Talente &amp; Stuff'!ER:FT,25,FALSE)</f>
        <v>0</v>
      </c>
      <c r="AB119" s="160">
        <f>VLOOKUP(C119,'Talente &amp; Stuff'!ER:FT,26,FALSE)</f>
        <v>0</v>
      </c>
      <c r="AC119" s="127">
        <f>VLOOKUP(C119,'Talente &amp; Stuff'!ER:FT,27,FALSE)</f>
        <v>0</v>
      </c>
      <c r="AD119" s="125">
        <f>VLOOKUP(C119,'Talente &amp; Stuff'!ER:FT,28,FALSE)</f>
        <v>0</v>
      </c>
      <c r="AE119" s="28"/>
    </row>
    <row r="120" spans="2:31" ht="15" hidden="1" customHeight="1" outlineLevel="2">
      <c r="B120" s="148">
        <v>21</v>
      </c>
      <c r="C120" s="177" t="str">
        <f>Attribute!C120</f>
        <v>---</v>
      </c>
      <c r="D120" s="86" t="str">
        <f>VLOOKUP(C120,'Talente &amp; Stuff'!ER:FT,2,FALSE)</f>
        <v>--/--/--</v>
      </c>
      <c r="E120" s="167" t="str">
        <f>VLOOKUP(C120,'Talente &amp; Stuff'!ER:FT,3,FALSE)</f>
        <v>-</v>
      </c>
      <c r="F120" s="120">
        <f>VLOOKUP(C120,'Talente &amp; Stuff'!ER:FT,4,FALSE)</f>
        <v>0</v>
      </c>
      <c r="G120" s="117">
        <f>VLOOKUP(C120,'Talente &amp; Stuff'!ER:FT,5,FALSE)</f>
        <v>0</v>
      </c>
      <c r="H120" s="117">
        <f>VLOOKUP(C120,'Talente &amp; Stuff'!ER:FT,6,FALSE)</f>
        <v>0</v>
      </c>
      <c r="I120" s="117">
        <f>VLOOKUP(C120,'Talente &amp; Stuff'!ER:FT,7,FALSE)</f>
        <v>0</v>
      </c>
      <c r="J120" s="117">
        <f>VLOOKUP(C120,'Talente &amp; Stuff'!ER:FT,8,FALSE)</f>
        <v>0</v>
      </c>
      <c r="K120" s="117">
        <f>VLOOKUP(C120,'Talente &amp; Stuff'!ER:FT,9,FALSE)</f>
        <v>0</v>
      </c>
      <c r="L120" s="117">
        <f>VLOOKUP(C120,'Talente &amp; Stuff'!ER:FT,10,FALSE)</f>
        <v>0</v>
      </c>
      <c r="M120" s="121">
        <f>VLOOKUP(C120,'Talente &amp; Stuff'!ER:FT,11,FALSE)</f>
        <v>0</v>
      </c>
      <c r="N120" s="47">
        <f>VLOOKUP(C120,'Talente &amp; Stuff'!ER:FT,12,FALSE)</f>
        <v>0</v>
      </c>
      <c r="O120" s="3">
        <f>VLOOKUP(C120,'Talente &amp; Stuff'!ER:FT,13,FALSE)</f>
        <v>0</v>
      </c>
      <c r="P120" s="174">
        <f>VLOOKUP(C120,'Talente &amp; Stuff'!ER:FT,14,FALSE)</f>
        <v>0</v>
      </c>
      <c r="Q120" s="114">
        <f>VLOOKUP(C120,'Talente &amp; Stuff'!ER:FT,15,FALSE)</f>
        <v>0</v>
      </c>
      <c r="R120" s="117">
        <f>VLOOKUP(C120,'Talente &amp; Stuff'!ER:FT,16,FALSE)</f>
        <v>0</v>
      </c>
      <c r="S120" s="119">
        <f>VLOOKUP(C120,'Talente &amp; Stuff'!ER:FT,17,FALSE)</f>
        <v>0</v>
      </c>
      <c r="T120" s="119">
        <f>VLOOKUP(C120,'Talente &amp; Stuff'!ER:FT,18,FALSE)</f>
        <v>0</v>
      </c>
      <c r="U120" s="89">
        <f>VLOOKUP(C120,'Talente &amp; Stuff'!ER:FT,19,FALSE)</f>
        <v>0</v>
      </c>
      <c r="V120" s="47">
        <f>VLOOKUP(C120,'Talente &amp; Stuff'!ER:FT,20,FALSE)</f>
        <v>0</v>
      </c>
      <c r="W120" s="127">
        <f>VLOOKUP(C120,'Talente &amp; Stuff'!ER:FT,21,FALSE)</f>
        <v>0</v>
      </c>
      <c r="X120" s="127">
        <f>VLOOKUP(C120,'Talente &amp; Stuff'!ER:FT,22,FALSE)</f>
        <v>0</v>
      </c>
      <c r="Y120" s="165">
        <f t="shared" si="12"/>
        <v>0</v>
      </c>
      <c r="Z120" s="44">
        <f t="shared" si="13"/>
        <v>0</v>
      </c>
      <c r="AA120" s="125">
        <f>VLOOKUP(C120,'Talente &amp; Stuff'!ER:FT,25,FALSE)</f>
        <v>0</v>
      </c>
      <c r="AB120" s="160">
        <f>VLOOKUP(C120,'Talente &amp; Stuff'!ER:FT,26,FALSE)</f>
        <v>0</v>
      </c>
      <c r="AC120" s="127">
        <f>VLOOKUP(C120,'Talente &amp; Stuff'!ER:FT,27,FALSE)</f>
        <v>0</v>
      </c>
      <c r="AD120" s="125">
        <f>VLOOKUP(C120,'Talente &amp; Stuff'!ER:FT,28,FALSE)</f>
        <v>0</v>
      </c>
      <c r="AE120" s="28"/>
    </row>
    <row r="121" spans="2:31" ht="15" hidden="1" customHeight="1" outlineLevel="2">
      <c r="B121" s="148">
        <v>22</v>
      </c>
      <c r="C121" s="177" t="str">
        <f>Attribute!C121</f>
        <v>---</v>
      </c>
      <c r="D121" s="86" t="str">
        <f>VLOOKUP(C121,'Talente &amp; Stuff'!ER:FT,2,FALSE)</f>
        <v>--/--/--</v>
      </c>
      <c r="E121" s="167" t="str">
        <f>VLOOKUP(C121,'Talente &amp; Stuff'!ER:FT,3,FALSE)</f>
        <v>-</v>
      </c>
      <c r="F121" s="120">
        <f>VLOOKUP(C121,'Talente &amp; Stuff'!ER:FT,4,FALSE)</f>
        <v>0</v>
      </c>
      <c r="G121" s="117">
        <f>VLOOKUP(C121,'Talente &amp; Stuff'!ER:FT,5,FALSE)</f>
        <v>0</v>
      </c>
      <c r="H121" s="117">
        <f>VLOOKUP(C121,'Talente &amp; Stuff'!ER:FT,6,FALSE)</f>
        <v>0</v>
      </c>
      <c r="I121" s="117">
        <f>VLOOKUP(C121,'Talente &amp; Stuff'!ER:FT,7,FALSE)</f>
        <v>0</v>
      </c>
      <c r="J121" s="117">
        <f>VLOOKUP(C121,'Talente &amp; Stuff'!ER:FT,8,FALSE)</f>
        <v>0</v>
      </c>
      <c r="K121" s="117">
        <f>VLOOKUP(C121,'Talente &amp; Stuff'!ER:FT,9,FALSE)</f>
        <v>0</v>
      </c>
      <c r="L121" s="117">
        <f>VLOOKUP(C121,'Talente &amp; Stuff'!ER:FT,10,FALSE)</f>
        <v>0</v>
      </c>
      <c r="M121" s="121">
        <f>VLOOKUP(C121,'Talente &amp; Stuff'!ER:FT,11,FALSE)</f>
        <v>0</v>
      </c>
      <c r="N121" s="47">
        <f>VLOOKUP(C121,'Talente &amp; Stuff'!ER:FT,12,FALSE)</f>
        <v>0</v>
      </c>
      <c r="O121" s="3">
        <f>VLOOKUP(C121,'Talente &amp; Stuff'!ER:FT,13,FALSE)</f>
        <v>0</v>
      </c>
      <c r="P121" s="174">
        <f>VLOOKUP(C121,'Talente &amp; Stuff'!ER:FT,14,FALSE)</f>
        <v>0</v>
      </c>
      <c r="Q121" s="114">
        <f>VLOOKUP(C121,'Talente &amp; Stuff'!ER:FT,15,FALSE)</f>
        <v>0</v>
      </c>
      <c r="R121" s="117">
        <f>VLOOKUP(C121,'Talente &amp; Stuff'!ER:FT,16,FALSE)</f>
        <v>0</v>
      </c>
      <c r="S121" s="119">
        <f>VLOOKUP(C121,'Talente &amp; Stuff'!ER:FT,17,FALSE)</f>
        <v>0</v>
      </c>
      <c r="T121" s="119">
        <f>VLOOKUP(C121,'Talente &amp; Stuff'!ER:FT,18,FALSE)</f>
        <v>0</v>
      </c>
      <c r="U121" s="89">
        <f>VLOOKUP(C121,'Talente &amp; Stuff'!ER:FT,19,FALSE)</f>
        <v>0</v>
      </c>
      <c r="V121" s="47">
        <f>VLOOKUP(C121,'Talente &amp; Stuff'!ER:FT,20,FALSE)</f>
        <v>0</v>
      </c>
      <c r="W121" s="127">
        <f>VLOOKUP(C121,'Talente &amp; Stuff'!ER:FT,21,FALSE)</f>
        <v>0</v>
      </c>
      <c r="X121" s="127">
        <f>VLOOKUP(C121,'Talente &amp; Stuff'!ER:FT,22,FALSE)</f>
        <v>0</v>
      </c>
      <c r="Y121" s="165">
        <f t="shared" si="12"/>
        <v>0</v>
      </c>
      <c r="Z121" s="44">
        <f t="shared" si="13"/>
        <v>0</v>
      </c>
      <c r="AA121" s="125">
        <f>VLOOKUP(C121,'Talente &amp; Stuff'!ER:FT,25,FALSE)</f>
        <v>0</v>
      </c>
      <c r="AB121" s="160">
        <f>VLOOKUP(C121,'Talente &amp; Stuff'!ER:FT,26,FALSE)</f>
        <v>0</v>
      </c>
      <c r="AC121" s="127">
        <f>VLOOKUP(C121,'Talente &amp; Stuff'!ER:FT,27,FALSE)</f>
        <v>0</v>
      </c>
      <c r="AD121" s="125">
        <f>VLOOKUP(C121,'Talente &amp; Stuff'!ER:FT,28,FALSE)</f>
        <v>0</v>
      </c>
      <c r="AE121" s="28"/>
    </row>
    <row r="122" spans="2:31" ht="15" hidden="1" customHeight="1" outlineLevel="2">
      <c r="B122" s="148">
        <v>23</v>
      </c>
      <c r="C122" s="177" t="str">
        <f>Attribute!C122</f>
        <v>---</v>
      </c>
      <c r="D122" s="86" t="str">
        <f>VLOOKUP(C122,'Talente &amp; Stuff'!ER:FT,2,FALSE)</f>
        <v>--/--/--</v>
      </c>
      <c r="E122" s="127" t="str">
        <f>VLOOKUP(C122,'Talente &amp; Stuff'!ER:FT,3,FALSE)</f>
        <v>-</v>
      </c>
      <c r="F122" s="114">
        <f>VLOOKUP(C122,'Talente &amp; Stuff'!ER:FT,4,FALSE)</f>
        <v>0</v>
      </c>
      <c r="G122" s="113">
        <f>VLOOKUP(C122,'Talente &amp; Stuff'!ER:FT,5,FALSE)</f>
        <v>0</v>
      </c>
      <c r="H122" s="113">
        <f>VLOOKUP(C122,'Talente &amp; Stuff'!ER:FT,6,FALSE)</f>
        <v>0</v>
      </c>
      <c r="I122" s="113">
        <f>VLOOKUP(C122,'Talente &amp; Stuff'!ER:FT,7,FALSE)</f>
        <v>0</v>
      </c>
      <c r="J122" s="113">
        <f>VLOOKUP(C122,'Talente &amp; Stuff'!ER:FT,8,FALSE)</f>
        <v>0</v>
      </c>
      <c r="K122" s="113">
        <f>VLOOKUP(C122,'Talente &amp; Stuff'!ER:FT,9,FALSE)</f>
        <v>0</v>
      </c>
      <c r="L122" s="113">
        <f>VLOOKUP(C122,'Talente &amp; Stuff'!ER:FT,10,FALSE)</f>
        <v>0</v>
      </c>
      <c r="M122" s="119">
        <f>VLOOKUP(C122,'Talente &amp; Stuff'!ER:FT,11,FALSE)</f>
        <v>0</v>
      </c>
      <c r="N122" s="47">
        <f>VLOOKUP(C122,'Talente &amp; Stuff'!ER:FT,12,FALSE)</f>
        <v>0</v>
      </c>
      <c r="O122" s="3">
        <f>VLOOKUP(C122,'Talente &amp; Stuff'!ER:FT,13,FALSE)</f>
        <v>0</v>
      </c>
      <c r="P122" s="174">
        <f>VLOOKUP(C122,'Talente &amp; Stuff'!ER:FT,14,FALSE)</f>
        <v>0</v>
      </c>
      <c r="Q122" s="114">
        <f>VLOOKUP(C122,'Talente &amp; Stuff'!ER:FT,15,FALSE)</f>
        <v>0</v>
      </c>
      <c r="R122" s="117">
        <f>VLOOKUP(C122,'Talente &amp; Stuff'!ER:FT,16,FALSE)</f>
        <v>0</v>
      </c>
      <c r="S122" s="119">
        <f>VLOOKUP(C122,'Talente &amp; Stuff'!ER:FT,17,FALSE)</f>
        <v>0</v>
      </c>
      <c r="T122" s="119">
        <f>VLOOKUP(C122,'Talente &amp; Stuff'!ER:FT,18,FALSE)</f>
        <v>0</v>
      </c>
      <c r="U122" s="89">
        <f>VLOOKUP(C122,'Talente &amp; Stuff'!ER:FT,19,FALSE)</f>
        <v>0</v>
      </c>
      <c r="V122" s="47">
        <f>VLOOKUP(C122,'Talente &amp; Stuff'!ER:FT,20,FALSE)</f>
        <v>0</v>
      </c>
      <c r="W122" s="127">
        <f>VLOOKUP(C122,'Talente &amp; Stuff'!ER:FT,21,FALSE)</f>
        <v>0</v>
      </c>
      <c r="X122" s="127">
        <f>VLOOKUP(C122,'Talente &amp; Stuff'!ER:FT,22,FALSE)</f>
        <v>0</v>
      </c>
      <c r="Y122" s="165">
        <f t="shared" si="12"/>
        <v>0</v>
      </c>
      <c r="Z122" s="44">
        <f t="shared" si="13"/>
        <v>0</v>
      </c>
      <c r="AA122" s="125">
        <f>VLOOKUP(C122,'Talente &amp; Stuff'!ER:FT,25,FALSE)</f>
        <v>0</v>
      </c>
      <c r="AB122" s="160">
        <f>VLOOKUP(C122,'Talente &amp; Stuff'!ER:FT,26,FALSE)</f>
        <v>0</v>
      </c>
      <c r="AC122" s="127">
        <f>VLOOKUP(C122,'Talente &amp; Stuff'!ER:FT,27,FALSE)</f>
        <v>0</v>
      </c>
      <c r="AD122" s="125">
        <f>VLOOKUP(C122,'Talente &amp; Stuff'!ER:FT,28,FALSE)</f>
        <v>0</v>
      </c>
      <c r="AE122" s="28"/>
    </row>
    <row r="123" spans="2:31" ht="15" hidden="1" customHeight="1" outlineLevel="2">
      <c r="B123" s="148">
        <v>24</v>
      </c>
      <c r="C123" s="177" t="str">
        <f>Attribute!C123</f>
        <v>---</v>
      </c>
      <c r="D123" s="86" t="str">
        <f>VLOOKUP(C123,'Talente &amp; Stuff'!ER:FT,2,FALSE)</f>
        <v>--/--/--</v>
      </c>
      <c r="E123" s="127" t="str">
        <f>VLOOKUP(C123,'Talente &amp; Stuff'!ER:FT,3,FALSE)</f>
        <v>-</v>
      </c>
      <c r="F123" s="114">
        <f>VLOOKUP(C123,'Talente &amp; Stuff'!ER:FT,4,FALSE)</f>
        <v>0</v>
      </c>
      <c r="G123" s="113">
        <f>VLOOKUP(C123,'Talente &amp; Stuff'!ER:FT,5,FALSE)</f>
        <v>0</v>
      </c>
      <c r="H123" s="113">
        <f>VLOOKUP(C123,'Talente &amp; Stuff'!ER:FT,6,FALSE)</f>
        <v>0</v>
      </c>
      <c r="I123" s="113">
        <f>VLOOKUP(C123,'Talente &amp; Stuff'!ER:FT,7,FALSE)</f>
        <v>0</v>
      </c>
      <c r="J123" s="113">
        <f>VLOOKUP(C123,'Talente &amp; Stuff'!ER:FT,8,FALSE)</f>
        <v>0</v>
      </c>
      <c r="K123" s="113">
        <f>VLOOKUP(C123,'Talente &amp; Stuff'!ER:FT,9,FALSE)</f>
        <v>0</v>
      </c>
      <c r="L123" s="113">
        <f>VLOOKUP(C123,'Talente &amp; Stuff'!ER:FT,10,FALSE)</f>
        <v>0</v>
      </c>
      <c r="M123" s="119">
        <f>VLOOKUP(C123,'Talente &amp; Stuff'!ER:FT,11,FALSE)</f>
        <v>0</v>
      </c>
      <c r="N123" s="47">
        <f>VLOOKUP(C123,'Talente &amp; Stuff'!ER:FT,12,FALSE)</f>
        <v>0</v>
      </c>
      <c r="O123" s="3">
        <f>VLOOKUP(C123,'Talente &amp; Stuff'!ER:FT,13,FALSE)</f>
        <v>0</v>
      </c>
      <c r="P123" s="174">
        <f>VLOOKUP(C123,'Talente &amp; Stuff'!ER:FT,14,FALSE)</f>
        <v>0</v>
      </c>
      <c r="Q123" s="114">
        <f>VLOOKUP(C123,'Talente &amp; Stuff'!ER:FT,15,FALSE)</f>
        <v>0</v>
      </c>
      <c r="R123" s="117">
        <f>VLOOKUP(C123,'Talente &amp; Stuff'!ER:FT,16,FALSE)</f>
        <v>0</v>
      </c>
      <c r="S123" s="119">
        <f>VLOOKUP(C123,'Talente &amp; Stuff'!ER:FT,17,FALSE)</f>
        <v>0</v>
      </c>
      <c r="T123" s="119">
        <f>VLOOKUP(C123,'Talente &amp; Stuff'!ER:FT,18,FALSE)</f>
        <v>0</v>
      </c>
      <c r="U123" s="89">
        <f>VLOOKUP(C123,'Talente &amp; Stuff'!ER:FT,19,FALSE)</f>
        <v>0</v>
      </c>
      <c r="V123" s="47">
        <f>VLOOKUP(C123,'Talente &amp; Stuff'!ER:FT,20,FALSE)</f>
        <v>0</v>
      </c>
      <c r="W123" s="127">
        <f>VLOOKUP(C123,'Talente &amp; Stuff'!ER:FT,21,FALSE)</f>
        <v>0</v>
      </c>
      <c r="X123" s="127">
        <f>VLOOKUP(C123,'Talente &amp; Stuff'!ER:FT,22,FALSE)</f>
        <v>0</v>
      </c>
      <c r="Y123" s="165">
        <f t="shared" si="12"/>
        <v>0</v>
      </c>
      <c r="Z123" s="44">
        <f t="shared" si="13"/>
        <v>0</v>
      </c>
      <c r="AA123" s="125">
        <f>VLOOKUP(C123,'Talente &amp; Stuff'!ER:FT,25,FALSE)</f>
        <v>0</v>
      </c>
      <c r="AB123" s="160">
        <f>VLOOKUP(C123,'Talente &amp; Stuff'!ER:FT,26,FALSE)</f>
        <v>0</v>
      </c>
      <c r="AC123" s="127">
        <f>VLOOKUP(C123,'Talente &amp; Stuff'!ER:FT,27,FALSE)</f>
        <v>0</v>
      </c>
      <c r="AD123" s="125">
        <f>VLOOKUP(C123,'Talente &amp; Stuff'!ER:FT,28,FALSE)</f>
        <v>0</v>
      </c>
      <c r="AE123" s="28"/>
    </row>
    <row r="124" spans="2:31" ht="15" hidden="1" customHeight="1" outlineLevel="2">
      <c r="B124" s="148">
        <v>25</v>
      </c>
      <c r="C124" s="177" t="str">
        <f>Attribute!C124</f>
        <v>---</v>
      </c>
      <c r="D124" s="86" t="str">
        <f>VLOOKUP(C124,'Talente &amp; Stuff'!ER:FT,2,FALSE)</f>
        <v>--/--/--</v>
      </c>
      <c r="E124" s="127" t="str">
        <f>VLOOKUP(C124,'Talente &amp; Stuff'!ER:FT,3,FALSE)</f>
        <v>-</v>
      </c>
      <c r="F124" s="114">
        <f>VLOOKUP(C124,'Talente &amp; Stuff'!ER:FT,4,FALSE)</f>
        <v>0</v>
      </c>
      <c r="G124" s="113">
        <f>VLOOKUP(C124,'Talente &amp; Stuff'!ER:FT,5,FALSE)</f>
        <v>0</v>
      </c>
      <c r="H124" s="113">
        <f>VLOOKUP(C124,'Talente &amp; Stuff'!ER:FT,6,FALSE)</f>
        <v>0</v>
      </c>
      <c r="I124" s="113">
        <f>VLOOKUP(C124,'Talente &amp; Stuff'!ER:FT,7,FALSE)</f>
        <v>0</v>
      </c>
      <c r="J124" s="113">
        <f>VLOOKUP(C124,'Talente &amp; Stuff'!ER:FT,8,FALSE)</f>
        <v>0</v>
      </c>
      <c r="K124" s="113">
        <f>VLOOKUP(C124,'Talente &amp; Stuff'!ER:FT,9,FALSE)</f>
        <v>0</v>
      </c>
      <c r="L124" s="113">
        <f>VLOOKUP(C124,'Talente &amp; Stuff'!ER:FT,10,FALSE)</f>
        <v>0</v>
      </c>
      <c r="M124" s="119">
        <f>VLOOKUP(C124,'Talente &amp; Stuff'!ER:FT,11,FALSE)</f>
        <v>0</v>
      </c>
      <c r="N124" s="47">
        <f>VLOOKUP(C124,'Talente &amp; Stuff'!ER:FT,12,FALSE)</f>
        <v>0</v>
      </c>
      <c r="O124" s="3">
        <f>VLOOKUP(C124,'Talente &amp; Stuff'!ER:FT,13,FALSE)</f>
        <v>0</v>
      </c>
      <c r="P124" s="174">
        <f>VLOOKUP(C124,'Talente &amp; Stuff'!ER:FT,14,FALSE)</f>
        <v>0</v>
      </c>
      <c r="Q124" s="114">
        <f>VLOOKUP(C124,'Talente &amp; Stuff'!ER:FT,15,FALSE)</f>
        <v>0</v>
      </c>
      <c r="R124" s="117">
        <f>VLOOKUP(C124,'Talente &amp; Stuff'!ER:FT,16,FALSE)</f>
        <v>0</v>
      </c>
      <c r="S124" s="119">
        <f>VLOOKUP(C124,'Talente &amp; Stuff'!ER:FT,17,FALSE)</f>
        <v>0</v>
      </c>
      <c r="T124" s="119">
        <f>VLOOKUP(C124,'Talente &amp; Stuff'!ER:FT,18,FALSE)</f>
        <v>0</v>
      </c>
      <c r="U124" s="89">
        <f>VLOOKUP(C124,'Talente &amp; Stuff'!ER:FT,19,FALSE)</f>
        <v>0</v>
      </c>
      <c r="V124" s="47">
        <f>VLOOKUP(C124,'Talente &amp; Stuff'!ER:FT,20,FALSE)</f>
        <v>0</v>
      </c>
      <c r="W124" s="127">
        <f>VLOOKUP(C124,'Talente &amp; Stuff'!ER:FT,21,FALSE)</f>
        <v>0</v>
      </c>
      <c r="X124" s="127">
        <f>VLOOKUP(C124,'Talente &amp; Stuff'!ER:FT,22,FALSE)</f>
        <v>0</v>
      </c>
      <c r="Y124" s="165">
        <f t="shared" si="12"/>
        <v>0</v>
      </c>
      <c r="Z124" s="44">
        <f t="shared" si="13"/>
        <v>0</v>
      </c>
      <c r="AA124" s="125">
        <f>VLOOKUP(C124,'Talente &amp; Stuff'!ER:FT,25,FALSE)</f>
        <v>0</v>
      </c>
      <c r="AB124" s="160">
        <f>VLOOKUP(C124,'Talente &amp; Stuff'!ER:FT,26,FALSE)</f>
        <v>0</v>
      </c>
      <c r="AC124" s="127">
        <f>VLOOKUP(C124,'Talente &amp; Stuff'!ER:FT,27,FALSE)</f>
        <v>0</v>
      </c>
      <c r="AD124" s="125">
        <f>VLOOKUP(C124,'Talente &amp; Stuff'!ER:FT,28,FALSE)</f>
        <v>0</v>
      </c>
      <c r="AE124" s="28"/>
    </row>
    <row r="125" spans="2:31" ht="15" hidden="1" customHeight="1" outlineLevel="2">
      <c r="B125" s="148">
        <v>26</v>
      </c>
      <c r="C125" s="177" t="str">
        <f>Attribute!C125</f>
        <v>---</v>
      </c>
      <c r="D125" s="86" t="str">
        <f>VLOOKUP(C125,'Talente &amp; Stuff'!ER:FT,2,FALSE)</f>
        <v>--/--/--</v>
      </c>
      <c r="E125" s="127" t="str">
        <f>VLOOKUP(C125,'Talente &amp; Stuff'!ER:FT,3,FALSE)</f>
        <v>-</v>
      </c>
      <c r="F125" s="114">
        <f>VLOOKUP(C125,'Talente &amp; Stuff'!ER:FT,4,FALSE)</f>
        <v>0</v>
      </c>
      <c r="G125" s="113">
        <f>VLOOKUP(C125,'Talente &amp; Stuff'!ER:FT,5,FALSE)</f>
        <v>0</v>
      </c>
      <c r="H125" s="113">
        <f>VLOOKUP(C125,'Talente &amp; Stuff'!ER:FT,6,FALSE)</f>
        <v>0</v>
      </c>
      <c r="I125" s="113">
        <f>VLOOKUP(C125,'Talente &amp; Stuff'!ER:FT,7,FALSE)</f>
        <v>0</v>
      </c>
      <c r="J125" s="113">
        <f>VLOOKUP(C125,'Talente &amp; Stuff'!ER:FT,8,FALSE)</f>
        <v>0</v>
      </c>
      <c r="K125" s="113">
        <f>VLOOKUP(C125,'Talente &amp; Stuff'!ER:FT,9,FALSE)</f>
        <v>0</v>
      </c>
      <c r="L125" s="113">
        <f>VLOOKUP(C125,'Talente &amp; Stuff'!ER:FT,10,FALSE)</f>
        <v>0</v>
      </c>
      <c r="M125" s="119">
        <f>VLOOKUP(C125,'Talente &amp; Stuff'!ER:FT,11,FALSE)</f>
        <v>0</v>
      </c>
      <c r="N125" s="47">
        <f>VLOOKUP(C125,'Talente &amp; Stuff'!ER:FT,12,FALSE)</f>
        <v>0</v>
      </c>
      <c r="O125" s="3">
        <f>VLOOKUP(C125,'Talente &amp; Stuff'!ER:FT,13,FALSE)</f>
        <v>0</v>
      </c>
      <c r="P125" s="174">
        <f>VLOOKUP(C125,'Talente &amp; Stuff'!ER:FT,14,FALSE)</f>
        <v>0</v>
      </c>
      <c r="Q125" s="114">
        <f>VLOOKUP(C125,'Talente &amp; Stuff'!ER:FT,15,FALSE)</f>
        <v>0</v>
      </c>
      <c r="R125" s="117">
        <f>VLOOKUP(C125,'Talente &amp; Stuff'!ER:FT,16,FALSE)</f>
        <v>0</v>
      </c>
      <c r="S125" s="119">
        <f>VLOOKUP(C125,'Talente &amp; Stuff'!ER:FT,17,FALSE)</f>
        <v>0</v>
      </c>
      <c r="T125" s="119">
        <f>VLOOKUP(C125,'Talente &amp; Stuff'!ER:FT,18,FALSE)</f>
        <v>0</v>
      </c>
      <c r="U125" s="89">
        <f>VLOOKUP(C125,'Talente &amp; Stuff'!ER:FT,19,FALSE)</f>
        <v>0</v>
      </c>
      <c r="V125" s="47">
        <f>VLOOKUP(C125,'Talente &amp; Stuff'!ER:FT,20,FALSE)</f>
        <v>0</v>
      </c>
      <c r="W125" s="127">
        <f>VLOOKUP(C125,'Talente &amp; Stuff'!ER:FT,21,FALSE)</f>
        <v>0</v>
      </c>
      <c r="X125" s="127">
        <f>VLOOKUP(C125,'Talente &amp; Stuff'!ER:FT,22,FALSE)</f>
        <v>0</v>
      </c>
      <c r="Y125" s="165">
        <f t="shared" si="12"/>
        <v>0</v>
      </c>
      <c r="Z125" s="44">
        <f t="shared" si="13"/>
        <v>0</v>
      </c>
      <c r="AA125" s="125">
        <f>VLOOKUP(C125,'Talente &amp; Stuff'!ER:FT,25,FALSE)</f>
        <v>0</v>
      </c>
      <c r="AB125" s="160">
        <f>VLOOKUP(C125,'Talente &amp; Stuff'!ER:FT,26,FALSE)</f>
        <v>0</v>
      </c>
      <c r="AC125" s="127">
        <f>VLOOKUP(C125,'Talente &amp; Stuff'!ER:FT,27,FALSE)</f>
        <v>0</v>
      </c>
      <c r="AD125" s="125">
        <f>VLOOKUP(C125,'Talente &amp; Stuff'!ER:FT,28,FALSE)</f>
        <v>0</v>
      </c>
      <c r="AE125" s="28"/>
    </row>
    <row r="126" spans="2:31" ht="15" hidden="1" customHeight="1" outlineLevel="2">
      <c r="B126" s="148">
        <v>27</v>
      </c>
      <c r="C126" s="178" t="str">
        <f>Attribute!C126</f>
        <v>---</v>
      </c>
      <c r="D126" s="23" t="str">
        <f>VLOOKUP(C126,'Talente &amp; Stuff'!ER:FT,2,FALSE)</f>
        <v>--/--/--</v>
      </c>
      <c r="E126" s="128" t="str">
        <f>VLOOKUP(C126,'Talente &amp; Stuff'!ER:FT,3,FALSE)</f>
        <v>-</v>
      </c>
      <c r="F126" s="115">
        <f>VLOOKUP(C126,'Talente &amp; Stuff'!ER:FT,4,FALSE)</f>
        <v>0</v>
      </c>
      <c r="G126" s="122">
        <f>VLOOKUP(C126,'Talente &amp; Stuff'!ER:FT,5,FALSE)</f>
        <v>0</v>
      </c>
      <c r="H126" s="122">
        <f>VLOOKUP(C126,'Talente &amp; Stuff'!ER:FT,6,FALSE)</f>
        <v>0</v>
      </c>
      <c r="I126" s="122">
        <f>VLOOKUP(C126,'Talente &amp; Stuff'!ER:FT,7,FALSE)</f>
        <v>0</v>
      </c>
      <c r="J126" s="122">
        <f>VLOOKUP(C126,'Talente &amp; Stuff'!ER:FT,8,FALSE)</f>
        <v>0</v>
      </c>
      <c r="K126" s="122">
        <f>VLOOKUP(C126,'Talente &amp; Stuff'!ER:FT,9,FALSE)</f>
        <v>0</v>
      </c>
      <c r="L126" s="122">
        <f>VLOOKUP(C126,'Talente &amp; Stuff'!ER:FT,10,FALSE)</f>
        <v>0</v>
      </c>
      <c r="M126" s="123">
        <f>VLOOKUP(C126,'Talente &amp; Stuff'!ER:FT,11,FALSE)</f>
        <v>0</v>
      </c>
      <c r="N126" s="88">
        <f>VLOOKUP(C126,'Talente &amp; Stuff'!ER:FT,12,FALSE)</f>
        <v>0</v>
      </c>
      <c r="O126" s="2">
        <f>VLOOKUP(C126,'Talente &amp; Stuff'!ER:FT,13,FALSE)</f>
        <v>0</v>
      </c>
      <c r="P126" s="173">
        <f>VLOOKUP(C126,'Talente &amp; Stuff'!ER:FT,14,FALSE)</f>
        <v>0</v>
      </c>
      <c r="Q126" s="115">
        <f>VLOOKUP(C126,'Talente &amp; Stuff'!ER:FT,15,FALSE)</f>
        <v>0</v>
      </c>
      <c r="R126" s="169">
        <f>VLOOKUP(C126,'Talente &amp; Stuff'!ER:FT,16,FALSE)</f>
        <v>0</v>
      </c>
      <c r="S126" s="123">
        <f>VLOOKUP(C126,'Talente &amp; Stuff'!ER:FT,17,FALSE)</f>
        <v>0</v>
      </c>
      <c r="T126" s="123">
        <f>VLOOKUP(C126,'Talente &amp; Stuff'!ER:FT,18,FALSE)</f>
        <v>0</v>
      </c>
      <c r="U126" s="90">
        <f>VLOOKUP(C126,'Talente &amp; Stuff'!ER:FT,19,FALSE)</f>
        <v>0</v>
      </c>
      <c r="V126" s="88">
        <f>VLOOKUP(C126,'Talente &amp; Stuff'!ER:FT,20,FALSE)</f>
        <v>0</v>
      </c>
      <c r="W126" s="128">
        <f>VLOOKUP(C126,'Talente &amp; Stuff'!ER:FT,21,FALSE)</f>
        <v>0</v>
      </c>
      <c r="X126" s="128">
        <f>VLOOKUP(C126,'Talente &amp; Stuff'!ER:FT,22,FALSE)</f>
        <v>0</v>
      </c>
      <c r="Y126" s="165">
        <f t="shared" si="12"/>
        <v>0</v>
      </c>
      <c r="Z126" s="44">
        <f t="shared" si="13"/>
        <v>0</v>
      </c>
      <c r="AA126" s="159">
        <f>VLOOKUP(C126,'Talente &amp; Stuff'!ER:FT,25,FALSE)</f>
        <v>0</v>
      </c>
      <c r="AB126" s="161">
        <f>VLOOKUP(C126,'Talente &amp; Stuff'!ER:FT,26,FALSE)</f>
        <v>0</v>
      </c>
      <c r="AC126" s="128">
        <f>VLOOKUP(C126,'Talente &amp; Stuff'!ER:FT,27,FALSE)</f>
        <v>0</v>
      </c>
      <c r="AD126" s="159">
        <f>VLOOKUP(C126,'Talente &amp; Stuff'!ER:FT,28,FALSE)</f>
        <v>0</v>
      </c>
      <c r="AE126" s="28"/>
    </row>
    <row r="127" spans="2:31" ht="15" hidden="1" customHeight="1" outlineLevel="1" collapsed="1">
      <c r="B127" s="134" t="s">
        <v>330</v>
      </c>
      <c r="C127" s="83"/>
      <c r="D127" s="84"/>
      <c r="E127" s="84"/>
    </row>
    <row r="128" spans="2:31" ht="15" hidden="1" customHeight="1" outlineLevel="2">
      <c r="B128" s="148">
        <v>1</v>
      </c>
      <c r="C128" s="176" t="str">
        <f>Attribute!C128</f>
        <v>---</v>
      </c>
      <c r="D128" s="158" t="str">
        <f>VLOOKUP(C128,'Talente &amp; Stuff'!ER:FT,2,FALSE)</f>
        <v>--/--/--</v>
      </c>
      <c r="E128" s="126" t="str">
        <f>VLOOKUP(C128,'Talente &amp; Stuff'!ER:FT,3,FALSE)</f>
        <v>-</v>
      </c>
      <c r="F128" s="191">
        <f>VLOOKUP(C128,'Talente &amp; Stuff'!ER:FT,4,FALSE)</f>
        <v>0</v>
      </c>
      <c r="G128" s="118">
        <f>VLOOKUP(C128,'Talente &amp; Stuff'!ER:FT,5,FALSE)</f>
        <v>0</v>
      </c>
      <c r="H128" s="118">
        <f>VLOOKUP(C128,'Talente &amp; Stuff'!ER:FT,6,FALSE)</f>
        <v>0</v>
      </c>
      <c r="I128" s="118">
        <f>VLOOKUP(C128,'Talente &amp; Stuff'!ER:FT,7,FALSE)</f>
        <v>0</v>
      </c>
      <c r="J128" s="118">
        <f>VLOOKUP(C128,'Talente &amp; Stuff'!ER:FT,8,FALSE)</f>
        <v>0</v>
      </c>
      <c r="K128" s="118">
        <f>VLOOKUP(C128,'Talente &amp; Stuff'!ER:FT,9,FALSE)</f>
        <v>0</v>
      </c>
      <c r="L128" s="118">
        <f>VLOOKUP(C128,'Talente &amp; Stuff'!ER:FT,10,FALSE)</f>
        <v>0</v>
      </c>
      <c r="M128" s="92">
        <f>VLOOKUP(C128,'Talente &amp; Stuff'!ER:FT,11,FALSE)</f>
        <v>0</v>
      </c>
      <c r="N128" s="116">
        <f>VLOOKUP(C128,'Talente &amp; Stuff'!ER:FT,12,FALSE)</f>
        <v>0</v>
      </c>
      <c r="O128" s="116">
        <f>VLOOKUP(C128,'Talente &amp; Stuff'!ER:FT,13,FALSE)</f>
        <v>0</v>
      </c>
      <c r="P128" s="92">
        <f>VLOOKUP(C128,'Talente &amp; Stuff'!ER:FT,14,FALSE)</f>
        <v>0</v>
      </c>
      <c r="Q128" s="191">
        <f>VLOOKUP(C128,'Talente &amp; Stuff'!ER:FT,15,FALSE)</f>
        <v>0</v>
      </c>
      <c r="R128" s="118">
        <f>VLOOKUP(C128,'Talente &amp; Stuff'!ER:FT,16,FALSE)</f>
        <v>0</v>
      </c>
      <c r="S128" s="92">
        <f>VLOOKUP(C128,'Talente &amp; Stuff'!ER:FT,17,FALSE)</f>
        <v>0</v>
      </c>
      <c r="T128" s="92">
        <f>VLOOKUP(C128,'Talente &amp; Stuff'!ER:FT,18,FALSE)</f>
        <v>0</v>
      </c>
      <c r="U128" s="193">
        <f>VLOOKUP(C128,'Talente &amp; Stuff'!ER:FT,19,FALSE)</f>
        <v>0</v>
      </c>
      <c r="V128" s="116">
        <f>VLOOKUP(C128,'Talente &amp; Stuff'!ER:FT,20,FALSE)</f>
        <v>0</v>
      </c>
      <c r="W128" s="126">
        <f>VLOOKUP(C128,'Talente &amp; Stuff'!ER:FT,21,FALSE)</f>
        <v>0</v>
      </c>
      <c r="X128" s="126">
        <f>VLOOKUP(C128,'Talente &amp; Stuff'!ER:FT,22,FALSE)</f>
        <v>0</v>
      </c>
      <c r="Y128" s="165">
        <f t="shared" ref="Y128:Y151" si="14">VLOOKUP(C128,Ausgewählte_Zauber_Elfen,168,FALSE)</f>
        <v>0</v>
      </c>
      <c r="Z128" s="44">
        <f t="shared" ref="Z128:Z151" si="15">VLOOKUP(C128,Ausgewählte_Zauber_Elfen,169,FALSE)</f>
        <v>0</v>
      </c>
      <c r="AA128" s="158">
        <f>VLOOKUP(C128,'Talente &amp; Stuff'!ER:FT,25,FALSE)</f>
        <v>0</v>
      </c>
      <c r="AB128" s="91">
        <f>VLOOKUP(C128,'Talente &amp; Stuff'!ER:FT,26,FALSE)</f>
        <v>0</v>
      </c>
      <c r="AC128" s="126">
        <f>VLOOKUP(C128,'Talente &amp; Stuff'!ER:FT,27,FALSE)</f>
        <v>0</v>
      </c>
      <c r="AD128" s="158">
        <f>VLOOKUP(C128,'Talente &amp; Stuff'!ER:FT,28,FALSE)</f>
        <v>0</v>
      </c>
      <c r="AE128" s="28"/>
    </row>
    <row r="129" spans="2:31" ht="15" hidden="1" customHeight="1" outlineLevel="2">
      <c r="B129" s="148">
        <v>2</v>
      </c>
      <c r="C129" s="177" t="str">
        <f>Attribute!C129</f>
        <v>---</v>
      </c>
      <c r="D129" s="125" t="str">
        <f>VLOOKUP(C129,'Talente &amp; Stuff'!ER:FT,2,FALSE)</f>
        <v>--/--/--</v>
      </c>
      <c r="E129" s="127" t="str">
        <f>VLOOKUP(C129,'Talente &amp; Stuff'!ER:FT,3,FALSE)</f>
        <v>-</v>
      </c>
      <c r="F129" s="114">
        <f>VLOOKUP(C129,'Talente &amp; Stuff'!ER:FT,4,FALSE)</f>
        <v>0</v>
      </c>
      <c r="G129" s="113">
        <f>VLOOKUP(C129,'Talente &amp; Stuff'!ER:FT,5,FALSE)</f>
        <v>0</v>
      </c>
      <c r="H129" s="113">
        <f>VLOOKUP(C129,'Talente &amp; Stuff'!ER:FT,6,FALSE)</f>
        <v>0</v>
      </c>
      <c r="I129" s="113">
        <f>VLOOKUP(C129,'Talente &amp; Stuff'!ER:FT,7,FALSE)</f>
        <v>0</v>
      </c>
      <c r="J129" s="113">
        <f>VLOOKUP(C129,'Talente &amp; Stuff'!ER:FT,8,FALSE)</f>
        <v>0</v>
      </c>
      <c r="K129" s="113">
        <f>VLOOKUP(C129,'Talente &amp; Stuff'!ER:FT,9,FALSE)</f>
        <v>0</v>
      </c>
      <c r="L129" s="113">
        <f>VLOOKUP(C129,'Talente &amp; Stuff'!ER:FT,10,FALSE)</f>
        <v>0</v>
      </c>
      <c r="M129" s="119">
        <f>VLOOKUP(C129,'Talente &amp; Stuff'!ER:FT,11,FALSE)</f>
        <v>0</v>
      </c>
      <c r="N129" s="47">
        <f>VLOOKUP(C129,'Talente &amp; Stuff'!ER:FT,12,FALSE)</f>
        <v>0</v>
      </c>
      <c r="O129" s="47">
        <f>VLOOKUP(C129,'Talente &amp; Stuff'!ER:FT,13,FALSE)</f>
        <v>0</v>
      </c>
      <c r="P129" s="119">
        <f>VLOOKUP(C129,'Talente &amp; Stuff'!ER:FT,14,FALSE)</f>
        <v>0</v>
      </c>
      <c r="Q129" s="114">
        <f>VLOOKUP(C129,'Talente &amp; Stuff'!ER:FT,15,FALSE)</f>
        <v>0</v>
      </c>
      <c r="R129" s="113">
        <f>VLOOKUP(C129,'Talente &amp; Stuff'!ER:FT,16,FALSE)</f>
        <v>0</v>
      </c>
      <c r="S129" s="119">
        <f>VLOOKUP(C129,'Talente &amp; Stuff'!ER:FT,17,FALSE)</f>
        <v>0</v>
      </c>
      <c r="T129" s="119">
        <f>VLOOKUP(C129,'Talente &amp; Stuff'!ER:FT,18,FALSE)</f>
        <v>0</v>
      </c>
      <c r="U129" s="89">
        <f>VLOOKUP(C129,'Talente &amp; Stuff'!ER:FT,19,FALSE)</f>
        <v>0</v>
      </c>
      <c r="V129" s="47">
        <f>VLOOKUP(C129,'Talente &amp; Stuff'!ER:FT,20,FALSE)</f>
        <v>0</v>
      </c>
      <c r="W129" s="127">
        <f>VLOOKUP(C129,'Talente &amp; Stuff'!ER:FT,21,FALSE)</f>
        <v>0</v>
      </c>
      <c r="X129" s="127">
        <f>VLOOKUP(C129,'Talente &amp; Stuff'!ER:FT,22,FALSE)</f>
        <v>0</v>
      </c>
      <c r="Y129" s="165">
        <f t="shared" si="14"/>
        <v>0</v>
      </c>
      <c r="Z129" s="44">
        <f t="shared" si="15"/>
        <v>0</v>
      </c>
      <c r="AA129" s="125">
        <f>VLOOKUP(C129,'Talente &amp; Stuff'!ER:FT,25,FALSE)</f>
        <v>0</v>
      </c>
      <c r="AB129" s="160">
        <f>VLOOKUP(C129,'Talente &amp; Stuff'!ER:FT,26,FALSE)</f>
        <v>0</v>
      </c>
      <c r="AC129" s="127">
        <f>VLOOKUP(C129,'Talente &amp; Stuff'!ER:FT,27,FALSE)</f>
        <v>0</v>
      </c>
      <c r="AD129" s="125">
        <f>VLOOKUP(C129,'Talente &amp; Stuff'!ER:FT,28,FALSE)</f>
        <v>0</v>
      </c>
      <c r="AE129" s="28"/>
    </row>
    <row r="130" spans="2:31" ht="15" hidden="1" customHeight="1" outlineLevel="2">
      <c r="B130" s="148">
        <v>3</v>
      </c>
      <c r="C130" s="177" t="str">
        <f>Attribute!C130</f>
        <v>---</v>
      </c>
      <c r="D130" s="125" t="str">
        <f>VLOOKUP(C130,'Talente &amp; Stuff'!ER:FT,2,FALSE)</f>
        <v>--/--/--</v>
      </c>
      <c r="E130" s="127" t="str">
        <f>VLOOKUP(C130,'Talente &amp; Stuff'!ER:FT,3,FALSE)</f>
        <v>-</v>
      </c>
      <c r="F130" s="114">
        <f>VLOOKUP(C130,'Talente &amp; Stuff'!ER:FT,4,FALSE)</f>
        <v>0</v>
      </c>
      <c r="G130" s="113">
        <f>VLOOKUP(C130,'Talente &amp; Stuff'!ER:FT,5,FALSE)</f>
        <v>0</v>
      </c>
      <c r="H130" s="113">
        <f>VLOOKUP(C130,'Talente &amp; Stuff'!ER:FT,6,FALSE)</f>
        <v>0</v>
      </c>
      <c r="I130" s="113">
        <f>VLOOKUP(C130,'Talente &amp; Stuff'!ER:FT,7,FALSE)</f>
        <v>0</v>
      </c>
      <c r="J130" s="113">
        <f>VLOOKUP(C130,'Talente &amp; Stuff'!ER:FT,8,FALSE)</f>
        <v>0</v>
      </c>
      <c r="K130" s="113">
        <f>VLOOKUP(C130,'Talente &amp; Stuff'!ER:FT,9,FALSE)</f>
        <v>0</v>
      </c>
      <c r="L130" s="113">
        <f>VLOOKUP(C130,'Talente &amp; Stuff'!ER:FT,10,FALSE)</f>
        <v>0</v>
      </c>
      <c r="M130" s="119">
        <f>VLOOKUP(C130,'Talente &amp; Stuff'!ER:FT,11,FALSE)</f>
        <v>0</v>
      </c>
      <c r="N130" s="47">
        <f>VLOOKUP(C130,'Talente &amp; Stuff'!ER:FT,12,FALSE)</f>
        <v>0</v>
      </c>
      <c r="O130" s="47">
        <f>VLOOKUP(C130,'Talente &amp; Stuff'!ER:FT,13,FALSE)</f>
        <v>0</v>
      </c>
      <c r="P130" s="119">
        <f>VLOOKUP(C130,'Talente &amp; Stuff'!ER:FT,14,FALSE)</f>
        <v>0</v>
      </c>
      <c r="Q130" s="114">
        <f>VLOOKUP(C130,'Talente &amp; Stuff'!ER:FT,15,FALSE)</f>
        <v>0</v>
      </c>
      <c r="R130" s="113">
        <f>VLOOKUP(C130,'Talente &amp; Stuff'!ER:FT,16,FALSE)</f>
        <v>0</v>
      </c>
      <c r="S130" s="119">
        <f>VLOOKUP(C130,'Talente &amp; Stuff'!ER:FT,17,FALSE)</f>
        <v>0</v>
      </c>
      <c r="T130" s="119">
        <f>VLOOKUP(C130,'Talente &amp; Stuff'!ER:FT,18,FALSE)</f>
        <v>0</v>
      </c>
      <c r="U130" s="89">
        <f>VLOOKUP(C130,'Talente &amp; Stuff'!ER:FT,19,FALSE)</f>
        <v>0</v>
      </c>
      <c r="V130" s="47">
        <f>VLOOKUP(C130,'Talente &amp; Stuff'!ER:FT,20,FALSE)</f>
        <v>0</v>
      </c>
      <c r="W130" s="127">
        <f>VLOOKUP(C130,'Talente &amp; Stuff'!ER:FT,21,FALSE)</f>
        <v>0</v>
      </c>
      <c r="X130" s="127">
        <f>VLOOKUP(C130,'Talente &amp; Stuff'!ER:FT,22,FALSE)</f>
        <v>0</v>
      </c>
      <c r="Y130" s="165">
        <f t="shared" si="14"/>
        <v>0</v>
      </c>
      <c r="Z130" s="44">
        <f t="shared" si="15"/>
        <v>0</v>
      </c>
      <c r="AA130" s="125">
        <f>VLOOKUP(C130,'Talente &amp; Stuff'!ER:FT,25,FALSE)</f>
        <v>0</v>
      </c>
      <c r="AB130" s="160">
        <f>VLOOKUP(C130,'Talente &amp; Stuff'!ER:FT,26,FALSE)</f>
        <v>0</v>
      </c>
      <c r="AC130" s="127">
        <f>VLOOKUP(C130,'Talente &amp; Stuff'!ER:FT,27,FALSE)</f>
        <v>0</v>
      </c>
      <c r="AD130" s="125">
        <f>VLOOKUP(C130,'Talente &amp; Stuff'!ER:FT,28,FALSE)</f>
        <v>0</v>
      </c>
      <c r="AE130" s="28"/>
    </row>
    <row r="131" spans="2:31" ht="15" hidden="1" customHeight="1" outlineLevel="2">
      <c r="B131" s="148">
        <v>4</v>
      </c>
      <c r="C131" s="177" t="str">
        <f>Attribute!C131</f>
        <v>---</v>
      </c>
      <c r="D131" s="125" t="str">
        <f>VLOOKUP(C131,'Talente &amp; Stuff'!ER:FT,2,FALSE)</f>
        <v>--/--/--</v>
      </c>
      <c r="E131" s="127" t="str">
        <f>VLOOKUP(C131,'Talente &amp; Stuff'!ER:FT,3,FALSE)</f>
        <v>-</v>
      </c>
      <c r="F131" s="114">
        <f>VLOOKUP(C131,'Talente &amp; Stuff'!ER:FT,4,FALSE)</f>
        <v>0</v>
      </c>
      <c r="G131" s="113">
        <f>VLOOKUP(C131,'Talente &amp; Stuff'!ER:FT,5,FALSE)</f>
        <v>0</v>
      </c>
      <c r="H131" s="113">
        <f>VLOOKUP(C131,'Talente &amp; Stuff'!ER:FT,6,FALSE)</f>
        <v>0</v>
      </c>
      <c r="I131" s="113">
        <f>VLOOKUP(C131,'Talente &amp; Stuff'!ER:FT,7,FALSE)</f>
        <v>0</v>
      </c>
      <c r="J131" s="113">
        <f>VLOOKUP(C131,'Talente &amp; Stuff'!ER:FT,8,FALSE)</f>
        <v>0</v>
      </c>
      <c r="K131" s="113">
        <f>VLOOKUP(C131,'Talente &amp; Stuff'!ER:FT,9,FALSE)</f>
        <v>0</v>
      </c>
      <c r="L131" s="113">
        <f>VLOOKUP(C131,'Talente &amp; Stuff'!ER:FT,10,FALSE)</f>
        <v>0</v>
      </c>
      <c r="M131" s="119">
        <f>VLOOKUP(C131,'Talente &amp; Stuff'!ER:FT,11,FALSE)</f>
        <v>0</v>
      </c>
      <c r="N131" s="47">
        <f>VLOOKUP(C131,'Talente &amp; Stuff'!ER:FT,12,FALSE)</f>
        <v>0</v>
      </c>
      <c r="O131" s="47">
        <f>VLOOKUP(C131,'Talente &amp; Stuff'!ER:FT,13,FALSE)</f>
        <v>0</v>
      </c>
      <c r="P131" s="119">
        <f>VLOOKUP(C131,'Talente &amp; Stuff'!ER:FT,14,FALSE)</f>
        <v>0</v>
      </c>
      <c r="Q131" s="114">
        <f>VLOOKUP(C131,'Talente &amp; Stuff'!ER:FT,15,FALSE)</f>
        <v>0</v>
      </c>
      <c r="R131" s="113">
        <f>VLOOKUP(C131,'Talente &amp; Stuff'!ER:FT,16,FALSE)</f>
        <v>0</v>
      </c>
      <c r="S131" s="119">
        <f>VLOOKUP(C131,'Talente &amp; Stuff'!ER:FT,17,FALSE)</f>
        <v>0</v>
      </c>
      <c r="T131" s="119">
        <f>VLOOKUP(C131,'Talente &amp; Stuff'!ER:FT,18,FALSE)</f>
        <v>0</v>
      </c>
      <c r="U131" s="89">
        <f>VLOOKUP(C131,'Talente &amp; Stuff'!ER:FT,19,FALSE)</f>
        <v>0</v>
      </c>
      <c r="V131" s="47">
        <f>VLOOKUP(C131,'Talente &amp; Stuff'!ER:FT,20,FALSE)</f>
        <v>0</v>
      </c>
      <c r="W131" s="127">
        <f>VLOOKUP(C131,'Talente &amp; Stuff'!ER:FT,21,FALSE)</f>
        <v>0</v>
      </c>
      <c r="X131" s="127">
        <f>VLOOKUP(C131,'Talente &amp; Stuff'!ER:FT,22,FALSE)</f>
        <v>0</v>
      </c>
      <c r="Y131" s="165">
        <f t="shared" si="14"/>
        <v>0</v>
      </c>
      <c r="Z131" s="44">
        <f t="shared" si="15"/>
        <v>0</v>
      </c>
      <c r="AA131" s="125">
        <f>VLOOKUP(C131,'Talente &amp; Stuff'!ER:FT,25,FALSE)</f>
        <v>0</v>
      </c>
      <c r="AB131" s="160">
        <f>VLOOKUP(C131,'Talente &amp; Stuff'!ER:FT,26,FALSE)</f>
        <v>0</v>
      </c>
      <c r="AC131" s="127">
        <f>VLOOKUP(C131,'Talente &amp; Stuff'!ER:FT,27,FALSE)</f>
        <v>0</v>
      </c>
      <c r="AD131" s="125">
        <f>VLOOKUP(C131,'Talente &amp; Stuff'!ER:FT,28,FALSE)</f>
        <v>0</v>
      </c>
      <c r="AE131" s="28"/>
    </row>
    <row r="132" spans="2:31" ht="15" hidden="1" customHeight="1" outlineLevel="2">
      <c r="B132" s="148">
        <v>5</v>
      </c>
      <c r="C132" s="177" t="str">
        <f>Attribute!C132</f>
        <v>---</v>
      </c>
      <c r="D132" s="125" t="str">
        <f>VLOOKUP(C132,'Talente &amp; Stuff'!ER:FT,2,FALSE)</f>
        <v>--/--/--</v>
      </c>
      <c r="E132" s="127" t="str">
        <f>VLOOKUP(C132,'Talente &amp; Stuff'!ER:FT,3,FALSE)</f>
        <v>-</v>
      </c>
      <c r="F132" s="114">
        <f>VLOOKUP(C132,'Talente &amp; Stuff'!ER:FT,4,FALSE)</f>
        <v>0</v>
      </c>
      <c r="G132" s="113">
        <f>VLOOKUP(C132,'Talente &amp; Stuff'!ER:FT,5,FALSE)</f>
        <v>0</v>
      </c>
      <c r="H132" s="113">
        <f>VLOOKUP(C132,'Talente &amp; Stuff'!ER:FT,6,FALSE)</f>
        <v>0</v>
      </c>
      <c r="I132" s="113">
        <f>VLOOKUP(C132,'Talente &amp; Stuff'!ER:FT,7,FALSE)</f>
        <v>0</v>
      </c>
      <c r="J132" s="113">
        <f>VLOOKUP(C132,'Talente &amp; Stuff'!ER:FT,8,FALSE)</f>
        <v>0</v>
      </c>
      <c r="K132" s="113">
        <f>VLOOKUP(C132,'Talente &amp; Stuff'!ER:FT,9,FALSE)</f>
        <v>0</v>
      </c>
      <c r="L132" s="113">
        <f>VLOOKUP(C132,'Talente &amp; Stuff'!ER:FT,10,FALSE)</f>
        <v>0</v>
      </c>
      <c r="M132" s="119">
        <f>VLOOKUP(C132,'Talente &amp; Stuff'!ER:FT,11,FALSE)</f>
        <v>0</v>
      </c>
      <c r="N132" s="47">
        <f>VLOOKUP(C132,'Talente &amp; Stuff'!ER:FT,12,FALSE)</f>
        <v>0</v>
      </c>
      <c r="O132" s="47">
        <f>VLOOKUP(C132,'Talente &amp; Stuff'!ER:FT,13,FALSE)</f>
        <v>0</v>
      </c>
      <c r="P132" s="119">
        <f>VLOOKUP(C132,'Talente &amp; Stuff'!ER:FT,14,FALSE)</f>
        <v>0</v>
      </c>
      <c r="Q132" s="114">
        <f>VLOOKUP(C132,'Talente &amp; Stuff'!ER:FT,15,FALSE)</f>
        <v>0</v>
      </c>
      <c r="R132" s="113">
        <f>VLOOKUP(C132,'Talente &amp; Stuff'!ER:FT,16,FALSE)</f>
        <v>0</v>
      </c>
      <c r="S132" s="119">
        <f>VLOOKUP(C132,'Talente &amp; Stuff'!ER:FT,17,FALSE)</f>
        <v>0</v>
      </c>
      <c r="T132" s="119">
        <f>VLOOKUP(C132,'Talente &amp; Stuff'!ER:FT,18,FALSE)</f>
        <v>0</v>
      </c>
      <c r="U132" s="89">
        <f>VLOOKUP(C132,'Talente &amp; Stuff'!ER:FT,19,FALSE)</f>
        <v>0</v>
      </c>
      <c r="V132" s="47">
        <f>VLOOKUP(C132,'Talente &amp; Stuff'!ER:FT,20,FALSE)</f>
        <v>0</v>
      </c>
      <c r="W132" s="127">
        <f>VLOOKUP(C132,'Talente &amp; Stuff'!ER:FT,21,FALSE)</f>
        <v>0</v>
      </c>
      <c r="X132" s="127">
        <f>VLOOKUP(C132,'Talente &amp; Stuff'!ER:FT,22,FALSE)</f>
        <v>0</v>
      </c>
      <c r="Y132" s="165">
        <f t="shared" si="14"/>
        <v>0</v>
      </c>
      <c r="Z132" s="44">
        <f t="shared" si="15"/>
        <v>0</v>
      </c>
      <c r="AA132" s="125">
        <f>VLOOKUP(C132,'Talente &amp; Stuff'!ER:FT,25,FALSE)</f>
        <v>0</v>
      </c>
      <c r="AB132" s="160">
        <f>VLOOKUP(C132,'Talente &amp; Stuff'!ER:FT,26,FALSE)</f>
        <v>0</v>
      </c>
      <c r="AC132" s="127">
        <f>VLOOKUP(C132,'Talente &amp; Stuff'!ER:FT,27,FALSE)</f>
        <v>0</v>
      </c>
      <c r="AD132" s="125">
        <f>VLOOKUP(C132,'Talente &amp; Stuff'!ER:FT,28,FALSE)</f>
        <v>0</v>
      </c>
      <c r="AE132" s="28"/>
    </row>
    <row r="133" spans="2:31" ht="15" hidden="1" customHeight="1" outlineLevel="2">
      <c r="B133" s="148">
        <v>6</v>
      </c>
      <c r="C133" s="177" t="str">
        <f>Attribute!C133</f>
        <v>---</v>
      </c>
      <c r="D133" s="125" t="str">
        <f>VLOOKUP(C133,'Talente &amp; Stuff'!ER:FT,2,FALSE)</f>
        <v>--/--/--</v>
      </c>
      <c r="E133" s="127" t="str">
        <f>VLOOKUP(C133,'Talente &amp; Stuff'!ER:FT,3,FALSE)</f>
        <v>-</v>
      </c>
      <c r="F133" s="114">
        <f>VLOOKUP(C133,'Talente &amp; Stuff'!ER:FT,4,FALSE)</f>
        <v>0</v>
      </c>
      <c r="G133" s="113">
        <f>VLOOKUP(C133,'Talente &amp; Stuff'!ER:FT,5,FALSE)</f>
        <v>0</v>
      </c>
      <c r="H133" s="113">
        <f>VLOOKUP(C133,'Talente &amp; Stuff'!ER:FT,6,FALSE)</f>
        <v>0</v>
      </c>
      <c r="I133" s="113">
        <f>VLOOKUP(C133,'Talente &amp; Stuff'!ER:FT,7,FALSE)</f>
        <v>0</v>
      </c>
      <c r="J133" s="113">
        <f>VLOOKUP(C133,'Talente &amp; Stuff'!ER:FT,8,FALSE)</f>
        <v>0</v>
      </c>
      <c r="K133" s="113">
        <f>VLOOKUP(C133,'Talente &amp; Stuff'!ER:FT,9,FALSE)</f>
        <v>0</v>
      </c>
      <c r="L133" s="113">
        <f>VLOOKUP(C133,'Talente &amp; Stuff'!ER:FT,10,FALSE)</f>
        <v>0</v>
      </c>
      <c r="M133" s="119">
        <f>VLOOKUP(C133,'Talente &amp; Stuff'!ER:FT,11,FALSE)</f>
        <v>0</v>
      </c>
      <c r="N133" s="47">
        <f>VLOOKUP(C133,'Talente &amp; Stuff'!ER:FT,12,FALSE)</f>
        <v>0</v>
      </c>
      <c r="O133" s="47">
        <f>VLOOKUP(C133,'Talente &amp; Stuff'!ER:FT,13,FALSE)</f>
        <v>0</v>
      </c>
      <c r="P133" s="119">
        <f>VLOOKUP(C133,'Talente &amp; Stuff'!ER:FT,14,FALSE)</f>
        <v>0</v>
      </c>
      <c r="Q133" s="114">
        <f>VLOOKUP(C133,'Talente &amp; Stuff'!ER:FT,15,FALSE)</f>
        <v>0</v>
      </c>
      <c r="R133" s="113">
        <f>VLOOKUP(C133,'Talente &amp; Stuff'!ER:FT,16,FALSE)</f>
        <v>0</v>
      </c>
      <c r="S133" s="119">
        <f>VLOOKUP(C133,'Talente &amp; Stuff'!ER:FT,17,FALSE)</f>
        <v>0</v>
      </c>
      <c r="T133" s="119">
        <f>VLOOKUP(C133,'Talente &amp; Stuff'!ER:FT,18,FALSE)</f>
        <v>0</v>
      </c>
      <c r="U133" s="89">
        <f>VLOOKUP(C133,'Talente &amp; Stuff'!ER:FT,19,FALSE)</f>
        <v>0</v>
      </c>
      <c r="V133" s="47">
        <f>VLOOKUP(C133,'Talente &amp; Stuff'!ER:FT,20,FALSE)</f>
        <v>0</v>
      </c>
      <c r="W133" s="127">
        <f>VLOOKUP(C133,'Talente &amp; Stuff'!ER:FT,21,FALSE)</f>
        <v>0</v>
      </c>
      <c r="X133" s="127">
        <f>VLOOKUP(C133,'Talente &amp; Stuff'!ER:FT,22,FALSE)</f>
        <v>0</v>
      </c>
      <c r="Y133" s="165">
        <f t="shared" si="14"/>
        <v>0</v>
      </c>
      <c r="Z133" s="44">
        <f t="shared" si="15"/>
        <v>0</v>
      </c>
      <c r="AA133" s="125">
        <f>VLOOKUP(C133,'Talente &amp; Stuff'!ER:FT,25,FALSE)</f>
        <v>0</v>
      </c>
      <c r="AB133" s="160">
        <f>VLOOKUP(C133,'Talente &amp; Stuff'!ER:FT,26,FALSE)</f>
        <v>0</v>
      </c>
      <c r="AC133" s="127">
        <f>VLOOKUP(C133,'Talente &amp; Stuff'!ER:FT,27,FALSE)</f>
        <v>0</v>
      </c>
      <c r="AD133" s="125">
        <f>VLOOKUP(C133,'Talente &amp; Stuff'!ER:FT,28,FALSE)</f>
        <v>0</v>
      </c>
      <c r="AE133" s="28"/>
    </row>
    <row r="134" spans="2:31" ht="15" hidden="1" customHeight="1" outlineLevel="2">
      <c r="B134" s="148">
        <v>7</v>
      </c>
      <c r="C134" s="177" t="str">
        <f>Attribute!C134</f>
        <v>---</v>
      </c>
      <c r="D134" s="125" t="str">
        <f>VLOOKUP(C134,'Talente &amp; Stuff'!ER:FT,2,FALSE)</f>
        <v>--/--/--</v>
      </c>
      <c r="E134" s="127" t="str">
        <f>VLOOKUP(C134,'Talente &amp; Stuff'!ER:FT,3,FALSE)</f>
        <v>-</v>
      </c>
      <c r="F134" s="114">
        <f>VLOOKUP(C134,'Talente &amp; Stuff'!ER:FT,4,FALSE)</f>
        <v>0</v>
      </c>
      <c r="G134" s="113">
        <f>VLOOKUP(C134,'Talente &amp; Stuff'!ER:FT,5,FALSE)</f>
        <v>0</v>
      </c>
      <c r="H134" s="113">
        <f>VLOOKUP(C134,'Talente &amp; Stuff'!ER:FT,6,FALSE)</f>
        <v>0</v>
      </c>
      <c r="I134" s="113">
        <f>VLOOKUP(C134,'Talente &amp; Stuff'!ER:FT,7,FALSE)</f>
        <v>0</v>
      </c>
      <c r="J134" s="113">
        <f>VLOOKUP(C134,'Talente &amp; Stuff'!ER:FT,8,FALSE)</f>
        <v>0</v>
      </c>
      <c r="K134" s="113">
        <f>VLOOKUP(C134,'Talente &amp; Stuff'!ER:FT,9,FALSE)</f>
        <v>0</v>
      </c>
      <c r="L134" s="113">
        <f>VLOOKUP(C134,'Talente &amp; Stuff'!ER:FT,10,FALSE)</f>
        <v>0</v>
      </c>
      <c r="M134" s="119">
        <f>VLOOKUP(C134,'Talente &amp; Stuff'!ER:FT,11,FALSE)</f>
        <v>0</v>
      </c>
      <c r="N134" s="47">
        <f>VLOOKUP(C134,'Talente &amp; Stuff'!ER:FT,12,FALSE)</f>
        <v>0</v>
      </c>
      <c r="O134" s="47">
        <f>VLOOKUP(C134,'Talente &amp; Stuff'!ER:FT,13,FALSE)</f>
        <v>0</v>
      </c>
      <c r="P134" s="119">
        <f>VLOOKUP(C134,'Talente &amp; Stuff'!ER:FT,14,FALSE)</f>
        <v>0</v>
      </c>
      <c r="Q134" s="114">
        <f>VLOOKUP(C134,'Talente &amp; Stuff'!ER:FT,15,FALSE)</f>
        <v>0</v>
      </c>
      <c r="R134" s="113">
        <f>VLOOKUP(C134,'Talente &amp; Stuff'!ER:FT,16,FALSE)</f>
        <v>0</v>
      </c>
      <c r="S134" s="119">
        <f>VLOOKUP(C134,'Talente &amp; Stuff'!ER:FT,17,FALSE)</f>
        <v>0</v>
      </c>
      <c r="T134" s="119">
        <f>VLOOKUP(C134,'Talente &amp; Stuff'!ER:FT,18,FALSE)</f>
        <v>0</v>
      </c>
      <c r="U134" s="89">
        <f>VLOOKUP(C134,'Talente &amp; Stuff'!ER:FT,19,FALSE)</f>
        <v>0</v>
      </c>
      <c r="V134" s="47">
        <f>VLOOKUP(C134,'Talente &amp; Stuff'!ER:FT,20,FALSE)</f>
        <v>0</v>
      </c>
      <c r="W134" s="127">
        <f>VLOOKUP(C134,'Talente &amp; Stuff'!ER:FT,21,FALSE)</f>
        <v>0</v>
      </c>
      <c r="X134" s="127">
        <f>VLOOKUP(C134,'Talente &amp; Stuff'!ER:FT,22,FALSE)</f>
        <v>0</v>
      </c>
      <c r="Y134" s="165">
        <f t="shared" si="14"/>
        <v>0</v>
      </c>
      <c r="Z134" s="44">
        <f t="shared" si="15"/>
        <v>0</v>
      </c>
      <c r="AA134" s="125">
        <f>VLOOKUP(C134,'Talente &amp; Stuff'!ER:FT,25,FALSE)</f>
        <v>0</v>
      </c>
      <c r="AB134" s="160">
        <f>VLOOKUP(C134,'Talente &amp; Stuff'!ER:FT,26,FALSE)</f>
        <v>0</v>
      </c>
      <c r="AC134" s="127">
        <f>VLOOKUP(C134,'Talente &amp; Stuff'!ER:FT,27,FALSE)</f>
        <v>0</v>
      </c>
      <c r="AD134" s="125">
        <f>VLOOKUP(C134,'Talente &amp; Stuff'!ER:FT,28,FALSE)</f>
        <v>0</v>
      </c>
      <c r="AE134" s="28"/>
    </row>
    <row r="135" spans="2:31" ht="15" hidden="1" customHeight="1" outlineLevel="2">
      <c r="B135" s="148">
        <v>8</v>
      </c>
      <c r="C135" s="177" t="str">
        <f>Attribute!C135</f>
        <v>---</v>
      </c>
      <c r="D135" s="125" t="str">
        <f>VLOOKUP(C135,'Talente &amp; Stuff'!ER:FT,2,FALSE)</f>
        <v>--/--/--</v>
      </c>
      <c r="E135" s="127" t="str">
        <f>VLOOKUP(C135,'Talente &amp; Stuff'!ER:FT,3,FALSE)</f>
        <v>-</v>
      </c>
      <c r="F135" s="114">
        <f>VLOOKUP(C135,'Talente &amp; Stuff'!ER:FT,4,FALSE)</f>
        <v>0</v>
      </c>
      <c r="G135" s="113">
        <f>VLOOKUP(C135,'Talente &amp; Stuff'!ER:FT,5,FALSE)</f>
        <v>0</v>
      </c>
      <c r="H135" s="113">
        <f>VLOOKUP(C135,'Talente &amp; Stuff'!ER:FT,6,FALSE)</f>
        <v>0</v>
      </c>
      <c r="I135" s="113">
        <f>VLOOKUP(C135,'Talente &amp; Stuff'!ER:FT,7,FALSE)</f>
        <v>0</v>
      </c>
      <c r="J135" s="113">
        <f>VLOOKUP(C135,'Talente &amp; Stuff'!ER:FT,8,FALSE)</f>
        <v>0</v>
      </c>
      <c r="K135" s="113">
        <f>VLOOKUP(C135,'Talente &amp; Stuff'!ER:FT,9,FALSE)</f>
        <v>0</v>
      </c>
      <c r="L135" s="113">
        <f>VLOOKUP(C135,'Talente &amp; Stuff'!ER:FT,10,FALSE)</f>
        <v>0</v>
      </c>
      <c r="M135" s="119">
        <f>VLOOKUP(C135,'Talente &amp; Stuff'!ER:FT,11,FALSE)</f>
        <v>0</v>
      </c>
      <c r="N135" s="47">
        <f>VLOOKUP(C135,'Talente &amp; Stuff'!ER:FT,12,FALSE)</f>
        <v>0</v>
      </c>
      <c r="O135" s="47">
        <f>VLOOKUP(C135,'Talente &amp; Stuff'!ER:FT,13,FALSE)</f>
        <v>0</v>
      </c>
      <c r="P135" s="119">
        <f>VLOOKUP(C135,'Talente &amp; Stuff'!ER:FT,14,FALSE)</f>
        <v>0</v>
      </c>
      <c r="Q135" s="114">
        <f>VLOOKUP(C135,'Talente &amp; Stuff'!ER:FT,15,FALSE)</f>
        <v>0</v>
      </c>
      <c r="R135" s="113">
        <f>VLOOKUP(C135,'Talente &amp; Stuff'!ER:FT,16,FALSE)</f>
        <v>0</v>
      </c>
      <c r="S135" s="119">
        <f>VLOOKUP(C135,'Talente &amp; Stuff'!ER:FT,17,FALSE)</f>
        <v>0</v>
      </c>
      <c r="T135" s="119">
        <f>VLOOKUP(C135,'Talente &amp; Stuff'!ER:FT,18,FALSE)</f>
        <v>0</v>
      </c>
      <c r="U135" s="89">
        <f>VLOOKUP(C135,'Talente &amp; Stuff'!ER:FT,19,FALSE)</f>
        <v>0</v>
      </c>
      <c r="V135" s="47">
        <f>VLOOKUP(C135,'Talente &amp; Stuff'!ER:FT,20,FALSE)</f>
        <v>0</v>
      </c>
      <c r="W135" s="127">
        <f>VLOOKUP(C135,'Talente &amp; Stuff'!ER:FT,21,FALSE)</f>
        <v>0</v>
      </c>
      <c r="X135" s="127">
        <f>VLOOKUP(C135,'Talente &amp; Stuff'!ER:FT,22,FALSE)</f>
        <v>0</v>
      </c>
      <c r="Y135" s="165">
        <f t="shared" si="14"/>
        <v>0</v>
      </c>
      <c r="Z135" s="44">
        <f t="shared" si="15"/>
        <v>0</v>
      </c>
      <c r="AA135" s="125">
        <f>VLOOKUP(C135,'Talente &amp; Stuff'!ER:FT,25,FALSE)</f>
        <v>0</v>
      </c>
      <c r="AB135" s="160">
        <f>VLOOKUP(C135,'Talente &amp; Stuff'!ER:FT,26,FALSE)</f>
        <v>0</v>
      </c>
      <c r="AC135" s="127">
        <f>VLOOKUP(C135,'Talente &amp; Stuff'!ER:FT,27,FALSE)</f>
        <v>0</v>
      </c>
      <c r="AD135" s="125">
        <f>VLOOKUP(C135,'Talente &amp; Stuff'!ER:FT,28,FALSE)</f>
        <v>0</v>
      </c>
      <c r="AE135" s="28"/>
    </row>
    <row r="136" spans="2:31" ht="15" hidden="1" customHeight="1" outlineLevel="2">
      <c r="B136" s="148">
        <v>9</v>
      </c>
      <c r="C136" s="177" t="str">
        <f>Attribute!C136</f>
        <v>---</v>
      </c>
      <c r="D136" s="125" t="str">
        <f>VLOOKUP(C136,'Talente &amp; Stuff'!ER:FT,2,FALSE)</f>
        <v>--/--/--</v>
      </c>
      <c r="E136" s="127" t="str">
        <f>VLOOKUP(C136,'Talente &amp; Stuff'!ER:FT,3,FALSE)</f>
        <v>-</v>
      </c>
      <c r="F136" s="114">
        <f>VLOOKUP(C136,'Talente &amp; Stuff'!ER:FT,4,FALSE)</f>
        <v>0</v>
      </c>
      <c r="G136" s="113">
        <f>VLOOKUP(C136,'Talente &amp; Stuff'!ER:FT,5,FALSE)</f>
        <v>0</v>
      </c>
      <c r="H136" s="113">
        <f>VLOOKUP(C136,'Talente &amp; Stuff'!ER:FT,6,FALSE)</f>
        <v>0</v>
      </c>
      <c r="I136" s="113">
        <f>VLOOKUP(C136,'Talente &amp; Stuff'!ER:FT,7,FALSE)</f>
        <v>0</v>
      </c>
      <c r="J136" s="113">
        <f>VLOOKUP(C136,'Talente &amp; Stuff'!ER:FT,8,FALSE)</f>
        <v>0</v>
      </c>
      <c r="K136" s="113">
        <f>VLOOKUP(C136,'Talente &amp; Stuff'!ER:FT,9,FALSE)</f>
        <v>0</v>
      </c>
      <c r="L136" s="113">
        <f>VLOOKUP(C136,'Talente &amp; Stuff'!ER:FT,10,FALSE)</f>
        <v>0</v>
      </c>
      <c r="M136" s="119">
        <f>VLOOKUP(C136,'Talente &amp; Stuff'!ER:FT,11,FALSE)</f>
        <v>0</v>
      </c>
      <c r="N136" s="47">
        <f>VLOOKUP(C136,'Talente &amp; Stuff'!ER:FT,12,FALSE)</f>
        <v>0</v>
      </c>
      <c r="O136" s="47">
        <f>VLOOKUP(C136,'Talente &amp; Stuff'!ER:FT,13,FALSE)</f>
        <v>0</v>
      </c>
      <c r="P136" s="119">
        <f>VLOOKUP(C136,'Talente &amp; Stuff'!ER:FT,14,FALSE)</f>
        <v>0</v>
      </c>
      <c r="Q136" s="114">
        <f>VLOOKUP(C136,'Talente &amp; Stuff'!ER:FT,15,FALSE)</f>
        <v>0</v>
      </c>
      <c r="R136" s="113">
        <f>VLOOKUP(C136,'Talente &amp; Stuff'!ER:FT,16,FALSE)</f>
        <v>0</v>
      </c>
      <c r="S136" s="119">
        <f>VLOOKUP(C136,'Talente &amp; Stuff'!ER:FT,17,FALSE)</f>
        <v>0</v>
      </c>
      <c r="T136" s="119">
        <f>VLOOKUP(C136,'Talente &amp; Stuff'!ER:FT,18,FALSE)</f>
        <v>0</v>
      </c>
      <c r="U136" s="89">
        <f>VLOOKUP(C136,'Talente &amp; Stuff'!ER:FT,19,FALSE)</f>
        <v>0</v>
      </c>
      <c r="V136" s="47">
        <f>VLOOKUP(C136,'Talente &amp; Stuff'!ER:FT,20,FALSE)</f>
        <v>0</v>
      </c>
      <c r="W136" s="127">
        <f>VLOOKUP(C136,'Talente &amp; Stuff'!ER:FT,21,FALSE)</f>
        <v>0</v>
      </c>
      <c r="X136" s="127">
        <f>VLOOKUP(C136,'Talente &amp; Stuff'!ER:FT,22,FALSE)</f>
        <v>0</v>
      </c>
      <c r="Y136" s="165">
        <f t="shared" si="14"/>
        <v>0</v>
      </c>
      <c r="Z136" s="44">
        <f t="shared" si="15"/>
        <v>0</v>
      </c>
      <c r="AA136" s="125">
        <f>VLOOKUP(C136,'Talente &amp; Stuff'!ER:FT,25,FALSE)</f>
        <v>0</v>
      </c>
      <c r="AB136" s="160">
        <f>VLOOKUP(C136,'Talente &amp; Stuff'!ER:FT,26,FALSE)</f>
        <v>0</v>
      </c>
      <c r="AC136" s="127">
        <f>VLOOKUP(C136,'Talente &amp; Stuff'!ER:FT,27,FALSE)</f>
        <v>0</v>
      </c>
      <c r="AD136" s="125">
        <f>VLOOKUP(C136,'Talente &amp; Stuff'!ER:FT,28,FALSE)</f>
        <v>0</v>
      </c>
      <c r="AE136" s="28"/>
    </row>
    <row r="137" spans="2:31" ht="15" hidden="1" customHeight="1" outlineLevel="2">
      <c r="B137" s="148">
        <v>10</v>
      </c>
      <c r="C137" s="177" t="str">
        <f>Attribute!C137</f>
        <v>---</v>
      </c>
      <c r="D137" s="125" t="str">
        <f>VLOOKUP(C137,'Talente &amp; Stuff'!ER:FT,2,FALSE)</f>
        <v>--/--/--</v>
      </c>
      <c r="E137" s="127" t="str">
        <f>VLOOKUP(C137,'Talente &amp; Stuff'!ER:FT,3,FALSE)</f>
        <v>-</v>
      </c>
      <c r="F137" s="114">
        <f>VLOOKUP(C137,'Talente &amp; Stuff'!ER:FT,4,FALSE)</f>
        <v>0</v>
      </c>
      <c r="G137" s="113">
        <f>VLOOKUP(C137,'Talente &amp; Stuff'!ER:FT,5,FALSE)</f>
        <v>0</v>
      </c>
      <c r="H137" s="113">
        <f>VLOOKUP(C137,'Talente &amp; Stuff'!ER:FT,6,FALSE)</f>
        <v>0</v>
      </c>
      <c r="I137" s="113">
        <f>VLOOKUP(C137,'Talente &amp; Stuff'!ER:FT,7,FALSE)</f>
        <v>0</v>
      </c>
      <c r="J137" s="113">
        <f>VLOOKUP(C137,'Talente &amp; Stuff'!ER:FT,8,FALSE)</f>
        <v>0</v>
      </c>
      <c r="K137" s="113">
        <f>VLOOKUP(C137,'Talente &amp; Stuff'!ER:FT,9,FALSE)</f>
        <v>0</v>
      </c>
      <c r="L137" s="113">
        <f>VLOOKUP(C137,'Talente &amp; Stuff'!ER:FT,10,FALSE)</f>
        <v>0</v>
      </c>
      <c r="M137" s="119">
        <f>VLOOKUP(C137,'Talente &amp; Stuff'!ER:FT,11,FALSE)</f>
        <v>0</v>
      </c>
      <c r="N137" s="47">
        <f>VLOOKUP(C137,'Talente &amp; Stuff'!ER:FT,12,FALSE)</f>
        <v>0</v>
      </c>
      <c r="O137" s="47">
        <f>VLOOKUP(C137,'Talente &amp; Stuff'!ER:FT,13,FALSE)</f>
        <v>0</v>
      </c>
      <c r="P137" s="119">
        <f>VLOOKUP(C137,'Talente &amp; Stuff'!ER:FT,14,FALSE)</f>
        <v>0</v>
      </c>
      <c r="Q137" s="114">
        <f>VLOOKUP(C137,'Talente &amp; Stuff'!ER:FT,15,FALSE)</f>
        <v>0</v>
      </c>
      <c r="R137" s="113">
        <f>VLOOKUP(C137,'Talente &amp; Stuff'!ER:FT,16,FALSE)</f>
        <v>0</v>
      </c>
      <c r="S137" s="119">
        <f>VLOOKUP(C137,'Talente &amp; Stuff'!ER:FT,17,FALSE)</f>
        <v>0</v>
      </c>
      <c r="T137" s="119">
        <f>VLOOKUP(C137,'Talente &amp; Stuff'!ER:FT,18,FALSE)</f>
        <v>0</v>
      </c>
      <c r="U137" s="89">
        <f>VLOOKUP(C137,'Talente &amp; Stuff'!ER:FT,19,FALSE)</f>
        <v>0</v>
      </c>
      <c r="V137" s="47">
        <f>VLOOKUP(C137,'Talente &amp; Stuff'!ER:FT,20,FALSE)</f>
        <v>0</v>
      </c>
      <c r="W137" s="127">
        <f>VLOOKUP(C137,'Talente &amp; Stuff'!ER:FT,21,FALSE)</f>
        <v>0</v>
      </c>
      <c r="X137" s="127">
        <f>VLOOKUP(C137,'Talente &amp; Stuff'!ER:FT,22,FALSE)</f>
        <v>0</v>
      </c>
      <c r="Y137" s="165">
        <f t="shared" si="14"/>
        <v>0</v>
      </c>
      <c r="Z137" s="44">
        <f t="shared" si="15"/>
        <v>0</v>
      </c>
      <c r="AA137" s="125">
        <f>VLOOKUP(C137,'Talente &amp; Stuff'!ER:FT,25,FALSE)</f>
        <v>0</v>
      </c>
      <c r="AB137" s="160">
        <f>VLOOKUP(C137,'Talente &amp; Stuff'!ER:FT,26,FALSE)</f>
        <v>0</v>
      </c>
      <c r="AC137" s="127">
        <f>VLOOKUP(C137,'Talente &amp; Stuff'!ER:FT,27,FALSE)</f>
        <v>0</v>
      </c>
      <c r="AD137" s="125">
        <f>VLOOKUP(C137,'Talente &amp; Stuff'!ER:FT,28,FALSE)</f>
        <v>0</v>
      </c>
      <c r="AE137" s="28"/>
    </row>
    <row r="138" spans="2:31" ht="15" hidden="1" customHeight="1" outlineLevel="2">
      <c r="B138" s="148">
        <v>11</v>
      </c>
      <c r="C138" s="177" t="str">
        <f>Attribute!C138</f>
        <v>---</v>
      </c>
      <c r="D138" s="125" t="str">
        <f>VLOOKUP(C138,'Talente &amp; Stuff'!ER:FT,2,FALSE)</f>
        <v>--/--/--</v>
      </c>
      <c r="E138" s="127" t="str">
        <f>VLOOKUP(C138,'Talente &amp; Stuff'!ER:FT,3,FALSE)</f>
        <v>-</v>
      </c>
      <c r="F138" s="114">
        <f>VLOOKUP(C138,'Talente &amp; Stuff'!ER:FT,4,FALSE)</f>
        <v>0</v>
      </c>
      <c r="G138" s="113">
        <f>VLOOKUP(C138,'Talente &amp; Stuff'!ER:FT,5,FALSE)</f>
        <v>0</v>
      </c>
      <c r="H138" s="113">
        <f>VLOOKUP(C138,'Talente &amp; Stuff'!ER:FT,6,FALSE)</f>
        <v>0</v>
      </c>
      <c r="I138" s="113">
        <f>VLOOKUP(C138,'Talente &amp; Stuff'!ER:FT,7,FALSE)</f>
        <v>0</v>
      </c>
      <c r="J138" s="113">
        <f>VLOOKUP(C138,'Talente &amp; Stuff'!ER:FT,8,FALSE)</f>
        <v>0</v>
      </c>
      <c r="K138" s="113">
        <f>VLOOKUP(C138,'Talente &amp; Stuff'!ER:FT,9,FALSE)</f>
        <v>0</v>
      </c>
      <c r="L138" s="113">
        <f>VLOOKUP(C138,'Talente &amp; Stuff'!ER:FT,10,FALSE)</f>
        <v>0</v>
      </c>
      <c r="M138" s="119">
        <f>VLOOKUP(C138,'Talente &amp; Stuff'!ER:FT,11,FALSE)</f>
        <v>0</v>
      </c>
      <c r="N138" s="47">
        <f>VLOOKUP(C138,'Talente &amp; Stuff'!ER:FT,12,FALSE)</f>
        <v>0</v>
      </c>
      <c r="O138" s="47">
        <f>VLOOKUP(C138,'Talente &amp; Stuff'!ER:FT,13,FALSE)</f>
        <v>0</v>
      </c>
      <c r="P138" s="119">
        <f>VLOOKUP(C138,'Talente &amp; Stuff'!ER:FT,14,FALSE)</f>
        <v>0</v>
      </c>
      <c r="Q138" s="114">
        <f>VLOOKUP(C138,'Talente &amp; Stuff'!ER:FT,15,FALSE)</f>
        <v>0</v>
      </c>
      <c r="R138" s="113">
        <f>VLOOKUP(C138,'Talente &amp; Stuff'!ER:FT,16,FALSE)</f>
        <v>0</v>
      </c>
      <c r="S138" s="119">
        <f>VLOOKUP(C138,'Talente &amp; Stuff'!ER:FT,17,FALSE)</f>
        <v>0</v>
      </c>
      <c r="T138" s="119">
        <f>VLOOKUP(C138,'Talente &amp; Stuff'!ER:FT,18,FALSE)</f>
        <v>0</v>
      </c>
      <c r="U138" s="89">
        <f>VLOOKUP(C138,'Talente &amp; Stuff'!ER:FT,19,FALSE)</f>
        <v>0</v>
      </c>
      <c r="V138" s="47">
        <f>VLOOKUP(C138,'Talente &amp; Stuff'!ER:FT,20,FALSE)</f>
        <v>0</v>
      </c>
      <c r="W138" s="127">
        <f>VLOOKUP(C138,'Talente &amp; Stuff'!ER:FT,21,FALSE)</f>
        <v>0</v>
      </c>
      <c r="X138" s="127">
        <f>VLOOKUP(C138,'Talente &amp; Stuff'!ER:FT,22,FALSE)</f>
        <v>0</v>
      </c>
      <c r="Y138" s="165">
        <f t="shared" si="14"/>
        <v>0</v>
      </c>
      <c r="Z138" s="44">
        <f t="shared" si="15"/>
        <v>0</v>
      </c>
      <c r="AA138" s="125">
        <f>VLOOKUP(C138,'Talente &amp; Stuff'!ER:FT,25,FALSE)</f>
        <v>0</v>
      </c>
      <c r="AB138" s="160">
        <f>VLOOKUP(C138,'Talente &amp; Stuff'!ER:FT,26,FALSE)</f>
        <v>0</v>
      </c>
      <c r="AC138" s="127">
        <f>VLOOKUP(C138,'Talente &amp; Stuff'!ER:FT,27,FALSE)</f>
        <v>0</v>
      </c>
      <c r="AD138" s="125">
        <f>VLOOKUP(C138,'Talente &amp; Stuff'!ER:FT,28,FALSE)</f>
        <v>0</v>
      </c>
      <c r="AE138" s="28"/>
    </row>
    <row r="139" spans="2:31" ht="15" hidden="1" customHeight="1" outlineLevel="2">
      <c r="B139" s="148">
        <v>12</v>
      </c>
      <c r="C139" s="177" t="str">
        <f>Attribute!C139</f>
        <v>---</v>
      </c>
      <c r="D139" s="125" t="str">
        <f>VLOOKUP(C139,'Talente &amp; Stuff'!ER:FT,2,FALSE)</f>
        <v>--/--/--</v>
      </c>
      <c r="E139" s="127" t="str">
        <f>VLOOKUP(C139,'Talente &amp; Stuff'!ER:FT,3,FALSE)</f>
        <v>-</v>
      </c>
      <c r="F139" s="114">
        <f>VLOOKUP(C139,'Talente &amp; Stuff'!ER:FT,4,FALSE)</f>
        <v>0</v>
      </c>
      <c r="G139" s="113">
        <f>VLOOKUP(C139,'Talente &amp; Stuff'!ER:FT,5,FALSE)</f>
        <v>0</v>
      </c>
      <c r="H139" s="113">
        <f>VLOOKUP(C139,'Talente &amp; Stuff'!ER:FT,6,FALSE)</f>
        <v>0</v>
      </c>
      <c r="I139" s="113">
        <f>VLOOKUP(C139,'Talente &amp; Stuff'!ER:FT,7,FALSE)</f>
        <v>0</v>
      </c>
      <c r="J139" s="113">
        <f>VLOOKUP(C139,'Talente &amp; Stuff'!ER:FT,8,FALSE)</f>
        <v>0</v>
      </c>
      <c r="K139" s="113">
        <f>VLOOKUP(C139,'Talente &amp; Stuff'!ER:FT,9,FALSE)</f>
        <v>0</v>
      </c>
      <c r="L139" s="113">
        <f>VLOOKUP(C139,'Talente &amp; Stuff'!ER:FT,10,FALSE)</f>
        <v>0</v>
      </c>
      <c r="M139" s="119">
        <f>VLOOKUP(C139,'Talente &amp; Stuff'!ER:FT,11,FALSE)</f>
        <v>0</v>
      </c>
      <c r="N139" s="47">
        <f>VLOOKUP(C139,'Talente &amp; Stuff'!ER:FT,12,FALSE)</f>
        <v>0</v>
      </c>
      <c r="O139" s="47">
        <f>VLOOKUP(C139,'Talente &amp; Stuff'!ER:FT,13,FALSE)</f>
        <v>0</v>
      </c>
      <c r="P139" s="119">
        <f>VLOOKUP(C139,'Talente &amp; Stuff'!ER:FT,14,FALSE)</f>
        <v>0</v>
      </c>
      <c r="Q139" s="114">
        <f>VLOOKUP(C139,'Talente &amp; Stuff'!ER:FT,15,FALSE)</f>
        <v>0</v>
      </c>
      <c r="R139" s="113">
        <f>VLOOKUP(C139,'Talente &amp; Stuff'!ER:FT,16,FALSE)</f>
        <v>0</v>
      </c>
      <c r="S139" s="119">
        <f>VLOOKUP(C139,'Talente &amp; Stuff'!ER:FT,17,FALSE)</f>
        <v>0</v>
      </c>
      <c r="T139" s="119">
        <f>VLOOKUP(C139,'Talente &amp; Stuff'!ER:FT,18,FALSE)</f>
        <v>0</v>
      </c>
      <c r="U139" s="89">
        <f>VLOOKUP(C139,'Talente &amp; Stuff'!ER:FT,19,FALSE)</f>
        <v>0</v>
      </c>
      <c r="V139" s="47">
        <f>VLOOKUP(C139,'Talente &amp; Stuff'!ER:FT,20,FALSE)</f>
        <v>0</v>
      </c>
      <c r="W139" s="127">
        <f>VLOOKUP(C139,'Talente &amp; Stuff'!ER:FT,21,FALSE)</f>
        <v>0</v>
      </c>
      <c r="X139" s="127">
        <f>VLOOKUP(C139,'Talente &amp; Stuff'!ER:FT,22,FALSE)</f>
        <v>0</v>
      </c>
      <c r="Y139" s="165">
        <f t="shared" si="14"/>
        <v>0</v>
      </c>
      <c r="Z139" s="44">
        <f t="shared" si="15"/>
        <v>0</v>
      </c>
      <c r="AA139" s="125">
        <f>VLOOKUP(C139,'Talente &amp; Stuff'!ER:FT,25,FALSE)</f>
        <v>0</v>
      </c>
      <c r="AB139" s="160">
        <f>VLOOKUP(C139,'Talente &amp; Stuff'!ER:FT,26,FALSE)</f>
        <v>0</v>
      </c>
      <c r="AC139" s="127">
        <f>VLOOKUP(C139,'Talente &amp; Stuff'!ER:FT,27,FALSE)</f>
        <v>0</v>
      </c>
      <c r="AD139" s="125">
        <f>VLOOKUP(C139,'Talente &amp; Stuff'!ER:FT,28,FALSE)</f>
        <v>0</v>
      </c>
      <c r="AE139" s="28"/>
    </row>
    <row r="140" spans="2:31" ht="15" hidden="1" customHeight="1" outlineLevel="2">
      <c r="B140" s="148">
        <v>13</v>
      </c>
      <c r="C140" s="177" t="str">
        <f>Attribute!C140</f>
        <v>---</v>
      </c>
      <c r="D140" s="125" t="str">
        <f>VLOOKUP(C140,'Talente &amp; Stuff'!ER:FT,2,FALSE)</f>
        <v>--/--/--</v>
      </c>
      <c r="E140" s="127" t="str">
        <f>VLOOKUP(C140,'Talente &amp; Stuff'!ER:FT,3,FALSE)</f>
        <v>-</v>
      </c>
      <c r="F140" s="114">
        <f>VLOOKUP(C140,'Talente &amp; Stuff'!ER:FT,4,FALSE)</f>
        <v>0</v>
      </c>
      <c r="G140" s="113">
        <f>VLOOKUP(C140,'Talente &amp; Stuff'!ER:FT,5,FALSE)</f>
        <v>0</v>
      </c>
      <c r="H140" s="113">
        <f>VLOOKUP(C140,'Talente &amp; Stuff'!ER:FT,6,FALSE)</f>
        <v>0</v>
      </c>
      <c r="I140" s="113">
        <f>VLOOKUP(C140,'Talente &amp; Stuff'!ER:FT,7,FALSE)</f>
        <v>0</v>
      </c>
      <c r="J140" s="113">
        <f>VLOOKUP(C140,'Talente &amp; Stuff'!ER:FT,8,FALSE)</f>
        <v>0</v>
      </c>
      <c r="K140" s="113">
        <f>VLOOKUP(C140,'Talente &amp; Stuff'!ER:FT,9,FALSE)</f>
        <v>0</v>
      </c>
      <c r="L140" s="113">
        <f>VLOOKUP(C140,'Talente &amp; Stuff'!ER:FT,10,FALSE)</f>
        <v>0</v>
      </c>
      <c r="M140" s="119">
        <f>VLOOKUP(C140,'Talente &amp; Stuff'!ER:FT,11,FALSE)</f>
        <v>0</v>
      </c>
      <c r="N140" s="47">
        <f>VLOOKUP(C140,'Talente &amp; Stuff'!ER:FT,12,FALSE)</f>
        <v>0</v>
      </c>
      <c r="O140" s="47">
        <f>VLOOKUP(C140,'Talente &amp; Stuff'!ER:FT,13,FALSE)</f>
        <v>0</v>
      </c>
      <c r="P140" s="119">
        <f>VLOOKUP(C140,'Talente &amp; Stuff'!ER:FT,14,FALSE)</f>
        <v>0</v>
      </c>
      <c r="Q140" s="114">
        <f>VLOOKUP(C140,'Talente &amp; Stuff'!ER:FT,15,FALSE)</f>
        <v>0</v>
      </c>
      <c r="R140" s="113">
        <f>VLOOKUP(C140,'Talente &amp; Stuff'!ER:FT,16,FALSE)</f>
        <v>0</v>
      </c>
      <c r="S140" s="119">
        <f>VLOOKUP(C140,'Talente &amp; Stuff'!ER:FT,17,FALSE)</f>
        <v>0</v>
      </c>
      <c r="T140" s="119">
        <f>VLOOKUP(C140,'Talente &amp; Stuff'!ER:FT,18,FALSE)</f>
        <v>0</v>
      </c>
      <c r="U140" s="89">
        <f>VLOOKUP(C140,'Talente &amp; Stuff'!ER:FT,19,FALSE)</f>
        <v>0</v>
      </c>
      <c r="V140" s="47">
        <f>VLOOKUP(C140,'Talente &amp; Stuff'!ER:FT,20,FALSE)</f>
        <v>0</v>
      </c>
      <c r="W140" s="127">
        <f>VLOOKUP(C140,'Talente &amp; Stuff'!ER:FT,21,FALSE)</f>
        <v>0</v>
      </c>
      <c r="X140" s="127">
        <f>VLOOKUP(C140,'Talente &amp; Stuff'!ER:FT,22,FALSE)</f>
        <v>0</v>
      </c>
      <c r="Y140" s="165">
        <f t="shared" si="14"/>
        <v>0</v>
      </c>
      <c r="Z140" s="44">
        <f t="shared" si="15"/>
        <v>0</v>
      </c>
      <c r="AA140" s="125">
        <f>VLOOKUP(C140,'Talente &amp; Stuff'!ER:FT,25,FALSE)</f>
        <v>0</v>
      </c>
      <c r="AB140" s="160">
        <f>VLOOKUP(C140,'Talente &amp; Stuff'!ER:FT,26,FALSE)</f>
        <v>0</v>
      </c>
      <c r="AC140" s="127">
        <f>VLOOKUP(C140,'Talente &amp; Stuff'!ER:FT,27,FALSE)</f>
        <v>0</v>
      </c>
      <c r="AD140" s="125">
        <f>VLOOKUP(C140,'Talente &amp; Stuff'!ER:FT,28,FALSE)</f>
        <v>0</v>
      </c>
      <c r="AE140" s="28"/>
    </row>
    <row r="141" spans="2:31" ht="15" hidden="1" customHeight="1" outlineLevel="2">
      <c r="B141" s="148">
        <v>14</v>
      </c>
      <c r="C141" s="177" t="str">
        <f>Attribute!C141</f>
        <v>---</v>
      </c>
      <c r="D141" s="125" t="str">
        <f>VLOOKUP(C141,'Talente &amp; Stuff'!ER:FT,2,FALSE)</f>
        <v>--/--/--</v>
      </c>
      <c r="E141" s="127" t="str">
        <f>VLOOKUP(C141,'Talente &amp; Stuff'!ER:FT,3,FALSE)</f>
        <v>-</v>
      </c>
      <c r="F141" s="114">
        <f>VLOOKUP(C141,'Talente &amp; Stuff'!ER:FT,4,FALSE)</f>
        <v>0</v>
      </c>
      <c r="G141" s="113">
        <f>VLOOKUP(C141,'Talente &amp; Stuff'!ER:FT,5,FALSE)</f>
        <v>0</v>
      </c>
      <c r="H141" s="113">
        <f>VLOOKUP(C141,'Talente &amp; Stuff'!ER:FT,6,FALSE)</f>
        <v>0</v>
      </c>
      <c r="I141" s="113">
        <f>VLOOKUP(C141,'Talente &amp; Stuff'!ER:FT,7,FALSE)</f>
        <v>0</v>
      </c>
      <c r="J141" s="113">
        <f>VLOOKUP(C141,'Talente &amp; Stuff'!ER:FT,8,FALSE)</f>
        <v>0</v>
      </c>
      <c r="K141" s="113">
        <f>VLOOKUP(C141,'Talente &amp; Stuff'!ER:FT,9,FALSE)</f>
        <v>0</v>
      </c>
      <c r="L141" s="113">
        <f>VLOOKUP(C141,'Talente &amp; Stuff'!ER:FT,10,FALSE)</f>
        <v>0</v>
      </c>
      <c r="M141" s="119">
        <f>VLOOKUP(C141,'Talente &amp; Stuff'!ER:FT,11,FALSE)</f>
        <v>0</v>
      </c>
      <c r="N141" s="47">
        <f>VLOOKUP(C141,'Talente &amp; Stuff'!ER:FT,12,FALSE)</f>
        <v>0</v>
      </c>
      <c r="O141" s="47">
        <f>VLOOKUP(C141,'Talente &amp; Stuff'!ER:FT,13,FALSE)</f>
        <v>0</v>
      </c>
      <c r="P141" s="119">
        <f>VLOOKUP(C141,'Talente &amp; Stuff'!ER:FT,14,FALSE)</f>
        <v>0</v>
      </c>
      <c r="Q141" s="114">
        <f>VLOOKUP(C141,'Talente &amp; Stuff'!ER:FT,15,FALSE)</f>
        <v>0</v>
      </c>
      <c r="R141" s="113">
        <f>VLOOKUP(C141,'Talente &amp; Stuff'!ER:FT,16,FALSE)</f>
        <v>0</v>
      </c>
      <c r="S141" s="119">
        <f>VLOOKUP(C141,'Talente &amp; Stuff'!ER:FT,17,FALSE)</f>
        <v>0</v>
      </c>
      <c r="T141" s="119">
        <f>VLOOKUP(C141,'Talente &amp; Stuff'!ER:FT,18,FALSE)</f>
        <v>0</v>
      </c>
      <c r="U141" s="89">
        <f>VLOOKUP(C141,'Talente &amp; Stuff'!ER:FT,19,FALSE)</f>
        <v>0</v>
      </c>
      <c r="V141" s="47">
        <f>VLOOKUP(C141,'Talente &amp; Stuff'!ER:FT,20,FALSE)</f>
        <v>0</v>
      </c>
      <c r="W141" s="127">
        <f>VLOOKUP(C141,'Talente &amp; Stuff'!ER:FT,21,FALSE)</f>
        <v>0</v>
      </c>
      <c r="X141" s="127">
        <f>VLOOKUP(C141,'Talente &amp; Stuff'!ER:FT,22,FALSE)</f>
        <v>0</v>
      </c>
      <c r="Y141" s="165">
        <f t="shared" si="14"/>
        <v>0</v>
      </c>
      <c r="Z141" s="44">
        <f t="shared" si="15"/>
        <v>0</v>
      </c>
      <c r="AA141" s="125">
        <f>VLOOKUP(C141,'Talente &amp; Stuff'!ER:FT,25,FALSE)</f>
        <v>0</v>
      </c>
      <c r="AB141" s="160">
        <f>VLOOKUP(C141,'Talente &amp; Stuff'!ER:FT,26,FALSE)</f>
        <v>0</v>
      </c>
      <c r="AC141" s="127">
        <f>VLOOKUP(C141,'Talente &amp; Stuff'!ER:FT,27,FALSE)</f>
        <v>0</v>
      </c>
      <c r="AD141" s="125">
        <f>VLOOKUP(C141,'Talente &amp; Stuff'!ER:FT,28,FALSE)</f>
        <v>0</v>
      </c>
      <c r="AE141" s="28"/>
    </row>
    <row r="142" spans="2:31" ht="15" hidden="1" customHeight="1" outlineLevel="2">
      <c r="B142" s="148">
        <v>15</v>
      </c>
      <c r="C142" s="177" t="str">
        <f>Attribute!C142</f>
        <v>---</v>
      </c>
      <c r="D142" s="125" t="str">
        <f>VLOOKUP(C142,'Talente &amp; Stuff'!ER:FT,2,FALSE)</f>
        <v>--/--/--</v>
      </c>
      <c r="E142" s="127" t="str">
        <f>VLOOKUP(C142,'Talente &amp; Stuff'!ER:FT,3,FALSE)</f>
        <v>-</v>
      </c>
      <c r="F142" s="114">
        <f>VLOOKUP(C142,'Talente &amp; Stuff'!ER:FT,4,FALSE)</f>
        <v>0</v>
      </c>
      <c r="G142" s="113">
        <f>VLOOKUP(C142,'Talente &amp; Stuff'!ER:FT,5,FALSE)</f>
        <v>0</v>
      </c>
      <c r="H142" s="113">
        <f>VLOOKUP(C142,'Talente &amp; Stuff'!ER:FT,6,FALSE)</f>
        <v>0</v>
      </c>
      <c r="I142" s="113">
        <f>VLOOKUP(C142,'Talente &amp; Stuff'!ER:FT,7,FALSE)</f>
        <v>0</v>
      </c>
      <c r="J142" s="113">
        <f>VLOOKUP(C142,'Talente &amp; Stuff'!ER:FT,8,FALSE)</f>
        <v>0</v>
      </c>
      <c r="K142" s="113">
        <f>VLOOKUP(C142,'Talente &amp; Stuff'!ER:FT,9,FALSE)</f>
        <v>0</v>
      </c>
      <c r="L142" s="113">
        <f>VLOOKUP(C142,'Talente &amp; Stuff'!ER:FT,10,FALSE)</f>
        <v>0</v>
      </c>
      <c r="M142" s="119">
        <f>VLOOKUP(C142,'Talente &amp; Stuff'!ER:FT,11,FALSE)</f>
        <v>0</v>
      </c>
      <c r="N142" s="47">
        <f>VLOOKUP(C142,'Talente &amp; Stuff'!ER:FT,12,FALSE)</f>
        <v>0</v>
      </c>
      <c r="O142" s="47">
        <f>VLOOKUP(C142,'Talente &amp; Stuff'!ER:FT,13,FALSE)</f>
        <v>0</v>
      </c>
      <c r="P142" s="119">
        <f>VLOOKUP(C142,'Talente &amp; Stuff'!ER:FT,14,FALSE)</f>
        <v>0</v>
      </c>
      <c r="Q142" s="114">
        <f>VLOOKUP(C142,'Talente &amp; Stuff'!ER:FT,15,FALSE)</f>
        <v>0</v>
      </c>
      <c r="R142" s="113">
        <f>VLOOKUP(C142,'Talente &amp; Stuff'!ER:FT,16,FALSE)</f>
        <v>0</v>
      </c>
      <c r="S142" s="119">
        <f>VLOOKUP(C142,'Talente &amp; Stuff'!ER:FT,17,FALSE)</f>
        <v>0</v>
      </c>
      <c r="T142" s="119">
        <f>VLOOKUP(C142,'Talente &amp; Stuff'!ER:FT,18,FALSE)</f>
        <v>0</v>
      </c>
      <c r="U142" s="89">
        <f>VLOOKUP(C142,'Talente &amp; Stuff'!ER:FT,19,FALSE)</f>
        <v>0</v>
      </c>
      <c r="V142" s="47">
        <f>VLOOKUP(C142,'Talente &amp; Stuff'!ER:FT,20,FALSE)</f>
        <v>0</v>
      </c>
      <c r="W142" s="127">
        <f>VLOOKUP(C142,'Talente &amp; Stuff'!ER:FT,21,FALSE)</f>
        <v>0</v>
      </c>
      <c r="X142" s="127">
        <f>VLOOKUP(C142,'Talente &amp; Stuff'!ER:FT,22,FALSE)</f>
        <v>0</v>
      </c>
      <c r="Y142" s="165">
        <f t="shared" si="14"/>
        <v>0</v>
      </c>
      <c r="Z142" s="44">
        <f t="shared" si="15"/>
        <v>0</v>
      </c>
      <c r="AA142" s="125">
        <f>VLOOKUP(C142,'Talente &amp; Stuff'!ER:FT,25,FALSE)</f>
        <v>0</v>
      </c>
      <c r="AB142" s="160">
        <f>VLOOKUP(C142,'Talente &amp; Stuff'!ER:FT,26,FALSE)</f>
        <v>0</v>
      </c>
      <c r="AC142" s="127">
        <f>VLOOKUP(C142,'Talente &amp; Stuff'!ER:FT,27,FALSE)</f>
        <v>0</v>
      </c>
      <c r="AD142" s="125">
        <f>VLOOKUP(C142,'Talente &amp; Stuff'!ER:FT,28,FALSE)</f>
        <v>0</v>
      </c>
      <c r="AE142" s="28"/>
    </row>
    <row r="143" spans="2:31" ht="15" hidden="1" customHeight="1" outlineLevel="2">
      <c r="B143" s="148">
        <v>16</v>
      </c>
      <c r="C143" s="177" t="str">
        <f>Attribute!C143</f>
        <v>---</v>
      </c>
      <c r="D143" s="86" t="str">
        <f>VLOOKUP(C143,'Talente &amp; Stuff'!ER:FT,2,FALSE)</f>
        <v>--/--/--</v>
      </c>
      <c r="E143" s="167" t="str">
        <f>VLOOKUP(C143,'Talente &amp; Stuff'!ER:FT,3,FALSE)</f>
        <v>-</v>
      </c>
      <c r="F143" s="120">
        <f>VLOOKUP(C143,'Talente &amp; Stuff'!ER:FT,4,FALSE)</f>
        <v>0</v>
      </c>
      <c r="G143" s="117">
        <f>VLOOKUP(C143,'Talente &amp; Stuff'!ER:FT,5,FALSE)</f>
        <v>0</v>
      </c>
      <c r="H143" s="117">
        <f>VLOOKUP(C143,'Talente &amp; Stuff'!ER:FT,6,FALSE)</f>
        <v>0</v>
      </c>
      <c r="I143" s="117">
        <f>VLOOKUP(C143,'Talente &amp; Stuff'!ER:FT,7,FALSE)</f>
        <v>0</v>
      </c>
      <c r="J143" s="117">
        <f>VLOOKUP(C143,'Talente &amp; Stuff'!ER:FT,8,FALSE)</f>
        <v>0</v>
      </c>
      <c r="K143" s="117">
        <f>VLOOKUP(C143,'Talente &amp; Stuff'!ER:FT,9,FALSE)</f>
        <v>0</v>
      </c>
      <c r="L143" s="117">
        <f>VLOOKUP(C143,'Talente &amp; Stuff'!ER:FT,10,FALSE)</f>
        <v>0</v>
      </c>
      <c r="M143" s="121">
        <f>VLOOKUP(C143,'Talente &amp; Stuff'!ER:FT,11,FALSE)</f>
        <v>0</v>
      </c>
      <c r="N143" s="47">
        <f>VLOOKUP(C143,'Talente &amp; Stuff'!ER:FT,12,FALSE)</f>
        <v>0</v>
      </c>
      <c r="O143" s="3">
        <f>VLOOKUP(C143,'Talente &amp; Stuff'!ER:FT,13,FALSE)</f>
        <v>0</v>
      </c>
      <c r="P143" s="174">
        <f>VLOOKUP(C143,'Talente &amp; Stuff'!ER:FT,14,FALSE)</f>
        <v>0</v>
      </c>
      <c r="Q143" s="114">
        <f>VLOOKUP(C143,'Talente &amp; Stuff'!ER:FT,15,FALSE)</f>
        <v>0</v>
      </c>
      <c r="R143" s="117">
        <f>VLOOKUP(C143,'Talente &amp; Stuff'!ER:FT,16,FALSE)</f>
        <v>0</v>
      </c>
      <c r="S143" s="119">
        <f>VLOOKUP(C143,'Talente &amp; Stuff'!ER:FT,17,FALSE)</f>
        <v>0</v>
      </c>
      <c r="T143" s="119">
        <f>VLOOKUP(C143,'Talente &amp; Stuff'!ER:FT,18,FALSE)</f>
        <v>0</v>
      </c>
      <c r="U143" s="89">
        <f>VLOOKUP(C143,'Talente &amp; Stuff'!ER:FT,19,FALSE)</f>
        <v>0</v>
      </c>
      <c r="V143" s="47">
        <f>VLOOKUP(C143,'Talente &amp; Stuff'!ER:FT,20,FALSE)</f>
        <v>0</v>
      </c>
      <c r="W143" s="127">
        <f>VLOOKUP(C143,'Talente &amp; Stuff'!ER:FT,21,FALSE)</f>
        <v>0</v>
      </c>
      <c r="X143" s="127">
        <f>VLOOKUP(C143,'Talente &amp; Stuff'!ER:FT,22,FALSE)</f>
        <v>0</v>
      </c>
      <c r="Y143" s="165">
        <f t="shared" si="14"/>
        <v>0</v>
      </c>
      <c r="Z143" s="44">
        <f t="shared" si="15"/>
        <v>0</v>
      </c>
      <c r="AA143" s="125">
        <f>VLOOKUP(C143,'Talente &amp; Stuff'!ER:FT,25,FALSE)</f>
        <v>0</v>
      </c>
      <c r="AB143" s="160">
        <f>VLOOKUP(C143,'Talente &amp; Stuff'!ER:FT,26,FALSE)</f>
        <v>0</v>
      </c>
      <c r="AC143" s="127">
        <f>VLOOKUP(C143,'Talente &amp; Stuff'!ER:FT,27,FALSE)</f>
        <v>0</v>
      </c>
      <c r="AD143" s="125">
        <f>VLOOKUP(C143,'Talente &amp; Stuff'!ER:FT,28,FALSE)</f>
        <v>0</v>
      </c>
      <c r="AE143" s="28"/>
    </row>
    <row r="144" spans="2:31" ht="15" hidden="1" customHeight="1" outlineLevel="2">
      <c r="B144" s="148">
        <v>17</v>
      </c>
      <c r="C144" s="177" t="str">
        <f>Attribute!C144</f>
        <v>---</v>
      </c>
      <c r="D144" s="125" t="str">
        <f>VLOOKUP(C144,'Talente &amp; Stuff'!ER:FT,2,FALSE)</f>
        <v>--/--/--</v>
      </c>
      <c r="E144" s="127" t="str">
        <f>VLOOKUP(C144,'Talente &amp; Stuff'!ER:FT,3,FALSE)</f>
        <v>-</v>
      </c>
      <c r="F144" s="114">
        <f>VLOOKUP(C144,'Talente &amp; Stuff'!ER:FT,4,FALSE)</f>
        <v>0</v>
      </c>
      <c r="G144" s="113">
        <f>VLOOKUP(C144,'Talente &amp; Stuff'!ER:FT,5,FALSE)</f>
        <v>0</v>
      </c>
      <c r="H144" s="113">
        <f>VLOOKUP(C144,'Talente &amp; Stuff'!ER:FT,6,FALSE)</f>
        <v>0</v>
      </c>
      <c r="I144" s="113">
        <f>VLOOKUP(C144,'Talente &amp; Stuff'!ER:FT,7,FALSE)</f>
        <v>0</v>
      </c>
      <c r="J144" s="113">
        <f>VLOOKUP(C144,'Talente &amp; Stuff'!ER:FT,8,FALSE)</f>
        <v>0</v>
      </c>
      <c r="K144" s="113">
        <f>VLOOKUP(C144,'Talente &amp; Stuff'!ER:FT,9,FALSE)</f>
        <v>0</v>
      </c>
      <c r="L144" s="113">
        <f>VLOOKUP(C144,'Talente &amp; Stuff'!ER:FT,10,FALSE)</f>
        <v>0</v>
      </c>
      <c r="M144" s="119">
        <f>VLOOKUP(C144,'Talente &amp; Stuff'!ER:FT,11,FALSE)</f>
        <v>0</v>
      </c>
      <c r="N144" s="47">
        <f>VLOOKUP(C144,'Talente &amp; Stuff'!ER:FT,12,FALSE)</f>
        <v>0</v>
      </c>
      <c r="O144" s="47">
        <f>VLOOKUP(C144,'Talente &amp; Stuff'!ER:FT,13,FALSE)</f>
        <v>0</v>
      </c>
      <c r="P144" s="119">
        <f>VLOOKUP(C144,'Talente &amp; Stuff'!ER:FT,14,FALSE)</f>
        <v>0</v>
      </c>
      <c r="Q144" s="114">
        <f>VLOOKUP(C144,'Talente &amp; Stuff'!ER:FT,15,FALSE)</f>
        <v>0</v>
      </c>
      <c r="R144" s="113">
        <f>VLOOKUP(C144,'Talente &amp; Stuff'!ER:FT,16,FALSE)</f>
        <v>0</v>
      </c>
      <c r="S144" s="119">
        <f>VLOOKUP(C144,'Talente &amp; Stuff'!ER:FT,17,FALSE)</f>
        <v>0</v>
      </c>
      <c r="T144" s="119">
        <f>VLOOKUP(C144,'Talente &amp; Stuff'!ER:FT,18,FALSE)</f>
        <v>0</v>
      </c>
      <c r="U144" s="89">
        <f>VLOOKUP(C144,'Talente &amp; Stuff'!ER:FT,19,FALSE)</f>
        <v>0</v>
      </c>
      <c r="V144" s="47">
        <f>VLOOKUP(C144,'Talente &amp; Stuff'!ER:FT,20,FALSE)</f>
        <v>0</v>
      </c>
      <c r="W144" s="127">
        <f>VLOOKUP(C144,'Talente &amp; Stuff'!ER:FT,21,FALSE)</f>
        <v>0</v>
      </c>
      <c r="X144" s="127">
        <f>VLOOKUP(C144,'Talente &amp; Stuff'!ER:FT,22,FALSE)</f>
        <v>0</v>
      </c>
      <c r="Y144" s="165">
        <f t="shared" si="14"/>
        <v>0</v>
      </c>
      <c r="Z144" s="44">
        <f t="shared" si="15"/>
        <v>0</v>
      </c>
      <c r="AA144" s="125">
        <f>VLOOKUP(C144,'Talente &amp; Stuff'!ER:FT,25,FALSE)</f>
        <v>0</v>
      </c>
      <c r="AB144" s="160">
        <f>VLOOKUP(C144,'Talente &amp; Stuff'!ER:FT,26,FALSE)</f>
        <v>0</v>
      </c>
      <c r="AC144" s="127">
        <f>VLOOKUP(C144,'Talente &amp; Stuff'!ER:FT,27,FALSE)</f>
        <v>0</v>
      </c>
      <c r="AD144" s="125">
        <f>VLOOKUP(C144,'Talente &amp; Stuff'!ER:FT,28,FALSE)</f>
        <v>0</v>
      </c>
      <c r="AE144" s="28"/>
    </row>
    <row r="145" spans="2:31" ht="15" hidden="1" customHeight="1" outlineLevel="2">
      <c r="B145" s="148">
        <v>18</v>
      </c>
      <c r="C145" s="177" t="str">
        <f>Attribute!C145</f>
        <v>---</v>
      </c>
      <c r="D145" s="125" t="str">
        <f>VLOOKUP(C145,'Talente &amp; Stuff'!ER:FT,2,FALSE)</f>
        <v>--/--/--</v>
      </c>
      <c r="E145" s="127" t="str">
        <f>VLOOKUP(C145,'Talente &amp; Stuff'!ER:FT,3,FALSE)</f>
        <v>-</v>
      </c>
      <c r="F145" s="114">
        <f>VLOOKUP(C145,'Talente &amp; Stuff'!ER:FT,4,FALSE)</f>
        <v>0</v>
      </c>
      <c r="G145" s="113">
        <f>VLOOKUP(C145,'Talente &amp; Stuff'!ER:FT,5,FALSE)</f>
        <v>0</v>
      </c>
      <c r="H145" s="113">
        <f>VLOOKUP(C145,'Talente &amp; Stuff'!ER:FT,6,FALSE)</f>
        <v>0</v>
      </c>
      <c r="I145" s="113">
        <f>VLOOKUP(C145,'Talente &amp; Stuff'!ER:FT,7,FALSE)</f>
        <v>0</v>
      </c>
      <c r="J145" s="113">
        <f>VLOOKUP(C145,'Talente &amp; Stuff'!ER:FT,8,FALSE)</f>
        <v>0</v>
      </c>
      <c r="K145" s="113">
        <f>VLOOKUP(C145,'Talente &amp; Stuff'!ER:FT,9,FALSE)</f>
        <v>0</v>
      </c>
      <c r="L145" s="113">
        <f>VLOOKUP(C145,'Talente &amp; Stuff'!ER:FT,10,FALSE)</f>
        <v>0</v>
      </c>
      <c r="M145" s="119">
        <f>VLOOKUP(C145,'Talente &amp; Stuff'!ER:FT,11,FALSE)</f>
        <v>0</v>
      </c>
      <c r="N145" s="47">
        <f>VLOOKUP(C145,'Talente &amp; Stuff'!ER:FT,12,FALSE)</f>
        <v>0</v>
      </c>
      <c r="O145" s="47">
        <f>VLOOKUP(C145,'Talente &amp; Stuff'!ER:FT,13,FALSE)</f>
        <v>0</v>
      </c>
      <c r="P145" s="119">
        <f>VLOOKUP(C145,'Talente &amp; Stuff'!ER:FT,14,FALSE)</f>
        <v>0</v>
      </c>
      <c r="Q145" s="114">
        <f>VLOOKUP(C145,'Talente &amp; Stuff'!ER:FT,15,FALSE)</f>
        <v>0</v>
      </c>
      <c r="R145" s="113">
        <f>VLOOKUP(C145,'Talente &amp; Stuff'!ER:FT,16,FALSE)</f>
        <v>0</v>
      </c>
      <c r="S145" s="119">
        <f>VLOOKUP(C145,'Talente &amp; Stuff'!ER:FT,17,FALSE)</f>
        <v>0</v>
      </c>
      <c r="T145" s="119">
        <f>VLOOKUP(C145,'Talente &amp; Stuff'!ER:FT,18,FALSE)</f>
        <v>0</v>
      </c>
      <c r="U145" s="89">
        <f>VLOOKUP(C145,'Talente &amp; Stuff'!ER:FT,19,FALSE)</f>
        <v>0</v>
      </c>
      <c r="V145" s="47">
        <f>VLOOKUP(C145,'Talente &amp; Stuff'!ER:FT,20,FALSE)</f>
        <v>0</v>
      </c>
      <c r="W145" s="127">
        <f>VLOOKUP(C145,'Talente &amp; Stuff'!ER:FT,21,FALSE)</f>
        <v>0</v>
      </c>
      <c r="X145" s="127">
        <f>VLOOKUP(C145,'Talente &amp; Stuff'!ER:FT,22,FALSE)</f>
        <v>0</v>
      </c>
      <c r="Y145" s="165">
        <f t="shared" si="14"/>
        <v>0</v>
      </c>
      <c r="Z145" s="44">
        <f t="shared" si="15"/>
        <v>0</v>
      </c>
      <c r="AA145" s="125">
        <f>VLOOKUP(C145,'Talente &amp; Stuff'!ER:FT,25,FALSE)</f>
        <v>0</v>
      </c>
      <c r="AB145" s="160">
        <f>VLOOKUP(C145,'Talente &amp; Stuff'!ER:FT,26,FALSE)</f>
        <v>0</v>
      </c>
      <c r="AC145" s="127">
        <f>VLOOKUP(C145,'Talente &amp; Stuff'!ER:FT,27,FALSE)</f>
        <v>0</v>
      </c>
      <c r="AD145" s="125">
        <f>VLOOKUP(C145,'Talente &amp; Stuff'!ER:FT,28,FALSE)</f>
        <v>0</v>
      </c>
      <c r="AE145" s="28"/>
    </row>
    <row r="146" spans="2:31" ht="15" hidden="1" customHeight="1" outlineLevel="2">
      <c r="B146" s="148">
        <v>19</v>
      </c>
      <c r="C146" s="177" t="str">
        <f>Attribute!C146</f>
        <v>---</v>
      </c>
      <c r="D146" s="125" t="str">
        <f>VLOOKUP(C146,'Talente &amp; Stuff'!ER:FT,2,FALSE)</f>
        <v>--/--/--</v>
      </c>
      <c r="E146" s="127" t="str">
        <f>VLOOKUP(C146,'Talente &amp; Stuff'!ER:FT,3,FALSE)</f>
        <v>-</v>
      </c>
      <c r="F146" s="114">
        <f>VLOOKUP(C146,'Talente &amp; Stuff'!ER:FT,4,FALSE)</f>
        <v>0</v>
      </c>
      <c r="G146" s="113">
        <f>VLOOKUP(C146,'Talente &amp; Stuff'!ER:FT,5,FALSE)</f>
        <v>0</v>
      </c>
      <c r="H146" s="113">
        <f>VLOOKUP(C146,'Talente &amp; Stuff'!ER:FT,6,FALSE)</f>
        <v>0</v>
      </c>
      <c r="I146" s="113">
        <f>VLOOKUP(C146,'Talente &amp; Stuff'!ER:FT,7,FALSE)</f>
        <v>0</v>
      </c>
      <c r="J146" s="113">
        <f>VLOOKUP(C146,'Talente &amp; Stuff'!ER:FT,8,FALSE)</f>
        <v>0</v>
      </c>
      <c r="K146" s="113">
        <f>VLOOKUP(C146,'Talente &amp; Stuff'!ER:FT,9,FALSE)</f>
        <v>0</v>
      </c>
      <c r="L146" s="113">
        <f>VLOOKUP(C146,'Talente &amp; Stuff'!ER:FT,10,FALSE)</f>
        <v>0</v>
      </c>
      <c r="M146" s="119">
        <f>VLOOKUP(C146,'Talente &amp; Stuff'!ER:FT,11,FALSE)</f>
        <v>0</v>
      </c>
      <c r="N146" s="47">
        <f>VLOOKUP(C146,'Talente &amp; Stuff'!ER:FT,12,FALSE)</f>
        <v>0</v>
      </c>
      <c r="O146" s="47">
        <f>VLOOKUP(C146,'Talente &amp; Stuff'!ER:FT,13,FALSE)</f>
        <v>0</v>
      </c>
      <c r="P146" s="119">
        <f>VLOOKUP(C146,'Talente &amp; Stuff'!ER:FT,14,FALSE)</f>
        <v>0</v>
      </c>
      <c r="Q146" s="114">
        <f>VLOOKUP(C146,'Talente &amp; Stuff'!ER:FT,15,FALSE)</f>
        <v>0</v>
      </c>
      <c r="R146" s="113">
        <f>VLOOKUP(C146,'Talente &amp; Stuff'!ER:FT,16,FALSE)</f>
        <v>0</v>
      </c>
      <c r="S146" s="119">
        <f>VLOOKUP(C146,'Talente &amp; Stuff'!ER:FT,17,FALSE)</f>
        <v>0</v>
      </c>
      <c r="T146" s="119">
        <f>VLOOKUP(C146,'Talente &amp; Stuff'!ER:FT,18,FALSE)</f>
        <v>0</v>
      </c>
      <c r="U146" s="89">
        <f>VLOOKUP(C146,'Talente &amp; Stuff'!ER:FT,19,FALSE)</f>
        <v>0</v>
      </c>
      <c r="V146" s="47">
        <f>VLOOKUP(C146,'Talente &amp; Stuff'!ER:FT,20,FALSE)</f>
        <v>0</v>
      </c>
      <c r="W146" s="127">
        <f>VLOOKUP(C146,'Talente &amp; Stuff'!ER:FT,21,FALSE)</f>
        <v>0</v>
      </c>
      <c r="X146" s="127">
        <f>VLOOKUP(C146,'Talente &amp; Stuff'!ER:FT,22,FALSE)</f>
        <v>0</v>
      </c>
      <c r="Y146" s="165">
        <f t="shared" si="14"/>
        <v>0</v>
      </c>
      <c r="Z146" s="44">
        <f t="shared" si="15"/>
        <v>0</v>
      </c>
      <c r="AA146" s="125">
        <f>VLOOKUP(C146,'Talente &amp; Stuff'!ER:FT,25,FALSE)</f>
        <v>0</v>
      </c>
      <c r="AB146" s="160">
        <f>VLOOKUP(C146,'Talente &amp; Stuff'!ER:FT,26,FALSE)</f>
        <v>0</v>
      </c>
      <c r="AC146" s="127">
        <f>VLOOKUP(C146,'Talente &amp; Stuff'!ER:FT,27,FALSE)</f>
        <v>0</v>
      </c>
      <c r="AD146" s="125">
        <f>VLOOKUP(C146,'Talente &amp; Stuff'!ER:FT,28,FALSE)</f>
        <v>0</v>
      </c>
      <c r="AE146" s="28"/>
    </row>
    <row r="147" spans="2:31" ht="15" hidden="1" customHeight="1" outlineLevel="2">
      <c r="B147" s="148">
        <v>20</v>
      </c>
      <c r="C147" s="177" t="str">
        <f>Attribute!C147</f>
        <v>---</v>
      </c>
      <c r="D147" s="125" t="str">
        <f>VLOOKUP(C147,'Talente &amp; Stuff'!ER:FT,2,FALSE)</f>
        <v>--/--/--</v>
      </c>
      <c r="E147" s="127" t="str">
        <f>VLOOKUP(C147,'Talente &amp; Stuff'!ER:FT,3,FALSE)</f>
        <v>-</v>
      </c>
      <c r="F147" s="114">
        <f>VLOOKUP(C147,'Talente &amp; Stuff'!ER:FT,4,FALSE)</f>
        <v>0</v>
      </c>
      <c r="G147" s="113">
        <f>VLOOKUP(C147,'Talente &amp; Stuff'!ER:FT,5,FALSE)</f>
        <v>0</v>
      </c>
      <c r="H147" s="113">
        <f>VLOOKUP(C147,'Talente &amp; Stuff'!ER:FT,6,FALSE)</f>
        <v>0</v>
      </c>
      <c r="I147" s="113">
        <f>VLOOKUP(C147,'Talente &amp; Stuff'!ER:FT,7,FALSE)</f>
        <v>0</v>
      </c>
      <c r="J147" s="113">
        <f>VLOOKUP(C147,'Talente &amp; Stuff'!ER:FT,8,FALSE)</f>
        <v>0</v>
      </c>
      <c r="K147" s="113">
        <f>VLOOKUP(C147,'Talente &amp; Stuff'!ER:FT,9,FALSE)</f>
        <v>0</v>
      </c>
      <c r="L147" s="113">
        <f>VLOOKUP(C147,'Talente &amp; Stuff'!ER:FT,10,FALSE)</f>
        <v>0</v>
      </c>
      <c r="M147" s="119">
        <f>VLOOKUP(C147,'Talente &amp; Stuff'!ER:FT,11,FALSE)</f>
        <v>0</v>
      </c>
      <c r="N147" s="47">
        <f>VLOOKUP(C147,'Talente &amp; Stuff'!ER:FT,12,FALSE)</f>
        <v>0</v>
      </c>
      <c r="O147" s="47">
        <f>VLOOKUP(C147,'Talente &amp; Stuff'!ER:FT,13,FALSE)</f>
        <v>0</v>
      </c>
      <c r="P147" s="119">
        <f>VLOOKUP(C147,'Talente &amp; Stuff'!ER:FT,14,FALSE)</f>
        <v>0</v>
      </c>
      <c r="Q147" s="114">
        <f>VLOOKUP(C147,'Talente &amp; Stuff'!ER:FT,15,FALSE)</f>
        <v>0</v>
      </c>
      <c r="R147" s="113">
        <f>VLOOKUP(C147,'Talente &amp; Stuff'!ER:FT,16,FALSE)</f>
        <v>0</v>
      </c>
      <c r="S147" s="119">
        <f>VLOOKUP(C147,'Talente &amp; Stuff'!ER:FT,17,FALSE)</f>
        <v>0</v>
      </c>
      <c r="T147" s="119">
        <f>VLOOKUP(C147,'Talente &amp; Stuff'!ER:FT,18,FALSE)</f>
        <v>0</v>
      </c>
      <c r="U147" s="89">
        <f>VLOOKUP(C147,'Talente &amp; Stuff'!ER:FT,19,FALSE)</f>
        <v>0</v>
      </c>
      <c r="V147" s="47">
        <f>VLOOKUP(C147,'Talente &amp; Stuff'!ER:FT,20,FALSE)</f>
        <v>0</v>
      </c>
      <c r="W147" s="127">
        <f>VLOOKUP(C147,'Talente &amp; Stuff'!ER:FT,21,FALSE)</f>
        <v>0</v>
      </c>
      <c r="X147" s="127">
        <f>VLOOKUP(C147,'Talente &amp; Stuff'!ER:FT,22,FALSE)</f>
        <v>0</v>
      </c>
      <c r="Y147" s="165">
        <f t="shared" si="14"/>
        <v>0</v>
      </c>
      <c r="Z147" s="44">
        <f t="shared" si="15"/>
        <v>0</v>
      </c>
      <c r="AA147" s="125">
        <f>VLOOKUP(C147,'Talente &amp; Stuff'!ER:FT,25,FALSE)</f>
        <v>0</v>
      </c>
      <c r="AB147" s="160">
        <f>VLOOKUP(C147,'Talente &amp; Stuff'!ER:FT,26,FALSE)</f>
        <v>0</v>
      </c>
      <c r="AC147" s="127">
        <f>VLOOKUP(C147,'Talente &amp; Stuff'!ER:FT,27,FALSE)</f>
        <v>0</v>
      </c>
      <c r="AD147" s="125">
        <f>VLOOKUP(C147,'Talente &amp; Stuff'!ER:FT,28,FALSE)</f>
        <v>0</v>
      </c>
      <c r="AE147" s="28"/>
    </row>
    <row r="148" spans="2:31" ht="15" hidden="1" customHeight="1" outlineLevel="2">
      <c r="B148" s="148">
        <v>21</v>
      </c>
      <c r="C148" s="177" t="str">
        <f>Attribute!C148</f>
        <v>---</v>
      </c>
      <c r="D148" s="125" t="str">
        <f>VLOOKUP(C148,'Talente &amp; Stuff'!ER:FT,2,FALSE)</f>
        <v>--/--/--</v>
      </c>
      <c r="E148" s="127" t="str">
        <f>VLOOKUP(C148,'Talente &amp; Stuff'!ER:FT,3,FALSE)</f>
        <v>-</v>
      </c>
      <c r="F148" s="114">
        <f>VLOOKUP(C148,'Talente &amp; Stuff'!ER:FT,4,FALSE)</f>
        <v>0</v>
      </c>
      <c r="G148" s="113">
        <f>VLOOKUP(C148,'Talente &amp; Stuff'!ER:FT,5,FALSE)</f>
        <v>0</v>
      </c>
      <c r="H148" s="113">
        <f>VLOOKUP(C148,'Talente &amp; Stuff'!ER:FT,6,FALSE)</f>
        <v>0</v>
      </c>
      <c r="I148" s="113">
        <f>VLOOKUP(C148,'Talente &amp; Stuff'!ER:FT,7,FALSE)</f>
        <v>0</v>
      </c>
      <c r="J148" s="113">
        <f>VLOOKUP(C148,'Talente &amp; Stuff'!ER:FT,8,FALSE)</f>
        <v>0</v>
      </c>
      <c r="K148" s="113">
        <f>VLOOKUP(C148,'Talente &amp; Stuff'!ER:FT,9,FALSE)</f>
        <v>0</v>
      </c>
      <c r="L148" s="113">
        <f>VLOOKUP(C148,'Talente &amp; Stuff'!ER:FT,10,FALSE)</f>
        <v>0</v>
      </c>
      <c r="M148" s="119">
        <f>VLOOKUP(C148,'Talente &amp; Stuff'!ER:FT,11,FALSE)</f>
        <v>0</v>
      </c>
      <c r="N148" s="47">
        <f>VLOOKUP(C148,'Talente &amp; Stuff'!ER:FT,12,FALSE)</f>
        <v>0</v>
      </c>
      <c r="O148" s="47">
        <f>VLOOKUP(C148,'Talente &amp; Stuff'!ER:FT,13,FALSE)</f>
        <v>0</v>
      </c>
      <c r="P148" s="119">
        <f>VLOOKUP(C148,'Talente &amp; Stuff'!ER:FT,14,FALSE)</f>
        <v>0</v>
      </c>
      <c r="Q148" s="114">
        <f>VLOOKUP(C148,'Talente &amp; Stuff'!ER:FT,15,FALSE)</f>
        <v>0</v>
      </c>
      <c r="R148" s="113">
        <f>VLOOKUP(C148,'Talente &amp; Stuff'!ER:FT,16,FALSE)</f>
        <v>0</v>
      </c>
      <c r="S148" s="119">
        <f>VLOOKUP(C148,'Talente &amp; Stuff'!ER:FT,17,FALSE)</f>
        <v>0</v>
      </c>
      <c r="T148" s="119">
        <f>VLOOKUP(C148,'Talente &amp; Stuff'!ER:FT,18,FALSE)</f>
        <v>0</v>
      </c>
      <c r="U148" s="89">
        <f>VLOOKUP(C148,'Talente &amp; Stuff'!ER:FT,19,FALSE)</f>
        <v>0</v>
      </c>
      <c r="V148" s="47">
        <f>VLOOKUP(C148,'Talente &amp; Stuff'!ER:FT,20,FALSE)</f>
        <v>0</v>
      </c>
      <c r="W148" s="127">
        <f>VLOOKUP(C148,'Talente &amp; Stuff'!ER:FT,21,FALSE)</f>
        <v>0</v>
      </c>
      <c r="X148" s="127">
        <f>VLOOKUP(C148,'Talente &amp; Stuff'!ER:FT,22,FALSE)</f>
        <v>0</v>
      </c>
      <c r="Y148" s="165">
        <f t="shared" si="14"/>
        <v>0</v>
      </c>
      <c r="Z148" s="44">
        <f t="shared" si="15"/>
        <v>0</v>
      </c>
      <c r="AA148" s="125">
        <f>VLOOKUP(C148,'Talente &amp; Stuff'!ER:FT,25,FALSE)</f>
        <v>0</v>
      </c>
      <c r="AB148" s="160">
        <f>VLOOKUP(C148,'Talente &amp; Stuff'!ER:FT,26,FALSE)</f>
        <v>0</v>
      </c>
      <c r="AC148" s="127">
        <f>VLOOKUP(C148,'Talente &amp; Stuff'!ER:FT,27,FALSE)</f>
        <v>0</v>
      </c>
      <c r="AD148" s="125">
        <f>VLOOKUP(C148,'Talente &amp; Stuff'!ER:FT,28,FALSE)</f>
        <v>0</v>
      </c>
      <c r="AE148" s="28"/>
    </row>
    <row r="149" spans="2:31" ht="15" hidden="1" customHeight="1" outlineLevel="2">
      <c r="B149" s="148">
        <v>22</v>
      </c>
      <c r="C149" s="177" t="str">
        <f>Attribute!C149</f>
        <v>---</v>
      </c>
      <c r="D149" s="125" t="str">
        <f>VLOOKUP(C149,'Talente &amp; Stuff'!ER:FT,2,FALSE)</f>
        <v>--/--/--</v>
      </c>
      <c r="E149" s="127" t="str">
        <f>VLOOKUP(C149,'Talente &amp; Stuff'!ER:FT,3,FALSE)</f>
        <v>-</v>
      </c>
      <c r="F149" s="114">
        <f>VLOOKUP(C149,'Talente &amp; Stuff'!ER:FT,4,FALSE)</f>
        <v>0</v>
      </c>
      <c r="G149" s="113">
        <f>VLOOKUP(C149,'Talente &amp; Stuff'!ER:FT,5,FALSE)</f>
        <v>0</v>
      </c>
      <c r="H149" s="113">
        <f>VLOOKUP(C149,'Talente &amp; Stuff'!ER:FT,6,FALSE)</f>
        <v>0</v>
      </c>
      <c r="I149" s="113">
        <f>VLOOKUP(C149,'Talente &amp; Stuff'!ER:FT,7,FALSE)</f>
        <v>0</v>
      </c>
      <c r="J149" s="113">
        <f>VLOOKUP(C149,'Talente &amp; Stuff'!ER:FT,8,FALSE)</f>
        <v>0</v>
      </c>
      <c r="K149" s="113">
        <f>VLOOKUP(C149,'Talente &amp; Stuff'!ER:FT,9,FALSE)</f>
        <v>0</v>
      </c>
      <c r="L149" s="113">
        <f>VLOOKUP(C149,'Talente &amp; Stuff'!ER:FT,10,FALSE)</f>
        <v>0</v>
      </c>
      <c r="M149" s="119">
        <f>VLOOKUP(C149,'Talente &amp; Stuff'!ER:FT,11,FALSE)</f>
        <v>0</v>
      </c>
      <c r="N149" s="47">
        <f>VLOOKUP(C149,'Talente &amp; Stuff'!ER:FT,12,FALSE)</f>
        <v>0</v>
      </c>
      <c r="O149" s="47">
        <f>VLOOKUP(C149,'Talente &amp; Stuff'!ER:FT,13,FALSE)</f>
        <v>0</v>
      </c>
      <c r="P149" s="119">
        <f>VLOOKUP(C149,'Talente &amp; Stuff'!ER:FT,14,FALSE)</f>
        <v>0</v>
      </c>
      <c r="Q149" s="114">
        <f>VLOOKUP(C149,'Talente &amp; Stuff'!ER:FT,15,FALSE)</f>
        <v>0</v>
      </c>
      <c r="R149" s="113">
        <f>VLOOKUP(C149,'Talente &amp; Stuff'!ER:FT,16,FALSE)</f>
        <v>0</v>
      </c>
      <c r="S149" s="119">
        <f>VLOOKUP(C149,'Talente &amp; Stuff'!ER:FT,17,FALSE)</f>
        <v>0</v>
      </c>
      <c r="T149" s="119">
        <f>VLOOKUP(C149,'Talente &amp; Stuff'!ER:FT,18,FALSE)</f>
        <v>0</v>
      </c>
      <c r="U149" s="89">
        <f>VLOOKUP(C149,'Talente &amp; Stuff'!ER:FT,19,FALSE)</f>
        <v>0</v>
      </c>
      <c r="V149" s="47">
        <f>VLOOKUP(C149,'Talente &amp; Stuff'!ER:FT,20,FALSE)</f>
        <v>0</v>
      </c>
      <c r="W149" s="127">
        <f>VLOOKUP(C149,'Talente &amp; Stuff'!ER:FT,21,FALSE)</f>
        <v>0</v>
      </c>
      <c r="X149" s="127">
        <f>VLOOKUP(C149,'Talente &amp; Stuff'!ER:FT,22,FALSE)</f>
        <v>0</v>
      </c>
      <c r="Y149" s="165">
        <f t="shared" si="14"/>
        <v>0</v>
      </c>
      <c r="Z149" s="44">
        <f t="shared" si="15"/>
        <v>0</v>
      </c>
      <c r="AA149" s="125">
        <f>VLOOKUP(C149,'Talente &amp; Stuff'!ER:FT,25,FALSE)</f>
        <v>0</v>
      </c>
      <c r="AB149" s="160">
        <f>VLOOKUP(C149,'Talente &amp; Stuff'!ER:FT,26,FALSE)</f>
        <v>0</v>
      </c>
      <c r="AC149" s="127">
        <f>VLOOKUP(C149,'Talente &amp; Stuff'!ER:FT,27,FALSE)</f>
        <v>0</v>
      </c>
      <c r="AD149" s="125">
        <f>VLOOKUP(C149,'Talente &amp; Stuff'!ER:FT,28,FALSE)</f>
        <v>0</v>
      </c>
      <c r="AE149" s="28"/>
    </row>
    <row r="150" spans="2:31" ht="15" hidden="1" customHeight="1" outlineLevel="2">
      <c r="B150" s="148">
        <v>23</v>
      </c>
      <c r="C150" s="177" t="str">
        <f>Attribute!C150</f>
        <v>---</v>
      </c>
      <c r="D150" s="125" t="str">
        <f>VLOOKUP(C150,'Talente &amp; Stuff'!ER:FT,2,FALSE)</f>
        <v>--/--/--</v>
      </c>
      <c r="E150" s="127" t="str">
        <f>VLOOKUP(C150,'Talente &amp; Stuff'!ER:FT,3,FALSE)</f>
        <v>-</v>
      </c>
      <c r="F150" s="114">
        <f>VLOOKUP(C150,'Talente &amp; Stuff'!ER:FT,4,FALSE)</f>
        <v>0</v>
      </c>
      <c r="G150" s="113">
        <f>VLOOKUP(C150,'Talente &amp; Stuff'!ER:FT,5,FALSE)</f>
        <v>0</v>
      </c>
      <c r="H150" s="113">
        <f>VLOOKUP(C150,'Talente &amp; Stuff'!ER:FT,6,FALSE)</f>
        <v>0</v>
      </c>
      <c r="I150" s="113">
        <f>VLOOKUP(C150,'Talente &amp; Stuff'!ER:FT,7,FALSE)</f>
        <v>0</v>
      </c>
      <c r="J150" s="113">
        <f>VLOOKUP(C150,'Talente &amp; Stuff'!ER:FT,8,FALSE)</f>
        <v>0</v>
      </c>
      <c r="K150" s="113">
        <f>VLOOKUP(C150,'Talente &amp; Stuff'!ER:FT,9,FALSE)</f>
        <v>0</v>
      </c>
      <c r="L150" s="113">
        <f>VLOOKUP(C150,'Talente &amp; Stuff'!ER:FT,10,FALSE)</f>
        <v>0</v>
      </c>
      <c r="M150" s="119">
        <f>VLOOKUP(C150,'Talente &amp; Stuff'!ER:FT,11,FALSE)</f>
        <v>0</v>
      </c>
      <c r="N150" s="47">
        <f>VLOOKUP(C150,'Talente &amp; Stuff'!ER:FT,12,FALSE)</f>
        <v>0</v>
      </c>
      <c r="O150" s="47">
        <f>VLOOKUP(C150,'Talente &amp; Stuff'!ER:FT,13,FALSE)</f>
        <v>0</v>
      </c>
      <c r="P150" s="119">
        <f>VLOOKUP(C150,'Talente &amp; Stuff'!ER:FT,14,FALSE)</f>
        <v>0</v>
      </c>
      <c r="Q150" s="114">
        <f>VLOOKUP(C150,'Talente &amp; Stuff'!ER:FT,15,FALSE)</f>
        <v>0</v>
      </c>
      <c r="R150" s="113">
        <f>VLOOKUP(C150,'Talente &amp; Stuff'!ER:FT,16,FALSE)</f>
        <v>0</v>
      </c>
      <c r="S150" s="119">
        <f>VLOOKUP(C150,'Talente &amp; Stuff'!ER:FT,17,FALSE)</f>
        <v>0</v>
      </c>
      <c r="T150" s="119">
        <f>VLOOKUP(C150,'Talente &amp; Stuff'!ER:FT,18,FALSE)</f>
        <v>0</v>
      </c>
      <c r="U150" s="89">
        <f>VLOOKUP(C150,'Talente &amp; Stuff'!ER:FT,19,FALSE)</f>
        <v>0</v>
      </c>
      <c r="V150" s="47">
        <f>VLOOKUP(C150,'Talente &amp; Stuff'!ER:FT,20,FALSE)</f>
        <v>0</v>
      </c>
      <c r="W150" s="127">
        <f>VLOOKUP(C150,'Talente &amp; Stuff'!ER:FT,21,FALSE)</f>
        <v>0</v>
      </c>
      <c r="X150" s="127">
        <f>VLOOKUP(C150,'Talente &amp; Stuff'!ER:FT,22,FALSE)</f>
        <v>0</v>
      </c>
      <c r="Y150" s="165">
        <f t="shared" si="14"/>
        <v>0</v>
      </c>
      <c r="Z150" s="44">
        <f t="shared" si="15"/>
        <v>0</v>
      </c>
      <c r="AA150" s="125">
        <f>VLOOKUP(C150,'Talente &amp; Stuff'!ER:FT,25,FALSE)</f>
        <v>0</v>
      </c>
      <c r="AB150" s="160">
        <f>VLOOKUP(C150,'Talente &amp; Stuff'!ER:FT,26,FALSE)</f>
        <v>0</v>
      </c>
      <c r="AC150" s="127">
        <f>VLOOKUP(C150,'Talente &amp; Stuff'!ER:FT,27,FALSE)</f>
        <v>0</v>
      </c>
      <c r="AD150" s="125">
        <f>VLOOKUP(C150,'Talente &amp; Stuff'!ER:FT,28,FALSE)</f>
        <v>0</v>
      </c>
      <c r="AE150" s="28"/>
    </row>
    <row r="151" spans="2:31" ht="15" hidden="1" customHeight="1" outlineLevel="2">
      <c r="B151" s="148">
        <v>24</v>
      </c>
      <c r="C151" s="178" t="str">
        <f>Attribute!C151</f>
        <v>---</v>
      </c>
      <c r="D151" s="159" t="str">
        <f>VLOOKUP(C151,'Talente &amp; Stuff'!ER:FT,2,FALSE)</f>
        <v>--/--/--</v>
      </c>
      <c r="E151" s="128" t="str">
        <f>VLOOKUP(C151,'Talente &amp; Stuff'!ER:FT,3,FALSE)</f>
        <v>-</v>
      </c>
      <c r="F151" s="115">
        <f>VLOOKUP(C151,'Talente &amp; Stuff'!ER:FT,4,FALSE)</f>
        <v>0</v>
      </c>
      <c r="G151" s="122">
        <f>VLOOKUP(C151,'Talente &amp; Stuff'!ER:FT,5,FALSE)</f>
        <v>0</v>
      </c>
      <c r="H151" s="122">
        <f>VLOOKUP(C151,'Talente &amp; Stuff'!ER:FT,6,FALSE)</f>
        <v>0</v>
      </c>
      <c r="I151" s="122">
        <f>VLOOKUP(C151,'Talente &amp; Stuff'!ER:FT,7,FALSE)</f>
        <v>0</v>
      </c>
      <c r="J151" s="122">
        <f>VLOOKUP(C151,'Talente &amp; Stuff'!ER:FT,8,FALSE)</f>
        <v>0</v>
      </c>
      <c r="K151" s="122">
        <f>VLOOKUP(C151,'Talente &amp; Stuff'!ER:FT,9,FALSE)</f>
        <v>0</v>
      </c>
      <c r="L151" s="122">
        <f>VLOOKUP(C151,'Talente &amp; Stuff'!ER:FT,10,FALSE)</f>
        <v>0</v>
      </c>
      <c r="M151" s="123">
        <f>VLOOKUP(C151,'Talente &amp; Stuff'!ER:FT,11,FALSE)</f>
        <v>0</v>
      </c>
      <c r="N151" s="88">
        <f>VLOOKUP(C151,'Talente &amp; Stuff'!ER:FT,12,FALSE)</f>
        <v>0</v>
      </c>
      <c r="O151" s="88">
        <f>VLOOKUP(C151,'Talente &amp; Stuff'!ER:FT,13,FALSE)</f>
        <v>0</v>
      </c>
      <c r="P151" s="123">
        <f>VLOOKUP(C151,'Talente &amp; Stuff'!ER:FT,14,FALSE)</f>
        <v>0</v>
      </c>
      <c r="Q151" s="115">
        <f>VLOOKUP(C151,'Talente &amp; Stuff'!ER:FT,15,FALSE)</f>
        <v>0</v>
      </c>
      <c r="R151" s="122">
        <f>VLOOKUP(C151,'Talente &amp; Stuff'!ER:FT,16,FALSE)</f>
        <v>0</v>
      </c>
      <c r="S151" s="123">
        <f>VLOOKUP(C151,'Talente &amp; Stuff'!ER:FT,17,FALSE)</f>
        <v>0</v>
      </c>
      <c r="T151" s="123">
        <f>VLOOKUP(C151,'Talente &amp; Stuff'!ER:FT,18,FALSE)</f>
        <v>0</v>
      </c>
      <c r="U151" s="90">
        <f>VLOOKUP(C151,'Talente &amp; Stuff'!ER:FT,19,FALSE)</f>
        <v>0</v>
      </c>
      <c r="V151" s="88">
        <f>VLOOKUP(C151,'Talente &amp; Stuff'!ER:FT,20,FALSE)</f>
        <v>0</v>
      </c>
      <c r="W151" s="128">
        <f>VLOOKUP(C151,'Talente &amp; Stuff'!ER:FT,21,FALSE)</f>
        <v>0</v>
      </c>
      <c r="X151" s="128">
        <f>VLOOKUP(C151,'Talente &amp; Stuff'!ER:FT,22,FALSE)</f>
        <v>0</v>
      </c>
      <c r="Y151" s="165">
        <f t="shared" si="14"/>
        <v>0</v>
      </c>
      <c r="Z151" s="44">
        <f t="shared" si="15"/>
        <v>0</v>
      </c>
      <c r="AA151" s="159">
        <f>VLOOKUP(C151,'Talente &amp; Stuff'!ER:FT,25,FALSE)</f>
        <v>0</v>
      </c>
      <c r="AB151" s="161">
        <f>VLOOKUP(C151,'Talente &amp; Stuff'!ER:FT,26,FALSE)</f>
        <v>0</v>
      </c>
      <c r="AC151" s="128">
        <f>VLOOKUP(C151,'Talente &amp; Stuff'!ER:FT,27,FALSE)</f>
        <v>0</v>
      </c>
      <c r="AD151" s="159">
        <f>VLOOKUP(C151,'Talente &amp; Stuff'!ER:FT,28,FALSE)</f>
        <v>0</v>
      </c>
      <c r="AE151" s="28"/>
    </row>
    <row r="152" spans="2:31" ht="15" hidden="1" customHeight="1" outlineLevel="1" collapsed="1">
      <c r="B152" s="134" t="s">
        <v>329</v>
      </c>
      <c r="C152" s="83"/>
      <c r="D152" s="84"/>
      <c r="E152" s="84"/>
    </row>
    <row r="153" spans="2:31" ht="15" hidden="1" customHeight="1" outlineLevel="2">
      <c r="B153" s="148">
        <v>1</v>
      </c>
      <c r="C153" s="176" t="str">
        <f>Attribute!C153</f>
        <v>---</v>
      </c>
      <c r="D153" s="85" t="str">
        <f>VLOOKUP(C153,'Talente &amp; Stuff'!ER:FT,2,FALSE)</f>
        <v>--/--/--</v>
      </c>
      <c r="E153" s="168" t="str">
        <f>VLOOKUP(C153,'Talente &amp; Stuff'!ER:FT,3,FALSE)</f>
        <v>-</v>
      </c>
      <c r="F153" s="171">
        <f>VLOOKUP(C153,'Talente &amp; Stuff'!ER:FT,4,FALSE)</f>
        <v>0</v>
      </c>
      <c r="G153" s="170">
        <f>VLOOKUP(C153,'Talente &amp; Stuff'!ER:FT,5,FALSE)</f>
        <v>0</v>
      </c>
      <c r="H153" s="170">
        <f>VLOOKUP(C153,'Talente &amp; Stuff'!ER:FT,6,FALSE)</f>
        <v>0</v>
      </c>
      <c r="I153" s="170">
        <f>VLOOKUP(C153,'Talente &amp; Stuff'!ER:FT,7,FALSE)</f>
        <v>0</v>
      </c>
      <c r="J153" s="170">
        <f>VLOOKUP(C153,'Talente &amp; Stuff'!ER:FT,8,FALSE)</f>
        <v>0</v>
      </c>
      <c r="K153" s="170">
        <f>VLOOKUP(C153,'Talente &amp; Stuff'!ER:FT,9,FALSE)</f>
        <v>0</v>
      </c>
      <c r="L153" s="170">
        <f>VLOOKUP(C153,'Talente &amp; Stuff'!ER:FT,10,FALSE)</f>
        <v>0</v>
      </c>
      <c r="M153" s="172">
        <f>VLOOKUP(C153,'Talente &amp; Stuff'!ER:FT,11,FALSE)</f>
        <v>0</v>
      </c>
      <c r="N153" s="116">
        <f>VLOOKUP(C153,'Talente &amp; Stuff'!ER:FT,12,FALSE)</f>
        <v>0</v>
      </c>
      <c r="O153" s="194">
        <f>VLOOKUP(C153,'Talente &amp; Stuff'!ER:FT,13,FALSE)</f>
        <v>0</v>
      </c>
      <c r="P153" s="192">
        <f>VLOOKUP(C153,'Talente &amp; Stuff'!ER:FT,14,FALSE)</f>
        <v>0</v>
      </c>
      <c r="Q153" s="191">
        <f>VLOOKUP(C153,'Talente &amp; Stuff'!ER:FT,15,FALSE)</f>
        <v>0</v>
      </c>
      <c r="R153" s="170">
        <f>VLOOKUP(C153,'Talente &amp; Stuff'!ER:FT,16,FALSE)</f>
        <v>0</v>
      </c>
      <c r="S153" s="92">
        <f>VLOOKUP(C153,'Talente &amp; Stuff'!ER:FT,17,FALSE)</f>
        <v>0</v>
      </c>
      <c r="T153" s="92">
        <f>VLOOKUP(C153,'Talente &amp; Stuff'!ER:FT,18,FALSE)</f>
        <v>0</v>
      </c>
      <c r="U153" s="193">
        <f>VLOOKUP(C153,'Talente &amp; Stuff'!ER:FT,19,FALSE)</f>
        <v>0</v>
      </c>
      <c r="V153" s="116">
        <f>VLOOKUP(C153,'Talente &amp; Stuff'!ER:FT,20,FALSE)</f>
        <v>0</v>
      </c>
      <c r="W153" s="126">
        <f>VLOOKUP(C153,'Talente &amp; Stuff'!ER:FT,21,FALSE)</f>
        <v>0</v>
      </c>
      <c r="X153" s="126">
        <f>VLOOKUP(C153,'Talente &amp; Stuff'!ER:FT,22,FALSE)</f>
        <v>0</v>
      </c>
      <c r="Y153" s="165">
        <f t="shared" ref="Y153:Y184" si="16">VLOOKUP(C153,Ausgewählte_Zauber_Gildenmagier,168,FALSE)</f>
        <v>0</v>
      </c>
      <c r="Z153" s="44">
        <f t="shared" ref="Z153:Z184" si="17">VLOOKUP(C153,Ausgewählte_Zauber_Gildenmagier,169,FALSE)</f>
        <v>0</v>
      </c>
      <c r="AA153" s="158">
        <f>VLOOKUP(C153,'Talente &amp; Stuff'!ER:FT,25,FALSE)</f>
        <v>0</v>
      </c>
      <c r="AB153" s="91">
        <f>VLOOKUP(C153,'Talente &amp; Stuff'!ER:FT,26,FALSE)</f>
        <v>0</v>
      </c>
      <c r="AC153" s="126">
        <f>VLOOKUP(C153,'Talente &amp; Stuff'!ER:FT,27,FALSE)</f>
        <v>0</v>
      </c>
      <c r="AD153" s="158">
        <f>VLOOKUP(C153,'Talente &amp; Stuff'!ER:FT,28,FALSE)</f>
        <v>0</v>
      </c>
      <c r="AE153" s="28"/>
    </row>
    <row r="154" spans="2:31" ht="15" hidden="1" customHeight="1" outlineLevel="2">
      <c r="B154" s="148">
        <v>2</v>
      </c>
      <c r="C154" s="177" t="str">
        <f>Attribute!C154</f>
        <v>---</v>
      </c>
      <c r="D154" s="86" t="str">
        <f>VLOOKUP(C154,'Talente &amp; Stuff'!ER:FT,2,FALSE)</f>
        <v>--/--/--</v>
      </c>
      <c r="E154" s="167" t="str">
        <f>VLOOKUP(C154,'Talente &amp; Stuff'!ER:FT,3,FALSE)</f>
        <v>-</v>
      </c>
      <c r="F154" s="120">
        <f>VLOOKUP(C154,'Talente &amp; Stuff'!ER:FT,4,FALSE)</f>
        <v>0</v>
      </c>
      <c r="G154" s="117">
        <f>VLOOKUP(C154,'Talente &amp; Stuff'!ER:FT,5,FALSE)</f>
        <v>0</v>
      </c>
      <c r="H154" s="117">
        <f>VLOOKUP(C154,'Talente &amp; Stuff'!ER:FT,6,FALSE)</f>
        <v>0</v>
      </c>
      <c r="I154" s="117">
        <f>VLOOKUP(C154,'Talente &amp; Stuff'!ER:FT,7,FALSE)</f>
        <v>0</v>
      </c>
      <c r="J154" s="117">
        <f>VLOOKUP(C154,'Talente &amp; Stuff'!ER:FT,8,FALSE)</f>
        <v>0</v>
      </c>
      <c r="K154" s="117">
        <f>VLOOKUP(C154,'Talente &amp; Stuff'!ER:FT,9,FALSE)</f>
        <v>0</v>
      </c>
      <c r="L154" s="117">
        <f>VLOOKUP(C154,'Talente &amp; Stuff'!ER:FT,10,FALSE)</f>
        <v>0</v>
      </c>
      <c r="M154" s="121">
        <f>VLOOKUP(C154,'Talente &amp; Stuff'!ER:FT,11,FALSE)</f>
        <v>0</v>
      </c>
      <c r="N154" s="47">
        <f>VLOOKUP(C154,'Talente &amp; Stuff'!ER:FT,12,FALSE)</f>
        <v>0</v>
      </c>
      <c r="O154" s="3">
        <f>VLOOKUP(C154,'Talente &amp; Stuff'!ER:FT,13,FALSE)</f>
        <v>0</v>
      </c>
      <c r="P154" s="174">
        <f>VLOOKUP(C154,'Talente &amp; Stuff'!ER:FT,14,FALSE)</f>
        <v>0</v>
      </c>
      <c r="Q154" s="114">
        <f>VLOOKUP(C154,'Talente &amp; Stuff'!ER:FT,15,FALSE)</f>
        <v>0</v>
      </c>
      <c r="R154" s="117">
        <f>VLOOKUP(C154,'Talente &amp; Stuff'!ER:FT,16,FALSE)</f>
        <v>0</v>
      </c>
      <c r="S154" s="119">
        <f>VLOOKUP(C154,'Talente &amp; Stuff'!ER:FT,17,FALSE)</f>
        <v>0</v>
      </c>
      <c r="T154" s="119">
        <f>VLOOKUP(C154,'Talente &amp; Stuff'!ER:FT,18,FALSE)</f>
        <v>0</v>
      </c>
      <c r="U154" s="89">
        <f>VLOOKUP(C154,'Talente &amp; Stuff'!ER:FT,19,FALSE)</f>
        <v>0</v>
      </c>
      <c r="V154" s="47">
        <f>VLOOKUP(C154,'Talente &amp; Stuff'!ER:FT,20,FALSE)</f>
        <v>0</v>
      </c>
      <c r="W154" s="127">
        <f>VLOOKUP(C154,'Talente &amp; Stuff'!ER:FT,21,FALSE)</f>
        <v>0</v>
      </c>
      <c r="X154" s="127">
        <f>VLOOKUP(C154,'Talente &amp; Stuff'!ER:FT,22,FALSE)</f>
        <v>0</v>
      </c>
      <c r="Y154" s="165">
        <f t="shared" si="16"/>
        <v>0</v>
      </c>
      <c r="Z154" s="44">
        <f t="shared" si="17"/>
        <v>0</v>
      </c>
      <c r="AA154" s="125">
        <f>VLOOKUP(C154,'Talente &amp; Stuff'!ER:FT,25,FALSE)</f>
        <v>0</v>
      </c>
      <c r="AB154" s="160">
        <f>VLOOKUP(C154,'Talente &amp; Stuff'!ER:FT,26,FALSE)</f>
        <v>0</v>
      </c>
      <c r="AC154" s="127">
        <f>VLOOKUP(C154,'Talente &amp; Stuff'!ER:FT,27,FALSE)</f>
        <v>0</v>
      </c>
      <c r="AD154" s="125">
        <f>VLOOKUP(C154,'Talente &amp; Stuff'!ER:FT,28,FALSE)</f>
        <v>0</v>
      </c>
      <c r="AE154" s="28"/>
    </row>
    <row r="155" spans="2:31" ht="15" hidden="1" customHeight="1" outlineLevel="2">
      <c r="B155" s="148">
        <v>3</v>
      </c>
      <c r="C155" s="177" t="str">
        <f>Attribute!C155</f>
        <v>---</v>
      </c>
      <c r="D155" s="86" t="str">
        <f>VLOOKUP(C155,'Talente &amp; Stuff'!ER:FT,2,FALSE)</f>
        <v>--/--/--</v>
      </c>
      <c r="E155" s="167" t="str">
        <f>VLOOKUP(C155,'Talente &amp; Stuff'!ER:FT,3,FALSE)</f>
        <v>-</v>
      </c>
      <c r="F155" s="120">
        <f>VLOOKUP(C155,'Talente &amp; Stuff'!ER:FT,4,FALSE)</f>
        <v>0</v>
      </c>
      <c r="G155" s="117">
        <f>VLOOKUP(C155,'Talente &amp; Stuff'!ER:FT,5,FALSE)</f>
        <v>0</v>
      </c>
      <c r="H155" s="117">
        <f>VLOOKUP(C155,'Talente &amp; Stuff'!ER:FT,6,FALSE)</f>
        <v>0</v>
      </c>
      <c r="I155" s="117">
        <f>VLOOKUP(C155,'Talente &amp; Stuff'!ER:FT,7,FALSE)</f>
        <v>0</v>
      </c>
      <c r="J155" s="117">
        <f>VLOOKUP(C155,'Talente &amp; Stuff'!ER:FT,8,FALSE)</f>
        <v>0</v>
      </c>
      <c r="K155" s="117">
        <f>VLOOKUP(C155,'Talente &amp; Stuff'!ER:FT,9,FALSE)</f>
        <v>0</v>
      </c>
      <c r="L155" s="117">
        <f>VLOOKUP(C155,'Talente &amp; Stuff'!ER:FT,10,FALSE)</f>
        <v>0</v>
      </c>
      <c r="M155" s="121">
        <f>VLOOKUP(C155,'Talente &amp; Stuff'!ER:FT,11,FALSE)</f>
        <v>0</v>
      </c>
      <c r="N155" s="47">
        <f>VLOOKUP(C155,'Talente &amp; Stuff'!ER:FT,12,FALSE)</f>
        <v>0</v>
      </c>
      <c r="O155" s="3">
        <f>VLOOKUP(C155,'Talente &amp; Stuff'!ER:FT,13,FALSE)</f>
        <v>0</v>
      </c>
      <c r="P155" s="174">
        <f>VLOOKUP(C155,'Talente &amp; Stuff'!ER:FT,14,FALSE)</f>
        <v>0</v>
      </c>
      <c r="Q155" s="114">
        <f>VLOOKUP(C155,'Talente &amp; Stuff'!ER:FT,15,FALSE)</f>
        <v>0</v>
      </c>
      <c r="R155" s="117">
        <f>VLOOKUP(C155,'Talente &amp; Stuff'!ER:FT,16,FALSE)</f>
        <v>0</v>
      </c>
      <c r="S155" s="119">
        <f>VLOOKUP(C155,'Talente &amp; Stuff'!ER:FT,17,FALSE)</f>
        <v>0</v>
      </c>
      <c r="T155" s="119">
        <f>VLOOKUP(C155,'Talente &amp; Stuff'!ER:FT,18,FALSE)</f>
        <v>0</v>
      </c>
      <c r="U155" s="89">
        <f>VLOOKUP(C155,'Talente &amp; Stuff'!ER:FT,19,FALSE)</f>
        <v>0</v>
      </c>
      <c r="V155" s="47">
        <f>VLOOKUP(C155,'Talente &amp; Stuff'!ER:FT,20,FALSE)</f>
        <v>0</v>
      </c>
      <c r="W155" s="127">
        <f>VLOOKUP(C155,'Talente &amp; Stuff'!ER:FT,21,FALSE)</f>
        <v>0</v>
      </c>
      <c r="X155" s="127">
        <f>VLOOKUP(C155,'Talente &amp; Stuff'!ER:FT,22,FALSE)</f>
        <v>0</v>
      </c>
      <c r="Y155" s="165">
        <f t="shared" si="16"/>
        <v>0</v>
      </c>
      <c r="Z155" s="44">
        <f t="shared" si="17"/>
        <v>0</v>
      </c>
      <c r="AA155" s="125">
        <f>VLOOKUP(C155,'Talente &amp; Stuff'!ER:FT,25,FALSE)</f>
        <v>0</v>
      </c>
      <c r="AB155" s="160">
        <f>VLOOKUP(C155,'Talente &amp; Stuff'!ER:FT,26,FALSE)</f>
        <v>0</v>
      </c>
      <c r="AC155" s="127">
        <f>VLOOKUP(C155,'Talente &amp; Stuff'!ER:FT,27,FALSE)</f>
        <v>0</v>
      </c>
      <c r="AD155" s="125">
        <f>VLOOKUP(C155,'Talente &amp; Stuff'!ER:FT,28,FALSE)</f>
        <v>0</v>
      </c>
      <c r="AE155" s="28"/>
    </row>
    <row r="156" spans="2:31" ht="15" hidden="1" customHeight="1" outlineLevel="2">
      <c r="B156" s="148">
        <v>4</v>
      </c>
      <c r="C156" s="177" t="str">
        <f>Attribute!C156</f>
        <v>---</v>
      </c>
      <c r="D156" s="86" t="str">
        <f>VLOOKUP(C156,'Talente &amp; Stuff'!ER:FT,2,FALSE)</f>
        <v>--/--/--</v>
      </c>
      <c r="E156" s="167" t="str">
        <f>VLOOKUP(C156,'Talente &amp; Stuff'!ER:FT,3,FALSE)</f>
        <v>-</v>
      </c>
      <c r="F156" s="120">
        <f>VLOOKUP(C156,'Talente &amp; Stuff'!ER:FT,4,FALSE)</f>
        <v>0</v>
      </c>
      <c r="G156" s="117">
        <f>VLOOKUP(C156,'Talente &amp; Stuff'!ER:FT,5,FALSE)</f>
        <v>0</v>
      </c>
      <c r="H156" s="117">
        <f>VLOOKUP(C156,'Talente &amp; Stuff'!ER:FT,6,FALSE)</f>
        <v>0</v>
      </c>
      <c r="I156" s="117">
        <f>VLOOKUP(C156,'Talente &amp; Stuff'!ER:FT,7,FALSE)</f>
        <v>0</v>
      </c>
      <c r="J156" s="117">
        <f>VLOOKUP(C156,'Talente &amp; Stuff'!ER:FT,8,FALSE)</f>
        <v>0</v>
      </c>
      <c r="K156" s="117">
        <f>VLOOKUP(C156,'Talente &amp; Stuff'!ER:FT,9,FALSE)</f>
        <v>0</v>
      </c>
      <c r="L156" s="117">
        <f>VLOOKUP(C156,'Talente &amp; Stuff'!ER:FT,10,FALSE)</f>
        <v>0</v>
      </c>
      <c r="M156" s="121">
        <f>VLOOKUP(C156,'Talente &amp; Stuff'!ER:FT,11,FALSE)</f>
        <v>0</v>
      </c>
      <c r="N156" s="47">
        <f>VLOOKUP(C156,'Talente &amp; Stuff'!ER:FT,12,FALSE)</f>
        <v>0</v>
      </c>
      <c r="O156" s="3">
        <f>VLOOKUP(C156,'Talente &amp; Stuff'!ER:FT,13,FALSE)</f>
        <v>0</v>
      </c>
      <c r="P156" s="174">
        <f>VLOOKUP(C156,'Talente &amp; Stuff'!ER:FT,14,FALSE)</f>
        <v>0</v>
      </c>
      <c r="Q156" s="114">
        <f>VLOOKUP(C156,'Talente &amp; Stuff'!ER:FT,15,FALSE)</f>
        <v>0</v>
      </c>
      <c r="R156" s="117">
        <f>VLOOKUP(C156,'Talente &amp; Stuff'!ER:FT,16,FALSE)</f>
        <v>0</v>
      </c>
      <c r="S156" s="119">
        <f>VLOOKUP(C156,'Talente &amp; Stuff'!ER:FT,17,FALSE)</f>
        <v>0</v>
      </c>
      <c r="T156" s="119">
        <f>VLOOKUP(C156,'Talente &amp; Stuff'!ER:FT,18,FALSE)</f>
        <v>0</v>
      </c>
      <c r="U156" s="89">
        <f>VLOOKUP(C156,'Talente &amp; Stuff'!ER:FT,19,FALSE)</f>
        <v>0</v>
      </c>
      <c r="V156" s="47">
        <f>VLOOKUP(C156,'Talente &amp; Stuff'!ER:FT,20,FALSE)</f>
        <v>0</v>
      </c>
      <c r="W156" s="127">
        <f>VLOOKUP(C156,'Talente &amp; Stuff'!ER:FT,21,FALSE)</f>
        <v>0</v>
      </c>
      <c r="X156" s="127">
        <f>VLOOKUP(C156,'Talente &amp; Stuff'!ER:FT,22,FALSE)</f>
        <v>0</v>
      </c>
      <c r="Y156" s="165">
        <f t="shared" si="16"/>
        <v>0</v>
      </c>
      <c r="Z156" s="44">
        <f t="shared" si="17"/>
        <v>0</v>
      </c>
      <c r="AA156" s="125">
        <f>VLOOKUP(C156,'Talente &amp; Stuff'!ER:FT,25,FALSE)</f>
        <v>0</v>
      </c>
      <c r="AB156" s="160">
        <f>VLOOKUP(C156,'Talente &amp; Stuff'!ER:FT,26,FALSE)</f>
        <v>0</v>
      </c>
      <c r="AC156" s="127">
        <f>VLOOKUP(C156,'Talente &amp; Stuff'!ER:FT,27,FALSE)</f>
        <v>0</v>
      </c>
      <c r="AD156" s="125">
        <f>VLOOKUP(C156,'Talente &amp; Stuff'!ER:FT,28,FALSE)</f>
        <v>0</v>
      </c>
      <c r="AE156" s="28"/>
    </row>
    <row r="157" spans="2:31" ht="15" hidden="1" customHeight="1" outlineLevel="2">
      <c r="B157" s="148">
        <v>5</v>
      </c>
      <c r="C157" s="177" t="str">
        <f>Attribute!C157</f>
        <v>---</v>
      </c>
      <c r="D157" s="86" t="str">
        <f>VLOOKUP(C157,'Talente &amp; Stuff'!ER:FT,2,FALSE)</f>
        <v>--/--/--</v>
      </c>
      <c r="E157" s="167" t="str">
        <f>VLOOKUP(C157,'Talente &amp; Stuff'!ER:FT,3,FALSE)</f>
        <v>-</v>
      </c>
      <c r="F157" s="120">
        <f>VLOOKUP(C157,'Talente &amp; Stuff'!ER:FT,4,FALSE)</f>
        <v>0</v>
      </c>
      <c r="G157" s="117">
        <f>VLOOKUP(C157,'Talente &amp; Stuff'!ER:FT,5,FALSE)</f>
        <v>0</v>
      </c>
      <c r="H157" s="117">
        <f>VLOOKUP(C157,'Talente &amp; Stuff'!ER:FT,6,FALSE)</f>
        <v>0</v>
      </c>
      <c r="I157" s="117">
        <f>VLOOKUP(C157,'Talente &amp; Stuff'!ER:FT,7,FALSE)</f>
        <v>0</v>
      </c>
      <c r="J157" s="117">
        <f>VLOOKUP(C157,'Talente &amp; Stuff'!ER:FT,8,FALSE)</f>
        <v>0</v>
      </c>
      <c r="K157" s="117">
        <f>VLOOKUP(C157,'Talente &amp; Stuff'!ER:FT,9,FALSE)</f>
        <v>0</v>
      </c>
      <c r="L157" s="117">
        <f>VLOOKUP(C157,'Talente &amp; Stuff'!ER:FT,10,FALSE)</f>
        <v>0</v>
      </c>
      <c r="M157" s="121">
        <f>VLOOKUP(C157,'Talente &amp; Stuff'!ER:FT,11,FALSE)</f>
        <v>0</v>
      </c>
      <c r="N157" s="47">
        <f>VLOOKUP(C157,'Talente &amp; Stuff'!ER:FT,12,FALSE)</f>
        <v>0</v>
      </c>
      <c r="O157" s="3">
        <f>VLOOKUP(C157,'Talente &amp; Stuff'!ER:FT,13,FALSE)</f>
        <v>0</v>
      </c>
      <c r="P157" s="174">
        <f>VLOOKUP(C157,'Talente &amp; Stuff'!ER:FT,14,FALSE)</f>
        <v>0</v>
      </c>
      <c r="Q157" s="114">
        <f>VLOOKUP(C157,'Talente &amp; Stuff'!ER:FT,15,FALSE)</f>
        <v>0</v>
      </c>
      <c r="R157" s="117">
        <f>VLOOKUP(C157,'Talente &amp; Stuff'!ER:FT,16,FALSE)</f>
        <v>0</v>
      </c>
      <c r="S157" s="119">
        <f>VLOOKUP(C157,'Talente &amp; Stuff'!ER:FT,17,FALSE)</f>
        <v>0</v>
      </c>
      <c r="T157" s="119">
        <f>VLOOKUP(C157,'Talente &amp; Stuff'!ER:FT,18,FALSE)</f>
        <v>0</v>
      </c>
      <c r="U157" s="89">
        <f>VLOOKUP(C157,'Talente &amp; Stuff'!ER:FT,19,FALSE)</f>
        <v>0</v>
      </c>
      <c r="V157" s="47">
        <f>VLOOKUP(C157,'Talente &amp; Stuff'!ER:FT,20,FALSE)</f>
        <v>0</v>
      </c>
      <c r="W157" s="127">
        <f>VLOOKUP(C157,'Talente &amp; Stuff'!ER:FT,21,FALSE)</f>
        <v>0</v>
      </c>
      <c r="X157" s="127">
        <f>VLOOKUP(C157,'Talente &amp; Stuff'!ER:FT,22,FALSE)</f>
        <v>0</v>
      </c>
      <c r="Y157" s="165">
        <f t="shared" si="16"/>
        <v>0</v>
      </c>
      <c r="Z157" s="44">
        <f t="shared" si="17"/>
        <v>0</v>
      </c>
      <c r="AA157" s="125">
        <f>VLOOKUP(C157,'Talente &amp; Stuff'!ER:FT,25,FALSE)</f>
        <v>0</v>
      </c>
      <c r="AB157" s="160">
        <f>VLOOKUP(C157,'Talente &amp; Stuff'!ER:FT,26,FALSE)</f>
        <v>0</v>
      </c>
      <c r="AC157" s="127">
        <f>VLOOKUP(C157,'Talente &amp; Stuff'!ER:FT,27,FALSE)</f>
        <v>0</v>
      </c>
      <c r="AD157" s="125">
        <f>VLOOKUP(C157,'Talente &amp; Stuff'!ER:FT,28,FALSE)</f>
        <v>0</v>
      </c>
      <c r="AE157" s="28"/>
    </row>
    <row r="158" spans="2:31" ht="15" hidden="1" customHeight="1" outlineLevel="2">
      <c r="B158" s="148">
        <v>6</v>
      </c>
      <c r="C158" s="177" t="str">
        <f>Attribute!C158</f>
        <v>---</v>
      </c>
      <c r="D158" s="86" t="str">
        <f>VLOOKUP(C158,'Talente &amp; Stuff'!ER:FT,2,FALSE)</f>
        <v>--/--/--</v>
      </c>
      <c r="E158" s="167" t="str">
        <f>VLOOKUP(C158,'Talente &amp; Stuff'!ER:FT,3,FALSE)</f>
        <v>-</v>
      </c>
      <c r="F158" s="120">
        <f>VLOOKUP(C158,'Talente &amp; Stuff'!ER:FT,4,FALSE)</f>
        <v>0</v>
      </c>
      <c r="G158" s="117">
        <f>VLOOKUP(C158,'Talente &amp; Stuff'!ER:FT,5,FALSE)</f>
        <v>0</v>
      </c>
      <c r="H158" s="117">
        <f>VLOOKUP(C158,'Talente &amp; Stuff'!ER:FT,6,FALSE)</f>
        <v>0</v>
      </c>
      <c r="I158" s="117">
        <f>VLOOKUP(C158,'Talente &amp; Stuff'!ER:FT,7,FALSE)</f>
        <v>0</v>
      </c>
      <c r="J158" s="117">
        <f>VLOOKUP(C158,'Talente &amp; Stuff'!ER:FT,8,FALSE)</f>
        <v>0</v>
      </c>
      <c r="K158" s="117">
        <f>VLOOKUP(C158,'Talente &amp; Stuff'!ER:FT,9,FALSE)</f>
        <v>0</v>
      </c>
      <c r="L158" s="117">
        <f>VLOOKUP(C158,'Talente &amp; Stuff'!ER:FT,10,FALSE)</f>
        <v>0</v>
      </c>
      <c r="M158" s="121">
        <f>VLOOKUP(C158,'Talente &amp; Stuff'!ER:FT,11,FALSE)</f>
        <v>0</v>
      </c>
      <c r="N158" s="47">
        <f>VLOOKUP(C158,'Talente &amp; Stuff'!ER:FT,12,FALSE)</f>
        <v>0</v>
      </c>
      <c r="O158" s="3">
        <f>VLOOKUP(C158,'Talente &amp; Stuff'!ER:FT,13,FALSE)</f>
        <v>0</v>
      </c>
      <c r="P158" s="174">
        <f>VLOOKUP(C158,'Talente &amp; Stuff'!ER:FT,14,FALSE)</f>
        <v>0</v>
      </c>
      <c r="Q158" s="114">
        <f>VLOOKUP(C158,'Talente &amp; Stuff'!ER:FT,15,FALSE)</f>
        <v>0</v>
      </c>
      <c r="R158" s="117">
        <f>VLOOKUP(C158,'Talente &amp; Stuff'!ER:FT,16,FALSE)</f>
        <v>0</v>
      </c>
      <c r="S158" s="119">
        <f>VLOOKUP(C158,'Talente &amp; Stuff'!ER:FT,17,FALSE)</f>
        <v>0</v>
      </c>
      <c r="T158" s="119">
        <f>VLOOKUP(C158,'Talente &amp; Stuff'!ER:FT,18,FALSE)</f>
        <v>0</v>
      </c>
      <c r="U158" s="89">
        <f>VLOOKUP(C158,'Talente &amp; Stuff'!ER:FT,19,FALSE)</f>
        <v>0</v>
      </c>
      <c r="V158" s="47">
        <f>VLOOKUP(C158,'Talente &amp; Stuff'!ER:FT,20,FALSE)</f>
        <v>0</v>
      </c>
      <c r="W158" s="127">
        <f>VLOOKUP(C158,'Talente &amp; Stuff'!ER:FT,21,FALSE)</f>
        <v>0</v>
      </c>
      <c r="X158" s="127">
        <f>VLOOKUP(C158,'Talente &amp; Stuff'!ER:FT,22,FALSE)</f>
        <v>0</v>
      </c>
      <c r="Y158" s="165">
        <f t="shared" si="16"/>
        <v>0</v>
      </c>
      <c r="Z158" s="44">
        <f t="shared" si="17"/>
        <v>0</v>
      </c>
      <c r="AA158" s="125">
        <f>VLOOKUP(C158,'Talente &amp; Stuff'!ER:FT,25,FALSE)</f>
        <v>0</v>
      </c>
      <c r="AB158" s="160">
        <f>VLOOKUP(C158,'Talente &amp; Stuff'!ER:FT,26,FALSE)</f>
        <v>0</v>
      </c>
      <c r="AC158" s="127">
        <f>VLOOKUP(C158,'Talente &amp; Stuff'!ER:FT,27,FALSE)</f>
        <v>0</v>
      </c>
      <c r="AD158" s="125">
        <f>VLOOKUP(C158,'Talente &amp; Stuff'!ER:FT,28,FALSE)</f>
        <v>0</v>
      </c>
      <c r="AE158" s="28"/>
    </row>
    <row r="159" spans="2:31" ht="15" hidden="1" customHeight="1" outlineLevel="2">
      <c r="B159" s="148">
        <v>7</v>
      </c>
      <c r="C159" s="177" t="str">
        <f>Attribute!C159</f>
        <v>---</v>
      </c>
      <c r="D159" s="86" t="str">
        <f>VLOOKUP(C159,'Talente &amp; Stuff'!ER:FT,2,FALSE)</f>
        <v>--/--/--</v>
      </c>
      <c r="E159" s="167" t="str">
        <f>VLOOKUP(C159,'Talente &amp; Stuff'!ER:FT,3,FALSE)</f>
        <v>-</v>
      </c>
      <c r="F159" s="120">
        <f>VLOOKUP(C159,'Talente &amp; Stuff'!ER:FT,4,FALSE)</f>
        <v>0</v>
      </c>
      <c r="G159" s="117">
        <f>VLOOKUP(C159,'Talente &amp; Stuff'!ER:FT,5,FALSE)</f>
        <v>0</v>
      </c>
      <c r="H159" s="117">
        <f>VLOOKUP(C159,'Talente &amp; Stuff'!ER:FT,6,FALSE)</f>
        <v>0</v>
      </c>
      <c r="I159" s="117">
        <f>VLOOKUP(C159,'Talente &amp; Stuff'!ER:FT,7,FALSE)</f>
        <v>0</v>
      </c>
      <c r="J159" s="117">
        <f>VLOOKUP(C159,'Talente &amp; Stuff'!ER:FT,8,FALSE)</f>
        <v>0</v>
      </c>
      <c r="K159" s="117">
        <f>VLOOKUP(C159,'Talente &amp; Stuff'!ER:FT,9,FALSE)</f>
        <v>0</v>
      </c>
      <c r="L159" s="117">
        <f>VLOOKUP(C159,'Talente &amp; Stuff'!ER:FT,10,FALSE)</f>
        <v>0</v>
      </c>
      <c r="M159" s="121">
        <f>VLOOKUP(C159,'Talente &amp; Stuff'!ER:FT,11,FALSE)</f>
        <v>0</v>
      </c>
      <c r="N159" s="47">
        <f>VLOOKUP(C159,'Talente &amp; Stuff'!ER:FT,12,FALSE)</f>
        <v>0</v>
      </c>
      <c r="O159" s="3">
        <f>VLOOKUP(C159,'Talente &amp; Stuff'!ER:FT,13,FALSE)</f>
        <v>0</v>
      </c>
      <c r="P159" s="174">
        <f>VLOOKUP(C159,'Talente &amp; Stuff'!ER:FT,14,FALSE)</f>
        <v>0</v>
      </c>
      <c r="Q159" s="114">
        <f>VLOOKUP(C159,'Talente &amp; Stuff'!ER:FT,15,FALSE)</f>
        <v>0</v>
      </c>
      <c r="R159" s="117">
        <f>VLOOKUP(C159,'Talente &amp; Stuff'!ER:FT,16,FALSE)</f>
        <v>0</v>
      </c>
      <c r="S159" s="119">
        <f>VLOOKUP(C159,'Talente &amp; Stuff'!ER:FT,17,FALSE)</f>
        <v>0</v>
      </c>
      <c r="T159" s="119">
        <f>VLOOKUP(C159,'Talente &amp; Stuff'!ER:FT,18,FALSE)</f>
        <v>0</v>
      </c>
      <c r="U159" s="89">
        <f>VLOOKUP(C159,'Talente &amp; Stuff'!ER:FT,19,FALSE)</f>
        <v>0</v>
      </c>
      <c r="V159" s="47">
        <f>VLOOKUP(C159,'Talente &amp; Stuff'!ER:FT,20,FALSE)</f>
        <v>0</v>
      </c>
      <c r="W159" s="127">
        <f>VLOOKUP(C159,'Talente &amp; Stuff'!ER:FT,21,FALSE)</f>
        <v>0</v>
      </c>
      <c r="X159" s="127">
        <f>VLOOKUP(C159,'Talente &amp; Stuff'!ER:FT,22,FALSE)</f>
        <v>0</v>
      </c>
      <c r="Y159" s="165">
        <f t="shared" si="16"/>
        <v>0</v>
      </c>
      <c r="Z159" s="44">
        <f t="shared" si="17"/>
        <v>0</v>
      </c>
      <c r="AA159" s="125">
        <f>VLOOKUP(C159,'Talente &amp; Stuff'!ER:FT,25,FALSE)</f>
        <v>0</v>
      </c>
      <c r="AB159" s="160">
        <f>VLOOKUP(C159,'Talente &amp; Stuff'!ER:FT,26,FALSE)</f>
        <v>0</v>
      </c>
      <c r="AC159" s="127">
        <f>VLOOKUP(C159,'Talente &amp; Stuff'!ER:FT,27,FALSE)</f>
        <v>0</v>
      </c>
      <c r="AD159" s="125">
        <f>VLOOKUP(C159,'Talente &amp; Stuff'!ER:FT,28,FALSE)</f>
        <v>0</v>
      </c>
      <c r="AE159" s="28"/>
    </row>
    <row r="160" spans="2:31" ht="15" hidden="1" customHeight="1" outlineLevel="2">
      <c r="B160" s="148">
        <v>8</v>
      </c>
      <c r="C160" s="177" t="str">
        <f>Attribute!C160</f>
        <v>---</v>
      </c>
      <c r="D160" s="86" t="str">
        <f>VLOOKUP(C160,'Talente &amp; Stuff'!ER:FT,2,FALSE)</f>
        <v>--/--/--</v>
      </c>
      <c r="E160" s="167" t="str">
        <f>VLOOKUP(C160,'Talente &amp; Stuff'!ER:FT,3,FALSE)</f>
        <v>-</v>
      </c>
      <c r="F160" s="120">
        <f>VLOOKUP(C160,'Talente &amp; Stuff'!ER:FT,4,FALSE)</f>
        <v>0</v>
      </c>
      <c r="G160" s="117">
        <f>VLOOKUP(C160,'Talente &amp; Stuff'!ER:FT,5,FALSE)</f>
        <v>0</v>
      </c>
      <c r="H160" s="117">
        <f>VLOOKUP(C160,'Talente &amp; Stuff'!ER:FT,6,FALSE)</f>
        <v>0</v>
      </c>
      <c r="I160" s="117">
        <f>VLOOKUP(C160,'Talente &amp; Stuff'!ER:FT,7,FALSE)</f>
        <v>0</v>
      </c>
      <c r="J160" s="117">
        <f>VLOOKUP(C160,'Talente &amp; Stuff'!ER:FT,8,FALSE)</f>
        <v>0</v>
      </c>
      <c r="K160" s="117">
        <f>VLOOKUP(C160,'Talente &amp; Stuff'!ER:FT,9,FALSE)</f>
        <v>0</v>
      </c>
      <c r="L160" s="117">
        <f>VLOOKUP(C160,'Talente &amp; Stuff'!ER:FT,10,FALSE)</f>
        <v>0</v>
      </c>
      <c r="M160" s="121">
        <f>VLOOKUP(C160,'Talente &amp; Stuff'!ER:FT,11,FALSE)</f>
        <v>0</v>
      </c>
      <c r="N160" s="47">
        <f>VLOOKUP(C160,'Talente &amp; Stuff'!ER:FT,12,FALSE)</f>
        <v>0</v>
      </c>
      <c r="O160" s="3">
        <f>VLOOKUP(C160,'Talente &amp; Stuff'!ER:FT,13,FALSE)</f>
        <v>0</v>
      </c>
      <c r="P160" s="174">
        <f>VLOOKUP(C160,'Talente &amp; Stuff'!ER:FT,14,FALSE)</f>
        <v>0</v>
      </c>
      <c r="Q160" s="114">
        <f>VLOOKUP(C160,'Talente &amp; Stuff'!ER:FT,15,FALSE)</f>
        <v>0</v>
      </c>
      <c r="R160" s="117">
        <f>VLOOKUP(C160,'Talente &amp; Stuff'!ER:FT,16,FALSE)</f>
        <v>0</v>
      </c>
      <c r="S160" s="119">
        <f>VLOOKUP(C160,'Talente &amp; Stuff'!ER:FT,17,FALSE)</f>
        <v>0</v>
      </c>
      <c r="T160" s="119">
        <f>VLOOKUP(C160,'Talente &amp; Stuff'!ER:FT,18,FALSE)</f>
        <v>0</v>
      </c>
      <c r="U160" s="89">
        <f>VLOOKUP(C160,'Talente &amp; Stuff'!ER:FT,19,FALSE)</f>
        <v>0</v>
      </c>
      <c r="V160" s="47">
        <f>VLOOKUP(C160,'Talente &amp; Stuff'!ER:FT,20,FALSE)</f>
        <v>0</v>
      </c>
      <c r="W160" s="127">
        <f>VLOOKUP(C160,'Talente &amp; Stuff'!ER:FT,21,FALSE)</f>
        <v>0</v>
      </c>
      <c r="X160" s="127">
        <f>VLOOKUP(C160,'Talente &amp; Stuff'!ER:FT,22,FALSE)</f>
        <v>0</v>
      </c>
      <c r="Y160" s="165">
        <f t="shared" si="16"/>
        <v>0</v>
      </c>
      <c r="Z160" s="44">
        <f t="shared" si="17"/>
        <v>0</v>
      </c>
      <c r="AA160" s="125">
        <f>VLOOKUP(C160,'Talente &amp; Stuff'!ER:FT,25,FALSE)</f>
        <v>0</v>
      </c>
      <c r="AB160" s="160">
        <f>VLOOKUP(C160,'Talente &amp; Stuff'!ER:FT,26,FALSE)</f>
        <v>0</v>
      </c>
      <c r="AC160" s="127">
        <f>VLOOKUP(C160,'Talente &amp; Stuff'!ER:FT,27,FALSE)</f>
        <v>0</v>
      </c>
      <c r="AD160" s="125">
        <f>VLOOKUP(C160,'Talente &amp; Stuff'!ER:FT,28,FALSE)</f>
        <v>0</v>
      </c>
      <c r="AE160" s="28"/>
    </row>
    <row r="161" spans="2:31" ht="15" hidden="1" customHeight="1" outlineLevel="2">
      <c r="B161" s="148">
        <v>9</v>
      </c>
      <c r="C161" s="177" t="str">
        <f>Attribute!C161</f>
        <v>---</v>
      </c>
      <c r="D161" s="86" t="str">
        <f>VLOOKUP(C161,'Talente &amp; Stuff'!ER:FT,2,FALSE)</f>
        <v>--/--/--</v>
      </c>
      <c r="E161" s="167" t="str">
        <f>VLOOKUP(C161,'Talente &amp; Stuff'!ER:FT,3,FALSE)</f>
        <v>-</v>
      </c>
      <c r="F161" s="120">
        <f>VLOOKUP(C161,'Talente &amp; Stuff'!ER:FT,4,FALSE)</f>
        <v>0</v>
      </c>
      <c r="G161" s="117">
        <f>VLOOKUP(C161,'Talente &amp; Stuff'!ER:FT,5,FALSE)</f>
        <v>0</v>
      </c>
      <c r="H161" s="117">
        <f>VLOOKUP(C161,'Talente &amp; Stuff'!ER:FT,6,FALSE)</f>
        <v>0</v>
      </c>
      <c r="I161" s="117">
        <f>VLOOKUP(C161,'Talente &amp; Stuff'!ER:FT,7,FALSE)</f>
        <v>0</v>
      </c>
      <c r="J161" s="117">
        <f>VLOOKUP(C161,'Talente &amp; Stuff'!ER:FT,8,FALSE)</f>
        <v>0</v>
      </c>
      <c r="K161" s="117">
        <f>VLOOKUP(C161,'Talente &amp; Stuff'!ER:FT,9,FALSE)</f>
        <v>0</v>
      </c>
      <c r="L161" s="117">
        <f>VLOOKUP(C161,'Talente &amp; Stuff'!ER:FT,10,FALSE)</f>
        <v>0</v>
      </c>
      <c r="M161" s="121">
        <f>VLOOKUP(C161,'Talente &amp; Stuff'!ER:FT,11,FALSE)</f>
        <v>0</v>
      </c>
      <c r="N161" s="47">
        <f>VLOOKUP(C161,'Talente &amp; Stuff'!ER:FT,12,FALSE)</f>
        <v>0</v>
      </c>
      <c r="O161" s="3">
        <f>VLOOKUP(C161,'Talente &amp; Stuff'!ER:FT,13,FALSE)</f>
        <v>0</v>
      </c>
      <c r="P161" s="174">
        <f>VLOOKUP(C161,'Talente &amp; Stuff'!ER:FT,14,FALSE)</f>
        <v>0</v>
      </c>
      <c r="Q161" s="114">
        <f>VLOOKUP(C161,'Talente &amp; Stuff'!ER:FT,15,FALSE)</f>
        <v>0</v>
      </c>
      <c r="R161" s="117">
        <f>VLOOKUP(C161,'Talente &amp; Stuff'!ER:FT,16,FALSE)</f>
        <v>0</v>
      </c>
      <c r="S161" s="119">
        <f>VLOOKUP(C161,'Talente &amp; Stuff'!ER:FT,17,FALSE)</f>
        <v>0</v>
      </c>
      <c r="T161" s="119">
        <f>VLOOKUP(C161,'Talente &amp; Stuff'!ER:FT,18,FALSE)</f>
        <v>0</v>
      </c>
      <c r="U161" s="89">
        <f>VLOOKUP(C161,'Talente &amp; Stuff'!ER:FT,19,FALSE)</f>
        <v>0</v>
      </c>
      <c r="V161" s="47">
        <f>VLOOKUP(C161,'Talente &amp; Stuff'!ER:FT,20,FALSE)</f>
        <v>0</v>
      </c>
      <c r="W161" s="127">
        <f>VLOOKUP(C161,'Talente &amp; Stuff'!ER:FT,21,FALSE)</f>
        <v>0</v>
      </c>
      <c r="X161" s="127">
        <f>VLOOKUP(C161,'Talente &amp; Stuff'!ER:FT,22,FALSE)</f>
        <v>0</v>
      </c>
      <c r="Y161" s="165">
        <f t="shared" si="16"/>
        <v>0</v>
      </c>
      <c r="Z161" s="44">
        <f t="shared" si="17"/>
        <v>0</v>
      </c>
      <c r="AA161" s="125">
        <f>VLOOKUP(C161,'Talente &amp; Stuff'!ER:FT,25,FALSE)</f>
        <v>0</v>
      </c>
      <c r="AB161" s="160">
        <f>VLOOKUP(C161,'Talente &amp; Stuff'!ER:FT,26,FALSE)</f>
        <v>0</v>
      </c>
      <c r="AC161" s="127">
        <f>VLOOKUP(C161,'Talente &amp; Stuff'!ER:FT,27,FALSE)</f>
        <v>0</v>
      </c>
      <c r="AD161" s="125">
        <f>VLOOKUP(C161,'Talente &amp; Stuff'!ER:FT,28,FALSE)</f>
        <v>0</v>
      </c>
      <c r="AE161" s="28"/>
    </row>
    <row r="162" spans="2:31" ht="15" hidden="1" customHeight="1" outlineLevel="2">
      <c r="B162" s="148">
        <v>10</v>
      </c>
      <c r="C162" s="177" t="str">
        <f>Attribute!C162</f>
        <v>---</v>
      </c>
      <c r="D162" s="86" t="str">
        <f>VLOOKUP(C162,'Talente &amp; Stuff'!ER:FT,2,FALSE)</f>
        <v>--/--/--</v>
      </c>
      <c r="E162" s="167" t="str">
        <f>VLOOKUP(C162,'Talente &amp; Stuff'!ER:FT,3,FALSE)</f>
        <v>-</v>
      </c>
      <c r="F162" s="120">
        <f>VLOOKUP(C162,'Talente &amp; Stuff'!ER:FT,4,FALSE)</f>
        <v>0</v>
      </c>
      <c r="G162" s="117">
        <f>VLOOKUP(C162,'Talente &amp; Stuff'!ER:FT,5,FALSE)</f>
        <v>0</v>
      </c>
      <c r="H162" s="117">
        <f>VLOOKUP(C162,'Talente &amp; Stuff'!ER:FT,6,FALSE)</f>
        <v>0</v>
      </c>
      <c r="I162" s="117">
        <f>VLOOKUP(C162,'Talente &amp; Stuff'!ER:FT,7,FALSE)</f>
        <v>0</v>
      </c>
      <c r="J162" s="117">
        <f>VLOOKUP(C162,'Talente &amp; Stuff'!ER:FT,8,FALSE)</f>
        <v>0</v>
      </c>
      <c r="K162" s="117">
        <f>VLOOKUP(C162,'Talente &amp; Stuff'!ER:FT,9,FALSE)</f>
        <v>0</v>
      </c>
      <c r="L162" s="117">
        <f>VLOOKUP(C162,'Talente &amp; Stuff'!ER:FT,10,FALSE)</f>
        <v>0</v>
      </c>
      <c r="M162" s="121">
        <f>VLOOKUP(C162,'Talente &amp; Stuff'!ER:FT,11,FALSE)</f>
        <v>0</v>
      </c>
      <c r="N162" s="47">
        <f>VLOOKUP(C162,'Talente &amp; Stuff'!ER:FT,12,FALSE)</f>
        <v>0</v>
      </c>
      <c r="O162" s="3">
        <f>VLOOKUP(C162,'Talente &amp; Stuff'!ER:FT,13,FALSE)</f>
        <v>0</v>
      </c>
      <c r="P162" s="174">
        <f>VLOOKUP(C162,'Talente &amp; Stuff'!ER:FT,14,FALSE)</f>
        <v>0</v>
      </c>
      <c r="Q162" s="114">
        <f>VLOOKUP(C162,'Talente &amp; Stuff'!ER:FT,15,FALSE)</f>
        <v>0</v>
      </c>
      <c r="R162" s="117">
        <f>VLOOKUP(C162,'Talente &amp; Stuff'!ER:FT,16,FALSE)</f>
        <v>0</v>
      </c>
      <c r="S162" s="119">
        <f>VLOOKUP(C162,'Talente &amp; Stuff'!ER:FT,17,FALSE)</f>
        <v>0</v>
      </c>
      <c r="T162" s="119">
        <f>VLOOKUP(C162,'Talente &amp; Stuff'!ER:FT,18,FALSE)</f>
        <v>0</v>
      </c>
      <c r="U162" s="89">
        <f>VLOOKUP(C162,'Talente &amp; Stuff'!ER:FT,19,FALSE)</f>
        <v>0</v>
      </c>
      <c r="V162" s="47">
        <f>VLOOKUP(C162,'Talente &amp; Stuff'!ER:FT,20,FALSE)</f>
        <v>0</v>
      </c>
      <c r="W162" s="127">
        <f>VLOOKUP(C162,'Talente &amp; Stuff'!ER:FT,21,FALSE)</f>
        <v>0</v>
      </c>
      <c r="X162" s="127">
        <f>VLOOKUP(C162,'Talente &amp; Stuff'!ER:FT,22,FALSE)</f>
        <v>0</v>
      </c>
      <c r="Y162" s="165">
        <f t="shared" si="16"/>
        <v>0</v>
      </c>
      <c r="Z162" s="44">
        <f t="shared" si="17"/>
        <v>0</v>
      </c>
      <c r="AA162" s="125">
        <f>VLOOKUP(C162,'Talente &amp; Stuff'!ER:FT,25,FALSE)</f>
        <v>0</v>
      </c>
      <c r="AB162" s="160">
        <f>VLOOKUP(C162,'Talente &amp; Stuff'!ER:FT,26,FALSE)</f>
        <v>0</v>
      </c>
      <c r="AC162" s="127">
        <f>VLOOKUP(C162,'Talente &amp; Stuff'!ER:FT,27,FALSE)</f>
        <v>0</v>
      </c>
      <c r="AD162" s="125">
        <f>VLOOKUP(C162,'Talente &amp; Stuff'!ER:FT,28,FALSE)</f>
        <v>0</v>
      </c>
      <c r="AE162" s="28"/>
    </row>
    <row r="163" spans="2:31" ht="15" hidden="1" customHeight="1" outlineLevel="2">
      <c r="B163" s="148">
        <v>11</v>
      </c>
      <c r="C163" s="177" t="str">
        <f>Attribute!C163</f>
        <v>---</v>
      </c>
      <c r="D163" s="86" t="str">
        <f>VLOOKUP(C163,'Talente &amp; Stuff'!ER:FT,2,FALSE)</f>
        <v>--/--/--</v>
      </c>
      <c r="E163" s="167" t="str">
        <f>VLOOKUP(C163,'Talente &amp; Stuff'!ER:FT,3,FALSE)</f>
        <v>-</v>
      </c>
      <c r="F163" s="120">
        <f>VLOOKUP(C163,'Talente &amp; Stuff'!ER:FT,4,FALSE)</f>
        <v>0</v>
      </c>
      <c r="G163" s="117">
        <f>VLOOKUP(C163,'Talente &amp; Stuff'!ER:FT,5,FALSE)</f>
        <v>0</v>
      </c>
      <c r="H163" s="117">
        <f>VLOOKUP(C163,'Talente &amp; Stuff'!ER:FT,6,FALSE)</f>
        <v>0</v>
      </c>
      <c r="I163" s="117">
        <f>VLOOKUP(C163,'Talente &amp; Stuff'!ER:FT,7,FALSE)</f>
        <v>0</v>
      </c>
      <c r="J163" s="117">
        <f>VLOOKUP(C163,'Talente &amp; Stuff'!ER:FT,8,FALSE)</f>
        <v>0</v>
      </c>
      <c r="K163" s="117">
        <f>VLOOKUP(C163,'Talente &amp; Stuff'!ER:FT,9,FALSE)</f>
        <v>0</v>
      </c>
      <c r="L163" s="117">
        <f>VLOOKUP(C163,'Talente &amp; Stuff'!ER:FT,10,FALSE)</f>
        <v>0</v>
      </c>
      <c r="M163" s="121">
        <f>VLOOKUP(C163,'Talente &amp; Stuff'!ER:FT,11,FALSE)</f>
        <v>0</v>
      </c>
      <c r="N163" s="47">
        <f>VLOOKUP(C163,'Talente &amp; Stuff'!ER:FT,12,FALSE)</f>
        <v>0</v>
      </c>
      <c r="O163" s="3">
        <f>VLOOKUP(C163,'Talente &amp; Stuff'!ER:FT,13,FALSE)</f>
        <v>0</v>
      </c>
      <c r="P163" s="174">
        <f>VLOOKUP(C163,'Talente &amp; Stuff'!ER:FT,14,FALSE)</f>
        <v>0</v>
      </c>
      <c r="Q163" s="114">
        <f>VLOOKUP(C163,'Talente &amp; Stuff'!ER:FT,15,FALSE)</f>
        <v>0</v>
      </c>
      <c r="R163" s="117">
        <f>VLOOKUP(C163,'Talente &amp; Stuff'!ER:FT,16,FALSE)</f>
        <v>0</v>
      </c>
      <c r="S163" s="119">
        <f>VLOOKUP(C163,'Talente &amp; Stuff'!ER:FT,17,FALSE)</f>
        <v>0</v>
      </c>
      <c r="T163" s="119">
        <f>VLOOKUP(C163,'Talente &amp; Stuff'!ER:FT,18,FALSE)</f>
        <v>0</v>
      </c>
      <c r="U163" s="89">
        <f>VLOOKUP(C163,'Talente &amp; Stuff'!ER:FT,19,FALSE)</f>
        <v>0</v>
      </c>
      <c r="V163" s="47">
        <f>VLOOKUP(C163,'Talente &amp; Stuff'!ER:FT,20,FALSE)</f>
        <v>0</v>
      </c>
      <c r="W163" s="127">
        <f>VLOOKUP(C163,'Talente &amp; Stuff'!ER:FT,21,FALSE)</f>
        <v>0</v>
      </c>
      <c r="X163" s="127">
        <f>VLOOKUP(C163,'Talente &amp; Stuff'!ER:FT,22,FALSE)</f>
        <v>0</v>
      </c>
      <c r="Y163" s="165">
        <f t="shared" si="16"/>
        <v>0</v>
      </c>
      <c r="Z163" s="44">
        <f t="shared" si="17"/>
        <v>0</v>
      </c>
      <c r="AA163" s="125">
        <f>VLOOKUP(C163,'Talente &amp; Stuff'!ER:FT,25,FALSE)</f>
        <v>0</v>
      </c>
      <c r="AB163" s="160">
        <f>VLOOKUP(C163,'Talente &amp; Stuff'!ER:FT,26,FALSE)</f>
        <v>0</v>
      </c>
      <c r="AC163" s="127">
        <f>VLOOKUP(C163,'Talente &amp; Stuff'!ER:FT,27,FALSE)</f>
        <v>0</v>
      </c>
      <c r="AD163" s="125">
        <f>VLOOKUP(C163,'Talente &amp; Stuff'!ER:FT,28,FALSE)</f>
        <v>0</v>
      </c>
      <c r="AE163" s="28"/>
    </row>
    <row r="164" spans="2:31" ht="15" hidden="1" customHeight="1" outlineLevel="2">
      <c r="B164" s="148">
        <v>12</v>
      </c>
      <c r="C164" s="177" t="str">
        <f>Attribute!C164</f>
        <v>---</v>
      </c>
      <c r="D164" s="86" t="str">
        <f>VLOOKUP(C164,'Talente &amp; Stuff'!ER:FT,2,FALSE)</f>
        <v>--/--/--</v>
      </c>
      <c r="E164" s="167" t="str">
        <f>VLOOKUP(C164,'Talente &amp; Stuff'!ER:FT,3,FALSE)</f>
        <v>-</v>
      </c>
      <c r="F164" s="120">
        <f>VLOOKUP(C164,'Talente &amp; Stuff'!ER:FT,4,FALSE)</f>
        <v>0</v>
      </c>
      <c r="G164" s="117">
        <f>VLOOKUP(C164,'Talente &amp; Stuff'!ER:FT,5,FALSE)</f>
        <v>0</v>
      </c>
      <c r="H164" s="117">
        <f>VLOOKUP(C164,'Talente &amp; Stuff'!ER:FT,6,FALSE)</f>
        <v>0</v>
      </c>
      <c r="I164" s="117">
        <f>VLOOKUP(C164,'Talente &amp; Stuff'!ER:FT,7,FALSE)</f>
        <v>0</v>
      </c>
      <c r="J164" s="117">
        <f>VLOOKUP(C164,'Talente &amp; Stuff'!ER:FT,8,FALSE)</f>
        <v>0</v>
      </c>
      <c r="K164" s="117">
        <f>VLOOKUP(C164,'Talente &amp; Stuff'!ER:FT,9,FALSE)</f>
        <v>0</v>
      </c>
      <c r="L164" s="117">
        <f>VLOOKUP(C164,'Talente &amp; Stuff'!ER:FT,10,FALSE)</f>
        <v>0</v>
      </c>
      <c r="M164" s="121">
        <f>VLOOKUP(C164,'Talente &amp; Stuff'!ER:FT,11,FALSE)</f>
        <v>0</v>
      </c>
      <c r="N164" s="47">
        <f>VLOOKUP(C164,'Talente &amp; Stuff'!ER:FT,12,FALSE)</f>
        <v>0</v>
      </c>
      <c r="O164" s="3">
        <f>VLOOKUP(C164,'Talente &amp; Stuff'!ER:FT,13,FALSE)</f>
        <v>0</v>
      </c>
      <c r="P164" s="174">
        <f>VLOOKUP(C164,'Talente &amp; Stuff'!ER:FT,14,FALSE)</f>
        <v>0</v>
      </c>
      <c r="Q164" s="114">
        <f>VLOOKUP(C164,'Talente &amp; Stuff'!ER:FT,15,FALSE)</f>
        <v>0</v>
      </c>
      <c r="R164" s="117">
        <f>VLOOKUP(C164,'Talente &amp; Stuff'!ER:FT,16,FALSE)</f>
        <v>0</v>
      </c>
      <c r="S164" s="119">
        <f>VLOOKUP(C164,'Talente &amp; Stuff'!ER:FT,17,FALSE)</f>
        <v>0</v>
      </c>
      <c r="T164" s="119">
        <f>VLOOKUP(C164,'Talente &amp; Stuff'!ER:FT,18,FALSE)</f>
        <v>0</v>
      </c>
      <c r="U164" s="89">
        <f>VLOOKUP(C164,'Talente &amp; Stuff'!ER:FT,19,FALSE)</f>
        <v>0</v>
      </c>
      <c r="V164" s="47">
        <f>VLOOKUP(C164,'Talente &amp; Stuff'!ER:FT,20,FALSE)</f>
        <v>0</v>
      </c>
      <c r="W164" s="127">
        <f>VLOOKUP(C164,'Talente &amp; Stuff'!ER:FT,21,FALSE)</f>
        <v>0</v>
      </c>
      <c r="X164" s="127">
        <f>VLOOKUP(C164,'Talente &amp; Stuff'!ER:FT,22,FALSE)</f>
        <v>0</v>
      </c>
      <c r="Y164" s="165">
        <f t="shared" si="16"/>
        <v>0</v>
      </c>
      <c r="Z164" s="44">
        <f t="shared" si="17"/>
        <v>0</v>
      </c>
      <c r="AA164" s="125">
        <f>VLOOKUP(C164,'Talente &amp; Stuff'!ER:FT,25,FALSE)</f>
        <v>0</v>
      </c>
      <c r="AB164" s="160">
        <f>VLOOKUP(C164,'Talente &amp; Stuff'!ER:FT,26,FALSE)</f>
        <v>0</v>
      </c>
      <c r="AC164" s="127">
        <f>VLOOKUP(C164,'Talente &amp; Stuff'!ER:FT,27,FALSE)</f>
        <v>0</v>
      </c>
      <c r="AD164" s="125">
        <f>VLOOKUP(C164,'Talente &amp; Stuff'!ER:FT,28,FALSE)</f>
        <v>0</v>
      </c>
      <c r="AE164" s="28"/>
    </row>
    <row r="165" spans="2:31" ht="15" hidden="1" customHeight="1" outlineLevel="2">
      <c r="B165" s="148">
        <v>13</v>
      </c>
      <c r="C165" s="177" t="str">
        <f>Attribute!C165</f>
        <v>---</v>
      </c>
      <c r="D165" s="86" t="str">
        <f>VLOOKUP(C165,'Talente &amp; Stuff'!ER:FT,2,FALSE)</f>
        <v>--/--/--</v>
      </c>
      <c r="E165" s="167" t="str">
        <f>VLOOKUP(C165,'Talente &amp; Stuff'!ER:FT,3,FALSE)</f>
        <v>-</v>
      </c>
      <c r="F165" s="120">
        <f>VLOOKUP(C165,'Talente &amp; Stuff'!ER:FT,4,FALSE)</f>
        <v>0</v>
      </c>
      <c r="G165" s="117">
        <f>VLOOKUP(C165,'Talente &amp; Stuff'!ER:FT,5,FALSE)</f>
        <v>0</v>
      </c>
      <c r="H165" s="117">
        <f>VLOOKUP(C165,'Talente &amp; Stuff'!ER:FT,6,FALSE)</f>
        <v>0</v>
      </c>
      <c r="I165" s="117">
        <f>VLOOKUP(C165,'Talente &amp; Stuff'!ER:FT,7,FALSE)</f>
        <v>0</v>
      </c>
      <c r="J165" s="117">
        <f>VLOOKUP(C165,'Talente &amp; Stuff'!ER:FT,8,FALSE)</f>
        <v>0</v>
      </c>
      <c r="K165" s="117">
        <f>VLOOKUP(C165,'Talente &amp; Stuff'!ER:FT,9,FALSE)</f>
        <v>0</v>
      </c>
      <c r="L165" s="117">
        <f>VLOOKUP(C165,'Talente &amp; Stuff'!ER:FT,10,FALSE)</f>
        <v>0</v>
      </c>
      <c r="M165" s="121">
        <f>VLOOKUP(C165,'Talente &amp; Stuff'!ER:FT,11,FALSE)</f>
        <v>0</v>
      </c>
      <c r="N165" s="47">
        <f>VLOOKUP(C165,'Talente &amp; Stuff'!ER:FT,12,FALSE)</f>
        <v>0</v>
      </c>
      <c r="O165" s="3">
        <f>VLOOKUP(C165,'Talente &amp; Stuff'!ER:FT,13,FALSE)</f>
        <v>0</v>
      </c>
      <c r="P165" s="174">
        <f>VLOOKUP(C165,'Talente &amp; Stuff'!ER:FT,14,FALSE)</f>
        <v>0</v>
      </c>
      <c r="Q165" s="114">
        <f>VLOOKUP(C165,'Talente &amp; Stuff'!ER:FT,15,FALSE)</f>
        <v>0</v>
      </c>
      <c r="R165" s="117">
        <f>VLOOKUP(C165,'Talente &amp; Stuff'!ER:FT,16,FALSE)</f>
        <v>0</v>
      </c>
      <c r="S165" s="119">
        <f>VLOOKUP(C165,'Talente &amp; Stuff'!ER:FT,17,FALSE)</f>
        <v>0</v>
      </c>
      <c r="T165" s="119">
        <f>VLOOKUP(C165,'Talente &amp; Stuff'!ER:FT,18,FALSE)</f>
        <v>0</v>
      </c>
      <c r="U165" s="89">
        <f>VLOOKUP(C165,'Talente &amp; Stuff'!ER:FT,19,FALSE)</f>
        <v>0</v>
      </c>
      <c r="V165" s="47">
        <f>VLOOKUP(C165,'Talente &amp; Stuff'!ER:FT,20,FALSE)</f>
        <v>0</v>
      </c>
      <c r="W165" s="127">
        <f>VLOOKUP(C165,'Talente &amp; Stuff'!ER:FT,21,FALSE)</f>
        <v>0</v>
      </c>
      <c r="X165" s="127">
        <f>VLOOKUP(C165,'Talente &amp; Stuff'!ER:FT,22,FALSE)</f>
        <v>0</v>
      </c>
      <c r="Y165" s="165">
        <f t="shared" si="16"/>
        <v>0</v>
      </c>
      <c r="Z165" s="44">
        <f t="shared" si="17"/>
        <v>0</v>
      </c>
      <c r="AA165" s="125">
        <f>VLOOKUP(C165,'Talente &amp; Stuff'!ER:FT,25,FALSE)</f>
        <v>0</v>
      </c>
      <c r="AB165" s="160">
        <f>VLOOKUP(C165,'Talente &amp; Stuff'!ER:FT,26,FALSE)</f>
        <v>0</v>
      </c>
      <c r="AC165" s="127">
        <f>VLOOKUP(C165,'Talente &amp; Stuff'!ER:FT,27,FALSE)</f>
        <v>0</v>
      </c>
      <c r="AD165" s="125">
        <f>VLOOKUP(C165,'Talente &amp; Stuff'!ER:FT,28,FALSE)</f>
        <v>0</v>
      </c>
      <c r="AE165" s="28"/>
    </row>
    <row r="166" spans="2:31" ht="15" hidden="1" customHeight="1" outlineLevel="2">
      <c r="B166" s="148">
        <v>14</v>
      </c>
      <c r="C166" s="177" t="str">
        <f>Attribute!C166</f>
        <v>---</v>
      </c>
      <c r="D166" s="86" t="str">
        <f>VLOOKUP(C166,'Talente &amp; Stuff'!ER:FT,2,FALSE)</f>
        <v>--/--/--</v>
      </c>
      <c r="E166" s="167" t="str">
        <f>VLOOKUP(C166,'Talente &amp; Stuff'!ER:FT,3,FALSE)</f>
        <v>-</v>
      </c>
      <c r="F166" s="120">
        <f>VLOOKUP(C166,'Talente &amp; Stuff'!ER:FT,4,FALSE)</f>
        <v>0</v>
      </c>
      <c r="G166" s="117">
        <f>VLOOKUP(C166,'Talente &amp; Stuff'!ER:FT,5,FALSE)</f>
        <v>0</v>
      </c>
      <c r="H166" s="117">
        <f>VLOOKUP(C166,'Talente &amp; Stuff'!ER:FT,6,FALSE)</f>
        <v>0</v>
      </c>
      <c r="I166" s="117">
        <f>VLOOKUP(C166,'Talente &amp; Stuff'!ER:FT,7,FALSE)</f>
        <v>0</v>
      </c>
      <c r="J166" s="117">
        <f>VLOOKUP(C166,'Talente &amp; Stuff'!ER:FT,8,FALSE)</f>
        <v>0</v>
      </c>
      <c r="K166" s="117">
        <f>VLOOKUP(C166,'Talente &amp; Stuff'!ER:FT,9,FALSE)</f>
        <v>0</v>
      </c>
      <c r="L166" s="117">
        <f>VLOOKUP(C166,'Talente &amp; Stuff'!ER:FT,10,FALSE)</f>
        <v>0</v>
      </c>
      <c r="M166" s="121">
        <f>VLOOKUP(C166,'Talente &amp; Stuff'!ER:FT,11,FALSE)</f>
        <v>0</v>
      </c>
      <c r="N166" s="47">
        <f>VLOOKUP(C166,'Talente &amp; Stuff'!ER:FT,12,FALSE)</f>
        <v>0</v>
      </c>
      <c r="O166" s="3">
        <f>VLOOKUP(C166,'Talente &amp; Stuff'!ER:FT,13,FALSE)</f>
        <v>0</v>
      </c>
      <c r="P166" s="174">
        <f>VLOOKUP(C166,'Talente &amp; Stuff'!ER:FT,14,FALSE)</f>
        <v>0</v>
      </c>
      <c r="Q166" s="114">
        <f>VLOOKUP(C166,'Talente &amp; Stuff'!ER:FT,15,FALSE)</f>
        <v>0</v>
      </c>
      <c r="R166" s="117">
        <f>VLOOKUP(C166,'Talente &amp; Stuff'!ER:FT,16,FALSE)</f>
        <v>0</v>
      </c>
      <c r="S166" s="119">
        <f>VLOOKUP(C166,'Talente &amp; Stuff'!ER:FT,17,FALSE)</f>
        <v>0</v>
      </c>
      <c r="T166" s="119">
        <f>VLOOKUP(C166,'Talente &amp; Stuff'!ER:FT,18,FALSE)</f>
        <v>0</v>
      </c>
      <c r="U166" s="89">
        <f>VLOOKUP(C166,'Talente &amp; Stuff'!ER:FT,19,FALSE)</f>
        <v>0</v>
      </c>
      <c r="V166" s="47">
        <f>VLOOKUP(C166,'Talente &amp; Stuff'!ER:FT,20,FALSE)</f>
        <v>0</v>
      </c>
      <c r="W166" s="127">
        <f>VLOOKUP(C166,'Talente &amp; Stuff'!ER:FT,21,FALSE)</f>
        <v>0</v>
      </c>
      <c r="X166" s="127">
        <f>VLOOKUP(C166,'Talente &amp; Stuff'!ER:FT,22,FALSE)</f>
        <v>0</v>
      </c>
      <c r="Y166" s="165">
        <f t="shared" si="16"/>
        <v>0</v>
      </c>
      <c r="Z166" s="44">
        <f t="shared" si="17"/>
        <v>0</v>
      </c>
      <c r="AA166" s="125">
        <f>VLOOKUP(C166,'Talente &amp; Stuff'!ER:FT,25,FALSE)</f>
        <v>0</v>
      </c>
      <c r="AB166" s="160">
        <f>VLOOKUP(C166,'Talente &amp; Stuff'!ER:FT,26,FALSE)</f>
        <v>0</v>
      </c>
      <c r="AC166" s="127">
        <f>VLOOKUP(C166,'Talente &amp; Stuff'!ER:FT,27,FALSE)</f>
        <v>0</v>
      </c>
      <c r="AD166" s="125">
        <f>VLOOKUP(C166,'Talente &amp; Stuff'!ER:FT,28,FALSE)</f>
        <v>0</v>
      </c>
      <c r="AE166" s="28"/>
    </row>
    <row r="167" spans="2:31" ht="15" hidden="1" customHeight="1" outlineLevel="2">
      <c r="B167" s="148">
        <v>15</v>
      </c>
      <c r="C167" s="177" t="str">
        <f>Attribute!C167</f>
        <v>---</v>
      </c>
      <c r="D167" s="86" t="str">
        <f>VLOOKUP(C167,'Talente &amp; Stuff'!ER:FT,2,FALSE)</f>
        <v>--/--/--</v>
      </c>
      <c r="E167" s="167" t="str">
        <f>VLOOKUP(C167,'Talente &amp; Stuff'!ER:FT,3,FALSE)</f>
        <v>-</v>
      </c>
      <c r="F167" s="120">
        <f>VLOOKUP(C167,'Talente &amp; Stuff'!ER:FT,4,FALSE)</f>
        <v>0</v>
      </c>
      <c r="G167" s="117">
        <f>VLOOKUP(C167,'Talente &amp; Stuff'!ER:FT,5,FALSE)</f>
        <v>0</v>
      </c>
      <c r="H167" s="117">
        <f>VLOOKUP(C167,'Talente &amp; Stuff'!ER:FT,6,FALSE)</f>
        <v>0</v>
      </c>
      <c r="I167" s="117">
        <f>VLOOKUP(C167,'Talente &amp; Stuff'!ER:FT,7,FALSE)</f>
        <v>0</v>
      </c>
      <c r="J167" s="117">
        <f>VLOOKUP(C167,'Talente &amp; Stuff'!ER:FT,8,FALSE)</f>
        <v>0</v>
      </c>
      <c r="K167" s="117">
        <f>VLOOKUP(C167,'Talente &amp; Stuff'!ER:FT,9,FALSE)</f>
        <v>0</v>
      </c>
      <c r="L167" s="117">
        <f>VLOOKUP(C167,'Talente &amp; Stuff'!ER:FT,10,FALSE)</f>
        <v>0</v>
      </c>
      <c r="M167" s="121">
        <f>VLOOKUP(C167,'Talente &amp; Stuff'!ER:FT,11,FALSE)</f>
        <v>0</v>
      </c>
      <c r="N167" s="47">
        <f>VLOOKUP(C167,'Talente &amp; Stuff'!ER:FT,12,FALSE)</f>
        <v>0</v>
      </c>
      <c r="O167" s="3">
        <f>VLOOKUP(C167,'Talente &amp; Stuff'!ER:FT,13,FALSE)</f>
        <v>0</v>
      </c>
      <c r="P167" s="174">
        <f>VLOOKUP(C167,'Talente &amp; Stuff'!ER:FT,14,FALSE)</f>
        <v>0</v>
      </c>
      <c r="Q167" s="114">
        <f>VLOOKUP(C167,'Talente &amp; Stuff'!ER:FT,15,FALSE)</f>
        <v>0</v>
      </c>
      <c r="R167" s="117">
        <f>VLOOKUP(C167,'Talente &amp; Stuff'!ER:FT,16,FALSE)</f>
        <v>0</v>
      </c>
      <c r="S167" s="119">
        <f>VLOOKUP(C167,'Talente &amp; Stuff'!ER:FT,17,FALSE)</f>
        <v>0</v>
      </c>
      <c r="T167" s="119">
        <f>VLOOKUP(C167,'Talente &amp; Stuff'!ER:FT,18,FALSE)</f>
        <v>0</v>
      </c>
      <c r="U167" s="89">
        <f>VLOOKUP(C167,'Talente &amp; Stuff'!ER:FT,19,FALSE)</f>
        <v>0</v>
      </c>
      <c r="V167" s="47">
        <f>VLOOKUP(C167,'Talente &amp; Stuff'!ER:FT,20,FALSE)</f>
        <v>0</v>
      </c>
      <c r="W167" s="127">
        <f>VLOOKUP(C167,'Talente &amp; Stuff'!ER:FT,21,FALSE)</f>
        <v>0</v>
      </c>
      <c r="X167" s="127">
        <f>VLOOKUP(C167,'Talente &amp; Stuff'!ER:FT,22,FALSE)</f>
        <v>0</v>
      </c>
      <c r="Y167" s="165">
        <f t="shared" si="16"/>
        <v>0</v>
      </c>
      <c r="Z167" s="44">
        <f t="shared" si="17"/>
        <v>0</v>
      </c>
      <c r="AA167" s="125">
        <f>VLOOKUP(C167,'Talente &amp; Stuff'!ER:FT,25,FALSE)</f>
        <v>0</v>
      </c>
      <c r="AB167" s="160">
        <f>VLOOKUP(C167,'Talente &amp; Stuff'!ER:FT,26,FALSE)</f>
        <v>0</v>
      </c>
      <c r="AC167" s="127">
        <f>VLOOKUP(C167,'Talente &amp; Stuff'!ER:FT,27,FALSE)</f>
        <v>0</v>
      </c>
      <c r="AD167" s="125">
        <f>VLOOKUP(C167,'Talente &amp; Stuff'!ER:FT,28,FALSE)</f>
        <v>0</v>
      </c>
      <c r="AE167" s="28"/>
    </row>
    <row r="168" spans="2:31" ht="15" hidden="1" customHeight="1" outlineLevel="2">
      <c r="B168" s="148">
        <v>16</v>
      </c>
      <c r="C168" s="177" t="str">
        <f>Attribute!C168</f>
        <v>---</v>
      </c>
      <c r="D168" s="86" t="str">
        <f>VLOOKUP(C168,'Talente &amp; Stuff'!ER:FT,2,FALSE)</f>
        <v>--/--/--</v>
      </c>
      <c r="E168" s="167" t="str">
        <f>VLOOKUP(C168,'Talente &amp; Stuff'!ER:FT,3,FALSE)</f>
        <v>-</v>
      </c>
      <c r="F168" s="120">
        <f>VLOOKUP(C168,'Talente &amp; Stuff'!ER:FT,4,FALSE)</f>
        <v>0</v>
      </c>
      <c r="G168" s="117">
        <f>VLOOKUP(C168,'Talente &amp; Stuff'!ER:FT,5,FALSE)</f>
        <v>0</v>
      </c>
      <c r="H168" s="117">
        <f>VLOOKUP(C168,'Talente &amp; Stuff'!ER:FT,6,FALSE)</f>
        <v>0</v>
      </c>
      <c r="I168" s="117">
        <f>VLOOKUP(C168,'Talente &amp; Stuff'!ER:FT,7,FALSE)</f>
        <v>0</v>
      </c>
      <c r="J168" s="117">
        <f>VLOOKUP(C168,'Talente &amp; Stuff'!ER:FT,8,FALSE)</f>
        <v>0</v>
      </c>
      <c r="K168" s="117">
        <f>VLOOKUP(C168,'Talente &amp; Stuff'!ER:FT,9,FALSE)</f>
        <v>0</v>
      </c>
      <c r="L168" s="117">
        <f>VLOOKUP(C168,'Talente &amp; Stuff'!ER:FT,10,FALSE)</f>
        <v>0</v>
      </c>
      <c r="M168" s="121">
        <f>VLOOKUP(C168,'Talente &amp; Stuff'!ER:FT,11,FALSE)</f>
        <v>0</v>
      </c>
      <c r="N168" s="47">
        <f>VLOOKUP(C168,'Talente &amp; Stuff'!ER:FT,12,FALSE)</f>
        <v>0</v>
      </c>
      <c r="O168" s="3">
        <f>VLOOKUP(C168,'Talente &amp; Stuff'!ER:FT,13,FALSE)</f>
        <v>0</v>
      </c>
      <c r="P168" s="174">
        <f>VLOOKUP(C168,'Talente &amp; Stuff'!ER:FT,14,FALSE)</f>
        <v>0</v>
      </c>
      <c r="Q168" s="114">
        <f>VLOOKUP(C168,'Talente &amp; Stuff'!ER:FT,15,FALSE)</f>
        <v>0</v>
      </c>
      <c r="R168" s="117">
        <f>VLOOKUP(C168,'Talente &amp; Stuff'!ER:FT,16,FALSE)</f>
        <v>0</v>
      </c>
      <c r="S168" s="119">
        <f>VLOOKUP(C168,'Talente &amp; Stuff'!ER:FT,17,FALSE)</f>
        <v>0</v>
      </c>
      <c r="T168" s="119">
        <f>VLOOKUP(C168,'Talente &amp; Stuff'!ER:FT,18,FALSE)</f>
        <v>0</v>
      </c>
      <c r="U168" s="89">
        <f>VLOOKUP(C168,'Talente &amp; Stuff'!ER:FT,19,FALSE)</f>
        <v>0</v>
      </c>
      <c r="V168" s="47">
        <f>VLOOKUP(C168,'Talente &amp; Stuff'!ER:FT,20,FALSE)</f>
        <v>0</v>
      </c>
      <c r="W168" s="127">
        <f>VLOOKUP(C168,'Talente &amp; Stuff'!ER:FT,21,FALSE)</f>
        <v>0</v>
      </c>
      <c r="X168" s="127">
        <f>VLOOKUP(C168,'Talente &amp; Stuff'!ER:FT,22,FALSE)</f>
        <v>0</v>
      </c>
      <c r="Y168" s="165">
        <f t="shared" si="16"/>
        <v>0</v>
      </c>
      <c r="Z168" s="44">
        <f t="shared" si="17"/>
        <v>0</v>
      </c>
      <c r="AA168" s="125">
        <f>VLOOKUP(C168,'Talente &amp; Stuff'!ER:FT,25,FALSE)</f>
        <v>0</v>
      </c>
      <c r="AB168" s="160">
        <f>VLOOKUP(C168,'Talente &amp; Stuff'!ER:FT,26,FALSE)</f>
        <v>0</v>
      </c>
      <c r="AC168" s="127">
        <f>VLOOKUP(C168,'Talente &amp; Stuff'!ER:FT,27,FALSE)</f>
        <v>0</v>
      </c>
      <c r="AD168" s="125">
        <f>VLOOKUP(C168,'Talente &amp; Stuff'!ER:FT,28,FALSE)</f>
        <v>0</v>
      </c>
      <c r="AE168" s="28"/>
    </row>
    <row r="169" spans="2:31" ht="15" hidden="1" customHeight="1" outlineLevel="2">
      <c r="B169" s="148">
        <v>17</v>
      </c>
      <c r="C169" s="177" t="str">
        <f>Attribute!C169</f>
        <v>---</v>
      </c>
      <c r="D169" s="86" t="str">
        <f>VLOOKUP(C169,'Talente &amp; Stuff'!ER:FT,2,FALSE)</f>
        <v>--/--/--</v>
      </c>
      <c r="E169" s="167" t="str">
        <f>VLOOKUP(C169,'Talente &amp; Stuff'!ER:FT,3,FALSE)</f>
        <v>-</v>
      </c>
      <c r="F169" s="120">
        <f>VLOOKUP(C169,'Talente &amp; Stuff'!ER:FT,4,FALSE)</f>
        <v>0</v>
      </c>
      <c r="G169" s="117">
        <f>VLOOKUP(C169,'Talente &amp; Stuff'!ER:FT,5,FALSE)</f>
        <v>0</v>
      </c>
      <c r="H169" s="117">
        <f>VLOOKUP(C169,'Talente &amp; Stuff'!ER:FT,6,FALSE)</f>
        <v>0</v>
      </c>
      <c r="I169" s="117">
        <f>VLOOKUP(C169,'Talente &amp; Stuff'!ER:FT,7,FALSE)</f>
        <v>0</v>
      </c>
      <c r="J169" s="117">
        <f>VLOOKUP(C169,'Talente &amp; Stuff'!ER:FT,8,FALSE)</f>
        <v>0</v>
      </c>
      <c r="K169" s="117">
        <f>VLOOKUP(C169,'Talente &amp; Stuff'!ER:FT,9,FALSE)</f>
        <v>0</v>
      </c>
      <c r="L169" s="117">
        <f>VLOOKUP(C169,'Talente &amp; Stuff'!ER:FT,10,FALSE)</f>
        <v>0</v>
      </c>
      <c r="M169" s="121">
        <f>VLOOKUP(C169,'Talente &amp; Stuff'!ER:FT,11,FALSE)</f>
        <v>0</v>
      </c>
      <c r="N169" s="47">
        <f>VLOOKUP(C169,'Talente &amp; Stuff'!ER:FT,12,FALSE)</f>
        <v>0</v>
      </c>
      <c r="O169" s="3">
        <f>VLOOKUP(C169,'Talente &amp; Stuff'!ER:FT,13,FALSE)</f>
        <v>0</v>
      </c>
      <c r="P169" s="174">
        <f>VLOOKUP(C169,'Talente &amp; Stuff'!ER:FT,14,FALSE)</f>
        <v>0</v>
      </c>
      <c r="Q169" s="114">
        <f>VLOOKUP(C169,'Talente &amp; Stuff'!ER:FT,15,FALSE)</f>
        <v>0</v>
      </c>
      <c r="R169" s="117">
        <f>VLOOKUP(C169,'Talente &amp; Stuff'!ER:FT,16,FALSE)</f>
        <v>0</v>
      </c>
      <c r="S169" s="119">
        <f>VLOOKUP(C169,'Talente &amp; Stuff'!ER:FT,17,FALSE)</f>
        <v>0</v>
      </c>
      <c r="T169" s="119">
        <f>VLOOKUP(C169,'Talente &amp; Stuff'!ER:FT,18,FALSE)</f>
        <v>0</v>
      </c>
      <c r="U169" s="89">
        <f>VLOOKUP(C169,'Talente &amp; Stuff'!ER:FT,19,FALSE)</f>
        <v>0</v>
      </c>
      <c r="V169" s="47">
        <f>VLOOKUP(C169,'Talente &amp; Stuff'!ER:FT,20,FALSE)</f>
        <v>0</v>
      </c>
      <c r="W169" s="127">
        <f>VLOOKUP(C169,'Talente &amp; Stuff'!ER:FT,21,FALSE)</f>
        <v>0</v>
      </c>
      <c r="X169" s="127">
        <f>VLOOKUP(C169,'Talente &amp; Stuff'!ER:FT,22,FALSE)</f>
        <v>0</v>
      </c>
      <c r="Y169" s="165">
        <f t="shared" si="16"/>
        <v>0</v>
      </c>
      <c r="Z169" s="44">
        <f t="shared" si="17"/>
        <v>0</v>
      </c>
      <c r="AA169" s="125">
        <f>VLOOKUP(C169,'Talente &amp; Stuff'!ER:FT,25,FALSE)</f>
        <v>0</v>
      </c>
      <c r="AB169" s="160">
        <f>VLOOKUP(C169,'Talente &amp; Stuff'!ER:FT,26,FALSE)</f>
        <v>0</v>
      </c>
      <c r="AC169" s="127">
        <f>VLOOKUP(C169,'Talente &amp; Stuff'!ER:FT,27,FALSE)</f>
        <v>0</v>
      </c>
      <c r="AD169" s="125">
        <f>VLOOKUP(C169,'Talente &amp; Stuff'!ER:FT,28,FALSE)</f>
        <v>0</v>
      </c>
      <c r="AE169" s="28"/>
    </row>
    <row r="170" spans="2:31" ht="15" hidden="1" customHeight="1" outlineLevel="2">
      <c r="B170" s="148">
        <v>18</v>
      </c>
      <c r="C170" s="177" t="str">
        <f>Attribute!C170</f>
        <v>---</v>
      </c>
      <c r="D170" s="86" t="str">
        <f>VLOOKUP(C170,'Talente &amp; Stuff'!ER:FT,2,FALSE)</f>
        <v>--/--/--</v>
      </c>
      <c r="E170" s="167" t="str">
        <f>VLOOKUP(C170,'Talente &amp; Stuff'!ER:FT,3,FALSE)</f>
        <v>-</v>
      </c>
      <c r="F170" s="120">
        <f>VLOOKUP(C170,'Talente &amp; Stuff'!ER:FT,4,FALSE)</f>
        <v>0</v>
      </c>
      <c r="G170" s="117">
        <f>VLOOKUP(C170,'Talente &amp; Stuff'!ER:FT,5,FALSE)</f>
        <v>0</v>
      </c>
      <c r="H170" s="117">
        <f>VLOOKUP(C170,'Talente &amp; Stuff'!ER:FT,6,FALSE)</f>
        <v>0</v>
      </c>
      <c r="I170" s="117">
        <f>VLOOKUP(C170,'Talente &amp; Stuff'!ER:FT,7,FALSE)</f>
        <v>0</v>
      </c>
      <c r="J170" s="117">
        <f>VLOOKUP(C170,'Talente &amp; Stuff'!ER:FT,8,FALSE)</f>
        <v>0</v>
      </c>
      <c r="K170" s="117">
        <f>VLOOKUP(C170,'Talente &amp; Stuff'!ER:FT,9,FALSE)</f>
        <v>0</v>
      </c>
      <c r="L170" s="117">
        <f>VLOOKUP(C170,'Talente &amp; Stuff'!ER:FT,10,FALSE)</f>
        <v>0</v>
      </c>
      <c r="M170" s="121">
        <f>VLOOKUP(C170,'Talente &amp; Stuff'!ER:FT,11,FALSE)</f>
        <v>0</v>
      </c>
      <c r="N170" s="47">
        <f>VLOOKUP(C170,'Talente &amp; Stuff'!ER:FT,12,FALSE)</f>
        <v>0</v>
      </c>
      <c r="O170" s="3">
        <f>VLOOKUP(C170,'Talente &amp; Stuff'!ER:FT,13,FALSE)</f>
        <v>0</v>
      </c>
      <c r="P170" s="174">
        <f>VLOOKUP(C170,'Talente &amp; Stuff'!ER:FT,14,FALSE)</f>
        <v>0</v>
      </c>
      <c r="Q170" s="114">
        <f>VLOOKUP(C170,'Talente &amp; Stuff'!ER:FT,15,FALSE)</f>
        <v>0</v>
      </c>
      <c r="R170" s="117">
        <f>VLOOKUP(C170,'Talente &amp; Stuff'!ER:FT,16,FALSE)</f>
        <v>0</v>
      </c>
      <c r="S170" s="119">
        <f>VLOOKUP(C170,'Talente &amp; Stuff'!ER:FT,17,FALSE)</f>
        <v>0</v>
      </c>
      <c r="T170" s="119">
        <f>VLOOKUP(C170,'Talente &amp; Stuff'!ER:FT,18,FALSE)</f>
        <v>0</v>
      </c>
      <c r="U170" s="89">
        <f>VLOOKUP(C170,'Talente &amp; Stuff'!ER:FT,19,FALSE)</f>
        <v>0</v>
      </c>
      <c r="V170" s="47">
        <f>VLOOKUP(C170,'Talente &amp; Stuff'!ER:FT,20,FALSE)</f>
        <v>0</v>
      </c>
      <c r="W170" s="127">
        <f>VLOOKUP(C170,'Talente &amp; Stuff'!ER:FT,21,FALSE)</f>
        <v>0</v>
      </c>
      <c r="X170" s="127">
        <f>VLOOKUP(C170,'Talente &amp; Stuff'!ER:FT,22,FALSE)</f>
        <v>0</v>
      </c>
      <c r="Y170" s="165">
        <f t="shared" si="16"/>
        <v>0</v>
      </c>
      <c r="Z170" s="44">
        <f t="shared" si="17"/>
        <v>0</v>
      </c>
      <c r="AA170" s="125">
        <f>VLOOKUP(C170,'Talente &amp; Stuff'!ER:FT,25,FALSE)</f>
        <v>0</v>
      </c>
      <c r="AB170" s="160">
        <f>VLOOKUP(C170,'Talente &amp; Stuff'!ER:FT,26,FALSE)</f>
        <v>0</v>
      </c>
      <c r="AC170" s="127">
        <f>VLOOKUP(C170,'Talente &amp; Stuff'!ER:FT,27,FALSE)</f>
        <v>0</v>
      </c>
      <c r="AD170" s="125">
        <f>VLOOKUP(C170,'Talente &amp; Stuff'!ER:FT,28,FALSE)</f>
        <v>0</v>
      </c>
      <c r="AE170" s="28"/>
    </row>
    <row r="171" spans="2:31" ht="15" hidden="1" customHeight="1" outlineLevel="2">
      <c r="B171" s="148">
        <v>19</v>
      </c>
      <c r="C171" s="177" t="str">
        <f>Attribute!C171</f>
        <v>---</v>
      </c>
      <c r="D171" s="86" t="str">
        <f>VLOOKUP(C171,'Talente &amp; Stuff'!ER:FT,2,FALSE)</f>
        <v>--/--/--</v>
      </c>
      <c r="E171" s="167" t="str">
        <f>VLOOKUP(C171,'Talente &amp; Stuff'!ER:FT,3,FALSE)</f>
        <v>-</v>
      </c>
      <c r="F171" s="120">
        <f>VLOOKUP(C171,'Talente &amp; Stuff'!ER:FT,4,FALSE)</f>
        <v>0</v>
      </c>
      <c r="G171" s="117">
        <f>VLOOKUP(C171,'Talente &amp; Stuff'!ER:FT,5,FALSE)</f>
        <v>0</v>
      </c>
      <c r="H171" s="117">
        <f>VLOOKUP(C171,'Talente &amp; Stuff'!ER:FT,6,FALSE)</f>
        <v>0</v>
      </c>
      <c r="I171" s="117">
        <f>VLOOKUP(C171,'Talente &amp; Stuff'!ER:FT,7,FALSE)</f>
        <v>0</v>
      </c>
      <c r="J171" s="117">
        <f>VLOOKUP(C171,'Talente &amp; Stuff'!ER:FT,8,FALSE)</f>
        <v>0</v>
      </c>
      <c r="K171" s="117">
        <f>VLOOKUP(C171,'Talente &amp; Stuff'!ER:FT,9,FALSE)</f>
        <v>0</v>
      </c>
      <c r="L171" s="117">
        <f>VLOOKUP(C171,'Talente &amp; Stuff'!ER:FT,10,FALSE)</f>
        <v>0</v>
      </c>
      <c r="M171" s="121">
        <f>VLOOKUP(C171,'Talente &amp; Stuff'!ER:FT,11,FALSE)</f>
        <v>0</v>
      </c>
      <c r="N171" s="47">
        <f>VLOOKUP(C171,'Talente &amp; Stuff'!ER:FT,12,FALSE)</f>
        <v>0</v>
      </c>
      <c r="O171" s="3">
        <f>VLOOKUP(C171,'Talente &amp; Stuff'!ER:FT,13,FALSE)</f>
        <v>0</v>
      </c>
      <c r="P171" s="174">
        <f>VLOOKUP(C171,'Talente &amp; Stuff'!ER:FT,14,FALSE)</f>
        <v>0</v>
      </c>
      <c r="Q171" s="114">
        <f>VLOOKUP(C171,'Talente &amp; Stuff'!ER:FT,15,FALSE)</f>
        <v>0</v>
      </c>
      <c r="R171" s="117">
        <f>VLOOKUP(C171,'Talente &amp; Stuff'!ER:FT,16,FALSE)</f>
        <v>0</v>
      </c>
      <c r="S171" s="119">
        <f>VLOOKUP(C171,'Talente &amp; Stuff'!ER:FT,17,FALSE)</f>
        <v>0</v>
      </c>
      <c r="T171" s="119">
        <f>VLOOKUP(C171,'Talente &amp; Stuff'!ER:FT,18,FALSE)</f>
        <v>0</v>
      </c>
      <c r="U171" s="89">
        <f>VLOOKUP(C171,'Talente &amp; Stuff'!ER:FT,19,FALSE)</f>
        <v>0</v>
      </c>
      <c r="V171" s="47">
        <f>VLOOKUP(C171,'Talente &amp; Stuff'!ER:FT,20,FALSE)</f>
        <v>0</v>
      </c>
      <c r="W171" s="127">
        <f>VLOOKUP(C171,'Talente &amp; Stuff'!ER:FT,21,FALSE)</f>
        <v>0</v>
      </c>
      <c r="X171" s="127">
        <f>VLOOKUP(C171,'Talente &amp; Stuff'!ER:FT,22,FALSE)</f>
        <v>0</v>
      </c>
      <c r="Y171" s="165">
        <f t="shared" si="16"/>
        <v>0</v>
      </c>
      <c r="Z171" s="44">
        <f t="shared" si="17"/>
        <v>0</v>
      </c>
      <c r="AA171" s="125">
        <f>VLOOKUP(C171,'Talente &amp; Stuff'!ER:FT,25,FALSE)</f>
        <v>0</v>
      </c>
      <c r="AB171" s="160">
        <f>VLOOKUP(C171,'Talente &amp; Stuff'!ER:FT,26,FALSE)</f>
        <v>0</v>
      </c>
      <c r="AC171" s="127">
        <f>VLOOKUP(C171,'Talente &amp; Stuff'!ER:FT,27,FALSE)</f>
        <v>0</v>
      </c>
      <c r="AD171" s="125">
        <f>VLOOKUP(C171,'Talente &amp; Stuff'!ER:FT,28,FALSE)</f>
        <v>0</v>
      </c>
      <c r="AE171" s="28"/>
    </row>
    <row r="172" spans="2:31" ht="15" hidden="1" customHeight="1" outlineLevel="2">
      <c r="B172" s="148">
        <v>20</v>
      </c>
      <c r="C172" s="177" t="str">
        <f>Attribute!C172</f>
        <v>---</v>
      </c>
      <c r="D172" s="86" t="str">
        <f>VLOOKUP(C172,'Talente &amp; Stuff'!ER:FT,2,FALSE)</f>
        <v>--/--/--</v>
      </c>
      <c r="E172" s="167" t="str">
        <f>VLOOKUP(C172,'Talente &amp; Stuff'!ER:FT,3,FALSE)</f>
        <v>-</v>
      </c>
      <c r="F172" s="120">
        <f>VLOOKUP(C172,'Talente &amp; Stuff'!ER:FT,4,FALSE)</f>
        <v>0</v>
      </c>
      <c r="G172" s="117">
        <f>VLOOKUP(C172,'Talente &amp; Stuff'!ER:FT,5,FALSE)</f>
        <v>0</v>
      </c>
      <c r="H172" s="117">
        <f>VLOOKUP(C172,'Talente &amp; Stuff'!ER:FT,6,FALSE)</f>
        <v>0</v>
      </c>
      <c r="I172" s="117">
        <f>VLOOKUP(C172,'Talente &amp; Stuff'!ER:FT,7,FALSE)</f>
        <v>0</v>
      </c>
      <c r="J172" s="117">
        <f>VLOOKUP(C172,'Talente &amp; Stuff'!ER:FT,8,FALSE)</f>
        <v>0</v>
      </c>
      <c r="K172" s="117">
        <f>VLOOKUP(C172,'Talente &amp; Stuff'!ER:FT,9,FALSE)</f>
        <v>0</v>
      </c>
      <c r="L172" s="117">
        <f>VLOOKUP(C172,'Talente &amp; Stuff'!ER:FT,10,FALSE)</f>
        <v>0</v>
      </c>
      <c r="M172" s="121">
        <f>VLOOKUP(C172,'Talente &amp; Stuff'!ER:FT,11,FALSE)</f>
        <v>0</v>
      </c>
      <c r="N172" s="47">
        <f>VLOOKUP(C172,'Talente &amp; Stuff'!ER:FT,12,FALSE)</f>
        <v>0</v>
      </c>
      <c r="O172" s="3">
        <f>VLOOKUP(C172,'Talente &amp; Stuff'!ER:FT,13,FALSE)</f>
        <v>0</v>
      </c>
      <c r="P172" s="174">
        <f>VLOOKUP(C172,'Talente &amp; Stuff'!ER:FT,14,FALSE)</f>
        <v>0</v>
      </c>
      <c r="Q172" s="114">
        <f>VLOOKUP(C172,'Talente &amp; Stuff'!ER:FT,15,FALSE)</f>
        <v>0</v>
      </c>
      <c r="R172" s="117">
        <f>VLOOKUP(C172,'Talente &amp; Stuff'!ER:FT,16,FALSE)</f>
        <v>0</v>
      </c>
      <c r="S172" s="119">
        <f>VLOOKUP(C172,'Talente &amp; Stuff'!ER:FT,17,FALSE)</f>
        <v>0</v>
      </c>
      <c r="T172" s="119">
        <f>VLOOKUP(C172,'Talente &amp; Stuff'!ER:FT,18,FALSE)</f>
        <v>0</v>
      </c>
      <c r="U172" s="89">
        <f>VLOOKUP(C172,'Talente &amp; Stuff'!ER:FT,19,FALSE)</f>
        <v>0</v>
      </c>
      <c r="V172" s="47">
        <f>VLOOKUP(C172,'Talente &amp; Stuff'!ER:FT,20,FALSE)</f>
        <v>0</v>
      </c>
      <c r="W172" s="127">
        <f>VLOOKUP(C172,'Talente &amp; Stuff'!ER:FT,21,FALSE)</f>
        <v>0</v>
      </c>
      <c r="X172" s="127">
        <f>VLOOKUP(C172,'Talente &amp; Stuff'!ER:FT,22,FALSE)</f>
        <v>0</v>
      </c>
      <c r="Y172" s="165">
        <f t="shared" si="16"/>
        <v>0</v>
      </c>
      <c r="Z172" s="44">
        <f t="shared" si="17"/>
        <v>0</v>
      </c>
      <c r="AA172" s="125">
        <f>VLOOKUP(C172,'Talente &amp; Stuff'!ER:FT,25,FALSE)</f>
        <v>0</v>
      </c>
      <c r="AB172" s="160">
        <f>VLOOKUP(C172,'Talente &amp; Stuff'!ER:FT,26,FALSE)</f>
        <v>0</v>
      </c>
      <c r="AC172" s="127">
        <f>VLOOKUP(C172,'Talente &amp; Stuff'!ER:FT,27,FALSE)</f>
        <v>0</v>
      </c>
      <c r="AD172" s="125">
        <f>VLOOKUP(C172,'Talente &amp; Stuff'!ER:FT,28,FALSE)</f>
        <v>0</v>
      </c>
      <c r="AE172" s="28"/>
    </row>
    <row r="173" spans="2:31" ht="15" hidden="1" customHeight="1" outlineLevel="2">
      <c r="B173" s="148">
        <v>21</v>
      </c>
      <c r="C173" s="177" t="str">
        <f>Attribute!C173</f>
        <v>---</v>
      </c>
      <c r="D173" s="86" t="str">
        <f>VLOOKUP(C173,'Talente &amp; Stuff'!ER:FT,2,FALSE)</f>
        <v>--/--/--</v>
      </c>
      <c r="E173" s="167" t="str">
        <f>VLOOKUP(C173,'Talente &amp; Stuff'!ER:FT,3,FALSE)</f>
        <v>-</v>
      </c>
      <c r="F173" s="120">
        <f>VLOOKUP(C173,'Talente &amp; Stuff'!ER:FT,4,FALSE)</f>
        <v>0</v>
      </c>
      <c r="G173" s="117">
        <f>VLOOKUP(C173,'Talente &amp; Stuff'!ER:FT,5,FALSE)</f>
        <v>0</v>
      </c>
      <c r="H173" s="117">
        <f>VLOOKUP(C173,'Talente &amp; Stuff'!ER:FT,6,FALSE)</f>
        <v>0</v>
      </c>
      <c r="I173" s="117">
        <f>VLOOKUP(C173,'Talente &amp; Stuff'!ER:FT,7,FALSE)</f>
        <v>0</v>
      </c>
      <c r="J173" s="117">
        <f>VLOOKUP(C173,'Talente &amp; Stuff'!ER:FT,8,FALSE)</f>
        <v>0</v>
      </c>
      <c r="K173" s="117">
        <f>VLOOKUP(C173,'Talente &amp; Stuff'!ER:FT,9,FALSE)</f>
        <v>0</v>
      </c>
      <c r="L173" s="117">
        <f>VLOOKUP(C173,'Talente &amp; Stuff'!ER:FT,10,FALSE)</f>
        <v>0</v>
      </c>
      <c r="M173" s="121">
        <f>VLOOKUP(C173,'Talente &amp; Stuff'!ER:FT,11,FALSE)</f>
        <v>0</v>
      </c>
      <c r="N173" s="47">
        <f>VLOOKUP(C173,'Talente &amp; Stuff'!ER:FT,12,FALSE)</f>
        <v>0</v>
      </c>
      <c r="O173" s="3">
        <f>VLOOKUP(C173,'Talente &amp; Stuff'!ER:FT,13,FALSE)</f>
        <v>0</v>
      </c>
      <c r="P173" s="174">
        <f>VLOOKUP(C173,'Talente &amp; Stuff'!ER:FT,14,FALSE)</f>
        <v>0</v>
      </c>
      <c r="Q173" s="114">
        <f>VLOOKUP(C173,'Talente &amp; Stuff'!ER:FT,15,FALSE)</f>
        <v>0</v>
      </c>
      <c r="R173" s="117">
        <f>VLOOKUP(C173,'Talente &amp; Stuff'!ER:FT,16,FALSE)</f>
        <v>0</v>
      </c>
      <c r="S173" s="119">
        <f>VLOOKUP(C173,'Talente &amp; Stuff'!ER:FT,17,FALSE)</f>
        <v>0</v>
      </c>
      <c r="T173" s="119">
        <f>VLOOKUP(C173,'Talente &amp; Stuff'!ER:FT,18,FALSE)</f>
        <v>0</v>
      </c>
      <c r="U173" s="89">
        <f>VLOOKUP(C173,'Talente &amp; Stuff'!ER:FT,19,FALSE)</f>
        <v>0</v>
      </c>
      <c r="V173" s="47">
        <f>VLOOKUP(C173,'Talente &amp; Stuff'!ER:FT,20,FALSE)</f>
        <v>0</v>
      </c>
      <c r="W173" s="127">
        <f>VLOOKUP(C173,'Talente &amp; Stuff'!ER:FT,21,FALSE)</f>
        <v>0</v>
      </c>
      <c r="X173" s="127">
        <f>VLOOKUP(C173,'Talente &amp; Stuff'!ER:FT,22,FALSE)</f>
        <v>0</v>
      </c>
      <c r="Y173" s="165">
        <f t="shared" si="16"/>
        <v>0</v>
      </c>
      <c r="Z173" s="44">
        <f t="shared" si="17"/>
        <v>0</v>
      </c>
      <c r="AA173" s="125">
        <f>VLOOKUP(C173,'Talente &amp; Stuff'!ER:FT,25,FALSE)</f>
        <v>0</v>
      </c>
      <c r="AB173" s="160">
        <f>VLOOKUP(C173,'Talente &amp; Stuff'!ER:FT,26,FALSE)</f>
        <v>0</v>
      </c>
      <c r="AC173" s="127">
        <f>VLOOKUP(C173,'Talente &amp; Stuff'!ER:FT,27,FALSE)</f>
        <v>0</v>
      </c>
      <c r="AD173" s="125">
        <f>VLOOKUP(C173,'Talente &amp; Stuff'!ER:FT,28,FALSE)</f>
        <v>0</v>
      </c>
      <c r="AE173" s="28"/>
    </row>
    <row r="174" spans="2:31" ht="15" hidden="1" customHeight="1" outlineLevel="2">
      <c r="B174" s="148">
        <v>22</v>
      </c>
      <c r="C174" s="177" t="str">
        <f>Attribute!C174</f>
        <v>---</v>
      </c>
      <c r="D174" s="86" t="str">
        <f>VLOOKUP(C174,'Talente &amp; Stuff'!ER:FT,2,FALSE)</f>
        <v>--/--/--</v>
      </c>
      <c r="E174" s="167" t="str">
        <f>VLOOKUP(C174,'Talente &amp; Stuff'!ER:FT,3,FALSE)</f>
        <v>-</v>
      </c>
      <c r="F174" s="120">
        <f>VLOOKUP(C174,'Talente &amp; Stuff'!ER:FT,4,FALSE)</f>
        <v>0</v>
      </c>
      <c r="G174" s="117">
        <f>VLOOKUP(C174,'Talente &amp; Stuff'!ER:FT,5,FALSE)</f>
        <v>0</v>
      </c>
      <c r="H174" s="117">
        <f>VLOOKUP(C174,'Talente &amp; Stuff'!ER:FT,6,FALSE)</f>
        <v>0</v>
      </c>
      <c r="I174" s="117">
        <f>VLOOKUP(C174,'Talente &amp; Stuff'!ER:FT,7,FALSE)</f>
        <v>0</v>
      </c>
      <c r="J174" s="117">
        <f>VLOOKUP(C174,'Talente &amp; Stuff'!ER:FT,8,FALSE)</f>
        <v>0</v>
      </c>
      <c r="K174" s="117">
        <f>VLOOKUP(C174,'Talente &amp; Stuff'!ER:FT,9,FALSE)</f>
        <v>0</v>
      </c>
      <c r="L174" s="117">
        <f>VLOOKUP(C174,'Talente &amp; Stuff'!ER:FT,10,FALSE)</f>
        <v>0</v>
      </c>
      <c r="M174" s="121">
        <f>VLOOKUP(C174,'Talente &amp; Stuff'!ER:FT,11,FALSE)</f>
        <v>0</v>
      </c>
      <c r="N174" s="47">
        <f>VLOOKUP(C174,'Talente &amp; Stuff'!ER:FT,12,FALSE)</f>
        <v>0</v>
      </c>
      <c r="O174" s="3">
        <f>VLOOKUP(C174,'Talente &amp; Stuff'!ER:FT,13,FALSE)</f>
        <v>0</v>
      </c>
      <c r="P174" s="174">
        <f>VLOOKUP(C174,'Talente &amp; Stuff'!ER:FT,14,FALSE)</f>
        <v>0</v>
      </c>
      <c r="Q174" s="114">
        <f>VLOOKUP(C174,'Talente &amp; Stuff'!ER:FT,15,FALSE)</f>
        <v>0</v>
      </c>
      <c r="R174" s="117">
        <f>VLOOKUP(C174,'Talente &amp; Stuff'!ER:FT,16,FALSE)</f>
        <v>0</v>
      </c>
      <c r="S174" s="119">
        <f>VLOOKUP(C174,'Talente &amp; Stuff'!ER:FT,17,FALSE)</f>
        <v>0</v>
      </c>
      <c r="T174" s="119">
        <f>VLOOKUP(C174,'Talente &amp; Stuff'!ER:FT,18,FALSE)</f>
        <v>0</v>
      </c>
      <c r="U174" s="89">
        <f>VLOOKUP(C174,'Talente &amp; Stuff'!ER:FT,19,FALSE)</f>
        <v>0</v>
      </c>
      <c r="V174" s="47">
        <f>VLOOKUP(C174,'Talente &amp; Stuff'!ER:FT,20,FALSE)</f>
        <v>0</v>
      </c>
      <c r="W174" s="127">
        <f>VLOOKUP(C174,'Talente &amp; Stuff'!ER:FT,21,FALSE)</f>
        <v>0</v>
      </c>
      <c r="X174" s="127">
        <f>VLOOKUP(C174,'Talente &amp; Stuff'!ER:FT,22,FALSE)</f>
        <v>0</v>
      </c>
      <c r="Y174" s="165">
        <f t="shared" si="16"/>
        <v>0</v>
      </c>
      <c r="Z174" s="44">
        <f t="shared" si="17"/>
        <v>0</v>
      </c>
      <c r="AA174" s="125">
        <f>VLOOKUP(C174,'Talente &amp; Stuff'!ER:FT,25,FALSE)</f>
        <v>0</v>
      </c>
      <c r="AB174" s="160">
        <f>VLOOKUP(C174,'Talente &amp; Stuff'!ER:FT,26,FALSE)</f>
        <v>0</v>
      </c>
      <c r="AC174" s="127">
        <f>VLOOKUP(C174,'Talente &amp; Stuff'!ER:FT,27,FALSE)</f>
        <v>0</v>
      </c>
      <c r="AD174" s="125">
        <f>VLOOKUP(C174,'Talente &amp; Stuff'!ER:FT,28,FALSE)</f>
        <v>0</v>
      </c>
      <c r="AE174" s="28"/>
    </row>
    <row r="175" spans="2:31" ht="15" hidden="1" customHeight="1" outlineLevel="2">
      <c r="B175" s="148">
        <v>23</v>
      </c>
      <c r="C175" s="177" t="str">
        <f>Attribute!C175</f>
        <v>---</v>
      </c>
      <c r="D175" s="86" t="str">
        <f>VLOOKUP(C175,'Talente &amp; Stuff'!ER:FT,2,FALSE)</f>
        <v>--/--/--</v>
      </c>
      <c r="E175" s="167" t="str">
        <f>VLOOKUP(C175,'Talente &amp; Stuff'!ER:FT,3,FALSE)</f>
        <v>-</v>
      </c>
      <c r="F175" s="120">
        <f>VLOOKUP(C175,'Talente &amp; Stuff'!ER:FT,4,FALSE)</f>
        <v>0</v>
      </c>
      <c r="G175" s="117">
        <f>VLOOKUP(C175,'Talente &amp; Stuff'!ER:FT,5,FALSE)</f>
        <v>0</v>
      </c>
      <c r="H175" s="117">
        <f>VLOOKUP(C175,'Talente &amp; Stuff'!ER:FT,6,FALSE)</f>
        <v>0</v>
      </c>
      <c r="I175" s="117">
        <f>VLOOKUP(C175,'Talente &amp; Stuff'!ER:FT,7,FALSE)</f>
        <v>0</v>
      </c>
      <c r="J175" s="117">
        <f>VLOOKUP(C175,'Talente &amp; Stuff'!ER:FT,8,FALSE)</f>
        <v>0</v>
      </c>
      <c r="K175" s="117">
        <f>VLOOKUP(C175,'Talente &amp; Stuff'!ER:FT,9,FALSE)</f>
        <v>0</v>
      </c>
      <c r="L175" s="117">
        <f>VLOOKUP(C175,'Talente &amp; Stuff'!ER:FT,10,FALSE)</f>
        <v>0</v>
      </c>
      <c r="M175" s="121">
        <f>VLOOKUP(C175,'Talente &amp; Stuff'!ER:FT,11,FALSE)</f>
        <v>0</v>
      </c>
      <c r="N175" s="47">
        <f>VLOOKUP(C175,'Talente &amp; Stuff'!ER:FT,12,FALSE)</f>
        <v>0</v>
      </c>
      <c r="O175" s="3">
        <f>VLOOKUP(C175,'Talente &amp; Stuff'!ER:FT,13,FALSE)</f>
        <v>0</v>
      </c>
      <c r="P175" s="174">
        <f>VLOOKUP(C175,'Talente &amp; Stuff'!ER:FT,14,FALSE)</f>
        <v>0</v>
      </c>
      <c r="Q175" s="114">
        <f>VLOOKUP(C175,'Talente &amp; Stuff'!ER:FT,15,FALSE)</f>
        <v>0</v>
      </c>
      <c r="R175" s="117">
        <f>VLOOKUP(C175,'Talente &amp; Stuff'!ER:FT,16,FALSE)</f>
        <v>0</v>
      </c>
      <c r="S175" s="119">
        <f>VLOOKUP(C175,'Talente &amp; Stuff'!ER:FT,17,FALSE)</f>
        <v>0</v>
      </c>
      <c r="T175" s="119">
        <f>VLOOKUP(C175,'Talente &amp; Stuff'!ER:FT,18,FALSE)</f>
        <v>0</v>
      </c>
      <c r="U175" s="89">
        <f>VLOOKUP(C175,'Talente &amp; Stuff'!ER:FT,19,FALSE)</f>
        <v>0</v>
      </c>
      <c r="V175" s="47">
        <f>VLOOKUP(C175,'Talente &amp; Stuff'!ER:FT,20,FALSE)</f>
        <v>0</v>
      </c>
      <c r="W175" s="127">
        <f>VLOOKUP(C175,'Talente &amp; Stuff'!ER:FT,21,FALSE)</f>
        <v>0</v>
      </c>
      <c r="X175" s="127">
        <f>VLOOKUP(C175,'Talente &amp; Stuff'!ER:FT,22,FALSE)</f>
        <v>0</v>
      </c>
      <c r="Y175" s="165">
        <f t="shared" si="16"/>
        <v>0</v>
      </c>
      <c r="Z175" s="44">
        <f t="shared" si="17"/>
        <v>0</v>
      </c>
      <c r="AA175" s="125">
        <f>VLOOKUP(C175,'Talente &amp; Stuff'!ER:FT,25,FALSE)</f>
        <v>0</v>
      </c>
      <c r="AB175" s="160">
        <f>VLOOKUP(C175,'Talente &amp; Stuff'!ER:FT,26,FALSE)</f>
        <v>0</v>
      </c>
      <c r="AC175" s="127">
        <f>VLOOKUP(C175,'Talente &amp; Stuff'!ER:FT,27,FALSE)</f>
        <v>0</v>
      </c>
      <c r="AD175" s="125">
        <f>VLOOKUP(C175,'Talente &amp; Stuff'!ER:FT,28,FALSE)</f>
        <v>0</v>
      </c>
      <c r="AE175" s="28"/>
    </row>
    <row r="176" spans="2:31" ht="15" hidden="1" customHeight="1" outlineLevel="2">
      <c r="B176" s="148">
        <v>24</v>
      </c>
      <c r="C176" s="177" t="str">
        <f>Attribute!C176</f>
        <v>---</v>
      </c>
      <c r="D176" s="86" t="str">
        <f>VLOOKUP(C176,'Talente &amp; Stuff'!ER:FT,2,FALSE)</f>
        <v>--/--/--</v>
      </c>
      <c r="E176" s="167" t="str">
        <f>VLOOKUP(C176,'Talente &amp; Stuff'!ER:FT,3,FALSE)</f>
        <v>-</v>
      </c>
      <c r="F176" s="120">
        <f>VLOOKUP(C176,'Talente &amp; Stuff'!ER:FT,4,FALSE)</f>
        <v>0</v>
      </c>
      <c r="G176" s="117">
        <f>VLOOKUP(C176,'Talente &amp; Stuff'!ER:FT,5,FALSE)</f>
        <v>0</v>
      </c>
      <c r="H176" s="117">
        <f>VLOOKUP(C176,'Talente &amp; Stuff'!ER:FT,6,FALSE)</f>
        <v>0</v>
      </c>
      <c r="I176" s="117">
        <f>VLOOKUP(C176,'Talente &amp; Stuff'!ER:FT,7,FALSE)</f>
        <v>0</v>
      </c>
      <c r="J176" s="117">
        <f>VLOOKUP(C176,'Talente &amp; Stuff'!ER:FT,8,FALSE)</f>
        <v>0</v>
      </c>
      <c r="K176" s="117">
        <f>VLOOKUP(C176,'Talente &amp; Stuff'!ER:FT,9,FALSE)</f>
        <v>0</v>
      </c>
      <c r="L176" s="117">
        <f>VLOOKUP(C176,'Talente &amp; Stuff'!ER:FT,10,FALSE)</f>
        <v>0</v>
      </c>
      <c r="M176" s="121">
        <f>VLOOKUP(C176,'Talente &amp; Stuff'!ER:FT,11,FALSE)</f>
        <v>0</v>
      </c>
      <c r="N176" s="47">
        <f>VLOOKUP(C176,'Talente &amp; Stuff'!ER:FT,12,FALSE)</f>
        <v>0</v>
      </c>
      <c r="O176" s="3">
        <f>VLOOKUP(C176,'Talente &amp; Stuff'!ER:FT,13,FALSE)</f>
        <v>0</v>
      </c>
      <c r="P176" s="174">
        <f>VLOOKUP(C176,'Talente &amp; Stuff'!ER:FT,14,FALSE)</f>
        <v>0</v>
      </c>
      <c r="Q176" s="114">
        <f>VLOOKUP(C176,'Talente &amp; Stuff'!ER:FT,15,FALSE)</f>
        <v>0</v>
      </c>
      <c r="R176" s="117">
        <f>VLOOKUP(C176,'Talente &amp; Stuff'!ER:FT,16,FALSE)</f>
        <v>0</v>
      </c>
      <c r="S176" s="119">
        <f>VLOOKUP(C176,'Talente &amp; Stuff'!ER:FT,17,FALSE)</f>
        <v>0</v>
      </c>
      <c r="T176" s="119">
        <f>VLOOKUP(C176,'Talente &amp; Stuff'!ER:FT,18,FALSE)</f>
        <v>0</v>
      </c>
      <c r="U176" s="89">
        <f>VLOOKUP(C176,'Talente &amp; Stuff'!ER:FT,19,FALSE)</f>
        <v>0</v>
      </c>
      <c r="V176" s="47">
        <f>VLOOKUP(C176,'Talente &amp; Stuff'!ER:FT,20,FALSE)</f>
        <v>0</v>
      </c>
      <c r="W176" s="127">
        <f>VLOOKUP(C176,'Talente &amp; Stuff'!ER:FT,21,FALSE)</f>
        <v>0</v>
      </c>
      <c r="X176" s="127">
        <f>VLOOKUP(C176,'Talente &amp; Stuff'!ER:FT,22,FALSE)</f>
        <v>0</v>
      </c>
      <c r="Y176" s="165">
        <f t="shared" si="16"/>
        <v>0</v>
      </c>
      <c r="Z176" s="44">
        <f t="shared" si="17"/>
        <v>0</v>
      </c>
      <c r="AA176" s="125">
        <f>VLOOKUP(C176,'Talente &amp; Stuff'!ER:FT,25,FALSE)</f>
        <v>0</v>
      </c>
      <c r="AB176" s="160">
        <f>VLOOKUP(C176,'Talente &amp; Stuff'!ER:FT,26,FALSE)</f>
        <v>0</v>
      </c>
      <c r="AC176" s="127">
        <f>VLOOKUP(C176,'Talente &amp; Stuff'!ER:FT,27,FALSE)</f>
        <v>0</v>
      </c>
      <c r="AD176" s="125">
        <f>VLOOKUP(C176,'Talente &amp; Stuff'!ER:FT,28,FALSE)</f>
        <v>0</v>
      </c>
      <c r="AE176" s="28"/>
    </row>
    <row r="177" spans="2:31" ht="15" hidden="1" customHeight="1" outlineLevel="2">
      <c r="B177" s="148">
        <v>25</v>
      </c>
      <c r="C177" s="177" t="str">
        <f>Attribute!C177</f>
        <v>---</v>
      </c>
      <c r="D177" s="86" t="str">
        <f>VLOOKUP(C177,'Talente &amp; Stuff'!ER:FT,2,FALSE)</f>
        <v>--/--/--</v>
      </c>
      <c r="E177" s="167" t="str">
        <f>VLOOKUP(C177,'Talente &amp; Stuff'!ER:FT,3,FALSE)</f>
        <v>-</v>
      </c>
      <c r="F177" s="120">
        <f>VLOOKUP(C177,'Talente &amp; Stuff'!ER:FT,4,FALSE)</f>
        <v>0</v>
      </c>
      <c r="G177" s="117">
        <f>VLOOKUP(C177,'Talente &amp; Stuff'!ER:FT,5,FALSE)</f>
        <v>0</v>
      </c>
      <c r="H177" s="117">
        <f>VLOOKUP(C177,'Talente &amp; Stuff'!ER:FT,6,FALSE)</f>
        <v>0</v>
      </c>
      <c r="I177" s="117">
        <f>VLOOKUP(C177,'Talente &amp; Stuff'!ER:FT,7,FALSE)</f>
        <v>0</v>
      </c>
      <c r="J177" s="117">
        <f>VLOOKUP(C177,'Talente &amp; Stuff'!ER:FT,8,FALSE)</f>
        <v>0</v>
      </c>
      <c r="K177" s="117">
        <f>VLOOKUP(C177,'Talente &amp; Stuff'!ER:FT,9,FALSE)</f>
        <v>0</v>
      </c>
      <c r="L177" s="117">
        <f>VLOOKUP(C177,'Talente &amp; Stuff'!ER:FT,10,FALSE)</f>
        <v>0</v>
      </c>
      <c r="M177" s="121">
        <f>VLOOKUP(C177,'Talente &amp; Stuff'!ER:FT,11,FALSE)</f>
        <v>0</v>
      </c>
      <c r="N177" s="47">
        <f>VLOOKUP(C177,'Talente &amp; Stuff'!ER:FT,12,FALSE)</f>
        <v>0</v>
      </c>
      <c r="O177" s="3">
        <f>VLOOKUP(C177,'Talente &amp; Stuff'!ER:FT,13,FALSE)</f>
        <v>0</v>
      </c>
      <c r="P177" s="174">
        <f>VLOOKUP(C177,'Talente &amp; Stuff'!ER:FT,14,FALSE)</f>
        <v>0</v>
      </c>
      <c r="Q177" s="114">
        <f>VLOOKUP(C177,'Talente &amp; Stuff'!ER:FT,15,FALSE)</f>
        <v>0</v>
      </c>
      <c r="R177" s="117">
        <f>VLOOKUP(C177,'Talente &amp; Stuff'!ER:FT,16,FALSE)</f>
        <v>0</v>
      </c>
      <c r="S177" s="119">
        <f>VLOOKUP(C177,'Talente &amp; Stuff'!ER:FT,17,FALSE)</f>
        <v>0</v>
      </c>
      <c r="T177" s="119">
        <f>VLOOKUP(C177,'Talente &amp; Stuff'!ER:FT,18,FALSE)</f>
        <v>0</v>
      </c>
      <c r="U177" s="89">
        <f>VLOOKUP(C177,'Talente &amp; Stuff'!ER:FT,19,FALSE)</f>
        <v>0</v>
      </c>
      <c r="V177" s="47">
        <f>VLOOKUP(C177,'Talente &amp; Stuff'!ER:FT,20,FALSE)</f>
        <v>0</v>
      </c>
      <c r="W177" s="127">
        <f>VLOOKUP(C177,'Talente &amp; Stuff'!ER:FT,21,FALSE)</f>
        <v>0</v>
      </c>
      <c r="X177" s="127">
        <f>VLOOKUP(C177,'Talente &amp; Stuff'!ER:FT,22,FALSE)</f>
        <v>0</v>
      </c>
      <c r="Y177" s="165">
        <f t="shared" si="16"/>
        <v>0</v>
      </c>
      <c r="Z177" s="44">
        <f t="shared" si="17"/>
        <v>0</v>
      </c>
      <c r="AA177" s="125">
        <f>VLOOKUP(C177,'Talente &amp; Stuff'!ER:FT,25,FALSE)</f>
        <v>0</v>
      </c>
      <c r="AB177" s="160">
        <f>VLOOKUP(C177,'Talente &amp; Stuff'!ER:FT,26,FALSE)</f>
        <v>0</v>
      </c>
      <c r="AC177" s="127">
        <f>VLOOKUP(C177,'Talente &amp; Stuff'!ER:FT,27,FALSE)</f>
        <v>0</v>
      </c>
      <c r="AD177" s="125">
        <f>VLOOKUP(C177,'Talente &amp; Stuff'!ER:FT,28,FALSE)</f>
        <v>0</v>
      </c>
      <c r="AE177" s="28"/>
    </row>
    <row r="178" spans="2:31" ht="15" hidden="1" customHeight="1" outlineLevel="2">
      <c r="B178" s="148">
        <v>26</v>
      </c>
      <c r="C178" s="177" t="str">
        <f>Attribute!C178</f>
        <v>---</v>
      </c>
      <c r="D178" s="86" t="str">
        <f>VLOOKUP(C178,'Talente &amp; Stuff'!ER:FT,2,FALSE)</f>
        <v>--/--/--</v>
      </c>
      <c r="E178" s="167" t="str">
        <f>VLOOKUP(C178,'Talente &amp; Stuff'!ER:FT,3,FALSE)</f>
        <v>-</v>
      </c>
      <c r="F178" s="120">
        <f>VLOOKUP(C178,'Talente &amp; Stuff'!ER:FT,4,FALSE)</f>
        <v>0</v>
      </c>
      <c r="G178" s="117">
        <f>VLOOKUP(C178,'Talente &amp; Stuff'!ER:FT,5,FALSE)</f>
        <v>0</v>
      </c>
      <c r="H178" s="117">
        <f>VLOOKUP(C178,'Talente &amp; Stuff'!ER:FT,6,FALSE)</f>
        <v>0</v>
      </c>
      <c r="I178" s="117">
        <f>VLOOKUP(C178,'Talente &amp; Stuff'!ER:FT,7,FALSE)</f>
        <v>0</v>
      </c>
      <c r="J178" s="117">
        <f>VLOOKUP(C178,'Talente &amp; Stuff'!ER:FT,8,FALSE)</f>
        <v>0</v>
      </c>
      <c r="K178" s="117">
        <f>VLOOKUP(C178,'Talente &amp; Stuff'!ER:FT,9,FALSE)</f>
        <v>0</v>
      </c>
      <c r="L178" s="117">
        <f>VLOOKUP(C178,'Talente &amp; Stuff'!ER:FT,10,FALSE)</f>
        <v>0</v>
      </c>
      <c r="M178" s="121">
        <f>VLOOKUP(C178,'Talente &amp; Stuff'!ER:FT,11,FALSE)</f>
        <v>0</v>
      </c>
      <c r="N178" s="47">
        <f>VLOOKUP(C178,'Talente &amp; Stuff'!ER:FT,12,FALSE)</f>
        <v>0</v>
      </c>
      <c r="O178" s="3">
        <f>VLOOKUP(C178,'Talente &amp; Stuff'!ER:FT,13,FALSE)</f>
        <v>0</v>
      </c>
      <c r="P178" s="174">
        <f>VLOOKUP(C178,'Talente &amp; Stuff'!ER:FT,14,FALSE)</f>
        <v>0</v>
      </c>
      <c r="Q178" s="114">
        <f>VLOOKUP(C178,'Talente &amp; Stuff'!ER:FT,15,FALSE)</f>
        <v>0</v>
      </c>
      <c r="R178" s="117">
        <f>VLOOKUP(C178,'Talente &amp; Stuff'!ER:FT,16,FALSE)</f>
        <v>0</v>
      </c>
      <c r="S178" s="119">
        <f>VLOOKUP(C178,'Talente &amp; Stuff'!ER:FT,17,FALSE)</f>
        <v>0</v>
      </c>
      <c r="T178" s="119">
        <f>VLOOKUP(C178,'Talente &amp; Stuff'!ER:FT,18,FALSE)</f>
        <v>0</v>
      </c>
      <c r="U178" s="89">
        <f>VLOOKUP(C178,'Talente &amp; Stuff'!ER:FT,19,FALSE)</f>
        <v>0</v>
      </c>
      <c r="V178" s="47">
        <f>VLOOKUP(C178,'Talente &amp; Stuff'!ER:FT,20,FALSE)</f>
        <v>0</v>
      </c>
      <c r="W178" s="127">
        <f>VLOOKUP(C178,'Talente &amp; Stuff'!ER:FT,21,FALSE)</f>
        <v>0</v>
      </c>
      <c r="X178" s="127">
        <f>VLOOKUP(C178,'Talente &amp; Stuff'!ER:FT,22,FALSE)</f>
        <v>0</v>
      </c>
      <c r="Y178" s="165">
        <f t="shared" si="16"/>
        <v>0</v>
      </c>
      <c r="Z178" s="44">
        <f t="shared" si="17"/>
        <v>0</v>
      </c>
      <c r="AA178" s="125">
        <f>VLOOKUP(C178,'Talente &amp; Stuff'!ER:FT,25,FALSE)</f>
        <v>0</v>
      </c>
      <c r="AB178" s="160">
        <f>VLOOKUP(C178,'Talente &amp; Stuff'!ER:FT,26,FALSE)</f>
        <v>0</v>
      </c>
      <c r="AC178" s="127">
        <f>VLOOKUP(C178,'Talente &amp; Stuff'!ER:FT,27,FALSE)</f>
        <v>0</v>
      </c>
      <c r="AD178" s="125">
        <f>VLOOKUP(C178,'Talente &amp; Stuff'!ER:FT,28,FALSE)</f>
        <v>0</v>
      </c>
      <c r="AE178" s="28"/>
    </row>
    <row r="179" spans="2:31" ht="15" hidden="1" customHeight="1" outlineLevel="2">
      <c r="B179" s="148">
        <v>27</v>
      </c>
      <c r="C179" s="177" t="str">
        <f>Attribute!C179</f>
        <v>---</v>
      </c>
      <c r="D179" s="86" t="str">
        <f>VLOOKUP(C179,'Talente &amp; Stuff'!ER:FT,2,FALSE)</f>
        <v>--/--/--</v>
      </c>
      <c r="E179" s="167" t="str">
        <f>VLOOKUP(C179,'Talente &amp; Stuff'!ER:FT,3,FALSE)</f>
        <v>-</v>
      </c>
      <c r="F179" s="120">
        <f>VLOOKUP(C179,'Talente &amp; Stuff'!ER:FT,4,FALSE)</f>
        <v>0</v>
      </c>
      <c r="G179" s="117">
        <f>VLOOKUP(C179,'Talente &amp; Stuff'!ER:FT,5,FALSE)</f>
        <v>0</v>
      </c>
      <c r="H179" s="117">
        <f>VLOOKUP(C179,'Talente &amp; Stuff'!ER:FT,6,FALSE)</f>
        <v>0</v>
      </c>
      <c r="I179" s="117">
        <f>VLOOKUP(C179,'Talente &amp; Stuff'!ER:FT,7,FALSE)</f>
        <v>0</v>
      </c>
      <c r="J179" s="117">
        <f>VLOOKUP(C179,'Talente &amp; Stuff'!ER:FT,8,FALSE)</f>
        <v>0</v>
      </c>
      <c r="K179" s="117">
        <f>VLOOKUP(C179,'Talente &amp; Stuff'!ER:FT,9,FALSE)</f>
        <v>0</v>
      </c>
      <c r="L179" s="117">
        <f>VLOOKUP(C179,'Talente &amp; Stuff'!ER:FT,10,FALSE)</f>
        <v>0</v>
      </c>
      <c r="M179" s="121">
        <f>VLOOKUP(C179,'Talente &amp; Stuff'!ER:FT,11,FALSE)</f>
        <v>0</v>
      </c>
      <c r="N179" s="47">
        <f>VLOOKUP(C179,'Talente &amp; Stuff'!ER:FT,12,FALSE)</f>
        <v>0</v>
      </c>
      <c r="O179" s="3">
        <f>VLOOKUP(C179,'Talente &amp; Stuff'!ER:FT,13,FALSE)</f>
        <v>0</v>
      </c>
      <c r="P179" s="174">
        <f>VLOOKUP(C179,'Talente &amp; Stuff'!ER:FT,14,FALSE)</f>
        <v>0</v>
      </c>
      <c r="Q179" s="114">
        <f>VLOOKUP(C179,'Talente &amp; Stuff'!ER:FT,15,FALSE)</f>
        <v>0</v>
      </c>
      <c r="R179" s="117">
        <f>VLOOKUP(C179,'Talente &amp; Stuff'!ER:FT,16,FALSE)</f>
        <v>0</v>
      </c>
      <c r="S179" s="119">
        <f>VLOOKUP(C179,'Talente &amp; Stuff'!ER:FT,17,FALSE)</f>
        <v>0</v>
      </c>
      <c r="T179" s="119">
        <f>VLOOKUP(C179,'Talente &amp; Stuff'!ER:FT,18,FALSE)</f>
        <v>0</v>
      </c>
      <c r="U179" s="89">
        <f>VLOOKUP(C179,'Talente &amp; Stuff'!ER:FT,19,FALSE)</f>
        <v>0</v>
      </c>
      <c r="V179" s="47">
        <f>VLOOKUP(C179,'Talente &amp; Stuff'!ER:FT,20,FALSE)</f>
        <v>0</v>
      </c>
      <c r="W179" s="127">
        <f>VLOOKUP(C179,'Talente &amp; Stuff'!ER:FT,21,FALSE)</f>
        <v>0</v>
      </c>
      <c r="X179" s="127">
        <f>VLOOKUP(C179,'Talente &amp; Stuff'!ER:FT,22,FALSE)</f>
        <v>0</v>
      </c>
      <c r="Y179" s="165">
        <f t="shared" si="16"/>
        <v>0</v>
      </c>
      <c r="Z179" s="44">
        <f t="shared" si="17"/>
        <v>0</v>
      </c>
      <c r="AA179" s="125">
        <f>VLOOKUP(C179,'Talente &amp; Stuff'!ER:FT,25,FALSE)</f>
        <v>0</v>
      </c>
      <c r="AB179" s="160">
        <f>VLOOKUP(C179,'Talente &amp; Stuff'!ER:FT,26,FALSE)</f>
        <v>0</v>
      </c>
      <c r="AC179" s="127">
        <f>VLOOKUP(C179,'Talente &amp; Stuff'!ER:FT,27,FALSE)</f>
        <v>0</v>
      </c>
      <c r="AD179" s="125">
        <f>VLOOKUP(C179,'Talente &amp; Stuff'!ER:FT,28,FALSE)</f>
        <v>0</v>
      </c>
      <c r="AE179" s="28"/>
    </row>
    <row r="180" spans="2:31" ht="15" hidden="1" customHeight="1" outlineLevel="2">
      <c r="B180" s="148">
        <v>28</v>
      </c>
      <c r="C180" s="177" t="str">
        <f>Attribute!C180</f>
        <v>---</v>
      </c>
      <c r="D180" s="86" t="str">
        <f>VLOOKUP(C180,'Talente &amp; Stuff'!ER:FT,2,FALSE)</f>
        <v>--/--/--</v>
      </c>
      <c r="E180" s="167" t="str">
        <f>VLOOKUP(C180,'Talente &amp; Stuff'!ER:FT,3,FALSE)</f>
        <v>-</v>
      </c>
      <c r="F180" s="120">
        <f>VLOOKUP(C180,'Talente &amp; Stuff'!ER:FT,4,FALSE)</f>
        <v>0</v>
      </c>
      <c r="G180" s="117">
        <f>VLOOKUP(C180,'Talente &amp; Stuff'!ER:FT,5,FALSE)</f>
        <v>0</v>
      </c>
      <c r="H180" s="117">
        <f>VLOOKUP(C180,'Talente &amp; Stuff'!ER:FT,6,FALSE)</f>
        <v>0</v>
      </c>
      <c r="I180" s="117">
        <f>VLOOKUP(C180,'Talente &amp; Stuff'!ER:FT,7,FALSE)</f>
        <v>0</v>
      </c>
      <c r="J180" s="117">
        <f>VLOOKUP(C180,'Talente &amp; Stuff'!ER:FT,8,FALSE)</f>
        <v>0</v>
      </c>
      <c r="K180" s="117">
        <f>VLOOKUP(C180,'Talente &amp; Stuff'!ER:FT,9,FALSE)</f>
        <v>0</v>
      </c>
      <c r="L180" s="117">
        <f>VLOOKUP(C180,'Talente &amp; Stuff'!ER:FT,10,FALSE)</f>
        <v>0</v>
      </c>
      <c r="M180" s="121">
        <f>VLOOKUP(C180,'Talente &amp; Stuff'!ER:FT,11,FALSE)</f>
        <v>0</v>
      </c>
      <c r="N180" s="47">
        <f>VLOOKUP(C180,'Talente &amp; Stuff'!ER:FT,12,FALSE)</f>
        <v>0</v>
      </c>
      <c r="O180" s="3">
        <f>VLOOKUP(C180,'Talente &amp; Stuff'!ER:FT,13,FALSE)</f>
        <v>0</v>
      </c>
      <c r="P180" s="174">
        <f>VLOOKUP(C180,'Talente &amp; Stuff'!ER:FT,14,FALSE)</f>
        <v>0</v>
      </c>
      <c r="Q180" s="114">
        <f>VLOOKUP(C180,'Talente &amp; Stuff'!ER:FT,15,FALSE)</f>
        <v>0</v>
      </c>
      <c r="R180" s="117">
        <f>VLOOKUP(C180,'Talente &amp; Stuff'!ER:FT,16,FALSE)</f>
        <v>0</v>
      </c>
      <c r="S180" s="119">
        <f>VLOOKUP(C180,'Talente &amp; Stuff'!ER:FT,17,FALSE)</f>
        <v>0</v>
      </c>
      <c r="T180" s="119">
        <f>VLOOKUP(C180,'Talente &amp; Stuff'!ER:FT,18,FALSE)</f>
        <v>0</v>
      </c>
      <c r="U180" s="89">
        <f>VLOOKUP(C180,'Talente &amp; Stuff'!ER:FT,19,FALSE)</f>
        <v>0</v>
      </c>
      <c r="V180" s="47">
        <f>VLOOKUP(C180,'Talente &amp; Stuff'!ER:FT,20,FALSE)</f>
        <v>0</v>
      </c>
      <c r="W180" s="127">
        <f>VLOOKUP(C180,'Talente &amp; Stuff'!ER:FT,21,FALSE)</f>
        <v>0</v>
      </c>
      <c r="X180" s="127">
        <f>VLOOKUP(C180,'Talente &amp; Stuff'!ER:FT,22,FALSE)</f>
        <v>0</v>
      </c>
      <c r="Y180" s="165">
        <f t="shared" si="16"/>
        <v>0</v>
      </c>
      <c r="Z180" s="44">
        <f t="shared" si="17"/>
        <v>0</v>
      </c>
      <c r="AA180" s="125">
        <f>VLOOKUP(C180,'Talente &amp; Stuff'!ER:FT,25,FALSE)</f>
        <v>0</v>
      </c>
      <c r="AB180" s="160">
        <f>VLOOKUP(C180,'Talente &amp; Stuff'!ER:FT,26,FALSE)</f>
        <v>0</v>
      </c>
      <c r="AC180" s="127">
        <f>VLOOKUP(C180,'Talente &amp; Stuff'!ER:FT,27,FALSE)</f>
        <v>0</v>
      </c>
      <c r="AD180" s="125">
        <f>VLOOKUP(C180,'Talente &amp; Stuff'!ER:FT,28,FALSE)</f>
        <v>0</v>
      </c>
      <c r="AE180" s="28"/>
    </row>
    <row r="181" spans="2:31" ht="15" hidden="1" customHeight="1" outlineLevel="2">
      <c r="B181" s="148">
        <v>29</v>
      </c>
      <c r="C181" s="177" t="str">
        <f>Attribute!C181</f>
        <v>---</v>
      </c>
      <c r="D181" s="86" t="str">
        <f>VLOOKUP(C181,'Talente &amp; Stuff'!ER:FT,2,FALSE)</f>
        <v>--/--/--</v>
      </c>
      <c r="E181" s="167" t="str">
        <f>VLOOKUP(C181,'Talente &amp; Stuff'!ER:FT,3,FALSE)</f>
        <v>-</v>
      </c>
      <c r="F181" s="120">
        <f>VLOOKUP(C181,'Talente &amp; Stuff'!ER:FT,4,FALSE)</f>
        <v>0</v>
      </c>
      <c r="G181" s="117">
        <f>VLOOKUP(C181,'Talente &amp; Stuff'!ER:FT,5,FALSE)</f>
        <v>0</v>
      </c>
      <c r="H181" s="117">
        <f>VLOOKUP(C181,'Talente &amp; Stuff'!ER:FT,6,FALSE)</f>
        <v>0</v>
      </c>
      <c r="I181" s="117">
        <f>VLOOKUP(C181,'Talente &amp; Stuff'!ER:FT,7,FALSE)</f>
        <v>0</v>
      </c>
      <c r="J181" s="117">
        <f>VLOOKUP(C181,'Talente &amp; Stuff'!ER:FT,8,FALSE)</f>
        <v>0</v>
      </c>
      <c r="K181" s="117">
        <f>VLOOKUP(C181,'Talente &amp; Stuff'!ER:FT,9,FALSE)</f>
        <v>0</v>
      </c>
      <c r="L181" s="117">
        <f>VLOOKUP(C181,'Talente &amp; Stuff'!ER:FT,10,FALSE)</f>
        <v>0</v>
      </c>
      <c r="M181" s="121">
        <f>VLOOKUP(C181,'Talente &amp; Stuff'!ER:FT,11,FALSE)</f>
        <v>0</v>
      </c>
      <c r="N181" s="47">
        <f>VLOOKUP(C181,'Talente &amp; Stuff'!ER:FT,12,FALSE)</f>
        <v>0</v>
      </c>
      <c r="O181" s="3">
        <f>VLOOKUP(C181,'Talente &amp; Stuff'!ER:FT,13,FALSE)</f>
        <v>0</v>
      </c>
      <c r="P181" s="174">
        <f>VLOOKUP(C181,'Talente &amp; Stuff'!ER:FT,14,FALSE)</f>
        <v>0</v>
      </c>
      <c r="Q181" s="114">
        <f>VLOOKUP(C181,'Talente &amp; Stuff'!ER:FT,15,FALSE)</f>
        <v>0</v>
      </c>
      <c r="R181" s="117">
        <f>VLOOKUP(C181,'Talente &amp; Stuff'!ER:FT,16,FALSE)</f>
        <v>0</v>
      </c>
      <c r="S181" s="119">
        <f>VLOOKUP(C181,'Talente &amp; Stuff'!ER:FT,17,FALSE)</f>
        <v>0</v>
      </c>
      <c r="T181" s="119">
        <f>VLOOKUP(C181,'Talente &amp; Stuff'!ER:FT,18,FALSE)</f>
        <v>0</v>
      </c>
      <c r="U181" s="89">
        <f>VLOOKUP(C181,'Talente &amp; Stuff'!ER:FT,19,FALSE)</f>
        <v>0</v>
      </c>
      <c r="V181" s="47">
        <f>VLOOKUP(C181,'Talente &amp; Stuff'!ER:FT,20,FALSE)</f>
        <v>0</v>
      </c>
      <c r="W181" s="127">
        <f>VLOOKUP(C181,'Talente &amp; Stuff'!ER:FT,21,FALSE)</f>
        <v>0</v>
      </c>
      <c r="X181" s="127">
        <f>VLOOKUP(C181,'Talente &amp; Stuff'!ER:FT,22,FALSE)</f>
        <v>0</v>
      </c>
      <c r="Y181" s="165">
        <f t="shared" si="16"/>
        <v>0</v>
      </c>
      <c r="Z181" s="44">
        <f t="shared" si="17"/>
        <v>0</v>
      </c>
      <c r="AA181" s="125">
        <f>VLOOKUP(C181,'Talente &amp; Stuff'!ER:FT,25,FALSE)</f>
        <v>0</v>
      </c>
      <c r="AB181" s="160">
        <f>VLOOKUP(C181,'Talente &amp; Stuff'!ER:FT,26,FALSE)</f>
        <v>0</v>
      </c>
      <c r="AC181" s="127">
        <f>VLOOKUP(C181,'Talente &amp; Stuff'!ER:FT,27,FALSE)</f>
        <v>0</v>
      </c>
      <c r="AD181" s="125">
        <f>VLOOKUP(C181,'Talente &amp; Stuff'!ER:FT,28,FALSE)</f>
        <v>0</v>
      </c>
      <c r="AE181" s="28"/>
    </row>
    <row r="182" spans="2:31" ht="15" hidden="1" customHeight="1" outlineLevel="2">
      <c r="B182" s="148">
        <v>30</v>
      </c>
      <c r="C182" s="177" t="str">
        <f>Attribute!C182</f>
        <v>---</v>
      </c>
      <c r="D182" s="86" t="str">
        <f>VLOOKUP(C182,'Talente &amp; Stuff'!ER:FT,2,FALSE)</f>
        <v>--/--/--</v>
      </c>
      <c r="E182" s="167" t="str">
        <f>VLOOKUP(C182,'Talente &amp; Stuff'!ER:FT,3,FALSE)</f>
        <v>-</v>
      </c>
      <c r="F182" s="120">
        <f>VLOOKUP(C182,'Talente &amp; Stuff'!ER:FT,4,FALSE)</f>
        <v>0</v>
      </c>
      <c r="G182" s="117">
        <f>VLOOKUP(C182,'Talente &amp; Stuff'!ER:FT,5,FALSE)</f>
        <v>0</v>
      </c>
      <c r="H182" s="117">
        <f>VLOOKUP(C182,'Talente &amp; Stuff'!ER:FT,6,FALSE)</f>
        <v>0</v>
      </c>
      <c r="I182" s="117">
        <f>VLOOKUP(C182,'Talente &amp; Stuff'!ER:FT,7,FALSE)</f>
        <v>0</v>
      </c>
      <c r="J182" s="117">
        <f>VLOOKUP(C182,'Talente &amp; Stuff'!ER:FT,8,FALSE)</f>
        <v>0</v>
      </c>
      <c r="K182" s="117">
        <f>VLOOKUP(C182,'Talente &amp; Stuff'!ER:FT,9,FALSE)</f>
        <v>0</v>
      </c>
      <c r="L182" s="117">
        <f>VLOOKUP(C182,'Talente &amp; Stuff'!ER:FT,10,FALSE)</f>
        <v>0</v>
      </c>
      <c r="M182" s="121">
        <f>VLOOKUP(C182,'Talente &amp; Stuff'!ER:FT,11,FALSE)</f>
        <v>0</v>
      </c>
      <c r="N182" s="47">
        <f>VLOOKUP(C182,'Talente &amp; Stuff'!ER:FT,12,FALSE)</f>
        <v>0</v>
      </c>
      <c r="O182" s="3">
        <f>VLOOKUP(C182,'Talente &amp; Stuff'!ER:FT,13,FALSE)</f>
        <v>0</v>
      </c>
      <c r="P182" s="174">
        <f>VLOOKUP(C182,'Talente &amp; Stuff'!ER:FT,14,FALSE)</f>
        <v>0</v>
      </c>
      <c r="Q182" s="114">
        <f>VLOOKUP(C182,'Talente &amp; Stuff'!ER:FT,15,FALSE)</f>
        <v>0</v>
      </c>
      <c r="R182" s="117">
        <f>VLOOKUP(C182,'Talente &amp; Stuff'!ER:FT,16,FALSE)</f>
        <v>0</v>
      </c>
      <c r="S182" s="119">
        <f>VLOOKUP(C182,'Talente &amp; Stuff'!ER:FT,17,FALSE)</f>
        <v>0</v>
      </c>
      <c r="T182" s="119">
        <f>VLOOKUP(C182,'Talente &amp; Stuff'!ER:FT,18,FALSE)</f>
        <v>0</v>
      </c>
      <c r="U182" s="89">
        <f>VLOOKUP(C182,'Talente &amp; Stuff'!ER:FT,19,FALSE)</f>
        <v>0</v>
      </c>
      <c r="V182" s="47">
        <f>VLOOKUP(C182,'Talente &amp; Stuff'!ER:FT,20,FALSE)</f>
        <v>0</v>
      </c>
      <c r="W182" s="127">
        <f>VLOOKUP(C182,'Talente &amp; Stuff'!ER:FT,21,FALSE)</f>
        <v>0</v>
      </c>
      <c r="X182" s="127">
        <f>VLOOKUP(C182,'Talente &amp; Stuff'!ER:FT,22,FALSE)</f>
        <v>0</v>
      </c>
      <c r="Y182" s="165">
        <f t="shared" si="16"/>
        <v>0</v>
      </c>
      <c r="Z182" s="44">
        <f t="shared" si="17"/>
        <v>0</v>
      </c>
      <c r="AA182" s="125">
        <f>VLOOKUP(C182,'Talente &amp; Stuff'!ER:FT,25,FALSE)</f>
        <v>0</v>
      </c>
      <c r="AB182" s="160">
        <f>VLOOKUP(C182,'Talente &amp; Stuff'!ER:FT,26,FALSE)</f>
        <v>0</v>
      </c>
      <c r="AC182" s="127">
        <f>VLOOKUP(C182,'Talente &amp; Stuff'!ER:FT,27,FALSE)</f>
        <v>0</v>
      </c>
      <c r="AD182" s="125">
        <f>VLOOKUP(C182,'Talente &amp; Stuff'!ER:FT,28,FALSE)</f>
        <v>0</v>
      </c>
      <c r="AE182" s="28"/>
    </row>
    <row r="183" spans="2:31" ht="15" hidden="1" customHeight="1" outlineLevel="2">
      <c r="B183" s="148">
        <v>31</v>
      </c>
      <c r="C183" s="177" t="str">
        <f>Attribute!C183</f>
        <v>---</v>
      </c>
      <c r="D183" s="86" t="str">
        <f>VLOOKUP(C183,'Talente &amp; Stuff'!ER:FT,2,FALSE)</f>
        <v>--/--/--</v>
      </c>
      <c r="E183" s="167" t="str">
        <f>VLOOKUP(C183,'Talente &amp; Stuff'!ER:FT,3,FALSE)</f>
        <v>-</v>
      </c>
      <c r="F183" s="120">
        <f>VLOOKUP(C183,'Talente &amp; Stuff'!ER:FT,4,FALSE)</f>
        <v>0</v>
      </c>
      <c r="G183" s="117">
        <f>VLOOKUP(C183,'Talente &amp; Stuff'!ER:FT,5,FALSE)</f>
        <v>0</v>
      </c>
      <c r="H183" s="117">
        <f>VLOOKUP(C183,'Talente &amp; Stuff'!ER:FT,6,FALSE)</f>
        <v>0</v>
      </c>
      <c r="I183" s="117">
        <f>VLOOKUP(C183,'Talente &amp; Stuff'!ER:FT,7,FALSE)</f>
        <v>0</v>
      </c>
      <c r="J183" s="117">
        <f>VLOOKUP(C183,'Talente &amp; Stuff'!ER:FT,8,FALSE)</f>
        <v>0</v>
      </c>
      <c r="K183" s="117">
        <f>VLOOKUP(C183,'Talente &amp; Stuff'!ER:FT,9,FALSE)</f>
        <v>0</v>
      </c>
      <c r="L183" s="117">
        <f>VLOOKUP(C183,'Talente &amp; Stuff'!ER:FT,10,FALSE)</f>
        <v>0</v>
      </c>
      <c r="M183" s="121">
        <f>VLOOKUP(C183,'Talente &amp; Stuff'!ER:FT,11,FALSE)</f>
        <v>0</v>
      </c>
      <c r="N183" s="47">
        <f>VLOOKUP(C183,'Talente &amp; Stuff'!ER:FT,12,FALSE)</f>
        <v>0</v>
      </c>
      <c r="O183" s="3">
        <f>VLOOKUP(C183,'Talente &amp; Stuff'!ER:FT,13,FALSE)</f>
        <v>0</v>
      </c>
      <c r="P183" s="174">
        <f>VLOOKUP(C183,'Talente &amp; Stuff'!ER:FT,14,FALSE)</f>
        <v>0</v>
      </c>
      <c r="Q183" s="114">
        <f>VLOOKUP(C183,'Talente &amp; Stuff'!ER:FT,15,FALSE)</f>
        <v>0</v>
      </c>
      <c r="R183" s="117">
        <f>VLOOKUP(C183,'Talente &amp; Stuff'!ER:FT,16,FALSE)</f>
        <v>0</v>
      </c>
      <c r="S183" s="119">
        <f>VLOOKUP(C183,'Talente &amp; Stuff'!ER:FT,17,FALSE)</f>
        <v>0</v>
      </c>
      <c r="T183" s="119">
        <f>VLOOKUP(C183,'Talente &amp; Stuff'!ER:FT,18,FALSE)</f>
        <v>0</v>
      </c>
      <c r="U183" s="89">
        <f>VLOOKUP(C183,'Talente &amp; Stuff'!ER:FT,19,FALSE)</f>
        <v>0</v>
      </c>
      <c r="V183" s="47">
        <f>VLOOKUP(C183,'Talente &amp; Stuff'!ER:FT,20,FALSE)</f>
        <v>0</v>
      </c>
      <c r="W183" s="127">
        <f>VLOOKUP(C183,'Talente &amp; Stuff'!ER:FT,21,FALSE)</f>
        <v>0</v>
      </c>
      <c r="X183" s="127">
        <f>VLOOKUP(C183,'Talente &amp; Stuff'!ER:FT,22,FALSE)</f>
        <v>0</v>
      </c>
      <c r="Y183" s="165">
        <f t="shared" si="16"/>
        <v>0</v>
      </c>
      <c r="Z183" s="44">
        <f t="shared" si="17"/>
        <v>0</v>
      </c>
      <c r="AA183" s="125">
        <f>VLOOKUP(C183,'Talente &amp; Stuff'!ER:FT,25,FALSE)</f>
        <v>0</v>
      </c>
      <c r="AB183" s="160">
        <f>VLOOKUP(C183,'Talente &amp; Stuff'!ER:FT,26,FALSE)</f>
        <v>0</v>
      </c>
      <c r="AC183" s="127">
        <f>VLOOKUP(C183,'Talente &amp; Stuff'!ER:FT,27,FALSE)</f>
        <v>0</v>
      </c>
      <c r="AD183" s="125">
        <f>VLOOKUP(C183,'Talente &amp; Stuff'!ER:FT,28,FALSE)</f>
        <v>0</v>
      </c>
      <c r="AE183" s="28"/>
    </row>
    <row r="184" spans="2:31" ht="15" hidden="1" customHeight="1" outlineLevel="2">
      <c r="B184" s="148">
        <v>32</v>
      </c>
      <c r="C184" s="177" t="str">
        <f>Attribute!C184</f>
        <v>---</v>
      </c>
      <c r="D184" s="86" t="str">
        <f>VLOOKUP(C184,'Talente &amp; Stuff'!ER:FT,2,FALSE)</f>
        <v>--/--/--</v>
      </c>
      <c r="E184" s="167" t="str">
        <f>VLOOKUP(C184,'Talente &amp; Stuff'!ER:FT,3,FALSE)</f>
        <v>-</v>
      </c>
      <c r="F184" s="120">
        <f>VLOOKUP(C184,'Talente &amp; Stuff'!ER:FT,4,FALSE)</f>
        <v>0</v>
      </c>
      <c r="G184" s="117">
        <f>VLOOKUP(C184,'Talente &amp; Stuff'!ER:FT,5,FALSE)</f>
        <v>0</v>
      </c>
      <c r="H184" s="117">
        <f>VLOOKUP(C184,'Talente &amp; Stuff'!ER:FT,6,FALSE)</f>
        <v>0</v>
      </c>
      <c r="I184" s="117">
        <f>VLOOKUP(C184,'Talente &amp; Stuff'!ER:FT,7,FALSE)</f>
        <v>0</v>
      </c>
      <c r="J184" s="117">
        <f>VLOOKUP(C184,'Talente &amp; Stuff'!ER:FT,8,FALSE)</f>
        <v>0</v>
      </c>
      <c r="K184" s="117">
        <f>VLOOKUP(C184,'Talente &amp; Stuff'!ER:FT,9,FALSE)</f>
        <v>0</v>
      </c>
      <c r="L184" s="117">
        <f>VLOOKUP(C184,'Talente &amp; Stuff'!ER:FT,10,FALSE)</f>
        <v>0</v>
      </c>
      <c r="M184" s="121">
        <f>VLOOKUP(C184,'Talente &amp; Stuff'!ER:FT,11,FALSE)</f>
        <v>0</v>
      </c>
      <c r="N184" s="47">
        <f>VLOOKUP(C184,'Talente &amp; Stuff'!ER:FT,12,FALSE)</f>
        <v>0</v>
      </c>
      <c r="O184" s="3">
        <f>VLOOKUP(C184,'Talente &amp; Stuff'!ER:FT,13,FALSE)</f>
        <v>0</v>
      </c>
      <c r="P184" s="174">
        <f>VLOOKUP(C184,'Talente &amp; Stuff'!ER:FT,14,FALSE)</f>
        <v>0</v>
      </c>
      <c r="Q184" s="114">
        <f>VLOOKUP(C184,'Talente &amp; Stuff'!ER:FT,15,FALSE)</f>
        <v>0</v>
      </c>
      <c r="R184" s="117">
        <f>VLOOKUP(C184,'Talente &amp; Stuff'!ER:FT,16,FALSE)</f>
        <v>0</v>
      </c>
      <c r="S184" s="119">
        <f>VLOOKUP(C184,'Talente &amp; Stuff'!ER:FT,17,FALSE)</f>
        <v>0</v>
      </c>
      <c r="T184" s="119">
        <f>VLOOKUP(C184,'Talente &amp; Stuff'!ER:FT,18,FALSE)</f>
        <v>0</v>
      </c>
      <c r="U184" s="89">
        <f>VLOOKUP(C184,'Talente &amp; Stuff'!ER:FT,19,FALSE)</f>
        <v>0</v>
      </c>
      <c r="V184" s="47">
        <f>VLOOKUP(C184,'Talente &amp; Stuff'!ER:FT,20,FALSE)</f>
        <v>0</v>
      </c>
      <c r="W184" s="127">
        <f>VLOOKUP(C184,'Talente &amp; Stuff'!ER:FT,21,FALSE)</f>
        <v>0</v>
      </c>
      <c r="X184" s="127">
        <f>VLOOKUP(C184,'Talente &amp; Stuff'!ER:FT,22,FALSE)</f>
        <v>0</v>
      </c>
      <c r="Y184" s="165">
        <f t="shared" si="16"/>
        <v>0</v>
      </c>
      <c r="Z184" s="44">
        <f t="shared" si="17"/>
        <v>0</v>
      </c>
      <c r="AA184" s="125">
        <f>VLOOKUP(C184,'Talente &amp; Stuff'!ER:FT,25,FALSE)</f>
        <v>0</v>
      </c>
      <c r="AB184" s="160">
        <f>VLOOKUP(C184,'Talente &amp; Stuff'!ER:FT,26,FALSE)</f>
        <v>0</v>
      </c>
      <c r="AC184" s="127">
        <f>VLOOKUP(C184,'Talente &amp; Stuff'!ER:FT,27,FALSE)</f>
        <v>0</v>
      </c>
      <c r="AD184" s="125">
        <f>VLOOKUP(C184,'Talente &amp; Stuff'!ER:FT,28,FALSE)</f>
        <v>0</v>
      </c>
      <c r="AE184" s="28"/>
    </row>
    <row r="185" spans="2:31" ht="15" hidden="1" customHeight="1" outlineLevel="2">
      <c r="B185" s="148">
        <v>33</v>
      </c>
      <c r="C185" s="177" t="str">
        <f>Attribute!C185</f>
        <v>---</v>
      </c>
      <c r="D185" s="86" t="str">
        <f>VLOOKUP(C185,'Talente &amp; Stuff'!ER:FT,2,FALSE)</f>
        <v>--/--/--</v>
      </c>
      <c r="E185" s="167" t="str">
        <f>VLOOKUP(C185,'Talente &amp; Stuff'!ER:FT,3,FALSE)</f>
        <v>-</v>
      </c>
      <c r="F185" s="120">
        <f>VLOOKUP(C185,'Talente &amp; Stuff'!ER:FT,4,FALSE)</f>
        <v>0</v>
      </c>
      <c r="G185" s="117">
        <f>VLOOKUP(C185,'Talente &amp; Stuff'!ER:FT,5,FALSE)</f>
        <v>0</v>
      </c>
      <c r="H185" s="117">
        <f>VLOOKUP(C185,'Talente &amp; Stuff'!ER:FT,6,FALSE)</f>
        <v>0</v>
      </c>
      <c r="I185" s="117">
        <f>VLOOKUP(C185,'Talente &amp; Stuff'!ER:FT,7,FALSE)</f>
        <v>0</v>
      </c>
      <c r="J185" s="117">
        <f>VLOOKUP(C185,'Talente &amp; Stuff'!ER:FT,8,FALSE)</f>
        <v>0</v>
      </c>
      <c r="K185" s="117">
        <f>VLOOKUP(C185,'Talente &amp; Stuff'!ER:FT,9,FALSE)</f>
        <v>0</v>
      </c>
      <c r="L185" s="117">
        <f>VLOOKUP(C185,'Talente &amp; Stuff'!ER:FT,10,FALSE)</f>
        <v>0</v>
      </c>
      <c r="M185" s="121">
        <f>VLOOKUP(C185,'Talente &amp; Stuff'!ER:FT,11,FALSE)</f>
        <v>0</v>
      </c>
      <c r="N185" s="47">
        <f>VLOOKUP(C185,'Talente &amp; Stuff'!ER:FT,12,FALSE)</f>
        <v>0</v>
      </c>
      <c r="O185" s="3">
        <f>VLOOKUP(C185,'Talente &amp; Stuff'!ER:FT,13,FALSE)</f>
        <v>0</v>
      </c>
      <c r="P185" s="174">
        <f>VLOOKUP(C185,'Talente &amp; Stuff'!ER:FT,14,FALSE)</f>
        <v>0</v>
      </c>
      <c r="Q185" s="114">
        <f>VLOOKUP(C185,'Talente &amp; Stuff'!ER:FT,15,FALSE)</f>
        <v>0</v>
      </c>
      <c r="R185" s="117">
        <f>VLOOKUP(C185,'Talente &amp; Stuff'!ER:FT,16,FALSE)</f>
        <v>0</v>
      </c>
      <c r="S185" s="119">
        <f>VLOOKUP(C185,'Talente &amp; Stuff'!ER:FT,17,FALSE)</f>
        <v>0</v>
      </c>
      <c r="T185" s="119">
        <f>VLOOKUP(C185,'Talente &amp; Stuff'!ER:FT,18,FALSE)</f>
        <v>0</v>
      </c>
      <c r="U185" s="89">
        <f>VLOOKUP(C185,'Talente &amp; Stuff'!ER:FT,19,FALSE)</f>
        <v>0</v>
      </c>
      <c r="V185" s="47">
        <f>VLOOKUP(C185,'Talente &amp; Stuff'!ER:FT,20,FALSE)</f>
        <v>0</v>
      </c>
      <c r="W185" s="127">
        <f>VLOOKUP(C185,'Talente &amp; Stuff'!ER:FT,21,FALSE)</f>
        <v>0</v>
      </c>
      <c r="X185" s="127">
        <f>VLOOKUP(C185,'Talente &amp; Stuff'!ER:FT,22,FALSE)</f>
        <v>0</v>
      </c>
      <c r="Y185" s="165">
        <f t="shared" ref="Y185:Y211" si="18">VLOOKUP(C185,Ausgewählte_Zauber_Gildenmagier,168,FALSE)</f>
        <v>0</v>
      </c>
      <c r="Z185" s="44">
        <f t="shared" ref="Z185:Z211" si="19">VLOOKUP(C185,Ausgewählte_Zauber_Gildenmagier,169,FALSE)</f>
        <v>0</v>
      </c>
      <c r="AA185" s="125">
        <f>VLOOKUP(C185,'Talente &amp; Stuff'!ER:FT,25,FALSE)</f>
        <v>0</v>
      </c>
      <c r="AB185" s="160">
        <f>VLOOKUP(C185,'Talente &amp; Stuff'!ER:FT,26,FALSE)</f>
        <v>0</v>
      </c>
      <c r="AC185" s="127">
        <f>VLOOKUP(C185,'Talente &amp; Stuff'!ER:FT,27,FALSE)</f>
        <v>0</v>
      </c>
      <c r="AD185" s="125">
        <f>VLOOKUP(C185,'Talente &amp; Stuff'!ER:FT,28,FALSE)</f>
        <v>0</v>
      </c>
      <c r="AE185" s="28"/>
    </row>
    <row r="186" spans="2:31" ht="15" hidden="1" customHeight="1" outlineLevel="2">
      <c r="B186" s="148">
        <v>34</v>
      </c>
      <c r="C186" s="177" t="str">
        <f>Attribute!C186</f>
        <v>---</v>
      </c>
      <c r="D186" s="86" t="str">
        <f>VLOOKUP(C186,'Talente &amp; Stuff'!ER:FT,2,FALSE)</f>
        <v>--/--/--</v>
      </c>
      <c r="E186" s="167" t="str">
        <f>VLOOKUP(C186,'Talente &amp; Stuff'!ER:FT,3,FALSE)</f>
        <v>-</v>
      </c>
      <c r="F186" s="120">
        <f>VLOOKUP(C186,'Talente &amp; Stuff'!ER:FT,4,FALSE)</f>
        <v>0</v>
      </c>
      <c r="G186" s="117">
        <f>VLOOKUP(C186,'Talente &amp; Stuff'!ER:FT,5,FALSE)</f>
        <v>0</v>
      </c>
      <c r="H186" s="117">
        <f>VLOOKUP(C186,'Talente &amp; Stuff'!ER:FT,6,FALSE)</f>
        <v>0</v>
      </c>
      <c r="I186" s="117">
        <f>VLOOKUP(C186,'Talente &amp; Stuff'!ER:FT,7,FALSE)</f>
        <v>0</v>
      </c>
      <c r="J186" s="117">
        <f>VLOOKUP(C186,'Talente &amp; Stuff'!ER:FT,8,FALSE)</f>
        <v>0</v>
      </c>
      <c r="K186" s="117">
        <f>VLOOKUP(C186,'Talente &amp; Stuff'!ER:FT,9,FALSE)</f>
        <v>0</v>
      </c>
      <c r="L186" s="117">
        <f>VLOOKUP(C186,'Talente &amp; Stuff'!ER:FT,10,FALSE)</f>
        <v>0</v>
      </c>
      <c r="M186" s="121">
        <f>VLOOKUP(C186,'Talente &amp; Stuff'!ER:FT,11,FALSE)</f>
        <v>0</v>
      </c>
      <c r="N186" s="47">
        <f>VLOOKUP(C186,'Talente &amp; Stuff'!ER:FT,12,FALSE)</f>
        <v>0</v>
      </c>
      <c r="O186" s="3">
        <f>VLOOKUP(C186,'Talente &amp; Stuff'!ER:FT,13,FALSE)</f>
        <v>0</v>
      </c>
      <c r="P186" s="174">
        <f>VLOOKUP(C186,'Talente &amp; Stuff'!ER:FT,14,FALSE)</f>
        <v>0</v>
      </c>
      <c r="Q186" s="114">
        <f>VLOOKUP(C186,'Talente &amp; Stuff'!ER:FT,15,FALSE)</f>
        <v>0</v>
      </c>
      <c r="R186" s="117">
        <f>VLOOKUP(C186,'Talente &amp; Stuff'!ER:FT,16,FALSE)</f>
        <v>0</v>
      </c>
      <c r="S186" s="119">
        <f>VLOOKUP(C186,'Talente &amp; Stuff'!ER:FT,17,FALSE)</f>
        <v>0</v>
      </c>
      <c r="T186" s="119">
        <f>VLOOKUP(C186,'Talente &amp; Stuff'!ER:FT,18,FALSE)</f>
        <v>0</v>
      </c>
      <c r="U186" s="89">
        <f>VLOOKUP(C186,'Talente &amp; Stuff'!ER:FT,19,FALSE)</f>
        <v>0</v>
      </c>
      <c r="V186" s="47">
        <f>VLOOKUP(C186,'Talente &amp; Stuff'!ER:FT,20,FALSE)</f>
        <v>0</v>
      </c>
      <c r="W186" s="127">
        <f>VLOOKUP(C186,'Talente &amp; Stuff'!ER:FT,21,FALSE)</f>
        <v>0</v>
      </c>
      <c r="X186" s="127">
        <f>VLOOKUP(C186,'Talente &amp; Stuff'!ER:FT,22,FALSE)</f>
        <v>0</v>
      </c>
      <c r="Y186" s="165">
        <f t="shared" si="18"/>
        <v>0</v>
      </c>
      <c r="Z186" s="44">
        <f t="shared" si="19"/>
        <v>0</v>
      </c>
      <c r="AA186" s="125">
        <f>VLOOKUP(C186,'Talente &amp; Stuff'!ER:FT,25,FALSE)</f>
        <v>0</v>
      </c>
      <c r="AB186" s="160">
        <f>VLOOKUP(C186,'Talente &amp; Stuff'!ER:FT,26,FALSE)</f>
        <v>0</v>
      </c>
      <c r="AC186" s="127">
        <f>VLOOKUP(C186,'Talente &amp; Stuff'!ER:FT,27,FALSE)</f>
        <v>0</v>
      </c>
      <c r="AD186" s="125">
        <f>VLOOKUP(C186,'Talente &amp; Stuff'!ER:FT,28,FALSE)</f>
        <v>0</v>
      </c>
      <c r="AE186" s="28"/>
    </row>
    <row r="187" spans="2:31" ht="15" hidden="1" customHeight="1" outlineLevel="2">
      <c r="B187" s="148">
        <v>35</v>
      </c>
      <c r="C187" s="177" t="str">
        <f>Attribute!C187</f>
        <v>---</v>
      </c>
      <c r="D187" s="86" t="str">
        <f>VLOOKUP(C187,'Talente &amp; Stuff'!ER:FT,2,FALSE)</f>
        <v>--/--/--</v>
      </c>
      <c r="E187" s="167" t="str">
        <f>VLOOKUP(C187,'Talente &amp; Stuff'!ER:FT,3,FALSE)</f>
        <v>-</v>
      </c>
      <c r="F187" s="120">
        <f>VLOOKUP(C187,'Talente &amp; Stuff'!ER:FT,4,FALSE)</f>
        <v>0</v>
      </c>
      <c r="G187" s="117">
        <f>VLOOKUP(C187,'Talente &amp; Stuff'!ER:FT,5,FALSE)</f>
        <v>0</v>
      </c>
      <c r="H187" s="117">
        <f>VLOOKUP(C187,'Talente &amp; Stuff'!ER:FT,6,FALSE)</f>
        <v>0</v>
      </c>
      <c r="I187" s="117">
        <f>VLOOKUP(C187,'Talente &amp; Stuff'!ER:FT,7,FALSE)</f>
        <v>0</v>
      </c>
      <c r="J187" s="117">
        <f>VLOOKUP(C187,'Talente &amp; Stuff'!ER:FT,8,FALSE)</f>
        <v>0</v>
      </c>
      <c r="K187" s="117">
        <f>VLOOKUP(C187,'Talente &amp; Stuff'!ER:FT,9,FALSE)</f>
        <v>0</v>
      </c>
      <c r="L187" s="117">
        <f>VLOOKUP(C187,'Talente &amp; Stuff'!ER:FT,10,FALSE)</f>
        <v>0</v>
      </c>
      <c r="M187" s="121">
        <f>VLOOKUP(C187,'Talente &amp; Stuff'!ER:FT,11,FALSE)</f>
        <v>0</v>
      </c>
      <c r="N187" s="47">
        <f>VLOOKUP(C187,'Talente &amp; Stuff'!ER:FT,12,FALSE)</f>
        <v>0</v>
      </c>
      <c r="O187" s="3">
        <f>VLOOKUP(C187,'Talente &amp; Stuff'!ER:FT,13,FALSE)</f>
        <v>0</v>
      </c>
      <c r="P187" s="174">
        <f>VLOOKUP(C187,'Talente &amp; Stuff'!ER:FT,14,FALSE)</f>
        <v>0</v>
      </c>
      <c r="Q187" s="114">
        <f>VLOOKUP(C187,'Talente &amp; Stuff'!ER:FT,15,FALSE)</f>
        <v>0</v>
      </c>
      <c r="R187" s="117">
        <f>VLOOKUP(C187,'Talente &amp; Stuff'!ER:FT,16,FALSE)</f>
        <v>0</v>
      </c>
      <c r="S187" s="119">
        <f>VLOOKUP(C187,'Talente &amp; Stuff'!ER:FT,17,FALSE)</f>
        <v>0</v>
      </c>
      <c r="T187" s="119">
        <f>VLOOKUP(C187,'Talente &amp; Stuff'!ER:FT,18,FALSE)</f>
        <v>0</v>
      </c>
      <c r="U187" s="89">
        <f>VLOOKUP(C187,'Talente &amp; Stuff'!ER:FT,19,FALSE)</f>
        <v>0</v>
      </c>
      <c r="V187" s="47">
        <f>VLOOKUP(C187,'Talente &amp; Stuff'!ER:FT,20,FALSE)</f>
        <v>0</v>
      </c>
      <c r="W187" s="127">
        <f>VLOOKUP(C187,'Talente &amp; Stuff'!ER:FT,21,FALSE)</f>
        <v>0</v>
      </c>
      <c r="X187" s="127">
        <f>VLOOKUP(C187,'Talente &amp; Stuff'!ER:FT,22,FALSE)</f>
        <v>0</v>
      </c>
      <c r="Y187" s="165">
        <f t="shared" si="18"/>
        <v>0</v>
      </c>
      <c r="Z187" s="44">
        <f t="shared" si="19"/>
        <v>0</v>
      </c>
      <c r="AA187" s="125">
        <f>VLOOKUP(C187,'Talente &amp; Stuff'!ER:FT,25,FALSE)</f>
        <v>0</v>
      </c>
      <c r="AB187" s="160">
        <f>VLOOKUP(C187,'Talente &amp; Stuff'!ER:FT,26,FALSE)</f>
        <v>0</v>
      </c>
      <c r="AC187" s="127">
        <f>VLOOKUP(C187,'Talente &amp; Stuff'!ER:FT,27,FALSE)</f>
        <v>0</v>
      </c>
      <c r="AD187" s="125">
        <f>VLOOKUP(C187,'Talente &amp; Stuff'!ER:FT,28,FALSE)</f>
        <v>0</v>
      </c>
      <c r="AE187" s="28"/>
    </row>
    <row r="188" spans="2:31" ht="15" hidden="1" customHeight="1" outlineLevel="2">
      <c r="B188" s="148">
        <v>36</v>
      </c>
      <c r="C188" s="177" t="str">
        <f>Attribute!C188</f>
        <v>---</v>
      </c>
      <c r="D188" s="86" t="str">
        <f>VLOOKUP(C188,'Talente &amp; Stuff'!ER:FT,2,FALSE)</f>
        <v>--/--/--</v>
      </c>
      <c r="E188" s="167" t="str">
        <f>VLOOKUP(C188,'Talente &amp; Stuff'!ER:FT,3,FALSE)</f>
        <v>-</v>
      </c>
      <c r="F188" s="120">
        <f>VLOOKUP(C188,'Talente &amp; Stuff'!ER:FT,4,FALSE)</f>
        <v>0</v>
      </c>
      <c r="G188" s="117">
        <f>VLOOKUP(C188,'Talente &amp; Stuff'!ER:FT,5,FALSE)</f>
        <v>0</v>
      </c>
      <c r="H188" s="117">
        <f>VLOOKUP(C188,'Talente &amp; Stuff'!ER:FT,6,FALSE)</f>
        <v>0</v>
      </c>
      <c r="I188" s="117">
        <f>VLOOKUP(C188,'Talente &amp; Stuff'!ER:FT,7,FALSE)</f>
        <v>0</v>
      </c>
      <c r="J188" s="117">
        <f>VLOOKUP(C188,'Talente &amp; Stuff'!ER:FT,8,FALSE)</f>
        <v>0</v>
      </c>
      <c r="K188" s="117">
        <f>VLOOKUP(C188,'Talente &amp; Stuff'!ER:FT,9,FALSE)</f>
        <v>0</v>
      </c>
      <c r="L188" s="117">
        <f>VLOOKUP(C188,'Talente &amp; Stuff'!ER:FT,10,FALSE)</f>
        <v>0</v>
      </c>
      <c r="M188" s="121">
        <f>VLOOKUP(C188,'Talente &amp; Stuff'!ER:FT,11,FALSE)</f>
        <v>0</v>
      </c>
      <c r="N188" s="47">
        <f>VLOOKUP(C188,'Talente &amp; Stuff'!ER:FT,12,FALSE)</f>
        <v>0</v>
      </c>
      <c r="O188" s="3">
        <f>VLOOKUP(C188,'Talente &amp; Stuff'!ER:FT,13,FALSE)</f>
        <v>0</v>
      </c>
      <c r="P188" s="174">
        <f>VLOOKUP(C188,'Talente &amp; Stuff'!ER:FT,14,FALSE)</f>
        <v>0</v>
      </c>
      <c r="Q188" s="114">
        <f>VLOOKUP(C188,'Talente &amp; Stuff'!ER:FT,15,FALSE)</f>
        <v>0</v>
      </c>
      <c r="R188" s="117">
        <f>VLOOKUP(C188,'Talente &amp; Stuff'!ER:FT,16,FALSE)</f>
        <v>0</v>
      </c>
      <c r="S188" s="119">
        <f>VLOOKUP(C188,'Talente &amp; Stuff'!ER:FT,17,FALSE)</f>
        <v>0</v>
      </c>
      <c r="T188" s="119">
        <f>VLOOKUP(C188,'Talente &amp; Stuff'!ER:FT,18,FALSE)</f>
        <v>0</v>
      </c>
      <c r="U188" s="89">
        <f>VLOOKUP(C188,'Talente &amp; Stuff'!ER:FT,19,FALSE)</f>
        <v>0</v>
      </c>
      <c r="V188" s="47">
        <f>VLOOKUP(C188,'Talente &amp; Stuff'!ER:FT,20,FALSE)</f>
        <v>0</v>
      </c>
      <c r="W188" s="127">
        <f>VLOOKUP(C188,'Talente &amp; Stuff'!ER:FT,21,FALSE)</f>
        <v>0</v>
      </c>
      <c r="X188" s="127">
        <f>VLOOKUP(C188,'Talente &amp; Stuff'!ER:FT,22,FALSE)</f>
        <v>0</v>
      </c>
      <c r="Y188" s="165">
        <f t="shared" si="18"/>
        <v>0</v>
      </c>
      <c r="Z188" s="44">
        <f t="shared" si="19"/>
        <v>0</v>
      </c>
      <c r="AA188" s="125">
        <f>VLOOKUP(C188,'Talente &amp; Stuff'!ER:FT,25,FALSE)</f>
        <v>0</v>
      </c>
      <c r="AB188" s="160">
        <f>VLOOKUP(C188,'Talente &amp; Stuff'!ER:FT,26,FALSE)</f>
        <v>0</v>
      </c>
      <c r="AC188" s="127">
        <f>VLOOKUP(C188,'Talente &amp; Stuff'!ER:FT,27,FALSE)</f>
        <v>0</v>
      </c>
      <c r="AD188" s="125">
        <f>VLOOKUP(C188,'Talente &amp; Stuff'!ER:FT,28,FALSE)</f>
        <v>0</v>
      </c>
      <c r="AE188" s="28"/>
    </row>
    <row r="189" spans="2:31" ht="15" hidden="1" customHeight="1" outlineLevel="2">
      <c r="B189" s="148">
        <v>37</v>
      </c>
      <c r="C189" s="177" t="str">
        <f>Attribute!C189</f>
        <v>---</v>
      </c>
      <c r="D189" s="86" t="str">
        <f>VLOOKUP(C189,'Talente &amp; Stuff'!ER:FT,2,FALSE)</f>
        <v>--/--/--</v>
      </c>
      <c r="E189" s="167" t="str">
        <f>VLOOKUP(C189,'Talente &amp; Stuff'!ER:FT,3,FALSE)</f>
        <v>-</v>
      </c>
      <c r="F189" s="120">
        <f>VLOOKUP(C189,'Talente &amp; Stuff'!ER:FT,4,FALSE)</f>
        <v>0</v>
      </c>
      <c r="G189" s="117">
        <f>VLOOKUP(C189,'Talente &amp; Stuff'!ER:FT,5,FALSE)</f>
        <v>0</v>
      </c>
      <c r="H189" s="117">
        <f>VLOOKUP(C189,'Talente &amp; Stuff'!ER:FT,6,FALSE)</f>
        <v>0</v>
      </c>
      <c r="I189" s="117">
        <f>VLOOKUP(C189,'Talente &amp; Stuff'!ER:FT,7,FALSE)</f>
        <v>0</v>
      </c>
      <c r="J189" s="117">
        <f>VLOOKUP(C189,'Talente &amp; Stuff'!ER:FT,8,FALSE)</f>
        <v>0</v>
      </c>
      <c r="K189" s="117">
        <f>VLOOKUP(C189,'Talente &amp; Stuff'!ER:FT,9,FALSE)</f>
        <v>0</v>
      </c>
      <c r="L189" s="117">
        <f>VLOOKUP(C189,'Talente &amp; Stuff'!ER:FT,10,FALSE)</f>
        <v>0</v>
      </c>
      <c r="M189" s="121">
        <f>VLOOKUP(C189,'Talente &amp; Stuff'!ER:FT,11,FALSE)</f>
        <v>0</v>
      </c>
      <c r="N189" s="47">
        <f>VLOOKUP(C189,'Talente &amp; Stuff'!ER:FT,12,FALSE)</f>
        <v>0</v>
      </c>
      <c r="O189" s="3">
        <f>VLOOKUP(C189,'Talente &amp; Stuff'!ER:FT,13,FALSE)</f>
        <v>0</v>
      </c>
      <c r="P189" s="174">
        <f>VLOOKUP(C189,'Talente &amp; Stuff'!ER:FT,14,FALSE)</f>
        <v>0</v>
      </c>
      <c r="Q189" s="114">
        <f>VLOOKUP(C189,'Talente &amp; Stuff'!ER:FT,15,FALSE)</f>
        <v>0</v>
      </c>
      <c r="R189" s="117">
        <f>VLOOKUP(C189,'Talente &amp; Stuff'!ER:FT,16,FALSE)</f>
        <v>0</v>
      </c>
      <c r="S189" s="119">
        <f>VLOOKUP(C189,'Talente &amp; Stuff'!ER:FT,17,FALSE)</f>
        <v>0</v>
      </c>
      <c r="T189" s="119">
        <f>VLOOKUP(C189,'Talente &amp; Stuff'!ER:FT,18,FALSE)</f>
        <v>0</v>
      </c>
      <c r="U189" s="89">
        <f>VLOOKUP(C189,'Talente &amp; Stuff'!ER:FT,19,FALSE)</f>
        <v>0</v>
      </c>
      <c r="V189" s="47">
        <f>VLOOKUP(C189,'Talente &amp; Stuff'!ER:FT,20,FALSE)</f>
        <v>0</v>
      </c>
      <c r="W189" s="127">
        <f>VLOOKUP(C189,'Talente &amp; Stuff'!ER:FT,21,FALSE)</f>
        <v>0</v>
      </c>
      <c r="X189" s="127">
        <f>VLOOKUP(C189,'Talente &amp; Stuff'!ER:FT,22,FALSE)</f>
        <v>0</v>
      </c>
      <c r="Y189" s="165">
        <f t="shared" si="18"/>
        <v>0</v>
      </c>
      <c r="Z189" s="44">
        <f t="shared" si="19"/>
        <v>0</v>
      </c>
      <c r="AA189" s="125">
        <f>VLOOKUP(C189,'Talente &amp; Stuff'!ER:FT,25,FALSE)</f>
        <v>0</v>
      </c>
      <c r="AB189" s="160">
        <f>VLOOKUP(C189,'Talente &amp; Stuff'!ER:FT,26,FALSE)</f>
        <v>0</v>
      </c>
      <c r="AC189" s="127">
        <f>VLOOKUP(C189,'Talente &amp; Stuff'!ER:FT,27,FALSE)</f>
        <v>0</v>
      </c>
      <c r="AD189" s="125">
        <f>VLOOKUP(C189,'Talente &amp; Stuff'!ER:FT,28,FALSE)</f>
        <v>0</v>
      </c>
      <c r="AE189" s="28"/>
    </row>
    <row r="190" spans="2:31" ht="15" hidden="1" customHeight="1" outlineLevel="2">
      <c r="B190" s="148">
        <v>38</v>
      </c>
      <c r="C190" s="177" t="str">
        <f>Attribute!C190</f>
        <v>---</v>
      </c>
      <c r="D190" s="86" t="str">
        <f>VLOOKUP(C190,'Talente &amp; Stuff'!ER:FT,2,FALSE)</f>
        <v>--/--/--</v>
      </c>
      <c r="E190" s="167" t="str">
        <f>VLOOKUP(C190,'Talente &amp; Stuff'!ER:FT,3,FALSE)</f>
        <v>-</v>
      </c>
      <c r="F190" s="120">
        <f>VLOOKUP(C190,'Talente &amp; Stuff'!ER:FT,4,FALSE)</f>
        <v>0</v>
      </c>
      <c r="G190" s="117">
        <f>VLOOKUP(C190,'Talente &amp; Stuff'!ER:FT,5,FALSE)</f>
        <v>0</v>
      </c>
      <c r="H190" s="117">
        <f>VLOOKUP(C190,'Talente &amp; Stuff'!ER:FT,6,FALSE)</f>
        <v>0</v>
      </c>
      <c r="I190" s="117">
        <f>VLOOKUP(C190,'Talente &amp; Stuff'!ER:FT,7,FALSE)</f>
        <v>0</v>
      </c>
      <c r="J190" s="117">
        <f>VLOOKUP(C190,'Talente &amp; Stuff'!ER:FT,8,FALSE)</f>
        <v>0</v>
      </c>
      <c r="K190" s="117">
        <f>VLOOKUP(C190,'Talente &amp; Stuff'!ER:FT,9,FALSE)</f>
        <v>0</v>
      </c>
      <c r="L190" s="117">
        <f>VLOOKUP(C190,'Talente &amp; Stuff'!ER:FT,10,FALSE)</f>
        <v>0</v>
      </c>
      <c r="M190" s="121">
        <f>VLOOKUP(C190,'Talente &amp; Stuff'!ER:FT,11,FALSE)</f>
        <v>0</v>
      </c>
      <c r="N190" s="47">
        <f>VLOOKUP(C190,'Talente &amp; Stuff'!ER:FT,12,FALSE)</f>
        <v>0</v>
      </c>
      <c r="O190" s="3">
        <f>VLOOKUP(C190,'Talente &amp; Stuff'!ER:FT,13,FALSE)</f>
        <v>0</v>
      </c>
      <c r="P190" s="174">
        <f>VLOOKUP(C190,'Talente &amp; Stuff'!ER:FT,14,FALSE)</f>
        <v>0</v>
      </c>
      <c r="Q190" s="114">
        <f>VLOOKUP(C190,'Talente &amp; Stuff'!ER:FT,15,FALSE)</f>
        <v>0</v>
      </c>
      <c r="R190" s="117">
        <f>VLOOKUP(C190,'Talente &amp; Stuff'!ER:FT,16,FALSE)</f>
        <v>0</v>
      </c>
      <c r="S190" s="119">
        <f>VLOOKUP(C190,'Talente &amp; Stuff'!ER:FT,17,FALSE)</f>
        <v>0</v>
      </c>
      <c r="T190" s="119">
        <f>VLOOKUP(C190,'Talente &amp; Stuff'!ER:FT,18,FALSE)</f>
        <v>0</v>
      </c>
      <c r="U190" s="89">
        <f>VLOOKUP(C190,'Talente &amp; Stuff'!ER:FT,19,FALSE)</f>
        <v>0</v>
      </c>
      <c r="V190" s="47">
        <f>VLOOKUP(C190,'Talente &amp; Stuff'!ER:FT,20,FALSE)</f>
        <v>0</v>
      </c>
      <c r="W190" s="127">
        <f>VLOOKUP(C190,'Talente &amp; Stuff'!ER:FT,21,FALSE)</f>
        <v>0</v>
      </c>
      <c r="X190" s="127">
        <f>VLOOKUP(C190,'Talente &amp; Stuff'!ER:FT,22,FALSE)</f>
        <v>0</v>
      </c>
      <c r="Y190" s="165">
        <f t="shared" si="18"/>
        <v>0</v>
      </c>
      <c r="Z190" s="44">
        <f t="shared" si="19"/>
        <v>0</v>
      </c>
      <c r="AA190" s="125">
        <f>VLOOKUP(C190,'Talente &amp; Stuff'!ER:FT,25,FALSE)</f>
        <v>0</v>
      </c>
      <c r="AB190" s="160">
        <f>VLOOKUP(C190,'Talente &amp; Stuff'!ER:FT,26,FALSE)</f>
        <v>0</v>
      </c>
      <c r="AC190" s="127">
        <f>VLOOKUP(C190,'Talente &amp; Stuff'!ER:FT,27,FALSE)</f>
        <v>0</v>
      </c>
      <c r="AD190" s="125">
        <f>VLOOKUP(C190,'Talente &amp; Stuff'!ER:FT,28,FALSE)</f>
        <v>0</v>
      </c>
      <c r="AE190" s="28"/>
    </row>
    <row r="191" spans="2:31" ht="15" hidden="1" customHeight="1" outlineLevel="2">
      <c r="B191" s="148">
        <v>39</v>
      </c>
      <c r="C191" s="177" t="str">
        <f>Attribute!C191</f>
        <v>---</v>
      </c>
      <c r="D191" s="86" t="str">
        <f>VLOOKUP(C191,'Talente &amp; Stuff'!ER:FT,2,FALSE)</f>
        <v>--/--/--</v>
      </c>
      <c r="E191" s="167" t="str">
        <f>VLOOKUP(C191,'Talente &amp; Stuff'!ER:FT,3,FALSE)</f>
        <v>-</v>
      </c>
      <c r="F191" s="120">
        <f>VLOOKUP(C191,'Talente &amp; Stuff'!ER:FT,4,FALSE)</f>
        <v>0</v>
      </c>
      <c r="G191" s="117">
        <f>VLOOKUP(C191,'Talente &amp; Stuff'!ER:FT,5,FALSE)</f>
        <v>0</v>
      </c>
      <c r="H191" s="117">
        <f>VLOOKUP(C191,'Talente &amp; Stuff'!ER:FT,6,FALSE)</f>
        <v>0</v>
      </c>
      <c r="I191" s="117">
        <f>VLOOKUP(C191,'Talente &amp; Stuff'!ER:FT,7,FALSE)</f>
        <v>0</v>
      </c>
      <c r="J191" s="117">
        <f>VLOOKUP(C191,'Talente &amp; Stuff'!ER:FT,8,FALSE)</f>
        <v>0</v>
      </c>
      <c r="K191" s="117">
        <f>VLOOKUP(C191,'Talente &amp; Stuff'!ER:FT,9,FALSE)</f>
        <v>0</v>
      </c>
      <c r="L191" s="117">
        <f>VLOOKUP(C191,'Talente &amp; Stuff'!ER:FT,10,FALSE)</f>
        <v>0</v>
      </c>
      <c r="M191" s="121">
        <f>VLOOKUP(C191,'Talente &amp; Stuff'!ER:FT,11,FALSE)</f>
        <v>0</v>
      </c>
      <c r="N191" s="47">
        <f>VLOOKUP(C191,'Talente &amp; Stuff'!ER:FT,12,FALSE)</f>
        <v>0</v>
      </c>
      <c r="O191" s="3">
        <f>VLOOKUP(C191,'Talente &amp; Stuff'!ER:FT,13,FALSE)</f>
        <v>0</v>
      </c>
      <c r="P191" s="174">
        <f>VLOOKUP(C191,'Talente &amp; Stuff'!ER:FT,14,FALSE)</f>
        <v>0</v>
      </c>
      <c r="Q191" s="114">
        <f>VLOOKUP(C191,'Talente &amp; Stuff'!ER:FT,15,FALSE)</f>
        <v>0</v>
      </c>
      <c r="R191" s="117">
        <f>VLOOKUP(C191,'Talente &amp; Stuff'!ER:FT,16,FALSE)</f>
        <v>0</v>
      </c>
      <c r="S191" s="119">
        <f>VLOOKUP(C191,'Talente &amp; Stuff'!ER:FT,17,FALSE)</f>
        <v>0</v>
      </c>
      <c r="T191" s="119">
        <f>VLOOKUP(C191,'Talente &amp; Stuff'!ER:FT,18,FALSE)</f>
        <v>0</v>
      </c>
      <c r="U191" s="89">
        <f>VLOOKUP(C191,'Talente &amp; Stuff'!ER:FT,19,FALSE)</f>
        <v>0</v>
      </c>
      <c r="V191" s="47">
        <f>VLOOKUP(C191,'Talente &amp; Stuff'!ER:FT,20,FALSE)</f>
        <v>0</v>
      </c>
      <c r="W191" s="127">
        <f>VLOOKUP(C191,'Talente &amp; Stuff'!ER:FT,21,FALSE)</f>
        <v>0</v>
      </c>
      <c r="X191" s="127">
        <f>VLOOKUP(C191,'Talente &amp; Stuff'!ER:FT,22,FALSE)</f>
        <v>0</v>
      </c>
      <c r="Y191" s="165">
        <f t="shared" si="18"/>
        <v>0</v>
      </c>
      <c r="Z191" s="44">
        <f t="shared" si="19"/>
        <v>0</v>
      </c>
      <c r="AA191" s="125">
        <f>VLOOKUP(C191,'Talente &amp; Stuff'!ER:FT,25,FALSE)</f>
        <v>0</v>
      </c>
      <c r="AB191" s="160">
        <f>VLOOKUP(C191,'Talente &amp; Stuff'!ER:FT,26,FALSE)</f>
        <v>0</v>
      </c>
      <c r="AC191" s="127">
        <f>VLOOKUP(C191,'Talente &amp; Stuff'!ER:FT,27,FALSE)</f>
        <v>0</v>
      </c>
      <c r="AD191" s="125">
        <f>VLOOKUP(C191,'Talente &amp; Stuff'!ER:FT,28,FALSE)</f>
        <v>0</v>
      </c>
      <c r="AE191" s="28"/>
    </row>
    <row r="192" spans="2:31" ht="15" hidden="1" customHeight="1" outlineLevel="2">
      <c r="B192" s="148">
        <v>40</v>
      </c>
      <c r="C192" s="177" t="str">
        <f>Attribute!C192</f>
        <v>---</v>
      </c>
      <c r="D192" s="125" t="str">
        <f>VLOOKUP(C192,'Talente &amp; Stuff'!ER:FT,2,FALSE)</f>
        <v>--/--/--</v>
      </c>
      <c r="E192" s="127" t="str">
        <f>VLOOKUP(C192,'Talente &amp; Stuff'!ER:FT,3,FALSE)</f>
        <v>-</v>
      </c>
      <c r="F192" s="114">
        <f>VLOOKUP(C192,'Talente &amp; Stuff'!ER:FT,4,FALSE)</f>
        <v>0</v>
      </c>
      <c r="G192" s="113">
        <f>VLOOKUP(C192,'Talente &amp; Stuff'!ER:FT,5,FALSE)</f>
        <v>0</v>
      </c>
      <c r="H192" s="113">
        <f>VLOOKUP(C192,'Talente &amp; Stuff'!ER:FT,6,FALSE)</f>
        <v>0</v>
      </c>
      <c r="I192" s="113">
        <f>VLOOKUP(C192,'Talente &amp; Stuff'!ER:FT,7,FALSE)</f>
        <v>0</v>
      </c>
      <c r="J192" s="113">
        <f>VLOOKUP(C192,'Talente &amp; Stuff'!ER:FT,8,FALSE)</f>
        <v>0</v>
      </c>
      <c r="K192" s="113">
        <f>VLOOKUP(C192,'Talente &amp; Stuff'!ER:FT,9,FALSE)</f>
        <v>0</v>
      </c>
      <c r="L192" s="113">
        <f>VLOOKUP(C192,'Talente &amp; Stuff'!ER:FT,10,FALSE)</f>
        <v>0</v>
      </c>
      <c r="M192" s="119">
        <f>VLOOKUP(C192,'Talente &amp; Stuff'!ER:FT,11,FALSE)</f>
        <v>0</v>
      </c>
      <c r="N192" s="47">
        <f>VLOOKUP(C192,'Talente &amp; Stuff'!ER:FT,12,FALSE)</f>
        <v>0</v>
      </c>
      <c r="O192" s="47">
        <f>VLOOKUP(C192,'Talente &amp; Stuff'!ER:FT,13,FALSE)</f>
        <v>0</v>
      </c>
      <c r="P192" s="119">
        <f>VLOOKUP(C192,'Talente &amp; Stuff'!ER:FT,14,FALSE)</f>
        <v>0</v>
      </c>
      <c r="Q192" s="114">
        <f>VLOOKUP(C192,'Talente &amp; Stuff'!ER:FT,15,FALSE)</f>
        <v>0</v>
      </c>
      <c r="R192" s="113">
        <f>VLOOKUP(C192,'Talente &amp; Stuff'!ER:FT,16,FALSE)</f>
        <v>0</v>
      </c>
      <c r="S192" s="119">
        <f>VLOOKUP(C192,'Talente &amp; Stuff'!ER:FT,17,FALSE)</f>
        <v>0</v>
      </c>
      <c r="T192" s="119">
        <f>VLOOKUP(C192,'Talente &amp; Stuff'!ER:FT,18,FALSE)</f>
        <v>0</v>
      </c>
      <c r="U192" s="89">
        <f>VLOOKUP(C192,'Talente &amp; Stuff'!ER:FT,19,FALSE)</f>
        <v>0</v>
      </c>
      <c r="V192" s="47">
        <f>VLOOKUP(C192,'Talente &amp; Stuff'!ER:FT,20,FALSE)</f>
        <v>0</v>
      </c>
      <c r="W192" s="127">
        <f>VLOOKUP(C192,'Talente &amp; Stuff'!ER:FT,21,FALSE)</f>
        <v>0</v>
      </c>
      <c r="X192" s="127">
        <f>VLOOKUP(C192,'Talente &amp; Stuff'!ER:FT,22,FALSE)</f>
        <v>0</v>
      </c>
      <c r="Y192" s="165">
        <f t="shared" si="18"/>
        <v>0</v>
      </c>
      <c r="Z192" s="44">
        <f t="shared" si="19"/>
        <v>0</v>
      </c>
      <c r="AA192" s="125">
        <f>VLOOKUP(C192,'Talente &amp; Stuff'!ER:FT,25,FALSE)</f>
        <v>0</v>
      </c>
      <c r="AB192" s="160">
        <f>VLOOKUP(C192,'Talente &amp; Stuff'!ER:FT,26,FALSE)</f>
        <v>0</v>
      </c>
      <c r="AC192" s="127">
        <f>VLOOKUP(C192,'Talente &amp; Stuff'!ER:FT,27,FALSE)</f>
        <v>0</v>
      </c>
      <c r="AD192" s="125">
        <f>VLOOKUP(C192,'Talente &amp; Stuff'!ER:FT,28,FALSE)</f>
        <v>0</v>
      </c>
      <c r="AE192" s="28"/>
    </row>
    <row r="193" spans="2:31" ht="15" hidden="1" customHeight="1" outlineLevel="2">
      <c r="B193" s="148">
        <v>41</v>
      </c>
      <c r="C193" s="177" t="str">
        <f>Attribute!C193</f>
        <v>---</v>
      </c>
      <c r="D193" s="86" t="str">
        <f>VLOOKUP(C193,'Talente &amp; Stuff'!ER:FT,2,FALSE)</f>
        <v>--/--/--</v>
      </c>
      <c r="E193" s="167" t="str">
        <f>VLOOKUP(C193,'Talente &amp; Stuff'!ER:FT,3,FALSE)</f>
        <v>-</v>
      </c>
      <c r="F193" s="120">
        <f>VLOOKUP(C193,'Talente &amp; Stuff'!ER:FT,4,FALSE)</f>
        <v>0</v>
      </c>
      <c r="G193" s="117">
        <f>VLOOKUP(C193,'Talente &amp; Stuff'!ER:FT,5,FALSE)</f>
        <v>0</v>
      </c>
      <c r="H193" s="117">
        <f>VLOOKUP(C193,'Talente &amp; Stuff'!ER:FT,6,FALSE)</f>
        <v>0</v>
      </c>
      <c r="I193" s="117">
        <f>VLOOKUP(C193,'Talente &amp; Stuff'!ER:FT,7,FALSE)</f>
        <v>0</v>
      </c>
      <c r="J193" s="117">
        <f>VLOOKUP(C193,'Talente &amp; Stuff'!ER:FT,8,FALSE)</f>
        <v>0</v>
      </c>
      <c r="K193" s="117">
        <f>VLOOKUP(C193,'Talente &amp; Stuff'!ER:FT,9,FALSE)</f>
        <v>0</v>
      </c>
      <c r="L193" s="117">
        <f>VLOOKUP(C193,'Talente &amp; Stuff'!ER:FT,10,FALSE)</f>
        <v>0</v>
      </c>
      <c r="M193" s="121">
        <f>VLOOKUP(C193,'Talente &amp; Stuff'!ER:FT,11,FALSE)</f>
        <v>0</v>
      </c>
      <c r="N193" s="47">
        <f>VLOOKUP(C193,'Talente &amp; Stuff'!ER:FT,12,FALSE)</f>
        <v>0</v>
      </c>
      <c r="O193" s="3">
        <f>VLOOKUP(C193,'Talente &amp; Stuff'!ER:FT,13,FALSE)</f>
        <v>0</v>
      </c>
      <c r="P193" s="174">
        <f>VLOOKUP(C193,'Talente &amp; Stuff'!ER:FT,14,FALSE)</f>
        <v>0</v>
      </c>
      <c r="Q193" s="114">
        <f>VLOOKUP(C193,'Talente &amp; Stuff'!ER:FT,15,FALSE)</f>
        <v>0</v>
      </c>
      <c r="R193" s="117">
        <f>VLOOKUP(C193,'Talente &amp; Stuff'!ER:FT,16,FALSE)</f>
        <v>0</v>
      </c>
      <c r="S193" s="119">
        <f>VLOOKUP(C193,'Talente &amp; Stuff'!ER:FT,17,FALSE)</f>
        <v>0</v>
      </c>
      <c r="T193" s="119">
        <f>VLOOKUP(C193,'Talente &amp; Stuff'!ER:FT,18,FALSE)</f>
        <v>0</v>
      </c>
      <c r="U193" s="89">
        <f>VLOOKUP(C193,'Talente &amp; Stuff'!ER:FT,19,FALSE)</f>
        <v>0</v>
      </c>
      <c r="V193" s="47">
        <f>VLOOKUP(C193,'Talente &amp; Stuff'!ER:FT,20,FALSE)</f>
        <v>0</v>
      </c>
      <c r="W193" s="127">
        <f>VLOOKUP(C193,'Talente &amp; Stuff'!ER:FT,21,FALSE)</f>
        <v>0</v>
      </c>
      <c r="X193" s="127">
        <f>VLOOKUP(C193,'Talente &amp; Stuff'!ER:FT,22,FALSE)</f>
        <v>0</v>
      </c>
      <c r="Y193" s="165">
        <f t="shared" si="18"/>
        <v>0</v>
      </c>
      <c r="Z193" s="44">
        <f t="shared" si="19"/>
        <v>0</v>
      </c>
      <c r="AA193" s="125">
        <f>VLOOKUP(C193,'Talente &amp; Stuff'!ER:FT,25,FALSE)</f>
        <v>0</v>
      </c>
      <c r="AB193" s="160">
        <f>VLOOKUP(C193,'Talente &amp; Stuff'!ER:FT,26,FALSE)</f>
        <v>0</v>
      </c>
      <c r="AC193" s="127">
        <f>VLOOKUP(C193,'Talente &amp; Stuff'!ER:FT,27,FALSE)</f>
        <v>0</v>
      </c>
      <c r="AD193" s="125">
        <f>VLOOKUP(C193,'Talente &amp; Stuff'!ER:FT,28,FALSE)</f>
        <v>0</v>
      </c>
      <c r="AE193" s="28"/>
    </row>
    <row r="194" spans="2:31" ht="15" hidden="1" customHeight="1" outlineLevel="2">
      <c r="B194" s="148">
        <v>42</v>
      </c>
      <c r="C194" s="177" t="str">
        <f>Attribute!C194</f>
        <v>---</v>
      </c>
      <c r="D194" s="86" t="str">
        <f>VLOOKUP(C194,'Talente &amp; Stuff'!ER:FT,2,FALSE)</f>
        <v>--/--/--</v>
      </c>
      <c r="E194" s="167" t="str">
        <f>VLOOKUP(C194,'Talente &amp; Stuff'!ER:FT,3,FALSE)</f>
        <v>-</v>
      </c>
      <c r="F194" s="120">
        <f>VLOOKUP(C194,'Talente &amp; Stuff'!ER:FT,4,FALSE)</f>
        <v>0</v>
      </c>
      <c r="G194" s="117">
        <f>VLOOKUP(C194,'Talente &amp; Stuff'!ER:FT,5,FALSE)</f>
        <v>0</v>
      </c>
      <c r="H194" s="117">
        <f>VLOOKUP(C194,'Talente &amp; Stuff'!ER:FT,6,FALSE)</f>
        <v>0</v>
      </c>
      <c r="I194" s="117">
        <f>VLOOKUP(C194,'Talente &amp; Stuff'!ER:FT,7,FALSE)</f>
        <v>0</v>
      </c>
      <c r="J194" s="117">
        <f>VLOOKUP(C194,'Talente &amp; Stuff'!ER:FT,8,FALSE)</f>
        <v>0</v>
      </c>
      <c r="K194" s="117">
        <f>VLOOKUP(C194,'Talente &amp; Stuff'!ER:FT,9,FALSE)</f>
        <v>0</v>
      </c>
      <c r="L194" s="117">
        <f>VLOOKUP(C194,'Talente &amp; Stuff'!ER:FT,10,FALSE)</f>
        <v>0</v>
      </c>
      <c r="M194" s="121">
        <f>VLOOKUP(C194,'Talente &amp; Stuff'!ER:FT,11,FALSE)</f>
        <v>0</v>
      </c>
      <c r="N194" s="47">
        <f>VLOOKUP(C194,'Talente &amp; Stuff'!ER:FT,12,FALSE)</f>
        <v>0</v>
      </c>
      <c r="O194" s="3">
        <f>VLOOKUP(C194,'Talente &amp; Stuff'!ER:FT,13,FALSE)</f>
        <v>0</v>
      </c>
      <c r="P194" s="174">
        <f>VLOOKUP(C194,'Talente &amp; Stuff'!ER:FT,14,FALSE)</f>
        <v>0</v>
      </c>
      <c r="Q194" s="114">
        <f>VLOOKUP(C194,'Talente &amp; Stuff'!ER:FT,15,FALSE)</f>
        <v>0</v>
      </c>
      <c r="R194" s="117">
        <f>VLOOKUP(C194,'Talente &amp; Stuff'!ER:FT,16,FALSE)</f>
        <v>0</v>
      </c>
      <c r="S194" s="119">
        <f>VLOOKUP(C194,'Talente &amp; Stuff'!ER:FT,17,FALSE)</f>
        <v>0</v>
      </c>
      <c r="T194" s="119">
        <f>VLOOKUP(C194,'Talente &amp; Stuff'!ER:FT,18,FALSE)</f>
        <v>0</v>
      </c>
      <c r="U194" s="89">
        <f>VLOOKUP(C194,'Talente &amp; Stuff'!ER:FT,19,FALSE)</f>
        <v>0</v>
      </c>
      <c r="V194" s="47">
        <f>VLOOKUP(C194,'Talente &amp; Stuff'!ER:FT,20,FALSE)</f>
        <v>0</v>
      </c>
      <c r="W194" s="127">
        <f>VLOOKUP(C194,'Talente &amp; Stuff'!ER:FT,21,FALSE)</f>
        <v>0</v>
      </c>
      <c r="X194" s="127">
        <f>VLOOKUP(C194,'Talente &amp; Stuff'!ER:FT,22,FALSE)</f>
        <v>0</v>
      </c>
      <c r="Y194" s="165">
        <f t="shared" si="18"/>
        <v>0</v>
      </c>
      <c r="Z194" s="44">
        <f t="shared" si="19"/>
        <v>0</v>
      </c>
      <c r="AA194" s="125">
        <f>VLOOKUP(C194,'Talente &amp; Stuff'!ER:FT,25,FALSE)</f>
        <v>0</v>
      </c>
      <c r="AB194" s="160">
        <f>VLOOKUP(C194,'Talente &amp; Stuff'!ER:FT,26,FALSE)</f>
        <v>0</v>
      </c>
      <c r="AC194" s="127">
        <f>VLOOKUP(C194,'Talente &amp; Stuff'!ER:FT,27,FALSE)</f>
        <v>0</v>
      </c>
      <c r="AD194" s="125">
        <f>VLOOKUP(C194,'Talente &amp; Stuff'!ER:FT,28,FALSE)</f>
        <v>0</v>
      </c>
      <c r="AE194" s="28"/>
    </row>
    <row r="195" spans="2:31" ht="15" hidden="1" customHeight="1" outlineLevel="2">
      <c r="B195" s="148">
        <v>43</v>
      </c>
      <c r="C195" s="177" t="str">
        <f>Attribute!C195</f>
        <v>---</v>
      </c>
      <c r="D195" s="125" t="str">
        <f>VLOOKUP(C195,'Talente &amp; Stuff'!ER:FT,2,FALSE)</f>
        <v>--/--/--</v>
      </c>
      <c r="E195" s="127" t="str">
        <f>VLOOKUP(C195,'Talente &amp; Stuff'!ER:FT,3,FALSE)</f>
        <v>-</v>
      </c>
      <c r="F195" s="114">
        <f>VLOOKUP(C195,'Talente &amp; Stuff'!ER:FT,4,FALSE)</f>
        <v>0</v>
      </c>
      <c r="G195" s="113">
        <f>VLOOKUP(C195,'Talente &amp; Stuff'!ER:FT,5,FALSE)</f>
        <v>0</v>
      </c>
      <c r="H195" s="113">
        <f>VLOOKUP(C195,'Talente &amp; Stuff'!ER:FT,6,FALSE)</f>
        <v>0</v>
      </c>
      <c r="I195" s="113">
        <f>VLOOKUP(C195,'Talente &amp; Stuff'!ER:FT,7,FALSE)</f>
        <v>0</v>
      </c>
      <c r="J195" s="113">
        <f>VLOOKUP(C195,'Talente &amp; Stuff'!ER:FT,8,FALSE)</f>
        <v>0</v>
      </c>
      <c r="K195" s="113">
        <f>VLOOKUP(C195,'Talente &amp; Stuff'!ER:FT,9,FALSE)</f>
        <v>0</v>
      </c>
      <c r="L195" s="113">
        <f>VLOOKUP(C195,'Talente &amp; Stuff'!ER:FT,10,FALSE)</f>
        <v>0</v>
      </c>
      <c r="M195" s="119">
        <f>VLOOKUP(C195,'Talente &amp; Stuff'!ER:FT,11,FALSE)</f>
        <v>0</v>
      </c>
      <c r="N195" s="47">
        <f>VLOOKUP(C195,'Talente &amp; Stuff'!ER:FT,12,FALSE)</f>
        <v>0</v>
      </c>
      <c r="O195" s="47">
        <f>VLOOKUP(C195,'Talente &amp; Stuff'!ER:FT,13,FALSE)</f>
        <v>0</v>
      </c>
      <c r="P195" s="119">
        <f>VLOOKUP(C195,'Talente &amp; Stuff'!ER:FT,14,FALSE)</f>
        <v>0</v>
      </c>
      <c r="Q195" s="114">
        <f>VLOOKUP(C195,'Talente &amp; Stuff'!ER:FT,15,FALSE)</f>
        <v>0</v>
      </c>
      <c r="R195" s="113">
        <f>VLOOKUP(C195,'Talente &amp; Stuff'!ER:FT,16,FALSE)</f>
        <v>0</v>
      </c>
      <c r="S195" s="119">
        <f>VLOOKUP(C195,'Talente &amp; Stuff'!ER:FT,17,FALSE)</f>
        <v>0</v>
      </c>
      <c r="T195" s="119">
        <f>VLOOKUP(C195,'Talente &amp; Stuff'!ER:FT,18,FALSE)</f>
        <v>0</v>
      </c>
      <c r="U195" s="89">
        <f>VLOOKUP(C195,'Talente &amp; Stuff'!ER:FT,19,FALSE)</f>
        <v>0</v>
      </c>
      <c r="V195" s="47">
        <f>VLOOKUP(C195,'Talente &amp; Stuff'!ER:FT,20,FALSE)</f>
        <v>0</v>
      </c>
      <c r="W195" s="127">
        <f>VLOOKUP(C195,'Talente &amp; Stuff'!ER:FT,21,FALSE)</f>
        <v>0</v>
      </c>
      <c r="X195" s="127">
        <f>VLOOKUP(C195,'Talente &amp; Stuff'!ER:FT,22,FALSE)</f>
        <v>0</v>
      </c>
      <c r="Y195" s="165">
        <f t="shared" si="18"/>
        <v>0</v>
      </c>
      <c r="Z195" s="44">
        <f t="shared" si="19"/>
        <v>0</v>
      </c>
      <c r="AA195" s="125">
        <f>VLOOKUP(C195,'Talente &amp; Stuff'!ER:FT,25,FALSE)</f>
        <v>0</v>
      </c>
      <c r="AB195" s="160">
        <f>VLOOKUP(C195,'Talente &amp; Stuff'!ER:FT,26,FALSE)</f>
        <v>0</v>
      </c>
      <c r="AC195" s="127">
        <f>VLOOKUP(C195,'Talente &amp; Stuff'!ER:FT,27,FALSE)</f>
        <v>0</v>
      </c>
      <c r="AD195" s="125">
        <f>VLOOKUP(C195,'Talente &amp; Stuff'!ER:FT,28,FALSE)</f>
        <v>0</v>
      </c>
      <c r="AE195" s="28"/>
    </row>
    <row r="196" spans="2:31" ht="15" hidden="1" customHeight="1" outlineLevel="2">
      <c r="B196" s="148">
        <v>44</v>
      </c>
      <c r="C196" s="177" t="str">
        <f>Attribute!C196</f>
        <v>---</v>
      </c>
      <c r="D196" s="86" t="str">
        <f>VLOOKUP(C196,'Talente &amp; Stuff'!ER:FT,2,FALSE)</f>
        <v>--/--/--</v>
      </c>
      <c r="E196" s="167" t="str">
        <f>VLOOKUP(C196,'Talente &amp; Stuff'!ER:FT,3,FALSE)</f>
        <v>-</v>
      </c>
      <c r="F196" s="120">
        <f>VLOOKUP(C196,'Talente &amp; Stuff'!ER:FT,4,FALSE)</f>
        <v>0</v>
      </c>
      <c r="G196" s="117">
        <f>VLOOKUP(C196,'Talente &amp; Stuff'!ER:FT,5,FALSE)</f>
        <v>0</v>
      </c>
      <c r="H196" s="117">
        <f>VLOOKUP(C196,'Talente &amp; Stuff'!ER:FT,6,FALSE)</f>
        <v>0</v>
      </c>
      <c r="I196" s="117">
        <f>VLOOKUP(C196,'Talente &amp; Stuff'!ER:FT,7,FALSE)</f>
        <v>0</v>
      </c>
      <c r="J196" s="117">
        <f>VLOOKUP(C196,'Talente &amp; Stuff'!ER:FT,8,FALSE)</f>
        <v>0</v>
      </c>
      <c r="K196" s="117">
        <f>VLOOKUP(C196,'Talente &amp; Stuff'!ER:FT,9,FALSE)</f>
        <v>0</v>
      </c>
      <c r="L196" s="117">
        <f>VLOOKUP(C196,'Talente &amp; Stuff'!ER:FT,10,FALSE)</f>
        <v>0</v>
      </c>
      <c r="M196" s="121">
        <f>VLOOKUP(C196,'Talente &amp; Stuff'!ER:FT,11,FALSE)</f>
        <v>0</v>
      </c>
      <c r="N196" s="47">
        <f>VLOOKUP(C196,'Talente &amp; Stuff'!ER:FT,12,FALSE)</f>
        <v>0</v>
      </c>
      <c r="O196" s="3">
        <f>VLOOKUP(C196,'Talente &amp; Stuff'!ER:FT,13,FALSE)</f>
        <v>0</v>
      </c>
      <c r="P196" s="174">
        <f>VLOOKUP(C196,'Talente &amp; Stuff'!ER:FT,14,FALSE)</f>
        <v>0</v>
      </c>
      <c r="Q196" s="114">
        <f>VLOOKUP(C196,'Talente &amp; Stuff'!ER:FT,15,FALSE)</f>
        <v>0</v>
      </c>
      <c r="R196" s="117">
        <f>VLOOKUP(C196,'Talente &amp; Stuff'!ER:FT,16,FALSE)</f>
        <v>0</v>
      </c>
      <c r="S196" s="119">
        <f>VLOOKUP(C196,'Talente &amp; Stuff'!ER:FT,17,FALSE)</f>
        <v>0</v>
      </c>
      <c r="T196" s="119">
        <f>VLOOKUP(C196,'Talente &amp; Stuff'!ER:FT,18,FALSE)</f>
        <v>0</v>
      </c>
      <c r="U196" s="89">
        <f>VLOOKUP(C196,'Talente &amp; Stuff'!ER:FT,19,FALSE)</f>
        <v>0</v>
      </c>
      <c r="V196" s="47">
        <f>VLOOKUP(C196,'Talente &amp; Stuff'!ER:FT,20,FALSE)</f>
        <v>0</v>
      </c>
      <c r="W196" s="127">
        <f>VLOOKUP(C196,'Talente &amp; Stuff'!ER:FT,21,FALSE)</f>
        <v>0</v>
      </c>
      <c r="X196" s="127">
        <f>VLOOKUP(C196,'Talente &amp; Stuff'!ER:FT,22,FALSE)</f>
        <v>0</v>
      </c>
      <c r="Y196" s="165">
        <f t="shared" si="18"/>
        <v>0</v>
      </c>
      <c r="Z196" s="44">
        <f t="shared" si="19"/>
        <v>0</v>
      </c>
      <c r="AA196" s="125">
        <f>VLOOKUP(C196,'Talente &amp; Stuff'!ER:FT,25,FALSE)</f>
        <v>0</v>
      </c>
      <c r="AB196" s="160">
        <f>VLOOKUP(C196,'Talente &amp; Stuff'!ER:FT,26,FALSE)</f>
        <v>0</v>
      </c>
      <c r="AC196" s="127">
        <f>VLOOKUP(C196,'Talente &amp; Stuff'!ER:FT,27,FALSE)</f>
        <v>0</v>
      </c>
      <c r="AD196" s="125">
        <f>VLOOKUP(C196,'Talente &amp; Stuff'!ER:FT,28,FALSE)</f>
        <v>0</v>
      </c>
      <c r="AE196" s="28"/>
    </row>
    <row r="197" spans="2:31" ht="15" hidden="1" customHeight="1" outlineLevel="2">
      <c r="B197" s="148">
        <v>45</v>
      </c>
      <c r="C197" s="177" t="str">
        <f>Attribute!C197</f>
        <v>---</v>
      </c>
      <c r="D197" s="86" t="str">
        <f>VLOOKUP(C197,'Talente &amp; Stuff'!ER:FT,2,FALSE)</f>
        <v>--/--/--</v>
      </c>
      <c r="E197" s="167" t="str">
        <f>VLOOKUP(C197,'Talente &amp; Stuff'!ER:FT,3,FALSE)</f>
        <v>-</v>
      </c>
      <c r="F197" s="120">
        <f>VLOOKUP(C197,'Talente &amp; Stuff'!ER:FT,4,FALSE)</f>
        <v>0</v>
      </c>
      <c r="G197" s="117">
        <f>VLOOKUP(C197,'Talente &amp; Stuff'!ER:FT,5,FALSE)</f>
        <v>0</v>
      </c>
      <c r="H197" s="117">
        <f>VLOOKUP(C197,'Talente &amp; Stuff'!ER:FT,6,FALSE)</f>
        <v>0</v>
      </c>
      <c r="I197" s="117">
        <f>VLOOKUP(C197,'Talente &amp; Stuff'!ER:FT,7,FALSE)</f>
        <v>0</v>
      </c>
      <c r="J197" s="117">
        <f>VLOOKUP(C197,'Talente &amp; Stuff'!ER:FT,8,FALSE)</f>
        <v>0</v>
      </c>
      <c r="K197" s="117">
        <f>VLOOKUP(C197,'Talente &amp; Stuff'!ER:FT,9,FALSE)</f>
        <v>0</v>
      </c>
      <c r="L197" s="117">
        <f>VLOOKUP(C197,'Talente &amp; Stuff'!ER:FT,10,FALSE)</f>
        <v>0</v>
      </c>
      <c r="M197" s="121">
        <f>VLOOKUP(C197,'Talente &amp; Stuff'!ER:FT,11,FALSE)</f>
        <v>0</v>
      </c>
      <c r="N197" s="47">
        <f>VLOOKUP(C197,'Talente &amp; Stuff'!ER:FT,12,FALSE)</f>
        <v>0</v>
      </c>
      <c r="O197" s="3">
        <f>VLOOKUP(C197,'Talente &amp; Stuff'!ER:FT,13,FALSE)</f>
        <v>0</v>
      </c>
      <c r="P197" s="174">
        <f>VLOOKUP(C197,'Talente &amp; Stuff'!ER:FT,14,FALSE)</f>
        <v>0</v>
      </c>
      <c r="Q197" s="114">
        <f>VLOOKUP(C197,'Talente &amp; Stuff'!ER:FT,15,FALSE)</f>
        <v>0</v>
      </c>
      <c r="R197" s="117">
        <f>VLOOKUP(C197,'Talente &amp; Stuff'!ER:FT,16,FALSE)</f>
        <v>0</v>
      </c>
      <c r="S197" s="119">
        <f>VLOOKUP(C197,'Talente &amp; Stuff'!ER:FT,17,FALSE)</f>
        <v>0</v>
      </c>
      <c r="T197" s="119">
        <f>VLOOKUP(C197,'Talente &amp; Stuff'!ER:FT,18,FALSE)</f>
        <v>0</v>
      </c>
      <c r="U197" s="89">
        <f>VLOOKUP(C197,'Talente &amp; Stuff'!ER:FT,19,FALSE)</f>
        <v>0</v>
      </c>
      <c r="V197" s="47">
        <f>VLOOKUP(C197,'Talente &amp; Stuff'!ER:FT,20,FALSE)</f>
        <v>0</v>
      </c>
      <c r="W197" s="127">
        <f>VLOOKUP(C197,'Talente &amp; Stuff'!ER:FT,21,FALSE)</f>
        <v>0</v>
      </c>
      <c r="X197" s="127">
        <f>VLOOKUP(C197,'Talente &amp; Stuff'!ER:FT,22,FALSE)</f>
        <v>0</v>
      </c>
      <c r="Y197" s="165">
        <f t="shared" si="18"/>
        <v>0</v>
      </c>
      <c r="Z197" s="44">
        <f t="shared" si="19"/>
        <v>0</v>
      </c>
      <c r="AA197" s="125">
        <f>VLOOKUP(C197,'Talente &amp; Stuff'!ER:FT,25,FALSE)</f>
        <v>0</v>
      </c>
      <c r="AB197" s="160">
        <f>VLOOKUP(C197,'Talente &amp; Stuff'!ER:FT,26,FALSE)</f>
        <v>0</v>
      </c>
      <c r="AC197" s="127">
        <f>VLOOKUP(C197,'Talente &amp; Stuff'!ER:FT,27,FALSE)</f>
        <v>0</v>
      </c>
      <c r="AD197" s="125">
        <f>VLOOKUP(C197,'Talente &amp; Stuff'!ER:FT,28,FALSE)</f>
        <v>0</v>
      </c>
      <c r="AE197" s="28"/>
    </row>
    <row r="198" spans="2:31" ht="15" hidden="1" customHeight="1" outlineLevel="2">
      <c r="B198" s="148">
        <v>46</v>
      </c>
      <c r="C198" s="177" t="str">
        <f>Attribute!C198</f>
        <v>---</v>
      </c>
      <c r="D198" s="86" t="str">
        <f>VLOOKUP(C198,'Talente &amp; Stuff'!ER:FT,2,FALSE)</f>
        <v>--/--/--</v>
      </c>
      <c r="E198" s="167" t="str">
        <f>VLOOKUP(C198,'Talente &amp; Stuff'!ER:FT,3,FALSE)</f>
        <v>-</v>
      </c>
      <c r="F198" s="120">
        <f>VLOOKUP(C198,'Talente &amp; Stuff'!ER:FT,4,FALSE)</f>
        <v>0</v>
      </c>
      <c r="G198" s="117">
        <f>VLOOKUP(C198,'Talente &amp; Stuff'!ER:FT,5,FALSE)</f>
        <v>0</v>
      </c>
      <c r="H198" s="117">
        <f>VLOOKUP(C198,'Talente &amp; Stuff'!ER:FT,6,FALSE)</f>
        <v>0</v>
      </c>
      <c r="I198" s="117">
        <f>VLOOKUP(C198,'Talente &amp; Stuff'!ER:FT,7,FALSE)</f>
        <v>0</v>
      </c>
      <c r="J198" s="117">
        <f>VLOOKUP(C198,'Talente &amp; Stuff'!ER:FT,8,FALSE)</f>
        <v>0</v>
      </c>
      <c r="K198" s="117">
        <f>VLOOKUP(C198,'Talente &amp; Stuff'!ER:FT,9,FALSE)</f>
        <v>0</v>
      </c>
      <c r="L198" s="117">
        <f>VLOOKUP(C198,'Talente &amp; Stuff'!ER:FT,10,FALSE)</f>
        <v>0</v>
      </c>
      <c r="M198" s="121">
        <f>VLOOKUP(C198,'Talente &amp; Stuff'!ER:FT,11,FALSE)</f>
        <v>0</v>
      </c>
      <c r="N198" s="47">
        <f>VLOOKUP(C198,'Talente &amp; Stuff'!ER:FT,12,FALSE)</f>
        <v>0</v>
      </c>
      <c r="O198" s="3">
        <f>VLOOKUP(C198,'Talente &amp; Stuff'!ER:FT,13,FALSE)</f>
        <v>0</v>
      </c>
      <c r="P198" s="174">
        <f>VLOOKUP(C198,'Talente &amp; Stuff'!ER:FT,14,FALSE)</f>
        <v>0</v>
      </c>
      <c r="Q198" s="114">
        <f>VLOOKUP(C198,'Talente &amp; Stuff'!ER:FT,15,FALSE)</f>
        <v>0</v>
      </c>
      <c r="R198" s="117">
        <f>VLOOKUP(C198,'Talente &amp; Stuff'!ER:FT,16,FALSE)</f>
        <v>0</v>
      </c>
      <c r="S198" s="119">
        <f>VLOOKUP(C198,'Talente &amp; Stuff'!ER:FT,17,FALSE)</f>
        <v>0</v>
      </c>
      <c r="T198" s="119">
        <f>VLOOKUP(C198,'Talente &amp; Stuff'!ER:FT,18,FALSE)</f>
        <v>0</v>
      </c>
      <c r="U198" s="89">
        <f>VLOOKUP(C198,'Talente &amp; Stuff'!ER:FT,19,FALSE)</f>
        <v>0</v>
      </c>
      <c r="V198" s="47">
        <f>VLOOKUP(C198,'Talente &amp; Stuff'!ER:FT,20,FALSE)</f>
        <v>0</v>
      </c>
      <c r="W198" s="127">
        <f>VLOOKUP(C198,'Talente &amp; Stuff'!ER:FT,21,FALSE)</f>
        <v>0</v>
      </c>
      <c r="X198" s="127">
        <f>VLOOKUP(C198,'Talente &amp; Stuff'!ER:FT,22,FALSE)</f>
        <v>0</v>
      </c>
      <c r="Y198" s="165">
        <f t="shared" si="18"/>
        <v>0</v>
      </c>
      <c r="Z198" s="44">
        <f t="shared" si="19"/>
        <v>0</v>
      </c>
      <c r="AA198" s="125">
        <f>VLOOKUP(C198,'Talente &amp; Stuff'!ER:FT,25,FALSE)</f>
        <v>0</v>
      </c>
      <c r="AB198" s="160">
        <f>VLOOKUP(C198,'Talente &amp; Stuff'!ER:FT,26,FALSE)</f>
        <v>0</v>
      </c>
      <c r="AC198" s="127">
        <f>VLOOKUP(C198,'Talente &amp; Stuff'!ER:FT,27,FALSE)</f>
        <v>0</v>
      </c>
      <c r="AD198" s="125">
        <f>VLOOKUP(C198,'Talente &amp; Stuff'!ER:FT,28,FALSE)</f>
        <v>0</v>
      </c>
      <c r="AE198" s="28"/>
    </row>
    <row r="199" spans="2:31" ht="15" hidden="1" customHeight="1" outlineLevel="2">
      <c r="B199" s="148">
        <v>47</v>
      </c>
      <c r="C199" s="177" t="str">
        <f>Attribute!C199</f>
        <v>---</v>
      </c>
      <c r="D199" s="125" t="str">
        <f>VLOOKUP(C199,'Talente &amp; Stuff'!ER:FT,2,FALSE)</f>
        <v>--/--/--</v>
      </c>
      <c r="E199" s="127" t="str">
        <f>VLOOKUP(C199,'Talente &amp; Stuff'!ER:FT,3,FALSE)</f>
        <v>-</v>
      </c>
      <c r="F199" s="114">
        <f>VLOOKUP(C199,'Talente &amp; Stuff'!ER:FT,4,FALSE)</f>
        <v>0</v>
      </c>
      <c r="G199" s="113">
        <f>VLOOKUP(C199,'Talente &amp; Stuff'!ER:FT,5,FALSE)</f>
        <v>0</v>
      </c>
      <c r="H199" s="113">
        <f>VLOOKUP(C199,'Talente &amp; Stuff'!ER:FT,6,FALSE)</f>
        <v>0</v>
      </c>
      <c r="I199" s="113">
        <f>VLOOKUP(C199,'Talente &amp; Stuff'!ER:FT,7,FALSE)</f>
        <v>0</v>
      </c>
      <c r="J199" s="113">
        <f>VLOOKUP(C199,'Talente &amp; Stuff'!ER:FT,8,FALSE)</f>
        <v>0</v>
      </c>
      <c r="K199" s="113">
        <f>VLOOKUP(C199,'Talente &amp; Stuff'!ER:FT,9,FALSE)</f>
        <v>0</v>
      </c>
      <c r="L199" s="113">
        <f>VLOOKUP(C199,'Talente &amp; Stuff'!ER:FT,10,FALSE)</f>
        <v>0</v>
      </c>
      <c r="M199" s="119">
        <f>VLOOKUP(C199,'Talente &amp; Stuff'!ER:FT,11,FALSE)</f>
        <v>0</v>
      </c>
      <c r="N199" s="47">
        <f>VLOOKUP(C199,'Talente &amp; Stuff'!ER:FT,12,FALSE)</f>
        <v>0</v>
      </c>
      <c r="O199" s="47">
        <f>VLOOKUP(C199,'Talente &amp; Stuff'!ER:FT,13,FALSE)</f>
        <v>0</v>
      </c>
      <c r="P199" s="119">
        <f>VLOOKUP(C199,'Talente &amp; Stuff'!ER:FT,14,FALSE)</f>
        <v>0</v>
      </c>
      <c r="Q199" s="114">
        <f>VLOOKUP(C199,'Talente &amp; Stuff'!ER:FT,15,FALSE)</f>
        <v>0</v>
      </c>
      <c r="R199" s="113">
        <f>VLOOKUP(C199,'Talente &amp; Stuff'!ER:FT,16,FALSE)</f>
        <v>0</v>
      </c>
      <c r="S199" s="119">
        <f>VLOOKUP(C199,'Talente &amp; Stuff'!ER:FT,17,FALSE)</f>
        <v>0</v>
      </c>
      <c r="T199" s="119">
        <f>VLOOKUP(C199,'Talente &amp; Stuff'!ER:FT,18,FALSE)</f>
        <v>0</v>
      </c>
      <c r="U199" s="89">
        <f>VLOOKUP(C199,'Talente &amp; Stuff'!ER:FT,19,FALSE)</f>
        <v>0</v>
      </c>
      <c r="V199" s="47">
        <f>VLOOKUP(C199,'Talente &amp; Stuff'!ER:FT,20,FALSE)</f>
        <v>0</v>
      </c>
      <c r="W199" s="127">
        <f>VLOOKUP(C199,'Talente &amp; Stuff'!ER:FT,21,FALSE)</f>
        <v>0</v>
      </c>
      <c r="X199" s="127">
        <f>VLOOKUP(C199,'Talente &amp; Stuff'!ER:FT,22,FALSE)</f>
        <v>0</v>
      </c>
      <c r="Y199" s="165">
        <f t="shared" si="18"/>
        <v>0</v>
      </c>
      <c r="Z199" s="44">
        <f t="shared" si="19"/>
        <v>0</v>
      </c>
      <c r="AA199" s="125">
        <f>VLOOKUP(C199,'Talente &amp; Stuff'!ER:FT,25,FALSE)</f>
        <v>0</v>
      </c>
      <c r="AB199" s="160">
        <f>VLOOKUP(C199,'Talente &amp; Stuff'!ER:FT,26,FALSE)</f>
        <v>0</v>
      </c>
      <c r="AC199" s="127">
        <f>VLOOKUP(C199,'Talente &amp; Stuff'!ER:FT,27,FALSE)</f>
        <v>0</v>
      </c>
      <c r="AD199" s="125">
        <f>VLOOKUP(C199,'Talente &amp; Stuff'!ER:FT,28,FALSE)</f>
        <v>0</v>
      </c>
      <c r="AE199" s="28"/>
    </row>
    <row r="200" spans="2:31" ht="15" hidden="1" customHeight="1" outlineLevel="2">
      <c r="B200" s="148">
        <v>48</v>
      </c>
      <c r="C200" s="177" t="str">
        <f>Attribute!C200</f>
        <v>---</v>
      </c>
      <c r="D200" s="86" t="str">
        <f>VLOOKUP(C200,'Talente &amp; Stuff'!ER:FT,2,FALSE)</f>
        <v>--/--/--</v>
      </c>
      <c r="E200" s="167" t="str">
        <f>VLOOKUP(C200,'Talente &amp; Stuff'!ER:FT,3,FALSE)</f>
        <v>-</v>
      </c>
      <c r="F200" s="120">
        <f>VLOOKUP(C200,'Talente &amp; Stuff'!ER:FT,4,FALSE)</f>
        <v>0</v>
      </c>
      <c r="G200" s="117">
        <f>VLOOKUP(C200,'Talente &amp; Stuff'!ER:FT,5,FALSE)</f>
        <v>0</v>
      </c>
      <c r="H200" s="117">
        <f>VLOOKUP(C200,'Talente &amp; Stuff'!ER:FT,6,FALSE)</f>
        <v>0</v>
      </c>
      <c r="I200" s="117">
        <f>VLOOKUP(C200,'Talente &amp; Stuff'!ER:FT,7,FALSE)</f>
        <v>0</v>
      </c>
      <c r="J200" s="117">
        <f>VLOOKUP(C200,'Talente &amp; Stuff'!ER:FT,8,FALSE)</f>
        <v>0</v>
      </c>
      <c r="K200" s="117">
        <f>VLOOKUP(C200,'Talente &amp; Stuff'!ER:FT,9,FALSE)</f>
        <v>0</v>
      </c>
      <c r="L200" s="117">
        <f>VLOOKUP(C200,'Talente &amp; Stuff'!ER:FT,10,FALSE)</f>
        <v>0</v>
      </c>
      <c r="M200" s="121">
        <f>VLOOKUP(C200,'Talente &amp; Stuff'!ER:FT,11,FALSE)</f>
        <v>0</v>
      </c>
      <c r="N200" s="47">
        <f>VLOOKUP(C200,'Talente &amp; Stuff'!ER:FT,12,FALSE)</f>
        <v>0</v>
      </c>
      <c r="O200" s="3">
        <f>VLOOKUP(C200,'Talente &amp; Stuff'!ER:FT,13,FALSE)</f>
        <v>0</v>
      </c>
      <c r="P200" s="174">
        <f>VLOOKUP(C200,'Talente &amp; Stuff'!ER:FT,14,FALSE)</f>
        <v>0</v>
      </c>
      <c r="Q200" s="114">
        <f>VLOOKUP(C200,'Talente &amp; Stuff'!ER:FT,15,FALSE)</f>
        <v>0</v>
      </c>
      <c r="R200" s="117">
        <f>VLOOKUP(C200,'Talente &amp; Stuff'!ER:FT,16,FALSE)</f>
        <v>0</v>
      </c>
      <c r="S200" s="119">
        <f>VLOOKUP(C200,'Talente &amp; Stuff'!ER:FT,17,FALSE)</f>
        <v>0</v>
      </c>
      <c r="T200" s="119">
        <f>VLOOKUP(C200,'Talente &amp; Stuff'!ER:FT,18,FALSE)</f>
        <v>0</v>
      </c>
      <c r="U200" s="89">
        <f>VLOOKUP(C200,'Talente &amp; Stuff'!ER:FT,19,FALSE)</f>
        <v>0</v>
      </c>
      <c r="V200" s="47">
        <f>VLOOKUP(C200,'Talente &amp; Stuff'!ER:FT,20,FALSE)</f>
        <v>0</v>
      </c>
      <c r="W200" s="127">
        <f>VLOOKUP(C200,'Talente &amp; Stuff'!ER:FT,21,FALSE)</f>
        <v>0</v>
      </c>
      <c r="X200" s="127">
        <f>VLOOKUP(C200,'Talente &amp; Stuff'!ER:FT,22,FALSE)</f>
        <v>0</v>
      </c>
      <c r="Y200" s="165">
        <f t="shared" si="18"/>
        <v>0</v>
      </c>
      <c r="Z200" s="44">
        <f t="shared" si="19"/>
        <v>0</v>
      </c>
      <c r="AA200" s="125">
        <f>VLOOKUP(C200,'Talente &amp; Stuff'!ER:FT,25,FALSE)</f>
        <v>0</v>
      </c>
      <c r="AB200" s="160">
        <f>VLOOKUP(C200,'Talente &amp; Stuff'!ER:FT,26,FALSE)</f>
        <v>0</v>
      </c>
      <c r="AC200" s="127">
        <f>VLOOKUP(C200,'Talente &amp; Stuff'!ER:FT,27,FALSE)</f>
        <v>0</v>
      </c>
      <c r="AD200" s="125">
        <f>VLOOKUP(C200,'Talente &amp; Stuff'!ER:FT,28,FALSE)</f>
        <v>0</v>
      </c>
      <c r="AE200" s="28"/>
    </row>
    <row r="201" spans="2:31" ht="15" hidden="1" customHeight="1" outlineLevel="2">
      <c r="B201" s="148">
        <v>49</v>
      </c>
      <c r="C201" s="177" t="str">
        <f>Attribute!C201</f>
        <v>---</v>
      </c>
      <c r="D201" s="125" t="str">
        <f>VLOOKUP(C201,'Talente &amp; Stuff'!ER:FT,2,FALSE)</f>
        <v>--/--/--</v>
      </c>
      <c r="E201" s="127" t="str">
        <f>VLOOKUP(C201,'Talente &amp; Stuff'!ER:FT,3,FALSE)</f>
        <v>-</v>
      </c>
      <c r="F201" s="114">
        <f>VLOOKUP(C201,'Talente &amp; Stuff'!ER:FT,4,FALSE)</f>
        <v>0</v>
      </c>
      <c r="G201" s="113">
        <f>VLOOKUP(C201,'Talente &amp; Stuff'!ER:FT,5,FALSE)</f>
        <v>0</v>
      </c>
      <c r="H201" s="113">
        <f>VLOOKUP(C201,'Talente &amp; Stuff'!ER:FT,6,FALSE)</f>
        <v>0</v>
      </c>
      <c r="I201" s="113">
        <f>VLOOKUP(C201,'Talente &amp; Stuff'!ER:FT,7,FALSE)</f>
        <v>0</v>
      </c>
      <c r="J201" s="113">
        <f>VLOOKUP(C201,'Talente &amp; Stuff'!ER:FT,8,FALSE)</f>
        <v>0</v>
      </c>
      <c r="K201" s="113">
        <f>VLOOKUP(C201,'Talente &amp; Stuff'!ER:FT,9,FALSE)</f>
        <v>0</v>
      </c>
      <c r="L201" s="113">
        <f>VLOOKUP(C201,'Talente &amp; Stuff'!ER:FT,10,FALSE)</f>
        <v>0</v>
      </c>
      <c r="M201" s="119">
        <f>VLOOKUP(C201,'Talente &amp; Stuff'!ER:FT,11,FALSE)</f>
        <v>0</v>
      </c>
      <c r="N201" s="47">
        <f>VLOOKUP(C201,'Talente &amp; Stuff'!ER:FT,12,FALSE)</f>
        <v>0</v>
      </c>
      <c r="O201" s="47">
        <f>VLOOKUP(C201,'Talente &amp; Stuff'!ER:FT,13,FALSE)</f>
        <v>0</v>
      </c>
      <c r="P201" s="119">
        <f>VLOOKUP(C201,'Talente &amp; Stuff'!ER:FT,14,FALSE)</f>
        <v>0</v>
      </c>
      <c r="Q201" s="114">
        <f>VLOOKUP(C201,'Talente &amp; Stuff'!ER:FT,15,FALSE)</f>
        <v>0</v>
      </c>
      <c r="R201" s="113">
        <f>VLOOKUP(C201,'Talente &amp; Stuff'!ER:FT,16,FALSE)</f>
        <v>0</v>
      </c>
      <c r="S201" s="119">
        <f>VLOOKUP(C201,'Talente &amp; Stuff'!ER:FT,17,FALSE)</f>
        <v>0</v>
      </c>
      <c r="T201" s="119">
        <f>VLOOKUP(C201,'Talente &amp; Stuff'!ER:FT,18,FALSE)</f>
        <v>0</v>
      </c>
      <c r="U201" s="89">
        <f>VLOOKUP(C201,'Talente &amp; Stuff'!ER:FT,19,FALSE)</f>
        <v>0</v>
      </c>
      <c r="V201" s="47">
        <f>VLOOKUP(C201,'Talente &amp; Stuff'!ER:FT,20,FALSE)</f>
        <v>0</v>
      </c>
      <c r="W201" s="127">
        <f>VLOOKUP(C201,'Talente &amp; Stuff'!ER:FT,21,FALSE)</f>
        <v>0</v>
      </c>
      <c r="X201" s="127">
        <f>VLOOKUP(C201,'Talente &amp; Stuff'!ER:FT,22,FALSE)</f>
        <v>0</v>
      </c>
      <c r="Y201" s="165">
        <f t="shared" si="18"/>
        <v>0</v>
      </c>
      <c r="Z201" s="44">
        <f t="shared" si="19"/>
        <v>0</v>
      </c>
      <c r="AA201" s="125">
        <f>VLOOKUP(C201,'Talente &amp; Stuff'!ER:FT,25,FALSE)</f>
        <v>0</v>
      </c>
      <c r="AB201" s="160">
        <f>VLOOKUP(C201,'Talente &amp; Stuff'!ER:FT,26,FALSE)</f>
        <v>0</v>
      </c>
      <c r="AC201" s="127">
        <f>VLOOKUP(C201,'Talente &amp; Stuff'!ER:FT,27,FALSE)</f>
        <v>0</v>
      </c>
      <c r="AD201" s="125">
        <f>VLOOKUP(C201,'Talente &amp; Stuff'!ER:FT,28,FALSE)</f>
        <v>0</v>
      </c>
      <c r="AE201" s="28"/>
    </row>
    <row r="202" spans="2:31" ht="15" hidden="1" customHeight="1" outlineLevel="2">
      <c r="B202" s="148">
        <v>50</v>
      </c>
      <c r="C202" s="177" t="str">
        <f>Attribute!C202</f>
        <v>---</v>
      </c>
      <c r="D202" s="125" t="str">
        <f>VLOOKUP(C202,'Talente &amp; Stuff'!ER:FT,2,FALSE)</f>
        <v>--/--/--</v>
      </c>
      <c r="E202" s="127" t="str">
        <f>VLOOKUP(C202,'Talente &amp; Stuff'!ER:FT,3,FALSE)</f>
        <v>-</v>
      </c>
      <c r="F202" s="114">
        <f>VLOOKUP(C202,'Talente &amp; Stuff'!ER:FT,4,FALSE)</f>
        <v>0</v>
      </c>
      <c r="G202" s="113">
        <f>VLOOKUP(C202,'Talente &amp; Stuff'!ER:FT,5,FALSE)</f>
        <v>0</v>
      </c>
      <c r="H202" s="113">
        <f>VLOOKUP(C202,'Talente &amp; Stuff'!ER:FT,6,FALSE)</f>
        <v>0</v>
      </c>
      <c r="I202" s="113">
        <f>VLOOKUP(C202,'Talente &amp; Stuff'!ER:FT,7,FALSE)</f>
        <v>0</v>
      </c>
      <c r="J202" s="113">
        <f>VLOOKUP(C202,'Talente &amp; Stuff'!ER:FT,8,FALSE)</f>
        <v>0</v>
      </c>
      <c r="K202" s="113">
        <f>VLOOKUP(C202,'Talente &amp; Stuff'!ER:FT,9,FALSE)</f>
        <v>0</v>
      </c>
      <c r="L202" s="113">
        <f>VLOOKUP(C202,'Talente &amp; Stuff'!ER:FT,10,FALSE)</f>
        <v>0</v>
      </c>
      <c r="M202" s="119">
        <f>VLOOKUP(C202,'Talente &amp; Stuff'!ER:FT,11,FALSE)</f>
        <v>0</v>
      </c>
      <c r="N202" s="47">
        <f>VLOOKUP(C202,'Talente &amp; Stuff'!ER:FT,12,FALSE)</f>
        <v>0</v>
      </c>
      <c r="O202" s="47">
        <f>VLOOKUP(C202,'Talente &amp; Stuff'!ER:FT,13,FALSE)</f>
        <v>0</v>
      </c>
      <c r="P202" s="119">
        <f>VLOOKUP(C202,'Talente &amp; Stuff'!ER:FT,14,FALSE)</f>
        <v>0</v>
      </c>
      <c r="Q202" s="114">
        <f>VLOOKUP(C202,'Talente &amp; Stuff'!ER:FT,15,FALSE)</f>
        <v>0</v>
      </c>
      <c r="R202" s="113">
        <f>VLOOKUP(C202,'Talente &amp; Stuff'!ER:FT,16,FALSE)</f>
        <v>0</v>
      </c>
      <c r="S202" s="119">
        <f>VLOOKUP(C202,'Talente &amp; Stuff'!ER:FT,17,FALSE)</f>
        <v>0</v>
      </c>
      <c r="T202" s="119">
        <f>VLOOKUP(C202,'Talente &amp; Stuff'!ER:FT,18,FALSE)</f>
        <v>0</v>
      </c>
      <c r="U202" s="89">
        <f>VLOOKUP(C202,'Talente &amp; Stuff'!ER:FT,19,FALSE)</f>
        <v>0</v>
      </c>
      <c r="V202" s="47">
        <f>VLOOKUP(C202,'Talente &amp; Stuff'!ER:FT,20,FALSE)</f>
        <v>0</v>
      </c>
      <c r="W202" s="127">
        <f>VLOOKUP(C202,'Talente &amp; Stuff'!ER:FT,21,FALSE)</f>
        <v>0</v>
      </c>
      <c r="X202" s="127">
        <f>VLOOKUP(C202,'Talente &amp; Stuff'!ER:FT,22,FALSE)</f>
        <v>0</v>
      </c>
      <c r="Y202" s="165">
        <f t="shared" si="18"/>
        <v>0</v>
      </c>
      <c r="Z202" s="44">
        <f t="shared" si="19"/>
        <v>0</v>
      </c>
      <c r="AA202" s="125">
        <f>VLOOKUP(C202,'Talente &amp; Stuff'!ER:FT,25,FALSE)</f>
        <v>0</v>
      </c>
      <c r="AB202" s="160">
        <f>VLOOKUP(C202,'Talente &amp; Stuff'!ER:FT,26,FALSE)</f>
        <v>0</v>
      </c>
      <c r="AC202" s="127">
        <f>VLOOKUP(C202,'Talente &amp; Stuff'!ER:FT,27,FALSE)</f>
        <v>0</v>
      </c>
      <c r="AD202" s="125">
        <f>VLOOKUP(C202,'Talente &amp; Stuff'!ER:FT,28,FALSE)</f>
        <v>0</v>
      </c>
      <c r="AE202" s="28"/>
    </row>
    <row r="203" spans="2:31" ht="15" hidden="1" customHeight="1" outlineLevel="2">
      <c r="B203" s="148">
        <v>51</v>
      </c>
      <c r="C203" s="177" t="str">
        <f>Attribute!C203</f>
        <v>---</v>
      </c>
      <c r="D203" s="86" t="str">
        <f>VLOOKUP(C203,'Talente &amp; Stuff'!ER:FT,2,FALSE)</f>
        <v>--/--/--</v>
      </c>
      <c r="E203" s="167" t="str">
        <f>VLOOKUP(C203,'Talente &amp; Stuff'!ER:FT,3,FALSE)</f>
        <v>-</v>
      </c>
      <c r="F203" s="120">
        <f>VLOOKUP(C203,'Talente &amp; Stuff'!ER:FT,4,FALSE)</f>
        <v>0</v>
      </c>
      <c r="G203" s="117">
        <f>VLOOKUP(C203,'Talente &amp; Stuff'!ER:FT,5,FALSE)</f>
        <v>0</v>
      </c>
      <c r="H203" s="117">
        <f>VLOOKUP(C203,'Talente &amp; Stuff'!ER:FT,6,FALSE)</f>
        <v>0</v>
      </c>
      <c r="I203" s="117">
        <f>VLOOKUP(C203,'Talente &amp; Stuff'!ER:FT,7,FALSE)</f>
        <v>0</v>
      </c>
      <c r="J203" s="117">
        <f>VLOOKUP(C203,'Talente &amp; Stuff'!ER:FT,8,FALSE)</f>
        <v>0</v>
      </c>
      <c r="K203" s="117">
        <f>VLOOKUP(C203,'Talente &amp; Stuff'!ER:FT,9,FALSE)</f>
        <v>0</v>
      </c>
      <c r="L203" s="117">
        <f>VLOOKUP(C203,'Talente &amp; Stuff'!ER:FT,10,FALSE)</f>
        <v>0</v>
      </c>
      <c r="M203" s="121">
        <f>VLOOKUP(C203,'Talente &amp; Stuff'!ER:FT,11,FALSE)</f>
        <v>0</v>
      </c>
      <c r="N203" s="47">
        <f>VLOOKUP(C203,'Talente &amp; Stuff'!ER:FT,12,FALSE)</f>
        <v>0</v>
      </c>
      <c r="O203" s="3">
        <f>VLOOKUP(C203,'Talente &amp; Stuff'!ER:FT,13,FALSE)</f>
        <v>0</v>
      </c>
      <c r="P203" s="174">
        <f>VLOOKUP(C203,'Talente &amp; Stuff'!ER:FT,14,FALSE)</f>
        <v>0</v>
      </c>
      <c r="Q203" s="114">
        <f>VLOOKUP(C203,'Talente &amp; Stuff'!ER:FT,15,FALSE)</f>
        <v>0</v>
      </c>
      <c r="R203" s="117">
        <f>VLOOKUP(C203,'Talente &amp; Stuff'!ER:FT,16,FALSE)</f>
        <v>0</v>
      </c>
      <c r="S203" s="119">
        <f>VLOOKUP(C203,'Talente &amp; Stuff'!ER:FT,17,FALSE)</f>
        <v>0</v>
      </c>
      <c r="T203" s="119">
        <f>VLOOKUP(C203,'Talente &amp; Stuff'!ER:FT,18,FALSE)</f>
        <v>0</v>
      </c>
      <c r="U203" s="89">
        <f>VLOOKUP(C203,'Talente &amp; Stuff'!ER:FT,19,FALSE)</f>
        <v>0</v>
      </c>
      <c r="V203" s="47">
        <f>VLOOKUP(C203,'Talente &amp; Stuff'!ER:FT,20,FALSE)</f>
        <v>0</v>
      </c>
      <c r="W203" s="127">
        <f>VLOOKUP(C203,'Talente &amp; Stuff'!ER:FT,21,FALSE)</f>
        <v>0</v>
      </c>
      <c r="X203" s="127">
        <f>VLOOKUP(C203,'Talente &amp; Stuff'!ER:FT,22,FALSE)</f>
        <v>0</v>
      </c>
      <c r="Y203" s="165">
        <f t="shared" si="18"/>
        <v>0</v>
      </c>
      <c r="Z203" s="44">
        <f t="shared" si="19"/>
        <v>0</v>
      </c>
      <c r="AA203" s="125">
        <f>VLOOKUP(C203,'Talente &amp; Stuff'!ER:FT,25,FALSE)</f>
        <v>0</v>
      </c>
      <c r="AB203" s="160">
        <f>VLOOKUP(C203,'Talente &amp; Stuff'!ER:FT,26,FALSE)</f>
        <v>0</v>
      </c>
      <c r="AC203" s="127">
        <f>VLOOKUP(C203,'Talente &amp; Stuff'!ER:FT,27,FALSE)</f>
        <v>0</v>
      </c>
      <c r="AD203" s="125">
        <f>VLOOKUP(C203,'Talente &amp; Stuff'!ER:FT,28,FALSE)</f>
        <v>0</v>
      </c>
      <c r="AE203" s="28"/>
    </row>
    <row r="204" spans="2:31" ht="15" hidden="1" customHeight="1" outlineLevel="2">
      <c r="B204" s="148">
        <v>52</v>
      </c>
      <c r="C204" s="177" t="str">
        <f>Attribute!C204</f>
        <v>---</v>
      </c>
      <c r="D204" s="125" t="str">
        <f>VLOOKUP(C204,'Talente &amp; Stuff'!ER:FT,2,FALSE)</f>
        <v>--/--/--</v>
      </c>
      <c r="E204" s="127" t="str">
        <f>VLOOKUP(C204,'Talente &amp; Stuff'!ER:FT,3,FALSE)</f>
        <v>-</v>
      </c>
      <c r="F204" s="114">
        <f>VLOOKUP(C204,'Talente &amp; Stuff'!ER:FT,4,FALSE)</f>
        <v>0</v>
      </c>
      <c r="G204" s="113">
        <f>VLOOKUP(C204,'Talente &amp; Stuff'!ER:FT,5,FALSE)</f>
        <v>0</v>
      </c>
      <c r="H204" s="113">
        <f>VLOOKUP(C204,'Talente &amp; Stuff'!ER:FT,6,FALSE)</f>
        <v>0</v>
      </c>
      <c r="I204" s="113">
        <f>VLOOKUP(C204,'Talente &amp; Stuff'!ER:FT,7,FALSE)</f>
        <v>0</v>
      </c>
      <c r="J204" s="113">
        <f>VLOOKUP(C204,'Talente &amp; Stuff'!ER:FT,8,FALSE)</f>
        <v>0</v>
      </c>
      <c r="K204" s="113">
        <f>VLOOKUP(C204,'Talente &amp; Stuff'!ER:FT,9,FALSE)</f>
        <v>0</v>
      </c>
      <c r="L204" s="113">
        <f>VLOOKUP(C204,'Talente &amp; Stuff'!ER:FT,10,FALSE)</f>
        <v>0</v>
      </c>
      <c r="M204" s="119">
        <f>VLOOKUP(C204,'Talente &amp; Stuff'!ER:FT,11,FALSE)</f>
        <v>0</v>
      </c>
      <c r="N204" s="47">
        <f>VLOOKUP(C204,'Talente &amp; Stuff'!ER:FT,12,FALSE)</f>
        <v>0</v>
      </c>
      <c r="O204" s="47">
        <f>VLOOKUP(C204,'Talente &amp; Stuff'!ER:FT,13,FALSE)</f>
        <v>0</v>
      </c>
      <c r="P204" s="119">
        <f>VLOOKUP(C204,'Talente &amp; Stuff'!ER:FT,14,FALSE)</f>
        <v>0</v>
      </c>
      <c r="Q204" s="114">
        <f>VLOOKUP(C204,'Talente &amp; Stuff'!ER:FT,15,FALSE)</f>
        <v>0</v>
      </c>
      <c r="R204" s="113">
        <f>VLOOKUP(C204,'Talente &amp; Stuff'!ER:FT,16,FALSE)</f>
        <v>0</v>
      </c>
      <c r="S204" s="119">
        <f>VLOOKUP(C204,'Talente &amp; Stuff'!ER:FT,17,FALSE)</f>
        <v>0</v>
      </c>
      <c r="T204" s="119">
        <f>VLOOKUP(C204,'Talente &amp; Stuff'!ER:FT,18,FALSE)</f>
        <v>0</v>
      </c>
      <c r="U204" s="89">
        <f>VLOOKUP(C204,'Talente &amp; Stuff'!ER:FT,19,FALSE)</f>
        <v>0</v>
      </c>
      <c r="V204" s="47">
        <f>VLOOKUP(C204,'Talente &amp; Stuff'!ER:FT,20,FALSE)</f>
        <v>0</v>
      </c>
      <c r="W204" s="127">
        <f>VLOOKUP(C204,'Talente &amp; Stuff'!ER:FT,21,FALSE)</f>
        <v>0</v>
      </c>
      <c r="X204" s="127">
        <f>VLOOKUP(C204,'Talente &amp; Stuff'!ER:FT,22,FALSE)</f>
        <v>0</v>
      </c>
      <c r="Y204" s="165">
        <f t="shared" si="18"/>
        <v>0</v>
      </c>
      <c r="Z204" s="44">
        <f t="shared" si="19"/>
        <v>0</v>
      </c>
      <c r="AA204" s="125">
        <f>VLOOKUP(C204,'Talente &amp; Stuff'!ER:FT,25,FALSE)</f>
        <v>0</v>
      </c>
      <c r="AB204" s="160">
        <f>VLOOKUP(C204,'Talente &amp; Stuff'!ER:FT,26,FALSE)</f>
        <v>0</v>
      </c>
      <c r="AC204" s="127">
        <f>VLOOKUP(C204,'Talente &amp; Stuff'!ER:FT,27,FALSE)</f>
        <v>0</v>
      </c>
      <c r="AD204" s="125">
        <f>VLOOKUP(C204,'Talente &amp; Stuff'!ER:FT,28,FALSE)</f>
        <v>0</v>
      </c>
      <c r="AE204" s="28"/>
    </row>
    <row r="205" spans="2:31" ht="15" hidden="1" customHeight="1" outlineLevel="2">
      <c r="B205" s="148">
        <v>53</v>
      </c>
      <c r="C205" s="177" t="str">
        <f>Attribute!C205</f>
        <v>---</v>
      </c>
      <c r="D205" s="86" t="str">
        <f>VLOOKUP(C205,'Talente &amp; Stuff'!ER:FT,2,FALSE)</f>
        <v>--/--/--</v>
      </c>
      <c r="E205" s="127" t="str">
        <f>VLOOKUP(C205,'Talente &amp; Stuff'!ER:FT,3,FALSE)</f>
        <v>-</v>
      </c>
      <c r="F205" s="114">
        <f>VLOOKUP(C205,'Talente &amp; Stuff'!ER:FT,4,FALSE)</f>
        <v>0</v>
      </c>
      <c r="G205" s="113">
        <f>VLOOKUP(C205,'Talente &amp; Stuff'!ER:FT,5,FALSE)</f>
        <v>0</v>
      </c>
      <c r="H205" s="113">
        <f>VLOOKUP(C205,'Talente &amp; Stuff'!ER:FT,6,FALSE)</f>
        <v>0</v>
      </c>
      <c r="I205" s="113">
        <f>VLOOKUP(C205,'Talente &amp; Stuff'!ER:FT,7,FALSE)</f>
        <v>0</v>
      </c>
      <c r="J205" s="113">
        <f>VLOOKUP(C205,'Talente &amp; Stuff'!ER:FT,8,FALSE)</f>
        <v>0</v>
      </c>
      <c r="K205" s="113">
        <f>VLOOKUP(C205,'Talente &amp; Stuff'!ER:FT,9,FALSE)</f>
        <v>0</v>
      </c>
      <c r="L205" s="113">
        <f>VLOOKUP(C205,'Talente &amp; Stuff'!ER:FT,10,FALSE)</f>
        <v>0</v>
      </c>
      <c r="M205" s="119">
        <f>VLOOKUP(C205,'Talente &amp; Stuff'!ER:FT,11,FALSE)</f>
        <v>0</v>
      </c>
      <c r="N205" s="47">
        <f>VLOOKUP(C205,'Talente &amp; Stuff'!ER:FT,12,FALSE)</f>
        <v>0</v>
      </c>
      <c r="O205" s="3">
        <f>VLOOKUP(C205,'Talente &amp; Stuff'!ER:FT,13,FALSE)</f>
        <v>0</v>
      </c>
      <c r="P205" s="174">
        <f>VLOOKUP(C205,'Talente &amp; Stuff'!ER:FT,14,FALSE)</f>
        <v>0</v>
      </c>
      <c r="Q205" s="114">
        <f>VLOOKUP(C205,'Talente &amp; Stuff'!ER:FT,15,FALSE)</f>
        <v>0</v>
      </c>
      <c r="R205" s="117">
        <f>VLOOKUP(C205,'Talente &amp; Stuff'!ER:FT,16,FALSE)</f>
        <v>0</v>
      </c>
      <c r="S205" s="119">
        <f>VLOOKUP(C205,'Talente &amp; Stuff'!ER:FT,17,FALSE)</f>
        <v>0</v>
      </c>
      <c r="T205" s="119">
        <f>VLOOKUP(C205,'Talente &amp; Stuff'!ER:FT,18,FALSE)</f>
        <v>0</v>
      </c>
      <c r="U205" s="89">
        <f>VLOOKUP(C205,'Talente &amp; Stuff'!ER:FT,19,FALSE)</f>
        <v>0</v>
      </c>
      <c r="V205" s="47">
        <f>VLOOKUP(C205,'Talente &amp; Stuff'!ER:FT,20,FALSE)</f>
        <v>0</v>
      </c>
      <c r="W205" s="127">
        <f>VLOOKUP(C205,'Talente &amp; Stuff'!ER:FT,21,FALSE)</f>
        <v>0</v>
      </c>
      <c r="X205" s="127">
        <f>VLOOKUP(C205,'Talente &amp; Stuff'!ER:FT,22,FALSE)</f>
        <v>0</v>
      </c>
      <c r="Y205" s="165">
        <f t="shared" si="18"/>
        <v>0</v>
      </c>
      <c r="Z205" s="44">
        <f t="shared" si="19"/>
        <v>0</v>
      </c>
      <c r="AA205" s="125">
        <f>VLOOKUP(C205,'Talente &amp; Stuff'!ER:FT,25,FALSE)</f>
        <v>0</v>
      </c>
      <c r="AB205" s="160">
        <f>VLOOKUP(C205,'Talente &amp; Stuff'!ER:FT,26,FALSE)</f>
        <v>0</v>
      </c>
      <c r="AC205" s="127">
        <f>VLOOKUP(C205,'Talente &amp; Stuff'!ER:FT,27,FALSE)</f>
        <v>0</v>
      </c>
      <c r="AD205" s="125">
        <f>VLOOKUP(C205,'Talente &amp; Stuff'!ER:FT,28,FALSE)</f>
        <v>0</v>
      </c>
      <c r="AE205" s="28"/>
    </row>
    <row r="206" spans="2:31" ht="15" hidden="1" customHeight="1" outlineLevel="2">
      <c r="B206" s="148">
        <v>54</v>
      </c>
      <c r="C206" s="177" t="str">
        <f>Attribute!C206</f>
        <v>---</v>
      </c>
      <c r="D206" s="125" t="str">
        <f>VLOOKUP(C206,'Talente &amp; Stuff'!ER:FT,2,FALSE)</f>
        <v>--/--/--</v>
      </c>
      <c r="E206" s="127" t="str">
        <f>VLOOKUP(C206,'Talente &amp; Stuff'!ER:FT,3,FALSE)</f>
        <v>-</v>
      </c>
      <c r="F206" s="114">
        <f>VLOOKUP(C206,'Talente &amp; Stuff'!ER:FT,4,FALSE)</f>
        <v>0</v>
      </c>
      <c r="G206" s="113">
        <f>VLOOKUP(C206,'Talente &amp; Stuff'!ER:FT,5,FALSE)</f>
        <v>0</v>
      </c>
      <c r="H206" s="113">
        <f>VLOOKUP(C206,'Talente &amp; Stuff'!ER:FT,6,FALSE)</f>
        <v>0</v>
      </c>
      <c r="I206" s="113">
        <f>VLOOKUP(C206,'Talente &amp; Stuff'!ER:FT,7,FALSE)</f>
        <v>0</v>
      </c>
      <c r="J206" s="113">
        <f>VLOOKUP(C206,'Talente &amp; Stuff'!ER:FT,8,FALSE)</f>
        <v>0</v>
      </c>
      <c r="K206" s="113">
        <f>VLOOKUP(C206,'Talente &amp; Stuff'!ER:FT,9,FALSE)</f>
        <v>0</v>
      </c>
      <c r="L206" s="113">
        <f>VLOOKUP(C206,'Talente &amp; Stuff'!ER:FT,10,FALSE)</f>
        <v>0</v>
      </c>
      <c r="M206" s="119">
        <f>VLOOKUP(C206,'Talente &amp; Stuff'!ER:FT,11,FALSE)</f>
        <v>0</v>
      </c>
      <c r="N206" s="47">
        <f>VLOOKUP(C206,'Talente &amp; Stuff'!ER:FT,12,FALSE)</f>
        <v>0</v>
      </c>
      <c r="O206" s="47">
        <f>VLOOKUP(C206,'Talente &amp; Stuff'!ER:FT,13,FALSE)</f>
        <v>0</v>
      </c>
      <c r="P206" s="119">
        <f>VLOOKUP(C206,'Talente &amp; Stuff'!ER:FT,14,FALSE)</f>
        <v>0</v>
      </c>
      <c r="Q206" s="114">
        <f>VLOOKUP(C206,'Talente &amp; Stuff'!ER:FT,15,FALSE)</f>
        <v>0</v>
      </c>
      <c r="R206" s="113">
        <f>VLOOKUP(C206,'Talente &amp; Stuff'!ER:FT,16,FALSE)</f>
        <v>0</v>
      </c>
      <c r="S206" s="119">
        <f>VLOOKUP(C206,'Talente &amp; Stuff'!ER:FT,17,FALSE)</f>
        <v>0</v>
      </c>
      <c r="T206" s="119">
        <f>VLOOKUP(C206,'Talente &amp; Stuff'!ER:FT,18,FALSE)</f>
        <v>0</v>
      </c>
      <c r="U206" s="89">
        <f>VLOOKUP(C206,'Talente &amp; Stuff'!ER:FT,19,FALSE)</f>
        <v>0</v>
      </c>
      <c r="V206" s="47">
        <f>VLOOKUP(C206,'Talente &amp; Stuff'!ER:FT,20,FALSE)</f>
        <v>0</v>
      </c>
      <c r="W206" s="127">
        <f>VLOOKUP(C206,'Talente &amp; Stuff'!ER:FT,21,FALSE)</f>
        <v>0</v>
      </c>
      <c r="X206" s="127">
        <f>VLOOKUP(C206,'Talente &amp; Stuff'!ER:FT,22,FALSE)</f>
        <v>0</v>
      </c>
      <c r="Y206" s="165">
        <f t="shared" si="18"/>
        <v>0</v>
      </c>
      <c r="Z206" s="44">
        <f t="shared" si="19"/>
        <v>0</v>
      </c>
      <c r="AA206" s="125">
        <f>VLOOKUP(C206,'Talente &amp; Stuff'!ER:FT,25,FALSE)</f>
        <v>0</v>
      </c>
      <c r="AB206" s="160">
        <f>VLOOKUP(C206,'Talente &amp; Stuff'!ER:FT,26,FALSE)</f>
        <v>0</v>
      </c>
      <c r="AC206" s="127">
        <f>VLOOKUP(C206,'Talente &amp; Stuff'!ER:FT,27,FALSE)</f>
        <v>0</v>
      </c>
      <c r="AD206" s="125">
        <f>VLOOKUP(C206,'Talente &amp; Stuff'!ER:FT,28,FALSE)</f>
        <v>0</v>
      </c>
      <c r="AE206" s="28"/>
    </row>
    <row r="207" spans="2:31" ht="15" hidden="1" customHeight="1" outlineLevel="2">
      <c r="B207" s="148">
        <v>55</v>
      </c>
      <c r="C207" s="177" t="str">
        <f>Attribute!C207</f>
        <v>---</v>
      </c>
      <c r="D207" s="125" t="str">
        <f>VLOOKUP(C207,'Talente &amp; Stuff'!ER:FT,2,FALSE)</f>
        <v>--/--/--</v>
      </c>
      <c r="E207" s="127" t="str">
        <f>VLOOKUP(C207,'Talente &amp; Stuff'!ER:FT,3,FALSE)</f>
        <v>-</v>
      </c>
      <c r="F207" s="114">
        <f>VLOOKUP(C207,'Talente &amp; Stuff'!ER:FT,4,FALSE)</f>
        <v>0</v>
      </c>
      <c r="G207" s="113">
        <f>VLOOKUP(C207,'Talente &amp; Stuff'!ER:FT,5,FALSE)</f>
        <v>0</v>
      </c>
      <c r="H207" s="113">
        <f>VLOOKUP(C207,'Talente &amp; Stuff'!ER:FT,6,FALSE)</f>
        <v>0</v>
      </c>
      <c r="I207" s="113">
        <f>VLOOKUP(C207,'Talente &amp; Stuff'!ER:FT,7,FALSE)</f>
        <v>0</v>
      </c>
      <c r="J207" s="113">
        <f>VLOOKUP(C207,'Talente &amp; Stuff'!ER:FT,8,FALSE)</f>
        <v>0</v>
      </c>
      <c r="K207" s="113">
        <f>VLOOKUP(C207,'Talente &amp; Stuff'!ER:FT,9,FALSE)</f>
        <v>0</v>
      </c>
      <c r="L207" s="113">
        <f>VLOOKUP(C207,'Talente &amp; Stuff'!ER:FT,10,FALSE)</f>
        <v>0</v>
      </c>
      <c r="M207" s="119">
        <f>VLOOKUP(C207,'Talente &amp; Stuff'!ER:FT,11,FALSE)</f>
        <v>0</v>
      </c>
      <c r="N207" s="47">
        <f>VLOOKUP(C207,'Talente &amp; Stuff'!ER:FT,12,FALSE)</f>
        <v>0</v>
      </c>
      <c r="O207" s="47">
        <f>VLOOKUP(C207,'Talente &amp; Stuff'!ER:FT,13,FALSE)</f>
        <v>0</v>
      </c>
      <c r="P207" s="119">
        <f>VLOOKUP(C207,'Talente &amp; Stuff'!ER:FT,14,FALSE)</f>
        <v>0</v>
      </c>
      <c r="Q207" s="114">
        <f>VLOOKUP(C207,'Talente &amp; Stuff'!ER:FT,15,FALSE)</f>
        <v>0</v>
      </c>
      <c r="R207" s="113">
        <f>VLOOKUP(C207,'Talente &amp; Stuff'!ER:FT,16,FALSE)</f>
        <v>0</v>
      </c>
      <c r="S207" s="119">
        <f>VLOOKUP(C207,'Talente &amp; Stuff'!ER:FT,17,FALSE)</f>
        <v>0</v>
      </c>
      <c r="T207" s="119">
        <f>VLOOKUP(C207,'Talente &amp; Stuff'!ER:FT,18,FALSE)</f>
        <v>0</v>
      </c>
      <c r="U207" s="89">
        <f>VLOOKUP(C207,'Talente &amp; Stuff'!ER:FT,19,FALSE)</f>
        <v>0</v>
      </c>
      <c r="V207" s="47">
        <f>VLOOKUP(C207,'Talente &amp; Stuff'!ER:FT,20,FALSE)</f>
        <v>0</v>
      </c>
      <c r="W207" s="127">
        <f>VLOOKUP(C207,'Talente &amp; Stuff'!ER:FT,21,FALSE)</f>
        <v>0</v>
      </c>
      <c r="X207" s="127">
        <f>VLOOKUP(C207,'Talente &amp; Stuff'!ER:FT,22,FALSE)</f>
        <v>0</v>
      </c>
      <c r="Y207" s="165">
        <f t="shared" si="18"/>
        <v>0</v>
      </c>
      <c r="Z207" s="44">
        <f t="shared" si="19"/>
        <v>0</v>
      </c>
      <c r="AA207" s="125">
        <f>VLOOKUP(C207,'Talente &amp; Stuff'!ER:FT,25,FALSE)</f>
        <v>0</v>
      </c>
      <c r="AB207" s="160">
        <f>VLOOKUP(C207,'Talente &amp; Stuff'!ER:FT,26,FALSE)</f>
        <v>0</v>
      </c>
      <c r="AC207" s="127">
        <f>VLOOKUP(C207,'Talente &amp; Stuff'!ER:FT,27,FALSE)</f>
        <v>0</v>
      </c>
      <c r="AD207" s="125">
        <f>VLOOKUP(C207,'Talente &amp; Stuff'!ER:FT,28,FALSE)</f>
        <v>0</v>
      </c>
      <c r="AE207" s="28"/>
    </row>
    <row r="208" spans="2:31" ht="15" hidden="1" customHeight="1" outlineLevel="2">
      <c r="B208" s="148">
        <v>56</v>
      </c>
      <c r="C208" s="177" t="str">
        <f>Attribute!C208</f>
        <v>---</v>
      </c>
      <c r="D208" s="125" t="str">
        <f>VLOOKUP(C208,'Talente &amp; Stuff'!ER:FT,2,FALSE)</f>
        <v>--/--/--</v>
      </c>
      <c r="E208" s="127" t="str">
        <f>VLOOKUP(C208,'Talente &amp; Stuff'!ER:FT,3,FALSE)</f>
        <v>-</v>
      </c>
      <c r="F208" s="114">
        <f>VLOOKUP(C208,'Talente &amp; Stuff'!ER:FT,4,FALSE)</f>
        <v>0</v>
      </c>
      <c r="G208" s="113">
        <f>VLOOKUP(C208,'Talente &amp; Stuff'!ER:FT,5,FALSE)</f>
        <v>0</v>
      </c>
      <c r="H208" s="113">
        <f>VLOOKUP(C208,'Talente &amp; Stuff'!ER:FT,6,FALSE)</f>
        <v>0</v>
      </c>
      <c r="I208" s="113">
        <f>VLOOKUP(C208,'Talente &amp; Stuff'!ER:FT,7,FALSE)</f>
        <v>0</v>
      </c>
      <c r="J208" s="113">
        <f>VLOOKUP(C208,'Talente &amp; Stuff'!ER:FT,8,FALSE)</f>
        <v>0</v>
      </c>
      <c r="K208" s="113">
        <f>VLOOKUP(C208,'Talente &amp; Stuff'!ER:FT,9,FALSE)</f>
        <v>0</v>
      </c>
      <c r="L208" s="113">
        <f>VLOOKUP(C208,'Talente &amp; Stuff'!ER:FT,10,FALSE)</f>
        <v>0</v>
      </c>
      <c r="M208" s="119">
        <f>VLOOKUP(C208,'Talente &amp; Stuff'!ER:FT,11,FALSE)</f>
        <v>0</v>
      </c>
      <c r="N208" s="47">
        <f>VLOOKUP(C208,'Talente &amp; Stuff'!ER:FT,12,FALSE)</f>
        <v>0</v>
      </c>
      <c r="O208" s="47">
        <f>VLOOKUP(C208,'Talente &amp; Stuff'!ER:FT,13,FALSE)</f>
        <v>0</v>
      </c>
      <c r="P208" s="119">
        <f>VLOOKUP(C208,'Talente &amp; Stuff'!ER:FT,14,FALSE)</f>
        <v>0</v>
      </c>
      <c r="Q208" s="114">
        <f>VLOOKUP(C208,'Talente &amp; Stuff'!ER:FT,15,FALSE)</f>
        <v>0</v>
      </c>
      <c r="R208" s="113">
        <f>VLOOKUP(C208,'Talente &amp; Stuff'!ER:FT,16,FALSE)</f>
        <v>0</v>
      </c>
      <c r="S208" s="119">
        <f>VLOOKUP(C208,'Talente &amp; Stuff'!ER:FT,17,FALSE)</f>
        <v>0</v>
      </c>
      <c r="T208" s="119">
        <f>VLOOKUP(C208,'Talente &amp; Stuff'!ER:FT,18,FALSE)</f>
        <v>0</v>
      </c>
      <c r="U208" s="89">
        <f>VLOOKUP(C208,'Talente &amp; Stuff'!ER:FT,19,FALSE)</f>
        <v>0</v>
      </c>
      <c r="V208" s="47">
        <f>VLOOKUP(C208,'Talente &amp; Stuff'!ER:FT,20,FALSE)</f>
        <v>0</v>
      </c>
      <c r="W208" s="127">
        <f>VLOOKUP(C208,'Talente &amp; Stuff'!ER:FT,21,FALSE)</f>
        <v>0</v>
      </c>
      <c r="X208" s="127">
        <f>VLOOKUP(C208,'Talente &amp; Stuff'!ER:FT,22,FALSE)</f>
        <v>0</v>
      </c>
      <c r="Y208" s="165">
        <f t="shared" si="18"/>
        <v>0</v>
      </c>
      <c r="Z208" s="44">
        <f t="shared" si="19"/>
        <v>0</v>
      </c>
      <c r="AA208" s="125">
        <f>VLOOKUP(C208,'Talente &amp; Stuff'!ER:FT,25,FALSE)</f>
        <v>0</v>
      </c>
      <c r="AB208" s="160">
        <f>VLOOKUP(C208,'Talente &amp; Stuff'!ER:FT,26,FALSE)</f>
        <v>0</v>
      </c>
      <c r="AC208" s="127">
        <f>VLOOKUP(C208,'Talente &amp; Stuff'!ER:FT,27,FALSE)</f>
        <v>0</v>
      </c>
      <c r="AD208" s="125">
        <f>VLOOKUP(C208,'Talente &amp; Stuff'!ER:FT,28,FALSE)</f>
        <v>0</v>
      </c>
      <c r="AE208" s="28"/>
    </row>
    <row r="209" spans="2:31" ht="15" hidden="1" customHeight="1" outlineLevel="2">
      <c r="B209" s="148">
        <v>57</v>
      </c>
      <c r="C209" s="177" t="str">
        <f>Attribute!C209</f>
        <v>---</v>
      </c>
      <c r="D209" s="125" t="str">
        <f>VLOOKUP(C209,'Talente &amp; Stuff'!ER:FT,2,FALSE)</f>
        <v>--/--/--</v>
      </c>
      <c r="E209" s="127" t="str">
        <f>VLOOKUP(C209,'Talente &amp; Stuff'!ER:FT,3,FALSE)</f>
        <v>-</v>
      </c>
      <c r="F209" s="114">
        <f>VLOOKUP(C209,'Talente &amp; Stuff'!ER:FT,4,FALSE)</f>
        <v>0</v>
      </c>
      <c r="G209" s="113">
        <f>VLOOKUP(C209,'Talente &amp; Stuff'!ER:FT,5,FALSE)</f>
        <v>0</v>
      </c>
      <c r="H209" s="113">
        <f>VLOOKUP(C209,'Talente &amp; Stuff'!ER:FT,6,FALSE)</f>
        <v>0</v>
      </c>
      <c r="I209" s="113">
        <f>VLOOKUP(C209,'Talente &amp; Stuff'!ER:FT,7,FALSE)</f>
        <v>0</v>
      </c>
      <c r="J209" s="113">
        <f>VLOOKUP(C209,'Talente &amp; Stuff'!ER:FT,8,FALSE)</f>
        <v>0</v>
      </c>
      <c r="K209" s="113">
        <f>VLOOKUP(C209,'Talente &amp; Stuff'!ER:FT,9,FALSE)</f>
        <v>0</v>
      </c>
      <c r="L209" s="113">
        <f>VLOOKUP(C209,'Talente &amp; Stuff'!ER:FT,10,FALSE)</f>
        <v>0</v>
      </c>
      <c r="M209" s="119">
        <f>VLOOKUP(C209,'Talente &amp; Stuff'!ER:FT,11,FALSE)</f>
        <v>0</v>
      </c>
      <c r="N209" s="47">
        <f>VLOOKUP(C209,'Talente &amp; Stuff'!ER:FT,12,FALSE)</f>
        <v>0</v>
      </c>
      <c r="O209" s="47">
        <f>VLOOKUP(C209,'Talente &amp; Stuff'!ER:FT,13,FALSE)</f>
        <v>0</v>
      </c>
      <c r="P209" s="119">
        <f>VLOOKUP(C209,'Talente &amp; Stuff'!ER:FT,14,FALSE)</f>
        <v>0</v>
      </c>
      <c r="Q209" s="114">
        <f>VLOOKUP(C209,'Talente &amp; Stuff'!ER:FT,15,FALSE)</f>
        <v>0</v>
      </c>
      <c r="R209" s="113">
        <f>VLOOKUP(C209,'Talente &amp; Stuff'!ER:FT,16,FALSE)</f>
        <v>0</v>
      </c>
      <c r="S209" s="119">
        <f>VLOOKUP(C209,'Talente &amp; Stuff'!ER:FT,17,FALSE)</f>
        <v>0</v>
      </c>
      <c r="T209" s="119">
        <f>VLOOKUP(C209,'Talente &amp; Stuff'!ER:FT,18,FALSE)</f>
        <v>0</v>
      </c>
      <c r="U209" s="89">
        <f>VLOOKUP(C209,'Talente &amp; Stuff'!ER:FT,19,FALSE)</f>
        <v>0</v>
      </c>
      <c r="V209" s="47">
        <f>VLOOKUP(C209,'Talente &amp; Stuff'!ER:FT,20,FALSE)</f>
        <v>0</v>
      </c>
      <c r="W209" s="127">
        <f>VLOOKUP(C209,'Talente &amp; Stuff'!ER:FT,21,FALSE)</f>
        <v>0</v>
      </c>
      <c r="X209" s="127">
        <f>VLOOKUP(C209,'Talente &amp; Stuff'!ER:FT,22,FALSE)</f>
        <v>0</v>
      </c>
      <c r="Y209" s="165">
        <f t="shared" si="18"/>
        <v>0</v>
      </c>
      <c r="Z209" s="44">
        <f t="shared" si="19"/>
        <v>0</v>
      </c>
      <c r="AA209" s="125">
        <f>VLOOKUP(C209,'Talente &amp; Stuff'!ER:FT,25,FALSE)</f>
        <v>0</v>
      </c>
      <c r="AB209" s="160">
        <f>VLOOKUP(C209,'Talente &amp; Stuff'!ER:FT,26,FALSE)</f>
        <v>0</v>
      </c>
      <c r="AC209" s="127">
        <f>VLOOKUP(C209,'Talente &amp; Stuff'!ER:FT,27,FALSE)</f>
        <v>0</v>
      </c>
      <c r="AD209" s="125">
        <f>VLOOKUP(C209,'Talente &amp; Stuff'!ER:FT,28,FALSE)</f>
        <v>0</v>
      </c>
      <c r="AE209" s="28"/>
    </row>
    <row r="210" spans="2:31" ht="15" hidden="1" customHeight="1" outlineLevel="2">
      <c r="B210" s="148">
        <v>58</v>
      </c>
      <c r="C210" s="177" t="str">
        <f>Attribute!C210</f>
        <v>---</v>
      </c>
      <c r="D210" s="125" t="str">
        <f>VLOOKUP(C210,'Talente &amp; Stuff'!ER:FT,2,FALSE)</f>
        <v>--/--/--</v>
      </c>
      <c r="E210" s="127" t="str">
        <f>VLOOKUP(C210,'Talente &amp; Stuff'!ER:FT,3,FALSE)</f>
        <v>-</v>
      </c>
      <c r="F210" s="114">
        <f>VLOOKUP(C210,'Talente &amp; Stuff'!ER:FT,4,FALSE)</f>
        <v>0</v>
      </c>
      <c r="G210" s="113">
        <f>VLOOKUP(C210,'Talente &amp; Stuff'!ER:FT,5,FALSE)</f>
        <v>0</v>
      </c>
      <c r="H210" s="113">
        <f>VLOOKUP(C210,'Talente &amp; Stuff'!ER:FT,6,FALSE)</f>
        <v>0</v>
      </c>
      <c r="I210" s="113">
        <f>VLOOKUP(C210,'Talente &amp; Stuff'!ER:FT,7,FALSE)</f>
        <v>0</v>
      </c>
      <c r="J210" s="113">
        <f>VLOOKUP(C210,'Talente &amp; Stuff'!ER:FT,8,FALSE)</f>
        <v>0</v>
      </c>
      <c r="K210" s="113">
        <f>VLOOKUP(C210,'Talente &amp; Stuff'!ER:FT,9,FALSE)</f>
        <v>0</v>
      </c>
      <c r="L210" s="113">
        <f>VLOOKUP(C210,'Talente &amp; Stuff'!ER:FT,10,FALSE)</f>
        <v>0</v>
      </c>
      <c r="M210" s="119">
        <f>VLOOKUP(C210,'Talente &amp; Stuff'!ER:FT,11,FALSE)</f>
        <v>0</v>
      </c>
      <c r="N210" s="47">
        <f>VLOOKUP(C210,'Talente &amp; Stuff'!ER:FT,12,FALSE)</f>
        <v>0</v>
      </c>
      <c r="O210" s="47">
        <f>VLOOKUP(C210,'Talente &amp; Stuff'!ER:FT,13,FALSE)</f>
        <v>0</v>
      </c>
      <c r="P210" s="119">
        <f>VLOOKUP(C210,'Talente &amp; Stuff'!ER:FT,14,FALSE)</f>
        <v>0</v>
      </c>
      <c r="Q210" s="114">
        <f>VLOOKUP(C210,'Talente &amp; Stuff'!ER:FT,15,FALSE)</f>
        <v>0</v>
      </c>
      <c r="R210" s="113">
        <f>VLOOKUP(C210,'Talente &amp; Stuff'!ER:FT,16,FALSE)</f>
        <v>0</v>
      </c>
      <c r="S210" s="119">
        <f>VLOOKUP(C210,'Talente &amp; Stuff'!ER:FT,17,FALSE)</f>
        <v>0</v>
      </c>
      <c r="T210" s="119">
        <f>VLOOKUP(C210,'Talente &amp; Stuff'!ER:FT,18,FALSE)</f>
        <v>0</v>
      </c>
      <c r="U210" s="89">
        <f>VLOOKUP(C210,'Talente &amp; Stuff'!ER:FT,19,FALSE)</f>
        <v>0</v>
      </c>
      <c r="V210" s="47">
        <f>VLOOKUP(C210,'Talente &amp; Stuff'!ER:FT,20,FALSE)</f>
        <v>0</v>
      </c>
      <c r="W210" s="127">
        <f>VLOOKUP(C210,'Talente &amp; Stuff'!ER:FT,21,FALSE)</f>
        <v>0</v>
      </c>
      <c r="X210" s="127">
        <f>VLOOKUP(C210,'Talente &amp; Stuff'!ER:FT,22,FALSE)</f>
        <v>0</v>
      </c>
      <c r="Y210" s="165">
        <f t="shared" si="18"/>
        <v>0</v>
      </c>
      <c r="Z210" s="44">
        <f t="shared" si="19"/>
        <v>0</v>
      </c>
      <c r="AA210" s="125">
        <f>VLOOKUP(C210,'Talente &amp; Stuff'!ER:FT,25,FALSE)</f>
        <v>0</v>
      </c>
      <c r="AB210" s="160">
        <f>VLOOKUP(C210,'Talente &amp; Stuff'!ER:FT,26,FALSE)</f>
        <v>0</v>
      </c>
      <c r="AC210" s="127">
        <f>VLOOKUP(C210,'Talente &amp; Stuff'!ER:FT,27,FALSE)</f>
        <v>0</v>
      </c>
      <c r="AD210" s="125">
        <f>VLOOKUP(C210,'Talente &amp; Stuff'!ER:FT,28,FALSE)</f>
        <v>0</v>
      </c>
      <c r="AE210" s="28"/>
    </row>
    <row r="211" spans="2:31" ht="15" hidden="1" customHeight="1" outlineLevel="2">
      <c r="B211" s="148">
        <v>59</v>
      </c>
      <c r="C211" s="177" t="str">
        <f>Attribute!C211</f>
        <v>---</v>
      </c>
      <c r="D211" s="159" t="str">
        <f>VLOOKUP(C211,'Talente &amp; Stuff'!ER:FT,2,FALSE)</f>
        <v>--/--/--</v>
      </c>
      <c r="E211" s="128" t="str">
        <f>VLOOKUP(C211,'Talente &amp; Stuff'!ER:FT,3,FALSE)</f>
        <v>-</v>
      </c>
      <c r="F211" s="115">
        <f>VLOOKUP(C211,'Talente &amp; Stuff'!ER:FT,4,FALSE)</f>
        <v>0</v>
      </c>
      <c r="G211" s="122">
        <f>VLOOKUP(C211,'Talente &amp; Stuff'!ER:FT,5,FALSE)</f>
        <v>0</v>
      </c>
      <c r="H211" s="122">
        <f>VLOOKUP(C211,'Talente &amp; Stuff'!ER:FT,6,FALSE)</f>
        <v>0</v>
      </c>
      <c r="I211" s="122">
        <f>VLOOKUP(C211,'Talente &amp; Stuff'!ER:FT,7,FALSE)</f>
        <v>0</v>
      </c>
      <c r="J211" s="122">
        <f>VLOOKUP(C211,'Talente &amp; Stuff'!ER:FT,8,FALSE)</f>
        <v>0</v>
      </c>
      <c r="K211" s="122">
        <f>VLOOKUP(C211,'Talente &amp; Stuff'!ER:FT,9,FALSE)</f>
        <v>0</v>
      </c>
      <c r="L211" s="122">
        <f>VLOOKUP(C211,'Talente &amp; Stuff'!ER:FT,10,FALSE)</f>
        <v>0</v>
      </c>
      <c r="M211" s="123">
        <f>VLOOKUP(C211,'Talente &amp; Stuff'!ER:FT,11,FALSE)</f>
        <v>0</v>
      </c>
      <c r="N211" s="88">
        <f>VLOOKUP(C211,'Talente &amp; Stuff'!ER:FT,12,FALSE)</f>
        <v>0</v>
      </c>
      <c r="O211" s="88">
        <f>VLOOKUP(C211,'Talente &amp; Stuff'!ER:FT,13,FALSE)</f>
        <v>0</v>
      </c>
      <c r="P211" s="123">
        <f>VLOOKUP(C211,'Talente &amp; Stuff'!ER:FT,14,FALSE)</f>
        <v>0</v>
      </c>
      <c r="Q211" s="115">
        <f>VLOOKUP(C211,'Talente &amp; Stuff'!ER:FT,15,FALSE)</f>
        <v>0</v>
      </c>
      <c r="R211" s="122">
        <f>VLOOKUP(C211,'Talente &amp; Stuff'!ER:FT,16,FALSE)</f>
        <v>0</v>
      </c>
      <c r="S211" s="123">
        <f>VLOOKUP(C211,'Talente &amp; Stuff'!ER:FT,17,FALSE)</f>
        <v>0</v>
      </c>
      <c r="T211" s="123">
        <f>VLOOKUP(C211,'Talente &amp; Stuff'!ER:FT,18,FALSE)</f>
        <v>0</v>
      </c>
      <c r="U211" s="90">
        <f>VLOOKUP(C211,'Talente &amp; Stuff'!ER:FT,19,FALSE)</f>
        <v>0</v>
      </c>
      <c r="V211" s="88">
        <f>VLOOKUP(C211,'Talente &amp; Stuff'!ER:FT,20,FALSE)</f>
        <v>0</v>
      </c>
      <c r="W211" s="128">
        <f>VLOOKUP(C211,'Talente &amp; Stuff'!ER:FT,21,FALSE)</f>
        <v>0</v>
      </c>
      <c r="X211" s="128">
        <f>VLOOKUP(C211,'Talente &amp; Stuff'!ER:FT,22,FALSE)</f>
        <v>0</v>
      </c>
      <c r="Y211" s="165">
        <f t="shared" si="18"/>
        <v>0</v>
      </c>
      <c r="Z211" s="44">
        <f t="shared" si="19"/>
        <v>0</v>
      </c>
      <c r="AA211" s="159">
        <f>VLOOKUP(C211,'Talente &amp; Stuff'!ER:FT,25,FALSE)</f>
        <v>0</v>
      </c>
      <c r="AB211" s="161">
        <f>VLOOKUP(C211,'Talente &amp; Stuff'!ER:FT,26,FALSE)</f>
        <v>0</v>
      </c>
      <c r="AC211" s="128">
        <f>VLOOKUP(C211,'Talente &amp; Stuff'!ER:FT,27,FALSE)</f>
        <v>0</v>
      </c>
      <c r="AD211" s="159">
        <f>VLOOKUP(C211,'Talente &amp; Stuff'!ER:FT,28,FALSE)</f>
        <v>0</v>
      </c>
      <c r="AE211" s="28"/>
    </row>
    <row r="212" spans="2:31" ht="15" hidden="1" customHeight="1" outlineLevel="1" collapsed="1">
      <c r="B212" s="134" t="s">
        <v>328</v>
      </c>
      <c r="C212" s="83"/>
      <c r="D212" s="84"/>
      <c r="E212" s="84"/>
    </row>
    <row r="213" spans="2:31" ht="15" hidden="1" customHeight="1" outlineLevel="2">
      <c r="B213" s="148">
        <v>1</v>
      </c>
      <c r="C213" s="177" t="str">
        <f>Attribute!C213</f>
        <v>---</v>
      </c>
      <c r="D213" s="85" t="str">
        <f>VLOOKUP(C213,'Talente &amp; Stuff'!ER:FT,2,FALSE)</f>
        <v>--/--/--</v>
      </c>
      <c r="E213" s="126" t="str">
        <f>VLOOKUP(C213,'Talente &amp; Stuff'!ER:FT,3,FALSE)</f>
        <v>-</v>
      </c>
      <c r="F213" s="191">
        <f>VLOOKUP(C213,'Talente &amp; Stuff'!ER:FT,4,FALSE)</f>
        <v>0</v>
      </c>
      <c r="G213" s="118">
        <f>VLOOKUP(C213,'Talente &amp; Stuff'!ER:FT,5,FALSE)</f>
        <v>0</v>
      </c>
      <c r="H213" s="118">
        <f>VLOOKUP(C213,'Talente &amp; Stuff'!ER:FT,6,FALSE)</f>
        <v>0</v>
      </c>
      <c r="I213" s="118">
        <f>VLOOKUP(C213,'Talente &amp; Stuff'!ER:FT,7,FALSE)</f>
        <v>0</v>
      </c>
      <c r="J213" s="118">
        <f>VLOOKUP(C213,'Talente &amp; Stuff'!ER:FT,8,FALSE)</f>
        <v>0</v>
      </c>
      <c r="K213" s="118">
        <f>VLOOKUP(C213,'Talente &amp; Stuff'!ER:FT,9,FALSE)</f>
        <v>0</v>
      </c>
      <c r="L213" s="118">
        <f>VLOOKUP(C213,'Talente &amp; Stuff'!ER:FT,10,FALSE)</f>
        <v>0</v>
      </c>
      <c r="M213" s="92">
        <f>VLOOKUP(C213,'Talente &amp; Stuff'!ER:FT,11,FALSE)</f>
        <v>0</v>
      </c>
      <c r="N213" s="116">
        <f>VLOOKUP(C213,'Talente &amp; Stuff'!ER:FT,12,FALSE)</f>
        <v>0</v>
      </c>
      <c r="O213" s="194">
        <f>VLOOKUP(C213,'Talente &amp; Stuff'!ER:FT,13,FALSE)</f>
        <v>0</v>
      </c>
      <c r="P213" s="192">
        <f>VLOOKUP(C213,'Talente &amp; Stuff'!ER:FT,14,FALSE)</f>
        <v>0</v>
      </c>
      <c r="Q213" s="191">
        <f>VLOOKUP(C213,'Talente &amp; Stuff'!ER:FT,15,FALSE)</f>
        <v>0</v>
      </c>
      <c r="R213" s="170">
        <f>VLOOKUP(C213,'Talente &amp; Stuff'!ER:FT,16,FALSE)</f>
        <v>0</v>
      </c>
      <c r="S213" s="92">
        <f>VLOOKUP(C213,'Talente &amp; Stuff'!ER:FT,17,FALSE)</f>
        <v>0</v>
      </c>
      <c r="T213" s="92">
        <f>VLOOKUP(C213,'Talente &amp; Stuff'!ER:FT,18,FALSE)</f>
        <v>0</v>
      </c>
      <c r="U213" s="193">
        <f>VLOOKUP(C213,'Talente &amp; Stuff'!ER:FT,19,FALSE)</f>
        <v>0</v>
      </c>
      <c r="V213" s="116">
        <f>VLOOKUP(C213,'Talente &amp; Stuff'!ER:FT,20,FALSE)</f>
        <v>0</v>
      </c>
      <c r="W213" s="126">
        <f>VLOOKUP(C213,'Talente &amp; Stuff'!ER:FT,21,FALSE)</f>
        <v>0</v>
      </c>
      <c r="X213" s="126">
        <f>VLOOKUP(C213,'Talente &amp; Stuff'!ER:FT,22,FALSE)</f>
        <v>0</v>
      </c>
      <c r="Y213" s="165">
        <f t="shared" ref="Y213:Y257" si="20">VLOOKUP(C213,Ausgewählte_Zauber_Hexen,168,FALSE)</f>
        <v>0</v>
      </c>
      <c r="Z213" s="44">
        <f t="shared" ref="Z213:Z257" si="21">VLOOKUP(C213,Ausgewählte_Zauber_Hexen,169,FALSE)</f>
        <v>0</v>
      </c>
      <c r="AA213" s="158">
        <f>VLOOKUP(C213,'Talente &amp; Stuff'!ER:FT,25,FALSE)</f>
        <v>0</v>
      </c>
      <c r="AB213" s="91">
        <f>VLOOKUP(C213,'Talente &amp; Stuff'!ER:FT,26,FALSE)</f>
        <v>0</v>
      </c>
      <c r="AC213" s="126">
        <f>VLOOKUP(C213,'Talente &amp; Stuff'!ER:FT,27,FALSE)</f>
        <v>0</v>
      </c>
      <c r="AD213" s="158">
        <f>VLOOKUP(C213,'Talente &amp; Stuff'!ER:FT,28,FALSE)</f>
        <v>0</v>
      </c>
      <c r="AE213" s="28"/>
    </row>
    <row r="214" spans="2:31" ht="15" hidden="1" customHeight="1" outlineLevel="2">
      <c r="B214" s="148">
        <v>2</v>
      </c>
      <c r="C214" s="177" t="str">
        <f>Attribute!C214</f>
        <v>---</v>
      </c>
      <c r="D214" s="125" t="str">
        <f>VLOOKUP(C214,'Talente &amp; Stuff'!ER:FT,2,FALSE)</f>
        <v>--/--/--</v>
      </c>
      <c r="E214" s="127" t="str">
        <f>VLOOKUP(C214,'Talente &amp; Stuff'!ER:FT,3,FALSE)</f>
        <v>-</v>
      </c>
      <c r="F214" s="114">
        <f>VLOOKUP(C214,'Talente &amp; Stuff'!ER:FT,4,FALSE)</f>
        <v>0</v>
      </c>
      <c r="G214" s="113">
        <f>VLOOKUP(C214,'Talente &amp; Stuff'!ER:FT,5,FALSE)</f>
        <v>0</v>
      </c>
      <c r="H214" s="113">
        <f>VLOOKUP(C214,'Talente &amp; Stuff'!ER:FT,6,FALSE)</f>
        <v>0</v>
      </c>
      <c r="I214" s="113">
        <f>VLOOKUP(C214,'Talente &amp; Stuff'!ER:FT,7,FALSE)</f>
        <v>0</v>
      </c>
      <c r="J214" s="113">
        <f>VLOOKUP(C214,'Talente &amp; Stuff'!ER:FT,8,FALSE)</f>
        <v>0</v>
      </c>
      <c r="K214" s="113">
        <f>VLOOKUP(C214,'Talente &amp; Stuff'!ER:FT,9,FALSE)</f>
        <v>0</v>
      </c>
      <c r="L214" s="113">
        <f>VLOOKUP(C214,'Talente &amp; Stuff'!ER:FT,10,FALSE)</f>
        <v>0</v>
      </c>
      <c r="M214" s="119">
        <f>VLOOKUP(C214,'Talente &amp; Stuff'!ER:FT,11,FALSE)</f>
        <v>0</v>
      </c>
      <c r="N214" s="47">
        <f>VLOOKUP(C214,'Talente &amp; Stuff'!ER:FT,12,FALSE)</f>
        <v>0</v>
      </c>
      <c r="O214" s="47">
        <f>VLOOKUP(C214,'Talente &amp; Stuff'!ER:FT,13,FALSE)</f>
        <v>0</v>
      </c>
      <c r="P214" s="119">
        <f>VLOOKUP(C214,'Talente &amp; Stuff'!ER:FT,14,FALSE)</f>
        <v>0</v>
      </c>
      <c r="Q214" s="114">
        <f>VLOOKUP(C214,'Talente &amp; Stuff'!ER:FT,15,FALSE)</f>
        <v>0</v>
      </c>
      <c r="R214" s="113">
        <f>VLOOKUP(C214,'Talente &amp; Stuff'!ER:FT,16,FALSE)</f>
        <v>0</v>
      </c>
      <c r="S214" s="119">
        <f>VLOOKUP(C214,'Talente &amp; Stuff'!ER:FT,17,FALSE)</f>
        <v>0</v>
      </c>
      <c r="T214" s="119">
        <f>VLOOKUP(C214,'Talente &amp; Stuff'!ER:FT,18,FALSE)</f>
        <v>0</v>
      </c>
      <c r="U214" s="89">
        <f>VLOOKUP(C214,'Talente &amp; Stuff'!ER:FT,19,FALSE)</f>
        <v>0</v>
      </c>
      <c r="V214" s="47">
        <f>VLOOKUP(C214,'Talente &amp; Stuff'!ER:FT,20,FALSE)</f>
        <v>0</v>
      </c>
      <c r="W214" s="127">
        <f>VLOOKUP(C214,'Talente &amp; Stuff'!ER:FT,21,FALSE)</f>
        <v>0</v>
      </c>
      <c r="X214" s="127">
        <f>VLOOKUP(C214,'Talente &amp; Stuff'!ER:FT,22,FALSE)</f>
        <v>0</v>
      </c>
      <c r="Y214" s="165">
        <f t="shared" si="20"/>
        <v>0</v>
      </c>
      <c r="Z214" s="44">
        <f t="shared" si="21"/>
        <v>0</v>
      </c>
      <c r="AA214" s="125">
        <f>VLOOKUP(C214,'Talente &amp; Stuff'!ER:FT,25,FALSE)</f>
        <v>0</v>
      </c>
      <c r="AB214" s="160">
        <f>VLOOKUP(C214,'Talente &amp; Stuff'!ER:FT,26,FALSE)</f>
        <v>0</v>
      </c>
      <c r="AC214" s="127">
        <f>VLOOKUP(C214,'Talente &amp; Stuff'!ER:FT,27,FALSE)</f>
        <v>0</v>
      </c>
      <c r="AD214" s="125">
        <f>VLOOKUP(C214,'Talente &amp; Stuff'!ER:FT,28,FALSE)</f>
        <v>0</v>
      </c>
      <c r="AE214" s="28"/>
    </row>
    <row r="215" spans="2:31" ht="15" hidden="1" customHeight="1" outlineLevel="2">
      <c r="B215" s="148">
        <v>3</v>
      </c>
      <c r="C215" s="177" t="str">
        <f>Attribute!C215</f>
        <v>---</v>
      </c>
      <c r="D215" s="125" t="str">
        <f>VLOOKUP(C215,'Talente &amp; Stuff'!ER:FT,2,FALSE)</f>
        <v>--/--/--</v>
      </c>
      <c r="E215" s="127" t="str">
        <f>VLOOKUP(C215,'Talente &amp; Stuff'!ER:FT,3,FALSE)</f>
        <v>-</v>
      </c>
      <c r="F215" s="114">
        <f>VLOOKUP(C215,'Talente &amp; Stuff'!ER:FT,4,FALSE)</f>
        <v>0</v>
      </c>
      <c r="G215" s="113">
        <f>VLOOKUP(C215,'Talente &amp; Stuff'!ER:FT,5,FALSE)</f>
        <v>0</v>
      </c>
      <c r="H215" s="113">
        <f>VLOOKUP(C215,'Talente &amp; Stuff'!ER:FT,6,FALSE)</f>
        <v>0</v>
      </c>
      <c r="I215" s="113">
        <f>VLOOKUP(C215,'Talente &amp; Stuff'!ER:FT,7,FALSE)</f>
        <v>0</v>
      </c>
      <c r="J215" s="113">
        <f>VLOOKUP(C215,'Talente &amp; Stuff'!ER:FT,8,FALSE)</f>
        <v>0</v>
      </c>
      <c r="K215" s="113">
        <f>VLOOKUP(C215,'Talente &amp; Stuff'!ER:FT,9,FALSE)</f>
        <v>0</v>
      </c>
      <c r="L215" s="113">
        <f>VLOOKUP(C215,'Talente &amp; Stuff'!ER:FT,10,FALSE)</f>
        <v>0</v>
      </c>
      <c r="M215" s="119">
        <f>VLOOKUP(C215,'Talente &amp; Stuff'!ER:FT,11,FALSE)</f>
        <v>0</v>
      </c>
      <c r="N215" s="47">
        <f>VLOOKUP(C215,'Talente &amp; Stuff'!ER:FT,12,FALSE)</f>
        <v>0</v>
      </c>
      <c r="O215" s="47">
        <f>VLOOKUP(C215,'Talente &amp; Stuff'!ER:FT,13,FALSE)</f>
        <v>0</v>
      </c>
      <c r="P215" s="119">
        <f>VLOOKUP(C215,'Talente &amp; Stuff'!ER:FT,14,FALSE)</f>
        <v>0</v>
      </c>
      <c r="Q215" s="114">
        <f>VLOOKUP(C215,'Talente &amp; Stuff'!ER:FT,15,FALSE)</f>
        <v>0</v>
      </c>
      <c r="R215" s="113">
        <f>VLOOKUP(C215,'Talente &amp; Stuff'!ER:FT,16,FALSE)</f>
        <v>0</v>
      </c>
      <c r="S215" s="119">
        <f>VLOOKUP(C215,'Talente &amp; Stuff'!ER:FT,17,FALSE)</f>
        <v>0</v>
      </c>
      <c r="T215" s="119">
        <f>VLOOKUP(C215,'Talente &amp; Stuff'!ER:FT,18,FALSE)</f>
        <v>0</v>
      </c>
      <c r="U215" s="89">
        <f>VLOOKUP(C215,'Talente &amp; Stuff'!ER:FT,19,FALSE)</f>
        <v>0</v>
      </c>
      <c r="V215" s="47">
        <f>VLOOKUP(C215,'Talente &amp; Stuff'!ER:FT,20,FALSE)</f>
        <v>0</v>
      </c>
      <c r="W215" s="127">
        <f>VLOOKUP(C215,'Talente &amp; Stuff'!ER:FT,21,FALSE)</f>
        <v>0</v>
      </c>
      <c r="X215" s="127">
        <f>VLOOKUP(C215,'Talente &amp; Stuff'!ER:FT,22,FALSE)</f>
        <v>0</v>
      </c>
      <c r="Y215" s="165">
        <f t="shared" si="20"/>
        <v>0</v>
      </c>
      <c r="Z215" s="44">
        <f t="shared" si="21"/>
        <v>0</v>
      </c>
      <c r="AA215" s="125">
        <f>VLOOKUP(C215,'Talente &amp; Stuff'!ER:FT,25,FALSE)</f>
        <v>0</v>
      </c>
      <c r="AB215" s="160">
        <f>VLOOKUP(C215,'Talente &amp; Stuff'!ER:FT,26,FALSE)</f>
        <v>0</v>
      </c>
      <c r="AC215" s="127">
        <f>VLOOKUP(C215,'Talente &amp; Stuff'!ER:FT,27,FALSE)</f>
        <v>0</v>
      </c>
      <c r="AD215" s="125">
        <f>VLOOKUP(C215,'Talente &amp; Stuff'!ER:FT,28,FALSE)</f>
        <v>0</v>
      </c>
      <c r="AE215" s="28"/>
    </row>
    <row r="216" spans="2:31" ht="15" hidden="1" customHeight="1" outlineLevel="2">
      <c r="B216" s="148">
        <v>4</v>
      </c>
      <c r="C216" s="177" t="str">
        <f>Attribute!C216</f>
        <v>---</v>
      </c>
      <c r="D216" s="86" t="str">
        <f>VLOOKUP(C216,'Talente &amp; Stuff'!ER:FT,2,FALSE)</f>
        <v>--/--/--</v>
      </c>
      <c r="E216" s="167" t="str">
        <f>VLOOKUP(C216,'Talente &amp; Stuff'!ER:FT,3,FALSE)</f>
        <v>-</v>
      </c>
      <c r="F216" s="120">
        <f>VLOOKUP(C216,'Talente &amp; Stuff'!ER:FT,4,FALSE)</f>
        <v>0</v>
      </c>
      <c r="G216" s="117">
        <f>VLOOKUP(C216,'Talente &amp; Stuff'!ER:FT,5,FALSE)</f>
        <v>0</v>
      </c>
      <c r="H216" s="117">
        <f>VLOOKUP(C216,'Talente &amp; Stuff'!ER:FT,6,FALSE)</f>
        <v>0</v>
      </c>
      <c r="I216" s="117">
        <f>VLOOKUP(C216,'Talente &amp; Stuff'!ER:FT,7,FALSE)</f>
        <v>0</v>
      </c>
      <c r="J216" s="117">
        <f>VLOOKUP(C216,'Talente &amp; Stuff'!ER:FT,8,FALSE)</f>
        <v>0</v>
      </c>
      <c r="K216" s="117">
        <f>VLOOKUP(C216,'Talente &amp; Stuff'!ER:FT,9,FALSE)</f>
        <v>0</v>
      </c>
      <c r="L216" s="117">
        <f>VLOOKUP(C216,'Talente &amp; Stuff'!ER:FT,10,FALSE)</f>
        <v>0</v>
      </c>
      <c r="M216" s="121">
        <f>VLOOKUP(C216,'Talente &amp; Stuff'!ER:FT,11,FALSE)</f>
        <v>0</v>
      </c>
      <c r="N216" s="47">
        <f>VLOOKUP(C216,'Talente &amp; Stuff'!ER:FT,12,FALSE)</f>
        <v>0</v>
      </c>
      <c r="O216" s="3">
        <f>VLOOKUP(C216,'Talente &amp; Stuff'!ER:FT,13,FALSE)</f>
        <v>0</v>
      </c>
      <c r="P216" s="174">
        <f>VLOOKUP(C216,'Talente &amp; Stuff'!ER:FT,14,FALSE)</f>
        <v>0</v>
      </c>
      <c r="Q216" s="114">
        <f>VLOOKUP(C216,'Talente &amp; Stuff'!ER:FT,15,FALSE)</f>
        <v>0</v>
      </c>
      <c r="R216" s="117">
        <f>VLOOKUP(C216,'Talente &amp; Stuff'!ER:FT,16,FALSE)</f>
        <v>0</v>
      </c>
      <c r="S216" s="119">
        <f>VLOOKUP(C216,'Talente &amp; Stuff'!ER:FT,17,FALSE)</f>
        <v>0</v>
      </c>
      <c r="T216" s="119">
        <f>VLOOKUP(C216,'Talente &amp; Stuff'!ER:FT,18,FALSE)</f>
        <v>0</v>
      </c>
      <c r="U216" s="89">
        <f>VLOOKUP(C216,'Talente &amp; Stuff'!ER:FT,19,FALSE)</f>
        <v>0</v>
      </c>
      <c r="V216" s="47">
        <f>VLOOKUP(C216,'Talente &amp; Stuff'!ER:FT,20,FALSE)</f>
        <v>0</v>
      </c>
      <c r="W216" s="127">
        <f>VLOOKUP(C216,'Talente &amp; Stuff'!ER:FT,21,FALSE)</f>
        <v>0</v>
      </c>
      <c r="X216" s="127">
        <f>VLOOKUP(C216,'Talente &amp; Stuff'!ER:FT,22,FALSE)</f>
        <v>0</v>
      </c>
      <c r="Y216" s="165">
        <f t="shared" si="20"/>
        <v>0</v>
      </c>
      <c r="Z216" s="44">
        <f t="shared" si="21"/>
        <v>0</v>
      </c>
      <c r="AA216" s="125">
        <f>VLOOKUP(C216,'Talente &amp; Stuff'!ER:FT,25,FALSE)</f>
        <v>0</v>
      </c>
      <c r="AB216" s="160">
        <f>VLOOKUP(C216,'Talente &amp; Stuff'!ER:FT,26,FALSE)</f>
        <v>0</v>
      </c>
      <c r="AC216" s="127">
        <f>VLOOKUP(C216,'Talente &amp; Stuff'!ER:FT,27,FALSE)</f>
        <v>0</v>
      </c>
      <c r="AD216" s="125">
        <f>VLOOKUP(C216,'Talente &amp; Stuff'!ER:FT,28,FALSE)</f>
        <v>0</v>
      </c>
      <c r="AE216" s="28"/>
    </row>
    <row r="217" spans="2:31" ht="15" hidden="1" customHeight="1" outlineLevel="2">
      <c r="B217" s="148">
        <v>5</v>
      </c>
      <c r="C217" s="177" t="str">
        <f>Attribute!C217</f>
        <v>---</v>
      </c>
      <c r="D217" s="86" t="str">
        <f>VLOOKUP(C217,'Talente &amp; Stuff'!ER:FT,2,FALSE)</f>
        <v>--/--/--</v>
      </c>
      <c r="E217" s="167" t="str">
        <f>VLOOKUP(C217,'Talente &amp; Stuff'!ER:FT,3,FALSE)</f>
        <v>-</v>
      </c>
      <c r="F217" s="120">
        <f>VLOOKUP(C217,'Talente &amp; Stuff'!ER:FT,4,FALSE)</f>
        <v>0</v>
      </c>
      <c r="G217" s="117">
        <f>VLOOKUP(C217,'Talente &amp; Stuff'!ER:FT,5,FALSE)</f>
        <v>0</v>
      </c>
      <c r="H217" s="117">
        <f>VLOOKUP(C217,'Talente &amp; Stuff'!ER:FT,6,FALSE)</f>
        <v>0</v>
      </c>
      <c r="I217" s="117">
        <f>VLOOKUP(C217,'Talente &amp; Stuff'!ER:FT,7,FALSE)</f>
        <v>0</v>
      </c>
      <c r="J217" s="117">
        <f>VLOOKUP(C217,'Talente &amp; Stuff'!ER:FT,8,FALSE)</f>
        <v>0</v>
      </c>
      <c r="K217" s="117">
        <f>VLOOKUP(C217,'Talente &amp; Stuff'!ER:FT,9,FALSE)</f>
        <v>0</v>
      </c>
      <c r="L217" s="117">
        <f>VLOOKUP(C217,'Talente &amp; Stuff'!ER:FT,10,FALSE)</f>
        <v>0</v>
      </c>
      <c r="M217" s="121">
        <f>VLOOKUP(C217,'Talente &amp; Stuff'!ER:FT,11,FALSE)</f>
        <v>0</v>
      </c>
      <c r="N217" s="47">
        <f>VLOOKUP(C217,'Talente &amp; Stuff'!ER:FT,12,FALSE)</f>
        <v>0</v>
      </c>
      <c r="O217" s="3">
        <f>VLOOKUP(C217,'Talente &amp; Stuff'!ER:FT,13,FALSE)</f>
        <v>0</v>
      </c>
      <c r="P217" s="174">
        <f>VLOOKUP(C217,'Talente &amp; Stuff'!ER:FT,14,FALSE)</f>
        <v>0</v>
      </c>
      <c r="Q217" s="114">
        <f>VLOOKUP(C217,'Talente &amp; Stuff'!ER:FT,15,FALSE)</f>
        <v>0</v>
      </c>
      <c r="R217" s="117">
        <f>VLOOKUP(C217,'Talente &amp; Stuff'!ER:FT,16,FALSE)</f>
        <v>0</v>
      </c>
      <c r="S217" s="119">
        <f>VLOOKUP(C217,'Talente &amp; Stuff'!ER:FT,17,FALSE)</f>
        <v>0</v>
      </c>
      <c r="T217" s="119">
        <f>VLOOKUP(C217,'Talente &amp; Stuff'!ER:FT,18,FALSE)</f>
        <v>0</v>
      </c>
      <c r="U217" s="89">
        <f>VLOOKUP(C217,'Talente &amp; Stuff'!ER:FT,19,FALSE)</f>
        <v>0</v>
      </c>
      <c r="V217" s="47">
        <f>VLOOKUP(C217,'Talente &amp; Stuff'!ER:FT,20,FALSE)</f>
        <v>0</v>
      </c>
      <c r="W217" s="127">
        <f>VLOOKUP(C217,'Talente &amp; Stuff'!ER:FT,21,FALSE)</f>
        <v>0</v>
      </c>
      <c r="X217" s="127">
        <f>VLOOKUP(C217,'Talente &amp; Stuff'!ER:FT,22,FALSE)</f>
        <v>0</v>
      </c>
      <c r="Y217" s="165">
        <f t="shared" si="20"/>
        <v>0</v>
      </c>
      <c r="Z217" s="44">
        <f t="shared" si="21"/>
        <v>0</v>
      </c>
      <c r="AA217" s="125">
        <f>VLOOKUP(C217,'Talente &amp; Stuff'!ER:FT,25,FALSE)</f>
        <v>0</v>
      </c>
      <c r="AB217" s="160">
        <f>VLOOKUP(C217,'Talente &amp; Stuff'!ER:FT,26,FALSE)</f>
        <v>0</v>
      </c>
      <c r="AC217" s="127">
        <f>VLOOKUP(C217,'Talente &amp; Stuff'!ER:FT,27,FALSE)</f>
        <v>0</v>
      </c>
      <c r="AD217" s="125">
        <f>VLOOKUP(C217,'Talente &amp; Stuff'!ER:FT,28,FALSE)</f>
        <v>0</v>
      </c>
      <c r="AE217" s="28"/>
    </row>
    <row r="218" spans="2:31" ht="15" hidden="1" customHeight="1" outlineLevel="2">
      <c r="B218" s="148">
        <v>6</v>
      </c>
      <c r="C218" s="177" t="str">
        <f>Attribute!C218</f>
        <v>---</v>
      </c>
      <c r="D218" s="125" t="str">
        <f>VLOOKUP(C218,'Talente &amp; Stuff'!ER:FT,2,FALSE)</f>
        <v>--/--/--</v>
      </c>
      <c r="E218" s="127" t="str">
        <f>VLOOKUP(C218,'Talente &amp; Stuff'!ER:FT,3,FALSE)</f>
        <v>-</v>
      </c>
      <c r="F218" s="114">
        <f>VLOOKUP(C218,'Talente &amp; Stuff'!ER:FT,4,FALSE)</f>
        <v>0</v>
      </c>
      <c r="G218" s="113">
        <f>VLOOKUP(C218,'Talente &amp; Stuff'!ER:FT,5,FALSE)</f>
        <v>0</v>
      </c>
      <c r="H218" s="113">
        <f>VLOOKUP(C218,'Talente &amp; Stuff'!ER:FT,6,FALSE)</f>
        <v>0</v>
      </c>
      <c r="I218" s="113">
        <f>VLOOKUP(C218,'Talente &amp; Stuff'!ER:FT,7,FALSE)</f>
        <v>0</v>
      </c>
      <c r="J218" s="113">
        <f>VLOOKUP(C218,'Talente &amp; Stuff'!ER:FT,8,FALSE)</f>
        <v>0</v>
      </c>
      <c r="K218" s="113">
        <f>VLOOKUP(C218,'Talente &amp; Stuff'!ER:FT,9,FALSE)</f>
        <v>0</v>
      </c>
      <c r="L218" s="113">
        <f>VLOOKUP(C218,'Talente &amp; Stuff'!ER:FT,10,FALSE)</f>
        <v>0</v>
      </c>
      <c r="M218" s="119">
        <f>VLOOKUP(C218,'Talente &amp; Stuff'!ER:FT,11,FALSE)</f>
        <v>0</v>
      </c>
      <c r="N218" s="47">
        <f>VLOOKUP(C218,'Talente &amp; Stuff'!ER:FT,12,FALSE)</f>
        <v>0</v>
      </c>
      <c r="O218" s="47">
        <f>VLOOKUP(C218,'Talente &amp; Stuff'!ER:FT,13,FALSE)</f>
        <v>0</v>
      </c>
      <c r="P218" s="119">
        <f>VLOOKUP(C218,'Talente &amp; Stuff'!ER:FT,14,FALSE)</f>
        <v>0</v>
      </c>
      <c r="Q218" s="114">
        <f>VLOOKUP(C218,'Talente &amp; Stuff'!ER:FT,15,FALSE)</f>
        <v>0</v>
      </c>
      <c r="R218" s="113">
        <f>VLOOKUP(C218,'Talente &amp; Stuff'!ER:FT,16,FALSE)</f>
        <v>0</v>
      </c>
      <c r="S218" s="119">
        <f>VLOOKUP(C218,'Talente &amp; Stuff'!ER:FT,17,FALSE)</f>
        <v>0</v>
      </c>
      <c r="T218" s="119">
        <f>VLOOKUP(C218,'Talente &amp; Stuff'!ER:FT,18,FALSE)</f>
        <v>0</v>
      </c>
      <c r="U218" s="89">
        <f>VLOOKUP(C218,'Talente &amp; Stuff'!ER:FT,19,FALSE)</f>
        <v>0</v>
      </c>
      <c r="V218" s="47">
        <f>VLOOKUP(C218,'Talente &amp; Stuff'!ER:FT,20,FALSE)</f>
        <v>0</v>
      </c>
      <c r="W218" s="127">
        <f>VLOOKUP(C218,'Talente &amp; Stuff'!ER:FT,21,FALSE)</f>
        <v>0</v>
      </c>
      <c r="X218" s="127">
        <f>VLOOKUP(C218,'Talente &amp; Stuff'!ER:FT,22,FALSE)</f>
        <v>0</v>
      </c>
      <c r="Y218" s="165">
        <f t="shared" si="20"/>
        <v>0</v>
      </c>
      <c r="Z218" s="44">
        <f t="shared" si="21"/>
        <v>0</v>
      </c>
      <c r="AA218" s="125">
        <f>VLOOKUP(C218,'Talente &amp; Stuff'!ER:FT,25,FALSE)</f>
        <v>0</v>
      </c>
      <c r="AB218" s="160">
        <f>VLOOKUP(C218,'Talente &amp; Stuff'!ER:FT,26,FALSE)</f>
        <v>0</v>
      </c>
      <c r="AC218" s="127">
        <f>VLOOKUP(C218,'Talente &amp; Stuff'!ER:FT,27,FALSE)</f>
        <v>0</v>
      </c>
      <c r="AD218" s="125">
        <f>VLOOKUP(C218,'Talente &amp; Stuff'!ER:FT,28,FALSE)</f>
        <v>0</v>
      </c>
      <c r="AE218" s="28"/>
    </row>
    <row r="219" spans="2:31" ht="15" hidden="1" customHeight="1" outlineLevel="2">
      <c r="B219" s="148">
        <v>7</v>
      </c>
      <c r="C219" s="177" t="str">
        <f>Attribute!C219</f>
        <v>---</v>
      </c>
      <c r="D219" s="125" t="str">
        <f>VLOOKUP(C219,'Talente &amp; Stuff'!ER:FT,2,FALSE)</f>
        <v>--/--/--</v>
      </c>
      <c r="E219" s="127" t="str">
        <f>VLOOKUP(C219,'Talente &amp; Stuff'!ER:FT,3,FALSE)</f>
        <v>-</v>
      </c>
      <c r="F219" s="114">
        <f>VLOOKUP(C219,'Talente &amp; Stuff'!ER:FT,4,FALSE)</f>
        <v>0</v>
      </c>
      <c r="G219" s="113">
        <f>VLOOKUP(C219,'Talente &amp; Stuff'!ER:FT,5,FALSE)</f>
        <v>0</v>
      </c>
      <c r="H219" s="113">
        <f>VLOOKUP(C219,'Talente &amp; Stuff'!ER:FT,6,FALSE)</f>
        <v>0</v>
      </c>
      <c r="I219" s="113">
        <f>VLOOKUP(C219,'Talente &amp; Stuff'!ER:FT,7,FALSE)</f>
        <v>0</v>
      </c>
      <c r="J219" s="113">
        <f>VLOOKUP(C219,'Talente &amp; Stuff'!ER:FT,8,FALSE)</f>
        <v>0</v>
      </c>
      <c r="K219" s="113">
        <f>VLOOKUP(C219,'Talente &amp; Stuff'!ER:FT,9,FALSE)</f>
        <v>0</v>
      </c>
      <c r="L219" s="113">
        <f>VLOOKUP(C219,'Talente &amp; Stuff'!ER:FT,10,FALSE)</f>
        <v>0</v>
      </c>
      <c r="M219" s="119">
        <f>VLOOKUP(C219,'Talente &amp; Stuff'!ER:FT,11,FALSE)</f>
        <v>0</v>
      </c>
      <c r="N219" s="47">
        <f>VLOOKUP(C219,'Talente &amp; Stuff'!ER:FT,12,FALSE)</f>
        <v>0</v>
      </c>
      <c r="O219" s="47">
        <f>VLOOKUP(C219,'Talente &amp; Stuff'!ER:FT,13,FALSE)</f>
        <v>0</v>
      </c>
      <c r="P219" s="119">
        <f>VLOOKUP(C219,'Talente &amp; Stuff'!ER:FT,14,FALSE)</f>
        <v>0</v>
      </c>
      <c r="Q219" s="114">
        <f>VLOOKUP(C219,'Talente &amp; Stuff'!ER:FT,15,FALSE)</f>
        <v>0</v>
      </c>
      <c r="R219" s="113">
        <f>VLOOKUP(C219,'Talente &amp; Stuff'!ER:FT,16,FALSE)</f>
        <v>0</v>
      </c>
      <c r="S219" s="119">
        <f>VLOOKUP(C219,'Talente &amp; Stuff'!ER:FT,17,FALSE)</f>
        <v>0</v>
      </c>
      <c r="T219" s="119">
        <f>VLOOKUP(C219,'Talente &amp; Stuff'!ER:FT,18,FALSE)</f>
        <v>0</v>
      </c>
      <c r="U219" s="89">
        <f>VLOOKUP(C219,'Talente &amp; Stuff'!ER:FT,19,FALSE)</f>
        <v>0</v>
      </c>
      <c r="V219" s="47">
        <f>VLOOKUP(C219,'Talente &amp; Stuff'!ER:FT,20,FALSE)</f>
        <v>0</v>
      </c>
      <c r="W219" s="127">
        <f>VLOOKUP(C219,'Talente &amp; Stuff'!ER:FT,21,FALSE)</f>
        <v>0</v>
      </c>
      <c r="X219" s="127">
        <f>VLOOKUP(C219,'Talente &amp; Stuff'!ER:FT,22,FALSE)</f>
        <v>0</v>
      </c>
      <c r="Y219" s="165">
        <f t="shared" si="20"/>
        <v>0</v>
      </c>
      <c r="Z219" s="44">
        <f t="shared" si="21"/>
        <v>0</v>
      </c>
      <c r="AA219" s="125">
        <f>VLOOKUP(C219,'Talente &amp; Stuff'!ER:FT,25,FALSE)</f>
        <v>0</v>
      </c>
      <c r="AB219" s="160">
        <f>VLOOKUP(C219,'Talente &amp; Stuff'!ER:FT,26,FALSE)</f>
        <v>0</v>
      </c>
      <c r="AC219" s="127">
        <f>VLOOKUP(C219,'Talente &amp; Stuff'!ER:FT,27,FALSE)</f>
        <v>0</v>
      </c>
      <c r="AD219" s="125">
        <f>VLOOKUP(C219,'Talente &amp; Stuff'!ER:FT,28,FALSE)</f>
        <v>0</v>
      </c>
      <c r="AE219" s="28"/>
    </row>
    <row r="220" spans="2:31" ht="15" hidden="1" customHeight="1" outlineLevel="2">
      <c r="B220" s="148">
        <v>8</v>
      </c>
      <c r="C220" s="177" t="str">
        <f>Attribute!C220</f>
        <v>---</v>
      </c>
      <c r="D220" s="125" t="str">
        <f>VLOOKUP(C220,'Talente &amp; Stuff'!ER:FT,2,FALSE)</f>
        <v>--/--/--</v>
      </c>
      <c r="E220" s="127" t="str">
        <f>VLOOKUP(C220,'Talente &amp; Stuff'!ER:FT,3,FALSE)</f>
        <v>-</v>
      </c>
      <c r="F220" s="114">
        <f>VLOOKUP(C220,'Talente &amp; Stuff'!ER:FT,4,FALSE)</f>
        <v>0</v>
      </c>
      <c r="G220" s="113">
        <f>VLOOKUP(C220,'Talente &amp; Stuff'!ER:FT,5,FALSE)</f>
        <v>0</v>
      </c>
      <c r="H220" s="113">
        <f>VLOOKUP(C220,'Talente &amp; Stuff'!ER:FT,6,FALSE)</f>
        <v>0</v>
      </c>
      <c r="I220" s="113">
        <f>VLOOKUP(C220,'Talente &amp; Stuff'!ER:FT,7,FALSE)</f>
        <v>0</v>
      </c>
      <c r="J220" s="113">
        <f>VLOOKUP(C220,'Talente &amp; Stuff'!ER:FT,8,FALSE)</f>
        <v>0</v>
      </c>
      <c r="K220" s="113">
        <f>VLOOKUP(C220,'Talente &amp; Stuff'!ER:FT,9,FALSE)</f>
        <v>0</v>
      </c>
      <c r="L220" s="113">
        <f>VLOOKUP(C220,'Talente &amp; Stuff'!ER:FT,10,FALSE)</f>
        <v>0</v>
      </c>
      <c r="M220" s="119">
        <f>VLOOKUP(C220,'Talente &amp; Stuff'!ER:FT,11,FALSE)</f>
        <v>0</v>
      </c>
      <c r="N220" s="47">
        <f>VLOOKUP(C220,'Talente &amp; Stuff'!ER:FT,12,FALSE)</f>
        <v>0</v>
      </c>
      <c r="O220" s="47">
        <f>VLOOKUP(C220,'Talente &amp; Stuff'!ER:FT,13,FALSE)</f>
        <v>0</v>
      </c>
      <c r="P220" s="119">
        <f>VLOOKUP(C220,'Talente &amp; Stuff'!ER:FT,14,FALSE)</f>
        <v>0</v>
      </c>
      <c r="Q220" s="114">
        <f>VLOOKUP(C220,'Talente &amp; Stuff'!ER:FT,15,FALSE)</f>
        <v>0</v>
      </c>
      <c r="R220" s="113">
        <f>VLOOKUP(C220,'Talente &amp; Stuff'!ER:FT,16,FALSE)</f>
        <v>0</v>
      </c>
      <c r="S220" s="119">
        <f>VLOOKUP(C220,'Talente &amp; Stuff'!ER:FT,17,FALSE)</f>
        <v>0</v>
      </c>
      <c r="T220" s="119">
        <f>VLOOKUP(C220,'Talente &amp; Stuff'!ER:FT,18,FALSE)</f>
        <v>0</v>
      </c>
      <c r="U220" s="89">
        <f>VLOOKUP(C220,'Talente &amp; Stuff'!ER:FT,19,FALSE)</f>
        <v>0</v>
      </c>
      <c r="V220" s="47">
        <f>VLOOKUP(C220,'Talente &amp; Stuff'!ER:FT,20,FALSE)</f>
        <v>0</v>
      </c>
      <c r="W220" s="127">
        <f>VLOOKUP(C220,'Talente &amp; Stuff'!ER:FT,21,FALSE)</f>
        <v>0</v>
      </c>
      <c r="X220" s="127">
        <f>VLOOKUP(C220,'Talente &amp; Stuff'!ER:FT,22,FALSE)</f>
        <v>0</v>
      </c>
      <c r="Y220" s="165">
        <f t="shared" si="20"/>
        <v>0</v>
      </c>
      <c r="Z220" s="44">
        <f t="shared" si="21"/>
        <v>0</v>
      </c>
      <c r="AA220" s="125">
        <f>VLOOKUP(C220,'Talente &amp; Stuff'!ER:FT,25,FALSE)</f>
        <v>0</v>
      </c>
      <c r="AB220" s="160">
        <f>VLOOKUP(C220,'Talente &amp; Stuff'!ER:FT,26,FALSE)</f>
        <v>0</v>
      </c>
      <c r="AC220" s="127">
        <f>VLOOKUP(C220,'Talente &amp; Stuff'!ER:FT,27,FALSE)</f>
        <v>0</v>
      </c>
      <c r="AD220" s="125">
        <f>VLOOKUP(C220,'Talente &amp; Stuff'!ER:FT,28,FALSE)</f>
        <v>0</v>
      </c>
      <c r="AE220" s="28"/>
    </row>
    <row r="221" spans="2:31" ht="15" hidden="1" customHeight="1" outlineLevel="2">
      <c r="B221" s="148">
        <v>9</v>
      </c>
      <c r="C221" s="177" t="str">
        <f>Attribute!C221</f>
        <v>---</v>
      </c>
      <c r="D221" s="125" t="str">
        <f>VLOOKUP(C221,'Talente &amp; Stuff'!ER:FT,2,FALSE)</f>
        <v>--/--/--</v>
      </c>
      <c r="E221" s="127" t="str">
        <f>VLOOKUP(C221,'Talente &amp; Stuff'!ER:FT,3,FALSE)</f>
        <v>-</v>
      </c>
      <c r="F221" s="114">
        <f>VLOOKUP(C221,'Talente &amp; Stuff'!ER:FT,4,FALSE)</f>
        <v>0</v>
      </c>
      <c r="G221" s="113">
        <f>VLOOKUP(C221,'Talente &amp; Stuff'!ER:FT,5,FALSE)</f>
        <v>0</v>
      </c>
      <c r="H221" s="113">
        <f>VLOOKUP(C221,'Talente &amp; Stuff'!ER:FT,6,FALSE)</f>
        <v>0</v>
      </c>
      <c r="I221" s="113">
        <f>VLOOKUP(C221,'Talente &amp; Stuff'!ER:FT,7,FALSE)</f>
        <v>0</v>
      </c>
      <c r="J221" s="113">
        <f>VLOOKUP(C221,'Talente &amp; Stuff'!ER:FT,8,FALSE)</f>
        <v>0</v>
      </c>
      <c r="K221" s="113">
        <f>VLOOKUP(C221,'Talente &amp; Stuff'!ER:FT,9,FALSE)</f>
        <v>0</v>
      </c>
      <c r="L221" s="113">
        <f>VLOOKUP(C221,'Talente &amp; Stuff'!ER:FT,10,FALSE)</f>
        <v>0</v>
      </c>
      <c r="M221" s="119">
        <f>VLOOKUP(C221,'Talente &amp; Stuff'!ER:FT,11,FALSE)</f>
        <v>0</v>
      </c>
      <c r="N221" s="47">
        <f>VLOOKUP(C221,'Talente &amp; Stuff'!ER:FT,12,FALSE)</f>
        <v>0</v>
      </c>
      <c r="O221" s="47">
        <f>VLOOKUP(C221,'Talente &amp; Stuff'!ER:FT,13,FALSE)</f>
        <v>0</v>
      </c>
      <c r="P221" s="119">
        <f>VLOOKUP(C221,'Talente &amp; Stuff'!ER:FT,14,FALSE)</f>
        <v>0</v>
      </c>
      <c r="Q221" s="114">
        <f>VLOOKUP(C221,'Talente &amp; Stuff'!ER:FT,15,FALSE)</f>
        <v>0</v>
      </c>
      <c r="R221" s="113">
        <f>VLOOKUP(C221,'Talente &amp; Stuff'!ER:FT,16,FALSE)</f>
        <v>0</v>
      </c>
      <c r="S221" s="119">
        <f>VLOOKUP(C221,'Talente &amp; Stuff'!ER:FT,17,FALSE)</f>
        <v>0</v>
      </c>
      <c r="T221" s="119">
        <f>VLOOKUP(C221,'Talente &amp; Stuff'!ER:FT,18,FALSE)</f>
        <v>0</v>
      </c>
      <c r="U221" s="89">
        <f>VLOOKUP(C221,'Talente &amp; Stuff'!ER:FT,19,FALSE)</f>
        <v>0</v>
      </c>
      <c r="V221" s="47">
        <f>VLOOKUP(C221,'Talente &amp; Stuff'!ER:FT,20,FALSE)</f>
        <v>0</v>
      </c>
      <c r="W221" s="127">
        <f>VLOOKUP(C221,'Talente &amp; Stuff'!ER:FT,21,FALSE)</f>
        <v>0</v>
      </c>
      <c r="X221" s="127">
        <f>VLOOKUP(C221,'Talente &amp; Stuff'!ER:FT,22,FALSE)</f>
        <v>0</v>
      </c>
      <c r="Y221" s="165">
        <f t="shared" si="20"/>
        <v>0</v>
      </c>
      <c r="Z221" s="44">
        <f t="shared" si="21"/>
        <v>0</v>
      </c>
      <c r="AA221" s="125">
        <f>VLOOKUP(C221,'Talente &amp; Stuff'!ER:FT,25,FALSE)</f>
        <v>0</v>
      </c>
      <c r="AB221" s="160">
        <f>VLOOKUP(C221,'Talente &amp; Stuff'!ER:FT,26,FALSE)</f>
        <v>0</v>
      </c>
      <c r="AC221" s="127">
        <f>VLOOKUP(C221,'Talente &amp; Stuff'!ER:FT,27,FALSE)</f>
        <v>0</v>
      </c>
      <c r="AD221" s="125">
        <f>VLOOKUP(C221,'Talente &amp; Stuff'!ER:FT,28,FALSE)</f>
        <v>0</v>
      </c>
      <c r="AE221" s="28"/>
    </row>
    <row r="222" spans="2:31" ht="15" hidden="1" customHeight="1" outlineLevel="2">
      <c r="B222" s="148">
        <v>10</v>
      </c>
      <c r="C222" s="177" t="str">
        <f>Attribute!C222</f>
        <v>---</v>
      </c>
      <c r="D222" s="86" t="str">
        <f>VLOOKUP(C222,'Talente &amp; Stuff'!ER:FT,2,FALSE)</f>
        <v>--/--/--</v>
      </c>
      <c r="E222" s="167" t="str">
        <f>VLOOKUP(C222,'Talente &amp; Stuff'!ER:FT,3,FALSE)</f>
        <v>-</v>
      </c>
      <c r="F222" s="120">
        <f>VLOOKUP(C222,'Talente &amp; Stuff'!ER:FT,4,FALSE)</f>
        <v>0</v>
      </c>
      <c r="G222" s="117">
        <f>VLOOKUP(C222,'Talente &amp; Stuff'!ER:FT,5,FALSE)</f>
        <v>0</v>
      </c>
      <c r="H222" s="117">
        <f>VLOOKUP(C222,'Talente &amp; Stuff'!ER:FT,6,FALSE)</f>
        <v>0</v>
      </c>
      <c r="I222" s="117">
        <f>VLOOKUP(C222,'Talente &amp; Stuff'!ER:FT,7,FALSE)</f>
        <v>0</v>
      </c>
      <c r="J222" s="117">
        <f>VLOOKUP(C222,'Talente &amp; Stuff'!ER:FT,8,FALSE)</f>
        <v>0</v>
      </c>
      <c r="K222" s="117">
        <f>VLOOKUP(C222,'Talente &amp; Stuff'!ER:FT,9,FALSE)</f>
        <v>0</v>
      </c>
      <c r="L222" s="117">
        <f>VLOOKUP(C222,'Talente &amp; Stuff'!ER:FT,10,FALSE)</f>
        <v>0</v>
      </c>
      <c r="M222" s="121">
        <f>VLOOKUP(C222,'Talente &amp; Stuff'!ER:FT,11,FALSE)</f>
        <v>0</v>
      </c>
      <c r="N222" s="47">
        <f>VLOOKUP(C222,'Talente &amp; Stuff'!ER:FT,12,FALSE)</f>
        <v>0</v>
      </c>
      <c r="O222" s="3">
        <f>VLOOKUP(C222,'Talente &amp; Stuff'!ER:FT,13,FALSE)</f>
        <v>0</v>
      </c>
      <c r="P222" s="174">
        <f>VLOOKUP(C222,'Talente &amp; Stuff'!ER:FT,14,FALSE)</f>
        <v>0</v>
      </c>
      <c r="Q222" s="114">
        <f>VLOOKUP(C222,'Talente &amp; Stuff'!ER:FT,15,FALSE)</f>
        <v>0</v>
      </c>
      <c r="R222" s="117">
        <f>VLOOKUP(C222,'Talente &amp; Stuff'!ER:FT,16,FALSE)</f>
        <v>0</v>
      </c>
      <c r="S222" s="119">
        <f>VLOOKUP(C222,'Talente &amp; Stuff'!ER:FT,17,FALSE)</f>
        <v>0</v>
      </c>
      <c r="T222" s="119">
        <f>VLOOKUP(C222,'Talente &amp; Stuff'!ER:FT,18,FALSE)</f>
        <v>0</v>
      </c>
      <c r="U222" s="89">
        <f>VLOOKUP(C222,'Talente &amp; Stuff'!ER:FT,19,FALSE)</f>
        <v>0</v>
      </c>
      <c r="V222" s="47">
        <f>VLOOKUP(C222,'Talente &amp; Stuff'!ER:FT,20,FALSE)</f>
        <v>0</v>
      </c>
      <c r="W222" s="127">
        <f>VLOOKUP(C222,'Talente &amp; Stuff'!ER:FT,21,FALSE)</f>
        <v>0</v>
      </c>
      <c r="X222" s="127">
        <f>VLOOKUP(C222,'Talente &amp; Stuff'!ER:FT,22,FALSE)</f>
        <v>0</v>
      </c>
      <c r="Y222" s="165">
        <f t="shared" si="20"/>
        <v>0</v>
      </c>
      <c r="Z222" s="44">
        <f t="shared" si="21"/>
        <v>0</v>
      </c>
      <c r="AA222" s="125">
        <f>VLOOKUP(C222,'Talente &amp; Stuff'!ER:FT,25,FALSE)</f>
        <v>0</v>
      </c>
      <c r="AB222" s="160">
        <f>VLOOKUP(C222,'Talente &amp; Stuff'!ER:FT,26,FALSE)</f>
        <v>0</v>
      </c>
      <c r="AC222" s="127">
        <f>VLOOKUP(C222,'Talente &amp; Stuff'!ER:FT,27,FALSE)</f>
        <v>0</v>
      </c>
      <c r="AD222" s="125">
        <f>VLOOKUP(C222,'Talente &amp; Stuff'!ER:FT,28,FALSE)</f>
        <v>0</v>
      </c>
      <c r="AE222" s="28"/>
    </row>
    <row r="223" spans="2:31" ht="15" hidden="1" customHeight="1" outlineLevel="2">
      <c r="B223" s="148">
        <v>11</v>
      </c>
      <c r="C223" s="177" t="str">
        <f>Attribute!C223</f>
        <v>---</v>
      </c>
      <c r="D223" s="86" t="str">
        <f>VLOOKUP(C223,'Talente &amp; Stuff'!ER:FT,2,FALSE)</f>
        <v>--/--/--</v>
      </c>
      <c r="E223" s="167" t="str">
        <f>VLOOKUP(C223,'Talente &amp; Stuff'!ER:FT,3,FALSE)</f>
        <v>-</v>
      </c>
      <c r="F223" s="120">
        <f>VLOOKUP(C223,'Talente &amp; Stuff'!ER:FT,4,FALSE)</f>
        <v>0</v>
      </c>
      <c r="G223" s="117">
        <f>VLOOKUP(C223,'Talente &amp; Stuff'!ER:FT,5,FALSE)</f>
        <v>0</v>
      </c>
      <c r="H223" s="117">
        <f>VLOOKUP(C223,'Talente &amp; Stuff'!ER:FT,6,FALSE)</f>
        <v>0</v>
      </c>
      <c r="I223" s="117">
        <f>VLOOKUP(C223,'Talente &amp; Stuff'!ER:FT,7,FALSE)</f>
        <v>0</v>
      </c>
      <c r="J223" s="117">
        <f>VLOOKUP(C223,'Talente &amp; Stuff'!ER:FT,8,FALSE)</f>
        <v>0</v>
      </c>
      <c r="K223" s="117">
        <f>VLOOKUP(C223,'Talente &amp; Stuff'!ER:FT,9,FALSE)</f>
        <v>0</v>
      </c>
      <c r="L223" s="117">
        <f>VLOOKUP(C223,'Talente &amp; Stuff'!ER:FT,10,FALSE)</f>
        <v>0</v>
      </c>
      <c r="M223" s="121">
        <f>VLOOKUP(C223,'Talente &amp; Stuff'!ER:FT,11,FALSE)</f>
        <v>0</v>
      </c>
      <c r="N223" s="47">
        <f>VLOOKUP(C223,'Talente &amp; Stuff'!ER:FT,12,FALSE)</f>
        <v>0</v>
      </c>
      <c r="O223" s="3">
        <f>VLOOKUP(C223,'Talente &amp; Stuff'!ER:FT,13,FALSE)</f>
        <v>0</v>
      </c>
      <c r="P223" s="174">
        <f>VLOOKUP(C223,'Talente &amp; Stuff'!ER:FT,14,FALSE)</f>
        <v>0</v>
      </c>
      <c r="Q223" s="114">
        <f>VLOOKUP(C223,'Talente &amp; Stuff'!ER:FT,15,FALSE)</f>
        <v>0</v>
      </c>
      <c r="R223" s="117">
        <f>VLOOKUP(C223,'Talente &amp; Stuff'!ER:FT,16,FALSE)</f>
        <v>0</v>
      </c>
      <c r="S223" s="119">
        <f>VLOOKUP(C223,'Talente &amp; Stuff'!ER:FT,17,FALSE)</f>
        <v>0</v>
      </c>
      <c r="T223" s="119">
        <f>VLOOKUP(C223,'Talente &amp; Stuff'!ER:FT,18,FALSE)</f>
        <v>0</v>
      </c>
      <c r="U223" s="89">
        <f>VLOOKUP(C223,'Talente &amp; Stuff'!ER:FT,19,FALSE)</f>
        <v>0</v>
      </c>
      <c r="V223" s="47">
        <f>VLOOKUP(C223,'Talente &amp; Stuff'!ER:FT,20,FALSE)</f>
        <v>0</v>
      </c>
      <c r="W223" s="127">
        <f>VLOOKUP(C223,'Talente &amp; Stuff'!ER:FT,21,FALSE)</f>
        <v>0</v>
      </c>
      <c r="X223" s="127">
        <f>VLOOKUP(C223,'Talente &amp; Stuff'!ER:FT,22,FALSE)</f>
        <v>0</v>
      </c>
      <c r="Y223" s="165">
        <f t="shared" si="20"/>
        <v>0</v>
      </c>
      <c r="Z223" s="44">
        <f t="shared" si="21"/>
        <v>0</v>
      </c>
      <c r="AA223" s="125">
        <f>VLOOKUP(C223,'Talente &amp; Stuff'!ER:FT,25,FALSE)</f>
        <v>0</v>
      </c>
      <c r="AB223" s="160">
        <f>VLOOKUP(C223,'Talente &amp; Stuff'!ER:FT,26,FALSE)</f>
        <v>0</v>
      </c>
      <c r="AC223" s="127">
        <f>VLOOKUP(C223,'Talente &amp; Stuff'!ER:FT,27,FALSE)</f>
        <v>0</v>
      </c>
      <c r="AD223" s="125">
        <f>VLOOKUP(C223,'Talente &amp; Stuff'!ER:FT,28,FALSE)</f>
        <v>0</v>
      </c>
      <c r="AE223" s="28"/>
    </row>
    <row r="224" spans="2:31" ht="15" hidden="1" customHeight="1" outlineLevel="2">
      <c r="B224" s="148">
        <v>12</v>
      </c>
      <c r="C224" s="177" t="str">
        <f>Attribute!C224</f>
        <v>---</v>
      </c>
      <c r="D224" s="86" t="str">
        <f>VLOOKUP(C224,'Talente &amp; Stuff'!ER:FT,2,FALSE)</f>
        <v>--/--/--</v>
      </c>
      <c r="E224" s="167" t="str">
        <f>VLOOKUP(C224,'Talente &amp; Stuff'!ER:FT,3,FALSE)</f>
        <v>-</v>
      </c>
      <c r="F224" s="120">
        <f>VLOOKUP(C224,'Talente &amp; Stuff'!ER:FT,4,FALSE)</f>
        <v>0</v>
      </c>
      <c r="G224" s="117">
        <f>VLOOKUP(C224,'Talente &amp; Stuff'!ER:FT,5,FALSE)</f>
        <v>0</v>
      </c>
      <c r="H224" s="117">
        <f>VLOOKUP(C224,'Talente &amp; Stuff'!ER:FT,6,FALSE)</f>
        <v>0</v>
      </c>
      <c r="I224" s="117">
        <f>VLOOKUP(C224,'Talente &amp; Stuff'!ER:FT,7,FALSE)</f>
        <v>0</v>
      </c>
      <c r="J224" s="117">
        <f>VLOOKUP(C224,'Talente &amp; Stuff'!ER:FT,8,FALSE)</f>
        <v>0</v>
      </c>
      <c r="K224" s="117">
        <f>VLOOKUP(C224,'Talente &amp; Stuff'!ER:FT,9,FALSE)</f>
        <v>0</v>
      </c>
      <c r="L224" s="117">
        <f>VLOOKUP(C224,'Talente &amp; Stuff'!ER:FT,10,FALSE)</f>
        <v>0</v>
      </c>
      <c r="M224" s="121">
        <f>VLOOKUP(C224,'Talente &amp; Stuff'!ER:FT,11,FALSE)</f>
        <v>0</v>
      </c>
      <c r="N224" s="47">
        <f>VLOOKUP(C224,'Talente &amp; Stuff'!ER:FT,12,FALSE)</f>
        <v>0</v>
      </c>
      <c r="O224" s="3">
        <f>VLOOKUP(C224,'Talente &amp; Stuff'!ER:FT,13,FALSE)</f>
        <v>0</v>
      </c>
      <c r="P224" s="174">
        <f>VLOOKUP(C224,'Talente &amp; Stuff'!ER:FT,14,FALSE)</f>
        <v>0</v>
      </c>
      <c r="Q224" s="114">
        <f>VLOOKUP(C224,'Talente &amp; Stuff'!ER:FT,15,FALSE)</f>
        <v>0</v>
      </c>
      <c r="R224" s="117">
        <f>VLOOKUP(C224,'Talente &amp; Stuff'!ER:FT,16,FALSE)</f>
        <v>0</v>
      </c>
      <c r="S224" s="119">
        <f>VLOOKUP(C224,'Talente &amp; Stuff'!ER:FT,17,FALSE)</f>
        <v>0</v>
      </c>
      <c r="T224" s="119">
        <f>VLOOKUP(C224,'Talente &amp; Stuff'!ER:FT,18,FALSE)</f>
        <v>0</v>
      </c>
      <c r="U224" s="89">
        <f>VLOOKUP(C224,'Talente &amp; Stuff'!ER:FT,19,FALSE)</f>
        <v>0</v>
      </c>
      <c r="V224" s="47">
        <f>VLOOKUP(C224,'Talente &amp; Stuff'!ER:FT,20,FALSE)</f>
        <v>0</v>
      </c>
      <c r="W224" s="127">
        <f>VLOOKUP(C224,'Talente &amp; Stuff'!ER:FT,21,FALSE)</f>
        <v>0</v>
      </c>
      <c r="X224" s="127">
        <f>VLOOKUP(C224,'Talente &amp; Stuff'!ER:FT,22,FALSE)</f>
        <v>0</v>
      </c>
      <c r="Y224" s="165">
        <f t="shared" si="20"/>
        <v>0</v>
      </c>
      <c r="Z224" s="44">
        <f t="shared" si="21"/>
        <v>0</v>
      </c>
      <c r="AA224" s="125">
        <f>VLOOKUP(C224,'Talente &amp; Stuff'!ER:FT,25,FALSE)</f>
        <v>0</v>
      </c>
      <c r="AB224" s="160">
        <f>VLOOKUP(C224,'Talente &amp; Stuff'!ER:FT,26,FALSE)</f>
        <v>0</v>
      </c>
      <c r="AC224" s="127">
        <f>VLOOKUP(C224,'Talente &amp; Stuff'!ER:FT,27,FALSE)</f>
        <v>0</v>
      </c>
      <c r="AD224" s="125">
        <f>VLOOKUP(C224,'Talente &amp; Stuff'!ER:FT,28,FALSE)</f>
        <v>0</v>
      </c>
      <c r="AE224" s="28"/>
    </row>
    <row r="225" spans="2:31" ht="15" hidden="1" customHeight="1" outlineLevel="2">
      <c r="B225" s="148">
        <v>13</v>
      </c>
      <c r="C225" s="177" t="str">
        <f>Attribute!C225</f>
        <v>---</v>
      </c>
      <c r="D225" s="86" t="str">
        <f>VLOOKUP(C225,'Talente &amp; Stuff'!ER:FT,2,FALSE)</f>
        <v>--/--/--</v>
      </c>
      <c r="E225" s="167" t="str">
        <f>VLOOKUP(C225,'Talente &amp; Stuff'!ER:FT,3,FALSE)</f>
        <v>-</v>
      </c>
      <c r="F225" s="120">
        <f>VLOOKUP(C225,'Talente &amp; Stuff'!ER:FT,4,FALSE)</f>
        <v>0</v>
      </c>
      <c r="G225" s="117">
        <f>VLOOKUP(C225,'Talente &amp; Stuff'!ER:FT,5,FALSE)</f>
        <v>0</v>
      </c>
      <c r="H225" s="117">
        <f>VLOOKUP(C225,'Talente &amp; Stuff'!ER:FT,6,FALSE)</f>
        <v>0</v>
      </c>
      <c r="I225" s="117">
        <f>VLOOKUP(C225,'Talente &amp; Stuff'!ER:FT,7,FALSE)</f>
        <v>0</v>
      </c>
      <c r="J225" s="117">
        <f>VLOOKUP(C225,'Talente &amp; Stuff'!ER:FT,8,FALSE)</f>
        <v>0</v>
      </c>
      <c r="K225" s="117">
        <f>VLOOKUP(C225,'Talente &amp; Stuff'!ER:FT,9,FALSE)</f>
        <v>0</v>
      </c>
      <c r="L225" s="117">
        <f>VLOOKUP(C225,'Talente &amp; Stuff'!ER:FT,10,FALSE)</f>
        <v>0</v>
      </c>
      <c r="M225" s="121">
        <f>VLOOKUP(C225,'Talente &amp; Stuff'!ER:FT,11,FALSE)</f>
        <v>0</v>
      </c>
      <c r="N225" s="47">
        <f>VLOOKUP(C225,'Talente &amp; Stuff'!ER:FT,12,FALSE)</f>
        <v>0</v>
      </c>
      <c r="O225" s="3">
        <f>VLOOKUP(C225,'Talente &amp; Stuff'!ER:FT,13,FALSE)</f>
        <v>0</v>
      </c>
      <c r="P225" s="174">
        <f>VLOOKUP(C225,'Talente &amp; Stuff'!ER:FT,14,FALSE)</f>
        <v>0</v>
      </c>
      <c r="Q225" s="114">
        <f>VLOOKUP(C225,'Talente &amp; Stuff'!ER:FT,15,FALSE)</f>
        <v>0</v>
      </c>
      <c r="R225" s="117">
        <f>VLOOKUP(C225,'Talente &amp; Stuff'!ER:FT,16,FALSE)</f>
        <v>0</v>
      </c>
      <c r="S225" s="119">
        <f>VLOOKUP(C225,'Talente &amp; Stuff'!ER:FT,17,FALSE)</f>
        <v>0</v>
      </c>
      <c r="T225" s="119">
        <f>VLOOKUP(C225,'Talente &amp; Stuff'!ER:FT,18,FALSE)</f>
        <v>0</v>
      </c>
      <c r="U225" s="89">
        <f>VLOOKUP(C225,'Talente &amp; Stuff'!ER:FT,19,FALSE)</f>
        <v>0</v>
      </c>
      <c r="V225" s="47">
        <f>VLOOKUP(C225,'Talente &amp; Stuff'!ER:FT,20,FALSE)</f>
        <v>0</v>
      </c>
      <c r="W225" s="127">
        <f>VLOOKUP(C225,'Talente &amp; Stuff'!ER:FT,21,FALSE)</f>
        <v>0</v>
      </c>
      <c r="X225" s="127">
        <f>VLOOKUP(C225,'Talente &amp; Stuff'!ER:FT,22,FALSE)</f>
        <v>0</v>
      </c>
      <c r="Y225" s="165">
        <f t="shared" si="20"/>
        <v>0</v>
      </c>
      <c r="Z225" s="44">
        <f t="shared" si="21"/>
        <v>0</v>
      </c>
      <c r="AA225" s="125">
        <f>VLOOKUP(C225,'Talente &amp; Stuff'!ER:FT,25,FALSE)</f>
        <v>0</v>
      </c>
      <c r="AB225" s="160">
        <f>VLOOKUP(C225,'Talente &amp; Stuff'!ER:FT,26,FALSE)</f>
        <v>0</v>
      </c>
      <c r="AC225" s="127">
        <f>VLOOKUP(C225,'Talente &amp; Stuff'!ER:FT,27,FALSE)</f>
        <v>0</v>
      </c>
      <c r="AD225" s="125">
        <f>VLOOKUP(C225,'Talente &amp; Stuff'!ER:FT,28,FALSE)</f>
        <v>0</v>
      </c>
      <c r="AE225" s="28"/>
    </row>
    <row r="226" spans="2:31" ht="15" hidden="1" customHeight="1" outlineLevel="2">
      <c r="B226" s="148">
        <v>14</v>
      </c>
      <c r="C226" s="177" t="str">
        <f>Attribute!C226</f>
        <v>---</v>
      </c>
      <c r="D226" s="86" t="str">
        <f>VLOOKUP(C226,'Talente &amp; Stuff'!ER:FT,2,FALSE)</f>
        <v>--/--/--</v>
      </c>
      <c r="E226" s="167" t="str">
        <f>VLOOKUP(C226,'Talente &amp; Stuff'!ER:FT,3,FALSE)</f>
        <v>-</v>
      </c>
      <c r="F226" s="120">
        <f>VLOOKUP(C226,'Talente &amp; Stuff'!ER:FT,4,FALSE)</f>
        <v>0</v>
      </c>
      <c r="G226" s="117">
        <f>VLOOKUP(C226,'Talente &amp; Stuff'!ER:FT,5,FALSE)</f>
        <v>0</v>
      </c>
      <c r="H226" s="117">
        <f>VLOOKUP(C226,'Talente &amp; Stuff'!ER:FT,6,FALSE)</f>
        <v>0</v>
      </c>
      <c r="I226" s="117">
        <f>VLOOKUP(C226,'Talente &amp; Stuff'!ER:FT,7,FALSE)</f>
        <v>0</v>
      </c>
      <c r="J226" s="117">
        <f>VLOOKUP(C226,'Talente &amp; Stuff'!ER:FT,8,FALSE)</f>
        <v>0</v>
      </c>
      <c r="K226" s="117">
        <f>VLOOKUP(C226,'Talente &amp; Stuff'!ER:FT,9,FALSE)</f>
        <v>0</v>
      </c>
      <c r="L226" s="117">
        <f>VLOOKUP(C226,'Talente &amp; Stuff'!ER:FT,10,FALSE)</f>
        <v>0</v>
      </c>
      <c r="M226" s="121">
        <f>VLOOKUP(C226,'Talente &amp; Stuff'!ER:FT,11,FALSE)</f>
        <v>0</v>
      </c>
      <c r="N226" s="47">
        <f>VLOOKUP(C226,'Talente &amp; Stuff'!ER:FT,12,FALSE)</f>
        <v>0</v>
      </c>
      <c r="O226" s="3">
        <f>VLOOKUP(C226,'Talente &amp; Stuff'!ER:FT,13,FALSE)</f>
        <v>0</v>
      </c>
      <c r="P226" s="174">
        <f>VLOOKUP(C226,'Talente &amp; Stuff'!ER:FT,14,FALSE)</f>
        <v>0</v>
      </c>
      <c r="Q226" s="114">
        <f>VLOOKUP(C226,'Talente &amp; Stuff'!ER:FT,15,FALSE)</f>
        <v>0</v>
      </c>
      <c r="R226" s="117">
        <f>VLOOKUP(C226,'Talente &amp; Stuff'!ER:FT,16,FALSE)</f>
        <v>0</v>
      </c>
      <c r="S226" s="119">
        <f>VLOOKUP(C226,'Talente &amp; Stuff'!ER:FT,17,FALSE)</f>
        <v>0</v>
      </c>
      <c r="T226" s="119">
        <f>VLOOKUP(C226,'Talente &amp; Stuff'!ER:FT,18,FALSE)</f>
        <v>0</v>
      </c>
      <c r="U226" s="89">
        <f>VLOOKUP(C226,'Talente &amp; Stuff'!ER:FT,19,FALSE)</f>
        <v>0</v>
      </c>
      <c r="V226" s="47">
        <f>VLOOKUP(C226,'Talente &amp; Stuff'!ER:FT,20,FALSE)</f>
        <v>0</v>
      </c>
      <c r="W226" s="127">
        <f>VLOOKUP(C226,'Talente &amp; Stuff'!ER:FT,21,FALSE)</f>
        <v>0</v>
      </c>
      <c r="X226" s="127">
        <f>VLOOKUP(C226,'Talente &amp; Stuff'!ER:FT,22,FALSE)</f>
        <v>0</v>
      </c>
      <c r="Y226" s="165">
        <f t="shared" si="20"/>
        <v>0</v>
      </c>
      <c r="Z226" s="44">
        <f t="shared" si="21"/>
        <v>0</v>
      </c>
      <c r="AA226" s="125">
        <f>VLOOKUP(C226,'Talente &amp; Stuff'!ER:FT,25,FALSE)</f>
        <v>0</v>
      </c>
      <c r="AB226" s="160">
        <f>VLOOKUP(C226,'Talente &amp; Stuff'!ER:FT,26,FALSE)</f>
        <v>0</v>
      </c>
      <c r="AC226" s="127">
        <f>VLOOKUP(C226,'Talente &amp; Stuff'!ER:FT,27,FALSE)</f>
        <v>0</v>
      </c>
      <c r="AD226" s="125">
        <f>VLOOKUP(C226,'Talente &amp; Stuff'!ER:FT,28,FALSE)</f>
        <v>0</v>
      </c>
      <c r="AE226" s="28"/>
    </row>
    <row r="227" spans="2:31" ht="15" hidden="1" customHeight="1" outlineLevel="2">
      <c r="B227" s="148">
        <v>15</v>
      </c>
      <c r="C227" s="177" t="str">
        <f>Attribute!C227</f>
        <v>---</v>
      </c>
      <c r="D227" s="86" t="str">
        <f>VLOOKUP(C227,'Talente &amp; Stuff'!ER:FT,2,FALSE)</f>
        <v>--/--/--</v>
      </c>
      <c r="E227" s="167" t="str">
        <f>VLOOKUP(C227,'Talente &amp; Stuff'!ER:FT,3,FALSE)</f>
        <v>-</v>
      </c>
      <c r="F227" s="120">
        <f>VLOOKUP(C227,'Talente &amp; Stuff'!ER:FT,4,FALSE)</f>
        <v>0</v>
      </c>
      <c r="G227" s="117">
        <f>VLOOKUP(C227,'Talente &amp; Stuff'!ER:FT,5,FALSE)</f>
        <v>0</v>
      </c>
      <c r="H227" s="117">
        <f>VLOOKUP(C227,'Talente &amp; Stuff'!ER:FT,6,FALSE)</f>
        <v>0</v>
      </c>
      <c r="I227" s="117">
        <f>VLOOKUP(C227,'Talente &amp; Stuff'!ER:FT,7,FALSE)</f>
        <v>0</v>
      </c>
      <c r="J227" s="117">
        <f>VLOOKUP(C227,'Talente &amp; Stuff'!ER:FT,8,FALSE)</f>
        <v>0</v>
      </c>
      <c r="K227" s="117">
        <f>VLOOKUP(C227,'Talente &amp; Stuff'!ER:FT,9,FALSE)</f>
        <v>0</v>
      </c>
      <c r="L227" s="117">
        <f>VLOOKUP(C227,'Talente &amp; Stuff'!ER:FT,10,FALSE)</f>
        <v>0</v>
      </c>
      <c r="M227" s="121">
        <f>VLOOKUP(C227,'Talente &amp; Stuff'!ER:FT,11,FALSE)</f>
        <v>0</v>
      </c>
      <c r="N227" s="47">
        <f>VLOOKUP(C227,'Talente &amp; Stuff'!ER:FT,12,FALSE)</f>
        <v>0</v>
      </c>
      <c r="O227" s="3">
        <f>VLOOKUP(C227,'Talente &amp; Stuff'!ER:FT,13,FALSE)</f>
        <v>0</v>
      </c>
      <c r="P227" s="174">
        <f>VLOOKUP(C227,'Talente &amp; Stuff'!ER:FT,14,FALSE)</f>
        <v>0</v>
      </c>
      <c r="Q227" s="114">
        <f>VLOOKUP(C227,'Talente &amp; Stuff'!ER:FT,15,FALSE)</f>
        <v>0</v>
      </c>
      <c r="R227" s="117">
        <f>VLOOKUP(C227,'Talente &amp; Stuff'!ER:FT,16,FALSE)</f>
        <v>0</v>
      </c>
      <c r="S227" s="119">
        <f>VLOOKUP(C227,'Talente &amp; Stuff'!ER:FT,17,FALSE)</f>
        <v>0</v>
      </c>
      <c r="T227" s="119">
        <f>VLOOKUP(C227,'Talente &amp; Stuff'!ER:FT,18,FALSE)</f>
        <v>0</v>
      </c>
      <c r="U227" s="89">
        <f>VLOOKUP(C227,'Talente &amp; Stuff'!ER:FT,19,FALSE)</f>
        <v>0</v>
      </c>
      <c r="V227" s="47">
        <f>VLOOKUP(C227,'Talente &amp; Stuff'!ER:FT,20,FALSE)</f>
        <v>0</v>
      </c>
      <c r="W227" s="127">
        <f>VLOOKUP(C227,'Talente &amp; Stuff'!ER:FT,21,FALSE)</f>
        <v>0</v>
      </c>
      <c r="X227" s="127">
        <f>VLOOKUP(C227,'Talente &amp; Stuff'!ER:FT,22,FALSE)</f>
        <v>0</v>
      </c>
      <c r="Y227" s="165">
        <f t="shared" si="20"/>
        <v>0</v>
      </c>
      <c r="Z227" s="44">
        <f t="shared" si="21"/>
        <v>0</v>
      </c>
      <c r="AA227" s="125">
        <f>VLOOKUP(C227,'Talente &amp; Stuff'!ER:FT,25,FALSE)</f>
        <v>0</v>
      </c>
      <c r="AB227" s="160">
        <f>VLOOKUP(C227,'Talente &amp; Stuff'!ER:FT,26,FALSE)</f>
        <v>0</v>
      </c>
      <c r="AC227" s="127">
        <f>VLOOKUP(C227,'Talente &amp; Stuff'!ER:FT,27,FALSE)</f>
        <v>0</v>
      </c>
      <c r="AD227" s="125">
        <f>VLOOKUP(C227,'Talente &amp; Stuff'!ER:FT,28,FALSE)</f>
        <v>0</v>
      </c>
      <c r="AE227" s="28"/>
    </row>
    <row r="228" spans="2:31" ht="15" hidden="1" customHeight="1" outlineLevel="2">
      <c r="B228" s="148">
        <v>16</v>
      </c>
      <c r="C228" s="177" t="str">
        <f>Attribute!C228</f>
        <v>---</v>
      </c>
      <c r="D228" s="86" t="str">
        <f>VLOOKUP(C228,'Talente &amp; Stuff'!ER:FT,2,FALSE)</f>
        <v>--/--/--</v>
      </c>
      <c r="E228" s="167" t="str">
        <f>VLOOKUP(C228,'Talente &amp; Stuff'!ER:FT,3,FALSE)</f>
        <v>-</v>
      </c>
      <c r="F228" s="120">
        <f>VLOOKUP(C228,'Talente &amp; Stuff'!ER:FT,4,FALSE)</f>
        <v>0</v>
      </c>
      <c r="G228" s="117">
        <f>VLOOKUP(C228,'Talente &amp; Stuff'!ER:FT,5,FALSE)</f>
        <v>0</v>
      </c>
      <c r="H228" s="117">
        <f>VLOOKUP(C228,'Talente &amp; Stuff'!ER:FT,6,FALSE)</f>
        <v>0</v>
      </c>
      <c r="I228" s="117">
        <f>VLOOKUP(C228,'Talente &amp; Stuff'!ER:FT,7,FALSE)</f>
        <v>0</v>
      </c>
      <c r="J228" s="117">
        <f>VLOOKUP(C228,'Talente &amp; Stuff'!ER:FT,8,FALSE)</f>
        <v>0</v>
      </c>
      <c r="K228" s="117">
        <f>VLOOKUP(C228,'Talente &amp; Stuff'!ER:FT,9,FALSE)</f>
        <v>0</v>
      </c>
      <c r="L228" s="117">
        <f>VLOOKUP(C228,'Talente &amp; Stuff'!ER:FT,10,FALSE)</f>
        <v>0</v>
      </c>
      <c r="M228" s="121">
        <f>VLOOKUP(C228,'Talente &amp; Stuff'!ER:FT,11,FALSE)</f>
        <v>0</v>
      </c>
      <c r="N228" s="47">
        <f>VLOOKUP(C228,'Talente &amp; Stuff'!ER:FT,12,FALSE)</f>
        <v>0</v>
      </c>
      <c r="O228" s="3">
        <f>VLOOKUP(C228,'Talente &amp; Stuff'!ER:FT,13,FALSE)</f>
        <v>0</v>
      </c>
      <c r="P228" s="174">
        <f>VLOOKUP(C228,'Talente &amp; Stuff'!ER:FT,14,FALSE)</f>
        <v>0</v>
      </c>
      <c r="Q228" s="114">
        <f>VLOOKUP(C228,'Talente &amp; Stuff'!ER:FT,15,FALSE)</f>
        <v>0</v>
      </c>
      <c r="R228" s="117">
        <f>VLOOKUP(C228,'Talente &amp; Stuff'!ER:FT,16,FALSE)</f>
        <v>0</v>
      </c>
      <c r="S228" s="119">
        <f>VLOOKUP(C228,'Talente &amp; Stuff'!ER:FT,17,FALSE)</f>
        <v>0</v>
      </c>
      <c r="T228" s="119">
        <f>VLOOKUP(C228,'Talente &amp; Stuff'!ER:FT,18,FALSE)</f>
        <v>0</v>
      </c>
      <c r="U228" s="89">
        <f>VLOOKUP(C228,'Talente &amp; Stuff'!ER:FT,19,FALSE)</f>
        <v>0</v>
      </c>
      <c r="V228" s="47">
        <f>VLOOKUP(C228,'Talente &amp; Stuff'!ER:FT,20,FALSE)</f>
        <v>0</v>
      </c>
      <c r="W228" s="127">
        <f>VLOOKUP(C228,'Talente &amp; Stuff'!ER:FT,21,FALSE)</f>
        <v>0</v>
      </c>
      <c r="X228" s="127">
        <f>VLOOKUP(C228,'Talente &amp; Stuff'!ER:FT,22,FALSE)</f>
        <v>0</v>
      </c>
      <c r="Y228" s="165">
        <f t="shared" si="20"/>
        <v>0</v>
      </c>
      <c r="Z228" s="44">
        <f t="shared" si="21"/>
        <v>0</v>
      </c>
      <c r="AA228" s="125">
        <f>VLOOKUP(C228,'Talente &amp; Stuff'!ER:FT,25,FALSE)</f>
        <v>0</v>
      </c>
      <c r="AB228" s="160">
        <f>VLOOKUP(C228,'Talente &amp; Stuff'!ER:FT,26,FALSE)</f>
        <v>0</v>
      </c>
      <c r="AC228" s="127">
        <f>VLOOKUP(C228,'Talente &amp; Stuff'!ER:FT,27,FALSE)</f>
        <v>0</v>
      </c>
      <c r="AD228" s="125">
        <f>VLOOKUP(C228,'Talente &amp; Stuff'!ER:FT,28,FALSE)</f>
        <v>0</v>
      </c>
      <c r="AE228" s="28"/>
    </row>
    <row r="229" spans="2:31" ht="15" hidden="1" customHeight="1" outlineLevel="2">
      <c r="B229" s="148">
        <v>17</v>
      </c>
      <c r="C229" s="177" t="str">
        <f>Attribute!C229</f>
        <v>---</v>
      </c>
      <c r="D229" s="86" t="str">
        <f>VLOOKUP(C229,'Talente &amp; Stuff'!ER:FT,2,FALSE)</f>
        <v>--/--/--</v>
      </c>
      <c r="E229" s="167" t="str">
        <f>VLOOKUP(C229,'Talente &amp; Stuff'!ER:FT,3,FALSE)</f>
        <v>-</v>
      </c>
      <c r="F229" s="120">
        <f>VLOOKUP(C229,'Talente &amp; Stuff'!ER:FT,4,FALSE)</f>
        <v>0</v>
      </c>
      <c r="G229" s="117">
        <f>VLOOKUP(C229,'Talente &amp; Stuff'!ER:FT,5,FALSE)</f>
        <v>0</v>
      </c>
      <c r="H229" s="117">
        <f>VLOOKUP(C229,'Talente &amp; Stuff'!ER:FT,6,FALSE)</f>
        <v>0</v>
      </c>
      <c r="I229" s="117">
        <f>VLOOKUP(C229,'Talente &amp; Stuff'!ER:FT,7,FALSE)</f>
        <v>0</v>
      </c>
      <c r="J229" s="117">
        <f>VLOOKUP(C229,'Talente &amp; Stuff'!ER:FT,8,FALSE)</f>
        <v>0</v>
      </c>
      <c r="K229" s="117">
        <f>VLOOKUP(C229,'Talente &amp; Stuff'!ER:FT,9,FALSE)</f>
        <v>0</v>
      </c>
      <c r="L229" s="117">
        <f>VLOOKUP(C229,'Talente &amp; Stuff'!ER:FT,10,FALSE)</f>
        <v>0</v>
      </c>
      <c r="M229" s="121">
        <f>VLOOKUP(C229,'Talente &amp; Stuff'!ER:FT,11,FALSE)</f>
        <v>0</v>
      </c>
      <c r="N229" s="47">
        <f>VLOOKUP(C229,'Talente &amp; Stuff'!ER:FT,12,FALSE)</f>
        <v>0</v>
      </c>
      <c r="O229" s="3">
        <f>VLOOKUP(C229,'Talente &amp; Stuff'!ER:FT,13,FALSE)</f>
        <v>0</v>
      </c>
      <c r="P229" s="174">
        <f>VLOOKUP(C229,'Talente &amp; Stuff'!ER:FT,14,FALSE)</f>
        <v>0</v>
      </c>
      <c r="Q229" s="114">
        <f>VLOOKUP(C229,'Talente &amp; Stuff'!ER:FT,15,FALSE)</f>
        <v>0</v>
      </c>
      <c r="R229" s="117">
        <f>VLOOKUP(C229,'Talente &amp; Stuff'!ER:FT,16,FALSE)</f>
        <v>0</v>
      </c>
      <c r="S229" s="119">
        <f>VLOOKUP(C229,'Talente &amp; Stuff'!ER:FT,17,FALSE)</f>
        <v>0</v>
      </c>
      <c r="T229" s="119">
        <f>VLOOKUP(C229,'Talente &amp; Stuff'!ER:FT,18,FALSE)</f>
        <v>0</v>
      </c>
      <c r="U229" s="89">
        <f>VLOOKUP(C229,'Talente &amp; Stuff'!ER:FT,19,FALSE)</f>
        <v>0</v>
      </c>
      <c r="V229" s="47">
        <f>VLOOKUP(C229,'Talente &amp; Stuff'!ER:FT,20,FALSE)</f>
        <v>0</v>
      </c>
      <c r="W229" s="127">
        <f>VLOOKUP(C229,'Talente &amp; Stuff'!ER:FT,21,FALSE)</f>
        <v>0</v>
      </c>
      <c r="X229" s="127">
        <f>VLOOKUP(C229,'Talente &amp; Stuff'!ER:FT,22,FALSE)</f>
        <v>0</v>
      </c>
      <c r="Y229" s="165">
        <f t="shared" si="20"/>
        <v>0</v>
      </c>
      <c r="Z229" s="44">
        <f t="shared" si="21"/>
        <v>0</v>
      </c>
      <c r="AA229" s="125">
        <f>VLOOKUP(C229,'Talente &amp; Stuff'!ER:FT,25,FALSE)</f>
        <v>0</v>
      </c>
      <c r="AB229" s="160">
        <f>VLOOKUP(C229,'Talente &amp; Stuff'!ER:FT,26,FALSE)</f>
        <v>0</v>
      </c>
      <c r="AC229" s="127">
        <f>VLOOKUP(C229,'Talente &amp; Stuff'!ER:FT,27,FALSE)</f>
        <v>0</v>
      </c>
      <c r="AD229" s="125">
        <f>VLOOKUP(C229,'Talente &amp; Stuff'!ER:FT,28,FALSE)</f>
        <v>0</v>
      </c>
      <c r="AE229" s="28"/>
    </row>
    <row r="230" spans="2:31" ht="15" hidden="1" customHeight="1" outlineLevel="2">
      <c r="B230" s="148">
        <v>18</v>
      </c>
      <c r="C230" s="177" t="str">
        <f>Attribute!C230</f>
        <v>---</v>
      </c>
      <c r="D230" s="86" t="str">
        <f>VLOOKUP(C230,'Talente &amp; Stuff'!ER:FT,2,FALSE)</f>
        <v>--/--/--</v>
      </c>
      <c r="E230" s="167" t="str">
        <f>VLOOKUP(C230,'Talente &amp; Stuff'!ER:FT,3,FALSE)</f>
        <v>-</v>
      </c>
      <c r="F230" s="120">
        <f>VLOOKUP(C230,'Talente &amp; Stuff'!ER:FT,4,FALSE)</f>
        <v>0</v>
      </c>
      <c r="G230" s="117">
        <f>VLOOKUP(C230,'Talente &amp; Stuff'!ER:FT,5,FALSE)</f>
        <v>0</v>
      </c>
      <c r="H230" s="117">
        <f>VLOOKUP(C230,'Talente &amp; Stuff'!ER:FT,6,FALSE)</f>
        <v>0</v>
      </c>
      <c r="I230" s="117">
        <f>VLOOKUP(C230,'Talente &amp; Stuff'!ER:FT,7,FALSE)</f>
        <v>0</v>
      </c>
      <c r="J230" s="117">
        <f>VLOOKUP(C230,'Talente &amp; Stuff'!ER:FT,8,FALSE)</f>
        <v>0</v>
      </c>
      <c r="K230" s="117">
        <f>VLOOKUP(C230,'Talente &amp; Stuff'!ER:FT,9,FALSE)</f>
        <v>0</v>
      </c>
      <c r="L230" s="117">
        <f>VLOOKUP(C230,'Talente &amp; Stuff'!ER:FT,10,FALSE)</f>
        <v>0</v>
      </c>
      <c r="M230" s="121">
        <f>VLOOKUP(C230,'Talente &amp; Stuff'!ER:FT,11,FALSE)</f>
        <v>0</v>
      </c>
      <c r="N230" s="47">
        <f>VLOOKUP(C230,'Talente &amp; Stuff'!ER:FT,12,FALSE)</f>
        <v>0</v>
      </c>
      <c r="O230" s="3">
        <f>VLOOKUP(C230,'Talente &amp; Stuff'!ER:FT,13,FALSE)</f>
        <v>0</v>
      </c>
      <c r="P230" s="174">
        <f>VLOOKUP(C230,'Talente &amp; Stuff'!ER:FT,14,FALSE)</f>
        <v>0</v>
      </c>
      <c r="Q230" s="114">
        <f>VLOOKUP(C230,'Talente &amp; Stuff'!ER:FT,15,FALSE)</f>
        <v>0</v>
      </c>
      <c r="R230" s="117">
        <f>VLOOKUP(C230,'Talente &amp; Stuff'!ER:FT,16,FALSE)</f>
        <v>0</v>
      </c>
      <c r="S230" s="119">
        <f>VLOOKUP(C230,'Talente &amp; Stuff'!ER:FT,17,FALSE)</f>
        <v>0</v>
      </c>
      <c r="T230" s="119">
        <f>VLOOKUP(C230,'Talente &amp; Stuff'!ER:FT,18,FALSE)</f>
        <v>0</v>
      </c>
      <c r="U230" s="89">
        <f>VLOOKUP(C230,'Talente &amp; Stuff'!ER:FT,19,FALSE)</f>
        <v>0</v>
      </c>
      <c r="V230" s="47">
        <f>VLOOKUP(C230,'Talente &amp; Stuff'!ER:FT,20,FALSE)</f>
        <v>0</v>
      </c>
      <c r="W230" s="127">
        <f>VLOOKUP(C230,'Talente &amp; Stuff'!ER:FT,21,FALSE)</f>
        <v>0</v>
      </c>
      <c r="X230" s="127">
        <f>VLOOKUP(C230,'Talente &amp; Stuff'!ER:FT,22,FALSE)</f>
        <v>0</v>
      </c>
      <c r="Y230" s="165">
        <f t="shared" si="20"/>
        <v>0</v>
      </c>
      <c r="Z230" s="44">
        <f t="shared" si="21"/>
        <v>0</v>
      </c>
      <c r="AA230" s="125">
        <f>VLOOKUP(C230,'Talente &amp; Stuff'!ER:FT,25,FALSE)</f>
        <v>0</v>
      </c>
      <c r="AB230" s="160">
        <f>VLOOKUP(C230,'Talente &amp; Stuff'!ER:FT,26,FALSE)</f>
        <v>0</v>
      </c>
      <c r="AC230" s="127">
        <f>VLOOKUP(C230,'Talente &amp; Stuff'!ER:FT,27,FALSE)</f>
        <v>0</v>
      </c>
      <c r="AD230" s="125">
        <f>VLOOKUP(C230,'Talente &amp; Stuff'!ER:FT,28,FALSE)</f>
        <v>0</v>
      </c>
      <c r="AE230" s="28"/>
    </row>
    <row r="231" spans="2:31" ht="15" hidden="1" customHeight="1" outlineLevel="2">
      <c r="B231" s="148">
        <v>19</v>
      </c>
      <c r="C231" s="177" t="str">
        <f>Attribute!C231</f>
        <v>---</v>
      </c>
      <c r="D231" s="86" t="str">
        <f>VLOOKUP(C231,'Talente &amp; Stuff'!ER:FT,2,FALSE)</f>
        <v>--/--/--</v>
      </c>
      <c r="E231" s="167" t="str">
        <f>VLOOKUP(C231,'Talente &amp; Stuff'!ER:FT,3,FALSE)</f>
        <v>-</v>
      </c>
      <c r="F231" s="120">
        <f>VLOOKUP(C231,'Talente &amp; Stuff'!ER:FT,4,FALSE)</f>
        <v>0</v>
      </c>
      <c r="G231" s="117">
        <f>VLOOKUP(C231,'Talente &amp; Stuff'!ER:FT,5,FALSE)</f>
        <v>0</v>
      </c>
      <c r="H231" s="117">
        <f>VLOOKUP(C231,'Talente &amp; Stuff'!ER:FT,6,FALSE)</f>
        <v>0</v>
      </c>
      <c r="I231" s="117">
        <f>VLOOKUP(C231,'Talente &amp; Stuff'!ER:FT,7,FALSE)</f>
        <v>0</v>
      </c>
      <c r="J231" s="117">
        <f>VLOOKUP(C231,'Talente &amp; Stuff'!ER:FT,8,FALSE)</f>
        <v>0</v>
      </c>
      <c r="K231" s="117">
        <f>VLOOKUP(C231,'Talente &amp; Stuff'!ER:FT,9,FALSE)</f>
        <v>0</v>
      </c>
      <c r="L231" s="117">
        <f>VLOOKUP(C231,'Talente &amp; Stuff'!ER:FT,10,FALSE)</f>
        <v>0</v>
      </c>
      <c r="M231" s="121">
        <f>VLOOKUP(C231,'Talente &amp; Stuff'!ER:FT,11,FALSE)</f>
        <v>0</v>
      </c>
      <c r="N231" s="47">
        <f>VLOOKUP(C231,'Talente &amp; Stuff'!ER:FT,12,FALSE)</f>
        <v>0</v>
      </c>
      <c r="O231" s="3">
        <f>VLOOKUP(C231,'Talente &amp; Stuff'!ER:FT,13,FALSE)</f>
        <v>0</v>
      </c>
      <c r="P231" s="174">
        <f>VLOOKUP(C231,'Talente &amp; Stuff'!ER:FT,14,FALSE)</f>
        <v>0</v>
      </c>
      <c r="Q231" s="114">
        <f>VLOOKUP(C231,'Talente &amp; Stuff'!ER:FT,15,FALSE)</f>
        <v>0</v>
      </c>
      <c r="R231" s="117">
        <f>VLOOKUP(C231,'Talente &amp; Stuff'!ER:FT,16,FALSE)</f>
        <v>0</v>
      </c>
      <c r="S231" s="119">
        <f>VLOOKUP(C231,'Talente &amp; Stuff'!ER:FT,17,FALSE)</f>
        <v>0</v>
      </c>
      <c r="T231" s="119">
        <f>VLOOKUP(C231,'Talente &amp; Stuff'!ER:FT,18,FALSE)</f>
        <v>0</v>
      </c>
      <c r="U231" s="89">
        <f>VLOOKUP(C231,'Talente &amp; Stuff'!ER:FT,19,FALSE)</f>
        <v>0</v>
      </c>
      <c r="V231" s="47">
        <f>VLOOKUP(C231,'Talente &amp; Stuff'!ER:FT,20,FALSE)</f>
        <v>0</v>
      </c>
      <c r="W231" s="127">
        <f>VLOOKUP(C231,'Talente &amp; Stuff'!ER:FT,21,FALSE)</f>
        <v>0</v>
      </c>
      <c r="X231" s="127">
        <f>VLOOKUP(C231,'Talente &amp; Stuff'!ER:FT,22,FALSE)</f>
        <v>0</v>
      </c>
      <c r="Y231" s="165">
        <f t="shared" si="20"/>
        <v>0</v>
      </c>
      <c r="Z231" s="44">
        <f t="shared" si="21"/>
        <v>0</v>
      </c>
      <c r="AA231" s="125">
        <f>VLOOKUP(C231,'Talente &amp; Stuff'!ER:FT,25,FALSE)</f>
        <v>0</v>
      </c>
      <c r="AB231" s="160">
        <f>VLOOKUP(C231,'Talente &amp; Stuff'!ER:FT,26,FALSE)</f>
        <v>0</v>
      </c>
      <c r="AC231" s="127">
        <f>VLOOKUP(C231,'Talente &amp; Stuff'!ER:FT,27,FALSE)</f>
        <v>0</v>
      </c>
      <c r="AD231" s="125">
        <f>VLOOKUP(C231,'Talente &amp; Stuff'!ER:FT,28,FALSE)</f>
        <v>0</v>
      </c>
      <c r="AE231" s="28"/>
    </row>
    <row r="232" spans="2:31" ht="15" hidden="1" customHeight="1" outlineLevel="2">
      <c r="B232" s="148">
        <v>20</v>
      </c>
      <c r="C232" s="177" t="str">
        <f>Attribute!C232</f>
        <v>---</v>
      </c>
      <c r="D232" s="86" t="str">
        <f>VLOOKUP(C232,'Talente &amp; Stuff'!ER:FT,2,FALSE)</f>
        <v>--/--/--</v>
      </c>
      <c r="E232" s="167" t="str">
        <f>VLOOKUP(C232,'Talente &amp; Stuff'!ER:FT,3,FALSE)</f>
        <v>-</v>
      </c>
      <c r="F232" s="120">
        <f>VLOOKUP(C232,'Talente &amp; Stuff'!ER:FT,4,FALSE)</f>
        <v>0</v>
      </c>
      <c r="G232" s="117">
        <f>VLOOKUP(C232,'Talente &amp; Stuff'!ER:FT,5,FALSE)</f>
        <v>0</v>
      </c>
      <c r="H232" s="117">
        <f>VLOOKUP(C232,'Talente &amp; Stuff'!ER:FT,6,FALSE)</f>
        <v>0</v>
      </c>
      <c r="I232" s="117">
        <f>VLOOKUP(C232,'Talente &amp; Stuff'!ER:FT,7,FALSE)</f>
        <v>0</v>
      </c>
      <c r="J232" s="117">
        <f>VLOOKUP(C232,'Talente &amp; Stuff'!ER:FT,8,FALSE)</f>
        <v>0</v>
      </c>
      <c r="K232" s="117">
        <f>VLOOKUP(C232,'Talente &amp; Stuff'!ER:FT,9,FALSE)</f>
        <v>0</v>
      </c>
      <c r="L232" s="117">
        <f>VLOOKUP(C232,'Talente &amp; Stuff'!ER:FT,10,FALSE)</f>
        <v>0</v>
      </c>
      <c r="M232" s="121">
        <f>VLOOKUP(C232,'Talente &amp; Stuff'!ER:FT,11,FALSE)</f>
        <v>0</v>
      </c>
      <c r="N232" s="47">
        <f>VLOOKUP(C232,'Talente &amp; Stuff'!ER:FT,12,FALSE)</f>
        <v>0</v>
      </c>
      <c r="O232" s="3">
        <f>VLOOKUP(C232,'Talente &amp; Stuff'!ER:FT,13,FALSE)</f>
        <v>0</v>
      </c>
      <c r="P232" s="174">
        <f>VLOOKUP(C232,'Talente &amp; Stuff'!ER:FT,14,FALSE)</f>
        <v>0</v>
      </c>
      <c r="Q232" s="114">
        <f>VLOOKUP(C232,'Talente &amp; Stuff'!ER:FT,15,FALSE)</f>
        <v>0</v>
      </c>
      <c r="R232" s="117">
        <f>VLOOKUP(C232,'Talente &amp; Stuff'!ER:FT,16,FALSE)</f>
        <v>0</v>
      </c>
      <c r="S232" s="119">
        <f>VLOOKUP(C232,'Talente &amp; Stuff'!ER:FT,17,FALSE)</f>
        <v>0</v>
      </c>
      <c r="T232" s="119">
        <f>VLOOKUP(C232,'Talente &amp; Stuff'!ER:FT,18,FALSE)</f>
        <v>0</v>
      </c>
      <c r="U232" s="89">
        <f>VLOOKUP(C232,'Talente &amp; Stuff'!ER:FT,19,FALSE)</f>
        <v>0</v>
      </c>
      <c r="V232" s="47">
        <f>VLOOKUP(C232,'Talente &amp; Stuff'!ER:FT,20,FALSE)</f>
        <v>0</v>
      </c>
      <c r="W232" s="127">
        <f>VLOOKUP(C232,'Talente &amp; Stuff'!ER:FT,21,FALSE)</f>
        <v>0</v>
      </c>
      <c r="X232" s="127">
        <f>VLOOKUP(C232,'Talente &amp; Stuff'!ER:FT,22,FALSE)</f>
        <v>0</v>
      </c>
      <c r="Y232" s="165">
        <f t="shared" si="20"/>
        <v>0</v>
      </c>
      <c r="Z232" s="44">
        <f t="shared" si="21"/>
        <v>0</v>
      </c>
      <c r="AA232" s="125">
        <f>VLOOKUP(C232,'Talente &amp; Stuff'!ER:FT,25,FALSE)</f>
        <v>0</v>
      </c>
      <c r="AB232" s="160">
        <f>VLOOKUP(C232,'Talente &amp; Stuff'!ER:FT,26,FALSE)</f>
        <v>0</v>
      </c>
      <c r="AC232" s="127">
        <f>VLOOKUP(C232,'Talente &amp; Stuff'!ER:FT,27,FALSE)</f>
        <v>0</v>
      </c>
      <c r="AD232" s="125">
        <f>VLOOKUP(C232,'Talente &amp; Stuff'!ER:FT,28,FALSE)</f>
        <v>0</v>
      </c>
      <c r="AE232" s="28"/>
    </row>
    <row r="233" spans="2:31" ht="15" hidden="1" customHeight="1" outlineLevel="2">
      <c r="B233" s="148">
        <v>21</v>
      </c>
      <c r="C233" s="177" t="str">
        <f>Attribute!C233</f>
        <v>---</v>
      </c>
      <c r="D233" s="86" t="str">
        <f>VLOOKUP(C233,'Talente &amp; Stuff'!ER:FT,2,FALSE)</f>
        <v>--/--/--</v>
      </c>
      <c r="E233" s="167" t="str">
        <f>VLOOKUP(C233,'Talente &amp; Stuff'!ER:FT,3,FALSE)</f>
        <v>-</v>
      </c>
      <c r="F233" s="120">
        <f>VLOOKUP(C233,'Talente &amp; Stuff'!ER:FT,4,FALSE)</f>
        <v>0</v>
      </c>
      <c r="G233" s="117">
        <f>VLOOKUP(C233,'Talente &amp; Stuff'!ER:FT,5,FALSE)</f>
        <v>0</v>
      </c>
      <c r="H233" s="117">
        <f>VLOOKUP(C233,'Talente &amp; Stuff'!ER:FT,6,FALSE)</f>
        <v>0</v>
      </c>
      <c r="I233" s="117">
        <f>VLOOKUP(C233,'Talente &amp; Stuff'!ER:FT,7,FALSE)</f>
        <v>0</v>
      </c>
      <c r="J233" s="117">
        <f>VLOOKUP(C233,'Talente &amp; Stuff'!ER:FT,8,FALSE)</f>
        <v>0</v>
      </c>
      <c r="K233" s="117">
        <f>VLOOKUP(C233,'Talente &amp; Stuff'!ER:FT,9,FALSE)</f>
        <v>0</v>
      </c>
      <c r="L233" s="117">
        <f>VLOOKUP(C233,'Talente &amp; Stuff'!ER:FT,10,FALSE)</f>
        <v>0</v>
      </c>
      <c r="M233" s="121">
        <f>VLOOKUP(C233,'Talente &amp; Stuff'!ER:FT,11,FALSE)</f>
        <v>0</v>
      </c>
      <c r="N233" s="47">
        <f>VLOOKUP(C233,'Talente &amp; Stuff'!ER:FT,12,FALSE)</f>
        <v>0</v>
      </c>
      <c r="O233" s="3">
        <f>VLOOKUP(C233,'Talente &amp; Stuff'!ER:FT,13,FALSE)</f>
        <v>0</v>
      </c>
      <c r="P233" s="174">
        <f>VLOOKUP(C233,'Talente &amp; Stuff'!ER:FT,14,FALSE)</f>
        <v>0</v>
      </c>
      <c r="Q233" s="114">
        <f>VLOOKUP(C233,'Talente &amp; Stuff'!ER:FT,15,FALSE)</f>
        <v>0</v>
      </c>
      <c r="R233" s="117">
        <f>VLOOKUP(C233,'Talente &amp; Stuff'!ER:FT,16,FALSE)</f>
        <v>0</v>
      </c>
      <c r="S233" s="119">
        <f>VLOOKUP(C233,'Talente &amp; Stuff'!ER:FT,17,FALSE)</f>
        <v>0</v>
      </c>
      <c r="T233" s="119">
        <f>VLOOKUP(C233,'Talente &amp; Stuff'!ER:FT,18,FALSE)</f>
        <v>0</v>
      </c>
      <c r="U233" s="89">
        <f>VLOOKUP(C233,'Talente &amp; Stuff'!ER:FT,19,FALSE)</f>
        <v>0</v>
      </c>
      <c r="V233" s="47">
        <f>VLOOKUP(C233,'Talente &amp; Stuff'!ER:FT,20,FALSE)</f>
        <v>0</v>
      </c>
      <c r="W233" s="127">
        <f>VLOOKUP(C233,'Talente &amp; Stuff'!ER:FT,21,FALSE)</f>
        <v>0</v>
      </c>
      <c r="X233" s="127">
        <f>VLOOKUP(C233,'Talente &amp; Stuff'!ER:FT,22,FALSE)</f>
        <v>0</v>
      </c>
      <c r="Y233" s="165">
        <f t="shared" si="20"/>
        <v>0</v>
      </c>
      <c r="Z233" s="44">
        <f t="shared" si="21"/>
        <v>0</v>
      </c>
      <c r="AA233" s="125">
        <f>VLOOKUP(C233,'Talente &amp; Stuff'!ER:FT,25,FALSE)</f>
        <v>0</v>
      </c>
      <c r="AB233" s="160">
        <f>VLOOKUP(C233,'Talente &amp; Stuff'!ER:FT,26,FALSE)</f>
        <v>0</v>
      </c>
      <c r="AC233" s="127">
        <f>VLOOKUP(C233,'Talente &amp; Stuff'!ER:FT,27,FALSE)</f>
        <v>0</v>
      </c>
      <c r="AD233" s="125">
        <f>VLOOKUP(C233,'Talente &amp; Stuff'!ER:FT,28,FALSE)</f>
        <v>0</v>
      </c>
      <c r="AE233" s="28"/>
    </row>
    <row r="234" spans="2:31" ht="15" hidden="1" customHeight="1" outlineLevel="2">
      <c r="B234" s="148">
        <v>22</v>
      </c>
      <c r="C234" s="177" t="str">
        <f>Attribute!C234</f>
        <v>---</v>
      </c>
      <c r="D234" s="86" t="str">
        <f>VLOOKUP(C234,'Talente &amp; Stuff'!ER:FT,2,FALSE)</f>
        <v>--/--/--</v>
      </c>
      <c r="E234" s="167" t="str">
        <f>VLOOKUP(C234,'Talente &amp; Stuff'!ER:FT,3,FALSE)</f>
        <v>-</v>
      </c>
      <c r="F234" s="120">
        <f>VLOOKUP(C234,'Talente &amp; Stuff'!ER:FT,4,FALSE)</f>
        <v>0</v>
      </c>
      <c r="G234" s="117">
        <f>VLOOKUP(C234,'Talente &amp; Stuff'!ER:FT,5,FALSE)</f>
        <v>0</v>
      </c>
      <c r="H234" s="117">
        <f>VLOOKUP(C234,'Talente &amp; Stuff'!ER:FT,6,FALSE)</f>
        <v>0</v>
      </c>
      <c r="I234" s="117">
        <f>VLOOKUP(C234,'Talente &amp; Stuff'!ER:FT,7,FALSE)</f>
        <v>0</v>
      </c>
      <c r="J234" s="117">
        <f>VLOOKUP(C234,'Talente &amp; Stuff'!ER:FT,8,FALSE)</f>
        <v>0</v>
      </c>
      <c r="K234" s="117">
        <f>VLOOKUP(C234,'Talente &amp; Stuff'!ER:FT,9,FALSE)</f>
        <v>0</v>
      </c>
      <c r="L234" s="117">
        <f>VLOOKUP(C234,'Talente &amp; Stuff'!ER:FT,10,FALSE)</f>
        <v>0</v>
      </c>
      <c r="M234" s="121">
        <f>VLOOKUP(C234,'Talente &amp; Stuff'!ER:FT,11,FALSE)</f>
        <v>0</v>
      </c>
      <c r="N234" s="47">
        <f>VLOOKUP(C234,'Talente &amp; Stuff'!ER:FT,12,FALSE)</f>
        <v>0</v>
      </c>
      <c r="O234" s="3">
        <f>VLOOKUP(C234,'Talente &amp; Stuff'!ER:FT,13,FALSE)</f>
        <v>0</v>
      </c>
      <c r="P234" s="174">
        <f>VLOOKUP(C234,'Talente &amp; Stuff'!ER:FT,14,FALSE)</f>
        <v>0</v>
      </c>
      <c r="Q234" s="114">
        <f>VLOOKUP(C234,'Talente &amp; Stuff'!ER:FT,15,FALSE)</f>
        <v>0</v>
      </c>
      <c r="R234" s="117">
        <f>VLOOKUP(C234,'Talente &amp; Stuff'!ER:FT,16,FALSE)</f>
        <v>0</v>
      </c>
      <c r="S234" s="119">
        <f>VLOOKUP(C234,'Talente &amp; Stuff'!ER:FT,17,FALSE)</f>
        <v>0</v>
      </c>
      <c r="T234" s="119">
        <f>VLOOKUP(C234,'Talente &amp; Stuff'!ER:FT,18,FALSE)</f>
        <v>0</v>
      </c>
      <c r="U234" s="89">
        <f>VLOOKUP(C234,'Talente &amp; Stuff'!ER:FT,19,FALSE)</f>
        <v>0</v>
      </c>
      <c r="V234" s="47">
        <f>VLOOKUP(C234,'Talente &amp; Stuff'!ER:FT,20,FALSE)</f>
        <v>0</v>
      </c>
      <c r="W234" s="127">
        <f>VLOOKUP(C234,'Talente &amp; Stuff'!ER:FT,21,FALSE)</f>
        <v>0</v>
      </c>
      <c r="X234" s="127">
        <f>VLOOKUP(C234,'Talente &amp; Stuff'!ER:FT,22,FALSE)</f>
        <v>0</v>
      </c>
      <c r="Y234" s="165">
        <f t="shared" si="20"/>
        <v>0</v>
      </c>
      <c r="Z234" s="44">
        <f t="shared" si="21"/>
        <v>0</v>
      </c>
      <c r="AA234" s="125">
        <f>VLOOKUP(C234,'Talente &amp; Stuff'!ER:FT,25,FALSE)</f>
        <v>0</v>
      </c>
      <c r="AB234" s="160">
        <f>VLOOKUP(C234,'Talente &amp; Stuff'!ER:FT,26,FALSE)</f>
        <v>0</v>
      </c>
      <c r="AC234" s="127">
        <f>VLOOKUP(C234,'Talente &amp; Stuff'!ER:FT,27,FALSE)</f>
        <v>0</v>
      </c>
      <c r="AD234" s="125">
        <f>VLOOKUP(C234,'Talente &amp; Stuff'!ER:FT,28,FALSE)</f>
        <v>0</v>
      </c>
      <c r="AE234" s="28"/>
    </row>
    <row r="235" spans="2:31" ht="15" hidden="1" customHeight="1" outlineLevel="2">
      <c r="B235" s="148">
        <v>23</v>
      </c>
      <c r="C235" s="177" t="str">
        <f>Attribute!C235</f>
        <v>---</v>
      </c>
      <c r="D235" s="86" t="str">
        <f>VLOOKUP(C235,'Talente &amp; Stuff'!ER:FT,2,FALSE)</f>
        <v>--/--/--</v>
      </c>
      <c r="E235" s="167" t="str">
        <f>VLOOKUP(C235,'Talente &amp; Stuff'!ER:FT,3,FALSE)</f>
        <v>-</v>
      </c>
      <c r="F235" s="120">
        <f>VLOOKUP(C235,'Talente &amp; Stuff'!ER:FT,4,FALSE)</f>
        <v>0</v>
      </c>
      <c r="G235" s="117">
        <f>VLOOKUP(C235,'Talente &amp; Stuff'!ER:FT,5,FALSE)</f>
        <v>0</v>
      </c>
      <c r="H235" s="117">
        <f>VLOOKUP(C235,'Talente &amp; Stuff'!ER:FT,6,FALSE)</f>
        <v>0</v>
      </c>
      <c r="I235" s="117">
        <f>VLOOKUP(C235,'Talente &amp; Stuff'!ER:FT,7,FALSE)</f>
        <v>0</v>
      </c>
      <c r="J235" s="117">
        <f>VLOOKUP(C235,'Talente &amp; Stuff'!ER:FT,8,FALSE)</f>
        <v>0</v>
      </c>
      <c r="K235" s="117">
        <f>VLOOKUP(C235,'Talente &amp; Stuff'!ER:FT,9,FALSE)</f>
        <v>0</v>
      </c>
      <c r="L235" s="117">
        <f>VLOOKUP(C235,'Talente &amp; Stuff'!ER:FT,10,FALSE)</f>
        <v>0</v>
      </c>
      <c r="M235" s="121">
        <f>VLOOKUP(C235,'Talente &amp; Stuff'!ER:FT,11,FALSE)</f>
        <v>0</v>
      </c>
      <c r="N235" s="47">
        <f>VLOOKUP(C235,'Talente &amp; Stuff'!ER:FT,12,FALSE)</f>
        <v>0</v>
      </c>
      <c r="O235" s="3">
        <f>VLOOKUP(C235,'Talente &amp; Stuff'!ER:FT,13,FALSE)</f>
        <v>0</v>
      </c>
      <c r="P235" s="174">
        <f>VLOOKUP(C235,'Talente &amp; Stuff'!ER:FT,14,FALSE)</f>
        <v>0</v>
      </c>
      <c r="Q235" s="114">
        <f>VLOOKUP(C235,'Talente &amp; Stuff'!ER:FT,15,FALSE)</f>
        <v>0</v>
      </c>
      <c r="R235" s="117">
        <f>VLOOKUP(C235,'Talente &amp; Stuff'!ER:FT,16,FALSE)</f>
        <v>0</v>
      </c>
      <c r="S235" s="119">
        <f>VLOOKUP(C235,'Talente &amp; Stuff'!ER:FT,17,FALSE)</f>
        <v>0</v>
      </c>
      <c r="T235" s="119">
        <f>VLOOKUP(C235,'Talente &amp; Stuff'!ER:FT,18,FALSE)</f>
        <v>0</v>
      </c>
      <c r="U235" s="89">
        <f>VLOOKUP(C235,'Talente &amp; Stuff'!ER:FT,19,FALSE)</f>
        <v>0</v>
      </c>
      <c r="V235" s="47">
        <f>VLOOKUP(C235,'Talente &amp; Stuff'!ER:FT,20,FALSE)</f>
        <v>0</v>
      </c>
      <c r="W235" s="127">
        <f>VLOOKUP(C235,'Talente &amp; Stuff'!ER:FT,21,FALSE)</f>
        <v>0</v>
      </c>
      <c r="X235" s="127">
        <f>VLOOKUP(C235,'Talente &amp; Stuff'!ER:FT,22,FALSE)</f>
        <v>0</v>
      </c>
      <c r="Y235" s="165">
        <f t="shared" si="20"/>
        <v>0</v>
      </c>
      <c r="Z235" s="44">
        <f t="shared" si="21"/>
        <v>0</v>
      </c>
      <c r="AA235" s="125">
        <f>VLOOKUP(C235,'Talente &amp; Stuff'!ER:FT,25,FALSE)</f>
        <v>0</v>
      </c>
      <c r="AB235" s="160">
        <f>VLOOKUP(C235,'Talente &amp; Stuff'!ER:FT,26,FALSE)</f>
        <v>0</v>
      </c>
      <c r="AC235" s="127">
        <f>VLOOKUP(C235,'Talente &amp; Stuff'!ER:FT,27,FALSE)</f>
        <v>0</v>
      </c>
      <c r="AD235" s="125">
        <f>VLOOKUP(C235,'Talente &amp; Stuff'!ER:FT,28,FALSE)</f>
        <v>0</v>
      </c>
      <c r="AE235" s="28"/>
    </row>
    <row r="236" spans="2:31" ht="15" hidden="1" customHeight="1" outlineLevel="2">
      <c r="B236" s="148">
        <v>24</v>
      </c>
      <c r="C236" s="177" t="str">
        <f>Attribute!C236</f>
        <v>---</v>
      </c>
      <c r="D236" s="86" t="str">
        <f>VLOOKUP(C236,'Talente &amp; Stuff'!ER:FT,2,FALSE)</f>
        <v>--/--/--</v>
      </c>
      <c r="E236" s="167" t="str">
        <f>VLOOKUP(C236,'Talente &amp; Stuff'!ER:FT,3,FALSE)</f>
        <v>-</v>
      </c>
      <c r="F236" s="120">
        <f>VLOOKUP(C236,'Talente &amp; Stuff'!ER:FT,4,FALSE)</f>
        <v>0</v>
      </c>
      <c r="G236" s="117">
        <f>VLOOKUP(C236,'Talente &amp; Stuff'!ER:FT,5,FALSE)</f>
        <v>0</v>
      </c>
      <c r="H236" s="117">
        <f>VLOOKUP(C236,'Talente &amp; Stuff'!ER:FT,6,FALSE)</f>
        <v>0</v>
      </c>
      <c r="I236" s="117">
        <f>VLOOKUP(C236,'Talente &amp; Stuff'!ER:FT,7,FALSE)</f>
        <v>0</v>
      </c>
      <c r="J236" s="117">
        <f>VLOOKUP(C236,'Talente &amp; Stuff'!ER:FT,8,FALSE)</f>
        <v>0</v>
      </c>
      <c r="K236" s="117">
        <f>VLOOKUP(C236,'Talente &amp; Stuff'!ER:FT,9,FALSE)</f>
        <v>0</v>
      </c>
      <c r="L236" s="117">
        <f>VLOOKUP(C236,'Talente &amp; Stuff'!ER:FT,10,FALSE)</f>
        <v>0</v>
      </c>
      <c r="M236" s="121">
        <f>VLOOKUP(C236,'Talente &amp; Stuff'!ER:FT,11,FALSE)</f>
        <v>0</v>
      </c>
      <c r="N236" s="47">
        <f>VLOOKUP(C236,'Talente &amp; Stuff'!ER:FT,12,FALSE)</f>
        <v>0</v>
      </c>
      <c r="O236" s="3">
        <f>VLOOKUP(C236,'Talente &amp; Stuff'!ER:FT,13,FALSE)</f>
        <v>0</v>
      </c>
      <c r="P236" s="174">
        <f>VLOOKUP(C236,'Talente &amp; Stuff'!ER:FT,14,FALSE)</f>
        <v>0</v>
      </c>
      <c r="Q236" s="114">
        <f>VLOOKUP(C236,'Talente &amp; Stuff'!ER:FT,15,FALSE)</f>
        <v>0</v>
      </c>
      <c r="R236" s="117">
        <f>VLOOKUP(C236,'Talente &amp; Stuff'!ER:FT,16,FALSE)</f>
        <v>0</v>
      </c>
      <c r="S236" s="119">
        <f>VLOOKUP(C236,'Talente &amp; Stuff'!ER:FT,17,FALSE)</f>
        <v>0</v>
      </c>
      <c r="T236" s="119">
        <f>VLOOKUP(C236,'Talente &amp; Stuff'!ER:FT,18,FALSE)</f>
        <v>0</v>
      </c>
      <c r="U236" s="89">
        <f>VLOOKUP(C236,'Talente &amp; Stuff'!ER:FT,19,FALSE)</f>
        <v>0</v>
      </c>
      <c r="V236" s="47">
        <f>VLOOKUP(C236,'Talente &amp; Stuff'!ER:FT,20,FALSE)</f>
        <v>0</v>
      </c>
      <c r="W236" s="127">
        <f>VLOOKUP(C236,'Talente &amp; Stuff'!ER:FT,21,FALSE)</f>
        <v>0</v>
      </c>
      <c r="X236" s="127">
        <f>VLOOKUP(C236,'Talente &amp; Stuff'!ER:FT,22,FALSE)</f>
        <v>0</v>
      </c>
      <c r="Y236" s="165">
        <f t="shared" si="20"/>
        <v>0</v>
      </c>
      <c r="Z236" s="44">
        <f t="shared" si="21"/>
        <v>0</v>
      </c>
      <c r="AA236" s="125">
        <f>VLOOKUP(C236,'Talente &amp; Stuff'!ER:FT,25,FALSE)</f>
        <v>0</v>
      </c>
      <c r="AB236" s="160">
        <f>VLOOKUP(C236,'Talente &amp; Stuff'!ER:FT,26,FALSE)</f>
        <v>0</v>
      </c>
      <c r="AC236" s="127">
        <f>VLOOKUP(C236,'Talente &amp; Stuff'!ER:FT,27,FALSE)</f>
        <v>0</v>
      </c>
      <c r="AD236" s="125">
        <f>VLOOKUP(C236,'Talente &amp; Stuff'!ER:FT,28,FALSE)</f>
        <v>0</v>
      </c>
      <c r="AE236" s="28"/>
    </row>
    <row r="237" spans="2:31" ht="15" hidden="1" customHeight="1" outlineLevel="2">
      <c r="B237" s="148">
        <v>25</v>
      </c>
      <c r="C237" s="177" t="str">
        <f>Attribute!C237</f>
        <v>---</v>
      </c>
      <c r="D237" s="86" t="str">
        <f>VLOOKUP(C237,'Talente &amp; Stuff'!ER:FT,2,FALSE)</f>
        <v>--/--/--</v>
      </c>
      <c r="E237" s="167" t="str">
        <f>VLOOKUP(C237,'Talente &amp; Stuff'!ER:FT,3,FALSE)</f>
        <v>-</v>
      </c>
      <c r="F237" s="120">
        <f>VLOOKUP(C237,'Talente &amp; Stuff'!ER:FT,4,FALSE)</f>
        <v>0</v>
      </c>
      <c r="G237" s="117">
        <f>VLOOKUP(C237,'Talente &amp; Stuff'!ER:FT,5,FALSE)</f>
        <v>0</v>
      </c>
      <c r="H237" s="117">
        <f>VLOOKUP(C237,'Talente &amp; Stuff'!ER:FT,6,FALSE)</f>
        <v>0</v>
      </c>
      <c r="I237" s="117">
        <f>VLOOKUP(C237,'Talente &amp; Stuff'!ER:FT,7,FALSE)</f>
        <v>0</v>
      </c>
      <c r="J237" s="117">
        <f>VLOOKUP(C237,'Talente &amp; Stuff'!ER:FT,8,FALSE)</f>
        <v>0</v>
      </c>
      <c r="K237" s="117">
        <f>VLOOKUP(C237,'Talente &amp; Stuff'!ER:FT,9,FALSE)</f>
        <v>0</v>
      </c>
      <c r="L237" s="117">
        <f>VLOOKUP(C237,'Talente &amp; Stuff'!ER:FT,10,FALSE)</f>
        <v>0</v>
      </c>
      <c r="M237" s="121">
        <f>VLOOKUP(C237,'Talente &amp; Stuff'!ER:FT,11,FALSE)</f>
        <v>0</v>
      </c>
      <c r="N237" s="47">
        <f>VLOOKUP(C237,'Talente &amp; Stuff'!ER:FT,12,FALSE)</f>
        <v>0</v>
      </c>
      <c r="O237" s="3">
        <f>VLOOKUP(C237,'Talente &amp; Stuff'!ER:FT,13,FALSE)</f>
        <v>0</v>
      </c>
      <c r="P237" s="174">
        <f>VLOOKUP(C237,'Talente &amp; Stuff'!ER:FT,14,FALSE)</f>
        <v>0</v>
      </c>
      <c r="Q237" s="114">
        <f>VLOOKUP(C237,'Talente &amp; Stuff'!ER:FT,15,FALSE)</f>
        <v>0</v>
      </c>
      <c r="R237" s="117">
        <f>VLOOKUP(C237,'Talente &amp; Stuff'!ER:FT,16,FALSE)</f>
        <v>0</v>
      </c>
      <c r="S237" s="119">
        <f>VLOOKUP(C237,'Talente &amp; Stuff'!ER:FT,17,FALSE)</f>
        <v>0</v>
      </c>
      <c r="T237" s="119">
        <f>VLOOKUP(C237,'Talente &amp; Stuff'!ER:FT,18,FALSE)</f>
        <v>0</v>
      </c>
      <c r="U237" s="89">
        <f>VLOOKUP(C237,'Talente &amp; Stuff'!ER:FT,19,FALSE)</f>
        <v>0</v>
      </c>
      <c r="V237" s="47">
        <f>VLOOKUP(C237,'Talente &amp; Stuff'!ER:FT,20,FALSE)</f>
        <v>0</v>
      </c>
      <c r="W237" s="127">
        <f>VLOOKUP(C237,'Talente &amp; Stuff'!ER:FT,21,FALSE)</f>
        <v>0</v>
      </c>
      <c r="X237" s="127">
        <f>VLOOKUP(C237,'Talente &amp; Stuff'!ER:FT,22,FALSE)</f>
        <v>0</v>
      </c>
      <c r="Y237" s="165">
        <f t="shared" si="20"/>
        <v>0</v>
      </c>
      <c r="Z237" s="44">
        <f t="shared" si="21"/>
        <v>0</v>
      </c>
      <c r="AA237" s="125">
        <f>VLOOKUP(C237,'Talente &amp; Stuff'!ER:FT,25,FALSE)</f>
        <v>0</v>
      </c>
      <c r="AB237" s="160">
        <f>VLOOKUP(C237,'Talente &amp; Stuff'!ER:FT,26,FALSE)</f>
        <v>0</v>
      </c>
      <c r="AC237" s="127">
        <f>VLOOKUP(C237,'Talente &amp; Stuff'!ER:FT,27,FALSE)</f>
        <v>0</v>
      </c>
      <c r="AD237" s="125">
        <f>VLOOKUP(C237,'Talente &amp; Stuff'!ER:FT,28,FALSE)</f>
        <v>0</v>
      </c>
      <c r="AE237" s="28"/>
    </row>
    <row r="238" spans="2:31" ht="15" hidden="1" customHeight="1" outlineLevel="2">
      <c r="B238" s="148">
        <v>26</v>
      </c>
      <c r="C238" s="177" t="str">
        <f>Attribute!C238</f>
        <v>---</v>
      </c>
      <c r="D238" s="86" t="str">
        <f>VLOOKUP(C238,'Talente &amp; Stuff'!ER:FT,2,FALSE)</f>
        <v>--/--/--</v>
      </c>
      <c r="E238" s="167" t="str">
        <f>VLOOKUP(C238,'Talente &amp; Stuff'!ER:FT,3,FALSE)</f>
        <v>-</v>
      </c>
      <c r="F238" s="120">
        <f>VLOOKUP(C238,'Talente &amp; Stuff'!ER:FT,4,FALSE)</f>
        <v>0</v>
      </c>
      <c r="G238" s="117">
        <f>VLOOKUP(C238,'Talente &amp; Stuff'!ER:FT,5,FALSE)</f>
        <v>0</v>
      </c>
      <c r="H238" s="117">
        <f>VLOOKUP(C238,'Talente &amp; Stuff'!ER:FT,6,FALSE)</f>
        <v>0</v>
      </c>
      <c r="I238" s="117">
        <f>VLOOKUP(C238,'Talente &amp; Stuff'!ER:FT,7,FALSE)</f>
        <v>0</v>
      </c>
      <c r="J238" s="117">
        <f>VLOOKUP(C238,'Talente &amp; Stuff'!ER:FT,8,FALSE)</f>
        <v>0</v>
      </c>
      <c r="K238" s="117">
        <f>VLOOKUP(C238,'Talente &amp; Stuff'!ER:FT,9,FALSE)</f>
        <v>0</v>
      </c>
      <c r="L238" s="117">
        <f>VLOOKUP(C238,'Talente &amp; Stuff'!ER:FT,10,FALSE)</f>
        <v>0</v>
      </c>
      <c r="M238" s="121">
        <f>VLOOKUP(C238,'Talente &amp; Stuff'!ER:FT,11,FALSE)</f>
        <v>0</v>
      </c>
      <c r="N238" s="47">
        <f>VLOOKUP(C238,'Talente &amp; Stuff'!ER:FT,12,FALSE)</f>
        <v>0</v>
      </c>
      <c r="O238" s="3">
        <f>VLOOKUP(C238,'Talente &amp; Stuff'!ER:FT,13,FALSE)</f>
        <v>0</v>
      </c>
      <c r="P238" s="174">
        <f>VLOOKUP(C238,'Talente &amp; Stuff'!ER:FT,14,FALSE)</f>
        <v>0</v>
      </c>
      <c r="Q238" s="114">
        <f>VLOOKUP(C238,'Talente &amp; Stuff'!ER:FT,15,FALSE)</f>
        <v>0</v>
      </c>
      <c r="R238" s="117">
        <f>VLOOKUP(C238,'Talente &amp; Stuff'!ER:FT,16,FALSE)</f>
        <v>0</v>
      </c>
      <c r="S238" s="119">
        <f>VLOOKUP(C238,'Talente &amp; Stuff'!ER:FT,17,FALSE)</f>
        <v>0</v>
      </c>
      <c r="T238" s="119">
        <f>VLOOKUP(C238,'Talente &amp; Stuff'!ER:FT,18,FALSE)</f>
        <v>0</v>
      </c>
      <c r="U238" s="89">
        <f>VLOOKUP(C238,'Talente &amp; Stuff'!ER:FT,19,FALSE)</f>
        <v>0</v>
      </c>
      <c r="V238" s="47">
        <f>VLOOKUP(C238,'Talente &amp; Stuff'!ER:FT,20,FALSE)</f>
        <v>0</v>
      </c>
      <c r="W238" s="127">
        <f>VLOOKUP(C238,'Talente &amp; Stuff'!ER:FT,21,FALSE)</f>
        <v>0</v>
      </c>
      <c r="X238" s="127">
        <f>VLOOKUP(C238,'Talente &amp; Stuff'!ER:FT,22,FALSE)</f>
        <v>0</v>
      </c>
      <c r="Y238" s="165">
        <f t="shared" si="20"/>
        <v>0</v>
      </c>
      <c r="Z238" s="44">
        <f t="shared" si="21"/>
        <v>0</v>
      </c>
      <c r="AA238" s="125">
        <f>VLOOKUP(C238,'Talente &amp; Stuff'!ER:FT,25,FALSE)</f>
        <v>0</v>
      </c>
      <c r="AB238" s="160">
        <f>VLOOKUP(C238,'Talente &amp; Stuff'!ER:FT,26,FALSE)</f>
        <v>0</v>
      </c>
      <c r="AC238" s="127">
        <f>VLOOKUP(C238,'Talente &amp; Stuff'!ER:FT,27,FALSE)</f>
        <v>0</v>
      </c>
      <c r="AD238" s="125">
        <f>VLOOKUP(C238,'Talente &amp; Stuff'!ER:FT,28,FALSE)</f>
        <v>0</v>
      </c>
      <c r="AE238" s="28"/>
    </row>
    <row r="239" spans="2:31" ht="15" hidden="1" customHeight="1" outlineLevel="2">
      <c r="B239" s="148">
        <v>27</v>
      </c>
      <c r="C239" s="177" t="str">
        <f>Attribute!C239</f>
        <v>---</v>
      </c>
      <c r="D239" s="86" t="str">
        <f>VLOOKUP(C239,'Talente &amp; Stuff'!ER:FT,2,FALSE)</f>
        <v>--/--/--</v>
      </c>
      <c r="E239" s="167" t="str">
        <f>VLOOKUP(C239,'Talente &amp; Stuff'!ER:FT,3,FALSE)</f>
        <v>-</v>
      </c>
      <c r="F239" s="120">
        <f>VLOOKUP(C239,'Talente &amp; Stuff'!ER:FT,4,FALSE)</f>
        <v>0</v>
      </c>
      <c r="G239" s="117">
        <f>VLOOKUP(C239,'Talente &amp; Stuff'!ER:FT,5,FALSE)</f>
        <v>0</v>
      </c>
      <c r="H239" s="117">
        <f>VLOOKUP(C239,'Talente &amp; Stuff'!ER:FT,6,FALSE)</f>
        <v>0</v>
      </c>
      <c r="I239" s="117">
        <f>VLOOKUP(C239,'Talente &amp; Stuff'!ER:FT,7,FALSE)</f>
        <v>0</v>
      </c>
      <c r="J239" s="117">
        <f>VLOOKUP(C239,'Talente &amp; Stuff'!ER:FT,8,FALSE)</f>
        <v>0</v>
      </c>
      <c r="K239" s="117">
        <f>VLOOKUP(C239,'Talente &amp; Stuff'!ER:FT,9,FALSE)</f>
        <v>0</v>
      </c>
      <c r="L239" s="117">
        <f>VLOOKUP(C239,'Talente &amp; Stuff'!ER:FT,10,FALSE)</f>
        <v>0</v>
      </c>
      <c r="M239" s="121">
        <f>VLOOKUP(C239,'Talente &amp; Stuff'!ER:FT,11,FALSE)</f>
        <v>0</v>
      </c>
      <c r="N239" s="47">
        <f>VLOOKUP(C239,'Talente &amp; Stuff'!ER:FT,12,FALSE)</f>
        <v>0</v>
      </c>
      <c r="O239" s="3">
        <f>VLOOKUP(C239,'Talente &amp; Stuff'!ER:FT,13,FALSE)</f>
        <v>0</v>
      </c>
      <c r="P239" s="174">
        <f>VLOOKUP(C239,'Talente &amp; Stuff'!ER:FT,14,FALSE)</f>
        <v>0</v>
      </c>
      <c r="Q239" s="114">
        <f>VLOOKUP(C239,'Talente &amp; Stuff'!ER:FT,15,FALSE)</f>
        <v>0</v>
      </c>
      <c r="R239" s="117">
        <f>VLOOKUP(C239,'Talente &amp; Stuff'!ER:FT,16,FALSE)</f>
        <v>0</v>
      </c>
      <c r="S239" s="119">
        <f>VLOOKUP(C239,'Talente &amp; Stuff'!ER:FT,17,FALSE)</f>
        <v>0</v>
      </c>
      <c r="T239" s="119">
        <f>VLOOKUP(C239,'Talente &amp; Stuff'!ER:FT,18,FALSE)</f>
        <v>0</v>
      </c>
      <c r="U239" s="89">
        <f>VLOOKUP(C239,'Talente &amp; Stuff'!ER:FT,19,FALSE)</f>
        <v>0</v>
      </c>
      <c r="V239" s="47">
        <f>VLOOKUP(C239,'Talente &amp; Stuff'!ER:FT,20,FALSE)</f>
        <v>0</v>
      </c>
      <c r="W239" s="127">
        <f>VLOOKUP(C239,'Talente &amp; Stuff'!ER:FT,21,FALSE)</f>
        <v>0</v>
      </c>
      <c r="X239" s="127">
        <f>VLOOKUP(C239,'Talente &amp; Stuff'!ER:FT,22,FALSE)</f>
        <v>0</v>
      </c>
      <c r="Y239" s="165">
        <f t="shared" si="20"/>
        <v>0</v>
      </c>
      <c r="Z239" s="44">
        <f t="shared" si="21"/>
        <v>0</v>
      </c>
      <c r="AA239" s="125">
        <f>VLOOKUP(C239,'Talente &amp; Stuff'!ER:FT,25,FALSE)</f>
        <v>0</v>
      </c>
      <c r="AB239" s="160">
        <f>VLOOKUP(C239,'Talente &amp; Stuff'!ER:FT,26,FALSE)</f>
        <v>0</v>
      </c>
      <c r="AC239" s="127">
        <f>VLOOKUP(C239,'Talente &amp; Stuff'!ER:FT,27,FALSE)</f>
        <v>0</v>
      </c>
      <c r="AD239" s="125">
        <f>VLOOKUP(C239,'Talente &amp; Stuff'!ER:FT,28,FALSE)</f>
        <v>0</v>
      </c>
      <c r="AE239" s="28"/>
    </row>
    <row r="240" spans="2:31" ht="15" hidden="1" customHeight="1" outlineLevel="2">
      <c r="B240" s="148">
        <v>28</v>
      </c>
      <c r="C240" s="177" t="str">
        <f>Attribute!C240</f>
        <v>---</v>
      </c>
      <c r="D240" s="86" t="str">
        <f>VLOOKUP(C240,'Talente &amp; Stuff'!ER:FT,2,FALSE)</f>
        <v>--/--/--</v>
      </c>
      <c r="E240" s="167" t="str">
        <f>VLOOKUP(C240,'Talente &amp; Stuff'!ER:FT,3,FALSE)</f>
        <v>-</v>
      </c>
      <c r="F240" s="120">
        <f>VLOOKUP(C240,'Talente &amp; Stuff'!ER:FT,4,FALSE)</f>
        <v>0</v>
      </c>
      <c r="G240" s="117">
        <f>VLOOKUP(C240,'Talente &amp; Stuff'!ER:FT,5,FALSE)</f>
        <v>0</v>
      </c>
      <c r="H240" s="117">
        <f>VLOOKUP(C240,'Talente &amp; Stuff'!ER:FT,6,FALSE)</f>
        <v>0</v>
      </c>
      <c r="I240" s="117">
        <f>VLOOKUP(C240,'Talente &amp; Stuff'!ER:FT,7,FALSE)</f>
        <v>0</v>
      </c>
      <c r="J240" s="117">
        <f>VLOOKUP(C240,'Talente &amp; Stuff'!ER:FT,8,FALSE)</f>
        <v>0</v>
      </c>
      <c r="K240" s="117">
        <f>VLOOKUP(C240,'Talente &amp; Stuff'!ER:FT,9,FALSE)</f>
        <v>0</v>
      </c>
      <c r="L240" s="117">
        <f>VLOOKUP(C240,'Talente &amp; Stuff'!ER:FT,10,FALSE)</f>
        <v>0</v>
      </c>
      <c r="M240" s="121">
        <f>VLOOKUP(C240,'Talente &amp; Stuff'!ER:FT,11,FALSE)</f>
        <v>0</v>
      </c>
      <c r="N240" s="47">
        <f>VLOOKUP(C240,'Talente &amp; Stuff'!ER:FT,12,FALSE)</f>
        <v>0</v>
      </c>
      <c r="O240" s="3">
        <f>VLOOKUP(C240,'Talente &amp; Stuff'!ER:FT,13,FALSE)</f>
        <v>0</v>
      </c>
      <c r="P240" s="174">
        <f>VLOOKUP(C240,'Talente &amp; Stuff'!ER:FT,14,FALSE)</f>
        <v>0</v>
      </c>
      <c r="Q240" s="114">
        <f>VLOOKUP(C240,'Talente &amp; Stuff'!ER:FT,15,FALSE)</f>
        <v>0</v>
      </c>
      <c r="R240" s="117">
        <f>VLOOKUP(C240,'Talente &amp; Stuff'!ER:FT,16,FALSE)</f>
        <v>0</v>
      </c>
      <c r="S240" s="119">
        <f>VLOOKUP(C240,'Talente &amp; Stuff'!ER:FT,17,FALSE)</f>
        <v>0</v>
      </c>
      <c r="T240" s="119">
        <f>VLOOKUP(C240,'Talente &amp; Stuff'!ER:FT,18,FALSE)</f>
        <v>0</v>
      </c>
      <c r="U240" s="89">
        <f>VLOOKUP(C240,'Talente &amp; Stuff'!ER:FT,19,FALSE)</f>
        <v>0</v>
      </c>
      <c r="V240" s="47">
        <f>VLOOKUP(C240,'Talente &amp; Stuff'!ER:FT,20,FALSE)</f>
        <v>0</v>
      </c>
      <c r="W240" s="127">
        <f>VLOOKUP(C240,'Talente &amp; Stuff'!ER:FT,21,FALSE)</f>
        <v>0</v>
      </c>
      <c r="X240" s="127">
        <f>VLOOKUP(C240,'Talente &amp; Stuff'!ER:FT,22,FALSE)</f>
        <v>0</v>
      </c>
      <c r="Y240" s="165">
        <f t="shared" si="20"/>
        <v>0</v>
      </c>
      <c r="Z240" s="44">
        <f t="shared" si="21"/>
        <v>0</v>
      </c>
      <c r="AA240" s="125">
        <f>VLOOKUP(C240,'Talente &amp; Stuff'!ER:FT,25,FALSE)</f>
        <v>0</v>
      </c>
      <c r="AB240" s="160">
        <f>VLOOKUP(C240,'Talente &amp; Stuff'!ER:FT,26,FALSE)</f>
        <v>0</v>
      </c>
      <c r="AC240" s="127">
        <f>VLOOKUP(C240,'Talente &amp; Stuff'!ER:FT,27,FALSE)</f>
        <v>0</v>
      </c>
      <c r="AD240" s="125">
        <f>VLOOKUP(C240,'Talente &amp; Stuff'!ER:FT,28,FALSE)</f>
        <v>0</v>
      </c>
      <c r="AE240" s="28"/>
    </row>
    <row r="241" spans="2:31" ht="15" hidden="1" customHeight="1" outlineLevel="2">
      <c r="B241" s="148">
        <v>29</v>
      </c>
      <c r="C241" s="177" t="str">
        <f>Attribute!C241</f>
        <v>---</v>
      </c>
      <c r="D241" s="125" t="str">
        <f>VLOOKUP(C241,'Talente &amp; Stuff'!ER:FT,2,FALSE)</f>
        <v>--/--/--</v>
      </c>
      <c r="E241" s="127" t="str">
        <f>VLOOKUP(C241,'Talente &amp; Stuff'!ER:FT,3,FALSE)</f>
        <v>-</v>
      </c>
      <c r="F241" s="114">
        <f>VLOOKUP(C241,'Talente &amp; Stuff'!ER:FT,4,FALSE)</f>
        <v>0</v>
      </c>
      <c r="G241" s="113">
        <f>VLOOKUP(C241,'Talente &amp; Stuff'!ER:FT,5,FALSE)</f>
        <v>0</v>
      </c>
      <c r="H241" s="113">
        <f>VLOOKUP(C241,'Talente &amp; Stuff'!ER:FT,6,FALSE)</f>
        <v>0</v>
      </c>
      <c r="I241" s="113">
        <f>VLOOKUP(C241,'Talente &amp; Stuff'!ER:FT,7,FALSE)</f>
        <v>0</v>
      </c>
      <c r="J241" s="113">
        <f>VLOOKUP(C241,'Talente &amp; Stuff'!ER:FT,8,FALSE)</f>
        <v>0</v>
      </c>
      <c r="K241" s="113">
        <f>VLOOKUP(C241,'Talente &amp; Stuff'!ER:FT,9,FALSE)</f>
        <v>0</v>
      </c>
      <c r="L241" s="113">
        <f>VLOOKUP(C241,'Talente &amp; Stuff'!ER:FT,10,FALSE)</f>
        <v>0</v>
      </c>
      <c r="M241" s="119">
        <f>VLOOKUP(C241,'Talente &amp; Stuff'!ER:FT,11,FALSE)</f>
        <v>0</v>
      </c>
      <c r="N241" s="47">
        <f>VLOOKUP(C241,'Talente &amp; Stuff'!ER:FT,12,FALSE)</f>
        <v>0</v>
      </c>
      <c r="O241" s="47">
        <f>VLOOKUP(C241,'Talente &amp; Stuff'!ER:FT,13,FALSE)</f>
        <v>0</v>
      </c>
      <c r="P241" s="119">
        <f>VLOOKUP(C241,'Talente &amp; Stuff'!ER:FT,14,FALSE)</f>
        <v>0</v>
      </c>
      <c r="Q241" s="114">
        <f>VLOOKUP(C241,'Talente &amp; Stuff'!ER:FT,15,FALSE)</f>
        <v>0</v>
      </c>
      <c r="R241" s="113">
        <f>VLOOKUP(C241,'Talente &amp; Stuff'!ER:FT,16,FALSE)</f>
        <v>0</v>
      </c>
      <c r="S241" s="119">
        <f>VLOOKUP(C241,'Talente &amp; Stuff'!ER:FT,17,FALSE)</f>
        <v>0</v>
      </c>
      <c r="T241" s="119">
        <f>VLOOKUP(C241,'Talente &amp; Stuff'!ER:FT,18,FALSE)</f>
        <v>0</v>
      </c>
      <c r="U241" s="89">
        <f>VLOOKUP(C241,'Talente &amp; Stuff'!ER:FT,19,FALSE)</f>
        <v>0</v>
      </c>
      <c r="V241" s="47">
        <f>VLOOKUP(C241,'Talente &amp; Stuff'!ER:FT,20,FALSE)</f>
        <v>0</v>
      </c>
      <c r="W241" s="127">
        <f>VLOOKUP(C241,'Talente &amp; Stuff'!ER:FT,21,FALSE)</f>
        <v>0</v>
      </c>
      <c r="X241" s="127">
        <f>VLOOKUP(C241,'Talente &amp; Stuff'!ER:FT,22,FALSE)</f>
        <v>0</v>
      </c>
      <c r="Y241" s="165">
        <f t="shared" si="20"/>
        <v>0</v>
      </c>
      <c r="Z241" s="44">
        <f t="shared" si="21"/>
        <v>0</v>
      </c>
      <c r="AA241" s="125">
        <f>VLOOKUP(C241,'Talente &amp; Stuff'!ER:FT,25,FALSE)</f>
        <v>0</v>
      </c>
      <c r="AB241" s="160">
        <f>VLOOKUP(C241,'Talente &amp; Stuff'!ER:FT,26,FALSE)</f>
        <v>0</v>
      </c>
      <c r="AC241" s="127">
        <f>VLOOKUP(C241,'Talente &amp; Stuff'!ER:FT,27,FALSE)</f>
        <v>0</v>
      </c>
      <c r="AD241" s="125">
        <f>VLOOKUP(C241,'Talente &amp; Stuff'!ER:FT,28,FALSE)</f>
        <v>0</v>
      </c>
      <c r="AE241" s="28"/>
    </row>
    <row r="242" spans="2:31" ht="15" hidden="1" customHeight="1" outlineLevel="2">
      <c r="B242" s="148">
        <v>30</v>
      </c>
      <c r="C242" s="177" t="str">
        <f>Attribute!C242</f>
        <v>---</v>
      </c>
      <c r="D242" s="125" t="str">
        <f>VLOOKUP(C242,'Talente &amp; Stuff'!ER:FT,2,FALSE)</f>
        <v>--/--/--</v>
      </c>
      <c r="E242" s="127" t="str">
        <f>VLOOKUP(C242,'Talente &amp; Stuff'!ER:FT,3,FALSE)</f>
        <v>-</v>
      </c>
      <c r="F242" s="114">
        <f>VLOOKUP(C242,'Talente &amp; Stuff'!ER:FT,4,FALSE)</f>
        <v>0</v>
      </c>
      <c r="G242" s="113">
        <f>VLOOKUP(C242,'Talente &amp; Stuff'!ER:FT,5,FALSE)</f>
        <v>0</v>
      </c>
      <c r="H242" s="113">
        <f>VLOOKUP(C242,'Talente &amp; Stuff'!ER:FT,6,FALSE)</f>
        <v>0</v>
      </c>
      <c r="I242" s="113">
        <f>VLOOKUP(C242,'Talente &amp; Stuff'!ER:FT,7,FALSE)</f>
        <v>0</v>
      </c>
      <c r="J242" s="113">
        <f>VLOOKUP(C242,'Talente &amp; Stuff'!ER:FT,8,FALSE)</f>
        <v>0</v>
      </c>
      <c r="K242" s="113">
        <f>VLOOKUP(C242,'Talente &amp; Stuff'!ER:FT,9,FALSE)</f>
        <v>0</v>
      </c>
      <c r="L242" s="113">
        <f>VLOOKUP(C242,'Talente &amp; Stuff'!ER:FT,10,FALSE)</f>
        <v>0</v>
      </c>
      <c r="M242" s="119">
        <f>VLOOKUP(C242,'Talente &amp; Stuff'!ER:FT,11,FALSE)</f>
        <v>0</v>
      </c>
      <c r="N242" s="47">
        <f>VLOOKUP(C242,'Talente &amp; Stuff'!ER:FT,12,FALSE)</f>
        <v>0</v>
      </c>
      <c r="O242" s="47">
        <f>VLOOKUP(C242,'Talente &amp; Stuff'!ER:FT,13,FALSE)</f>
        <v>0</v>
      </c>
      <c r="P242" s="119">
        <f>VLOOKUP(C242,'Talente &amp; Stuff'!ER:FT,14,FALSE)</f>
        <v>0</v>
      </c>
      <c r="Q242" s="114">
        <f>VLOOKUP(C242,'Talente &amp; Stuff'!ER:FT,15,FALSE)</f>
        <v>0</v>
      </c>
      <c r="R242" s="113">
        <f>VLOOKUP(C242,'Talente &amp; Stuff'!ER:FT,16,FALSE)</f>
        <v>0</v>
      </c>
      <c r="S242" s="119">
        <f>VLOOKUP(C242,'Talente &amp; Stuff'!ER:FT,17,FALSE)</f>
        <v>0</v>
      </c>
      <c r="T242" s="119">
        <f>VLOOKUP(C242,'Talente &amp; Stuff'!ER:FT,18,FALSE)</f>
        <v>0</v>
      </c>
      <c r="U242" s="89">
        <f>VLOOKUP(C242,'Talente &amp; Stuff'!ER:FT,19,FALSE)</f>
        <v>0</v>
      </c>
      <c r="V242" s="47">
        <f>VLOOKUP(C242,'Talente &amp; Stuff'!ER:FT,20,FALSE)</f>
        <v>0</v>
      </c>
      <c r="W242" s="127">
        <f>VLOOKUP(C242,'Talente &amp; Stuff'!ER:FT,21,FALSE)</f>
        <v>0</v>
      </c>
      <c r="X242" s="127">
        <f>VLOOKUP(C242,'Talente &amp; Stuff'!ER:FT,22,FALSE)</f>
        <v>0</v>
      </c>
      <c r="Y242" s="165">
        <f t="shared" si="20"/>
        <v>0</v>
      </c>
      <c r="Z242" s="44">
        <f t="shared" si="21"/>
        <v>0</v>
      </c>
      <c r="AA242" s="125">
        <f>VLOOKUP(C242,'Talente &amp; Stuff'!ER:FT,25,FALSE)</f>
        <v>0</v>
      </c>
      <c r="AB242" s="160">
        <f>VLOOKUP(C242,'Talente &amp; Stuff'!ER:FT,26,FALSE)</f>
        <v>0</v>
      </c>
      <c r="AC242" s="127">
        <f>VLOOKUP(C242,'Talente &amp; Stuff'!ER:FT,27,FALSE)</f>
        <v>0</v>
      </c>
      <c r="AD242" s="125">
        <f>VLOOKUP(C242,'Talente &amp; Stuff'!ER:FT,28,FALSE)</f>
        <v>0</v>
      </c>
      <c r="AE242" s="28"/>
    </row>
    <row r="243" spans="2:31" ht="15" hidden="1" customHeight="1" outlineLevel="2">
      <c r="B243" s="148">
        <v>31</v>
      </c>
      <c r="C243" s="177" t="str">
        <f>Attribute!C243</f>
        <v>---</v>
      </c>
      <c r="D243" s="125" t="str">
        <f>VLOOKUP(C243,'Talente &amp; Stuff'!ER:FT,2,FALSE)</f>
        <v>--/--/--</v>
      </c>
      <c r="E243" s="127" t="str">
        <f>VLOOKUP(C243,'Talente &amp; Stuff'!ER:FT,3,FALSE)</f>
        <v>-</v>
      </c>
      <c r="F243" s="114">
        <f>VLOOKUP(C243,'Talente &amp; Stuff'!ER:FT,4,FALSE)</f>
        <v>0</v>
      </c>
      <c r="G243" s="113">
        <f>VLOOKUP(C243,'Talente &amp; Stuff'!ER:FT,5,FALSE)</f>
        <v>0</v>
      </c>
      <c r="H243" s="113">
        <f>VLOOKUP(C243,'Talente &amp; Stuff'!ER:FT,6,FALSE)</f>
        <v>0</v>
      </c>
      <c r="I243" s="113">
        <f>VLOOKUP(C243,'Talente &amp; Stuff'!ER:FT,7,FALSE)</f>
        <v>0</v>
      </c>
      <c r="J243" s="113">
        <f>VLOOKUP(C243,'Talente &amp; Stuff'!ER:FT,8,FALSE)</f>
        <v>0</v>
      </c>
      <c r="K243" s="113">
        <f>VLOOKUP(C243,'Talente &amp; Stuff'!ER:FT,9,FALSE)</f>
        <v>0</v>
      </c>
      <c r="L243" s="113">
        <f>VLOOKUP(C243,'Talente &amp; Stuff'!ER:FT,10,FALSE)</f>
        <v>0</v>
      </c>
      <c r="M243" s="119">
        <f>VLOOKUP(C243,'Talente &amp; Stuff'!ER:FT,11,FALSE)</f>
        <v>0</v>
      </c>
      <c r="N243" s="47">
        <f>VLOOKUP(C243,'Talente &amp; Stuff'!ER:FT,12,FALSE)</f>
        <v>0</v>
      </c>
      <c r="O243" s="47">
        <f>VLOOKUP(C243,'Talente &amp; Stuff'!ER:FT,13,FALSE)</f>
        <v>0</v>
      </c>
      <c r="P243" s="119">
        <f>VLOOKUP(C243,'Talente &amp; Stuff'!ER:FT,14,FALSE)</f>
        <v>0</v>
      </c>
      <c r="Q243" s="114">
        <f>VLOOKUP(C243,'Talente &amp; Stuff'!ER:FT,15,FALSE)</f>
        <v>0</v>
      </c>
      <c r="R243" s="113">
        <f>VLOOKUP(C243,'Talente &amp; Stuff'!ER:FT,16,FALSE)</f>
        <v>0</v>
      </c>
      <c r="S243" s="119">
        <f>VLOOKUP(C243,'Talente &amp; Stuff'!ER:FT,17,FALSE)</f>
        <v>0</v>
      </c>
      <c r="T243" s="119">
        <f>VLOOKUP(C243,'Talente &amp; Stuff'!ER:FT,18,FALSE)</f>
        <v>0</v>
      </c>
      <c r="U243" s="89">
        <f>VLOOKUP(C243,'Talente &amp; Stuff'!ER:FT,19,FALSE)</f>
        <v>0</v>
      </c>
      <c r="V243" s="47">
        <f>VLOOKUP(C243,'Talente &amp; Stuff'!ER:FT,20,FALSE)</f>
        <v>0</v>
      </c>
      <c r="W243" s="127">
        <f>VLOOKUP(C243,'Talente &amp; Stuff'!ER:FT,21,FALSE)</f>
        <v>0</v>
      </c>
      <c r="X243" s="127">
        <f>VLOOKUP(C243,'Talente &amp; Stuff'!ER:FT,22,FALSE)</f>
        <v>0</v>
      </c>
      <c r="Y243" s="165">
        <f t="shared" si="20"/>
        <v>0</v>
      </c>
      <c r="Z243" s="44">
        <f t="shared" si="21"/>
        <v>0</v>
      </c>
      <c r="AA243" s="125">
        <f>VLOOKUP(C243,'Talente &amp; Stuff'!ER:FT,25,FALSE)</f>
        <v>0</v>
      </c>
      <c r="AB243" s="160">
        <f>VLOOKUP(C243,'Talente &amp; Stuff'!ER:FT,26,FALSE)</f>
        <v>0</v>
      </c>
      <c r="AC243" s="127">
        <f>VLOOKUP(C243,'Talente &amp; Stuff'!ER:FT,27,FALSE)</f>
        <v>0</v>
      </c>
      <c r="AD243" s="125">
        <f>VLOOKUP(C243,'Talente &amp; Stuff'!ER:FT,28,FALSE)</f>
        <v>0</v>
      </c>
      <c r="AE243" s="28"/>
    </row>
    <row r="244" spans="2:31" ht="15" hidden="1" customHeight="1" outlineLevel="2">
      <c r="B244" s="148">
        <v>32</v>
      </c>
      <c r="C244" s="177" t="str">
        <f>Attribute!C244</f>
        <v>---</v>
      </c>
      <c r="D244" s="125" t="str">
        <f>VLOOKUP(C244,'Talente &amp; Stuff'!ER:FT,2,FALSE)</f>
        <v>--/--/--</v>
      </c>
      <c r="E244" s="127" t="str">
        <f>VLOOKUP(C244,'Talente &amp; Stuff'!ER:FT,3,FALSE)</f>
        <v>-</v>
      </c>
      <c r="F244" s="114">
        <f>VLOOKUP(C244,'Talente &amp; Stuff'!ER:FT,4,FALSE)</f>
        <v>0</v>
      </c>
      <c r="G244" s="113">
        <f>VLOOKUP(C244,'Talente &amp; Stuff'!ER:FT,5,FALSE)</f>
        <v>0</v>
      </c>
      <c r="H244" s="113">
        <f>VLOOKUP(C244,'Talente &amp; Stuff'!ER:FT,6,FALSE)</f>
        <v>0</v>
      </c>
      <c r="I244" s="113">
        <f>VLOOKUP(C244,'Talente &amp; Stuff'!ER:FT,7,FALSE)</f>
        <v>0</v>
      </c>
      <c r="J244" s="113">
        <f>VLOOKUP(C244,'Talente &amp; Stuff'!ER:FT,8,FALSE)</f>
        <v>0</v>
      </c>
      <c r="K244" s="113">
        <f>VLOOKUP(C244,'Talente &amp; Stuff'!ER:FT,9,FALSE)</f>
        <v>0</v>
      </c>
      <c r="L244" s="113">
        <f>VLOOKUP(C244,'Talente &amp; Stuff'!ER:FT,10,FALSE)</f>
        <v>0</v>
      </c>
      <c r="M244" s="119">
        <f>VLOOKUP(C244,'Talente &amp; Stuff'!ER:FT,11,FALSE)</f>
        <v>0</v>
      </c>
      <c r="N244" s="47">
        <f>VLOOKUP(C244,'Talente &amp; Stuff'!ER:FT,12,FALSE)</f>
        <v>0</v>
      </c>
      <c r="O244" s="47">
        <f>VLOOKUP(C244,'Talente &amp; Stuff'!ER:FT,13,FALSE)</f>
        <v>0</v>
      </c>
      <c r="P244" s="119">
        <f>VLOOKUP(C244,'Talente &amp; Stuff'!ER:FT,14,FALSE)</f>
        <v>0</v>
      </c>
      <c r="Q244" s="114">
        <f>VLOOKUP(C244,'Talente &amp; Stuff'!ER:FT,15,FALSE)</f>
        <v>0</v>
      </c>
      <c r="R244" s="113">
        <f>VLOOKUP(C244,'Talente &amp; Stuff'!ER:FT,16,FALSE)</f>
        <v>0</v>
      </c>
      <c r="S244" s="119">
        <f>VLOOKUP(C244,'Talente &amp; Stuff'!ER:FT,17,FALSE)</f>
        <v>0</v>
      </c>
      <c r="T244" s="119">
        <f>VLOOKUP(C244,'Talente &amp; Stuff'!ER:FT,18,FALSE)</f>
        <v>0</v>
      </c>
      <c r="U244" s="89">
        <f>VLOOKUP(C244,'Talente &amp; Stuff'!ER:FT,19,FALSE)</f>
        <v>0</v>
      </c>
      <c r="V244" s="47">
        <f>VLOOKUP(C244,'Talente &amp; Stuff'!ER:FT,20,FALSE)</f>
        <v>0</v>
      </c>
      <c r="W244" s="127">
        <f>VLOOKUP(C244,'Talente &amp; Stuff'!ER:FT,21,FALSE)</f>
        <v>0</v>
      </c>
      <c r="X244" s="127">
        <f>VLOOKUP(C244,'Talente &amp; Stuff'!ER:FT,22,FALSE)</f>
        <v>0</v>
      </c>
      <c r="Y244" s="165">
        <f t="shared" si="20"/>
        <v>0</v>
      </c>
      <c r="Z244" s="44">
        <f t="shared" si="21"/>
        <v>0</v>
      </c>
      <c r="AA244" s="125">
        <f>VLOOKUP(C244,'Talente &amp; Stuff'!ER:FT,25,FALSE)</f>
        <v>0</v>
      </c>
      <c r="AB244" s="160">
        <f>VLOOKUP(C244,'Talente &amp; Stuff'!ER:FT,26,FALSE)</f>
        <v>0</v>
      </c>
      <c r="AC244" s="127">
        <f>VLOOKUP(C244,'Talente &amp; Stuff'!ER:FT,27,FALSE)</f>
        <v>0</v>
      </c>
      <c r="AD244" s="125">
        <f>VLOOKUP(C244,'Talente &amp; Stuff'!ER:FT,28,FALSE)</f>
        <v>0</v>
      </c>
      <c r="AE244" s="28"/>
    </row>
    <row r="245" spans="2:31" ht="15" hidden="1" customHeight="1" outlineLevel="2">
      <c r="B245" s="148">
        <v>33</v>
      </c>
      <c r="C245" s="177" t="str">
        <f>Attribute!C245</f>
        <v>---</v>
      </c>
      <c r="D245" s="125" t="str">
        <f>VLOOKUP(C245,'Talente &amp; Stuff'!ER:FT,2,FALSE)</f>
        <v>--/--/--</v>
      </c>
      <c r="E245" s="127" t="str">
        <f>VLOOKUP(C245,'Talente &amp; Stuff'!ER:FT,3,FALSE)</f>
        <v>-</v>
      </c>
      <c r="F245" s="114">
        <f>VLOOKUP(C245,'Talente &amp; Stuff'!ER:FT,4,FALSE)</f>
        <v>0</v>
      </c>
      <c r="G245" s="113">
        <f>VLOOKUP(C245,'Talente &amp; Stuff'!ER:FT,5,FALSE)</f>
        <v>0</v>
      </c>
      <c r="H245" s="113">
        <f>VLOOKUP(C245,'Talente &amp; Stuff'!ER:FT,6,FALSE)</f>
        <v>0</v>
      </c>
      <c r="I245" s="113">
        <f>VLOOKUP(C245,'Talente &amp; Stuff'!ER:FT,7,FALSE)</f>
        <v>0</v>
      </c>
      <c r="J245" s="113">
        <f>VLOOKUP(C245,'Talente &amp; Stuff'!ER:FT,8,FALSE)</f>
        <v>0</v>
      </c>
      <c r="K245" s="113">
        <f>VLOOKUP(C245,'Talente &amp; Stuff'!ER:FT,9,FALSE)</f>
        <v>0</v>
      </c>
      <c r="L245" s="113">
        <f>VLOOKUP(C245,'Talente &amp; Stuff'!ER:FT,10,FALSE)</f>
        <v>0</v>
      </c>
      <c r="M245" s="119">
        <f>VLOOKUP(C245,'Talente &amp; Stuff'!ER:FT,11,FALSE)</f>
        <v>0</v>
      </c>
      <c r="N245" s="47">
        <f>VLOOKUP(C245,'Talente &amp; Stuff'!ER:FT,12,FALSE)</f>
        <v>0</v>
      </c>
      <c r="O245" s="47">
        <f>VLOOKUP(C245,'Talente &amp; Stuff'!ER:FT,13,FALSE)</f>
        <v>0</v>
      </c>
      <c r="P245" s="119">
        <f>VLOOKUP(C245,'Talente &amp; Stuff'!ER:FT,14,FALSE)</f>
        <v>0</v>
      </c>
      <c r="Q245" s="114">
        <f>VLOOKUP(C245,'Talente &amp; Stuff'!ER:FT,15,FALSE)</f>
        <v>0</v>
      </c>
      <c r="R245" s="113">
        <f>VLOOKUP(C245,'Talente &amp; Stuff'!ER:FT,16,FALSE)</f>
        <v>0</v>
      </c>
      <c r="S245" s="119">
        <f>VLOOKUP(C245,'Talente &amp; Stuff'!ER:FT,17,FALSE)</f>
        <v>0</v>
      </c>
      <c r="T245" s="119">
        <f>VLOOKUP(C245,'Talente &amp; Stuff'!ER:FT,18,FALSE)</f>
        <v>0</v>
      </c>
      <c r="U245" s="89">
        <f>VLOOKUP(C245,'Talente &amp; Stuff'!ER:FT,19,FALSE)</f>
        <v>0</v>
      </c>
      <c r="V245" s="47">
        <f>VLOOKUP(C245,'Talente &amp; Stuff'!ER:FT,20,FALSE)</f>
        <v>0</v>
      </c>
      <c r="W245" s="127">
        <f>VLOOKUP(C245,'Talente &amp; Stuff'!ER:FT,21,FALSE)</f>
        <v>0</v>
      </c>
      <c r="X245" s="127">
        <f>VLOOKUP(C245,'Talente &amp; Stuff'!ER:FT,22,FALSE)</f>
        <v>0</v>
      </c>
      <c r="Y245" s="165">
        <f t="shared" si="20"/>
        <v>0</v>
      </c>
      <c r="Z245" s="44">
        <f t="shared" si="21"/>
        <v>0</v>
      </c>
      <c r="AA245" s="125">
        <f>VLOOKUP(C245,'Talente &amp; Stuff'!ER:FT,25,FALSE)</f>
        <v>0</v>
      </c>
      <c r="AB245" s="160">
        <f>VLOOKUP(C245,'Talente &amp; Stuff'!ER:FT,26,FALSE)</f>
        <v>0</v>
      </c>
      <c r="AC245" s="127">
        <f>VLOOKUP(C245,'Talente &amp; Stuff'!ER:FT,27,FALSE)</f>
        <v>0</v>
      </c>
      <c r="AD245" s="125">
        <f>VLOOKUP(C245,'Talente &amp; Stuff'!ER:FT,28,FALSE)</f>
        <v>0</v>
      </c>
      <c r="AE245" s="28"/>
    </row>
    <row r="246" spans="2:31" ht="15" hidden="1" customHeight="1" outlineLevel="2">
      <c r="B246" s="148">
        <v>34</v>
      </c>
      <c r="C246" s="177" t="str">
        <f>Attribute!C246</f>
        <v>---</v>
      </c>
      <c r="D246" s="125" t="str">
        <f>VLOOKUP(C246,'Talente &amp; Stuff'!ER:FT,2,FALSE)</f>
        <v>--/--/--</v>
      </c>
      <c r="E246" s="127" t="str">
        <f>VLOOKUP(C246,'Talente &amp; Stuff'!ER:FT,3,FALSE)</f>
        <v>-</v>
      </c>
      <c r="F246" s="114">
        <f>VLOOKUP(C246,'Talente &amp; Stuff'!ER:FT,4,FALSE)</f>
        <v>0</v>
      </c>
      <c r="G246" s="113">
        <f>VLOOKUP(C246,'Talente &amp; Stuff'!ER:FT,5,FALSE)</f>
        <v>0</v>
      </c>
      <c r="H246" s="113">
        <f>VLOOKUP(C246,'Talente &amp; Stuff'!ER:FT,6,FALSE)</f>
        <v>0</v>
      </c>
      <c r="I246" s="113">
        <f>VLOOKUP(C246,'Talente &amp; Stuff'!ER:FT,7,FALSE)</f>
        <v>0</v>
      </c>
      <c r="J246" s="113">
        <f>VLOOKUP(C246,'Talente &amp; Stuff'!ER:FT,8,FALSE)</f>
        <v>0</v>
      </c>
      <c r="K246" s="113">
        <f>VLOOKUP(C246,'Talente &amp; Stuff'!ER:FT,9,FALSE)</f>
        <v>0</v>
      </c>
      <c r="L246" s="113">
        <f>VLOOKUP(C246,'Talente &amp; Stuff'!ER:FT,10,FALSE)</f>
        <v>0</v>
      </c>
      <c r="M246" s="119">
        <f>VLOOKUP(C246,'Talente &amp; Stuff'!ER:FT,11,FALSE)</f>
        <v>0</v>
      </c>
      <c r="N246" s="47">
        <f>VLOOKUP(C246,'Talente &amp; Stuff'!ER:FT,12,FALSE)</f>
        <v>0</v>
      </c>
      <c r="O246" s="47">
        <f>VLOOKUP(C246,'Talente &amp; Stuff'!ER:FT,13,FALSE)</f>
        <v>0</v>
      </c>
      <c r="P246" s="119">
        <f>VLOOKUP(C246,'Talente &amp; Stuff'!ER:FT,14,FALSE)</f>
        <v>0</v>
      </c>
      <c r="Q246" s="114">
        <f>VLOOKUP(C246,'Talente &amp; Stuff'!ER:FT,15,FALSE)</f>
        <v>0</v>
      </c>
      <c r="R246" s="113">
        <f>VLOOKUP(C246,'Talente &amp; Stuff'!ER:FT,16,FALSE)</f>
        <v>0</v>
      </c>
      <c r="S246" s="119">
        <f>VLOOKUP(C246,'Talente &amp; Stuff'!ER:FT,17,FALSE)</f>
        <v>0</v>
      </c>
      <c r="T246" s="119">
        <f>VLOOKUP(C246,'Talente &amp; Stuff'!ER:FT,18,FALSE)</f>
        <v>0</v>
      </c>
      <c r="U246" s="89">
        <f>VLOOKUP(C246,'Talente &amp; Stuff'!ER:FT,19,FALSE)</f>
        <v>0</v>
      </c>
      <c r="V246" s="47">
        <f>VLOOKUP(C246,'Talente &amp; Stuff'!ER:FT,20,FALSE)</f>
        <v>0</v>
      </c>
      <c r="W246" s="127">
        <f>VLOOKUP(C246,'Talente &amp; Stuff'!ER:FT,21,FALSE)</f>
        <v>0</v>
      </c>
      <c r="X246" s="127">
        <f>VLOOKUP(C246,'Talente &amp; Stuff'!ER:FT,22,FALSE)</f>
        <v>0</v>
      </c>
      <c r="Y246" s="165">
        <f t="shared" si="20"/>
        <v>0</v>
      </c>
      <c r="Z246" s="44">
        <f t="shared" si="21"/>
        <v>0</v>
      </c>
      <c r="AA246" s="125">
        <f>VLOOKUP(C246,'Talente &amp; Stuff'!ER:FT,25,FALSE)</f>
        <v>0</v>
      </c>
      <c r="AB246" s="160">
        <f>VLOOKUP(C246,'Talente &amp; Stuff'!ER:FT,26,FALSE)</f>
        <v>0</v>
      </c>
      <c r="AC246" s="127">
        <f>VLOOKUP(C246,'Talente &amp; Stuff'!ER:FT,27,FALSE)</f>
        <v>0</v>
      </c>
      <c r="AD246" s="125">
        <f>VLOOKUP(C246,'Talente &amp; Stuff'!ER:FT,28,FALSE)</f>
        <v>0</v>
      </c>
      <c r="AE246" s="28"/>
    </row>
    <row r="247" spans="2:31" ht="15" hidden="1" customHeight="1" outlineLevel="2">
      <c r="B247" s="148">
        <v>35</v>
      </c>
      <c r="C247" s="177" t="str">
        <f>Attribute!C247</f>
        <v>---</v>
      </c>
      <c r="D247" s="125" t="str">
        <f>VLOOKUP(C247,'Talente &amp; Stuff'!ER:FT,2,FALSE)</f>
        <v>--/--/--</v>
      </c>
      <c r="E247" s="127" t="str">
        <f>VLOOKUP(C247,'Talente &amp; Stuff'!ER:FT,3,FALSE)</f>
        <v>-</v>
      </c>
      <c r="F247" s="114">
        <f>VLOOKUP(C247,'Talente &amp; Stuff'!ER:FT,4,FALSE)</f>
        <v>0</v>
      </c>
      <c r="G247" s="113">
        <f>VLOOKUP(C247,'Talente &amp; Stuff'!ER:FT,5,FALSE)</f>
        <v>0</v>
      </c>
      <c r="H247" s="113">
        <f>VLOOKUP(C247,'Talente &amp; Stuff'!ER:FT,6,FALSE)</f>
        <v>0</v>
      </c>
      <c r="I247" s="113">
        <f>VLOOKUP(C247,'Talente &amp; Stuff'!ER:FT,7,FALSE)</f>
        <v>0</v>
      </c>
      <c r="J247" s="113">
        <f>VLOOKUP(C247,'Talente &amp; Stuff'!ER:FT,8,FALSE)</f>
        <v>0</v>
      </c>
      <c r="K247" s="113">
        <f>VLOOKUP(C247,'Talente &amp; Stuff'!ER:FT,9,FALSE)</f>
        <v>0</v>
      </c>
      <c r="L247" s="113">
        <f>VLOOKUP(C247,'Talente &amp; Stuff'!ER:FT,10,FALSE)</f>
        <v>0</v>
      </c>
      <c r="M247" s="119">
        <f>VLOOKUP(C247,'Talente &amp; Stuff'!ER:FT,11,FALSE)</f>
        <v>0</v>
      </c>
      <c r="N247" s="47">
        <f>VLOOKUP(C247,'Talente &amp; Stuff'!ER:FT,12,FALSE)</f>
        <v>0</v>
      </c>
      <c r="O247" s="47">
        <f>VLOOKUP(C247,'Talente &amp; Stuff'!ER:FT,13,FALSE)</f>
        <v>0</v>
      </c>
      <c r="P247" s="119">
        <f>VLOOKUP(C247,'Talente &amp; Stuff'!ER:FT,14,FALSE)</f>
        <v>0</v>
      </c>
      <c r="Q247" s="114">
        <f>VLOOKUP(C247,'Talente &amp; Stuff'!ER:FT,15,FALSE)</f>
        <v>0</v>
      </c>
      <c r="R247" s="113">
        <f>VLOOKUP(C247,'Talente &amp; Stuff'!ER:FT,16,FALSE)</f>
        <v>0</v>
      </c>
      <c r="S247" s="119">
        <f>VLOOKUP(C247,'Talente &amp; Stuff'!ER:FT,17,FALSE)</f>
        <v>0</v>
      </c>
      <c r="T247" s="119">
        <f>VLOOKUP(C247,'Talente &amp; Stuff'!ER:FT,18,FALSE)</f>
        <v>0</v>
      </c>
      <c r="U247" s="89">
        <f>VLOOKUP(C247,'Talente &amp; Stuff'!ER:FT,19,FALSE)</f>
        <v>0</v>
      </c>
      <c r="V247" s="47">
        <f>VLOOKUP(C247,'Talente &amp; Stuff'!ER:FT,20,FALSE)</f>
        <v>0</v>
      </c>
      <c r="W247" s="127">
        <f>VLOOKUP(C247,'Talente &amp; Stuff'!ER:FT,21,FALSE)</f>
        <v>0</v>
      </c>
      <c r="X247" s="127">
        <f>VLOOKUP(C247,'Talente &amp; Stuff'!ER:FT,22,FALSE)</f>
        <v>0</v>
      </c>
      <c r="Y247" s="165">
        <f t="shared" si="20"/>
        <v>0</v>
      </c>
      <c r="Z247" s="44">
        <f t="shared" si="21"/>
        <v>0</v>
      </c>
      <c r="AA247" s="125">
        <f>VLOOKUP(C247,'Talente &amp; Stuff'!ER:FT,25,FALSE)</f>
        <v>0</v>
      </c>
      <c r="AB247" s="160">
        <f>VLOOKUP(C247,'Talente &amp; Stuff'!ER:FT,26,FALSE)</f>
        <v>0</v>
      </c>
      <c r="AC247" s="127">
        <f>VLOOKUP(C247,'Talente &amp; Stuff'!ER:FT,27,FALSE)</f>
        <v>0</v>
      </c>
      <c r="AD247" s="125">
        <f>VLOOKUP(C247,'Talente &amp; Stuff'!ER:FT,28,FALSE)</f>
        <v>0</v>
      </c>
      <c r="AE247" s="28"/>
    </row>
    <row r="248" spans="2:31" ht="15" hidden="1" customHeight="1" outlineLevel="2">
      <c r="B248" s="148">
        <v>36</v>
      </c>
      <c r="C248" s="177" t="str">
        <f>Attribute!C248</f>
        <v>---</v>
      </c>
      <c r="D248" s="125" t="str">
        <f>VLOOKUP(C248,'Talente &amp; Stuff'!ER:FT,2,FALSE)</f>
        <v>--/--/--</v>
      </c>
      <c r="E248" s="127" t="str">
        <f>VLOOKUP(C248,'Talente &amp; Stuff'!ER:FT,3,FALSE)</f>
        <v>-</v>
      </c>
      <c r="F248" s="114">
        <f>VLOOKUP(C248,'Talente &amp; Stuff'!ER:FT,4,FALSE)</f>
        <v>0</v>
      </c>
      <c r="G248" s="113">
        <f>VLOOKUP(C248,'Talente &amp; Stuff'!ER:FT,5,FALSE)</f>
        <v>0</v>
      </c>
      <c r="H248" s="113">
        <f>VLOOKUP(C248,'Talente &amp; Stuff'!ER:FT,6,FALSE)</f>
        <v>0</v>
      </c>
      <c r="I248" s="113">
        <f>VLOOKUP(C248,'Talente &amp; Stuff'!ER:FT,7,FALSE)</f>
        <v>0</v>
      </c>
      <c r="J248" s="113">
        <f>VLOOKUP(C248,'Talente &amp; Stuff'!ER:FT,8,FALSE)</f>
        <v>0</v>
      </c>
      <c r="K248" s="113">
        <f>VLOOKUP(C248,'Talente &amp; Stuff'!ER:FT,9,FALSE)</f>
        <v>0</v>
      </c>
      <c r="L248" s="113">
        <f>VLOOKUP(C248,'Talente &amp; Stuff'!ER:FT,10,FALSE)</f>
        <v>0</v>
      </c>
      <c r="M248" s="119">
        <f>VLOOKUP(C248,'Talente &amp; Stuff'!ER:FT,11,FALSE)</f>
        <v>0</v>
      </c>
      <c r="N248" s="47">
        <f>VLOOKUP(C248,'Talente &amp; Stuff'!ER:FT,12,FALSE)</f>
        <v>0</v>
      </c>
      <c r="O248" s="47">
        <f>VLOOKUP(C248,'Talente &amp; Stuff'!ER:FT,13,FALSE)</f>
        <v>0</v>
      </c>
      <c r="P248" s="119">
        <f>VLOOKUP(C248,'Talente &amp; Stuff'!ER:FT,14,FALSE)</f>
        <v>0</v>
      </c>
      <c r="Q248" s="114">
        <f>VLOOKUP(C248,'Talente &amp; Stuff'!ER:FT,15,FALSE)</f>
        <v>0</v>
      </c>
      <c r="R248" s="113">
        <f>VLOOKUP(C248,'Talente &amp; Stuff'!ER:FT,16,FALSE)</f>
        <v>0</v>
      </c>
      <c r="S248" s="119">
        <f>VLOOKUP(C248,'Talente &amp; Stuff'!ER:FT,17,FALSE)</f>
        <v>0</v>
      </c>
      <c r="T248" s="119">
        <f>VLOOKUP(C248,'Talente &amp; Stuff'!ER:FT,18,FALSE)</f>
        <v>0</v>
      </c>
      <c r="U248" s="89">
        <f>VLOOKUP(C248,'Talente &amp; Stuff'!ER:FT,19,FALSE)</f>
        <v>0</v>
      </c>
      <c r="V248" s="47">
        <f>VLOOKUP(C248,'Talente &amp; Stuff'!ER:FT,20,FALSE)</f>
        <v>0</v>
      </c>
      <c r="W248" s="127">
        <f>VLOOKUP(C248,'Talente &amp; Stuff'!ER:FT,21,FALSE)</f>
        <v>0</v>
      </c>
      <c r="X248" s="127">
        <f>VLOOKUP(C248,'Talente &amp; Stuff'!ER:FT,22,FALSE)</f>
        <v>0</v>
      </c>
      <c r="Y248" s="165">
        <f t="shared" si="20"/>
        <v>0</v>
      </c>
      <c r="Z248" s="44">
        <f t="shared" si="21"/>
        <v>0</v>
      </c>
      <c r="AA248" s="125">
        <f>VLOOKUP(C248,'Talente &amp; Stuff'!ER:FT,25,FALSE)</f>
        <v>0</v>
      </c>
      <c r="AB248" s="160">
        <f>VLOOKUP(C248,'Talente &amp; Stuff'!ER:FT,26,FALSE)</f>
        <v>0</v>
      </c>
      <c r="AC248" s="127">
        <f>VLOOKUP(C248,'Talente &amp; Stuff'!ER:FT,27,FALSE)</f>
        <v>0</v>
      </c>
      <c r="AD248" s="125">
        <f>VLOOKUP(C248,'Talente &amp; Stuff'!ER:FT,28,FALSE)</f>
        <v>0</v>
      </c>
      <c r="AE248" s="28"/>
    </row>
    <row r="249" spans="2:31" ht="15" hidden="1" customHeight="1" outlineLevel="2">
      <c r="B249" s="148">
        <v>37</v>
      </c>
      <c r="C249" s="177" t="str">
        <f>Attribute!C249</f>
        <v>---</v>
      </c>
      <c r="D249" s="125" t="str">
        <f>VLOOKUP(C249,'Talente &amp; Stuff'!ER:FT,2,FALSE)</f>
        <v>--/--/--</v>
      </c>
      <c r="E249" s="127" t="str">
        <f>VLOOKUP(C249,'Talente &amp; Stuff'!ER:FT,3,FALSE)</f>
        <v>-</v>
      </c>
      <c r="F249" s="114">
        <f>VLOOKUP(C249,'Talente &amp; Stuff'!ER:FT,4,FALSE)</f>
        <v>0</v>
      </c>
      <c r="G249" s="113">
        <f>VLOOKUP(C249,'Talente &amp; Stuff'!ER:FT,5,FALSE)</f>
        <v>0</v>
      </c>
      <c r="H249" s="113">
        <f>VLOOKUP(C249,'Talente &amp; Stuff'!ER:FT,6,FALSE)</f>
        <v>0</v>
      </c>
      <c r="I249" s="113">
        <f>VLOOKUP(C249,'Talente &amp; Stuff'!ER:FT,7,FALSE)</f>
        <v>0</v>
      </c>
      <c r="J249" s="113">
        <f>VLOOKUP(C249,'Talente &amp; Stuff'!ER:FT,8,FALSE)</f>
        <v>0</v>
      </c>
      <c r="K249" s="113">
        <f>VLOOKUP(C249,'Talente &amp; Stuff'!ER:FT,9,FALSE)</f>
        <v>0</v>
      </c>
      <c r="L249" s="113">
        <f>VLOOKUP(C249,'Talente &amp; Stuff'!ER:FT,10,FALSE)</f>
        <v>0</v>
      </c>
      <c r="M249" s="119">
        <f>VLOOKUP(C249,'Talente &amp; Stuff'!ER:FT,11,FALSE)</f>
        <v>0</v>
      </c>
      <c r="N249" s="47">
        <f>VLOOKUP(C249,'Talente &amp; Stuff'!ER:FT,12,FALSE)</f>
        <v>0</v>
      </c>
      <c r="O249" s="47">
        <f>VLOOKUP(C249,'Talente &amp; Stuff'!ER:FT,13,FALSE)</f>
        <v>0</v>
      </c>
      <c r="P249" s="119">
        <f>VLOOKUP(C249,'Talente &amp; Stuff'!ER:FT,14,FALSE)</f>
        <v>0</v>
      </c>
      <c r="Q249" s="114">
        <f>VLOOKUP(C249,'Talente &amp; Stuff'!ER:FT,15,FALSE)</f>
        <v>0</v>
      </c>
      <c r="R249" s="113">
        <f>VLOOKUP(C249,'Talente &amp; Stuff'!ER:FT,16,FALSE)</f>
        <v>0</v>
      </c>
      <c r="S249" s="119">
        <f>VLOOKUP(C249,'Talente &amp; Stuff'!ER:FT,17,FALSE)</f>
        <v>0</v>
      </c>
      <c r="T249" s="119">
        <f>VLOOKUP(C249,'Talente &amp; Stuff'!ER:FT,18,FALSE)</f>
        <v>0</v>
      </c>
      <c r="U249" s="89">
        <f>VLOOKUP(C249,'Talente &amp; Stuff'!ER:FT,19,FALSE)</f>
        <v>0</v>
      </c>
      <c r="V249" s="47">
        <f>VLOOKUP(C249,'Talente &amp; Stuff'!ER:FT,20,FALSE)</f>
        <v>0</v>
      </c>
      <c r="W249" s="127">
        <f>VLOOKUP(C249,'Talente &amp; Stuff'!ER:FT,21,FALSE)</f>
        <v>0</v>
      </c>
      <c r="X249" s="127">
        <f>VLOOKUP(C249,'Talente &amp; Stuff'!ER:FT,22,FALSE)</f>
        <v>0</v>
      </c>
      <c r="Y249" s="165">
        <f t="shared" si="20"/>
        <v>0</v>
      </c>
      <c r="Z249" s="44">
        <f t="shared" si="21"/>
        <v>0</v>
      </c>
      <c r="AA249" s="125">
        <f>VLOOKUP(C249,'Talente &amp; Stuff'!ER:FT,25,FALSE)</f>
        <v>0</v>
      </c>
      <c r="AB249" s="160">
        <f>VLOOKUP(C249,'Talente &amp; Stuff'!ER:FT,26,FALSE)</f>
        <v>0</v>
      </c>
      <c r="AC249" s="127">
        <f>VLOOKUP(C249,'Talente &amp; Stuff'!ER:FT,27,FALSE)</f>
        <v>0</v>
      </c>
      <c r="AD249" s="125">
        <f>VLOOKUP(C249,'Talente &amp; Stuff'!ER:FT,28,FALSE)</f>
        <v>0</v>
      </c>
      <c r="AE249" s="28"/>
    </row>
    <row r="250" spans="2:31" ht="15" hidden="1" customHeight="1" outlineLevel="2">
      <c r="B250" s="148">
        <v>38</v>
      </c>
      <c r="C250" s="177" t="str">
        <f>Attribute!C250</f>
        <v>---</v>
      </c>
      <c r="D250" s="125" t="str">
        <f>VLOOKUP(C250,'Talente &amp; Stuff'!ER:FT,2,FALSE)</f>
        <v>--/--/--</v>
      </c>
      <c r="E250" s="127" t="str">
        <f>VLOOKUP(C250,'Talente &amp; Stuff'!ER:FT,3,FALSE)</f>
        <v>-</v>
      </c>
      <c r="F250" s="114">
        <f>VLOOKUP(C250,'Talente &amp; Stuff'!ER:FT,4,FALSE)</f>
        <v>0</v>
      </c>
      <c r="G250" s="113">
        <f>VLOOKUP(C250,'Talente &amp; Stuff'!ER:FT,5,FALSE)</f>
        <v>0</v>
      </c>
      <c r="H250" s="113">
        <f>VLOOKUP(C250,'Talente &amp; Stuff'!ER:FT,6,FALSE)</f>
        <v>0</v>
      </c>
      <c r="I250" s="113">
        <f>VLOOKUP(C250,'Talente &amp; Stuff'!ER:FT,7,FALSE)</f>
        <v>0</v>
      </c>
      <c r="J250" s="113">
        <f>VLOOKUP(C250,'Talente &amp; Stuff'!ER:FT,8,FALSE)</f>
        <v>0</v>
      </c>
      <c r="K250" s="113">
        <f>VLOOKUP(C250,'Talente &amp; Stuff'!ER:FT,9,FALSE)</f>
        <v>0</v>
      </c>
      <c r="L250" s="113">
        <f>VLOOKUP(C250,'Talente &amp; Stuff'!ER:FT,10,FALSE)</f>
        <v>0</v>
      </c>
      <c r="M250" s="119">
        <f>VLOOKUP(C250,'Talente &amp; Stuff'!ER:FT,11,FALSE)</f>
        <v>0</v>
      </c>
      <c r="N250" s="47">
        <f>VLOOKUP(C250,'Talente &amp; Stuff'!ER:FT,12,FALSE)</f>
        <v>0</v>
      </c>
      <c r="O250" s="47">
        <f>VLOOKUP(C250,'Talente &amp; Stuff'!ER:FT,13,FALSE)</f>
        <v>0</v>
      </c>
      <c r="P250" s="119">
        <f>VLOOKUP(C250,'Talente &amp; Stuff'!ER:FT,14,FALSE)</f>
        <v>0</v>
      </c>
      <c r="Q250" s="114">
        <f>VLOOKUP(C250,'Talente &amp; Stuff'!ER:FT,15,FALSE)</f>
        <v>0</v>
      </c>
      <c r="R250" s="113">
        <f>VLOOKUP(C250,'Talente &amp; Stuff'!ER:FT,16,FALSE)</f>
        <v>0</v>
      </c>
      <c r="S250" s="119">
        <f>VLOOKUP(C250,'Talente &amp; Stuff'!ER:FT,17,FALSE)</f>
        <v>0</v>
      </c>
      <c r="T250" s="119">
        <f>VLOOKUP(C250,'Talente &amp; Stuff'!ER:FT,18,FALSE)</f>
        <v>0</v>
      </c>
      <c r="U250" s="89">
        <f>VLOOKUP(C250,'Talente &amp; Stuff'!ER:FT,19,FALSE)</f>
        <v>0</v>
      </c>
      <c r="V250" s="47">
        <f>VLOOKUP(C250,'Talente &amp; Stuff'!ER:FT,20,FALSE)</f>
        <v>0</v>
      </c>
      <c r="W250" s="127">
        <f>VLOOKUP(C250,'Talente &amp; Stuff'!ER:FT,21,FALSE)</f>
        <v>0</v>
      </c>
      <c r="X250" s="127">
        <f>VLOOKUP(C250,'Talente &amp; Stuff'!ER:FT,22,FALSE)</f>
        <v>0</v>
      </c>
      <c r="Y250" s="165">
        <f t="shared" si="20"/>
        <v>0</v>
      </c>
      <c r="Z250" s="44">
        <f t="shared" si="21"/>
        <v>0</v>
      </c>
      <c r="AA250" s="125">
        <f>VLOOKUP(C250,'Talente &amp; Stuff'!ER:FT,25,FALSE)</f>
        <v>0</v>
      </c>
      <c r="AB250" s="160">
        <f>VLOOKUP(C250,'Talente &amp; Stuff'!ER:FT,26,FALSE)</f>
        <v>0</v>
      </c>
      <c r="AC250" s="127">
        <f>VLOOKUP(C250,'Talente &amp; Stuff'!ER:FT,27,FALSE)</f>
        <v>0</v>
      </c>
      <c r="AD250" s="125">
        <f>VLOOKUP(C250,'Talente &amp; Stuff'!ER:FT,28,FALSE)</f>
        <v>0</v>
      </c>
      <c r="AE250" s="28"/>
    </row>
    <row r="251" spans="2:31" ht="15" hidden="1" customHeight="1" outlineLevel="2">
      <c r="B251" s="148">
        <v>39</v>
      </c>
      <c r="C251" s="177" t="str">
        <f>Attribute!C251</f>
        <v>---</v>
      </c>
      <c r="D251" s="125" t="str">
        <f>VLOOKUP(C251,'Talente &amp; Stuff'!ER:FT,2,FALSE)</f>
        <v>--/--/--</v>
      </c>
      <c r="E251" s="127" t="str">
        <f>VLOOKUP(C251,'Talente &amp; Stuff'!ER:FT,3,FALSE)</f>
        <v>-</v>
      </c>
      <c r="F251" s="114">
        <f>VLOOKUP(C251,'Talente &amp; Stuff'!ER:FT,4,FALSE)</f>
        <v>0</v>
      </c>
      <c r="G251" s="113">
        <f>VLOOKUP(C251,'Talente &amp; Stuff'!ER:FT,5,FALSE)</f>
        <v>0</v>
      </c>
      <c r="H251" s="113">
        <f>VLOOKUP(C251,'Talente &amp; Stuff'!ER:FT,6,FALSE)</f>
        <v>0</v>
      </c>
      <c r="I251" s="113">
        <f>VLOOKUP(C251,'Talente &amp; Stuff'!ER:FT,7,FALSE)</f>
        <v>0</v>
      </c>
      <c r="J251" s="113">
        <f>VLOOKUP(C251,'Talente &amp; Stuff'!ER:FT,8,FALSE)</f>
        <v>0</v>
      </c>
      <c r="K251" s="113">
        <f>VLOOKUP(C251,'Talente &amp; Stuff'!ER:FT,9,FALSE)</f>
        <v>0</v>
      </c>
      <c r="L251" s="113">
        <f>VLOOKUP(C251,'Talente &amp; Stuff'!ER:FT,10,FALSE)</f>
        <v>0</v>
      </c>
      <c r="M251" s="119">
        <f>VLOOKUP(C251,'Talente &amp; Stuff'!ER:FT,11,FALSE)</f>
        <v>0</v>
      </c>
      <c r="N251" s="47">
        <f>VLOOKUP(C251,'Talente &amp; Stuff'!ER:FT,12,FALSE)</f>
        <v>0</v>
      </c>
      <c r="O251" s="47">
        <f>VLOOKUP(C251,'Talente &amp; Stuff'!ER:FT,13,FALSE)</f>
        <v>0</v>
      </c>
      <c r="P251" s="119">
        <f>VLOOKUP(C251,'Talente &amp; Stuff'!ER:FT,14,FALSE)</f>
        <v>0</v>
      </c>
      <c r="Q251" s="114">
        <f>VLOOKUP(C251,'Talente &amp; Stuff'!ER:FT,15,FALSE)</f>
        <v>0</v>
      </c>
      <c r="R251" s="113">
        <f>VLOOKUP(C251,'Talente &amp; Stuff'!ER:FT,16,FALSE)</f>
        <v>0</v>
      </c>
      <c r="S251" s="119">
        <f>VLOOKUP(C251,'Talente &amp; Stuff'!ER:FT,17,FALSE)</f>
        <v>0</v>
      </c>
      <c r="T251" s="119">
        <f>VLOOKUP(C251,'Talente &amp; Stuff'!ER:FT,18,FALSE)</f>
        <v>0</v>
      </c>
      <c r="U251" s="89">
        <f>VLOOKUP(C251,'Talente &amp; Stuff'!ER:FT,19,FALSE)</f>
        <v>0</v>
      </c>
      <c r="V251" s="47">
        <f>VLOOKUP(C251,'Talente &amp; Stuff'!ER:FT,20,FALSE)</f>
        <v>0</v>
      </c>
      <c r="W251" s="127">
        <f>VLOOKUP(C251,'Talente &amp; Stuff'!ER:FT,21,FALSE)</f>
        <v>0</v>
      </c>
      <c r="X251" s="127">
        <f>VLOOKUP(C251,'Talente &amp; Stuff'!ER:FT,22,FALSE)</f>
        <v>0</v>
      </c>
      <c r="Y251" s="165">
        <f t="shared" si="20"/>
        <v>0</v>
      </c>
      <c r="Z251" s="44">
        <f t="shared" si="21"/>
        <v>0</v>
      </c>
      <c r="AA251" s="125">
        <f>VLOOKUP(C251,'Talente &amp; Stuff'!ER:FT,25,FALSE)</f>
        <v>0</v>
      </c>
      <c r="AB251" s="160">
        <f>VLOOKUP(C251,'Talente &amp; Stuff'!ER:FT,26,FALSE)</f>
        <v>0</v>
      </c>
      <c r="AC251" s="127">
        <f>VLOOKUP(C251,'Talente &amp; Stuff'!ER:FT,27,FALSE)</f>
        <v>0</v>
      </c>
      <c r="AD251" s="125">
        <f>VLOOKUP(C251,'Talente &amp; Stuff'!ER:FT,28,FALSE)</f>
        <v>0</v>
      </c>
      <c r="AE251" s="28"/>
    </row>
    <row r="252" spans="2:31" ht="15" hidden="1" customHeight="1" outlineLevel="2">
      <c r="B252" s="148">
        <v>40</v>
      </c>
      <c r="C252" s="177" t="str">
        <f>Attribute!C252</f>
        <v>---</v>
      </c>
      <c r="D252" s="86" t="str">
        <f>VLOOKUP(C252,'Talente &amp; Stuff'!ER:FT,2,FALSE)</f>
        <v>--/--/--</v>
      </c>
      <c r="E252" s="127" t="str">
        <f>VLOOKUP(C252,'Talente &amp; Stuff'!ER:FT,3,FALSE)</f>
        <v>-</v>
      </c>
      <c r="F252" s="114">
        <f>VLOOKUP(C252,'Talente &amp; Stuff'!ER:FT,4,FALSE)</f>
        <v>0</v>
      </c>
      <c r="G252" s="113">
        <f>VLOOKUP(C252,'Talente &amp; Stuff'!ER:FT,5,FALSE)</f>
        <v>0</v>
      </c>
      <c r="H252" s="113">
        <f>VLOOKUP(C252,'Talente &amp; Stuff'!ER:FT,6,FALSE)</f>
        <v>0</v>
      </c>
      <c r="I252" s="113">
        <f>VLOOKUP(C252,'Talente &amp; Stuff'!ER:FT,7,FALSE)</f>
        <v>0</v>
      </c>
      <c r="J252" s="113">
        <f>VLOOKUP(C252,'Talente &amp; Stuff'!ER:FT,8,FALSE)</f>
        <v>0</v>
      </c>
      <c r="K252" s="113">
        <f>VLOOKUP(C252,'Talente &amp; Stuff'!ER:FT,9,FALSE)</f>
        <v>0</v>
      </c>
      <c r="L252" s="113">
        <f>VLOOKUP(C252,'Talente &amp; Stuff'!ER:FT,10,FALSE)</f>
        <v>0</v>
      </c>
      <c r="M252" s="119">
        <f>VLOOKUP(C252,'Talente &amp; Stuff'!ER:FT,11,FALSE)</f>
        <v>0</v>
      </c>
      <c r="N252" s="47">
        <f>VLOOKUP(C252,'Talente &amp; Stuff'!ER:FT,12,FALSE)</f>
        <v>0</v>
      </c>
      <c r="O252" s="3">
        <f>VLOOKUP(C252,'Talente &amp; Stuff'!ER:FT,13,FALSE)</f>
        <v>0</v>
      </c>
      <c r="P252" s="174">
        <f>VLOOKUP(C252,'Talente &amp; Stuff'!ER:FT,14,FALSE)</f>
        <v>0</v>
      </c>
      <c r="Q252" s="114">
        <f>VLOOKUP(C252,'Talente &amp; Stuff'!ER:FT,15,FALSE)</f>
        <v>0</v>
      </c>
      <c r="R252" s="113">
        <f>VLOOKUP(C252,'Talente &amp; Stuff'!ER:FT,16,FALSE)</f>
        <v>0</v>
      </c>
      <c r="S252" s="119">
        <f>VLOOKUP(C252,'Talente &amp; Stuff'!ER:FT,17,FALSE)</f>
        <v>0</v>
      </c>
      <c r="T252" s="119">
        <f>VLOOKUP(C252,'Talente &amp; Stuff'!ER:FT,18,FALSE)</f>
        <v>0</v>
      </c>
      <c r="U252" s="89">
        <f>VLOOKUP(C252,'Talente &amp; Stuff'!ER:FT,19,FALSE)</f>
        <v>0</v>
      </c>
      <c r="V252" s="47">
        <f>VLOOKUP(C252,'Talente &amp; Stuff'!ER:FT,20,FALSE)</f>
        <v>0</v>
      </c>
      <c r="W252" s="127">
        <f>VLOOKUP(C252,'Talente &amp; Stuff'!ER:FT,21,FALSE)</f>
        <v>0</v>
      </c>
      <c r="X252" s="127">
        <f>VLOOKUP(C252,'Talente &amp; Stuff'!ER:FT,22,FALSE)</f>
        <v>0</v>
      </c>
      <c r="Y252" s="165">
        <f t="shared" si="20"/>
        <v>0</v>
      </c>
      <c r="Z252" s="44">
        <f t="shared" si="21"/>
        <v>0</v>
      </c>
      <c r="AA252" s="125">
        <f>VLOOKUP(C252,'Talente &amp; Stuff'!ER:FT,25,FALSE)</f>
        <v>0</v>
      </c>
      <c r="AB252" s="160">
        <f>VLOOKUP(C252,'Talente &amp; Stuff'!ER:FT,26,FALSE)</f>
        <v>0</v>
      </c>
      <c r="AC252" s="127">
        <f>VLOOKUP(C252,'Talente &amp; Stuff'!ER:FT,27,FALSE)</f>
        <v>0</v>
      </c>
      <c r="AD252" s="125">
        <f>VLOOKUP(C252,'Talente &amp; Stuff'!ER:FT,28,FALSE)</f>
        <v>0</v>
      </c>
      <c r="AE252" s="28"/>
    </row>
    <row r="253" spans="2:31" ht="15" hidden="1" customHeight="1" outlineLevel="2">
      <c r="B253" s="148">
        <v>41</v>
      </c>
      <c r="C253" s="177" t="str">
        <f>Attribute!C253</f>
        <v>---</v>
      </c>
      <c r="D253" s="125" t="str">
        <f>VLOOKUP(C253,'Talente &amp; Stuff'!ER:FT,2,FALSE)</f>
        <v>--/--/--</v>
      </c>
      <c r="E253" s="127" t="str">
        <f>VLOOKUP(C253,'Talente &amp; Stuff'!ER:FT,3,FALSE)</f>
        <v>-</v>
      </c>
      <c r="F253" s="114">
        <f>VLOOKUP(C253,'Talente &amp; Stuff'!ER:FT,4,FALSE)</f>
        <v>0</v>
      </c>
      <c r="G253" s="113">
        <f>VLOOKUP(C253,'Talente &amp; Stuff'!ER:FT,5,FALSE)</f>
        <v>0</v>
      </c>
      <c r="H253" s="113">
        <f>VLOOKUP(C253,'Talente &amp; Stuff'!ER:FT,6,FALSE)</f>
        <v>0</v>
      </c>
      <c r="I253" s="113">
        <f>VLOOKUP(C253,'Talente &amp; Stuff'!ER:FT,7,FALSE)</f>
        <v>0</v>
      </c>
      <c r="J253" s="113">
        <f>VLOOKUP(C253,'Talente &amp; Stuff'!ER:FT,8,FALSE)</f>
        <v>0</v>
      </c>
      <c r="K253" s="113">
        <f>VLOOKUP(C253,'Talente &amp; Stuff'!ER:FT,9,FALSE)</f>
        <v>0</v>
      </c>
      <c r="L253" s="113">
        <f>VLOOKUP(C253,'Talente &amp; Stuff'!ER:FT,10,FALSE)</f>
        <v>0</v>
      </c>
      <c r="M253" s="119">
        <f>VLOOKUP(C253,'Talente &amp; Stuff'!ER:FT,11,FALSE)</f>
        <v>0</v>
      </c>
      <c r="N253" s="47">
        <f>VLOOKUP(C253,'Talente &amp; Stuff'!ER:FT,12,FALSE)</f>
        <v>0</v>
      </c>
      <c r="O253" s="47">
        <f>VLOOKUP(C253,'Talente &amp; Stuff'!ER:FT,13,FALSE)</f>
        <v>0</v>
      </c>
      <c r="P253" s="119">
        <f>VLOOKUP(C253,'Talente &amp; Stuff'!ER:FT,14,FALSE)</f>
        <v>0</v>
      </c>
      <c r="Q253" s="114">
        <f>VLOOKUP(C253,'Talente &amp; Stuff'!ER:FT,15,FALSE)</f>
        <v>0</v>
      </c>
      <c r="R253" s="113">
        <f>VLOOKUP(C253,'Talente &amp; Stuff'!ER:FT,16,FALSE)</f>
        <v>0</v>
      </c>
      <c r="S253" s="119">
        <f>VLOOKUP(C253,'Talente &amp; Stuff'!ER:FT,17,FALSE)</f>
        <v>0</v>
      </c>
      <c r="T253" s="119">
        <f>VLOOKUP(C253,'Talente &amp; Stuff'!ER:FT,18,FALSE)</f>
        <v>0</v>
      </c>
      <c r="U253" s="89">
        <f>VLOOKUP(C253,'Talente &amp; Stuff'!ER:FT,19,FALSE)</f>
        <v>0</v>
      </c>
      <c r="V253" s="47">
        <f>VLOOKUP(C253,'Talente &amp; Stuff'!ER:FT,20,FALSE)</f>
        <v>0</v>
      </c>
      <c r="W253" s="127">
        <f>VLOOKUP(C253,'Talente &amp; Stuff'!ER:FT,21,FALSE)</f>
        <v>0</v>
      </c>
      <c r="X253" s="127">
        <f>VLOOKUP(C253,'Talente &amp; Stuff'!ER:FT,22,FALSE)</f>
        <v>0</v>
      </c>
      <c r="Y253" s="165">
        <f t="shared" si="20"/>
        <v>0</v>
      </c>
      <c r="Z253" s="44">
        <f t="shared" si="21"/>
        <v>0</v>
      </c>
      <c r="AA253" s="125">
        <f>VLOOKUP(C253,'Talente &amp; Stuff'!ER:FT,25,FALSE)</f>
        <v>0</v>
      </c>
      <c r="AB253" s="160">
        <f>VLOOKUP(C253,'Talente &amp; Stuff'!ER:FT,26,FALSE)</f>
        <v>0</v>
      </c>
      <c r="AC253" s="127">
        <f>VLOOKUP(C253,'Talente &amp; Stuff'!ER:FT,27,FALSE)</f>
        <v>0</v>
      </c>
      <c r="AD253" s="125">
        <f>VLOOKUP(C253,'Talente &amp; Stuff'!ER:FT,28,FALSE)</f>
        <v>0</v>
      </c>
      <c r="AE253" s="28"/>
    </row>
    <row r="254" spans="2:31" ht="15" hidden="1" customHeight="1" outlineLevel="2">
      <c r="B254" s="148">
        <v>42</v>
      </c>
      <c r="C254" s="177" t="str">
        <f>Attribute!C254</f>
        <v>---</v>
      </c>
      <c r="D254" s="125" t="str">
        <f>VLOOKUP(C254,'Talente &amp; Stuff'!ER:FT,2,FALSE)</f>
        <v>--/--/--</v>
      </c>
      <c r="E254" s="127" t="str">
        <f>VLOOKUP(C254,'Talente &amp; Stuff'!ER:FT,3,FALSE)</f>
        <v>-</v>
      </c>
      <c r="F254" s="114">
        <f>VLOOKUP(C254,'Talente &amp; Stuff'!ER:FT,4,FALSE)</f>
        <v>0</v>
      </c>
      <c r="G254" s="113">
        <f>VLOOKUP(C254,'Talente &amp; Stuff'!ER:FT,5,FALSE)</f>
        <v>0</v>
      </c>
      <c r="H254" s="113">
        <f>VLOOKUP(C254,'Talente &amp; Stuff'!ER:FT,6,FALSE)</f>
        <v>0</v>
      </c>
      <c r="I254" s="113">
        <f>VLOOKUP(C254,'Talente &amp; Stuff'!ER:FT,7,FALSE)</f>
        <v>0</v>
      </c>
      <c r="J254" s="113">
        <f>VLOOKUP(C254,'Talente &amp; Stuff'!ER:FT,8,FALSE)</f>
        <v>0</v>
      </c>
      <c r="K254" s="113">
        <f>VLOOKUP(C254,'Talente &amp; Stuff'!ER:FT,9,FALSE)</f>
        <v>0</v>
      </c>
      <c r="L254" s="113">
        <f>VLOOKUP(C254,'Talente &amp; Stuff'!ER:FT,10,FALSE)</f>
        <v>0</v>
      </c>
      <c r="M254" s="119">
        <f>VLOOKUP(C254,'Talente &amp; Stuff'!ER:FT,11,FALSE)</f>
        <v>0</v>
      </c>
      <c r="N254" s="47">
        <f>VLOOKUP(C254,'Talente &amp; Stuff'!ER:FT,12,FALSE)</f>
        <v>0</v>
      </c>
      <c r="O254" s="47">
        <f>VLOOKUP(C254,'Talente &amp; Stuff'!ER:FT,13,FALSE)</f>
        <v>0</v>
      </c>
      <c r="P254" s="119">
        <f>VLOOKUP(C254,'Talente &amp; Stuff'!ER:FT,14,FALSE)</f>
        <v>0</v>
      </c>
      <c r="Q254" s="114">
        <f>VLOOKUP(C254,'Talente &amp; Stuff'!ER:FT,15,FALSE)</f>
        <v>0</v>
      </c>
      <c r="R254" s="113">
        <f>VLOOKUP(C254,'Talente &amp; Stuff'!ER:FT,16,FALSE)</f>
        <v>0</v>
      </c>
      <c r="S254" s="119">
        <f>VLOOKUP(C254,'Talente &amp; Stuff'!ER:FT,17,FALSE)</f>
        <v>0</v>
      </c>
      <c r="T254" s="119">
        <f>VLOOKUP(C254,'Talente &amp; Stuff'!ER:FT,18,FALSE)</f>
        <v>0</v>
      </c>
      <c r="U254" s="89">
        <f>VLOOKUP(C254,'Talente &amp; Stuff'!ER:FT,19,FALSE)</f>
        <v>0</v>
      </c>
      <c r="V254" s="47">
        <f>VLOOKUP(C254,'Talente &amp; Stuff'!ER:FT,20,FALSE)</f>
        <v>0</v>
      </c>
      <c r="W254" s="127">
        <f>VLOOKUP(C254,'Talente &amp; Stuff'!ER:FT,21,FALSE)</f>
        <v>0</v>
      </c>
      <c r="X254" s="127">
        <f>VLOOKUP(C254,'Talente &amp; Stuff'!ER:FT,22,FALSE)</f>
        <v>0</v>
      </c>
      <c r="Y254" s="165">
        <f t="shared" si="20"/>
        <v>0</v>
      </c>
      <c r="Z254" s="44">
        <f t="shared" si="21"/>
        <v>0</v>
      </c>
      <c r="AA254" s="125">
        <f>VLOOKUP(C254,'Talente &amp; Stuff'!ER:FT,25,FALSE)</f>
        <v>0</v>
      </c>
      <c r="AB254" s="160">
        <f>VLOOKUP(C254,'Talente &amp; Stuff'!ER:FT,26,FALSE)</f>
        <v>0</v>
      </c>
      <c r="AC254" s="127">
        <f>VLOOKUP(C254,'Talente &amp; Stuff'!ER:FT,27,FALSE)</f>
        <v>0</v>
      </c>
      <c r="AD254" s="125">
        <f>VLOOKUP(C254,'Talente &amp; Stuff'!ER:FT,28,FALSE)</f>
        <v>0</v>
      </c>
      <c r="AE254" s="28"/>
    </row>
    <row r="255" spans="2:31" ht="15" hidden="1" customHeight="1" outlineLevel="2">
      <c r="B255" s="148">
        <v>43</v>
      </c>
      <c r="C255" s="177" t="str">
        <f>Attribute!C255</f>
        <v>---</v>
      </c>
      <c r="D255" s="86" t="str">
        <f>VLOOKUP(C255,'Talente &amp; Stuff'!ER:FT,2,FALSE)</f>
        <v>--/--/--</v>
      </c>
      <c r="E255" s="127" t="str">
        <f>VLOOKUP(C255,'Talente &amp; Stuff'!ER:FT,3,FALSE)</f>
        <v>-</v>
      </c>
      <c r="F255" s="114">
        <f>VLOOKUP(C255,'Talente &amp; Stuff'!ER:FT,4,FALSE)</f>
        <v>0</v>
      </c>
      <c r="G255" s="113">
        <f>VLOOKUP(C255,'Talente &amp; Stuff'!ER:FT,5,FALSE)</f>
        <v>0</v>
      </c>
      <c r="H255" s="113">
        <f>VLOOKUP(C255,'Talente &amp; Stuff'!ER:FT,6,FALSE)</f>
        <v>0</v>
      </c>
      <c r="I255" s="113">
        <f>VLOOKUP(C255,'Talente &amp; Stuff'!ER:FT,7,FALSE)</f>
        <v>0</v>
      </c>
      <c r="J255" s="113">
        <f>VLOOKUP(C255,'Talente &amp; Stuff'!ER:FT,8,FALSE)</f>
        <v>0</v>
      </c>
      <c r="K255" s="113">
        <f>VLOOKUP(C255,'Talente &amp; Stuff'!ER:FT,9,FALSE)</f>
        <v>0</v>
      </c>
      <c r="L255" s="113">
        <f>VLOOKUP(C255,'Talente &amp; Stuff'!ER:FT,10,FALSE)</f>
        <v>0</v>
      </c>
      <c r="M255" s="119">
        <f>VLOOKUP(C255,'Talente &amp; Stuff'!ER:FT,11,FALSE)</f>
        <v>0</v>
      </c>
      <c r="N255" s="47">
        <f>VLOOKUP(C255,'Talente &amp; Stuff'!ER:FT,12,FALSE)</f>
        <v>0</v>
      </c>
      <c r="O255" s="3">
        <f>VLOOKUP(C255,'Talente &amp; Stuff'!ER:FT,13,FALSE)</f>
        <v>0</v>
      </c>
      <c r="P255" s="174">
        <f>VLOOKUP(C255,'Talente &amp; Stuff'!ER:FT,14,FALSE)</f>
        <v>0</v>
      </c>
      <c r="Q255" s="114">
        <f>VLOOKUP(C255,'Talente &amp; Stuff'!ER:FT,15,FALSE)</f>
        <v>0</v>
      </c>
      <c r="R255" s="113">
        <f>VLOOKUP(C255,'Talente &amp; Stuff'!ER:FT,16,FALSE)</f>
        <v>0</v>
      </c>
      <c r="S255" s="119">
        <f>VLOOKUP(C255,'Talente &amp; Stuff'!ER:FT,17,FALSE)</f>
        <v>0</v>
      </c>
      <c r="T255" s="119">
        <f>VLOOKUP(C255,'Talente &amp; Stuff'!ER:FT,18,FALSE)</f>
        <v>0</v>
      </c>
      <c r="U255" s="89">
        <f>VLOOKUP(C255,'Talente &amp; Stuff'!ER:FT,19,FALSE)</f>
        <v>0</v>
      </c>
      <c r="V255" s="47">
        <f>VLOOKUP(C255,'Talente &amp; Stuff'!ER:FT,20,FALSE)</f>
        <v>0</v>
      </c>
      <c r="W255" s="127">
        <f>VLOOKUP(C255,'Talente &amp; Stuff'!ER:FT,21,FALSE)</f>
        <v>0</v>
      </c>
      <c r="X255" s="127">
        <f>VLOOKUP(C255,'Talente &amp; Stuff'!ER:FT,22,FALSE)</f>
        <v>0</v>
      </c>
      <c r="Y255" s="165">
        <f t="shared" si="20"/>
        <v>0</v>
      </c>
      <c r="Z255" s="44">
        <f t="shared" si="21"/>
        <v>0</v>
      </c>
      <c r="AA255" s="125">
        <f>VLOOKUP(C255,'Talente &amp; Stuff'!ER:FT,25,FALSE)</f>
        <v>0</v>
      </c>
      <c r="AB255" s="160">
        <f>VLOOKUP(C255,'Talente &amp; Stuff'!ER:FT,26,FALSE)</f>
        <v>0</v>
      </c>
      <c r="AC255" s="127">
        <f>VLOOKUP(C255,'Talente &amp; Stuff'!ER:FT,27,FALSE)</f>
        <v>0</v>
      </c>
      <c r="AD255" s="125">
        <f>VLOOKUP(C255,'Talente &amp; Stuff'!ER:FT,28,FALSE)</f>
        <v>0</v>
      </c>
      <c r="AE255" s="28"/>
    </row>
    <row r="256" spans="2:31" ht="15" hidden="1" customHeight="1" outlineLevel="2">
      <c r="B256" s="148">
        <v>44</v>
      </c>
      <c r="C256" s="177" t="str">
        <f>Attribute!C256</f>
        <v>---</v>
      </c>
      <c r="D256" s="125" t="str">
        <f>VLOOKUP(C256,'Talente &amp; Stuff'!ER:FT,2,FALSE)</f>
        <v>--/--/--</v>
      </c>
      <c r="E256" s="127" t="str">
        <f>VLOOKUP(C256,'Talente &amp; Stuff'!ER:FT,3,FALSE)</f>
        <v>-</v>
      </c>
      <c r="F256" s="114">
        <f>VLOOKUP(C256,'Talente &amp; Stuff'!ER:FT,4,FALSE)</f>
        <v>0</v>
      </c>
      <c r="G256" s="113">
        <f>VLOOKUP(C256,'Talente &amp; Stuff'!ER:FT,5,FALSE)</f>
        <v>0</v>
      </c>
      <c r="H256" s="113">
        <f>VLOOKUP(C256,'Talente &amp; Stuff'!ER:FT,6,FALSE)</f>
        <v>0</v>
      </c>
      <c r="I256" s="113">
        <f>VLOOKUP(C256,'Talente &amp; Stuff'!ER:FT,7,FALSE)</f>
        <v>0</v>
      </c>
      <c r="J256" s="113">
        <f>VLOOKUP(C256,'Talente &amp; Stuff'!ER:FT,8,FALSE)</f>
        <v>0</v>
      </c>
      <c r="K256" s="113">
        <f>VLOOKUP(C256,'Talente &amp; Stuff'!ER:FT,9,FALSE)</f>
        <v>0</v>
      </c>
      <c r="L256" s="113">
        <f>VLOOKUP(C256,'Talente &amp; Stuff'!ER:FT,10,FALSE)</f>
        <v>0</v>
      </c>
      <c r="M256" s="119">
        <f>VLOOKUP(C256,'Talente &amp; Stuff'!ER:FT,11,FALSE)</f>
        <v>0</v>
      </c>
      <c r="N256" s="47">
        <f>VLOOKUP(C256,'Talente &amp; Stuff'!ER:FT,12,FALSE)</f>
        <v>0</v>
      </c>
      <c r="O256" s="47">
        <f>VLOOKUP(C256,'Talente &amp; Stuff'!ER:FT,13,FALSE)</f>
        <v>0</v>
      </c>
      <c r="P256" s="119">
        <f>VLOOKUP(C256,'Talente &amp; Stuff'!ER:FT,14,FALSE)</f>
        <v>0</v>
      </c>
      <c r="Q256" s="114">
        <f>VLOOKUP(C256,'Talente &amp; Stuff'!ER:FT,15,FALSE)</f>
        <v>0</v>
      </c>
      <c r="R256" s="113">
        <f>VLOOKUP(C256,'Talente &amp; Stuff'!ER:FT,16,FALSE)</f>
        <v>0</v>
      </c>
      <c r="S256" s="119">
        <f>VLOOKUP(C256,'Talente &amp; Stuff'!ER:FT,17,FALSE)</f>
        <v>0</v>
      </c>
      <c r="T256" s="119">
        <f>VLOOKUP(C256,'Talente &amp; Stuff'!ER:FT,18,FALSE)</f>
        <v>0</v>
      </c>
      <c r="U256" s="89">
        <f>VLOOKUP(C256,'Talente &amp; Stuff'!ER:FT,19,FALSE)</f>
        <v>0</v>
      </c>
      <c r="V256" s="47">
        <f>VLOOKUP(C256,'Talente &amp; Stuff'!ER:FT,20,FALSE)</f>
        <v>0</v>
      </c>
      <c r="W256" s="127">
        <f>VLOOKUP(C256,'Talente &amp; Stuff'!ER:FT,21,FALSE)</f>
        <v>0</v>
      </c>
      <c r="X256" s="127">
        <f>VLOOKUP(C256,'Talente &amp; Stuff'!ER:FT,22,FALSE)</f>
        <v>0</v>
      </c>
      <c r="Y256" s="165">
        <f t="shared" si="20"/>
        <v>0</v>
      </c>
      <c r="Z256" s="44">
        <f t="shared" si="21"/>
        <v>0</v>
      </c>
      <c r="AA256" s="125">
        <f>VLOOKUP(C256,'Talente &amp; Stuff'!ER:FT,25,FALSE)</f>
        <v>0</v>
      </c>
      <c r="AB256" s="160">
        <f>VLOOKUP(C256,'Talente &amp; Stuff'!ER:FT,26,FALSE)</f>
        <v>0</v>
      </c>
      <c r="AC256" s="127">
        <f>VLOOKUP(C256,'Talente &amp; Stuff'!ER:FT,27,FALSE)</f>
        <v>0</v>
      </c>
      <c r="AD256" s="125">
        <f>VLOOKUP(C256,'Talente &amp; Stuff'!ER:FT,28,FALSE)</f>
        <v>0</v>
      </c>
      <c r="AE256" s="28"/>
    </row>
    <row r="257" spans="2:31" ht="15" hidden="1" customHeight="1" outlineLevel="2">
      <c r="B257" s="148">
        <v>45</v>
      </c>
      <c r="C257" s="178" t="str">
        <f>Attribute!C257</f>
        <v>---</v>
      </c>
      <c r="D257" s="159" t="str">
        <f>VLOOKUP(C257,'Talente &amp; Stuff'!ER:FT,2,FALSE)</f>
        <v>--/--/--</v>
      </c>
      <c r="E257" s="128" t="str">
        <f>VLOOKUP(C257,'Talente &amp; Stuff'!ER:FT,3,FALSE)</f>
        <v>-</v>
      </c>
      <c r="F257" s="115">
        <f>VLOOKUP(C257,'Talente &amp; Stuff'!ER:FT,4,FALSE)</f>
        <v>0</v>
      </c>
      <c r="G257" s="122">
        <f>VLOOKUP(C257,'Talente &amp; Stuff'!ER:FT,5,FALSE)</f>
        <v>0</v>
      </c>
      <c r="H257" s="122">
        <f>VLOOKUP(C257,'Talente &amp; Stuff'!ER:FT,6,FALSE)</f>
        <v>0</v>
      </c>
      <c r="I257" s="122">
        <f>VLOOKUP(C257,'Talente &amp; Stuff'!ER:FT,7,FALSE)</f>
        <v>0</v>
      </c>
      <c r="J257" s="122">
        <f>VLOOKUP(C257,'Talente &amp; Stuff'!ER:FT,8,FALSE)</f>
        <v>0</v>
      </c>
      <c r="K257" s="122">
        <f>VLOOKUP(C257,'Talente &amp; Stuff'!ER:FT,9,FALSE)</f>
        <v>0</v>
      </c>
      <c r="L257" s="122">
        <f>VLOOKUP(C257,'Talente &amp; Stuff'!ER:FT,10,FALSE)</f>
        <v>0</v>
      </c>
      <c r="M257" s="123">
        <f>VLOOKUP(C257,'Talente &amp; Stuff'!ER:FT,11,FALSE)</f>
        <v>0</v>
      </c>
      <c r="N257" s="88">
        <f>VLOOKUP(C257,'Talente &amp; Stuff'!ER:FT,12,FALSE)</f>
        <v>0</v>
      </c>
      <c r="O257" s="88">
        <f>VLOOKUP(C257,'Talente &amp; Stuff'!ER:FT,13,FALSE)</f>
        <v>0</v>
      </c>
      <c r="P257" s="123">
        <f>VLOOKUP(C257,'Talente &amp; Stuff'!ER:FT,14,FALSE)</f>
        <v>0</v>
      </c>
      <c r="Q257" s="115">
        <f>VLOOKUP(C257,'Talente &amp; Stuff'!ER:FT,15,FALSE)</f>
        <v>0</v>
      </c>
      <c r="R257" s="122">
        <f>VLOOKUP(C257,'Talente &amp; Stuff'!ER:FT,16,FALSE)</f>
        <v>0</v>
      </c>
      <c r="S257" s="123">
        <f>VLOOKUP(C257,'Talente &amp; Stuff'!ER:FT,17,FALSE)</f>
        <v>0</v>
      </c>
      <c r="T257" s="123">
        <f>VLOOKUP(C257,'Talente &amp; Stuff'!ER:FT,18,FALSE)</f>
        <v>0</v>
      </c>
      <c r="U257" s="90">
        <f>VLOOKUP(C257,'Talente &amp; Stuff'!ER:FT,19,FALSE)</f>
        <v>0</v>
      </c>
      <c r="V257" s="88">
        <f>VLOOKUP(C257,'Talente &amp; Stuff'!ER:FT,20,FALSE)</f>
        <v>0</v>
      </c>
      <c r="W257" s="128">
        <f>VLOOKUP(C257,'Talente &amp; Stuff'!ER:FT,21,FALSE)</f>
        <v>0</v>
      </c>
      <c r="X257" s="128">
        <f>VLOOKUP(C257,'Talente &amp; Stuff'!ER:FT,22,FALSE)</f>
        <v>0</v>
      </c>
      <c r="Y257" s="165">
        <f t="shared" si="20"/>
        <v>0</v>
      </c>
      <c r="Z257" s="44">
        <f t="shared" si="21"/>
        <v>0</v>
      </c>
      <c r="AA257" s="159">
        <f>VLOOKUP(C257,'Talente &amp; Stuff'!ER:FT,25,FALSE)</f>
        <v>0</v>
      </c>
      <c r="AB257" s="161">
        <f>VLOOKUP(C257,'Talente &amp; Stuff'!ER:FT,26,FALSE)</f>
        <v>0</v>
      </c>
      <c r="AC257" s="128">
        <f>VLOOKUP(C257,'Talente &amp; Stuff'!ER:FT,27,FALSE)</f>
        <v>0</v>
      </c>
      <c r="AD257" s="159">
        <f>VLOOKUP(C257,'Talente &amp; Stuff'!ER:FT,28,FALSE)</f>
        <v>0</v>
      </c>
      <c r="AE257" s="28"/>
    </row>
    <row r="258" spans="2:31" ht="15" hidden="1" customHeight="1" outlineLevel="1" collapsed="1">
      <c r="B258" s="134" t="s">
        <v>407</v>
      </c>
      <c r="C258" s="83"/>
      <c r="D258" s="84"/>
      <c r="E258" s="84"/>
    </row>
    <row r="259" spans="2:31" ht="15" hidden="1" customHeight="1" outlineLevel="2">
      <c r="B259" s="148">
        <v>1</v>
      </c>
      <c r="C259" s="200" t="str">
        <f>Attribute!C259</f>
        <v>---</v>
      </c>
      <c r="D259" s="186" t="str">
        <f>VLOOKUP(C259,'Talente &amp; Stuff'!ER:FT,2,FALSE)</f>
        <v>--/--/--</v>
      </c>
      <c r="E259" s="40" t="str">
        <f>VLOOKUP(C259,'Talente &amp; Stuff'!ER:FT,3,FALSE)</f>
        <v>-</v>
      </c>
      <c r="F259" s="17">
        <f>VLOOKUP(C259,'Talente &amp; Stuff'!ER:FT,4,FALSE)</f>
        <v>0</v>
      </c>
      <c r="G259" s="183">
        <f>VLOOKUP(C259,'Talente &amp; Stuff'!ER:FT,5,FALSE)</f>
        <v>0</v>
      </c>
      <c r="H259" s="183">
        <f>VLOOKUP(C259,'Talente &amp; Stuff'!ER:FT,6,FALSE)</f>
        <v>0</v>
      </c>
      <c r="I259" s="183">
        <f>VLOOKUP(C259,'Talente &amp; Stuff'!ER:FT,7,FALSE)</f>
        <v>0</v>
      </c>
      <c r="J259" s="183">
        <f>VLOOKUP(C259,'Talente &amp; Stuff'!ER:FT,8,FALSE)</f>
        <v>0</v>
      </c>
      <c r="K259" s="183">
        <f>VLOOKUP(C259,'Talente &amp; Stuff'!ER:FT,9,FALSE)</f>
        <v>0</v>
      </c>
      <c r="L259" s="183">
        <f>VLOOKUP(C259,'Talente &amp; Stuff'!ER:FT,10,FALSE)</f>
        <v>0</v>
      </c>
      <c r="M259" s="180">
        <f>VLOOKUP(C259,'Talente &amp; Stuff'!ER:FT,11,FALSE)</f>
        <v>0</v>
      </c>
      <c r="N259" s="166">
        <f>VLOOKUP(C259,'Talente &amp; Stuff'!ER:FT,12,FALSE)</f>
        <v>0</v>
      </c>
      <c r="O259" s="32">
        <f>VLOOKUP(C259,'Talente &amp; Stuff'!ER:FT,13,FALSE)</f>
        <v>0</v>
      </c>
      <c r="P259" s="187">
        <f>VLOOKUP(C259,'Talente &amp; Stuff'!ER:FT,14,FALSE)</f>
        <v>0</v>
      </c>
      <c r="Q259" s="17">
        <f>VLOOKUP(C259,'Talente &amp; Stuff'!ER:FT,15,FALSE)</f>
        <v>0</v>
      </c>
      <c r="R259" s="188">
        <f>VLOOKUP(C259,'Talente &amp; Stuff'!ER:FT,16,FALSE)</f>
        <v>0</v>
      </c>
      <c r="S259" s="180">
        <f>VLOOKUP(C259,'Talente &amp; Stuff'!ER:FT,17,FALSE)</f>
        <v>0</v>
      </c>
      <c r="T259" s="189">
        <f>VLOOKUP(C259,'Talente &amp; Stuff'!ER:FT,18,FALSE)</f>
        <v>0</v>
      </c>
      <c r="U259" s="166">
        <f>VLOOKUP(C259,'Talente &amp; Stuff'!ER:FT,19,FALSE)</f>
        <v>0</v>
      </c>
      <c r="V259" s="179">
        <f>VLOOKUP(C259,'Talente &amp; Stuff'!ER:FT,20,FALSE)</f>
        <v>0</v>
      </c>
      <c r="W259" s="182">
        <f>VLOOKUP(C259,'Talente &amp; Stuff'!ER:FT,21,FALSE)</f>
        <v>0</v>
      </c>
      <c r="X259" s="182">
        <f>VLOOKUP(C259,'Talente &amp; Stuff'!ER:FT,22,FALSE)</f>
        <v>0</v>
      </c>
      <c r="Y259" s="165">
        <f>VLOOKUP(C259,Ausgewählte_Zauber_Kristallomanten,168,FALSE)</f>
        <v>0</v>
      </c>
      <c r="Z259" s="44">
        <f>VLOOKUP(C259,Ausgewählte_Zauber_Kristallomanten,169,FALSE)</f>
        <v>0</v>
      </c>
      <c r="AA259" s="40">
        <f>VLOOKUP(C259,'Talente &amp; Stuff'!ER:FT,25,FALSE)</f>
        <v>0</v>
      </c>
      <c r="AB259" s="189">
        <f>VLOOKUP(C259,'Talente &amp; Stuff'!ER:FT,26,FALSE)</f>
        <v>0</v>
      </c>
      <c r="AC259" s="182">
        <f>VLOOKUP(C259,'Talente &amp; Stuff'!ER:FT,27,FALSE)</f>
        <v>0</v>
      </c>
      <c r="AD259" s="40">
        <f>VLOOKUP(C259,'Talente &amp; Stuff'!ER:FT,28,FALSE)</f>
        <v>0</v>
      </c>
      <c r="AE259" s="28"/>
    </row>
    <row r="260" spans="2:31" ht="15" hidden="1" customHeight="1" outlineLevel="1" collapsed="1">
      <c r="B260" s="134" t="s">
        <v>408</v>
      </c>
      <c r="C260" s="83"/>
      <c r="D260" s="84"/>
      <c r="E260" s="84"/>
    </row>
    <row r="261" spans="2:31" ht="15" hidden="1" customHeight="1" outlineLevel="2">
      <c r="B261" s="148">
        <v>1</v>
      </c>
      <c r="C261" s="162" t="str">
        <f>Attribute!C261</f>
        <v>---</v>
      </c>
      <c r="D261" s="85" t="str">
        <f>VLOOKUP(C261,'Talente &amp; Stuff'!ER:FT,2,FALSE)</f>
        <v>--/--/--</v>
      </c>
      <c r="E261" s="126" t="str">
        <f>VLOOKUP(C261,'Talente &amp; Stuff'!ER:FT,3,FALSE)</f>
        <v>-</v>
      </c>
      <c r="F261" s="191">
        <f>VLOOKUP(C261,'Talente &amp; Stuff'!ER:FT,4,FALSE)</f>
        <v>0</v>
      </c>
      <c r="G261" s="118">
        <f>VLOOKUP(C261,'Talente &amp; Stuff'!ER:FT,5,FALSE)</f>
        <v>0</v>
      </c>
      <c r="H261" s="118">
        <f>VLOOKUP(C261,'Talente &amp; Stuff'!ER:FT,6,FALSE)</f>
        <v>0</v>
      </c>
      <c r="I261" s="118">
        <f>VLOOKUP(C261,'Talente &amp; Stuff'!ER:FT,7,FALSE)</f>
        <v>0</v>
      </c>
      <c r="J261" s="118">
        <f>VLOOKUP(C261,'Talente &amp; Stuff'!ER:FT,8,FALSE)</f>
        <v>0</v>
      </c>
      <c r="K261" s="118">
        <f>VLOOKUP(C261,'Talente &amp; Stuff'!ER:FT,9,FALSE)</f>
        <v>0</v>
      </c>
      <c r="L261" s="118">
        <f>VLOOKUP(C261,'Talente &amp; Stuff'!ER:FT,10,FALSE)</f>
        <v>0</v>
      </c>
      <c r="M261" s="92">
        <f>VLOOKUP(C261,'Talente &amp; Stuff'!ER:FT,11,FALSE)</f>
        <v>0</v>
      </c>
      <c r="N261" s="116">
        <f>VLOOKUP(C261,'Talente &amp; Stuff'!ER:FT,12,FALSE)</f>
        <v>0</v>
      </c>
      <c r="O261" s="194">
        <f>VLOOKUP(C261,'Talente &amp; Stuff'!ER:FT,13,FALSE)</f>
        <v>0</v>
      </c>
      <c r="P261" s="192">
        <f>VLOOKUP(C261,'Talente &amp; Stuff'!ER:FT,14,FALSE)</f>
        <v>0</v>
      </c>
      <c r="Q261" s="191">
        <f>VLOOKUP(C261,'Talente &amp; Stuff'!ER:FT,15,FALSE)</f>
        <v>0</v>
      </c>
      <c r="R261" s="170">
        <f>VLOOKUP(C261,'Talente &amp; Stuff'!ER:FT,16,FALSE)</f>
        <v>0</v>
      </c>
      <c r="S261" s="92">
        <f>VLOOKUP(C261,'Talente &amp; Stuff'!ER:FT,17,FALSE)</f>
        <v>0</v>
      </c>
      <c r="T261" s="92">
        <f>VLOOKUP(C261,'Talente &amp; Stuff'!ER:FT,18,FALSE)</f>
        <v>0</v>
      </c>
      <c r="U261" s="193">
        <f>VLOOKUP(C261,'Talente &amp; Stuff'!ER:FT,19,FALSE)</f>
        <v>0</v>
      </c>
      <c r="V261" s="116">
        <f>VLOOKUP(C261,'Talente &amp; Stuff'!ER:FT,20,FALSE)</f>
        <v>0</v>
      </c>
      <c r="W261" s="126">
        <f>VLOOKUP(C261,'Talente &amp; Stuff'!ER:FT,21,FALSE)</f>
        <v>0</v>
      </c>
      <c r="X261" s="126">
        <f>VLOOKUP(C261,'Talente &amp; Stuff'!ER:FT,22,FALSE)</f>
        <v>0</v>
      </c>
      <c r="Y261" s="165">
        <f t="shared" ref="Y261:Y296" si="22">VLOOKUP(C261,Ausgewählte_Zauber_Scharlatane,168,FALSE)</f>
        <v>0</v>
      </c>
      <c r="Z261" s="44">
        <f t="shared" ref="Z261:Z296" si="23">VLOOKUP(C261,Ausgewählte_Zauber_Scharlatane,169,FALSE)</f>
        <v>0</v>
      </c>
      <c r="AA261" s="158">
        <f>VLOOKUP(C261,'Talente &amp; Stuff'!ER:FT,25,FALSE)</f>
        <v>0</v>
      </c>
      <c r="AB261" s="91">
        <f>VLOOKUP(C261,'Talente &amp; Stuff'!ER:FT,26,FALSE)</f>
        <v>0</v>
      </c>
      <c r="AC261" s="126">
        <f>VLOOKUP(C261,'Talente &amp; Stuff'!ER:FT,27,FALSE)</f>
        <v>0</v>
      </c>
      <c r="AD261" s="158">
        <f>VLOOKUP(C261,'Talente &amp; Stuff'!ER:FT,28,FALSE)</f>
        <v>0</v>
      </c>
      <c r="AE261" s="28"/>
    </row>
    <row r="262" spans="2:31" ht="15" hidden="1" customHeight="1" outlineLevel="2">
      <c r="B262" s="148">
        <v>2</v>
      </c>
      <c r="C262" s="163" t="str">
        <f>Attribute!C262</f>
        <v>---</v>
      </c>
      <c r="D262" s="125" t="str">
        <f>VLOOKUP(C262,'Talente &amp; Stuff'!ER:FT,2,FALSE)</f>
        <v>--/--/--</v>
      </c>
      <c r="E262" s="127" t="str">
        <f>VLOOKUP(C262,'Talente &amp; Stuff'!ER:FT,3,FALSE)</f>
        <v>-</v>
      </c>
      <c r="F262" s="114">
        <f>VLOOKUP(C262,'Talente &amp; Stuff'!ER:FT,4,FALSE)</f>
        <v>0</v>
      </c>
      <c r="G262" s="113">
        <f>VLOOKUP(C262,'Talente &amp; Stuff'!ER:FT,5,FALSE)</f>
        <v>0</v>
      </c>
      <c r="H262" s="113">
        <f>VLOOKUP(C262,'Talente &amp; Stuff'!ER:FT,6,FALSE)</f>
        <v>0</v>
      </c>
      <c r="I262" s="113">
        <f>VLOOKUP(C262,'Talente &amp; Stuff'!ER:FT,7,FALSE)</f>
        <v>0</v>
      </c>
      <c r="J262" s="113">
        <f>VLOOKUP(C262,'Talente &amp; Stuff'!ER:FT,8,FALSE)</f>
        <v>0</v>
      </c>
      <c r="K262" s="113">
        <f>VLOOKUP(C262,'Talente &amp; Stuff'!ER:FT,9,FALSE)</f>
        <v>0</v>
      </c>
      <c r="L262" s="113">
        <f>VLOOKUP(C262,'Talente &amp; Stuff'!ER:FT,10,FALSE)</f>
        <v>0</v>
      </c>
      <c r="M262" s="119">
        <f>VLOOKUP(C262,'Talente &amp; Stuff'!ER:FT,11,FALSE)</f>
        <v>0</v>
      </c>
      <c r="N262" s="47">
        <f>VLOOKUP(C262,'Talente &amp; Stuff'!ER:FT,12,FALSE)</f>
        <v>0</v>
      </c>
      <c r="O262" s="47">
        <f>VLOOKUP(C262,'Talente &amp; Stuff'!ER:FT,13,FALSE)</f>
        <v>0</v>
      </c>
      <c r="P262" s="119">
        <f>VLOOKUP(C262,'Talente &amp; Stuff'!ER:FT,14,FALSE)</f>
        <v>0</v>
      </c>
      <c r="Q262" s="114">
        <f>VLOOKUP(C262,'Talente &amp; Stuff'!ER:FT,15,FALSE)</f>
        <v>0</v>
      </c>
      <c r="R262" s="113">
        <f>VLOOKUP(C262,'Talente &amp; Stuff'!ER:FT,16,FALSE)</f>
        <v>0</v>
      </c>
      <c r="S262" s="119">
        <f>VLOOKUP(C262,'Talente &amp; Stuff'!ER:FT,17,FALSE)</f>
        <v>0</v>
      </c>
      <c r="T262" s="119">
        <f>VLOOKUP(C262,'Talente &amp; Stuff'!ER:FT,18,FALSE)</f>
        <v>0</v>
      </c>
      <c r="U262" s="89">
        <f>VLOOKUP(C262,'Talente &amp; Stuff'!ER:FT,19,FALSE)</f>
        <v>0</v>
      </c>
      <c r="V262" s="47">
        <f>VLOOKUP(C262,'Talente &amp; Stuff'!ER:FT,20,FALSE)</f>
        <v>0</v>
      </c>
      <c r="W262" s="127">
        <f>VLOOKUP(C262,'Talente &amp; Stuff'!ER:FT,21,FALSE)</f>
        <v>0</v>
      </c>
      <c r="X262" s="127">
        <f>VLOOKUP(C262,'Talente &amp; Stuff'!ER:FT,22,FALSE)</f>
        <v>0</v>
      </c>
      <c r="Y262" s="165">
        <f t="shared" si="22"/>
        <v>0</v>
      </c>
      <c r="Z262" s="44">
        <f t="shared" si="23"/>
        <v>0</v>
      </c>
      <c r="AA262" s="125">
        <f>VLOOKUP(C262,'Talente &amp; Stuff'!ER:FT,25,FALSE)</f>
        <v>0</v>
      </c>
      <c r="AB262" s="160">
        <f>VLOOKUP(C262,'Talente &amp; Stuff'!ER:FT,26,FALSE)</f>
        <v>0</v>
      </c>
      <c r="AC262" s="127">
        <f>VLOOKUP(C262,'Talente &amp; Stuff'!ER:FT,27,FALSE)</f>
        <v>0</v>
      </c>
      <c r="AD262" s="125">
        <f>VLOOKUP(C262,'Talente &amp; Stuff'!ER:FT,28,FALSE)</f>
        <v>0</v>
      </c>
      <c r="AE262" s="28"/>
    </row>
    <row r="263" spans="2:31" ht="15" hidden="1" customHeight="1" outlineLevel="2">
      <c r="B263" s="148">
        <v>3</v>
      </c>
      <c r="C263" s="163" t="str">
        <f>Attribute!C263</f>
        <v>---</v>
      </c>
      <c r="D263" s="125" t="str">
        <f>VLOOKUP(C263,'Talente &amp; Stuff'!ER:FT,2,FALSE)</f>
        <v>--/--/--</v>
      </c>
      <c r="E263" s="127" t="str">
        <f>VLOOKUP(C263,'Talente &amp; Stuff'!ER:FT,3,FALSE)</f>
        <v>-</v>
      </c>
      <c r="F263" s="114">
        <f>VLOOKUP(C263,'Talente &amp; Stuff'!ER:FT,4,FALSE)</f>
        <v>0</v>
      </c>
      <c r="G263" s="113">
        <f>VLOOKUP(C263,'Talente &amp; Stuff'!ER:FT,5,FALSE)</f>
        <v>0</v>
      </c>
      <c r="H263" s="113">
        <f>VLOOKUP(C263,'Talente &amp; Stuff'!ER:FT,6,FALSE)</f>
        <v>0</v>
      </c>
      <c r="I263" s="113">
        <f>VLOOKUP(C263,'Talente &amp; Stuff'!ER:FT,7,FALSE)</f>
        <v>0</v>
      </c>
      <c r="J263" s="113">
        <f>VLOOKUP(C263,'Talente &amp; Stuff'!ER:FT,8,FALSE)</f>
        <v>0</v>
      </c>
      <c r="K263" s="113">
        <f>VLOOKUP(C263,'Talente &amp; Stuff'!ER:FT,9,FALSE)</f>
        <v>0</v>
      </c>
      <c r="L263" s="113">
        <f>VLOOKUP(C263,'Talente &amp; Stuff'!ER:FT,10,FALSE)</f>
        <v>0</v>
      </c>
      <c r="M263" s="119">
        <f>VLOOKUP(C263,'Talente &amp; Stuff'!ER:FT,11,FALSE)</f>
        <v>0</v>
      </c>
      <c r="N263" s="47">
        <f>VLOOKUP(C263,'Talente &amp; Stuff'!ER:FT,12,FALSE)</f>
        <v>0</v>
      </c>
      <c r="O263" s="47">
        <f>VLOOKUP(C263,'Talente &amp; Stuff'!ER:FT,13,FALSE)</f>
        <v>0</v>
      </c>
      <c r="P263" s="119">
        <f>VLOOKUP(C263,'Talente &amp; Stuff'!ER:FT,14,FALSE)</f>
        <v>0</v>
      </c>
      <c r="Q263" s="114">
        <f>VLOOKUP(C263,'Talente &amp; Stuff'!ER:FT,15,FALSE)</f>
        <v>0</v>
      </c>
      <c r="R263" s="113">
        <f>VLOOKUP(C263,'Talente &amp; Stuff'!ER:FT,16,FALSE)</f>
        <v>0</v>
      </c>
      <c r="S263" s="119">
        <f>VLOOKUP(C263,'Talente &amp; Stuff'!ER:FT,17,FALSE)</f>
        <v>0</v>
      </c>
      <c r="T263" s="119">
        <f>VLOOKUP(C263,'Talente &amp; Stuff'!ER:FT,18,FALSE)</f>
        <v>0</v>
      </c>
      <c r="U263" s="89">
        <f>VLOOKUP(C263,'Talente &amp; Stuff'!ER:FT,19,FALSE)</f>
        <v>0</v>
      </c>
      <c r="V263" s="47">
        <f>VLOOKUP(C263,'Talente &amp; Stuff'!ER:FT,20,FALSE)</f>
        <v>0</v>
      </c>
      <c r="W263" s="127">
        <f>VLOOKUP(C263,'Talente &amp; Stuff'!ER:FT,21,FALSE)</f>
        <v>0</v>
      </c>
      <c r="X263" s="127">
        <f>VLOOKUP(C263,'Talente &amp; Stuff'!ER:FT,22,FALSE)</f>
        <v>0</v>
      </c>
      <c r="Y263" s="165">
        <f t="shared" si="22"/>
        <v>0</v>
      </c>
      <c r="Z263" s="44">
        <f t="shared" si="23"/>
        <v>0</v>
      </c>
      <c r="AA263" s="125">
        <f>VLOOKUP(C263,'Talente &amp; Stuff'!ER:FT,25,FALSE)</f>
        <v>0</v>
      </c>
      <c r="AB263" s="160">
        <f>VLOOKUP(C263,'Talente &amp; Stuff'!ER:FT,26,FALSE)</f>
        <v>0</v>
      </c>
      <c r="AC263" s="127">
        <f>VLOOKUP(C263,'Talente &amp; Stuff'!ER:FT,27,FALSE)</f>
        <v>0</v>
      </c>
      <c r="AD263" s="125">
        <f>VLOOKUP(C263,'Talente &amp; Stuff'!ER:FT,28,FALSE)</f>
        <v>0</v>
      </c>
      <c r="AE263" s="28"/>
    </row>
    <row r="264" spans="2:31" ht="15" hidden="1" customHeight="1" outlineLevel="2">
      <c r="B264" s="148">
        <v>4</v>
      </c>
      <c r="C264" s="163" t="str">
        <f>Attribute!C264</f>
        <v>---</v>
      </c>
      <c r="D264" s="86" t="str">
        <f>VLOOKUP(C264,'Talente &amp; Stuff'!ER:FT,2,FALSE)</f>
        <v>--/--/--</v>
      </c>
      <c r="E264" s="167" t="str">
        <f>VLOOKUP(C264,'Talente &amp; Stuff'!ER:FT,3,FALSE)</f>
        <v>-</v>
      </c>
      <c r="F264" s="120">
        <f>VLOOKUP(C264,'Talente &amp; Stuff'!ER:FT,4,FALSE)</f>
        <v>0</v>
      </c>
      <c r="G264" s="117">
        <f>VLOOKUP(C264,'Talente &amp; Stuff'!ER:FT,5,FALSE)</f>
        <v>0</v>
      </c>
      <c r="H264" s="117">
        <f>VLOOKUP(C264,'Talente &amp; Stuff'!ER:FT,6,FALSE)</f>
        <v>0</v>
      </c>
      <c r="I264" s="117">
        <f>VLOOKUP(C264,'Talente &amp; Stuff'!ER:FT,7,FALSE)</f>
        <v>0</v>
      </c>
      <c r="J264" s="117">
        <f>VLOOKUP(C264,'Talente &amp; Stuff'!ER:FT,8,FALSE)</f>
        <v>0</v>
      </c>
      <c r="K264" s="117">
        <f>VLOOKUP(C264,'Talente &amp; Stuff'!ER:FT,9,FALSE)</f>
        <v>0</v>
      </c>
      <c r="L264" s="117">
        <f>VLOOKUP(C264,'Talente &amp; Stuff'!ER:FT,10,FALSE)</f>
        <v>0</v>
      </c>
      <c r="M264" s="121">
        <f>VLOOKUP(C264,'Talente &amp; Stuff'!ER:FT,11,FALSE)</f>
        <v>0</v>
      </c>
      <c r="N264" s="47">
        <f>VLOOKUP(C264,'Talente &amp; Stuff'!ER:FT,12,FALSE)</f>
        <v>0</v>
      </c>
      <c r="O264" s="3">
        <f>VLOOKUP(C264,'Talente &amp; Stuff'!ER:FT,13,FALSE)</f>
        <v>0</v>
      </c>
      <c r="P264" s="174">
        <f>VLOOKUP(C264,'Talente &amp; Stuff'!ER:FT,14,FALSE)</f>
        <v>0</v>
      </c>
      <c r="Q264" s="114">
        <f>VLOOKUP(C264,'Talente &amp; Stuff'!ER:FT,15,FALSE)</f>
        <v>0</v>
      </c>
      <c r="R264" s="117">
        <f>VLOOKUP(C264,'Talente &amp; Stuff'!ER:FT,16,FALSE)</f>
        <v>0</v>
      </c>
      <c r="S264" s="119">
        <f>VLOOKUP(C264,'Talente &amp; Stuff'!ER:FT,17,FALSE)</f>
        <v>0</v>
      </c>
      <c r="T264" s="119">
        <f>VLOOKUP(C264,'Talente &amp; Stuff'!ER:FT,18,FALSE)</f>
        <v>0</v>
      </c>
      <c r="U264" s="89">
        <f>VLOOKUP(C264,'Talente &amp; Stuff'!ER:FT,19,FALSE)</f>
        <v>0</v>
      </c>
      <c r="V264" s="47">
        <f>VLOOKUP(C264,'Talente &amp; Stuff'!ER:FT,20,FALSE)</f>
        <v>0</v>
      </c>
      <c r="W264" s="127">
        <f>VLOOKUP(C264,'Talente &amp; Stuff'!ER:FT,21,FALSE)</f>
        <v>0</v>
      </c>
      <c r="X264" s="127">
        <f>VLOOKUP(C264,'Talente &amp; Stuff'!ER:FT,22,FALSE)</f>
        <v>0</v>
      </c>
      <c r="Y264" s="165">
        <f t="shared" si="22"/>
        <v>0</v>
      </c>
      <c r="Z264" s="44">
        <f t="shared" si="23"/>
        <v>0</v>
      </c>
      <c r="AA264" s="125">
        <f>VLOOKUP(C264,'Talente &amp; Stuff'!ER:FT,25,FALSE)</f>
        <v>0</v>
      </c>
      <c r="AB264" s="160">
        <f>VLOOKUP(C264,'Talente &amp; Stuff'!ER:FT,26,FALSE)</f>
        <v>0</v>
      </c>
      <c r="AC264" s="127">
        <f>VLOOKUP(C264,'Talente &amp; Stuff'!ER:FT,27,FALSE)</f>
        <v>0</v>
      </c>
      <c r="AD264" s="125">
        <f>VLOOKUP(C264,'Talente &amp; Stuff'!ER:FT,28,FALSE)</f>
        <v>0</v>
      </c>
      <c r="AE264" s="28"/>
    </row>
    <row r="265" spans="2:31" ht="15" hidden="1" customHeight="1" outlineLevel="2">
      <c r="B265" s="148">
        <v>5</v>
      </c>
      <c r="C265" s="163" t="str">
        <f>Attribute!C265</f>
        <v>---</v>
      </c>
      <c r="D265" s="86" t="str">
        <f>VLOOKUP(C265,'Talente &amp; Stuff'!ER:FT,2,FALSE)</f>
        <v>--/--/--</v>
      </c>
      <c r="E265" s="167" t="str">
        <f>VLOOKUP(C265,'Talente &amp; Stuff'!ER:FT,3,FALSE)</f>
        <v>-</v>
      </c>
      <c r="F265" s="120">
        <f>VLOOKUP(C265,'Talente &amp; Stuff'!ER:FT,4,FALSE)</f>
        <v>0</v>
      </c>
      <c r="G265" s="117">
        <f>VLOOKUP(C265,'Talente &amp; Stuff'!ER:FT,5,FALSE)</f>
        <v>0</v>
      </c>
      <c r="H265" s="117">
        <f>VLOOKUP(C265,'Talente &amp; Stuff'!ER:FT,6,FALSE)</f>
        <v>0</v>
      </c>
      <c r="I265" s="117">
        <f>VLOOKUP(C265,'Talente &amp; Stuff'!ER:FT,7,FALSE)</f>
        <v>0</v>
      </c>
      <c r="J265" s="117">
        <f>VLOOKUP(C265,'Talente &amp; Stuff'!ER:FT,8,FALSE)</f>
        <v>0</v>
      </c>
      <c r="K265" s="117">
        <f>VLOOKUP(C265,'Talente &amp; Stuff'!ER:FT,9,FALSE)</f>
        <v>0</v>
      </c>
      <c r="L265" s="117">
        <f>VLOOKUP(C265,'Talente &amp; Stuff'!ER:FT,10,FALSE)</f>
        <v>0</v>
      </c>
      <c r="M265" s="121">
        <f>VLOOKUP(C265,'Talente &amp; Stuff'!ER:FT,11,FALSE)</f>
        <v>0</v>
      </c>
      <c r="N265" s="47">
        <f>VLOOKUP(C265,'Talente &amp; Stuff'!ER:FT,12,FALSE)</f>
        <v>0</v>
      </c>
      <c r="O265" s="3">
        <f>VLOOKUP(C265,'Talente &amp; Stuff'!ER:FT,13,FALSE)</f>
        <v>0</v>
      </c>
      <c r="P265" s="174">
        <f>VLOOKUP(C265,'Talente &amp; Stuff'!ER:FT,14,FALSE)</f>
        <v>0</v>
      </c>
      <c r="Q265" s="114">
        <f>VLOOKUP(C265,'Talente &amp; Stuff'!ER:FT,15,FALSE)</f>
        <v>0</v>
      </c>
      <c r="R265" s="117">
        <f>VLOOKUP(C265,'Talente &amp; Stuff'!ER:FT,16,FALSE)</f>
        <v>0</v>
      </c>
      <c r="S265" s="119">
        <f>VLOOKUP(C265,'Talente &amp; Stuff'!ER:FT,17,FALSE)</f>
        <v>0</v>
      </c>
      <c r="T265" s="119">
        <f>VLOOKUP(C265,'Talente &amp; Stuff'!ER:FT,18,FALSE)</f>
        <v>0</v>
      </c>
      <c r="U265" s="89">
        <f>VLOOKUP(C265,'Talente &amp; Stuff'!ER:FT,19,FALSE)</f>
        <v>0</v>
      </c>
      <c r="V265" s="47">
        <f>VLOOKUP(C265,'Talente &amp; Stuff'!ER:FT,20,FALSE)</f>
        <v>0</v>
      </c>
      <c r="W265" s="127">
        <f>VLOOKUP(C265,'Talente &amp; Stuff'!ER:FT,21,FALSE)</f>
        <v>0</v>
      </c>
      <c r="X265" s="127">
        <f>VLOOKUP(C265,'Talente &amp; Stuff'!ER:FT,22,FALSE)</f>
        <v>0</v>
      </c>
      <c r="Y265" s="165">
        <f t="shared" si="22"/>
        <v>0</v>
      </c>
      <c r="Z265" s="44">
        <f t="shared" si="23"/>
        <v>0</v>
      </c>
      <c r="AA265" s="125">
        <f>VLOOKUP(C265,'Talente &amp; Stuff'!ER:FT,25,FALSE)</f>
        <v>0</v>
      </c>
      <c r="AB265" s="160">
        <f>VLOOKUP(C265,'Talente &amp; Stuff'!ER:FT,26,FALSE)</f>
        <v>0</v>
      </c>
      <c r="AC265" s="127">
        <f>VLOOKUP(C265,'Talente &amp; Stuff'!ER:FT,27,FALSE)</f>
        <v>0</v>
      </c>
      <c r="AD265" s="125">
        <f>VLOOKUP(C265,'Talente &amp; Stuff'!ER:FT,28,FALSE)</f>
        <v>0</v>
      </c>
      <c r="AE265" s="28"/>
    </row>
    <row r="266" spans="2:31" ht="15" hidden="1" customHeight="1" outlineLevel="2">
      <c r="B266" s="148">
        <v>6</v>
      </c>
      <c r="C266" s="163" t="str">
        <f>Attribute!C266</f>
        <v>---</v>
      </c>
      <c r="D266" s="125" t="str">
        <f>VLOOKUP(C266,'Talente &amp; Stuff'!ER:FT,2,FALSE)</f>
        <v>--/--/--</v>
      </c>
      <c r="E266" s="127" t="str">
        <f>VLOOKUP(C266,'Talente &amp; Stuff'!ER:FT,3,FALSE)</f>
        <v>-</v>
      </c>
      <c r="F266" s="114">
        <f>VLOOKUP(C266,'Talente &amp; Stuff'!ER:FT,4,FALSE)</f>
        <v>0</v>
      </c>
      <c r="G266" s="113">
        <f>VLOOKUP(C266,'Talente &amp; Stuff'!ER:FT,5,FALSE)</f>
        <v>0</v>
      </c>
      <c r="H266" s="113">
        <f>VLOOKUP(C266,'Talente &amp; Stuff'!ER:FT,6,FALSE)</f>
        <v>0</v>
      </c>
      <c r="I266" s="113">
        <f>VLOOKUP(C266,'Talente &amp; Stuff'!ER:FT,7,FALSE)</f>
        <v>0</v>
      </c>
      <c r="J266" s="113">
        <f>VLOOKUP(C266,'Talente &amp; Stuff'!ER:FT,8,FALSE)</f>
        <v>0</v>
      </c>
      <c r="K266" s="113">
        <f>VLOOKUP(C266,'Talente &amp; Stuff'!ER:FT,9,FALSE)</f>
        <v>0</v>
      </c>
      <c r="L266" s="113">
        <f>VLOOKUP(C266,'Talente &amp; Stuff'!ER:FT,10,FALSE)</f>
        <v>0</v>
      </c>
      <c r="M266" s="119">
        <f>VLOOKUP(C266,'Talente &amp; Stuff'!ER:FT,11,FALSE)</f>
        <v>0</v>
      </c>
      <c r="N266" s="47">
        <f>VLOOKUP(C266,'Talente &amp; Stuff'!ER:FT,12,FALSE)</f>
        <v>0</v>
      </c>
      <c r="O266" s="47">
        <f>VLOOKUP(C266,'Talente &amp; Stuff'!ER:FT,13,FALSE)</f>
        <v>0</v>
      </c>
      <c r="P266" s="119">
        <f>VLOOKUP(C266,'Talente &amp; Stuff'!ER:FT,14,FALSE)</f>
        <v>0</v>
      </c>
      <c r="Q266" s="114">
        <f>VLOOKUP(C266,'Talente &amp; Stuff'!ER:FT,15,FALSE)</f>
        <v>0</v>
      </c>
      <c r="R266" s="113">
        <f>VLOOKUP(C266,'Talente &amp; Stuff'!ER:FT,16,FALSE)</f>
        <v>0</v>
      </c>
      <c r="S266" s="119">
        <f>VLOOKUP(C266,'Talente &amp; Stuff'!ER:FT,17,FALSE)</f>
        <v>0</v>
      </c>
      <c r="T266" s="119">
        <f>VLOOKUP(C266,'Talente &amp; Stuff'!ER:FT,18,FALSE)</f>
        <v>0</v>
      </c>
      <c r="U266" s="89">
        <f>VLOOKUP(C266,'Talente &amp; Stuff'!ER:FT,19,FALSE)</f>
        <v>0</v>
      </c>
      <c r="V266" s="47">
        <f>VLOOKUP(C266,'Talente &amp; Stuff'!ER:FT,20,FALSE)</f>
        <v>0</v>
      </c>
      <c r="W266" s="127">
        <f>VLOOKUP(C266,'Talente &amp; Stuff'!ER:FT,21,FALSE)</f>
        <v>0</v>
      </c>
      <c r="X266" s="127">
        <f>VLOOKUP(C266,'Talente &amp; Stuff'!ER:FT,22,FALSE)</f>
        <v>0</v>
      </c>
      <c r="Y266" s="165">
        <f t="shared" si="22"/>
        <v>0</v>
      </c>
      <c r="Z266" s="44">
        <f t="shared" si="23"/>
        <v>0</v>
      </c>
      <c r="AA266" s="125">
        <f>VLOOKUP(C266,'Talente &amp; Stuff'!ER:FT,25,FALSE)</f>
        <v>0</v>
      </c>
      <c r="AB266" s="160">
        <f>VLOOKUP(C266,'Talente &amp; Stuff'!ER:FT,26,FALSE)</f>
        <v>0</v>
      </c>
      <c r="AC266" s="127">
        <f>VLOOKUP(C266,'Talente &amp; Stuff'!ER:FT,27,FALSE)</f>
        <v>0</v>
      </c>
      <c r="AD266" s="125">
        <f>VLOOKUP(C266,'Talente &amp; Stuff'!ER:FT,28,FALSE)</f>
        <v>0</v>
      </c>
      <c r="AE266" s="28"/>
    </row>
    <row r="267" spans="2:31" ht="15" hidden="1" customHeight="1" outlineLevel="2">
      <c r="B267" s="148">
        <v>7</v>
      </c>
      <c r="C267" s="163" t="str">
        <f>Attribute!C267</f>
        <v>---</v>
      </c>
      <c r="D267" s="125" t="str">
        <f>VLOOKUP(C267,'Talente &amp; Stuff'!ER:FT,2,FALSE)</f>
        <v>--/--/--</v>
      </c>
      <c r="E267" s="127" t="str">
        <f>VLOOKUP(C267,'Talente &amp; Stuff'!ER:FT,3,FALSE)</f>
        <v>-</v>
      </c>
      <c r="F267" s="114">
        <f>VLOOKUP(C267,'Talente &amp; Stuff'!ER:FT,4,FALSE)</f>
        <v>0</v>
      </c>
      <c r="G267" s="113">
        <f>VLOOKUP(C267,'Talente &amp; Stuff'!ER:FT,5,FALSE)</f>
        <v>0</v>
      </c>
      <c r="H267" s="113">
        <f>VLOOKUP(C267,'Talente &amp; Stuff'!ER:FT,6,FALSE)</f>
        <v>0</v>
      </c>
      <c r="I267" s="113">
        <f>VLOOKUP(C267,'Talente &amp; Stuff'!ER:FT,7,FALSE)</f>
        <v>0</v>
      </c>
      <c r="J267" s="113">
        <f>VLOOKUP(C267,'Talente &amp; Stuff'!ER:FT,8,FALSE)</f>
        <v>0</v>
      </c>
      <c r="K267" s="113">
        <f>VLOOKUP(C267,'Talente &amp; Stuff'!ER:FT,9,FALSE)</f>
        <v>0</v>
      </c>
      <c r="L267" s="113">
        <f>VLOOKUP(C267,'Talente &amp; Stuff'!ER:FT,10,FALSE)</f>
        <v>0</v>
      </c>
      <c r="M267" s="119">
        <f>VLOOKUP(C267,'Talente &amp; Stuff'!ER:FT,11,FALSE)</f>
        <v>0</v>
      </c>
      <c r="N267" s="47">
        <f>VLOOKUP(C267,'Talente &amp; Stuff'!ER:FT,12,FALSE)</f>
        <v>0</v>
      </c>
      <c r="O267" s="47">
        <f>VLOOKUP(C267,'Talente &amp; Stuff'!ER:FT,13,FALSE)</f>
        <v>0</v>
      </c>
      <c r="P267" s="119">
        <f>VLOOKUP(C267,'Talente &amp; Stuff'!ER:FT,14,FALSE)</f>
        <v>0</v>
      </c>
      <c r="Q267" s="114">
        <f>VLOOKUP(C267,'Talente &amp; Stuff'!ER:FT,15,FALSE)</f>
        <v>0</v>
      </c>
      <c r="R267" s="113">
        <f>VLOOKUP(C267,'Talente &amp; Stuff'!ER:FT,16,FALSE)</f>
        <v>0</v>
      </c>
      <c r="S267" s="119">
        <f>VLOOKUP(C267,'Talente &amp; Stuff'!ER:FT,17,FALSE)</f>
        <v>0</v>
      </c>
      <c r="T267" s="119">
        <f>VLOOKUP(C267,'Talente &amp; Stuff'!ER:FT,18,FALSE)</f>
        <v>0</v>
      </c>
      <c r="U267" s="89">
        <f>VLOOKUP(C267,'Talente &amp; Stuff'!ER:FT,19,FALSE)</f>
        <v>0</v>
      </c>
      <c r="V267" s="47">
        <f>VLOOKUP(C267,'Talente &amp; Stuff'!ER:FT,20,FALSE)</f>
        <v>0</v>
      </c>
      <c r="W267" s="127">
        <f>VLOOKUP(C267,'Talente &amp; Stuff'!ER:FT,21,FALSE)</f>
        <v>0</v>
      </c>
      <c r="X267" s="127">
        <f>VLOOKUP(C267,'Talente &amp; Stuff'!ER:FT,22,FALSE)</f>
        <v>0</v>
      </c>
      <c r="Y267" s="165">
        <f t="shared" si="22"/>
        <v>0</v>
      </c>
      <c r="Z267" s="44">
        <f t="shared" si="23"/>
        <v>0</v>
      </c>
      <c r="AA267" s="125">
        <f>VLOOKUP(C267,'Talente &amp; Stuff'!ER:FT,25,FALSE)</f>
        <v>0</v>
      </c>
      <c r="AB267" s="160">
        <f>VLOOKUP(C267,'Talente &amp; Stuff'!ER:FT,26,FALSE)</f>
        <v>0</v>
      </c>
      <c r="AC267" s="127">
        <f>VLOOKUP(C267,'Talente &amp; Stuff'!ER:FT,27,FALSE)</f>
        <v>0</v>
      </c>
      <c r="AD267" s="125">
        <f>VLOOKUP(C267,'Talente &amp; Stuff'!ER:FT,28,FALSE)</f>
        <v>0</v>
      </c>
      <c r="AE267" s="28"/>
    </row>
    <row r="268" spans="2:31" ht="15" hidden="1" customHeight="1" outlineLevel="2">
      <c r="B268" s="148">
        <v>8</v>
      </c>
      <c r="C268" s="163" t="str">
        <f>Attribute!C268</f>
        <v>---</v>
      </c>
      <c r="D268" s="125" t="str">
        <f>VLOOKUP(C268,'Talente &amp; Stuff'!ER:FT,2,FALSE)</f>
        <v>--/--/--</v>
      </c>
      <c r="E268" s="127" t="str">
        <f>VLOOKUP(C268,'Talente &amp; Stuff'!ER:FT,3,FALSE)</f>
        <v>-</v>
      </c>
      <c r="F268" s="114">
        <f>VLOOKUP(C268,'Talente &amp; Stuff'!ER:FT,4,FALSE)</f>
        <v>0</v>
      </c>
      <c r="G268" s="113">
        <f>VLOOKUP(C268,'Talente &amp; Stuff'!ER:FT,5,FALSE)</f>
        <v>0</v>
      </c>
      <c r="H268" s="113">
        <f>VLOOKUP(C268,'Talente &amp; Stuff'!ER:FT,6,FALSE)</f>
        <v>0</v>
      </c>
      <c r="I268" s="113">
        <f>VLOOKUP(C268,'Talente &amp; Stuff'!ER:FT,7,FALSE)</f>
        <v>0</v>
      </c>
      <c r="J268" s="113">
        <f>VLOOKUP(C268,'Talente &amp; Stuff'!ER:FT,8,FALSE)</f>
        <v>0</v>
      </c>
      <c r="K268" s="113">
        <f>VLOOKUP(C268,'Talente &amp; Stuff'!ER:FT,9,FALSE)</f>
        <v>0</v>
      </c>
      <c r="L268" s="113">
        <f>VLOOKUP(C268,'Talente &amp; Stuff'!ER:FT,10,FALSE)</f>
        <v>0</v>
      </c>
      <c r="M268" s="119">
        <f>VLOOKUP(C268,'Talente &amp; Stuff'!ER:FT,11,FALSE)</f>
        <v>0</v>
      </c>
      <c r="N268" s="47">
        <f>VLOOKUP(C268,'Talente &amp; Stuff'!ER:FT,12,FALSE)</f>
        <v>0</v>
      </c>
      <c r="O268" s="47">
        <f>VLOOKUP(C268,'Talente &amp; Stuff'!ER:FT,13,FALSE)</f>
        <v>0</v>
      </c>
      <c r="P268" s="119">
        <f>VLOOKUP(C268,'Talente &amp; Stuff'!ER:FT,14,FALSE)</f>
        <v>0</v>
      </c>
      <c r="Q268" s="114">
        <f>VLOOKUP(C268,'Talente &amp; Stuff'!ER:FT,15,FALSE)</f>
        <v>0</v>
      </c>
      <c r="R268" s="113">
        <f>VLOOKUP(C268,'Talente &amp; Stuff'!ER:FT,16,FALSE)</f>
        <v>0</v>
      </c>
      <c r="S268" s="119">
        <f>VLOOKUP(C268,'Talente &amp; Stuff'!ER:FT,17,FALSE)</f>
        <v>0</v>
      </c>
      <c r="T268" s="119">
        <f>VLOOKUP(C268,'Talente &amp; Stuff'!ER:FT,18,FALSE)</f>
        <v>0</v>
      </c>
      <c r="U268" s="89">
        <f>VLOOKUP(C268,'Talente &amp; Stuff'!ER:FT,19,FALSE)</f>
        <v>0</v>
      </c>
      <c r="V268" s="47">
        <f>VLOOKUP(C268,'Talente &amp; Stuff'!ER:FT,20,FALSE)</f>
        <v>0</v>
      </c>
      <c r="W268" s="127">
        <f>VLOOKUP(C268,'Talente &amp; Stuff'!ER:FT,21,FALSE)</f>
        <v>0</v>
      </c>
      <c r="X268" s="127">
        <f>VLOOKUP(C268,'Talente &amp; Stuff'!ER:FT,22,FALSE)</f>
        <v>0</v>
      </c>
      <c r="Y268" s="165">
        <f t="shared" si="22"/>
        <v>0</v>
      </c>
      <c r="Z268" s="44">
        <f t="shared" si="23"/>
        <v>0</v>
      </c>
      <c r="AA268" s="125">
        <f>VLOOKUP(C268,'Talente &amp; Stuff'!ER:FT,25,FALSE)</f>
        <v>0</v>
      </c>
      <c r="AB268" s="160">
        <f>VLOOKUP(C268,'Talente &amp; Stuff'!ER:FT,26,FALSE)</f>
        <v>0</v>
      </c>
      <c r="AC268" s="127">
        <f>VLOOKUP(C268,'Talente &amp; Stuff'!ER:FT,27,FALSE)</f>
        <v>0</v>
      </c>
      <c r="AD268" s="125">
        <f>VLOOKUP(C268,'Talente &amp; Stuff'!ER:FT,28,FALSE)</f>
        <v>0</v>
      </c>
      <c r="AE268" s="28"/>
    </row>
    <row r="269" spans="2:31" ht="15" hidden="1" customHeight="1" outlineLevel="2">
      <c r="B269" s="148">
        <v>9</v>
      </c>
      <c r="C269" s="163" t="str">
        <f>Attribute!C269</f>
        <v>---</v>
      </c>
      <c r="D269" s="125" t="str">
        <f>VLOOKUP(C269,'Talente &amp; Stuff'!ER:FT,2,FALSE)</f>
        <v>--/--/--</v>
      </c>
      <c r="E269" s="127" t="str">
        <f>VLOOKUP(C269,'Talente &amp; Stuff'!ER:FT,3,FALSE)</f>
        <v>-</v>
      </c>
      <c r="F269" s="114">
        <f>VLOOKUP(C269,'Talente &amp; Stuff'!ER:FT,4,FALSE)</f>
        <v>0</v>
      </c>
      <c r="G269" s="113">
        <f>VLOOKUP(C269,'Talente &amp; Stuff'!ER:FT,5,FALSE)</f>
        <v>0</v>
      </c>
      <c r="H269" s="113">
        <f>VLOOKUP(C269,'Talente &amp; Stuff'!ER:FT,6,FALSE)</f>
        <v>0</v>
      </c>
      <c r="I269" s="113">
        <f>VLOOKUP(C269,'Talente &amp; Stuff'!ER:FT,7,FALSE)</f>
        <v>0</v>
      </c>
      <c r="J269" s="113">
        <f>VLOOKUP(C269,'Talente &amp; Stuff'!ER:FT,8,FALSE)</f>
        <v>0</v>
      </c>
      <c r="K269" s="113">
        <f>VLOOKUP(C269,'Talente &amp; Stuff'!ER:FT,9,FALSE)</f>
        <v>0</v>
      </c>
      <c r="L269" s="113">
        <f>VLOOKUP(C269,'Talente &amp; Stuff'!ER:FT,10,FALSE)</f>
        <v>0</v>
      </c>
      <c r="M269" s="119">
        <f>VLOOKUP(C269,'Talente &amp; Stuff'!ER:FT,11,FALSE)</f>
        <v>0</v>
      </c>
      <c r="N269" s="47">
        <f>VLOOKUP(C269,'Talente &amp; Stuff'!ER:FT,12,FALSE)</f>
        <v>0</v>
      </c>
      <c r="O269" s="47">
        <f>VLOOKUP(C269,'Talente &amp; Stuff'!ER:FT,13,FALSE)</f>
        <v>0</v>
      </c>
      <c r="P269" s="119">
        <f>VLOOKUP(C269,'Talente &amp; Stuff'!ER:FT,14,FALSE)</f>
        <v>0</v>
      </c>
      <c r="Q269" s="114">
        <f>VLOOKUP(C269,'Talente &amp; Stuff'!ER:FT,15,FALSE)</f>
        <v>0</v>
      </c>
      <c r="R269" s="113">
        <f>VLOOKUP(C269,'Talente &amp; Stuff'!ER:FT,16,FALSE)</f>
        <v>0</v>
      </c>
      <c r="S269" s="119">
        <f>VLOOKUP(C269,'Talente &amp; Stuff'!ER:FT,17,FALSE)</f>
        <v>0</v>
      </c>
      <c r="T269" s="119">
        <f>VLOOKUP(C269,'Talente &amp; Stuff'!ER:FT,18,FALSE)</f>
        <v>0</v>
      </c>
      <c r="U269" s="89">
        <f>VLOOKUP(C269,'Talente &amp; Stuff'!ER:FT,19,FALSE)</f>
        <v>0</v>
      </c>
      <c r="V269" s="47">
        <f>VLOOKUP(C269,'Talente &amp; Stuff'!ER:FT,20,FALSE)</f>
        <v>0</v>
      </c>
      <c r="W269" s="127">
        <f>VLOOKUP(C269,'Talente &amp; Stuff'!ER:FT,21,FALSE)</f>
        <v>0</v>
      </c>
      <c r="X269" s="127">
        <f>VLOOKUP(C269,'Talente &amp; Stuff'!ER:FT,22,FALSE)</f>
        <v>0</v>
      </c>
      <c r="Y269" s="165">
        <f t="shared" si="22"/>
        <v>0</v>
      </c>
      <c r="Z269" s="44">
        <f t="shared" si="23"/>
        <v>0</v>
      </c>
      <c r="AA269" s="125">
        <f>VLOOKUP(C269,'Talente &amp; Stuff'!ER:FT,25,FALSE)</f>
        <v>0</v>
      </c>
      <c r="AB269" s="160">
        <f>VLOOKUP(C269,'Talente &amp; Stuff'!ER:FT,26,FALSE)</f>
        <v>0</v>
      </c>
      <c r="AC269" s="127">
        <f>VLOOKUP(C269,'Talente &amp; Stuff'!ER:FT,27,FALSE)</f>
        <v>0</v>
      </c>
      <c r="AD269" s="125">
        <f>VLOOKUP(C269,'Talente &amp; Stuff'!ER:FT,28,FALSE)</f>
        <v>0</v>
      </c>
      <c r="AE269" s="28"/>
    </row>
    <row r="270" spans="2:31" ht="15" hidden="1" customHeight="1" outlineLevel="2">
      <c r="B270" s="148">
        <v>10</v>
      </c>
      <c r="C270" s="163" t="str">
        <f>Attribute!C270</f>
        <v>---</v>
      </c>
      <c r="D270" s="86" t="str">
        <f>VLOOKUP(C270,'Talente &amp; Stuff'!ER:FT,2,FALSE)</f>
        <v>--/--/--</v>
      </c>
      <c r="E270" s="167" t="str">
        <f>VLOOKUP(C270,'Talente &amp; Stuff'!ER:FT,3,FALSE)</f>
        <v>-</v>
      </c>
      <c r="F270" s="120">
        <f>VLOOKUP(C270,'Talente &amp; Stuff'!ER:FT,4,FALSE)</f>
        <v>0</v>
      </c>
      <c r="G270" s="117">
        <f>VLOOKUP(C270,'Talente &amp; Stuff'!ER:FT,5,FALSE)</f>
        <v>0</v>
      </c>
      <c r="H270" s="117">
        <f>VLOOKUP(C270,'Talente &amp; Stuff'!ER:FT,6,FALSE)</f>
        <v>0</v>
      </c>
      <c r="I270" s="117">
        <f>VLOOKUP(C270,'Talente &amp; Stuff'!ER:FT,7,FALSE)</f>
        <v>0</v>
      </c>
      <c r="J270" s="117">
        <f>VLOOKUP(C270,'Talente &amp; Stuff'!ER:FT,8,FALSE)</f>
        <v>0</v>
      </c>
      <c r="K270" s="117">
        <f>VLOOKUP(C270,'Talente &amp; Stuff'!ER:FT,9,FALSE)</f>
        <v>0</v>
      </c>
      <c r="L270" s="117">
        <f>VLOOKUP(C270,'Talente &amp; Stuff'!ER:FT,10,FALSE)</f>
        <v>0</v>
      </c>
      <c r="M270" s="121">
        <f>VLOOKUP(C270,'Talente &amp; Stuff'!ER:FT,11,FALSE)</f>
        <v>0</v>
      </c>
      <c r="N270" s="47">
        <f>VLOOKUP(C270,'Talente &amp; Stuff'!ER:FT,12,FALSE)</f>
        <v>0</v>
      </c>
      <c r="O270" s="3">
        <f>VLOOKUP(C270,'Talente &amp; Stuff'!ER:FT,13,FALSE)</f>
        <v>0</v>
      </c>
      <c r="P270" s="174">
        <f>VLOOKUP(C270,'Talente &amp; Stuff'!ER:FT,14,FALSE)</f>
        <v>0</v>
      </c>
      <c r="Q270" s="114">
        <f>VLOOKUP(C270,'Talente &amp; Stuff'!ER:FT,15,FALSE)</f>
        <v>0</v>
      </c>
      <c r="R270" s="117">
        <f>VLOOKUP(C270,'Talente &amp; Stuff'!ER:FT,16,FALSE)</f>
        <v>0</v>
      </c>
      <c r="S270" s="119">
        <f>VLOOKUP(C270,'Talente &amp; Stuff'!ER:FT,17,FALSE)</f>
        <v>0</v>
      </c>
      <c r="T270" s="119">
        <f>VLOOKUP(C270,'Talente &amp; Stuff'!ER:FT,18,FALSE)</f>
        <v>0</v>
      </c>
      <c r="U270" s="89">
        <f>VLOOKUP(C270,'Talente &amp; Stuff'!ER:FT,19,FALSE)</f>
        <v>0</v>
      </c>
      <c r="V270" s="47">
        <f>VLOOKUP(C270,'Talente &amp; Stuff'!ER:FT,20,FALSE)</f>
        <v>0</v>
      </c>
      <c r="W270" s="127">
        <f>VLOOKUP(C270,'Talente &amp; Stuff'!ER:FT,21,FALSE)</f>
        <v>0</v>
      </c>
      <c r="X270" s="127">
        <f>VLOOKUP(C270,'Talente &amp; Stuff'!ER:FT,22,FALSE)</f>
        <v>0</v>
      </c>
      <c r="Y270" s="165">
        <f t="shared" si="22"/>
        <v>0</v>
      </c>
      <c r="Z270" s="44">
        <f t="shared" si="23"/>
        <v>0</v>
      </c>
      <c r="AA270" s="125">
        <f>VLOOKUP(C270,'Talente &amp; Stuff'!ER:FT,25,FALSE)</f>
        <v>0</v>
      </c>
      <c r="AB270" s="160">
        <f>VLOOKUP(C270,'Talente &amp; Stuff'!ER:FT,26,FALSE)</f>
        <v>0</v>
      </c>
      <c r="AC270" s="127">
        <f>VLOOKUP(C270,'Talente &amp; Stuff'!ER:FT,27,FALSE)</f>
        <v>0</v>
      </c>
      <c r="AD270" s="125">
        <f>VLOOKUP(C270,'Talente &amp; Stuff'!ER:FT,28,FALSE)</f>
        <v>0</v>
      </c>
      <c r="AE270" s="28"/>
    </row>
    <row r="271" spans="2:31" ht="15" hidden="1" customHeight="1" outlineLevel="2">
      <c r="B271" s="148">
        <v>11</v>
      </c>
      <c r="C271" s="163" t="str">
        <f>Attribute!C271</f>
        <v>---</v>
      </c>
      <c r="D271" s="86" t="str">
        <f>VLOOKUP(C271,'Talente &amp; Stuff'!ER:FT,2,FALSE)</f>
        <v>--/--/--</v>
      </c>
      <c r="E271" s="167" t="str">
        <f>VLOOKUP(C271,'Talente &amp; Stuff'!ER:FT,3,FALSE)</f>
        <v>-</v>
      </c>
      <c r="F271" s="120">
        <f>VLOOKUP(C271,'Talente &amp; Stuff'!ER:FT,4,FALSE)</f>
        <v>0</v>
      </c>
      <c r="G271" s="117">
        <f>VLOOKUP(C271,'Talente &amp; Stuff'!ER:FT,5,FALSE)</f>
        <v>0</v>
      </c>
      <c r="H271" s="117">
        <f>VLOOKUP(C271,'Talente &amp; Stuff'!ER:FT,6,FALSE)</f>
        <v>0</v>
      </c>
      <c r="I271" s="117">
        <f>VLOOKUP(C271,'Talente &amp; Stuff'!ER:FT,7,FALSE)</f>
        <v>0</v>
      </c>
      <c r="J271" s="117">
        <f>VLOOKUP(C271,'Talente &amp; Stuff'!ER:FT,8,FALSE)</f>
        <v>0</v>
      </c>
      <c r="K271" s="117">
        <f>VLOOKUP(C271,'Talente &amp; Stuff'!ER:FT,9,FALSE)</f>
        <v>0</v>
      </c>
      <c r="L271" s="117">
        <f>VLOOKUP(C271,'Talente &amp; Stuff'!ER:FT,10,FALSE)</f>
        <v>0</v>
      </c>
      <c r="M271" s="121">
        <f>VLOOKUP(C271,'Talente &amp; Stuff'!ER:FT,11,FALSE)</f>
        <v>0</v>
      </c>
      <c r="N271" s="47">
        <f>VLOOKUP(C271,'Talente &amp; Stuff'!ER:FT,12,FALSE)</f>
        <v>0</v>
      </c>
      <c r="O271" s="3">
        <f>VLOOKUP(C271,'Talente &amp; Stuff'!ER:FT,13,FALSE)</f>
        <v>0</v>
      </c>
      <c r="P271" s="174">
        <f>VLOOKUP(C271,'Talente &amp; Stuff'!ER:FT,14,FALSE)</f>
        <v>0</v>
      </c>
      <c r="Q271" s="114">
        <f>VLOOKUP(C271,'Talente &amp; Stuff'!ER:FT,15,FALSE)</f>
        <v>0</v>
      </c>
      <c r="R271" s="117">
        <f>VLOOKUP(C271,'Talente &amp; Stuff'!ER:FT,16,FALSE)</f>
        <v>0</v>
      </c>
      <c r="S271" s="119">
        <f>VLOOKUP(C271,'Talente &amp; Stuff'!ER:FT,17,FALSE)</f>
        <v>0</v>
      </c>
      <c r="T271" s="119">
        <f>VLOOKUP(C271,'Talente &amp; Stuff'!ER:FT,18,FALSE)</f>
        <v>0</v>
      </c>
      <c r="U271" s="89">
        <f>VLOOKUP(C271,'Talente &amp; Stuff'!ER:FT,19,FALSE)</f>
        <v>0</v>
      </c>
      <c r="V271" s="47">
        <f>VLOOKUP(C271,'Talente &amp; Stuff'!ER:FT,20,FALSE)</f>
        <v>0</v>
      </c>
      <c r="W271" s="127">
        <f>VLOOKUP(C271,'Talente &amp; Stuff'!ER:FT,21,FALSE)</f>
        <v>0</v>
      </c>
      <c r="X271" s="127">
        <f>VLOOKUP(C271,'Talente &amp; Stuff'!ER:FT,22,FALSE)</f>
        <v>0</v>
      </c>
      <c r="Y271" s="165">
        <f t="shared" si="22"/>
        <v>0</v>
      </c>
      <c r="Z271" s="44">
        <f t="shared" si="23"/>
        <v>0</v>
      </c>
      <c r="AA271" s="125">
        <f>VLOOKUP(C271,'Talente &amp; Stuff'!ER:FT,25,FALSE)</f>
        <v>0</v>
      </c>
      <c r="AB271" s="160">
        <f>VLOOKUP(C271,'Talente &amp; Stuff'!ER:FT,26,FALSE)</f>
        <v>0</v>
      </c>
      <c r="AC271" s="127">
        <f>VLOOKUP(C271,'Talente &amp; Stuff'!ER:FT,27,FALSE)</f>
        <v>0</v>
      </c>
      <c r="AD271" s="125">
        <f>VLOOKUP(C271,'Talente &amp; Stuff'!ER:FT,28,FALSE)</f>
        <v>0</v>
      </c>
      <c r="AE271" s="28"/>
    </row>
    <row r="272" spans="2:31" ht="15" hidden="1" customHeight="1" outlineLevel="2">
      <c r="B272" s="148">
        <v>12</v>
      </c>
      <c r="C272" s="163" t="str">
        <f>Attribute!C272</f>
        <v>---</v>
      </c>
      <c r="D272" s="86" t="str">
        <f>VLOOKUP(C272,'Talente &amp; Stuff'!ER:FT,2,FALSE)</f>
        <v>--/--/--</v>
      </c>
      <c r="E272" s="167" t="str">
        <f>VLOOKUP(C272,'Talente &amp; Stuff'!ER:FT,3,FALSE)</f>
        <v>-</v>
      </c>
      <c r="F272" s="120">
        <f>VLOOKUP(C272,'Talente &amp; Stuff'!ER:FT,4,FALSE)</f>
        <v>0</v>
      </c>
      <c r="G272" s="117">
        <f>VLOOKUP(C272,'Talente &amp; Stuff'!ER:FT,5,FALSE)</f>
        <v>0</v>
      </c>
      <c r="H272" s="117">
        <f>VLOOKUP(C272,'Talente &amp; Stuff'!ER:FT,6,FALSE)</f>
        <v>0</v>
      </c>
      <c r="I272" s="117">
        <f>VLOOKUP(C272,'Talente &amp; Stuff'!ER:FT,7,FALSE)</f>
        <v>0</v>
      </c>
      <c r="J272" s="117">
        <f>VLOOKUP(C272,'Talente &amp; Stuff'!ER:FT,8,FALSE)</f>
        <v>0</v>
      </c>
      <c r="K272" s="117">
        <f>VLOOKUP(C272,'Talente &amp; Stuff'!ER:FT,9,FALSE)</f>
        <v>0</v>
      </c>
      <c r="L272" s="117">
        <f>VLOOKUP(C272,'Talente &amp; Stuff'!ER:FT,10,FALSE)</f>
        <v>0</v>
      </c>
      <c r="M272" s="121">
        <f>VLOOKUP(C272,'Talente &amp; Stuff'!ER:FT,11,FALSE)</f>
        <v>0</v>
      </c>
      <c r="N272" s="47">
        <f>VLOOKUP(C272,'Talente &amp; Stuff'!ER:FT,12,FALSE)</f>
        <v>0</v>
      </c>
      <c r="O272" s="3">
        <f>VLOOKUP(C272,'Talente &amp; Stuff'!ER:FT,13,FALSE)</f>
        <v>0</v>
      </c>
      <c r="P272" s="174">
        <f>VLOOKUP(C272,'Talente &amp; Stuff'!ER:FT,14,FALSE)</f>
        <v>0</v>
      </c>
      <c r="Q272" s="114">
        <f>VLOOKUP(C272,'Talente &amp; Stuff'!ER:FT,15,FALSE)</f>
        <v>0</v>
      </c>
      <c r="R272" s="117">
        <f>VLOOKUP(C272,'Talente &amp; Stuff'!ER:FT,16,FALSE)</f>
        <v>0</v>
      </c>
      <c r="S272" s="119">
        <f>VLOOKUP(C272,'Talente &amp; Stuff'!ER:FT,17,FALSE)</f>
        <v>0</v>
      </c>
      <c r="T272" s="119">
        <f>VLOOKUP(C272,'Talente &amp; Stuff'!ER:FT,18,FALSE)</f>
        <v>0</v>
      </c>
      <c r="U272" s="89">
        <f>VLOOKUP(C272,'Talente &amp; Stuff'!ER:FT,19,FALSE)</f>
        <v>0</v>
      </c>
      <c r="V272" s="47">
        <f>VLOOKUP(C272,'Talente &amp; Stuff'!ER:FT,20,FALSE)</f>
        <v>0</v>
      </c>
      <c r="W272" s="127">
        <f>VLOOKUP(C272,'Talente &amp; Stuff'!ER:FT,21,FALSE)</f>
        <v>0</v>
      </c>
      <c r="X272" s="127">
        <f>VLOOKUP(C272,'Talente &amp; Stuff'!ER:FT,22,FALSE)</f>
        <v>0</v>
      </c>
      <c r="Y272" s="165">
        <f t="shared" si="22"/>
        <v>0</v>
      </c>
      <c r="Z272" s="44">
        <f t="shared" si="23"/>
        <v>0</v>
      </c>
      <c r="AA272" s="125">
        <f>VLOOKUP(C272,'Talente &amp; Stuff'!ER:FT,25,FALSE)</f>
        <v>0</v>
      </c>
      <c r="AB272" s="160">
        <f>VLOOKUP(C272,'Talente &amp; Stuff'!ER:FT,26,FALSE)</f>
        <v>0</v>
      </c>
      <c r="AC272" s="127">
        <f>VLOOKUP(C272,'Talente &amp; Stuff'!ER:FT,27,FALSE)</f>
        <v>0</v>
      </c>
      <c r="AD272" s="125">
        <f>VLOOKUP(C272,'Talente &amp; Stuff'!ER:FT,28,FALSE)</f>
        <v>0</v>
      </c>
      <c r="AE272" s="28"/>
    </row>
    <row r="273" spans="2:31" ht="15" hidden="1" customHeight="1" outlineLevel="2">
      <c r="B273" s="148">
        <v>13</v>
      </c>
      <c r="C273" s="163" t="str">
        <f>Attribute!C273</f>
        <v>---</v>
      </c>
      <c r="D273" s="86" t="str">
        <f>VLOOKUP(C273,'Talente &amp; Stuff'!ER:FT,2,FALSE)</f>
        <v>--/--/--</v>
      </c>
      <c r="E273" s="167" t="str">
        <f>VLOOKUP(C273,'Talente &amp; Stuff'!ER:FT,3,FALSE)</f>
        <v>-</v>
      </c>
      <c r="F273" s="120">
        <f>VLOOKUP(C273,'Talente &amp; Stuff'!ER:FT,4,FALSE)</f>
        <v>0</v>
      </c>
      <c r="G273" s="117">
        <f>VLOOKUP(C273,'Talente &amp; Stuff'!ER:FT,5,FALSE)</f>
        <v>0</v>
      </c>
      <c r="H273" s="117">
        <f>VLOOKUP(C273,'Talente &amp; Stuff'!ER:FT,6,FALSE)</f>
        <v>0</v>
      </c>
      <c r="I273" s="117">
        <f>VLOOKUP(C273,'Talente &amp; Stuff'!ER:FT,7,FALSE)</f>
        <v>0</v>
      </c>
      <c r="J273" s="117">
        <f>VLOOKUP(C273,'Talente &amp; Stuff'!ER:FT,8,FALSE)</f>
        <v>0</v>
      </c>
      <c r="K273" s="117">
        <f>VLOOKUP(C273,'Talente &amp; Stuff'!ER:FT,9,FALSE)</f>
        <v>0</v>
      </c>
      <c r="L273" s="117">
        <f>VLOOKUP(C273,'Talente &amp; Stuff'!ER:FT,10,FALSE)</f>
        <v>0</v>
      </c>
      <c r="M273" s="121">
        <f>VLOOKUP(C273,'Talente &amp; Stuff'!ER:FT,11,FALSE)</f>
        <v>0</v>
      </c>
      <c r="N273" s="47">
        <f>VLOOKUP(C273,'Talente &amp; Stuff'!ER:FT,12,FALSE)</f>
        <v>0</v>
      </c>
      <c r="O273" s="3">
        <f>VLOOKUP(C273,'Talente &amp; Stuff'!ER:FT,13,FALSE)</f>
        <v>0</v>
      </c>
      <c r="P273" s="174">
        <f>VLOOKUP(C273,'Talente &amp; Stuff'!ER:FT,14,FALSE)</f>
        <v>0</v>
      </c>
      <c r="Q273" s="114">
        <f>VLOOKUP(C273,'Talente &amp; Stuff'!ER:FT,15,FALSE)</f>
        <v>0</v>
      </c>
      <c r="R273" s="117">
        <f>VLOOKUP(C273,'Talente &amp; Stuff'!ER:FT,16,FALSE)</f>
        <v>0</v>
      </c>
      <c r="S273" s="119">
        <f>VLOOKUP(C273,'Talente &amp; Stuff'!ER:FT,17,FALSE)</f>
        <v>0</v>
      </c>
      <c r="T273" s="119">
        <f>VLOOKUP(C273,'Talente &amp; Stuff'!ER:FT,18,FALSE)</f>
        <v>0</v>
      </c>
      <c r="U273" s="89">
        <f>VLOOKUP(C273,'Talente &amp; Stuff'!ER:FT,19,FALSE)</f>
        <v>0</v>
      </c>
      <c r="V273" s="47">
        <f>VLOOKUP(C273,'Talente &amp; Stuff'!ER:FT,20,FALSE)</f>
        <v>0</v>
      </c>
      <c r="W273" s="127">
        <f>VLOOKUP(C273,'Talente &amp; Stuff'!ER:FT,21,FALSE)</f>
        <v>0</v>
      </c>
      <c r="X273" s="127">
        <f>VLOOKUP(C273,'Talente &amp; Stuff'!ER:FT,22,FALSE)</f>
        <v>0</v>
      </c>
      <c r="Y273" s="165">
        <f t="shared" si="22"/>
        <v>0</v>
      </c>
      <c r="Z273" s="44">
        <f t="shared" si="23"/>
        <v>0</v>
      </c>
      <c r="AA273" s="125">
        <f>VLOOKUP(C273,'Talente &amp; Stuff'!ER:FT,25,FALSE)</f>
        <v>0</v>
      </c>
      <c r="AB273" s="160">
        <f>VLOOKUP(C273,'Talente &amp; Stuff'!ER:FT,26,FALSE)</f>
        <v>0</v>
      </c>
      <c r="AC273" s="127">
        <f>VLOOKUP(C273,'Talente &amp; Stuff'!ER:FT,27,FALSE)</f>
        <v>0</v>
      </c>
      <c r="AD273" s="125">
        <f>VLOOKUP(C273,'Talente &amp; Stuff'!ER:FT,28,FALSE)</f>
        <v>0</v>
      </c>
      <c r="AE273" s="28"/>
    </row>
    <row r="274" spans="2:31" ht="15" hidden="1" customHeight="1" outlineLevel="2">
      <c r="B274" s="148">
        <v>14</v>
      </c>
      <c r="C274" s="163" t="str">
        <f>Attribute!C274</f>
        <v>---</v>
      </c>
      <c r="D274" s="86" t="str">
        <f>VLOOKUP(C274,'Talente &amp; Stuff'!ER:FT,2,FALSE)</f>
        <v>--/--/--</v>
      </c>
      <c r="E274" s="167" t="str">
        <f>VLOOKUP(C274,'Talente &amp; Stuff'!ER:FT,3,FALSE)</f>
        <v>-</v>
      </c>
      <c r="F274" s="120">
        <f>VLOOKUP(C274,'Talente &amp; Stuff'!ER:FT,4,FALSE)</f>
        <v>0</v>
      </c>
      <c r="G274" s="117">
        <f>VLOOKUP(C274,'Talente &amp; Stuff'!ER:FT,5,FALSE)</f>
        <v>0</v>
      </c>
      <c r="H274" s="117">
        <f>VLOOKUP(C274,'Talente &amp; Stuff'!ER:FT,6,FALSE)</f>
        <v>0</v>
      </c>
      <c r="I274" s="117">
        <f>VLOOKUP(C274,'Talente &amp; Stuff'!ER:FT,7,FALSE)</f>
        <v>0</v>
      </c>
      <c r="J274" s="117">
        <f>VLOOKUP(C274,'Talente &amp; Stuff'!ER:FT,8,FALSE)</f>
        <v>0</v>
      </c>
      <c r="K274" s="117">
        <f>VLOOKUP(C274,'Talente &amp; Stuff'!ER:FT,9,FALSE)</f>
        <v>0</v>
      </c>
      <c r="L274" s="117">
        <f>VLOOKUP(C274,'Talente &amp; Stuff'!ER:FT,10,FALSE)</f>
        <v>0</v>
      </c>
      <c r="M274" s="121">
        <f>VLOOKUP(C274,'Talente &amp; Stuff'!ER:FT,11,FALSE)</f>
        <v>0</v>
      </c>
      <c r="N274" s="47">
        <f>VLOOKUP(C274,'Talente &amp; Stuff'!ER:FT,12,FALSE)</f>
        <v>0</v>
      </c>
      <c r="O274" s="3">
        <f>VLOOKUP(C274,'Talente &amp; Stuff'!ER:FT,13,FALSE)</f>
        <v>0</v>
      </c>
      <c r="P274" s="174">
        <f>VLOOKUP(C274,'Talente &amp; Stuff'!ER:FT,14,FALSE)</f>
        <v>0</v>
      </c>
      <c r="Q274" s="114">
        <f>VLOOKUP(C274,'Talente &amp; Stuff'!ER:FT,15,FALSE)</f>
        <v>0</v>
      </c>
      <c r="R274" s="117">
        <f>VLOOKUP(C274,'Talente &amp; Stuff'!ER:FT,16,FALSE)</f>
        <v>0</v>
      </c>
      <c r="S274" s="119">
        <f>VLOOKUP(C274,'Talente &amp; Stuff'!ER:FT,17,FALSE)</f>
        <v>0</v>
      </c>
      <c r="T274" s="119">
        <f>VLOOKUP(C274,'Talente &amp; Stuff'!ER:FT,18,FALSE)</f>
        <v>0</v>
      </c>
      <c r="U274" s="89">
        <f>VLOOKUP(C274,'Talente &amp; Stuff'!ER:FT,19,FALSE)</f>
        <v>0</v>
      </c>
      <c r="V274" s="47">
        <f>VLOOKUP(C274,'Talente &amp; Stuff'!ER:FT,20,FALSE)</f>
        <v>0</v>
      </c>
      <c r="W274" s="127">
        <f>VLOOKUP(C274,'Talente &amp; Stuff'!ER:FT,21,FALSE)</f>
        <v>0</v>
      </c>
      <c r="X274" s="127">
        <f>VLOOKUP(C274,'Talente &amp; Stuff'!ER:FT,22,FALSE)</f>
        <v>0</v>
      </c>
      <c r="Y274" s="165">
        <f t="shared" si="22"/>
        <v>0</v>
      </c>
      <c r="Z274" s="44">
        <f t="shared" si="23"/>
        <v>0</v>
      </c>
      <c r="AA274" s="125">
        <f>VLOOKUP(C274,'Talente &amp; Stuff'!ER:FT,25,FALSE)</f>
        <v>0</v>
      </c>
      <c r="AB274" s="160">
        <f>VLOOKUP(C274,'Talente &amp; Stuff'!ER:FT,26,FALSE)</f>
        <v>0</v>
      </c>
      <c r="AC274" s="127">
        <f>VLOOKUP(C274,'Talente &amp; Stuff'!ER:FT,27,FALSE)</f>
        <v>0</v>
      </c>
      <c r="AD274" s="125">
        <f>VLOOKUP(C274,'Talente &amp; Stuff'!ER:FT,28,FALSE)</f>
        <v>0</v>
      </c>
      <c r="AE274" s="28"/>
    </row>
    <row r="275" spans="2:31" ht="15" hidden="1" customHeight="1" outlineLevel="2">
      <c r="B275" s="148">
        <v>15</v>
      </c>
      <c r="C275" s="163" t="str">
        <f>Attribute!C275</f>
        <v>---</v>
      </c>
      <c r="D275" s="86" t="str">
        <f>VLOOKUP(C275,'Talente &amp; Stuff'!ER:FT,2,FALSE)</f>
        <v>--/--/--</v>
      </c>
      <c r="E275" s="167" t="str">
        <f>VLOOKUP(C275,'Talente &amp; Stuff'!ER:FT,3,FALSE)</f>
        <v>-</v>
      </c>
      <c r="F275" s="120">
        <f>VLOOKUP(C275,'Talente &amp; Stuff'!ER:FT,4,FALSE)</f>
        <v>0</v>
      </c>
      <c r="G275" s="117">
        <f>VLOOKUP(C275,'Talente &amp; Stuff'!ER:FT,5,FALSE)</f>
        <v>0</v>
      </c>
      <c r="H275" s="117">
        <f>VLOOKUP(C275,'Talente &amp; Stuff'!ER:FT,6,FALSE)</f>
        <v>0</v>
      </c>
      <c r="I275" s="117">
        <f>VLOOKUP(C275,'Talente &amp; Stuff'!ER:FT,7,FALSE)</f>
        <v>0</v>
      </c>
      <c r="J275" s="117">
        <f>VLOOKUP(C275,'Talente &amp; Stuff'!ER:FT,8,FALSE)</f>
        <v>0</v>
      </c>
      <c r="K275" s="117">
        <f>VLOOKUP(C275,'Talente &amp; Stuff'!ER:FT,9,FALSE)</f>
        <v>0</v>
      </c>
      <c r="L275" s="117">
        <f>VLOOKUP(C275,'Talente &amp; Stuff'!ER:FT,10,FALSE)</f>
        <v>0</v>
      </c>
      <c r="M275" s="121">
        <f>VLOOKUP(C275,'Talente &amp; Stuff'!ER:FT,11,FALSE)</f>
        <v>0</v>
      </c>
      <c r="N275" s="47">
        <f>VLOOKUP(C275,'Talente &amp; Stuff'!ER:FT,12,FALSE)</f>
        <v>0</v>
      </c>
      <c r="O275" s="3">
        <f>VLOOKUP(C275,'Talente &amp; Stuff'!ER:FT,13,FALSE)</f>
        <v>0</v>
      </c>
      <c r="P275" s="174">
        <f>VLOOKUP(C275,'Talente &amp; Stuff'!ER:FT,14,FALSE)</f>
        <v>0</v>
      </c>
      <c r="Q275" s="114">
        <f>VLOOKUP(C275,'Talente &amp; Stuff'!ER:FT,15,FALSE)</f>
        <v>0</v>
      </c>
      <c r="R275" s="117">
        <f>VLOOKUP(C275,'Talente &amp; Stuff'!ER:FT,16,FALSE)</f>
        <v>0</v>
      </c>
      <c r="S275" s="119">
        <f>VLOOKUP(C275,'Talente &amp; Stuff'!ER:FT,17,FALSE)</f>
        <v>0</v>
      </c>
      <c r="T275" s="119">
        <f>VLOOKUP(C275,'Talente &amp; Stuff'!ER:FT,18,FALSE)</f>
        <v>0</v>
      </c>
      <c r="U275" s="89">
        <f>VLOOKUP(C275,'Talente &amp; Stuff'!ER:FT,19,FALSE)</f>
        <v>0</v>
      </c>
      <c r="V275" s="47">
        <f>VLOOKUP(C275,'Talente &amp; Stuff'!ER:FT,20,FALSE)</f>
        <v>0</v>
      </c>
      <c r="W275" s="127">
        <f>VLOOKUP(C275,'Talente &amp; Stuff'!ER:FT,21,FALSE)</f>
        <v>0</v>
      </c>
      <c r="X275" s="127">
        <f>VLOOKUP(C275,'Talente &amp; Stuff'!ER:FT,22,FALSE)</f>
        <v>0</v>
      </c>
      <c r="Y275" s="165">
        <f t="shared" si="22"/>
        <v>0</v>
      </c>
      <c r="Z275" s="44">
        <f t="shared" si="23"/>
        <v>0</v>
      </c>
      <c r="AA275" s="125">
        <f>VLOOKUP(C275,'Talente &amp; Stuff'!ER:FT,25,FALSE)</f>
        <v>0</v>
      </c>
      <c r="AB275" s="160">
        <f>VLOOKUP(C275,'Talente &amp; Stuff'!ER:FT,26,FALSE)</f>
        <v>0</v>
      </c>
      <c r="AC275" s="127">
        <f>VLOOKUP(C275,'Talente &amp; Stuff'!ER:FT,27,FALSE)</f>
        <v>0</v>
      </c>
      <c r="AD275" s="125">
        <f>VLOOKUP(C275,'Talente &amp; Stuff'!ER:FT,28,FALSE)</f>
        <v>0</v>
      </c>
      <c r="AE275" s="28"/>
    </row>
    <row r="276" spans="2:31" ht="15" hidden="1" customHeight="1" outlineLevel="2">
      <c r="B276" s="148">
        <v>16</v>
      </c>
      <c r="C276" s="163" t="str">
        <f>Attribute!C276</f>
        <v>---</v>
      </c>
      <c r="D276" s="86" t="str">
        <f>VLOOKUP(C276,'Talente &amp; Stuff'!ER:FT,2,FALSE)</f>
        <v>--/--/--</v>
      </c>
      <c r="E276" s="167" t="str">
        <f>VLOOKUP(C276,'Talente &amp; Stuff'!ER:FT,3,FALSE)</f>
        <v>-</v>
      </c>
      <c r="F276" s="120">
        <f>VLOOKUP(C276,'Talente &amp; Stuff'!ER:FT,4,FALSE)</f>
        <v>0</v>
      </c>
      <c r="G276" s="117">
        <f>VLOOKUP(C276,'Talente &amp; Stuff'!ER:FT,5,FALSE)</f>
        <v>0</v>
      </c>
      <c r="H276" s="117">
        <f>VLOOKUP(C276,'Talente &amp; Stuff'!ER:FT,6,FALSE)</f>
        <v>0</v>
      </c>
      <c r="I276" s="117">
        <f>VLOOKUP(C276,'Talente &amp; Stuff'!ER:FT,7,FALSE)</f>
        <v>0</v>
      </c>
      <c r="J276" s="117">
        <f>VLOOKUP(C276,'Talente &amp; Stuff'!ER:FT,8,FALSE)</f>
        <v>0</v>
      </c>
      <c r="K276" s="117">
        <f>VLOOKUP(C276,'Talente &amp; Stuff'!ER:FT,9,FALSE)</f>
        <v>0</v>
      </c>
      <c r="L276" s="117">
        <f>VLOOKUP(C276,'Talente &amp; Stuff'!ER:FT,10,FALSE)</f>
        <v>0</v>
      </c>
      <c r="M276" s="121">
        <f>VLOOKUP(C276,'Talente &amp; Stuff'!ER:FT,11,FALSE)</f>
        <v>0</v>
      </c>
      <c r="N276" s="47">
        <f>VLOOKUP(C276,'Talente &amp; Stuff'!ER:FT,12,FALSE)</f>
        <v>0</v>
      </c>
      <c r="O276" s="3">
        <f>VLOOKUP(C276,'Talente &amp; Stuff'!ER:FT,13,FALSE)</f>
        <v>0</v>
      </c>
      <c r="P276" s="174">
        <f>VLOOKUP(C276,'Talente &amp; Stuff'!ER:FT,14,FALSE)</f>
        <v>0</v>
      </c>
      <c r="Q276" s="114">
        <f>VLOOKUP(C276,'Talente &amp; Stuff'!ER:FT,15,FALSE)</f>
        <v>0</v>
      </c>
      <c r="R276" s="117">
        <f>VLOOKUP(C276,'Talente &amp; Stuff'!ER:FT,16,FALSE)</f>
        <v>0</v>
      </c>
      <c r="S276" s="119">
        <f>VLOOKUP(C276,'Talente &amp; Stuff'!ER:FT,17,FALSE)</f>
        <v>0</v>
      </c>
      <c r="T276" s="119">
        <f>VLOOKUP(C276,'Talente &amp; Stuff'!ER:FT,18,FALSE)</f>
        <v>0</v>
      </c>
      <c r="U276" s="89">
        <f>VLOOKUP(C276,'Talente &amp; Stuff'!ER:FT,19,FALSE)</f>
        <v>0</v>
      </c>
      <c r="V276" s="47">
        <f>VLOOKUP(C276,'Talente &amp; Stuff'!ER:FT,20,FALSE)</f>
        <v>0</v>
      </c>
      <c r="W276" s="127">
        <f>VLOOKUP(C276,'Talente &amp; Stuff'!ER:FT,21,FALSE)</f>
        <v>0</v>
      </c>
      <c r="X276" s="127">
        <f>VLOOKUP(C276,'Talente &amp; Stuff'!ER:FT,22,FALSE)</f>
        <v>0</v>
      </c>
      <c r="Y276" s="165">
        <f t="shared" si="22"/>
        <v>0</v>
      </c>
      <c r="Z276" s="44">
        <f t="shared" si="23"/>
        <v>0</v>
      </c>
      <c r="AA276" s="125">
        <f>VLOOKUP(C276,'Talente &amp; Stuff'!ER:FT,25,FALSE)</f>
        <v>0</v>
      </c>
      <c r="AB276" s="160">
        <f>VLOOKUP(C276,'Talente &amp; Stuff'!ER:FT,26,FALSE)</f>
        <v>0</v>
      </c>
      <c r="AC276" s="127">
        <f>VLOOKUP(C276,'Talente &amp; Stuff'!ER:FT,27,FALSE)</f>
        <v>0</v>
      </c>
      <c r="AD276" s="125">
        <f>VLOOKUP(C276,'Talente &amp; Stuff'!ER:FT,28,FALSE)</f>
        <v>0</v>
      </c>
      <c r="AE276" s="28"/>
    </row>
    <row r="277" spans="2:31" ht="15" hidden="1" customHeight="1" outlineLevel="2">
      <c r="B277" s="148">
        <v>17</v>
      </c>
      <c r="C277" s="163" t="str">
        <f>Attribute!C277</f>
        <v>---</v>
      </c>
      <c r="D277" s="86" t="str">
        <f>VLOOKUP(C277,'Talente &amp; Stuff'!ER:FT,2,FALSE)</f>
        <v>--/--/--</v>
      </c>
      <c r="E277" s="167" t="str">
        <f>VLOOKUP(C277,'Talente &amp; Stuff'!ER:FT,3,FALSE)</f>
        <v>-</v>
      </c>
      <c r="F277" s="120">
        <f>VLOOKUP(C277,'Talente &amp; Stuff'!ER:FT,4,FALSE)</f>
        <v>0</v>
      </c>
      <c r="G277" s="117">
        <f>VLOOKUP(C277,'Talente &amp; Stuff'!ER:FT,5,FALSE)</f>
        <v>0</v>
      </c>
      <c r="H277" s="117">
        <f>VLOOKUP(C277,'Talente &amp; Stuff'!ER:FT,6,FALSE)</f>
        <v>0</v>
      </c>
      <c r="I277" s="117">
        <f>VLOOKUP(C277,'Talente &amp; Stuff'!ER:FT,7,FALSE)</f>
        <v>0</v>
      </c>
      <c r="J277" s="117">
        <f>VLOOKUP(C277,'Talente &amp; Stuff'!ER:FT,8,FALSE)</f>
        <v>0</v>
      </c>
      <c r="K277" s="117">
        <f>VLOOKUP(C277,'Talente &amp; Stuff'!ER:FT,9,FALSE)</f>
        <v>0</v>
      </c>
      <c r="L277" s="117">
        <f>VLOOKUP(C277,'Talente &amp; Stuff'!ER:FT,10,FALSE)</f>
        <v>0</v>
      </c>
      <c r="M277" s="121">
        <f>VLOOKUP(C277,'Talente &amp; Stuff'!ER:FT,11,FALSE)</f>
        <v>0</v>
      </c>
      <c r="N277" s="47">
        <f>VLOOKUP(C277,'Talente &amp; Stuff'!ER:FT,12,FALSE)</f>
        <v>0</v>
      </c>
      <c r="O277" s="3">
        <f>VLOOKUP(C277,'Talente &amp; Stuff'!ER:FT,13,FALSE)</f>
        <v>0</v>
      </c>
      <c r="P277" s="174">
        <f>VLOOKUP(C277,'Talente &amp; Stuff'!ER:FT,14,FALSE)</f>
        <v>0</v>
      </c>
      <c r="Q277" s="114">
        <f>VLOOKUP(C277,'Talente &amp; Stuff'!ER:FT,15,FALSE)</f>
        <v>0</v>
      </c>
      <c r="R277" s="117">
        <f>VLOOKUP(C277,'Talente &amp; Stuff'!ER:FT,16,FALSE)</f>
        <v>0</v>
      </c>
      <c r="S277" s="119">
        <f>VLOOKUP(C277,'Talente &amp; Stuff'!ER:FT,17,FALSE)</f>
        <v>0</v>
      </c>
      <c r="T277" s="119">
        <f>VLOOKUP(C277,'Talente &amp; Stuff'!ER:FT,18,FALSE)</f>
        <v>0</v>
      </c>
      <c r="U277" s="89">
        <f>VLOOKUP(C277,'Talente &amp; Stuff'!ER:FT,19,FALSE)</f>
        <v>0</v>
      </c>
      <c r="V277" s="47">
        <f>VLOOKUP(C277,'Talente &amp; Stuff'!ER:FT,20,FALSE)</f>
        <v>0</v>
      </c>
      <c r="W277" s="127">
        <f>VLOOKUP(C277,'Talente &amp; Stuff'!ER:FT,21,FALSE)</f>
        <v>0</v>
      </c>
      <c r="X277" s="127">
        <f>VLOOKUP(C277,'Talente &amp; Stuff'!ER:FT,22,FALSE)</f>
        <v>0</v>
      </c>
      <c r="Y277" s="165">
        <f t="shared" si="22"/>
        <v>0</v>
      </c>
      <c r="Z277" s="44">
        <f t="shared" si="23"/>
        <v>0</v>
      </c>
      <c r="AA277" s="125">
        <f>VLOOKUP(C277,'Talente &amp; Stuff'!ER:FT,25,FALSE)</f>
        <v>0</v>
      </c>
      <c r="AB277" s="160">
        <f>VLOOKUP(C277,'Talente &amp; Stuff'!ER:FT,26,FALSE)</f>
        <v>0</v>
      </c>
      <c r="AC277" s="127">
        <f>VLOOKUP(C277,'Talente &amp; Stuff'!ER:FT,27,FALSE)</f>
        <v>0</v>
      </c>
      <c r="AD277" s="125">
        <f>VLOOKUP(C277,'Talente &amp; Stuff'!ER:FT,28,FALSE)</f>
        <v>0</v>
      </c>
      <c r="AE277" s="28"/>
    </row>
    <row r="278" spans="2:31" ht="15" hidden="1" customHeight="1" outlineLevel="2">
      <c r="B278" s="148">
        <v>18</v>
      </c>
      <c r="C278" s="163" t="str">
        <f>Attribute!C278</f>
        <v>---</v>
      </c>
      <c r="D278" s="86" t="str">
        <f>VLOOKUP(C278,'Talente &amp; Stuff'!ER:FT,2,FALSE)</f>
        <v>--/--/--</v>
      </c>
      <c r="E278" s="167" t="str">
        <f>VLOOKUP(C278,'Talente &amp; Stuff'!ER:FT,3,FALSE)</f>
        <v>-</v>
      </c>
      <c r="F278" s="120">
        <f>VLOOKUP(C278,'Talente &amp; Stuff'!ER:FT,4,FALSE)</f>
        <v>0</v>
      </c>
      <c r="G278" s="117">
        <f>VLOOKUP(C278,'Talente &amp; Stuff'!ER:FT,5,FALSE)</f>
        <v>0</v>
      </c>
      <c r="H278" s="117">
        <f>VLOOKUP(C278,'Talente &amp; Stuff'!ER:FT,6,FALSE)</f>
        <v>0</v>
      </c>
      <c r="I278" s="117">
        <f>VLOOKUP(C278,'Talente &amp; Stuff'!ER:FT,7,FALSE)</f>
        <v>0</v>
      </c>
      <c r="J278" s="117">
        <f>VLOOKUP(C278,'Talente &amp; Stuff'!ER:FT,8,FALSE)</f>
        <v>0</v>
      </c>
      <c r="K278" s="117">
        <f>VLOOKUP(C278,'Talente &amp; Stuff'!ER:FT,9,FALSE)</f>
        <v>0</v>
      </c>
      <c r="L278" s="117">
        <f>VLOOKUP(C278,'Talente &amp; Stuff'!ER:FT,10,FALSE)</f>
        <v>0</v>
      </c>
      <c r="M278" s="121">
        <f>VLOOKUP(C278,'Talente &amp; Stuff'!ER:FT,11,FALSE)</f>
        <v>0</v>
      </c>
      <c r="N278" s="47">
        <f>VLOOKUP(C278,'Talente &amp; Stuff'!ER:FT,12,FALSE)</f>
        <v>0</v>
      </c>
      <c r="O278" s="3">
        <f>VLOOKUP(C278,'Talente &amp; Stuff'!ER:FT,13,FALSE)</f>
        <v>0</v>
      </c>
      <c r="P278" s="174">
        <f>VLOOKUP(C278,'Talente &amp; Stuff'!ER:FT,14,FALSE)</f>
        <v>0</v>
      </c>
      <c r="Q278" s="114">
        <f>VLOOKUP(C278,'Talente &amp; Stuff'!ER:FT,15,FALSE)</f>
        <v>0</v>
      </c>
      <c r="R278" s="117">
        <f>VLOOKUP(C278,'Talente &amp; Stuff'!ER:FT,16,FALSE)</f>
        <v>0</v>
      </c>
      <c r="S278" s="119">
        <f>VLOOKUP(C278,'Talente &amp; Stuff'!ER:FT,17,FALSE)</f>
        <v>0</v>
      </c>
      <c r="T278" s="119">
        <f>VLOOKUP(C278,'Talente &amp; Stuff'!ER:FT,18,FALSE)</f>
        <v>0</v>
      </c>
      <c r="U278" s="89">
        <f>VLOOKUP(C278,'Talente &amp; Stuff'!ER:FT,19,FALSE)</f>
        <v>0</v>
      </c>
      <c r="V278" s="47">
        <f>VLOOKUP(C278,'Talente &amp; Stuff'!ER:FT,20,FALSE)</f>
        <v>0</v>
      </c>
      <c r="W278" s="127">
        <f>VLOOKUP(C278,'Talente &amp; Stuff'!ER:FT,21,FALSE)</f>
        <v>0</v>
      </c>
      <c r="X278" s="127">
        <f>VLOOKUP(C278,'Talente &amp; Stuff'!ER:FT,22,FALSE)</f>
        <v>0</v>
      </c>
      <c r="Y278" s="165">
        <f t="shared" si="22"/>
        <v>0</v>
      </c>
      <c r="Z278" s="44">
        <f t="shared" si="23"/>
        <v>0</v>
      </c>
      <c r="AA278" s="125">
        <f>VLOOKUP(C278,'Talente &amp; Stuff'!ER:FT,25,FALSE)</f>
        <v>0</v>
      </c>
      <c r="AB278" s="160">
        <f>VLOOKUP(C278,'Talente &amp; Stuff'!ER:FT,26,FALSE)</f>
        <v>0</v>
      </c>
      <c r="AC278" s="127">
        <f>VLOOKUP(C278,'Talente &amp; Stuff'!ER:FT,27,FALSE)</f>
        <v>0</v>
      </c>
      <c r="AD278" s="125">
        <f>VLOOKUP(C278,'Talente &amp; Stuff'!ER:FT,28,FALSE)</f>
        <v>0</v>
      </c>
      <c r="AE278" s="28"/>
    </row>
    <row r="279" spans="2:31" ht="15" hidden="1" customHeight="1" outlineLevel="2">
      <c r="B279" s="148">
        <v>19</v>
      </c>
      <c r="C279" s="163" t="str">
        <f>Attribute!C279</f>
        <v>---</v>
      </c>
      <c r="D279" s="86" t="str">
        <f>VLOOKUP(C279,'Talente &amp; Stuff'!ER:FT,2,FALSE)</f>
        <v>--/--/--</v>
      </c>
      <c r="E279" s="167" t="str">
        <f>VLOOKUP(C279,'Talente &amp; Stuff'!ER:FT,3,FALSE)</f>
        <v>-</v>
      </c>
      <c r="F279" s="120">
        <f>VLOOKUP(C279,'Talente &amp; Stuff'!ER:FT,4,FALSE)</f>
        <v>0</v>
      </c>
      <c r="G279" s="117">
        <f>VLOOKUP(C279,'Talente &amp; Stuff'!ER:FT,5,FALSE)</f>
        <v>0</v>
      </c>
      <c r="H279" s="117">
        <f>VLOOKUP(C279,'Talente &amp; Stuff'!ER:FT,6,FALSE)</f>
        <v>0</v>
      </c>
      <c r="I279" s="117">
        <f>VLOOKUP(C279,'Talente &amp; Stuff'!ER:FT,7,FALSE)</f>
        <v>0</v>
      </c>
      <c r="J279" s="117">
        <f>VLOOKUP(C279,'Talente &amp; Stuff'!ER:FT,8,FALSE)</f>
        <v>0</v>
      </c>
      <c r="K279" s="117">
        <f>VLOOKUP(C279,'Talente &amp; Stuff'!ER:FT,9,FALSE)</f>
        <v>0</v>
      </c>
      <c r="L279" s="117">
        <f>VLOOKUP(C279,'Talente &amp; Stuff'!ER:FT,10,FALSE)</f>
        <v>0</v>
      </c>
      <c r="M279" s="121">
        <f>VLOOKUP(C279,'Talente &amp; Stuff'!ER:FT,11,FALSE)</f>
        <v>0</v>
      </c>
      <c r="N279" s="47">
        <f>VLOOKUP(C279,'Talente &amp; Stuff'!ER:FT,12,FALSE)</f>
        <v>0</v>
      </c>
      <c r="O279" s="3">
        <f>VLOOKUP(C279,'Talente &amp; Stuff'!ER:FT,13,FALSE)</f>
        <v>0</v>
      </c>
      <c r="P279" s="174">
        <f>VLOOKUP(C279,'Talente &amp; Stuff'!ER:FT,14,FALSE)</f>
        <v>0</v>
      </c>
      <c r="Q279" s="114">
        <f>VLOOKUP(C279,'Talente &amp; Stuff'!ER:FT,15,FALSE)</f>
        <v>0</v>
      </c>
      <c r="R279" s="117">
        <f>VLOOKUP(C279,'Talente &amp; Stuff'!ER:FT,16,FALSE)</f>
        <v>0</v>
      </c>
      <c r="S279" s="119">
        <f>VLOOKUP(C279,'Talente &amp; Stuff'!ER:FT,17,FALSE)</f>
        <v>0</v>
      </c>
      <c r="T279" s="119">
        <f>VLOOKUP(C279,'Talente &amp; Stuff'!ER:FT,18,FALSE)</f>
        <v>0</v>
      </c>
      <c r="U279" s="89">
        <f>VLOOKUP(C279,'Talente &amp; Stuff'!ER:FT,19,FALSE)</f>
        <v>0</v>
      </c>
      <c r="V279" s="47">
        <f>VLOOKUP(C279,'Talente &amp; Stuff'!ER:FT,20,FALSE)</f>
        <v>0</v>
      </c>
      <c r="W279" s="127">
        <f>VLOOKUP(C279,'Talente &amp; Stuff'!ER:FT,21,FALSE)</f>
        <v>0</v>
      </c>
      <c r="X279" s="127">
        <f>VLOOKUP(C279,'Talente &amp; Stuff'!ER:FT,22,FALSE)</f>
        <v>0</v>
      </c>
      <c r="Y279" s="165">
        <f t="shared" si="22"/>
        <v>0</v>
      </c>
      <c r="Z279" s="44">
        <f t="shared" si="23"/>
        <v>0</v>
      </c>
      <c r="AA279" s="125">
        <f>VLOOKUP(C279,'Talente &amp; Stuff'!ER:FT,25,FALSE)</f>
        <v>0</v>
      </c>
      <c r="AB279" s="160">
        <f>VLOOKUP(C279,'Talente &amp; Stuff'!ER:FT,26,FALSE)</f>
        <v>0</v>
      </c>
      <c r="AC279" s="127">
        <f>VLOOKUP(C279,'Talente &amp; Stuff'!ER:FT,27,FALSE)</f>
        <v>0</v>
      </c>
      <c r="AD279" s="125">
        <f>VLOOKUP(C279,'Talente &amp; Stuff'!ER:FT,28,FALSE)</f>
        <v>0</v>
      </c>
      <c r="AE279" s="28"/>
    </row>
    <row r="280" spans="2:31" ht="15" hidden="1" customHeight="1" outlineLevel="2">
      <c r="B280" s="148">
        <v>20</v>
      </c>
      <c r="C280" s="163" t="str">
        <f>Attribute!C280</f>
        <v>---</v>
      </c>
      <c r="D280" s="86" t="str">
        <f>VLOOKUP(C280,'Talente &amp; Stuff'!ER:FT,2,FALSE)</f>
        <v>--/--/--</v>
      </c>
      <c r="E280" s="167" t="str">
        <f>VLOOKUP(C280,'Talente &amp; Stuff'!ER:FT,3,FALSE)</f>
        <v>-</v>
      </c>
      <c r="F280" s="120">
        <f>VLOOKUP(C280,'Talente &amp; Stuff'!ER:FT,4,FALSE)</f>
        <v>0</v>
      </c>
      <c r="G280" s="117">
        <f>VLOOKUP(C280,'Talente &amp; Stuff'!ER:FT,5,FALSE)</f>
        <v>0</v>
      </c>
      <c r="H280" s="117">
        <f>VLOOKUP(C280,'Talente &amp; Stuff'!ER:FT,6,FALSE)</f>
        <v>0</v>
      </c>
      <c r="I280" s="117">
        <f>VLOOKUP(C280,'Talente &amp; Stuff'!ER:FT,7,FALSE)</f>
        <v>0</v>
      </c>
      <c r="J280" s="117">
        <f>VLOOKUP(C280,'Talente &amp; Stuff'!ER:FT,8,FALSE)</f>
        <v>0</v>
      </c>
      <c r="K280" s="117">
        <f>VLOOKUP(C280,'Talente &amp; Stuff'!ER:FT,9,FALSE)</f>
        <v>0</v>
      </c>
      <c r="L280" s="117">
        <f>VLOOKUP(C280,'Talente &amp; Stuff'!ER:FT,10,FALSE)</f>
        <v>0</v>
      </c>
      <c r="M280" s="121">
        <f>VLOOKUP(C280,'Talente &amp; Stuff'!ER:FT,11,FALSE)</f>
        <v>0</v>
      </c>
      <c r="N280" s="47">
        <f>VLOOKUP(C280,'Talente &amp; Stuff'!ER:FT,12,FALSE)</f>
        <v>0</v>
      </c>
      <c r="O280" s="3">
        <f>VLOOKUP(C280,'Talente &amp; Stuff'!ER:FT,13,FALSE)</f>
        <v>0</v>
      </c>
      <c r="P280" s="174">
        <f>VLOOKUP(C280,'Talente &amp; Stuff'!ER:FT,14,FALSE)</f>
        <v>0</v>
      </c>
      <c r="Q280" s="114">
        <f>VLOOKUP(C280,'Talente &amp; Stuff'!ER:FT,15,FALSE)</f>
        <v>0</v>
      </c>
      <c r="R280" s="117">
        <f>VLOOKUP(C280,'Talente &amp; Stuff'!ER:FT,16,FALSE)</f>
        <v>0</v>
      </c>
      <c r="S280" s="119">
        <f>VLOOKUP(C280,'Talente &amp; Stuff'!ER:FT,17,FALSE)</f>
        <v>0</v>
      </c>
      <c r="T280" s="119">
        <f>VLOOKUP(C280,'Talente &amp; Stuff'!ER:FT,18,FALSE)</f>
        <v>0</v>
      </c>
      <c r="U280" s="89">
        <f>VLOOKUP(C280,'Talente &amp; Stuff'!ER:FT,19,FALSE)</f>
        <v>0</v>
      </c>
      <c r="V280" s="47">
        <f>VLOOKUP(C280,'Talente &amp; Stuff'!ER:FT,20,FALSE)</f>
        <v>0</v>
      </c>
      <c r="W280" s="127">
        <f>VLOOKUP(C280,'Talente &amp; Stuff'!ER:FT,21,FALSE)</f>
        <v>0</v>
      </c>
      <c r="X280" s="127">
        <f>VLOOKUP(C280,'Talente &amp; Stuff'!ER:FT,22,FALSE)</f>
        <v>0</v>
      </c>
      <c r="Y280" s="165">
        <f t="shared" si="22"/>
        <v>0</v>
      </c>
      <c r="Z280" s="44">
        <f t="shared" si="23"/>
        <v>0</v>
      </c>
      <c r="AA280" s="125">
        <f>VLOOKUP(C280,'Talente &amp; Stuff'!ER:FT,25,FALSE)</f>
        <v>0</v>
      </c>
      <c r="AB280" s="160">
        <f>VLOOKUP(C280,'Talente &amp; Stuff'!ER:FT,26,FALSE)</f>
        <v>0</v>
      </c>
      <c r="AC280" s="127">
        <f>VLOOKUP(C280,'Talente &amp; Stuff'!ER:FT,27,FALSE)</f>
        <v>0</v>
      </c>
      <c r="AD280" s="125">
        <f>VLOOKUP(C280,'Talente &amp; Stuff'!ER:FT,28,FALSE)</f>
        <v>0</v>
      </c>
      <c r="AE280" s="28"/>
    </row>
    <row r="281" spans="2:31" ht="15" hidden="1" customHeight="1" outlineLevel="2">
      <c r="B281" s="148">
        <v>21</v>
      </c>
      <c r="C281" s="163" t="str">
        <f>Attribute!C281</f>
        <v>---</v>
      </c>
      <c r="D281" s="86" t="str">
        <f>VLOOKUP(C281,'Talente &amp; Stuff'!ER:FT,2,FALSE)</f>
        <v>--/--/--</v>
      </c>
      <c r="E281" s="167" t="str">
        <f>VLOOKUP(C281,'Talente &amp; Stuff'!ER:FT,3,FALSE)</f>
        <v>-</v>
      </c>
      <c r="F281" s="120">
        <f>VLOOKUP(C281,'Talente &amp; Stuff'!ER:FT,4,FALSE)</f>
        <v>0</v>
      </c>
      <c r="G281" s="117">
        <f>VLOOKUP(C281,'Talente &amp; Stuff'!ER:FT,5,FALSE)</f>
        <v>0</v>
      </c>
      <c r="H281" s="117">
        <f>VLOOKUP(C281,'Talente &amp; Stuff'!ER:FT,6,FALSE)</f>
        <v>0</v>
      </c>
      <c r="I281" s="117">
        <f>VLOOKUP(C281,'Talente &amp; Stuff'!ER:FT,7,FALSE)</f>
        <v>0</v>
      </c>
      <c r="J281" s="117">
        <f>VLOOKUP(C281,'Talente &amp; Stuff'!ER:FT,8,FALSE)</f>
        <v>0</v>
      </c>
      <c r="K281" s="117">
        <f>VLOOKUP(C281,'Talente &amp; Stuff'!ER:FT,9,FALSE)</f>
        <v>0</v>
      </c>
      <c r="L281" s="117">
        <f>VLOOKUP(C281,'Talente &amp; Stuff'!ER:FT,10,FALSE)</f>
        <v>0</v>
      </c>
      <c r="M281" s="121">
        <f>VLOOKUP(C281,'Talente &amp; Stuff'!ER:FT,11,FALSE)</f>
        <v>0</v>
      </c>
      <c r="N281" s="47">
        <f>VLOOKUP(C281,'Talente &amp; Stuff'!ER:FT,12,FALSE)</f>
        <v>0</v>
      </c>
      <c r="O281" s="3">
        <f>VLOOKUP(C281,'Talente &amp; Stuff'!ER:FT,13,FALSE)</f>
        <v>0</v>
      </c>
      <c r="P281" s="174">
        <f>VLOOKUP(C281,'Talente &amp; Stuff'!ER:FT,14,FALSE)</f>
        <v>0</v>
      </c>
      <c r="Q281" s="114">
        <f>VLOOKUP(C281,'Talente &amp; Stuff'!ER:FT,15,FALSE)</f>
        <v>0</v>
      </c>
      <c r="R281" s="117">
        <f>VLOOKUP(C281,'Talente &amp; Stuff'!ER:FT,16,FALSE)</f>
        <v>0</v>
      </c>
      <c r="S281" s="119">
        <f>VLOOKUP(C281,'Talente &amp; Stuff'!ER:FT,17,FALSE)</f>
        <v>0</v>
      </c>
      <c r="T281" s="119">
        <f>VLOOKUP(C281,'Talente &amp; Stuff'!ER:FT,18,FALSE)</f>
        <v>0</v>
      </c>
      <c r="U281" s="89">
        <f>VLOOKUP(C281,'Talente &amp; Stuff'!ER:FT,19,FALSE)</f>
        <v>0</v>
      </c>
      <c r="V281" s="47">
        <f>VLOOKUP(C281,'Talente &amp; Stuff'!ER:FT,20,FALSE)</f>
        <v>0</v>
      </c>
      <c r="W281" s="127">
        <f>VLOOKUP(C281,'Talente &amp; Stuff'!ER:FT,21,FALSE)</f>
        <v>0</v>
      </c>
      <c r="X281" s="127">
        <f>VLOOKUP(C281,'Talente &amp; Stuff'!ER:FT,22,FALSE)</f>
        <v>0</v>
      </c>
      <c r="Y281" s="165">
        <f t="shared" si="22"/>
        <v>0</v>
      </c>
      <c r="Z281" s="44">
        <f t="shared" si="23"/>
        <v>0</v>
      </c>
      <c r="AA281" s="125">
        <f>VLOOKUP(C281,'Talente &amp; Stuff'!ER:FT,25,FALSE)</f>
        <v>0</v>
      </c>
      <c r="AB281" s="160">
        <f>VLOOKUP(C281,'Talente &amp; Stuff'!ER:FT,26,FALSE)</f>
        <v>0</v>
      </c>
      <c r="AC281" s="127">
        <f>VLOOKUP(C281,'Talente &amp; Stuff'!ER:FT,27,FALSE)</f>
        <v>0</v>
      </c>
      <c r="AD281" s="125">
        <f>VLOOKUP(C281,'Talente &amp; Stuff'!ER:FT,28,FALSE)</f>
        <v>0</v>
      </c>
      <c r="AE281" s="28"/>
    </row>
    <row r="282" spans="2:31" ht="15" hidden="1" customHeight="1" outlineLevel="2">
      <c r="B282" s="148">
        <v>22</v>
      </c>
      <c r="C282" s="163" t="str">
        <f>Attribute!C282</f>
        <v>---</v>
      </c>
      <c r="D282" s="86" t="str">
        <f>VLOOKUP(C282,'Talente &amp; Stuff'!ER:FT,2,FALSE)</f>
        <v>--/--/--</v>
      </c>
      <c r="E282" s="167" t="str">
        <f>VLOOKUP(C282,'Talente &amp; Stuff'!ER:FT,3,FALSE)</f>
        <v>-</v>
      </c>
      <c r="F282" s="120">
        <f>VLOOKUP(C282,'Talente &amp; Stuff'!ER:FT,4,FALSE)</f>
        <v>0</v>
      </c>
      <c r="G282" s="117">
        <f>VLOOKUP(C282,'Talente &amp; Stuff'!ER:FT,5,FALSE)</f>
        <v>0</v>
      </c>
      <c r="H282" s="117">
        <f>VLOOKUP(C282,'Talente &amp; Stuff'!ER:FT,6,FALSE)</f>
        <v>0</v>
      </c>
      <c r="I282" s="117">
        <f>VLOOKUP(C282,'Talente &amp; Stuff'!ER:FT,7,FALSE)</f>
        <v>0</v>
      </c>
      <c r="J282" s="117">
        <f>VLOOKUP(C282,'Talente &amp; Stuff'!ER:FT,8,FALSE)</f>
        <v>0</v>
      </c>
      <c r="K282" s="117">
        <f>VLOOKUP(C282,'Talente &amp; Stuff'!ER:FT,9,FALSE)</f>
        <v>0</v>
      </c>
      <c r="L282" s="117">
        <f>VLOOKUP(C282,'Talente &amp; Stuff'!ER:FT,10,FALSE)</f>
        <v>0</v>
      </c>
      <c r="M282" s="121">
        <f>VLOOKUP(C282,'Talente &amp; Stuff'!ER:FT,11,FALSE)</f>
        <v>0</v>
      </c>
      <c r="N282" s="47">
        <f>VLOOKUP(C282,'Talente &amp; Stuff'!ER:FT,12,FALSE)</f>
        <v>0</v>
      </c>
      <c r="O282" s="3">
        <f>VLOOKUP(C282,'Talente &amp; Stuff'!ER:FT,13,FALSE)</f>
        <v>0</v>
      </c>
      <c r="P282" s="174">
        <f>VLOOKUP(C282,'Talente &amp; Stuff'!ER:FT,14,FALSE)</f>
        <v>0</v>
      </c>
      <c r="Q282" s="114">
        <f>VLOOKUP(C282,'Talente &amp; Stuff'!ER:FT,15,FALSE)</f>
        <v>0</v>
      </c>
      <c r="R282" s="117">
        <f>VLOOKUP(C282,'Talente &amp; Stuff'!ER:FT,16,FALSE)</f>
        <v>0</v>
      </c>
      <c r="S282" s="119">
        <f>VLOOKUP(C282,'Talente &amp; Stuff'!ER:FT,17,FALSE)</f>
        <v>0</v>
      </c>
      <c r="T282" s="119">
        <f>VLOOKUP(C282,'Talente &amp; Stuff'!ER:FT,18,FALSE)</f>
        <v>0</v>
      </c>
      <c r="U282" s="89">
        <f>VLOOKUP(C282,'Talente &amp; Stuff'!ER:FT,19,FALSE)</f>
        <v>0</v>
      </c>
      <c r="V282" s="47">
        <f>VLOOKUP(C282,'Talente &amp; Stuff'!ER:FT,20,FALSE)</f>
        <v>0</v>
      </c>
      <c r="W282" s="127">
        <f>VLOOKUP(C282,'Talente &amp; Stuff'!ER:FT,21,FALSE)</f>
        <v>0</v>
      </c>
      <c r="X282" s="127">
        <f>VLOOKUP(C282,'Talente &amp; Stuff'!ER:FT,22,FALSE)</f>
        <v>0</v>
      </c>
      <c r="Y282" s="165">
        <f t="shared" si="22"/>
        <v>0</v>
      </c>
      <c r="Z282" s="44">
        <f t="shared" si="23"/>
        <v>0</v>
      </c>
      <c r="AA282" s="125">
        <f>VLOOKUP(C282,'Talente &amp; Stuff'!ER:FT,25,FALSE)</f>
        <v>0</v>
      </c>
      <c r="AB282" s="160">
        <f>VLOOKUP(C282,'Talente &amp; Stuff'!ER:FT,26,FALSE)</f>
        <v>0</v>
      </c>
      <c r="AC282" s="127">
        <f>VLOOKUP(C282,'Talente &amp; Stuff'!ER:FT,27,FALSE)</f>
        <v>0</v>
      </c>
      <c r="AD282" s="125">
        <f>VLOOKUP(C282,'Talente &amp; Stuff'!ER:FT,28,FALSE)</f>
        <v>0</v>
      </c>
      <c r="AE282" s="28"/>
    </row>
    <row r="283" spans="2:31" ht="15" hidden="1" customHeight="1" outlineLevel="2">
      <c r="B283" s="148">
        <v>23</v>
      </c>
      <c r="C283" s="163" t="str">
        <f>Attribute!C283</f>
        <v>---</v>
      </c>
      <c r="D283" s="86" t="str">
        <f>VLOOKUP(C283,'Talente &amp; Stuff'!ER:FT,2,FALSE)</f>
        <v>--/--/--</v>
      </c>
      <c r="E283" s="167" t="str">
        <f>VLOOKUP(C283,'Talente &amp; Stuff'!ER:FT,3,FALSE)</f>
        <v>-</v>
      </c>
      <c r="F283" s="120">
        <f>VLOOKUP(C283,'Talente &amp; Stuff'!ER:FT,4,FALSE)</f>
        <v>0</v>
      </c>
      <c r="G283" s="117">
        <f>VLOOKUP(C283,'Talente &amp; Stuff'!ER:FT,5,FALSE)</f>
        <v>0</v>
      </c>
      <c r="H283" s="117">
        <f>VLOOKUP(C283,'Talente &amp; Stuff'!ER:FT,6,FALSE)</f>
        <v>0</v>
      </c>
      <c r="I283" s="117">
        <f>VLOOKUP(C283,'Talente &amp; Stuff'!ER:FT,7,FALSE)</f>
        <v>0</v>
      </c>
      <c r="J283" s="117">
        <f>VLOOKUP(C283,'Talente &amp; Stuff'!ER:FT,8,FALSE)</f>
        <v>0</v>
      </c>
      <c r="K283" s="117">
        <f>VLOOKUP(C283,'Talente &amp; Stuff'!ER:FT,9,FALSE)</f>
        <v>0</v>
      </c>
      <c r="L283" s="117">
        <f>VLOOKUP(C283,'Talente &amp; Stuff'!ER:FT,10,FALSE)</f>
        <v>0</v>
      </c>
      <c r="M283" s="121">
        <f>VLOOKUP(C283,'Talente &amp; Stuff'!ER:FT,11,FALSE)</f>
        <v>0</v>
      </c>
      <c r="N283" s="47">
        <f>VLOOKUP(C283,'Talente &amp; Stuff'!ER:FT,12,FALSE)</f>
        <v>0</v>
      </c>
      <c r="O283" s="3">
        <f>VLOOKUP(C283,'Talente &amp; Stuff'!ER:FT,13,FALSE)</f>
        <v>0</v>
      </c>
      <c r="P283" s="174">
        <f>VLOOKUP(C283,'Talente &amp; Stuff'!ER:FT,14,FALSE)</f>
        <v>0</v>
      </c>
      <c r="Q283" s="114">
        <f>VLOOKUP(C283,'Talente &amp; Stuff'!ER:FT,15,FALSE)</f>
        <v>0</v>
      </c>
      <c r="R283" s="117">
        <f>VLOOKUP(C283,'Talente &amp; Stuff'!ER:FT,16,FALSE)</f>
        <v>0</v>
      </c>
      <c r="S283" s="119">
        <f>VLOOKUP(C283,'Talente &amp; Stuff'!ER:FT,17,FALSE)</f>
        <v>0</v>
      </c>
      <c r="T283" s="119">
        <f>VLOOKUP(C283,'Talente &amp; Stuff'!ER:FT,18,FALSE)</f>
        <v>0</v>
      </c>
      <c r="U283" s="89">
        <f>VLOOKUP(C283,'Talente &amp; Stuff'!ER:FT,19,FALSE)</f>
        <v>0</v>
      </c>
      <c r="V283" s="47">
        <f>VLOOKUP(C283,'Talente &amp; Stuff'!ER:FT,20,FALSE)</f>
        <v>0</v>
      </c>
      <c r="W283" s="127">
        <f>VLOOKUP(C283,'Talente &amp; Stuff'!ER:FT,21,FALSE)</f>
        <v>0</v>
      </c>
      <c r="X283" s="127">
        <f>VLOOKUP(C283,'Talente &amp; Stuff'!ER:FT,22,FALSE)</f>
        <v>0</v>
      </c>
      <c r="Y283" s="165">
        <f t="shared" si="22"/>
        <v>0</v>
      </c>
      <c r="Z283" s="44">
        <f t="shared" si="23"/>
        <v>0</v>
      </c>
      <c r="AA283" s="125">
        <f>VLOOKUP(C283,'Talente &amp; Stuff'!ER:FT,25,FALSE)</f>
        <v>0</v>
      </c>
      <c r="AB283" s="160">
        <f>VLOOKUP(C283,'Talente &amp; Stuff'!ER:FT,26,FALSE)</f>
        <v>0</v>
      </c>
      <c r="AC283" s="127">
        <f>VLOOKUP(C283,'Talente &amp; Stuff'!ER:FT,27,FALSE)</f>
        <v>0</v>
      </c>
      <c r="AD283" s="125">
        <f>VLOOKUP(C283,'Talente &amp; Stuff'!ER:FT,28,FALSE)</f>
        <v>0</v>
      </c>
      <c r="AE283" s="28"/>
    </row>
    <row r="284" spans="2:31" ht="15" hidden="1" customHeight="1" outlineLevel="2">
      <c r="B284" s="148">
        <v>24</v>
      </c>
      <c r="C284" s="163" t="str">
        <f>Attribute!C284</f>
        <v>---</v>
      </c>
      <c r="D284" s="86" t="str">
        <f>VLOOKUP(C284,'Talente &amp; Stuff'!ER:FT,2,FALSE)</f>
        <v>--/--/--</v>
      </c>
      <c r="E284" s="167" t="str">
        <f>VLOOKUP(C284,'Talente &amp; Stuff'!ER:FT,3,FALSE)</f>
        <v>-</v>
      </c>
      <c r="F284" s="120">
        <f>VLOOKUP(C284,'Talente &amp; Stuff'!ER:FT,4,FALSE)</f>
        <v>0</v>
      </c>
      <c r="G284" s="117">
        <f>VLOOKUP(C284,'Talente &amp; Stuff'!ER:FT,5,FALSE)</f>
        <v>0</v>
      </c>
      <c r="H284" s="117">
        <f>VLOOKUP(C284,'Talente &amp; Stuff'!ER:FT,6,FALSE)</f>
        <v>0</v>
      </c>
      <c r="I284" s="117">
        <f>VLOOKUP(C284,'Talente &amp; Stuff'!ER:FT,7,FALSE)</f>
        <v>0</v>
      </c>
      <c r="J284" s="117">
        <f>VLOOKUP(C284,'Talente &amp; Stuff'!ER:FT,8,FALSE)</f>
        <v>0</v>
      </c>
      <c r="K284" s="117">
        <f>VLOOKUP(C284,'Talente &amp; Stuff'!ER:FT,9,FALSE)</f>
        <v>0</v>
      </c>
      <c r="L284" s="117">
        <f>VLOOKUP(C284,'Talente &amp; Stuff'!ER:FT,10,FALSE)</f>
        <v>0</v>
      </c>
      <c r="M284" s="121">
        <f>VLOOKUP(C284,'Talente &amp; Stuff'!ER:FT,11,FALSE)</f>
        <v>0</v>
      </c>
      <c r="N284" s="47">
        <f>VLOOKUP(C284,'Talente &amp; Stuff'!ER:FT,12,FALSE)</f>
        <v>0</v>
      </c>
      <c r="O284" s="3">
        <f>VLOOKUP(C284,'Talente &amp; Stuff'!ER:FT,13,FALSE)</f>
        <v>0</v>
      </c>
      <c r="P284" s="174">
        <f>VLOOKUP(C284,'Talente &amp; Stuff'!ER:FT,14,FALSE)</f>
        <v>0</v>
      </c>
      <c r="Q284" s="114">
        <f>VLOOKUP(C284,'Talente &amp; Stuff'!ER:FT,15,FALSE)</f>
        <v>0</v>
      </c>
      <c r="R284" s="117">
        <f>VLOOKUP(C284,'Talente &amp; Stuff'!ER:FT,16,FALSE)</f>
        <v>0</v>
      </c>
      <c r="S284" s="119">
        <f>VLOOKUP(C284,'Talente &amp; Stuff'!ER:FT,17,FALSE)</f>
        <v>0</v>
      </c>
      <c r="T284" s="119">
        <f>VLOOKUP(C284,'Talente &amp; Stuff'!ER:FT,18,FALSE)</f>
        <v>0</v>
      </c>
      <c r="U284" s="89">
        <f>VLOOKUP(C284,'Talente &amp; Stuff'!ER:FT,19,FALSE)</f>
        <v>0</v>
      </c>
      <c r="V284" s="47">
        <f>VLOOKUP(C284,'Talente &amp; Stuff'!ER:FT,20,FALSE)</f>
        <v>0</v>
      </c>
      <c r="W284" s="127">
        <f>VLOOKUP(C284,'Talente &amp; Stuff'!ER:FT,21,FALSE)</f>
        <v>0</v>
      </c>
      <c r="X284" s="127">
        <f>VLOOKUP(C284,'Talente &amp; Stuff'!ER:FT,22,FALSE)</f>
        <v>0</v>
      </c>
      <c r="Y284" s="165">
        <f t="shared" si="22"/>
        <v>0</v>
      </c>
      <c r="Z284" s="44">
        <f t="shared" si="23"/>
        <v>0</v>
      </c>
      <c r="AA284" s="125">
        <f>VLOOKUP(C284,'Talente &amp; Stuff'!ER:FT,25,FALSE)</f>
        <v>0</v>
      </c>
      <c r="AB284" s="160">
        <f>VLOOKUP(C284,'Talente &amp; Stuff'!ER:FT,26,FALSE)</f>
        <v>0</v>
      </c>
      <c r="AC284" s="127">
        <f>VLOOKUP(C284,'Talente &amp; Stuff'!ER:FT,27,FALSE)</f>
        <v>0</v>
      </c>
      <c r="AD284" s="125">
        <f>VLOOKUP(C284,'Talente &amp; Stuff'!ER:FT,28,FALSE)</f>
        <v>0</v>
      </c>
      <c r="AE284" s="28"/>
    </row>
    <row r="285" spans="2:31" ht="15" hidden="1" customHeight="1" outlineLevel="2">
      <c r="B285" s="148">
        <v>25</v>
      </c>
      <c r="C285" s="163" t="str">
        <f>Attribute!C285</f>
        <v>---</v>
      </c>
      <c r="D285" s="86" t="str">
        <f>VLOOKUP(C285,'Talente &amp; Stuff'!ER:FT,2,FALSE)</f>
        <v>--/--/--</v>
      </c>
      <c r="E285" s="167" t="str">
        <f>VLOOKUP(C285,'Talente &amp; Stuff'!ER:FT,3,FALSE)</f>
        <v>-</v>
      </c>
      <c r="F285" s="120">
        <f>VLOOKUP(C285,'Talente &amp; Stuff'!ER:FT,4,FALSE)</f>
        <v>0</v>
      </c>
      <c r="G285" s="117">
        <f>VLOOKUP(C285,'Talente &amp; Stuff'!ER:FT,5,FALSE)</f>
        <v>0</v>
      </c>
      <c r="H285" s="117">
        <f>VLOOKUP(C285,'Talente &amp; Stuff'!ER:FT,6,FALSE)</f>
        <v>0</v>
      </c>
      <c r="I285" s="117">
        <f>VLOOKUP(C285,'Talente &amp; Stuff'!ER:FT,7,FALSE)</f>
        <v>0</v>
      </c>
      <c r="J285" s="117">
        <f>VLOOKUP(C285,'Talente &amp; Stuff'!ER:FT,8,FALSE)</f>
        <v>0</v>
      </c>
      <c r="K285" s="117">
        <f>VLOOKUP(C285,'Talente &amp; Stuff'!ER:FT,9,FALSE)</f>
        <v>0</v>
      </c>
      <c r="L285" s="117">
        <f>VLOOKUP(C285,'Talente &amp; Stuff'!ER:FT,10,FALSE)</f>
        <v>0</v>
      </c>
      <c r="M285" s="121">
        <f>VLOOKUP(C285,'Talente &amp; Stuff'!ER:FT,11,FALSE)</f>
        <v>0</v>
      </c>
      <c r="N285" s="47">
        <f>VLOOKUP(C285,'Talente &amp; Stuff'!ER:FT,12,FALSE)</f>
        <v>0</v>
      </c>
      <c r="O285" s="3">
        <f>VLOOKUP(C285,'Talente &amp; Stuff'!ER:FT,13,FALSE)</f>
        <v>0</v>
      </c>
      <c r="P285" s="174">
        <f>VLOOKUP(C285,'Talente &amp; Stuff'!ER:FT,14,FALSE)</f>
        <v>0</v>
      </c>
      <c r="Q285" s="114">
        <f>VLOOKUP(C285,'Talente &amp; Stuff'!ER:FT,15,FALSE)</f>
        <v>0</v>
      </c>
      <c r="R285" s="117">
        <f>VLOOKUP(C285,'Talente &amp; Stuff'!ER:FT,16,FALSE)</f>
        <v>0</v>
      </c>
      <c r="S285" s="119">
        <f>VLOOKUP(C285,'Talente &amp; Stuff'!ER:FT,17,FALSE)</f>
        <v>0</v>
      </c>
      <c r="T285" s="119">
        <f>VLOOKUP(C285,'Talente &amp; Stuff'!ER:FT,18,FALSE)</f>
        <v>0</v>
      </c>
      <c r="U285" s="89">
        <f>VLOOKUP(C285,'Talente &amp; Stuff'!ER:FT,19,FALSE)</f>
        <v>0</v>
      </c>
      <c r="V285" s="47">
        <f>VLOOKUP(C285,'Talente &amp; Stuff'!ER:FT,20,FALSE)</f>
        <v>0</v>
      </c>
      <c r="W285" s="127">
        <f>VLOOKUP(C285,'Talente &amp; Stuff'!ER:FT,21,FALSE)</f>
        <v>0</v>
      </c>
      <c r="X285" s="127">
        <f>VLOOKUP(C285,'Talente &amp; Stuff'!ER:FT,22,FALSE)</f>
        <v>0</v>
      </c>
      <c r="Y285" s="165">
        <f t="shared" si="22"/>
        <v>0</v>
      </c>
      <c r="Z285" s="44">
        <f t="shared" si="23"/>
        <v>0</v>
      </c>
      <c r="AA285" s="125">
        <f>VLOOKUP(C285,'Talente &amp; Stuff'!ER:FT,25,FALSE)</f>
        <v>0</v>
      </c>
      <c r="AB285" s="160">
        <f>VLOOKUP(C285,'Talente &amp; Stuff'!ER:FT,26,FALSE)</f>
        <v>0</v>
      </c>
      <c r="AC285" s="127">
        <f>VLOOKUP(C285,'Talente &amp; Stuff'!ER:FT,27,FALSE)</f>
        <v>0</v>
      </c>
      <c r="AD285" s="125">
        <f>VLOOKUP(C285,'Talente &amp; Stuff'!ER:FT,28,FALSE)</f>
        <v>0</v>
      </c>
      <c r="AE285" s="28"/>
    </row>
    <row r="286" spans="2:31" ht="15" hidden="1" customHeight="1" outlineLevel="2">
      <c r="B286" s="148">
        <v>26</v>
      </c>
      <c r="C286" s="163" t="str">
        <f>Attribute!C286</f>
        <v>---</v>
      </c>
      <c r="D286" s="86" t="str">
        <f>VLOOKUP(C286,'Talente &amp; Stuff'!ER:FT,2,FALSE)</f>
        <v>--/--/--</v>
      </c>
      <c r="E286" s="167" t="str">
        <f>VLOOKUP(C286,'Talente &amp; Stuff'!ER:FT,3,FALSE)</f>
        <v>-</v>
      </c>
      <c r="F286" s="120">
        <f>VLOOKUP(C286,'Talente &amp; Stuff'!ER:FT,4,FALSE)</f>
        <v>0</v>
      </c>
      <c r="G286" s="117">
        <f>VLOOKUP(C286,'Talente &amp; Stuff'!ER:FT,5,FALSE)</f>
        <v>0</v>
      </c>
      <c r="H286" s="117">
        <f>VLOOKUP(C286,'Talente &amp; Stuff'!ER:FT,6,FALSE)</f>
        <v>0</v>
      </c>
      <c r="I286" s="117">
        <f>VLOOKUP(C286,'Talente &amp; Stuff'!ER:FT,7,FALSE)</f>
        <v>0</v>
      </c>
      <c r="J286" s="117">
        <f>VLOOKUP(C286,'Talente &amp; Stuff'!ER:FT,8,FALSE)</f>
        <v>0</v>
      </c>
      <c r="K286" s="117">
        <f>VLOOKUP(C286,'Talente &amp; Stuff'!ER:FT,9,FALSE)</f>
        <v>0</v>
      </c>
      <c r="L286" s="117">
        <f>VLOOKUP(C286,'Talente &amp; Stuff'!ER:FT,10,FALSE)</f>
        <v>0</v>
      </c>
      <c r="M286" s="121">
        <f>VLOOKUP(C286,'Talente &amp; Stuff'!ER:FT,11,FALSE)</f>
        <v>0</v>
      </c>
      <c r="N286" s="47">
        <f>VLOOKUP(C286,'Talente &amp; Stuff'!ER:FT,12,FALSE)</f>
        <v>0</v>
      </c>
      <c r="O286" s="3">
        <f>VLOOKUP(C286,'Talente &amp; Stuff'!ER:FT,13,FALSE)</f>
        <v>0</v>
      </c>
      <c r="P286" s="174">
        <f>VLOOKUP(C286,'Talente &amp; Stuff'!ER:FT,14,FALSE)</f>
        <v>0</v>
      </c>
      <c r="Q286" s="114">
        <f>VLOOKUP(C286,'Talente &amp; Stuff'!ER:FT,15,FALSE)</f>
        <v>0</v>
      </c>
      <c r="R286" s="117">
        <f>VLOOKUP(C286,'Talente &amp; Stuff'!ER:FT,16,FALSE)</f>
        <v>0</v>
      </c>
      <c r="S286" s="119">
        <f>VLOOKUP(C286,'Talente &amp; Stuff'!ER:FT,17,FALSE)</f>
        <v>0</v>
      </c>
      <c r="T286" s="119">
        <f>VLOOKUP(C286,'Talente &amp; Stuff'!ER:FT,18,FALSE)</f>
        <v>0</v>
      </c>
      <c r="U286" s="89">
        <f>VLOOKUP(C286,'Talente &amp; Stuff'!ER:FT,19,FALSE)</f>
        <v>0</v>
      </c>
      <c r="V286" s="47">
        <f>VLOOKUP(C286,'Talente &amp; Stuff'!ER:FT,20,FALSE)</f>
        <v>0</v>
      </c>
      <c r="W286" s="127">
        <f>VLOOKUP(C286,'Talente &amp; Stuff'!ER:FT,21,FALSE)</f>
        <v>0</v>
      </c>
      <c r="X286" s="127">
        <f>VLOOKUP(C286,'Talente &amp; Stuff'!ER:FT,22,FALSE)</f>
        <v>0</v>
      </c>
      <c r="Y286" s="165">
        <f t="shared" si="22"/>
        <v>0</v>
      </c>
      <c r="Z286" s="44">
        <f t="shared" si="23"/>
        <v>0</v>
      </c>
      <c r="AA286" s="125">
        <f>VLOOKUP(C286,'Talente &amp; Stuff'!ER:FT,25,FALSE)</f>
        <v>0</v>
      </c>
      <c r="AB286" s="160">
        <f>VLOOKUP(C286,'Talente &amp; Stuff'!ER:FT,26,FALSE)</f>
        <v>0</v>
      </c>
      <c r="AC286" s="127">
        <f>VLOOKUP(C286,'Talente &amp; Stuff'!ER:FT,27,FALSE)</f>
        <v>0</v>
      </c>
      <c r="AD286" s="125">
        <f>VLOOKUP(C286,'Talente &amp; Stuff'!ER:FT,28,FALSE)</f>
        <v>0</v>
      </c>
      <c r="AE286" s="28"/>
    </row>
    <row r="287" spans="2:31" ht="15" hidden="1" customHeight="1" outlineLevel="2">
      <c r="B287" s="148">
        <v>27</v>
      </c>
      <c r="C287" s="163" t="str">
        <f>Attribute!C287</f>
        <v>---</v>
      </c>
      <c r="D287" s="86" t="str">
        <f>VLOOKUP(C287,'Talente &amp; Stuff'!ER:FT,2,FALSE)</f>
        <v>--/--/--</v>
      </c>
      <c r="E287" s="167" t="str">
        <f>VLOOKUP(C287,'Talente &amp; Stuff'!ER:FT,3,FALSE)</f>
        <v>-</v>
      </c>
      <c r="F287" s="120">
        <f>VLOOKUP(C287,'Talente &amp; Stuff'!ER:FT,4,FALSE)</f>
        <v>0</v>
      </c>
      <c r="G287" s="117">
        <f>VLOOKUP(C287,'Talente &amp; Stuff'!ER:FT,5,FALSE)</f>
        <v>0</v>
      </c>
      <c r="H287" s="117">
        <f>VLOOKUP(C287,'Talente &amp; Stuff'!ER:FT,6,FALSE)</f>
        <v>0</v>
      </c>
      <c r="I287" s="117">
        <f>VLOOKUP(C287,'Talente &amp; Stuff'!ER:FT,7,FALSE)</f>
        <v>0</v>
      </c>
      <c r="J287" s="117">
        <f>VLOOKUP(C287,'Talente &amp; Stuff'!ER:FT,8,FALSE)</f>
        <v>0</v>
      </c>
      <c r="K287" s="117">
        <f>VLOOKUP(C287,'Talente &amp; Stuff'!ER:FT,9,FALSE)</f>
        <v>0</v>
      </c>
      <c r="L287" s="117">
        <f>VLOOKUP(C287,'Talente &amp; Stuff'!ER:FT,10,FALSE)</f>
        <v>0</v>
      </c>
      <c r="M287" s="121">
        <f>VLOOKUP(C287,'Talente &amp; Stuff'!ER:FT,11,FALSE)</f>
        <v>0</v>
      </c>
      <c r="N287" s="47">
        <f>VLOOKUP(C287,'Talente &amp; Stuff'!ER:FT,12,FALSE)</f>
        <v>0</v>
      </c>
      <c r="O287" s="3">
        <f>VLOOKUP(C287,'Talente &amp; Stuff'!ER:FT,13,FALSE)</f>
        <v>0</v>
      </c>
      <c r="P287" s="174">
        <f>VLOOKUP(C287,'Talente &amp; Stuff'!ER:FT,14,FALSE)</f>
        <v>0</v>
      </c>
      <c r="Q287" s="114">
        <f>VLOOKUP(C287,'Talente &amp; Stuff'!ER:FT,15,FALSE)</f>
        <v>0</v>
      </c>
      <c r="R287" s="117">
        <f>VLOOKUP(C287,'Talente &amp; Stuff'!ER:FT,16,FALSE)</f>
        <v>0</v>
      </c>
      <c r="S287" s="119">
        <f>VLOOKUP(C287,'Talente &amp; Stuff'!ER:FT,17,FALSE)</f>
        <v>0</v>
      </c>
      <c r="T287" s="119">
        <f>VLOOKUP(C287,'Talente &amp; Stuff'!ER:FT,18,FALSE)</f>
        <v>0</v>
      </c>
      <c r="U287" s="89">
        <f>VLOOKUP(C287,'Talente &amp; Stuff'!ER:FT,19,FALSE)</f>
        <v>0</v>
      </c>
      <c r="V287" s="47">
        <f>VLOOKUP(C287,'Talente &amp; Stuff'!ER:FT,20,FALSE)</f>
        <v>0</v>
      </c>
      <c r="W287" s="127">
        <f>VLOOKUP(C287,'Talente &amp; Stuff'!ER:FT,21,FALSE)</f>
        <v>0</v>
      </c>
      <c r="X287" s="127">
        <f>VLOOKUP(C287,'Talente &amp; Stuff'!ER:FT,22,FALSE)</f>
        <v>0</v>
      </c>
      <c r="Y287" s="165">
        <f t="shared" si="22"/>
        <v>0</v>
      </c>
      <c r="Z287" s="44">
        <f t="shared" si="23"/>
        <v>0</v>
      </c>
      <c r="AA287" s="125">
        <f>VLOOKUP(C287,'Talente &amp; Stuff'!ER:FT,25,FALSE)</f>
        <v>0</v>
      </c>
      <c r="AB287" s="160">
        <f>VLOOKUP(C287,'Talente &amp; Stuff'!ER:FT,26,FALSE)</f>
        <v>0</v>
      </c>
      <c r="AC287" s="127">
        <f>VLOOKUP(C287,'Talente &amp; Stuff'!ER:FT,27,FALSE)</f>
        <v>0</v>
      </c>
      <c r="AD287" s="125">
        <f>VLOOKUP(C287,'Talente &amp; Stuff'!ER:FT,28,FALSE)</f>
        <v>0</v>
      </c>
      <c r="AE287" s="28"/>
    </row>
    <row r="288" spans="2:31" ht="15" hidden="1" customHeight="1" outlineLevel="2">
      <c r="B288" s="148">
        <v>28</v>
      </c>
      <c r="C288" s="163" t="str">
        <f>Attribute!C288</f>
        <v>---</v>
      </c>
      <c r="D288" s="86" t="str">
        <f>VLOOKUP(C288,'Talente &amp; Stuff'!ER:FT,2,FALSE)</f>
        <v>--/--/--</v>
      </c>
      <c r="E288" s="167" t="str">
        <f>VLOOKUP(C288,'Talente &amp; Stuff'!ER:FT,3,FALSE)</f>
        <v>-</v>
      </c>
      <c r="F288" s="120">
        <f>VLOOKUP(C288,'Talente &amp; Stuff'!ER:FT,4,FALSE)</f>
        <v>0</v>
      </c>
      <c r="G288" s="117">
        <f>VLOOKUP(C288,'Talente &amp; Stuff'!ER:FT,5,FALSE)</f>
        <v>0</v>
      </c>
      <c r="H288" s="117">
        <f>VLOOKUP(C288,'Talente &amp; Stuff'!ER:FT,6,FALSE)</f>
        <v>0</v>
      </c>
      <c r="I288" s="117">
        <f>VLOOKUP(C288,'Talente &amp; Stuff'!ER:FT,7,FALSE)</f>
        <v>0</v>
      </c>
      <c r="J288" s="117">
        <f>VLOOKUP(C288,'Talente &amp; Stuff'!ER:FT,8,FALSE)</f>
        <v>0</v>
      </c>
      <c r="K288" s="117">
        <f>VLOOKUP(C288,'Talente &amp; Stuff'!ER:FT,9,FALSE)</f>
        <v>0</v>
      </c>
      <c r="L288" s="117">
        <f>VLOOKUP(C288,'Talente &amp; Stuff'!ER:FT,10,FALSE)</f>
        <v>0</v>
      </c>
      <c r="M288" s="121">
        <f>VLOOKUP(C288,'Talente &amp; Stuff'!ER:FT,11,FALSE)</f>
        <v>0</v>
      </c>
      <c r="N288" s="47">
        <f>VLOOKUP(C288,'Talente &amp; Stuff'!ER:FT,12,FALSE)</f>
        <v>0</v>
      </c>
      <c r="O288" s="3">
        <f>VLOOKUP(C288,'Talente &amp; Stuff'!ER:FT,13,FALSE)</f>
        <v>0</v>
      </c>
      <c r="P288" s="174">
        <f>VLOOKUP(C288,'Talente &amp; Stuff'!ER:FT,14,FALSE)</f>
        <v>0</v>
      </c>
      <c r="Q288" s="114">
        <f>VLOOKUP(C288,'Talente &amp; Stuff'!ER:FT,15,FALSE)</f>
        <v>0</v>
      </c>
      <c r="R288" s="117">
        <f>VLOOKUP(C288,'Talente &amp; Stuff'!ER:FT,16,FALSE)</f>
        <v>0</v>
      </c>
      <c r="S288" s="119">
        <f>VLOOKUP(C288,'Talente &amp; Stuff'!ER:FT,17,FALSE)</f>
        <v>0</v>
      </c>
      <c r="T288" s="119">
        <f>VLOOKUP(C288,'Talente &amp; Stuff'!ER:FT,18,FALSE)</f>
        <v>0</v>
      </c>
      <c r="U288" s="89">
        <f>VLOOKUP(C288,'Talente &amp; Stuff'!ER:FT,19,FALSE)</f>
        <v>0</v>
      </c>
      <c r="V288" s="47">
        <f>VLOOKUP(C288,'Talente &amp; Stuff'!ER:FT,20,FALSE)</f>
        <v>0</v>
      </c>
      <c r="W288" s="127">
        <f>VLOOKUP(C288,'Talente &amp; Stuff'!ER:FT,21,FALSE)</f>
        <v>0</v>
      </c>
      <c r="X288" s="127">
        <f>VLOOKUP(C288,'Talente &amp; Stuff'!ER:FT,22,FALSE)</f>
        <v>0</v>
      </c>
      <c r="Y288" s="165">
        <f t="shared" si="22"/>
        <v>0</v>
      </c>
      <c r="Z288" s="44">
        <f t="shared" si="23"/>
        <v>0</v>
      </c>
      <c r="AA288" s="125">
        <f>VLOOKUP(C288,'Talente &amp; Stuff'!ER:FT,25,FALSE)</f>
        <v>0</v>
      </c>
      <c r="AB288" s="160">
        <f>VLOOKUP(C288,'Talente &amp; Stuff'!ER:FT,26,FALSE)</f>
        <v>0</v>
      </c>
      <c r="AC288" s="127">
        <f>VLOOKUP(C288,'Talente &amp; Stuff'!ER:FT,27,FALSE)</f>
        <v>0</v>
      </c>
      <c r="AD288" s="125">
        <f>VLOOKUP(C288,'Talente &amp; Stuff'!ER:FT,28,FALSE)</f>
        <v>0</v>
      </c>
      <c r="AE288" s="28"/>
    </row>
    <row r="289" spans="1:31" ht="15" hidden="1" customHeight="1" outlineLevel="2">
      <c r="B289" s="148">
        <v>29</v>
      </c>
      <c r="C289" s="163" t="str">
        <f>Attribute!C289</f>
        <v>---</v>
      </c>
      <c r="D289" s="125" t="str">
        <f>VLOOKUP(C289,'Talente &amp; Stuff'!ER:FT,2,FALSE)</f>
        <v>--/--/--</v>
      </c>
      <c r="E289" s="127" t="str">
        <f>VLOOKUP(C289,'Talente &amp; Stuff'!ER:FT,3,FALSE)</f>
        <v>-</v>
      </c>
      <c r="F289" s="114">
        <f>VLOOKUP(C289,'Talente &amp; Stuff'!ER:FT,4,FALSE)</f>
        <v>0</v>
      </c>
      <c r="G289" s="113">
        <f>VLOOKUP(C289,'Talente &amp; Stuff'!ER:FT,5,FALSE)</f>
        <v>0</v>
      </c>
      <c r="H289" s="113">
        <f>VLOOKUP(C289,'Talente &amp; Stuff'!ER:FT,6,FALSE)</f>
        <v>0</v>
      </c>
      <c r="I289" s="113">
        <f>VLOOKUP(C289,'Talente &amp; Stuff'!ER:FT,7,FALSE)</f>
        <v>0</v>
      </c>
      <c r="J289" s="113">
        <f>VLOOKUP(C289,'Talente &amp; Stuff'!ER:FT,8,FALSE)</f>
        <v>0</v>
      </c>
      <c r="K289" s="113">
        <f>VLOOKUP(C289,'Talente &amp; Stuff'!ER:FT,9,FALSE)</f>
        <v>0</v>
      </c>
      <c r="L289" s="113">
        <f>VLOOKUP(C289,'Talente &amp; Stuff'!ER:FT,10,FALSE)</f>
        <v>0</v>
      </c>
      <c r="M289" s="119">
        <f>VLOOKUP(C289,'Talente &amp; Stuff'!ER:FT,11,FALSE)</f>
        <v>0</v>
      </c>
      <c r="N289" s="47">
        <f>VLOOKUP(C289,'Talente &amp; Stuff'!ER:FT,12,FALSE)</f>
        <v>0</v>
      </c>
      <c r="O289" s="47">
        <f>VLOOKUP(C289,'Talente &amp; Stuff'!ER:FT,13,FALSE)</f>
        <v>0</v>
      </c>
      <c r="P289" s="119">
        <f>VLOOKUP(C289,'Talente &amp; Stuff'!ER:FT,14,FALSE)</f>
        <v>0</v>
      </c>
      <c r="Q289" s="114">
        <f>VLOOKUP(C289,'Talente &amp; Stuff'!ER:FT,15,FALSE)</f>
        <v>0</v>
      </c>
      <c r="R289" s="113">
        <f>VLOOKUP(C289,'Talente &amp; Stuff'!ER:FT,16,FALSE)</f>
        <v>0</v>
      </c>
      <c r="S289" s="119">
        <f>VLOOKUP(C289,'Talente &amp; Stuff'!ER:FT,17,FALSE)</f>
        <v>0</v>
      </c>
      <c r="T289" s="119">
        <f>VLOOKUP(C289,'Talente &amp; Stuff'!ER:FT,18,FALSE)</f>
        <v>0</v>
      </c>
      <c r="U289" s="89">
        <f>VLOOKUP(C289,'Talente &amp; Stuff'!ER:FT,19,FALSE)</f>
        <v>0</v>
      </c>
      <c r="V289" s="47">
        <f>VLOOKUP(C289,'Talente &amp; Stuff'!ER:FT,20,FALSE)</f>
        <v>0</v>
      </c>
      <c r="W289" s="127">
        <f>VLOOKUP(C289,'Talente &amp; Stuff'!ER:FT,21,FALSE)</f>
        <v>0</v>
      </c>
      <c r="X289" s="127">
        <f>VLOOKUP(C289,'Talente &amp; Stuff'!ER:FT,22,FALSE)</f>
        <v>0</v>
      </c>
      <c r="Y289" s="165">
        <f t="shared" si="22"/>
        <v>0</v>
      </c>
      <c r="Z289" s="44">
        <f t="shared" si="23"/>
        <v>0</v>
      </c>
      <c r="AA289" s="125">
        <f>VLOOKUP(C289,'Talente &amp; Stuff'!ER:FT,25,FALSE)</f>
        <v>0</v>
      </c>
      <c r="AB289" s="160">
        <f>VLOOKUP(C289,'Talente &amp; Stuff'!ER:FT,26,FALSE)</f>
        <v>0</v>
      </c>
      <c r="AC289" s="127">
        <f>VLOOKUP(C289,'Talente &amp; Stuff'!ER:FT,27,FALSE)</f>
        <v>0</v>
      </c>
      <c r="AD289" s="125">
        <f>VLOOKUP(C289,'Talente &amp; Stuff'!ER:FT,28,FALSE)</f>
        <v>0</v>
      </c>
      <c r="AE289" s="28"/>
    </row>
    <row r="290" spans="1:31" ht="15" hidden="1" customHeight="1" outlineLevel="2">
      <c r="B290" s="148">
        <v>30</v>
      </c>
      <c r="C290" s="163" t="str">
        <f>Attribute!C290</f>
        <v>---</v>
      </c>
      <c r="D290" s="125" t="str">
        <f>VLOOKUP(C290,'Talente &amp; Stuff'!ER:FT,2,FALSE)</f>
        <v>--/--/--</v>
      </c>
      <c r="E290" s="127" t="str">
        <f>VLOOKUP(C290,'Talente &amp; Stuff'!ER:FT,3,FALSE)</f>
        <v>-</v>
      </c>
      <c r="F290" s="114">
        <f>VLOOKUP(C290,'Talente &amp; Stuff'!ER:FT,4,FALSE)</f>
        <v>0</v>
      </c>
      <c r="G290" s="113">
        <f>VLOOKUP(C290,'Talente &amp; Stuff'!ER:FT,5,FALSE)</f>
        <v>0</v>
      </c>
      <c r="H290" s="113">
        <f>VLOOKUP(C290,'Talente &amp; Stuff'!ER:FT,6,FALSE)</f>
        <v>0</v>
      </c>
      <c r="I290" s="113">
        <f>VLOOKUP(C290,'Talente &amp; Stuff'!ER:FT,7,FALSE)</f>
        <v>0</v>
      </c>
      <c r="J290" s="113">
        <f>VLOOKUP(C290,'Talente &amp; Stuff'!ER:FT,8,FALSE)</f>
        <v>0</v>
      </c>
      <c r="K290" s="113">
        <f>VLOOKUP(C290,'Talente &amp; Stuff'!ER:FT,9,FALSE)</f>
        <v>0</v>
      </c>
      <c r="L290" s="113">
        <f>VLOOKUP(C290,'Talente &amp; Stuff'!ER:FT,10,FALSE)</f>
        <v>0</v>
      </c>
      <c r="M290" s="119">
        <f>VLOOKUP(C290,'Talente &amp; Stuff'!ER:FT,11,FALSE)</f>
        <v>0</v>
      </c>
      <c r="N290" s="47">
        <f>VLOOKUP(C290,'Talente &amp; Stuff'!ER:FT,12,FALSE)</f>
        <v>0</v>
      </c>
      <c r="O290" s="47">
        <f>VLOOKUP(C290,'Talente &amp; Stuff'!ER:FT,13,FALSE)</f>
        <v>0</v>
      </c>
      <c r="P290" s="119">
        <f>VLOOKUP(C290,'Talente &amp; Stuff'!ER:FT,14,FALSE)</f>
        <v>0</v>
      </c>
      <c r="Q290" s="114">
        <f>VLOOKUP(C290,'Talente &amp; Stuff'!ER:FT,15,FALSE)</f>
        <v>0</v>
      </c>
      <c r="R290" s="113">
        <f>VLOOKUP(C290,'Talente &amp; Stuff'!ER:FT,16,FALSE)</f>
        <v>0</v>
      </c>
      <c r="S290" s="119">
        <f>VLOOKUP(C290,'Talente &amp; Stuff'!ER:FT,17,FALSE)</f>
        <v>0</v>
      </c>
      <c r="T290" s="119">
        <f>VLOOKUP(C290,'Talente &amp; Stuff'!ER:FT,18,FALSE)</f>
        <v>0</v>
      </c>
      <c r="U290" s="89">
        <f>VLOOKUP(C290,'Talente &amp; Stuff'!ER:FT,19,FALSE)</f>
        <v>0</v>
      </c>
      <c r="V290" s="47">
        <f>VLOOKUP(C290,'Talente &amp; Stuff'!ER:FT,20,FALSE)</f>
        <v>0</v>
      </c>
      <c r="W290" s="127">
        <f>VLOOKUP(C290,'Talente &amp; Stuff'!ER:FT,21,FALSE)</f>
        <v>0</v>
      </c>
      <c r="X290" s="127">
        <f>VLOOKUP(C290,'Talente &amp; Stuff'!ER:FT,22,FALSE)</f>
        <v>0</v>
      </c>
      <c r="Y290" s="165">
        <f t="shared" si="22"/>
        <v>0</v>
      </c>
      <c r="Z290" s="44">
        <f t="shared" si="23"/>
        <v>0</v>
      </c>
      <c r="AA290" s="125">
        <f>VLOOKUP(C290,'Talente &amp; Stuff'!ER:FT,25,FALSE)</f>
        <v>0</v>
      </c>
      <c r="AB290" s="160">
        <f>VLOOKUP(C290,'Talente &amp; Stuff'!ER:FT,26,FALSE)</f>
        <v>0</v>
      </c>
      <c r="AC290" s="127">
        <f>VLOOKUP(C290,'Talente &amp; Stuff'!ER:FT,27,FALSE)</f>
        <v>0</v>
      </c>
      <c r="AD290" s="125">
        <f>VLOOKUP(C290,'Talente &amp; Stuff'!ER:FT,28,FALSE)</f>
        <v>0</v>
      </c>
      <c r="AE290" s="28"/>
    </row>
    <row r="291" spans="1:31" ht="15" hidden="1" customHeight="1" outlineLevel="2">
      <c r="B291" s="148">
        <v>31</v>
      </c>
      <c r="C291" s="163" t="str">
        <f>Attribute!C291</f>
        <v>---</v>
      </c>
      <c r="D291" s="125" t="str">
        <f>VLOOKUP(C291,'Talente &amp; Stuff'!ER:FT,2,FALSE)</f>
        <v>--/--/--</v>
      </c>
      <c r="E291" s="127" t="str">
        <f>VLOOKUP(C291,'Talente &amp; Stuff'!ER:FT,3,FALSE)</f>
        <v>-</v>
      </c>
      <c r="F291" s="114">
        <f>VLOOKUP(C291,'Talente &amp; Stuff'!ER:FT,4,FALSE)</f>
        <v>0</v>
      </c>
      <c r="G291" s="113">
        <f>VLOOKUP(C291,'Talente &amp; Stuff'!ER:FT,5,FALSE)</f>
        <v>0</v>
      </c>
      <c r="H291" s="113">
        <f>VLOOKUP(C291,'Talente &amp; Stuff'!ER:FT,6,FALSE)</f>
        <v>0</v>
      </c>
      <c r="I291" s="113">
        <f>VLOOKUP(C291,'Talente &amp; Stuff'!ER:FT,7,FALSE)</f>
        <v>0</v>
      </c>
      <c r="J291" s="113">
        <f>VLOOKUP(C291,'Talente &amp; Stuff'!ER:FT,8,FALSE)</f>
        <v>0</v>
      </c>
      <c r="K291" s="113">
        <f>VLOOKUP(C291,'Talente &amp; Stuff'!ER:FT,9,FALSE)</f>
        <v>0</v>
      </c>
      <c r="L291" s="113">
        <f>VLOOKUP(C291,'Talente &amp; Stuff'!ER:FT,10,FALSE)</f>
        <v>0</v>
      </c>
      <c r="M291" s="119">
        <f>VLOOKUP(C291,'Talente &amp; Stuff'!ER:FT,11,FALSE)</f>
        <v>0</v>
      </c>
      <c r="N291" s="47">
        <f>VLOOKUP(C291,'Talente &amp; Stuff'!ER:FT,12,FALSE)</f>
        <v>0</v>
      </c>
      <c r="O291" s="47">
        <f>VLOOKUP(C291,'Talente &amp; Stuff'!ER:FT,13,FALSE)</f>
        <v>0</v>
      </c>
      <c r="P291" s="119">
        <f>VLOOKUP(C291,'Talente &amp; Stuff'!ER:FT,14,FALSE)</f>
        <v>0</v>
      </c>
      <c r="Q291" s="114">
        <f>VLOOKUP(C291,'Talente &amp; Stuff'!ER:FT,15,FALSE)</f>
        <v>0</v>
      </c>
      <c r="R291" s="113">
        <f>VLOOKUP(C291,'Talente &amp; Stuff'!ER:FT,16,FALSE)</f>
        <v>0</v>
      </c>
      <c r="S291" s="119">
        <f>VLOOKUP(C291,'Talente &amp; Stuff'!ER:FT,17,FALSE)</f>
        <v>0</v>
      </c>
      <c r="T291" s="119">
        <f>VLOOKUP(C291,'Talente &amp; Stuff'!ER:FT,18,FALSE)</f>
        <v>0</v>
      </c>
      <c r="U291" s="89">
        <f>VLOOKUP(C291,'Talente &amp; Stuff'!ER:FT,19,FALSE)</f>
        <v>0</v>
      </c>
      <c r="V291" s="47">
        <f>VLOOKUP(C291,'Talente &amp; Stuff'!ER:FT,20,FALSE)</f>
        <v>0</v>
      </c>
      <c r="W291" s="127">
        <f>VLOOKUP(C291,'Talente &amp; Stuff'!ER:FT,21,FALSE)</f>
        <v>0</v>
      </c>
      <c r="X291" s="127">
        <f>VLOOKUP(C291,'Talente &amp; Stuff'!ER:FT,22,FALSE)</f>
        <v>0</v>
      </c>
      <c r="Y291" s="165">
        <f t="shared" si="22"/>
        <v>0</v>
      </c>
      <c r="Z291" s="44">
        <f t="shared" si="23"/>
        <v>0</v>
      </c>
      <c r="AA291" s="125">
        <f>VLOOKUP(C291,'Talente &amp; Stuff'!ER:FT,25,FALSE)</f>
        <v>0</v>
      </c>
      <c r="AB291" s="160">
        <f>VLOOKUP(C291,'Talente &amp; Stuff'!ER:FT,26,FALSE)</f>
        <v>0</v>
      </c>
      <c r="AC291" s="127">
        <f>VLOOKUP(C291,'Talente &amp; Stuff'!ER:FT,27,FALSE)</f>
        <v>0</v>
      </c>
      <c r="AD291" s="125">
        <f>VLOOKUP(C291,'Talente &amp; Stuff'!ER:FT,28,FALSE)</f>
        <v>0</v>
      </c>
      <c r="AE291" s="28"/>
    </row>
    <row r="292" spans="1:31" ht="15" hidden="1" customHeight="1" outlineLevel="2">
      <c r="B292" s="148">
        <v>32</v>
      </c>
      <c r="C292" s="163" t="str">
        <f>Attribute!C292</f>
        <v>---</v>
      </c>
      <c r="D292" s="125" t="str">
        <f>VLOOKUP(C292,'Talente &amp; Stuff'!ER:FT,2,FALSE)</f>
        <v>--/--/--</v>
      </c>
      <c r="E292" s="127" t="str">
        <f>VLOOKUP(C292,'Talente &amp; Stuff'!ER:FT,3,FALSE)</f>
        <v>-</v>
      </c>
      <c r="F292" s="114">
        <f>VLOOKUP(C292,'Talente &amp; Stuff'!ER:FT,4,FALSE)</f>
        <v>0</v>
      </c>
      <c r="G292" s="113">
        <f>VLOOKUP(C292,'Talente &amp; Stuff'!ER:FT,5,FALSE)</f>
        <v>0</v>
      </c>
      <c r="H292" s="113">
        <f>VLOOKUP(C292,'Talente &amp; Stuff'!ER:FT,6,FALSE)</f>
        <v>0</v>
      </c>
      <c r="I292" s="113">
        <f>VLOOKUP(C292,'Talente &amp; Stuff'!ER:FT,7,FALSE)</f>
        <v>0</v>
      </c>
      <c r="J292" s="113">
        <f>VLOOKUP(C292,'Talente &amp; Stuff'!ER:FT,8,FALSE)</f>
        <v>0</v>
      </c>
      <c r="K292" s="113">
        <f>VLOOKUP(C292,'Talente &amp; Stuff'!ER:FT,9,FALSE)</f>
        <v>0</v>
      </c>
      <c r="L292" s="113">
        <f>VLOOKUP(C292,'Talente &amp; Stuff'!ER:FT,10,FALSE)</f>
        <v>0</v>
      </c>
      <c r="M292" s="119">
        <f>VLOOKUP(C292,'Talente &amp; Stuff'!ER:FT,11,FALSE)</f>
        <v>0</v>
      </c>
      <c r="N292" s="47">
        <f>VLOOKUP(C292,'Talente &amp; Stuff'!ER:FT,12,FALSE)</f>
        <v>0</v>
      </c>
      <c r="O292" s="47">
        <f>VLOOKUP(C292,'Talente &amp; Stuff'!ER:FT,13,FALSE)</f>
        <v>0</v>
      </c>
      <c r="P292" s="119">
        <f>VLOOKUP(C292,'Talente &amp; Stuff'!ER:FT,14,FALSE)</f>
        <v>0</v>
      </c>
      <c r="Q292" s="114">
        <f>VLOOKUP(C292,'Talente &amp; Stuff'!ER:FT,15,FALSE)</f>
        <v>0</v>
      </c>
      <c r="R292" s="113">
        <f>VLOOKUP(C292,'Talente &amp; Stuff'!ER:FT,16,FALSE)</f>
        <v>0</v>
      </c>
      <c r="S292" s="119">
        <f>VLOOKUP(C292,'Talente &amp; Stuff'!ER:FT,17,FALSE)</f>
        <v>0</v>
      </c>
      <c r="T292" s="119">
        <f>VLOOKUP(C292,'Talente &amp; Stuff'!ER:FT,18,FALSE)</f>
        <v>0</v>
      </c>
      <c r="U292" s="89">
        <f>VLOOKUP(C292,'Talente &amp; Stuff'!ER:FT,19,FALSE)</f>
        <v>0</v>
      </c>
      <c r="V292" s="47">
        <f>VLOOKUP(C292,'Talente &amp; Stuff'!ER:FT,20,FALSE)</f>
        <v>0</v>
      </c>
      <c r="W292" s="127">
        <f>VLOOKUP(C292,'Talente &amp; Stuff'!ER:FT,21,FALSE)</f>
        <v>0</v>
      </c>
      <c r="X292" s="127">
        <f>VLOOKUP(C292,'Talente &amp; Stuff'!ER:FT,22,FALSE)</f>
        <v>0</v>
      </c>
      <c r="Y292" s="165">
        <f t="shared" si="22"/>
        <v>0</v>
      </c>
      <c r="Z292" s="44">
        <f t="shared" si="23"/>
        <v>0</v>
      </c>
      <c r="AA292" s="125">
        <f>VLOOKUP(C292,'Talente &amp; Stuff'!ER:FT,25,FALSE)</f>
        <v>0</v>
      </c>
      <c r="AB292" s="160">
        <f>VLOOKUP(C292,'Talente &amp; Stuff'!ER:FT,26,FALSE)</f>
        <v>0</v>
      </c>
      <c r="AC292" s="127">
        <f>VLOOKUP(C292,'Talente &amp; Stuff'!ER:FT,27,FALSE)</f>
        <v>0</v>
      </c>
      <c r="AD292" s="125">
        <f>VLOOKUP(C292,'Talente &amp; Stuff'!ER:FT,28,FALSE)</f>
        <v>0</v>
      </c>
      <c r="AE292" s="28"/>
    </row>
    <row r="293" spans="1:31" ht="15" hidden="1" customHeight="1" outlineLevel="2">
      <c r="B293" s="148">
        <v>33</v>
      </c>
      <c r="C293" s="163" t="str">
        <f>Attribute!C293</f>
        <v>---</v>
      </c>
      <c r="D293" s="125" t="str">
        <f>VLOOKUP(C293,'Talente &amp; Stuff'!ER:FT,2,FALSE)</f>
        <v>--/--/--</v>
      </c>
      <c r="E293" s="127" t="str">
        <f>VLOOKUP(C293,'Talente &amp; Stuff'!ER:FT,3,FALSE)</f>
        <v>-</v>
      </c>
      <c r="F293" s="114">
        <f>VLOOKUP(C293,'Talente &amp; Stuff'!ER:FT,4,FALSE)</f>
        <v>0</v>
      </c>
      <c r="G293" s="113">
        <f>VLOOKUP(C293,'Talente &amp; Stuff'!ER:FT,5,FALSE)</f>
        <v>0</v>
      </c>
      <c r="H293" s="113">
        <f>VLOOKUP(C293,'Talente &amp; Stuff'!ER:FT,6,FALSE)</f>
        <v>0</v>
      </c>
      <c r="I293" s="113">
        <f>VLOOKUP(C293,'Talente &amp; Stuff'!ER:FT,7,FALSE)</f>
        <v>0</v>
      </c>
      <c r="J293" s="113">
        <f>VLOOKUP(C293,'Talente &amp; Stuff'!ER:FT,8,FALSE)</f>
        <v>0</v>
      </c>
      <c r="K293" s="113">
        <f>VLOOKUP(C293,'Talente &amp; Stuff'!ER:FT,9,FALSE)</f>
        <v>0</v>
      </c>
      <c r="L293" s="113">
        <f>VLOOKUP(C293,'Talente &amp; Stuff'!ER:FT,10,FALSE)</f>
        <v>0</v>
      </c>
      <c r="M293" s="119">
        <f>VLOOKUP(C293,'Talente &amp; Stuff'!ER:FT,11,FALSE)</f>
        <v>0</v>
      </c>
      <c r="N293" s="47">
        <f>VLOOKUP(C293,'Talente &amp; Stuff'!ER:FT,12,FALSE)</f>
        <v>0</v>
      </c>
      <c r="O293" s="47">
        <f>VLOOKUP(C293,'Talente &amp; Stuff'!ER:FT,13,FALSE)</f>
        <v>0</v>
      </c>
      <c r="P293" s="119">
        <f>VLOOKUP(C293,'Talente &amp; Stuff'!ER:FT,14,FALSE)</f>
        <v>0</v>
      </c>
      <c r="Q293" s="114">
        <f>VLOOKUP(C293,'Talente &amp; Stuff'!ER:FT,15,FALSE)</f>
        <v>0</v>
      </c>
      <c r="R293" s="113">
        <f>VLOOKUP(C293,'Talente &amp; Stuff'!ER:FT,16,FALSE)</f>
        <v>0</v>
      </c>
      <c r="S293" s="119">
        <f>VLOOKUP(C293,'Talente &amp; Stuff'!ER:FT,17,FALSE)</f>
        <v>0</v>
      </c>
      <c r="T293" s="119">
        <f>VLOOKUP(C293,'Talente &amp; Stuff'!ER:FT,18,FALSE)</f>
        <v>0</v>
      </c>
      <c r="U293" s="89">
        <f>VLOOKUP(C293,'Talente &amp; Stuff'!ER:FT,19,FALSE)</f>
        <v>0</v>
      </c>
      <c r="V293" s="47">
        <f>VLOOKUP(C293,'Talente &amp; Stuff'!ER:FT,20,FALSE)</f>
        <v>0</v>
      </c>
      <c r="W293" s="127">
        <f>VLOOKUP(C293,'Talente &amp; Stuff'!ER:FT,21,FALSE)</f>
        <v>0</v>
      </c>
      <c r="X293" s="127">
        <f>VLOOKUP(C293,'Talente &amp; Stuff'!ER:FT,22,FALSE)</f>
        <v>0</v>
      </c>
      <c r="Y293" s="165">
        <f t="shared" si="22"/>
        <v>0</v>
      </c>
      <c r="Z293" s="44">
        <f t="shared" si="23"/>
        <v>0</v>
      </c>
      <c r="AA293" s="125">
        <f>VLOOKUP(C293,'Talente &amp; Stuff'!ER:FT,25,FALSE)</f>
        <v>0</v>
      </c>
      <c r="AB293" s="160">
        <f>VLOOKUP(C293,'Talente &amp; Stuff'!ER:FT,26,FALSE)</f>
        <v>0</v>
      </c>
      <c r="AC293" s="127">
        <f>VLOOKUP(C293,'Talente &amp; Stuff'!ER:FT,27,FALSE)</f>
        <v>0</v>
      </c>
      <c r="AD293" s="125">
        <f>VLOOKUP(C293,'Talente &amp; Stuff'!ER:FT,28,FALSE)</f>
        <v>0</v>
      </c>
      <c r="AE293" s="28"/>
    </row>
    <row r="294" spans="1:31" ht="15" hidden="1" customHeight="1" outlineLevel="2">
      <c r="B294" s="148">
        <v>34</v>
      </c>
      <c r="C294" s="163" t="str">
        <f>Attribute!C294</f>
        <v>---</v>
      </c>
      <c r="D294" s="125" t="str">
        <f>VLOOKUP(C294,'Talente &amp; Stuff'!ER:FT,2,FALSE)</f>
        <v>--/--/--</v>
      </c>
      <c r="E294" s="127" t="str">
        <f>VLOOKUP(C294,'Talente &amp; Stuff'!ER:FT,3,FALSE)</f>
        <v>-</v>
      </c>
      <c r="F294" s="114">
        <f>VLOOKUP(C294,'Talente &amp; Stuff'!ER:FT,4,FALSE)</f>
        <v>0</v>
      </c>
      <c r="G294" s="113">
        <f>VLOOKUP(C294,'Talente &amp; Stuff'!ER:FT,5,FALSE)</f>
        <v>0</v>
      </c>
      <c r="H294" s="113">
        <f>VLOOKUP(C294,'Talente &amp; Stuff'!ER:FT,6,FALSE)</f>
        <v>0</v>
      </c>
      <c r="I294" s="113">
        <f>VLOOKUP(C294,'Talente &amp; Stuff'!ER:FT,7,FALSE)</f>
        <v>0</v>
      </c>
      <c r="J294" s="113">
        <f>VLOOKUP(C294,'Talente &amp; Stuff'!ER:FT,8,FALSE)</f>
        <v>0</v>
      </c>
      <c r="K294" s="113">
        <f>VLOOKUP(C294,'Talente &amp; Stuff'!ER:FT,9,FALSE)</f>
        <v>0</v>
      </c>
      <c r="L294" s="113">
        <f>VLOOKUP(C294,'Talente &amp; Stuff'!ER:FT,10,FALSE)</f>
        <v>0</v>
      </c>
      <c r="M294" s="119">
        <f>VLOOKUP(C294,'Talente &amp; Stuff'!ER:FT,11,FALSE)</f>
        <v>0</v>
      </c>
      <c r="N294" s="47">
        <f>VLOOKUP(C294,'Talente &amp; Stuff'!ER:FT,12,FALSE)</f>
        <v>0</v>
      </c>
      <c r="O294" s="47">
        <f>VLOOKUP(C294,'Talente &amp; Stuff'!ER:FT,13,FALSE)</f>
        <v>0</v>
      </c>
      <c r="P294" s="119">
        <f>VLOOKUP(C294,'Talente &amp; Stuff'!ER:FT,14,FALSE)</f>
        <v>0</v>
      </c>
      <c r="Q294" s="114">
        <f>VLOOKUP(C294,'Talente &amp; Stuff'!ER:FT,15,FALSE)</f>
        <v>0</v>
      </c>
      <c r="R294" s="113">
        <f>VLOOKUP(C294,'Talente &amp; Stuff'!ER:FT,16,FALSE)</f>
        <v>0</v>
      </c>
      <c r="S294" s="119">
        <f>VLOOKUP(C294,'Talente &amp; Stuff'!ER:FT,17,FALSE)</f>
        <v>0</v>
      </c>
      <c r="T294" s="119">
        <f>VLOOKUP(C294,'Talente &amp; Stuff'!ER:FT,18,FALSE)</f>
        <v>0</v>
      </c>
      <c r="U294" s="89">
        <f>VLOOKUP(C294,'Talente &amp; Stuff'!ER:FT,19,FALSE)</f>
        <v>0</v>
      </c>
      <c r="V294" s="47">
        <f>VLOOKUP(C294,'Talente &amp; Stuff'!ER:FT,20,FALSE)</f>
        <v>0</v>
      </c>
      <c r="W294" s="127">
        <f>VLOOKUP(C294,'Talente &amp; Stuff'!ER:FT,21,FALSE)</f>
        <v>0</v>
      </c>
      <c r="X294" s="127">
        <f>VLOOKUP(C294,'Talente &amp; Stuff'!ER:FT,22,FALSE)</f>
        <v>0</v>
      </c>
      <c r="Y294" s="165">
        <f t="shared" si="22"/>
        <v>0</v>
      </c>
      <c r="Z294" s="44">
        <f t="shared" si="23"/>
        <v>0</v>
      </c>
      <c r="AA294" s="125">
        <f>VLOOKUP(C294,'Talente &amp; Stuff'!ER:FT,25,FALSE)</f>
        <v>0</v>
      </c>
      <c r="AB294" s="160">
        <f>VLOOKUP(C294,'Talente &amp; Stuff'!ER:FT,26,FALSE)</f>
        <v>0</v>
      </c>
      <c r="AC294" s="127">
        <f>VLOOKUP(C294,'Talente &amp; Stuff'!ER:FT,27,FALSE)</f>
        <v>0</v>
      </c>
      <c r="AD294" s="125">
        <f>VLOOKUP(C294,'Talente &amp; Stuff'!ER:FT,28,FALSE)</f>
        <v>0</v>
      </c>
      <c r="AE294" s="28"/>
    </row>
    <row r="295" spans="1:31" ht="15" hidden="1" customHeight="1" outlineLevel="2">
      <c r="B295" s="148">
        <v>35</v>
      </c>
      <c r="C295" s="163" t="str">
        <f>Attribute!C295</f>
        <v>---</v>
      </c>
      <c r="D295" s="125" t="str">
        <f>VLOOKUP(C295,'Talente &amp; Stuff'!ER:FT,2,FALSE)</f>
        <v>--/--/--</v>
      </c>
      <c r="E295" s="127" t="str">
        <f>VLOOKUP(C295,'Talente &amp; Stuff'!ER:FT,3,FALSE)</f>
        <v>-</v>
      </c>
      <c r="F295" s="114">
        <f>VLOOKUP(C295,'Talente &amp; Stuff'!ER:FT,4,FALSE)</f>
        <v>0</v>
      </c>
      <c r="G295" s="113">
        <f>VLOOKUP(C295,'Talente &amp; Stuff'!ER:FT,5,FALSE)</f>
        <v>0</v>
      </c>
      <c r="H295" s="113">
        <f>VLOOKUP(C295,'Talente &amp; Stuff'!ER:FT,6,FALSE)</f>
        <v>0</v>
      </c>
      <c r="I295" s="113">
        <f>VLOOKUP(C295,'Talente &amp; Stuff'!ER:FT,7,FALSE)</f>
        <v>0</v>
      </c>
      <c r="J295" s="113">
        <f>VLOOKUP(C295,'Talente &amp; Stuff'!ER:FT,8,FALSE)</f>
        <v>0</v>
      </c>
      <c r="K295" s="113">
        <f>VLOOKUP(C295,'Talente &amp; Stuff'!ER:FT,9,FALSE)</f>
        <v>0</v>
      </c>
      <c r="L295" s="113">
        <f>VLOOKUP(C295,'Talente &amp; Stuff'!ER:FT,10,FALSE)</f>
        <v>0</v>
      </c>
      <c r="M295" s="119">
        <f>VLOOKUP(C295,'Talente &amp; Stuff'!ER:FT,11,FALSE)</f>
        <v>0</v>
      </c>
      <c r="N295" s="47">
        <f>VLOOKUP(C295,'Talente &amp; Stuff'!ER:FT,12,FALSE)</f>
        <v>0</v>
      </c>
      <c r="O295" s="47">
        <f>VLOOKUP(C295,'Talente &amp; Stuff'!ER:FT,13,FALSE)</f>
        <v>0</v>
      </c>
      <c r="P295" s="119">
        <f>VLOOKUP(C295,'Talente &amp; Stuff'!ER:FT,14,FALSE)</f>
        <v>0</v>
      </c>
      <c r="Q295" s="114">
        <f>VLOOKUP(C295,'Talente &amp; Stuff'!ER:FT,15,FALSE)</f>
        <v>0</v>
      </c>
      <c r="R295" s="113">
        <f>VLOOKUP(C295,'Talente &amp; Stuff'!ER:FT,16,FALSE)</f>
        <v>0</v>
      </c>
      <c r="S295" s="119">
        <f>VLOOKUP(C295,'Talente &amp; Stuff'!ER:FT,17,FALSE)</f>
        <v>0</v>
      </c>
      <c r="T295" s="119">
        <f>VLOOKUP(C295,'Talente &amp; Stuff'!ER:FT,18,FALSE)</f>
        <v>0</v>
      </c>
      <c r="U295" s="89">
        <f>VLOOKUP(C295,'Talente &amp; Stuff'!ER:FT,19,FALSE)</f>
        <v>0</v>
      </c>
      <c r="V295" s="47">
        <f>VLOOKUP(C295,'Talente &amp; Stuff'!ER:FT,20,FALSE)</f>
        <v>0</v>
      </c>
      <c r="W295" s="127">
        <f>VLOOKUP(C295,'Talente &amp; Stuff'!ER:FT,21,FALSE)</f>
        <v>0</v>
      </c>
      <c r="X295" s="127">
        <f>VLOOKUP(C295,'Talente &amp; Stuff'!ER:FT,22,FALSE)</f>
        <v>0</v>
      </c>
      <c r="Y295" s="165">
        <f t="shared" si="22"/>
        <v>0</v>
      </c>
      <c r="Z295" s="44">
        <f t="shared" si="23"/>
        <v>0</v>
      </c>
      <c r="AA295" s="125">
        <f>VLOOKUP(C295,'Talente &amp; Stuff'!ER:FT,25,FALSE)</f>
        <v>0</v>
      </c>
      <c r="AB295" s="160">
        <f>VLOOKUP(C295,'Talente &amp; Stuff'!ER:FT,26,FALSE)</f>
        <v>0</v>
      </c>
      <c r="AC295" s="127">
        <f>VLOOKUP(C295,'Talente &amp; Stuff'!ER:FT,27,FALSE)</f>
        <v>0</v>
      </c>
      <c r="AD295" s="125">
        <f>VLOOKUP(C295,'Talente &amp; Stuff'!ER:FT,28,FALSE)</f>
        <v>0</v>
      </c>
      <c r="AE295" s="28"/>
    </row>
    <row r="296" spans="1:31" ht="15" hidden="1" customHeight="1" outlineLevel="2">
      <c r="B296" s="148">
        <v>36</v>
      </c>
      <c r="C296" s="164" t="str">
        <f>Attribute!C296</f>
        <v>---</v>
      </c>
      <c r="D296" s="159" t="str">
        <f>VLOOKUP(C296,'Talente &amp; Stuff'!ER:FT,2,FALSE)</f>
        <v>--/--/--</v>
      </c>
      <c r="E296" s="128" t="str">
        <f>VLOOKUP(C296,'Talente &amp; Stuff'!ER:FT,3,FALSE)</f>
        <v>-</v>
      </c>
      <c r="F296" s="115">
        <f>VLOOKUP(C296,'Talente &amp; Stuff'!ER:FT,4,FALSE)</f>
        <v>0</v>
      </c>
      <c r="G296" s="122">
        <f>VLOOKUP(C296,'Talente &amp; Stuff'!ER:FT,5,FALSE)</f>
        <v>0</v>
      </c>
      <c r="H296" s="122">
        <f>VLOOKUP(C296,'Talente &amp; Stuff'!ER:FT,6,FALSE)</f>
        <v>0</v>
      </c>
      <c r="I296" s="122">
        <f>VLOOKUP(C296,'Talente &amp; Stuff'!ER:FT,7,FALSE)</f>
        <v>0</v>
      </c>
      <c r="J296" s="122">
        <f>VLOOKUP(C296,'Talente &amp; Stuff'!ER:FT,8,FALSE)</f>
        <v>0</v>
      </c>
      <c r="K296" s="122">
        <f>VLOOKUP(C296,'Talente &amp; Stuff'!ER:FT,9,FALSE)</f>
        <v>0</v>
      </c>
      <c r="L296" s="122">
        <f>VLOOKUP(C296,'Talente &amp; Stuff'!ER:FT,10,FALSE)</f>
        <v>0</v>
      </c>
      <c r="M296" s="123">
        <f>VLOOKUP(C296,'Talente &amp; Stuff'!ER:FT,11,FALSE)</f>
        <v>0</v>
      </c>
      <c r="N296" s="88">
        <f>VLOOKUP(C296,'Talente &amp; Stuff'!ER:FT,12,FALSE)</f>
        <v>0</v>
      </c>
      <c r="O296" s="88">
        <f>VLOOKUP(C296,'Talente &amp; Stuff'!ER:FT,13,FALSE)</f>
        <v>0</v>
      </c>
      <c r="P296" s="123">
        <f>VLOOKUP(C296,'Talente &amp; Stuff'!ER:FT,14,FALSE)</f>
        <v>0</v>
      </c>
      <c r="Q296" s="115">
        <f>VLOOKUP(C296,'Talente &amp; Stuff'!ER:FT,15,FALSE)</f>
        <v>0</v>
      </c>
      <c r="R296" s="122">
        <f>VLOOKUP(C296,'Talente &amp; Stuff'!ER:FT,16,FALSE)</f>
        <v>0</v>
      </c>
      <c r="S296" s="123">
        <f>VLOOKUP(C296,'Talente &amp; Stuff'!ER:FT,17,FALSE)</f>
        <v>0</v>
      </c>
      <c r="T296" s="123">
        <f>VLOOKUP(C296,'Talente &amp; Stuff'!ER:FT,18,FALSE)</f>
        <v>0</v>
      </c>
      <c r="U296" s="90">
        <f>VLOOKUP(C296,'Talente &amp; Stuff'!ER:FT,19,FALSE)</f>
        <v>0</v>
      </c>
      <c r="V296" s="88">
        <f>VLOOKUP(C296,'Talente &amp; Stuff'!ER:FT,20,FALSE)</f>
        <v>0</v>
      </c>
      <c r="W296" s="128">
        <f>VLOOKUP(C296,'Talente &amp; Stuff'!ER:FT,21,FALSE)</f>
        <v>0</v>
      </c>
      <c r="X296" s="128">
        <f>VLOOKUP(C296,'Talente &amp; Stuff'!ER:FT,22,FALSE)</f>
        <v>0</v>
      </c>
      <c r="Y296" s="165">
        <f t="shared" si="22"/>
        <v>0</v>
      </c>
      <c r="Z296" s="44">
        <f t="shared" si="23"/>
        <v>0</v>
      </c>
      <c r="AA296" s="159">
        <f>VLOOKUP(C296,'Talente &amp; Stuff'!ER:FT,25,FALSE)</f>
        <v>0</v>
      </c>
      <c r="AB296" s="161">
        <f>VLOOKUP(C296,'Talente &amp; Stuff'!ER:FT,26,FALSE)</f>
        <v>0</v>
      </c>
      <c r="AC296" s="128">
        <f>VLOOKUP(C296,'Talente &amp; Stuff'!ER:FT,27,FALSE)</f>
        <v>0</v>
      </c>
      <c r="AD296" s="159">
        <f>VLOOKUP(C296,'Talente &amp; Stuff'!ER:FT,28,FALSE)</f>
        <v>0</v>
      </c>
      <c r="AE296" s="28"/>
    </row>
    <row r="297" spans="1:31" s="217" customFormat="1" hidden="1" outlineLevel="1" collapsed="1">
      <c r="A297" s="185"/>
      <c r="B297" s="216" t="s">
        <v>445</v>
      </c>
      <c r="C297" s="307"/>
      <c r="D297" s="308"/>
      <c r="E297" s="308"/>
      <c r="Y297" s="251"/>
      <c r="Z297" s="251"/>
    </row>
    <row r="298" spans="1:31" s="217" customFormat="1" hidden="1" outlineLevel="2">
      <c r="A298" s="185"/>
      <c r="B298" s="217">
        <v>1</v>
      </c>
      <c r="C298" s="302" t="str">
        <f>Attribute!C298</f>
        <v>---</v>
      </c>
      <c r="D298" s="42" t="str">
        <f>VLOOKUP(C298,'Talente &amp; Stuff'!ER:FT,2,FALSE)</f>
        <v>--/--/--</v>
      </c>
      <c r="E298" s="241" t="str">
        <f>VLOOKUP(C298,'Talente &amp; Stuff'!ER:FT,3,FALSE)</f>
        <v>-</v>
      </c>
      <c r="F298" s="236">
        <f>VLOOKUP(C298,'Talente &amp; Stuff'!ER:FT,4,FALSE)</f>
        <v>0</v>
      </c>
      <c r="G298" s="233">
        <f>VLOOKUP(C298,'Talente &amp; Stuff'!ER:FT,5,FALSE)</f>
        <v>0</v>
      </c>
      <c r="H298" s="233">
        <f>VLOOKUP(C298,'Talente &amp; Stuff'!ER:FT,6,FALSE)</f>
        <v>0</v>
      </c>
      <c r="I298" s="233">
        <f>VLOOKUP(C298,'Talente &amp; Stuff'!ER:FT,7,FALSE)</f>
        <v>0</v>
      </c>
      <c r="J298" s="233">
        <f>VLOOKUP(C298,'Talente &amp; Stuff'!ER:FT,8,FALSE)</f>
        <v>0</v>
      </c>
      <c r="K298" s="233">
        <f>VLOOKUP(C298,'Talente &amp; Stuff'!ER:FT,9,FALSE)</f>
        <v>0</v>
      </c>
      <c r="L298" s="233">
        <f>VLOOKUP(C298,'Talente &amp; Stuff'!ER:FT,10,FALSE)</f>
        <v>0</v>
      </c>
      <c r="M298" s="221">
        <f>VLOOKUP(C298,'Talente &amp; Stuff'!ER:FT,11,FALSE)</f>
        <v>0</v>
      </c>
      <c r="N298" s="220">
        <f>VLOOKUP(C298,'Talente &amp; Stuff'!ER:FT,12,FALSE)</f>
        <v>0</v>
      </c>
      <c r="O298" s="220">
        <f>VLOOKUP(C298,'Talente &amp; Stuff'!ER:FT,13,FALSE)</f>
        <v>0</v>
      </c>
      <c r="P298" s="221">
        <f>VLOOKUP(C298,'Talente &amp; Stuff'!ER:FT,14,FALSE)</f>
        <v>0</v>
      </c>
      <c r="Q298" s="236">
        <f>VLOOKUP(C298,'Talente &amp; Stuff'!ER:FT,15,FALSE)</f>
        <v>0</v>
      </c>
      <c r="R298" s="233">
        <f>VLOOKUP(C298,'Talente &amp; Stuff'!ER:FT,16,FALSE)</f>
        <v>0</v>
      </c>
      <c r="S298" s="221">
        <f>VLOOKUP(C298,'Talente &amp; Stuff'!ER:FT,17,FALSE)</f>
        <v>0</v>
      </c>
      <c r="T298" s="221">
        <f>VLOOKUP(C298,'Talente &amp; Stuff'!ER:FT,18,FALSE)</f>
        <v>0</v>
      </c>
      <c r="U298" s="219">
        <f>VLOOKUP(C298,'Talente &amp; Stuff'!ER:FT,19,FALSE)</f>
        <v>0</v>
      </c>
      <c r="V298" s="220">
        <f>VLOOKUP(C298,'Talente &amp; Stuff'!ER:FT,20,FALSE)</f>
        <v>0</v>
      </c>
      <c r="W298" s="241">
        <f>VLOOKUP(C298,'Talente &amp; Stuff'!ER:FT,21,FALSE)</f>
        <v>0</v>
      </c>
      <c r="X298" s="241">
        <f>VLOOKUP(C298,'Talente &amp; Stuff'!ER:FT,22,FALSE)</f>
        <v>0</v>
      </c>
      <c r="Y298" s="252">
        <f>VLOOKUP(C298,Ausgewählte_Zauber_Zauberbarden,168,FALSE)</f>
        <v>0</v>
      </c>
      <c r="Z298" s="309">
        <f>VLOOKUP(C298,Ausgewählte_Zauber_Zauberbarden,169,FALSE)</f>
        <v>0</v>
      </c>
      <c r="AA298" s="42">
        <f>VLOOKUP(C298,'Talente &amp; Stuff'!ER:FT,25,FALSE)</f>
        <v>0</v>
      </c>
      <c r="AB298" s="78">
        <f>VLOOKUP(C298,'Talente &amp; Stuff'!ER:FT,26,FALSE)</f>
        <v>0</v>
      </c>
      <c r="AC298" s="241">
        <f>VLOOKUP(C298,'Talente &amp; Stuff'!ER:FT,27,FALSE)</f>
        <v>0</v>
      </c>
      <c r="AD298" s="42">
        <f>VLOOKUP(C298,'Talente &amp; Stuff'!ER:FT,28,FALSE)</f>
        <v>0</v>
      </c>
      <c r="AE298" s="343"/>
    </row>
    <row r="299" spans="1:31" s="217" customFormat="1" hidden="1" outlineLevel="2">
      <c r="A299" s="185"/>
      <c r="B299" s="217">
        <v>2</v>
      </c>
      <c r="C299" s="303" t="str">
        <f>Attribute!C299</f>
        <v>---</v>
      </c>
      <c r="D299" s="218" t="str">
        <f>VLOOKUP(C299,'Talente &amp; Stuff'!ER:FT,2,FALSE)</f>
        <v>--/--/--</v>
      </c>
      <c r="E299" s="243" t="str">
        <f>VLOOKUP(C299,'Talente &amp; Stuff'!ER:FT,3,FALSE)</f>
        <v>-</v>
      </c>
      <c r="F299" s="237">
        <f>VLOOKUP(C299,'Talente &amp; Stuff'!ER:FT,4,FALSE)</f>
        <v>0</v>
      </c>
      <c r="G299" s="234">
        <f>VLOOKUP(C299,'Talente &amp; Stuff'!ER:FT,5,FALSE)</f>
        <v>0</v>
      </c>
      <c r="H299" s="234">
        <f>VLOOKUP(C299,'Talente &amp; Stuff'!ER:FT,6,FALSE)</f>
        <v>0</v>
      </c>
      <c r="I299" s="234">
        <f>VLOOKUP(C299,'Talente &amp; Stuff'!ER:FT,7,FALSE)</f>
        <v>0</v>
      </c>
      <c r="J299" s="234">
        <f>VLOOKUP(C299,'Talente &amp; Stuff'!ER:FT,8,FALSE)</f>
        <v>0</v>
      </c>
      <c r="K299" s="234">
        <f>VLOOKUP(C299,'Talente &amp; Stuff'!ER:FT,9,FALSE)</f>
        <v>0</v>
      </c>
      <c r="L299" s="234">
        <f>VLOOKUP(C299,'Talente &amp; Stuff'!ER:FT,10,FALSE)</f>
        <v>0</v>
      </c>
      <c r="M299" s="224">
        <f>VLOOKUP(C299,'Talente &amp; Stuff'!ER:FT,11,FALSE)</f>
        <v>0</v>
      </c>
      <c r="N299" s="223">
        <f>VLOOKUP(C299,'Talente &amp; Stuff'!ER:FT,12,FALSE)</f>
        <v>0</v>
      </c>
      <c r="O299" s="223">
        <f>VLOOKUP(C299,'Talente &amp; Stuff'!ER:FT,13,FALSE)</f>
        <v>0</v>
      </c>
      <c r="P299" s="224">
        <f>VLOOKUP(C299,'Talente &amp; Stuff'!ER:FT,14,FALSE)</f>
        <v>0</v>
      </c>
      <c r="Q299" s="237">
        <f>VLOOKUP(C299,'Talente &amp; Stuff'!ER:FT,15,FALSE)</f>
        <v>0</v>
      </c>
      <c r="R299" s="234">
        <f>VLOOKUP(C299,'Talente &amp; Stuff'!ER:FT,16,FALSE)</f>
        <v>0</v>
      </c>
      <c r="S299" s="224">
        <f>VLOOKUP(C299,'Talente &amp; Stuff'!ER:FT,17,FALSE)</f>
        <v>0</v>
      </c>
      <c r="T299" s="224">
        <f>VLOOKUP(C299,'Talente &amp; Stuff'!ER:FT,18,FALSE)</f>
        <v>0</v>
      </c>
      <c r="U299" s="222">
        <f>VLOOKUP(C299,'Talente &amp; Stuff'!ER:FT,19,FALSE)</f>
        <v>0</v>
      </c>
      <c r="V299" s="223">
        <f>VLOOKUP(C299,'Talente &amp; Stuff'!ER:FT,20,FALSE)</f>
        <v>0</v>
      </c>
      <c r="W299" s="243">
        <f>VLOOKUP(C299,'Talente &amp; Stuff'!ER:FT,21,FALSE)</f>
        <v>0</v>
      </c>
      <c r="X299" s="243">
        <f>VLOOKUP(C299,'Talente &amp; Stuff'!ER:FT,22,FALSE)</f>
        <v>0</v>
      </c>
      <c r="Y299" s="252">
        <f>VLOOKUP(C299,Ausgewählte_Zauber_Zauberbarden,168,FALSE)</f>
        <v>0</v>
      </c>
      <c r="Z299" s="309">
        <f>VLOOKUP(C299,Ausgewählte_Zauber_Zauberbarden,169,FALSE)</f>
        <v>0</v>
      </c>
      <c r="AA299" s="218">
        <f>VLOOKUP(C299,'Talente &amp; Stuff'!ER:FT,25,FALSE)</f>
        <v>0</v>
      </c>
      <c r="AB299" s="242">
        <f>VLOOKUP(C299,'Talente &amp; Stuff'!ER:FT,26,FALSE)</f>
        <v>0</v>
      </c>
      <c r="AC299" s="243">
        <f>VLOOKUP(C299,'Talente &amp; Stuff'!ER:FT,27,FALSE)</f>
        <v>0</v>
      </c>
      <c r="AD299" s="218">
        <f>VLOOKUP(C299,'Talente &amp; Stuff'!ER:FT,28,FALSE)</f>
        <v>0</v>
      </c>
      <c r="AE299" s="343"/>
    </row>
    <row r="300" spans="1:31" s="217" customFormat="1" hidden="1" outlineLevel="2">
      <c r="A300" s="185"/>
      <c r="B300" s="217">
        <v>3</v>
      </c>
      <c r="C300" s="303" t="str">
        <f>Attribute!C300</f>
        <v>---</v>
      </c>
      <c r="D300" s="218" t="str">
        <f>VLOOKUP(C300,'Talente &amp; Stuff'!ER:FT,2,FALSE)</f>
        <v>--/--/--</v>
      </c>
      <c r="E300" s="243" t="str">
        <f>VLOOKUP(C300,'Talente &amp; Stuff'!ER:FT,3,FALSE)</f>
        <v>-</v>
      </c>
      <c r="F300" s="237">
        <f>VLOOKUP(C300,'Talente &amp; Stuff'!ER:FT,4,FALSE)</f>
        <v>0</v>
      </c>
      <c r="G300" s="234">
        <f>VLOOKUP(C300,'Talente &amp; Stuff'!ER:FT,5,FALSE)</f>
        <v>0</v>
      </c>
      <c r="H300" s="234">
        <f>VLOOKUP(C300,'Talente &amp; Stuff'!ER:FT,6,FALSE)</f>
        <v>0</v>
      </c>
      <c r="I300" s="234">
        <f>VLOOKUP(C300,'Talente &amp; Stuff'!ER:FT,7,FALSE)</f>
        <v>0</v>
      </c>
      <c r="J300" s="234">
        <f>VLOOKUP(C300,'Talente &amp; Stuff'!ER:FT,8,FALSE)</f>
        <v>0</v>
      </c>
      <c r="K300" s="234">
        <f>VLOOKUP(C300,'Talente &amp; Stuff'!ER:FT,9,FALSE)</f>
        <v>0</v>
      </c>
      <c r="L300" s="234">
        <f>VLOOKUP(C300,'Talente &amp; Stuff'!ER:FT,10,FALSE)</f>
        <v>0</v>
      </c>
      <c r="M300" s="224">
        <f>VLOOKUP(C300,'Talente &amp; Stuff'!ER:FT,11,FALSE)</f>
        <v>0</v>
      </c>
      <c r="N300" s="223">
        <f>VLOOKUP(C300,'Talente &amp; Stuff'!ER:FT,12,FALSE)</f>
        <v>0</v>
      </c>
      <c r="O300" s="223">
        <f>VLOOKUP(C300,'Talente &amp; Stuff'!ER:FT,13,FALSE)</f>
        <v>0</v>
      </c>
      <c r="P300" s="224">
        <f>VLOOKUP(C300,'Talente &amp; Stuff'!ER:FT,14,FALSE)</f>
        <v>0</v>
      </c>
      <c r="Q300" s="237">
        <f>VLOOKUP(C300,'Talente &amp; Stuff'!ER:FT,15,FALSE)</f>
        <v>0</v>
      </c>
      <c r="R300" s="234">
        <f>VLOOKUP(C300,'Talente &amp; Stuff'!ER:FT,16,FALSE)</f>
        <v>0</v>
      </c>
      <c r="S300" s="224">
        <f>VLOOKUP(C300,'Talente &amp; Stuff'!ER:FT,17,FALSE)</f>
        <v>0</v>
      </c>
      <c r="T300" s="224">
        <f>VLOOKUP(C300,'Talente &amp; Stuff'!ER:FT,18,FALSE)</f>
        <v>0</v>
      </c>
      <c r="U300" s="222">
        <f>VLOOKUP(C300,'Talente &amp; Stuff'!ER:FT,19,FALSE)</f>
        <v>0</v>
      </c>
      <c r="V300" s="223">
        <f>VLOOKUP(C300,'Talente &amp; Stuff'!ER:FT,20,FALSE)</f>
        <v>0</v>
      </c>
      <c r="W300" s="243">
        <f>VLOOKUP(C300,'Talente &amp; Stuff'!ER:FT,21,FALSE)</f>
        <v>0</v>
      </c>
      <c r="X300" s="243">
        <f>VLOOKUP(C300,'Talente &amp; Stuff'!ER:FT,22,FALSE)</f>
        <v>0</v>
      </c>
      <c r="Y300" s="252">
        <f>VLOOKUP(C300,Ausgewählte_Zauber_Zauberbarden,168,FALSE)</f>
        <v>0</v>
      </c>
      <c r="Z300" s="309">
        <f>VLOOKUP(C300,Ausgewählte_Zauber_Zauberbarden,169,FALSE)</f>
        <v>0</v>
      </c>
      <c r="AA300" s="218">
        <f>VLOOKUP(C300,'Talente &amp; Stuff'!ER:FT,25,FALSE)</f>
        <v>0</v>
      </c>
      <c r="AB300" s="242">
        <f>VLOOKUP(C300,'Talente &amp; Stuff'!ER:FT,26,FALSE)</f>
        <v>0</v>
      </c>
      <c r="AC300" s="243">
        <f>VLOOKUP(C300,'Talente &amp; Stuff'!ER:FT,27,FALSE)</f>
        <v>0</v>
      </c>
      <c r="AD300" s="218">
        <f>VLOOKUP(C300,'Talente &amp; Stuff'!ER:FT,28,FALSE)</f>
        <v>0</v>
      </c>
      <c r="AE300" s="343"/>
    </row>
    <row r="301" spans="1:31" s="217" customFormat="1" hidden="1" outlineLevel="2">
      <c r="A301" s="185"/>
      <c r="B301" s="217">
        <v>4</v>
      </c>
      <c r="C301" s="303" t="str">
        <f>Attribute!C301</f>
        <v>---</v>
      </c>
      <c r="D301" s="218" t="str">
        <f>VLOOKUP(C301,'Talente &amp; Stuff'!ER:FT,2,FALSE)</f>
        <v>--/--/--</v>
      </c>
      <c r="E301" s="243" t="str">
        <f>VLOOKUP(C301,'Talente &amp; Stuff'!ER:FT,3,FALSE)</f>
        <v>-</v>
      </c>
      <c r="F301" s="237">
        <f>VLOOKUP(C301,'Talente &amp; Stuff'!ER:FT,4,FALSE)</f>
        <v>0</v>
      </c>
      <c r="G301" s="234">
        <f>VLOOKUP(C301,'Talente &amp; Stuff'!ER:FT,5,FALSE)</f>
        <v>0</v>
      </c>
      <c r="H301" s="234">
        <f>VLOOKUP(C301,'Talente &amp; Stuff'!ER:FT,6,FALSE)</f>
        <v>0</v>
      </c>
      <c r="I301" s="234">
        <f>VLOOKUP(C301,'Talente &amp; Stuff'!ER:FT,7,FALSE)</f>
        <v>0</v>
      </c>
      <c r="J301" s="234">
        <f>VLOOKUP(C301,'Talente &amp; Stuff'!ER:FT,8,FALSE)</f>
        <v>0</v>
      </c>
      <c r="K301" s="234">
        <f>VLOOKUP(C301,'Talente &amp; Stuff'!ER:FT,9,FALSE)</f>
        <v>0</v>
      </c>
      <c r="L301" s="234">
        <f>VLOOKUP(C301,'Talente &amp; Stuff'!ER:FT,10,FALSE)</f>
        <v>0</v>
      </c>
      <c r="M301" s="224">
        <f>VLOOKUP(C301,'Talente &amp; Stuff'!ER:FT,11,FALSE)</f>
        <v>0</v>
      </c>
      <c r="N301" s="223">
        <f>VLOOKUP(C301,'Talente &amp; Stuff'!ER:FT,12,FALSE)</f>
        <v>0</v>
      </c>
      <c r="O301" s="223">
        <f>VLOOKUP(C301,'Talente &amp; Stuff'!ER:FT,13,FALSE)</f>
        <v>0</v>
      </c>
      <c r="P301" s="224">
        <f>VLOOKUP(C301,'Talente &amp; Stuff'!ER:FT,14,FALSE)</f>
        <v>0</v>
      </c>
      <c r="Q301" s="237">
        <f>VLOOKUP(C301,'Talente &amp; Stuff'!ER:FT,15,FALSE)</f>
        <v>0</v>
      </c>
      <c r="R301" s="234">
        <f>VLOOKUP(C301,'Talente &amp; Stuff'!ER:FT,16,FALSE)</f>
        <v>0</v>
      </c>
      <c r="S301" s="224">
        <f>VLOOKUP(C301,'Talente &amp; Stuff'!ER:FT,17,FALSE)</f>
        <v>0</v>
      </c>
      <c r="T301" s="224">
        <f>VLOOKUP(C301,'Talente &amp; Stuff'!ER:FT,18,FALSE)</f>
        <v>0</v>
      </c>
      <c r="U301" s="222">
        <f>VLOOKUP(C301,'Talente &amp; Stuff'!ER:FT,19,FALSE)</f>
        <v>0</v>
      </c>
      <c r="V301" s="223">
        <f>VLOOKUP(C301,'Talente &amp; Stuff'!ER:FT,20,FALSE)</f>
        <v>0</v>
      </c>
      <c r="W301" s="243">
        <f>VLOOKUP(C301,'Talente &amp; Stuff'!ER:FT,21,FALSE)</f>
        <v>0</v>
      </c>
      <c r="X301" s="243">
        <f>VLOOKUP(C301,'Talente &amp; Stuff'!ER:FT,22,FALSE)</f>
        <v>0</v>
      </c>
      <c r="Y301" s="252">
        <f>VLOOKUP(C301,Ausgewählte_Zauber_Zauberbarden,168,FALSE)</f>
        <v>0</v>
      </c>
      <c r="Z301" s="309">
        <f>VLOOKUP(C301,Ausgewählte_Zauber_Zauberbarden,169,FALSE)</f>
        <v>0</v>
      </c>
      <c r="AA301" s="218">
        <f>VLOOKUP(C301,'Talente &amp; Stuff'!ER:FT,25,FALSE)</f>
        <v>0</v>
      </c>
      <c r="AB301" s="242">
        <f>VLOOKUP(C301,'Talente &amp; Stuff'!ER:FT,26,FALSE)</f>
        <v>0</v>
      </c>
      <c r="AC301" s="243">
        <f>VLOOKUP(C301,'Talente &amp; Stuff'!ER:FT,27,FALSE)</f>
        <v>0</v>
      </c>
      <c r="AD301" s="218">
        <f>VLOOKUP(C301,'Talente &amp; Stuff'!ER:FT,28,FALSE)</f>
        <v>0</v>
      </c>
      <c r="AE301" s="343"/>
    </row>
    <row r="302" spans="1:31" s="217" customFormat="1" hidden="1" outlineLevel="2">
      <c r="A302" s="185"/>
      <c r="B302" s="217">
        <v>5</v>
      </c>
      <c r="C302" s="303" t="str">
        <f>Attribute!C302</f>
        <v>---</v>
      </c>
      <c r="D302" s="218" t="str">
        <f>VLOOKUP(C302,'Talente &amp; Stuff'!ER:FT,2,FALSE)</f>
        <v>--/--/--</v>
      </c>
      <c r="E302" s="243" t="str">
        <f>VLOOKUP(C302,'Talente &amp; Stuff'!ER:FT,3,FALSE)</f>
        <v>-</v>
      </c>
      <c r="F302" s="237">
        <f>VLOOKUP(C302,'Talente &amp; Stuff'!ER:FT,4,FALSE)</f>
        <v>0</v>
      </c>
      <c r="G302" s="234">
        <f>VLOOKUP(C302,'Talente &amp; Stuff'!ER:FT,5,FALSE)</f>
        <v>0</v>
      </c>
      <c r="H302" s="234">
        <f>VLOOKUP(C302,'Talente &amp; Stuff'!ER:FT,6,FALSE)</f>
        <v>0</v>
      </c>
      <c r="I302" s="234">
        <f>VLOOKUP(C302,'Talente &amp; Stuff'!ER:FT,7,FALSE)</f>
        <v>0</v>
      </c>
      <c r="J302" s="234">
        <f>VLOOKUP(C302,'Talente &amp; Stuff'!ER:FT,8,FALSE)</f>
        <v>0</v>
      </c>
      <c r="K302" s="234">
        <f>VLOOKUP(C302,'Talente &amp; Stuff'!ER:FT,9,FALSE)</f>
        <v>0</v>
      </c>
      <c r="L302" s="234">
        <f>VLOOKUP(C302,'Talente &amp; Stuff'!ER:FT,10,FALSE)</f>
        <v>0</v>
      </c>
      <c r="M302" s="224">
        <f>VLOOKUP(C302,'Talente &amp; Stuff'!ER:FT,11,FALSE)</f>
        <v>0</v>
      </c>
      <c r="N302" s="223">
        <f>VLOOKUP(C302,'Talente &amp; Stuff'!ER:FT,12,FALSE)</f>
        <v>0</v>
      </c>
      <c r="O302" s="223">
        <f>VLOOKUP(C302,'Talente &amp; Stuff'!ER:FT,13,FALSE)</f>
        <v>0</v>
      </c>
      <c r="P302" s="224">
        <f>VLOOKUP(C302,'Talente &amp; Stuff'!ER:FT,14,FALSE)</f>
        <v>0</v>
      </c>
      <c r="Q302" s="237">
        <f>VLOOKUP(C302,'Talente &amp; Stuff'!ER:FT,15,FALSE)</f>
        <v>0</v>
      </c>
      <c r="R302" s="234">
        <f>VLOOKUP(C302,'Talente &amp; Stuff'!ER:FT,16,FALSE)</f>
        <v>0</v>
      </c>
      <c r="S302" s="224">
        <f>VLOOKUP(C302,'Talente &amp; Stuff'!ER:FT,17,FALSE)</f>
        <v>0</v>
      </c>
      <c r="T302" s="224">
        <f>VLOOKUP(C302,'Talente &amp; Stuff'!ER:FT,18,FALSE)</f>
        <v>0</v>
      </c>
      <c r="U302" s="222">
        <f>VLOOKUP(C302,'Talente &amp; Stuff'!ER:FT,19,FALSE)</f>
        <v>0</v>
      </c>
      <c r="V302" s="223">
        <f>VLOOKUP(C302,'Talente &amp; Stuff'!ER:FT,20,FALSE)</f>
        <v>0</v>
      </c>
      <c r="W302" s="243">
        <f>VLOOKUP(C302,'Talente &amp; Stuff'!ER:FT,21,FALSE)</f>
        <v>0</v>
      </c>
      <c r="X302" s="243">
        <f>VLOOKUP(C302,'Talente &amp; Stuff'!ER:FT,22,FALSE)</f>
        <v>0</v>
      </c>
      <c r="Y302" s="252">
        <f>VLOOKUP(C302,Ausgewählte_Zauber_Zauberbarden,168,FALSE)</f>
        <v>0</v>
      </c>
      <c r="Z302" s="309">
        <f>VLOOKUP(C302,Ausgewählte_Zauber_Zauberbarden,169,FALSE)</f>
        <v>0</v>
      </c>
      <c r="AA302" s="218">
        <f>VLOOKUP(C302,'Talente &amp; Stuff'!ER:FT,25,FALSE)</f>
        <v>0</v>
      </c>
      <c r="AB302" s="242">
        <f>VLOOKUP(C302,'Talente &amp; Stuff'!ER:FT,26,FALSE)</f>
        <v>0</v>
      </c>
      <c r="AC302" s="243">
        <f>VLOOKUP(C302,'Talente &amp; Stuff'!ER:FT,27,FALSE)</f>
        <v>0</v>
      </c>
      <c r="AD302" s="218">
        <f>VLOOKUP(C302,'Talente &amp; Stuff'!ER:FT,28,FALSE)</f>
        <v>0</v>
      </c>
      <c r="AE302" s="343"/>
    </row>
    <row r="303" spans="1:31" s="217" customFormat="1" hidden="1" outlineLevel="2">
      <c r="A303" s="185"/>
      <c r="B303" s="217">
        <v>6</v>
      </c>
      <c r="C303" s="303" t="str">
        <f>Attribute!C303</f>
        <v>---</v>
      </c>
      <c r="D303" s="218" t="str">
        <f>VLOOKUP(C303,'Talente &amp; Stuff'!ER:FT,2,FALSE)</f>
        <v>--/--/--</v>
      </c>
      <c r="E303" s="243" t="str">
        <f>VLOOKUP(C303,'Talente &amp; Stuff'!ER:FT,3,FALSE)</f>
        <v>-</v>
      </c>
      <c r="F303" s="237">
        <f>VLOOKUP(C303,'Talente &amp; Stuff'!ER:FT,4,FALSE)</f>
        <v>0</v>
      </c>
      <c r="G303" s="234">
        <f>VLOOKUP(C303,'Talente &amp; Stuff'!ER:FT,5,FALSE)</f>
        <v>0</v>
      </c>
      <c r="H303" s="234">
        <f>VLOOKUP(C303,'Talente &amp; Stuff'!ER:FT,6,FALSE)</f>
        <v>0</v>
      </c>
      <c r="I303" s="234">
        <f>VLOOKUP(C303,'Talente &amp; Stuff'!ER:FT,7,FALSE)</f>
        <v>0</v>
      </c>
      <c r="J303" s="234">
        <f>VLOOKUP(C303,'Talente &amp; Stuff'!ER:FT,8,FALSE)</f>
        <v>0</v>
      </c>
      <c r="K303" s="234">
        <f>VLOOKUP(C303,'Talente &amp; Stuff'!ER:FT,9,FALSE)</f>
        <v>0</v>
      </c>
      <c r="L303" s="234">
        <f>VLOOKUP(C303,'Talente &amp; Stuff'!ER:FT,10,FALSE)</f>
        <v>0</v>
      </c>
      <c r="M303" s="224">
        <f>VLOOKUP(C303,'Talente &amp; Stuff'!ER:FT,11,FALSE)</f>
        <v>0</v>
      </c>
      <c r="N303" s="223">
        <f>VLOOKUP(C303,'Talente &amp; Stuff'!ER:FT,12,FALSE)</f>
        <v>0</v>
      </c>
      <c r="O303" s="223">
        <f>VLOOKUP(C303,'Talente &amp; Stuff'!ER:FT,13,FALSE)</f>
        <v>0</v>
      </c>
      <c r="P303" s="224">
        <f>VLOOKUP(C303,'Talente &amp; Stuff'!ER:FT,14,FALSE)</f>
        <v>0</v>
      </c>
      <c r="Q303" s="237">
        <f>VLOOKUP(C303,'Talente &amp; Stuff'!ER:FT,15,FALSE)</f>
        <v>0</v>
      </c>
      <c r="R303" s="234">
        <f>VLOOKUP(C303,'Talente &amp; Stuff'!ER:FT,16,FALSE)</f>
        <v>0</v>
      </c>
      <c r="S303" s="224">
        <f>VLOOKUP(C303,'Talente &amp; Stuff'!ER:FT,17,FALSE)</f>
        <v>0</v>
      </c>
      <c r="T303" s="224">
        <f>VLOOKUP(C303,'Talente &amp; Stuff'!ER:FT,18,FALSE)</f>
        <v>0</v>
      </c>
      <c r="U303" s="222">
        <f>VLOOKUP(C303,'Talente &amp; Stuff'!ER:FT,19,FALSE)</f>
        <v>0</v>
      </c>
      <c r="V303" s="223">
        <f>VLOOKUP(C303,'Talente &amp; Stuff'!ER:FT,20,FALSE)</f>
        <v>0</v>
      </c>
      <c r="W303" s="243">
        <f>VLOOKUP(C303,'Talente &amp; Stuff'!ER:FT,21,FALSE)</f>
        <v>0</v>
      </c>
      <c r="X303" s="243">
        <f>VLOOKUP(C303,'Talente &amp; Stuff'!ER:FT,22,FALSE)</f>
        <v>0</v>
      </c>
      <c r="Y303" s="252">
        <f>VLOOKUP(C303,Ausgewählte_Zauber_Zauberbarden,168,FALSE)</f>
        <v>0</v>
      </c>
      <c r="Z303" s="309">
        <f>VLOOKUP(C303,Ausgewählte_Zauber_Zauberbarden,169,FALSE)</f>
        <v>0</v>
      </c>
      <c r="AA303" s="218">
        <f>VLOOKUP(C303,'Talente &amp; Stuff'!ER:FT,25,FALSE)</f>
        <v>0</v>
      </c>
      <c r="AB303" s="242">
        <f>VLOOKUP(C303,'Talente &amp; Stuff'!ER:FT,26,FALSE)</f>
        <v>0</v>
      </c>
      <c r="AC303" s="243">
        <f>VLOOKUP(C303,'Talente &amp; Stuff'!ER:FT,27,FALSE)</f>
        <v>0</v>
      </c>
      <c r="AD303" s="218">
        <f>VLOOKUP(C303,'Talente &amp; Stuff'!ER:FT,28,FALSE)</f>
        <v>0</v>
      </c>
      <c r="AE303" s="343"/>
    </row>
    <row r="304" spans="1:31" s="217" customFormat="1" hidden="1" outlineLevel="2">
      <c r="A304" s="185"/>
      <c r="B304" s="217">
        <v>7</v>
      </c>
      <c r="C304" s="303" t="str">
        <f>Attribute!C304</f>
        <v>---</v>
      </c>
      <c r="D304" s="218" t="str">
        <f>VLOOKUP(C304,'Talente &amp; Stuff'!ER:FT,2,FALSE)</f>
        <v>--/--/--</v>
      </c>
      <c r="E304" s="243" t="str">
        <f>VLOOKUP(C304,'Talente &amp; Stuff'!ER:FT,3,FALSE)</f>
        <v>-</v>
      </c>
      <c r="F304" s="237">
        <f>VLOOKUP(C304,'Talente &amp; Stuff'!ER:FT,4,FALSE)</f>
        <v>0</v>
      </c>
      <c r="G304" s="234">
        <f>VLOOKUP(C304,'Talente &amp; Stuff'!ER:FT,5,FALSE)</f>
        <v>0</v>
      </c>
      <c r="H304" s="234">
        <f>VLOOKUP(C304,'Talente &amp; Stuff'!ER:FT,6,FALSE)</f>
        <v>0</v>
      </c>
      <c r="I304" s="234">
        <f>VLOOKUP(C304,'Talente &amp; Stuff'!ER:FT,7,FALSE)</f>
        <v>0</v>
      </c>
      <c r="J304" s="234">
        <f>VLOOKUP(C304,'Talente &amp; Stuff'!ER:FT,8,FALSE)</f>
        <v>0</v>
      </c>
      <c r="K304" s="234">
        <f>VLOOKUP(C304,'Talente &amp; Stuff'!ER:FT,9,FALSE)</f>
        <v>0</v>
      </c>
      <c r="L304" s="234">
        <f>VLOOKUP(C304,'Talente &amp; Stuff'!ER:FT,10,FALSE)</f>
        <v>0</v>
      </c>
      <c r="M304" s="224">
        <f>VLOOKUP(C304,'Talente &amp; Stuff'!ER:FT,11,FALSE)</f>
        <v>0</v>
      </c>
      <c r="N304" s="223">
        <f>VLOOKUP(C304,'Talente &amp; Stuff'!ER:FT,12,FALSE)</f>
        <v>0</v>
      </c>
      <c r="O304" s="223">
        <f>VLOOKUP(C304,'Talente &amp; Stuff'!ER:FT,13,FALSE)</f>
        <v>0</v>
      </c>
      <c r="P304" s="224">
        <f>VLOOKUP(C304,'Talente &amp; Stuff'!ER:FT,14,FALSE)</f>
        <v>0</v>
      </c>
      <c r="Q304" s="237">
        <f>VLOOKUP(C304,'Talente &amp; Stuff'!ER:FT,15,FALSE)</f>
        <v>0</v>
      </c>
      <c r="R304" s="234">
        <f>VLOOKUP(C304,'Talente &amp; Stuff'!ER:FT,16,FALSE)</f>
        <v>0</v>
      </c>
      <c r="S304" s="224">
        <f>VLOOKUP(C304,'Talente &amp; Stuff'!ER:FT,17,FALSE)</f>
        <v>0</v>
      </c>
      <c r="T304" s="224">
        <f>VLOOKUP(C304,'Talente &amp; Stuff'!ER:FT,18,FALSE)</f>
        <v>0</v>
      </c>
      <c r="U304" s="222">
        <f>VLOOKUP(C304,'Talente &amp; Stuff'!ER:FT,19,FALSE)</f>
        <v>0</v>
      </c>
      <c r="V304" s="223">
        <f>VLOOKUP(C304,'Talente &amp; Stuff'!ER:FT,20,FALSE)</f>
        <v>0</v>
      </c>
      <c r="W304" s="243">
        <f>VLOOKUP(C304,'Talente &amp; Stuff'!ER:FT,21,FALSE)</f>
        <v>0</v>
      </c>
      <c r="X304" s="243">
        <f>VLOOKUP(C304,'Talente &amp; Stuff'!ER:FT,22,FALSE)</f>
        <v>0</v>
      </c>
      <c r="Y304" s="252">
        <f>VLOOKUP(C304,Ausgewählte_Zauber_Zauberbarden,168,FALSE)</f>
        <v>0</v>
      </c>
      <c r="Z304" s="309">
        <f>VLOOKUP(C304,Ausgewählte_Zauber_Zauberbarden,169,FALSE)</f>
        <v>0</v>
      </c>
      <c r="AA304" s="218">
        <f>VLOOKUP(C304,'Talente &amp; Stuff'!ER:FT,25,FALSE)</f>
        <v>0</v>
      </c>
      <c r="AB304" s="242">
        <f>VLOOKUP(C304,'Talente &amp; Stuff'!ER:FT,26,FALSE)</f>
        <v>0</v>
      </c>
      <c r="AC304" s="243">
        <f>VLOOKUP(C304,'Talente &amp; Stuff'!ER:FT,27,FALSE)</f>
        <v>0</v>
      </c>
      <c r="AD304" s="218">
        <f>VLOOKUP(C304,'Talente &amp; Stuff'!ER:FT,28,FALSE)</f>
        <v>0</v>
      </c>
      <c r="AE304" s="343"/>
    </row>
    <row r="305" spans="1:31" s="217" customFormat="1" hidden="1" outlineLevel="2">
      <c r="A305" s="185"/>
      <c r="B305" s="217">
        <v>8</v>
      </c>
      <c r="C305" s="303" t="str">
        <f>Attribute!C305</f>
        <v>---</v>
      </c>
      <c r="D305" s="218" t="str">
        <f>VLOOKUP(C305,'Talente &amp; Stuff'!ER:FT,2,FALSE)</f>
        <v>--/--/--</v>
      </c>
      <c r="E305" s="243" t="str">
        <f>VLOOKUP(C305,'Talente &amp; Stuff'!ER:FT,3,FALSE)</f>
        <v>-</v>
      </c>
      <c r="F305" s="237">
        <f>VLOOKUP(C305,'Talente &amp; Stuff'!ER:FT,4,FALSE)</f>
        <v>0</v>
      </c>
      <c r="G305" s="234">
        <f>VLOOKUP(C305,'Talente &amp; Stuff'!ER:FT,5,FALSE)</f>
        <v>0</v>
      </c>
      <c r="H305" s="234">
        <f>VLOOKUP(C305,'Talente &amp; Stuff'!ER:FT,6,FALSE)</f>
        <v>0</v>
      </c>
      <c r="I305" s="234">
        <f>VLOOKUP(C305,'Talente &amp; Stuff'!ER:FT,7,FALSE)</f>
        <v>0</v>
      </c>
      <c r="J305" s="234">
        <f>VLOOKUP(C305,'Talente &amp; Stuff'!ER:FT,8,FALSE)</f>
        <v>0</v>
      </c>
      <c r="K305" s="234">
        <f>VLOOKUP(C305,'Talente &amp; Stuff'!ER:FT,9,FALSE)</f>
        <v>0</v>
      </c>
      <c r="L305" s="234">
        <f>VLOOKUP(C305,'Talente &amp; Stuff'!ER:FT,10,FALSE)</f>
        <v>0</v>
      </c>
      <c r="M305" s="224">
        <f>VLOOKUP(C305,'Talente &amp; Stuff'!ER:FT,11,FALSE)</f>
        <v>0</v>
      </c>
      <c r="N305" s="223">
        <f>VLOOKUP(C305,'Talente &amp; Stuff'!ER:FT,12,FALSE)</f>
        <v>0</v>
      </c>
      <c r="O305" s="223">
        <f>VLOOKUP(C305,'Talente &amp; Stuff'!ER:FT,13,FALSE)</f>
        <v>0</v>
      </c>
      <c r="P305" s="224">
        <f>VLOOKUP(C305,'Talente &amp; Stuff'!ER:FT,14,FALSE)</f>
        <v>0</v>
      </c>
      <c r="Q305" s="237">
        <f>VLOOKUP(C305,'Talente &amp; Stuff'!ER:FT,15,FALSE)</f>
        <v>0</v>
      </c>
      <c r="R305" s="234">
        <f>VLOOKUP(C305,'Talente &amp; Stuff'!ER:FT,16,FALSE)</f>
        <v>0</v>
      </c>
      <c r="S305" s="224">
        <f>VLOOKUP(C305,'Talente &amp; Stuff'!ER:FT,17,FALSE)</f>
        <v>0</v>
      </c>
      <c r="T305" s="224">
        <f>VLOOKUP(C305,'Talente &amp; Stuff'!ER:FT,18,FALSE)</f>
        <v>0</v>
      </c>
      <c r="U305" s="222">
        <f>VLOOKUP(C305,'Talente &amp; Stuff'!ER:FT,19,FALSE)</f>
        <v>0</v>
      </c>
      <c r="V305" s="223">
        <f>VLOOKUP(C305,'Talente &amp; Stuff'!ER:FT,20,FALSE)</f>
        <v>0</v>
      </c>
      <c r="W305" s="243">
        <f>VLOOKUP(C305,'Talente &amp; Stuff'!ER:FT,21,FALSE)</f>
        <v>0</v>
      </c>
      <c r="X305" s="243">
        <f>VLOOKUP(C305,'Talente &amp; Stuff'!ER:FT,22,FALSE)</f>
        <v>0</v>
      </c>
      <c r="Y305" s="252">
        <f>VLOOKUP(C305,Ausgewählte_Zauber_Zauberbarden,168,FALSE)</f>
        <v>0</v>
      </c>
      <c r="Z305" s="309">
        <f>VLOOKUP(C305,Ausgewählte_Zauber_Zauberbarden,169,FALSE)</f>
        <v>0</v>
      </c>
      <c r="AA305" s="218">
        <f>VLOOKUP(C305,'Talente &amp; Stuff'!ER:FT,25,FALSE)</f>
        <v>0</v>
      </c>
      <c r="AB305" s="242">
        <f>VLOOKUP(C305,'Talente &amp; Stuff'!ER:FT,26,FALSE)</f>
        <v>0</v>
      </c>
      <c r="AC305" s="243">
        <f>VLOOKUP(C305,'Talente &amp; Stuff'!ER:FT,27,FALSE)</f>
        <v>0</v>
      </c>
      <c r="AD305" s="218">
        <f>VLOOKUP(C305,'Talente &amp; Stuff'!ER:FT,28,FALSE)</f>
        <v>0</v>
      </c>
      <c r="AE305" s="343"/>
    </row>
    <row r="306" spans="1:31" s="217" customFormat="1" hidden="1" outlineLevel="2">
      <c r="A306" s="185"/>
      <c r="B306" s="217">
        <v>9</v>
      </c>
      <c r="C306" s="303" t="str">
        <f>Attribute!C306</f>
        <v>---</v>
      </c>
      <c r="D306" s="218" t="str">
        <f>VLOOKUP(C306,'Talente &amp; Stuff'!ER:FT,2,FALSE)</f>
        <v>--/--/--</v>
      </c>
      <c r="E306" s="243" t="str">
        <f>VLOOKUP(C306,'Talente &amp; Stuff'!ER:FT,3,FALSE)</f>
        <v>-</v>
      </c>
      <c r="F306" s="237">
        <f>VLOOKUP(C306,'Talente &amp; Stuff'!ER:FT,4,FALSE)</f>
        <v>0</v>
      </c>
      <c r="G306" s="234">
        <f>VLOOKUP(C306,'Talente &amp; Stuff'!ER:FT,5,FALSE)</f>
        <v>0</v>
      </c>
      <c r="H306" s="234">
        <f>VLOOKUP(C306,'Talente &amp; Stuff'!ER:FT,6,FALSE)</f>
        <v>0</v>
      </c>
      <c r="I306" s="234">
        <f>VLOOKUP(C306,'Talente &amp; Stuff'!ER:FT,7,FALSE)</f>
        <v>0</v>
      </c>
      <c r="J306" s="234">
        <f>VLOOKUP(C306,'Talente &amp; Stuff'!ER:FT,8,FALSE)</f>
        <v>0</v>
      </c>
      <c r="K306" s="234">
        <f>VLOOKUP(C306,'Talente &amp; Stuff'!ER:FT,9,FALSE)</f>
        <v>0</v>
      </c>
      <c r="L306" s="234">
        <f>VLOOKUP(C306,'Talente &amp; Stuff'!ER:FT,10,FALSE)</f>
        <v>0</v>
      </c>
      <c r="M306" s="224">
        <f>VLOOKUP(C306,'Talente &amp; Stuff'!ER:FT,11,FALSE)</f>
        <v>0</v>
      </c>
      <c r="N306" s="223">
        <f>VLOOKUP(C306,'Talente &amp; Stuff'!ER:FT,12,FALSE)</f>
        <v>0</v>
      </c>
      <c r="O306" s="223">
        <f>VLOOKUP(C306,'Talente &amp; Stuff'!ER:FT,13,FALSE)</f>
        <v>0</v>
      </c>
      <c r="P306" s="224">
        <f>VLOOKUP(C306,'Talente &amp; Stuff'!ER:FT,14,FALSE)</f>
        <v>0</v>
      </c>
      <c r="Q306" s="237">
        <f>VLOOKUP(C306,'Talente &amp; Stuff'!ER:FT,15,FALSE)</f>
        <v>0</v>
      </c>
      <c r="R306" s="234">
        <f>VLOOKUP(C306,'Talente &amp; Stuff'!ER:FT,16,FALSE)</f>
        <v>0</v>
      </c>
      <c r="S306" s="224">
        <f>VLOOKUP(C306,'Talente &amp; Stuff'!ER:FT,17,FALSE)</f>
        <v>0</v>
      </c>
      <c r="T306" s="224">
        <f>VLOOKUP(C306,'Talente &amp; Stuff'!ER:FT,18,FALSE)</f>
        <v>0</v>
      </c>
      <c r="U306" s="222">
        <f>VLOOKUP(C306,'Talente &amp; Stuff'!ER:FT,19,FALSE)</f>
        <v>0</v>
      </c>
      <c r="V306" s="223">
        <f>VLOOKUP(C306,'Talente &amp; Stuff'!ER:FT,20,FALSE)</f>
        <v>0</v>
      </c>
      <c r="W306" s="243">
        <f>VLOOKUP(C306,'Talente &amp; Stuff'!ER:FT,21,FALSE)</f>
        <v>0</v>
      </c>
      <c r="X306" s="243">
        <f>VLOOKUP(C306,'Talente &amp; Stuff'!ER:FT,22,FALSE)</f>
        <v>0</v>
      </c>
      <c r="Y306" s="252">
        <f>VLOOKUP(C306,Ausgewählte_Zauber_Zauberbarden,168,FALSE)</f>
        <v>0</v>
      </c>
      <c r="Z306" s="309">
        <f>VLOOKUP(C306,Ausgewählte_Zauber_Zauberbarden,169,FALSE)</f>
        <v>0</v>
      </c>
      <c r="AA306" s="218">
        <f>VLOOKUP(C306,'Talente &amp; Stuff'!ER:FT,25,FALSE)</f>
        <v>0</v>
      </c>
      <c r="AB306" s="242">
        <f>VLOOKUP(C306,'Talente &amp; Stuff'!ER:FT,26,FALSE)</f>
        <v>0</v>
      </c>
      <c r="AC306" s="243">
        <f>VLOOKUP(C306,'Talente &amp; Stuff'!ER:FT,27,FALSE)</f>
        <v>0</v>
      </c>
      <c r="AD306" s="218">
        <f>VLOOKUP(C306,'Talente &amp; Stuff'!ER:FT,28,FALSE)</f>
        <v>0</v>
      </c>
      <c r="AE306" s="343"/>
    </row>
    <row r="307" spans="1:31" s="217" customFormat="1" hidden="1" outlineLevel="2">
      <c r="A307" s="185"/>
      <c r="B307" s="217">
        <v>10</v>
      </c>
      <c r="C307" s="303" t="str">
        <f>Attribute!C307</f>
        <v>---</v>
      </c>
      <c r="D307" s="218" t="str">
        <f>VLOOKUP(C307,'Talente &amp; Stuff'!ER:FT,2,FALSE)</f>
        <v>--/--/--</v>
      </c>
      <c r="E307" s="243" t="str">
        <f>VLOOKUP(C307,'Talente &amp; Stuff'!ER:FT,3,FALSE)</f>
        <v>-</v>
      </c>
      <c r="F307" s="237">
        <f>VLOOKUP(C307,'Talente &amp; Stuff'!ER:FT,4,FALSE)</f>
        <v>0</v>
      </c>
      <c r="G307" s="234">
        <f>VLOOKUP(C307,'Talente &amp; Stuff'!ER:FT,5,FALSE)</f>
        <v>0</v>
      </c>
      <c r="H307" s="234">
        <f>VLOOKUP(C307,'Talente &amp; Stuff'!ER:FT,6,FALSE)</f>
        <v>0</v>
      </c>
      <c r="I307" s="234">
        <f>VLOOKUP(C307,'Talente &amp; Stuff'!ER:FT,7,FALSE)</f>
        <v>0</v>
      </c>
      <c r="J307" s="234">
        <f>VLOOKUP(C307,'Talente &amp; Stuff'!ER:FT,8,FALSE)</f>
        <v>0</v>
      </c>
      <c r="K307" s="234">
        <f>VLOOKUP(C307,'Talente &amp; Stuff'!ER:FT,9,FALSE)</f>
        <v>0</v>
      </c>
      <c r="L307" s="234">
        <f>VLOOKUP(C307,'Talente &amp; Stuff'!ER:FT,10,FALSE)</f>
        <v>0</v>
      </c>
      <c r="M307" s="224">
        <f>VLOOKUP(C307,'Talente &amp; Stuff'!ER:FT,11,FALSE)</f>
        <v>0</v>
      </c>
      <c r="N307" s="223">
        <f>VLOOKUP(C307,'Talente &amp; Stuff'!ER:FT,12,FALSE)</f>
        <v>0</v>
      </c>
      <c r="O307" s="223">
        <f>VLOOKUP(C307,'Talente &amp; Stuff'!ER:FT,13,FALSE)</f>
        <v>0</v>
      </c>
      <c r="P307" s="224">
        <f>VLOOKUP(C307,'Talente &amp; Stuff'!ER:FT,14,FALSE)</f>
        <v>0</v>
      </c>
      <c r="Q307" s="237">
        <f>VLOOKUP(C307,'Talente &amp; Stuff'!ER:FT,15,FALSE)</f>
        <v>0</v>
      </c>
      <c r="R307" s="234">
        <f>VLOOKUP(C307,'Talente &amp; Stuff'!ER:FT,16,FALSE)</f>
        <v>0</v>
      </c>
      <c r="S307" s="224">
        <f>VLOOKUP(C307,'Talente &amp; Stuff'!ER:FT,17,FALSE)</f>
        <v>0</v>
      </c>
      <c r="T307" s="224">
        <f>VLOOKUP(C307,'Talente &amp; Stuff'!ER:FT,18,FALSE)</f>
        <v>0</v>
      </c>
      <c r="U307" s="222">
        <f>VLOOKUP(C307,'Talente &amp; Stuff'!ER:FT,19,FALSE)</f>
        <v>0</v>
      </c>
      <c r="V307" s="223">
        <f>VLOOKUP(C307,'Talente &amp; Stuff'!ER:FT,20,FALSE)</f>
        <v>0</v>
      </c>
      <c r="W307" s="243">
        <f>VLOOKUP(C307,'Talente &amp; Stuff'!ER:FT,21,FALSE)</f>
        <v>0</v>
      </c>
      <c r="X307" s="243">
        <f>VLOOKUP(C307,'Talente &amp; Stuff'!ER:FT,22,FALSE)</f>
        <v>0</v>
      </c>
      <c r="Y307" s="252">
        <f>VLOOKUP(C307,Ausgewählte_Zauber_Zauberbarden,168,FALSE)</f>
        <v>0</v>
      </c>
      <c r="Z307" s="309">
        <f>VLOOKUP(C307,Ausgewählte_Zauber_Zauberbarden,169,FALSE)</f>
        <v>0</v>
      </c>
      <c r="AA307" s="218">
        <f>VLOOKUP(C307,'Talente &amp; Stuff'!ER:FT,25,FALSE)</f>
        <v>0</v>
      </c>
      <c r="AB307" s="242">
        <f>VLOOKUP(C307,'Talente &amp; Stuff'!ER:FT,26,FALSE)</f>
        <v>0</v>
      </c>
      <c r="AC307" s="243">
        <f>VLOOKUP(C307,'Talente &amp; Stuff'!ER:FT,27,FALSE)</f>
        <v>0</v>
      </c>
      <c r="AD307" s="218">
        <f>VLOOKUP(C307,'Talente &amp; Stuff'!ER:FT,28,FALSE)</f>
        <v>0</v>
      </c>
      <c r="AE307" s="343"/>
    </row>
    <row r="308" spans="1:31" s="217" customFormat="1" hidden="1" outlineLevel="2">
      <c r="A308" s="185"/>
      <c r="B308" s="217">
        <v>11</v>
      </c>
      <c r="C308" s="303" t="str">
        <f>Attribute!C308</f>
        <v>---</v>
      </c>
      <c r="D308" s="218" t="str">
        <f>VLOOKUP(C308,'Talente &amp; Stuff'!ER:FT,2,FALSE)</f>
        <v>--/--/--</v>
      </c>
      <c r="E308" s="243" t="str">
        <f>VLOOKUP(C308,'Talente &amp; Stuff'!ER:FT,3,FALSE)</f>
        <v>-</v>
      </c>
      <c r="F308" s="237">
        <f>VLOOKUP(C308,'Talente &amp; Stuff'!ER:FT,4,FALSE)</f>
        <v>0</v>
      </c>
      <c r="G308" s="234">
        <f>VLOOKUP(C308,'Talente &amp; Stuff'!ER:FT,5,FALSE)</f>
        <v>0</v>
      </c>
      <c r="H308" s="234">
        <f>VLOOKUP(C308,'Talente &amp; Stuff'!ER:FT,6,FALSE)</f>
        <v>0</v>
      </c>
      <c r="I308" s="234">
        <f>VLOOKUP(C308,'Talente &amp; Stuff'!ER:FT,7,FALSE)</f>
        <v>0</v>
      </c>
      <c r="J308" s="234">
        <f>VLOOKUP(C308,'Talente &amp; Stuff'!ER:FT,8,FALSE)</f>
        <v>0</v>
      </c>
      <c r="K308" s="234">
        <f>VLOOKUP(C308,'Talente &amp; Stuff'!ER:FT,9,FALSE)</f>
        <v>0</v>
      </c>
      <c r="L308" s="234">
        <f>VLOOKUP(C308,'Talente &amp; Stuff'!ER:FT,10,FALSE)</f>
        <v>0</v>
      </c>
      <c r="M308" s="224">
        <f>VLOOKUP(C308,'Talente &amp; Stuff'!ER:FT,11,FALSE)</f>
        <v>0</v>
      </c>
      <c r="N308" s="223">
        <f>VLOOKUP(C308,'Talente &amp; Stuff'!ER:FT,12,FALSE)</f>
        <v>0</v>
      </c>
      <c r="O308" s="223">
        <f>VLOOKUP(C308,'Talente &amp; Stuff'!ER:FT,13,FALSE)</f>
        <v>0</v>
      </c>
      <c r="P308" s="224">
        <f>VLOOKUP(C308,'Talente &amp; Stuff'!ER:FT,14,FALSE)</f>
        <v>0</v>
      </c>
      <c r="Q308" s="237">
        <f>VLOOKUP(C308,'Talente &amp; Stuff'!ER:FT,15,FALSE)</f>
        <v>0</v>
      </c>
      <c r="R308" s="234">
        <f>VLOOKUP(C308,'Talente &amp; Stuff'!ER:FT,16,FALSE)</f>
        <v>0</v>
      </c>
      <c r="S308" s="224">
        <f>VLOOKUP(C308,'Talente &amp; Stuff'!ER:FT,17,FALSE)</f>
        <v>0</v>
      </c>
      <c r="T308" s="224">
        <f>VLOOKUP(C308,'Talente &amp; Stuff'!ER:FT,18,FALSE)</f>
        <v>0</v>
      </c>
      <c r="U308" s="222">
        <f>VLOOKUP(C308,'Talente &amp; Stuff'!ER:FT,19,FALSE)</f>
        <v>0</v>
      </c>
      <c r="V308" s="223">
        <f>VLOOKUP(C308,'Talente &amp; Stuff'!ER:FT,20,FALSE)</f>
        <v>0</v>
      </c>
      <c r="W308" s="243">
        <f>VLOOKUP(C308,'Talente &amp; Stuff'!ER:FT,21,FALSE)</f>
        <v>0</v>
      </c>
      <c r="X308" s="243">
        <f>VLOOKUP(C308,'Talente &amp; Stuff'!ER:FT,22,FALSE)</f>
        <v>0</v>
      </c>
      <c r="Y308" s="252">
        <f>VLOOKUP(C308,Ausgewählte_Zauber_Zauberbarden,168,FALSE)</f>
        <v>0</v>
      </c>
      <c r="Z308" s="309">
        <f>VLOOKUP(C308,Ausgewählte_Zauber_Zauberbarden,169,FALSE)</f>
        <v>0</v>
      </c>
      <c r="AA308" s="218">
        <f>VLOOKUP(C308,'Talente &amp; Stuff'!ER:FT,25,FALSE)</f>
        <v>0</v>
      </c>
      <c r="AB308" s="242">
        <f>VLOOKUP(C308,'Talente &amp; Stuff'!ER:FT,26,FALSE)</f>
        <v>0</v>
      </c>
      <c r="AC308" s="243">
        <f>VLOOKUP(C308,'Talente &amp; Stuff'!ER:FT,27,FALSE)</f>
        <v>0</v>
      </c>
      <c r="AD308" s="218">
        <f>VLOOKUP(C308,'Talente &amp; Stuff'!ER:FT,28,FALSE)</f>
        <v>0</v>
      </c>
      <c r="AE308" s="343"/>
    </row>
    <row r="309" spans="1:31" s="217" customFormat="1" hidden="1" outlineLevel="2">
      <c r="A309" s="185"/>
      <c r="B309" s="217">
        <v>12</v>
      </c>
      <c r="C309" s="303" t="str">
        <f>Attribute!C309</f>
        <v>---</v>
      </c>
      <c r="D309" s="218" t="str">
        <f>VLOOKUP(C309,'Talente &amp; Stuff'!ER:FT,2,FALSE)</f>
        <v>--/--/--</v>
      </c>
      <c r="E309" s="243" t="str">
        <f>VLOOKUP(C309,'Talente &amp; Stuff'!ER:FT,3,FALSE)</f>
        <v>-</v>
      </c>
      <c r="F309" s="237">
        <f>VLOOKUP(C309,'Talente &amp; Stuff'!ER:FT,4,FALSE)</f>
        <v>0</v>
      </c>
      <c r="G309" s="234">
        <f>VLOOKUP(C309,'Talente &amp; Stuff'!ER:FT,5,FALSE)</f>
        <v>0</v>
      </c>
      <c r="H309" s="234">
        <f>VLOOKUP(C309,'Talente &amp; Stuff'!ER:FT,6,FALSE)</f>
        <v>0</v>
      </c>
      <c r="I309" s="234">
        <f>VLOOKUP(C309,'Talente &amp; Stuff'!ER:FT,7,FALSE)</f>
        <v>0</v>
      </c>
      <c r="J309" s="234">
        <f>VLOOKUP(C309,'Talente &amp; Stuff'!ER:FT,8,FALSE)</f>
        <v>0</v>
      </c>
      <c r="K309" s="234">
        <f>VLOOKUP(C309,'Talente &amp; Stuff'!ER:FT,9,FALSE)</f>
        <v>0</v>
      </c>
      <c r="L309" s="234">
        <f>VLOOKUP(C309,'Talente &amp; Stuff'!ER:FT,10,FALSE)</f>
        <v>0</v>
      </c>
      <c r="M309" s="224">
        <f>VLOOKUP(C309,'Talente &amp; Stuff'!ER:FT,11,FALSE)</f>
        <v>0</v>
      </c>
      <c r="N309" s="223">
        <f>VLOOKUP(C309,'Talente &amp; Stuff'!ER:FT,12,FALSE)</f>
        <v>0</v>
      </c>
      <c r="O309" s="223">
        <f>VLOOKUP(C309,'Talente &amp; Stuff'!ER:FT,13,FALSE)</f>
        <v>0</v>
      </c>
      <c r="P309" s="224">
        <f>VLOOKUP(C309,'Talente &amp; Stuff'!ER:FT,14,FALSE)</f>
        <v>0</v>
      </c>
      <c r="Q309" s="237">
        <f>VLOOKUP(C309,'Talente &amp; Stuff'!ER:FT,15,FALSE)</f>
        <v>0</v>
      </c>
      <c r="R309" s="234">
        <f>VLOOKUP(C309,'Talente &amp; Stuff'!ER:FT,16,FALSE)</f>
        <v>0</v>
      </c>
      <c r="S309" s="224">
        <f>VLOOKUP(C309,'Talente &amp; Stuff'!ER:FT,17,FALSE)</f>
        <v>0</v>
      </c>
      <c r="T309" s="224">
        <f>VLOOKUP(C309,'Talente &amp; Stuff'!ER:FT,18,FALSE)</f>
        <v>0</v>
      </c>
      <c r="U309" s="222">
        <f>VLOOKUP(C309,'Talente &amp; Stuff'!ER:FT,19,FALSE)</f>
        <v>0</v>
      </c>
      <c r="V309" s="223">
        <f>VLOOKUP(C309,'Talente &amp; Stuff'!ER:FT,20,FALSE)</f>
        <v>0</v>
      </c>
      <c r="W309" s="243">
        <f>VLOOKUP(C309,'Talente &amp; Stuff'!ER:FT,21,FALSE)</f>
        <v>0</v>
      </c>
      <c r="X309" s="243">
        <f>VLOOKUP(C309,'Talente &amp; Stuff'!ER:FT,22,FALSE)</f>
        <v>0</v>
      </c>
      <c r="Y309" s="252">
        <f>VLOOKUP(C309,Ausgewählte_Zauber_Zauberbarden,168,FALSE)</f>
        <v>0</v>
      </c>
      <c r="Z309" s="309">
        <f>VLOOKUP(C309,Ausgewählte_Zauber_Zauberbarden,169,FALSE)</f>
        <v>0</v>
      </c>
      <c r="AA309" s="218">
        <f>VLOOKUP(C309,'Talente &amp; Stuff'!ER:FT,25,FALSE)</f>
        <v>0</v>
      </c>
      <c r="AB309" s="242">
        <f>VLOOKUP(C309,'Talente &amp; Stuff'!ER:FT,26,FALSE)</f>
        <v>0</v>
      </c>
      <c r="AC309" s="243">
        <f>VLOOKUP(C309,'Talente &amp; Stuff'!ER:FT,27,FALSE)</f>
        <v>0</v>
      </c>
      <c r="AD309" s="218">
        <f>VLOOKUP(C309,'Talente &amp; Stuff'!ER:FT,28,FALSE)</f>
        <v>0</v>
      </c>
      <c r="AE309" s="343"/>
    </row>
    <row r="310" spans="1:31" s="217" customFormat="1" hidden="1" outlineLevel="2">
      <c r="A310" s="185"/>
      <c r="B310" s="217">
        <v>13</v>
      </c>
      <c r="C310" s="303" t="str">
        <f>Attribute!C310</f>
        <v>---</v>
      </c>
      <c r="D310" s="218" t="str">
        <f>VLOOKUP(C310,'Talente &amp; Stuff'!ER:FT,2,FALSE)</f>
        <v>--/--/--</v>
      </c>
      <c r="E310" s="243" t="str">
        <f>VLOOKUP(C310,'Talente &amp; Stuff'!ER:FT,3,FALSE)</f>
        <v>-</v>
      </c>
      <c r="F310" s="237">
        <f>VLOOKUP(C310,'Talente &amp; Stuff'!ER:FT,4,FALSE)</f>
        <v>0</v>
      </c>
      <c r="G310" s="234">
        <f>VLOOKUP(C310,'Talente &amp; Stuff'!ER:FT,5,FALSE)</f>
        <v>0</v>
      </c>
      <c r="H310" s="234">
        <f>VLOOKUP(C310,'Talente &amp; Stuff'!ER:FT,6,FALSE)</f>
        <v>0</v>
      </c>
      <c r="I310" s="234">
        <f>VLOOKUP(C310,'Talente &amp; Stuff'!ER:FT,7,FALSE)</f>
        <v>0</v>
      </c>
      <c r="J310" s="234">
        <f>VLOOKUP(C310,'Talente &amp; Stuff'!ER:FT,8,FALSE)</f>
        <v>0</v>
      </c>
      <c r="K310" s="234">
        <f>VLOOKUP(C310,'Talente &amp; Stuff'!ER:FT,9,FALSE)</f>
        <v>0</v>
      </c>
      <c r="L310" s="234">
        <f>VLOOKUP(C310,'Talente &amp; Stuff'!ER:FT,10,FALSE)</f>
        <v>0</v>
      </c>
      <c r="M310" s="224">
        <f>VLOOKUP(C310,'Talente &amp; Stuff'!ER:FT,11,FALSE)</f>
        <v>0</v>
      </c>
      <c r="N310" s="223">
        <f>VLOOKUP(C310,'Talente &amp; Stuff'!ER:FT,12,FALSE)</f>
        <v>0</v>
      </c>
      <c r="O310" s="223">
        <f>VLOOKUP(C310,'Talente &amp; Stuff'!ER:FT,13,FALSE)</f>
        <v>0</v>
      </c>
      <c r="P310" s="224">
        <f>VLOOKUP(C310,'Talente &amp; Stuff'!ER:FT,14,FALSE)</f>
        <v>0</v>
      </c>
      <c r="Q310" s="237">
        <f>VLOOKUP(C310,'Talente &amp; Stuff'!ER:FT,15,FALSE)</f>
        <v>0</v>
      </c>
      <c r="R310" s="234">
        <f>VLOOKUP(C310,'Talente &amp; Stuff'!ER:FT,16,FALSE)</f>
        <v>0</v>
      </c>
      <c r="S310" s="224">
        <f>VLOOKUP(C310,'Talente &amp; Stuff'!ER:FT,17,FALSE)</f>
        <v>0</v>
      </c>
      <c r="T310" s="224">
        <f>VLOOKUP(C310,'Talente &amp; Stuff'!ER:FT,18,FALSE)</f>
        <v>0</v>
      </c>
      <c r="U310" s="222">
        <f>VLOOKUP(C310,'Talente &amp; Stuff'!ER:FT,19,FALSE)</f>
        <v>0</v>
      </c>
      <c r="V310" s="223">
        <f>VLOOKUP(C310,'Talente &amp; Stuff'!ER:FT,20,FALSE)</f>
        <v>0</v>
      </c>
      <c r="W310" s="243">
        <f>VLOOKUP(C310,'Talente &amp; Stuff'!ER:FT,21,FALSE)</f>
        <v>0</v>
      </c>
      <c r="X310" s="243">
        <f>VLOOKUP(C310,'Talente &amp; Stuff'!ER:FT,22,FALSE)</f>
        <v>0</v>
      </c>
      <c r="Y310" s="252">
        <f>VLOOKUP(C310,Ausgewählte_Zauber_Zauberbarden,168,FALSE)</f>
        <v>0</v>
      </c>
      <c r="Z310" s="309">
        <f>VLOOKUP(C310,Ausgewählte_Zauber_Zauberbarden,169,FALSE)</f>
        <v>0</v>
      </c>
      <c r="AA310" s="218">
        <f>VLOOKUP(C310,'Talente &amp; Stuff'!ER:FT,25,FALSE)</f>
        <v>0</v>
      </c>
      <c r="AB310" s="242">
        <f>VLOOKUP(C310,'Talente &amp; Stuff'!ER:FT,26,FALSE)</f>
        <v>0</v>
      </c>
      <c r="AC310" s="243">
        <f>VLOOKUP(C310,'Talente &amp; Stuff'!ER:FT,27,FALSE)</f>
        <v>0</v>
      </c>
      <c r="AD310" s="218">
        <f>VLOOKUP(C310,'Talente &amp; Stuff'!ER:FT,28,FALSE)</f>
        <v>0</v>
      </c>
      <c r="AE310" s="343"/>
    </row>
    <row r="311" spans="1:31" s="217" customFormat="1" hidden="1" outlineLevel="2">
      <c r="A311" s="185"/>
      <c r="B311" s="217">
        <v>14</v>
      </c>
      <c r="C311" s="303" t="str">
        <f>Attribute!C311</f>
        <v>---</v>
      </c>
      <c r="D311" s="218" t="str">
        <f>VLOOKUP(C311,'Talente &amp; Stuff'!ER:FT,2,FALSE)</f>
        <v>--/--/--</v>
      </c>
      <c r="E311" s="243" t="str">
        <f>VLOOKUP(C311,'Talente &amp; Stuff'!ER:FT,3,FALSE)</f>
        <v>-</v>
      </c>
      <c r="F311" s="237">
        <f>VLOOKUP(C311,'Talente &amp; Stuff'!ER:FT,4,FALSE)</f>
        <v>0</v>
      </c>
      <c r="G311" s="234">
        <f>VLOOKUP(C311,'Talente &amp; Stuff'!ER:FT,5,FALSE)</f>
        <v>0</v>
      </c>
      <c r="H311" s="234">
        <f>VLOOKUP(C311,'Talente &amp; Stuff'!ER:FT,6,FALSE)</f>
        <v>0</v>
      </c>
      <c r="I311" s="234">
        <f>VLOOKUP(C311,'Talente &amp; Stuff'!ER:FT,7,FALSE)</f>
        <v>0</v>
      </c>
      <c r="J311" s="234">
        <f>VLOOKUP(C311,'Talente &amp; Stuff'!ER:FT,8,FALSE)</f>
        <v>0</v>
      </c>
      <c r="K311" s="234">
        <f>VLOOKUP(C311,'Talente &amp; Stuff'!ER:FT,9,FALSE)</f>
        <v>0</v>
      </c>
      <c r="L311" s="234">
        <f>VLOOKUP(C311,'Talente &amp; Stuff'!ER:FT,10,FALSE)</f>
        <v>0</v>
      </c>
      <c r="M311" s="224">
        <f>VLOOKUP(C311,'Talente &amp; Stuff'!ER:FT,11,FALSE)</f>
        <v>0</v>
      </c>
      <c r="N311" s="223">
        <f>VLOOKUP(C311,'Talente &amp; Stuff'!ER:FT,12,FALSE)</f>
        <v>0</v>
      </c>
      <c r="O311" s="223">
        <f>VLOOKUP(C311,'Talente &amp; Stuff'!ER:FT,13,FALSE)</f>
        <v>0</v>
      </c>
      <c r="P311" s="224">
        <f>VLOOKUP(C311,'Talente &amp; Stuff'!ER:FT,14,FALSE)</f>
        <v>0</v>
      </c>
      <c r="Q311" s="237">
        <f>VLOOKUP(C311,'Talente &amp; Stuff'!ER:FT,15,FALSE)</f>
        <v>0</v>
      </c>
      <c r="R311" s="234">
        <f>VLOOKUP(C311,'Talente &amp; Stuff'!ER:FT,16,FALSE)</f>
        <v>0</v>
      </c>
      <c r="S311" s="224">
        <f>VLOOKUP(C311,'Talente &amp; Stuff'!ER:FT,17,FALSE)</f>
        <v>0</v>
      </c>
      <c r="T311" s="224">
        <f>VLOOKUP(C311,'Talente &amp; Stuff'!ER:FT,18,FALSE)</f>
        <v>0</v>
      </c>
      <c r="U311" s="222">
        <f>VLOOKUP(C311,'Talente &amp; Stuff'!ER:FT,19,FALSE)</f>
        <v>0</v>
      </c>
      <c r="V311" s="223">
        <f>VLOOKUP(C311,'Talente &amp; Stuff'!ER:FT,20,FALSE)</f>
        <v>0</v>
      </c>
      <c r="W311" s="243">
        <f>VLOOKUP(C311,'Talente &amp; Stuff'!ER:FT,21,FALSE)</f>
        <v>0</v>
      </c>
      <c r="X311" s="243">
        <f>VLOOKUP(C311,'Talente &amp; Stuff'!ER:FT,22,FALSE)</f>
        <v>0</v>
      </c>
      <c r="Y311" s="252">
        <f>VLOOKUP(C311,Ausgewählte_Zauber_Zauberbarden,168,FALSE)</f>
        <v>0</v>
      </c>
      <c r="Z311" s="309">
        <f>VLOOKUP(C311,Ausgewählte_Zauber_Zauberbarden,169,FALSE)</f>
        <v>0</v>
      </c>
      <c r="AA311" s="218">
        <f>VLOOKUP(C311,'Talente &amp; Stuff'!ER:FT,25,FALSE)</f>
        <v>0</v>
      </c>
      <c r="AB311" s="242">
        <f>VLOOKUP(C311,'Talente &amp; Stuff'!ER:FT,26,FALSE)</f>
        <v>0</v>
      </c>
      <c r="AC311" s="243">
        <f>VLOOKUP(C311,'Talente &amp; Stuff'!ER:FT,27,FALSE)</f>
        <v>0</v>
      </c>
      <c r="AD311" s="218">
        <f>VLOOKUP(C311,'Talente &amp; Stuff'!ER:FT,28,FALSE)</f>
        <v>0</v>
      </c>
      <c r="AE311" s="343"/>
    </row>
    <row r="312" spans="1:31" s="217" customFormat="1" hidden="1" outlineLevel="2">
      <c r="A312" s="185"/>
      <c r="B312" s="217">
        <v>15</v>
      </c>
      <c r="C312" s="303" t="str">
        <f>Attribute!C312</f>
        <v>---</v>
      </c>
      <c r="D312" s="218" t="str">
        <f>VLOOKUP(C312,'Talente &amp; Stuff'!ER:FT,2,FALSE)</f>
        <v>--/--/--</v>
      </c>
      <c r="E312" s="243" t="str">
        <f>VLOOKUP(C312,'Talente &amp; Stuff'!ER:FT,3,FALSE)</f>
        <v>-</v>
      </c>
      <c r="F312" s="237">
        <f>VLOOKUP(C312,'Talente &amp; Stuff'!ER:FT,4,FALSE)</f>
        <v>0</v>
      </c>
      <c r="G312" s="234">
        <f>VLOOKUP(C312,'Talente &amp; Stuff'!ER:FT,5,FALSE)</f>
        <v>0</v>
      </c>
      <c r="H312" s="234">
        <f>VLOOKUP(C312,'Talente &amp; Stuff'!ER:FT,6,FALSE)</f>
        <v>0</v>
      </c>
      <c r="I312" s="234">
        <f>VLOOKUP(C312,'Talente &amp; Stuff'!ER:FT,7,FALSE)</f>
        <v>0</v>
      </c>
      <c r="J312" s="234">
        <f>VLOOKUP(C312,'Talente &amp; Stuff'!ER:FT,8,FALSE)</f>
        <v>0</v>
      </c>
      <c r="K312" s="234">
        <f>VLOOKUP(C312,'Talente &amp; Stuff'!ER:FT,9,FALSE)</f>
        <v>0</v>
      </c>
      <c r="L312" s="234">
        <f>VLOOKUP(C312,'Talente &amp; Stuff'!ER:FT,10,FALSE)</f>
        <v>0</v>
      </c>
      <c r="M312" s="224">
        <f>VLOOKUP(C312,'Talente &amp; Stuff'!ER:FT,11,FALSE)</f>
        <v>0</v>
      </c>
      <c r="N312" s="223">
        <f>VLOOKUP(C312,'Talente &amp; Stuff'!ER:FT,12,FALSE)</f>
        <v>0</v>
      </c>
      <c r="O312" s="223">
        <f>VLOOKUP(C312,'Talente &amp; Stuff'!ER:FT,13,FALSE)</f>
        <v>0</v>
      </c>
      <c r="P312" s="224">
        <f>VLOOKUP(C312,'Talente &amp; Stuff'!ER:FT,14,FALSE)</f>
        <v>0</v>
      </c>
      <c r="Q312" s="237">
        <f>VLOOKUP(C312,'Talente &amp; Stuff'!ER:FT,15,FALSE)</f>
        <v>0</v>
      </c>
      <c r="R312" s="234">
        <f>VLOOKUP(C312,'Talente &amp; Stuff'!ER:FT,16,FALSE)</f>
        <v>0</v>
      </c>
      <c r="S312" s="224">
        <f>VLOOKUP(C312,'Talente &amp; Stuff'!ER:FT,17,FALSE)</f>
        <v>0</v>
      </c>
      <c r="T312" s="224">
        <f>VLOOKUP(C312,'Talente &amp; Stuff'!ER:FT,18,FALSE)</f>
        <v>0</v>
      </c>
      <c r="U312" s="222">
        <f>VLOOKUP(C312,'Talente &amp; Stuff'!ER:FT,19,FALSE)</f>
        <v>0</v>
      </c>
      <c r="V312" s="223">
        <f>VLOOKUP(C312,'Talente &amp; Stuff'!ER:FT,20,FALSE)</f>
        <v>0</v>
      </c>
      <c r="W312" s="243">
        <f>VLOOKUP(C312,'Talente &amp; Stuff'!ER:FT,21,FALSE)</f>
        <v>0</v>
      </c>
      <c r="X312" s="243">
        <f>VLOOKUP(C312,'Talente &amp; Stuff'!ER:FT,22,FALSE)</f>
        <v>0</v>
      </c>
      <c r="Y312" s="252">
        <f>VLOOKUP(C312,Ausgewählte_Zauber_Zauberbarden,168,FALSE)</f>
        <v>0</v>
      </c>
      <c r="Z312" s="309">
        <f>VLOOKUP(C312,Ausgewählte_Zauber_Zauberbarden,169,FALSE)</f>
        <v>0</v>
      </c>
      <c r="AA312" s="218">
        <f>VLOOKUP(C312,'Talente &amp; Stuff'!ER:FT,25,FALSE)</f>
        <v>0</v>
      </c>
      <c r="AB312" s="242">
        <f>VLOOKUP(C312,'Talente &amp; Stuff'!ER:FT,26,FALSE)</f>
        <v>0</v>
      </c>
      <c r="AC312" s="243">
        <f>VLOOKUP(C312,'Talente &amp; Stuff'!ER:FT,27,FALSE)</f>
        <v>0</v>
      </c>
      <c r="AD312" s="218">
        <f>VLOOKUP(C312,'Talente &amp; Stuff'!ER:FT,28,FALSE)</f>
        <v>0</v>
      </c>
      <c r="AE312" s="343"/>
    </row>
    <row r="313" spans="1:31" s="217" customFormat="1" hidden="1" outlineLevel="2">
      <c r="A313" s="185"/>
      <c r="B313" s="217">
        <v>16</v>
      </c>
      <c r="C313" s="303" t="str">
        <f>Attribute!C313</f>
        <v>---</v>
      </c>
      <c r="D313" s="304" t="str">
        <f>VLOOKUP(C313,'Talente &amp; Stuff'!ER:FT,2,FALSE)</f>
        <v>--/--/--</v>
      </c>
      <c r="E313" s="305" t="str">
        <f>VLOOKUP(C313,'Talente &amp; Stuff'!ER:FT,3,FALSE)</f>
        <v>-</v>
      </c>
      <c r="F313" s="317">
        <f>VLOOKUP(C313,'Talente &amp; Stuff'!ER:FT,4,FALSE)</f>
        <v>0</v>
      </c>
      <c r="G313" s="254">
        <f>VLOOKUP(C313,'Talente &amp; Stuff'!ER:FT,5,FALSE)</f>
        <v>0</v>
      </c>
      <c r="H313" s="254">
        <f>VLOOKUP(C313,'Talente &amp; Stuff'!ER:FT,6,FALSE)</f>
        <v>0</v>
      </c>
      <c r="I313" s="254">
        <f>VLOOKUP(C313,'Talente &amp; Stuff'!ER:FT,7,FALSE)</f>
        <v>0</v>
      </c>
      <c r="J313" s="254">
        <f>VLOOKUP(C313,'Talente &amp; Stuff'!ER:FT,8,FALSE)</f>
        <v>0</v>
      </c>
      <c r="K313" s="254">
        <f>VLOOKUP(C313,'Talente &amp; Stuff'!ER:FT,9,FALSE)</f>
        <v>0</v>
      </c>
      <c r="L313" s="254">
        <f>VLOOKUP(C313,'Talente &amp; Stuff'!ER:FT,10,FALSE)</f>
        <v>0</v>
      </c>
      <c r="M313" s="318">
        <f>VLOOKUP(C313,'Talente &amp; Stuff'!ER:FT,11,FALSE)</f>
        <v>0</v>
      </c>
      <c r="N313" s="223">
        <f>VLOOKUP(C313,'Talente &amp; Stuff'!ER:FT,12,FALSE)</f>
        <v>0</v>
      </c>
      <c r="O313" s="223">
        <f>VLOOKUP(C313,'Talente &amp; Stuff'!ER:FT,13,FALSE)</f>
        <v>0</v>
      </c>
      <c r="P313" s="224">
        <f>VLOOKUP(C313,'Talente &amp; Stuff'!ER:FT,14,FALSE)</f>
        <v>0</v>
      </c>
      <c r="Q313" s="237">
        <f>VLOOKUP(C313,'Talente &amp; Stuff'!ER:FT,15,FALSE)</f>
        <v>0</v>
      </c>
      <c r="R313" s="254">
        <f>VLOOKUP(C313,'Talente &amp; Stuff'!ER:FT,16,FALSE)</f>
        <v>0</v>
      </c>
      <c r="S313" s="224">
        <f>VLOOKUP(C313,'Talente &amp; Stuff'!ER:FT,17,FALSE)</f>
        <v>0</v>
      </c>
      <c r="T313" s="224">
        <f>VLOOKUP(C313,'Talente &amp; Stuff'!ER:FT,18,FALSE)</f>
        <v>0</v>
      </c>
      <c r="U313" s="222">
        <f>VLOOKUP(C313,'Talente &amp; Stuff'!ER:FT,19,FALSE)</f>
        <v>0</v>
      </c>
      <c r="V313" s="223">
        <f>VLOOKUP(C313,'Talente &amp; Stuff'!ER:FT,20,FALSE)</f>
        <v>0</v>
      </c>
      <c r="W313" s="243">
        <f>VLOOKUP(C313,'Talente &amp; Stuff'!ER:FT,21,FALSE)</f>
        <v>0</v>
      </c>
      <c r="X313" s="243">
        <f>VLOOKUP(C313,'Talente &amp; Stuff'!ER:FT,22,FALSE)</f>
        <v>0</v>
      </c>
      <c r="Y313" s="252">
        <f>VLOOKUP(C313,Ausgewählte_Zauber_Zauberbarden,168,FALSE)</f>
        <v>0</v>
      </c>
      <c r="Z313" s="309">
        <f>VLOOKUP(C313,Ausgewählte_Zauber_Zauberbarden,169,FALSE)</f>
        <v>0</v>
      </c>
      <c r="AA313" s="218">
        <f>VLOOKUP(C313,'Talente &amp; Stuff'!ER:FT,25,FALSE)</f>
        <v>0</v>
      </c>
      <c r="AB313" s="242">
        <f>VLOOKUP(C313,'Talente &amp; Stuff'!ER:FT,26,FALSE)</f>
        <v>0</v>
      </c>
      <c r="AC313" s="243">
        <f>VLOOKUP(C313,'Talente &amp; Stuff'!ER:FT,27,FALSE)</f>
        <v>0</v>
      </c>
      <c r="AD313" s="218">
        <f>VLOOKUP(C313,'Talente &amp; Stuff'!ER:FT,28,FALSE)</f>
        <v>0</v>
      </c>
      <c r="AE313" s="343"/>
    </row>
    <row r="314" spans="1:31" s="217" customFormat="1" hidden="1" outlineLevel="2">
      <c r="A314" s="185"/>
      <c r="B314" s="217">
        <v>17</v>
      </c>
      <c r="C314" s="303" t="str">
        <f>Attribute!C314</f>
        <v>---</v>
      </c>
      <c r="D314" s="218" t="str">
        <f>VLOOKUP(C314,'Talente &amp; Stuff'!ER:FT,2,FALSE)</f>
        <v>--/--/--</v>
      </c>
      <c r="E314" s="243" t="str">
        <f>VLOOKUP(C314,'Talente &amp; Stuff'!ER:FT,3,FALSE)</f>
        <v>-</v>
      </c>
      <c r="F314" s="237">
        <f>VLOOKUP(C314,'Talente &amp; Stuff'!ER:FT,4,FALSE)</f>
        <v>0</v>
      </c>
      <c r="G314" s="234">
        <f>VLOOKUP(C314,'Talente &amp; Stuff'!ER:FT,5,FALSE)</f>
        <v>0</v>
      </c>
      <c r="H314" s="234">
        <f>VLOOKUP(C314,'Talente &amp; Stuff'!ER:FT,6,FALSE)</f>
        <v>0</v>
      </c>
      <c r="I314" s="234">
        <f>VLOOKUP(C314,'Talente &amp; Stuff'!ER:FT,7,FALSE)</f>
        <v>0</v>
      </c>
      <c r="J314" s="234">
        <f>VLOOKUP(C314,'Talente &amp; Stuff'!ER:FT,8,FALSE)</f>
        <v>0</v>
      </c>
      <c r="K314" s="234">
        <f>VLOOKUP(C314,'Talente &amp; Stuff'!ER:FT,9,FALSE)</f>
        <v>0</v>
      </c>
      <c r="L314" s="234">
        <f>VLOOKUP(C314,'Talente &amp; Stuff'!ER:FT,10,FALSE)</f>
        <v>0</v>
      </c>
      <c r="M314" s="224">
        <f>VLOOKUP(C314,'Talente &amp; Stuff'!ER:FT,11,FALSE)</f>
        <v>0</v>
      </c>
      <c r="N314" s="223">
        <f>VLOOKUP(C314,'Talente &amp; Stuff'!ER:FT,12,FALSE)</f>
        <v>0</v>
      </c>
      <c r="O314" s="223">
        <f>VLOOKUP(C314,'Talente &amp; Stuff'!ER:FT,13,FALSE)</f>
        <v>0</v>
      </c>
      <c r="P314" s="224">
        <f>VLOOKUP(C314,'Talente &amp; Stuff'!ER:FT,14,FALSE)</f>
        <v>0</v>
      </c>
      <c r="Q314" s="237">
        <f>VLOOKUP(C314,'Talente &amp; Stuff'!ER:FT,15,FALSE)</f>
        <v>0</v>
      </c>
      <c r="R314" s="234">
        <f>VLOOKUP(C314,'Talente &amp; Stuff'!ER:FT,16,FALSE)</f>
        <v>0</v>
      </c>
      <c r="S314" s="224">
        <f>VLOOKUP(C314,'Talente &amp; Stuff'!ER:FT,17,FALSE)</f>
        <v>0</v>
      </c>
      <c r="T314" s="224">
        <f>VLOOKUP(C314,'Talente &amp; Stuff'!ER:FT,18,FALSE)</f>
        <v>0</v>
      </c>
      <c r="U314" s="222">
        <f>VLOOKUP(C314,'Talente &amp; Stuff'!ER:FT,19,FALSE)</f>
        <v>0</v>
      </c>
      <c r="V314" s="223">
        <f>VLOOKUP(C314,'Talente &amp; Stuff'!ER:FT,20,FALSE)</f>
        <v>0</v>
      </c>
      <c r="W314" s="243">
        <f>VLOOKUP(C314,'Talente &amp; Stuff'!ER:FT,21,FALSE)</f>
        <v>0</v>
      </c>
      <c r="X314" s="243">
        <f>VLOOKUP(C314,'Talente &amp; Stuff'!ER:FT,22,FALSE)</f>
        <v>0</v>
      </c>
      <c r="Y314" s="252">
        <f>VLOOKUP(C314,Ausgewählte_Zauber_Zauberbarden,168,FALSE)</f>
        <v>0</v>
      </c>
      <c r="Z314" s="309">
        <f>VLOOKUP(C314,Ausgewählte_Zauber_Zauberbarden,169,FALSE)</f>
        <v>0</v>
      </c>
      <c r="AA314" s="218">
        <f>VLOOKUP(C314,'Talente &amp; Stuff'!ER:FT,25,FALSE)</f>
        <v>0</v>
      </c>
      <c r="AB314" s="242">
        <f>VLOOKUP(C314,'Talente &amp; Stuff'!ER:FT,26,FALSE)</f>
        <v>0</v>
      </c>
      <c r="AC314" s="243">
        <f>VLOOKUP(C314,'Talente &amp; Stuff'!ER:FT,27,FALSE)</f>
        <v>0</v>
      </c>
      <c r="AD314" s="218">
        <f>VLOOKUP(C314,'Talente &amp; Stuff'!ER:FT,28,FALSE)</f>
        <v>0</v>
      </c>
      <c r="AE314" s="343"/>
    </row>
    <row r="315" spans="1:31" s="217" customFormat="1" hidden="1" outlineLevel="2">
      <c r="A315" s="185"/>
      <c r="B315" s="217">
        <v>18</v>
      </c>
      <c r="C315" s="303" t="str">
        <f>Attribute!C315</f>
        <v>---</v>
      </c>
      <c r="D315" s="218" t="str">
        <f>VLOOKUP(C315,'Talente &amp; Stuff'!ER:FT,2,FALSE)</f>
        <v>--/--/--</v>
      </c>
      <c r="E315" s="243" t="str">
        <f>VLOOKUP(C315,'Talente &amp; Stuff'!ER:FT,3,FALSE)</f>
        <v>-</v>
      </c>
      <c r="F315" s="237">
        <f>VLOOKUP(C315,'Talente &amp; Stuff'!ER:FT,4,FALSE)</f>
        <v>0</v>
      </c>
      <c r="G315" s="234">
        <f>VLOOKUP(C315,'Talente &amp; Stuff'!ER:FT,5,FALSE)</f>
        <v>0</v>
      </c>
      <c r="H315" s="234">
        <f>VLOOKUP(C315,'Talente &amp; Stuff'!ER:FT,6,FALSE)</f>
        <v>0</v>
      </c>
      <c r="I315" s="234">
        <f>VLOOKUP(C315,'Talente &amp; Stuff'!ER:FT,7,FALSE)</f>
        <v>0</v>
      </c>
      <c r="J315" s="234">
        <f>VLOOKUP(C315,'Talente &amp; Stuff'!ER:FT,8,FALSE)</f>
        <v>0</v>
      </c>
      <c r="K315" s="234">
        <f>VLOOKUP(C315,'Talente &amp; Stuff'!ER:FT,9,FALSE)</f>
        <v>0</v>
      </c>
      <c r="L315" s="234">
        <f>VLOOKUP(C315,'Talente &amp; Stuff'!ER:FT,10,FALSE)</f>
        <v>0</v>
      </c>
      <c r="M315" s="224">
        <f>VLOOKUP(C315,'Talente &amp; Stuff'!ER:FT,11,FALSE)</f>
        <v>0</v>
      </c>
      <c r="N315" s="223">
        <f>VLOOKUP(C315,'Talente &amp; Stuff'!ER:FT,12,FALSE)</f>
        <v>0</v>
      </c>
      <c r="O315" s="223">
        <f>VLOOKUP(C315,'Talente &amp; Stuff'!ER:FT,13,FALSE)</f>
        <v>0</v>
      </c>
      <c r="P315" s="224">
        <f>VLOOKUP(C315,'Talente &amp; Stuff'!ER:FT,14,FALSE)</f>
        <v>0</v>
      </c>
      <c r="Q315" s="237">
        <f>VLOOKUP(C315,'Talente &amp; Stuff'!ER:FT,15,FALSE)</f>
        <v>0</v>
      </c>
      <c r="R315" s="234">
        <f>VLOOKUP(C315,'Talente &amp; Stuff'!ER:FT,16,FALSE)</f>
        <v>0</v>
      </c>
      <c r="S315" s="224">
        <f>VLOOKUP(C315,'Talente &amp; Stuff'!ER:FT,17,FALSE)</f>
        <v>0</v>
      </c>
      <c r="T315" s="224">
        <f>VLOOKUP(C315,'Talente &amp; Stuff'!ER:FT,18,FALSE)</f>
        <v>0</v>
      </c>
      <c r="U315" s="222">
        <f>VLOOKUP(C315,'Talente &amp; Stuff'!ER:FT,19,FALSE)</f>
        <v>0</v>
      </c>
      <c r="V315" s="223">
        <f>VLOOKUP(C315,'Talente &amp; Stuff'!ER:FT,20,FALSE)</f>
        <v>0</v>
      </c>
      <c r="W315" s="243">
        <f>VLOOKUP(C315,'Talente &amp; Stuff'!ER:FT,21,FALSE)</f>
        <v>0</v>
      </c>
      <c r="X315" s="243">
        <f>VLOOKUP(C315,'Talente &amp; Stuff'!ER:FT,22,FALSE)</f>
        <v>0</v>
      </c>
      <c r="Y315" s="252">
        <f>VLOOKUP(C315,Ausgewählte_Zauber_Zauberbarden,168,FALSE)</f>
        <v>0</v>
      </c>
      <c r="Z315" s="309">
        <f>VLOOKUP(C315,Ausgewählte_Zauber_Zauberbarden,169,FALSE)</f>
        <v>0</v>
      </c>
      <c r="AA315" s="218">
        <f>VLOOKUP(C315,'Talente &amp; Stuff'!ER:FT,25,FALSE)</f>
        <v>0</v>
      </c>
      <c r="AB315" s="242">
        <f>VLOOKUP(C315,'Talente &amp; Stuff'!ER:FT,26,FALSE)</f>
        <v>0</v>
      </c>
      <c r="AC315" s="243">
        <f>VLOOKUP(C315,'Talente &amp; Stuff'!ER:FT,27,FALSE)</f>
        <v>0</v>
      </c>
      <c r="AD315" s="218">
        <f>VLOOKUP(C315,'Talente &amp; Stuff'!ER:FT,28,FALSE)</f>
        <v>0</v>
      </c>
      <c r="AE315" s="343"/>
    </row>
    <row r="316" spans="1:31" s="217" customFormat="1" hidden="1" outlineLevel="2">
      <c r="A316" s="185"/>
      <c r="B316" s="217">
        <v>19</v>
      </c>
      <c r="C316" s="303" t="str">
        <f>Attribute!C316</f>
        <v>---</v>
      </c>
      <c r="D316" s="218" t="str">
        <f>VLOOKUP(C316,'Talente &amp; Stuff'!ER:FT,2,FALSE)</f>
        <v>--/--/--</v>
      </c>
      <c r="E316" s="243" t="str">
        <f>VLOOKUP(C316,'Talente &amp; Stuff'!ER:FT,3,FALSE)</f>
        <v>-</v>
      </c>
      <c r="F316" s="237">
        <f>VLOOKUP(C316,'Talente &amp; Stuff'!ER:FT,4,FALSE)</f>
        <v>0</v>
      </c>
      <c r="G316" s="234">
        <f>VLOOKUP(C316,'Talente &amp; Stuff'!ER:FT,5,FALSE)</f>
        <v>0</v>
      </c>
      <c r="H316" s="234">
        <f>VLOOKUP(C316,'Talente &amp; Stuff'!ER:FT,6,FALSE)</f>
        <v>0</v>
      </c>
      <c r="I316" s="234">
        <f>VLOOKUP(C316,'Talente &amp; Stuff'!ER:FT,7,FALSE)</f>
        <v>0</v>
      </c>
      <c r="J316" s="234">
        <f>VLOOKUP(C316,'Talente &amp; Stuff'!ER:FT,8,FALSE)</f>
        <v>0</v>
      </c>
      <c r="K316" s="234">
        <f>VLOOKUP(C316,'Talente &amp; Stuff'!ER:FT,9,FALSE)</f>
        <v>0</v>
      </c>
      <c r="L316" s="234">
        <f>VLOOKUP(C316,'Talente &amp; Stuff'!ER:FT,10,FALSE)</f>
        <v>0</v>
      </c>
      <c r="M316" s="224">
        <f>VLOOKUP(C316,'Talente &amp; Stuff'!ER:FT,11,FALSE)</f>
        <v>0</v>
      </c>
      <c r="N316" s="223">
        <f>VLOOKUP(C316,'Talente &amp; Stuff'!ER:FT,12,FALSE)</f>
        <v>0</v>
      </c>
      <c r="O316" s="223">
        <f>VLOOKUP(C316,'Talente &amp; Stuff'!ER:FT,13,FALSE)</f>
        <v>0</v>
      </c>
      <c r="P316" s="224">
        <f>VLOOKUP(C316,'Talente &amp; Stuff'!ER:FT,14,FALSE)</f>
        <v>0</v>
      </c>
      <c r="Q316" s="237">
        <f>VLOOKUP(C316,'Talente &amp; Stuff'!ER:FT,15,FALSE)</f>
        <v>0</v>
      </c>
      <c r="R316" s="234">
        <f>VLOOKUP(C316,'Talente &amp; Stuff'!ER:FT,16,FALSE)</f>
        <v>0</v>
      </c>
      <c r="S316" s="224">
        <f>VLOOKUP(C316,'Talente &amp; Stuff'!ER:FT,17,FALSE)</f>
        <v>0</v>
      </c>
      <c r="T316" s="224">
        <f>VLOOKUP(C316,'Talente &amp; Stuff'!ER:FT,18,FALSE)</f>
        <v>0</v>
      </c>
      <c r="U316" s="222">
        <f>VLOOKUP(C316,'Talente &amp; Stuff'!ER:FT,19,FALSE)</f>
        <v>0</v>
      </c>
      <c r="V316" s="223">
        <f>VLOOKUP(C316,'Talente &amp; Stuff'!ER:FT,20,FALSE)</f>
        <v>0</v>
      </c>
      <c r="W316" s="243">
        <f>VLOOKUP(C316,'Talente &amp; Stuff'!ER:FT,21,FALSE)</f>
        <v>0</v>
      </c>
      <c r="X316" s="243">
        <f>VLOOKUP(C316,'Talente &amp; Stuff'!ER:FT,22,FALSE)</f>
        <v>0</v>
      </c>
      <c r="Y316" s="252">
        <f>VLOOKUP(C316,Ausgewählte_Zauber_Zauberbarden,168,FALSE)</f>
        <v>0</v>
      </c>
      <c r="Z316" s="309">
        <f>VLOOKUP(C316,Ausgewählte_Zauber_Zauberbarden,169,FALSE)</f>
        <v>0</v>
      </c>
      <c r="AA316" s="218">
        <f>VLOOKUP(C316,'Talente &amp; Stuff'!ER:FT,25,FALSE)</f>
        <v>0</v>
      </c>
      <c r="AB316" s="242">
        <f>VLOOKUP(C316,'Talente &amp; Stuff'!ER:FT,26,FALSE)</f>
        <v>0</v>
      </c>
      <c r="AC316" s="243">
        <f>VLOOKUP(C316,'Talente &amp; Stuff'!ER:FT,27,FALSE)</f>
        <v>0</v>
      </c>
      <c r="AD316" s="218">
        <f>VLOOKUP(C316,'Talente &amp; Stuff'!ER:FT,28,FALSE)</f>
        <v>0</v>
      </c>
      <c r="AE316" s="343"/>
    </row>
    <row r="317" spans="1:31" s="217" customFormat="1" hidden="1" outlineLevel="2">
      <c r="A317" s="185"/>
      <c r="B317" s="217">
        <v>20</v>
      </c>
      <c r="C317" s="303" t="str">
        <f>Attribute!C317</f>
        <v>---</v>
      </c>
      <c r="D317" s="218" t="str">
        <f>VLOOKUP(C317,'Talente &amp; Stuff'!ER:FT,2,FALSE)</f>
        <v>--/--/--</v>
      </c>
      <c r="E317" s="243" t="str">
        <f>VLOOKUP(C317,'Talente &amp; Stuff'!ER:FT,3,FALSE)</f>
        <v>-</v>
      </c>
      <c r="F317" s="237">
        <f>VLOOKUP(C317,'Talente &amp; Stuff'!ER:FT,4,FALSE)</f>
        <v>0</v>
      </c>
      <c r="G317" s="234">
        <f>VLOOKUP(C317,'Talente &amp; Stuff'!ER:FT,5,FALSE)</f>
        <v>0</v>
      </c>
      <c r="H317" s="234">
        <f>VLOOKUP(C317,'Talente &amp; Stuff'!ER:FT,6,FALSE)</f>
        <v>0</v>
      </c>
      <c r="I317" s="234">
        <f>VLOOKUP(C317,'Talente &amp; Stuff'!ER:FT,7,FALSE)</f>
        <v>0</v>
      </c>
      <c r="J317" s="234">
        <f>VLOOKUP(C317,'Talente &amp; Stuff'!ER:FT,8,FALSE)</f>
        <v>0</v>
      </c>
      <c r="K317" s="234">
        <f>VLOOKUP(C317,'Talente &amp; Stuff'!ER:FT,9,FALSE)</f>
        <v>0</v>
      </c>
      <c r="L317" s="234">
        <f>VLOOKUP(C317,'Talente &amp; Stuff'!ER:FT,10,FALSE)</f>
        <v>0</v>
      </c>
      <c r="M317" s="224">
        <f>VLOOKUP(C317,'Talente &amp; Stuff'!ER:FT,11,FALSE)</f>
        <v>0</v>
      </c>
      <c r="N317" s="223">
        <f>VLOOKUP(C317,'Talente &amp; Stuff'!ER:FT,12,FALSE)</f>
        <v>0</v>
      </c>
      <c r="O317" s="223">
        <f>VLOOKUP(C317,'Talente &amp; Stuff'!ER:FT,13,FALSE)</f>
        <v>0</v>
      </c>
      <c r="P317" s="224">
        <f>VLOOKUP(C317,'Talente &amp; Stuff'!ER:FT,14,FALSE)</f>
        <v>0</v>
      </c>
      <c r="Q317" s="237">
        <f>VLOOKUP(C317,'Talente &amp; Stuff'!ER:FT,15,FALSE)</f>
        <v>0</v>
      </c>
      <c r="R317" s="234">
        <f>VLOOKUP(C317,'Talente &amp; Stuff'!ER:FT,16,FALSE)</f>
        <v>0</v>
      </c>
      <c r="S317" s="224">
        <f>VLOOKUP(C317,'Talente &amp; Stuff'!ER:FT,17,FALSE)</f>
        <v>0</v>
      </c>
      <c r="T317" s="224">
        <f>VLOOKUP(C317,'Talente &amp; Stuff'!ER:FT,18,FALSE)</f>
        <v>0</v>
      </c>
      <c r="U317" s="222">
        <f>VLOOKUP(C317,'Talente &amp; Stuff'!ER:FT,19,FALSE)</f>
        <v>0</v>
      </c>
      <c r="V317" s="223">
        <f>VLOOKUP(C317,'Talente &amp; Stuff'!ER:FT,20,FALSE)</f>
        <v>0</v>
      </c>
      <c r="W317" s="243">
        <f>VLOOKUP(C317,'Talente &amp; Stuff'!ER:FT,21,FALSE)</f>
        <v>0</v>
      </c>
      <c r="X317" s="243">
        <f>VLOOKUP(C317,'Talente &amp; Stuff'!ER:FT,22,FALSE)</f>
        <v>0</v>
      </c>
      <c r="Y317" s="252">
        <f>VLOOKUP(C317,Ausgewählte_Zauber_Zauberbarden,168,FALSE)</f>
        <v>0</v>
      </c>
      <c r="Z317" s="309">
        <f>VLOOKUP(C317,Ausgewählte_Zauber_Zauberbarden,169,FALSE)</f>
        <v>0</v>
      </c>
      <c r="AA317" s="218">
        <f>VLOOKUP(C317,'Talente &amp; Stuff'!ER:FT,25,FALSE)</f>
        <v>0</v>
      </c>
      <c r="AB317" s="242">
        <f>VLOOKUP(C317,'Talente &amp; Stuff'!ER:FT,26,FALSE)</f>
        <v>0</v>
      </c>
      <c r="AC317" s="243">
        <f>VLOOKUP(C317,'Talente &amp; Stuff'!ER:FT,27,FALSE)</f>
        <v>0</v>
      </c>
      <c r="AD317" s="218">
        <f>VLOOKUP(C317,'Talente &amp; Stuff'!ER:FT,28,FALSE)</f>
        <v>0</v>
      </c>
      <c r="AE317" s="343"/>
    </row>
    <row r="318" spans="1:31" s="217" customFormat="1" hidden="1" outlineLevel="2">
      <c r="A318" s="185"/>
      <c r="B318" s="217">
        <v>21</v>
      </c>
      <c r="C318" s="303" t="str">
        <f>Attribute!C318</f>
        <v>---</v>
      </c>
      <c r="D318" s="218" t="str">
        <f>VLOOKUP(C318,'Talente &amp; Stuff'!ER:FT,2,FALSE)</f>
        <v>--/--/--</v>
      </c>
      <c r="E318" s="243" t="str">
        <f>VLOOKUP(C318,'Talente &amp; Stuff'!ER:FT,3,FALSE)</f>
        <v>-</v>
      </c>
      <c r="F318" s="237">
        <f>VLOOKUP(C318,'Talente &amp; Stuff'!ER:FT,4,FALSE)</f>
        <v>0</v>
      </c>
      <c r="G318" s="234">
        <f>VLOOKUP(C318,'Talente &amp; Stuff'!ER:FT,5,FALSE)</f>
        <v>0</v>
      </c>
      <c r="H318" s="234">
        <f>VLOOKUP(C318,'Talente &amp; Stuff'!ER:FT,6,FALSE)</f>
        <v>0</v>
      </c>
      <c r="I318" s="234">
        <f>VLOOKUP(C318,'Talente &amp; Stuff'!ER:FT,7,FALSE)</f>
        <v>0</v>
      </c>
      <c r="J318" s="234">
        <f>VLOOKUP(C318,'Talente &amp; Stuff'!ER:FT,8,FALSE)</f>
        <v>0</v>
      </c>
      <c r="K318" s="234">
        <f>VLOOKUP(C318,'Talente &amp; Stuff'!ER:FT,9,FALSE)</f>
        <v>0</v>
      </c>
      <c r="L318" s="234">
        <f>VLOOKUP(C318,'Talente &amp; Stuff'!ER:FT,10,FALSE)</f>
        <v>0</v>
      </c>
      <c r="M318" s="224">
        <f>VLOOKUP(C318,'Talente &amp; Stuff'!ER:FT,11,FALSE)</f>
        <v>0</v>
      </c>
      <c r="N318" s="223">
        <f>VLOOKUP(C318,'Talente &amp; Stuff'!ER:FT,12,FALSE)</f>
        <v>0</v>
      </c>
      <c r="O318" s="223">
        <f>VLOOKUP(C318,'Talente &amp; Stuff'!ER:FT,13,FALSE)</f>
        <v>0</v>
      </c>
      <c r="P318" s="224">
        <f>VLOOKUP(C318,'Talente &amp; Stuff'!ER:FT,14,FALSE)</f>
        <v>0</v>
      </c>
      <c r="Q318" s="237">
        <f>VLOOKUP(C318,'Talente &amp; Stuff'!ER:FT,15,FALSE)</f>
        <v>0</v>
      </c>
      <c r="R318" s="234">
        <f>VLOOKUP(C318,'Talente &amp; Stuff'!ER:FT,16,FALSE)</f>
        <v>0</v>
      </c>
      <c r="S318" s="224">
        <f>VLOOKUP(C318,'Talente &amp; Stuff'!ER:FT,17,FALSE)</f>
        <v>0</v>
      </c>
      <c r="T318" s="224">
        <f>VLOOKUP(C318,'Talente &amp; Stuff'!ER:FT,18,FALSE)</f>
        <v>0</v>
      </c>
      <c r="U318" s="222">
        <f>VLOOKUP(C318,'Talente &amp; Stuff'!ER:FT,19,FALSE)</f>
        <v>0</v>
      </c>
      <c r="V318" s="223">
        <f>VLOOKUP(C318,'Talente &amp; Stuff'!ER:FT,20,FALSE)</f>
        <v>0</v>
      </c>
      <c r="W318" s="243">
        <f>VLOOKUP(C318,'Talente &amp; Stuff'!ER:FT,21,FALSE)</f>
        <v>0</v>
      </c>
      <c r="X318" s="243">
        <f>VLOOKUP(C318,'Talente &amp; Stuff'!ER:FT,22,FALSE)</f>
        <v>0</v>
      </c>
      <c r="Y318" s="252">
        <f>VLOOKUP(C318,Ausgewählte_Zauber_Zauberbarden,168,FALSE)</f>
        <v>0</v>
      </c>
      <c r="Z318" s="309">
        <f>VLOOKUP(C318,Ausgewählte_Zauber_Zauberbarden,169,FALSE)</f>
        <v>0</v>
      </c>
      <c r="AA318" s="218">
        <f>VLOOKUP(C318,'Talente &amp; Stuff'!ER:FT,25,FALSE)</f>
        <v>0</v>
      </c>
      <c r="AB318" s="242">
        <f>VLOOKUP(C318,'Talente &amp; Stuff'!ER:FT,26,FALSE)</f>
        <v>0</v>
      </c>
      <c r="AC318" s="243">
        <f>VLOOKUP(C318,'Talente &amp; Stuff'!ER:FT,27,FALSE)</f>
        <v>0</v>
      </c>
      <c r="AD318" s="218">
        <f>VLOOKUP(C318,'Talente &amp; Stuff'!ER:FT,28,FALSE)</f>
        <v>0</v>
      </c>
      <c r="AE318" s="343"/>
    </row>
    <row r="319" spans="1:31" s="217" customFormat="1" hidden="1" outlineLevel="2">
      <c r="A319" s="185"/>
      <c r="B319" s="217">
        <v>22</v>
      </c>
      <c r="C319" s="303" t="str">
        <f>Attribute!C319</f>
        <v>---</v>
      </c>
      <c r="D319" s="218" t="str">
        <f>VLOOKUP(C319,'Talente &amp; Stuff'!ER:FT,2,FALSE)</f>
        <v>--/--/--</v>
      </c>
      <c r="E319" s="243" t="str">
        <f>VLOOKUP(C319,'Talente &amp; Stuff'!ER:FT,3,FALSE)</f>
        <v>-</v>
      </c>
      <c r="F319" s="237">
        <f>VLOOKUP(C319,'Talente &amp; Stuff'!ER:FT,4,FALSE)</f>
        <v>0</v>
      </c>
      <c r="G319" s="234">
        <f>VLOOKUP(C319,'Talente &amp; Stuff'!ER:FT,5,FALSE)</f>
        <v>0</v>
      </c>
      <c r="H319" s="234">
        <f>VLOOKUP(C319,'Talente &amp; Stuff'!ER:FT,6,FALSE)</f>
        <v>0</v>
      </c>
      <c r="I319" s="234">
        <f>VLOOKUP(C319,'Talente &amp; Stuff'!ER:FT,7,FALSE)</f>
        <v>0</v>
      </c>
      <c r="J319" s="234">
        <f>VLOOKUP(C319,'Talente &amp; Stuff'!ER:FT,8,FALSE)</f>
        <v>0</v>
      </c>
      <c r="K319" s="234">
        <f>VLOOKUP(C319,'Talente &amp; Stuff'!ER:FT,9,FALSE)</f>
        <v>0</v>
      </c>
      <c r="L319" s="234">
        <f>VLOOKUP(C319,'Talente &amp; Stuff'!ER:FT,10,FALSE)</f>
        <v>0</v>
      </c>
      <c r="M319" s="224">
        <f>VLOOKUP(C319,'Talente &amp; Stuff'!ER:FT,11,FALSE)</f>
        <v>0</v>
      </c>
      <c r="N319" s="223">
        <f>VLOOKUP(C319,'Talente &amp; Stuff'!ER:FT,12,FALSE)</f>
        <v>0</v>
      </c>
      <c r="O319" s="223">
        <f>VLOOKUP(C319,'Talente &amp; Stuff'!ER:FT,13,FALSE)</f>
        <v>0</v>
      </c>
      <c r="P319" s="224">
        <f>VLOOKUP(C319,'Talente &amp; Stuff'!ER:FT,14,FALSE)</f>
        <v>0</v>
      </c>
      <c r="Q319" s="237">
        <f>VLOOKUP(C319,'Talente &amp; Stuff'!ER:FT,15,FALSE)</f>
        <v>0</v>
      </c>
      <c r="R319" s="234">
        <f>VLOOKUP(C319,'Talente &amp; Stuff'!ER:FT,16,FALSE)</f>
        <v>0</v>
      </c>
      <c r="S319" s="224">
        <f>VLOOKUP(C319,'Talente &amp; Stuff'!ER:FT,17,FALSE)</f>
        <v>0</v>
      </c>
      <c r="T319" s="224">
        <f>VLOOKUP(C319,'Talente &amp; Stuff'!ER:FT,18,FALSE)</f>
        <v>0</v>
      </c>
      <c r="U319" s="222">
        <f>VLOOKUP(C319,'Talente &amp; Stuff'!ER:FT,19,FALSE)</f>
        <v>0</v>
      </c>
      <c r="V319" s="223">
        <f>VLOOKUP(C319,'Talente &amp; Stuff'!ER:FT,20,FALSE)</f>
        <v>0</v>
      </c>
      <c r="W319" s="243">
        <f>VLOOKUP(C319,'Talente &amp; Stuff'!ER:FT,21,FALSE)</f>
        <v>0</v>
      </c>
      <c r="X319" s="243">
        <f>VLOOKUP(C319,'Talente &amp; Stuff'!ER:FT,22,FALSE)</f>
        <v>0</v>
      </c>
      <c r="Y319" s="252">
        <f>VLOOKUP(C319,Ausgewählte_Zauber_Zauberbarden,168,FALSE)</f>
        <v>0</v>
      </c>
      <c r="Z319" s="309">
        <f>VLOOKUP(C319,Ausgewählte_Zauber_Zauberbarden,169,FALSE)</f>
        <v>0</v>
      </c>
      <c r="AA319" s="218">
        <f>VLOOKUP(C319,'Talente &amp; Stuff'!ER:FT,25,FALSE)</f>
        <v>0</v>
      </c>
      <c r="AB319" s="242">
        <f>VLOOKUP(C319,'Talente &amp; Stuff'!ER:FT,26,FALSE)</f>
        <v>0</v>
      </c>
      <c r="AC319" s="243">
        <f>VLOOKUP(C319,'Talente &amp; Stuff'!ER:FT,27,FALSE)</f>
        <v>0</v>
      </c>
      <c r="AD319" s="218">
        <f>VLOOKUP(C319,'Talente &amp; Stuff'!ER:FT,28,FALSE)</f>
        <v>0</v>
      </c>
      <c r="AE319" s="343"/>
    </row>
    <row r="320" spans="1:31" s="217" customFormat="1" hidden="1" outlineLevel="2">
      <c r="A320" s="185"/>
      <c r="B320" s="217">
        <v>23</v>
      </c>
      <c r="C320" s="303" t="str">
        <f>Attribute!C320</f>
        <v>---</v>
      </c>
      <c r="D320" s="218" t="str">
        <f>VLOOKUP(C320,'Talente &amp; Stuff'!ER:FT,2,FALSE)</f>
        <v>--/--/--</v>
      </c>
      <c r="E320" s="243" t="str">
        <f>VLOOKUP(C320,'Talente &amp; Stuff'!ER:FT,3,FALSE)</f>
        <v>-</v>
      </c>
      <c r="F320" s="237">
        <f>VLOOKUP(C320,'Talente &amp; Stuff'!ER:FT,4,FALSE)</f>
        <v>0</v>
      </c>
      <c r="G320" s="234">
        <f>VLOOKUP(C320,'Talente &amp; Stuff'!ER:FT,5,FALSE)</f>
        <v>0</v>
      </c>
      <c r="H320" s="234">
        <f>VLOOKUP(C320,'Talente &amp; Stuff'!ER:FT,6,FALSE)</f>
        <v>0</v>
      </c>
      <c r="I320" s="234">
        <f>VLOOKUP(C320,'Talente &amp; Stuff'!ER:FT,7,FALSE)</f>
        <v>0</v>
      </c>
      <c r="J320" s="234">
        <f>VLOOKUP(C320,'Talente &amp; Stuff'!ER:FT,8,FALSE)</f>
        <v>0</v>
      </c>
      <c r="K320" s="234">
        <f>VLOOKUP(C320,'Talente &amp; Stuff'!ER:FT,9,FALSE)</f>
        <v>0</v>
      </c>
      <c r="L320" s="234">
        <f>VLOOKUP(C320,'Talente &amp; Stuff'!ER:FT,10,FALSE)</f>
        <v>0</v>
      </c>
      <c r="M320" s="224">
        <f>VLOOKUP(C320,'Talente &amp; Stuff'!ER:FT,11,FALSE)</f>
        <v>0</v>
      </c>
      <c r="N320" s="223">
        <f>VLOOKUP(C320,'Talente &amp; Stuff'!ER:FT,12,FALSE)</f>
        <v>0</v>
      </c>
      <c r="O320" s="223">
        <f>VLOOKUP(C320,'Talente &amp; Stuff'!ER:FT,13,FALSE)</f>
        <v>0</v>
      </c>
      <c r="P320" s="224">
        <f>VLOOKUP(C320,'Talente &amp; Stuff'!ER:FT,14,FALSE)</f>
        <v>0</v>
      </c>
      <c r="Q320" s="237">
        <f>VLOOKUP(C320,'Talente &amp; Stuff'!ER:FT,15,FALSE)</f>
        <v>0</v>
      </c>
      <c r="R320" s="234">
        <f>VLOOKUP(C320,'Talente &amp; Stuff'!ER:FT,16,FALSE)</f>
        <v>0</v>
      </c>
      <c r="S320" s="224">
        <f>VLOOKUP(C320,'Talente &amp; Stuff'!ER:FT,17,FALSE)</f>
        <v>0</v>
      </c>
      <c r="T320" s="224">
        <f>VLOOKUP(C320,'Talente &amp; Stuff'!ER:FT,18,FALSE)</f>
        <v>0</v>
      </c>
      <c r="U320" s="222">
        <f>VLOOKUP(C320,'Talente &amp; Stuff'!ER:FT,19,FALSE)</f>
        <v>0</v>
      </c>
      <c r="V320" s="223">
        <f>VLOOKUP(C320,'Talente &amp; Stuff'!ER:FT,20,FALSE)</f>
        <v>0</v>
      </c>
      <c r="W320" s="243">
        <f>VLOOKUP(C320,'Talente &amp; Stuff'!ER:FT,21,FALSE)</f>
        <v>0</v>
      </c>
      <c r="X320" s="243">
        <f>VLOOKUP(C320,'Talente &amp; Stuff'!ER:FT,22,FALSE)</f>
        <v>0</v>
      </c>
      <c r="Y320" s="252">
        <f>VLOOKUP(C320,Ausgewählte_Zauber_Zauberbarden,168,FALSE)</f>
        <v>0</v>
      </c>
      <c r="Z320" s="309">
        <f>VLOOKUP(C320,Ausgewählte_Zauber_Zauberbarden,169,FALSE)</f>
        <v>0</v>
      </c>
      <c r="AA320" s="218">
        <f>VLOOKUP(C320,'Talente &amp; Stuff'!ER:FT,25,FALSE)</f>
        <v>0</v>
      </c>
      <c r="AB320" s="242">
        <f>VLOOKUP(C320,'Talente &amp; Stuff'!ER:FT,26,FALSE)</f>
        <v>0</v>
      </c>
      <c r="AC320" s="243">
        <f>VLOOKUP(C320,'Talente &amp; Stuff'!ER:FT,27,FALSE)</f>
        <v>0</v>
      </c>
      <c r="AD320" s="218">
        <f>VLOOKUP(C320,'Talente &amp; Stuff'!ER:FT,28,FALSE)</f>
        <v>0</v>
      </c>
      <c r="AE320" s="343"/>
    </row>
    <row r="321" spans="1:31" s="217" customFormat="1" hidden="1" outlineLevel="2">
      <c r="A321" s="185"/>
      <c r="B321" s="217">
        <v>24</v>
      </c>
      <c r="C321" s="306" t="str">
        <f>Attribute!C321</f>
        <v>---</v>
      </c>
      <c r="D321" s="246" t="str">
        <f>VLOOKUP(C321,'Talente &amp; Stuff'!ER:FT,2,FALSE)</f>
        <v>--/--/--</v>
      </c>
      <c r="E321" s="245" t="str">
        <f>VLOOKUP(C321,'Talente &amp; Stuff'!ER:FT,3,FALSE)</f>
        <v>-</v>
      </c>
      <c r="F321" s="238">
        <f>VLOOKUP(C321,'Talente &amp; Stuff'!ER:FT,4,FALSE)</f>
        <v>0</v>
      </c>
      <c r="G321" s="235">
        <f>VLOOKUP(C321,'Talente &amp; Stuff'!ER:FT,5,FALSE)</f>
        <v>0</v>
      </c>
      <c r="H321" s="235">
        <f>VLOOKUP(C321,'Talente &amp; Stuff'!ER:FT,6,FALSE)</f>
        <v>0</v>
      </c>
      <c r="I321" s="235">
        <f>VLOOKUP(C321,'Talente &amp; Stuff'!ER:FT,7,FALSE)</f>
        <v>0</v>
      </c>
      <c r="J321" s="235">
        <f>VLOOKUP(C321,'Talente &amp; Stuff'!ER:FT,8,FALSE)</f>
        <v>0</v>
      </c>
      <c r="K321" s="235">
        <f>VLOOKUP(C321,'Talente &amp; Stuff'!ER:FT,9,FALSE)</f>
        <v>0</v>
      </c>
      <c r="L321" s="235">
        <f>VLOOKUP(C321,'Talente &amp; Stuff'!ER:FT,10,FALSE)</f>
        <v>0</v>
      </c>
      <c r="M321" s="227">
        <f>VLOOKUP(C321,'Talente &amp; Stuff'!ER:FT,11,FALSE)</f>
        <v>0</v>
      </c>
      <c r="N321" s="226">
        <f>VLOOKUP(C321,'Talente &amp; Stuff'!ER:FT,12,FALSE)</f>
        <v>0</v>
      </c>
      <c r="O321" s="226">
        <f>VLOOKUP(C321,'Talente &amp; Stuff'!ER:FT,13,FALSE)</f>
        <v>0</v>
      </c>
      <c r="P321" s="227">
        <f>VLOOKUP(C321,'Talente &amp; Stuff'!ER:FT,14,FALSE)</f>
        <v>0</v>
      </c>
      <c r="Q321" s="238">
        <f>VLOOKUP(C321,'Talente &amp; Stuff'!ER:FT,15,FALSE)</f>
        <v>0</v>
      </c>
      <c r="R321" s="235">
        <f>VLOOKUP(C321,'Talente &amp; Stuff'!ER:FT,16,FALSE)</f>
        <v>0</v>
      </c>
      <c r="S321" s="227">
        <f>VLOOKUP(C321,'Talente &amp; Stuff'!ER:FT,17,FALSE)</f>
        <v>0</v>
      </c>
      <c r="T321" s="227">
        <f>VLOOKUP(C321,'Talente &amp; Stuff'!ER:FT,18,FALSE)</f>
        <v>0</v>
      </c>
      <c r="U321" s="225">
        <f>VLOOKUP(C321,'Talente &amp; Stuff'!ER:FT,19,FALSE)</f>
        <v>0</v>
      </c>
      <c r="V321" s="226">
        <f>VLOOKUP(C321,'Talente &amp; Stuff'!ER:FT,20,FALSE)</f>
        <v>0</v>
      </c>
      <c r="W321" s="245">
        <f>VLOOKUP(C321,'Talente &amp; Stuff'!ER:FT,21,FALSE)</f>
        <v>0</v>
      </c>
      <c r="X321" s="245">
        <f>VLOOKUP(C321,'Talente &amp; Stuff'!ER:FT,22,FALSE)</f>
        <v>0</v>
      </c>
      <c r="Y321" s="252">
        <f>VLOOKUP(C321,Ausgewählte_Zauber_Zauberbarden,168,FALSE)</f>
        <v>0</v>
      </c>
      <c r="Z321" s="309">
        <f>VLOOKUP(C321,Ausgewählte_Zauber_Zauberbarden,169,FALSE)</f>
        <v>0</v>
      </c>
      <c r="AA321" s="246">
        <f>VLOOKUP(C321,'Talente &amp; Stuff'!ER:FT,25,FALSE)</f>
        <v>0</v>
      </c>
      <c r="AB321" s="244">
        <f>VLOOKUP(C321,'Talente &amp; Stuff'!ER:FT,26,FALSE)</f>
        <v>0</v>
      </c>
      <c r="AC321" s="245">
        <f>VLOOKUP(C321,'Talente &amp; Stuff'!ER:FT,27,FALSE)</f>
        <v>0</v>
      </c>
      <c r="AD321" s="246">
        <f>VLOOKUP(C321,'Talente &amp; Stuff'!ER:FT,28,FALSE)</f>
        <v>0</v>
      </c>
      <c r="AE321" s="343"/>
    </row>
    <row r="322" spans="1:31" s="217" customFormat="1" hidden="1" outlineLevel="1" collapsed="1">
      <c r="A322" s="185"/>
      <c r="B322" s="216" t="s">
        <v>446</v>
      </c>
      <c r="C322" s="307"/>
      <c r="D322" s="308"/>
      <c r="E322" s="308"/>
      <c r="Y322" s="251"/>
      <c r="Z322" s="251"/>
    </row>
    <row r="323" spans="1:31" s="217" customFormat="1" hidden="1" outlineLevel="2">
      <c r="A323" s="185"/>
      <c r="B323" s="217">
        <v>1</v>
      </c>
      <c r="C323" s="302" t="str">
        <f>Attribute!C323</f>
        <v>---</v>
      </c>
      <c r="D323" s="43" t="str">
        <f>VLOOKUP(C323,'Talente &amp; Stuff'!ER:FT,2,FALSE)</f>
        <v>--/--/--</v>
      </c>
      <c r="E323" s="42" t="str">
        <f>VLOOKUP(C323,'Talente &amp; Stuff'!ER:FT,3,FALSE)</f>
        <v>-</v>
      </c>
      <c r="F323" s="236">
        <f>VLOOKUP(C323,'Talente &amp; Stuff'!ER:FT,4,FALSE)</f>
        <v>0</v>
      </c>
      <c r="G323" s="233">
        <f>VLOOKUP(C323,'Talente &amp; Stuff'!ER:FT,5,FALSE)</f>
        <v>0</v>
      </c>
      <c r="H323" s="233">
        <f>VLOOKUP(C323,'Talente &amp; Stuff'!ER:FT,6,FALSE)</f>
        <v>0</v>
      </c>
      <c r="I323" s="233">
        <f>VLOOKUP(C323,'Talente &amp; Stuff'!ER:FT,7,FALSE)</f>
        <v>0</v>
      </c>
      <c r="J323" s="233">
        <f>VLOOKUP(C323,'Talente &amp; Stuff'!ER:FT,8,FALSE)</f>
        <v>0</v>
      </c>
      <c r="K323" s="233">
        <f>VLOOKUP(C323,'Talente &amp; Stuff'!ER:FT,9,FALSE)</f>
        <v>0</v>
      </c>
      <c r="L323" s="233">
        <f>VLOOKUP(C323,'Talente &amp; Stuff'!ER:FT,10,FALSE)</f>
        <v>0</v>
      </c>
      <c r="M323" s="221">
        <f>VLOOKUP(C323,'Talente &amp; Stuff'!ER:FT,11,FALSE)</f>
        <v>0</v>
      </c>
      <c r="N323" s="219">
        <f>VLOOKUP(C323,'Talente &amp; Stuff'!ER:FT,12,FALSE)</f>
        <v>0</v>
      </c>
      <c r="O323" s="220">
        <f>VLOOKUP(C323,'Talente &amp; Stuff'!ER:FT,13,FALSE)</f>
        <v>0</v>
      </c>
      <c r="P323" s="221">
        <f>VLOOKUP(C323,'Talente &amp; Stuff'!ER:FT,14,FALSE)</f>
        <v>0</v>
      </c>
      <c r="Q323" s="236">
        <f>VLOOKUP(C323,'Talente &amp; Stuff'!ER:FT,15,FALSE)</f>
        <v>0</v>
      </c>
      <c r="R323" s="316">
        <f>VLOOKUP(C323,'Talente &amp; Stuff'!ER:FT,16,FALSE)</f>
        <v>0</v>
      </c>
      <c r="S323" s="221">
        <f>VLOOKUP(C323,'Talente &amp; Stuff'!ER:FT,17,FALSE)</f>
        <v>0</v>
      </c>
      <c r="T323" s="78">
        <f>VLOOKUP(C323,'Talente &amp; Stuff'!ER:FT,18,FALSE)</f>
        <v>0</v>
      </c>
      <c r="U323" s="219">
        <f>VLOOKUP(C323,'Talente &amp; Stuff'!ER:FT,19,FALSE)</f>
        <v>0</v>
      </c>
      <c r="V323" s="220">
        <f>VLOOKUP(C323,'Talente &amp; Stuff'!ER:FT,20,FALSE)</f>
        <v>0</v>
      </c>
      <c r="W323" s="241">
        <f>VLOOKUP(C323,'Talente &amp; Stuff'!ER:FT,21,FALSE)</f>
        <v>0</v>
      </c>
      <c r="X323" s="42">
        <f>VLOOKUP(C323,'Talente &amp; Stuff'!ER:FT,22,FALSE)</f>
        <v>0</v>
      </c>
      <c r="Y323" s="252">
        <f>VLOOKUP(C323,Ausgewählte_Zauber_Zaubertänzer,168,FALSE)</f>
        <v>0</v>
      </c>
      <c r="Z323" s="309">
        <f>VLOOKUP(C323,Ausgewählte_Zauber_Zaubertänzer,169,FALSE)</f>
        <v>0</v>
      </c>
      <c r="AA323" s="42">
        <f>VLOOKUP(C323,'Talente &amp; Stuff'!ER:FT,25,FALSE)</f>
        <v>0</v>
      </c>
      <c r="AB323" s="78">
        <f>VLOOKUP(C323,'Talente &amp; Stuff'!ER:FT,26,FALSE)</f>
        <v>0</v>
      </c>
      <c r="AC323" s="42">
        <f>VLOOKUP(C323,'Talente &amp; Stuff'!ER:FT,27,FALSE)</f>
        <v>0</v>
      </c>
      <c r="AD323" s="42">
        <f>VLOOKUP(C323,'Talente &amp; Stuff'!ER:FT,28,FALSE)</f>
        <v>0</v>
      </c>
      <c r="AE323" s="343"/>
    </row>
    <row r="324" spans="1:31" s="217" customFormat="1" hidden="1" outlineLevel="2">
      <c r="A324" s="185"/>
      <c r="B324" s="217">
        <v>2</v>
      </c>
      <c r="C324" s="303" t="str">
        <f>Attribute!C324</f>
        <v>---</v>
      </c>
      <c r="D324" s="304" t="str">
        <f>VLOOKUP(C324,'Talente &amp; Stuff'!ER:FT,2,FALSE)</f>
        <v>--/--/--</v>
      </c>
      <c r="E324" s="304" t="str">
        <f>VLOOKUP(C324,'Talente &amp; Stuff'!ER:FT,3,FALSE)</f>
        <v>-</v>
      </c>
      <c r="F324" s="317">
        <f>VLOOKUP(C324,'Talente &amp; Stuff'!ER:FT,4,FALSE)</f>
        <v>0</v>
      </c>
      <c r="G324" s="254">
        <f>VLOOKUP(C324,'Talente &amp; Stuff'!ER:FT,5,FALSE)</f>
        <v>0</v>
      </c>
      <c r="H324" s="254">
        <f>VLOOKUP(C324,'Talente &amp; Stuff'!ER:FT,6,FALSE)</f>
        <v>0</v>
      </c>
      <c r="I324" s="254">
        <f>VLOOKUP(C324,'Talente &amp; Stuff'!ER:FT,7,FALSE)</f>
        <v>0</v>
      </c>
      <c r="J324" s="254">
        <f>VLOOKUP(C324,'Talente &amp; Stuff'!ER:FT,8,FALSE)</f>
        <v>0</v>
      </c>
      <c r="K324" s="254">
        <f>VLOOKUP(C324,'Talente &amp; Stuff'!ER:FT,9,FALSE)</f>
        <v>0</v>
      </c>
      <c r="L324" s="254">
        <f>VLOOKUP(C324,'Talente &amp; Stuff'!ER:FT,10,FALSE)</f>
        <v>0</v>
      </c>
      <c r="M324" s="318">
        <f>VLOOKUP(C324,'Talente &amp; Stuff'!ER:FT,11,FALSE)</f>
        <v>0</v>
      </c>
      <c r="N324" s="222">
        <f>VLOOKUP(C324,'Talente &amp; Stuff'!ER:FT,12,FALSE)</f>
        <v>0</v>
      </c>
      <c r="O324" s="223">
        <f>VLOOKUP(C324,'Talente &amp; Stuff'!ER:FT,13,FALSE)</f>
        <v>0</v>
      </c>
      <c r="P324" s="224">
        <f>VLOOKUP(C324,'Talente &amp; Stuff'!ER:FT,14,FALSE)</f>
        <v>0</v>
      </c>
      <c r="Q324" s="237">
        <f>VLOOKUP(C324,'Talente &amp; Stuff'!ER:FT,15,FALSE)</f>
        <v>0</v>
      </c>
      <c r="R324" s="254">
        <f>VLOOKUP(C324,'Talente &amp; Stuff'!ER:FT,16,FALSE)</f>
        <v>0</v>
      </c>
      <c r="S324" s="224">
        <f>VLOOKUP(C324,'Talente &amp; Stuff'!ER:FT,17,FALSE)</f>
        <v>0</v>
      </c>
      <c r="T324" s="242">
        <f>VLOOKUP(C324,'Talente &amp; Stuff'!ER:FT,18,FALSE)</f>
        <v>0</v>
      </c>
      <c r="U324" s="222">
        <f>VLOOKUP(C324,'Talente &amp; Stuff'!ER:FT,19,FALSE)</f>
        <v>0</v>
      </c>
      <c r="V324" s="223">
        <f>VLOOKUP(C324,'Talente &amp; Stuff'!ER:FT,20,FALSE)</f>
        <v>0</v>
      </c>
      <c r="W324" s="243">
        <f>VLOOKUP(C324,'Talente &amp; Stuff'!ER:FT,21,FALSE)</f>
        <v>0</v>
      </c>
      <c r="X324" s="218">
        <f>VLOOKUP(C324,'Talente &amp; Stuff'!ER:FT,22,FALSE)</f>
        <v>0</v>
      </c>
      <c r="Y324" s="252">
        <f>VLOOKUP(C324,Ausgewählte_Zauber_Zaubertänzer,168,FALSE)</f>
        <v>0</v>
      </c>
      <c r="Z324" s="309">
        <f>VLOOKUP(C324,Ausgewählte_Zauber_Zaubertänzer,169,FALSE)</f>
        <v>0</v>
      </c>
      <c r="AA324" s="218">
        <f>VLOOKUP(C324,'Talente &amp; Stuff'!ER:FT,25,FALSE)</f>
        <v>0</v>
      </c>
      <c r="AB324" s="242">
        <f>VLOOKUP(C324,'Talente &amp; Stuff'!ER:FT,26,FALSE)</f>
        <v>0</v>
      </c>
      <c r="AC324" s="218">
        <f>VLOOKUP(C324,'Talente &amp; Stuff'!ER:FT,27,FALSE)</f>
        <v>0</v>
      </c>
      <c r="AD324" s="218">
        <f>VLOOKUP(C324,'Talente &amp; Stuff'!ER:FT,28,FALSE)</f>
        <v>0</v>
      </c>
      <c r="AE324" s="343"/>
    </row>
    <row r="325" spans="1:31" s="217" customFormat="1" hidden="1" outlineLevel="2">
      <c r="A325" s="185"/>
      <c r="B325" s="217">
        <v>3</v>
      </c>
      <c r="C325" s="303" t="str">
        <f>Attribute!C325</f>
        <v>---</v>
      </c>
      <c r="D325" s="304" t="str">
        <f>VLOOKUP(C325,'Talente &amp; Stuff'!ER:FT,2,FALSE)</f>
        <v>--/--/--</v>
      </c>
      <c r="E325" s="304" t="str">
        <f>VLOOKUP(C325,'Talente &amp; Stuff'!ER:FT,3,FALSE)</f>
        <v>-</v>
      </c>
      <c r="F325" s="317">
        <f>VLOOKUP(C325,'Talente &amp; Stuff'!ER:FT,4,FALSE)</f>
        <v>0</v>
      </c>
      <c r="G325" s="254">
        <f>VLOOKUP(C325,'Talente &amp; Stuff'!ER:FT,5,FALSE)</f>
        <v>0</v>
      </c>
      <c r="H325" s="254">
        <f>VLOOKUP(C325,'Talente &amp; Stuff'!ER:FT,6,FALSE)</f>
        <v>0</v>
      </c>
      <c r="I325" s="254">
        <f>VLOOKUP(C325,'Talente &amp; Stuff'!ER:FT,7,FALSE)</f>
        <v>0</v>
      </c>
      <c r="J325" s="254">
        <f>VLOOKUP(C325,'Talente &amp; Stuff'!ER:FT,8,FALSE)</f>
        <v>0</v>
      </c>
      <c r="K325" s="254">
        <f>VLOOKUP(C325,'Talente &amp; Stuff'!ER:FT,9,FALSE)</f>
        <v>0</v>
      </c>
      <c r="L325" s="254">
        <f>VLOOKUP(C325,'Talente &amp; Stuff'!ER:FT,10,FALSE)</f>
        <v>0</v>
      </c>
      <c r="M325" s="318">
        <f>VLOOKUP(C325,'Talente &amp; Stuff'!ER:FT,11,FALSE)</f>
        <v>0</v>
      </c>
      <c r="N325" s="222">
        <f>VLOOKUP(C325,'Talente &amp; Stuff'!ER:FT,12,FALSE)</f>
        <v>0</v>
      </c>
      <c r="O325" s="223">
        <f>VLOOKUP(C325,'Talente &amp; Stuff'!ER:FT,13,FALSE)</f>
        <v>0</v>
      </c>
      <c r="P325" s="224">
        <f>VLOOKUP(C325,'Talente &amp; Stuff'!ER:FT,14,FALSE)</f>
        <v>0</v>
      </c>
      <c r="Q325" s="237">
        <f>VLOOKUP(C325,'Talente &amp; Stuff'!ER:FT,15,FALSE)</f>
        <v>0</v>
      </c>
      <c r="R325" s="254">
        <f>VLOOKUP(C325,'Talente &amp; Stuff'!ER:FT,16,FALSE)</f>
        <v>0</v>
      </c>
      <c r="S325" s="224">
        <f>VLOOKUP(C325,'Talente &amp; Stuff'!ER:FT,17,FALSE)</f>
        <v>0</v>
      </c>
      <c r="T325" s="242">
        <f>VLOOKUP(C325,'Talente &amp; Stuff'!ER:FT,18,FALSE)</f>
        <v>0</v>
      </c>
      <c r="U325" s="222">
        <f>VLOOKUP(C325,'Talente &amp; Stuff'!ER:FT,19,FALSE)</f>
        <v>0</v>
      </c>
      <c r="V325" s="223">
        <f>VLOOKUP(C325,'Talente &amp; Stuff'!ER:FT,20,FALSE)</f>
        <v>0</v>
      </c>
      <c r="W325" s="243">
        <f>VLOOKUP(C325,'Talente &amp; Stuff'!ER:FT,21,FALSE)</f>
        <v>0</v>
      </c>
      <c r="X325" s="218">
        <f>VLOOKUP(C325,'Talente &amp; Stuff'!ER:FT,22,FALSE)</f>
        <v>0</v>
      </c>
      <c r="Y325" s="252">
        <f>VLOOKUP(C325,Ausgewählte_Zauber_Zaubertänzer,168,FALSE)</f>
        <v>0</v>
      </c>
      <c r="Z325" s="309">
        <f>VLOOKUP(C325,Ausgewählte_Zauber_Zaubertänzer,169,FALSE)</f>
        <v>0</v>
      </c>
      <c r="AA325" s="218">
        <f>VLOOKUP(C325,'Talente &amp; Stuff'!ER:FT,25,FALSE)</f>
        <v>0</v>
      </c>
      <c r="AB325" s="242">
        <f>VLOOKUP(C325,'Talente &amp; Stuff'!ER:FT,26,FALSE)</f>
        <v>0</v>
      </c>
      <c r="AC325" s="218">
        <f>VLOOKUP(C325,'Talente &amp; Stuff'!ER:FT,27,FALSE)</f>
        <v>0</v>
      </c>
      <c r="AD325" s="218">
        <f>VLOOKUP(C325,'Talente &amp; Stuff'!ER:FT,28,FALSE)</f>
        <v>0</v>
      </c>
      <c r="AE325" s="343"/>
    </row>
    <row r="326" spans="1:31" s="217" customFormat="1" hidden="1" outlineLevel="2">
      <c r="A326" s="185"/>
      <c r="B326" s="217">
        <v>4</v>
      </c>
      <c r="C326" s="303" t="str">
        <f>Attribute!C326</f>
        <v>---</v>
      </c>
      <c r="D326" s="304" t="str">
        <f>VLOOKUP(C326,'Talente &amp; Stuff'!ER:FT,2,FALSE)</f>
        <v>--/--/--</v>
      </c>
      <c r="E326" s="304" t="str">
        <f>VLOOKUP(C326,'Talente &amp; Stuff'!ER:FT,3,FALSE)</f>
        <v>-</v>
      </c>
      <c r="F326" s="317">
        <f>VLOOKUP(C326,'Talente &amp; Stuff'!ER:FT,4,FALSE)</f>
        <v>0</v>
      </c>
      <c r="G326" s="254">
        <f>VLOOKUP(C326,'Talente &amp; Stuff'!ER:FT,5,FALSE)</f>
        <v>0</v>
      </c>
      <c r="H326" s="254">
        <f>VLOOKUP(C326,'Talente &amp; Stuff'!ER:FT,6,FALSE)</f>
        <v>0</v>
      </c>
      <c r="I326" s="254">
        <f>VLOOKUP(C326,'Talente &amp; Stuff'!ER:FT,7,FALSE)</f>
        <v>0</v>
      </c>
      <c r="J326" s="254">
        <f>VLOOKUP(C326,'Talente &amp; Stuff'!ER:FT,8,FALSE)</f>
        <v>0</v>
      </c>
      <c r="K326" s="254">
        <f>VLOOKUP(C326,'Talente &amp; Stuff'!ER:FT,9,FALSE)</f>
        <v>0</v>
      </c>
      <c r="L326" s="254">
        <f>VLOOKUP(C326,'Talente &amp; Stuff'!ER:FT,10,FALSE)</f>
        <v>0</v>
      </c>
      <c r="M326" s="318">
        <f>VLOOKUP(C326,'Talente &amp; Stuff'!ER:FT,11,FALSE)</f>
        <v>0</v>
      </c>
      <c r="N326" s="222">
        <f>VLOOKUP(C326,'Talente &amp; Stuff'!ER:FT,12,FALSE)</f>
        <v>0</v>
      </c>
      <c r="O326" s="223">
        <f>VLOOKUP(C326,'Talente &amp; Stuff'!ER:FT,13,FALSE)</f>
        <v>0</v>
      </c>
      <c r="P326" s="224">
        <f>VLOOKUP(C326,'Talente &amp; Stuff'!ER:FT,14,FALSE)</f>
        <v>0</v>
      </c>
      <c r="Q326" s="237">
        <f>VLOOKUP(C326,'Talente &amp; Stuff'!ER:FT,15,FALSE)</f>
        <v>0</v>
      </c>
      <c r="R326" s="254">
        <f>VLOOKUP(C326,'Talente &amp; Stuff'!ER:FT,16,FALSE)</f>
        <v>0</v>
      </c>
      <c r="S326" s="224">
        <f>VLOOKUP(C326,'Talente &amp; Stuff'!ER:FT,17,FALSE)</f>
        <v>0</v>
      </c>
      <c r="T326" s="242">
        <f>VLOOKUP(C326,'Talente &amp; Stuff'!ER:FT,18,FALSE)</f>
        <v>0</v>
      </c>
      <c r="U326" s="222">
        <f>VLOOKUP(C326,'Talente &amp; Stuff'!ER:FT,19,FALSE)</f>
        <v>0</v>
      </c>
      <c r="V326" s="223">
        <f>VLOOKUP(C326,'Talente &amp; Stuff'!ER:FT,20,FALSE)</f>
        <v>0</v>
      </c>
      <c r="W326" s="243">
        <f>VLOOKUP(C326,'Talente &amp; Stuff'!ER:FT,21,FALSE)</f>
        <v>0</v>
      </c>
      <c r="X326" s="218">
        <f>VLOOKUP(C326,'Talente &amp; Stuff'!ER:FT,22,FALSE)</f>
        <v>0</v>
      </c>
      <c r="Y326" s="252">
        <f>VLOOKUP(C326,Ausgewählte_Zauber_Zaubertänzer,168,FALSE)</f>
        <v>0</v>
      </c>
      <c r="Z326" s="309">
        <f>VLOOKUP(C326,Ausgewählte_Zauber_Zaubertänzer,169,FALSE)</f>
        <v>0</v>
      </c>
      <c r="AA326" s="218">
        <f>VLOOKUP(C326,'Talente &amp; Stuff'!ER:FT,25,FALSE)</f>
        <v>0</v>
      </c>
      <c r="AB326" s="242">
        <f>VLOOKUP(C326,'Talente &amp; Stuff'!ER:FT,26,FALSE)</f>
        <v>0</v>
      </c>
      <c r="AC326" s="218">
        <f>VLOOKUP(C326,'Talente &amp; Stuff'!ER:FT,27,FALSE)</f>
        <v>0</v>
      </c>
      <c r="AD326" s="218">
        <f>VLOOKUP(C326,'Talente &amp; Stuff'!ER:FT,28,FALSE)</f>
        <v>0</v>
      </c>
      <c r="AE326" s="343"/>
    </row>
    <row r="327" spans="1:31" s="217" customFormat="1" hidden="1" outlineLevel="2">
      <c r="A327" s="185"/>
      <c r="B327" s="217">
        <v>5</v>
      </c>
      <c r="C327" s="303" t="str">
        <f>Attribute!C327</f>
        <v>---</v>
      </c>
      <c r="D327" s="304" t="str">
        <f>VLOOKUP(C327,'Talente &amp; Stuff'!ER:FT,2,FALSE)</f>
        <v>--/--/--</v>
      </c>
      <c r="E327" s="304" t="str">
        <f>VLOOKUP(C327,'Talente &amp; Stuff'!ER:FT,3,FALSE)</f>
        <v>-</v>
      </c>
      <c r="F327" s="317">
        <f>VLOOKUP(C327,'Talente &amp; Stuff'!ER:FT,4,FALSE)</f>
        <v>0</v>
      </c>
      <c r="G327" s="254">
        <f>VLOOKUP(C327,'Talente &amp; Stuff'!ER:FT,5,FALSE)</f>
        <v>0</v>
      </c>
      <c r="H327" s="254">
        <f>VLOOKUP(C327,'Talente &amp; Stuff'!ER:FT,6,FALSE)</f>
        <v>0</v>
      </c>
      <c r="I327" s="254">
        <f>VLOOKUP(C327,'Talente &amp; Stuff'!ER:FT,7,FALSE)</f>
        <v>0</v>
      </c>
      <c r="J327" s="254">
        <f>VLOOKUP(C327,'Talente &amp; Stuff'!ER:FT,8,FALSE)</f>
        <v>0</v>
      </c>
      <c r="K327" s="254">
        <f>VLOOKUP(C327,'Talente &amp; Stuff'!ER:FT,9,FALSE)</f>
        <v>0</v>
      </c>
      <c r="L327" s="254">
        <f>VLOOKUP(C327,'Talente &amp; Stuff'!ER:FT,10,FALSE)</f>
        <v>0</v>
      </c>
      <c r="M327" s="318">
        <f>VLOOKUP(C327,'Talente &amp; Stuff'!ER:FT,11,FALSE)</f>
        <v>0</v>
      </c>
      <c r="N327" s="222">
        <f>VLOOKUP(C327,'Talente &amp; Stuff'!ER:FT,12,FALSE)</f>
        <v>0</v>
      </c>
      <c r="O327" s="223">
        <f>VLOOKUP(C327,'Talente &amp; Stuff'!ER:FT,13,FALSE)</f>
        <v>0</v>
      </c>
      <c r="P327" s="224">
        <f>VLOOKUP(C327,'Talente &amp; Stuff'!ER:FT,14,FALSE)</f>
        <v>0</v>
      </c>
      <c r="Q327" s="237">
        <f>VLOOKUP(C327,'Talente &amp; Stuff'!ER:FT,15,FALSE)</f>
        <v>0</v>
      </c>
      <c r="R327" s="254">
        <f>VLOOKUP(C327,'Talente &amp; Stuff'!ER:FT,16,FALSE)</f>
        <v>0</v>
      </c>
      <c r="S327" s="224">
        <f>VLOOKUP(C327,'Talente &amp; Stuff'!ER:FT,17,FALSE)</f>
        <v>0</v>
      </c>
      <c r="T327" s="242">
        <f>VLOOKUP(C327,'Talente &amp; Stuff'!ER:FT,18,FALSE)</f>
        <v>0</v>
      </c>
      <c r="U327" s="222">
        <f>VLOOKUP(C327,'Talente &amp; Stuff'!ER:FT,19,FALSE)</f>
        <v>0</v>
      </c>
      <c r="V327" s="223">
        <f>VLOOKUP(C327,'Talente &amp; Stuff'!ER:FT,20,FALSE)</f>
        <v>0</v>
      </c>
      <c r="W327" s="243">
        <f>VLOOKUP(C327,'Talente &amp; Stuff'!ER:FT,21,FALSE)</f>
        <v>0</v>
      </c>
      <c r="X327" s="218">
        <f>VLOOKUP(C327,'Talente &amp; Stuff'!ER:FT,22,FALSE)</f>
        <v>0</v>
      </c>
      <c r="Y327" s="252">
        <f>VLOOKUP(C327,Ausgewählte_Zauber_Zaubertänzer,168,FALSE)</f>
        <v>0</v>
      </c>
      <c r="Z327" s="309">
        <f>VLOOKUP(C327,Ausgewählte_Zauber_Zaubertänzer,169,FALSE)</f>
        <v>0</v>
      </c>
      <c r="AA327" s="218">
        <f>VLOOKUP(C327,'Talente &amp; Stuff'!ER:FT,25,FALSE)</f>
        <v>0</v>
      </c>
      <c r="AB327" s="242">
        <f>VLOOKUP(C327,'Talente &amp; Stuff'!ER:FT,26,FALSE)</f>
        <v>0</v>
      </c>
      <c r="AC327" s="218">
        <f>VLOOKUP(C327,'Talente &amp; Stuff'!ER:FT,27,FALSE)</f>
        <v>0</v>
      </c>
      <c r="AD327" s="218">
        <f>VLOOKUP(C327,'Talente &amp; Stuff'!ER:FT,28,FALSE)</f>
        <v>0</v>
      </c>
      <c r="AE327" s="343"/>
    </row>
    <row r="328" spans="1:31" s="217" customFormat="1" hidden="1" outlineLevel="2">
      <c r="A328" s="185"/>
      <c r="B328" s="217">
        <v>6</v>
      </c>
      <c r="C328" s="303" t="str">
        <f>Attribute!C328</f>
        <v>---</v>
      </c>
      <c r="D328" s="304" t="str">
        <f>VLOOKUP(C328,'Talente &amp; Stuff'!ER:FT,2,FALSE)</f>
        <v>--/--/--</v>
      </c>
      <c r="E328" s="304" t="str">
        <f>VLOOKUP(C328,'Talente &amp; Stuff'!ER:FT,3,FALSE)</f>
        <v>-</v>
      </c>
      <c r="F328" s="317">
        <f>VLOOKUP(C328,'Talente &amp; Stuff'!ER:FT,4,FALSE)</f>
        <v>0</v>
      </c>
      <c r="G328" s="254">
        <f>VLOOKUP(C328,'Talente &amp; Stuff'!ER:FT,5,FALSE)</f>
        <v>0</v>
      </c>
      <c r="H328" s="254">
        <f>VLOOKUP(C328,'Talente &amp; Stuff'!ER:FT,6,FALSE)</f>
        <v>0</v>
      </c>
      <c r="I328" s="254">
        <f>VLOOKUP(C328,'Talente &amp; Stuff'!ER:FT,7,FALSE)</f>
        <v>0</v>
      </c>
      <c r="J328" s="254">
        <f>VLOOKUP(C328,'Talente &amp; Stuff'!ER:FT,8,FALSE)</f>
        <v>0</v>
      </c>
      <c r="K328" s="254">
        <f>VLOOKUP(C328,'Talente &amp; Stuff'!ER:FT,9,FALSE)</f>
        <v>0</v>
      </c>
      <c r="L328" s="254">
        <f>VLOOKUP(C328,'Talente &amp; Stuff'!ER:FT,10,FALSE)</f>
        <v>0</v>
      </c>
      <c r="M328" s="318">
        <f>VLOOKUP(C328,'Talente &amp; Stuff'!ER:FT,11,FALSE)</f>
        <v>0</v>
      </c>
      <c r="N328" s="222">
        <f>VLOOKUP(C328,'Talente &amp; Stuff'!ER:FT,12,FALSE)</f>
        <v>0</v>
      </c>
      <c r="O328" s="223">
        <f>VLOOKUP(C328,'Talente &amp; Stuff'!ER:FT,13,FALSE)</f>
        <v>0</v>
      </c>
      <c r="P328" s="224">
        <f>VLOOKUP(C328,'Talente &amp; Stuff'!ER:FT,14,FALSE)</f>
        <v>0</v>
      </c>
      <c r="Q328" s="237">
        <f>VLOOKUP(C328,'Talente &amp; Stuff'!ER:FT,15,FALSE)</f>
        <v>0</v>
      </c>
      <c r="R328" s="254">
        <f>VLOOKUP(C328,'Talente &amp; Stuff'!ER:FT,16,FALSE)</f>
        <v>0</v>
      </c>
      <c r="S328" s="224">
        <f>VLOOKUP(C328,'Talente &amp; Stuff'!ER:FT,17,FALSE)</f>
        <v>0</v>
      </c>
      <c r="T328" s="242">
        <f>VLOOKUP(C328,'Talente &amp; Stuff'!ER:FT,18,FALSE)</f>
        <v>0</v>
      </c>
      <c r="U328" s="222">
        <f>VLOOKUP(C328,'Talente &amp; Stuff'!ER:FT,19,FALSE)</f>
        <v>0</v>
      </c>
      <c r="V328" s="223">
        <f>VLOOKUP(C328,'Talente &amp; Stuff'!ER:FT,20,FALSE)</f>
        <v>0</v>
      </c>
      <c r="W328" s="243">
        <f>VLOOKUP(C328,'Talente &amp; Stuff'!ER:FT,21,FALSE)</f>
        <v>0</v>
      </c>
      <c r="X328" s="218">
        <f>VLOOKUP(C328,'Talente &amp; Stuff'!ER:FT,22,FALSE)</f>
        <v>0</v>
      </c>
      <c r="Y328" s="252">
        <f>VLOOKUP(C328,Ausgewählte_Zauber_Zaubertänzer,168,FALSE)</f>
        <v>0</v>
      </c>
      <c r="Z328" s="309">
        <f>VLOOKUP(C328,Ausgewählte_Zauber_Zaubertänzer,169,FALSE)</f>
        <v>0</v>
      </c>
      <c r="AA328" s="218">
        <f>VLOOKUP(C328,'Talente &amp; Stuff'!ER:FT,25,FALSE)</f>
        <v>0</v>
      </c>
      <c r="AB328" s="242">
        <f>VLOOKUP(C328,'Talente &amp; Stuff'!ER:FT,26,FALSE)</f>
        <v>0</v>
      </c>
      <c r="AC328" s="218">
        <f>VLOOKUP(C328,'Talente &amp; Stuff'!ER:FT,27,FALSE)</f>
        <v>0</v>
      </c>
      <c r="AD328" s="218">
        <f>VLOOKUP(C328,'Talente &amp; Stuff'!ER:FT,28,FALSE)</f>
        <v>0</v>
      </c>
      <c r="AE328" s="343"/>
    </row>
    <row r="329" spans="1:31" s="217" customFormat="1" hidden="1" outlineLevel="2">
      <c r="A329" s="185"/>
      <c r="B329" s="217">
        <v>7</v>
      </c>
      <c r="C329" s="303" t="str">
        <f>Attribute!C329</f>
        <v>---</v>
      </c>
      <c r="D329" s="304" t="str">
        <f>VLOOKUP(C329,'Talente &amp; Stuff'!ER:FT,2,FALSE)</f>
        <v>--/--/--</v>
      </c>
      <c r="E329" s="304" t="str">
        <f>VLOOKUP(C329,'Talente &amp; Stuff'!ER:FT,3,FALSE)</f>
        <v>-</v>
      </c>
      <c r="F329" s="317">
        <f>VLOOKUP(C329,'Talente &amp; Stuff'!ER:FT,4,FALSE)</f>
        <v>0</v>
      </c>
      <c r="G329" s="254">
        <f>VLOOKUP(C329,'Talente &amp; Stuff'!ER:FT,5,FALSE)</f>
        <v>0</v>
      </c>
      <c r="H329" s="254">
        <f>VLOOKUP(C329,'Talente &amp; Stuff'!ER:FT,6,FALSE)</f>
        <v>0</v>
      </c>
      <c r="I329" s="254">
        <f>VLOOKUP(C329,'Talente &amp; Stuff'!ER:FT,7,FALSE)</f>
        <v>0</v>
      </c>
      <c r="J329" s="254">
        <f>VLOOKUP(C329,'Talente &amp; Stuff'!ER:FT,8,FALSE)</f>
        <v>0</v>
      </c>
      <c r="K329" s="254">
        <f>VLOOKUP(C329,'Talente &amp; Stuff'!ER:FT,9,FALSE)</f>
        <v>0</v>
      </c>
      <c r="L329" s="254">
        <f>VLOOKUP(C329,'Talente &amp; Stuff'!ER:FT,10,FALSE)</f>
        <v>0</v>
      </c>
      <c r="M329" s="318">
        <f>VLOOKUP(C329,'Talente &amp; Stuff'!ER:FT,11,FALSE)</f>
        <v>0</v>
      </c>
      <c r="N329" s="222">
        <f>VLOOKUP(C329,'Talente &amp; Stuff'!ER:FT,12,FALSE)</f>
        <v>0</v>
      </c>
      <c r="O329" s="223">
        <f>VLOOKUP(C329,'Talente &amp; Stuff'!ER:FT,13,FALSE)</f>
        <v>0</v>
      </c>
      <c r="P329" s="224">
        <f>VLOOKUP(C329,'Talente &amp; Stuff'!ER:FT,14,FALSE)</f>
        <v>0</v>
      </c>
      <c r="Q329" s="237">
        <f>VLOOKUP(C329,'Talente &amp; Stuff'!ER:FT,15,FALSE)</f>
        <v>0</v>
      </c>
      <c r="R329" s="254">
        <f>VLOOKUP(C329,'Talente &amp; Stuff'!ER:FT,16,FALSE)</f>
        <v>0</v>
      </c>
      <c r="S329" s="224">
        <f>VLOOKUP(C329,'Talente &amp; Stuff'!ER:FT,17,FALSE)</f>
        <v>0</v>
      </c>
      <c r="T329" s="242">
        <f>VLOOKUP(C329,'Talente &amp; Stuff'!ER:FT,18,FALSE)</f>
        <v>0</v>
      </c>
      <c r="U329" s="222">
        <f>VLOOKUP(C329,'Talente &amp; Stuff'!ER:FT,19,FALSE)</f>
        <v>0</v>
      </c>
      <c r="V329" s="223">
        <f>VLOOKUP(C329,'Talente &amp; Stuff'!ER:FT,20,FALSE)</f>
        <v>0</v>
      </c>
      <c r="W329" s="243">
        <f>VLOOKUP(C329,'Talente &amp; Stuff'!ER:FT,21,FALSE)</f>
        <v>0</v>
      </c>
      <c r="X329" s="218">
        <f>VLOOKUP(C329,'Talente &amp; Stuff'!ER:FT,22,FALSE)</f>
        <v>0</v>
      </c>
      <c r="Y329" s="252">
        <f>VLOOKUP(C329,Ausgewählte_Zauber_Zaubertänzer,168,FALSE)</f>
        <v>0</v>
      </c>
      <c r="Z329" s="309">
        <f>VLOOKUP(C329,Ausgewählte_Zauber_Zaubertänzer,169,FALSE)</f>
        <v>0</v>
      </c>
      <c r="AA329" s="218">
        <f>VLOOKUP(C329,'Talente &amp; Stuff'!ER:FT,25,FALSE)</f>
        <v>0</v>
      </c>
      <c r="AB329" s="242">
        <f>VLOOKUP(C329,'Talente &amp; Stuff'!ER:FT,26,FALSE)</f>
        <v>0</v>
      </c>
      <c r="AC329" s="218">
        <f>VLOOKUP(C329,'Talente &amp; Stuff'!ER:FT,27,FALSE)</f>
        <v>0</v>
      </c>
      <c r="AD329" s="218">
        <f>VLOOKUP(C329,'Talente &amp; Stuff'!ER:FT,28,FALSE)</f>
        <v>0</v>
      </c>
      <c r="AE329" s="343"/>
    </row>
    <row r="330" spans="1:31" s="217" customFormat="1" hidden="1" outlineLevel="2">
      <c r="A330" s="185"/>
      <c r="B330" s="217">
        <v>8</v>
      </c>
      <c r="C330" s="303" t="str">
        <f>Attribute!C330</f>
        <v>---</v>
      </c>
      <c r="D330" s="304" t="str">
        <f>VLOOKUP(C330,'Talente &amp; Stuff'!ER:FT,2,FALSE)</f>
        <v>--/--/--</v>
      </c>
      <c r="E330" s="304" t="str">
        <f>VLOOKUP(C330,'Talente &amp; Stuff'!ER:FT,3,FALSE)</f>
        <v>-</v>
      </c>
      <c r="F330" s="317">
        <f>VLOOKUP(C330,'Talente &amp; Stuff'!ER:FT,4,FALSE)</f>
        <v>0</v>
      </c>
      <c r="G330" s="254">
        <f>VLOOKUP(C330,'Talente &amp; Stuff'!ER:FT,5,FALSE)</f>
        <v>0</v>
      </c>
      <c r="H330" s="254">
        <f>VLOOKUP(C330,'Talente &amp; Stuff'!ER:FT,6,FALSE)</f>
        <v>0</v>
      </c>
      <c r="I330" s="254">
        <f>VLOOKUP(C330,'Talente &amp; Stuff'!ER:FT,7,FALSE)</f>
        <v>0</v>
      </c>
      <c r="J330" s="254">
        <f>VLOOKUP(C330,'Talente &amp; Stuff'!ER:FT,8,FALSE)</f>
        <v>0</v>
      </c>
      <c r="K330" s="254">
        <f>VLOOKUP(C330,'Talente &amp; Stuff'!ER:FT,9,FALSE)</f>
        <v>0</v>
      </c>
      <c r="L330" s="254">
        <f>VLOOKUP(C330,'Talente &amp; Stuff'!ER:FT,10,FALSE)</f>
        <v>0</v>
      </c>
      <c r="M330" s="318">
        <f>VLOOKUP(C330,'Talente &amp; Stuff'!ER:FT,11,FALSE)</f>
        <v>0</v>
      </c>
      <c r="N330" s="222">
        <f>VLOOKUP(C330,'Talente &amp; Stuff'!ER:FT,12,FALSE)</f>
        <v>0</v>
      </c>
      <c r="O330" s="223">
        <f>VLOOKUP(C330,'Talente &amp; Stuff'!ER:FT,13,FALSE)</f>
        <v>0</v>
      </c>
      <c r="P330" s="224">
        <f>VLOOKUP(C330,'Talente &amp; Stuff'!ER:FT,14,FALSE)</f>
        <v>0</v>
      </c>
      <c r="Q330" s="237">
        <f>VLOOKUP(C330,'Talente &amp; Stuff'!ER:FT,15,FALSE)</f>
        <v>0</v>
      </c>
      <c r="R330" s="254">
        <f>VLOOKUP(C330,'Talente &amp; Stuff'!ER:FT,16,FALSE)</f>
        <v>0</v>
      </c>
      <c r="S330" s="224">
        <f>VLOOKUP(C330,'Talente &amp; Stuff'!ER:FT,17,FALSE)</f>
        <v>0</v>
      </c>
      <c r="T330" s="242">
        <f>VLOOKUP(C330,'Talente &amp; Stuff'!ER:FT,18,FALSE)</f>
        <v>0</v>
      </c>
      <c r="U330" s="222">
        <f>VLOOKUP(C330,'Talente &amp; Stuff'!ER:FT,19,FALSE)</f>
        <v>0</v>
      </c>
      <c r="V330" s="223">
        <f>VLOOKUP(C330,'Talente &amp; Stuff'!ER:FT,20,FALSE)</f>
        <v>0</v>
      </c>
      <c r="W330" s="243">
        <f>VLOOKUP(C330,'Talente &amp; Stuff'!ER:FT,21,FALSE)</f>
        <v>0</v>
      </c>
      <c r="X330" s="218">
        <f>VLOOKUP(C330,'Talente &amp; Stuff'!ER:FT,22,FALSE)</f>
        <v>0</v>
      </c>
      <c r="Y330" s="252">
        <f>VLOOKUP(C330,Ausgewählte_Zauber_Zaubertänzer,168,FALSE)</f>
        <v>0</v>
      </c>
      <c r="Z330" s="309">
        <f>VLOOKUP(C330,Ausgewählte_Zauber_Zaubertänzer,169,FALSE)</f>
        <v>0</v>
      </c>
      <c r="AA330" s="218">
        <f>VLOOKUP(C330,'Talente &amp; Stuff'!ER:FT,25,FALSE)</f>
        <v>0</v>
      </c>
      <c r="AB330" s="242">
        <f>VLOOKUP(C330,'Talente &amp; Stuff'!ER:FT,26,FALSE)</f>
        <v>0</v>
      </c>
      <c r="AC330" s="218">
        <f>VLOOKUP(C330,'Talente &amp; Stuff'!ER:FT,27,FALSE)</f>
        <v>0</v>
      </c>
      <c r="AD330" s="218">
        <f>VLOOKUP(C330,'Talente &amp; Stuff'!ER:FT,28,FALSE)</f>
        <v>0</v>
      </c>
      <c r="AE330" s="343"/>
    </row>
    <row r="331" spans="1:31" s="217" customFormat="1" hidden="1" outlineLevel="2">
      <c r="A331" s="185"/>
      <c r="B331" s="217">
        <v>9</v>
      </c>
      <c r="C331" s="303" t="str">
        <f>Attribute!C331</f>
        <v>---</v>
      </c>
      <c r="D331" s="304" t="str">
        <f>VLOOKUP(C331,'Talente &amp; Stuff'!ER:FT,2,FALSE)</f>
        <v>--/--/--</v>
      </c>
      <c r="E331" s="304" t="str">
        <f>VLOOKUP(C331,'Talente &amp; Stuff'!ER:FT,3,FALSE)</f>
        <v>-</v>
      </c>
      <c r="F331" s="317">
        <f>VLOOKUP(C331,'Talente &amp; Stuff'!ER:FT,4,FALSE)</f>
        <v>0</v>
      </c>
      <c r="G331" s="254">
        <f>VLOOKUP(C331,'Talente &amp; Stuff'!ER:FT,5,FALSE)</f>
        <v>0</v>
      </c>
      <c r="H331" s="254">
        <f>VLOOKUP(C331,'Talente &amp; Stuff'!ER:FT,6,FALSE)</f>
        <v>0</v>
      </c>
      <c r="I331" s="254">
        <f>VLOOKUP(C331,'Talente &amp; Stuff'!ER:FT,7,FALSE)</f>
        <v>0</v>
      </c>
      <c r="J331" s="254">
        <f>VLOOKUP(C331,'Talente &amp; Stuff'!ER:FT,8,FALSE)</f>
        <v>0</v>
      </c>
      <c r="K331" s="254">
        <f>VLOOKUP(C331,'Talente &amp; Stuff'!ER:FT,9,FALSE)</f>
        <v>0</v>
      </c>
      <c r="L331" s="254">
        <f>VLOOKUP(C331,'Talente &amp; Stuff'!ER:FT,10,FALSE)</f>
        <v>0</v>
      </c>
      <c r="M331" s="318">
        <f>VLOOKUP(C331,'Talente &amp; Stuff'!ER:FT,11,FALSE)</f>
        <v>0</v>
      </c>
      <c r="N331" s="222">
        <f>VLOOKUP(C331,'Talente &amp; Stuff'!ER:FT,12,FALSE)</f>
        <v>0</v>
      </c>
      <c r="O331" s="223">
        <f>VLOOKUP(C331,'Talente &amp; Stuff'!ER:FT,13,FALSE)</f>
        <v>0</v>
      </c>
      <c r="P331" s="224">
        <f>VLOOKUP(C331,'Talente &amp; Stuff'!ER:FT,14,FALSE)</f>
        <v>0</v>
      </c>
      <c r="Q331" s="237">
        <f>VLOOKUP(C331,'Talente &amp; Stuff'!ER:FT,15,FALSE)</f>
        <v>0</v>
      </c>
      <c r="R331" s="254">
        <f>VLOOKUP(C331,'Talente &amp; Stuff'!ER:FT,16,FALSE)</f>
        <v>0</v>
      </c>
      <c r="S331" s="224">
        <f>VLOOKUP(C331,'Talente &amp; Stuff'!ER:FT,17,FALSE)</f>
        <v>0</v>
      </c>
      <c r="T331" s="242">
        <f>VLOOKUP(C331,'Talente &amp; Stuff'!ER:FT,18,FALSE)</f>
        <v>0</v>
      </c>
      <c r="U331" s="222">
        <f>VLOOKUP(C331,'Talente &amp; Stuff'!ER:FT,19,FALSE)</f>
        <v>0</v>
      </c>
      <c r="V331" s="223">
        <f>VLOOKUP(C331,'Talente &amp; Stuff'!ER:FT,20,FALSE)</f>
        <v>0</v>
      </c>
      <c r="W331" s="243">
        <f>VLOOKUP(C331,'Talente &amp; Stuff'!ER:FT,21,FALSE)</f>
        <v>0</v>
      </c>
      <c r="X331" s="218">
        <f>VLOOKUP(C331,'Talente &amp; Stuff'!ER:FT,22,FALSE)</f>
        <v>0</v>
      </c>
      <c r="Y331" s="252">
        <f>VLOOKUP(C331,Ausgewählte_Zauber_Zaubertänzer,168,FALSE)</f>
        <v>0</v>
      </c>
      <c r="Z331" s="309">
        <f>VLOOKUP(C331,Ausgewählte_Zauber_Zaubertänzer,169,FALSE)</f>
        <v>0</v>
      </c>
      <c r="AA331" s="218">
        <f>VLOOKUP(C331,'Talente &amp; Stuff'!ER:FT,25,FALSE)</f>
        <v>0</v>
      </c>
      <c r="AB331" s="242">
        <f>VLOOKUP(C331,'Talente &amp; Stuff'!ER:FT,26,FALSE)</f>
        <v>0</v>
      </c>
      <c r="AC331" s="218">
        <f>VLOOKUP(C331,'Talente &amp; Stuff'!ER:FT,27,FALSE)</f>
        <v>0</v>
      </c>
      <c r="AD331" s="218">
        <f>VLOOKUP(C331,'Talente &amp; Stuff'!ER:FT,28,FALSE)</f>
        <v>0</v>
      </c>
      <c r="AE331" s="343"/>
    </row>
    <row r="332" spans="1:31" s="217" customFormat="1" hidden="1" outlineLevel="2">
      <c r="A332" s="185"/>
      <c r="B332" s="217">
        <v>10</v>
      </c>
      <c r="C332" s="303" t="str">
        <f>Attribute!C332</f>
        <v>---</v>
      </c>
      <c r="D332" s="304" t="str">
        <f>VLOOKUP(C332,'Talente &amp; Stuff'!ER:FT,2,FALSE)</f>
        <v>--/--/--</v>
      </c>
      <c r="E332" s="304" t="str">
        <f>VLOOKUP(C332,'Talente &amp; Stuff'!ER:FT,3,FALSE)</f>
        <v>-</v>
      </c>
      <c r="F332" s="317">
        <f>VLOOKUP(C332,'Talente &amp; Stuff'!ER:FT,4,FALSE)</f>
        <v>0</v>
      </c>
      <c r="G332" s="254">
        <f>VLOOKUP(C332,'Talente &amp; Stuff'!ER:FT,5,FALSE)</f>
        <v>0</v>
      </c>
      <c r="H332" s="254">
        <f>VLOOKUP(C332,'Talente &amp; Stuff'!ER:FT,6,FALSE)</f>
        <v>0</v>
      </c>
      <c r="I332" s="254">
        <f>VLOOKUP(C332,'Talente &amp; Stuff'!ER:FT,7,FALSE)</f>
        <v>0</v>
      </c>
      <c r="J332" s="254">
        <f>VLOOKUP(C332,'Talente &amp; Stuff'!ER:FT,8,FALSE)</f>
        <v>0</v>
      </c>
      <c r="K332" s="254">
        <f>VLOOKUP(C332,'Talente &amp; Stuff'!ER:FT,9,FALSE)</f>
        <v>0</v>
      </c>
      <c r="L332" s="254">
        <f>VLOOKUP(C332,'Talente &amp; Stuff'!ER:FT,10,FALSE)</f>
        <v>0</v>
      </c>
      <c r="M332" s="318">
        <f>VLOOKUP(C332,'Talente &amp; Stuff'!ER:FT,11,FALSE)</f>
        <v>0</v>
      </c>
      <c r="N332" s="222">
        <f>VLOOKUP(C332,'Talente &amp; Stuff'!ER:FT,12,FALSE)</f>
        <v>0</v>
      </c>
      <c r="O332" s="223">
        <f>VLOOKUP(C332,'Talente &amp; Stuff'!ER:FT,13,FALSE)</f>
        <v>0</v>
      </c>
      <c r="P332" s="224">
        <f>VLOOKUP(C332,'Talente &amp; Stuff'!ER:FT,14,FALSE)</f>
        <v>0</v>
      </c>
      <c r="Q332" s="237">
        <f>VLOOKUP(C332,'Talente &amp; Stuff'!ER:FT,15,FALSE)</f>
        <v>0</v>
      </c>
      <c r="R332" s="254">
        <f>VLOOKUP(C332,'Talente &amp; Stuff'!ER:FT,16,FALSE)</f>
        <v>0</v>
      </c>
      <c r="S332" s="224">
        <f>VLOOKUP(C332,'Talente &amp; Stuff'!ER:FT,17,FALSE)</f>
        <v>0</v>
      </c>
      <c r="T332" s="242">
        <f>VLOOKUP(C332,'Talente &amp; Stuff'!ER:FT,18,FALSE)</f>
        <v>0</v>
      </c>
      <c r="U332" s="222">
        <f>VLOOKUP(C332,'Talente &amp; Stuff'!ER:FT,19,FALSE)</f>
        <v>0</v>
      </c>
      <c r="V332" s="223">
        <f>VLOOKUP(C332,'Talente &amp; Stuff'!ER:FT,20,FALSE)</f>
        <v>0</v>
      </c>
      <c r="W332" s="243">
        <f>VLOOKUP(C332,'Talente &amp; Stuff'!ER:FT,21,FALSE)</f>
        <v>0</v>
      </c>
      <c r="X332" s="218">
        <f>VLOOKUP(C332,'Talente &amp; Stuff'!ER:FT,22,FALSE)</f>
        <v>0</v>
      </c>
      <c r="Y332" s="252">
        <f>VLOOKUP(C332,Ausgewählte_Zauber_Zaubertänzer,168,FALSE)</f>
        <v>0</v>
      </c>
      <c r="Z332" s="309">
        <f>VLOOKUP(C332,Ausgewählte_Zauber_Zaubertänzer,169,FALSE)</f>
        <v>0</v>
      </c>
      <c r="AA332" s="218">
        <f>VLOOKUP(C332,'Talente &amp; Stuff'!ER:FT,25,FALSE)</f>
        <v>0</v>
      </c>
      <c r="AB332" s="242">
        <f>VLOOKUP(C332,'Talente &amp; Stuff'!ER:FT,26,FALSE)</f>
        <v>0</v>
      </c>
      <c r="AC332" s="218">
        <f>VLOOKUP(C332,'Talente &amp; Stuff'!ER:FT,27,FALSE)</f>
        <v>0</v>
      </c>
      <c r="AD332" s="218">
        <f>VLOOKUP(C332,'Talente &amp; Stuff'!ER:FT,28,FALSE)</f>
        <v>0</v>
      </c>
      <c r="AE332" s="343"/>
    </row>
    <row r="333" spans="1:31" s="217" customFormat="1" hidden="1" outlineLevel="2">
      <c r="A333" s="185"/>
      <c r="B333" s="217">
        <v>11</v>
      </c>
      <c r="C333" s="303" t="str">
        <f>Attribute!C333</f>
        <v>---</v>
      </c>
      <c r="D333" s="304" t="str">
        <f>VLOOKUP(C333,'Talente &amp; Stuff'!ER:FT,2,FALSE)</f>
        <v>--/--/--</v>
      </c>
      <c r="E333" s="304" t="str">
        <f>VLOOKUP(C333,'Talente &amp; Stuff'!ER:FT,3,FALSE)</f>
        <v>-</v>
      </c>
      <c r="F333" s="317">
        <f>VLOOKUP(C333,'Talente &amp; Stuff'!ER:FT,4,FALSE)</f>
        <v>0</v>
      </c>
      <c r="G333" s="254">
        <f>VLOOKUP(C333,'Talente &amp; Stuff'!ER:FT,5,FALSE)</f>
        <v>0</v>
      </c>
      <c r="H333" s="254">
        <f>VLOOKUP(C333,'Talente &amp; Stuff'!ER:FT,6,FALSE)</f>
        <v>0</v>
      </c>
      <c r="I333" s="254">
        <f>VLOOKUP(C333,'Talente &amp; Stuff'!ER:FT,7,FALSE)</f>
        <v>0</v>
      </c>
      <c r="J333" s="254">
        <f>VLOOKUP(C333,'Talente &amp; Stuff'!ER:FT,8,FALSE)</f>
        <v>0</v>
      </c>
      <c r="K333" s="254">
        <f>VLOOKUP(C333,'Talente &amp; Stuff'!ER:FT,9,FALSE)</f>
        <v>0</v>
      </c>
      <c r="L333" s="254">
        <f>VLOOKUP(C333,'Talente &amp; Stuff'!ER:FT,10,FALSE)</f>
        <v>0</v>
      </c>
      <c r="M333" s="318">
        <f>VLOOKUP(C333,'Talente &amp; Stuff'!ER:FT,11,FALSE)</f>
        <v>0</v>
      </c>
      <c r="N333" s="222">
        <f>VLOOKUP(C333,'Talente &amp; Stuff'!ER:FT,12,FALSE)</f>
        <v>0</v>
      </c>
      <c r="O333" s="223">
        <f>VLOOKUP(C333,'Talente &amp; Stuff'!ER:FT,13,FALSE)</f>
        <v>0</v>
      </c>
      <c r="P333" s="224">
        <f>VLOOKUP(C333,'Talente &amp; Stuff'!ER:FT,14,FALSE)</f>
        <v>0</v>
      </c>
      <c r="Q333" s="237">
        <f>VLOOKUP(C333,'Talente &amp; Stuff'!ER:FT,15,FALSE)</f>
        <v>0</v>
      </c>
      <c r="R333" s="254">
        <f>VLOOKUP(C333,'Talente &amp; Stuff'!ER:FT,16,FALSE)</f>
        <v>0</v>
      </c>
      <c r="S333" s="224">
        <f>VLOOKUP(C333,'Talente &amp; Stuff'!ER:FT,17,FALSE)</f>
        <v>0</v>
      </c>
      <c r="T333" s="242">
        <f>VLOOKUP(C333,'Talente &amp; Stuff'!ER:FT,18,FALSE)</f>
        <v>0</v>
      </c>
      <c r="U333" s="222">
        <f>VLOOKUP(C333,'Talente &amp; Stuff'!ER:FT,19,FALSE)</f>
        <v>0</v>
      </c>
      <c r="V333" s="223">
        <f>VLOOKUP(C333,'Talente &amp; Stuff'!ER:FT,20,FALSE)</f>
        <v>0</v>
      </c>
      <c r="W333" s="243">
        <f>VLOOKUP(C333,'Talente &amp; Stuff'!ER:FT,21,FALSE)</f>
        <v>0</v>
      </c>
      <c r="X333" s="218">
        <f>VLOOKUP(C333,'Talente &amp; Stuff'!ER:FT,22,FALSE)</f>
        <v>0</v>
      </c>
      <c r="Y333" s="252">
        <f>VLOOKUP(C333,Ausgewählte_Zauber_Zaubertänzer,168,FALSE)</f>
        <v>0</v>
      </c>
      <c r="Z333" s="309">
        <f>VLOOKUP(C333,Ausgewählte_Zauber_Zaubertänzer,169,FALSE)</f>
        <v>0</v>
      </c>
      <c r="AA333" s="218">
        <f>VLOOKUP(C333,'Talente &amp; Stuff'!ER:FT,25,FALSE)</f>
        <v>0</v>
      </c>
      <c r="AB333" s="242">
        <f>VLOOKUP(C333,'Talente &amp; Stuff'!ER:FT,26,FALSE)</f>
        <v>0</v>
      </c>
      <c r="AC333" s="218">
        <f>VLOOKUP(C333,'Talente &amp; Stuff'!ER:FT,27,FALSE)</f>
        <v>0</v>
      </c>
      <c r="AD333" s="218">
        <f>VLOOKUP(C333,'Talente &amp; Stuff'!ER:FT,28,FALSE)</f>
        <v>0</v>
      </c>
      <c r="AE333" s="343"/>
    </row>
    <row r="334" spans="1:31" s="217" customFormat="1" hidden="1" outlineLevel="2">
      <c r="A334" s="185"/>
      <c r="B334" s="217">
        <v>12</v>
      </c>
      <c r="C334" s="303" t="str">
        <f>Attribute!C334</f>
        <v>---</v>
      </c>
      <c r="D334" s="304" t="str">
        <f>VLOOKUP(C334,'Talente &amp; Stuff'!ER:FT,2,FALSE)</f>
        <v>--/--/--</v>
      </c>
      <c r="E334" s="304" t="str">
        <f>VLOOKUP(C334,'Talente &amp; Stuff'!ER:FT,3,FALSE)</f>
        <v>-</v>
      </c>
      <c r="F334" s="317">
        <f>VLOOKUP(C334,'Talente &amp; Stuff'!ER:FT,4,FALSE)</f>
        <v>0</v>
      </c>
      <c r="G334" s="254">
        <f>VLOOKUP(C334,'Talente &amp; Stuff'!ER:FT,5,FALSE)</f>
        <v>0</v>
      </c>
      <c r="H334" s="254">
        <f>VLOOKUP(C334,'Talente &amp; Stuff'!ER:FT,6,FALSE)</f>
        <v>0</v>
      </c>
      <c r="I334" s="254">
        <f>VLOOKUP(C334,'Talente &amp; Stuff'!ER:FT,7,FALSE)</f>
        <v>0</v>
      </c>
      <c r="J334" s="254">
        <f>VLOOKUP(C334,'Talente &amp; Stuff'!ER:FT,8,FALSE)</f>
        <v>0</v>
      </c>
      <c r="K334" s="254">
        <f>VLOOKUP(C334,'Talente &amp; Stuff'!ER:FT,9,FALSE)</f>
        <v>0</v>
      </c>
      <c r="L334" s="254">
        <f>VLOOKUP(C334,'Talente &amp; Stuff'!ER:FT,10,FALSE)</f>
        <v>0</v>
      </c>
      <c r="M334" s="318">
        <f>VLOOKUP(C334,'Talente &amp; Stuff'!ER:FT,11,FALSE)</f>
        <v>0</v>
      </c>
      <c r="N334" s="222">
        <f>VLOOKUP(C334,'Talente &amp; Stuff'!ER:FT,12,FALSE)</f>
        <v>0</v>
      </c>
      <c r="O334" s="223">
        <f>VLOOKUP(C334,'Talente &amp; Stuff'!ER:FT,13,FALSE)</f>
        <v>0</v>
      </c>
      <c r="P334" s="224">
        <f>VLOOKUP(C334,'Talente &amp; Stuff'!ER:FT,14,FALSE)</f>
        <v>0</v>
      </c>
      <c r="Q334" s="237">
        <f>VLOOKUP(C334,'Talente &amp; Stuff'!ER:FT,15,FALSE)</f>
        <v>0</v>
      </c>
      <c r="R334" s="254">
        <f>VLOOKUP(C334,'Talente &amp; Stuff'!ER:FT,16,FALSE)</f>
        <v>0</v>
      </c>
      <c r="S334" s="224">
        <f>VLOOKUP(C334,'Talente &amp; Stuff'!ER:FT,17,FALSE)</f>
        <v>0</v>
      </c>
      <c r="T334" s="242">
        <f>VLOOKUP(C334,'Talente &amp; Stuff'!ER:FT,18,FALSE)</f>
        <v>0</v>
      </c>
      <c r="U334" s="222">
        <f>VLOOKUP(C334,'Talente &amp; Stuff'!ER:FT,19,FALSE)</f>
        <v>0</v>
      </c>
      <c r="V334" s="223">
        <f>VLOOKUP(C334,'Talente &amp; Stuff'!ER:FT,20,FALSE)</f>
        <v>0</v>
      </c>
      <c r="W334" s="243">
        <f>VLOOKUP(C334,'Talente &amp; Stuff'!ER:FT,21,FALSE)</f>
        <v>0</v>
      </c>
      <c r="X334" s="218">
        <f>VLOOKUP(C334,'Talente &amp; Stuff'!ER:FT,22,FALSE)</f>
        <v>0</v>
      </c>
      <c r="Y334" s="252">
        <f>VLOOKUP(C334,Ausgewählte_Zauber_Zaubertänzer,168,FALSE)</f>
        <v>0</v>
      </c>
      <c r="Z334" s="309">
        <f>VLOOKUP(C334,Ausgewählte_Zauber_Zaubertänzer,169,FALSE)</f>
        <v>0</v>
      </c>
      <c r="AA334" s="218">
        <f>VLOOKUP(C334,'Talente &amp; Stuff'!ER:FT,25,FALSE)</f>
        <v>0</v>
      </c>
      <c r="AB334" s="242">
        <f>VLOOKUP(C334,'Talente &amp; Stuff'!ER:FT,26,FALSE)</f>
        <v>0</v>
      </c>
      <c r="AC334" s="218">
        <f>VLOOKUP(C334,'Talente &amp; Stuff'!ER:FT,27,FALSE)</f>
        <v>0</v>
      </c>
      <c r="AD334" s="218">
        <f>VLOOKUP(C334,'Talente &amp; Stuff'!ER:FT,28,FALSE)</f>
        <v>0</v>
      </c>
      <c r="AE334" s="343"/>
    </row>
    <row r="335" spans="1:31" s="217" customFormat="1" hidden="1" outlineLevel="2">
      <c r="A335" s="185"/>
      <c r="B335" s="217">
        <v>13</v>
      </c>
      <c r="C335" s="303" t="str">
        <f>Attribute!C335</f>
        <v>---</v>
      </c>
      <c r="D335" s="304" t="str">
        <f>VLOOKUP(C335,'Talente &amp; Stuff'!ER:FT,2,FALSE)</f>
        <v>--/--/--</v>
      </c>
      <c r="E335" s="304" t="str">
        <f>VLOOKUP(C335,'Talente &amp; Stuff'!ER:FT,3,FALSE)</f>
        <v>-</v>
      </c>
      <c r="F335" s="317">
        <f>VLOOKUP(C335,'Talente &amp; Stuff'!ER:FT,4,FALSE)</f>
        <v>0</v>
      </c>
      <c r="G335" s="254">
        <f>VLOOKUP(C335,'Talente &amp; Stuff'!ER:FT,5,FALSE)</f>
        <v>0</v>
      </c>
      <c r="H335" s="254">
        <f>VLOOKUP(C335,'Talente &amp; Stuff'!ER:FT,6,FALSE)</f>
        <v>0</v>
      </c>
      <c r="I335" s="254">
        <f>VLOOKUP(C335,'Talente &amp; Stuff'!ER:FT,7,FALSE)</f>
        <v>0</v>
      </c>
      <c r="J335" s="254">
        <f>VLOOKUP(C335,'Talente &amp; Stuff'!ER:FT,8,FALSE)</f>
        <v>0</v>
      </c>
      <c r="K335" s="254">
        <f>VLOOKUP(C335,'Talente &amp; Stuff'!ER:FT,9,FALSE)</f>
        <v>0</v>
      </c>
      <c r="L335" s="254">
        <f>VLOOKUP(C335,'Talente &amp; Stuff'!ER:FT,10,FALSE)</f>
        <v>0</v>
      </c>
      <c r="M335" s="318">
        <f>VLOOKUP(C335,'Talente &amp; Stuff'!ER:FT,11,FALSE)</f>
        <v>0</v>
      </c>
      <c r="N335" s="222">
        <f>VLOOKUP(C335,'Talente &amp; Stuff'!ER:FT,12,FALSE)</f>
        <v>0</v>
      </c>
      <c r="O335" s="223">
        <f>VLOOKUP(C335,'Talente &amp; Stuff'!ER:FT,13,FALSE)</f>
        <v>0</v>
      </c>
      <c r="P335" s="224">
        <f>VLOOKUP(C335,'Talente &amp; Stuff'!ER:FT,14,FALSE)</f>
        <v>0</v>
      </c>
      <c r="Q335" s="237">
        <f>VLOOKUP(C335,'Talente &amp; Stuff'!ER:FT,15,FALSE)</f>
        <v>0</v>
      </c>
      <c r="R335" s="254">
        <f>VLOOKUP(C335,'Talente &amp; Stuff'!ER:FT,16,FALSE)</f>
        <v>0</v>
      </c>
      <c r="S335" s="224">
        <f>VLOOKUP(C335,'Talente &amp; Stuff'!ER:FT,17,FALSE)</f>
        <v>0</v>
      </c>
      <c r="T335" s="242">
        <f>VLOOKUP(C335,'Talente &amp; Stuff'!ER:FT,18,FALSE)</f>
        <v>0</v>
      </c>
      <c r="U335" s="222">
        <f>VLOOKUP(C335,'Talente &amp; Stuff'!ER:FT,19,FALSE)</f>
        <v>0</v>
      </c>
      <c r="V335" s="223">
        <f>VLOOKUP(C335,'Talente &amp; Stuff'!ER:FT,20,FALSE)</f>
        <v>0</v>
      </c>
      <c r="W335" s="243">
        <f>VLOOKUP(C335,'Talente &amp; Stuff'!ER:FT,21,FALSE)</f>
        <v>0</v>
      </c>
      <c r="X335" s="218">
        <f>VLOOKUP(C335,'Talente &amp; Stuff'!ER:FT,22,FALSE)</f>
        <v>0</v>
      </c>
      <c r="Y335" s="252">
        <f>VLOOKUP(C335,Ausgewählte_Zauber_Zaubertänzer,168,FALSE)</f>
        <v>0</v>
      </c>
      <c r="Z335" s="309">
        <f>VLOOKUP(C335,Ausgewählte_Zauber_Zaubertänzer,169,FALSE)</f>
        <v>0</v>
      </c>
      <c r="AA335" s="218">
        <f>VLOOKUP(C335,'Talente &amp; Stuff'!ER:FT,25,FALSE)</f>
        <v>0</v>
      </c>
      <c r="AB335" s="242">
        <f>VLOOKUP(C335,'Talente &amp; Stuff'!ER:FT,26,FALSE)</f>
        <v>0</v>
      </c>
      <c r="AC335" s="218">
        <f>VLOOKUP(C335,'Talente &amp; Stuff'!ER:FT,27,FALSE)</f>
        <v>0</v>
      </c>
      <c r="AD335" s="218">
        <f>VLOOKUP(C335,'Talente &amp; Stuff'!ER:FT,28,FALSE)</f>
        <v>0</v>
      </c>
      <c r="AE335" s="343"/>
    </row>
    <row r="336" spans="1:31" s="217" customFormat="1" hidden="1" outlineLevel="2">
      <c r="A336" s="185"/>
      <c r="B336" s="217">
        <v>14</v>
      </c>
      <c r="C336" s="303" t="str">
        <f>Attribute!C336</f>
        <v>---</v>
      </c>
      <c r="D336" s="304" t="str">
        <f>VLOOKUP(C336,'Talente &amp; Stuff'!ER:FT,2,FALSE)</f>
        <v>--/--/--</v>
      </c>
      <c r="E336" s="304" t="str">
        <f>VLOOKUP(C336,'Talente &amp; Stuff'!ER:FT,3,FALSE)</f>
        <v>-</v>
      </c>
      <c r="F336" s="317">
        <f>VLOOKUP(C336,'Talente &amp; Stuff'!ER:FT,4,FALSE)</f>
        <v>0</v>
      </c>
      <c r="G336" s="254">
        <f>VLOOKUP(C336,'Talente &amp; Stuff'!ER:FT,5,FALSE)</f>
        <v>0</v>
      </c>
      <c r="H336" s="254">
        <f>VLOOKUP(C336,'Talente &amp; Stuff'!ER:FT,6,FALSE)</f>
        <v>0</v>
      </c>
      <c r="I336" s="254">
        <f>VLOOKUP(C336,'Talente &amp; Stuff'!ER:FT,7,FALSE)</f>
        <v>0</v>
      </c>
      <c r="J336" s="254">
        <f>VLOOKUP(C336,'Talente &amp; Stuff'!ER:FT,8,FALSE)</f>
        <v>0</v>
      </c>
      <c r="K336" s="254">
        <f>VLOOKUP(C336,'Talente &amp; Stuff'!ER:FT,9,FALSE)</f>
        <v>0</v>
      </c>
      <c r="L336" s="254">
        <f>VLOOKUP(C336,'Talente &amp; Stuff'!ER:FT,10,FALSE)</f>
        <v>0</v>
      </c>
      <c r="M336" s="318">
        <f>VLOOKUP(C336,'Talente &amp; Stuff'!ER:FT,11,FALSE)</f>
        <v>0</v>
      </c>
      <c r="N336" s="222">
        <f>VLOOKUP(C336,'Talente &amp; Stuff'!ER:FT,12,FALSE)</f>
        <v>0</v>
      </c>
      <c r="O336" s="223">
        <f>VLOOKUP(C336,'Talente &amp; Stuff'!ER:FT,13,FALSE)</f>
        <v>0</v>
      </c>
      <c r="P336" s="224">
        <f>VLOOKUP(C336,'Talente &amp; Stuff'!ER:FT,14,FALSE)</f>
        <v>0</v>
      </c>
      <c r="Q336" s="237">
        <f>VLOOKUP(C336,'Talente &amp; Stuff'!ER:FT,15,FALSE)</f>
        <v>0</v>
      </c>
      <c r="R336" s="254">
        <f>VLOOKUP(C336,'Talente &amp; Stuff'!ER:FT,16,FALSE)</f>
        <v>0</v>
      </c>
      <c r="S336" s="224">
        <f>VLOOKUP(C336,'Talente &amp; Stuff'!ER:FT,17,FALSE)</f>
        <v>0</v>
      </c>
      <c r="T336" s="242">
        <f>VLOOKUP(C336,'Talente &amp; Stuff'!ER:FT,18,FALSE)</f>
        <v>0</v>
      </c>
      <c r="U336" s="222">
        <f>VLOOKUP(C336,'Talente &amp; Stuff'!ER:FT,19,FALSE)</f>
        <v>0</v>
      </c>
      <c r="V336" s="223">
        <f>VLOOKUP(C336,'Talente &amp; Stuff'!ER:FT,20,FALSE)</f>
        <v>0</v>
      </c>
      <c r="W336" s="243">
        <f>VLOOKUP(C336,'Talente &amp; Stuff'!ER:FT,21,FALSE)</f>
        <v>0</v>
      </c>
      <c r="X336" s="218">
        <f>VLOOKUP(C336,'Talente &amp; Stuff'!ER:FT,22,FALSE)</f>
        <v>0</v>
      </c>
      <c r="Y336" s="252">
        <f>VLOOKUP(C336,Ausgewählte_Zauber_Zaubertänzer,168,FALSE)</f>
        <v>0</v>
      </c>
      <c r="Z336" s="309">
        <f>VLOOKUP(C336,Ausgewählte_Zauber_Zaubertänzer,169,FALSE)</f>
        <v>0</v>
      </c>
      <c r="AA336" s="218">
        <f>VLOOKUP(C336,'Talente &amp; Stuff'!ER:FT,25,FALSE)</f>
        <v>0</v>
      </c>
      <c r="AB336" s="242">
        <f>VLOOKUP(C336,'Talente &amp; Stuff'!ER:FT,26,FALSE)</f>
        <v>0</v>
      </c>
      <c r="AC336" s="218">
        <f>VLOOKUP(C336,'Talente &amp; Stuff'!ER:FT,27,FALSE)</f>
        <v>0</v>
      </c>
      <c r="AD336" s="218">
        <f>VLOOKUP(C336,'Talente &amp; Stuff'!ER:FT,28,FALSE)</f>
        <v>0</v>
      </c>
      <c r="AE336" s="343"/>
    </row>
    <row r="337" spans="1:31" s="217" customFormat="1" hidden="1" outlineLevel="2">
      <c r="A337" s="185"/>
      <c r="B337" s="217">
        <v>15</v>
      </c>
      <c r="C337" s="303" t="str">
        <f>Attribute!C337</f>
        <v>---</v>
      </c>
      <c r="D337" s="304" t="str">
        <f>VLOOKUP(C337,'Talente &amp; Stuff'!ER:FT,2,FALSE)</f>
        <v>--/--/--</v>
      </c>
      <c r="E337" s="304" t="str">
        <f>VLOOKUP(C337,'Talente &amp; Stuff'!ER:FT,3,FALSE)</f>
        <v>-</v>
      </c>
      <c r="F337" s="317">
        <f>VLOOKUP(C337,'Talente &amp; Stuff'!ER:FT,4,FALSE)</f>
        <v>0</v>
      </c>
      <c r="G337" s="254">
        <f>VLOOKUP(C337,'Talente &amp; Stuff'!ER:FT,5,FALSE)</f>
        <v>0</v>
      </c>
      <c r="H337" s="254">
        <f>VLOOKUP(C337,'Talente &amp; Stuff'!ER:FT,6,FALSE)</f>
        <v>0</v>
      </c>
      <c r="I337" s="254">
        <f>VLOOKUP(C337,'Talente &amp; Stuff'!ER:FT,7,FALSE)</f>
        <v>0</v>
      </c>
      <c r="J337" s="254">
        <f>VLOOKUP(C337,'Talente &amp; Stuff'!ER:FT,8,FALSE)</f>
        <v>0</v>
      </c>
      <c r="K337" s="254">
        <f>VLOOKUP(C337,'Talente &amp; Stuff'!ER:FT,9,FALSE)</f>
        <v>0</v>
      </c>
      <c r="L337" s="254">
        <f>VLOOKUP(C337,'Talente &amp; Stuff'!ER:FT,10,FALSE)</f>
        <v>0</v>
      </c>
      <c r="M337" s="318">
        <f>VLOOKUP(C337,'Talente &amp; Stuff'!ER:FT,11,FALSE)</f>
        <v>0</v>
      </c>
      <c r="N337" s="222">
        <f>VLOOKUP(C337,'Talente &amp; Stuff'!ER:FT,12,FALSE)</f>
        <v>0</v>
      </c>
      <c r="O337" s="223">
        <f>VLOOKUP(C337,'Talente &amp; Stuff'!ER:FT,13,FALSE)</f>
        <v>0</v>
      </c>
      <c r="P337" s="224">
        <f>VLOOKUP(C337,'Talente &amp; Stuff'!ER:FT,14,FALSE)</f>
        <v>0</v>
      </c>
      <c r="Q337" s="237">
        <f>VLOOKUP(C337,'Talente &amp; Stuff'!ER:FT,15,FALSE)</f>
        <v>0</v>
      </c>
      <c r="R337" s="254">
        <f>VLOOKUP(C337,'Talente &amp; Stuff'!ER:FT,16,FALSE)</f>
        <v>0</v>
      </c>
      <c r="S337" s="224">
        <f>VLOOKUP(C337,'Talente &amp; Stuff'!ER:FT,17,FALSE)</f>
        <v>0</v>
      </c>
      <c r="T337" s="242">
        <f>VLOOKUP(C337,'Talente &amp; Stuff'!ER:FT,18,FALSE)</f>
        <v>0</v>
      </c>
      <c r="U337" s="222">
        <f>VLOOKUP(C337,'Talente &amp; Stuff'!ER:FT,19,FALSE)</f>
        <v>0</v>
      </c>
      <c r="V337" s="223">
        <f>VLOOKUP(C337,'Talente &amp; Stuff'!ER:FT,20,FALSE)</f>
        <v>0</v>
      </c>
      <c r="W337" s="243">
        <f>VLOOKUP(C337,'Talente &amp; Stuff'!ER:FT,21,FALSE)</f>
        <v>0</v>
      </c>
      <c r="X337" s="218">
        <f>VLOOKUP(C337,'Talente &amp; Stuff'!ER:FT,22,FALSE)</f>
        <v>0</v>
      </c>
      <c r="Y337" s="252">
        <f>VLOOKUP(C337,Ausgewählte_Zauber_Zaubertänzer,168,FALSE)</f>
        <v>0</v>
      </c>
      <c r="Z337" s="309">
        <f>VLOOKUP(C337,Ausgewählte_Zauber_Zaubertänzer,169,FALSE)</f>
        <v>0</v>
      </c>
      <c r="AA337" s="218">
        <f>VLOOKUP(C337,'Talente &amp; Stuff'!ER:FT,25,FALSE)</f>
        <v>0</v>
      </c>
      <c r="AB337" s="242">
        <f>VLOOKUP(C337,'Talente &amp; Stuff'!ER:FT,26,FALSE)</f>
        <v>0</v>
      </c>
      <c r="AC337" s="218">
        <f>VLOOKUP(C337,'Talente &amp; Stuff'!ER:FT,27,FALSE)</f>
        <v>0</v>
      </c>
      <c r="AD337" s="218">
        <f>VLOOKUP(C337,'Talente &amp; Stuff'!ER:FT,28,FALSE)</f>
        <v>0</v>
      </c>
      <c r="AE337" s="343"/>
    </row>
    <row r="338" spans="1:31" s="217" customFormat="1" hidden="1" outlineLevel="2">
      <c r="A338" s="185"/>
      <c r="B338" s="217">
        <v>16</v>
      </c>
      <c r="C338" s="303" t="str">
        <f>Attribute!C338</f>
        <v>---</v>
      </c>
      <c r="D338" s="304" t="str">
        <f>VLOOKUP(C338,'Talente &amp; Stuff'!ER:FT,2,FALSE)</f>
        <v>--/--/--</v>
      </c>
      <c r="E338" s="304" t="str">
        <f>VLOOKUP(C338,'Talente &amp; Stuff'!ER:FT,3,FALSE)</f>
        <v>-</v>
      </c>
      <c r="F338" s="317">
        <f>VLOOKUP(C338,'Talente &amp; Stuff'!ER:FT,4,FALSE)</f>
        <v>0</v>
      </c>
      <c r="G338" s="254">
        <f>VLOOKUP(C338,'Talente &amp; Stuff'!ER:FT,5,FALSE)</f>
        <v>0</v>
      </c>
      <c r="H338" s="254">
        <f>VLOOKUP(C338,'Talente &amp; Stuff'!ER:FT,6,FALSE)</f>
        <v>0</v>
      </c>
      <c r="I338" s="254">
        <f>VLOOKUP(C338,'Talente &amp; Stuff'!ER:FT,7,FALSE)</f>
        <v>0</v>
      </c>
      <c r="J338" s="254">
        <f>VLOOKUP(C338,'Talente &amp; Stuff'!ER:FT,8,FALSE)</f>
        <v>0</v>
      </c>
      <c r="K338" s="254">
        <f>VLOOKUP(C338,'Talente &amp; Stuff'!ER:FT,9,FALSE)</f>
        <v>0</v>
      </c>
      <c r="L338" s="254">
        <f>VLOOKUP(C338,'Talente &amp; Stuff'!ER:FT,10,FALSE)</f>
        <v>0</v>
      </c>
      <c r="M338" s="318">
        <f>VLOOKUP(C338,'Talente &amp; Stuff'!ER:FT,11,FALSE)</f>
        <v>0</v>
      </c>
      <c r="N338" s="222">
        <f>VLOOKUP(C338,'Talente &amp; Stuff'!ER:FT,12,FALSE)</f>
        <v>0</v>
      </c>
      <c r="O338" s="223">
        <f>VLOOKUP(C338,'Talente &amp; Stuff'!ER:FT,13,FALSE)</f>
        <v>0</v>
      </c>
      <c r="P338" s="224">
        <f>VLOOKUP(C338,'Talente &amp; Stuff'!ER:FT,14,FALSE)</f>
        <v>0</v>
      </c>
      <c r="Q338" s="237">
        <f>VLOOKUP(C338,'Talente &amp; Stuff'!ER:FT,15,FALSE)</f>
        <v>0</v>
      </c>
      <c r="R338" s="254">
        <f>VLOOKUP(C338,'Talente &amp; Stuff'!ER:FT,16,FALSE)</f>
        <v>0</v>
      </c>
      <c r="S338" s="224">
        <f>VLOOKUP(C338,'Talente &amp; Stuff'!ER:FT,17,FALSE)</f>
        <v>0</v>
      </c>
      <c r="T338" s="242">
        <f>VLOOKUP(C338,'Talente &amp; Stuff'!ER:FT,18,FALSE)</f>
        <v>0</v>
      </c>
      <c r="U338" s="222">
        <f>VLOOKUP(C338,'Talente &amp; Stuff'!ER:FT,19,FALSE)</f>
        <v>0</v>
      </c>
      <c r="V338" s="223">
        <f>VLOOKUP(C338,'Talente &amp; Stuff'!ER:FT,20,FALSE)</f>
        <v>0</v>
      </c>
      <c r="W338" s="243">
        <f>VLOOKUP(C338,'Talente &amp; Stuff'!ER:FT,21,FALSE)</f>
        <v>0</v>
      </c>
      <c r="X338" s="218">
        <f>VLOOKUP(C338,'Talente &amp; Stuff'!ER:FT,22,FALSE)</f>
        <v>0</v>
      </c>
      <c r="Y338" s="252">
        <f>VLOOKUP(C338,Ausgewählte_Zauber_Zaubertänzer,168,FALSE)</f>
        <v>0</v>
      </c>
      <c r="Z338" s="309">
        <f>VLOOKUP(C338,Ausgewählte_Zauber_Zaubertänzer,169,FALSE)</f>
        <v>0</v>
      </c>
      <c r="AA338" s="218">
        <f>VLOOKUP(C338,'Talente &amp; Stuff'!ER:FT,25,FALSE)</f>
        <v>0</v>
      </c>
      <c r="AB338" s="242">
        <f>VLOOKUP(C338,'Talente &amp; Stuff'!ER:FT,26,FALSE)</f>
        <v>0</v>
      </c>
      <c r="AC338" s="218">
        <f>VLOOKUP(C338,'Talente &amp; Stuff'!ER:FT,27,FALSE)</f>
        <v>0</v>
      </c>
      <c r="AD338" s="218">
        <f>VLOOKUP(C338,'Talente &amp; Stuff'!ER:FT,28,FALSE)</f>
        <v>0</v>
      </c>
      <c r="AE338" s="343"/>
    </row>
    <row r="339" spans="1:31" s="217" customFormat="1" hidden="1" outlineLevel="2">
      <c r="A339" s="185"/>
      <c r="B339" s="217">
        <v>17</v>
      </c>
      <c r="C339" s="303" t="str">
        <f>Attribute!C339</f>
        <v>---</v>
      </c>
      <c r="D339" s="304" t="str">
        <f>VLOOKUP(C339,'Talente &amp; Stuff'!ER:FT,2,FALSE)</f>
        <v>--/--/--</v>
      </c>
      <c r="E339" s="304" t="str">
        <f>VLOOKUP(C339,'Talente &amp; Stuff'!ER:FT,3,FALSE)</f>
        <v>-</v>
      </c>
      <c r="F339" s="317">
        <f>VLOOKUP(C339,'Talente &amp; Stuff'!ER:FT,4,FALSE)</f>
        <v>0</v>
      </c>
      <c r="G339" s="254">
        <f>VLOOKUP(C339,'Talente &amp; Stuff'!ER:FT,5,FALSE)</f>
        <v>0</v>
      </c>
      <c r="H339" s="254">
        <f>VLOOKUP(C339,'Talente &amp; Stuff'!ER:FT,6,FALSE)</f>
        <v>0</v>
      </c>
      <c r="I339" s="254">
        <f>VLOOKUP(C339,'Talente &amp; Stuff'!ER:FT,7,FALSE)</f>
        <v>0</v>
      </c>
      <c r="J339" s="254">
        <f>VLOOKUP(C339,'Talente &amp; Stuff'!ER:FT,8,FALSE)</f>
        <v>0</v>
      </c>
      <c r="K339" s="254">
        <f>VLOOKUP(C339,'Talente &amp; Stuff'!ER:FT,9,FALSE)</f>
        <v>0</v>
      </c>
      <c r="L339" s="254">
        <f>VLOOKUP(C339,'Talente &amp; Stuff'!ER:FT,10,FALSE)</f>
        <v>0</v>
      </c>
      <c r="M339" s="318">
        <f>VLOOKUP(C339,'Talente &amp; Stuff'!ER:FT,11,FALSE)</f>
        <v>0</v>
      </c>
      <c r="N339" s="222">
        <f>VLOOKUP(C339,'Talente &amp; Stuff'!ER:FT,12,FALSE)</f>
        <v>0</v>
      </c>
      <c r="O339" s="223">
        <f>VLOOKUP(C339,'Talente &amp; Stuff'!ER:FT,13,FALSE)</f>
        <v>0</v>
      </c>
      <c r="P339" s="224">
        <f>VLOOKUP(C339,'Talente &amp; Stuff'!ER:FT,14,FALSE)</f>
        <v>0</v>
      </c>
      <c r="Q339" s="237">
        <f>VLOOKUP(C339,'Talente &amp; Stuff'!ER:FT,15,FALSE)</f>
        <v>0</v>
      </c>
      <c r="R339" s="254">
        <f>VLOOKUP(C339,'Talente &amp; Stuff'!ER:FT,16,FALSE)</f>
        <v>0</v>
      </c>
      <c r="S339" s="224">
        <f>VLOOKUP(C339,'Talente &amp; Stuff'!ER:FT,17,FALSE)</f>
        <v>0</v>
      </c>
      <c r="T339" s="242">
        <f>VLOOKUP(C339,'Talente &amp; Stuff'!ER:FT,18,FALSE)</f>
        <v>0</v>
      </c>
      <c r="U339" s="222">
        <f>VLOOKUP(C339,'Talente &amp; Stuff'!ER:FT,19,FALSE)</f>
        <v>0</v>
      </c>
      <c r="V339" s="223">
        <f>VLOOKUP(C339,'Talente &amp; Stuff'!ER:FT,20,FALSE)</f>
        <v>0</v>
      </c>
      <c r="W339" s="243">
        <f>VLOOKUP(C339,'Talente &amp; Stuff'!ER:FT,21,FALSE)</f>
        <v>0</v>
      </c>
      <c r="X339" s="218">
        <f>VLOOKUP(C339,'Talente &amp; Stuff'!ER:FT,22,FALSE)</f>
        <v>0</v>
      </c>
      <c r="Y339" s="252">
        <f>VLOOKUP(C339,Ausgewählte_Zauber_Zaubertänzer,168,FALSE)</f>
        <v>0</v>
      </c>
      <c r="Z339" s="309">
        <f>VLOOKUP(C339,Ausgewählte_Zauber_Zaubertänzer,169,FALSE)</f>
        <v>0</v>
      </c>
      <c r="AA339" s="218">
        <f>VLOOKUP(C339,'Talente &amp; Stuff'!ER:FT,25,FALSE)</f>
        <v>0</v>
      </c>
      <c r="AB339" s="242">
        <f>VLOOKUP(C339,'Talente &amp; Stuff'!ER:FT,26,FALSE)</f>
        <v>0</v>
      </c>
      <c r="AC339" s="218">
        <f>VLOOKUP(C339,'Talente &amp; Stuff'!ER:FT,27,FALSE)</f>
        <v>0</v>
      </c>
      <c r="AD339" s="218">
        <f>VLOOKUP(C339,'Talente &amp; Stuff'!ER:FT,28,FALSE)</f>
        <v>0</v>
      </c>
      <c r="AE339" s="343"/>
    </row>
    <row r="340" spans="1:31" s="217" customFormat="1" hidden="1" outlineLevel="2">
      <c r="A340" s="185"/>
      <c r="B340" s="217">
        <v>18</v>
      </c>
      <c r="C340" s="303" t="str">
        <f>Attribute!C340</f>
        <v>---</v>
      </c>
      <c r="D340" s="304" t="str">
        <f>VLOOKUP(C340,'Talente &amp; Stuff'!ER:FT,2,FALSE)</f>
        <v>--/--/--</v>
      </c>
      <c r="E340" s="304" t="str">
        <f>VLOOKUP(C340,'Talente &amp; Stuff'!ER:FT,3,FALSE)</f>
        <v>-</v>
      </c>
      <c r="F340" s="317">
        <f>VLOOKUP(C340,'Talente &amp; Stuff'!ER:FT,4,FALSE)</f>
        <v>0</v>
      </c>
      <c r="G340" s="254">
        <f>VLOOKUP(C340,'Talente &amp; Stuff'!ER:FT,5,FALSE)</f>
        <v>0</v>
      </c>
      <c r="H340" s="254">
        <f>VLOOKUP(C340,'Talente &amp; Stuff'!ER:FT,6,FALSE)</f>
        <v>0</v>
      </c>
      <c r="I340" s="254">
        <f>VLOOKUP(C340,'Talente &amp; Stuff'!ER:FT,7,FALSE)</f>
        <v>0</v>
      </c>
      <c r="J340" s="254">
        <f>VLOOKUP(C340,'Talente &amp; Stuff'!ER:FT,8,FALSE)</f>
        <v>0</v>
      </c>
      <c r="K340" s="254">
        <f>VLOOKUP(C340,'Talente &amp; Stuff'!ER:FT,9,FALSE)</f>
        <v>0</v>
      </c>
      <c r="L340" s="254">
        <f>VLOOKUP(C340,'Talente &amp; Stuff'!ER:FT,10,FALSE)</f>
        <v>0</v>
      </c>
      <c r="M340" s="318">
        <f>VLOOKUP(C340,'Talente &amp; Stuff'!ER:FT,11,FALSE)</f>
        <v>0</v>
      </c>
      <c r="N340" s="222">
        <f>VLOOKUP(C340,'Talente &amp; Stuff'!ER:FT,12,FALSE)</f>
        <v>0</v>
      </c>
      <c r="O340" s="223">
        <f>VLOOKUP(C340,'Talente &amp; Stuff'!ER:FT,13,FALSE)</f>
        <v>0</v>
      </c>
      <c r="P340" s="224">
        <f>VLOOKUP(C340,'Talente &amp; Stuff'!ER:FT,14,FALSE)</f>
        <v>0</v>
      </c>
      <c r="Q340" s="237">
        <f>VLOOKUP(C340,'Talente &amp; Stuff'!ER:FT,15,FALSE)</f>
        <v>0</v>
      </c>
      <c r="R340" s="254">
        <f>VLOOKUP(C340,'Talente &amp; Stuff'!ER:FT,16,FALSE)</f>
        <v>0</v>
      </c>
      <c r="S340" s="224">
        <f>VLOOKUP(C340,'Talente &amp; Stuff'!ER:FT,17,FALSE)</f>
        <v>0</v>
      </c>
      <c r="T340" s="242">
        <f>VLOOKUP(C340,'Talente &amp; Stuff'!ER:FT,18,FALSE)</f>
        <v>0</v>
      </c>
      <c r="U340" s="222">
        <f>VLOOKUP(C340,'Talente &amp; Stuff'!ER:FT,19,FALSE)</f>
        <v>0</v>
      </c>
      <c r="V340" s="223">
        <f>VLOOKUP(C340,'Talente &amp; Stuff'!ER:FT,20,FALSE)</f>
        <v>0</v>
      </c>
      <c r="W340" s="243">
        <f>VLOOKUP(C340,'Talente &amp; Stuff'!ER:FT,21,FALSE)</f>
        <v>0</v>
      </c>
      <c r="X340" s="218">
        <f>VLOOKUP(C340,'Talente &amp; Stuff'!ER:FT,22,FALSE)</f>
        <v>0</v>
      </c>
      <c r="Y340" s="252">
        <f>VLOOKUP(C340,Ausgewählte_Zauber_Zaubertänzer,168,FALSE)</f>
        <v>0</v>
      </c>
      <c r="Z340" s="309">
        <f>VLOOKUP(C340,Ausgewählte_Zauber_Zaubertänzer,169,FALSE)</f>
        <v>0</v>
      </c>
      <c r="AA340" s="218">
        <f>VLOOKUP(C340,'Talente &amp; Stuff'!ER:FT,25,FALSE)</f>
        <v>0</v>
      </c>
      <c r="AB340" s="242">
        <f>VLOOKUP(C340,'Talente &amp; Stuff'!ER:FT,26,FALSE)</f>
        <v>0</v>
      </c>
      <c r="AC340" s="218">
        <f>VLOOKUP(C340,'Talente &amp; Stuff'!ER:FT,27,FALSE)</f>
        <v>0</v>
      </c>
      <c r="AD340" s="218">
        <f>VLOOKUP(C340,'Talente &amp; Stuff'!ER:FT,28,FALSE)</f>
        <v>0</v>
      </c>
      <c r="AE340" s="343"/>
    </row>
    <row r="341" spans="1:31" s="217" customFormat="1" hidden="1" outlineLevel="2">
      <c r="A341" s="185"/>
      <c r="B341" s="217">
        <v>19</v>
      </c>
      <c r="C341" s="303" t="str">
        <f>Attribute!C341</f>
        <v>---</v>
      </c>
      <c r="D341" s="304" t="str">
        <f>VLOOKUP(C341,'Talente &amp; Stuff'!ER:FT,2,FALSE)</f>
        <v>--/--/--</v>
      </c>
      <c r="E341" s="304" t="str">
        <f>VLOOKUP(C341,'Talente &amp; Stuff'!ER:FT,3,FALSE)</f>
        <v>-</v>
      </c>
      <c r="F341" s="317">
        <f>VLOOKUP(C341,'Talente &amp; Stuff'!ER:FT,4,FALSE)</f>
        <v>0</v>
      </c>
      <c r="G341" s="254">
        <f>VLOOKUP(C341,'Talente &amp; Stuff'!ER:FT,5,FALSE)</f>
        <v>0</v>
      </c>
      <c r="H341" s="254">
        <f>VLOOKUP(C341,'Talente &amp; Stuff'!ER:FT,6,FALSE)</f>
        <v>0</v>
      </c>
      <c r="I341" s="254">
        <f>VLOOKUP(C341,'Talente &amp; Stuff'!ER:FT,7,FALSE)</f>
        <v>0</v>
      </c>
      <c r="J341" s="254">
        <f>VLOOKUP(C341,'Talente &amp; Stuff'!ER:FT,8,FALSE)</f>
        <v>0</v>
      </c>
      <c r="K341" s="254">
        <f>VLOOKUP(C341,'Talente &amp; Stuff'!ER:FT,9,FALSE)</f>
        <v>0</v>
      </c>
      <c r="L341" s="254">
        <f>VLOOKUP(C341,'Talente &amp; Stuff'!ER:FT,10,FALSE)</f>
        <v>0</v>
      </c>
      <c r="M341" s="318">
        <f>VLOOKUP(C341,'Talente &amp; Stuff'!ER:FT,11,FALSE)</f>
        <v>0</v>
      </c>
      <c r="N341" s="222">
        <f>VLOOKUP(C341,'Talente &amp; Stuff'!ER:FT,12,FALSE)</f>
        <v>0</v>
      </c>
      <c r="O341" s="223">
        <f>VLOOKUP(C341,'Talente &amp; Stuff'!ER:FT,13,FALSE)</f>
        <v>0</v>
      </c>
      <c r="P341" s="224">
        <f>VLOOKUP(C341,'Talente &amp; Stuff'!ER:FT,14,FALSE)</f>
        <v>0</v>
      </c>
      <c r="Q341" s="237">
        <f>VLOOKUP(C341,'Talente &amp; Stuff'!ER:FT,15,FALSE)</f>
        <v>0</v>
      </c>
      <c r="R341" s="254">
        <f>VLOOKUP(C341,'Talente &amp; Stuff'!ER:FT,16,FALSE)</f>
        <v>0</v>
      </c>
      <c r="S341" s="224">
        <f>VLOOKUP(C341,'Talente &amp; Stuff'!ER:FT,17,FALSE)</f>
        <v>0</v>
      </c>
      <c r="T341" s="242">
        <f>VLOOKUP(C341,'Talente &amp; Stuff'!ER:FT,18,FALSE)</f>
        <v>0</v>
      </c>
      <c r="U341" s="222">
        <f>VLOOKUP(C341,'Talente &amp; Stuff'!ER:FT,19,FALSE)</f>
        <v>0</v>
      </c>
      <c r="V341" s="223">
        <f>VLOOKUP(C341,'Talente &amp; Stuff'!ER:FT,20,FALSE)</f>
        <v>0</v>
      </c>
      <c r="W341" s="243">
        <f>VLOOKUP(C341,'Talente &amp; Stuff'!ER:FT,21,FALSE)</f>
        <v>0</v>
      </c>
      <c r="X341" s="218">
        <f>VLOOKUP(C341,'Talente &amp; Stuff'!ER:FT,22,FALSE)</f>
        <v>0</v>
      </c>
      <c r="Y341" s="252">
        <f>VLOOKUP(C341,Ausgewählte_Zauber_Zaubertänzer,168,FALSE)</f>
        <v>0</v>
      </c>
      <c r="Z341" s="309">
        <f>VLOOKUP(C341,Ausgewählte_Zauber_Zaubertänzer,169,FALSE)</f>
        <v>0</v>
      </c>
      <c r="AA341" s="218">
        <f>VLOOKUP(C341,'Talente &amp; Stuff'!ER:FT,25,FALSE)</f>
        <v>0</v>
      </c>
      <c r="AB341" s="242">
        <f>VLOOKUP(C341,'Talente &amp; Stuff'!ER:FT,26,FALSE)</f>
        <v>0</v>
      </c>
      <c r="AC341" s="218">
        <f>VLOOKUP(C341,'Talente &amp; Stuff'!ER:FT,27,FALSE)</f>
        <v>0</v>
      </c>
      <c r="AD341" s="218">
        <f>VLOOKUP(C341,'Talente &amp; Stuff'!ER:FT,28,FALSE)</f>
        <v>0</v>
      </c>
      <c r="AE341" s="343"/>
    </row>
    <row r="342" spans="1:31" s="217" customFormat="1" hidden="1" outlineLevel="2">
      <c r="A342" s="185"/>
      <c r="B342" s="217">
        <v>20</v>
      </c>
      <c r="C342" s="303" t="str">
        <f>Attribute!C342</f>
        <v>---</v>
      </c>
      <c r="D342" s="304" t="str">
        <f>VLOOKUP(C342,'Talente &amp; Stuff'!ER:FT,2,FALSE)</f>
        <v>--/--/--</v>
      </c>
      <c r="E342" s="304" t="str">
        <f>VLOOKUP(C342,'Talente &amp; Stuff'!ER:FT,3,FALSE)</f>
        <v>-</v>
      </c>
      <c r="F342" s="317">
        <f>VLOOKUP(C342,'Talente &amp; Stuff'!ER:FT,4,FALSE)</f>
        <v>0</v>
      </c>
      <c r="G342" s="254">
        <f>VLOOKUP(C342,'Talente &amp; Stuff'!ER:FT,5,FALSE)</f>
        <v>0</v>
      </c>
      <c r="H342" s="254">
        <f>VLOOKUP(C342,'Talente &amp; Stuff'!ER:FT,6,FALSE)</f>
        <v>0</v>
      </c>
      <c r="I342" s="254">
        <f>VLOOKUP(C342,'Talente &amp; Stuff'!ER:FT,7,FALSE)</f>
        <v>0</v>
      </c>
      <c r="J342" s="254">
        <f>VLOOKUP(C342,'Talente &amp; Stuff'!ER:FT,8,FALSE)</f>
        <v>0</v>
      </c>
      <c r="K342" s="254">
        <f>VLOOKUP(C342,'Talente &amp; Stuff'!ER:FT,9,FALSE)</f>
        <v>0</v>
      </c>
      <c r="L342" s="254">
        <f>VLOOKUP(C342,'Talente &amp; Stuff'!ER:FT,10,FALSE)</f>
        <v>0</v>
      </c>
      <c r="M342" s="318">
        <f>VLOOKUP(C342,'Talente &amp; Stuff'!ER:FT,11,FALSE)</f>
        <v>0</v>
      </c>
      <c r="N342" s="222">
        <f>VLOOKUP(C342,'Talente &amp; Stuff'!ER:FT,12,FALSE)</f>
        <v>0</v>
      </c>
      <c r="O342" s="223">
        <f>VLOOKUP(C342,'Talente &amp; Stuff'!ER:FT,13,FALSE)</f>
        <v>0</v>
      </c>
      <c r="P342" s="224">
        <f>VLOOKUP(C342,'Talente &amp; Stuff'!ER:FT,14,FALSE)</f>
        <v>0</v>
      </c>
      <c r="Q342" s="237">
        <f>VLOOKUP(C342,'Talente &amp; Stuff'!ER:FT,15,FALSE)</f>
        <v>0</v>
      </c>
      <c r="R342" s="254">
        <f>VLOOKUP(C342,'Talente &amp; Stuff'!ER:FT,16,FALSE)</f>
        <v>0</v>
      </c>
      <c r="S342" s="224">
        <f>VLOOKUP(C342,'Talente &amp; Stuff'!ER:FT,17,FALSE)</f>
        <v>0</v>
      </c>
      <c r="T342" s="242">
        <f>VLOOKUP(C342,'Talente &amp; Stuff'!ER:FT,18,FALSE)</f>
        <v>0</v>
      </c>
      <c r="U342" s="222">
        <f>VLOOKUP(C342,'Talente &amp; Stuff'!ER:FT,19,FALSE)</f>
        <v>0</v>
      </c>
      <c r="V342" s="223">
        <f>VLOOKUP(C342,'Talente &amp; Stuff'!ER:FT,20,FALSE)</f>
        <v>0</v>
      </c>
      <c r="W342" s="243">
        <f>VLOOKUP(C342,'Talente &amp; Stuff'!ER:FT,21,FALSE)</f>
        <v>0</v>
      </c>
      <c r="X342" s="218">
        <f>VLOOKUP(C342,'Talente &amp; Stuff'!ER:FT,22,FALSE)</f>
        <v>0</v>
      </c>
      <c r="Y342" s="252">
        <f>VLOOKUP(C342,Ausgewählte_Zauber_Zaubertänzer,168,FALSE)</f>
        <v>0</v>
      </c>
      <c r="Z342" s="309">
        <f>VLOOKUP(C342,Ausgewählte_Zauber_Zaubertänzer,169,FALSE)</f>
        <v>0</v>
      </c>
      <c r="AA342" s="218">
        <f>VLOOKUP(C342,'Talente &amp; Stuff'!ER:FT,25,FALSE)</f>
        <v>0</v>
      </c>
      <c r="AB342" s="242">
        <f>VLOOKUP(C342,'Talente &amp; Stuff'!ER:FT,26,FALSE)</f>
        <v>0</v>
      </c>
      <c r="AC342" s="218">
        <f>VLOOKUP(C342,'Talente &amp; Stuff'!ER:FT,27,FALSE)</f>
        <v>0</v>
      </c>
      <c r="AD342" s="218">
        <f>VLOOKUP(C342,'Talente &amp; Stuff'!ER:FT,28,FALSE)</f>
        <v>0</v>
      </c>
      <c r="AE342" s="343"/>
    </row>
    <row r="343" spans="1:31" s="217" customFormat="1" hidden="1" outlineLevel="2">
      <c r="A343" s="185"/>
      <c r="B343" s="217">
        <v>21</v>
      </c>
      <c r="C343" s="303" t="str">
        <f>Attribute!C343</f>
        <v>---</v>
      </c>
      <c r="D343" s="304" t="str">
        <f>VLOOKUP(C343,'Talente &amp; Stuff'!ER:FT,2,FALSE)</f>
        <v>--/--/--</v>
      </c>
      <c r="E343" s="304" t="str">
        <f>VLOOKUP(C343,'Talente &amp; Stuff'!ER:FT,3,FALSE)</f>
        <v>-</v>
      </c>
      <c r="F343" s="317">
        <f>VLOOKUP(C343,'Talente &amp; Stuff'!ER:FT,4,FALSE)</f>
        <v>0</v>
      </c>
      <c r="G343" s="254">
        <f>VLOOKUP(C343,'Talente &amp; Stuff'!ER:FT,5,FALSE)</f>
        <v>0</v>
      </c>
      <c r="H343" s="254">
        <f>VLOOKUP(C343,'Talente &amp; Stuff'!ER:FT,6,FALSE)</f>
        <v>0</v>
      </c>
      <c r="I343" s="254">
        <f>VLOOKUP(C343,'Talente &amp; Stuff'!ER:FT,7,FALSE)</f>
        <v>0</v>
      </c>
      <c r="J343" s="254">
        <f>VLOOKUP(C343,'Talente &amp; Stuff'!ER:FT,8,FALSE)</f>
        <v>0</v>
      </c>
      <c r="K343" s="254">
        <f>VLOOKUP(C343,'Talente &amp; Stuff'!ER:FT,9,FALSE)</f>
        <v>0</v>
      </c>
      <c r="L343" s="254">
        <f>VLOOKUP(C343,'Talente &amp; Stuff'!ER:FT,10,FALSE)</f>
        <v>0</v>
      </c>
      <c r="M343" s="318">
        <f>VLOOKUP(C343,'Talente &amp; Stuff'!ER:FT,11,FALSE)</f>
        <v>0</v>
      </c>
      <c r="N343" s="222">
        <f>VLOOKUP(C343,'Talente &amp; Stuff'!ER:FT,12,FALSE)</f>
        <v>0</v>
      </c>
      <c r="O343" s="223">
        <f>VLOOKUP(C343,'Talente &amp; Stuff'!ER:FT,13,FALSE)</f>
        <v>0</v>
      </c>
      <c r="P343" s="224">
        <f>VLOOKUP(C343,'Talente &amp; Stuff'!ER:FT,14,FALSE)</f>
        <v>0</v>
      </c>
      <c r="Q343" s="237">
        <f>VLOOKUP(C343,'Talente &amp; Stuff'!ER:FT,15,FALSE)</f>
        <v>0</v>
      </c>
      <c r="R343" s="254">
        <f>VLOOKUP(C343,'Talente &amp; Stuff'!ER:FT,16,FALSE)</f>
        <v>0</v>
      </c>
      <c r="S343" s="224">
        <f>VLOOKUP(C343,'Talente &amp; Stuff'!ER:FT,17,FALSE)</f>
        <v>0</v>
      </c>
      <c r="T343" s="242">
        <f>VLOOKUP(C343,'Talente &amp; Stuff'!ER:FT,18,FALSE)</f>
        <v>0</v>
      </c>
      <c r="U343" s="222">
        <f>VLOOKUP(C343,'Talente &amp; Stuff'!ER:FT,19,FALSE)</f>
        <v>0</v>
      </c>
      <c r="V343" s="223">
        <f>VLOOKUP(C343,'Talente &amp; Stuff'!ER:FT,20,FALSE)</f>
        <v>0</v>
      </c>
      <c r="W343" s="243">
        <f>VLOOKUP(C343,'Talente &amp; Stuff'!ER:FT,21,FALSE)</f>
        <v>0</v>
      </c>
      <c r="X343" s="218">
        <f>VLOOKUP(C343,'Talente &amp; Stuff'!ER:FT,22,FALSE)</f>
        <v>0</v>
      </c>
      <c r="Y343" s="252">
        <f>VLOOKUP(C343,Ausgewählte_Zauber_Zaubertänzer,168,FALSE)</f>
        <v>0</v>
      </c>
      <c r="Z343" s="309">
        <f>VLOOKUP(C343,Ausgewählte_Zauber_Zaubertänzer,169,FALSE)</f>
        <v>0</v>
      </c>
      <c r="AA343" s="218">
        <f>VLOOKUP(C343,'Talente &amp; Stuff'!ER:FT,25,FALSE)</f>
        <v>0</v>
      </c>
      <c r="AB343" s="242">
        <f>VLOOKUP(C343,'Talente &amp; Stuff'!ER:FT,26,FALSE)</f>
        <v>0</v>
      </c>
      <c r="AC343" s="218">
        <f>VLOOKUP(C343,'Talente &amp; Stuff'!ER:FT,27,FALSE)</f>
        <v>0</v>
      </c>
      <c r="AD343" s="218">
        <f>VLOOKUP(C343,'Talente &amp; Stuff'!ER:FT,28,FALSE)</f>
        <v>0</v>
      </c>
      <c r="AE343" s="343"/>
    </row>
    <row r="344" spans="1:31" s="217" customFormat="1" hidden="1" outlineLevel="2">
      <c r="A344" s="185"/>
      <c r="B344" s="217">
        <v>22</v>
      </c>
      <c r="C344" s="303" t="str">
        <f>Attribute!C344</f>
        <v>---</v>
      </c>
      <c r="D344" s="304" t="str">
        <f>VLOOKUP(C344,'Talente &amp; Stuff'!ER:FT,2,FALSE)</f>
        <v>--/--/--</v>
      </c>
      <c r="E344" s="304" t="str">
        <f>VLOOKUP(C344,'Talente &amp; Stuff'!ER:FT,3,FALSE)</f>
        <v>-</v>
      </c>
      <c r="F344" s="317">
        <f>VLOOKUP(C344,'Talente &amp; Stuff'!ER:FT,4,FALSE)</f>
        <v>0</v>
      </c>
      <c r="G344" s="254">
        <f>VLOOKUP(C344,'Talente &amp; Stuff'!ER:FT,5,FALSE)</f>
        <v>0</v>
      </c>
      <c r="H344" s="254">
        <f>VLOOKUP(C344,'Talente &amp; Stuff'!ER:FT,6,FALSE)</f>
        <v>0</v>
      </c>
      <c r="I344" s="254">
        <f>VLOOKUP(C344,'Talente &amp; Stuff'!ER:FT,7,FALSE)</f>
        <v>0</v>
      </c>
      <c r="J344" s="254">
        <f>VLOOKUP(C344,'Talente &amp; Stuff'!ER:FT,8,FALSE)</f>
        <v>0</v>
      </c>
      <c r="K344" s="254">
        <f>VLOOKUP(C344,'Talente &amp; Stuff'!ER:FT,9,FALSE)</f>
        <v>0</v>
      </c>
      <c r="L344" s="254">
        <f>VLOOKUP(C344,'Talente &amp; Stuff'!ER:FT,10,FALSE)</f>
        <v>0</v>
      </c>
      <c r="M344" s="318">
        <f>VLOOKUP(C344,'Talente &amp; Stuff'!ER:FT,11,FALSE)</f>
        <v>0</v>
      </c>
      <c r="N344" s="222">
        <f>VLOOKUP(C344,'Talente &amp; Stuff'!ER:FT,12,FALSE)</f>
        <v>0</v>
      </c>
      <c r="O344" s="223">
        <f>VLOOKUP(C344,'Talente &amp; Stuff'!ER:FT,13,FALSE)</f>
        <v>0</v>
      </c>
      <c r="P344" s="224">
        <f>VLOOKUP(C344,'Talente &amp; Stuff'!ER:FT,14,FALSE)</f>
        <v>0</v>
      </c>
      <c r="Q344" s="237">
        <f>VLOOKUP(C344,'Talente &amp; Stuff'!ER:FT,15,FALSE)</f>
        <v>0</v>
      </c>
      <c r="R344" s="254">
        <f>VLOOKUP(C344,'Talente &amp; Stuff'!ER:FT,16,FALSE)</f>
        <v>0</v>
      </c>
      <c r="S344" s="224">
        <f>VLOOKUP(C344,'Talente &amp; Stuff'!ER:FT,17,FALSE)</f>
        <v>0</v>
      </c>
      <c r="T344" s="242">
        <f>VLOOKUP(C344,'Talente &amp; Stuff'!ER:FT,18,FALSE)</f>
        <v>0</v>
      </c>
      <c r="U344" s="222">
        <f>VLOOKUP(C344,'Talente &amp; Stuff'!ER:FT,19,FALSE)</f>
        <v>0</v>
      </c>
      <c r="V344" s="223">
        <f>VLOOKUP(C344,'Talente &amp; Stuff'!ER:FT,20,FALSE)</f>
        <v>0</v>
      </c>
      <c r="W344" s="243">
        <f>VLOOKUP(C344,'Talente &amp; Stuff'!ER:FT,21,FALSE)</f>
        <v>0</v>
      </c>
      <c r="X344" s="218">
        <f>VLOOKUP(C344,'Talente &amp; Stuff'!ER:FT,22,FALSE)</f>
        <v>0</v>
      </c>
      <c r="Y344" s="252">
        <f>VLOOKUP(C344,Ausgewählte_Zauber_Zaubertänzer,168,FALSE)</f>
        <v>0</v>
      </c>
      <c r="Z344" s="309">
        <f>VLOOKUP(C344,Ausgewählte_Zauber_Zaubertänzer,169,FALSE)</f>
        <v>0</v>
      </c>
      <c r="AA344" s="218">
        <f>VLOOKUP(C344,'Talente &amp; Stuff'!ER:FT,25,FALSE)</f>
        <v>0</v>
      </c>
      <c r="AB344" s="242">
        <f>VLOOKUP(C344,'Talente &amp; Stuff'!ER:FT,26,FALSE)</f>
        <v>0</v>
      </c>
      <c r="AC344" s="218">
        <f>VLOOKUP(C344,'Talente &amp; Stuff'!ER:FT,27,FALSE)</f>
        <v>0</v>
      </c>
      <c r="AD344" s="218">
        <f>VLOOKUP(C344,'Talente &amp; Stuff'!ER:FT,28,FALSE)</f>
        <v>0</v>
      </c>
      <c r="AE344" s="343"/>
    </row>
    <row r="345" spans="1:31" s="217" customFormat="1" hidden="1" outlineLevel="2">
      <c r="A345" s="185"/>
      <c r="B345" s="217">
        <v>23</v>
      </c>
      <c r="C345" s="303" t="str">
        <f>Attribute!C345</f>
        <v>---</v>
      </c>
      <c r="D345" s="304" t="str">
        <f>VLOOKUP(C345,'Talente &amp; Stuff'!ER:FT,2,FALSE)</f>
        <v>--/--/--</v>
      </c>
      <c r="E345" s="218" t="str">
        <f>VLOOKUP(C345,'Talente &amp; Stuff'!ER:FT,3,FALSE)</f>
        <v>-</v>
      </c>
      <c r="F345" s="237">
        <f>VLOOKUP(C345,'Talente &amp; Stuff'!ER:FT,4,FALSE)</f>
        <v>0</v>
      </c>
      <c r="G345" s="234">
        <f>VLOOKUP(C345,'Talente &amp; Stuff'!ER:FT,5,FALSE)</f>
        <v>0</v>
      </c>
      <c r="H345" s="234">
        <f>VLOOKUP(C345,'Talente &amp; Stuff'!ER:FT,6,FALSE)</f>
        <v>0</v>
      </c>
      <c r="I345" s="234">
        <f>VLOOKUP(C345,'Talente &amp; Stuff'!ER:FT,7,FALSE)</f>
        <v>0</v>
      </c>
      <c r="J345" s="234">
        <f>VLOOKUP(C345,'Talente &amp; Stuff'!ER:FT,8,FALSE)</f>
        <v>0</v>
      </c>
      <c r="K345" s="234">
        <f>VLOOKUP(C345,'Talente &amp; Stuff'!ER:FT,9,FALSE)</f>
        <v>0</v>
      </c>
      <c r="L345" s="234">
        <f>VLOOKUP(C345,'Talente &amp; Stuff'!ER:FT,10,FALSE)</f>
        <v>0</v>
      </c>
      <c r="M345" s="224">
        <f>VLOOKUP(C345,'Talente &amp; Stuff'!ER:FT,11,FALSE)</f>
        <v>0</v>
      </c>
      <c r="N345" s="222">
        <f>VLOOKUP(C345,'Talente &amp; Stuff'!ER:FT,12,FALSE)</f>
        <v>0</v>
      </c>
      <c r="O345" s="223">
        <f>VLOOKUP(C345,'Talente &amp; Stuff'!ER:FT,13,FALSE)</f>
        <v>0</v>
      </c>
      <c r="P345" s="224">
        <f>VLOOKUP(C345,'Talente &amp; Stuff'!ER:FT,14,FALSE)</f>
        <v>0</v>
      </c>
      <c r="Q345" s="237">
        <f>VLOOKUP(C345,'Talente &amp; Stuff'!ER:FT,15,FALSE)</f>
        <v>0</v>
      </c>
      <c r="R345" s="254">
        <f>VLOOKUP(C345,'Talente &amp; Stuff'!ER:FT,16,FALSE)</f>
        <v>0</v>
      </c>
      <c r="S345" s="224">
        <f>VLOOKUP(C345,'Talente &amp; Stuff'!ER:FT,17,FALSE)</f>
        <v>0</v>
      </c>
      <c r="T345" s="242">
        <f>VLOOKUP(C345,'Talente &amp; Stuff'!ER:FT,18,FALSE)</f>
        <v>0</v>
      </c>
      <c r="U345" s="222">
        <f>VLOOKUP(C345,'Talente &amp; Stuff'!ER:FT,19,FALSE)</f>
        <v>0</v>
      </c>
      <c r="V345" s="223">
        <f>VLOOKUP(C345,'Talente &amp; Stuff'!ER:FT,20,FALSE)</f>
        <v>0</v>
      </c>
      <c r="W345" s="243">
        <f>VLOOKUP(C345,'Talente &amp; Stuff'!ER:FT,21,FALSE)</f>
        <v>0</v>
      </c>
      <c r="X345" s="218">
        <f>VLOOKUP(C345,'Talente &amp; Stuff'!ER:FT,22,FALSE)</f>
        <v>0</v>
      </c>
      <c r="Y345" s="252">
        <f>VLOOKUP(C345,Ausgewählte_Zauber_Zaubertänzer,168,FALSE)</f>
        <v>0</v>
      </c>
      <c r="Z345" s="309">
        <f>VLOOKUP(C345,Ausgewählte_Zauber_Zaubertänzer,169,FALSE)</f>
        <v>0</v>
      </c>
      <c r="AA345" s="218">
        <f>VLOOKUP(C345,'Talente &amp; Stuff'!ER:FT,25,FALSE)</f>
        <v>0</v>
      </c>
      <c r="AB345" s="242">
        <f>VLOOKUP(C345,'Talente &amp; Stuff'!ER:FT,26,FALSE)</f>
        <v>0</v>
      </c>
      <c r="AC345" s="218">
        <f>VLOOKUP(C345,'Talente &amp; Stuff'!ER:FT,27,FALSE)</f>
        <v>0</v>
      </c>
      <c r="AD345" s="218">
        <f>VLOOKUP(C345,'Talente &amp; Stuff'!ER:FT,28,FALSE)</f>
        <v>0</v>
      </c>
      <c r="AE345" s="343"/>
    </row>
    <row r="346" spans="1:31" s="217" customFormat="1" hidden="1" outlineLevel="2">
      <c r="A346" s="185"/>
      <c r="B346" s="217">
        <v>24</v>
      </c>
      <c r="C346" s="303" t="str">
        <f>Attribute!C346</f>
        <v>---</v>
      </c>
      <c r="D346" s="304" t="str">
        <f>VLOOKUP(C346,'Talente &amp; Stuff'!ER:FT,2,FALSE)</f>
        <v>--/--/--</v>
      </c>
      <c r="E346" s="218" t="str">
        <f>VLOOKUP(C346,'Talente &amp; Stuff'!ER:FT,3,FALSE)</f>
        <v>-</v>
      </c>
      <c r="F346" s="237">
        <f>VLOOKUP(C346,'Talente &amp; Stuff'!ER:FT,4,FALSE)</f>
        <v>0</v>
      </c>
      <c r="G346" s="234">
        <f>VLOOKUP(C346,'Talente &amp; Stuff'!ER:FT,5,FALSE)</f>
        <v>0</v>
      </c>
      <c r="H346" s="234">
        <f>VLOOKUP(C346,'Talente &amp; Stuff'!ER:FT,6,FALSE)</f>
        <v>0</v>
      </c>
      <c r="I346" s="234">
        <f>VLOOKUP(C346,'Talente &amp; Stuff'!ER:FT,7,FALSE)</f>
        <v>0</v>
      </c>
      <c r="J346" s="234">
        <f>VLOOKUP(C346,'Talente &amp; Stuff'!ER:FT,8,FALSE)</f>
        <v>0</v>
      </c>
      <c r="K346" s="234">
        <f>VLOOKUP(C346,'Talente &amp; Stuff'!ER:FT,9,FALSE)</f>
        <v>0</v>
      </c>
      <c r="L346" s="234">
        <f>VLOOKUP(C346,'Talente &amp; Stuff'!ER:FT,10,FALSE)</f>
        <v>0</v>
      </c>
      <c r="M346" s="224">
        <f>VLOOKUP(C346,'Talente &amp; Stuff'!ER:FT,11,FALSE)</f>
        <v>0</v>
      </c>
      <c r="N346" s="222">
        <f>VLOOKUP(C346,'Talente &amp; Stuff'!ER:FT,12,FALSE)</f>
        <v>0</v>
      </c>
      <c r="O346" s="223">
        <f>VLOOKUP(C346,'Talente &amp; Stuff'!ER:FT,13,FALSE)</f>
        <v>0</v>
      </c>
      <c r="P346" s="224">
        <f>VLOOKUP(C346,'Talente &amp; Stuff'!ER:FT,14,FALSE)</f>
        <v>0</v>
      </c>
      <c r="Q346" s="237">
        <f>VLOOKUP(C346,'Talente &amp; Stuff'!ER:FT,15,FALSE)</f>
        <v>0</v>
      </c>
      <c r="R346" s="254">
        <f>VLOOKUP(C346,'Talente &amp; Stuff'!ER:FT,16,FALSE)</f>
        <v>0</v>
      </c>
      <c r="S346" s="224">
        <f>VLOOKUP(C346,'Talente &amp; Stuff'!ER:FT,17,FALSE)</f>
        <v>0</v>
      </c>
      <c r="T346" s="242">
        <f>VLOOKUP(C346,'Talente &amp; Stuff'!ER:FT,18,FALSE)</f>
        <v>0</v>
      </c>
      <c r="U346" s="222">
        <f>VLOOKUP(C346,'Talente &amp; Stuff'!ER:FT,19,FALSE)</f>
        <v>0</v>
      </c>
      <c r="V346" s="223">
        <f>VLOOKUP(C346,'Talente &amp; Stuff'!ER:FT,20,FALSE)</f>
        <v>0</v>
      </c>
      <c r="W346" s="243">
        <f>VLOOKUP(C346,'Talente &amp; Stuff'!ER:FT,21,FALSE)</f>
        <v>0</v>
      </c>
      <c r="X346" s="218">
        <f>VLOOKUP(C346,'Talente &amp; Stuff'!ER:FT,22,FALSE)</f>
        <v>0</v>
      </c>
      <c r="Y346" s="252">
        <f>VLOOKUP(C346,Ausgewählte_Zauber_Zaubertänzer,168,FALSE)</f>
        <v>0</v>
      </c>
      <c r="Z346" s="309">
        <f>VLOOKUP(C346,Ausgewählte_Zauber_Zaubertänzer,169,FALSE)</f>
        <v>0</v>
      </c>
      <c r="AA346" s="218">
        <f>VLOOKUP(C346,'Talente &amp; Stuff'!ER:FT,25,FALSE)</f>
        <v>0</v>
      </c>
      <c r="AB346" s="242">
        <f>VLOOKUP(C346,'Talente &amp; Stuff'!ER:FT,26,FALSE)</f>
        <v>0</v>
      </c>
      <c r="AC346" s="218">
        <f>VLOOKUP(C346,'Talente &amp; Stuff'!ER:FT,27,FALSE)</f>
        <v>0</v>
      </c>
      <c r="AD346" s="218">
        <f>VLOOKUP(C346,'Talente &amp; Stuff'!ER:FT,28,FALSE)</f>
        <v>0</v>
      </c>
      <c r="AE346" s="343"/>
    </row>
    <row r="347" spans="1:31" s="217" customFormat="1" hidden="1" outlineLevel="2">
      <c r="A347" s="185"/>
      <c r="B347" s="217">
        <v>25</v>
      </c>
      <c r="C347" s="303" t="str">
        <f>Attribute!C347</f>
        <v>---</v>
      </c>
      <c r="D347" s="304" t="str">
        <f>VLOOKUP(C347,'Talente &amp; Stuff'!ER:FT,2,FALSE)</f>
        <v>--/--/--</v>
      </c>
      <c r="E347" s="218" t="str">
        <f>VLOOKUP(C347,'Talente &amp; Stuff'!ER:FT,3,FALSE)</f>
        <v>-</v>
      </c>
      <c r="F347" s="237">
        <f>VLOOKUP(C347,'Talente &amp; Stuff'!ER:FT,4,FALSE)</f>
        <v>0</v>
      </c>
      <c r="G347" s="234">
        <f>VLOOKUP(C347,'Talente &amp; Stuff'!ER:FT,5,FALSE)</f>
        <v>0</v>
      </c>
      <c r="H347" s="234">
        <f>VLOOKUP(C347,'Talente &amp; Stuff'!ER:FT,6,FALSE)</f>
        <v>0</v>
      </c>
      <c r="I347" s="234">
        <f>VLOOKUP(C347,'Talente &amp; Stuff'!ER:FT,7,FALSE)</f>
        <v>0</v>
      </c>
      <c r="J347" s="234">
        <f>VLOOKUP(C347,'Talente &amp; Stuff'!ER:FT,8,FALSE)</f>
        <v>0</v>
      </c>
      <c r="K347" s="234">
        <f>VLOOKUP(C347,'Talente &amp; Stuff'!ER:FT,9,FALSE)</f>
        <v>0</v>
      </c>
      <c r="L347" s="234">
        <f>VLOOKUP(C347,'Talente &amp; Stuff'!ER:FT,10,FALSE)</f>
        <v>0</v>
      </c>
      <c r="M347" s="224">
        <f>VLOOKUP(C347,'Talente &amp; Stuff'!ER:FT,11,FALSE)</f>
        <v>0</v>
      </c>
      <c r="N347" s="222">
        <f>VLOOKUP(C347,'Talente &amp; Stuff'!ER:FT,12,FALSE)</f>
        <v>0</v>
      </c>
      <c r="O347" s="223">
        <f>VLOOKUP(C347,'Talente &amp; Stuff'!ER:FT,13,FALSE)</f>
        <v>0</v>
      </c>
      <c r="P347" s="224">
        <f>VLOOKUP(C347,'Talente &amp; Stuff'!ER:FT,14,FALSE)</f>
        <v>0</v>
      </c>
      <c r="Q347" s="237">
        <f>VLOOKUP(C347,'Talente &amp; Stuff'!ER:FT,15,FALSE)</f>
        <v>0</v>
      </c>
      <c r="R347" s="254">
        <f>VLOOKUP(C347,'Talente &amp; Stuff'!ER:FT,16,FALSE)</f>
        <v>0</v>
      </c>
      <c r="S347" s="224">
        <f>VLOOKUP(C347,'Talente &amp; Stuff'!ER:FT,17,FALSE)</f>
        <v>0</v>
      </c>
      <c r="T347" s="242">
        <f>VLOOKUP(C347,'Talente &amp; Stuff'!ER:FT,18,FALSE)</f>
        <v>0</v>
      </c>
      <c r="U347" s="222">
        <f>VLOOKUP(C347,'Talente &amp; Stuff'!ER:FT,19,FALSE)</f>
        <v>0</v>
      </c>
      <c r="V347" s="223">
        <f>VLOOKUP(C347,'Talente &amp; Stuff'!ER:FT,20,FALSE)</f>
        <v>0</v>
      </c>
      <c r="W347" s="243">
        <f>VLOOKUP(C347,'Talente &amp; Stuff'!ER:FT,21,FALSE)</f>
        <v>0</v>
      </c>
      <c r="X347" s="218">
        <f>VLOOKUP(C347,'Talente &amp; Stuff'!ER:FT,22,FALSE)</f>
        <v>0</v>
      </c>
      <c r="Y347" s="252">
        <f>VLOOKUP(C347,Ausgewählte_Zauber_Zaubertänzer,168,FALSE)</f>
        <v>0</v>
      </c>
      <c r="Z347" s="309">
        <f>VLOOKUP(C347,Ausgewählte_Zauber_Zaubertänzer,169,FALSE)</f>
        <v>0</v>
      </c>
      <c r="AA347" s="218">
        <f>VLOOKUP(C347,'Talente &amp; Stuff'!ER:FT,25,FALSE)</f>
        <v>0</v>
      </c>
      <c r="AB347" s="242">
        <f>VLOOKUP(C347,'Talente &amp; Stuff'!ER:FT,26,FALSE)</f>
        <v>0</v>
      </c>
      <c r="AC347" s="218">
        <f>VLOOKUP(C347,'Talente &amp; Stuff'!ER:FT,27,FALSE)</f>
        <v>0</v>
      </c>
      <c r="AD347" s="218">
        <f>VLOOKUP(C347,'Talente &amp; Stuff'!ER:FT,28,FALSE)</f>
        <v>0</v>
      </c>
      <c r="AE347" s="343"/>
    </row>
    <row r="348" spans="1:31" s="217" customFormat="1" hidden="1" outlineLevel="2">
      <c r="A348" s="185"/>
      <c r="B348" s="217">
        <v>26</v>
      </c>
      <c r="C348" s="306" t="str">
        <f>Attribute!C348</f>
        <v>---</v>
      </c>
      <c r="D348" s="314" t="str">
        <f>VLOOKUP(C348,'Talente &amp; Stuff'!ER:FT,2,FALSE)</f>
        <v>--/--/--</v>
      </c>
      <c r="E348" s="246" t="str">
        <f>VLOOKUP(C348,'Talente &amp; Stuff'!ER:FT,3,FALSE)</f>
        <v>-</v>
      </c>
      <c r="F348" s="238">
        <f>VLOOKUP(C348,'Talente &amp; Stuff'!ER:FT,4,FALSE)</f>
        <v>0</v>
      </c>
      <c r="G348" s="235">
        <f>VLOOKUP(C348,'Talente &amp; Stuff'!ER:FT,5,FALSE)</f>
        <v>0</v>
      </c>
      <c r="H348" s="235">
        <f>VLOOKUP(C348,'Talente &amp; Stuff'!ER:FT,6,FALSE)</f>
        <v>0</v>
      </c>
      <c r="I348" s="235">
        <f>VLOOKUP(C348,'Talente &amp; Stuff'!ER:FT,7,FALSE)</f>
        <v>0</v>
      </c>
      <c r="J348" s="235">
        <f>VLOOKUP(C348,'Talente &amp; Stuff'!ER:FT,8,FALSE)</f>
        <v>0</v>
      </c>
      <c r="K348" s="235">
        <f>VLOOKUP(C348,'Talente &amp; Stuff'!ER:FT,9,FALSE)</f>
        <v>0</v>
      </c>
      <c r="L348" s="235">
        <f>VLOOKUP(C348,'Talente &amp; Stuff'!ER:FT,10,FALSE)</f>
        <v>0</v>
      </c>
      <c r="M348" s="227">
        <f>VLOOKUP(C348,'Talente &amp; Stuff'!ER:FT,11,FALSE)</f>
        <v>0</v>
      </c>
      <c r="N348" s="225">
        <f>VLOOKUP(C348,'Talente &amp; Stuff'!ER:FT,12,FALSE)</f>
        <v>0</v>
      </c>
      <c r="O348" s="226">
        <f>VLOOKUP(C348,'Talente &amp; Stuff'!ER:FT,13,FALSE)</f>
        <v>0</v>
      </c>
      <c r="P348" s="227">
        <f>VLOOKUP(C348,'Talente &amp; Stuff'!ER:FT,14,FALSE)</f>
        <v>0</v>
      </c>
      <c r="Q348" s="238">
        <f>VLOOKUP(C348,'Talente &amp; Stuff'!ER:FT,15,FALSE)</f>
        <v>0</v>
      </c>
      <c r="R348" s="315">
        <f>VLOOKUP(C348,'Talente &amp; Stuff'!ER:FT,16,FALSE)</f>
        <v>0</v>
      </c>
      <c r="S348" s="227">
        <f>VLOOKUP(C348,'Talente &amp; Stuff'!ER:FT,17,FALSE)</f>
        <v>0</v>
      </c>
      <c r="T348" s="244">
        <f>VLOOKUP(C348,'Talente &amp; Stuff'!ER:FT,18,FALSE)</f>
        <v>0</v>
      </c>
      <c r="U348" s="225">
        <f>VLOOKUP(C348,'Talente &amp; Stuff'!ER:FT,19,FALSE)</f>
        <v>0</v>
      </c>
      <c r="V348" s="226">
        <f>VLOOKUP(C348,'Talente &amp; Stuff'!ER:FT,20,FALSE)</f>
        <v>0</v>
      </c>
      <c r="W348" s="245">
        <f>VLOOKUP(C348,'Talente &amp; Stuff'!ER:FT,21,FALSE)</f>
        <v>0</v>
      </c>
      <c r="X348" s="246">
        <f>VLOOKUP(C348,'Talente &amp; Stuff'!ER:FT,22,FALSE)</f>
        <v>0</v>
      </c>
      <c r="Y348" s="252">
        <f>VLOOKUP(C348,Ausgewählte_Zauber_Zaubertänzer,168,FALSE)</f>
        <v>0</v>
      </c>
      <c r="Z348" s="309">
        <f>VLOOKUP(C348,Ausgewählte_Zauber_Zaubertänzer,169,FALSE)</f>
        <v>0</v>
      </c>
      <c r="AA348" s="246">
        <f>VLOOKUP(C348,'Talente &amp; Stuff'!ER:FT,25,FALSE)</f>
        <v>0</v>
      </c>
      <c r="AB348" s="244">
        <f>VLOOKUP(C348,'Talente &amp; Stuff'!ER:FT,26,FALSE)</f>
        <v>0</v>
      </c>
      <c r="AC348" s="246">
        <f>VLOOKUP(C348,'Talente &amp; Stuff'!ER:FT,27,FALSE)</f>
        <v>0</v>
      </c>
      <c r="AD348" s="246">
        <f>VLOOKUP(C348,'Talente &amp; Stuff'!ER:FT,28,FALSE)</f>
        <v>0</v>
      </c>
      <c r="AE348" s="343"/>
    </row>
    <row r="349" spans="1:31" ht="15.75" hidden="1" customHeight="1" outlineLevel="1" collapsed="1" thickBot="1"/>
    <row r="350" spans="1:31" ht="15.75" collapsed="1" thickBot="1">
      <c r="A350" s="135" t="s">
        <v>311</v>
      </c>
    </row>
    <row r="351" spans="1:31" ht="15" hidden="1" customHeight="1" outlineLevel="1">
      <c r="B351" s="134" t="s">
        <v>327</v>
      </c>
    </row>
    <row r="352" spans="1:31" ht="15" hidden="1" customHeight="1" outlineLevel="2">
      <c r="B352" s="148">
        <v>1</v>
      </c>
      <c r="C352" s="176" t="str">
        <f>Attribute!C352</f>
        <v>---</v>
      </c>
      <c r="D352" s="85" t="str">
        <f>VLOOKUP(C352,'Talente &amp; Stuff'!ER:FT,2,FALSE)</f>
        <v>--/--/--</v>
      </c>
      <c r="E352" s="158" t="str">
        <f>VLOOKUP(C352,'Talente &amp; Stuff'!ER:FT,3,FALSE)</f>
        <v>-</v>
      </c>
      <c r="F352" s="118">
        <f>VLOOKUP(C352,'Talente &amp; Stuff'!ER:FT,4,FALSE)</f>
        <v>0</v>
      </c>
      <c r="G352" s="118">
        <f>VLOOKUP(C352,'Talente &amp; Stuff'!ER:FT,5,FALSE)</f>
        <v>0</v>
      </c>
      <c r="H352" s="118">
        <f>VLOOKUP(C352,'Talente &amp; Stuff'!ER:FT,6,FALSE)</f>
        <v>0</v>
      </c>
      <c r="I352" s="118">
        <f>VLOOKUP(C352,'Talente &amp; Stuff'!ER:FT,7,FALSE)</f>
        <v>0</v>
      </c>
      <c r="J352" s="118">
        <f>VLOOKUP(C352,'Talente &amp; Stuff'!ER:FT,8,FALSE)</f>
        <v>0</v>
      </c>
      <c r="K352" s="118">
        <f>VLOOKUP(C352,'Talente &amp; Stuff'!ER:FT,9,FALSE)</f>
        <v>0</v>
      </c>
      <c r="L352" s="118">
        <f>VLOOKUP(C352,'Talente &amp; Stuff'!ER:FT,10,FALSE)</f>
        <v>0</v>
      </c>
      <c r="M352" s="118">
        <f>VLOOKUP(C352,'Talente &amp; Stuff'!ER:FT,11,FALSE)</f>
        <v>0</v>
      </c>
      <c r="N352" s="193">
        <f>VLOOKUP(C352,'Talente &amp; Stuff'!ER:FT,12,FALSE)</f>
        <v>0</v>
      </c>
      <c r="O352" s="116">
        <f>VLOOKUP(C352,'Talente &amp; Stuff'!ER:FT,13,FALSE)</f>
        <v>0</v>
      </c>
      <c r="P352" s="92">
        <f>VLOOKUP(C352,'Talente &amp; Stuff'!ER:FT,14,FALSE)</f>
        <v>0</v>
      </c>
      <c r="Q352" s="118">
        <f>VLOOKUP(C352,'Talente &amp; Stuff'!ER:FT,15,FALSE)</f>
        <v>0</v>
      </c>
      <c r="R352" s="118">
        <f>VLOOKUP(C352,'Talente &amp; Stuff'!ER:FT,16,FALSE)</f>
        <v>0</v>
      </c>
      <c r="S352" s="118">
        <f>VLOOKUP(C352,'Talente &amp; Stuff'!ER:FT,17,FALSE)</f>
        <v>0</v>
      </c>
      <c r="T352" s="91">
        <f>VLOOKUP(C352,'Talente &amp; Stuff'!ER:FT,18,FALSE)</f>
        <v>0</v>
      </c>
      <c r="U352" s="116">
        <f>VLOOKUP(C352,'Talente &amp; Stuff'!ER:FT,19,FALSE)</f>
        <v>0</v>
      </c>
      <c r="V352" s="116">
        <f>VLOOKUP(C352,'Talente &amp; Stuff'!ER:FT,20,FALSE)</f>
        <v>0</v>
      </c>
      <c r="W352" s="116">
        <f>VLOOKUP(C352,'Talente &amp; Stuff'!ER:FT,21,FALSE)</f>
        <v>0</v>
      </c>
      <c r="X352" s="158">
        <f>VLOOKUP(C352,'Talente &amp; Stuff'!ER:FT,22,FALSE)</f>
        <v>0</v>
      </c>
      <c r="Y352" s="165">
        <f>VLOOKUP(C352,Ausgewählte_Rituale_Allgemein,168,FALSE)</f>
        <v>0</v>
      </c>
      <c r="Z352" s="44">
        <f>VLOOKUP(C352,Ausgewählte_Rituale_Allgemein,169,FALSE)</f>
        <v>0</v>
      </c>
      <c r="AA352" s="158">
        <f>VLOOKUP(C352,'Talente &amp; Stuff'!ER:FT,25,FALSE)</f>
        <v>0</v>
      </c>
      <c r="AB352" s="91">
        <f>VLOOKUP(C352,'Talente &amp; Stuff'!ER:FT,26,FALSE)</f>
        <v>0</v>
      </c>
      <c r="AC352" s="126">
        <f>VLOOKUP(C352,'Talente &amp; Stuff'!ER:FT,27,FALSE)</f>
        <v>0</v>
      </c>
      <c r="AD352" s="158">
        <f>VLOOKUP(C352,'Talente &amp; Stuff'!ER:FT,28,FALSE)</f>
        <v>0</v>
      </c>
      <c r="AE352" s="28"/>
    </row>
    <row r="353" spans="2:31" ht="15" hidden="1" customHeight="1" outlineLevel="2">
      <c r="B353" s="148">
        <v>2</v>
      </c>
      <c r="C353" s="177" t="str">
        <f>Attribute!C353</f>
        <v>---</v>
      </c>
      <c r="D353" s="86" t="str">
        <f>VLOOKUP(C353,'Talente &amp; Stuff'!ER:FT,2,FALSE)</f>
        <v>--/--/--</v>
      </c>
      <c r="E353" s="125" t="str">
        <f>VLOOKUP(C353,'Talente &amp; Stuff'!ER:FT,3,FALSE)</f>
        <v>-</v>
      </c>
      <c r="F353" s="113">
        <f>VLOOKUP(C353,'Talente &amp; Stuff'!ER:FT,4,FALSE)</f>
        <v>0</v>
      </c>
      <c r="G353" s="113">
        <f>VLOOKUP(C353,'Talente &amp; Stuff'!ER:FT,5,FALSE)</f>
        <v>0</v>
      </c>
      <c r="H353" s="113">
        <f>VLOOKUP(C353,'Talente &amp; Stuff'!ER:FT,6,FALSE)</f>
        <v>0</v>
      </c>
      <c r="I353" s="113">
        <f>VLOOKUP(C353,'Talente &amp; Stuff'!ER:FT,7,FALSE)</f>
        <v>0</v>
      </c>
      <c r="J353" s="113">
        <f>VLOOKUP(C353,'Talente &amp; Stuff'!ER:FT,8,FALSE)</f>
        <v>0</v>
      </c>
      <c r="K353" s="113">
        <f>VLOOKUP(C353,'Talente &amp; Stuff'!ER:FT,9,FALSE)</f>
        <v>0</v>
      </c>
      <c r="L353" s="113">
        <f>VLOOKUP(C353,'Talente &amp; Stuff'!ER:FT,10,FALSE)</f>
        <v>0</v>
      </c>
      <c r="M353" s="113">
        <f>VLOOKUP(C353,'Talente &amp; Stuff'!ER:FT,11,FALSE)</f>
        <v>0</v>
      </c>
      <c r="N353" s="89">
        <f>VLOOKUP(C353,'Talente &amp; Stuff'!ER:FT,12,FALSE)</f>
        <v>0</v>
      </c>
      <c r="O353" s="47">
        <f>VLOOKUP(C353,'Talente &amp; Stuff'!ER:FT,13,FALSE)</f>
        <v>0</v>
      </c>
      <c r="P353" s="119">
        <f>VLOOKUP(C353,'Talente &amp; Stuff'!ER:FT,14,FALSE)</f>
        <v>0</v>
      </c>
      <c r="Q353" s="113">
        <f>VLOOKUP(C353,'Talente &amp; Stuff'!ER:FT,15,FALSE)</f>
        <v>0</v>
      </c>
      <c r="R353" s="113">
        <f>VLOOKUP(C353,'Talente &amp; Stuff'!ER:FT,16,FALSE)</f>
        <v>0</v>
      </c>
      <c r="S353" s="113">
        <f>VLOOKUP(C353,'Talente &amp; Stuff'!ER:FT,17,FALSE)</f>
        <v>0</v>
      </c>
      <c r="T353" s="160">
        <f>VLOOKUP(C353,'Talente &amp; Stuff'!ER:FT,18,FALSE)</f>
        <v>0</v>
      </c>
      <c r="U353" s="47">
        <f>VLOOKUP(C353,'Talente &amp; Stuff'!ER:FT,19,FALSE)</f>
        <v>0</v>
      </c>
      <c r="V353" s="47">
        <f>VLOOKUP(C353,'Talente &amp; Stuff'!ER:FT,20,FALSE)</f>
        <v>0</v>
      </c>
      <c r="W353" s="47">
        <f>VLOOKUP(C353,'Talente &amp; Stuff'!ER:FT,21,FALSE)</f>
        <v>0</v>
      </c>
      <c r="X353" s="125">
        <f>VLOOKUP(C353,'Talente &amp; Stuff'!ER:FT,22,FALSE)</f>
        <v>0</v>
      </c>
      <c r="Y353" s="165">
        <f>VLOOKUP(C353,Ausgewählte_Rituale_Allgemein,168,FALSE)</f>
        <v>0</v>
      </c>
      <c r="Z353" s="44">
        <f>VLOOKUP(C353,Ausgewählte_Rituale_Allgemein,169,FALSE)</f>
        <v>0</v>
      </c>
      <c r="AA353" s="125">
        <f>VLOOKUP(C353,'Talente &amp; Stuff'!ER:FT,25,FALSE)</f>
        <v>0</v>
      </c>
      <c r="AB353" s="160">
        <f>VLOOKUP(C353,'Talente &amp; Stuff'!ER:FT,26,FALSE)</f>
        <v>0</v>
      </c>
      <c r="AC353" s="127">
        <f>VLOOKUP(C353,'Talente &amp; Stuff'!ER:FT,27,FALSE)</f>
        <v>0</v>
      </c>
      <c r="AD353" s="125">
        <f>VLOOKUP(C353,'Talente &amp; Stuff'!ER:FT,28,FALSE)</f>
        <v>0</v>
      </c>
      <c r="AE353" s="28"/>
    </row>
    <row r="354" spans="2:31" ht="15" hidden="1" customHeight="1" outlineLevel="2">
      <c r="B354" s="148">
        <v>3</v>
      </c>
      <c r="C354" s="177" t="str">
        <f>Attribute!C354</f>
        <v>---</v>
      </c>
      <c r="D354" s="86" t="str">
        <f>VLOOKUP(C354,'Talente &amp; Stuff'!ER:FT,2,FALSE)</f>
        <v>--/--/--</v>
      </c>
      <c r="E354" s="125" t="str">
        <f>VLOOKUP(C354,'Talente &amp; Stuff'!ER:FT,3,FALSE)</f>
        <v>-</v>
      </c>
      <c r="F354" s="113">
        <f>VLOOKUP(C354,'Talente &amp; Stuff'!ER:FT,4,FALSE)</f>
        <v>0</v>
      </c>
      <c r="G354" s="113">
        <f>VLOOKUP(C354,'Talente &amp; Stuff'!ER:FT,5,FALSE)</f>
        <v>0</v>
      </c>
      <c r="H354" s="113">
        <f>VLOOKUP(C354,'Talente &amp; Stuff'!ER:FT,6,FALSE)</f>
        <v>0</v>
      </c>
      <c r="I354" s="113">
        <f>VLOOKUP(C354,'Talente &amp; Stuff'!ER:FT,7,FALSE)</f>
        <v>0</v>
      </c>
      <c r="J354" s="113">
        <f>VLOOKUP(C354,'Talente &amp; Stuff'!ER:FT,8,FALSE)</f>
        <v>0</v>
      </c>
      <c r="K354" s="113">
        <f>VLOOKUP(C354,'Talente &amp; Stuff'!ER:FT,9,FALSE)</f>
        <v>0</v>
      </c>
      <c r="L354" s="113">
        <f>VLOOKUP(C354,'Talente &amp; Stuff'!ER:FT,10,FALSE)</f>
        <v>0</v>
      </c>
      <c r="M354" s="113">
        <f>VLOOKUP(C354,'Talente &amp; Stuff'!ER:FT,11,FALSE)</f>
        <v>0</v>
      </c>
      <c r="N354" s="89">
        <f>VLOOKUP(C354,'Talente &amp; Stuff'!ER:FT,12,FALSE)</f>
        <v>0</v>
      </c>
      <c r="O354" s="47">
        <f>VLOOKUP(C354,'Talente &amp; Stuff'!ER:FT,13,FALSE)</f>
        <v>0</v>
      </c>
      <c r="P354" s="119">
        <f>VLOOKUP(C354,'Talente &amp; Stuff'!ER:FT,14,FALSE)</f>
        <v>0</v>
      </c>
      <c r="Q354" s="113">
        <f>VLOOKUP(C354,'Talente &amp; Stuff'!ER:FT,15,FALSE)</f>
        <v>0</v>
      </c>
      <c r="R354" s="113">
        <f>VLOOKUP(C354,'Talente &amp; Stuff'!ER:FT,16,FALSE)</f>
        <v>0</v>
      </c>
      <c r="S354" s="113">
        <f>VLOOKUP(C354,'Talente &amp; Stuff'!ER:FT,17,FALSE)</f>
        <v>0</v>
      </c>
      <c r="T354" s="160">
        <f>VLOOKUP(C354,'Talente &amp; Stuff'!ER:FT,18,FALSE)</f>
        <v>0</v>
      </c>
      <c r="U354" s="47">
        <f>VLOOKUP(C354,'Talente &amp; Stuff'!ER:FT,19,FALSE)</f>
        <v>0</v>
      </c>
      <c r="V354" s="47">
        <f>VLOOKUP(C354,'Talente &amp; Stuff'!ER:FT,20,FALSE)</f>
        <v>0</v>
      </c>
      <c r="W354" s="47">
        <f>VLOOKUP(C354,'Talente &amp; Stuff'!ER:FT,21,FALSE)</f>
        <v>0</v>
      </c>
      <c r="X354" s="125">
        <f>VLOOKUP(C354,'Talente &amp; Stuff'!ER:FT,22,FALSE)</f>
        <v>0</v>
      </c>
      <c r="Y354" s="165">
        <f>VLOOKUP(C354,Ausgewählte_Rituale_Allgemein,168,FALSE)</f>
        <v>0</v>
      </c>
      <c r="Z354" s="44">
        <f>VLOOKUP(C354,Ausgewählte_Rituale_Allgemein,169,FALSE)</f>
        <v>0</v>
      </c>
      <c r="AA354" s="125">
        <f>VLOOKUP(C354,'Talente &amp; Stuff'!ER:FT,25,FALSE)</f>
        <v>0</v>
      </c>
      <c r="AB354" s="160">
        <f>VLOOKUP(C354,'Talente &amp; Stuff'!ER:FT,26,FALSE)</f>
        <v>0</v>
      </c>
      <c r="AC354" s="127">
        <f>VLOOKUP(C354,'Talente &amp; Stuff'!ER:FT,27,FALSE)</f>
        <v>0</v>
      </c>
      <c r="AD354" s="125">
        <f>VLOOKUP(C354,'Talente &amp; Stuff'!ER:FT,28,FALSE)</f>
        <v>0</v>
      </c>
      <c r="AE354" s="28"/>
    </row>
    <row r="355" spans="2:31" ht="15" hidden="1" customHeight="1" outlineLevel="2">
      <c r="B355" s="148">
        <v>4</v>
      </c>
      <c r="C355" s="178" t="str">
        <f>Attribute!C355</f>
        <v>---</v>
      </c>
      <c r="D355" s="23" t="str">
        <f>VLOOKUP(C355,'Talente &amp; Stuff'!ER:FT,2,FALSE)</f>
        <v>--/--/--</v>
      </c>
      <c r="E355" s="159" t="str">
        <f>VLOOKUP(C355,'Talente &amp; Stuff'!ER:FT,3,FALSE)</f>
        <v>-</v>
      </c>
      <c r="F355" s="122">
        <f>VLOOKUP(C355,'Talente &amp; Stuff'!ER:FT,4,FALSE)</f>
        <v>0</v>
      </c>
      <c r="G355" s="122">
        <f>VLOOKUP(C355,'Talente &amp; Stuff'!ER:FT,5,FALSE)</f>
        <v>0</v>
      </c>
      <c r="H355" s="122">
        <f>VLOOKUP(C355,'Talente &amp; Stuff'!ER:FT,6,FALSE)</f>
        <v>0</v>
      </c>
      <c r="I355" s="122">
        <f>VLOOKUP(C355,'Talente &amp; Stuff'!ER:FT,7,FALSE)</f>
        <v>0</v>
      </c>
      <c r="J355" s="122">
        <f>VLOOKUP(C355,'Talente &amp; Stuff'!ER:FT,8,FALSE)</f>
        <v>0</v>
      </c>
      <c r="K355" s="122">
        <f>VLOOKUP(C355,'Talente &amp; Stuff'!ER:FT,9,FALSE)</f>
        <v>0</v>
      </c>
      <c r="L355" s="122">
        <f>VLOOKUP(C355,'Talente &amp; Stuff'!ER:FT,10,FALSE)</f>
        <v>0</v>
      </c>
      <c r="M355" s="122">
        <f>VLOOKUP(C355,'Talente &amp; Stuff'!ER:FT,11,FALSE)</f>
        <v>0</v>
      </c>
      <c r="N355" s="90">
        <f>VLOOKUP(C355,'Talente &amp; Stuff'!ER:FT,12,FALSE)</f>
        <v>0</v>
      </c>
      <c r="O355" s="88">
        <f>VLOOKUP(C355,'Talente &amp; Stuff'!ER:FT,13,FALSE)</f>
        <v>0</v>
      </c>
      <c r="P355" s="123">
        <f>VLOOKUP(C355,'Talente &amp; Stuff'!ER:FT,14,FALSE)</f>
        <v>0</v>
      </c>
      <c r="Q355" s="122">
        <f>VLOOKUP(C355,'Talente &amp; Stuff'!ER:FT,15,FALSE)</f>
        <v>0</v>
      </c>
      <c r="R355" s="122">
        <f>VLOOKUP(C355,'Talente &amp; Stuff'!ER:FT,16,FALSE)</f>
        <v>0</v>
      </c>
      <c r="S355" s="122">
        <f>VLOOKUP(C355,'Talente &amp; Stuff'!ER:FT,17,FALSE)</f>
        <v>0</v>
      </c>
      <c r="T355" s="161">
        <f>VLOOKUP(C355,'Talente &amp; Stuff'!ER:FT,18,FALSE)</f>
        <v>0</v>
      </c>
      <c r="U355" s="88">
        <f>VLOOKUP(C355,'Talente &amp; Stuff'!ER:FT,19,FALSE)</f>
        <v>0</v>
      </c>
      <c r="V355" s="88">
        <f>VLOOKUP(C355,'Talente &amp; Stuff'!ER:FT,20,FALSE)</f>
        <v>0</v>
      </c>
      <c r="W355" s="88">
        <f>VLOOKUP(C355,'Talente &amp; Stuff'!ER:FT,21,FALSE)</f>
        <v>0</v>
      </c>
      <c r="X355" s="159">
        <f>VLOOKUP(C355,'Talente &amp; Stuff'!ER:FT,22,FALSE)</f>
        <v>0</v>
      </c>
      <c r="Y355" s="165">
        <f>VLOOKUP(C355,Ausgewählte_Rituale_Allgemein,168,FALSE)</f>
        <v>0</v>
      </c>
      <c r="Z355" s="44">
        <f>VLOOKUP(C355,Ausgewählte_Rituale_Allgemein,169,FALSE)</f>
        <v>0</v>
      </c>
      <c r="AA355" s="159">
        <f>VLOOKUP(C355,'Talente &amp; Stuff'!ER:FT,25,FALSE)</f>
        <v>0</v>
      </c>
      <c r="AB355" s="161">
        <f>VLOOKUP(C355,'Talente &amp; Stuff'!ER:FT,26,FALSE)</f>
        <v>0</v>
      </c>
      <c r="AC355" s="128">
        <f>VLOOKUP(C355,'Talente &amp; Stuff'!ER:FT,27,FALSE)</f>
        <v>0</v>
      </c>
      <c r="AD355" s="159">
        <f>VLOOKUP(C355,'Talente &amp; Stuff'!ER:FT,28,FALSE)</f>
        <v>0</v>
      </c>
      <c r="AE355" s="28"/>
    </row>
    <row r="356" spans="2:31" ht="15" hidden="1" customHeight="1" outlineLevel="1" collapsed="1">
      <c r="B356" s="134" t="s">
        <v>331</v>
      </c>
      <c r="C356" s="83"/>
      <c r="D356" s="84"/>
      <c r="E356" s="84"/>
    </row>
    <row r="357" spans="2:31" ht="15" hidden="1" customHeight="1" outlineLevel="2">
      <c r="B357" s="148">
        <v>1</v>
      </c>
      <c r="C357" s="176" t="str">
        <f>Attribute!C357</f>
        <v>---</v>
      </c>
      <c r="D357" s="85" t="str">
        <f>VLOOKUP(C357,'Talente &amp; Stuff'!ER:FT,2,FALSE)</f>
        <v>--/--/--</v>
      </c>
      <c r="E357" s="158" t="str">
        <f>VLOOKUP(C357,'Talente &amp; Stuff'!ER:FT,3,FALSE)</f>
        <v>-</v>
      </c>
      <c r="F357" s="118">
        <f>VLOOKUP(C357,'Talente &amp; Stuff'!ER:FT,4,FALSE)</f>
        <v>0</v>
      </c>
      <c r="G357" s="118">
        <f>VLOOKUP(C357,'Talente &amp; Stuff'!ER:FT,5,FALSE)</f>
        <v>0</v>
      </c>
      <c r="H357" s="118">
        <f>VLOOKUP(C357,'Talente &amp; Stuff'!ER:FT,6,FALSE)</f>
        <v>0</v>
      </c>
      <c r="I357" s="118">
        <f>VLOOKUP(C357,'Talente &amp; Stuff'!ER:FT,7,FALSE)</f>
        <v>0</v>
      </c>
      <c r="J357" s="118">
        <f>VLOOKUP(C357,'Talente &amp; Stuff'!ER:FT,8,FALSE)</f>
        <v>0</v>
      </c>
      <c r="K357" s="118">
        <f>VLOOKUP(C357,'Talente &amp; Stuff'!ER:FT,9,FALSE)</f>
        <v>0</v>
      </c>
      <c r="L357" s="118">
        <f>VLOOKUP(C357,'Talente &amp; Stuff'!ER:FT,10,FALSE)</f>
        <v>0</v>
      </c>
      <c r="M357" s="118">
        <f>VLOOKUP(C357,'Talente &amp; Stuff'!ER:FT,11,FALSE)</f>
        <v>0</v>
      </c>
      <c r="N357" s="193">
        <f>VLOOKUP(C357,'Talente &amp; Stuff'!ER:FT,12,FALSE)</f>
        <v>0</v>
      </c>
      <c r="O357" s="116">
        <f>VLOOKUP(C357,'Talente &amp; Stuff'!ER:FT,13,FALSE)</f>
        <v>0</v>
      </c>
      <c r="P357" s="92">
        <f>VLOOKUP(C357,'Talente &amp; Stuff'!ER:FT,14,FALSE)</f>
        <v>0</v>
      </c>
      <c r="Q357" s="118">
        <f>VLOOKUP(C357,'Talente &amp; Stuff'!ER:FT,15,FALSE)</f>
        <v>0</v>
      </c>
      <c r="R357" s="118">
        <f>VLOOKUP(C357,'Talente &amp; Stuff'!ER:FT,16,FALSE)</f>
        <v>0</v>
      </c>
      <c r="S357" s="118">
        <f>VLOOKUP(C357,'Talente &amp; Stuff'!ER:FT,17,FALSE)</f>
        <v>0</v>
      </c>
      <c r="T357" s="91">
        <f>VLOOKUP(C357,'Talente &amp; Stuff'!ER:FT,18,FALSE)</f>
        <v>0</v>
      </c>
      <c r="U357" s="116">
        <f>VLOOKUP(C357,'Talente &amp; Stuff'!ER:FT,19,FALSE)</f>
        <v>0</v>
      </c>
      <c r="V357" s="116">
        <f>VLOOKUP(C357,'Talente &amp; Stuff'!ER:FT,20,FALSE)</f>
        <v>0</v>
      </c>
      <c r="W357" s="116">
        <f>VLOOKUP(C357,'Talente &amp; Stuff'!ER:FT,21,FALSE)</f>
        <v>0</v>
      </c>
      <c r="X357" s="158">
        <f>VLOOKUP(C357,'Talente &amp; Stuff'!ER:FT,22,FALSE)</f>
        <v>0</v>
      </c>
      <c r="Y357" s="165">
        <f t="shared" ref="Y357:Y365" si="24">VLOOKUP(C357,Ausgewählte_Rituale_Druiden,168,FALSE)</f>
        <v>0</v>
      </c>
      <c r="Z357" s="44">
        <f t="shared" ref="Z357:Z365" si="25">VLOOKUP(C357,Ausgewählte_Rituale_Druiden,169,FALSE)</f>
        <v>0</v>
      </c>
      <c r="AA357" s="158">
        <f>VLOOKUP(C357,'Talente &amp; Stuff'!ER:FT,25,FALSE)</f>
        <v>0</v>
      </c>
      <c r="AB357" s="91">
        <f>VLOOKUP(C357,'Talente &amp; Stuff'!ER:FT,26,FALSE)</f>
        <v>0</v>
      </c>
      <c r="AC357" s="126">
        <f>VLOOKUP(C357,'Talente &amp; Stuff'!ER:FT,27,FALSE)</f>
        <v>0</v>
      </c>
      <c r="AD357" s="158">
        <f>VLOOKUP(C357,'Talente &amp; Stuff'!ER:FT,28,FALSE)</f>
        <v>0</v>
      </c>
      <c r="AE357" s="28"/>
    </row>
    <row r="358" spans="2:31" ht="15" hidden="1" customHeight="1" outlineLevel="2">
      <c r="B358" s="148">
        <v>2</v>
      </c>
      <c r="C358" s="177" t="str">
        <f>Attribute!C358</f>
        <v>---</v>
      </c>
      <c r="D358" s="86" t="str">
        <f>VLOOKUP(C358,'Talente &amp; Stuff'!ER:FT,2,FALSE)</f>
        <v>--/--/--</v>
      </c>
      <c r="E358" s="125" t="str">
        <f>VLOOKUP(C358,'Talente &amp; Stuff'!ER:FT,3,FALSE)</f>
        <v>-</v>
      </c>
      <c r="F358" s="113">
        <f>VLOOKUP(C358,'Talente &amp; Stuff'!ER:FT,4,FALSE)</f>
        <v>0</v>
      </c>
      <c r="G358" s="113">
        <f>VLOOKUP(C358,'Talente &amp; Stuff'!ER:FT,5,FALSE)</f>
        <v>0</v>
      </c>
      <c r="H358" s="113">
        <f>VLOOKUP(C358,'Talente &amp; Stuff'!ER:FT,6,FALSE)</f>
        <v>0</v>
      </c>
      <c r="I358" s="113">
        <f>VLOOKUP(C358,'Talente &amp; Stuff'!ER:FT,7,FALSE)</f>
        <v>0</v>
      </c>
      <c r="J358" s="113">
        <f>VLOOKUP(C358,'Talente &amp; Stuff'!ER:FT,8,FALSE)</f>
        <v>0</v>
      </c>
      <c r="K358" s="113">
        <f>VLOOKUP(C358,'Talente &amp; Stuff'!ER:FT,9,FALSE)</f>
        <v>0</v>
      </c>
      <c r="L358" s="113">
        <f>VLOOKUP(C358,'Talente &amp; Stuff'!ER:FT,10,FALSE)</f>
        <v>0</v>
      </c>
      <c r="M358" s="113">
        <f>VLOOKUP(C358,'Talente &amp; Stuff'!ER:FT,11,FALSE)</f>
        <v>0</v>
      </c>
      <c r="N358" s="89">
        <f>VLOOKUP(C358,'Talente &amp; Stuff'!ER:FT,12,FALSE)</f>
        <v>0</v>
      </c>
      <c r="O358" s="47">
        <f>VLOOKUP(C358,'Talente &amp; Stuff'!ER:FT,13,FALSE)</f>
        <v>0</v>
      </c>
      <c r="P358" s="119">
        <f>VLOOKUP(C358,'Talente &amp; Stuff'!ER:FT,14,FALSE)</f>
        <v>0</v>
      </c>
      <c r="Q358" s="113">
        <f>VLOOKUP(C358,'Talente &amp; Stuff'!ER:FT,15,FALSE)</f>
        <v>0</v>
      </c>
      <c r="R358" s="113">
        <f>VLOOKUP(C358,'Talente &amp; Stuff'!ER:FT,16,FALSE)</f>
        <v>0</v>
      </c>
      <c r="S358" s="113">
        <f>VLOOKUP(C358,'Talente &amp; Stuff'!ER:FT,17,FALSE)</f>
        <v>0</v>
      </c>
      <c r="T358" s="160">
        <f>VLOOKUP(C358,'Talente &amp; Stuff'!ER:FT,18,FALSE)</f>
        <v>0</v>
      </c>
      <c r="U358" s="47">
        <f>VLOOKUP(C358,'Talente &amp; Stuff'!ER:FT,19,FALSE)</f>
        <v>0</v>
      </c>
      <c r="V358" s="47">
        <f>VLOOKUP(C358,'Talente &amp; Stuff'!ER:FT,20,FALSE)</f>
        <v>0</v>
      </c>
      <c r="W358" s="47">
        <f>VLOOKUP(C358,'Talente &amp; Stuff'!ER:FT,21,FALSE)</f>
        <v>0</v>
      </c>
      <c r="X358" s="125">
        <f>VLOOKUP(C358,'Talente &amp; Stuff'!ER:FT,22,FALSE)</f>
        <v>0</v>
      </c>
      <c r="Y358" s="165">
        <f t="shared" si="24"/>
        <v>0</v>
      </c>
      <c r="Z358" s="44">
        <f t="shared" si="25"/>
        <v>0</v>
      </c>
      <c r="AA358" s="125">
        <f>VLOOKUP(C358,'Talente &amp; Stuff'!ER:FT,25,FALSE)</f>
        <v>0</v>
      </c>
      <c r="AB358" s="160">
        <f>VLOOKUP(C358,'Talente &amp; Stuff'!ER:FT,26,FALSE)</f>
        <v>0</v>
      </c>
      <c r="AC358" s="127">
        <f>VLOOKUP(C358,'Talente &amp; Stuff'!ER:FT,27,FALSE)</f>
        <v>0</v>
      </c>
      <c r="AD358" s="125">
        <f>VLOOKUP(C358,'Talente &amp; Stuff'!ER:FT,28,FALSE)</f>
        <v>0</v>
      </c>
      <c r="AE358" s="28"/>
    </row>
    <row r="359" spans="2:31" ht="15" hidden="1" customHeight="1" outlineLevel="2">
      <c r="B359" s="148">
        <v>3</v>
      </c>
      <c r="C359" s="177" t="str">
        <f>Attribute!C359</f>
        <v>---</v>
      </c>
      <c r="D359" s="86" t="str">
        <f>VLOOKUP(C359,'Talente &amp; Stuff'!ER:FT,2,FALSE)</f>
        <v>--/--/--</v>
      </c>
      <c r="E359" s="125" t="str">
        <f>VLOOKUP(C359,'Talente &amp; Stuff'!ER:FT,3,FALSE)</f>
        <v>-</v>
      </c>
      <c r="F359" s="113">
        <f>VLOOKUP(C359,'Talente &amp; Stuff'!ER:FT,4,FALSE)</f>
        <v>0</v>
      </c>
      <c r="G359" s="113">
        <f>VLOOKUP(C359,'Talente &amp; Stuff'!ER:FT,5,FALSE)</f>
        <v>0</v>
      </c>
      <c r="H359" s="113">
        <f>VLOOKUP(C359,'Talente &amp; Stuff'!ER:FT,6,FALSE)</f>
        <v>0</v>
      </c>
      <c r="I359" s="113">
        <f>VLOOKUP(C359,'Talente &amp; Stuff'!ER:FT,7,FALSE)</f>
        <v>0</v>
      </c>
      <c r="J359" s="113">
        <f>VLOOKUP(C359,'Talente &amp; Stuff'!ER:FT,8,FALSE)</f>
        <v>0</v>
      </c>
      <c r="K359" s="113">
        <f>VLOOKUP(C359,'Talente &amp; Stuff'!ER:FT,9,FALSE)</f>
        <v>0</v>
      </c>
      <c r="L359" s="113">
        <f>VLOOKUP(C359,'Talente &amp; Stuff'!ER:FT,10,FALSE)</f>
        <v>0</v>
      </c>
      <c r="M359" s="113">
        <f>VLOOKUP(C359,'Talente &amp; Stuff'!ER:FT,11,FALSE)</f>
        <v>0</v>
      </c>
      <c r="N359" s="89">
        <f>VLOOKUP(C359,'Talente &amp; Stuff'!ER:FT,12,FALSE)</f>
        <v>0</v>
      </c>
      <c r="O359" s="47">
        <f>VLOOKUP(C359,'Talente &amp; Stuff'!ER:FT,13,FALSE)</f>
        <v>0</v>
      </c>
      <c r="P359" s="119">
        <f>VLOOKUP(C359,'Talente &amp; Stuff'!ER:FT,14,FALSE)</f>
        <v>0</v>
      </c>
      <c r="Q359" s="113">
        <f>VLOOKUP(C359,'Talente &amp; Stuff'!ER:FT,15,FALSE)</f>
        <v>0</v>
      </c>
      <c r="R359" s="113">
        <f>VLOOKUP(C359,'Talente &amp; Stuff'!ER:FT,16,FALSE)</f>
        <v>0</v>
      </c>
      <c r="S359" s="113">
        <f>VLOOKUP(C359,'Talente &amp; Stuff'!ER:FT,17,FALSE)</f>
        <v>0</v>
      </c>
      <c r="T359" s="160">
        <f>VLOOKUP(C359,'Talente &amp; Stuff'!ER:FT,18,FALSE)</f>
        <v>0</v>
      </c>
      <c r="U359" s="47">
        <f>VLOOKUP(C359,'Talente &amp; Stuff'!ER:FT,19,FALSE)</f>
        <v>0</v>
      </c>
      <c r="V359" s="47">
        <f>VLOOKUP(C359,'Talente &amp; Stuff'!ER:FT,20,FALSE)</f>
        <v>0</v>
      </c>
      <c r="W359" s="47">
        <f>VLOOKUP(C359,'Talente &amp; Stuff'!ER:FT,21,FALSE)</f>
        <v>0</v>
      </c>
      <c r="X359" s="125">
        <f>VLOOKUP(C359,'Talente &amp; Stuff'!ER:FT,22,FALSE)</f>
        <v>0</v>
      </c>
      <c r="Y359" s="165">
        <f t="shared" si="24"/>
        <v>0</v>
      </c>
      <c r="Z359" s="44">
        <f t="shared" si="25"/>
        <v>0</v>
      </c>
      <c r="AA359" s="125">
        <f>VLOOKUP(C359,'Talente &amp; Stuff'!ER:FT,25,FALSE)</f>
        <v>0</v>
      </c>
      <c r="AB359" s="160">
        <f>VLOOKUP(C359,'Talente &amp; Stuff'!ER:FT,26,FALSE)</f>
        <v>0</v>
      </c>
      <c r="AC359" s="127">
        <f>VLOOKUP(C359,'Talente &amp; Stuff'!ER:FT,27,FALSE)</f>
        <v>0</v>
      </c>
      <c r="AD359" s="125">
        <f>VLOOKUP(C359,'Talente &amp; Stuff'!ER:FT,28,FALSE)</f>
        <v>0</v>
      </c>
      <c r="AE359" s="28"/>
    </row>
    <row r="360" spans="2:31" ht="15" hidden="1" customHeight="1" outlineLevel="2">
      <c r="B360" s="148">
        <v>4</v>
      </c>
      <c r="C360" s="177" t="str">
        <f>Attribute!C360</f>
        <v>---</v>
      </c>
      <c r="D360" s="86" t="str">
        <f>VLOOKUP(C360,'Talente &amp; Stuff'!ER:FT,2,FALSE)</f>
        <v>--/--/--</v>
      </c>
      <c r="E360" s="125" t="str">
        <f>VLOOKUP(C360,'Talente &amp; Stuff'!ER:FT,3,FALSE)</f>
        <v>-</v>
      </c>
      <c r="F360" s="113">
        <f>VLOOKUP(C360,'Talente &amp; Stuff'!ER:FT,4,FALSE)</f>
        <v>0</v>
      </c>
      <c r="G360" s="113">
        <f>VLOOKUP(C360,'Talente &amp; Stuff'!ER:FT,5,FALSE)</f>
        <v>0</v>
      </c>
      <c r="H360" s="113">
        <f>VLOOKUP(C360,'Talente &amp; Stuff'!ER:FT,6,FALSE)</f>
        <v>0</v>
      </c>
      <c r="I360" s="113">
        <f>VLOOKUP(C360,'Talente &amp; Stuff'!ER:FT,7,FALSE)</f>
        <v>0</v>
      </c>
      <c r="J360" s="113">
        <f>VLOOKUP(C360,'Talente &amp; Stuff'!ER:FT,8,FALSE)</f>
        <v>0</v>
      </c>
      <c r="K360" s="113">
        <f>VLOOKUP(C360,'Talente &amp; Stuff'!ER:FT,9,FALSE)</f>
        <v>0</v>
      </c>
      <c r="L360" s="113">
        <f>VLOOKUP(C360,'Talente &amp; Stuff'!ER:FT,10,FALSE)</f>
        <v>0</v>
      </c>
      <c r="M360" s="113">
        <f>VLOOKUP(C360,'Talente &amp; Stuff'!ER:FT,11,FALSE)</f>
        <v>0</v>
      </c>
      <c r="N360" s="89">
        <f>VLOOKUP(C360,'Talente &amp; Stuff'!ER:FT,12,FALSE)</f>
        <v>0</v>
      </c>
      <c r="O360" s="47">
        <f>VLOOKUP(C360,'Talente &amp; Stuff'!ER:FT,13,FALSE)</f>
        <v>0</v>
      </c>
      <c r="P360" s="119">
        <f>VLOOKUP(C360,'Talente &amp; Stuff'!ER:FT,14,FALSE)</f>
        <v>0</v>
      </c>
      <c r="Q360" s="113">
        <f>VLOOKUP(C360,'Talente &amp; Stuff'!ER:FT,15,FALSE)</f>
        <v>0</v>
      </c>
      <c r="R360" s="113">
        <f>VLOOKUP(C360,'Talente &amp; Stuff'!ER:FT,16,FALSE)</f>
        <v>0</v>
      </c>
      <c r="S360" s="113">
        <f>VLOOKUP(C360,'Talente &amp; Stuff'!ER:FT,17,FALSE)</f>
        <v>0</v>
      </c>
      <c r="T360" s="160">
        <f>VLOOKUP(C360,'Talente &amp; Stuff'!ER:FT,18,FALSE)</f>
        <v>0</v>
      </c>
      <c r="U360" s="47">
        <f>VLOOKUP(C360,'Talente &amp; Stuff'!ER:FT,19,FALSE)</f>
        <v>0</v>
      </c>
      <c r="V360" s="47">
        <f>VLOOKUP(C360,'Talente &amp; Stuff'!ER:FT,20,FALSE)</f>
        <v>0</v>
      </c>
      <c r="W360" s="47">
        <f>VLOOKUP(C360,'Talente &amp; Stuff'!ER:FT,21,FALSE)</f>
        <v>0</v>
      </c>
      <c r="X360" s="125">
        <f>VLOOKUP(C360,'Talente &amp; Stuff'!ER:FT,22,FALSE)</f>
        <v>0</v>
      </c>
      <c r="Y360" s="165">
        <f t="shared" si="24"/>
        <v>0</v>
      </c>
      <c r="Z360" s="44">
        <f t="shared" si="25"/>
        <v>0</v>
      </c>
      <c r="AA360" s="125">
        <f>VLOOKUP(C360,'Talente &amp; Stuff'!ER:FT,25,FALSE)</f>
        <v>0</v>
      </c>
      <c r="AB360" s="160">
        <f>VLOOKUP(C360,'Talente &amp; Stuff'!ER:FT,26,FALSE)</f>
        <v>0</v>
      </c>
      <c r="AC360" s="127">
        <f>VLOOKUP(C360,'Talente &amp; Stuff'!ER:FT,27,FALSE)</f>
        <v>0</v>
      </c>
      <c r="AD360" s="125">
        <f>VLOOKUP(C360,'Talente &amp; Stuff'!ER:FT,28,FALSE)</f>
        <v>0</v>
      </c>
      <c r="AE360" s="28"/>
    </row>
    <row r="361" spans="2:31" ht="15" hidden="1" customHeight="1" outlineLevel="2">
      <c r="B361" s="148">
        <v>5</v>
      </c>
      <c r="C361" s="177" t="str">
        <f>Attribute!C361</f>
        <v>---</v>
      </c>
      <c r="D361" s="86" t="str">
        <f>VLOOKUP(C361,'Talente &amp; Stuff'!ER:FT,2,FALSE)</f>
        <v>--/--/--</v>
      </c>
      <c r="E361" s="125" t="str">
        <f>VLOOKUP(C361,'Talente &amp; Stuff'!ER:FT,3,FALSE)</f>
        <v>-</v>
      </c>
      <c r="F361" s="113">
        <f>VLOOKUP(C361,'Talente &amp; Stuff'!ER:FT,4,FALSE)</f>
        <v>0</v>
      </c>
      <c r="G361" s="113">
        <f>VLOOKUP(C361,'Talente &amp; Stuff'!ER:FT,5,FALSE)</f>
        <v>0</v>
      </c>
      <c r="H361" s="113">
        <f>VLOOKUP(C361,'Talente &amp; Stuff'!ER:FT,6,FALSE)</f>
        <v>0</v>
      </c>
      <c r="I361" s="113">
        <f>VLOOKUP(C361,'Talente &amp; Stuff'!ER:FT,7,FALSE)</f>
        <v>0</v>
      </c>
      <c r="J361" s="113">
        <f>VLOOKUP(C361,'Talente &amp; Stuff'!ER:FT,8,FALSE)</f>
        <v>0</v>
      </c>
      <c r="K361" s="113">
        <f>VLOOKUP(C361,'Talente &amp; Stuff'!ER:FT,9,FALSE)</f>
        <v>0</v>
      </c>
      <c r="L361" s="113">
        <f>VLOOKUP(C361,'Talente &amp; Stuff'!ER:FT,10,FALSE)</f>
        <v>0</v>
      </c>
      <c r="M361" s="113">
        <f>VLOOKUP(C361,'Talente &amp; Stuff'!ER:FT,11,FALSE)</f>
        <v>0</v>
      </c>
      <c r="N361" s="89">
        <f>VLOOKUP(C361,'Talente &amp; Stuff'!ER:FT,12,FALSE)</f>
        <v>0</v>
      </c>
      <c r="O361" s="47">
        <f>VLOOKUP(C361,'Talente &amp; Stuff'!ER:FT,13,FALSE)</f>
        <v>0</v>
      </c>
      <c r="P361" s="119">
        <f>VLOOKUP(C361,'Talente &amp; Stuff'!ER:FT,14,FALSE)</f>
        <v>0</v>
      </c>
      <c r="Q361" s="113">
        <f>VLOOKUP(C361,'Talente &amp; Stuff'!ER:FT,15,FALSE)</f>
        <v>0</v>
      </c>
      <c r="R361" s="113">
        <f>VLOOKUP(C361,'Talente &amp; Stuff'!ER:FT,16,FALSE)</f>
        <v>0</v>
      </c>
      <c r="S361" s="113">
        <f>VLOOKUP(C361,'Talente &amp; Stuff'!ER:FT,17,FALSE)</f>
        <v>0</v>
      </c>
      <c r="T361" s="160">
        <f>VLOOKUP(C361,'Talente &amp; Stuff'!ER:FT,18,FALSE)</f>
        <v>0</v>
      </c>
      <c r="U361" s="47">
        <f>VLOOKUP(C361,'Talente &amp; Stuff'!ER:FT,19,FALSE)</f>
        <v>0</v>
      </c>
      <c r="V361" s="47">
        <f>VLOOKUP(C361,'Talente &amp; Stuff'!ER:FT,20,FALSE)</f>
        <v>0</v>
      </c>
      <c r="W361" s="47">
        <f>VLOOKUP(C361,'Talente &amp; Stuff'!ER:FT,21,FALSE)</f>
        <v>0</v>
      </c>
      <c r="X361" s="125">
        <f>VLOOKUP(C361,'Talente &amp; Stuff'!ER:FT,22,FALSE)</f>
        <v>0</v>
      </c>
      <c r="Y361" s="165">
        <f t="shared" si="24"/>
        <v>0</v>
      </c>
      <c r="Z361" s="44">
        <f t="shared" si="25"/>
        <v>0</v>
      </c>
      <c r="AA361" s="125">
        <f>VLOOKUP(C361,'Talente &amp; Stuff'!ER:FT,25,FALSE)</f>
        <v>0</v>
      </c>
      <c r="AB361" s="160">
        <f>VLOOKUP(C361,'Talente &amp; Stuff'!ER:FT,26,FALSE)</f>
        <v>0</v>
      </c>
      <c r="AC361" s="127">
        <f>VLOOKUP(C361,'Talente &amp; Stuff'!ER:FT,27,FALSE)</f>
        <v>0</v>
      </c>
      <c r="AD361" s="125">
        <f>VLOOKUP(C361,'Talente &amp; Stuff'!ER:FT,28,FALSE)</f>
        <v>0</v>
      </c>
      <c r="AE361" s="28"/>
    </row>
    <row r="362" spans="2:31" ht="15" hidden="1" customHeight="1" outlineLevel="2">
      <c r="B362" s="148">
        <v>6</v>
      </c>
      <c r="C362" s="177" t="str">
        <f>Attribute!C362</f>
        <v>---</v>
      </c>
      <c r="D362" s="86" t="str">
        <f>VLOOKUP(C362,'Talente &amp; Stuff'!ER:FT,2,FALSE)</f>
        <v>--/--/--</v>
      </c>
      <c r="E362" s="125" t="str">
        <f>VLOOKUP(C362,'Talente &amp; Stuff'!ER:FT,3,FALSE)</f>
        <v>-</v>
      </c>
      <c r="F362" s="113">
        <f>VLOOKUP(C362,'Talente &amp; Stuff'!ER:FT,4,FALSE)</f>
        <v>0</v>
      </c>
      <c r="G362" s="113">
        <f>VLOOKUP(C362,'Talente &amp; Stuff'!ER:FT,5,FALSE)</f>
        <v>0</v>
      </c>
      <c r="H362" s="113">
        <f>VLOOKUP(C362,'Talente &amp; Stuff'!ER:FT,6,FALSE)</f>
        <v>0</v>
      </c>
      <c r="I362" s="113">
        <f>VLOOKUP(C362,'Talente &amp; Stuff'!ER:FT,7,FALSE)</f>
        <v>0</v>
      </c>
      <c r="J362" s="113">
        <f>VLOOKUP(C362,'Talente &amp; Stuff'!ER:FT,8,FALSE)</f>
        <v>0</v>
      </c>
      <c r="K362" s="113">
        <f>VLOOKUP(C362,'Talente &amp; Stuff'!ER:FT,9,FALSE)</f>
        <v>0</v>
      </c>
      <c r="L362" s="113">
        <f>VLOOKUP(C362,'Talente &amp; Stuff'!ER:FT,10,FALSE)</f>
        <v>0</v>
      </c>
      <c r="M362" s="113">
        <f>VLOOKUP(C362,'Talente &amp; Stuff'!ER:FT,11,FALSE)</f>
        <v>0</v>
      </c>
      <c r="N362" s="89">
        <f>VLOOKUP(C362,'Talente &amp; Stuff'!ER:FT,12,FALSE)</f>
        <v>0</v>
      </c>
      <c r="O362" s="47">
        <f>VLOOKUP(C362,'Talente &amp; Stuff'!ER:FT,13,FALSE)</f>
        <v>0</v>
      </c>
      <c r="P362" s="119">
        <f>VLOOKUP(C362,'Talente &amp; Stuff'!ER:FT,14,FALSE)</f>
        <v>0</v>
      </c>
      <c r="Q362" s="113">
        <f>VLOOKUP(C362,'Talente &amp; Stuff'!ER:FT,15,FALSE)</f>
        <v>0</v>
      </c>
      <c r="R362" s="113">
        <f>VLOOKUP(C362,'Talente &amp; Stuff'!ER:FT,16,FALSE)</f>
        <v>0</v>
      </c>
      <c r="S362" s="113">
        <f>VLOOKUP(C362,'Talente &amp; Stuff'!ER:FT,17,FALSE)</f>
        <v>0</v>
      </c>
      <c r="T362" s="160">
        <f>VLOOKUP(C362,'Talente &amp; Stuff'!ER:FT,18,FALSE)</f>
        <v>0</v>
      </c>
      <c r="U362" s="47">
        <f>VLOOKUP(C362,'Talente &amp; Stuff'!ER:FT,19,FALSE)</f>
        <v>0</v>
      </c>
      <c r="V362" s="47">
        <f>VLOOKUP(C362,'Talente &amp; Stuff'!ER:FT,20,FALSE)</f>
        <v>0</v>
      </c>
      <c r="W362" s="47">
        <f>VLOOKUP(C362,'Talente &amp; Stuff'!ER:FT,21,FALSE)</f>
        <v>0</v>
      </c>
      <c r="X362" s="125">
        <f>VLOOKUP(C362,'Talente &amp; Stuff'!ER:FT,22,FALSE)</f>
        <v>0</v>
      </c>
      <c r="Y362" s="165">
        <f t="shared" si="24"/>
        <v>0</v>
      </c>
      <c r="Z362" s="44">
        <f t="shared" si="25"/>
        <v>0</v>
      </c>
      <c r="AA362" s="125">
        <f>VLOOKUP(C362,'Talente &amp; Stuff'!ER:FT,25,FALSE)</f>
        <v>0</v>
      </c>
      <c r="AB362" s="160">
        <f>VLOOKUP(C362,'Talente &amp; Stuff'!ER:FT,26,FALSE)</f>
        <v>0</v>
      </c>
      <c r="AC362" s="127">
        <f>VLOOKUP(C362,'Talente &amp; Stuff'!ER:FT,27,FALSE)</f>
        <v>0</v>
      </c>
      <c r="AD362" s="125">
        <f>VLOOKUP(C362,'Talente &amp; Stuff'!ER:FT,28,FALSE)</f>
        <v>0</v>
      </c>
      <c r="AE362" s="28"/>
    </row>
    <row r="363" spans="2:31" ht="15" hidden="1" customHeight="1" outlineLevel="2">
      <c r="B363" s="148">
        <v>7</v>
      </c>
      <c r="C363" s="177" t="str">
        <f>Attribute!C363</f>
        <v>---</v>
      </c>
      <c r="D363" s="86" t="str">
        <f>VLOOKUP(C363,'Talente &amp; Stuff'!ER:FT,2,FALSE)</f>
        <v>--/--/--</v>
      </c>
      <c r="E363" s="125" t="str">
        <f>VLOOKUP(C363,'Talente &amp; Stuff'!ER:FT,3,FALSE)</f>
        <v>-</v>
      </c>
      <c r="F363" s="113">
        <f>VLOOKUP(C363,'Talente &amp; Stuff'!ER:FT,4,FALSE)</f>
        <v>0</v>
      </c>
      <c r="G363" s="113">
        <f>VLOOKUP(C363,'Talente &amp; Stuff'!ER:FT,5,FALSE)</f>
        <v>0</v>
      </c>
      <c r="H363" s="113">
        <f>VLOOKUP(C363,'Talente &amp; Stuff'!ER:FT,6,FALSE)</f>
        <v>0</v>
      </c>
      <c r="I363" s="113">
        <f>VLOOKUP(C363,'Talente &amp; Stuff'!ER:FT,7,FALSE)</f>
        <v>0</v>
      </c>
      <c r="J363" s="113">
        <f>VLOOKUP(C363,'Talente &amp; Stuff'!ER:FT,8,FALSE)</f>
        <v>0</v>
      </c>
      <c r="K363" s="113">
        <f>VLOOKUP(C363,'Talente &amp; Stuff'!ER:FT,9,FALSE)</f>
        <v>0</v>
      </c>
      <c r="L363" s="113">
        <f>VLOOKUP(C363,'Talente &amp; Stuff'!ER:FT,10,FALSE)</f>
        <v>0</v>
      </c>
      <c r="M363" s="113">
        <f>VLOOKUP(C363,'Talente &amp; Stuff'!ER:FT,11,FALSE)</f>
        <v>0</v>
      </c>
      <c r="N363" s="89">
        <f>VLOOKUP(C363,'Talente &amp; Stuff'!ER:FT,12,FALSE)</f>
        <v>0</v>
      </c>
      <c r="O363" s="47">
        <f>VLOOKUP(C363,'Talente &amp; Stuff'!ER:FT,13,FALSE)</f>
        <v>0</v>
      </c>
      <c r="P363" s="119">
        <f>VLOOKUP(C363,'Talente &amp; Stuff'!ER:FT,14,FALSE)</f>
        <v>0</v>
      </c>
      <c r="Q363" s="113">
        <f>VLOOKUP(C363,'Talente &amp; Stuff'!ER:FT,15,FALSE)</f>
        <v>0</v>
      </c>
      <c r="R363" s="113">
        <f>VLOOKUP(C363,'Talente &amp; Stuff'!ER:FT,16,FALSE)</f>
        <v>0</v>
      </c>
      <c r="S363" s="113">
        <f>VLOOKUP(C363,'Talente &amp; Stuff'!ER:FT,17,FALSE)</f>
        <v>0</v>
      </c>
      <c r="T363" s="160">
        <f>VLOOKUP(C363,'Talente &amp; Stuff'!ER:FT,18,FALSE)</f>
        <v>0</v>
      </c>
      <c r="U363" s="47">
        <f>VLOOKUP(C363,'Talente &amp; Stuff'!ER:FT,19,FALSE)</f>
        <v>0</v>
      </c>
      <c r="V363" s="47">
        <f>VLOOKUP(C363,'Talente &amp; Stuff'!ER:FT,20,FALSE)</f>
        <v>0</v>
      </c>
      <c r="W363" s="47">
        <f>VLOOKUP(C363,'Talente &amp; Stuff'!ER:FT,21,FALSE)</f>
        <v>0</v>
      </c>
      <c r="X363" s="125">
        <f>VLOOKUP(C363,'Talente &amp; Stuff'!ER:FT,22,FALSE)</f>
        <v>0</v>
      </c>
      <c r="Y363" s="165">
        <f t="shared" si="24"/>
        <v>0</v>
      </c>
      <c r="Z363" s="44">
        <f t="shared" si="25"/>
        <v>0</v>
      </c>
      <c r="AA363" s="125">
        <f>VLOOKUP(C363,'Talente &amp; Stuff'!ER:FT,25,FALSE)</f>
        <v>0</v>
      </c>
      <c r="AB363" s="160">
        <f>VLOOKUP(C363,'Talente &amp; Stuff'!ER:FT,26,FALSE)</f>
        <v>0</v>
      </c>
      <c r="AC363" s="127">
        <f>VLOOKUP(C363,'Talente &amp; Stuff'!ER:FT,27,FALSE)</f>
        <v>0</v>
      </c>
      <c r="AD363" s="125">
        <f>VLOOKUP(C363,'Talente &amp; Stuff'!ER:FT,28,FALSE)</f>
        <v>0</v>
      </c>
      <c r="AE363" s="28"/>
    </row>
    <row r="364" spans="2:31" ht="15" hidden="1" customHeight="1" outlineLevel="2">
      <c r="B364" s="148">
        <v>8</v>
      </c>
      <c r="C364" s="177" t="str">
        <f>Attribute!C364</f>
        <v>---</v>
      </c>
      <c r="D364" s="86" t="str">
        <f>VLOOKUP(C364,'Talente &amp; Stuff'!ER:FT,2,FALSE)</f>
        <v>--/--/--</v>
      </c>
      <c r="E364" s="125" t="str">
        <f>VLOOKUP(C364,'Talente &amp; Stuff'!ER:FT,3,FALSE)</f>
        <v>-</v>
      </c>
      <c r="F364" s="113">
        <f>VLOOKUP(C364,'Talente &amp; Stuff'!ER:FT,4,FALSE)</f>
        <v>0</v>
      </c>
      <c r="G364" s="113">
        <f>VLOOKUP(C364,'Talente &amp; Stuff'!ER:FT,5,FALSE)</f>
        <v>0</v>
      </c>
      <c r="H364" s="113">
        <f>VLOOKUP(C364,'Talente &amp; Stuff'!ER:FT,6,FALSE)</f>
        <v>0</v>
      </c>
      <c r="I364" s="113">
        <f>VLOOKUP(C364,'Talente &amp; Stuff'!ER:FT,7,FALSE)</f>
        <v>0</v>
      </c>
      <c r="J364" s="113">
        <f>VLOOKUP(C364,'Talente &amp; Stuff'!ER:FT,8,FALSE)</f>
        <v>0</v>
      </c>
      <c r="K364" s="113">
        <f>VLOOKUP(C364,'Talente &amp; Stuff'!ER:FT,9,FALSE)</f>
        <v>0</v>
      </c>
      <c r="L364" s="113">
        <f>VLOOKUP(C364,'Talente &amp; Stuff'!ER:FT,10,FALSE)</f>
        <v>0</v>
      </c>
      <c r="M364" s="113">
        <f>VLOOKUP(C364,'Talente &amp; Stuff'!ER:FT,11,FALSE)</f>
        <v>0</v>
      </c>
      <c r="N364" s="89">
        <f>VLOOKUP(C364,'Talente &amp; Stuff'!ER:FT,12,FALSE)</f>
        <v>0</v>
      </c>
      <c r="O364" s="47">
        <f>VLOOKUP(C364,'Talente &amp; Stuff'!ER:FT,13,FALSE)</f>
        <v>0</v>
      </c>
      <c r="P364" s="119">
        <f>VLOOKUP(C364,'Talente &amp; Stuff'!ER:FT,14,FALSE)</f>
        <v>0</v>
      </c>
      <c r="Q364" s="113">
        <f>VLOOKUP(C364,'Talente &amp; Stuff'!ER:FT,15,FALSE)</f>
        <v>0</v>
      </c>
      <c r="R364" s="113">
        <f>VLOOKUP(C364,'Talente &amp; Stuff'!ER:FT,16,FALSE)</f>
        <v>0</v>
      </c>
      <c r="S364" s="113">
        <f>VLOOKUP(C364,'Talente &amp; Stuff'!ER:FT,17,FALSE)</f>
        <v>0</v>
      </c>
      <c r="T364" s="160">
        <f>VLOOKUP(C364,'Talente &amp; Stuff'!ER:FT,18,FALSE)</f>
        <v>0</v>
      </c>
      <c r="U364" s="47">
        <f>VLOOKUP(C364,'Talente &amp; Stuff'!ER:FT,19,FALSE)</f>
        <v>0</v>
      </c>
      <c r="V364" s="47">
        <f>VLOOKUP(C364,'Talente &amp; Stuff'!ER:FT,20,FALSE)</f>
        <v>0</v>
      </c>
      <c r="W364" s="47">
        <f>VLOOKUP(C364,'Talente &amp; Stuff'!ER:FT,21,FALSE)</f>
        <v>0</v>
      </c>
      <c r="X364" s="125">
        <f>VLOOKUP(C364,'Talente &amp; Stuff'!ER:FT,22,FALSE)</f>
        <v>0</v>
      </c>
      <c r="Y364" s="165">
        <f t="shared" si="24"/>
        <v>0</v>
      </c>
      <c r="Z364" s="44">
        <f t="shared" si="25"/>
        <v>0</v>
      </c>
      <c r="AA364" s="125">
        <f>VLOOKUP(C364,'Talente &amp; Stuff'!ER:FT,25,FALSE)</f>
        <v>0</v>
      </c>
      <c r="AB364" s="160">
        <f>VLOOKUP(C364,'Talente &amp; Stuff'!ER:FT,26,FALSE)</f>
        <v>0</v>
      </c>
      <c r="AC364" s="127">
        <f>VLOOKUP(C364,'Talente &amp; Stuff'!ER:FT,27,FALSE)</f>
        <v>0</v>
      </c>
      <c r="AD364" s="125">
        <f>VLOOKUP(C364,'Talente &amp; Stuff'!ER:FT,28,FALSE)</f>
        <v>0</v>
      </c>
      <c r="AE364" s="28"/>
    </row>
    <row r="365" spans="2:31" ht="15" hidden="1" customHeight="1" outlineLevel="2">
      <c r="B365" s="148">
        <v>9</v>
      </c>
      <c r="C365" s="178" t="str">
        <f>Attribute!C365</f>
        <v>---</v>
      </c>
      <c r="D365" s="87" t="str">
        <f>VLOOKUP(C365,'Talente &amp; Stuff'!ER:FT,2,FALSE)</f>
        <v>--/--/--</v>
      </c>
      <c r="E365" s="159" t="str">
        <f>VLOOKUP(C365,'Talente &amp; Stuff'!ER:FT,3,FALSE)</f>
        <v>-</v>
      </c>
      <c r="F365" s="122">
        <f>VLOOKUP(C365,'Talente &amp; Stuff'!ER:FT,4,FALSE)</f>
        <v>0</v>
      </c>
      <c r="G365" s="122">
        <f>VLOOKUP(C365,'Talente &amp; Stuff'!ER:FT,5,FALSE)</f>
        <v>0</v>
      </c>
      <c r="H365" s="122">
        <f>VLOOKUP(C365,'Talente &amp; Stuff'!ER:FT,6,FALSE)</f>
        <v>0</v>
      </c>
      <c r="I365" s="122">
        <f>VLOOKUP(C365,'Talente &amp; Stuff'!ER:FT,7,FALSE)</f>
        <v>0</v>
      </c>
      <c r="J365" s="122">
        <f>VLOOKUP(C365,'Talente &amp; Stuff'!ER:FT,8,FALSE)</f>
        <v>0</v>
      </c>
      <c r="K365" s="122">
        <f>VLOOKUP(C365,'Talente &amp; Stuff'!ER:FT,9,FALSE)</f>
        <v>0</v>
      </c>
      <c r="L365" s="122">
        <f>VLOOKUP(C365,'Talente &amp; Stuff'!ER:FT,10,FALSE)</f>
        <v>0</v>
      </c>
      <c r="M365" s="122">
        <f>VLOOKUP(C365,'Talente &amp; Stuff'!ER:FT,11,FALSE)</f>
        <v>0</v>
      </c>
      <c r="N365" s="90">
        <f>VLOOKUP(C365,'Talente &amp; Stuff'!ER:FT,12,FALSE)</f>
        <v>0</v>
      </c>
      <c r="O365" s="88">
        <f>VLOOKUP(C365,'Talente &amp; Stuff'!ER:FT,13,FALSE)</f>
        <v>0</v>
      </c>
      <c r="P365" s="123">
        <f>VLOOKUP(C365,'Talente &amp; Stuff'!ER:FT,14,FALSE)</f>
        <v>0</v>
      </c>
      <c r="Q365" s="122">
        <f>VLOOKUP(C365,'Talente &amp; Stuff'!ER:FT,15,FALSE)</f>
        <v>0</v>
      </c>
      <c r="R365" s="122">
        <f>VLOOKUP(C365,'Talente &amp; Stuff'!ER:FT,16,FALSE)</f>
        <v>0</v>
      </c>
      <c r="S365" s="122">
        <f>VLOOKUP(C365,'Talente &amp; Stuff'!ER:FT,17,FALSE)</f>
        <v>0</v>
      </c>
      <c r="T365" s="161">
        <f>VLOOKUP(C365,'Talente &amp; Stuff'!ER:FT,18,FALSE)</f>
        <v>0</v>
      </c>
      <c r="U365" s="88">
        <f>VLOOKUP(C365,'Talente &amp; Stuff'!ER:FT,19,FALSE)</f>
        <v>0</v>
      </c>
      <c r="V365" s="88">
        <f>VLOOKUP(C365,'Talente &amp; Stuff'!ER:FT,20,FALSE)</f>
        <v>0</v>
      </c>
      <c r="W365" s="88">
        <f>VLOOKUP(C365,'Talente &amp; Stuff'!ER:FT,21,FALSE)</f>
        <v>0</v>
      </c>
      <c r="X365" s="159">
        <f>VLOOKUP(C365,'Talente &amp; Stuff'!ER:FT,22,FALSE)</f>
        <v>0</v>
      </c>
      <c r="Y365" s="165">
        <f t="shared" si="24"/>
        <v>0</v>
      </c>
      <c r="Z365" s="44">
        <f t="shared" si="25"/>
        <v>0</v>
      </c>
      <c r="AA365" s="159">
        <f>VLOOKUP(C365,'Talente &amp; Stuff'!ER:FT,25,FALSE)</f>
        <v>0</v>
      </c>
      <c r="AB365" s="161">
        <f>VLOOKUP(C365,'Talente &amp; Stuff'!ER:FT,26,FALSE)</f>
        <v>0</v>
      </c>
      <c r="AC365" s="128">
        <f>VLOOKUP(C365,'Talente &amp; Stuff'!ER:FT,27,FALSE)</f>
        <v>0</v>
      </c>
      <c r="AD365" s="159">
        <f>VLOOKUP(C365,'Talente &amp; Stuff'!ER:FT,28,FALSE)</f>
        <v>0</v>
      </c>
      <c r="AE365" s="28"/>
    </row>
    <row r="366" spans="2:31" ht="15" hidden="1" customHeight="1" outlineLevel="1" collapsed="1">
      <c r="B366" s="134" t="s">
        <v>330</v>
      </c>
      <c r="C366" s="83"/>
      <c r="D366" s="84"/>
      <c r="E366" s="84"/>
    </row>
    <row r="367" spans="2:31" ht="15" hidden="1" customHeight="1" outlineLevel="2">
      <c r="B367" s="148">
        <v>1</v>
      </c>
      <c r="C367" s="176" t="str">
        <f>Attribute!C367</f>
        <v>---</v>
      </c>
      <c r="D367" s="158" t="str">
        <f>VLOOKUP(C367,'Talente &amp; Stuff'!ER:FT,2,FALSE)</f>
        <v>--/--/--</v>
      </c>
      <c r="E367" s="158" t="str">
        <f>VLOOKUP(C367,'Talente &amp; Stuff'!ER:FT,3,FALSE)</f>
        <v>-</v>
      </c>
      <c r="F367" s="118">
        <f>VLOOKUP(C367,'Talente &amp; Stuff'!ER:FT,4,FALSE)</f>
        <v>0</v>
      </c>
      <c r="G367" s="118">
        <f>VLOOKUP(C367,'Talente &amp; Stuff'!ER:FT,5,FALSE)</f>
        <v>0</v>
      </c>
      <c r="H367" s="118">
        <f>VLOOKUP(C367,'Talente &amp; Stuff'!ER:FT,6,FALSE)</f>
        <v>0</v>
      </c>
      <c r="I367" s="118">
        <f>VLOOKUP(C367,'Talente &amp; Stuff'!ER:FT,7,FALSE)</f>
        <v>0</v>
      </c>
      <c r="J367" s="118">
        <f>VLOOKUP(C367,'Talente &amp; Stuff'!ER:FT,8,FALSE)</f>
        <v>0</v>
      </c>
      <c r="K367" s="118">
        <f>VLOOKUP(C367,'Talente &amp; Stuff'!ER:FT,9,FALSE)</f>
        <v>0</v>
      </c>
      <c r="L367" s="118">
        <f>VLOOKUP(C367,'Talente &amp; Stuff'!ER:FT,10,FALSE)</f>
        <v>0</v>
      </c>
      <c r="M367" s="118">
        <f>VLOOKUP(C367,'Talente &amp; Stuff'!ER:FT,11,FALSE)</f>
        <v>0</v>
      </c>
      <c r="N367" s="193">
        <f>VLOOKUP(C367,'Talente &amp; Stuff'!ER:FT,12,FALSE)</f>
        <v>0</v>
      </c>
      <c r="O367" s="116">
        <f>VLOOKUP(C367,'Talente &amp; Stuff'!ER:FT,13,FALSE)</f>
        <v>0</v>
      </c>
      <c r="P367" s="92">
        <f>VLOOKUP(C367,'Talente &amp; Stuff'!ER:FT,14,FALSE)</f>
        <v>0</v>
      </c>
      <c r="Q367" s="118">
        <f>VLOOKUP(C367,'Talente &amp; Stuff'!ER:FT,15,FALSE)</f>
        <v>0</v>
      </c>
      <c r="R367" s="118">
        <f>VLOOKUP(C367,'Talente &amp; Stuff'!ER:FT,16,FALSE)</f>
        <v>0</v>
      </c>
      <c r="S367" s="118">
        <f>VLOOKUP(C367,'Talente &amp; Stuff'!ER:FT,17,FALSE)</f>
        <v>0</v>
      </c>
      <c r="T367" s="91">
        <f>VLOOKUP(C367,'Talente &amp; Stuff'!ER:FT,18,FALSE)</f>
        <v>0</v>
      </c>
      <c r="U367" s="116">
        <f>VLOOKUP(C367,'Talente &amp; Stuff'!ER:FT,19,FALSE)</f>
        <v>0</v>
      </c>
      <c r="V367" s="116">
        <f>VLOOKUP(C367,'Talente &amp; Stuff'!ER:FT,20,FALSE)</f>
        <v>0</v>
      </c>
      <c r="W367" s="116">
        <f>VLOOKUP(C367,'Talente &amp; Stuff'!ER:FT,21,FALSE)</f>
        <v>0</v>
      </c>
      <c r="X367" s="158">
        <f>VLOOKUP(C367,'Talente &amp; Stuff'!ER:FT,22,FALSE)</f>
        <v>0</v>
      </c>
      <c r="Y367" s="165">
        <f t="shared" ref="Y367:Y374" si="26">VLOOKUP(C367,Ausgewählte_Rituale_Elfen,168,FALSE)</f>
        <v>0</v>
      </c>
      <c r="Z367" s="44">
        <f t="shared" ref="Z367:Z374" si="27">VLOOKUP(C367,Ausgewählte_Rituale_Elfen,169,FALSE)</f>
        <v>0</v>
      </c>
      <c r="AA367" s="158">
        <f>VLOOKUP(C367,'Talente &amp; Stuff'!ER:FT,25,FALSE)</f>
        <v>0</v>
      </c>
      <c r="AB367" s="91">
        <f>VLOOKUP(C367,'Talente &amp; Stuff'!ER:FT,26,FALSE)</f>
        <v>0</v>
      </c>
      <c r="AC367" s="126">
        <f>VLOOKUP(C367,'Talente &amp; Stuff'!ER:FT,27,FALSE)</f>
        <v>0</v>
      </c>
      <c r="AD367" s="158">
        <f>VLOOKUP(C367,'Talente &amp; Stuff'!ER:FT,28,FALSE)</f>
        <v>0</v>
      </c>
      <c r="AE367" s="28"/>
    </row>
    <row r="368" spans="2:31" ht="15" hidden="1" customHeight="1" outlineLevel="2">
      <c r="B368" s="148">
        <v>2</v>
      </c>
      <c r="C368" s="177" t="str">
        <f>Attribute!C368</f>
        <v>---</v>
      </c>
      <c r="D368" s="125" t="str">
        <f>VLOOKUP(C368,'Talente &amp; Stuff'!ER:FT,2,FALSE)</f>
        <v>--/--/--</v>
      </c>
      <c r="E368" s="125" t="str">
        <f>VLOOKUP(C368,'Talente &amp; Stuff'!ER:FT,3,FALSE)</f>
        <v>-</v>
      </c>
      <c r="F368" s="113">
        <f>VLOOKUP(C368,'Talente &amp; Stuff'!ER:FT,4,FALSE)</f>
        <v>0</v>
      </c>
      <c r="G368" s="113">
        <f>VLOOKUP(C368,'Talente &amp; Stuff'!ER:FT,5,FALSE)</f>
        <v>0</v>
      </c>
      <c r="H368" s="113">
        <f>VLOOKUP(C368,'Talente &amp; Stuff'!ER:FT,6,FALSE)</f>
        <v>0</v>
      </c>
      <c r="I368" s="113">
        <f>VLOOKUP(C368,'Talente &amp; Stuff'!ER:FT,7,FALSE)</f>
        <v>0</v>
      </c>
      <c r="J368" s="113">
        <f>VLOOKUP(C368,'Talente &amp; Stuff'!ER:FT,8,FALSE)</f>
        <v>0</v>
      </c>
      <c r="K368" s="113">
        <f>VLOOKUP(C368,'Talente &amp; Stuff'!ER:FT,9,FALSE)</f>
        <v>0</v>
      </c>
      <c r="L368" s="113">
        <f>VLOOKUP(C368,'Talente &amp; Stuff'!ER:FT,10,FALSE)</f>
        <v>0</v>
      </c>
      <c r="M368" s="113">
        <f>VLOOKUP(C368,'Talente &amp; Stuff'!ER:FT,11,FALSE)</f>
        <v>0</v>
      </c>
      <c r="N368" s="89">
        <f>VLOOKUP(C368,'Talente &amp; Stuff'!ER:FT,12,FALSE)</f>
        <v>0</v>
      </c>
      <c r="O368" s="47">
        <f>VLOOKUP(C368,'Talente &amp; Stuff'!ER:FT,13,FALSE)</f>
        <v>0</v>
      </c>
      <c r="P368" s="119">
        <f>VLOOKUP(C368,'Talente &amp; Stuff'!ER:FT,14,FALSE)</f>
        <v>0</v>
      </c>
      <c r="Q368" s="113">
        <f>VLOOKUP(C368,'Talente &amp; Stuff'!ER:FT,15,FALSE)</f>
        <v>0</v>
      </c>
      <c r="R368" s="113">
        <f>VLOOKUP(C368,'Talente &amp; Stuff'!ER:FT,16,FALSE)</f>
        <v>0</v>
      </c>
      <c r="S368" s="113">
        <f>VLOOKUP(C368,'Talente &amp; Stuff'!ER:FT,17,FALSE)</f>
        <v>0</v>
      </c>
      <c r="T368" s="160">
        <f>VLOOKUP(C368,'Talente &amp; Stuff'!ER:FT,18,FALSE)</f>
        <v>0</v>
      </c>
      <c r="U368" s="47">
        <f>VLOOKUP(C368,'Talente &amp; Stuff'!ER:FT,19,FALSE)</f>
        <v>0</v>
      </c>
      <c r="V368" s="47">
        <f>VLOOKUP(C368,'Talente &amp; Stuff'!ER:FT,20,FALSE)</f>
        <v>0</v>
      </c>
      <c r="W368" s="47">
        <f>VLOOKUP(C368,'Talente &amp; Stuff'!ER:FT,21,FALSE)</f>
        <v>0</v>
      </c>
      <c r="X368" s="125">
        <f>VLOOKUP(C368,'Talente &amp; Stuff'!ER:FT,22,FALSE)</f>
        <v>0</v>
      </c>
      <c r="Y368" s="165">
        <f t="shared" si="26"/>
        <v>0</v>
      </c>
      <c r="Z368" s="44">
        <f t="shared" si="27"/>
        <v>0</v>
      </c>
      <c r="AA368" s="125">
        <f>VLOOKUP(C368,'Talente &amp; Stuff'!ER:FT,25,FALSE)</f>
        <v>0</v>
      </c>
      <c r="AB368" s="160">
        <f>VLOOKUP(C368,'Talente &amp; Stuff'!ER:FT,26,FALSE)</f>
        <v>0</v>
      </c>
      <c r="AC368" s="127">
        <f>VLOOKUP(C368,'Talente &amp; Stuff'!ER:FT,27,FALSE)</f>
        <v>0</v>
      </c>
      <c r="AD368" s="125">
        <f>VLOOKUP(C368,'Talente &amp; Stuff'!ER:FT,28,FALSE)</f>
        <v>0</v>
      </c>
      <c r="AE368" s="28"/>
    </row>
    <row r="369" spans="2:31" ht="15" hidden="1" customHeight="1" outlineLevel="2">
      <c r="B369" s="148">
        <v>3</v>
      </c>
      <c r="C369" s="177" t="str">
        <f>Attribute!C369</f>
        <v>---</v>
      </c>
      <c r="D369" s="125" t="str">
        <f>VLOOKUP(C369,'Talente &amp; Stuff'!ER:FT,2,FALSE)</f>
        <v>--/--/--</v>
      </c>
      <c r="E369" s="125" t="str">
        <f>VLOOKUP(C369,'Talente &amp; Stuff'!ER:FT,3,FALSE)</f>
        <v>-</v>
      </c>
      <c r="F369" s="113">
        <f>VLOOKUP(C369,'Talente &amp; Stuff'!ER:FT,4,FALSE)</f>
        <v>0</v>
      </c>
      <c r="G369" s="113">
        <f>VLOOKUP(C369,'Talente &amp; Stuff'!ER:FT,5,FALSE)</f>
        <v>0</v>
      </c>
      <c r="H369" s="113">
        <f>VLOOKUP(C369,'Talente &amp; Stuff'!ER:FT,6,FALSE)</f>
        <v>0</v>
      </c>
      <c r="I369" s="113">
        <f>VLOOKUP(C369,'Talente &amp; Stuff'!ER:FT,7,FALSE)</f>
        <v>0</v>
      </c>
      <c r="J369" s="113">
        <f>VLOOKUP(C369,'Talente &amp; Stuff'!ER:FT,8,FALSE)</f>
        <v>0</v>
      </c>
      <c r="K369" s="113">
        <f>VLOOKUP(C369,'Talente &amp; Stuff'!ER:FT,9,FALSE)</f>
        <v>0</v>
      </c>
      <c r="L369" s="113">
        <f>VLOOKUP(C369,'Talente &amp; Stuff'!ER:FT,10,FALSE)</f>
        <v>0</v>
      </c>
      <c r="M369" s="113">
        <f>VLOOKUP(C369,'Talente &amp; Stuff'!ER:FT,11,FALSE)</f>
        <v>0</v>
      </c>
      <c r="N369" s="89">
        <f>VLOOKUP(C369,'Talente &amp; Stuff'!ER:FT,12,FALSE)</f>
        <v>0</v>
      </c>
      <c r="O369" s="47">
        <f>VLOOKUP(C369,'Talente &amp; Stuff'!ER:FT,13,FALSE)</f>
        <v>0</v>
      </c>
      <c r="P369" s="119">
        <f>VLOOKUP(C369,'Talente &amp; Stuff'!ER:FT,14,FALSE)</f>
        <v>0</v>
      </c>
      <c r="Q369" s="113">
        <f>VLOOKUP(C369,'Talente &amp; Stuff'!ER:FT,15,FALSE)</f>
        <v>0</v>
      </c>
      <c r="R369" s="113">
        <f>VLOOKUP(C369,'Talente &amp; Stuff'!ER:FT,16,FALSE)</f>
        <v>0</v>
      </c>
      <c r="S369" s="113">
        <f>VLOOKUP(C369,'Talente &amp; Stuff'!ER:FT,17,FALSE)</f>
        <v>0</v>
      </c>
      <c r="T369" s="160">
        <f>VLOOKUP(C369,'Talente &amp; Stuff'!ER:FT,18,FALSE)</f>
        <v>0</v>
      </c>
      <c r="U369" s="47">
        <f>VLOOKUP(C369,'Talente &amp; Stuff'!ER:FT,19,FALSE)</f>
        <v>0</v>
      </c>
      <c r="V369" s="47">
        <f>VLOOKUP(C369,'Talente &amp; Stuff'!ER:FT,20,FALSE)</f>
        <v>0</v>
      </c>
      <c r="W369" s="47">
        <f>VLOOKUP(C369,'Talente &amp; Stuff'!ER:FT,21,FALSE)</f>
        <v>0</v>
      </c>
      <c r="X369" s="125">
        <f>VLOOKUP(C369,'Talente &amp; Stuff'!ER:FT,22,FALSE)</f>
        <v>0</v>
      </c>
      <c r="Y369" s="165">
        <f t="shared" si="26"/>
        <v>0</v>
      </c>
      <c r="Z369" s="44">
        <f t="shared" si="27"/>
        <v>0</v>
      </c>
      <c r="AA369" s="125">
        <f>VLOOKUP(C369,'Talente &amp; Stuff'!ER:FT,25,FALSE)</f>
        <v>0</v>
      </c>
      <c r="AB369" s="160">
        <f>VLOOKUP(C369,'Talente &amp; Stuff'!ER:FT,26,FALSE)</f>
        <v>0</v>
      </c>
      <c r="AC369" s="127">
        <f>VLOOKUP(C369,'Talente &amp; Stuff'!ER:FT,27,FALSE)</f>
        <v>0</v>
      </c>
      <c r="AD369" s="125">
        <f>VLOOKUP(C369,'Talente &amp; Stuff'!ER:FT,28,FALSE)</f>
        <v>0</v>
      </c>
      <c r="AE369" s="28"/>
    </row>
    <row r="370" spans="2:31" ht="15" hidden="1" customHeight="1" outlineLevel="2">
      <c r="B370" s="148">
        <v>4</v>
      </c>
      <c r="C370" s="177" t="str">
        <f>Attribute!C370</f>
        <v>---</v>
      </c>
      <c r="D370" s="125" t="str">
        <f>VLOOKUP(C370,'Talente &amp; Stuff'!ER:FT,2,FALSE)</f>
        <v>--/--/--</v>
      </c>
      <c r="E370" s="125" t="str">
        <f>VLOOKUP(C370,'Talente &amp; Stuff'!ER:FT,3,FALSE)</f>
        <v>-</v>
      </c>
      <c r="F370" s="113">
        <f>VLOOKUP(C370,'Talente &amp; Stuff'!ER:FT,4,FALSE)</f>
        <v>0</v>
      </c>
      <c r="G370" s="113">
        <f>VLOOKUP(C370,'Talente &amp; Stuff'!ER:FT,5,FALSE)</f>
        <v>0</v>
      </c>
      <c r="H370" s="113">
        <f>VLOOKUP(C370,'Talente &amp; Stuff'!ER:FT,6,FALSE)</f>
        <v>0</v>
      </c>
      <c r="I370" s="113">
        <f>VLOOKUP(C370,'Talente &amp; Stuff'!ER:FT,7,FALSE)</f>
        <v>0</v>
      </c>
      <c r="J370" s="113">
        <f>VLOOKUP(C370,'Talente &amp; Stuff'!ER:FT,8,FALSE)</f>
        <v>0</v>
      </c>
      <c r="K370" s="113">
        <f>VLOOKUP(C370,'Talente &amp; Stuff'!ER:FT,9,FALSE)</f>
        <v>0</v>
      </c>
      <c r="L370" s="113">
        <f>VLOOKUP(C370,'Talente &amp; Stuff'!ER:FT,10,FALSE)</f>
        <v>0</v>
      </c>
      <c r="M370" s="113">
        <f>VLOOKUP(C370,'Talente &amp; Stuff'!ER:FT,11,FALSE)</f>
        <v>0</v>
      </c>
      <c r="N370" s="89">
        <f>VLOOKUP(C370,'Talente &amp; Stuff'!ER:FT,12,FALSE)</f>
        <v>0</v>
      </c>
      <c r="O370" s="47">
        <f>VLOOKUP(C370,'Talente &amp; Stuff'!ER:FT,13,FALSE)</f>
        <v>0</v>
      </c>
      <c r="P370" s="119">
        <f>VLOOKUP(C370,'Talente &amp; Stuff'!ER:FT,14,FALSE)</f>
        <v>0</v>
      </c>
      <c r="Q370" s="113">
        <f>VLOOKUP(C370,'Talente &amp; Stuff'!ER:FT,15,FALSE)</f>
        <v>0</v>
      </c>
      <c r="R370" s="113">
        <f>VLOOKUP(C370,'Talente &amp; Stuff'!ER:FT,16,FALSE)</f>
        <v>0</v>
      </c>
      <c r="S370" s="113">
        <f>VLOOKUP(C370,'Talente &amp; Stuff'!ER:FT,17,FALSE)</f>
        <v>0</v>
      </c>
      <c r="T370" s="160">
        <f>VLOOKUP(C370,'Talente &amp; Stuff'!ER:FT,18,FALSE)</f>
        <v>0</v>
      </c>
      <c r="U370" s="47">
        <f>VLOOKUP(C370,'Talente &amp; Stuff'!ER:FT,19,FALSE)</f>
        <v>0</v>
      </c>
      <c r="V370" s="47">
        <f>VLOOKUP(C370,'Talente &amp; Stuff'!ER:FT,20,FALSE)</f>
        <v>0</v>
      </c>
      <c r="W370" s="47">
        <f>VLOOKUP(C370,'Talente &amp; Stuff'!ER:FT,21,FALSE)</f>
        <v>0</v>
      </c>
      <c r="X370" s="125">
        <f>VLOOKUP(C370,'Talente &amp; Stuff'!ER:FT,22,FALSE)</f>
        <v>0</v>
      </c>
      <c r="Y370" s="165">
        <f t="shared" si="26"/>
        <v>0</v>
      </c>
      <c r="Z370" s="44">
        <f t="shared" si="27"/>
        <v>0</v>
      </c>
      <c r="AA370" s="125">
        <f>VLOOKUP(C370,'Talente &amp; Stuff'!ER:FT,25,FALSE)</f>
        <v>0</v>
      </c>
      <c r="AB370" s="160">
        <f>VLOOKUP(C370,'Talente &amp; Stuff'!ER:FT,26,FALSE)</f>
        <v>0</v>
      </c>
      <c r="AC370" s="127">
        <f>VLOOKUP(C370,'Talente &amp; Stuff'!ER:FT,27,FALSE)</f>
        <v>0</v>
      </c>
      <c r="AD370" s="125">
        <f>VLOOKUP(C370,'Talente &amp; Stuff'!ER:FT,28,FALSE)</f>
        <v>0</v>
      </c>
      <c r="AE370" s="28"/>
    </row>
    <row r="371" spans="2:31" ht="15" hidden="1" customHeight="1" outlineLevel="2">
      <c r="B371" s="148">
        <v>5</v>
      </c>
      <c r="C371" s="177" t="str">
        <f>Attribute!C371</f>
        <v>---</v>
      </c>
      <c r="D371" s="125" t="str">
        <f>VLOOKUP(C371,'Talente &amp; Stuff'!ER:FT,2,FALSE)</f>
        <v>--/--/--</v>
      </c>
      <c r="E371" s="125" t="str">
        <f>VLOOKUP(C371,'Talente &amp; Stuff'!ER:FT,3,FALSE)</f>
        <v>-</v>
      </c>
      <c r="F371" s="113">
        <f>VLOOKUP(C371,'Talente &amp; Stuff'!ER:FT,4,FALSE)</f>
        <v>0</v>
      </c>
      <c r="G371" s="113">
        <f>VLOOKUP(C371,'Talente &amp; Stuff'!ER:FT,5,FALSE)</f>
        <v>0</v>
      </c>
      <c r="H371" s="113">
        <f>VLOOKUP(C371,'Talente &amp; Stuff'!ER:FT,6,FALSE)</f>
        <v>0</v>
      </c>
      <c r="I371" s="113">
        <f>VLOOKUP(C371,'Talente &amp; Stuff'!ER:FT,7,FALSE)</f>
        <v>0</v>
      </c>
      <c r="J371" s="113">
        <f>VLOOKUP(C371,'Talente &amp; Stuff'!ER:FT,8,FALSE)</f>
        <v>0</v>
      </c>
      <c r="K371" s="113">
        <f>VLOOKUP(C371,'Talente &amp; Stuff'!ER:FT,9,FALSE)</f>
        <v>0</v>
      </c>
      <c r="L371" s="113">
        <f>VLOOKUP(C371,'Talente &amp; Stuff'!ER:FT,10,FALSE)</f>
        <v>0</v>
      </c>
      <c r="M371" s="113">
        <f>VLOOKUP(C371,'Talente &amp; Stuff'!ER:FT,11,FALSE)</f>
        <v>0</v>
      </c>
      <c r="N371" s="89">
        <f>VLOOKUP(C371,'Talente &amp; Stuff'!ER:FT,12,FALSE)</f>
        <v>0</v>
      </c>
      <c r="O371" s="47">
        <f>VLOOKUP(C371,'Talente &amp; Stuff'!ER:FT,13,FALSE)</f>
        <v>0</v>
      </c>
      <c r="P371" s="119">
        <f>VLOOKUP(C371,'Talente &amp; Stuff'!ER:FT,14,FALSE)</f>
        <v>0</v>
      </c>
      <c r="Q371" s="113">
        <f>VLOOKUP(C371,'Talente &amp; Stuff'!ER:FT,15,FALSE)</f>
        <v>0</v>
      </c>
      <c r="R371" s="113">
        <f>VLOOKUP(C371,'Talente &amp; Stuff'!ER:FT,16,FALSE)</f>
        <v>0</v>
      </c>
      <c r="S371" s="113">
        <f>VLOOKUP(C371,'Talente &amp; Stuff'!ER:FT,17,FALSE)</f>
        <v>0</v>
      </c>
      <c r="T371" s="160">
        <f>VLOOKUP(C371,'Talente &amp; Stuff'!ER:FT,18,FALSE)</f>
        <v>0</v>
      </c>
      <c r="U371" s="47">
        <f>VLOOKUP(C371,'Talente &amp; Stuff'!ER:FT,19,FALSE)</f>
        <v>0</v>
      </c>
      <c r="V371" s="47">
        <f>VLOOKUP(C371,'Talente &amp; Stuff'!ER:FT,20,FALSE)</f>
        <v>0</v>
      </c>
      <c r="W371" s="47">
        <f>VLOOKUP(C371,'Talente &amp; Stuff'!ER:FT,21,FALSE)</f>
        <v>0</v>
      </c>
      <c r="X371" s="125">
        <f>VLOOKUP(C371,'Talente &amp; Stuff'!ER:FT,22,FALSE)</f>
        <v>0</v>
      </c>
      <c r="Y371" s="165">
        <f t="shared" si="26"/>
        <v>0</v>
      </c>
      <c r="Z371" s="44">
        <f t="shared" si="27"/>
        <v>0</v>
      </c>
      <c r="AA371" s="125">
        <f>VLOOKUP(C371,'Talente &amp; Stuff'!ER:FT,25,FALSE)</f>
        <v>0</v>
      </c>
      <c r="AB371" s="160">
        <f>VLOOKUP(C371,'Talente &amp; Stuff'!ER:FT,26,FALSE)</f>
        <v>0</v>
      </c>
      <c r="AC371" s="127">
        <f>VLOOKUP(C371,'Talente &amp; Stuff'!ER:FT,27,FALSE)</f>
        <v>0</v>
      </c>
      <c r="AD371" s="125">
        <f>VLOOKUP(C371,'Talente &amp; Stuff'!ER:FT,28,FALSE)</f>
        <v>0</v>
      </c>
      <c r="AE371" s="28"/>
    </row>
    <row r="372" spans="2:31" ht="15" hidden="1" customHeight="1" outlineLevel="2">
      <c r="B372" s="148">
        <v>6</v>
      </c>
      <c r="C372" s="177" t="str">
        <f>Attribute!C372</f>
        <v>---</v>
      </c>
      <c r="D372" s="125" t="str">
        <f>VLOOKUP(C372,'Talente &amp; Stuff'!ER:FT,2,FALSE)</f>
        <v>--/--/--</v>
      </c>
      <c r="E372" s="125" t="str">
        <f>VLOOKUP(C372,'Talente &amp; Stuff'!ER:FT,3,FALSE)</f>
        <v>-</v>
      </c>
      <c r="F372" s="113">
        <f>VLOOKUP(C372,'Talente &amp; Stuff'!ER:FT,4,FALSE)</f>
        <v>0</v>
      </c>
      <c r="G372" s="113">
        <f>VLOOKUP(C372,'Talente &amp; Stuff'!ER:FT,5,FALSE)</f>
        <v>0</v>
      </c>
      <c r="H372" s="113">
        <f>VLOOKUP(C372,'Talente &amp; Stuff'!ER:FT,6,FALSE)</f>
        <v>0</v>
      </c>
      <c r="I372" s="113">
        <f>VLOOKUP(C372,'Talente &amp; Stuff'!ER:FT,7,FALSE)</f>
        <v>0</v>
      </c>
      <c r="J372" s="113">
        <f>VLOOKUP(C372,'Talente &amp; Stuff'!ER:FT,8,FALSE)</f>
        <v>0</v>
      </c>
      <c r="K372" s="113">
        <f>VLOOKUP(C372,'Talente &amp; Stuff'!ER:FT,9,FALSE)</f>
        <v>0</v>
      </c>
      <c r="L372" s="113">
        <f>VLOOKUP(C372,'Talente &amp; Stuff'!ER:FT,10,FALSE)</f>
        <v>0</v>
      </c>
      <c r="M372" s="113">
        <f>VLOOKUP(C372,'Talente &amp; Stuff'!ER:FT,11,FALSE)</f>
        <v>0</v>
      </c>
      <c r="N372" s="89">
        <f>VLOOKUP(C372,'Talente &amp; Stuff'!ER:FT,12,FALSE)</f>
        <v>0</v>
      </c>
      <c r="O372" s="47">
        <f>VLOOKUP(C372,'Talente &amp; Stuff'!ER:FT,13,FALSE)</f>
        <v>0</v>
      </c>
      <c r="P372" s="119">
        <f>VLOOKUP(C372,'Talente &amp; Stuff'!ER:FT,14,FALSE)</f>
        <v>0</v>
      </c>
      <c r="Q372" s="113">
        <f>VLOOKUP(C372,'Talente &amp; Stuff'!ER:FT,15,FALSE)</f>
        <v>0</v>
      </c>
      <c r="R372" s="113">
        <f>VLOOKUP(C372,'Talente &amp; Stuff'!ER:FT,16,FALSE)</f>
        <v>0</v>
      </c>
      <c r="S372" s="113">
        <f>VLOOKUP(C372,'Talente &amp; Stuff'!ER:FT,17,FALSE)</f>
        <v>0</v>
      </c>
      <c r="T372" s="160">
        <f>VLOOKUP(C372,'Talente &amp; Stuff'!ER:FT,18,FALSE)</f>
        <v>0</v>
      </c>
      <c r="U372" s="47">
        <f>VLOOKUP(C372,'Talente &amp; Stuff'!ER:FT,19,FALSE)</f>
        <v>0</v>
      </c>
      <c r="V372" s="47">
        <f>VLOOKUP(C372,'Talente &amp; Stuff'!ER:FT,20,FALSE)</f>
        <v>0</v>
      </c>
      <c r="W372" s="47">
        <f>VLOOKUP(C372,'Talente &amp; Stuff'!ER:FT,21,FALSE)</f>
        <v>0</v>
      </c>
      <c r="X372" s="125">
        <f>VLOOKUP(C372,'Talente &amp; Stuff'!ER:FT,22,FALSE)</f>
        <v>0</v>
      </c>
      <c r="Y372" s="165">
        <f t="shared" si="26"/>
        <v>0</v>
      </c>
      <c r="Z372" s="44">
        <f t="shared" si="27"/>
        <v>0</v>
      </c>
      <c r="AA372" s="125">
        <f>VLOOKUP(C372,'Talente &amp; Stuff'!ER:FT,25,FALSE)</f>
        <v>0</v>
      </c>
      <c r="AB372" s="160">
        <f>VLOOKUP(C372,'Talente &amp; Stuff'!ER:FT,26,FALSE)</f>
        <v>0</v>
      </c>
      <c r="AC372" s="127">
        <f>VLOOKUP(C372,'Talente &amp; Stuff'!ER:FT,27,FALSE)</f>
        <v>0</v>
      </c>
      <c r="AD372" s="125">
        <f>VLOOKUP(C372,'Talente &amp; Stuff'!ER:FT,28,FALSE)</f>
        <v>0</v>
      </c>
      <c r="AE372" s="28"/>
    </row>
    <row r="373" spans="2:31" ht="15" hidden="1" customHeight="1" outlineLevel="2">
      <c r="B373" s="148">
        <v>7</v>
      </c>
      <c r="C373" s="177" t="str">
        <f>Attribute!C373</f>
        <v>---</v>
      </c>
      <c r="D373" s="125" t="str">
        <f>VLOOKUP(C373,'Talente &amp; Stuff'!ER:FT,2,FALSE)</f>
        <v>--/--/--</v>
      </c>
      <c r="E373" s="125" t="str">
        <f>VLOOKUP(C373,'Talente &amp; Stuff'!ER:FT,3,FALSE)</f>
        <v>-</v>
      </c>
      <c r="F373" s="113">
        <f>VLOOKUP(C373,'Talente &amp; Stuff'!ER:FT,4,FALSE)</f>
        <v>0</v>
      </c>
      <c r="G373" s="113">
        <f>VLOOKUP(C373,'Talente &amp; Stuff'!ER:FT,5,FALSE)</f>
        <v>0</v>
      </c>
      <c r="H373" s="113">
        <f>VLOOKUP(C373,'Talente &amp; Stuff'!ER:FT,6,FALSE)</f>
        <v>0</v>
      </c>
      <c r="I373" s="113">
        <f>VLOOKUP(C373,'Talente &amp; Stuff'!ER:FT,7,FALSE)</f>
        <v>0</v>
      </c>
      <c r="J373" s="113">
        <f>VLOOKUP(C373,'Talente &amp; Stuff'!ER:FT,8,FALSE)</f>
        <v>0</v>
      </c>
      <c r="K373" s="113">
        <f>VLOOKUP(C373,'Talente &amp; Stuff'!ER:FT,9,FALSE)</f>
        <v>0</v>
      </c>
      <c r="L373" s="113">
        <f>VLOOKUP(C373,'Talente &amp; Stuff'!ER:FT,10,FALSE)</f>
        <v>0</v>
      </c>
      <c r="M373" s="113">
        <f>VLOOKUP(C373,'Talente &amp; Stuff'!ER:FT,11,FALSE)</f>
        <v>0</v>
      </c>
      <c r="N373" s="89">
        <f>VLOOKUP(C373,'Talente &amp; Stuff'!ER:FT,12,FALSE)</f>
        <v>0</v>
      </c>
      <c r="O373" s="47">
        <f>VLOOKUP(C373,'Talente &amp; Stuff'!ER:FT,13,FALSE)</f>
        <v>0</v>
      </c>
      <c r="P373" s="119">
        <f>VLOOKUP(C373,'Talente &amp; Stuff'!ER:FT,14,FALSE)</f>
        <v>0</v>
      </c>
      <c r="Q373" s="113">
        <f>VLOOKUP(C373,'Talente &amp; Stuff'!ER:FT,15,FALSE)</f>
        <v>0</v>
      </c>
      <c r="R373" s="113">
        <f>VLOOKUP(C373,'Talente &amp; Stuff'!ER:FT,16,FALSE)</f>
        <v>0</v>
      </c>
      <c r="S373" s="113">
        <f>VLOOKUP(C373,'Talente &amp; Stuff'!ER:FT,17,FALSE)</f>
        <v>0</v>
      </c>
      <c r="T373" s="160">
        <f>VLOOKUP(C373,'Talente &amp; Stuff'!ER:FT,18,FALSE)</f>
        <v>0</v>
      </c>
      <c r="U373" s="47">
        <f>VLOOKUP(C373,'Talente &amp; Stuff'!ER:FT,19,FALSE)</f>
        <v>0</v>
      </c>
      <c r="V373" s="47">
        <f>VLOOKUP(C373,'Talente &amp; Stuff'!ER:FT,20,FALSE)</f>
        <v>0</v>
      </c>
      <c r="W373" s="47">
        <f>VLOOKUP(C373,'Talente &amp; Stuff'!ER:FT,21,FALSE)</f>
        <v>0</v>
      </c>
      <c r="X373" s="125">
        <f>VLOOKUP(C373,'Talente &amp; Stuff'!ER:FT,22,FALSE)</f>
        <v>0</v>
      </c>
      <c r="Y373" s="165">
        <f t="shared" si="26"/>
        <v>0</v>
      </c>
      <c r="Z373" s="44">
        <f t="shared" si="27"/>
        <v>0</v>
      </c>
      <c r="AA373" s="125">
        <f>VLOOKUP(C373,'Talente &amp; Stuff'!ER:FT,25,FALSE)</f>
        <v>0</v>
      </c>
      <c r="AB373" s="160">
        <f>VLOOKUP(C373,'Talente &amp; Stuff'!ER:FT,26,FALSE)</f>
        <v>0</v>
      </c>
      <c r="AC373" s="127">
        <f>VLOOKUP(C373,'Talente &amp; Stuff'!ER:FT,27,FALSE)</f>
        <v>0</v>
      </c>
      <c r="AD373" s="125">
        <f>VLOOKUP(C373,'Talente &amp; Stuff'!ER:FT,28,FALSE)</f>
        <v>0</v>
      </c>
      <c r="AE373" s="28"/>
    </row>
    <row r="374" spans="2:31" ht="15" hidden="1" customHeight="1" outlineLevel="2">
      <c r="B374" s="148">
        <v>8</v>
      </c>
      <c r="C374" s="178" t="str">
        <f>Attribute!C374</f>
        <v>---</v>
      </c>
      <c r="D374" s="159" t="str">
        <f>VLOOKUP(C374,'Talente &amp; Stuff'!ER:FT,2,FALSE)</f>
        <v>--/--/--</v>
      </c>
      <c r="E374" s="159" t="str">
        <f>VLOOKUP(C374,'Talente &amp; Stuff'!ER:FT,3,FALSE)</f>
        <v>-</v>
      </c>
      <c r="F374" s="122">
        <f>VLOOKUP(C374,'Talente &amp; Stuff'!ER:FT,4,FALSE)</f>
        <v>0</v>
      </c>
      <c r="G374" s="122">
        <f>VLOOKUP(C374,'Talente &amp; Stuff'!ER:FT,5,FALSE)</f>
        <v>0</v>
      </c>
      <c r="H374" s="122">
        <f>VLOOKUP(C374,'Talente &amp; Stuff'!ER:FT,6,FALSE)</f>
        <v>0</v>
      </c>
      <c r="I374" s="122">
        <f>VLOOKUP(C374,'Talente &amp; Stuff'!ER:FT,7,FALSE)</f>
        <v>0</v>
      </c>
      <c r="J374" s="122">
        <f>VLOOKUP(C374,'Talente &amp; Stuff'!ER:FT,8,FALSE)</f>
        <v>0</v>
      </c>
      <c r="K374" s="122">
        <f>VLOOKUP(C374,'Talente &amp; Stuff'!ER:FT,9,FALSE)</f>
        <v>0</v>
      </c>
      <c r="L374" s="122">
        <f>VLOOKUP(C374,'Talente &amp; Stuff'!ER:FT,10,FALSE)</f>
        <v>0</v>
      </c>
      <c r="M374" s="122">
        <f>VLOOKUP(C374,'Talente &amp; Stuff'!ER:FT,11,FALSE)</f>
        <v>0</v>
      </c>
      <c r="N374" s="90">
        <f>VLOOKUP(C374,'Talente &amp; Stuff'!ER:FT,12,FALSE)</f>
        <v>0</v>
      </c>
      <c r="O374" s="88">
        <f>VLOOKUP(C374,'Talente &amp; Stuff'!ER:FT,13,FALSE)</f>
        <v>0</v>
      </c>
      <c r="P374" s="123">
        <f>VLOOKUP(C374,'Talente &amp; Stuff'!ER:FT,14,FALSE)</f>
        <v>0</v>
      </c>
      <c r="Q374" s="122">
        <f>VLOOKUP(C374,'Talente &amp; Stuff'!ER:FT,15,FALSE)</f>
        <v>0</v>
      </c>
      <c r="R374" s="122">
        <f>VLOOKUP(C374,'Talente &amp; Stuff'!ER:FT,16,FALSE)</f>
        <v>0</v>
      </c>
      <c r="S374" s="122">
        <f>VLOOKUP(C374,'Talente &amp; Stuff'!ER:FT,17,FALSE)</f>
        <v>0</v>
      </c>
      <c r="T374" s="161">
        <f>VLOOKUP(C374,'Talente &amp; Stuff'!ER:FT,18,FALSE)</f>
        <v>0</v>
      </c>
      <c r="U374" s="88">
        <f>VLOOKUP(C374,'Talente &amp; Stuff'!ER:FT,19,FALSE)</f>
        <v>0</v>
      </c>
      <c r="V374" s="88">
        <f>VLOOKUP(C374,'Talente &amp; Stuff'!ER:FT,20,FALSE)</f>
        <v>0</v>
      </c>
      <c r="W374" s="88">
        <f>VLOOKUP(C374,'Talente &amp; Stuff'!ER:FT,21,FALSE)</f>
        <v>0</v>
      </c>
      <c r="X374" s="159">
        <f>VLOOKUP(C374,'Talente &amp; Stuff'!ER:FT,22,FALSE)</f>
        <v>0</v>
      </c>
      <c r="Y374" s="165">
        <f t="shared" si="26"/>
        <v>0</v>
      </c>
      <c r="Z374" s="44">
        <f t="shared" si="27"/>
        <v>0</v>
      </c>
      <c r="AA374" s="159">
        <f>VLOOKUP(C374,'Talente &amp; Stuff'!ER:FT,25,FALSE)</f>
        <v>0</v>
      </c>
      <c r="AB374" s="161">
        <f>VLOOKUP(C374,'Talente &amp; Stuff'!ER:FT,26,FALSE)</f>
        <v>0</v>
      </c>
      <c r="AC374" s="128">
        <f>VLOOKUP(C374,'Talente &amp; Stuff'!ER:FT,27,FALSE)</f>
        <v>0</v>
      </c>
      <c r="AD374" s="159">
        <f>VLOOKUP(C374,'Talente &amp; Stuff'!ER:FT,28,FALSE)</f>
        <v>0</v>
      </c>
      <c r="AE374" s="28"/>
    </row>
    <row r="375" spans="2:31" ht="15" hidden="1" customHeight="1" outlineLevel="1" collapsed="1">
      <c r="B375" s="134" t="s">
        <v>329</v>
      </c>
      <c r="C375" s="83"/>
      <c r="D375" s="84"/>
      <c r="E375" s="84"/>
    </row>
    <row r="376" spans="2:31" ht="15" hidden="1" customHeight="1" outlineLevel="2">
      <c r="B376" s="148">
        <v>1</v>
      </c>
      <c r="C376" s="176" t="str">
        <f>Attribute!C376</f>
        <v>---</v>
      </c>
      <c r="D376" s="85" t="str">
        <f>VLOOKUP(C376,'Talente &amp; Stuff'!ER:FT,2,FALSE)</f>
        <v>--/--/--</v>
      </c>
      <c r="E376" s="158" t="str">
        <f>VLOOKUP(C376,'Talente &amp; Stuff'!ER:FT,3,FALSE)</f>
        <v>-</v>
      </c>
      <c r="F376" s="118">
        <f>VLOOKUP(C376,'Talente &amp; Stuff'!ER:FT,4,FALSE)</f>
        <v>0</v>
      </c>
      <c r="G376" s="118">
        <f>VLOOKUP(C376,'Talente &amp; Stuff'!ER:FT,5,FALSE)</f>
        <v>0</v>
      </c>
      <c r="H376" s="118">
        <f>VLOOKUP(C376,'Talente &amp; Stuff'!ER:FT,6,FALSE)</f>
        <v>0</v>
      </c>
      <c r="I376" s="118">
        <f>VLOOKUP(C376,'Talente &amp; Stuff'!ER:FT,7,FALSE)</f>
        <v>0</v>
      </c>
      <c r="J376" s="118">
        <f>VLOOKUP(C376,'Talente &amp; Stuff'!ER:FT,8,FALSE)</f>
        <v>0</v>
      </c>
      <c r="K376" s="118">
        <f>VLOOKUP(C376,'Talente &amp; Stuff'!ER:FT,9,FALSE)</f>
        <v>0</v>
      </c>
      <c r="L376" s="118">
        <f>VLOOKUP(C376,'Talente &amp; Stuff'!ER:FT,10,FALSE)</f>
        <v>0</v>
      </c>
      <c r="M376" s="118">
        <f>VLOOKUP(C376,'Talente &amp; Stuff'!ER:FT,11,FALSE)</f>
        <v>0</v>
      </c>
      <c r="N376" s="193">
        <f>VLOOKUP(C376,'Talente &amp; Stuff'!ER:FT,12,FALSE)</f>
        <v>0</v>
      </c>
      <c r="O376" s="116">
        <f>VLOOKUP(C376,'Talente &amp; Stuff'!ER:FT,13,FALSE)</f>
        <v>0</v>
      </c>
      <c r="P376" s="92">
        <f>VLOOKUP(C376,'Talente &amp; Stuff'!ER:FT,14,FALSE)</f>
        <v>0</v>
      </c>
      <c r="Q376" s="118">
        <f>VLOOKUP(C376,'Talente &amp; Stuff'!ER:FT,15,FALSE)</f>
        <v>0</v>
      </c>
      <c r="R376" s="118">
        <f>VLOOKUP(C376,'Talente &amp; Stuff'!ER:FT,16,FALSE)</f>
        <v>0</v>
      </c>
      <c r="S376" s="118">
        <f>VLOOKUP(C376,'Talente &amp; Stuff'!ER:FT,17,FALSE)</f>
        <v>0</v>
      </c>
      <c r="T376" s="91">
        <f>VLOOKUP(C376,'Talente &amp; Stuff'!ER:FT,18,FALSE)</f>
        <v>0</v>
      </c>
      <c r="U376" s="116">
        <f>VLOOKUP(C376,'Talente &amp; Stuff'!ER:FT,19,FALSE)</f>
        <v>0</v>
      </c>
      <c r="V376" s="116">
        <f>VLOOKUP(C376,'Talente &amp; Stuff'!ER:FT,20,FALSE)</f>
        <v>0</v>
      </c>
      <c r="W376" s="116">
        <f>VLOOKUP(C376,'Talente &amp; Stuff'!ER:FT,21,FALSE)</f>
        <v>0</v>
      </c>
      <c r="X376" s="158">
        <f>VLOOKUP(C376,'Talente &amp; Stuff'!ER:FT,22,FALSE)</f>
        <v>0</v>
      </c>
      <c r="Y376" s="165">
        <f t="shared" ref="Y376:Y386" si="28">VLOOKUP(C376,Ausgewählte_Rituale_Gildenmagier,168,FALSE)</f>
        <v>0</v>
      </c>
      <c r="Z376" s="44">
        <f t="shared" ref="Z376:Z386" si="29">VLOOKUP(C376,Ausgewählte_Rituale_Gildenmagier,169,FALSE)</f>
        <v>0</v>
      </c>
      <c r="AA376" s="158">
        <f>VLOOKUP(C376,'Talente &amp; Stuff'!ER:FT,25,FALSE)</f>
        <v>0</v>
      </c>
      <c r="AB376" s="91">
        <f>VLOOKUP(C376,'Talente &amp; Stuff'!ER:FT,26,FALSE)</f>
        <v>0</v>
      </c>
      <c r="AC376" s="126">
        <f>VLOOKUP(C376,'Talente &amp; Stuff'!ER:FT,27,FALSE)</f>
        <v>0</v>
      </c>
      <c r="AD376" s="158">
        <f>VLOOKUP(C376,'Talente &amp; Stuff'!ER:FT,28,FALSE)</f>
        <v>0</v>
      </c>
      <c r="AE376" s="28"/>
    </row>
    <row r="377" spans="2:31" ht="15" hidden="1" customHeight="1" outlineLevel="2">
      <c r="B377" s="148">
        <v>2</v>
      </c>
      <c r="C377" s="177" t="str">
        <f>Attribute!C377</f>
        <v>---</v>
      </c>
      <c r="D377" s="86" t="str">
        <f>VLOOKUP(C377,'Talente &amp; Stuff'!ER:FT,2,FALSE)</f>
        <v>--/--/--</v>
      </c>
      <c r="E377" s="125" t="str">
        <f>VLOOKUP(C377,'Talente &amp; Stuff'!ER:FT,3,FALSE)</f>
        <v>-</v>
      </c>
      <c r="F377" s="113">
        <f>VLOOKUP(C377,'Talente &amp; Stuff'!ER:FT,4,FALSE)</f>
        <v>0</v>
      </c>
      <c r="G377" s="113">
        <f>VLOOKUP(C377,'Talente &amp; Stuff'!ER:FT,5,FALSE)</f>
        <v>0</v>
      </c>
      <c r="H377" s="113">
        <f>VLOOKUP(C377,'Talente &amp; Stuff'!ER:FT,6,FALSE)</f>
        <v>0</v>
      </c>
      <c r="I377" s="113">
        <f>VLOOKUP(C377,'Talente &amp; Stuff'!ER:FT,7,FALSE)</f>
        <v>0</v>
      </c>
      <c r="J377" s="113">
        <f>VLOOKUP(C377,'Talente &amp; Stuff'!ER:FT,8,FALSE)</f>
        <v>0</v>
      </c>
      <c r="K377" s="113">
        <f>VLOOKUP(C377,'Talente &amp; Stuff'!ER:FT,9,FALSE)</f>
        <v>0</v>
      </c>
      <c r="L377" s="113">
        <f>VLOOKUP(C377,'Talente &amp; Stuff'!ER:FT,10,FALSE)</f>
        <v>0</v>
      </c>
      <c r="M377" s="113">
        <f>VLOOKUP(C377,'Talente &amp; Stuff'!ER:FT,11,FALSE)</f>
        <v>0</v>
      </c>
      <c r="N377" s="89">
        <f>VLOOKUP(C377,'Talente &amp; Stuff'!ER:FT,12,FALSE)</f>
        <v>0</v>
      </c>
      <c r="O377" s="47">
        <f>VLOOKUP(C377,'Talente &amp; Stuff'!ER:FT,13,FALSE)</f>
        <v>0</v>
      </c>
      <c r="P377" s="119">
        <f>VLOOKUP(C377,'Talente &amp; Stuff'!ER:FT,14,FALSE)</f>
        <v>0</v>
      </c>
      <c r="Q377" s="113">
        <f>VLOOKUP(C377,'Talente &amp; Stuff'!ER:FT,15,FALSE)</f>
        <v>0</v>
      </c>
      <c r="R377" s="113">
        <f>VLOOKUP(C377,'Talente &amp; Stuff'!ER:FT,16,FALSE)</f>
        <v>0</v>
      </c>
      <c r="S377" s="113">
        <f>VLOOKUP(C377,'Talente &amp; Stuff'!ER:FT,17,FALSE)</f>
        <v>0</v>
      </c>
      <c r="T377" s="160">
        <f>VLOOKUP(C377,'Talente &amp; Stuff'!ER:FT,18,FALSE)</f>
        <v>0</v>
      </c>
      <c r="U377" s="47">
        <f>VLOOKUP(C377,'Talente &amp; Stuff'!ER:FT,19,FALSE)</f>
        <v>0</v>
      </c>
      <c r="V377" s="47">
        <f>VLOOKUP(C377,'Talente &amp; Stuff'!ER:FT,20,FALSE)</f>
        <v>0</v>
      </c>
      <c r="W377" s="47">
        <f>VLOOKUP(C377,'Talente &amp; Stuff'!ER:FT,21,FALSE)</f>
        <v>0</v>
      </c>
      <c r="X377" s="125">
        <f>VLOOKUP(C377,'Talente &amp; Stuff'!ER:FT,22,FALSE)</f>
        <v>0</v>
      </c>
      <c r="Y377" s="165">
        <f t="shared" si="28"/>
        <v>0</v>
      </c>
      <c r="Z377" s="44">
        <f t="shared" si="29"/>
        <v>0</v>
      </c>
      <c r="AA377" s="125">
        <f>VLOOKUP(C377,'Talente &amp; Stuff'!ER:FT,25,FALSE)</f>
        <v>0</v>
      </c>
      <c r="AB377" s="160">
        <f>VLOOKUP(C377,'Talente &amp; Stuff'!ER:FT,26,FALSE)</f>
        <v>0</v>
      </c>
      <c r="AC377" s="127">
        <f>VLOOKUP(C377,'Talente &amp; Stuff'!ER:FT,27,FALSE)</f>
        <v>0</v>
      </c>
      <c r="AD377" s="125">
        <f>VLOOKUP(C377,'Talente &amp; Stuff'!ER:FT,28,FALSE)</f>
        <v>0</v>
      </c>
      <c r="AE377" s="28"/>
    </row>
    <row r="378" spans="2:31" ht="15" hidden="1" customHeight="1" outlineLevel="2">
      <c r="B378" s="148">
        <v>3</v>
      </c>
      <c r="C378" s="177" t="str">
        <f>Attribute!C378</f>
        <v>---</v>
      </c>
      <c r="D378" s="86" t="str">
        <f>VLOOKUP(C378,'Talente &amp; Stuff'!ER:FT,2,FALSE)</f>
        <v>--/--/--</v>
      </c>
      <c r="E378" s="125" t="str">
        <f>VLOOKUP(C378,'Talente &amp; Stuff'!ER:FT,3,FALSE)</f>
        <v>-</v>
      </c>
      <c r="F378" s="113">
        <f>VLOOKUP(C378,'Talente &amp; Stuff'!ER:FT,4,FALSE)</f>
        <v>0</v>
      </c>
      <c r="G378" s="113">
        <f>VLOOKUP(C378,'Talente &amp; Stuff'!ER:FT,5,FALSE)</f>
        <v>0</v>
      </c>
      <c r="H378" s="113">
        <f>VLOOKUP(C378,'Talente &amp; Stuff'!ER:FT,6,FALSE)</f>
        <v>0</v>
      </c>
      <c r="I378" s="113">
        <f>VLOOKUP(C378,'Talente &amp; Stuff'!ER:FT,7,FALSE)</f>
        <v>0</v>
      </c>
      <c r="J378" s="113">
        <f>VLOOKUP(C378,'Talente &amp; Stuff'!ER:FT,8,FALSE)</f>
        <v>0</v>
      </c>
      <c r="K378" s="113">
        <f>VLOOKUP(C378,'Talente &amp; Stuff'!ER:FT,9,FALSE)</f>
        <v>0</v>
      </c>
      <c r="L378" s="113">
        <f>VLOOKUP(C378,'Talente &amp; Stuff'!ER:FT,10,FALSE)</f>
        <v>0</v>
      </c>
      <c r="M378" s="113">
        <f>VLOOKUP(C378,'Talente &amp; Stuff'!ER:FT,11,FALSE)</f>
        <v>0</v>
      </c>
      <c r="N378" s="89">
        <f>VLOOKUP(C378,'Talente &amp; Stuff'!ER:FT,12,FALSE)</f>
        <v>0</v>
      </c>
      <c r="O378" s="47">
        <f>VLOOKUP(C378,'Talente &amp; Stuff'!ER:FT,13,FALSE)</f>
        <v>0</v>
      </c>
      <c r="P378" s="119">
        <f>VLOOKUP(C378,'Talente &amp; Stuff'!ER:FT,14,FALSE)</f>
        <v>0</v>
      </c>
      <c r="Q378" s="113">
        <f>VLOOKUP(C378,'Talente &amp; Stuff'!ER:FT,15,FALSE)</f>
        <v>0</v>
      </c>
      <c r="R378" s="113">
        <f>VLOOKUP(C378,'Talente &amp; Stuff'!ER:FT,16,FALSE)</f>
        <v>0</v>
      </c>
      <c r="S378" s="113">
        <f>VLOOKUP(C378,'Talente &amp; Stuff'!ER:FT,17,FALSE)</f>
        <v>0</v>
      </c>
      <c r="T378" s="160">
        <f>VLOOKUP(C378,'Talente &amp; Stuff'!ER:FT,18,FALSE)</f>
        <v>0</v>
      </c>
      <c r="U378" s="47">
        <f>VLOOKUP(C378,'Talente &amp; Stuff'!ER:FT,19,FALSE)</f>
        <v>0</v>
      </c>
      <c r="V378" s="47">
        <f>VLOOKUP(C378,'Talente &amp; Stuff'!ER:FT,20,FALSE)</f>
        <v>0</v>
      </c>
      <c r="W378" s="47">
        <f>VLOOKUP(C378,'Talente &amp; Stuff'!ER:FT,21,FALSE)</f>
        <v>0</v>
      </c>
      <c r="X378" s="125">
        <f>VLOOKUP(C378,'Talente &amp; Stuff'!ER:FT,22,FALSE)</f>
        <v>0</v>
      </c>
      <c r="Y378" s="165">
        <f t="shared" si="28"/>
        <v>0</v>
      </c>
      <c r="Z378" s="44">
        <f t="shared" si="29"/>
        <v>0</v>
      </c>
      <c r="AA378" s="125">
        <f>VLOOKUP(C378,'Talente &amp; Stuff'!ER:FT,25,FALSE)</f>
        <v>0</v>
      </c>
      <c r="AB378" s="160">
        <f>VLOOKUP(C378,'Talente &amp; Stuff'!ER:FT,26,FALSE)</f>
        <v>0</v>
      </c>
      <c r="AC378" s="127">
        <f>VLOOKUP(C378,'Talente &amp; Stuff'!ER:FT,27,FALSE)</f>
        <v>0</v>
      </c>
      <c r="AD378" s="125">
        <f>VLOOKUP(C378,'Talente &amp; Stuff'!ER:FT,28,FALSE)</f>
        <v>0</v>
      </c>
      <c r="AE378" s="28"/>
    </row>
    <row r="379" spans="2:31" ht="15" hidden="1" customHeight="1" outlineLevel="2">
      <c r="B379" s="148">
        <v>4</v>
      </c>
      <c r="C379" s="177" t="str">
        <f>Attribute!C379</f>
        <v>---</v>
      </c>
      <c r="D379" s="86" t="str">
        <f>VLOOKUP(C379,'Talente &amp; Stuff'!ER:FT,2,FALSE)</f>
        <v>--/--/--</v>
      </c>
      <c r="E379" s="125" t="str">
        <f>VLOOKUP(C379,'Talente &amp; Stuff'!ER:FT,3,FALSE)</f>
        <v>-</v>
      </c>
      <c r="F379" s="113">
        <f>VLOOKUP(C379,'Talente &amp; Stuff'!ER:FT,4,FALSE)</f>
        <v>0</v>
      </c>
      <c r="G379" s="113">
        <f>VLOOKUP(C379,'Talente &amp; Stuff'!ER:FT,5,FALSE)</f>
        <v>0</v>
      </c>
      <c r="H379" s="113">
        <f>VLOOKUP(C379,'Talente &amp; Stuff'!ER:FT,6,FALSE)</f>
        <v>0</v>
      </c>
      <c r="I379" s="113">
        <f>VLOOKUP(C379,'Talente &amp; Stuff'!ER:FT,7,FALSE)</f>
        <v>0</v>
      </c>
      <c r="J379" s="113">
        <f>VLOOKUP(C379,'Talente &amp; Stuff'!ER:FT,8,FALSE)</f>
        <v>0</v>
      </c>
      <c r="K379" s="113">
        <f>VLOOKUP(C379,'Talente &amp; Stuff'!ER:FT,9,FALSE)</f>
        <v>0</v>
      </c>
      <c r="L379" s="113">
        <f>VLOOKUP(C379,'Talente &amp; Stuff'!ER:FT,10,FALSE)</f>
        <v>0</v>
      </c>
      <c r="M379" s="113">
        <f>VLOOKUP(C379,'Talente &amp; Stuff'!ER:FT,11,FALSE)</f>
        <v>0</v>
      </c>
      <c r="N379" s="89">
        <f>VLOOKUP(C379,'Talente &amp; Stuff'!ER:FT,12,FALSE)</f>
        <v>0</v>
      </c>
      <c r="O379" s="47">
        <f>VLOOKUP(C379,'Talente &amp; Stuff'!ER:FT,13,FALSE)</f>
        <v>0</v>
      </c>
      <c r="P379" s="119">
        <f>VLOOKUP(C379,'Talente &amp; Stuff'!ER:FT,14,FALSE)</f>
        <v>0</v>
      </c>
      <c r="Q379" s="113">
        <f>VLOOKUP(C379,'Talente &amp; Stuff'!ER:FT,15,FALSE)</f>
        <v>0</v>
      </c>
      <c r="R379" s="113">
        <f>VLOOKUP(C379,'Talente &amp; Stuff'!ER:FT,16,FALSE)</f>
        <v>0</v>
      </c>
      <c r="S379" s="113">
        <f>VLOOKUP(C379,'Talente &amp; Stuff'!ER:FT,17,FALSE)</f>
        <v>0</v>
      </c>
      <c r="T379" s="160">
        <f>VLOOKUP(C379,'Talente &amp; Stuff'!ER:FT,18,FALSE)</f>
        <v>0</v>
      </c>
      <c r="U379" s="47">
        <f>VLOOKUP(C379,'Talente &amp; Stuff'!ER:FT,19,FALSE)</f>
        <v>0</v>
      </c>
      <c r="V379" s="47">
        <f>VLOOKUP(C379,'Talente &amp; Stuff'!ER:FT,20,FALSE)</f>
        <v>0</v>
      </c>
      <c r="W379" s="47">
        <f>VLOOKUP(C379,'Talente &amp; Stuff'!ER:FT,21,FALSE)</f>
        <v>0</v>
      </c>
      <c r="X379" s="125">
        <f>VLOOKUP(C379,'Talente &amp; Stuff'!ER:FT,22,FALSE)</f>
        <v>0</v>
      </c>
      <c r="Y379" s="165">
        <f t="shared" si="28"/>
        <v>0</v>
      </c>
      <c r="Z379" s="44">
        <f t="shared" si="29"/>
        <v>0</v>
      </c>
      <c r="AA379" s="125">
        <f>VLOOKUP(C379,'Talente &amp; Stuff'!ER:FT,25,FALSE)</f>
        <v>0</v>
      </c>
      <c r="AB379" s="160">
        <f>VLOOKUP(C379,'Talente &amp; Stuff'!ER:FT,26,FALSE)</f>
        <v>0</v>
      </c>
      <c r="AC379" s="127">
        <f>VLOOKUP(C379,'Talente &amp; Stuff'!ER:FT,27,FALSE)</f>
        <v>0</v>
      </c>
      <c r="AD379" s="125">
        <f>VLOOKUP(C379,'Talente &amp; Stuff'!ER:FT,28,FALSE)</f>
        <v>0</v>
      </c>
      <c r="AE379" s="28"/>
    </row>
    <row r="380" spans="2:31" ht="15" hidden="1" customHeight="1" outlineLevel="2">
      <c r="B380" s="148">
        <v>5</v>
      </c>
      <c r="C380" s="177" t="str">
        <f>Attribute!C380</f>
        <v>---</v>
      </c>
      <c r="D380" s="86" t="str">
        <f>VLOOKUP(C380,'Talente &amp; Stuff'!ER:FT,2,FALSE)</f>
        <v>--/--/--</v>
      </c>
      <c r="E380" s="125" t="str">
        <f>VLOOKUP(C380,'Talente &amp; Stuff'!ER:FT,3,FALSE)</f>
        <v>-</v>
      </c>
      <c r="F380" s="113">
        <f>VLOOKUP(C380,'Talente &amp; Stuff'!ER:FT,4,FALSE)</f>
        <v>0</v>
      </c>
      <c r="G380" s="113">
        <f>VLOOKUP(C380,'Talente &amp; Stuff'!ER:FT,5,FALSE)</f>
        <v>0</v>
      </c>
      <c r="H380" s="113">
        <f>VLOOKUP(C380,'Talente &amp; Stuff'!ER:FT,6,FALSE)</f>
        <v>0</v>
      </c>
      <c r="I380" s="113">
        <f>VLOOKUP(C380,'Talente &amp; Stuff'!ER:FT,7,FALSE)</f>
        <v>0</v>
      </c>
      <c r="J380" s="113">
        <f>VLOOKUP(C380,'Talente &amp; Stuff'!ER:FT,8,FALSE)</f>
        <v>0</v>
      </c>
      <c r="K380" s="113">
        <f>VLOOKUP(C380,'Talente &amp; Stuff'!ER:FT,9,FALSE)</f>
        <v>0</v>
      </c>
      <c r="L380" s="113">
        <f>VLOOKUP(C380,'Talente &amp; Stuff'!ER:FT,10,FALSE)</f>
        <v>0</v>
      </c>
      <c r="M380" s="113">
        <f>VLOOKUP(C380,'Talente &amp; Stuff'!ER:FT,11,FALSE)</f>
        <v>0</v>
      </c>
      <c r="N380" s="89">
        <f>VLOOKUP(C380,'Talente &amp; Stuff'!ER:FT,12,FALSE)</f>
        <v>0</v>
      </c>
      <c r="O380" s="47">
        <f>VLOOKUP(C380,'Talente &amp; Stuff'!ER:FT,13,FALSE)</f>
        <v>0</v>
      </c>
      <c r="P380" s="119">
        <f>VLOOKUP(C380,'Talente &amp; Stuff'!ER:FT,14,FALSE)</f>
        <v>0</v>
      </c>
      <c r="Q380" s="113">
        <f>VLOOKUP(C380,'Talente &amp; Stuff'!ER:FT,15,FALSE)</f>
        <v>0</v>
      </c>
      <c r="R380" s="113">
        <f>VLOOKUP(C380,'Talente &amp; Stuff'!ER:FT,16,FALSE)</f>
        <v>0</v>
      </c>
      <c r="S380" s="113">
        <f>VLOOKUP(C380,'Talente &amp; Stuff'!ER:FT,17,FALSE)</f>
        <v>0</v>
      </c>
      <c r="T380" s="160">
        <f>VLOOKUP(C380,'Talente &amp; Stuff'!ER:FT,18,FALSE)</f>
        <v>0</v>
      </c>
      <c r="U380" s="47">
        <f>VLOOKUP(C380,'Talente &amp; Stuff'!ER:FT,19,FALSE)</f>
        <v>0</v>
      </c>
      <c r="V380" s="47">
        <f>VLOOKUP(C380,'Talente &amp; Stuff'!ER:FT,20,FALSE)</f>
        <v>0</v>
      </c>
      <c r="W380" s="47">
        <f>VLOOKUP(C380,'Talente &amp; Stuff'!ER:FT,21,FALSE)</f>
        <v>0</v>
      </c>
      <c r="X380" s="125">
        <f>VLOOKUP(C380,'Talente &amp; Stuff'!ER:FT,22,FALSE)</f>
        <v>0</v>
      </c>
      <c r="Y380" s="165">
        <f t="shared" si="28"/>
        <v>0</v>
      </c>
      <c r="Z380" s="44">
        <f t="shared" si="29"/>
        <v>0</v>
      </c>
      <c r="AA380" s="125">
        <f>VLOOKUP(C380,'Talente &amp; Stuff'!ER:FT,25,FALSE)</f>
        <v>0</v>
      </c>
      <c r="AB380" s="160">
        <f>VLOOKUP(C380,'Talente &amp; Stuff'!ER:FT,26,FALSE)</f>
        <v>0</v>
      </c>
      <c r="AC380" s="127">
        <f>VLOOKUP(C380,'Talente &amp; Stuff'!ER:FT,27,FALSE)</f>
        <v>0</v>
      </c>
      <c r="AD380" s="125">
        <f>VLOOKUP(C380,'Talente &amp; Stuff'!ER:FT,28,FALSE)</f>
        <v>0</v>
      </c>
      <c r="AE380" s="28"/>
    </row>
    <row r="381" spans="2:31" ht="15" hidden="1" customHeight="1" outlineLevel="2">
      <c r="B381" s="148">
        <v>6</v>
      </c>
      <c r="C381" s="177" t="str">
        <f>Attribute!C381</f>
        <v>---</v>
      </c>
      <c r="D381" s="86" t="str">
        <f>VLOOKUP(C381,'Talente &amp; Stuff'!ER:FT,2,FALSE)</f>
        <v>--/--/--</v>
      </c>
      <c r="E381" s="125" t="str">
        <f>VLOOKUP(C381,'Talente &amp; Stuff'!ER:FT,3,FALSE)</f>
        <v>-</v>
      </c>
      <c r="F381" s="113">
        <f>VLOOKUP(C381,'Talente &amp; Stuff'!ER:FT,4,FALSE)</f>
        <v>0</v>
      </c>
      <c r="G381" s="113">
        <f>VLOOKUP(C381,'Talente &amp; Stuff'!ER:FT,5,FALSE)</f>
        <v>0</v>
      </c>
      <c r="H381" s="113">
        <f>VLOOKUP(C381,'Talente &amp; Stuff'!ER:FT,6,FALSE)</f>
        <v>0</v>
      </c>
      <c r="I381" s="113">
        <f>VLOOKUP(C381,'Talente &amp; Stuff'!ER:FT,7,FALSE)</f>
        <v>0</v>
      </c>
      <c r="J381" s="113">
        <f>VLOOKUP(C381,'Talente &amp; Stuff'!ER:FT,8,FALSE)</f>
        <v>0</v>
      </c>
      <c r="K381" s="113">
        <f>VLOOKUP(C381,'Talente &amp; Stuff'!ER:FT,9,FALSE)</f>
        <v>0</v>
      </c>
      <c r="L381" s="113">
        <f>VLOOKUP(C381,'Talente &amp; Stuff'!ER:FT,10,FALSE)</f>
        <v>0</v>
      </c>
      <c r="M381" s="113">
        <f>VLOOKUP(C381,'Talente &amp; Stuff'!ER:FT,11,FALSE)</f>
        <v>0</v>
      </c>
      <c r="N381" s="89">
        <f>VLOOKUP(C381,'Talente &amp; Stuff'!ER:FT,12,FALSE)</f>
        <v>0</v>
      </c>
      <c r="O381" s="47">
        <f>VLOOKUP(C381,'Talente &amp; Stuff'!ER:FT,13,FALSE)</f>
        <v>0</v>
      </c>
      <c r="P381" s="119">
        <f>VLOOKUP(C381,'Talente &amp; Stuff'!ER:FT,14,FALSE)</f>
        <v>0</v>
      </c>
      <c r="Q381" s="113">
        <f>VLOOKUP(C381,'Talente &amp; Stuff'!ER:FT,15,FALSE)</f>
        <v>0</v>
      </c>
      <c r="R381" s="113">
        <f>VLOOKUP(C381,'Talente &amp; Stuff'!ER:FT,16,FALSE)</f>
        <v>0</v>
      </c>
      <c r="S381" s="113">
        <f>VLOOKUP(C381,'Talente &amp; Stuff'!ER:FT,17,FALSE)</f>
        <v>0</v>
      </c>
      <c r="T381" s="160">
        <f>VLOOKUP(C381,'Talente &amp; Stuff'!ER:FT,18,FALSE)</f>
        <v>0</v>
      </c>
      <c r="U381" s="47">
        <f>VLOOKUP(C381,'Talente &amp; Stuff'!ER:FT,19,FALSE)</f>
        <v>0</v>
      </c>
      <c r="V381" s="47">
        <f>VLOOKUP(C381,'Talente &amp; Stuff'!ER:FT,20,FALSE)</f>
        <v>0</v>
      </c>
      <c r="W381" s="47">
        <f>VLOOKUP(C381,'Talente &amp; Stuff'!ER:FT,21,FALSE)</f>
        <v>0</v>
      </c>
      <c r="X381" s="125">
        <f>VLOOKUP(C381,'Talente &amp; Stuff'!ER:FT,22,FALSE)</f>
        <v>0</v>
      </c>
      <c r="Y381" s="165">
        <f t="shared" si="28"/>
        <v>0</v>
      </c>
      <c r="Z381" s="44">
        <f t="shared" si="29"/>
        <v>0</v>
      </c>
      <c r="AA381" s="125">
        <f>VLOOKUP(C381,'Talente &amp; Stuff'!ER:FT,25,FALSE)</f>
        <v>0</v>
      </c>
      <c r="AB381" s="160">
        <f>VLOOKUP(C381,'Talente &amp; Stuff'!ER:FT,26,FALSE)</f>
        <v>0</v>
      </c>
      <c r="AC381" s="127">
        <f>VLOOKUP(C381,'Talente &amp; Stuff'!ER:FT,27,FALSE)</f>
        <v>0</v>
      </c>
      <c r="AD381" s="125">
        <f>VLOOKUP(C381,'Talente &amp; Stuff'!ER:FT,28,FALSE)</f>
        <v>0</v>
      </c>
      <c r="AE381" s="28"/>
    </row>
    <row r="382" spans="2:31" ht="15" hidden="1" customHeight="1" outlineLevel="2">
      <c r="B382" s="148">
        <v>7</v>
      </c>
      <c r="C382" s="177" t="str">
        <f>Attribute!C382</f>
        <v>---</v>
      </c>
      <c r="D382" s="86" t="str">
        <f>VLOOKUP(C382,'Talente &amp; Stuff'!ER:FT,2,FALSE)</f>
        <v>--/--/--</v>
      </c>
      <c r="E382" s="125" t="str">
        <f>VLOOKUP(C382,'Talente &amp; Stuff'!ER:FT,3,FALSE)</f>
        <v>-</v>
      </c>
      <c r="F382" s="113">
        <f>VLOOKUP(C382,'Talente &amp; Stuff'!ER:FT,4,FALSE)</f>
        <v>0</v>
      </c>
      <c r="G382" s="113">
        <f>VLOOKUP(C382,'Talente &amp; Stuff'!ER:FT,5,FALSE)</f>
        <v>0</v>
      </c>
      <c r="H382" s="113">
        <f>VLOOKUP(C382,'Talente &amp; Stuff'!ER:FT,6,FALSE)</f>
        <v>0</v>
      </c>
      <c r="I382" s="113">
        <f>VLOOKUP(C382,'Talente &amp; Stuff'!ER:FT,7,FALSE)</f>
        <v>0</v>
      </c>
      <c r="J382" s="113">
        <f>VLOOKUP(C382,'Talente &amp; Stuff'!ER:FT,8,FALSE)</f>
        <v>0</v>
      </c>
      <c r="K382" s="113">
        <f>VLOOKUP(C382,'Talente &amp; Stuff'!ER:FT,9,FALSE)</f>
        <v>0</v>
      </c>
      <c r="L382" s="113">
        <f>VLOOKUP(C382,'Talente &amp; Stuff'!ER:FT,10,FALSE)</f>
        <v>0</v>
      </c>
      <c r="M382" s="113">
        <f>VLOOKUP(C382,'Talente &amp; Stuff'!ER:FT,11,FALSE)</f>
        <v>0</v>
      </c>
      <c r="N382" s="89">
        <f>VLOOKUP(C382,'Talente &amp; Stuff'!ER:FT,12,FALSE)</f>
        <v>0</v>
      </c>
      <c r="O382" s="47">
        <f>VLOOKUP(C382,'Talente &amp; Stuff'!ER:FT,13,FALSE)</f>
        <v>0</v>
      </c>
      <c r="P382" s="119">
        <f>VLOOKUP(C382,'Talente &amp; Stuff'!ER:FT,14,FALSE)</f>
        <v>0</v>
      </c>
      <c r="Q382" s="113">
        <f>VLOOKUP(C382,'Talente &amp; Stuff'!ER:FT,15,FALSE)</f>
        <v>0</v>
      </c>
      <c r="R382" s="113">
        <f>VLOOKUP(C382,'Talente &amp; Stuff'!ER:FT,16,FALSE)</f>
        <v>0</v>
      </c>
      <c r="S382" s="113">
        <f>VLOOKUP(C382,'Talente &amp; Stuff'!ER:FT,17,FALSE)</f>
        <v>0</v>
      </c>
      <c r="T382" s="160">
        <f>VLOOKUP(C382,'Talente &amp; Stuff'!ER:FT,18,FALSE)</f>
        <v>0</v>
      </c>
      <c r="U382" s="47">
        <f>VLOOKUP(C382,'Talente &amp; Stuff'!ER:FT,19,FALSE)</f>
        <v>0</v>
      </c>
      <c r="V382" s="47">
        <f>VLOOKUP(C382,'Talente &amp; Stuff'!ER:FT,20,FALSE)</f>
        <v>0</v>
      </c>
      <c r="W382" s="47">
        <f>VLOOKUP(C382,'Talente &amp; Stuff'!ER:FT,21,FALSE)</f>
        <v>0</v>
      </c>
      <c r="X382" s="125">
        <f>VLOOKUP(C382,'Talente &amp; Stuff'!ER:FT,22,FALSE)</f>
        <v>0</v>
      </c>
      <c r="Y382" s="165">
        <f t="shared" si="28"/>
        <v>0</v>
      </c>
      <c r="Z382" s="44">
        <f t="shared" si="29"/>
        <v>0</v>
      </c>
      <c r="AA382" s="125">
        <f>VLOOKUP(C382,'Talente &amp; Stuff'!ER:FT,25,FALSE)</f>
        <v>0</v>
      </c>
      <c r="AB382" s="160">
        <f>VLOOKUP(C382,'Talente &amp; Stuff'!ER:FT,26,FALSE)</f>
        <v>0</v>
      </c>
      <c r="AC382" s="127">
        <f>VLOOKUP(C382,'Talente &amp; Stuff'!ER:FT,27,FALSE)</f>
        <v>0</v>
      </c>
      <c r="AD382" s="125">
        <f>VLOOKUP(C382,'Talente &amp; Stuff'!ER:FT,28,FALSE)</f>
        <v>0</v>
      </c>
      <c r="AE382" s="28"/>
    </row>
    <row r="383" spans="2:31" ht="15" hidden="1" customHeight="1" outlineLevel="2">
      <c r="B383" s="148">
        <v>8</v>
      </c>
      <c r="C383" s="177" t="str">
        <f>Attribute!C383</f>
        <v>---</v>
      </c>
      <c r="D383" s="86" t="str">
        <f>VLOOKUP(C383,'Talente &amp; Stuff'!ER:FT,2,FALSE)</f>
        <v>--/--/--</v>
      </c>
      <c r="E383" s="125" t="str">
        <f>VLOOKUP(C383,'Talente &amp; Stuff'!ER:FT,3,FALSE)</f>
        <v>-</v>
      </c>
      <c r="F383" s="113">
        <f>VLOOKUP(C383,'Talente &amp; Stuff'!ER:FT,4,FALSE)</f>
        <v>0</v>
      </c>
      <c r="G383" s="113">
        <f>VLOOKUP(C383,'Talente &amp; Stuff'!ER:FT,5,FALSE)</f>
        <v>0</v>
      </c>
      <c r="H383" s="113">
        <f>VLOOKUP(C383,'Talente &amp; Stuff'!ER:FT,6,FALSE)</f>
        <v>0</v>
      </c>
      <c r="I383" s="113">
        <f>VLOOKUP(C383,'Talente &amp; Stuff'!ER:FT,7,FALSE)</f>
        <v>0</v>
      </c>
      <c r="J383" s="113">
        <f>VLOOKUP(C383,'Talente &amp; Stuff'!ER:FT,8,FALSE)</f>
        <v>0</v>
      </c>
      <c r="K383" s="113">
        <f>VLOOKUP(C383,'Talente &amp; Stuff'!ER:FT,9,FALSE)</f>
        <v>0</v>
      </c>
      <c r="L383" s="113">
        <f>VLOOKUP(C383,'Talente &amp; Stuff'!ER:FT,10,FALSE)</f>
        <v>0</v>
      </c>
      <c r="M383" s="113">
        <f>VLOOKUP(C383,'Talente &amp; Stuff'!ER:FT,11,FALSE)</f>
        <v>0</v>
      </c>
      <c r="N383" s="89">
        <f>VLOOKUP(C383,'Talente &amp; Stuff'!ER:FT,12,FALSE)</f>
        <v>0</v>
      </c>
      <c r="O383" s="47">
        <f>VLOOKUP(C383,'Talente &amp; Stuff'!ER:FT,13,FALSE)</f>
        <v>0</v>
      </c>
      <c r="P383" s="119">
        <f>VLOOKUP(C383,'Talente &amp; Stuff'!ER:FT,14,FALSE)</f>
        <v>0</v>
      </c>
      <c r="Q383" s="113">
        <f>VLOOKUP(C383,'Talente &amp; Stuff'!ER:FT,15,FALSE)</f>
        <v>0</v>
      </c>
      <c r="R383" s="113">
        <f>VLOOKUP(C383,'Talente &amp; Stuff'!ER:FT,16,FALSE)</f>
        <v>0</v>
      </c>
      <c r="S383" s="113">
        <f>VLOOKUP(C383,'Talente &amp; Stuff'!ER:FT,17,FALSE)</f>
        <v>0</v>
      </c>
      <c r="T383" s="160">
        <f>VLOOKUP(C383,'Talente &amp; Stuff'!ER:FT,18,FALSE)</f>
        <v>0</v>
      </c>
      <c r="U383" s="47">
        <f>VLOOKUP(C383,'Talente &amp; Stuff'!ER:FT,19,FALSE)</f>
        <v>0</v>
      </c>
      <c r="V383" s="47">
        <f>VLOOKUP(C383,'Talente &amp; Stuff'!ER:FT,20,FALSE)</f>
        <v>0</v>
      </c>
      <c r="W383" s="47">
        <f>VLOOKUP(C383,'Talente &amp; Stuff'!ER:FT,21,FALSE)</f>
        <v>0</v>
      </c>
      <c r="X383" s="125">
        <f>VLOOKUP(C383,'Talente &amp; Stuff'!ER:FT,22,FALSE)</f>
        <v>0</v>
      </c>
      <c r="Y383" s="165">
        <f t="shared" si="28"/>
        <v>0</v>
      </c>
      <c r="Z383" s="44">
        <f t="shared" si="29"/>
        <v>0</v>
      </c>
      <c r="AA383" s="125">
        <f>VLOOKUP(C383,'Talente &amp; Stuff'!ER:FT,25,FALSE)</f>
        <v>0</v>
      </c>
      <c r="AB383" s="160">
        <f>VLOOKUP(C383,'Talente &amp; Stuff'!ER:FT,26,FALSE)</f>
        <v>0</v>
      </c>
      <c r="AC383" s="127">
        <f>VLOOKUP(C383,'Talente &amp; Stuff'!ER:FT,27,FALSE)</f>
        <v>0</v>
      </c>
      <c r="AD383" s="125">
        <f>VLOOKUP(C383,'Talente &amp; Stuff'!ER:FT,28,FALSE)</f>
        <v>0</v>
      </c>
      <c r="AE383" s="28"/>
    </row>
    <row r="384" spans="2:31" ht="15" hidden="1" customHeight="1" outlineLevel="2">
      <c r="B384" s="148">
        <v>9</v>
      </c>
      <c r="C384" s="177" t="str">
        <f>Attribute!C384</f>
        <v>---</v>
      </c>
      <c r="D384" s="86" t="str">
        <f>VLOOKUP(C384,'Talente &amp; Stuff'!ER:FT,2,FALSE)</f>
        <v>--/--/--</v>
      </c>
      <c r="E384" s="125" t="str">
        <f>VLOOKUP(C384,'Talente &amp; Stuff'!ER:FT,3,FALSE)</f>
        <v>-</v>
      </c>
      <c r="F384" s="113">
        <f>VLOOKUP(C384,'Talente &amp; Stuff'!ER:FT,4,FALSE)</f>
        <v>0</v>
      </c>
      <c r="G384" s="113">
        <f>VLOOKUP(C384,'Talente &amp; Stuff'!ER:FT,5,FALSE)</f>
        <v>0</v>
      </c>
      <c r="H384" s="113">
        <f>VLOOKUP(C384,'Talente &amp; Stuff'!ER:FT,6,FALSE)</f>
        <v>0</v>
      </c>
      <c r="I384" s="113">
        <f>VLOOKUP(C384,'Talente &amp; Stuff'!ER:FT,7,FALSE)</f>
        <v>0</v>
      </c>
      <c r="J384" s="113">
        <f>VLOOKUP(C384,'Talente &amp; Stuff'!ER:FT,8,FALSE)</f>
        <v>0</v>
      </c>
      <c r="K384" s="113">
        <f>VLOOKUP(C384,'Talente &amp; Stuff'!ER:FT,9,FALSE)</f>
        <v>0</v>
      </c>
      <c r="L384" s="113">
        <f>VLOOKUP(C384,'Talente &amp; Stuff'!ER:FT,10,FALSE)</f>
        <v>0</v>
      </c>
      <c r="M384" s="113">
        <f>VLOOKUP(C384,'Talente &amp; Stuff'!ER:FT,11,FALSE)</f>
        <v>0</v>
      </c>
      <c r="N384" s="89">
        <f>VLOOKUP(C384,'Talente &amp; Stuff'!ER:FT,12,FALSE)</f>
        <v>0</v>
      </c>
      <c r="O384" s="47">
        <f>VLOOKUP(C384,'Talente &amp; Stuff'!ER:FT,13,FALSE)</f>
        <v>0</v>
      </c>
      <c r="P384" s="119">
        <f>VLOOKUP(C384,'Talente &amp; Stuff'!ER:FT,14,FALSE)</f>
        <v>0</v>
      </c>
      <c r="Q384" s="113">
        <f>VLOOKUP(C384,'Talente &amp; Stuff'!ER:FT,15,FALSE)</f>
        <v>0</v>
      </c>
      <c r="R384" s="113">
        <f>VLOOKUP(C384,'Talente &amp; Stuff'!ER:FT,16,FALSE)</f>
        <v>0</v>
      </c>
      <c r="S384" s="113">
        <f>VLOOKUP(C384,'Talente &amp; Stuff'!ER:FT,17,FALSE)</f>
        <v>0</v>
      </c>
      <c r="T384" s="160">
        <f>VLOOKUP(C384,'Talente &amp; Stuff'!ER:FT,18,FALSE)</f>
        <v>0</v>
      </c>
      <c r="U384" s="47">
        <f>VLOOKUP(C384,'Talente &amp; Stuff'!ER:FT,19,FALSE)</f>
        <v>0</v>
      </c>
      <c r="V384" s="47">
        <f>VLOOKUP(C384,'Talente &amp; Stuff'!ER:FT,20,FALSE)</f>
        <v>0</v>
      </c>
      <c r="W384" s="47">
        <f>VLOOKUP(C384,'Talente &amp; Stuff'!ER:FT,21,FALSE)</f>
        <v>0</v>
      </c>
      <c r="X384" s="125">
        <f>VLOOKUP(C384,'Talente &amp; Stuff'!ER:FT,22,FALSE)</f>
        <v>0</v>
      </c>
      <c r="Y384" s="165">
        <f t="shared" si="28"/>
        <v>0</v>
      </c>
      <c r="Z384" s="44">
        <f t="shared" si="29"/>
        <v>0</v>
      </c>
      <c r="AA384" s="125">
        <f>VLOOKUP(C384,'Talente &amp; Stuff'!ER:FT,25,FALSE)</f>
        <v>0</v>
      </c>
      <c r="AB384" s="160">
        <f>VLOOKUP(C384,'Talente &amp; Stuff'!ER:FT,26,FALSE)</f>
        <v>0</v>
      </c>
      <c r="AC384" s="127">
        <f>VLOOKUP(C384,'Talente &amp; Stuff'!ER:FT,27,FALSE)</f>
        <v>0</v>
      </c>
      <c r="AD384" s="125">
        <f>VLOOKUP(C384,'Talente &amp; Stuff'!ER:FT,28,FALSE)</f>
        <v>0</v>
      </c>
      <c r="AE384" s="28"/>
    </row>
    <row r="385" spans="1:31" ht="15" hidden="1" customHeight="1" outlineLevel="2">
      <c r="B385" s="148">
        <v>10</v>
      </c>
      <c r="C385" s="177" t="str">
        <f>Attribute!C385</f>
        <v>---</v>
      </c>
      <c r="D385" s="86" t="str">
        <f>VLOOKUP(C385,'Talente &amp; Stuff'!ER:FT,2,FALSE)</f>
        <v>--/--/--</v>
      </c>
      <c r="E385" s="125" t="str">
        <f>VLOOKUP(C385,'Talente &amp; Stuff'!ER:FT,3,FALSE)</f>
        <v>-</v>
      </c>
      <c r="F385" s="113">
        <f>VLOOKUP(C385,'Talente &amp; Stuff'!ER:FT,4,FALSE)</f>
        <v>0</v>
      </c>
      <c r="G385" s="113">
        <f>VLOOKUP(C385,'Talente &amp; Stuff'!ER:FT,5,FALSE)</f>
        <v>0</v>
      </c>
      <c r="H385" s="113">
        <f>VLOOKUP(C385,'Talente &amp; Stuff'!ER:FT,6,FALSE)</f>
        <v>0</v>
      </c>
      <c r="I385" s="113">
        <f>VLOOKUP(C385,'Talente &amp; Stuff'!ER:FT,7,FALSE)</f>
        <v>0</v>
      </c>
      <c r="J385" s="113">
        <f>VLOOKUP(C385,'Talente &amp; Stuff'!ER:FT,8,FALSE)</f>
        <v>0</v>
      </c>
      <c r="K385" s="113">
        <f>VLOOKUP(C385,'Talente &amp; Stuff'!ER:FT,9,FALSE)</f>
        <v>0</v>
      </c>
      <c r="L385" s="113">
        <f>VLOOKUP(C385,'Talente &amp; Stuff'!ER:FT,10,FALSE)</f>
        <v>0</v>
      </c>
      <c r="M385" s="113">
        <f>VLOOKUP(C385,'Talente &amp; Stuff'!ER:FT,11,FALSE)</f>
        <v>0</v>
      </c>
      <c r="N385" s="89">
        <f>VLOOKUP(C385,'Talente &amp; Stuff'!ER:FT,12,FALSE)</f>
        <v>0</v>
      </c>
      <c r="O385" s="47">
        <f>VLOOKUP(C385,'Talente &amp; Stuff'!ER:FT,13,FALSE)</f>
        <v>0</v>
      </c>
      <c r="P385" s="119">
        <f>VLOOKUP(C385,'Talente &amp; Stuff'!ER:FT,14,FALSE)</f>
        <v>0</v>
      </c>
      <c r="Q385" s="113">
        <f>VLOOKUP(C385,'Talente &amp; Stuff'!ER:FT,15,FALSE)</f>
        <v>0</v>
      </c>
      <c r="R385" s="113">
        <f>VLOOKUP(C385,'Talente &amp; Stuff'!ER:FT,16,FALSE)</f>
        <v>0</v>
      </c>
      <c r="S385" s="113">
        <f>VLOOKUP(C385,'Talente &amp; Stuff'!ER:FT,17,FALSE)</f>
        <v>0</v>
      </c>
      <c r="T385" s="160">
        <f>VLOOKUP(C385,'Talente &amp; Stuff'!ER:FT,18,FALSE)</f>
        <v>0</v>
      </c>
      <c r="U385" s="47">
        <f>VLOOKUP(C385,'Talente &amp; Stuff'!ER:FT,19,FALSE)</f>
        <v>0</v>
      </c>
      <c r="V385" s="47">
        <f>VLOOKUP(C385,'Talente &amp; Stuff'!ER:FT,20,FALSE)</f>
        <v>0</v>
      </c>
      <c r="W385" s="47">
        <f>VLOOKUP(C385,'Talente &amp; Stuff'!ER:FT,21,FALSE)</f>
        <v>0</v>
      </c>
      <c r="X385" s="125">
        <f>VLOOKUP(C385,'Talente &amp; Stuff'!ER:FT,22,FALSE)</f>
        <v>0</v>
      </c>
      <c r="Y385" s="165">
        <f t="shared" si="28"/>
        <v>0</v>
      </c>
      <c r="Z385" s="44">
        <f t="shared" si="29"/>
        <v>0</v>
      </c>
      <c r="AA385" s="125">
        <f>VLOOKUP(C385,'Talente &amp; Stuff'!ER:FT,25,FALSE)</f>
        <v>0</v>
      </c>
      <c r="AB385" s="160">
        <f>VLOOKUP(C385,'Talente &amp; Stuff'!ER:FT,26,FALSE)</f>
        <v>0</v>
      </c>
      <c r="AC385" s="127">
        <f>VLOOKUP(C385,'Talente &amp; Stuff'!ER:FT,27,FALSE)</f>
        <v>0</v>
      </c>
      <c r="AD385" s="125">
        <f>VLOOKUP(C385,'Talente &amp; Stuff'!ER:FT,28,FALSE)</f>
        <v>0</v>
      </c>
      <c r="AE385" s="28"/>
    </row>
    <row r="386" spans="1:31" ht="15" hidden="1" customHeight="1" outlineLevel="2">
      <c r="B386" s="148">
        <v>11</v>
      </c>
      <c r="C386" s="177" t="str">
        <f>Attribute!C386</f>
        <v>---</v>
      </c>
      <c r="D386" s="87" t="str">
        <f>VLOOKUP(C386,'Talente &amp; Stuff'!ER:FT,2,FALSE)</f>
        <v>--/--/--</v>
      </c>
      <c r="E386" s="159" t="str">
        <f>VLOOKUP(C386,'Talente &amp; Stuff'!ER:FT,3,FALSE)</f>
        <v>-</v>
      </c>
      <c r="F386" s="122">
        <f>VLOOKUP(C386,'Talente &amp; Stuff'!ER:FT,4,FALSE)</f>
        <v>0</v>
      </c>
      <c r="G386" s="122">
        <f>VLOOKUP(C386,'Talente &amp; Stuff'!ER:FT,5,FALSE)</f>
        <v>0</v>
      </c>
      <c r="H386" s="122">
        <f>VLOOKUP(C386,'Talente &amp; Stuff'!ER:FT,6,FALSE)</f>
        <v>0</v>
      </c>
      <c r="I386" s="122">
        <f>VLOOKUP(C386,'Talente &amp; Stuff'!ER:FT,7,FALSE)</f>
        <v>0</v>
      </c>
      <c r="J386" s="122">
        <f>VLOOKUP(C386,'Talente &amp; Stuff'!ER:FT,8,FALSE)</f>
        <v>0</v>
      </c>
      <c r="K386" s="122">
        <f>VLOOKUP(C386,'Talente &amp; Stuff'!ER:FT,9,FALSE)</f>
        <v>0</v>
      </c>
      <c r="L386" s="122">
        <f>VLOOKUP(C386,'Talente &amp; Stuff'!ER:FT,10,FALSE)</f>
        <v>0</v>
      </c>
      <c r="M386" s="122">
        <f>VLOOKUP(C386,'Talente &amp; Stuff'!ER:FT,11,FALSE)</f>
        <v>0</v>
      </c>
      <c r="N386" s="90">
        <f>VLOOKUP(C386,'Talente &amp; Stuff'!ER:FT,12,FALSE)</f>
        <v>0</v>
      </c>
      <c r="O386" s="88">
        <f>VLOOKUP(C386,'Talente &amp; Stuff'!ER:FT,13,FALSE)</f>
        <v>0</v>
      </c>
      <c r="P386" s="123">
        <f>VLOOKUP(C386,'Talente &amp; Stuff'!ER:FT,14,FALSE)</f>
        <v>0</v>
      </c>
      <c r="Q386" s="122">
        <f>VLOOKUP(C386,'Talente &amp; Stuff'!ER:FT,15,FALSE)</f>
        <v>0</v>
      </c>
      <c r="R386" s="122">
        <f>VLOOKUP(C386,'Talente &amp; Stuff'!ER:FT,16,FALSE)</f>
        <v>0</v>
      </c>
      <c r="S386" s="122">
        <f>VLOOKUP(C386,'Talente &amp; Stuff'!ER:FT,17,FALSE)</f>
        <v>0</v>
      </c>
      <c r="T386" s="161">
        <f>VLOOKUP(C386,'Talente &amp; Stuff'!ER:FT,18,FALSE)</f>
        <v>0</v>
      </c>
      <c r="U386" s="88">
        <f>VLOOKUP(C386,'Talente &amp; Stuff'!ER:FT,19,FALSE)</f>
        <v>0</v>
      </c>
      <c r="V386" s="88">
        <f>VLOOKUP(C386,'Talente &amp; Stuff'!ER:FT,20,FALSE)</f>
        <v>0</v>
      </c>
      <c r="W386" s="88">
        <f>VLOOKUP(C386,'Talente &amp; Stuff'!ER:FT,21,FALSE)</f>
        <v>0</v>
      </c>
      <c r="X386" s="159">
        <f>VLOOKUP(C386,'Talente &amp; Stuff'!ER:FT,22,FALSE)</f>
        <v>0</v>
      </c>
      <c r="Y386" s="165">
        <f t="shared" si="28"/>
        <v>0</v>
      </c>
      <c r="Z386" s="44">
        <f t="shared" si="29"/>
        <v>0</v>
      </c>
      <c r="AA386" s="159">
        <f>VLOOKUP(C386,'Talente &amp; Stuff'!ER:FT,25,FALSE)</f>
        <v>0</v>
      </c>
      <c r="AB386" s="161">
        <f>VLOOKUP(C386,'Talente &amp; Stuff'!ER:FT,26,FALSE)</f>
        <v>0</v>
      </c>
      <c r="AC386" s="128">
        <f>VLOOKUP(C386,'Talente &amp; Stuff'!ER:FT,27,FALSE)</f>
        <v>0</v>
      </c>
      <c r="AD386" s="159">
        <f>VLOOKUP(C386,'Talente &amp; Stuff'!ER:FT,28,FALSE)</f>
        <v>0</v>
      </c>
      <c r="AE386" s="28"/>
    </row>
    <row r="387" spans="1:31" ht="15" hidden="1" customHeight="1" outlineLevel="1" collapsed="1">
      <c r="B387" s="134" t="s">
        <v>328</v>
      </c>
      <c r="C387" s="83"/>
      <c r="D387" s="84"/>
      <c r="E387" s="84"/>
    </row>
    <row r="388" spans="1:31" ht="15" hidden="1" customHeight="1" outlineLevel="2">
      <c r="B388" s="148">
        <v>1</v>
      </c>
      <c r="C388" s="176" t="str">
        <f>Attribute!C388</f>
        <v>---</v>
      </c>
      <c r="D388" s="85" t="str">
        <f>VLOOKUP(C388,'Talente &amp; Stuff'!ER:FT,2,FALSE)</f>
        <v>--/--/--</v>
      </c>
      <c r="E388" s="158" t="str">
        <f>VLOOKUP(C388,'Talente &amp; Stuff'!ER:FT,3,FALSE)</f>
        <v>-</v>
      </c>
      <c r="F388" s="118">
        <f>VLOOKUP(C388,'Talente &amp; Stuff'!ER:FT,4,FALSE)</f>
        <v>0</v>
      </c>
      <c r="G388" s="118">
        <f>VLOOKUP(C388,'Talente &amp; Stuff'!ER:FT,5,FALSE)</f>
        <v>0</v>
      </c>
      <c r="H388" s="118">
        <f>VLOOKUP(C388,'Talente &amp; Stuff'!ER:FT,6,FALSE)</f>
        <v>0</v>
      </c>
      <c r="I388" s="118">
        <f>VLOOKUP(C388,'Talente &amp; Stuff'!ER:FT,7,FALSE)</f>
        <v>0</v>
      </c>
      <c r="J388" s="118">
        <f>VLOOKUP(C388,'Talente &amp; Stuff'!ER:FT,8,FALSE)</f>
        <v>0</v>
      </c>
      <c r="K388" s="118">
        <f>VLOOKUP(C388,'Talente &amp; Stuff'!ER:FT,9,FALSE)</f>
        <v>0</v>
      </c>
      <c r="L388" s="118">
        <f>VLOOKUP(C388,'Talente &amp; Stuff'!ER:FT,10,FALSE)</f>
        <v>0</v>
      </c>
      <c r="M388" s="118">
        <f>VLOOKUP(C388,'Talente &amp; Stuff'!ER:FT,11,FALSE)</f>
        <v>0</v>
      </c>
      <c r="N388" s="193">
        <f>VLOOKUP(C388,'Talente &amp; Stuff'!ER:FT,12,FALSE)</f>
        <v>0</v>
      </c>
      <c r="O388" s="116">
        <f>VLOOKUP(C388,'Talente &amp; Stuff'!ER:FT,13,FALSE)</f>
        <v>0</v>
      </c>
      <c r="P388" s="92">
        <f>VLOOKUP(C388,'Talente &amp; Stuff'!ER:FT,14,FALSE)</f>
        <v>0</v>
      </c>
      <c r="Q388" s="118">
        <f>VLOOKUP(C388,'Talente &amp; Stuff'!ER:FT,15,FALSE)</f>
        <v>0</v>
      </c>
      <c r="R388" s="118">
        <f>VLOOKUP(C388,'Talente &amp; Stuff'!ER:FT,16,FALSE)</f>
        <v>0</v>
      </c>
      <c r="S388" s="118">
        <f>VLOOKUP(C388,'Talente &amp; Stuff'!ER:FT,17,FALSE)</f>
        <v>0</v>
      </c>
      <c r="T388" s="91">
        <f>VLOOKUP(C388,'Talente &amp; Stuff'!ER:FT,18,FALSE)</f>
        <v>0</v>
      </c>
      <c r="U388" s="116">
        <f>VLOOKUP(C388,'Talente &amp; Stuff'!ER:FT,19,FALSE)</f>
        <v>0</v>
      </c>
      <c r="V388" s="116">
        <f>VLOOKUP(C388,'Talente &amp; Stuff'!ER:FT,20,FALSE)</f>
        <v>0</v>
      </c>
      <c r="W388" s="116">
        <f>VLOOKUP(C388,'Talente &amp; Stuff'!ER:FT,21,FALSE)</f>
        <v>0</v>
      </c>
      <c r="X388" s="158">
        <f>VLOOKUP(C388,'Talente &amp; Stuff'!ER:FT,22,FALSE)</f>
        <v>0</v>
      </c>
      <c r="Y388" s="165">
        <f>VLOOKUP(C388,Ausgewählte_Rituale_Hexen,168,FALSE)</f>
        <v>0</v>
      </c>
      <c r="Z388" s="44">
        <f>VLOOKUP(C388,Ausgewählte_Rituale_Hexen,169,FALSE)</f>
        <v>0</v>
      </c>
      <c r="AA388" s="158">
        <f>VLOOKUP(C388,'Talente &amp; Stuff'!ER:FT,25,FALSE)</f>
        <v>0</v>
      </c>
      <c r="AB388" s="91">
        <f>VLOOKUP(C388,'Talente &amp; Stuff'!ER:FT,26,FALSE)</f>
        <v>0</v>
      </c>
      <c r="AC388" s="126">
        <f>VLOOKUP(C388,'Talente &amp; Stuff'!ER:FT,27,FALSE)</f>
        <v>0</v>
      </c>
      <c r="AD388" s="158">
        <f>VLOOKUP(C388,'Talente &amp; Stuff'!ER:FT,28,FALSE)</f>
        <v>0</v>
      </c>
      <c r="AE388" s="28"/>
    </row>
    <row r="389" spans="1:31" ht="15" hidden="1" customHeight="1" outlineLevel="2">
      <c r="B389" s="148">
        <v>2</v>
      </c>
      <c r="C389" s="178" t="str">
        <f>Attribute!C389</f>
        <v>---</v>
      </c>
      <c r="D389" s="87" t="str">
        <f>VLOOKUP(C389,'Talente &amp; Stuff'!ER:FT,2,FALSE)</f>
        <v>--/--/--</v>
      </c>
      <c r="E389" s="159" t="str">
        <f>VLOOKUP(C389,'Talente &amp; Stuff'!ER:FT,3,FALSE)</f>
        <v>-</v>
      </c>
      <c r="F389" s="122">
        <f>VLOOKUP(C389,'Talente &amp; Stuff'!ER:FT,4,FALSE)</f>
        <v>0</v>
      </c>
      <c r="G389" s="122">
        <f>VLOOKUP(C389,'Talente &amp; Stuff'!ER:FT,5,FALSE)</f>
        <v>0</v>
      </c>
      <c r="H389" s="122">
        <f>VLOOKUP(C389,'Talente &amp; Stuff'!ER:FT,6,FALSE)</f>
        <v>0</v>
      </c>
      <c r="I389" s="122">
        <f>VLOOKUP(C389,'Talente &amp; Stuff'!ER:FT,7,FALSE)</f>
        <v>0</v>
      </c>
      <c r="J389" s="122">
        <f>VLOOKUP(C389,'Talente &amp; Stuff'!ER:FT,8,FALSE)</f>
        <v>0</v>
      </c>
      <c r="K389" s="122">
        <f>VLOOKUP(C389,'Talente &amp; Stuff'!ER:FT,9,FALSE)</f>
        <v>0</v>
      </c>
      <c r="L389" s="122">
        <f>VLOOKUP(C389,'Talente &amp; Stuff'!ER:FT,10,FALSE)</f>
        <v>0</v>
      </c>
      <c r="M389" s="122">
        <f>VLOOKUP(C389,'Talente &amp; Stuff'!ER:FT,11,FALSE)</f>
        <v>0</v>
      </c>
      <c r="N389" s="90">
        <f>VLOOKUP(C389,'Talente &amp; Stuff'!ER:FT,12,FALSE)</f>
        <v>0</v>
      </c>
      <c r="O389" s="88">
        <f>VLOOKUP(C389,'Talente &amp; Stuff'!ER:FT,13,FALSE)</f>
        <v>0</v>
      </c>
      <c r="P389" s="123">
        <f>VLOOKUP(C389,'Talente &amp; Stuff'!ER:FT,14,FALSE)</f>
        <v>0</v>
      </c>
      <c r="Q389" s="122">
        <f>VLOOKUP(C389,'Talente &amp; Stuff'!ER:FT,15,FALSE)</f>
        <v>0</v>
      </c>
      <c r="R389" s="122">
        <f>VLOOKUP(C389,'Talente &amp; Stuff'!ER:FT,16,FALSE)</f>
        <v>0</v>
      </c>
      <c r="S389" s="122">
        <f>VLOOKUP(C389,'Talente &amp; Stuff'!ER:FT,17,FALSE)</f>
        <v>0</v>
      </c>
      <c r="T389" s="161">
        <f>VLOOKUP(C389,'Talente &amp; Stuff'!ER:FT,18,FALSE)</f>
        <v>0</v>
      </c>
      <c r="U389" s="88">
        <f>VLOOKUP(C389,'Talente &amp; Stuff'!ER:FT,19,FALSE)</f>
        <v>0</v>
      </c>
      <c r="V389" s="88">
        <f>VLOOKUP(C389,'Talente &amp; Stuff'!ER:FT,20,FALSE)</f>
        <v>0</v>
      </c>
      <c r="W389" s="88">
        <f>VLOOKUP(C389,'Talente &amp; Stuff'!ER:FT,21,FALSE)</f>
        <v>0</v>
      </c>
      <c r="X389" s="159">
        <f>VLOOKUP(C389,'Talente &amp; Stuff'!ER:FT,22,FALSE)</f>
        <v>0</v>
      </c>
      <c r="Y389" s="165">
        <f>VLOOKUP(C389,Ausgewählte_Rituale_Hexen,168,FALSE)</f>
        <v>0</v>
      </c>
      <c r="Z389" s="44">
        <f>VLOOKUP(C389,Ausgewählte_Rituale_Hexen,169,FALSE)</f>
        <v>0</v>
      </c>
      <c r="AA389" s="159">
        <f>VLOOKUP(C389,'Talente &amp; Stuff'!ER:FT,25,FALSE)</f>
        <v>0</v>
      </c>
      <c r="AB389" s="161">
        <f>VLOOKUP(C389,'Talente &amp; Stuff'!ER:FT,26,FALSE)</f>
        <v>0</v>
      </c>
      <c r="AC389" s="128">
        <f>VLOOKUP(C389,'Talente &amp; Stuff'!ER:FT,27,FALSE)</f>
        <v>0</v>
      </c>
      <c r="AD389" s="159">
        <f>VLOOKUP(C389,'Talente &amp; Stuff'!ER:FT,28,FALSE)</f>
        <v>0</v>
      </c>
      <c r="AE389" s="28"/>
    </row>
    <row r="390" spans="1:31" ht="15" hidden="1" customHeight="1" outlineLevel="1" collapsed="1">
      <c r="B390" s="134" t="s">
        <v>407</v>
      </c>
      <c r="C390" s="83"/>
      <c r="D390" s="84"/>
      <c r="E390" s="84"/>
    </row>
    <row r="391" spans="1:31" ht="15" hidden="1" customHeight="1" outlineLevel="2">
      <c r="B391" s="148">
        <v>1</v>
      </c>
      <c r="C391" s="176" t="str">
        <f>Attribute!C391</f>
        <v>---</v>
      </c>
      <c r="D391" s="186" t="str">
        <f>VLOOKUP(C391,'Talente &amp; Stuff'!ER:FT,2,FALSE)</f>
        <v>--/--/--</v>
      </c>
      <c r="E391" s="40" t="str">
        <f>VLOOKUP(C391,'Talente &amp; Stuff'!ER:FT,3,FALSE)</f>
        <v>-</v>
      </c>
      <c r="F391" s="183">
        <f>VLOOKUP(C391,'Talente &amp; Stuff'!ER:FT,4,FALSE)</f>
        <v>0</v>
      </c>
      <c r="G391" s="183">
        <f>VLOOKUP(C391,'Talente &amp; Stuff'!ER:FT,5,FALSE)</f>
        <v>0</v>
      </c>
      <c r="H391" s="183">
        <f>VLOOKUP(C391,'Talente &amp; Stuff'!ER:FT,6,FALSE)</f>
        <v>0</v>
      </c>
      <c r="I391" s="183">
        <f>VLOOKUP(C391,'Talente &amp; Stuff'!ER:FT,7,FALSE)</f>
        <v>0</v>
      </c>
      <c r="J391" s="183">
        <f>VLOOKUP(C391,'Talente &amp; Stuff'!ER:FT,8,FALSE)</f>
        <v>0</v>
      </c>
      <c r="K391" s="183">
        <f>VLOOKUP(C391,'Talente &amp; Stuff'!ER:FT,9,FALSE)</f>
        <v>0</v>
      </c>
      <c r="L391" s="183">
        <f>VLOOKUP(C391,'Talente &amp; Stuff'!ER:FT,10,FALSE)</f>
        <v>0</v>
      </c>
      <c r="M391" s="183">
        <f>VLOOKUP(C391,'Talente &amp; Stuff'!ER:FT,11,FALSE)</f>
        <v>0</v>
      </c>
      <c r="N391" s="166">
        <f>VLOOKUP(C391,'Talente &amp; Stuff'!ER:FT,12,FALSE)</f>
        <v>0</v>
      </c>
      <c r="O391" s="179">
        <f>VLOOKUP(C391,'Talente &amp; Stuff'!ER:FT,13,FALSE)</f>
        <v>0</v>
      </c>
      <c r="P391" s="180">
        <f>VLOOKUP(C391,'Talente &amp; Stuff'!ER:FT,14,FALSE)</f>
        <v>0</v>
      </c>
      <c r="Q391" s="183">
        <f>VLOOKUP(C391,'Talente &amp; Stuff'!ER:FT,15,FALSE)</f>
        <v>0</v>
      </c>
      <c r="R391" s="183">
        <f>VLOOKUP(C391,'Talente &amp; Stuff'!ER:FT,16,FALSE)</f>
        <v>0</v>
      </c>
      <c r="S391" s="183">
        <f>VLOOKUP(C391,'Talente &amp; Stuff'!ER:FT,17,FALSE)</f>
        <v>0</v>
      </c>
      <c r="T391" s="189">
        <f>VLOOKUP(C391,'Talente &amp; Stuff'!ER:FT,18,FALSE)</f>
        <v>0</v>
      </c>
      <c r="U391" s="179">
        <f>VLOOKUP(C391,'Talente &amp; Stuff'!ER:FT,19,FALSE)</f>
        <v>0</v>
      </c>
      <c r="V391" s="179">
        <f>VLOOKUP(C391,'Talente &amp; Stuff'!ER:FT,20,FALSE)</f>
        <v>0</v>
      </c>
      <c r="W391" s="179">
        <f>VLOOKUP(C391,'Talente &amp; Stuff'!ER:FT,21,FALSE)</f>
        <v>0</v>
      </c>
      <c r="X391" s="40">
        <f>VLOOKUP(C391,'Talente &amp; Stuff'!ER:FT,22,FALSE)</f>
        <v>0</v>
      </c>
      <c r="Y391" s="165">
        <f>VLOOKUP(C391,Ausgewählte_Rituale_Kristallomanten,168,FALSE)</f>
        <v>0</v>
      </c>
      <c r="Z391" s="44">
        <f>VLOOKUP(C391,Ausgewählte_Rituale_Kristallomanten,169,FALSE)</f>
        <v>0</v>
      </c>
      <c r="AA391" s="40">
        <f>VLOOKUP(C391,'Talente &amp; Stuff'!ER:FT,25,FALSE)</f>
        <v>0</v>
      </c>
      <c r="AB391" s="189">
        <f>VLOOKUP(C391,'Talente &amp; Stuff'!ER:FT,26,FALSE)</f>
        <v>0</v>
      </c>
      <c r="AC391" s="182">
        <f>VLOOKUP(C391,'Talente &amp; Stuff'!ER:FT,27,FALSE)</f>
        <v>0</v>
      </c>
      <c r="AD391" s="40">
        <f>VLOOKUP(C391,'Talente &amp; Stuff'!ER:FT,28,FALSE)</f>
        <v>0</v>
      </c>
      <c r="AE391" s="28"/>
    </row>
    <row r="392" spans="1:31" ht="15" hidden="1" customHeight="1" outlineLevel="1" collapsed="1">
      <c r="B392" s="134" t="s">
        <v>408</v>
      </c>
      <c r="C392" s="83"/>
      <c r="D392" s="84"/>
      <c r="E392" s="84"/>
    </row>
    <row r="393" spans="1:31" ht="15" hidden="1" customHeight="1" outlineLevel="2">
      <c r="B393" s="148">
        <v>1</v>
      </c>
      <c r="C393" s="176" t="str">
        <f>Attribute!C393</f>
        <v>---</v>
      </c>
      <c r="D393" s="85" t="str">
        <f>VLOOKUP(C393,'Talente &amp; Stuff'!ER:FT,2,FALSE)</f>
        <v>--/--/--</v>
      </c>
      <c r="E393" s="193" t="str">
        <f>VLOOKUP(C393,'Talente &amp; Stuff'!ER:FT,3,FALSE)</f>
        <v>-</v>
      </c>
      <c r="F393" s="191">
        <f>VLOOKUP(C393,'Talente &amp; Stuff'!ER:FT,4,FALSE)</f>
        <v>0</v>
      </c>
      <c r="G393" s="118">
        <f>VLOOKUP(C393,'Talente &amp; Stuff'!ER:FT,5,FALSE)</f>
        <v>0</v>
      </c>
      <c r="H393" s="118">
        <f>VLOOKUP(C393,'Talente &amp; Stuff'!ER:FT,6,FALSE)</f>
        <v>0</v>
      </c>
      <c r="I393" s="118">
        <f>VLOOKUP(C393,'Talente &amp; Stuff'!ER:FT,7,FALSE)</f>
        <v>0</v>
      </c>
      <c r="J393" s="118">
        <f>VLOOKUP(C393,'Talente &amp; Stuff'!ER:FT,8,FALSE)</f>
        <v>0</v>
      </c>
      <c r="K393" s="118">
        <f>VLOOKUP(C393,'Talente &amp; Stuff'!ER:FT,9,FALSE)</f>
        <v>0</v>
      </c>
      <c r="L393" s="118">
        <f>VLOOKUP(C393,'Talente &amp; Stuff'!ER:FT,10,FALSE)</f>
        <v>0</v>
      </c>
      <c r="M393" s="92">
        <f>VLOOKUP(C393,'Talente &amp; Stuff'!ER:FT,11,FALSE)</f>
        <v>0</v>
      </c>
      <c r="N393" s="193">
        <f>VLOOKUP(C393,'Talente &amp; Stuff'!ER:FT,12,FALSE)</f>
        <v>0</v>
      </c>
      <c r="O393" s="116">
        <f>VLOOKUP(C393,'Talente &amp; Stuff'!ER:FT,13,FALSE)</f>
        <v>0</v>
      </c>
      <c r="P393" s="92">
        <f>VLOOKUP(C393,'Talente &amp; Stuff'!ER:FT,14,FALSE)</f>
        <v>0</v>
      </c>
      <c r="Q393" s="191">
        <f>VLOOKUP(C393,'Talente &amp; Stuff'!ER:FT,15,FALSE)</f>
        <v>0</v>
      </c>
      <c r="R393" s="118">
        <f>VLOOKUP(C393,'Talente &amp; Stuff'!ER:FT,16,FALSE)</f>
        <v>0</v>
      </c>
      <c r="S393" s="92">
        <f>VLOOKUP(C393,'Talente &amp; Stuff'!ER:FT,17,FALSE)</f>
        <v>0</v>
      </c>
      <c r="T393" s="92">
        <f>VLOOKUP(C393,'Talente &amp; Stuff'!ER:FT,18,FALSE)</f>
        <v>0</v>
      </c>
      <c r="U393" s="193">
        <f>VLOOKUP(C393,'Talente &amp; Stuff'!ER:FT,19,FALSE)</f>
        <v>0</v>
      </c>
      <c r="V393" s="116">
        <f>VLOOKUP(C393,'Talente &amp; Stuff'!ER:FT,20,FALSE)</f>
        <v>0</v>
      </c>
      <c r="W393" s="126">
        <f>VLOOKUP(C393,'Talente &amp; Stuff'!ER:FT,21,FALSE)</f>
        <v>0</v>
      </c>
      <c r="X393" s="158">
        <f>VLOOKUP(C393,'Talente &amp; Stuff'!ER:FT,22,FALSE)</f>
        <v>0</v>
      </c>
      <c r="Y393" s="165">
        <f>VLOOKUP(C393,Ausgewählte_Rituale_Scharlatane,168,FALSE)</f>
        <v>0</v>
      </c>
      <c r="Z393" s="44">
        <f>VLOOKUP(C393,Ausgewählte_Rituale_Scharlatane,169,FALSE)</f>
        <v>0</v>
      </c>
      <c r="AA393" s="158">
        <f>VLOOKUP(C393,'Talente &amp; Stuff'!ER:FT,25,FALSE)</f>
        <v>0</v>
      </c>
      <c r="AB393" s="191">
        <f>VLOOKUP(C393,'Talente &amp; Stuff'!ER:FT,26,FALSE)</f>
        <v>0</v>
      </c>
      <c r="AC393" s="158">
        <f>VLOOKUP(C393,'Talente &amp; Stuff'!ER:FT,27,FALSE)</f>
        <v>0</v>
      </c>
      <c r="AD393" s="158">
        <f>VLOOKUP(C393,'Talente &amp; Stuff'!ER:FT,28,FALSE)</f>
        <v>0</v>
      </c>
      <c r="AE393" s="28"/>
    </row>
    <row r="394" spans="1:31" ht="15" hidden="1" customHeight="1" outlineLevel="2">
      <c r="B394" s="148">
        <v>2</v>
      </c>
      <c r="C394" s="177" t="str">
        <f>Attribute!C394</f>
        <v>---</v>
      </c>
      <c r="D394" s="86" t="str">
        <f>VLOOKUP(C394,'Talente &amp; Stuff'!ER:FT,2,FALSE)</f>
        <v>--/--/--</v>
      </c>
      <c r="E394" s="89" t="str">
        <f>VLOOKUP(C394,'Talente &amp; Stuff'!ER:FT,3,FALSE)</f>
        <v>-</v>
      </c>
      <c r="F394" s="114">
        <f>VLOOKUP(C394,'Talente &amp; Stuff'!ER:FT,4,FALSE)</f>
        <v>0</v>
      </c>
      <c r="G394" s="113">
        <f>VLOOKUP(C394,'Talente &amp; Stuff'!ER:FT,5,FALSE)</f>
        <v>0</v>
      </c>
      <c r="H394" s="113">
        <f>VLOOKUP(C394,'Talente &amp; Stuff'!ER:FT,6,FALSE)</f>
        <v>0</v>
      </c>
      <c r="I394" s="113">
        <f>VLOOKUP(C394,'Talente &amp; Stuff'!ER:FT,7,FALSE)</f>
        <v>0</v>
      </c>
      <c r="J394" s="113">
        <f>VLOOKUP(C394,'Talente &amp; Stuff'!ER:FT,8,FALSE)</f>
        <v>0</v>
      </c>
      <c r="K394" s="113">
        <f>VLOOKUP(C394,'Talente &amp; Stuff'!ER:FT,9,FALSE)</f>
        <v>0</v>
      </c>
      <c r="L394" s="113">
        <f>VLOOKUP(C394,'Talente &amp; Stuff'!ER:FT,10,FALSE)</f>
        <v>0</v>
      </c>
      <c r="M394" s="119">
        <f>VLOOKUP(C394,'Talente &amp; Stuff'!ER:FT,11,FALSE)</f>
        <v>0</v>
      </c>
      <c r="N394" s="89">
        <f>VLOOKUP(C394,'Talente &amp; Stuff'!ER:FT,12,FALSE)</f>
        <v>0</v>
      </c>
      <c r="O394" s="47">
        <f>VLOOKUP(C394,'Talente &amp; Stuff'!ER:FT,13,FALSE)</f>
        <v>0</v>
      </c>
      <c r="P394" s="119">
        <f>VLOOKUP(C394,'Talente &amp; Stuff'!ER:FT,14,FALSE)</f>
        <v>0</v>
      </c>
      <c r="Q394" s="114">
        <f>VLOOKUP(C394,'Talente &amp; Stuff'!ER:FT,15,FALSE)</f>
        <v>0</v>
      </c>
      <c r="R394" s="113">
        <f>VLOOKUP(C394,'Talente &amp; Stuff'!ER:FT,16,FALSE)</f>
        <v>0</v>
      </c>
      <c r="S394" s="119">
        <f>VLOOKUP(C394,'Talente &amp; Stuff'!ER:FT,17,FALSE)</f>
        <v>0</v>
      </c>
      <c r="T394" s="119">
        <f>VLOOKUP(C394,'Talente &amp; Stuff'!ER:FT,18,FALSE)</f>
        <v>0</v>
      </c>
      <c r="U394" s="89">
        <f>VLOOKUP(C394,'Talente &amp; Stuff'!ER:FT,19,FALSE)</f>
        <v>0</v>
      </c>
      <c r="V394" s="47">
        <f>VLOOKUP(C394,'Talente &amp; Stuff'!ER:FT,20,FALSE)</f>
        <v>0</v>
      </c>
      <c r="W394" s="127">
        <f>VLOOKUP(C394,'Talente &amp; Stuff'!ER:FT,21,FALSE)</f>
        <v>0</v>
      </c>
      <c r="X394" s="125">
        <f>VLOOKUP(C394,'Talente &amp; Stuff'!ER:FT,22,FALSE)</f>
        <v>0</v>
      </c>
      <c r="Y394" s="165">
        <f>VLOOKUP(C394,Ausgewählte_Rituale_Scharlatane,168,FALSE)</f>
        <v>0</v>
      </c>
      <c r="Z394" s="44">
        <f>VLOOKUP(C394,Ausgewählte_Rituale_Scharlatane,169,FALSE)</f>
        <v>0</v>
      </c>
      <c r="AA394" s="125">
        <f>VLOOKUP(C394,'Talente &amp; Stuff'!ER:FT,25,FALSE)</f>
        <v>0</v>
      </c>
      <c r="AB394" s="114">
        <f>VLOOKUP(C394,'Talente &amp; Stuff'!ER:FT,26,FALSE)</f>
        <v>0</v>
      </c>
      <c r="AC394" s="125">
        <f>VLOOKUP(C394,'Talente &amp; Stuff'!ER:FT,27,FALSE)</f>
        <v>0</v>
      </c>
      <c r="AD394" s="125">
        <f>VLOOKUP(C394,'Talente &amp; Stuff'!ER:FT,28,FALSE)</f>
        <v>0</v>
      </c>
      <c r="AE394" s="28"/>
    </row>
    <row r="395" spans="1:31" ht="15" hidden="1" customHeight="1" outlineLevel="2">
      <c r="B395" s="148">
        <v>3</v>
      </c>
      <c r="C395" s="177" t="str">
        <f>Attribute!C395</f>
        <v>---</v>
      </c>
      <c r="D395" s="87" t="str">
        <f>VLOOKUP(C395,'Talente &amp; Stuff'!ER:FT,2,FALSE)</f>
        <v>--/--/--</v>
      </c>
      <c r="E395" s="90" t="str">
        <f>VLOOKUP(C395,'Talente &amp; Stuff'!ER:FT,3,FALSE)</f>
        <v>-</v>
      </c>
      <c r="F395" s="115">
        <f>VLOOKUP(C395,'Talente &amp; Stuff'!ER:FT,4,FALSE)</f>
        <v>0</v>
      </c>
      <c r="G395" s="122">
        <f>VLOOKUP(C395,'Talente &amp; Stuff'!ER:FT,5,FALSE)</f>
        <v>0</v>
      </c>
      <c r="H395" s="122">
        <f>VLOOKUP(C395,'Talente &amp; Stuff'!ER:FT,6,FALSE)</f>
        <v>0</v>
      </c>
      <c r="I395" s="122">
        <f>VLOOKUP(C395,'Talente &amp; Stuff'!ER:FT,7,FALSE)</f>
        <v>0</v>
      </c>
      <c r="J395" s="122">
        <f>VLOOKUP(C395,'Talente &amp; Stuff'!ER:FT,8,FALSE)</f>
        <v>0</v>
      </c>
      <c r="K395" s="122">
        <f>VLOOKUP(C395,'Talente &amp; Stuff'!ER:FT,9,FALSE)</f>
        <v>0</v>
      </c>
      <c r="L395" s="122">
        <f>VLOOKUP(C395,'Talente &amp; Stuff'!ER:FT,10,FALSE)</f>
        <v>0</v>
      </c>
      <c r="M395" s="123">
        <f>VLOOKUP(C395,'Talente &amp; Stuff'!ER:FT,11,FALSE)</f>
        <v>0</v>
      </c>
      <c r="N395" s="90">
        <f>VLOOKUP(C395,'Talente &amp; Stuff'!ER:FT,12,FALSE)</f>
        <v>0</v>
      </c>
      <c r="O395" s="88">
        <f>VLOOKUP(C395,'Talente &amp; Stuff'!ER:FT,13,FALSE)</f>
        <v>0</v>
      </c>
      <c r="P395" s="123">
        <f>VLOOKUP(C395,'Talente &amp; Stuff'!ER:FT,14,FALSE)</f>
        <v>0</v>
      </c>
      <c r="Q395" s="115">
        <f>VLOOKUP(C395,'Talente &amp; Stuff'!ER:FT,15,FALSE)</f>
        <v>0</v>
      </c>
      <c r="R395" s="122">
        <f>VLOOKUP(C395,'Talente &amp; Stuff'!ER:FT,16,FALSE)</f>
        <v>0</v>
      </c>
      <c r="S395" s="123">
        <f>VLOOKUP(C395,'Talente &amp; Stuff'!ER:FT,17,FALSE)</f>
        <v>0</v>
      </c>
      <c r="T395" s="123">
        <f>VLOOKUP(C395,'Talente &amp; Stuff'!ER:FT,18,FALSE)</f>
        <v>0</v>
      </c>
      <c r="U395" s="90">
        <f>VLOOKUP(C395,'Talente &amp; Stuff'!ER:FT,19,FALSE)</f>
        <v>0</v>
      </c>
      <c r="V395" s="88">
        <f>VLOOKUP(C395,'Talente &amp; Stuff'!ER:FT,20,FALSE)</f>
        <v>0</v>
      </c>
      <c r="W395" s="128">
        <f>VLOOKUP(C395,'Talente &amp; Stuff'!ER:FT,21,FALSE)</f>
        <v>0</v>
      </c>
      <c r="X395" s="159">
        <f>VLOOKUP(C395,'Talente &amp; Stuff'!ER:FT,22,FALSE)</f>
        <v>0</v>
      </c>
      <c r="Y395" s="165">
        <f>VLOOKUP(C395,Ausgewählte_Rituale_Scharlatane,168,FALSE)</f>
        <v>0</v>
      </c>
      <c r="Z395" s="44">
        <f>VLOOKUP(C395,Ausgewählte_Rituale_Scharlatane,169,FALSE)</f>
        <v>0</v>
      </c>
      <c r="AA395" s="159">
        <f>VLOOKUP(C395,'Talente &amp; Stuff'!ER:FT,25,FALSE)</f>
        <v>0</v>
      </c>
      <c r="AB395" s="115">
        <f>VLOOKUP(C395,'Talente &amp; Stuff'!ER:FT,26,FALSE)</f>
        <v>0</v>
      </c>
      <c r="AC395" s="159">
        <f>VLOOKUP(C395,'Talente &amp; Stuff'!ER:FT,27,FALSE)</f>
        <v>0</v>
      </c>
      <c r="AD395" s="159">
        <f>VLOOKUP(C395,'Talente &amp; Stuff'!ER:FT,28,FALSE)</f>
        <v>0</v>
      </c>
      <c r="AE395" s="28"/>
    </row>
    <row r="396" spans="1:31" ht="15" hidden="1" customHeight="1" outlineLevel="1" collapsed="1"/>
    <row r="397" spans="1:31" ht="15.75" collapsed="1" thickBot="1"/>
    <row r="398" spans="1:31" ht="15.75" thickBot="1">
      <c r="A398" s="135" t="s">
        <v>234</v>
      </c>
    </row>
    <row r="399" spans="1:31" ht="15" hidden="1" customHeight="1" outlineLevel="1">
      <c r="B399" s="134" t="s">
        <v>327</v>
      </c>
    </row>
    <row r="400" spans="1:31" ht="15" hidden="1" customHeight="1" outlineLevel="2">
      <c r="B400" s="148">
        <v>1</v>
      </c>
      <c r="C400" s="176" t="str">
        <f>Attribute!C400</f>
        <v>---</v>
      </c>
      <c r="D400" s="158" t="str">
        <f>VLOOKUP(C400,'Talente &amp; Stuff'!ER:FT,2,FALSE)</f>
        <v>--/--/--</v>
      </c>
      <c r="E400" s="116" t="str">
        <f>VLOOKUP(C400,'Talente &amp; Stuff'!ER:FT,3,FALSE)</f>
        <v>-</v>
      </c>
      <c r="F400" s="191">
        <f>VLOOKUP(C400,'Talente &amp; Stuff'!ER:FT,4,FALSE)</f>
        <v>0</v>
      </c>
      <c r="G400" s="118">
        <f>VLOOKUP(C400,'Talente &amp; Stuff'!ER:FT,5,FALSE)</f>
        <v>0</v>
      </c>
      <c r="H400" s="118">
        <f>VLOOKUP(C400,'Talente &amp; Stuff'!ER:FT,6,FALSE)</f>
        <v>0</v>
      </c>
      <c r="I400" s="118">
        <f>VLOOKUP(C400,'Talente &amp; Stuff'!ER:FT,7,FALSE)</f>
        <v>0</v>
      </c>
      <c r="J400" s="118">
        <f>VLOOKUP(C400,'Talente &amp; Stuff'!ER:FT,8,FALSE)</f>
        <v>0</v>
      </c>
      <c r="K400" s="118">
        <f>VLOOKUP(C400,'Talente &amp; Stuff'!ER:FT,9,FALSE)</f>
        <v>0</v>
      </c>
      <c r="L400" s="118">
        <f>VLOOKUP(C400,'Talente &amp; Stuff'!ER:FT,10,FALSE)</f>
        <v>0</v>
      </c>
      <c r="M400" s="92">
        <f>VLOOKUP(C400,'Talente &amp; Stuff'!ER:FT,11,FALSE)</f>
        <v>0</v>
      </c>
      <c r="N400" s="116">
        <f>VLOOKUP(C400,'Talente &amp; Stuff'!ER:FT,12,FALSE)</f>
        <v>0</v>
      </c>
      <c r="O400" s="116">
        <f>VLOOKUP(C400,'Talente &amp; Stuff'!ER:FT,13,FALSE)</f>
        <v>0</v>
      </c>
      <c r="P400" s="118">
        <f>VLOOKUP(C400,'Talente &amp; Stuff'!ER:FT,14,FALSE)</f>
        <v>0</v>
      </c>
      <c r="Q400" s="191">
        <f>VLOOKUP(C400,'Talente &amp; Stuff'!ER:FT,15,FALSE)</f>
        <v>0</v>
      </c>
      <c r="R400" s="118">
        <f>VLOOKUP(C400,'Talente &amp; Stuff'!ER:FT,16,FALSE)</f>
        <v>0</v>
      </c>
      <c r="S400" s="92">
        <f>VLOOKUP(C400,'Talente &amp; Stuff'!ER:FT,17,FALSE)</f>
        <v>0</v>
      </c>
      <c r="T400" s="91">
        <f>VLOOKUP(C400,'Talente &amp; Stuff'!ER:FT,18,FALSE)</f>
        <v>0</v>
      </c>
      <c r="U400" s="193">
        <f>VLOOKUP(C400,'Talente &amp; Stuff'!ER:FT,19,FALSE)</f>
        <v>0</v>
      </c>
      <c r="V400" s="116">
        <f>VLOOKUP(C400,'Talente &amp; Stuff'!ER:FT,20,FALSE)</f>
        <v>0</v>
      </c>
      <c r="W400" s="126">
        <f>VLOOKUP(C400,'Talente &amp; Stuff'!ER:FT,21,FALSE)</f>
        <v>0</v>
      </c>
      <c r="X400" s="126">
        <f>VLOOKUP(C400,'Talente &amp; Stuff'!ER:FT,22,FALSE)</f>
        <v>0</v>
      </c>
      <c r="Y400" s="165">
        <f>VLOOKUP(C400,Ausgewählte_Liturgien_Allgemein,168,FALSE)</f>
        <v>0</v>
      </c>
      <c r="Z400" s="44">
        <f>VLOOKUP(C400,Ausgewählte_Liturgien_Allgemein,169,FALSE)</f>
        <v>0</v>
      </c>
      <c r="AA400" s="158">
        <f>VLOOKUP(C400,'Talente &amp; Stuff'!ER:FT,25,FALSE)</f>
        <v>0</v>
      </c>
      <c r="AB400" s="91">
        <f>VLOOKUP(C400,'Talente &amp; Stuff'!ER:FT,26,FALSE)</f>
        <v>0</v>
      </c>
      <c r="AC400" s="126">
        <f>VLOOKUP(C400,'Talente &amp; Stuff'!ER:FT,27,FALSE)</f>
        <v>0</v>
      </c>
      <c r="AD400" s="158">
        <f>VLOOKUP(C400,'Talente &amp; Stuff'!ER:FT,28,FALSE)</f>
        <v>0</v>
      </c>
      <c r="AE400" s="28"/>
    </row>
    <row r="401" spans="2:31" ht="15" hidden="1" customHeight="1" outlineLevel="2">
      <c r="B401" s="148">
        <v>2</v>
      </c>
      <c r="C401" s="177" t="str">
        <f>Attribute!C401</f>
        <v>---</v>
      </c>
      <c r="D401" s="125" t="str">
        <f>VLOOKUP(C401,'Talente &amp; Stuff'!ER:FT,2,FALSE)</f>
        <v>--/--/--</v>
      </c>
      <c r="E401" s="47" t="str">
        <f>VLOOKUP(C401,'Talente &amp; Stuff'!ER:FT,3,FALSE)</f>
        <v>-</v>
      </c>
      <c r="F401" s="114">
        <f>VLOOKUP(C401,'Talente &amp; Stuff'!ER:FT,4,FALSE)</f>
        <v>0</v>
      </c>
      <c r="G401" s="113">
        <f>VLOOKUP(C401,'Talente &amp; Stuff'!ER:FT,5,FALSE)</f>
        <v>0</v>
      </c>
      <c r="H401" s="113">
        <f>VLOOKUP(C401,'Talente &amp; Stuff'!ER:FT,6,FALSE)</f>
        <v>0</v>
      </c>
      <c r="I401" s="113">
        <f>VLOOKUP(C401,'Talente &amp; Stuff'!ER:FT,7,FALSE)</f>
        <v>0</v>
      </c>
      <c r="J401" s="113">
        <f>VLOOKUP(C401,'Talente &amp; Stuff'!ER:FT,8,FALSE)</f>
        <v>0</v>
      </c>
      <c r="K401" s="113">
        <f>VLOOKUP(C401,'Talente &amp; Stuff'!ER:FT,9,FALSE)</f>
        <v>0</v>
      </c>
      <c r="L401" s="113">
        <f>VLOOKUP(C401,'Talente &amp; Stuff'!ER:FT,10,FALSE)</f>
        <v>0</v>
      </c>
      <c r="M401" s="119">
        <f>VLOOKUP(C401,'Talente &amp; Stuff'!ER:FT,11,FALSE)</f>
        <v>0</v>
      </c>
      <c r="N401" s="47">
        <f>VLOOKUP(C401,'Talente &amp; Stuff'!ER:FT,12,FALSE)</f>
        <v>0</v>
      </c>
      <c r="O401" s="47">
        <f>VLOOKUP(C401,'Talente &amp; Stuff'!ER:FT,13,FALSE)</f>
        <v>0</v>
      </c>
      <c r="P401" s="113">
        <f>VLOOKUP(C401,'Talente &amp; Stuff'!ER:FT,14,FALSE)</f>
        <v>0</v>
      </c>
      <c r="Q401" s="114">
        <f>VLOOKUP(C401,'Talente &amp; Stuff'!ER:FT,15,FALSE)</f>
        <v>0</v>
      </c>
      <c r="R401" s="113">
        <f>VLOOKUP(C401,'Talente &amp; Stuff'!ER:FT,16,FALSE)</f>
        <v>0</v>
      </c>
      <c r="S401" s="119">
        <f>VLOOKUP(C401,'Talente &amp; Stuff'!ER:FT,17,FALSE)</f>
        <v>0</v>
      </c>
      <c r="T401" s="160">
        <f>VLOOKUP(C401,'Talente &amp; Stuff'!ER:FT,18,FALSE)</f>
        <v>0</v>
      </c>
      <c r="U401" s="89">
        <f>VLOOKUP(C401,'Talente &amp; Stuff'!ER:FT,19,FALSE)</f>
        <v>0</v>
      </c>
      <c r="V401" s="47">
        <f>VLOOKUP(C401,'Talente &amp; Stuff'!ER:FT,20,FALSE)</f>
        <v>0</v>
      </c>
      <c r="W401" s="127">
        <f>VLOOKUP(C401,'Talente &amp; Stuff'!ER:FT,21,FALSE)</f>
        <v>0</v>
      </c>
      <c r="X401" s="127">
        <f>VLOOKUP(C401,'Talente &amp; Stuff'!ER:FT,22,FALSE)</f>
        <v>0</v>
      </c>
      <c r="Y401" s="165">
        <f>VLOOKUP(C401,Ausgewählte_Liturgien_Allgemein,168,FALSE)</f>
        <v>0</v>
      </c>
      <c r="Z401" s="44">
        <f>VLOOKUP(C401,Ausgewählte_Liturgien_Allgemein,169,FALSE)</f>
        <v>0</v>
      </c>
      <c r="AA401" s="125">
        <f>VLOOKUP(C401,'Talente &amp; Stuff'!ER:FT,25,FALSE)</f>
        <v>0</v>
      </c>
      <c r="AB401" s="160">
        <f>VLOOKUP(C401,'Talente &amp; Stuff'!ER:FT,26,FALSE)</f>
        <v>0</v>
      </c>
      <c r="AC401" s="127">
        <f>VLOOKUP(C401,'Talente &amp; Stuff'!ER:FT,27,FALSE)</f>
        <v>0</v>
      </c>
      <c r="AD401" s="125">
        <f>VLOOKUP(C401,'Talente &amp; Stuff'!ER:FT,28,FALSE)</f>
        <v>0</v>
      </c>
      <c r="AE401" s="28"/>
    </row>
    <row r="402" spans="2:31" ht="15" hidden="1" customHeight="1" outlineLevel="2">
      <c r="B402" s="148">
        <v>3</v>
      </c>
      <c r="C402" s="178" t="str">
        <f>Attribute!C402</f>
        <v>---</v>
      </c>
      <c r="D402" s="159" t="str">
        <f>VLOOKUP(C402,'Talente &amp; Stuff'!ER:FT,2,FALSE)</f>
        <v>--/--/--</v>
      </c>
      <c r="E402" s="88" t="str">
        <f>VLOOKUP(C402,'Talente &amp; Stuff'!ER:FT,3,FALSE)</f>
        <v>-</v>
      </c>
      <c r="F402" s="115">
        <f>VLOOKUP(C402,'Talente &amp; Stuff'!ER:FT,4,FALSE)</f>
        <v>0</v>
      </c>
      <c r="G402" s="122">
        <f>VLOOKUP(C402,'Talente &amp; Stuff'!ER:FT,5,FALSE)</f>
        <v>0</v>
      </c>
      <c r="H402" s="122">
        <f>VLOOKUP(C402,'Talente &amp; Stuff'!ER:FT,6,FALSE)</f>
        <v>0</v>
      </c>
      <c r="I402" s="122">
        <f>VLOOKUP(C402,'Talente &amp; Stuff'!ER:FT,7,FALSE)</f>
        <v>0</v>
      </c>
      <c r="J402" s="122">
        <f>VLOOKUP(C402,'Talente &amp; Stuff'!ER:FT,8,FALSE)</f>
        <v>0</v>
      </c>
      <c r="K402" s="122">
        <f>VLOOKUP(C402,'Talente &amp; Stuff'!ER:FT,9,FALSE)</f>
        <v>0</v>
      </c>
      <c r="L402" s="122">
        <f>VLOOKUP(C402,'Talente &amp; Stuff'!ER:FT,10,FALSE)</f>
        <v>0</v>
      </c>
      <c r="M402" s="123">
        <f>VLOOKUP(C402,'Talente &amp; Stuff'!ER:FT,11,FALSE)</f>
        <v>0</v>
      </c>
      <c r="N402" s="88">
        <f>VLOOKUP(C402,'Talente &amp; Stuff'!ER:FT,12,FALSE)</f>
        <v>0</v>
      </c>
      <c r="O402" s="88">
        <f>VLOOKUP(C402,'Talente &amp; Stuff'!ER:FT,13,FALSE)</f>
        <v>0</v>
      </c>
      <c r="P402" s="122">
        <f>VLOOKUP(C402,'Talente &amp; Stuff'!ER:FT,14,FALSE)</f>
        <v>0</v>
      </c>
      <c r="Q402" s="115">
        <f>VLOOKUP(C402,'Talente &amp; Stuff'!ER:FT,15,FALSE)</f>
        <v>0</v>
      </c>
      <c r="R402" s="122">
        <f>VLOOKUP(C402,'Talente &amp; Stuff'!ER:FT,16,FALSE)</f>
        <v>0</v>
      </c>
      <c r="S402" s="123">
        <f>VLOOKUP(C402,'Talente &amp; Stuff'!ER:FT,17,FALSE)</f>
        <v>0</v>
      </c>
      <c r="T402" s="161">
        <f>VLOOKUP(C402,'Talente &amp; Stuff'!ER:FT,18,FALSE)</f>
        <v>0</v>
      </c>
      <c r="U402" s="90">
        <f>VLOOKUP(C402,'Talente &amp; Stuff'!ER:FT,19,FALSE)</f>
        <v>0</v>
      </c>
      <c r="V402" s="88">
        <f>VLOOKUP(C402,'Talente &amp; Stuff'!ER:FT,20,FALSE)</f>
        <v>0</v>
      </c>
      <c r="W402" s="128">
        <f>VLOOKUP(C402,'Talente &amp; Stuff'!ER:FT,21,FALSE)</f>
        <v>0</v>
      </c>
      <c r="X402" s="128">
        <f>VLOOKUP(C402,'Talente &amp; Stuff'!ER:FT,22,FALSE)</f>
        <v>0</v>
      </c>
      <c r="Y402" s="165">
        <f>VLOOKUP(C402,Ausgewählte_Liturgien_Allgemein,168,FALSE)</f>
        <v>0</v>
      </c>
      <c r="Z402" s="44">
        <f>VLOOKUP(C402,Ausgewählte_Liturgien_Allgemein,169,FALSE)</f>
        <v>0</v>
      </c>
      <c r="AA402" s="159">
        <f>VLOOKUP(C402,'Talente &amp; Stuff'!ER:FT,25,FALSE)</f>
        <v>0</v>
      </c>
      <c r="AB402" s="161">
        <f>VLOOKUP(C402,'Talente &amp; Stuff'!ER:FT,26,FALSE)</f>
        <v>0</v>
      </c>
      <c r="AC402" s="128">
        <f>VLOOKUP(C402,'Talente &amp; Stuff'!ER:FT,27,FALSE)</f>
        <v>0</v>
      </c>
      <c r="AD402" s="159">
        <f>VLOOKUP(C402,'Talente &amp; Stuff'!ER:FT,28,FALSE)</f>
        <v>0</v>
      </c>
      <c r="AE402" s="28"/>
    </row>
    <row r="403" spans="2:31" ht="15" hidden="1" customHeight="1" outlineLevel="1" collapsed="1">
      <c r="B403" s="134" t="s">
        <v>326</v>
      </c>
      <c r="C403" s="83"/>
      <c r="D403" s="84"/>
      <c r="E403" s="84"/>
    </row>
    <row r="404" spans="2:31" ht="15" hidden="1" customHeight="1" outlineLevel="2">
      <c r="B404" s="148">
        <v>1</v>
      </c>
      <c r="C404" s="176" t="str">
        <f>Attribute!C404</f>
        <v>---</v>
      </c>
      <c r="D404" s="158" t="str">
        <f>VLOOKUP(C404,'Talente &amp; Stuff'!ER:FT,2,FALSE)</f>
        <v>--/--/--</v>
      </c>
      <c r="E404" s="116" t="str">
        <f>VLOOKUP(C404,'Talente &amp; Stuff'!ER:FT,3,FALSE)</f>
        <v>-</v>
      </c>
      <c r="F404" s="191">
        <f>VLOOKUP(C404,'Talente &amp; Stuff'!ER:FT,4,FALSE)</f>
        <v>0</v>
      </c>
      <c r="G404" s="118">
        <f>VLOOKUP(C404,'Talente &amp; Stuff'!ER:FT,5,FALSE)</f>
        <v>0</v>
      </c>
      <c r="H404" s="118">
        <f>VLOOKUP(C404,'Talente &amp; Stuff'!ER:FT,6,FALSE)</f>
        <v>0</v>
      </c>
      <c r="I404" s="118">
        <f>VLOOKUP(C404,'Talente &amp; Stuff'!ER:FT,7,FALSE)</f>
        <v>0</v>
      </c>
      <c r="J404" s="118">
        <f>VLOOKUP(C404,'Talente &amp; Stuff'!ER:FT,8,FALSE)</f>
        <v>0</v>
      </c>
      <c r="K404" s="118">
        <f>VLOOKUP(C404,'Talente &amp; Stuff'!ER:FT,9,FALSE)</f>
        <v>0</v>
      </c>
      <c r="L404" s="118">
        <f>VLOOKUP(C404,'Talente &amp; Stuff'!ER:FT,10,FALSE)</f>
        <v>0</v>
      </c>
      <c r="M404" s="92">
        <f>VLOOKUP(C404,'Talente &amp; Stuff'!ER:FT,11,FALSE)</f>
        <v>0</v>
      </c>
      <c r="N404" s="116">
        <f>VLOOKUP(C404,'Talente &amp; Stuff'!ER:FT,12,FALSE)</f>
        <v>0</v>
      </c>
      <c r="O404" s="116">
        <f>VLOOKUP(C404,'Talente &amp; Stuff'!ER:FT,13,FALSE)</f>
        <v>0</v>
      </c>
      <c r="P404" s="118">
        <f>VLOOKUP(C404,'Talente &amp; Stuff'!ER:FT,14,FALSE)</f>
        <v>0</v>
      </c>
      <c r="Q404" s="191">
        <f>VLOOKUP(C404,'Talente &amp; Stuff'!ER:FT,15,FALSE)</f>
        <v>0</v>
      </c>
      <c r="R404" s="118">
        <f>VLOOKUP(C404,'Talente &amp; Stuff'!ER:FT,16,FALSE)</f>
        <v>0</v>
      </c>
      <c r="S404" s="92">
        <f>VLOOKUP(C404,'Talente &amp; Stuff'!ER:FT,17,FALSE)</f>
        <v>0</v>
      </c>
      <c r="T404" s="91">
        <f>VLOOKUP(C404,'Talente &amp; Stuff'!ER:FT,18,FALSE)</f>
        <v>0</v>
      </c>
      <c r="U404" s="193">
        <f>VLOOKUP(C404,'Talente &amp; Stuff'!ER:FT,19,FALSE)</f>
        <v>0</v>
      </c>
      <c r="V404" s="116">
        <f>VLOOKUP(C404,'Talente &amp; Stuff'!ER:FT,20,FALSE)</f>
        <v>0</v>
      </c>
      <c r="W404" s="126">
        <f>VLOOKUP(C404,'Talente &amp; Stuff'!ER:FT,21,FALSE)</f>
        <v>0</v>
      </c>
      <c r="X404" s="126">
        <f>VLOOKUP(C404,'Talente &amp; Stuff'!ER:FT,22,FALSE)</f>
        <v>0</v>
      </c>
      <c r="Y404" s="165">
        <f t="shared" ref="Y404:Y409" si="30">VLOOKUP(C404,Ausgewählte_Liturgien_Boron,168,FALSE)</f>
        <v>0</v>
      </c>
      <c r="Z404" s="44">
        <f t="shared" ref="Z404:Z409" si="31">VLOOKUP(C404,Ausgewählte_Liturgien_Boron,169,FALSE)</f>
        <v>0</v>
      </c>
      <c r="AA404" s="158">
        <f>VLOOKUP(C404,'Talente &amp; Stuff'!ER:FT,25,FALSE)</f>
        <v>0</v>
      </c>
      <c r="AB404" s="91">
        <f>VLOOKUP(C404,'Talente &amp; Stuff'!ER:FT,26,FALSE)</f>
        <v>0</v>
      </c>
      <c r="AC404" s="126">
        <f>VLOOKUP(C404,'Talente &amp; Stuff'!ER:FT,27,FALSE)</f>
        <v>0</v>
      </c>
      <c r="AD404" s="158">
        <f>VLOOKUP(C404,'Talente &amp; Stuff'!ER:FT,28,FALSE)</f>
        <v>0</v>
      </c>
      <c r="AE404" s="28"/>
    </row>
    <row r="405" spans="2:31" ht="15" hidden="1" customHeight="1" outlineLevel="2">
      <c r="B405" s="148">
        <v>2</v>
      </c>
      <c r="C405" s="177" t="str">
        <f>Attribute!C405</f>
        <v>---</v>
      </c>
      <c r="D405" s="125" t="str">
        <f>VLOOKUP(C405,'Talente &amp; Stuff'!ER:FT,2,FALSE)</f>
        <v>--/--/--</v>
      </c>
      <c r="E405" s="47" t="str">
        <f>VLOOKUP(C405,'Talente &amp; Stuff'!ER:FT,3,FALSE)</f>
        <v>-</v>
      </c>
      <c r="F405" s="114">
        <f>VLOOKUP(C405,'Talente &amp; Stuff'!ER:FT,4,FALSE)</f>
        <v>0</v>
      </c>
      <c r="G405" s="113">
        <f>VLOOKUP(C405,'Talente &amp; Stuff'!ER:FT,5,FALSE)</f>
        <v>0</v>
      </c>
      <c r="H405" s="113">
        <f>VLOOKUP(C405,'Talente &amp; Stuff'!ER:FT,6,FALSE)</f>
        <v>0</v>
      </c>
      <c r="I405" s="113">
        <f>VLOOKUP(C405,'Talente &amp; Stuff'!ER:FT,7,FALSE)</f>
        <v>0</v>
      </c>
      <c r="J405" s="113">
        <f>VLOOKUP(C405,'Talente &amp; Stuff'!ER:FT,8,FALSE)</f>
        <v>0</v>
      </c>
      <c r="K405" s="113">
        <f>VLOOKUP(C405,'Talente &amp; Stuff'!ER:FT,9,FALSE)</f>
        <v>0</v>
      </c>
      <c r="L405" s="113">
        <f>VLOOKUP(C405,'Talente &amp; Stuff'!ER:FT,10,FALSE)</f>
        <v>0</v>
      </c>
      <c r="M405" s="119">
        <f>VLOOKUP(C405,'Talente &amp; Stuff'!ER:FT,11,FALSE)</f>
        <v>0</v>
      </c>
      <c r="N405" s="47">
        <f>VLOOKUP(C405,'Talente &amp; Stuff'!ER:FT,12,FALSE)</f>
        <v>0</v>
      </c>
      <c r="O405" s="47">
        <f>VLOOKUP(C405,'Talente &amp; Stuff'!ER:FT,13,FALSE)</f>
        <v>0</v>
      </c>
      <c r="P405" s="113">
        <f>VLOOKUP(C405,'Talente &amp; Stuff'!ER:FT,14,FALSE)</f>
        <v>0</v>
      </c>
      <c r="Q405" s="114">
        <f>VLOOKUP(C405,'Talente &amp; Stuff'!ER:FT,15,FALSE)</f>
        <v>0</v>
      </c>
      <c r="R405" s="113">
        <f>VLOOKUP(C405,'Talente &amp; Stuff'!ER:FT,16,FALSE)</f>
        <v>0</v>
      </c>
      <c r="S405" s="119">
        <f>VLOOKUP(C405,'Talente &amp; Stuff'!ER:FT,17,FALSE)</f>
        <v>0</v>
      </c>
      <c r="T405" s="160">
        <f>VLOOKUP(C405,'Talente &amp; Stuff'!ER:FT,18,FALSE)</f>
        <v>0</v>
      </c>
      <c r="U405" s="89">
        <f>VLOOKUP(C405,'Talente &amp; Stuff'!ER:FT,19,FALSE)</f>
        <v>0</v>
      </c>
      <c r="V405" s="47">
        <f>VLOOKUP(C405,'Talente &amp; Stuff'!ER:FT,20,FALSE)</f>
        <v>0</v>
      </c>
      <c r="W405" s="127">
        <f>VLOOKUP(C405,'Talente &amp; Stuff'!ER:FT,21,FALSE)</f>
        <v>0</v>
      </c>
      <c r="X405" s="127">
        <f>VLOOKUP(C405,'Talente &amp; Stuff'!ER:FT,22,FALSE)</f>
        <v>0</v>
      </c>
      <c r="Y405" s="165">
        <f t="shared" si="30"/>
        <v>0</v>
      </c>
      <c r="Z405" s="44">
        <f t="shared" si="31"/>
        <v>0</v>
      </c>
      <c r="AA405" s="125">
        <f>VLOOKUP(C405,'Talente &amp; Stuff'!ER:FT,25,FALSE)</f>
        <v>0</v>
      </c>
      <c r="AB405" s="160">
        <f>VLOOKUP(C405,'Talente &amp; Stuff'!ER:FT,26,FALSE)</f>
        <v>0</v>
      </c>
      <c r="AC405" s="127">
        <f>VLOOKUP(C405,'Talente &amp; Stuff'!ER:FT,27,FALSE)</f>
        <v>0</v>
      </c>
      <c r="AD405" s="125">
        <f>VLOOKUP(C405,'Talente &amp; Stuff'!ER:FT,28,FALSE)</f>
        <v>0</v>
      </c>
      <c r="AE405" s="28"/>
    </row>
    <row r="406" spans="2:31" ht="15" hidden="1" customHeight="1" outlineLevel="2">
      <c r="B406" s="148">
        <v>3</v>
      </c>
      <c r="C406" s="177" t="str">
        <f>Attribute!C406</f>
        <v>---</v>
      </c>
      <c r="D406" s="125" t="str">
        <f>VLOOKUP(C406,'Talente &amp; Stuff'!ER:FT,2,FALSE)</f>
        <v>--/--/--</v>
      </c>
      <c r="E406" s="47" t="str">
        <f>VLOOKUP(C406,'Talente &amp; Stuff'!ER:FT,3,FALSE)</f>
        <v>-</v>
      </c>
      <c r="F406" s="114">
        <f>VLOOKUP(C406,'Talente &amp; Stuff'!ER:FT,4,FALSE)</f>
        <v>0</v>
      </c>
      <c r="G406" s="113">
        <f>VLOOKUP(C406,'Talente &amp; Stuff'!ER:FT,5,FALSE)</f>
        <v>0</v>
      </c>
      <c r="H406" s="113">
        <f>VLOOKUP(C406,'Talente &amp; Stuff'!ER:FT,6,FALSE)</f>
        <v>0</v>
      </c>
      <c r="I406" s="113">
        <f>VLOOKUP(C406,'Talente &amp; Stuff'!ER:FT,7,FALSE)</f>
        <v>0</v>
      </c>
      <c r="J406" s="113">
        <f>VLOOKUP(C406,'Talente &amp; Stuff'!ER:FT,8,FALSE)</f>
        <v>0</v>
      </c>
      <c r="K406" s="113">
        <f>VLOOKUP(C406,'Talente &amp; Stuff'!ER:FT,9,FALSE)</f>
        <v>0</v>
      </c>
      <c r="L406" s="113">
        <f>VLOOKUP(C406,'Talente &amp; Stuff'!ER:FT,10,FALSE)</f>
        <v>0</v>
      </c>
      <c r="M406" s="119">
        <f>VLOOKUP(C406,'Talente &amp; Stuff'!ER:FT,11,FALSE)</f>
        <v>0</v>
      </c>
      <c r="N406" s="47">
        <f>VLOOKUP(C406,'Talente &amp; Stuff'!ER:FT,12,FALSE)</f>
        <v>0</v>
      </c>
      <c r="O406" s="47">
        <f>VLOOKUP(C406,'Talente &amp; Stuff'!ER:FT,13,FALSE)</f>
        <v>0</v>
      </c>
      <c r="P406" s="113">
        <f>VLOOKUP(C406,'Talente &amp; Stuff'!ER:FT,14,FALSE)</f>
        <v>0</v>
      </c>
      <c r="Q406" s="114">
        <f>VLOOKUP(C406,'Talente &amp; Stuff'!ER:FT,15,FALSE)</f>
        <v>0</v>
      </c>
      <c r="R406" s="113">
        <f>VLOOKUP(C406,'Talente &amp; Stuff'!ER:FT,16,FALSE)</f>
        <v>0</v>
      </c>
      <c r="S406" s="119">
        <f>VLOOKUP(C406,'Talente &amp; Stuff'!ER:FT,17,FALSE)</f>
        <v>0</v>
      </c>
      <c r="T406" s="160">
        <f>VLOOKUP(C406,'Talente &amp; Stuff'!ER:FT,18,FALSE)</f>
        <v>0</v>
      </c>
      <c r="U406" s="89">
        <f>VLOOKUP(C406,'Talente &amp; Stuff'!ER:FT,19,FALSE)</f>
        <v>0</v>
      </c>
      <c r="V406" s="47">
        <f>VLOOKUP(C406,'Talente &amp; Stuff'!ER:FT,20,FALSE)</f>
        <v>0</v>
      </c>
      <c r="W406" s="127">
        <f>VLOOKUP(C406,'Talente &amp; Stuff'!ER:FT,21,FALSE)</f>
        <v>0</v>
      </c>
      <c r="X406" s="127">
        <f>VLOOKUP(C406,'Talente &amp; Stuff'!ER:FT,22,FALSE)</f>
        <v>0</v>
      </c>
      <c r="Y406" s="165">
        <f t="shared" si="30"/>
        <v>0</v>
      </c>
      <c r="Z406" s="44">
        <f t="shared" si="31"/>
        <v>0</v>
      </c>
      <c r="AA406" s="125">
        <f>VLOOKUP(C406,'Talente &amp; Stuff'!ER:FT,25,FALSE)</f>
        <v>0</v>
      </c>
      <c r="AB406" s="160">
        <f>VLOOKUP(C406,'Talente &amp; Stuff'!ER:FT,26,FALSE)</f>
        <v>0</v>
      </c>
      <c r="AC406" s="127">
        <f>VLOOKUP(C406,'Talente &amp; Stuff'!ER:FT,27,FALSE)</f>
        <v>0</v>
      </c>
      <c r="AD406" s="125">
        <f>VLOOKUP(C406,'Talente &amp; Stuff'!ER:FT,28,FALSE)</f>
        <v>0</v>
      </c>
      <c r="AE406" s="28"/>
    </row>
    <row r="407" spans="2:31" ht="15" hidden="1" customHeight="1" outlineLevel="2">
      <c r="B407" s="148">
        <v>4</v>
      </c>
      <c r="C407" s="177" t="str">
        <f>Attribute!C407</f>
        <v>---</v>
      </c>
      <c r="D407" s="125" t="str">
        <f>VLOOKUP(C407,'Talente &amp; Stuff'!ER:FT,2,FALSE)</f>
        <v>--/--/--</v>
      </c>
      <c r="E407" s="47" t="str">
        <f>VLOOKUP(C407,'Talente &amp; Stuff'!ER:FT,3,FALSE)</f>
        <v>-</v>
      </c>
      <c r="F407" s="114">
        <f>VLOOKUP(C407,'Talente &amp; Stuff'!ER:FT,4,FALSE)</f>
        <v>0</v>
      </c>
      <c r="G407" s="113">
        <f>VLOOKUP(C407,'Talente &amp; Stuff'!ER:FT,5,FALSE)</f>
        <v>0</v>
      </c>
      <c r="H407" s="113">
        <f>VLOOKUP(C407,'Talente &amp; Stuff'!ER:FT,6,FALSE)</f>
        <v>0</v>
      </c>
      <c r="I407" s="113">
        <f>VLOOKUP(C407,'Talente &amp; Stuff'!ER:FT,7,FALSE)</f>
        <v>0</v>
      </c>
      <c r="J407" s="113">
        <f>VLOOKUP(C407,'Talente &amp; Stuff'!ER:FT,8,FALSE)</f>
        <v>0</v>
      </c>
      <c r="K407" s="113">
        <f>VLOOKUP(C407,'Talente &amp; Stuff'!ER:FT,9,FALSE)</f>
        <v>0</v>
      </c>
      <c r="L407" s="113">
        <f>VLOOKUP(C407,'Talente &amp; Stuff'!ER:FT,10,FALSE)</f>
        <v>0</v>
      </c>
      <c r="M407" s="119">
        <f>VLOOKUP(C407,'Talente &amp; Stuff'!ER:FT,11,FALSE)</f>
        <v>0</v>
      </c>
      <c r="N407" s="47">
        <f>VLOOKUP(C407,'Talente &amp; Stuff'!ER:FT,12,FALSE)</f>
        <v>0</v>
      </c>
      <c r="O407" s="47">
        <f>VLOOKUP(C407,'Talente &amp; Stuff'!ER:FT,13,FALSE)</f>
        <v>0</v>
      </c>
      <c r="P407" s="113">
        <f>VLOOKUP(C407,'Talente &amp; Stuff'!ER:FT,14,FALSE)</f>
        <v>0</v>
      </c>
      <c r="Q407" s="114">
        <f>VLOOKUP(C407,'Talente &amp; Stuff'!ER:FT,15,FALSE)</f>
        <v>0</v>
      </c>
      <c r="R407" s="113">
        <f>VLOOKUP(C407,'Talente &amp; Stuff'!ER:FT,16,FALSE)</f>
        <v>0</v>
      </c>
      <c r="S407" s="119">
        <f>VLOOKUP(C407,'Talente &amp; Stuff'!ER:FT,17,FALSE)</f>
        <v>0</v>
      </c>
      <c r="T407" s="160">
        <f>VLOOKUP(C407,'Talente &amp; Stuff'!ER:FT,18,FALSE)</f>
        <v>0</v>
      </c>
      <c r="U407" s="89">
        <f>VLOOKUP(C407,'Talente &amp; Stuff'!ER:FT,19,FALSE)</f>
        <v>0</v>
      </c>
      <c r="V407" s="47">
        <f>VLOOKUP(C407,'Talente &amp; Stuff'!ER:FT,20,FALSE)</f>
        <v>0</v>
      </c>
      <c r="W407" s="127">
        <f>VLOOKUP(C407,'Talente &amp; Stuff'!ER:FT,21,FALSE)</f>
        <v>0</v>
      </c>
      <c r="X407" s="127">
        <f>VLOOKUP(C407,'Talente &amp; Stuff'!ER:FT,22,FALSE)</f>
        <v>0</v>
      </c>
      <c r="Y407" s="165">
        <f t="shared" si="30"/>
        <v>0</v>
      </c>
      <c r="Z407" s="44">
        <f t="shared" si="31"/>
        <v>0</v>
      </c>
      <c r="AA407" s="125">
        <f>VLOOKUP(C407,'Talente &amp; Stuff'!ER:FT,25,FALSE)</f>
        <v>0</v>
      </c>
      <c r="AB407" s="160">
        <f>VLOOKUP(C407,'Talente &amp; Stuff'!ER:FT,26,FALSE)</f>
        <v>0</v>
      </c>
      <c r="AC407" s="127">
        <f>VLOOKUP(C407,'Talente &amp; Stuff'!ER:FT,27,FALSE)</f>
        <v>0</v>
      </c>
      <c r="AD407" s="125">
        <f>VLOOKUP(C407,'Talente &amp; Stuff'!ER:FT,28,FALSE)</f>
        <v>0</v>
      </c>
      <c r="AE407" s="28"/>
    </row>
    <row r="408" spans="2:31" ht="15" hidden="1" customHeight="1" outlineLevel="2">
      <c r="B408" s="148">
        <v>5</v>
      </c>
      <c r="C408" s="177" t="str">
        <f>Attribute!C408</f>
        <v>---</v>
      </c>
      <c r="D408" s="125" t="str">
        <f>VLOOKUP(C408,'Talente &amp; Stuff'!ER:FT,2,FALSE)</f>
        <v>--/--/--</v>
      </c>
      <c r="E408" s="47" t="str">
        <f>VLOOKUP(C408,'Talente &amp; Stuff'!ER:FT,3,FALSE)</f>
        <v>-</v>
      </c>
      <c r="F408" s="114">
        <f>VLOOKUP(C408,'Talente &amp; Stuff'!ER:FT,4,FALSE)</f>
        <v>0</v>
      </c>
      <c r="G408" s="113">
        <f>VLOOKUP(C408,'Talente &amp; Stuff'!ER:FT,5,FALSE)</f>
        <v>0</v>
      </c>
      <c r="H408" s="113">
        <f>VLOOKUP(C408,'Talente &amp; Stuff'!ER:FT,6,FALSE)</f>
        <v>0</v>
      </c>
      <c r="I408" s="113">
        <f>VLOOKUP(C408,'Talente &amp; Stuff'!ER:FT,7,FALSE)</f>
        <v>0</v>
      </c>
      <c r="J408" s="113">
        <f>VLOOKUP(C408,'Talente &amp; Stuff'!ER:FT,8,FALSE)</f>
        <v>0</v>
      </c>
      <c r="K408" s="113">
        <f>VLOOKUP(C408,'Talente &amp; Stuff'!ER:FT,9,FALSE)</f>
        <v>0</v>
      </c>
      <c r="L408" s="113">
        <f>VLOOKUP(C408,'Talente &amp; Stuff'!ER:FT,10,FALSE)</f>
        <v>0</v>
      </c>
      <c r="M408" s="119">
        <f>VLOOKUP(C408,'Talente &amp; Stuff'!ER:FT,11,FALSE)</f>
        <v>0</v>
      </c>
      <c r="N408" s="47">
        <f>VLOOKUP(C408,'Talente &amp; Stuff'!ER:FT,12,FALSE)</f>
        <v>0</v>
      </c>
      <c r="O408" s="47">
        <f>VLOOKUP(C408,'Talente &amp; Stuff'!ER:FT,13,FALSE)</f>
        <v>0</v>
      </c>
      <c r="P408" s="113">
        <f>VLOOKUP(C408,'Talente &amp; Stuff'!ER:FT,14,FALSE)</f>
        <v>0</v>
      </c>
      <c r="Q408" s="114">
        <f>VLOOKUP(C408,'Talente &amp; Stuff'!ER:FT,15,FALSE)</f>
        <v>0</v>
      </c>
      <c r="R408" s="113">
        <f>VLOOKUP(C408,'Talente &amp; Stuff'!ER:FT,16,FALSE)</f>
        <v>0</v>
      </c>
      <c r="S408" s="119">
        <f>VLOOKUP(C408,'Talente &amp; Stuff'!ER:FT,17,FALSE)</f>
        <v>0</v>
      </c>
      <c r="T408" s="160">
        <f>VLOOKUP(C408,'Talente &amp; Stuff'!ER:FT,18,FALSE)</f>
        <v>0</v>
      </c>
      <c r="U408" s="89">
        <f>VLOOKUP(C408,'Talente &amp; Stuff'!ER:FT,19,FALSE)</f>
        <v>0</v>
      </c>
      <c r="V408" s="47">
        <f>VLOOKUP(C408,'Talente &amp; Stuff'!ER:FT,20,FALSE)</f>
        <v>0</v>
      </c>
      <c r="W408" s="127">
        <f>VLOOKUP(C408,'Talente &amp; Stuff'!ER:FT,21,FALSE)</f>
        <v>0</v>
      </c>
      <c r="X408" s="127">
        <f>VLOOKUP(C408,'Talente &amp; Stuff'!ER:FT,22,FALSE)</f>
        <v>0</v>
      </c>
      <c r="Y408" s="165">
        <f t="shared" si="30"/>
        <v>0</v>
      </c>
      <c r="Z408" s="44">
        <f t="shared" si="31"/>
        <v>0</v>
      </c>
      <c r="AA408" s="125">
        <f>VLOOKUP(C408,'Talente &amp; Stuff'!ER:FT,25,FALSE)</f>
        <v>0</v>
      </c>
      <c r="AB408" s="160">
        <f>VLOOKUP(C408,'Talente &amp; Stuff'!ER:FT,26,FALSE)</f>
        <v>0</v>
      </c>
      <c r="AC408" s="127">
        <f>VLOOKUP(C408,'Talente &amp; Stuff'!ER:FT,27,FALSE)</f>
        <v>0</v>
      </c>
      <c r="AD408" s="125">
        <f>VLOOKUP(C408,'Talente &amp; Stuff'!ER:FT,28,FALSE)</f>
        <v>0</v>
      </c>
      <c r="AE408" s="28"/>
    </row>
    <row r="409" spans="2:31" ht="15" hidden="1" customHeight="1" outlineLevel="2">
      <c r="B409" s="148">
        <v>6</v>
      </c>
      <c r="C409" s="178" t="str">
        <f>Attribute!C409</f>
        <v>---</v>
      </c>
      <c r="D409" s="159" t="str">
        <f>VLOOKUP(C409,'Talente &amp; Stuff'!ER:FT,2,FALSE)</f>
        <v>--/--/--</v>
      </c>
      <c r="E409" s="88" t="str">
        <f>VLOOKUP(C409,'Talente &amp; Stuff'!ER:FT,3,FALSE)</f>
        <v>-</v>
      </c>
      <c r="F409" s="115">
        <f>VLOOKUP(C409,'Talente &amp; Stuff'!ER:FT,4,FALSE)</f>
        <v>0</v>
      </c>
      <c r="G409" s="122">
        <f>VLOOKUP(C409,'Talente &amp; Stuff'!ER:FT,5,FALSE)</f>
        <v>0</v>
      </c>
      <c r="H409" s="122">
        <f>VLOOKUP(C409,'Talente &amp; Stuff'!ER:FT,6,FALSE)</f>
        <v>0</v>
      </c>
      <c r="I409" s="122">
        <f>VLOOKUP(C409,'Talente &amp; Stuff'!ER:FT,7,FALSE)</f>
        <v>0</v>
      </c>
      <c r="J409" s="122">
        <f>VLOOKUP(C409,'Talente &amp; Stuff'!ER:FT,8,FALSE)</f>
        <v>0</v>
      </c>
      <c r="K409" s="122">
        <f>VLOOKUP(C409,'Talente &amp; Stuff'!ER:FT,9,FALSE)</f>
        <v>0</v>
      </c>
      <c r="L409" s="122">
        <f>VLOOKUP(C409,'Talente &amp; Stuff'!ER:FT,10,FALSE)</f>
        <v>0</v>
      </c>
      <c r="M409" s="123">
        <f>VLOOKUP(C409,'Talente &amp; Stuff'!ER:FT,11,FALSE)</f>
        <v>0</v>
      </c>
      <c r="N409" s="88">
        <f>VLOOKUP(C409,'Talente &amp; Stuff'!ER:FT,12,FALSE)</f>
        <v>0</v>
      </c>
      <c r="O409" s="88">
        <f>VLOOKUP(C409,'Talente &amp; Stuff'!ER:FT,13,FALSE)</f>
        <v>0</v>
      </c>
      <c r="P409" s="122">
        <f>VLOOKUP(C409,'Talente &amp; Stuff'!ER:FT,14,FALSE)</f>
        <v>0</v>
      </c>
      <c r="Q409" s="115">
        <f>VLOOKUP(C409,'Talente &amp; Stuff'!ER:FT,15,FALSE)</f>
        <v>0</v>
      </c>
      <c r="R409" s="122">
        <f>VLOOKUP(C409,'Talente &amp; Stuff'!ER:FT,16,FALSE)</f>
        <v>0</v>
      </c>
      <c r="S409" s="123">
        <f>VLOOKUP(C409,'Talente &amp; Stuff'!ER:FT,17,FALSE)</f>
        <v>0</v>
      </c>
      <c r="T409" s="161">
        <f>VLOOKUP(C409,'Talente &amp; Stuff'!ER:FT,18,FALSE)</f>
        <v>0</v>
      </c>
      <c r="U409" s="90">
        <f>VLOOKUP(C409,'Talente &amp; Stuff'!ER:FT,19,FALSE)</f>
        <v>0</v>
      </c>
      <c r="V409" s="88">
        <f>VLOOKUP(C409,'Talente &amp; Stuff'!ER:FT,20,FALSE)</f>
        <v>0</v>
      </c>
      <c r="W409" s="128">
        <f>VLOOKUP(C409,'Talente &amp; Stuff'!ER:FT,21,FALSE)</f>
        <v>0</v>
      </c>
      <c r="X409" s="128">
        <f>VLOOKUP(C409,'Talente &amp; Stuff'!ER:FT,22,FALSE)</f>
        <v>0</v>
      </c>
      <c r="Y409" s="165">
        <f t="shared" si="30"/>
        <v>0</v>
      </c>
      <c r="Z409" s="44">
        <f t="shared" si="31"/>
        <v>0</v>
      </c>
      <c r="AA409" s="159">
        <f>VLOOKUP(C409,'Talente &amp; Stuff'!ER:FT,25,FALSE)</f>
        <v>0</v>
      </c>
      <c r="AB409" s="161">
        <f>VLOOKUP(C409,'Talente &amp; Stuff'!ER:FT,26,FALSE)</f>
        <v>0</v>
      </c>
      <c r="AC409" s="128">
        <f>VLOOKUP(C409,'Talente &amp; Stuff'!ER:FT,27,FALSE)</f>
        <v>0</v>
      </c>
      <c r="AD409" s="159">
        <f>VLOOKUP(C409,'Talente &amp; Stuff'!ER:FT,28,FALSE)</f>
        <v>0</v>
      </c>
      <c r="AE409" s="28"/>
    </row>
    <row r="410" spans="2:31" ht="15" hidden="1" customHeight="1" outlineLevel="1" collapsed="1">
      <c r="B410" s="134" t="s">
        <v>325</v>
      </c>
      <c r="C410" s="83"/>
      <c r="D410" s="84"/>
      <c r="E410" s="84"/>
    </row>
    <row r="411" spans="2:31" ht="15" hidden="1" customHeight="1" outlineLevel="2">
      <c r="B411" s="148">
        <v>1</v>
      </c>
      <c r="C411" s="176" t="str">
        <f>Attribute!C411</f>
        <v>---</v>
      </c>
      <c r="D411" s="158" t="str">
        <f>VLOOKUP(C411,'Talente &amp; Stuff'!ER:FT,2,FALSE)</f>
        <v>--/--/--</v>
      </c>
      <c r="E411" s="116" t="str">
        <f>VLOOKUP(C411,'Talente &amp; Stuff'!ER:FT,3,FALSE)</f>
        <v>-</v>
      </c>
      <c r="F411" s="191">
        <f>VLOOKUP(C411,'Talente &amp; Stuff'!ER:FT,4,FALSE)</f>
        <v>0</v>
      </c>
      <c r="G411" s="118">
        <f>VLOOKUP(C411,'Talente &amp; Stuff'!ER:FT,5,FALSE)</f>
        <v>0</v>
      </c>
      <c r="H411" s="118">
        <f>VLOOKUP(C411,'Talente &amp; Stuff'!ER:FT,6,FALSE)</f>
        <v>0</v>
      </c>
      <c r="I411" s="118">
        <f>VLOOKUP(C411,'Talente &amp; Stuff'!ER:FT,7,FALSE)</f>
        <v>0</v>
      </c>
      <c r="J411" s="118">
        <f>VLOOKUP(C411,'Talente &amp; Stuff'!ER:FT,8,FALSE)</f>
        <v>0</v>
      </c>
      <c r="K411" s="118">
        <f>VLOOKUP(C411,'Talente &amp; Stuff'!ER:FT,9,FALSE)</f>
        <v>0</v>
      </c>
      <c r="L411" s="118">
        <f>VLOOKUP(C411,'Talente &amp; Stuff'!ER:FT,10,FALSE)</f>
        <v>0</v>
      </c>
      <c r="M411" s="92">
        <f>VLOOKUP(C411,'Talente &amp; Stuff'!ER:FT,11,FALSE)</f>
        <v>0</v>
      </c>
      <c r="N411" s="116">
        <f>VLOOKUP(C411,'Talente &amp; Stuff'!ER:FT,12,FALSE)</f>
        <v>0</v>
      </c>
      <c r="O411" s="116">
        <f>VLOOKUP(C411,'Talente &amp; Stuff'!ER:FT,13,FALSE)</f>
        <v>0</v>
      </c>
      <c r="P411" s="118">
        <f>VLOOKUP(C411,'Talente &amp; Stuff'!ER:FT,14,FALSE)</f>
        <v>0</v>
      </c>
      <c r="Q411" s="191">
        <f>VLOOKUP(C411,'Talente &amp; Stuff'!ER:FT,15,FALSE)</f>
        <v>0</v>
      </c>
      <c r="R411" s="118">
        <f>VLOOKUP(C411,'Talente &amp; Stuff'!ER:FT,16,FALSE)</f>
        <v>0</v>
      </c>
      <c r="S411" s="92">
        <f>VLOOKUP(C411,'Talente &amp; Stuff'!ER:FT,17,FALSE)</f>
        <v>0</v>
      </c>
      <c r="T411" s="91">
        <f>VLOOKUP(C411,'Talente &amp; Stuff'!ER:FT,18,FALSE)</f>
        <v>0</v>
      </c>
      <c r="U411" s="193">
        <f>VLOOKUP(C411,'Talente &amp; Stuff'!ER:FT,19,FALSE)</f>
        <v>0</v>
      </c>
      <c r="V411" s="116">
        <f>VLOOKUP(C411,'Talente &amp; Stuff'!ER:FT,20,FALSE)</f>
        <v>0</v>
      </c>
      <c r="W411" s="126">
        <f>VLOOKUP(C411,'Talente &amp; Stuff'!ER:FT,21,FALSE)</f>
        <v>0</v>
      </c>
      <c r="X411" s="126">
        <f>VLOOKUP(C411,'Talente &amp; Stuff'!ER:FT,22,FALSE)</f>
        <v>0</v>
      </c>
      <c r="Y411" s="165">
        <f t="shared" ref="Y411:Y417" si="32">VLOOKUP(C411,Ausgewählte_Liturgien_Hesinde,168,FALSE)</f>
        <v>0</v>
      </c>
      <c r="Z411" s="44">
        <f t="shared" ref="Z411:Z417" si="33">VLOOKUP(C411,Ausgewählte_Liturgien_Hesinde,169,FALSE)</f>
        <v>0</v>
      </c>
      <c r="AA411" s="158">
        <f>VLOOKUP(C411,'Talente &amp; Stuff'!ER:FT,25,FALSE)</f>
        <v>0</v>
      </c>
      <c r="AB411" s="91">
        <f>VLOOKUP(C411,'Talente &amp; Stuff'!ER:FT,26,FALSE)</f>
        <v>0</v>
      </c>
      <c r="AC411" s="126">
        <f>VLOOKUP(C411,'Talente &amp; Stuff'!ER:FT,27,FALSE)</f>
        <v>0</v>
      </c>
      <c r="AD411" s="158">
        <f>VLOOKUP(C411,'Talente &amp; Stuff'!ER:FT,28,FALSE)</f>
        <v>0</v>
      </c>
      <c r="AE411" s="28"/>
    </row>
    <row r="412" spans="2:31" ht="15" hidden="1" customHeight="1" outlineLevel="2">
      <c r="B412" s="148">
        <v>2</v>
      </c>
      <c r="C412" s="177" t="str">
        <f>Attribute!C412</f>
        <v>---</v>
      </c>
      <c r="D412" s="125" t="str">
        <f>VLOOKUP(C412,'Talente &amp; Stuff'!ER:FT,2,FALSE)</f>
        <v>--/--/--</v>
      </c>
      <c r="E412" s="47" t="str">
        <f>VLOOKUP(C412,'Talente &amp; Stuff'!ER:FT,3,FALSE)</f>
        <v>-</v>
      </c>
      <c r="F412" s="114">
        <f>VLOOKUP(C412,'Talente &amp; Stuff'!ER:FT,4,FALSE)</f>
        <v>0</v>
      </c>
      <c r="G412" s="113">
        <f>VLOOKUP(C412,'Talente &amp; Stuff'!ER:FT,5,FALSE)</f>
        <v>0</v>
      </c>
      <c r="H412" s="113">
        <f>VLOOKUP(C412,'Talente &amp; Stuff'!ER:FT,6,FALSE)</f>
        <v>0</v>
      </c>
      <c r="I412" s="113">
        <f>VLOOKUP(C412,'Talente &amp; Stuff'!ER:FT,7,FALSE)</f>
        <v>0</v>
      </c>
      <c r="J412" s="113">
        <f>VLOOKUP(C412,'Talente &amp; Stuff'!ER:FT,8,FALSE)</f>
        <v>0</v>
      </c>
      <c r="K412" s="113">
        <f>VLOOKUP(C412,'Talente &amp; Stuff'!ER:FT,9,FALSE)</f>
        <v>0</v>
      </c>
      <c r="L412" s="113">
        <f>VLOOKUP(C412,'Talente &amp; Stuff'!ER:FT,10,FALSE)</f>
        <v>0</v>
      </c>
      <c r="M412" s="119">
        <f>VLOOKUP(C412,'Talente &amp; Stuff'!ER:FT,11,FALSE)</f>
        <v>0</v>
      </c>
      <c r="N412" s="47">
        <f>VLOOKUP(C412,'Talente &amp; Stuff'!ER:FT,12,FALSE)</f>
        <v>0</v>
      </c>
      <c r="O412" s="47">
        <f>VLOOKUP(C412,'Talente &amp; Stuff'!ER:FT,13,FALSE)</f>
        <v>0</v>
      </c>
      <c r="P412" s="113">
        <f>VLOOKUP(C412,'Talente &amp; Stuff'!ER:FT,14,FALSE)</f>
        <v>0</v>
      </c>
      <c r="Q412" s="114">
        <f>VLOOKUP(C412,'Talente &amp; Stuff'!ER:FT,15,FALSE)</f>
        <v>0</v>
      </c>
      <c r="R412" s="113">
        <f>VLOOKUP(C412,'Talente &amp; Stuff'!ER:FT,16,FALSE)</f>
        <v>0</v>
      </c>
      <c r="S412" s="119">
        <f>VLOOKUP(C412,'Talente &amp; Stuff'!ER:FT,17,FALSE)</f>
        <v>0</v>
      </c>
      <c r="T412" s="160">
        <f>VLOOKUP(C412,'Talente &amp; Stuff'!ER:FT,18,FALSE)</f>
        <v>0</v>
      </c>
      <c r="U412" s="89">
        <f>VLOOKUP(C412,'Talente &amp; Stuff'!ER:FT,19,FALSE)</f>
        <v>0</v>
      </c>
      <c r="V412" s="47">
        <f>VLOOKUP(C412,'Talente &amp; Stuff'!ER:FT,20,FALSE)</f>
        <v>0</v>
      </c>
      <c r="W412" s="127">
        <f>VLOOKUP(C412,'Talente &amp; Stuff'!ER:FT,21,FALSE)</f>
        <v>0</v>
      </c>
      <c r="X412" s="127">
        <f>VLOOKUP(C412,'Talente &amp; Stuff'!ER:FT,22,FALSE)</f>
        <v>0</v>
      </c>
      <c r="Y412" s="165">
        <f t="shared" si="32"/>
        <v>0</v>
      </c>
      <c r="Z412" s="44">
        <f t="shared" si="33"/>
        <v>0</v>
      </c>
      <c r="AA412" s="125">
        <f>VLOOKUP(C412,'Talente &amp; Stuff'!ER:FT,25,FALSE)</f>
        <v>0</v>
      </c>
      <c r="AB412" s="160">
        <f>VLOOKUP(C412,'Talente &amp; Stuff'!ER:FT,26,FALSE)</f>
        <v>0</v>
      </c>
      <c r="AC412" s="127">
        <f>VLOOKUP(C412,'Talente &amp; Stuff'!ER:FT,27,FALSE)</f>
        <v>0</v>
      </c>
      <c r="AD412" s="125">
        <f>VLOOKUP(C412,'Talente &amp; Stuff'!ER:FT,28,FALSE)</f>
        <v>0</v>
      </c>
      <c r="AE412" s="28"/>
    </row>
    <row r="413" spans="2:31" ht="15" hidden="1" customHeight="1" outlineLevel="2">
      <c r="B413" s="148">
        <v>3</v>
      </c>
      <c r="C413" s="177" t="str">
        <f>Attribute!C413</f>
        <v>---</v>
      </c>
      <c r="D413" s="125" t="str">
        <f>VLOOKUP(C413,'Talente &amp; Stuff'!ER:FT,2,FALSE)</f>
        <v>--/--/--</v>
      </c>
      <c r="E413" s="47" t="str">
        <f>VLOOKUP(C413,'Talente &amp; Stuff'!ER:FT,3,FALSE)</f>
        <v>-</v>
      </c>
      <c r="F413" s="114">
        <f>VLOOKUP(C413,'Talente &amp; Stuff'!ER:FT,4,FALSE)</f>
        <v>0</v>
      </c>
      <c r="G413" s="113">
        <f>VLOOKUP(C413,'Talente &amp; Stuff'!ER:FT,5,FALSE)</f>
        <v>0</v>
      </c>
      <c r="H413" s="113">
        <f>VLOOKUP(C413,'Talente &amp; Stuff'!ER:FT,6,FALSE)</f>
        <v>0</v>
      </c>
      <c r="I413" s="113">
        <f>VLOOKUP(C413,'Talente &amp; Stuff'!ER:FT,7,FALSE)</f>
        <v>0</v>
      </c>
      <c r="J413" s="113">
        <f>VLOOKUP(C413,'Talente &amp; Stuff'!ER:FT,8,FALSE)</f>
        <v>0</v>
      </c>
      <c r="K413" s="113">
        <f>VLOOKUP(C413,'Talente &amp; Stuff'!ER:FT,9,FALSE)</f>
        <v>0</v>
      </c>
      <c r="L413" s="113">
        <f>VLOOKUP(C413,'Talente &amp; Stuff'!ER:FT,10,FALSE)</f>
        <v>0</v>
      </c>
      <c r="M413" s="119">
        <f>VLOOKUP(C413,'Talente &amp; Stuff'!ER:FT,11,FALSE)</f>
        <v>0</v>
      </c>
      <c r="N413" s="47">
        <f>VLOOKUP(C413,'Talente &amp; Stuff'!ER:FT,12,FALSE)</f>
        <v>0</v>
      </c>
      <c r="O413" s="47">
        <f>VLOOKUP(C413,'Talente &amp; Stuff'!ER:FT,13,FALSE)</f>
        <v>0</v>
      </c>
      <c r="P413" s="113">
        <f>VLOOKUP(C413,'Talente &amp; Stuff'!ER:FT,14,FALSE)</f>
        <v>0</v>
      </c>
      <c r="Q413" s="114">
        <f>VLOOKUP(C413,'Talente &amp; Stuff'!ER:FT,15,FALSE)</f>
        <v>0</v>
      </c>
      <c r="R413" s="113">
        <f>VLOOKUP(C413,'Talente &amp; Stuff'!ER:FT,16,FALSE)</f>
        <v>0</v>
      </c>
      <c r="S413" s="119">
        <f>VLOOKUP(C413,'Talente &amp; Stuff'!ER:FT,17,FALSE)</f>
        <v>0</v>
      </c>
      <c r="T413" s="160">
        <f>VLOOKUP(C413,'Talente &amp; Stuff'!ER:FT,18,FALSE)</f>
        <v>0</v>
      </c>
      <c r="U413" s="89">
        <f>VLOOKUP(C413,'Talente &amp; Stuff'!ER:FT,19,FALSE)</f>
        <v>0</v>
      </c>
      <c r="V413" s="47">
        <f>VLOOKUP(C413,'Talente &amp; Stuff'!ER:FT,20,FALSE)</f>
        <v>0</v>
      </c>
      <c r="W413" s="127">
        <f>VLOOKUP(C413,'Talente &amp; Stuff'!ER:FT,21,FALSE)</f>
        <v>0</v>
      </c>
      <c r="X413" s="127">
        <f>VLOOKUP(C413,'Talente &amp; Stuff'!ER:FT,22,FALSE)</f>
        <v>0</v>
      </c>
      <c r="Y413" s="165">
        <f t="shared" si="32"/>
        <v>0</v>
      </c>
      <c r="Z413" s="44">
        <f t="shared" si="33"/>
        <v>0</v>
      </c>
      <c r="AA413" s="125">
        <f>VLOOKUP(C413,'Talente &amp; Stuff'!ER:FT,25,FALSE)</f>
        <v>0</v>
      </c>
      <c r="AB413" s="160">
        <f>VLOOKUP(C413,'Talente &amp; Stuff'!ER:FT,26,FALSE)</f>
        <v>0</v>
      </c>
      <c r="AC413" s="127">
        <f>VLOOKUP(C413,'Talente &amp; Stuff'!ER:FT,27,FALSE)</f>
        <v>0</v>
      </c>
      <c r="AD413" s="125">
        <f>VLOOKUP(C413,'Talente &amp; Stuff'!ER:FT,28,FALSE)</f>
        <v>0</v>
      </c>
      <c r="AE413" s="28"/>
    </row>
    <row r="414" spans="2:31" ht="15" hidden="1" customHeight="1" outlineLevel="2">
      <c r="B414" s="148">
        <v>4</v>
      </c>
      <c r="C414" s="177" t="str">
        <f>Attribute!C414</f>
        <v>---</v>
      </c>
      <c r="D414" s="125" t="str">
        <f>VLOOKUP(C414,'Talente &amp; Stuff'!ER:FT,2,FALSE)</f>
        <v>--/--/--</v>
      </c>
      <c r="E414" s="47" t="str">
        <f>VLOOKUP(C414,'Talente &amp; Stuff'!ER:FT,3,FALSE)</f>
        <v>-</v>
      </c>
      <c r="F414" s="114">
        <f>VLOOKUP(C414,'Talente &amp; Stuff'!ER:FT,4,FALSE)</f>
        <v>0</v>
      </c>
      <c r="G414" s="113">
        <f>VLOOKUP(C414,'Talente &amp; Stuff'!ER:FT,5,FALSE)</f>
        <v>0</v>
      </c>
      <c r="H414" s="113">
        <f>VLOOKUP(C414,'Talente &amp; Stuff'!ER:FT,6,FALSE)</f>
        <v>0</v>
      </c>
      <c r="I414" s="113">
        <f>VLOOKUP(C414,'Talente &amp; Stuff'!ER:FT,7,FALSE)</f>
        <v>0</v>
      </c>
      <c r="J414" s="113">
        <f>VLOOKUP(C414,'Talente &amp; Stuff'!ER:FT,8,FALSE)</f>
        <v>0</v>
      </c>
      <c r="K414" s="113">
        <f>VLOOKUP(C414,'Talente &amp; Stuff'!ER:FT,9,FALSE)</f>
        <v>0</v>
      </c>
      <c r="L414" s="113">
        <f>VLOOKUP(C414,'Talente &amp; Stuff'!ER:FT,10,FALSE)</f>
        <v>0</v>
      </c>
      <c r="M414" s="119">
        <f>VLOOKUP(C414,'Talente &amp; Stuff'!ER:FT,11,FALSE)</f>
        <v>0</v>
      </c>
      <c r="N414" s="47">
        <f>VLOOKUP(C414,'Talente &amp; Stuff'!ER:FT,12,FALSE)</f>
        <v>0</v>
      </c>
      <c r="O414" s="47">
        <f>VLOOKUP(C414,'Talente &amp; Stuff'!ER:FT,13,FALSE)</f>
        <v>0</v>
      </c>
      <c r="P414" s="113">
        <f>VLOOKUP(C414,'Talente &amp; Stuff'!ER:FT,14,FALSE)</f>
        <v>0</v>
      </c>
      <c r="Q414" s="114">
        <f>VLOOKUP(C414,'Talente &amp; Stuff'!ER:FT,15,FALSE)</f>
        <v>0</v>
      </c>
      <c r="R414" s="113">
        <f>VLOOKUP(C414,'Talente &amp; Stuff'!ER:FT,16,FALSE)</f>
        <v>0</v>
      </c>
      <c r="S414" s="119">
        <f>VLOOKUP(C414,'Talente &amp; Stuff'!ER:FT,17,FALSE)</f>
        <v>0</v>
      </c>
      <c r="T414" s="160">
        <f>VLOOKUP(C414,'Talente &amp; Stuff'!ER:FT,18,FALSE)</f>
        <v>0</v>
      </c>
      <c r="U414" s="89">
        <f>VLOOKUP(C414,'Talente &amp; Stuff'!ER:FT,19,FALSE)</f>
        <v>0</v>
      </c>
      <c r="V414" s="47">
        <f>VLOOKUP(C414,'Talente &amp; Stuff'!ER:FT,20,FALSE)</f>
        <v>0</v>
      </c>
      <c r="W414" s="127">
        <f>VLOOKUP(C414,'Talente &amp; Stuff'!ER:FT,21,FALSE)</f>
        <v>0</v>
      </c>
      <c r="X414" s="127">
        <f>VLOOKUP(C414,'Talente &amp; Stuff'!ER:FT,22,FALSE)</f>
        <v>0</v>
      </c>
      <c r="Y414" s="165">
        <f t="shared" si="32"/>
        <v>0</v>
      </c>
      <c r="Z414" s="44">
        <f t="shared" si="33"/>
        <v>0</v>
      </c>
      <c r="AA414" s="125">
        <f>VLOOKUP(C414,'Talente &amp; Stuff'!ER:FT,25,FALSE)</f>
        <v>0</v>
      </c>
      <c r="AB414" s="160">
        <f>VLOOKUP(C414,'Talente &amp; Stuff'!ER:FT,26,FALSE)</f>
        <v>0</v>
      </c>
      <c r="AC414" s="127">
        <f>VLOOKUP(C414,'Talente &amp; Stuff'!ER:FT,27,FALSE)</f>
        <v>0</v>
      </c>
      <c r="AD414" s="125">
        <f>VLOOKUP(C414,'Talente &amp; Stuff'!ER:FT,28,FALSE)</f>
        <v>0</v>
      </c>
      <c r="AE414" s="28"/>
    </row>
    <row r="415" spans="2:31" ht="15" hidden="1" customHeight="1" outlineLevel="2">
      <c r="B415" s="148">
        <v>5</v>
      </c>
      <c r="C415" s="177" t="str">
        <f>Attribute!C415</f>
        <v>---</v>
      </c>
      <c r="D415" s="125" t="str">
        <f>VLOOKUP(C415,'Talente &amp; Stuff'!ER:FT,2,FALSE)</f>
        <v>--/--/--</v>
      </c>
      <c r="E415" s="47" t="str">
        <f>VLOOKUP(C415,'Talente &amp; Stuff'!ER:FT,3,FALSE)</f>
        <v>-</v>
      </c>
      <c r="F415" s="114">
        <f>VLOOKUP(C415,'Talente &amp; Stuff'!ER:FT,4,FALSE)</f>
        <v>0</v>
      </c>
      <c r="G415" s="113">
        <f>VLOOKUP(C415,'Talente &amp; Stuff'!ER:FT,5,FALSE)</f>
        <v>0</v>
      </c>
      <c r="H415" s="113">
        <f>VLOOKUP(C415,'Talente &amp; Stuff'!ER:FT,6,FALSE)</f>
        <v>0</v>
      </c>
      <c r="I415" s="113">
        <f>VLOOKUP(C415,'Talente &amp; Stuff'!ER:FT,7,FALSE)</f>
        <v>0</v>
      </c>
      <c r="J415" s="113">
        <f>VLOOKUP(C415,'Talente &amp; Stuff'!ER:FT,8,FALSE)</f>
        <v>0</v>
      </c>
      <c r="K415" s="113">
        <f>VLOOKUP(C415,'Talente &amp; Stuff'!ER:FT,9,FALSE)</f>
        <v>0</v>
      </c>
      <c r="L415" s="113">
        <f>VLOOKUP(C415,'Talente &amp; Stuff'!ER:FT,10,FALSE)</f>
        <v>0</v>
      </c>
      <c r="M415" s="119">
        <f>VLOOKUP(C415,'Talente &amp; Stuff'!ER:FT,11,FALSE)</f>
        <v>0</v>
      </c>
      <c r="N415" s="47">
        <f>VLOOKUP(C415,'Talente &amp; Stuff'!ER:FT,12,FALSE)</f>
        <v>0</v>
      </c>
      <c r="O415" s="47">
        <f>VLOOKUP(C415,'Talente &amp; Stuff'!ER:FT,13,FALSE)</f>
        <v>0</v>
      </c>
      <c r="P415" s="113">
        <f>VLOOKUP(C415,'Talente &amp; Stuff'!ER:FT,14,FALSE)</f>
        <v>0</v>
      </c>
      <c r="Q415" s="114">
        <f>VLOOKUP(C415,'Talente &amp; Stuff'!ER:FT,15,FALSE)</f>
        <v>0</v>
      </c>
      <c r="R415" s="113">
        <f>VLOOKUP(C415,'Talente &amp; Stuff'!ER:FT,16,FALSE)</f>
        <v>0</v>
      </c>
      <c r="S415" s="119">
        <f>VLOOKUP(C415,'Talente &amp; Stuff'!ER:FT,17,FALSE)</f>
        <v>0</v>
      </c>
      <c r="T415" s="160">
        <f>VLOOKUP(C415,'Talente &amp; Stuff'!ER:FT,18,FALSE)</f>
        <v>0</v>
      </c>
      <c r="U415" s="89">
        <f>VLOOKUP(C415,'Talente &amp; Stuff'!ER:FT,19,FALSE)</f>
        <v>0</v>
      </c>
      <c r="V415" s="47">
        <f>VLOOKUP(C415,'Talente &amp; Stuff'!ER:FT,20,FALSE)</f>
        <v>0</v>
      </c>
      <c r="W415" s="127">
        <f>VLOOKUP(C415,'Talente &amp; Stuff'!ER:FT,21,FALSE)</f>
        <v>0</v>
      </c>
      <c r="X415" s="127">
        <f>VLOOKUP(C415,'Talente &amp; Stuff'!ER:FT,22,FALSE)</f>
        <v>0</v>
      </c>
      <c r="Y415" s="165">
        <f t="shared" si="32"/>
        <v>0</v>
      </c>
      <c r="Z415" s="44">
        <f t="shared" si="33"/>
        <v>0</v>
      </c>
      <c r="AA415" s="125">
        <f>VLOOKUP(C415,'Talente &amp; Stuff'!ER:FT,25,FALSE)</f>
        <v>0</v>
      </c>
      <c r="AB415" s="160">
        <f>VLOOKUP(C415,'Talente &amp; Stuff'!ER:FT,26,FALSE)</f>
        <v>0</v>
      </c>
      <c r="AC415" s="127">
        <f>VLOOKUP(C415,'Talente &amp; Stuff'!ER:FT,27,FALSE)</f>
        <v>0</v>
      </c>
      <c r="AD415" s="125">
        <f>VLOOKUP(C415,'Talente &amp; Stuff'!ER:FT,28,FALSE)</f>
        <v>0</v>
      </c>
      <c r="AE415" s="28"/>
    </row>
    <row r="416" spans="2:31" ht="15" hidden="1" customHeight="1" outlineLevel="2">
      <c r="B416" s="148">
        <v>6</v>
      </c>
      <c r="C416" s="177" t="str">
        <f>Attribute!C416</f>
        <v>---</v>
      </c>
      <c r="D416" s="125" t="str">
        <f>VLOOKUP(C416,'Talente &amp; Stuff'!ER:FT,2,FALSE)</f>
        <v>--/--/--</v>
      </c>
      <c r="E416" s="47" t="str">
        <f>VLOOKUP(C416,'Talente &amp; Stuff'!ER:FT,3,FALSE)</f>
        <v>-</v>
      </c>
      <c r="F416" s="114">
        <f>VLOOKUP(C416,'Talente &amp; Stuff'!ER:FT,4,FALSE)</f>
        <v>0</v>
      </c>
      <c r="G416" s="113">
        <f>VLOOKUP(C416,'Talente &amp; Stuff'!ER:FT,5,FALSE)</f>
        <v>0</v>
      </c>
      <c r="H416" s="113">
        <f>VLOOKUP(C416,'Talente &amp; Stuff'!ER:FT,6,FALSE)</f>
        <v>0</v>
      </c>
      <c r="I416" s="113">
        <f>VLOOKUP(C416,'Talente &amp; Stuff'!ER:FT,7,FALSE)</f>
        <v>0</v>
      </c>
      <c r="J416" s="113">
        <f>VLOOKUP(C416,'Talente &amp; Stuff'!ER:FT,8,FALSE)</f>
        <v>0</v>
      </c>
      <c r="K416" s="113">
        <f>VLOOKUP(C416,'Talente &amp; Stuff'!ER:FT,9,FALSE)</f>
        <v>0</v>
      </c>
      <c r="L416" s="113">
        <f>VLOOKUP(C416,'Talente &amp; Stuff'!ER:FT,10,FALSE)</f>
        <v>0</v>
      </c>
      <c r="M416" s="119">
        <f>VLOOKUP(C416,'Talente &amp; Stuff'!ER:FT,11,FALSE)</f>
        <v>0</v>
      </c>
      <c r="N416" s="47">
        <f>VLOOKUP(C416,'Talente &amp; Stuff'!ER:FT,12,FALSE)</f>
        <v>0</v>
      </c>
      <c r="O416" s="47">
        <f>VLOOKUP(C416,'Talente &amp; Stuff'!ER:FT,13,FALSE)</f>
        <v>0</v>
      </c>
      <c r="P416" s="113">
        <f>VLOOKUP(C416,'Talente &amp; Stuff'!ER:FT,14,FALSE)</f>
        <v>0</v>
      </c>
      <c r="Q416" s="114">
        <f>VLOOKUP(C416,'Talente &amp; Stuff'!ER:FT,15,FALSE)</f>
        <v>0</v>
      </c>
      <c r="R416" s="113">
        <f>VLOOKUP(C416,'Talente &amp; Stuff'!ER:FT,16,FALSE)</f>
        <v>0</v>
      </c>
      <c r="S416" s="119">
        <f>VLOOKUP(C416,'Talente &amp; Stuff'!ER:FT,17,FALSE)</f>
        <v>0</v>
      </c>
      <c r="T416" s="160">
        <f>VLOOKUP(C416,'Talente &amp; Stuff'!ER:FT,18,FALSE)</f>
        <v>0</v>
      </c>
      <c r="U416" s="89">
        <f>VLOOKUP(C416,'Talente &amp; Stuff'!ER:FT,19,FALSE)</f>
        <v>0</v>
      </c>
      <c r="V416" s="47">
        <f>VLOOKUP(C416,'Talente &amp; Stuff'!ER:FT,20,FALSE)</f>
        <v>0</v>
      </c>
      <c r="W416" s="127">
        <f>VLOOKUP(C416,'Talente &amp; Stuff'!ER:FT,21,FALSE)</f>
        <v>0</v>
      </c>
      <c r="X416" s="127">
        <f>VLOOKUP(C416,'Talente &amp; Stuff'!ER:FT,22,FALSE)</f>
        <v>0</v>
      </c>
      <c r="Y416" s="165">
        <f t="shared" si="32"/>
        <v>0</v>
      </c>
      <c r="Z416" s="44">
        <f t="shared" si="33"/>
        <v>0</v>
      </c>
      <c r="AA416" s="125">
        <f>VLOOKUP(C416,'Talente &amp; Stuff'!ER:FT,25,FALSE)</f>
        <v>0</v>
      </c>
      <c r="AB416" s="160">
        <f>VLOOKUP(C416,'Talente &amp; Stuff'!ER:FT,26,FALSE)</f>
        <v>0</v>
      </c>
      <c r="AC416" s="127">
        <f>VLOOKUP(C416,'Talente &amp; Stuff'!ER:FT,27,FALSE)</f>
        <v>0</v>
      </c>
      <c r="AD416" s="125">
        <f>VLOOKUP(C416,'Talente &amp; Stuff'!ER:FT,28,FALSE)</f>
        <v>0</v>
      </c>
      <c r="AE416" s="28"/>
    </row>
    <row r="417" spans="2:31" ht="15" hidden="1" customHeight="1" outlineLevel="2">
      <c r="B417" s="148">
        <v>7</v>
      </c>
      <c r="C417" s="178" t="str">
        <f>Attribute!C417</f>
        <v>---</v>
      </c>
      <c r="D417" s="159" t="str">
        <f>VLOOKUP(C417,'Talente &amp; Stuff'!ER:FT,2,FALSE)</f>
        <v>--/--/--</v>
      </c>
      <c r="E417" s="88" t="str">
        <f>VLOOKUP(C417,'Talente &amp; Stuff'!ER:FT,3,FALSE)</f>
        <v>-</v>
      </c>
      <c r="F417" s="115">
        <f>VLOOKUP(C417,'Talente &amp; Stuff'!ER:FT,4,FALSE)</f>
        <v>0</v>
      </c>
      <c r="G417" s="122">
        <f>VLOOKUP(C417,'Talente &amp; Stuff'!ER:FT,5,FALSE)</f>
        <v>0</v>
      </c>
      <c r="H417" s="122">
        <f>VLOOKUP(C417,'Talente &amp; Stuff'!ER:FT,6,FALSE)</f>
        <v>0</v>
      </c>
      <c r="I417" s="122">
        <f>VLOOKUP(C417,'Talente &amp; Stuff'!ER:FT,7,FALSE)</f>
        <v>0</v>
      </c>
      <c r="J417" s="122">
        <f>VLOOKUP(C417,'Talente &amp; Stuff'!ER:FT,8,FALSE)</f>
        <v>0</v>
      </c>
      <c r="K417" s="122">
        <f>VLOOKUP(C417,'Talente &amp; Stuff'!ER:FT,9,FALSE)</f>
        <v>0</v>
      </c>
      <c r="L417" s="122">
        <f>VLOOKUP(C417,'Talente &amp; Stuff'!ER:FT,10,FALSE)</f>
        <v>0</v>
      </c>
      <c r="M417" s="123">
        <f>VLOOKUP(C417,'Talente &amp; Stuff'!ER:FT,11,FALSE)</f>
        <v>0</v>
      </c>
      <c r="N417" s="88">
        <f>VLOOKUP(C417,'Talente &amp; Stuff'!ER:FT,12,FALSE)</f>
        <v>0</v>
      </c>
      <c r="O417" s="88">
        <f>VLOOKUP(C417,'Talente &amp; Stuff'!ER:FT,13,FALSE)</f>
        <v>0</v>
      </c>
      <c r="P417" s="122">
        <f>VLOOKUP(C417,'Talente &amp; Stuff'!ER:FT,14,FALSE)</f>
        <v>0</v>
      </c>
      <c r="Q417" s="115">
        <f>VLOOKUP(C417,'Talente &amp; Stuff'!ER:FT,15,FALSE)</f>
        <v>0</v>
      </c>
      <c r="R417" s="122">
        <f>VLOOKUP(C417,'Talente &amp; Stuff'!ER:FT,16,FALSE)</f>
        <v>0</v>
      </c>
      <c r="S417" s="123">
        <f>VLOOKUP(C417,'Talente &amp; Stuff'!ER:FT,17,FALSE)</f>
        <v>0</v>
      </c>
      <c r="T417" s="161">
        <f>VLOOKUP(C417,'Talente &amp; Stuff'!ER:FT,18,FALSE)</f>
        <v>0</v>
      </c>
      <c r="U417" s="90">
        <f>VLOOKUP(C417,'Talente &amp; Stuff'!ER:FT,19,FALSE)</f>
        <v>0</v>
      </c>
      <c r="V417" s="88">
        <f>VLOOKUP(C417,'Talente &amp; Stuff'!ER:FT,20,FALSE)</f>
        <v>0</v>
      </c>
      <c r="W417" s="128">
        <f>VLOOKUP(C417,'Talente &amp; Stuff'!ER:FT,21,FALSE)</f>
        <v>0</v>
      </c>
      <c r="X417" s="128">
        <f>VLOOKUP(C417,'Talente &amp; Stuff'!ER:FT,22,FALSE)</f>
        <v>0</v>
      </c>
      <c r="Y417" s="165">
        <f t="shared" si="32"/>
        <v>0</v>
      </c>
      <c r="Z417" s="44">
        <f t="shared" si="33"/>
        <v>0</v>
      </c>
      <c r="AA417" s="159">
        <f>VLOOKUP(C417,'Talente &amp; Stuff'!ER:FT,25,FALSE)</f>
        <v>0</v>
      </c>
      <c r="AB417" s="161">
        <f>VLOOKUP(C417,'Talente &amp; Stuff'!ER:FT,26,FALSE)</f>
        <v>0</v>
      </c>
      <c r="AC417" s="128">
        <f>VLOOKUP(C417,'Talente &amp; Stuff'!ER:FT,27,FALSE)</f>
        <v>0</v>
      </c>
      <c r="AD417" s="159">
        <f>VLOOKUP(C417,'Talente &amp; Stuff'!ER:FT,28,FALSE)</f>
        <v>0</v>
      </c>
      <c r="AE417" s="28"/>
    </row>
    <row r="418" spans="2:31" ht="15" hidden="1" customHeight="1" outlineLevel="1" collapsed="1">
      <c r="B418" s="134" t="s">
        <v>324</v>
      </c>
      <c r="C418" s="83"/>
      <c r="D418" s="84"/>
      <c r="E418" s="84"/>
    </row>
    <row r="419" spans="2:31" ht="15" hidden="1" customHeight="1" outlineLevel="2">
      <c r="B419" s="148">
        <v>1</v>
      </c>
      <c r="C419" s="176" t="str">
        <f>Attribute!C419</f>
        <v>---</v>
      </c>
      <c r="D419" s="158" t="str">
        <f>VLOOKUP(C419,'Talente &amp; Stuff'!ER:FT,2,FALSE)</f>
        <v>--/--/--</v>
      </c>
      <c r="E419" s="116" t="str">
        <f>VLOOKUP(C419,'Talente &amp; Stuff'!ER:FT,3,FALSE)</f>
        <v>-</v>
      </c>
      <c r="F419" s="191">
        <f>VLOOKUP(C419,'Talente &amp; Stuff'!ER:FT,4,FALSE)</f>
        <v>0</v>
      </c>
      <c r="G419" s="118">
        <f>VLOOKUP(C419,'Talente &amp; Stuff'!ER:FT,5,FALSE)</f>
        <v>0</v>
      </c>
      <c r="H419" s="118">
        <f>VLOOKUP(C419,'Talente &amp; Stuff'!ER:FT,6,FALSE)</f>
        <v>0</v>
      </c>
      <c r="I419" s="118">
        <f>VLOOKUP(C419,'Talente &amp; Stuff'!ER:FT,7,FALSE)</f>
        <v>0</v>
      </c>
      <c r="J419" s="118">
        <f>VLOOKUP(C419,'Talente &amp; Stuff'!ER:FT,8,FALSE)</f>
        <v>0</v>
      </c>
      <c r="K419" s="118">
        <f>VLOOKUP(C419,'Talente &amp; Stuff'!ER:FT,9,FALSE)</f>
        <v>0</v>
      </c>
      <c r="L419" s="118">
        <f>VLOOKUP(C419,'Talente &amp; Stuff'!ER:FT,10,FALSE)</f>
        <v>0</v>
      </c>
      <c r="M419" s="92">
        <f>VLOOKUP(C419,'Talente &amp; Stuff'!ER:FT,11,FALSE)</f>
        <v>0</v>
      </c>
      <c r="N419" s="116">
        <f>VLOOKUP(C419,'Talente &amp; Stuff'!ER:FT,12,FALSE)</f>
        <v>0</v>
      </c>
      <c r="O419" s="116">
        <f>VLOOKUP(C419,'Talente &amp; Stuff'!ER:FT,13,FALSE)</f>
        <v>0</v>
      </c>
      <c r="P419" s="118">
        <f>VLOOKUP(C419,'Talente &amp; Stuff'!ER:FT,14,FALSE)</f>
        <v>0</v>
      </c>
      <c r="Q419" s="191">
        <f>VLOOKUP(C419,'Talente &amp; Stuff'!ER:FT,15,FALSE)</f>
        <v>0</v>
      </c>
      <c r="R419" s="118">
        <f>VLOOKUP(C419,'Talente &amp; Stuff'!ER:FT,16,FALSE)</f>
        <v>0</v>
      </c>
      <c r="S419" s="92">
        <f>VLOOKUP(C419,'Talente &amp; Stuff'!ER:FT,17,FALSE)</f>
        <v>0</v>
      </c>
      <c r="T419" s="91">
        <f>VLOOKUP(C419,'Talente &amp; Stuff'!ER:FT,18,FALSE)</f>
        <v>0</v>
      </c>
      <c r="U419" s="193">
        <f>VLOOKUP(C419,'Talente &amp; Stuff'!ER:FT,19,FALSE)</f>
        <v>0</v>
      </c>
      <c r="V419" s="116">
        <f>VLOOKUP(C419,'Talente &amp; Stuff'!ER:FT,20,FALSE)</f>
        <v>0</v>
      </c>
      <c r="W419" s="126">
        <f>VLOOKUP(C419,'Talente &amp; Stuff'!ER:FT,21,FALSE)</f>
        <v>0</v>
      </c>
      <c r="X419" s="126">
        <f>VLOOKUP(C419,'Talente &amp; Stuff'!ER:FT,22,FALSE)</f>
        <v>0</v>
      </c>
      <c r="Y419" s="165">
        <f>VLOOKUP(C419,Ausgewählte_Liturgien_Peraine,168,FALSE)</f>
        <v>0</v>
      </c>
      <c r="Z419" s="44">
        <f>VLOOKUP(C419,Ausgewählte_Liturgien_Peraine,169,FALSE)</f>
        <v>0</v>
      </c>
      <c r="AA419" s="158">
        <f>VLOOKUP(C419,'Talente &amp; Stuff'!ER:FT,25,FALSE)</f>
        <v>0</v>
      </c>
      <c r="AB419" s="91">
        <f>VLOOKUP(C419,'Talente &amp; Stuff'!ER:FT,26,FALSE)</f>
        <v>0</v>
      </c>
      <c r="AC419" s="126">
        <f>VLOOKUP(C419,'Talente &amp; Stuff'!ER:FT,27,FALSE)</f>
        <v>0</v>
      </c>
      <c r="AD419" s="158">
        <f>VLOOKUP(C419,'Talente &amp; Stuff'!ER:FT,28,FALSE)</f>
        <v>0</v>
      </c>
      <c r="AE419" s="28"/>
    </row>
    <row r="420" spans="2:31" ht="15" hidden="1" customHeight="1" outlineLevel="2">
      <c r="B420" s="148">
        <v>2</v>
      </c>
      <c r="C420" s="177" t="str">
        <f>Attribute!C420</f>
        <v>---</v>
      </c>
      <c r="D420" s="125" t="str">
        <f>VLOOKUP(C420,'Talente &amp; Stuff'!ER:FT,2,FALSE)</f>
        <v>--/--/--</v>
      </c>
      <c r="E420" s="47" t="str">
        <f>VLOOKUP(C420,'Talente &amp; Stuff'!ER:FT,3,FALSE)</f>
        <v>-</v>
      </c>
      <c r="F420" s="114">
        <f>VLOOKUP(C420,'Talente &amp; Stuff'!ER:FT,4,FALSE)</f>
        <v>0</v>
      </c>
      <c r="G420" s="113">
        <f>VLOOKUP(C420,'Talente &amp; Stuff'!ER:FT,5,FALSE)</f>
        <v>0</v>
      </c>
      <c r="H420" s="113">
        <f>VLOOKUP(C420,'Talente &amp; Stuff'!ER:FT,6,FALSE)</f>
        <v>0</v>
      </c>
      <c r="I420" s="113">
        <f>VLOOKUP(C420,'Talente &amp; Stuff'!ER:FT,7,FALSE)</f>
        <v>0</v>
      </c>
      <c r="J420" s="113">
        <f>VLOOKUP(C420,'Talente &amp; Stuff'!ER:FT,8,FALSE)</f>
        <v>0</v>
      </c>
      <c r="K420" s="113">
        <f>VLOOKUP(C420,'Talente &amp; Stuff'!ER:FT,9,FALSE)</f>
        <v>0</v>
      </c>
      <c r="L420" s="113">
        <f>VLOOKUP(C420,'Talente &amp; Stuff'!ER:FT,10,FALSE)</f>
        <v>0</v>
      </c>
      <c r="M420" s="119">
        <f>VLOOKUP(C420,'Talente &amp; Stuff'!ER:FT,11,FALSE)</f>
        <v>0</v>
      </c>
      <c r="N420" s="47">
        <f>VLOOKUP(C420,'Talente &amp; Stuff'!ER:FT,12,FALSE)</f>
        <v>0</v>
      </c>
      <c r="O420" s="47">
        <f>VLOOKUP(C420,'Talente &amp; Stuff'!ER:FT,13,FALSE)</f>
        <v>0</v>
      </c>
      <c r="P420" s="113">
        <f>VLOOKUP(C420,'Talente &amp; Stuff'!ER:FT,14,FALSE)</f>
        <v>0</v>
      </c>
      <c r="Q420" s="114">
        <f>VLOOKUP(C420,'Talente &amp; Stuff'!ER:FT,15,FALSE)</f>
        <v>0</v>
      </c>
      <c r="R420" s="113">
        <f>VLOOKUP(C420,'Talente &amp; Stuff'!ER:FT,16,FALSE)</f>
        <v>0</v>
      </c>
      <c r="S420" s="119">
        <f>VLOOKUP(C420,'Talente &amp; Stuff'!ER:FT,17,FALSE)</f>
        <v>0</v>
      </c>
      <c r="T420" s="160">
        <f>VLOOKUP(C420,'Talente &amp; Stuff'!ER:FT,18,FALSE)</f>
        <v>0</v>
      </c>
      <c r="U420" s="89">
        <f>VLOOKUP(C420,'Talente &amp; Stuff'!ER:FT,19,FALSE)</f>
        <v>0</v>
      </c>
      <c r="V420" s="47">
        <f>VLOOKUP(C420,'Talente &amp; Stuff'!ER:FT,20,FALSE)</f>
        <v>0</v>
      </c>
      <c r="W420" s="127">
        <f>VLOOKUP(C420,'Talente &amp; Stuff'!ER:FT,21,FALSE)</f>
        <v>0</v>
      </c>
      <c r="X420" s="127">
        <f>VLOOKUP(C420,'Talente &amp; Stuff'!ER:FT,22,FALSE)</f>
        <v>0</v>
      </c>
      <c r="Y420" s="165">
        <f>VLOOKUP(C420,Ausgewählte_Liturgien_Peraine,168,FALSE)</f>
        <v>0</v>
      </c>
      <c r="Z420" s="44">
        <f>VLOOKUP(C420,Ausgewählte_Liturgien_Peraine,169,FALSE)</f>
        <v>0</v>
      </c>
      <c r="AA420" s="125">
        <f>VLOOKUP(C420,'Talente &amp; Stuff'!ER:FT,25,FALSE)</f>
        <v>0</v>
      </c>
      <c r="AB420" s="160">
        <f>VLOOKUP(C420,'Talente &amp; Stuff'!ER:FT,26,FALSE)</f>
        <v>0</v>
      </c>
      <c r="AC420" s="127">
        <f>VLOOKUP(C420,'Talente &amp; Stuff'!ER:FT,27,FALSE)</f>
        <v>0</v>
      </c>
      <c r="AD420" s="125">
        <f>VLOOKUP(C420,'Talente &amp; Stuff'!ER:FT,28,FALSE)</f>
        <v>0</v>
      </c>
      <c r="AE420" s="28"/>
    </row>
    <row r="421" spans="2:31" ht="15" hidden="1" customHeight="1" outlineLevel="2">
      <c r="B421" s="148">
        <v>3</v>
      </c>
      <c r="C421" s="177" t="str">
        <f>Attribute!C421</f>
        <v>---</v>
      </c>
      <c r="D421" s="125" t="str">
        <f>VLOOKUP(C421,'Talente &amp; Stuff'!ER:FT,2,FALSE)</f>
        <v>--/--/--</v>
      </c>
      <c r="E421" s="47" t="str">
        <f>VLOOKUP(C421,'Talente &amp; Stuff'!ER:FT,3,FALSE)</f>
        <v>-</v>
      </c>
      <c r="F421" s="114">
        <f>VLOOKUP(C421,'Talente &amp; Stuff'!ER:FT,4,FALSE)</f>
        <v>0</v>
      </c>
      <c r="G421" s="113">
        <f>VLOOKUP(C421,'Talente &amp; Stuff'!ER:FT,5,FALSE)</f>
        <v>0</v>
      </c>
      <c r="H421" s="113">
        <f>VLOOKUP(C421,'Talente &amp; Stuff'!ER:FT,6,FALSE)</f>
        <v>0</v>
      </c>
      <c r="I421" s="113">
        <f>VLOOKUP(C421,'Talente &amp; Stuff'!ER:FT,7,FALSE)</f>
        <v>0</v>
      </c>
      <c r="J421" s="113">
        <f>VLOOKUP(C421,'Talente &amp; Stuff'!ER:FT,8,FALSE)</f>
        <v>0</v>
      </c>
      <c r="K421" s="113">
        <f>VLOOKUP(C421,'Talente &amp; Stuff'!ER:FT,9,FALSE)</f>
        <v>0</v>
      </c>
      <c r="L421" s="113">
        <f>VLOOKUP(C421,'Talente &amp; Stuff'!ER:FT,10,FALSE)</f>
        <v>0</v>
      </c>
      <c r="M421" s="119">
        <f>VLOOKUP(C421,'Talente &amp; Stuff'!ER:FT,11,FALSE)</f>
        <v>0</v>
      </c>
      <c r="N421" s="47">
        <f>VLOOKUP(C421,'Talente &amp; Stuff'!ER:FT,12,FALSE)</f>
        <v>0</v>
      </c>
      <c r="O421" s="47">
        <f>VLOOKUP(C421,'Talente &amp; Stuff'!ER:FT,13,FALSE)</f>
        <v>0</v>
      </c>
      <c r="P421" s="113">
        <f>VLOOKUP(C421,'Talente &amp; Stuff'!ER:FT,14,FALSE)</f>
        <v>0</v>
      </c>
      <c r="Q421" s="114">
        <f>VLOOKUP(C421,'Talente &amp; Stuff'!ER:FT,15,FALSE)</f>
        <v>0</v>
      </c>
      <c r="R421" s="113">
        <f>VLOOKUP(C421,'Talente &amp; Stuff'!ER:FT,16,FALSE)</f>
        <v>0</v>
      </c>
      <c r="S421" s="119">
        <f>VLOOKUP(C421,'Talente &amp; Stuff'!ER:FT,17,FALSE)</f>
        <v>0</v>
      </c>
      <c r="T421" s="160">
        <f>VLOOKUP(C421,'Talente &amp; Stuff'!ER:FT,18,FALSE)</f>
        <v>0</v>
      </c>
      <c r="U421" s="89">
        <f>VLOOKUP(C421,'Talente &amp; Stuff'!ER:FT,19,FALSE)</f>
        <v>0</v>
      </c>
      <c r="V421" s="47">
        <f>VLOOKUP(C421,'Talente &amp; Stuff'!ER:FT,20,FALSE)</f>
        <v>0</v>
      </c>
      <c r="W421" s="127">
        <f>VLOOKUP(C421,'Talente &amp; Stuff'!ER:FT,21,FALSE)</f>
        <v>0</v>
      </c>
      <c r="X421" s="127">
        <f>VLOOKUP(C421,'Talente &amp; Stuff'!ER:FT,22,FALSE)</f>
        <v>0</v>
      </c>
      <c r="Y421" s="165">
        <f>VLOOKUP(C421,Ausgewählte_Liturgien_Peraine,168,FALSE)</f>
        <v>0</v>
      </c>
      <c r="Z421" s="44">
        <f>VLOOKUP(C421,Ausgewählte_Liturgien_Peraine,169,FALSE)</f>
        <v>0</v>
      </c>
      <c r="AA421" s="125">
        <f>VLOOKUP(C421,'Talente &amp; Stuff'!ER:FT,25,FALSE)</f>
        <v>0</v>
      </c>
      <c r="AB421" s="160">
        <f>VLOOKUP(C421,'Talente &amp; Stuff'!ER:FT,26,FALSE)</f>
        <v>0</v>
      </c>
      <c r="AC421" s="127">
        <f>VLOOKUP(C421,'Talente &amp; Stuff'!ER:FT,27,FALSE)</f>
        <v>0</v>
      </c>
      <c r="AD421" s="125">
        <f>VLOOKUP(C421,'Talente &amp; Stuff'!ER:FT,28,FALSE)</f>
        <v>0</v>
      </c>
      <c r="AE421" s="28"/>
    </row>
    <row r="422" spans="2:31" ht="15" hidden="1" customHeight="1" outlineLevel="2">
      <c r="B422" s="148">
        <v>4</v>
      </c>
      <c r="C422" s="177" t="str">
        <f>Attribute!C422</f>
        <v>---</v>
      </c>
      <c r="D422" s="125" t="str">
        <f>VLOOKUP(C422,'Talente &amp; Stuff'!ER:FT,2,FALSE)</f>
        <v>--/--/--</v>
      </c>
      <c r="E422" s="47" t="str">
        <f>VLOOKUP(C422,'Talente &amp; Stuff'!ER:FT,3,FALSE)</f>
        <v>-</v>
      </c>
      <c r="F422" s="114">
        <f>VLOOKUP(C422,'Talente &amp; Stuff'!ER:FT,4,FALSE)</f>
        <v>0</v>
      </c>
      <c r="G422" s="113">
        <f>VLOOKUP(C422,'Talente &amp; Stuff'!ER:FT,5,FALSE)</f>
        <v>0</v>
      </c>
      <c r="H422" s="113">
        <f>VLOOKUP(C422,'Talente &amp; Stuff'!ER:FT,6,FALSE)</f>
        <v>0</v>
      </c>
      <c r="I422" s="113">
        <f>VLOOKUP(C422,'Talente &amp; Stuff'!ER:FT,7,FALSE)</f>
        <v>0</v>
      </c>
      <c r="J422" s="113">
        <f>VLOOKUP(C422,'Talente &amp; Stuff'!ER:FT,8,FALSE)</f>
        <v>0</v>
      </c>
      <c r="K422" s="113">
        <f>VLOOKUP(C422,'Talente &amp; Stuff'!ER:FT,9,FALSE)</f>
        <v>0</v>
      </c>
      <c r="L422" s="113">
        <f>VLOOKUP(C422,'Talente &amp; Stuff'!ER:FT,10,FALSE)</f>
        <v>0</v>
      </c>
      <c r="M422" s="119">
        <f>VLOOKUP(C422,'Talente &amp; Stuff'!ER:FT,11,FALSE)</f>
        <v>0</v>
      </c>
      <c r="N422" s="47">
        <f>VLOOKUP(C422,'Talente &amp; Stuff'!ER:FT,12,FALSE)</f>
        <v>0</v>
      </c>
      <c r="O422" s="47">
        <f>VLOOKUP(C422,'Talente &amp; Stuff'!ER:FT,13,FALSE)</f>
        <v>0</v>
      </c>
      <c r="P422" s="113">
        <f>VLOOKUP(C422,'Talente &amp; Stuff'!ER:FT,14,FALSE)</f>
        <v>0</v>
      </c>
      <c r="Q422" s="114">
        <f>VLOOKUP(C422,'Talente &amp; Stuff'!ER:FT,15,FALSE)</f>
        <v>0</v>
      </c>
      <c r="R422" s="113">
        <f>VLOOKUP(C422,'Talente &amp; Stuff'!ER:FT,16,FALSE)</f>
        <v>0</v>
      </c>
      <c r="S422" s="119">
        <f>VLOOKUP(C422,'Talente &amp; Stuff'!ER:FT,17,FALSE)</f>
        <v>0</v>
      </c>
      <c r="T422" s="160">
        <f>VLOOKUP(C422,'Talente &amp; Stuff'!ER:FT,18,FALSE)</f>
        <v>0</v>
      </c>
      <c r="U422" s="89">
        <f>VLOOKUP(C422,'Talente &amp; Stuff'!ER:FT,19,FALSE)</f>
        <v>0</v>
      </c>
      <c r="V422" s="47">
        <f>VLOOKUP(C422,'Talente &amp; Stuff'!ER:FT,20,FALSE)</f>
        <v>0</v>
      </c>
      <c r="W422" s="127">
        <f>VLOOKUP(C422,'Talente &amp; Stuff'!ER:FT,21,FALSE)</f>
        <v>0</v>
      </c>
      <c r="X422" s="127">
        <f>VLOOKUP(C422,'Talente &amp; Stuff'!ER:FT,22,FALSE)</f>
        <v>0</v>
      </c>
      <c r="Y422" s="165">
        <f>VLOOKUP(C422,Ausgewählte_Liturgien_Peraine,168,FALSE)</f>
        <v>0</v>
      </c>
      <c r="Z422" s="44">
        <f>VLOOKUP(C422,Ausgewählte_Liturgien_Peraine,169,FALSE)</f>
        <v>0</v>
      </c>
      <c r="AA422" s="125">
        <f>VLOOKUP(C422,'Talente &amp; Stuff'!ER:FT,25,FALSE)</f>
        <v>0</v>
      </c>
      <c r="AB422" s="160">
        <f>VLOOKUP(C422,'Talente &amp; Stuff'!ER:FT,26,FALSE)</f>
        <v>0</v>
      </c>
      <c r="AC422" s="127">
        <f>VLOOKUP(C422,'Talente &amp; Stuff'!ER:FT,27,FALSE)</f>
        <v>0</v>
      </c>
      <c r="AD422" s="125">
        <f>VLOOKUP(C422,'Talente &amp; Stuff'!ER:FT,28,FALSE)</f>
        <v>0</v>
      </c>
      <c r="AE422" s="28"/>
    </row>
    <row r="423" spans="2:31" ht="15" hidden="1" customHeight="1" outlineLevel="2">
      <c r="B423" s="137">
        <v>5</v>
      </c>
      <c r="C423" s="178" t="str">
        <f>Attribute!C423</f>
        <v>---</v>
      </c>
      <c r="D423" s="159" t="str">
        <f>VLOOKUP(C423,'Talente &amp; Stuff'!ER:FT,2,FALSE)</f>
        <v>--/--/--</v>
      </c>
      <c r="E423" s="88" t="str">
        <f>VLOOKUP(C423,'Talente &amp; Stuff'!ER:FT,3,FALSE)</f>
        <v>-</v>
      </c>
      <c r="F423" s="115">
        <f>VLOOKUP(C423,'Talente &amp; Stuff'!ER:FT,4,FALSE)</f>
        <v>0</v>
      </c>
      <c r="G423" s="122">
        <f>VLOOKUP(C423,'Talente &amp; Stuff'!ER:FT,5,FALSE)</f>
        <v>0</v>
      </c>
      <c r="H423" s="122">
        <f>VLOOKUP(C423,'Talente &amp; Stuff'!ER:FT,6,FALSE)</f>
        <v>0</v>
      </c>
      <c r="I423" s="122">
        <f>VLOOKUP(C423,'Talente &amp; Stuff'!ER:FT,7,FALSE)</f>
        <v>0</v>
      </c>
      <c r="J423" s="122">
        <f>VLOOKUP(C423,'Talente &amp; Stuff'!ER:FT,8,FALSE)</f>
        <v>0</v>
      </c>
      <c r="K423" s="122">
        <f>VLOOKUP(C423,'Talente &amp; Stuff'!ER:FT,9,FALSE)</f>
        <v>0</v>
      </c>
      <c r="L423" s="122">
        <f>VLOOKUP(C423,'Talente &amp; Stuff'!ER:FT,10,FALSE)</f>
        <v>0</v>
      </c>
      <c r="M423" s="123">
        <f>VLOOKUP(C423,'Talente &amp; Stuff'!ER:FT,11,FALSE)</f>
        <v>0</v>
      </c>
      <c r="N423" s="88">
        <f>VLOOKUP(C423,'Talente &amp; Stuff'!ER:FT,12,FALSE)</f>
        <v>0</v>
      </c>
      <c r="O423" s="88">
        <f>VLOOKUP(C423,'Talente &amp; Stuff'!ER:FT,13,FALSE)</f>
        <v>0</v>
      </c>
      <c r="P423" s="122">
        <f>VLOOKUP(C423,'Talente &amp; Stuff'!ER:FT,14,FALSE)</f>
        <v>0</v>
      </c>
      <c r="Q423" s="115">
        <f>VLOOKUP(C423,'Talente &amp; Stuff'!ER:FT,15,FALSE)</f>
        <v>0</v>
      </c>
      <c r="R423" s="122">
        <f>VLOOKUP(C423,'Talente &amp; Stuff'!ER:FT,16,FALSE)</f>
        <v>0</v>
      </c>
      <c r="S423" s="123">
        <f>VLOOKUP(C423,'Talente &amp; Stuff'!ER:FT,17,FALSE)</f>
        <v>0</v>
      </c>
      <c r="T423" s="161">
        <f>VLOOKUP(C423,'Talente &amp; Stuff'!ER:FT,18,FALSE)</f>
        <v>0</v>
      </c>
      <c r="U423" s="90">
        <f>VLOOKUP(C423,'Talente &amp; Stuff'!ER:FT,19,FALSE)</f>
        <v>0</v>
      </c>
      <c r="V423" s="88">
        <f>VLOOKUP(C423,'Talente &amp; Stuff'!ER:FT,20,FALSE)</f>
        <v>0</v>
      </c>
      <c r="W423" s="128">
        <f>VLOOKUP(C423,'Talente &amp; Stuff'!ER:FT,21,FALSE)</f>
        <v>0</v>
      </c>
      <c r="X423" s="128">
        <f>VLOOKUP(C423,'Talente &amp; Stuff'!ER:FT,22,FALSE)</f>
        <v>0</v>
      </c>
      <c r="Y423" s="165">
        <f>VLOOKUP(C423,Ausgewählte_Liturgien_Peraine,168,FALSE)</f>
        <v>0</v>
      </c>
      <c r="Z423" s="44">
        <f>VLOOKUP(C423,Ausgewählte_Liturgien_Peraine,169,FALSE)</f>
        <v>0</v>
      </c>
      <c r="AA423" s="159">
        <f>VLOOKUP(C423,'Talente &amp; Stuff'!ER:FT,25,FALSE)</f>
        <v>0</v>
      </c>
      <c r="AB423" s="161">
        <f>VLOOKUP(C423,'Talente &amp; Stuff'!ER:FT,26,FALSE)</f>
        <v>0</v>
      </c>
      <c r="AC423" s="128">
        <f>VLOOKUP(C423,'Talente &amp; Stuff'!ER:FT,27,FALSE)</f>
        <v>0</v>
      </c>
      <c r="AD423" s="159">
        <f>VLOOKUP(C423,'Talente &amp; Stuff'!ER:FT,28,FALSE)</f>
        <v>0</v>
      </c>
      <c r="AE423" s="28"/>
    </row>
    <row r="424" spans="2:31" ht="15" hidden="1" customHeight="1" outlineLevel="1" collapsed="1">
      <c r="B424" s="134" t="s">
        <v>323</v>
      </c>
      <c r="C424" s="83"/>
      <c r="D424" s="84"/>
      <c r="E424" s="84"/>
    </row>
    <row r="425" spans="2:31" ht="15" hidden="1" customHeight="1" outlineLevel="2">
      <c r="B425" s="148">
        <v>1</v>
      </c>
      <c r="C425" s="176" t="str">
        <f>Attribute!C425</f>
        <v>---</v>
      </c>
      <c r="D425" s="158" t="str">
        <f>VLOOKUP(C425,'Talente &amp; Stuff'!ER:FT,2,FALSE)</f>
        <v>--/--/--</v>
      </c>
      <c r="E425" s="116" t="str">
        <f>VLOOKUP(C425,'Talente &amp; Stuff'!ER:FT,3,FALSE)</f>
        <v>-</v>
      </c>
      <c r="F425" s="191">
        <f>VLOOKUP(C425,'Talente &amp; Stuff'!ER:FT,4,FALSE)</f>
        <v>0</v>
      </c>
      <c r="G425" s="118">
        <f>VLOOKUP(C425,'Talente &amp; Stuff'!ER:FT,5,FALSE)</f>
        <v>0</v>
      </c>
      <c r="H425" s="118">
        <f>VLOOKUP(C425,'Talente &amp; Stuff'!ER:FT,6,FALSE)</f>
        <v>0</v>
      </c>
      <c r="I425" s="118">
        <f>VLOOKUP(C425,'Talente &amp; Stuff'!ER:FT,7,FALSE)</f>
        <v>0</v>
      </c>
      <c r="J425" s="118">
        <f>VLOOKUP(C425,'Talente &amp; Stuff'!ER:FT,8,FALSE)</f>
        <v>0</v>
      </c>
      <c r="K425" s="118">
        <f>VLOOKUP(C425,'Talente &amp; Stuff'!ER:FT,9,FALSE)</f>
        <v>0</v>
      </c>
      <c r="L425" s="118">
        <f>VLOOKUP(C425,'Talente &amp; Stuff'!ER:FT,10,FALSE)</f>
        <v>0</v>
      </c>
      <c r="M425" s="92">
        <f>VLOOKUP(C425,'Talente &amp; Stuff'!ER:FT,11,FALSE)</f>
        <v>0</v>
      </c>
      <c r="N425" s="116">
        <f>VLOOKUP(C425,'Talente &amp; Stuff'!ER:FT,12,FALSE)</f>
        <v>0</v>
      </c>
      <c r="O425" s="116">
        <f>VLOOKUP(C425,'Talente &amp; Stuff'!ER:FT,13,FALSE)</f>
        <v>0</v>
      </c>
      <c r="P425" s="118">
        <f>VLOOKUP(C425,'Talente &amp; Stuff'!ER:FT,14,FALSE)</f>
        <v>0</v>
      </c>
      <c r="Q425" s="191">
        <f>VLOOKUP(C425,'Talente &amp; Stuff'!ER:FT,15,FALSE)</f>
        <v>0</v>
      </c>
      <c r="R425" s="118">
        <f>VLOOKUP(C425,'Talente &amp; Stuff'!ER:FT,16,FALSE)</f>
        <v>0</v>
      </c>
      <c r="S425" s="92">
        <f>VLOOKUP(C425,'Talente &amp; Stuff'!ER:FT,17,FALSE)</f>
        <v>0</v>
      </c>
      <c r="T425" s="91">
        <f>VLOOKUP(C425,'Talente &amp; Stuff'!ER:FT,18,FALSE)</f>
        <v>0</v>
      </c>
      <c r="U425" s="193">
        <f>VLOOKUP(C425,'Talente &amp; Stuff'!ER:FT,19,FALSE)</f>
        <v>0</v>
      </c>
      <c r="V425" s="116">
        <f>VLOOKUP(C425,'Talente &amp; Stuff'!ER:FT,20,FALSE)</f>
        <v>0</v>
      </c>
      <c r="W425" s="126">
        <f>VLOOKUP(C425,'Talente &amp; Stuff'!ER:FT,21,FALSE)</f>
        <v>0</v>
      </c>
      <c r="X425" s="126">
        <f>VLOOKUP(C425,'Talente &amp; Stuff'!ER:FT,22,FALSE)</f>
        <v>0</v>
      </c>
      <c r="Y425" s="165">
        <f t="shared" ref="Y425:Y432" si="34">VLOOKUP(C425,Ausgewählte_Liturgien_Phex,168,FALSE)</f>
        <v>0</v>
      </c>
      <c r="Z425" s="44">
        <f t="shared" ref="Z425:Z432" si="35">VLOOKUP(C425,Ausgewählte_Liturgien_Phex,169,FALSE)</f>
        <v>0</v>
      </c>
      <c r="AA425" s="158">
        <f>VLOOKUP(C425,'Talente &amp; Stuff'!ER:FT,25,FALSE)</f>
        <v>0</v>
      </c>
      <c r="AB425" s="91">
        <f>VLOOKUP(C425,'Talente &amp; Stuff'!ER:FT,26,FALSE)</f>
        <v>0</v>
      </c>
      <c r="AC425" s="126">
        <f>VLOOKUP(C425,'Talente &amp; Stuff'!ER:FT,27,FALSE)</f>
        <v>0</v>
      </c>
      <c r="AD425" s="158">
        <f>VLOOKUP(C425,'Talente &amp; Stuff'!ER:FT,28,FALSE)</f>
        <v>0</v>
      </c>
      <c r="AE425" s="28"/>
    </row>
    <row r="426" spans="2:31" ht="15" hidden="1" customHeight="1" outlineLevel="2">
      <c r="B426" s="148">
        <v>2</v>
      </c>
      <c r="C426" s="177" t="str">
        <f>Attribute!C426</f>
        <v>---</v>
      </c>
      <c r="D426" s="125" t="str">
        <f>VLOOKUP(C426,'Talente &amp; Stuff'!ER:FT,2,FALSE)</f>
        <v>--/--/--</v>
      </c>
      <c r="E426" s="47" t="str">
        <f>VLOOKUP(C426,'Talente &amp; Stuff'!ER:FT,3,FALSE)</f>
        <v>-</v>
      </c>
      <c r="F426" s="114">
        <f>VLOOKUP(C426,'Talente &amp; Stuff'!ER:FT,4,FALSE)</f>
        <v>0</v>
      </c>
      <c r="G426" s="113">
        <f>VLOOKUP(C426,'Talente &amp; Stuff'!ER:FT,5,FALSE)</f>
        <v>0</v>
      </c>
      <c r="H426" s="113">
        <f>VLOOKUP(C426,'Talente &amp; Stuff'!ER:FT,6,FALSE)</f>
        <v>0</v>
      </c>
      <c r="I426" s="113">
        <f>VLOOKUP(C426,'Talente &amp; Stuff'!ER:FT,7,FALSE)</f>
        <v>0</v>
      </c>
      <c r="J426" s="113">
        <f>VLOOKUP(C426,'Talente &amp; Stuff'!ER:FT,8,FALSE)</f>
        <v>0</v>
      </c>
      <c r="K426" s="113">
        <f>VLOOKUP(C426,'Talente &amp; Stuff'!ER:FT,9,FALSE)</f>
        <v>0</v>
      </c>
      <c r="L426" s="113">
        <f>VLOOKUP(C426,'Talente &amp; Stuff'!ER:FT,10,FALSE)</f>
        <v>0</v>
      </c>
      <c r="M426" s="119">
        <f>VLOOKUP(C426,'Talente &amp; Stuff'!ER:FT,11,FALSE)</f>
        <v>0</v>
      </c>
      <c r="N426" s="47">
        <f>VLOOKUP(C426,'Talente &amp; Stuff'!ER:FT,12,FALSE)</f>
        <v>0</v>
      </c>
      <c r="O426" s="47">
        <f>VLOOKUP(C426,'Talente &amp; Stuff'!ER:FT,13,FALSE)</f>
        <v>0</v>
      </c>
      <c r="P426" s="113">
        <f>VLOOKUP(C426,'Talente &amp; Stuff'!ER:FT,14,FALSE)</f>
        <v>0</v>
      </c>
      <c r="Q426" s="114">
        <f>VLOOKUP(C426,'Talente &amp; Stuff'!ER:FT,15,FALSE)</f>
        <v>0</v>
      </c>
      <c r="R426" s="113">
        <f>VLOOKUP(C426,'Talente &amp; Stuff'!ER:FT,16,FALSE)</f>
        <v>0</v>
      </c>
      <c r="S426" s="119">
        <f>VLOOKUP(C426,'Talente &amp; Stuff'!ER:FT,17,FALSE)</f>
        <v>0</v>
      </c>
      <c r="T426" s="160">
        <f>VLOOKUP(C426,'Talente &amp; Stuff'!ER:FT,18,FALSE)</f>
        <v>0</v>
      </c>
      <c r="U426" s="89">
        <f>VLOOKUP(C426,'Talente &amp; Stuff'!ER:FT,19,FALSE)</f>
        <v>0</v>
      </c>
      <c r="V426" s="47">
        <f>VLOOKUP(C426,'Talente &amp; Stuff'!ER:FT,20,FALSE)</f>
        <v>0</v>
      </c>
      <c r="W426" s="127">
        <f>VLOOKUP(C426,'Talente &amp; Stuff'!ER:FT,21,FALSE)</f>
        <v>0</v>
      </c>
      <c r="X426" s="127">
        <f>VLOOKUP(C426,'Talente &amp; Stuff'!ER:FT,22,FALSE)</f>
        <v>0</v>
      </c>
      <c r="Y426" s="165">
        <f t="shared" si="34"/>
        <v>0</v>
      </c>
      <c r="Z426" s="44">
        <f t="shared" si="35"/>
        <v>0</v>
      </c>
      <c r="AA426" s="125">
        <f>VLOOKUP(C426,'Talente &amp; Stuff'!ER:FT,25,FALSE)</f>
        <v>0</v>
      </c>
      <c r="AB426" s="160">
        <f>VLOOKUP(C426,'Talente &amp; Stuff'!ER:FT,26,FALSE)</f>
        <v>0</v>
      </c>
      <c r="AC426" s="127">
        <f>VLOOKUP(C426,'Talente &amp; Stuff'!ER:FT,27,FALSE)</f>
        <v>0</v>
      </c>
      <c r="AD426" s="125">
        <f>VLOOKUP(C426,'Talente &amp; Stuff'!ER:FT,28,FALSE)</f>
        <v>0</v>
      </c>
      <c r="AE426" s="28"/>
    </row>
    <row r="427" spans="2:31" ht="15" hidden="1" customHeight="1" outlineLevel="2">
      <c r="B427" s="148">
        <v>3</v>
      </c>
      <c r="C427" s="177" t="str">
        <f>Attribute!C427</f>
        <v>---</v>
      </c>
      <c r="D427" s="125" t="str">
        <f>VLOOKUP(C427,'Talente &amp; Stuff'!ER:FT,2,FALSE)</f>
        <v>--/--/--</v>
      </c>
      <c r="E427" s="47" t="str">
        <f>VLOOKUP(C427,'Talente &amp; Stuff'!ER:FT,3,FALSE)</f>
        <v>-</v>
      </c>
      <c r="F427" s="114">
        <f>VLOOKUP(C427,'Talente &amp; Stuff'!ER:FT,4,FALSE)</f>
        <v>0</v>
      </c>
      <c r="G427" s="113">
        <f>VLOOKUP(C427,'Talente &amp; Stuff'!ER:FT,5,FALSE)</f>
        <v>0</v>
      </c>
      <c r="H427" s="113">
        <f>VLOOKUP(C427,'Talente &amp; Stuff'!ER:FT,6,FALSE)</f>
        <v>0</v>
      </c>
      <c r="I427" s="113">
        <f>VLOOKUP(C427,'Talente &amp; Stuff'!ER:FT,7,FALSE)</f>
        <v>0</v>
      </c>
      <c r="J427" s="113">
        <f>VLOOKUP(C427,'Talente &amp; Stuff'!ER:FT,8,FALSE)</f>
        <v>0</v>
      </c>
      <c r="K427" s="113">
        <f>VLOOKUP(C427,'Talente &amp; Stuff'!ER:FT,9,FALSE)</f>
        <v>0</v>
      </c>
      <c r="L427" s="113">
        <f>VLOOKUP(C427,'Talente &amp; Stuff'!ER:FT,10,FALSE)</f>
        <v>0</v>
      </c>
      <c r="M427" s="119">
        <f>VLOOKUP(C427,'Talente &amp; Stuff'!ER:FT,11,FALSE)</f>
        <v>0</v>
      </c>
      <c r="N427" s="47">
        <f>VLOOKUP(C427,'Talente &amp; Stuff'!ER:FT,12,FALSE)</f>
        <v>0</v>
      </c>
      <c r="O427" s="47">
        <f>VLOOKUP(C427,'Talente &amp; Stuff'!ER:FT,13,FALSE)</f>
        <v>0</v>
      </c>
      <c r="P427" s="113">
        <f>VLOOKUP(C427,'Talente &amp; Stuff'!ER:FT,14,FALSE)</f>
        <v>0</v>
      </c>
      <c r="Q427" s="114">
        <f>VLOOKUP(C427,'Talente &amp; Stuff'!ER:FT,15,FALSE)</f>
        <v>0</v>
      </c>
      <c r="R427" s="113">
        <f>VLOOKUP(C427,'Talente &amp; Stuff'!ER:FT,16,FALSE)</f>
        <v>0</v>
      </c>
      <c r="S427" s="119">
        <f>VLOOKUP(C427,'Talente &amp; Stuff'!ER:FT,17,FALSE)</f>
        <v>0</v>
      </c>
      <c r="T427" s="160">
        <f>VLOOKUP(C427,'Talente &amp; Stuff'!ER:FT,18,FALSE)</f>
        <v>0</v>
      </c>
      <c r="U427" s="89">
        <f>VLOOKUP(C427,'Talente &amp; Stuff'!ER:FT,19,FALSE)</f>
        <v>0</v>
      </c>
      <c r="V427" s="47">
        <f>VLOOKUP(C427,'Talente &amp; Stuff'!ER:FT,20,FALSE)</f>
        <v>0</v>
      </c>
      <c r="W427" s="127">
        <f>VLOOKUP(C427,'Talente &amp; Stuff'!ER:FT,21,FALSE)</f>
        <v>0</v>
      </c>
      <c r="X427" s="127">
        <f>VLOOKUP(C427,'Talente &amp; Stuff'!ER:FT,22,FALSE)</f>
        <v>0</v>
      </c>
      <c r="Y427" s="165">
        <f t="shared" si="34"/>
        <v>0</v>
      </c>
      <c r="Z427" s="44">
        <f t="shared" si="35"/>
        <v>0</v>
      </c>
      <c r="AA427" s="125">
        <f>VLOOKUP(C427,'Talente &amp; Stuff'!ER:FT,25,FALSE)</f>
        <v>0</v>
      </c>
      <c r="AB427" s="160">
        <f>VLOOKUP(C427,'Talente &amp; Stuff'!ER:FT,26,FALSE)</f>
        <v>0</v>
      </c>
      <c r="AC427" s="127">
        <f>VLOOKUP(C427,'Talente &amp; Stuff'!ER:FT,27,FALSE)</f>
        <v>0</v>
      </c>
      <c r="AD427" s="125">
        <f>VLOOKUP(C427,'Talente &amp; Stuff'!ER:FT,28,FALSE)</f>
        <v>0</v>
      </c>
      <c r="AE427" s="28"/>
    </row>
    <row r="428" spans="2:31" ht="15" hidden="1" customHeight="1" outlineLevel="2">
      <c r="B428" s="148">
        <v>4</v>
      </c>
      <c r="C428" s="177" t="str">
        <f>Attribute!C428</f>
        <v>---</v>
      </c>
      <c r="D428" s="125" t="str">
        <f>VLOOKUP(C428,'Talente &amp; Stuff'!ER:FT,2,FALSE)</f>
        <v>--/--/--</v>
      </c>
      <c r="E428" s="47" t="str">
        <f>VLOOKUP(C428,'Talente &amp; Stuff'!ER:FT,3,FALSE)</f>
        <v>-</v>
      </c>
      <c r="F428" s="114">
        <f>VLOOKUP(C428,'Talente &amp; Stuff'!ER:FT,4,FALSE)</f>
        <v>0</v>
      </c>
      <c r="G428" s="113">
        <f>VLOOKUP(C428,'Talente &amp; Stuff'!ER:FT,5,FALSE)</f>
        <v>0</v>
      </c>
      <c r="H428" s="113">
        <f>VLOOKUP(C428,'Talente &amp; Stuff'!ER:FT,6,FALSE)</f>
        <v>0</v>
      </c>
      <c r="I428" s="113">
        <f>VLOOKUP(C428,'Talente &amp; Stuff'!ER:FT,7,FALSE)</f>
        <v>0</v>
      </c>
      <c r="J428" s="113">
        <f>VLOOKUP(C428,'Talente &amp; Stuff'!ER:FT,8,FALSE)</f>
        <v>0</v>
      </c>
      <c r="K428" s="113">
        <f>VLOOKUP(C428,'Talente &amp; Stuff'!ER:FT,9,FALSE)</f>
        <v>0</v>
      </c>
      <c r="L428" s="113">
        <f>VLOOKUP(C428,'Talente &amp; Stuff'!ER:FT,10,FALSE)</f>
        <v>0</v>
      </c>
      <c r="M428" s="119">
        <f>VLOOKUP(C428,'Talente &amp; Stuff'!ER:FT,11,FALSE)</f>
        <v>0</v>
      </c>
      <c r="N428" s="47">
        <f>VLOOKUP(C428,'Talente &amp; Stuff'!ER:FT,12,FALSE)</f>
        <v>0</v>
      </c>
      <c r="O428" s="47">
        <f>VLOOKUP(C428,'Talente &amp; Stuff'!ER:FT,13,FALSE)</f>
        <v>0</v>
      </c>
      <c r="P428" s="113">
        <f>VLOOKUP(C428,'Talente &amp; Stuff'!ER:FT,14,FALSE)</f>
        <v>0</v>
      </c>
      <c r="Q428" s="114">
        <f>VLOOKUP(C428,'Talente &amp; Stuff'!ER:FT,15,FALSE)</f>
        <v>0</v>
      </c>
      <c r="R428" s="113">
        <f>VLOOKUP(C428,'Talente &amp; Stuff'!ER:FT,16,FALSE)</f>
        <v>0</v>
      </c>
      <c r="S428" s="119">
        <f>VLOOKUP(C428,'Talente &amp; Stuff'!ER:FT,17,FALSE)</f>
        <v>0</v>
      </c>
      <c r="T428" s="160">
        <f>VLOOKUP(C428,'Talente &amp; Stuff'!ER:FT,18,FALSE)</f>
        <v>0</v>
      </c>
      <c r="U428" s="89">
        <f>VLOOKUP(C428,'Talente &amp; Stuff'!ER:FT,19,FALSE)</f>
        <v>0</v>
      </c>
      <c r="V428" s="47">
        <f>VLOOKUP(C428,'Talente &amp; Stuff'!ER:FT,20,FALSE)</f>
        <v>0</v>
      </c>
      <c r="W428" s="127">
        <f>VLOOKUP(C428,'Talente &amp; Stuff'!ER:FT,21,FALSE)</f>
        <v>0</v>
      </c>
      <c r="X428" s="127">
        <f>VLOOKUP(C428,'Talente &amp; Stuff'!ER:FT,22,FALSE)</f>
        <v>0</v>
      </c>
      <c r="Y428" s="165">
        <f t="shared" si="34"/>
        <v>0</v>
      </c>
      <c r="Z428" s="44">
        <f t="shared" si="35"/>
        <v>0</v>
      </c>
      <c r="AA428" s="125">
        <f>VLOOKUP(C428,'Talente &amp; Stuff'!ER:FT,25,FALSE)</f>
        <v>0</v>
      </c>
      <c r="AB428" s="160">
        <f>VLOOKUP(C428,'Talente &amp; Stuff'!ER:FT,26,FALSE)</f>
        <v>0</v>
      </c>
      <c r="AC428" s="127">
        <f>VLOOKUP(C428,'Talente &amp; Stuff'!ER:FT,27,FALSE)</f>
        <v>0</v>
      </c>
      <c r="AD428" s="125">
        <f>VLOOKUP(C428,'Talente &amp; Stuff'!ER:FT,28,FALSE)</f>
        <v>0</v>
      </c>
      <c r="AE428" s="28"/>
    </row>
    <row r="429" spans="2:31" ht="15" hidden="1" customHeight="1" outlineLevel="2">
      <c r="B429" s="148">
        <v>5</v>
      </c>
      <c r="C429" s="177" t="str">
        <f>Attribute!C429</f>
        <v>---</v>
      </c>
      <c r="D429" s="125" t="str">
        <f>VLOOKUP(C429,'Talente &amp; Stuff'!ER:FT,2,FALSE)</f>
        <v>--/--/--</v>
      </c>
      <c r="E429" s="47" t="str">
        <f>VLOOKUP(C429,'Talente &amp; Stuff'!ER:FT,3,FALSE)</f>
        <v>-</v>
      </c>
      <c r="F429" s="114">
        <f>VLOOKUP(C429,'Talente &amp; Stuff'!ER:FT,4,FALSE)</f>
        <v>0</v>
      </c>
      <c r="G429" s="113">
        <f>VLOOKUP(C429,'Talente &amp; Stuff'!ER:FT,5,FALSE)</f>
        <v>0</v>
      </c>
      <c r="H429" s="113">
        <f>VLOOKUP(C429,'Talente &amp; Stuff'!ER:FT,6,FALSE)</f>
        <v>0</v>
      </c>
      <c r="I429" s="113">
        <f>VLOOKUP(C429,'Talente &amp; Stuff'!ER:FT,7,FALSE)</f>
        <v>0</v>
      </c>
      <c r="J429" s="113">
        <f>VLOOKUP(C429,'Talente &amp; Stuff'!ER:FT,8,FALSE)</f>
        <v>0</v>
      </c>
      <c r="K429" s="113">
        <f>VLOOKUP(C429,'Talente &amp; Stuff'!ER:FT,9,FALSE)</f>
        <v>0</v>
      </c>
      <c r="L429" s="113">
        <f>VLOOKUP(C429,'Talente &amp; Stuff'!ER:FT,10,FALSE)</f>
        <v>0</v>
      </c>
      <c r="M429" s="119">
        <f>VLOOKUP(C429,'Talente &amp; Stuff'!ER:FT,11,FALSE)</f>
        <v>0</v>
      </c>
      <c r="N429" s="47">
        <f>VLOOKUP(C429,'Talente &amp; Stuff'!ER:FT,12,FALSE)</f>
        <v>0</v>
      </c>
      <c r="O429" s="47">
        <f>VLOOKUP(C429,'Talente &amp; Stuff'!ER:FT,13,FALSE)</f>
        <v>0</v>
      </c>
      <c r="P429" s="113">
        <f>VLOOKUP(C429,'Talente &amp; Stuff'!ER:FT,14,FALSE)</f>
        <v>0</v>
      </c>
      <c r="Q429" s="114">
        <f>VLOOKUP(C429,'Talente &amp; Stuff'!ER:FT,15,FALSE)</f>
        <v>0</v>
      </c>
      <c r="R429" s="113">
        <f>VLOOKUP(C429,'Talente &amp; Stuff'!ER:FT,16,FALSE)</f>
        <v>0</v>
      </c>
      <c r="S429" s="119">
        <f>VLOOKUP(C429,'Talente &amp; Stuff'!ER:FT,17,FALSE)</f>
        <v>0</v>
      </c>
      <c r="T429" s="160">
        <f>VLOOKUP(C429,'Talente &amp; Stuff'!ER:FT,18,FALSE)</f>
        <v>0</v>
      </c>
      <c r="U429" s="89">
        <f>VLOOKUP(C429,'Talente &amp; Stuff'!ER:FT,19,FALSE)</f>
        <v>0</v>
      </c>
      <c r="V429" s="47">
        <f>VLOOKUP(C429,'Talente &amp; Stuff'!ER:FT,20,FALSE)</f>
        <v>0</v>
      </c>
      <c r="W429" s="127">
        <f>VLOOKUP(C429,'Talente &amp; Stuff'!ER:FT,21,FALSE)</f>
        <v>0</v>
      </c>
      <c r="X429" s="127">
        <f>VLOOKUP(C429,'Talente &amp; Stuff'!ER:FT,22,FALSE)</f>
        <v>0</v>
      </c>
      <c r="Y429" s="165">
        <f t="shared" si="34"/>
        <v>0</v>
      </c>
      <c r="Z429" s="44">
        <f t="shared" si="35"/>
        <v>0</v>
      </c>
      <c r="AA429" s="125">
        <f>VLOOKUP(C429,'Talente &amp; Stuff'!ER:FT,25,FALSE)</f>
        <v>0</v>
      </c>
      <c r="AB429" s="160">
        <f>VLOOKUP(C429,'Talente &amp; Stuff'!ER:FT,26,FALSE)</f>
        <v>0</v>
      </c>
      <c r="AC429" s="127">
        <f>VLOOKUP(C429,'Talente &amp; Stuff'!ER:FT,27,FALSE)</f>
        <v>0</v>
      </c>
      <c r="AD429" s="125">
        <f>VLOOKUP(C429,'Talente &amp; Stuff'!ER:FT,28,FALSE)</f>
        <v>0</v>
      </c>
      <c r="AE429" s="28"/>
    </row>
    <row r="430" spans="2:31" ht="15" hidden="1" customHeight="1" outlineLevel="2">
      <c r="B430" s="148">
        <v>6</v>
      </c>
      <c r="C430" s="177" t="str">
        <f>Attribute!C430</f>
        <v>---</v>
      </c>
      <c r="D430" s="125" t="str">
        <f>VLOOKUP(C430,'Talente &amp; Stuff'!ER:FT,2,FALSE)</f>
        <v>--/--/--</v>
      </c>
      <c r="E430" s="47" t="str">
        <f>VLOOKUP(C430,'Talente &amp; Stuff'!ER:FT,3,FALSE)</f>
        <v>-</v>
      </c>
      <c r="F430" s="114">
        <f>VLOOKUP(C430,'Talente &amp; Stuff'!ER:FT,4,FALSE)</f>
        <v>0</v>
      </c>
      <c r="G430" s="113">
        <f>VLOOKUP(C430,'Talente &amp; Stuff'!ER:FT,5,FALSE)</f>
        <v>0</v>
      </c>
      <c r="H430" s="113">
        <f>VLOOKUP(C430,'Talente &amp; Stuff'!ER:FT,6,FALSE)</f>
        <v>0</v>
      </c>
      <c r="I430" s="113">
        <f>VLOOKUP(C430,'Talente &amp; Stuff'!ER:FT,7,FALSE)</f>
        <v>0</v>
      </c>
      <c r="J430" s="113">
        <f>VLOOKUP(C430,'Talente &amp; Stuff'!ER:FT,8,FALSE)</f>
        <v>0</v>
      </c>
      <c r="K430" s="113">
        <f>VLOOKUP(C430,'Talente &amp; Stuff'!ER:FT,9,FALSE)</f>
        <v>0</v>
      </c>
      <c r="L430" s="113">
        <f>VLOOKUP(C430,'Talente &amp; Stuff'!ER:FT,10,FALSE)</f>
        <v>0</v>
      </c>
      <c r="M430" s="119">
        <f>VLOOKUP(C430,'Talente &amp; Stuff'!ER:FT,11,FALSE)</f>
        <v>0</v>
      </c>
      <c r="N430" s="47">
        <f>VLOOKUP(C430,'Talente &amp; Stuff'!ER:FT,12,FALSE)</f>
        <v>0</v>
      </c>
      <c r="O430" s="47">
        <f>VLOOKUP(C430,'Talente &amp; Stuff'!ER:FT,13,FALSE)</f>
        <v>0</v>
      </c>
      <c r="P430" s="113">
        <f>VLOOKUP(C430,'Talente &amp; Stuff'!ER:FT,14,FALSE)</f>
        <v>0</v>
      </c>
      <c r="Q430" s="114">
        <f>VLOOKUP(C430,'Talente &amp; Stuff'!ER:FT,15,FALSE)</f>
        <v>0</v>
      </c>
      <c r="R430" s="113">
        <f>VLOOKUP(C430,'Talente &amp; Stuff'!ER:FT,16,FALSE)</f>
        <v>0</v>
      </c>
      <c r="S430" s="119">
        <f>VLOOKUP(C430,'Talente &amp; Stuff'!ER:FT,17,FALSE)</f>
        <v>0</v>
      </c>
      <c r="T430" s="160">
        <f>VLOOKUP(C430,'Talente &amp; Stuff'!ER:FT,18,FALSE)</f>
        <v>0</v>
      </c>
      <c r="U430" s="89">
        <f>VLOOKUP(C430,'Talente &amp; Stuff'!ER:FT,19,FALSE)</f>
        <v>0</v>
      </c>
      <c r="V430" s="47">
        <f>VLOOKUP(C430,'Talente &amp; Stuff'!ER:FT,20,FALSE)</f>
        <v>0</v>
      </c>
      <c r="W430" s="127">
        <f>VLOOKUP(C430,'Talente &amp; Stuff'!ER:FT,21,FALSE)</f>
        <v>0</v>
      </c>
      <c r="X430" s="127">
        <f>VLOOKUP(C430,'Talente &amp; Stuff'!ER:FT,22,FALSE)</f>
        <v>0</v>
      </c>
      <c r="Y430" s="165">
        <f t="shared" si="34"/>
        <v>0</v>
      </c>
      <c r="Z430" s="44">
        <f t="shared" si="35"/>
        <v>0</v>
      </c>
      <c r="AA430" s="125">
        <f>VLOOKUP(C430,'Talente &amp; Stuff'!ER:FT,25,FALSE)</f>
        <v>0</v>
      </c>
      <c r="AB430" s="160">
        <f>VLOOKUP(C430,'Talente &amp; Stuff'!ER:FT,26,FALSE)</f>
        <v>0</v>
      </c>
      <c r="AC430" s="127">
        <f>VLOOKUP(C430,'Talente &amp; Stuff'!ER:FT,27,FALSE)</f>
        <v>0</v>
      </c>
      <c r="AD430" s="125">
        <f>VLOOKUP(C430,'Talente &amp; Stuff'!ER:FT,28,FALSE)</f>
        <v>0</v>
      </c>
      <c r="AE430" s="28"/>
    </row>
    <row r="431" spans="2:31" ht="15" hidden="1" customHeight="1" outlineLevel="2">
      <c r="B431" s="148">
        <v>7</v>
      </c>
      <c r="C431" s="177" t="str">
        <f>Attribute!C431</f>
        <v>---</v>
      </c>
      <c r="D431" s="125" t="str">
        <f>VLOOKUP(C431,'Talente &amp; Stuff'!ER:FT,2,FALSE)</f>
        <v>--/--/--</v>
      </c>
      <c r="E431" s="47" t="str">
        <f>VLOOKUP(C431,'Talente &amp; Stuff'!ER:FT,3,FALSE)</f>
        <v>-</v>
      </c>
      <c r="F431" s="114">
        <f>VLOOKUP(C431,'Talente &amp; Stuff'!ER:FT,4,FALSE)</f>
        <v>0</v>
      </c>
      <c r="G431" s="113">
        <f>VLOOKUP(C431,'Talente &amp; Stuff'!ER:FT,5,FALSE)</f>
        <v>0</v>
      </c>
      <c r="H431" s="113">
        <f>VLOOKUP(C431,'Talente &amp; Stuff'!ER:FT,6,FALSE)</f>
        <v>0</v>
      </c>
      <c r="I431" s="113">
        <f>VLOOKUP(C431,'Talente &amp; Stuff'!ER:FT,7,FALSE)</f>
        <v>0</v>
      </c>
      <c r="J431" s="113">
        <f>VLOOKUP(C431,'Talente &amp; Stuff'!ER:FT,8,FALSE)</f>
        <v>0</v>
      </c>
      <c r="K431" s="113">
        <f>VLOOKUP(C431,'Talente &amp; Stuff'!ER:FT,9,FALSE)</f>
        <v>0</v>
      </c>
      <c r="L431" s="113">
        <f>VLOOKUP(C431,'Talente &amp; Stuff'!ER:FT,10,FALSE)</f>
        <v>0</v>
      </c>
      <c r="M431" s="119">
        <f>VLOOKUP(C431,'Talente &amp; Stuff'!ER:FT,11,FALSE)</f>
        <v>0</v>
      </c>
      <c r="N431" s="47">
        <f>VLOOKUP(C431,'Talente &amp; Stuff'!ER:FT,12,FALSE)</f>
        <v>0</v>
      </c>
      <c r="O431" s="47">
        <f>VLOOKUP(C431,'Talente &amp; Stuff'!ER:FT,13,FALSE)</f>
        <v>0</v>
      </c>
      <c r="P431" s="113">
        <f>VLOOKUP(C431,'Talente &amp; Stuff'!ER:FT,14,FALSE)</f>
        <v>0</v>
      </c>
      <c r="Q431" s="114">
        <f>VLOOKUP(C431,'Talente &amp; Stuff'!ER:FT,15,FALSE)</f>
        <v>0</v>
      </c>
      <c r="R431" s="113">
        <f>VLOOKUP(C431,'Talente &amp; Stuff'!ER:FT,16,FALSE)</f>
        <v>0</v>
      </c>
      <c r="S431" s="119">
        <f>VLOOKUP(C431,'Talente &amp; Stuff'!ER:FT,17,FALSE)</f>
        <v>0</v>
      </c>
      <c r="T431" s="160">
        <f>VLOOKUP(C431,'Talente &amp; Stuff'!ER:FT,18,FALSE)</f>
        <v>0</v>
      </c>
      <c r="U431" s="89">
        <f>VLOOKUP(C431,'Talente &amp; Stuff'!ER:FT,19,FALSE)</f>
        <v>0</v>
      </c>
      <c r="V431" s="47">
        <f>VLOOKUP(C431,'Talente &amp; Stuff'!ER:FT,20,FALSE)</f>
        <v>0</v>
      </c>
      <c r="W431" s="127">
        <f>VLOOKUP(C431,'Talente &amp; Stuff'!ER:FT,21,FALSE)</f>
        <v>0</v>
      </c>
      <c r="X431" s="127">
        <f>VLOOKUP(C431,'Talente &amp; Stuff'!ER:FT,22,FALSE)</f>
        <v>0</v>
      </c>
      <c r="Y431" s="165">
        <f t="shared" si="34"/>
        <v>0</v>
      </c>
      <c r="Z431" s="44">
        <f t="shared" si="35"/>
        <v>0</v>
      </c>
      <c r="AA431" s="125">
        <f>VLOOKUP(C431,'Talente &amp; Stuff'!ER:FT,25,FALSE)</f>
        <v>0</v>
      </c>
      <c r="AB431" s="160">
        <f>VLOOKUP(C431,'Talente &amp; Stuff'!ER:FT,26,FALSE)</f>
        <v>0</v>
      </c>
      <c r="AC431" s="127">
        <f>VLOOKUP(C431,'Talente &amp; Stuff'!ER:FT,27,FALSE)</f>
        <v>0</v>
      </c>
      <c r="AD431" s="125">
        <f>VLOOKUP(C431,'Talente &amp; Stuff'!ER:FT,28,FALSE)</f>
        <v>0</v>
      </c>
      <c r="AE431" s="28"/>
    </row>
    <row r="432" spans="2:31" ht="15" hidden="1" customHeight="1" outlineLevel="2">
      <c r="B432" s="148">
        <v>8</v>
      </c>
      <c r="C432" s="178" t="str">
        <f>Attribute!C432</f>
        <v>---</v>
      </c>
      <c r="D432" s="159" t="str">
        <f>VLOOKUP(C432,'Talente &amp; Stuff'!ER:FT,2,FALSE)</f>
        <v>--/--/--</v>
      </c>
      <c r="E432" s="88" t="str">
        <f>VLOOKUP(C432,'Talente &amp; Stuff'!ER:FT,3,FALSE)</f>
        <v>-</v>
      </c>
      <c r="F432" s="115">
        <f>VLOOKUP(C432,'Talente &amp; Stuff'!ER:FT,4,FALSE)</f>
        <v>0</v>
      </c>
      <c r="G432" s="122">
        <f>VLOOKUP(C432,'Talente &amp; Stuff'!ER:FT,5,FALSE)</f>
        <v>0</v>
      </c>
      <c r="H432" s="122">
        <f>VLOOKUP(C432,'Talente &amp; Stuff'!ER:FT,6,FALSE)</f>
        <v>0</v>
      </c>
      <c r="I432" s="122">
        <f>VLOOKUP(C432,'Talente &amp; Stuff'!ER:FT,7,FALSE)</f>
        <v>0</v>
      </c>
      <c r="J432" s="122">
        <f>VLOOKUP(C432,'Talente &amp; Stuff'!ER:FT,8,FALSE)</f>
        <v>0</v>
      </c>
      <c r="K432" s="122">
        <f>VLOOKUP(C432,'Talente &amp; Stuff'!ER:FT,9,FALSE)</f>
        <v>0</v>
      </c>
      <c r="L432" s="122">
        <f>VLOOKUP(C432,'Talente &amp; Stuff'!ER:FT,10,FALSE)</f>
        <v>0</v>
      </c>
      <c r="M432" s="123">
        <f>VLOOKUP(C432,'Talente &amp; Stuff'!ER:FT,11,FALSE)</f>
        <v>0</v>
      </c>
      <c r="N432" s="88">
        <f>VLOOKUP(C432,'Talente &amp; Stuff'!ER:FT,12,FALSE)</f>
        <v>0</v>
      </c>
      <c r="O432" s="88">
        <f>VLOOKUP(C432,'Talente &amp; Stuff'!ER:FT,13,FALSE)</f>
        <v>0</v>
      </c>
      <c r="P432" s="122">
        <f>VLOOKUP(C432,'Talente &amp; Stuff'!ER:FT,14,FALSE)</f>
        <v>0</v>
      </c>
      <c r="Q432" s="115">
        <f>VLOOKUP(C432,'Talente &amp; Stuff'!ER:FT,15,FALSE)</f>
        <v>0</v>
      </c>
      <c r="R432" s="122">
        <f>VLOOKUP(C432,'Talente &amp; Stuff'!ER:FT,16,FALSE)</f>
        <v>0</v>
      </c>
      <c r="S432" s="123">
        <f>VLOOKUP(C432,'Talente &amp; Stuff'!ER:FT,17,FALSE)</f>
        <v>0</v>
      </c>
      <c r="T432" s="161">
        <f>VLOOKUP(C432,'Talente &amp; Stuff'!ER:FT,18,FALSE)</f>
        <v>0</v>
      </c>
      <c r="U432" s="90">
        <f>VLOOKUP(C432,'Talente &amp; Stuff'!ER:FT,19,FALSE)</f>
        <v>0</v>
      </c>
      <c r="V432" s="88">
        <f>VLOOKUP(C432,'Talente &amp; Stuff'!ER:FT,20,FALSE)</f>
        <v>0</v>
      </c>
      <c r="W432" s="128">
        <f>VLOOKUP(C432,'Talente &amp; Stuff'!ER:FT,21,FALSE)</f>
        <v>0</v>
      </c>
      <c r="X432" s="128">
        <f>VLOOKUP(C432,'Talente &amp; Stuff'!ER:FT,22,FALSE)</f>
        <v>0</v>
      </c>
      <c r="Y432" s="165">
        <f t="shared" si="34"/>
        <v>0</v>
      </c>
      <c r="Z432" s="44">
        <f t="shared" si="35"/>
        <v>0</v>
      </c>
      <c r="AA432" s="159">
        <f>VLOOKUP(C432,'Talente &amp; Stuff'!ER:FT,25,FALSE)</f>
        <v>0</v>
      </c>
      <c r="AB432" s="161">
        <f>VLOOKUP(C432,'Talente &amp; Stuff'!ER:FT,26,FALSE)</f>
        <v>0</v>
      </c>
      <c r="AC432" s="128">
        <f>VLOOKUP(C432,'Talente &amp; Stuff'!ER:FT,27,FALSE)</f>
        <v>0</v>
      </c>
      <c r="AD432" s="159">
        <f>VLOOKUP(C432,'Talente &amp; Stuff'!ER:FT,28,FALSE)</f>
        <v>0</v>
      </c>
      <c r="AE432" s="28"/>
    </row>
    <row r="433" spans="1:31" ht="15" hidden="1" customHeight="1" outlineLevel="1" collapsed="1">
      <c r="B433" s="134" t="s">
        <v>322</v>
      </c>
      <c r="C433" s="83"/>
      <c r="D433" s="84"/>
      <c r="E433" s="84"/>
    </row>
    <row r="434" spans="1:31" ht="15" hidden="1" customHeight="1" outlineLevel="2">
      <c r="B434" s="148">
        <v>1</v>
      </c>
      <c r="C434" s="176" t="str">
        <f>Attribute!C434</f>
        <v>---</v>
      </c>
      <c r="D434" s="158" t="str">
        <f>VLOOKUP(C434,'Talente &amp; Stuff'!ER:FT,2,FALSE)</f>
        <v>--/--/--</v>
      </c>
      <c r="E434" s="116" t="str">
        <f>VLOOKUP(C434,'Talente &amp; Stuff'!ER:FT,3,FALSE)</f>
        <v>-</v>
      </c>
      <c r="F434" s="191">
        <f>VLOOKUP(C434,'Talente &amp; Stuff'!ER:FT,4,FALSE)</f>
        <v>0</v>
      </c>
      <c r="G434" s="118">
        <f>VLOOKUP(C434,'Talente &amp; Stuff'!ER:FT,5,FALSE)</f>
        <v>0</v>
      </c>
      <c r="H434" s="118">
        <f>VLOOKUP(C434,'Talente &amp; Stuff'!ER:FT,6,FALSE)</f>
        <v>0</v>
      </c>
      <c r="I434" s="118">
        <f>VLOOKUP(C434,'Talente &amp; Stuff'!ER:FT,7,FALSE)</f>
        <v>0</v>
      </c>
      <c r="J434" s="118">
        <f>VLOOKUP(C434,'Talente &amp; Stuff'!ER:FT,8,FALSE)</f>
        <v>0</v>
      </c>
      <c r="K434" s="118">
        <f>VLOOKUP(C434,'Talente &amp; Stuff'!ER:FT,9,FALSE)</f>
        <v>0</v>
      </c>
      <c r="L434" s="118">
        <f>VLOOKUP(C434,'Talente &amp; Stuff'!ER:FT,10,FALSE)</f>
        <v>0</v>
      </c>
      <c r="M434" s="92">
        <f>VLOOKUP(C434,'Talente &amp; Stuff'!ER:FT,11,FALSE)</f>
        <v>0</v>
      </c>
      <c r="N434" s="116">
        <f>VLOOKUP(C434,'Talente &amp; Stuff'!ER:FT,12,FALSE)</f>
        <v>0</v>
      </c>
      <c r="O434" s="116">
        <f>VLOOKUP(C434,'Talente &amp; Stuff'!ER:FT,13,FALSE)</f>
        <v>0</v>
      </c>
      <c r="P434" s="118">
        <f>VLOOKUP(C434,'Talente &amp; Stuff'!ER:FT,14,FALSE)</f>
        <v>0</v>
      </c>
      <c r="Q434" s="191">
        <f>VLOOKUP(C434,'Talente &amp; Stuff'!ER:FT,15,FALSE)</f>
        <v>0</v>
      </c>
      <c r="R434" s="118">
        <f>VLOOKUP(C434,'Talente &amp; Stuff'!ER:FT,16,FALSE)</f>
        <v>0</v>
      </c>
      <c r="S434" s="92">
        <f>VLOOKUP(C434,'Talente &amp; Stuff'!ER:FT,17,FALSE)</f>
        <v>0</v>
      </c>
      <c r="T434" s="91">
        <f>VLOOKUP(C434,'Talente &amp; Stuff'!ER:FT,18,FALSE)</f>
        <v>0</v>
      </c>
      <c r="U434" s="193">
        <f>VLOOKUP(C434,'Talente &amp; Stuff'!ER:FT,19,FALSE)</f>
        <v>0</v>
      </c>
      <c r="V434" s="116">
        <f>VLOOKUP(C434,'Talente &amp; Stuff'!ER:FT,20,FALSE)</f>
        <v>0</v>
      </c>
      <c r="W434" s="126">
        <f>VLOOKUP(C434,'Talente &amp; Stuff'!ER:FT,21,FALSE)</f>
        <v>0</v>
      </c>
      <c r="X434" s="126">
        <f>VLOOKUP(C434,'Talente &amp; Stuff'!ER:FT,22,FALSE)</f>
        <v>0</v>
      </c>
      <c r="Y434" s="175">
        <f t="shared" ref="Y434:Y439" si="36">VLOOKUP(C434,Ausgewählte_Liturgien_Praios,168,FALSE)</f>
        <v>0</v>
      </c>
      <c r="Z434" s="198">
        <f t="shared" ref="Z434:Z439" si="37">VLOOKUP(C434,Ausgewählte_Liturgien_Praios,169,FALSE)</f>
        <v>0</v>
      </c>
      <c r="AA434" s="158">
        <f>VLOOKUP(C434,'Talente &amp; Stuff'!ER:FT,25,FALSE)</f>
        <v>0</v>
      </c>
      <c r="AB434" s="91">
        <f>VLOOKUP(C434,'Talente &amp; Stuff'!ER:FT,26,FALSE)</f>
        <v>0</v>
      </c>
      <c r="AC434" s="126">
        <f>VLOOKUP(C434,'Talente &amp; Stuff'!ER:FT,27,FALSE)</f>
        <v>0</v>
      </c>
      <c r="AD434" s="158">
        <f>VLOOKUP(C434,'Talente &amp; Stuff'!ER:FT,28,FALSE)</f>
        <v>0</v>
      </c>
      <c r="AE434" s="28"/>
    </row>
    <row r="435" spans="1:31" ht="15" hidden="1" customHeight="1" outlineLevel="2">
      <c r="B435" s="148">
        <v>2</v>
      </c>
      <c r="C435" s="177" t="str">
        <f>Attribute!C435</f>
        <v>---</v>
      </c>
      <c r="D435" s="125" t="str">
        <f>VLOOKUP(C435,'Talente &amp; Stuff'!ER:FT,2,FALSE)</f>
        <v>--/--/--</v>
      </c>
      <c r="E435" s="47" t="str">
        <f>VLOOKUP(C435,'Talente &amp; Stuff'!ER:FT,3,FALSE)</f>
        <v>-</v>
      </c>
      <c r="F435" s="114">
        <f>VLOOKUP(C435,'Talente &amp; Stuff'!ER:FT,4,FALSE)</f>
        <v>0</v>
      </c>
      <c r="G435" s="113">
        <f>VLOOKUP(C435,'Talente &amp; Stuff'!ER:FT,5,FALSE)</f>
        <v>0</v>
      </c>
      <c r="H435" s="113">
        <f>VLOOKUP(C435,'Talente &amp; Stuff'!ER:FT,6,FALSE)</f>
        <v>0</v>
      </c>
      <c r="I435" s="113">
        <f>VLOOKUP(C435,'Talente &amp; Stuff'!ER:FT,7,FALSE)</f>
        <v>0</v>
      </c>
      <c r="J435" s="113">
        <f>VLOOKUP(C435,'Talente &amp; Stuff'!ER:FT,8,FALSE)</f>
        <v>0</v>
      </c>
      <c r="K435" s="113">
        <f>VLOOKUP(C435,'Talente &amp; Stuff'!ER:FT,9,FALSE)</f>
        <v>0</v>
      </c>
      <c r="L435" s="113">
        <f>VLOOKUP(C435,'Talente &amp; Stuff'!ER:FT,10,FALSE)</f>
        <v>0</v>
      </c>
      <c r="M435" s="119">
        <f>VLOOKUP(C435,'Talente &amp; Stuff'!ER:FT,11,FALSE)</f>
        <v>0</v>
      </c>
      <c r="N435" s="47">
        <f>VLOOKUP(C435,'Talente &amp; Stuff'!ER:FT,12,FALSE)</f>
        <v>0</v>
      </c>
      <c r="O435" s="47">
        <f>VLOOKUP(C435,'Talente &amp; Stuff'!ER:FT,13,FALSE)</f>
        <v>0</v>
      </c>
      <c r="P435" s="113">
        <f>VLOOKUP(C435,'Talente &amp; Stuff'!ER:FT,14,FALSE)</f>
        <v>0</v>
      </c>
      <c r="Q435" s="114">
        <f>VLOOKUP(C435,'Talente &amp; Stuff'!ER:FT,15,FALSE)</f>
        <v>0</v>
      </c>
      <c r="R435" s="113">
        <f>VLOOKUP(C435,'Talente &amp; Stuff'!ER:FT,16,FALSE)</f>
        <v>0</v>
      </c>
      <c r="S435" s="119">
        <f>VLOOKUP(C435,'Talente &amp; Stuff'!ER:FT,17,FALSE)</f>
        <v>0</v>
      </c>
      <c r="T435" s="160">
        <f>VLOOKUP(C435,'Talente &amp; Stuff'!ER:FT,18,FALSE)</f>
        <v>0</v>
      </c>
      <c r="U435" s="89">
        <f>VLOOKUP(C435,'Talente &amp; Stuff'!ER:FT,19,FALSE)</f>
        <v>0</v>
      </c>
      <c r="V435" s="47">
        <f>VLOOKUP(C435,'Talente &amp; Stuff'!ER:FT,20,FALSE)</f>
        <v>0</v>
      </c>
      <c r="W435" s="127">
        <f>VLOOKUP(C435,'Talente &amp; Stuff'!ER:FT,21,FALSE)</f>
        <v>0</v>
      </c>
      <c r="X435" s="127">
        <f>VLOOKUP(C435,'Talente &amp; Stuff'!ER:FT,22,FALSE)</f>
        <v>0</v>
      </c>
      <c r="Y435" s="175">
        <f t="shared" si="36"/>
        <v>0</v>
      </c>
      <c r="Z435" s="198">
        <f t="shared" si="37"/>
        <v>0</v>
      </c>
      <c r="AA435" s="125">
        <f>VLOOKUP(C435,'Talente &amp; Stuff'!ER:FT,25,FALSE)</f>
        <v>0</v>
      </c>
      <c r="AB435" s="160">
        <f>VLOOKUP(C435,'Talente &amp; Stuff'!ER:FT,26,FALSE)</f>
        <v>0</v>
      </c>
      <c r="AC435" s="127">
        <f>VLOOKUP(C435,'Talente &amp; Stuff'!ER:FT,27,FALSE)</f>
        <v>0</v>
      </c>
      <c r="AD435" s="125">
        <f>VLOOKUP(C435,'Talente &amp; Stuff'!ER:FT,28,FALSE)</f>
        <v>0</v>
      </c>
      <c r="AE435" s="28"/>
    </row>
    <row r="436" spans="1:31" ht="15" hidden="1" customHeight="1" outlineLevel="2">
      <c r="B436" s="148">
        <v>3</v>
      </c>
      <c r="C436" s="177" t="str">
        <f>Attribute!C436</f>
        <v>---</v>
      </c>
      <c r="D436" s="125" t="str">
        <f>VLOOKUP(C436,'Talente &amp; Stuff'!ER:FT,2,FALSE)</f>
        <v>--/--/--</v>
      </c>
      <c r="E436" s="47" t="str">
        <f>VLOOKUP(C436,'Talente &amp; Stuff'!ER:FT,3,FALSE)</f>
        <v>-</v>
      </c>
      <c r="F436" s="114">
        <f>VLOOKUP(C436,'Talente &amp; Stuff'!ER:FT,4,FALSE)</f>
        <v>0</v>
      </c>
      <c r="G436" s="113">
        <f>VLOOKUP(C436,'Talente &amp; Stuff'!ER:FT,5,FALSE)</f>
        <v>0</v>
      </c>
      <c r="H436" s="113">
        <f>VLOOKUP(C436,'Talente &amp; Stuff'!ER:FT,6,FALSE)</f>
        <v>0</v>
      </c>
      <c r="I436" s="113">
        <f>VLOOKUP(C436,'Talente &amp; Stuff'!ER:FT,7,FALSE)</f>
        <v>0</v>
      </c>
      <c r="J436" s="113">
        <f>VLOOKUP(C436,'Talente &amp; Stuff'!ER:FT,8,FALSE)</f>
        <v>0</v>
      </c>
      <c r="K436" s="113">
        <f>VLOOKUP(C436,'Talente &amp; Stuff'!ER:FT,9,FALSE)</f>
        <v>0</v>
      </c>
      <c r="L436" s="113">
        <f>VLOOKUP(C436,'Talente &amp; Stuff'!ER:FT,10,FALSE)</f>
        <v>0</v>
      </c>
      <c r="M436" s="119">
        <f>VLOOKUP(C436,'Talente &amp; Stuff'!ER:FT,11,FALSE)</f>
        <v>0</v>
      </c>
      <c r="N436" s="47">
        <f>VLOOKUP(C436,'Talente &amp; Stuff'!ER:FT,12,FALSE)</f>
        <v>0</v>
      </c>
      <c r="O436" s="47">
        <f>VLOOKUP(C436,'Talente &amp; Stuff'!ER:FT,13,FALSE)</f>
        <v>0</v>
      </c>
      <c r="P436" s="113">
        <f>VLOOKUP(C436,'Talente &amp; Stuff'!ER:FT,14,FALSE)</f>
        <v>0</v>
      </c>
      <c r="Q436" s="114">
        <f>VLOOKUP(C436,'Talente &amp; Stuff'!ER:FT,15,FALSE)</f>
        <v>0</v>
      </c>
      <c r="R436" s="113">
        <f>VLOOKUP(C436,'Talente &amp; Stuff'!ER:FT,16,FALSE)</f>
        <v>0</v>
      </c>
      <c r="S436" s="119">
        <f>VLOOKUP(C436,'Talente &amp; Stuff'!ER:FT,17,FALSE)</f>
        <v>0</v>
      </c>
      <c r="T436" s="160">
        <f>VLOOKUP(C436,'Talente &amp; Stuff'!ER:FT,18,FALSE)</f>
        <v>0</v>
      </c>
      <c r="U436" s="89">
        <f>VLOOKUP(C436,'Talente &amp; Stuff'!ER:FT,19,FALSE)</f>
        <v>0</v>
      </c>
      <c r="V436" s="47">
        <f>VLOOKUP(C436,'Talente &amp; Stuff'!ER:FT,20,FALSE)</f>
        <v>0</v>
      </c>
      <c r="W436" s="127">
        <f>VLOOKUP(C436,'Talente &amp; Stuff'!ER:FT,21,FALSE)</f>
        <v>0</v>
      </c>
      <c r="X436" s="127">
        <f>VLOOKUP(C436,'Talente &amp; Stuff'!ER:FT,22,FALSE)</f>
        <v>0</v>
      </c>
      <c r="Y436" s="175">
        <f t="shared" si="36"/>
        <v>0</v>
      </c>
      <c r="Z436" s="198">
        <f t="shared" si="37"/>
        <v>0</v>
      </c>
      <c r="AA436" s="125">
        <f>VLOOKUP(C436,'Talente &amp; Stuff'!ER:FT,25,FALSE)</f>
        <v>0</v>
      </c>
      <c r="AB436" s="160">
        <f>VLOOKUP(C436,'Talente &amp; Stuff'!ER:FT,26,FALSE)</f>
        <v>0</v>
      </c>
      <c r="AC436" s="127">
        <f>VLOOKUP(C436,'Talente &amp; Stuff'!ER:FT,27,FALSE)</f>
        <v>0</v>
      </c>
      <c r="AD436" s="125">
        <f>VLOOKUP(C436,'Talente &amp; Stuff'!ER:FT,28,FALSE)</f>
        <v>0</v>
      </c>
      <c r="AE436" s="28"/>
    </row>
    <row r="437" spans="1:31" ht="15" hidden="1" customHeight="1" outlineLevel="2">
      <c r="B437" s="148">
        <v>4</v>
      </c>
      <c r="C437" s="177" t="str">
        <f>Attribute!C437</f>
        <v>---</v>
      </c>
      <c r="D437" s="125" t="str">
        <f>VLOOKUP(C437,'Talente &amp; Stuff'!ER:FT,2,FALSE)</f>
        <v>--/--/--</v>
      </c>
      <c r="E437" s="47" t="str">
        <f>VLOOKUP(C437,'Talente &amp; Stuff'!ER:FT,3,FALSE)</f>
        <v>-</v>
      </c>
      <c r="F437" s="114">
        <f>VLOOKUP(C437,'Talente &amp; Stuff'!ER:FT,4,FALSE)</f>
        <v>0</v>
      </c>
      <c r="G437" s="113">
        <f>VLOOKUP(C437,'Talente &amp; Stuff'!ER:FT,5,FALSE)</f>
        <v>0</v>
      </c>
      <c r="H437" s="113">
        <f>VLOOKUP(C437,'Talente &amp; Stuff'!ER:FT,6,FALSE)</f>
        <v>0</v>
      </c>
      <c r="I437" s="113">
        <f>VLOOKUP(C437,'Talente &amp; Stuff'!ER:FT,7,FALSE)</f>
        <v>0</v>
      </c>
      <c r="J437" s="113">
        <f>VLOOKUP(C437,'Talente &amp; Stuff'!ER:FT,8,FALSE)</f>
        <v>0</v>
      </c>
      <c r="K437" s="113">
        <f>VLOOKUP(C437,'Talente &amp; Stuff'!ER:FT,9,FALSE)</f>
        <v>0</v>
      </c>
      <c r="L437" s="113">
        <f>VLOOKUP(C437,'Talente &amp; Stuff'!ER:FT,10,FALSE)</f>
        <v>0</v>
      </c>
      <c r="M437" s="119">
        <f>VLOOKUP(C437,'Talente &amp; Stuff'!ER:FT,11,FALSE)</f>
        <v>0</v>
      </c>
      <c r="N437" s="47">
        <f>VLOOKUP(C437,'Talente &amp; Stuff'!ER:FT,12,FALSE)</f>
        <v>0</v>
      </c>
      <c r="O437" s="47">
        <f>VLOOKUP(C437,'Talente &amp; Stuff'!ER:FT,13,FALSE)</f>
        <v>0</v>
      </c>
      <c r="P437" s="113">
        <f>VLOOKUP(C437,'Talente &amp; Stuff'!ER:FT,14,FALSE)</f>
        <v>0</v>
      </c>
      <c r="Q437" s="114">
        <f>VLOOKUP(C437,'Talente &amp; Stuff'!ER:FT,15,FALSE)</f>
        <v>0</v>
      </c>
      <c r="R437" s="113">
        <f>VLOOKUP(C437,'Talente &amp; Stuff'!ER:FT,16,FALSE)</f>
        <v>0</v>
      </c>
      <c r="S437" s="119">
        <f>VLOOKUP(C437,'Talente &amp; Stuff'!ER:FT,17,FALSE)</f>
        <v>0</v>
      </c>
      <c r="T437" s="160">
        <f>VLOOKUP(C437,'Talente &amp; Stuff'!ER:FT,18,FALSE)</f>
        <v>0</v>
      </c>
      <c r="U437" s="89">
        <f>VLOOKUP(C437,'Talente &amp; Stuff'!ER:FT,19,FALSE)</f>
        <v>0</v>
      </c>
      <c r="V437" s="47">
        <f>VLOOKUP(C437,'Talente &amp; Stuff'!ER:FT,20,FALSE)</f>
        <v>0</v>
      </c>
      <c r="W437" s="127">
        <f>VLOOKUP(C437,'Talente &amp; Stuff'!ER:FT,21,FALSE)</f>
        <v>0</v>
      </c>
      <c r="X437" s="127">
        <f>VLOOKUP(C437,'Talente &amp; Stuff'!ER:FT,22,FALSE)</f>
        <v>0</v>
      </c>
      <c r="Y437" s="175">
        <f t="shared" si="36"/>
        <v>0</v>
      </c>
      <c r="Z437" s="198">
        <f t="shared" si="37"/>
        <v>0</v>
      </c>
      <c r="AA437" s="125">
        <f>VLOOKUP(C437,'Talente &amp; Stuff'!ER:FT,25,FALSE)</f>
        <v>0</v>
      </c>
      <c r="AB437" s="160">
        <f>VLOOKUP(C437,'Talente &amp; Stuff'!ER:FT,26,FALSE)</f>
        <v>0</v>
      </c>
      <c r="AC437" s="127">
        <f>VLOOKUP(C437,'Talente &amp; Stuff'!ER:FT,27,FALSE)</f>
        <v>0</v>
      </c>
      <c r="AD437" s="125">
        <f>VLOOKUP(C437,'Talente &amp; Stuff'!ER:FT,28,FALSE)</f>
        <v>0</v>
      </c>
      <c r="AE437" s="28"/>
    </row>
    <row r="438" spans="1:31" ht="15" hidden="1" customHeight="1" outlineLevel="2">
      <c r="B438" s="148">
        <v>5</v>
      </c>
      <c r="C438" s="177" t="str">
        <f>Attribute!C438</f>
        <v>---</v>
      </c>
      <c r="D438" s="125" t="str">
        <f>VLOOKUP(C438,'Talente &amp; Stuff'!ER:FT,2,FALSE)</f>
        <v>--/--/--</v>
      </c>
      <c r="E438" s="47" t="str">
        <f>VLOOKUP(C438,'Talente &amp; Stuff'!ER:FT,3,FALSE)</f>
        <v>-</v>
      </c>
      <c r="F438" s="114">
        <f>VLOOKUP(C438,'Talente &amp; Stuff'!ER:FT,4,FALSE)</f>
        <v>0</v>
      </c>
      <c r="G438" s="113">
        <f>VLOOKUP(C438,'Talente &amp; Stuff'!ER:FT,5,FALSE)</f>
        <v>0</v>
      </c>
      <c r="H438" s="113">
        <f>VLOOKUP(C438,'Talente &amp; Stuff'!ER:FT,6,FALSE)</f>
        <v>0</v>
      </c>
      <c r="I438" s="113">
        <f>VLOOKUP(C438,'Talente &amp; Stuff'!ER:FT,7,FALSE)</f>
        <v>0</v>
      </c>
      <c r="J438" s="113">
        <f>VLOOKUP(C438,'Talente &amp; Stuff'!ER:FT,8,FALSE)</f>
        <v>0</v>
      </c>
      <c r="K438" s="113">
        <f>VLOOKUP(C438,'Talente &amp; Stuff'!ER:FT,9,FALSE)</f>
        <v>0</v>
      </c>
      <c r="L438" s="113">
        <f>VLOOKUP(C438,'Talente &amp; Stuff'!ER:FT,10,FALSE)</f>
        <v>0</v>
      </c>
      <c r="M438" s="119">
        <f>VLOOKUP(C438,'Talente &amp; Stuff'!ER:FT,11,FALSE)</f>
        <v>0</v>
      </c>
      <c r="N438" s="47">
        <f>VLOOKUP(C438,'Talente &amp; Stuff'!ER:FT,12,FALSE)</f>
        <v>0</v>
      </c>
      <c r="O438" s="47">
        <f>VLOOKUP(C438,'Talente &amp; Stuff'!ER:FT,13,FALSE)</f>
        <v>0</v>
      </c>
      <c r="P438" s="113">
        <f>VLOOKUP(C438,'Talente &amp; Stuff'!ER:FT,14,FALSE)</f>
        <v>0</v>
      </c>
      <c r="Q438" s="114">
        <f>VLOOKUP(C438,'Talente &amp; Stuff'!ER:FT,15,FALSE)</f>
        <v>0</v>
      </c>
      <c r="R438" s="113">
        <f>VLOOKUP(C438,'Talente &amp; Stuff'!ER:FT,16,FALSE)</f>
        <v>0</v>
      </c>
      <c r="S438" s="119">
        <f>VLOOKUP(C438,'Talente &amp; Stuff'!ER:FT,17,FALSE)</f>
        <v>0</v>
      </c>
      <c r="T438" s="160">
        <f>VLOOKUP(C438,'Talente &amp; Stuff'!ER:FT,18,FALSE)</f>
        <v>0</v>
      </c>
      <c r="U438" s="89">
        <f>VLOOKUP(C438,'Talente &amp; Stuff'!ER:FT,19,FALSE)</f>
        <v>0</v>
      </c>
      <c r="V438" s="47">
        <f>VLOOKUP(C438,'Talente &amp; Stuff'!ER:FT,20,FALSE)</f>
        <v>0</v>
      </c>
      <c r="W438" s="127">
        <f>VLOOKUP(C438,'Talente &amp; Stuff'!ER:FT,21,FALSE)</f>
        <v>0</v>
      </c>
      <c r="X438" s="127">
        <f>VLOOKUP(C438,'Talente &amp; Stuff'!ER:FT,22,FALSE)</f>
        <v>0</v>
      </c>
      <c r="Y438" s="175">
        <f t="shared" si="36"/>
        <v>0</v>
      </c>
      <c r="Z438" s="198">
        <f t="shared" si="37"/>
        <v>0</v>
      </c>
      <c r="AA438" s="125">
        <f>VLOOKUP(C438,'Talente &amp; Stuff'!ER:FT,25,FALSE)</f>
        <v>0</v>
      </c>
      <c r="AB438" s="160">
        <f>VLOOKUP(C438,'Talente &amp; Stuff'!ER:FT,26,FALSE)</f>
        <v>0</v>
      </c>
      <c r="AC438" s="127">
        <f>VLOOKUP(C438,'Talente &amp; Stuff'!ER:FT,27,FALSE)</f>
        <v>0</v>
      </c>
      <c r="AD438" s="125">
        <f>VLOOKUP(C438,'Talente &amp; Stuff'!ER:FT,28,FALSE)</f>
        <v>0</v>
      </c>
      <c r="AE438" s="28"/>
    </row>
    <row r="439" spans="1:31" ht="15" hidden="1" customHeight="1" outlineLevel="2">
      <c r="B439" s="148">
        <v>6</v>
      </c>
      <c r="C439" s="178" t="str">
        <f>Attribute!C439</f>
        <v>---</v>
      </c>
      <c r="D439" s="159" t="str">
        <f>VLOOKUP(C439,'Talente &amp; Stuff'!ER:FT,2,FALSE)</f>
        <v>--/--/--</v>
      </c>
      <c r="E439" s="88" t="str">
        <f>VLOOKUP(C439,'Talente &amp; Stuff'!ER:FT,3,FALSE)</f>
        <v>-</v>
      </c>
      <c r="F439" s="115">
        <f>VLOOKUP(C439,'Talente &amp; Stuff'!ER:FT,4,FALSE)</f>
        <v>0</v>
      </c>
      <c r="G439" s="122">
        <f>VLOOKUP(C439,'Talente &amp; Stuff'!ER:FT,5,FALSE)</f>
        <v>0</v>
      </c>
      <c r="H439" s="122">
        <f>VLOOKUP(C439,'Talente &amp; Stuff'!ER:FT,6,FALSE)</f>
        <v>0</v>
      </c>
      <c r="I439" s="122">
        <f>VLOOKUP(C439,'Talente &amp; Stuff'!ER:FT,7,FALSE)</f>
        <v>0</v>
      </c>
      <c r="J439" s="122">
        <f>VLOOKUP(C439,'Talente &amp; Stuff'!ER:FT,8,FALSE)</f>
        <v>0</v>
      </c>
      <c r="K439" s="122">
        <f>VLOOKUP(C439,'Talente &amp; Stuff'!ER:FT,9,FALSE)</f>
        <v>0</v>
      </c>
      <c r="L439" s="122">
        <f>VLOOKUP(C439,'Talente &amp; Stuff'!ER:FT,10,FALSE)</f>
        <v>0</v>
      </c>
      <c r="M439" s="123">
        <f>VLOOKUP(C439,'Talente &amp; Stuff'!ER:FT,11,FALSE)</f>
        <v>0</v>
      </c>
      <c r="N439" s="88">
        <f>VLOOKUP(C439,'Talente &amp; Stuff'!ER:FT,12,FALSE)</f>
        <v>0</v>
      </c>
      <c r="O439" s="88">
        <f>VLOOKUP(C439,'Talente &amp; Stuff'!ER:FT,13,FALSE)</f>
        <v>0</v>
      </c>
      <c r="P439" s="122">
        <f>VLOOKUP(C439,'Talente &amp; Stuff'!ER:FT,14,FALSE)</f>
        <v>0</v>
      </c>
      <c r="Q439" s="115">
        <f>VLOOKUP(C439,'Talente &amp; Stuff'!ER:FT,15,FALSE)</f>
        <v>0</v>
      </c>
      <c r="R439" s="122">
        <f>VLOOKUP(C439,'Talente &amp; Stuff'!ER:FT,16,FALSE)</f>
        <v>0</v>
      </c>
      <c r="S439" s="123">
        <f>VLOOKUP(C439,'Talente &amp; Stuff'!ER:FT,17,FALSE)</f>
        <v>0</v>
      </c>
      <c r="T439" s="161">
        <f>VLOOKUP(C439,'Talente &amp; Stuff'!ER:FT,18,FALSE)</f>
        <v>0</v>
      </c>
      <c r="U439" s="90">
        <f>VLOOKUP(C439,'Talente &amp; Stuff'!ER:FT,19,FALSE)</f>
        <v>0</v>
      </c>
      <c r="V439" s="88">
        <f>VLOOKUP(C439,'Talente &amp; Stuff'!ER:FT,20,FALSE)</f>
        <v>0</v>
      </c>
      <c r="W439" s="128">
        <f>VLOOKUP(C439,'Talente &amp; Stuff'!ER:FT,21,FALSE)</f>
        <v>0</v>
      </c>
      <c r="X439" s="128">
        <f>VLOOKUP(C439,'Talente &amp; Stuff'!ER:FT,22,FALSE)</f>
        <v>0</v>
      </c>
      <c r="Y439" s="175">
        <f t="shared" si="36"/>
        <v>0</v>
      </c>
      <c r="Z439" s="198">
        <f t="shared" si="37"/>
        <v>0</v>
      </c>
      <c r="AA439" s="159">
        <f>VLOOKUP(C439,'Talente &amp; Stuff'!ER:FT,25,FALSE)</f>
        <v>0</v>
      </c>
      <c r="AB439" s="161">
        <f>VLOOKUP(C439,'Talente &amp; Stuff'!ER:FT,26,FALSE)</f>
        <v>0</v>
      </c>
      <c r="AC439" s="128">
        <f>VLOOKUP(C439,'Talente &amp; Stuff'!ER:FT,27,FALSE)</f>
        <v>0</v>
      </c>
      <c r="AD439" s="159">
        <f>VLOOKUP(C439,'Talente &amp; Stuff'!ER:FT,28,FALSE)</f>
        <v>0</v>
      </c>
      <c r="AE439" s="28"/>
    </row>
    <row r="440" spans="1:31" ht="15" hidden="1" customHeight="1" outlineLevel="1" collapsed="1">
      <c r="B440" s="134" t="s">
        <v>321</v>
      </c>
      <c r="C440" s="83"/>
      <c r="D440" s="84"/>
      <c r="E440" s="84"/>
    </row>
    <row r="441" spans="1:31" ht="15" hidden="1" customHeight="1" outlineLevel="2">
      <c r="B441" s="148">
        <v>1</v>
      </c>
      <c r="C441" s="176" t="str">
        <f>Attribute!C441</f>
        <v>---</v>
      </c>
      <c r="D441" s="158" t="str">
        <f>VLOOKUP(C441,'Talente &amp; Stuff'!ER:FT,2,FALSE)</f>
        <v>--/--/--</v>
      </c>
      <c r="E441" s="116" t="str">
        <f>VLOOKUP(C441,'Talente &amp; Stuff'!ER:FT,3,FALSE)</f>
        <v>-</v>
      </c>
      <c r="F441" s="191">
        <f>VLOOKUP(C441,'Talente &amp; Stuff'!ER:FT,4,FALSE)</f>
        <v>0</v>
      </c>
      <c r="G441" s="118">
        <f>VLOOKUP(C441,'Talente &amp; Stuff'!ER:FT,5,FALSE)</f>
        <v>0</v>
      </c>
      <c r="H441" s="118">
        <f>VLOOKUP(C441,'Talente &amp; Stuff'!ER:FT,6,FALSE)</f>
        <v>0</v>
      </c>
      <c r="I441" s="118">
        <f>VLOOKUP(C441,'Talente &amp; Stuff'!ER:FT,7,FALSE)</f>
        <v>0</v>
      </c>
      <c r="J441" s="118">
        <f>VLOOKUP(C441,'Talente &amp; Stuff'!ER:FT,8,FALSE)</f>
        <v>0</v>
      </c>
      <c r="K441" s="118">
        <f>VLOOKUP(C441,'Talente &amp; Stuff'!ER:FT,9,FALSE)</f>
        <v>0</v>
      </c>
      <c r="L441" s="118">
        <f>VLOOKUP(C441,'Talente &amp; Stuff'!ER:FT,10,FALSE)</f>
        <v>0</v>
      </c>
      <c r="M441" s="92">
        <f>VLOOKUP(C441,'Talente &amp; Stuff'!ER:FT,11,FALSE)</f>
        <v>0</v>
      </c>
      <c r="N441" s="116">
        <f>VLOOKUP(C441,'Talente &amp; Stuff'!ER:FT,12,FALSE)</f>
        <v>0</v>
      </c>
      <c r="O441" s="116">
        <f>VLOOKUP(C441,'Talente &amp; Stuff'!ER:FT,13,FALSE)</f>
        <v>0</v>
      </c>
      <c r="P441" s="118">
        <f>VLOOKUP(C441,'Talente &amp; Stuff'!ER:FT,14,FALSE)</f>
        <v>0</v>
      </c>
      <c r="Q441" s="191">
        <f>VLOOKUP(C441,'Talente &amp; Stuff'!ER:FT,15,FALSE)</f>
        <v>0</v>
      </c>
      <c r="R441" s="118">
        <f>VLOOKUP(C441,'Talente &amp; Stuff'!ER:FT,16,FALSE)</f>
        <v>0</v>
      </c>
      <c r="S441" s="92">
        <f>VLOOKUP(C441,'Talente &amp; Stuff'!ER:FT,17,FALSE)</f>
        <v>0</v>
      </c>
      <c r="T441" s="91">
        <f>VLOOKUP(C441,'Talente &amp; Stuff'!ER:FT,18,FALSE)</f>
        <v>0</v>
      </c>
      <c r="U441" s="193">
        <f>VLOOKUP(C441,'Talente &amp; Stuff'!ER:FT,19,FALSE)</f>
        <v>0</v>
      </c>
      <c r="V441" s="116">
        <f>VLOOKUP(C441,'Talente &amp; Stuff'!ER:FT,20,FALSE)</f>
        <v>0</v>
      </c>
      <c r="W441" s="126">
        <f>VLOOKUP(C441,'Talente &amp; Stuff'!ER:FT,21,FALSE)</f>
        <v>0</v>
      </c>
      <c r="X441" s="126">
        <f>VLOOKUP(C441,'Talente &amp; Stuff'!ER:FT,22,FALSE)</f>
        <v>0</v>
      </c>
      <c r="Y441" s="165">
        <f>VLOOKUP(C441,Ausgewählte_Liturgien_Rondra,168,FALSE)</f>
        <v>0</v>
      </c>
      <c r="Z441" s="44">
        <f>VLOOKUP(C441,Ausgewählte_Liturgien_Rondra,169,FALSE)</f>
        <v>0</v>
      </c>
      <c r="AA441" s="158">
        <f>VLOOKUP(C441,'Talente &amp; Stuff'!ER:FT,25,FALSE)</f>
        <v>0</v>
      </c>
      <c r="AB441" s="91">
        <f>VLOOKUP(C441,'Talente &amp; Stuff'!ER:FT,26,FALSE)</f>
        <v>0</v>
      </c>
      <c r="AC441" s="126">
        <f>VLOOKUP(C441,'Talente &amp; Stuff'!ER:FT,27,FALSE)</f>
        <v>0</v>
      </c>
      <c r="AD441" s="158">
        <f>VLOOKUP(C441,'Talente &amp; Stuff'!ER:FT,28,FALSE)</f>
        <v>0</v>
      </c>
      <c r="AE441" s="28"/>
    </row>
    <row r="442" spans="1:31" ht="15" hidden="1" customHeight="1" outlineLevel="2">
      <c r="B442" s="148">
        <v>2</v>
      </c>
      <c r="C442" s="177" t="str">
        <f>Attribute!C442</f>
        <v>---</v>
      </c>
      <c r="D442" s="125" t="str">
        <f>VLOOKUP(C442,'Talente &amp; Stuff'!ER:FT,2,FALSE)</f>
        <v>--/--/--</v>
      </c>
      <c r="E442" s="47" t="str">
        <f>VLOOKUP(C442,'Talente &amp; Stuff'!ER:FT,3,FALSE)</f>
        <v>-</v>
      </c>
      <c r="F442" s="114">
        <f>VLOOKUP(C442,'Talente &amp; Stuff'!ER:FT,4,FALSE)</f>
        <v>0</v>
      </c>
      <c r="G442" s="113">
        <f>VLOOKUP(C442,'Talente &amp; Stuff'!ER:FT,5,FALSE)</f>
        <v>0</v>
      </c>
      <c r="H442" s="113">
        <f>VLOOKUP(C442,'Talente &amp; Stuff'!ER:FT,6,FALSE)</f>
        <v>0</v>
      </c>
      <c r="I442" s="113">
        <f>VLOOKUP(C442,'Talente &amp; Stuff'!ER:FT,7,FALSE)</f>
        <v>0</v>
      </c>
      <c r="J442" s="113">
        <f>VLOOKUP(C442,'Talente &amp; Stuff'!ER:FT,8,FALSE)</f>
        <v>0</v>
      </c>
      <c r="K442" s="113">
        <f>VLOOKUP(C442,'Talente &amp; Stuff'!ER:FT,9,FALSE)</f>
        <v>0</v>
      </c>
      <c r="L442" s="113">
        <f>VLOOKUP(C442,'Talente &amp; Stuff'!ER:FT,10,FALSE)</f>
        <v>0</v>
      </c>
      <c r="M442" s="119">
        <f>VLOOKUP(C442,'Talente &amp; Stuff'!ER:FT,11,FALSE)</f>
        <v>0</v>
      </c>
      <c r="N442" s="47">
        <f>VLOOKUP(C442,'Talente &amp; Stuff'!ER:FT,12,FALSE)</f>
        <v>0</v>
      </c>
      <c r="O442" s="47">
        <f>VLOOKUP(C442,'Talente &amp; Stuff'!ER:FT,13,FALSE)</f>
        <v>0</v>
      </c>
      <c r="P442" s="113">
        <f>VLOOKUP(C442,'Talente &amp; Stuff'!ER:FT,14,FALSE)</f>
        <v>0</v>
      </c>
      <c r="Q442" s="114">
        <f>VLOOKUP(C442,'Talente &amp; Stuff'!ER:FT,15,FALSE)</f>
        <v>0</v>
      </c>
      <c r="R442" s="113">
        <f>VLOOKUP(C442,'Talente &amp; Stuff'!ER:FT,16,FALSE)</f>
        <v>0</v>
      </c>
      <c r="S442" s="119">
        <f>VLOOKUP(C442,'Talente &amp; Stuff'!ER:FT,17,FALSE)</f>
        <v>0</v>
      </c>
      <c r="T442" s="160">
        <f>VLOOKUP(C442,'Talente &amp; Stuff'!ER:FT,18,FALSE)</f>
        <v>0</v>
      </c>
      <c r="U442" s="89">
        <f>VLOOKUP(C442,'Talente &amp; Stuff'!ER:FT,19,FALSE)</f>
        <v>0</v>
      </c>
      <c r="V442" s="47">
        <f>VLOOKUP(C442,'Talente &amp; Stuff'!ER:FT,20,FALSE)</f>
        <v>0</v>
      </c>
      <c r="W442" s="127">
        <f>VLOOKUP(C442,'Talente &amp; Stuff'!ER:FT,21,FALSE)</f>
        <v>0</v>
      </c>
      <c r="X442" s="127">
        <f>VLOOKUP(C442,'Talente &amp; Stuff'!ER:FT,22,FALSE)</f>
        <v>0</v>
      </c>
      <c r="Y442" s="165">
        <f>VLOOKUP(C442,Ausgewählte_Liturgien_Rondra,168,FALSE)</f>
        <v>0</v>
      </c>
      <c r="Z442" s="44">
        <f>VLOOKUP(C442,Ausgewählte_Liturgien_Rondra,169,FALSE)</f>
        <v>0</v>
      </c>
      <c r="AA442" s="125">
        <f>VLOOKUP(C442,'Talente &amp; Stuff'!ER:FT,25,FALSE)</f>
        <v>0</v>
      </c>
      <c r="AB442" s="160">
        <f>VLOOKUP(C442,'Talente &amp; Stuff'!ER:FT,26,FALSE)</f>
        <v>0</v>
      </c>
      <c r="AC442" s="127">
        <f>VLOOKUP(C442,'Talente &amp; Stuff'!ER:FT,27,FALSE)</f>
        <v>0</v>
      </c>
      <c r="AD442" s="125">
        <f>VLOOKUP(C442,'Talente &amp; Stuff'!ER:FT,28,FALSE)</f>
        <v>0</v>
      </c>
      <c r="AE442" s="28"/>
    </row>
    <row r="443" spans="1:31" ht="15" hidden="1" customHeight="1" outlineLevel="2">
      <c r="B443" s="137">
        <v>3</v>
      </c>
      <c r="C443" s="177" t="str">
        <f>Attribute!C443</f>
        <v>---</v>
      </c>
      <c r="D443" s="125" t="str">
        <f>VLOOKUP(C443,'Talente &amp; Stuff'!ER:FT,2,FALSE)</f>
        <v>--/--/--</v>
      </c>
      <c r="E443" s="47" t="str">
        <f>VLOOKUP(C443,'Talente &amp; Stuff'!ER:FT,3,FALSE)</f>
        <v>-</v>
      </c>
      <c r="F443" s="114">
        <f>VLOOKUP(C443,'Talente &amp; Stuff'!ER:FT,4,FALSE)</f>
        <v>0</v>
      </c>
      <c r="G443" s="113">
        <f>VLOOKUP(C443,'Talente &amp; Stuff'!ER:FT,5,FALSE)</f>
        <v>0</v>
      </c>
      <c r="H443" s="113">
        <f>VLOOKUP(C443,'Talente &amp; Stuff'!ER:FT,6,FALSE)</f>
        <v>0</v>
      </c>
      <c r="I443" s="113">
        <f>VLOOKUP(C443,'Talente &amp; Stuff'!ER:FT,7,FALSE)</f>
        <v>0</v>
      </c>
      <c r="J443" s="113">
        <f>VLOOKUP(C443,'Talente &amp; Stuff'!ER:FT,8,FALSE)</f>
        <v>0</v>
      </c>
      <c r="K443" s="113">
        <f>VLOOKUP(C443,'Talente &amp; Stuff'!ER:FT,9,FALSE)</f>
        <v>0</v>
      </c>
      <c r="L443" s="113">
        <f>VLOOKUP(C443,'Talente &amp; Stuff'!ER:FT,10,FALSE)</f>
        <v>0</v>
      </c>
      <c r="M443" s="119">
        <f>VLOOKUP(C443,'Talente &amp; Stuff'!ER:FT,11,FALSE)</f>
        <v>0</v>
      </c>
      <c r="N443" s="47">
        <f>VLOOKUP(C443,'Talente &amp; Stuff'!ER:FT,12,FALSE)</f>
        <v>0</v>
      </c>
      <c r="O443" s="47">
        <f>VLOOKUP(C443,'Talente &amp; Stuff'!ER:FT,13,FALSE)</f>
        <v>0</v>
      </c>
      <c r="P443" s="113">
        <f>VLOOKUP(C443,'Talente &amp; Stuff'!ER:FT,14,FALSE)</f>
        <v>0</v>
      </c>
      <c r="Q443" s="114">
        <f>VLOOKUP(C443,'Talente &amp; Stuff'!ER:FT,15,FALSE)</f>
        <v>0</v>
      </c>
      <c r="R443" s="113">
        <f>VLOOKUP(C443,'Talente &amp; Stuff'!ER:FT,16,FALSE)</f>
        <v>0</v>
      </c>
      <c r="S443" s="119">
        <f>VLOOKUP(C443,'Talente &amp; Stuff'!ER:FT,17,FALSE)</f>
        <v>0</v>
      </c>
      <c r="T443" s="160">
        <f>VLOOKUP(C443,'Talente &amp; Stuff'!ER:FT,18,FALSE)</f>
        <v>0</v>
      </c>
      <c r="U443" s="89">
        <f>VLOOKUP(C443,'Talente &amp; Stuff'!ER:FT,19,FALSE)</f>
        <v>0</v>
      </c>
      <c r="V443" s="47">
        <f>VLOOKUP(C443,'Talente &amp; Stuff'!ER:FT,20,FALSE)</f>
        <v>0</v>
      </c>
      <c r="W443" s="127">
        <f>VLOOKUP(C443,'Talente &amp; Stuff'!ER:FT,21,FALSE)</f>
        <v>0</v>
      </c>
      <c r="X443" s="127">
        <f>VLOOKUP(C443,'Talente &amp; Stuff'!ER:FT,22,FALSE)</f>
        <v>0</v>
      </c>
      <c r="Y443" s="165">
        <f>VLOOKUP(C443,Ausgewählte_Liturgien_Rondra,168,FALSE)</f>
        <v>0</v>
      </c>
      <c r="Z443" s="44">
        <f>VLOOKUP(C443,Ausgewählte_Liturgien_Rondra,169,FALSE)</f>
        <v>0</v>
      </c>
      <c r="AA443" s="125">
        <f>VLOOKUP(C443,'Talente &amp; Stuff'!ER:FT,25,FALSE)</f>
        <v>0</v>
      </c>
      <c r="AB443" s="160">
        <f>VLOOKUP(C443,'Talente &amp; Stuff'!ER:FT,26,FALSE)</f>
        <v>0</v>
      </c>
      <c r="AC443" s="127">
        <f>VLOOKUP(C443,'Talente &amp; Stuff'!ER:FT,27,FALSE)</f>
        <v>0</v>
      </c>
      <c r="AD443" s="125">
        <f>VLOOKUP(C443,'Talente &amp; Stuff'!ER:FT,28,FALSE)</f>
        <v>0</v>
      </c>
      <c r="AE443" s="28"/>
    </row>
    <row r="444" spans="1:31" ht="15" hidden="1" customHeight="1" outlineLevel="2">
      <c r="B444" s="148">
        <v>4</v>
      </c>
      <c r="C444" s="178" t="str">
        <f>Attribute!C444</f>
        <v>---</v>
      </c>
      <c r="D444" s="159" t="str">
        <f>VLOOKUP(C444,'Talente &amp; Stuff'!ER:FT,2,FALSE)</f>
        <v>--/--/--</v>
      </c>
      <c r="E444" s="88" t="str">
        <f>VLOOKUP(C444,'Talente &amp; Stuff'!ER:FT,3,FALSE)</f>
        <v>-</v>
      </c>
      <c r="F444" s="115">
        <f>VLOOKUP(C444,'Talente &amp; Stuff'!ER:FT,4,FALSE)</f>
        <v>0</v>
      </c>
      <c r="G444" s="122">
        <f>VLOOKUP(C444,'Talente &amp; Stuff'!ER:FT,5,FALSE)</f>
        <v>0</v>
      </c>
      <c r="H444" s="122">
        <f>VLOOKUP(C444,'Talente &amp; Stuff'!ER:FT,6,FALSE)</f>
        <v>0</v>
      </c>
      <c r="I444" s="122">
        <f>VLOOKUP(C444,'Talente &amp; Stuff'!ER:FT,7,FALSE)</f>
        <v>0</v>
      </c>
      <c r="J444" s="122">
        <f>VLOOKUP(C444,'Talente &amp; Stuff'!ER:FT,8,FALSE)</f>
        <v>0</v>
      </c>
      <c r="K444" s="122">
        <f>VLOOKUP(C444,'Talente &amp; Stuff'!ER:FT,9,FALSE)</f>
        <v>0</v>
      </c>
      <c r="L444" s="122">
        <f>VLOOKUP(C444,'Talente &amp; Stuff'!ER:FT,10,FALSE)</f>
        <v>0</v>
      </c>
      <c r="M444" s="123">
        <f>VLOOKUP(C444,'Talente &amp; Stuff'!ER:FT,11,FALSE)</f>
        <v>0</v>
      </c>
      <c r="N444" s="88">
        <f>VLOOKUP(C444,'Talente &amp; Stuff'!ER:FT,12,FALSE)</f>
        <v>0</v>
      </c>
      <c r="O444" s="88">
        <f>VLOOKUP(C444,'Talente &amp; Stuff'!ER:FT,13,FALSE)</f>
        <v>0</v>
      </c>
      <c r="P444" s="122">
        <f>VLOOKUP(C444,'Talente &amp; Stuff'!ER:FT,14,FALSE)</f>
        <v>0</v>
      </c>
      <c r="Q444" s="115">
        <f>VLOOKUP(C444,'Talente &amp; Stuff'!ER:FT,15,FALSE)</f>
        <v>0</v>
      </c>
      <c r="R444" s="122">
        <f>VLOOKUP(C444,'Talente &amp; Stuff'!ER:FT,16,FALSE)</f>
        <v>0</v>
      </c>
      <c r="S444" s="123">
        <f>VLOOKUP(C444,'Talente &amp; Stuff'!ER:FT,17,FALSE)</f>
        <v>0</v>
      </c>
      <c r="T444" s="161">
        <f>VLOOKUP(C444,'Talente &amp; Stuff'!ER:FT,18,FALSE)</f>
        <v>0</v>
      </c>
      <c r="U444" s="90">
        <f>VLOOKUP(C444,'Talente &amp; Stuff'!ER:FT,19,FALSE)</f>
        <v>0</v>
      </c>
      <c r="V444" s="88">
        <f>VLOOKUP(C444,'Talente &amp; Stuff'!ER:FT,20,FALSE)</f>
        <v>0</v>
      </c>
      <c r="W444" s="128">
        <f>VLOOKUP(C444,'Talente &amp; Stuff'!ER:FT,21,FALSE)</f>
        <v>0</v>
      </c>
      <c r="X444" s="128">
        <f>VLOOKUP(C444,'Talente &amp; Stuff'!ER:FT,22,FALSE)</f>
        <v>0</v>
      </c>
      <c r="Y444" s="165">
        <f>VLOOKUP(C444,Ausgewählte_Liturgien_Rondra,168,FALSE)</f>
        <v>0</v>
      </c>
      <c r="Z444" s="44">
        <f>VLOOKUP(C444,Ausgewählte_Liturgien_Rondra,169,FALSE)</f>
        <v>0</v>
      </c>
      <c r="AA444" s="159">
        <f>VLOOKUP(C444,'Talente &amp; Stuff'!ER:FT,25,FALSE)</f>
        <v>0</v>
      </c>
      <c r="AB444" s="161">
        <f>VLOOKUP(C444,'Talente &amp; Stuff'!ER:FT,26,FALSE)</f>
        <v>0</v>
      </c>
      <c r="AC444" s="128">
        <f>VLOOKUP(C444,'Talente &amp; Stuff'!ER:FT,27,FALSE)</f>
        <v>0</v>
      </c>
      <c r="AD444" s="159">
        <f>VLOOKUP(C444,'Talente &amp; Stuff'!ER:FT,28,FALSE)</f>
        <v>0</v>
      </c>
      <c r="AE444" s="28"/>
    </row>
    <row r="445" spans="1:31" ht="15.75" hidden="1" customHeight="1" outlineLevel="1" collapsed="1" thickBot="1"/>
    <row r="446" spans="1:31" ht="15.75" collapsed="1" thickBot="1">
      <c r="A446" s="135" t="s">
        <v>269</v>
      </c>
      <c r="X446" s="140"/>
    </row>
    <row r="447" spans="1:31" ht="15" hidden="1" customHeight="1" outlineLevel="1">
      <c r="B447" s="134" t="s">
        <v>327</v>
      </c>
    </row>
    <row r="448" spans="1:31" ht="15" hidden="1" customHeight="1" outlineLevel="2">
      <c r="B448" s="148">
        <v>1</v>
      </c>
      <c r="C448" s="176" t="str">
        <f>Attribute!C448</f>
        <v>---</v>
      </c>
      <c r="D448" s="158" t="str">
        <f>VLOOKUP(C448,'Talente &amp; Stuff'!ER:FT,2,FALSE)</f>
        <v>--/--/--</v>
      </c>
      <c r="E448" s="126" t="str">
        <f>VLOOKUP(C448,'Talente &amp; Stuff'!ER:FT,3,FALSE)</f>
        <v>-</v>
      </c>
      <c r="F448" s="191">
        <f>VLOOKUP(C448,'Talente &amp; Stuff'!ER:FT,4,FALSE)</f>
        <v>0</v>
      </c>
      <c r="G448" s="118">
        <f>VLOOKUP(C448,'Talente &amp; Stuff'!ER:FT,5,FALSE)</f>
        <v>0</v>
      </c>
      <c r="H448" s="118">
        <f>VLOOKUP(C448,'Talente &amp; Stuff'!ER:FT,6,FALSE)</f>
        <v>0</v>
      </c>
      <c r="I448" s="118">
        <f>VLOOKUP(C448,'Talente &amp; Stuff'!ER:FT,7,FALSE)</f>
        <v>0</v>
      </c>
      <c r="J448" s="118">
        <f>VLOOKUP(C448,'Talente &amp; Stuff'!ER:FT,8,FALSE)</f>
        <v>0</v>
      </c>
      <c r="K448" s="118">
        <f>VLOOKUP(C448,'Talente &amp; Stuff'!ER:FT,9,FALSE)</f>
        <v>0</v>
      </c>
      <c r="L448" s="118">
        <f>VLOOKUP(C448,'Talente &amp; Stuff'!ER:FT,10,FALSE)</f>
        <v>0</v>
      </c>
      <c r="M448" s="92">
        <f>VLOOKUP(C448,'Talente &amp; Stuff'!ER:FT,11,FALSE)</f>
        <v>0</v>
      </c>
      <c r="N448" s="116">
        <f>VLOOKUP(C448,'Talente &amp; Stuff'!ER:FT,12,FALSE)</f>
        <v>0</v>
      </c>
      <c r="O448" s="116">
        <f>VLOOKUP(C448,'Talente &amp; Stuff'!ER:FT,13,FALSE)</f>
        <v>0</v>
      </c>
      <c r="P448" s="92">
        <f>VLOOKUP(C448,'Talente &amp; Stuff'!ER:FT,14,FALSE)</f>
        <v>0</v>
      </c>
      <c r="Q448" s="191">
        <f>VLOOKUP(C448,'Talente &amp; Stuff'!ER:FT,15,FALSE)</f>
        <v>0</v>
      </c>
      <c r="R448" s="118">
        <f>VLOOKUP(C448,'Talente &amp; Stuff'!ER:FT,16,FALSE)</f>
        <v>0</v>
      </c>
      <c r="S448" s="92">
        <f>VLOOKUP(C448,'Talente &amp; Stuff'!ER:FT,17,FALSE)</f>
        <v>0</v>
      </c>
      <c r="T448" s="92">
        <f>VLOOKUP(C448,'Talente &amp; Stuff'!ER:FT,18,FALSE)</f>
        <v>0</v>
      </c>
      <c r="U448" s="193">
        <f>VLOOKUP(C448,'Talente &amp; Stuff'!ER:FT,19,FALSE)</f>
        <v>0</v>
      </c>
      <c r="V448" s="116">
        <f>VLOOKUP(C448,'Talente &amp; Stuff'!ER:FT,20,FALSE)</f>
        <v>0</v>
      </c>
      <c r="W448" s="126">
        <f>VLOOKUP(C448,'Talente &amp; Stuff'!ER:FT,21,FALSE)</f>
        <v>0</v>
      </c>
      <c r="X448" s="126">
        <f>VLOOKUP(C448,'Talente &amp; Stuff'!ER:FT,22,FALSE)</f>
        <v>0</v>
      </c>
      <c r="Y448" s="165">
        <f>VLOOKUP(C448,Ausgewählte_Zeremonien_Allgemein,168,FALSE)</f>
        <v>0</v>
      </c>
      <c r="Z448" s="44">
        <f>VLOOKUP(C448,Ausgewählte_Zeremonien_Allgemein,169,FALSE)</f>
        <v>0</v>
      </c>
      <c r="AA448" s="158">
        <f>VLOOKUP(C448,'Talente &amp; Stuff'!ER:FT,25,FALSE)</f>
        <v>0</v>
      </c>
      <c r="AB448" s="91">
        <f>VLOOKUP(C448,'Talente &amp; Stuff'!ER:FT,26,FALSE)</f>
        <v>0</v>
      </c>
      <c r="AC448" s="126">
        <f>VLOOKUP(C448,'Talente &amp; Stuff'!ER:FT,27,FALSE)</f>
        <v>0</v>
      </c>
      <c r="AD448" s="158">
        <f>VLOOKUP(C448,'Talente &amp; Stuff'!ER:FT,28,FALSE)</f>
        <v>0</v>
      </c>
      <c r="AE448" s="28"/>
    </row>
    <row r="449" spans="2:31" ht="15" hidden="1" customHeight="1" outlineLevel="2">
      <c r="B449" s="148">
        <v>2</v>
      </c>
      <c r="C449" s="178" t="str">
        <f>Attribute!C449</f>
        <v>---</v>
      </c>
      <c r="D449" s="159" t="str">
        <f>VLOOKUP(C449,'Talente &amp; Stuff'!ER:FT,2,FALSE)</f>
        <v>--/--/--</v>
      </c>
      <c r="E449" s="128" t="str">
        <f>VLOOKUP(C449,'Talente &amp; Stuff'!ER:FT,3,FALSE)</f>
        <v>-</v>
      </c>
      <c r="F449" s="115">
        <f>VLOOKUP(C449,'Talente &amp; Stuff'!ER:FT,4,FALSE)</f>
        <v>0</v>
      </c>
      <c r="G449" s="122">
        <f>VLOOKUP(C449,'Talente &amp; Stuff'!ER:FT,5,FALSE)</f>
        <v>0</v>
      </c>
      <c r="H449" s="122">
        <f>VLOOKUP(C449,'Talente &amp; Stuff'!ER:FT,6,FALSE)</f>
        <v>0</v>
      </c>
      <c r="I449" s="122">
        <f>VLOOKUP(C449,'Talente &amp; Stuff'!ER:FT,7,FALSE)</f>
        <v>0</v>
      </c>
      <c r="J449" s="122">
        <f>VLOOKUP(C449,'Talente &amp; Stuff'!ER:FT,8,FALSE)</f>
        <v>0</v>
      </c>
      <c r="K449" s="122">
        <f>VLOOKUP(C449,'Talente &amp; Stuff'!ER:FT,9,FALSE)</f>
        <v>0</v>
      </c>
      <c r="L449" s="122">
        <f>VLOOKUP(C449,'Talente &amp; Stuff'!ER:FT,10,FALSE)</f>
        <v>0</v>
      </c>
      <c r="M449" s="123">
        <f>VLOOKUP(C449,'Talente &amp; Stuff'!ER:FT,11,FALSE)</f>
        <v>0</v>
      </c>
      <c r="N449" s="88">
        <f>VLOOKUP(C449,'Talente &amp; Stuff'!ER:FT,12,FALSE)</f>
        <v>0</v>
      </c>
      <c r="O449" s="88">
        <f>VLOOKUP(C449,'Talente &amp; Stuff'!ER:FT,13,FALSE)</f>
        <v>0</v>
      </c>
      <c r="P449" s="123">
        <f>VLOOKUP(C449,'Talente &amp; Stuff'!ER:FT,14,FALSE)</f>
        <v>0</v>
      </c>
      <c r="Q449" s="115">
        <f>VLOOKUP(C449,'Talente &amp; Stuff'!ER:FT,15,FALSE)</f>
        <v>0</v>
      </c>
      <c r="R449" s="122">
        <f>VLOOKUP(C449,'Talente &amp; Stuff'!ER:FT,16,FALSE)</f>
        <v>0</v>
      </c>
      <c r="S449" s="123">
        <f>VLOOKUP(C449,'Talente &amp; Stuff'!ER:FT,17,FALSE)</f>
        <v>0</v>
      </c>
      <c r="T449" s="123">
        <f>VLOOKUP(C449,'Talente &amp; Stuff'!ER:FT,18,FALSE)</f>
        <v>0</v>
      </c>
      <c r="U449" s="90">
        <f>VLOOKUP(C449,'Talente &amp; Stuff'!ER:FT,19,FALSE)</f>
        <v>0</v>
      </c>
      <c r="V449" s="88">
        <f>VLOOKUP(C449,'Talente &amp; Stuff'!ER:FT,20,FALSE)</f>
        <v>0</v>
      </c>
      <c r="W449" s="128">
        <f>VLOOKUP(C449,'Talente &amp; Stuff'!ER:FT,21,FALSE)</f>
        <v>0</v>
      </c>
      <c r="X449" s="128">
        <f>VLOOKUP(C449,'Talente &amp; Stuff'!ER:FT,22,FALSE)</f>
        <v>0</v>
      </c>
      <c r="Y449" s="165">
        <f>VLOOKUP(C449,Ausgewählte_Zeremonien_Allgemein,168,FALSE)</f>
        <v>0</v>
      </c>
      <c r="Z449" s="44">
        <f>VLOOKUP(C449,Ausgewählte_Zeremonien_Allgemein,169,FALSE)</f>
        <v>0</v>
      </c>
      <c r="AA449" s="159">
        <f>VLOOKUP(C449,'Talente &amp; Stuff'!ER:FT,25,FALSE)</f>
        <v>0</v>
      </c>
      <c r="AB449" s="161">
        <f>VLOOKUP(C449,'Talente &amp; Stuff'!ER:FT,26,FALSE)</f>
        <v>0</v>
      </c>
      <c r="AC449" s="128">
        <f>VLOOKUP(C449,'Talente &amp; Stuff'!ER:FT,27,FALSE)</f>
        <v>0</v>
      </c>
      <c r="AD449" s="159">
        <f>VLOOKUP(C449,'Talente &amp; Stuff'!ER:FT,28,FALSE)</f>
        <v>0</v>
      </c>
      <c r="AE449" s="28"/>
    </row>
    <row r="450" spans="2:31" ht="15" hidden="1" customHeight="1" outlineLevel="1" collapsed="1">
      <c r="B450" s="134" t="s">
        <v>326</v>
      </c>
      <c r="C450" s="83"/>
      <c r="D450" s="84"/>
      <c r="E450" s="84"/>
    </row>
    <row r="451" spans="2:31" ht="15" hidden="1" customHeight="1" outlineLevel="2">
      <c r="B451" s="148">
        <v>0</v>
      </c>
      <c r="C451" s="134"/>
      <c r="D451" s="40"/>
      <c r="E451" s="182"/>
      <c r="F451" s="17"/>
      <c r="G451" s="183"/>
      <c r="H451" s="183"/>
      <c r="I451" s="183"/>
      <c r="J451" s="183"/>
      <c r="K451" s="183"/>
      <c r="L451" s="183"/>
      <c r="M451" s="180"/>
      <c r="N451" s="179"/>
      <c r="O451" s="179"/>
      <c r="P451" s="180"/>
      <c r="Q451" s="17"/>
      <c r="R451" s="183"/>
      <c r="S451" s="180"/>
      <c r="T451" s="180"/>
      <c r="U451" s="166"/>
      <c r="V451" s="179"/>
      <c r="W451" s="182"/>
      <c r="X451" s="182"/>
      <c r="Y451" s="134"/>
      <c r="Z451" s="44"/>
      <c r="AA451" s="40"/>
      <c r="AB451" s="189"/>
      <c r="AC451" s="182"/>
      <c r="AD451" s="40"/>
    </row>
    <row r="452" spans="2:31" ht="15" hidden="1" customHeight="1" outlineLevel="1" collapsed="1">
      <c r="B452" s="134" t="s">
        <v>325</v>
      </c>
      <c r="C452" s="83"/>
      <c r="D452" s="84"/>
      <c r="E452" s="84"/>
    </row>
    <row r="453" spans="2:31" ht="15" hidden="1" customHeight="1" outlineLevel="2">
      <c r="B453" s="148">
        <v>0</v>
      </c>
      <c r="C453" s="134"/>
      <c r="D453" s="40"/>
      <c r="E453" s="182"/>
      <c r="F453" s="17"/>
      <c r="G453" s="183"/>
      <c r="H453" s="183"/>
      <c r="I453" s="183"/>
      <c r="J453" s="183"/>
      <c r="K453" s="183"/>
      <c r="L453" s="183"/>
      <c r="M453" s="180"/>
      <c r="N453" s="179"/>
      <c r="O453" s="179"/>
      <c r="P453" s="180"/>
      <c r="Q453" s="17"/>
      <c r="R453" s="183"/>
      <c r="S453" s="180"/>
      <c r="T453" s="180"/>
      <c r="U453" s="166"/>
      <c r="V453" s="179"/>
      <c r="W453" s="182"/>
      <c r="X453" s="182"/>
      <c r="Y453" s="134"/>
      <c r="Z453" s="44"/>
      <c r="AA453" s="40"/>
      <c r="AB453" s="189"/>
      <c r="AC453" s="182"/>
      <c r="AD453" s="40"/>
    </row>
    <row r="454" spans="2:31" ht="15" hidden="1" customHeight="1" outlineLevel="1" collapsed="1">
      <c r="B454" s="134" t="s">
        <v>324</v>
      </c>
      <c r="C454" s="83"/>
      <c r="D454" s="84"/>
      <c r="E454" s="84"/>
    </row>
    <row r="455" spans="2:31" ht="15" hidden="1" customHeight="1" outlineLevel="2">
      <c r="B455" s="148">
        <v>1</v>
      </c>
      <c r="C455" s="200" t="str">
        <f>Attribute!C455</f>
        <v>---</v>
      </c>
      <c r="D455" s="40" t="str">
        <f>VLOOKUP(C455,'Talente &amp; Stuff'!ER:FT,2,FALSE)</f>
        <v>--/--/--</v>
      </c>
      <c r="E455" s="182" t="str">
        <f>VLOOKUP(C455,'Talente &amp; Stuff'!ER:FT,3,FALSE)</f>
        <v>-</v>
      </c>
      <c r="F455" s="17">
        <f>VLOOKUP(C455,'Talente &amp; Stuff'!ER:FT,4,FALSE)</f>
        <v>0</v>
      </c>
      <c r="G455" s="183">
        <f>VLOOKUP(C455,'Talente &amp; Stuff'!ER:FT,5,FALSE)</f>
        <v>0</v>
      </c>
      <c r="H455" s="183">
        <f>VLOOKUP(C455,'Talente &amp; Stuff'!ER:FT,6,FALSE)</f>
        <v>0</v>
      </c>
      <c r="I455" s="183">
        <f>VLOOKUP(C455,'Talente &amp; Stuff'!ER:FT,7,FALSE)</f>
        <v>0</v>
      </c>
      <c r="J455" s="183">
        <f>VLOOKUP(C455,'Talente &amp; Stuff'!ER:FT,8,FALSE)</f>
        <v>0</v>
      </c>
      <c r="K455" s="183">
        <f>VLOOKUP(C455,'Talente &amp; Stuff'!ER:FT,9,FALSE)</f>
        <v>0</v>
      </c>
      <c r="L455" s="183">
        <f>VLOOKUP(C455,'Talente &amp; Stuff'!ER:FT,10,FALSE)</f>
        <v>0</v>
      </c>
      <c r="M455" s="180">
        <f>VLOOKUP(C455,'Talente &amp; Stuff'!ER:FT,11,FALSE)</f>
        <v>0</v>
      </c>
      <c r="N455" s="179">
        <f>VLOOKUP(C455,'Talente &amp; Stuff'!ER:FT,12,FALSE)</f>
        <v>0</v>
      </c>
      <c r="O455" s="179">
        <f>VLOOKUP(C455,'Talente &amp; Stuff'!ER:FT,13,FALSE)</f>
        <v>0</v>
      </c>
      <c r="P455" s="180">
        <f>VLOOKUP(C455,'Talente &amp; Stuff'!ER:FT,14,FALSE)</f>
        <v>0</v>
      </c>
      <c r="Q455" s="17">
        <f>VLOOKUP(C455,'Talente &amp; Stuff'!ER:FT,15,FALSE)</f>
        <v>0</v>
      </c>
      <c r="R455" s="183">
        <f>VLOOKUP(C455,'Talente &amp; Stuff'!ER:FT,16,FALSE)</f>
        <v>0</v>
      </c>
      <c r="S455" s="180">
        <f>VLOOKUP(C455,'Talente &amp; Stuff'!ER:FT,17,FALSE)</f>
        <v>0</v>
      </c>
      <c r="T455" s="180">
        <f>VLOOKUP(C455,'Talente &amp; Stuff'!ER:FT,18,FALSE)</f>
        <v>0</v>
      </c>
      <c r="U455" s="166">
        <f>VLOOKUP(C455,'Talente &amp; Stuff'!ER:FT,19,FALSE)</f>
        <v>0</v>
      </c>
      <c r="V455" s="179">
        <f>VLOOKUP(C455,'Talente &amp; Stuff'!ER:FT,20,FALSE)</f>
        <v>0</v>
      </c>
      <c r="W455" s="182">
        <f>VLOOKUP(C455,'Talente &amp; Stuff'!ER:FT,21,FALSE)</f>
        <v>0</v>
      </c>
      <c r="X455" s="182">
        <f>VLOOKUP(C455,'Talente &amp; Stuff'!ER:FT,22,FALSE)</f>
        <v>0</v>
      </c>
      <c r="Y455" s="165">
        <f>VLOOKUP(C455,Ausgewählte_Zeremonien_Peraine,168,FALSE)</f>
        <v>0</v>
      </c>
      <c r="Z455" s="44">
        <f>VLOOKUP(C455,Ausgewählte_Zeremonien_Peraine,169,FALSE)</f>
        <v>0</v>
      </c>
      <c r="AA455" s="40">
        <f>VLOOKUP(C455,'Talente &amp; Stuff'!ER:FT,25,FALSE)</f>
        <v>0</v>
      </c>
      <c r="AB455" s="189">
        <f>VLOOKUP(C455,'Talente &amp; Stuff'!ER:FT,26,FALSE)</f>
        <v>0</v>
      </c>
      <c r="AC455" s="182">
        <f>VLOOKUP(C455,'Talente &amp; Stuff'!ER:FT,27,FALSE)</f>
        <v>0</v>
      </c>
      <c r="AD455" s="40">
        <f>VLOOKUP(C455,'Talente &amp; Stuff'!ER:FT,28,FALSE)</f>
        <v>0</v>
      </c>
      <c r="AE455" s="28"/>
    </row>
    <row r="456" spans="2:31" ht="15" hidden="1" customHeight="1" outlineLevel="1" collapsed="1">
      <c r="B456" s="134" t="s">
        <v>323</v>
      </c>
      <c r="C456" s="83"/>
      <c r="D456" s="84"/>
      <c r="E456" s="84"/>
    </row>
    <row r="457" spans="2:31" ht="15" hidden="1" customHeight="1" outlineLevel="2">
      <c r="B457" s="148">
        <v>1</v>
      </c>
      <c r="C457" s="200" t="str">
        <f>Attribute!C457</f>
        <v>---</v>
      </c>
      <c r="D457" s="40" t="str">
        <f>VLOOKUP(C457,'Talente &amp; Stuff'!ER:FT,2,FALSE)</f>
        <v>--/--/--</v>
      </c>
      <c r="E457" s="182" t="str">
        <f>VLOOKUP(C457,'Talente &amp; Stuff'!ER:FT,3,FALSE)</f>
        <v>-</v>
      </c>
      <c r="F457" s="17">
        <f>VLOOKUP(C457,'Talente &amp; Stuff'!ER:FT,4,FALSE)</f>
        <v>0</v>
      </c>
      <c r="G457" s="183">
        <f>VLOOKUP(C457,'Talente &amp; Stuff'!ER:FT,5,FALSE)</f>
        <v>0</v>
      </c>
      <c r="H457" s="183">
        <f>VLOOKUP(C457,'Talente &amp; Stuff'!ER:FT,6,FALSE)</f>
        <v>0</v>
      </c>
      <c r="I457" s="183">
        <f>VLOOKUP(C457,'Talente &amp; Stuff'!ER:FT,7,FALSE)</f>
        <v>0</v>
      </c>
      <c r="J457" s="183">
        <f>VLOOKUP(C457,'Talente &amp; Stuff'!ER:FT,8,FALSE)</f>
        <v>0</v>
      </c>
      <c r="K457" s="183">
        <f>VLOOKUP(C457,'Talente &amp; Stuff'!ER:FT,9,FALSE)</f>
        <v>0</v>
      </c>
      <c r="L457" s="183">
        <f>VLOOKUP(C457,'Talente &amp; Stuff'!ER:FT,10,FALSE)</f>
        <v>0</v>
      </c>
      <c r="M457" s="180">
        <f>VLOOKUP(C457,'Talente &amp; Stuff'!ER:FT,11,FALSE)</f>
        <v>0</v>
      </c>
      <c r="N457" s="179">
        <f>VLOOKUP(C457,'Talente &amp; Stuff'!ER:FT,12,FALSE)</f>
        <v>0</v>
      </c>
      <c r="O457" s="179">
        <f>VLOOKUP(C457,'Talente &amp; Stuff'!ER:FT,13,FALSE)</f>
        <v>0</v>
      </c>
      <c r="P457" s="180">
        <f>VLOOKUP(C457,'Talente &amp; Stuff'!ER:FT,14,FALSE)</f>
        <v>0</v>
      </c>
      <c r="Q457" s="17">
        <f>VLOOKUP(C457,'Talente &amp; Stuff'!ER:FT,15,FALSE)</f>
        <v>0</v>
      </c>
      <c r="R457" s="183">
        <f>VLOOKUP(C457,'Talente &amp; Stuff'!ER:FT,16,FALSE)</f>
        <v>0</v>
      </c>
      <c r="S457" s="180">
        <f>VLOOKUP(C457,'Talente &amp; Stuff'!ER:FT,17,FALSE)</f>
        <v>0</v>
      </c>
      <c r="T457" s="180">
        <f>VLOOKUP(C457,'Talente &amp; Stuff'!ER:FT,18,FALSE)</f>
        <v>0</v>
      </c>
      <c r="U457" s="166">
        <f>VLOOKUP(C457,'Talente &amp; Stuff'!ER:FT,19,FALSE)</f>
        <v>0</v>
      </c>
      <c r="V457" s="179">
        <f>VLOOKUP(C457,'Talente &amp; Stuff'!ER:FT,20,FALSE)</f>
        <v>0</v>
      </c>
      <c r="W457" s="182">
        <f>VLOOKUP(C457,'Talente &amp; Stuff'!ER:FT,21,FALSE)</f>
        <v>0</v>
      </c>
      <c r="X457" s="182">
        <f>VLOOKUP(C457,'Talente &amp; Stuff'!ER:FT,22,FALSE)</f>
        <v>0</v>
      </c>
      <c r="Y457" s="165">
        <f>VLOOKUP(C457,Ausgewählte_Zeremonien_Phex,168,FALSE)</f>
        <v>0</v>
      </c>
      <c r="Z457" s="44">
        <f>VLOOKUP(C457,Ausgewählte_Zeremonien_Phex,169,FALSE)</f>
        <v>0</v>
      </c>
      <c r="AA457" s="40">
        <f>VLOOKUP(C457,'Talente &amp; Stuff'!ER:FT,25,FALSE)</f>
        <v>0</v>
      </c>
      <c r="AB457" s="189">
        <f>VLOOKUP(C457,'Talente &amp; Stuff'!ER:FT,26,FALSE)</f>
        <v>0</v>
      </c>
      <c r="AC457" s="182">
        <f>VLOOKUP(C457,'Talente &amp; Stuff'!ER:FT,27,FALSE)</f>
        <v>0</v>
      </c>
      <c r="AD457" s="40">
        <f>VLOOKUP(C457,'Talente &amp; Stuff'!ER:FT,28,FALSE)</f>
        <v>0</v>
      </c>
      <c r="AE457" s="28"/>
    </row>
    <row r="458" spans="2:31" ht="15" hidden="1" customHeight="1" outlineLevel="1" collapsed="1">
      <c r="B458" s="134" t="s">
        <v>322</v>
      </c>
      <c r="C458" s="83"/>
      <c r="D458" s="84"/>
      <c r="E458" s="84"/>
    </row>
    <row r="459" spans="2:31" ht="15" hidden="1" customHeight="1" outlineLevel="2">
      <c r="B459" s="148">
        <v>0</v>
      </c>
      <c r="C459" s="134"/>
      <c r="D459" s="40"/>
      <c r="E459" s="182"/>
      <c r="F459" s="17"/>
      <c r="G459" s="183"/>
      <c r="H459" s="183"/>
      <c r="I459" s="183"/>
      <c r="J459" s="183"/>
      <c r="K459" s="183"/>
      <c r="L459" s="183"/>
      <c r="M459" s="180"/>
      <c r="N459" s="179"/>
      <c r="O459" s="179"/>
      <c r="P459" s="180"/>
      <c r="Q459" s="17"/>
      <c r="R459" s="183"/>
      <c r="S459" s="180"/>
      <c r="T459" s="180"/>
      <c r="U459" s="166"/>
      <c r="V459" s="179"/>
      <c r="W459" s="182"/>
      <c r="X459" s="182"/>
      <c r="Y459" s="134"/>
      <c r="Z459" s="44"/>
      <c r="AA459" s="40"/>
      <c r="AB459" s="189"/>
      <c r="AC459" s="182"/>
      <c r="AD459" s="40"/>
    </row>
    <row r="460" spans="2:31" ht="15" hidden="1" customHeight="1" outlineLevel="1" collapsed="1">
      <c r="B460" s="134" t="s">
        <v>321</v>
      </c>
      <c r="C460" s="83"/>
      <c r="D460" s="84"/>
      <c r="E460" s="84"/>
    </row>
    <row r="461" spans="2:31" ht="15" hidden="1" customHeight="1" outlineLevel="2">
      <c r="B461" s="148">
        <v>1</v>
      </c>
      <c r="C461" s="176" t="str">
        <f>Attribute!C461</f>
        <v>---</v>
      </c>
      <c r="D461" s="158" t="str">
        <f>VLOOKUP(C461,'Talente &amp; Stuff'!ER:FT,2,FALSE)</f>
        <v>--/--/--</v>
      </c>
      <c r="E461" s="126" t="str">
        <f>VLOOKUP(C461,'Talente &amp; Stuff'!ER:FT,3,FALSE)</f>
        <v>-</v>
      </c>
      <c r="F461" s="191">
        <f>VLOOKUP(C461,'Talente &amp; Stuff'!ER:FT,4,FALSE)</f>
        <v>0</v>
      </c>
      <c r="G461" s="118">
        <f>VLOOKUP(C461,'Talente &amp; Stuff'!ER:FT,5,FALSE)</f>
        <v>0</v>
      </c>
      <c r="H461" s="118">
        <f>VLOOKUP(C461,'Talente &amp; Stuff'!ER:FT,6,FALSE)</f>
        <v>0</v>
      </c>
      <c r="I461" s="118">
        <f>VLOOKUP(C461,'Talente &amp; Stuff'!ER:FT,7,FALSE)</f>
        <v>0</v>
      </c>
      <c r="J461" s="118">
        <f>VLOOKUP(C461,'Talente &amp; Stuff'!ER:FT,8,FALSE)</f>
        <v>0</v>
      </c>
      <c r="K461" s="118">
        <f>VLOOKUP(C461,'Talente &amp; Stuff'!ER:FT,9,FALSE)</f>
        <v>0</v>
      </c>
      <c r="L461" s="118">
        <f>VLOOKUP(C461,'Talente &amp; Stuff'!ER:FT,10,FALSE)</f>
        <v>0</v>
      </c>
      <c r="M461" s="92">
        <f>VLOOKUP(C461,'Talente &amp; Stuff'!ER:FT,11,FALSE)</f>
        <v>0</v>
      </c>
      <c r="N461" s="116">
        <f>VLOOKUP(C461,'Talente &amp; Stuff'!ER:FT,12,FALSE)</f>
        <v>0</v>
      </c>
      <c r="O461" s="116">
        <f>VLOOKUP(C461,'Talente &amp; Stuff'!ER:FT,13,FALSE)</f>
        <v>0</v>
      </c>
      <c r="P461" s="92">
        <f>VLOOKUP(C461,'Talente &amp; Stuff'!ER:FT,14,FALSE)</f>
        <v>0</v>
      </c>
      <c r="Q461" s="191">
        <f>VLOOKUP(C461,'Talente &amp; Stuff'!ER:FT,15,FALSE)</f>
        <v>0</v>
      </c>
      <c r="R461" s="118">
        <f>VLOOKUP(C461,'Talente &amp; Stuff'!ER:FT,16,FALSE)</f>
        <v>0</v>
      </c>
      <c r="S461" s="92">
        <f>VLOOKUP(C461,'Talente &amp; Stuff'!ER:FT,17,FALSE)</f>
        <v>0</v>
      </c>
      <c r="T461" s="92">
        <f>VLOOKUP(C461,'Talente &amp; Stuff'!ER:FT,18,FALSE)</f>
        <v>0</v>
      </c>
      <c r="U461" s="193">
        <f>VLOOKUP(C461,'Talente &amp; Stuff'!ER:FT,19,FALSE)</f>
        <v>0</v>
      </c>
      <c r="V461" s="116">
        <f>VLOOKUP(C461,'Talente &amp; Stuff'!ER:FT,20,FALSE)</f>
        <v>0</v>
      </c>
      <c r="W461" s="126">
        <f>VLOOKUP(C461,'Talente &amp; Stuff'!ER:FT,21,FALSE)</f>
        <v>0</v>
      </c>
      <c r="X461" s="126">
        <f>VLOOKUP(C461,'Talente &amp; Stuff'!ER:FT,22,FALSE)</f>
        <v>0</v>
      </c>
      <c r="Y461" s="165">
        <f>VLOOKUP(C461,Ausgewählte_Zeremonien_Rondra,168,FALSE)</f>
        <v>0</v>
      </c>
      <c r="Z461" s="44">
        <f>VLOOKUP(C461,Ausgewählte_Zeremonien_Rondra,169,FALSE)</f>
        <v>0</v>
      </c>
      <c r="AA461" s="158">
        <f>VLOOKUP(C461,'Talente &amp; Stuff'!ER:FT,25,FALSE)</f>
        <v>0</v>
      </c>
      <c r="AB461" s="91">
        <f>VLOOKUP(C461,'Talente &amp; Stuff'!ER:FT,26,FALSE)</f>
        <v>0</v>
      </c>
      <c r="AC461" s="126">
        <f>VLOOKUP(C461,'Talente &amp; Stuff'!ER:FT,27,FALSE)</f>
        <v>0</v>
      </c>
      <c r="AD461" s="158">
        <f>VLOOKUP(C461,'Talente &amp; Stuff'!ER:FT,28,FALSE)</f>
        <v>0</v>
      </c>
      <c r="AE461" s="28"/>
    </row>
    <row r="462" spans="2:31" ht="15" hidden="1" customHeight="1" outlineLevel="2">
      <c r="B462" s="148">
        <v>2</v>
      </c>
      <c r="C462" s="178" t="str">
        <f>Attribute!C462</f>
        <v>---</v>
      </c>
      <c r="D462" s="159" t="str">
        <f>VLOOKUP(C462,'Talente &amp; Stuff'!ER:FT,2,FALSE)</f>
        <v>--/--/--</v>
      </c>
      <c r="E462" s="128" t="str">
        <f>VLOOKUP(C462,'Talente &amp; Stuff'!ER:FT,3,FALSE)</f>
        <v>-</v>
      </c>
      <c r="F462" s="115">
        <f>VLOOKUP(C462,'Talente &amp; Stuff'!ER:FT,4,FALSE)</f>
        <v>0</v>
      </c>
      <c r="G462" s="122">
        <f>VLOOKUP(C462,'Talente &amp; Stuff'!ER:FT,5,FALSE)</f>
        <v>0</v>
      </c>
      <c r="H462" s="122">
        <f>VLOOKUP(C462,'Talente &amp; Stuff'!ER:FT,6,FALSE)</f>
        <v>0</v>
      </c>
      <c r="I462" s="122">
        <f>VLOOKUP(C462,'Talente &amp; Stuff'!ER:FT,7,FALSE)</f>
        <v>0</v>
      </c>
      <c r="J462" s="122">
        <f>VLOOKUP(C462,'Talente &amp; Stuff'!ER:FT,8,FALSE)</f>
        <v>0</v>
      </c>
      <c r="K462" s="122">
        <f>VLOOKUP(C462,'Talente &amp; Stuff'!ER:FT,9,FALSE)</f>
        <v>0</v>
      </c>
      <c r="L462" s="122">
        <f>VLOOKUP(C462,'Talente &amp; Stuff'!ER:FT,10,FALSE)</f>
        <v>0</v>
      </c>
      <c r="M462" s="123">
        <f>VLOOKUP(C462,'Talente &amp; Stuff'!ER:FT,11,FALSE)</f>
        <v>0</v>
      </c>
      <c r="N462" s="88">
        <f>VLOOKUP(C462,'Talente &amp; Stuff'!ER:FT,12,FALSE)</f>
        <v>0</v>
      </c>
      <c r="O462" s="88">
        <f>VLOOKUP(C462,'Talente &amp; Stuff'!ER:FT,13,FALSE)</f>
        <v>0</v>
      </c>
      <c r="P462" s="123">
        <f>VLOOKUP(C462,'Talente &amp; Stuff'!ER:FT,14,FALSE)</f>
        <v>0</v>
      </c>
      <c r="Q462" s="115">
        <f>VLOOKUP(C462,'Talente &amp; Stuff'!ER:FT,15,FALSE)</f>
        <v>0</v>
      </c>
      <c r="R462" s="122">
        <f>VLOOKUP(C462,'Talente &amp; Stuff'!ER:FT,16,FALSE)</f>
        <v>0</v>
      </c>
      <c r="S462" s="123">
        <f>VLOOKUP(C462,'Talente &amp; Stuff'!ER:FT,17,FALSE)</f>
        <v>0</v>
      </c>
      <c r="T462" s="123">
        <f>VLOOKUP(C462,'Talente &amp; Stuff'!ER:FT,18,FALSE)</f>
        <v>0</v>
      </c>
      <c r="U462" s="90">
        <f>VLOOKUP(C462,'Talente &amp; Stuff'!ER:FT,19,FALSE)</f>
        <v>0</v>
      </c>
      <c r="V462" s="88">
        <f>VLOOKUP(C462,'Talente &amp; Stuff'!ER:FT,20,FALSE)</f>
        <v>0</v>
      </c>
      <c r="W462" s="128">
        <f>VLOOKUP(C462,'Talente &amp; Stuff'!ER:FT,21,FALSE)</f>
        <v>0</v>
      </c>
      <c r="X462" s="128">
        <f>VLOOKUP(C462,'Talente &amp; Stuff'!ER:FT,22,FALSE)</f>
        <v>0</v>
      </c>
      <c r="Y462" s="165">
        <f>VLOOKUP(C462,Ausgewählte_Zeremonien_Rondra,168,FALSE)</f>
        <v>0</v>
      </c>
      <c r="Z462" s="44">
        <f>VLOOKUP(C462,Ausgewählte_Zeremonien_Rondra,169,FALSE)</f>
        <v>0</v>
      </c>
      <c r="AA462" s="159">
        <f>VLOOKUP(C462,'Talente &amp; Stuff'!ER:FT,25,FALSE)</f>
        <v>0</v>
      </c>
      <c r="AB462" s="161">
        <f>VLOOKUP(C462,'Talente &amp; Stuff'!ER:FT,26,FALSE)</f>
        <v>0</v>
      </c>
      <c r="AC462" s="128">
        <f>VLOOKUP(C462,'Talente &amp; Stuff'!ER:FT,27,FALSE)</f>
        <v>0</v>
      </c>
      <c r="AD462" s="159">
        <f>VLOOKUP(C462,'Talente &amp; Stuff'!ER:FT,28,FALSE)</f>
        <v>0</v>
      </c>
      <c r="AE462" s="28"/>
    </row>
    <row r="463" spans="2:31" ht="15" hidden="1" customHeight="1" outlineLevel="1" collapsed="1"/>
    <row r="464" spans="2:31" collapsed="1"/>
    <row r="465" spans="3:31" ht="15.75" thickBot="1">
      <c r="C465" s="196"/>
      <c r="D465" s="4"/>
      <c r="E465" s="4"/>
      <c r="F465" s="6"/>
      <c r="G465" s="6"/>
      <c r="H465" s="6"/>
      <c r="I465" s="6"/>
      <c r="J465" s="6"/>
      <c r="K465" s="6"/>
      <c r="L465" s="6"/>
      <c r="M465" s="6"/>
      <c r="N465" s="4"/>
      <c r="O465" s="48"/>
      <c r="P465" s="6"/>
      <c r="Q465" s="101">
        <f>IFERROR(SUM(Q11:Q463)/COUNTIF(Q11:Q463,"&gt;0"),0)</f>
        <v>0</v>
      </c>
      <c r="R465" s="101">
        <f>IFERROR(SUM(R11:R463)/COUNTIF(R11:R463,"&gt;0"),0)</f>
        <v>0</v>
      </c>
      <c r="S465" s="101">
        <f>IFERROR(SUM(S11:S463)/COUNTIF(S11:S463,"&gt;0"),0)</f>
        <v>0</v>
      </c>
      <c r="T465" s="101">
        <f>Q465+R465+S465</f>
        <v>0</v>
      </c>
      <c r="U465" s="4"/>
      <c r="V465" s="4"/>
      <c r="W465" s="4"/>
      <c r="X465" s="4"/>
      <c r="Y465" s="74"/>
      <c r="Z465" s="1"/>
      <c r="AA465" s="4"/>
      <c r="AB465" s="6"/>
      <c r="AC465" s="4"/>
      <c r="AD465" s="27"/>
      <c r="AE465" s="28"/>
    </row>
    <row r="466" spans="3:31" ht="15.75" thickBot="1">
      <c r="C466" s="196"/>
      <c r="D466" s="4"/>
      <c r="E466" s="4"/>
      <c r="F466" s="274" t="s">
        <v>117</v>
      </c>
      <c r="G466" s="275"/>
      <c r="H466" s="275"/>
      <c r="I466" s="275"/>
      <c r="J466" s="275"/>
      <c r="K466" s="275"/>
      <c r="L466" s="276">
        <f>AVERAGE(F468:M468)</f>
        <v>0</v>
      </c>
      <c r="M466" s="277"/>
      <c r="N466" s="4"/>
      <c r="O466" s="4"/>
      <c r="P466" s="6"/>
      <c r="Q466" s="102" t="s">
        <v>113</v>
      </c>
      <c r="R466" s="102" t="s">
        <v>113</v>
      </c>
      <c r="S466" s="102" t="s">
        <v>113</v>
      </c>
      <c r="T466" s="102" t="s">
        <v>113</v>
      </c>
      <c r="U466" s="4"/>
      <c r="V466" s="4"/>
      <c r="W466" s="20" t="s">
        <v>117</v>
      </c>
      <c r="X466" s="19">
        <f>IFERROR(X468/COUNTIF(X11:X463,"&gt;0"),0)</f>
        <v>0</v>
      </c>
      <c r="Y466" s="204">
        <f>IFERROR(Y468/COUNTIF(Y11:Y463,"&gt;0"),0)</f>
        <v>0</v>
      </c>
      <c r="Z466" s="13">
        <f>IFERROR(Z468/COUNTIF(Z11:Z463,"&gt;0"),0)</f>
        <v>0</v>
      </c>
      <c r="AA466" s="19">
        <f>IFERROR(AA468/COUNTIF(AA11:AA463,"&gt;0"),0)</f>
        <v>0</v>
      </c>
      <c r="AB466" s="19">
        <f>IFERROR(SUM(AB11:AB464)/COUNTIF(AB11:AB464,"&gt;0"),0)</f>
        <v>0</v>
      </c>
      <c r="AC466" s="19">
        <f>IFERROR(SUM(AC11:AC464)/COUNTIF(AC11:AC464,"&gt;0"),0)</f>
        <v>0</v>
      </c>
      <c r="AD466" s="24">
        <f>IFERROR(SUM(AD11:AD464)/COUNTIF(AD11:AD464,"&gt;0"),0)</f>
        <v>0</v>
      </c>
      <c r="AE466" s="28"/>
    </row>
    <row r="467" spans="3:31" ht="15.75" thickBot="1">
      <c r="C467" s="196"/>
      <c r="D467" s="4"/>
      <c r="E467" s="4"/>
      <c r="F467" s="65"/>
      <c r="G467" s="65"/>
      <c r="H467" s="65"/>
      <c r="I467" s="65"/>
      <c r="J467" s="65"/>
      <c r="K467" s="65"/>
      <c r="L467" s="65"/>
      <c r="M467" s="65"/>
      <c r="N467" s="4"/>
      <c r="O467" s="4"/>
      <c r="P467" s="6"/>
      <c r="Q467" s="103">
        <f>Konvention_1master^3</f>
        <v>8000</v>
      </c>
      <c r="R467" s="103">
        <f>Konvention_1master^3</f>
        <v>8000</v>
      </c>
      <c r="S467" s="103">
        <f>Konvention_1master^3</f>
        <v>8000</v>
      </c>
      <c r="T467" s="103">
        <f>Konvention_1master^3</f>
        <v>8000</v>
      </c>
      <c r="U467" s="4"/>
      <c r="V467" s="4"/>
      <c r="W467" s="4"/>
      <c r="X467" s="1"/>
      <c r="Y467" s="74"/>
      <c r="Z467" s="1"/>
      <c r="AA467" s="35"/>
      <c r="AB467" s="22"/>
      <c r="AC467" s="35"/>
      <c r="AD467" s="36"/>
      <c r="AE467" s="28"/>
    </row>
    <row r="468" spans="3:31">
      <c r="C468" s="196"/>
      <c r="D468" s="4"/>
      <c r="E468" s="4"/>
      <c r="F468" s="66">
        <f t="shared" ref="F468:P468" si="38">SUM(F11:F463)</f>
        <v>0</v>
      </c>
      <c r="G468" s="66">
        <f t="shared" si="38"/>
        <v>0</v>
      </c>
      <c r="H468" s="66">
        <f t="shared" si="38"/>
        <v>0</v>
      </c>
      <c r="I468" s="66">
        <f t="shared" si="38"/>
        <v>0</v>
      </c>
      <c r="J468" s="66">
        <f t="shared" si="38"/>
        <v>0</v>
      </c>
      <c r="K468" s="66">
        <f t="shared" si="38"/>
        <v>0</v>
      </c>
      <c r="L468" s="66">
        <f t="shared" si="38"/>
        <v>0</v>
      </c>
      <c r="M468" s="66">
        <f t="shared" si="38"/>
        <v>0</v>
      </c>
      <c r="N468" s="10">
        <f t="shared" si="38"/>
        <v>0</v>
      </c>
      <c r="O468" s="11">
        <f t="shared" si="38"/>
        <v>0</v>
      </c>
      <c r="P468" s="104">
        <f t="shared" si="38"/>
        <v>0</v>
      </c>
      <c r="Q468" s="143">
        <f>Q465/Q467</f>
        <v>0</v>
      </c>
      <c r="R468" s="144">
        <f>R465/R467</f>
        <v>0</v>
      </c>
      <c r="S468" s="145">
        <f>S465/S467</f>
        <v>0</v>
      </c>
      <c r="T468" s="146">
        <f>Q468+R468+S468</f>
        <v>0</v>
      </c>
      <c r="U468" s="7">
        <f>IFERROR(N468*Q465/T465,0)</f>
        <v>0</v>
      </c>
      <c r="V468" s="8">
        <f>IFERROR(O468*R465/T465,0)</f>
        <v>0</v>
      </c>
      <c r="W468" s="9">
        <f>IFERROR(P468*S465/T465,0)</f>
        <v>0</v>
      </c>
      <c r="X468" s="7">
        <f>SUMIF(X11:X463,"&gt;0")</f>
        <v>0</v>
      </c>
      <c r="Y468" s="25">
        <f>SUM(Y11:Y463)</f>
        <v>0</v>
      </c>
      <c r="Z468" s="21">
        <f>SUM(Z11:Z463)</f>
        <v>0</v>
      </c>
      <c r="AA468" s="12">
        <f>IFERROR(SUMIF(AA11:AA463,"&gt;0"),0)</f>
        <v>0</v>
      </c>
      <c r="AB468" s="16">
        <f>SUM(AB11:AB463)</f>
        <v>0</v>
      </c>
      <c r="AC468" s="15">
        <f>SUM(AC11:AC463)</f>
        <v>0</v>
      </c>
      <c r="AD468" s="15">
        <f>IFERROR(SUMIF(AD11:AD463,"&gt;0"),0)</f>
        <v>0</v>
      </c>
      <c r="AE468" s="28"/>
    </row>
    <row r="469" spans="3:31" ht="15.75" thickBot="1">
      <c r="C469" s="196"/>
      <c r="D469" s="4"/>
      <c r="E469" s="4"/>
      <c r="F469" s="278" t="s">
        <v>118</v>
      </c>
      <c r="G469" s="279"/>
      <c r="H469" s="279"/>
      <c r="I469" s="279"/>
      <c r="J469" s="279"/>
      <c r="K469" s="279"/>
      <c r="L469" s="279"/>
      <c r="M469" s="280"/>
      <c r="N469" s="281" t="s">
        <v>116</v>
      </c>
      <c r="O469" s="282"/>
      <c r="P469" s="283"/>
      <c r="Q469" s="284" t="s">
        <v>112</v>
      </c>
      <c r="R469" s="285"/>
      <c r="S469" s="286"/>
      <c r="T469" s="80" t="s">
        <v>145</v>
      </c>
      <c r="U469" s="263" t="s">
        <v>123</v>
      </c>
      <c r="V469" s="264"/>
      <c r="W469" s="265"/>
      <c r="X469" s="195" t="s">
        <v>121</v>
      </c>
      <c r="Y469" s="75" t="s">
        <v>122</v>
      </c>
      <c r="Z469" s="49" t="s">
        <v>124</v>
      </c>
      <c r="AA469" s="50" t="s">
        <v>131</v>
      </c>
      <c r="AB469" s="80" t="s">
        <v>154</v>
      </c>
      <c r="AC469" s="50" t="s">
        <v>156</v>
      </c>
      <c r="AD469" s="51" t="s">
        <v>136</v>
      </c>
      <c r="AE469" s="28"/>
    </row>
    <row r="470" spans="3:31">
      <c r="C470" s="196"/>
      <c r="Y470" s="76"/>
      <c r="Z470" s="1"/>
    </row>
    <row r="471" spans="3:31">
      <c r="C471" s="196"/>
      <c r="Y471" s="76"/>
      <c r="Z471" s="1"/>
    </row>
    <row r="472" spans="3:31">
      <c r="C472" s="196"/>
      <c r="Y472" s="76"/>
      <c r="Z472" s="1"/>
    </row>
    <row r="473" spans="3:31">
      <c r="C473" s="196"/>
      <c r="Y473" s="76"/>
      <c r="Z473" s="1"/>
    </row>
    <row r="474" spans="3:31">
      <c r="C474" s="196"/>
      <c r="Y474" s="76"/>
      <c r="Z474" s="1"/>
    </row>
    <row r="475" spans="3:31">
      <c r="C475" s="196"/>
      <c r="Y475" s="76"/>
      <c r="Z475" s="1"/>
    </row>
    <row r="476" spans="3:31">
      <c r="C476" s="148"/>
      <c r="Y476" s="76"/>
      <c r="Z476" s="1"/>
    </row>
    <row r="477" spans="3:31">
      <c r="C477" s="148"/>
      <c r="Y477" s="76"/>
      <c r="Z477" s="1"/>
    </row>
    <row r="478" spans="3:31">
      <c r="C478" s="148"/>
      <c r="Y478" s="77"/>
      <c r="Z478" s="1"/>
    </row>
    <row r="479" spans="3:31">
      <c r="C479" s="148"/>
      <c r="Y479" s="70"/>
      <c r="Z479" s="1"/>
    </row>
    <row r="480" spans="3:31">
      <c r="C480" s="148"/>
      <c r="Y480" s="65"/>
      <c r="Z480" s="1"/>
    </row>
    <row r="481" spans="3:26">
      <c r="C481" s="196"/>
      <c r="Y481" s="65"/>
      <c r="Z481" s="1"/>
    </row>
    <row r="482" spans="3:26">
      <c r="Y482" s="65"/>
      <c r="Z482" s="1"/>
    </row>
    <row r="483" spans="3:26">
      <c r="Y483" s="65"/>
      <c r="Z483" s="1"/>
    </row>
    <row r="484" spans="3:26">
      <c r="Y484" s="65"/>
      <c r="Z484" s="1"/>
    </row>
    <row r="485" spans="3:26">
      <c r="Y485" s="65"/>
      <c r="Z485" s="1"/>
    </row>
    <row r="486" spans="3:26">
      <c r="Y486" s="65"/>
      <c r="Z486" s="1"/>
    </row>
    <row r="487" spans="3:26">
      <c r="Y487" s="65"/>
      <c r="Z487" s="1"/>
    </row>
    <row r="488" spans="3:26">
      <c r="Y488" s="65"/>
      <c r="Z488" s="1"/>
    </row>
    <row r="489" spans="3:26">
      <c r="Y489" s="65"/>
      <c r="Z489" s="1"/>
    </row>
    <row r="490" spans="3:26">
      <c r="Y490" s="65"/>
      <c r="Z490" s="1"/>
    </row>
    <row r="491" spans="3:26">
      <c r="Y491" s="65"/>
      <c r="Z491" s="1"/>
    </row>
    <row r="492" spans="3:26">
      <c r="Y492" s="65"/>
      <c r="Z492" s="1"/>
    </row>
    <row r="493" spans="3:26">
      <c r="Y493" s="65"/>
      <c r="Z493" s="1"/>
    </row>
    <row r="494" spans="3:26">
      <c r="Y494" s="199"/>
      <c r="Z494" s="199"/>
    </row>
    <row r="495" spans="3:26">
      <c r="Y495" s="199"/>
      <c r="Z495" s="199"/>
    </row>
    <row r="496" spans="3:26">
      <c r="Y496" s="199"/>
      <c r="Z496" s="199"/>
    </row>
    <row r="497" spans="25:26">
      <c r="Y497" s="199"/>
      <c r="Z497" s="199"/>
    </row>
    <row r="498" spans="25:26">
      <c r="Y498" s="199"/>
      <c r="Z498" s="199"/>
    </row>
    <row r="499" spans="25:26">
      <c r="Y499" s="65"/>
      <c r="Z499" s="1"/>
    </row>
  </sheetData>
  <mergeCells count="11">
    <mergeCell ref="U469:W469"/>
    <mergeCell ref="F466:K466"/>
    <mergeCell ref="L466:M466"/>
    <mergeCell ref="F469:M469"/>
    <mergeCell ref="N469:P469"/>
    <mergeCell ref="Q469:S469"/>
    <mergeCell ref="F4:M4"/>
    <mergeCell ref="F7:M7"/>
    <mergeCell ref="N7:P7"/>
    <mergeCell ref="Q7:S7"/>
    <mergeCell ref="U7:W7"/>
  </mergeCells>
  <conditionalFormatting sqref="C11:C24 C26:C34 C36:C42 C44:C55 C57:C73 C78:C98 C100:C126 C128:C151 C153:C211 C213:C257 C259 C461:C462 C352:C355 C357:C365 C367:C374 C376:C386 C388:C389 C391 C393:C395 C400:C402 C404:C409 C411:C417 C419:C423 C425:C432 C434:C439 C441:C444 C448:C449 C455 C457 C323:C348 C261:C296 C298:C321">
    <cfRule type="notContainsErrors" dxfId="31" priority="22">
      <formula>NOT(ISERROR(C11))</formula>
    </cfRule>
  </conditionalFormatting>
  <conditionalFormatting sqref="R5">
    <cfRule type="colorScale" priority="16">
      <colorScale>
        <cfvo type="min" val="0"/>
        <cfvo type="num" val="0"/>
        <cfvo type="max" val="0"/>
        <color rgb="FFFF0000"/>
        <color rgb="FFFFFF00"/>
        <color rgb="FF00B050"/>
      </colorScale>
    </cfRule>
  </conditionalFormatting>
  <conditionalFormatting sqref="F468:M468 L466">
    <cfRule type="colorScale" priority="15">
      <colorScale>
        <cfvo type="min" val="0"/>
        <cfvo type="num" val="$L$466"/>
        <cfvo type="max" val="0"/>
        <color rgb="FF63BE7B"/>
        <color rgb="FFFFEB84"/>
        <color rgb="FFF8696B"/>
      </colorScale>
    </cfRule>
  </conditionalFormatting>
  <conditionalFormatting sqref="Z11:Z466">
    <cfRule type="colorScale" priority="14">
      <colorScale>
        <cfvo type="min" val="0"/>
        <cfvo type="formula" val="noch_benötigte_Punkte_Avg/2"/>
        <cfvo type="max" val="0"/>
        <color rgb="FF00B050"/>
        <color rgb="FFFFFF00"/>
        <color rgb="FFFF0000"/>
      </colorScale>
    </cfRule>
  </conditionalFormatting>
  <conditionalFormatting sqref="AC11:AC466">
    <cfRule type="colorScale" priority="13">
      <colorScale>
        <cfvo type="min" val="0"/>
        <cfvo type="formula" val="AP_noch_Avg/2"/>
        <cfvo type="max" val="0"/>
        <color rgb="FF63BE7B"/>
        <color rgb="FFFFEB84"/>
        <color rgb="FFF8696B"/>
      </colorScale>
    </cfRule>
  </conditionalFormatting>
  <conditionalFormatting sqref="AD11:AD466">
    <cfRule type="colorScale" priority="12">
      <colorScale>
        <cfvo type="num" val="0.01"/>
        <cfvo type="max" val="0"/>
        <color rgb="FF63BE7B"/>
        <color rgb="FFF8696B"/>
      </colorScale>
    </cfRule>
  </conditionalFormatting>
  <conditionalFormatting sqref="C298:C321 C323:C348">
    <cfRule type="notContainsErrors" dxfId="30" priority="10">
      <formula>NOT(ISERROR(C298))</formula>
    </cfRule>
  </conditionalFormatting>
  <conditionalFormatting sqref="C298:C321 C323:C348">
    <cfRule type="notContainsErrors" dxfId="29" priority="6">
      <formula>NOT(ISERROR(C298))</formula>
    </cfRule>
  </conditionalFormatting>
  <conditionalFormatting sqref="C298:C321 C323:C348">
    <cfRule type="notContainsErrors" dxfId="28" priority="5">
      <formula>NOT(ISERROR(C298))</formula>
    </cfRule>
  </conditionalFormatting>
  <conditionalFormatting sqref="C261:C296 C298:C321 C323:C348">
    <cfRule type="notContainsErrors" dxfId="27" priority="4">
      <formula>NOT(ISERROR(C261))</formula>
    </cfRule>
  </conditionalFormatting>
  <conditionalFormatting sqref="C298:C321 C323:C348">
    <cfRule type="notContainsErrors" dxfId="26" priority="3">
      <formula>NOT(ISERROR(C298))</formula>
    </cfRule>
  </conditionalFormatting>
  <conditionalFormatting sqref="C298:C321 C323:C348">
    <cfRule type="notContainsErrors" dxfId="25" priority="2">
      <formula>NOT(ISERROR(C298))</formula>
    </cfRule>
  </conditionalFormatting>
  <conditionalFormatting sqref="C298:C321 C323:C348">
    <cfRule type="notContainsErrors" dxfId="24" priority="1">
      <formula>NOT(ISERROR(C298))</formula>
    </cfRule>
  </conditionalFormatting>
  <dataValidations count="5">
    <dataValidation type="list" allowBlank="1" showInputMessage="1" showErrorMessage="1" sqref="C357:C365 C213:C257 C393:C395 C352:C355 C57:C73 C400:C402 C404:C409 C411:C417 C419:C423 C425:C432 C434:C439 C441:C444 C448:C449 C455 C457 C461:C462 C128:C151 C259 C78:C98 C100:C126 C367:C374 C376:C386 C388:C389 C391 C153:C211 C261:C296 C298:C321 C323:C348">
      <formula1>Talente_Handwerkstalente</formula1>
    </dataValidation>
    <dataValidation type="list" allowBlank="1" showInputMessage="1" showErrorMessage="1" sqref="C44:C55">
      <formula1>Talente_Wissenstalente</formula1>
    </dataValidation>
    <dataValidation type="list" allowBlank="1" showInputMessage="1" showErrorMessage="1" sqref="C36:C42">
      <formula1>Talente_Naturtalente</formula1>
    </dataValidation>
    <dataValidation type="list" allowBlank="1" showInputMessage="1" showErrorMessage="1" sqref="C26:C34">
      <formula1>Talente_Gesellschaftstalente</formula1>
    </dataValidation>
    <dataValidation type="list" allowBlank="1" showInputMessage="1" showErrorMessage="1" sqref="C11:C24">
      <formula1>Talente_Körpertalente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64FF64"/>
  </sheetPr>
  <dimension ref="A1:AE499"/>
  <sheetViews>
    <sheetView zoomScaleNormal="100" workbookViewId="0"/>
  </sheetViews>
  <sheetFormatPr baseColWidth="10" defaultColWidth="9.140625" defaultRowHeight="15" outlineLevelRow="2" outlineLevelCol="1"/>
  <cols>
    <col min="1" max="1" width="11.85546875" style="148" customWidth="1"/>
    <col min="2" max="2" width="19.28515625" style="148" customWidth="1"/>
    <col min="3" max="3" width="31.7109375" style="140" customWidth="1"/>
    <col min="4" max="4" width="13.140625" style="148" customWidth="1"/>
    <col min="5" max="5" width="2.28515625" style="148" customWidth="1"/>
    <col min="6" max="13" width="9.28515625" style="148" customWidth="1"/>
    <col min="14" max="16" width="15.42578125" style="148" customWidth="1"/>
    <col min="17" max="19" width="12.42578125" style="148" customWidth="1"/>
    <col min="20" max="20" width="23.5703125" style="148" bestFit="1" customWidth="1"/>
    <col min="21" max="23" width="13" style="148" hidden="1" customWidth="1" outlineLevel="1"/>
    <col min="24" max="24" width="24" style="148" hidden="1" customWidth="1" outlineLevel="1"/>
    <col min="25" max="25" width="18.42578125" style="197" hidden="1" customWidth="1" outlineLevel="1"/>
    <col min="26" max="26" width="21.5703125" style="197" hidden="1" customWidth="1" outlineLevel="1"/>
    <col min="27" max="27" width="11.85546875" style="148" hidden="1" customWidth="1" outlineLevel="1"/>
    <col min="28" max="28" width="14" style="148" hidden="1" customWidth="1" outlineLevel="1"/>
    <col min="29" max="29" width="13.42578125" style="148" hidden="1" customWidth="1" outlineLevel="1"/>
    <col min="30" max="30" width="14.42578125" style="148" hidden="1" customWidth="1" outlineLevel="1"/>
    <col min="31" max="31" width="9.140625" style="148" collapsed="1"/>
    <col min="32" max="16384" width="9.140625" style="148"/>
  </cols>
  <sheetData>
    <row r="1" spans="1:31" s="4" customFormat="1">
      <c r="A1" s="124"/>
      <c r="C1" s="3"/>
      <c r="F1" s="93" t="s">
        <v>0</v>
      </c>
      <c r="G1" s="94" t="s">
        <v>1</v>
      </c>
      <c r="H1" s="94" t="s">
        <v>2</v>
      </c>
      <c r="I1" s="94" t="s">
        <v>3</v>
      </c>
      <c r="J1" s="94" t="s">
        <v>4</v>
      </c>
      <c r="K1" s="94" t="s">
        <v>5</v>
      </c>
      <c r="L1" s="94" t="s">
        <v>6</v>
      </c>
      <c r="M1" s="95" t="s">
        <v>7</v>
      </c>
      <c r="N1" s="32" t="s">
        <v>118</v>
      </c>
      <c r="O1" s="40" t="s">
        <v>283</v>
      </c>
      <c r="P1" s="67"/>
      <c r="Q1" s="6"/>
      <c r="R1" s="6"/>
      <c r="S1" s="6"/>
      <c r="T1" s="6"/>
      <c r="Y1" s="70"/>
      <c r="Z1" s="1"/>
      <c r="AA1" s="35"/>
      <c r="AB1" s="22"/>
      <c r="AC1" s="35"/>
      <c r="AD1" s="36"/>
    </row>
    <row r="2" spans="1:31" s="4" customFormat="1">
      <c r="A2" s="150"/>
      <c r="C2" s="3"/>
      <c r="F2" s="98">
        <f>MUmaster</f>
        <v>8</v>
      </c>
      <c r="G2" s="98">
        <f>KLmaster</f>
        <v>8</v>
      </c>
      <c r="H2" s="98">
        <f>INmaster</f>
        <v>8</v>
      </c>
      <c r="I2" s="98">
        <f>CHmaster</f>
        <v>8</v>
      </c>
      <c r="J2" s="98">
        <f>FFmaster</f>
        <v>8</v>
      </c>
      <c r="K2" s="98">
        <f>GEmaster+1</f>
        <v>9</v>
      </c>
      <c r="L2" s="98">
        <f>KOmaster</f>
        <v>8</v>
      </c>
      <c r="M2" s="98">
        <f>KKmaster</f>
        <v>8</v>
      </c>
      <c r="N2" s="5">
        <f>MUslave+KLslave+INslave+CHslave+FFslave+GEslave_GE+KOslave+KKslave</f>
        <v>65</v>
      </c>
      <c r="O2" s="68">
        <v>20</v>
      </c>
      <c r="P2" s="6"/>
      <c r="Q2" s="6"/>
      <c r="R2" s="6"/>
      <c r="S2" s="6"/>
      <c r="T2" s="6"/>
      <c r="Y2" s="71"/>
      <c r="Z2" s="1"/>
      <c r="AA2" s="35"/>
      <c r="AB2" s="22"/>
      <c r="AC2" s="35"/>
      <c r="AD2" s="36"/>
    </row>
    <row r="3" spans="1:31" s="37" customFormat="1">
      <c r="B3" s="31"/>
      <c r="C3" s="141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Y3" s="71"/>
      <c r="Z3" s="38"/>
      <c r="AA3" s="34"/>
      <c r="AB3" s="67"/>
      <c r="AC3" s="34"/>
      <c r="AD3" s="39"/>
    </row>
    <row r="4" spans="1:31" s="37" customFormat="1">
      <c r="B4" s="31"/>
      <c r="C4" s="141"/>
      <c r="F4" s="287" t="s">
        <v>139</v>
      </c>
      <c r="G4" s="288"/>
      <c r="H4" s="288"/>
      <c r="I4" s="288"/>
      <c r="J4" s="288"/>
      <c r="K4" s="288"/>
      <c r="L4" s="288"/>
      <c r="M4" s="288"/>
      <c r="N4" s="91" t="s">
        <v>334</v>
      </c>
      <c r="O4" s="91" t="s">
        <v>154</v>
      </c>
      <c r="P4" s="191" t="s">
        <v>144</v>
      </c>
      <c r="Q4" s="91" t="s">
        <v>142</v>
      </c>
      <c r="R4" s="92" t="s">
        <v>143</v>
      </c>
      <c r="S4" s="29"/>
      <c r="T4" s="29"/>
      <c r="Y4" s="71"/>
      <c r="Z4" s="38"/>
      <c r="AA4" s="34"/>
      <c r="AB4" s="67"/>
      <c r="AC4" s="34"/>
      <c r="AD4" s="39"/>
    </row>
    <row r="5" spans="1:31" s="37" customFormat="1">
      <c r="B5" s="31"/>
      <c r="C5" s="141"/>
      <c r="F5" s="190">
        <f>MUslave*15+IF(MUslave&gt;14,MUslave-14,0)*15+IF(MUslave&gt;15,MUslave-15,0)*15+IF(MUslave&gt;16,MUslave-16,0)*15+IF(MUslave&gt;17,MUslave-17,0)*15+IF(MUslave&gt;18,MUslave-18,0)*15+IF(MUslave&gt;19,MUslave-19,0)*15+IF(MUslave&gt;20,MUslave-20,0)*15+IF(MUslave&gt;21,MUslave-21,0)*15+IF(MUslave&gt;22,MUslave-22,0)*15+IF(MUslave&gt;23,MUslave-23,0)*15+IF(MUslave&gt;24,MUslave-24,0)*15-120</f>
        <v>0</v>
      </c>
      <c r="G5" s="190">
        <f>KLslave*15+IF(KLslave&gt;14,KLslave-14,0)*15+IF(KLslave&gt;15,KLslave-15,0)*15+IF(KLslave&gt;16,KLslave-16,0)*15+IF(KLslave&gt;17,KLslave-17,0)*15+IF(KLslave&gt;18,KLslave-18,0)*15+IF(KLslave&gt;19,KLslave-19,0)*15+IF(KLslave&gt;20,KLslave-20,0)*15+IF(KLslave&gt;21,KLslave-21,0)*15+IF(KLslave&gt;22,KLslave-22,0)*15+IF(KLslave&gt;23,KLslave-23,0)*15+IF(KLslave&gt;24,KLslave-24,0)*15-120</f>
        <v>0</v>
      </c>
      <c r="H5" s="189">
        <f>INslave*15+IF(INslave&gt;14,INslave-14,0)*15+IF(INslave&gt;15,INslave-15,0)*15+IF(INslave&gt;16,INslave-16,0)*15+IF(INslave&gt;17,INslave-17,0)*15+IF(INslave&gt;18,INslave-18,0)*15+IF(INslave&gt;19,INslave-19,0)*15+IF(INslave&gt;20,INslave-20,0)*15+IF(INslave&gt;21,INslave-21,0)*15+IF(INslave&gt;22,INslave-22,0)*15+IF(INslave&gt;23,INslave-23,0)*15+IF(INslave&gt;24,INslave-24,0)*15-120</f>
        <v>0</v>
      </c>
      <c r="I5" s="189">
        <f>CHslave*15+IF(CHslave&gt;14,CHslave-14,0)*15+IF(CHslave&gt;15,CHslave-15,0)*15+IF(CHslave&gt;16,CHslave-16,0)*15+IF(CHslave&gt;17,CHslave-17,0)*15+IF(CHslave&gt;18,CHslave-18,0)*15+IF(CHslave&gt;19,CHslave-19,0)*15+IF(CHslave&gt;20,CHslave-20,0)*15+IF(CHslave&gt;21,CHslave-21,0)*15+IF(CHslave&gt;22,CHslave-22,0)*15+IF(CHslave&gt;23,CHslave-23,0)*15+IF(CHslave&gt;24,CHslave-24,0)*15-120</f>
        <v>0</v>
      </c>
      <c r="J5" s="189">
        <f>FFslave*15+IF(FFslave&gt;14,FFslave-14,0)*15+IF(FFslave&gt;15,FFslave-15,0)*15+IF(FFslave&gt;16,FFslave-16,0)*15+IF(FFslave&gt;17,FFslave-17,0)*15+IF(FFslave&gt;18,FFslave-18,0)*15+IF(FFslave&gt;19,FFslave-19,0)*15+IF(FFslave&gt;20,FFslave-20,0)*15+IF(FFslave&gt;21,FFslave-21,0)*15+IF(FFslave&gt;22,FFslave-22,0)*15+IF(FFslave&gt;23,FFslave-23,0)*15+IF(FFslave&gt;24,FFslave-24,0)*15-120</f>
        <v>0</v>
      </c>
      <c r="K5" s="189">
        <f>GEslave_GE*15+IF(GEslave_GE&gt;14,GEslave_GE-14,0)*15+IF(GEslave_GE&gt;15,GEslave_GE-15,0)*15+IF(GEslave_GE&gt;16,GEslave_GE-16,0)*15+IF(GEslave_GE&gt;17,GEslave_GE-17,0)*15+IF(GEslave_GE&gt;18,GEslave_GE-18,0)*15+IF(GEslave_GE&gt;19,GEslave_GE-19,0)*15+IF(GEslave_GE&gt;20,GEslave_GE-20,0)*15+IF(GEslave_GE&gt;21,GEslave_GE-21,0)*15+IF(GEslave_GE&gt;22,GEslave_GE-22,0)*15+IF(GEslave_GE&gt;23,GEslave_GE-23,0)*15+IF(GEslave_GE&gt;24,GEslave_GE-24,0)*15-120</f>
        <v>15</v>
      </c>
      <c r="L5" s="189">
        <f>KOslave*15+IF(KOslave&gt;14,KOslave-14,0)*15+IF(KOslave&gt;15,KOslave-15,0)*15+IF(KOslave&gt;16,KOslave-16,0)*15+IF(KOslave&gt;17,KOslave-17,0)*15+IF(KOslave&gt;18,KOslave-18,0)*15+IF(KOslave&gt;19,KOslave-19,0)*15+IF(KOslave&gt;20,KOslave-20,0)*15+IF(KOslave&gt;21,KOslave-21,0)*15+IF(KOslave&gt;22,KOslave-22,0)*15+IF(KOslave&gt;23,KOslave-23,0)*15+IF(KOslave&gt;24,KOslave-24,0)*15-120</f>
        <v>0</v>
      </c>
      <c r="M5" s="189">
        <f>KKslave*15+IF(KKslave&gt;14,KKslave-14,0)*15+IF(KKslave&gt;15,KKslave-15,0)*15+IF(KKslave&gt;16,KKslave-16,0)*15+IF(KKslave&gt;17,KKslave-17,0)*15+IF(KKslave&gt;18,KKslave-18,0)*15+IF(KKslave&gt;19,KKslave-19,0)*15+IF(KKslave&gt;20,KKslave-20,0)*15+IF(KKslave&gt;21,KKslave-21,0)*15+IF(KKslave&gt;22,KKslave-22,0)*15+IF(KKslave&gt;23,KKslave-23,0)*15+IF(KKslave&gt;24,KKslave-24,0)*15-120</f>
        <v>0</v>
      </c>
      <c r="N5" s="189">
        <f>SUM(F5:M5)</f>
        <v>15</v>
      </c>
      <c r="O5" s="189">
        <f>AP_in_Talenten_GE</f>
        <v>0</v>
      </c>
      <c r="P5" s="17">
        <f>AP_in_Attributen_GE+AP_in_Talenten_GE</f>
        <v>15</v>
      </c>
      <c r="Q5" s="99">
        <v>1100</v>
      </c>
      <c r="R5" s="189">
        <f>Q5-P5</f>
        <v>1085</v>
      </c>
      <c r="S5" s="29"/>
      <c r="T5" s="29"/>
      <c r="X5" s="34"/>
      <c r="Y5" s="71"/>
      <c r="Z5" s="38"/>
      <c r="AA5" s="34"/>
      <c r="AB5" s="67"/>
      <c r="AC5" s="34"/>
      <c r="AD5" s="39"/>
    </row>
    <row r="6" spans="1:31" s="4" customFormat="1">
      <c r="A6" s="150"/>
      <c r="C6" s="3"/>
      <c r="F6" s="6"/>
      <c r="G6" s="6"/>
      <c r="H6" s="6"/>
      <c r="I6" s="6"/>
      <c r="J6" s="6"/>
      <c r="K6" s="6"/>
      <c r="L6" s="6"/>
      <c r="M6" s="6"/>
      <c r="P6" s="6"/>
      <c r="Q6" s="6"/>
      <c r="R6" s="6"/>
      <c r="S6" s="6"/>
      <c r="T6" s="6"/>
      <c r="Y6" s="71"/>
      <c r="Z6" s="1"/>
      <c r="AA6" s="35"/>
      <c r="AB6" s="22"/>
      <c r="AC6" s="35"/>
      <c r="AD6" s="36"/>
    </row>
    <row r="7" spans="1:31" s="4" customFormat="1">
      <c r="A7" s="150"/>
      <c r="C7" s="3"/>
      <c r="F7" s="289" t="s">
        <v>126</v>
      </c>
      <c r="G7" s="290"/>
      <c r="H7" s="290"/>
      <c r="I7" s="290"/>
      <c r="J7" s="290"/>
      <c r="K7" s="290"/>
      <c r="L7" s="290"/>
      <c r="M7" s="291"/>
      <c r="N7" s="292" t="s">
        <v>151</v>
      </c>
      <c r="O7" s="293"/>
      <c r="P7" s="294"/>
      <c r="Q7" s="289" t="s">
        <v>150</v>
      </c>
      <c r="R7" s="290"/>
      <c r="S7" s="291"/>
      <c r="T7" s="101" t="s">
        <v>114</v>
      </c>
      <c r="U7" s="292" t="s">
        <v>152</v>
      </c>
      <c r="V7" s="293"/>
      <c r="W7" s="294"/>
      <c r="X7" s="14" t="s">
        <v>153</v>
      </c>
      <c r="Y7" s="72" t="s">
        <v>138</v>
      </c>
      <c r="Z7" s="41" t="s">
        <v>120</v>
      </c>
      <c r="AA7" s="42" t="s">
        <v>130</v>
      </c>
      <c r="AB7" s="78" t="s">
        <v>130</v>
      </c>
      <c r="AC7" s="42" t="s">
        <v>130</v>
      </c>
      <c r="AD7" s="43" t="s">
        <v>130</v>
      </c>
    </row>
    <row r="8" spans="1:31" s="4" customFormat="1" ht="15.75" thickBot="1">
      <c r="A8" s="150"/>
      <c r="B8" s="3"/>
      <c r="C8" s="3"/>
      <c r="D8" s="3"/>
      <c r="F8" s="190" t="s">
        <v>0</v>
      </c>
      <c r="G8" s="190" t="s">
        <v>1</v>
      </c>
      <c r="H8" s="190" t="s">
        <v>2</v>
      </c>
      <c r="I8" s="190" t="s">
        <v>3</v>
      </c>
      <c r="J8" s="190" t="s">
        <v>4</v>
      </c>
      <c r="K8" s="190" t="s">
        <v>5</v>
      </c>
      <c r="L8" s="190" t="s">
        <v>6</v>
      </c>
      <c r="M8" s="190" t="s">
        <v>7</v>
      </c>
      <c r="N8" s="33" t="s">
        <v>109</v>
      </c>
      <c r="O8" s="33" t="s">
        <v>110</v>
      </c>
      <c r="P8" s="190" t="s">
        <v>111</v>
      </c>
      <c r="Q8" s="190" t="s">
        <v>106</v>
      </c>
      <c r="R8" s="190" t="s">
        <v>107</v>
      </c>
      <c r="S8" s="190" t="s">
        <v>108</v>
      </c>
      <c r="T8" s="190" t="s">
        <v>115</v>
      </c>
      <c r="U8" s="40" t="s">
        <v>127</v>
      </c>
      <c r="V8" s="40" t="s">
        <v>128</v>
      </c>
      <c r="W8" s="40" t="s">
        <v>129</v>
      </c>
      <c r="X8" s="33" t="s">
        <v>119</v>
      </c>
      <c r="Y8" s="73" t="s">
        <v>125</v>
      </c>
      <c r="Z8" s="44" t="s">
        <v>343</v>
      </c>
      <c r="AA8" s="45" t="s">
        <v>157</v>
      </c>
      <c r="AB8" s="79" t="s">
        <v>159</v>
      </c>
      <c r="AC8" s="45" t="s">
        <v>155</v>
      </c>
      <c r="AD8" s="46" t="s">
        <v>137</v>
      </c>
    </row>
    <row r="9" spans="1:31" ht="15.75" thickBot="1">
      <c r="A9" s="135" t="s">
        <v>333</v>
      </c>
    </row>
    <row r="10" spans="1:31" ht="15" hidden="1" customHeight="1" outlineLevel="1">
      <c r="B10" s="134" t="s">
        <v>68</v>
      </c>
    </row>
    <row r="11" spans="1:31" ht="15" hidden="1" customHeight="1" outlineLevel="2">
      <c r="B11" s="148">
        <v>1</v>
      </c>
      <c r="C11" s="176" t="str">
        <f>Attribute!C11</f>
        <v>---</v>
      </c>
      <c r="D11" s="126" t="str">
        <f>VLOOKUP(C11,'Talente &amp; Stuff'!FU:GV,2,FALSE)</f>
        <v>--/--/--</v>
      </c>
      <c r="E11" s="158" t="str">
        <f>VLOOKUP(C11,'Talente &amp; Stuff'!FU:GV,3,FALSE)</f>
        <v>-</v>
      </c>
      <c r="F11" s="191">
        <f>VLOOKUP(C11,'Talente &amp; Stuff'!FU:GV,4,FALSE)</f>
        <v>0</v>
      </c>
      <c r="G11" s="118">
        <f>VLOOKUP(C11,'Talente &amp; Stuff'!FU:GV,5,FALSE)</f>
        <v>0</v>
      </c>
      <c r="H11" s="118">
        <f>VLOOKUP(C11,'Talente &amp; Stuff'!FU:GV,6,FALSE)</f>
        <v>0</v>
      </c>
      <c r="I11" s="118">
        <f>VLOOKUP(C11,'Talente &amp; Stuff'!FU:GV,7,FALSE)</f>
        <v>0</v>
      </c>
      <c r="J11" s="118">
        <f>VLOOKUP(C11,'Talente &amp; Stuff'!FU:GV,8,FALSE)</f>
        <v>0</v>
      </c>
      <c r="K11" s="118">
        <f>VLOOKUP(C11,'Talente &amp; Stuff'!FU:GV,9,FALSE)</f>
        <v>0</v>
      </c>
      <c r="L11" s="118">
        <f>VLOOKUP(C11,'Talente &amp; Stuff'!FU:GV,10,FALSE)</f>
        <v>0</v>
      </c>
      <c r="M11" s="92">
        <f>VLOOKUP(C11,'Talente &amp; Stuff'!FU:GV,11,FALSE)</f>
        <v>0</v>
      </c>
      <c r="N11" s="193">
        <f>VLOOKUP(C11,'Talente &amp; Stuff'!FU:GV,12,FALSE)</f>
        <v>0</v>
      </c>
      <c r="O11" s="116">
        <f>VLOOKUP(C11,'Talente &amp; Stuff'!FU:GV,13,FALSE)</f>
        <v>0</v>
      </c>
      <c r="P11" s="92">
        <f>VLOOKUP(C11,'Talente &amp; Stuff'!FU:GV,14,FALSE)</f>
        <v>0</v>
      </c>
      <c r="Q11" s="191">
        <f>VLOOKUP(C11,'Talente &amp; Stuff'!FU:GV,15,FALSE)</f>
        <v>0</v>
      </c>
      <c r="R11" s="118">
        <f>VLOOKUP(C11,'Talente &amp; Stuff'!FU:GV,16,FALSE)</f>
        <v>0</v>
      </c>
      <c r="S11" s="92">
        <f>VLOOKUP(C11,'Talente &amp; Stuff'!FU:GV,17,FALSE)</f>
        <v>0</v>
      </c>
      <c r="T11" s="91">
        <f>VLOOKUP(C11,'Talente &amp; Stuff'!FU:GV,18,FALSE)</f>
        <v>0</v>
      </c>
      <c r="U11" s="193">
        <f>VLOOKUP(C11,'Talente &amp; Stuff'!FU:GV,19,FALSE)</f>
        <v>0</v>
      </c>
      <c r="V11" s="116">
        <f>VLOOKUP(C11,'Talente &amp; Stuff'!FU:GV,20,FALSE)</f>
        <v>0</v>
      </c>
      <c r="W11" s="126">
        <f>VLOOKUP(C11,'Talente &amp; Stuff'!FU:GV,21,FALSE)</f>
        <v>0</v>
      </c>
      <c r="X11" s="158">
        <f>VLOOKUP(C11,'Talente &amp; Stuff'!FU:GV,22,FALSE)</f>
        <v>0</v>
      </c>
      <c r="Y11" s="165">
        <f t="shared" ref="Y11:Y24" si="0">VLOOKUP(C11,Ausgewählte_Talente_Körpertalente,197,FALSE)</f>
        <v>0</v>
      </c>
      <c r="Z11" s="44">
        <f t="shared" ref="Z11:Z24" si="1">VLOOKUP(C11,Ausgewählte_Talente_Körpertalente,198,FALSE)</f>
        <v>0</v>
      </c>
      <c r="AA11" s="158">
        <f>VLOOKUP(C11,'Talente &amp; Stuff'!FU:GV,25,FALSE)</f>
        <v>0</v>
      </c>
      <c r="AB11" s="91">
        <f>VLOOKUP(C11,'Talente &amp; Stuff'!FU:GV,26,FALSE)</f>
        <v>0</v>
      </c>
      <c r="AC11" s="126">
        <f>VLOOKUP(C11,'Talente &amp; Stuff'!FU:GV,27,FALSE)</f>
        <v>0</v>
      </c>
      <c r="AD11" s="158">
        <f>VLOOKUP(C11,'Talente &amp; Stuff'!FU:GV,28,FALSE)</f>
        <v>0</v>
      </c>
      <c r="AE11" s="28"/>
    </row>
    <row r="12" spans="1:31" ht="15" hidden="1" customHeight="1" outlineLevel="2">
      <c r="B12" s="148">
        <v>2</v>
      </c>
      <c r="C12" s="177" t="str">
        <f>Attribute!C12</f>
        <v>---</v>
      </c>
      <c r="D12" s="127" t="str">
        <f>VLOOKUP(C12,'Talente &amp; Stuff'!FU:GV,2,FALSE)</f>
        <v>--/--/--</v>
      </c>
      <c r="E12" s="125" t="str">
        <f>VLOOKUP(C12,'Talente &amp; Stuff'!FU:GV,3,FALSE)</f>
        <v>-</v>
      </c>
      <c r="F12" s="114">
        <f>VLOOKUP(C12,'Talente &amp; Stuff'!FU:GV,4,FALSE)</f>
        <v>0</v>
      </c>
      <c r="G12" s="113">
        <f>VLOOKUP(C12,'Talente &amp; Stuff'!FU:GV,5,FALSE)</f>
        <v>0</v>
      </c>
      <c r="H12" s="113">
        <f>VLOOKUP(C12,'Talente &amp; Stuff'!FU:GV,6,FALSE)</f>
        <v>0</v>
      </c>
      <c r="I12" s="113">
        <f>VLOOKUP(C12,'Talente &amp; Stuff'!FU:GV,7,FALSE)</f>
        <v>0</v>
      </c>
      <c r="J12" s="113">
        <f>VLOOKUP(C12,'Talente &amp; Stuff'!FU:GV,8,FALSE)</f>
        <v>0</v>
      </c>
      <c r="K12" s="113">
        <f>VLOOKUP(C12,'Talente &amp; Stuff'!FU:GV,9,FALSE)</f>
        <v>0</v>
      </c>
      <c r="L12" s="113">
        <f>VLOOKUP(C12,'Talente &amp; Stuff'!FU:GV,10,FALSE)</f>
        <v>0</v>
      </c>
      <c r="M12" s="119">
        <f>VLOOKUP(C12,'Talente &amp; Stuff'!FU:GV,11,FALSE)</f>
        <v>0</v>
      </c>
      <c r="N12" s="89">
        <f>VLOOKUP(C12,'Talente &amp; Stuff'!FU:GV,12,FALSE)</f>
        <v>0</v>
      </c>
      <c r="O12" s="47">
        <f>VLOOKUP(C12,'Talente &amp; Stuff'!FU:GV,13,FALSE)</f>
        <v>0</v>
      </c>
      <c r="P12" s="119">
        <f>VLOOKUP(C12,'Talente &amp; Stuff'!FU:GV,14,FALSE)</f>
        <v>0</v>
      </c>
      <c r="Q12" s="114">
        <f>VLOOKUP(C12,'Talente &amp; Stuff'!FU:GV,15,FALSE)</f>
        <v>0</v>
      </c>
      <c r="R12" s="113">
        <f>VLOOKUP(C12,'Talente &amp; Stuff'!FU:GV,16,FALSE)</f>
        <v>0</v>
      </c>
      <c r="S12" s="119">
        <f>VLOOKUP(C12,'Talente &amp; Stuff'!FU:GV,17,FALSE)</f>
        <v>0</v>
      </c>
      <c r="T12" s="160">
        <f>VLOOKUP(C12,'Talente &amp; Stuff'!FU:GV,18,FALSE)</f>
        <v>0</v>
      </c>
      <c r="U12" s="89">
        <f>VLOOKUP(C12,'Talente &amp; Stuff'!FU:GV,19,FALSE)</f>
        <v>0</v>
      </c>
      <c r="V12" s="47">
        <f>VLOOKUP(C12,'Talente &amp; Stuff'!FU:GV,20,FALSE)</f>
        <v>0</v>
      </c>
      <c r="W12" s="127">
        <f>VLOOKUP(C12,'Talente &amp; Stuff'!FU:GV,21,FALSE)</f>
        <v>0</v>
      </c>
      <c r="X12" s="125">
        <f>VLOOKUP(C12,'Talente &amp; Stuff'!FU:GV,22,FALSE)</f>
        <v>0</v>
      </c>
      <c r="Y12" s="165">
        <f t="shared" si="0"/>
        <v>0</v>
      </c>
      <c r="Z12" s="44">
        <f t="shared" si="1"/>
        <v>0</v>
      </c>
      <c r="AA12" s="125">
        <f>VLOOKUP(C12,'Talente &amp; Stuff'!FU:GV,25,FALSE)</f>
        <v>0</v>
      </c>
      <c r="AB12" s="160">
        <f>VLOOKUP(C12,'Talente &amp; Stuff'!FU:GV,26,FALSE)</f>
        <v>0</v>
      </c>
      <c r="AC12" s="127">
        <f>VLOOKUP(C12,'Talente &amp; Stuff'!FU:GV,27,FALSE)</f>
        <v>0</v>
      </c>
      <c r="AD12" s="125">
        <f>VLOOKUP(C12,'Talente &amp; Stuff'!FU:GV,28,FALSE)</f>
        <v>0</v>
      </c>
      <c r="AE12" s="28"/>
    </row>
    <row r="13" spans="1:31" ht="15" hidden="1" customHeight="1" outlineLevel="2">
      <c r="B13" s="148">
        <v>3</v>
      </c>
      <c r="C13" s="177" t="str">
        <f>Attribute!C13</f>
        <v>---</v>
      </c>
      <c r="D13" s="127" t="str">
        <f>VLOOKUP(C13,'Talente &amp; Stuff'!FU:GV,2,FALSE)</f>
        <v>--/--/--</v>
      </c>
      <c r="E13" s="125" t="str">
        <f>VLOOKUP(C13,'Talente &amp; Stuff'!FU:GV,3,FALSE)</f>
        <v>-</v>
      </c>
      <c r="F13" s="114">
        <f>VLOOKUP(C13,'Talente &amp; Stuff'!FU:GV,4,FALSE)</f>
        <v>0</v>
      </c>
      <c r="G13" s="113">
        <f>VLOOKUP(C13,'Talente &amp; Stuff'!FU:GV,5,FALSE)</f>
        <v>0</v>
      </c>
      <c r="H13" s="113">
        <f>VLOOKUP(C13,'Talente &amp; Stuff'!FU:GV,6,FALSE)</f>
        <v>0</v>
      </c>
      <c r="I13" s="113">
        <f>VLOOKUP(C13,'Talente &amp; Stuff'!FU:GV,7,FALSE)</f>
        <v>0</v>
      </c>
      <c r="J13" s="113">
        <f>VLOOKUP(C13,'Talente &amp; Stuff'!FU:GV,8,FALSE)</f>
        <v>0</v>
      </c>
      <c r="K13" s="113">
        <f>VLOOKUP(C13,'Talente &amp; Stuff'!FU:GV,9,FALSE)</f>
        <v>0</v>
      </c>
      <c r="L13" s="113">
        <f>VLOOKUP(C13,'Talente &amp; Stuff'!FU:GV,10,FALSE)</f>
        <v>0</v>
      </c>
      <c r="M13" s="119">
        <f>VLOOKUP(C13,'Talente &amp; Stuff'!FU:GV,11,FALSE)</f>
        <v>0</v>
      </c>
      <c r="N13" s="89">
        <f>VLOOKUP(C13,'Talente &amp; Stuff'!FU:GV,12,FALSE)</f>
        <v>0</v>
      </c>
      <c r="O13" s="47">
        <f>VLOOKUP(C13,'Talente &amp; Stuff'!FU:GV,13,FALSE)</f>
        <v>0</v>
      </c>
      <c r="P13" s="119">
        <f>VLOOKUP(C13,'Talente &amp; Stuff'!FU:GV,14,FALSE)</f>
        <v>0</v>
      </c>
      <c r="Q13" s="114">
        <f>VLOOKUP(C13,'Talente &amp; Stuff'!FU:GV,15,FALSE)</f>
        <v>0</v>
      </c>
      <c r="R13" s="113">
        <f>VLOOKUP(C13,'Talente &amp; Stuff'!FU:GV,16,FALSE)</f>
        <v>0</v>
      </c>
      <c r="S13" s="119">
        <f>VLOOKUP(C13,'Talente &amp; Stuff'!FU:GV,17,FALSE)</f>
        <v>0</v>
      </c>
      <c r="T13" s="160">
        <f>VLOOKUP(C13,'Talente &amp; Stuff'!FU:GV,18,FALSE)</f>
        <v>0</v>
      </c>
      <c r="U13" s="89">
        <f>VLOOKUP(C13,'Talente &amp; Stuff'!FU:GV,19,FALSE)</f>
        <v>0</v>
      </c>
      <c r="V13" s="47">
        <f>VLOOKUP(C13,'Talente &amp; Stuff'!FU:GV,20,FALSE)</f>
        <v>0</v>
      </c>
      <c r="W13" s="127">
        <f>VLOOKUP(C13,'Talente &amp; Stuff'!FU:GV,21,FALSE)</f>
        <v>0</v>
      </c>
      <c r="X13" s="125">
        <f>VLOOKUP(C13,'Talente &amp; Stuff'!FU:GV,22,FALSE)</f>
        <v>0</v>
      </c>
      <c r="Y13" s="165">
        <f t="shared" si="0"/>
        <v>0</v>
      </c>
      <c r="Z13" s="44">
        <f t="shared" si="1"/>
        <v>0</v>
      </c>
      <c r="AA13" s="125">
        <f>VLOOKUP(C13,'Talente &amp; Stuff'!FU:GV,25,FALSE)</f>
        <v>0</v>
      </c>
      <c r="AB13" s="160">
        <f>VLOOKUP(C13,'Talente &amp; Stuff'!FU:GV,26,FALSE)</f>
        <v>0</v>
      </c>
      <c r="AC13" s="127">
        <f>VLOOKUP(C13,'Talente &amp; Stuff'!FU:GV,27,FALSE)</f>
        <v>0</v>
      </c>
      <c r="AD13" s="125">
        <f>VLOOKUP(C13,'Talente &amp; Stuff'!FU:GV,28,FALSE)</f>
        <v>0</v>
      </c>
      <c r="AE13" s="28"/>
    </row>
    <row r="14" spans="1:31" ht="15" hidden="1" customHeight="1" outlineLevel="2">
      <c r="B14" s="148">
        <v>4</v>
      </c>
      <c r="C14" s="177" t="str">
        <f>Attribute!C14</f>
        <v>---</v>
      </c>
      <c r="D14" s="127" t="str">
        <f>VLOOKUP(C14,'Talente &amp; Stuff'!FU:GV,2,FALSE)</f>
        <v>--/--/--</v>
      </c>
      <c r="E14" s="125" t="str">
        <f>VLOOKUP(C14,'Talente &amp; Stuff'!FU:GV,3,FALSE)</f>
        <v>-</v>
      </c>
      <c r="F14" s="114">
        <f>VLOOKUP(C14,'Talente &amp; Stuff'!FU:GV,4,FALSE)</f>
        <v>0</v>
      </c>
      <c r="G14" s="113">
        <f>VLOOKUP(C14,'Talente &amp; Stuff'!FU:GV,5,FALSE)</f>
        <v>0</v>
      </c>
      <c r="H14" s="113">
        <f>VLOOKUP(C14,'Talente &amp; Stuff'!FU:GV,6,FALSE)</f>
        <v>0</v>
      </c>
      <c r="I14" s="113">
        <f>VLOOKUP(C14,'Talente &amp; Stuff'!FU:GV,7,FALSE)</f>
        <v>0</v>
      </c>
      <c r="J14" s="113">
        <f>VLOOKUP(C14,'Talente &amp; Stuff'!FU:GV,8,FALSE)</f>
        <v>0</v>
      </c>
      <c r="K14" s="113">
        <f>VLOOKUP(C14,'Talente &amp; Stuff'!FU:GV,9,FALSE)</f>
        <v>0</v>
      </c>
      <c r="L14" s="113">
        <f>VLOOKUP(C14,'Talente &amp; Stuff'!FU:GV,10,FALSE)</f>
        <v>0</v>
      </c>
      <c r="M14" s="119">
        <f>VLOOKUP(C14,'Talente &amp; Stuff'!FU:GV,11,FALSE)</f>
        <v>0</v>
      </c>
      <c r="N14" s="89">
        <f>VLOOKUP(C14,'Talente &amp; Stuff'!FU:GV,12,FALSE)</f>
        <v>0</v>
      </c>
      <c r="O14" s="47">
        <f>VLOOKUP(C14,'Talente &amp; Stuff'!FU:GV,13,FALSE)</f>
        <v>0</v>
      </c>
      <c r="P14" s="119">
        <f>VLOOKUP(C14,'Talente &amp; Stuff'!FU:GV,14,FALSE)</f>
        <v>0</v>
      </c>
      <c r="Q14" s="114">
        <f>VLOOKUP(C14,'Talente &amp; Stuff'!FU:GV,15,FALSE)</f>
        <v>0</v>
      </c>
      <c r="R14" s="113">
        <f>VLOOKUP(C14,'Talente &amp; Stuff'!FU:GV,16,FALSE)</f>
        <v>0</v>
      </c>
      <c r="S14" s="119">
        <f>VLOOKUP(C14,'Talente &amp; Stuff'!FU:GV,17,FALSE)</f>
        <v>0</v>
      </c>
      <c r="T14" s="160">
        <f>VLOOKUP(C14,'Talente &amp; Stuff'!FU:GV,18,FALSE)</f>
        <v>0</v>
      </c>
      <c r="U14" s="89">
        <f>VLOOKUP(C14,'Talente &amp; Stuff'!FU:GV,19,FALSE)</f>
        <v>0</v>
      </c>
      <c r="V14" s="47">
        <f>VLOOKUP(C14,'Talente &amp; Stuff'!FU:GV,20,FALSE)</f>
        <v>0</v>
      </c>
      <c r="W14" s="127">
        <f>VLOOKUP(C14,'Talente &amp; Stuff'!FU:GV,21,FALSE)</f>
        <v>0</v>
      </c>
      <c r="X14" s="125">
        <f>VLOOKUP(C14,'Talente &amp; Stuff'!FU:GV,22,FALSE)</f>
        <v>0</v>
      </c>
      <c r="Y14" s="165">
        <f t="shared" si="0"/>
        <v>0</v>
      </c>
      <c r="Z14" s="44">
        <f t="shared" si="1"/>
        <v>0</v>
      </c>
      <c r="AA14" s="125">
        <f>VLOOKUP(C14,'Talente &amp; Stuff'!FU:GV,25,FALSE)</f>
        <v>0</v>
      </c>
      <c r="AB14" s="160">
        <f>VLOOKUP(C14,'Talente &amp; Stuff'!FU:GV,26,FALSE)</f>
        <v>0</v>
      </c>
      <c r="AC14" s="127">
        <f>VLOOKUP(C14,'Talente &amp; Stuff'!FU:GV,27,FALSE)</f>
        <v>0</v>
      </c>
      <c r="AD14" s="125">
        <f>VLOOKUP(C14,'Talente &amp; Stuff'!FU:GV,28,FALSE)</f>
        <v>0</v>
      </c>
      <c r="AE14" s="28"/>
    </row>
    <row r="15" spans="1:31" ht="15" hidden="1" customHeight="1" outlineLevel="2">
      <c r="B15" s="148">
        <v>5</v>
      </c>
      <c r="C15" s="177" t="str">
        <f>Attribute!C15</f>
        <v>---</v>
      </c>
      <c r="D15" s="127" t="str">
        <f>VLOOKUP(C15,'Talente &amp; Stuff'!FU:GV,2,FALSE)</f>
        <v>--/--/--</v>
      </c>
      <c r="E15" s="125" t="str">
        <f>VLOOKUP(C15,'Talente &amp; Stuff'!FU:GV,3,FALSE)</f>
        <v>-</v>
      </c>
      <c r="F15" s="114">
        <f>VLOOKUP(C15,'Talente &amp; Stuff'!FU:GV,4,FALSE)</f>
        <v>0</v>
      </c>
      <c r="G15" s="113">
        <f>VLOOKUP(C15,'Talente &amp; Stuff'!FU:GV,5,FALSE)</f>
        <v>0</v>
      </c>
      <c r="H15" s="113">
        <f>VLOOKUP(C15,'Talente &amp; Stuff'!FU:GV,6,FALSE)</f>
        <v>0</v>
      </c>
      <c r="I15" s="113">
        <f>VLOOKUP(C15,'Talente &amp; Stuff'!FU:GV,7,FALSE)</f>
        <v>0</v>
      </c>
      <c r="J15" s="113">
        <f>VLOOKUP(C15,'Talente &amp; Stuff'!FU:GV,8,FALSE)</f>
        <v>0</v>
      </c>
      <c r="K15" s="113">
        <f>VLOOKUP(C15,'Talente &amp; Stuff'!FU:GV,9,FALSE)</f>
        <v>0</v>
      </c>
      <c r="L15" s="113">
        <f>VLOOKUP(C15,'Talente &amp; Stuff'!FU:GV,10,FALSE)</f>
        <v>0</v>
      </c>
      <c r="M15" s="119">
        <f>VLOOKUP(C15,'Talente &amp; Stuff'!FU:GV,11,FALSE)</f>
        <v>0</v>
      </c>
      <c r="N15" s="89">
        <f>VLOOKUP(C15,'Talente &amp; Stuff'!FU:GV,12,FALSE)</f>
        <v>0</v>
      </c>
      <c r="O15" s="47">
        <f>VLOOKUP(C15,'Talente &amp; Stuff'!FU:GV,13,FALSE)</f>
        <v>0</v>
      </c>
      <c r="P15" s="119">
        <f>VLOOKUP(C15,'Talente &amp; Stuff'!FU:GV,14,FALSE)</f>
        <v>0</v>
      </c>
      <c r="Q15" s="114">
        <f>VLOOKUP(C15,'Talente &amp; Stuff'!FU:GV,15,FALSE)</f>
        <v>0</v>
      </c>
      <c r="R15" s="113">
        <f>VLOOKUP(C15,'Talente &amp; Stuff'!FU:GV,16,FALSE)</f>
        <v>0</v>
      </c>
      <c r="S15" s="119">
        <f>VLOOKUP(C15,'Talente &amp; Stuff'!FU:GV,17,FALSE)</f>
        <v>0</v>
      </c>
      <c r="T15" s="160">
        <f>VLOOKUP(C15,'Talente &amp; Stuff'!FU:GV,18,FALSE)</f>
        <v>0</v>
      </c>
      <c r="U15" s="89">
        <f>VLOOKUP(C15,'Talente &amp; Stuff'!FU:GV,19,FALSE)</f>
        <v>0</v>
      </c>
      <c r="V15" s="47">
        <f>VLOOKUP(C15,'Talente &amp; Stuff'!FU:GV,20,FALSE)</f>
        <v>0</v>
      </c>
      <c r="W15" s="127">
        <f>VLOOKUP(C15,'Talente &amp; Stuff'!FU:GV,21,FALSE)</f>
        <v>0</v>
      </c>
      <c r="X15" s="125">
        <f>VLOOKUP(C15,'Talente &amp; Stuff'!FU:GV,22,FALSE)</f>
        <v>0</v>
      </c>
      <c r="Y15" s="165">
        <f t="shared" si="0"/>
        <v>0</v>
      </c>
      <c r="Z15" s="44">
        <f t="shared" si="1"/>
        <v>0</v>
      </c>
      <c r="AA15" s="125">
        <f>VLOOKUP(C15,'Talente &amp; Stuff'!FU:GV,25,FALSE)</f>
        <v>0</v>
      </c>
      <c r="AB15" s="160">
        <f>VLOOKUP(C15,'Talente &amp; Stuff'!FU:GV,26,FALSE)</f>
        <v>0</v>
      </c>
      <c r="AC15" s="127">
        <f>VLOOKUP(C15,'Talente &amp; Stuff'!FU:GV,27,FALSE)</f>
        <v>0</v>
      </c>
      <c r="AD15" s="125">
        <f>VLOOKUP(C15,'Talente &amp; Stuff'!FU:GV,28,FALSE)</f>
        <v>0</v>
      </c>
      <c r="AE15" s="28"/>
    </row>
    <row r="16" spans="1:31" ht="15" hidden="1" customHeight="1" outlineLevel="2">
      <c r="B16" s="148">
        <v>6</v>
      </c>
      <c r="C16" s="177" t="str">
        <f>Attribute!C16</f>
        <v>---</v>
      </c>
      <c r="D16" s="127" t="str">
        <f>VLOOKUP(C16,'Talente &amp; Stuff'!FU:GV,2,FALSE)</f>
        <v>--/--/--</v>
      </c>
      <c r="E16" s="125" t="str">
        <f>VLOOKUP(C16,'Talente &amp; Stuff'!FU:GV,3,FALSE)</f>
        <v>-</v>
      </c>
      <c r="F16" s="114">
        <f>VLOOKUP(C16,'Talente &amp; Stuff'!FU:GV,4,FALSE)</f>
        <v>0</v>
      </c>
      <c r="G16" s="113">
        <f>VLOOKUP(C16,'Talente &amp; Stuff'!FU:GV,5,FALSE)</f>
        <v>0</v>
      </c>
      <c r="H16" s="113">
        <f>VLOOKUP(C16,'Talente &amp; Stuff'!FU:GV,6,FALSE)</f>
        <v>0</v>
      </c>
      <c r="I16" s="113">
        <f>VLOOKUP(C16,'Talente &amp; Stuff'!FU:GV,7,FALSE)</f>
        <v>0</v>
      </c>
      <c r="J16" s="113">
        <f>VLOOKUP(C16,'Talente &amp; Stuff'!FU:GV,8,FALSE)</f>
        <v>0</v>
      </c>
      <c r="K16" s="113">
        <f>VLOOKUP(C16,'Talente &amp; Stuff'!FU:GV,9,FALSE)</f>
        <v>0</v>
      </c>
      <c r="L16" s="113">
        <f>VLOOKUP(C16,'Talente &amp; Stuff'!FU:GV,10,FALSE)</f>
        <v>0</v>
      </c>
      <c r="M16" s="119">
        <f>VLOOKUP(C16,'Talente &amp; Stuff'!FU:GV,11,FALSE)</f>
        <v>0</v>
      </c>
      <c r="N16" s="89">
        <f>VLOOKUP(C16,'Talente &amp; Stuff'!FU:GV,12,FALSE)</f>
        <v>0</v>
      </c>
      <c r="O16" s="47">
        <f>VLOOKUP(C16,'Talente &amp; Stuff'!FU:GV,13,FALSE)</f>
        <v>0</v>
      </c>
      <c r="P16" s="119">
        <f>VLOOKUP(C16,'Talente &amp; Stuff'!FU:GV,14,FALSE)</f>
        <v>0</v>
      </c>
      <c r="Q16" s="114">
        <f>VLOOKUP(C16,'Talente &amp; Stuff'!FU:GV,15,FALSE)</f>
        <v>0</v>
      </c>
      <c r="R16" s="113">
        <f>VLOOKUP(C16,'Talente &amp; Stuff'!FU:GV,16,FALSE)</f>
        <v>0</v>
      </c>
      <c r="S16" s="119">
        <f>VLOOKUP(C16,'Talente &amp; Stuff'!FU:GV,17,FALSE)</f>
        <v>0</v>
      </c>
      <c r="T16" s="160">
        <f>VLOOKUP(C16,'Talente &amp; Stuff'!FU:GV,18,FALSE)</f>
        <v>0</v>
      </c>
      <c r="U16" s="89">
        <f>VLOOKUP(C16,'Talente &amp; Stuff'!FU:GV,19,FALSE)</f>
        <v>0</v>
      </c>
      <c r="V16" s="47">
        <f>VLOOKUP(C16,'Talente &amp; Stuff'!FU:GV,20,FALSE)</f>
        <v>0</v>
      </c>
      <c r="W16" s="127">
        <f>VLOOKUP(C16,'Talente &amp; Stuff'!FU:GV,21,FALSE)</f>
        <v>0</v>
      </c>
      <c r="X16" s="125">
        <f>VLOOKUP(C16,'Talente &amp; Stuff'!FU:GV,22,FALSE)</f>
        <v>0</v>
      </c>
      <c r="Y16" s="165">
        <f t="shared" si="0"/>
        <v>0</v>
      </c>
      <c r="Z16" s="44">
        <f t="shared" si="1"/>
        <v>0</v>
      </c>
      <c r="AA16" s="125">
        <f>VLOOKUP(C16,'Talente &amp; Stuff'!FU:GV,25,FALSE)</f>
        <v>0</v>
      </c>
      <c r="AB16" s="160">
        <f>VLOOKUP(C16,'Talente &amp; Stuff'!FU:GV,26,FALSE)</f>
        <v>0</v>
      </c>
      <c r="AC16" s="127">
        <f>VLOOKUP(C16,'Talente &amp; Stuff'!FU:GV,27,FALSE)</f>
        <v>0</v>
      </c>
      <c r="AD16" s="125">
        <f>VLOOKUP(C16,'Talente &amp; Stuff'!FU:GV,28,FALSE)</f>
        <v>0</v>
      </c>
      <c r="AE16" s="28"/>
    </row>
    <row r="17" spans="2:31" ht="15" hidden="1" customHeight="1" outlineLevel="2">
      <c r="B17" s="148">
        <v>7</v>
      </c>
      <c r="C17" s="177" t="str">
        <f>Attribute!C17</f>
        <v>---</v>
      </c>
      <c r="D17" s="127" t="str">
        <f>VLOOKUP(C17,'Talente &amp; Stuff'!FU:GV,2,FALSE)</f>
        <v>--/--/--</v>
      </c>
      <c r="E17" s="125" t="str">
        <f>VLOOKUP(C17,'Talente &amp; Stuff'!FU:GV,3,FALSE)</f>
        <v>-</v>
      </c>
      <c r="F17" s="114">
        <f>VLOOKUP(C17,'Talente &amp; Stuff'!FU:GV,4,FALSE)</f>
        <v>0</v>
      </c>
      <c r="G17" s="113">
        <f>VLOOKUP(C17,'Talente &amp; Stuff'!FU:GV,5,FALSE)</f>
        <v>0</v>
      </c>
      <c r="H17" s="113">
        <f>VLOOKUP(C17,'Talente &amp; Stuff'!FU:GV,6,FALSE)</f>
        <v>0</v>
      </c>
      <c r="I17" s="113">
        <f>VLOOKUP(C17,'Talente &amp; Stuff'!FU:GV,7,FALSE)</f>
        <v>0</v>
      </c>
      <c r="J17" s="113">
        <f>VLOOKUP(C17,'Talente &amp; Stuff'!FU:GV,8,FALSE)</f>
        <v>0</v>
      </c>
      <c r="K17" s="113">
        <f>VLOOKUP(C17,'Talente &amp; Stuff'!FU:GV,9,FALSE)</f>
        <v>0</v>
      </c>
      <c r="L17" s="113">
        <f>VLOOKUP(C17,'Talente &amp; Stuff'!FU:GV,10,FALSE)</f>
        <v>0</v>
      </c>
      <c r="M17" s="119">
        <f>VLOOKUP(C17,'Talente &amp; Stuff'!FU:GV,11,FALSE)</f>
        <v>0</v>
      </c>
      <c r="N17" s="89">
        <f>VLOOKUP(C17,'Talente &amp; Stuff'!FU:GV,12,FALSE)</f>
        <v>0</v>
      </c>
      <c r="O17" s="47">
        <f>VLOOKUP(C17,'Talente &amp; Stuff'!FU:GV,13,FALSE)</f>
        <v>0</v>
      </c>
      <c r="P17" s="119">
        <f>VLOOKUP(C17,'Talente &amp; Stuff'!FU:GV,14,FALSE)</f>
        <v>0</v>
      </c>
      <c r="Q17" s="114">
        <f>VLOOKUP(C17,'Talente &amp; Stuff'!FU:GV,15,FALSE)</f>
        <v>0</v>
      </c>
      <c r="R17" s="113">
        <f>VLOOKUP(C17,'Talente &amp; Stuff'!FU:GV,16,FALSE)</f>
        <v>0</v>
      </c>
      <c r="S17" s="119">
        <f>VLOOKUP(C17,'Talente &amp; Stuff'!FU:GV,17,FALSE)</f>
        <v>0</v>
      </c>
      <c r="T17" s="160">
        <f>VLOOKUP(C17,'Talente &amp; Stuff'!FU:GV,18,FALSE)</f>
        <v>0</v>
      </c>
      <c r="U17" s="89">
        <f>VLOOKUP(C17,'Talente &amp; Stuff'!FU:GV,19,FALSE)</f>
        <v>0</v>
      </c>
      <c r="V17" s="47">
        <f>VLOOKUP(C17,'Talente &amp; Stuff'!FU:GV,20,FALSE)</f>
        <v>0</v>
      </c>
      <c r="W17" s="127">
        <f>VLOOKUP(C17,'Talente &amp; Stuff'!FU:GV,21,FALSE)</f>
        <v>0</v>
      </c>
      <c r="X17" s="125">
        <f>VLOOKUP(C17,'Talente &amp; Stuff'!FU:GV,22,FALSE)</f>
        <v>0</v>
      </c>
      <c r="Y17" s="165">
        <f t="shared" si="0"/>
        <v>0</v>
      </c>
      <c r="Z17" s="44">
        <f t="shared" si="1"/>
        <v>0</v>
      </c>
      <c r="AA17" s="125">
        <f>VLOOKUP(C17,'Talente &amp; Stuff'!FU:GV,25,FALSE)</f>
        <v>0</v>
      </c>
      <c r="AB17" s="160">
        <f>VLOOKUP(C17,'Talente &amp; Stuff'!FU:GV,26,FALSE)</f>
        <v>0</v>
      </c>
      <c r="AC17" s="127">
        <f>VLOOKUP(C17,'Talente &amp; Stuff'!FU:GV,27,FALSE)</f>
        <v>0</v>
      </c>
      <c r="AD17" s="125">
        <f>VLOOKUP(C17,'Talente &amp; Stuff'!FU:GV,28,FALSE)</f>
        <v>0</v>
      </c>
      <c r="AE17" s="28"/>
    </row>
    <row r="18" spans="2:31" ht="15" hidden="1" customHeight="1" outlineLevel="2">
      <c r="B18" s="148">
        <v>8</v>
      </c>
      <c r="C18" s="177" t="str">
        <f>Attribute!C18</f>
        <v>---</v>
      </c>
      <c r="D18" s="127" t="str">
        <f>VLOOKUP(C18,'Talente &amp; Stuff'!FU:GV,2,FALSE)</f>
        <v>--/--/--</v>
      </c>
      <c r="E18" s="125" t="str">
        <f>VLOOKUP(C18,'Talente &amp; Stuff'!FU:GV,3,FALSE)</f>
        <v>-</v>
      </c>
      <c r="F18" s="114">
        <f>VLOOKUP(C18,'Talente &amp; Stuff'!FU:GV,4,FALSE)</f>
        <v>0</v>
      </c>
      <c r="G18" s="113">
        <f>VLOOKUP(C18,'Talente &amp; Stuff'!FU:GV,5,FALSE)</f>
        <v>0</v>
      </c>
      <c r="H18" s="113">
        <f>VLOOKUP(C18,'Talente &amp; Stuff'!FU:GV,6,FALSE)</f>
        <v>0</v>
      </c>
      <c r="I18" s="113">
        <f>VLOOKUP(C18,'Talente &amp; Stuff'!FU:GV,7,FALSE)</f>
        <v>0</v>
      </c>
      <c r="J18" s="113">
        <f>VLOOKUP(C18,'Talente &amp; Stuff'!FU:GV,8,FALSE)</f>
        <v>0</v>
      </c>
      <c r="K18" s="113">
        <f>VLOOKUP(C18,'Talente &amp; Stuff'!FU:GV,9,FALSE)</f>
        <v>0</v>
      </c>
      <c r="L18" s="113">
        <f>VLOOKUP(C18,'Talente &amp; Stuff'!FU:GV,10,FALSE)</f>
        <v>0</v>
      </c>
      <c r="M18" s="119">
        <f>VLOOKUP(C18,'Talente &amp; Stuff'!FU:GV,11,FALSE)</f>
        <v>0</v>
      </c>
      <c r="N18" s="89">
        <f>VLOOKUP(C18,'Talente &amp; Stuff'!FU:GV,12,FALSE)</f>
        <v>0</v>
      </c>
      <c r="O18" s="47">
        <f>VLOOKUP(C18,'Talente &amp; Stuff'!FU:GV,13,FALSE)</f>
        <v>0</v>
      </c>
      <c r="P18" s="119">
        <f>VLOOKUP(C18,'Talente &amp; Stuff'!FU:GV,14,FALSE)</f>
        <v>0</v>
      </c>
      <c r="Q18" s="114">
        <f>VLOOKUP(C18,'Talente &amp; Stuff'!FU:GV,15,FALSE)</f>
        <v>0</v>
      </c>
      <c r="R18" s="113">
        <f>VLOOKUP(C18,'Talente &amp; Stuff'!FU:GV,16,FALSE)</f>
        <v>0</v>
      </c>
      <c r="S18" s="119">
        <f>VLOOKUP(C18,'Talente &amp; Stuff'!FU:GV,17,FALSE)</f>
        <v>0</v>
      </c>
      <c r="T18" s="160">
        <f>VLOOKUP(C18,'Talente &amp; Stuff'!FU:GV,18,FALSE)</f>
        <v>0</v>
      </c>
      <c r="U18" s="89">
        <f>VLOOKUP(C18,'Talente &amp; Stuff'!FU:GV,19,FALSE)</f>
        <v>0</v>
      </c>
      <c r="V18" s="47">
        <f>VLOOKUP(C18,'Talente &amp; Stuff'!FU:GV,20,FALSE)</f>
        <v>0</v>
      </c>
      <c r="W18" s="127">
        <f>VLOOKUP(C18,'Talente &amp; Stuff'!FU:GV,21,FALSE)</f>
        <v>0</v>
      </c>
      <c r="X18" s="125">
        <f>VLOOKUP(C18,'Talente &amp; Stuff'!FU:GV,22,FALSE)</f>
        <v>0</v>
      </c>
      <c r="Y18" s="165">
        <f t="shared" si="0"/>
        <v>0</v>
      </c>
      <c r="Z18" s="44">
        <f t="shared" si="1"/>
        <v>0</v>
      </c>
      <c r="AA18" s="125">
        <f>VLOOKUP(C18,'Talente &amp; Stuff'!FU:GV,25,FALSE)</f>
        <v>0</v>
      </c>
      <c r="AB18" s="160">
        <f>VLOOKUP(C18,'Talente &amp; Stuff'!FU:GV,26,FALSE)</f>
        <v>0</v>
      </c>
      <c r="AC18" s="127">
        <f>VLOOKUP(C18,'Talente &amp; Stuff'!FU:GV,27,FALSE)</f>
        <v>0</v>
      </c>
      <c r="AD18" s="125">
        <f>VLOOKUP(C18,'Talente &amp; Stuff'!FU:GV,28,FALSE)</f>
        <v>0</v>
      </c>
      <c r="AE18" s="28"/>
    </row>
    <row r="19" spans="2:31" ht="15" hidden="1" customHeight="1" outlineLevel="2">
      <c r="B19" s="148">
        <v>9</v>
      </c>
      <c r="C19" s="177" t="str">
        <f>Attribute!C19</f>
        <v>---</v>
      </c>
      <c r="D19" s="127" t="str">
        <f>VLOOKUP(C19,'Talente &amp; Stuff'!FU:GV,2,FALSE)</f>
        <v>--/--/--</v>
      </c>
      <c r="E19" s="125" t="str">
        <f>VLOOKUP(C19,'Talente &amp; Stuff'!FU:GV,3,FALSE)</f>
        <v>-</v>
      </c>
      <c r="F19" s="114">
        <f>VLOOKUP(C19,'Talente &amp; Stuff'!FU:GV,4,FALSE)</f>
        <v>0</v>
      </c>
      <c r="G19" s="113">
        <f>VLOOKUP(C19,'Talente &amp; Stuff'!FU:GV,5,FALSE)</f>
        <v>0</v>
      </c>
      <c r="H19" s="113">
        <f>VLOOKUP(C19,'Talente &amp; Stuff'!FU:GV,6,FALSE)</f>
        <v>0</v>
      </c>
      <c r="I19" s="113">
        <f>VLOOKUP(C19,'Talente &amp; Stuff'!FU:GV,7,FALSE)</f>
        <v>0</v>
      </c>
      <c r="J19" s="113">
        <f>VLOOKUP(C19,'Talente &amp; Stuff'!FU:GV,8,FALSE)</f>
        <v>0</v>
      </c>
      <c r="K19" s="113">
        <f>VLOOKUP(C19,'Talente &amp; Stuff'!FU:GV,9,FALSE)</f>
        <v>0</v>
      </c>
      <c r="L19" s="113">
        <f>VLOOKUP(C19,'Talente &amp; Stuff'!FU:GV,10,FALSE)</f>
        <v>0</v>
      </c>
      <c r="M19" s="119">
        <f>VLOOKUP(C19,'Talente &amp; Stuff'!FU:GV,11,FALSE)</f>
        <v>0</v>
      </c>
      <c r="N19" s="89">
        <f>VLOOKUP(C19,'Talente &amp; Stuff'!FU:GV,12,FALSE)</f>
        <v>0</v>
      </c>
      <c r="O19" s="47">
        <f>VLOOKUP(C19,'Talente &amp; Stuff'!FU:GV,13,FALSE)</f>
        <v>0</v>
      </c>
      <c r="P19" s="119">
        <f>VLOOKUP(C19,'Talente &amp; Stuff'!FU:GV,14,FALSE)</f>
        <v>0</v>
      </c>
      <c r="Q19" s="114">
        <f>VLOOKUP(C19,'Talente &amp; Stuff'!FU:GV,15,FALSE)</f>
        <v>0</v>
      </c>
      <c r="R19" s="113">
        <f>VLOOKUP(C19,'Talente &amp; Stuff'!FU:GV,16,FALSE)</f>
        <v>0</v>
      </c>
      <c r="S19" s="119">
        <f>VLOOKUP(C19,'Talente &amp; Stuff'!FU:GV,17,FALSE)</f>
        <v>0</v>
      </c>
      <c r="T19" s="160">
        <f>VLOOKUP(C19,'Talente &amp; Stuff'!FU:GV,18,FALSE)</f>
        <v>0</v>
      </c>
      <c r="U19" s="89">
        <f>VLOOKUP(C19,'Talente &amp; Stuff'!FU:GV,19,FALSE)</f>
        <v>0</v>
      </c>
      <c r="V19" s="47">
        <f>VLOOKUP(C19,'Talente &amp; Stuff'!FU:GV,20,FALSE)</f>
        <v>0</v>
      </c>
      <c r="W19" s="127">
        <f>VLOOKUP(C19,'Talente &amp; Stuff'!FU:GV,21,FALSE)</f>
        <v>0</v>
      </c>
      <c r="X19" s="125">
        <f>VLOOKUP(C19,'Talente &amp; Stuff'!FU:GV,22,FALSE)</f>
        <v>0</v>
      </c>
      <c r="Y19" s="165">
        <f t="shared" si="0"/>
        <v>0</v>
      </c>
      <c r="Z19" s="44">
        <f t="shared" si="1"/>
        <v>0</v>
      </c>
      <c r="AA19" s="125">
        <f>VLOOKUP(C19,'Talente &amp; Stuff'!FU:GV,25,FALSE)</f>
        <v>0</v>
      </c>
      <c r="AB19" s="160">
        <f>VLOOKUP(C19,'Talente &amp; Stuff'!FU:GV,26,FALSE)</f>
        <v>0</v>
      </c>
      <c r="AC19" s="127">
        <f>VLOOKUP(C19,'Talente &amp; Stuff'!FU:GV,27,FALSE)</f>
        <v>0</v>
      </c>
      <c r="AD19" s="125">
        <f>VLOOKUP(C19,'Talente &amp; Stuff'!FU:GV,28,FALSE)</f>
        <v>0</v>
      </c>
      <c r="AE19" s="28"/>
    </row>
    <row r="20" spans="2:31" ht="15" hidden="1" customHeight="1" outlineLevel="2">
      <c r="B20" s="148">
        <v>10</v>
      </c>
      <c r="C20" s="177" t="str">
        <f>Attribute!C20</f>
        <v>---</v>
      </c>
      <c r="D20" s="127" t="str">
        <f>VLOOKUP(C20,'Talente &amp; Stuff'!FU:GV,2,FALSE)</f>
        <v>--/--/--</v>
      </c>
      <c r="E20" s="125" t="str">
        <f>VLOOKUP(C20,'Talente &amp; Stuff'!FU:GV,3,FALSE)</f>
        <v>-</v>
      </c>
      <c r="F20" s="114">
        <f>VLOOKUP(C20,'Talente &amp; Stuff'!FU:GV,4,FALSE)</f>
        <v>0</v>
      </c>
      <c r="G20" s="113">
        <f>VLOOKUP(C20,'Talente &amp; Stuff'!FU:GV,5,FALSE)</f>
        <v>0</v>
      </c>
      <c r="H20" s="113">
        <f>VLOOKUP(C20,'Talente &amp; Stuff'!FU:GV,6,FALSE)</f>
        <v>0</v>
      </c>
      <c r="I20" s="113">
        <f>VLOOKUP(C20,'Talente &amp; Stuff'!FU:GV,7,FALSE)</f>
        <v>0</v>
      </c>
      <c r="J20" s="113">
        <f>VLOOKUP(C20,'Talente &amp; Stuff'!FU:GV,8,FALSE)</f>
        <v>0</v>
      </c>
      <c r="K20" s="113">
        <f>VLOOKUP(C20,'Talente &amp; Stuff'!FU:GV,9,FALSE)</f>
        <v>0</v>
      </c>
      <c r="L20" s="113">
        <f>VLOOKUP(C20,'Talente &amp; Stuff'!FU:GV,10,FALSE)</f>
        <v>0</v>
      </c>
      <c r="M20" s="119">
        <f>VLOOKUP(C20,'Talente &amp; Stuff'!FU:GV,11,FALSE)</f>
        <v>0</v>
      </c>
      <c r="N20" s="89">
        <f>VLOOKUP(C20,'Talente &amp; Stuff'!FU:GV,12,FALSE)</f>
        <v>0</v>
      </c>
      <c r="O20" s="47">
        <f>VLOOKUP(C20,'Talente &amp; Stuff'!FU:GV,13,FALSE)</f>
        <v>0</v>
      </c>
      <c r="P20" s="119">
        <f>VLOOKUP(C20,'Talente &amp; Stuff'!FU:GV,14,FALSE)</f>
        <v>0</v>
      </c>
      <c r="Q20" s="114">
        <f>VLOOKUP(C20,'Talente &amp; Stuff'!FU:GV,15,FALSE)</f>
        <v>0</v>
      </c>
      <c r="R20" s="113">
        <f>VLOOKUP(C20,'Talente &amp; Stuff'!FU:GV,16,FALSE)</f>
        <v>0</v>
      </c>
      <c r="S20" s="119">
        <f>VLOOKUP(C20,'Talente &amp; Stuff'!FU:GV,17,FALSE)</f>
        <v>0</v>
      </c>
      <c r="T20" s="160">
        <f>VLOOKUP(C20,'Talente &amp; Stuff'!FU:GV,18,FALSE)</f>
        <v>0</v>
      </c>
      <c r="U20" s="89">
        <f>VLOOKUP(C20,'Talente &amp; Stuff'!FU:GV,19,FALSE)</f>
        <v>0</v>
      </c>
      <c r="V20" s="47">
        <f>VLOOKUP(C20,'Talente &amp; Stuff'!FU:GV,20,FALSE)</f>
        <v>0</v>
      </c>
      <c r="W20" s="127">
        <f>VLOOKUP(C20,'Talente &amp; Stuff'!FU:GV,21,FALSE)</f>
        <v>0</v>
      </c>
      <c r="X20" s="125">
        <f>VLOOKUP(C20,'Talente &amp; Stuff'!FU:GV,22,FALSE)</f>
        <v>0</v>
      </c>
      <c r="Y20" s="165">
        <f t="shared" si="0"/>
        <v>0</v>
      </c>
      <c r="Z20" s="44">
        <f t="shared" si="1"/>
        <v>0</v>
      </c>
      <c r="AA20" s="125">
        <f>VLOOKUP(C20,'Talente &amp; Stuff'!FU:GV,25,FALSE)</f>
        <v>0</v>
      </c>
      <c r="AB20" s="160">
        <f>VLOOKUP(C20,'Talente &amp; Stuff'!FU:GV,26,FALSE)</f>
        <v>0</v>
      </c>
      <c r="AC20" s="127">
        <f>VLOOKUP(C20,'Talente &amp; Stuff'!FU:GV,27,FALSE)</f>
        <v>0</v>
      </c>
      <c r="AD20" s="125">
        <f>VLOOKUP(C20,'Talente &amp; Stuff'!FU:GV,28,FALSE)</f>
        <v>0</v>
      </c>
      <c r="AE20" s="28"/>
    </row>
    <row r="21" spans="2:31" ht="15" hidden="1" customHeight="1" outlineLevel="2">
      <c r="B21" s="148">
        <v>11</v>
      </c>
      <c r="C21" s="177" t="str">
        <f>Attribute!C21</f>
        <v>---</v>
      </c>
      <c r="D21" s="127" t="str">
        <f>VLOOKUP(C21,'Talente &amp; Stuff'!FU:GV,2,FALSE)</f>
        <v>--/--/--</v>
      </c>
      <c r="E21" s="125" t="str">
        <f>VLOOKUP(C21,'Talente &amp; Stuff'!FU:GV,3,FALSE)</f>
        <v>-</v>
      </c>
      <c r="F21" s="114">
        <f>VLOOKUP(C21,'Talente &amp; Stuff'!FU:GV,4,FALSE)</f>
        <v>0</v>
      </c>
      <c r="G21" s="113">
        <f>VLOOKUP(C21,'Talente &amp; Stuff'!FU:GV,5,FALSE)</f>
        <v>0</v>
      </c>
      <c r="H21" s="113">
        <f>VLOOKUP(C21,'Talente &amp; Stuff'!FU:GV,6,FALSE)</f>
        <v>0</v>
      </c>
      <c r="I21" s="113">
        <f>VLOOKUP(C21,'Talente &amp; Stuff'!FU:GV,7,FALSE)</f>
        <v>0</v>
      </c>
      <c r="J21" s="113">
        <f>VLOOKUP(C21,'Talente &amp; Stuff'!FU:GV,8,FALSE)</f>
        <v>0</v>
      </c>
      <c r="K21" s="113">
        <f>VLOOKUP(C21,'Talente &amp; Stuff'!FU:GV,9,FALSE)</f>
        <v>0</v>
      </c>
      <c r="L21" s="113">
        <f>VLOOKUP(C21,'Talente &amp; Stuff'!FU:GV,10,FALSE)</f>
        <v>0</v>
      </c>
      <c r="M21" s="119">
        <f>VLOOKUP(C21,'Talente &amp; Stuff'!FU:GV,11,FALSE)</f>
        <v>0</v>
      </c>
      <c r="N21" s="89">
        <f>VLOOKUP(C21,'Talente &amp; Stuff'!FU:GV,12,FALSE)</f>
        <v>0</v>
      </c>
      <c r="O21" s="47">
        <f>VLOOKUP(C21,'Talente &amp; Stuff'!FU:GV,13,FALSE)</f>
        <v>0</v>
      </c>
      <c r="P21" s="119">
        <f>VLOOKUP(C21,'Talente &amp; Stuff'!FU:GV,14,FALSE)</f>
        <v>0</v>
      </c>
      <c r="Q21" s="114">
        <f>VLOOKUP(C21,'Talente &amp; Stuff'!FU:GV,15,FALSE)</f>
        <v>0</v>
      </c>
      <c r="R21" s="113">
        <f>VLOOKUP(C21,'Talente &amp; Stuff'!FU:GV,16,FALSE)</f>
        <v>0</v>
      </c>
      <c r="S21" s="119">
        <f>VLOOKUP(C21,'Talente &amp; Stuff'!FU:GV,17,FALSE)</f>
        <v>0</v>
      </c>
      <c r="T21" s="160">
        <f>VLOOKUP(C21,'Talente &amp; Stuff'!FU:GV,18,FALSE)</f>
        <v>0</v>
      </c>
      <c r="U21" s="89">
        <f>VLOOKUP(C21,'Talente &amp; Stuff'!FU:GV,19,FALSE)</f>
        <v>0</v>
      </c>
      <c r="V21" s="47">
        <f>VLOOKUP(C21,'Talente &amp; Stuff'!FU:GV,20,FALSE)</f>
        <v>0</v>
      </c>
      <c r="W21" s="127">
        <f>VLOOKUP(C21,'Talente &amp; Stuff'!FU:GV,21,FALSE)</f>
        <v>0</v>
      </c>
      <c r="X21" s="125">
        <f>VLOOKUP(C21,'Talente &amp; Stuff'!FU:GV,22,FALSE)</f>
        <v>0</v>
      </c>
      <c r="Y21" s="165">
        <f t="shared" si="0"/>
        <v>0</v>
      </c>
      <c r="Z21" s="44">
        <f t="shared" si="1"/>
        <v>0</v>
      </c>
      <c r="AA21" s="125">
        <f>VLOOKUP(C21,'Talente &amp; Stuff'!FU:GV,25,FALSE)</f>
        <v>0</v>
      </c>
      <c r="AB21" s="160">
        <f>VLOOKUP(C21,'Talente &amp; Stuff'!FU:GV,26,FALSE)</f>
        <v>0</v>
      </c>
      <c r="AC21" s="127">
        <f>VLOOKUP(C21,'Talente &amp; Stuff'!FU:GV,27,FALSE)</f>
        <v>0</v>
      </c>
      <c r="AD21" s="125">
        <f>VLOOKUP(C21,'Talente &amp; Stuff'!FU:GV,28,FALSE)</f>
        <v>0</v>
      </c>
      <c r="AE21" s="28"/>
    </row>
    <row r="22" spans="2:31" ht="15" hidden="1" customHeight="1" outlineLevel="2">
      <c r="B22" s="148">
        <v>12</v>
      </c>
      <c r="C22" s="177" t="str">
        <f>Attribute!C22</f>
        <v>---</v>
      </c>
      <c r="D22" s="127" t="str">
        <f>VLOOKUP(C22,'Talente &amp; Stuff'!FU:GV,2,FALSE)</f>
        <v>--/--/--</v>
      </c>
      <c r="E22" s="125" t="str">
        <f>VLOOKUP(C22,'Talente &amp; Stuff'!FU:GV,3,FALSE)</f>
        <v>-</v>
      </c>
      <c r="F22" s="114">
        <f>VLOOKUP(C22,'Talente &amp; Stuff'!FU:GV,4,FALSE)</f>
        <v>0</v>
      </c>
      <c r="G22" s="113">
        <f>VLOOKUP(C22,'Talente &amp; Stuff'!FU:GV,5,FALSE)</f>
        <v>0</v>
      </c>
      <c r="H22" s="113">
        <f>VLOOKUP(C22,'Talente &amp; Stuff'!FU:GV,6,FALSE)</f>
        <v>0</v>
      </c>
      <c r="I22" s="113">
        <f>VLOOKUP(C22,'Talente &amp; Stuff'!FU:GV,7,FALSE)</f>
        <v>0</v>
      </c>
      <c r="J22" s="113">
        <f>VLOOKUP(C22,'Talente &amp; Stuff'!FU:GV,8,FALSE)</f>
        <v>0</v>
      </c>
      <c r="K22" s="113">
        <f>VLOOKUP(C22,'Talente &amp; Stuff'!FU:GV,9,FALSE)</f>
        <v>0</v>
      </c>
      <c r="L22" s="113">
        <f>VLOOKUP(C22,'Talente &amp; Stuff'!FU:GV,10,FALSE)</f>
        <v>0</v>
      </c>
      <c r="M22" s="119">
        <f>VLOOKUP(C22,'Talente &amp; Stuff'!FU:GV,11,FALSE)</f>
        <v>0</v>
      </c>
      <c r="N22" s="89">
        <f>VLOOKUP(C22,'Talente &amp; Stuff'!FU:GV,12,FALSE)</f>
        <v>0</v>
      </c>
      <c r="O22" s="47">
        <f>VLOOKUP(C22,'Talente &amp; Stuff'!FU:GV,13,FALSE)</f>
        <v>0</v>
      </c>
      <c r="P22" s="119">
        <f>VLOOKUP(C22,'Talente &amp; Stuff'!FU:GV,14,FALSE)</f>
        <v>0</v>
      </c>
      <c r="Q22" s="114">
        <f>VLOOKUP(C22,'Talente &amp; Stuff'!FU:GV,15,FALSE)</f>
        <v>0</v>
      </c>
      <c r="R22" s="113">
        <f>VLOOKUP(C22,'Talente &amp; Stuff'!FU:GV,16,FALSE)</f>
        <v>0</v>
      </c>
      <c r="S22" s="119">
        <f>VLOOKUP(C22,'Talente &amp; Stuff'!FU:GV,17,FALSE)</f>
        <v>0</v>
      </c>
      <c r="T22" s="160">
        <f>VLOOKUP(C22,'Talente &amp; Stuff'!FU:GV,18,FALSE)</f>
        <v>0</v>
      </c>
      <c r="U22" s="89">
        <f>VLOOKUP(C22,'Talente &amp; Stuff'!FU:GV,19,FALSE)</f>
        <v>0</v>
      </c>
      <c r="V22" s="47">
        <f>VLOOKUP(C22,'Talente &amp; Stuff'!FU:GV,20,FALSE)</f>
        <v>0</v>
      </c>
      <c r="W22" s="127">
        <f>VLOOKUP(C22,'Talente &amp; Stuff'!FU:GV,21,FALSE)</f>
        <v>0</v>
      </c>
      <c r="X22" s="125">
        <f>VLOOKUP(C22,'Talente &amp; Stuff'!FU:GV,22,FALSE)</f>
        <v>0</v>
      </c>
      <c r="Y22" s="165">
        <f t="shared" si="0"/>
        <v>0</v>
      </c>
      <c r="Z22" s="44">
        <f t="shared" si="1"/>
        <v>0</v>
      </c>
      <c r="AA22" s="125">
        <f>VLOOKUP(C22,'Talente &amp; Stuff'!FU:GV,25,FALSE)</f>
        <v>0</v>
      </c>
      <c r="AB22" s="160">
        <f>VLOOKUP(C22,'Talente &amp; Stuff'!FU:GV,26,FALSE)</f>
        <v>0</v>
      </c>
      <c r="AC22" s="127">
        <f>VLOOKUP(C22,'Talente &amp; Stuff'!FU:GV,27,FALSE)</f>
        <v>0</v>
      </c>
      <c r="AD22" s="125">
        <f>VLOOKUP(C22,'Talente &amp; Stuff'!FU:GV,28,FALSE)</f>
        <v>0</v>
      </c>
      <c r="AE22" s="28"/>
    </row>
    <row r="23" spans="2:31" ht="15" hidden="1" customHeight="1" outlineLevel="2">
      <c r="B23" s="148">
        <v>13</v>
      </c>
      <c r="C23" s="177" t="str">
        <f>Attribute!C23</f>
        <v>---</v>
      </c>
      <c r="D23" s="127" t="str">
        <f>VLOOKUP(C23,'Talente &amp; Stuff'!FU:GV,2,FALSE)</f>
        <v>--/--/--</v>
      </c>
      <c r="E23" s="125" t="str">
        <f>VLOOKUP(C23,'Talente &amp; Stuff'!FU:GV,3,FALSE)</f>
        <v>-</v>
      </c>
      <c r="F23" s="114">
        <f>VLOOKUP(C23,'Talente &amp; Stuff'!FU:GV,4,FALSE)</f>
        <v>0</v>
      </c>
      <c r="G23" s="113">
        <f>VLOOKUP(C23,'Talente &amp; Stuff'!FU:GV,5,FALSE)</f>
        <v>0</v>
      </c>
      <c r="H23" s="113">
        <f>VLOOKUP(C23,'Talente &amp; Stuff'!FU:GV,6,FALSE)</f>
        <v>0</v>
      </c>
      <c r="I23" s="113">
        <f>VLOOKUP(C23,'Talente &amp; Stuff'!FU:GV,7,FALSE)</f>
        <v>0</v>
      </c>
      <c r="J23" s="113">
        <f>VLOOKUP(C23,'Talente &amp; Stuff'!FU:GV,8,FALSE)</f>
        <v>0</v>
      </c>
      <c r="K23" s="113">
        <f>VLOOKUP(C23,'Talente &amp; Stuff'!FU:GV,9,FALSE)</f>
        <v>0</v>
      </c>
      <c r="L23" s="113">
        <f>VLOOKUP(C23,'Talente &amp; Stuff'!FU:GV,10,FALSE)</f>
        <v>0</v>
      </c>
      <c r="M23" s="119">
        <f>VLOOKUP(C23,'Talente &amp; Stuff'!FU:GV,11,FALSE)</f>
        <v>0</v>
      </c>
      <c r="N23" s="89">
        <f>VLOOKUP(C23,'Talente &amp; Stuff'!FU:GV,12,FALSE)</f>
        <v>0</v>
      </c>
      <c r="O23" s="47">
        <f>VLOOKUP(C23,'Talente &amp; Stuff'!FU:GV,13,FALSE)</f>
        <v>0</v>
      </c>
      <c r="P23" s="119">
        <f>VLOOKUP(C23,'Talente &amp; Stuff'!FU:GV,14,FALSE)</f>
        <v>0</v>
      </c>
      <c r="Q23" s="114">
        <f>VLOOKUP(C23,'Talente &amp; Stuff'!FU:GV,15,FALSE)</f>
        <v>0</v>
      </c>
      <c r="R23" s="113">
        <f>VLOOKUP(C23,'Talente &amp; Stuff'!FU:GV,16,FALSE)</f>
        <v>0</v>
      </c>
      <c r="S23" s="119">
        <f>VLOOKUP(C23,'Talente &amp; Stuff'!FU:GV,17,FALSE)</f>
        <v>0</v>
      </c>
      <c r="T23" s="160">
        <f>VLOOKUP(C23,'Talente &amp; Stuff'!FU:GV,18,FALSE)</f>
        <v>0</v>
      </c>
      <c r="U23" s="89">
        <f>VLOOKUP(C23,'Talente &amp; Stuff'!FU:GV,19,FALSE)</f>
        <v>0</v>
      </c>
      <c r="V23" s="47">
        <f>VLOOKUP(C23,'Talente &amp; Stuff'!FU:GV,20,FALSE)</f>
        <v>0</v>
      </c>
      <c r="W23" s="127">
        <f>VLOOKUP(C23,'Talente &amp; Stuff'!FU:GV,21,FALSE)</f>
        <v>0</v>
      </c>
      <c r="X23" s="125">
        <f>VLOOKUP(C23,'Talente &amp; Stuff'!FU:GV,22,FALSE)</f>
        <v>0</v>
      </c>
      <c r="Y23" s="165">
        <f t="shared" si="0"/>
        <v>0</v>
      </c>
      <c r="Z23" s="44">
        <f t="shared" si="1"/>
        <v>0</v>
      </c>
      <c r="AA23" s="125">
        <f>VLOOKUP(C23,'Talente &amp; Stuff'!FU:GV,25,FALSE)</f>
        <v>0</v>
      </c>
      <c r="AB23" s="160">
        <f>VLOOKUP(C23,'Talente &amp; Stuff'!FU:GV,26,FALSE)</f>
        <v>0</v>
      </c>
      <c r="AC23" s="127">
        <f>VLOOKUP(C23,'Talente &amp; Stuff'!FU:GV,27,FALSE)</f>
        <v>0</v>
      </c>
      <c r="AD23" s="125">
        <f>VLOOKUP(C23,'Talente &amp; Stuff'!FU:GV,28,FALSE)</f>
        <v>0</v>
      </c>
      <c r="AE23" s="28"/>
    </row>
    <row r="24" spans="2:31" ht="15" hidden="1" customHeight="1" outlineLevel="2">
      <c r="B24" s="148">
        <v>14</v>
      </c>
      <c r="C24" s="178" t="str">
        <f>Attribute!C24</f>
        <v>---</v>
      </c>
      <c r="D24" s="128" t="str">
        <f>VLOOKUP(C24,'Talente &amp; Stuff'!FU:GV,2,FALSE)</f>
        <v>--/--/--</v>
      </c>
      <c r="E24" s="159" t="str">
        <f>VLOOKUP(C24,'Talente &amp; Stuff'!FU:GV,3,FALSE)</f>
        <v>-</v>
      </c>
      <c r="F24" s="115">
        <f>VLOOKUP(C24,'Talente &amp; Stuff'!FU:GV,4,FALSE)</f>
        <v>0</v>
      </c>
      <c r="G24" s="122">
        <f>VLOOKUP(C24,'Talente &amp; Stuff'!FU:GV,5,FALSE)</f>
        <v>0</v>
      </c>
      <c r="H24" s="122">
        <f>VLOOKUP(C24,'Talente &amp; Stuff'!FU:GV,6,FALSE)</f>
        <v>0</v>
      </c>
      <c r="I24" s="122">
        <f>VLOOKUP(C24,'Talente &amp; Stuff'!FU:GV,7,FALSE)</f>
        <v>0</v>
      </c>
      <c r="J24" s="122">
        <f>VLOOKUP(C24,'Talente &amp; Stuff'!FU:GV,8,FALSE)</f>
        <v>0</v>
      </c>
      <c r="K24" s="122">
        <f>VLOOKUP(C24,'Talente &amp; Stuff'!FU:GV,9,FALSE)</f>
        <v>0</v>
      </c>
      <c r="L24" s="122">
        <f>VLOOKUP(C24,'Talente &amp; Stuff'!FU:GV,10,FALSE)</f>
        <v>0</v>
      </c>
      <c r="M24" s="123">
        <f>VLOOKUP(C24,'Talente &amp; Stuff'!FU:GV,11,FALSE)</f>
        <v>0</v>
      </c>
      <c r="N24" s="90">
        <f>VLOOKUP(C24,'Talente &amp; Stuff'!FU:GV,12,FALSE)</f>
        <v>0</v>
      </c>
      <c r="O24" s="88">
        <f>VLOOKUP(C24,'Talente &amp; Stuff'!FU:GV,13,FALSE)</f>
        <v>0</v>
      </c>
      <c r="P24" s="123">
        <f>VLOOKUP(C24,'Talente &amp; Stuff'!FU:GV,14,FALSE)</f>
        <v>0</v>
      </c>
      <c r="Q24" s="115">
        <f>VLOOKUP(C24,'Talente &amp; Stuff'!FU:GV,15,FALSE)</f>
        <v>0</v>
      </c>
      <c r="R24" s="122">
        <f>VLOOKUP(C24,'Talente &amp; Stuff'!FU:GV,16,FALSE)</f>
        <v>0</v>
      </c>
      <c r="S24" s="123">
        <f>VLOOKUP(C24,'Talente &amp; Stuff'!FU:GV,17,FALSE)</f>
        <v>0</v>
      </c>
      <c r="T24" s="161">
        <f>VLOOKUP(C24,'Talente &amp; Stuff'!FU:GV,18,FALSE)</f>
        <v>0</v>
      </c>
      <c r="U24" s="90">
        <f>VLOOKUP(C24,'Talente &amp; Stuff'!FU:GV,19,FALSE)</f>
        <v>0</v>
      </c>
      <c r="V24" s="88">
        <f>VLOOKUP(C24,'Talente &amp; Stuff'!FU:GV,20,FALSE)</f>
        <v>0</v>
      </c>
      <c r="W24" s="128">
        <f>VLOOKUP(C24,'Talente &amp; Stuff'!FU:GV,21,FALSE)</f>
        <v>0</v>
      </c>
      <c r="X24" s="159">
        <f>VLOOKUP(C24,'Talente &amp; Stuff'!FU:GV,22,FALSE)</f>
        <v>0</v>
      </c>
      <c r="Y24" s="165">
        <f t="shared" si="0"/>
        <v>0</v>
      </c>
      <c r="Z24" s="44">
        <f t="shared" si="1"/>
        <v>0</v>
      </c>
      <c r="AA24" s="159">
        <f>VLOOKUP(C24,'Talente &amp; Stuff'!FU:GV,25,FALSE)</f>
        <v>0</v>
      </c>
      <c r="AB24" s="161">
        <f>VLOOKUP(C24,'Talente &amp; Stuff'!FU:GV,26,FALSE)</f>
        <v>0</v>
      </c>
      <c r="AC24" s="128">
        <f>VLOOKUP(C24,'Talente &amp; Stuff'!FU:GV,27,FALSE)</f>
        <v>0</v>
      </c>
      <c r="AD24" s="159">
        <f>VLOOKUP(C24,'Talente &amp; Stuff'!FU:GV,28,FALSE)</f>
        <v>0</v>
      </c>
      <c r="AE24" s="28"/>
    </row>
    <row r="25" spans="2:31" ht="15" hidden="1" customHeight="1" outlineLevel="1" collapsed="1">
      <c r="B25" s="134" t="s">
        <v>278</v>
      </c>
      <c r="C25" s="83"/>
      <c r="D25" s="84"/>
      <c r="E25" s="84"/>
      <c r="F25" s="30"/>
      <c r="G25" s="30"/>
      <c r="H25" s="30"/>
      <c r="I25" s="30"/>
      <c r="J25" s="30"/>
      <c r="K25" s="30"/>
      <c r="L25" s="30"/>
      <c r="M25" s="30"/>
      <c r="N25" s="31"/>
      <c r="O25" s="31"/>
      <c r="P25" s="30"/>
      <c r="Q25" s="30"/>
      <c r="R25" s="30"/>
      <c r="S25" s="30"/>
      <c r="T25" s="30"/>
      <c r="U25" s="31"/>
      <c r="V25" s="31"/>
      <c r="W25" s="31"/>
      <c r="X25" s="31"/>
      <c r="Y25" s="65"/>
    </row>
    <row r="26" spans="2:31" ht="15" hidden="1" customHeight="1" outlineLevel="2">
      <c r="B26" s="148">
        <v>1</v>
      </c>
      <c r="C26" s="176" t="str">
        <f>Attribute!C26</f>
        <v>---</v>
      </c>
      <c r="D26" s="126" t="str">
        <f>VLOOKUP(C26,'Talente &amp; Stuff'!FU:GV,2,FALSE)</f>
        <v>--/--/--</v>
      </c>
      <c r="E26" s="158" t="str">
        <f>VLOOKUP(C26,'Talente &amp; Stuff'!FU:GV,3,FALSE)</f>
        <v>-</v>
      </c>
      <c r="F26" s="191">
        <f>VLOOKUP(C26,'Talente &amp; Stuff'!FU:GV,4,FALSE)</f>
        <v>0</v>
      </c>
      <c r="G26" s="118">
        <f>VLOOKUP(C26,'Talente &amp; Stuff'!FU:GV,5,FALSE)</f>
        <v>0</v>
      </c>
      <c r="H26" s="118">
        <f>VLOOKUP(C26,'Talente &amp; Stuff'!FU:GV,6,FALSE)</f>
        <v>0</v>
      </c>
      <c r="I26" s="118">
        <f>VLOOKUP(C26,'Talente &amp; Stuff'!FU:GV,7,FALSE)</f>
        <v>0</v>
      </c>
      <c r="J26" s="118">
        <f>VLOOKUP(C26,'Talente &amp; Stuff'!FU:GV,8,FALSE)</f>
        <v>0</v>
      </c>
      <c r="K26" s="118">
        <f>VLOOKUP(C26,'Talente &amp; Stuff'!FU:GV,9,FALSE)</f>
        <v>0</v>
      </c>
      <c r="L26" s="118">
        <f>VLOOKUP(C26,'Talente &amp; Stuff'!FU:GV,10,FALSE)</f>
        <v>0</v>
      </c>
      <c r="M26" s="92">
        <f>VLOOKUP(C26,'Talente &amp; Stuff'!FU:GV,11,FALSE)</f>
        <v>0</v>
      </c>
      <c r="N26" s="193">
        <f>VLOOKUP(C26,'Talente &amp; Stuff'!FU:GV,12,FALSE)</f>
        <v>0</v>
      </c>
      <c r="O26" s="116">
        <f>VLOOKUP(C26,'Talente &amp; Stuff'!FU:GV,13,FALSE)</f>
        <v>0</v>
      </c>
      <c r="P26" s="92">
        <f>VLOOKUP(C26,'Talente &amp; Stuff'!FU:GV,14,FALSE)</f>
        <v>0</v>
      </c>
      <c r="Q26" s="191">
        <f>VLOOKUP(C26,'Talente &amp; Stuff'!FU:GV,15,FALSE)</f>
        <v>0</v>
      </c>
      <c r="R26" s="118">
        <f>VLOOKUP(C26,'Talente &amp; Stuff'!FU:GV,16,FALSE)</f>
        <v>0</v>
      </c>
      <c r="S26" s="92">
        <f>VLOOKUP(C26,'Talente &amp; Stuff'!FU:GV,17,FALSE)</f>
        <v>0</v>
      </c>
      <c r="T26" s="91">
        <f>VLOOKUP(C26,'Talente &amp; Stuff'!FU:GV,18,FALSE)</f>
        <v>0</v>
      </c>
      <c r="U26" s="193">
        <f>VLOOKUP(C26,'Talente &amp; Stuff'!FU:GV,19,FALSE)</f>
        <v>0</v>
      </c>
      <c r="V26" s="116">
        <f>VLOOKUP(C26,'Talente &amp; Stuff'!FU:GV,20,FALSE)</f>
        <v>0</v>
      </c>
      <c r="W26" s="126">
        <f>VLOOKUP(C26,'Talente &amp; Stuff'!FU:GV,21,FALSE)</f>
        <v>0</v>
      </c>
      <c r="X26" s="158">
        <f>VLOOKUP(C26,'Talente &amp; Stuff'!FU:GV,22,FALSE)</f>
        <v>0</v>
      </c>
      <c r="Y26" s="165">
        <f t="shared" ref="Y26:Y34" si="2">VLOOKUP(C26,Ausgewählte_Talente_Gesellschaftstalente,197,FALSE)</f>
        <v>0</v>
      </c>
      <c r="Z26" s="44">
        <f t="shared" ref="Z26:Z34" si="3">VLOOKUP(C26,Ausgewählte_Talente_Gesellschaftstalente,198,FALSE)</f>
        <v>0</v>
      </c>
      <c r="AA26" s="158">
        <f>VLOOKUP(C26,'Talente &amp; Stuff'!FU:GV,25,FALSE)</f>
        <v>0</v>
      </c>
      <c r="AB26" s="91">
        <f>VLOOKUP(C26,'Talente &amp; Stuff'!FU:GV,26,FALSE)</f>
        <v>0</v>
      </c>
      <c r="AC26" s="126">
        <f>VLOOKUP(C26,'Talente &amp; Stuff'!FU:GV,27,FALSE)</f>
        <v>0</v>
      </c>
      <c r="AD26" s="158">
        <f>VLOOKUP(C26,'Talente &amp; Stuff'!FU:GV,28,FALSE)</f>
        <v>0</v>
      </c>
      <c r="AE26" s="28"/>
    </row>
    <row r="27" spans="2:31" ht="15" hidden="1" customHeight="1" outlineLevel="2">
      <c r="B27" s="148">
        <v>2</v>
      </c>
      <c r="C27" s="177" t="str">
        <f>Attribute!C27</f>
        <v>---</v>
      </c>
      <c r="D27" s="127" t="str">
        <f>VLOOKUP(C27,'Talente &amp; Stuff'!FU:GV,2,FALSE)</f>
        <v>--/--/--</v>
      </c>
      <c r="E27" s="125" t="str">
        <f>VLOOKUP(C27,'Talente &amp; Stuff'!FU:GV,3,FALSE)</f>
        <v>-</v>
      </c>
      <c r="F27" s="114">
        <f>VLOOKUP(C27,'Talente &amp; Stuff'!FU:GV,4,FALSE)</f>
        <v>0</v>
      </c>
      <c r="G27" s="113">
        <f>VLOOKUP(C27,'Talente &amp; Stuff'!FU:GV,5,FALSE)</f>
        <v>0</v>
      </c>
      <c r="H27" s="113">
        <f>VLOOKUP(C27,'Talente &amp; Stuff'!FU:GV,6,FALSE)</f>
        <v>0</v>
      </c>
      <c r="I27" s="113">
        <f>VLOOKUP(C27,'Talente &amp; Stuff'!FU:GV,7,FALSE)</f>
        <v>0</v>
      </c>
      <c r="J27" s="113">
        <f>VLOOKUP(C27,'Talente &amp; Stuff'!FU:GV,8,FALSE)</f>
        <v>0</v>
      </c>
      <c r="K27" s="113">
        <f>VLOOKUP(C27,'Talente &amp; Stuff'!FU:GV,9,FALSE)</f>
        <v>0</v>
      </c>
      <c r="L27" s="113">
        <f>VLOOKUP(C27,'Talente &amp; Stuff'!FU:GV,10,FALSE)</f>
        <v>0</v>
      </c>
      <c r="M27" s="119">
        <f>VLOOKUP(C27,'Talente &amp; Stuff'!FU:GV,11,FALSE)</f>
        <v>0</v>
      </c>
      <c r="N27" s="89">
        <f>VLOOKUP(C27,'Talente &amp; Stuff'!FU:GV,12,FALSE)</f>
        <v>0</v>
      </c>
      <c r="O27" s="47">
        <f>VLOOKUP(C27,'Talente &amp; Stuff'!FU:GV,13,FALSE)</f>
        <v>0</v>
      </c>
      <c r="P27" s="119">
        <f>VLOOKUP(C27,'Talente &amp; Stuff'!FU:GV,14,FALSE)</f>
        <v>0</v>
      </c>
      <c r="Q27" s="114">
        <f>VLOOKUP(C27,'Talente &amp; Stuff'!FU:GV,15,FALSE)</f>
        <v>0</v>
      </c>
      <c r="R27" s="113">
        <f>VLOOKUP(C27,'Talente &amp; Stuff'!FU:GV,16,FALSE)</f>
        <v>0</v>
      </c>
      <c r="S27" s="119">
        <f>VLOOKUP(C27,'Talente &amp; Stuff'!FU:GV,17,FALSE)</f>
        <v>0</v>
      </c>
      <c r="T27" s="160">
        <f>VLOOKUP(C27,'Talente &amp; Stuff'!FU:GV,18,FALSE)</f>
        <v>0</v>
      </c>
      <c r="U27" s="89">
        <f>VLOOKUP(C27,'Talente &amp; Stuff'!FU:GV,19,FALSE)</f>
        <v>0</v>
      </c>
      <c r="V27" s="47">
        <f>VLOOKUP(C27,'Talente &amp; Stuff'!FU:GV,20,FALSE)</f>
        <v>0</v>
      </c>
      <c r="W27" s="127">
        <f>VLOOKUP(C27,'Talente &amp; Stuff'!FU:GV,21,FALSE)</f>
        <v>0</v>
      </c>
      <c r="X27" s="125">
        <f>VLOOKUP(C27,'Talente &amp; Stuff'!FU:GV,22,FALSE)</f>
        <v>0</v>
      </c>
      <c r="Y27" s="165">
        <f t="shared" si="2"/>
        <v>0</v>
      </c>
      <c r="Z27" s="44">
        <f t="shared" si="3"/>
        <v>0</v>
      </c>
      <c r="AA27" s="125">
        <f>VLOOKUP(C27,'Talente &amp; Stuff'!FU:GV,25,FALSE)</f>
        <v>0</v>
      </c>
      <c r="AB27" s="160">
        <f>VLOOKUP(C27,'Talente &amp; Stuff'!FU:GV,26,FALSE)</f>
        <v>0</v>
      </c>
      <c r="AC27" s="127">
        <f>VLOOKUP(C27,'Talente &amp; Stuff'!FU:GV,27,FALSE)</f>
        <v>0</v>
      </c>
      <c r="AD27" s="125">
        <f>VLOOKUP(C27,'Talente &amp; Stuff'!FU:GV,28,FALSE)</f>
        <v>0</v>
      </c>
      <c r="AE27" s="28"/>
    </row>
    <row r="28" spans="2:31" ht="15" hidden="1" customHeight="1" outlineLevel="2">
      <c r="B28" s="148">
        <v>3</v>
      </c>
      <c r="C28" s="177" t="str">
        <f>Attribute!C28</f>
        <v>---</v>
      </c>
      <c r="D28" s="127" t="str">
        <f>VLOOKUP(C28,'Talente &amp; Stuff'!FU:GV,2,FALSE)</f>
        <v>--/--/--</v>
      </c>
      <c r="E28" s="125" t="str">
        <f>VLOOKUP(C28,'Talente &amp; Stuff'!FU:GV,3,FALSE)</f>
        <v>-</v>
      </c>
      <c r="F28" s="114">
        <f>VLOOKUP(C28,'Talente &amp; Stuff'!FU:GV,4,FALSE)</f>
        <v>0</v>
      </c>
      <c r="G28" s="113">
        <f>VLOOKUP(C28,'Talente &amp; Stuff'!FU:GV,5,FALSE)</f>
        <v>0</v>
      </c>
      <c r="H28" s="113">
        <f>VLOOKUP(C28,'Talente &amp; Stuff'!FU:GV,6,FALSE)</f>
        <v>0</v>
      </c>
      <c r="I28" s="113">
        <f>VLOOKUP(C28,'Talente &amp; Stuff'!FU:GV,7,FALSE)</f>
        <v>0</v>
      </c>
      <c r="J28" s="113">
        <f>VLOOKUP(C28,'Talente &amp; Stuff'!FU:GV,8,FALSE)</f>
        <v>0</v>
      </c>
      <c r="K28" s="113">
        <f>VLOOKUP(C28,'Talente &amp; Stuff'!FU:GV,9,FALSE)</f>
        <v>0</v>
      </c>
      <c r="L28" s="113">
        <f>VLOOKUP(C28,'Talente &amp; Stuff'!FU:GV,10,FALSE)</f>
        <v>0</v>
      </c>
      <c r="M28" s="119">
        <f>VLOOKUP(C28,'Talente &amp; Stuff'!FU:GV,11,FALSE)</f>
        <v>0</v>
      </c>
      <c r="N28" s="89">
        <f>VLOOKUP(C28,'Talente &amp; Stuff'!FU:GV,12,FALSE)</f>
        <v>0</v>
      </c>
      <c r="O28" s="47">
        <f>VLOOKUP(C28,'Talente &amp; Stuff'!FU:GV,13,FALSE)</f>
        <v>0</v>
      </c>
      <c r="P28" s="119">
        <f>VLOOKUP(C28,'Talente &amp; Stuff'!FU:GV,14,FALSE)</f>
        <v>0</v>
      </c>
      <c r="Q28" s="114">
        <f>VLOOKUP(C28,'Talente &amp; Stuff'!FU:GV,15,FALSE)</f>
        <v>0</v>
      </c>
      <c r="R28" s="113">
        <f>VLOOKUP(C28,'Talente &amp; Stuff'!FU:GV,16,FALSE)</f>
        <v>0</v>
      </c>
      <c r="S28" s="119">
        <f>VLOOKUP(C28,'Talente &amp; Stuff'!FU:GV,17,FALSE)</f>
        <v>0</v>
      </c>
      <c r="T28" s="160">
        <f>VLOOKUP(C28,'Talente &amp; Stuff'!FU:GV,18,FALSE)</f>
        <v>0</v>
      </c>
      <c r="U28" s="89">
        <f>VLOOKUP(C28,'Talente &amp; Stuff'!FU:GV,19,FALSE)</f>
        <v>0</v>
      </c>
      <c r="V28" s="47">
        <f>VLOOKUP(C28,'Talente &amp; Stuff'!FU:GV,20,FALSE)</f>
        <v>0</v>
      </c>
      <c r="W28" s="127">
        <f>VLOOKUP(C28,'Talente &amp; Stuff'!FU:GV,21,FALSE)</f>
        <v>0</v>
      </c>
      <c r="X28" s="125">
        <f>VLOOKUP(C28,'Talente &amp; Stuff'!FU:GV,22,FALSE)</f>
        <v>0</v>
      </c>
      <c r="Y28" s="165">
        <f t="shared" si="2"/>
        <v>0</v>
      </c>
      <c r="Z28" s="44">
        <f t="shared" si="3"/>
        <v>0</v>
      </c>
      <c r="AA28" s="125">
        <f>VLOOKUP(C28,'Talente &amp; Stuff'!FU:GV,25,FALSE)</f>
        <v>0</v>
      </c>
      <c r="AB28" s="160">
        <f>VLOOKUP(C28,'Talente &amp; Stuff'!FU:GV,26,FALSE)</f>
        <v>0</v>
      </c>
      <c r="AC28" s="127">
        <f>VLOOKUP(C28,'Talente &amp; Stuff'!FU:GV,27,FALSE)</f>
        <v>0</v>
      </c>
      <c r="AD28" s="125">
        <f>VLOOKUP(C28,'Talente &amp; Stuff'!FU:GV,28,FALSE)</f>
        <v>0</v>
      </c>
      <c r="AE28" s="28"/>
    </row>
    <row r="29" spans="2:31" ht="15" hidden="1" customHeight="1" outlineLevel="2">
      <c r="B29" s="148">
        <v>4</v>
      </c>
      <c r="C29" s="177" t="str">
        <f>Attribute!C29</f>
        <v>---</v>
      </c>
      <c r="D29" s="127" t="str">
        <f>VLOOKUP(C29,'Talente &amp; Stuff'!FU:GV,2,FALSE)</f>
        <v>--/--/--</v>
      </c>
      <c r="E29" s="125" t="str">
        <f>VLOOKUP(C29,'Talente &amp; Stuff'!FU:GV,3,FALSE)</f>
        <v>-</v>
      </c>
      <c r="F29" s="114">
        <f>VLOOKUP(C29,'Talente &amp; Stuff'!FU:GV,4,FALSE)</f>
        <v>0</v>
      </c>
      <c r="G29" s="113">
        <f>VLOOKUP(C29,'Talente &amp; Stuff'!FU:GV,5,FALSE)</f>
        <v>0</v>
      </c>
      <c r="H29" s="113">
        <f>VLOOKUP(C29,'Talente &amp; Stuff'!FU:GV,6,FALSE)</f>
        <v>0</v>
      </c>
      <c r="I29" s="113">
        <f>VLOOKUP(C29,'Talente &amp; Stuff'!FU:GV,7,FALSE)</f>
        <v>0</v>
      </c>
      <c r="J29" s="113">
        <f>VLOOKUP(C29,'Talente &amp; Stuff'!FU:GV,8,FALSE)</f>
        <v>0</v>
      </c>
      <c r="K29" s="113">
        <f>VLOOKUP(C29,'Talente &amp; Stuff'!FU:GV,9,FALSE)</f>
        <v>0</v>
      </c>
      <c r="L29" s="113">
        <f>VLOOKUP(C29,'Talente &amp; Stuff'!FU:GV,10,FALSE)</f>
        <v>0</v>
      </c>
      <c r="M29" s="119">
        <f>VLOOKUP(C29,'Talente &amp; Stuff'!FU:GV,11,FALSE)</f>
        <v>0</v>
      </c>
      <c r="N29" s="89">
        <f>VLOOKUP(C29,'Talente &amp; Stuff'!FU:GV,12,FALSE)</f>
        <v>0</v>
      </c>
      <c r="O29" s="47">
        <f>VLOOKUP(C29,'Talente &amp; Stuff'!FU:GV,13,FALSE)</f>
        <v>0</v>
      </c>
      <c r="P29" s="119">
        <f>VLOOKUP(C29,'Talente &amp; Stuff'!FU:GV,14,FALSE)</f>
        <v>0</v>
      </c>
      <c r="Q29" s="114">
        <f>VLOOKUP(C29,'Talente &amp; Stuff'!FU:GV,15,FALSE)</f>
        <v>0</v>
      </c>
      <c r="R29" s="113">
        <f>VLOOKUP(C29,'Talente &amp; Stuff'!FU:GV,16,FALSE)</f>
        <v>0</v>
      </c>
      <c r="S29" s="119">
        <f>VLOOKUP(C29,'Talente &amp; Stuff'!FU:GV,17,FALSE)</f>
        <v>0</v>
      </c>
      <c r="T29" s="160">
        <f>VLOOKUP(C29,'Talente &amp; Stuff'!FU:GV,18,FALSE)</f>
        <v>0</v>
      </c>
      <c r="U29" s="89">
        <f>VLOOKUP(C29,'Talente &amp; Stuff'!FU:GV,19,FALSE)</f>
        <v>0</v>
      </c>
      <c r="V29" s="47">
        <f>VLOOKUP(C29,'Talente &amp; Stuff'!FU:GV,20,FALSE)</f>
        <v>0</v>
      </c>
      <c r="W29" s="127">
        <f>VLOOKUP(C29,'Talente &amp; Stuff'!FU:GV,21,FALSE)</f>
        <v>0</v>
      </c>
      <c r="X29" s="125">
        <f>VLOOKUP(C29,'Talente &amp; Stuff'!FU:GV,22,FALSE)</f>
        <v>0</v>
      </c>
      <c r="Y29" s="165">
        <f t="shared" si="2"/>
        <v>0</v>
      </c>
      <c r="Z29" s="44">
        <f t="shared" si="3"/>
        <v>0</v>
      </c>
      <c r="AA29" s="125">
        <f>VLOOKUP(C29,'Talente &amp; Stuff'!FU:GV,25,FALSE)</f>
        <v>0</v>
      </c>
      <c r="AB29" s="160">
        <f>VLOOKUP(C29,'Talente &amp; Stuff'!FU:GV,26,FALSE)</f>
        <v>0</v>
      </c>
      <c r="AC29" s="127">
        <f>VLOOKUP(C29,'Talente &amp; Stuff'!FU:GV,27,FALSE)</f>
        <v>0</v>
      </c>
      <c r="AD29" s="125">
        <f>VLOOKUP(C29,'Talente &amp; Stuff'!FU:GV,28,FALSE)</f>
        <v>0</v>
      </c>
      <c r="AE29" s="28"/>
    </row>
    <row r="30" spans="2:31" ht="15" hidden="1" customHeight="1" outlineLevel="2">
      <c r="B30" s="148">
        <v>5</v>
      </c>
      <c r="C30" s="177" t="str">
        <f>Attribute!C30</f>
        <v>---</v>
      </c>
      <c r="D30" s="127" t="str">
        <f>VLOOKUP(C30,'Talente &amp; Stuff'!FU:GV,2,FALSE)</f>
        <v>--/--/--</v>
      </c>
      <c r="E30" s="125" t="str">
        <f>VLOOKUP(C30,'Talente &amp; Stuff'!FU:GV,3,FALSE)</f>
        <v>-</v>
      </c>
      <c r="F30" s="114">
        <f>VLOOKUP(C30,'Talente &amp; Stuff'!FU:GV,4,FALSE)</f>
        <v>0</v>
      </c>
      <c r="G30" s="113">
        <f>VLOOKUP(C30,'Talente &amp; Stuff'!FU:GV,5,FALSE)</f>
        <v>0</v>
      </c>
      <c r="H30" s="113">
        <f>VLOOKUP(C30,'Talente &amp; Stuff'!FU:GV,6,FALSE)</f>
        <v>0</v>
      </c>
      <c r="I30" s="113">
        <f>VLOOKUP(C30,'Talente &amp; Stuff'!FU:GV,7,FALSE)</f>
        <v>0</v>
      </c>
      <c r="J30" s="113">
        <f>VLOOKUP(C30,'Talente &amp; Stuff'!FU:GV,8,FALSE)</f>
        <v>0</v>
      </c>
      <c r="K30" s="113">
        <f>VLOOKUP(C30,'Talente &amp; Stuff'!FU:GV,9,FALSE)</f>
        <v>0</v>
      </c>
      <c r="L30" s="113">
        <f>VLOOKUP(C30,'Talente &amp; Stuff'!FU:GV,10,FALSE)</f>
        <v>0</v>
      </c>
      <c r="M30" s="119">
        <f>VLOOKUP(C30,'Talente &amp; Stuff'!FU:GV,11,FALSE)</f>
        <v>0</v>
      </c>
      <c r="N30" s="89">
        <f>VLOOKUP(C30,'Talente &amp; Stuff'!FU:GV,12,FALSE)</f>
        <v>0</v>
      </c>
      <c r="O30" s="47">
        <f>VLOOKUP(C30,'Talente &amp; Stuff'!FU:GV,13,FALSE)</f>
        <v>0</v>
      </c>
      <c r="P30" s="119">
        <f>VLOOKUP(C30,'Talente &amp; Stuff'!FU:GV,14,FALSE)</f>
        <v>0</v>
      </c>
      <c r="Q30" s="114">
        <f>VLOOKUP(C30,'Talente &amp; Stuff'!FU:GV,15,FALSE)</f>
        <v>0</v>
      </c>
      <c r="R30" s="113">
        <f>VLOOKUP(C30,'Talente &amp; Stuff'!FU:GV,16,FALSE)</f>
        <v>0</v>
      </c>
      <c r="S30" s="119">
        <f>VLOOKUP(C30,'Talente &amp; Stuff'!FU:GV,17,FALSE)</f>
        <v>0</v>
      </c>
      <c r="T30" s="160">
        <f>VLOOKUP(C30,'Talente &amp; Stuff'!FU:GV,18,FALSE)</f>
        <v>0</v>
      </c>
      <c r="U30" s="89">
        <f>VLOOKUP(C30,'Talente &amp; Stuff'!FU:GV,19,FALSE)</f>
        <v>0</v>
      </c>
      <c r="V30" s="47">
        <f>VLOOKUP(C30,'Talente &amp; Stuff'!FU:GV,20,FALSE)</f>
        <v>0</v>
      </c>
      <c r="W30" s="127">
        <f>VLOOKUP(C30,'Talente &amp; Stuff'!FU:GV,21,FALSE)</f>
        <v>0</v>
      </c>
      <c r="X30" s="125">
        <f>VLOOKUP(C30,'Talente &amp; Stuff'!FU:GV,22,FALSE)</f>
        <v>0</v>
      </c>
      <c r="Y30" s="165">
        <f t="shared" si="2"/>
        <v>0</v>
      </c>
      <c r="Z30" s="44">
        <f t="shared" si="3"/>
        <v>0</v>
      </c>
      <c r="AA30" s="125">
        <f>VLOOKUP(C30,'Talente &amp; Stuff'!FU:GV,25,FALSE)</f>
        <v>0</v>
      </c>
      <c r="AB30" s="160">
        <f>VLOOKUP(C30,'Talente &amp; Stuff'!FU:GV,26,FALSE)</f>
        <v>0</v>
      </c>
      <c r="AC30" s="127">
        <f>VLOOKUP(C30,'Talente &amp; Stuff'!FU:GV,27,FALSE)</f>
        <v>0</v>
      </c>
      <c r="AD30" s="125">
        <f>VLOOKUP(C30,'Talente &amp; Stuff'!FU:GV,28,FALSE)</f>
        <v>0</v>
      </c>
      <c r="AE30" s="28"/>
    </row>
    <row r="31" spans="2:31" ht="15" hidden="1" customHeight="1" outlineLevel="2">
      <c r="B31" s="148">
        <v>6</v>
      </c>
      <c r="C31" s="177" t="str">
        <f>Attribute!C31</f>
        <v>---</v>
      </c>
      <c r="D31" s="127" t="str">
        <f>VLOOKUP(C31,'Talente &amp; Stuff'!FU:GV,2,FALSE)</f>
        <v>--/--/--</v>
      </c>
      <c r="E31" s="125" t="str">
        <f>VLOOKUP(C31,'Talente &amp; Stuff'!FU:GV,3,FALSE)</f>
        <v>-</v>
      </c>
      <c r="F31" s="114">
        <f>VLOOKUP(C31,'Talente &amp; Stuff'!FU:GV,4,FALSE)</f>
        <v>0</v>
      </c>
      <c r="G31" s="113">
        <f>VLOOKUP(C31,'Talente &amp; Stuff'!FU:GV,5,FALSE)</f>
        <v>0</v>
      </c>
      <c r="H31" s="113">
        <f>VLOOKUP(C31,'Talente &amp; Stuff'!FU:GV,6,FALSE)</f>
        <v>0</v>
      </c>
      <c r="I31" s="113">
        <f>VLOOKUP(C31,'Talente &amp; Stuff'!FU:GV,7,FALSE)</f>
        <v>0</v>
      </c>
      <c r="J31" s="113">
        <f>VLOOKUP(C31,'Talente &amp; Stuff'!FU:GV,8,FALSE)</f>
        <v>0</v>
      </c>
      <c r="K31" s="113">
        <f>VLOOKUP(C31,'Talente &amp; Stuff'!FU:GV,9,FALSE)</f>
        <v>0</v>
      </c>
      <c r="L31" s="113">
        <f>VLOOKUP(C31,'Talente &amp; Stuff'!FU:GV,10,FALSE)</f>
        <v>0</v>
      </c>
      <c r="M31" s="119">
        <f>VLOOKUP(C31,'Talente &amp; Stuff'!FU:GV,11,FALSE)</f>
        <v>0</v>
      </c>
      <c r="N31" s="89">
        <f>VLOOKUP(C31,'Talente &amp; Stuff'!FU:GV,12,FALSE)</f>
        <v>0</v>
      </c>
      <c r="O31" s="47">
        <f>VLOOKUP(C31,'Talente &amp; Stuff'!FU:GV,13,FALSE)</f>
        <v>0</v>
      </c>
      <c r="P31" s="119">
        <f>VLOOKUP(C31,'Talente &amp; Stuff'!FU:GV,14,FALSE)</f>
        <v>0</v>
      </c>
      <c r="Q31" s="114">
        <f>VLOOKUP(C31,'Talente &amp; Stuff'!FU:GV,15,FALSE)</f>
        <v>0</v>
      </c>
      <c r="R31" s="113">
        <f>VLOOKUP(C31,'Talente &amp; Stuff'!FU:GV,16,FALSE)</f>
        <v>0</v>
      </c>
      <c r="S31" s="119">
        <f>VLOOKUP(C31,'Talente &amp; Stuff'!FU:GV,17,FALSE)</f>
        <v>0</v>
      </c>
      <c r="T31" s="160">
        <f>VLOOKUP(C31,'Talente &amp; Stuff'!FU:GV,18,FALSE)</f>
        <v>0</v>
      </c>
      <c r="U31" s="89">
        <f>VLOOKUP(C31,'Talente &amp; Stuff'!FU:GV,19,FALSE)</f>
        <v>0</v>
      </c>
      <c r="V31" s="47">
        <f>VLOOKUP(C31,'Talente &amp; Stuff'!FU:GV,20,FALSE)</f>
        <v>0</v>
      </c>
      <c r="W31" s="127">
        <f>VLOOKUP(C31,'Talente &amp; Stuff'!FU:GV,21,FALSE)</f>
        <v>0</v>
      </c>
      <c r="X31" s="125">
        <f>VLOOKUP(C31,'Talente &amp; Stuff'!FU:GV,22,FALSE)</f>
        <v>0</v>
      </c>
      <c r="Y31" s="165">
        <f t="shared" si="2"/>
        <v>0</v>
      </c>
      <c r="Z31" s="44">
        <f t="shared" si="3"/>
        <v>0</v>
      </c>
      <c r="AA31" s="125">
        <f>VLOOKUP(C31,'Talente &amp; Stuff'!FU:GV,25,FALSE)</f>
        <v>0</v>
      </c>
      <c r="AB31" s="160">
        <f>VLOOKUP(C31,'Talente &amp; Stuff'!FU:GV,26,FALSE)</f>
        <v>0</v>
      </c>
      <c r="AC31" s="127">
        <f>VLOOKUP(C31,'Talente &amp; Stuff'!FU:GV,27,FALSE)</f>
        <v>0</v>
      </c>
      <c r="AD31" s="125">
        <f>VLOOKUP(C31,'Talente &amp; Stuff'!FU:GV,28,FALSE)</f>
        <v>0</v>
      </c>
      <c r="AE31" s="28"/>
    </row>
    <row r="32" spans="2:31" ht="15" hidden="1" customHeight="1" outlineLevel="2">
      <c r="B32" s="148">
        <v>7</v>
      </c>
      <c r="C32" s="177" t="str">
        <f>Attribute!C32</f>
        <v>---</v>
      </c>
      <c r="D32" s="127" t="str">
        <f>VLOOKUP(C32,'Talente &amp; Stuff'!FU:GV,2,FALSE)</f>
        <v>--/--/--</v>
      </c>
      <c r="E32" s="125" t="str">
        <f>VLOOKUP(C32,'Talente &amp; Stuff'!FU:GV,3,FALSE)</f>
        <v>-</v>
      </c>
      <c r="F32" s="114">
        <f>VLOOKUP(C32,'Talente &amp; Stuff'!FU:GV,4,FALSE)</f>
        <v>0</v>
      </c>
      <c r="G32" s="113">
        <f>VLOOKUP(C32,'Talente &amp; Stuff'!FU:GV,5,FALSE)</f>
        <v>0</v>
      </c>
      <c r="H32" s="113">
        <f>VLOOKUP(C32,'Talente &amp; Stuff'!FU:GV,6,FALSE)</f>
        <v>0</v>
      </c>
      <c r="I32" s="113">
        <f>VLOOKUP(C32,'Talente &amp; Stuff'!FU:GV,7,FALSE)</f>
        <v>0</v>
      </c>
      <c r="J32" s="113">
        <f>VLOOKUP(C32,'Talente &amp; Stuff'!FU:GV,8,FALSE)</f>
        <v>0</v>
      </c>
      <c r="K32" s="113">
        <f>VLOOKUP(C32,'Talente &amp; Stuff'!FU:GV,9,FALSE)</f>
        <v>0</v>
      </c>
      <c r="L32" s="113">
        <f>VLOOKUP(C32,'Talente &amp; Stuff'!FU:GV,10,FALSE)</f>
        <v>0</v>
      </c>
      <c r="M32" s="119">
        <f>VLOOKUP(C32,'Talente &amp; Stuff'!FU:GV,11,FALSE)</f>
        <v>0</v>
      </c>
      <c r="N32" s="89">
        <f>VLOOKUP(C32,'Talente &amp; Stuff'!FU:GV,12,FALSE)</f>
        <v>0</v>
      </c>
      <c r="O32" s="47">
        <f>VLOOKUP(C32,'Talente &amp; Stuff'!FU:GV,13,FALSE)</f>
        <v>0</v>
      </c>
      <c r="P32" s="119">
        <f>VLOOKUP(C32,'Talente &amp; Stuff'!FU:GV,14,FALSE)</f>
        <v>0</v>
      </c>
      <c r="Q32" s="114">
        <f>VLOOKUP(C32,'Talente &amp; Stuff'!FU:GV,15,FALSE)</f>
        <v>0</v>
      </c>
      <c r="R32" s="113">
        <f>VLOOKUP(C32,'Talente &amp; Stuff'!FU:GV,16,FALSE)</f>
        <v>0</v>
      </c>
      <c r="S32" s="119">
        <f>VLOOKUP(C32,'Talente &amp; Stuff'!FU:GV,17,FALSE)</f>
        <v>0</v>
      </c>
      <c r="T32" s="160">
        <f>VLOOKUP(C32,'Talente &amp; Stuff'!FU:GV,18,FALSE)</f>
        <v>0</v>
      </c>
      <c r="U32" s="89">
        <f>VLOOKUP(C32,'Talente &amp; Stuff'!FU:GV,19,FALSE)</f>
        <v>0</v>
      </c>
      <c r="V32" s="47">
        <f>VLOOKUP(C32,'Talente &amp; Stuff'!FU:GV,20,FALSE)</f>
        <v>0</v>
      </c>
      <c r="W32" s="127">
        <f>VLOOKUP(C32,'Talente &amp; Stuff'!FU:GV,21,FALSE)</f>
        <v>0</v>
      </c>
      <c r="X32" s="125">
        <f>VLOOKUP(C32,'Talente &amp; Stuff'!FU:GV,22,FALSE)</f>
        <v>0</v>
      </c>
      <c r="Y32" s="165">
        <f t="shared" si="2"/>
        <v>0</v>
      </c>
      <c r="Z32" s="44">
        <f t="shared" si="3"/>
        <v>0</v>
      </c>
      <c r="AA32" s="125">
        <f>VLOOKUP(C32,'Talente &amp; Stuff'!FU:GV,25,FALSE)</f>
        <v>0</v>
      </c>
      <c r="AB32" s="160">
        <f>VLOOKUP(C32,'Talente &amp; Stuff'!FU:GV,26,FALSE)</f>
        <v>0</v>
      </c>
      <c r="AC32" s="127">
        <f>VLOOKUP(C32,'Talente &amp; Stuff'!FU:GV,27,FALSE)</f>
        <v>0</v>
      </c>
      <c r="AD32" s="125">
        <f>VLOOKUP(C32,'Talente &amp; Stuff'!FU:GV,28,FALSE)</f>
        <v>0</v>
      </c>
      <c r="AE32" s="28"/>
    </row>
    <row r="33" spans="2:31" ht="15" hidden="1" customHeight="1" outlineLevel="2">
      <c r="B33" s="148">
        <v>8</v>
      </c>
      <c r="C33" s="177" t="str">
        <f>Attribute!C33</f>
        <v>---</v>
      </c>
      <c r="D33" s="127" t="str">
        <f>VLOOKUP(C33,'Talente &amp; Stuff'!FU:GV,2,FALSE)</f>
        <v>--/--/--</v>
      </c>
      <c r="E33" s="125" t="str">
        <f>VLOOKUP(C33,'Talente &amp; Stuff'!FU:GV,3,FALSE)</f>
        <v>-</v>
      </c>
      <c r="F33" s="114">
        <f>VLOOKUP(C33,'Talente &amp; Stuff'!FU:GV,4,FALSE)</f>
        <v>0</v>
      </c>
      <c r="G33" s="113">
        <f>VLOOKUP(C33,'Talente &amp; Stuff'!FU:GV,5,FALSE)</f>
        <v>0</v>
      </c>
      <c r="H33" s="113">
        <f>VLOOKUP(C33,'Talente &amp; Stuff'!FU:GV,6,FALSE)</f>
        <v>0</v>
      </c>
      <c r="I33" s="113">
        <f>VLOOKUP(C33,'Talente &amp; Stuff'!FU:GV,7,FALSE)</f>
        <v>0</v>
      </c>
      <c r="J33" s="113">
        <f>VLOOKUP(C33,'Talente &amp; Stuff'!FU:GV,8,FALSE)</f>
        <v>0</v>
      </c>
      <c r="K33" s="113">
        <f>VLOOKUP(C33,'Talente &amp; Stuff'!FU:GV,9,FALSE)</f>
        <v>0</v>
      </c>
      <c r="L33" s="113">
        <f>VLOOKUP(C33,'Talente &amp; Stuff'!FU:GV,10,FALSE)</f>
        <v>0</v>
      </c>
      <c r="M33" s="119">
        <f>VLOOKUP(C33,'Talente &amp; Stuff'!FU:GV,11,FALSE)</f>
        <v>0</v>
      </c>
      <c r="N33" s="89">
        <f>VLOOKUP(C33,'Talente &amp; Stuff'!FU:GV,12,FALSE)</f>
        <v>0</v>
      </c>
      <c r="O33" s="47">
        <f>VLOOKUP(C33,'Talente &amp; Stuff'!FU:GV,13,FALSE)</f>
        <v>0</v>
      </c>
      <c r="P33" s="119">
        <f>VLOOKUP(C33,'Talente &amp; Stuff'!FU:GV,14,FALSE)</f>
        <v>0</v>
      </c>
      <c r="Q33" s="114">
        <f>VLOOKUP(C33,'Talente &amp; Stuff'!FU:GV,15,FALSE)</f>
        <v>0</v>
      </c>
      <c r="R33" s="113">
        <f>VLOOKUP(C33,'Talente &amp; Stuff'!FU:GV,16,FALSE)</f>
        <v>0</v>
      </c>
      <c r="S33" s="119">
        <f>VLOOKUP(C33,'Talente &amp; Stuff'!FU:GV,17,FALSE)</f>
        <v>0</v>
      </c>
      <c r="T33" s="160">
        <f>VLOOKUP(C33,'Talente &amp; Stuff'!FU:GV,18,FALSE)</f>
        <v>0</v>
      </c>
      <c r="U33" s="89">
        <f>VLOOKUP(C33,'Talente &amp; Stuff'!FU:GV,19,FALSE)</f>
        <v>0</v>
      </c>
      <c r="V33" s="47">
        <f>VLOOKUP(C33,'Talente &amp; Stuff'!FU:GV,20,FALSE)</f>
        <v>0</v>
      </c>
      <c r="W33" s="127">
        <f>VLOOKUP(C33,'Talente &amp; Stuff'!FU:GV,21,FALSE)</f>
        <v>0</v>
      </c>
      <c r="X33" s="125">
        <f>VLOOKUP(C33,'Talente &amp; Stuff'!FU:GV,22,FALSE)</f>
        <v>0</v>
      </c>
      <c r="Y33" s="165">
        <f t="shared" si="2"/>
        <v>0</v>
      </c>
      <c r="Z33" s="44">
        <f t="shared" si="3"/>
        <v>0</v>
      </c>
      <c r="AA33" s="125">
        <f>VLOOKUP(C33,'Talente &amp; Stuff'!FU:GV,25,FALSE)</f>
        <v>0</v>
      </c>
      <c r="AB33" s="160">
        <f>VLOOKUP(C33,'Talente &amp; Stuff'!FU:GV,26,FALSE)</f>
        <v>0</v>
      </c>
      <c r="AC33" s="127">
        <f>VLOOKUP(C33,'Talente &amp; Stuff'!FU:GV,27,FALSE)</f>
        <v>0</v>
      </c>
      <c r="AD33" s="125">
        <f>VLOOKUP(C33,'Talente &amp; Stuff'!FU:GV,28,FALSE)</f>
        <v>0</v>
      </c>
      <c r="AE33" s="28"/>
    </row>
    <row r="34" spans="2:31" ht="15" hidden="1" customHeight="1" outlineLevel="2">
      <c r="B34" s="148">
        <v>9</v>
      </c>
      <c r="C34" s="178" t="str">
        <f>Attribute!C34</f>
        <v>---</v>
      </c>
      <c r="D34" s="128" t="str">
        <f>VLOOKUP(C34,'Talente &amp; Stuff'!FU:GV,2,FALSE)</f>
        <v>--/--/--</v>
      </c>
      <c r="E34" s="159" t="str">
        <f>VLOOKUP(C34,'Talente &amp; Stuff'!FU:GV,3,FALSE)</f>
        <v>-</v>
      </c>
      <c r="F34" s="115">
        <f>VLOOKUP(C34,'Talente &amp; Stuff'!FU:GV,4,FALSE)</f>
        <v>0</v>
      </c>
      <c r="G34" s="122">
        <f>VLOOKUP(C34,'Talente &amp; Stuff'!FU:GV,5,FALSE)</f>
        <v>0</v>
      </c>
      <c r="H34" s="122">
        <f>VLOOKUP(C34,'Talente &amp; Stuff'!FU:GV,6,FALSE)</f>
        <v>0</v>
      </c>
      <c r="I34" s="122">
        <f>VLOOKUP(C34,'Talente &amp; Stuff'!FU:GV,7,FALSE)</f>
        <v>0</v>
      </c>
      <c r="J34" s="122">
        <f>VLOOKUP(C34,'Talente &amp; Stuff'!FU:GV,8,FALSE)</f>
        <v>0</v>
      </c>
      <c r="K34" s="122">
        <f>VLOOKUP(C34,'Talente &amp; Stuff'!FU:GV,9,FALSE)</f>
        <v>0</v>
      </c>
      <c r="L34" s="122">
        <f>VLOOKUP(C34,'Talente &amp; Stuff'!FU:GV,10,FALSE)</f>
        <v>0</v>
      </c>
      <c r="M34" s="123">
        <f>VLOOKUP(C34,'Talente &amp; Stuff'!FU:GV,11,FALSE)</f>
        <v>0</v>
      </c>
      <c r="N34" s="90">
        <f>VLOOKUP(C34,'Talente &amp; Stuff'!FU:GV,12,FALSE)</f>
        <v>0</v>
      </c>
      <c r="O34" s="88">
        <f>VLOOKUP(C34,'Talente &amp; Stuff'!FU:GV,13,FALSE)</f>
        <v>0</v>
      </c>
      <c r="P34" s="123">
        <f>VLOOKUP(C34,'Talente &amp; Stuff'!FU:GV,14,FALSE)</f>
        <v>0</v>
      </c>
      <c r="Q34" s="115">
        <f>VLOOKUP(C34,'Talente &amp; Stuff'!FU:GV,15,FALSE)</f>
        <v>0</v>
      </c>
      <c r="R34" s="122">
        <f>VLOOKUP(C34,'Talente &amp; Stuff'!FU:GV,16,FALSE)</f>
        <v>0</v>
      </c>
      <c r="S34" s="123">
        <f>VLOOKUP(C34,'Talente &amp; Stuff'!FU:GV,17,FALSE)</f>
        <v>0</v>
      </c>
      <c r="T34" s="161">
        <f>VLOOKUP(C34,'Talente &amp; Stuff'!FU:GV,18,FALSE)</f>
        <v>0</v>
      </c>
      <c r="U34" s="90">
        <f>VLOOKUP(C34,'Talente &amp; Stuff'!FU:GV,19,FALSE)</f>
        <v>0</v>
      </c>
      <c r="V34" s="88">
        <f>VLOOKUP(C34,'Talente &amp; Stuff'!FU:GV,20,FALSE)</f>
        <v>0</v>
      </c>
      <c r="W34" s="128">
        <f>VLOOKUP(C34,'Talente &amp; Stuff'!FU:GV,21,FALSE)</f>
        <v>0</v>
      </c>
      <c r="X34" s="159">
        <f>VLOOKUP(C34,'Talente &amp; Stuff'!FU:GV,22,FALSE)</f>
        <v>0</v>
      </c>
      <c r="Y34" s="165">
        <f t="shared" si="2"/>
        <v>0</v>
      </c>
      <c r="Z34" s="44">
        <f t="shared" si="3"/>
        <v>0</v>
      </c>
      <c r="AA34" s="159">
        <f>VLOOKUP(C34,'Talente &amp; Stuff'!FU:GV,25,FALSE)</f>
        <v>0</v>
      </c>
      <c r="AB34" s="161">
        <f>VLOOKUP(C34,'Talente &amp; Stuff'!FU:GV,26,FALSE)</f>
        <v>0</v>
      </c>
      <c r="AC34" s="128">
        <f>VLOOKUP(C34,'Talente &amp; Stuff'!FU:GV,27,FALSE)</f>
        <v>0</v>
      </c>
      <c r="AD34" s="159">
        <f>VLOOKUP(C34,'Talente &amp; Stuff'!FU:GV,28,FALSE)</f>
        <v>0</v>
      </c>
      <c r="AE34" s="28"/>
    </row>
    <row r="35" spans="2:31" ht="15" hidden="1" customHeight="1" outlineLevel="1" collapsed="1">
      <c r="B35" s="134" t="s">
        <v>69</v>
      </c>
      <c r="C35" s="83"/>
      <c r="D35" s="84"/>
      <c r="E35" s="84"/>
      <c r="F35" s="30"/>
      <c r="G35" s="30"/>
      <c r="H35" s="30"/>
      <c r="I35" s="30"/>
      <c r="J35" s="30"/>
      <c r="K35" s="30"/>
      <c r="L35" s="30"/>
      <c r="M35" s="30"/>
      <c r="N35" s="31"/>
      <c r="O35" s="31"/>
      <c r="P35" s="30"/>
      <c r="Q35" s="30"/>
      <c r="R35" s="30"/>
      <c r="S35" s="30"/>
      <c r="T35" s="30"/>
      <c r="U35" s="31"/>
      <c r="V35" s="31"/>
      <c r="W35" s="31"/>
      <c r="X35" s="31"/>
      <c r="Y35" s="65"/>
    </row>
    <row r="36" spans="2:31" ht="15" hidden="1" customHeight="1" outlineLevel="2">
      <c r="B36" s="148">
        <v>1</v>
      </c>
      <c r="C36" s="176" t="str">
        <f>Attribute!C36</f>
        <v>---</v>
      </c>
      <c r="D36" s="126" t="str">
        <f>VLOOKUP(C36,'Talente &amp; Stuff'!FU:GV,2,FALSE)</f>
        <v>--/--/--</v>
      </c>
      <c r="E36" s="158" t="str">
        <f>VLOOKUP(C36,'Talente &amp; Stuff'!FU:GV,3,FALSE)</f>
        <v>-</v>
      </c>
      <c r="F36" s="191">
        <f>VLOOKUP(C36,'Talente &amp; Stuff'!FU:GV,4,FALSE)</f>
        <v>0</v>
      </c>
      <c r="G36" s="118">
        <f>VLOOKUP(C36,'Talente &amp; Stuff'!FU:GV,5,FALSE)</f>
        <v>0</v>
      </c>
      <c r="H36" s="118">
        <f>VLOOKUP(C36,'Talente &amp; Stuff'!FU:GV,6,FALSE)</f>
        <v>0</v>
      </c>
      <c r="I36" s="118">
        <f>VLOOKUP(C36,'Talente &amp; Stuff'!FU:GV,7,FALSE)</f>
        <v>0</v>
      </c>
      <c r="J36" s="118">
        <f>VLOOKUP(C36,'Talente &amp; Stuff'!FU:GV,8,FALSE)</f>
        <v>0</v>
      </c>
      <c r="K36" s="118">
        <f>VLOOKUP(C36,'Talente &amp; Stuff'!FU:GV,9,FALSE)</f>
        <v>0</v>
      </c>
      <c r="L36" s="118">
        <f>VLOOKUP(C36,'Talente &amp; Stuff'!FU:GV,10,FALSE)</f>
        <v>0</v>
      </c>
      <c r="M36" s="92">
        <f>VLOOKUP(C36,'Talente &amp; Stuff'!FU:GV,11,FALSE)</f>
        <v>0</v>
      </c>
      <c r="N36" s="193">
        <f>VLOOKUP(C36,'Talente &amp; Stuff'!FU:GV,12,FALSE)</f>
        <v>0</v>
      </c>
      <c r="O36" s="116">
        <f>VLOOKUP(C36,'Talente &amp; Stuff'!FU:GV,13,FALSE)</f>
        <v>0</v>
      </c>
      <c r="P36" s="92">
        <f>VLOOKUP(C36,'Talente &amp; Stuff'!FU:GV,14,FALSE)</f>
        <v>0</v>
      </c>
      <c r="Q36" s="191">
        <f>VLOOKUP(C36,'Talente &amp; Stuff'!FU:GV,15,FALSE)</f>
        <v>0</v>
      </c>
      <c r="R36" s="118">
        <f>VLOOKUP(C36,'Talente &amp; Stuff'!FU:GV,16,FALSE)</f>
        <v>0</v>
      </c>
      <c r="S36" s="92">
        <f>VLOOKUP(C36,'Talente &amp; Stuff'!FU:GV,17,FALSE)</f>
        <v>0</v>
      </c>
      <c r="T36" s="91">
        <f>VLOOKUP(C36,'Talente &amp; Stuff'!FU:GV,18,FALSE)</f>
        <v>0</v>
      </c>
      <c r="U36" s="193">
        <f>VLOOKUP(C36,'Talente &amp; Stuff'!FU:GV,19,FALSE)</f>
        <v>0</v>
      </c>
      <c r="V36" s="116">
        <f>VLOOKUP(C36,'Talente &amp; Stuff'!FU:GV,20,FALSE)</f>
        <v>0</v>
      </c>
      <c r="W36" s="126">
        <f>VLOOKUP(C36,'Talente &amp; Stuff'!FU:GV,21,FALSE)</f>
        <v>0</v>
      </c>
      <c r="X36" s="158">
        <f>VLOOKUP(C36,'Talente &amp; Stuff'!FU:GV,22,FALSE)</f>
        <v>0</v>
      </c>
      <c r="Y36" s="165">
        <f t="shared" ref="Y36:Y42" si="4">VLOOKUP(C36,Ausgewählte_Talente_Naturtalente,197,FALSE)</f>
        <v>0</v>
      </c>
      <c r="Z36" s="44">
        <f t="shared" ref="Z36:Z42" si="5">VLOOKUP(C36,Ausgewählte_Talente_Naturtalente,198,FALSE)</f>
        <v>0</v>
      </c>
      <c r="AA36" s="158">
        <f>VLOOKUP(C36,'Talente &amp; Stuff'!FU:GV,25,FALSE)</f>
        <v>0</v>
      </c>
      <c r="AB36" s="91">
        <f>VLOOKUP(C36,'Talente &amp; Stuff'!FU:GV,26,FALSE)</f>
        <v>0</v>
      </c>
      <c r="AC36" s="126">
        <f>VLOOKUP(C36,'Talente &amp; Stuff'!FU:GV,27,FALSE)</f>
        <v>0</v>
      </c>
      <c r="AD36" s="158">
        <f>VLOOKUP(C36,'Talente &amp; Stuff'!FU:GV,28,FALSE)</f>
        <v>0</v>
      </c>
      <c r="AE36" s="28"/>
    </row>
    <row r="37" spans="2:31" ht="15" hidden="1" customHeight="1" outlineLevel="2">
      <c r="B37" s="148">
        <v>2</v>
      </c>
      <c r="C37" s="177" t="str">
        <f>Attribute!C37</f>
        <v>---</v>
      </c>
      <c r="D37" s="127" t="str">
        <f>VLOOKUP(C37,'Talente &amp; Stuff'!FU:GV,2,FALSE)</f>
        <v>--/--/--</v>
      </c>
      <c r="E37" s="125" t="str">
        <f>VLOOKUP(C37,'Talente &amp; Stuff'!FU:GV,3,FALSE)</f>
        <v>-</v>
      </c>
      <c r="F37" s="114">
        <f>VLOOKUP(C37,'Talente &amp; Stuff'!FU:GV,4,FALSE)</f>
        <v>0</v>
      </c>
      <c r="G37" s="113">
        <f>VLOOKUP(C37,'Talente &amp; Stuff'!FU:GV,5,FALSE)</f>
        <v>0</v>
      </c>
      <c r="H37" s="113">
        <f>VLOOKUP(C37,'Talente &amp; Stuff'!FU:GV,6,FALSE)</f>
        <v>0</v>
      </c>
      <c r="I37" s="113">
        <f>VLOOKUP(C37,'Talente &amp; Stuff'!FU:GV,7,FALSE)</f>
        <v>0</v>
      </c>
      <c r="J37" s="113">
        <f>VLOOKUP(C37,'Talente &amp; Stuff'!FU:GV,8,FALSE)</f>
        <v>0</v>
      </c>
      <c r="K37" s="113">
        <f>VLOOKUP(C37,'Talente &amp; Stuff'!FU:GV,9,FALSE)</f>
        <v>0</v>
      </c>
      <c r="L37" s="113">
        <f>VLOOKUP(C37,'Talente &amp; Stuff'!FU:GV,10,FALSE)</f>
        <v>0</v>
      </c>
      <c r="M37" s="119">
        <f>VLOOKUP(C37,'Talente &amp; Stuff'!FU:GV,11,FALSE)</f>
        <v>0</v>
      </c>
      <c r="N37" s="89">
        <f>VLOOKUP(C37,'Talente &amp; Stuff'!FU:GV,12,FALSE)</f>
        <v>0</v>
      </c>
      <c r="O37" s="47">
        <f>VLOOKUP(C37,'Talente &amp; Stuff'!FU:GV,13,FALSE)</f>
        <v>0</v>
      </c>
      <c r="P37" s="119">
        <f>VLOOKUP(C37,'Talente &amp; Stuff'!FU:GV,14,FALSE)</f>
        <v>0</v>
      </c>
      <c r="Q37" s="114">
        <f>VLOOKUP(C37,'Talente &amp; Stuff'!FU:GV,15,FALSE)</f>
        <v>0</v>
      </c>
      <c r="R37" s="113">
        <f>VLOOKUP(C37,'Talente &amp; Stuff'!FU:GV,16,FALSE)</f>
        <v>0</v>
      </c>
      <c r="S37" s="119">
        <f>VLOOKUP(C37,'Talente &amp; Stuff'!FU:GV,17,FALSE)</f>
        <v>0</v>
      </c>
      <c r="T37" s="160">
        <f>VLOOKUP(C37,'Talente &amp; Stuff'!FU:GV,18,FALSE)</f>
        <v>0</v>
      </c>
      <c r="U37" s="89">
        <f>VLOOKUP(C37,'Talente &amp; Stuff'!FU:GV,19,FALSE)</f>
        <v>0</v>
      </c>
      <c r="V37" s="47">
        <f>VLOOKUP(C37,'Talente &amp; Stuff'!FU:GV,20,FALSE)</f>
        <v>0</v>
      </c>
      <c r="W37" s="127">
        <f>VLOOKUP(C37,'Talente &amp; Stuff'!FU:GV,21,FALSE)</f>
        <v>0</v>
      </c>
      <c r="X37" s="125">
        <f>VLOOKUP(C37,'Talente &amp; Stuff'!FU:GV,22,FALSE)</f>
        <v>0</v>
      </c>
      <c r="Y37" s="165">
        <f t="shared" si="4"/>
        <v>0</v>
      </c>
      <c r="Z37" s="44">
        <f t="shared" si="5"/>
        <v>0</v>
      </c>
      <c r="AA37" s="125">
        <f>VLOOKUP(C37,'Talente &amp; Stuff'!FU:GV,25,FALSE)</f>
        <v>0</v>
      </c>
      <c r="AB37" s="160">
        <f>VLOOKUP(C37,'Talente &amp; Stuff'!FU:GV,26,FALSE)</f>
        <v>0</v>
      </c>
      <c r="AC37" s="127">
        <f>VLOOKUP(C37,'Talente &amp; Stuff'!FU:GV,27,FALSE)</f>
        <v>0</v>
      </c>
      <c r="AD37" s="125">
        <f>VLOOKUP(C37,'Talente &amp; Stuff'!FU:GV,28,FALSE)</f>
        <v>0</v>
      </c>
      <c r="AE37" s="28"/>
    </row>
    <row r="38" spans="2:31" ht="15" hidden="1" customHeight="1" outlineLevel="2">
      <c r="B38" s="148">
        <v>3</v>
      </c>
      <c r="C38" s="177" t="str">
        <f>Attribute!C38</f>
        <v>---</v>
      </c>
      <c r="D38" s="127" t="str">
        <f>VLOOKUP(C38,'Talente &amp; Stuff'!FU:GV,2,FALSE)</f>
        <v>--/--/--</v>
      </c>
      <c r="E38" s="125" t="str">
        <f>VLOOKUP(C38,'Talente &amp; Stuff'!FU:GV,3,FALSE)</f>
        <v>-</v>
      </c>
      <c r="F38" s="114">
        <f>VLOOKUP(C38,'Talente &amp; Stuff'!FU:GV,4,FALSE)</f>
        <v>0</v>
      </c>
      <c r="G38" s="113">
        <f>VLOOKUP(C38,'Talente &amp; Stuff'!FU:GV,5,FALSE)</f>
        <v>0</v>
      </c>
      <c r="H38" s="113">
        <f>VLOOKUP(C38,'Talente &amp; Stuff'!FU:GV,6,FALSE)</f>
        <v>0</v>
      </c>
      <c r="I38" s="113">
        <f>VLOOKUP(C38,'Talente &amp; Stuff'!FU:GV,7,FALSE)</f>
        <v>0</v>
      </c>
      <c r="J38" s="113">
        <f>VLOOKUP(C38,'Talente &amp; Stuff'!FU:GV,8,FALSE)</f>
        <v>0</v>
      </c>
      <c r="K38" s="113">
        <f>VLOOKUP(C38,'Talente &amp; Stuff'!FU:GV,9,FALSE)</f>
        <v>0</v>
      </c>
      <c r="L38" s="113">
        <f>VLOOKUP(C38,'Talente &amp; Stuff'!FU:GV,10,FALSE)</f>
        <v>0</v>
      </c>
      <c r="M38" s="119">
        <f>VLOOKUP(C38,'Talente &amp; Stuff'!FU:GV,11,FALSE)</f>
        <v>0</v>
      </c>
      <c r="N38" s="89">
        <f>VLOOKUP(C38,'Talente &amp; Stuff'!FU:GV,12,FALSE)</f>
        <v>0</v>
      </c>
      <c r="O38" s="47">
        <f>VLOOKUP(C38,'Talente &amp; Stuff'!FU:GV,13,FALSE)</f>
        <v>0</v>
      </c>
      <c r="P38" s="119">
        <f>VLOOKUP(C38,'Talente &amp; Stuff'!FU:GV,14,FALSE)</f>
        <v>0</v>
      </c>
      <c r="Q38" s="114">
        <f>VLOOKUP(C38,'Talente &amp; Stuff'!FU:GV,15,FALSE)</f>
        <v>0</v>
      </c>
      <c r="R38" s="113">
        <f>VLOOKUP(C38,'Talente &amp; Stuff'!FU:GV,16,FALSE)</f>
        <v>0</v>
      </c>
      <c r="S38" s="119">
        <f>VLOOKUP(C38,'Talente &amp; Stuff'!FU:GV,17,FALSE)</f>
        <v>0</v>
      </c>
      <c r="T38" s="160">
        <f>VLOOKUP(C38,'Talente &amp; Stuff'!FU:GV,18,FALSE)</f>
        <v>0</v>
      </c>
      <c r="U38" s="89">
        <f>VLOOKUP(C38,'Talente &amp; Stuff'!FU:GV,19,FALSE)</f>
        <v>0</v>
      </c>
      <c r="V38" s="47">
        <f>VLOOKUP(C38,'Talente &amp; Stuff'!FU:GV,20,FALSE)</f>
        <v>0</v>
      </c>
      <c r="W38" s="127">
        <f>VLOOKUP(C38,'Talente &amp; Stuff'!FU:GV,21,FALSE)</f>
        <v>0</v>
      </c>
      <c r="X38" s="125">
        <f>VLOOKUP(C38,'Talente &amp; Stuff'!FU:GV,22,FALSE)</f>
        <v>0</v>
      </c>
      <c r="Y38" s="165">
        <f t="shared" si="4"/>
        <v>0</v>
      </c>
      <c r="Z38" s="44">
        <f t="shared" si="5"/>
        <v>0</v>
      </c>
      <c r="AA38" s="125">
        <f>VLOOKUP(C38,'Talente &amp; Stuff'!FU:GV,25,FALSE)</f>
        <v>0</v>
      </c>
      <c r="AB38" s="160">
        <f>VLOOKUP(C38,'Talente &amp; Stuff'!FU:GV,26,FALSE)</f>
        <v>0</v>
      </c>
      <c r="AC38" s="127">
        <f>VLOOKUP(C38,'Talente &amp; Stuff'!FU:GV,27,FALSE)</f>
        <v>0</v>
      </c>
      <c r="AD38" s="125">
        <f>VLOOKUP(C38,'Talente &amp; Stuff'!FU:GV,28,FALSE)</f>
        <v>0</v>
      </c>
      <c r="AE38" s="28"/>
    </row>
    <row r="39" spans="2:31" ht="15" hidden="1" customHeight="1" outlineLevel="2">
      <c r="B39" s="148">
        <v>4</v>
      </c>
      <c r="C39" s="177" t="str">
        <f>Attribute!C39</f>
        <v>---</v>
      </c>
      <c r="D39" s="127" t="str">
        <f>VLOOKUP(C39,'Talente &amp; Stuff'!FU:GV,2,FALSE)</f>
        <v>--/--/--</v>
      </c>
      <c r="E39" s="125" t="str">
        <f>VLOOKUP(C39,'Talente &amp; Stuff'!FU:GV,3,FALSE)</f>
        <v>-</v>
      </c>
      <c r="F39" s="114">
        <f>VLOOKUP(C39,'Talente &amp; Stuff'!FU:GV,4,FALSE)</f>
        <v>0</v>
      </c>
      <c r="G39" s="113">
        <f>VLOOKUP(C39,'Talente &amp; Stuff'!FU:GV,5,FALSE)</f>
        <v>0</v>
      </c>
      <c r="H39" s="113">
        <f>VLOOKUP(C39,'Talente &amp; Stuff'!FU:GV,6,FALSE)</f>
        <v>0</v>
      </c>
      <c r="I39" s="113">
        <f>VLOOKUP(C39,'Talente &amp; Stuff'!FU:GV,7,FALSE)</f>
        <v>0</v>
      </c>
      <c r="J39" s="113">
        <f>VLOOKUP(C39,'Talente &amp; Stuff'!FU:GV,8,FALSE)</f>
        <v>0</v>
      </c>
      <c r="K39" s="113">
        <f>VLOOKUP(C39,'Talente &amp; Stuff'!FU:GV,9,FALSE)</f>
        <v>0</v>
      </c>
      <c r="L39" s="113">
        <f>VLOOKUP(C39,'Talente &amp; Stuff'!FU:GV,10,FALSE)</f>
        <v>0</v>
      </c>
      <c r="M39" s="119">
        <f>VLOOKUP(C39,'Talente &amp; Stuff'!FU:GV,11,FALSE)</f>
        <v>0</v>
      </c>
      <c r="N39" s="89">
        <f>VLOOKUP(C39,'Talente &amp; Stuff'!FU:GV,12,FALSE)</f>
        <v>0</v>
      </c>
      <c r="O39" s="47">
        <f>VLOOKUP(C39,'Talente &amp; Stuff'!FU:GV,13,FALSE)</f>
        <v>0</v>
      </c>
      <c r="P39" s="119">
        <f>VLOOKUP(C39,'Talente &amp; Stuff'!FU:GV,14,FALSE)</f>
        <v>0</v>
      </c>
      <c r="Q39" s="114">
        <f>VLOOKUP(C39,'Talente &amp; Stuff'!FU:GV,15,FALSE)</f>
        <v>0</v>
      </c>
      <c r="R39" s="113">
        <f>VLOOKUP(C39,'Talente &amp; Stuff'!FU:GV,16,FALSE)</f>
        <v>0</v>
      </c>
      <c r="S39" s="119">
        <f>VLOOKUP(C39,'Talente &amp; Stuff'!FU:GV,17,FALSE)</f>
        <v>0</v>
      </c>
      <c r="T39" s="160">
        <f>VLOOKUP(C39,'Talente &amp; Stuff'!FU:GV,18,FALSE)</f>
        <v>0</v>
      </c>
      <c r="U39" s="89">
        <f>VLOOKUP(C39,'Talente &amp; Stuff'!FU:GV,19,FALSE)</f>
        <v>0</v>
      </c>
      <c r="V39" s="47">
        <f>VLOOKUP(C39,'Talente &amp; Stuff'!FU:GV,20,FALSE)</f>
        <v>0</v>
      </c>
      <c r="W39" s="127">
        <f>VLOOKUP(C39,'Talente &amp; Stuff'!FU:GV,21,FALSE)</f>
        <v>0</v>
      </c>
      <c r="X39" s="125">
        <f>VLOOKUP(C39,'Talente &amp; Stuff'!FU:GV,22,FALSE)</f>
        <v>0</v>
      </c>
      <c r="Y39" s="165">
        <f t="shared" si="4"/>
        <v>0</v>
      </c>
      <c r="Z39" s="44">
        <f t="shared" si="5"/>
        <v>0</v>
      </c>
      <c r="AA39" s="125">
        <f>VLOOKUP(C39,'Talente &amp; Stuff'!FU:GV,25,FALSE)</f>
        <v>0</v>
      </c>
      <c r="AB39" s="160">
        <f>VLOOKUP(C39,'Talente &amp; Stuff'!FU:GV,26,FALSE)</f>
        <v>0</v>
      </c>
      <c r="AC39" s="127">
        <f>VLOOKUP(C39,'Talente &amp; Stuff'!FU:GV,27,FALSE)</f>
        <v>0</v>
      </c>
      <c r="AD39" s="125">
        <f>VLOOKUP(C39,'Talente &amp; Stuff'!FU:GV,28,FALSE)</f>
        <v>0</v>
      </c>
      <c r="AE39" s="28"/>
    </row>
    <row r="40" spans="2:31" ht="15" hidden="1" customHeight="1" outlineLevel="2">
      <c r="B40" s="148">
        <v>5</v>
      </c>
      <c r="C40" s="177" t="str">
        <f>Attribute!C40</f>
        <v>---</v>
      </c>
      <c r="D40" s="127" t="str">
        <f>VLOOKUP(C40,'Talente &amp; Stuff'!FU:GV,2,FALSE)</f>
        <v>--/--/--</v>
      </c>
      <c r="E40" s="125" t="str">
        <f>VLOOKUP(C40,'Talente &amp; Stuff'!FU:GV,3,FALSE)</f>
        <v>-</v>
      </c>
      <c r="F40" s="114">
        <f>VLOOKUP(C40,'Talente &amp; Stuff'!FU:GV,4,FALSE)</f>
        <v>0</v>
      </c>
      <c r="G40" s="113">
        <f>VLOOKUP(C40,'Talente &amp; Stuff'!FU:GV,5,FALSE)</f>
        <v>0</v>
      </c>
      <c r="H40" s="113">
        <f>VLOOKUP(C40,'Talente &amp; Stuff'!FU:GV,6,FALSE)</f>
        <v>0</v>
      </c>
      <c r="I40" s="113">
        <f>VLOOKUP(C40,'Talente &amp; Stuff'!FU:GV,7,FALSE)</f>
        <v>0</v>
      </c>
      <c r="J40" s="113">
        <f>VLOOKUP(C40,'Talente &amp; Stuff'!FU:GV,8,FALSE)</f>
        <v>0</v>
      </c>
      <c r="K40" s="113">
        <f>VLOOKUP(C40,'Talente &amp; Stuff'!FU:GV,9,FALSE)</f>
        <v>0</v>
      </c>
      <c r="L40" s="113">
        <f>VLOOKUP(C40,'Talente &amp; Stuff'!FU:GV,10,FALSE)</f>
        <v>0</v>
      </c>
      <c r="M40" s="119">
        <f>VLOOKUP(C40,'Talente &amp; Stuff'!FU:GV,11,FALSE)</f>
        <v>0</v>
      </c>
      <c r="N40" s="89">
        <f>VLOOKUP(C40,'Talente &amp; Stuff'!FU:GV,12,FALSE)</f>
        <v>0</v>
      </c>
      <c r="O40" s="47">
        <f>VLOOKUP(C40,'Talente &amp; Stuff'!FU:GV,13,FALSE)</f>
        <v>0</v>
      </c>
      <c r="P40" s="119">
        <f>VLOOKUP(C40,'Talente &amp; Stuff'!FU:GV,14,FALSE)</f>
        <v>0</v>
      </c>
      <c r="Q40" s="114">
        <f>VLOOKUP(C40,'Talente &amp; Stuff'!FU:GV,15,FALSE)</f>
        <v>0</v>
      </c>
      <c r="R40" s="113">
        <f>VLOOKUP(C40,'Talente &amp; Stuff'!FU:GV,16,FALSE)</f>
        <v>0</v>
      </c>
      <c r="S40" s="119">
        <f>VLOOKUP(C40,'Talente &amp; Stuff'!FU:GV,17,FALSE)</f>
        <v>0</v>
      </c>
      <c r="T40" s="160">
        <f>VLOOKUP(C40,'Talente &amp; Stuff'!FU:GV,18,FALSE)</f>
        <v>0</v>
      </c>
      <c r="U40" s="89">
        <f>VLOOKUP(C40,'Talente &amp; Stuff'!FU:GV,19,FALSE)</f>
        <v>0</v>
      </c>
      <c r="V40" s="47">
        <f>VLOOKUP(C40,'Talente &amp; Stuff'!FU:GV,20,FALSE)</f>
        <v>0</v>
      </c>
      <c r="W40" s="127">
        <f>VLOOKUP(C40,'Talente &amp; Stuff'!FU:GV,21,FALSE)</f>
        <v>0</v>
      </c>
      <c r="X40" s="125">
        <f>VLOOKUP(C40,'Talente &amp; Stuff'!FU:GV,22,FALSE)</f>
        <v>0</v>
      </c>
      <c r="Y40" s="165">
        <f t="shared" si="4"/>
        <v>0</v>
      </c>
      <c r="Z40" s="44">
        <f t="shared" si="5"/>
        <v>0</v>
      </c>
      <c r="AA40" s="125">
        <f>VLOOKUP(C40,'Talente &amp; Stuff'!FU:GV,25,FALSE)</f>
        <v>0</v>
      </c>
      <c r="AB40" s="160">
        <f>VLOOKUP(C40,'Talente &amp; Stuff'!FU:GV,26,FALSE)</f>
        <v>0</v>
      </c>
      <c r="AC40" s="127">
        <f>VLOOKUP(C40,'Talente &amp; Stuff'!FU:GV,27,FALSE)</f>
        <v>0</v>
      </c>
      <c r="AD40" s="125">
        <f>VLOOKUP(C40,'Talente &amp; Stuff'!FU:GV,28,FALSE)</f>
        <v>0</v>
      </c>
      <c r="AE40" s="28"/>
    </row>
    <row r="41" spans="2:31" ht="15" hidden="1" customHeight="1" outlineLevel="2">
      <c r="B41" s="148">
        <v>6</v>
      </c>
      <c r="C41" s="177" t="str">
        <f>Attribute!C41</f>
        <v>---</v>
      </c>
      <c r="D41" s="127" t="str">
        <f>VLOOKUP(C41,'Talente &amp; Stuff'!FU:GV,2,FALSE)</f>
        <v>--/--/--</v>
      </c>
      <c r="E41" s="125" t="str">
        <f>VLOOKUP(C41,'Talente &amp; Stuff'!FU:GV,3,FALSE)</f>
        <v>-</v>
      </c>
      <c r="F41" s="114">
        <f>VLOOKUP(C41,'Talente &amp; Stuff'!FU:GV,4,FALSE)</f>
        <v>0</v>
      </c>
      <c r="G41" s="113">
        <f>VLOOKUP(C41,'Talente &amp; Stuff'!FU:GV,5,FALSE)</f>
        <v>0</v>
      </c>
      <c r="H41" s="113">
        <f>VLOOKUP(C41,'Talente &amp; Stuff'!FU:GV,6,FALSE)</f>
        <v>0</v>
      </c>
      <c r="I41" s="113">
        <f>VLOOKUP(C41,'Talente &amp; Stuff'!FU:GV,7,FALSE)</f>
        <v>0</v>
      </c>
      <c r="J41" s="113">
        <f>VLOOKUP(C41,'Talente &amp; Stuff'!FU:GV,8,FALSE)</f>
        <v>0</v>
      </c>
      <c r="K41" s="113">
        <f>VLOOKUP(C41,'Talente &amp; Stuff'!FU:GV,9,FALSE)</f>
        <v>0</v>
      </c>
      <c r="L41" s="113">
        <f>VLOOKUP(C41,'Talente &amp; Stuff'!FU:GV,10,FALSE)</f>
        <v>0</v>
      </c>
      <c r="M41" s="119">
        <f>VLOOKUP(C41,'Talente &amp; Stuff'!FU:GV,11,FALSE)</f>
        <v>0</v>
      </c>
      <c r="N41" s="89">
        <f>VLOOKUP(C41,'Talente &amp; Stuff'!FU:GV,12,FALSE)</f>
        <v>0</v>
      </c>
      <c r="O41" s="47">
        <f>VLOOKUP(C41,'Talente &amp; Stuff'!FU:GV,13,FALSE)</f>
        <v>0</v>
      </c>
      <c r="P41" s="119">
        <f>VLOOKUP(C41,'Talente &amp; Stuff'!FU:GV,14,FALSE)</f>
        <v>0</v>
      </c>
      <c r="Q41" s="114">
        <f>VLOOKUP(C41,'Talente &amp; Stuff'!FU:GV,15,FALSE)</f>
        <v>0</v>
      </c>
      <c r="R41" s="113">
        <f>VLOOKUP(C41,'Talente &amp; Stuff'!FU:GV,16,FALSE)</f>
        <v>0</v>
      </c>
      <c r="S41" s="119">
        <f>VLOOKUP(C41,'Talente &amp; Stuff'!FU:GV,17,FALSE)</f>
        <v>0</v>
      </c>
      <c r="T41" s="160">
        <f>VLOOKUP(C41,'Talente &amp; Stuff'!FU:GV,18,FALSE)</f>
        <v>0</v>
      </c>
      <c r="U41" s="89">
        <f>VLOOKUP(C41,'Talente &amp; Stuff'!FU:GV,19,FALSE)</f>
        <v>0</v>
      </c>
      <c r="V41" s="47">
        <f>VLOOKUP(C41,'Talente &amp; Stuff'!FU:GV,20,FALSE)</f>
        <v>0</v>
      </c>
      <c r="W41" s="127">
        <f>VLOOKUP(C41,'Talente &amp; Stuff'!FU:GV,21,FALSE)</f>
        <v>0</v>
      </c>
      <c r="X41" s="125">
        <f>VLOOKUP(C41,'Talente &amp; Stuff'!FU:GV,22,FALSE)</f>
        <v>0</v>
      </c>
      <c r="Y41" s="165">
        <f t="shared" si="4"/>
        <v>0</v>
      </c>
      <c r="Z41" s="44">
        <f t="shared" si="5"/>
        <v>0</v>
      </c>
      <c r="AA41" s="125">
        <f>VLOOKUP(C41,'Talente &amp; Stuff'!FU:GV,25,FALSE)</f>
        <v>0</v>
      </c>
      <c r="AB41" s="160">
        <f>VLOOKUP(C41,'Talente &amp; Stuff'!FU:GV,26,FALSE)</f>
        <v>0</v>
      </c>
      <c r="AC41" s="127">
        <f>VLOOKUP(C41,'Talente &amp; Stuff'!FU:GV,27,FALSE)</f>
        <v>0</v>
      </c>
      <c r="AD41" s="125">
        <f>VLOOKUP(C41,'Talente &amp; Stuff'!FU:GV,28,FALSE)</f>
        <v>0</v>
      </c>
      <c r="AE41" s="28"/>
    </row>
    <row r="42" spans="2:31" ht="15" hidden="1" customHeight="1" outlineLevel="2">
      <c r="B42" s="148">
        <v>7</v>
      </c>
      <c r="C42" s="178" t="str">
        <f>Attribute!C42</f>
        <v>---</v>
      </c>
      <c r="D42" s="128" t="str">
        <f>VLOOKUP(C42,'Talente &amp; Stuff'!FU:GV,2,FALSE)</f>
        <v>--/--/--</v>
      </c>
      <c r="E42" s="159" t="str">
        <f>VLOOKUP(C42,'Talente &amp; Stuff'!FU:GV,3,FALSE)</f>
        <v>-</v>
      </c>
      <c r="F42" s="115">
        <f>VLOOKUP(C42,'Talente &amp; Stuff'!FU:GV,4,FALSE)</f>
        <v>0</v>
      </c>
      <c r="G42" s="122">
        <f>VLOOKUP(C42,'Talente &amp; Stuff'!FU:GV,5,FALSE)</f>
        <v>0</v>
      </c>
      <c r="H42" s="122">
        <f>VLOOKUP(C42,'Talente &amp; Stuff'!FU:GV,6,FALSE)</f>
        <v>0</v>
      </c>
      <c r="I42" s="122">
        <f>VLOOKUP(C42,'Talente &amp; Stuff'!FU:GV,7,FALSE)</f>
        <v>0</v>
      </c>
      <c r="J42" s="122">
        <f>VLOOKUP(C42,'Talente &amp; Stuff'!FU:GV,8,FALSE)</f>
        <v>0</v>
      </c>
      <c r="K42" s="122">
        <f>VLOOKUP(C42,'Talente &amp; Stuff'!FU:GV,9,FALSE)</f>
        <v>0</v>
      </c>
      <c r="L42" s="122">
        <f>VLOOKUP(C42,'Talente &amp; Stuff'!FU:GV,10,FALSE)</f>
        <v>0</v>
      </c>
      <c r="M42" s="123">
        <f>VLOOKUP(C42,'Talente &amp; Stuff'!FU:GV,11,FALSE)</f>
        <v>0</v>
      </c>
      <c r="N42" s="90">
        <f>VLOOKUP(C42,'Talente &amp; Stuff'!FU:GV,12,FALSE)</f>
        <v>0</v>
      </c>
      <c r="O42" s="88">
        <f>VLOOKUP(C42,'Talente &amp; Stuff'!FU:GV,13,FALSE)</f>
        <v>0</v>
      </c>
      <c r="P42" s="123">
        <f>VLOOKUP(C42,'Talente &amp; Stuff'!FU:GV,14,FALSE)</f>
        <v>0</v>
      </c>
      <c r="Q42" s="115">
        <f>VLOOKUP(C42,'Talente &amp; Stuff'!FU:GV,15,FALSE)</f>
        <v>0</v>
      </c>
      <c r="R42" s="122">
        <f>VLOOKUP(C42,'Talente &amp; Stuff'!FU:GV,16,FALSE)</f>
        <v>0</v>
      </c>
      <c r="S42" s="123">
        <f>VLOOKUP(C42,'Talente &amp; Stuff'!FU:GV,17,FALSE)</f>
        <v>0</v>
      </c>
      <c r="T42" s="161">
        <f>VLOOKUP(C42,'Talente &amp; Stuff'!FU:GV,18,FALSE)</f>
        <v>0</v>
      </c>
      <c r="U42" s="90">
        <f>VLOOKUP(C42,'Talente &amp; Stuff'!FU:GV,19,FALSE)</f>
        <v>0</v>
      </c>
      <c r="V42" s="88">
        <f>VLOOKUP(C42,'Talente &amp; Stuff'!FU:GV,20,FALSE)</f>
        <v>0</v>
      </c>
      <c r="W42" s="128">
        <f>VLOOKUP(C42,'Talente &amp; Stuff'!FU:GV,21,FALSE)</f>
        <v>0</v>
      </c>
      <c r="X42" s="159">
        <f>VLOOKUP(C42,'Talente &amp; Stuff'!FU:GV,22,FALSE)</f>
        <v>0</v>
      </c>
      <c r="Y42" s="165">
        <f t="shared" si="4"/>
        <v>0</v>
      </c>
      <c r="Z42" s="44">
        <f t="shared" si="5"/>
        <v>0</v>
      </c>
      <c r="AA42" s="159">
        <f>VLOOKUP(C42,'Talente &amp; Stuff'!FU:GV,25,FALSE)</f>
        <v>0</v>
      </c>
      <c r="AB42" s="161">
        <f>VLOOKUP(C42,'Talente &amp; Stuff'!FU:GV,26,FALSE)</f>
        <v>0</v>
      </c>
      <c r="AC42" s="128">
        <f>VLOOKUP(C42,'Talente &amp; Stuff'!FU:GV,27,FALSE)</f>
        <v>0</v>
      </c>
      <c r="AD42" s="159">
        <f>VLOOKUP(C42,'Talente &amp; Stuff'!FU:GV,28,FALSE)</f>
        <v>0</v>
      </c>
      <c r="AE42" s="28"/>
    </row>
    <row r="43" spans="2:31" ht="15" hidden="1" customHeight="1" outlineLevel="1" collapsed="1">
      <c r="B43" s="134" t="s">
        <v>70</v>
      </c>
      <c r="C43" s="83"/>
      <c r="D43" s="84"/>
      <c r="E43" s="84"/>
      <c r="F43" s="30"/>
      <c r="G43" s="30"/>
      <c r="H43" s="30"/>
      <c r="I43" s="30"/>
      <c r="J43" s="30"/>
      <c r="K43" s="30"/>
      <c r="L43" s="30"/>
      <c r="M43" s="30"/>
      <c r="N43" s="31"/>
      <c r="O43" s="31"/>
      <c r="P43" s="30"/>
      <c r="Q43" s="30"/>
      <c r="R43" s="30"/>
      <c r="S43" s="30"/>
      <c r="T43" s="30"/>
      <c r="U43" s="31"/>
      <c r="V43" s="31"/>
      <c r="W43" s="31"/>
      <c r="X43" s="31"/>
      <c r="Y43" s="65"/>
    </row>
    <row r="44" spans="2:31" ht="15" hidden="1" customHeight="1" outlineLevel="2">
      <c r="B44" s="148">
        <v>1</v>
      </c>
      <c r="C44" s="176" t="str">
        <f>Attribute!C44</f>
        <v>---</v>
      </c>
      <c r="D44" s="126" t="str">
        <f>VLOOKUP(C44,'Talente &amp; Stuff'!FU:GV,2,FALSE)</f>
        <v>--/--/--</v>
      </c>
      <c r="E44" s="158" t="str">
        <f>VLOOKUP(C44,'Talente &amp; Stuff'!FU:GV,3,FALSE)</f>
        <v>-</v>
      </c>
      <c r="F44" s="191">
        <f>VLOOKUP(C44,'Talente &amp; Stuff'!FU:GV,4,FALSE)</f>
        <v>0</v>
      </c>
      <c r="G44" s="118">
        <f>VLOOKUP(C44,'Talente &amp; Stuff'!FU:GV,5,FALSE)</f>
        <v>0</v>
      </c>
      <c r="H44" s="118">
        <f>VLOOKUP(C44,'Talente &amp; Stuff'!FU:GV,6,FALSE)</f>
        <v>0</v>
      </c>
      <c r="I44" s="118">
        <f>VLOOKUP(C44,'Talente &amp; Stuff'!FU:GV,7,FALSE)</f>
        <v>0</v>
      </c>
      <c r="J44" s="118">
        <f>VLOOKUP(C44,'Talente &amp; Stuff'!FU:GV,8,FALSE)</f>
        <v>0</v>
      </c>
      <c r="K44" s="118">
        <f>VLOOKUP(C44,'Talente &amp; Stuff'!FU:GV,9,FALSE)</f>
        <v>0</v>
      </c>
      <c r="L44" s="118">
        <f>VLOOKUP(C44,'Talente &amp; Stuff'!FU:GV,10,FALSE)</f>
        <v>0</v>
      </c>
      <c r="M44" s="92">
        <f>VLOOKUP(C44,'Talente &amp; Stuff'!FU:GV,11,FALSE)</f>
        <v>0</v>
      </c>
      <c r="N44" s="193">
        <f>VLOOKUP(C44,'Talente &amp; Stuff'!FU:GV,12,FALSE)</f>
        <v>0</v>
      </c>
      <c r="O44" s="116">
        <f>VLOOKUP(C44,'Talente &amp; Stuff'!FU:GV,13,FALSE)</f>
        <v>0</v>
      </c>
      <c r="P44" s="92">
        <f>VLOOKUP(C44,'Talente &amp; Stuff'!FU:GV,14,FALSE)</f>
        <v>0</v>
      </c>
      <c r="Q44" s="191">
        <f>VLOOKUP(C44,'Talente &amp; Stuff'!FU:GV,15,FALSE)</f>
        <v>0</v>
      </c>
      <c r="R44" s="118">
        <f>VLOOKUP(C44,'Talente &amp; Stuff'!FU:GV,16,FALSE)</f>
        <v>0</v>
      </c>
      <c r="S44" s="92">
        <f>VLOOKUP(C44,'Talente &amp; Stuff'!FU:GV,17,FALSE)</f>
        <v>0</v>
      </c>
      <c r="T44" s="91">
        <f>VLOOKUP(C44,'Talente &amp; Stuff'!FU:GV,18,FALSE)</f>
        <v>0</v>
      </c>
      <c r="U44" s="193">
        <f>VLOOKUP(C44,'Talente &amp; Stuff'!FU:GV,19,FALSE)</f>
        <v>0</v>
      </c>
      <c r="V44" s="116">
        <f>VLOOKUP(C44,'Talente &amp; Stuff'!FU:GV,20,FALSE)</f>
        <v>0</v>
      </c>
      <c r="W44" s="126">
        <f>VLOOKUP(C44,'Talente &amp; Stuff'!FU:GV,21,FALSE)</f>
        <v>0</v>
      </c>
      <c r="X44" s="158">
        <f>VLOOKUP(C44,'Talente &amp; Stuff'!FU:GV,22,FALSE)</f>
        <v>0</v>
      </c>
      <c r="Y44" s="165">
        <f t="shared" ref="Y44:Y55" si="6">VLOOKUP(C44,Ausgewählte_Talente_Wissenstalente,197,FALSE)</f>
        <v>0</v>
      </c>
      <c r="Z44" s="44">
        <f t="shared" ref="Z44:Z55" si="7">VLOOKUP(C44,Ausgewählte_Talente_Wissenstalente,198,FALSE)</f>
        <v>0</v>
      </c>
      <c r="AA44" s="158">
        <f>VLOOKUP(C44,'Talente &amp; Stuff'!FU:GV,25,FALSE)</f>
        <v>0</v>
      </c>
      <c r="AB44" s="91">
        <f>VLOOKUP(C44,'Talente &amp; Stuff'!FU:GV,26,FALSE)</f>
        <v>0</v>
      </c>
      <c r="AC44" s="126">
        <f>VLOOKUP(C44,'Talente &amp; Stuff'!FU:GV,27,FALSE)</f>
        <v>0</v>
      </c>
      <c r="AD44" s="158">
        <f>VLOOKUP(C44,'Talente &amp; Stuff'!FU:GV,28,FALSE)</f>
        <v>0</v>
      </c>
      <c r="AE44" s="28"/>
    </row>
    <row r="45" spans="2:31" ht="15" hidden="1" customHeight="1" outlineLevel="2">
      <c r="B45" s="148">
        <v>2</v>
      </c>
      <c r="C45" s="177" t="str">
        <f>Attribute!C45</f>
        <v>---</v>
      </c>
      <c r="D45" s="127" t="str">
        <f>VLOOKUP(C45,'Talente &amp; Stuff'!FU:GV,2,FALSE)</f>
        <v>--/--/--</v>
      </c>
      <c r="E45" s="125" t="str">
        <f>VLOOKUP(C45,'Talente &amp; Stuff'!FU:GV,3,FALSE)</f>
        <v>-</v>
      </c>
      <c r="F45" s="114">
        <f>VLOOKUP(C45,'Talente &amp; Stuff'!FU:GV,4,FALSE)</f>
        <v>0</v>
      </c>
      <c r="G45" s="113">
        <f>VLOOKUP(C45,'Talente &amp; Stuff'!FU:GV,5,FALSE)</f>
        <v>0</v>
      </c>
      <c r="H45" s="113">
        <f>VLOOKUP(C45,'Talente &amp; Stuff'!FU:GV,6,FALSE)</f>
        <v>0</v>
      </c>
      <c r="I45" s="113">
        <f>VLOOKUP(C45,'Talente &amp; Stuff'!FU:GV,7,FALSE)</f>
        <v>0</v>
      </c>
      <c r="J45" s="113">
        <f>VLOOKUP(C45,'Talente &amp; Stuff'!FU:GV,8,FALSE)</f>
        <v>0</v>
      </c>
      <c r="K45" s="113">
        <f>VLOOKUP(C45,'Talente &amp; Stuff'!FU:GV,9,FALSE)</f>
        <v>0</v>
      </c>
      <c r="L45" s="113">
        <f>VLOOKUP(C45,'Talente &amp; Stuff'!FU:GV,10,FALSE)</f>
        <v>0</v>
      </c>
      <c r="M45" s="119">
        <f>VLOOKUP(C45,'Talente &amp; Stuff'!FU:GV,11,FALSE)</f>
        <v>0</v>
      </c>
      <c r="N45" s="89">
        <f>VLOOKUP(C45,'Talente &amp; Stuff'!FU:GV,12,FALSE)</f>
        <v>0</v>
      </c>
      <c r="O45" s="47">
        <f>VLOOKUP(C45,'Talente &amp; Stuff'!FU:GV,13,FALSE)</f>
        <v>0</v>
      </c>
      <c r="P45" s="119">
        <f>VLOOKUP(C45,'Talente &amp; Stuff'!FU:GV,14,FALSE)</f>
        <v>0</v>
      </c>
      <c r="Q45" s="114">
        <f>VLOOKUP(C45,'Talente &amp; Stuff'!FU:GV,15,FALSE)</f>
        <v>0</v>
      </c>
      <c r="R45" s="113">
        <f>VLOOKUP(C45,'Talente &amp; Stuff'!FU:GV,16,FALSE)</f>
        <v>0</v>
      </c>
      <c r="S45" s="119">
        <f>VLOOKUP(C45,'Talente &amp; Stuff'!FU:GV,17,FALSE)</f>
        <v>0</v>
      </c>
      <c r="T45" s="160">
        <f>VLOOKUP(C45,'Talente &amp; Stuff'!FU:GV,18,FALSE)</f>
        <v>0</v>
      </c>
      <c r="U45" s="89">
        <f>VLOOKUP(C45,'Talente &amp; Stuff'!FU:GV,19,FALSE)</f>
        <v>0</v>
      </c>
      <c r="V45" s="47">
        <f>VLOOKUP(C45,'Talente &amp; Stuff'!FU:GV,20,FALSE)</f>
        <v>0</v>
      </c>
      <c r="W45" s="127">
        <f>VLOOKUP(C45,'Talente &amp; Stuff'!FU:GV,21,FALSE)</f>
        <v>0</v>
      </c>
      <c r="X45" s="125">
        <f>VLOOKUP(C45,'Talente &amp; Stuff'!FU:GV,22,FALSE)</f>
        <v>0</v>
      </c>
      <c r="Y45" s="165">
        <f t="shared" si="6"/>
        <v>0</v>
      </c>
      <c r="Z45" s="44">
        <f t="shared" si="7"/>
        <v>0</v>
      </c>
      <c r="AA45" s="125">
        <f>VLOOKUP(C45,'Talente &amp; Stuff'!FU:GV,25,FALSE)</f>
        <v>0</v>
      </c>
      <c r="AB45" s="160">
        <f>VLOOKUP(C45,'Talente &amp; Stuff'!FU:GV,26,FALSE)</f>
        <v>0</v>
      </c>
      <c r="AC45" s="127">
        <f>VLOOKUP(C45,'Talente &amp; Stuff'!FU:GV,27,FALSE)</f>
        <v>0</v>
      </c>
      <c r="AD45" s="125">
        <f>VLOOKUP(C45,'Talente &amp; Stuff'!FU:GV,28,FALSE)</f>
        <v>0</v>
      </c>
      <c r="AE45" s="28"/>
    </row>
    <row r="46" spans="2:31" ht="15" hidden="1" customHeight="1" outlineLevel="2">
      <c r="B46" s="148">
        <v>3</v>
      </c>
      <c r="C46" s="177" t="str">
        <f>Attribute!C46</f>
        <v>---</v>
      </c>
      <c r="D46" s="127" t="str">
        <f>VLOOKUP(C46,'Talente &amp; Stuff'!FU:GV,2,FALSE)</f>
        <v>--/--/--</v>
      </c>
      <c r="E46" s="125" t="str">
        <f>VLOOKUP(C46,'Talente &amp; Stuff'!FU:GV,3,FALSE)</f>
        <v>-</v>
      </c>
      <c r="F46" s="114">
        <f>VLOOKUP(C46,'Talente &amp; Stuff'!FU:GV,4,FALSE)</f>
        <v>0</v>
      </c>
      <c r="G46" s="113">
        <f>VLOOKUP(C46,'Talente &amp; Stuff'!FU:GV,5,FALSE)</f>
        <v>0</v>
      </c>
      <c r="H46" s="113">
        <f>VLOOKUP(C46,'Talente &amp; Stuff'!FU:GV,6,FALSE)</f>
        <v>0</v>
      </c>
      <c r="I46" s="113">
        <f>VLOOKUP(C46,'Talente &amp; Stuff'!FU:GV,7,FALSE)</f>
        <v>0</v>
      </c>
      <c r="J46" s="113">
        <f>VLOOKUP(C46,'Talente &amp; Stuff'!FU:GV,8,FALSE)</f>
        <v>0</v>
      </c>
      <c r="K46" s="113">
        <f>VLOOKUP(C46,'Talente &amp; Stuff'!FU:GV,9,FALSE)</f>
        <v>0</v>
      </c>
      <c r="L46" s="113">
        <f>VLOOKUP(C46,'Talente &amp; Stuff'!FU:GV,10,FALSE)</f>
        <v>0</v>
      </c>
      <c r="M46" s="119">
        <f>VLOOKUP(C46,'Talente &amp; Stuff'!FU:GV,11,FALSE)</f>
        <v>0</v>
      </c>
      <c r="N46" s="89">
        <f>VLOOKUP(C46,'Talente &amp; Stuff'!FU:GV,12,FALSE)</f>
        <v>0</v>
      </c>
      <c r="O46" s="47">
        <f>VLOOKUP(C46,'Talente &amp; Stuff'!FU:GV,13,FALSE)</f>
        <v>0</v>
      </c>
      <c r="P46" s="119">
        <f>VLOOKUP(C46,'Talente &amp; Stuff'!FU:GV,14,FALSE)</f>
        <v>0</v>
      </c>
      <c r="Q46" s="114">
        <f>VLOOKUP(C46,'Talente &amp; Stuff'!FU:GV,15,FALSE)</f>
        <v>0</v>
      </c>
      <c r="R46" s="113">
        <f>VLOOKUP(C46,'Talente &amp; Stuff'!FU:GV,16,FALSE)</f>
        <v>0</v>
      </c>
      <c r="S46" s="119">
        <f>VLOOKUP(C46,'Talente &amp; Stuff'!FU:GV,17,FALSE)</f>
        <v>0</v>
      </c>
      <c r="T46" s="160">
        <f>VLOOKUP(C46,'Talente &amp; Stuff'!FU:GV,18,FALSE)</f>
        <v>0</v>
      </c>
      <c r="U46" s="89">
        <f>VLOOKUP(C46,'Talente &amp; Stuff'!FU:GV,19,FALSE)</f>
        <v>0</v>
      </c>
      <c r="V46" s="47">
        <f>VLOOKUP(C46,'Talente &amp; Stuff'!FU:GV,20,FALSE)</f>
        <v>0</v>
      </c>
      <c r="W46" s="127">
        <f>VLOOKUP(C46,'Talente &amp; Stuff'!FU:GV,21,FALSE)</f>
        <v>0</v>
      </c>
      <c r="X46" s="125">
        <f>VLOOKUP(C46,'Talente &amp; Stuff'!FU:GV,22,FALSE)</f>
        <v>0</v>
      </c>
      <c r="Y46" s="165">
        <f t="shared" si="6"/>
        <v>0</v>
      </c>
      <c r="Z46" s="44">
        <f t="shared" si="7"/>
        <v>0</v>
      </c>
      <c r="AA46" s="125">
        <f>VLOOKUP(C46,'Talente &amp; Stuff'!FU:GV,25,FALSE)</f>
        <v>0</v>
      </c>
      <c r="AB46" s="160">
        <f>VLOOKUP(C46,'Talente &amp; Stuff'!FU:GV,26,FALSE)</f>
        <v>0</v>
      </c>
      <c r="AC46" s="127">
        <f>VLOOKUP(C46,'Talente &amp; Stuff'!FU:GV,27,FALSE)</f>
        <v>0</v>
      </c>
      <c r="AD46" s="125">
        <f>VLOOKUP(C46,'Talente &amp; Stuff'!FU:GV,28,FALSE)</f>
        <v>0</v>
      </c>
      <c r="AE46" s="28"/>
    </row>
    <row r="47" spans="2:31" ht="15" hidden="1" customHeight="1" outlineLevel="2">
      <c r="B47" s="148">
        <v>4</v>
      </c>
      <c r="C47" s="177" t="str">
        <f>Attribute!C47</f>
        <v>---</v>
      </c>
      <c r="D47" s="127" t="str">
        <f>VLOOKUP(C47,'Talente &amp; Stuff'!FU:GV,2,FALSE)</f>
        <v>--/--/--</v>
      </c>
      <c r="E47" s="125" t="str">
        <f>VLOOKUP(C47,'Talente &amp; Stuff'!FU:GV,3,FALSE)</f>
        <v>-</v>
      </c>
      <c r="F47" s="114">
        <f>VLOOKUP(C47,'Talente &amp; Stuff'!FU:GV,4,FALSE)</f>
        <v>0</v>
      </c>
      <c r="G47" s="113">
        <f>VLOOKUP(C47,'Talente &amp; Stuff'!FU:GV,5,FALSE)</f>
        <v>0</v>
      </c>
      <c r="H47" s="113">
        <f>VLOOKUP(C47,'Talente &amp; Stuff'!FU:GV,6,FALSE)</f>
        <v>0</v>
      </c>
      <c r="I47" s="113">
        <f>VLOOKUP(C47,'Talente &amp; Stuff'!FU:GV,7,FALSE)</f>
        <v>0</v>
      </c>
      <c r="J47" s="113">
        <f>VLOOKUP(C47,'Talente &amp; Stuff'!FU:GV,8,FALSE)</f>
        <v>0</v>
      </c>
      <c r="K47" s="113">
        <f>VLOOKUP(C47,'Talente &amp; Stuff'!FU:GV,9,FALSE)</f>
        <v>0</v>
      </c>
      <c r="L47" s="113">
        <f>VLOOKUP(C47,'Talente &amp; Stuff'!FU:GV,10,FALSE)</f>
        <v>0</v>
      </c>
      <c r="M47" s="119">
        <f>VLOOKUP(C47,'Talente &amp; Stuff'!FU:GV,11,FALSE)</f>
        <v>0</v>
      </c>
      <c r="N47" s="89">
        <f>VLOOKUP(C47,'Talente &amp; Stuff'!FU:GV,12,FALSE)</f>
        <v>0</v>
      </c>
      <c r="O47" s="47">
        <f>VLOOKUP(C47,'Talente &amp; Stuff'!FU:GV,13,FALSE)</f>
        <v>0</v>
      </c>
      <c r="P47" s="119">
        <f>VLOOKUP(C47,'Talente &amp; Stuff'!FU:GV,14,FALSE)</f>
        <v>0</v>
      </c>
      <c r="Q47" s="114">
        <f>VLOOKUP(C47,'Talente &amp; Stuff'!FU:GV,15,FALSE)</f>
        <v>0</v>
      </c>
      <c r="R47" s="113">
        <f>VLOOKUP(C47,'Talente &amp; Stuff'!FU:GV,16,FALSE)</f>
        <v>0</v>
      </c>
      <c r="S47" s="119">
        <f>VLOOKUP(C47,'Talente &amp; Stuff'!FU:GV,17,FALSE)</f>
        <v>0</v>
      </c>
      <c r="T47" s="160">
        <f>VLOOKUP(C47,'Talente &amp; Stuff'!FU:GV,18,FALSE)</f>
        <v>0</v>
      </c>
      <c r="U47" s="89">
        <f>VLOOKUP(C47,'Talente &amp; Stuff'!FU:GV,19,FALSE)</f>
        <v>0</v>
      </c>
      <c r="V47" s="47">
        <f>VLOOKUP(C47,'Talente &amp; Stuff'!FU:GV,20,FALSE)</f>
        <v>0</v>
      </c>
      <c r="W47" s="127">
        <f>VLOOKUP(C47,'Talente &amp; Stuff'!FU:GV,21,FALSE)</f>
        <v>0</v>
      </c>
      <c r="X47" s="125">
        <f>VLOOKUP(C47,'Talente &amp; Stuff'!FU:GV,22,FALSE)</f>
        <v>0</v>
      </c>
      <c r="Y47" s="165">
        <f t="shared" si="6"/>
        <v>0</v>
      </c>
      <c r="Z47" s="44">
        <f t="shared" si="7"/>
        <v>0</v>
      </c>
      <c r="AA47" s="125">
        <f>VLOOKUP(C47,'Talente &amp; Stuff'!FU:GV,25,FALSE)</f>
        <v>0</v>
      </c>
      <c r="AB47" s="160">
        <f>VLOOKUP(C47,'Talente &amp; Stuff'!FU:GV,26,FALSE)</f>
        <v>0</v>
      </c>
      <c r="AC47" s="127">
        <f>VLOOKUP(C47,'Talente &amp; Stuff'!FU:GV,27,FALSE)</f>
        <v>0</v>
      </c>
      <c r="AD47" s="125">
        <f>VLOOKUP(C47,'Talente &amp; Stuff'!FU:GV,28,FALSE)</f>
        <v>0</v>
      </c>
      <c r="AE47" s="28"/>
    </row>
    <row r="48" spans="2:31" ht="15" hidden="1" customHeight="1" outlineLevel="2">
      <c r="B48" s="148">
        <v>5</v>
      </c>
      <c r="C48" s="177" t="str">
        <f>Attribute!C48</f>
        <v>---</v>
      </c>
      <c r="D48" s="127" t="str">
        <f>VLOOKUP(C48,'Talente &amp; Stuff'!FU:GV,2,FALSE)</f>
        <v>--/--/--</v>
      </c>
      <c r="E48" s="125" t="str">
        <f>VLOOKUP(C48,'Talente &amp; Stuff'!FU:GV,3,FALSE)</f>
        <v>-</v>
      </c>
      <c r="F48" s="114">
        <f>VLOOKUP(C48,'Talente &amp; Stuff'!FU:GV,4,FALSE)</f>
        <v>0</v>
      </c>
      <c r="G48" s="113">
        <f>VLOOKUP(C48,'Talente &amp; Stuff'!FU:GV,5,FALSE)</f>
        <v>0</v>
      </c>
      <c r="H48" s="113">
        <f>VLOOKUP(C48,'Talente &amp; Stuff'!FU:GV,6,FALSE)</f>
        <v>0</v>
      </c>
      <c r="I48" s="113">
        <f>VLOOKUP(C48,'Talente &amp; Stuff'!FU:GV,7,FALSE)</f>
        <v>0</v>
      </c>
      <c r="J48" s="113">
        <f>VLOOKUP(C48,'Talente &amp; Stuff'!FU:GV,8,FALSE)</f>
        <v>0</v>
      </c>
      <c r="K48" s="113">
        <f>VLOOKUP(C48,'Talente &amp; Stuff'!FU:GV,9,FALSE)</f>
        <v>0</v>
      </c>
      <c r="L48" s="113">
        <f>VLOOKUP(C48,'Talente &amp; Stuff'!FU:GV,10,FALSE)</f>
        <v>0</v>
      </c>
      <c r="M48" s="119">
        <f>VLOOKUP(C48,'Talente &amp; Stuff'!FU:GV,11,FALSE)</f>
        <v>0</v>
      </c>
      <c r="N48" s="89">
        <f>VLOOKUP(C48,'Talente &amp; Stuff'!FU:GV,12,FALSE)</f>
        <v>0</v>
      </c>
      <c r="O48" s="47">
        <f>VLOOKUP(C48,'Talente &amp; Stuff'!FU:GV,13,FALSE)</f>
        <v>0</v>
      </c>
      <c r="P48" s="119">
        <f>VLOOKUP(C48,'Talente &amp; Stuff'!FU:GV,14,FALSE)</f>
        <v>0</v>
      </c>
      <c r="Q48" s="114">
        <f>VLOOKUP(C48,'Talente &amp; Stuff'!FU:GV,15,FALSE)</f>
        <v>0</v>
      </c>
      <c r="R48" s="113">
        <f>VLOOKUP(C48,'Talente &amp; Stuff'!FU:GV,16,FALSE)</f>
        <v>0</v>
      </c>
      <c r="S48" s="119">
        <f>VLOOKUP(C48,'Talente &amp; Stuff'!FU:GV,17,FALSE)</f>
        <v>0</v>
      </c>
      <c r="T48" s="160">
        <f>VLOOKUP(C48,'Talente &amp; Stuff'!FU:GV,18,FALSE)</f>
        <v>0</v>
      </c>
      <c r="U48" s="89">
        <f>VLOOKUP(C48,'Talente &amp; Stuff'!FU:GV,19,FALSE)</f>
        <v>0</v>
      </c>
      <c r="V48" s="47">
        <f>VLOOKUP(C48,'Talente &amp; Stuff'!FU:GV,20,FALSE)</f>
        <v>0</v>
      </c>
      <c r="W48" s="127">
        <f>VLOOKUP(C48,'Talente &amp; Stuff'!FU:GV,21,FALSE)</f>
        <v>0</v>
      </c>
      <c r="X48" s="125">
        <f>VLOOKUP(C48,'Talente &amp; Stuff'!FU:GV,22,FALSE)</f>
        <v>0</v>
      </c>
      <c r="Y48" s="165">
        <f t="shared" si="6"/>
        <v>0</v>
      </c>
      <c r="Z48" s="44">
        <f t="shared" si="7"/>
        <v>0</v>
      </c>
      <c r="AA48" s="125">
        <f>VLOOKUP(C48,'Talente &amp; Stuff'!FU:GV,25,FALSE)</f>
        <v>0</v>
      </c>
      <c r="AB48" s="160">
        <f>VLOOKUP(C48,'Talente &amp; Stuff'!FU:GV,26,FALSE)</f>
        <v>0</v>
      </c>
      <c r="AC48" s="127">
        <f>VLOOKUP(C48,'Talente &amp; Stuff'!FU:GV,27,FALSE)</f>
        <v>0</v>
      </c>
      <c r="AD48" s="125">
        <f>VLOOKUP(C48,'Talente &amp; Stuff'!FU:GV,28,FALSE)</f>
        <v>0</v>
      </c>
      <c r="AE48" s="28"/>
    </row>
    <row r="49" spans="2:31" ht="15" hidden="1" customHeight="1" outlineLevel="2">
      <c r="B49" s="148">
        <v>6</v>
      </c>
      <c r="C49" s="177" t="str">
        <f>Attribute!C49</f>
        <v>---</v>
      </c>
      <c r="D49" s="127" t="str">
        <f>VLOOKUP(C49,'Talente &amp; Stuff'!FU:GV,2,FALSE)</f>
        <v>--/--/--</v>
      </c>
      <c r="E49" s="125" t="str">
        <f>VLOOKUP(C49,'Talente &amp; Stuff'!FU:GV,3,FALSE)</f>
        <v>-</v>
      </c>
      <c r="F49" s="114">
        <f>VLOOKUP(C49,'Talente &amp; Stuff'!FU:GV,4,FALSE)</f>
        <v>0</v>
      </c>
      <c r="G49" s="113">
        <f>VLOOKUP(C49,'Talente &amp; Stuff'!FU:GV,5,FALSE)</f>
        <v>0</v>
      </c>
      <c r="H49" s="113">
        <f>VLOOKUP(C49,'Talente &amp; Stuff'!FU:GV,6,FALSE)</f>
        <v>0</v>
      </c>
      <c r="I49" s="113">
        <f>VLOOKUP(C49,'Talente &amp; Stuff'!FU:GV,7,FALSE)</f>
        <v>0</v>
      </c>
      <c r="J49" s="113">
        <f>VLOOKUP(C49,'Talente &amp; Stuff'!FU:GV,8,FALSE)</f>
        <v>0</v>
      </c>
      <c r="K49" s="113">
        <f>VLOOKUP(C49,'Talente &amp; Stuff'!FU:GV,9,FALSE)</f>
        <v>0</v>
      </c>
      <c r="L49" s="113">
        <f>VLOOKUP(C49,'Talente &amp; Stuff'!FU:GV,10,FALSE)</f>
        <v>0</v>
      </c>
      <c r="M49" s="119">
        <f>VLOOKUP(C49,'Talente &amp; Stuff'!FU:GV,11,FALSE)</f>
        <v>0</v>
      </c>
      <c r="N49" s="89">
        <f>VLOOKUP(C49,'Talente &amp; Stuff'!FU:GV,12,FALSE)</f>
        <v>0</v>
      </c>
      <c r="O49" s="47">
        <f>VLOOKUP(C49,'Talente &amp; Stuff'!FU:GV,13,FALSE)</f>
        <v>0</v>
      </c>
      <c r="P49" s="119">
        <f>VLOOKUP(C49,'Talente &amp; Stuff'!FU:GV,14,FALSE)</f>
        <v>0</v>
      </c>
      <c r="Q49" s="114">
        <f>VLOOKUP(C49,'Talente &amp; Stuff'!FU:GV,15,FALSE)</f>
        <v>0</v>
      </c>
      <c r="R49" s="113">
        <f>VLOOKUP(C49,'Talente &amp; Stuff'!FU:GV,16,FALSE)</f>
        <v>0</v>
      </c>
      <c r="S49" s="119">
        <f>VLOOKUP(C49,'Talente &amp; Stuff'!FU:GV,17,FALSE)</f>
        <v>0</v>
      </c>
      <c r="T49" s="160">
        <f>VLOOKUP(C49,'Talente &amp; Stuff'!FU:GV,18,FALSE)</f>
        <v>0</v>
      </c>
      <c r="U49" s="89">
        <f>VLOOKUP(C49,'Talente &amp; Stuff'!FU:GV,19,FALSE)</f>
        <v>0</v>
      </c>
      <c r="V49" s="47">
        <f>VLOOKUP(C49,'Talente &amp; Stuff'!FU:GV,20,FALSE)</f>
        <v>0</v>
      </c>
      <c r="W49" s="127">
        <f>VLOOKUP(C49,'Talente &amp; Stuff'!FU:GV,21,FALSE)</f>
        <v>0</v>
      </c>
      <c r="X49" s="125">
        <f>VLOOKUP(C49,'Talente &amp; Stuff'!FU:GV,22,FALSE)</f>
        <v>0</v>
      </c>
      <c r="Y49" s="165">
        <f t="shared" si="6"/>
        <v>0</v>
      </c>
      <c r="Z49" s="44">
        <f t="shared" si="7"/>
        <v>0</v>
      </c>
      <c r="AA49" s="125">
        <f>VLOOKUP(C49,'Talente &amp; Stuff'!FU:GV,25,FALSE)</f>
        <v>0</v>
      </c>
      <c r="AB49" s="160">
        <f>VLOOKUP(C49,'Talente &amp; Stuff'!FU:GV,26,FALSE)</f>
        <v>0</v>
      </c>
      <c r="AC49" s="127">
        <f>VLOOKUP(C49,'Talente &amp; Stuff'!FU:GV,27,FALSE)</f>
        <v>0</v>
      </c>
      <c r="AD49" s="125">
        <f>VLOOKUP(C49,'Talente &amp; Stuff'!FU:GV,28,FALSE)</f>
        <v>0</v>
      </c>
      <c r="AE49" s="28"/>
    </row>
    <row r="50" spans="2:31" ht="15" hidden="1" customHeight="1" outlineLevel="2">
      <c r="B50" s="148">
        <v>7</v>
      </c>
      <c r="C50" s="177" t="str">
        <f>Attribute!C50</f>
        <v>---</v>
      </c>
      <c r="D50" s="127" t="str">
        <f>VLOOKUP(C50,'Talente &amp; Stuff'!FU:GV,2,FALSE)</f>
        <v>--/--/--</v>
      </c>
      <c r="E50" s="125" t="str">
        <f>VLOOKUP(C50,'Talente &amp; Stuff'!FU:GV,3,FALSE)</f>
        <v>-</v>
      </c>
      <c r="F50" s="114">
        <f>VLOOKUP(C50,'Talente &amp; Stuff'!FU:GV,4,FALSE)</f>
        <v>0</v>
      </c>
      <c r="G50" s="113">
        <f>VLOOKUP(C50,'Talente &amp; Stuff'!FU:GV,5,FALSE)</f>
        <v>0</v>
      </c>
      <c r="H50" s="113">
        <f>VLOOKUP(C50,'Talente &amp; Stuff'!FU:GV,6,FALSE)</f>
        <v>0</v>
      </c>
      <c r="I50" s="113">
        <f>VLOOKUP(C50,'Talente &amp; Stuff'!FU:GV,7,FALSE)</f>
        <v>0</v>
      </c>
      <c r="J50" s="113">
        <f>VLOOKUP(C50,'Talente &amp; Stuff'!FU:GV,8,FALSE)</f>
        <v>0</v>
      </c>
      <c r="K50" s="113">
        <f>VLOOKUP(C50,'Talente &amp; Stuff'!FU:GV,9,FALSE)</f>
        <v>0</v>
      </c>
      <c r="L50" s="113">
        <f>VLOOKUP(C50,'Talente &amp; Stuff'!FU:GV,10,FALSE)</f>
        <v>0</v>
      </c>
      <c r="M50" s="119">
        <f>VLOOKUP(C50,'Talente &amp; Stuff'!FU:GV,11,FALSE)</f>
        <v>0</v>
      </c>
      <c r="N50" s="89">
        <f>VLOOKUP(C50,'Talente &amp; Stuff'!FU:GV,12,FALSE)</f>
        <v>0</v>
      </c>
      <c r="O50" s="47">
        <f>VLOOKUP(C50,'Talente &amp; Stuff'!FU:GV,13,FALSE)</f>
        <v>0</v>
      </c>
      <c r="P50" s="119">
        <f>VLOOKUP(C50,'Talente &amp; Stuff'!FU:GV,14,FALSE)</f>
        <v>0</v>
      </c>
      <c r="Q50" s="114">
        <f>VLOOKUP(C50,'Talente &amp; Stuff'!FU:GV,15,FALSE)</f>
        <v>0</v>
      </c>
      <c r="R50" s="113">
        <f>VLOOKUP(C50,'Talente &amp; Stuff'!FU:GV,16,FALSE)</f>
        <v>0</v>
      </c>
      <c r="S50" s="119">
        <f>VLOOKUP(C50,'Talente &amp; Stuff'!FU:GV,17,FALSE)</f>
        <v>0</v>
      </c>
      <c r="T50" s="160">
        <f>VLOOKUP(C50,'Talente &amp; Stuff'!FU:GV,18,FALSE)</f>
        <v>0</v>
      </c>
      <c r="U50" s="89">
        <f>VLOOKUP(C50,'Talente &amp; Stuff'!FU:GV,19,FALSE)</f>
        <v>0</v>
      </c>
      <c r="V50" s="47">
        <f>VLOOKUP(C50,'Talente &amp; Stuff'!FU:GV,20,FALSE)</f>
        <v>0</v>
      </c>
      <c r="W50" s="127">
        <f>VLOOKUP(C50,'Talente &amp; Stuff'!FU:GV,21,FALSE)</f>
        <v>0</v>
      </c>
      <c r="X50" s="125">
        <f>VLOOKUP(C50,'Talente &amp; Stuff'!FU:GV,22,FALSE)</f>
        <v>0</v>
      </c>
      <c r="Y50" s="165">
        <f t="shared" si="6"/>
        <v>0</v>
      </c>
      <c r="Z50" s="44">
        <f t="shared" si="7"/>
        <v>0</v>
      </c>
      <c r="AA50" s="125">
        <f>VLOOKUP(C50,'Talente &amp; Stuff'!FU:GV,25,FALSE)</f>
        <v>0</v>
      </c>
      <c r="AB50" s="160">
        <f>VLOOKUP(C50,'Talente &amp; Stuff'!FU:GV,26,FALSE)</f>
        <v>0</v>
      </c>
      <c r="AC50" s="127">
        <f>VLOOKUP(C50,'Talente &amp; Stuff'!FU:GV,27,FALSE)</f>
        <v>0</v>
      </c>
      <c r="AD50" s="125">
        <f>VLOOKUP(C50,'Talente &amp; Stuff'!FU:GV,28,FALSE)</f>
        <v>0</v>
      </c>
      <c r="AE50" s="28"/>
    </row>
    <row r="51" spans="2:31" ht="15" hidden="1" customHeight="1" outlineLevel="2">
      <c r="B51" s="148">
        <v>8</v>
      </c>
      <c r="C51" s="177" t="str">
        <f>Attribute!C51</f>
        <v>---</v>
      </c>
      <c r="D51" s="127" t="str">
        <f>VLOOKUP(C51,'Talente &amp; Stuff'!FU:GV,2,FALSE)</f>
        <v>--/--/--</v>
      </c>
      <c r="E51" s="125" t="str">
        <f>VLOOKUP(C51,'Talente &amp; Stuff'!FU:GV,3,FALSE)</f>
        <v>-</v>
      </c>
      <c r="F51" s="114">
        <f>VLOOKUP(C51,'Talente &amp; Stuff'!FU:GV,4,FALSE)</f>
        <v>0</v>
      </c>
      <c r="G51" s="113">
        <f>VLOOKUP(C51,'Talente &amp; Stuff'!FU:GV,5,FALSE)</f>
        <v>0</v>
      </c>
      <c r="H51" s="113">
        <f>VLOOKUP(C51,'Talente &amp; Stuff'!FU:GV,6,FALSE)</f>
        <v>0</v>
      </c>
      <c r="I51" s="113">
        <f>VLOOKUP(C51,'Talente &amp; Stuff'!FU:GV,7,FALSE)</f>
        <v>0</v>
      </c>
      <c r="J51" s="113">
        <f>VLOOKUP(C51,'Talente &amp; Stuff'!FU:GV,8,FALSE)</f>
        <v>0</v>
      </c>
      <c r="K51" s="113">
        <f>VLOOKUP(C51,'Talente &amp; Stuff'!FU:GV,9,FALSE)</f>
        <v>0</v>
      </c>
      <c r="L51" s="113">
        <f>VLOOKUP(C51,'Talente &amp; Stuff'!FU:GV,10,FALSE)</f>
        <v>0</v>
      </c>
      <c r="M51" s="119">
        <f>VLOOKUP(C51,'Talente &amp; Stuff'!FU:GV,11,FALSE)</f>
        <v>0</v>
      </c>
      <c r="N51" s="89">
        <f>VLOOKUP(C51,'Talente &amp; Stuff'!FU:GV,12,FALSE)</f>
        <v>0</v>
      </c>
      <c r="O51" s="47">
        <f>VLOOKUP(C51,'Talente &amp; Stuff'!FU:GV,13,FALSE)</f>
        <v>0</v>
      </c>
      <c r="P51" s="119">
        <f>VLOOKUP(C51,'Talente &amp; Stuff'!FU:GV,14,FALSE)</f>
        <v>0</v>
      </c>
      <c r="Q51" s="114">
        <f>VLOOKUP(C51,'Talente &amp; Stuff'!FU:GV,15,FALSE)</f>
        <v>0</v>
      </c>
      <c r="R51" s="113">
        <f>VLOOKUP(C51,'Talente &amp; Stuff'!FU:GV,16,FALSE)</f>
        <v>0</v>
      </c>
      <c r="S51" s="119">
        <f>VLOOKUP(C51,'Talente &amp; Stuff'!FU:GV,17,FALSE)</f>
        <v>0</v>
      </c>
      <c r="T51" s="160">
        <f>VLOOKUP(C51,'Talente &amp; Stuff'!FU:GV,18,FALSE)</f>
        <v>0</v>
      </c>
      <c r="U51" s="89">
        <f>VLOOKUP(C51,'Talente &amp; Stuff'!FU:GV,19,FALSE)</f>
        <v>0</v>
      </c>
      <c r="V51" s="47">
        <f>VLOOKUP(C51,'Talente &amp; Stuff'!FU:GV,20,FALSE)</f>
        <v>0</v>
      </c>
      <c r="W51" s="127">
        <f>VLOOKUP(C51,'Talente &amp; Stuff'!FU:GV,21,FALSE)</f>
        <v>0</v>
      </c>
      <c r="X51" s="125">
        <f>VLOOKUP(C51,'Talente &amp; Stuff'!FU:GV,22,FALSE)</f>
        <v>0</v>
      </c>
      <c r="Y51" s="165">
        <f t="shared" si="6"/>
        <v>0</v>
      </c>
      <c r="Z51" s="44">
        <f t="shared" si="7"/>
        <v>0</v>
      </c>
      <c r="AA51" s="125">
        <f>VLOOKUP(C51,'Talente &amp; Stuff'!FU:GV,25,FALSE)</f>
        <v>0</v>
      </c>
      <c r="AB51" s="160">
        <f>VLOOKUP(C51,'Talente &amp; Stuff'!FU:GV,26,FALSE)</f>
        <v>0</v>
      </c>
      <c r="AC51" s="127">
        <f>VLOOKUP(C51,'Talente &amp; Stuff'!FU:GV,27,FALSE)</f>
        <v>0</v>
      </c>
      <c r="AD51" s="125">
        <f>VLOOKUP(C51,'Talente &amp; Stuff'!FU:GV,28,FALSE)</f>
        <v>0</v>
      </c>
      <c r="AE51" s="28"/>
    </row>
    <row r="52" spans="2:31" ht="15" hidden="1" customHeight="1" outlineLevel="2">
      <c r="B52" s="148">
        <v>9</v>
      </c>
      <c r="C52" s="177" t="str">
        <f>Attribute!C52</f>
        <v>---</v>
      </c>
      <c r="D52" s="127" t="str">
        <f>VLOOKUP(C52,'Talente &amp; Stuff'!FU:GV,2,FALSE)</f>
        <v>--/--/--</v>
      </c>
      <c r="E52" s="125" t="str">
        <f>VLOOKUP(C52,'Talente &amp; Stuff'!FU:GV,3,FALSE)</f>
        <v>-</v>
      </c>
      <c r="F52" s="114">
        <f>VLOOKUP(C52,'Talente &amp; Stuff'!FU:GV,4,FALSE)</f>
        <v>0</v>
      </c>
      <c r="G52" s="113">
        <f>VLOOKUP(C52,'Talente &amp; Stuff'!FU:GV,5,FALSE)</f>
        <v>0</v>
      </c>
      <c r="H52" s="113">
        <f>VLOOKUP(C52,'Talente &amp; Stuff'!FU:GV,6,FALSE)</f>
        <v>0</v>
      </c>
      <c r="I52" s="113">
        <f>VLOOKUP(C52,'Talente &amp; Stuff'!FU:GV,7,FALSE)</f>
        <v>0</v>
      </c>
      <c r="J52" s="113">
        <f>VLOOKUP(C52,'Talente &amp; Stuff'!FU:GV,8,FALSE)</f>
        <v>0</v>
      </c>
      <c r="K52" s="113">
        <f>VLOOKUP(C52,'Talente &amp; Stuff'!FU:GV,9,FALSE)</f>
        <v>0</v>
      </c>
      <c r="L52" s="113">
        <f>VLOOKUP(C52,'Talente &amp; Stuff'!FU:GV,10,FALSE)</f>
        <v>0</v>
      </c>
      <c r="M52" s="119">
        <f>VLOOKUP(C52,'Talente &amp; Stuff'!FU:GV,11,FALSE)</f>
        <v>0</v>
      </c>
      <c r="N52" s="89">
        <f>VLOOKUP(C52,'Talente &amp; Stuff'!FU:GV,12,FALSE)</f>
        <v>0</v>
      </c>
      <c r="O52" s="47">
        <f>VLOOKUP(C52,'Talente &amp; Stuff'!FU:GV,13,FALSE)</f>
        <v>0</v>
      </c>
      <c r="P52" s="119">
        <f>VLOOKUP(C52,'Talente &amp; Stuff'!FU:GV,14,FALSE)</f>
        <v>0</v>
      </c>
      <c r="Q52" s="114">
        <f>VLOOKUP(C52,'Talente &amp; Stuff'!FU:GV,15,FALSE)</f>
        <v>0</v>
      </c>
      <c r="R52" s="113">
        <f>VLOOKUP(C52,'Talente &amp; Stuff'!FU:GV,16,FALSE)</f>
        <v>0</v>
      </c>
      <c r="S52" s="119">
        <f>VLOOKUP(C52,'Talente &amp; Stuff'!FU:GV,17,FALSE)</f>
        <v>0</v>
      </c>
      <c r="T52" s="160">
        <f>VLOOKUP(C52,'Talente &amp; Stuff'!FU:GV,18,FALSE)</f>
        <v>0</v>
      </c>
      <c r="U52" s="89">
        <f>VLOOKUP(C52,'Talente &amp; Stuff'!FU:GV,19,FALSE)</f>
        <v>0</v>
      </c>
      <c r="V52" s="47">
        <f>VLOOKUP(C52,'Talente &amp; Stuff'!FU:GV,20,FALSE)</f>
        <v>0</v>
      </c>
      <c r="W52" s="127">
        <f>VLOOKUP(C52,'Talente &amp; Stuff'!FU:GV,21,FALSE)</f>
        <v>0</v>
      </c>
      <c r="X52" s="125">
        <f>VLOOKUP(C52,'Talente &amp; Stuff'!FU:GV,22,FALSE)</f>
        <v>0</v>
      </c>
      <c r="Y52" s="165">
        <f t="shared" si="6"/>
        <v>0</v>
      </c>
      <c r="Z52" s="44">
        <f t="shared" si="7"/>
        <v>0</v>
      </c>
      <c r="AA52" s="125">
        <f>VLOOKUP(C52,'Talente &amp; Stuff'!FU:GV,25,FALSE)</f>
        <v>0</v>
      </c>
      <c r="AB52" s="160">
        <f>VLOOKUP(C52,'Talente &amp; Stuff'!FU:GV,26,FALSE)</f>
        <v>0</v>
      </c>
      <c r="AC52" s="127">
        <f>VLOOKUP(C52,'Talente &amp; Stuff'!FU:GV,27,FALSE)</f>
        <v>0</v>
      </c>
      <c r="AD52" s="125">
        <f>VLOOKUP(C52,'Talente &amp; Stuff'!FU:GV,28,FALSE)</f>
        <v>0</v>
      </c>
      <c r="AE52" s="28"/>
    </row>
    <row r="53" spans="2:31" ht="15" hidden="1" customHeight="1" outlineLevel="2">
      <c r="B53" s="148">
        <v>10</v>
      </c>
      <c r="C53" s="177" t="str">
        <f>Attribute!C53</f>
        <v>---</v>
      </c>
      <c r="D53" s="127" t="str">
        <f>VLOOKUP(C53,'Talente &amp; Stuff'!FU:GV,2,FALSE)</f>
        <v>--/--/--</v>
      </c>
      <c r="E53" s="125" t="str">
        <f>VLOOKUP(C53,'Talente &amp; Stuff'!FU:GV,3,FALSE)</f>
        <v>-</v>
      </c>
      <c r="F53" s="114">
        <f>VLOOKUP(C53,'Talente &amp; Stuff'!FU:GV,4,FALSE)</f>
        <v>0</v>
      </c>
      <c r="G53" s="113">
        <f>VLOOKUP(C53,'Talente &amp; Stuff'!FU:GV,5,FALSE)</f>
        <v>0</v>
      </c>
      <c r="H53" s="113">
        <f>VLOOKUP(C53,'Talente &amp; Stuff'!FU:GV,6,FALSE)</f>
        <v>0</v>
      </c>
      <c r="I53" s="113">
        <f>VLOOKUP(C53,'Talente &amp; Stuff'!FU:GV,7,FALSE)</f>
        <v>0</v>
      </c>
      <c r="J53" s="113">
        <f>VLOOKUP(C53,'Talente &amp; Stuff'!FU:GV,8,FALSE)</f>
        <v>0</v>
      </c>
      <c r="K53" s="113">
        <f>VLOOKUP(C53,'Talente &amp; Stuff'!FU:GV,9,FALSE)</f>
        <v>0</v>
      </c>
      <c r="L53" s="113">
        <f>VLOOKUP(C53,'Talente &amp; Stuff'!FU:GV,10,FALSE)</f>
        <v>0</v>
      </c>
      <c r="M53" s="119">
        <f>VLOOKUP(C53,'Talente &amp; Stuff'!FU:GV,11,FALSE)</f>
        <v>0</v>
      </c>
      <c r="N53" s="89">
        <f>VLOOKUP(C53,'Talente &amp; Stuff'!FU:GV,12,FALSE)</f>
        <v>0</v>
      </c>
      <c r="O53" s="47">
        <f>VLOOKUP(C53,'Talente &amp; Stuff'!FU:GV,13,FALSE)</f>
        <v>0</v>
      </c>
      <c r="P53" s="119">
        <f>VLOOKUP(C53,'Talente &amp; Stuff'!FU:GV,14,FALSE)</f>
        <v>0</v>
      </c>
      <c r="Q53" s="114">
        <f>VLOOKUP(C53,'Talente &amp; Stuff'!FU:GV,15,FALSE)</f>
        <v>0</v>
      </c>
      <c r="R53" s="113">
        <f>VLOOKUP(C53,'Talente &amp; Stuff'!FU:GV,16,FALSE)</f>
        <v>0</v>
      </c>
      <c r="S53" s="119">
        <f>VLOOKUP(C53,'Talente &amp; Stuff'!FU:GV,17,FALSE)</f>
        <v>0</v>
      </c>
      <c r="T53" s="160">
        <f>VLOOKUP(C53,'Talente &amp; Stuff'!FU:GV,18,FALSE)</f>
        <v>0</v>
      </c>
      <c r="U53" s="89">
        <f>VLOOKUP(C53,'Talente &amp; Stuff'!FU:GV,19,FALSE)</f>
        <v>0</v>
      </c>
      <c r="V53" s="47">
        <f>VLOOKUP(C53,'Talente &amp; Stuff'!FU:GV,20,FALSE)</f>
        <v>0</v>
      </c>
      <c r="W53" s="127">
        <f>VLOOKUP(C53,'Talente &amp; Stuff'!FU:GV,21,FALSE)</f>
        <v>0</v>
      </c>
      <c r="X53" s="125">
        <f>VLOOKUP(C53,'Talente &amp; Stuff'!FU:GV,22,FALSE)</f>
        <v>0</v>
      </c>
      <c r="Y53" s="165">
        <f t="shared" si="6"/>
        <v>0</v>
      </c>
      <c r="Z53" s="44">
        <f t="shared" si="7"/>
        <v>0</v>
      </c>
      <c r="AA53" s="125">
        <f>VLOOKUP(C53,'Talente &amp; Stuff'!FU:GV,25,FALSE)</f>
        <v>0</v>
      </c>
      <c r="AB53" s="160">
        <f>VLOOKUP(C53,'Talente &amp; Stuff'!FU:GV,26,FALSE)</f>
        <v>0</v>
      </c>
      <c r="AC53" s="127">
        <f>VLOOKUP(C53,'Talente &amp; Stuff'!FU:GV,27,FALSE)</f>
        <v>0</v>
      </c>
      <c r="AD53" s="125">
        <f>VLOOKUP(C53,'Talente &amp; Stuff'!FU:GV,28,FALSE)</f>
        <v>0</v>
      </c>
      <c r="AE53" s="28"/>
    </row>
    <row r="54" spans="2:31" ht="15" hidden="1" customHeight="1" outlineLevel="2">
      <c r="B54" s="148">
        <v>11</v>
      </c>
      <c r="C54" s="177" t="str">
        <f>Attribute!C54</f>
        <v>---</v>
      </c>
      <c r="D54" s="127" t="str">
        <f>VLOOKUP(C54,'Talente &amp; Stuff'!FU:GV,2,FALSE)</f>
        <v>--/--/--</v>
      </c>
      <c r="E54" s="125" t="str">
        <f>VLOOKUP(C54,'Talente &amp; Stuff'!FU:GV,3,FALSE)</f>
        <v>-</v>
      </c>
      <c r="F54" s="114">
        <f>VLOOKUP(C54,'Talente &amp; Stuff'!FU:GV,4,FALSE)</f>
        <v>0</v>
      </c>
      <c r="G54" s="113">
        <f>VLOOKUP(C54,'Talente &amp; Stuff'!FU:GV,5,FALSE)</f>
        <v>0</v>
      </c>
      <c r="H54" s="113">
        <f>VLOOKUP(C54,'Talente &amp; Stuff'!FU:GV,6,FALSE)</f>
        <v>0</v>
      </c>
      <c r="I54" s="113">
        <f>VLOOKUP(C54,'Talente &amp; Stuff'!FU:GV,7,FALSE)</f>
        <v>0</v>
      </c>
      <c r="J54" s="113">
        <f>VLOOKUP(C54,'Talente &amp; Stuff'!FU:GV,8,FALSE)</f>
        <v>0</v>
      </c>
      <c r="K54" s="113">
        <f>VLOOKUP(C54,'Talente &amp; Stuff'!FU:GV,9,FALSE)</f>
        <v>0</v>
      </c>
      <c r="L54" s="113">
        <f>VLOOKUP(C54,'Talente &amp; Stuff'!FU:GV,10,FALSE)</f>
        <v>0</v>
      </c>
      <c r="M54" s="119">
        <f>VLOOKUP(C54,'Talente &amp; Stuff'!FU:GV,11,FALSE)</f>
        <v>0</v>
      </c>
      <c r="N54" s="89">
        <f>VLOOKUP(C54,'Talente &amp; Stuff'!FU:GV,12,FALSE)</f>
        <v>0</v>
      </c>
      <c r="O54" s="47">
        <f>VLOOKUP(C54,'Talente &amp; Stuff'!FU:GV,13,FALSE)</f>
        <v>0</v>
      </c>
      <c r="P54" s="119">
        <f>VLOOKUP(C54,'Talente &amp; Stuff'!FU:GV,14,FALSE)</f>
        <v>0</v>
      </c>
      <c r="Q54" s="114">
        <f>VLOOKUP(C54,'Talente &amp; Stuff'!FU:GV,15,FALSE)</f>
        <v>0</v>
      </c>
      <c r="R54" s="113">
        <f>VLOOKUP(C54,'Talente &amp; Stuff'!FU:GV,16,FALSE)</f>
        <v>0</v>
      </c>
      <c r="S54" s="119">
        <f>VLOOKUP(C54,'Talente &amp; Stuff'!FU:GV,17,FALSE)</f>
        <v>0</v>
      </c>
      <c r="T54" s="160">
        <f>VLOOKUP(C54,'Talente &amp; Stuff'!FU:GV,18,FALSE)</f>
        <v>0</v>
      </c>
      <c r="U54" s="89">
        <f>VLOOKUP(C54,'Talente &amp; Stuff'!FU:GV,19,FALSE)</f>
        <v>0</v>
      </c>
      <c r="V54" s="47">
        <f>VLOOKUP(C54,'Talente &amp; Stuff'!FU:GV,20,FALSE)</f>
        <v>0</v>
      </c>
      <c r="W54" s="127">
        <f>VLOOKUP(C54,'Talente &amp; Stuff'!FU:GV,21,FALSE)</f>
        <v>0</v>
      </c>
      <c r="X54" s="125">
        <f>VLOOKUP(C54,'Talente &amp; Stuff'!FU:GV,22,FALSE)</f>
        <v>0</v>
      </c>
      <c r="Y54" s="165">
        <f t="shared" si="6"/>
        <v>0</v>
      </c>
      <c r="Z54" s="44">
        <f t="shared" si="7"/>
        <v>0</v>
      </c>
      <c r="AA54" s="125">
        <f>VLOOKUP(C54,'Talente &amp; Stuff'!FU:GV,25,FALSE)</f>
        <v>0</v>
      </c>
      <c r="AB54" s="160">
        <f>VLOOKUP(C54,'Talente &amp; Stuff'!FU:GV,26,FALSE)</f>
        <v>0</v>
      </c>
      <c r="AC54" s="127">
        <f>VLOOKUP(C54,'Talente &amp; Stuff'!FU:GV,27,FALSE)</f>
        <v>0</v>
      </c>
      <c r="AD54" s="125">
        <f>VLOOKUP(C54,'Talente &amp; Stuff'!FU:GV,28,FALSE)</f>
        <v>0</v>
      </c>
      <c r="AE54" s="28"/>
    </row>
    <row r="55" spans="2:31" ht="15" hidden="1" customHeight="1" outlineLevel="2">
      <c r="B55" s="148">
        <v>12</v>
      </c>
      <c r="C55" s="178" t="str">
        <f>Attribute!C55</f>
        <v>---</v>
      </c>
      <c r="D55" s="128" t="str">
        <f>VLOOKUP(C55,'Talente &amp; Stuff'!FU:GV,2,FALSE)</f>
        <v>--/--/--</v>
      </c>
      <c r="E55" s="159" t="str">
        <f>VLOOKUP(C55,'Talente &amp; Stuff'!FU:GV,3,FALSE)</f>
        <v>-</v>
      </c>
      <c r="F55" s="115">
        <f>VLOOKUP(C55,'Talente &amp; Stuff'!FU:GV,4,FALSE)</f>
        <v>0</v>
      </c>
      <c r="G55" s="122">
        <f>VLOOKUP(C55,'Talente &amp; Stuff'!FU:GV,5,FALSE)</f>
        <v>0</v>
      </c>
      <c r="H55" s="122">
        <f>VLOOKUP(C55,'Talente &amp; Stuff'!FU:GV,6,FALSE)</f>
        <v>0</v>
      </c>
      <c r="I55" s="122">
        <f>VLOOKUP(C55,'Talente &amp; Stuff'!FU:GV,7,FALSE)</f>
        <v>0</v>
      </c>
      <c r="J55" s="122">
        <f>VLOOKUP(C55,'Talente &amp; Stuff'!FU:GV,8,FALSE)</f>
        <v>0</v>
      </c>
      <c r="K55" s="122">
        <f>VLOOKUP(C55,'Talente &amp; Stuff'!FU:GV,9,FALSE)</f>
        <v>0</v>
      </c>
      <c r="L55" s="122">
        <f>VLOOKUP(C55,'Talente &amp; Stuff'!FU:GV,10,FALSE)</f>
        <v>0</v>
      </c>
      <c r="M55" s="123">
        <f>VLOOKUP(C55,'Talente &amp; Stuff'!FU:GV,11,FALSE)</f>
        <v>0</v>
      </c>
      <c r="N55" s="90">
        <f>VLOOKUP(C55,'Talente &amp; Stuff'!FU:GV,12,FALSE)</f>
        <v>0</v>
      </c>
      <c r="O55" s="88">
        <f>VLOOKUP(C55,'Talente &amp; Stuff'!FU:GV,13,FALSE)</f>
        <v>0</v>
      </c>
      <c r="P55" s="123">
        <f>VLOOKUP(C55,'Talente &amp; Stuff'!FU:GV,14,FALSE)</f>
        <v>0</v>
      </c>
      <c r="Q55" s="115">
        <f>VLOOKUP(C55,'Talente &amp; Stuff'!FU:GV,15,FALSE)</f>
        <v>0</v>
      </c>
      <c r="R55" s="122">
        <f>VLOOKUP(C55,'Talente &amp; Stuff'!FU:GV,16,FALSE)</f>
        <v>0</v>
      </c>
      <c r="S55" s="123">
        <f>VLOOKUP(C55,'Talente &amp; Stuff'!FU:GV,17,FALSE)</f>
        <v>0</v>
      </c>
      <c r="T55" s="161">
        <f>VLOOKUP(C55,'Talente &amp; Stuff'!FU:GV,18,FALSE)</f>
        <v>0</v>
      </c>
      <c r="U55" s="90">
        <f>VLOOKUP(C55,'Talente &amp; Stuff'!FU:GV,19,FALSE)</f>
        <v>0</v>
      </c>
      <c r="V55" s="88">
        <f>VLOOKUP(C55,'Talente &amp; Stuff'!FU:GV,20,FALSE)</f>
        <v>0</v>
      </c>
      <c r="W55" s="128">
        <f>VLOOKUP(C55,'Talente &amp; Stuff'!FU:GV,21,FALSE)</f>
        <v>0</v>
      </c>
      <c r="X55" s="159">
        <f>VLOOKUP(C55,'Talente &amp; Stuff'!FU:GV,22,FALSE)</f>
        <v>0</v>
      </c>
      <c r="Y55" s="165">
        <f t="shared" si="6"/>
        <v>0</v>
      </c>
      <c r="Z55" s="44">
        <f t="shared" si="7"/>
        <v>0</v>
      </c>
      <c r="AA55" s="159">
        <f>VLOOKUP(C55,'Talente &amp; Stuff'!FU:GV,25,FALSE)</f>
        <v>0</v>
      </c>
      <c r="AB55" s="161">
        <f>VLOOKUP(C55,'Talente &amp; Stuff'!FU:GV,26,FALSE)</f>
        <v>0</v>
      </c>
      <c r="AC55" s="128">
        <f>VLOOKUP(C55,'Talente &amp; Stuff'!FU:GV,27,FALSE)</f>
        <v>0</v>
      </c>
      <c r="AD55" s="159">
        <f>VLOOKUP(C55,'Talente &amp; Stuff'!FU:GV,28,FALSE)</f>
        <v>0</v>
      </c>
      <c r="AE55" s="28"/>
    </row>
    <row r="56" spans="2:31" ht="15" hidden="1" customHeight="1" outlineLevel="1" collapsed="1">
      <c r="B56" s="134" t="s">
        <v>71</v>
      </c>
      <c r="C56" s="83"/>
      <c r="D56" s="84"/>
      <c r="E56" s="84"/>
      <c r="F56" s="30"/>
      <c r="G56" s="30"/>
      <c r="H56" s="30"/>
      <c r="I56" s="30"/>
      <c r="J56" s="30"/>
      <c r="K56" s="30"/>
      <c r="L56" s="30"/>
      <c r="M56" s="30"/>
      <c r="N56" s="31"/>
      <c r="O56" s="31"/>
      <c r="P56" s="30"/>
      <c r="Q56" s="30"/>
      <c r="R56" s="30"/>
      <c r="S56" s="30"/>
      <c r="T56" s="30"/>
      <c r="U56" s="31"/>
      <c r="V56" s="31"/>
      <c r="W56" s="31"/>
      <c r="X56" s="31"/>
      <c r="Y56" s="65"/>
    </row>
    <row r="57" spans="2:31" ht="15" hidden="1" customHeight="1" outlineLevel="2">
      <c r="B57" s="148">
        <v>1</v>
      </c>
      <c r="C57" s="176" t="str">
        <f>Attribute!C57</f>
        <v>---</v>
      </c>
      <c r="D57" s="126" t="str">
        <f>VLOOKUP(C57,'Talente &amp; Stuff'!FU:GV,2,FALSE)</f>
        <v>--/--/--</v>
      </c>
      <c r="E57" s="158" t="str">
        <f>VLOOKUP(C57,'Talente &amp; Stuff'!FU:GV,3,FALSE)</f>
        <v>-</v>
      </c>
      <c r="F57" s="191">
        <f>VLOOKUP(C57,'Talente &amp; Stuff'!FU:GV,4,FALSE)</f>
        <v>0</v>
      </c>
      <c r="G57" s="118">
        <f>VLOOKUP(C57,'Talente &amp; Stuff'!FU:GV,5,FALSE)</f>
        <v>0</v>
      </c>
      <c r="H57" s="118">
        <f>VLOOKUP(C57,'Talente &amp; Stuff'!FU:GV,6,FALSE)</f>
        <v>0</v>
      </c>
      <c r="I57" s="118">
        <f>VLOOKUP(C57,'Talente &amp; Stuff'!FU:GV,7,FALSE)</f>
        <v>0</v>
      </c>
      <c r="J57" s="118">
        <f>VLOOKUP(C57,'Talente &amp; Stuff'!FU:GV,8,FALSE)</f>
        <v>0</v>
      </c>
      <c r="K57" s="118">
        <f>VLOOKUP(C57,'Talente &amp; Stuff'!FU:GV,9,FALSE)</f>
        <v>0</v>
      </c>
      <c r="L57" s="118">
        <f>VLOOKUP(C57,'Talente &amp; Stuff'!FU:GV,10,FALSE)</f>
        <v>0</v>
      </c>
      <c r="M57" s="92">
        <f>VLOOKUP(C57,'Talente &amp; Stuff'!FU:GV,11,FALSE)</f>
        <v>0</v>
      </c>
      <c r="N57" s="193">
        <f>VLOOKUP(C57,'Talente &amp; Stuff'!FU:GV,12,FALSE)</f>
        <v>0</v>
      </c>
      <c r="O57" s="116">
        <f>VLOOKUP(C57,'Talente &amp; Stuff'!FU:GV,13,FALSE)</f>
        <v>0</v>
      </c>
      <c r="P57" s="92">
        <f>VLOOKUP(C57,'Talente &amp; Stuff'!FU:GV,14,FALSE)</f>
        <v>0</v>
      </c>
      <c r="Q57" s="191">
        <f>VLOOKUP(C57,'Talente &amp; Stuff'!FU:GV,15,FALSE)</f>
        <v>0</v>
      </c>
      <c r="R57" s="118">
        <f>VLOOKUP(C57,'Talente &amp; Stuff'!FU:GV,16,FALSE)</f>
        <v>0</v>
      </c>
      <c r="S57" s="92">
        <f>VLOOKUP(C57,'Talente &amp; Stuff'!FU:GV,17,FALSE)</f>
        <v>0</v>
      </c>
      <c r="T57" s="91">
        <f>VLOOKUP(C57,'Talente &amp; Stuff'!FU:GV,18,FALSE)</f>
        <v>0</v>
      </c>
      <c r="U57" s="193">
        <f>VLOOKUP(C57,'Talente &amp; Stuff'!FU:GV,19,FALSE)</f>
        <v>0</v>
      </c>
      <c r="V57" s="116">
        <f>VLOOKUP(C57,'Talente &amp; Stuff'!FU:GV,20,FALSE)</f>
        <v>0</v>
      </c>
      <c r="W57" s="126">
        <f>VLOOKUP(C57,'Talente &amp; Stuff'!FU:GV,21,FALSE)</f>
        <v>0</v>
      </c>
      <c r="X57" s="158">
        <f>VLOOKUP(C57,'Talente &amp; Stuff'!FU:GV,22,FALSE)</f>
        <v>0</v>
      </c>
      <c r="Y57" s="165">
        <f t="shared" ref="Y57:Y73" si="8">VLOOKUP(C57,Ausgewählte_Talente_Handwerkstalente,197,FALSE)</f>
        <v>0</v>
      </c>
      <c r="Z57" s="44">
        <f t="shared" ref="Z57:Z73" si="9">VLOOKUP(C57,Ausgewählte_Talente_Handwerkstalente,198,FALSE)</f>
        <v>0</v>
      </c>
      <c r="AA57" s="158">
        <f>VLOOKUP(C57,'Talente &amp; Stuff'!FU:GV,25,FALSE)</f>
        <v>0</v>
      </c>
      <c r="AB57" s="91">
        <f>VLOOKUP(C57,'Talente &amp; Stuff'!FU:GV,26,FALSE)</f>
        <v>0</v>
      </c>
      <c r="AC57" s="126">
        <f>VLOOKUP(C57,'Talente &amp; Stuff'!FU:GV,27,FALSE)</f>
        <v>0</v>
      </c>
      <c r="AD57" s="158">
        <f>VLOOKUP(C57,'Talente &amp; Stuff'!FU:GV,28,FALSE)</f>
        <v>0</v>
      </c>
      <c r="AE57" s="28"/>
    </row>
    <row r="58" spans="2:31" ht="15" hidden="1" customHeight="1" outlineLevel="2">
      <c r="B58" s="148">
        <v>2</v>
      </c>
      <c r="C58" s="177" t="str">
        <f>Attribute!C58</f>
        <v>---</v>
      </c>
      <c r="D58" s="127" t="str">
        <f>VLOOKUP(C58,'Talente &amp; Stuff'!FU:GV,2,FALSE)</f>
        <v>--/--/--</v>
      </c>
      <c r="E58" s="125" t="str">
        <f>VLOOKUP(C58,'Talente &amp; Stuff'!FU:GV,3,FALSE)</f>
        <v>-</v>
      </c>
      <c r="F58" s="114">
        <f>VLOOKUP(C58,'Talente &amp; Stuff'!FU:GV,4,FALSE)</f>
        <v>0</v>
      </c>
      <c r="G58" s="113">
        <f>VLOOKUP(C58,'Talente &amp; Stuff'!FU:GV,5,FALSE)</f>
        <v>0</v>
      </c>
      <c r="H58" s="113">
        <f>VLOOKUP(C58,'Talente &amp; Stuff'!FU:GV,6,FALSE)</f>
        <v>0</v>
      </c>
      <c r="I58" s="113">
        <f>VLOOKUP(C58,'Talente &amp; Stuff'!FU:GV,7,FALSE)</f>
        <v>0</v>
      </c>
      <c r="J58" s="113">
        <f>VLOOKUP(C58,'Talente &amp; Stuff'!FU:GV,8,FALSE)</f>
        <v>0</v>
      </c>
      <c r="K58" s="113">
        <f>VLOOKUP(C58,'Talente &amp; Stuff'!FU:GV,9,FALSE)</f>
        <v>0</v>
      </c>
      <c r="L58" s="113">
        <f>VLOOKUP(C58,'Talente &amp; Stuff'!FU:GV,10,FALSE)</f>
        <v>0</v>
      </c>
      <c r="M58" s="119">
        <f>VLOOKUP(C58,'Talente &amp; Stuff'!FU:GV,11,FALSE)</f>
        <v>0</v>
      </c>
      <c r="N58" s="89">
        <f>VLOOKUP(C58,'Talente &amp; Stuff'!FU:GV,12,FALSE)</f>
        <v>0</v>
      </c>
      <c r="O58" s="47">
        <f>VLOOKUP(C58,'Talente &amp; Stuff'!FU:GV,13,FALSE)</f>
        <v>0</v>
      </c>
      <c r="P58" s="119">
        <f>VLOOKUP(C58,'Talente &amp; Stuff'!FU:GV,14,FALSE)</f>
        <v>0</v>
      </c>
      <c r="Q58" s="114">
        <f>VLOOKUP(C58,'Talente &amp; Stuff'!FU:GV,15,FALSE)</f>
        <v>0</v>
      </c>
      <c r="R58" s="113">
        <f>VLOOKUP(C58,'Talente &amp; Stuff'!FU:GV,16,FALSE)</f>
        <v>0</v>
      </c>
      <c r="S58" s="119">
        <f>VLOOKUP(C58,'Talente &amp; Stuff'!FU:GV,17,FALSE)</f>
        <v>0</v>
      </c>
      <c r="T58" s="160">
        <f>VLOOKUP(C58,'Talente &amp; Stuff'!FU:GV,18,FALSE)</f>
        <v>0</v>
      </c>
      <c r="U58" s="89">
        <f>VLOOKUP(C58,'Talente &amp; Stuff'!FU:GV,19,FALSE)</f>
        <v>0</v>
      </c>
      <c r="V58" s="47">
        <f>VLOOKUP(C58,'Talente &amp; Stuff'!FU:GV,20,FALSE)</f>
        <v>0</v>
      </c>
      <c r="W58" s="127">
        <f>VLOOKUP(C58,'Talente &amp; Stuff'!FU:GV,21,FALSE)</f>
        <v>0</v>
      </c>
      <c r="X58" s="125">
        <f>VLOOKUP(C58,'Talente &amp; Stuff'!FU:GV,22,FALSE)</f>
        <v>0</v>
      </c>
      <c r="Y58" s="165">
        <f t="shared" si="8"/>
        <v>0</v>
      </c>
      <c r="Z58" s="44">
        <f t="shared" si="9"/>
        <v>0</v>
      </c>
      <c r="AA58" s="125">
        <f>VLOOKUP(C58,'Talente &amp; Stuff'!FU:GV,25,FALSE)</f>
        <v>0</v>
      </c>
      <c r="AB58" s="160">
        <f>VLOOKUP(C58,'Talente &amp; Stuff'!FU:GV,26,FALSE)</f>
        <v>0</v>
      </c>
      <c r="AC58" s="127">
        <f>VLOOKUP(C58,'Talente &amp; Stuff'!FU:GV,27,FALSE)</f>
        <v>0</v>
      </c>
      <c r="AD58" s="125">
        <f>VLOOKUP(C58,'Talente &amp; Stuff'!FU:GV,28,FALSE)</f>
        <v>0</v>
      </c>
      <c r="AE58" s="28"/>
    </row>
    <row r="59" spans="2:31" ht="15" hidden="1" customHeight="1" outlineLevel="2">
      <c r="B59" s="148">
        <v>3</v>
      </c>
      <c r="C59" s="177" t="str">
        <f>Attribute!C59</f>
        <v>---</v>
      </c>
      <c r="D59" s="127" t="str">
        <f>VLOOKUP(C59,'Talente &amp; Stuff'!FU:GV,2,FALSE)</f>
        <v>--/--/--</v>
      </c>
      <c r="E59" s="125" t="str">
        <f>VLOOKUP(C59,'Talente &amp; Stuff'!FU:GV,3,FALSE)</f>
        <v>-</v>
      </c>
      <c r="F59" s="114">
        <f>VLOOKUP(C59,'Talente &amp; Stuff'!FU:GV,4,FALSE)</f>
        <v>0</v>
      </c>
      <c r="G59" s="113">
        <f>VLOOKUP(C59,'Talente &amp; Stuff'!FU:GV,5,FALSE)</f>
        <v>0</v>
      </c>
      <c r="H59" s="113">
        <f>VLOOKUP(C59,'Talente &amp; Stuff'!FU:GV,6,FALSE)</f>
        <v>0</v>
      </c>
      <c r="I59" s="113">
        <f>VLOOKUP(C59,'Talente &amp; Stuff'!FU:GV,7,FALSE)</f>
        <v>0</v>
      </c>
      <c r="J59" s="113">
        <f>VLOOKUP(C59,'Talente &amp; Stuff'!FU:GV,8,FALSE)</f>
        <v>0</v>
      </c>
      <c r="K59" s="113">
        <f>VLOOKUP(C59,'Talente &amp; Stuff'!FU:GV,9,FALSE)</f>
        <v>0</v>
      </c>
      <c r="L59" s="113">
        <f>VLOOKUP(C59,'Talente &amp; Stuff'!FU:GV,10,FALSE)</f>
        <v>0</v>
      </c>
      <c r="M59" s="119">
        <f>VLOOKUP(C59,'Talente &amp; Stuff'!FU:GV,11,FALSE)</f>
        <v>0</v>
      </c>
      <c r="N59" s="89">
        <f>VLOOKUP(C59,'Talente &amp; Stuff'!FU:GV,12,FALSE)</f>
        <v>0</v>
      </c>
      <c r="O59" s="47">
        <f>VLOOKUP(C59,'Talente &amp; Stuff'!FU:GV,13,FALSE)</f>
        <v>0</v>
      </c>
      <c r="P59" s="119">
        <f>VLOOKUP(C59,'Talente &amp; Stuff'!FU:GV,14,FALSE)</f>
        <v>0</v>
      </c>
      <c r="Q59" s="114">
        <f>VLOOKUP(C59,'Talente &amp; Stuff'!FU:GV,15,FALSE)</f>
        <v>0</v>
      </c>
      <c r="R59" s="113">
        <f>VLOOKUP(C59,'Talente &amp; Stuff'!FU:GV,16,FALSE)</f>
        <v>0</v>
      </c>
      <c r="S59" s="119">
        <f>VLOOKUP(C59,'Talente &amp; Stuff'!FU:GV,17,FALSE)</f>
        <v>0</v>
      </c>
      <c r="T59" s="160">
        <f>VLOOKUP(C59,'Talente &amp; Stuff'!FU:GV,18,FALSE)</f>
        <v>0</v>
      </c>
      <c r="U59" s="89">
        <f>VLOOKUP(C59,'Talente &amp; Stuff'!FU:GV,19,FALSE)</f>
        <v>0</v>
      </c>
      <c r="V59" s="47">
        <f>VLOOKUP(C59,'Talente &amp; Stuff'!FU:GV,20,FALSE)</f>
        <v>0</v>
      </c>
      <c r="W59" s="127">
        <f>VLOOKUP(C59,'Talente &amp; Stuff'!FU:GV,21,FALSE)</f>
        <v>0</v>
      </c>
      <c r="X59" s="125">
        <f>VLOOKUP(C59,'Talente &amp; Stuff'!FU:GV,22,FALSE)</f>
        <v>0</v>
      </c>
      <c r="Y59" s="165">
        <f t="shared" si="8"/>
        <v>0</v>
      </c>
      <c r="Z59" s="44">
        <f t="shared" si="9"/>
        <v>0</v>
      </c>
      <c r="AA59" s="125">
        <f>VLOOKUP(C59,'Talente &amp; Stuff'!FU:GV,25,FALSE)</f>
        <v>0</v>
      </c>
      <c r="AB59" s="160">
        <f>VLOOKUP(C59,'Talente &amp; Stuff'!FU:GV,26,FALSE)</f>
        <v>0</v>
      </c>
      <c r="AC59" s="127">
        <f>VLOOKUP(C59,'Talente &amp; Stuff'!FU:GV,27,FALSE)</f>
        <v>0</v>
      </c>
      <c r="AD59" s="125">
        <f>VLOOKUP(C59,'Talente &amp; Stuff'!FU:GV,28,FALSE)</f>
        <v>0</v>
      </c>
      <c r="AE59" s="28"/>
    </row>
    <row r="60" spans="2:31" ht="15" hidden="1" customHeight="1" outlineLevel="2">
      <c r="B60" s="148">
        <v>4</v>
      </c>
      <c r="C60" s="177" t="str">
        <f>Attribute!C60</f>
        <v>---</v>
      </c>
      <c r="D60" s="127" t="str">
        <f>VLOOKUP(C60,'Talente &amp; Stuff'!FU:GV,2,FALSE)</f>
        <v>--/--/--</v>
      </c>
      <c r="E60" s="125" t="str">
        <f>VLOOKUP(C60,'Talente &amp; Stuff'!FU:GV,3,FALSE)</f>
        <v>-</v>
      </c>
      <c r="F60" s="114">
        <f>VLOOKUP(C60,'Talente &amp; Stuff'!FU:GV,4,FALSE)</f>
        <v>0</v>
      </c>
      <c r="G60" s="113">
        <f>VLOOKUP(C60,'Talente &amp; Stuff'!FU:GV,5,FALSE)</f>
        <v>0</v>
      </c>
      <c r="H60" s="113">
        <f>VLOOKUP(C60,'Talente &amp; Stuff'!FU:GV,6,FALSE)</f>
        <v>0</v>
      </c>
      <c r="I60" s="113">
        <f>VLOOKUP(C60,'Talente &amp; Stuff'!FU:GV,7,FALSE)</f>
        <v>0</v>
      </c>
      <c r="J60" s="113">
        <f>VLOOKUP(C60,'Talente &amp; Stuff'!FU:GV,8,FALSE)</f>
        <v>0</v>
      </c>
      <c r="K60" s="113">
        <f>VLOOKUP(C60,'Talente &amp; Stuff'!FU:GV,9,FALSE)</f>
        <v>0</v>
      </c>
      <c r="L60" s="113">
        <f>VLOOKUP(C60,'Talente &amp; Stuff'!FU:GV,10,FALSE)</f>
        <v>0</v>
      </c>
      <c r="M60" s="119">
        <f>VLOOKUP(C60,'Talente &amp; Stuff'!FU:GV,11,FALSE)</f>
        <v>0</v>
      </c>
      <c r="N60" s="89">
        <f>VLOOKUP(C60,'Talente &amp; Stuff'!FU:GV,12,FALSE)</f>
        <v>0</v>
      </c>
      <c r="O60" s="47">
        <f>VLOOKUP(C60,'Talente &amp; Stuff'!FU:GV,13,FALSE)</f>
        <v>0</v>
      </c>
      <c r="P60" s="119">
        <f>VLOOKUP(C60,'Talente &amp; Stuff'!FU:GV,14,FALSE)</f>
        <v>0</v>
      </c>
      <c r="Q60" s="114">
        <f>VLOOKUP(C60,'Talente &amp; Stuff'!FU:GV,15,FALSE)</f>
        <v>0</v>
      </c>
      <c r="R60" s="113">
        <f>VLOOKUP(C60,'Talente &amp; Stuff'!FU:GV,16,FALSE)</f>
        <v>0</v>
      </c>
      <c r="S60" s="119">
        <f>VLOOKUP(C60,'Talente &amp; Stuff'!FU:GV,17,FALSE)</f>
        <v>0</v>
      </c>
      <c r="T60" s="160">
        <f>VLOOKUP(C60,'Talente &amp; Stuff'!FU:GV,18,FALSE)</f>
        <v>0</v>
      </c>
      <c r="U60" s="89">
        <f>VLOOKUP(C60,'Talente &amp; Stuff'!FU:GV,19,FALSE)</f>
        <v>0</v>
      </c>
      <c r="V60" s="47">
        <f>VLOOKUP(C60,'Talente &amp; Stuff'!FU:GV,20,FALSE)</f>
        <v>0</v>
      </c>
      <c r="W60" s="127">
        <f>VLOOKUP(C60,'Talente &amp; Stuff'!FU:GV,21,FALSE)</f>
        <v>0</v>
      </c>
      <c r="X60" s="125">
        <f>VLOOKUP(C60,'Talente &amp; Stuff'!FU:GV,22,FALSE)</f>
        <v>0</v>
      </c>
      <c r="Y60" s="165">
        <f t="shared" si="8"/>
        <v>0</v>
      </c>
      <c r="Z60" s="44">
        <f t="shared" si="9"/>
        <v>0</v>
      </c>
      <c r="AA60" s="125">
        <f>VLOOKUP(C60,'Talente &amp; Stuff'!FU:GV,25,FALSE)</f>
        <v>0</v>
      </c>
      <c r="AB60" s="160">
        <f>VLOOKUP(C60,'Talente &amp; Stuff'!FU:GV,26,FALSE)</f>
        <v>0</v>
      </c>
      <c r="AC60" s="127">
        <f>VLOOKUP(C60,'Talente &amp; Stuff'!FU:GV,27,FALSE)</f>
        <v>0</v>
      </c>
      <c r="AD60" s="125">
        <f>VLOOKUP(C60,'Talente &amp; Stuff'!FU:GV,28,FALSE)</f>
        <v>0</v>
      </c>
      <c r="AE60" s="28"/>
    </row>
    <row r="61" spans="2:31" ht="15" hidden="1" customHeight="1" outlineLevel="2">
      <c r="B61" s="148">
        <v>5</v>
      </c>
      <c r="C61" s="177" t="str">
        <f>Attribute!C61</f>
        <v>---</v>
      </c>
      <c r="D61" s="127" t="str">
        <f>VLOOKUP(C61,'Talente &amp; Stuff'!FU:GV,2,FALSE)</f>
        <v>--/--/--</v>
      </c>
      <c r="E61" s="125" t="str">
        <f>VLOOKUP(C61,'Talente &amp; Stuff'!FU:GV,3,FALSE)</f>
        <v>-</v>
      </c>
      <c r="F61" s="114">
        <f>VLOOKUP(C61,'Talente &amp; Stuff'!FU:GV,4,FALSE)</f>
        <v>0</v>
      </c>
      <c r="G61" s="113">
        <f>VLOOKUP(C61,'Talente &amp; Stuff'!FU:GV,5,FALSE)</f>
        <v>0</v>
      </c>
      <c r="H61" s="113">
        <f>VLOOKUP(C61,'Talente &amp; Stuff'!FU:GV,6,FALSE)</f>
        <v>0</v>
      </c>
      <c r="I61" s="113">
        <f>VLOOKUP(C61,'Talente &amp; Stuff'!FU:GV,7,FALSE)</f>
        <v>0</v>
      </c>
      <c r="J61" s="113">
        <f>VLOOKUP(C61,'Talente &amp; Stuff'!FU:GV,8,FALSE)</f>
        <v>0</v>
      </c>
      <c r="K61" s="113">
        <f>VLOOKUP(C61,'Talente &amp; Stuff'!FU:GV,9,FALSE)</f>
        <v>0</v>
      </c>
      <c r="L61" s="113">
        <f>VLOOKUP(C61,'Talente &amp; Stuff'!FU:GV,10,FALSE)</f>
        <v>0</v>
      </c>
      <c r="M61" s="119">
        <f>VLOOKUP(C61,'Talente &amp; Stuff'!FU:GV,11,FALSE)</f>
        <v>0</v>
      </c>
      <c r="N61" s="89">
        <f>VLOOKUP(C61,'Talente &amp; Stuff'!FU:GV,12,FALSE)</f>
        <v>0</v>
      </c>
      <c r="O61" s="47">
        <f>VLOOKUP(C61,'Talente &amp; Stuff'!FU:GV,13,FALSE)</f>
        <v>0</v>
      </c>
      <c r="P61" s="119">
        <f>VLOOKUP(C61,'Talente &amp; Stuff'!FU:GV,14,FALSE)</f>
        <v>0</v>
      </c>
      <c r="Q61" s="114">
        <f>VLOOKUP(C61,'Talente &amp; Stuff'!FU:GV,15,FALSE)</f>
        <v>0</v>
      </c>
      <c r="R61" s="113">
        <f>VLOOKUP(C61,'Talente &amp; Stuff'!FU:GV,16,FALSE)</f>
        <v>0</v>
      </c>
      <c r="S61" s="119">
        <f>VLOOKUP(C61,'Talente &amp; Stuff'!FU:GV,17,FALSE)</f>
        <v>0</v>
      </c>
      <c r="T61" s="160">
        <f>VLOOKUP(C61,'Talente &amp; Stuff'!FU:GV,18,FALSE)</f>
        <v>0</v>
      </c>
      <c r="U61" s="89">
        <f>VLOOKUP(C61,'Talente &amp; Stuff'!FU:GV,19,FALSE)</f>
        <v>0</v>
      </c>
      <c r="V61" s="47">
        <f>VLOOKUP(C61,'Talente &amp; Stuff'!FU:GV,20,FALSE)</f>
        <v>0</v>
      </c>
      <c r="W61" s="127">
        <f>VLOOKUP(C61,'Talente &amp; Stuff'!FU:GV,21,FALSE)</f>
        <v>0</v>
      </c>
      <c r="X61" s="125">
        <f>VLOOKUP(C61,'Talente &amp; Stuff'!FU:GV,22,FALSE)</f>
        <v>0</v>
      </c>
      <c r="Y61" s="165">
        <f t="shared" si="8"/>
        <v>0</v>
      </c>
      <c r="Z61" s="44">
        <f t="shared" si="9"/>
        <v>0</v>
      </c>
      <c r="AA61" s="125">
        <f>VLOOKUP(C61,'Talente &amp; Stuff'!FU:GV,25,FALSE)</f>
        <v>0</v>
      </c>
      <c r="AB61" s="160">
        <f>VLOOKUP(C61,'Talente &amp; Stuff'!FU:GV,26,FALSE)</f>
        <v>0</v>
      </c>
      <c r="AC61" s="127">
        <f>VLOOKUP(C61,'Talente &amp; Stuff'!FU:GV,27,FALSE)</f>
        <v>0</v>
      </c>
      <c r="AD61" s="125">
        <f>VLOOKUP(C61,'Talente &amp; Stuff'!FU:GV,28,FALSE)</f>
        <v>0</v>
      </c>
      <c r="AE61" s="28"/>
    </row>
    <row r="62" spans="2:31" ht="15" hidden="1" customHeight="1" outlineLevel="2">
      <c r="B62" s="148">
        <v>6</v>
      </c>
      <c r="C62" s="177" t="str">
        <f>Attribute!C62</f>
        <v>---</v>
      </c>
      <c r="D62" s="127" t="str">
        <f>VLOOKUP(C62,'Talente &amp; Stuff'!FU:GV,2,FALSE)</f>
        <v>--/--/--</v>
      </c>
      <c r="E62" s="125" t="str">
        <f>VLOOKUP(C62,'Talente &amp; Stuff'!FU:GV,3,FALSE)</f>
        <v>-</v>
      </c>
      <c r="F62" s="114">
        <f>VLOOKUP(C62,'Talente &amp; Stuff'!FU:GV,4,FALSE)</f>
        <v>0</v>
      </c>
      <c r="G62" s="113">
        <f>VLOOKUP(C62,'Talente &amp; Stuff'!FU:GV,5,FALSE)</f>
        <v>0</v>
      </c>
      <c r="H62" s="113">
        <f>VLOOKUP(C62,'Talente &amp; Stuff'!FU:GV,6,FALSE)</f>
        <v>0</v>
      </c>
      <c r="I62" s="113">
        <f>VLOOKUP(C62,'Talente &amp; Stuff'!FU:GV,7,FALSE)</f>
        <v>0</v>
      </c>
      <c r="J62" s="113">
        <f>VLOOKUP(C62,'Talente &amp; Stuff'!FU:GV,8,FALSE)</f>
        <v>0</v>
      </c>
      <c r="K62" s="113">
        <f>VLOOKUP(C62,'Talente &amp; Stuff'!FU:GV,9,FALSE)</f>
        <v>0</v>
      </c>
      <c r="L62" s="113">
        <f>VLOOKUP(C62,'Talente &amp; Stuff'!FU:GV,10,FALSE)</f>
        <v>0</v>
      </c>
      <c r="M62" s="119">
        <f>VLOOKUP(C62,'Talente &amp; Stuff'!FU:GV,11,FALSE)</f>
        <v>0</v>
      </c>
      <c r="N62" s="89">
        <f>VLOOKUP(C62,'Talente &amp; Stuff'!FU:GV,12,FALSE)</f>
        <v>0</v>
      </c>
      <c r="O62" s="47">
        <f>VLOOKUP(C62,'Talente &amp; Stuff'!FU:GV,13,FALSE)</f>
        <v>0</v>
      </c>
      <c r="P62" s="119">
        <f>VLOOKUP(C62,'Talente &amp; Stuff'!FU:GV,14,FALSE)</f>
        <v>0</v>
      </c>
      <c r="Q62" s="114">
        <f>VLOOKUP(C62,'Talente &amp; Stuff'!FU:GV,15,FALSE)</f>
        <v>0</v>
      </c>
      <c r="R62" s="113">
        <f>VLOOKUP(C62,'Talente &amp; Stuff'!FU:GV,16,FALSE)</f>
        <v>0</v>
      </c>
      <c r="S62" s="119">
        <f>VLOOKUP(C62,'Talente &amp; Stuff'!FU:GV,17,FALSE)</f>
        <v>0</v>
      </c>
      <c r="T62" s="160">
        <f>VLOOKUP(C62,'Talente &amp; Stuff'!FU:GV,18,FALSE)</f>
        <v>0</v>
      </c>
      <c r="U62" s="89">
        <f>VLOOKUP(C62,'Talente &amp; Stuff'!FU:GV,19,FALSE)</f>
        <v>0</v>
      </c>
      <c r="V62" s="47">
        <f>VLOOKUP(C62,'Talente &amp; Stuff'!FU:GV,20,FALSE)</f>
        <v>0</v>
      </c>
      <c r="W62" s="127">
        <f>VLOOKUP(C62,'Talente &amp; Stuff'!FU:GV,21,FALSE)</f>
        <v>0</v>
      </c>
      <c r="X62" s="125">
        <f>VLOOKUP(C62,'Talente &amp; Stuff'!FU:GV,22,FALSE)</f>
        <v>0</v>
      </c>
      <c r="Y62" s="165">
        <f t="shared" si="8"/>
        <v>0</v>
      </c>
      <c r="Z62" s="44">
        <f t="shared" si="9"/>
        <v>0</v>
      </c>
      <c r="AA62" s="125">
        <f>VLOOKUP(C62,'Talente &amp; Stuff'!FU:GV,25,FALSE)</f>
        <v>0</v>
      </c>
      <c r="AB62" s="160">
        <f>VLOOKUP(C62,'Talente &amp; Stuff'!FU:GV,26,FALSE)</f>
        <v>0</v>
      </c>
      <c r="AC62" s="127">
        <f>VLOOKUP(C62,'Talente &amp; Stuff'!FU:GV,27,FALSE)</f>
        <v>0</v>
      </c>
      <c r="AD62" s="125">
        <f>VLOOKUP(C62,'Talente &amp; Stuff'!FU:GV,28,FALSE)</f>
        <v>0</v>
      </c>
      <c r="AE62" s="28"/>
    </row>
    <row r="63" spans="2:31" ht="15" hidden="1" customHeight="1" outlineLevel="2">
      <c r="B63" s="148">
        <v>7</v>
      </c>
      <c r="C63" s="177" t="str">
        <f>Attribute!C63</f>
        <v>---</v>
      </c>
      <c r="D63" s="127" t="str">
        <f>VLOOKUP(C63,'Talente &amp; Stuff'!FU:GV,2,FALSE)</f>
        <v>--/--/--</v>
      </c>
      <c r="E63" s="125" t="str">
        <f>VLOOKUP(C63,'Talente &amp; Stuff'!FU:GV,3,FALSE)</f>
        <v>-</v>
      </c>
      <c r="F63" s="114">
        <f>VLOOKUP(C63,'Talente &amp; Stuff'!FU:GV,4,FALSE)</f>
        <v>0</v>
      </c>
      <c r="G63" s="113">
        <f>VLOOKUP(C63,'Talente &amp; Stuff'!FU:GV,5,FALSE)</f>
        <v>0</v>
      </c>
      <c r="H63" s="113">
        <f>VLOOKUP(C63,'Talente &amp; Stuff'!FU:GV,6,FALSE)</f>
        <v>0</v>
      </c>
      <c r="I63" s="113">
        <f>VLOOKUP(C63,'Talente &amp; Stuff'!FU:GV,7,FALSE)</f>
        <v>0</v>
      </c>
      <c r="J63" s="113">
        <f>VLOOKUP(C63,'Talente &amp; Stuff'!FU:GV,8,FALSE)</f>
        <v>0</v>
      </c>
      <c r="K63" s="113">
        <f>VLOOKUP(C63,'Talente &amp; Stuff'!FU:GV,9,FALSE)</f>
        <v>0</v>
      </c>
      <c r="L63" s="113">
        <f>VLOOKUP(C63,'Talente &amp; Stuff'!FU:GV,10,FALSE)</f>
        <v>0</v>
      </c>
      <c r="M63" s="119">
        <f>VLOOKUP(C63,'Talente &amp; Stuff'!FU:GV,11,FALSE)</f>
        <v>0</v>
      </c>
      <c r="N63" s="89">
        <f>VLOOKUP(C63,'Talente &amp; Stuff'!FU:GV,12,FALSE)</f>
        <v>0</v>
      </c>
      <c r="O63" s="47">
        <f>VLOOKUP(C63,'Talente &amp; Stuff'!FU:GV,13,FALSE)</f>
        <v>0</v>
      </c>
      <c r="P63" s="119">
        <f>VLOOKUP(C63,'Talente &amp; Stuff'!FU:GV,14,FALSE)</f>
        <v>0</v>
      </c>
      <c r="Q63" s="114">
        <f>VLOOKUP(C63,'Talente &amp; Stuff'!FU:GV,15,FALSE)</f>
        <v>0</v>
      </c>
      <c r="R63" s="113">
        <f>VLOOKUP(C63,'Talente &amp; Stuff'!FU:GV,16,FALSE)</f>
        <v>0</v>
      </c>
      <c r="S63" s="119">
        <f>VLOOKUP(C63,'Talente &amp; Stuff'!FU:GV,17,FALSE)</f>
        <v>0</v>
      </c>
      <c r="T63" s="160">
        <f>VLOOKUP(C63,'Talente &amp; Stuff'!FU:GV,18,FALSE)</f>
        <v>0</v>
      </c>
      <c r="U63" s="89">
        <f>VLOOKUP(C63,'Talente &amp; Stuff'!FU:GV,19,FALSE)</f>
        <v>0</v>
      </c>
      <c r="V63" s="47">
        <f>VLOOKUP(C63,'Talente &amp; Stuff'!FU:GV,20,FALSE)</f>
        <v>0</v>
      </c>
      <c r="W63" s="127">
        <f>VLOOKUP(C63,'Talente &amp; Stuff'!FU:GV,21,FALSE)</f>
        <v>0</v>
      </c>
      <c r="X63" s="125">
        <f>VLOOKUP(C63,'Talente &amp; Stuff'!FU:GV,22,FALSE)</f>
        <v>0</v>
      </c>
      <c r="Y63" s="165">
        <f t="shared" si="8"/>
        <v>0</v>
      </c>
      <c r="Z63" s="44">
        <f t="shared" si="9"/>
        <v>0</v>
      </c>
      <c r="AA63" s="125">
        <f>VLOOKUP(C63,'Talente &amp; Stuff'!FU:GV,25,FALSE)</f>
        <v>0</v>
      </c>
      <c r="AB63" s="160">
        <f>VLOOKUP(C63,'Talente &amp; Stuff'!FU:GV,26,FALSE)</f>
        <v>0</v>
      </c>
      <c r="AC63" s="127">
        <f>VLOOKUP(C63,'Talente &amp; Stuff'!FU:GV,27,FALSE)</f>
        <v>0</v>
      </c>
      <c r="AD63" s="125">
        <f>VLOOKUP(C63,'Talente &amp; Stuff'!FU:GV,28,FALSE)</f>
        <v>0</v>
      </c>
      <c r="AE63" s="28"/>
    </row>
    <row r="64" spans="2:31" ht="15" hidden="1" customHeight="1" outlineLevel="2">
      <c r="B64" s="148">
        <v>8</v>
      </c>
      <c r="C64" s="177" t="str">
        <f>Attribute!C64</f>
        <v>---</v>
      </c>
      <c r="D64" s="127" t="str">
        <f>VLOOKUP(C64,'Talente &amp; Stuff'!FU:GV,2,FALSE)</f>
        <v>--/--/--</v>
      </c>
      <c r="E64" s="125" t="str">
        <f>VLOOKUP(C64,'Talente &amp; Stuff'!FU:GV,3,FALSE)</f>
        <v>-</v>
      </c>
      <c r="F64" s="114">
        <f>VLOOKUP(C64,'Talente &amp; Stuff'!FU:GV,4,FALSE)</f>
        <v>0</v>
      </c>
      <c r="G64" s="113">
        <f>VLOOKUP(C64,'Talente &amp; Stuff'!FU:GV,5,FALSE)</f>
        <v>0</v>
      </c>
      <c r="H64" s="113">
        <f>VLOOKUP(C64,'Talente &amp; Stuff'!FU:GV,6,FALSE)</f>
        <v>0</v>
      </c>
      <c r="I64" s="113">
        <f>VLOOKUP(C64,'Talente &amp; Stuff'!FU:GV,7,FALSE)</f>
        <v>0</v>
      </c>
      <c r="J64" s="113">
        <f>VLOOKUP(C64,'Talente &amp; Stuff'!FU:GV,8,FALSE)</f>
        <v>0</v>
      </c>
      <c r="K64" s="113">
        <f>VLOOKUP(C64,'Talente &amp; Stuff'!FU:GV,9,FALSE)</f>
        <v>0</v>
      </c>
      <c r="L64" s="113">
        <f>VLOOKUP(C64,'Talente &amp; Stuff'!FU:GV,10,FALSE)</f>
        <v>0</v>
      </c>
      <c r="M64" s="119">
        <f>VLOOKUP(C64,'Talente &amp; Stuff'!FU:GV,11,FALSE)</f>
        <v>0</v>
      </c>
      <c r="N64" s="89">
        <f>VLOOKUP(C64,'Talente &amp; Stuff'!FU:GV,12,FALSE)</f>
        <v>0</v>
      </c>
      <c r="O64" s="47">
        <f>VLOOKUP(C64,'Talente &amp; Stuff'!FU:GV,13,FALSE)</f>
        <v>0</v>
      </c>
      <c r="P64" s="119">
        <f>VLOOKUP(C64,'Talente &amp; Stuff'!FU:GV,14,FALSE)</f>
        <v>0</v>
      </c>
      <c r="Q64" s="114">
        <f>VLOOKUP(C64,'Talente &amp; Stuff'!FU:GV,15,FALSE)</f>
        <v>0</v>
      </c>
      <c r="R64" s="113">
        <f>VLOOKUP(C64,'Talente &amp; Stuff'!FU:GV,16,FALSE)</f>
        <v>0</v>
      </c>
      <c r="S64" s="119">
        <f>VLOOKUP(C64,'Talente &amp; Stuff'!FU:GV,17,FALSE)</f>
        <v>0</v>
      </c>
      <c r="T64" s="160">
        <f>VLOOKUP(C64,'Talente &amp; Stuff'!FU:GV,18,FALSE)</f>
        <v>0</v>
      </c>
      <c r="U64" s="89">
        <f>VLOOKUP(C64,'Talente &amp; Stuff'!FU:GV,19,FALSE)</f>
        <v>0</v>
      </c>
      <c r="V64" s="47">
        <f>VLOOKUP(C64,'Talente &amp; Stuff'!FU:GV,20,FALSE)</f>
        <v>0</v>
      </c>
      <c r="W64" s="127">
        <f>VLOOKUP(C64,'Talente &amp; Stuff'!FU:GV,21,FALSE)</f>
        <v>0</v>
      </c>
      <c r="X64" s="125">
        <f>VLOOKUP(C64,'Talente &amp; Stuff'!FU:GV,22,FALSE)</f>
        <v>0</v>
      </c>
      <c r="Y64" s="165">
        <f t="shared" si="8"/>
        <v>0</v>
      </c>
      <c r="Z64" s="44">
        <f t="shared" si="9"/>
        <v>0</v>
      </c>
      <c r="AA64" s="125">
        <f>VLOOKUP(C64,'Talente &amp; Stuff'!FU:GV,25,FALSE)</f>
        <v>0</v>
      </c>
      <c r="AB64" s="160">
        <f>VLOOKUP(C64,'Talente &amp; Stuff'!FU:GV,26,FALSE)</f>
        <v>0</v>
      </c>
      <c r="AC64" s="127">
        <f>VLOOKUP(C64,'Talente &amp; Stuff'!FU:GV,27,FALSE)</f>
        <v>0</v>
      </c>
      <c r="AD64" s="125">
        <f>VLOOKUP(C64,'Talente &amp; Stuff'!FU:GV,28,FALSE)</f>
        <v>0</v>
      </c>
      <c r="AE64" s="28"/>
    </row>
    <row r="65" spans="1:31" ht="15" hidden="1" customHeight="1" outlineLevel="2">
      <c r="B65" s="148">
        <v>9</v>
      </c>
      <c r="C65" s="177" t="str">
        <f>Attribute!C65</f>
        <v>---</v>
      </c>
      <c r="D65" s="127" t="str">
        <f>VLOOKUP(C65,'Talente &amp; Stuff'!FU:GV,2,FALSE)</f>
        <v>--/--/--</v>
      </c>
      <c r="E65" s="125" t="str">
        <f>VLOOKUP(C65,'Talente &amp; Stuff'!FU:GV,3,FALSE)</f>
        <v>-</v>
      </c>
      <c r="F65" s="114">
        <f>VLOOKUP(C65,'Talente &amp; Stuff'!FU:GV,4,FALSE)</f>
        <v>0</v>
      </c>
      <c r="G65" s="113">
        <f>VLOOKUP(C65,'Talente &amp; Stuff'!FU:GV,5,FALSE)</f>
        <v>0</v>
      </c>
      <c r="H65" s="113">
        <f>VLOOKUP(C65,'Talente &amp; Stuff'!FU:GV,6,FALSE)</f>
        <v>0</v>
      </c>
      <c r="I65" s="113">
        <f>VLOOKUP(C65,'Talente &amp; Stuff'!FU:GV,7,FALSE)</f>
        <v>0</v>
      </c>
      <c r="J65" s="113">
        <f>VLOOKUP(C65,'Talente &amp; Stuff'!FU:GV,8,FALSE)</f>
        <v>0</v>
      </c>
      <c r="K65" s="113">
        <f>VLOOKUP(C65,'Talente &amp; Stuff'!FU:GV,9,FALSE)</f>
        <v>0</v>
      </c>
      <c r="L65" s="113">
        <f>VLOOKUP(C65,'Talente &amp; Stuff'!FU:GV,10,FALSE)</f>
        <v>0</v>
      </c>
      <c r="M65" s="119">
        <f>VLOOKUP(C65,'Talente &amp; Stuff'!FU:GV,11,FALSE)</f>
        <v>0</v>
      </c>
      <c r="N65" s="89">
        <f>VLOOKUP(C65,'Talente &amp; Stuff'!FU:GV,12,FALSE)</f>
        <v>0</v>
      </c>
      <c r="O65" s="47">
        <f>VLOOKUP(C65,'Talente &amp; Stuff'!FU:GV,13,FALSE)</f>
        <v>0</v>
      </c>
      <c r="P65" s="119">
        <f>VLOOKUP(C65,'Talente &amp; Stuff'!FU:GV,14,FALSE)</f>
        <v>0</v>
      </c>
      <c r="Q65" s="114">
        <f>VLOOKUP(C65,'Talente &amp; Stuff'!FU:GV,15,FALSE)</f>
        <v>0</v>
      </c>
      <c r="R65" s="113">
        <f>VLOOKUP(C65,'Talente &amp; Stuff'!FU:GV,16,FALSE)</f>
        <v>0</v>
      </c>
      <c r="S65" s="119">
        <f>VLOOKUP(C65,'Talente &amp; Stuff'!FU:GV,17,FALSE)</f>
        <v>0</v>
      </c>
      <c r="T65" s="160">
        <f>VLOOKUP(C65,'Talente &amp; Stuff'!FU:GV,18,FALSE)</f>
        <v>0</v>
      </c>
      <c r="U65" s="89">
        <f>VLOOKUP(C65,'Talente &amp; Stuff'!FU:GV,19,FALSE)</f>
        <v>0</v>
      </c>
      <c r="V65" s="47">
        <f>VLOOKUP(C65,'Talente &amp; Stuff'!FU:GV,20,FALSE)</f>
        <v>0</v>
      </c>
      <c r="W65" s="127">
        <f>VLOOKUP(C65,'Talente &amp; Stuff'!FU:GV,21,FALSE)</f>
        <v>0</v>
      </c>
      <c r="X65" s="125">
        <f>VLOOKUP(C65,'Talente &amp; Stuff'!FU:GV,22,FALSE)</f>
        <v>0</v>
      </c>
      <c r="Y65" s="165">
        <f t="shared" si="8"/>
        <v>0</v>
      </c>
      <c r="Z65" s="44">
        <f t="shared" si="9"/>
        <v>0</v>
      </c>
      <c r="AA65" s="125">
        <f>VLOOKUP(C65,'Talente &amp; Stuff'!FU:GV,25,FALSE)</f>
        <v>0</v>
      </c>
      <c r="AB65" s="160">
        <f>VLOOKUP(C65,'Talente &amp; Stuff'!FU:GV,26,FALSE)</f>
        <v>0</v>
      </c>
      <c r="AC65" s="127">
        <f>VLOOKUP(C65,'Talente &amp; Stuff'!FU:GV,27,FALSE)</f>
        <v>0</v>
      </c>
      <c r="AD65" s="125">
        <f>VLOOKUP(C65,'Talente &amp; Stuff'!FU:GV,28,FALSE)</f>
        <v>0</v>
      </c>
      <c r="AE65" s="28"/>
    </row>
    <row r="66" spans="1:31" ht="15" hidden="1" customHeight="1" outlineLevel="2">
      <c r="B66" s="148">
        <v>10</v>
      </c>
      <c r="C66" s="177" t="str">
        <f>Attribute!C66</f>
        <v>---</v>
      </c>
      <c r="D66" s="127" t="str">
        <f>VLOOKUP(C66,'Talente &amp; Stuff'!FU:GV,2,FALSE)</f>
        <v>--/--/--</v>
      </c>
      <c r="E66" s="125" t="str">
        <f>VLOOKUP(C66,'Talente &amp; Stuff'!FU:GV,3,FALSE)</f>
        <v>-</v>
      </c>
      <c r="F66" s="114">
        <f>VLOOKUP(C66,'Talente &amp; Stuff'!FU:GV,4,FALSE)</f>
        <v>0</v>
      </c>
      <c r="G66" s="113">
        <f>VLOOKUP(C66,'Talente &amp; Stuff'!FU:GV,5,FALSE)</f>
        <v>0</v>
      </c>
      <c r="H66" s="113">
        <f>VLOOKUP(C66,'Talente &amp; Stuff'!FU:GV,6,FALSE)</f>
        <v>0</v>
      </c>
      <c r="I66" s="113">
        <f>VLOOKUP(C66,'Talente &amp; Stuff'!FU:GV,7,FALSE)</f>
        <v>0</v>
      </c>
      <c r="J66" s="113">
        <f>VLOOKUP(C66,'Talente &amp; Stuff'!FU:GV,8,FALSE)</f>
        <v>0</v>
      </c>
      <c r="K66" s="113">
        <f>VLOOKUP(C66,'Talente &amp; Stuff'!FU:GV,9,FALSE)</f>
        <v>0</v>
      </c>
      <c r="L66" s="113">
        <f>VLOOKUP(C66,'Talente &amp; Stuff'!FU:GV,10,FALSE)</f>
        <v>0</v>
      </c>
      <c r="M66" s="119">
        <f>VLOOKUP(C66,'Talente &amp; Stuff'!FU:GV,11,FALSE)</f>
        <v>0</v>
      </c>
      <c r="N66" s="89">
        <f>VLOOKUP(C66,'Talente &amp; Stuff'!FU:GV,12,FALSE)</f>
        <v>0</v>
      </c>
      <c r="O66" s="47">
        <f>VLOOKUP(C66,'Talente &amp; Stuff'!FU:GV,13,FALSE)</f>
        <v>0</v>
      </c>
      <c r="P66" s="119">
        <f>VLOOKUP(C66,'Talente &amp; Stuff'!FU:GV,14,FALSE)</f>
        <v>0</v>
      </c>
      <c r="Q66" s="114">
        <f>VLOOKUP(C66,'Talente &amp; Stuff'!FU:GV,15,FALSE)</f>
        <v>0</v>
      </c>
      <c r="R66" s="113">
        <f>VLOOKUP(C66,'Talente &amp; Stuff'!FU:GV,16,FALSE)</f>
        <v>0</v>
      </c>
      <c r="S66" s="119">
        <f>VLOOKUP(C66,'Talente &amp; Stuff'!FU:GV,17,FALSE)</f>
        <v>0</v>
      </c>
      <c r="T66" s="160">
        <f>VLOOKUP(C66,'Talente &amp; Stuff'!FU:GV,18,FALSE)</f>
        <v>0</v>
      </c>
      <c r="U66" s="89">
        <f>VLOOKUP(C66,'Talente &amp; Stuff'!FU:GV,19,FALSE)</f>
        <v>0</v>
      </c>
      <c r="V66" s="47">
        <f>VLOOKUP(C66,'Talente &amp; Stuff'!FU:GV,20,FALSE)</f>
        <v>0</v>
      </c>
      <c r="W66" s="127">
        <f>VLOOKUP(C66,'Talente &amp; Stuff'!FU:GV,21,FALSE)</f>
        <v>0</v>
      </c>
      <c r="X66" s="125">
        <f>VLOOKUP(C66,'Talente &amp; Stuff'!FU:GV,22,FALSE)</f>
        <v>0</v>
      </c>
      <c r="Y66" s="165">
        <f t="shared" si="8"/>
        <v>0</v>
      </c>
      <c r="Z66" s="44">
        <f t="shared" si="9"/>
        <v>0</v>
      </c>
      <c r="AA66" s="125">
        <f>VLOOKUP(C66,'Talente &amp; Stuff'!FU:GV,25,FALSE)</f>
        <v>0</v>
      </c>
      <c r="AB66" s="160">
        <f>VLOOKUP(C66,'Talente &amp; Stuff'!FU:GV,26,FALSE)</f>
        <v>0</v>
      </c>
      <c r="AC66" s="127">
        <f>VLOOKUP(C66,'Talente &amp; Stuff'!FU:GV,27,FALSE)</f>
        <v>0</v>
      </c>
      <c r="AD66" s="125">
        <f>VLOOKUP(C66,'Talente &amp; Stuff'!FU:GV,28,FALSE)</f>
        <v>0</v>
      </c>
      <c r="AE66" s="28"/>
    </row>
    <row r="67" spans="1:31" ht="15" hidden="1" customHeight="1" outlineLevel="2">
      <c r="B67" s="148">
        <v>11</v>
      </c>
      <c r="C67" s="177" t="str">
        <f>Attribute!C67</f>
        <v>---</v>
      </c>
      <c r="D67" s="127" t="str">
        <f>VLOOKUP(C67,'Talente &amp; Stuff'!FU:GV,2,FALSE)</f>
        <v>--/--/--</v>
      </c>
      <c r="E67" s="125" t="str">
        <f>VLOOKUP(C67,'Talente &amp; Stuff'!FU:GV,3,FALSE)</f>
        <v>-</v>
      </c>
      <c r="F67" s="114">
        <f>VLOOKUP(C67,'Talente &amp; Stuff'!FU:GV,4,FALSE)</f>
        <v>0</v>
      </c>
      <c r="G67" s="113">
        <f>VLOOKUP(C67,'Talente &amp; Stuff'!FU:GV,5,FALSE)</f>
        <v>0</v>
      </c>
      <c r="H67" s="113">
        <f>VLOOKUP(C67,'Talente &amp; Stuff'!FU:GV,6,FALSE)</f>
        <v>0</v>
      </c>
      <c r="I67" s="113">
        <f>VLOOKUP(C67,'Talente &amp; Stuff'!FU:GV,7,FALSE)</f>
        <v>0</v>
      </c>
      <c r="J67" s="113">
        <f>VLOOKUP(C67,'Talente &amp; Stuff'!FU:GV,8,FALSE)</f>
        <v>0</v>
      </c>
      <c r="K67" s="113">
        <f>VLOOKUP(C67,'Talente &amp; Stuff'!FU:GV,9,FALSE)</f>
        <v>0</v>
      </c>
      <c r="L67" s="113">
        <f>VLOOKUP(C67,'Talente &amp; Stuff'!FU:GV,10,FALSE)</f>
        <v>0</v>
      </c>
      <c r="M67" s="119">
        <f>VLOOKUP(C67,'Talente &amp; Stuff'!FU:GV,11,FALSE)</f>
        <v>0</v>
      </c>
      <c r="N67" s="89">
        <f>VLOOKUP(C67,'Talente &amp; Stuff'!FU:GV,12,FALSE)</f>
        <v>0</v>
      </c>
      <c r="O67" s="47">
        <f>VLOOKUP(C67,'Talente &amp; Stuff'!FU:GV,13,FALSE)</f>
        <v>0</v>
      </c>
      <c r="P67" s="119">
        <f>VLOOKUP(C67,'Talente &amp; Stuff'!FU:GV,14,FALSE)</f>
        <v>0</v>
      </c>
      <c r="Q67" s="114">
        <f>VLOOKUP(C67,'Talente &amp; Stuff'!FU:GV,15,FALSE)</f>
        <v>0</v>
      </c>
      <c r="R67" s="113">
        <f>VLOOKUP(C67,'Talente &amp; Stuff'!FU:GV,16,FALSE)</f>
        <v>0</v>
      </c>
      <c r="S67" s="119">
        <f>VLOOKUP(C67,'Talente &amp; Stuff'!FU:GV,17,FALSE)</f>
        <v>0</v>
      </c>
      <c r="T67" s="160">
        <f>VLOOKUP(C67,'Talente &amp; Stuff'!FU:GV,18,FALSE)</f>
        <v>0</v>
      </c>
      <c r="U67" s="89">
        <f>VLOOKUP(C67,'Talente &amp; Stuff'!FU:GV,19,FALSE)</f>
        <v>0</v>
      </c>
      <c r="V67" s="47">
        <f>VLOOKUP(C67,'Talente &amp; Stuff'!FU:GV,20,FALSE)</f>
        <v>0</v>
      </c>
      <c r="W67" s="127">
        <f>VLOOKUP(C67,'Talente &amp; Stuff'!FU:GV,21,FALSE)</f>
        <v>0</v>
      </c>
      <c r="X67" s="125">
        <f>VLOOKUP(C67,'Talente &amp; Stuff'!FU:GV,22,FALSE)</f>
        <v>0</v>
      </c>
      <c r="Y67" s="165">
        <f t="shared" si="8"/>
        <v>0</v>
      </c>
      <c r="Z67" s="44">
        <f t="shared" si="9"/>
        <v>0</v>
      </c>
      <c r="AA67" s="125">
        <f>VLOOKUP(C67,'Talente &amp; Stuff'!FU:GV,25,FALSE)</f>
        <v>0</v>
      </c>
      <c r="AB67" s="160">
        <f>VLOOKUP(C67,'Talente &amp; Stuff'!FU:GV,26,FALSE)</f>
        <v>0</v>
      </c>
      <c r="AC67" s="127">
        <f>VLOOKUP(C67,'Talente &amp; Stuff'!FU:GV,27,FALSE)</f>
        <v>0</v>
      </c>
      <c r="AD67" s="125">
        <f>VLOOKUP(C67,'Talente &amp; Stuff'!FU:GV,28,FALSE)</f>
        <v>0</v>
      </c>
      <c r="AE67" s="28"/>
    </row>
    <row r="68" spans="1:31" ht="15" hidden="1" customHeight="1" outlineLevel="2">
      <c r="B68" s="148">
        <v>12</v>
      </c>
      <c r="C68" s="177" t="str">
        <f>Attribute!C68</f>
        <v>---</v>
      </c>
      <c r="D68" s="127" t="str">
        <f>VLOOKUP(C68,'Talente &amp; Stuff'!FU:GV,2,FALSE)</f>
        <v>--/--/--</v>
      </c>
      <c r="E68" s="125" t="str">
        <f>VLOOKUP(C68,'Talente &amp; Stuff'!FU:GV,3,FALSE)</f>
        <v>-</v>
      </c>
      <c r="F68" s="114">
        <f>VLOOKUP(C68,'Talente &amp; Stuff'!FU:GV,4,FALSE)</f>
        <v>0</v>
      </c>
      <c r="G68" s="113">
        <f>VLOOKUP(C68,'Talente &amp; Stuff'!FU:GV,5,FALSE)</f>
        <v>0</v>
      </c>
      <c r="H68" s="113">
        <f>VLOOKUP(C68,'Talente &amp; Stuff'!FU:GV,6,FALSE)</f>
        <v>0</v>
      </c>
      <c r="I68" s="113">
        <f>VLOOKUP(C68,'Talente &amp; Stuff'!FU:GV,7,FALSE)</f>
        <v>0</v>
      </c>
      <c r="J68" s="113">
        <f>VLOOKUP(C68,'Talente &amp; Stuff'!FU:GV,8,FALSE)</f>
        <v>0</v>
      </c>
      <c r="K68" s="113">
        <f>VLOOKUP(C68,'Talente &amp; Stuff'!FU:GV,9,FALSE)</f>
        <v>0</v>
      </c>
      <c r="L68" s="113">
        <f>VLOOKUP(C68,'Talente &amp; Stuff'!FU:GV,10,FALSE)</f>
        <v>0</v>
      </c>
      <c r="M68" s="119">
        <f>VLOOKUP(C68,'Talente &amp; Stuff'!FU:GV,11,FALSE)</f>
        <v>0</v>
      </c>
      <c r="N68" s="89">
        <f>VLOOKUP(C68,'Talente &amp; Stuff'!FU:GV,12,FALSE)</f>
        <v>0</v>
      </c>
      <c r="O68" s="47">
        <f>VLOOKUP(C68,'Talente &amp; Stuff'!FU:GV,13,FALSE)</f>
        <v>0</v>
      </c>
      <c r="P68" s="119">
        <f>VLOOKUP(C68,'Talente &amp; Stuff'!FU:GV,14,FALSE)</f>
        <v>0</v>
      </c>
      <c r="Q68" s="114">
        <f>VLOOKUP(C68,'Talente &amp; Stuff'!FU:GV,15,FALSE)</f>
        <v>0</v>
      </c>
      <c r="R68" s="113">
        <f>VLOOKUP(C68,'Talente &amp; Stuff'!FU:GV,16,FALSE)</f>
        <v>0</v>
      </c>
      <c r="S68" s="119">
        <f>VLOOKUP(C68,'Talente &amp; Stuff'!FU:GV,17,FALSE)</f>
        <v>0</v>
      </c>
      <c r="T68" s="160">
        <f>VLOOKUP(C68,'Talente &amp; Stuff'!FU:GV,18,FALSE)</f>
        <v>0</v>
      </c>
      <c r="U68" s="89">
        <f>VLOOKUP(C68,'Talente &amp; Stuff'!FU:GV,19,FALSE)</f>
        <v>0</v>
      </c>
      <c r="V68" s="47">
        <f>VLOOKUP(C68,'Talente &amp; Stuff'!FU:GV,20,FALSE)</f>
        <v>0</v>
      </c>
      <c r="W68" s="127">
        <f>VLOOKUP(C68,'Talente &amp; Stuff'!FU:GV,21,FALSE)</f>
        <v>0</v>
      </c>
      <c r="X68" s="125">
        <f>VLOOKUP(C68,'Talente &amp; Stuff'!FU:GV,22,FALSE)</f>
        <v>0</v>
      </c>
      <c r="Y68" s="165">
        <f t="shared" si="8"/>
        <v>0</v>
      </c>
      <c r="Z68" s="44">
        <f t="shared" si="9"/>
        <v>0</v>
      </c>
      <c r="AA68" s="125">
        <f>VLOOKUP(C68,'Talente &amp; Stuff'!FU:GV,25,FALSE)</f>
        <v>0</v>
      </c>
      <c r="AB68" s="160">
        <f>VLOOKUP(C68,'Talente &amp; Stuff'!FU:GV,26,FALSE)</f>
        <v>0</v>
      </c>
      <c r="AC68" s="127">
        <f>VLOOKUP(C68,'Talente &amp; Stuff'!FU:GV,27,FALSE)</f>
        <v>0</v>
      </c>
      <c r="AD68" s="125">
        <f>VLOOKUP(C68,'Talente &amp; Stuff'!FU:GV,28,FALSE)</f>
        <v>0</v>
      </c>
      <c r="AE68" s="28"/>
    </row>
    <row r="69" spans="1:31" ht="15" hidden="1" customHeight="1" outlineLevel="2">
      <c r="B69" s="148">
        <v>13</v>
      </c>
      <c r="C69" s="177" t="str">
        <f>Attribute!C69</f>
        <v>---</v>
      </c>
      <c r="D69" s="127" t="str">
        <f>VLOOKUP(C69,'Talente &amp; Stuff'!FU:GV,2,FALSE)</f>
        <v>--/--/--</v>
      </c>
      <c r="E69" s="125" t="str">
        <f>VLOOKUP(C69,'Talente &amp; Stuff'!FU:GV,3,FALSE)</f>
        <v>-</v>
      </c>
      <c r="F69" s="114">
        <f>VLOOKUP(C69,'Talente &amp; Stuff'!FU:GV,4,FALSE)</f>
        <v>0</v>
      </c>
      <c r="G69" s="113">
        <f>VLOOKUP(C69,'Talente &amp; Stuff'!FU:GV,5,FALSE)</f>
        <v>0</v>
      </c>
      <c r="H69" s="113">
        <f>VLOOKUP(C69,'Talente &amp; Stuff'!FU:GV,6,FALSE)</f>
        <v>0</v>
      </c>
      <c r="I69" s="113">
        <f>VLOOKUP(C69,'Talente &amp; Stuff'!FU:GV,7,FALSE)</f>
        <v>0</v>
      </c>
      <c r="J69" s="113">
        <f>VLOOKUP(C69,'Talente &amp; Stuff'!FU:GV,8,FALSE)</f>
        <v>0</v>
      </c>
      <c r="K69" s="113">
        <f>VLOOKUP(C69,'Talente &amp; Stuff'!FU:GV,9,FALSE)</f>
        <v>0</v>
      </c>
      <c r="L69" s="113">
        <f>VLOOKUP(C69,'Talente &amp; Stuff'!FU:GV,10,FALSE)</f>
        <v>0</v>
      </c>
      <c r="M69" s="119">
        <f>VLOOKUP(C69,'Talente &amp; Stuff'!FU:GV,11,FALSE)</f>
        <v>0</v>
      </c>
      <c r="N69" s="89">
        <f>VLOOKUP(C69,'Talente &amp; Stuff'!FU:GV,12,FALSE)</f>
        <v>0</v>
      </c>
      <c r="O69" s="47">
        <f>VLOOKUP(C69,'Talente &amp; Stuff'!FU:GV,13,FALSE)</f>
        <v>0</v>
      </c>
      <c r="P69" s="119">
        <f>VLOOKUP(C69,'Talente &amp; Stuff'!FU:GV,14,FALSE)</f>
        <v>0</v>
      </c>
      <c r="Q69" s="114">
        <f>VLOOKUP(C69,'Talente &amp; Stuff'!FU:GV,15,FALSE)</f>
        <v>0</v>
      </c>
      <c r="R69" s="113">
        <f>VLOOKUP(C69,'Talente &amp; Stuff'!FU:GV,16,FALSE)</f>
        <v>0</v>
      </c>
      <c r="S69" s="119">
        <f>VLOOKUP(C69,'Talente &amp; Stuff'!FU:GV,17,FALSE)</f>
        <v>0</v>
      </c>
      <c r="T69" s="160">
        <f>VLOOKUP(C69,'Talente &amp; Stuff'!FU:GV,18,FALSE)</f>
        <v>0</v>
      </c>
      <c r="U69" s="89">
        <f>VLOOKUP(C69,'Talente &amp; Stuff'!FU:GV,19,FALSE)</f>
        <v>0</v>
      </c>
      <c r="V69" s="47">
        <f>VLOOKUP(C69,'Talente &amp; Stuff'!FU:GV,20,FALSE)</f>
        <v>0</v>
      </c>
      <c r="W69" s="127">
        <f>VLOOKUP(C69,'Talente &amp; Stuff'!FU:GV,21,FALSE)</f>
        <v>0</v>
      </c>
      <c r="X69" s="125">
        <f>VLOOKUP(C69,'Talente &amp; Stuff'!FU:GV,22,FALSE)</f>
        <v>0</v>
      </c>
      <c r="Y69" s="165">
        <f t="shared" si="8"/>
        <v>0</v>
      </c>
      <c r="Z69" s="44">
        <f t="shared" si="9"/>
        <v>0</v>
      </c>
      <c r="AA69" s="125">
        <f>VLOOKUP(C69,'Talente &amp; Stuff'!FU:GV,25,FALSE)</f>
        <v>0</v>
      </c>
      <c r="AB69" s="160">
        <f>VLOOKUP(C69,'Talente &amp; Stuff'!FU:GV,26,FALSE)</f>
        <v>0</v>
      </c>
      <c r="AC69" s="127">
        <f>VLOOKUP(C69,'Talente &amp; Stuff'!FU:GV,27,FALSE)</f>
        <v>0</v>
      </c>
      <c r="AD69" s="125">
        <f>VLOOKUP(C69,'Talente &amp; Stuff'!FU:GV,28,FALSE)</f>
        <v>0</v>
      </c>
      <c r="AE69" s="28"/>
    </row>
    <row r="70" spans="1:31" ht="15" hidden="1" customHeight="1" outlineLevel="2">
      <c r="B70" s="148">
        <v>14</v>
      </c>
      <c r="C70" s="177" t="str">
        <f>Attribute!C70</f>
        <v>---</v>
      </c>
      <c r="D70" s="127" t="str">
        <f>VLOOKUP(C70,'Talente &amp; Stuff'!FU:GV,2,FALSE)</f>
        <v>--/--/--</v>
      </c>
      <c r="E70" s="125" t="str">
        <f>VLOOKUP(C70,'Talente &amp; Stuff'!FU:GV,3,FALSE)</f>
        <v>-</v>
      </c>
      <c r="F70" s="114">
        <f>VLOOKUP(C70,'Talente &amp; Stuff'!FU:GV,4,FALSE)</f>
        <v>0</v>
      </c>
      <c r="G70" s="113">
        <f>VLOOKUP(C70,'Talente &amp; Stuff'!FU:GV,5,FALSE)</f>
        <v>0</v>
      </c>
      <c r="H70" s="113">
        <f>VLOOKUP(C70,'Talente &amp; Stuff'!FU:GV,6,FALSE)</f>
        <v>0</v>
      </c>
      <c r="I70" s="113">
        <f>VLOOKUP(C70,'Talente &amp; Stuff'!FU:GV,7,FALSE)</f>
        <v>0</v>
      </c>
      <c r="J70" s="113">
        <f>VLOOKUP(C70,'Talente &amp; Stuff'!FU:GV,8,FALSE)</f>
        <v>0</v>
      </c>
      <c r="K70" s="113">
        <f>VLOOKUP(C70,'Talente &amp; Stuff'!FU:GV,9,FALSE)</f>
        <v>0</v>
      </c>
      <c r="L70" s="113">
        <f>VLOOKUP(C70,'Talente &amp; Stuff'!FU:GV,10,FALSE)</f>
        <v>0</v>
      </c>
      <c r="M70" s="119">
        <f>VLOOKUP(C70,'Talente &amp; Stuff'!FU:GV,11,FALSE)</f>
        <v>0</v>
      </c>
      <c r="N70" s="89">
        <f>VLOOKUP(C70,'Talente &amp; Stuff'!FU:GV,12,FALSE)</f>
        <v>0</v>
      </c>
      <c r="O70" s="47">
        <f>VLOOKUP(C70,'Talente &amp; Stuff'!FU:GV,13,FALSE)</f>
        <v>0</v>
      </c>
      <c r="P70" s="119">
        <f>VLOOKUP(C70,'Talente &amp; Stuff'!FU:GV,14,FALSE)</f>
        <v>0</v>
      </c>
      <c r="Q70" s="114">
        <f>VLOOKUP(C70,'Talente &amp; Stuff'!FU:GV,15,FALSE)</f>
        <v>0</v>
      </c>
      <c r="R70" s="113">
        <f>VLOOKUP(C70,'Talente &amp; Stuff'!FU:GV,16,FALSE)</f>
        <v>0</v>
      </c>
      <c r="S70" s="119">
        <f>VLOOKUP(C70,'Talente &amp; Stuff'!FU:GV,17,FALSE)</f>
        <v>0</v>
      </c>
      <c r="T70" s="160">
        <f>VLOOKUP(C70,'Talente &amp; Stuff'!FU:GV,18,FALSE)</f>
        <v>0</v>
      </c>
      <c r="U70" s="89">
        <f>VLOOKUP(C70,'Talente &amp; Stuff'!FU:GV,19,FALSE)</f>
        <v>0</v>
      </c>
      <c r="V70" s="47">
        <f>VLOOKUP(C70,'Talente &amp; Stuff'!FU:GV,20,FALSE)</f>
        <v>0</v>
      </c>
      <c r="W70" s="127">
        <f>VLOOKUP(C70,'Talente &amp; Stuff'!FU:GV,21,FALSE)</f>
        <v>0</v>
      </c>
      <c r="X70" s="125">
        <f>VLOOKUP(C70,'Talente &amp; Stuff'!FU:GV,22,FALSE)</f>
        <v>0</v>
      </c>
      <c r="Y70" s="165">
        <f t="shared" si="8"/>
        <v>0</v>
      </c>
      <c r="Z70" s="44">
        <f t="shared" si="9"/>
        <v>0</v>
      </c>
      <c r="AA70" s="125">
        <f>VLOOKUP(C70,'Talente &amp; Stuff'!FU:GV,25,FALSE)</f>
        <v>0</v>
      </c>
      <c r="AB70" s="160">
        <f>VLOOKUP(C70,'Talente &amp; Stuff'!FU:GV,26,FALSE)</f>
        <v>0</v>
      </c>
      <c r="AC70" s="127">
        <f>VLOOKUP(C70,'Talente &amp; Stuff'!FU:GV,27,FALSE)</f>
        <v>0</v>
      </c>
      <c r="AD70" s="125">
        <f>VLOOKUP(C70,'Talente &amp; Stuff'!FU:GV,28,FALSE)</f>
        <v>0</v>
      </c>
      <c r="AE70" s="28"/>
    </row>
    <row r="71" spans="1:31" ht="15" hidden="1" customHeight="1" outlineLevel="2">
      <c r="B71" s="148">
        <v>15</v>
      </c>
      <c r="C71" s="177" t="str">
        <f>Attribute!C71</f>
        <v>---</v>
      </c>
      <c r="D71" s="127" t="str">
        <f>VLOOKUP(C71,'Talente &amp; Stuff'!FU:GV,2,FALSE)</f>
        <v>--/--/--</v>
      </c>
      <c r="E71" s="125" t="str">
        <f>VLOOKUP(C71,'Talente &amp; Stuff'!FU:GV,3,FALSE)</f>
        <v>-</v>
      </c>
      <c r="F71" s="114">
        <f>VLOOKUP(C71,'Talente &amp; Stuff'!FU:GV,4,FALSE)</f>
        <v>0</v>
      </c>
      <c r="G71" s="113">
        <f>VLOOKUP(C71,'Talente &amp; Stuff'!FU:GV,5,FALSE)</f>
        <v>0</v>
      </c>
      <c r="H71" s="113">
        <f>VLOOKUP(C71,'Talente &amp; Stuff'!FU:GV,6,FALSE)</f>
        <v>0</v>
      </c>
      <c r="I71" s="113">
        <f>VLOOKUP(C71,'Talente &amp; Stuff'!FU:GV,7,FALSE)</f>
        <v>0</v>
      </c>
      <c r="J71" s="113">
        <f>VLOOKUP(C71,'Talente &amp; Stuff'!FU:GV,8,FALSE)</f>
        <v>0</v>
      </c>
      <c r="K71" s="113">
        <f>VLOOKUP(C71,'Talente &amp; Stuff'!FU:GV,9,FALSE)</f>
        <v>0</v>
      </c>
      <c r="L71" s="113">
        <f>VLOOKUP(C71,'Talente &amp; Stuff'!FU:GV,10,FALSE)</f>
        <v>0</v>
      </c>
      <c r="M71" s="119">
        <f>VLOOKUP(C71,'Talente &amp; Stuff'!FU:GV,11,FALSE)</f>
        <v>0</v>
      </c>
      <c r="N71" s="89">
        <f>VLOOKUP(C71,'Talente &amp; Stuff'!FU:GV,12,FALSE)</f>
        <v>0</v>
      </c>
      <c r="O71" s="47">
        <f>VLOOKUP(C71,'Talente &amp; Stuff'!FU:GV,13,FALSE)</f>
        <v>0</v>
      </c>
      <c r="P71" s="119">
        <f>VLOOKUP(C71,'Talente &amp; Stuff'!FU:GV,14,FALSE)</f>
        <v>0</v>
      </c>
      <c r="Q71" s="114">
        <f>VLOOKUP(C71,'Talente &amp; Stuff'!FU:GV,15,FALSE)</f>
        <v>0</v>
      </c>
      <c r="R71" s="113">
        <f>VLOOKUP(C71,'Talente &amp; Stuff'!FU:GV,16,FALSE)</f>
        <v>0</v>
      </c>
      <c r="S71" s="119">
        <f>VLOOKUP(C71,'Talente &amp; Stuff'!FU:GV,17,FALSE)</f>
        <v>0</v>
      </c>
      <c r="T71" s="160">
        <f>VLOOKUP(C71,'Talente &amp; Stuff'!FU:GV,18,FALSE)</f>
        <v>0</v>
      </c>
      <c r="U71" s="89">
        <f>VLOOKUP(C71,'Talente &amp; Stuff'!FU:GV,19,FALSE)</f>
        <v>0</v>
      </c>
      <c r="V71" s="47">
        <f>VLOOKUP(C71,'Talente &amp; Stuff'!FU:GV,20,FALSE)</f>
        <v>0</v>
      </c>
      <c r="W71" s="127">
        <f>VLOOKUP(C71,'Talente &amp; Stuff'!FU:GV,21,FALSE)</f>
        <v>0</v>
      </c>
      <c r="X71" s="125">
        <f>VLOOKUP(C71,'Talente &amp; Stuff'!FU:GV,22,FALSE)</f>
        <v>0</v>
      </c>
      <c r="Y71" s="165">
        <f t="shared" si="8"/>
        <v>0</v>
      </c>
      <c r="Z71" s="44">
        <f t="shared" si="9"/>
        <v>0</v>
      </c>
      <c r="AA71" s="125">
        <f>VLOOKUP(C71,'Talente &amp; Stuff'!FU:GV,25,FALSE)</f>
        <v>0</v>
      </c>
      <c r="AB71" s="160">
        <f>VLOOKUP(C71,'Talente &amp; Stuff'!FU:GV,26,FALSE)</f>
        <v>0</v>
      </c>
      <c r="AC71" s="127">
        <f>VLOOKUP(C71,'Talente &amp; Stuff'!FU:GV,27,FALSE)</f>
        <v>0</v>
      </c>
      <c r="AD71" s="125">
        <f>VLOOKUP(C71,'Talente &amp; Stuff'!FU:GV,28,FALSE)</f>
        <v>0</v>
      </c>
      <c r="AE71" s="28"/>
    </row>
    <row r="72" spans="1:31" ht="15" hidden="1" customHeight="1" outlineLevel="2">
      <c r="B72" s="148">
        <v>16</v>
      </c>
      <c r="C72" s="177" t="str">
        <f>Attribute!C72</f>
        <v>---</v>
      </c>
      <c r="D72" s="127" t="str">
        <f>VLOOKUP(C72,'Talente &amp; Stuff'!FU:GV,2,FALSE)</f>
        <v>--/--/--</v>
      </c>
      <c r="E72" s="125" t="str">
        <f>VLOOKUP(C72,'Talente &amp; Stuff'!FU:GV,3,FALSE)</f>
        <v>-</v>
      </c>
      <c r="F72" s="114">
        <f>VLOOKUP(C72,'Talente &amp; Stuff'!FU:GV,4,FALSE)</f>
        <v>0</v>
      </c>
      <c r="G72" s="113">
        <f>VLOOKUP(C72,'Talente &amp; Stuff'!FU:GV,5,FALSE)</f>
        <v>0</v>
      </c>
      <c r="H72" s="113">
        <f>VLOOKUP(C72,'Talente &amp; Stuff'!FU:GV,6,FALSE)</f>
        <v>0</v>
      </c>
      <c r="I72" s="113">
        <f>VLOOKUP(C72,'Talente &amp; Stuff'!FU:GV,7,FALSE)</f>
        <v>0</v>
      </c>
      <c r="J72" s="113">
        <f>VLOOKUP(C72,'Talente &amp; Stuff'!FU:GV,8,FALSE)</f>
        <v>0</v>
      </c>
      <c r="K72" s="113">
        <f>VLOOKUP(C72,'Talente &amp; Stuff'!FU:GV,9,FALSE)</f>
        <v>0</v>
      </c>
      <c r="L72" s="113">
        <f>VLOOKUP(C72,'Talente &amp; Stuff'!FU:GV,10,FALSE)</f>
        <v>0</v>
      </c>
      <c r="M72" s="119">
        <f>VLOOKUP(C72,'Talente &amp; Stuff'!FU:GV,11,FALSE)</f>
        <v>0</v>
      </c>
      <c r="N72" s="89">
        <f>VLOOKUP(C72,'Talente &amp; Stuff'!FU:GV,12,FALSE)</f>
        <v>0</v>
      </c>
      <c r="O72" s="47">
        <f>VLOOKUP(C72,'Talente &amp; Stuff'!FU:GV,13,FALSE)</f>
        <v>0</v>
      </c>
      <c r="P72" s="119">
        <f>VLOOKUP(C72,'Talente &amp; Stuff'!FU:GV,14,FALSE)</f>
        <v>0</v>
      </c>
      <c r="Q72" s="114">
        <f>VLOOKUP(C72,'Talente &amp; Stuff'!FU:GV,15,FALSE)</f>
        <v>0</v>
      </c>
      <c r="R72" s="113">
        <f>VLOOKUP(C72,'Talente &amp; Stuff'!FU:GV,16,FALSE)</f>
        <v>0</v>
      </c>
      <c r="S72" s="119">
        <f>VLOOKUP(C72,'Talente &amp; Stuff'!FU:GV,17,FALSE)</f>
        <v>0</v>
      </c>
      <c r="T72" s="160">
        <f>VLOOKUP(C72,'Talente &amp; Stuff'!FU:GV,18,FALSE)</f>
        <v>0</v>
      </c>
      <c r="U72" s="89">
        <f>VLOOKUP(C72,'Talente &amp; Stuff'!FU:GV,19,FALSE)</f>
        <v>0</v>
      </c>
      <c r="V72" s="47">
        <f>VLOOKUP(C72,'Talente &amp; Stuff'!FU:GV,20,FALSE)</f>
        <v>0</v>
      </c>
      <c r="W72" s="127">
        <f>VLOOKUP(C72,'Talente &amp; Stuff'!FU:GV,21,FALSE)</f>
        <v>0</v>
      </c>
      <c r="X72" s="125">
        <f>VLOOKUP(C72,'Talente &amp; Stuff'!FU:GV,22,FALSE)</f>
        <v>0</v>
      </c>
      <c r="Y72" s="165">
        <f t="shared" si="8"/>
        <v>0</v>
      </c>
      <c r="Z72" s="44">
        <f t="shared" si="9"/>
        <v>0</v>
      </c>
      <c r="AA72" s="125">
        <f>VLOOKUP(C72,'Talente &amp; Stuff'!FU:GV,25,FALSE)</f>
        <v>0</v>
      </c>
      <c r="AB72" s="160">
        <f>VLOOKUP(C72,'Talente &amp; Stuff'!FU:GV,26,FALSE)</f>
        <v>0</v>
      </c>
      <c r="AC72" s="127">
        <f>VLOOKUP(C72,'Talente &amp; Stuff'!FU:GV,27,FALSE)</f>
        <v>0</v>
      </c>
      <c r="AD72" s="125">
        <f>VLOOKUP(C72,'Talente &amp; Stuff'!FU:GV,28,FALSE)</f>
        <v>0</v>
      </c>
      <c r="AE72" s="28"/>
    </row>
    <row r="73" spans="1:31" ht="15" hidden="1" customHeight="1" outlineLevel="2">
      <c r="B73" s="148">
        <v>17</v>
      </c>
      <c r="C73" s="178" t="str">
        <f>Attribute!C73</f>
        <v>---</v>
      </c>
      <c r="D73" s="128" t="str">
        <f>VLOOKUP(C73,'Talente &amp; Stuff'!FU:GV,2,FALSE)</f>
        <v>--/--/--</v>
      </c>
      <c r="E73" s="159" t="str">
        <f>VLOOKUP(C73,'Talente &amp; Stuff'!FU:GV,3,FALSE)</f>
        <v>-</v>
      </c>
      <c r="F73" s="115">
        <f>VLOOKUP(C73,'Talente &amp; Stuff'!FU:GV,4,FALSE)</f>
        <v>0</v>
      </c>
      <c r="G73" s="122">
        <f>VLOOKUP(C73,'Talente &amp; Stuff'!FU:GV,5,FALSE)</f>
        <v>0</v>
      </c>
      <c r="H73" s="122">
        <f>VLOOKUP(C73,'Talente &amp; Stuff'!FU:GV,6,FALSE)</f>
        <v>0</v>
      </c>
      <c r="I73" s="122">
        <f>VLOOKUP(C73,'Talente &amp; Stuff'!FU:GV,7,FALSE)</f>
        <v>0</v>
      </c>
      <c r="J73" s="122">
        <f>VLOOKUP(C73,'Talente &amp; Stuff'!FU:GV,8,FALSE)</f>
        <v>0</v>
      </c>
      <c r="K73" s="122">
        <f>VLOOKUP(C73,'Talente &amp; Stuff'!FU:GV,9,FALSE)</f>
        <v>0</v>
      </c>
      <c r="L73" s="122">
        <f>VLOOKUP(C73,'Talente &amp; Stuff'!FU:GV,10,FALSE)</f>
        <v>0</v>
      </c>
      <c r="M73" s="123">
        <f>VLOOKUP(C73,'Talente &amp; Stuff'!FU:GV,11,FALSE)</f>
        <v>0</v>
      </c>
      <c r="N73" s="90">
        <f>VLOOKUP(C73,'Talente &amp; Stuff'!FU:GV,12,FALSE)</f>
        <v>0</v>
      </c>
      <c r="O73" s="88">
        <f>VLOOKUP(C73,'Talente &amp; Stuff'!FU:GV,13,FALSE)</f>
        <v>0</v>
      </c>
      <c r="P73" s="123">
        <f>VLOOKUP(C73,'Talente &amp; Stuff'!FU:GV,14,FALSE)</f>
        <v>0</v>
      </c>
      <c r="Q73" s="115">
        <f>VLOOKUP(C73,'Talente &amp; Stuff'!FU:GV,15,FALSE)</f>
        <v>0</v>
      </c>
      <c r="R73" s="122">
        <f>VLOOKUP(C73,'Talente &amp; Stuff'!FU:GV,16,FALSE)</f>
        <v>0</v>
      </c>
      <c r="S73" s="123">
        <f>VLOOKUP(C73,'Talente &amp; Stuff'!FU:GV,17,FALSE)</f>
        <v>0</v>
      </c>
      <c r="T73" s="161">
        <f>VLOOKUP(C73,'Talente &amp; Stuff'!FU:GV,18,FALSE)</f>
        <v>0</v>
      </c>
      <c r="U73" s="90">
        <f>VLOOKUP(C73,'Talente &amp; Stuff'!FU:GV,19,FALSE)</f>
        <v>0</v>
      </c>
      <c r="V73" s="88">
        <f>VLOOKUP(C73,'Talente &amp; Stuff'!FU:GV,20,FALSE)</f>
        <v>0</v>
      </c>
      <c r="W73" s="128">
        <f>VLOOKUP(C73,'Talente &amp; Stuff'!FU:GV,21,FALSE)</f>
        <v>0</v>
      </c>
      <c r="X73" s="159">
        <f>VLOOKUP(C73,'Talente &amp; Stuff'!FU:GV,22,FALSE)</f>
        <v>0</v>
      </c>
      <c r="Y73" s="165">
        <f t="shared" si="8"/>
        <v>0</v>
      </c>
      <c r="Z73" s="44">
        <f t="shared" si="9"/>
        <v>0</v>
      </c>
      <c r="AA73" s="159">
        <f>VLOOKUP(C73,'Talente &amp; Stuff'!FU:GV,25,FALSE)</f>
        <v>0</v>
      </c>
      <c r="AB73" s="161">
        <f>VLOOKUP(C73,'Talente &amp; Stuff'!FU:GV,26,FALSE)</f>
        <v>0</v>
      </c>
      <c r="AC73" s="128">
        <f>VLOOKUP(C73,'Talente &amp; Stuff'!FU:GV,27,FALSE)</f>
        <v>0</v>
      </c>
      <c r="AD73" s="159">
        <f>VLOOKUP(C73,'Talente &amp; Stuff'!FU:GV,28,FALSE)</f>
        <v>0</v>
      </c>
      <c r="AE73" s="28"/>
    </row>
    <row r="74" spans="1:31" ht="15" hidden="1" customHeight="1" outlineLevel="1" collapsed="1"/>
    <row r="75" spans="1:31" ht="15.75" collapsed="1" thickBot="1"/>
    <row r="76" spans="1:31" ht="15.75" thickBot="1">
      <c r="A76" s="135" t="s">
        <v>332</v>
      </c>
    </row>
    <row r="77" spans="1:31" ht="15" hidden="1" customHeight="1" outlineLevel="1">
      <c r="B77" s="134" t="s">
        <v>327</v>
      </c>
      <c r="C77" s="142"/>
    </row>
    <row r="78" spans="1:31" ht="15" hidden="1" customHeight="1" outlineLevel="2">
      <c r="B78" s="148">
        <v>1</v>
      </c>
      <c r="C78" s="176" t="str">
        <f>Attribute!C78</f>
        <v>---</v>
      </c>
      <c r="D78" s="158" t="str">
        <f>VLOOKUP(C78,'Talente &amp; Stuff'!FU:GV,2,FALSE)</f>
        <v>--/--/--</v>
      </c>
      <c r="E78" s="126" t="str">
        <f>VLOOKUP(C78,'Talente &amp; Stuff'!FU:GV,3,FALSE)</f>
        <v>-</v>
      </c>
      <c r="F78" s="191">
        <f>VLOOKUP(C78,'Talente &amp; Stuff'!FU:GV,4,FALSE)</f>
        <v>0</v>
      </c>
      <c r="G78" s="118">
        <f>VLOOKUP(C78,'Talente &amp; Stuff'!FU:GV,5,FALSE)</f>
        <v>0</v>
      </c>
      <c r="H78" s="118">
        <f>VLOOKUP(C78,'Talente &amp; Stuff'!FU:GV,6,FALSE)</f>
        <v>0</v>
      </c>
      <c r="I78" s="118">
        <f>VLOOKUP(C78,'Talente &amp; Stuff'!FU:GV,7,FALSE)</f>
        <v>0</v>
      </c>
      <c r="J78" s="118">
        <f>VLOOKUP(C78,'Talente &amp; Stuff'!FU:GV,8,FALSE)</f>
        <v>0</v>
      </c>
      <c r="K78" s="118">
        <f>VLOOKUP(C78,'Talente &amp; Stuff'!FU:GV,9,FALSE)</f>
        <v>0</v>
      </c>
      <c r="L78" s="118">
        <f>VLOOKUP(C78,'Talente &amp; Stuff'!FU:GV,10,FALSE)</f>
        <v>0</v>
      </c>
      <c r="M78" s="92">
        <f>VLOOKUP(C78,'Talente &amp; Stuff'!FU:GV,11,FALSE)</f>
        <v>0</v>
      </c>
      <c r="N78" s="116">
        <f>VLOOKUP(C78,'Talente &amp; Stuff'!FU:GV,12,FALSE)</f>
        <v>0</v>
      </c>
      <c r="O78" s="116">
        <f>VLOOKUP(C78,'Talente &amp; Stuff'!FU:GV,13,FALSE)</f>
        <v>0</v>
      </c>
      <c r="P78" s="92">
        <f>VLOOKUP(C78,'Talente &amp; Stuff'!FU:GV,14,FALSE)</f>
        <v>0</v>
      </c>
      <c r="Q78" s="191">
        <f>VLOOKUP(C78,'Talente &amp; Stuff'!FU:GV,15,FALSE)</f>
        <v>0</v>
      </c>
      <c r="R78" s="118">
        <f>VLOOKUP(C78,'Talente &amp; Stuff'!FU:GV,16,FALSE)</f>
        <v>0</v>
      </c>
      <c r="S78" s="92">
        <f>VLOOKUP(C78,'Talente &amp; Stuff'!FU:GV,17,FALSE)</f>
        <v>0</v>
      </c>
      <c r="T78" s="92">
        <f>VLOOKUP(C78,'Talente &amp; Stuff'!FU:GV,18,FALSE)</f>
        <v>0</v>
      </c>
      <c r="U78" s="193">
        <f>VLOOKUP(C78,'Talente &amp; Stuff'!FU:GV,19,FALSE)</f>
        <v>0</v>
      </c>
      <c r="V78" s="116">
        <f>VLOOKUP(C78,'Talente &amp; Stuff'!FU:GV,20,FALSE)</f>
        <v>0</v>
      </c>
      <c r="W78" s="126">
        <f>VLOOKUP(C78,'Talente &amp; Stuff'!FU:GV,21,FALSE)</f>
        <v>0</v>
      </c>
      <c r="X78" s="126">
        <f>VLOOKUP(C78,'Talente &amp; Stuff'!FU:GV,22,FALSE)</f>
        <v>0</v>
      </c>
      <c r="Y78" s="165">
        <f t="shared" ref="Y78:Y98" si="10">VLOOKUP(C78,Ausgewählte_Zauber_Allgemein,197,FALSE)</f>
        <v>0</v>
      </c>
      <c r="Z78" s="44">
        <f t="shared" ref="Z78:Z98" si="11">VLOOKUP(C78,Ausgewählte_Zauber_Allgemein,198,FALSE)</f>
        <v>0</v>
      </c>
      <c r="AA78" s="158">
        <f>VLOOKUP(C78,'Talente &amp; Stuff'!FU:GV,25,FALSE)</f>
        <v>0</v>
      </c>
      <c r="AB78" s="91">
        <f>VLOOKUP(C78,'Talente &amp; Stuff'!FU:GV,26,FALSE)</f>
        <v>0</v>
      </c>
      <c r="AC78" s="126">
        <f>VLOOKUP(C78,'Talente &amp; Stuff'!FU:GV,27,FALSE)</f>
        <v>0</v>
      </c>
      <c r="AD78" s="158">
        <f>VLOOKUP(C78,'Talente &amp; Stuff'!FU:GV,28,FALSE)</f>
        <v>0</v>
      </c>
      <c r="AE78" s="28"/>
    </row>
    <row r="79" spans="1:31" ht="15" hidden="1" customHeight="1" outlineLevel="2">
      <c r="B79" s="148">
        <v>2</v>
      </c>
      <c r="C79" s="177" t="str">
        <f>Attribute!C79</f>
        <v>---</v>
      </c>
      <c r="D79" s="125" t="str">
        <f>VLOOKUP(C79,'Talente &amp; Stuff'!FU:GV,2,FALSE)</f>
        <v>--/--/--</v>
      </c>
      <c r="E79" s="127" t="str">
        <f>VLOOKUP(C79,'Talente &amp; Stuff'!FU:GV,3,FALSE)</f>
        <v>-</v>
      </c>
      <c r="F79" s="114">
        <f>VLOOKUP(C79,'Talente &amp; Stuff'!FU:GV,4,FALSE)</f>
        <v>0</v>
      </c>
      <c r="G79" s="113">
        <f>VLOOKUP(C79,'Talente &amp; Stuff'!FU:GV,5,FALSE)</f>
        <v>0</v>
      </c>
      <c r="H79" s="113">
        <f>VLOOKUP(C79,'Talente &amp; Stuff'!FU:GV,6,FALSE)</f>
        <v>0</v>
      </c>
      <c r="I79" s="113">
        <f>VLOOKUP(C79,'Talente &amp; Stuff'!FU:GV,7,FALSE)</f>
        <v>0</v>
      </c>
      <c r="J79" s="113">
        <f>VLOOKUP(C79,'Talente &amp; Stuff'!FU:GV,8,FALSE)</f>
        <v>0</v>
      </c>
      <c r="K79" s="113">
        <f>VLOOKUP(C79,'Talente &amp; Stuff'!FU:GV,9,FALSE)</f>
        <v>0</v>
      </c>
      <c r="L79" s="113">
        <f>VLOOKUP(C79,'Talente &amp; Stuff'!FU:GV,10,FALSE)</f>
        <v>0</v>
      </c>
      <c r="M79" s="119">
        <f>VLOOKUP(C79,'Talente &amp; Stuff'!FU:GV,11,FALSE)</f>
        <v>0</v>
      </c>
      <c r="N79" s="89">
        <f>VLOOKUP(C79,'Talente &amp; Stuff'!FU:GV,12,FALSE)</f>
        <v>0</v>
      </c>
      <c r="O79" s="47">
        <f>VLOOKUP(C79,'Talente &amp; Stuff'!FU:GV,13,FALSE)</f>
        <v>0</v>
      </c>
      <c r="P79" s="119">
        <f>VLOOKUP(C79,'Talente &amp; Stuff'!FU:GV,14,FALSE)</f>
        <v>0</v>
      </c>
      <c r="Q79" s="114">
        <f>VLOOKUP(C79,'Talente &amp; Stuff'!FU:GV,15,FALSE)</f>
        <v>0</v>
      </c>
      <c r="R79" s="113">
        <f>VLOOKUP(C79,'Talente &amp; Stuff'!FU:GV,16,FALSE)</f>
        <v>0</v>
      </c>
      <c r="S79" s="119">
        <f>VLOOKUP(C79,'Talente &amp; Stuff'!FU:GV,17,FALSE)</f>
        <v>0</v>
      </c>
      <c r="T79" s="160">
        <f>VLOOKUP(C79,'Talente &amp; Stuff'!FU:GV,18,FALSE)</f>
        <v>0</v>
      </c>
      <c r="U79" s="89">
        <f>VLOOKUP(C79,'Talente &amp; Stuff'!FU:GV,19,FALSE)</f>
        <v>0</v>
      </c>
      <c r="V79" s="47">
        <f>VLOOKUP(C79,'Talente &amp; Stuff'!FU:GV,20,FALSE)</f>
        <v>0</v>
      </c>
      <c r="W79" s="127">
        <f>VLOOKUP(C79,'Talente &amp; Stuff'!FU:GV,21,FALSE)</f>
        <v>0</v>
      </c>
      <c r="X79" s="127">
        <f>VLOOKUP(C79,'Talente &amp; Stuff'!FU:GV,22,FALSE)</f>
        <v>0</v>
      </c>
      <c r="Y79" s="165">
        <f t="shared" si="10"/>
        <v>0</v>
      </c>
      <c r="Z79" s="44">
        <f t="shared" si="11"/>
        <v>0</v>
      </c>
      <c r="AA79" s="125">
        <f>VLOOKUP(C79,'Talente &amp; Stuff'!FU:GV,25,FALSE)</f>
        <v>0</v>
      </c>
      <c r="AB79" s="160">
        <f>VLOOKUP(C79,'Talente &amp; Stuff'!FU:GV,26,FALSE)</f>
        <v>0</v>
      </c>
      <c r="AC79" s="127">
        <f>VLOOKUP(C79,'Talente &amp; Stuff'!FU:GV,27,FALSE)</f>
        <v>0</v>
      </c>
      <c r="AD79" s="125">
        <f>VLOOKUP(C79,'Talente &amp; Stuff'!FU:GV,28,FALSE)</f>
        <v>0</v>
      </c>
      <c r="AE79" s="28"/>
    </row>
    <row r="80" spans="1:31" ht="15" hidden="1" customHeight="1" outlineLevel="2">
      <c r="B80" s="148">
        <v>3</v>
      </c>
      <c r="C80" s="177" t="str">
        <f>Attribute!C80</f>
        <v>---</v>
      </c>
      <c r="D80" s="125" t="str">
        <f>VLOOKUP(C80,'Talente &amp; Stuff'!FU:GV,2,FALSE)</f>
        <v>--/--/--</v>
      </c>
      <c r="E80" s="127" t="str">
        <f>VLOOKUP(C80,'Talente &amp; Stuff'!FU:GV,3,FALSE)</f>
        <v>-</v>
      </c>
      <c r="F80" s="114">
        <f>VLOOKUP(C80,'Talente &amp; Stuff'!FU:GV,4,FALSE)</f>
        <v>0</v>
      </c>
      <c r="G80" s="113">
        <f>VLOOKUP(C80,'Talente &amp; Stuff'!FU:GV,5,FALSE)</f>
        <v>0</v>
      </c>
      <c r="H80" s="113">
        <f>VLOOKUP(C80,'Talente &amp; Stuff'!FU:GV,6,FALSE)</f>
        <v>0</v>
      </c>
      <c r="I80" s="113">
        <f>VLOOKUP(C80,'Talente &amp; Stuff'!FU:GV,7,FALSE)</f>
        <v>0</v>
      </c>
      <c r="J80" s="113">
        <f>VLOOKUP(C80,'Talente &amp; Stuff'!FU:GV,8,FALSE)</f>
        <v>0</v>
      </c>
      <c r="K80" s="113">
        <f>VLOOKUP(C80,'Talente &amp; Stuff'!FU:GV,9,FALSE)</f>
        <v>0</v>
      </c>
      <c r="L80" s="113">
        <f>VLOOKUP(C80,'Talente &amp; Stuff'!FU:GV,10,FALSE)</f>
        <v>0</v>
      </c>
      <c r="M80" s="119">
        <f>VLOOKUP(C80,'Talente &amp; Stuff'!FU:GV,11,FALSE)</f>
        <v>0</v>
      </c>
      <c r="N80" s="89">
        <f>VLOOKUP(C80,'Talente &amp; Stuff'!FU:GV,12,FALSE)</f>
        <v>0</v>
      </c>
      <c r="O80" s="47">
        <f>VLOOKUP(C80,'Talente &amp; Stuff'!FU:GV,13,FALSE)</f>
        <v>0</v>
      </c>
      <c r="P80" s="119">
        <f>VLOOKUP(C80,'Talente &amp; Stuff'!FU:GV,14,FALSE)</f>
        <v>0</v>
      </c>
      <c r="Q80" s="114">
        <f>VLOOKUP(C80,'Talente &amp; Stuff'!FU:GV,15,FALSE)</f>
        <v>0</v>
      </c>
      <c r="R80" s="113">
        <f>VLOOKUP(C80,'Talente &amp; Stuff'!FU:GV,16,FALSE)</f>
        <v>0</v>
      </c>
      <c r="S80" s="119">
        <f>VLOOKUP(C80,'Talente &amp; Stuff'!FU:GV,17,FALSE)</f>
        <v>0</v>
      </c>
      <c r="T80" s="160">
        <f>VLOOKUP(C80,'Talente &amp; Stuff'!FU:GV,18,FALSE)</f>
        <v>0</v>
      </c>
      <c r="U80" s="89">
        <f>VLOOKUP(C80,'Talente &amp; Stuff'!FU:GV,19,FALSE)</f>
        <v>0</v>
      </c>
      <c r="V80" s="47">
        <f>VLOOKUP(C80,'Talente &amp; Stuff'!FU:GV,20,FALSE)</f>
        <v>0</v>
      </c>
      <c r="W80" s="127">
        <f>VLOOKUP(C80,'Talente &amp; Stuff'!FU:GV,21,FALSE)</f>
        <v>0</v>
      </c>
      <c r="X80" s="127">
        <f>VLOOKUP(C80,'Talente &amp; Stuff'!FU:GV,22,FALSE)</f>
        <v>0</v>
      </c>
      <c r="Y80" s="165">
        <f t="shared" si="10"/>
        <v>0</v>
      </c>
      <c r="Z80" s="44">
        <f t="shared" si="11"/>
        <v>0</v>
      </c>
      <c r="AA80" s="125">
        <f>VLOOKUP(C80,'Talente &amp; Stuff'!FU:GV,25,FALSE)</f>
        <v>0</v>
      </c>
      <c r="AB80" s="160">
        <f>VLOOKUP(C80,'Talente &amp; Stuff'!FU:GV,26,FALSE)</f>
        <v>0</v>
      </c>
      <c r="AC80" s="127">
        <f>VLOOKUP(C80,'Talente &amp; Stuff'!FU:GV,27,FALSE)</f>
        <v>0</v>
      </c>
      <c r="AD80" s="125">
        <f>VLOOKUP(C80,'Talente &amp; Stuff'!FU:GV,28,FALSE)</f>
        <v>0</v>
      </c>
      <c r="AE80" s="28"/>
    </row>
    <row r="81" spans="2:31" ht="15" hidden="1" customHeight="1" outlineLevel="2">
      <c r="B81" s="148">
        <v>4</v>
      </c>
      <c r="C81" s="177" t="str">
        <f>Attribute!C81</f>
        <v>---</v>
      </c>
      <c r="D81" s="125" t="str">
        <f>VLOOKUP(C81,'Talente &amp; Stuff'!FU:GV,2,FALSE)</f>
        <v>--/--/--</v>
      </c>
      <c r="E81" s="127" t="str">
        <f>VLOOKUP(C81,'Talente &amp; Stuff'!FU:GV,3,FALSE)</f>
        <v>-</v>
      </c>
      <c r="F81" s="114">
        <f>VLOOKUP(C81,'Talente &amp; Stuff'!FU:GV,4,FALSE)</f>
        <v>0</v>
      </c>
      <c r="G81" s="113">
        <f>VLOOKUP(C81,'Talente &amp; Stuff'!FU:GV,5,FALSE)</f>
        <v>0</v>
      </c>
      <c r="H81" s="113">
        <f>VLOOKUP(C81,'Talente &amp; Stuff'!FU:GV,6,FALSE)</f>
        <v>0</v>
      </c>
      <c r="I81" s="113">
        <f>VLOOKUP(C81,'Talente &amp; Stuff'!FU:GV,7,FALSE)</f>
        <v>0</v>
      </c>
      <c r="J81" s="113">
        <f>VLOOKUP(C81,'Talente &amp; Stuff'!FU:GV,8,FALSE)</f>
        <v>0</v>
      </c>
      <c r="K81" s="113">
        <f>VLOOKUP(C81,'Talente &amp; Stuff'!FU:GV,9,FALSE)</f>
        <v>0</v>
      </c>
      <c r="L81" s="113">
        <f>VLOOKUP(C81,'Talente &amp; Stuff'!FU:GV,10,FALSE)</f>
        <v>0</v>
      </c>
      <c r="M81" s="119">
        <f>VLOOKUP(C81,'Talente &amp; Stuff'!FU:GV,11,FALSE)</f>
        <v>0</v>
      </c>
      <c r="N81" s="89">
        <f>VLOOKUP(C81,'Talente &amp; Stuff'!FU:GV,12,FALSE)</f>
        <v>0</v>
      </c>
      <c r="O81" s="47">
        <f>VLOOKUP(C81,'Talente &amp; Stuff'!FU:GV,13,FALSE)</f>
        <v>0</v>
      </c>
      <c r="P81" s="119">
        <f>VLOOKUP(C81,'Talente &amp; Stuff'!FU:GV,14,FALSE)</f>
        <v>0</v>
      </c>
      <c r="Q81" s="114">
        <f>VLOOKUP(C81,'Talente &amp; Stuff'!FU:GV,15,FALSE)</f>
        <v>0</v>
      </c>
      <c r="R81" s="113">
        <f>VLOOKUP(C81,'Talente &amp; Stuff'!FU:GV,16,FALSE)</f>
        <v>0</v>
      </c>
      <c r="S81" s="119">
        <f>VLOOKUP(C81,'Talente &amp; Stuff'!FU:GV,17,FALSE)</f>
        <v>0</v>
      </c>
      <c r="T81" s="160">
        <f>VLOOKUP(C81,'Talente &amp; Stuff'!FU:GV,18,FALSE)</f>
        <v>0</v>
      </c>
      <c r="U81" s="89">
        <f>VLOOKUP(C81,'Talente &amp; Stuff'!FU:GV,19,FALSE)</f>
        <v>0</v>
      </c>
      <c r="V81" s="47">
        <f>VLOOKUP(C81,'Talente &amp; Stuff'!FU:GV,20,FALSE)</f>
        <v>0</v>
      </c>
      <c r="W81" s="127">
        <f>VLOOKUP(C81,'Talente &amp; Stuff'!FU:GV,21,FALSE)</f>
        <v>0</v>
      </c>
      <c r="X81" s="127">
        <f>VLOOKUP(C81,'Talente &amp; Stuff'!FU:GV,22,FALSE)</f>
        <v>0</v>
      </c>
      <c r="Y81" s="165">
        <f t="shared" si="10"/>
        <v>0</v>
      </c>
      <c r="Z81" s="44">
        <f t="shared" si="11"/>
        <v>0</v>
      </c>
      <c r="AA81" s="125">
        <f>VLOOKUP(C81,'Talente &amp; Stuff'!FU:GV,25,FALSE)</f>
        <v>0</v>
      </c>
      <c r="AB81" s="160">
        <f>VLOOKUP(C81,'Talente &amp; Stuff'!FU:GV,26,FALSE)</f>
        <v>0</v>
      </c>
      <c r="AC81" s="127">
        <f>VLOOKUP(C81,'Talente &amp; Stuff'!FU:GV,27,FALSE)</f>
        <v>0</v>
      </c>
      <c r="AD81" s="125">
        <f>VLOOKUP(C81,'Talente &amp; Stuff'!FU:GV,28,FALSE)</f>
        <v>0</v>
      </c>
      <c r="AE81" s="28"/>
    </row>
    <row r="82" spans="2:31" ht="15" hidden="1" customHeight="1" outlineLevel="2">
      <c r="B82" s="148">
        <v>5</v>
      </c>
      <c r="C82" s="177" t="str">
        <f>Attribute!C82</f>
        <v>---</v>
      </c>
      <c r="D82" s="125" t="str">
        <f>VLOOKUP(C82,'Talente &amp; Stuff'!FU:GV,2,FALSE)</f>
        <v>--/--/--</v>
      </c>
      <c r="E82" s="127" t="str">
        <f>VLOOKUP(C82,'Talente &amp; Stuff'!FU:GV,3,FALSE)</f>
        <v>-</v>
      </c>
      <c r="F82" s="114">
        <f>VLOOKUP(C82,'Talente &amp; Stuff'!FU:GV,4,FALSE)</f>
        <v>0</v>
      </c>
      <c r="G82" s="113">
        <f>VLOOKUP(C82,'Talente &amp; Stuff'!FU:GV,5,FALSE)</f>
        <v>0</v>
      </c>
      <c r="H82" s="113">
        <f>VLOOKUP(C82,'Talente &amp; Stuff'!FU:GV,6,FALSE)</f>
        <v>0</v>
      </c>
      <c r="I82" s="113">
        <f>VLOOKUP(C82,'Talente &amp; Stuff'!FU:GV,7,FALSE)</f>
        <v>0</v>
      </c>
      <c r="J82" s="113">
        <f>VLOOKUP(C82,'Talente &amp; Stuff'!FU:GV,8,FALSE)</f>
        <v>0</v>
      </c>
      <c r="K82" s="113">
        <f>VLOOKUP(C82,'Talente &amp; Stuff'!FU:GV,9,FALSE)</f>
        <v>0</v>
      </c>
      <c r="L82" s="113">
        <f>VLOOKUP(C82,'Talente &amp; Stuff'!FU:GV,10,FALSE)</f>
        <v>0</v>
      </c>
      <c r="M82" s="119">
        <f>VLOOKUP(C82,'Talente &amp; Stuff'!FU:GV,11,FALSE)</f>
        <v>0</v>
      </c>
      <c r="N82" s="89">
        <f>VLOOKUP(C82,'Talente &amp; Stuff'!FU:GV,12,FALSE)</f>
        <v>0</v>
      </c>
      <c r="O82" s="47">
        <f>VLOOKUP(C82,'Talente &amp; Stuff'!FU:GV,13,FALSE)</f>
        <v>0</v>
      </c>
      <c r="P82" s="119">
        <f>VLOOKUP(C82,'Talente &amp; Stuff'!FU:GV,14,FALSE)</f>
        <v>0</v>
      </c>
      <c r="Q82" s="114">
        <f>VLOOKUP(C82,'Talente &amp; Stuff'!FU:GV,15,FALSE)</f>
        <v>0</v>
      </c>
      <c r="R82" s="113">
        <f>VLOOKUP(C82,'Talente &amp; Stuff'!FU:GV,16,FALSE)</f>
        <v>0</v>
      </c>
      <c r="S82" s="119">
        <f>VLOOKUP(C82,'Talente &amp; Stuff'!FU:GV,17,FALSE)</f>
        <v>0</v>
      </c>
      <c r="T82" s="160">
        <f>VLOOKUP(C82,'Talente &amp; Stuff'!FU:GV,18,FALSE)</f>
        <v>0</v>
      </c>
      <c r="U82" s="89">
        <f>VLOOKUP(C82,'Talente &amp; Stuff'!FU:GV,19,FALSE)</f>
        <v>0</v>
      </c>
      <c r="V82" s="47">
        <f>VLOOKUP(C82,'Talente &amp; Stuff'!FU:GV,20,FALSE)</f>
        <v>0</v>
      </c>
      <c r="W82" s="127">
        <f>VLOOKUP(C82,'Talente &amp; Stuff'!FU:GV,21,FALSE)</f>
        <v>0</v>
      </c>
      <c r="X82" s="127">
        <f>VLOOKUP(C82,'Talente &amp; Stuff'!FU:GV,22,FALSE)</f>
        <v>0</v>
      </c>
      <c r="Y82" s="165">
        <f t="shared" si="10"/>
        <v>0</v>
      </c>
      <c r="Z82" s="44">
        <f t="shared" si="11"/>
        <v>0</v>
      </c>
      <c r="AA82" s="125">
        <f>VLOOKUP(C82,'Talente &amp; Stuff'!FU:GV,25,FALSE)</f>
        <v>0</v>
      </c>
      <c r="AB82" s="160">
        <f>VLOOKUP(C82,'Talente &amp; Stuff'!FU:GV,26,FALSE)</f>
        <v>0</v>
      </c>
      <c r="AC82" s="127">
        <f>VLOOKUP(C82,'Talente &amp; Stuff'!FU:GV,27,FALSE)</f>
        <v>0</v>
      </c>
      <c r="AD82" s="125">
        <f>VLOOKUP(C82,'Talente &amp; Stuff'!FU:GV,28,FALSE)</f>
        <v>0</v>
      </c>
      <c r="AE82" s="28"/>
    </row>
    <row r="83" spans="2:31" ht="15" hidden="1" customHeight="1" outlineLevel="2">
      <c r="B83" s="148">
        <v>6</v>
      </c>
      <c r="C83" s="177" t="str">
        <f>Attribute!C83</f>
        <v>---</v>
      </c>
      <c r="D83" s="125" t="str">
        <f>VLOOKUP(C83,'Talente &amp; Stuff'!FU:GV,2,FALSE)</f>
        <v>--/--/--</v>
      </c>
      <c r="E83" s="127" t="str">
        <f>VLOOKUP(C83,'Talente &amp; Stuff'!FU:GV,3,FALSE)</f>
        <v>-</v>
      </c>
      <c r="F83" s="114">
        <f>VLOOKUP(C83,'Talente &amp; Stuff'!FU:GV,4,FALSE)</f>
        <v>0</v>
      </c>
      <c r="G83" s="113">
        <f>VLOOKUP(C83,'Talente &amp; Stuff'!FU:GV,5,FALSE)</f>
        <v>0</v>
      </c>
      <c r="H83" s="113">
        <f>VLOOKUP(C83,'Talente &amp; Stuff'!FU:GV,6,FALSE)</f>
        <v>0</v>
      </c>
      <c r="I83" s="113">
        <f>VLOOKUP(C83,'Talente &amp; Stuff'!FU:GV,7,FALSE)</f>
        <v>0</v>
      </c>
      <c r="J83" s="113">
        <f>VLOOKUP(C83,'Talente &amp; Stuff'!FU:GV,8,FALSE)</f>
        <v>0</v>
      </c>
      <c r="K83" s="113">
        <f>VLOOKUP(C83,'Talente &amp; Stuff'!FU:GV,9,FALSE)</f>
        <v>0</v>
      </c>
      <c r="L83" s="113">
        <f>VLOOKUP(C83,'Talente &amp; Stuff'!FU:GV,10,FALSE)</f>
        <v>0</v>
      </c>
      <c r="M83" s="119">
        <f>VLOOKUP(C83,'Talente &amp; Stuff'!FU:GV,11,FALSE)</f>
        <v>0</v>
      </c>
      <c r="N83" s="89">
        <f>VLOOKUP(C83,'Talente &amp; Stuff'!FU:GV,12,FALSE)</f>
        <v>0</v>
      </c>
      <c r="O83" s="47">
        <f>VLOOKUP(C83,'Talente &amp; Stuff'!FU:GV,13,FALSE)</f>
        <v>0</v>
      </c>
      <c r="P83" s="119">
        <f>VLOOKUP(C83,'Talente &amp; Stuff'!FU:GV,14,FALSE)</f>
        <v>0</v>
      </c>
      <c r="Q83" s="114">
        <f>VLOOKUP(C83,'Talente &amp; Stuff'!FU:GV,15,FALSE)</f>
        <v>0</v>
      </c>
      <c r="R83" s="113">
        <f>VLOOKUP(C83,'Talente &amp; Stuff'!FU:GV,16,FALSE)</f>
        <v>0</v>
      </c>
      <c r="S83" s="119">
        <f>VLOOKUP(C83,'Talente &amp; Stuff'!FU:GV,17,FALSE)</f>
        <v>0</v>
      </c>
      <c r="T83" s="160">
        <f>VLOOKUP(C83,'Talente &amp; Stuff'!FU:GV,18,FALSE)</f>
        <v>0</v>
      </c>
      <c r="U83" s="89">
        <f>VLOOKUP(C83,'Talente &amp; Stuff'!FU:GV,19,FALSE)</f>
        <v>0</v>
      </c>
      <c r="V83" s="47">
        <f>VLOOKUP(C83,'Talente &amp; Stuff'!FU:GV,20,FALSE)</f>
        <v>0</v>
      </c>
      <c r="W83" s="127">
        <f>VLOOKUP(C83,'Talente &amp; Stuff'!FU:GV,21,FALSE)</f>
        <v>0</v>
      </c>
      <c r="X83" s="127">
        <f>VLOOKUP(C83,'Talente &amp; Stuff'!FU:GV,22,FALSE)</f>
        <v>0</v>
      </c>
      <c r="Y83" s="165">
        <f t="shared" si="10"/>
        <v>0</v>
      </c>
      <c r="Z83" s="44">
        <f t="shared" si="11"/>
        <v>0</v>
      </c>
      <c r="AA83" s="125">
        <f>VLOOKUP(C83,'Talente &amp; Stuff'!FU:GV,25,FALSE)</f>
        <v>0</v>
      </c>
      <c r="AB83" s="160">
        <f>VLOOKUP(C83,'Talente &amp; Stuff'!FU:GV,26,FALSE)</f>
        <v>0</v>
      </c>
      <c r="AC83" s="127">
        <f>VLOOKUP(C83,'Talente &amp; Stuff'!FU:GV,27,FALSE)</f>
        <v>0</v>
      </c>
      <c r="AD83" s="125">
        <f>VLOOKUP(C83,'Talente &amp; Stuff'!FU:GV,28,FALSE)</f>
        <v>0</v>
      </c>
      <c r="AE83" s="28"/>
    </row>
    <row r="84" spans="2:31" ht="15" hidden="1" customHeight="1" outlineLevel="2">
      <c r="B84" s="148">
        <v>7</v>
      </c>
      <c r="C84" s="177" t="str">
        <f>Attribute!C84</f>
        <v>---</v>
      </c>
      <c r="D84" s="125" t="str">
        <f>VLOOKUP(C84,'Talente &amp; Stuff'!FU:GV,2,FALSE)</f>
        <v>--/--/--</v>
      </c>
      <c r="E84" s="127" t="str">
        <f>VLOOKUP(C84,'Talente &amp; Stuff'!FU:GV,3,FALSE)</f>
        <v>-</v>
      </c>
      <c r="F84" s="114">
        <f>VLOOKUP(C84,'Talente &amp; Stuff'!FU:GV,4,FALSE)</f>
        <v>0</v>
      </c>
      <c r="G84" s="113">
        <f>VLOOKUP(C84,'Talente &amp; Stuff'!FU:GV,5,FALSE)</f>
        <v>0</v>
      </c>
      <c r="H84" s="113">
        <f>VLOOKUP(C84,'Talente &amp; Stuff'!FU:GV,6,FALSE)</f>
        <v>0</v>
      </c>
      <c r="I84" s="113">
        <f>VLOOKUP(C84,'Talente &amp; Stuff'!FU:GV,7,FALSE)</f>
        <v>0</v>
      </c>
      <c r="J84" s="113">
        <f>VLOOKUP(C84,'Talente &amp; Stuff'!FU:GV,8,FALSE)</f>
        <v>0</v>
      </c>
      <c r="K84" s="113">
        <f>VLOOKUP(C84,'Talente &amp; Stuff'!FU:GV,9,FALSE)</f>
        <v>0</v>
      </c>
      <c r="L84" s="113">
        <f>VLOOKUP(C84,'Talente &amp; Stuff'!FU:GV,10,FALSE)</f>
        <v>0</v>
      </c>
      <c r="M84" s="119">
        <f>VLOOKUP(C84,'Talente &amp; Stuff'!FU:GV,11,FALSE)</f>
        <v>0</v>
      </c>
      <c r="N84" s="89">
        <f>VLOOKUP(C84,'Talente &amp; Stuff'!FU:GV,12,FALSE)</f>
        <v>0</v>
      </c>
      <c r="O84" s="47">
        <f>VLOOKUP(C84,'Talente &amp; Stuff'!FU:GV,13,FALSE)</f>
        <v>0</v>
      </c>
      <c r="P84" s="119">
        <f>VLOOKUP(C84,'Talente &amp; Stuff'!FU:GV,14,FALSE)</f>
        <v>0</v>
      </c>
      <c r="Q84" s="114">
        <f>VLOOKUP(C84,'Talente &amp; Stuff'!FU:GV,15,FALSE)</f>
        <v>0</v>
      </c>
      <c r="R84" s="113">
        <f>VLOOKUP(C84,'Talente &amp; Stuff'!FU:GV,16,FALSE)</f>
        <v>0</v>
      </c>
      <c r="S84" s="119">
        <f>VLOOKUP(C84,'Talente &amp; Stuff'!FU:GV,17,FALSE)</f>
        <v>0</v>
      </c>
      <c r="T84" s="160">
        <f>VLOOKUP(C84,'Talente &amp; Stuff'!FU:GV,18,FALSE)</f>
        <v>0</v>
      </c>
      <c r="U84" s="89">
        <f>VLOOKUP(C84,'Talente &amp; Stuff'!FU:GV,19,FALSE)</f>
        <v>0</v>
      </c>
      <c r="V84" s="47">
        <f>VLOOKUP(C84,'Talente &amp; Stuff'!FU:GV,20,FALSE)</f>
        <v>0</v>
      </c>
      <c r="W84" s="127">
        <f>VLOOKUP(C84,'Talente &amp; Stuff'!FU:GV,21,FALSE)</f>
        <v>0</v>
      </c>
      <c r="X84" s="127">
        <f>VLOOKUP(C84,'Talente &amp; Stuff'!FU:GV,22,FALSE)</f>
        <v>0</v>
      </c>
      <c r="Y84" s="165">
        <f t="shared" si="10"/>
        <v>0</v>
      </c>
      <c r="Z84" s="44">
        <f t="shared" si="11"/>
        <v>0</v>
      </c>
      <c r="AA84" s="125">
        <f>VLOOKUP(C84,'Talente &amp; Stuff'!FU:GV,25,FALSE)</f>
        <v>0</v>
      </c>
      <c r="AB84" s="160">
        <f>VLOOKUP(C84,'Talente &amp; Stuff'!FU:GV,26,FALSE)</f>
        <v>0</v>
      </c>
      <c r="AC84" s="127">
        <f>VLOOKUP(C84,'Talente &amp; Stuff'!FU:GV,27,FALSE)</f>
        <v>0</v>
      </c>
      <c r="AD84" s="125">
        <f>VLOOKUP(C84,'Talente &amp; Stuff'!FU:GV,28,FALSE)</f>
        <v>0</v>
      </c>
      <c r="AE84" s="28"/>
    </row>
    <row r="85" spans="2:31" ht="15" hidden="1" customHeight="1" outlineLevel="2">
      <c r="B85" s="148">
        <v>8</v>
      </c>
      <c r="C85" s="177" t="str">
        <f>Attribute!C85</f>
        <v>---</v>
      </c>
      <c r="D85" s="125" t="str">
        <f>VLOOKUP(C85,'Talente &amp; Stuff'!FU:GV,2,FALSE)</f>
        <v>--/--/--</v>
      </c>
      <c r="E85" s="127" t="str">
        <f>VLOOKUP(C85,'Talente &amp; Stuff'!FU:GV,3,FALSE)</f>
        <v>-</v>
      </c>
      <c r="F85" s="114">
        <f>VLOOKUP(C85,'Talente &amp; Stuff'!FU:GV,4,FALSE)</f>
        <v>0</v>
      </c>
      <c r="G85" s="113">
        <f>VLOOKUP(C85,'Talente &amp; Stuff'!FU:GV,5,FALSE)</f>
        <v>0</v>
      </c>
      <c r="H85" s="113">
        <f>VLOOKUP(C85,'Talente &amp; Stuff'!FU:GV,6,FALSE)</f>
        <v>0</v>
      </c>
      <c r="I85" s="113">
        <f>VLOOKUP(C85,'Talente &amp; Stuff'!FU:GV,7,FALSE)</f>
        <v>0</v>
      </c>
      <c r="J85" s="113">
        <f>VLOOKUP(C85,'Talente &amp; Stuff'!FU:GV,8,FALSE)</f>
        <v>0</v>
      </c>
      <c r="K85" s="113">
        <f>VLOOKUP(C85,'Talente &amp; Stuff'!FU:GV,9,FALSE)</f>
        <v>0</v>
      </c>
      <c r="L85" s="113">
        <f>VLOOKUP(C85,'Talente &amp; Stuff'!FU:GV,10,FALSE)</f>
        <v>0</v>
      </c>
      <c r="M85" s="119">
        <f>VLOOKUP(C85,'Talente &amp; Stuff'!FU:GV,11,FALSE)</f>
        <v>0</v>
      </c>
      <c r="N85" s="89">
        <f>VLOOKUP(C85,'Talente &amp; Stuff'!FU:GV,12,FALSE)</f>
        <v>0</v>
      </c>
      <c r="O85" s="47">
        <f>VLOOKUP(C85,'Talente &amp; Stuff'!FU:GV,13,FALSE)</f>
        <v>0</v>
      </c>
      <c r="P85" s="119">
        <f>VLOOKUP(C85,'Talente &amp; Stuff'!FU:GV,14,FALSE)</f>
        <v>0</v>
      </c>
      <c r="Q85" s="114">
        <f>VLOOKUP(C85,'Talente &amp; Stuff'!FU:GV,15,FALSE)</f>
        <v>0</v>
      </c>
      <c r="R85" s="113">
        <f>VLOOKUP(C85,'Talente &amp; Stuff'!FU:GV,16,FALSE)</f>
        <v>0</v>
      </c>
      <c r="S85" s="119">
        <f>VLOOKUP(C85,'Talente &amp; Stuff'!FU:GV,17,FALSE)</f>
        <v>0</v>
      </c>
      <c r="T85" s="160">
        <f>VLOOKUP(C85,'Talente &amp; Stuff'!FU:GV,18,FALSE)</f>
        <v>0</v>
      </c>
      <c r="U85" s="89">
        <f>VLOOKUP(C85,'Talente &amp; Stuff'!FU:GV,19,FALSE)</f>
        <v>0</v>
      </c>
      <c r="V85" s="47">
        <f>VLOOKUP(C85,'Talente &amp; Stuff'!FU:GV,20,FALSE)</f>
        <v>0</v>
      </c>
      <c r="W85" s="127">
        <f>VLOOKUP(C85,'Talente &amp; Stuff'!FU:GV,21,FALSE)</f>
        <v>0</v>
      </c>
      <c r="X85" s="127">
        <f>VLOOKUP(C85,'Talente &amp; Stuff'!FU:GV,22,FALSE)</f>
        <v>0</v>
      </c>
      <c r="Y85" s="165">
        <f t="shared" si="10"/>
        <v>0</v>
      </c>
      <c r="Z85" s="44">
        <f t="shared" si="11"/>
        <v>0</v>
      </c>
      <c r="AA85" s="125">
        <f>VLOOKUP(C85,'Talente &amp; Stuff'!FU:GV,25,FALSE)</f>
        <v>0</v>
      </c>
      <c r="AB85" s="160">
        <f>VLOOKUP(C85,'Talente &amp; Stuff'!FU:GV,26,FALSE)</f>
        <v>0</v>
      </c>
      <c r="AC85" s="127">
        <f>VLOOKUP(C85,'Talente &amp; Stuff'!FU:GV,27,FALSE)</f>
        <v>0</v>
      </c>
      <c r="AD85" s="125">
        <f>VLOOKUP(C85,'Talente &amp; Stuff'!FU:GV,28,FALSE)</f>
        <v>0</v>
      </c>
      <c r="AE85" s="28"/>
    </row>
    <row r="86" spans="2:31" ht="15" hidden="1" customHeight="1" outlineLevel="2">
      <c r="B86" s="148">
        <v>9</v>
      </c>
      <c r="C86" s="177" t="str">
        <f>Attribute!C86</f>
        <v>---</v>
      </c>
      <c r="D86" s="125" t="str">
        <f>VLOOKUP(C86,'Talente &amp; Stuff'!FU:GV,2,FALSE)</f>
        <v>--/--/--</v>
      </c>
      <c r="E86" s="127" t="str">
        <f>VLOOKUP(C86,'Talente &amp; Stuff'!FU:GV,3,FALSE)</f>
        <v>-</v>
      </c>
      <c r="F86" s="114">
        <f>VLOOKUP(C86,'Talente &amp; Stuff'!FU:GV,4,FALSE)</f>
        <v>0</v>
      </c>
      <c r="G86" s="113">
        <f>VLOOKUP(C86,'Talente &amp; Stuff'!FU:GV,5,FALSE)</f>
        <v>0</v>
      </c>
      <c r="H86" s="113">
        <f>VLOOKUP(C86,'Talente &amp; Stuff'!FU:GV,6,FALSE)</f>
        <v>0</v>
      </c>
      <c r="I86" s="113">
        <f>VLOOKUP(C86,'Talente &amp; Stuff'!FU:GV,7,FALSE)</f>
        <v>0</v>
      </c>
      <c r="J86" s="113">
        <f>VLOOKUP(C86,'Talente &amp; Stuff'!FU:GV,8,FALSE)</f>
        <v>0</v>
      </c>
      <c r="K86" s="113">
        <f>VLOOKUP(C86,'Talente &amp; Stuff'!FU:GV,9,FALSE)</f>
        <v>0</v>
      </c>
      <c r="L86" s="113">
        <f>VLOOKUP(C86,'Talente &amp; Stuff'!FU:GV,10,FALSE)</f>
        <v>0</v>
      </c>
      <c r="M86" s="119">
        <f>VLOOKUP(C86,'Talente &amp; Stuff'!FU:GV,11,FALSE)</f>
        <v>0</v>
      </c>
      <c r="N86" s="89">
        <f>VLOOKUP(C86,'Talente &amp; Stuff'!FU:GV,12,FALSE)</f>
        <v>0</v>
      </c>
      <c r="O86" s="47">
        <f>VLOOKUP(C86,'Talente &amp; Stuff'!FU:GV,13,FALSE)</f>
        <v>0</v>
      </c>
      <c r="P86" s="119">
        <f>VLOOKUP(C86,'Talente &amp; Stuff'!FU:GV,14,FALSE)</f>
        <v>0</v>
      </c>
      <c r="Q86" s="114">
        <f>VLOOKUP(C86,'Talente &amp; Stuff'!FU:GV,15,FALSE)</f>
        <v>0</v>
      </c>
      <c r="R86" s="113">
        <f>VLOOKUP(C86,'Talente &amp; Stuff'!FU:GV,16,FALSE)</f>
        <v>0</v>
      </c>
      <c r="S86" s="119">
        <f>VLOOKUP(C86,'Talente &amp; Stuff'!FU:GV,17,FALSE)</f>
        <v>0</v>
      </c>
      <c r="T86" s="160">
        <f>VLOOKUP(C86,'Talente &amp; Stuff'!FU:GV,18,FALSE)</f>
        <v>0</v>
      </c>
      <c r="U86" s="89">
        <f>VLOOKUP(C86,'Talente &amp; Stuff'!FU:GV,19,FALSE)</f>
        <v>0</v>
      </c>
      <c r="V86" s="47">
        <f>VLOOKUP(C86,'Talente &amp; Stuff'!FU:GV,20,FALSE)</f>
        <v>0</v>
      </c>
      <c r="W86" s="127">
        <f>VLOOKUP(C86,'Talente &amp; Stuff'!FU:GV,21,FALSE)</f>
        <v>0</v>
      </c>
      <c r="X86" s="127">
        <f>VLOOKUP(C86,'Talente &amp; Stuff'!FU:GV,22,FALSE)</f>
        <v>0</v>
      </c>
      <c r="Y86" s="165">
        <f t="shared" si="10"/>
        <v>0</v>
      </c>
      <c r="Z86" s="44">
        <f t="shared" si="11"/>
        <v>0</v>
      </c>
      <c r="AA86" s="125">
        <f>VLOOKUP(C86,'Talente &amp; Stuff'!FU:GV,25,FALSE)</f>
        <v>0</v>
      </c>
      <c r="AB86" s="160">
        <f>VLOOKUP(C86,'Talente &amp; Stuff'!FU:GV,26,FALSE)</f>
        <v>0</v>
      </c>
      <c r="AC86" s="127">
        <f>VLOOKUP(C86,'Talente &amp; Stuff'!FU:GV,27,FALSE)</f>
        <v>0</v>
      </c>
      <c r="AD86" s="125">
        <f>VLOOKUP(C86,'Talente &amp; Stuff'!FU:GV,28,FALSE)</f>
        <v>0</v>
      </c>
      <c r="AE86" s="28"/>
    </row>
    <row r="87" spans="2:31" ht="15" hidden="1" customHeight="1" outlineLevel="2">
      <c r="B87" s="148">
        <v>10</v>
      </c>
      <c r="C87" s="177" t="str">
        <f>Attribute!C87</f>
        <v>---</v>
      </c>
      <c r="D87" s="125" t="str">
        <f>VLOOKUP(C87,'Talente &amp; Stuff'!FU:GV,2,FALSE)</f>
        <v>--/--/--</v>
      </c>
      <c r="E87" s="127" t="str">
        <f>VLOOKUP(C87,'Talente &amp; Stuff'!FU:GV,3,FALSE)</f>
        <v>-</v>
      </c>
      <c r="F87" s="114">
        <f>VLOOKUP(C87,'Talente &amp; Stuff'!FU:GV,4,FALSE)</f>
        <v>0</v>
      </c>
      <c r="G87" s="113">
        <f>VLOOKUP(C87,'Talente &amp; Stuff'!FU:GV,5,FALSE)</f>
        <v>0</v>
      </c>
      <c r="H87" s="113">
        <f>VLOOKUP(C87,'Talente &amp; Stuff'!FU:GV,6,FALSE)</f>
        <v>0</v>
      </c>
      <c r="I87" s="113">
        <f>VLOOKUP(C87,'Talente &amp; Stuff'!FU:GV,7,FALSE)</f>
        <v>0</v>
      </c>
      <c r="J87" s="113">
        <f>VLOOKUP(C87,'Talente &amp; Stuff'!FU:GV,8,FALSE)</f>
        <v>0</v>
      </c>
      <c r="K87" s="113">
        <f>VLOOKUP(C87,'Talente &amp; Stuff'!FU:GV,9,FALSE)</f>
        <v>0</v>
      </c>
      <c r="L87" s="113">
        <f>VLOOKUP(C87,'Talente &amp; Stuff'!FU:GV,10,FALSE)</f>
        <v>0</v>
      </c>
      <c r="M87" s="119">
        <f>VLOOKUP(C87,'Talente &amp; Stuff'!FU:GV,11,FALSE)</f>
        <v>0</v>
      </c>
      <c r="N87" s="89">
        <f>VLOOKUP(C87,'Talente &amp; Stuff'!FU:GV,12,FALSE)</f>
        <v>0</v>
      </c>
      <c r="O87" s="47">
        <f>VLOOKUP(C87,'Talente &amp; Stuff'!FU:GV,13,FALSE)</f>
        <v>0</v>
      </c>
      <c r="P87" s="119">
        <f>VLOOKUP(C87,'Talente &amp; Stuff'!FU:GV,14,FALSE)</f>
        <v>0</v>
      </c>
      <c r="Q87" s="114">
        <f>VLOOKUP(C87,'Talente &amp; Stuff'!FU:GV,15,FALSE)</f>
        <v>0</v>
      </c>
      <c r="R87" s="113">
        <f>VLOOKUP(C87,'Talente &amp; Stuff'!FU:GV,16,FALSE)</f>
        <v>0</v>
      </c>
      <c r="S87" s="119">
        <f>VLOOKUP(C87,'Talente &amp; Stuff'!FU:GV,17,FALSE)</f>
        <v>0</v>
      </c>
      <c r="T87" s="160">
        <f>VLOOKUP(C87,'Talente &amp; Stuff'!FU:GV,18,FALSE)</f>
        <v>0</v>
      </c>
      <c r="U87" s="89">
        <f>VLOOKUP(C87,'Talente &amp; Stuff'!FU:GV,19,FALSE)</f>
        <v>0</v>
      </c>
      <c r="V87" s="47">
        <f>VLOOKUP(C87,'Talente &amp; Stuff'!FU:GV,20,FALSE)</f>
        <v>0</v>
      </c>
      <c r="W87" s="127">
        <f>VLOOKUP(C87,'Talente &amp; Stuff'!FU:GV,21,FALSE)</f>
        <v>0</v>
      </c>
      <c r="X87" s="127">
        <f>VLOOKUP(C87,'Talente &amp; Stuff'!FU:GV,22,FALSE)</f>
        <v>0</v>
      </c>
      <c r="Y87" s="165">
        <f t="shared" si="10"/>
        <v>0</v>
      </c>
      <c r="Z87" s="44">
        <f t="shared" si="11"/>
        <v>0</v>
      </c>
      <c r="AA87" s="125">
        <f>VLOOKUP(C87,'Talente &amp; Stuff'!FU:GV,25,FALSE)</f>
        <v>0</v>
      </c>
      <c r="AB87" s="160">
        <f>VLOOKUP(C87,'Talente &amp; Stuff'!FU:GV,26,FALSE)</f>
        <v>0</v>
      </c>
      <c r="AC87" s="127">
        <f>VLOOKUP(C87,'Talente &amp; Stuff'!FU:GV,27,FALSE)</f>
        <v>0</v>
      </c>
      <c r="AD87" s="125">
        <f>VLOOKUP(C87,'Talente &amp; Stuff'!FU:GV,28,FALSE)</f>
        <v>0</v>
      </c>
      <c r="AE87" s="28"/>
    </row>
    <row r="88" spans="2:31" ht="15" hidden="1" customHeight="1" outlineLevel="2">
      <c r="B88" s="148">
        <v>11</v>
      </c>
      <c r="C88" s="177" t="str">
        <f>Attribute!C88</f>
        <v>---</v>
      </c>
      <c r="D88" s="125" t="str">
        <f>VLOOKUP(C88,'Talente &amp; Stuff'!FU:GV,2,FALSE)</f>
        <v>--/--/--</v>
      </c>
      <c r="E88" s="127" t="str">
        <f>VLOOKUP(C88,'Talente &amp; Stuff'!FU:GV,3,FALSE)</f>
        <v>-</v>
      </c>
      <c r="F88" s="114">
        <f>VLOOKUP(C88,'Talente &amp; Stuff'!FU:GV,4,FALSE)</f>
        <v>0</v>
      </c>
      <c r="G88" s="113">
        <f>VLOOKUP(C88,'Talente &amp; Stuff'!FU:GV,5,FALSE)</f>
        <v>0</v>
      </c>
      <c r="H88" s="113">
        <f>VLOOKUP(C88,'Talente &amp; Stuff'!FU:GV,6,FALSE)</f>
        <v>0</v>
      </c>
      <c r="I88" s="113">
        <f>VLOOKUP(C88,'Talente &amp; Stuff'!FU:GV,7,FALSE)</f>
        <v>0</v>
      </c>
      <c r="J88" s="113">
        <f>VLOOKUP(C88,'Talente &amp; Stuff'!FU:GV,8,FALSE)</f>
        <v>0</v>
      </c>
      <c r="K88" s="113">
        <f>VLOOKUP(C88,'Talente &amp; Stuff'!FU:GV,9,FALSE)</f>
        <v>0</v>
      </c>
      <c r="L88" s="113">
        <f>VLOOKUP(C88,'Talente &amp; Stuff'!FU:GV,10,FALSE)</f>
        <v>0</v>
      </c>
      <c r="M88" s="119">
        <f>VLOOKUP(C88,'Talente &amp; Stuff'!FU:GV,11,FALSE)</f>
        <v>0</v>
      </c>
      <c r="N88" s="89">
        <f>VLOOKUP(C88,'Talente &amp; Stuff'!FU:GV,12,FALSE)</f>
        <v>0</v>
      </c>
      <c r="O88" s="47">
        <f>VLOOKUP(C88,'Talente &amp; Stuff'!FU:GV,13,FALSE)</f>
        <v>0</v>
      </c>
      <c r="P88" s="119">
        <f>VLOOKUP(C88,'Talente &amp; Stuff'!FU:GV,14,FALSE)</f>
        <v>0</v>
      </c>
      <c r="Q88" s="114">
        <f>VLOOKUP(C88,'Talente &amp; Stuff'!FU:GV,15,FALSE)</f>
        <v>0</v>
      </c>
      <c r="R88" s="113">
        <f>VLOOKUP(C88,'Talente &amp; Stuff'!FU:GV,16,FALSE)</f>
        <v>0</v>
      </c>
      <c r="S88" s="119">
        <f>VLOOKUP(C88,'Talente &amp; Stuff'!FU:GV,17,FALSE)</f>
        <v>0</v>
      </c>
      <c r="T88" s="160">
        <f>VLOOKUP(C88,'Talente &amp; Stuff'!FU:GV,18,FALSE)</f>
        <v>0</v>
      </c>
      <c r="U88" s="89">
        <f>VLOOKUP(C88,'Talente &amp; Stuff'!FU:GV,19,FALSE)</f>
        <v>0</v>
      </c>
      <c r="V88" s="47">
        <f>VLOOKUP(C88,'Talente &amp; Stuff'!FU:GV,20,FALSE)</f>
        <v>0</v>
      </c>
      <c r="W88" s="127">
        <f>VLOOKUP(C88,'Talente &amp; Stuff'!FU:GV,21,FALSE)</f>
        <v>0</v>
      </c>
      <c r="X88" s="127">
        <f>VLOOKUP(C88,'Talente &amp; Stuff'!FU:GV,22,FALSE)</f>
        <v>0</v>
      </c>
      <c r="Y88" s="165">
        <f t="shared" si="10"/>
        <v>0</v>
      </c>
      <c r="Z88" s="44">
        <f t="shared" si="11"/>
        <v>0</v>
      </c>
      <c r="AA88" s="125">
        <f>VLOOKUP(C88,'Talente &amp; Stuff'!FU:GV,25,FALSE)</f>
        <v>0</v>
      </c>
      <c r="AB88" s="160">
        <f>VLOOKUP(C88,'Talente &amp; Stuff'!FU:GV,26,FALSE)</f>
        <v>0</v>
      </c>
      <c r="AC88" s="127">
        <f>VLOOKUP(C88,'Talente &amp; Stuff'!FU:GV,27,FALSE)</f>
        <v>0</v>
      </c>
      <c r="AD88" s="125">
        <f>VLOOKUP(C88,'Talente &amp; Stuff'!FU:GV,28,FALSE)</f>
        <v>0</v>
      </c>
      <c r="AE88" s="28"/>
    </row>
    <row r="89" spans="2:31" ht="15" hidden="1" customHeight="1" outlineLevel="2">
      <c r="B89" s="148">
        <v>12</v>
      </c>
      <c r="C89" s="177" t="str">
        <f>Attribute!C89</f>
        <v>---</v>
      </c>
      <c r="D89" s="125" t="str">
        <f>VLOOKUP(C89,'Talente &amp; Stuff'!FU:GV,2,FALSE)</f>
        <v>--/--/--</v>
      </c>
      <c r="E89" s="127" t="str">
        <f>VLOOKUP(C89,'Talente &amp; Stuff'!FU:GV,3,FALSE)</f>
        <v>-</v>
      </c>
      <c r="F89" s="114">
        <f>VLOOKUP(C89,'Talente &amp; Stuff'!FU:GV,4,FALSE)</f>
        <v>0</v>
      </c>
      <c r="G89" s="113">
        <f>VLOOKUP(C89,'Talente &amp; Stuff'!FU:GV,5,FALSE)</f>
        <v>0</v>
      </c>
      <c r="H89" s="113">
        <f>VLOOKUP(C89,'Talente &amp; Stuff'!FU:GV,6,FALSE)</f>
        <v>0</v>
      </c>
      <c r="I89" s="113">
        <f>VLOOKUP(C89,'Talente &amp; Stuff'!FU:GV,7,FALSE)</f>
        <v>0</v>
      </c>
      <c r="J89" s="113">
        <f>VLOOKUP(C89,'Talente &amp; Stuff'!FU:GV,8,FALSE)</f>
        <v>0</v>
      </c>
      <c r="K89" s="113">
        <f>VLOOKUP(C89,'Talente &amp; Stuff'!FU:GV,9,FALSE)</f>
        <v>0</v>
      </c>
      <c r="L89" s="113">
        <f>VLOOKUP(C89,'Talente &amp; Stuff'!FU:GV,10,FALSE)</f>
        <v>0</v>
      </c>
      <c r="M89" s="119">
        <f>VLOOKUP(C89,'Talente &amp; Stuff'!FU:GV,11,FALSE)</f>
        <v>0</v>
      </c>
      <c r="N89" s="89">
        <f>VLOOKUP(C89,'Talente &amp; Stuff'!FU:GV,12,FALSE)</f>
        <v>0</v>
      </c>
      <c r="O89" s="47">
        <f>VLOOKUP(C89,'Talente &amp; Stuff'!FU:GV,13,FALSE)</f>
        <v>0</v>
      </c>
      <c r="P89" s="119">
        <f>VLOOKUP(C89,'Talente &amp; Stuff'!FU:GV,14,FALSE)</f>
        <v>0</v>
      </c>
      <c r="Q89" s="114">
        <f>VLOOKUP(C89,'Talente &amp; Stuff'!FU:GV,15,FALSE)</f>
        <v>0</v>
      </c>
      <c r="R89" s="113">
        <f>VLOOKUP(C89,'Talente &amp; Stuff'!FU:GV,16,FALSE)</f>
        <v>0</v>
      </c>
      <c r="S89" s="119">
        <f>VLOOKUP(C89,'Talente &amp; Stuff'!FU:GV,17,FALSE)</f>
        <v>0</v>
      </c>
      <c r="T89" s="160">
        <f>VLOOKUP(C89,'Talente &amp; Stuff'!FU:GV,18,FALSE)</f>
        <v>0</v>
      </c>
      <c r="U89" s="89">
        <f>VLOOKUP(C89,'Talente &amp; Stuff'!FU:GV,19,FALSE)</f>
        <v>0</v>
      </c>
      <c r="V89" s="47">
        <f>VLOOKUP(C89,'Talente &amp; Stuff'!FU:GV,20,FALSE)</f>
        <v>0</v>
      </c>
      <c r="W89" s="127">
        <f>VLOOKUP(C89,'Talente &amp; Stuff'!FU:GV,21,FALSE)</f>
        <v>0</v>
      </c>
      <c r="X89" s="127">
        <f>VLOOKUP(C89,'Talente &amp; Stuff'!FU:GV,22,FALSE)</f>
        <v>0</v>
      </c>
      <c r="Y89" s="165">
        <f t="shared" si="10"/>
        <v>0</v>
      </c>
      <c r="Z89" s="44">
        <f t="shared" si="11"/>
        <v>0</v>
      </c>
      <c r="AA89" s="125">
        <f>VLOOKUP(C89,'Talente &amp; Stuff'!FU:GV,25,FALSE)</f>
        <v>0</v>
      </c>
      <c r="AB89" s="160">
        <f>VLOOKUP(C89,'Talente &amp; Stuff'!FU:GV,26,FALSE)</f>
        <v>0</v>
      </c>
      <c r="AC89" s="127">
        <f>VLOOKUP(C89,'Talente &amp; Stuff'!FU:GV,27,FALSE)</f>
        <v>0</v>
      </c>
      <c r="AD89" s="125">
        <f>VLOOKUP(C89,'Talente &amp; Stuff'!FU:GV,28,FALSE)</f>
        <v>0</v>
      </c>
      <c r="AE89" s="28"/>
    </row>
    <row r="90" spans="2:31" ht="15" hidden="1" customHeight="1" outlineLevel="2">
      <c r="B90" s="148">
        <v>13</v>
      </c>
      <c r="C90" s="177" t="str">
        <f>Attribute!C90</f>
        <v>---</v>
      </c>
      <c r="D90" s="125" t="str">
        <f>VLOOKUP(C90,'Talente &amp; Stuff'!FU:GV,2,FALSE)</f>
        <v>--/--/--</v>
      </c>
      <c r="E90" s="127" t="str">
        <f>VLOOKUP(C90,'Talente &amp; Stuff'!FU:GV,3,FALSE)</f>
        <v>-</v>
      </c>
      <c r="F90" s="114">
        <f>VLOOKUP(C90,'Talente &amp; Stuff'!FU:GV,4,FALSE)</f>
        <v>0</v>
      </c>
      <c r="G90" s="113">
        <f>VLOOKUP(C90,'Talente &amp; Stuff'!FU:GV,5,FALSE)</f>
        <v>0</v>
      </c>
      <c r="H90" s="113">
        <f>VLOOKUP(C90,'Talente &amp; Stuff'!FU:GV,6,FALSE)</f>
        <v>0</v>
      </c>
      <c r="I90" s="113">
        <f>VLOOKUP(C90,'Talente &amp; Stuff'!FU:GV,7,FALSE)</f>
        <v>0</v>
      </c>
      <c r="J90" s="113">
        <f>VLOOKUP(C90,'Talente &amp; Stuff'!FU:GV,8,FALSE)</f>
        <v>0</v>
      </c>
      <c r="K90" s="113">
        <f>VLOOKUP(C90,'Talente &amp; Stuff'!FU:GV,9,FALSE)</f>
        <v>0</v>
      </c>
      <c r="L90" s="113">
        <f>VLOOKUP(C90,'Talente &amp; Stuff'!FU:GV,10,FALSE)</f>
        <v>0</v>
      </c>
      <c r="M90" s="119">
        <f>VLOOKUP(C90,'Talente &amp; Stuff'!FU:GV,11,FALSE)</f>
        <v>0</v>
      </c>
      <c r="N90" s="89">
        <f>VLOOKUP(C90,'Talente &amp; Stuff'!FU:GV,12,FALSE)</f>
        <v>0</v>
      </c>
      <c r="O90" s="47">
        <f>VLOOKUP(C90,'Talente &amp; Stuff'!FU:GV,13,FALSE)</f>
        <v>0</v>
      </c>
      <c r="P90" s="119">
        <f>VLOOKUP(C90,'Talente &amp; Stuff'!FU:GV,14,FALSE)</f>
        <v>0</v>
      </c>
      <c r="Q90" s="114">
        <f>VLOOKUP(C90,'Talente &amp; Stuff'!FU:GV,15,FALSE)</f>
        <v>0</v>
      </c>
      <c r="R90" s="113">
        <f>VLOOKUP(C90,'Talente &amp; Stuff'!FU:GV,16,FALSE)</f>
        <v>0</v>
      </c>
      <c r="S90" s="119">
        <f>VLOOKUP(C90,'Talente &amp; Stuff'!FU:GV,17,FALSE)</f>
        <v>0</v>
      </c>
      <c r="T90" s="160">
        <f>VLOOKUP(C90,'Talente &amp; Stuff'!FU:GV,18,FALSE)</f>
        <v>0</v>
      </c>
      <c r="U90" s="89">
        <f>VLOOKUP(C90,'Talente &amp; Stuff'!FU:GV,19,FALSE)</f>
        <v>0</v>
      </c>
      <c r="V90" s="47">
        <f>VLOOKUP(C90,'Talente &amp; Stuff'!FU:GV,20,FALSE)</f>
        <v>0</v>
      </c>
      <c r="W90" s="127">
        <f>VLOOKUP(C90,'Talente &amp; Stuff'!FU:GV,21,FALSE)</f>
        <v>0</v>
      </c>
      <c r="X90" s="127">
        <f>VLOOKUP(C90,'Talente &amp; Stuff'!FU:GV,22,FALSE)</f>
        <v>0</v>
      </c>
      <c r="Y90" s="165">
        <f t="shared" si="10"/>
        <v>0</v>
      </c>
      <c r="Z90" s="44">
        <f t="shared" si="11"/>
        <v>0</v>
      </c>
      <c r="AA90" s="125">
        <f>VLOOKUP(C90,'Talente &amp; Stuff'!FU:GV,25,FALSE)</f>
        <v>0</v>
      </c>
      <c r="AB90" s="160">
        <f>VLOOKUP(C90,'Talente &amp; Stuff'!FU:GV,26,FALSE)</f>
        <v>0</v>
      </c>
      <c r="AC90" s="127">
        <f>VLOOKUP(C90,'Talente &amp; Stuff'!FU:GV,27,FALSE)</f>
        <v>0</v>
      </c>
      <c r="AD90" s="125">
        <f>VLOOKUP(C90,'Talente &amp; Stuff'!FU:GV,28,FALSE)</f>
        <v>0</v>
      </c>
      <c r="AE90" s="28"/>
    </row>
    <row r="91" spans="2:31" ht="15" hidden="1" customHeight="1" outlineLevel="2">
      <c r="B91" s="148">
        <v>14</v>
      </c>
      <c r="C91" s="177" t="str">
        <f>Attribute!C91</f>
        <v>---</v>
      </c>
      <c r="D91" s="125" t="str">
        <f>VLOOKUP(C91,'Talente &amp; Stuff'!FU:GV,2,FALSE)</f>
        <v>--/--/--</v>
      </c>
      <c r="E91" s="127" t="str">
        <f>VLOOKUP(C91,'Talente &amp; Stuff'!FU:GV,3,FALSE)</f>
        <v>-</v>
      </c>
      <c r="F91" s="114">
        <f>VLOOKUP(C91,'Talente &amp; Stuff'!FU:GV,4,FALSE)</f>
        <v>0</v>
      </c>
      <c r="G91" s="113">
        <f>VLOOKUP(C91,'Talente &amp; Stuff'!FU:GV,5,FALSE)</f>
        <v>0</v>
      </c>
      <c r="H91" s="113">
        <f>VLOOKUP(C91,'Talente &amp; Stuff'!FU:GV,6,FALSE)</f>
        <v>0</v>
      </c>
      <c r="I91" s="113">
        <f>VLOOKUP(C91,'Talente &amp; Stuff'!FU:GV,7,FALSE)</f>
        <v>0</v>
      </c>
      <c r="J91" s="113">
        <f>VLOOKUP(C91,'Talente &amp; Stuff'!FU:GV,8,FALSE)</f>
        <v>0</v>
      </c>
      <c r="K91" s="113">
        <f>VLOOKUP(C91,'Talente &amp; Stuff'!FU:GV,9,FALSE)</f>
        <v>0</v>
      </c>
      <c r="L91" s="113">
        <f>VLOOKUP(C91,'Talente &amp; Stuff'!FU:GV,10,FALSE)</f>
        <v>0</v>
      </c>
      <c r="M91" s="119">
        <f>VLOOKUP(C91,'Talente &amp; Stuff'!FU:GV,11,FALSE)</f>
        <v>0</v>
      </c>
      <c r="N91" s="89">
        <f>VLOOKUP(C91,'Talente &amp; Stuff'!FU:GV,12,FALSE)</f>
        <v>0</v>
      </c>
      <c r="O91" s="47">
        <f>VLOOKUP(C91,'Talente &amp; Stuff'!FU:GV,13,FALSE)</f>
        <v>0</v>
      </c>
      <c r="P91" s="119">
        <f>VLOOKUP(C91,'Talente &amp; Stuff'!FU:GV,14,FALSE)</f>
        <v>0</v>
      </c>
      <c r="Q91" s="114">
        <f>VLOOKUP(C91,'Talente &amp; Stuff'!FU:GV,15,FALSE)</f>
        <v>0</v>
      </c>
      <c r="R91" s="113">
        <f>VLOOKUP(C91,'Talente &amp; Stuff'!FU:GV,16,FALSE)</f>
        <v>0</v>
      </c>
      <c r="S91" s="119">
        <f>VLOOKUP(C91,'Talente &amp; Stuff'!FU:GV,17,FALSE)</f>
        <v>0</v>
      </c>
      <c r="T91" s="160">
        <f>VLOOKUP(C91,'Talente &amp; Stuff'!FU:GV,18,FALSE)</f>
        <v>0</v>
      </c>
      <c r="U91" s="89">
        <f>VLOOKUP(C91,'Talente &amp; Stuff'!FU:GV,19,FALSE)</f>
        <v>0</v>
      </c>
      <c r="V91" s="47">
        <f>VLOOKUP(C91,'Talente &amp; Stuff'!FU:GV,20,FALSE)</f>
        <v>0</v>
      </c>
      <c r="W91" s="127">
        <f>VLOOKUP(C91,'Talente &amp; Stuff'!FU:GV,21,FALSE)</f>
        <v>0</v>
      </c>
      <c r="X91" s="127">
        <f>VLOOKUP(C91,'Talente &amp; Stuff'!FU:GV,22,FALSE)</f>
        <v>0</v>
      </c>
      <c r="Y91" s="165">
        <f t="shared" si="10"/>
        <v>0</v>
      </c>
      <c r="Z91" s="44">
        <f t="shared" si="11"/>
        <v>0</v>
      </c>
      <c r="AA91" s="125">
        <f>VLOOKUP(C91,'Talente &amp; Stuff'!FU:GV,25,FALSE)</f>
        <v>0</v>
      </c>
      <c r="AB91" s="160">
        <f>VLOOKUP(C91,'Talente &amp; Stuff'!FU:GV,26,FALSE)</f>
        <v>0</v>
      </c>
      <c r="AC91" s="127">
        <f>VLOOKUP(C91,'Talente &amp; Stuff'!FU:GV,27,FALSE)</f>
        <v>0</v>
      </c>
      <c r="AD91" s="125">
        <f>VLOOKUP(C91,'Talente &amp; Stuff'!FU:GV,28,FALSE)</f>
        <v>0</v>
      </c>
      <c r="AE91" s="28"/>
    </row>
    <row r="92" spans="2:31" ht="15" hidden="1" customHeight="1" outlineLevel="2">
      <c r="B92" s="148">
        <v>15</v>
      </c>
      <c r="C92" s="177" t="str">
        <f>Attribute!C92</f>
        <v>---</v>
      </c>
      <c r="D92" s="86" t="str">
        <f>VLOOKUP(C92,'Talente &amp; Stuff'!FU:GV,2,FALSE)</f>
        <v>--/--/--</v>
      </c>
      <c r="E92" s="127" t="str">
        <f>VLOOKUP(C92,'Talente &amp; Stuff'!FU:GV,3,FALSE)</f>
        <v>-</v>
      </c>
      <c r="F92" s="114">
        <f>VLOOKUP(C92,'Talente &amp; Stuff'!FU:GV,4,FALSE)</f>
        <v>0</v>
      </c>
      <c r="G92" s="113">
        <f>VLOOKUP(C92,'Talente &amp; Stuff'!FU:GV,5,FALSE)</f>
        <v>0</v>
      </c>
      <c r="H92" s="113">
        <f>VLOOKUP(C92,'Talente &amp; Stuff'!FU:GV,6,FALSE)</f>
        <v>0</v>
      </c>
      <c r="I92" s="113">
        <f>VLOOKUP(C92,'Talente &amp; Stuff'!FU:GV,7,FALSE)</f>
        <v>0</v>
      </c>
      <c r="J92" s="113">
        <f>VLOOKUP(C92,'Talente &amp; Stuff'!FU:GV,8,FALSE)</f>
        <v>0</v>
      </c>
      <c r="K92" s="113">
        <f>VLOOKUP(C92,'Talente &amp; Stuff'!FU:GV,9,FALSE)</f>
        <v>0</v>
      </c>
      <c r="L92" s="113">
        <f>VLOOKUP(C92,'Talente &amp; Stuff'!FU:GV,10,FALSE)</f>
        <v>0</v>
      </c>
      <c r="M92" s="119">
        <f>VLOOKUP(C92,'Talente &amp; Stuff'!FU:GV,11,FALSE)</f>
        <v>0</v>
      </c>
      <c r="N92" s="89">
        <f>VLOOKUP(C92,'Talente &amp; Stuff'!FU:GV,12,FALSE)</f>
        <v>0</v>
      </c>
      <c r="O92" s="47">
        <f>VLOOKUP(C92,'Talente &amp; Stuff'!FU:GV,13,FALSE)</f>
        <v>0</v>
      </c>
      <c r="P92" s="119">
        <f>VLOOKUP(C92,'Talente &amp; Stuff'!FU:GV,14,FALSE)</f>
        <v>0</v>
      </c>
      <c r="Q92" s="114">
        <f>VLOOKUP(C92,'Talente &amp; Stuff'!FU:GV,15,FALSE)</f>
        <v>0</v>
      </c>
      <c r="R92" s="113">
        <f>VLOOKUP(C92,'Talente &amp; Stuff'!FU:GV,16,FALSE)</f>
        <v>0</v>
      </c>
      <c r="S92" s="119">
        <f>VLOOKUP(C92,'Talente &amp; Stuff'!FU:GV,17,FALSE)</f>
        <v>0</v>
      </c>
      <c r="T92" s="160">
        <f>VLOOKUP(C92,'Talente &amp; Stuff'!FU:GV,18,FALSE)</f>
        <v>0</v>
      </c>
      <c r="U92" s="89">
        <f>VLOOKUP(C92,'Talente &amp; Stuff'!FU:GV,19,FALSE)</f>
        <v>0</v>
      </c>
      <c r="V92" s="47">
        <f>VLOOKUP(C92,'Talente &amp; Stuff'!FU:GV,20,FALSE)</f>
        <v>0</v>
      </c>
      <c r="W92" s="127">
        <f>VLOOKUP(C92,'Talente &amp; Stuff'!FU:GV,21,FALSE)</f>
        <v>0</v>
      </c>
      <c r="X92" s="127">
        <f>VLOOKUP(C92,'Talente &amp; Stuff'!FU:GV,22,FALSE)</f>
        <v>0</v>
      </c>
      <c r="Y92" s="165">
        <f t="shared" si="10"/>
        <v>0</v>
      </c>
      <c r="Z92" s="44">
        <f t="shared" si="11"/>
        <v>0</v>
      </c>
      <c r="AA92" s="125">
        <f>VLOOKUP(C92,'Talente &amp; Stuff'!FU:GV,25,FALSE)</f>
        <v>0</v>
      </c>
      <c r="AB92" s="160">
        <f>VLOOKUP(C92,'Talente &amp; Stuff'!FU:GV,26,FALSE)</f>
        <v>0</v>
      </c>
      <c r="AC92" s="127">
        <f>VLOOKUP(C92,'Talente &amp; Stuff'!FU:GV,27,FALSE)</f>
        <v>0</v>
      </c>
      <c r="AD92" s="125">
        <f>VLOOKUP(C92,'Talente &amp; Stuff'!FU:GV,28,FALSE)</f>
        <v>0</v>
      </c>
      <c r="AE92" s="28"/>
    </row>
    <row r="93" spans="2:31" ht="15" hidden="1" customHeight="1" outlineLevel="2">
      <c r="B93" s="148">
        <v>16</v>
      </c>
      <c r="C93" s="177" t="str">
        <f>Attribute!C93</f>
        <v>---</v>
      </c>
      <c r="D93" s="125" t="str">
        <f>VLOOKUP(C93,'Talente &amp; Stuff'!FU:GV,2,FALSE)</f>
        <v>--/--/--</v>
      </c>
      <c r="E93" s="127" t="str">
        <f>VLOOKUP(C93,'Talente &amp; Stuff'!FU:GV,3,FALSE)</f>
        <v>-</v>
      </c>
      <c r="F93" s="114">
        <f>VLOOKUP(C93,'Talente &amp; Stuff'!FU:GV,4,FALSE)</f>
        <v>0</v>
      </c>
      <c r="G93" s="113">
        <f>VLOOKUP(C93,'Talente &amp; Stuff'!FU:GV,5,FALSE)</f>
        <v>0</v>
      </c>
      <c r="H93" s="113">
        <f>VLOOKUP(C93,'Talente &amp; Stuff'!FU:GV,6,FALSE)</f>
        <v>0</v>
      </c>
      <c r="I93" s="113">
        <f>VLOOKUP(C93,'Talente &amp; Stuff'!FU:GV,7,FALSE)</f>
        <v>0</v>
      </c>
      <c r="J93" s="113">
        <f>VLOOKUP(C93,'Talente &amp; Stuff'!FU:GV,8,FALSE)</f>
        <v>0</v>
      </c>
      <c r="K93" s="113">
        <f>VLOOKUP(C93,'Talente &amp; Stuff'!FU:GV,9,FALSE)</f>
        <v>0</v>
      </c>
      <c r="L93" s="113">
        <f>VLOOKUP(C93,'Talente &amp; Stuff'!FU:GV,10,FALSE)</f>
        <v>0</v>
      </c>
      <c r="M93" s="119">
        <f>VLOOKUP(C93,'Talente &amp; Stuff'!FU:GV,11,FALSE)</f>
        <v>0</v>
      </c>
      <c r="N93" s="89">
        <f>VLOOKUP(C93,'Talente &amp; Stuff'!FU:GV,12,FALSE)</f>
        <v>0</v>
      </c>
      <c r="O93" s="47">
        <f>VLOOKUP(C93,'Talente &amp; Stuff'!FU:GV,13,FALSE)</f>
        <v>0</v>
      </c>
      <c r="P93" s="119">
        <f>VLOOKUP(C93,'Talente &amp; Stuff'!FU:GV,14,FALSE)</f>
        <v>0</v>
      </c>
      <c r="Q93" s="114">
        <f>VLOOKUP(C93,'Talente &amp; Stuff'!FU:GV,15,FALSE)</f>
        <v>0</v>
      </c>
      <c r="R93" s="113">
        <f>VLOOKUP(C93,'Talente &amp; Stuff'!FU:GV,16,FALSE)</f>
        <v>0</v>
      </c>
      <c r="S93" s="119">
        <f>VLOOKUP(C93,'Talente &amp; Stuff'!FU:GV,17,FALSE)</f>
        <v>0</v>
      </c>
      <c r="T93" s="160">
        <f>VLOOKUP(C93,'Talente &amp; Stuff'!FU:GV,18,FALSE)</f>
        <v>0</v>
      </c>
      <c r="U93" s="89">
        <f>VLOOKUP(C93,'Talente &amp; Stuff'!FU:GV,19,FALSE)</f>
        <v>0</v>
      </c>
      <c r="V93" s="47">
        <f>VLOOKUP(C93,'Talente &amp; Stuff'!FU:GV,20,FALSE)</f>
        <v>0</v>
      </c>
      <c r="W93" s="127">
        <f>VLOOKUP(C93,'Talente &amp; Stuff'!FU:GV,21,FALSE)</f>
        <v>0</v>
      </c>
      <c r="X93" s="127">
        <f>VLOOKUP(C93,'Talente &amp; Stuff'!FU:GV,22,FALSE)</f>
        <v>0</v>
      </c>
      <c r="Y93" s="165">
        <f t="shared" si="10"/>
        <v>0</v>
      </c>
      <c r="Z93" s="44">
        <f t="shared" si="11"/>
        <v>0</v>
      </c>
      <c r="AA93" s="125">
        <f>VLOOKUP(C93,'Talente &amp; Stuff'!FU:GV,25,FALSE)</f>
        <v>0</v>
      </c>
      <c r="AB93" s="160">
        <f>VLOOKUP(C93,'Talente &amp; Stuff'!FU:GV,26,FALSE)</f>
        <v>0</v>
      </c>
      <c r="AC93" s="127">
        <f>VLOOKUP(C93,'Talente &amp; Stuff'!FU:GV,27,FALSE)</f>
        <v>0</v>
      </c>
      <c r="AD93" s="125">
        <f>VLOOKUP(C93,'Talente &amp; Stuff'!FU:GV,28,FALSE)</f>
        <v>0</v>
      </c>
      <c r="AE93" s="28"/>
    </row>
    <row r="94" spans="2:31" ht="15" hidden="1" customHeight="1" outlineLevel="2">
      <c r="B94" s="148">
        <v>17</v>
      </c>
      <c r="C94" s="177" t="str">
        <f>Attribute!C94</f>
        <v>---</v>
      </c>
      <c r="D94" s="125" t="str">
        <f>VLOOKUP(C94,'Talente &amp; Stuff'!FU:GV,2,FALSE)</f>
        <v>--/--/--</v>
      </c>
      <c r="E94" s="127" t="str">
        <f>VLOOKUP(C94,'Talente &amp; Stuff'!FU:GV,3,FALSE)</f>
        <v>-</v>
      </c>
      <c r="F94" s="114">
        <f>VLOOKUP(C94,'Talente &amp; Stuff'!FU:GV,4,FALSE)</f>
        <v>0</v>
      </c>
      <c r="G94" s="113">
        <f>VLOOKUP(C94,'Talente &amp; Stuff'!FU:GV,5,FALSE)</f>
        <v>0</v>
      </c>
      <c r="H94" s="113">
        <f>VLOOKUP(C94,'Talente &amp; Stuff'!FU:GV,6,FALSE)</f>
        <v>0</v>
      </c>
      <c r="I94" s="113">
        <f>VLOOKUP(C94,'Talente &amp; Stuff'!FU:GV,7,FALSE)</f>
        <v>0</v>
      </c>
      <c r="J94" s="113">
        <f>VLOOKUP(C94,'Talente &amp; Stuff'!FU:GV,8,FALSE)</f>
        <v>0</v>
      </c>
      <c r="K94" s="113">
        <f>VLOOKUP(C94,'Talente &amp; Stuff'!FU:GV,9,FALSE)</f>
        <v>0</v>
      </c>
      <c r="L94" s="113">
        <f>VLOOKUP(C94,'Talente &amp; Stuff'!FU:GV,10,FALSE)</f>
        <v>0</v>
      </c>
      <c r="M94" s="119">
        <f>VLOOKUP(C94,'Talente &amp; Stuff'!FU:GV,11,FALSE)</f>
        <v>0</v>
      </c>
      <c r="N94" s="89">
        <f>VLOOKUP(C94,'Talente &amp; Stuff'!FU:GV,12,FALSE)</f>
        <v>0</v>
      </c>
      <c r="O94" s="47">
        <f>VLOOKUP(C94,'Talente &amp; Stuff'!FU:GV,13,FALSE)</f>
        <v>0</v>
      </c>
      <c r="P94" s="119">
        <f>VLOOKUP(C94,'Talente &amp; Stuff'!FU:GV,14,FALSE)</f>
        <v>0</v>
      </c>
      <c r="Q94" s="114">
        <f>VLOOKUP(C94,'Talente &amp; Stuff'!FU:GV,15,FALSE)</f>
        <v>0</v>
      </c>
      <c r="R94" s="113">
        <f>VLOOKUP(C94,'Talente &amp; Stuff'!FU:GV,16,FALSE)</f>
        <v>0</v>
      </c>
      <c r="S94" s="119">
        <f>VLOOKUP(C94,'Talente &amp; Stuff'!FU:GV,17,FALSE)</f>
        <v>0</v>
      </c>
      <c r="T94" s="160">
        <f>VLOOKUP(C94,'Talente &amp; Stuff'!FU:GV,18,FALSE)</f>
        <v>0</v>
      </c>
      <c r="U94" s="89">
        <f>VLOOKUP(C94,'Talente &amp; Stuff'!FU:GV,19,FALSE)</f>
        <v>0</v>
      </c>
      <c r="V94" s="47">
        <f>VLOOKUP(C94,'Talente &amp; Stuff'!FU:GV,20,FALSE)</f>
        <v>0</v>
      </c>
      <c r="W94" s="127">
        <f>VLOOKUP(C94,'Talente &amp; Stuff'!FU:GV,21,FALSE)</f>
        <v>0</v>
      </c>
      <c r="X94" s="127">
        <f>VLOOKUP(C94,'Talente &amp; Stuff'!FU:GV,22,FALSE)</f>
        <v>0</v>
      </c>
      <c r="Y94" s="165">
        <f t="shared" si="10"/>
        <v>0</v>
      </c>
      <c r="Z94" s="44">
        <f t="shared" si="11"/>
        <v>0</v>
      </c>
      <c r="AA94" s="125">
        <f>VLOOKUP(C94,'Talente &amp; Stuff'!FU:GV,25,FALSE)</f>
        <v>0</v>
      </c>
      <c r="AB94" s="160">
        <f>VLOOKUP(C94,'Talente &amp; Stuff'!FU:GV,26,FALSE)</f>
        <v>0</v>
      </c>
      <c r="AC94" s="127">
        <f>VLOOKUP(C94,'Talente &amp; Stuff'!FU:GV,27,FALSE)</f>
        <v>0</v>
      </c>
      <c r="AD94" s="125">
        <f>VLOOKUP(C94,'Talente &amp; Stuff'!FU:GV,28,FALSE)</f>
        <v>0</v>
      </c>
      <c r="AE94" s="28"/>
    </row>
    <row r="95" spans="2:31" ht="15" hidden="1" customHeight="1" outlineLevel="2">
      <c r="B95" s="148">
        <v>18</v>
      </c>
      <c r="C95" s="177" t="str">
        <f>Attribute!C95</f>
        <v>---</v>
      </c>
      <c r="D95" s="125" t="str">
        <f>VLOOKUP(C95,'Talente &amp; Stuff'!FU:GV,2,FALSE)</f>
        <v>--/--/--</v>
      </c>
      <c r="E95" s="127" t="str">
        <f>VLOOKUP(C95,'Talente &amp; Stuff'!FU:GV,3,FALSE)</f>
        <v>-</v>
      </c>
      <c r="F95" s="114">
        <f>VLOOKUP(C95,'Talente &amp; Stuff'!FU:GV,4,FALSE)</f>
        <v>0</v>
      </c>
      <c r="G95" s="113">
        <f>VLOOKUP(C95,'Talente &amp; Stuff'!FU:GV,5,FALSE)</f>
        <v>0</v>
      </c>
      <c r="H95" s="113">
        <f>VLOOKUP(C95,'Talente &amp; Stuff'!FU:GV,6,FALSE)</f>
        <v>0</v>
      </c>
      <c r="I95" s="113">
        <f>VLOOKUP(C95,'Talente &amp; Stuff'!FU:GV,7,FALSE)</f>
        <v>0</v>
      </c>
      <c r="J95" s="113">
        <f>VLOOKUP(C95,'Talente &amp; Stuff'!FU:GV,8,FALSE)</f>
        <v>0</v>
      </c>
      <c r="K95" s="113">
        <f>VLOOKUP(C95,'Talente &amp; Stuff'!FU:GV,9,FALSE)</f>
        <v>0</v>
      </c>
      <c r="L95" s="113">
        <f>VLOOKUP(C95,'Talente &amp; Stuff'!FU:GV,10,FALSE)</f>
        <v>0</v>
      </c>
      <c r="M95" s="119">
        <f>VLOOKUP(C95,'Talente &amp; Stuff'!FU:GV,11,FALSE)</f>
        <v>0</v>
      </c>
      <c r="N95" s="89">
        <f>VLOOKUP(C95,'Talente &amp; Stuff'!FU:GV,12,FALSE)</f>
        <v>0</v>
      </c>
      <c r="O95" s="47">
        <f>VLOOKUP(C95,'Talente &amp; Stuff'!FU:GV,13,FALSE)</f>
        <v>0</v>
      </c>
      <c r="P95" s="119">
        <f>VLOOKUP(C95,'Talente &amp; Stuff'!FU:GV,14,FALSE)</f>
        <v>0</v>
      </c>
      <c r="Q95" s="114">
        <f>VLOOKUP(C95,'Talente &amp; Stuff'!FU:GV,15,FALSE)</f>
        <v>0</v>
      </c>
      <c r="R95" s="113">
        <f>VLOOKUP(C95,'Talente &amp; Stuff'!FU:GV,16,FALSE)</f>
        <v>0</v>
      </c>
      <c r="S95" s="119">
        <f>VLOOKUP(C95,'Talente &amp; Stuff'!FU:GV,17,FALSE)</f>
        <v>0</v>
      </c>
      <c r="T95" s="160">
        <f>VLOOKUP(C95,'Talente &amp; Stuff'!FU:GV,18,FALSE)</f>
        <v>0</v>
      </c>
      <c r="U95" s="89">
        <f>VLOOKUP(C95,'Talente &amp; Stuff'!FU:GV,19,FALSE)</f>
        <v>0</v>
      </c>
      <c r="V95" s="47">
        <f>VLOOKUP(C95,'Talente &amp; Stuff'!FU:GV,20,FALSE)</f>
        <v>0</v>
      </c>
      <c r="W95" s="127">
        <f>VLOOKUP(C95,'Talente &amp; Stuff'!FU:GV,21,FALSE)</f>
        <v>0</v>
      </c>
      <c r="X95" s="127">
        <f>VLOOKUP(C95,'Talente &amp; Stuff'!FU:GV,22,FALSE)</f>
        <v>0</v>
      </c>
      <c r="Y95" s="165">
        <f t="shared" si="10"/>
        <v>0</v>
      </c>
      <c r="Z95" s="44">
        <f t="shared" si="11"/>
        <v>0</v>
      </c>
      <c r="AA95" s="125">
        <f>VLOOKUP(C95,'Talente &amp; Stuff'!FU:GV,25,FALSE)</f>
        <v>0</v>
      </c>
      <c r="AB95" s="160">
        <f>VLOOKUP(C95,'Talente &amp; Stuff'!FU:GV,26,FALSE)</f>
        <v>0</v>
      </c>
      <c r="AC95" s="127">
        <f>VLOOKUP(C95,'Talente &amp; Stuff'!FU:GV,27,FALSE)</f>
        <v>0</v>
      </c>
      <c r="AD95" s="125">
        <f>VLOOKUP(C95,'Talente &amp; Stuff'!FU:GV,28,FALSE)</f>
        <v>0</v>
      </c>
      <c r="AE95" s="28"/>
    </row>
    <row r="96" spans="2:31" ht="15" hidden="1" customHeight="1" outlineLevel="2">
      <c r="B96" s="148">
        <v>19</v>
      </c>
      <c r="C96" s="177" t="str">
        <f>Attribute!C96</f>
        <v>---</v>
      </c>
      <c r="D96" s="125" t="str">
        <f>VLOOKUP(C96,'Talente &amp; Stuff'!FU:GV,2,FALSE)</f>
        <v>--/--/--</v>
      </c>
      <c r="E96" s="127" t="str">
        <f>VLOOKUP(C96,'Talente &amp; Stuff'!FU:GV,3,FALSE)</f>
        <v>-</v>
      </c>
      <c r="F96" s="114">
        <f>VLOOKUP(C96,'Talente &amp; Stuff'!FU:GV,4,FALSE)</f>
        <v>0</v>
      </c>
      <c r="G96" s="113">
        <f>VLOOKUP(C96,'Talente &amp; Stuff'!FU:GV,5,FALSE)</f>
        <v>0</v>
      </c>
      <c r="H96" s="113">
        <f>VLOOKUP(C96,'Talente &amp; Stuff'!FU:GV,6,FALSE)</f>
        <v>0</v>
      </c>
      <c r="I96" s="113">
        <f>VLOOKUP(C96,'Talente &amp; Stuff'!FU:GV,7,FALSE)</f>
        <v>0</v>
      </c>
      <c r="J96" s="113">
        <f>VLOOKUP(C96,'Talente &amp; Stuff'!FU:GV,8,FALSE)</f>
        <v>0</v>
      </c>
      <c r="K96" s="113">
        <f>VLOOKUP(C96,'Talente &amp; Stuff'!FU:GV,9,FALSE)</f>
        <v>0</v>
      </c>
      <c r="L96" s="113">
        <f>VLOOKUP(C96,'Talente &amp; Stuff'!FU:GV,10,FALSE)</f>
        <v>0</v>
      </c>
      <c r="M96" s="119">
        <f>VLOOKUP(C96,'Talente &amp; Stuff'!FU:GV,11,FALSE)</f>
        <v>0</v>
      </c>
      <c r="N96" s="89">
        <f>VLOOKUP(C96,'Talente &amp; Stuff'!FU:GV,12,FALSE)</f>
        <v>0</v>
      </c>
      <c r="O96" s="47">
        <f>VLOOKUP(C96,'Talente &amp; Stuff'!FU:GV,13,FALSE)</f>
        <v>0</v>
      </c>
      <c r="P96" s="119">
        <f>VLOOKUP(C96,'Talente &amp; Stuff'!FU:GV,14,FALSE)</f>
        <v>0</v>
      </c>
      <c r="Q96" s="114">
        <f>VLOOKUP(C96,'Talente &amp; Stuff'!FU:GV,15,FALSE)</f>
        <v>0</v>
      </c>
      <c r="R96" s="113">
        <f>VLOOKUP(C96,'Talente &amp; Stuff'!FU:GV,16,FALSE)</f>
        <v>0</v>
      </c>
      <c r="S96" s="119">
        <f>VLOOKUP(C96,'Talente &amp; Stuff'!FU:GV,17,FALSE)</f>
        <v>0</v>
      </c>
      <c r="T96" s="160">
        <f>VLOOKUP(C96,'Talente &amp; Stuff'!FU:GV,18,FALSE)</f>
        <v>0</v>
      </c>
      <c r="U96" s="89">
        <f>VLOOKUP(C96,'Talente &amp; Stuff'!FU:GV,19,FALSE)</f>
        <v>0</v>
      </c>
      <c r="V96" s="47">
        <f>VLOOKUP(C96,'Talente &amp; Stuff'!FU:GV,20,FALSE)</f>
        <v>0</v>
      </c>
      <c r="W96" s="127">
        <f>VLOOKUP(C96,'Talente &amp; Stuff'!FU:GV,21,FALSE)</f>
        <v>0</v>
      </c>
      <c r="X96" s="127">
        <f>VLOOKUP(C96,'Talente &amp; Stuff'!FU:GV,22,FALSE)</f>
        <v>0</v>
      </c>
      <c r="Y96" s="165">
        <f t="shared" si="10"/>
        <v>0</v>
      </c>
      <c r="Z96" s="44">
        <f t="shared" si="11"/>
        <v>0</v>
      </c>
      <c r="AA96" s="125">
        <f>VLOOKUP(C96,'Talente &amp; Stuff'!FU:GV,25,FALSE)</f>
        <v>0</v>
      </c>
      <c r="AB96" s="160">
        <f>VLOOKUP(C96,'Talente &amp; Stuff'!FU:GV,26,FALSE)</f>
        <v>0</v>
      </c>
      <c r="AC96" s="127">
        <f>VLOOKUP(C96,'Talente &amp; Stuff'!FU:GV,27,FALSE)</f>
        <v>0</v>
      </c>
      <c r="AD96" s="125">
        <f>VLOOKUP(C96,'Talente &amp; Stuff'!FU:GV,28,FALSE)</f>
        <v>0</v>
      </c>
      <c r="AE96" s="28"/>
    </row>
    <row r="97" spans="2:31" ht="15" hidden="1" customHeight="1" outlineLevel="2">
      <c r="B97" s="148">
        <v>20</v>
      </c>
      <c r="C97" s="177" t="str">
        <f>Attribute!C97</f>
        <v>---</v>
      </c>
      <c r="D97" s="125" t="str">
        <f>VLOOKUP(C97,'Talente &amp; Stuff'!FU:GV,2,FALSE)</f>
        <v>--/--/--</v>
      </c>
      <c r="E97" s="127" t="str">
        <f>VLOOKUP(C97,'Talente &amp; Stuff'!FU:GV,3,FALSE)</f>
        <v>-</v>
      </c>
      <c r="F97" s="114">
        <f>VLOOKUP(C97,'Talente &amp; Stuff'!FU:GV,4,FALSE)</f>
        <v>0</v>
      </c>
      <c r="G97" s="113">
        <f>VLOOKUP(C97,'Talente &amp; Stuff'!FU:GV,5,FALSE)</f>
        <v>0</v>
      </c>
      <c r="H97" s="113">
        <f>VLOOKUP(C97,'Talente &amp; Stuff'!FU:GV,6,FALSE)</f>
        <v>0</v>
      </c>
      <c r="I97" s="113">
        <f>VLOOKUP(C97,'Talente &amp; Stuff'!FU:GV,7,FALSE)</f>
        <v>0</v>
      </c>
      <c r="J97" s="113">
        <f>VLOOKUP(C97,'Talente &amp; Stuff'!FU:GV,8,FALSE)</f>
        <v>0</v>
      </c>
      <c r="K97" s="113">
        <f>VLOOKUP(C97,'Talente &amp; Stuff'!FU:GV,9,FALSE)</f>
        <v>0</v>
      </c>
      <c r="L97" s="113">
        <f>VLOOKUP(C97,'Talente &amp; Stuff'!FU:GV,10,FALSE)</f>
        <v>0</v>
      </c>
      <c r="M97" s="119">
        <f>VLOOKUP(C97,'Talente &amp; Stuff'!FU:GV,11,FALSE)</f>
        <v>0</v>
      </c>
      <c r="N97" s="89">
        <f>VLOOKUP(C97,'Talente &amp; Stuff'!FU:GV,12,FALSE)</f>
        <v>0</v>
      </c>
      <c r="O97" s="47">
        <f>VLOOKUP(C97,'Talente &amp; Stuff'!FU:GV,13,FALSE)</f>
        <v>0</v>
      </c>
      <c r="P97" s="119">
        <f>VLOOKUP(C97,'Talente &amp; Stuff'!FU:GV,14,FALSE)</f>
        <v>0</v>
      </c>
      <c r="Q97" s="114">
        <f>VLOOKUP(C97,'Talente &amp; Stuff'!FU:GV,15,FALSE)</f>
        <v>0</v>
      </c>
      <c r="R97" s="113">
        <f>VLOOKUP(C97,'Talente &amp; Stuff'!FU:GV,16,FALSE)</f>
        <v>0</v>
      </c>
      <c r="S97" s="119">
        <f>VLOOKUP(C97,'Talente &amp; Stuff'!FU:GV,17,FALSE)</f>
        <v>0</v>
      </c>
      <c r="T97" s="160">
        <f>VLOOKUP(C97,'Talente &amp; Stuff'!FU:GV,18,FALSE)</f>
        <v>0</v>
      </c>
      <c r="U97" s="89">
        <f>VLOOKUP(C97,'Talente &amp; Stuff'!FU:GV,19,FALSE)</f>
        <v>0</v>
      </c>
      <c r="V97" s="47">
        <f>VLOOKUP(C97,'Talente &amp; Stuff'!FU:GV,20,FALSE)</f>
        <v>0</v>
      </c>
      <c r="W97" s="127">
        <f>VLOOKUP(C97,'Talente &amp; Stuff'!FU:GV,21,FALSE)</f>
        <v>0</v>
      </c>
      <c r="X97" s="127">
        <f>VLOOKUP(C97,'Talente &amp; Stuff'!FU:GV,22,FALSE)</f>
        <v>0</v>
      </c>
      <c r="Y97" s="165">
        <f t="shared" si="10"/>
        <v>0</v>
      </c>
      <c r="Z97" s="44">
        <f t="shared" si="11"/>
        <v>0</v>
      </c>
      <c r="AA97" s="125">
        <f>VLOOKUP(C97,'Talente &amp; Stuff'!FU:GV,25,FALSE)</f>
        <v>0</v>
      </c>
      <c r="AB97" s="160">
        <f>VLOOKUP(C97,'Talente &amp; Stuff'!FU:GV,26,FALSE)</f>
        <v>0</v>
      </c>
      <c r="AC97" s="127">
        <f>VLOOKUP(C97,'Talente &amp; Stuff'!FU:GV,27,FALSE)</f>
        <v>0</v>
      </c>
      <c r="AD97" s="125">
        <f>VLOOKUP(C97,'Talente &amp; Stuff'!FU:GV,28,FALSE)</f>
        <v>0</v>
      </c>
      <c r="AE97" s="28"/>
    </row>
    <row r="98" spans="2:31" ht="15" hidden="1" customHeight="1" outlineLevel="2">
      <c r="B98" s="148">
        <v>21</v>
      </c>
      <c r="C98" s="178" t="str">
        <f>Attribute!C98</f>
        <v>---</v>
      </c>
      <c r="D98" s="87" t="str">
        <f>VLOOKUP(C98,'Talente &amp; Stuff'!FU:GV,2,FALSE)</f>
        <v>--/--/--</v>
      </c>
      <c r="E98" s="128" t="str">
        <f>VLOOKUP(C98,'Talente &amp; Stuff'!FU:GV,3,FALSE)</f>
        <v>-</v>
      </c>
      <c r="F98" s="115">
        <f>VLOOKUP(C98,'Talente &amp; Stuff'!FU:GV,4,FALSE)</f>
        <v>0</v>
      </c>
      <c r="G98" s="122">
        <f>VLOOKUP(C98,'Talente &amp; Stuff'!FU:GV,5,FALSE)</f>
        <v>0</v>
      </c>
      <c r="H98" s="122">
        <f>VLOOKUP(C98,'Talente &amp; Stuff'!FU:GV,6,FALSE)</f>
        <v>0</v>
      </c>
      <c r="I98" s="122">
        <f>VLOOKUP(C98,'Talente &amp; Stuff'!FU:GV,7,FALSE)</f>
        <v>0</v>
      </c>
      <c r="J98" s="122">
        <f>VLOOKUP(C98,'Talente &amp; Stuff'!FU:GV,8,FALSE)</f>
        <v>0</v>
      </c>
      <c r="K98" s="122">
        <f>VLOOKUP(C98,'Talente &amp; Stuff'!FU:GV,9,FALSE)</f>
        <v>0</v>
      </c>
      <c r="L98" s="122">
        <f>VLOOKUP(C98,'Talente &amp; Stuff'!FU:GV,10,FALSE)</f>
        <v>0</v>
      </c>
      <c r="M98" s="123">
        <f>VLOOKUP(C98,'Talente &amp; Stuff'!FU:GV,11,FALSE)</f>
        <v>0</v>
      </c>
      <c r="N98" s="88">
        <f>VLOOKUP(C98,'Talente &amp; Stuff'!FU:GV,12,FALSE)</f>
        <v>0</v>
      </c>
      <c r="O98" s="2">
        <f>VLOOKUP(C98,'Talente &amp; Stuff'!FU:GV,13,FALSE)</f>
        <v>0</v>
      </c>
      <c r="P98" s="173">
        <f>VLOOKUP(C98,'Talente &amp; Stuff'!FU:GV,14,FALSE)</f>
        <v>0</v>
      </c>
      <c r="Q98" s="115">
        <f>VLOOKUP(C98,'Talente &amp; Stuff'!FU:GV,15,FALSE)</f>
        <v>0</v>
      </c>
      <c r="R98" s="169">
        <f>VLOOKUP(C98,'Talente &amp; Stuff'!FU:GV,16,FALSE)</f>
        <v>0</v>
      </c>
      <c r="S98" s="123">
        <f>VLOOKUP(C98,'Talente &amp; Stuff'!FU:GV,17,FALSE)</f>
        <v>0</v>
      </c>
      <c r="T98" s="123">
        <f>VLOOKUP(C98,'Talente &amp; Stuff'!FU:GV,18,FALSE)</f>
        <v>0</v>
      </c>
      <c r="U98" s="90">
        <f>VLOOKUP(C98,'Talente &amp; Stuff'!FU:GV,19,FALSE)</f>
        <v>0</v>
      </c>
      <c r="V98" s="88">
        <f>VLOOKUP(C98,'Talente &amp; Stuff'!FU:GV,20,FALSE)</f>
        <v>0</v>
      </c>
      <c r="W98" s="128">
        <f>VLOOKUP(C98,'Talente &amp; Stuff'!FU:GV,21,FALSE)</f>
        <v>0</v>
      </c>
      <c r="X98" s="128">
        <f>VLOOKUP(C98,'Talente &amp; Stuff'!FU:GV,22,FALSE)</f>
        <v>0</v>
      </c>
      <c r="Y98" s="165">
        <f t="shared" si="10"/>
        <v>0</v>
      </c>
      <c r="Z98" s="44">
        <f t="shared" si="11"/>
        <v>0</v>
      </c>
      <c r="AA98" s="159">
        <f>VLOOKUP(C98,'Talente &amp; Stuff'!FU:GV,25,FALSE)</f>
        <v>0</v>
      </c>
      <c r="AB98" s="161">
        <f>VLOOKUP(C98,'Talente &amp; Stuff'!FU:GV,26,FALSE)</f>
        <v>0</v>
      </c>
      <c r="AC98" s="128">
        <f>VLOOKUP(C98,'Talente &amp; Stuff'!FU:GV,27,FALSE)</f>
        <v>0</v>
      </c>
      <c r="AD98" s="159">
        <f>VLOOKUP(C98,'Talente &amp; Stuff'!FU:GV,28,FALSE)</f>
        <v>0</v>
      </c>
      <c r="AE98" s="28"/>
    </row>
    <row r="99" spans="2:31" ht="15" hidden="1" customHeight="1" outlineLevel="1" collapsed="1">
      <c r="B99" s="134" t="s">
        <v>331</v>
      </c>
      <c r="C99" s="83"/>
      <c r="D99" s="84"/>
      <c r="E99" s="84"/>
    </row>
    <row r="100" spans="2:31" ht="15" hidden="1" customHeight="1" outlineLevel="2">
      <c r="B100" s="148">
        <v>1</v>
      </c>
      <c r="C100" s="176" t="str">
        <f>Attribute!C100</f>
        <v>---</v>
      </c>
      <c r="D100" s="85" t="str">
        <f>VLOOKUP(C100,'Talente &amp; Stuff'!FU:GV,2,FALSE)</f>
        <v>--/--/--</v>
      </c>
      <c r="E100" s="126" t="str">
        <f>VLOOKUP(C100,'Talente &amp; Stuff'!FU:GV,3,FALSE)</f>
        <v>-</v>
      </c>
      <c r="F100" s="191">
        <f>VLOOKUP(C100,'Talente &amp; Stuff'!FU:GV,4,FALSE)</f>
        <v>0</v>
      </c>
      <c r="G100" s="118">
        <f>VLOOKUP(C100,'Talente &amp; Stuff'!FU:GV,5,FALSE)</f>
        <v>0</v>
      </c>
      <c r="H100" s="118">
        <f>VLOOKUP(C100,'Talente &amp; Stuff'!FU:GV,6,FALSE)</f>
        <v>0</v>
      </c>
      <c r="I100" s="118">
        <f>VLOOKUP(C100,'Talente &amp; Stuff'!FU:GV,7,FALSE)</f>
        <v>0</v>
      </c>
      <c r="J100" s="118">
        <f>VLOOKUP(C100,'Talente &amp; Stuff'!FU:GV,8,FALSE)</f>
        <v>0</v>
      </c>
      <c r="K100" s="118">
        <f>VLOOKUP(C100,'Talente &amp; Stuff'!FU:GV,9,FALSE)</f>
        <v>0</v>
      </c>
      <c r="L100" s="118">
        <f>VLOOKUP(C100,'Talente &amp; Stuff'!FU:GV,10,FALSE)</f>
        <v>0</v>
      </c>
      <c r="M100" s="92">
        <f>VLOOKUP(C100,'Talente &amp; Stuff'!FU:GV,11,FALSE)</f>
        <v>0</v>
      </c>
      <c r="N100" s="116">
        <f>VLOOKUP(C100,'Talente &amp; Stuff'!FU:GV,12,FALSE)</f>
        <v>0</v>
      </c>
      <c r="O100" s="194">
        <f>VLOOKUP(C100,'Talente &amp; Stuff'!FU:GV,13,FALSE)</f>
        <v>0</v>
      </c>
      <c r="P100" s="192">
        <f>VLOOKUP(C100,'Talente &amp; Stuff'!FU:GV,14,FALSE)</f>
        <v>0</v>
      </c>
      <c r="Q100" s="191">
        <f>VLOOKUP(C100,'Talente &amp; Stuff'!FU:GV,15,FALSE)</f>
        <v>0</v>
      </c>
      <c r="R100" s="170">
        <f>VLOOKUP(C100,'Talente &amp; Stuff'!FU:GV,16,FALSE)</f>
        <v>0</v>
      </c>
      <c r="S100" s="92">
        <f>VLOOKUP(C100,'Talente &amp; Stuff'!FU:GV,17,FALSE)</f>
        <v>0</v>
      </c>
      <c r="T100" s="92">
        <f>VLOOKUP(C100,'Talente &amp; Stuff'!FU:GV,18,FALSE)</f>
        <v>0</v>
      </c>
      <c r="U100" s="193">
        <f>VLOOKUP(C100,'Talente &amp; Stuff'!FU:GV,19,FALSE)</f>
        <v>0</v>
      </c>
      <c r="V100" s="116">
        <f>VLOOKUP(C100,'Talente &amp; Stuff'!FU:GV,20,FALSE)</f>
        <v>0</v>
      </c>
      <c r="W100" s="126">
        <f>VLOOKUP(C100,'Talente &amp; Stuff'!FU:GV,21,FALSE)</f>
        <v>0</v>
      </c>
      <c r="X100" s="126">
        <f>VLOOKUP(C100,'Talente &amp; Stuff'!FU:GV,22,FALSE)</f>
        <v>0</v>
      </c>
      <c r="Y100" s="165">
        <f t="shared" ref="Y100:Y126" si="12">VLOOKUP(C100,Ausgewählte_Zauber_Druiden,197,FALSE)</f>
        <v>0</v>
      </c>
      <c r="Z100" s="44">
        <f t="shared" ref="Z100:Z126" si="13">VLOOKUP(C100,Ausgewählte_Zauber_Druiden,198,FALSE)</f>
        <v>0</v>
      </c>
      <c r="AA100" s="158">
        <f>VLOOKUP(C100,'Talente &amp; Stuff'!FU:GV,25,FALSE)</f>
        <v>0</v>
      </c>
      <c r="AB100" s="91">
        <f>VLOOKUP(C100,'Talente &amp; Stuff'!FU:GV,26,FALSE)</f>
        <v>0</v>
      </c>
      <c r="AC100" s="126">
        <f>VLOOKUP(C100,'Talente &amp; Stuff'!FU:GV,27,FALSE)</f>
        <v>0</v>
      </c>
      <c r="AD100" s="158">
        <f>VLOOKUP(C100,'Talente &amp; Stuff'!FU:GV,28,FALSE)</f>
        <v>0</v>
      </c>
      <c r="AE100" s="28"/>
    </row>
    <row r="101" spans="2:31" ht="15" hidden="1" customHeight="1" outlineLevel="2">
      <c r="B101" s="148">
        <v>2</v>
      </c>
      <c r="C101" s="177" t="str">
        <f>Attribute!C101</f>
        <v>---</v>
      </c>
      <c r="D101" s="86" t="str">
        <f>VLOOKUP(C101,'Talente &amp; Stuff'!FU:GV,2,FALSE)</f>
        <v>--/--/--</v>
      </c>
      <c r="E101" s="167" t="str">
        <f>VLOOKUP(C101,'Talente &amp; Stuff'!FU:GV,3,FALSE)</f>
        <v>-</v>
      </c>
      <c r="F101" s="120">
        <f>VLOOKUP(C101,'Talente &amp; Stuff'!FU:GV,4,FALSE)</f>
        <v>0</v>
      </c>
      <c r="G101" s="117">
        <f>VLOOKUP(C101,'Talente &amp; Stuff'!FU:GV,5,FALSE)</f>
        <v>0</v>
      </c>
      <c r="H101" s="117">
        <f>VLOOKUP(C101,'Talente &amp; Stuff'!FU:GV,6,FALSE)</f>
        <v>0</v>
      </c>
      <c r="I101" s="117">
        <f>VLOOKUP(C101,'Talente &amp; Stuff'!FU:GV,7,FALSE)</f>
        <v>0</v>
      </c>
      <c r="J101" s="117">
        <f>VLOOKUP(C101,'Talente &amp; Stuff'!FU:GV,8,FALSE)</f>
        <v>0</v>
      </c>
      <c r="K101" s="117">
        <f>VLOOKUP(C101,'Talente &amp; Stuff'!FU:GV,9,FALSE)</f>
        <v>0</v>
      </c>
      <c r="L101" s="117">
        <f>VLOOKUP(C101,'Talente &amp; Stuff'!FU:GV,10,FALSE)</f>
        <v>0</v>
      </c>
      <c r="M101" s="121">
        <f>VLOOKUP(C101,'Talente &amp; Stuff'!FU:GV,11,FALSE)</f>
        <v>0</v>
      </c>
      <c r="N101" s="47">
        <f>VLOOKUP(C101,'Talente &amp; Stuff'!FU:GV,12,FALSE)</f>
        <v>0</v>
      </c>
      <c r="O101" s="3">
        <f>VLOOKUP(C101,'Talente &amp; Stuff'!FU:GV,13,FALSE)</f>
        <v>0</v>
      </c>
      <c r="P101" s="174">
        <f>VLOOKUP(C101,'Talente &amp; Stuff'!FU:GV,14,FALSE)</f>
        <v>0</v>
      </c>
      <c r="Q101" s="114">
        <f>VLOOKUP(C101,'Talente &amp; Stuff'!FU:GV,15,FALSE)</f>
        <v>0</v>
      </c>
      <c r="R101" s="117">
        <f>VLOOKUP(C101,'Talente &amp; Stuff'!FU:GV,16,FALSE)</f>
        <v>0</v>
      </c>
      <c r="S101" s="119">
        <f>VLOOKUP(C101,'Talente &amp; Stuff'!FU:GV,17,FALSE)</f>
        <v>0</v>
      </c>
      <c r="T101" s="119">
        <f>VLOOKUP(C101,'Talente &amp; Stuff'!FU:GV,18,FALSE)</f>
        <v>0</v>
      </c>
      <c r="U101" s="89">
        <f>VLOOKUP(C101,'Talente &amp; Stuff'!FU:GV,19,FALSE)</f>
        <v>0</v>
      </c>
      <c r="V101" s="47">
        <f>VLOOKUP(C101,'Talente &amp; Stuff'!FU:GV,20,FALSE)</f>
        <v>0</v>
      </c>
      <c r="W101" s="127">
        <f>VLOOKUP(C101,'Talente &amp; Stuff'!FU:GV,21,FALSE)</f>
        <v>0</v>
      </c>
      <c r="X101" s="127">
        <f>VLOOKUP(C101,'Talente &amp; Stuff'!FU:GV,22,FALSE)</f>
        <v>0</v>
      </c>
      <c r="Y101" s="165">
        <f t="shared" si="12"/>
        <v>0</v>
      </c>
      <c r="Z101" s="44">
        <f t="shared" si="13"/>
        <v>0</v>
      </c>
      <c r="AA101" s="125">
        <f>VLOOKUP(C101,'Talente &amp; Stuff'!FU:GV,25,FALSE)</f>
        <v>0</v>
      </c>
      <c r="AB101" s="160">
        <f>VLOOKUP(C101,'Talente &amp; Stuff'!FU:GV,26,FALSE)</f>
        <v>0</v>
      </c>
      <c r="AC101" s="127">
        <f>VLOOKUP(C101,'Talente &amp; Stuff'!FU:GV,27,FALSE)</f>
        <v>0</v>
      </c>
      <c r="AD101" s="125">
        <f>VLOOKUP(C101,'Talente &amp; Stuff'!FU:GV,28,FALSE)</f>
        <v>0</v>
      </c>
      <c r="AE101" s="28"/>
    </row>
    <row r="102" spans="2:31" ht="15" hidden="1" customHeight="1" outlineLevel="2">
      <c r="B102" s="148">
        <v>3</v>
      </c>
      <c r="C102" s="177" t="str">
        <f>Attribute!C102</f>
        <v>---</v>
      </c>
      <c r="D102" s="86" t="str">
        <f>VLOOKUP(C102,'Talente &amp; Stuff'!FU:GV,2,FALSE)</f>
        <v>--/--/--</v>
      </c>
      <c r="E102" s="167" t="str">
        <f>VLOOKUP(C102,'Talente &amp; Stuff'!FU:GV,3,FALSE)</f>
        <v>-</v>
      </c>
      <c r="F102" s="120">
        <f>VLOOKUP(C102,'Talente &amp; Stuff'!FU:GV,4,FALSE)</f>
        <v>0</v>
      </c>
      <c r="G102" s="117">
        <f>VLOOKUP(C102,'Talente &amp; Stuff'!FU:GV,5,FALSE)</f>
        <v>0</v>
      </c>
      <c r="H102" s="117">
        <f>VLOOKUP(C102,'Talente &amp; Stuff'!FU:GV,6,FALSE)</f>
        <v>0</v>
      </c>
      <c r="I102" s="117">
        <f>VLOOKUP(C102,'Talente &amp; Stuff'!FU:GV,7,FALSE)</f>
        <v>0</v>
      </c>
      <c r="J102" s="117">
        <f>VLOOKUP(C102,'Talente &amp; Stuff'!FU:GV,8,FALSE)</f>
        <v>0</v>
      </c>
      <c r="K102" s="117">
        <f>VLOOKUP(C102,'Talente &amp; Stuff'!FU:GV,9,FALSE)</f>
        <v>0</v>
      </c>
      <c r="L102" s="117">
        <f>VLOOKUP(C102,'Talente &amp; Stuff'!FU:GV,10,FALSE)</f>
        <v>0</v>
      </c>
      <c r="M102" s="121">
        <f>VLOOKUP(C102,'Talente &amp; Stuff'!FU:GV,11,FALSE)</f>
        <v>0</v>
      </c>
      <c r="N102" s="47">
        <f>VLOOKUP(C102,'Talente &amp; Stuff'!FU:GV,12,FALSE)</f>
        <v>0</v>
      </c>
      <c r="O102" s="3">
        <f>VLOOKUP(C102,'Talente &amp; Stuff'!FU:GV,13,FALSE)</f>
        <v>0</v>
      </c>
      <c r="P102" s="174">
        <f>VLOOKUP(C102,'Talente &amp; Stuff'!FU:GV,14,FALSE)</f>
        <v>0</v>
      </c>
      <c r="Q102" s="114">
        <f>VLOOKUP(C102,'Talente &amp; Stuff'!FU:GV,15,FALSE)</f>
        <v>0</v>
      </c>
      <c r="R102" s="117">
        <f>VLOOKUP(C102,'Talente &amp; Stuff'!FU:GV,16,FALSE)</f>
        <v>0</v>
      </c>
      <c r="S102" s="119">
        <f>VLOOKUP(C102,'Talente &amp; Stuff'!FU:GV,17,FALSE)</f>
        <v>0</v>
      </c>
      <c r="T102" s="119">
        <f>VLOOKUP(C102,'Talente &amp; Stuff'!FU:GV,18,FALSE)</f>
        <v>0</v>
      </c>
      <c r="U102" s="89">
        <f>VLOOKUP(C102,'Talente &amp; Stuff'!FU:GV,19,FALSE)</f>
        <v>0</v>
      </c>
      <c r="V102" s="47">
        <f>VLOOKUP(C102,'Talente &amp; Stuff'!FU:GV,20,FALSE)</f>
        <v>0</v>
      </c>
      <c r="W102" s="127">
        <f>VLOOKUP(C102,'Talente &amp; Stuff'!FU:GV,21,FALSE)</f>
        <v>0</v>
      </c>
      <c r="X102" s="127">
        <f>VLOOKUP(C102,'Talente &amp; Stuff'!FU:GV,22,FALSE)</f>
        <v>0</v>
      </c>
      <c r="Y102" s="165">
        <f t="shared" si="12"/>
        <v>0</v>
      </c>
      <c r="Z102" s="44">
        <f t="shared" si="13"/>
        <v>0</v>
      </c>
      <c r="AA102" s="125">
        <f>VLOOKUP(C102,'Talente &amp; Stuff'!FU:GV,25,FALSE)</f>
        <v>0</v>
      </c>
      <c r="AB102" s="160">
        <f>VLOOKUP(C102,'Talente &amp; Stuff'!FU:GV,26,FALSE)</f>
        <v>0</v>
      </c>
      <c r="AC102" s="127">
        <f>VLOOKUP(C102,'Talente &amp; Stuff'!FU:GV,27,FALSE)</f>
        <v>0</v>
      </c>
      <c r="AD102" s="125">
        <f>VLOOKUP(C102,'Talente &amp; Stuff'!FU:GV,28,FALSE)</f>
        <v>0</v>
      </c>
      <c r="AE102" s="28"/>
    </row>
    <row r="103" spans="2:31" ht="15" hidden="1" customHeight="1" outlineLevel="2">
      <c r="B103" s="148">
        <v>4</v>
      </c>
      <c r="C103" s="177" t="str">
        <f>Attribute!C103</f>
        <v>---</v>
      </c>
      <c r="D103" s="86" t="str">
        <f>VLOOKUP(C103,'Talente &amp; Stuff'!FU:GV,2,FALSE)</f>
        <v>--/--/--</v>
      </c>
      <c r="E103" s="167" t="str">
        <f>VLOOKUP(C103,'Talente &amp; Stuff'!FU:GV,3,FALSE)</f>
        <v>-</v>
      </c>
      <c r="F103" s="120">
        <f>VLOOKUP(C103,'Talente &amp; Stuff'!FU:GV,4,FALSE)</f>
        <v>0</v>
      </c>
      <c r="G103" s="117">
        <f>VLOOKUP(C103,'Talente &amp; Stuff'!FU:GV,5,FALSE)</f>
        <v>0</v>
      </c>
      <c r="H103" s="117">
        <f>VLOOKUP(C103,'Talente &amp; Stuff'!FU:GV,6,FALSE)</f>
        <v>0</v>
      </c>
      <c r="I103" s="117">
        <f>VLOOKUP(C103,'Talente &amp; Stuff'!FU:GV,7,FALSE)</f>
        <v>0</v>
      </c>
      <c r="J103" s="117">
        <f>VLOOKUP(C103,'Talente &amp; Stuff'!FU:GV,8,FALSE)</f>
        <v>0</v>
      </c>
      <c r="K103" s="117">
        <f>VLOOKUP(C103,'Talente &amp; Stuff'!FU:GV,9,FALSE)</f>
        <v>0</v>
      </c>
      <c r="L103" s="117">
        <f>VLOOKUP(C103,'Talente &amp; Stuff'!FU:GV,10,FALSE)</f>
        <v>0</v>
      </c>
      <c r="M103" s="121">
        <f>VLOOKUP(C103,'Talente &amp; Stuff'!FU:GV,11,FALSE)</f>
        <v>0</v>
      </c>
      <c r="N103" s="47">
        <f>VLOOKUP(C103,'Talente &amp; Stuff'!FU:GV,12,FALSE)</f>
        <v>0</v>
      </c>
      <c r="O103" s="3">
        <f>VLOOKUP(C103,'Talente &amp; Stuff'!FU:GV,13,FALSE)</f>
        <v>0</v>
      </c>
      <c r="P103" s="174">
        <f>VLOOKUP(C103,'Talente &amp; Stuff'!FU:GV,14,FALSE)</f>
        <v>0</v>
      </c>
      <c r="Q103" s="114">
        <f>VLOOKUP(C103,'Talente &amp; Stuff'!FU:GV,15,FALSE)</f>
        <v>0</v>
      </c>
      <c r="R103" s="117">
        <f>VLOOKUP(C103,'Talente &amp; Stuff'!FU:GV,16,FALSE)</f>
        <v>0</v>
      </c>
      <c r="S103" s="119">
        <f>VLOOKUP(C103,'Talente &amp; Stuff'!FU:GV,17,FALSE)</f>
        <v>0</v>
      </c>
      <c r="T103" s="119">
        <f>VLOOKUP(C103,'Talente &amp; Stuff'!FU:GV,18,FALSE)</f>
        <v>0</v>
      </c>
      <c r="U103" s="89">
        <f>VLOOKUP(C103,'Talente &amp; Stuff'!FU:GV,19,FALSE)</f>
        <v>0</v>
      </c>
      <c r="V103" s="47">
        <f>VLOOKUP(C103,'Talente &amp; Stuff'!FU:GV,20,FALSE)</f>
        <v>0</v>
      </c>
      <c r="W103" s="127">
        <f>VLOOKUP(C103,'Talente &amp; Stuff'!FU:GV,21,FALSE)</f>
        <v>0</v>
      </c>
      <c r="X103" s="127">
        <f>VLOOKUP(C103,'Talente &amp; Stuff'!FU:GV,22,FALSE)</f>
        <v>0</v>
      </c>
      <c r="Y103" s="165">
        <f t="shared" si="12"/>
        <v>0</v>
      </c>
      <c r="Z103" s="44">
        <f t="shared" si="13"/>
        <v>0</v>
      </c>
      <c r="AA103" s="125">
        <f>VLOOKUP(C103,'Talente &amp; Stuff'!FU:GV,25,FALSE)</f>
        <v>0</v>
      </c>
      <c r="AB103" s="160">
        <f>VLOOKUP(C103,'Talente &amp; Stuff'!FU:GV,26,FALSE)</f>
        <v>0</v>
      </c>
      <c r="AC103" s="127">
        <f>VLOOKUP(C103,'Talente &amp; Stuff'!FU:GV,27,FALSE)</f>
        <v>0</v>
      </c>
      <c r="AD103" s="125">
        <f>VLOOKUP(C103,'Talente &amp; Stuff'!FU:GV,28,FALSE)</f>
        <v>0</v>
      </c>
      <c r="AE103" s="28"/>
    </row>
    <row r="104" spans="2:31" ht="15" hidden="1" customHeight="1" outlineLevel="2">
      <c r="B104" s="148">
        <v>5</v>
      </c>
      <c r="C104" s="177" t="str">
        <f>Attribute!C104</f>
        <v>---</v>
      </c>
      <c r="D104" s="86" t="str">
        <f>VLOOKUP(C104,'Talente &amp; Stuff'!FU:GV,2,FALSE)</f>
        <v>--/--/--</v>
      </c>
      <c r="E104" s="167" t="str">
        <f>VLOOKUP(C104,'Talente &amp; Stuff'!FU:GV,3,FALSE)</f>
        <v>-</v>
      </c>
      <c r="F104" s="120">
        <f>VLOOKUP(C104,'Talente &amp; Stuff'!FU:GV,4,FALSE)</f>
        <v>0</v>
      </c>
      <c r="G104" s="117">
        <f>VLOOKUP(C104,'Talente &amp; Stuff'!FU:GV,5,FALSE)</f>
        <v>0</v>
      </c>
      <c r="H104" s="117">
        <f>VLOOKUP(C104,'Talente &amp; Stuff'!FU:GV,6,FALSE)</f>
        <v>0</v>
      </c>
      <c r="I104" s="117">
        <f>VLOOKUP(C104,'Talente &amp; Stuff'!FU:GV,7,FALSE)</f>
        <v>0</v>
      </c>
      <c r="J104" s="117">
        <f>VLOOKUP(C104,'Talente &amp; Stuff'!FU:GV,8,FALSE)</f>
        <v>0</v>
      </c>
      <c r="K104" s="117">
        <f>VLOOKUP(C104,'Talente &amp; Stuff'!FU:GV,9,FALSE)</f>
        <v>0</v>
      </c>
      <c r="L104" s="117">
        <f>VLOOKUP(C104,'Talente &amp; Stuff'!FU:GV,10,FALSE)</f>
        <v>0</v>
      </c>
      <c r="M104" s="121">
        <f>VLOOKUP(C104,'Talente &amp; Stuff'!FU:GV,11,FALSE)</f>
        <v>0</v>
      </c>
      <c r="N104" s="47">
        <f>VLOOKUP(C104,'Talente &amp; Stuff'!FU:GV,12,FALSE)</f>
        <v>0</v>
      </c>
      <c r="O104" s="3">
        <f>VLOOKUP(C104,'Talente &amp; Stuff'!FU:GV,13,FALSE)</f>
        <v>0</v>
      </c>
      <c r="P104" s="174">
        <f>VLOOKUP(C104,'Talente &amp; Stuff'!FU:GV,14,FALSE)</f>
        <v>0</v>
      </c>
      <c r="Q104" s="114">
        <f>VLOOKUP(C104,'Talente &amp; Stuff'!FU:GV,15,FALSE)</f>
        <v>0</v>
      </c>
      <c r="R104" s="117">
        <f>VLOOKUP(C104,'Talente &amp; Stuff'!FU:GV,16,FALSE)</f>
        <v>0</v>
      </c>
      <c r="S104" s="119">
        <f>VLOOKUP(C104,'Talente &amp; Stuff'!FU:GV,17,FALSE)</f>
        <v>0</v>
      </c>
      <c r="T104" s="119">
        <f>VLOOKUP(C104,'Talente &amp; Stuff'!FU:GV,18,FALSE)</f>
        <v>0</v>
      </c>
      <c r="U104" s="89">
        <f>VLOOKUP(C104,'Talente &amp; Stuff'!FU:GV,19,FALSE)</f>
        <v>0</v>
      </c>
      <c r="V104" s="47">
        <f>VLOOKUP(C104,'Talente &amp; Stuff'!FU:GV,20,FALSE)</f>
        <v>0</v>
      </c>
      <c r="W104" s="127">
        <f>VLOOKUP(C104,'Talente &amp; Stuff'!FU:GV,21,FALSE)</f>
        <v>0</v>
      </c>
      <c r="X104" s="127">
        <f>VLOOKUP(C104,'Talente &amp; Stuff'!FU:GV,22,FALSE)</f>
        <v>0</v>
      </c>
      <c r="Y104" s="165">
        <f t="shared" si="12"/>
        <v>0</v>
      </c>
      <c r="Z104" s="44">
        <f t="shared" si="13"/>
        <v>0</v>
      </c>
      <c r="AA104" s="125">
        <f>VLOOKUP(C104,'Talente &amp; Stuff'!FU:GV,25,FALSE)</f>
        <v>0</v>
      </c>
      <c r="AB104" s="160">
        <f>VLOOKUP(C104,'Talente &amp; Stuff'!FU:GV,26,FALSE)</f>
        <v>0</v>
      </c>
      <c r="AC104" s="127">
        <f>VLOOKUP(C104,'Talente &amp; Stuff'!FU:GV,27,FALSE)</f>
        <v>0</v>
      </c>
      <c r="AD104" s="125">
        <f>VLOOKUP(C104,'Talente &amp; Stuff'!FU:GV,28,FALSE)</f>
        <v>0</v>
      </c>
      <c r="AE104" s="28"/>
    </row>
    <row r="105" spans="2:31" ht="15" hidden="1" customHeight="1" outlineLevel="2">
      <c r="B105" s="148">
        <v>6</v>
      </c>
      <c r="C105" s="177" t="str">
        <f>Attribute!C105</f>
        <v>---</v>
      </c>
      <c r="D105" s="86" t="str">
        <f>VLOOKUP(C105,'Talente &amp; Stuff'!FU:GV,2,FALSE)</f>
        <v>--/--/--</v>
      </c>
      <c r="E105" s="167" t="str">
        <f>VLOOKUP(C105,'Talente &amp; Stuff'!FU:GV,3,FALSE)</f>
        <v>-</v>
      </c>
      <c r="F105" s="120">
        <f>VLOOKUP(C105,'Talente &amp; Stuff'!FU:GV,4,FALSE)</f>
        <v>0</v>
      </c>
      <c r="G105" s="117">
        <f>VLOOKUP(C105,'Talente &amp; Stuff'!FU:GV,5,FALSE)</f>
        <v>0</v>
      </c>
      <c r="H105" s="117">
        <f>VLOOKUP(C105,'Talente &amp; Stuff'!FU:GV,6,FALSE)</f>
        <v>0</v>
      </c>
      <c r="I105" s="117">
        <f>VLOOKUP(C105,'Talente &amp; Stuff'!FU:GV,7,FALSE)</f>
        <v>0</v>
      </c>
      <c r="J105" s="117">
        <f>VLOOKUP(C105,'Talente &amp; Stuff'!FU:GV,8,FALSE)</f>
        <v>0</v>
      </c>
      <c r="K105" s="117">
        <f>VLOOKUP(C105,'Talente &amp; Stuff'!FU:GV,9,FALSE)</f>
        <v>0</v>
      </c>
      <c r="L105" s="117">
        <f>VLOOKUP(C105,'Talente &amp; Stuff'!FU:GV,10,FALSE)</f>
        <v>0</v>
      </c>
      <c r="M105" s="121">
        <f>VLOOKUP(C105,'Talente &amp; Stuff'!FU:GV,11,FALSE)</f>
        <v>0</v>
      </c>
      <c r="N105" s="47">
        <f>VLOOKUP(C105,'Talente &amp; Stuff'!FU:GV,12,FALSE)</f>
        <v>0</v>
      </c>
      <c r="O105" s="3">
        <f>VLOOKUP(C105,'Talente &amp; Stuff'!FU:GV,13,FALSE)</f>
        <v>0</v>
      </c>
      <c r="P105" s="174">
        <f>VLOOKUP(C105,'Talente &amp; Stuff'!FU:GV,14,FALSE)</f>
        <v>0</v>
      </c>
      <c r="Q105" s="114">
        <f>VLOOKUP(C105,'Talente &amp; Stuff'!FU:GV,15,FALSE)</f>
        <v>0</v>
      </c>
      <c r="R105" s="117">
        <f>VLOOKUP(C105,'Talente &amp; Stuff'!FU:GV,16,FALSE)</f>
        <v>0</v>
      </c>
      <c r="S105" s="119">
        <f>VLOOKUP(C105,'Talente &amp; Stuff'!FU:GV,17,FALSE)</f>
        <v>0</v>
      </c>
      <c r="T105" s="119">
        <f>VLOOKUP(C105,'Talente &amp; Stuff'!FU:GV,18,FALSE)</f>
        <v>0</v>
      </c>
      <c r="U105" s="89">
        <f>VLOOKUP(C105,'Talente &amp; Stuff'!FU:GV,19,FALSE)</f>
        <v>0</v>
      </c>
      <c r="V105" s="47">
        <f>VLOOKUP(C105,'Talente &amp; Stuff'!FU:GV,20,FALSE)</f>
        <v>0</v>
      </c>
      <c r="W105" s="127">
        <f>VLOOKUP(C105,'Talente &amp; Stuff'!FU:GV,21,FALSE)</f>
        <v>0</v>
      </c>
      <c r="X105" s="127">
        <f>VLOOKUP(C105,'Talente &amp; Stuff'!FU:GV,22,FALSE)</f>
        <v>0</v>
      </c>
      <c r="Y105" s="165">
        <f t="shared" si="12"/>
        <v>0</v>
      </c>
      <c r="Z105" s="44">
        <f t="shared" si="13"/>
        <v>0</v>
      </c>
      <c r="AA105" s="125">
        <f>VLOOKUP(C105,'Talente &amp; Stuff'!FU:GV,25,FALSE)</f>
        <v>0</v>
      </c>
      <c r="AB105" s="160">
        <f>VLOOKUP(C105,'Talente &amp; Stuff'!FU:GV,26,FALSE)</f>
        <v>0</v>
      </c>
      <c r="AC105" s="127">
        <f>VLOOKUP(C105,'Talente &amp; Stuff'!FU:GV,27,FALSE)</f>
        <v>0</v>
      </c>
      <c r="AD105" s="125">
        <f>VLOOKUP(C105,'Talente &amp; Stuff'!FU:GV,28,FALSE)</f>
        <v>0</v>
      </c>
      <c r="AE105" s="28"/>
    </row>
    <row r="106" spans="2:31" ht="15" hidden="1" customHeight="1" outlineLevel="2">
      <c r="B106" s="148">
        <v>7</v>
      </c>
      <c r="C106" s="177" t="str">
        <f>Attribute!C106</f>
        <v>---</v>
      </c>
      <c r="D106" s="86" t="str">
        <f>VLOOKUP(C106,'Talente &amp; Stuff'!FU:GV,2,FALSE)</f>
        <v>--/--/--</v>
      </c>
      <c r="E106" s="167" t="str">
        <f>VLOOKUP(C106,'Talente &amp; Stuff'!FU:GV,3,FALSE)</f>
        <v>-</v>
      </c>
      <c r="F106" s="120">
        <f>VLOOKUP(C106,'Talente &amp; Stuff'!FU:GV,4,FALSE)</f>
        <v>0</v>
      </c>
      <c r="G106" s="117">
        <f>VLOOKUP(C106,'Talente &amp; Stuff'!FU:GV,5,FALSE)</f>
        <v>0</v>
      </c>
      <c r="H106" s="117">
        <f>VLOOKUP(C106,'Talente &amp; Stuff'!FU:GV,6,FALSE)</f>
        <v>0</v>
      </c>
      <c r="I106" s="117">
        <f>VLOOKUP(C106,'Talente &amp; Stuff'!FU:GV,7,FALSE)</f>
        <v>0</v>
      </c>
      <c r="J106" s="117">
        <f>VLOOKUP(C106,'Talente &amp; Stuff'!FU:GV,8,FALSE)</f>
        <v>0</v>
      </c>
      <c r="K106" s="117">
        <f>VLOOKUP(C106,'Talente &amp; Stuff'!FU:GV,9,FALSE)</f>
        <v>0</v>
      </c>
      <c r="L106" s="117">
        <f>VLOOKUP(C106,'Talente &amp; Stuff'!FU:GV,10,FALSE)</f>
        <v>0</v>
      </c>
      <c r="M106" s="121">
        <f>VLOOKUP(C106,'Talente &amp; Stuff'!FU:GV,11,FALSE)</f>
        <v>0</v>
      </c>
      <c r="N106" s="47">
        <f>VLOOKUP(C106,'Talente &amp; Stuff'!FU:GV,12,FALSE)</f>
        <v>0</v>
      </c>
      <c r="O106" s="3">
        <f>VLOOKUP(C106,'Talente &amp; Stuff'!FU:GV,13,FALSE)</f>
        <v>0</v>
      </c>
      <c r="P106" s="174">
        <f>VLOOKUP(C106,'Talente &amp; Stuff'!FU:GV,14,FALSE)</f>
        <v>0</v>
      </c>
      <c r="Q106" s="114">
        <f>VLOOKUP(C106,'Talente &amp; Stuff'!FU:GV,15,FALSE)</f>
        <v>0</v>
      </c>
      <c r="R106" s="117">
        <f>VLOOKUP(C106,'Talente &amp; Stuff'!FU:GV,16,FALSE)</f>
        <v>0</v>
      </c>
      <c r="S106" s="119">
        <f>VLOOKUP(C106,'Talente &amp; Stuff'!FU:GV,17,FALSE)</f>
        <v>0</v>
      </c>
      <c r="T106" s="119">
        <f>VLOOKUP(C106,'Talente &amp; Stuff'!FU:GV,18,FALSE)</f>
        <v>0</v>
      </c>
      <c r="U106" s="89">
        <f>VLOOKUP(C106,'Talente &amp; Stuff'!FU:GV,19,FALSE)</f>
        <v>0</v>
      </c>
      <c r="V106" s="47">
        <f>VLOOKUP(C106,'Talente &amp; Stuff'!FU:GV,20,FALSE)</f>
        <v>0</v>
      </c>
      <c r="W106" s="127">
        <f>VLOOKUP(C106,'Talente &amp; Stuff'!FU:GV,21,FALSE)</f>
        <v>0</v>
      </c>
      <c r="X106" s="127">
        <f>VLOOKUP(C106,'Talente &amp; Stuff'!FU:GV,22,FALSE)</f>
        <v>0</v>
      </c>
      <c r="Y106" s="165">
        <f t="shared" si="12"/>
        <v>0</v>
      </c>
      <c r="Z106" s="44">
        <f t="shared" si="13"/>
        <v>0</v>
      </c>
      <c r="AA106" s="125">
        <f>VLOOKUP(C106,'Talente &amp; Stuff'!FU:GV,25,FALSE)</f>
        <v>0</v>
      </c>
      <c r="AB106" s="160">
        <f>VLOOKUP(C106,'Talente &amp; Stuff'!FU:GV,26,FALSE)</f>
        <v>0</v>
      </c>
      <c r="AC106" s="127">
        <f>VLOOKUP(C106,'Talente &amp; Stuff'!FU:GV,27,FALSE)</f>
        <v>0</v>
      </c>
      <c r="AD106" s="125">
        <f>VLOOKUP(C106,'Talente &amp; Stuff'!FU:GV,28,FALSE)</f>
        <v>0</v>
      </c>
      <c r="AE106" s="28"/>
    </row>
    <row r="107" spans="2:31" ht="15" hidden="1" customHeight="1" outlineLevel="2">
      <c r="B107" s="148">
        <v>8</v>
      </c>
      <c r="C107" s="177" t="str">
        <f>Attribute!C107</f>
        <v>---</v>
      </c>
      <c r="D107" s="86" t="str">
        <f>VLOOKUP(C107,'Talente &amp; Stuff'!FU:GV,2,FALSE)</f>
        <v>--/--/--</v>
      </c>
      <c r="E107" s="167" t="str">
        <f>VLOOKUP(C107,'Talente &amp; Stuff'!FU:GV,3,FALSE)</f>
        <v>-</v>
      </c>
      <c r="F107" s="120">
        <f>VLOOKUP(C107,'Talente &amp; Stuff'!FU:GV,4,FALSE)</f>
        <v>0</v>
      </c>
      <c r="G107" s="117">
        <f>VLOOKUP(C107,'Talente &amp; Stuff'!FU:GV,5,FALSE)</f>
        <v>0</v>
      </c>
      <c r="H107" s="117">
        <f>VLOOKUP(C107,'Talente &amp; Stuff'!FU:GV,6,FALSE)</f>
        <v>0</v>
      </c>
      <c r="I107" s="117">
        <f>VLOOKUP(C107,'Talente &amp; Stuff'!FU:GV,7,FALSE)</f>
        <v>0</v>
      </c>
      <c r="J107" s="117">
        <f>VLOOKUP(C107,'Talente &amp; Stuff'!FU:GV,8,FALSE)</f>
        <v>0</v>
      </c>
      <c r="K107" s="117">
        <f>VLOOKUP(C107,'Talente &amp; Stuff'!FU:GV,9,FALSE)</f>
        <v>0</v>
      </c>
      <c r="L107" s="117">
        <f>VLOOKUP(C107,'Talente &amp; Stuff'!FU:GV,10,FALSE)</f>
        <v>0</v>
      </c>
      <c r="M107" s="121">
        <f>VLOOKUP(C107,'Talente &amp; Stuff'!FU:GV,11,FALSE)</f>
        <v>0</v>
      </c>
      <c r="N107" s="47">
        <f>VLOOKUP(C107,'Talente &amp; Stuff'!FU:GV,12,FALSE)</f>
        <v>0</v>
      </c>
      <c r="O107" s="3">
        <f>VLOOKUP(C107,'Talente &amp; Stuff'!FU:GV,13,FALSE)</f>
        <v>0</v>
      </c>
      <c r="P107" s="174">
        <f>VLOOKUP(C107,'Talente &amp; Stuff'!FU:GV,14,FALSE)</f>
        <v>0</v>
      </c>
      <c r="Q107" s="114">
        <f>VLOOKUP(C107,'Talente &amp; Stuff'!FU:GV,15,FALSE)</f>
        <v>0</v>
      </c>
      <c r="R107" s="117">
        <f>VLOOKUP(C107,'Talente &amp; Stuff'!FU:GV,16,FALSE)</f>
        <v>0</v>
      </c>
      <c r="S107" s="119">
        <f>VLOOKUP(C107,'Talente &amp; Stuff'!FU:GV,17,FALSE)</f>
        <v>0</v>
      </c>
      <c r="T107" s="119">
        <f>VLOOKUP(C107,'Talente &amp; Stuff'!FU:GV,18,FALSE)</f>
        <v>0</v>
      </c>
      <c r="U107" s="89">
        <f>VLOOKUP(C107,'Talente &amp; Stuff'!FU:GV,19,FALSE)</f>
        <v>0</v>
      </c>
      <c r="V107" s="47">
        <f>VLOOKUP(C107,'Talente &amp; Stuff'!FU:GV,20,FALSE)</f>
        <v>0</v>
      </c>
      <c r="W107" s="127">
        <f>VLOOKUP(C107,'Talente &amp; Stuff'!FU:GV,21,FALSE)</f>
        <v>0</v>
      </c>
      <c r="X107" s="127">
        <f>VLOOKUP(C107,'Talente &amp; Stuff'!FU:GV,22,FALSE)</f>
        <v>0</v>
      </c>
      <c r="Y107" s="165">
        <f t="shared" si="12"/>
        <v>0</v>
      </c>
      <c r="Z107" s="44">
        <f t="shared" si="13"/>
        <v>0</v>
      </c>
      <c r="AA107" s="125">
        <f>VLOOKUP(C107,'Talente &amp; Stuff'!FU:GV,25,FALSE)</f>
        <v>0</v>
      </c>
      <c r="AB107" s="160">
        <f>VLOOKUP(C107,'Talente &amp; Stuff'!FU:GV,26,FALSE)</f>
        <v>0</v>
      </c>
      <c r="AC107" s="127">
        <f>VLOOKUP(C107,'Talente &amp; Stuff'!FU:GV,27,FALSE)</f>
        <v>0</v>
      </c>
      <c r="AD107" s="125">
        <f>VLOOKUP(C107,'Talente &amp; Stuff'!FU:GV,28,FALSE)</f>
        <v>0</v>
      </c>
      <c r="AE107" s="28"/>
    </row>
    <row r="108" spans="2:31" ht="15" hidden="1" customHeight="1" outlineLevel="2">
      <c r="B108" s="148">
        <v>9</v>
      </c>
      <c r="C108" s="177" t="str">
        <f>Attribute!C108</f>
        <v>---</v>
      </c>
      <c r="D108" s="86" t="str">
        <f>VLOOKUP(C108,'Talente &amp; Stuff'!FU:GV,2,FALSE)</f>
        <v>--/--/--</v>
      </c>
      <c r="E108" s="167" t="str">
        <f>VLOOKUP(C108,'Talente &amp; Stuff'!FU:GV,3,FALSE)</f>
        <v>-</v>
      </c>
      <c r="F108" s="120">
        <f>VLOOKUP(C108,'Talente &amp; Stuff'!FU:GV,4,FALSE)</f>
        <v>0</v>
      </c>
      <c r="G108" s="117">
        <f>VLOOKUP(C108,'Talente &amp; Stuff'!FU:GV,5,FALSE)</f>
        <v>0</v>
      </c>
      <c r="H108" s="117">
        <f>VLOOKUP(C108,'Talente &amp; Stuff'!FU:GV,6,FALSE)</f>
        <v>0</v>
      </c>
      <c r="I108" s="117">
        <f>VLOOKUP(C108,'Talente &amp; Stuff'!FU:GV,7,FALSE)</f>
        <v>0</v>
      </c>
      <c r="J108" s="117">
        <f>VLOOKUP(C108,'Talente &amp; Stuff'!FU:GV,8,FALSE)</f>
        <v>0</v>
      </c>
      <c r="K108" s="117">
        <f>VLOOKUP(C108,'Talente &amp; Stuff'!FU:GV,9,FALSE)</f>
        <v>0</v>
      </c>
      <c r="L108" s="117">
        <f>VLOOKUP(C108,'Talente &amp; Stuff'!FU:GV,10,FALSE)</f>
        <v>0</v>
      </c>
      <c r="M108" s="121">
        <f>VLOOKUP(C108,'Talente &amp; Stuff'!FU:GV,11,FALSE)</f>
        <v>0</v>
      </c>
      <c r="N108" s="47">
        <f>VLOOKUP(C108,'Talente &amp; Stuff'!FU:GV,12,FALSE)</f>
        <v>0</v>
      </c>
      <c r="O108" s="3">
        <f>VLOOKUP(C108,'Talente &amp; Stuff'!FU:GV,13,FALSE)</f>
        <v>0</v>
      </c>
      <c r="P108" s="174">
        <f>VLOOKUP(C108,'Talente &amp; Stuff'!FU:GV,14,FALSE)</f>
        <v>0</v>
      </c>
      <c r="Q108" s="114">
        <f>VLOOKUP(C108,'Talente &amp; Stuff'!FU:GV,15,FALSE)</f>
        <v>0</v>
      </c>
      <c r="R108" s="117">
        <f>VLOOKUP(C108,'Talente &amp; Stuff'!FU:GV,16,FALSE)</f>
        <v>0</v>
      </c>
      <c r="S108" s="119">
        <f>VLOOKUP(C108,'Talente &amp; Stuff'!FU:GV,17,FALSE)</f>
        <v>0</v>
      </c>
      <c r="T108" s="119">
        <f>VLOOKUP(C108,'Talente &amp; Stuff'!FU:GV,18,FALSE)</f>
        <v>0</v>
      </c>
      <c r="U108" s="89">
        <f>VLOOKUP(C108,'Talente &amp; Stuff'!FU:GV,19,FALSE)</f>
        <v>0</v>
      </c>
      <c r="V108" s="47">
        <f>VLOOKUP(C108,'Talente &amp; Stuff'!FU:GV,20,FALSE)</f>
        <v>0</v>
      </c>
      <c r="W108" s="127">
        <f>VLOOKUP(C108,'Talente &amp; Stuff'!FU:GV,21,FALSE)</f>
        <v>0</v>
      </c>
      <c r="X108" s="127">
        <f>VLOOKUP(C108,'Talente &amp; Stuff'!FU:GV,22,FALSE)</f>
        <v>0</v>
      </c>
      <c r="Y108" s="165">
        <f t="shared" si="12"/>
        <v>0</v>
      </c>
      <c r="Z108" s="44">
        <f t="shared" si="13"/>
        <v>0</v>
      </c>
      <c r="AA108" s="125">
        <f>VLOOKUP(C108,'Talente &amp; Stuff'!FU:GV,25,FALSE)</f>
        <v>0</v>
      </c>
      <c r="AB108" s="160">
        <f>VLOOKUP(C108,'Talente &amp; Stuff'!FU:GV,26,FALSE)</f>
        <v>0</v>
      </c>
      <c r="AC108" s="127">
        <f>VLOOKUP(C108,'Talente &amp; Stuff'!FU:GV,27,FALSE)</f>
        <v>0</v>
      </c>
      <c r="AD108" s="125">
        <f>VLOOKUP(C108,'Talente &amp; Stuff'!FU:GV,28,FALSE)</f>
        <v>0</v>
      </c>
      <c r="AE108" s="28"/>
    </row>
    <row r="109" spans="2:31" ht="15" hidden="1" customHeight="1" outlineLevel="2">
      <c r="B109" s="148">
        <v>10</v>
      </c>
      <c r="C109" s="177" t="str">
        <f>Attribute!C109</f>
        <v>---</v>
      </c>
      <c r="D109" s="86" t="str">
        <f>VLOOKUP(C109,'Talente &amp; Stuff'!FU:GV,2,FALSE)</f>
        <v>--/--/--</v>
      </c>
      <c r="E109" s="167" t="str">
        <f>VLOOKUP(C109,'Talente &amp; Stuff'!FU:GV,3,FALSE)</f>
        <v>-</v>
      </c>
      <c r="F109" s="120">
        <f>VLOOKUP(C109,'Talente &amp; Stuff'!FU:GV,4,FALSE)</f>
        <v>0</v>
      </c>
      <c r="G109" s="117">
        <f>VLOOKUP(C109,'Talente &amp; Stuff'!FU:GV,5,FALSE)</f>
        <v>0</v>
      </c>
      <c r="H109" s="117">
        <f>VLOOKUP(C109,'Talente &amp; Stuff'!FU:GV,6,FALSE)</f>
        <v>0</v>
      </c>
      <c r="I109" s="117">
        <f>VLOOKUP(C109,'Talente &amp; Stuff'!FU:GV,7,FALSE)</f>
        <v>0</v>
      </c>
      <c r="J109" s="117">
        <f>VLOOKUP(C109,'Talente &amp; Stuff'!FU:GV,8,FALSE)</f>
        <v>0</v>
      </c>
      <c r="K109" s="117">
        <f>VLOOKUP(C109,'Talente &amp; Stuff'!FU:GV,9,FALSE)</f>
        <v>0</v>
      </c>
      <c r="L109" s="117">
        <f>VLOOKUP(C109,'Talente &amp; Stuff'!FU:GV,10,FALSE)</f>
        <v>0</v>
      </c>
      <c r="M109" s="121">
        <f>VLOOKUP(C109,'Talente &amp; Stuff'!FU:GV,11,FALSE)</f>
        <v>0</v>
      </c>
      <c r="N109" s="47">
        <f>VLOOKUP(C109,'Talente &amp; Stuff'!FU:GV,12,FALSE)</f>
        <v>0</v>
      </c>
      <c r="O109" s="3">
        <f>VLOOKUP(C109,'Talente &amp; Stuff'!FU:GV,13,FALSE)</f>
        <v>0</v>
      </c>
      <c r="P109" s="174">
        <f>VLOOKUP(C109,'Talente &amp; Stuff'!FU:GV,14,FALSE)</f>
        <v>0</v>
      </c>
      <c r="Q109" s="114">
        <f>VLOOKUP(C109,'Talente &amp; Stuff'!FU:GV,15,FALSE)</f>
        <v>0</v>
      </c>
      <c r="R109" s="117">
        <f>VLOOKUP(C109,'Talente &amp; Stuff'!FU:GV,16,FALSE)</f>
        <v>0</v>
      </c>
      <c r="S109" s="119">
        <f>VLOOKUP(C109,'Talente &amp; Stuff'!FU:GV,17,FALSE)</f>
        <v>0</v>
      </c>
      <c r="T109" s="119">
        <f>VLOOKUP(C109,'Talente &amp; Stuff'!FU:GV,18,FALSE)</f>
        <v>0</v>
      </c>
      <c r="U109" s="89">
        <f>VLOOKUP(C109,'Talente &amp; Stuff'!FU:GV,19,FALSE)</f>
        <v>0</v>
      </c>
      <c r="V109" s="47">
        <f>VLOOKUP(C109,'Talente &amp; Stuff'!FU:GV,20,FALSE)</f>
        <v>0</v>
      </c>
      <c r="W109" s="127">
        <f>VLOOKUP(C109,'Talente &amp; Stuff'!FU:GV,21,FALSE)</f>
        <v>0</v>
      </c>
      <c r="X109" s="127">
        <f>VLOOKUP(C109,'Talente &amp; Stuff'!FU:GV,22,FALSE)</f>
        <v>0</v>
      </c>
      <c r="Y109" s="165">
        <f t="shared" si="12"/>
        <v>0</v>
      </c>
      <c r="Z109" s="44">
        <f t="shared" si="13"/>
        <v>0</v>
      </c>
      <c r="AA109" s="125">
        <f>VLOOKUP(C109,'Talente &amp; Stuff'!FU:GV,25,FALSE)</f>
        <v>0</v>
      </c>
      <c r="AB109" s="160">
        <f>VLOOKUP(C109,'Talente &amp; Stuff'!FU:GV,26,FALSE)</f>
        <v>0</v>
      </c>
      <c r="AC109" s="127">
        <f>VLOOKUP(C109,'Talente &amp; Stuff'!FU:GV,27,FALSE)</f>
        <v>0</v>
      </c>
      <c r="AD109" s="125">
        <f>VLOOKUP(C109,'Talente &amp; Stuff'!FU:GV,28,FALSE)</f>
        <v>0</v>
      </c>
      <c r="AE109" s="28"/>
    </row>
    <row r="110" spans="2:31" ht="15" hidden="1" customHeight="1" outlineLevel="2">
      <c r="B110" s="148">
        <v>11</v>
      </c>
      <c r="C110" s="177" t="str">
        <f>Attribute!C110</f>
        <v>---</v>
      </c>
      <c r="D110" s="86" t="str">
        <f>VLOOKUP(C110,'Talente &amp; Stuff'!FU:GV,2,FALSE)</f>
        <v>--/--/--</v>
      </c>
      <c r="E110" s="167" t="str">
        <f>VLOOKUP(C110,'Talente &amp; Stuff'!FU:GV,3,FALSE)</f>
        <v>-</v>
      </c>
      <c r="F110" s="120">
        <f>VLOOKUP(C110,'Talente &amp; Stuff'!FU:GV,4,FALSE)</f>
        <v>0</v>
      </c>
      <c r="G110" s="117">
        <f>VLOOKUP(C110,'Talente &amp; Stuff'!FU:GV,5,FALSE)</f>
        <v>0</v>
      </c>
      <c r="H110" s="117">
        <f>VLOOKUP(C110,'Talente &amp; Stuff'!FU:GV,6,FALSE)</f>
        <v>0</v>
      </c>
      <c r="I110" s="117">
        <f>VLOOKUP(C110,'Talente &amp; Stuff'!FU:GV,7,FALSE)</f>
        <v>0</v>
      </c>
      <c r="J110" s="117">
        <f>VLOOKUP(C110,'Talente &amp; Stuff'!FU:GV,8,FALSE)</f>
        <v>0</v>
      </c>
      <c r="K110" s="117">
        <f>VLOOKUP(C110,'Talente &amp; Stuff'!FU:GV,9,FALSE)</f>
        <v>0</v>
      </c>
      <c r="L110" s="117">
        <f>VLOOKUP(C110,'Talente &amp; Stuff'!FU:GV,10,FALSE)</f>
        <v>0</v>
      </c>
      <c r="M110" s="121">
        <f>VLOOKUP(C110,'Talente &amp; Stuff'!FU:GV,11,FALSE)</f>
        <v>0</v>
      </c>
      <c r="N110" s="47">
        <f>VLOOKUP(C110,'Talente &amp; Stuff'!FU:GV,12,FALSE)</f>
        <v>0</v>
      </c>
      <c r="O110" s="3">
        <f>VLOOKUP(C110,'Talente &amp; Stuff'!FU:GV,13,FALSE)</f>
        <v>0</v>
      </c>
      <c r="P110" s="174">
        <f>VLOOKUP(C110,'Talente &amp; Stuff'!FU:GV,14,FALSE)</f>
        <v>0</v>
      </c>
      <c r="Q110" s="114">
        <f>VLOOKUP(C110,'Talente &amp; Stuff'!FU:GV,15,FALSE)</f>
        <v>0</v>
      </c>
      <c r="R110" s="117">
        <f>VLOOKUP(C110,'Talente &amp; Stuff'!FU:GV,16,FALSE)</f>
        <v>0</v>
      </c>
      <c r="S110" s="119">
        <f>VLOOKUP(C110,'Talente &amp; Stuff'!FU:GV,17,FALSE)</f>
        <v>0</v>
      </c>
      <c r="T110" s="119">
        <f>VLOOKUP(C110,'Talente &amp; Stuff'!FU:GV,18,FALSE)</f>
        <v>0</v>
      </c>
      <c r="U110" s="89">
        <f>VLOOKUP(C110,'Talente &amp; Stuff'!FU:GV,19,FALSE)</f>
        <v>0</v>
      </c>
      <c r="V110" s="47">
        <f>VLOOKUP(C110,'Talente &amp; Stuff'!FU:GV,20,FALSE)</f>
        <v>0</v>
      </c>
      <c r="W110" s="127">
        <f>VLOOKUP(C110,'Talente &amp; Stuff'!FU:GV,21,FALSE)</f>
        <v>0</v>
      </c>
      <c r="X110" s="127">
        <f>VLOOKUP(C110,'Talente &amp; Stuff'!FU:GV,22,FALSE)</f>
        <v>0</v>
      </c>
      <c r="Y110" s="165">
        <f t="shared" si="12"/>
        <v>0</v>
      </c>
      <c r="Z110" s="44">
        <f t="shared" si="13"/>
        <v>0</v>
      </c>
      <c r="AA110" s="125">
        <f>VLOOKUP(C110,'Talente &amp; Stuff'!FU:GV,25,FALSE)</f>
        <v>0</v>
      </c>
      <c r="AB110" s="160">
        <f>VLOOKUP(C110,'Talente &amp; Stuff'!FU:GV,26,FALSE)</f>
        <v>0</v>
      </c>
      <c r="AC110" s="127">
        <f>VLOOKUP(C110,'Talente &amp; Stuff'!FU:GV,27,FALSE)</f>
        <v>0</v>
      </c>
      <c r="AD110" s="125">
        <f>VLOOKUP(C110,'Talente &amp; Stuff'!FU:GV,28,FALSE)</f>
        <v>0</v>
      </c>
      <c r="AE110" s="28"/>
    </row>
    <row r="111" spans="2:31" ht="15" hidden="1" customHeight="1" outlineLevel="2">
      <c r="B111" s="148">
        <v>12</v>
      </c>
      <c r="C111" s="177" t="str">
        <f>Attribute!C111</f>
        <v>---</v>
      </c>
      <c r="D111" s="86" t="str">
        <f>VLOOKUP(C111,'Talente &amp; Stuff'!FU:GV,2,FALSE)</f>
        <v>--/--/--</v>
      </c>
      <c r="E111" s="167" t="str">
        <f>VLOOKUP(C111,'Talente &amp; Stuff'!FU:GV,3,FALSE)</f>
        <v>-</v>
      </c>
      <c r="F111" s="120">
        <f>VLOOKUP(C111,'Talente &amp; Stuff'!FU:GV,4,FALSE)</f>
        <v>0</v>
      </c>
      <c r="G111" s="117">
        <f>VLOOKUP(C111,'Talente &amp; Stuff'!FU:GV,5,FALSE)</f>
        <v>0</v>
      </c>
      <c r="H111" s="117">
        <f>VLOOKUP(C111,'Talente &amp; Stuff'!FU:GV,6,FALSE)</f>
        <v>0</v>
      </c>
      <c r="I111" s="117">
        <f>VLOOKUP(C111,'Talente &amp; Stuff'!FU:GV,7,FALSE)</f>
        <v>0</v>
      </c>
      <c r="J111" s="117">
        <f>VLOOKUP(C111,'Talente &amp; Stuff'!FU:GV,8,FALSE)</f>
        <v>0</v>
      </c>
      <c r="K111" s="117">
        <f>VLOOKUP(C111,'Talente &amp; Stuff'!FU:GV,9,FALSE)</f>
        <v>0</v>
      </c>
      <c r="L111" s="117">
        <f>VLOOKUP(C111,'Talente &amp; Stuff'!FU:GV,10,FALSE)</f>
        <v>0</v>
      </c>
      <c r="M111" s="121">
        <f>VLOOKUP(C111,'Talente &amp; Stuff'!FU:GV,11,FALSE)</f>
        <v>0</v>
      </c>
      <c r="N111" s="47">
        <f>VLOOKUP(C111,'Talente &amp; Stuff'!FU:GV,12,FALSE)</f>
        <v>0</v>
      </c>
      <c r="O111" s="3">
        <f>VLOOKUP(C111,'Talente &amp; Stuff'!FU:GV,13,FALSE)</f>
        <v>0</v>
      </c>
      <c r="P111" s="174">
        <f>VLOOKUP(C111,'Talente &amp; Stuff'!FU:GV,14,FALSE)</f>
        <v>0</v>
      </c>
      <c r="Q111" s="114">
        <f>VLOOKUP(C111,'Talente &amp; Stuff'!FU:GV,15,FALSE)</f>
        <v>0</v>
      </c>
      <c r="R111" s="117">
        <f>VLOOKUP(C111,'Talente &amp; Stuff'!FU:GV,16,FALSE)</f>
        <v>0</v>
      </c>
      <c r="S111" s="119">
        <f>VLOOKUP(C111,'Talente &amp; Stuff'!FU:GV,17,FALSE)</f>
        <v>0</v>
      </c>
      <c r="T111" s="119">
        <f>VLOOKUP(C111,'Talente &amp; Stuff'!FU:GV,18,FALSE)</f>
        <v>0</v>
      </c>
      <c r="U111" s="89">
        <f>VLOOKUP(C111,'Talente &amp; Stuff'!FU:GV,19,FALSE)</f>
        <v>0</v>
      </c>
      <c r="V111" s="47">
        <f>VLOOKUP(C111,'Talente &amp; Stuff'!FU:GV,20,FALSE)</f>
        <v>0</v>
      </c>
      <c r="W111" s="127">
        <f>VLOOKUP(C111,'Talente &amp; Stuff'!FU:GV,21,FALSE)</f>
        <v>0</v>
      </c>
      <c r="X111" s="127">
        <f>VLOOKUP(C111,'Talente &amp; Stuff'!FU:GV,22,FALSE)</f>
        <v>0</v>
      </c>
      <c r="Y111" s="165">
        <f t="shared" si="12"/>
        <v>0</v>
      </c>
      <c r="Z111" s="44">
        <f t="shared" si="13"/>
        <v>0</v>
      </c>
      <c r="AA111" s="125">
        <f>VLOOKUP(C111,'Talente &amp; Stuff'!FU:GV,25,FALSE)</f>
        <v>0</v>
      </c>
      <c r="AB111" s="160">
        <f>VLOOKUP(C111,'Talente &amp; Stuff'!FU:GV,26,FALSE)</f>
        <v>0</v>
      </c>
      <c r="AC111" s="127">
        <f>VLOOKUP(C111,'Talente &amp; Stuff'!FU:GV,27,FALSE)</f>
        <v>0</v>
      </c>
      <c r="AD111" s="125">
        <f>VLOOKUP(C111,'Talente &amp; Stuff'!FU:GV,28,FALSE)</f>
        <v>0</v>
      </c>
      <c r="AE111" s="28"/>
    </row>
    <row r="112" spans="2:31" ht="15" hidden="1" customHeight="1" outlineLevel="2">
      <c r="B112" s="148">
        <v>13</v>
      </c>
      <c r="C112" s="177" t="str">
        <f>Attribute!C112</f>
        <v>---</v>
      </c>
      <c r="D112" s="86" t="str">
        <f>VLOOKUP(C112,'Talente &amp; Stuff'!FU:GV,2,FALSE)</f>
        <v>--/--/--</v>
      </c>
      <c r="E112" s="167" t="str">
        <f>VLOOKUP(C112,'Talente &amp; Stuff'!FU:GV,3,FALSE)</f>
        <v>-</v>
      </c>
      <c r="F112" s="120">
        <f>VLOOKUP(C112,'Talente &amp; Stuff'!FU:GV,4,FALSE)</f>
        <v>0</v>
      </c>
      <c r="G112" s="117">
        <f>VLOOKUP(C112,'Talente &amp; Stuff'!FU:GV,5,FALSE)</f>
        <v>0</v>
      </c>
      <c r="H112" s="117">
        <f>VLOOKUP(C112,'Talente &amp; Stuff'!FU:GV,6,FALSE)</f>
        <v>0</v>
      </c>
      <c r="I112" s="117">
        <f>VLOOKUP(C112,'Talente &amp; Stuff'!FU:GV,7,FALSE)</f>
        <v>0</v>
      </c>
      <c r="J112" s="117">
        <f>VLOOKUP(C112,'Talente &amp; Stuff'!FU:GV,8,FALSE)</f>
        <v>0</v>
      </c>
      <c r="K112" s="117">
        <f>VLOOKUP(C112,'Talente &amp; Stuff'!FU:GV,9,FALSE)</f>
        <v>0</v>
      </c>
      <c r="L112" s="117">
        <f>VLOOKUP(C112,'Talente &amp; Stuff'!FU:GV,10,FALSE)</f>
        <v>0</v>
      </c>
      <c r="M112" s="121">
        <f>VLOOKUP(C112,'Talente &amp; Stuff'!FU:GV,11,FALSE)</f>
        <v>0</v>
      </c>
      <c r="N112" s="47">
        <f>VLOOKUP(C112,'Talente &amp; Stuff'!FU:GV,12,FALSE)</f>
        <v>0</v>
      </c>
      <c r="O112" s="3">
        <f>VLOOKUP(C112,'Talente &amp; Stuff'!FU:GV,13,FALSE)</f>
        <v>0</v>
      </c>
      <c r="P112" s="174">
        <f>VLOOKUP(C112,'Talente &amp; Stuff'!FU:GV,14,FALSE)</f>
        <v>0</v>
      </c>
      <c r="Q112" s="114">
        <f>VLOOKUP(C112,'Talente &amp; Stuff'!FU:GV,15,FALSE)</f>
        <v>0</v>
      </c>
      <c r="R112" s="117">
        <f>VLOOKUP(C112,'Talente &amp; Stuff'!FU:GV,16,FALSE)</f>
        <v>0</v>
      </c>
      <c r="S112" s="119">
        <f>VLOOKUP(C112,'Talente &amp; Stuff'!FU:GV,17,FALSE)</f>
        <v>0</v>
      </c>
      <c r="T112" s="119">
        <f>VLOOKUP(C112,'Talente &amp; Stuff'!FU:GV,18,FALSE)</f>
        <v>0</v>
      </c>
      <c r="U112" s="89">
        <f>VLOOKUP(C112,'Talente &amp; Stuff'!FU:GV,19,FALSE)</f>
        <v>0</v>
      </c>
      <c r="V112" s="47">
        <f>VLOOKUP(C112,'Talente &amp; Stuff'!FU:GV,20,FALSE)</f>
        <v>0</v>
      </c>
      <c r="W112" s="127">
        <f>VLOOKUP(C112,'Talente &amp; Stuff'!FU:GV,21,FALSE)</f>
        <v>0</v>
      </c>
      <c r="X112" s="127">
        <f>VLOOKUP(C112,'Talente &amp; Stuff'!FU:GV,22,FALSE)</f>
        <v>0</v>
      </c>
      <c r="Y112" s="165">
        <f t="shared" si="12"/>
        <v>0</v>
      </c>
      <c r="Z112" s="44">
        <f t="shared" si="13"/>
        <v>0</v>
      </c>
      <c r="AA112" s="125">
        <f>VLOOKUP(C112,'Talente &amp; Stuff'!FU:GV,25,FALSE)</f>
        <v>0</v>
      </c>
      <c r="AB112" s="160">
        <f>VLOOKUP(C112,'Talente &amp; Stuff'!FU:GV,26,FALSE)</f>
        <v>0</v>
      </c>
      <c r="AC112" s="127">
        <f>VLOOKUP(C112,'Talente &amp; Stuff'!FU:GV,27,FALSE)</f>
        <v>0</v>
      </c>
      <c r="AD112" s="125">
        <f>VLOOKUP(C112,'Talente &amp; Stuff'!FU:GV,28,FALSE)</f>
        <v>0</v>
      </c>
      <c r="AE112" s="28"/>
    </row>
    <row r="113" spans="2:31" ht="15" hidden="1" customHeight="1" outlineLevel="2">
      <c r="B113" s="148">
        <v>14</v>
      </c>
      <c r="C113" s="177" t="str">
        <f>Attribute!C113</f>
        <v>---</v>
      </c>
      <c r="D113" s="86" t="str">
        <f>VLOOKUP(C113,'Talente &amp; Stuff'!FU:GV,2,FALSE)</f>
        <v>--/--/--</v>
      </c>
      <c r="E113" s="167" t="str">
        <f>VLOOKUP(C113,'Talente &amp; Stuff'!FU:GV,3,FALSE)</f>
        <v>-</v>
      </c>
      <c r="F113" s="120">
        <f>VLOOKUP(C113,'Talente &amp; Stuff'!FU:GV,4,FALSE)</f>
        <v>0</v>
      </c>
      <c r="G113" s="117">
        <f>VLOOKUP(C113,'Talente &amp; Stuff'!FU:GV,5,FALSE)</f>
        <v>0</v>
      </c>
      <c r="H113" s="117">
        <f>VLOOKUP(C113,'Talente &amp; Stuff'!FU:GV,6,FALSE)</f>
        <v>0</v>
      </c>
      <c r="I113" s="117">
        <f>VLOOKUP(C113,'Talente &amp; Stuff'!FU:GV,7,FALSE)</f>
        <v>0</v>
      </c>
      <c r="J113" s="117">
        <f>VLOOKUP(C113,'Talente &amp; Stuff'!FU:GV,8,FALSE)</f>
        <v>0</v>
      </c>
      <c r="K113" s="117">
        <f>VLOOKUP(C113,'Talente &amp; Stuff'!FU:GV,9,FALSE)</f>
        <v>0</v>
      </c>
      <c r="L113" s="117">
        <f>VLOOKUP(C113,'Talente &amp; Stuff'!FU:GV,10,FALSE)</f>
        <v>0</v>
      </c>
      <c r="M113" s="121">
        <f>VLOOKUP(C113,'Talente &amp; Stuff'!FU:GV,11,FALSE)</f>
        <v>0</v>
      </c>
      <c r="N113" s="47">
        <f>VLOOKUP(C113,'Talente &amp; Stuff'!FU:GV,12,FALSE)</f>
        <v>0</v>
      </c>
      <c r="O113" s="3">
        <f>VLOOKUP(C113,'Talente &amp; Stuff'!FU:GV,13,FALSE)</f>
        <v>0</v>
      </c>
      <c r="P113" s="174">
        <f>VLOOKUP(C113,'Talente &amp; Stuff'!FU:GV,14,FALSE)</f>
        <v>0</v>
      </c>
      <c r="Q113" s="114">
        <f>VLOOKUP(C113,'Talente &amp; Stuff'!FU:GV,15,FALSE)</f>
        <v>0</v>
      </c>
      <c r="R113" s="117">
        <f>VLOOKUP(C113,'Talente &amp; Stuff'!FU:GV,16,FALSE)</f>
        <v>0</v>
      </c>
      <c r="S113" s="119">
        <f>VLOOKUP(C113,'Talente &amp; Stuff'!FU:GV,17,FALSE)</f>
        <v>0</v>
      </c>
      <c r="T113" s="119">
        <f>VLOOKUP(C113,'Talente &amp; Stuff'!FU:GV,18,FALSE)</f>
        <v>0</v>
      </c>
      <c r="U113" s="89">
        <f>VLOOKUP(C113,'Talente &amp; Stuff'!FU:GV,19,FALSE)</f>
        <v>0</v>
      </c>
      <c r="V113" s="47">
        <f>VLOOKUP(C113,'Talente &amp; Stuff'!FU:GV,20,FALSE)</f>
        <v>0</v>
      </c>
      <c r="W113" s="127">
        <f>VLOOKUP(C113,'Talente &amp; Stuff'!FU:GV,21,FALSE)</f>
        <v>0</v>
      </c>
      <c r="X113" s="127">
        <f>VLOOKUP(C113,'Talente &amp; Stuff'!FU:GV,22,FALSE)</f>
        <v>0</v>
      </c>
      <c r="Y113" s="165">
        <f t="shared" si="12"/>
        <v>0</v>
      </c>
      <c r="Z113" s="44">
        <f t="shared" si="13"/>
        <v>0</v>
      </c>
      <c r="AA113" s="125">
        <f>VLOOKUP(C113,'Talente &amp; Stuff'!FU:GV,25,FALSE)</f>
        <v>0</v>
      </c>
      <c r="AB113" s="160">
        <f>VLOOKUP(C113,'Talente &amp; Stuff'!FU:GV,26,FALSE)</f>
        <v>0</v>
      </c>
      <c r="AC113" s="127">
        <f>VLOOKUP(C113,'Talente &amp; Stuff'!FU:GV,27,FALSE)</f>
        <v>0</v>
      </c>
      <c r="AD113" s="125">
        <f>VLOOKUP(C113,'Talente &amp; Stuff'!FU:GV,28,FALSE)</f>
        <v>0</v>
      </c>
      <c r="AE113" s="28"/>
    </row>
    <row r="114" spans="2:31" ht="15" hidden="1" customHeight="1" outlineLevel="2">
      <c r="B114" s="148">
        <v>15</v>
      </c>
      <c r="C114" s="177" t="str">
        <f>Attribute!C114</f>
        <v>---</v>
      </c>
      <c r="D114" s="86" t="str">
        <f>VLOOKUP(C114,'Talente &amp; Stuff'!FU:GV,2,FALSE)</f>
        <v>--/--/--</v>
      </c>
      <c r="E114" s="167" t="str">
        <f>VLOOKUP(C114,'Talente &amp; Stuff'!FU:GV,3,FALSE)</f>
        <v>-</v>
      </c>
      <c r="F114" s="120">
        <f>VLOOKUP(C114,'Talente &amp; Stuff'!FU:GV,4,FALSE)</f>
        <v>0</v>
      </c>
      <c r="G114" s="117">
        <f>VLOOKUP(C114,'Talente &amp; Stuff'!FU:GV,5,FALSE)</f>
        <v>0</v>
      </c>
      <c r="H114" s="117">
        <f>VLOOKUP(C114,'Talente &amp; Stuff'!FU:GV,6,FALSE)</f>
        <v>0</v>
      </c>
      <c r="I114" s="117">
        <f>VLOOKUP(C114,'Talente &amp; Stuff'!FU:GV,7,FALSE)</f>
        <v>0</v>
      </c>
      <c r="J114" s="117">
        <f>VLOOKUP(C114,'Talente &amp; Stuff'!FU:GV,8,FALSE)</f>
        <v>0</v>
      </c>
      <c r="K114" s="117">
        <f>VLOOKUP(C114,'Talente &amp; Stuff'!FU:GV,9,FALSE)</f>
        <v>0</v>
      </c>
      <c r="L114" s="117">
        <f>VLOOKUP(C114,'Talente &amp; Stuff'!FU:GV,10,FALSE)</f>
        <v>0</v>
      </c>
      <c r="M114" s="121">
        <f>VLOOKUP(C114,'Talente &amp; Stuff'!FU:GV,11,FALSE)</f>
        <v>0</v>
      </c>
      <c r="N114" s="47">
        <f>VLOOKUP(C114,'Talente &amp; Stuff'!FU:GV,12,FALSE)</f>
        <v>0</v>
      </c>
      <c r="O114" s="3">
        <f>VLOOKUP(C114,'Talente &amp; Stuff'!FU:GV,13,FALSE)</f>
        <v>0</v>
      </c>
      <c r="P114" s="174">
        <f>VLOOKUP(C114,'Talente &amp; Stuff'!FU:GV,14,FALSE)</f>
        <v>0</v>
      </c>
      <c r="Q114" s="114">
        <f>VLOOKUP(C114,'Talente &amp; Stuff'!FU:GV,15,FALSE)</f>
        <v>0</v>
      </c>
      <c r="R114" s="117">
        <f>VLOOKUP(C114,'Talente &amp; Stuff'!FU:GV,16,FALSE)</f>
        <v>0</v>
      </c>
      <c r="S114" s="119">
        <f>VLOOKUP(C114,'Talente &amp; Stuff'!FU:GV,17,FALSE)</f>
        <v>0</v>
      </c>
      <c r="T114" s="119">
        <f>VLOOKUP(C114,'Talente &amp; Stuff'!FU:GV,18,FALSE)</f>
        <v>0</v>
      </c>
      <c r="U114" s="89">
        <f>VLOOKUP(C114,'Talente &amp; Stuff'!FU:GV,19,FALSE)</f>
        <v>0</v>
      </c>
      <c r="V114" s="47">
        <f>VLOOKUP(C114,'Talente &amp; Stuff'!FU:GV,20,FALSE)</f>
        <v>0</v>
      </c>
      <c r="W114" s="127">
        <f>VLOOKUP(C114,'Talente &amp; Stuff'!FU:GV,21,FALSE)</f>
        <v>0</v>
      </c>
      <c r="X114" s="127">
        <f>VLOOKUP(C114,'Talente &amp; Stuff'!FU:GV,22,FALSE)</f>
        <v>0</v>
      </c>
      <c r="Y114" s="165">
        <f t="shared" si="12"/>
        <v>0</v>
      </c>
      <c r="Z114" s="44">
        <f t="shared" si="13"/>
        <v>0</v>
      </c>
      <c r="AA114" s="125">
        <f>VLOOKUP(C114,'Talente &amp; Stuff'!FU:GV,25,FALSE)</f>
        <v>0</v>
      </c>
      <c r="AB114" s="160">
        <f>VLOOKUP(C114,'Talente &amp; Stuff'!FU:GV,26,FALSE)</f>
        <v>0</v>
      </c>
      <c r="AC114" s="127">
        <f>VLOOKUP(C114,'Talente &amp; Stuff'!FU:GV,27,FALSE)</f>
        <v>0</v>
      </c>
      <c r="AD114" s="125">
        <f>VLOOKUP(C114,'Talente &amp; Stuff'!FU:GV,28,FALSE)</f>
        <v>0</v>
      </c>
      <c r="AE114" s="28"/>
    </row>
    <row r="115" spans="2:31" ht="15" hidden="1" customHeight="1" outlineLevel="2">
      <c r="B115" s="148">
        <v>16</v>
      </c>
      <c r="C115" s="177" t="str">
        <f>Attribute!C115</f>
        <v>---</v>
      </c>
      <c r="D115" s="86" t="str">
        <f>VLOOKUP(C115,'Talente &amp; Stuff'!FU:GV,2,FALSE)</f>
        <v>--/--/--</v>
      </c>
      <c r="E115" s="167" t="str">
        <f>VLOOKUP(C115,'Talente &amp; Stuff'!FU:GV,3,FALSE)</f>
        <v>-</v>
      </c>
      <c r="F115" s="120">
        <f>VLOOKUP(C115,'Talente &amp; Stuff'!FU:GV,4,FALSE)</f>
        <v>0</v>
      </c>
      <c r="G115" s="117">
        <f>VLOOKUP(C115,'Talente &amp; Stuff'!FU:GV,5,FALSE)</f>
        <v>0</v>
      </c>
      <c r="H115" s="117">
        <f>VLOOKUP(C115,'Talente &amp; Stuff'!FU:GV,6,FALSE)</f>
        <v>0</v>
      </c>
      <c r="I115" s="117">
        <f>VLOOKUP(C115,'Talente &amp; Stuff'!FU:GV,7,FALSE)</f>
        <v>0</v>
      </c>
      <c r="J115" s="117">
        <f>VLOOKUP(C115,'Talente &amp; Stuff'!FU:GV,8,FALSE)</f>
        <v>0</v>
      </c>
      <c r="K115" s="117">
        <f>VLOOKUP(C115,'Talente &amp; Stuff'!FU:GV,9,FALSE)</f>
        <v>0</v>
      </c>
      <c r="L115" s="117">
        <f>VLOOKUP(C115,'Talente &amp; Stuff'!FU:GV,10,FALSE)</f>
        <v>0</v>
      </c>
      <c r="M115" s="121">
        <f>VLOOKUP(C115,'Talente &amp; Stuff'!FU:GV,11,FALSE)</f>
        <v>0</v>
      </c>
      <c r="N115" s="47">
        <f>VLOOKUP(C115,'Talente &amp; Stuff'!FU:GV,12,FALSE)</f>
        <v>0</v>
      </c>
      <c r="O115" s="3">
        <f>VLOOKUP(C115,'Talente &amp; Stuff'!FU:GV,13,FALSE)</f>
        <v>0</v>
      </c>
      <c r="P115" s="174">
        <f>VLOOKUP(C115,'Talente &amp; Stuff'!FU:GV,14,FALSE)</f>
        <v>0</v>
      </c>
      <c r="Q115" s="114">
        <f>VLOOKUP(C115,'Talente &amp; Stuff'!FU:GV,15,FALSE)</f>
        <v>0</v>
      </c>
      <c r="R115" s="117">
        <f>VLOOKUP(C115,'Talente &amp; Stuff'!FU:GV,16,FALSE)</f>
        <v>0</v>
      </c>
      <c r="S115" s="119">
        <f>VLOOKUP(C115,'Talente &amp; Stuff'!FU:GV,17,FALSE)</f>
        <v>0</v>
      </c>
      <c r="T115" s="119">
        <f>VLOOKUP(C115,'Talente &amp; Stuff'!FU:GV,18,FALSE)</f>
        <v>0</v>
      </c>
      <c r="U115" s="89">
        <f>VLOOKUP(C115,'Talente &amp; Stuff'!FU:GV,19,FALSE)</f>
        <v>0</v>
      </c>
      <c r="V115" s="47">
        <f>VLOOKUP(C115,'Talente &amp; Stuff'!FU:GV,20,FALSE)</f>
        <v>0</v>
      </c>
      <c r="W115" s="127">
        <f>VLOOKUP(C115,'Talente &amp; Stuff'!FU:GV,21,FALSE)</f>
        <v>0</v>
      </c>
      <c r="X115" s="127">
        <f>VLOOKUP(C115,'Talente &amp; Stuff'!FU:GV,22,FALSE)</f>
        <v>0</v>
      </c>
      <c r="Y115" s="165">
        <f t="shared" si="12"/>
        <v>0</v>
      </c>
      <c r="Z115" s="44">
        <f t="shared" si="13"/>
        <v>0</v>
      </c>
      <c r="AA115" s="125">
        <f>VLOOKUP(C115,'Talente &amp; Stuff'!FU:GV,25,FALSE)</f>
        <v>0</v>
      </c>
      <c r="AB115" s="160">
        <f>VLOOKUP(C115,'Talente &amp; Stuff'!FU:GV,26,FALSE)</f>
        <v>0</v>
      </c>
      <c r="AC115" s="127">
        <f>VLOOKUP(C115,'Talente &amp; Stuff'!FU:GV,27,FALSE)</f>
        <v>0</v>
      </c>
      <c r="AD115" s="125">
        <f>VLOOKUP(C115,'Talente &amp; Stuff'!FU:GV,28,FALSE)</f>
        <v>0</v>
      </c>
      <c r="AE115" s="28"/>
    </row>
    <row r="116" spans="2:31" ht="15" hidden="1" customHeight="1" outlineLevel="2">
      <c r="B116" s="148">
        <v>17</v>
      </c>
      <c r="C116" s="177" t="str">
        <f>Attribute!C116</f>
        <v>---</v>
      </c>
      <c r="D116" s="86" t="str">
        <f>VLOOKUP(C116,'Talente &amp; Stuff'!FU:GV,2,FALSE)</f>
        <v>--/--/--</v>
      </c>
      <c r="E116" s="167" t="str">
        <f>VLOOKUP(C116,'Talente &amp; Stuff'!FU:GV,3,FALSE)</f>
        <v>-</v>
      </c>
      <c r="F116" s="120">
        <f>VLOOKUP(C116,'Talente &amp; Stuff'!FU:GV,4,FALSE)</f>
        <v>0</v>
      </c>
      <c r="G116" s="117">
        <f>VLOOKUP(C116,'Talente &amp; Stuff'!FU:GV,5,FALSE)</f>
        <v>0</v>
      </c>
      <c r="H116" s="117">
        <f>VLOOKUP(C116,'Talente &amp; Stuff'!FU:GV,6,FALSE)</f>
        <v>0</v>
      </c>
      <c r="I116" s="117">
        <f>VLOOKUP(C116,'Talente &amp; Stuff'!FU:GV,7,FALSE)</f>
        <v>0</v>
      </c>
      <c r="J116" s="117">
        <f>VLOOKUP(C116,'Talente &amp; Stuff'!FU:GV,8,FALSE)</f>
        <v>0</v>
      </c>
      <c r="K116" s="117">
        <f>VLOOKUP(C116,'Talente &amp; Stuff'!FU:GV,9,FALSE)</f>
        <v>0</v>
      </c>
      <c r="L116" s="117">
        <f>VLOOKUP(C116,'Talente &amp; Stuff'!FU:GV,10,FALSE)</f>
        <v>0</v>
      </c>
      <c r="M116" s="121">
        <f>VLOOKUP(C116,'Talente &amp; Stuff'!FU:GV,11,FALSE)</f>
        <v>0</v>
      </c>
      <c r="N116" s="47">
        <f>VLOOKUP(C116,'Talente &amp; Stuff'!FU:GV,12,FALSE)</f>
        <v>0</v>
      </c>
      <c r="O116" s="3">
        <f>VLOOKUP(C116,'Talente &amp; Stuff'!FU:GV,13,FALSE)</f>
        <v>0</v>
      </c>
      <c r="P116" s="174">
        <f>VLOOKUP(C116,'Talente &amp; Stuff'!FU:GV,14,FALSE)</f>
        <v>0</v>
      </c>
      <c r="Q116" s="114">
        <f>VLOOKUP(C116,'Talente &amp; Stuff'!FU:GV,15,FALSE)</f>
        <v>0</v>
      </c>
      <c r="R116" s="117">
        <f>VLOOKUP(C116,'Talente &amp; Stuff'!FU:GV,16,FALSE)</f>
        <v>0</v>
      </c>
      <c r="S116" s="119">
        <f>VLOOKUP(C116,'Talente &amp; Stuff'!FU:GV,17,FALSE)</f>
        <v>0</v>
      </c>
      <c r="T116" s="119">
        <f>VLOOKUP(C116,'Talente &amp; Stuff'!FU:GV,18,FALSE)</f>
        <v>0</v>
      </c>
      <c r="U116" s="89">
        <f>VLOOKUP(C116,'Talente &amp; Stuff'!FU:GV,19,FALSE)</f>
        <v>0</v>
      </c>
      <c r="V116" s="47">
        <f>VLOOKUP(C116,'Talente &amp; Stuff'!FU:GV,20,FALSE)</f>
        <v>0</v>
      </c>
      <c r="W116" s="127">
        <f>VLOOKUP(C116,'Talente &amp; Stuff'!FU:GV,21,FALSE)</f>
        <v>0</v>
      </c>
      <c r="X116" s="127">
        <f>VLOOKUP(C116,'Talente &amp; Stuff'!FU:GV,22,FALSE)</f>
        <v>0</v>
      </c>
      <c r="Y116" s="165">
        <f t="shared" si="12"/>
        <v>0</v>
      </c>
      <c r="Z116" s="44">
        <f t="shared" si="13"/>
        <v>0</v>
      </c>
      <c r="AA116" s="125">
        <f>VLOOKUP(C116,'Talente &amp; Stuff'!FU:GV,25,FALSE)</f>
        <v>0</v>
      </c>
      <c r="AB116" s="160">
        <f>VLOOKUP(C116,'Talente &amp; Stuff'!FU:GV,26,FALSE)</f>
        <v>0</v>
      </c>
      <c r="AC116" s="127">
        <f>VLOOKUP(C116,'Talente &amp; Stuff'!FU:GV,27,FALSE)</f>
        <v>0</v>
      </c>
      <c r="AD116" s="125">
        <f>VLOOKUP(C116,'Talente &amp; Stuff'!FU:GV,28,FALSE)</f>
        <v>0</v>
      </c>
      <c r="AE116" s="28"/>
    </row>
    <row r="117" spans="2:31" ht="15" hidden="1" customHeight="1" outlineLevel="2">
      <c r="B117" s="148">
        <v>18</v>
      </c>
      <c r="C117" s="177" t="str">
        <f>Attribute!C117</f>
        <v>---</v>
      </c>
      <c r="D117" s="86" t="str">
        <f>VLOOKUP(C117,'Talente &amp; Stuff'!FU:GV,2,FALSE)</f>
        <v>--/--/--</v>
      </c>
      <c r="E117" s="167" t="str">
        <f>VLOOKUP(C117,'Talente &amp; Stuff'!FU:GV,3,FALSE)</f>
        <v>-</v>
      </c>
      <c r="F117" s="120">
        <f>VLOOKUP(C117,'Talente &amp; Stuff'!FU:GV,4,FALSE)</f>
        <v>0</v>
      </c>
      <c r="G117" s="117">
        <f>VLOOKUP(C117,'Talente &amp; Stuff'!FU:GV,5,FALSE)</f>
        <v>0</v>
      </c>
      <c r="H117" s="117">
        <f>VLOOKUP(C117,'Talente &amp; Stuff'!FU:GV,6,FALSE)</f>
        <v>0</v>
      </c>
      <c r="I117" s="117">
        <f>VLOOKUP(C117,'Talente &amp; Stuff'!FU:GV,7,FALSE)</f>
        <v>0</v>
      </c>
      <c r="J117" s="117">
        <f>VLOOKUP(C117,'Talente &amp; Stuff'!FU:GV,8,FALSE)</f>
        <v>0</v>
      </c>
      <c r="K117" s="117">
        <f>VLOOKUP(C117,'Talente &amp; Stuff'!FU:GV,9,FALSE)</f>
        <v>0</v>
      </c>
      <c r="L117" s="117">
        <f>VLOOKUP(C117,'Talente &amp; Stuff'!FU:GV,10,FALSE)</f>
        <v>0</v>
      </c>
      <c r="M117" s="121">
        <f>VLOOKUP(C117,'Talente &amp; Stuff'!FU:GV,11,FALSE)</f>
        <v>0</v>
      </c>
      <c r="N117" s="47">
        <f>VLOOKUP(C117,'Talente &amp; Stuff'!FU:GV,12,FALSE)</f>
        <v>0</v>
      </c>
      <c r="O117" s="3">
        <f>VLOOKUP(C117,'Talente &amp; Stuff'!FU:GV,13,FALSE)</f>
        <v>0</v>
      </c>
      <c r="P117" s="174">
        <f>VLOOKUP(C117,'Talente &amp; Stuff'!FU:GV,14,FALSE)</f>
        <v>0</v>
      </c>
      <c r="Q117" s="114">
        <f>VLOOKUP(C117,'Talente &amp; Stuff'!FU:GV,15,FALSE)</f>
        <v>0</v>
      </c>
      <c r="R117" s="117">
        <f>VLOOKUP(C117,'Talente &amp; Stuff'!FU:GV,16,FALSE)</f>
        <v>0</v>
      </c>
      <c r="S117" s="119">
        <f>VLOOKUP(C117,'Talente &amp; Stuff'!FU:GV,17,FALSE)</f>
        <v>0</v>
      </c>
      <c r="T117" s="119">
        <f>VLOOKUP(C117,'Talente &amp; Stuff'!FU:GV,18,FALSE)</f>
        <v>0</v>
      </c>
      <c r="U117" s="89">
        <f>VLOOKUP(C117,'Talente &amp; Stuff'!FU:GV,19,FALSE)</f>
        <v>0</v>
      </c>
      <c r="V117" s="47">
        <f>VLOOKUP(C117,'Talente &amp; Stuff'!FU:GV,20,FALSE)</f>
        <v>0</v>
      </c>
      <c r="W117" s="127">
        <f>VLOOKUP(C117,'Talente &amp; Stuff'!FU:GV,21,FALSE)</f>
        <v>0</v>
      </c>
      <c r="X117" s="127">
        <f>VLOOKUP(C117,'Talente &amp; Stuff'!FU:GV,22,FALSE)</f>
        <v>0</v>
      </c>
      <c r="Y117" s="165">
        <f t="shared" si="12"/>
        <v>0</v>
      </c>
      <c r="Z117" s="44">
        <f t="shared" si="13"/>
        <v>0</v>
      </c>
      <c r="AA117" s="125">
        <f>VLOOKUP(C117,'Talente &amp; Stuff'!FU:GV,25,FALSE)</f>
        <v>0</v>
      </c>
      <c r="AB117" s="160">
        <f>VLOOKUP(C117,'Talente &amp; Stuff'!FU:GV,26,FALSE)</f>
        <v>0</v>
      </c>
      <c r="AC117" s="127">
        <f>VLOOKUP(C117,'Talente &amp; Stuff'!FU:GV,27,FALSE)</f>
        <v>0</v>
      </c>
      <c r="AD117" s="125">
        <f>VLOOKUP(C117,'Talente &amp; Stuff'!FU:GV,28,FALSE)</f>
        <v>0</v>
      </c>
      <c r="AE117" s="28"/>
    </row>
    <row r="118" spans="2:31" ht="15" hidden="1" customHeight="1" outlineLevel="2">
      <c r="B118" s="148">
        <v>19</v>
      </c>
      <c r="C118" s="177" t="str">
        <f>Attribute!C118</f>
        <v>---</v>
      </c>
      <c r="D118" s="86" t="str">
        <f>VLOOKUP(C118,'Talente &amp; Stuff'!FU:GV,2,FALSE)</f>
        <v>--/--/--</v>
      </c>
      <c r="E118" s="167" t="str">
        <f>VLOOKUP(C118,'Talente &amp; Stuff'!FU:GV,3,FALSE)</f>
        <v>-</v>
      </c>
      <c r="F118" s="120">
        <f>VLOOKUP(C118,'Talente &amp; Stuff'!FU:GV,4,FALSE)</f>
        <v>0</v>
      </c>
      <c r="G118" s="117">
        <f>VLOOKUP(C118,'Talente &amp; Stuff'!FU:GV,5,FALSE)</f>
        <v>0</v>
      </c>
      <c r="H118" s="117">
        <f>VLOOKUP(C118,'Talente &amp; Stuff'!FU:GV,6,FALSE)</f>
        <v>0</v>
      </c>
      <c r="I118" s="117">
        <f>VLOOKUP(C118,'Talente &amp; Stuff'!FU:GV,7,FALSE)</f>
        <v>0</v>
      </c>
      <c r="J118" s="117">
        <f>VLOOKUP(C118,'Talente &amp; Stuff'!FU:GV,8,FALSE)</f>
        <v>0</v>
      </c>
      <c r="K118" s="117">
        <f>VLOOKUP(C118,'Talente &amp; Stuff'!FU:GV,9,FALSE)</f>
        <v>0</v>
      </c>
      <c r="L118" s="117">
        <f>VLOOKUP(C118,'Talente &amp; Stuff'!FU:GV,10,FALSE)</f>
        <v>0</v>
      </c>
      <c r="M118" s="121">
        <f>VLOOKUP(C118,'Talente &amp; Stuff'!FU:GV,11,FALSE)</f>
        <v>0</v>
      </c>
      <c r="N118" s="47">
        <f>VLOOKUP(C118,'Talente &amp; Stuff'!FU:GV,12,FALSE)</f>
        <v>0</v>
      </c>
      <c r="O118" s="3">
        <f>VLOOKUP(C118,'Talente &amp; Stuff'!FU:GV,13,FALSE)</f>
        <v>0</v>
      </c>
      <c r="P118" s="174">
        <f>VLOOKUP(C118,'Talente &amp; Stuff'!FU:GV,14,FALSE)</f>
        <v>0</v>
      </c>
      <c r="Q118" s="114">
        <f>VLOOKUP(C118,'Talente &amp; Stuff'!FU:GV,15,FALSE)</f>
        <v>0</v>
      </c>
      <c r="R118" s="117">
        <f>VLOOKUP(C118,'Talente &amp; Stuff'!FU:GV,16,FALSE)</f>
        <v>0</v>
      </c>
      <c r="S118" s="119">
        <f>VLOOKUP(C118,'Talente &amp; Stuff'!FU:GV,17,FALSE)</f>
        <v>0</v>
      </c>
      <c r="T118" s="119">
        <f>VLOOKUP(C118,'Talente &amp; Stuff'!FU:GV,18,FALSE)</f>
        <v>0</v>
      </c>
      <c r="U118" s="89">
        <f>VLOOKUP(C118,'Talente &amp; Stuff'!FU:GV,19,FALSE)</f>
        <v>0</v>
      </c>
      <c r="V118" s="47">
        <f>VLOOKUP(C118,'Talente &amp; Stuff'!FU:GV,20,FALSE)</f>
        <v>0</v>
      </c>
      <c r="W118" s="127">
        <f>VLOOKUP(C118,'Talente &amp; Stuff'!FU:GV,21,FALSE)</f>
        <v>0</v>
      </c>
      <c r="X118" s="127">
        <f>VLOOKUP(C118,'Talente &amp; Stuff'!FU:GV,22,FALSE)</f>
        <v>0</v>
      </c>
      <c r="Y118" s="165">
        <f t="shared" si="12"/>
        <v>0</v>
      </c>
      <c r="Z118" s="44">
        <f t="shared" si="13"/>
        <v>0</v>
      </c>
      <c r="AA118" s="125">
        <f>VLOOKUP(C118,'Talente &amp; Stuff'!FU:GV,25,FALSE)</f>
        <v>0</v>
      </c>
      <c r="AB118" s="160">
        <f>VLOOKUP(C118,'Talente &amp; Stuff'!FU:GV,26,FALSE)</f>
        <v>0</v>
      </c>
      <c r="AC118" s="127">
        <f>VLOOKUP(C118,'Talente &amp; Stuff'!FU:GV,27,FALSE)</f>
        <v>0</v>
      </c>
      <c r="AD118" s="125">
        <f>VLOOKUP(C118,'Talente &amp; Stuff'!FU:GV,28,FALSE)</f>
        <v>0</v>
      </c>
      <c r="AE118" s="28"/>
    </row>
    <row r="119" spans="2:31" ht="15" hidden="1" customHeight="1" outlineLevel="2">
      <c r="B119" s="148">
        <v>20</v>
      </c>
      <c r="C119" s="177" t="str">
        <f>Attribute!C119</f>
        <v>---</v>
      </c>
      <c r="D119" s="86" t="str">
        <f>VLOOKUP(C119,'Talente &amp; Stuff'!FU:GV,2,FALSE)</f>
        <v>--/--/--</v>
      </c>
      <c r="E119" s="167" t="str">
        <f>VLOOKUP(C119,'Talente &amp; Stuff'!FU:GV,3,FALSE)</f>
        <v>-</v>
      </c>
      <c r="F119" s="120">
        <f>VLOOKUP(C119,'Talente &amp; Stuff'!FU:GV,4,FALSE)</f>
        <v>0</v>
      </c>
      <c r="G119" s="117">
        <f>VLOOKUP(C119,'Talente &amp; Stuff'!FU:GV,5,FALSE)</f>
        <v>0</v>
      </c>
      <c r="H119" s="117">
        <f>VLOOKUP(C119,'Talente &amp; Stuff'!FU:GV,6,FALSE)</f>
        <v>0</v>
      </c>
      <c r="I119" s="117">
        <f>VLOOKUP(C119,'Talente &amp; Stuff'!FU:GV,7,FALSE)</f>
        <v>0</v>
      </c>
      <c r="J119" s="117">
        <f>VLOOKUP(C119,'Talente &amp; Stuff'!FU:GV,8,FALSE)</f>
        <v>0</v>
      </c>
      <c r="K119" s="117">
        <f>VLOOKUP(C119,'Talente &amp; Stuff'!FU:GV,9,FALSE)</f>
        <v>0</v>
      </c>
      <c r="L119" s="117">
        <f>VLOOKUP(C119,'Talente &amp; Stuff'!FU:GV,10,FALSE)</f>
        <v>0</v>
      </c>
      <c r="M119" s="121">
        <f>VLOOKUP(C119,'Talente &amp; Stuff'!FU:GV,11,FALSE)</f>
        <v>0</v>
      </c>
      <c r="N119" s="47">
        <f>VLOOKUP(C119,'Talente &amp; Stuff'!FU:GV,12,FALSE)</f>
        <v>0</v>
      </c>
      <c r="O119" s="3">
        <f>VLOOKUP(C119,'Talente &amp; Stuff'!FU:GV,13,FALSE)</f>
        <v>0</v>
      </c>
      <c r="P119" s="174">
        <f>VLOOKUP(C119,'Talente &amp; Stuff'!FU:GV,14,FALSE)</f>
        <v>0</v>
      </c>
      <c r="Q119" s="114">
        <f>VLOOKUP(C119,'Talente &amp; Stuff'!FU:GV,15,FALSE)</f>
        <v>0</v>
      </c>
      <c r="R119" s="117">
        <f>VLOOKUP(C119,'Talente &amp; Stuff'!FU:GV,16,FALSE)</f>
        <v>0</v>
      </c>
      <c r="S119" s="119">
        <f>VLOOKUP(C119,'Talente &amp; Stuff'!FU:GV,17,FALSE)</f>
        <v>0</v>
      </c>
      <c r="T119" s="119">
        <f>VLOOKUP(C119,'Talente &amp; Stuff'!FU:GV,18,FALSE)</f>
        <v>0</v>
      </c>
      <c r="U119" s="89">
        <f>VLOOKUP(C119,'Talente &amp; Stuff'!FU:GV,19,FALSE)</f>
        <v>0</v>
      </c>
      <c r="V119" s="47">
        <f>VLOOKUP(C119,'Talente &amp; Stuff'!FU:GV,20,FALSE)</f>
        <v>0</v>
      </c>
      <c r="W119" s="127">
        <f>VLOOKUP(C119,'Talente &amp; Stuff'!FU:GV,21,FALSE)</f>
        <v>0</v>
      </c>
      <c r="X119" s="127">
        <f>VLOOKUP(C119,'Talente &amp; Stuff'!FU:GV,22,FALSE)</f>
        <v>0</v>
      </c>
      <c r="Y119" s="165">
        <f t="shared" si="12"/>
        <v>0</v>
      </c>
      <c r="Z119" s="44">
        <f t="shared" si="13"/>
        <v>0</v>
      </c>
      <c r="AA119" s="125">
        <f>VLOOKUP(C119,'Talente &amp; Stuff'!FU:GV,25,FALSE)</f>
        <v>0</v>
      </c>
      <c r="AB119" s="160">
        <f>VLOOKUP(C119,'Talente &amp; Stuff'!FU:GV,26,FALSE)</f>
        <v>0</v>
      </c>
      <c r="AC119" s="127">
        <f>VLOOKUP(C119,'Talente &amp; Stuff'!FU:GV,27,FALSE)</f>
        <v>0</v>
      </c>
      <c r="AD119" s="125">
        <f>VLOOKUP(C119,'Talente &amp; Stuff'!FU:GV,28,FALSE)</f>
        <v>0</v>
      </c>
      <c r="AE119" s="28"/>
    </row>
    <row r="120" spans="2:31" ht="15" hidden="1" customHeight="1" outlineLevel="2">
      <c r="B120" s="148">
        <v>21</v>
      </c>
      <c r="C120" s="177" t="str">
        <f>Attribute!C120</f>
        <v>---</v>
      </c>
      <c r="D120" s="86" t="str">
        <f>VLOOKUP(C120,'Talente &amp; Stuff'!FU:GV,2,FALSE)</f>
        <v>--/--/--</v>
      </c>
      <c r="E120" s="167" t="str">
        <f>VLOOKUP(C120,'Talente &amp; Stuff'!FU:GV,3,FALSE)</f>
        <v>-</v>
      </c>
      <c r="F120" s="120">
        <f>VLOOKUP(C120,'Talente &amp; Stuff'!FU:GV,4,FALSE)</f>
        <v>0</v>
      </c>
      <c r="G120" s="117">
        <f>VLOOKUP(C120,'Talente &amp; Stuff'!FU:GV,5,FALSE)</f>
        <v>0</v>
      </c>
      <c r="H120" s="117">
        <f>VLOOKUP(C120,'Talente &amp; Stuff'!FU:GV,6,FALSE)</f>
        <v>0</v>
      </c>
      <c r="I120" s="117">
        <f>VLOOKUP(C120,'Talente &amp; Stuff'!FU:GV,7,FALSE)</f>
        <v>0</v>
      </c>
      <c r="J120" s="117">
        <f>VLOOKUP(C120,'Talente &amp; Stuff'!FU:GV,8,FALSE)</f>
        <v>0</v>
      </c>
      <c r="K120" s="117">
        <f>VLOOKUP(C120,'Talente &amp; Stuff'!FU:GV,9,FALSE)</f>
        <v>0</v>
      </c>
      <c r="L120" s="117">
        <f>VLOOKUP(C120,'Talente &amp; Stuff'!FU:GV,10,FALSE)</f>
        <v>0</v>
      </c>
      <c r="M120" s="121">
        <f>VLOOKUP(C120,'Talente &amp; Stuff'!FU:GV,11,FALSE)</f>
        <v>0</v>
      </c>
      <c r="N120" s="47">
        <f>VLOOKUP(C120,'Talente &amp; Stuff'!FU:GV,12,FALSE)</f>
        <v>0</v>
      </c>
      <c r="O120" s="3">
        <f>VLOOKUP(C120,'Talente &amp; Stuff'!FU:GV,13,FALSE)</f>
        <v>0</v>
      </c>
      <c r="P120" s="174">
        <f>VLOOKUP(C120,'Talente &amp; Stuff'!FU:GV,14,FALSE)</f>
        <v>0</v>
      </c>
      <c r="Q120" s="114">
        <f>VLOOKUP(C120,'Talente &amp; Stuff'!FU:GV,15,FALSE)</f>
        <v>0</v>
      </c>
      <c r="R120" s="117">
        <f>VLOOKUP(C120,'Talente &amp; Stuff'!FU:GV,16,FALSE)</f>
        <v>0</v>
      </c>
      <c r="S120" s="119">
        <f>VLOOKUP(C120,'Talente &amp; Stuff'!FU:GV,17,FALSE)</f>
        <v>0</v>
      </c>
      <c r="T120" s="119">
        <f>VLOOKUP(C120,'Talente &amp; Stuff'!FU:GV,18,FALSE)</f>
        <v>0</v>
      </c>
      <c r="U120" s="89">
        <f>VLOOKUP(C120,'Talente &amp; Stuff'!FU:GV,19,FALSE)</f>
        <v>0</v>
      </c>
      <c r="V120" s="47">
        <f>VLOOKUP(C120,'Talente &amp; Stuff'!FU:GV,20,FALSE)</f>
        <v>0</v>
      </c>
      <c r="W120" s="127">
        <f>VLOOKUP(C120,'Talente &amp; Stuff'!FU:GV,21,FALSE)</f>
        <v>0</v>
      </c>
      <c r="X120" s="127">
        <f>VLOOKUP(C120,'Talente &amp; Stuff'!FU:GV,22,FALSE)</f>
        <v>0</v>
      </c>
      <c r="Y120" s="165">
        <f t="shared" si="12"/>
        <v>0</v>
      </c>
      <c r="Z120" s="44">
        <f t="shared" si="13"/>
        <v>0</v>
      </c>
      <c r="AA120" s="125">
        <f>VLOOKUP(C120,'Talente &amp; Stuff'!FU:GV,25,FALSE)</f>
        <v>0</v>
      </c>
      <c r="AB120" s="160">
        <f>VLOOKUP(C120,'Talente &amp; Stuff'!FU:GV,26,FALSE)</f>
        <v>0</v>
      </c>
      <c r="AC120" s="127">
        <f>VLOOKUP(C120,'Talente &amp; Stuff'!FU:GV,27,FALSE)</f>
        <v>0</v>
      </c>
      <c r="AD120" s="125">
        <f>VLOOKUP(C120,'Talente &amp; Stuff'!FU:GV,28,FALSE)</f>
        <v>0</v>
      </c>
      <c r="AE120" s="28"/>
    </row>
    <row r="121" spans="2:31" ht="15" hidden="1" customHeight="1" outlineLevel="2">
      <c r="B121" s="148">
        <v>22</v>
      </c>
      <c r="C121" s="177" t="str">
        <f>Attribute!C121</f>
        <v>---</v>
      </c>
      <c r="D121" s="86" t="str">
        <f>VLOOKUP(C121,'Talente &amp; Stuff'!FU:GV,2,FALSE)</f>
        <v>--/--/--</v>
      </c>
      <c r="E121" s="167" t="str">
        <f>VLOOKUP(C121,'Talente &amp; Stuff'!FU:GV,3,FALSE)</f>
        <v>-</v>
      </c>
      <c r="F121" s="120">
        <f>VLOOKUP(C121,'Talente &amp; Stuff'!FU:GV,4,FALSE)</f>
        <v>0</v>
      </c>
      <c r="G121" s="117">
        <f>VLOOKUP(C121,'Talente &amp; Stuff'!FU:GV,5,FALSE)</f>
        <v>0</v>
      </c>
      <c r="H121" s="117">
        <f>VLOOKUP(C121,'Talente &amp; Stuff'!FU:GV,6,FALSE)</f>
        <v>0</v>
      </c>
      <c r="I121" s="117">
        <f>VLOOKUP(C121,'Talente &amp; Stuff'!FU:GV,7,FALSE)</f>
        <v>0</v>
      </c>
      <c r="J121" s="117">
        <f>VLOOKUP(C121,'Talente &amp; Stuff'!FU:GV,8,FALSE)</f>
        <v>0</v>
      </c>
      <c r="K121" s="117">
        <f>VLOOKUP(C121,'Talente &amp; Stuff'!FU:GV,9,FALSE)</f>
        <v>0</v>
      </c>
      <c r="L121" s="117">
        <f>VLOOKUP(C121,'Talente &amp; Stuff'!FU:GV,10,FALSE)</f>
        <v>0</v>
      </c>
      <c r="M121" s="121">
        <f>VLOOKUP(C121,'Talente &amp; Stuff'!FU:GV,11,FALSE)</f>
        <v>0</v>
      </c>
      <c r="N121" s="47">
        <f>VLOOKUP(C121,'Talente &amp; Stuff'!FU:GV,12,FALSE)</f>
        <v>0</v>
      </c>
      <c r="O121" s="3">
        <f>VLOOKUP(C121,'Talente &amp; Stuff'!FU:GV,13,FALSE)</f>
        <v>0</v>
      </c>
      <c r="P121" s="174">
        <f>VLOOKUP(C121,'Talente &amp; Stuff'!FU:GV,14,FALSE)</f>
        <v>0</v>
      </c>
      <c r="Q121" s="114">
        <f>VLOOKUP(C121,'Talente &amp; Stuff'!FU:GV,15,FALSE)</f>
        <v>0</v>
      </c>
      <c r="R121" s="117">
        <f>VLOOKUP(C121,'Talente &amp; Stuff'!FU:GV,16,FALSE)</f>
        <v>0</v>
      </c>
      <c r="S121" s="119">
        <f>VLOOKUP(C121,'Talente &amp; Stuff'!FU:GV,17,FALSE)</f>
        <v>0</v>
      </c>
      <c r="T121" s="119">
        <f>VLOOKUP(C121,'Talente &amp; Stuff'!FU:GV,18,FALSE)</f>
        <v>0</v>
      </c>
      <c r="U121" s="89">
        <f>VLOOKUP(C121,'Talente &amp; Stuff'!FU:GV,19,FALSE)</f>
        <v>0</v>
      </c>
      <c r="V121" s="47">
        <f>VLOOKUP(C121,'Talente &amp; Stuff'!FU:GV,20,FALSE)</f>
        <v>0</v>
      </c>
      <c r="W121" s="127">
        <f>VLOOKUP(C121,'Talente &amp; Stuff'!FU:GV,21,FALSE)</f>
        <v>0</v>
      </c>
      <c r="X121" s="127">
        <f>VLOOKUP(C121,'Talente &amp; Stuff'!FU:GV,22,FALSE)</f>
        <v>0</v>
      </c>
      <c r="Y121" s="165">
        <f t="shared" si="12"/>
        <v>0</v>
      </c>
      <c r="Z121" s="44">
        <f t="shared" si="13"/>
        <v>0</v>
      </c>
      <c r="AA121" s="125">
        <f>VLOOKUP(C121,'Talente &amp; Stuff'!FU:GV,25,FALSE)</f>
        <v>0</v>
      </c>
      <c r="AB121" s="160">
        <f>VLOOKUP(C121,'Talente &amp; Stuff'!FU:GV,26,FALSE)</f>
        <v>0</v>
      </c>
      <c r="AC121" s="127">
        <f>VLOOKUP(C121,'Talente &amp; Stuff'!FU:GV,27,FALSE)</f>
        <v>0</v>
      </c>
      <c r="AD121" s="125">
        <f>VLOOKUP(C121,'Talente &amp; Stuff'!FU:GV,28,FALSE)</f>
        <v>0</v>
      </c>
      <c r="AE121" s="28"/>
    </row>
    <row r="122" spans="2:31" ht="15" hidden="1" customHeight="1" outlineLevel="2">
      <c r="B122" s="148">
        <v>23</v>
      </c>
      <c r="C122" s="177" t="str">
        <f>Attribute!C122</f>
        <v>---</v>
      </c>
      <c r="D122" s="86" t="str">
        <f>VLOOKUP(C122,'Talente &amp; Stuff'!FU:GV,2,FALSE)</f>
        <v>--/--/--</v>
      </c>
      <c r="E122" s="127" t="str">
        <f>VLOOKUP(C122,'Talente &amp; Stuff'!FU:GV,3,FALSE)</f>
        <v>-</v>
      </c>
      <c r="F122" s="114">
        <f>VLOOKUP(C122,'Talente &amp; Stuff'!FU:GV,4,FALSE)</f>
        <v>0</v>
      </c>
      <c r="G122" s="113">
        <f>VLOOKUP(C122,'Talente &amp; Stuff'!FU:GV,5,FALSE)</f>
        <v>0</v>
      </c>
      <c r="H122" s="113">
        <f>VLOOKUP(C122,'Talente &amp; Stuff'!FU:GV,6,FALSE)</f>
        <v>0</v>
      </c>
      <c r="I122" s="113">
        <f>VLOOKUP(C122,'Talente &amp; Stuff'!FU:GV,7,FALSE)</f>
        <v>0</v>
      </c>
      <c r="J122" s="113">
        <f>VLOOKUP(C122,'Talente &amp; Stuff'!FU:GV,8,FALSE)</f>
        <v>0</v>
      </c>
      <c r="K122" s="113">
        <f>VLOOKUP(C122,'Talente &amp; Stuff'!FU:GV,9,FALSE)</f>
        <v>0</v>
      </c>
      <c r="L122" s="113">
        <f>VLOOKUP(C122,'Talente &amp; Stuff'!FU:GV,10,FALSE)</f>
        <v>0</v>
      </c>
      <c r="M122" s="119">
        <f>VLOOKUP(C122,'Talente &amp; Stuff'!FU:GV,11,FALSE)</f>
        <v>0</v>
      </c>
      <c r="N122" s="47">
        <f>VLOOKUP(C122,'Talente &amp; Stuff'!FU:GV,12,FALSE)</f>
        <v>0</v>
      </c>
      <c r="O122" s="3">
        <f>VLOOKUP(C122,'Talente &amp; Stuff'!FU:GV,13,FALSE)</f>
        <v>0</v>
      </c>
      <c r="P122" s="174">
        <f>VLOOKUP(C122,'Talente &amp; Stuff'!FU:GV,14,FALSE)</f>
        <v>0</v>
      </c>
      <c r="Q122" s="114">
        <f>VLOOKUP(C122,'Talente &amp; Stuff'!FU:GV,15,FALSE)</f>
        <v>0</v>
      </c>
      <c r="R122" s="117">
        <f>VLOOKUP(C122,'Talente &amp; Stuff'!FU:GV,16,FALSE)</f>
        <v>0</v>
      </c>
      <c r="S122" s="119">
        <f>VLOOKUP(C122,'Talente &amp; Stuff'!FU:GV,17,FALSE)</f>
        <v>0</v>
      </c>
      <c r="T122" s="119">
        <f>VLOOKUP(C122,'Talente &amp; Stuff'!FU:GV,18,FALSE)</f>
        <v>0</v>
      </c>
      <c r="U122" s="89">
        <f>VLOOKUP(C122,'Talente &amp; Stuff'!FU:GV,19,FALSE)</f>
        <v>0</v>
      </c>
      <c r="V122" s="47">
        <f>VLOOKUP(C122,'Talente &amp; Stuff'!FU:GV,20,FALSE)</f>
        <v>0</v>
      </c>
      <c r="W122" s="127">
        <f>VLOOKUP(C122,'Talente &amp; Stuff'!FU:GV,21,FALSE)</f>
        <v>0</v>
      </c>
      <c r="X122" s="127">
        <f>VLOOKUP(C122,'Talente &amp; Stuff'!FU:GV,22,FALSE)</f>
        <v>0</v>
      </c>
      <c r="Y122" s="165">
        <f t="shared" si="12"/>
        <v>0</v>
      </c>
      <c r="Z122" s="44">
        <f t="shared" si="13"/>
        <v>0</v>
      </c>
      <c r="AA122" s="125">
        <f>VLOOKUP(C122,'Talente &amp; Stuff'!FU:GV,25,FALSE)</f>
        <v>0</v>
      </c>
      <c r="AB122" s="160">
        <f>VLOOKUP(C122,'Talente &amp; Stuff'!FU:GV,26,FALSE)</f>
        <v>0</v>
      </c>
      <c r="AC122" s="127">
        <f>VLOOKUP(C122,'Talente &amp; Stuff'!FU:GV,27,FALSE)</f>
        <v>0</v>
      </c>
      <c r="AD122" s="125">
        <f>VLOOKUP(C122,'Talente &amp; Stuff'!FU:GV,28,FALSE)</f>
        <v>0</v>
      </c>
      <c r="AE122" s="28"/>
    </row>
    <row r="123" spans="2:31" ht="15" hidden="1" customHeight="1" outlineLevel="2">
      <c r="B123" s="148">
        <v>24</v>
      </c>
      <c r="C123" s="177" t="str">
        <f>Attribute!C123</f>
        <v>---</v>
      </c>
      <c r="D123" s="86" t="str">
        <f>VLOOKUP(C123,'Talente &amp; Stuff'!FU:GV,2,FALSE)</f>
        <v>--/--/--</v>
      </c>
      <c r="E123" s="127" t="str">
        <f>VLOOKUP(C123,'Talente &amp; Stuff'!FU:GV,3,FALSE)</f>
        <v>-</v>
      </c>
      <c r="F123" s="114">
        <f>VLOOKUP(C123,'Talente &amp; Stuff'!FU:GV,4,FALSE)</f>
        <v>0</v>
      </c>
      <c r="G123" s="113">
        <f>VLOOKUP(C123,'Talente &amp; Stuff'!FU:GV,5,FALSE)</f>
        <v>0</v>
      </c>
      <c r="H123" s="113">
        <f>VLOOKUP(C123,'Talente &amp; Stuff'!FU:GV,6,FALSE)</f>
        <v>0</v>
      </c>
      <c r="I123" s="113">
        <f>VLOOKUP(C123,'Talente &amp; Stuff'!FU:GV,7,FALSE)</f>
        <v>0</v>
      </c>
      <c r="J123" s="113">
        <f>VLOOKUP(C123,'Talente &amp; Stuff'!FU:GV,8,FALSE)</f>
        <v>0</v>
      </c>
      <c r="K123" s="113">
        <f>VLOOKUP(C123,'Talente &amp; Stuff'!FU:GV,9,FALSE)</f>
        <v>0</v>
      </c>
      <c r="L123" s="113">
        <f>VLOOKUP(C123,'Talente &amp; Stuff'!FU:GV,10,FALSE)</f>
        <v>0</v>
      </c>
      <c r="M123" s="119">
        <f>VLOOKUP(C123,'Talente &amp; Stuff'!FU:GV,11,FALSE)</f>
        <v>0</v>
      </c>
      <c r="N123" s="47">
        <f>VLOOKUP(C123,'Talente &amp; Stuff'!FU:GV,12,FALSE)</f>
        <v>0</v>
      </c>
      <c r="O123" s="3">
        <f>VLOOKUP(C123,'Talente &amp; Stuff'!FU:GV,13,FALSE)</f>
        <v>0</v>
      </c>
      <c r="P123" s="174">
        <f>VLOOKUP(C123,'Talente &amp; Stuff'!FU:GV,14,FALSE)</f>
        <v>0</v>
      </c>
      <c r="Q123" s="114">
        <f>VLOOKUP(C123,'Talente &amp; Stuff'!FU:GV,15,FALSE)</f>
        <v>0</v>
      </c>
      <c r="R123" s="117">
        <f>VLOOKUP(C123,'Talente &amp; Stuff'!FU:GV,16,FALSE)</f>
        <v>0</v>
      </c>
      <c r="S123" s="119">
        <f>VLOOKUP(C123,'Talente &amp; Stuff'!FU:GV,17,FALSE)</f>
        <v>0</v>
      </c>
      <c r="T123" s="119">
        <f>VLOOKUP(C123,'Talente &amp; Stuff'!FU:GV,18,FALSE)</f>
        <v>0</v>
      </c>
      <c r="U123" s="89">
        <f>VLOOKUP(C123,'Talente &amp; Stuff'!FU:GV,19,FALSE)</f>
        <v>0</v>
      </c>
      <c r="V123" s="47">
        <f>VLOOKUP(C123,'Talente &amp; Stuff'!FU:GV,20,FALSE)</f>
        <v>0</v>
      </c>
      <c r="W123" s="127">
        <f>VLOOKUP(C123,'Talente &amp; Stuff'!FU:GV,21,FALSE)</f>
        <v>0</v>
      </c>
      <c r="X123" s="127">
        <f>VLOOKUP(C123,'Talente &amp; Stuff'!FU:GV,22,FALSE)</f>
        <v>0</v>
      </c>
      <c r="Y123" s="165">
        <f t="shared" si="12"/>
        <v>0</v>
      </c>
      <c r="Z123" s="44">
        <f t="shared" si="13"/>
        <v>0</v>
      </c>
      <c r="AA123" s="125">
        <f>VLOOKUP(C123,'Talente &amp; Stuff'!FU:GV,25,FALSE)</f>
        <v>0</v>
      </c>
      <c r="AB123" s="160">
        <f>VLOOKUP(C123,'Talente &amp; Stuff'!FU:GV,26,FALSE)</f>
        <v>0</v>
      </c>
      <c r="AC123" s="127">
        <f>VLOOKUP(C123,'Talente &amp; Stuff'!FU:GV,27,FALSE)</f>
        <v>0</v>
      </c>
      <c r="AD123" s="125">
        <f>VLOOKUP(C123,'Talente &amp; Stuff'!FU:GV,28,FALSE)</f>
        <v>0</v>
      </c>
      <c r="AE123" s="28"/>
    </row>
    <row r="124" spans="2:31" ht="15" hidden="1" customHeight="1" outlineLevel="2">
      <c r="B124" s="148">
        <v>25</v>
      </c>
      <c r="C124" s="177" t="str">
        <f>Attribute!C124</f>
        <v>---</v>
      </c>
      <c r="D124" s="86" t="str">
        <f>VLOOKUP(C124,'Talente &amp; Stuff'!FU:GV,2,FALSE)</f>
        <v>--/--/--</v>
      </c>
      <c r="E124" s="127" t="str">
        <f>VLOOKUP(C124,'Talente &amp; Stuff'!FU:GV,3,FALSE)</f>
        <v>-</v>
      </c>
      <c r="F124" s="114">
        <f>VLOOKUP(C124,'Talente &amp; Stuff'!FU:GV,4,FALSE)</f>
        <v>0</v>
      </c>
      <c r="G124" s="113">
        <f>VLOOKUP(C124,'Talente &amp; Stuff'!FU:GV,5,FALSE)</f>
        <v>0</v>
      </c>
      <c r="H124" s="113">
        <f>VLOOKUP(C124,'Talente &amp; Stuff'!FU:GV,6,FALSE)</f>
        <v>0</v>
      </c>
      <c r="I124" s="113">
        <f>VLOOKUP(C124,'Talente &amp; Stuff'!FU:GV,7,FALSE)</f>
        <v>0</v>
      </c>
      <c r="J124" s="113">
        <f>VLOOKUP(C124,'Talente &amp; Stuff'!FU:GV,8,FALSE)</f>
        <v>0</v>
      </c>
      <c r="K124" s="113">
        <f>VLOOKUP(C124,'Talente &amp; Stuff'!FU:GV,9,FALSE)</f>
        <v>0</v>
      </c>
      <c r="L124" s="113">
        <f>VLOOKUP(C124,'Talente &amp; Stuff'!FU:GV,10,FALSE)</f>
        <v>0</v>
      </c>
      <c r="M124" s="119">
        <f>VLOOKUP(C124,'Talente &amp; Stuff'!FU:GV,11,FALSE)</f>
        <v>0</v>
      </c>
      <c r="N124" s="47">
        <f>VLOOKUP(C124,'Talente &amp; Stuff'!FU:GV,12,FALSE)</f>
        <v>0</v>
      </c>
      <c r="O124" s="3">
        <f>VLOOKUP(C124,'Talente &amp; Stuff'!FU:GV,13,FALSE)</f>
        <v>0</v>
      </c>
      <c r="P124" s="174">
        <f>VLOOKUP(C124,'Talente &amp; Stuff'!FU:GV,14,FALSE)</f>
        <v>0</v>
      </c>
      <c r="Q124" s="114">
        <f>VLOOKUP(C124,'Talente &amp; Stuff'!FU:GV,15,FALSE)</f>
        <v>0</v>
      </c>
      <c r="R124" s="117">
        <f>VLOOKUP(C124,'Talente &amp; Stuff'!FU:GV,16,FALSE)</f>
        <v>0</v>
      </c>
      <c r="S124" s="119">
        <f>VLOOKUP(C124,'Talente &amp; Stuff'!FU:GV,17,FALSE)</f>
        <v>0</v>
      </c>
      <c r="T124" s="119">
        <f>VLOOKUP(C124,'Talente &amp; Stuff'!FU:GV,18,FALSE)</f>
        <v>0</v>
      </c>
      <c r="U124" s="89">
        <f>VLOOKUP(C124,'Talente &amp; Stuff'!FU:GV,19,FALSE)</f>
        <v>0</v>
      </c>
      <c r="V124" s="47">
        <f>VLOOKUP(C124,'Talente &amp; Stuff'!FU:GV,20,FALSE)</f>
        <v>0</v>
      </c>
      <c r="W124" s="127">
        <f>VLOOKUP(C124,'Talente &amp; Stuff'!FU:GV,21,FALSE)</f>
        <v>0</v>
      </c>
      <c r="X124" s="127">
        <f>VLOOKUP(C124,'Talente &amp; Stuff'!FU:GV,22,FALSE)</f>
        <v>0</v>
      </c>
      <c r="Y124" s="165">
        <f t="shared" si="12"/>
        <v>0</v>
      </c>
      <c r="Z124" s="44">
        <f t="shared" si="13"/>
        <v>0</v>
      </c>
      <c r="AA124" s="125">
        <f>VLOOKUP(C124,'Talente &amp; Stuff'!FU:GV,25,FALSE)</f>
        <v>0</v>
      </c>
      <c r="AB124" s="160">
        <f>VLOOKUP(C124,'Talente &amp; Stuff'!FU:GV,26,FALSE)</f>
        <v>0</v>
      </c>
      <c r="AC124" s="127">
        <f>VLOOKUP(C124,'Talente &amp; Stuff'!FU:GV,27,FALSE)</f>
        <v>0</v>
      </c>
      <c r="AD124" s="125">
        <f>VLOOKUP(C124,'Talente &amp; Stuff'!FU:GV,28,FALSE)</f>
        <v>0</v>
      </c>
      <c r="AE124" s="28"/>
    </row>
    <row r="125" spans="2:31" ht="15" hidden="1" customHeight="1" outlineLevel="2">
      <c r="B125" s="148">
        <v>26</v>
      </c>
      <c r="C125" s="177" t="str">
        <f>Attribute!C125</f>
        <v>---</v>
      </c>
      <c r="D125" s="86" t="str">
        <f>VLOOKUP(C125,'Talente &amp; Stuff'!FU:GV,2,FALSE)</f>
        <v>--/--/--</v>
      </c>
      <c r="E125" s="127" t="str">
        <f>VLOOKUP(C125,'Talente &amp; Stuff'!FU:GV,3,FALSE)</f>
        <v>-</v>
      </c>
      <c r="F125" s="114">
        <f>VLOOKUP(C125,'Talente &amp; Stuff'!FU:GV,4,FALSE)</f>
        <v>0</v>
      </c>
      <c r="G125" s="113">
        <f>VLOOKUP(C125,'Talente &amp; Stuff'!FU:GV,5,FALSE)</f>
        <v>0</v>
      </c>
      <c r="H125" s="113">
        <f>VLOOKUP(C125,'Talente &amp; Stuff'!FU:GV,6,FALSE)</f>
        <v>0</v>
      </c>
      <c r="I125" s="113">
        <f>VLOOKUP(C125,'Talente &amp; Stuff'!FU:GV,7,FALSE)</f>
        <v>0</v>
      </c>
      <c r="J125" s="113">
        <f>VLOOKUP(C125,'Talente &amp; Stuff'!FU:GV,8,FALSE)</f>
        <v>0</v>
      </c>
      <c r="K125" s="113">
        <f>VLOOKUP(C125,'Talente &amp; Stuff'!FU:GV,9,FALSE)</f>
        <v>0</v>
      </c>
      <c r="L125" s="113">
        <f>VLOOKUP(C125,'Talente &amp; Stuff'!FU:GV,10,FALSE)</f>
        <v>0</v>
      </c>
      <c r="M125" s="119">
        <f>VLOOKUP(C125,'Talente &amp; Stuff'!FU:GV,11,FALSE)</f>
        <v>0</v>
      </c>
      <c r="N125" s="47">
        <f>VLOOKUP(C125,'Talente &amp; Stuff'!FU:GV,12,FALSE)</f>
        <v>0</v>
      </c>
      <c r="O125" s="3">
        <f>VLOOKUP(C125,'Talente &amp; Stuff'!FU:GV,13,FALSE)</f>
        <v>0</v>
      </c>
      <c r="P125" s="174">
        <f>VLOOKUP(C125,'Talente &amp; Stuff'!FU:GV,14,FALSE)</f>
        <v>0</v>
      </c>
      <c r="Q125" s="114">
        <f>VLOOKUP(C125,'Talente &amp; Stuff'!FU:GV,15,FALSE)</f>
        <v>0</v>
      </c>
      <c r="R125" s="117">
        <f>VLOOKUP(C125,'Talente &amp; Stuff'!FU:GV,16,FALSE)</f>
        <v>0</v>
      </c>
      <c r="S125" s="119">
        <f>VLOOKUP(C125,'Talente &amp; Stuff'!FU:GV,17,FALSE)</f>
        <v>0</v>
      </c>
      <c r="T125" s="119">
        <f>VLOOKUP(C125,'Talente &amp; Stuff'!FU:GV,18,FALSE)</f>
        <v>0</v>
      </c>
      <c r="U125" s="89">
        <f>VLOOKUP(C125,'Talente &amp; Stuff'!FU:GV,19,FALSE)</f>
        <v>0</v>
      </c>
      <c r="V125" s="47">
        <f>VLOOKUP(C125,'Talente &amp; Stuff'!FU:GV,20,FALSE)</f>
        <v>0</v>
      </c>
      <c r="W125" s="127">
        <f>VLOOKUP(C125,'Talente &amp; Stuff'!FU:GV,21,FALSE)</f>
        <v>0</v>
      </c>
      <c r="X125" s="127">
        <f>VLOOKUP(C125,'Talente &amp; Stuff'!FU:GV,22,FALSE)</f>
        <v>0</v>
      </c>
      <c r="Y125" s="165">
        <f t="shared" si="12"/>
        <v>0</v>
      </c>
      <c r="Z125" s="44">
        <f t="shared" si="13"/>
        <v>0</v>
      </c>
      <c r="AA125" s="125">
        <f>VLOOKUP(C125,'Talente &amp; Stuff'!FU:GV,25,FALSE)</f>
        <v>0</v>
      </c>
      <c r="AB125" s="160">
        <f>VLOOKUP(C125,'Talente &amp; Stuff'!FU:GV,26,FALSE)</f>
        <v>0</v>
      </c>
      <c r="AC125" s="127">
        <f>VLOOKUP(C125,'Talente &amp; Stuff'!FU:GV,27,FALSE)</f>
        <v>0</v>
      </c>
      <c r="AD125" s="125">
        <f>VLOOKUP(C125,'Talente &amp; Stuff'!FU:GV,28,FALSE)</f>
        <v>0</v>
      </c>
      <c r="AE125" s="28"/>
    </row>
    <row r="126" spans="2:31" ht="15" hidden="1" customHeight="1" outlineLevel="2">
      <c r="B126" s="148">
        <v>27</v>
      </c>
      <c r="C126" s="178" t="str">
        <f>Attribute!C126</f>
        <v>---</v>
      </c>
      <c r="D126" s="23" t="str">
        <f>VLOOKUP(C126,'Talente &amp; Stuff'!FU:GV,2,FALSE)</f>
        <v>--/--/--</v>
      </c>
      <c r="E126" s="128" t="str">
        <f>VLOOKUP(C126,'Talente &amp; Stuff'!FU:GV,3,FALSE)</f>
        <v>-</v>
      </c>
      <c r="F126" s="115">
        <f>VLOOKUP(C126,'Talente &amp; Stuff'!FU:GV,4,FALSE)</f>
        <v>0</v>
      </c>
      <c r="G126" s="122">
        <f>VLOOKUP(C126,'Talente &amp; Stuff'!FU:GV,5,FALSE)</f>
        <v>0</v>
      </c>
      <c r="H126" s="122">
        <f>VLOOKUP(C126,'Talente &amp; Stuff'!FU:GV,6,FALSE)</f>
        <v>0</v>
      </c>
      <c r="I126" s="122">
        <f>VLOOKUP(C126,'Talente &amp; Stuff'!FU:GV,7,FALSE)</f>
        <v>0</v>
      </c>
      <c r="J126" s="122">
        <f>VLOOKUP(C126,'Talente &amp; Stuff'!FU:GV,8,FALSE)</f>
        <v>0</v>
      </c>
      <c r="K126" s="122">
        <f>VLOOKUP(C126,'Talente &amp; Stuff'!FU:GV,9,FALSE)</f>
        <v>0</v>
      </c>
      <c r="L126" s="122">
        <f>VLOOKUP(C126,'Talente &amp; Stuff'!FU:GV,10,FALSE)</f>
        <v>0</v>
      </c>
      <c r="M126" s="123">
        <f>VLOOKUP(C126,'Talente &amp; Stuff'!FU:GV,11,FALSE)</f>
        <v>0</v>
      </c>
      <c r="N126" s="88">
        <f>VLOOKUP(C126,'Talente &amp; Stuff'!FU:GV,12,FALSE)</f>
        <v>0</v>
      </c>
      <c r="O126" s="2">
        <f>VLOOKUP(C126,'Talente &amp; Stuff'!FU:GV,13,FALSE)</f>
        <v>0</v>
      </c>
      <c r="P126" s="173">
        <f>VLOOKUP(C126,'Talente &amp; Stuff'!FU:GV,14,FALSE)</f>
        <v>0</v>
      </c>
      <c r="Q126" s="115">
        <f>VLOOKUP(C126,'Talente &amp; Stuff'!FU:GV,15,FALSE)</f>
        <v>0</v>
      </c>
      <c r="R126" s="169">
        <f>VLOOKUP(C126,'Talente &amp; Stuff'!FU:GV,16,FALSE)</f>
        <v>0</v>
      </c>
      <c r="S126" s="123">
        <f>VLOOKUP(C126,'Talente &amp; Stuff'!FU:GV,17,FALSE)</f>
        <v>0</v>
      </c>
      <c r="T126" s="123">
        <f>VLOOKUP(C126,'Talente &amp; Stuff'!FU:GV,18,FALSE)</f>
        <v>0</v>
      </c>
      <c r="U126" s="90">
        <f>VLOOKUP(C126,'Talente &amp; Stuff'!FU:GV,19,FALSE)</f>
        <v>0</v>
      </c>
      <c r="V126" s="88">
        <f>VLOOKUP(C126,'Talente &amp; Stuff'!FU:GV,20,FALSE)</f>
        <v>0</v>
      </c>
      <c r="W126" s="128">
        <f>VLOOKUP(C126,'Talente &amp; Stuff'!FU:GV,21,FALSE)</f>
        <v>0</v>
      </c>
      <c r="X126" s="128">
        <f>VLOOKUP(C126,'Talente &amp; Stuff'!FU:GV,22,FALSE)</f>
        <v>0</v>
      </c>
      <c r="Y126" s="165">
        <f t="shared" si="12"/>
        <v>0</v>
      </c>
      <c r="Z126" s="44">
        <f t="shared" si="13"/>
        <v>0</v>
      </c>
      <c r="AA126" s="159">
        <f>VLOOKUP(C126,'Talente &amp; Stuff'!FU:GV,25,FALSE)</f>
        <v>0</v>
      </c>
      <c r="AB126" s="161">
        <f>VLOOKUP(C126,'Talente &amp; Stuff'!FU:GV,26,FALSE)</f>
        <v>0</v>
      </c>
      <c r="AC126" s="128">
        <f>VLOOKUP(C126,'Talente &amp; Stuff'!FU:GV,27,FALSE)</f>
        <v>0</v>
      </c>
      <c r="AD126" s="159">
        <f>VLOOKUP(C126,'Talente &amp; Stuff'!FU:GV,28,FALSE)</f>
        <v>0</v>
      </c>
      <c r="AE126" s="28"/>
    </row>
    <row r="127" spans="2:31" ht="15" hidden="1" customHeight="1" outlineLevel="1" collapsed="1">
      <c r="B127" s="134" t="s">
        <v>330</v>
      </c>
      <c r="C127" s="83"/>
      <c r="D127" s="84"/>
      <c r="E127" s="84"/>
    </row>
    <row r="128" spans="2:31" ht="15" hidden="1" customHeight="1" outlineLevel="2">
      <c r="B128" s="148">
        <v>1</v>
      </c>
      <c r="C128" s="176" t="str">
        <f>Attribute!C128</f>
        <v>---</v>
      </c>
      <c r="D128" s="158" t="str">
        <f>VLOOKUP(C128,'Talente &amp; Stuff'!FU:GV,2,FALSE)</f>
        <v>--/--/--</v>
      </c>
      <c r="E128" s="126" t="str">
        <f>VLOOKUP(C128,'Talente &amp; Stuff'!FU:GV,3,FALSE)</f>
        <v>-</v>
      </c>
      <c r="F128" s="191">
        <f>VLOOKUP(C128,'Talente &amp; Stuff'!FU:GV,4,FALSE)</f>
        <v>0</v>
      </c>
      <c r="G128" s="118">
        <f>VLOOKUP(C128,'Talente &amp; Stuff'!FU:GV,5,FALSE)</f>
        <v>0</v>
      </c>
      <c r="H128" s="118">
        <f>VLOOKUP(C128,'Talente &amp; Stuff'!FU:GV,6,FALSE)</f>
        <v>0</v>
      </c>
      <c r="I128" s="118">
        <f>VLOOKUP(C128,'Talente &amp; Stuff'!FU:GV,7,FALSE)</f>
        <v>0</v>
      </c>
      <c r="J128" s="118">
        <f>VLOOKUP(C128,'Talente &amp; Stuff'!FU:GV,8,FALSE)</f>
        <v>0</v>
      </c>
      <c r="K128" s="118">
        <f>VLOOKUP(C128,'Talente &amp; Stuff'!FU:GV,9,FALSE)</f>
        <v>0</v>
      </c>
      <c r="L128" s="118">
        <f>VLOOKUP(C128,'Talente &amp; Stuff'!FU:GV,10,FALSE)</f>
        <v>0</v>
      </c>
      <c r="M128" s="92">
        <f>VLOOKUP(C128,'Talente &amp; Stuff'!FU:GV,11,FALSE)</f>
        <v>0</v>
      </c>
      <c r="N128" s="116">
        <f>VLOOKUP(C128,'Talente &amp; Stuff'!FU:GV,12,FALSE)</f>
        <v>0</v>
      </c>
      <c r="O128" s="116">
        <f>VLOOKUP(C128,'Talente &amp; Stuff'!FU:GV,13,FALSE)</f>
        <v>0</v>
      </c>
      <c r="P128" s="92">
        <f>VLOOKUP(C128,'Talente &amp; Stuff'!FU:GV,14,FALSE)</f>
        <v>0</v>
      </c>
      <c r="Q128" s="191">
        <f>VLOOKUP(C128,'Talente &amp; Stuff'!FU:GV,15,FALSE)</f>
        <v>0</v>
      </c>
      <c r="R128" s="118">
        <f>VLOOKUP(C128,'Talente &amp; Stuff'!FU:GV,16,FALSE)</f>
        <v>0</v>
      </c>
      <c r="S128" s="92">
        <f>VLOOKUP(C128,'Talente &amp; Stuff'!FU:GV,17,FALSE)</f>
        <v>0</v>
      </c>
      <c r="T128" s="92">
        <f>VLOOKUP(C128,'Talente &amp; Stuff'!FU:GV,18,FALSE)</f>
        <v>0</v>
      </c>
      <c r="U128" s="193">
        <f>VLOOKUP(C128,'Talente &amp; Stuff'!FU:GV,19,FALSE)</f>
        <v>0</v>
      </c>
      <c r="V128" s="116">
        <f>VLOOKUP(C128,'Talente &amp; Stuff'!FU:GV,20,FALSE)</f>
        <v>0</v>
      </c>
      <c r="W128" s="126">
        <f>VLOOKUP(C128,'Talente &amp; Stuff'!FU:GV,21,FALSE)</f>
        <v>0</v>
      </c>
      <c r="X128" s="126">
        <f>VLOOKUP(C128,'Talente &amp; Stuff'!FU:GV,22,FALSE)</f>
        <v>0</v>
      </c>
      <c r="Y128" s="165">
        <f t="shared" ref="Y128:Y151" si="14">VLOOKUP(C128,Ausgewählte_Zauber_Elfen,197,FALSE)</f>
        <v>0</v>
      </c>
      <c r="Z128" s="44">
        <f t="shared" ref="Z128:Z151" si="15">VLOOKUP(C128,Ausgewählte_Zauber_Elfen,198,FALSE)</f>
        <v>0</v>
      </c>
      <c r="AA128" s="158">
        <f>VLOOKUP(C128,'Talente &amp; Stuff'!FU:GV,25,FALSE)</f>
        <v>0</v>
      </c>
      <c r="AB128" s="91">
        <f>VLOOKUP(C128,'Talente &amp; Stuff'!FU:GV,26,FALSE)</f>
        <v>0</v>
      </c>
      <c r="AC128" s="126">
        <f>VLOOKUP(C128,'Talente &amp; Stuff'!FU:GV,27,FALSE)</f>
        <v>0</v>
      </c>
      <c r="AD128" s="158">
        <f>VLOOKUP(C128,'Talente &amp; Stuff'!FU:GV,28,FALSE)</f>
        <v>0</v>
      </c>
      <c r="AE128" s="28"/>
    </row>
    <row r="129" spans="2:31" ht="15" hidden="1" customHeight="1" outlineLevel="2">
      <c r="B129" s="148">
        <v>2</v>
      </c>
      <c r="C129" s="177" t="str">
        <f>Attribute!C129</f>
        <v>---</v>
      </c>
      <c r="D129" s="125" t="str">
        <f>VLOOKUP(C129,'Talente &amp; Stuff'!FU:GV,2,FALSE)</f>
        <v>--/--/--</v>
      </c>
      <c r="E129" s="127" t="str">
        <f>VLOOKUP(C129,'Talente &amp; Stuff'!FU:GV,3,FALSE)</f>
        <v>-</v>
      </c>
      <c r="F129" s="114">
        <f>VLOOKUP(C129,'Talente &amp; Stuff'!FU:GV,4,FALSE)</f>
        <v>0</v>
      </c>
      <c r="G129" s="113">
        <f>VLOOKUP(C129,'Talente &amp; Stuff'!FU:GV,5,FALSE)</f>
        <v>0</v>
      </c>
      <c r="H129" s="113">
        <f>VLOOKUP(C129,'Talente &amp; Stuff'!FU:GV,6,FALSE)</f>
        <v>0</v>
      </c>
      <c r="I129" s="113">
        <f>VLOOKUP(C129,'Talente &amp; Stuff'!FU:GV,7,FALSE)</f>
        <v>0</v>
      </c>
      <c r="J129" s="113">
        <f>VLOOKUP(C129,'Talente &amp; Stuff'!FU:GV,8,FALSE)</f>
        <v>0</v>
      </c>
      <c r="K129" s="113">
        <f>VLOOKUP(C129,'Talente &amp; Stuff'!FU:GV,9,FALSE)</f>
        <v>0</v>
      </c>
      <c r="L129" s="113">
        <f>VLOOKUP(C129,'Talente &amp; Stuff'!FU:GV,10,FALSE)</f>
        <v>0</v>
      </c>
      <c r="M129" s="119">
        <f>VLOOKUP(C129,'Talente &amp; Stuff'!FU:GV,11,FALSE)</f>
        <v>0</v>
      </c>
      <c r="N129" s="47">
        <f>VLOOKUP(C129,'Talente &amp; Stuff'!FU:GV,12,FALSE)</f>
        <v>0</v>
      </c>
      <c r="O129" s="47">
        <f>VLOOKUP(C129,'Talente &amp; Stuff'!FU:GV,13,FALSE)</f>
        <v>0</v>
      </c>
      <c r="P129" s="119">
        <f>VLOOKUP(C129,'Talente &amp; Stuff'!FU:GV,14,FALSE)</f>
        <v>0</v>
      </c>
      <c r="Q129" s="114">
        <f>VLOOKUP(C129,'Talente &amp; Stuff'!FU:GV,15,FALSE)</f>
        <v>0</v>
      </c>
      <c r="R129" s="113">
        <f>VLOOKUP(C129,'Talente &amp; Stuff'!FU:GV,16,FALSE)</f>
        <v>0</v>
      </c>
      <c r="S129" s="119">
        <f>VLOOKUP(C129,'Talente &amp; Stuff'!FU:GV,17,FALSE)</f>
        <v>0</v>
      </c>
      <c r="T129" s="119">
        <f>VLOOKUP(C129,'Talente &amp; Stuff'!FU:GV,18,FALSE)</f>
        <v>0</v>
      </c>
      <c r="U129" s="89">
        <f>VLOOKUP(C129,'Talente &amp; Stuff'!FU:GV,19,FALSE)</f>
        <v>0</v>
      </c>
      <c r="V129" s="47">
        <f>VLOOKUP(C129,'Talente &amp; Stuff'!FU:GV,20,FALSE)</f>
        <v>0</v>
      </c>
      <c r="W129" s="127">
        <f>VLOOKUP(C129,'Talente &amp; Stuff'!FU:GV,21,FALSE)</f>
        <v>0</v>
      </c>
      <c r="X129" s="127">
        <f>VLOOKUP(C129,'Talente &amp; Stuff'!FU:GV,22,FALSE)</f>
        <v>0</v>
      </c>
      <c r="Y129" s="165">
        <f t="shared" si="14"/>
        <v>0</v>
      </c>
      <c r="Z129" s="44">
        <f t="shared" si="15"/>
        <v>0</v>
      </c>
      <c r="AA129" s="125">
        <f>VLOOKUP(C129,'Talente &amp; Stuff'!FU:GV,25,FALSE)</f>
        <v>0</v>
      </c>
      <c r="AB129" s="160">
        <f>VLOOKUP(C129,'Talente &amp; Stuff'!FU:GV,26,FALSE)</f>
        <v>0</v>
      </c>
      <c r="AC129" s="127">
        <f>VLOOKUP(C129,'Talente &amp; Stuff'!FU:GV,27,FALSE)</f>
        <v>0</v>
      </c>
      <c r="AD129" s="125">
        <f>VLOOKUP(C129,'Talente &amp; Stuff'!FU:GV,28,FALSE)</f>
        <v>0</v>
      </c>
      <c r="AE129" s="28"/>
    </row>
    <row r="130" spans="2:31" ht="15" hidden="1" customHeight="1" outlineLevel="2">
      <c r="B130" s="148">
        <v>3</v>
      </c>
      <c r="C130" s="177" t="str">
        <f>Attribute!C130</f>
        <v>---</v>
      </c>
      <c r="D130" s="125" t="str">
        <f>VLOOKUP(C130,'Talente &amp; Stuff'!FU:GV,2,FALSE)</f>
        <v>--/--/--</v>
      </c>
      <c r="E130" s="127" t="str">
        <f>VLOOKUP(C130,'Talente &amp; Stuff'!FU:GV,3,FALSE)</f>
        <v>-</v>
      </c>
      <c r="F130" s="114">
        <f>VLOOKUP(C130,'Talente &amp; Stuff'!FU:GV,4,FALSE)</f>
        <v>0</v>
      </c>
      <c r="G130" s="113">
        <f>VLOOKUP(C130,'Talente &amp; Stuff'!FU:GV,5,FALSE)</f>
        <v>0</v>
      </c>
      <c r="H130" s="113">
        <f>VLOOKUP(C130,'Talente &amp; Stuff'!FU:GV,6,FALSE)</f>
        <v>0</v>
      </c>
      <c r="I130" s="113">
        <f>VLOOKUP(C130,'Talente &amp; Stuff'!FU:GV,7,FALSE)</f>
        <v>0</v>
      </c>
      <c r="J130" s="113">
        <f>VLOOKUP(C130,'Talente &amp; Stuff'!FU:GV,8,FALSE)</f>
        <v>0</v>
      </c>
      <c r="K130" s="113">
        <f>VLOOKUP(C130,'Talente &amp; Stuff'!FU:GV,9,FALSE)</f>
        <v>0</v>
      </c>
      <c r="L130" s="113">
        <f>VLOOKUP(C130,'Talente &amp; Stuff'!FU:GV,10,FALSE)</f>
        <v>0</v>
      </c>
      <c r="M130" s="119">
        <f>VLOOKUP(C130,'Talente &amp; Stuff'!FU:GV,11,FALSE)</f>
        <v>0</v>
      </c>
      <c r="N130" s="47">
        <f>VLOOKUP(C130,'Talente &amp; Stuff'!FU:GV,12,FALSE)</f>
        <v>0</v>
      </c>
      <c r="O130" s="47">
        <f>VLOOKUP(C130,'Talente &amp; Stuff'!FU:GV,13,FALSE)</f>
        <v>0</v>
      </c>
      <c r="P130" s="119">
        <f>VLOOKUP(C130,'Talente &amp; Stuff'!FU:GV,14,FALSE)</f>
        <v>0</v>
      </c>
      <c r="Q130" s="114">
        <f>VLOOKUP(C130,'Talente &amp; Stuff'!FU:GV,15,FALSE)</f>
        <v>0</v>
      </c>
      <c r="R130" s="113">
        <f>VLOOKUP(C130,'Talente &amp; Stuff'!FU:GV,16,FALSE)</f>
        <v>0</v>
      </c>
      <c r="S130" s="119">
        <f>VLOOKUP(C130,'Talente &amp; Stuff'!FU:GV,17,FALSE)</f>
        <v>0</v>
      </c>
      <c r="T130" s="119">
        <f>VLOOKUP(C130,'Talente &amp; Stuff'!FU:GV,18,FALSE)</f>
        <v>0</v>
      </c>
      <c r="U130" s="89">
        <f>VLOOKUP(C130,'Talente &amp; Stuff'!FU:GV,19,FALSE)</f>
        <v>0</v>
      </c>
      <c r="V130" s="47">
        <f>VLOOKUP(C130,'Talente &amp; Stuff'!FU:GV,20,FALSE)</f>
        <v>0</v>
      </c>
      <c r="W130" s="127">
        <f>VLOOKUP(C130,'Talente &amp; Stuff'!FU:GV,21,FALSE)</f>
        <v>0</v>
      </c>
      <c r="X130" s="127">
        <f>VLOOKUP(C130,'Talente &amp; Stuff'!FU:GV,22,FALSE)</f>
        <v>0</v>
      </c>
      <c r="Y130" s="165">
        <f t="shared" si="14"/>
        <v>0</v>
      </c>
      <c r="Z130" s="44">
        <f t="shared" si="15"/>
        <v>0</v>
      </c>
      <c r="AA130" s="125">
        <f>VLOOKUP(C130,'Talente &amp; Stuff'!FU:GV,25,FALSE)</f>
        <v>0</v>
      </c>
      <c r="AB130" s="160">
        <f>VLOOKUP(C130,'Talente &amp; Stuff'!FU:GV,26,FALSE)</f>
        <v>0</v>
      </c>
      <c r="AC130" s="127">
        <f>VLOOKUP(C130,'Talente &amp; Stuff'!FU:GV,27,FALSE)</f>
        <v>0</v>
      </c>
      <c r="AD130" s="125">
        <f>VLOOKUP(C130,'Talente &amp; Stuff'!FU:GV,28,FALSE)</f>
        <v>0</v>
      </c>
      <c r="AE130" s="28"/>
    </row>
    <row r="131" spans="2:31" ht="15" hidden="1" customHeight="1" outlineLevel="2">
      <c r="B131" s="148">
        <v>4</v>
      </c>
      <c r="C131" s="177" t="str">
        <f>Attribute!C131</f>
        <v>---</v>
      </c>
      <c r="D131" s="125" t="str">
        <f>VLOOKUP(C131,'Talente &amp; Stuff'!FU:GV,2,FALSE)</f>
        <v>--/--/--</v>
      </c>
      <c r="E131" s="127" t="str">
        <f>VLOOKUP(C131,'Talente &amp; Stuff'!FU:GV,3,FALSE)</f>
        <v>-</v>
      </c>
      <c r="F131" s="114">
        <f>VLOOKUP(C131,'Talente &amp; Stuff'!FU:GV,4,FALSE)</f>
        <v>0</v>
      </c>
      <c r="G131" s="113">
        <f>VLOOKUP(C131,'Talente &amp; Stuff'!FU:GV,5,FALSE)</f>
        <v>0</v>
      </c>
      <c r="H131" s="113">
        <f>VLOOKUP(C131,'Talente &amp; Stuff'!FU:GV,6,FALSE)</f>
        <v>0</v>
      </c>
      <c r="I131" s="113">
        <f>VLOOKUP(C131,'Talente &amp; Stuff'!FU:GV,7,FALSE)</f>
        <v>0</v>
      </c>
      <c r="J131" s="113">
        <f>VLOOKUP(C131,'Talente &amp; Stuff'!FU:GV,8,FALSE)</f>
        <v>0</v>
      </c>
      <c r="K131" s="113">
        <f>VLOOKUP(C131,'Talente &amp; Stuff'!FU:GV,9,FALSE)</f>
        <v>0</v>
      </c>
      <c r="L131" s="113">
        <f>VLOOKUP(C131,'Talente &amp; Stuff'!FU:GV,10,FALSE)</f>
        <v>0</v>
      </c>
      <c r="M131" s="119">
        <f>VLOOKUP(C131,'Talente &amp; Stuff'!FU:GV,11,FALSE)</f>
        <v>0</v>
      </c>
      <c r="N131" s="47">
        <f>VLOOKUP(C131,'Talente &amp; Stuff'!FU:GV,12,FALSE)</f>
        <v>0</v>
      </c>
      <c r="O131" s="47">
        <f>VLOOKUP(C131,'Talente &amp; Stuff'!FU:GV,13,FALSE)</f>
        <v>0</v>
      </c>
      <c r="P131" s="119">
        <f>VLOOKUP(C131,'Talente &amp; Stuff'!FU:GV,14,FALSE)</f>
        <v>0</v>
      </c>
      <c r="Q131" s="114">
        <f>VLOOKUP(C131,'Talente &amp; Stuff'!FU:GV,15,FALSE)</f>
        <v>0</v>
      </c>
      <c r="R131" s="113">
        <f>VLOOKUP(C131,'Talente &amp; Stuff'!FU:GV,16,FALSE)</f>
        <v>0</v>
      </c>
      <c r="S131" s="119">
        <f>VLOOKUP(C131,'Talente &amp; Stuff'!FU:GV,17,FALSE)</f>
        <v>0</v>
      </c>
      <c r="T131" s="119">
        <f>VLOOKUP(C131,'Talente &amp; Stuff'!FU:GV,18,FALSE)</f>
        <v>0</v>
      </c>
      <c r="U131" s="89">
        <f>VLOOKUP(C131,'Talente &amp; Stuff'!FU:GV,19,FALSE)</f>
        <v>0</v>
      </c>
      <c r="V131" s="47">
        <f>VLOOKUP(C131,'Talente &amp; Stuff'!FU:GV,20,FALSE)</f>
        <v>0</v>
      </c>
      <c r="W131" s="127">
        <f>VLOOKUP(C131,'Talente &amp; Stuff'!FU:GV,21,FALSE)</f>
        <v>0</v>
      </c>
      <c r="X131" s="127">
        <f>VLOOKUP(C131,'Talente &amp; Stuff'!FU:GV,22,FALSE)</f>
        <v>0</v>
      </c>
      <c r="Y131" s="165">
        <f t="shared" si="14"/>
        <v>0</v>
      </c>
      <c r="Z131" s="44">
        <f t="shared" si="15"/>
        <v>0</v>
      </c>
      <c r="AA131" s="125">
        <f>VLOOKUP(C131,'Talente &amp; Stuff'!FU:GV,25,FALSE)</f>
        <v>0</v>
      </c>
      <c r="AB131" s="160">
        <f>VLOOKUP(C131,'Talente &amp; Stuff'!FU:GV,26,FALSE)</f>
        <v>0</v>
      </c>
      <c r="AC131" s="127">
        <f>VLOOKUP(C131,'Talente &amp; Stuff'!FU:GV,27,FALSE)</f>
        <v>0</v>
      </c>
      <c r="AD131" s="125">
        <f>VLOOKUP(C131,'Talente &amp; Stuff'!FU:GV,28,FALSE)</f>
        <v>0</v>
      </c>
      <c r="AE131" s="28"/>
    </row>
    <row r="132" spans="2:31" ht="15" hidden="1" customHeight="1" outlineLevel="2">
      <c r="B132" s="148">
        <v>5</v>
      </c>
      <c r="C132" s="177" t="str">
        <f>Attribute!C132</f>
        <v>---</v>
      </c>
      <c r="D132" s="125" t="str">
        <f>VLOOKUP(C132,'Talente &amp; Stuff'!FU:GV,2,FALSE)</f>
        <v>--/--/--</v>
      </c>
      <c r="E132" s="127" t="str">
        <f>VLOOKUP(C132,'Talente &amp; Stuff'!FU:GV,3,FALSE)</f>
        <v>-</v>
      </c>
      <c r="F132" s="114">
        <f>VLOOKUP(C132,'Talente &amp; Stuff'!FU:GV,4,FALSE)</f>
        <v>0</v>
      </c>
      <c r="G132" s="113">
        <f>VLOOKUP(C132,'Talente &amp; Stuff'!FU:GV,5,FALSE)</f>
        <v>0</v>
      </c>
      <c r="H132" s="113">
        <f>VLOOKUP(C132,'Talente &amp; Stuff'!FU:GV,6,FALSE)</f>
        <v>0</v>
      </c>
      <c r="I132" s="113">
        <f>VLOOKUP(C132,'Talente &amp; Stuff'!FU:GV,7,FALSE)</f>
        <v>0</v>
      </c>
      <c r="J132" s="113">
        <f>VLOOKUP(C132,'Talente &amp; Stuff'!FU:GV,8,FALSE)</f>
        <v>0</v>
      </c>
      <c r="K132" s="113">
        <f>VLOOKUP(C132,'Talente &amp; Stuff'!FU:GV,9,FALSE)</f>
        <v>0</v>
      </c>
      <c r="L132" s="113">
        <f>VLOOKUP(C132,'Talente &amp; Stuff'!FU:GV,10,FALSE)</f>
        <v>0</v>
      </c>
      <c r="M132" s="119">
        <f>VLOOKUP(C132,'Talente &amp; Stuff'!FU:GV,11,FALSE)</f>
        <v>0</v>
      </c>
      <c r="N132" s="47">
        <f>VLOOKUP(C132,'Talente &amp; Stuff'!FU:GV,12,FALSE)</f>
        <v>0</v>
      </c>
      <c r="O132" s="47">
        <f>VLOOKUP(C132,'Talente &amp; Stuff'!FU:GV,13,FALSE)</f>
        <v>0</v>
      </c>
      <c r="P132" s="119">
        <f>VLOOKUP(C132,'Talente &amp; Stuff'!FU:GV,14,FALSE)</f>
        <v>0</v>
      </c>
      <c r="Q132" s="114">
        <f>VLOOKUP(C132,'Talente &amp; Stuff'!FU:GV,15,FALSE)</f>
        <v>0</v>
      </c>
      <c r="R132" s="113">
        <f>VLOOKUP(C132,'Talente &amp; Stuff'!FU:GV,16,FALSE)</f>
        <v>0</v>
      </c>
      <c r="S132" s="119">
        <f>VLOOKUP(C132,'Talente &amp; Stuff'!FU:GV,17,FALSE)</f>
        <v>0</v>
      </c>
      <c r="T132" s="119">
        <f>VLOOKUP(C132,'Talente &amp; Stuff'!FU:GV,18,FALSE)</f>
        <v>0</v>
      </c>
      <c r="U132" s="89">
        <f>VLOOKUP(C132,'Talente &amp; Stuff'!FU:GV,19,FALSE)</f>
        <v>0</v>
      </c>
      <c r="V132" s="47">
        <f>VLOOKUP(C132,'Talente &amp; Stuff'!FU:GV,20,FALSE)</f>
        <v>0</v>
      </c>
      <c r="W132" s="127">
        <f>VLOOKUP(C132,'Talente &amp; Stuff'!FU:GV,21,FALSE)</f>
        <v>0</v>
      </c>
      <c r="X132" s="127">
        <f>VLOOKUP(C132,'Talente &amp; Stuff'!FU:GV,22,FALSE)</f>
        <v>0</v>
      </c>
      <c r="Y132" s="165">
        <f t="shared" si="14"/>
        <v>0</v>
      </c>
      <c r="Z132" s="44">
        <f t="shared" si="15"/>
        <v>0</v>
      </c>
      <c r="AA132" s="125">
        <f>VLOOKUP(C132,'Talente &amp; Stuff'!FU:GV,25,FALSE)</f>
        <v>0</v>
      </c>
      <c r="AB132" s="160">
        <f>VLOOKUP(C132,'Talente &amp; Stuff'!FU:GV,26,FALSE)</f>
        <v>0</v>
      </c>
      <c r="AC132" s="127">
        <f>VLOOKUP(C132,'Talente &amp; Stuff'!FU:GV,27,FALSE)</f>
        <v>0</v>
      </c>
      <c r="AD132" s="125">
        <f>VLOOKUP(C132,'Talente &amp; Stuff'!FU:GV,28,FALSE)</f>
        <v>0</v>
      </c>
      <c r="AE132" s="28"/>
    </row>
    <row r="133" spans="2:31" ht="15" hidden="1" customHeight="1" outlineLevel="2">
      <c r="B133" s="148">
        <v>6</v>
      </c>
      <c r="C133" s="177" t="str">
        <f>Attribute!C133</f>
        <v>---</v>
      </c>
      <c r="D133" s="125" t="str">
        <f>VLOOKUP(C133,'Talente &amp; Stuff'!FU:GV,2,FALSE)</f>
        <v>--/--/--</v>
      </c>
      <c r="E133" s="127" t="str">
        <f>VLOOKUP(C133,'Talente &amp; Stuff'!FU:GV,3,FALSE)</f>
        <v>-</v>
      </c>
      <c r="F133" s="114">
        <f>VLOOKUP(C133,'Talente &amp; Stuff'!FU:GV,4,FALSE)</f>
        <v>0</v>
      </c>
      <c r="G133" s="113">
        <f>VLOOKUP(C133,'Talente &amp; Stuff'!FU:GV,5,FALSE)</f>
        <v>0</v>
      </c>
      <c r="H133" s="113">
        <f>VLOOKUP(C133,'Talente &amp; Stuff'!FU:GV,6,FALSE)</f>
        <v>0</v>
      </c>
      <c r="I133" s="113">
        <f>VLOOKUP(C133,'Talente &amp; Stuff'!FU:GV,7,FALSE)</f>
        <v>0</v>
      </c>
      <c r="J133" s="113">
        <f>VLOOKUP(C133,'Talente &amp; Stuff'!FU:GV,8,FALSE)</f>
        <v>0</v>
      </c>
      <c r="K133" s="113">
        <f>VLOOKUP(C133,'Talente &amp; Stuff'!FU:GV,9,FALSE)</f>
        <v>0</v>
      </c>
      <c r="L133" s="113">
        <f>VLOOKUP(C133,'Talente &amp; Stuff'!FU:GV,10,FALSE)</f>
        <v>0</v>
      </c>
      <c r="M133" s="119">
        <f>VLOOKUP(C133,'Talente &amp; Stuff'!FU:GV,11,FALSE)</f>
        <v>0</v>
      </c>
      <c r="N133" s="47">
        <f>VLOOKUP(C133,'Talente &amp; Stuff'!FU:GV,12,FALSE)</f>
        <v>0</v>
      </c>
      <c r="O133" s="47">
        <f>VLOOKUP(C133,'Talente &amp; Stuff'!FU:GV,13,FALSE)</f>
        <v>0</v>
      </c>
      <c r="P133" s="119">
        <f>VLOOKUP(C133,'Talente &amp; Stuff'!FU:GV,14,FALSE)</f>
        <v>0</v>
      </c>
      <c r="Q133" s="114">
        <f>VLOOKUP(C133,'Talente &amp; Stuff'!FU:GV,15,FALSE)</f>
        <v>0</v>
      </c>
      <c r="R133" s="113">
        <f>VLOOKUP(C133,'Talente &amp; Stuff'!FU:GV,16,FALSE)</f>
        <v>0</v>
      </c>
      <c r="S133" s="119">
        <f>VLOOKUP(C133,'Talente &amp; Stuff'!FU:GV,17,FALSE)</f>
        <v>0</v>
      </c>
      <c r="T133" s="119">
        <f>VLOOKUP(C133,'Talente &amp; Stuff'!FU:GV,18,FALSE)</f>
        <v>0</v>
      </c>
      <c r="U133" s="89">
        <f>VLOOKUP(C133,'Talente &amp; Stuff'!FU:GV,19,FALSE)</f>
        <v>0</v>
      </c>
      <c r="V133" s="47">
        <f>VLOOKUP(C133,'Talente &amp; Stuff'!FU:GV,20,FALSE)</f>
        <v>0</v>
      </c>
      <c r="W133" s="127">
        <f>VLOOKUP(C133,'Talente &amp; Stuff'!FU:GV,21,FALSE)</f>
        <v>0</v>
      </c>
      <c r="X133" s="127">
        <f>VLOOKUP(C133,'Talente &amp; Stuff'!FU:GV,22,FALSE)</f>
        <v>0</v>
      </c>
      <c r="Y133" s="165">
        <f t="shared" si="14"/>
        <v>0</v>
      </c>
      <c r="Z133" s="44">
        <f t="shared" si="15"/>
        <v>0</v>
      </c>
      <c r="AA133" s="125">
        <f>VLOOKUP(C133,'Talente &amp; Stuff'!FU:GV,25,FALSE)</f>
        <v>0</v>
      </c>
      <c r="AB133" s="160">
        <f>VLOOKUP(C133,'Talente &amp; Stuff'!FU:GV,26,FALSE)</f>
        <v>0</v>
      </c>
      <c r="AC133" s="127">
        <f>VLOOKUP(C133,'Talente &amp; Stuff'!FU:GV,27,FALSE)</f>
        <v>0</v>
      </c>
      <c r="AD133" s="125">
        <f>VLOOKUP(C133,'Talente &amp; Stuff'!FU:GV,28,FALSE)</f>
        <v>0</v>
      </c>
      <c r="AE133" s="28"/>
    </row>
    <row r="134" spans="2:31" ht="15" hidden="1" customHeight="1" outlineLevel="2">
      <c r="B134" s="148">
        <v>7</v>
      </c>
      <c r="C134" s="177" t="str">
        <f>Attribute!C134</f>
        <v>---</v>
      </c>
      <c r="D134" s="125" t="str">
        <f>VLOOKUP(C134,'Talente &amp; Stuff'!FU:GV,2,FALSE)</f>
        <v>--/--/--</v>
      </c>
      <c r="E134" s="127" t="str">
        <f>VLOOKUP(C134,'Talente &amp; Stuff'!FU:GV,3,FALSE)</f>
        <v>-</v>
      </c>
      <c r="F134" s="114">
        <f>VLOOKUP(C134,'Talente &amp; Stuff'!FU:GV,4,FALSE)</f>
        <v>0</v>
      </c>
      <c r="G134" s="113">
        <f>VLOOKUP(C134,'Talente &amp; Stuff'!FU:GV,5,FALSE)</f>
        <v>0</v>
      </c>
      <c r="H134" s="113">
        <f>VLOOKUP(C134,'Talente &amp; Stuff'!FU:GV,6,FALSE)</f>
        <v>0</v>
      </c>
      <c r="I134" s="113">
        <f>VLOOKUP(C134,'Talente &amp; Stuff'!FU:GV,7,FALSE)</f>
        <v>0</v>
      </c>
      <c r="J134" s="113">
        <f>VLOOKUP(C134,'Talente &amp; Stuff'!FU:GV,8,FALSE)</f>
        <v>0</v>
      </c>
      <c r="K134" s="113">
        <f>VLOOKUP(C134,'Talente &amp; Stuff'!FU:GV,9,FALSE)</f>
        <v>0</v>
      </c>
      <c r="L134" s="113">
        <f>VLOOKUP(C134,'Talente &amp; Stuff'!FU:GV,10,FALSE)</f>
        <v>0</v>
      </c>
      <c r="M134" s="119">
        <f>VLOOKUP(C134,'Talente &amp; Stuff'!FU:GV,11,FALSE)</f>
        <v>0</v>
      </c>
      <c r="N134" s="47">
        <f>VLOOKUP(C134,'Talente &amp; Stuff'!FU:GV,12,FALSE)</f>
        <v>0</v>
      </c>
      <c r="O134" s="47">
        <f>VLOOKUP(C134,'Talente &amp; Stuff'!FU:GV,13,FALSE)</f>
        <v>0</v>
      </c>
      <c r="P134" s="119">
        <f>VLOOKUP(C134,'Talente &amp; Stuff'!FU:GV,14,FALSE)</f>
        <v>0</v>
      </c>
      <c r="Q134" s="114">
        <f>VLOOKUP(C134,'Talente &amp; Stuff'!FU:GV,15,FALSE)</f>
        <v>0</v>
      </c>
      <c r="R134" s="113">
        <f>VLOOKUP(C134,'Talente &amp; Stuff'!FU:GV,16,FALSE)</f>
        <v>0</v>
      </c>
      <c r="S134" s="119">
        <f>VLOOKUP(C134,'Talente &amp; Stuff'!FU:GV,17,FALSE)</f>
        <v>0</v>
      </c>
      <c r="T134" s="119">
        <f>VLOOKUP(C134,'Talente &amp; Stuff'!FU:GV,18,FALSE)</f>
        <v>0</v>
      </c>
      <c r="U134" s="89">
        <f>VLOOKUP(C134,'Talente &amp; Stuff'!FU:GV,19,FALSE)</f>
        <v>0</v>
      </c>
      <c r="V134" s="47">
        <f>VLOOKUP(C134,'Talente &amp; Stuff'!FU:GV,20,FALSE)</f>
        <v>0</v>
      </c>
      <c r="W134" s="127">
        <f>VLOOKUP(C134,'Talente &amp; Stuff'!FU:GV,21,FALSE)</f>
        <v>0</v>
      </c>
      <c r="X134" s="127">
        <f>VLOOKUP(C134,'Talente &amp; Stuff'!FU:GV,22,FALSE)</f>
        <v>0</v>
      </c>
      <c r="Y134" s="165">
        <f t="shared" si="14"/>
        <v>0</v>
      </c>
      <c r="Z134" s="44">
        <f t="shared" si="15"/>
        <v>0</v>
      </c>
      <c r="AA134" s="125">
        <f>VLOOKUP(C134,'Talente &amp; Stuff'!FU:GV,25,FALSE)</f>
        <v>0</v>
      </c>
      <c r="AB134" s="160">
        <f>VLOOKUP(C134,'Talente &amp; Stuff'!FU:GV,26,FALSE)</f>
        <v>0</v>
      </c>
      <c r="AC134" s="127">
        <f>VLOOKUP(C134,'Talente &amp; Stuff'!FU:GV,27,FALSE)</f>
        <v>0</v>
      </c>
      <c r="AD134" s="125">
        <f>VLOOKUP(C134,'Talente &amp; Stuff'!FU:GV,28,FALSE)</f>
        <v>0</v>
      </c>
      <c r="AE134" s="28"/>
    </row>
    <row r="135" spans="2:31" ht="15" hidden="1" customHeight="1" outlineLevel="2">
      <c r="B135" s="148">
        <v>8</v>
      </c>
      <c r="C135" s="177" t="str">
        <f>Attribute!C135</f>
        <v>---</v>
      </c>
      <c r="D135" s="125" t="str">
        <f>VLOOKUP(C135,'Talente &amp; Stuff'!FU:GV,2,FALSE)</f>
        <v>--/--/--</v>
      </c>
      <c r="E135" s="127" t="str">
        <f>VLOOKUP(C135,'Talente &amp; Stuff'!FU:GV,3,FALSE)</f>
        <v>-</v>
      </c>
      <c r="F135" s="114">
        <f>VLOOKUP(C135,'Talente &amp; Stuff'!FU:GV,4,FALSE)</f>
        <v>0</v>
      </c>
      <c r="G135" s="113">
        <f>VLOOKUP(C135,'Talente &amp; Stuff'!FU:GV,5,FALSE)</f>
        <v>0</v>
      </c>
      <c r="H135" s="113">
        <f>VLOOKUP(C135,'Talente &amp; Stuff'!FU:GV,6,FALSE)</f>
        <v>0</v>
      </c>
      <c r="I135" s="113">
        <f>VLOOKUP(C135,'Talente &amp; Stuff'!FU:GV,7,FALSE)</f>
        <v>0</v>
      </c>
      <c r="J135" s="113">
        <f>VLOOKUP(C135,'Talente &amp; Stuff'!FU:GV,8,FALSE)</f>
        <v>0</v>
      </c>
      <c r="K135" s="113">
        <f>VLOOKUP(C135,'Talente &amp; Stuff'!FU:GV,9,FALSE)</f>
        <v>0</v>
      </c>
      <c r="L135" s="113">
        <f>VLOOKUP(C135,'Talente &amp; Stuff'!FU:GV,10,FALSE)</f>
        <v>0</v>
      </c>
      <c r="M135" s="119">
        <f>VLOOKUP(C135,'Talente &amp; Stuff'!FU:GV,11,FALSE)</f>
        <v>0</v>
      </c>
      <c r="N135" s="47">
        <f>VLOOKUP(C135,'Talente &amp; Stuff'!FU:GV,12,FALSE)</f>
        <v>0</v>
      </c>
      <c r="O135" s="47">
        <f>VLOOKUP(C135,'Talente &amp; Stuff'!FU:GV,13,FALSE)</f>
        <v>0</v>
      </c>
      <c r="P135" s="119">
        <f>VLOOKUP(C135,'Talente &amp; Stuff'!FU:GV,14,FALSE)</f>
        <v>0</v>
      </c>
      <c r="Q135" s="114">
        <f>VLOOKUP(C135,'Talente &amp; Stuff'!FU:GV,15,FALSE)</f>
        <v>0</v>
      </c>
      <c r="R135" s="113">
        <f>VLOOKUP(C135,'Talente &amp; Stuff'!FU:GV,16,FALSE)</f>
        <v>0</v>
      </c>
      <c r="S135" s="119">
        <f>VLOOKUP(C135,'Talente &amp; Stuff'!FU:GV,17,FALSE)</f>
        <v>0</v>
      </c>
      <c r="T135" s="119">
        <f>VLOOKUP(C135,'Talente &amp; Stuff'!FU:GV,18,FALSE)</f>
        <v>0</v>
      </c>
      <c r="U135" s="89">
        <f>VLOOKUP(C135,'Talente &amp; Stuff'!FU:GV,19,FALSE)</f>
        <v>0</v>
      </c>
      <c r="V135" s="47">
        <f>VLOOKUP(C135,'Talente &amp; Stuff'!FU:GV,20,FALSE)</f>
        <v>0</v>
      </c>
      <c r="W135" s="127">
        <f>VLOOKUP(C135,'Talente &amp; Stuff'!FU:GV,21,FALSE)</f>
        <v>0</v>
      </c>
      <c r="X135" s="127">
        <f>VLOOKUP(C135,'Talente &amp; Stuff'!FU:GV,22,FALSE)</f>
        <v>0</v>
      </c>
      <c r="Y135" s="165">
        <f t="shared" si="14"/>
        <v>0</v>
      </c>
      <c r="Z135" s="44">
        <f t="shared" si="15"/>
        <v>0</v>
      </c>
      <c r="AA135" s="125">
        <f>VLOOKUP(C135,'Talente &amp; Stuff'!FU:GV,25,FALSE)</f>
        <v>0</v>
      </c>
      <c r="AB135" s="160">
        <f>VLOOKUP(C135,'Talente &amp; Stuff'!FU:GV,26,FALSE)</f>
        <v>0</v>
      </c>
      <c r="AC135" s="127">
        <f>VLOOKUP(C135,'Talente &amp; Stuff'!FU:GV,27,FALSE)</f>
        <v>0</v>
      </c>
      <c r="AD135" s="125">
        <f>VLOOKUP(C135,'Talente &amp; Stuff'!FU:GV,28,FALSE)</f>
        <v>0</v>
      </c>
      <c r="AE135" s="28"/>
    </row>
    <row r="136" spans="2:31" ht="15" hidden="1" customHeight="1" outlineLevel="2">
      <c r="B136" s="148">
        <v>9</v>
      </c>
      <c r="C136" s="177" t="str">
        <f>Attribute!C136</f>
        <v>---</v>
      </c>
      <c r="D136" s="125" t="str">
        <f>VLOOKUP(C136,'Talente &amp; Stuff'!FU:GV,2,FALSE)</f>
        <v>--/--/--</v>
      </c>
      <c r="E136" s="127" t="str">
        <f>VLOOKUP(C136,'Talente &amp; Stuff'!FU:GV,3,FALSE)</f>
        <v>-</v>
      </c>
      <c r="F136" s="114">
        <f>VLOOKUP(C136,'Talente &amp; Stuff'!FU:GV,4,FALSE)</f>
        <v>0</v>
      </c>
      <c r="G136" s="113">
        <f>VLOOKUP(C136,'Talente &amp; Stuff'!FU:GV,5,FALSE)</f>
        <v>0</v>
      </c>
      <c r="H136" s="113">
        <f>VLOOKUP(C136,'Talente &amp; Stuff'!FU:GV,6,FALSE)</f>
        <v>0</v>
      </c>
      <c r="I136" s="113">
        <f>VLOOKUP(C136,'Talente &amp; Stuff'!FU:GV,7,FALSE)</f>
        <v>0</v>
      </c>
      <c r="J136" s="113">
        <f>VLOOKUP(C136,'Talente &amp; Stuff'!FU:GV,8,FALSE)</f>
        <v>0</v>
      </c>
      <c r="K136" s="113">
        <f>VLOOKUP(C136,'Talente &amp; Stuff'!FU:GV,9,FALSE)</f>
        <v>0</v>
      </c>
      <c r="L136" s="113">
        <f>VLOOKUP(C136,'Talente &amp; Stuff'!FU:GV,10,FALSE)</f>
        <v>0</v>
      </c>
      <c r="M136" s="119">
        <f>VLOOKUP(C136,'Talente &amp; Stuff'!FU:GV,11,FALSE)</f>
        <v>0</v>
      </c>
      <c r="N136" s="47">
        <f>VLOOKUP(C136,'Talente &amp; Stuff'!FU:GV,12,FALSE)</f>
        <v>0</v>
      </c>
      <c r="O136" s="47">
        <f>VLOOKUP(C136,'Talente &amp; Stuff'!FU:GV,13,FALSE)</f>
        <v>0</v>
      </c>
      <c r="P136" s="119">
        <f>VLOOKUP(C136,'Talente &amp; Stuff'!FU:GV,14,FALSE)</f>
        <v>0</v>
      </c>
      <c r="Q136" s="114">
        <f>VLOOKUP(C136,'Talente &amp; Stuff'!FU:GV,15,FALSE)</f>
        <v>0</v>
      </c>
      <c r="R136" s="113">
        <f>VLOOKUP(C136,'Talente &amp; Stuff'!FU:GV,16,FALSE)</f>
        <v>0</v>
      </c>
      <c r="S136" s="119">
        <f>VLOOKUP(C136,'Talente &amp; Stuff'!FU:GV,17,FALSE)</f>
        <v>0</v>
      </c>
      <c r="T136" s="119">
        <f>VLOOKUP(C136,'Talente &amp; Stuff'!FU:GV,18,FALSE)</f>
        <v>0</v>
      </c>
      <c r="U136" s="89">
        <f>VLOOKUP(C136,'Talente &amp; Stuff'!FU:GV,19,FALSE)</f>
        <v>0</v>
      </c>
      <c r="V136" s="47">
        <f>VLOOKUP(C136,'Talente &amp; Stuff'!FU:GV,20,FALSE)</f>
        <v>0</v>
      </c>
      <c r="W136" s="127">
        <f>VLOOKUP(C136,'Talente &amp; Stuff'!FU:GV,21,FALSE)</f>
        <v>0</v>
      </c>
      <c r="X136" s="127">
        <f>VLOOKUP(C136,'Talente &amp; Stuff'!FU:GV,22,FALSE)</f>
        <v>0</v>
      </c>
      <c r="Y136" s="165">
        <f t="shared" si="14"/>
        <v>0</v>
      </c>
      <c r="Z136" s="44">
        <f t="shared" si="15"/>
        <v>0</v>
      </c>
      <c r="AA136" s="125">
        <f>VLOOKUP(C136,'Talente &amp; Stuff'!FU:GV,25,FALSE)</f>
        <v>0</v>
      </c>
      <c r="AB136" s="160">
        <f>VLOOKUP(C136,'Talente &amp; Stuff'!FU:GV,26,FALSE)</f>
        <v>0</v>
      </c>
      <c r="AC136" s="127">
        <f>VLOOKUP(C136,'Talente &amp; Stuff'!FU:GV,27,FALSE)</f>
        <v>0</v>
      </c>
      <c r="AD136" s="125">
        <f>VLOOKUP(C136,'Talente &amp; Stuff'!FU:GV,28,FALSE)</f>
        <v>0</v>
      </c>
      <c r="AE136" s="28"/>
    </row>
    <row r="137" spans="2:31" ht="15" hidden="1" customHeight="1" outlineLevel="2">
      <c r="B137" s="148">
        <v>10</v>
      </c>
      <c r="C137" s="177" t="str">
        <f>Attribute!C137</f>
        <v>---</v>
      </c>
      <c r="D137" s="125" t="str">
        <f>VLOOKUP(C137,'Talente &amp; Stuff'!FU:GV,2,FALSE)</f>
        <v>--/--/--</v>
      </c>
      <c r="E137" s="127" t="str">
        <f>VLOOKUP(C137,'Talente &amp; Stuff'!FU:GV,3,FALSE)</f>
        <v>-</v>
      </c>
      <c r="F137" s="114">
        <f>VLOOKUP(C137,'Talente &amp; Stuff'!FU:GV,4,FALSE)</f>
        <v>0</v>
      </c>
      <c r="G137" s="113">
        <f>VLOOKUP(C137,'Talente &amp; Stuff'!FU:GV,5,FALSE)</f>
        <v>0</v>
      </c>
      <c r="H137" s="113">
        <f>VLOOKUP(C137,'Talente &amp; Stuff'!FU:GV,6,FALSE)</f>
        <v>0</v>
      </c>
      <c r="I137" s="113">
        <f>VLOOKUP(C137,'Talente &amp; Stuff'!FU:GV,7,FALSE)</f>
        <v>0</v>
      </c>
      <c r="J137" s="113">
        <f>VLOOKUP(C137,'Talente &amp; Stuff'!FU:GV,8,FALSE)</f>
        <v>0</v>
      </c>
      <c r="K137" s="113">
        <f>VLOOKUP(C137,'Talente &amp; Stuff'!FU:GV,9,FALSE)</f>
        <v>0</v>
      </c>
      <c r="L137" s="113">
        <f>VLOOKUP(C137,'Talente &amp; Stuff'!FU:GV,10,FALSE)</f>
        <v>0</v>
      </c>
      <c r="M137" s="119">
        <f>VLOOKUP(C137,'Talente &amp; Stuff'!FU:GV,11,FALSE)</f>
        <v>0</v>
      </c>
      <c r="N137" s="47">
        <f>VLOOKUP(C137,'Talente &amp; Stuff'!FU:GV,12,FALSE)</f>
        <v>0</v>
      </c>
      <c r="O137" s="47">
        <f>VLOOKUP(C137,'Talente &amp; Stuff'!FU:GV,13,FALSE)</f>
        <v>0</v>
      </c>
      <c r="P137" s="119">
        <f>VLOOKUP(C137,'Talente &amp; Stuff'!FU:GV,14,FALSE)</f>
        <v>0</v>
      </c>
      <c r="Q137" s="114">
        <f>VLOOKUP(C137,'Talente &amp; Stuff'!FU:GV,15,FALSE)</f>
        <v>0</v>
      </c>
      <c r="R137" s="113">
        <f>VLOOKUP(C137,'Talente &amp; Stuff'!FU:GV,16,FALSE)</f>
        <v>0</v>
      </c>
      <c r="S137" s="119">
        <f>VLOOKUP(C137,'Talente &amp; Stuff'!FU:GV,17,FALSE)</f>
        <v>0</v>
      </c>
      <c r="T137" s="119">
        <f>VLOOKUP(C137,'Talente &amp; Stuff'!FU:GV,18,FALSE)</f>
        <v>0</v>
      </c>
      <c r="U137" s="89">
        <f>VLOOKUP(C137,'Talente &amp; Stuff'!FU:GV,19,FALSE)</f>
        <v>0</v>
      </c>
      <c r="V137" s="47">
        <f>VLOOKUP(C137,'Talente &amp; Stuff'!FU:GV,20,FALSE)</f>
        <v>0</v>
      </c>
      <c r="W137" s="127">
        <f>VLOOKUP(C137,'Talente &amp; Stuff'!FU:GV,21,FALSE)</f>
        <v>0</v>
      </c>
      <c r="X137" s="127">
        <f>VLOOKUP(C137,'Talente &amp; Stuff'!FU:GV,22,FALSE)</f>
        <v>0</v>
      </c>
      <c r="Y137" s="165">
        <f t="shared" si="14"/>
        <v>0</v>
      </c>
      <c r="Z137" s="44">
        <f t="shared" si="15"/>
        <v>0</v>
      </c>
      <c r="AA137" s="125">
        <f>VLOOKUP(C137,'Talente &amp; Stuff'!FU:GV,25,FALSE)</f>
        <v>0</v>
      </c>
      <c r="AB137" s="160">
        <f>VLOOKUP(C137,'Talente &amp; Stuff'!FU:GV,26,FALSE)</f>
        <v>0</v>
      </c>
      <c r="AC137" s="127">
        <f>VLOOKUP(C137,'Talente &amp; Stuff'!FU:GV,27,FALSE)</f>
        <v>0</v>
      </c>
      <c r="AD137" s="125">
        <f>VLOOKUP(C137,'Talente &amp; Stuff'!FU:GV,28,FALSE)</f>
        <v>0</v>
      </c>
      <c r="AE137" s="28"/>
    </row>
    <row r="138" spans="2:31" ht="15" hidden="1" customHeight="1" outlineLevel="2">
      <c r="B138" s="148">
        <v>11</v>
      </c>
      <c r="C138" s="177" t="str">
        <f>Attribute!C138</f>
        <v>---</v>
      </c>
      <c r="D138" s="125" t="str">
        <f>VLOOKUP(C138,'Talente &amp; Stuff'!FU:GV,2,FALSE)</f>
        <v>--/--/--</v>
      </c>
      <c r="E138" s="127" t="str">
        <f>VLOOKUP(C138,'Talente &amp; Stuff'!FU:GV,3,FALSE)</f>
        <v>-</v>
      </c>
      <c r="F138" s="114">
        <f>VLOOKUP(C138,'Talente &amp; Stuff'!FU:GV,4,FALSE)</f>
        <v>0</v>
      </c>
      <c r="G138" s="113">
        <f>VLOOKUP(C138,'Talente &amp; Stuff'!FU:GV,5,FALSE)</f>
        <v>0</v>
      </c>
      <c r="H138" s="113">
        <f>VLOOKUP(C138,'Talente &amp; Stuff'!FU:GV,6,FALSE)</f>
        <v>0</v>
      </c>
      <c r="I138" s="113">
        <f>VLOOKUP(C138,'Talente &amp; Stuff'!FU:GV,7,FALSE)</f>
        <v>0</v>
      </c>
      <c r="J138" s="113">
        <f>VLOOKUP(C138,'Talente &amp; Stuff'!FU:GV,8,FALSE)</f>
        <v>0</v>
      </c>
      <c r="K138" s="113">
        <f>VLOOKUP(C138,'Talente &amp; Stuff'!FU:GV,9,FALSE)</f>
        <v>0</v>
      </c>
      <c r="L138" s="113">
        <f>VLOOKUP(C138,'Talente &amp; Stuff'!FU:GV,10,FALSE)</f>
        <v>0</v>
      </c>
      <c r="M138" s="119">
        <f>VLOOKUP(C138,'Talente &amp; Stuff'!FU:GV,11,FALSE)</f>
        <v>0</v>
      </c>
      <c r="N138" s="47">
        <f>VLOOKUP(C138,'Talente &amp; Stuff'!FU:GV,12,FALSE)</f>
        <v>0</v>
      </c>
      <c r="O138" s="47">
        <f>VLOOKUP(C138,'Talente &amp; Stuff'!FU:GV,13,FALSE)</f>
        <v>0</v>
      </c>
      <c r="P138" s="119">
        <f>VLOOKUP(C138,'Talente &amp; Stuff'!FU:GV,14,FALSE)</f>
        <v>0</v>
      </c>
      <c r="Q138" s="114">
        <f>VLOOKUP(C138,'Talente &amp; Stuff'!FU:GV,15,FALSE)</f>
        <v>0</v>
      </c>
      <c r="R138" s="113">
        <f>VLOOKUP(C138,'Talente &amp; Stuff'!FU:GV,16,FALSE)</f>
        <v>0</v>
      </c>
      <c r="S138" s="119">
        <f>VLOOKUP(C138,'Talente &amp; Stuff'!FU:GV,17,FALSE)</f>
        <v>0</v>
      </c>
      <c r="T138" s="119">
        <f>VLOOKUP(C138,'Talente &amp; Stuff'!FU:GV,18,FALSE)</f>
        <v>0</v>
      </c>
      <c r="U138" s="89">
        <f>VLOOKUP(C138,'Talente &amp; Stuff'!FU:GV,19,FALSE)</f>
        <v>0</v>
      </c>
      <c r="V138" s="47">
        <f>VLOOKUP(C138,'Talente &amp; Stuff'!FU:GV,20,FALSE)</f>
        <v>0</v>
      </c>
      <c r="W138" s="127">
        <f>VLOOKUP(C138,'Talente &amp; Stuff'!FU:GV,21,FALSE)</f>
        <v>0</v>
      </c>
      <c r="X138" s="127">
        <f>VLOOKUP(C138,'Talente &amp; Stuff'!FU:GV,22,FALSE)</f>
        <v>0</v>
      </c>
      <c r="Y138" s="165">
        <f t="shared" si="14"/>
        <v>0</v>
      </c>
      <c r="Z138" s="44">
        <f t="shared" si="15"/>
        <v>0</v>
      </c>
      <c r="AA138" s="125">
        <f>VLOOKUP(C138,'Talente &amp; Stuff'!FU:GV,25,FALSE)</f>
        <v>0</v>
      </c>
      <c r="AB138" s="160">
        <f>VLOOKUP(C138,'Talente &amp; Stuff'!FU:GV,26,FALSE)</f>
        <v>0</v>
      </c>
      <c r="AC138" s="127">
        <f>VLOOKUP(C138,'Talente &amp; Stuff'!FU:GV,27,FALSE)</f>
        <v>0</v>
      </c>
      <c r="AD138" s="125">
        <f>VLOOKUP(C138,'Talente &amp; Stuff'!FU:GV,28,FALSE)</f>
        <v>0</v>
      </c>
      <c r="AE138" s="28"/>
    </row>
    <row r="139" spans="2:31" ht="15" hidden="1" customHeight="1" outlineLevel="2">
      <c r="B139" s="148">
        <v>12</v>
      </c>
      <c r="C139" s="177" t="str">
        <f>Attribute!C139</f>
        <v>---</v>
      </c>
      <c r="D139" s="125" t="str">
        <f>VLOOKUP(C139,'Talente &amp; Stuff'!FU:GV,2,FALSE)</f>
        <v>--/--/--</v>
      </c>
      <c r="E139" s="127" t="str">
        <f>VLOOKUP(C139,'Talente &amp; Stuff'!FU:GV,3,FALSE)</f>
        <v>-</v>
      </c>
      <c r="F139" s="114">
        <f>VLOOKUP(C139,'Talente &amp; Stuff'!FU:GV,4,FALSE)</f>
        <v>0</v>
      </c>
      <c r="G139" s="113">
        <f>VLOOKUP(C139,'Talente &amp; Stuff'!FU:GV,5,FALSE)</f>
        <v>0</v>
      </c>
      <c r="H139" s="113">
        <f>VLOOKUP(C139,'Talente &amp; Stuff'!FU:GV,6,FALSE)</f>
        <v>0</v>
      </c>
      <c r="I139" s="113">
        <f>VLOOKUP(C139,'Talente &amp; Stuff'!FU:GV,7,FALSE)</f>
        <v>0</v>
      </c>
      <c r="J139" s="113">
        <f>VLOOKUP(C139,'Talente &amp; Stuff'!FU:GV,8,FALSE)</f>
        <v>0</v>
      </c>
      <c r="K139" s="113">
        <f>VLOOKUP(C139,'Talente &amp; Stuff'!FU:GV,9,FALSE)</f>
        <v>0</v>
      </c>
      <c r="L139" s="113">
        <f>VLOOKUP(C139,'Talente &amp; Stuff'!FU:GV,10,FALSE)</f>
        <v>0</v>
      </c>
      <c r="M139" s="119">
        <f>VLOOKUP(C139,'Talente &amp; Stuff'!FU:GV,11,FALSE)</f>
        <v>0</v>
      </c>
      <c r="N139" s="47">
        <f>VLOOKUP(C139,'Talente &amp; Stuff'!FU:GV,12,FALSE)</f>
        <v>0</v>
      </c>
      <c r="O139" s="47">
        <f>VLOOKUP(C139,'Talente &amp; Stuff'!FU:GV,13,FALSE)</f>
        <v>0</v>
      </c>
      <c r="P139" s="119">
        <f>VLOOKUP(C139,'Talente &amp; Stuff'!FU:GV,14,FALSE)</f>
        <v>0</v>
      </c>
      <c r="Q139" s="114">
        <f>VLOOKUP(C139,'Talente &amp; Stuff'!FU:GV,15,FALSE)</f>
        <v>0</v>
      </c>
      <c r="R139" s="113">
        <f>VLOOKUP(C139,'Talente &amp; Stuff'!FU:GV,16,FALSE)</f>
        <v>0</v>
      </c>
      <c r="S139" s="119">
        <f>VLOOKUP(C139,'Talente &amp; Stuff'!FU:GV,17,FALSE)</f>
        <v>0</v>
      </c>
      <c r="T139" s="119">
        <f>VLOOKUP(C139,'Talente &amp; Stuff'!FU:GV,18,FALSE)</f>
        <v>0</v>
      </c>
      <c r="U139" s="89">
        <f>VLOOKUP(C139,'Talente &amp; Stuff'!FU:GV,19,FALSE)</f>
        <v>0</v>
      </c>
      <c r="V139" s="47">
        <f>VLOOKUP(C139,'Talente &amp; Stuff'!FU:GV,20,FALSE)</f>
        <v>0</v>
      </c>
      <c r="W139" s="127">
        <f>VLOOKUP(C139,'Talente &amp; Stuff'!FU:GV,21,FALSE)</f>
        <v>0</v>
      </c>
      <c r="X139" s="127">
        <f>VLOOKUP(C139,'Talente &amp; Stuff'!FU:GV,22,FALSE)</f>
        <v>0</v>
      </c>
      <c r="Y139" s="165">
        <f t="shared" si="14"/>
        <v>0</v>
      </c>
      <c r="Z139" s="44">
        <f t="shared" si="15"/>
        <v>0</v>
      </c>
      <c r="AA139" s="125">
        <f>VLOOKUP(C139,'Talente &amp; Stuff'!FU:GV,25,FALSE)</f>
        <v>0</v>
      </c>
      <c r="AB139" s="160">
        <f>VLOOKUP(C139,'Talente &amp; Stuff'!FU:GV,26,FALSE)</f>
        <v>0</v>
      </c>
      <c r="AC139" s="127">
        <f>VLOOKUP(C139,'Talente &amp; Stuff'!FU:GV,27,FALSE)</f>
        <v>0</v>
      </c>
      <c r="AD139" s="125">
        <f>VLOOKUP(C139,'Talente &amp; Stuff'!FU:GV,28,FALSE)</f>
        <v>0</v>
      </c>
      <c r="AE139" s="28"/>
    </row>
    <row r="140" spans="2:31" ht="15" hidden="1" customHeight="1" outlineLevel="2">
      <c r="B140" s="148">
        <v>13</v>
      </c>
      <c r="C140" s="177" t="str">
        <f>Attribute!C140</f>
        <v>---</v>
      </c>
      <c r="D140" s="125" t="str">
        <f>VLOOKUP(C140,'Talente &amp; Stuff'!FU:GV,2,FALSE)</f>
        <v>--/--/--</v>
      </c>
      <c r="E140" s="127" t="str">
        <f>VLOOKUP(C140,'Talente &amp; Stuff'!FU:GV,3,FALSE)</f>
        <v>-</v>
      </c>
      <c r="F140" s="114">
        <f>VLOOKUP(C140,'Talente &amp; Stuff'!FU:GV,4,FALSE)</f>
        <v>0</v>
      </c>
      <c r="G140" s="113">
        <f>VLOOKUP(C140,'Talente &amp; Stuff'!FU:GV,5,FALSE)</f>
        <v>0</v>
      </c>
      <c r="H140" s="113">
        <f>VLOOKUP(C140,'Talente &amp; Stuff'!FU:GV,6,FALSE)</f>
        <v>0</v>
      </c>
      <c r="I140" s="113">
        <f>VLOOKUP(C140,'Talente &amp; Stuff'!FU:GV,7,FALSE)</f>
        <v>0</v>
      </c>
      <c r="J140" s="113">
        <f>VLOOKUP(C140,'Talente &amp; Stuff'!FU:GV,8,FALSE)</f>
        <v>0</v>
      </c>
      <c r="K140" s="113">
        <f>VLOOKUP(C140,'Talente &amp; Stuff'!FU:GV,9,FALSE)</f>
        <v>0</v>
      </c>
      <c r="L140" s="113">
        <f>VLOOKUP(C140,'Talente &amp; Stuff'!FU:GV,10,FALSE)</f>
        <v>0</v>
      </c>
      <c r="M140" s="119">
        <f>VLOOKUP(C140,'Talente &amp; Stuff'!FU:GV,11,FALSE)</f>
        <v>0</v>
      </c>
      <c r="N140" s="47">
        <f>VLOOKUP(C140,'Talente &amp; Stuff'!FU:GV,12,FALSE)</f>
        <v>0</v>
      </c>
      <c r="O140" s="47">
        <f>VLOOKUP(C140,'Talente &amp; Stuff'!FU:GV,13,FALSE)</f>
        <v>0</v>
      </c>
      <c r="P140" s="119">
        <f>VLOOKUP(C140,'Talente &amp; Stuff'!FU:GV,14,FALSE)</f>
        <v>0</v>
      </c>
      <c r="Q140" s="114">
        <f>VLOOKUP(C140,'Talente &amp; Stuff'!FU:GV,15,FALSE)</f>
        <v>0</v>
      </c>
      <c r="R140" s="113">
        <f>VLOOKUP(C140,'Talente &amp; Stuff'!FU:GV,16,FALSE)</f>
        <v>0</v>
      </c>
      <c r="S140" s="119">
        <f>VLOOKUP(C140,'Talente &amp; Stuff'!FU:GV,17,FALSE)</f>
        <v>0</v>
      </c>
      <c r="T140" s="119">
        <f>VLOOKUP(C140,'Talente &amp; Stuff'!FU:GV,18,FALSE)</f>
        <v>0</v>
      </c>
      <c r="U140" s="89">
        <f>VLOOKUP(C140,'Talente &amp; Stuff'!FU:GV,19,FALSE)</f>
        <v>0</v>
      </c>
      <c r="V140" s="47">
        <f>VLOOKUP(C140,'Talente &amp; Stuff'!FU:GV,20,FALSE)</f>
        <v>0</v>
      </c>
      <c r="W140" s="127">
        <f>VLOOKUP(C140,'Talente &amp; Stuff'!FU:GV,21,FALSE)</f>
        <v>0</v>
      </c>
      <c r="X140" s="127">
        <f>VLOOKUP(C140,'Talente &amp; Stuff'!FU:GV,22,FALSE)</f>
        <v>0</v>
      </c>
      <c r="Y140" s="165">
        <f t="shared" si="14"/>
        <v>0</v>
      </c>
      <c r="Z140" s="44">
        <f t="shared" si="15"/>
        <v>0</v>
      </c>
      <c r="AA140" s="125">
        <f>VLOOKUP(C140,'Talente &amp; Stuff'!FU:GV,25,FALSE)</f>
        <v>0</v>
      </c>
      <c r="AB140" s="160">
        <f>VLOOKUP(C140,'Talente &amp; Stuff'!FU:GV,26,FALSE)</f>
        <v>0</v>
      </c>
      <c r="AC140" s="127">
        <f>VLOOKUP(C140,'Talente &amp; Stuff'!FU:GV,27,FALSE)</f>
        <v>0</v>
      </c>
      <c r="AD140" s="125">
        <f>VLOOKUP(C140,'Talente &amp; Stuff'!FU:GV,28,FALSE)</f>
        <v>0</v>
      </c>
      <c r="AE140" s="28"/>
    </row>
    <row r="141" spans="2:31" ht="15" hidden="1" customHeight="1" outlineLevel="2">
      <c r="B141" s="148">
        <v>14</v>
      </c>
      <c r="C141" s="177" t="str">
        <f>Attribute!C141</f>
        <v>---</v>
      </c>
      <c r="D141" s="125" t="str">
        <f>VLOOKUP(C141,'Talente &amp; Stuff'!FU:GV,2,FALSE)</f>
        <v>--/--/--</v>
      </c>
      <c r="E141" s="127" t="str">
        <f>VLOOKUP(C141,'Talente &amp; Stuff'!FU:GV,3,FALSE)</f>
        <v>-</v>
      </c>
      <c r="F141" s="114">
        <f>VLOOKUP(C141,'Talente &amp; Stuff'!FU:GV,4,FALSE)</f>
        <v>0</v>
      </c>
      <c r="G141" s="113">
        <f>VLOOKUP(C141,'Talente &amp; Stuff'!FU:GV,5,FALSE)</f>
        <v>0</v>
      </c>
      <c r="H141" s="113">
        <f>VLOOKUP(C141,'Talente &amp; Stuff'!FU:GV,6,FALSE)</f>
        <v>0</v>
      </c>
      <c r="I141" s="113">
        <f>VLOOKUP(C141,'Talente &amp; Stuff'!FU:GV,7,FALSE)</f>
        <v>0</v>
      </c>
      <c r="J141" s="113">
        <f>VLOOKUP(C141,'Talente &amp; Stuff'!FU:GV,8,FALSE)</f>
        <v>0</v>
      </c>
      <c r="K141" s="113">
        <f>VLOOKUP(C141,'Talente &amp; Stuff'!FU:GV,9,FALSE)</f>
        <v>0</v>
      </c>
      <c r="L141" s="113">
        <f>VLOOKUP(C141,'Talente &amp; Stuff'!FU:GV,10,FALSE)</f>
        <v>0</v>
      </c>
      <c r="M141" s="119">
        <f>VLOOKUP(C141,'Talente &amp; Stuff'!FU:GV,11,FALSE)</f>
        <v>0</v>
      </c>
      <c r="N141" s="47">
        <f>VLOOKUP(C141,'Talente &amp; Stuff'!FU:GV,12,FALSE)</f>
        <v>0</v>
      </c>
      <c r="O141" s="47">
        <f>VLOOKUP(C141,'Talente &amp; Stuff'!FU:GV,13,FALSE)</f>
        <v>0</v>
      </c>
      <c r="P141" s="119">
        <f>VLOOKUP(C141,'Talente &amp; Stuff'!FU:GV,14,FALSE)</f>
        <v>0</v>
      </c>
      <c r="Q141" s="114">
        <f>VLOOKUP(C141,'Talente &amp; Stuff'!FU:GV,15,FALSE)</f>
        <v>0</v>
      </c>
      <c r="R141" s="113">
        <f>VLOOKUP(C141,'Talente &amp; Stuff'!FU:GV,16,FALSE)</f>
        <v>0</v>
      </c>
      <c r="S141" s="119">
        <f>VLOOKUP(C141,'Talente &amp; Stuff'!FU:GV,17,FALSE)</f>
        <v>0</v>
      </c>
      <c r="T141" s="119">
        <f>VLOOKUP(C141,'Talente &amp; Stuff'!FU:GV,18,FALSE)</f>
        <v>0</v>
      </c>
      <c r="U141" s="89">
        <f>VLOOKUP(C141,'Talente &amp; Stuff'!FU:GV,19,FALSE)</f>
        <v>0</v>
      </c>
      <c r="V141" s="47">
        <f>VLOOKUP(C141,'Talente &amp; Stuff'!FU:GV,20,FALSE)</f>
        <v>0</v>
      </c>
      <c r="W141" s="127">
        <f>VLOOKUP(C141,'Talente &amp; Stuff'!FU:GV,21,FALSE)</f>
        <v>0</v>
      </c>
      <c r="X141" s="127">
        <f>VLOOKUP(C141,'Talente &amp; Stuff'!FU:GV,22,FALSE)</f>
        <v>0</v>
      </c>
      <c r="Y141" s="165">
        <f t="shared" si="14"/>
        <v>0</v>
      </c>
      <c r="Z141" s="44">
        <f t="shared" si="15"/>
        <v>0</v>
      </c>
      <c r="AA141" s="125">
        <f>VLOOKUP(C141,'Talente &amp; Stuff'!FU:GV,25,FALSE)</f>
        <v>0</v>
      </c>
      <c r="AB141" s="160">
        <f>VLOOKUP(C141,'Talente &amp; Stuff'!FU:GV,26,FALSE)</f>
        <v>0</v>
      </c>
      <c r="AC141" s="127">
        <f>VLOOKUP(C141,'Talente &amp; Stuff'!FU:GV,27,FALSE)</f>
        <v>0</v>
      </c>
      <c r="AD141" s="125">
        <f>VLOOKUP(C141,'Talente &amp; Stuff'!FU:GV,28,FALSE)</f>
        <v>0</v>
      </c>
      <c r="AE141" s="28"/>
    </row>
    <row r="142" spans="2:31" ht="15" hidden="1" customHeight="1" outlineLevel="2">
      <c r="B142" s="148">
        <v>15</v>
      </c>
      <c r="C142" s="177" t="str">
        <f>Attribute!C142</f>
        <v>---</v>
      </c>
      <c r="D142" s="125" t="str">
        <f>VLOOKUP(C142,'Talente &amp; Stuff'!FU:GV,2,FALSE)</f>
        <v>--/--/--</v>
      </c>
      <c r="E142" s="127" t="str">
        <f>VLOOKUP(C142,'Talente &amp; Stuff'!FU:GV,3,FALSE)</f>
        <v>-</v>
      </c>
      <c r="F142" s="114">
        <f>VLOOKUP(C142,'Talente &amp; Stuff'!FU:GV,4,FALSE)</f>
        <v>0</v>
      </c>
      <c r="G142" s="113">
        <f>VLOOKUP(C142,'Talente &amp; Stuff'!FU:GV,5,FALSE)</f>
        <v>0</v>
      </c>
      <c r="H142" s="113">
        <f>VLOOKUP(C142,'Talente &amp; Stuff'!FU:GV,6,FALSE)</f>
        <v>0</v>
      </c>
      <c r="I142" s="113">
        <f>VLOOKUP(C142,'Talente &amp; Stuff'!FU:GV,7,FALSE)</f>
        <v>0</v>
      </c>
      <c r="J142" s="113">
        <f>VLOOKUP(C142,'Talente &amp; Stuff'!FU:GV,8,FALSE)</f>
        <v>0</v>
      </c>
      <c r="K142" s="113">
        <f>VLOOKUP(C142,'Talente &amp; Stuff'!FU:GV,9,FALSE)</f>
        <v>0</v>
      </c>
      <c r="L142" s="113">
        <f>VLOOKUP(C142,'Talente &amp; Stuff'!FU:GV,10,FALSE)</f>
        <v>0</v>
      </c>
      <c r="M142" s="119">
        <f>VLOOKUP(C142,'Talente &amp; Stuff'!FU:GV,11,FALSE)</f>
        <v>0</v>
      </c>
      <c r="N142" s="47">
        <f>VLOOKUP(C142,'Talente &amp; Stuff'!FU:GV,12,FALSE)</f>
        <v>0</v>
      </c>
      <c r="O142" s="47">
        <f>VLOOKUP(C142,'Talente &amp; Stuff'!FU:GV,13,FALSE)</f>
        <v>0</v>
      </c>
      <c r="P142" s="119">
        <f>VLOOKUP(C142,'Talente &amp; Stuff'!FU:GV,14,FALSE)</f>
        <v>0</v>
      </c>
      <c r="Q142" s="114">
        <f>VLOOKUP(C142,'Talente &amp; Stuff'!FU:GV,15,FALSE)</f>
        <v>0</v>
      </c>
      <c r="R142" s="113">
        <f>VLOOKUP(C142,'Talente &amp; Stuff'!FU:GV,16,FALSE)</f>
        <v>0</v>
      </c>
      <c r="S142" s="119">
        <f>VLOOKUP(C142,'Talente &amp; Stuff'!FU:GV,17,FALSE)</f>
        <v>0</v>
      </c>
      <c r="T142" s="119">
        <f>VLOOKUP(C142,'Talente &amp; Stuff'!FU:GV,18,FALSE)</f>
        <v>0</v>
      </c>
      <c r="U142" s="89">
        <f>VLOOKUP(C142,'Talente &amp; Stuff'!FU:GV,19,FALSE)</f>
        <v>0</v>
      </c>
      <c r="V142" s="47">
        <f>VLOOKUP(C142,'Talente &amp; Stuff'!FU:GV,20,FALSE)</f>
        <v>0</v>
      </c>
      <c r="W142" s="127">
        <f>VLOOKUP(C142,'Talente &amp; Stuff'!FU:GV,21,FALSE)</f>
        <v>0</v>
      </c>
      <c r="X142" s="127">
        <f>VLOOKUP(C142,'Talente &amp; Stuff'!FU:GV,22,FALSE)</f>
        <v>0</v>
      </c>
      <c r="Y142" s="165">
        <f t="shared" si="14"/>
        <v>0</v>
      </c>
      <c r="Z142" s="44">
        <f t="shared" si="15"/>
        <v>0</v>
      </c>
      <c r="AA142" s="125">
        <f>VLOOKUP(C142,'Talente &amp; Stuff'!FU:GV,25,FALSE)</f>
        <v>0</v>
      </c>
      <c r="AB142" s="160">
        <f>VLOOKUP(C142,'Talente &amp; Stuff'!FU:GV,26,FALSE)</f>
        <v>0</v>
      </c>
      <c r="AC142" s="127">
        <f>VLOOKUP(C142,'Talente &amp; Stuff'!FU:GV,27,FALSE)</f>
        <v>0</v>
      </c>
      <c r="AD142" s="125">
        <f>VLOOKUP(C142,'Talente &amp; Stuff'!FU:GV,28,FALSE)</f>
        <v>0</v>
      </c>
      <c r="AE142" s="28"/>
    </row>
    <row r="143" spans="2:31" ht="15" hidden="1" customHeight="1" outlineLevel="2">
      <c r="B143" s="148">
        <v>16</v>
      </c>
      <c r="C143" s="177" t="str">
        <f>Attribute!C143</f>
        <v>---</v>
      </c>
      <c r="D143" s="86" t="str">
        <f>VLOOKUP(C143,'Talente &amp; Stuff'!FU:GV,2,FALSE)</f>
        <v>--/--/--</v>
      </c>
      <c r="E143" s="167" t="str">
        <f>VLOOKUP(C143,'Talente &amp; Stuff'!FU:GV,3,FALSE)</f>
        <v>-</v>
      </c>
      <c r="F143" s="120">
        <f>VLOOKUP(C143,'Talente &amp; Stuff'!FU:GV,4,FALSE)</f>
        <v>0</v>
      </c>
      <c r="G143" s="117">
        <f>VLOOKUP(C143,'Talente &amp; Stuff'!FU:GV,5,FALSE)</f>
        <v>0</v>
      </c>
      <c r="H143" s="117">
        <f>VLOOKUP(C143,'Talente &amp; Stuff'!FU:GV,6,FALSE)</f>
        <v>0</v>
      </c>
      <c r="I143" s="117">
        <f>VLOOKUP(C143,'Talente &amp; Stuff'!FU:GV,7,FALSE)</f>
        <v>0</v>
      </c>
      <c r="J143" s="117">
        <f>VLOOKUP(C143,'Talente &amp; Stuff'!FU:GV,8,FALSE)</f>
        <v>0</v>
      </c>
      <c r="K143" s="117">
        <f>VLOOKUP(C143,'Talente &amp; Stuff'!FU:GV,9,FALSE)</f>
        <v>0</v>
      </c>
      <c r="L143" s="117">
        <f>VLOOKUP(C143,'Talente &amp; Stuff'!FU:GV,10,FALSE)</f>
        <v>0</v>
      </c>
      <c r="M143" s="121">
        <f>VLOOKUP(C143,'Talente &amp; Stuff'!FU:GV,11,FALSE)</f>
        <v>0</v>
      </c>
      <c r="N143" s="47">
        <f>VLOOKUP(C143,'Talente &amp; Stuff'!FU:GV,12,FALSE)</f>
        <v>0</v>
      </c>
      <c r="O143" s="3">
        <f>VLOOKUP(C143,'Talente &amp; Stuff'!FU:GV,13,FALSE)</f>
        <v>0</v>
      </c>
      <c r="P143" s="174">
        <f>VLOOKUP(C143,'Talente &amp; Stuff'!FU:GV,14,FALSE)</f>
        <v>0</v>
      </c>
      <c r="Q143" s="114">
        <f>VLOOKUP(C143,'Talente &amp; Stuff'!FU:GV,15,FALSE)</f>
        <v>0</v>
      </c>
      <c r="R143" s="117">
        <f>VLOOKUP(C143,'Talente &amp; Stuff'!FU:GV,16,FALSE)</f>
        <v>0</v>
      </c>
      <c r="S143" s="119">
        <f>VLOOKUP(C143,'Talente &amp; Stuff'!FU:GV,17,FALSE)</f>
        <v>0</v>
      </c>
      <c r="T143" s="119">
        <f>VLOOKUP(C143,'Talente &amp; Stuff'!FU:GV,18,FALSE)</f>
        <v>0</v>
      </c>
      <c r="U143" s="89">
        <f>VLOOKUP(C143,'Talente &amp; Stuff'!FU:GV,19,FALSE)</f>
        <v>0</v>
      </c>
      <c r="V143" s="47">
        <f>VLOOKUP(C143,'Talente &amp; Stuff'!FU:GV,20,FALSE)</f>
        <v>0</v>
      </c>
      <c r="W143" s="127">
        <f>VLOOKUP(C143,'Talente &amp; Stuff'!FU:GV,21,FALSE)</f>
        <v>0</v>
      </c>
      <c r="X143" s="127">
        <f>VLOOKUP(C143,'Talente &amp; Stuff'!FU:GV,22,FALSE)</f>
        <v>0</v>
      </c>
      <c r="Y143" s="165">
        <f t="shared" si="14"/>
        <v>0</v>
      </c>
      <c r="Z143" s="44">
        <f t="shared" si="15"/>
        <v>0</v>
      </c>
      <c r="AA143" s="125">
        <f>VLOOKUP(C143,'Talente &amp; Stuff'!FU:GV,25,FALSE)</f>
        <v>0</v>
      </c>
      <c r="AB143" s="160">
        <f>VLOOKUP(C143,'Talente &amp; Stuff'!FU:GV,26,FALSE)</f>
        <v>0</v>
      </c>
      <c r="AC143" s="127">
        <f>VLOOKUP(C143,'Talente &amp; Stuff'!FU:GV,27,FALSE)</f>
        <v>0</v>
      </c>
      <c r="AD143" s="125">
        <f>VLOOKUP(C143,'Talente &amp; Stuff'!FU:GV,28,FALSE)</f>
        <v>0</v>
      </c>
      <c r="AE143" s="28"/>
    </row>
    <row r="144" spans="2:31" ht="15" hidden="1" customHeight="1" outlineLevel="2">
      <c r="B144" s="148">
        <v>17</v>
      </c>
      <c r="C144" s="177" t="str">
        <f>Attribute!C144</f>
        <v>---</v>
      </c>
      <c r="D144" s="125" t="str">
        <f>VLOOKUP(C144,'Talente &amp; Stuff'!FU:GV,2,FALSE)</f>
        <v>--/--/--</v>
      </c>
      <c r="E144" s="127" t="str">
        <f>VLOOKUP(C144,'Talente &amp; Stuff'!FU:GV,3,FALSE)</f>
        <v>-</v>
      </c>
      <c r="F144" s="114">
        <f>VLOOKUP(C144,'Talente &amp; Stuff'!FU:GV,4,FALSE)</f>
        <v>0</v>
      </c>
      <c r="G144" s="113">
        <f>VLOOKUP(C144,'Talente &amp; Stuff'!FU:GV,5,FALSE)</f>
        <v>0</v>
      </c>
      <c r="H144" s="113">
        <f>VLOOKUP(C144,'Talente &amp; Stuff'!FU:GV,6,FALSE)</f>
        <v>0</v>
      </c>
      <c r="I144" s="113">
        <f>VLOOKUP(C144,'Talente &amp; Stuff'!FU:GV,7,FALSE)</f>
        <v>0</v>
      </c>
      <c r="J144" s="113">
        <f>VLOOKUP(C144,'Talente &amp; Stuff'!FU:GV,8,FALSE)</f>
        <v>0</v>
      </c>
      <c r="K144" s="113">
        <f>VLOOKUP(C144,'Talente &amp; Stuff'!FU:GV,9,FALSE)</f>
        <v>0</v>
      </c>
      <c r="L144" s="113">
        <f>VLOOKUP(C144,'Talente &amp; Stuff'!FU:GV,10,FALSE)</f>
        <v>0</v>
      </c>
      <c r="M144" s="119">
        <f>VLOOKUP(C144,'Talente &amp; Stuff'!FU:GV,11,FALSE)</f>
        <v>0</v>
      </c>
      <c r="N144" s="47">
        <f>VLOOKUP(C144,'Talente &amp; Stuff'!FU:GV,12,FALSE)</f>
        <v>0</v>
      </c>
      <c r="O144" s="47">
        <f>VLOOKUP(C144,'Talente &amp; Stuff'!FU:GV,13,FALSE)</f>
        <v>0</v>
      </c>
      <c r="P144" s="119">
        <f>VLOOKUP(C144,'Talente &amp; Stuff'!FU:GV,14,FALSE)</f>
        <v>0</v>
      </c>
      <c r="Q144" s="114">
        <f>VLOOKUP(C144,'Talente &amp; Stuff'!FU:GV,15,FALSE)</f>
        <v>0</v>
      </c>
      <c r="R144" s="113">
        <f>VLOOKUP(C144,'Talente &amp; Stuff'!FU:GV,16,FALSE)</f>
        <v>0</v>
      </c>
      <c r="S144" s="119">
        <f>VLOOKUP(C144,'Talente &amp; Stuff'!FU:GV,17,FALSE)</f>
        <v>0</v>
      </c>
      <c r="T144" s="119">
        <f>VLOOKUP(C144,'Talente &amp; Stuff'!FU:GV,18,FALSE)</f>
        <v>0</v>
      </c>
      <c r="U144" s="89">
        <f>VLOOKUP(C144,'Talente &amp; Stuff'!FU:GV,19,FALSE)</f>
        <v>0</v>
      </c>
      <c r="V144" s="47">
        <f>VLOOKUP(C144,'Talente &amp; Stuff'!FU:GV,20,FALSE)</f>
        <v>0</v>
      </c>
      <c r="W144" s="127">
        <f>VLOOKUP(C144,'Talente &amp; Stuff'!FU:GV,21,FALSE)</f>
        <v>0</v>
      </c>
      <c r="X144" s="127">
        <f>VLOOKUP(C144,'Talente &amp; Stuff'!FU:GV,22,FALSE)</f>
        <v>0</v>
      </c>
      <c r="Y144" s="165">
        <f t="shared" si="14"/>
        <v>0</v>
      </c>
      <c r="Z144" s="44">
        <f t="shared" si="15"/>
        <v>0</v>
      </c>
      <c r="AA144" s="125">
        <f>VLOOKUP(C144,'Talente &amp; Stuff'!FU:GV,25,FALSE)</f>
        <v>0</v>
      </c>
      <c r="AB144" s="160">
        <f>VLOOKUP(C144,'Talente &amp; Stuff'!FU:GV,26,FALSE)</f>
        <v>0</v>
      </c>
      <c r="AC144" s="127">
        <f>VLOOKUP(C144,'Talente &amp; Stuff'!FU:GV,27,FALSE)</f>
        <v>0</v>
      </c>
      <c r="AD144" s="125">
        <f>VLOOKUP(C144,'Talente &amp; Stuff'!FU:GV,28,FALSE)</f>
        <v>0</v>
      </c>
      <c r="AE144" s="28"/>
    </row>
    <row r="145" spans="2:31" ht="15" hidden="1" customHeight="1" outlineLevel="2">
      <c r="B145" s="148">
        <v>18</v>
      </c>
      <c r="C145" s="177" t="str">
        <f>Attribute!C145</f>
        <v>---</v>
      </c>
      <c r="D145" s="125" t="str">
        <f>VLOOKUP(C145,'Talente &amp; Stuff'!FU:GV,2,FALSE)</f>
        <v>--/--/--</v>
      </c>
      <c r="E145" s="127" t="str">
        <f>VLOOKUP(C145,'Talente &amp; Stuff'!FU:GV,3,FALSE)</f>
        <v>-</v>
      </c>
      <c r="F145" s="114">
        <f>VLOOKUP(C145,'Talente &amp; Stuff'!FU:GV,4,FALSE)</f>
        <v>0</v>
      </c>
      <c r="G145" s="113">
        <f>VLOOKUP(C145,'Talente &amp; Stuff'!FU:GV,5,FALSE)</f>
        <v>0</v>
      </c>
      <c r="H145" s="113">
        <f>VLOOKUP(C145,'Talente &amp; Stuff'!FU:GV,6,FALSE)</f>
        <v>0</v>
      </c>
      <c r="I145" s="113">
        <f>VLOOKUP(C145,'Talente &amp; Stuff'!FU:GV,7,FALSE)</f>
        <v>0</v>
      </c>
      <c r="J145" s="113">
        <f>VLOOKUP(C145,'Talente &amp; Stuff'!FU:GV,8,FALSE)</f>
        <v>0</v>
      </c>
      <c r="K145" s="113">
        <f>VLOOKUP(C145,'Talente &amp; Stuff'!FU:GV,9,FALSE)</f>
        <v>0</v>
      </c>
      <c r="L145" s="113">
        <f>VLOOKUP(C145,'Talente &amp; Stuff'!FU:GV,10,FALSE)</f>
        <v>0</v>
      </c>
      <c r="M145" s="119">
        <f>VLOOKUP(C145,'Talente &amp; Stuff'!FU:GV,11,FALSE)</f>
        <v>0</v>
      </c>
      <c r="N145" s="47">
        <f>VLOOKUP(C145,'Talente &amp; Stuff'!FU:GV,12,FALSE)</f>
        <v>0</v>
      </c>
      <c r="O145" s="47">
        <f>VLOOKUP(C145,'Talente &amp; Stuff'!FU:GV,13,FALSE)</f>
        <v>0</v>
      </c>
      <c r="P145" s="119">
        <f>VLOOKUP(C145,'Talente &amp; Stuff'!FU:GV,14,FALSE)</f>
        <v>0</v>
      </c>
      <c r="Q145" s="114">
        <f>VLOOKUP(C145,'Talente &amp; Stuff'!FU:GV,15,FALSE)</f>
        <v>0</v>
      </c>
      <c r="R145" s="113">
        <f>VLOOKUP(C145,'Talente &amp; Stuff'!FU:GV,16,FALSE)</f>
        <v>0</v>
      </c>
      <c r="S145" s="119">
        <f>VLOOKUP(C145,'Talente &amp; Stuff'!FU:GV,17,FALSE)</f>
        <v>0</v>
      </c>
      <c r="T145" s="119">
        <f>VLOOKUP(C145,'Talente &amp; Stuff'!FU:GV,18,FALSE)</f>
        <v>0</v>
      </c>
      <c r="U145" s="89">
        <f>VLOOKUP(C145,'Talente &amp; Stuff'!FU:GV,19,FALSE)</f>
        <v>0</v>
      </c>
      <c r="V145" s="47">
        <f>VLOOKUP(C145,'Talente &amp; Stuff'!FU:GV,20,FALSE)</f>
        <v>0</v>
      </c>
      <c r="W145" s="127">
        <f>VLOOKUP(C145,'Talente &amp; Stuff'!FU:GV,21,FALSE)</f>
        <v>0</v>
      </c>
      <c r="X145" s="127">
        <f>VLOOKUP(C145,'Talente &amp; Stuff'!FU:GV,22,FALSE)</f>
        <v>0</v>
      </c>
      <c r="Y145" s="165">
        <f t="shared" si="14"/>
        <v>0</v>
      </c>
      <c r="Z145" s="44">
        <f t="shared" si="15"/>
        <v>0</v>
      </c>
      <c r="AA145" s="125">
        <f>VLOOKUP(C145,'Talente &amp; Stuff'!FU:GV,25,FALSE)</f>
        <v>0</v>
      </c>
      <c r="AB145" s="160">
        <f>VLOOKUP(C145,'Talente &amp; Stuff'!FU:GV,26,FALSE)</f>
        <v>0</v>
      </c>
      <c r="AC145" s="127">
        <f>VLOOKUP(C145,'Talente &amp; Stuff'!FU:GV,27,FALSE)</f>
        <v>0</v>
      </c>
      <c r="AD145" s="125">
        <f>VLOOKUP(C145,'Talente &amp; Stuff'!FU:GV,28,FALSE)</f>
        <v>0</v>
      </c>
      <c r="AE145" s="28"/>
    </row>
    <row r="146" spans="2:31" ht="15" hidden="1" customHeight="1" outlineLevel="2">
      <c r="B146" s="148">
        <v>19</v>
      </c>
      <c r="C146" s="177" t="str">
        <f>Attribute!C146</f>
        <v>---</v>
      </c>
      <c r="D146" s="125" t="str">
        <f>VLOOKUP(C146,'Talente &amp; Stuff'!FU:GV,2,FALSE)</f>
        <v>--/--/--</v>
      </c>
      <c r="E146" s="127" t="str">
        <f>VLOOKUP(C146,'Talente &amp; Stuff'!FU:GV,3,FALSE)</f>
        <v>-</v>
      </c>
      <c r="F146" s="114">
        <f>VLOOKUP(C146,'Talente &amp; Stuff'!FU:GV,4,FALSE)</f>
        <v>0</v>
      </c>
      <c r="G146" s="113">
        <f>VLOOKUP(C146,'Talente &amp; Stuff'!FU:GV,5,FALSE)</f>
        <v>0</v>
      </c>
      <c r="H146" s="113">
        <f>VLOOKUP(C146,'Talente &amp; Stuff'!FU:GV,6,FALSE)</f>
        <v>0</v>
      </c>
      <c r="I146" s="113">
        <f>VLOOKUP(C146,'Talente &amp; Stuff'!FU:GV,7,FALSE)</f>
        <v>0</v>
      </c>
      <c r="J146" s="113">
        <f>VLOOKUP(C146,'Talente &amp; Stuff'!FU:GV,8,FALSE)</f>
        <v>0</v>
      </c>
      <c r="K146" s="113">
        <f>VLOOKUP(C146,'Talente &amp; Stuff'!FU:GV,9,FALSE)</f>
        <v>0</v>
      </c>
      <c r="L146" s="113">
        <f>VLOOKUP(C146,'Talente &amp; Stuff'!FU:GV,10,FALSE)</f>
        <v>0</v>
      </c>
      <c r="M146" s="119">
        <f>VLOOKUP(C146,'Talente &amp; Stuff'!FU:GV,11,FALSE)</f>
        <v>0</v>
      </c>
      <c r="N146" s="47">
        <f>VLOOKUP(C146,'Talente &amp; Stuff'!FU:GV,12,FALSE)</f>
        <v>0</v>
      </c>
      <c r="O146" s="47">
        <f>VLOOKUP(C146,'Talente &amp; Stuff'!FU:GV,13,FALSE)</f>
        <v>0</v>
      </c>
      <c r="P146" s="119">
        <f>VLOOKUP(C146,'Talente &amp; Stuff'!FU:GV,14,FALSE)</f>
        <v>0</v>
      </c>
      <c r="Q146" s="114">
        <f>VLOOKUP(C146,'Talente &amp; Stuff'!FU:GV,15,FALSE)</f>
        <v>0</v>
      </c>
      <c r="R146" s="113">
        <f>VLOOKUP(C146,'Talente &amp; Stuff'!FU:GV,16,FALSE)</f>
        <v>0</v>
      </c>
      <c r="S146" s="119">
        <f>VLOOKUP(C146,'Talente &amp; Stuff'!FU:GV,17,FALSE)</f>
        <v>0</v>
      </c>
      <c r="T146" s="119">
        <f>VLOOKUP(C146,'Talente &amp; Stuff'!FU:GV,18,FALSE)</f>
        <v>0</v>
      </c>
      <c r="U146" s="89">
        <f>VLOOKUP(C146,'Talente &amp; Stuff'!FU:GV,19,FALSE)</f>
        <v>0</v>
      </c>
      <c r="V146" s="47">
        <f>VLOOKUP(C146,'Talente &amp; Stuff'!FU:GV,20,FALSE)</f>
        <v>0</v>
      </c>
      <c r="W146" s="127">
        <f>VLOOKUP(C146,'Talente &amp; Stuff'!FU:GV,21,FALSE)</f>
        <v>0</v>
      </c>
      <c r="X146" s="127">
        <f>VLOOKUP(C146,'Talente &amp; Stuff'!FU:GV,22,FALSE)</f>
        <v>0</v>
      </c>
      <c r="Y146" s="165">
        <f t="shared" si="14"/>
        <v>0</v>
      </c>
      <c r="Z146" s="44">
        <f t="shared" si="15"/>
        <v>0</v>
      </c>
      <c r="AA146" s="125">
        <f>VLOOKUP(C146,'Talente &amp; Stuff'!FU:GV,25,FALSE)</f>
        <v>0</v>
      </c>
      <c r="AB146" s="160">
        <f>VLOOKUP(C146,'Talente &amp; Stuff'!FU:GV,26,FALSE)</f>
        <v>0</v>
      </c>
      <c r="AC146" s="127">
        <f>VLOOKUP(C146,'Talente &amp; Stuff'!FU:GV,27,FALSE)</f>
        <v>0</v>
      </c>
      <c r="AD146" s="125">
        <f>VLOOKUP(C146,'Talente &amp; Stuff'!FU:GV,28,FALSE)</f>
        <v>0</v>
      </c>
      <c r="AE146" s="28"/>
    </row>
    <row r="147" spans="2:31" ht="15" hidden="1" customHeight="1" outlineLevel="2">
      <c r="B147" s="148">
        <v>20</v>
      </c>
      <c r="C147" s="177" t="str">
        <f>Attribute!C147</f>
        <v>---</v>
      </c>
      <c r="D147" s="125" t="str">
        <f>VLOOKUP(C147,'Talente &amp; Stuff'!FU:GV,2,FALSE)</f>
        <v>--/--/--</v>
      </c>
      <c r="E147" s="127" t="str">
        <f>VLOOKUP(C147,'Talente &amp; Stuff'!FU:GV,3,FALSE)</f>
        <v>-</v>
      </c>
      <c r="F147" s="114">
        <f>VLOOKUP(C147,'Talente &amp; Stuff'!FU:GV,4,FALSE)</f>
        <v>0</v>
      </c>
      <c r="G147" s="113">
        <f>VLOOKUP(C147,'Talente &amp; Stuff'!FU:GV,5,FALSE)</f>
        <v>0</v>
      </c>
      <c r="H147" s="113">
        <f>VLOOKUP(C147,'Talente &amp; Stuff'!FU:GV,6,FALSE)</f>
        <v>0</v>
      </c>
      <c r="I147" s="113">
        <f>VLOOKUP(C147,'Talente &amp; Stuff'!FU:GV,7,FALSE)</f>
        <v>0</v>
      </c>
      <c r="J147" s="113">
        <f>VLOOKUP(C147,'Talente &amp; Stuff'!FU:GV,8,FALSE)</f>
        <v>0</v>
      </c>
      <c r="K147" s="113">
        <f>VLOOKUP(C147,'Talente &amp; Stuff'!FU:GV,9,FALSE)</f>
        <v>0</v>
      </c>
      <c r="L147" s="113">
        <f>VLOOKUP(C147,'Talente &amp; Stuff'!FU:GV,10,FALSE)</f>
        <v>0</v>
      </c>
      <c r="M147" s="119">
        <f>VLOOKUP(C147,'Talente &amp; Stuff'!FU:GV,11,FALSE)</f>
        <v>0</v>
      </c>
      <c r="N147" s="47">
        <f>VLOOKUP(C147,'Talente &amp; Stuff'!FU:GV,12,FALSE)</f>
        <v>0</v>
      </c>
      <c r="O147" s="47">
        <f>VLOOKUP(C147,'Talente &amp; Stuff'!FU:GV,13,FALSE)</f>
        <v>0</v>
      </c>
      <c r="P147" s="119">
        <f>VLOOKUP(C147,'Talente &amp; Stuff'!FU:GV,14,FALSE)</f>
        <v>0</v>
      </c>
      <c r="Q147" s="114">
        <f>VLOOKUP(C147,'Talente &amp; Stuff'!FU:GV,15,FALSE)</f>
        <v>0</v>
      </c>
      <c r="R147" s="113">
        <f>VLOOKUP(C147,'Talente &amp; Stuff'!FU:GV,16,FALSE)</f>
        <v>0</v>
      </c>
      <c r="S147" s="119">
        <f>VLOOKUP(C147,'Talente &amp; Stuff'!FU:GV,17,FALSE)</f>
        <v>0</v>
      </c>
      <c r="T147" s="119">
        <f>VLOOKUP(C147,'Talente &amp; Stuff'!FU:GV,18,FALSE)</f>
        <v>0</v>
      </c>
      <c r="U147" s="89">
        <f>VLOOKUP(C147,'Talente &amp; Stuff'!FU:GV,19,FALSE)</f>
        <v>0</v>
      </c>
      <c r="V147" s="47">
        <f>VLOOKUP(C147,'Talente &amp; Stuff'!FU:GV,20,FALSE)</f>
        <v>0</v>
      </c>
      <c r="W147" s="127">
        <f>VLOOKUP(C147,'Talente &amp; Stuff'!FU:GV,21,FALSE)</f>
        <v>0</v>
      </c>
      <c r="X147" s="127">
        <f>VLOOKUP(C147,'Talente &amp; Stuff'!FU:GV,22,FALSE)</f>
        <v>0</v>
      </c>
      <c r="Y147" s="165">
        <f t="shared" si="14"/>
        <v>0</v>
      </c>
      <c r="Z147" s="44">
        <f t="shared" si="15"/>
        <v>0</v>
      </c>
      <c r="AA147" s="125">
        <f>VLOOKUP(C147,'Talente &amp; Stuff'!FU:GV,25,FALSE)</f>
        <v>0</v>
      </c>
      <c r="AB147" s="160">
        <f>VLOOKUP(C147,'Talente &amp; Stuff'!FU:GV,26,FALSE)</f>
        <v>0</v>
      </c>
      <c r="AC147" s="127">
        <f>VLOOKUP(C147,'Talente &amp; Stuff'!FU:GV,27,FALSE)</f>
        <v>0</v>
      </c>
      <c r="AD147" s="125">
        <f>VLOOKUP(C147,'Talente &amp; Stuff'!FU:GV,28,FALSE)</f>
        <v>0</v>
      </c>
      <c r="AE147" s="28"/>
    </row>
    <row r="148" spans="2:31" ht="15" hidden="1" customHeight="1" outlineLevel="2">
      <c r="B148" s="148">
        <v>21</v>
      </c>
      <c r="C148" s="177" t="str">
        <f>Attribute!C148</f>
        <v>---</v>
      </c>
      <c r="D148" s="125" t="str">
        <f>VLOOKUP(C148,'Talente &amp; Stuff'!FU:GV,2,FALSE)</f>
        <v>--/--/--</v>
      </c>
      <c r="E148" s="127" t="str">
        <f>VLOOKUP(C148,'Talente &amp; Stuff'!FU:GV,3,FALSE)</f>
        <v>-</v>
      </c>
      <c r="F148" s="114">
        <f>VLOOKUP(C148,'Talente &amp; Stuff'!FU:GV,4,FALSE)</f>
        <v>0</v>
      </c>
      <c r="G148" s="113">
        <f>VLOOKUP(C148,'Talente &amp; Stuff'!FU:GV,5,FALSE)</f>
        <v>0</v>
      </c>
      <c r="H148" s="113">
        <f>VLOOKUP(C148,'Talente &amp; Stuff'!FU:GV,6,FALSE)</f>
        <v>0</v>
      </c>
      <c r="I148" s="113">
        <f>VLOOKUP(C148,'Talente &amp; Stuff'!FU:GV,7,FALSE)</f>
        <v>0</v>
      </c>
      <c r="J148" s="113">
        <f>VLOOKUP(C148,'Talente &amp; Stuff'!FU:GV,8,FALSE)</f>
        <v>0</v>
      </c>
      <c r="K148" s="113">
        <f>VLOOKUP(C148,'Talente &amp; Stuff'!FU:GV,9,FALSE)</f>
        <v>0</v>
      </c>
      <c r="L148" s="113">
        <f>VLOOKUP(C148,'Talente &amp; Stuff'!FU:GV,10,FALSE)</f>
        <v>0</v>
      </c>
      <c r="M148" s="119">
        <f>VLOOKUP(C148,'Talente &amp; Stuff'!FU:GV,11,FALSE)</f>
        <v>0</v>
      </c>
      <c r="N148" s="47">
        <f>VLOOKUP(C148,'Talente &amp; Stuff'!FU:GV,12,FALSE)</f>
        <v>0</v>
      </c>
      <c r="O148" s="47">
        <f>VLOOKUP(C148,'Talente &amp; Stuff'!FU:GV,13,FALSE)</f>
        <v>0</v>
      </c>
      <c r="P148" s="119">
        <f>VLOOKUP(C148,'Talente &amp; Stuff'!FU:GV,14,FALSE)</f>
        <v>0</v>
      </c>
      <c r="Q148" s="114">
        <f>VLOOKUP(C148,'Talente &amp; Stuff'!FU:GV,15,FALSE)</f>
        <v>0</v>
      </c>
      <c r="R148" s="113">
        <f>VLOOKUP(C148,'Talente &amp; Stuff'!FU:GV,16,FALSE)</f>
        <v>0</v>
      </c>
      <c r="S148" s="119">
        <f>VLOOKUP(C148,'Talente &amp; Stuff'!FU:GV,17,FALSE)</f>
        <v>0</v>
      </c>
      <c r="T148" s="119">
        <f>VLOOKUP(C148,'Talente &amp; Stuff'!FU:GV,18,FALSE)</f>
        <v>0</v>
      </c>
      <c r="U148" s="89">
        <f>VLOOKUP(C148,'Talente &amp; Stuff'!FU:GV,19,FALSE)</f>
        <v>0</v>
      </c>
      <c r="V148" s="47">
        <f>VLOOKUP(C148,'Talente &amp; Stuff'!FU:GV,20,FALSE)</f>
        <v>0</v>
      </c>
      <c r="W148" s="127">
        <f>VLOOKUP(C148,'Talente &amp; Stuff'!FU:GV,21,FALSE)</f>
        <v>0</v>
      </c>
      <c r="X148" s="127">
        <f>VLOOKUP(C148,'Talente &amp; Stuff'!FU:GV,22,FALSE)</f>
        <v>0</v>
      </c>
      <c r="Y148" s="165">
        <f t="shared" si="14"/>
        <v>0</v>
      </c>
      <c r="Z148" s="44">
        <f t="shared" si="15"/>
        <v>0</v>
      </c>
      <c r="AA148" s="125">
        <f>VLOOKUP(C148,'Talente &amp; Stuff'!FU:GV,25,FALSE)</f>
        <v>0</v>
      </c>
      <c r="AB148" s="160">
        <f>VLOOKUP(C148,'Talente &amp; Stuff'!FU:GV,26,FALSE)</f>
        <v>0</v>
      </c>
      <c r="AC148" s="127">
        <f>VLOOKUP(C148,'Talente &amp; Stuff'!FU:GV,27,FALSE)</f>
        <v>0</v>
      </c>
      <c r="AD148" s="125">
        <f>VLOOKUP(C148,'Talente &amp; Stuff'!FU:GV,28,FALSE)</f>
        <v>0</v>
      </c>
      <c r="AE148" s="28"/>
    </row>
    <row r="149" spans="2:31" ht="15" hidden="1" customHeight="1" outlineLevel="2">
      <c r="B149" s="148">
        <v>22</v>
      </c>
      <c r="C149" s="177" t="str">
        <f>Attribute!C149</f>
        <v>---</v>
      </c>
      <c r="D149" s="125" t="str">
        <f>VLOOKUP(C149,'Talente &amp; Stuff'!FU:GV,2,FALSE)</f>
        <v>--/--/--</v>
      </c>
      <c r="E149" s="127" t="str">
        <f>VLOOKUP(C149,'Talente &amp; Stuff'!FU:GV,3,FALSE)</f>
        <v>-</v>
      </c>
      <c r="F149" s="114">
        <f>VLOOKUP(C149,'Talente &amp; Stuff'!FU:GV,4,FALSE)</f>
        <v>0</v>
      </c>
      <c r="G149" s="113">
        <f>VLOOKUP(C149,'Talente &amp; Stuff'!FU:GV,5,FALSE)</f>
        <v>0</v>
      </c>
      <c r="H149" s="113">
        <f>VLOOKUP(C149,'Talente &amp; Stuff'!FU:GV,6,FALSE)</f>
        <v>0</v>
      </c>
      <c r="I149" s="113">
        <f>VLOOKUP(C149,'Talente &amp; Stuff'!FU:GV,7,FALSE)</f>
        <v>0</v>
      </c>
      <c r="J149" s="113">
        <f>VLOOKUP(C149,'Talente &amp; Stuff'!FU:GV,8,FALSE)</f>
        <v>0</v>
      </c>
      <c r="K149" s="113">
        <f>VLOOKUP(C149,'Talente &amp; Stuff'!FU:GV,9,FALSE)</f>
        <v>0</v>
      </c>
      <c r="L149" s="113">
        <f>VLOOKUP(C149,'Talente &amp; Stuff'!FU:GV,10,FALSE)</f>
        <v>0</v>
      </c>
      <c r="M149" s="119">
        <f>VLOOKUP(C149,'Talente &amp; Stuff'!FU:GV,11,FALSE)</f>
        <v>0</v>
      </c>
      <c r="N149" s="47">
        <f>VLOOKUP(C149,'Talente &amp; Stuff'!FU:GV,12,FALSE)</f>
        <v>0</v>
      </c>
      <c r="O149" s="47">
        <f>VLOOKUP(C149,'Talente &amp; Stuff'!FU:GV,13,FALSE)</f>
        <v>0</v>
      </c>
      <c r="P149" s="119">
        <f>VLOOKUP(C149,'Talente &amp; Stuff'!FU:GV,14,FALSE)</f>
        <v>0</v>
      </c>
      <c r="Q149" s="114">
        <f>VLOOKUP(C149,'Talente &amp; Stuff'!FU:GV,15,FALSE)</f>
        <v>0</v>
      </c>
      <c r="R149" s="113">
        <f>VLOOKUP(C149,'Talente &amp; Stuff'!FU:GV,16,FALSE)</f>
        <v>0</v>
      </c>
      <c r="S149" s="119">
        <f>VLOOKUP(C149,'Talente &amp; Stuff'!FU:GV,17,FALSE)</f>
        <v>0</v>
      </c>
      <c r="T149" s="119">
        <f>VLOOKUP(C149,'Talente &amp; Stuff'!FU:GV,18,FALSE)</f>
        <v>0</v>
      </c>
      <c r="U149" s="89">
        <f>VLOOKUP(C149,'Talente &amp; Stuff'!FU:GV,19,FALSE)</f>
        <v>0</v>
      </c>
      <c r="V149" s="47">
        <f>VLOOKUP(C149,'Talente &amp; Stuff'!FU:GV,20,FALSE)</f>
        <v>0</v>
      </c>
      <c r="W149" s="127">
        <f>VLOOKUP(C149,'Talente &amp; Stuff'!FU:GV,21,FALSE)</f>
        <v>0</v>
      </c>
      <c r="X149" s="127">
        <f>VLOOKUP(C149,'Talente &amp; Stuff'!FU:GV,22,FALSE)</f>
        <v>0</v>
      </c>
      <c r="Y149" s="165">
        <f t="shared" si="14"/>
        <v>0</v>
      </c>
      <c r="Z149" s="44">
        <f t="shared" si="15"/>
        <v>0</v>
      </c>
      <c r="AA149" s="125">
        <f>VLOOKUP(C149,'Talente &amp; Stuff'!FU:GV,25,FALSE)</f>
        <v>0</v>
      </c>
      <c r="AB149" s="160">
        <f>VLOOKUP(C149,'Talente &amp; Stuff'!FU:GV,26,FALSE)</f>
        <v>0</v>
      </c>
      <c r="AC149" s="127">
        <f>VLOOKUP(C149,'Talente &amp; Stuff'!FU:GV,27,FALSE)</f>
        <v>0</v>
      </c>
      <c r="AD149" s="125">
        <f>VLOOKUP(C149,'Talente &amp; Stuff'!FU:GV,28,FALSE)</f>
        <v>0</v>
      </c>
      <c r="AE149" s="28"/>
    </row>
    <row r="150" spans="2:31" ht="15" hidden="1" customHeight="1" outlineLevel="2">
      <c r="B150" s="148">
        <v>23</v>
      </c>
      <c r="C150" s="177" t="str">
        <f>Attribute!C150</f>
        <v>---</v>
      </c>
      <c r="D150" s="125" t="str">
        <f>VLOOKUP(C150,'Talente &amp; Stuff'!FU:GV,2,FALSE)</f>
        <v>--/--/--</v>
      </c>
      <c r="E150" s="127" t="str">
        <f>VLOOKUP(C150,'Talente &amp; Stuff'!FU:GV,3,FALSE)</f>
        <v>-</v>
      </c>
      <c r="F150" s="114">
        <f>VLOOKUP(C150,'Talente &amp; Stuff'!FU:GV,4,FALSE)</f>
        <v>0</v>
      </c>
      <c r="G150" s="113">
        <f>VLOOKUP(C150,'Talente &amp; Stuff'!FU:GV,5,FALSE)</f>
        <v>0</v>
      </c>
      <c r="H150" s="113">
        <f>VLOOKUP(C150,'Talente &amp; Stuff'!FU:GV,6,FALSE)</f>
        <v>0</v>
      </c>
      <c r="I150" s="113">
        <f>VLOOKUP(C150,'Talente &amp; Stuff'!FU:GV,7,FALSE)</f>
        <v>0</v>
      </c>
      <c r="J150" s="113">
        <f>VLOOKUP(C150,'Talente &amp; Stuff'!FU:GV,8,FALSE)</f>
        <v>0</v>
      </c>
      <c r="K150" s="113">
        <f>VLOOKUP(C150,'Talente &amp; Stuff'!FU:GV,9,FALSE)</f>
        <v>0</v>
      </c>
      <c r="L150" s="113">
        <f>VLOOKUP(C150,'Talente &amp; Stuff'!FU:GV,10,FALSE)</f>
        <v>0</v>
      </c>
      <c r="M150" s="119">
        <f>VLOOKUP(C150,'Talente &amp; Stuff'!FU:GV,11,FALSE)</f>
        <v>0</v>
      </c>
      <c r="N150" s="47">
        <f>VLOOKUP(C150,'Talente &amp; Stuff'!FU:GV,12,FALSE)</f>
        <v>0</v>
      </c>
      <c r="O150" s="47">
        <f>VLOOKUP(C150,'Talente &amp; Stuff'!FU:GV,13,FALSE)</f>
        <v>0</v>
      </c>
      <c r="P150" s="119">
        <f>VLOOKUP(C150,'Talente &amp; Stuff'!FU:GV,14,FALSE)</f>
        <v>0</v>
      </c>
      <c r="Q150" s="114">
        <f>VLOOKUP(C150,'Talente &amp; Stuff'!FU:GV,15,FALSE)</f>
        <v>0</v>
      </c>
      <c r="R150" s="113">
        <f>VLOOKUP(C150,'Talente &amp; Stuff'!FU:GV,16,FALSE)</f>
        <v>0</v>
      </c>
      <c r="S150" s="119">
        <f>VLOOKUP(C150,'Talente &amp; Stuff'!FU:GV,17,FALSE)</f>
        <v>0</v>
      </c>
      <c r="T150" s="119">
        <f>VLOOKUP(C150,'Talente &amp; Stuff'!FU:GV,18,FALSE)</f>
        <v>0</v>
      </c>
      <c r="U150" s="89">
        <f>VLOOKUP(C150,'Talente &amp; Stuff'!FU:GV,19,FALSE)</f>
        <v>0</v>
      </c>
      <c r="V150" s="47">
        <f>VLOOKUP(C150,'Talente &amp; Stuff'!FU:GV,20,FALSE)</f>
        <v>0</v>
      </c>
      <c r="W150" s="127">
        <f>VLOOKUP(C150,'Talente &amp; Stuff'!FU:GV,21,FALSE)</f>
        <v>0</v>
      </c>
      <c r="X150" s="127">
        <f>VLOOKUP(C150,'Talente &amp; Stuff'!FU:GV,22,FALSE)</f>
        <v>0</v>
      </c>
      <c r="Y150" s="165">
        <f t="shared" si="14"/>
        <v>0</v>
      </c>
      <c r="Z150" s="44">
        <f t="shared" si="15"/>
        <v>0</v>
      </c>
      <c r="AA150" s="125">
        <f>VLOOKUP(C150,'Talente &amp; Stuff'!FU:GV,25,FALSE)</f>
        <v>0</v>
      </c>
      <c r="AB150" s="160">
        <f>VLOOKUP(C150,'Talente &amp; Stuff'!FU:GV,26,FALSE)</f>
        <v>0</v>
      </c>
      <c r="AC150" s="127">
        <f>VLOOKUP(C150,'Talente &amp; Stuff'!FU:GV,27,FALSE)</f>
        <v>0</v>
      </c>
      <c r="AD150" s="125">
        <f>VLOOKUP(C150,'Talente &amp; Stuff'!FU:GV,28,FALSE)</f>
        <v>0</v>
      </c>
      <c r="AE150" s="28"/>
    </row>
    <row r="151" spans="2:31" ht="15" hidden="1" customHeight="1" outlineLevel="2">
      <c r="B151" s="148">
        <v>24</v>
      </c>
      <c r="C151" s="178" t="str">
        <f>Attribute!C151</f>
        <v>---</v>
      </c>
      <c r="D151" s="159" t="str">
        <f>VLOOKUP(C151,'Talente &amp; Stuff'!FU:GV,2,FALSE)</f>
        <v>--/--/--</v>
      </c>
      <c r="E151" s="128" t="str">
        <f>VLOOKUP(C151,'Talente &amp; Stuff'!FU:GV,3,FALSE)</f>
        <v>-</v>
      </c>
      <c r="F151" s="115">
        <f>VLOOKUP(C151,'Talente &amp; Stuff'!FU:GV,4,FALSE)</f>
        <v>0</v>
      </c>
      <c r="G151" s="122">
        <f>VLOOKUP(C151,'Talente &amp; Stuff'!FU:GV,5,FALSE)</f>
        <v>0</v>
      </c>
      <c r="H151" s="122">
        <f>VLOOKUP(C151,'Talente &amp; Stuff'!FU:GV,6,FALSE)</f>
        <v>0</v>
      </c>
      <c r="I151" s="122">
        <f>VLOOKUP(C151,'Talente &amp; Stuff'!FU:GV,7,FALSE)</f>
        <v>0</v>
      </c>
      <c r="J151" s="122">
        <f>VLOOKUP(C151,'Talente &amp; Stuff'!FU:GV,8,FALSE)</f>
        <v>0</v>
      </c>
      <c r="K151" s="122">
        <f>VLOOKUP(C151,'Talente &amp; Stuff'!FU:GV,9,FALSE)</f>
        <v>0</v>
      </c>
      <c r="L151" s="122">
        <f>VLOOKUP(C151,'Talente &amp; Stuff'!FU:GV,10,FALSE)</f>
        <v>0</v>
      </c>
      <c r="M151" s="123">
        <f>VLOOKUP(C151,'Talente &amp; Stuff'!FU:GV,11,FALSE)</f>
        <v>0</v>
      </c>
      <c r="N151" s="88">
        <f>VLOOKUP(C151,'Talente &amp; Stuff'!FU:GV,12,FALSE)</f>
        <v>0</v>
      </c>
      <c r="O151" s="88">
        <f>VLOOKUP(C151,'Talente &amp; Stuff'!FU:GV,13,FALSE)</f>
        <v>0</v>
      </c>
      <c r="P151" s="123">
        <f>VLOOKUP(C151,'Talente &amp; Stuff'!FU:GV,14,FALSE)</f>
        <v>0</v>
      </c>
      <c r="Q151" s="115">
        <f>VLOOKUP(C151,'Talente &amp; Stuff'!FU:GV,15,FALSE)</f>
        <v>0</v>
      </c>
      <c r="R151" s="122">
        <f>VLOOKUP(C151,'Talente &amp; Stuff'!FU:GV,16,FALSE)</f>
        <v>0</v>
      </c>
      <c r="S151" s="123">
        <f>VLOOKUP(C151,'Talente &amp; Stuff'!FU:GV,17,FALSE)</f>
        <v>0</v>
      </c>
      <c r="T151" s="123">
        <f>VLOOKUP(C151,'Talente &amp; Stuff'!FU:GV,18,FALSE)</f>
        <v>0</v>
      </c>
      <c r="U151" s="90">
        <f>VLOOKUP(C151,'Talente &amp; Stuff'!FU:GV,19,FALSE)</f>
        <v>0</v>
      </c>
      <c r="V151" s="88">
        <f>VLOOKUP(C151,'Talente &amp; Stuff'!FU:GV,20,FALSE)</f>
        <v>0</v>
      </c>
      <c r="W151" s="128">
        <f>VLOOKUP(C151,'Talente &amp; Stuff'!FU:GV,21,FALSE)</f>
        <v>0</v>
      </c>
      <c r="X151" s="128">
        <f>VLOOKUP(C151,'Talente &amp; Stuff'!FU:GV,22,FALSE)</f>
        <v>0</v>
      </c>
      <c r="Y151" s="165">
        <f t="shared" si="14"/>
        <v>0</v>
      </c>
      <c r="Z151" s="44">
        <f t="shared" si="15"/>
        <v>0</v>
      </c>
      <c r="AA151" s="159">
        <f>VLOOKUP(C151,'Talente &amp; Stuff'!FU:GV,25,FALSE)</f>
        <v>0</v>
      </c>
      <c r="AB151" s="161">
        <f>VLOOKUP(C151,'Talente &amp; Stuff'!FU:GV,26,FALSE)</f>
        <v>0</v>
      </c>
      <c r="AC151" s="128">
        <f>VLOOKUP(C151,'Talente &amp; Stuff'!FU:GV,27,FALSE)</f>
        <v>0</v>
      </c>
      <c r="AD151" s="159">
        <f>VLOOKUP(C151,'Talente &amp; Stuff'!FU:GV,28,FALSE)</f>
        <v>0</v>
      </c>
      <c r="AE151" s="28"/>
    </row>
    <row r="152" spans="2:31" ht="15" hidden="1" customHeight="1" outlineLevel="1" collapsed="1">
      <c r="B152" s="134" t="s">
        <v>329</v>
      </c>
      <c r="C152" s="83"/>
      <c r="D152" s="84"/>
      <c r="E152" s="84"/>
    </row>
    <row r="153" spans="2:31" ht="15" hidden="1" customHeight="1" outlineLevel="2">
      <c r="B153" s="148">
        <v>1</v>
      </c>
      <c r="C153" s="176" t="str">
        <f>Attribute!C153</f>
        <v>---</v>
      </c>
      <c r="D153" s="85" t="str">
        <f>VLOOKUP(C153,'Talente &amp; Stuff'!FU:GV,2,FALSE)</f>
        <v>--/--/--</v>
      </c>
      <c r="E153" s="168" t="str">
        <f>VLOOKUP(C153,'Talente &amp; Stuff'!FU:GV,3,FALSE)</f>
        <v>-</v>
      </c>
      <c r="F153" s="171">
        <f>VLOOKUP(C153,'Talente &amp; Stuff'!FU:GV,4,FALSE)</f>
        <v>0</v>
      </c>
      <c r="G153" s="170">
        <f>VLOOKUP(C153,'Talente &amp; Stuff'!FU:GV,5,FALSE)</f>
        <v>0</v>
      </c>
      <c r="H153" s="170">
        <f>VLOOKUP(C153,'Talente &amp; Stuff'!FU:GV,6,FALSE)</f>
        <v>0</v>
      </c>
      <c r="I153" s="170">
        <f>VLOOKUP(C153,'Talente &amp; Stuff'!FU:GV,7,FALSE)</f>
        <v>0</v>
      </c>
      <c r="J153" s="170">
        <f>VLOOKUP(C153,'Talente &amp; Stuff'!FU:GV,8,FALSE)</f>
        <v>0</v>
      </c>
      <c r="K153" s="170">
        <f>VLOOKUP(C153,'Talente &amp; Stuff'!FU:GV,9,FALSE)</f>
        <v>0</v>
      </c>
      <c r="L153" s="170">
        <f>VLOOKUP(C153,'Talente &amp; Stuff'!FU:GV,10,FALSE)</f>
        <v>0</v>
      </c>
      <c r="M153" s="172">
        <f>VLOOKUP(C153,'Talente &amp; Stuff'!FU:GV,11,FALSE)</f>
        <v>0</v>
      </c>
      <c r="N153" s="116">
        <f>VLOOKUP(C153,'Talente &amp; Stuff'!FU:GV,12,FALSE)</f>
        <v>0</v>
      </c>
      <c r="O153" s="194">
        <f>VLOOKUP(C153,'Talente &amp; Stuff'!FU:GV,13,FALSE)</f>
        <v>0</v>
      </c>
      <c r="P153" s="192">
        <f>VLOOKUP(C153,'Talente &amp; Stuff'!FU:GV,14,FALSE)</f>
        <v>0</v>
      </c>
      <c r="Q153" s="191">
        <f>VLOOKUP(C153,'Talente &amp; Stuff'!FU:GV,15,FALSE)</f>
        <v>0</v>
      </c>
      <c r="R153" s="170">
        <f>VLOOKUP(C153,'Talente &amp; Stuff'!FU:GV,16,FALSE)</f>
        <v>0</v>
      </c>
      <c r="S153" s="92">
        <f>VLOOKUP(C153,'Talente &amp; Stuff'!FU:GV,17,FALSE)</f>
        <v>0</v>
      </c>
      <c r="T153" s="92">
        <f>VLOOKUP(C153,'Talente &amp; Stuff'!FU:GV,18,FALSE)</f>
        <v>0</v>
      </c>
      <c r="U153" s="193">
        <f>VLOOKUP(C153,'Talente &amp; Stuff'!FU:GV,19,FALSE)</f>
        <v>0</v>
      </c>
      <c r="V153" s="116">
        <f>VLOOKUP(C153,'Talente &amp; Stuff'!FU:GV,20,FALSE)</f>
        <v>0</v>
      </c>
      <c r="W153" s="126">
        <f>VLOOKUP(C153,'Talente &amp; Stuff'!FU:GV,21,FALSE)</f>
        <v>0</v>
      </c>
      <c r="X153" s="126">
        <f>VLOOKUP(C153,'Talente &amp; Stuff'!FU:GV,22,FALSE)</f>
        <v>0</v>
      </c>
      <c r="Y153" s="165">
        <f t="shared" ref="Y153:Y184" si="16">VLOOKUP(C153,Ausgewählte_Zauber_Gildenmagier,197,FALSE)</f>
        <v>0</v>
      </c>
      <c r="Z153" s="44">
        <f t="shared" ref="Z153:Z184" si="17">VLOOKUP(C153,Ausgewählte_Zauber_Gildenmagier,198,FALSE)</f>
        <v>0</v>
      </c>
      <c r="AA153" s="158">
        <f>VLOOKUP(C153,'Talente &amp; Stuff'!FU:GV,25,FALSE)</f>
        <v>0</v>
      </c>
      <c r="AB153" s="91">
        <f>VLOOKUP(C153,'Talente &amp; Stuff'!FU:GV,26,FALSE)</f>
        <v>0</v>
      </c>
      <c r="AC153" s="126">
        <f>VLOOKUP(C153,'Talente &amp; Stuff'!FU:GV,27,FALSE)</f>
        <v>0</v>
      </c>
      <c r="AD153" s="158">
        <f>VLOOKUP(C153,'Talente &amp; Stuff'!FU:GV,28,FALSE)</f>
        <v>0</v>
      </c>
      <c r="AE153" s="28"/>
    </row>
    <row r="154" spans="2:31" ht="15" hidden="1" customHeight="1" outlineLevel="2">
      <c r="B154" s="148">
        <v>2</v>
      </c>
      <c r="C154" s="177" t="str">
        <f>Attribute!C154</f>
        <v>---</v>
      </c>
      <c r="D154" s="86" t="str">
        <f>VLOOKUP(C154,'Talente &amp; Stuff'!FU:GV,2,FALSE)</f>
        <v>--/--/--</v>
      </c>
      <c r="E154" s="167" t="str">
        <f>VLOOKUP(C154,'Talente &amp; Stuff'!FU:GV,3,FALSE)</f>
        <v>-</v>
      </c>
      <c r="F154" s="120">
        <f>VLOOKUP(C154,'Talente &amp; Stuff'!FU:GV,4,FALSE)</f>
        <v>0</v>
      </c>
      <c r="G154" s="117">
        <f>VLOOKUP(C154,'Talente &amp; Stuff'!FU:GV,5,FALSE)</f>
        <v>0</v>
      </c>
      <c r="H154" s="117">
        <f>VLOOKUP(C154,'Talente &amp; Stuff'!FU:GV,6,FALSE)</f>
        <v>0</v>
      </c>
      <c r="I154" s="117">
        <f>VLOOKUP(C154,'Talente &amp; Stuff'!FU:GV,7,FALSE)</f>
        <v>0</v>
      </c>
      <c r="J154" s="117">
        <f>VLOOKUP(C154,'Talente &amp; Stuff'!FU:GV,8,FALSE)</f>
        <v>0</v>
      </c>
      <c r="K154" s="117">
        <f>VLOOKUP(C154,'Talente &amp; Stuff'!FU:GV,9,FALSE)</f>
        <v>0</v>
      </c>
      <c r="L154" s="117">
        <f>VLOOKUP(C154,'Talente &amp; Stuff'!FU:GV,10,FALSE)</f>
        <v>0</v>
      </c>
      <c r="M154" s="121">
        <f>VLOOKUP(C154,'Talente &amp; Stuff'!FU:GV,11,FALSE)</f>
        <v>0</v>
      </c>
      <c r="N154" s="47">
        <f>VLOOKUP(C154,'Talente &amp; Stuff'!FU:GV,12,FALSE)</f>
        <v>0</v>
      </c>
      <c r="O154" s="3">
        <f>VLOOKUP(C154,'Talente &amp; Stuff'!FU:GV,13,FALSE)</f>
        <v>0</v>
      </c>
      <c r="P154" s="174">
        <f>VLOOKUP(C154,'Talente &amp; Stuff'!FU:GV,14,FALSE)</f>
        <v>0</v>
      </c>
      <c r="Q154" s="114">
        <f>VLOOKUP(C154,'Talente &amp; Stuff'!FU:GV,15,FALSE)</f>
        <v>0</v>
      </c>
      <c r="R154" s="117">
        <f>VLOOKUP(C154,'Talente &amp; Stuff'!FU:GV,16,FALSE)</f>
        <v>0</v>
      </c>
      <c r="S154" s="119">
        <f>VLOOKUP(C154,'Talente &amp; Stuff'!FU:GV,17,FALSE)</f>
        <v>0</v>
      </c>
      <c r="T154" s="119">
        <f>VLOOKUP(C154,'Talente &amp; Stuff'!FU:GV,18,FALSE)</f>
        <v>0</v>
      </c>
      <c r="U154" s="89">
        <f>VLOOKUP(C154,'Talente &amp; Stuff'!FU:GV,19,FALSE)</f>
        <v>0</v>
      </c>
      <c r="V154" s="47">
        <f>VLOOKUP(C154,'Talente &amp; Stuff'!FU:GV,20,FALSE)</f>
        <v>0</v>
      </c>
      <c r="W154" s="127">
        <f>VLOOKUP(C154,'Talente &amp; Stuff'!FU:GV,21,FALSE)</f>
        <v>0</v>
      </c>
      <c r="X154" s="127">
        <f>VLOOKUP(C154,'Talente &amp; Stuff'!FU:GV,22,FALSE)</f>
        <v>0</v>
      </c>
      <c r="Y154" s="165">
        <f t="shared" si="16"/>
        <v>0</v>
      </c>
      <c r="Z154" s="44">
        <f t="shared" si="17"/>
        <v>0</v>
      </c>
      <c r="AA154" s="125">
        <f>VLOOKUP(C154,'Talente &amp; Stuff'!FU:GV,25,FALSE)</f>
        <v>0</v>
      </c>
      <c r="AB154" s="160">
        <f>VLOOKUP(C154,'Talente &amp; Stuff'!FU:GV,26,FALSE)</f>
        <v>0</v>
      </c>
      <c r="AC154" s="127">
        <f>VLOOKUP(C154,'Talente &amp; Stuff'!FU:GV,27,FALSE)</f>
        <v>0</v>
      </c>
      <c r="AD154" s="125">
        <f>VLOOKUP(C154,'Talente &amp; Stuff'!FU:GV,28,FALSE)</f>
        <v>0</v>
      </c>
      <c r="AE154" s="28"/>
    </row>
    <row r="155" spans="2:31" ht="15" hidden="1" customHeight="1" outlineLevel="2">
      <c r="B155" s="148">
        <v>3</v>
      </c>
      <c r="C155" s="177" t="str">
        <f>Attribute!C155</f>
        <v>---</v>
      </c>
      <c r="D155" s="86" t="str">
        <f>VLOOKUP(C155,'Talente &amp; Stuff'!FU:GV,2,FALSE)</f>
        <v>--/--/--</v>
      </c>
      <c r="E155" s="167" t="str">
        <f>VLOOKUP(C155,'Talente &amp; Stuff'!FU:GV,3,FALSE)</f>
        <v>-</v>
      </c>
      <c r="F155" s="120">
        <f>VLOOKUP(C155,'Talente &amp; Stuff'!FU:GV,4,FALSE)</f>
        <v>0</v>
      </c>
      <c r="G155" s="117">
        <f>VLOOKUP(C155,'Talente &amp; Stuff'!FU:GV,5,FALSE)</f>
        <v>0</v>
      </c>
      <c r="H155" s="117">
        <f>VLOOKUP(C155,'Talente &amp; Stuff'!FU:GV,6,FALSE)</f>
        <v>0</v>
      </c>
      <c r="I155" s="117">
        <f>VLOOKUP(C155,'Talente &amp; Stuff'!FU:GV,7,FALSE)</f>
        <v>0</v>
      </c>
      <c r="J155" s="117">
        <f>VLOOKUP(C155,'Talente &amp; Stuff'!FU:GV,8,FALSE)</f>
        <v>0</v>
      </c>
      <c r="K155" s="117">
        <f>VLOOKUP(C155,'Talente &amp; Stuff'!FU:GV,9,FALSE)</f>
        <v>0</v>
      </c>
      <c r="L155" s="117">
        <f>VLOOKUP(C155,'Talente &amp; Stuff'!FU:GV,10,FALSE)</f>
        <v>0</v>
      </c>
      <c r="M155" s="121">
        <f>VLOOKUP(C155,'Talente &amp; Stuff'!FU:GV,11,FALSE)</f>
        <v>0</v>
      </c>
      <c r="N155" s="47">
        <f>VLOOKUP(C155,'Talente &amp; Stuff'!FU:GV,12,FALSE)</f>
        <v>0</v>
      </c>
      <c r="O155" s="3">
        <f>VLOOKUP(C155,'Talente &amp; Stuff'!FU:GV,13,FALSE)</f>
        <v>0</v>
      </c>
      <c r="P155" s="174">
        <f>VLOOKUP(C155,'Talente &amp; Stuff'!FU:GV,14,FALSE)</f>
        <v>0</v>
      </c>
      <c r="Q155" s="114">
        <f>VLOOKUP(C155,'Talente &amp; Stuff'!FU:GV,15,FALSE)</f>
        <v>0</v>
      </c>
      <c r="R155" s="117">
        <f>VLOOKUP(C155,'Talente &amp; Stuff'!FU:GV,16,FALSE)</f>
        <v>0</v>
      </c>
      <c r="S155" s="119">
        <f>VLOOKUP(C155,'Talente &amp; Stuff'!FU:GV,17,FALSE)</f>
        <v>0</v>
      </c>
      <c r="T155" s="119">
        <f>VLOOKUP(C155,'Talente &amp; Stuff'!FU:GV,18,FALSE)</f>
        <v>0</v>
      </c>
      <c r="U155" s="89">
        <f>VLOOKUP(C155,'Talente &amp; Stuff'!FU:GV,19,FALSE)</f>
        <v>0</v>
      </c>
      <c r="V155" s="47">
        <f>VLOOKUP(C155,'Talente &amp; Stuff'!FU:GV,20,FALSE)</f>
        <v>0</v>
      </c>
      <c r="W155" s="127">
        <f>VLOOKUP(C155,'Talente &amp; Stuff'!FU:GV,21,FALSE)</f>
        <v>0</v>
      </c>
      <c r="X155" s="127">
        <f>VLOOKUP(C155,'Talente &amp; Stuff'!FU:GV,22,FALSE)</f>
        <v>0</v>
      </c>
      <c r="Y155" s="165">
        <f t="shared" si="16"/>
        <v>0</v>
      </c>
      <c r="Z155" s="44">
        <f t="shared" si="17"/>
        <v>0</v>
      </c>
      <c r="AA155" s="125">
        <f>VLOOKUP(C155,'Talente &amp; Stuff'!FU:GV,25,FALSE)</f>
        <v>0</v>
      </c>
      <c r="AB155" s="160">
        <f>VLOOKUP(C155,'Talente &amp; Stuff'!FU:GV,26,FALSE)</f>
        <v>0</v>
      </c>
      <c r="AC155" s="127">
        <f>VLOOKUP(C155,'Talente &amp; Stuff'!FU:GV,27,FALSE)</f>
        <v>0</v>
      </c>
      <c r="AD155" s="125">
        <f>VLOOKUP(C155,'Talente &amp; Stuff'!FU:GV,28,FALSE)</f>
        <v>0</v>
      </c>
      <c r="AE155" s="28"/>
    </row>
    <row r="156" spans="2:31" ht="15" hidden="1" customHeight="1" outlineLevel="2">
      <c r="B156" s="148">
        <v>4</v>
      </c>
      <c r="C156" s="177" t="str">
        <f>Attribute!C156</f>
        <v>---</v>
      </c>
      <c r="D156" s="86" t="str">
        <f>VLOOKUP(C156,'Talente &amp; Stuff'!FU:GV,2,FALSE)</f>
        <v>--/--/--</v>
      </c>
      <c r="E156" s="167" t="str">
        <f>VLOOKUP(C156,'Talente &amp; Stuff'!FU:GV,3,FALSE)</f>
        <v>-</v>
      </c>
      <c r="F156" s="120">
        <f>VLOOKUP(C156,'Talente &amp; Stuff'!FU:GV,4,FALSE)</f>
        <v>0</v>
      </c>
      <c r="G156" s="117">
        <f>VLOOKUP(C156,'Talente &amp; Stuff'!FU:GV,5,FALSE)</f>
        <v>0</v>
      </c>
      <c r="H156" s="117">
        <f>VLOOKUP(C156,'Talente &amp; Stuff'!FU:GV,6,FALSE)</f>
        <v>0</v>
      </c>
      <c r="I156" s="117">
        <f>VLOOKUP(C156,'Talente &amp; Stuff'!FU:GV,7,FALSE)</f>
        <v>0</v>
      </c>
      <c r="J156" s="117">
        <f>VLOOKUP(C156,'Talente &amp; Stuff'!FU:GV,8,FALSE)</f>
        <v>0</v>
      </c>
      <c r="K156" s="117">
        <f>VLOOKUP(C156,'Talente &amp; Stuff'!FU:GV,9,FALSE)</f>
        <v>0</v>
      </c>
      <c r="L156" s="117">
        <f>VLOOKUP(C156,'Talente &amp; Stuff'!FU:GV,10,FALSE)</f>
        <v>0</v>
      </c>
      <c r="M156" s="121">
        <f>VLOOKUP(C156,'Talente &amp; Stuff'!FU:GV,11,FALSE)</f>
        <v>0</v>
      </c>
      <c r="N156" s="47">
        <f>VLOOKUP(C156,'Talente &amp; Stuff'!FU:GV,12,FALSE)</f>
        <v>0</v>
      </c>
      <c r="O156" s="3">
        <f>VLOOKUP(C156,'Talente &amp; Stuff'!FU:GV,13,FALSE)</f>
        <v>0</v>
      </c>
      <c r="P156" s="174">
        <f>VLOOKUP(C156,'Talente &amp; Stuff'!FU:GV,14,FALSE)</f>
        <v>0</v>
      </c>
      <c r="Q156" s="114">
        <f>VLOOKUP(C156,'Talente &amp; Stuff'!FU:GV,15,FALSE)</f>
        <v>0</v>
      </c>
      <c r="R156" s="117">
        <f>VLOOKUP(C156,'Talente &amp; Stuff'!FU:GV,16,FALSE)</f>
        <v>0</v>
      </c>
      <c r="S156" s="119">
        <f>VLOOKUP(C156,'Talente &amp; Stuff'!FU:GV,17,FALSE)</f>
        <v>0</v>
      </c>
      <c r="T156" s="119">
        <f>VLOOKUP(C156,'Talente &amp; Stuff'!FU:GV,18,FALSE)</f>
        <v>0</v>
      </c>
      <c r="U156" s="89">
        <f>VLOOKUP(C156,'Talente &amp; Stuff'!FU:GV,19,FALSE)</f>
        <v>0</v>
      </c>
      <c r="V156" s="47">
        <f>VLOOKUP(C156,'Talente &amp; Stuff'!FU:GV,20,FALSE)</f>
        <v>0</v>
      </c>
      <c r="W156" s="127">
        <f>VLOOKUP(C156,'Talente &amp; Stuff'!FU:GV,21,FALSE)</f>
        <v>0</v>
      </c>
      <c r="X156" s="127">
        <f>VLOOKUP(C156,'Talente &amp; Stuff'!FU:GV,22,FALSE)</f>
        <v>0</v>
      </c>
      <c r="Y156" s="165">
        <f t="shared" si="16"/>
        <v>0</v>
      </c>
      <c r="Z156" s="44">
        <f t="shared" si="17"/>
        <v>0</v>
      </c>
      <c r="AA156" s="125">
        <f>VLOOKUP(C156,'Talente &amp; Stuff'!FU:GV,25,FALSE)</f>
        <v>0</v>
      </c>
      <c r="AB156" s="160">
        <f>VLOOKUP(C156,'Talente &amp; Stuff'!FU:GV,26,FALSE)</f>
        <v>0</v>
      </c>
      <c r="AC156" s="127">
        <f>VLOOKUP(C156,'Talente &amp; Stuff'!FU:GV,27,FALSE)</f>
        <v>0</v>
      </c>
      <c r="AD156" s="125">
        <f>VLOOKUP(C156,'Talente &amp; Stuff'!FU:GV,28,FALSE)</f>
        <v>0</v>
      </c>
      <c r="AE156" s="28"/>
    </row>
    <row r="157" spans="2:31" ht="15" hidden="1" customHeight="1" outlineLevel="2">
      <c r="B157" s="148">
        <v>5</v>
      </c>
      <c r="C157" s="177" t="str">
        <f>Attribute!C157</f>
        <v>---</v>
      </c>
      <c r="D157" s="86" t="str">
        <f>VLOOKUP(C157,'Talente &amp; Stuff'!FU:GV,2,FALSE)</f>
        <v>--/--/--</v>
      </c>
      <c r="E157" s="167" t="str">
        <f>VLOOKUP(C157,'Talente &amp; Stuff'!FU:GV,3,FALSE)</f>
        <v>-</v>
      </c>
      <c r="F157" s="120">
        <f>VLOOKUP(C157,'Talente &amp; Stuff'!FU:GV,4,FALSE)</f>
        <v>0</v>
      </c>
      <c r="G157" s="117">
        <f>VLOOKUP(C157,'Talente &amp; Stuff'!FU:GV,5,FALSE)</f>
        <v>0</v>
      </c>
      <c r="H157" s="117">
        <f>VLOOKUP(C157,'Talente &amp; Stuff'!FU:GV,6,FALSE)</f>
        <v>0</v>
      </c>
      <c r="I157" s="117">
        <f>VLOOKUP(C157,'Talente &amp; Stuff'!FU:GV,7,FALSE)</f>
        <v>0</v>
      </c>
      <c r="J157" s="117">
        <f>VLOOKUP(C157,'Talente &amp; Stuff'!FU:GV,8,FALSE)</f>
        <v>0</v>
      </c>
      <c r="K157" s="117">
        <f>VLOOKUP(C157,'Talente &amp; Stuff'!FU:GV,9,FALSE)</f>
        <v>0</v>
      </c>
      <c r="L157" s="117">
        <f>VLOOKUP(C157,'Talente &amp; Stuff'!FU:GV,10,FALSE)</f>
        <v>0</v>
      </c>
      <c r="M157" s="121">
        <f>VLOOKUP(C157,'Talente &amp; Stuff'!FU:GV,11,FALSE)</f>
        <v>0</v>
      </c>
      <c r="N157" s="47">
        <f>VLOOKUP(C157,'Talente &amp; Stuff'!FU:GV,12,FALSE)</f>
        <v>0</v>
      </c>
      <c r="O157" s="3">
        <f>VLOOKUP(C157,'Talente &amp; Stuff'!FU:GV,13,FALSE)</f>
        <v>0</v>
      </c>
      <c r="P157" s="174">
        <f>VLOOKUP(C157,'Talente &amp; Stuff'!FU:GV,14,FALSE)</f>
        <v>0</v>
      </c>
      <c r="Q157" s="114">
        <f>VLOOKUP(C157,'Talente &amp; Stuff'!FU:GV,15,FALSE)</f>
        <v>0</v>
      </c>
      <c r="R157" s="117">
        <f>VLOOKUP(C157,'Talente &amp; Stuff'!FU:GV,16,FALSE)</f>
        <v>0</v>
      </c>
      <c r="S157" s="119">
        <f>VLOOKUP(C157,'Talente &amp; Stuff'!FU:GV,17,FALSE)</f>
        <v>0</v>
      </c>
      <c r="T157" s="119">
        <f>VLOOKUP(C157,'Talente &amp; Stuff'!FU:GV,18,FALSE)</f>
        <v>0</v>
      </c>
      <c r="U157" s="89">
        <f>VLOOKUP(C157,'Talente &amp; Stuff'!FU:GV,19,FALSE)</f>
        <v>0</v>
      </c>
      <c r="V157" s="47">
        <f>VLOOKUP(C157,'Talente &amp; Stuff'!FU:GV,20,FALSE)</f>
        <v>0</v>
      </c>
      <c r="W157" s="127">
        <f>VLOOKUP(C157,'Talente &amp; Stuff'!FU:GV,21,FALSE)</f>
        <v>0</v>
      </c>
      <c r="X157" s="127">
        <f>VLOOKUP(C157,'Talente &amp; Stuff'!FU:GV,22,FALSE)</f>
        <v>0</v>
      </c>
      <c r="Y157" s="165">
        <f t="shared" si="16"/>
        <v>0</v>
      </c>
      <c r="Z157" s="44">
        <f t="shared" si="17"/>
        <v>0</v>
      </c>
      <c r="AA157" s="125">
        <f>VLOOKUP(C157,'Talente &amp; Stuff'!FU:GV,25,FALSE)</f>
        <v>0</v>
      </c>
      <c r="AB157" s="160">
        <f>VLOOKUP(C157,'Talente &amp; Stuff'!FU:GV,26,FALSE)</f>
        <v>0</v>
      </c>
      <c r="AC157" s="127">
        <f>VLOOKUP(C157,'Talente &amp; Stuff'!FU:GV,27,FALSE)</f>
        <v>0</v>
      </c>
      <c r="AD157" s="125">
        <f>VLOOKUP(C157,'Talente &amp; Stuff'!FU:GV,28,FALSE)</f>
        <v>0</v>
      </c>
      <c r="AE157" s="28"/>
    </row>
    <row r="158" spans="2:31" ht="15" hidden="1" customHeight="1" outlineLevel="2">
      <c r="B158" s="148">
        <v>6</v>
      </c>
      <c r="C158" s="177" t="str">
        <f>Attribute!C158</f>
        <v>---</v>
      </c>
      <c r="D158" s="86" t="str">
        <f>VLOOKUP(C158,'Talente &amp; Stuff'!FU:GV,2,FALSE)</f>
        <v>--/--/--</v>
      </c>
      <c r="E158" s="167" t="str">
        <f>VLOOKUP(C158,'Talente &amp; Stuff'!FU:GV,3,FALSE)</f>
        <v>-</v>
      </c>
      <c r="F158" s="120">
        <f>VLOOKUP(C158,'Talente &amp; Stuff'!FU:GV,4,FALSE)</f>
        <v>0</v>
      </c>
      <c r="G158" s="117">
        <f>VLOOKUP(C158,'Talente &amp; Stuff'!FU:GV,5,FALSE)</f>
        <v>0</v>
      </c>
      <c r="H158" s="117">
        <f>VLOOKUP(C158,'Talente &amp; Stuff'!FU:GV,6,FALSE)</f>
        <v>0</v>
      </c>
      <c r="I158" s="117">
        <f>VLOOKUP(C158,'Talente &amp; Stuff'!FU:GV,7,FALSE)</f>
        <v>0</v>
      </c>
      <c r="J158" s="117">
        <f>VLOOKUP(C158,'Talente &amp; Stuff'!FU:GV,8,FALSE)</f>
        <v>0</v>
      </c>
      <c r="K158" s="117">
        <f>VLOOKUP(C158,'Talente &amp; Stuff'!FU:GV,9,FALSE)</f>
        <v>0</v>
      </c>
      <c r="L158" s="117">
        <f>VLOOKUP(C158,'Talente &amp; Stuff'!FU:GV,10,FALSE)</f>
        <v>0</v>
      </c>
      <c r="M158" s="121">
        <f>VLOOKUP(C158,'Talente &amp; Stuff'!FU:GV,11,FALSE)</f>
        <v>0</v>
      </c>
      <c r="N158" s="47">
        <f>VLOOKUP(C158,'Talente &amp; Stuff'!FU:GV,12,FALSE)</f>
        <v>0</v>
      </c>
      <c r="O158" s="3">
        <f>VLOOKUP(C158,'Talente &amp; Stuff'!FU:GV,13,FALSE)</f>
        <v>0</v>
      </c>
      <c r="P158" s="174">
        <f>VLOOKUP(C158,'Talente &amp; Stuff'!FU:GV,14,FALSE)</f>
        <v>0</v>
      </c>
      <c r="Q158" s="114">
        <f>VLOOKUP(C158,'Talente &amp; Stuff'!FU:GV,15,FALSE)</f>
        <v>0</v>
      </c>
      <c r="R158" s="117">
        <f>VLOOKUP(C158,'Talente &amp; Stuff'!FU:GV,16,FALSE)</f>
        <v>0</v>
      </c>
      <c r="S158" s="119">
        <f>VLOOKUP(C158,'Talente &amp; Stuff'!FU:GV,17,FALSE)</f>
        <v>0</v>
      </c>
      <c r="T158" s="119">
        <f>VLOOKUP(C158,'Talente &amp; Stuff'!FU:GV,18,FALSE)</f>
        <v>0</v>
      </c>
      <c r="U158" s="89">
        <f>VLOOKUP(C158,'Talente &amp; Stuff'!FU:GV,19,FALSE)</f>
        <v>0</v>
      </c>
      <c r="V158" s="47">
        <f>VLOOKUP(C158,'Talente &amp; Stuff'!FU:GV,20,FALSE)</f>
        <v>0</v>
      </c>
      <c r="W158" s="127">
        <f>VLOOKUP(C158,'Talente &amp; Stuff'!FU:GV,21,FALSE)</f>
        <v>0</v>
      </c>
      <c r="X158" s="127">
        <f>VLOOKUP(C158,'Talente &amp; Stuff'!FU:GV,22,FALSE)</f>
        <v>0</v>
      </c>
      <c r="Y158" s="165">
        <f t="shared" si="16"/>
        <v>0</v>
      </c>
      <c r="Z158" s="44">
        <f t="shared" si="17"/>
        <v>0</v>
      </c>
      <c r="AA158" s="125">
        <f>VLOOKUP(C158,'Talente &amp; Stuff'!FU:GV,25,FALSE)</f>
        <v>0</v>
      </c>
      <c r="AB158" s="160">
        <f>VLOOKUP(C158,'Talente &amp; Stuff'!FU:GV,26,FALSE)</f>
        <v>0</v>
      </c>
      <c r="AC158" s="127">
        <f>VLOOKUP(C158,'Talente &amp; Stuff'!FU:GV,27,FALSE)</f>
        <v>0</v>
      </c>
      <c r="AD158" s="125">
        <f>VLOOKUP(C158,'Talente &amp; Stuff'!FU:GV,28,FALSE)</f>
        <v>0</v>
      </c>
      <c r="AE158" s="28"/>
    </row>
    <row r="159" spans="2:31" ht="15" hidden="1" customHeight="1" outlineLevel="2">
      <c r="B159" s="148">
        <v>7</v>
      </c>
      <c r="C159" s="177" t="str">
        <f>Attribute!C159</f>
        <v>---</v>
      </c>
      <c r="D159" s="86" t="str">
        <f>VLOOKUP(C159,'Talente &amp; Stuff'!FU:GV,2,FALSE)</f>
        <v>--/--/--</v>
      </c>
      <c r="E159" s="167" t="str">
        <f>VLOOKUP(C159,'Talente &amp; Stuff'!FU:GV,3,FALSE)</f>
        <v>-</v>
      </c>
      <c r="F159" s="120">
        <f>VLOOKUP(C159,'Talente &amp; Stuff'!FU:GV,4,FALSE)</f>
        <v>0</v>
      </c>
      <c r="G159" s="117">
        <f>VLOOKUP(C159,'Talente &amp; Stuff'!FU:GV,5,FALSE)</f>
        <v>0</v>
      </c>
      <c r="H159" s="117">
        <f>VLOOKUP(C159,'Talente &amp; Stuff'!FU:GV,6,FALSE)</f>
        <v>0</v>
      </c>
      <c r="I159" s="117">
        <f>VLOOKUP(C159,'Talente &amp; Stuff'!FU:GV,7,FALSE)</f>
        <v>0</v>
      </c>
      <c r="J159" s="117">
        <f>VLOOKUP(C159,'Talente &amp; Stuff'!FU:GV,8,FALSE)</f>
        <v>0</v>
      </c>
      <c r="K159" s="117">
        <f>VLOOKUP(C159,'Talente &amp; Stuff'!FU:GV,9,FALSE)</f>
        <v>0</v>
      </c>
      <c r="L159" s="117">
        <f>VLOOKUP(C159,'Talente &amp; Stuff'!FU:GV,10,FALSE)</f>
        <v>0</v>
      </c>
      <c r="M159" s="121">
        <f>VLOOKUP(C159,'Talente &amp; Stuff'!FU:GV,11,FALSE)</f>
        <v>0</v>
      </c>
      <c r="N159" s="47">
        <f>VLOOKUP(C159,'Talente &amp; Stuff'!FU:GV,12,FALSE)</f>
        <v>0</v>
      </c>
      <c r="O159" s="3">
        <f>VLOOKUP(C159,'Talente &amp; Stuff'!FU:GV,13,FALSE)</f>
        <v>0</v>
      </c>
      <c r="P159" s="174">
        <f>VLOOKUP(C159,'Talente &amp; Stuff'!FU:GV,14,FALSE)</f>
        <v>0</v>
      </c>
      <c r="Q159" s="114">
        <f>VLOOKUP(C159,'Talente &amp; Stuff'!FU:GV,15,FALSE)</f>
        <v>0</v>
      </c>
      <c r="R159" s="117">
        <f>VLOOKUP(C159,'Talente &amp; Stuff'!FU:GV,16,FALSE)</f>
        <v>0</v>
      </c>
      <c r="S159" s="119">
        <f>VLOOKUP(C159,'Talente &amp; Stuff'!FU:GV,17,FALSE)</f>
        <v>0</v>
      </c>
      <c r="T159" s="119">
        <f>VLOOKUP(C159,'Talente &amp; Stuff'!FU:GV,18,FALSE)</f>
        <v>0</v>
      </c>
      <c r="U159" s="89">
        <f>VLOOKUP(C159,'Talente &amp; Stuff'!FU:GV,19,FALSE)</f>
        <v>0</v>
      </c>
      <c r="V159" s="47">
        <f>VLOOKUP(C159,'Talente &amp; Stuff'!FU:GV,20,FALSE)</f>
        <v>0</v>
      </c>
      <c r="W159" s="127">
        <f>VLOOKUP(C159,'Talente &amp; Stuff'!FU:GV,21,FALSE)</f>
        <v>0</v>
      </c>
      <c r="X159" s="127">
        <f>VLOOKUP(C159,'Talente &amp; Stuff'!FU:GV,22,FALSE)</f>
        <v>0</v>
      </c>
      <c r="Y159" s="165">
        <f t="shared" si="16"/>
        <v>0</v>
      </c>
      <c r="Z159" s="44">
        <f t="shared" si="17"/>
        <v>0</v>
      </c>
      <c r="AA159" s="125">
        <f>VLOOKUP(C159,'Talente &amp; Stuff'!FU:GV,25,FALSE)</f>
        <v>0</v>
      </c>
      <c r="AB159" s="160">
        <f>VLOOKUP(C159,'Talente &amp; Stuff'!FU:GV,26,FALSE)</f>
        <v>0</v>
      </c>
      <c r="AC159" s="127">
        <f>VLOOKUP(C159,'Talente &amp; Stuff'!FU:GV,27,FALSE)</f>
        <v>0</v>
      </c>
      <c r="AD159" s="125">
        <f>VLOOKUP(C159,'Talente &amp; Stuff'!FU:GV,28,FALSE)</f>
        <v>0</v>
      </c>
      <c r="AE159" s="28"/>
    </row>
    <row r="160" spans="2:31" ht="15" hidden="1" customHeight="1" outlineLevel="2">
      <c r="B160" s="148">
        <v>8</v>
      </c>
      <c r="C160" s="177" t="str">
        <f>Attribute!C160</f>
        <v>---</v>
      </c>
      <c r="D160" s="86" t="str">
        <f>VLOOKUP(C160,'Talente &amp; Stuff'!FU:GV,2,FALSE)</f>
        <v>--/--/--</v>
      </c>
      <c r="E160" s="167" t="str">
        <f>VLOOKUP(C160,'Talente &amp; Stuff'!FU:GV,3,FALSE)</f>
        <v>-</v>
      </c>
      <c r="F160" s="120">
        <f>VLOOKUP(C160,'Talente &amp; Stuff'!FU:GV,4,FALSE)</f>
        <v>0</v>
      </c>
      <c r="G160" s="117">
        <f>VLOOKUP(C160,'Talente &amp; Stuff'!FU:GV,5,FALSE)</f>
        <v>0</v>
      </c>
      <c r="H160" s="117">
        <f>VLOOKUP(C160,'Talente &amp; Stuff'!FU:GV,6,FALSE)</f>
        <v>0</v>
      </c>
      <c r="I160" s="117">
        <f>VLOOKUP(C160,'Talente &amp; Stuff'!FU:GV,7,FALSE)</f>
        <v>0</v>
      </c>
      <c r="J160" s="117">
        <f>VLOOKUP(C160,'Talente &amp; Stuff'!FU:GV,8,FALSE)</f>
        <v>0</v>
      </c>
      <c r="K160" s="117">
        <f>VLOOKUP(C160,'Talente &amp; Stuff'!FU:GV,9,FALSE)</f>
        <v>0</v>
      </c>
      <c r="L160" s="117">
        <f>VLOOKUP(C160,'Talente &amp; Stuff'!FU:GV,10,FALSE)</f>
        <v>0</v>
      </c>
      <c r="M160" s="121">
        <f>VLOOKUP(C160,'Talente &amp; Stuff'!FU:GV,11,FALSE)</f>
        <v>0</v>
      </c>
      <c r="N160" s="47">
        <f>VLOOKUP(C160,'Talente &amp; Stuff'!FU:GV,12,FALSE)</f>
        <v>0</v>
      </c>
      <c r="O160" s="3">
        <f>VLOOKUP(C160,'Talente &amp; Stuff'!FU:GV,13,FALSE)</f>
        <v>0</v>
      </c>
      <c r="P160" s="174">
        <f>VLOOKUP(C160,'Talente &amp; Stuff'!FU:GV,14,FALSE)</f>
        <v>0</v>
      </c>
      <c r="Q160" s="114">
        <f>VLOOKUP(C160,'Talente &amp; Stuff'!FU:GV,15,FALSE)</f>
        <v>0</v>
      </c>
      <c r="R160" s="117">
        <f>VLOOKUP(C160,'Talente &amp; Stuff'!FU:GV,16,FALSE)</f>
        <v>0</v>
      </c>
      <c r="S160" s="119">
        <f>VLOOKUP(C160,'Talente &amp; Stuff'!FU:GV,17,FALSE)</f>
        <v>0</v>
      </c>
      <c r="T160" s="119">
        <f>VLOOKUP(C160,'Talente &amp; Stuff'!FU:GV,18,FALSE)</f>
        <v>0</v>
      </c>
      <c r="U160" s="89">
        <f>VLOOKUP(C160,'Talente &amp; Stuff'!FU:GV,19,FALSE)</f>
        <v>0</v>
      </c>
      <c r="V160" s="47">
        <f>VLOOKUP(C160,'Talente &amp; Stuff'!FU:GV,20,FALSE)</f>
        <v>0</v>
      </c>
      <c r="W160" s="127">
        <f>VLOOKUP(C160,'Talente &amp; Stuff'!FU:GV,21,FALSE)</f>
        <v>0</v>
      </c>
      <c r="X160" s="127">
        <f>VLOOKUP(C160,'Talente &amp; Stuff'!FU:GV,22,FALSE)</f>
        <v>0</v>
      </c>
      <c r="Y160" s="165">
        <f t="shared" si="16"/>
        <v>0</v>
      </c>
      <c r="Z160" s="44">
        <f t="shared" si="17"/>
        <v>0</v>
      </c>
      <c r="AA160" s="125">
        <f>VLOOKUP(C160,'Talente &amp; Stuff'!FU:GV,25,FALSE)</f>
        <v>0</v>
      </c>
      <c r="AB160" s="160">
        <f>VLOOKUP(C160,'Talente &amp; Stuff'!FU:GV,26,FALSE)</f>
        <v>0</v>
      </c>
      <c r="AC160" s="127">
        <f>VLOOKUP(C160,'Talente &amp; Stuff'!FU:GV,27,FALSE)</f>
        <v>0</v>
      </c>
      <c r="AD160" s="125">
        <f>VLOOKUP(C160,'Talente &amp; Stuff'!FU:GV,28,FALSE)</f>
        <v>0</v>
      </c>
      <c r="AE160" s="28"/>
    </row>
    <row r="161" spans="2:31" ht="15" hidden="1" customHeight="1" outlineLevel="2">
      <c r="B161" s="148">
        <v>9</v>
      </c>
      <c r="C161" s="177" t="str">
        <f>Attribute!C161</f>
        <v>---</v>
      </c>
      <c r="D161" s="86" t="str">
        <f>VLOOKUP(C161,'Talente &amp; Stuff'!FU:GV,2,FALSE)</f>
        <v>--/--/--</v>
      </c>
      <c r="E161" s="167" t="str">
        <f>VLOOKUP(C161,'Talente &amp; Stuff'!FU:GV,3,FALSE)</f>
        <v>-</v>
      </c>
      <c r="F161" s="120">
        <f>VLOOKUP(C161,'Talente &amp; Stuff'!FU:GV,4,FALSE)</f>
        <v>0</v>
      </c>
      <c r="G161" s="117">
        <f>VLOOKUP(C161,'Talente &amp; Stuff'!FU:GV,5,FALSE)</f>
        <v>0</v>
      </c>
      <c r="H161" s="117">
        <f>VLOOKUP(C161,'Talente &amp; Stuff'!FU:GV,6,FALSE)</f>
        <v>0</v>
      </c>
      <c r="I161" s="117">
        <f>VLOOKUP(C161,'Talente &amp; Stuff'!FU:GV,7,FALSE)</f>
        <v>0</v>
      </c>
      <c r="J161" s="117">
        <f>VLOOKUP(C161,'Talente &amp; Stuff'!FU:GV,8,FALSE)</f>
        <v>0</v>
      </c>
      <c r="K161" s="117">
        <f>VLOOKUP(C161,'Talente &amp; Stuff'!FU:GV,9,FALSE)</f>
        <v>0</v>
      </c>
      <c r="L161" s="117">
        <f>VLOOKUP(C161,'Talente &amp; Stuff'!FU:GV,10,FALSE)</f>
        <v>0</v>
      </c>
      <c r="M161" s="121">
        <f>VLOOKUP(C161,'Talente &amp; Stuff'!FU:GV,11,FALSE)</f>
        <v>0</v>
      </c>
      <c r="N161" s="47">
        <f>VLOOKUP(C161,'Talente &amp; Stuff'!FU:GV,12,FALSE)</f>
        <v>0</v>
      </c>
      <c r="O161" s="3">
        <f>VLOOKUP(C161,'Talente &amp; Stuff'!FU:GV,13,FALSE)</f>
        <v>0</v>
      </c>
      <c r="P161" s="174">
        <f>VLOOKUP(C161,'Talente &amp; Stuff'!FU:GV,14,FALSE)</f>
        <v>0</v>
      </c>
      <c r="Q161" s="114">
        <f>VLOOKUP(C161,'Talente &amp; Stuff'!FU:GV,15,FALSE)</f>
        <v>0</v>
      </c>
      <c r="R161" s="117">
        <f>VLOOKUP(C161,'Talente &amp; Stuff'!FU:GV,16,FALSE)</f>
        <v>0</v>
      </c>
      <c r="S161" s="119">
        <f>VLOOKUP(C161,'Talente &amp; Stuff'!FU:GV,17,FALSE)</f>
        <v>0</v>
      </c>
      <c r="T161" s="119">
        <f>VLOOKUP(C161,'Talente &amp; Stuff'!FU:GV,18,FALSE)</f>
        <v>0</v>
      </c>
      <c r="U161" s="89">
        <f>VLOOKUP(C161,'Talente &amp; Stuff'!FU:GV,19,FALSE)</f>
        <v>0</v>
      </c>
      <c r="V161" s="47">
        <f>VLOOKUP(C161,'Talente &amp; Stuff'!FU:GV,20,FALSE)</f>
        <v>0</v>
      </c>
      <c r="W161" s="127">
        <f>VLOOKUP(C161,'Talente &amp; Stuff'!FU:GV,21,FALSE)</f>
        <v>0</v>
      </c>
      <c r="X161" s="127">
        <f>VLOOKUP(C161,'Talente &amp; Stuff'!FU:GV,22,FALSE)</f>
        <v>0</v>
      </c>
      <c r="Y161" s="165">
        <f t="shared" si="16"/>
        <v>0</v>
      </c>
      <c r="Z161" s="44">
        <f t="shared" si="17"/>
        <v>0</v>
      </c>
      <c r="AA161" s="125">
        <f>VLOOKUP(C161,'Talente &amp; Stuff'!FU:GV,25,FALSE)</f>
        <v>0</v>
      </c>
      <c r="AB161" s="160">
        <f>VLOOKUP(C161,'Talente &amp; Stuff'!FU:GV,26,FALSE)</f>
        <v>0</v>
      </c>
      <c r="AC161" s="127">
        <f>VLOOKUP(C161,'Talente &amp; Stuff'!FU:GV,27,FALSE)</f>
        <v>0</v>
      </c>
      <c r="AD161" s="125">
        <f>VLOOKUP(C161,'Talente &amp; Stuff'!FU:GV,28,FALSE)</f>
        <v>0</v>
      </c>
      <c r="AE161" s="28"/>
    </row>
    <row r="162" spans="2:31" ht="15" hidden="1" customHeight="1" outlineLevel="2">
      <c r="B162" s="148">
        <v>10</v>
      </c>
      <c r="C162" s="177" t="str">
        <f>Attribute!C162</f>
        <v>---</v>
      </c>
      <c r="D162" s="86" t="str">
        <f>VLOOKUP(C162,'Talente &amp; Stuff'!FU:GV,2,FALSE)</f>
        <v>--/--/--</v>
      </c>
      <c r="E162" s="167" t="str">
        <f>VLOOKUP(C162,'Talente &amp; Stuff'!FU:GV,3,FALSE)</f>
        <v>-</v>
      </c>
      <c r="F162" s="120">
        <f>VLOOKUP(C162,'Talente &amp; Stuff'!FU:GV,4,FALSE)</f>
        <v>0</v>
      </c>
      <c r="G162" s="117">
        <f>VLOOKUP(C162,'Talente &amp; Stuff'!FU:GV,5,FALSE)</f>
        <v>0</v>
      </c>
      <c r="H162" s="117">
        <f>VLOOKUP(C162,'Talente &amp; Stuff'!FU:GV,6,FALSE)</f>
        <v>0</v>
      </c>
      <c r="I162" s="117">
        <f>VLOOKUP(C162,'Talente &amp; Stuff'!FU:GV,7,FALSE)</f>
        <v>0</v>
      </c>
      <c r="J162" s="117">
        <f>VLOOKUP(C162,'Talente &amp; Stuff'!FU:GV,8,FALSE)</f>
        <v>0</v>
      </c>
      <c r="K162" s="117">
        <f>VLOOKUP(C162,'Talente &amp; Stuff'!FU:GV,9,FALSE)</f>
        <v>0</v>
      </c>
      <c r="L162" s="117">
        <f>VLOOKUP(C162,'Talente &amp; Stuff'!FU:GV,10,FALSE)</f>
        <v>0</v>
      </c>
      <c r="M162" s="121">
        <f>VLOOKUP(C162,'Talente &amp; Stuff'!FU:GV,11,FALSE)</f>
        <v>0</v>
      </c>
      <c r="N162" s="47">
        <f>VLOOKUP(C162,'Talente &amp; Stuff'!FU:GV,12,FALSE)</f>
        <v>0</v>
      </c>
      <c r="O162" s="3">
        <f>VLOOKUP(C162,'Talente &amp; Stuff'!FU:GV,13,FALSE)</f>
        <v>0</v>
      </c>
      <c r="P162" s="174">
        <f>VLOOKUP(C162,'Talente &amp; Stuff'!FU:GV,14,FALSE)</f>
        <v>0</v>
      </c>
      <c r="Q162" s="114">
        <f>VLOOKUP(C162,'Talente &amp; Stuff'!FU:GV,15,FALSE)</f>
        <v>0</v>
      </c>
      <c r="R162" s="117">
        <f>VLOOKUP(C162,'Talente &amp; Stuff'!FU:GV,16,FALSE)</f>
        <v>0</v>
      </c>
      <c r="S162" s="119">
        <f>VLOOKUP(C162,'Talente &amp; Stuff'!FU:GV,17,FALSE)</f>
        <v>0</v>
      </c>
      <c r="T162" s="119">
        <f>VLOOKUP(C162,'Talente &amp; Stuff'!FU:GV,18,FALSE)</f>
        <v>0</v>
      </c>
      <c r="U162" s="89">
        <f>VLOOKUP(C162,'Talente &amp; Stuff'!FU:GV,19,FALSE)</f>
        <v>0</v>
      </c>
      <c r="V162" s="47">
        <f>VLOOKUP(C162,'Talente &amp; Stuff'!FU:GV,20,FALSE)</f>
        <v>0</v>
      </c>
      <c r="W162" s="127">
        <f>VLOOKUP(C162,'Talente &amp; Stuff'!FU:GV,21,FALSE)</f>
        <v>0</v>
      </c>
      <c r="X162" s="127">
        <f>VLOOKUP(C162,'Talente &amp; Stuff'!FU:GV,22,FALSE)</f>
        <v>0</v>
      </c>
      <c r="Y162" s="165">
        <f t="shared" si="16"/>
        <v>0</v>
      </c>
      <c r="Z162" s="44">
        <f t="shared" si="17"/>
        <v>0</v>
      </c>
      <c r="AA162" s="125">
        <f>VLOOKUP(C162,'Talente &amp; Stuff'!FU:GV,25,FALSE)</f>
        <v>0</v>
      </c>
      <c r="AB162" s="160">
        <f>VLOOKUP(C162,'Talente &amp; Stuff'!FU:GV,26,FALSE)</f>
        <v>0</v>
      </c>
      <c r="AC162" s="127">
        <f>VLOOKUP(C162,'Talente &amp; Stuff'!FU:GV,27,FALSE)</f>
        <v>0</v>
      </c>
      <c r="AD162" s="125">
        <f>VLOOKUP(C162,'Talente &amp; Stuff'!FU:GV,28,FALSE)</f>
        <v>0</v>
      </c>
      <c r="AE162" s="28"/>
    </row>
    <row r="163" spans="2:31" ht="15" hidden="1" customHeight="1" outlineLevel="2">
      <c r="B163" s="148">
        <v>11</v>
      </c>
      <c r="C163" s="177" t="str">
        <f>Attribute!C163</f>
        <v>---</v>
      </c>
      <c r="D163" s="86" t="str">
        <f>VLOOKUP(C163,'Talente &amp; Stuff'!FU:GV,2,FALSE)</f>
        <v>--/--/--</v>
      </c>
      <c r="E163" s="167" t="str">
        <f>VLOOKUP(C163,'Talente &amp; Stuff'!FU:GV,3,FALSE)</f>
        <v>-</v>
      </c>
      <c r="F163" s="120">
        <f>VLOOKUP(C163,'Talente &amp; Stuff'!FU:GV,4,FALSE)</f>
        <v>0</v>
      </c>
      <c r="G163" s="117">
        <f>VLOOKUP(C163,'Talente &amp; Stuff'!FU:GV,5,FALSE)</f>
        <v>0</v>
      </c>
      <c r="H163" s="117">
        <f>VLOOKUP(C163,'Talente &amp; Stuff'!FU:GV,6,FALSE)</f>
        <v>0</v>
      </c>
      <c r="I163" s="117">
        <f>VLOOKUP(C163,'Talente &amp; Stuff'!FU:GV,7,FALSE)</f>
        <v>0</v>
      </c>
      <c r="J163" s="117">
        <f>VLOOKUP(C163,'Talente &amp; Stuff'!FU:GV,8,FALSE)</f>
        <v>0</v>
      </c>
      <c r="K163" s="117">
        <f>VLOOKUP(C163,'Talente &amp; Stuff'!FU:GV,9,FALSE)</f>
        <v>0</v>
      </c>
      <c r="L163" s="117">
        <f>VLOOKUP(C163,'Talente &amp; Stuff'!FU:GV,10,FALSE)</f>
        <v>0</v>
      </c>
      <c r="M163" s="121">
        <f>VLOOKUP(C163,'Talente &amp; Stuff'!FU:GV,11,FALSE)</f>
        <v>0</v>
      </c>
      <c r="N163" s="47">
        <f>VLOOKUP(C163,'Talente &amp; Stuff'!FU:GV,12,FALSE)</f>
        <v>0</v>
      </c>
      <c r="O163" s="3">
        <f>VLOOKUP(C163,'Talente &amp; Stuff'!FU:GV,13,FALSE)</f>
        <v>0</v>
      </c>
      <c r="P163" s="174">
        <f>VLOOKUP(C163,'Talente &amp; Stuff'!FU:GV,14,FALSE)</f>
        <v>0</v>
      </c>
      <c r="Q163" s="114">
        <f>VLOOKUP(C163,'Talente &amp; Stuff'!FU:GV,15,FALSE)</f>
        <v>0</v>
      </c>
      <c r="R163" s="117">
        <f>VLOOKUP(C163,'Talente &amp; Stuff'!FU:GV,16,FALSE)</f>
        <v>0</v>
      </c>
      <c r="S163" s="119">
        <f>VLOOKUP(C163,'Talente &amp; Stuff'!FU:GV,17,FALSE)</f>
        <v>0</v>
      </c>
      <c r="T163" s="119">
        <f>VLOOKUP(C163,'Talente &amp; Stuff'!FU:GV,18,FALSE)</f>
        <v>0</v>
      </c>
      <c r="U163" s="89">
        <f>VLOOKUP(C163,'Talente &amp; Stuff'!FU:GV,19,FALSE)</f>
        <v>0</v>
      </c>
      <c r="V163" s="47">
        <f>VLOOKUP(C163,'Talente &amp; Stuff'!FU:GV,20,FALSE)</f>
        <v>0</v>
      </c>
      <c r="W163" s="127">
        <f>VLOOKUP(C163,'Talente &amp; Stuff'!FU:GV,21,FALSE)</f>
        <v>0</v>
      </c>
      <c r="X163" s="127">
        <f>VLOOKUP(C163,'Talente &amp; Stuff'!FU:GV,22,FALSE)</f>
        <v>0</v>
      </c>
      <c r="Y163" s="165">
        <f t="shared" si="16"/>
        <v>0</v>
      </c>
      <c r="Z163" s="44">
        <f t="shared" si="17"/>
        <v>0</v>
      </c>
      <c r="AA163" s="125">
        <f>VLOOKUP(C163,'Talente &amp; Stuff'!FU:GV,25,FALSE)</f>
        <v>0</v>
      </c>
      <c r="AB163" s="160">
        <f>VLOOKUP(C163,'Talente &amp; Stuff'!FU:GV,26,FALSE)</f>
        <v>0</v>
      </c>
      <c r="AC163" s="127">
        <f>VLOOKUP(C163,'Talente &amp; Stuff'!FU:GV,27,FALSE)</f>
        <v>0</v>
      </c>
      <c r="AD163" s="125">
        <f>VLOOKUP(C163,'Talente &amp; Stuff'!FU:GV,28,FALSE)</f>
        <v>0</v>
      </c>
      <c r="AE163" s="28"/>
    </row>
    <row r="164" spans="2:31" ht="15" hidden="1" customHeight="1" outlineLevel="2">
      <c r="B164" s="148">
        <v>12</v>
      </c>
      <c r="C164" s="177" t="str">
        <f>Attribute!C164</f>
        <v>---</v>
      </c>
      <c r="D164" s="86" t="str">
        <f>VLOOKUP(C164,'Talente &amp; Stuff'!FU:GV,2,FALSE)</f>
        <v>--/--/--</v>
      </c>
      <c r="E164" s="167" t="str">
        <f>VLOOKUP(C164,'Talente &amp; Stuff'!FU:GV,3,FALSE)</f>
        <v>-</v>
      </c>
      <c r="F164" s="120">
        <f>VLOOKUP(C164,'Talente &amp; Stuff'!FU:GV,4,FALSE)</f>
        <v>0</v>
      </c>
      <c r="G164" s="117">
        <f>VLOOKUP(C164,'Talente &amp; Stuff'!FU:GV,5,FALSE)</f>
        <v>0</v>
      </c>
      <c r="H164" s="117">
        <f>VLOOKUP(C164,'Talente &amp; Stuff'!FU:GV,6,FALSE)</f>
        <v>0</v>
      </c>
      <c r="I164" s="117">
        <f>VLOOKUP(C164,'Talente &amp; Stuff'!FU:GV,7,FALSE)</f>
        <v>0</v>
      </c>
      <c r="J164" s="117">
        <f>VLOOKUP(C164,'Talente &amp; Stuff'!FU:GV,8,FALSE)</f>
        <v>0</v>
      </c>
      <c r="K164" s="117">
        <f>VLOOKUP(C164,'Talente &amp; Stuff'!FU:GV,9,FALSE)</f>
        <v>0</v>
      </c>
      <c r="L164" s="117">
        <f>VLOOKUP(C164,'Talente &amp; Stuff'!FU:GV,10,FALSE)</f>
        <v>0</v>
      </c>
      <c r="M164" s="121">
        <f>VLOOKUP(C164,'Talente &amp; Stuff'!FU:GV,11,FALSE)</f>
        <v>0</v>
      </c>
      <c r="N164" s="47">
        <f>VLOOKUP(C164,'Talente &amp; Stuff'!FU:GV,12,FALSE)</f>
        <v>0</v>
      </c>
      <c r="O164" s="3">
        <f>VLOOKUP(C164,'Talente &amp; Stuff'!FU:GV,13,FALSE)</f>
        <v>0</v>
      </c>
      <c r="P164" s="174">
        <f>VLOOKUP(C164,'Talente &amp; Stuff'!FU:GV,14,FALSE)</f>
        <v>0</v>
      </c>
      <c r="Q164" s="114">
        <f>VLOOKUP(C164,'Talente &amp; Stuff'!FU:GV,15,FALSE)</f>
        <v>0</v>
      </c>
      <c r="R164" s="117">
        <f>VLOOKUP(C164,'Talente &amp; Stuff'!FU:GV,16,FALSE)</f>
        <v>0</v>
      </c>
      <c r="S164" s="119">
        <f>VLOOKUP(C164,'Talente &amp; Stuff'!FU:GV,17,FALSE)</f>
        <v>0</v>
      </c>
      <c r="T164" s="119">
        <f>VLOOKUP(C164,'Talente &amp; Stuff'!FU:GV,18,FALSE)</f>
        <v>0</v>
      </c>
      <c r="U164" s="89">
        <f>VLOOKUP(C164,'Talente &amp; Stuff'!FU:GV,19,FALSE)</f>
        <v>0</v>
      </c>
      <c r="V164" s="47">
        <f>VLOOKUP(C164,'Talente &amp; Stuff'!FU:GV,20,FALSE)</f>
        <v>0</v>
      </c>
      <c r="W164" s="127">
        <f>VLOOKUP(C164,'Talente &amp; Stuff'!FU:GV,21,FALSE)</f>
        <v>0</v>
      </c>
      <c r="X164" s="127">
        <f>VLOOKUP(C164,'Talente &amp; Stuff'!FU:GV,22,FALSE)</f>
        <v>0</v>
      </c>
      <c r="Y164" s="165">
        <f t="shared" si="16"/>
        <v>0</v>
      </c>
      <c r="Z164" s="44">
        <f t="shared" si="17"/>
        <v>0</v>
      </c>
      <c r="AA164" s="125">
        <f>VLOOKUP(C164,'Talente &amp; Stuff'!FU:GV,25,FALSE)</f>
        <v>0</v>
      </c>
      <c r="AB164" s="160">
        <f>VLOOKUP(C164,'Talente &amp; Stuff'!FU:GV,26,FALSE)</f>
        <v>0</v>
      </c>
      <c r="AC164" s="127">
        <f>VLOOKUP(C164,'Talente &amp; Stuff'!FU:GV,27,FALSE)</f>
        <v>0</v>
      </c>
      <c r="AD164" s="125">
        <f>VLOOKUP(C164,'Talente &amp; Stuff'!FU:GV,28,FALSE)</f>
        <v>0</v>
      </c>
      <c r="AE164" s="28"/>
    </row>
    <row r="165" spans="2:31" ht="15" hidden="1" customHeight="1" outlineLevel="2">
      <c r="B165" s="148">
        <v>13</v>
      </c>
      <c r="C165" s="177" t="str">
        <f>Attribute!C165</f>
        <v>---</v>
      </c>
      <c r="D165" s="86" t="str">
        <f>VLOOKUP(C165,'Talente &amp; Stuff'!FU:GV,2,FALSE)</f>
        <v>--/--/--</v>
      </c>
      <c r="E165" s="167" t="str">
        <f>VLOOKUP(C165,'Talente &amp; Stuff'!FU:GV,3,FALSE)</f>
        <v>-</v>
      </c>
      <c r="F165" s="120">
        <f>VLOOKUP(C165,'Talente &amp; Stuff'!FU:GV,4,FALSE)</f>
        <v>0</v>
      </c>
      <c r="G165" s="117">
        <f>VLOOKUP(C165,'Talente &amp; Stuff'!FU:GV,5,FALSE)</f>
        <v>0</v>
      </c>
      <c r="H165" s="117">
        <f>VLOOKUP(C165,'Talente &amp; Stuff'!FU:GV,6,FALSE)</f>
        <v>0</v>
      </c>
      <c r="I165" s="117">
        <f>VLOOKUP(C165,'Talente &amp; Stuff'!FU:GV,7,FALSE)</f>
        <v>0</v>
      </c>
      <c r="J165" s="117">
        <f>VLOOKUP(C165,'Talente &amp; Stuff'!FU:GV,8,FALSE)</f>
        <v>0</v>
      </c>
      <c r="K165" s="117">
        <f>VLOOKUP(C165,'Talente &amp; Stuff'!FU:GV,9,FALSE)</f>
        <v>0</v>
      </c>
      <c r="L165" s="117">
        <f>VLOOKUP(C165,'Talente &amp; Stuff'!FU:GV,10,FALSE)</f>
        <v>0</v>
      </c>
      <c r="M165" s="121">
        <f>VLOOKUP(C165,'Talente &amp; Stuff'!FU:GV,11,FALSE)</f>
        <v>0</v>
      </c>
      <c r="N165" s="47">
        <f>VLOOKUP(C165,'Talente &amp; Stuff'!FU:GV,12,FALSE)</f>
        <v>0</v>
      </c>
      <c r="O165" s="3">
        <f>VLOOKUP(C165,'Talente &amp; Stuff'!FU:GV,13,FALSE)</f>
        <v>0</v>
      </c>
      <c r="P165" s="174">
        <f>VLOOKUP(C165,'Talente &amp; Stuff'!FU:GV,14,FALSE)</f>
        <v>0</v>
      </c>
      <c r="Q165" s="114">
        <f>VLOOKUP(C165,'Talente &amp; Stuff'!FU:GV,15,FALSE)</f>
        <v>0</v>
      </c>
      <c r="R165" s="117">
        <f>VLOOKUP(C165,'Talente &amp; Stuff'!FU:GV,16,FALSE)</f>
        <v>0</v>
      </c>
      <c r="S165" s="119">
        <f>VLOOKUP(C165,'Talente &amp; Stuff'!FU:GV,17,FALSE)</f>
        <v>0</v>
      </c>
      <c r="T165" s="119">
        <f>VLOOKUP(C165,'Talente &amp; Stuff'!FU:GV,18,FALSE)</f>
        <v>0</v>
      </c>
      <c r="U165" s="89">
        <f>VLOOKUP(C165,'Talente &amp; Stuff'!FU:GV,19,FALSE)</f>
        <v>0</v>
      </c>
      <c r="V165" s="47">
        <f>VLOOKUP(C165,'Talente &amp; Stuff'!FU:GV,20,FALSE)</f>
        <v>0</v>
      </c>
      <c r="W165" s="127">
        <f>VLOOKUP(C165,'Talente &amp; Stuff'!FU:GV,21,FALSE)</f>
        <v>0</v>
      </c>
      <c r="X165" s="127">
        <f>VLOOKUP(C165,'Talente &amp; Stuff'!FU:GV,22,FALSE)</f>
        <v>0</v>
      </c>
      <c r="Y165" s="165">
        <f t="shared" si="16"/>
        <v>0</v>
      </c>
      <c r="Z165" s="44">
        <f t="shared" si="17"/>
        <v>0</v>
      </c>
      <c r="AA165" s="125">
        <f>VLOOKUP(C165,'Talente &amp; Stuff'!FU:GV,25,FALSE)</f>
        <v>0</v>
      </c>
      <c r="AB165" s="160">
        <f>VLOOKUP(C165,'Talente &amp; Stuff'!FU:GV,26,FALSE)</f>
        <v>0</v>
      </c>
      <c r="AC165" s="127">
        <f>VLOOKUP(C165,'Talente &amp; Stuff'!FU:GV,27,FALSE)</f>
        <v>0</v>
      </c>
      <c r="AD165" s="125">
        <f>VLOOKUP(C165,'Talente &amp; Stuff'!FU:GV,28,FALSE)</f>
        <v>0</v>
      </c>
      <c r="AE165" s="28"/>
    </row>
    <row r="166" spans="2:31" ht="15" hidden="1" customHeight="1" outlineLevel="2">
      <c r="B166" s="148">
        <v>14</v>
      </c>
      <c r="C166" s="177" t="str">
        <f>Attribute!C166</f>
        <v>---</v>
      </c>
      <c r="D166" s="86" t="str">
        <f>VLOOKUP(C166,'Talente &amp; Stuff'!FU:GV,2,FALSE)</f>
        <v>--/--/--</v>
      </c>
      <c r="E166" s="167" t="str">
        <f>VLOOKUP(C166,'Talente &amp; Stuff'!FU:GV,3,FALSE)</f>
        <v>-</v>
      </c>
      <c r="F166" s="120">
        <f>VLOOKUP(C166,'Talente &amp; Stuff'!FU:GV,4,FALSE)</f>
        <v>0</v>
      </c>
      <c r="G166" s="117">
        <f>VLOOKUP(C166,'Talente &amp; Stuff'!FU:GV,5,FALSE)</f>
        <v>0</v>
      </c>
      <c r="H166" s="117">
        <f>VLOOKUP(C166,'Talente &amp; Stuff'!FU:GV,6,FALSE)</f>
        <v>0</v>
      </c>
      <c r="I166" s="117">
        <f>VLOOKUP(C166,'Talente &amp; Stuff'!FU:GV,7,FALSE)</f>
        <v>0</v>
      </c>
      <c r="J166" s="117">
        <f>VLOOKUP(C166,'Talente &amp; Stuff'!FU:GV,8,FALSE)</f>
        <v>0</v>
      </c>
      <c r="K166" s="117">
        <f>VLOOKUP(C166,'Talente &amp; Stuff'!FU:GV,9,FALSE)</f>
        <v>0</v>
      </c>
      <c r="L166" s="117">
        <f>VLOOKUP(C166,'Talente &amp; Stuff'!FU:GV,10,FALSE)</f>
        <v>0</v>
      </c>
      <c r="M166" s="121">
        <f>VLOOKUP(C166,'Talente &amp; Stuff'!FU:GV,11,FALSE)</f>
        <v>0</v>
      </c>
      <c r="N166" s="47">
        <f>VLOOKUP(C166,'Talente &amp; Stuff'!FU:GV,12,FALSE)</f>
        <v>0</v>
      </c>
      <c r="O166" s="3">
        <f>VLOOKUP(C166,'Talente &amp; Stuff'!FU:GV,13,FALSE)</f>
        <v>0</v>
      </c>
      <c r="P166" s="174">
        <f>VLOOKUP(C166,'Talente &amp; Stuff'!FU:GV,14,FALSE)</f>
        <v>0</v>
      </c>
      <c r="Q166" s="114">
        <f>VLOOKUP(C166,'Talente &amp; Stuff'!FU:GV,15,FALSE)</f>
        <v>0</v>
      </c>
      <c r="R166" s="117">
        <f>VLOOKUP(C166,'Talente &amp; Stuff'!FU:GV,16,FALSE)</f>
        <v>0</v>
      </c>
      <c r="S166" s="119">
        <f>VLOOKUP(C166,'Talente &amp; Stuff'!FU:GV,17,FALSE)</f>
        <v>0</v>
      </c>
      <c r="T166" s="119">
        <f>VLOOKUP(C166,'Talente &amp; Stuff'!FU:GV,18,FALSE)</f>
        <v>0</v>
      </c>
      <c r="U166" s="89">
        <f>VLOOKUP(C166,'Talente &amp; Stuff'!FU:GV,19,FALSE)</f>
        <v>0</v>
      </c>
      <c r="V166" s="47">
        <f>VLOOKUP(C166,'Talente &amp; Stuff'!FU:GV,20,FALSE)</f>
        <v>0</v>
      </c>
      <c r="W166" s="127">
        <f>VLOOKUP(C166,'Talente &amp; Stuff'!FU:GV,21,FALSE)</f>
        <v>0</v>
      </c>
      <c r="X166" s="127">
        <f>VLOOKUP(C166,'Talente &amp; Stuff'!FU:GV,22,FALSE)</f>
        <v>0</v>
      </c>
      <c r="Y166" s="165">
        <f t="shared" si="16"/>
        <v>0</v>
      </c>
      <c r="Z166" s="44">
        <f t="shared" si="17"/>
        <v>0</v>
      </c>
      <c r="AA166" s="125">
        <f>VLOOKUP(C166,'Talente &amp; Stuff'!FU:GV,25,FALSE)</f>
        <v>0</v>
      </c>
      <c r="AB166" s="160">
        <f>VLOOKUP(C166,'Talente &amp; Stuff'!FU:GV,26,FALSE)</f>
        <v>0</v>
      </c>
      <c r="AC166" s="127">
        <f>VLOOKUP(C166,'Talente &amp; Stuff'!FU:GV,27,FALSE)</f>
        <v>0</v>
      </c>
      <c r="AD166" s="125">
        <f>VLOOKUP(C166,'Talente &amp; Stuff'!FU:GV,28,FALSE)</f>
        <v>0</v>
      </c>
      <c r="AE166" s="28"/>
    </row>
    <row r="167" spans="2:31" ht="15" hidden="1" customHeight="1" outlineLevel="2">
      <c r="B167" s="148">
        <v>15</v>
      </c>
      <c r="C167" s="177" t="str">
        <f>Attribute!C167</f>
        <v>---</v>
      </c>
      <c r="D167" s="86" t="str">
        <f>VLOOKUP(C167,'Talente &amp; Stuff'!FU:GV,2,FALSE)</f>
        <v>--/--/--</v>
      </c>
      <c r="E167" s="167" t="str">
        <f>VLOOKUP(C167,'Talente &amp; Stuff'!FU:GV,3,FALSE)</f>
        <v>-</v>
      </c>
      <c r="F167" s="120">
        <f>VLOOKUP(C167,'Talente &amp; Stuff'!FU:GV,4,FALSE)</f>
        <v>0</v>
      </c>
      <c r="G167" s="117">
        <f>VLOOKUP(C167,'Talente &amp; Stuff'!FU:GV,5,FALSE)</f>
        <v>0</v>
      </c>
      <c r="H167" s="117">
        <f>VLOOKUP(C167,'Talente &amp; Stuff'!FU:GV,6,FALSE)</f>
        <v>0</v>
      </c>
      <c r="I167" s="117">
        <f>VLOOKUP(C167,'Talente &amp; Stuff'!FU:GV,7,FALSE)</f>
        <v>0</v>
      </c>
      <c r="J167" s="117">
        <f>VLOOKUP(C167,'Talente &amp; Stuff'!FU:GV,8,FALSE)</f>
        <v>0</v>
      </c>
      <c r="K167" s="117">
        <f>VLOOKUP(C167,'Talente &amp; Stuff'!FU:GV,9,FALSE)</f>
        <v>0</v>
      </c>
      <c r="L167" s="117">
        <f>VLOOKUP(C167,'Talente &amp; Stuff'!FU:GV,10,FALSE)</f>
        <v>0</v>
      </c>
      <c r="M167" s="121">
        <f>VLOOKUP(C167,'Talente &amp; Stuff'!FU:GV,11,FALSE)</f>
        <v>0</v>
      </c>
      <c r="N167" s="47">
        <f>VLOOKUP(C167,'Talente &amp; Stuff'!FU:GV,12,FALSE)</f>
        <v>0</v>
      </c>
      <c r="O167" s="3">
        <f>VLOOKUP(C167,'Talente &amp; Stuff'!FU:GV,13,FALSE)</f>
        <v>0</v>
      </c>
      <c r="P167" s="174">
        <f>VLOOKUP(C167,'Talente &amp; Stuff'!FU:GV,14,FALSE)</f>
        <v>0</v>
      </c>
      <c r="Q167" s="114">
        <f>VLOOKUP(C167,'Talente &amp; Stuff'!FU:GV,15,FALSE)</f>
        <v>0</v>
      </c>
      <c r="R167" s="117">
        <f>VLOOKUP(C167,'Talente &amp; Stuff'!FU:GV,16,FALSE)</f>
        <v>0</v>
      </c>
      <c r="S167" s="119">
        <f>VLOOKUP(C167,'Talente &amp; Stuff'!FU:GV,17,FALSE)</f>
        <v>0</v>
      </c>
      <c r="T167" s="119">
        <f>VLOOKUP(C167,'Talente &amp; Stuff'!FU:GV,18,FALSE)</f>
        <v>0</v>
      </c>
      <c r="U167" s="89">
        <f>VLOOKUP(C167,'Talente &amp; Stuff'!FU:GV,19,FALSE)</f>
        <v>0</v>
      </c>
      <c r="V167" s="47">
        <f>VLOOKUP(C167,'Talente &amp; Stuff'!FU:GV,20,FALSE)</f>
        <v>0</v>
      </c>
      <c r="W167" s="127">
        <f>VLOOKUP(C167,'Talente &amp; Stuff'!FU:GV,21,FALSE)</f>
        <v>0</v>
      </c>
      <c r="X167" s="127">
        <f>VLOOKUP(C167,'Talente &amp; Stuff'!FU:GV,22,FALSE)</f>
        <v>0</v>
      </c>
      <c r="Y167" s="165">
        <f t="shared" si="16"/>
        <v>0</v>
      </c>
      <c r="Z167" s="44">
        <f t="shared" si="17"/>
        <v>0</v>
      </c>
      <c r="AA167" s="125">
        <f>VLOOKUP(C167,'Talente &amp; Stuff'!FU:GV,25,FALSE)</f>
        <v>0</v>
      </c>
      <c r="AB167" s="160">
        <f>VLOOKUP(C167,'Talente &amp; Stuff'!FU:GV,26,FALSE)</f>
        <v>0</v>
      </c>
      <c r="AC167" s="127">
        <f>VLOOKUP(C167,'Talente &amp; Stuff'!FU:GV,27,FALSE)</f>
        <v>0</v>
      </c>
      <c r="AD167" s="125">
        <f>VLOOKUP(C167,'Talente &amp; Stuff'!FU:GV,28,FALSE)</f>
        <v>0</v>
      </c>
      <c r="AE167" s="28"/>
    </row>
    <row r="168" spans="2:31" ht="15" hidden="1" customHeight="1" outlineLevel="2">
      <c r="B168" s="148">
        <v>16</v>
      </c>
      <c r="C168" s="177" t="str">
        <f>Attribute!C168</f>
        <v>---</v>
      </c>
      <c r="D168" s="86" t="str">
        <f>VLOOKUP(C168,'Talente &amp; Stuff'!FU:GV,2,FALSE)</f>
        <v>--/--/--</v>
      </c>
      <c r="E168" s="167" t="str">
        <f>VLOOKUP(C168,'Talente &amp; Stuff'!FU:GV,3,FALSE)</f>
        <v>-</v>
      </c>
      <c r="F168" s="120">
        <f>VLOOKUP(C168,'Talente &amp; Stuff'!FU:GV,4,FALSE)</f>
        <v>0</v>
      </c>
      <c r="G168" s="117">
        <f>VLOOKUP(C168,'Talente &amp; Stuff'!FU:GV,5,FALSE)</f>
        <v>0</v>
      </c>
      <c r="H168" s="117">
        <f>VLOOKUP(C168,'Talente &amp; Stuff'!FU:GV,6,FALSE)</f>
        <v>0</v>
      </c>
      <c r="I168" s="117">
        <f>VLOOKUP(C168,'Talente &amp; Stuff'!FU:GV,7,FALSE)</f>
        <v>0</v>
      </c>
      <c r="J168" s="117">
        <f>VLOOKUP(C168,'Talente &amp; Stuff'!FU:GV,8,FALSE)</f>
        <v>0</v>
      </c>
      <c r="K168" s="117">
        <f>VLOOKUP(C168,'Talente &amp; Stuff'!FU:GV,9,FALSE)</f>
        <v>0</v>
      </c>
      <c r="L168" s="117">
        <f>VLOOKUP(C168,'Talente &amp; Stuff'!FU:GV,10,FALSE)</f>
        <v>0</v>
      </c>
      <c r="M168" s="121">
        <f>VLOOKUP(C168,'Talente &amp; Stuff'!FU:GV,11,FALSE)</f>
        <v>0</v>
      </c>
      <c r="N168" s="47">
        <f>VLOOKUP(C168,'Talente &amp; Stuff'!FU:GV,12,FALSE)</f>
        <v>0</v>
      </c>
      <c r="O168" s="3">
        <f>VLOOKUP(C168,'Talente &amp; Stuff'!FU:GV,13,FALSE)</f>
        <v>0</v>
      </c>
      <c r="P168" s="174">
        <f>VLOOKUP(C168,'Talente &amp; Stuff'!FU:GV,14,FALSE)</f>
        <v>0</v>
      </c>
      <c r="Q168" s="114">
        <f>VLOOKUP(C168,'Talente &amp; Stuff'!FU:GV,15,FALSE)</f>
        <v>0</v>
      </c>
      <c r="R168" s="117">
        <f>VLOOKUP(C168,'Talente &amp; Stuff'!FU:GV,16,FALSE)</f>
        <v>0</v>
      </c>
      <c r="S168" s="119">
        <f>VLOOKUP(C168,'Talente &amp; Stuff'!FU:GV,17,FALSE)</f>
        <v>0</v>
      </c>
      <c r="T168" s="119">
        <f>VLOOKUP(C168,'Talente &amp; Stuff'!FU:GV,18,FALSE)</f>
        <v>0</v>
      </c>
      <c r="U168" s="89">
        <f>VLOOKUP(C168,'Talente &amp; Stuff'!FU:GV,19,FALSE)</f>
        <v>0</v>
      </c>
      <c r="V168" s="47">
        <f>VLOOKUP(C168,'Talente &amp; Stuff'!FU:GV,20,FALSE)</f>
        <v>0</v>
      </c>
      <c r="W168" s="127">
        <f>VLOOKUP(C168,'Talente &amp; Stuff'!FU:GV,21,FALSE)</f>
        <v>0</v>
      </c>
      <c r="X168" s="127">
        <f>VLOOKUP(C168,'Talente &amp; Stuff'!FU:GV,22,FALSE)</f>
        <v>0</v>
      </c>
      <c r="Y168" s="165">
        <f t="shared" si="16"/>
        <v>0</v>
      </c>
      <c r="Z168" s="44">
        <f t="shared" si="17"/>
        <v>0</v>
      </c>
      <c r="AA168" s="125">
        <f>VLOOKUP(C168,'Talente &amp; Stuff'!FU:GV,25,FALSE)</f>
        <v>0</v>
      </c>
      <c r="AB168" s="160">
        <f>VLOOKUP(C168,'Talente &amp; Stuff'!FU:GV,26,FALSE)</f>
        <v>0</v>
      </c>
      <c r="AC168" s="127">
        <f>VLOOKUP(C168,'Talente &amp; Stuff'!FU:GV,27,FALSE)</f>
        <v>0</v>
      </c>
      <c r="AD168" s="125">
        <f>VLOOKUP(C168,'Talente &amp; Stuff'!FU:GV,28,FALSE)</f>
        <v>0</v>
      </c>
      <c r="AE168" s="28"/>
    </row>
    <row r="169" spans="2:31" ht="15" hidden="1" customHeight="1" outlineLevel="2">
      <c r="B169" s="148">
        <v>17</v>
      </c>
      <c r="C169" s="177" t="str">
        <f>Attribute!C169</f>
        <v>---</v>
      </c>
      <c r="D169" s="86" t="str">
        <f>VLOOKUP(C169,'Talente &amp; Stuff'!FU:GV,2,FALSE)</f>
        <v>--/--/--</v>
      </c>
      <c r="E169" s="167" t="str">
        <f>VLOOKUP(C169,'Talente &amp; Stuff'!FU:GV,3,FALSE)</f>
        <v>-</v>
      </c>
      <c r="F169" s="120">
        <f>VLOOKUP(C169,'Talente &amp; Stuff'!FU:GV,4,FALSE)</f>
        <v>0</v>
      </c>
      <c r="G169" s="117">
        <f>VLOOKUP(C169,'Talente &amp; Stuff'!FU:GV,5,FALSE)</f>
        <v>0</v>
      </c>
      <c r="H169" s="117">
        <f>VLOOKUP(C169,'Talente &amp; Stuff'!FU:GV,6,FALSE)</f>
        <v>0</v>
      </c>
      <c r="I169" s="117">
        <f>VLOOKUP(C169,'Talente &amp; Stuff'!FU:GV,7,FALSE)</f>
        <v>0</v>
      </c>
      <c r="J169" s="117">
        <f>VLOOKUP(C169,'Talente &amp; Stuff'!FU:GV,8,FALSE)</f>
        <v>0</v>
      </c>
      <c r="K169" s="117">
        <f>VLOOKUP(C169,'Talente &amp; Stuff'!FU:GV,9,FALSE)</f>
        <v>0</v>
      </c>
      <c r="L169" s="117">
        <f>VLOOKUP(C169,'Talente &amp; Stuff'!FU:GV,10,FALSE)</f>
        <v>0</v>
      </c>
      <c r="M169" s="121">
        <f>VLOOKUP(C169,'Talente &amp; Stuff'!FU:GV,11,FALSE)</f>
        <v>0</v>
      </c>
      <c r="N169" s="47">
        <f>VLOOKUP(C169,'Talente &amp; Stuff'!FU:GV,12,FALSE)</f>
        <v>0</v>
      </c>
      <c r="O169" s="3">
        <f>VLOOKUP(C169,'Talente &amp; Stuff'!FU:GV,13,FALSE)</f>
        <v>0</v>
      </c>
      <c r="P169" s="174">
        <f>VLOOKUP(C169,'Talente &amp; Stuff'!FU:GV,14,FALSE)</f>
        <v>0</v>
      </c>
      <c r="Q169" s="114">
        <f>VLOOKUP(C169,'Talente &amp; Stuff'!FU:GV,15,FALSE)</f>
        <v>0</v>
      </c>
      <c r="R169" s="117">
        <f>VLOOKUP(C169,'Talente &amp; Stuff'!FU:GV,16,FALSE)</f>
        <v>0</v>
      </c>
      <c r="S169" s="119">
        <f>VLOOKUP(C169,'Talente &amp; Stuff'!FU:GV,17,FALSE)</f>
        <v>0</v>
      </c>
      <c r="T169" s="119">
        <f>VLOOKUP(C169,'Talente &amp; Stuff'!FU:GV,18,FALSE)</f>
        <v>0</v>
      </c>
      <c r="U169" s="89">
        <f>VLOOKUP(C169,'Talente &amp; Stuff'!FU:GV,19,FALSE)</f>
        <v>0</v>
      </c>
      <c r="V169" s="47">
        <f>VLOOKUP(C169,'Talente &amp; Stuff'!FU:GV,20,FALSE)</f>
        <v>0</v>
      </c>
      <c r="W169" s="127">
        <f>VLOOKUP(C169,'Talente &amp; Stuff'!FU:GV,21,FALSE)</f>
        <v>0</v>
      </c>
      <c r="X169" s="127">
        <f>VLOOKUP(C169,'Talente &amp; Stuff'!FU:GV,22,FALSE)</f>
        <v>0</v>
      </c>
      <c r="Y169" s="165">
        <f t="shared" si="16"/>
        <v>0</v>
      </c>
      <c r="Z169" s="44">
        <f t="shared" si="17"/>
        <v>0</v>
      </c>
      <c r="AA169" s="125">
        <f>VLOOKUP(C169,'Talente &amp; Stuff'!FU:GV,25,FALSE)</f>
        <v>0</v>
      </c>
      <c r="AB169" s="160">
        <f>VLOOKUP(C169,'Talente &amp; Stuff'!FU:GV,26,FALSE)</f>
        <v>0</v>
      </c>
      <c r="AC169" s="127">
        <f>VLOOKUP(C169,'Talente &amp; Stuff'!FU:GV,27,FALSE)</f>
        <v>0</v>
      </c>
      <c r="AD169" s="125">
        <f>VLOOKUP(C169,'Talente &amp; Stuff'!FU:GV,28,FALSE)</f>
        <v>0</v>
      </c>
      <c r="AE169" s="28"/>
    </row>
    <row r="170" spans="2:31" ht="15" hidden="1" customHeight="1" outlineLevel="2">
      <c r="B170" s="148">
        <v>18</v>
      </c>
      <c r="C170" s="177" t="str">
        <f>Attribute!C170</f>
        <v>---</v>
      </c>
      <c r="D170" s="86" t="str">
        <f>VLOOKUP(C170,'Talente &amp; Stuff'!FU:GV,2,FALSE)</f>
        <v>--/--/--</v>
      </c>
      <c r="E170" s="167" t="str">
        <f>VLOOKUP(C170,'Talente &amp; Stuff'!FU:GV,3,FALSE)</f>
        <v>-</v>
      </c>
      <c r="F170" s="120">
        <f>VLOOKUP(C170,'Talente &amp; Stuff'!FU:GV,4,FALSE)</f>
        <v>0</v>
      </c>
      <c r="G170" s="117">
        <f>VLOOKUP(C170,'Talente &amp; Stuff'!FU:GV,5,FALSE)</f>
        <v>0</v>
      </c>
      <c r="H170" s="117">
        <f>VLOOKUP(C170,'Talente &amp; Stuff'!FU:GV,6,FALSE)</f>
        <v>0</v>
      </c>
      <c r="I170" s="117">
        <f>VLOOKUP(C170,'Talente &amp; Stuff'!FU:GV,7,FALSE)</f>
        <v>0</v>
      </c>
      <c r="J170" s="117">
        <f>VLOOKUP(C170,'Talente &amp; Stuff'!FU:GV,8,FALSE)</f>
        <v>0</v>
      </c>
      <c r="K170" s="117">
        <f>VLOOKUP(C170,'Talente &amp; Stuff'!FU:GV,9,FALSE)</f>
        <v>0</v>
      </c>
      <c r="L170" s="117">
        <f>VLOOKUP(C170,'Talente &amp; Stuff'!FU:GV,10,FALSE)</f>
        <v>0</v>
      </c>
      <c r="M170" s="121">
        <f>VLOOKUP(C170,'Talente &amp; Stuff'!FU:GV,11,FALSE)</f>
        <v>0</v>
      </c>
      <c r="N170" s="47">
        <f>VLOOKUP(C170,'Talente &amp; Stuff'!FU:GV,12,FALSE)</f>
        <v>0</v>
      </c>
      <c r="O170" s="3">
        <f>VLOOKUP(C170,'Talente &amp; Stuff'!FU:GV,13,FALSE)</f>
        <v>0</v>
      </c>
      <c r="P170" s="174">
        <f>VLOOKUP(C170,'Talente &amp; Stuff'!FU:GV,14,FALSE)</f>
        <v>0</v>
      </c>
      <c r="Q170" s="114">
        <f>VLOOKUP(C170,'Talente &amp; Stuff'!FU:GV,15,FALSE)</f>
        <v>0</v>
      </c>
      <c r="R170" s="117">
        <f>VLOOKUP(C170,'Talente &amp; Stuff'!FU:GV,16,FALSE)</f>
        <v>0</v>
      </c>
      <c r="S170" s="119">
        <f>VLOOKUP(C170,'Talente &amp; Stuff'!FU:GV,17,FALSE)</f>
        <v>0</v>
      </c>
      <c r="T170" s="119">
        <f>VLOOKUP(C170,'Talente &amp; Stuff'!FU:GV,18,FALSE)</f>
        <v>0</v>
      </c>
      <c r="U170" s="89">
        <f>VLOOKUP(C170,'Talente &amp; Stuff'!FU:GV,19,FALSE)</f>
        <v>0</v>
      </c>
      <c r="V170" s="47">
        <f>VLOOKUP(C170,'Talente &amp; Stuff'!FU:GV,20,FALSE)</f>
        <v>0</v>
      </c>
      <c r="W170" s="127">
        <f>VLOOKUP(C170,'Talente &amp; Stuff'!FU:GV,21,FALSE)</f>
        <v>0</v>
      </c>
      <c r="X170" s="127">
        <f>VLOOKUP(C170,'Talente &amp; Stuff'!FU:GV,22,FALSE)</f>
        <v>0</v>
      </c>
      <c r="Y170" s="165">
        <f t="shared" si="16"/>
        <v>0</v>
      </c>
      <c r="Z170" s="44">
        <f t="shared" si="17"/>
        <v>0</v>
      </c>
      <c r="AA170" s="125">
        <f>VLOOKUP(C170,'Talente &amp; Stuff'!FU:GV,25,FALSE)</f>
        <v>0</v>
      </c>
      <c r="AB170" s="160">
        <f>VLOOKUP(C170,'Talente &amp; Stuff'!FU:GV,26,FALSE)</f>
        <v>0</v>
      </c>
      <c r="AC170" s="127">
        <f>VLOOKUP(C170,'Talente &amp; Stuff'!FU:GV,27,FALSE)</f>
        <v>0</v>
      </c>
      <c r="AD170" s="125">
        <f>VLOOKUP(C170,'Talente &amp; Stuff'!FU:GV,28,FALSE)</f>
        <v>0</v>
      </c>
      <c r="AE170" s="28"/>
    </row>
    <row r="171" spans="2:31" ht="15" hidden="1" customHeight="1" outlineLevel="2">
      <c r="B171" s="148">
        <v>19</v>
      </c>
      <c r="C171" s="177" t="str">
        <f>Attribute!C171</f>
        <v>---</v>
      </c>
      <c r="D171" s="86" t="str">
        <f>VLOOKUP(C171,'Talente &amp; Stuff'!FU:GV,2,FALSE)</f>
        <v>--/--/--</v>
      </c>
      <c r="E171" s="167" t="str">
        <f>VLOOKUP(C171,'Talente &amp; Stuff'!FU:GV,3,FALSE)</f>
        <v>-</v>
      </c>
      <c r="F171" s="120">
        <f>VLOOKUP(C171,'Talente &amp; Stuff'!FU:GV,4,FALSE)</f>
        <v>0</v>
      </c>
      <c r="G171" s="117">
        <f>VLOOKUP(C171,'Talente &amp; Stuff'!FU:GV,5,FALSE)</f>
        <v>0</v>
      </c>
      <c r="H171" s="117">
        <f>VLOOKUP(C171,'Talente &amp; Stuff'!FU:GV,6,FALSE)</f>
        <v>0</v>
      </c>
      <c r="I171" s="117">
        <f>VLOOKUP(C171,'Talente &amp; Stuff'!FU:GV,7,FALSE)</f>
        <v>0</v>
      </c>
      <c r="J171" s="117">
        <f>VLOOKUP(C171,'Talente &amp; Stuff'!FU:GV,8,FALSE)</f>
        <v>0</v>
      </c>
      <c r="K171" s="117">
        <f>VLOOKUP(C171,'Talente &amp; Stuff'!FU:GV,9,FALSE)</f>
        <v>0</v>
      </c>
      <c r="L171" s="117">
        <f>VLOOKUP(C171,'Talente &amp; Stuff'!FU:GV,10,FALSE)</f>
        <v>0</v>
      </c>
      <c r="M171" s="121">
        <f>VLOOKUP(C171,'Talente &amp; Stuff'!FU:GV,11,FALSE)</f>
        <v>0</v>
      </c>
      <c r="N171" s="47">
        <f>VLOOKUP(C171,'Talente &amp; Stuff'!FU:GV,12,FALSE)</f>
        <v>0</v>
      </c>
      <c r="O171" s="3">
        <f>VLOOKUP(C171,'Talente &amp; Stuff'!FU:GV,13,FALSE)</f>
        <v>0</v>
      </c>
      <c r="P171" s="174">
        <f>VLOOKUP(C171,'Talente &amp; Stuff'!FU:GV,14,FALSE)</f>
        <v>0</v>
      </c>
      <c r="Q171" s="114">
        <f>VLOOKUP(C171,'Talente &amp; Stuff'!FU:GV,15,FALSE)</f>
        <v>0</v>
      </c>
      <c r="R171" s="117">
        <f>VLOOKUP(C171,'Talente &amp; Stuff'!FU:GV,16,FALSE)</f>
        <v>0</v>
      </c>
      <c r="S171" s="119">
        <f>VLOOKUP(C171,'Talente &amp; Stuff'!FU:GV,17,FALSE)</f>
        <v>0</v>
      </c>
      <c r="T171" s="119">
        <f>VLOOKUP(C171,'Talente &amp; Stuff'!FU:GV,18,FALSE)</f>
        <v>0</v>
      </c>
      <c r="U171" s="89">
        <f>VLOOKUP(C171,'Talente &amp; Stuff'!FU:GV,19,FALSE)</f>
        <v>0</v>
      </c>
      <c r="V171" s="47">
        <f>VLOOKUP(C171,'Talente &amp; Stuff'!FU:GV,20,FALSE)</f>
        <v>0</v>
      </c>
      <c r="W171" s="127">
        <f>VLOOKUP(C171,'Talente &amp; Stuff'!FU:GV,21,FALSE)</f>
        <v>0</v>
      </c>
      <c r="X171" s="127">
        <f>VLOOKUP(C171,'Talente &amp; Stuff'!FU:GV,22,FALSE)</f>
        <v>0</v>
      </c>
      <c r="Y171" s="165">
        <f t="shared" si="16"/>
        <v>0</v>
      </c>
      <c r="Z171" s="44">
        <f t="shared" si="17"/>
        <v>0</v>
      </c>
      <c r="AA171" s="125">
        <f>VLOOKUP(C171,'Talente &amp; Stuff'!FU:GV,25,FALSE)</f>
        <v>0</v>
      </c>
      <c r="AB171" s="160">
        <f>VLOOKUP(C171,'Talente &amp; Stuff'!FU:GV,26,FALSE)</f>
        <v>0</v>
      </c>
      <c r="AC171" s="127">
        <f>VLOOKUP(C171,'Talente &amp; Stuff'!FU:GV,27,FALSE)</f>
        <v>0</v>
      </c>
      <c r="AD171" s="125">
        <f>VLOOKUP(C171,'Talente &amp; Stuff'!FU:GV,28,FALSE)</f>
        <v>0</v>
      </c>
      <c r="AE171" s="28"/>
    </row>
    <row r="172" spans="2:31" ht="15" hidden="1" customHeight="1" outlineLevel="2">
      <c r="B172" s="148">
        <v>20</v>
      </c>
      <c r="C172" s="177" t="str">
        <f>Attribute!C172</f>
        <v>---</v>
      </c>
      <c r="D172" s="86" t="str">
        <f>VLOOKUP(C172,'Talente &amp; Stuff'!FU:GV,2,FALSE)</f>
        <v>--/--/--</v>
      </c>
      <c r="E172" s="167" t="str">
        <f>VLOOKUP(C172,'Talente &amp; Stuff'!FU:GV,3,FALSE)</f>
        <v>-</v>
      </c>
      <c r="F172" s="120">
        <f>VLOOKUP(C172,'Talente &amp; Stuff'!FU:GV,4,FALSE)</f>
        <v>0</v>
      </c>
      <c r="G172" s="117">
        <f>VLOOKUP(C172,'Talente &amp; Stuff'!FU:GV,5,FALSE)</f>
        <v>0</v>
      </c>
      <c r="H172" s="117">
        <f>VLOOKUP(C172,'Talente &amp; Stuff'!FU:GV,6,FALSE)</f>
        <v>0</v>
      </c>
      <c r="I172" s="117">
        <f>VLOOKUP(C172,'Talente &amp; Stuff'!FU:GV,7,FALSE)</f>
        <v>0</v>
      </c>
      <c r="J172" s="117">
        <f>VLOOKUP(C172,'Talente &amp; Stuff'!FU:GV,8,FALSE)</f>
        <v>0</v>
      </c>
      <c r="K172" s="117">
        <f>VLOOKUP(C172,'Talente &amp; Stuff'!FU:GV,9,FALSE)</f>
        <v>0</v>
      </c>
      <c r="L172" s="117">
        <f>VLOOKUP(C172,'Talente &amp; Stuff'!FU:GV,10,FALSE)</f>
        <v>0</v>
      </c>
      <c r="M172" s="121">
        <f>VLOOKUP(C172,'Talente &amp; Stuff'!FU:GV,11,FALSE)</f>
        <v>0</v>
      </c>
      <c r="N172" s="47">
        <f>VLOOKUP(C172,'Talente &amp; Stuff'!FU:GV,12,FALSE)</f>
        <v>0</v>
      </c>
      <c r="O172" s="3">
        <f>VLOOKUP(C172,'Talente &amp; Stuff'!FU:GV,13,FALSE)</f>
        <v>0</v>
      </c>
      <c r="P172" s="174">
        <f>VLOOKUP(C172,'Talente &amp; Stuff'!FU:GV,14,FALSE)</f>
        <v>0</v>
      </c>
      <c r="Q172" s="114">
        <f>VLOOKUP(C172,'Talente &amp; Stuff'!FU:GV,15,FALSE)</f>
        <v>0</v>
      </c>
      <c r="R172" s="117">
        <f>VLOOKUP(C172,'Talente &amp; Stuff'!FU:GV,16,FALSE)</f>
        <v>0</v>
      </c>
      <c r="S172" s="119">
        <f>VLOOKUP(C172,'Talente &amp; Stuff'!FU:GV,17,FALSE)</f>
        <v>0</v>
      </c>
      <c r="T172" s="119">
        <f>VLOOKUP(C172,'Talente &amp; Stuff'!FU:GV,18,FALSE)</f>
        <v>0</v>
      </c>
      <c r="U172" s="89">
        <f>VLOOKUP(C172,'Talente &amp; Stuff'!FU:GV,19,FALSE)</f>
        <v>0</v>
      </c>
      <c r="V172" s="47">
        <f>VLOOKUP(C172,'Talente &amp; Stuff'!FU:GV,20,FALSE)</f>
        <v>0</v>
      </c>
      <c r="W172" s="127">
        <f>VLOOKUP(C172,'Talente &amp; Stuff'!FU:GV,21,FALSE)</f>
        <v>0</v>
      </c>
      <c r="X172" s="127">
        <f>VLOOKUP(C172,'Talente &amp; Stuff'!FU:GV,22,FALSE)</f>
        <v>0</v>
      </c>
      <c r="Y172" s="165">
        <f t="shared" si="16"/>
        <v>0</v>
      </c>
      <c r="Z172" s="44">
        <f t="shared" si="17"/>
        <v>0</v>
      </c>
      <c r="AA172" s="125">
        <f>VLOOKUP(C172,'Talente &amp; Stuff'!FU:GV,25,FALSE)</f>
        <v>0</v>
      </c>
      <c r="AB172" s="160">
        <f>VLOOKUP(C172,'Talente &amp; Stuff'!FU:GV,26,FALSE)</f>
        <v>0</v>
      </c>
      <c r="AC172" s="127">
        <f>VLOOKUP(C172,'Talente &amp; Stuff'!FU:GV,27,FALSE)</f>
        <v>0</v>
      </c>
      <c r="AD172" s="125">
        <f>VLOOKUP(C172,'Talente &amp; Stuff'!FU:GV,28,FALSE)</f>
        <v>0</v>
      </c>
      <c r="AE172" s="28"/>
    </row>
    <row r="173" spans="2:31" ht="15" hidden="1" customHeight="1" outlineLevel="2">
      <c r="B173" s="148">
        <v>21</v>
      </c>
      <c r="C173" s="177" t="str">
        <f>Attribute!C173</f>
        <v>---</v>
      </c>
      <c r="D173" s="86" t="str">
        <f>VLOOKUP(C173,'Talente &amp; Stuff'!FU:GV,2,FALSE)</f>
        <v>--/--/--</v>
      </c>
      <c r="E173" s="167" t="str">
        <f>VLOOKUP(C173,'Talente &amp; Stuff'!FU:GV,3,FALSE)</f>
        <v>-</v>
      </c>
      <c r="F173" s="120">
        <f>VLOOKUP(C173,'Talente &amp; Stuff'!FU:GV,4,FALSE)</f>
        <v>0</v>
      </c>
      <c r="G173" s="117">
        <f>VLOOKUP(C173,'Talente &amp; Stuff'!FU:GV,5,FALSE)</f>
        <v>0</v>
      </c>
      <c r="H173" s="117">
        <f>VLOOKUP(C173,'Talente &amp; Stuff'!FU:GV,6,FALSE)</f>
        <v>0</v>
      </c>
      <c r="I173" s="117">
        <f>VLOOKUP(C173,'Talente &amp; Stuff'!FU:GV,7,FALSE)</f>
        <v>0</v>
      </c>
      <c r="J173" s="117">
        <f>VLOOKUP(C173,'Talente &amp; Stuff'!FU:GV,8,FALSE)</f>
        <v>0</v>
      </c>
      <c r="K173" s="117">
        <f>VLOOKUP(C173,'Talente &amp; Stuff'!FU:GV,9,FALSE)</f>
        <v>0</v>
      </c>
      <c r="L173" s="117">
        <f>VLOOKUP(C173,'Talente &amp; Stuff'!FU:GV,10,FALSE)</f>
        <v>0</v>
      </c>
      <c r="M173" s="121">
        <f>VLOOKUP(C173,'Talente &amp; Stuff'!FU:GV,11,FALSE)</f>
        <v>0</v>
      </c>
      <c r="N173" s="47">
        <f>VLOOKUP(C173,'Talente &amp; Stuff'!FU:GV,12,FALSE)</f>
        <v>0</v>
      </c>
      <c r="O173" s="3">
        <f>VLOOKUP(C173,'Talente &amp; Stuff'!FU:GV,13,FALSE)</f>
        <v>0</v>
      </c>
      <c r="P173" s="174">
        <f>VLOOKUP(C173,'Talente &amp; Stuff'!FU:GV,14,FALSE)</f>
        <v>0</v>
      </c>
      <c r="Q173" s="114">
        <f>VLOOKUP(C173,'Talente &amp; Stuff'!FU:GV,15,FALSE)</f>
        <v>0</v>
      </c>
      <c r="R173" s="117">
        <f>VLOOKUP(C173,'Talente &amp; Stuff'!FU:GV,16,FALSE)</f>
        <v>0</v>
      </c>
      <c r="S173" s="119">
        <f>VLOOKUP(C173,'Talente &amp; Stuff'!FU:GV,17,FALSE)</f>
        <v>0</v>
      </c>
      <c r="T173" s="119">
        <f>VLOOKUP(C173,'Talente &amp; Stuff'!FU:GV,18,FALSE)</f>
        <v>0</v>
      </c>
      <c r="U173" s="89">
        <f>VLOOKUP(C173,'Talente &amp; Stuff'!FU:GV,19,FALSE)</f>
        <v>0</v>
      </c>
      <c r="V173" s="47">
        <f>VLOOKUP(C173,'Talente &amp; Stuff'!FU:GV,20,FALSE)</f>
        <v>0</v>
      </c>
      <c r="W173" s="127">
        <f>VLOOKUP(C173,'Talente &amp; Stuff'!FU:GV,21,FALSE)</f>
        <v>0</v>
      </c>
      <c r="X173" s="127">
        <f>VLOOKUP(C173,'Talente &amp; Stuff'!FU:GV,22,FALSE)</f>
        <v>0</v>
      </c>
      <c r="Y173" s="165">
        <f t="shared" si="16"/>
        <v>0</v>
      </c>
      <c r="Z173" s="44">
        <f t="shared" si="17"/>
        <v>0</v>
      </c>
      <c r="AA173" s="125">
        <f>VLOOKUP(C173,'Talente &amp; Stuff'!FU:GV,25,FALSE)</f>
        <v>0</v>
      </c>
      <c r="AB173" s="160">
        <f>VLOOKUP(C173,'Talente &amp; Stuff'!FU:GV,26,FALSE)</f>
        <v>0</v>
      </c>
      <c r="AC173" s="127">
        <f>VLOOKUP(C173,'Talente &amp; Stuff'!FU:GV,27,FALSE)</f>
        <v>0</v>
      </c>
      <c r="AD173" s="125">
        <f>VLOOKUP(C173,'Talente &amp; Stuff'!FU:GV,28,FALSE)</f>
        <v>0</v>
      </c>
      <c r="AE173" s="28"/>
    </row>
    <row r="174" spans="2:31" ht="15" hidden="1" customHeight="1" outlineLevel="2">
      <c r="B174" s="148">
        <v>22</v>
      </c>
      <c r="C174" s="177" t="str">
        <f>Attribute!C174</f>
        <v>---</v>
      </c>
      <c r="D174" s="86" t="str">
        <f>VLOOKUP(C174,'Talente &amp; Stuff'!FU:GV,2,FALSE)</f>
        <v>--/--/--</v>
      </c>
      <c r="E174" s="167" t="str">
        <f>VLOOKUP(C174,'Talente &amp; Stuff'!FU:GV,3,FALSE)</f>
        <v>-</v>
      </c>
      <c r="F174" s="120">
        <f>VLOOKUP(C174,'Talente &amp; Stuff'!FU:GV,4,FALSE)</f>
        <v>0</v>
      </c>
      <c r="G174" s="117">
        <f>VLOOKUP(C174,'Talente &amp; Stuff'!FU:GV,5,FALSE)</f>
        <v>0</v>
      </c>
      <c r="H174" s="117">
        <f>VLOOKUP(C174,'Talente &amp; Stuff'!FU:GV,6,FALSE)</f>
        <v>0</v>
      </c>
      <c r="I174" s="117">
        <f>VLOOKUP(C174,'Talente &amp; Stuff'!FU:GV,7,FALSE)</f>
        <v>0</v>
      </c>
      <c r="J174" s="117">
        <f>VLOOKUP(C174,'Talente &amp; Stuff'!FU:GV,8,FALSE)</f>
        <v>0</v>
      </c>
      <c r="K174" s="117">
        <f>VLOOKUP(C174,'Talente &amp; Stuff'!FU:GV,9,FALSE)</f>
        <v>0</v>
      </c>
      <c r="L174" s="117">
        <f>VLOOKUP(C174,'Talente &amp; Stuff'!FU:GV,10,FALSE)</f>
        <v>0</v>
      </c>
      <c r="M174" s="121">
        <f>VLOOKUP(C174,'Talente &amp; Stuff'!FU:GV,11,FALSE)</f>
        <v>0</v>
      </c>
      <c r="N174" s="47">
        <f>VLOOKUP(C174,'Talente &amp; Stuff'!FU:GV,12,FALSE)</f>
        <v>0</v>
      </c>
      <c r="O174" s="3">
        <f>VLOOKUP(C174,'Talente &amp; Stuff'!FU:GV,13,FALSE)</f>
        <v>0</v>
      </c>
      <c r="P174" s="174">
        <f>VLOOKUP(C174,'Talente &amp; Stuff'!FU:GV,14,FALSE)</f>
        <v>0</v>
      </c>
      <c r="Q174" s="114">
        <f>VLOOKUP(C174,'Talente &amp; Stuff'!FU:GV,15,FALSE)</f>
        <v>0</v>
      </c>
      <c r="R174" s="117">
        <f>VLOOKUP(C174,'Talente &amp; Stuff'!FU:GV,16,FALSE)</f>
        <v>0</v>
      </c>
      <c r="S174" s="119">
        <f>VLOOKUP(C174,'Talente &amp; Stuff'!FU:GV,17,FALSE)</f>
        <v>0</v>
      </c>
      <c r="T174" s="119">
        <f>VLOOKUP(C174,'Talente &amp; Stuff'!FU:GV,18,FALSE)</f>
        <v>0</v>
      </c>
      <c r="U174" s="89">
        <f>VLOOKUP(C174,'Talente &amp; Stuff'!FU:GV,19,FALSE)</f>
        <v>0</v>
      </c>
      <c r="V174" s="47">
        <f>VLOOKUP(C174,'Talente &amp; Stuff'!FU:GV,20,FALSE)</f>
        <v>0</v>
      </c>
      <c r="W174" s="127">
        <f>VLOOKUP(C174,'Talente &amp; Stuff'!FU:GV,21,FALSE)</f>
        <v>0</v>
      </c>
      <c r="X174" s="127">
        <f>VLOOKUP(C174,'Talente &amp; Stuff'!FU:GV,22,FALSE)</f>
        <v>0</v>
      </c>
      <c r="Y174" s="165">
        <f t="shared" si="16"/>
        <v>0</v>
      </c>
      <c r="Z174" s="44">
        <f t="shared" si="17"/>
        <v>0</v>
      </c>
      <c r="AA174" s="125">
        <f>VLOOKUP(C174,'Talente &amp; Stuff'!FU:GV,25,FALSE)</f>
        <v>0</v>
      </c>
      <c r="AB174" s="160">
        <f>VLOOKUP(C174,'Talente &amp; Stuff'!FU:GV,26,FALSE)</f>
        <v>0</v>
      </c>
      <c r="AC174" s="127">
        <f>VLOOKUP(C174,'Talente &amp; Stuff'!FU:GV,27,FALSE)</f>
        <v>0</v>
      </c>
      <c r="AD174" s="125">
        <f>VLOOKUP(C174,'Talente &amp; Stuff'!FU:GV,28,FALSE)</f>
        <v>0</v>
      </c>
      <c r="AE174" s="28"/>
    </row>
    <row r="175" spans="2:31" ht="15" hidden="1" customHeight="1" outlineLevel="2">
      <c r="B175" s="148">
        <v>23</v>
      </c>
      <c r="C175" s="177" t="str">
        <f>Attribute!C175</f>
        <v>---</v>
      </c>
      <c r="D175" s="86" t="str">
        <f>VLOOKUP(C175,'Talente &amp; Stuff'!FU:GV,2,FALSE)</f>
        <v>--/--/--</v>
      </c>
      <c r="E175" s="167" t="str">
        <f>VLOOKUP(C175,'Talente &amp; Stuff'!FU:GV,3,FALSE)</f>
        <v>-</v>
      </c>
      <c r="F175" s="120">
        <f>VLOOKUP(C175,'Talente &amp; Stuff'!FU:GV,4,FALSE)</f>
        <v>0</v>
      </c>
      <c r="G175" s="117">
        <f>VLOOKUP(C175,'Talente &amp; Stuff'!FU:GV,5,FALSE)</f>
        <v>0</v>
      </c>
      <c r="H175" s="117">
        <f>VLOOKUP(C175,'Talente &amp; Stuff'!FU:GV,6,FALSE)</f>
        <v>0</v>
      </c>
      <c r="I175" s="117">
        <f>VLOOKUP(C175,'Talente &amp; Stuff'!FU:GV,7,FALSE)</f>
        <v>0</v>
      </c>
      <c r="J175" s="117">
        <f>VLOOKUP(C175,'Talente &amp; Stuff'!FU:GV,8,FALSE)</f>
        <v>0</v>
      </c>
      <c r="K175" s="117">
        <f>VLOOKUP(C175,'Talente &amp; Stuff'!FU:GV,9,FALSE)</f>
        <v>0</v>
      </c>
      <c r="L175" s="117">
        <f>VLOOKUP(C175,'Talente &amp; Stuff'!FU:GV,10,FALSE)</f>
        <v>0</v>
      </c>
      <c r="M175" s="121">
        <f>VLOOKUP(C175,'Talente &amp; Stuff'!FU:GV,11,FALSE)</f>
        <v>0</v>
      </c>
      <c r="N175" s="47">
        <f>VLOOKUP(C175,'Talente &amp; Stuff'!FU:GV,12,FALSE)</f>
        <v>0</v>
      </c>
      <c r="O175" s="3">
        <f>VLOOKUP(C175,'Talente &amp; Stuff'!FU:GV,13,FALSE)</f>
        <v>0</v>
      </c>
      <c r="P175" s="174">
        <f>VLOOKUP(C175,'Talente &amp; Stuff'!FU:GV,14,FALSE)</f>
        <v>0</v>
      </c>
      <c r="Q175" s="114">
        <f>VLOOKUP(C175,'Talente &amp; Stuff'!FU:GV,15,FALSE)</f>
        <v>0</v>
      </c>
      <c r="R175" s="117">
        <f>VLOOKUP(C175,'Talente &amp; Stuff'!FU:GV,16,FALSE)</f>
        <v>0</v>
      </c>
      <c r="S175" s="119">
        <f>VLOOKUP(C175,'Talente &amp; Stuff'!FU:GV,17,FALSE)</f>
        <v>0</v>
      </c>
      <c r="T175" s="119">
        <f>VLOOKUP(C175,'Talente &amp; Stuff'!FU:GV,18,FALSE)</f>
        <v>0</v>
      </c>
      <c r="U175" s="89">
        <f>VLOOKUP(C175,'Talente &amp; Stuff'!FU:GV,19,FALSE)</f>
        <v>0</v>
      </c>
      <c r="V175" s="47">
        <f>VLOOKUP(C175,'Talente &amp; Stuff'!FU:GV,20,FALSE)</f>
        <v>0</v>
      </c>
      <c r="W175" s="127">
        <f>VLOOKUP(C175,'Talente &amp; Stuff'!FU:GV,21,FALSE)</f>
        <v>0</v>
      </c>
      <c r="X175" s="127">
        <f>VLOOKUP(C175,'Talente &amp; Stuff'!FU:GV,22,FALSE)</f>
        <v>0</v>
      </c>
      <c r="Y175" s="165">
        <f t="shared" si="16"/>
        <v>0</v>
      </c>
      <c r="Z175" s="44">
        <f t="shared" si="17"/>
        <v>0</v>
      </c>
      <c r="AA175" s="125">
        <f>VLOOKUP(C175,'Talente &amp; Stuff'!FU:GV,25,FALSE)</f>
        <v>0</v>
      </c>
      <c r="AB175" s="160">
        <f>VLOOKUP(C175,'Talente &amp; Stuff'!FU:GV,26,FALSE)</f>
        <v>0</v>
      </c>
      <c r="AC175" s="127">
        <f>VLOOKUP(C175,'Talente &amp; Stuff'!FU:GV,27,FALSE)</f>
        <v>0</v>
      </c>
      <c r="AD175" s="125">
        <f>VLOOKUP(C175,'Talente &amp; Stuff'!FU:GV,28,FALSE)</f>
        <v>0</v>
      </c>
      <c r="AE175" s="28"/>
    </row>
    <row r="176" spans="2:31" ht="15" hidden="1" customHeight="1" outlineLevel="2">
      <c r="B176" s="148">
        <v>24</v>
      </c>
      <c r="C176" s="177" t="str">
        <f>Attribute!C176</f>
        <v>---</v>
      </c>
      <c r="D176" s="86" t="str">
        <f>VLOOKUP(C176,'Talente &amp; Stuff'!FU:GV,2,FALSE)</f>
        <v>--/--/--</v>
      </c>
      <c r="E176" s="167" t="str">
        <f>VLOOKUP(C176,'Talente &amp; Stuff'!FU:GV,3,FALSE)</f>
        <v>-</v>
      </c>
      <c r="F176" s="120">
        <f>VLOOKUP(C176,'Talente &amp; Stuff'!FU:GV,4,FALSE)</f>
        <v>0</v>
      </c>
      <c r="G176" s="117">
        <f>VLOOKUP(C176,'Talente &amp; Stuff'!FU:GV,5,FALSE)</f>
        <v>0</v>
      </c>
      <c r="H176" s="117">
        <f>VLOOKUP(C176,'Talente &amp; Stuff'!FU:GV,6,FALSE)</f>
        <v>0</v>
      </c>
      <c r="I176" s="117">
        <f>VLOOKUP(C176,'Talente &amp; Stuff'!FU:GV,7,FALSE)</f>
        <v>0</v>
      </c>
      <c r="J176" s="117">
        <f>VLOOKUP(C176,'Talente &amp; Stuff'!FU:GV,8,FALSE)</f>
        <v>0</v>
      </c>
      <c r="K176" s="117">
        <f>VLOOKUP(C176,'Talente &amp; Stuff'!FU:GV,9,FALSE)</f>
        <v>0</v>
      </c>
      <c r="L176" s="117">
        <f>VLOOKUP(C176,'Talente &amp; Stuff'!FU:GV,10,FALSE)</f>
        <v>0</v>
      </c>
      <c r="M176" s="121">
        <f>VLOOKUP(C176,'Talente &amp; Stuff'!FU:GV,11,FALSE)</f>
        <v>0</v>
      </c>
      <c r="N176" s="47">
        <f>VLOOKUP(C176,'Talente &amp; Stuff'!FU:GV,12,FALSE)</f>
        <v>0</v>
      </c>
      <c r="O176" s="3">
        <f>VLOOKUP(C176,'Talente &amp; Stuff'!FU:GV,13,FALSE)</f>
        <v>0</v>
      </c>
      <c r="P176" s="174">
        <f>VLOOKUP(C176,'Talente &amp; Stuff'!FU:GV,14,FALSE)</f>
        <v>0</v>
      </c>
      <c r="Q176" s="114">
        <f>VLOOKUP(C176,'Talente &amp; Stuff'!FU:GV,15,FALSE)</f>
        <v>0</v>
      </c>
      <c r="R176" s="117">
        <f>VLOOKUP(C176,'Talente &amp; Stuff'!FU:GV,16,FALSE)</f>
        <v>0</v>
      </c>
      <c r="S176" s="119">
        <f>VLOOKUP(C176,'Talente &amp; Stuff'!FU:GV,17,FALSE)</f>
        <v>0</v>
      </c>
      <c r="T176" s="119">
        <f>VLOOKUP(C176,'Talente &amp; Stuff'!FU:GV,18,FALSE)</f>
        <v>0</v>
      </c>
      <c r="U176" s="89">
        <f>VLOOKUP(C176,'Talente &amp; Stuff'!FU:GV,19,FALSE)</f>
        <v>0</v>
      </c>
      <c r="V176" s="47">
        <f>VLOOKUP(C176,'Talente &amp; Stuff'!FU:GV,20,FALSE)</f>
        <v>0</v>
      </c>
      <c r="W176" s="127">
        <f>VLOOKUP(C176,'Talente &amp; Stuff'!FU:GV,21,FALSE)</f>
        <v>0</v>
      </c>
      <c r="X176" s="127">
        <f>VLOOKUP(C176,'Talente &amp; Stuff'!FU:GV,22,FALSE)</f>
        <v>0</v>
      </c>
      <c r="Y176" s="165">
        <f t="shared" si="16"/>
        <v>0</v>
      </c>
      <c r="Z176" s="44">
        <f t="shared" si="17"/>
        <v>0</v>
      </c>
      <c r="AA176" s="125">
        <f>VLOOKUP(C176,'Talente &amp; Stuff'!FU:GV,25,FALSE)</f>
        <v>0</v>
      </c>
      <c r="AB176" s="160">
        <f>VLOOKUP(C176,'Talente &amp; Stuff'!FU:GV,26,FALSE)</f>
        <v>0</v>
      </c>
      <c r="AC176" s="127">
        <f>VLOOKUP(C176,'Talente &amp; Stuff'!FU:GV,27,FALSE)</f>
        <v>0</v>
      </c>
      <c r="AD176" s="125">
        <f>VLOOKUP(C176,'Talente &amp; Stuff'!FU:GV,28,FALSE)</f>
        <v>0</v>
      </c>
      <c r="AE176" s="28"/>
    </row>
    <row r="177" spans="2:31" ht="15" hidden="1" customHeight="1" outlineLevel="2">
      <c r="B177" s="148">
        <v>25</v>
      </c>
      <c r="C177" s="177" t="str">
        <f>Attribute!C177</f>
        <v>---</v>
      </c>
      <c r="D177" s="86" t="str">
        <f>VLOOKUP(C177,'Talente &amp; Stuff'!FU:GV,2,FALSE)</f>
        <v>--/--/--</v>
      </c>
      <c r="E177" s="167" t="str">
        <f>VLOOKUP(C177,'Talente &amp; Stuff'!FU:GV,3,FALSE)</f>
        <v>-</v>
      </c>
      <c r="F177" s="120">
        <f>VLOOKUP(C177,'Talente &amp; Stuff'!FU:GV,4,FALSE)</f>
        <v>0</v>
      </c>
      <c r="G177" s="117">
        <f>VLOOKUP(C177,'Talente &amp; Stuff'!FU:GV,5,FALSE)</f>
        <v>0</v>
      </c>
      <c r="H177" s="117">
        <f>VLOOKUP(C177,'Talente &amp; Stuff'!FU:GV,6,FALSE)</f>
        <v>0</v>
      </c>
      <c r="I177" s="117">
        <f>VLOOKUP(C177,'Talente &amp; Stuff'!FU:GV,7,FALSE)</f>
        <v>0</v>
      </c>
      <c r="J177" s="117">
        <f>VLOOKUP(C177,'Talente &amp; Stuff'!FU:GV,8,FALSE)</f>
        <v>0</v>
      </c>
      <c r="K177" s="117">
        <f>VLOOKUP(C177,'Talente &amp; Stuff'!FU:GV,9,FALSE)</f>
        <v>0</v>
      </c>
      <c r="L177" s="117">
        <f>VLOOKUP(C177,'Talente &amp; Stuff'!FU:GV,10,FALSE)</f>
        <v>0</v>
      </c>
      <c r="M177" s="121">
        <f>VLOOKUP(C177,'Talente &amp; Stuff'!FU:GV,11,FALSE)</f>
        <v>0</v>
      </c>
      <c r="N177" s="47">
        <f>VLOOKUP(C177,'Talente &amp; Stuff'!FU:GV,12,FALSE)</f>
        <v>0</v>
      </c>
      <c r="O177" s="3">
        <f>VLOOKUP(C177,'Talente &amp; Stuff'!FU:GV,13,FALSE)</f>
        <v>0</v>
      </c>
      <c r="P177" s="174">
        <f>VLOOKUP(C177,'Talente &amp; Stuff'!FU:GV,14,FALSE)</f>
        <v>0</v>
      </c>
      <c r="Q177" s="114">
        <f>VLOOKUP(C177,'Talente &amp; Stuff'!FU:GV,15,FALSE)</f>
        <v>0</v>
      </c>
      <c r="R177" s="117">
        <f>VLOOKUP(C177,'Talente &amp; Stuff'!FU:GV,16,FALSE)</f>
        <v>0</v>
      </c>
      <c r="S177" s="119">
        <f>VLOOKUP(C177,'Talente &amp; Stuff'!FU:GV,17,FALSE)</f>
        <v>0</v>
      </c>
      <c r="T177" s="119">
        <f>VLOOKUP(C177,'Talente &amp; Stuff'!FU:GV,18,FALSE)</f>
        <v>0</v>
      </c>
      <c r="U177" s="89">
        <f>VLOOKUP(C177,'Talente &amp; Stuff'!FU:GV,19,FALSE)</f>
        <v>0</v>
      </c>
      <c r="V177" s="47">
        <f>VLOOKUP(C177,'Talente &amp; Stuff'!FU:GV,20,FALSE)</f>
        <v>0</v>
      </c>
      <c r="W177" s="127">
        <f>VLOOKUP(C177,'Talente &amp; Stuff'!FU:GV,21,FALSE)</f>
        <v>0</v>
      </c>
      <c r="X177" s="127">
        <f>VLOOKUP(C177,'Talente &amp; Stuff'!FU:GV,22,FALSE)</f>
        <v>0</v>
      </c>
      <c r="Y177" s="165">
        <f t="shared" si="16"/>
        <v>0</v>
      </c>
      <c r="Z177" s="44">
        <f t="shared" si="17"/>
        <v>0</v>
      </c>
      <c r="AA177" s="125">
        <f>VLOOKUP(C177,'Talente &amp; Stuff'!FU:GV,25,FALSE)</f>
        <v>0</v>
      </c>
      <c r="AB177" s="160">
        <f>VLOOKUP(C177,'Talente &amp; Stuff'!FU:GV,26,FALSE)</f>
        <v>0</v>
      </c>
      <c r="AC177" s="127">
        <f>VLOOKUP(C177,'Talente &amp; Stuff'!FU:GV,27,FALSE)</f>
        <v>0</v>
      </c>
      <c r="AD177" s="125">
        <f>VLOOKUP(C177,'Talente &amp; Stuff'!FU:GV,28,FALSE)</f>
        <v>0</v>
      </c>
      <c r="AE177" s="28"/>
    </row>
    <row r="178" spans="2:31" ht="15" hidden="1" customHeight="1" outlineLevel="2">
      <c r="B178" s="148">
        <v>26</v>
      </c>
      <c r="C178" s="177" t="str">
        <f>Attribute!C178</f>
        <v>---</v>
      </c>
      <c r="D178" s="86" t="str">
        <f>VLOOKUP(C178,'Talente &amp; Stuff'!FU:GV,2,FALSE)</f>
        <v>--/--/--</v>
      </c>
      <c r="E178" s="167" t="str">
        <f>VLOOKUP(C178,'Talente &amp; Stuff'!FU:GV,3,FALSE)</f>
        <v>-</v>
      </c>
      <c r="F178" s="120">
        <f>VLOOKUP(C178,'Talente &amp; Stuff'!FU:GV,4,FALSE)</f>
        <v>0</v>
      </c>
      <c r="G178" s="117">
        <f>VLOOKUP(C178,'Talente &amp; Stuff'!FU:GV,5,FALSE)</f>
        <v>0</v>
      </c>
      <c r="H178" s="117">
        <f>VLOOKUP(C178,'Talente &amp; Stuff'!FU:GV,6,FALSE)</f>
        <v>0</v>
      </c>
      <c r="I178" s="117">
        <f>VLOOKUP(C178,'Talente &amp; Stuff'!FU:GV,7,FALSE)</f>
        <v>0</v>
      </c>
      <c r="J178" s="117">
        <f>VLOOKUP(C178,'Talente &amp; Stuff'!FU:GV,8,FALSE)</f>
        <v>0</v>
      </c>
      <c r="K178" s="117">
        <f>VLOOKUP(C178,'Talente &amp; Stuff'!FU:GV,9,FALSE)</f>
        <v>0</v>
      </c>
      <c r="L178" s="117">
        <f>VLOOKUP(C178,'Talente &amp; Stuff'!FU:GV,10,FALSE)</f>
        <v>0</v>
      </c>
      <c r="M178" s="121">
        <f>VLOOKUP(C178,'Talente &amp; Stuff'!FU:GV,11,FALSE)</f>
        <v>0</v>
      </c>
      <c r="N178" s="47">
        <f>VLOOKUP(C178,'Talente &amp; Stuff'!FU:GV,12,FALSE)</f>
        <v>0</v>
      </c>
      <c r="O178" s="3">
        <f>VLOOKUP(C178,'Talente &amp; Stuff'!FU:GV,13,FALSE)</f>
        <v>0</v>
      </c>
      <c r="P178" s="174">
        <f>VLOOKUP(C178,'Talente &amp; Stuff'!FU:GV,14,FALSE)</f>
        <v>0</v>
      </c>
      <c r="Q178" s="114">
        <f>VLOOKUP(C178,'Talente &amp; Stuff'!FU:GV,15,FALSE)</f>
        <v>0</v>
      </c>
      <c r="R178" s="117">
        <f>VLOOKUP(C178,'Talente &amp; Stuff'!FU:GV,16,FALSE)</f>
        <v>0</v>
      </c>
      <c r="S178" s="119">
        <f>VLOOKUP(C178,'Talente &amp; Stuff'!FU:GV,17,FALSE)</f>
        <v>0</v>
      </c>
      <c r="T178" s="119">
        <f>VLOOKUP(C178,'Talente &amp; Stuff'!FU:GV,18,FALSE)</f>
        <v>0</v>
      </c>
      <c r="U178" s="89">
        <f>VLOOKUP(C178,'Talente &amp; Stuff'!FU:GV,19,FALSE)</f>
        <v>0</v>
      </c>
      <c r="V178" s="47">
        <f>VLOOKUP(C178,'Talente &amp; Stuff'!FU:GV,20,FALSE)</f>
        <v>0</v>
      </c>
      <c r="W178" s="127">
        <f>VLOOKUP(C178,'Talente &amp; Stuff'!FU:GV,21,FALSE)</f>
        <v>0</v>
      </c>
      <c r="X178" s="127">
        <f>VLOOKUP(C178,'Talente &amp; Stuff'!FU:GV,22,FALSE)</f>
        <v>0</v>
      </c>
      <c r="Y178" s="165">
        <f t="shared" si="16"/>
        <v>0</v>
      </c>
      <c r="Z178" s="44">
        <f t="shared" si="17"/>
        <v>0</v>
      </c>
      <c r="AA178" s="125">
        <f>VLOOKUP(C178,'Talente &amp; Stuff'!FU:GV,25,FALSE)</f>
        <v>0</v>
      </c>
      <c r="AB178" s="160">
        <f>VLOOKUP(C178,'Talente &amp; Stuff'!FU:GV,26,FALSE)</f>
        <v>0</v>
      </c>
      <c r="AC178" s="127">
        <f>VLOOKUP(C178,'Talente &amp; Stuff'!FU:GV,27,FALSE)</f>
        <v>0</v>
      </c>
      <c r="AD178" s="125">
        <f>VLOOKUP(C178,'Talente &amp; Stuff'!FU:GV,28,FALSE)</f>
        <v>0</v>
      </c>
      <c r="AE178" s="28"/>
    </row>
    <row r="179" spans="2:31" ht="15" hidden="1" customHeight="1" outlineLevel="2">
      <c r="B179" s="148">
        <v>27</v>
      </c>
      <c r="C179" s="177" t="str">
        <f>Attribute!C179</f>
        <v>---</v>
      </c>
      <c r="D179" s="86" t="str">
        <f>VLOOKUP(C179,'Talente &amp; Stuff'!FU:GV,2,FALSE)</f>
        <v>--/--/--</v>
      </c>
      <c r="E179" s="167" t="str">
        <f>VLOOKUP(C179,'Talente &amp; Stuff'!FU:GV,3,FALSE)</f>
        <v>-</v>
      </c>
      <c r="F179" s="120">
        <f>VLOOKUP(C179,'Talente &amp; Stuff'!FU:GV,4,FALSE)</f>
        <v>0</v>
      </c>
      <c r="G179" s="117">
        <f>VLOOKUP(C179,'Talente &amp; Stuff'!FU:GV,5,FALSE)</f>
        <v>0</v>
      </c>
      <c r="H179" s="117">
        <f>VLOOKUP(C179,'Talente &amp; Stuff'!FU:GV,6,FALSE)</f>
        <v>0</v>
      </c>
      <c r="I179" s="117">
        <f>VLOOKUP(C179,'Talente &amp; Stuff'!FU:GV,7,FALSE)</f>
        <v>0</v>
      </c>
      <c r="J179" s="117">
        <f>VLOOKUP(C179,'Talente &amp; Stuff'!FU:GV,8,FALSE)</f>
        <v>0</v>
      </c>
      <c r="K179" s="117">
        <f>VLOOKUP(C179,'Talente &amp; Stuff'!FU:GV,9,FALSE)</f>
        <v>0</v>
      </c>
      <c r="L179" s="117">
        <f>VLOOKUP(C179,'Talente &amp; Stuff'!FU:GV,10,FALSE)</f>
        <v>0</v>
      </c>
      <c r="M179" s="121">
        <f>VLOOKUP(C179,'Talente &amp; Stuff'!FU:GV,11,FALSE)</f>
        <v>0</v>
      </c>
      <c r="N179" s="47">
        <f>VLOOKUP(C179,'Talente &amp; Stuff'!FU:GV,12,FALSE)</f>
        <v>0</v>
      </c>
      <c r="O179" s="3">
        <f>VLOOKUP(C179,'Talente &amp; Stuff'!FU:GV,13,FALSE)</f>
        <v>0</v>
      </c>
      <c r="P179" s="174">
        <f>VLOOKUP(C179,'Talente &amp; Stuff'!FU:GV,14,FALSE)</f>
        <v>0</v>
      </c>
      <c r="Q179" s="114">
        <f>VLOOKUP(C179,'Talente &amp; Stuff'!FU:GV,15,FALSE)</f>
        <v>0</v>
      </c>
      <c r="R179" s="117">
        <f>VLOOKUP(C179,'Talente &amp; Stuff'!FU:GV,16,FALSE)</f>
        <v>0</v>
      </c>
      <c r="S179" s="119">
        <f>VLOOKUP(C179,'Talente &amp; Stuff'!FU:GV,17,FALSE)</f>
        <v>0</v>
      </c>
      <c r="T179" s="119">
        <f>VLOOKUP(C179,'Talente &amp; Stuff'!FU:GV,18,FALSE)</f>
        <v>0</v>
      </c>
      <c r="U179" s="89">
        <f>VLOOKUP(C179,'Talente &amp; Stuff'!FU:GV,19,FALSE)</f>
        <v>0</v>
      </c>
      <c r="V179" s="47">
        <f>VLOOKUP(C179,'Talente &amp; Stuff'!FU:GV,20,FALSE)</f>
        <v>0</v>
      </c>
      <c r="W179" s="127">
        <f>VLOOKUP(C179,'Talente &amp; Stuff'!FU:GV,21,FALSE)</f>
        <v>0</v>
      </c>
      <c r="X179" s="127">
        <f>VLOOKUP(C179,'Talente &amp; Stuff'!FU:GV,22,FALSE)</f>
        <v>0</v>
      </c>
      <c r="Y179" s="165">
        <f t="shared" si="16"/>
        <v>0</v>
      </c>
      <c r="Z179" s="44">
        <f t="shared" si="17"/>
        <v>0</v>
      </c>
      <c r="AA179" s="125">
        <f>VLOOKUP(C179,'Talente &amp; Stuff'!FU:GV,25,FALSE)</f>
        <v>0</v>
      </c>
      <c r="AB179" s="160">
        <f>VLOOKUP(C179,'Talente &amp; Stuff'!FU:GV,26,FALSE)</f>
        <v>0</v>
      </c>
      <c r="AC179" s="127">
        <f>VLOOKUP(C179,'Talente &amp; Stuff'!FU:GV,27,FALSE)</f>
        <v>0</v>
      </c>
      <c r="AD179" s="125">
        <f>VLOOKUP(C179,'Talente &amp; Stuff'!FU:GV,28,FALSE)</f>
        <v>0</v>
      </c>
      <c r="AE179" s="28"/>
    </row>
    <row r="180" spans="2:31" ht="15" hidden="1" customHeight="1" outlineLevel="2">
      <c r="B180" s="148">
        <v>28</v>
      </c>
      <c r="C180" s="177" t="str">
        <f>Attribute!C180</f>
        <v>---</v>
      </c>
      <c r="D180" s="86" t="str">
        <f>VLOOKUP(C180,'Talente &amp; Stuff'!FU:GV,2,FALSE)</f>
        <v>--/--/--</v>
      </c>
      <c r="E180" s="167" t="str">
        <f>VLOOKUP(C180,'Talente &amp; Stuff'!FU:GV,3,FALSE)</f>
        <v>-</v>
      </c>
      <c r="F180" s="120">
        <f>VLOOKUP(C180,'Talente &amp; Stuff'!FU:GV,4,FALSE)</f>
        <v>0</v>
      </c>
      <c r="G180" s="117">
        <f>VLOOKUP(C180,'Talente &amp; Stuff'!FU:GV,5,FALSE)</f>
        <v>0</v>
      </c>
      <c r="H180" s="117">
        <f>VLOOKUP(C180,'Talente &amp; Stuff'!FU:GV,6,FALSE)</f>
        <v>0</v>
      </c>
      <c r="I180" s="117">
        <f>VLOOKUP(C180,'Talente &amp; Stuff'!FU:GV,7,FALSE)</f>
        <v>0</v>
      </c>
      <c r="J180" s="117">
        <f>VLOOKUP(C180,'Talente &amp; Stuff'!FU:GV,8,FALSE)</f>
        <v>0</v>
      </c>
      <c r="K180" s="117">
        <f>VLOOKUP(C180,'Talente &amp; Stuff'!FU:GV,9,FALSE)</f>
        <v>0</v>
      </c>
      <c r="L180" s="117">
        <f>VLOOKUP(C180,'Talente &amp; Stuff'!FU:GV,10,FALSE)</f>
        <v>0</v>
      </c>
      <c r="M180" s="121">
        <f>VLOOKUP(C180,'Talente &amp; Stuff'!FU:GV,11,FALSE)</f>
        <v>0</v>
      </c>
      <c r="N180" s="47">
        <f>VLOOKUP(C180,'Talente &amp; Stuff'!FU:GV,12,FALSE)</f>
        <v>0</v>
      </c>
      <c r="O180" s="3">
        <f>VLOOKUP(C180,'Talente &amp; Stuff'!FU:GV,13,FALSE)</f>
        <v>0</v>
      </c>
      <c r="P180" s="174">
        <f>VLOOKUP(C180,'Talente &amp; Stuff'!FU:GV,14,FALSE)</f>
        <v>0</v>
      </c>
      <c r="Q180" s="114">
        <f>VLOOKUP(C180,'Talente &amp; Stuff'!FU:GV,15,FALSE)</f>
        <v>0</v>
      </c>
      <c r="R180" s="117">
        <f>VLOOKUP(C180,'Talente &amp; Stuff'!FU:GV,16,FALSE)</f>
        <v>0</v>
      </c>
      <c r="S180" s="119">
        <f>VLOOKUP(C180,'Talente &amp; Stuff'!FU:GV,17,FALSE)</f>
        <v>0</v>
      </c>
      <c r="T180" s="119">
        <f>VLOOKUP(C180,'Talente &amp; Stuff'!FU:GV,18,FALSE)</f>
        <v>0</v>
      </c>
      <c r="U180" s="89">
        <f>VLOOKUP(C180,'Talente &amp; Stuff'!FU:GV,19,FALSE)</f>
        <v>0</v>
      </c>
      <c r="V180" s="47">
        <f>VLOOKUP(C180,'Talente &amp; Stuff'!FU:GV,20,FALSE)</f>
        <v>0</v>
      </c>
      <c r="W180" s="127">
        <f>VLOOKUP(C180,'Talente &amp; Stuff'!FU:GV,21,FALSE)</f>
        <v>0</v>
      </c>
      <c r="X180" s="127">
        <f>VLOOKUP(C180,'Talente &amp; Stuff'!FU:GV,22,FALSE)</f>
        <v>0</v>
      </c>
      <c r="Y180" s="165">
        <f t="shared" si="16"/>
        <v>0</v>
      </c>
      <c r="Z180" s="44">
        <f t="shared" si="17"/>
        <v>0</v>
      </c>
      <c r="AA180" s="125">
        <f>VLOOKUP(C180,'Talente &amp; Stuff'!FU:GV,25,FALSE)</f>
        <v>0</v>
      </c>
      <c r="AB180" s="160">
        <f>VLOOKUP(C180,'Talente &amp; Stuff'!FU:GV,26,FALSE)</f>
        <v>0</v>
      </c>
      <c r="AC180" s="127">
        <f>VLOOKUP(C180,'Talente &amp; Stuff'!FU:GV,27,FALSE)</f>
        <v>0</v>
      </c>
      <c r="AD180" s="125">
        <f>VLOOKUP(C180,'Talente &amp; Stuff'!FU:GV,28,FALSE)</f>
        <v>0</v>
      </c>
      <c r="AE180" s="28"/>
    </row>
    <row r="181" spans="2:31" ht="15" hidden="1" customHeight="1" outlineLevel="2">
      <c r="B181" s="148">
        <v>29</v>
      </c>
      <c r="C181" s="177" t="str">
        <f>Attribute!C181</f>
        <v>---</v>
      </c>
      <c r="D181" s="86" t="str">
        <f>VLOOKUP(C181,'Talente &amp; Stuff'!FU:GV,2,FALSE)</f>
        <v>--/--/--</v>
      </c>
      <c r="E181" s="167" t="str">
        <f>VLOOKUP(C181,'Talente &amp; Stuff'!FU:GV,3,FALSE)</f>
        <v>-</v>
      </c>
      <c r="F181" s="120">
        <f>VLOOKUP(C181,'Talente &amp; Stuff'!FU:GV,4,FALSE)</f>
        <v>0</v>
      </c>
      <c r="G181" s="117">
        <f>VLOOKUP(C181,'Talente &amp; Stuff'!FU:GV,5,FALSE)</f>
        <v>0</v>
      </c>
      <c r="H181" s="117">
        <f>VLOOKUP(C181,'Talente &amp; Stuff'!FU:GV,6,FALSE)</f>
        <v>0</v>
      </c>
      <c r="I181" s="117">
        <f>VLOOKUP(C181,'Talente &amp; Stuff'!FU:GV,7,FALSE)</f>
        <v>0</v>
      </c>
      <c r="J181" s="117">
        <f>VLOOKUP(C181,'Talente &amp; Stuff'!FU:GV,8,FALSE)</f>
        <v>0</v>
      </c>
      <c r="K181" s="117">
        <f>VLOOKUP(C181,'Talente &amp; Stuff'!FU:GV,9,FALSE)</f>
        <v>0</v>
      </c>
      <c r="L181" s="117">
        <f>VLOOKUP(C181,'Talente &amp; Stuff'!FU:GV,10,FALSE)</f>
        <v>0</v>
      </c>
      <c r="M181" s="121">
        <f>VLOOKUP(C181,'Talente &amp; Stuff'!FU:GV,11,FALSE)</f>
        <v>0</v>
      </c>
      <c r="N181" s="47">
        <f>VLOOKUP(C181,'Talente &amp; Stuff'!FU:GV,12,FALSE)</f>
        <v>0</v>
      </c>
      <c r="O181" s="3">
        <f>VLOOKUP(C181,'Talente &amp; Stuff'!FU:GV,13,FALSE)</f>
        <v>0</v>
      </c>
      <c r="P181" s="174">
        <f>VLOOKUP(C181,'Talente &amp; Stuff'!FU:GV,14,FALSE)</f>
        <v>0</v>
      </c>
      <c r="Q181" s="114">
        <f>VLOOKUP(C181,'Talente &amp; Stuff'!FU:GV,15,FALSE)</f>
        <v>0</v>
      </c>
      <c r="R181" s="117">
        <f>VLOOKUP(C181,'Talente &amp; Stuff'!FU:GV,16,FALSE)</f>
        <v>0</v>
      </c>
      <c r="S181" s="119">
        <f>VLOOKUP(C181,'Talente &amp; Stuff'!FU:GV,17,FALSE)</f>
        <v>0</v>
      </c>
      <c r="T181" s="119">
        <f>VLOOKUP(C181,'Talente &amp; Stuff'!FU:GV,18,FALSE)</f>
        <v>0</v>
      </c>
      <c r="U181" s="89">
        <f>VLOOKUP(C181,'Talente &amp; Stuff'!FU:GV,19,FALSE)</f>
        <v>0</v>
      </c>
      <c r="V181" s="47">
        <f>VLOOKUP(C181,'Talente &amp; Stuff'!FU:GV,20,FALSE)</f>
        <v>0</v>
      </c>
      <c r="W181" s="127">
        <f>VLOOKUP(C181,'Talente &amp; Stuff'!FU:GV,21,FALSE)</f>
        <v>0</v>
      </c>
      <c r="X181" s="127">
        <f>VLOOKUP(C181,'Talente &amp; Stuff'!FU:GV,22,FALSE)</f>
        <v>0</v>
      </c>
      <c r="Y181" s="165">
        <f t="shared" si="16"/>
        <v>0</v>
      </c>
      <c r="Z181" s="44">
        <f t="shared" si="17"/>
        <v>0</v>
      </c>
      <c r="AA181" s="125">
        <f>VLOOKUP(C181,'Talente &amp; Stuff'!FU:GV,25,FALSE)</f>
        <v>0</v>
      </c>
      <c r="AB181" s="160">
        <f>VLOOKUP(C181,'Talente &amp; Stuff'!FU:GV,26,FALSE)</f>
        <v>0</v>
      </c>
      <c r="AC181" s="127">
        <f>VLOOKUP(C181,'Talente &amp; Stuff'!FU:GV,27,FALSE)</f>
        <v>0</v>
      </c>
      <c r="AD181" s="125">
        <f>VLOOKUP(C181,'Talente &amp; Stuff'!FU:GV,28,FALSE)</f>
        <v>0</v>
      </c>
      <c r="AE181" s="28"/>
    </row>
    <row r="182" spans="2:31" ht="15" hidden="1" customHeight="1" outlineLevel="2">
      <c r="B182" s="148">
        <v>30</v>
      </c>
      <c r="C182" s="177" t="str">
        <f>Attribute!C182</f>
        <v>---</v>
      </c>
      <c r="D182" s="86" t="str">
        <f>VLOOKUP(C182,'Talente &amp; Stuff'!FU:GV,2,FALSE)</f>
        <v>--/--/--</v>
      </c>
      <c r="E182" s="167" t="str">
        <f>VLOOKUP(C182,'Talente &amp; Stuff'!FU:GV,3,FALSE)</f>
        <v>-</v>
      </c>
      <c r="F182" s="120">
        <f>VLOOKUP(C182,'Talente &amp; Stuff'!FU:GV,4,FALSE)</f>
        <v>0</v>
      </c>
      <c r="G182" s="117">
        <f>VLOOKUP(C182,'Talente &amp; Stuff'!FU:GV,5,FALSE)</f>
        <v>0</v>
      </c>
      <c r="H182" s="117">
        <f>VLOOKUP(C182,'Talente &amp; Stuff'!FU:GV,6,FALSE)</f>
        <v>0</v>
      </c>
      <c r="I182" s="117">
        <f>VLOOKUP(C182,'Talente &amp; Stuff'!FU:GV,7,FALSE)</f>
        <v>0</v>
      </c>
      <c r="J182" s="117">
        <f>VLOOKUP(C182,'Talente &amp; Stuff'!FU:GV,8,FALSE)</f>
        <v>0</v>
      </c>
      <c r="K182" s="117">
        <f>VLOOKUP(C182,'Talente &amp; Stuff'!FU:GV,9,FALSE)</f>
        <v>0</v>
      </c>
      <c r="L182" s="117">
        <f>VLOOKUP(C182,'Talente &amp; Stuff'!FU:GV,10,FALSE)</f>
        <v>0</v>
      </c>
      <c r="M182" s="121">
        <f>VLOOKUP(C182,'Talente &amp; Stuff'!FU:GV,11,FALSE)</f>
        <v>0</v>
      </c>
      <c r="N182" s="47">
        <f>VLOOKUP(C182,'Talente &amp; Stuff'!FU:GV,12,FALSE)</f>
        <v>0</v>
      </c>
      <c r="O182" s="3">
        <f>VLOOKUP(C182,'Talente &amp; Stuff'!FU:GV,13,FALSE)</f>
        <v>0</v>
      </c>
      <c r="P182" s="174">
        <f>VLOOKUP(C182,'Talente &amp; Stuff'!FU:GV,14,FALSE)</f>
        <v>0</v>
      </c>
      <c r="Q182" s="114">
        <f>VLOOKUP(C182,'Talente &amp; Stuff'!FU:GV,15,FALSE)</f>
        <v>0</v>
      </c>
      <c r="R182" s="117">
        <f>VLOOKUP(C182,'Talente &amp; Stuff'!FU:GV,16,FALSE)</f>
        <v>0</v>
      </c>
      <c r="S182" s="119">
        <f>VLOOKUP(C182,'Talente &amp; Stuff'!FU:GV,17,FALSE)</f>
        <v>0</v>
      </c>
      <c r="T182" s="119">
        <f>VLOOKUP(C182,'Talente &amp; Stuff'!FU:GV,18,FALSE)</f>
        <v>0</v>
      </c>
      <c r="U182" s="89">
        <f>VLOOKUP(C182,'Talente &amp; Stuff'!FU:GV,19,FALSE)</f>
        <v>0</v>
      </c>
      <c r="V182" s="47">
        <f>VLOOKUP(C182,'Talente &amp; Stuff'!FU:GV,20,FALSE)</f>
        <v>0</v>
      </c>
      <c r="W182" s="127">
        <f>VLOOKUP(C182,'Talente &amp; Stuff'!FU:GV,21,FALSE)</f>
        <v>0</v>
      </c>
      <c r="X182" s="127">
        <f>VLOOKUP(C182,'Talente &amp; Stuff'!FU:GV,22,FALSE)</f>
        <v>0</v>
      </c>
      <c r="Y182" s="165">
        <f t="shared" si="16"/>
        <v>0</v>
      </c>
      <c r="Z182" s="44">
        <f t="shared" si="17"/>
        <v>0</v>
      </c>
      <c r="AA182" s="125">
        <f>VLOOKUP(C182,'Talente &amp; Stuff'!FU:GV,25,FALSE)</f>
        <v>0</v>
      </c>
      <c r="AB182" s="160">
        <f>VLOOKUP(C182,'Talente &amp; Stuff'!FU:GV,26,FALSE)</f>
        <v>0</v>
      </c>
      <c r="AC182" s="127">
        <f>VLOOKUP(C182,'Talente &amp; Stuff'!FU:GV,27,FALSE)</f>
        <v>0</v>
      </c>
      <c r="AD182" s="125">
        <f>VLOOKUP(C182,'Talente &amp; Stuff'!FU:GV,28,FALSE)</f>
        <v>0</v>
      </c>
      <c r="AE182" s="28"/>
    </row>
    <row r="183" spans="2:31" ht="15" hidden="1" customHeight="1" outlineLevel="2">
      <c r="B183" s="148">
        <v>31</v>
      </c>
      <c r="C183" s="177" t="str">
        <f>Attribute!C183</f>
        <v>---</v>
      </c>
      <c r="D183" s="86" t="str">
        <f>VLOOKUP(C183,'Talente &amp; Stuff'!FU:GV,2,FALSE)</f>
        <v>--/--/--</v>
      </c>
      <c r="E183" s="167" t="str">
        <f>VLOOKUP(C183,'Talente &amp; Stuff'!FU:GV,3,FALSE)</f>
        <v>-</v>
      </c>
      <c r="F183" s="120">
        <f>VLOOKUP(C183,'Talente &amp; Stuff'!FU:GV,4,FALSE)</f>
        <v>0</v>
      </c>
      <c r="G183" s="117">
        <f>VLOOKUP(C183,'Talente &amp; Stuff'!FU:GV,5,FALSE)</f>
        <v>0</v>
      </c>
      <c r="H183" s="117">
        <f>VLOOKUP(C183,'Talente &amp; Stuff'!FU:GV,6,FALSE)</f>
        <v>0</v>
      </c>
      <c r="I183" s="117">
        <f>VLOOKUP(C183,'Talente &amp; Stuff'!FU:GV,7,FALSE)</f>
        <v>0</v>
      </c>
      <c r="J183" s="117">
        <f>VLOOKUP(C183,'Talente &amp; Stuff'!FU:GV,8,FALSE)</f>
        <v>0</v>
      </c>
      <c r="K183" s="117">
        <f>VLOOKUP(C183,'Talente &amp; Stuff'!FU:GV,9,FALSE)</f>
        <v>0</v>
      </c>
      <c r="L183" s="117">
        <f>VLOOKUP(C183,'Talente &amp; Stuff'!FU:GV,10,FALSE)</f>
        <v>0</v>
      </c>
      <c r="M183" s="121">
        <f>VLOOKUP(C183,'Talente &amp; Stuff'!FU:GV,11,FALSE)</f>
        <v>0</v>
      </c>
      <c r="N183" s="47">
        <f>VLOOKUP(C183,'Talente &amp; Stuff'!FU:GV,12,FALSE)</f>
        <v>0</v>
      </c>
      <c r="O183" s="3">
        <f>VLOOKUP(C183,'Talente &amp; Stuff'!FU:GV,13,FALSE)</f>
        <v>0</v>
      </c>
      <c r="P183" s="174">
        <f>VLOOKUP(C183,'Talente &amp; Stuff'!FU:GV,14,FALSE)</f>
        <v>0</v>
      </c>
      <c r="Q183" s="114">
        <f>VLOOKUP(C183,'Talente &amp; Stuff'!FU:GV,15,FALSE)</f>
        <v>0</v>
      </c>
      <c r="R183" s="117">
        <f>VLOOKUP(C183,'Talente &amp; Stuff'!FU:GV,16,FALSE)</f>
        <v>0</v>
      </c>
      <c r="S183" s="119">
        <f>VLOOKUP(C183,'Talente &amp; Stuff'!FU:GV,17,FALSE)</f>
        <v>0</v>
      </c>
      <c r="T183" s="119">
        <f>VLOOKUP(C183,'Talente &amp; Stuff'!FU:GV,18,FALSE)</f>
        <v>0</v>
      </c>
      <c r="U183" s="89">
        <f>VLOOKUP(C183,'Talente &amp; Stuff'!FU:GV,19,FALSE)</f>
        <v>0</v>
      </c>
      <c r="V183" s="47">
        <f>VLOOKUP(C183,'Talente &amp; Stuff'!FU:GV,20,FALSE)</f>
        <v>0</v>
      </c>
      <c r="W183" s="127">
        <f>VLOOKUP(C183,'Talente &amp; Stuff'!FU:GV,21,FALSE)</f>
        <v>0</v>
      </c>
      <c r="X183" s="127">
        <f>VLOOKUP(C183,'Talente &amp; Stuff'!FU:GV,22,FALSE)</f>
        <v>0</v>
      </c>
      <c r="Y183" s="165">
        <f t="shared" si="16"/>
        <v>0</v>
      </c>
      <c r="Z183" s="44">
        <f t="shared" si="17"/>
        <v>0</v>
      </c>
      <c r="AA183" s="125">
        <f>VLOOKUP(C183,'Talente &amp; Stuff'!FU:GV,25,FALSE)</f>
        <v>0</v>
      </c>
      <c r="AB183" s="160">
        <f>VLOOKUP(C183,'Talente &amp; Stuff'!FU:GV,26,FALSE)</f>
        <v>0</v>
      </c>
      <c r="AC183" s="127">
        <f>VLOOKUP(C183,'Talente &amp; Stuff'!FU:GV,27,FALSE)</f>
        <v>0</v>
      </c>
      <c r="AD183" s="125">
        <f>VLOOKUP(C183,'Talente &amp; Stuff'!FU:GV,28,FALSE)</f>
        <v>0</v>
      </c>
      <c r="AE183" s="28"/>
    </row>
    <row r="184" spans="2:31" ht="15" hidden="1" customHeight="1" outlineLevel="2">
      <c r="B184" s="148">
        <v>32</v>
      </c>
      <c r="C184" s="177" t="str">
        <f>Attribute!C184</f>
        <v>---</v>
      </c>
      <c r="D184" s="86" t="str">
        <f>VLOOKUP(C184,'Talente &amp; Stuff'!FU:GV,2,FALSE)</f>
        <v>--/--/--</v>
      </c>
      <c r="E184" s="167" t="str">
        <f>VLOOKUP(C184,'Talente &amp; Stuff'!FU:GV,3,FALSE)</f>
        <v>-</v>
      </c>
      <c r="F184" s="120">
        <f>VLOOKUP(C184,'Talente &amp; Stuff'!FU:GV,4,FALSE)</f>
        <v>0</v>
      </c>
      <c r="G184" s="117">
        <f>VLOOKUP(C184,'Talente &amp; Stuff'!FU:GV,5,FALSE)</f>
        <v>0</v>
      </c>
      <c r="H184" s="117">
        <f>VLOOKUP(C184,'Talente &amp; Stuff'!FU:GV,6,FALSE)</f>
        <v>0</v>
      </c>
      <c r="I184" s="117">
        <f>VLOOKUP(C184,'Talente &amp; Stuff'!FU:GV,7,FALSE)</f>
        <v>0</v>
      </c>
      <c r="J184" s="117">
        <f>VLOOKUP(C184,'Talente &amp; Stuff'!FU:GV,8,FALSE)</f>
        <v>0</v>
      </c>
      <c r="K184" s="117">
        <f>VLOOKUP(C184,'Talente &amp; Stuff'!FU:GV,9,FALSE)</f>
        <v>0</v>
      </c>
      <c r="L184" s="117">
        <f>VLOOKUP(C184,'Talente &amp; Stuff'!FU:GV,10,FALSE)</f>
        <v>0</v>
      </c>
      <c r="M184" s="121">
        <f>VLOOKUP(C184,'Talente &amp; Stuff'!FU:GV,11,FALSE)</f>
        <v>0</v>
      </c>
      <c r="N184" s="47">
        <f>VLOOKUP(C184,'Talente &amp; Stuff'!FU:GV,12,FALSE)</f>
        <v>0</v>
      </c>
      <c r="O184" s="3">
        <f>VLOOKUP(C184,'Talente &amp; Stuff'!FU:GV,13,FALSE)</f>
        <v>0</v>
      </c>
      <c r="P184" s="174">
        <f>VLOOKUP(C184,'Talente &amp; Stuff'!FU:GV,14,FALSE)</f>
        <v>0</v>
      </c>
      <c r="Q184" s="114">
        <f>VLOOKUP(C184,'Talente &amp; Stuff'!FU:GV,15,FALSE)</f>
        <v>0</v>
      </c>
      <c r="R184" s="117">
        <f>VLOOKUP(C184,'Talente &amp; Stuff'!FU:GV,16,FALSE)</f>
        <v>0</v>
      </c>
      <c r="S184" s="119">
        <f>VLOOKUP(C184,'Talente &amp; Stuff'!FU:GV,17,FALSE)</f>
        <v>0</v>
      </c>
      <c r="T184" s="119">
        <f>VLOOKUP(C184,'Talente &amp; Stuff'!FU:GV,18,FALSE)</f>
        <v>0</v>
      </c>
      <c r="U184" s="89">
        <f>VLOOKUP(C184,'Talente &amp; Stuff'!FU:GV,19,FALSE)</f>
        <v>0</v>
      </c>
      <c r="V184" s="47">
        <f>VLOOKUP(C184,'Talente &amp; Stuff'!FU:GV,20,FALSE)</f>
        <v>0</v>
      </c>
      <c r="W184" s="127">
        <f>VLOOKUP(C184,'Talente &amp; Stuff'!FU:GV,21,FALSE)</f>
        <v>0</v>
      </c>
      <c r="X184" s="127">
        <f>VLOOKUP(C184,'Talente &amp; Stuff'!FU:GV,22,FALSE)</f>
        <v>0</v>
      </c>
      <c r="Y184" s="165">
        <f t="shared" si="16"/>
        <v>0</v>
      </c>
      <c r="Z184" s="44">
        <f t="shared" si="17"/>
        <v>0</v>
      </c>
      <c r="AA184" s="125">
        <f>VLOOKUP(C184,'Talente &amp; Stuff'!FU:GV,25,FALSE)</f>
        <v>0</v>
      </c>
      <c r="AB184" s="160">
        <f>VLOOKUP(C184,'Talente &amp; Stuff'!FU:GV,26,FALSE)</f>
        <v>0</v>
      </c>
      <c r="AC184" s="127">
        <f>VLOOKUP(C184,'Talente &amp; Stuff'!FU:GV,27,FALSE)</f>
        <v>0</v>
      </c>
      <c r="AD184" s="125">
        <f>VLOOKUP(C184,'Talente &amp; Stuff'!FU:GV,28,FALSE)</f>
        <v>0</v>
      </c>
      <c r="AE184" s="28"/>
    </row>
    <row r="185" spans="2:31" ht="15" hidden="1" customHeight="1" outlineLevel="2">
      <c r="B185" s="148">
        <v>33</v>
      </c>
      <c r="C185" s="177" t="str">
        <f>Attribute!C185</f>
        <v>---</v>
      </c>
      <c r="D185" s="86" t="str">
        <f>VLOOKUP(C185,'Talente &amp; Stuff'!FU:GV,2,FALSE)</f>
        <v>--/--/--</v>
      </c>
      <c r="E185" s="167" t="str">
        <f>VLOOKUP(C185,'Talente &amp; Stuff'!FU:GV,3,FALSE)</f>
        <v>-</v>
      </c>
      <c r="F185" s="120">
        <f>VLOOKUP(C185,'Talente &amp; Stuff'!FU:GV,4,FALSE)</f>
        <v>0</v>
      </c>
      <c r="G185" s="117">
        <f>VLOOKUP(C185,'Talente &amp; Stuff'!FU:GV,5,FALSE)</f>
        <v>0</v>
      </c>
      <c r="H185" s="117">
        <f>VLOOKUP(C185,'Talente &amp; Stuff'!FU:GV,6,FALSE)</f>
        <v>0</v>
      </c>
      <c r="I185" s="117">
        <f>VLOOKUP(C185,'Talente &amp; Stuff'!FU:GV,7,FALSE)</f>
        <v>0</v>
      </c>
      <c r="J185" s="117">
        <f>VLOOKUP(C185,'Talente &amp; Stuff'!FU:GV,8,FALSE)</f>
        <v>0</v>
      </c>
      <c r="K185" s="117">
        <f>VLOOKUP(C185,'Talente &amp; Stuff'!FU:GV,9,FALSE)</f>
        <v>0</v>
      </c>
      <c r="L185" s="117">
        <f>VLOOKUP(C185,'Talente &amp; Stuff'!FU:GV,10,FALSE)</f>
        <v>0</v>
      </c>
      <c r="M185" s="121">
        <f>VLOOKUP(C185,'Talente &amp; Stuff'!FU:GV,11,FALSE)</f>
        <v>0</v>
      </c>
      <c r="N185" s="47">
        <f>VLOOKUP(C185,'Talente &amp; Stuff'!FU:GV,12,FALSE)</f>
        <v>0</v>
      </c>
      <c r="O185" s="3">
        <f>VLOOKUP(C185,'Talente &amp; Stuff'!FU:GV,13,FALSE)</f>
        <v>0</v>
      </c>
      <c r="P185" s="174">
        <f>VLOOKUP(C185,'Talente &amp; Stuff'!FU:GV,14,FALSE)</f>
        <v>0</v>
      </c>
      <c r="Q185" s="114">
        <f>VLOOKUP(C185,'Talente &amp; Stuff'!FU:GV,15,FALSE)</f>
        <v>0</v>
      </c>
      <c r="R185" s="117">
        <f>VLOOKUP(C185,'Talente &amp; Stuff'!FU:GV,16,FALSE)</f>
        <v>0</v>
      </c>
      <c r="S185" s="119">
        <f>VLOOKUP(C185,'Talente &amp; Stuff'!FU:GV,17,FALSE)</f>
        <v>0</v>
      </c>
      <c r="T185" s="119">
        <f>VLOOKUP(C185,'Talente &amp; Stuff'!FU:GV,18,FALSE)</f>
        <v>0</v>
      </c>
      <c r="U185" s="89">
        <f>VLOOKUP(C185,'Talente &amp; Stuff'!FU:GV,19,FALSE)</f>
        <v>0</v>
      </c>
      <c r="V185" s="47">
        <f>VLOOKUP(C185,'Talente &amp; Stuff'!FU:GV,20,FALSE)</f>
        <v>0</v>
      </c>
      <c r="W185" s="127">
        <f>VLOOKUP(C185,'Talente &amp; Stuff'!FU:GV,21,FALSE)</f>
        <v>0</v>
      </c>
      <c r="X185" s="127">
        <f>VLOOKUP(C185,'Talente &amp; Stuff'!FU:GV,22,FALSE)</f>
        <v>0</v>
      </c>
      <c r="Y185" s="165">
        <f t="shared" ref="Y185:Y211" si="18">VLOOKUP(C185,Ausgewählte_Zauber_Gildenmagier,197,FALSE)</f>
        <v>0</v>
      </c>
      <c r="Z185" s="44">
        <f t="shared" ref="Z185:Z211" si="19">VLOOKUP(C185,Ausgewählte_Zauber_Gildenmagier,198,FALSE)</f>
        <v>0</v>
      </c>
      <c r="AA185" s="125">
        <f>VLOOKUP(C185,'Talente &amp; Stuff'!FU:GV,25,FALSE)</f>
        <v>0</v>
      </c>
      <c r="AB185" s="160">
        <f>VLOOKUP(C185,'Talente &amp; Stuff'!FU:GV,26,FALSE)</f>
        <v>0</v>
      </c>
      <c r="AC185" s="127">
        <f>VLOOKUP(C185,'Talente &amp; Stuff'!FU:GV,27,FALSE)</f>
        <v>0</v>
      </c>
      <c r="AD185" s="125">
        <f>VLOOKUP(C185,'Talente &amp; Stuff'!FU:GV,28,FALSE)</f>
        <v>0</v>
      </c>
      <c r="AE185" s="28"/>
    </row>
    <row r="186" spans="2:31" ht="15" hidden="1" customHeight="1" outlineLevel="2">
      <c r="B186" s="148">
        <v>34</v>
      </c>
      <c r="C186" s="177" t="str">
        <f>Attribute!C186</f>
        <v>---</v>
      </c>
      <c r="D186" s="86" t="str">
        <f>VLOOKUP(C186,'Talente &amp; Stuff'!FU:GV,2,FALSE)</f>
        <v>--/--/--</v>
      </c>
      <c r="E186" s="167" t="str">
        <f>VLOOKUP(C186,'Talente &amp; Stuff'!FU:GV,3,FALSE)</f>
        <v>-</v>
      </c>
      <c r="F186" s="120">
        <f>VLOOKUP(C186,'Talente &amp; Stuff'!FU:GV,4,FALSE)</f>
        <v>0</v>
      </c>
      <c r="G186" s="117">
        <f>VLOOKUP(C186,'Talente &amp; Stuff'!FU:GV,5,FALSE)</f>
        <v>0</v>
      </c>
      <c r="H186" s="117">
        <f>VLOOKUP(C186,'Talente &amp; Stuff'!FU:GV,6,FALSE)</f>
        <v>0</v>
      </c>
      <c r="I186" s="117">
        <f>VLOOKUP(C186,'Talente &amp; Stuff'!FU:GV,7,FALSE)</f>
        <v>0</v>
      </c>
      <c r="J186" s="117">
        <f>VLOOKUP(C186,'Talente &amp; Stuff'!FU:GV,8,FALSE)</f>
        <v>0</v>
      </c>
      <c r="K186" s="117">
        <f>VLOOKUP(C186,'Talente &amp; Stuff'!FU:GV,9,FALSE)</f>
        <v>0</v>
      </c>
      <c r="L186" s="117">
        <f>VLOOKUP(C186,'Talente &amp; Stuff'!FU:GV,10,FALSE)</f>
        <v>0</v>
      </c>
      <c r="M186" s="121">
        <f>VLOOKUP(C186,'Talente &amp; Stuff'!FU:GV,11,FALSE)</f>
        <v>0</v>
      </c>
      <c r="N186" s="47">
        <f>VLOOKUP(C186,'Talente &amp; Stuff'!FU:GV,12,FALSE)</f>
        <v>0</v>
      </c>
      <c r="O186" s="3">
        <f>VLOOKUP(C186,'Talente &amp; Stuff'!FU:GV,13,FALSE)</f>
        <v>0</v>
      </c>
      <c r="P186" s="174">
        <f>VLOOKUP(C186,'Talente &amp; Stuff'!FU:GV,14,FALSE)</f>
        <v>0</v>
      </c>
      <c r="Q186" s="114">
        <f>VLOOKUP(C186,'Talente &amp; Stuff'!FU:GV,15,FALSE)</f>
        <v>0</v>
      </c>
      <c r="R186" s="117">
        <f>VLOOKUP(C186,'Talente &amp; Stuff'!FU:GV,16,FALSE)</f>
        <v>0</v>
      </c>
      <c r="S186" s="119">
        <f>VLOOKUP(C186,'Talente &amp; Stuff'!FU:GV,17,FALSE)</f>
        <v>0</v>
      </c>
      <c r="T186" s="119">
        <f>VLOOKUP(C186,'Talente &amp; Stuff'!FU:GV,18,FALSE)</f>
        <v>0</v>
      </c>
      <c r="U186" s="89">
        <f>VLOOKUP(C186,'Talente &amp; Stuff'!FU:GV,19,FALSE)</f>
        <v>0</v>
      </c>
      <c r="V186" s="47">
        <f>VLOOKUP(C186,'Talente &amp; Stuff'!FU:GV,20,FALSE)</f>
        <v>0</v>
      </c>
      <c r="W186" s="127">
        <f>VLOOKUP(C186,'Talente &amp; Stuff'!FU:GV,21,FALSE)</f>
        <v>0</v>
      </c>
      <c r="X186" s="127">
        <f>VLOOKUP(C186,'Talente &amp; Stuff'!FU:GV,22,FALSE)</f>
        <v>0</v>
      </c>
      <c r="Y186" s="165">
        <f t="shared" si="18"/>
        <v>0</v>
      </c>
      <c r="Z186" s="44">
        <f t="shared" si="19"/>
        <v>0</v>
      </c>
      <c r="AA186" s="125">
        <f>VLOOKUP(C186,'Talente &amp; Stuff'!FU:GV,25,FALSE)</f>
        <v>0</v>
      </c>
      <c r="AB186" s="160">
        <f>VLOOKUP(C186,'Talente &amp; Stuff'!FU:GV,26,FALSE)</f>
        <v>0</v>
      </c>
      <c r="AC186" s="127">
        <f>VLOOKUP(C186,'Talente &amp; Stuff'!FU:GV,27,FALSE)</f>
        <v>0</v>
      </c>
      <c r="AD186" s="125">
        <f>VLOOKUP(C186,'Talente &amp; Stuff'!FU:GV,28,FALSE)</f>
        <v>0</v>
      </c>
      <c r="AE186" s="28"/>
    </row>
    <row r="187" spans="2:31" ht="15" hidden="1" customHeight="1" outlineLevel="2">
      <c r="B187" s="148">
        <v>35</v>
      </c>
      <c r="C187" s="177" t="str">
        <f>Attribute!C187</f>
        <v>---</v>
      </c>
      <c r="D187" s="86" t="str">
        <f>VLOOKUP(C187,'Talente &amp; Stuff'!FU:GV,2,FALSE)</f>
        <v>--/--/--</v>
      </c>
      <c r="E187" s="167" t="str">
        <f>VLOOKUP(C187,'Talente &amp; Stuff'!FU:GV,3,FALSE)</f>
        <v>-</v>
      </c>
      <c r="F187" s="120">
        <f>VLOOKUP(C187,'Talente &amp; Stuff'!FU:GV,4,FALSE)</f>
        <v>0</v>
      </c>
      <c r="G187" s="117">
        <f>VLOOKUP(C187,'Talente &amp; Stuff'!FU:GV,5,FALSE)</f>
        <v>0</v>
      </c>
      <c r="H187" s="117">
        <f>VLOOKUP(C187,'Talente &amp; Stuff'!FU:GV,6,FALSE)</f>
        <v>0</v>
      </c>
      <c r="I187" s="117">
        <f>VLOOKUP(C187,'Talente &amp; Stuff'!FU:GV,7,FALSE)</f>
        <v>0</v>
      </c>
      <c r="J187" s="117">
        <f>VLOOKUP(C187,'Talente &amp; Stuff'!FU:GV,8,FALSE)</f>
        <v>0</v>
      </c>
      <c r="K187" s="117">
        <f>VLOOKUP(C187,'Talente &amp; Stuff'!FU:GV,9,FALSE)</f>
        <v>0</v>
      </c>
      <c r="L187" s="117">
        <f>VLOOKUP(C187,'Talente &amp; Stuff'!FU:GV,10,FALSE)</f>
        <v>0</v>
      </c>
      <c r="M187" s="121">
        <f>VLOOKUP(C187,'Talente &amp; Stuff'!FU:GV,11,FALSE)</f>
        <v>0</v>
      </c>
      <c r="N187" s="47">
        <f>VLOOKUP(C187,'Talente &amp; Stuff'!FU:GV,12,FALSE)</f>
        <v>0</v>
      </c>
      <c r="O187" s="3">
        <f>VLOOKUP(C187,'Talente &amp; Stuff'!FU:GV,13,FALSE)</f>
        <v>0</v>
      </c>
      <c r="P187" s="174">
        <f>VLOOKUP(C187,'Talente &amp; Stuff'!FU:GV,14,FALSE)</f>
        <v>0</v>
      </c>
      <c r="Q187" s="114">
        <f>VLOOKUP(C187,'Talente &amp; Stuff'!FU:GV,15,FALSE)</f>
        <v>0</v>
      </c>
      <c r="R187" s="117">
        <f>VLOOKUP(C187,'Talente &amp; Stuff'!FU:GV,16,FALSE)</f>
        <v>0</v>
      </c>
      <c r="S187" s="119">
        <f>VLOOKUP(C187,'Talente &amp; Stuff'!FU:GV,17,FALSE)</f>
        <v>0</v>
      </c>
      <c r="T187" s="119">
        <f>VLOOKUP(C187,'Talente &amp; Stuff'!FU:GV,18,FALSE)</f>
        <v>0</v>
      </c>
      <c r="U187" s="89">
        <f>VLOOKUP(C187,'Talente &amp; Stuff'!FU:GV,19,FALSE)</f>
        <v>0</v>
      </c>
      <c r="V187" s="47">
        <f>VLOOKUP(C187,'Talente &amp; Stuff'!FU:GV,20,FALSE)</f>
        <v>0</v>
      </c>
      <c r="W187" s="127">
        <f>VLOOKUP(C187,'Talente &amp; Stuff'!FU:GV,21,FALSE)</f>
        <v>0</v>
      </c>
      <c r="X187" s="127">
        <f>VLOOKUP(C187,'Talente &amp; Stuff'!FU:GV,22,FALSE)</f>
        <v>0</v>
      </c>
      <c r="Y187" s="165">
        <f t="shared" si="18"/>
        <v>0</v>
      </c>
      <c r="Z187" s="44">
        <f t="shared" si="19"/>
        <v>0</v>
      </c>
      <c r="AA187" s="125">
        <f>VLOOKUP(C187,'Talente &amp; Stuff'!FU:GV,25,FALSE)</f>
        <v>0</v>
      </c>
      <c r="AB187" s="160">
        <f>VLOOKUP(C187,'Talente &amp; Stuff'!FU:GV,26,FALSE)</f>
        <v>0</v>
      </c>
      <c r="AC187" s="127">
        <f>VLOOKUP(C187,'Talente &amp; Stuff'!FU:GV,27,FALSE)</f>
        <v>0</v>
      </c>
      <c r="AD187" s="125">
        <f>VLOOKUP(C187,'Talente &amp; Stuff'!FU:GV,28,FALSE)</f>
        <v>0</v>
      </c>
      <c r="AE187" s="28"/>
    </row>
    <row r="188" spans="2:31" ht="15" hidden="1" customHeight="1" outlineLevel="2">
      <c r="B188" s="148">
        <v>36</v>
      </c>
      <c r="C188" s="177" t="str">
        <f>Attribute!C188</f>
        <v>---</v>
      </c>
      <c r="D188" s="86" t="str">
        <f>VLOOKUP(C188,'Talente &amp; Stuff'!FU:GV,2,FALSE)</f>
        <v>--/--/--</v>
      </c>
      <c r="E188" s="167" t="str">
        <f>VLOOKUP(C188,'Talente &amp; Stuff'!FU:GV,3,FALSE)</f>
        <v>-</v>
      </c>
      <c r="F188" s="120">
        <f>VLOOKUP(C188,'Talente &amp; Stuff'!FU:GV,4,FALSE)</f>
        <v>0</v>
      </c>
      <c r="G188" s="117">
        <f>VLOOKUP(C188,'Talente &amp; Stuff'!FU:GV,5,FALSE)</f>
        <v>0</v>
      </c>
      <c r="H188" s="117">
        <f>VLOOKUP(C188,'Talente &amp; Stuff'!FU:GV,6,FALSE)</f>
        <v>0</v>
      </c>
      <c r="I188" s="117">
        <f>VLOOKUP(C188,'Talente &amp; Stuff'!FU:GV,7,FALSE)</f>
        <v>0</v>
      </c>
      <c r="J188" s="117">
        <f>VLOOKUP(C188,'Talente &amp; Stuff'!FU:GV,8,FALSE)</f>
        <v>0</v>
      </c>
      <c r="K188" s="117">
        <f>VLOOKUP(C188,'Talente &amp; Stuff'!FU:GV,9,FALSE)</f>
        <v>0</v>
      </c>
      <c r="L188" s="117">
        <f>VLOOKUP(C188,'Talente &amp; Stuff'!FU:GV,10,FALSE)</f>
        <v>0</v>
      </c>
      <c r="M188" s="121">
        <f>VLOOKUP(C188,'Talente &amp; Stuff'!FU:GV,11,FALSE)</f>
        <v>0</v>
      </c>
      <c r="N188" s="47">
        <f>VLOOKUP(C188,'Talente &amp; Stuff'!FU:GV,12,FALSE)</f>
        <v>0</v>
      </c>
      <c r="O188" s="3">
        <f>VLOOKUP(C188,'Talente &amp; Stuff'!FU:GV,13,FALSE)</f>
        <v>0</v>
      </c>
      <c r="P188" s="174">
        <f>VLOOKUP(C188,'Talente &amp; Stuff'!FU:GV,14,FALSE)</f>
        <v>0</v>
      </c>
      <c r="Q188" s="114">
        <f>VLOOKUP(C188,'Talente &amp; Stuff'!FU:GV,15,FALSE)</f>
        <v>0</v>
      </c>
      <c r="R188" s="117">
        <f>VLOOKUP(C188,'Talente &amp; Stuff'!FU:GV,16,FALSE)</f>
        <v>0</v>
      </c>
      <c r="S188" s="119">
        <f>VLOOKUP(C188,'Talente &amp; Stuff'!FU:GV,17,FALSE)</f>
        <v>0</v>
      </c>
      <c r="T188" s="119">
        <f>VLOOKUP(C188,'Talente &amp; Stuff'!FU:GV,18,FALSE)</f>
        <v>0</v>
      </c>
      <c r="U188" s="89">
        <f>VLOOKUP(C188,'Talente &amp; Stuff'!FU:GV,19,FALSE)</f>
        <v>0</v>
      </c>
      <c r="V188" s="47">
        <f>VLOOKUP(C188,'Talente &amp; Stuff'!FU:GV,20,FALSE)</f>
        <v>0</v>
      </c>
      <c r="W188" s="127">
        <f>VLOOKUP(C188,'Talente &amp; Stuff'!FU:GV,21,FALSE)</f>
        <v>0</v>
      </c>
      <c r="X188" s="127">
        <f>VLOOKUP(C188,'Talente &amp; Stuff'!FU:GV,22,FALSE)</f>
        <v>0</v>
      </c>
      <c r="Y188" s="165">
        <f t="shared" si="18"/>
        <v>0</v>
      </c>
      <c r="Z188" s="44">
        <f t="shared" si="19"/>
        <v>0</v>
      </c>
      <c r="AA188" s="125">
        <f>VLOOKUP(C188,'Talente &amp; Stuff'!FU:GV,25,FALSE)</f>
        <v>0</v>
      </c>
      <c r="AB188" s="160">
        <f>VLOOKUP(C188,'Talente &amp; Stuff'!FU:GV,26,FALSE)</f>
        <v>0</v>
      </c>
      <c r="AC188" s="127">
        <f>VLOOKUP(C188,'Talente &amp; Stuff'!FU:GV,27,FALSE)</f>
        <v>0</v>
      </c>
      <c r="AD188" s="125">
        <f>VLOOKUP(C188,'Talente &amp; Stuff'!FU:GV,28,FALSE)</f>
        <v>0</v>
      </c>
      <c r="AE188" s="28"/>
    </row>
    <row r="189" spans="2:31" ht="15" hidden="1" customHeight="1" outlineLevel="2">
      <c r="B189" s="148">
        <v>37</v>
      </c>
      <c r="C189" s="177" t="str">
        <f>Attribute!C189</f>
        <v>---</v>
      </c>
      <c r="D189" s="86" t="str">
        <f>VLOOKUP(C189,'Talente &amp; Stuff'!FU:GV,2,FALSE)</f>
        <v>--/--/--</v>
      </c>
      <c r="E189" s="167" t="str">
        <f>VLOOKUP(C189,'Talente &amp; Stuff'!FU:GV,3,FALSE)</f>
        <v>-</v>
      </c>
      <c r="F189" s="120">
        <f>VLOOKUP(C189,'Talente &amp; Stuff'!FU:GV,4,FALSE)</f>
        <v>0</v>
      </c>
      <c r="G189" s="117">
        <f>VLOOKUP(C189,'Talente &amp; Stuff'!FU:GV,5,FALSE)</f>
        <v>0</v>
      </c>
      <c r="H189" s="117">
        <f>VLOOKUP(C189,'Talente &amp; Stuff'!FU:GV,6,FALSE)</f>
        <v>0</v>
      </c>
      <c r="I189" s="117">
        <f>VLOOKUP(C189,'Talente &amp; Stuff'!FU:GV,7,FALSE)</f>
        <v>0</v>
      </c>
      <c r="J189" s="117">
        <f>VLOOKUP(C189,'Talente &amp; Stuff'!FU:GV,8,FALSE)</f>
        <v>0</v>
      </c>
      <c r="K189" s="117">
        <f>VLOOKUP(C189,'Talente &amp; Stuff'!FU:GV,9,FALSE)</f>
        <v>0</v>
      </c>
      <c r="L189" s="117">
        <f>VLOOKUP(C189,'Talente &amp; Stuff'!FU:GV,10,FALSE)</f>
        <v>0</v>
      </c>
      <c r="M189" s="121">
        <f>VLOOKUP(C189,'Talente &amp; Stuff'!FU:GV,11,FALSE)</f>
        <v>0</v>
      </c>
      <c r="N189" s="47">
        <f>VLOOKUP(C189,'Talente &amp; Stuff'!FU:GV,12,FALSE)</f>
        <v>0</v>
      </c>
      <c r="O189" s="3">
        <f>VLOOKUP(C189,'Talente &amp; Stuff'!FU:GV,13,FALSE)</f>
        <v>0</v>
      </c>
      <c r="P189" s="174">
        <f>VLOOKUP(C189,'Talente &amp; Stuff'!FU:GV,14,FALSE)</f>
        <v>0</v>
      </c>
      <c r="Q189" s="114">
        <f>VLOOKUP(C189,'Talente &amp; Stuff'!FU:GV,15,FALSE)</f>
        <v>0</v>
      </c>
      <c r="R189" s="117">
        <f>VLOOKUP(C189,'Talente &amp; Stuff'!FU:GV,16,FALSE)</f>
        <v>0</v>
      </c>
      <c r="S189" s="119">
        <f>VLOOKUP(C189,'Talente &amp; Stuff'!FU:GV,17,FALSE)</f>
        <v>0</v>
      </c>
      <c r="T189" s="119">
        <f>VLOOKUP(C189,'Talente &amp; Stuff'!FU:GV,18,FALSE)</f>
        <v>0</v>
      </c>
      <c r="U189" s="89">
        <f>VLOOKUP(C189,'Talente &amp; Stuff'!FU:GV,19,FALSE)</f>
        <v>0</v>
      </c>
      <c r="V189" s="47">
        <f>VLOOKUP(C189,'Talente &amp; Stuff'!FU:GV,20,FALSE)</f>
        <v>0</v>
      </c>
      <c r="W189" s="127">
        <f>VLOOKUP(C189,'Talente &amp; Stuff'!FU:GV,21,FALSE)</f>
        <v>0</v>
      </c>
      <c r="X189" s="127">
        <f>VLOOKUP(C189,'Talente &amp; Stuff'!FU:GV,22,FALSE)</f>
        <v>0</v>
      </c>
      <c r="Y189" s="165">
        <f t="shared" si="18"/>
        <v>0</v>
      </c>
      <c r="Z189" s="44">
        <f t="shared" si="19"/>
        <v>0</v>
      </c>
      <c r="AA189" s="125">
        <f>VLOOKUP(C189,'Talente &amp; Stuff'!FU:GV,25,FALSE)</f>
        <v>0</v>
      </c>
      <c r="AB189" s="160">
        <f>VLOOKUP(C189,'Talente &amp; Stuff'!FU:GV,26,FALSE)</f>
        <v>0</v>
      </c>
      <c r="AC189" s="127">
        <f>VLOOKUP(C189,'Talente &amp; Stuff'!FU:GV,27,FALSE)</f>
        <v>0</v>
      </c>
      <c r="AD189" s="125">
        <f>VLOOKUP(C189,'Talente &amp; Stuff'!FU:GV,28,FALSE)</f>
        <v>0</v>
      </c>
      <c r="AE189" s="28"/>
    </row>
    <row r="190" spans="2:31" ht="15" hidden="1" customHeight="1" outlineLevel="2">
      <c r="B190" s="148">
        <v>38</v>
      </c>
      <c r="C190" s="177" t="str">
        <f>Attribute!C190</f>
        <v>---</v>
      </c>
      <c r="D190" s="86" t="str">
        <f>VLOOKUP(C190,'Talente &amp; Stuff'!FU:GV,2,FALSE)</f>
        <v>--/--/--</v>
      </c>
      <c r="E190" s="167" t="str">
        <f>VLOOKUP(C190,'Talente &amp; Stuff'!FU:GV,3,FALSE)</f>
        <v>-</v>
      </c>
      <c r="F190" s="120">
        <f>VLOOKUP(C190,'Talente &amp; Stuff'!FU:GV,4,FALSE)</f>
        <v>0</v>
      </c>
      <c r="G190" s="117">
        <f>VLOOKUP(C190,'Talente &amp; Stuff'!FU:GV,5,FALSE)</f>
        <v>0</v>
      </c>
      <c r="H190" s="117">
        <f>VLOOKUP(C190,'Talente &amp; Stuff'!FU:GV,6,FALSE)</f>
        <v>0</v>
      </c>
      <c r="I190" s="117">
        <f>VLOOKUP(C190,'Talente &amp; Stuff'!FU:GV,7,FALSE)</f>
        <v>0</v>
      </c>
      <c r="J190" s="117">
        <f>VLOOKUP(C190,'Talente &amp; Stuff'!FU:GV,8,FALSE)</f>
        <v>0</v>
      </c>
      <c r="K190" s="117">
        <f>VLOOKUP(C190,'Talente &amp; Stuff'!FU:GV,9,FALSE)</f>
        <v>0</v>
      </c>
      <c r="L190" s="117">
        <f>VLOOKUP(C190,'Talente &amp; Stuff'!FU:GV,10,FALSE)</f>
        <v>0</v>
      </c>
      <c r="M190" s="121">
        <f>VLOOKUP(C190,'Talente &amp; Stuff'!FU:GV,11,FALSE)</f>
        <v>0</v>
      </c>
      <c r="N190" s="47">
        <f>VLOOKUP(C190,'Talente &amp; Stuff'!FU:GV,12,FALSE)</f>
        <v>0</v>
      </c>
      <c r="O190" s="3">
        <f>VLOOKUP(C190,'Talente &amp; Stuff'!FU:GV,13,FALSE)</f>
        <v>0</v>
      </c>
      <c r="P190" s="174">
        <f>VLOOKUP(C190,'Talente &amp; Stuff'!FU:GV,14,FALSE)</f>
        <v>0</v>
      </c>
      <c r="Q190" s="114">
        <f>VLOOKUP(C190,'Talente &amp; Stuff'!FU:GV,15,FALSE)</f>
        <v>0</v>
      </c>
      <c r="R190" s="117">
        <f>VLOOKUP(C190,'Talente &amp; Stuff'!FU:GV,16,FALSE)</f>
        <v>0</v>
      </c>
      <c r="S190" s="119">
        <f>VLOOKUP(C190,'Talente &amp; Stuff'!FU:GV,17,FALSE)</f>
        <v>0</v>
      </c>
      <c r="T190" s="119">
        <f>VLOOKUP(C190,'Talente &amp; Stuff'!FU:GV,18,FALSE)</f>
        <v>0</v>
      </c>
      <c r="U190" s="89">
        <f>VLOOKUP(C190,'Talente &amp; Stuff'!FU:GV,19,FALSE)</f>
        <v>0</v>
      </c>
      <c r="V190" s="47">
        <f>VLOOKUP(C190,'Talente &amp; Stuff'!FU:GV,20,FALSE)</f>
        <v>0</v>
      </c>
      <c r="W190" s="127">
        <f>VLOOKUP(C190,'Talente &amp; Stuff'!FU:GV,21,FALSE)</f>
        <v>0</v>
      </c>
      <c r="X190" s="127">
        <f>VLOOKUP(C190,'Talente &amp; Stuff'!FU:GV,22,FALSE)</f>
        <v>0</v>
      </c>
      <c r="Y190" s="165">
        <f t="shared" si="18"/>
        <v>0</v>
      </c>
      <c r="Z190" s="44">
        <f t="shared" si="19"/>
        <v>0</v>
      </c>
      <c r="AA190" s="125">
        <f>VLOOKUP(C190,'Talente &amp; Stuff'!FU:GV,25,FALSE)</f>
        <v>0</v>
      </c>
      <c r="AB190" s="160">
        <f>VLOOKUP(C190,'Talente &amp; Stuff'!FU:GV,26,FALSE)</f>
        <v>0</v>
      </c>
      <c r="AC190" s="127">
        <f>VLOOKUP(C190,'Talente &amp; Stuff'!FU:GV,27,FALSE)</f>
        <v>0</v>
      </c>
      <c r="AD190" s="125">
        <f>VLOOKUP(C190,'Talente &amp; Stuff'!FU:GV,28,FALSE)</f>
        <v>0</v>
      </c>
      <c r="AE190" s="28"/>
    </row>
    <row r="191" spans="2:31" ht="15" hidden="1" customHeight="1" outlineLevel="2">
      <c r="B191" s="148">
        <v>39</v>
      </c>
      <c r="C191" s="177" t="str">
        <f>Attribute!C191</f>
        <v>---</v>
      </c>
      <c r="D191" s="86" t="str">
        <f>VLOOKUP(C191,'Talente &amp; Stuff'!FU:GV,2,FALSE)</f>
        <v>--/--/--</v>
      </c>
      <c r="E191" s="167" t="str">
        <f>VLOOKUP(C191,'Talente &amp; Stuff'!FU:GV,3,FALSE)</f>
        <v>-</v>
      </c>
      <c r="F191" s="120">
        <f>VLOOKUP(C191,'Talente &amp; Stuff'!FU:GV,4,FALSE)</f>
        <v>0</v>
      </c>
      <c r="G191" s="117">
        <f>VLOOKUP(C191,'Talente &amp; Stuff'!FU:GV,5,FALSE)</f>
        <v>0</v>
      </c>
      <c r="H191" s="117">
        <f>VLOOKUP(C191,'Talente &amp; Stuff'!FU:GV,6,FALSE)</f>
        <v>0</v>
      </c>
      <c r="I191" s="117">
        <f>VLOOKUP(C191,'Talente &amp; Stuff'!FU:GV,7,FALSE)</f>
        <v>0</v>
      </c>
      <c r="J191" s="117">
        <f>VLOOKUP(C191,'Talente &amp; Stuff'!FU:GV,8,FALSE)</f>
        <v>0</v>
      </c>
      <c r="K191" s="117">
        <f>VLOOKUP(C191,'Talente &amp; Stuff'!FU:GV,9,FALSE)</f>
        <v>0</v>
      </c>
      <c r="L191" s="117">
        <f>VLOOKUP(C191,'Talente &amp; Stuff'!FU:GV,10,FALSE)</f>
        <v>0</v>
      </c>
      <c r="M191" s="121">
        <f>VLOOKUP(C191,'Talente &amp; Stuff'!FU:GV,11,FALSE)</f>
        <v>0</v>
      </c>
      <c r="N191" s="47">
        <f>VLOOKUP(C191,'Talente &amp; Stuff'!FU:GV,12,FALSE)</f>
        <v>0</v>
      </c>
      <c r="O191" s="3">
        <f>VLOOKUP(C191,'Talente &amp; Stuff'!FU:GV,13,FALSE)</f>
        <v>0</v>
      </c>
      <c r="P191" s="174">
        <f>VLOOKUP(C191,'Talente &amp; Stuff'!FU:GV,14,FALSE)</f>
        <v>0</v>
      </c>
      <c r="Q191" s="114">
        <f>VLOOKUP(C191,'Talente &amp; Stuff'!FU:GV,15,FALSE)</f>
        <v>0</v>
      </c>
      <c r="R191" s="117">
        <f>VLOOKUP(C191,'Talente &amp; Stuff'!FU:GV,16,FALSE)</f>
        <v>0</v>
      </c>
      <c r="S191" s="119">
        <f>VLOOKUP(C191,'Talente &amp; Stuff'!FU:GV,17,FALSE)</f>
        <v>0</v>
      </c>
      <c r="T191" s="119">
        <f>VLOOKUP(C191,'Talente &amp; Stuff'!FU:GV,18,FALSE)</f>
        <v>0</v>
      </c>
      <c r="U191" s="89">
        <f>VLOOKUP(C191,'Talente &amp; Stuff'!FU:GV,19,FALSE)</f>
        <v>0</v>
      </c>
      <c r="V191" s="47">
        <f>VLOOKUP(C191,'Talente &amp; Stuff'!FU:GV,20,FALSE)</f>
        <v>0</v>
      </c>
      <c r="W191" s="127">
        <f>VLOOKUP(C191,'Talente &amp; Stuff'!FU:GV,21,FALSE)</f>
        <v>0</v>
      </c>
      <c r="X191" s="127">
        <f>VLOOKUP(C191,'Talente &amp; Stuff'!FU:GV,22,FALSE)</f>
        <v>0</v>
      </c>
      <c r="Y191" s="165">
        <f t="shared" si="18"/>
        <v>0</v>
      </c>
      <c r="Z191" s="44">
        <f t="shared" si="19"/>
        <v>0</v>
      </c>
      <c r="AA191" s="125">
        <f>VLOOKUP(C191,'Talente &amp; Stuff'!FU:GV,25,FALSE)</f>
        <v>0</v>
      </c>
      <c r="AB191" s="160">
        <f>VLOOKUP(C191,'Talente &amp; Stuff'!FU:GV,26,FALSE)</f>
        <v>0</v>
      </c>
      <c r="AC191" s="127">
        <f>VLOOKUP(C191,'Talente &amp; Stuff'!FU:GV,27,FALSE)</f>
        <v>0</v>
      </c>
      <c r="AD191" s="125">
        <f>VLOOKUP(C191,'Talente &amp; Stuff'!FU:GV,28,FALSE)</f>
        <v>0</v>
      </c>
      <c r="AE191" s="28"/>
    </row>
    <row r="192" spans="2:31" ht="15" hidden="1" customHeight="1" outlineLevel="2">
      <c r="B192" s="148">
        <v>40</v>
      </c>
      <c r="C192" s="177" t="str">
        <f>Attribute!C192</f>
        <v>---</v>
      </c>
      <c r="D192" s="125" t="str">
        <f>VLOOKUP(C192,'Talente &amp; Stuff'!FU:GV,2,FALSE)</f>
        <v>--/--/--</v>
      </c>
      <c r="E192" s="127" t="str">
        <f>VLOOKUP(C192,'Talente &amp; Stuff'!FU:GV,3,FALSE)</f>
        <v>-</v>
      </c>
      <c r="F192" s="114">
        <f>VLOOKUP(C192,'Talente &amp; Stuff'!FU:GV,4,FALSE)</f>
        <v>0</v>
      </c>
      <c r="G192" s="113">
        <f>VLOOKUP(C192,'Talente &amp; Stuff'!FU:GV,5,FALSE)</f>
        <v>0</v>
      </c>
      <c r="H192" s="113">
        <f>VLOOKUP(C192,'Talente &amp; Stuff'!FU:GV,6,FALSE)</f>
        <v>0</v>
      </c>
      <c r="I192" s="113">
        <f>VLOOKUP(C192,'Talente &amp; Stuff'!FU:GV,7,FALSE)</f>
        <v>0</v>
      </c>
      <c r="J192" s="113">
        <f>VLOOKUP(C192,'Talente &amp; Stuff'!FU:GV,8,FALSE)</f>
        <v>0</v>
      </c>
      <c r="K192" s="113">
        <f>VLOOKUP(C192,'Talente &amp; Stuff'!FU:GV,9,FALSE)</f>
        <v>0</v>
      </c>
      <c r="L192" s="113">
        <f>VLOOKUP(C192,'Talente &amp; Stuff'!FU:GV,10,FALSE)</f>
        <v>0</v>
      </c>
      <c r="M192" s="119">
        <f>VLOOKUP(C192,'Talente &amp; Stuff'!FU:GV,11,FALSE)</f>
        <v>0</v>
      </c>
      <c r="N192" s="47">
        <f>VLOOKUP(C192,'Talente &amp; Stuff'!FU:GV,12,FALSE)</f>
        <v>0</v>
      </c>
      <c r="O192" s="47">
        <f>VLOOKUP(C192,'Talente &amp; Stuff'!FU:GV,13,FALSE)</f>
        <v>0</v>
      </c>
      <c r="P192" s="119">
        <f>VLOOKUP(C192,'Talente &amp; Stuff'!FU:GV,14,FALSE)</f>
        <v>0</v>
      </c>
      <c r="Q192" s="114">
        <f>VLOOKUP(C192,'Talente &amp; Stuff'!FU:GV,15,FALSE)</f>
        <v>0</v>
      </c>
      <c r="R192" s="113">
        <f>VLOOKUP(C192,'Talente &amp; Stuff'!FU:GV,16,FALSE)</f>
        <v>0</v>
      </c>
      <c r="S192" s="119">
        <f>VLOOKUP(C192,'Talente &amp; Stuff'!FU:GV,17,FALSE)</f>
        <v>0</v>
      </c>
      <c r="T192" s="119">
        <f>VLOOKUP(C192,'Talente &amp; Stuff'!FU:GV,18,FALSE)</f>
        <v>0</v>
      </c>
      <c r="U192" s="89">
        <f>VLOOKUP(C192,'Talente &amp; Stuff'!FU:GV,19,FALSE)</f>
        <v>0</v>
      </c>
      <c r="V192" s="47">
        <f>VLOOKUP(C192,'Talente &amp; Stuff'!FU:GV,20,FALSE)</f>
        <v>0</v>
      </c>
      <c r="W192" s="127">
        <f>VLOOKUP(C192,'Talente &amp; Stuff'!FU:GV,21,FALSE)</f>
        <v>0</v>
      </c>
      <c r="X192" s="127">
        <f>VLOOKUP(C192,'Talente &amp; Stuff'!FU:GV,22,FALSE)</f>
        <v>0</v>
      </c>
      <c r="Y192" s="165">
        <f t="shared" si="18"/>
        <v>0</v>
      </c>
      <c r="Z192" s="44">
        <f t="shared" si="19"/>
        <v>0</v>
      </c>
      <c r="AA192" s="125">
        <f>VLOOKUP(C192,'Talente &amp; Stuff'!FU:GV,25,FALSE)</f>
        <v>0</v>
      </c>
      <c r="AB192" s="160">
        <f>VLOOKUP(C192,'Talente &amp; Stuff'!FU:GV,26,FALSE)</f>
        <v>0</v>
      </c>
      <c r="AC192" s="127">
        <f>VLOOKUP(C192,'Talente &amp; Stuff'!FU:GV,27,FALSE)</f>
        <v>0</v>
      </c>
      <c r="AD192" s="125">
        <f>VLOOKUP(C192,'Talente &amp; Stuff'!FU:GV,28,FALSE)</f>
        <v>0</v>
      </c>
      <c r="AE192" s="28"/>
    </row>
    <row r="193" spans="2:31" ht="15" hidden="1" customHeight="1" outlineLevel="2">
      <c r="B193" s="148">
        <v>41</v>
      </c>
      <c r="C193" s="177" t="str">
        <f>Attribute!C193</f>
        <v>---</v>
      </c>
      <c r="D193" s="86" t="str">
        <f>VLOOKUP(C193,'Talente &amp; Stuff'!FU:GV,2,FALSE)</f>
        <v>--/--/--</v>
      </c>
      <c r="E193" s="167" t="str">
        <f>VLOOKUP(C193,'Talente &amp; Stuff'!FU:GV,3,FALSE)</f>
        <v>-</v>
      </c>
      <c r="F193" s="120">
        <f>VLOOKUP(C193,'Talente &amp; Stuff'!FU:GV,4,FALSE)</f>
        <v>0</v>
      </c>
      <c r="G193" s="117">
        <f>VLOOKUP(C193,'Talente &amp; Stuff'!FU:GV,5,FALSE)</f>
        <v>0</v>
      </c>
      <c r="H193" s="117">
        <f>VLOOKUP(C193,'Talente &amp; Stuff'!FU:GV,6,FALSE)</f>
        <v>0</v>
      </c>
      <c r="I193" s="117">
        <f>VLOOKUP(C193,'Talente &amp; Stuff'!FU:GV,7,FALSE)</f>
        <v>0</v>
      </c>
      <c r="J193" s="117">
        <f>VLOOKUP(C193,'Talente &amp; Stuff'!FU:GV,8,FALSE)</f>
        <v>0</v>
      </c>
      <c r="K193" s="117">
        <f>VLOOKUP(C193,'Talente &amp; Stuff'!FU:GV,9,FALSE)</f>
        <v>0</v>
      </c>
      <c r="L193" s="117">
        <f>VLOOKUP(C193,'Talente &amp; Stuff'!FU:GV,10,FALSE)</f>
        <v>0</v>
      </c>
      <c r="M193" s="121">
        <f>VLOOKUP(C193,'Talente &amp; Stuff'!FU:GV,11,FALSE)</f>
        <v>0</v>
      </c>
      <c r="N193" s="47">
        <f>VLOOKUP(C193,'Talente &amp; Stuff'!FU:GV,12,FALSE)</f>
        <v>0</v>
      </c>
      <c r="O193" s="3">
        <f>VLOOKUP(C193,'Talente &amp; Stuff'!FU:GV,13,FALSE)</f>
        <v>0</v>
      </c>
      <c r="P193" s="174">
        <f>VLOOKUP(C193,'Talente &amp; Stuff'!FU:GV,14,FALSE)</f>
        <v>0</v>
      </c>
      <c r="Q193" s="114">
        <f>VLOOKUP(C193,'Talente &amp; Stuff'!FU:GV,15,FALSE)</f>
        <v>0</v>
      </c>
      <c r="R193" s="117">
        <f>VLOOKUP(C193,'Talente &amp; Stuff'!FU:GV,16,FALSE)</f>
        <v>0</v>
      </c>
      <c r="S193" s="119">
        <f>VLOOKUP(C193,'Talente &amp; Stuff'!FU:GV,17,FALSE)</f>
        <v>0</v>
      </c>
      <c r="T193" s="119">
        <f>VLOOKUP(C193,'Talente &amp; Stuff'!FU:GV,18,FALSE)</f>
        <v>0</v>
      </c>
      <c r="U193" s="89">
        <f>VLOOKUP(C193,'Talente &amp; Stuff'!FU:GV,19,FALSE)</f>
        <v>0</v>
      </c>
      <c r="V193" s="47">
        <f>VLOOKUP(C193,'Talente &amp; Stuff'!FU:GV,20,FALSE)</f>
        <v>0</v>
      </c>
      <c r="W193" s="127">
        <f>VLOOKUP(C193,'Talente &amp; Stuff'!FU:GV,21,FALSE)</f>
        <v>0</v>
      </c>
      <c r="X193" s="127">
        <f>VLOOKUP(C193,'Talente &amp; Stuff'!FU:GV,22,FALSE)</f>
        <v>0</v>
      </c>
      <c r="Y193" s="165">
        <f t="shared" si="18"/>
        <v>0</v>
      </c>
      <c r="Z193" s="44">
        <f t="shared" si="19"/>
        <v>0</v>
      </c>
      <c r="AA193" s="125">
        <f>VLOOKUP(C193,'Talente &amp; Stuff'!FU:GV,25,FALSE)</f>
        <v>0</v>
      </c>
      <c r="AB193" s="160">
        <f>VLOOKUP(C193,'Talente &amp; Stuff'!FU:GV,26,FALSE)</f>
        <v>0</v>
      </c>
      <c r="AC193" s="127">
        <f>VLOOKUP(C193,'Talente &amp; Stuff'!FU:GV,27,FALSE)</f>
        <v>0</v>
      </c>
      <c r="AD193" s="125">
        <f>VLOOKUP(C193,'Talente &amp; Stuff'!FU:GV,28,FALSE)</f>
        <v>0</v>
      </c>
      <c r="AE193" s="28"/>
    </row>
    <row r="194" spans="2:31" ht="15" hidden="1" customHeight="1" outlineLevel="2">
      <c r="B194" s="148">
        <v>42</v>
      </c>
      <c r="C194" s="177" t="str">
        <f>Attribute!C194</f>
        <v>---</v>
      </c>
      <c r="D194" s="86" t="str">
        <f>VLOOKUP(C194,'Talente &amp; Stuff'!FU:GV,2,FALSE)</f>
        <v>--/--/--</v>
      </c>
      <c r="E194" s="167" t="str">
        <f>VLOOKUP(C194,'Talente &amp; Stuff'!FU:GV,3,FALSE)</f>
        <v>-</v>
      </c>
      <c r="F194" s="120">
        <f>VLOOKUP(C194,'Talente &amp; Stuff'!FU:GV,4,FALSE)</f>
        <v>0</v>
      </c>
      <c r="G194" s="117">
        <f>VLOOKUP(C194,'Talente &amp; Stuff'!FU:GV,5,FALSE)</f>
        <v>0</v>
      </c>
      <c r="H194" s="117">
        <f>VLOOKUP(C194,'Talente &amp; Stuff'!FU:GV,6,FALSE)</f>
        <v>0</v>
      </c>
      <c r="I194" s="117">
        <f>VLOOKUP(C194,'Talente &amp; Stuff'!FU:GV,7,FALSE)</f>
        <v>0</v>
      </c>
      <c r="J194" s="117">
        <f>VLOOKUP(C194,'Talente &amp; Stuff'!FU:GV,8,FALSE)</f>
        <v>0</v>
      </c>
      <c r="K194" s="117">
        <f>VLOOKUP(C194,'Talente &amp; Stuff'!FU:GV,9,FALSE)</f>
        <v>0</v>
      </c>
      <c r="L194" s="117">
        <f>VLOOKUP(C194,'Talente &amp; Stuff'!FU:GV,10,FALSE)</f>
        <v>0</v>
      </c>
      <c r="M194" s="121">
        <f>VLOOKUP(C194,'Talente &amp; Stuff'!FU:GV,11,FALSE)</f>
        <v>0</v>
      </c>
      <c r="N194" s="47">
        <f>VLOOKUP(C194,'Talente &amp; Stuff'!FU:GV,12,FALSE)</f>
        <v>0</v>
      </c>
      <c r="O194" s="3">
        <f>VLOOKUP(C194,'Talente &amp; Stuff'!FU:GV,13,FALSE)</f>
        <v>0</v>
      </c>
      <c r="P194" s="174">
        <f>VLOOKUP(C194,'Talente &amp; Stuff'!FU:GV,14,FALSE)</f>
        <v>0</v>
      </c>
      <c r="Q194" s="114">
        <f>VLOOKUP(C194,'Talente &amp; Stuff'!FU:GV,15,FALSE)</f>
        <v>0</v>
      </c>
      <c r="R194" s="117">
        <f>VLOOKUP(C194,'Talente &amp; Stuff'!FU:GV,16,FALSE)</f>
        <v>0</v>
      </c>
      <c r="S194" s="119">
        <f>VLOOKUP(C194,'Talente &amp; Stuff'!FU:GV,17,FALSE)</f>
        <v>0</v>
      </c>
      <c r="T194" s="119">
        <f>VLOOKUP(C194,'Talente &amp; Stuff'!FU:GV,18,FALSE)</f>
        <v>0</v>
      </c>
      <c r="U194" s="89">
        <f>VLOOKUP(C194,'Talente &amp; Stuff'!FU:GV,19,FALSE)</f>
        <v>0</v>
      </c>
      <c r="V194" s="47">
        <f>VLOOKUP(C194,'Talente &amp; Stuff'!FU:GV,20,FALSE)</f>
        <v>0</v>
      </c>
      <c r="W194" s="127">
        <f>VLOOKUP(C194,'Talente &amp; Stuff'!FU:GV,21,FALSE)</f>
        <v>0</v>
      </c>
      <c r="X194" s="127">
        <f>VLOOKUP(C194,'Talente &amp; Stuff'!FU:GV,22,FALSE)</f>
        <v>0</v>
      </c>
      <c r="Y194" s="165">
        <f t="shared" si="18"/>
        <v>0</v>
      </c>
      <c r="Z194" s="44">
        <f t="shared" si="19"/>
        <v>0</v>
      </c>
      <c r="AA194" s="125">
        <f>VLOOKUP(C194,'Talente &amp; Stuff'!FU:GV,25,FALSE)</f>
        <v>0</v>
      </c>
      <c r="AB194" s="160">
        <f>VLOOKUP(C194,'Talente &amp; Stuff'!FU:GV,26,FALSE)</f>
        <v>0</v>
      </c>
      <c r="AC194" s="127">
        <f>VLOOKUP(C194,'Talente &amp; Stuff'!FU:GV,27,FALSE)</f>
        <v>0</v>
      </c>
      <c r="AD194" s="125">
        <f>VLOOKUP(C194,'Talente &amp; Stuff'!FU:GV,28,FALSE)</f>
        <v>0</v>
      </c>
      <c r="AE194" s="28"/>
    </row>
    <row r="195" spans="2:31" ht="15" hidden="1" customHeight="1" outlineLevel="2">
      <c r="B195" s="148">
        <v>43</v>
      </c>
      <c r="C195" s="177" t="str">
        <f>Attribute!C195</f>
        <v>---</v>
      </c>
      <c r="D195" s="125" t="str">
        <f>VLOOKUP(C195,'Talente &amp; Stuff'!FU:GV,2,FALSE)</f>
        <v>--/--/--</v>
      </c>
      <c r="E195" s="127" t="str">
        <f>VLOOKUP(C195,'Talente &amp; Stuff'!FU:GV,3,FALSE)</f>
        <v>-</v>
      </c>
      <c r="F195" s="114">
        <f>VLOOKUP(C195,'Talente &amp; Stuff'!FU:GV,4,FALSE)</f>
        <v>0</v>
      </c>
      <c r="G195" s="113">
        <f>VLOOKUP(C195,'Talente &amp; Stuff'!FU:GV,5,FALSE)</f>
        <v>0</v>
      </c>
      <c r="H195" s="113">
        <f>VLOOKUP(C195,'Talente &amp; Stuff'!FU:GV,6,FALSE)</f>
        <v>0</v>
      </c>
      <c r="I195" s="113">
        <f>VLOOKUP(C195,'Talente &amp; Stuff'!FU:GV,7,FALSE)</f>
        <v>0</v>
      </c>
      <c r="J195" s="113">
        <f>VLOOKUP(C195,'Talente &amp; Stuff'!FU:GV,8,FALSE)</f>
        <v>0</v>
      </c>
      <c r="K195" s="113">
        <f>VLOOKUP(C195,'Talente &amp; Stuff'!FU:GV,9,FALSE)</f>
        <v>0</v>
      </c>
      <c r="L195" s="113">
        <f>VLOOKUP(C195,'Talente &amp; Stuff'!FU:GV,10,FALSE)</f>
        <v>0</v>
      </c>
      <c r="M195" s="119">
        <f>VLOOKUP(C195,'Talente &amp; Stuff'!FU:GV,11,FALSE)</f>
        <v>0</v>
      </c>
      <c r="N195" s="47">
        <f>VLOOKUP(C195,'Talente &amp; Stuff'!FU:GV,12,FALSE)</f>
        <v>0</v>
      </c>
      <c r="O195" s="47">
        <f>VLOOKUP(C195,'Talente &amp; Stuff'!FU:GV,13,FALSE)</f>
        <v>0</v>
      </c>
      <c r="P195" s="119">
        <f>VLOOKUP(C195,'Talente &amp; Stuff'!FU:GV,14,FALSE)</f>
        <v>0</v>
      </c>
      <c r="Q195" s="114">
        <f>VLOOKUP(C195,'Talente &amp; Stuff'!FU:GV,15,FALSE)</f>
        <v>0</v>
      </c>
      <c r="R195" s="113">
        <f>VLOOKUP(C195,'Talente &amp; Stuff'!FU:GV,16,FALSE)</f>
        <v>0</v>
      </c>
      <c r="S195" s="119">
        <f>VLOOKUP(C195,'Talente &amp; Stuff'!FU:GV,17,FALSE)</f>
        <v>0</v>
      </c>
      <c r="T195" s="119">
        <f>VLOOKUP(C195,'Talente &amp; Stuff'!FU:GV,18,FALSE)</f>
        <v>0</v>
      </c>
      <c r="U195" s="89">
        <f>VLOOKUP(C195,'Talente &amp; Stuff'!FU:GV,19,FALSE)</f>
        <v>0</v>
      </c>
      <c r="V195" s="47">
        <f>VLOOKUP(C195,'Talente &amp; Stuff'!FU:GV,20,FALSE)</f>
        <v>0</v>
      </c>
      <c r="W195" s="127">
        <f>VLOOKUP(C195,'Talente &amp; Stuff'!FU:GV,21,FALSE)</f>
        <v>0</v>
      </c>
      <c r="X195" s="127">
        <f>VLOOKUP(C195,'Talente &amp; Stuff'!FU:GV,22,FALSE)</f>
        <v>0</v>
      </c>
      <c r="Y195" s="165">
        <f t="shared" si="18"/>
        <v>0</v>
      </c>
      <c r="Z195" s="44">
        <f t="shared" si="19"/>
        <v>0</v>
      </c>
      <c r="AA195" s="125">
        <f>VLOOKUP(C195,'Talente &amp; Stuff'!FU:GV,25,FALSE)</f>
        <v>0</v>
      </c>
      <c r="AB195" s="160">
        <f>VLOOKUP(C195,'Talente &amp; Stuff'!FU:GV,26,FALSE)</f>
        <v>0</v>
      </c>
      <c r="AC195" s="127">
        <f>VLOOKUP(C195,'Talente &amp; Stuff'!FU:GV,27,FALSE)</f>
        <v>0</v>
      </c>
      <c r="AD195" s="125">
        <f>VLOOKUP(C195,'Talente &amp; Stuff'!FU:GV,28,FALSE)</f>
        <v>0</v>
      </c>
      <c r="AE195" s="28"/>
    </row>
    <row r="196" spans="2:31" ht="15" hidden="1" customHeight="1" outlineLevel="2">
      <c r="B196" s="148">
        <v>44</v>
      </c>
      <c r="C196" s="177" t="str">
        <f>Attribute!C196</f>
        <v>---</v>
      </c>
      <c r="D196" s="86" t="str">
        <f>VLOOKUP(C196,'Talente &amp; Stuff'!FU:GV,2,FALSE)</f>
        <v>--/--/--</v>
      </c>
      <c r="E196" s="167" t="str">
        <f>VLOOKUP(C196,'Talente &amp; Stuff'!FU:GV,3,FALSE)</f>
        <v>-</v>
      </c>
      <c r="F196" s="120">
        <f>VLOOKUP(C196,'Talente &amp; Stuff'!FU:GV,4,FALSE)</f>
        <v>0</v>
      </c>
      <c r="G196" s="117">
        <f>VLOOKUP(C196,'Talente &amp; Stuff'!FU:GV,5,FALSE)</f>
        <v>0</v>
      </c>
      <c r="H196" s="117">
        <f>VLOOKUP(C196,'Talente &amp; Stuff'!FU:GV,6,FALSE)</f>
        <v>0</v>
      </c>
      <c r="I196" s="117">
        <f>VLOOKUP(C196,'Talente &amp; Stuff'!FU:GV,7,FALSE)</f>
        <v>0</v>
      </c>
      <c r="J196" s="117">
        <f>VLOOKUP(C196,'Talente &amp; Stuff'!FU:GV,8,FALSE)</f>
        <v>0</v>
      </c>
      <c r="K196" s="117">
        <f>VLOOKUP(C196,'Talente &amp; Stuff'!FU:GV,9,FALSE)</f>
        <v>0</v>
      </c>
      <c r="L196" s="117">
        <f>VLOOKUP(C196,'Talente &amp; Stuff'!FU:GV,10,FALSE)</f>
        <v>0</v>
      </c>
      <c r="M196" s="121">
        <f>VLOOKUP(C196,'Talente &amp; Stuff'!FU:GV,11,FALSE)</f>
        <v>0</v>
      </c>
      <c r="N196" s="47">
        <f>VLOOKUP(C196,'Talente &amp; Stuff'!FU:GV,12,FALSE)</f>
        <v>0</v>
      </c>
      <c r="O196" s="3">
        <f>VLOOKUP(C196,'Talente &amp; Stuff'!FU:GV,13,FALSE)</f>
        <v>0</v>
      </c>
      <c r="P196" s="174">
        <f>VLOOKUP(C196,'Talente &amp; Stuff'!FU:GV,14,FALSE)</f>
        <v>0</v>
      </c>
      <c r="Q196" s="114">
        <f>VLOOKUP(C196,'Talente &amp; Stuff'!FU:GV,15,FALSE)</f>
        <v>0</v>
      </c>
      <c r="R196" s="117">
        <f>VLOOKUP(C196,'Talente &amp; Stuff'!FU:GV,16,FALSE)</f>
        <v>0</v>
      </c>
      <c r="S196" s="119">
        <f>VLOOKUP(C196,'Talente &amp; Stuff'!FU:GV,17,FALSE)</f>
        <v>0</v>
      </c>
      <c r="T196" s="119">
        <f>VLOOKUP(C196,'Talente &amp; Stuff'!FU:GV,18,FALSE)</f>
        <v>0</v>
      </c>
      <c r="U196" s="89">
        <f>VLOOKUP(C196,'Talente &amp; Stuff'!FU:GV,19,FALSE)</f>
        <v>0</v>
      </c>
      <c r="V196" s="47">
        <f>VLOOKUP(C196,'Talente &amp; Stuff'!FU:GV,20,FALSE)</f>
        <v>0</v>
      </c>
      <c r="W196" s="127">
        <f>VLOOKUP(C196,'Talente &amp; Stuff'!FU:GV,21,FALSE)</f>
        <v>0</v>
      </c>
      <c r="X196" s="127">
        <f>VLOOKUP(C196,'Talente &amp; Stuff'!FU:GV,22,FALSE)</f>
        <v>0</v>
      </c>
      <c r="Y196" s="165">
        <f t="shared" si="18"/>
        <v>0</v>
      </c>
      <c r="Z196" s="44">
        <f t="shared" si="19"/>
        <v>0</v>
      </c>
      <c r="AA196" s="125">
        <f>VLOOKUP(C196,'Talente &amp; Stuff'!FU:GV,25,FALSE)</f>
        <v>0</v>
      </c>
      <c r="AB196" s="160">
        <f>VLOOKUP(C196,'Talente &amp; Stuff'!FU:GV,26,FALSE)</f>
        <v>0</v>
      </c>
      <c r="AC196" s="127">
        <f>VLOOKUP(C196,'Talente &amp; Stuff'!FU:GV,27,FALSE)</f>
        <v>0</v>
      </c>
      <c r="AD196" s="125">
        <f>VLOOKUP(C196,'Talente &amp; Stuff'!FU:GV,28,FALSE)</f>
        <v>0</v>
      </c>
      <c r="AE196" s="28"/>
    </row>
    <row r="197" spans="2:31" ht="15" hidden="1" customHeight="1" outlineLevel="2">
      <c r="B197" s="148">
        <v>45</v>
      </c>
      <c r="C197" s="177" t="str">
        <f>Attribute!C197</f>
        <v>---</v>
      </c>
      <c r="D197" s="86" t="str">
        <f>VLOOKUP(C197,'Talente &amp; Stuff'!FU:GV,2,FALSE)</f>
        <v>--/--/--</v>
      </c>
      <c r="E197" s="167" t="str">
        <f>VLOOKUP(C197,'Talente &amp; Stuff'!FU:GV,3,FALSE)</f>
        <v>-</v>
      </c>
      <c r="F197" s="120">
        <f>VLOOKUP(C197,'Talente &amp; Stuff'!FU:GV,4,FALSE)</f>
        <v>0</v>
      </c>
      <c r="G197" s="117">
        <f>VLOOKUP(C197,'Talente &amp; Stuff'!FU:GV,5,FALSE)</f>
        <v>0</v>
      </c>
      <c r="H197" s="117">
        <f>VLOOKUP(C197,'Talente &amp; Stuff'!FU:GV,6,FALSE)</f>
        <v>0</v>
      </c>
      <c r="I197" s="117">
        <f>VLOOKUP(C197,'Talente &amp; Stuff'!FU:GV,7,FALSE)</f>
        <v>0</v>
      </c>
      <c r="J197" s="117">
        <f>VLOOKUP(C197,'Talente &amp; Stuff'!FU:GV,8,FALSE)</f>
        <v>0</v>
      </c>
      <c r="K197" s="117">
        <f>VLOOKUP(C197,'Talente &amp; Stuff'!FU:GV,9,FALSE)</f>
        <v>0</v>
      </c>
      <c r="L197" s="117">
        <f>VLOOKUP(C197,'Talente &amp; Stuff'!FU:GV,10,FALSE)</f>
        <v>0</v>
      </c>
      <c r="M197" s="121">
        <f>VLOOKUP(C197,'Talente &amp; Stuff'!FU:GV,11,FALSE)</f>
        <v>0</v>
      </c>
      <c r="N197" s="47">
        <f>VLOOKUP(C197,'Talente &amp; Stuff'!FU:GV,12,FALSE)</f>
        <v>0</v>
      </c>
      <c r="O197" s="3">
        <f>VLOOKUP(C197,'Talente &amp; Stuff'!FU:GV,13,FALSE)</f>
        <v>0</v>
      </c>
      <c r="P197" s="174">
        <f>VLOOKUP(C197,'Talente &amp; Stuff'!FU:GV,14,FALSE)</f>
        <v>0</v>
      </c>
      <c r="Q197" s="114">
        <f>VLOOKUP(C197,'Talente &amp; Stuff'!FU:GV,15,FALSE)</f>
        <v>0</v>
      </c>
      <c r="R197" s="117">
        <f>VLOOKUP(C197,'Talente &amp; Stuff'!FU:GV,16,FALSE)</f>
        <v>0</v>
      </c>
      <c r="S197" s="119">
        <f>VLOOKUP(C197,'Talente &amp; Stuff'!FU:GV,17,FALSE)</f>
        <v>0</v>
      </c>
      <c r="T197" s="119">
        <f>VLOOKUP(C197,'Talente &amp; Stuff'!FU:GV,18,FALSE)</f>
        <v>0</v>
      </c>
      <c r="U197" s="89">
        <f>VLOOKUP(C197,'Talente &amp; Stuff'!FU:GV,19,FALSE)</f>
        <v>0</v>
      </c>
      <c r="V197" s="47">
        <f>VLOOKUP(C197,'Talente &amp; Stuff'!FU:GV,20,FALSE)</f>
        <v>0</v>
      </c>
      <c r="W197" s="127">
        <f>VLOOKUP(C197,'Talente &amp; Stuff'!FU:GV,21,FALSE)</f>
        <v>0</v>
      </c>
      <c r="X197" s="127">
        <f>VLOOKUP(C197,'Talente &amp; Stuff'!FU:GV,22,FALSE)</f>
        <v>0</v>
      </c>
      <c r="Y197" s="165">
        <f t="shared" si="18"/>
        <v>0</v>
      </c>
      <c r="Z197" s="44">
        <f t="shared" si="19"/>
        <v>0</v>
      </c>
      <c r="AA197" s="125">
        <f>VLOOKUP(C197,'Talente &amp; Stuff'!FU:GV,25,FALSE)</f>
        <v>0</v>
      </c>
      <c r="AB197" s="160">
        <f>VLOOKUP(C197,'Talente &amp; Stuff'!FU:GV,26,FALSE)</f>
        <v>0</v>
      </c>
      <c r="AC197" s="127">
        <f>VLOOKUP(C197,'Talente &amp; Stuff'!FU:GV,27,FALSE)</f>
        <v>0</v>
      </c>
      <c r="AD197" s="125">
        <f>VLOOKUP(C197,'Talente &amp; Stuff'!FU:GV,28,FALSE)</f>
        <v>0</v>
      </c>
      <c r="AE197" s="28"/>
    </row>
    <row r="198" spans="2:31" ht="15" hidden="1" customHeight="1" outlineLevel="2">
      <c r="B198" s="148">
        <v>46</v>
      </c>
      <c r="C198" s="177" t="str">
        <f>Attribute!C198</f>
        <v>---</v>
      </c>
      <c r="D198" s="86" t="str">
        <f>VLOOKUP(C198,'Talente &amp; Stuff'!FU:GV,2,FALSE)</f>
        <v>--/--/--</v>
      </c>
      <c r="E198" s="167" t="str">
        <f>VLOOKUP(C198,'Talente &amp; Stuff'!FU:GV,3,FALSE)</f>
        <v>-</v>
      </c>
      <c r="F198" s="120">
        <f>VLOOKUP(C198,'Talente &amp; Stuff'!FU:GV,4,FALSE)</f>
        <v>0</v>
      </c>
      <c r="G198" s="117">
        <f>VLOOKUP(C198,'Talente &amp; Stuff'!FU:GV,5,FALSE)</f>
        <v>0</v>
      </c>
      <c r="H198" s="117">
        <f>VLOOKUP(C198,'Talente &amp; Stuff'!FU:GV,6,FALSE)</f>
        <v>0</v>
      </c>
      <c r="I198" s="117">
        <f>VLOOKUP(C198,'Talente &amp; Stuff'!FU:GV,7,FALSE)</f>
        <v>0</v>
      </c>
      <c r="J198" s="117">
        <f>VLOOKUP(C198,'Talente &amp; Stuff'!FU:GV,8,FALSE)</f>
        <v>0</v>
      </c>
      <c r="K198" s="117">
        <f>VLOOKUP(C198,'Talente &amp; Stuff'!FU:GV,9,FALSE)</f>
        <v>0</v>
      </c>
      <c r="L198" s="117">
        <f>VLOOKUP(C198,'Talente &amp; Stuff'!FU:GV,10,FALSE)</f>
        <v>0</v>
      </c>
      <c r="M198" s="121">
        <f>VLOOKUP(C198,'Talente &amp; Stuff'!FU:GV,11,FALSE)</f>
        <v>0</v>
      </c>
      <c r="N198" s="47">
        <f>VLOOKUP(C198,'Talente &amp; Stuff'!FU:GV,12,FALSE)</f>
        <v>0</v>
      </c>
      <c r="O198" s="3">
        <f>VLOOKUP(C198,'Talente &amp; Stuff'!FU:GV,13,FALSE)</f>
        <v>0</v>
      </c>
      <c r="P198" s="174">
        <f>VLOOKUP(C198,'Talente &amp; Stuff'!FU:GV,14,FALSE)</f>
        <v>0</v>
      </c>
      <c r="Q198" s="114">
        <f>VLOOKUP(C198,'Talente &amp; Stuff'!FU:GV,15,FALSE)</f>
        <v>0</v>
      </c>
      <c r="R198" s="117">
        <f>VLOOKUP(C198,'Talente &amp; Stuff'!FU:GV,16,FALSE)</f>
        <v>0</v>
      </c>
      <c r="S198" s="119">
        <f>VLOOKUP(C198,'Talente &amp; Stuff'!FU:GV,17,FALSE)</f>
        <v>0</v>
      </c>
      <c r="T198" s="119">
        <f>VLOOKUP(C198,'Talente &amp; Stuff'!FU:GV,18,FALSE)</f>
        <v>0</v>
      </c>
      <c r="U198" s="89">
        <f>VLOOKUP(C198,'Talente &amp; Stuff'!FU:GV,19,FALSE)</f>
        <v>0</v>
      </c>
      <c r="V198" s="47">
        <f>VLOOKUP(C198,'Talente &amp; Stuff'!FU:GV,20,FALSE)</f>
        <v>0</v>
      </c>
      <c r="W198" s="127">
        <f>VLOOKUP(C198,'Talente &amp; Stuff'!FU:GV,21,FALSE)</f>
        <v>0</v>
      </c>
      <c r="X198" s="127">
        <f>VLOOKUP(C198,'Talente &amp; Stuff'!FU:GV,22,FALSE)</f>
        <v>0</v>
      </c>
      <c r="Y198" s="165">
        <f t="shared" si="18"/>
        <v>0</v>
      </c>
      <c r="Z198" s="44">
        <f t="shared" si="19"/>
        <v>0</v>
      </c>
      <c r="AA198" s="125">
        <f>VLOOKUP(C198,'Talente &amp; Stuff'!FU:GV,25,FALSE)</f>
        <v>0</v>
      </c>
      <c r="AB198" s="160">
        <f>VLOOKUP(C198,'Talente &amp; Stuff'!FU:GV,26,FALSE)</f>
        <v>0</v>
      </c>
      <c r="AC198" s="127">
        <f>VLOOKUP(C198,'Talente &amp; Stuff'!FU:GV,27,FALSE)</f>
        <v>0</v>
      </c>
      <c r="AD198" s="125">
        <f>VLOOKUP(C198,'Talente &amp; Stuff'!FU:GV,28,FALSE)</f>
        <v>0</v>
      </c>
      <c r="AE198" s="28"/>
    </row>
    <row r="199" spans="2:31" ht="15" hidden="1" customHeight="1" outlineLevel="2">
      <c r="B199" s="148">
        <v>47</v>
      </c>
      <c r="C199" s="177" t="str">
        <f>Attribute!C199</f>
        <v>---</v>
      </c>
      <c r="D199" s="125" t="str">
        <f>VLOOKUP(C199,'Talente &amp; Stuff'!FU:GV,2,FALSE)</f>
        <v>--/--/--</v>
      </c>
      <c r="E199" s="127" t="str">
        <f>VLOOKUP(C199,'Talente &amp; Stuff'!FU:GV,3,FALSE)</f>
        <v>-</v>
      </c>
      <c r="F199" s="114">
        <f>VLOOKUP(C199,'Talente &amp; Stuff'!FU:GV,4,FALSE)</f>
        <v>0</v>
      </c>
      <c r="G199" s="113">
        <f>VLOOKUP(C199,'Talente &amp; Stuff'!FU:GV,5,FALSE)</f>
        <v>0</v>
      </c>
      <c r="H199" s="113">
        <f>VLOOKUP(C199,'Talente &amp; Stuff'!FU:GV,6,FALSE)</f>
        <v>0</v>
      </c>
      <c r="I199" s="113">
        <f>VLOOKUP(C199,'Talente &amp; Stuff'!FU:GV,7,FALSE)</f>
        <v>0</v>
      </c>
      <c r="J199" s="113">
        <f>VLOOKUP(C199,'Talente &amp; Stuff'!FU:GV,8,FALSE)</f>
        <v>0</v>
      </c>
      <c r="K199" s="113">
        <f>VLOOKUP(C199,'Talente &amp; Stuff'!FU:GV,9,FALSE)</f>
        <v>0</v>
      </c>
      <c r="L199" s="113">
        <f>VLOOKUP(C199,'Talente &amp; Stuff'!FU:GV,10,FALSE)</f>
        <v>0</v>
      </c>
      <c r="M199" s="119">
        <f>VLOOKUP(C199,'Talente &amp; Stuff'!FU:GV,11,FALSE)</f>
        <v>0</v>
      </c>
      <c r="N199" s="47">
        <f>VLOOKUP(C199,'Talente &amp; Stuff'!FU:GV,12,FALSE)</f>
        <v>0</v>
      </c>
      <c r="O199" s="47">
        <f>VLOOKUP(C199,'Talente &amp; Stuff'!FU:GV,13,FALSE)</f>
        <v>0</v>
      </c>
      <c r="P199" s="119">
        <f>VLOOKUP(C199,'Talente &amp; Stuff'!FU:GV,14,FALSE)</f>
        <v>0</v>
      </c>
      <c r="Q199" s="114">
        <f>VLOOKUP(C199,'Talente &amp; Stuff'!FU:GV,15,FALSE)</f>
        <v>0</v>
      </c>
      <c r="R199" s="113">
        <f>VLOOKUP(C199,'Talente &amp; Stuff'!FU:GV,16,FALSE)</f>
        <v>0</v>
      </c>
      <c r="S199" s="119">
        <f>VLOOKUP(C199,'Talente &amp; Stuff'!FU:GV,17,FALSE)</f>
        <v>0</v>
      </c>
      <c r="T199" s="119">
        <f>VLOOKUP(C199,'Talente &amp; Stuff'!FU:GV,18,FALSE)</f>
        <v>0</v>
      </c>
      <c r="U199" s="89">
        <f>VLOOKUP(C199,'Talente &amp; Stuff'!FU:GV,19,FALSE)</f>
        <v>0</v>
      </c>
      <c r="V199" s="47">
        <f>VLOOKUP(C199,'Talente &amp; Stuff'!FU:GV,20,FALSE)</f>
        <v>0</v>
      </c>
      <c r="W199" s="127">
        <f>VLOOKUP(C199,'Talente &amp; Stuff'!FU:GV,21,FALSE)</f>
        <v>0</v>
      </c>
      <c r="X199" s="127">
        <f>VLOOKUP(C199,'Talente &amp; Stuff'!FU:GV,22,FALSE)</f>
        <v>0</v>
      </c>
      <c r="Y199" s="165">
        <f t="shared" si="18"/>
        <v>0</v>
      </c>
      <c r="Z199" s="44">
        <f t="shared" si="19"/>
        <v>0</v>
      </c>
      <c r="AA199" s="125">
        <f>VLOOKUP(C199,'Talente &amp; Stuff'!FU:GV,25,FALSE)</f>
        <v>0</v>
      </c>
      <c r="AB199" s="160">
        <f>VLOOKUP(C199,'Talente &amp; Stuff'!FU:GV,26,FALSE)</f>
        <v>0</v>
      </c>
      <c r="AC199" s="127">
        <f>VLOOKUP(C199,'Talente &amp; Stuff'!FU:GV,27,FALSE)</f>
        <v>0</v>
      </c>
      <c r="AD199" s="125">
        <f>VLOOKUP(C199,'Talente &amp; Stuff'!FU:GV,28,FALSE)</f>
        <v>0</v>
      </c>
      <c r="AE199" s="28"/>
    </row>
    <row r="200" spans="2:31" ht="15" hidden="1" customHeight="1" outlineLevel="2">
      <c r="B200" s="148">
        <v>48</v>
      </c>
      <c r="C200" s="177" t="str">
        <f>Attribute!C200</f>
        <v>---</v>
      </c>
      <c r="D200" s="86" t="str">
        <f>VLOOKUP(C200,'Talente &amp; Stuff'!FU:GV,2,FALSE)</f>
        <v>--/--/--</v>
      </c>
      <c r="E200" s="167" t="str">
        <f>VLOOKUP(C200,'Talente &amp; Stuff'!FU:GV,3,FALSE)</f>
        <v>-</v>
      </c>
      <c r="F200" s="120">
        <f>VLOOKUP(C200,'Talente &amp; Stuff'!FU:GV,4,FALSE)</f>
        <v>0</v>
      </c>
      <c r="G200" s="117">
        <f>VLOOKUP(C200,'Talente &amp; Stuff'!FU:GV,5,FALSE)</f>
        <v>0</v>
      </c>
      <c r="H200" s="117">
        <f>VLOOKUP(C200,'Talente &amp; Stuff'!FU:GV,6,FALSE)</f>
        <v>0</v>
      </c>
      <c r="I200" s="117">
        <f>VLOOKUP(C200,'Talente &amp; Stuff'!FU:GV,7,FALSE)</f>
        <v>0</v>
      </c>
      <c r="J200" s="117">
        <f>VLOOKUP(C200,'Talente &amp; Stuff'!FU:GV,8,FALSE)</f>
        <v>0</v>
      </c>
      <c r="K200" s="117">
        <f>VLOOKUP(C200,'Talente &amp; Stuff'!FU:GV,9,FALSE)</f>
        <v>0</v>
      </c>
      <c r="L200" s="117">
        <f>VLOOKUP(C200,'Talente &amp; Stuff'!FU:GV,10,FALSE)</f>
        <v>0</v>
      </c>
      <c r="M200" s="121">
        <f>VLOOKUP(C200,'Talente &amp; Stuff'!FU:GV,11,FALSE)</f>
        <v>0</v>
      </c>
      <c r="N200" s="47">
        <f>VLOOKUP(C200,'Talente &amp; Stuff'!FU:GV,12,FALSE)</f>
        <v>0</v>
      </c>
      <c r="O200" s="3">
        <f>VLOOKUP(C200,'Talente &amp; Stuff'!FU:GV,13,FALSE)</f>
        <v>0</v>
      </c>
      <c r="P200" s="174">
        <f>VLOOKUP(C200,'Talente &amp; Stuff'!FU:GV,14,FALSE)</f>
        <v>0</v>
      </c>
      <c r="Q200" s="114">
        <f>VLOOKUP(C200,'Talente &amp; Stuff'!FU:GV,15,FALSE)</f>
        <v>0</v>
      </c>
      <c r="R200" s="117">
        <f>VLOOKUP(C200,'Talente &amp; Stuff'!FU:GV,16,FALSE)</f>
        <v>0</v>
      </c>
      <c r="S200" s="119">
        <f>VLOOKUP(C200,'Talente &amp; Stuff'!FU:GV,17,FALSE)</f>
        <v>0</v>
      </c>
      <c r="T200" s="119">
        <f>VLOOKUP(C200,'Talente &amp; Stuff'!FU:GV,18,FALSE)</f>
        <v>0</v>
      </c>
      <c r="U200" s="89">
        <f>VLOOKUP(C200,'Talente &amp; Stuff'!FU:GV,19,FALSE)</f>
        <v>0</v>
      </c>
      <c r="V200" s="47">
        <f>VLOOKUP(C200,'Talente &amp; Stuff'!FU:GV,20,FALSE)</f>
        <v>0</v>
      </c>
      <c r="W200" s="127">
        <f>VLOOKUP(C200,'Talente &amp; Stuff'!FU:GV,21,FALSE)</f>
        <v>0</v>
      </c>
      <c r="X200" s="127">
        <f>VLOOKUP(C200,'Talente &amp; Stuff'!FU:GV,22,FALSE)</f>
        <v>0</v>
      </c>
      <c r="Y200" s="165">
        <f t="shared" si="18"/>
        <v>0</v>
      </c>
      <c r="Z200" s="44">
        <f t="shared" si="19"/>
        <v>0</v>
      </c>
      <c r="AA200" s="125">
        <f>VLOOKUP(C200,'Talente &amp; Stuff'!FU:GV,25,FALSE)</f>
        <v>0</v>
      </c>
      <c r="AB200" s="160">
        <f>VLOOKUP(C200,'Talente &amp; Stuff'!FU:GV,26,FALSE)</f>
        <v>0</v>
      </c>
      <c r="AC200" s="127">
        <f>VLOOKUP(C200,'Talente &amp; Stuff'!FU:GV,27,FALSE)</f>
        <v>0</v>
      </c>
      <c r="AD200" s="125">
        <f>VLOOKUP(C200,'Talente &amp; Stuff'!FU:GV,28,FALSE)</f>
        <v>0</v>
      </c>
      <c r="AE200" s="28"/>
    </row>
    <row r="201" spans="2:31" ht="15" hidden="1" customHeight="1" outlineLevel="2">
      <c r="B201" s="148">
        <v>49</v>
      </c>
      <c r="C201" s="177" t="str">
        <f>Attribute!C201</f>
        <v>---</v>
      </c>
      <c r="D201" s="125" t="str">
        <f>VLOOKUP(C201,'Talente &amp; Stuff'!FU:GV,2,FALSE)</f>
        <v>--/--/--</v>
      </c>
      <c r="E201" s="127" t="str">
        <f>VLOOKUP(C201,'Talente &amp; Stuff'!FU:GV,3,FALSE)</f>
        <v>-</v>
      </c>
      <c r="F201" s="114">
        <f>VLOOKUP(C201,'Talente &amp; Stuff'!FU:GV,4,FALSE)</f>
        <v>0</v>
      </c>
      <c r="G201" s="113">
        <f>VLOOKUP(C201,'Talente &amp; Stuff'!FU:GV,5,FALSE)</f>
        <v>0</v>
      </c>
      <c r="H201" s="113">
        <f>VLOOKUP(C201,'Talente &amp; Stuff'!FU:GV,6,FALSE)</f>
        <v>0</v>
      </c>
      <c r="I201" s="113">
        <f>VLOOKUP(C201,'Talente &amp; Stuff'!FU:GV,7,FALSE)</f>
        <v>0</v>
      </c>
      <c r="J201" s="113">
        <f>VLOOKUP(C201,'Talente &amp; Stuff'!FU:GV,8,FALSE)</f>
        <v>0</v>
      </c>
      <c r="K201" s="113">
        <f>VLOOKUP(C201,'Talente &amp; Stuff'!FU:GV,9,FALSE)</f>
        <v>0</v>
      </c>
      <c r="L201" s="113">
        <f>VLOOKUP(C201,'Talente &amp; Stuff'!FU:GV,10,FALSE)</f>
        <v>0</v>
      </c>
      <c r="M201" s="119">
        <f>VLOOKUP(C201,'Talente &amp; Stuff'!FU:GV,11,FALSE)</f>
        <v>0</v>
      </c>
      <c r="N201" s="47">
        <f>VLOOKUP(C201,'Talente &amp; Stuff'!FU:GV,12,FALSE)</f>
        <v>0</v>
      </c>
      <c r="O201" s="47">
        <f>VLOOKUP(C201,'Talente &amp; Stuff'!FU:GV,13,FALSE)</f>
        <v>0</v>
      </c>
      <c r="P201" s="119">
        <f>VLOOKUP(C201,'Talente &amp; Stuff'!FU:GV,14,FALSE)</f>
        <v>0</v>
      </c>
      <c r="Q201" s="114">
        <f>VLOOKUP(C201,'Talente &amp; Stuff'!FU:GV,15,FALSE)</f>
        <v>0</v>
      </c>
      <c r="R201" s="113">
        <f>VLOOKUP(C201,'Talente &amp; Stuff'!FU:GV,16,FALSE)</f>
        <v>0</v>
      </c>
      <c r="S201" s="119">
        <f>VLOOKUP(C201,'Talente &amp; Stuff'!FU:GV,17,FALSE)</f>
        <v>0</v>
      </c>
      <c r="T201" s="119">
        <f>VLOOKUP(C201,'Talente &amp; Stuff'!FU:GV,18,FALSE)</f>
        <v>0</v>
      </c>
      <c r="U201" s="89">
        <f>VLOOKUP(C201,'Talente &amp; Stuff'!FU:GV,19,FALSE)</f>
        <v>0</v>
      </c>
      <c r="V201" s="47">
        <f>VLOOKUP(C201,'Talente &amp; Stuff'!FU:GV,20,FALSE)</f>
        <v>0</v>
      </c>
      <c r="W201" s="127">
        <f>VLOOKUP(C201,'Talente &amp; Stuff'!FU:GV,21,FALSE)</f>
        <v>0</v>
      </c>
      <c r="X201" s="127">
        <f>VLOOKUP(C201,'Talente &amp; Stuff'!FU:GV,22,FALSE)</f>
        <v>0</v>
      </c>
      <c r="Y201" s="165">
        <f t="shared" si="18"/>
        <v>0</v>
      </c>
      <c r="Z201" s="44">
        <f t="shared" si="19"/>
        <v>0</v>
      </c>
      <c r="AA201" s="125">
        <f>VLOOKUP(C201,'Talente &amp; Stuff'!FU:GV,25,FALSE)</f>
        <v>0</v>
      </c>
      <c r="AB201" s="160">
        <f>VLOOKUP(C201,'Talente &amp; Stuff'!FU:GV,26,FALSE)</f>
        <v>0</v>
      </c>
      <c r="AC201" s="127">
        <f>VLOOKUP(C201,'Talente &amp; Stuff'!FU:GV,27,FALSE)</f>
        <v>0</v>
      </c>
      <c r="AD201" s="125">
        <f>VLOOKUP(C201,'Talente &amp; Stuff'!FU:GV,28,FALSE)</f>
        <v>0</v>
      </c>
      <c r="AE201" s="28"/>
    </row>
    <row r="202" spans="2:31" ht="15" hidden="1" customHeight="1" outlineLevel="2">
      <c r="B202" s="148">
        <v>50</v>
      </c>
      <c r="C202" s="177" t="str">
        <f>Attribute!C202</f>
        <v>---</v>
      </c>
      <c r="D202" s="125" t="str">
        <f>VLOOKUP(C202,'Talente &amp; Stuff'!FU:GV,2,FALSE)</f>
        <v>--/--/--</v>
      </c>
      <c r="E202" s="127" t="str">
        <f>VLOOKUP(C202,'Talente &amp; Stuff'!FU:GV,3,FALSE)</f>
        <v>-</v>
      </c>
      <c r="F202" s="114">
        <f>VLOOKUP(C202,'Talente &amp; Stuff'!FU:GV,4,FALSE)</f>
        <v>0</v>
      </c>
      <c r="G202" s="113">
        <f>VLOOKUP(C202,'Talente &amp; Stuff'!FU:GV,5,FALSE)</f>
        <v>0</v>
      </c>
      <c r="H202" s="113">
        <f>VLOOKUP(C202,'Talente &amp; Stuff'!FU:GV,6,FALSE)</f>
        <v>0</v>
      </c>
      <c r="I202" s="113">
        <f>VLOOKUP(C202,'Talente &amp; Stuff'!FU:GV,7,FALSE)</f>
        <v>0</v>
      </c>
      <c r="J202" s="113">
        <f>VLOOKUP(C202,'Talente &amp; Stuff'!FU:GV,8,FALSE)</f>
        <v>0</v>
      </c>
      <c r="K202" s="113">
        <f>VLOOKUP(C202,'Talente &amp; Stuff'!FU:GV,9,FALSE)</f>
        <v>0</v>
      </c>
      <c r="L202" s="113">
        <f>VLOOKUP(C202,'Talente &amp; Stuff'!FU:GV,10,FALSE)</f>
        <v>0</v>
      </c>
      <c r="M202" s="119">
        <f>VLOOKUP(C202,'Talente &amp; Stuff'!FU:GV,11,FALSE)</f>
        <v>0</v>
      </c>
      <c r="N202" s="47">
        <f>VLOOKUP(C202,'Talente &amp; Stuff'!FU:GV,12,FALSE)</f>
        <v>0</v>
      </c>
      <c r="O202" s="47">
        <f>VLOOKUP(C202,'Talente &amp; Stuff'!FU:GV,13,FALSE)</f>
        <v>0</v>
      </c>
      <c r="P202" s="119">
        <f>VLOOKUP(C202,'Talente &amp; Stuff'!FU:GV,14,FALSE)</f>
        <v>0</v>
      </c>
      <c r="Q202" s="114">
        <f>VLOOKUP(C202,'Talente &amp; Stuff'!FU:GV,15,FALSE)</f>
        <v>0</v>
      </c>
      <c r="R202" s="113">
        <f>VLOOKUP(C202,'Talente &amp; Stuff'!FU:GV,16,FALSE)</f>
        <v>0</v>
      </c>
      <c r="S202" s="119">
        <f>VLOOKUP(C202,'Talente &amp; Stuff'!FU:GV,17,FALSE)</f>
        <v>0</v>
      </c>
      <c r="T202" s="119">
        <f>VLOOKUP(C202,'Talente &amp; Stuff'!FU:GV,18,FALSE)</f>
        <v>0</v>
      </c>
      <c r="U202" s="89">
        <f>VLOOKUP(C202,'Talente &amp; Stuff'!FU:GV,19,FALSE)</f>
        <v>0</v>
      </c>
      <c r="V202" s="47">
        <f>VLOOKUP(C202,'Talente &amp; Stuff'!FU:GV,20,FALSE)</f>
        <v>0</v>
      </c>
      <c r="W202" s="127">
        <f>VLOOKUP(C202,'Talente &amp; Stuff'!FU:GV,21,FALSE)</f>
        <v>0</v>
      </c>
      <c r="X202" s="127">
        <f>VLOOKUP(C202,'Talente &amp; Stuff'!FU:GV,22,FALSE)</f>
        <v>0</v>
      </c>
      <c r="Y202" s="165">
        <f t="shared" si="18"/>
        <v>0</v>
      </c>
      <c r="Z202" s="44">
        <f t="shared" si="19"/>
        <v>0</v>
      </c>
      <c r="AA202" s="125">
        <f>VLOOKUP(C202,'Talente &amp; Stuff'!FU:GV,25,FALSE)</f>
        <v>0</v>
      </c>
      <c r="AB202" s="160">
        <f>VLOOKUP(C202,'Talente &amp; Stuff'!FU:GV,26,FALSE)</f>
        <v>0</v>
      </c>
      <c r="AC202" s="127">
        <f>VLOOKUP(C202,'Talente &amp; Stuff'!FU:GV,27,FALSE)</f>
        <v>0</v>
      </c>
      <c r="AD202" s="125">
        <f>VLOOKUP(C202,'Talente &amp; Stuff'!FU:GV,28,FALSE)</f>
        <v>0</v>
      </c>
      <c r="AE202" s="28"/>
    </row>
    <row r="203" spans="2:31" ht="15" hidden="1" customHeight="1" outlineLevel="2">
      <c r="B203" s="148">
        <v>51</v>
      </c>
      <c r="C203" s="177" t="str">
        <f>Attribute!C203</f>
        <v>---</v>
      </c>
      <c r="D203" s="86" t="str">
        <f>VLOOKUP(C203,'Talente &amp; Stuff'!FU:GV,2,FALSE)</f>
        <v>--/--/--</v>
      </c>
      <c r="E203" s="167" t="str">
        <f>VLOOKUP(C203,'Talente &amp; Stuff'!FU:GV,3,FALSE)</f>
        <v>-</v>
      </c>
      <c r="F203" s="120">
        <f>VLOOKUP(C203,'Talente &amp; Stuff'!FU:GV,4,FALSE)</f>
        <v>0</v>
      </c>
      <c r="G203" s="117">
        <f>VLOOKUP(C203,'Talente &amp; Stuff'!FU:GV,5,FALSE)</f>
        <v>0</v>
      </c>
      <c r="H203" s="117">
        <f>VLOOKUP(C203,'Talente &amp; Stuff'!FU:GV,6,FALSE)</f>
        <v>0</v>
      </c>
      <c r="I203" s="117">
        <f>VLOOKUP(C203,'Talente &amp; Stuff'!FU:GV,7,FALSE)</f>
        <v>0</v>
      </c>
      <c r="J203" s="117">
        <f>VLOOKUP(C203,'Talente &amp; Stuff'!FU:GV,8,FALSE)</f>
        <v>0</v>
      </c>
      <c r="K203" s="117">
        <f>VLOOKUP(C203,'Talente &amp; Stuff'!FU:GV,9,FALSE)</f>
        <v>0</v>
      </c>
      <c r="L203" s="117">
        <f>VLOOKUP(C203,'Talente &amp; Stuff'!FU:GV,10,FALSE)</f>
        <v>0</v>
      </c>
      <c r="M203" s="121">
        <f>VLOOKUP(C203,'Talente &amp; Stuff'!FU:GV,11,FALSE)</f>
        <v>0</v>
      </c>
      <c r="N203" s="47">
        <f>VLOOKUP(C203,'Talente &amp; Stuff'!FU:GV,12,FALSE)</f>
        <v>0</v>
      </c>
      <c r="O203" s="3">
        <f>VLOOKUP(C203,'Talente &amp; Stuff'!FU:GV,13,FALSE)</f>
        <v>0</v>
      </c>
      <c r="P203" s="174">
        <f>VLOOKUP(C203,'Talente &amp; Stuff'!FU:GV,14,FALSE)</f>
        <v>0</v>
      </c>
      <c r="Q203" s="114">
        <f>VLOOKUP(C203,'Talente &amp; Stuff'!FU:GV,15,FALSE)</f>
        <v>0</v>
      </c>
      <c r="R203" s="117">
        <f>VLOOKUP(C203,'Talente &amp; Stuff'!FU:GV,16,FALSE)</f>
        <v>0</v>
      </c>
      <c r="S203" s="119">
        <f>VLOOKUP(C203,'Talente &amp; Stuff'!FU:GV,17,FALSE)</f>
        <v>0</v>
      </c>
      <c r="T203" s="119">
        <f>VLOOKUP(C203,'Talente &amp; Stuff'!FU:GV,18,FALSE)</f>
        <v>0</v>
      </c>
      <c r="U203" s="89">
        <f>VLOOKUP(C203,'Talente &amp; Stuff'!FU:GV,19,FALSE)</f>
        <v>0</v>
      </c>
      <c r="V203" s="47">
        <f>VLOOKUP(C203,'Talente &amp; Stuff'!FU:GV,20,FALSE)</f>
        <v>0</v>
      </c>
      <c r="W203" s="127">
        <f>VLOOKUP(C203,'Talente &amp; Stuff'!FU:GV,21,FALSE)</f>
        <v>0</v>
      </c>
      <c r="X203" s="127">
        <f>VLOOKUP(C203,'Talente &amp; Stuff'!FU:GV,22,FALSE)</f>
        <v>0</v>
      </c>
      <c r="Y203" s="165">
        <f t="shared" si="18"/>
        <v>0</v>
      </c>
      <c r="Z203" s="44">
        <f t="shared" si="19"/>
        <v>0</v>
      </c>
      <c r="AA203" s="125">
        <f>VLOOKUP(C203,'Talente &amp; Stuff'!FU:GV,25,FALSE)</f>
        <v>0</v>
      </c>
      <c r="AB203" s="160">
        <f>VLOOKUP(C203,'Talente &amp; Stuff'!FU:GV,26,FALSE)</f>
        <v>0</v>
      </c>
      <c r="AC203" s="127">
        <f>VLOOKUP(C203,'Talente &amp; Stuff'!FU:GV,27,FALSE)</f>
        <v>0</v>
      </c>
      <c r="AD203" s="125">
        <f>VLOOKUP(C203,'Talente &amp; Stuff'!FU:GV,28,FALSE)</f>
        <v>0</v>
      </c>
      <c r="AE203" s="28"/>
    </row>
    <row r="204" spans="2:31" ht="15" hidden="1" customHeight="1" outlineLevel="2">
      <c r="B204" s="148">
        <v>52</v>
      </c>
      <c r="C204" s="177" t="str">
        <f>Attribute!C204</f>
        <v>---</v>
      </c>
      <c r="D204" s="125" t="str">
        <f>VLOOKUP(C204,'Talente &amp; Stuff'!FU:GV,2,FALSE)</f>
        <v>--/--/--</v>
      </c>
      <c r="E204" s="127" t="str">
        <f>VLOOKUP(C204,'Talente &amp; Stuff'!FU:GV,3,FALSE)</f>
        <v>-</v>
      </c>
      <c r="F204" s="114">
        <f>VLOOKUP(C204,'Talente &amp; Stuff'!FU:GV,4,FALSE)</f>
        <v>0</v>
      </c>
      <c r="G204" s="113">
        <f>VLOOKUP(C204,'Talente &amp; Stuff'!FU:GV,5,FALSE)</f>
        <v>0</v>
      </c>
      <c r="H204" s="113">
        <f>VLOOKUP(C204,'Talente &amp; Stuff'!FU:GV,6,FALSE)</f>
        <v>0</v>
      </c>
      <c r="I204" s="113">
        <f>VLOOKUP(C204,'Talente &amp; Stuff'!FU:GV,7,FALSE)</f>
        <v>0</v>
      </c>
      <c r="J204" s="113">
        <f>VLOOKUP(C204,'Talente &amp; Stuff'!FU:GV,8,FALSE)</f>
        <v>0</v>
      </c>
      <c r="K204" s="113">
        <f>VLOOKUP(C204,'Talente &amp; Stuff'!FU:GV,9,FALSE)</f>
        <v>0</v>
      </c>
      <c r="L204" s="113">
        <f>VLOOKUP(C204,'Talente &amp; Stuff'!FU:GV,10,FALSE)</f>
        <v>0</v>
      </c>
      <c r="M204" s="119">
        <f>VLOOKUP(C204,'Talente &amp; Stuff'!FU:GV,11,FALSE)</f>
        <v>0</v>
      </c>
      <c r="N204" s="47">
        <f>VLOOKUP(C204,'Talente &amp; Stuff'!FU:GV,12,FALSE)</f>
        <v>0</v>
      </c>
      <c r="O204" s="47">
        <f>VLOOKUP(C204,'Talente &amp; Stuff'!FU:GV,13,FALSE)</f>
        <v>0</v>
      </c>
      <c r="P204" s="119">
        <f>VLOOKUP(C204,'Talente &amp; Stuff'!FU:GV,14,FALSE)</f>
        <v>0</v>
      </c>
      <c r="Q204" s="114">
        <f>VLOOKUP(C204,'Talente &amp; Stuff'!FU:GV,15,FALSE)</f>
        <v>0</v>
      </c>
      <c r="R204" s="113">
        <f>VLOOKUP(C204,'Talente &amp; Stuff'!FU:GV,16,FALSE)</f>
        <v>0</v>
      </c>
      <c r="S204" s="119">
        <f>VLOOKUP(C204,'Talente &amp; Stuff'!FU:GV,17,FALSE)</f>
        <v>0</v>
      </c>
      <c r="T204" s="119">
        <f>VLOOKUP(C204,'Talente &amp; Stuff'!FU:GV,18,FALSE)</f>
        <v>0</v>
      </c>
      <c r="U204" s="89">
        <f>VLOOKUP(C204,'Talente &amp; Stuff'!FU:GV,19,FALSE)</f>
        <v>0</v>
      </c>
      <c r="V204" s="47">
        <f>VLOOKUP(C204,'Talente &amp; Stuff'!FU:GV,20,FALSE)</f>
        <v>0</v>
      </c>
      <c r="W204" s="127">
        <f>VLOOKUP(C204,'Talente &amp; Stuff'!FU:GV,21,FALSE)</f>
        <v>0</v>
      </c>
      <c r="X204" s="127">
        <f>VLOOKUP(C204,'Talente &amp; Stuff'!FU:GV,22,FALSE)</f>
        <v>0</v>
      </c>
      <c r="Y204" s="165">
        <f t="shared" si="18"/>
        <v>0</v>
      </c>
      <c r="Z204" s="44">
        <f t="shared" si="19"/>
        <v>0</v>
      </c>
      <c r="AA204" s="125">
        <f>VLOOKUP(C204,'Talente &amp; Stuff'!FU:GV,25,FALSE)</f>
        <v>0</v>
      </c>
      <c r="AB204" s="160">
        <f>VLOOKUP(C204,'Talente &amp; Stuff'!FU:GV,26,FALSE)</f>
        <v>0</v>
      </c>
      <c r="AC204" s="127">
        <f>VLOOKUP(C204,'Talente &amp; Stuff'!FU:GV,27,FALSE)</f>
        <v>0</v>
      </c>
      <c r="AD204" s="125">
        <f>VLOOKUP(C204,'Talente &amp; Stuff'!FU:GV,28,FALSE)</f>
        <v>0</v>
      </c>
      <c r="AE204" s="28"/>
    </row>
    <row r="205" spans="2:31" ht="15" hidden="1" customHeight="1" outlineLevel="2">
      <c r="B205" s="148">
        <v>53</v>
      </c>
      <c r="C205" s="177" t="str">
        <f>Attribute!C205</f>
        <v>---</v>
      </c>
      <c r="D205" s="86" t="str">
        <f>VLOOKUP(C205,'Talente &amp; Stuff'!FU:GV,2,FALSE)</f>
        <v>--/--/--</v>
      </c>
      <c r="E205" s="127" t="str">
        <f>VLOOKUP(C205,'Talente &amp; Stuff'!FU:GV,3,FALSE)</f>
        <v>-</v>
      </c>
      <c r="F205" s="114">
        <f>VLOOKUP(C205,'Talente &amp; Stuff'!FU:GV,4,FALSE)</f>
        <v>0</v>
      </c>
      <c r="G205" s="113">
        <f>VLOOKUP(C205,'Talente &amp; Stuff'!FU:GV,5,FALSE)</f>
        <v>0</v>
      </c>
      <c r="H205" s="113">
        <f>VLOOKUP(C205,'Talente &amp; Stuff'!FU:GV,6,FALSE)</f>
        <v>0</v>
      </c>
      <c r="I205" s="113">
        <f>VLOOKUP(C205,'Talente &amp; Stuff'!FU:GV,7,FALSE)</f>
        <v>0</v>
      </c>
      <c r="J205" s="113">
        <f>VLOOKUP(C205,'Talente &amp; Stuff'!FU:GV,8,FALSE)</f>
        <v>0</v>
      </c>
      <c r="K205" s="113">
        <f>VLOOKUP(C205,'Talente &amp; Stuff'!FU:GV,9,FALSE)</f>
        <v>0</v>
      </c>
      <c r="L205" s="113">
        <f>VLOOKUP(C205,'Talente &amp; Stuff'!FU:GV,10,FALSE)</f>
        <v>0</v>
      </c>
      <c r="M205" s="119">
        <f>VLOOKUP(C205,'Talente &amp; Stuff'!FU:GV,11,FALSE)</f>
        <v>0</v>
      </c>
      <c r="N205" s="47">
        <f>VLOOKUP(C205,'Talente &amp; Stuff'!FU:GV,12,FALSE)</f>
        <v>0</v>
      </c>
      <c r="O205" s="3">
        <f>VLOOKUP(C205,'Talente &amp; Stuff'!FU:GV,13,FALSE)</f>
        <v>0</v>
      </c>
      <c r="P205" s="174">
        <f>VLOOKUP(C205,'Talente &amp; Stuff'!FU:GV,14,FALSE)</f>
        <v>0</v>
      </c>
      <c r="Q205" s="114">
        <f>VLOOKUP(C205,'Talente &amp; Stuff'!FU:GV,15,FALSE)</f>
        <v>0</v>
      </c>
      <c r="R205" s="117">
        <f>VLOOKUP(C205,'Talente &amp; Stuff'!FU:GV,16,FALSE)</f>
        <v>0</v>
      </c>
      <c r="S205" s="119">
        <f>VLOOKUP(C205,'Talente &amp; Stuff'!FU:GV,17,FALSE)</f>
        <v>0</v>
      </c>
      <c r="T205" s="119">
        <f>VLOOKUP(C205,'Talente &amp; Stuff'!FU:GV,18,FALSE)</f>
        <v>0</v>
      </c>
      <c r="U205" s="89">
        <f>VLOOKUP(C205,'Talente &amp; Stuff'!FU:GV,19,FALSE)</f>
        <v>0</v>
      </c>
      <c r="V205" s="47">
        <f>VLOOKUP(C205,'Talente &amp; Stuff'!FU:GV,20,FALSE)</f>
        <v>0</v>
      </c>
      <c r="W205" s="127">
        <f>VLOOKUP(C205,'Talente &amp; Stuff'!FU:GV,21,FALSE)</f>
        <v>0</v>
      </c>
      <c r="X205" s="127">
        <f>VLOOKUP(C205,'Talente &amp; Stuff'!FU:GV,22,FALSE)</f>
        <v>0</v>
      </c>
      <c r="Y205" s="165">
        <f t="shared" si="18"/>
        <v>0</v>
      </c>
      <c r="Z205" s="44">
        <f t="shared" si="19"/>
        <v>0</v>
      </c>
      <c r="AA205" s="125">
        <f>VLOOKUP(C205,'Talente &amp; Stuff'!FU:GV,25,FALSE)</f>
        <v>0</v>
      </c>
      <c r="AB205" s="160">
        <f>VLOOKUP(C205,'Talente &amp; Stuff'!FU:GV,26,FALSE)</f>
        <v>0</v>
      </c>
      <c r="AC205" s="127">
        <f>VLOOKUP(C205,'Talente &amp; Stuff'!FU:GV,27,FALSE)</f>
        <v>0</v>
      </c>
      <c r="AD205" s="125">
        <f>VLOOKUP(C205,'Talente &amp; Stuff'!FU:GV,28,FALSE)</f>
        <v>0</v>
      </c>
      <c r="AE205" s="28"/>
    </row>
    <row r="206" spans="2:31" ht="15" hidden="1" customHeight="1" outlineLevel="2">
      <c r="B206" s="148">
        <v>54</v>
      </c>
      <c r="C206" s="177" t="str">
        <f>Attribute!C206</f>
        <v>---</v>
      </c>
      <c r="D206" s="125" t="str">
        <f>VLOOKUP(C206,'Talente &amp; Stuff'!FU:GV,2,FALSE)</f>
        <v>--/--/--</v>
      </c>
      <c r="E206" s="127" t="str">
        <f>VLOOKUP(C206,'Talente &amp; Stuff'!FU:GV,3,FALSE)</f>
        <v>-</v>
      </c>
      <c r="F206" s="114">
        <f>VLOOKUP(C206,'Talente &amp; Stuff'!FU:GV,4,FALSE)</f>
        <v>0</v>
      </c>
      <c r="G206" s="113">
        <f>VLOOKUP(C206,'Talente &amp; Stuff'!FU:GV,5,FALSE)</f>
        <v>0</v>
      </c>
      <c r="H206" s="113">
        <f>VLOOKUP(C206,'Talente &amp; Stuff'!FU:GV,6,FALSE)</f>
        <v>0</v>
      </c>
      <c r="I206" s="113">
        <f>VLOOKUP(C206,'Talente &amp; Stuff'!FU:GV,7,FALSE)</f>
        <v>0</v>
      </c>
      <c r="J206" s="113">
        <f>VLOOKUP(C206,'Talente &amp; Stuff'!FU:GV,8,FALSE)</f>
        <v>0</v>
      </c>
      <c r="K206" s="113">
        <f>VLOOKUP(C206,'Talente &amp; Stuff'!FU:GV,9,FALSE)</f>
        <v>0</v>
      </c>
      <c r="L206" s="113">
        <f>VLOOKUP(C206,'Talente &amp; Stuff'!FU:GV,10,FALSE)</f>
        <v>0</v>
      </c>
      <c r="M206" s="119">
        <f>VLOOKUP(C206,'Talente &amp; Stuff'!FU:GV,11,FALSE)</f>
        <v>0</v>
      </c>
      <c r="N206" s="47">
        <f>VLOOKUP(C206,'Talente &amp; Stuff'!FU:GV,12,FALSE)</f>
        <v>0</v>
      </c>
      <c r="O206" s="47">
        <f>VLOOKUP(C206,'Talente &amp; Stuff'!FU:GV,13,FALSE)</f>
        <v>0</v>
      </c>
      <c r="P206" s="119">
        <f>VLOOKUP(C206,'Talente &amp; Stuff'!FU:GV,14,FALSE)</f>
        <v>0</v>
      </c>
      <c r="Q206" s="114">
        <f>VLOOKUP(C206,'Talente &amp; Stuff'!FU:GV,15,FALSE)</f>
        <v>0</v>
      </c>
      <c r="R206" s="113">
        <f>VLOOKUP(C206,'Talente &amp; Stuff'!FU:GV,16,FALSE)</f>
        <v>0</v>
      </c>
      <c r="S206" s="119">
        <f>VLOOKUP(C206,'Talente &amp; Stuff'!FU:GV,17,FALSE)</f>
        <v>0</v>
      </c>
      <c r="T206" s="119">
        <f>VLOOKUP(C206,'Talente &amp; Stuff'!FU:GV,18,FALSE)</f>
        <v>0</v>
      </c>
      <c r="U206" s="89">
        <f>VLOOKUP(C206,'Talente &amp; Stuff'!FU:GV,19,FALSE)</f>
        <v>0</v>
      </c>
      <c r="V206" s="47">
        <f>VLOOKUP(C206,'Talente &amp; Stuff'!FU:GV,20,FALSE)</f>
        <v>0</v>
      </c>
      <c r="W206" s="127">
        <f>VLOOKUP(C206,'Talente &amp; Stuff'!FU:GV,21,FALSE)</f>
        <v>0</v>
      </c>
      <c r="X206" s="127">
        <f>VLOOKUP(C206,'Talente &amp; Stuff'!FU:GV,22,FALSE)</f>
        <v>0</v>
      </c>
      <c r="Y206" s="165">
        <f t="shared" si="18"/>
        <v>0</v>
      </c>
      <c r="Z206" s="44">
        <f t="shared" si="19"/>
        <v>0</v>
      </c>
      <c r="AA206" s="125">
        <f>VLOOKUP(C206,'Talente &amp; Stuff'!FU:GV,25,FALSE)</f>
        <v>0</v>
      </c>
      <c r="AB206" s="160">
        <f>VLOOKUP(C206,'Talente &amp; Stuff'!FU:GV,26,FALSE)</f>
        <v>0</v>
      </c>
      <c r="AC206" s="127">
        <f>VLOOKUP(C206,'Talente &amp; Stuff'!FU:GV,27,FALSE)</f>
        <v>0</v>
      </c>
      <c r="AD206" s="125">
        <f>VLOOKUP(C206,'Talente &amp; Stuff'!FU:GV,28,FALSE)</f>
        <v>0</v>
      </c>
      <c r="AE206" s="28"/>
    </row>
    <row r="207" spans="2:31" ht="15" hidden="1" customHeight="1" outlineLevel="2">
      <c r="B207" s="148">
        <v>55</v>
      </c>
      <c r="C207" s="177" t="str">
        <f>Attribute!C207</f>
        <v>---</v>
      </c>
      <c r="D207" s="125" t="str">
        <f>VLOOKUP(C207,'Talente &amp; Stuff'!FU:GV,2,FALSE)</f>
        <v>--/--/--</v>
      </c>
      <c r="E207" s="127" t="str">
        <f>VLOOKUP(C207,'Talente &amp; Stuff'!FU:GV,3,FALSE)</f>
        <v>-</v>
      </c>
      <c r="F207" s="114">
        <f>VLOOKUP(C207,'Talente &amp; Stuff'!FU:GV,4,FALSE)</f>
        <v>0</v>
      </c>
      <c r="G207" s="113">
        <f>VLOOKUP(C207,'Talente &amp; Stuff'!FU:GV,5,FALSE)</f>
        <v>0</v>
      </c>
      <c r="H207" s="113">
        <f>VLOOKUP(C207,'Talente &amp; Stuff'!FU:GV,6,FALSE)</f>
        <v>0</v>
      </c>
      <c r="I207" s="113">
        <f>VLOOKUP(C207,'Talente &amp; Stuff'!FU:GV,7,FALSE)</f>
        <v>0</v>
      </c>
      <c r="J207" s="113">
        <f>VLOOKUP(C207,'Talente &amp; Stuff'!FU:GV,8,FALSE)</f>
        <v>0</v>
      </c>
      <c r="K207" s="113">
        <f>VLOOKUP(C207,'Talente &amp; Stuff'!FU:GV,9,FALSE)</f>
        <v>0</v>
      </c>
      <c r="L207" s="113">
        <f>VLOOKUP(C207,'Talente &amp; Stuff'!FU:GV,10,FALSE)</f>
        <v>0</v>
      </c>
      <c r="M207" s="119">
        <f>VLOOKUP(C207,'Talente &amp; Stuff'!FU:GV,11,FALSE)</f>
        <v>0</v>
      </c>
      <c r="N207" s="47">
        <f>VLOOKUP(C207,'Talente &amp; Stuff'!FU:GV,12,FALSE)</f>
        <v>0</v>
      </c>
      <c r="O207" s="47">
        <f>VLOOKUP(C207,'Talente &amp; Stuff'!FU:GV,13,FALSE)</f>
        <v>0</v>
      </c>
      <c r="P207" s="119">
        <f>VLOOKUP(C207,'Talente &amp; Stuff'!FU:GV,14,FALSE)</f>
        <v>0</v>
      </c>
      <c r="Q207" s="114">
        <f>VLOOKUP(C207,'Talente &amp; Stuff'!FU:GV,15,FALSE)</f>
        <v>0</v>
      </c>
      <c r="R207" s="113">
        <f>VLOOKUP(C207,'Talente &amp; Stuff'!FU:GV,16,FALSE)</f>
        <v>0</v>
      </c>
      <c r="S207" s="119">
        <f>VLOOKUP(C207,'Talente &amp; Stuff'!FU:GV,17,FALSE)</f>
        <v>0</v>
      </c>
      <c r="T207" s="119">
        <f>VLOOKUP(C207,'Talente &amp; Stuff'!FU:GV,18,FALSE)</f>
        <v>0</v>
      </c>
      <c r="U207" s="89">
        <f>VLOOKUP(C207,'Talente &amp; Stuff'!FU:GV,19,FALSE)</f>
        <v>0</v>
      </c>
      <c r="V207" s="47">
        <f>VLOOKUP(C207,'Talente &amp; Stuff'!FU:GV,20,FALSE)</f>
        <v>0</v>
      </c>
      <c r="W207" s="127">
        <f>VLOOKUP(C207,'Talente &amp; Stuff'!FU:GV,21,FALSE)</f>
        <v>0</v>
      </c>
      <c r="X207" s="127">
        <f>VLOOKUP(C207,'Talente &amp; Stuff'!FU:GV,22,FALSE)</f>
        <v>0</v>
      </c>
      <c r="Y207" s="165">
        <f t="shared" si="18"/>
        <v>0</v>
      </c>
      <c r="Z207" s="44">
        <f t="shared" si="19"/>
        <v>0</v>
      </c>
      <c r="AA207" s="125">
        <f>VLOOKUP(C207,'Talente &amp; Stuff'!FU:GV,25,FALSE)</f>
        <v>0</v>
      </c>
      <c r="AB207" s="160">
        <f>VLOOKUP(C207,'Talente &amp; Stuff'!FU:GV,26,FALSE)</f>
        <v>0</v>
      </c>
      <c r="AC207" s="127">
        <f>VLOOKUP(C207,'Talente &amp; Stuff'!FU:GV,27,FALSE)</f>
        <v>0</v>
      </c>
      <c r="AD207" s="125">
        <f>VLOOKUP(C207,'Talente &amp; Stuff'!FU:GV,28,FALSE)</f>
        <v>0</v>
      </c>
      <c r="AE207" s="28"/>
    </row>
    <row r="208" spans="2:31" ht="15" hidden="1" customHeight="1" outlineLevel="2">
      <c r="B208" s="148">
        <v>56</v>
      </c>
      <c r="C208" s="177" t="str">
        <f>Attribute!C208</f>
        <v>---</v>
      </c>
      <c r="D208" s="125" t="str">
        <f>VLOOKUP(C208,'Talente &amp; Stuff'!FU:GV,2,FALSE)</f>
        <v>--/--/--</v>
      </c>
      <c r="E208" s="127" t="str">
        <f>VLOOKUP(C208,'Talente &amp; Stuff'!FU:GV,3,FALSE)</f>
        <v>-</v>
      </c>
      <c r="F208" s="114">
        <f>VLOOKUP(C208,'Talente &amp; Stuff'!FU:GV,4,FALSE)</f>
        <v>0</v>
      </c>
      <c r="G208" s="113">
        <f>VLOOKUP(C208,'Talente &amp; Stuff'!FU:GV,5,FALSE)</f>
        <v>0</v>
      </c>
      <c r="H208" s="113">
        <f>VLOOKUP(C208,'Talente &amp; Stuff'!FU:GV,6,FALSE)</f>
        <v>0</v>
      </c>
      <c r="I208" s="113">
        <f>VLOOKUP(C208,'Talente &amp; Stuff'!FU:GV,7,FALSE)</f>
        <v>0</v>
      </c>
      <c r="J208" s="113">
        <f>VLOOKUP(C208,'Talente &amp; Stuff'!FU:GV,8,FALSE)</f>
        <v>0</v>
      </c>
      <c r="K208" s="113">
        <f>VLOOKUP(C208,'Talente &amp; Stuff'!FU:GV,9,FALSE)</f>
        <v>0</v>
      </c>
      <c r="L208" s="113">
        <f>VLOOKUP(C208,'Talente &amp; Stuff'!FU:GV,10,FALSE)</f>
        <v>0</v>
      </c>
      <c r="M208" s="119">
        <f>VLOOKUP(C208,'Talente &amp; Stuff'!FU:GV,11,FALSE)</f>
        <v>0</v>
      </c>
      <c r="N208" s="47">
        <f>VLOOKUP(C208,'Talente &amp; Stuff'!FU:GV,12,FALSE)</f>
        <v>0</v>
      </c>
      <c r="O208" s="47">
        <f>VLOOKUP(C208,'Talente &amp; Stuff'!FU:GV,13,FALSE)</f>
        <v>0</v>
      </c>
      <c r="P208" s="119">
        <f>VLOOKUP(C208,'Talente &amp; Stuff'!FU:GV,14,FALSE)</f>
        <v>0</v>
      </c>
      <c r="Q208" s="114">
        <f>VLOOKUP(C208,'Talente &amp; Stuff'!FU:GV,15,FALSE)</f>
        <v>0</v>
      </c>
      <c r="R208" s="113">
        <f>VLOOKUP(C208,'Talente &amp; Stuff'!FU:GV,16,FALSE)</f>
        <v>0</v>
      </c>
      <c r="S208" s="119">
        <f>VLOOKUP(C208,'Talente &amp; Stuff'!FU:GV,17,FALSE)</f>
        <v>0</v>
      </c>
      <c r="T208" s="119">
        <f>VLOOKUP(C208,'Talente &amp; Stuff'!FU:GV,18,FALSE)</f>
        <v>0</v>
      </c>
      <c r="U208" s="89">
        <f>VLOOKUP(C208,'Talente &amp; Stuff'!FU:GV,19,FALSE)</f>
        <v>0</v>
      </c>
      <c r="V208" s="47">
        <f>VLOOKUP(C208,'Talente &amp; Stuff'!FU:GV,20,FALSE)</f>
        <v>0</v>
      </c>
      <c r="W208" s="127">
        <f>VLOOKUP(C208,'Talente &amp; Stuff'!FU:GV,21,FALSE)</f>
        <v>0</v>
      </c>
      <c r="X208" s="127">
        <f>VLOOKUP(C208,'Talente &amp; Stuff'!FU:GV,22,FALSE)</f>
        <v>0</v>
      </c>
      <c r="Y208" s="165">
        <f t="shared" si="18"/>
        <v>0</v>
      </c>
      <c r="Z208" s="44">
        <f t="shared" si="19"/>
        <v>0</v>
      </c>
      <c r="AA208" s="125">
        <f>VLOOKUP(C208,'Talente &amp; Stuff'!FU:GV,25,FALSE)</f>
        <v>0</v>
      </c>
      <c r="AB208" s="160">
        <f>VLOOKUP(C208,'Talente &amp; Stuff'!FU:GV,26,FALSE)</f>
        <v>0</v>
      </c>
      <c r="AC208" s="127">
        <f>VLOOKUP(C208,'Talente &amp; Stuff'!FU:GV,27,FALSE)</f>
        <v>0</v>
      </c>
      <c r="AD208" s="125">
        <f>VLOOKUP(C208,'Talente &amp; Stuff'!FU:GV,28,FALSE)</f>
        <v>0</v>
      </c>
      <c r="AE208" s="28"/>
    </row>
    <row r="209" spans="2:31" ht="15" hidden="1" customHeight="1" outlineLevel="2">
      <c r="B209" s="148">
        <v>57</v>
      </c>
      <c r="C209" s="177" t="str">
        <f>Attribute!C209</f>
        <v>---</v>
      </c>
      <c r="D209" s="125" t="str">
        <f>VLOOKUP(C209,'Talente &amp; Stuff'!FU:GV,2,FALSE)</f>
        <v>--/--/--</v>
      </c>
      <c r="E209" s="127" t="str">
        <f>VLOOKUP(C209,'Talente &amp; Stuff'!FU:GV,3,FALSE)</f>
        <v>-</v>
      </c>
      <c r="F209" s="114">
        <f>VLOOKUP(C209,'Talente &amp; Stuff'!FU:GV,4,FALSE)</f>
        <v>0</v>
      </c>
      <c r="G209" s="113">
        <f>VLOOKUP(C209,'Talente &amp; Stuff'!FU:GV,5,FALSE)</f>
        <v>0</v>
      </c>
      <c r="H209" s="113">
        <f>VLOOKUP(C209,'Talente &amp; Stuff'!FU:GV,6,FALSE)</f>
        <v>0</v>
      </c>
      <c r="I209" s="113">
        <f>VLOOKUP(C209,'Talente &amp; Stuff'!FU:GV,7,FALSE)</f>
        <v>0</v>
      </c>
      <c r="J209" s="113">
        <f>VLOOKUP(C209,'Talente &amp; Stuff'!FU:GV,8,FALSE)</f>
        <v>0</v>
      </c>
      <c r="K209" s="113">
        <f>VLOOKUP(C209,'Talente &amp; Stuff'!FU:GV,9,FALSE)</f>
        <v>0</v>
      </c>
      <c r="L209" s="113">
        <f>VLOOKUP(C209,'Talente &amp; Stuff'!FU:GV,10,FALSE)</f>
        <v>0</v>
      </c>
      <c r="M209" s="119">
        <f>VLOOKUP(C209,'Talente &amp; Stuff'!FU:GV,11,FALSE)</f>
        <v>0</v>
      </c>
      <c r="N209" s="47">
        <f>VLOOKUP(C209,'Talente &amp; Stuff'!FU:GV,12,FALSE)</f>
        <v>0</v>
      </c>
      <c r="O209" s="47">
        <f>VLOOKUP(C209,'Talente &amp; Stuff'!FU:GV,13,FALSE)</f>
        <v>0</v>
      </c>
      <c r="P209" s="119">
        <f>VLOOKUP(C209,'Talente &amp; Stuff'!FU:GV,14,FALSE)</f>
        <v>0</v>
      </c>
      <c r="Q209" s="114">
        <f>VLOOKUP(C209,'Talente &amp; Stuff'!FU:GV,15,FALSE)</f>
        <v>0</v>
      </c>
      <c r="R209" s="113">
        <f>VLOOKUP(C209,'Talente &amp; Stuff'!FU:GV,16,FALSE)</f>
        <v>0</v>
      </c>
      <c r="S209" s="119">
        <f>VLOOKUP(C209,'Talente &amp; Stuff'!FU:GV,17,FALSE)</f>
        <v>0</v>
      </c>
      <c r="T209" s="119">
        <f>VLOOKUP(C209,'Talente &amp; Stuff'!FU:GV,18,FALSE)</f>
        <v>0</v>
      </c>
      <c r="U209" s="89">
        <f>VLOOKUP(C209,'Talente &amp; Stuff'!FU:GV,19,FALSE)</f>
        <v>0</v>
      </c>
      <c r="V209" s="47">
        <f>VLOOKUP(C209,'Talente &amp; Stuff'!FU:GV,20,FALSE)</f>
        <v>0</v>
      </c>
      <c r="W209" s="127">
        <f>VLOOKUP(C209,'Talente &amp; Stuff'!FU:GV,21,FALSE)</f>
        <v>0</v>
      </c>
      <c r="X209" s="127">
        <f>VLOOKUP(C209,'Talente &amp; Stuff'!FU:GV,22,FALSE)</f>
        <v>0</v>
      </c>
      <c r="Y209" s="165">
        <f t="shared" si="18"/>
        <v>0</v>
      </c>
      <c r="Z209" s="44">
        <f t="shared" si="19"/>
        <v>0</v>
      </c>
      <c r="AA209" s="125">
        <f>VLOOKUP(C209,'Talente &amp; Stuff'!FU:GV,25,FALSE)</f>
        <v>0</v>
      </c>
      <c r="AB209" s="160">
        <f>VLOOKUP(C209,'Talente &amp; Stuff'!FU:GV,26,FALSE)</f>
        <v>0</v>
      </c>
      <c r="AC209" s="127">
        <f>VLOOKUP(C209,'Talente &amp; Stuff'!FU:GV,27,FALSE)</f>
        <v>0</v>
      </c>
      <c r="AD209" s="125">
        <f>VLOOKUP(C209,'Talente &amp; Stuff'!FU:GV,28,FALSE)</f>
        <v>0</v>
      </c>
      <c r="AE209" s="28"/>
    </row>
    <row r="210" spans="2:31" ht="15" hidden="1" customHeight="1" outlineLevel="2">
      <c r="B210" s="148">
        <v>58</v>
      </c>
      <c r="C210" s="177" t="str">
        <f>Attribute!C210</f>
        <v>---</v>
      </c>
      <c r="D210" s="125" t="str">
        <f>VLOOKUP(C210,'Talente &amp; Stuff'!FU:GV,2,FALSE)</f>
        <v>--/--/--</v>
      </c>
      <c r="E210" s="127" t="str">
        <f>VLOOKUP(C210,'Talente &amp; Stuff'!FU:GV,3,FALSE)</f>
        <v>-</v>
      </c>
      <c r="F210" s="114">
        <f>VLOOKUP(C210,'Talente &amp; Stuff'!FU:GV,4,FALSE)</f>
        <v>0</v>
      </c>
      <c r="G210" s="113">
        <f>VLOOKUP(C210,'Talente &amp; Stuff'!FU:GV,5,FALSE)</f>
        <v>0</v>
      </c>
      <c r="H210" s="113">
        <f>VLOOKUP(C210,'Talente &amp; Stuff'!FU:GV,6,FALSE)</f>
        <v>0</v>
      </c>
      <c r="I210" s="113">
        <f>VLOOKUP(C210,'Talente &amp; Stuff'!FU:GV,7,FALSE)</f>
        <v>0</v>
      </c>
      <c r="J210" s="113">
        <f>VLOOKUP(C210,'Talente &amp; Stuff'!FU:GV,8,FALSE)</f>
        <v>0</v>
      </c>
      <c r="K210" s="113">
        <f>VLOOKUP(C210,'Talente &amp; Stuff'!FU:GV,9,FALSE)</f>
        <v>0</v>
      </c>
      <c r="L210" s="113">
        <f>VLOOKUP(C210,'Talente &amp; Stuff'!FU:GV,10,FALSE)</f>
        <v>0</v>
      </c>
      <c r="M210" s="119">
        <f>VLOOKUP(C210,'Talente &amp; Stuff'!FU:GV,11,FALSE)</f>
        <v>0</v>
      </c>
      <c r="N210" s="47">
        <f>VLOOKUP(C210,'Talente &amp; Stuff'!FU:GV,12,FALSE)</f>
        <v>0</v>
      </c>
      <c r="O210" s="47">
        <f>VLOOKUP(C210,'Talente &amp; Stuff'!FU:GV,13,FALSE)</f>
        <v>0</v>
      </c>
      <c r="P210" s="119">
        <f>VLOOKUP(C210,'Talente &amp; Stuff'!FU:GV,14,FALSE)</f>
        <v>0</v>
      </c>
      <c r="Q210" s="114">
        <f>VLOOKUP(C210,'Talente &amp; Stuff'!FU:GV,15,FALSE)</f>
        <v>0</v>
      </c>
      <c r="R210" s="113">
        <f>VLOOKUP(C210,'Talente &amp; Stuff'!FU:GV,16,FALSE)</f>
        <v>0</v>
      </c>
      <c r="S210" s="119">
        <f>VLOOKUP(C210,'Talente &amp; Stuff'!FU:GV,17,FALSE)</f>
        <v>0</v>
      </c>
      <c r="T210" s="119">
        <f>VLOOKUP(C210,'Talente &amp; Stuff'!FU:GV,18,FALSE)</f>
        <v>0</v>
      </c>
      <c r="U210" s="89">
        <f>VLOOKUP(C210,'Talente &amp; Stuff'!FU:GV,19,FALSE)</f>
        <v>0</v>
      </c>
      <c r="V210" s="47">
        <f>VLOOKUP(C210,'Talente &amp; Stuff'!FU:GV,20,FALSE)</f>
        <v>0</v>
      </c>
      <c r="W210" s="127">
        <f>VLOOKUP(C210,'Talente &amp; Stuff'!FU:GV,21,FALSE)</f>
        <v>0</v>
      </c>
      <c r="X210" s="127">
        <f>VLOOKUP(C210,'Talente &amp; Stuff'!FU:GV,22,FALSE)</f>
        <v>0</v>
      </c>
      <c r="Y210" s="165">
        <f t="shared" si="18"/>
        <v>0</v>
      </c>
      <c r="Z210" s="44">
        <f t="shared" si="19"/>
        <v>0</v>
      </c>
      <c r="AA210" s="125">
        <f>VLOOKUP(C210,'Talente &amp; Stuff'!FU:GV,25,FALSE)</f>
        <v>0</v>
      </c>
      <c r="AB210" s="160">
        <f>VLOOKUP(C210,'Talente &amp; Stuff'!FU:GV,26,FALSE)</f>
        <v>0</v>
      </c>
      <c r="AC210" s="127">
        <f>VLOOKUP(C210,'Talente &amp; Stuff'!FU:GV,27,FALSE)</f>
        <v>0</v>
      </c>
      <c r="AD210" s="125">
        <f>VLOOKUP(C210,'Talente &amp; Stuff'!FU:GV,28,FALSE)</f>
        <v>0</v>
      </c>
      <c r="AE210" s="28"/>
    </row>
    <row r="211" spans="2:31" ht="15" hidden="1" customHeight="1" outlineLevel="2">
      <c r="B211" s="148">
        <v>59</v>
      </c>
      <c r="C211" s="177" t="str">
        <f>Attribute!C211</f>
        <v>---</v>
      </c>
      <c r="D211" s="159" t="str">
        <f>VLOOKUP(C211,'Talente &amp; Stuff'!FU:GV,2,FALSE)</f>
        <v>--/--/--</v>
      </c>
      <c r="E211" s="128" t="str">
        <f>VLOOKUP(C211,'Talente &amp; Stuff'!FU:GV,3,FALSE)</f>
        <v>-</v>
      </c>
      <c r="F211" s="115">
        <f>VLOOKUP(C211,'Talente &amp; Stuff'!FU:GV,4,FALSE)</f>
        <v>0</v>
      </c>
      <c r="G211" s="122">
        <f>VLOOKUP(C211,'Talente &amp; Stuff'!FU:GV,5,FALSE)</f>
        <v>0</v>
      </c>
      <c r="H211" s="122">
        <f>VLOOKUP(C211,'Talente &amp; Stuff'!FU:GV,6,FALSE)</f>
        <v>0</v>
      </c>
      <c r="I211" s="122">
        <f>VLOOKUP(C211,'Talente &amp; Stuff'!FU:GV,7,FALSE)</f>
        <v>0</v>
      </c>
      <c r="J211" s="122">
        <f>VLOOKUP(C211,'Talente &amp; Stuff'!FU:GV,8,FALSE)</f>
        <v>0</v>
      </c>
      <c r="K211" s="122">
        <f>VLOOKUP(C211,'Talente &amp; Stuff'!FU:GV,9,FALSE)</f>
        <v>0</v>
      </c>
      <c r="L211" s="122">
        <f>VLOOKUP(C211,'Talente &amp; Stuff'!FU:GV,10,FALSE)</f>
        <v>0</v>
      </c>
      <c r="M211" s="123">
        <f>VLOOKUP(C211,'Talente &amp; Stuff'!FU:GV,11,FALSE)</f>
        <v>0</v>
      </c>
      <c r="N211" s="88">
        <f>VLOOKUP(C211,'Talente &amp; Stuff'!FU:GV,12,FALSE)</f>
        <v>0</v>
      </c>
      <c r="O211" s="88">
        <f>VLOOKUP(C211,'Talente &amp; Stuff'!FU:GV,13,FALSE)</f>
        <v>0</v>
      </c>
      <c r="P211" s="123">
        <f>VLOOKUP(C211,'Talente &amp; Stuff'!FU:GV,14,FALSE)</f>
        <v>0</v>
      </c>
      <c r="Q211" s="115">
        <f>VLOOKUP(C211,'Talente &amp; Stuff'!FU:GV,15,FALSE)</f>
        <v>0</v>
      </c>
      <c r="R211" s="122">
        <f>VLOOKUP(C211,'Talente &amp; Stuff'!FU:GV,16,FALSE)</f>
        <v>0</v>
      </c>
      <c r="S211" s="123">
        <f>VLOOKUP(C211,'Talente &amp; Stuff'!FU:GV,17,FALSE)</f>
        <v>0</v>
      </c>
      <c r="T211" s="123">
        <f>VLOOKUP(C211,'Talente &amp; Stuff'!FU:GV,18,FALSE)</f>
        <v>0</v>
      </c>
      <c r="U211" s="90">
        <f>VLOOKUP(C211,'Talente &amp; Stuff'!FU:GV,19,FALSE)</f>
        <v>0</v>
      </c>
      <c r="V211" s="88">
        <f>VLOOKUP(C211,'Talente &amp; Stuff'!FU:GV,20,FALSE)</f>
        <v>0</v>
      </c>
      <c r="W211" s="128">
        <f>VLOOKUP(C211,'Talente &amp; Stuff'!FU:GV,21,FALSE)</f>
        <v>0</v>
      </c>
      <c r="X211" s="128">
        <f>VLOOKUP(C211,'Talente &amp; Stuff'!FU:GV,22,FALSE)</f>
        <v>0</v>
      </c>
      <c r="Y211" s="165">
        <f t="shared" si="18"/>
        <v>0</v>
      </c>
      <c r="Z211" s="44">
        <f t="shared" si="19"/>
        <v>0</v>
      </c>
      <c r="AA211" s="159">
        <f>VLOOKUP(C211,'Talente &amp; Stuff'!FU:GV,25,FALSE)</f>
        <v>0</v>
      </c>
      <c r="AB211" s="161">
        <f>VLOOKUP(C211,'Talente &amp; Stuff'!FU:GV,26,FALSE)</f>
        <v>0</v>
      </c>
      <c r="AC211" s="128">
        <f>VLOOKUP(C211,'Talente &amp; Stuff'!FU:GV,27,FALSE)</f>
        <v>0</v>
      </c>
      <c r="AD211" s="159">
        <f>VLOOKUP(C211,'Talente &amp; Stuff'!FU:GV,28,FALSE)</f>
        <v>0</v>
      </c>
      <c r="AE211" s="28"/>
    </row>
    <row r="212" spans="2:31" ht="15" hidden="1" customHeight="1" outlineLevel="1" collapsed="1">
      <c r="B212" s="134" t="s">
        <v>328</v>
      </c>
      <c r="C212" s="83"/>
      <c r="D212" s="84"/>
      <c r="E212" s="84"/>
    </row>
    <row r="213" spans="2:31" ht="15" hidden="1" customHeight="1" outlineLevel="2">
      <c r="B213" s="148">
        <v>1</v>
      </c>
      <c r="C213" s="177" t="str">
        <f>Attribute!C213</f>
        <v>---</v>
      </c>
      <c r="D213" s="85" t="str">
        <f>VLOOKUP(C213,'Talente &amp; Stuff'!FU:GV,2,FALSE)</f>
        <v>--/--/--</v>
      </c>
      <c r="E213" s="126" t="str">
        <f>VLOOKUP(C213,'Talente &amp; Stuff'!FU:GV,3,FALSE)</f>
        <v>-</v>
      </c>
      <c r="F213" s="191">
        <f>VLOOKUP(C213,'Talente &amp; Stuff'!FU:GV,4,FALSE)</f>
        <v>0</v>
      </c>
      <c r="G213" s="118">
        <f>VLOOKUP(C213,'Talente &amp; Stuff'!FU:GV,5,FALSE)</f>
        <v>0</v>
      </c>
      <c r="H213" s="118">
        <f>VLOOKUP(C213,'Talente &amp; Stuff'!FU:GV,6,FALSE)</f>
        <v>0</v>
      </c>
      <c r="I213" s="118">
        <f>VLOOKUP(C213,'Talente &amp; Stuff'!FU:GV,7,FALSE)</f>
        <v>0</v>
      </c>
      <c r="J213" s="118">
        <f>VLOOKUP(C213,'Talente &amp; Stuff'!FU:GV,8,FALSE)</f>
        <v>0</v>
      </c>
      <c r="K213" s="118">
        <f>VLOOKUP(C213,'Talente &amp; Stuff'!FU:GV,9,FALSE)</f>
        <v>0</v>
      </c>
      <c r="L213" s="118">
        <f>VLOOKUP(C213,'Talente &amp; Stuff'!FU:GV,10,FALSE)</f>
        <v>0</v>
      </c>
      <c r="M213" s="92">
        <f>VLOOKUP(C213,'Talente &amp; Stuff'!FU:GV,11,FALSE)</f>
        <v>0</v>
      </c>
      <c r="N213" s="116">
        <f>VLOOKUP(C213,'Talente &amp; Stuff'!FU:GV,12,FALSE)</f>
        <v>0</v>
      </c>
      <c r="O213" s="194">
        <f>VLOOKUP(C213,'Talente &amp; Stuff'!FU:GV,13,FALSE)</f>
        <v>0</v>
      </c>
      <c r="P213" s="192">
        <f>VLOOKUP(C213,'Talente &amp; Stuff'!FU:GV,14,FALSE)</f>
        <v>0</v>
      </c>
      <c r="Q213" s="191">
        <f>VLOOKUP(C213,'Talente &amp; Stuff'!FU:GV,15,FALSE)</f>
        <v>0</v>
      </c>
      <c r="R213" s="170">
        <f>VLOOKUP(C213,'Talente &amp; Stuff'!FU:GV,16,FALSE)</f>
        <v>0</v>
      </c>
      <c r="S213" s="92">
        <f>VLOOKUP(C213,'Talente &amp; Stuff'!FU:GV,17,FALSE)</f>
        <v>0</v>
      </c>
      <c r="T213" s="92">
        <f>VLOOKUP(C213,'Talente &amp; Stuff'!FU:GV,18,FALSE)</f>
        <v>0</v>
      </c>
      <c r="U213" s="193">
        <f>VLOOKUP(C213,'Talente &amp; Stuff'!FU:GV,19,FALSE)</f>
        <v>0</v>
      </c>
      <c r="V213" s="116">
        <f>VLOOKUP(C213,'Talente &amp; Stuff'!FU:GV,20,FALSE)</f>
        <v>0</v>
      </c>
      <c r="W213" s="126">
        <f>VLOOKUP(C213,'Talente &amp; Stuff'!FU:GV,21,FALSE)</f>
        <v>0</v>
      </c>
      <c r="X213" s="126">
        <f>VLOOKUP(C213,'Talente &amp; Stuff'!FU:GV,22,FALSE)</f>
        <v>0</v>
      </c>
      <c r="Y213" s="165">
        <f t="shared" ref="Y213:Y257" si="20">VLOOKUP(C213,Ausgewählte_Zauber_Hexen,197,FALSE)</f>
        <v>0</v>
      </c>
      <c r="Z213" s="44">
        <f t="shared" ref="Z213:Z257" si="21">VLOOKUP(C213,Ausgewählte_Zauber_Hexen,198,FALSE)</f>
        <v>0</v>
      </c>
      <c r="AA213" s="158">
        <f>VLOOKUP(C213,'Talente &amp; Stuff'!FU:GV,25,FALSE)</f>
        <v>0</v>
      </c>
      <c r="AB213" s="91">
        <f>VLOOKUP(C213,'Talente &amp; Stuff'!FU:GV,26,FALSE)</f>
        <v>0</v>
      </c>
      <c r="AC213" s="126">
        <f>VLOOKUP(C213,'Talente &amp; Stuff'!FU:GV,27,FALSE)</f>
        <v>0</v>
      </c>
      <c r="AD213" s="158">
        <f>VLOOKUP(C213,'Talente &amp; Stuff'!FU:GV,28,FALSE)</f>
        <v>0</v>
      </c>
      <c r="AE213" s="28"/>
    </row>
    <row r="214" spans="2:31" ht="15" hidden="1" customHeight="1" outlineLevel="2">
      <c r="B214" s="148">
        <v>2</v>
      </c>
      <c r="C214" s="177" t="str">
        <f>Attribute!C214</f>
        <v>---</v>
      </c>
      <c r="D214" s="125" t="str">
        <f>VLOOKUP(C214,'Talente &amp; Stuff'!FU:GV,2,FALSE)</f>
        <v>--/--/--</v>
      </c>
      <c r="E214" s="127" t="str">
        <f>VLOOKUP(C214,'Talente &amp; Stuff'!FU:GV,3,FALSE)</f>
        <v>-</v>
      </c>
      <c r="F214" s="114">
        <f>VLOOKUP(C214,'Talente &amp; Stuff'!FU:GV,4,FALSE)</f>
        <v>0</v>
      </c>
      <c r="G214" s="113">
        <f>VLOOKUP(C214,'Talente &amp; Stuff'!FU:GV,5,FALSE)</f>
        <v>0</v>
      </c>
      <c r="H214" s="113">
        <f>VLOOKUP(C214,'Talente &amp; Stuff'!FU:GV,6,FALSE)</f>
        <v>0</v>
      </c>
      <c r="I214" s="113">
        <f>VLOOKUP(C214,'Talente &amp; Stuff'!FU:GV,7,FALSE)</f>
        <v>0</v>
      </c>
      <c r="J214" s="113">
        <f>VLOOKUP(C214,'Talente &amp; Stuff'!FU:GV,8,FALSE)</f>
        <v>0</v>
      </c>
      <c r="K214" s="113">
        <f>VLOOKUP(C214,'Talente &amp; Stuff'!FU:GV,9,FALSE)</f>
        <v>0</v>
      </c>
      <c r="L214" s="113">
        <f>VLOOKUP(C214,'Talente &amp; Stuff'!FU:GV,10,FALSE)</f>
        <v>0</v>
      </c>
      <c r="M214" s="119">
        <f>VLOOKUP(C214,'Talente &amp; Stuff'!FU:GV,11,FALSE)</f>
        <v>0</v>
      </c>
      <c r="N214" s="47">
        <f>VLOOKUP(C214,'Talente &amp; Stuff'!FU:GV,12,FALSE)</f>
        <v>0</v>
      </c>
      <c r="O214" s="47">
        <f>VLOOKUP(C214,'Talente &amp; Stuff'!FU:GV,13,FALSE)</f>
        <v>0</v>
      </c>
      <c r="P214" s="119">
        <f>VLOOKUP(C214,'Talente &amp; Stuff'!FU:GV,14,FALSE)</f>
        <v>0</v>
      </c>
      <c r="Q214" s="114">
        <f>VLOOKUP(C214,'Talente &amp; Stuff'!FU:GV,15,FALSE)</f>
        <v>0</v>
      </c>
      <c r="R214" s="113">
        <f>VLOOKUP(C214,'Talente &amp; Stuff'!FU:GV,16,FALSE)</f>
        <v>0</v>
      </c>
      <c r="S214" s="119">
        <f>VLOOKUP(C214,'Talente &amp; Stuff'!FU:GV,17,FALSE)</f>
        <v>0</v>
      </c>
      <c r="T214" s="119">
        <f>VLOOKUP(C214,'Talente &amp; Stuff'!FU:GV,18,FALSE)</f>
        <v>0</v>
      </c>
      <c r="U214" s="89">
        <f>VLOOKUP(C214,'Talente &amp; Stuff'!FU:GV,19,FALSE)</f>
        <v>0</v>
      </c>
      <c r="V214" s="47">
        <f>VLOOKUP(C214,'Talente &amp; Stuff'!FU:GV,20,FALSE)</f>
        <v>0</v>
      </c>
      <c r="W214" s="127">
        <f>VLOOKUP(C214,'Talente &amp; Stuff'!FU:GV,21,FALSE)</f>
        <v>0</v>
      </c>
      <c r="X214" s="127">
        <f>VLOOKUP(C214,'Talente &amp; Stuff'!FU:GV,22,FALSE)</f>
        <v>0</v>
      </c>
      <c r="Y214" s="165">
        <f t="shared" si="20"/>
        <v>0</v>
      </c>
      <c r="Z214" s="44">
        <f t="shared" si="21"/>
        <v>0</v>
      </c>
      <c r="AA214" s="125">
        <f>VLOOKUP(C214,'Talente &amp; Stuff'!FU:GV,25,FALSE)</f>
        <v>0</v>
      </c>
      <c r="AB214" s="160">
        <f>VLOOKUP(C214,'Talente &amp; Stuff'!FU:GV,26,FALSE)</f>
        <v>0</v>
      </c>
      <c r="AC214" s="127">
        <f>VLOOKUP(C214,'Talente &amp; Stuff'!FU:GV,27,FALSE)</f>
        <v>0</v>
      </c>
      <c r="AD214" s="125">
        <f>VLOOKUP(C214,'Talente &amp; Stuff'!FU:GV,28,FALSE)</f>
        <v>0</v>
      </c>
      <c r="AE214" s="28"/>
    </row>
    <row r="215" spans="2:31" ht="15" hidden="1" customHeight="1" outlineLevel="2">
      <c r="B215" s="148">
        <v>3</v>
      </c>
      <c r="C215" s="177" t="str">
        <f>Attribute!C215</f>
        <v>---</v>
      </c>
      <c r="D215" s="125" t="str">
        <f>VLOOKUP(C215,'Talente &amp; Stuff'!FU:GV,2,FALSE)</f>
        <v>--/--/--</v>
      </c>
      <c r="E215" s="127" t="str">
        <f>VLOOKUP(C215,'Talente &amp; Stuff'!FU:GV,3,FALSE)</f>
        <v>-</v>
      </c>
      <c r="F215" s="114">
        <f>VLOOKUP(C215,'Talente &amp; Stuff'!FU:GV,4,FALSE)</f>
        <v>0</v>
      </c>
      <c r="G215" s="113">
        <f>VLOOKUP(C215,'Talente &amp; Stuff'!FU:GV,5,FALSE)</f>
        <v>0</v>
      </c>
      <c r="H215" s="113">
        <f>VLOOKUP(C215,'Talente &amp; Stuff'!FU:GV,6,FALSE)</f>
        <v>0</v>
      </c>
      <c r="I215" s="113">
        <f>VLOOKUP(C215,'Talente &amp; Stuff'!FU:GV,7,FALSE)</f>
        <v>0</v>
      </c>
      <c r="J215" s="113">
        <f>VLOOKUP(C215,'Talente &amp; Stuff'!FU:GV,8,FALSE)</f>
        <v>0</v>
      </c>
      <c r="K215" s="113">
        <f>VLOOKUP(C215,'Talente &amp; Stuff'!FU:GV,9,FALSE)</f>
        <v>0</v>
      </c>
      <c r="L215" s="113">
        <f>VLOOKUP(C215,'Talente &amp; Stuff'!FU:GV,10,FALSE)</f>
        <v>0</v>
      </c>
      <c r="M215" s="119">
        <f>VLOOKUP(C215,'Talente &amp; Stuff'!FU:GV,11,FALSE)</f>
        <v>0</v>
      </c>
      <c r="N215" s="47">
        <f>VLOOKUP(C215,'Talente &amp; Stuff'!FU:GV,12,FALSE)</f>
        <v>0</v>
      </c>
      <c r="O215" s="47">
        <f>VLOOKUP(C215,'Talente &amp; Stuff'!FU:GV,13,FALSE)</f>
        <v>0</v>
      </c>
      <c r="P215" s="119">
        <f>VLOOKUP(C215,'Talente &amp; Stuff'!FU:GV,14,FALSE)</f>
        <v>0</v>
      </c>
      <c r="Q215" s="114">
        <f>VLOOKUP(C215,'Talente &amp; Stuff'!FU:GV,15,FALSE)</f>
        <v>0</v>
      </c>
      <c r="R215" s="113">
        <f>VLOOKUP(C215,'Talente &amp; Stuff'!FU:GV,16,FALSE)</f>
        <v>0</v>
      </c>
      <c r="S215" s="119">
        <f>VLOOKUP(C215,'Talente &amp; Stuff'!FU:GV,17,FALSE)</f>
        <v>0</v>
      </c>
      <c r="T215" s="119">
        <f>VLOOKUP(C215,'Talente &amp; Stuff'!FU:GV,18,FALSE)</f>
        <v>0</v>
      </c>
      <c r="U215" s="89">
        <f>VLOOKUP(C215,'Talente &amp; Stuff'!FU:GV,19,FALSE)</f>
        <v>0</v>
      </c>
      <c r="V215" s="47">
        <f>VLOOKUP(C215,'Talente &amp; Stuff'!FU:GV,20,FALSE)</f>
        <v>0</v>
      </c>
      <c r="W215" s="127">
        <f>VLOOKUP(C215,'Talente &amp; Stuff'!FU:GV,21,FALSE)</f>
        <v>0</v>
      </c>
      <c r="X215" s="127">
        <f>VLOOKUP(C215,'Talente &amp; Stuff'!FU:GV,22,FALSE)</f>
        <v>0</v>
      </c>
      <c r="Y215" s="165">
        <f t="shared" si="20"/>
        <v>0</v>
      </c>
      <c r="Z215" s="44">
        <f t="shared" si="21"/>
        <v>0</v>
      </c>
      <c r="AA215" s="125">
        <f>VLOOKUP(C215,'Talente &amp; Stuff'!FU:GV,25,FALSE)</f>
        <v>0</v>
      </c>
      <c r="AB215" s="160">
        <f>VLOOKUP(C215,'Talente &amp; Stuff'!FU:GV,26,FALSE)</f>
        <v>0</v>
      </c>
      <c r="AC215" s="127">
        <f>VLOOKUP(C215,'Talente &amp; Stuff'!FU:GV,27,FALSE)</f>
        <v>0</v>
      </c>
      <c r="AD215" s="125">
        <f>VLOOKUP(C215,'Talente &amp; Stuff'!FU:GV,28,FALSE)</f>
        <v>0</v>
      </c>
      <c r="AE215" s="28"/>
    </row>
    <row r="216" spans="2:31" ht="15" hidden="1" customHeight="1" outlineLevel="2">
      <c r="B216" s="148">
        <v>4</v>
      </c>
      <c r="C216" s="177" t="str">
        <f>Attribute!C216</f>
        <v>---</v>
      </c>
      <c r="D216" s="86" t="str">
        <f>VLOOKUP(C216,'Talente &amp; Stuff'!FU:GV,2,FALSE)</f>
        <v>--/--/--</v>
      </c>
      <c r="E216" s="167" t="str">
        <f>VLOOKUP(C216,'Talente &amp; Stuff'!FU:GV,3,FALSE)</f>
        <v>-</v>
      </c>
      <c r="F216" s="120">
        <f>VLOOKUP(C216,'Talente &amp; Stuff'!FU:GV,4,FALSE)</f>
        <v>0</v>
      </c>
      <c r="G216" s="117">
        <f>VLOOKUP(C216,'Talente &amp; Stuff'!FU:GV,5,FALSE)</f>
        <v>0</v>
      </c>
      <c r="H216" s="117">
        <f>VLOOKUP(C216,'Talente &amp; Stuff'!FU:GV,6,FALSE)</f>
        <v>0</v>
      </c>
      <c r="I216" s="117">
        <f>VLOOKUP(C216,'Talente &amp; Stuff'!FU:GV,7,FALSE)</f>
        <v>0</v>
      </c>
      <c r="J216" s="117">
        <f>VLOOKUP(C216,'Talente &amp; Stuff'!FU:GV,8,FALSE)</f>
        <v>0</v>
      </c>
      <c r="K216" s="117">
        <f>VLOOKUP(C216,'Talente &amp; Stuff'!FU:GV,9,FALSE)</f>
        <v>0</v>
      </c>
      <c r="L216" s="117">
        <f>VLOOKUP(C216,'Talente &amp; Stuff'!FU:GV,10,FALSE)</f>
        <v>0</v>
      </c>
      <c r="M216" s="121">
        <f>VLOOKUP(C216,'Talente &amp; Stuff'!FU:GV,11,FALSE)</f>
        <v>0</v>
      </c>
      <c r="N216" s="47">
        <f>VLOOKUP(C216,'Talente &amp; Stuff'!FU:GV,12,FALSE)</f>
        <v>0</v>
      </c>
      <c r="O216" s="3">
        <f>VLOOKUP(C216,'Talente &amp; Stuff'!FU:GV,13,FALSE)</f>
        <v>0</v>
      </c>
      <c r="P216" s="174">
        <f>VLOOKUP(C216,'Talente &amp; Stuff'!FU:GV,14,FALSE)</f>
        <v>0</v>
      </c>
      <c r="Q216" s="114">
        <f>VLOOKUP(C216,'Talente &amp; Stuff'!FU:GV,15,FALSE)</f>
        <v>0</v>
      </c>
      <c r="R216" s="117">
        <f>VLOOKUP(C216,'Talente &amp; Stuff'!FU:GV,16,FALSE)</f>
        <v>0</v>
      </c>
      <c r="S216" s="119">
        <f>VLOOKUP(C216,'Talente &amp; Stuff'!FU:GV,17,FALSE)</f>
        <v>0</v>
      </c>
      <c r="T216" s="119">
        <f>VLOOKUP(C216,'Talente &amp; Stuff'!FU:GV,18,FALSE)</f>
        <v>0</v>
      </c>
      <c r="U216" s="89">
        <f>VLOOKUP(C216,'Talente &amp; Stuff'!FU:GV,19,FALSE)</f>
        <v>0</v>
      </c>
      <c r="V216" s="47">
        <f>VLOOKUP(C216,'Talente &amp; Stuff'!FU:GV,20,FALSE)</f>
        <v>0</v>
      </c>
      <c r="W216" s="127">
        <f>VLOOKUP(C216,'Talente &amp; Stuff'!FU:GV,21,FALSE)</f>
        <v>0</v>
      </c>
      <c r="X216" s="127">
        <f>VLOOKUP(C216,'Talente &amp; Stuff'!FU:GV,22,FALSE)</f>
        <v>0</v>
      </c>
      <c r="Y216" s="165">
        <f t="shared" si="20"/>
        <v>0</v>
      </c>
      <c r="Z216" s="44">
        <f t="shared" si="21"/>
        <v>0</v>
      </c>
      <c r="AA216" s="125">
        <f>VLOOKUP(C216,'Talente &amp; Stuff'!FU:GV,25,FALSE)</f>
        <v>0</v>
      </c>
      <c r="AB216" s="160">
        <f>VLOOKUP(C216,'Talente &amp; Stuff'!FU:GV,26,FALSE)</f>
        <v>0</v>
      </c>
      <c r="AC216" s="127">
        <f>VLOOKUP(C216,'Talente &amp; Stuff'!FU:GV,27,FALSE)</f>
        <v>0</v>
      </c>
      <c r="AD216" s="125">
        <f>VLOOKUP(C216,'Talente &amp; Stuff'!FU:GV,28,FALSE)</f>
        <v>0</v>
      </c>
      <c r="AE216" s="28"/>
    </row>
    <row r="217" spans="2:31" ht="15" hidden="1" customHeight="1" outlineLevel="2">
      <c r="B217" s="148">
        <v>5</v>
      </c>
      <c r="C217" s="177" t="str">
        <f>Attribute!C217</f>
        <v>---</v>
      </c>
      <c r="D217" s="86" t="str">
        <f>VLOOKUP(C217,'Talente &amp; Stuff'!FU:GV,2,FALSE)</f>
        <v>--/--/--</v>
      </c>
      <c r="E217" s="167" t="str">
        <f>VLOOKUP(C217,'Talente &amp; Stuff'!FU:GV,3,FALSE)</f>
        <v>-</v>
      </c>
      <c r="F217" s="120">
        <f>VLOOKUP(C217,'Talente &amp; Stuff'!FU:GV,4,FALSE)</f>
        <v>0</v>
      </c>
      <c r="G217" s="117">
        <f>VLOOKUP(C217,'Talente &amp; Stuff'!FU:GV,5,FALSE)</f>
        <v>0</v>
      </c>
      <c r="H217" s="117">
        <f>VLOOKUP(C217,'Talente &amp; Stuff'!FU:GV,6,FALSE)</f>
        <v>0</v>
      </c>
      <c r="I217" s="117">
        <f>VLOOKUP(C217,'Talente &amp; Stuff'!FU:GV,7,FALSE)</f>
        <v>0</v>
      </c>
      <c r="J217" s="117">
        <f>VLOOKUP(C217,'Talente &amp; Stuff'!FU:GV,8,FALSE)</f>
        <v>0</v>
      </c>
      <c r="K217" s="117">
        <f>VLOOKUP(C217,'Talente &amp; Stuff'!FU:GV,9,FALSE)</f>
        <v>0</v>
      </c>
      <c r="L217" s="117">
        <f>VLOOKUP(C217,'Talente &amp; Stuff'!FU:GV,10,FALSE)</f>
        <v>0</v>
      </c>
      <c r="M217" s="121">
        <f>VLOOKUP(C217,'Talente &amp; Stuff'!FU:GV,11,FALSE)</f>
        <v>0</v>
      </c>
      <c r="N217" s="47">
        <f>VLOOKUP(C217,'Talente &amp; Stuff'!FU:GV,12,FALSE)</f>
        <v>0</v>
      </c>
      <c r="O217" s="3">
        <f>VLOOKUP(C217,'Talente &amp; Stuff'!FU:GV,13,FALSE)</f>
        <v>0</v>
      </c>
      <c r="P217" s="174">
        <f>VLOOKUP(C217,'Talente &amp; Stuff'!FU:GV,14,FALSE)</f>
        <v>0</v>
      </c>
      <c r="Q217" s="114">
        <f>VLOOKUP(C217,'Talente &amp; Stuff'!FU:GV,15,FALSE)</f>
        <v>0</v>
      </c>
      <c r="R217" s="117">
        <f>VLOOKUP(C217,'Talente &amp; Stuff'!FU:GV,16,FALSE)</f>
        <v>0</v>
      </c>
      <c r="S217" s="119">
        <f>VLOOKUP(C217,'Talente &amp; Stuff'!FU:GV,17,FALSE)</f>
        <v>0</v>
      </c>
      <c r="T217" s="119">
        <f>VLOOKUP(C217,'Talente &amp; Stuff'!FU:GV,18,FALSE)</f>
        <v>0</v>
      </c>
      <c r="U217" s="89">
        <f>VLOOKUP(C217,'Talente &amp; Stuff'!FU:GV,19,FALSE)</f>
        <v>0</v>
      </c>
      <c r="V217" s="47">
        <f>VLOOKUP(C217,'Talente &amp; Stuff'!FU:GV,20,FALSE)</f>
        <v>0</v>
      </c>
      <c r="W217" s="127">
        <f>VLOOKUP(C217,'Talente &amp; Stuff'!FU:GV,21,FALSE)</f>
        <v>0</v>
      </c>
      <c r="X217" s="127">
        <f>VLOOKUP(C217,'Talente &amp; Stuff'!FU:GV,22,FALSE)</f>
        <v>0</v>
      </c>
      <c r="Y217" s="165">
        <f t="shared" si="20"/>
        <v>0</v>
      </c>
      <c r="Z217" s="44">
        <f t="shared" si="21"/>
        <v>0</v>
      </c>
      <c r="AA217" s="125">
        <f>VLOOKUP(C217,'Talente &amp; Stuff'!FU:GV,25,FALSE)</f>
        <v>0</v>
      </c>
      <c r="AB217" s="160">
        <f>VLOOKUP(C217,'Talente &amp; Stuff'!FU:GV,26,FALSE)</f>
        <v>0</v>
      </c>
      <c r="AC217" s="127">
        <f>VLOOKUP(C217,'Talente &amp; Stuff'!FU:GV,27,FALSE)</f>
        <v>0</v>
      </c>
      <c r="AD217" s="125">
        <f>VLOOKUP(C217,'Talente &amp; Stuff'!FU:GV,28,FALSE)</f>
        <v>0</v>
      </c>
      <c r="AE217" s="28"/>
    </row>
    <row r="218" spans="2:31" ht="15" hidden="1" customHeight="1" outlineLevel="2">
      <c r="B218" s="148">
        <v>6</v>
      </c>
      <c r="C218" s="177" t="str">
        <f>Attribute!C218</f>
        <v>---</v>
      </c>
      <c r="D218" s="125" t="str">
        <f>VLOOKUP(C218,'Talente &amp; Stuff'!FU:GV,2,FALSE)</f>
        <v>--/--/--</v>
      </c>
      <c r="E218" s="127" t="str">
        <f>VLOOKUP(C218,'Talente &amp; Stuff'!FU:GV,3,FALSE)</f>
        <v>-</v>
      </c>
      <c r="F218" s="114">
        <f>VLOOKUP(C218,'Talente &amp; Stuff'!FU:GV,4,FALSE)</f>
        <v>0</v>
      </c>
      <c r="G218" s="113">
        <f>VLOOKUP(C218,'Talente &amp; Stuff'!FU:GV,5,FALSE)</f>
        <v>0</v>
      </c>
      <c r="H218" s="113">
        <f>VLOOKUP(C218,'Talente &amp; Stuff'!FU:GV,6,FALSE)</f>
        <v>0</v>
      </c>
      <c r="I218" s="113">
        <f>VLOOKUP(C218,'Talente &amp; Stuff'!FU:GV,7,FALSE)</f>
        <v>0</v>
      </c>
      <c r="J218" s="113">
        <f>VLOOKUP(C218,'Talente &amp; Stuff'!FU:GV,8,FALSE)</f>
        <v>0</v>
      </c>
      <c r="K218" s="113">
        <f>VLOOKUP(C218,'Talente &amp; Stuff'!FU:GV,9,FALSE)</f>
        <v>0</v>
      </c>
      <c r="L218" s="113">
        <f>VLOOKUP(C218,'Talente &amp; Stuff'!FU:GV,10,FALSE)</f>
        <v>0</v>
      </c>
      <c r="M218" s="119">
        <f>VLOOKUP(C218,'Talente &amp; Stuff'!FU:GV,11,FALSE)</f>
        <v>0</v>
      </c>
      <c r="N218" s="47">
        <f>VLOOKUP(C218,'Talente &amp; Stuff'!FU:GV,12,FALSE)</f>
        <v>0</v>
      </c>
      <c r="O218" s="47">
        <f>VLOOKUP(C218,'Talente &amp; Stuff'!FU:GV,13,FALSE)</f>
        <v>0</v>
      </c>
      <c r="P218" s="119">
        <f>VLOOKUP(C218,'Talente &amp; Stuff'!FU:GV,14,FALSE)</f>
        <v>0</v>
      </c>
      <c r="Q218" s="114">
        <f>VLOOKUP(C218,'Talente &amp; Stuff'!FU:GV,15,FALSE)</f>
        <v>0</v>
      </c>
      <c r="R218" s="113">
        <f>VLOOKUP(C218,'Talente &amp; Stuff'!FU:GV,16,FALSE)</f>
        <v>0</v>
      </c>
      <c r="S218" s="119">
        <f>VLOOKUP(C218,'Talente &amp; Stuff'!FU:GV,17,FALSE)</f>
        <v>0</v>
      </c>
      <c r="T218" s="119">
        <f>VLOOKUP(C218,'Talente &amp; Stuff'!FU:GV,18,FALSE)</f>
        <v>0</v>
      </c>
      <c r="U218" s="89">
        <f>VLOOKUP(C218,'Talente &amp; Stuff'!FU:GV,19,FALSE)</f>
        <v>0</v>
      </c>
      <c r="V218" s="47">
        <f>VLOOKUP(C218,'Talente &amp; Stuff'!FU:GV,20,FALSE)</f>
        <v>0</v>
      </c>
      <c r="W218" s="127">
        <f>VLOOKUP(C218,'Talente &amp; Stuff'!FU:GV,21,FALSE)</f>
        <v>0</v>
      </c>
      <c r="X218" s="127">
        <f>VLOOKUP(C218,'Talente &amp; Stuff'!FU:GV,22,FALSE)</f>
        <v>0</v>
      </c>
      <c r="Y218" s="165">
        <f t="shared" si="20"/>
        <v>0</v>
      </c>
      <c r="Z218" s="44">
        <f t="shared" si="21"/>
        <v>0</v>
      </c>
      <c r="AA218" s="125">
        <f>VLOOKUP(C218,'Talente &amp; Stuff'!FU:GV,25,FALSE)</f>
        <v>0</v>
      </c>
      <c r="AB218" s="160">
        <f>VLOOKUP(C218,'Talente &amp; Stuff'!FU:GV,26,FALSE)</f>
        <v>0</v>
      </c>
      <c r="AC218" s="127">
        <f>VLOOKUP(C218,'Talente &amp; Stuff'!FU:GV,27,FALSE)</f>
        <v>0</v>
      </c>
      <c r="AD218" s="125">
        <f>VLOOKUP(C218,'Talente &amp; Stuff'!FU:GV,28,FALSE)</f>
        <v>0</v>
      </c>
      <c r="AE218" s="28"/>
    </row>
    <row r="219" spans="2:31" ht="15" hidden="1" customHeight="1" outlineLevel="2">
      <c r="B219" s="148">
        <v>7</v>
      </c>
      <c r="C219" s="177" t="str">
        <f>Attribute!C219</f>
        <v>---</v>
      </c>
      <c r="D219" s="125" t="str">
        <f>VLOOKUP(C219,'Talente &amp; Stuff'!FU:GV,2,FALSE)</f>
        <v>--/--/--</v>
      </c>
      <c r="E219" s="127" t="str">
        <f>VLOOKUP(C219,'Talente &amp; Stuff'!FU:GV,3,FALSE)</f>
        <v>-</v>
      </c>
      <c r="F219" s="114">
        <f>VLOOKUP(C219,'Talente &amp; Stuff'!FU:GV,4,FALSE)</f>
        <v>0</v>
      </c>
      <c r="G219" s="113">
        <f>VLOOKUP(C219,'Talente &amp; Stuff'!FU:GV,5,FALSE)</f>
        <v>0</v>
      </c>
      <c r="H219" s="113">
        <f>VLOOKUP(C219,'Talente &amp; Stuff'!FU:GV,6,FALSE)</f>
        <v>0</v>
      </c>
      <c r="I219" s="113">
        <f>VLOOKUP(C219,'Talente &amp; Stuff'!FU:GV,7,FALSE)</f>
        <v>0</v>
      </c>
      <c r="J219" s="113">
        <f>VLOOKUP(C219,'Talente &amp; Stuff'!FU:GV,8,FALSE)</f>
        <v>0</v>
      </c>
      <c r="K219" s="113">
        <f>VLOOKUP(C219,'Talente &amp; Stuff'!FU:GV,9,FALSE)</f>
        <v>0</v>
      </c>
      <c r="L219" s="113">
        <f>VLOOKUP(C219,'Talente &amp; Stuff'!FU:GV,10,FALSE)</f>
        <v>0</v>
      </c>
      <c r="M219" s="119">
        <f>VLOOKUP(C219,'Talente &amp; Stuff'!FU:GV,11,FALSE)</f>
        <v>0</v>
      </c>
      <c r="N219" s="47">
        <f>VLOOKUP(C219,'Talente &amp; Stuff'!FU:GV,12,FALSE)</f>
        <v>0</v>
      </c>
      <c r="O219" s="47">
        <f>VLOOKUP(C219,'Talente &amp; Stuff'!FU:GV,13,FALSE)</f>
        <v>0</v>
      </c>
      <c r="P219" s="119">
        <f>VLOOKUP(C219,'Talente &amp; Stuff'!FU:GV,14,FALSE)</f>
        <v>0</v>
      </c>
      <c r="Q219" s="114">
        <f>VLOOKUP(C219,'Talente &amp; Stuff'!FU:GV,15,FALSE)</f>
        <v>0</v>
      </c>
      <c r="R219" s="113">
        <f>VLOOKUP(C219,'Talente &amp; Stuff'!FU:GV,16,FALSE)</f>
        <v>0</v>
      </c>
      <c r="S219" s="119">
        <f>VLOOKUP(C219,'Talente &amp; Stuff'!FU:GV,17,FALSE)</f>
        <v>0</v>
      </c>
      <c r="T219" s="119">
        <f>VLOOKUP(C219,'Talente &amp; Stuff'!FU:GV,18,FALSE)</f>
        <v>0</v>
      </c>
      <c r="U219" s="89">
        <f>VLOOKUP(C219,'Talente &amp; Stuff'!FU:GV,19,FALSE)</f>
        <v>0</v>
      </c>
      <c r="V219" s="47">
        <f>VLOOKUP(C219,'Talente &amp; Stuff'!FU:GV,20,FALSE)</f>
        <v>0</v>
      </c>
      <c r="W219" s="127">
        <f>VLOOKUP(C219,'Talente &amp; Stuff'!FU:GV,21,FALSE)</f>
        <v>0</v>
      </c>
      <c r="X219" s="127">
        <f>VLOOKUP(C219,'Talente &amp; Stuff'!FU:GV,22,FALSE)</f>
        <v>0</v>
      </c>
      <c r="Y219" s="165">
        <f t="shared" si="20"/>
        <v>0</v>
      </c>
      <c r="Z219" s="44">
        <f t="shared" si="21"/>
        <v>0</v>
      </c>
      <c r="AA219" s="125">
        <f>VLOOKUP(C219,'Talente &amp; Stuff'!FU:GV,25,FALSE)</f>
        <v>0</v>
      </c>
      <c r="AB219" s="160">
        <f>VLOOKUP(C219,'Talente &amp; Stuff'!FU:GV,26,FALSE)</f>
        <v>0</v>
      </c>
      <c r="AC219" s="127">
        <f>VLOOKUP(C219,'Talente &amp; Stuff'!FU:GV,27,FALSE)</f>
        <v>0</v>
      </c>
      <c r="AD219" s="125">
        <f>VLOOKUP(C219,'Talente &amp; Stuff'!FU:GV,28,FALSE)</f>
        <v>0</v>
      </c>
      <c r="AE219" s="28"/>
    </row>
    <row r="220" spans="2:31" ht="15" hidden="1" customHeight="1" outlineLevel="2">
      <c r="B220" s="148">
        <v>8</v>
      </c>
      <c r="C220" s="177" t="str">
        <f>Attribute!C220</f>
        <v>---</v>
      </c>
      <c r="D220" s="125" t="str">
        <f>VLOOKUP(C220,'Talente &amp; Stuff'!FU:GV,2,FALSE)</f>
        <v>--/--/--</v>
      </c>
      <c r="E220" s="127" t="str">
        <f>VLOOKUP(C220,'Talente &amp; Stuff'!FU:GV,3,FALSE)</f>
        <v>-</v>
      </c>
      <c r="F220" s="114">
        <f>VLOOKUP(C220,'Talente &amp; Stuff'!FU:GV,4,FALSE)</f>
        <v>0</v>
      </c>
      <c r="G220" s="113">
        <f>VLOOKUP(C220,'Talente &amp; Stuff'!FU:GV,5,FALSE)</f>
        <v>0</v>
      </c>
      <c r="H220" s="113">
        <f>VLOOKUP(C220,'Talente &amp; Stuff'!FU:GV,6,FALSE)</f>
        <v>0</v>
      </c>
      <c r="I220" s="113">
        <f>VLOOKUP(C220,'Talente &amp; Stuff'!FU:GV,7,FALSE)</f>
        <v>0</v>
      </c>
      <c r="J220" s="113">
        <f>VLOOKUP(C220,'Talente &amp; Stuff'!FU:GV,8,FALSE)</f>
        <v>0</v>
      </c>
      <c r="K220" s="113">
        <f>VLOOKUP(C220,'Talente &amp; Stuff'!FU:GV,9,FALSE)</f>
        <v>0</v>
      </c>
      <c r="L220" s="113">
        <f>VLOOKUP(C220,'Talente &amp; Stuff'!FU:GV,10,FALSE)</f>
        <v>0</v>
      </c>
      <c r="M220" s="119">
        <f>VLOOKUP(C220,'Talente &amp; Stuff'!FU:GV,11,FALSE)</f>
        <v>0</v>
      </c>
      <c r="N220" s="47">
        <f>VLOOKUP(C220,'Talente &amp; Stuff'!FU:GV,12,FALSE)</f>
        <v>0</v>
      </c>
      <c r="O220" s="47">
        <f>VLOOKUP(C220,'Talente &amp; Stuff'!FU:GV,13,FALSE)</f>
        <v>0</v>
      </c>
      <c r="P220" s="119">
        <f>VLOOKUP(C220,'Talente &amp; Stuff'!FU:GV,14,FALSE)</f>
        <v>0</v>
      </c>
      <c r="Q220" s="114">
        <f>VLOOKUP(C220,'Talente &amp; Stuff'!FU:GV,15,FALSE)</f>
        <v>0</v>
      </c>
      <c r="R220" s="113">
        <f>VLOOKUP(C220,'Talente &amp; Stuff'!FU:GV,16,FALSE)</f>
        <v>0</v>
      </c>
      <c r="S220" s="119">
        <f>VLOOKUP(C220,'Talente &amp; Stuff'!FU:GV,17,FALSE)</f>
        <v>0</v>
      </c>
      <c r="T220" s="119">
        <f>VLOOKUP(C220,'Talente &amp; Stuff'!FU:GV,18,FALSE)</f>
        <v>0</v>
      </c>
      <c r="U220" s="89">
        <f>VLOOKUP(C220,'Talente &amp; Stuff'!FU:GV,19,FALSE)</f>
        <v>0</v>
      </c>
      <c r="V220" s="47">
        <f>VLOOKUP(C220,'Talente &amp; Stuff'!FU:GV,20,FALSE)</f>
        <v>0</v>
      </c>
      <c r="W220" s="127">
        <f>VLOOKUP(C220,'Talente &amp; Stuff'!FU:GV,21,FALSE)</f>
        <v>0</v>
      </c>
      <c r="X220" s="127">
        <f>VLOOKUP(C220,'Talente &amp; Stuff'!FU:GV,22,FALSE)</f>
        <v>0</v>
      </c>
      <c r="Y220" s="165">
        <f t="shared" si="20"/>
        <v>0</v>
      </c>
      <c r="Z220" s="44">
        <f t="shared" si="21"/>
        <v>0</v>
      </c>
      <c r="AA220" s="125">
        <f>VLOOKUP(C220,'Talente &amp; Stuff'!FU:GV,25,FALSE)</f>
        <v>0</v>
      </c>
      <c r="AB220" s="160">
        <f>VLOOKUP(C220,'Talente &amp; Stuff'!FU:GV,26,FALSE)</f>
        <v>0</v>
      </c>
      <c r="AC220" s="127">
        <f>VLOOKUP(C220,'Talente &amp; Stuff'!FU:GV,27,FALSE)</f>
        <v>0</v>
      </c>
      <c r="AD220" s="125">
        <f>VLOOKUP(C220,'Talente &amp; Stuff'!FU:GV,28,FALSE)</f>
        <v>0</v>
      </c>
      <c r="AE220" s="28"/>
    </row>
    <row r="221" spans="2:31" ht="15" hidden="1" customHeight="1" outlineLevel="2">
      <c r="B221" s="148">
        <v>9</v>
      </c>
      <c r="C221" s="177" t="str">
        <f>Attribute!C221</f>
        <v>---</v>
      </c>
      <c r="D221" s="125" t="str">
        <f>VLOOKUP(C221,'Talente &amp; Stuff'!FU:GV,2,FALSE)</f>
        <v>--/--/--</v>
      </c>
      <c r="E221" s="127" t="str">
        <f>VLOOKUP(C221,'Talente &amp; Stuff'!FU:GV,3,FALSE)</f>
        <v>-</v>
      </c>
      <c r="F221" s="114">
        <f>VLOOKUP(C221,'Talente &amp; Stuff'!FU:GV,4,FALSE)</f>
        <v>0</v>
      </c>
      <c r="G221" s="113">
        <f>VLOOKUP(C221,'Talente &amp; Stuff'!FU:GV,5,FALSE)</f>
        <v>0</v>
      </c>
      <c r="H221" s="113">
        <f>VLOOKUP(C221,'Talente &amp; Stuff'!FU:GV,6,FALSE)</f>
        <v>0</v>
      </c>
      <c r="I221" s="113">
        <f>VLOOKUP(C221,'Talente &amp; Stuff'!FU:GV,7,FALSE)</f>
        <v>0</v>
      </c>
      <c r="J221" s="113">
        <f>VLOOKUP(C221,'Talente &amp; Stuff'!FU:GV,8,FALSE)</f>
        <v>0</v>
      </c>
      <c r="K221" s="113">
        <f>VLOOKUP(C221,'Talente &amp; Stuff'!FU:GV,9,FALSE)</f>
        <v>0</v>
      </c>
      <c r="L221" s="113">
        <f>VLOOKUP(C221,'Talente &amp; Stuff'!FU:GV,10,FALSE)</f>
        <v>0</v>
      </c>
      <c r="M221" s="119">
        <f>VLOOKUP(C221,'Talente &amp; Stuff'!FU:GV,11,FALSE)</f>
        <v>0</v>
      </c>
      <c r="N221" s="47">
        <f>VLOOKUP(C221,'Talente &amp; Stuff'!FU:GV,12,FALSE)</f>
        <v>0</v>
      </c>
      <c r="O221" s="47">
        <f>VLOOKUP(C221,'Talente &amp; Stuff'!FU:GV,13,FALSE)</f>
        <v>0</v>
      </c>
      <c r="P221" s="119">
        <f>VLOOKUP(C221,'Talente &amp; Stuff'!FU:GV,14,FALSE)</f>
        <v>0</v>
      </c>
      <c r="Q221" s="114">
        <f>VLOOKUP(C221,'Talente &amp; Stuff'!FU:GV,15,FALSE)</f>
        <v>0</v>
      </c>
      <c r="R221" s="113">
        <f>VLOOKUP(C221,'Talente &amp; Stuff'!FU:GV,16,FALSE)</f>
        <v>0</v>
      </c>
      <c r="S221" s="119">
        <f>VLOOKUP(C221,'Talente &amp; Stuff'!FU:GV,17,FALSE)</f>
        <v>0</v>
      </c>
      <c r="T221" s="119">
        <f>VLOOKUP(C221,'Talente &amp; Stuff'!FU:GV,18,FALSE)</f>
        <v>0</v>
      </c>
      <c r="U221" s="89">
        <f>VLOOKUP(C221,'Talente &amp; Stuff'!FU:GV,19,FALSE)</f>
        <v>0</v>
      </c>
      <c r="V221" s="47">
        <f>VLOOKUP(C221,'Talente &amp; Stuff'!FU:GV,20,FALSE)</f>
        <v>0</v>
      </c>
      <c r="W221" s="127">
        <f>VLOOKUP(C221,'Talente &amp; Stuff'!FU:GV,21,FALSE)</f>
        <v>0</v>
      </c>
      <c r="X221" s="127">
        <f>VLOOKUP(C221,'Talente &amp; Stuff'!FU:GV,22,FALSE)</f>
        <v>0</v>
      </c>
      <c r="Y221" s="165">
        <f t="shared" si="20"/>
        <v>0</v>
      </c>
      <c r="Z221" s="44">
        <f t="shared" si="21"/>
        <v>0</v>
      </c>
      <c r="AA221" s="125">
        <f>VLOOKUP(C221,'Talente &amp; Stuff'!FU:GV,25,FALSE)</f>
        <v>0</v>
      </c>
      <c r="AB221" s="160">
        <f>VLOOKUP(C221,'Talente &amp; Stuff'!FU:GV,26,FALSE)</f>
        <v>0</v>
      </c>
      <c r="AC221" s="127">
        <f>VLOOKUP(C221,'Talente &amp; Stuff'!FU:GV,27,FALSE)</f>
        <v>0</v>
      </c>
      <c r="AD221" s="125">
        <f>VLOOKUP(C221,'Talente &amp; Stuff'!FU:GV,28,FALSE)</f>
        <v>0</v>
      </c>
      <c r="AE221" s="28"/>
    </row>
    <row r="222" spans="2:31" ht="15" hidden="1" customHeight="1" outlineLevel="2">
      <c r="B222" s="148">
        <v>10</v>
      </c>
      <c r="C222" s="177" t="str">
        <f>Attribute!C222</f>
        <v>---</v>
      </c>
      <c r="D222" s="86" t="str">
        <f>VLOOKUP(C222,'Talente &amp; Stuff'!FU:GV,2,FALSE)</f>
        <v>--/--/--</v>
      </c>
      <c r="E222" s="167" t="str">
        <f>VLOOKUP(C222,'Talente &amp; Stuff'!FU:GV,3,FALSE)</f>
        <v>-</v>
      </c>
      <c r="F222" s="120">
        <f>VLOOKUP(C222,'Talente &amp; Stuff'!FU:GV,4,FALSE)</f>
        <v>0</v>
      </c>
      <c r="G222" s="117">
        <f>VLOOKUP(C222,'Talente &amp; Stuff'!FU:GV,5,FALSE)</f>
        <v>0</v>
      </c>
      <c r="H222" s="117">
        <f>VLOOKUP(C222,'Talente &amp; Stuff'!FU:GV,6,FALSE)</f>
        <v>0</v>
      </c>
      <c r="I222" s="117">
        <f>VLOOKUP(C222,'Talente &amp; Stuff'!FU:GV,7,FALSE)</f>
        <v>0</v>
      </c>
      <c r="J222" s="117">
        <f>VLOOKUP(C222,'Talente &amp; Stuff'!FU:GV,8,FALSE)</f>
        <v>0</v>
      </c>
      <c r="K222" s="117">
        <f>VLOOKUP(C222,'Talente &amp; Stuff'!FU:GV,9,FALSE)</f>
        <v>0</v>
      </c>
      <c r="L222" s="117">
        <f>VLOOKUP(C222,'Talente &amp; Stuff'!FU:GV,10,FALSE)</f>
        <v>0</v>
      </c>
      <c r="M222" s="121">
        <f>VLOOKUP(C222,'Talente &amp; Stuff'!FU:GV,11,FALSE)</f>
        <v>0</v>
      </c>
      <c r="N222" s="47">
        <f>VLOOKUP(C222,'Talente &amp; Stuff'!FU:GV,12,FALSE)</f>
        <v>0</v>
      </c>
      <c r="O222" s="3">
        <f>VLOOKUP(C222,'Talente &amp; Stuff'!FU:GV,13,FALSE)</f>
        <v>0</v>
      </c>
      <c r="P222" s="174">
        <f>VLOOKUP(C222,'Talente &amp; Stuff'!FU:GV,14,FALSE)</f>
        <v>0</v>
      </c>
      <c r="Q222" s="114">
        <f>VLOOKUP(C222,'Talente &amp; Stuff'!FU:GV,15,FALSE)</f>
        <v>0</v>
      </c>
      <c r="R222" s="117">
        <f>VLOOKUP(C222,'Talente &amp; Stuff'!FU:GV,16,FALSE)</f>
        <v>0</v>
      </c>
      <c r="S222" s="119">
        <f>VLOOKUP(C222,'Talente &amp; Stuff'!FU:GV,17,FALSE)</f>
        <v>0</v>
      </c>
      <c r="T222" s="119">
        <f>VLOOKUP(C222,'Talente &amp; Stuff'!FU:GV,18,FALSE)</f>
        <v>0</v>
      </c>
      <c r="U222" s="89">
        <f>VLOOKUP(C222,'Talente &amp; Stuff'!FU:GV,19,FALSE)</f>
        <v>0</v>
      </c>
      <c r="V222" s="47">
        <f>VLOOKUP(C222,'Talente &amp; Stuff'!FU:GV,20,FALSE)</f>
        <v>0</v>
      </c>
      <c r="W222" s="127">
        <f>VLOOKUP(C222,'Talente &amp; Stuff'!FU:GV,21,FALSE)</f>
        <v>0</v>
      </c>
      <c r="X222" s="127">
        <f>VLOOKUP(C222,'Talente &amp; Stuff'!FU:GV,22,FALSE)</f>
        <v>0</v>
      </c>
      <c r="Y222" s="165">
        <f t="shared" si="20"/>
        <v>0</v>
      </c>
      <c r="Z222" s="44">
        <f t="shared" si="21"/>
        <v>0</v>
      </c>
      <c r="AA222" s="125">
        <f>VLOOKUP(C222,'Talente &amp; Stuff'!FU:GV,25,FALSE)</f>
        <v>0</v>
      </c>
      <c r="AB222" s="160">
        <f>VLOOKUP(C222,'Talente &amp; Stuff'!FU:GV,26,FALSE)</f>
        <v>0</v>
      </c>
      <c r="AC222" s="127">
        <f>VLOOKUP(C222,'Talente &amp; Stuff'!FU:GV,27,FALSE)</f>
        <v>0</v>
      </c>
      <c r="AD222" s="125">
        <f>VLOOKUP(C222,'Talente &amp; Stuff'!FU:GV,28,FALSE)</f>
        <v>0</v>
      </c>
      <c r="AE222" s="28"/>
    </row>
    <row r="223" spans="2:31" ht="15" hidden="1" customHeight="1" outlineLevel="2">
      <c r="B223" s="148">
        <v>11</v>
      </c>
      <c r="C223" s="177" t="str">
        <f>Attribute!C223</f>
        <v>---</v>
      </c>
      <c r="D223" s="86" t="str">
        <f>VLOOKUP(C223,'Talente &amp; Stuff'!FU:GV,2,FALSE)</f>
        <v>--/--/--</v>
      </c>
      <c r="E223" s="167" t="str">
        <f>VLOOKUP(C223,'Talente &amp; Stuff'!FU:GV,3,FALSE)</f>
        <v>-</v>
      </c>
      <c r="F223" s="120">
        <f>VLOOKUP(C223,'Talente &amp; Stuff'!FU:GV,4,FALSE)</f>
        <v>0</v>
      </c>
      <c r="G223" s="117">
        <f>VLOOKUP(C223,'Talente &amp; Stuff'!FU:GV,5,FALSE)</f>
        <v>0</v>
      </c>
      <c r="H223" s="117">
        <f>VLOOKUP(C223,'Talente &amp; Stuff'!FU:GV,6,FALSE)</f>
        <v>0</v>
      </c>
      <c r="I223" s="117">
        <f>VLOOKUP(C223,'Talente &amp; Stuff'!FU:GV,7,FALSE)</f>
        <v>0</v>
      </c>
      <c r="J223" s="117">
        <f>VLOOKUP(C223,'Talente &amp; Stuff'!FU:GV,8,FALSE)</f>
        <v>0</v>
      </c>
      <c r="K223" s="117">
        <f>VLOOKUP(C223,'Talente &amp; Stuff'!FU:GV,9,FALSE)</f>
        <v>0</v>
      </c>
      <c r="L223" s="117">
        <f>VLOOKUP(C223,'Talente &amp; Stuff'!FU:GV,10,FALSE)</f>
        <v>0</v>
      </c>
      <c r="M223" s="121">
        <f>VLOOKUP(C223,'Talente &amp; Stuff'!FU:GV,11,FALSE)</f>
        <v>0</v>
      </c>
      <c r="N223" s="47">
        <f>VLOOKUP(C223,'Talente &amp; Stuff'!FU:GV,12,FALSE)</f>
        <v>0</v>
      </c>
      <c r="O223" s="3">
        <f>VLOOKUP(C223,'Talente &amp; Stuff'!FU:GV,13,FALSE)</f>
        <v>0</v>
      </c>
      <c r="P223" s="174">
        <f>VLOOKUP(C223,'Talente &amp; Stuff'!FU:GV,14,FALSE)</f>
        <v>0</v>
      </c>
      <c r="Q223" s="114">
        <f>VLOOKUP(C223,'Talente &amp; Stuff'!FU:GV,15,FALSE)</f>
        <v>0</v>
      </c>
      <c r="R223" s="117">
        <f>VLOOKUP(C223,'Talente &amp; Stuff'!FU:GV,16,FALSE)</f>
        <v>0</v>
      </c>
      <c r="S223" s="119">
        <f>VLOOKUP(C223,'Talente &amp; Stuff'!FU:GV,17,FALSE)</f>
        <v>0</v>
      </c>
      <c r="T223" s="119">
        <f>VLOOKUP(C223,'Talente &amp; Stuff'!FU:GV,18,FALSE)</f>
        <v>0</v>
      </c>
      <c r="U223" s="89">
        <f>VLOOKUP(C223,'Talente &amp; Stuff'!FU:GV,19,FALSE)</f>
        <v>0</v>
      </c>
      <c r="V223" s="47">
        <f>VLOOKUP(C223,'Talente &amp; Stuff'!FU:GV,20,FALSE)</f>
        <v>0</v>
      </c>
      <c r="W223" s="127">
        <f>VLOOKUP(C223,'Talente &amp; Stuff'!FU:GV,21,FALSE)</f>
        <v>0</v>
      </c>
      <c r="X223" s="127">
        <f>VLOOKUP(C223,'Talente &amp; Stuff'!FU:GV,22,FALSE)</f>
        <v>0</v>
      </c>
      <c r="Y223" s="165">
        <f t="shared" si="20"/>
        <v>0</v>
      </c>
      <c r="Z223" s="44">
        <f t="shared" si="21"/>
        <v>0</v>
      </c>
      <c r="AA223" s="125">
        <f>VLOOKUP(C223,'Talente &amp; Stuff'!FU:GV,25,FALSE)</f>
        <v>0</v>
      </c>
      <c r="AB223" s="160">
        <f>VLOOKUP(C223,'Talente &amp; Stuff'!FU:GV,26,FALSE)</f>
        <v>0</v>
      </c>
      <c r="AC223" s="127">
        <f>VLOOKUP(C223,'Talente &amp; Stuff'!FU:GV,27,FALSE)</f>
        <v>0</v>
      </c>
      <c r="AD223" s="125">
        <f>VLOOKUP(C223,'Talente &amp; Stuff'!FU:GV,28,FALSE)</f>
        <v>0</v>
      </c>
      <c r="AE223" s="28"/>
    </row>
    <row r="224" spans="2:31" ht="15" hidden="1" customHeight="1" outlineLevel="2">
      <c r="B224" s="148">
        <v>12</v>
      </c>
      <c r="C224" s="177" t="str">
        <f>Attribute!C224</f>
        <v>---</v>
      </c>
      <c r="D224" s="86" t="str">
        <f>VLOOKUP(C224,'Talente &amp; Stuff'!FU:GV,2,FALSE)</f>
        <v>--/--/--</v>
      </c>
      <c r="E224" s="167" t="str">
        <f>VLOOKUP(C224,'Talente &amp; Stuff'!FU:GV,3,FALSE)</f>
        <v>-</v>
      </c>
      <c r="F224" s="120">
        <f>VLOOKUP(C224,'Talente &amp; Stuff'!FU:GV,4,FALSE)</f>
        <v>0</v>
      </c>
      <c r="G224" s="117">
        <f>VLOOKUP(C224,'Talente &amp; Stuff'!FU:GV,5,FALSE)</f>
        <v>0</v>
      </c>
      <c r="H224" s="117">
        <f>VLOOKUP(C224,'Talente &amp; Stuff'!FU:GV,6,FALSE)</f>
        <v>0</v>
      </c>
      <c r="I224" s="117">
        <f>VLOOKUP(C224,'Talente &amp; Stuff'!FU:GV,7,FALSE)</f>
        <v>0</v>
      </c>
      <c r="J224" s="117">
        <f>VLOOKUP(C224,'Talente &amp; Stuff'!FU:GV,8,FALSE)</f>
        <v>0</v>
      </c>
      <c r="K224" s="117">
        <f>VLOOKUP(C224,'Talente &amp; Stuff'!FU:GV,9,FALSE)</f>
        <v>0</v>
      </c>
      <c r="L224" s="117">
        <f>VLOOKUP(C224,'Talente &amp; Stuff'!FU:GV,10,FALSE)</f>
        <v>0</v>
      </c>
      <c r="M224" s="121">
        <f>VLOOKUP(C224,'Talente &amp; Stuff'!FU:GV,11,FALSE)</f>
        <v>0</v>
      </c>
      <c r="N224" s="47">
        <f>VLOOKUP(C224,'Talente &amp; Stuff'!FU:GV,12,FALSE)</f>
        <v>0</v>
      </c>
      <c r="O224" s="3">
        <f>VLOOKUP(C224,'Talente &amp; Stuff'!FU:GV,13,FALSE)</f>
        <v>0</v>
      </c>
      <c r="P224" s="174">
        <f>VLOOKUP(C224,'Talente &amp; Stuff'!FU:GV,14,FALSE)</f>
        <v>0</v>
      </c>
      <c r="Q224" s="114">
        <f>VLOOKUP(C224,'Talente &amp; Stuff'!FU:GV,15,FALSE)</f>
        <v>0</v>
      </c>
      <c r="R224" s="117">
        <f>VLOOKUP(C224,'Talente &amp; Stuff'!FU:GV,16,FALSE)</f>
        <v>0</v>
      </c>
      <c r="S224" s="119">
        <f>VLOOKUP(C224,'Talente &amp; Stuff'!FU:GV,17,FALSE)</f>
        <v>0</v>
      </c>
      <c r="T224" s="119">
        <f>VLOOKUP(C224,'Talente &amp; Stuff'!FU:GV,18,FALSE)</f>
        <v>0</v>
      </c>
      <c r="U224" s="89">
        <f>VLOOKUP(C224,'Talente &amp; Stuff'!FU:GV,19,FALSE)</f>
        <v>0</v>
      </c>
      <c r="V224" s="47">
        <f>VLOOKUP(C224,'Talente &amp; Stuff'!FU:GV,20,FALSE)</f>
        <v>0</v>
      </c>
      <c r="W224" s="127">
        <f>VLOOKUP(C224,'Talente &amp; Stuff'!FU:GV,21,FALSE)</f>
        <v>0</v>
      </c>
      <c r="X224" s="127">
        <f>VLOOKUP(C224,'Talente &amp; Stuff'!FU:GV,22,FALSE)</f>
        <v>0</v>
      </c>
      <c r="Y224" s="165">
        <f t="shared" si="20"/>
        <v>0</v>
      </c>
      <c r="Z224" s="44">
        <f t="shared" si="21"/>
        <v>0</v>
      </c>
      <c r="AA224" s="125">
        <f>VLOOKUP(C224,'Talente &amp; Stuff'!FU:GV,25,FALSE)</f>
        <v>0</v>
      </c>
      <c r="AB224" s="160">
        <f>VLOOKUP(C224,'Talente &amp; Stuff'!FU:GV,26,FALSE)</f>
        <v>0</v>
      </c>
      <c r="AC224" s="127">
        <f>VLOOKUP(C224,'Talente &amp; Stuff'!FU:GV,27,FALSE)</f>
        <v>0</v>
      </c>
      <c r="AD224" s="125">
        <f>VLOOKUP(C224,'Talente &amp; Stuff'!FU:GV,28,FALSE)</f>
        <v>0</v>
      </c>
      <c r="AE224" s="28"/>
    </row>
    <row r="225" spans="2:31" ht="15" hidden="1" customHeight="1" outlineLevel="2">
      <c r="B225" s="148">
        <v>13</v>
      </c>
      <c r="C225" s="177" t="str">
        <f>Attribute!C225</f>
        <v>---</v>
      </c>
      <c r="D225" s="86" t="str">
        <f>VLOOKUP(C225,'Talente &amp; Stuff'!FU:GV,2,FALSE)</f>
        <v>--/--/--</v>
      </c>
      <c r="E225" s="167" t="str">
        <f>VLOOKUP(C225,'Talente &amp; Stuff'!FU:GV,3,FALSE)</f>
        <v>-</v>
      </c>
      <c r="F225" s="120">
        <f>VLOOKUP(C225,'Talente &amp; Stuff'!FU:GV,4,FALSE)</f>
        <v>0</v>
      </c>
      <c r="G225" s="117">
        <f>VLOOKUP(C225,'Talente &amp; Stuff'!FU:GV,5,FALSE)</f>
        <v>0</v>
      </c>
      <c r="H225" s="117">
        <f>VLOOKUP(C225,'Talente &amp; Stuff'!FU:GV,6,FALSE)</f>
        <v>0</v>
      </c>
      <c r="I225" s="117">
        <f>VLOOKUP(C225,'Talente &amp; Stuff'!FU:GV,7,FALSE)</f>
        <v>0</v>
      </c>
      <c r="J225" s="117">
        <f>VLOOKUP(C225,'Talente &amp; Stuff'!FU:GV,8,FALSE)</f>
        <v>0</v>
      </c>
      <c r="K225" s="117">
        <f>VLOOKUP(C225,'Talente &amp; Stuff'!FU:GV,9,FALSE)</f>
        <v>0</v>
      </c>
      <c r="L225" s="117">
        <f>VLOOKUP(C225,'Talente &amp; Stuff'!FU:GV,10,FALSE)</f>
        <v>0</v>
      </c>
      <c r="M225" s="121">
        <f>VLOOKUP(C225,'Talente &amp; Stuff'!FU:GV,11,FALSE)</f>
        <v>0</v>
      </c>
      <c r="N225" s="47">
        <f>VLOOKUP(C225,'Talente &amp; Stuff'!FU:GV,12,FALSE)</f>
        <v>0</v>
      </c>
      <c r="O225" s="3">
        <f>VLOOKUP(C225,'Talente &amp; Stuff'!FU:GV,13,FALSE)</f>
        <v>0</v>
      </c>
      <c r="P225" s="174">
        <f>VLOOKUP(C225,'Talente &amp; Stuff'!FU:GV,14,FALSE)</f>
        <v>0</v>
      </c>
      <c r="Q225" s="114">
        <f>VLOOKUP(C225,'Talente &amp; Stuff'!FU:GV,15,FALSE)</f>
        <v>0</v>
      </c>
      <c r="R225" s="117">
        <f>VLOOKUP(C225,'Talente &amp; Stuff'!FU:GV,16,FALSE)</f>
        <v>0</v>
      </c>
      <c r="S225" s="119">
        <f>VLOOKUP(C225,'Talente &amp; Stuff'!FU:GV,17,FALSE)</f>
        <v>0</v>
      </c>
      <c r="T225" s="119">
        <f>VLOOKUP(C225,'Talente &amp; Stuff'!FU:GV,18,FALSE)</f>
        <v>0</v>
      </c>
      <c r="U225" s="89">
        <f>VLOOKUP(C225,'Talente &amp; Stuff'!FU:GV,19,FALSE)</f>
        <v>0</v>
      </c>
      <c r="V225" s="47">
        <f>VLOOKUP(C225,'Talente &amp; Stuff'!FU:GV,20,FALSE)</f>
        <v>0</v>
      </c>
      <c r="W225" s="127">
        <f>VLOOKUP(C225,'Talente &amp; Stuff'!FU:GV,21,FALSE)</f>
        <v>0</v>
      </c>
      <c r="X225" s="127">
        <f>VLOOKUP(C225,'Talente &amp; Stuff'!FU:GV,22,FALSE)</f>
        <v>0</v>
      </c>
      <c r="Y225" s="165">
        <f t="shared" si="20"/>
        <v>0</v>
      </c>
      <c r="Z225" s="44">
        <f t="shared" si="21"/>
        <v>0</v>
      </c>
      <c r="AA225" s="125">
        <f>VLOOKUP(C225,'Talente &amp; Stuff'!FU:GV,25,FALSE)</f>
        <v>0</v>
      </c>
      <c r="AB225" s="160">
        <f>VLOOKUP(C225,'Talente &amp; Stuff'!FU:GV,26,FALSE)</f>
        <v>0</v>
      </c>
      <c r="AC225" s="127">
        <f>VLOOKUP(C225,'Talente &amp; Stuff'!FU:GV,27,FALSE)</f>
        <v>0</v>
      </c>
      <c r="AD225" s="125">
        <f>VLOOKUP(C225,'Talente &amp; Stuff'!FU:GV,28,FALSE)</f>
        <v>0</v>
      </c>
      <c r="AE225" s="28"/>
    </row>
    <row r="226" spans="2:31" ht="15" hidden="1" customHeight="1" outlineLevel="2">
      <c r="B226" s="148">
        <v>14</v>
      </c>
      <c r="C226" s="177" t="str">
        <f>Attribute!C226</f>
        <v>---</v>
      </c>
      <c r="D226" s="86" t="str">
        <f>VLOOKUP(C226,'Talente &amp; Stuff'!FU:GV,2,FALSE)</f>
        <v>--/--/--</v>
      </c>
      <c r="E226" s="167" t="str">
        <f>VLOOKUP(C226,'Talente &amp; Stuff'!FU:GV,3,FALSE)</f>
        <v>-</v>
      </c>
      <c r="F226" s="120">
        <f>VLOOKUP(C226,'Talente &amp; Stuff'!FU:GV,4,FALSE)</f>
        <v>0</v>
      </c>
      <c r="G226" s="117">
        <f>VLOOKUP(C226,'Talente &amp; Stuff'!FU:GV,5,FALSE)</f>
        <v>0</v>
      </c>
      <c r="H226" s="117">
        <f>VLOOKUP(C226,'Talente &amp; Stuff'!FU:GV,6,FALSE)</f>
        <v>0</v>
      </c>
      <c r="I226" s="117">
        <f>VLOOKUP(C226,'Talente &amp; Stuff'!FU:GV,7,FALSE)</f>
        <v>0</v>
      </c>
      <c r="J226" s="117">
        <f>VLOOKUP(C226,'Talente &amp; Stuff'!FU:GV,8,FALSE)</f>
        <v>0</v>
      </c>
      <c r="K226" s="117">
        <f>VLOOKUP(C226,'Talente &amp; Stuff'!FU:GV,9,FALSE)</f>
        <v>0</v>
      </c>
      <c r="L226" s="117">
        <f>VLOOKUP(C226,'Talente &amp; Stuff'!FU:GV,10,FALSE)</f>
        <v>0</v>
      </c>
      <c r="M226" s="121">
        <f>VLOOKUP(C226,'Talente &amp; Stuff'!FU:GV,11,FALSE)</f>
        <v>0</v>
      </c>
      <c r="N226" s="47">
        <f>VLOOKUP(C226,'Talente &amp; Stuff'!FU:GV,12,FALSE)</f>
        <v>0</v>
      </c>
      <c r="O226" s="3">
        <f>VLOOKUP(C226,'Talente &amp; Stuff'!FU:GV,13,FALSE)</f>
        <v>0</v>
      </c>
      <c r="P226" s="174">
        <f>VLOOKUP(C226,'Talente &amp; Stuff'!FU:GV,14,FALSE)</f>
        <v>0</v>
      </c>
      <c r="Q226" s="114">
        <f>VLOOKUP(C226,'Talente &amp; Stuff'!FU:GV,15,FALSE)</f>
        <v>0</v>
      </c>
      <c r="R226" s="117">
        <f>VLOOKUP(C226,'Talente &amp; Stuff'!FU:GV,16,FALSE)</f>
        <v>0</v>
      </c>
      <c r="S226" s="119">
        <f>VLOOKUP(C226,'Talente &amp; Stuff'!FU:GV,17,FALSE)</f>
        <v>0</v>
      </c>
      <c r="T226" s="119">
        <f>VLOOKUP(C226,'Talente &amp; Stuff'!FU:GV,18,FALSE)</f>
        <v>0</v>
      </c>
      <c r="U226" s="89">
        <f>VLOOKUP(C226,'Talente &amp; Stuff'!FU:GV,19,FALSE)</f>
        <v>0</v>
      </c>
      <c r="V226" s="47">
        <f>VLOOKUP(C226,'Talente &amp; Stuff'!FU:GV,20,FALSE)</f>
        <v>0</v>
      </c>
      <c r="W226" s="127">
        <f>VLOOKUP(C226,'Talente &amp; Stuff'!FU:GV,21,FALSE)</f>
        <v>0</v>
      </c>
      <c r="X226" s="127">
        <f>VLOOKUP(C226,'Talente &amp; Stuff'!FU:GV,22,FALSE)</f>
        <v>0</v>
      </c>
      <c r="Y226" s="165">
        <f t="shared" si="20"/>
        <v>0</v>
      </c>
      <c r="Z226" s="44">
        <f t="shared" si="21"/>
        <v>0</v>
      </c>
      <c r="AA226" s="125">
        <f>VLOOKUP(C226,'Talente &amp; Stuff'!FU:GV,25,FALSE)</f>
        <v>0</v>
      </c>
      <c r="AB226" s="160">
        <f>VLOOKUP(C226,'Talente &amp; Stuff'!FU:GV,26,FALSE)</f>
        <v>0</v>
      </c>
      <c r="AC226" s="127">
        <f>VLOOKUP(C226,'Talente &amp; Stuff'!FU:GV,27,FALSE)</f>
        <v>0</v>
      </c>
      <c r="AD226" s="125">
        <f>VLOOKUP(C226,'Talente &amp; Stuff'!FU:GV,28,FALSE)</f>
        <v>0</v>
      </c>
      <c r="AE226" s="28"/>
    </row>
    <row r="227" spans="2:31" ht="15" hidden="1" customHeight="1" outlineLevel="2">
      <c r="B227" s="148">
        <v>15</v>
      </c>
      <c r="C227" s="177" t="str">
        <f>Attribute!C227</f>
        <v>---</v>
      </c>
      <c r="D227" s="86" t="str">
        <f>VLOOKUP(C227,'Talente &amp; Stuff'!FU:GV,2,FALSE)</f>
        <v>--/--/--</v>
      </c>
      <c r="E227" s="167" t="str">
        <f>VLOOKUP(C227,'Talente &amp; Stuff'!FU:GV,3,FALSE)</f>
        <v>-</v>
      </c>
      <c r="F227" s="120">
        <f>VLOOKUP(C227,'Talente &amp; Stuff'!FU:GV,4,FALSE)</f>
        <v>0</v>
      </c>
      <c r="G227" s="117">
        <f>VLOOKUP(C227,'Talente &amp; Stuff'!FU:GV,5,FALSE)</f>
        <v>0</v>
      </c>
      <c r="H227" s="117">
        <f>VLOOKUP(C227,'Talente &amp; Stuff'!FU:GV,6,FALSE)</f>
        <v>0</v>
      </c>
      <c r="I227" s="117">
        <f>VLOOKUP(C227,'Talente &amp; Stuff'!FU:GV,7,FALSE)</f>
        <v>0</v>
      </c>
      <c r="J227" s="117">
        <f>VLOOKUP(C227,'Talente &amp; Stuff'!FU:GV,8,FALSE)</f>
        <v>0</v>
      </c>
      <c r="K227" s="117">
        <f>VLOOKUP(C227,'Talente &amp; Stuff'!FU:GV,9,FALSE)</f>
        <v>0</v>
      </c>
      <c r="L227" s="117">
        <f>VLOOKUP(C227,'Talente &amp; Stuff'!FU:GV,10,FALSE)</f>
        <v>0</v>
      </c>
      <c r="M227" s="121">
        <f>VLOOKUP(C227,'Talente &amp; Stuff'!FU:GV,11,FALSE)</f>
        <v>0</v>
      </c>
      <c r="N227" s="47">
        <f>VLOOKUP(C227,'Talente &amp; Stuff'!FU:GV,12,FALSE)</f>
        <v>0</v>
      </c>
      <c r="O227" s="3">
        <f>VLOOKUP(C227,'Talente &amp; Stuff'!FU:GV,13,FALSE)</f>
        <v>0</v>
      </c>
      <c r="P227" s="174">
        <f>VLOOKUP(C227,'Talente &amp; Stuff'!FU:GV,14,FALSE)</f>
        <v>0</v>
      </c>
      <c r="Q227" s="114">
        <f>VLOOKUP(C227,'Talente &amp; Stuff'!FU:GV,15,FALSE)</f>
        <v>0</v>
      </c>
      <c r="R227" s="117">
        <f>VLOOKUP(C227,'Talente &amp; Stuff'!FU:GV,16,FALSE)</f>
        <v>0</v>
      </c>
      <c r="S227" s="119">
        <f>VLOOKUP(C227,'Talente &amp; Stuff'!FU:GV,17,FALSE)</f>
        <v>0</v>
      </c>
      <c r="T227" s="119">
        <f>VLOOKUP(C227,'Talente &amp; Stuff'!FU:GV,18,FALSE)</f>
        <v>0</v>
      </c>
      <c r="U227" s="89">
        <f>VLOOKUP(C227,'Talente &amp; Stuff'!FU:GV,19,FALSE)</f>
        <v>0</v>
      </c>
      <c r="V227" s="47">
        <f>VLOOKUP(C227,'Talente &amp; Stuff'!FU:GV,20,FALSE)</f>
        <v>0</v>
      </c>
      <c r="W227" s="127">
        <f>VLOOKUP(C227,'Talente &amp; Stuff'!FU:GV,21,FALSE)</f>
        <v>0</v>
      </c>
      <c r="X227" s="127">
        <f>VLOOKUP(C227,'Talente &amp; Stuff'!FU:GV,22,FALSE)</f>
        <v>0</v>
      </c>
      <c r="Y227" s="165">
        <f t="shared" si="20"/>
        <v>0</v>
      </c>
      <c r="Z227" s="44">
        <f t="shared" si="21"/>
        <v>0</v>
      </c>
      <c r="AA227" s="125">
        <f>VLOOKUP(C227,'Talente &amp; Stuff'!FU:GV,25,FALSE)</f>
        <v>0</v>
      </c>
      <c r="AB227" s="160">
        <f>VLOOKUP(C227,'Talente &amp; Stuff'!FU:GV,26,FALSE)</f>
        <v>0</v>
      </c>
      <c r="AC227" s="127">
        <f>VLOOKUP(C227,'Talente &amp; Stuff'!FU:GV,27,FALSE)</f>
        <v>0</v>
      </c>
      <c r="AD227" s="125">
        <f>VLOOKUP(C227,'Talente &amp; Stuff'!FU:GV,28,FALSE)</f>
        <v>0</v>
      </c>
      <c r="AE227" s="28"/>
    </row>
    <row r="228" spans="2:31" ht="15" hidden="1" customHeight="1" outlineLevel="2">
      <c r="B228" s="148">
        <v>16</v>
      </c>
      <c r="C228" s="177" t="str">
        <f>Attribute!C228</f>
        <v>---</v>
      </c>
      <c r="D228" s="86" t="str">
        <f>VLOOKUP(C228,'Talente &amp; Stuff'!FU:GV,2,FALSE)</f>
        <v>--/--/--</v>
      </c>
      <c r="E228" s="167" t="str">
        <f>VLOOKUP(C228,'Talente &amp; Stuff'!FU:GV,3,FALSE)</f>
        <v>-</v>
      </c>
      <c r="F228" s="120">
        <f>VLOOKUP(C228,'Talente &amp; Stuff'!FU:GV,4,FALSE)</f>
        <v>0</v>
      </c>
      <c r="G228" s="117">
        <f>VLOOKUP(C228,'Talente &amp; Stuff'!FU:GV,5,FALSE)</f>
        <v>0</v>
      </c>
      <c r="H228" s="117">
        <f>VLOOKUP(C228,'Talente &amp; Stuff'!FU:GV,6,FALSE)</f>
        <v>0</v>
      </c>
      <c r="I228" s="117">
        <f>VLOOKUP(C228,'Talente &amp; Stuff'!FU:GV,7,FALSE)</f>
        <v>0</v>
      </c>
      <c r="J228" s="117">
        <f>VLOOKUP(C228,'Talente &amp; Stuff'!FU:GV,8,FALSE)</f>
        <v>0</v>
      </c>
      <c r="K228" s="117">
        <f>VLOOKUP(C228,'Talente &amp; Stuff'!FU:GV,9,FALSE)</f>
        <v>0</v>
      </c>
      <c r="L228" s="117">
        <f>VLOOKUP(C228,'Talente &amp; Stuff'!FU:GV,10,FALSE)</f>
        <v>0</v>
      </c>
      <c r="M228" s="121">
        <f>VLOOKUP(C228,'Talente &amp; Stuff'!FU:GV,11,FALSE)</f>
        <v>0</v>
      </c>
      <c r="N228" s="47">
        <f>VLOOKUP(C228,'Talente &amp; Stuff'!FU:GV,12,FALSE)</f>
        <v>0</v>
      </c>
      <c r="O228" s="3">
        <f>VLOOKUP(C228,'Talente &amp; Stuff'!FU:GV,13,FALSE)</f>
        <v>0</v>
      </c>
      <c r="P228" s="174">
        <f>VLOOKUP(C228,'Talente &amp; Stuff'!FU:GV,14,FALSE)</f>
        <v>0</v>
      </c>
      <c r="Q228" s="114">
        <f>VLOOKUP(C228,'Talente &amp; Stuff'!FU:GV,15,FALSE)</f>
        <v>0</v>
      </c>
      <c r="R228" s="117">
        <f>VLOOKUP(C228,'Talente &amp; Stuff'!FU:GV,16,FALSE)</f>
        <v>0</v>
      </c>
      <c r="S228" s="119">
        <f>VLOOKUP(C228,'Talente &amp; Stuff'!FU:GV,17,FALSE)</f>
        <v>0</v>
      </c>
      <c r="T228" s="119">
        <f>VLOOKUP(C228,'Talente &amp; Stuff'!FU:GV,18,FALSE)</f>
        <v>0</v>
      </c>
      <c r="U228" s="89">
        <f>VLOOKUP(C228,'Talente &amp; Stuff'!FU:GV,19,FALSE)</f>
        <v>0</v>
      </c>
      <c r="V228" s="47">
        <f>VLOOKUP(C228,'Talente &amp; Stuff'!FU:GV,20,FALSE)</f>
        <v>0</v>
      </c>
      <c r="W228" s="127">
        <f>VLOOKUP(C228,'Talente &amp; Stuff'!FU:GV,21,FALSE)</f>
        <v>0</v>
      </c>
      <c r="X228" s="127">
        <f>VLOOKUP(C228,'Talente &amp; Stuff'!FU:GV,22,FALSE)</f>
        <v>0</v>
      </c>
      <c r="Y228" s="165">
        <f t="shared" si="20"/>
        <v>0</v>
      </c>
      <c r="Z228" s="44">
        <f t="shared" si="21"/>
        <v>0</v>
      </c>
      <c r="AA228" s="125">
        <f>VLOOKUP(C228,'Talente &amp; Stuff'!FU:GV,25,FALSE)</f>
        <v>0</v>
      </c>
      <c r="AB228" s="160">
        <f>VLOOKUP(C228,'Talente &amp; Stuff'!FU:GV,26,FALSE)</f>
        <v>0</v>
      </c>
      <c r="AC228" s="127">
        <f>VLOOKUP(C228,'Talente &amp; Stuff'!FU:GV,27,FALSE)</f>
        <v>0</v>
      </c>
      <c r="AD228" s="125">
        <f>VLOOKUP(C228,'Talente &amp; Stuff'!FU:GV,28,FALSE)</f>
        <v>0</v>
      </c>
      <c r="AE228" s="28"/>
    </row>
    <row r="229" spans="2:31" ht="15" hidden="1" customHeight="1" outlineLevel="2">
      <c r="B229" s="148">
        <v>17</v>
      </c>
      <c r="C229" s="177" t="str">
        <f>Attribute!C229</f>
        <v>---</v>
      </c>
      <c r="D229" s="86" t="str">
        <f>VLOOKUP(C229,'Talente &amp; Stuff'!FU:GV,2,FALSE)</f>
        <v>--/--/--</v>
      </c>
      <c r="E229" s="167" t="str">
        <f>VLOOKUP(C229,'Talente &amp; Stuff'!FU:GV,3,FALSE)</f>
        <v>-</v>
      </c>
      <c r="F229" s="120">
        <f>VLOOKUP(C229,'Talente &amp; Stuff'!FU:GV,4,FALSE)</f>
        <v>0</v>
      </c>
      <c r="G229" s="117">
        <f>VLOOKUP(C229,'Talente &amp; Stuff'!FU:GV,5,FALSE)</f>
        <v>0</v>
      </c>
      <c r="H229" s="117">
        <f>VLOOKUP(C229,'Talente &amp; Stuff'!FU:GV,6,FALSE)</f>
        <v>0</v>
      </c>
      <c r="I229" s="117">
        <f>VLOOKUP(C229,'Talente &amp; Stuff'!FU:GV,7,FALSE)</f>
        <v>0</v>
      </c>
      <c r="J229" s="117">
        <f>VLOOKUP(C229,'Talente &amp; Stuff'!FU:GV,8,FALSE)</f>
        <v>0</v>
      </c>
      <c r="K229" s="117">
        <f>VLOOKUP(C229,'Talente &amp; Stuff'!FU:GV,9,FALSE)</f>
        <v>0</v>
      </c>
      <c r="L229" s="117">
        <f>VLOOKUP(C229,'Talente &amp; Stuff'!FU:GV,10,FALSE)</f>
        <v>0</v>
      </c>
      <c r="M229" s="121">
        <f>VLOOKUP(C229,'Talente &amp; Stuff'!FU:GV,11,FALSE)</f>
        <v>0</v>
      </c>
      <c r="N229" s="47">
        <f>VLOOKUP(C229,'Talente &amp; Stuff'!FU:GV,12,FALSE)</f>
        <v>0</v>
      </c>
      <c r="O229" s="3">
        <f>VLOOKUP(C229,'Talente &amp; Stuff'!FU:GV,13,FALSE)</f>
        <v>0</v>
      </c>
      <c r="P229" s="174">
        <f>VLOOKUP(C229,'Talente &amp; Stuff'!FU:GV,14,FALSE)</f>
        <v>0</v>
      </c>
      <c r="Q229" s="114">
        <f>VLOOKUP(C229,'Talente &amp; Stuff'!FU:GV,15,FALSE)</f>
        <v>0</v>
      </c>
      <c r="R229" s="117">
        <f>VLOOKUP(C229,'Talente &amp; Stuff'!FU:GV,16,FALSE)</f>
        <v>0</v>
      </c>
      <c r="S229" s="119">
        <f>VLOOKUP(C229,'Talente &amp; Stuff'!FU:GV,17,FALSE)</f>
        <v>0</v>
      </c>
      <c r="T229" s="119">
        <f>VLOOKUP(C229,'Talente &amp; Stuff'!FU:GV,18,FALSE)</f>
        <v>0</v>
      </c>
      <c r="U229" s="89">
        <f>VLOOKUP(C229,'Talente &amp; Stuff'!FU:GV,19,FALSE)</f>
        <v>0</v>
      </c>
      <c r="V229" s="47">
        <f>VLOOKUP(C229,'Talente &amp; Stuff'!FU:GV,20,FALSE)</f>
        <v>0</v>
      </c>
      <c r="W229" s="127">
        <f>VLOOKUP(C229,'Talente &amp; Stuff'!FU:GV,21,FALSE)</f>
        <v>0</v>
      </c>
      <c r="X229" s="127">
        <f>VLOOKUP(C229,'Talente &amp; Stuff'!FU:GV,22,FALSE)</f>
        <v>0</v>
      </c>
      <c r="Y229" s="165">
        <f t="shared" si="20"/>
        <v>0</v>
      </c>
      <c r="Z229" s="44">
        <f t="shared" si="21"/>
        <v>0</v>
      </c>
      <c r="AA229" s="125">
        <f>VLOOKUP(C229,'Talente &amp; Stuff'!FU:GV,25,FALSE)</f>
        <v>0</v>
      </c>
      <c r="AB229" s="160">
        <f>VLOOKUP(C229,'Talente &amp; Stuff'!FU:GV,26,FALSE)</f>
        <v>0</v>
      </c>
      <c r="AC229" s="127">
        <f>VLOOKUP(C229,'Talente &amp; Stuff'!FU:GV,27,FALSE)</f>
        <v>0</v>
      </c>
      <c r="AD229" s="125">
        <f>VLOOKUP(C229,'Talente &amp; Stuff'!FU:GV,28,FALSE)</f>
        <v>0</v>
      </c>
      <c r="AE229" s="28"/>
    </row>
    <row r="230" spans="2:31" ht="15" hidden="1" customHeight="1" outlineLevel="2">
      <c r="B230" s="148">
        <v>18</v>
      </c>
      <c r="C230" s="177" t="str">
        <f>Attribute!C230</f>
        <v>---</v>
      </c>
      <c r="D230" s="86" t="str">
        <f>VLOOKUP(C230,'Talente &amp; Stuff'!FU:GV,2,FALSE)</f>
        <v>--/--/--</v>
      </c>
      <c r="E230" s="167" t="str">
        <f>VLOOKUP(C230,'Talente &amp; Stuff'!FU:GV,3,FALSE)</f>
        <v>-</v>
      </c>
      <c r="F230" s="120">
        <f>VLOOKUP(C230,'Talente &amp; Stuff'!FU:GV,4,FALSE)</f>
        <v>0</v>
      </c>
      <c r="G230" s="117">
        <f>VLOOKUP(C230,'Talente &amp; Stuff'!FU:GV,5,FALSE)</f>
        <v>0</v>
      </c>
      <c r="H230" s="117">
        <f>VLOOKUP(C230,'Talente &amp; Stuff'!FU:GV,6,FALSE)</f>
        <v>0</v>
      </c>
      <c r="I230" s="117">
        <f>VLOOKUP(C230,'Talente &amp; Stuff'!FU:GV,7,FALSE)</f>
        <v>0</v>
      </c>
      <c r="J230" s="117">
        <f>VLOOKUP(C230,'Talente &amp; Stuff'!FU:GV,8,FALSE)</f>
        <v>0</v>
      </c>
      <c r="K230" s="117">
        <f>VLOOKUP(C230,'Talente &amp; Stuff'!FU:GV,9,FALSE)</f>
        <v>0</v>
      </c>
      <c r="L230" s="117">
        <f>VLOOKUP(C230,'Talente &amp; Stuff'!FU:GV,10,FALSE)</f>
        <v>0</v>
      </c>
      <c r="M230" s="121">
        <f>VLOOKUP(C230,'Talente &amp; Stuff'!FU:GV,11,FALSE)</f>
        <v>0</v>
      </c>
      <c r="N230" s="47">
        <f>VLOOKUP(C230,'Talente &amp; Stuff'!FU:GV,12,FALSE)</f>
        <v>0</v>
      </c>
      <c r="O230" s="3">
        <f>VLOOKUP(C230,'Talente &amp; Stuff'!FU:GV,13,FALSE)</f>
        <v>0</v>
      </c>
      <c r="P230" s="174">
        <f>VLOOKUP(C230,'Talente &amp; Stuff'!FU:GV,14,FALSE)</f>
        <v>0</v>
      </c>
      <c r="Q230" s="114">
        <f>VLOOKUP(C230,'Talente &amp; Stuff'!FU:GV,15,FALSE)</f>
        <v>0</v>
      </c>
      <c r="R230" s="117">
        <f>VLOOKUP(C230,'Talente &amp; Stuff'!FU:GV,16,FALSE)</f>
        <v>0</v>
      </c>
      <c r="S230" s="119">
        <f>VLOOKUP(C230,'Talente &amp; Stuff'!FU:GV,17,FALSE)</f>
        <v>0</v>
      </c>
      <c r="T230" s="119">
        <f>VLOOKUP(C230,'Talente &amp; Stuff'!FU:GV,18,FALSE)</f>
        <v>0</v>
      </c>
      <c r="U230" s="89">
        <f>VLOOKUP(C230,'Talente &amp; Stuff'!FU:GV,19,FALSE)</f>
        <v>0</v>
      </c>
      <c r="V230" s="47">
        <f>VLOOKUP(C230,'Talente &amp; Stuff'!FU:GV,20,FALSE)</f>
        <v>0</v>
      </c>
      <c r="W230" s="127">
        <f>VLOOKUP(C230,'Talente &amp; Stuff'!FU:GV,21,FALSE)</f>
        <v>0</v>
      </c>
      <c r="X230" s="127">
        <f>VLOOKUP(C230,'Talente &amp; Stuff'!FU:GV,22,FALSE)</f>
        <v>0</v>
      </c>
      <c r="Y230" s="165">
        <f t="shared" si="20"/>
        <v>0</v>
      </c>
      <c r="Z230" s="44">
        <f t="shared" si="21"/>
        <v>0</v>
      </c>
      <c r="AA230" s="125">
        <f>VLOOKUP(C230,'Talente &amp; Stuff'!FU:GV,25,FALSE)</f>
        <v>0</v>
      </c>
      <c r="AB230" s="160">
        <f>VLOOKUP(C230,'Talente &amp; Stuff'!FU:GV,26,FALSE)</f>
        <v>0</v>
      </c>
      <c r="AC230" s="127">
        <f>VLOOKUP(C230,'Talente &amp; Stuff'!FU:GV,27,FALSE)</f>
        <v>0</v>
      </c>
      <c r="AD230" s="125">
        <f>VLOOKUP(C230,'Talente &amp; Stuff'!FU:GV,28,FALSE)</f>
        <v>0</v>
      </c>
      <c r="AE230" s="28"/>
    </row>
    <row r="231" spans="2:31" ht="15" hidden="1" customHeight="1" outlineLevel="2">
      <c r="B231" s="148">
        <v>19</v>
      </c>
      <c r="C231" s="177" t="str">
        <f>Attribute!C231</f>
        <v>---</v>
      </c>
      <c r="D231" s="86" t="str">
        <f>VLOOKUP(C231,'Talente &amp; Stuff'!FU:GV,2,FALSE)</f>
        <v>--/--/--</v>
      </c>
      <c r="E231" s="167" t="str">
        <f>VLOOKUP(C231,'Talente &amp; Stuff'!FU:GV,3,FALSE)</f>
        <v>-</v>
      </c>
      <c r="F231" s="120">
        <f>VLOOKUP(C231,'Talente &amp; Stuff'!FU:GV,4,FALSE)</f>
        <v>0</v>
      </c>
      <c r="G231" s="117">
        <f>VLOOKUP(C231,'Talente &amp; Stuff'!FU:GV,5,FALSE)</f>
        <v>0</v>
      </c>
      <c r="H231" s="117">
        <f>VLOOKUP(C231,'Talente &amp; Stuff'!FU:GV,6,FALSE)</f>
        <v>0</v>
      </c>
      <c r="I231" s="117">
        <f>VLOOKUP(C231,'Talente &amp; Stuff'!FU:GV,7,FALSE)</f>
        <v>0</v>
      </c>
      <c r="J231" s="117">
        <f>VLOOKUP(C231,'Talente &amp; Stuff'!FU:GV,8,FALSE)</f>
        <v>0</v>
      </c>
      <c r="K231" s="117">
        <f>VLOOKUP(C231,'Talente &amp; Stuff'!FU:GV,9,FALSE)</f>
        <v>0</v>
      </c>
      <c r="L231" s="117">
        <f>VLOOKUP(C231,'Talente &amp; Stuff'!FU:GV,10,FALSE)</f>
        <v>0</v>
      </c>
      <c r="M231" s="121">
        <f>VLOOKUP(C231,'Talente &amp; Stuff'!FU:GV,11,FALSE)</f>
        <v>0</v>
      </c>
      <c r="N231" s="47">
        <f>VLOOKUP(C231,'Talente &amp; Stuff'!FU:GV,12,FALSE)</f>
        <v>0</v>
      </c>
      <c r="O231" s="3">
        <f>VLOOKUP(C231,'Talente &amp; Stuff'!FU:GV,13,FALSE)</f>
        <v>0</v>
      </c>
      <c r="P231" s="174">
        <f>VLOOKUP(C231,'Talente &amp; Stuff'!FU:GV,14,FALSE)</f>
        <v>0</v>
      </c>
      <c r="Q231" s="114">
        <f>VLOOKUP(C231,'Talente &amp; Stuff'!FU:GV,15,FALSE)</f>
        <v>0</v>
      </c>
      <c r="R231" s="117">
        <f>VLOOKUP(C231,'Talente &amp; Stuff'!FU:GV,16,FALSE)</f>
        <v>0</v>
      </c>
      <c r="S231" s="119">
        <f>VLOOKUP(C231,'Talente &amp; Stuff'!FU:GV,17,FALSE)</f>
        <v>0</v>
      </c>
      <c r="T231" s="119">
        <f>VLOOKUP(C231,'Talente &amp; Stuff'!FU:GV,18,FALSE)</f>
        <v>0</v>
      </c>
      <c r="U231" s="89">
        <f>VLOOKUP(C231,'Talente &amp; Stuff'!FU:GV,19,FALSE)</f>
        <v>0</v>
      </c>
      <c r="V231" s="47">
        <f>VLOOKUP(C231,'Talente &amp; Stuff'!FU:GV,20,FALSE)</f>
        <v>0</v>
      </c>
      <c r="W231" s="127">
        <f>VLOOKUP(C231,'Talente &amp; Stuff'!FU:GV,21,FALSE)</f>
        <v>0</v>
      </c>
      <c r="X231" s="127">
        <f>VLOOKUP(C231,'Talente &amp; Stuff'!FU:GV,22,FALSE)</f>
        <v>0</v>
      </c>
      <c r="Y231" s="165">
        <f t="shared" si="20"/>
        <v>0</v>
      </c>
      <c r="Z231" s="44">
        <f t="shared" si="21"/>
        <v>0</v>
      </c>
      <c r="AA231" s="125">
        <f>VLOOKUP(C231,'Talente &amp; Stuff'!FU:GV,25,FALSE)</f>
        <v>0</v>
      </c>
      <c r="AB231" s="160">
        <f>VLOOKUP(C231,'Talente &amp; Stuff'!FU:GV,26,FALSE)</f>
        <v>0</v>
      </c>
      <c r="AC231" s="127">
        <f>VLOOKUP(C231,'Talente &amp; Stuff'!FU:GV,27,FALSE)</f>
        <v>0</v>
      </c>
      <c r="AD231" s="125">
        <f>VLOOKUP(C231,'Talente &amp; Stuff'!FU:GV,28,FALSE)</f>
        <v>0</v>
      </c>
      <c r="AE231" s="28"/>
    </row>
    <row r="232" spans="2:31" ht="15" hidden="1" customHeight="1" outlineLevel="2">
      <c r="B232" s="148">
        <v>20</v>
      </c>
      <c r="C232" s="177" t="str">
        <f>Attribute!C232</f>
        <v>---</v>
      </c>
      <c r="D232" s="86" t="str">
        <f>VLOOKUP(C232,'Talente &amp; Stuff'!FU:GV,2,FALSE)</f>
        <v>--/--/--</v>
      </c>
      <c r="E232" s="167" t="str">
        <f>VLOOKUP(C232,'Talente &amp; Stuff'!FU:GV,3,FALSE)</f>
        <v>-</v>
      </c>
      <c r="F232" s="120">
        <f>VLOOKUP(C232,'Talente &amp; Stuff'!FU:GV,4,FALSE)</f>
        <v>0</v>
      </c>
      <c r="G232" s="117">
        <f>VLOOKUP(C232,'Talente &amp; Stuff'!FU:GV,5,FALSE)</f>
        <v>0</v>
      </c>
      <c r="H232" s="117">
        <f>VLOOKUP(C232,'Talente &amp; Stuff'!FU:GV,6,FALSE)</f>
        <v>0</v>
      </c>
      <c r="I232" s="117">
        <f>VLOOKUP(C232,'Talente &amp; Stuff'!FU:GV,7,FALSE)</f>
        <v>0</v>
      </c>
      <c r="J232" s="117">
        <f>VLOOKUP(C232,'Talente &amp; Stuff'!FU:GV,8,FALSE)</f>
        <v>0</v>
      </c>
      <c r="K232" s="117">
        <f>VLOOKUP(C232,'Talente &amp; Stuff'!FU:GV,9,FALSE)</f>
        <v>0</v>
      </c>
      <c r="L232" s="117">
        <f>VLOOKUP(C232,'Talente &amp; Stuff'!FU:GV,10,FALSE)</f>
        <v>0</v>
      </c>
      <c r="M232" s="121">
        <f>VLOOKUP(C232,'Talente &amp; Stuff'!FU:GV,11,FALSE)</f>
        <v>0</v>
      </c>
      <c r="N232" s="47">
        <f>VLOOKUP(C232,'Talente &amp; Stuff'!FU:GV,12,FALSE)</f>
        <v>0</v>
      </c>
      <c r="O232" s="3">
        <f>VLOOKUP(C232,'Talente &amp; Stuff'!FU:GV,13,FALSE)</f>
        <v>0</v>
      </c>
      <c r="P232" s="174">
        <f>VLOOKUP(C232,'Talente &amp; Stuff'!FU:GV,14,FALSE)</f>
        <v>0</v>
      </c>
      <c r="Q232" s="114">
        <f>VLOOKUP(C232,'Talente &amp; Stuff'!FU:GV,15,FALSE)</f>
        <v>0</v>
      </c>
      <c r="R232" s="117">
        <f>VLOOKUP(C232,'Talente &amp; Stuff'!FU:GV,16,FALSE)</f>
        <v>0</v>
      </c>
      <c r="S232" s="119">
        <f>VLOOKUP(C232,'Talente &amp; Stuff'!FU:GV,17,FALSE)</f>
        <v>0</v>
      </c>
      <c r="T232" s="119">
        <f>VLOOKUP(C232,'Talente &amp; Stuff'!FU:GV,18,FALSE)</f>
        <v>0</v>
      </c>
      <c r="U232" s="89">
        <f>VLOOKUP(C232,'Talente &amp; Stuff'!FU:GV,19,FALSE)</f>
        <v>0</v>
      </c>
      <c r="V232" s="47">
        <f>VLOOKUP(C232,'Talente &amp; Stuff'!FU:GV,20,FALSE)</f>
        <v>0</v>
      </c>
      <c r="W232" s="127">
        <f>VLOOKUP(C232,'Talente &amp; Stuff'!FU:GV,21,FALSE)</f>
        <v>0</v>
      </c>
      <c r="X232" s="127">
        <f>VLOOKUP(C232,'Talente &amp; Stuff'!FU:GV,22,FALSE)</f>
        <v>0</v>
      </c>
      <c r="Y232" s="165">
        <f t="shared" si="20"/>
        <v>0</v>
      </c>
      <c r="Z232" s="44">
        <f t="shared" si="21"/>
        <v>0</v>
      </c>
      <c r="AA232" s="125">
        <f>VLOOKUP(C232,'Talente &amp; Stuff'!FU:GV,25,FALSE)</f>
        <v>0</v>
      </c>
      <c r="AB232" s="160">
        <f>VLOOKUP(C232,'Talente &amp; Stuff'!FU:GV,26,FALSE)</f>
        <v>0</v>
      </c>
      <c r="AC232" s="127">
        <f>VLOOKUP(C232,'Talente &amp; Stuff'!FU:GV,27,FALSE)</f>
        <v>0</v>
      </c>
      <c r="AD232" s="125">
        <f>VLOOKUP(C232,'Talente &amp; Stuff'!FU:GV,28,FALSE)</f>
        <v>0</v>
      </c>
      <c r="AE232" s="28"/>
    </row>
    <row r="233" spans="2:31" ht="15" hidden="1" customHeight="1" outlineLevel="2">
      <c r="B233" s="148">
        <v>21</v>
      </c>
      <c r="C233" s="177" t="str">
        <f>Attribute!C233</f>
        <v>---</v>
      </c>
      <c r="D233" s="86" t="str">
        <f>VLOOKUP(C233,'Talente &amp; Stuff'!FU:GV,2,FALSE)</f>
        <v>--/--/--</v>
      </c>
      <c r="E233" s="167" t="str">
        <f>VLOOKUP(C233,'Talente &amp; Stuff'!FU:GV,3,FALSE)</f>
        <v>-</v>
      </c>
      <c r="F233" s="120">
        <f>VLOOKUP(C233,'Talente &amp; Stuff'!FU:GV,4,FALSE)</f>
        <v>0</v>
      </c>
      <c r="G233" s="117">
        <f>VLOOKUP(C233,'Talente &amp; Stuff'!FU:GV,5,FALSE)</f>
        <v>0</v>
      </c>
      <c r="H233" s="117">
        <f>VLOOKUP(C233,'Talente &amp; Stuff'!FU:GV,6,FALSE)</f>
        <v>0</v>
      </c>
      <c r="I233" s="117">
        <f>VLOOKUP(C233,'Talente &amp; Stuff'!FU:GV,7,FALSE)</f>
        <v>0</v>
      </c>
      <c r="J233" s="117">
        <f>VLOOKUP(C233,'Talente &amp; Stuff'!FU:GV,8,FALSE)</f>
        <v>0</v>
      </c>
      <c r="K233" s="117">
        <f>VLOOKUP(C233,'Talente &amp; Stuff'!FU:GV,9,FALSE)</f>
        <v>0</v>
      </c>
      <c r="L233" s="117">
        <f>VLOOKUP(C233,'Talente &amp; Stuff'!FU:GV,10,FALSE)</f>
        <v>0</v>
      </c>
      <c r="M233" s="121">
        <f>VLOOKUP(C233,'Talente &amp; Stuff'!FU:GV,11,FALSE)</f>
        <v>0</v>
      </c>
      <c r="N233" s="47">
        <f>VLOOKUP(C233,'Talente &amp; Stuff'!FU:GV,12,FALSE)</f>
        <v>0</v>
      </c>
      <c r="O233" s="3">
        <f>VLOOKUP(C233,'Talente &amp; Stuff'!FU:GV,13,FALSE)</f>
        <v>0</v>
      </c>
      <c r="P233" s="174">
        <f>VLOOKUP(C233,'Talente &amp; Stuff'!FU:GV,14,FALSE)</f>
        <v>0</v>
      </c>
      <c r="Q233" s="114">
        <f>VLOOKUP(C233,'Talente &amp; Stuff'!FU:GV,15,FALSE)</f>
        <v>0</v>
      </c>
      <c r="R233" s="117">
        <f>VLOOKUP(C233,'Talente &amp; Stuff'!FU:GV,16,FALSE)</f>
        <v>0</v>
      </c>
      <c r="S233" s="119">
        <f>VLOOKUP(C233,'Talente &amp; Stuff'!FU:GV,17,FALSE)</f>
        <v>0</v>
      </c>
      <c r="T233" s="119">
        <f>VLOOKUP(C233,'Talente &amp; Stuff'!FU:GV,18,FALSE)</f>
        <v>0</v>
      </c>
      <c r="U233" s="89">
        <f>VLOOKUP(C233,'Talente &amp; Stuff'!FU:GV,19,FALSE)</f>
        <v>0</v>
      </c>
      <c r="V233" s="47">
        <f>VLOOKUP(C233,'Talente &amp; Stuff'!FU:GV,20,FALSE)</f>
        <v>0</v>
      </c>
      <c r="W233" s="127">
        <f>VLOOKUP(C233,'Talente &amp; Stuff'!FU:GV,21,FALSE)</f>
        <v>0</v>
      </c>
      <c r="X233" s="127">
        <f>VLOOKUP(C233,'Talente &amp; Stuff'!FU:GV,22,FALSE)</f>
        <v>0</v>
      </c>
      <c r="Y233" s="165">
        <f t="shared" si="20"/>
        <v>0</v>
      </c>
      <c r="Z233" s="44">
        <f t="shared" si="21"/>
        <v>0</v>
      </c>
      <c r="AA233" s="125">
        <f>VLOOKUP(C233,'Talente &amp; Stuff'!FU:GV,25,FALSE)</f>
        <v>0</v>
      </c>
      <c r="AB233" s="160">
        <f>VLOOKUP(C233,'Talente &amp; Stuff'!FU:GV,26,FALSE)</f>
        <v>0</v>
      </c>
      <c r="AC233" s="127">
        <f>VLOOKUP(C233,'Talente &amp; Stuff'!FU:GV,27,FALSE)</f>
        <v>0</v>
      </c>
      <c r="AD233" s="125">
        <f>VLOOKUP(C233,'Talente &amp; Stuff'!FU:GV,28,FALSE)</f>
        <v>0</v>
      </c>
      <c r="AE233" s="28"/>
    </row>
    <row r="234" spans="2:31" ht="15" hidden="1" customHeight="1" outlineLevel="2">
      <c r="B234" s="148">
        <v>22</v>
      </c>
      <c r="C234" s="177" t="str">
        <f>Attribute!C234</f>
        <v>---</v>
      </c>
      <c r="D234" s="86" t="str">
        <f>VLOOKUP(C234,'Talente &amp; Stuff'!FU:GV,2,FALSE)</f>
        <v>--/--/--</v>
      </c>
      <c r="E234" s="167" t="str">
        <f>VLOOKUP(C234,'Talente &amp; Stuff'!FU:GV,3,FALSE)</f>
        <v>-</v>
      </c>
      <c r="F234" s="120">
        <f>VLOOKUP(C234,'Talente &amp; Stuff'!FU:GV,4,FALSE)</f>
        <v>0</v>
      </c>
      <c r="G234" s="117">
        <f>VLOOKUP(C234,'Talente &amp; Stuff'!FU:GV,5,FALSE)</f>
        <v>0</v>
      </c>
      <c r="H234" s="117">
        <f>VLOOKUP(C234,'Talente &amp; Stuff'!FU:GV,6,FALSE)</f>
        <v>0</v>
      </c>
      <c r="I234" s="117">
        <f>VLOOKUP(C234,'Talente &amp; Stuff'!FU:GV,7,FALSE)</f>
        <v>0</v>
      </c>
      <c r="J234" s="117">
        <f>VLOOKUP(C234,'Talente &amp; Stuff'!FU:GV,8,FALSE)</f>
        <v>0</v>
      </c>
      <c r="K234" s="117">
        <f>VLOOKUP(C234,'Talente &amp; Stuff'!FU:GV,9,FALSE)</f>
        <v>0</v>
      </c>
      <c r="L234" s="117">
        <f>VLOOKUP(C234,'Talente &amp; Stuff'!FU:GV,10,FALSE)</f>
        <v>0</v>
      </c>
      <c r="M234" s="121">
        <f>VLOOKUP(C234,'Talente &amp; Stuff'!FU:GV,11,FALSE)</f>
        <v>0</v>
      </c>
      <c r="N234" s="47">
        <f>VLOOKUP(C234,'Talente &amp; Stuff'!FU:GV,12,FALSE)</f>
        <v>0</v>
      </c>
      <c r="O234" s="3">
        <f>VLOOKUP(C234,'Talente &amp; Stuff'!FU:GV,13,FALSE)</f>
        <v>0</v>
      </c>
      <c r="P234" s="174">
        <f>VLOOKUP(C234,'Talente &amp; Stuff'!FU:GV,14,FALSE)</f>
        <v>0</v>
      </c>
      <c r="Q234" s="114">
        <f>VLOOKUP(C234,'Talente &amp; Stuff'!FU:GV,15,FALSE)</f>
        <v>0</v>
      </c>
      <c r="R234" s="117">
        <f>VLOOKUP(C234,'Talente &amp; Stuff'!FU:GV,16,FALSE)</f>
        <v>0</v>
      </c>
      <c r="S234" s="119">
        <f>VLOOKUP(C234,'Talente &amp; Stuff'!FU:GV,17,FALSE)</f>
        <v>0</v>
      </c>
      <c r="T234" s="119">
        <f>VLOOKUP(C234,'Talente &amp; Stuff'!FU:GV,18,FALSE)</f>
        <v>0</v>
      </c>
      <c r="U234" s="89">
        <f>VLOOKUP(C234,'Talente &amp; Stuff'!FU:GV,19,FALSE)</f>
        <v>0</v>
      </c>
      <c r="V234" s="47">
        <f>VLOOKUP(C234,'Talente &amp; Stuff'!FU:GV,20,FALSE)</f>
        <v>0</v>
      </c>
      <c r="W234" s="127">
        <f>VLOOKUP(C234,'Talente &amp; Stuff'!FU:GV,21,FALSE)</f>
        <v>0</v>
      </c>
      <c r="X234" s="127">
        <f>VLOOKUP(C234,'Talente &amp; Stuff'!FU:GV,22,FALSE)</f>
        <v>0</v>
      </c>
      <c r="Y234" s="165">
        <f t="shared" si="20"/>
        <v>0</v>
      </c>
      <c r="Z234" s="44">
        <f t="shared" si="21"/>
        <v>0</v>
      </c>
      <c r="AA234" s="125">
        <f>VLOOKUP(C234,'Talente &amp; Stuff'!FU:GV,25,FALSE)</f>
        <v>0</v>
      </c>
      <c r="AB234" s="160">
        <f>VLOOKUP(C234,'Talente &amp; Stuff'!FU:GV,26,FALSE)</f>
        <v>0</v>
      </c>
      <c r="AC234" s="127">
        <f>VLOOKUP(C234,'Talente &amp; Stuff'!FU:GV,27,FALSE)</f>
        <v>0</v>
      </c>
      <c r="AD234" s="125">
        <f>VLOOKUP(C234,'Talente &amp; Stuff'!FU:GV,28,FALSE)</f>
        <v>0</v>
      </c>
      <c r="AE234" s="28"/>
    </row>
    <row r="235" spans="2:31" ht="15" hidden="1" customHeight="1" outlineLevel="2">
      <c r="B235" s="148">
        <v>23</v>
      </c>
      <c r="C235" s="177" t="str">
        <f>Attribute!C235</f>
        <v>---</v>
      </c>
      <c r="D235" s="86" t="str">
        <f>VLOOKUP(C235,'Talente &amp; Stuff'!FU:GV,2,FALSE)</f>
        <v>--/--/--</v>
      </c>
      <c r="E235" s="167" t="str">
        <f>VLOOKUP(C235,'Talente &amp; Stuff'!FU:GV,3,FALSE)</f>
        <v>-</v>
      </c>
      <c r="F235" s="120">
        <f>VLOOKUP(C235,'Talente &amp; Stuff'!FU:GV,4,FALSE)</f>
        <v>0</v>
      </c>
      <c r="G235" s="117">
        <f>VLOOKUP(C235,'Talente &amp; Stuff'!FU:GV,5,FALSE)</f>
        <v>0</v>
      </c>
      <c r="H235" s="117">
        <f>VLOOKUP(C235,'Talente &amp; Stuff'!FU:GV,6,FALSE)</f>
        <v>0</v>
      </c>
      <c r="I235" s="117">
        <f>VLOOKUP(C235,'Talente &amp; Stuff'!FU:GV,7,FALSE)</f>
        <v>0</v>
      </c>
      <c r="J235" s="117">
        <f>VLOOKUP(C235,'Talente &amp; Stuff'!FU:GV,8,FALSE)</f>
        <v>0</v>
      </c>
      <c r="K235" s="117">
        <f>VLOOKUP(C235,'Talente &amp; Stuff'!FU:GV,9,FALSE)</f>
        <v>0</v>
      </c>
      <c r="L235" s="117">
        <f>VLOOKUP(C235,'Talente &amp; Stuff'!FU:GV,10,FALSE)</f>
        <v>0</v>
      </c>
      <c r="M235" s="121">
        <f>VLOOKUP(C235,'Talente &amp; Stuff'!FU:GV,11,FALSE)</f>
        <v>0</v>
      </c>
      <c r="N235" s="47">
        <f>VLOOKUP(C235,'Talente &amp; Stuff'!FU:GV,12,FALSE)</f>
        <v>0</v>
      </c>
      <c r="O235" s="3">
        <f>VLOOKUP(C235,'Talente &amp; Stuff'!FU:GV,13,FALSE)</f>
        <v>0</v>
      </c>
      <c r="P235" s="174">
        <f>VLOOKUP(C235,'Talente &amp; Stuff'!FU:GV,14,FALSE)</f>
        <v>0</v>
      </c>
      <c r="Q235" s="114">
        <f>VLOOKUP(C235,'Talente &amp; Stuff'!FU:GV,15,FALSE)</f>
        <v>0</v>
      </c>
      <c r="R235" s="117">
        <f>VLOOKUP(C235,'Talente &amp; Stuff'!FU:GV,16,FALSE)</f>
        <v>0</v>
      </c>
      <c r="S235" s="119">
        <f>VLOOKUP(C235,'Talente &amp; Stuff'!FU:GV,17,FALSE)</f>
        <v>0</v>
      </c>
      <c r="T235" s="119">
        <f>VLOOKUP(C235,'Talente &amp; Stuff'!FU:GV,18,FALSE)</f>
        <v>0</v>
      </c>
      <c r="U235" s="89">
        <f>VLOOKUP(C235,'Talente &amp; Stuff'!FU:GV,19,FALSE)</f>
        <v>0</v>
      </c>
      <c r="V235" s="47">
        <f>VLOOKUP(C235,'Talente &amp; Stuff'!FU:GV,20,FALSE)</f>
        <v>0</v>
      </c>
      <c r="W235" s="127">
        <f>VLOOKUP(C235,'Talente &amp; Stuff'!FU:GV,21,FALSE)</f>
        <v>0</v>
      </c>
      <c r="X235" s="127">
        <f>VLOOKUP(C235,'Talente &amp; Stuff'!FU:GV,22,FALSE)</f>
        <v>0</v>
      </c>
      <c r="Y235" s="165">
        <f t="shared" si="20"/>
        <v>0</v>
      </c>
      <c r="Z235" s="44">
        <f t="shared" si="21"/>
        <v>0</v>
      </c>
      <c r="AA235" s="125">
        <f>VLOOKUP(C235,'Talente &amp; Stuff'!FU:GV,25,FALSE)</f>
        <v>0</v>
      </c>
      <c r="AB235" s="160">
        <f>VLOOKUP(C235,'Talente &amp; Stuff'!FU:GV,26,FALSE)</f>
        <v>0</v>
      </c>
      <c r="AC235" s="127">
        <f>VLOOKUP(C235,'Talente &amp; Stuff'!FU:GV,27,FALSE)</f>
        <v>0</v>
      </c>
      <c r="AD235" s="125">
        <f>VLOOKUP(C235,'Talente &amp; Stuff'!FU:GV,28,FALSE)</f>
        <v>0</v>
      </c>
      <c r="AE235" s="28"/>
    </row>
    <row r="236" spans="2:31" ht="15" hidden="1" customHeight="1" outlineLevel="2">
      <c r="B236" s="148">
        <v>24</v>
      </c>
      <c r="C236" s="177" t="str">
        <f>Attribute!C236</f>
        <v>---</v>
      </c>
      <c r="D236" s="86" t="str">
        <f>VLOOKUP(C236,'Talente &amp; Stuff'!FU:GV,2,FALSE)</f>
        <v>--/--/--</v>
      </c>
      <c r="E236" s="167" t="str">
        <f>VLOOKUP(C236,'Talente &amp; Stuff'!FU:GV,3,FALSE)</f>
        <v>-</v>
      </c>
      <c r="F236" s="120">
        <f>VLOOKUP(C236,'Talente &amp; Stuff'!FU:GV,4,FALSE)</f>
        <v>0</v>
      </c>
      <c r="G236" s="117">
        <f>VLOOKUP(C236,'Talente &amp; Stuff'!FU:GV,5,FALSE)</f>
        <v>0</v>
      </c>
      <c r="H236" s="117">
        <f>VLOOKUP(C236,'Talente &amp; Stuff'!FU:GV,6,FALSE)</f>
        <v>0</v>
      </c>
      <c r="I236" s="117">
        <f>VLOOKUP(C236,'Talente &amp; Stuff'!FU:GV,7,FALSE)</f>
        <v>0</v>
      </c>
      <c r="J236" s="117">
        <f>VLOOKUP(C236,'Talente &amp; Stuff'!FU:GV,8,FALSE)</f>
        <v>0</v>
      </c>
      <c r="K236" s="117">
        <f>VLOOKUP(C236,'Talente &amp; Stuff'!FU:GV,9,FALSE)</f>
        <v>0</v>
      </c>
      <c r="L236" s="117">
        <f>VLOOKUP(C236,'Talente &amp; Stuff'!FU:GV,10,FALSE)</f>
        <v>0</v>
      </c>
      <c r="M236" s="121">
        <f>VLOOKUP(C236,'Talente &amp; Stuff'!FU:GV,11,FALSE)</f>
        <v>0</v>
      </c>
      <c r="N236" s="47">
        <f>VLOOKUP(C236,'Talente &amp; Stuff'!FU:GV,12,FALSE)</f>
        <v>0</v>
      </c>
      <c r="O236" s="3">
        <f>VLOOKUP(C236,'Talente &amp; Stuff'!FU:GV,13,FALSE)</f>
        <v>0</v>
      </c>
      <c r="P236" s="174">
        <f>VLOOKUP(C236,'Talente &amp; Stuff'!FU:GV,14,FALSE)</f>
        <v>0</v>
      </c>
      <c r="Q236" s="114">
        <f>VLOOKUP(C236,'Talente &amp; Stuff'!FU:GV,15,FALSE)</f>
        <v>0</v>
      </c>
      <c r="R236" s="117">
        <f>VLOOKUP(C236,'Talente &amp; Stuff'!FU:GV,16,FALSE)</f>
        <v>0</v>
      </c>
      <c r="S236" s="119">
        <f>VLOOKUP(C236,'Talente &amp; Stuff'!FU:GV,17,FALSE)</f>
        <v>0</v>
      </c>
      <c r="T236" s="119">
        <f>VLOOKUP(C236,'Talente &amp; Stuff'!FU:GV,18,FALSE)</f>
        <v>0</v>
      </c>
      <c r="U236" s="89">
        <f>VLOOKUP(C236,'Talente &amp; Stuff'!FU:GV,19,FALSE)</f>
        <v>0</v>
      </c>
      <c r="V236" s="47">
        <f>VLOOKUP(C236,'Talente &amp; Stuff'!FU:GV,20,FALSE)</f>
        <v>0</v>
      </c>
      <c r="W236" s="127">
        <f>VLOOKUP(C236,'Talente &amp; Stuff'!FU:GV,21,FALSE)</f>
        <v>0</v>
      </c>
      <c r="X236" s="127">
        <f>VLOOKUP(C236,'Talente &amp; Stuff'!FU:GV,22,FALSE)</f>
        <v>0</v>
      </c>
      <c r="Y236" s="165">
        <f t="shared" si="20"/>
        <v>0</v>
      </c>
      <c r="Z236" s="44">
        <f t="shared" si="21"/>
        <v>0</v>
      </c>
      <c r="AA236" s="125">
        <f>VLOOKUP(C236,'Talente &amp; Stuff'!FU:GV,25,FALSE)</f>
        <v>0</v>
      </c>
      <c r="AB236" s="160">
        <f>VLOOKUP(C236,'Talente &amp; Stuff'!FU:GV,26,FALSE)</f>
        <v>0</v>
      </c>
      <c r="AC236" s="127">
        <f>VLOOKUP(C236,'Talente &amp; Stuff'!FU:GV,27,FALSE)</f>
        <v>0</v>
      </c>
      <c r="AD236" s="125">
        <f>VLOOKUP(C236,'Talente &amp; Stuff'!FU:GV,28,FALSE)</f>
        <v>0</v>
      </c>
      <c r="AE236" s="28"/>
    </row>
    <row r="237" spans="2:31" ht="15" hidden="1" customHeight="1" outlineLevel="2">
      <c r="B237" s="148">
        <v>25</v>
      </c>
      <c r="C237" s="177" t="str">
        <f>Attribute!C237</f>
        <v>---</v>
      </c>
      <c r="D237" s="86" t="str">
        <f>VLOOKUP(C237,'Talente &amp; Stuff'!FU:GV,2,FALSE)</f>
        <v>--/--/--</v>
      </c>
      <c r="E237" s="167" t="str">
        <f>VLOOKUP(C237,'Talente &amp; Stuff'!FU:GV,3,FALSE)</f>
        <v>-</v>
      </c>
      <c r="F237" s="120">
        <f>VLOOKUP(C237,'Talente &amp; Stuff'!FU:GV,4,FALSE)</f>
        <v>0</v>
      </c>
      <c r="G237" s="117">
        <f>VLOOKUP(C237,'Talente &amp; Stuff'!FU:GV,5,FALSE)</f>
        <v>0</v>
      </c>
      <c r="H237" s="117">
        <f>VLOOKUP(C237,'Talente &amp; Stuff'!FU:GV,6,FALSE)</f>
        <v>0</v>
      </c>
      <c r="I237" s="117">
        <f>VLOOKUP(C237,'Talente &amp; Stuff'!FU:GV,7,FALSE)</f>
        <v>0</v>
      </c>
      <c r="J237" s="117">
        <f>VLOOKUP(C237,'Talente &amp; Stuff'!FU:GV,8,FALSE)</f>
        <v>0</v>
      </c>
      <c r="K237" s="117">
        <f>VLOOKUP(C237,'Talente &amp; Stuff'!FU:GV,9,FALSE)</f>
        <v>0</v>
      </c>
      <c r="L237" s="117">
        <f>VLOOKUP(C237,'Talente &amp; Stuff'!FU:GV,10,FALSE)</f>
        <v>0</v>
      </c>
      <c r="M237" s="121">
        <f>VLOOKUP(C237,'Talente &amp; Stuff'!FU:GV,11,FALSE)</f>
        <v>0</v>
      </c>
      <c r="N237" s="47">
        <f>VLOOKUP(C237,'Talente &amp; Stuff'!FU:GV,12,FALSE)</f>
        <v>0</v>
      </c>
      <c r="O237" s="3">
        <f>VLOOKUP(C237,'Talente &amp; Stuff'!FU:GV,13,FALSE)</f>
        <v>0</v>
      </c>
      <c r="P237" s="174">
        <f>VLOOKUP(C237,'Talente &amp; Stuff'!FU:GV,14,FALSE)</f>
        <v>0</v>
      </c>
      <c r="Q237" s="114">
        <f>VLOOKUP(C237,'Talente &amp; Stuff'!FU:GV,15,FALSE)</f>
        <v>0</v>
      </c>
      <c r="R237" s="117">
        <f>VLOOKUP(C237,'Talente &amp; Stuff'!FU:GV,16,FALSE)</f>
        <v>0</v>
      </c>
      <c r="S237" s="119">
        <f>VLOOKUP(C237,'Talente &amp; Stuff'!FU:GV,17,FALSE)</f>
        <v>0</v>
      </c>
      <c r="T237" s="119">
        <f>VLOOKUP(C237,'Talente &amp; Stuff'!FU:GV,18,FALSE)</f>
        <v>0</v>
      </c>
      <c r="U237" s="89">
        <f>VLOOKUP(C237,'Talente &amp; Stuff'!FU:GV,19,FALSE)</f>
        <v>0</v>
      </c>
      <c r="V237" s="47">
        <f>VLOOKUP(C237,'Talente &amp; Stuff'!FU:GV,20,FALSE)</f>
        <v>0</v>
      </c>
      <c r="W237" s="127">
        <f>VLOOKUP(C237,'Talente &amp; Stuff'!FU:GV,21,FALSE)</f>
        <v>0</v>
      </c>
      <c r="X237" s="127">
        <f>VLOOKUP(C237,'Talente &amp; Stuff'!FU:GV,22,FALSE)</f>
        <v>0</v>
      </c>
      <c r="Y237" s="165">
        <f t="shared" si="20"/>
        <v>0</v>
      </c>
      <c r="Z237" s="44">
        <f t="shared" si="21"/>
        <v>0</v>
      </c>
      <c r="AA237" s="125">
        <f>VLOOKUP(C237,'Talente &amp; Stuff'!FU:GV,25,FALSE)</f>
        <v>0</v>
      </c>
      <c r="AB237" s="160">
        <f>VLOOKUP(C237,'Talente &amp; Stuff'!FU:GV,26,FALSE)</f>
        <v>0</v>
      </c>
      <c r="AC237" s="127">
        <f>VLOOKUP(C237,'Talente &amp; Stuff'!FU:GV,27,FALSE)</f>
        <v>0</v>
      </c>
      <c r="AD237" s="125">
        <f>VLOOKUP(C237,'Talente &amp; Stuff'!FU:GV,28,FALSE)</f>
        <v>0</v>
      </c>
      <c r="AE237" s="28"/>
    </row>
    <row r="238" spans="2:31" ht="15" hidden="1" customHeight="1" outlineLevel="2">
      <c r="B238" s="148">
        <v>26</v>
      </c>
      <c r="C238" s="177" t="str">
        <f>Attribute!C238</f>
        <v>---</v>
      </c>
      <c r="D238" s="86" t="str">
        <f>VLOOKUP(C238,'Talente &amp; Stuff'!FU:GV,2,FALSE)</f>
        <v>--/--/--</v>
      </c>
      <c r="E238" s="167" t="str">
        <f>VLOOKUP(C238,'Talente &amp; Stuff'!FU:GV,3,FALSE)</f>
        <v>-</v>
      </c>
      <c r="F238" s="120">
        <f>VLOOKUP(C238,'Talente &amp; Stuff'!FU:GV,4,FALSE)</f>
        <v>0</v>
      </c>
      <c r="G238" s="117">
        <f>VLOOKUP(C238,'Talente &amp; Stuff'!FU:GV,5,FALSE)</f>
        <v>0</v>
      </c>
      <c r="H238" s="117">
        <f>VLOOKUP(C238,'Talente &amp; Stuff'!FU:GV,6,FALSE)</f>
        <v>0</v>
      </c>
      <c r="I238" s="117">
        <f>VLOOKUP(C238,'Talente &amp; Stuff'!FU:GV,7,FALSE)</f>
        <v>0</v>
      </c>
      <c r="J238" s="117">
        <f>VLOOKUP(C238,'Talente &amp; Stuff'!FU:GV,8,FALSE)</f>
        <v>0</v>
      </c>
      <c r="K238" s="117">
        <f>VLOOKUP(C238,'Talente &amp; Stuff'!FU:GV,9,FALSE)</f>
        <v>0</v>
      </c>
      <c r="L238" s="117">
        <f>VLOOKUP(C238,'Talente &amp; Stuff'!FU:GV,10,FALSE)</f>
        <v>0</v>
      </c>
      <c r="M238" s="121">
        <f>VLOOKUP(C238,'Talente &amp; Stuff'!FU:GV,11,FALSE)</f>
        <v>0</v>
      </c>
      <c r="N238" s="47">
        <f>VLOOKUP(C238,'Talente &amp; Stuff'!FU:GV,12,FALSE)</f>
        <v>0</v>
      </c>
      <c r="O238" s="3">
        <f>VLOOKUP(C238,'Talente &amp; Stuff'!FU:GV,13,FALSE)</f>
        <v>0</v>
      </c>
      <c r="P238" s="174">
        <f>VLOOKUP(C238,'Talente &amp; Stuff'!FU:GV,14,FALSE)</f>
        <v>0</v>
      </c>
      <c r="Q238" s="114">
        <f>VLOOKUP(C238,'Talente &amp; Stuff'!FU:GV,15,FALSE)</f>
        <v>0</v>
      </c>
      <c r="R238" s="117">
        <f>VLOOKUP(C238,'Talente &amp; Stuff'!FU:GV,16,FALSE)</f>
        <v>0</v>
      </c>
      <c r="S238" s="119">
        <f>VLOOKUP(C238,'Talente &amp; Stuff'!FU:GV,17,FALSE)</f>
        <v>0</v>
      </c>
      <c r="T238" s="119">
        <f>VLOOKUP(C238,'Talente &amp; Stuff'!FU:GV,18,FALSE)</f>
        <v>0</v>
      </c>
      <c r="U238" s="89">
        <f>VLOOKUP(C238,'Talente &amp; Stuff'!FU:GV,19,FALSE)</f>
        <v>0</v>
      </c>
      <c r="V238" s="47">
        <f>VLOOKUP(C238,'Talente &amp; Stuff'!FU:GV,20,FALSE)</f>
        <v>0</v>
      </c>
      <c r="W238" s="127">
        <f>VLOOKUP(C238,'Talente &amp; Stuff'!FU:GV,21,FALSE)</f>
        <v>0</v>
      </c>
      <c r="X238" s="127">
        <f>VLOOKUP(C238,'Talente &amp; Stuff'!FU:GV,22,FALSE)</f>
        <v>0</v>
      </c>
      <c r="Y238" s="165">
        <f t="shared" si="20"/>
        <v>0</v>
      </c>
      <c r="Z238" s="44">
        <f t="shared" si="21"/>
        <v>0</v>
      </c>
      <c r="AA238" s="125">
        <f>VLOOKUP(C238,'Talente &amp; Stuff'!FU:GV,25,FALSE)</f>
        <v>0</v>
      </c>
      <c r="AB238" s="160">
        <f>VLOOKUP(C238,'Talente &amp; Stuff'!FU:GV,26,FALSE)</f>
        <v>0</v>
      </c>
      <c r="AC238" s="127">
        <f>VLOOKUP(C238,'Talente &amp; Stuff'!FU:GV,27,FALSE)</f>
        <v>0</v>
      </c>
      <c r="AD238" s="125">
        <f>VLOOKUP(C238,'Talente &amp; Stuff'!FU:GV,28,FALSE)</f>
        <v>0</v>
      </c>
      <c r="AE238" s="28"/>
    </row>
    <row r="239" spans="2:31" ht="15" hidden="1" customHeight="1" outlineLevel="2">
      <c r="B239" s="148">
        <v>27</v>
      </c>
      <c r="C239" s="177" t="str">
        <f>Attribute!C239</f>
        <v>---</v>
      </c>
      <c r="D239" s="86" t="str">
        <f>VLOOKUP(C239,'Talente &amp; Stuff'!FU:GV,2,FALSE)</f>
        <v>--/--/--</v>
      </c>
      <c r="E239" s="167" t="str">
        <f>VLOOKUP(C239,'Talente &amp; Stuff'!FU:GV,3,FALSE)</f>
        <v>-</v>
      </c>
      <c r="F239" s="120">
        <f>VLOOKUP(C239,'Talente &amp; Stuff'!FU:GV,4,FALSE)</f>
        <v>0</v>
      </c>
      <c r="G239" s="117">
        <f>VLOOKUP(C239,'Talente &amp; Stuff'!FU:GV,5,FALSE)</f>
        <v>0</v>
      </c>
      <c r="H239" s="117">
        <f>VLOOKUP(C239,'Talente &amp; Stuff'!FU:GV,6,FALSE)</f>
        <v>0</v>
      </c>
      <c r="I239" s="117">
        <f>VLOOKUP(C239,'Talente &amp; Stuff'!FU:GV,7,FALSE)</f>
        <v>0</v>
      </c>
      <c r="J239" s="117">
        <f>VLOOKUP(C239,'Talente &amp; Stuff'!FU:GV,8,FALSE)</f>
        <v>0</v>
      </c>
      <c r="K239" s="117">
        <f>VLOOKUP(C239,'Talente &amp; Stuff'!FU:GV,9,FALSE)</f>
        <v>0</v>
      </c>
      <c r="L239" s="117">
        <f>VLOOKUP(C239,'Talente &amp; Stuff'!FU:GV,10,FALSE)</f>
        <v>0</v>
      </c>
      <c r="M239" s="121">
        <f>VLOOKUP(C239,'Talente &amp; Stuff'!FU:GV,11,FALSE)</f>
        <v>0</v>
      </c>
      <c r="N239" s="47">
        <f>VLOOKUP(C239,'Talente &amp; Stuff'!FU:GV,12,FALSE)</f>
        <v>0</v>
      </c>
      <c r="O239" s="3">
        <f>VLOOKUP(C239,'Talente &amp; Stuff'!FU:GV,13,FALSE)</f>
        <v>0</v>
      </c>
      <c r="P239" s="174">
        <f>VLOOKUP(C239,'Talente &amp; Stuff'!FU:GV,14,FALSE)</f>
        <v>0</v>
      </c>
      <c r="Q239" s="114">
        <f>VLOOKUP(C239,'Talente &amp; Stuff'!FU:GV,15,FALSE)</f>
        <v>0</v>
      </c>
      <c r="R239" s="117">
        <f>VLOOKUP(C239,'Talente &amp; Stuff'!FU:GV,16,FALSE)</f>
        <v>0</v>
      </c>
      <c r="S239" s="119">
        <f>VLOOKUP(C239,'Talente &amp; Stuff'!FU:GV,17,FALSE)</f>
        <v>0</v>
      </c>
      <c r="T239" s="119">
        <f>VLOOKUP(C239,'Talente &amp; Stuff'!FU:GV,18,FALSE)</f>
        <v>0</v>
      </c>
      <c r="U239" s="89">
        <f>VLOOKUP(C239,'Talente &amp; Stuff'!FU:GV,19,FALSE)</f>
        <v>0</v>
      </c>
      <c r="V239" s="47">
        <f>VLOOKUP(C239,'Talente &amp; Stuff'!FU:GV,20,FALSE)</f>
        <v>0</v>
      </c>
      <c r="W239" s="127">
        <f>VLOOKUP(C239,'Talente &amp; Stuff'!FU:GV,21,FALSE)</f>
        <v>0</v>
      </c>
      <c r="X239" s="127">
        <f>VLOOKUP(C239,'Talente &amp; Stuff'!FU:GV,22,FALSE)</f>
        <v>0</v>
      </c>
      <c r="Y239" s="165">
        <f t="shared" si="20"/>
        <v>0</v>
      </c>
      <c r="Z239" s="44">
        <f t="shared" si="21"/>
        <v>0</v>
      </c>
      <c r="AA239" s="125">
        <f>VLOOKUP(C239,'Talente &amp; Stuff'!FU:GV,25,FALSE)</f>
        <v>0</v>
      </c>
      <c r="AB239" s="160">
        <f>VLOOKUP(C239,'Talente &amp; Stuff'!FU:GV,26,FALSE)</f>
        <v>0</v>
      </c>
      <c r="AC239" s="127">
        <f>VLOOKUP(C239,'Talente &amp; Stuff'!FU:GV,27,FALSE)</f>
        <v>0</v>
      </c>
      <c r="AD239" s="125">
        <f>VLOOKUP(C239,'Talente &amp; Stuff'!FU:GV,28,FALSE)</f>
        <v>0</v>
      </c>
      <c r="AE239" s="28"/>
    </row>
    <row r="240" spans="2:31" ht="15" hidden="1" customHeight="1" outlineLevel="2">
      <c r="B240" s="148">
        <v>28</v>
      </c>
      <c r="C240" s="177" t="str">
        <f>Attribute!C240</f>
        <v>---</v>
      </c>
      <c r="D240" s="86" t="str">
        <f>VLOOKUP(C240,'Talente &amp; Stuff'!FU:GV,2,FALSE)</f>
        <v>--/--/--</v>
      </c>
      <c r="E240" s="167" t="str">
        <f>VLOOKUP(C240,'Talente &amp; Stuff'!FU:GV,3,FALSE)</f>
        <v>-</v>
      </c>
      <c r="F240" s="120">
        <f>VLOOKUP(C240,'Talente &amp; Stuff'!FU:GV,4,FALSE)</f>
        <v>0</v>
      </c>
      <c r="G240" s="117">
        <f>VLOOKUP(C240,'Talente &amp; Stuff'!FU:GV,5,FALSE)</f>
        <v>0</v>
      </c>
      <c r="H240" s="117">
        <f>VLOOKUP(C240,'Talente &amp; Stuff'!FU:GV,6,FALSE)</f>
        <v>0</v>
      </c>
      <c r="I240" s="117">
        <f>VLOOKUP(C240,'Talente &amp; Stuff'!FU:GV,7,FALSE)</f>
        <v>0</v>
      </c>
      <c r="J240" s="117">
        <f>VLOOKUP(C240,'Talente &amp; Stuff'!FU:GV,8,FALSE)</f>
        <v>0</v>
      </c>
      <c r="K240" s="117">
        <f>VLOOKUP(C240,'Talente &amp; Stuff'!FU:GV,9,FALSE)</f>
        <v>0</v>
      </c>
      <c r="L240" s="117">
        <f>VLOOKUP(C240,'Talente &amp; Stuff'!FU:GV,10,FALSE)</f>
        <v>0</v>
      </c>
      <c r="M240" s="121">
        <f>VLOOKUP(C240,'Talente &amp; Stuff'!FU:GV,11,FALSE)</f>
        <v>0</v>
      </c>
      <c r="N240" s="47">
        <f>VLOOKUP(C240,'Talente &amp; Stuff'!FU:GV,12,FALSE)</f>
        <v>0</v>
      </c>
      <c r="O240" s="3">
        <f>VLOOKUP(C240,'Talente &amp; Stuff'!FU:GV,13,FALSE)</f>
        <v>0</v>
      </c>
      <c r="P240" s="174">
        <f>VLOOKUP(C240,'Talente &amp; Stuff'!FU:GV,14,FALSE)</f>
        <v>0</v>
      </c>
      <c r="Q240" s="114">
        <f>VLOOKUP(C240,'Talente &amp; Stuff'!FU:GV,15,FALSE)</f>
        <v>0</v>
      </c>
      <c r="R240" s="117">
        <f>VLOOKUP(C240,'Talente &amp; Stuff'!FU:GV,16,FALSE)</f>
        <v>0</v>
      </c>
      <c r="S240" s="119">
        <f>VLOOKUP(C240,'Talente &amp; Stuff'!FU:GV,17,FALSE)</f>
        <v>0</v>
      </c>
      <c r="T240" s="119">
        <f>VLOOKUP(C240,'Talente &amp; Stuff'!FU:GV,18,FALSE)</f>
        <v>0</v>
      </c>
      <c r="U240" s="89">
        <f>VLOOKUP(C240,'Talente &amp; Stuff'!FU:GV,19,FALSE)</f>
        <v>0</v>
      </c>
      <c r="V240" s="47">
        <f>VLOOKUP(C240,'Talente &amp; Stuff'!FU:GV,20,FALSE)</f>
        <v>0</v>
      </c>
      <c r="W240" s="127">
        <f>VLOOKUP(C240,'Talente &amp; Stuff'!FU:GV,21,FALSE)</f>
        <v>0</v>
      </c>
      <c r="X240" s="127">
        <f>VLOOKUP(C240,'Talente &amp; Stuff'!FU:GV,22,FALSE)</f>
        <v>0</v>
      </c>
      <c r="Y240" s="165">
        <f t="shared" si="20"/>
        <v>0</v>
      </c>
      <c r="Z240" s="44">
        <f t="shared" si="21"/>
        <v>0</v>
      </c>
      <c r="AA240" s="125">
        <f>VLOOKUP(C240,'Talente &amp; Stuff'!FU:GV,25,FALSE)</f>
        <v>0</v>
      </c>
      <c r="AB240" s="160">
        <f>VLOOKUP(C240,'Talente &amp; Stuff'!FU:GV,26,FALSE)</f>
        <v>0</v>
      </c>
      <c r="AC240" s="127">
        <f>VLOOKUP(C240,'Talente &amp; Stuff'!FU:GV,27,FALSE)</f>
        <v>0</v>
      </c>
      <c r="AD240" s="125">
        <f>VLOOKUP(C240,'Talente &amp; Stuff'!FU:GV,28,FALSE)</f>
        <v>0</v>
      </c>
      <c r="AE240" s="28"/>
    </row>
    <row r="241" spans="2:31" ht="15" hidden="1" customHeight="1" outlineLevel="2">
      <c r="B241" s="148">
        <v>29</v>
      </c>
      <c r="C241" s="177" t="str">
        <f>Attribute!C241</f>
        <v>---</v>
      </c>
      <c r="D241" s="125" t="str">
        <f>VLOOKUP(C241,'Talente &amp; Stuff'!FU:GV,2,FALSE)</f>
        <v>--/--/--</v>
      </c>
      <c r="E241" s="127" t="str">
        <f>VLOOKUP(C241,'Talente &amp; Stuff'!FU:GV,3,FALSE)</f>
        <v>-</v>
      </c>
      <c r="F241" s="114">
        <f>VLOOKUP(C241,'Talente &amp; Stuff'!FU:GV,4,FALSE)</f>
        <v>0</v>
      </c>
      <c r="G241" s="113">
        <f>VLOOKUP(C241,'Talente &amp; Stuff'!FU:GV,5,FALSE)</f>
        <v>0</v>
      </c>
      <c r="H241" s="113">
        <f>VLOOKUP(C241,'Talente &amp; Stuff'!FU:GV,6,FALSE)</f>
        <v>0</v>
      </c>
      <c r="I241" s="113">
        <f>VLOOKUP(C241,'Talente &amp; Stuff'!FU:GV,7,FALSE)</f>
        <v>0</v>
      </c>
      <c r="J241" s="113">
        <f>VLOOKUP(C241,'Talente &amp; Stuff'!FU:GV,8,FALSE)</f>
        <v>0</v>
      </c>
      <c r="K241" s="113">
        <f>VLOOKUP(C241,'Talente &amp; Stuff'!FU:GV,9,FALSE)</f>
        <v>0</v>
      </c>
      <c r="L241" s="113">
        <f>VLOOKUP(C241,'Talente &amp; Stuff'!FU:GV,10,FALSE)</f>
        <v>0</v>
      </c>
      <c r="M241" s="119">
        <f>VLOOKUP(C241,'Talente &amp; Stuff'!FU:GV,11,FALSE)</f>
        <v>0</v>
      </c>
      <c r="N241" s="47">
        <f>VLOOKUP(C241,'Talente &amp; Stuff'!FU:GV,12,FALSE)</f>
        <v>0</v>
      </c>
      <c r="O241" s="47">
        <f>VLOOKUP(C241,'Talente &amp; Stuff'!FU:GV,13,FALSE)</f>
        <v>0</v>
      </c>
      <c r="P241" s="119">
        <f>VLOOKUP(C241,'Talente &amp; Stuff'!FU:GV,14,FALSE)</f>
        <v>0</v>
      </c>
      <c r="Q241" s="114">
        <f>VLOOKUP(C241,'Talente &amp; Stuff'!FU:GV,15,FALSE)</f>
        <v>0</v>
      </c>
      <c r="R241" s="113">
        <f>VLOOKUP(C241,'Talente &amp; Stuff'!FU:GV,16,FALSE)</f>
        <v>0</v>
      </c>
      <c r="S241" s="119">
        <f>VLOOKUP(C241,'Talente &amp; Stuff'!FU:GV,17,FALSE)</f>
        <v>0</v>
      </c>
      <c r="T241" s="119">
        <f>VLOOKUP(C241,'Talente &amp; Stuff'!FU:GV,18,FALSE)</f>
        <v>0</v>
      </c>
      <c r="U241" s="89">
        <f>VLOOKUP(C241,'Talente &amp; Stuff'!FU:GV,19,FALSE)</f>
        <v>0</v>
      </c>
      <c r="V241" s="47">
        <f>VLOOKUP(C241,'Talente &amp; Stuff'!FU:GV,20,FALSE)</f>
        <v>0</v>
      </c>
      <c r="W241" s="127">
        <f>VLOOKUP(C241,'Talente &amp; Stuff'!FU:GV,21,FALSE)</f>
        <v>0</v>
      </c>
      <c r="X241" s="127">
        <f>VLOOKUP(C241,'Talente &amp; Stuff'!FU:GV,22,FALSE)</f>
        <v>0</v>
      </c>
      <c r="Y241" s="165">
        <f t="shared" si="20"/>
        <v>0</v>
      </c>
      <c r="Z241" s="44">
        <f t="shared" si="21"/>
        <v>0</v>
      </c>
      <c r="AA241" s="125">
        <f>VLOOKUP(C241,'Talente &amp; Stuff'!FU:GV,25,FALSE)</f>
        <v>0</v>
      </c>
      <c r="AB241" s="160">
        <f>VLOOKUP(C241,'Talente &amp; Stuff'!FU:GV,26,FALSE)</f>
        <v>0</v>
      </c>
      <c r="AC241" s="127">
        <f>VLOOKUP(C241,'Talente &amp; Stuff'!FU:GV,27,FALSE)</f>
        <v>0</v>
      </c>
      <c r="AD241" s="125">
        <f>VLOOKUP(C241,'Talente &amp; Stuff'!FU:GV,28,FALSE)</f>
        <v>0</v>
      </c>
      <c r="AE241" s="28"/>
    </row>
    <row r="242" spans="2:31" ht="15" hidden="1" customHeight="1" outlineLevel="2">
      <c r="B242" s="148">
        <v>30</v>
      </c>
      <c r="C242" s="177" t="str">
        <f>Attribute!C242</f>
        <v>---</v>
      </c>
      <c r="D242" s="125" t="str">
        <f>VLOOKUP(C242,'Talente &amp; Stuff'!FU:GV,2,FALSE)</f>
        <v>--/--/--</v>
      </c>
      <c r="E242" s="127" t="str">
        <f>VLOOKUP(C242,'Talente &amp; Stuff'!FU:GV,3,FALSE)</f>
        <v>-</v>
      </c>
      <c r="F242" s="114">
        <f>VLOOKUP(C242,'Talente &amp; Stuff'!FU:GV,4,FALSE)</f>
        <v>0</v>
      </c>
      <c r="G242" s="113">
        <f>VLOOKUP(C242,'Talente &amp; Stuff'!FU:GV,5,FALSE)</f>
        <v>0</v>
      </c>
      <c r="H242" s="113">
        <f>VLOOKUP(C242,'Talente &amp; Stuff'!FU:GV,6,FALSE)</f>
        <v>0</v>
      </c>
      <c r="I242" s="113">
        <f>VLOOKUP(C242,'Talente &amp; Stuff'!FU:GV,7,FALSE)</f>
        <v>0</v>
      </c>
      <c r="J242" s="113">
        <f>VLOOKUP(C242,'Talente &amp; Stuff'!FU:GV,8,FALSE)</f>
        <v>0</v>
      </c>
      <c r="K242" s="113">
        <f>VLOOKUP(C242,'Talente &amp; Stuff'!FU:GV,9,FALSE)</f>
        <v>0</v>
      </c>
      <c r="L242" s="113">
        <f>VLOOKUP(C242,'Talente &amp; Stuff'!FU:GV,10,FALSE)</f>
        <v>0</v>
      </c>
      <c r="M242" s="119">
        <f>VLOOKUP(C242,'Talente &amp; Stuff'!FU:GV,11,FALSE)</f>
        <v>0</v>
      </c>
      <c r="N242" s="47">
        <f>VLOOKUP(C242,'Talente &amp; Stuff'!FU:GV,12,FALSE)</f>
        <v>0</v>
      </c>
      <c r="O242" s="47">
        <f>VLOOKUP(C242,'Talente &amp; Stuff'!FU:GV,13,FALSE)</f>
        <v>0</v>
      </c>
      <c r="P242" s="119">
        <f>VLOOKUP(C242,'Talente &amp; Stuff'!FU:GV,14,FALSE)</f>
        <v>0</v>
      </c>
      <c r="Q242" s="114">
        <f>VLOOKUP(C242,'Talente &amp; Stuff'!FU:GV,15,FALSE)</f>
        <v>0</v>
      </c>
      <c r="R242" s="113">
        <f>VLOOKUP(C242,'Talente &amp; Stuff'!FU:GV,16,FALSE)</f>
        <v>0</v>
      </c>
      <c r="S242" s="119">
        <f>VLOOKUP(C242,'Talente &amp; Stuff'!FU:GV,17,FALSE)</f>
        <v>0</v>
      </c>
      <c r="T242" s="119">
        <f>VLOOKUP(C242,'Talente &amp; Stuff'!FU:GV,18,FALSE)</f>
        <v>0</v>
      </c>
      <c r="U242" s="89">
        <f>VLOOKUP(C242,'Talente &amp; Stuff'!FU:GV,19,FALSE)</f>
        <v>0</v>
      </c>
      <c r="V242" s="47">
        <f>VLOOKUP(C242,'Talente &amp; Stuff'!FU:GV,20,FALSE)</f>
        <v>0</v>
      </c>
      <c r="W242" s="127">
        <f>VLOOKUP(C242,'Talente &amp; Stuff'!FU:GV,21,FALSE)</f>
        <v>0</v>
      </c>
      <c r="X242" s="127">
        <f>VLOOKUP(C242,'Talente &amp; Stuff'!FU:GV,22,FALSE)</f>
        <v>0</v>
      </c>
      <c r="Y242" s="165">
        <f t="shared" si="20"/>
        <v>0</v>
      </c>
      <c r="Z242" s="44">
        <f t="shared" si="21"/>
        <v>0</v>
      </c>
      <c r="AA242" s="125">
        <f>VLOOKUP(C242,'Talente &amp; Stuff'!FU:GV,25,FALSE)</f>
        <v>0</v>
      </c>
      <c r="AB242" s="160">
        <f>VLOOKUP(C242,'Talente &amp; Stuff'!FU:GV,26,FALSE)</f>
        <v>0</v>
      </c>
      <c r="AC242" s="127">
        <f>VLOOKUP(C242,'Talente &amp; Stuff'!FU:GV,27,FALSE)</f>
        <v>0</v>
      </c>
      <c r="AD242" s="125">
        <f>VLOOKUP(C242,'Talente &amp; Stuff'!FU:GV,28,FALSE)</f>
        <v>0</v>
      </c>
      <c r="AE242" s="28"/>
    </row>
    <row r="243" spans="2:31" ht="15" hidden="1" customHeight="1" outlineLevel="2">
      <c r="B243" s="148">
        <v>31</v>
      </c>
      <c r="C243" s="177" t="str">
        <f>Attribute!C243</f>
        <v>---</v>
      </c>
      <c r="D243" s="125" t="str">
        <f>VLOOKUP(C243,'Talente &amp; Stuff'!FU:GV,2,FALSE)</f>
        <v>--/--/--</v>
      </c>
      <c r="E243" s="127" t="str">
        <f>VLOOKUP(C243,'Talente &amp; Stuff'!FU:GV,3,FALSE)</f>
        <v>-</v>
      </c>
      <c r="F243" s="114">
        <f>VLOOKUP(C243,'Talente &amp; Stuff'!FU:GV,4,FALSE)</f>
        <v>0</v>
      </c>
      <c r="G243" s="113">
        <f>VLOOKUP(C243,'Talente &amp; Stuff'!FU:GV,5,FALSE)</f>
        <v>0</v>
      </c>
      <c r="H243" s="113">
        <f>VLOOKUP(C243,'Talente &amp; Stuff'!FU:GV,6,FALSE)</f>
        <v>0</v>
      </c>
      <c r="I243" s="113">
        <f>VLOOKUP(C243,'Talente &amp; Stuff'!FU:GV,7,FALSE)</f>
        <v>0</v>
      </c>
      <c r="J243" s="113">
        <f>VLOOKUP(C243,'Talente &amp; Stuff'!FU:GV,8,FALSE)</f>
        <v>0</v>
      </c>
      <c r="K243" s="113">
        <f>VLOOKUP(C243,'Talente &amp; Stuff'!FU:GV,9,FALSE)</f>
        <v>0</v>
      </c>
      <c r="L243" s="113">
        <f>VLOOKUP(C243,'Talente &amp; Stuff'!FU:GV,10,FALSE)</f>
        <v>0</v>
      </c>
      <c r="M243" s="119">
        <f>VLOOKUP(C243,'Talente &amp; Stuff'!FU:GV,11,FALSE)</f>
        <v>0</v>
      </c>
      <c r="N243" s="47">
        <f>VLOOKUP(C243,'Talente &amp; Stuff'!FU:GV,12,FALSE)</f>
        <v>0</v>
      </c>
      <c r="O243" s="47">
        <f>VLOOKUP(C243,'Talente &amp; Stuff'!FU:GV,13,FALSE)</f>
        <v>0</v>
      </c>
      <c r="P243" s="119">
        <f>VLOOKUP(C243,'Talente &amp; Stuff'!FU:GV,14,FALSE)</f>
        <v>0</v>
      </c>
      <c r="Q243" s="114">
        <f>VLOOKUP(C243,'Talente &amp; Stuff'!FU:GV,15,FALSE)</f>
        <v>0</v>
      </c>
      <c r="R243" s="113">
        <f>VLOOKUP(C243,'Talente &amp; Stuff'!FU:GV,16,FALSE)</f>
        <v>0</v>
      </c>
      <c r="S243" s="119">
        <f>VLOOKUP(C243,'Talente &amp; Stuff'!FU:GV,17,FALSE)</f>
        <v>0</v>
      </c>
      <c r="T243" s="119">
        <f>VLOOKUP(C243,'Talente &amp; Stuff'!FU:GV,18,FALSE)</f>
        <v>0</v>
      </c>
      <c r="U243" s="89">
        <f>VLOOKUP(C243,'Talente &amp; Stuff'!FU:GV,19,FALSE)</f>
        <v>0</v>
      </c>
      <c r="V243" s="47">
        <f>VLOOKUP(C243,'Talente &amp; Stuff'!FU:GV,20,FALSE)</f>
        <v>0</v>
      </c>
      <c r="W243" s="127">
        <f>VLOOKUP(C243,'Talente &amp; Stuff'!FU:GV,21,FALSE)</f>
        <v>0</v>
      </c>
      <c r="X243" s="127">
        <f>VLOOKUP(C243,'Talente &amp; Stuff'!FU:GV,22,FALSE)</f>
        <v>0</v>
      </c>
      <c r="Y243" s="165">
        <f t="shared" si="20"/>
        <v>0</v>
      </c>
      <c r="Z243" s="44">
        <f t="shared" si="21"/>
        <v>0</v>
      </c>
      <c r="AA243" s="125">
        <f>VLOOKUP(C243,'Talente &amp; Stuff'!FU:GV,25,FALSE)</f>
        <v>0</v>
      </c>
      <c r="AB243" s="160">
        <f>VLOOKUP(C243,'Talente &amp; Stuff'!FU:GV,26,FALSE)</f>
        <v>0</v>
      </c>
      <c r="AC243" s="127">
        <f>VLOOKUP(C243,'Talente &amp; Stuff'!FU:GV,27,FALSE)</f>
        <v>0</v>
      </c>
      <c r="AD243" s="125">
        <f>VLOOKUP(C243,'Talente &amp; Stuff'!FU:GV,28,FALSE)</f>
        <v>0</v>
      </c>
      <c r="AE243" s="28"/>
    </row>
    <row r="244" spans="2:31" ht="15" hidden="1" customHeight="1" outlineLevel="2">
      <c r="B244" s="148">
        <v>32</v>
      </c>
      <c r="C244" s="177" t="str">
        <f>Attribute!C244</f>
        <v>---</v>
      </c>
      <c r="D244" s="125" t="str">
        <f>VLOOKUP(C244,'Talente &amp; Stuff'!FU:GV,2,FALSE)</f>
        <v>--/--/--</v>
      </c>
      <c r="E244" s="127" t="str">
        <f>VLOOKUP(C244,'Talente &amp; Stuff'!FU:GV,3,FALSE)</f>
        <v>-</v>
      </c>
      <c r="F244" s="114">
        <f>VLOOKUP(C244,'Talente &amp; Stuff'!FU:GV,4,FALSE)</f>
        <v>0</v>
      </c>
      <c r="G244" s="113">
        <f>VLOOKUP(C244,'Talente &amp; Stuff'!FU:GV,5,FALSE)</f>
        <v>0</v>
      </c>
      <c r="H244" s="113">
        <f>VLOOKUP(C244,'Talente &amp; Stuff'!FU:GV,6,FALSE)</f>
        <v>0</v>
      </c>
      <c r="I244" s="113">
        <f>VLOOKUP(C244,'Talente &amp; Stuff'!FU:GV,7,FALSE)</f>
        <v>0</v>
      </c>
      <c r="J244" s="113">
        <f>VLOOKUP(C244,'Talente &amp; Stuff'!FU:GV,8,FALSE)</f>
        <v>0</v>
      </c>
      <c r="K244" s="113">
        <f>VLOOKUP(C244,'Talente &amp; Stuff'!FU:GV,9,FALSE)</f>
        <v>0</v>
      </c>
      <c r="L244" s="113">
        <f>VLOOKUP(C244,'Talente &amp; Stuff'!FU:GV,10,FALSE)</f>
        <v>0</v>
      </c>
      <c r="M244" s="119">
        <f>VLOOKUP(C244,'Talente &amp; Stuff'!FU:GV,11,FALSE)</f>
        <v>0</v>
      </c>
      <c r="N244" s="47">
        <f>VLOOKUP(C244,'Talente &amp; Stuff'!FU:GV,12,FALSE)</f>
        <v>0</v>
      </c>
      <c r="O244" s="47">
        <f>VLOOKUP(C244,'Talente &amp; Stuff'!FU:GV,13,FALSE)</f>
        <v>0</v>
      </c>
      <c r="P244" s="119">
        <f>VLOOKUP(C244,'Talente &amp; Stuff'!FU:GV,14,FALSE)</f>
        <v>0</v>
      </c>
      <c r="Q244" s="114">
        <f>VLOOKUP(C244,'Talente &amp; Stuff'!FU:GV,15,FALSE)</f>
        <v>0</v>
      </c>
      <c r="R244" s="113">
        <f>VLOOKUP(C244,'Talente &amp; Stuff'!FU:GV,16,FALSE)</f>
        <v>0</v>
      </c>
      <c r="S244" s="119">
        <f>VLOOKUP(C244,'Talente &amp; Stuff'!FU:GV,17,FALSE)</f>
        <v>0</v>
      </c>
      <c r="T244" s="119">
        <f>VLOOKUP(C244,'Talente &amp; Stuff'!FU:GV,18,FALSE)</f>
        <v>0</v>
      </c>
      <c r="U244" s="89">
        <f>VLOOKUP(C244,'Talente &amp; Stuff'!FU:GV,19,FALSE)</f>
        <v>0</v>
      </c>
      <c r="V244" s="47">
        <f>VLOOKUP(C244,'Talente &amp; Stuff'!FU:GV,20,FALSE)</f>
        <v>0</v>
      </c>
      <c r="W244" s="127">
        <f>VLOOKUP(C244,'Talente &amp; Stuff'!FU:GV,21,FALSE)</f>
        <v>0</v>
      </c>
      <c r="X244" s="127">
        <f>VLOOKUP(C244,'Talente &amp; Stuff'!FU:GV,22,FALSE)</f>
        <v>0</v>
      </c>
      <c r="Y244" s="165">
        <f t="shared" si="20"/>
        <v>0</v>
      </c>
      <c r="Z244" s="44">
        <f t="shared" si="21"/>
        <v>0</v>
      </c>
      <c r="AA244" s="125">
        <f>VLOOKUP(C244,'Talente &amp; Stuff'!FU:GV,25,FALSE)</f>
        <v>0</v>
      </c>
      <c r="AB244" s="160">
        <f>VLOOKUP(C244,'Talente &amp; Stuff'!FU:GV,26,FALSE)</f>
        <v>0</v>
      </c>
      <c r="AC244" s="127">
        <f>VLOOKUP(C244,'Talente &amp; Stuff'!FU:GV,27,FALSE)</f>
        <v>0</v>
      </c>
      <c r="AD244" s="125">
        <f>VLOOKUP(C244,'Talente &amp; Stuff'!FU:GV,28,FALSE)</f>
        <v>0</v>
      </c>
      <c r="AE244" s="28"/>
    </row>
    <row r="245" spans="2:31" ht="15" hidden="1" customHeight="1" outlineLevel="2">
      <c r="B245" s="148">
        <v>33</v>
      </c>
      <c r="C245" s="177" t="str">
        <f>Attribute!C245</f>
        <v>---</v>
      </c>
      <c r="D245" s="125" t="str">
        <f>VLOOKUP(C245,'Talente &amp; Stuff'!FU:GV,2,FALSE)</f>
        <v>--/--/--</v>
      </c>
      <c r="E245" s="127" t="str">
        <f>VLOOKUP(C245,'Talente &amp; Stuff'!FU:GV,3,FALSE)</f>
        <v>-</v>
      </c>
      <c r="F245" s="114">
        <f>VLOOKUP(C245,'Talente &amp; Stuff'!FU:GV,4,FALSE)</f>
        <v>0</v>
      </c>
      <c r="G245" s="113">
        <f>VLOOKUP(C245,'Talente &amp; Stuff'!FU:GV,5,FALSE)</f>
        <v>0</v>
      </c>
      <c r="H245" s="113">
        <f>VLOOKUP(C245,'Talente &amp; Stuff'!FU:GV,6,FALSE)</f>
        <v>0</v>
      </c>
      <c r="I245" s="113">
        <f>VLOOKUP(C245,'Talente &amp; Stuff'!FU:GV,7,FALSE)</f>
        <v>0</v>
      </c>
      <c r="J245" s="113">
        <f>VLOOKUP(C245,'Talente &amp; Stuff'!FU:GV,8,FALSE)</f>
        <v>0</v>
      </c>
      <c r="K245" s="113">
        <f>VLOOKUP(C245,'Talente &amp; Stuff'!FU:GV,9,FALSE)</f>
        <v>0</v>
      </c>
      <c r="L245" s="113">
        <f>VLOOKUP(C245,'Talente &amp; Stuff'!FU:GV,10,FALSE)</f>
        <v>0</v>
      </c>
      <c r="M245" s="119">
        <f>VLOOKUP(C245,'Talente &amp; Stuff'!FU:GV,11,FALSE)</f>
        <v>0</v>
      </c>
      <c r="N245" s="47">
        <f>VLOOKUP(C245,'Talente &amp; Stuff'!FU:GV,12,FALSE)</f>
        <v>0</v>
      </c>
      <c r="O245" s="47">
        <f>VLOOKUP(C245,'Talente &amp; Stuff'!FU:GV,13,FALSE)</f>
        <v>0</v>
      </c>
      <c r="P245" s="119">
        <f>VLOOKUP(C245,'Talente &amp; Stuff'!FU:GV,14,FALSE)</f>
        <v>0</v>
      </c>
      <c r="Q245" s="114">
        <f>VLOOKUP(C245,'Talente &amp; Stuff'!FU:GV,15,FALSE)</f>
        <v>0</v>
      </c>
      <c r="R245" s="113">
        <f>VLOOKUP(C245,'Talente &amp; Stuff'!FU:GV,16,FALSE)</f>
        <v>0</v>
      </c>
      <c r="S245" s="119">
        <f>VLOOKUP(C245,'Talente &amp; Stuff'!FU:GV,17,FALSE)</f>
        <v>0</v>
      </c>
      <c r="T245" s="119">
        <f>VLOOKUP(C245,'Talente &amp; Stuff'!FU:GV,18,FALSE)</f>
        <v>0</v>
      </c>
      <c r="U245" s="89">
        <f>VLOOKUP(C245,'Talente &amp; Stuff'!FU:GV,19,FALSE)</f>
        <v>0</v>
      </c>
      <c r="V245" s="47">
        <f>VLOOKUP(C245,'Talente &amp; Stuff'!FU:GV,20,FALSE)</f>
        <v>0</v>
      </c>
      <c r="W245" s="127">
        <f>VLOOKUP(C245,'Talente &amp; Stuff'!FU:GV,21,FALSE)</f>
        <v>0</v>
      </c>
      <c r="X245" s="127">
        <f>VLOOKUP(C245,'Talente &amp; Stuff'!FU:GV,22,FALSE)</f>
        <v>0</v>
      </c>
      <c r="Y245" s="165">
        <f t="shared" si="20"/>
        <v>0</v>
      </c>
      <c r="Z245" s="44">
        <f t="shared" si="21"/>
        <v>0</v>
      </c>
      <c r="AA245" s="125">
        <f>VLOOKUP(C245,'Talente &amp; Stuff'!FU:GV,25,FALSE)</f>
        <v>0</v>
      </c>
      <c r="AB245" s="160">
        <f>VLOOKUP(C245,'Talente &amp; Stuff'!FU:GV,26,FALSE)</f>
        <v>0</v>
      </c>
      <c r="AC245" s="127">
        <f>VLOOKUP(C245,'Talente &amp; Stuff'!FU:GV,27,FALSE)</f>
        <v>0</v>
      </c>
      <c r="AD245" s="125">
        <f>VLOOKUP(C245,'Talente &amp; Stuff'!FU:GV,28,FALSE)</f>
        <v>0</v>
      </c>
      <c r="AE245" s="28"/>
    </row>
    <row r="246" spans="2:31" ht="15" hidden="1" customHeight="1" outlineLevel="2">
      <c r="B246" s="148">
        <v>34</v>
      </c>
      <c r="C246" s="177" t="str">
        <f>Attribute!C246</f>
        <v>---</v>
      </c>
      <c r="D246" s="125" t="str">
        <f>VLOOKUP(C246,'Talente &amp; Stuff'!FU:GV,2,FALSE)</f>
        <v>--/--/--</v>
      </c>
      <c r="E246" s="127" t="str">
        <f>VLOOKUP(C246,'Talente &amp; Stuff'!FU:GV,3,FALSE)</f>
        <v>-</v>
      </c>
      <c r="F246" s="114">
        <f>VLOOKUP(C246,'Talente &amp; Stuff'!FU:GV,4,FALSE)</f>
        <v>0</v>
      </c>
      <c r="G246" s="113">
        <f>VLOOKUP(C246,'Talente &amp; Stuff'!FU:GV,5,FALSE)</f>
        <v>0</v>
      </c>
      <c r="H246" s="113">
        <f>VLOOKUP(C246,'Talente &amp; Stuff'!FU:GV,6,FALSE)</f>
        <v>0</v>
      </c>
      <c r="I246" s="113">
        <f>VLOOKUP(C246,'Talente &amp; Stuff'!FU:GV,7,FALSE)</f>
        <v>0</v>
      </c>
      <c r="J246" s="113">
        <f>VLOOKUP(C246,'Talente &amp; Stuff'!FU:GV,8,FALSE)</f>
        <v>0</v>
      </c>
      <c r="K246" s="113">
        <f>VLOOKUP(C246,'Talente &amp; Stuff'!FU:GV,9,FALSE)</f>
        <v>0</v>
      </c>
      <c r="L246" s="113">
        <f>VLOOKUP(C246,'Talente &amp; Stuff'!FU:GV,10,FALSE)</f>
        <v>0</v>
      </c>
      <c r="M246" s="119">
        <f>VLOOKUP(C246,'Talente &amp; Stuff'!FU:GV,11,FALSE)</f>
        <v>0</v>
      </c>
      <c r="N246" s="47">
        <f>VLOOKUP(C246,'Talente &amp; Stuff'!FU:GV,12,FALSE)</f>
        <v>0</v>
      </c>
      <c r="O246" s="47">
        <f>VLOOKUP(C246,'Talente &amp; Stuff'!FU:GV,13,FALSE)</f>
        <v>0</v>
      </c>
      <c r="P246" s="119">
        <f>VLOOKUP(C246,'Talente &amp; Stuff'!FU:GV,14,FALSE)</f>
        <v>0</v>
      </c>
      <c r="Q246" s="114">
        <f>VLOOKUP(C246,'Talente &amp; Stuff'!FU:GV,15,FALSE)</f>
        <v>0</v>
      </c>
      <c r="R246" s="113">
        <f>VLOOKUP(C246,'Talente &amp; Stuff'!FU:GV,16,FALSE)</f>
        <v>0</v>
      </c>
      <c r="S246" s="119">
        <f>VLOOKUP(C246,'Talente &amp; Stuff'!FU:GV,17,FALSE)</f>
        <v>0</v>
      </c>
      <c r="T246" s="119">
        <f>VLOOKUP(C246,'Talente &amp; Stuff'!FU:GV,18,FALSE)</f>
        <v>0</v>
      </c>
      <c r="U246" s="89">
        <f>VLOOKUP(C246,'Talente &amp; Stuff'!FU:GV,19,FALSE)</f>
        <v>0</v>
      </c>
      <c r="V246" s="47">
        <f>VLOOKUP(C246,'Talente &amp; Stuff'!FU:GV,20,FALSE)</f>
        <v>0</v>
      </c>
      <c r="W246" s="127">
        <f>VLOOKUP(C246,'Talente &amp; Stuff'!FU:GV,21,FALSE)</f>
        <v>0</v>
      </c>
      <c r="X246" s="127">
        <f>VLOOKUP(C246,'Talente &amp; Stuff'!FU:GV,22,FALSE)</f>
        <v>0</v>
      </c>
      <c r="Y246" s="165">
        <f t="shared" si="20"/>
        <v>0</v>
      </c>
      <c r="Z246" s="44">
        <f t="shared" si="21"/>
        <v>0</v>
      </c>
      <c r="AA246" s="125">
        <f>VLOOKUP(C246,'Talente &amp; Stuff'!FU:GV,25,FALSE)</f>
        <v>0</v>
      </c>
      <c r="AB246" s="160">
        <f>VLOOKUP(C246,'Talente &amp; Stuff'!FU:GV,26,FALSE)</f>
        <v>0</v>
      </c>
      <c r="AC246" s="127">
        <f>VLOOKUP(C246,'Talente &amp; Stuff'!FU:GV,27,FALSE)</f>
        <v>0</v>
      </c>
      <c r="AD246" s="125">
        <f>VLOOKUP(C246,'Talente &amp; Stuff'!FU:GV,28,FALSE)</f>
        <v>0</v>
      </c>
      <c r="AE246" s="28"/>
    </row>
    <row r="247" spans="2:31" ht="15" hidden="1" customHeight="1" outlineLevel="2">
      <c r="B247" s="148">
        <v>35</v>
      </c>
      <c r="C247" s="177" t="str">
        <f>Attribute!C247</f>
        <v>---</v>
      </c>
      <c r="D247" s="125" t="str">
        <f>VLOOKUP(C247,'Talente &amp; Stuff'!FU:GV,2,FALSE)</f>
        <v>--/--/--</v>
      </c>
      <c r="E247" s="127" t="str">
        <f>VLOOKUP(C247,'Talente &amp; Stuff'!FU:GV,3,FALSE)</f>
        <v>-</v>
      </c>
      <c r="F247" s="114">
        <f>VLOOKUP(C247,'Talente &amp; Stuff'!FU:GV,4,FALSE)</f>
        <v>0</v>
      </c>
      <c r="G247" s="113">
        <f>VLOOKUP(C247,'Talente &amp; Stuff'!FU:GV,5,FALSE)</f>
        <v>0</v>
      </c>
      <c r="H247" s="113">
        <f>VLOOKUP(C247,'Talente &amp; Stuff'!FU:GV,6,FALSE)</f>
        <v>0</v>
      </c>
      <c r="I247" s="113">
        <f>VLOOKUP(C247,'Talente &amp; Stuff'!FU:GV,7,FALSE)</f>
        <v>0</v>
      </c>
      <c r="J247" s="113">
        <f>VLOOKUP(C247,'Talente &amp; Stuff'!FU:GV,8,FALSE)</f>
        <v>0</v>
      </c>
      <c r="K247" s="113">
        <f>VLOOKUP(C247,'Talente &amp; Stuff'!FU:GV,9,FALSE)</f>
        <v>0</v>
      </c>
      <c r="L247" s="113">
        <f>VLOOKUP(C247,'Talente &amp; Stuff'!FU:GV,10,FALSE)</f>
        <v>0</v>
      </c>
      <c r="M247" s="119">
        <f>VLOOKUP(C247,'Talente &amp; Stuff'!FU:GV,11,FALSE)</f>
        <v>0</v>
      </c>
      <c r="N247" s="47">
        <f>VLOOKUP(C247,'Talente &amp; Stuff'!FU:GV,12,FALSE)</f>
        <v>0</v>
      </c>
      <c r="O247" s="47">
        <f>VLOOKUP(C247,'Talente &amp; Stuff'!FU:GV,13,FALSE)</f>
        <v>0</v>
      </c>
      <c r="P247" s="119">
        <f>VLOOKUP(C247,'Talente &amp; Stuff'!FU:GV,14,FALSE)</f>
        <v>0</v>
      </c>
      <c r="Q247" s="114">
        <f>VLOOKUP(C247,'Talente &amp; Stuff'!FU:GV,15,FALSE)</f>
        <v>0</v>
      </c>
      <c r="R247" s="113">
        <f>VLOOKUP(C247,'Talente &amp; Stuff'!FU:GV,16,FALSE)</f>
        <v>0</v>
      </c>
      <c r="S247" s="119">
        <f>VLOOKUP(C247,'Talente &amp; Stuff'!FU:GV,17,FALSE)</f>
        <v>0</v>
      </c>
      <c r="T247" s="119">
        <f>VLOOKUP(C247,'Talente &amp; Stuff'!FU:GV,18,FALSE)</f>
        <v>0</v>
      </c>
      <c r="U247" s="89">
        <f>VLOOKUP(C247,'Talente &amp; Stuff'!FU:GV,19,FALSE)</f>
        <v>0</v>
      </c>
      <c r="V247" s="47">
        <f>VLOOKUP(C247,'Talente &amp; Stuff'!FU:GV,20,FALSE)</f>
        <v>0</v>
      </c>
      <c r="W247" s="127">
        <f>VLOOKUP(C247,'Talente &amp; Stuff'!FU:GV,21,FALSE)</f>
        <v>0</v>
      </c>
      <c r="X247" s="127">
        <f>VLOOKUP(C247,'Talente &amp; Stuff'!FU:GV,22,FALSE)</f>
        <v>0</v>
      </c>
      <c r="Y247" s="165">
        <f t="shared" si="20"/>
        <v>0</v>
      </c>
      <c r="Z247" s="44">
        <f t="shared" si="21"/>
        <v>0</v>
      </c>
      <c r="AA247" s="125">
        <f>VLOOKUP(C247,'Talente &amp; Stuff'!FU:GV,25,FALSE)</f>
        <v>0</v>
      </c>
      <c r="AB247" s="160">
        <f>VLOOKUP(C247,'Talente &amp; Stuff'!FU:GV,26,FALSE)</f>
        <v>0</v>
      </c>
      <c r="AC247" s="127">
        <f>VLOOKUP(C247,'Talente &amp; Stuff'!FU:GV,27,FALSE)</f>
        <v>0</v>
      </c>
      <c r="AD247" s="125">
        <f>VLOOKUP(C247,'Talente &amp; Stuff'!FU:GV,28,FALSE)</f>
        <v>0</v>
      </c>
      <c r="AE247" s="28"/>
    </row>
    <row r="248" spans="2:31" ht="15" hidden="1" customHeight="1" outlineLevel="2">
      <c r="B248" s="148">
        <v>36</v>
      </c>
      <c r="C248" s="177" t="str">
        <f>Attribute!C248</f>
        <v>---</v>
      </c>
      <c r="D248" s="125" t="str">
        <f>VLOOKUP(C248,'Talente &amp; Stuff'!FU:GV,2,FALSE)</f>
        <v>--/--/--</v>
      </c>
      <c r="E248" s="127" t="str">
        <f>VLOOKUP(C248,'Talente &amp; Stuff'!FU:GV,3,FALSE)</f>
        <v>-</v>
      </c>
      <c r="F248" s="114">
        <f>VLOOKUP(C248,'Talente &amp; Stuff'!FU:GV,4,FALSE)</f>
        <v>0</v>
      </c>
      <c r="G248" s="113">
        <f>VLOOKUP(C248,'Talente &amp; Stuff'!FU:GV,5,FALSE)</f>
        <v>0</v>
      </c>
      <c r="H248" s="113">
        <f>VLOOKUP(C248,'Talente &amp; Stuff'!FU:GV,6,FALSE)</f>
        <v>0</v>
      </c>
      <c r="I248" s="113">
        <f>VLOOKUP(C248,'Talente &amp; Stuff'!FU:GV,7,FALSE)</f>
        <v>0</v>
      </c>
      <c r="J248" s="113">
        <f>VLOOKUP(C248,'Talente &amp; Stuff'!FU:GV,8,FALSE)</f>
        <v>0</v>
      </c>
      <c r="K248" s="113">
        <f>VLOOKUP(C248,'Talente &amp; Stuff'!FU:GV,9,FALSE)</f>
        <v>0</v>
      </c>
      <c r="L248" s="113">
        <f>VLOOKUP(C248,'Talente &amp; Stuff'!FU:GV,10,FALSE)</f>
        <v>0</v>
      </c>
      <c r="M248" s="119">
        <f>VLOOKUP(C248,'Talente &amp; Stuff'!FU:GV,11,FALSE)</f>
        <v>0</v>
      </c>
      <c r="N248" s="47">
        <f>VLOOKUP(C248,'Talente &amp; Stuff'!FU:GV,12,FALSE)</f>
        <v>0</v>
      </c>
      <c r="O248" s="47">
        <f>VLOOKUP(C248,'Talente &amp; Stuff'!FU:GV,13,FALSE)</f>
        <v>0</v>
      </c>
      <c r="P248" s="119">
        <f>VLOOKUP(C248,'Talente &amp; Stuff'!FU:GV,14,FALSE)</f>
        <v>0</v>
      </c>
      <c r="Q248" s="114">
        <f>VLOOKUP(C248,'Talente &amp; Stuff'!FU:GV,15,FALSE)</f>
        <v>0</v>
      </c>
      <c r="R248" s="113">
        <f>VLOOKUP(C248,'Talente &amp; Stuff'!FU:GV,16,FALSE)</f>
        <v>0</v>
      </c>
      <c r="S248" s="119">
        <f>VLOOKUP(C248,'Talente &amp; Stuff'!FU:GV,17,FALSE)</f>
        <v>0</v>
      </c>
      <c r="T248" s="119">
        <f>VLOOKUP(C248,'Talente &amp; Stuff'!FU:GV,18,FALSE)</f>
        <v>0</v>
      </c>
      <c r="U248" s="89">
        <f>VLOOKUP(C248,'Talente &amp; Stuff'!FU:GV,19,FALSE)</f>
        <v>0</v>
      </c>
      <c r="V248" s="47">
        <f>VLOOKUP(C248,'Talente &amp; Stuff'!FU:GV,20,FALSE)</f>
        <v>0</v>
      </c>
      <c r="W248" s="127">
        <f>VLOOKUP(C248,'Talente &amp; Stuff'!FU:GV,21,FALSE)</f>
        <v>0</v>
      </c>
      <c r="X248" s="127">
        <f>VLOOKUP(C248,'Talente &amp; Stuff'!FU:GV,22,FALSE)</f>
        <v>0</v>
      </c>
      <c r="Y248" s="165">
        <f t="shared" si="20"/>
        <v>0</v>
      </c>
      <c r="Z248" s="44">
        <f t="shared" si="21"/>
        <v>0</v>
      </c>
      <c r="AA248" s="125">
        <f>VLOOKUP(C248,'Talente &amp; Stuff'!FU:GV,25,FALSE)</f>
        <v>0</v>
      </c>
      <c r="AB248" s="160">
        <f>VLOOKUP(C248,'Talente &amp; Stuff'!FU:GV,26,FALSE)</f>
        <v>0</v>
      </c>
      <c r="AC248" s="127">
        <f>VLOOKUP(C248,'Talente &amp; Stuff'!FU:GV,27,FALSE)</f>
        <v>0</v>
      </c>
      <c r="AD248" s="125">
        <f>VLOOKUP(C248,'Talente &amp; Stuff'!FU:GV,28,FALSE)</f>
        <v>0</v>
      </c>
      <c r="AE248" s="28"/>
    </row>
    <row r="249" spans="2:31" ht="15" hidden="1" customHeight="1" outlineLevel="2">
      <c r="B249" s="148">
        <v>37</v>
      </c>
      <c r="C249" s="177" t="str">
        <f>Attribute!C249</f>
        <v>---</v>
      </c>
      <c r="D249" s="125" t="str">
        <f>VLOOKUP(C249,'Talente &amp; Stuff'!FU:GV,2,FALSE)</f>
        <v>--/--/--</v>
      </c>
      <c r="E249" s="127" t="str">
        <f>VLOOKUP(C249,'Talente &amp; Stuff'!FU:GV,3,FALSE)</f>
        <v>-</v>
      </c>
      <c r="F249" s="114">
        <f>VLOOKUP(C249,'Talente &amp; Stuff'!FU:GV,4,FALSE)</f>
        <v>0</v>
      </c>
      <c r="G249" s="113">
        <f>VLOOKUP(C249,'Talente &amp; Stuff'!FU:GV,5,FALSE)</f>
        <v>0</v>
      </c>
      <c r="H249" s="113">
        <f>VLOOKUP(C249,'Talente &amp; Stuff'!FU:GV,6,FALSE)</f>
        <v>0</v>
      </c>
      <c r="I249" s="113">
        <f>VLOOKUP(C249,'Talente &amp; Stuff'!FU:GV,7,FALSE)</f>
        <v>0</v>
      </c>
      <c r="J249" s="113">
        <f>VLOOKUP(C249,'Talente &amp; Stuff'!FU:GV,8,FALSE)</f>
        <v>0</v>
      </c>
      <c r="K249" s="113">
        <f>VLOOKUP(C249,'Talente &amp; Stuff'!FU:GV,9,FALSE)</f>
        <v>0</v>
      </c>
      <c r="L249" s="113">
        <f>VLOOKUP(C249,'Talente &amp; Stuff'!FU:GV,10,FALSE)</f>
        <v>0</v>
      </c>
      <c r="M249" s="119">
        <f>VLOOKUP(C249,'Talente &amp; Stuff'!FU:GV,11,FALSE)</f>
        <v>0</v>
      </c>
      <c r="N249" s="47">
        <f>VLOOKUP(C249,'Talente &amp; Stuff'!FU:GV,12,FALSE)</f>
        <v>0</v>
      </c>
      <c r="O249" s="47">
        <f>VLOOKUP(C249,'Talente &amp; Stuff'!FU:GV,13,FALSE)</f>
        <v>0</v>
      </c>
      <c r="P249" s="119">
        <f>VLOOKUP(C249,'Talente &amp; Stuff'!FU:GV,14,FALSE)</f>
        <v>0</v>
      </c>
      <c r="Q249" s="114">
        <f>VLOOKUP(C249,'Talente &amp; Stuff'!FU:GV,15,FALSE)</f>
        <v>0</v>
      </c>
      <c r="R249" s="113">
        <f>VLOOKUP(C249,'Talente &amp; Stuff'!FU:GV,16,FALSE)</f>
        <v>0</v>
      </c>
      <c r="S249" s="119">
        <f>VLOOKUP(C249,'Talente &amp; Stuff'!FU:GV,17,FALSE)</f>
        <v>0</v>
      </c>
      <c r="T249" s="119">
        <f>VLOOKUP(C249,'Talente &amp; Stuff'!FU:GV,18,FALSE)</f>
        <v>0</v>
      </c>
      <c r="U249" s="89">
        <f>VLOOKUP(C249,'Talente &amp; Stuff'!FU:GV,19,FALSE)</f>
        <v>0</v>
      </c>
      <c r="V249" s="47">
        <f>VLOOKUP(C249,'Talente &amp; Stuff'!FU:GV,20,FALSE)</f>
        <v>0</v>
      </c>
      <c r="W249" s="127">
        <f>VLOOKUP(C249,'Talente &amp; Stuff'!FU:GV,21,FALSE)</f>
        <v>0</v>
      </c>
      <c r="X249" s="127">
        <f>VLOOKUP(C249,'Talente &amp; Stuff'!FU:GV,22,FALSE)</f>
        <v>0</v>
      </c>
      <c r="Y249" s="165">
        <f t="shared" si="20"/>
        <v>0</v>
      </c>
      <c r="Z249" s="44">
        <f t="shared" si="21"/>
        <v>0</v>
      </c>
      <c r="AA249" s="125">
        <f>VLOOKUP(C249,'Talente &amp; Stuff'!FU:GV,25,FALSE)</f>
        <v>0</v>
      </c>
      <c r="AB249" s="160">
        <f>VLOOKUP(C249,'Talente &amp; Stuff'!FU:GV,26,FALSE)</f>
        <v>0</v>
      </c>
      <c r="AC249" s="127">
        <f>VLOOKUP(C249,'Talente &amp; Stuff'!FU:GV,27,FALSE)</f>
        <v>0</v>
      </c>
      <c r="AD249" s="125">
        <f>VLOOKUP(C249,'Talente &amp; Stuff'!FU:GV,28,FALSE)</f>
        <v>0</v>
      </c>
      <c r="AE249" s="28"/>
    </row>
    <row r="250" spans="2:31" ht="15" hidden="1" customHeight="1" outlineLevel="2">
      <c r="B250" s="148">
        <v>38</v>
      </c>
      <c r="C250" s="177" t="str">
        <f>Attribute!C250</f>
        <v>---</v>
      </c>
      <c r="D250" s="125" t="str">
        <f>VLOOKUP(C250,'Talente &amp; Stuff'!FU:GV,2,FALSE)</f>
        <v>--/--/--</v>
      </c>
      <c r="E250" s="127" t="str">
        <f>VLOOKUP(C250,'Talente &amp; Stuff'!FU:GV,3,FALSE)</f>
        <v>-</v>
      </c>
      <c r="F250" s="114">
        <f>VLOOKUP(C250,'Talente &amp; Stuff'!FU:GV,4,FALSE)</f>
        <v>0</v>
      </c>
      <c r="G250" s="113">
        <f>VLOOKUP(C250,'Talente &amp; Stuff'!FU:GV,5,FALSE)</f>
        <v>0</v>
      </c>
      <c r="H250" s="113">
        <f>VLOOKUP(C250,'Talente &amp; Stuff'!FU:GV,6,FALSE)</f>
        <v>0</v>
      </c>
      <c r="I250" s="113">
        <f>VLOOKUP(C250,'Talente &amp; Stuff'!FU:GV,7,FALSE)</f>
        <v>0</v>
      </c>
      <c r="J250" s="113">
        <f>VLOOKUP(C250,'Talente &amp; Stuff'!FU:GV,8,FALSE)</f>
        <v>0</v>
      </c>
      <c r="K250" s="113">
        <f>VLOOKUP(C250,'Talente &amp; Stuff'!FU:GV,9,FALSE)</f>
        <v>0</v>
      </c>
      <c r="L250" s="113">
        <f>VLOOKUP(C250,'Talente &amp; Stuff'!FU:GV,10,FALSE)</f>
        <v>0</v>
      </c>
      <c r="M250" s="119">
        <f>VLOOKUP(C250,'Talente &amp; Stuff'!FU:GV,11,FALSE)</f>
        <v>0</v>
      </c>
      <c r="N250" s="47">
        <f>VLOOKUP(C250,'Talente &amp; Stuff'!FU:GV,12,FALSE)</f>
        <v>0</v>
      </c>
      <c r="O250" s="47">
        <f>VLOOKUP(C250,'Talente &amp; Stuff'!FU:GV,13,FALSE)</f>
        <v>0</v>
      </c>
      <c r="P250" s="119">
        <f>VLOOKUP(C250,'Talente &amp; Stuff'!FU:GV,14,FALSE)</f>
        <v>0</v>
      </c>
      <c r="Q250" s="114">
        <f>VLOOKUP(C250,'Talente &amp; Stuff'!FU:GV,15,FALSE)</f>
        <v>0</v>
      </c>
      <c r="R250" s="113">
        <f>VLOOKUP(C250,'Talente &amp; Stuff'!FU:GV,16,FALSE)</f>
        <v>0</v>
      </c>
      <c r="S250" s="119">
        <f>VLOOKUP(C250,'Talente &amp; Stuff'!FU:GV,17,FALSE)</f>
        <v>0</v>
      </c>
      <c r="T250" s="119">
        <f>VLOOKUP(C250,'Talente &amp; Stuff'!FU:GV,18,FALSE)</f>
        <v>0</v>
      </c>
      <c r="U250" s="89">
        <f>VLOOKUP(C250,'Talente &amp; Stuff'!FU:GV,19,FALSE)</f>
        <v>0</v>
      </c>
      <c r="V250" s="47">
        <f>VLOOKUP(C250,'Talente &amp; Stuff'!FU:GV,20,FALSE)</f>
        <v>0</v>
      </c>
      <c r="W250" s="127">
        <f>VLOOKUP(C250,'Talente &amp; Stuff'!FU:GV,21,FALSE)</f>
        <v>0</v>
      </c>
      <c r="X250" s="127">
        <f>VLOOKUP(C250,'Talente &amp; Stuff'!FU:GV,22,FALSE)</f>
        <v>0</v>
      </c>
      <c r="Y250" s="165">
        <f t="shared" si="20"/>
        <v>0</v>
      </c>
      <c r="Z250" s="44">
        <f t="shared" si="21"/>
        <v>0</v>
      </c>
      <c r="AA250" s="125">
        <f>VLOOKUP(C250,'Talente &amp; Stuff'!FU:GV,25,FALSE)</f>
        <v>0</v>
      </c>
      <c r="AB250" s="160">
        <f>VLOOKUP(C250,'Talente &amp; Stuff'!FU:GV,26,FALSE)</f>
        <v>0</v>
      </c>
      <c r="AC250" s="127">
        <f>VLOOKUP(C250,'Talente &amp; Stuff'!FU:GV,27,FALSE)</f>
        <v>0</v>
      </c>
      <c r="AD250" s="125">
        <f>VLOOKUP(C250,'Talente &amp; Stuff'!FU:GV,28,FALSE)</f>
        <v>0</v>
      </c>
      <c r="AE250" s="28"/>
    </row>
    <row r="251" spans="2:31" ht="15" hidden="1" customHeight="1" outlineLevel="2">
      <c r="B251" s="148">
        <v>39</v>
      </c>
      <c r="C251" s="177" t="str">
        <f>Attribute!C251</f>
        <v>---</v>
      </c>
      <c r="D251" s="125" t="str">
        <f>VLOOKUP(C251,'Talente &amp; Stuff'!FU:GV,2,FALSE)</f>
        <v>--/--/--</v>
      </c>
      <c r="E251" s="127" t="str">
        <f>VLOOKUP(C251,'Talente &amp; Stuff'!FU:GV,3,FALSE)</f>
        <v>-</v>
      </c>
      <c r="F251" s="114">
        <f>VLOOKUP(C251,'Talente &amp; Stuff'!FU:GV,4,FALSE)</f>
        <v>0</v>
      </c>
      <c r="G251" s="113">
        <f>VLOOKUP(C251,'Talente &amp; Stuff'!FU:GV,5,FALSE)</f>
        <v>0</v>
      </c>
      <c r="H251" s="113">
        <f>VLOOKUP(C251,'Talente &amp; Stuff'!FU:GV,6,FALSE)</f>
        <v>0</v>
      </c>
      <c r="I251" s="113">
        <f>VLOOKUP(C251,'Talente &amp; Stuff'!FU:GV,7,FALSE)</f>
        <v>0</v>
      </c>
      <c r="J251" s="113">
        <f>VLOOKUP(C251,'Talente &amp; Stuff'!FU:GV,8,FALSE)</f>
        <v>0</v>
      </c>
      <c r="K251" s="113">
        <f>VLOOKUP(C251,'Talente &amp; Stuff'!FU:GV,9,FALSE)</f>
        <v>0</v>
      </c>
      <c r="L251" s="113">
        <f>VLOOKUP(C251,'Talente &amp; Stuff'!FU:GV,10,FALSE)</f>
        <v>0</v>
      </c>
      <c r="M251" s="119">
        <f>VLOOKUP(C251,'Talente &amp; Stuff'!FU:GV,11,FALSE)</f>
        <v>0</v>
      </c>
      <c r="N251" s="47">
        <f>VLOOKUP(C251,'Talente &amp; Stuff'!FU:GV,12,FALSE)</f>
        <v>0</v>
      </c>
      <c r="O251" s="47">
        <f>VLOOKUP(C251,'Talente &amp; Stuff'!FU:GV,13,FALSE)</f>
        <v>0</v>
      </c>
      <c r="P251" s="119">
        <f>VLOOKUP(C251,'Talente &amp; Stuff'!FU:GV,14,FALSE)</f>
        <v>0</v>
      </c>
      <c r="Q251" s="114">
        <f>VLOOKUP(C251,'Talente &amp; Stuff'!FU:GV,15,FALSE)</f>
        <v>0</v>
      </c>
      <c r="R251" s="113">
        <f>VLOOKUP(C251,'Talente &amp; Stuff'!FU:GV,16,FALSE)</f>
        <v>0</v>
      </c>
      <c r="S251" s="119">
        <f>VLOOKUP(C251,'Talente &amp; Stuff'!FU:GV,17,FALSE)</f>
        <v>0</v>
      </c>
      <c r="T251" s="119">
        <f>VLOOKUP(C251,'Talente &amp; Stuff'!FU:GV,18,FALSE)</f>
        <v>0</v>
      </c>
      <c r="U251" s="89">
        <f>VLOOKUP(C251,'Talente &amp; Stuff'!FU:GV,19,FALSE)</f>
        <v>0</v>
      </c>
      <c r="V251" s="47">
        <f>VLOOKUP(C251,'Talente &amp; Stuff'!FU:GV,20,FALSE)</f>
        <v>0</v>
      </c>
      <c r="W251" s="127">
        <f>VLOOKUP(C251,'Talente &amp; Stuff'!FU:GV,21,FALSE)</f>
        <v>0</v>
      </c>
      <c r="X251" s="127">
        <f>VLOOKUP(C251,'Talente &amp; Stuff'!FU:GV,22,FALSE)</f>
        <v>0</v>
      </c>
      <c r="Y251" s="165">
        <f t="shared" si="20"/>
        <v>0</v>
      </c>
      <c r="Z251" s="44">
        <f t="shared" si="21"/>
        <v>0</v>
      </c>
      <c r="AA251" s="125">
        <f>VLOOKUP(C251,'Talente &amp; Stuff'!FU:GV,25,FALSE)</f>
        <v>0</v>
      </c>
      <c r="AB251" s="160">
        <f>VLOOKUP(C251,'Talente &amp; Stuff'!FU:GV,26,FALSE)</f>
        <v>0</v>
      </c>
      <c r="AC251" s="127">
        <f>VLOOKUP(C251,'Talente &amp; Stuff'!FU:GV,27,FALSE)</f>
        <v>0</v>
      </c>
      <c r="AD251" s="125">
        <f>VLOOKUP(C251,'Talente &amp; Stuff'!FU:GV,28,FALSE)</f>
        <v>0</v>
      </c>
      <c r="AE251" s="28"/>
    </row>
    <row r="252" spans="2:31" ht="15" hidden="1" customHeight="1" outlineLevel="2">
      <c r="B252" s="148">
        <v>40</v>
      </c>
      <c r="C252" s="177" t="str">
        <f>Attribute!C252</f>
        <v>---</v>
      </c>
      <c r="D252" s="86" t="str">
        <f>VLOOKUP(C252,'Talente &amp; Stuff'!FU:GV,2,FALSE)</f>
        <v>--/--/--</v>
      </c>
      <c r="E252" s="127" t="str">
        <f>VLOOKUP(C252,'Talente &amp; Stuff'!FU:GV,3,FALSE)</f>
        <v>-</v>
      </c>
      <c r="F252" s="114">
        <f>VLOOKUP(C252,'Talente &amp; Stuff'!FU:GV,4,FALSE)</f>
        <v>0</v>
      </c>
      <c r="G252" s="113">
        <f>VLOOKUP(C252,'Talente &amp; Stuff'!FU:GV,5,FALSE)</f>
        <v>0</v>
      </c>
      <c r="H252" s="113">
        <f>VLOOKUP(C252,'Talente &amp; Stuff'!FU:GV,6,FALSE)</f>
        <v>0</v>
      </c>
      <c r="I252" s="113">
        <f>VLOOKUP(C252,'Talente &amp; Stuff'!FU:GV,7,FALSE)</f>
        <v>0</v>
      </c>
      <c r="J252" s="113">
        <f>VLOOKUP(C252,'Talente &amp; Stuff'!FU:GV,8,FALSE)</f>
        <v>0</v>
      </c>
      <c r="K252" s="113">
        <f>VLOOKUP(C252,'Talente &amp; Stuff'!FU:GV,9,FALSE)</f>
        <v>0</v>
      </c>
      <c r="L252" s="113">
        <f>VLOOKUP(C252,'Talente &amp; Stuff'!FU:GV,10,FALSE)</f>
        <v>0</v>
      </c>
      <c r="M252" s="119">
        <f>VLOOKUP(C252,'Talente &amp; Stuff'!FU:GV,11,FALSE)</f>
        <v>0</v>
      </c>
      <c r="N252" s="47">
        <f>VLOOKUP(C252,'Talente &amp; Stuff'!FU:GV,12,FALSE)</f>
        <v>0</v>
      </c>
      <c r="O252" s="3">
        <f>VLOOKUP(C252,'Talente &amp; Stuff'!FU:GV,13,FALSE)</f>
        <v>0</v>
      </c>
      <c r="P252" s="174">
        <f>VLOOKUP(C252,'Talente &amp; Stuff'!FU:GV,14,FALSE)</f>
        <v>0</v>
      </c>
      <c r="Q252" s="114">
        <f>VLOOKUP(C252,'Talente &amp; Stuff'!FU:GV,15,FALSE)</f>
        <v>0</v>
      </c>
      <c r="R252" s="113">
        <f>VLOOKUP(C252,'Talente &amp; Stuff'!FU:GV,16,FALSE)</f>
        <v>0</v>
      </c>
      <c r="S252" s="119">
        <f>VLOOKUP(C252,'Talente &amp; Stuff'!FU:GV,17,FALSE)</f>
        <v>0</v>
      </c>
      <c r="T252" s="119">
        <f>VLOOKUP(C252,'Talente &amp; Stuff'!FU:GV,18,FALSE)</f>
        <v>0</v>
      </c>
      <c r="U252" s="89">
        <f>VLOOKUP(C252,'Talente &amp; Stuff'!FU:GV,19,FALSE)</f>
        <v>0</v>
      </c>
      <c r="V252" s="47">
        <f>VLOOKUP(C252,'Talente &amp; Stuff'!FU:GV,20,FALSE)</f>
        <v>0</v>
      </c>
      <c r="W252" s="127">
        <f>VLOOKUP(C252,'Talente &amp; Stuff'!FU:GV,21,FALSE)</f>
        <v>0</v>
      </c>
      <c r="X252" s="127">
        <f>VLOOKUP(C252,'Talente &amp; Stuff'!FU:GV,22,FALSE)</f>
        <v>0</v>
      </c>
      <c r="Y252" s="165">
        <f t="shared" si="20"/>
        <v>0</v>
      </c>
      <c r="Z252" s="44">
        <f t="shared" si="21"/>
        <v>0</v>
      </c>
      <c r="AA252" s="125">
        <f>VLOOKUP(C252,'Talente &amp; Stuff'!FU:GV,25,FALSE)</f>
        <v>0</v>
      </c>
      <c r="AB252" s="160">
        <f>VLOOKUP(C252,'Talente &amp; Stuff'!FU:GV,26,FALSE)</f>
        <v>0</v>
      </c>
      <c r="AC252" s="127">
        <f>VLOOKUP(C252,'Talente &amp; Stuff'!FU:GV,27,FALSE)</f>
        <v>0</v>
      </c>
      <c r="AD252" s="125">
        <f>VLOOKUP(C252,'Talente &amp; Stuff'!FU:GV,28,FALSE)</f>
        <v>0</v>
      </c>
      <c r="AE252" s="28"/>
    </row>
    <row r="253" spans="2:31" ht="15" hidden="1" customHeight="1" outlineLevel="2">
      <c r="B253" s="148">
        <v>41</v>
      </c>
      <c r="C253" s="177" t="str">
        <f>Attribute!C253</f>
        <v>---</v>
      </c>
      <c r="D253" s="125" t="str">
        <f>VLOOKUP(C253,'Talente &amp; Stuff'!FU:GV,2,FALSE)</f>
        <v>--/--/--</v>
      </c>
      <c r="E253" s="127" t="str">
        <f>VLOOKUP(C253,'Talente &amp; Stuff'!FU:GV,3,FALSE)</f>
        <v>-</v>
      </c>
      <c r="F253" s="114">
        <f>VLOOKUP(C253,'Talente &amp; Stuff'!FU:GV,4,FALSE)</f>
        <v>0</v>
      </c>
      <c r="G253" s="113">
        <f>VLOOKUP(C253,'Talente &amp; Stuff'!FU:GV,5,FALSE)</f>
        <v>0</v>
      </c>
      <c r="H253" s="113">
        <f>VLOOKUP(C253,'Talente &amp; Stuff'!FU:GV,6,FALSE)</f>
        <v>0</v>
      </c>
      <c r="I253" s="113">
        <f>VLOOKUP(C253,'Talente &amp; Stuff'!FU:GV,7,FALSE)</f>
        <v>0</v>
      </c>
      <c r="J253" s="113">
        <f>VLOOKUP(C253,'Talente &amp; Stuff'!FU:GV,8,FALSE)</f>
        <v>0</v>
      </c>
      <c r="K253" s="113">
        <f>VLOOKUP(C253,'Talente &amp; Stuff'!FU:GV,9,FALSE)</f>
        <v>0</v>
      </c>
      <c r="L253" s="113">
        <f>VLOOKUP(C253,'Talente &amp; Stuff'!FU:GV,10,FALSE)</f>
        <v>0</v>
      </c>
      <c r="M253" s="119">
        <f>VLOOKUP(C253,'Talente &amp; Stuff'!FU:GV,11,FALSE)</f>
        <v>0</v>
      </c>
      <c r="N253" s="47">
        <f>VLOOKUP(C253,'Talente &amp; Stuff'!FU:GV,12,FALSE)</f>
        <v>0</v>
      </c>
      <c r="O253" s="47">
        <f>VLOOKUP(C253,'Talente &amp; Stuff'!FU:GV,13,FALSE)</f>
        <v>0</v>
      </c>
      <c r="P253" s="119">
        <f>VLOOKUP(C253,'Talente &amp; Stuff'!FU:GV,14,FALSE)</f>
        <v>0</v>
      </c>
      <c r="Q253" s="114">
        <f>VLOOKUP(C253,'Talente &amp; Stuff'!FU:GV,15,FALSE)</f>
        <v>0</v>
      </c>
      <c r="R253" s="113">
        <f>VLOOKUP(C253,'Talente &amp; Stuff'!FU:GV,16,FALSE)</f>
        <v>0</v>
      </c>
      <c r="S253" s="119">
        <f>VLOOKUP(C253,'Talente &amp; Stuff'!FU:GV,17,FALSE)</f>
        <v>0</v>
      </c>
      <c r="T253" s="119">
        <f>VLOOKUP(C253,'Talente &amp; Stuff'!FU:GV,18,FALSE)</f>
        <v>0</v>
      </c>
      <c r="U253" s="89">
        <f>VLOOKUP(C253,'Talente &amp; Stuff'!FU:GV,19,FALSE)</f>
        <v>0</v>
      </c>
      <c r="V253" s="47">
        <f>VLOOKUP(C253,'Talente &amp; Stuff'!FU:GV,20,FALSE)</f>
        <v>0</v>
      </c>
      <c r="W253" s="127">
        <f>VLOOKUP(C253,'Talente &amp; Stuff'!FU:GV,21,FALSE)</f>
        <v>0</v>
      </c>
      <c r="X253" s="127">
        <f>VLOOKUP(C253,'Talente &amp; Stuff'!FU:GV,22,FALSE)</f>
        <v>0</v>
      </c>
      <c r="Y253" s="165">
        <f t="shared" si="20"/>
        <v>0</v>
      </c>
      <c r="Z253" s="44">
        <f t="shared" si="21"/>
        <v>0</v>
      </c>
      <c r="AA253" s="125">
        <f>VLOOKUP(C253,'Talente &amp; Stuff'!FU:GV,25,FALSE)</f>
        <v>0</v>
      </c>
      <c r="AB253" s="160">
        <f>VLOOKUP(C253,'Talente &amp; Stuff'!FU:GV,26,FALSE)</f>
        <v>0</v>
      </c>
      <c r="AC253" s="127">
        <f>VLOOKUP(C253,'Talente &amp; Stuff'!FU:GV,27,FALSE)</f>
        <v>0</v>
      </c>
      <c r="AD253" s="125">
        <f>VLOOKUP(C253,'Talente &amp; Stuff'!FU:GV,28,FALSE)</f>
        <v>0</v>
      </c>
      <c r="AE253" s="28"/>
    </row>
    <row r="254" spans="2:31" ht="15" hidden="1" customHeight="1" outlineLevel="2">
      <c r="B254" s="148">
        <v>42</v>
      </c>
      <c r="C254" s="177" t="str">
        <f>Attribute!C254</f>
        <v>---</v>
      </c>
      <c r="D254" s="125" t="str">
        <f>VLOOKUP(C254,'Talente &amp; Stuff'!FU:GV,2,FALSE)</f>
        <v>--/--/--</v>
      </c>
      <c r="E254" s="127" t="str">
        <f>VLOOKUP(C254,'Talente &amp; Stuff'!FU:GV,3,FALSE)</f>
        <v>-</v>
      </c>
      <c r="F254" s="114">
        <f>VLOOKUP(C254,'Talente &amp; Stuff'!FU:GV,4,FALSE)</f>
        <v>0</v>
      </c>
      <c r="G254" s="113">
        <f>VLOOKUP(C254,'Talente &amp; Stuff'!FU:GV,5,FALSE)</f>
        <v>0</v>
      </c>
      <c r="H254" s="113">
        <f>VLOOKUP(C254,'Talente &amp; Stuff'!FU:GV,6,FALSE)</f>
        <v>0</v>
      </c>
      <c r="I254" s="113">
        <f>VLOOKUP(C254,'Talente &amp; Stuff'!FU:GV,7,FALSE)</f>
        <v>0</v>
      </c>
      <c r="J254" s="113">
        <f>VLOOKUP(C254,'Talente &amp; Stuff'!FU:GV,8,FALSE)</f>
        <v>0</v>
      </c>
      <c r="K254" s="113">
        <f>VLOOKUP(C254,'Talente &amp; Stuff'!FU:GV,9,FALSE)</f>
        <v>0</v>
      </c>
      <c r="L254" s="113">
        <f>VLOOKUP(C254,'Talente &amp; Stuff'!FU:GV,10,FALSE)</f>
        <v>0</v>
      </c>
      <c r="M254" s="119">
        <f>VLOOKUP(C254,'Talente &amp; Stuff'!FU:GV,11,FALSE)</f>
        <v>0</v>
      </c>
      <c r="N254" s="47">
        <f>VLOOKUP(C254,'Talente &amp; Stuff'!FU:GV,12,FALSE)</f>
        <v>0</v>
      </c>
      <c r="O254" s="47">
        <f>VLOOKUP(C254,'Talente &amp; Stuff'!FU:GV,13,FALSE)</f>
        <v>0</v>
      </c>
      <c r="P254" s="119">
        <f>VLOOKUP(C254,'Talente &amp; Stuff'!FU:GV,14,FALSE)</f>
        <v>0</v>
      </c>
      <c r="Q254" s="114">
        <f>VLOOKUP(C254,'Talente &amp; Stuff'!FU:GV,15,FALSE)</f>
        <v>0</v>
      </c>
      <c r="R254" s="113">
        <f>VLOOKUP(C254,'Talente &amp; Stuff'!FU:GV,16,FALSE)</f>
        <v>0</v>
      </c>
      <c r="S254" s="119">
        <f>VLOOKUP(C254,'Talente &amp; Stuff'!FU:GV,17,FALSE)</f>
        <v>0</v>
      </c>
      <c r="T254" s="119">
        <f>VLOOKUP(C254,'Talente &amp; Stuff'!FU:GV,18,FALSE)</f>
        <v>0</v>
      </c>
      <c r="U254" s="89">
        <f>VLOOKUP(C254,'Talente &amp; Stuff'!FU:GV,19,FALSE)</f>
        <v>0</v>
      </c>
      <c r="V254" s="47">
        <f>VLOOKUP(C254,'Talente &amp; Stuff'!FU:GV,20,FALSE)</f>
        <v>0</v>
      </c>
      <c r="W254" s="127">
        <f>VLOOKUP(C254,'Talente &amp; Stuff'!FU:GV,21,FALSE)</f>
        <v>0</v>
      </c>
      <c r="X254" s="127">
        <f>VLOOKUP(C254,'Talente &amp; Stuff'!FU:GV,22,FALSE)</f>
        <v>0</v>
      </c>
      <c r="Y254" s="165">
        <f t="shared" si="20"/>
        <v>0</v>
      </c>
      <c r="Z254" s="44">
        <f t="shared" si="21"/>
        <v>0</v>
      </c>
      <c r="AA254" s="125">
        <f>VLOOKUP(C254,'Talente &amp; Stuff'!FU:GV,25,FALSE)</f>
        <v>0</v>
      </c>
      <c r="AB254" s="160">
        <f>VLOOKUP(C254,'Talente &amp; Stuff'!FU:GV,26,FALSE)</f>
        <v>0</v>
      </c>
      <c r="AC254" s="127">
        <f>VLOOKUP(C254,'Talente &amp; Stuff'!FU:GV,27,FALSE)</f>
        <v>0</v>
      </c>
      <c r="AD254" s="125">
        <f>VLOOKUP(C254,'Talente &amp; Stuff'!FU:GV,28,FALSE)</f>
        <v>0</v>
      </c>
      <c r="AE254" s="28"/>
    </row>
    <row r="255" spans="2:31" ht="15" hidden="1" customHeight="1" outlineLevel="2">
      <c r="B255" s="148">
        <v>43</v>
      </c>
      <c r="C255" s="177" t="str">
        <f>Attribute!C255</f>
        <v>---</v>
      </c>
      <c r="D255" s="86" t="str">
        <f>VLOOKUP(C255,'Talente &amp; Stuff'!FU:GV,2,FALSE)</f>
        <v>--/--/--</v>
      </c>
      <c r="E255" s="127" t="str">
        <f>VLOOKUP(C255,'Talente &amp; Stuff'!FU:GV,3,FALSE)</f>
        <v>-</v>
      </c>
      <c r="F255" s="114">
        <f>VLOOKUP(C255,'Talente &amp; Stuff'!FU:GV,4,FALSE)</f>
        <v>0</v>
      </c>
      <c r="G255" s="113">
        <f>VLOOKUP(C255,'Talente &amp; Stuff'!FU:GV,5,FALSE)</f>
        <v>0</v>
      </c>
      <c r="H255" s="113">
        <f>VLOOKUP(C255,'Talente &amp; Stuff'!FU:GV,6,FALSE)</f>
        <v>0</v>
      </c>
      <c r="I255" s="113">
        <f>VLOOKUP(C255,'Talente &amp; Stuff'!FU:GV,7,FALSE)</f>
        <v>0</v>
      </c>
      <c r="J255" s="113">
        <f>VLOOKUP(C255,'Talente &amp; Stuff'!FU:GV,8,FALSE)</f>
        <v>0</v>
      </c>
      <c r="K255" s="113">
        <f>VLOOKUP(C255,'Talente &amp; Stuff'!FU:GV,9,FALSE)</f>
        <v>0</v>
      </c>
      <c r="L255" s="113">
        <f>VLOOKUP(C255,'Talente &amp; Stuff'!FU:GV,10,FALSE)</f>
        <v>0</v>
      </c>
      <c r="M255" s="119">
        <f>VLOOKUP(C255,'Talente &amp; Stuff'!FU:GV,11,FALSE)</f>
        <v>0</v>
      </c>
      <c r="N255" s="47">
        <f>VLOOKUP(C255,'Talente &amp; Stuff'!FU:GV,12,FALSE)</f>
        <v>0</v>
      </c>
      <c r="O255" s="3">
        <f>VLOOKUP(C255,'Talente &amp; Stuff'!FU:GV,13,FALSE)</f>
        <v>0</v>
      </c>
      <c r="P255" s="174">
        <f>VLOOKUP(C255,'Talente &amp; Stuff'!FU:GV,14,FALSE)</f>
        <v>0</v>
      </c>
      <c r="Q255" s="114">
        <f>VLOOKUP(C255,'Talente &amp; Stuff'!FU:GV,15,FALSE)</f>
        <v>0</v>
      </c>
      <c r="R255" s="113">
        <f>VLOOKUP(C255,'Talente &amp; Stuff'!FU:GV,16,FALSE)</f>
        <v>0</v>
      </c>
      <c r="S255" s="119">
        <f>VLOOKUP(C255,'Talente &amp; Stuff'!FU:GV,17,FALSE)</f>
        <v>0</v>
      </c>
      <c r="T255" s="119">
        <f>VLOOKUP(C255,'Talente &amp; Stuff'!FU:GV,18,FALSE)</f>
        <v>0</v>
      </c>
      <c r="U255" s="89">
        <f>VLOOKUP(C255,'Talente &amp; Stuff'!FU:GV,19,FALSE)</f>
        <v>0</v>
      </c>
      <c r="V255" s="47">
        <f>VLOOKUP(C255,'Talente &amp; Stuff'!FU:GV,20,FALSE)</f>
        <v>0</v>
      </c>
      <c r="W255" s="127">
        <f>VLOOKUP(C255,'Talente &amp; Stuff'!FU:GV,21,FALSE)</f>
        <v>0</v>
      </c>
      <c r="X255" s="127">
        <f>VLOOKUP(C255,'Talente &amp; Stuff'!FU:GV,22,FALSE)</f>
        <v>0</v>
      </c>
      <c r="Y255" s="165">
        <f t="shared" si="20"/>
        <v>0</v>
      </c>
      <c r="Z255" s="44">
        <f t="shared" si="21"/>
        <v>0</v>
      </c>
      <c r="AA255" s="125">
        <f>VLOOKUP(C255,'Talente &amp; Stuff'!FU:GV,25,FALSE)</f>
        <v>0</v>
      </c>
      <c r="AB255" s="160">
        <f>VLOOKUP(C255,'Talente &amp; Stuff'!FU:GV,26,FALSE)</f>
        <v>0</v>
      </c>
      <c r="AC255" s="127">
        <f>VLOOKUP(C255,'Talente &amp; Stuff'!FU:GV,27,FALSE)</f>
        <v>0</v>
      </c>
      <c r="AD255" s="125">
        <f>VLOOKUP(C255,'Talente &amp; Stuff'!FU:GV,28,FALSE)</f>
        <v>0</v>
      </c>
      <c r="AE255" s="28"/>
    </row>
    <row r="256" spans="2:31" ht="15" hidden="1" customHeight="1" outlineLevel="2">
      <c r="B256" s="148">
        <v>44</v>
      </c>
      <c r="C256" s="177" t="str">
        <f>Attribute!C256</f>
        <v>---</v>
      </c>
      <c r="D256" s="125" t="str">
        <f>VLOOKUP(C256,'Talente &amp; Stuff'!FU:GV,2,FALSE)</f>
        <v>--/--/--</v>
      </c>
      <c r="E256" s="127" t="str">
        <f>VLOOKUP(C256,'Talente &amp; Stuff'!FU:GV,3,FALSE)</f>
        <v>-</v>
      </c>
      <c r="F256" s="114">
        <f>VLOOKUP(C256,'Talente &amp; Stuff'!FU:GV,4,FALSE)</f>
        <v>0</v>
      </c>
      <c r="G256" s="113">
        <f>VLOOKUP(C256,'Talente &amp; Stuff'!FU:GV,5,FALSE)</f>
        <v>0</v>
      </c>
      <c r="H256" s="113">
        <f>VLOOKUP(C256,'Talente &amp; Stuff'!FU:GV,6,FALSE)</f>
        <v>0</v>
      </c>
      <c r="I256" s="113">
        <f>VLOOKUP(C256,'Talente &amp; Stuff'!FU:GV,7,FALSE)</f>
        <v>0</v>
      </c>
      <c r="J256" s="113">
        <f>VLOOKUP(C256,'Talente &amp; Stuff'!FU:GV,8,FALSE)</f>
        <v>0</v>
      </c>
      <c r="K256" s="113">
        <f>VLOOKUP(C256,'Talente &amp; Stuff'!FU:GV,9,FALSE)</f>
        <v>0</v>
      </c>
      <c r="L256" s="113">
        <f>VLOOKUP(C256,'Talente &amp; Stuff'!FU:GV,10,FALSE)</f>
        <v>0</v>
      </c>
      <c r="M256" s="119">
        <f>VLOOKUP(C256,'Talente &amp; Stuff'!FU:GV,11,FALSE)</f>
        <v>0</v>
      </c>
      <c r="N256" s="47">
        <f>VLOOKUP(C256,'Talente &amp; Stuff'!FU:GV,12,FALSE)</f>
        <v>0</v>
      </c>
      <c r="O256" s="47">
        <f>VLOOKUP(C256,'Talente &amp; Stuff'!FU:GV,13,FALSE)</f>
        <v>0</v>
      </c>
      <c r="P256" s="119">
        <f>VLOOKUP(C256,'Talente &amp; Stuff'!FU:GV,14,FALSE)</f>
        <v>0</v>
      </c>
      <c r="Q256" s="114">
        <f>VLOOKUP(C256,'Talente &amp; Stuff'!FU:GV,15,FALSE)</f>
        <v>0</v>
      </c>
      <c r="R256" s="113">
        <f>VLOOKUP(C256,'Talente &amp; Stuff'!FU:GV,16,FALSE)</f>
        <v>0</v>
      </c>
      <c r="S256" s="119">
        <f>VLOOKUP(C256,'Talente &amp; Stuff'!FU:GV,17,FALSE)</f>
        <v>0</v>
      </c>
      <c r="T256" s="119">
        <f>VLOOKUP(C256,'Talente &amp; Stuff'!FU:GV,18,FALSE)</f>
        <v>0</v>
      </c>
      <c r="U256" s="89">
        <f>VLOOKUP(C256,'Talente &amp; Stuff'!FU:GV,19,FALSE)</f>
        <v>0</v>
      </c>
      <c r="V256" s="47">
        <f>VLOOKUP(C256,'Talente &amp; Stuff'!FU:GV,20,FALSE)</f>
        <v>0</v>
      </c>
      <c r="W256" s="127">
        <f>VLOOKUP(C256,'Talente &amp; Stuff'!FU:GV,21,FALSE)</f>
        <v>0</v>
      </c>
      <c r="X256" s="127">
        <f>VLOOKUP(C256,'Talente &amp; Stuff'!FU:GV,22,FALSE)</f>
        <v>0</v>
      </c>
      <c r="Y256" s="165">
        <f t="shared" si="20"/>
        <v>0</v>
      </c>
      <c r="Z256" s="44">
        <f t="shared" si="21"/>
        <v>0</v>
      </c>
      <c r="AA256" s="125">
        <f>VLOOKUP(C256,'Talente &amp; Stuff'!FU:GV,25,FALSE)</f>
        <v>0</v>
      </c>
      <c r="AB256" s="160">
        <f>VLOOKUP(C256,'Talente &amp; Stuff'!FU:GV,26,FALSE)</f>
        <v>0</v>
      </c>
      <c r="AC256" s="127">
        <f>VLOOKUP(C256,'Talente &amp; Stuff'!FU:GV,27,FALSE)</f>
        <v>0</v>
      </c>
      <c r="AD256" s="125">
        <f>VLOOKUP(C256,'Talente &amp; Stuff'!FU:GV,28,FALSE)</f>
        <v>0</v>
      </c>
      <c r="AE256" s="28"/>
    </row>
    <row r="257" spans="2:31" ht="15" hidden="1" customHeight="1" outlineLevel="2">
      <c r="B257" s="148">
        <v>45</v>
      </c>
      <c r="C257" s="178" t="str">
        <f>Attribute!C257</f>
        <v>---</v>
      </c>
      <c r="D257" s="159" t="str">
        <f>VLOOKUP(C257,'Talente &amp; Stuff'!FU:GV,2,FALSE)</f>
        <v>--/--/--</v>
      </c>
      <c r="E257" s="128" t="str">
        <f>VLOOKUP(C257,'Talente &amp; Stuff'!FU:GV,3,FALSE)</f>
        <v>-</v>
      </c>
      <c r="F257" s="115">
        <f>VLOOKUP(C257,'Talente &amp; Stuff'!FU:GV,4,FALSE)</f>
        <v>0</v>
      </c>
      <c r="G257" s="122">
        <f>VLOOKUP(C257,'Talente &amp; Stuff'!FU:GV,5,FALSE)</f>
        <v>0</v>
      </c>
      <c r="H257" s="122">
        <f>VLOOKUP(C257,'Talente &amp; Stuff'!FU:GV,6,FALSE)</f>
        <v>0</v>
      </c>
      <c r="I257" s="122">
        <f>VLOOKUP(C257,'Talente &amp; Stuff'!FU:GV,7,FALSE)</f>
        <v>0</v>
      </c>
      <c r="J257" s="122">
        <f>VLOOKUP(C257,'Talente &amp; Stuff'!FU:GV,8,FALSE)</f>
        <v>0</v>
      </c>
      <c r="K257" s="122">
        <f>VLOOKUP(C257,'Talente &amp; Stuff'!FU:GV,9,FALSE)</f>
        <v>0</v>
      </c>
      <c r="L257" s="122">
        <f>VLOOKUP(C257,'Talente &amp; Stuff'!FU:GV,10,FALSE)</f>
        <v>0</v>
      </c>
      <c r="M257" s="123">
        <f>VLOOKUP(C257,'Talente &amp; Stuff'!FU:GV,11,FALSE)</f>
        <v>0</v>
      </c>
      <c r="N257" s="88">
        <f>VLOOKUP(C257,'Talente &amp; Stuff'!FU:GV,12,FALSE)</f>
        <v>0</v>
      </c>
      <c r="O257" s="88">
        <f>VLOOKUP(C257,'Talente &amp; Stuff'!FU:GV,13,FALSE)</f>
        <v>0</v>
      </c>
      <c r="P257" s="123">
        <f>VLOOKUP(C257,'Talente &amp; Stuff'!FU:GV,14,FALSE)</f>
        <v>0</v>
      </c>
      <c r="Q257" s="115">
        <f>VLOOKUP(C257,'Talente &amp; Stuff'!FU:GV,15,FALSE)</f>
        <v>0</v>
      </c>
      <c r="R257" s="122">
        <f>VLOOKUP(C257,'Talente &amp; Stuff'!FU:GV,16,FALSE)</f>
        <v>0</v>
      </c>
      <c r="S257" s="123">
        <f>VLOOKUP(C257,'Talente &amp; Stuff'!FU:GV,17,FALSE)</f>
        <v>0</v>
      </c>
      <c r="T257" s="123">
        <f>VLOOKUP(C257,'Talente &amp; Stuff'!FU:GV,18,FALSE)</f>
        <v>0</v>
      </c>
      <c r="U257" s="90">
        <f>VLOOKUP(C257,'Talente &amp; Stuff'!FU:GV,19,FALSE)</f>
        <v>0</v>
      </c>
      <c r="V257" s="88">
        <f>VLOOKUP(C257,'Talente &amp; Stuff'!FU:GV,20,FALSE)</f>
        <v>0</v>
      </c>
      <c r="W257" s="128">
        <f>VLOOKUP(C257,'Talente &amp; Stuff'!FU:GV,21,FALSE)</f>
        <v>0</v>
      </c>
      <c r="X257" s="128">
        <f>VLOOKUP(C257,'Talente &amp; Stuff'!FU:GV,22,FALSE)</f>
        <v>0</v>
      </c>
      <c r="Y257" s="165">
        <f t="shared" si="20"/>
        <v>0</v>
      </c>
      <c r="Z257" s="44">
        <f t="shared" si="21"/>
        <v>0</v>
      </c>
      <c r="AA257" s="159">
        <f>VLOOKUP(C257,'Talente &amp; Stuff'!FU:GV,25,FALSE)</f>
        <v>0</v>
      </c>
      <c r="AB257" s="161">
        <f>VLOOKUP(C257,'Talente &amp; Stuff'!FU:GV,26,FALSE)</f>
        <v>0</v>
      </c>
      <c r="AC257" s="128">
        <f>VLOOKUP(C257,'Talente &amp; Stuff'!FU:GV,27,FALSE)</f>
        <v>0</v>
      </c>
      <c r="AD257" s="159">
        <f>VLOOKUP(C257,'Talente &amp; Stuff'!FU:GV,28,FALSE)</f>
        <v>0</v>
      </c>
      <c r="AE257" s="28"/>
    </row>
    <row r="258" spans="2:31" ht="15" hidden="1" customHeight="1" outlineLevel="1" collapsed="1">
      <c r="B258" s="134" t="s">
        <v>407</v>
      </c>
      <c r="C258" s="83"/>
      <c r="D258" s="84"/>
      <c r="E258" s="84"/>
    </row>
    <row r="259" spans="2:31" ht="15" hidden="1" customHeight="1" outlineLevel="2">
      <c r="B259" s="148">
        <v>1</v>
      </c>
      <c r="C259" s="200" t="str">
        <f>Attribute!C259</f>
        <v>---</v>
      </c>
      <c r="D259" s="186" t="str">
        <f>VLOOKUP(C259,'Talente &amp; Stuff'!FU:GV,2,FALSE)</f>
        <v>--/--/--</v>
      </c>
      <c r="E259" s="40" t="str">
        <f>VLOOKUP(C259,'Talente &amp; Stuff'!FU:GV,3,FALSE)</f>
        <v>-</v>
      </c>
      <c r="F259" s="17">
        <f>VLOOKUP(C259,'Talente &amp; Stuff'!FU:GV,4,FALSE)</f>
        <v>0</v>
      </c>
      <c r="G259" s="183">
        <f>VLOOKUP(C259,'Talente &amp; Stuff'!FU:GV,5,FALSE)</f>
        <v>0</v>
      </c>
      <c r="H259" s="183">
        <f>VLOOKUP(C259,'Talente &amp; Stuff'!FU:GV,6,FALSE)</f>
        <v>0</v>
      </c>
      <c r="I259" s="183">
        <f>VLOOKUP(C259,'Talente &amp; Stuff'!FU:GV,7,FALSE)</f>
        <v>0</v>
      </c>
      <c r="J259" s="183">
        <f>VLOOKUP(C259,'Talente &amp; Stuff'!FU:GV,8,FALSE)</f>
        <v>0</v>
      </c>
      <c r="K259" s="183">
        <f>VLOOKUP(C259,'Talente &amp; Stuff'!FU:GV,9,FALSE)</f>
        <v>0</v>
      </c>
      <c r="L259" s="183">
        <f>VLOOKUP(C259,'Talente &amp; Stuff'!FU:GV,10,FALSE)</f>
        <v>0</v>
      </c>
      <c r="M259" s="180">
        <f>VLOOKUP(C259,'Talente &amp; Stuff'!FU:GV,11,FALSE)</f>
        <v>0</v>
      </c>
      <c r="N259" s="166">
        <f>VLOOKUP(C259,'Talente &amp; Stuff'!FU:GV,12,FALSE)</f>
        <v>0</v>
      </c>
      <c r="O259" s="32">
        <f>VLOOKUP(C259,'Talente &amp; Stuff'!FU:GV,13,FALSE)</f>
        <v>0</v>
      </c>
      <c r="P259" s="187">
        <f>VLOOKUP(C259,'Talente &amp; Stuff'!FU:GV,14,FALSE)</f>
        <v>0</v>
      </c>
      <c r="Q259" s="17">
        <f>VLOOKUP(C259,'Talente &amp; Stuff'!FU:GV,15,FALSE)</f>
        <v>0</v>
      </c>
      <c r="R259" s="188">
        <f>VLOOKUP(C259,'Talente &amp; Stuff'!FU:GV,16,FALSE)</f>
        <v>0</v>
      </c>
      <c r="S259" s="180">
        <f>VLOOKUP(C259,'Talente &amp; Stuff'!FU:GV,17,FALSE)</f>
        <v>0</v>
      </c>
      <c r="T259" s="189">
        <f>VLOOKUP(C259,'Talente &amp; Stuff'!FU:GV,18,FALSE)</f>
        <v>0</v>
      </c>
      <c r="U259" s="166">
        <f>VLOOKUP(C259,'Talente &amp; Stuff'!FU:GV,19,FALSE)</f>
        <v>0</v>
      </c>
      <c r="V259" s="179">
        <f>VLOOKUP(C259,'Talente &amp; Stuff'!FU:GV,20,FALSE)</f>
        <v>0</v>
      </c>
      <c r="W259" s="182">
        <f>VLOOKUP(C259,'Talente &amp; Stuff'!FU:GV,21,FALSE)</f>
        <v>0</v>
      </c>
      <c r="X259" s="182">
        <f>VLOOKUP(C259,'Talente &amp; Stuff'!FU:GV,22,FALSE)</f>
        <v>0</v>
      </c>
      <c r="Y259" s="165">
        <f>VLOOKUP(C259,Ausgewählte_Zauber_Kristallomanten,197,FALSE)</f>
        <v>0</v>
      </c>
      <c r="Z259" s="44">
        <f>VLOOKUP(C259,Ausgewählte_Zauber_Kristallomanten,198,FALSE)</f>
        <v>0</v>
      </c>
      <c r="AA259" s="40">
        <f>VLOOKUP(C259,'Talente &amp; Stuff'!FU:GV,25,FALSE)</f>
        <v>0</v>
      </c>
      <c r="AB259" s="189">
        <f>VLOOKUP(C259,'Talente &amp; Stuff'!FU:GV,26,FALSE)</f>
        <v>0</v>
      </c>
      <c r="AC259" s="182">
        <f>VLOOKUP(C259,'Talente &amp; Stuff'!FU:GV,27,FALSE)</f>
        <v>0</v>
      </c>
      <c r="AD259" s="40">
        <f>VLOOKUP(C259,'Talente &amp; Stuff'!FU:GV,28,FALSE)</f>
        <v>0</v>
      </c>
      <c r="AE259" s="28"/>
    </row>
    <row r="260" spans="2:31" ht="15" hidden="1" customHeight="1" outlineLevel="1" collapsed="1">
      <c r="B260" s="134" t="s">
        <v>408</v>
      </c>
      <c r="C260" s="83"/>
      <c r="D260" s="84"/>
      <c r="E260" s="84"/>
    </row>
    <row r="261" spans="2:31" ht="15" hidden="1" customHeight="1" outlineLevel="2">
      <c r="B261" s="148">
        <v>1</v>
      </c>
      <c r="C261" s="162" t="str">
        <f>Attribute!C261</f>
        <v>---</v>
      </c>
      <c r="D261" s="85" t="str">
        <f>VLOOKUP(C261,'Talente &amp; Stuff'!FU:GV,2,FALSE)</f>
        <v>--/--/--</v>
      </c>
      <c r="E261" s="126" t="str">
        <f>VLOOKUP(C261,'Talente &amp; Stuff'!FU:GV,3,FALSE)</f>
        <v>-</v>
      </c>
      <c r="F261" s="191">
        <f>VLOOKUP(C261,'Talente &amp; Stuff'!FU:GV,4,FALSE)</f>
        <v>0</v>
      </c>
      <c r="G261" s="118">
        <f>VLOOKUP(C261,'Talente &amp; Stuff'!FU:GV,5,FALSE)</f>
        <v>0</v>
      </c>
      <c r="H261" s="118">
        <f>VLOOKUP(C261,'Talente &amp; Stuff'!FU:GV,6,FALSE)</f>
        <v>0</v>
      </c>
      <c r="I261" s="118">
        <f>VLOOKUP(C261,'Talente &amp; Stuff'!FU:GV,7,FALSE)</f>
        <v>0</v>
      </c>
      <c r="J261" s="118">
        <f>VLOOKUP(C261,'Talente &amp; Stuff'!FU:GV,8,FALSE)</f>
        <v>0</v>
      </c>
      <c r="K261" s="118">
        <f>VLOOKUP(C261,'Talente &amp; Stuff'!FU:GV,9,FALSE)</f>
        <v>0</v>
      </c>
      <c r="L261" s="118">
        <f>VLOOKUP(C261,'Talente &amp; Stuff'!FU:GV,10,FALSE)</f>
        <v>0</v>
      </c>
      <c r="M261" s="92">
        <f>VLOOKUP(C261,'Talente &amp; Stuff'!FU:GV,11,FALSE)</f>
        <v>0</v>
      </c>
      <c r="N261" s="116">
        <f>VLOOKUP(C261,'Talente &amp; Stuff'!FU:GV,12,FALSE)</f>
        <v>0</v>
      </c>
      <c r="O261" s="194">
        <f>VLOOKUP(C261,'Talente &amp; Stuff'!FU:GV,13,FALSE)</f>
        <v>0</v>
      </c>
      <c r="P261" s="192">
        <f>VLOOKUP(C261,'Talente &amp; Stuff'!FU:GV,14,FALSE)</f>
        <v>0</v>
      </c>
      <c r="Q261" s="191">
        <f>VLOOKUP(C261,'Talente &amp; Stuff'!FU:GV,15,FALSE)</f>
        <v>0</v>
      </c>
      <c r="R261" s="170">
        <f>VLOOKUP(C261,'Talente &amp; Stuff'!FU:GV,16,FALSE)</f>
        <v>0</v>
      </c>
      <c r="S261" s="92">
        <f>VLOOKUP(C261,'Talente &amp; Stuff'!FU:GV,17,FALSE)</f>
        <v>0</v>
      </c>
      <c r="T261" s="92">
        <f>VLOOKUP(C261,'Talente &amp; Stuff'!FU:GV,18,FALSE)</f>
        <v>0</v>
      </c>
      <c r="U261" s="193">
        <f>VLOOKUP(C261,'Talente &amp; Stuff'!FU:GV,19,FALSE)</f>
        <v>0</v>
      </c>
      <c r="V261" s="116">
        <f>VLOOKUP(C261,'Talente &amp; Stuff'!FU:GV,20,FALSE)</f>
        <v>0</v>
      </c>
      <c r="W261" s="126">
        <f>VLOOKUP(C261,'Talente &amp; Stuff'!FU:GV,21,FALSE)</f>
        <v>0</v>
      </c>
      <c r="X261" s="126">
        <f>VLOOKUP(C261,'Talente &amp; Stuff'!FU:GV,22,FALSE)</f>
        <v>0</v>
      </c>
      <c r="Y261" s="165">
        <f t="shared" ref="Y261:Y296" si="22">VLOOKUP(C261,Ausgewählte_Zauber_Scharlatane,197,FALSE)</f>
        <v>0</v>
      </c>
      <c r="Z261" s="44">
        <f t="shared" ref="Z261:Z296" si="23">VLOOKUP(C261,Ausgewählte_Zauber_Scharlatane,198,FALSE)</f>
        <v>0</v>
      </c>
      <c r="AA261" s="158">
        <f>VLOOKUP(C261,'Talente &amp; Stuff'!FU:GV,25,FALSE)</f>
        <v>0</v>
      </c>
      <c r="AB261" s="91">
        <f>VLOOKUP(C261,'Talente &amp; Stuff'!FU:GV,26,FALSE)</f>
        <v>0</v>
      </c>
      <c r="AC261" s="126">
        <f>VLOOKUP(C261,'Talente &amp; Stuff'!FU:GV,27,FALSE)</f>
        <v>0</v>
      </c>
      <c r="AD261" s="158">
        <f>VLOOKUP(C261,'Talente &amp; Stuff'!FU:GV,28,FALSE)</f>
        <v>0</v>
      </c>
      <c r="AE261" s="28"/>
    </row>
    <row r="262" spans="2:31" ht="15" hidden="1" customHeight="1" outlineLevel="2">
      <c r="B262" s="148">
        <v>2</v>
      </c>
      <c r="C262" s="163" t="str">
        <f>Attribute!C262</f>
        <v>---</v>
      </c>
      <c r="D262" s="125" t="str">
        <f>VLOOKUP(C262,'Talente &amp; Stuff'!FU:GV,2,FALSE)</f>
        <v>--/--/--</v>
      </c>
      <c r="E262" s="127" t="str">
        <f>VLOOKUP(C262,'Talente &amp; Stuff'!FU:GV,3,FALSE)</f>
        <v>-</v>
      </c>
      <c r="F262" s="114">
        <f>VLOOKUP(C262,'Talente &amp; Stuff'!FU:GV,4,FALSE)</f>
        <v>0</v>
      </c>
      <c r="G262" s="113">
        <f>VLOOKUP(C262,'Talente &amp; Stuff'!FU:GV,5,FALSE)</f>
        <v>0</v>
      </c>
      <c r="H262" s="113">
        <f>VLOOKUP(C262,'Talente &amp; Stuff'!FU:GV,6,FALSE)</f>
        <v>0</v>
      </c>
      <c r="I262" s="113">
        <f>VLOOKUP(C262,'Talente &amp; Stuff'!FU:GV,7,FALSE)</f>
        <v>0</v>
      </c>
      <c r="J262" s="113">
        <f>VLOOKUP(C262,'Talente &amp; Stuff'!FU:GV,8,FALSE)</f>
        <v>0</v>
      </c>
      <c r="K262" s="113">
        <f>VLOOKUP(C262,'Talente &amp; Stuff'!FU:GV,9,FALSE)</f>
        <v>0</v>
      </c>
      <c r="L262" s="113">
        <f>VLOOKUP(C262,'Talente &amp; Stuff'!FU:GV,10,FALSE)</f>
        <v>0</v>
      </c>
      <c r="M262" s="119">
        <f>VLOOKUP(C262,'Talente &amp; Stuff'!FU:GV,11,FALSE)</f>
        <v>0</v>
      </c>
      <c r="N262" s="47">
        <f>VLOOKUP(C262,'Talente &amp; Stuff'!FU:GV,12,FALSE)</f>
        <v>0</v>
      </c>
      <c r="O262" s="47">
        <f>VLOOKUP(C262,'Talente &amp; Stuff'!FU:GV,13,FALSE)</f>
        <v>0</v>
      </c>
      <c r="P262" s="119">
        <f>VLOOKUP(C262,'Talente &amp; Stuff'!FU:GV,14,FALSE)</f>
        <v>0</v>
      </c>
      <c r="Q262" s="114">
        <f>VLOOKUP(C262,'Talente &amp; Stuff'!FU:GV,15,FALSE)</f>
        <v>0</v>
      </c>
      <c r="R262" s="113">
        <f>VLOOKUP(C262,'Talente &amp; Stuff'!FU:GV,16,FALSE)</f>
        <v>0</v>
      </c>
      <c r="S262" s="119">
        <f>VLOOKUP(C262,'Talente &amp; Stuff'!FU:GV,17,FALSE)</f>
        <v>0</v>
      </c>
      <c r="T262" s="119">
        <f>VLOOKUP(C262,'Talente &amp; Stuff'!FU:GV,18,FALSE)</f>
        <v>0</v>
      </c>
      <c r="U262" s="89">
        <f>VLOOKUP(C262,'Talente &amp; Stuff'!FU:GV,19,FALSE)</f>
        <v>0</v>
      </c>
      <c r="V262" s="47">
        <f>VLOOKUP(C262,'Talente &amp; Stuff'!FU:GV,20,FALSE)</f>
        <v>0</v>
      </c>
      <c r="W262" s="127">
        <f>VLOOKUP(C262,'Talente &amp; Stuff'!FU:GV,21,FALSE)</f>
        <v>0</v>
      </c>
      <c r="X262" s="127">
        <f>VLOOKUP(C262,'Talente &amp; Stuff'!FU:GV,22,FALSE)</f>
        <v>0</v>
      </c>
      <c r="Y262" s="165">
        <f t="shared" si="22"/>
        <v>0</v>
      </c>
      <c r="Z262" s="44">
        <f t="shared" si="23"/>
        <v>0</v>
      </c>
      <c r="AA262" s="125">
        <f>VLOOKUP(C262,'Talente &amp; Stuff'!FU:GV,25,FALSE)</f>
        <v>0</v>
      </c>
      <c r="AB262" s="160">
        <f>VLOOKUP(C262,'Talente &amp; Stuff'!FU:GV,26,FALSE)</f>
        <v>0</v>
      </c>
      <c r="AC262" s="127">
        <f>VLOOKUP(C262,'Talente &amp; Stuff'!FU:GV,27,FALSE)</f>
        <v>0</v>
      </c>
      <c r="AD262" s="125">
        <f>VLOOKUP(C262,'Talente &amp; Stuff'!FU:GV,28,FALSE)</f>
        <v>0</v>
      </c>
      <c r="AE262" s="28"/>
    </row>
    <row r="263" spans="2:31" ht="15" hidden="1" customHeight="1" outlineLevel="2">
      <c r="B263" s="148">
        <v>3</v>
      </c>
      <c r="C263" s="163" t="str">
        <f>Attribute!C263</f>
        <v>---</v>
      </c>
      <c r="D263" s="125" t="str">
        <f>VLOOKUP(C263,'Talente &amp; Stuff'!FU:GV,2,FALSE)</f>
        <v>--/--/--</v>
      </c>
      <c r="E263" s="127" t="str">
        <f>VLOOKUP(C263,'Talente &amp; Stuff'!FU:GV,3,FALSE)</f>
        <v>-</v>
      </c>
      <c r="F263" s="114">
        <f>VLOOKUP(C263,'Talente &amp; Stuff'!FU:GV,4,FALSE)</f>
        <v>0</v>
      </c>
      <c r="G263" s="113">
        <f>VLOOKUP(C263,'Talente &amp; Stuff'!FU:GV,5,FALSE)</f>
        <v>0</v>
      </c>
      <c r="H263" s="113">
        <f>VLOOKUP(C263,'Talente &amp; Stuff'!FU:GV,6,FALSE)</f>
        <v>0</v>
      </c>
      <c r="I263" s="113">
        <f>VLOOKUP(C263,'Talente &amp; Stuff'!FU:GV,7,FALSE)</f>
        <v>0</v>
      </c>
      <c r="J263" s="113">
        <f>VLOOKUP(C263,'Talente &amp; Stuff'!FU:GV,8,FALSE)</f>
        <v>0</v>
      </c>
      <c r="K263" s="113">
        <f>VLOOKUP(C263,'Talente &amp; Stuff'!FU:GV,9,FALSE)</f>
        <v>0</v>
      </c>
      <c r="L263" s="113">
        <f>VLOOKUP(C263,'Talente &amp; Stuff'!FU:GV,10,FALSE)</f>
        <v>0</v>
      </c>
      <c r="M263" s="119">
        <f>VLOOKUP(C263,'Talente &amp; Stuff'!FU:GV,11,FALSE)</f>
        <v>0</v>
      </c>
      <c r="N263" s="47">
        <f>VLOOKUP(C263,'Talente &amp; Stuff'!FU:GV,12,FALSE)</f>
        <v>0</v>
      </c>
      <c r="O263" s="47">
        <f>VLOOKUP(C263,'Talente &amp; Stuff'!FU:GV,13,FALSE)</f>
        <v>0</v>
      </c>
      <c r="P263" s="119">
        <f>VLOOKUP(C263,'Talente &amp; Stuff'!FU:GV,14,FALSE)</f>
        <v>0</v>
      </c>
      <c r="Q263" s="114">
        <f>VLOOKUP(C263,'Talente &amp; Stuff'!FU:GV,15,FALSE)</f>
        <v>0</v>
      </c>
      <c r="R263" s="113">
        <f>VLOOKUP(C263,'Talente &amp; Stuff'!FU:GV,16,FALSE)</f>
        <v>0</v>
      </c>
      <c r="S263" s="119">
        <f>VLOOKUP(C263,'Talente &amp; Stuff'!FU:GV,17,FALSE)</f>
        <v>0</v>
      </c>
      <c r="T263" s="119">
        <f>VLOOKUP(C263,'Talente &amp; Stuff'!FU:GV,18,FALSE)</f>
        <v>0</v>
      </c>
      <c r="U263" s="89">
        <f>VLOOKUP(C263,'Talente &amp; Stuff'!FU:GV,19,FALSE)</f>
        <v>0</v>
      </c>
      <c r="V263" s="47">
        <f>VLOOKUP(C263,'Talente &amp; Stuff'!FU:GV,20,FALSE)</f>
        <v>0</v>
      </c>
      <c r="W263" s="127">
        <f>VLOOKUP(C263,'Talente &amp; Stuff'!FU:GV,21,FALSE)</f>
        <v>0</v>
      </c>
      <c r="X263" s="127">
        <f>VLOOKUP(C263,'Talente &amp; Stuff'!FU:GV,22,FALSE)</f>
        <v>0</v>
      </c>
      <c r="Y263" s="165">
        <f t="shared" si="22"/>
        <v>0</v>
      </c>
      <c r="Z263" s="44">
        <f t="shared" si="23"/>
        <v>0</v>
      </c>
      <c r="AA263" s="125">
        <f>VLOOKUP(C263,'Talente &amp; Stuff'!FU:GV,25,FALSE)</f>
        <v>0</v>
      </c>
      <c r="AB263" s="160">
        <f>VLOOKUP(C263,'Talente &amp; Stuff'!FU:GV,26,FALSE)</f>
        <v>0</v>
      </c>
      <c r="AC263" s="127">
        <f>VLOOKUP(C263,'Talente &amp; Stuff'!FU:GV,27,FALSE)</f>
        <v>0</v>
      </c>
      <c r="AD263" s="125">
        <f>VLOOKUP(C263,'Talente &amp; Stuff'!FU:GV,28,FALSE)</f>
        <v>0</v>
      </c>
      <c r="AE263" s="28"/>
    </row>
    <row r="264" spans="2:31" ht="15" hidden="1" customHeight="1" outlineLevel="2">
      <c r="B264" s="148">
        <v>4</v>
      </c>
      <c r="C264" s="163" t="str">
        <f>Attribute!C264</f>
        <v>---</v>
      </c>
      <c r="D264" s="86" t="str">
        <f>VLOOKUP(C264,'Talente &amp; Stuff'!FU:GV,2,FALSE)</f>
        <v>--/--/--</v>
      </c>
      <c r="E264" s="167" t="str">
        <f>VLOOKUP(C264,'Talente &amp; Stuff'!FU:GV,3,FALSE)</f>
        <v>-</v>
      </c>
      <c r="F264" s="120">
        <f>VLOOKUP(C264,'Talente &amp; Stuff'!FU:GV,4,FALSE)</f>
        <v>0</v>
      </c>
      <c r="G264" s="117">
        <f>VLOOKUP(C264,'Talente &amp; Stuff'!FU:GV,5,FALSE)</f>
        <v>0</v>
      </c>
      <c r="H264" s="117">
        <f>VLOOKUP(C264,'Talente &amp; Stuff'!FU:GV,6,FALSE)</f>
        <v>0</v>
      </c>
      <c r="I264" s="117">
        <f>VLOOKUP(C264,'Talente &amp; Stuff'!FU:GV,7,FALSE)</f>
        <v>0</v>
      </c>
      <c r="J264" s="117">
        <f>VLOOKUP(C264,'Talente &amp; Stuff'!FU:GV,8,FALSE)</f>
        <v>0</v>
      </c>
      <c r="K264" s="117">
        <f>VLOOKUP(C264,'Talente &amp; Stuff'!FU:GV,9,FALSE)</f>
        <v>0</v>
      </c>
      <c r="L264" s="117">
        <f>VLOOKUP(C264,'Talente &amp; Stuff'!FU:GV,10,FALSE)</f>
        <v>0</v>
      </c>
      <c r="M264" s="121">
        <f>VLOOKUP(C264,'Talente &amp; Stuff'!FU:GV,11,FALSE)</f>
        <v>0</v>
      </c>
      <c r="N264" s="47">
        <f>VLOOKUP(C264,'Talente &amp; Stuff'!FU:GV,12,FALSE)</f>
        <v>0</v>
      </c>
      <c r="O264" s="3">
        <f>VLOOKUP(C264,'Talente &amp; Stuff'!FU:GV,13,FALSE)</f>
        <v>0</v>
      </c>
      <c r="P264" s="174">
        <f>VLOOKUP(C264,'Talente &amp; Stuff'!FU:GV,14,FALSE)</f>
        <v>0</v>
      </c>
      <c r="Q264" s="114">
        <f>VLOOKUP(C264,'Talente &amp; Stuff'!FU:GV,15,FALSE)</f>
        <v>0</v>
      </c>
      <c r="R264" s="117">
        <f>VLOOKUP(C264,'Talente &amp; Stuff'!FU:GV,16,FALSE)</f>
        <v>0</v>
      </c>
      <c r="S264" s="119">
        <f>VLOOKUP(C264,'Talente &amp; Stuff'!FU:GV,17,FALSE)</f>
        <v>0</v>
      </c>
      <c r="T264" s="119">
        <f>VLOOKUP(C264,'Talente &amp; Stuff'!FU:GV,18,FALSE)</f>
        <v>0</v>
      </c>
      <c r="U264" s="89">
        <f>VLOOKUP(C264,'Talente &amp; Stuff'!FU:GV,19,FALSE)</f>
        <v>0</v>
      </c>
      <c r="V264" s="47">
        <f>VLOOKUP(C264,'Talente &amp; Stuff'!FU:GV,20,FALSE)</f>
        <v>0</v>
      </c>
      <c r="W264" s="127">
        <f>VLOOKUP(C264,'Talente &amp; Stuff'!FU:GV,21,FALSE)</f>
        <v>0</v>
      </c>
      <c r="X264" s="127">
        <f>VLOOKUP(C264,'Talente &amp; Stuff'!FU:GV,22,FALSE)</f>
        <v>0</v>
      </c>
      <c r="Y264" s="165">
        <f t="shared" si="22"/>
        <v>0</v>
      </c>
      <c r="Z264" s="44">
        <f t="shared" si="23"/>
        <v>0</v>
      </c>
      <c r="AA264" s="125">
        <f>VLOOKUP(C264,'Talente &amp; Stuff'!FU:GV,25,FALSE)</f>
        <v>0</v>
      </c>
      <c r="AB264" s="160">
        <f>VLOOKUP(C264,'Talente &amp; Stuff'!FU:GV,26,FALSE)</f>
        <v>0</v>
      </c>
      <c r="AC264" s="127">
        <f>VLOOKUP(C264,'Talente &amp; Stuff'!FU:GV,27,FALSE)</f>
        <v>0</v>
      </c>
      <c r="AD264" s="125">
        <f>VLOOKUP(C264,'Talente &amp; Stuff'!FU:GV,28,FALSE)</f>
        <v>0</v>
      </c>
      <c r="AE264" s="28"/>
    </row>
    <row r="265" spans="2:31" ht="15" hidden="1" customHeight="1" outlineLevel="2">
      <c r="B265" s="148">
        <v>5</v>
      </c>
      <c r="C265" s="163" t="str">
        <f>Attribute!C265</f>
        <v>---</v>
      </c>
      <c r="D265" s="86" t="str">
        <f>VLOOKUP(C265,'Talente &amp; Stuff'!FU:GV,2,FALSE)</f>
        <v>--/--/--</v>
      </c>
      <c r="E265" s="167" t="str">
        <f>VLOOKUP(C265,'Talente &amp; Stuff'!FU:GV,3,FALSE)</f>
        <v>-</v>
      </c>
      <c r="F265" s="120">
        <f>VLOOKUP(C265,'Talente &amp; Stuff'!FU:GV,4,FALSE)</f>
        <v>0</v>
      </c>
      <c r="G265" s="117">
        <f>VLOOKUP(C265,'Talente &amp; Stuff'!FU:GV,5,FALSE)</f>
        <v>0</v>
      </c>
      <c r="H265" s="117">
        <f>VLOOKUP(C265,'Talente &amp; Stuff'!FU:GV,6,FALSE)</f>
        <v>0</v>
      </c>
      <c r="I265" s="117">
        <f>VLOOKUP(C265,'Talente &amp; Stuff'!FU:GV,7,FALSE)</f>
        <v>0</v>
      </c>
      <c r="J265" s="117">
        <f>VLOOKUP(C265,'Talente &amp; Stuff'!FU:GV,8,FALSE)</f>
        <v>0</v>
      </c>
      <c r="K265" s="117">
        <f>VLOOKUP(C265,'Talente &amp; Stuff'!FU:GV,9,FALSE)</f>
        <v>0</v>
      </c>
      <c r="L265" s="117">
        <f>VLOOKUP(C265,'Talente &amp; Stuff'!FU:GV,10,FALSE)</f>
        <v>0</v>
      </c>
      <c r="M265" s="121">
        <f>VLOOKUP(C265,'Talente &amp; Stuff'!FU:GV,11,FALSE)</f>
        <v>0</v>
      </c>
      <c r="N265" s="47">
        <f>VLOOKUP(C265,'Talente &amp; Stuff'!FU:GV,12,FALSE)</f>
        <v>0</v>
      </c>
      <c r="O265" s="3">
        <f>VLOOKUP(C265,'Talente &amp; Stuff'!FU:GV,13,FALSE)</f>
        <v>0</v>
      </c>
      <c r="P265" s="174">
        <f>VLOOKUP(C265,'Talente &amp; Stuff'!FU:GV,14,FALSE)</f>
        <v>0</v>
      </c>
      <c r="Q265" s="114">
        <f>VLOOKUP(C265,'Talente &amp; Stuff'!FU:GV,15,FALSE)</f>
        <v>0</v>
      </c>
      <c r="R265" s="117">
        <f>VLOOKUP(C265,'Talente &amp; Stuff'!FU:GV,16,FALSE)</f>
        <v>0</v>
      </c>
      <c r="S265" s="119">
        <f>VLOOKUP(C265,'Talente &amp; Stuff'!FU:GV,17,FALSE)</f>
        <v>0</v>
      </c>
      <c r="T265" s="119">
        <f>VLOOKUP(C265,'Talente &amp; Stuff'!FU:GV,18,FALSE)</f>
        <v>0</v>
      </c>
      <c r="U265" s="89">
        <f>VLOOKUP(C265,'Talente &amp; Stuff'!FU:GV,19,FALSE)</f>
        <v>0</v>
      </c>
      <c r="V265" s="47">
        <f>VLOOKUP(C265,'Talente &amp; Stuff'!FU:GV,20,FALSE)</f>
        <v>0</v>
      </c>
      <c r="W265" s="127">
        <f>VLOOKUP(C265,'Talente &amp; Stuff'!FU:GV,21,FALSE)</f>
        <v>0</v>
      </c>
      <c r="X265" s="127">
        <f>VLOOKUP(C265,'Talente &amp; Stuff'!FU:GV,22,FALSE)</f>
        <v>0</v>
      </c>
      <c r="Y265" s="165">
        <f t="shared" si="22"/>
        <v>0</v>
      </c>
      <c r="Z265" s="44">
        <f t="shared" si="23"/>
        <v>0</v>
      </c>
      <c r="AA265" s="125">
        <f>VLOOKUP(C265,'Talente &amp; Stuff'!FU:GV,25,FALSE)</f>
        <v>0</v>
      </c>
      <c r="AB265" s="160">
        <f>VLOOKUP(C265,'Talente &amp; Stuff'!FU:GV,26,FALSE)</f>
        <v>0</v>
      </c>
      <c r="AC265" s="127">
        <f>VLOOKUP(C265,'Talente &amp; Stuff'!FU:GV,27,FALSE)</f>
        <v>0</v>
      </c>
      <c r="AD265" s="125">
        <f>VLOOKUP(C265,'Talente &amp; Stuff'!FU:GV,28,FALSE)</f>
        <v>0</v>
      </c>
      <c r="AE265" s="28"/>
    </row>
    <row r="266" spans="2:31" ht="15" hidden="1" customHeight="1" outlineLevel="2">
      <c r="B266" s="148">
        <v>6</v>
      </c>
      <c r="C266" s="163" t="str">
        <f>Attribute!C266</f>
        <v>---</v>
      </c>
      <c r="D266" s="125" t="str">
        <f>VLOOKUP(C266,'Talente &amp; Stuff'!FU:GV,2,FALSE)</f>
        <v>--/--/--</v>
      </c>
      <c r="E266" s="127" t="str">
        <f>VLOOKUP(C266,'Talente &amp; Stuff'!FU:GV,3,FALSE)</f>
        <v>-</v>
      </c>
      <c r="F266" s="114">
        <f>VLOOKUP(C266,'Talente &amp; Stuff'!FU:GV,4,FALSE)</f>
        <v>0</v>
      </c>
      <c r="G266" s="113">
        <f>VLOOKUP(C266,'Talente &amp; Stuff'!FU:GV,5,FALSE)</f>
        <v>0</v>
      </c>
      <c r="H266" s="113">
        <f>VLOOKUP(C266,'Talente &amp; Stuff'!FU:GV,6,FALSE)</f>
        <v>0</v>
      </c>
      <c r="I266" s="113">
        <f>VLOOKUP(C266,'Talente &amp; Stuff'!FU:GV,7,FALSE)</f>
        <v>0</v>
      </c>
      <c r="J266" s="113">
        <f>VLOOKUP(C266,'Talente &amp; Stuff'!FU:GV,8,FALSE)</f>
        <v>0</v>
      </c>
      <c r="K266" s="113">
        <f>VLOOKUP(C266,'Talente &amp; Stuff'!FU:GV,9,FALSE)</f>
        <v>0</v>
      </c>
      <c r="L266" s="113">
        <f>VLOOKUP(C266,'Talente &amp; Stuff'!FU:GV,10,FALSE)</f>
        <v>0</v>
      </c>
      <c r="M266" s="119">
        <f>VLOOKUP(C266,'Talente &amp; Stuff'!FU:GV,11,FALSE)</f>
        <v>0</v>
      </c>
      <c r="N266" s="47">
        <f>VLOOKUP(C266,'Talente &amp; Stuff'!FU:GV,12,FALSE)</f>
        <v>0</v>
      </c>
      <c r="O266" s="47">
        <f>VLOOKUP(C266,'Talente &amp; Stuff'!FU:GV,13,FALSE)</f>
        <v>0</v>
      </c>
      <c r="P266" s="119">
        <f>VLOOKUP(C266,'Talente &amp; Stuff'!FU:GV,14,FALSE)</f>
        <v>0</v>
      </c>
      <c r="Q266" s="114">
        <f>VLOOKUP(C266,'Talente &amp; Stuff'!FU:GV,15,FALSE)</f>
        <v>0</v>
      </c>
      <c r="R266" s="113">
        <f>VLOOKUP(C266,'Talente &amp; Stuff'!FU:GV,16,FALSE)</f>
        <v>0</v>
      </c>
      <c r="S266" s="119">
        <f>VLOOKUP(C266,'Talente &amp; Stuff'!FU:GV,17,FALSE)</f>
        <v>0</v>
      </c>
      <c r="T266" s="119">
        <f>VLOOKUP(C266,'Talente &amp; Stuff'!FU:GV,18,FALSE)</f>
        <v>0</v>
      </c>
      <c r="U266" s="89">
        <f>VLOOKUP(C266,'Talente &amp; Stuff'!FU:GV,19,FALSE)</f>
        <v>0</v>
      </c>
      <c r="V266" s="47">
        <f>VLOOKUP(C266,'Talente &amp; Stuff'!FU:GV,20,FALSE)</f>
        <v>0</v>
      </c>
      <c r="W266" s="127">
        <f>VLOOKUP(C266,'Talente &amp; Stuff'!FU:GV,21,FALSE)</f>
        <v>0</v>
      </c>
      <c r="X266" s="127">
        <f>VLOOKUP(C266,'Talente &amp; Stuff'!FU:GV,22,FALSE)</f>
        <v>0</v>
      </c>
      <c r="Y266" s="165">
        <f t="shared" si="22"/>
        <v>0</v>
      </c>
      <c r="Z266" s="44">
        <f t="shared" si="23"/>
        <v>0</v>
      </c>
      <c r="AA266" s="125">
        <f>VLOOKUP(C266,'Talente &amp; Stuff'!FU:GV,25,FALSE)</f>
        <v>0</v>
      </c>
      <c r="AB266" s="160">
        <f>VLOOKUP(C266,'Talente &amp; Stuff'!FU:GV,26,FALSE)</f>
        <v>0</v>
      </c>
      <c r="AC266" s="127">
        <f>VLOOKUP(C266,'Talente &amp; Stuff'!FU:GV,27,FALSE)</f>
        <v>0</v>
      </c>
      <c r="AD266" s="125">
        <f>VLOOKUP(C266,'Talente &amp; Stuff'!FU:GV,28,FALSE)</f>
        <v>0</v>
      </c>
      <c r="AE266" s="28"/>
    </row>
    <row r="267" spans="2:31" ht="15" hidden="1" customHeight="1" outlineLevel="2">
      <c r="B267" s="148">
        <v>7</v>
      </c>
      <c r="C267" s="163" t="str">
        <f>Attribute!C267</f>
        <v>---</v>
      </c>
      <c r="D267" s="125" t="str">
        <f>VLOOKUP(C267,'Talente &amp; Stuff'!FU:GV,2,FALSE)</f>
        <v>--/--/--</v>
      </c>
      <c r="E267" s="127" t="str">
        <f>VLOOKUP(C267,'Talente &amp; Stuff'!FU:GV,3,FALSE)</f>
        <v>-</v>
      </c>
      <c r="F267" s="114">
        <f>VLOOKUP(C267,'Talente &amp; Stuff'!FU:GV,4,FALSE)</f>
        <v>0</v>
      </c>
      <c r="G267" s="113">
        <f>VLOOKUP(C267,'Talente &amp; Stuff'!FU:GV,5,FALSE)</f>
        <v>0</v>
      </c>
      <c r="H267" s="113">
        <f>VLOOKUP(C267,'Talente &amp; Stuff'!FU:GV,6,FALSE)</f>
        <v>0</v>
      </c>
      <c r="I267" s="113">
        <f>VLOOKUP(C267,'Talente &amp; Stuff'!FU:GV,7,FALSE)</f>
        <v>0</v>
      </c>
      <c r="J267" s="113">
        <f>VLOOKUP(C267,'Talente &amp; Stuff'!FU:GV,8,FALSE)</f>
        <v>0</v>
      </c>
      <c r="K267" s="113">
        <f>VLOOKUP(C267,'Talente &amp; Stuff'!FU:GV,9,FALSE)</f>
        <v>0</v>
      </c>
      <c r="L267" s="113">
        <f>VLOOKUP(C267,'Talente &amp; Stuff'!FU:GV,10,FALSE)</f>
        <v>0</v>
      </c>
      <c r="M267" s="119">
        <f>VLOOKUP(C267,'Talente &amp; Stuff'!FU:GV,11,FALSE)</f>
        <v>0</v>
      </c>
      <c r="N267" s="47">
        <f>VLOOKUP(C267,'Talente &amp; Stuff'!FU:GV,12,FALSE)</f>
        <v>0</v>
      </c>
      <c r="O267" s="47">
        <f>VLOOKUP(C267,'Talente &amp; Stuff'!FU:GV,13,FALSE)</f>
        <v>0</v>
      </c>
      <c r="P267" s="119">
        <f>VLOOKUP(C267,'Talente &amp; Stuff'!FU:GV,14,FALSE)</f>
        <v>0</v>
      </c>
      <c r="Q267" s="114">
        <f>VLOOKUP(C267,'Talente &amp; Stuff'!FU:GV,15,FALSE)</f>
        <v>0</v>
      </c>
      <c r="R267" s="113">
        <f>VLOOKUP(C267,'Talente &amp; Stuff'!FU:GV,16,FALSE)</f>
        <v>0</v>
      </c>
      <c r="S267" s="119">
        <f>VLOOKUP(C267,'Talente &amp; Stuff'!FU:GV,17,FALSE)</f>
        <v>0</v>
      </c>
      <c r="T267" s="119">
        <f>VLOOKUP(C267,'Talente &amp; Stuff'!FU:GV,18,FALSE)</f>
        <v>0</v>
      </c>
      <c r="U267" s="89">
        <f>VLOOKUP(C267,'Talente &amp; Stuff'!FU:GV,19,FALSE)</f>
        <v>0</v>
      </c>
      <c r="V267" s="47">
        <f>VLOOKUP(C267,'Talente &amp; Stuff'!FU:GV,20,FALSE)</f>
        <v>0</v>
      </c>
      <c r="W267" s="127">
        <f>VLOOKUP(C267,'Talente &amp; Stuff'!FU:GV,21,FALSE)</f>
        <v>0</v>
      </c>
      <c r="X267" s="127">
        <f>VLOOKUP(C267,'Talente &amp; Stuff'!FU:GV,22,FALSE)</f>
        <v>0</v>
      </c>
      <c r="Y267" s="165">
        <f t="shared" si="22"/>
        <v>0</v>
      </c>
      <c r="Z267" s="44">
        <f t="shared" si="23"/>
        <v>0</v>
      </c>
      <c r="AA267" s="125">
        <f>VLOOKUP(C267,'Talente &amp; Stuff'!FU:GV,25,FALSE)</f>
        <v>0</v>
      </c>
      <c r="AB267" s="160">
        <f>VLOOKUP(C267,'Talente &amp; Stuff'!FU:GV,26,FALSE)</f>
        <v>0</v>
      </c>
      <c r="AC267" s="127">
        <f>VLOOKUP(C267,'Talente &amp; Stuff'!FU:GV,27,FALSE)</f>
        <v>0</v>
      </c>
      <c r="AD267" s="125">
        <f>VLOOKUP(C267,'Talente &amp; Stuff'!FU:GV,28,FALSE)</f>
        <v>0</v>
      </c>
      <c r="AE267" s="28"/>
    </row>
    <row r="268" spans="2:31" ht="15" hidden="1" customHeight="1" outlineLevel="2">
      <c r="B268" s="148">
        <v>8</v>
      </c>
      <c r="C268" s="163" t="str">
        <f>Attribute!C268</f>
        <v>---</v>
      </c>
      <c r="D268" s="125" t="str">
        <f>VLOOKUP(C268,'Talente &amp; Stuff'!FU:GV,2,FALSE)</f>
        <v>--/--/--</v>
      </c>
      <c r="E268" s="127" t="str">
        <f>VLOOKUP(C268,'Talente &amp; Stuff'!FU:GV,3,FALSE)</f>
        <v>-</v>
      </c>
      <c r="F268" s="114">
        <f>VLOOKUP(C268,'Talente &amp; Stuff'!FU:GV,4,FALSE)</f>
        <v>0</v>
      </c>
      <c r="G268" s="113">
        <f>VLOOKUP(C268,'Talente &amp; Stuff'!FU:GV,5,FALSE)</f>
        <v>0</v>
      </c>
      <c r="H268" s="113">
        <f>VLOOKUP(C268,'Talente &amp; Stuff'!FU:GV,6,FALSE)</f>
        <v>0</v>
      </c>
      <c r="I268" s="113">
        <f>VLOOKUP(C268,'Talente &amp; Stuff'!FU:GV,7,FALSE)</f>
        <v>0</v>
      </c>
      <c r="J268" s="113">
        <f>VLOOKUP(C268,'Talente &amp; Stuff'!FU:GV,8,FALSE)</f>
        <v>0</v>
      </c>
      <c r="K268" s="113">
        <f>VLOOKUP(C268,'Talente &amp; Stuff'!FU:GV,9,FALSE)</f>
        <v>0</v>
      </c>
      <c r="L268" s="113">
        <f>VLOOKUP(C268,'Talente &amp; Stuff'!FU:GV,10,FALSE)</f>
        <v>0</v>
      </c>
      <c r="M268" s="119">
        <f>VLOOKUP(C268,'Talente &amp; Stuff'!FU:GV,11,FALSE)</f>
        <v>0</v>
      </c>
      <c r="N268" s="47">
        <f>VLOOKUP(C268,'Talente &amp; Stuff'!FU:GV,12,FALSE)</f>
        <v>0</v>
      </c>
      <c r="O268" s="47">
        <f>VLOOKUP(C268,'Talente &amp; Stuff'!FU:GV,13,FALSE)</f>
        <v>0</v>
      </c>
      <c r="P268" s="119">
        <f>VLOOKUP(C268,'Talente &amp; Stuff'!FU:GV,14,FALSE)</f>
        <v>0</v>
      </c>
      <c r="Q268" s="114">
        <f>VLOOKUP(C268,'Talente &amp; Stuff'!FU:GV,15,FALSE)</f>
        <v>0</v>
      </c>
      <c r="R268" s="113">
        <f>VLOOKUP(C268,'Talente &amp; Stuff'!FU:GV,16,FALSE)</f>
        <v>0</v>
      </c>
      <c r="S268" s="119">
        <f>VLOOKUP(C268,'Talente &amp; Stuff'!FU:GV,17,FALSE)</f>
        <v>0</v>
      </c>
      <c r="T268" s="119">
        <f>VLOOKUP(C268,'Talente &amp; Stuff'!FU:GV,18,FALSE)</f>
        <v>0</v>
      </c>
      <c r="U268" s="89">
        <f>VLOOKUP(C268,'Talente &amp; Stuff'!FU:GV,19,FALSE)</f>
        <v>0</v>
      </c>
      <c r="V268" s="47">
        <f>VLOOKUP(C268,'Talente &amp; Stuff'!FU:GV,20,FALSE)</f>
        <v>0</v>
      </c>
      <c r="W268" s="127">
        <f>VLOOKUP(C268,'Talente &amp; Stuff'!FU:GV,21,FALSE)</f>
        <v>0</v>
      </c>
      <c r="X268" s="127">
        <f>VLOOKUP(C268,'Talente &amp; Stuff'!FU:GV,22,FALSE)</f>
        <v>0</v>
      </c>
      <c r="Y268" s="165">
        <f t="shared" si="22"/>
        <v>0</v>
      </c>
      <c r="Z268" s="44">
        <f t="shared" si="23"/>
        <v>0</v>
      </c>
      <c r="AA268" s="125">
        <f>VLOOKUP(C268,'Talente &amp; Stuff'!FU:GV,25,FALSE)</f>
        <v>0</v>
      </c>
      <c r="AB268" s="160">
        <f>VLOOKUP(C268,'Talente &amp; Stuff'!FU:GV,26,FALSE)</f>
        <v>0</v>
      </c>
      <c r="AC268" s="127">
        <f>VLOOKUP(C268,'Talente &amp; Stuff'!FU:GV,27,FALSE)</f>
        <v>0</v>
      </c>
      <c r="AD268" s="125">
        <f>VLOOKUP(C268,'Talente &amp; Stuff'!FU:GV,28,FALSE)</f>
        <v>0</v>
      </c>
      <c r="AE268" s="28"/>
    </row>
    <row r="269" spans="2:31" ht="15" hidden="1" customHeight="1" outlineLevel="2">
      <c r="B269" s="148">
        <v>9</v>
      </c>
      <c r="C269" s="163" t="str">
        <f>Attribute!C269</f>
        <v>---</v>
      </c>
      <c r="D269" s="125" t="str">
        <f>VLOOKUP(C269,'Talente &amp; Stuff'!FU:GV,2,FALSE)</f>
        <v>--/--/--</v>
      </c>
      <c r="E269" s="127" t="str">
        <f>VLOOKUP(C269,'Talente &amp; Stuff'!FU:GV,3,FALSE)</f>
        <v>-</v>
      </c>
      <c r="F269" s="114">
        <f>VLOOKUP(C269,'Talente &amp; Stuff'!FU:GV,4,FALSE)</f>
        <v>0</v>
      </c>
      <c r="G269" s="113">
        <f>VLOOKUP(C269,'Talente &amp; Stuff'!FU:GV,5,FALSE)</f>
        <v>0</v>
      </c>
      <c r="H269" s="113">
        <f>VLOOKUP(C269,'Talente &amp; Stuff'!FU:GV,6,FALSE)</f>
        <v>0</v>
      </c>
      <c r="I269" s="113">
        <f>VLOOKUP(C269,'Talente &amp; Stuff'!FU:GV,7,FALSE)</f>
        <v>0</v>
      </c>
      <c r="J269" s="113">
        <f>VLOOKUP(C269,'Talente &amp; Stuff'!FU:GV,8,FALSE)</f>
        <v>0</v>
      </c>
      <c r="K269" s="113">
        <f>VLOOKUP(C269,'Talente &amp; Stuff'!FU:GV,9,FALSE)</f>
        <v>0</v>
      </c>
      <c r="L269" s="113">
        <f>VLOOKUP(C269,'Talente &amp; Stuff'!FU:GV,10,FALSE)</f>
        <v>0</v>
      </c>
      <c r="M269" s="119">
        <f>VLOOKUP(C269,'Talente &amp; Stuff'!FU:GV,11,FALSE)</f>
        <v>0</v>
      </c>
      <c r="N269" s="47">
        <f>VLOOKUP(C269,'Talente &amp; Stuff'!FU:GV,12,FALSE)</f>
        <v>0</v>
      </c>
      <c r="O269" s="47">
        <f>VLOOKUP(C269,'Talente &amp; Stuff'!FU:GV,13,FALSE)</f>
        <v>0</v>
      </c>
      <c r="P269" s="119">
        <f>VLOOKUP(C269,'Talente &amp; Stuff'!FU:GV,14,FALSE)</f>
        <v>0</v>
      </c>
      <c r="Q269" s="114">
        <f>VLOOKUP(C269,'Talente &amp; Stuff'!FU:GV,15,FALSE)</f>
        <v>0</v>
      </c>
      <c r="R269" s="113">
        <f>VLOOKUP(C269,'Talente &amp; Stuff'!FU:GV,16,FALSE)</f>
        <v>0</v>
      </c>
      <c r="S269" s="119">
        <f>VLOOKUP(C269,'Talente &amp; Stuff'!FU:GV,17,FALSE)</f>
        <v>0</v>
      </c>
      <c r="T269" s="119">
        <f>VLOOKUP(C269,'Talente &amp; Stuff'!FU:GV,18,FALSE)</f>
        <v>0</v>
      </c>
      <c r="U269" s="89">
        <f>VLOOKUP(C269,'Talente &amp; Stuff'!FU:GV,19,FALSE)</f>
        <v>0</v>
      </c>
      <c r="V269" s="47">
        <f>VLOOKUP(C269,'Talente &amp; Stuff'!FU:GV,20,FALSE)</f>
        <v>0</v>
      </c>
      <c r="W269" s="127">
        <f>VLOOKUP(C269,'Talente &amp; Stuff'!FU:GV,21,FALSE)</f>
        <v>0</v>
      </c>
      <c r="X269" s="127">
        <f>VLOOKUP(C269,'Talente &amp; Stuff'!FU:GV,22,FALSE)</f>
        <v>0</v>
      </c>
      <c r="Y269" s="165">
        <f t="shared" si="22"/>
        <v>0</v>
      </c>
      <c r="Z269" s="44">
        <f t="shared" si="23"/>
        <v>0</v>
      </c>
      <c r="AA269" s="125">
        <f>VLOOKUP(C269,'Talente &amp; Stuff'!FU:GV,25,FALSE)</f>
        <v>0</v>
      </c>
      <c r="AB269" s="160">
        <f>VLOOKUP(C269,'Talente &amp; Stuff'!FU:GV,26,FALSE)</f>
        <v>0</v>
      </c>
      <c r="AC269" s="127">
        <f>VLOOKUP(C269,'Talente &amp; Stuff'!FU:GV,27,FALSE)</f>
        <v>0</v>
      </c>
      <c r="AD269" s="125">
        <f>VLOOKUP(C269,'Talente &amp; Stuff'!FU:GV,28,FALSE)</f>
        <v>0</v>
      </c>
      <c r="AE269" s="28"/>
    </row>
    <row r="270" spans="2:31" ht="15" hidden="1" customHeight="1" outlineLevel="2">
      <c r="B270" s="148">
        <v>10</v>
      </c>
      <c r="C270" s="163" t="str">
        <f>Attribute!C270</f>
        <v>---</v>
      </c>
      <c r="D270" s="86" t="str">
        <f>VLOOKUP(C270,'Talente &amp; Stuff'!FU:GV,2,FALSE)</f>
        <v>--/--/--</v>
      </c>
      <c r="E270" s="167" t="str">
        <f>VLOOKUP(C270,'Talente &amp; Stuff'!FU:GV,3,FALSE)</f>
        <v>-</v>
      </c>
      <c r="F270" s="120">
        <f>VLOOKUP(C270,'Talente &amp; Stuff'!FU:GV,4,FALSE)</f>
        <v>0</v>
      </c>
      <c r="G270" s="117">
        <f>VLOOKUP(C270,'Talente &amp; Stuff'!FU:GV,5,FALSE)</f>
        <v>0</v>
      </c>
      <c r="H270" s="117">
        <f>VLOOKUP(C270,'Talente &amp; Stuff'!FU:GV,6,FALSE)</f>
        <v>0</v>
      </c>
      <c r="I270" s="117">
        <f>VLOOKUP(C270,'Talente &amp; Stuff'!FU:GV,7,FALSE)</f>
        <v>0</v>
      </c>
      <c r="J270" s="117">
        <f>VLOOKUP(C270,'Talente &amp; Stuff'!FU:GV,8,FALSE)</f>
        <v>0</v>
      </c>
      <c r="K270" s="117">
        <f>VLOOKUP(C270,'Talente &amp; Stuff'!FU:GV,9,FALSE)</f>
        <v>0</v>
      </c>
      <c r="L270" s="117">
        <f>VLOOKUP(C270,'Talente &amp; Stuff'!FU:GV,10,FALSE)</f>
        <v>0</v>
      </c>
      <c r="M270" s="121">
        <f>VLOOKUP(C270,'Talente &amp; Stuff'!FU:GV,11,FALSE)</f>
        <v>0</v>
      </c>
      <c r="N270" s="47">
        <f>VLOOKUP(C270,'Talente &amp; Stuff'!FU:GV,12,FALSE)</f>
        <v>0</v>
      </c>
      <c r="O270" s="3">
        <f>VLOOKUP(C270,'Talente &amp; Stuff'!FU:GV,13,FALSE)</f>
        <v>0</v>
      </c>
      <c r="P270" s="174">
        <f>VLOOKUP(C270,'Talente &amp; Stuff'!FU:GV,14,FALSE)</f>
        <v>0</v>
      </c>
      <c r="Q270" s="114">
        <f>VLOOKUP(C270,'Talente &amp; Stuff'!FU:GV,15,FALSE)</f>
        <v>0</v>
      </c>
      <c r="R270" s="117">
        <f>VLOOKUP(C270,'Talente &amp; Stuff'!FU:GV,16,FALSE)</f>
        <v>0</v>
      </c>
      <c r="S270" s="119">
        <f>VLOOKUP(C270,'Talente &amp; Stuff'!FU:GV,17,FALSE)</f>
        <v>0</v>
      </c>
      <c r="T270" s="119">
        <f>VLOOKUP(C270,'Talente &amp; Stuff'!FU:GV,18,FALSE)</f>
        <v>0</v>
      </c>
      <c r="U270" s="89">
        <f>VLOOKUP(C270,'Talente &amp; Stuff'!FU:GV,19,FALSE)</f>
        <v>0</v>
      </c>
      <c r="V270" s="47">
        <f>VLOOKUP(C270,'Talente &amp; Stuff'!FU:GV,20,FALSE)</f>
        <v>0</v>
      </c>
      <c r="W270" s="127">
        <f>VLOOKUP(C270,'Talente &amp; Stuff'!FU:GV,21,FALSE)</f>
        <v>0</v>
      </c>
      <c r="X270" s="127">
        <f>VLOOKUP(C270,'Talente &amp; Stuff'!FU:GV,22,FALSE)</f>
        <v>0</v>
      </c>
      <c r="Y270" s="165">
        <f t="shared" si="22"/>
        <v>0</v>
      </c>
      <c r="Z270" s="44">
        <f t="shared" si="23"/>
        <v>0</v>
      </c>
      <c r="AA270" s="125">
        <f>VLOOKUP(C270,'Talente &amp; Stuff'!FU:GV,25,FALSE)</f>
        <v>0</v>
      </c>
      <c r="AB270" s="160">
        <f>VLOOKUP(C270,'Talente &amp; Stuff'!FU:GV,26,FALSE)</f>
        <v>0</v>
      </c>
      <c r="AC270" s="127">
        <f>VLOOKUP(C270,'Talente &amp; Stuff'!FU:GV,27,FALSE)</f>
        <v>0</v>
      </c>
      <c r="AD270" s="125">
        <f>VLOOKUP(C270,'Talente &amp; Stuff'!FU:GV,28,FALSE)</f>
        <v>0</v>
      </c>
      <c r="AE270" s="28"/>
    </row>
    <row r="271" spans="2:31" ht="15" hidden="1" customHeight="1" outlineLevel="2">
      <c r="B271" s="148">
        <v>11</v>
      </c>
      <c r="C271" s="163" t="str">
        <f>Attribute!C271</f>
        <v>---</v>
      </c>
      <c r="D271" s="86" t="str">
        <f>VLOOKUP(C271,'Talente &amp; Stuff'!FU:GV,2,FALSE)</f>
        <v>--/--/--</v>
      </c>
      <c r="E271" s="167" t="str">
        <f>VLOOKUP(C271,'Talente &amp; Stuff'!FU:GV,3,FALSE)</f>
        <v>-</v>
      </c>
      <c r="F271" s="120">
        <f>VLOOKUP(C271,'Talente &amp; Stuff'!FU:GV,4,FALSE)</f>
        <v>0</v>
      </c>
      <c r="G271" s="117">
        <f>VLOOKUP(C271,'Talente &amp; Stuff'!FU:GV,5,FALSE)</f>
        <v>0</v>
      </c>
      <c r="H271" s="117">
        <f>VLOOKUP(C271,'Talente &amp; Stuff'!FU:GV,6,FALSE)</f>
        <v>0</v>
      </c>
      <c r="I271" s="117">
        <f>VLOOKUP(C271,'Talente &amp; Stuff'!FU:GV,7,FALSE)</f>
        <v>0</v>
      </c>
      <c r="J271" s="117">
        <f>VLOOKUP(C271,'Talente &amp; Stuff'!FU:GV,8,FALSE)</f>
        <v>0</v>
      </c>
      <c r="K271" s="117">
        <f>VLOOKUP(C271,'Talente &amp; Stuff'!FU:GV,9,FALSE)</f>
        <v>0</v>
      </c>
      <c r="L271" s="117">
        <f>VLOOKUP(C271,'Talente &amp; Stuff'!FU:GV,10,FALSE)</f>
        <v>0</v>
      </c>
      <c r="M271" s="121">
        <f>VLOOKUP(C271,'Talente &amp; Stuff'!FU:GV,11,FALSE)</f>
        <v>0</v>
      </c>
      <c r="N271" s="47">
        <f>VLOOKUP(C271,'Talente &amp; Stuff'!FU:GV,12,FALSE)</f>
        <v>0</v>
      </c>
      <c r="O271" s="3">
        <f>VLOOKUP(C271,'Talente &amp; Stuff'!FU:GV,13,FALSE)</f>
        <v>0</v>
      </c>
      <c r="P271" s="174">
        <f>VLOOKUP(C271,'Talente &amp; Stuff'!FU:GV,14,FALSE)</f>
        <v>0</v>
      </c>
      <c r="Q271" s="114">
        <f>VLOOKUP(C271,'Talente &amp; Stuff'!FU:GV,15,FALSE)</f>
        <v>0</v>
      </c>
      <c r="R271" s="117">
        <f>VLOOKUP(C271,'Talente &amp; Stuff'!FU:GV,16,FALSE)</f>
        <v>0</v>
      </c>
      <c r="S271" s="119">
        <f>VLOOKUP(C271,'Talente &amp; Stuff'!FU:GV,17,FALSE)</f>
        <v>0</v>
      </c>
      <c r="T271" s="119">
        <f>VLOOKUP(C271,'Talente &amp; Stuff'!FU:GV,18,FALSE)</f>
        <v>0</v>
      </c>
      <c r="U271" s="89">
        <f>VLOOKUP(C271,'Talente &amp; Stuff'!FU:GV,19,FALSE)</f>
        <v>0</v>
      </c>
      <c r="V271" s="47">
        <f>VLOOKUP(C271,'Talente &amp; Stuff'!FU:GV,20,FALSE)</f>
        <v>0</v>
      </c>
      <c r="W271" s="127">
        <f>VLOOKUP(C271,'Talente &amp; Stuff'!FU:GV,21,FALSE)</f>
        <v>0</v>
      </c>
      <c r="X271" s="127">
        <f>VLOOKUP(C271,'Talente &amp; Stuff'!FU:GV,22,FALSE)</f>
        <v>0</v>
      </c>
      <c r="Y271" s="165">
        <f t="shared" si="22"/>
        <v>0</v>
      </c>
      <c r="Z271" s="44">
        <f t="shared" si="23"/>
        <v>0</v>
      </c>
      <c r="AA271" s="125">
        <f>VLOOKUP(C271,'Talente &amp; Stuff'!FU:GV,25,FALSE)</f>
        <v>0</v>
      </c>
      <c r="AB271" s="160">
        <f>VLOOKUP(C271,'Talente &amp; Stuff'!FU:GV,26,FALSE)</f>
        <v>0</v>
      </c>
      <c r="AC271" s="127">
        <f>VLOOKUP(C271,'Talente &amp; Stuff'!FU:GV,27,FALSE)</f>
        <v>0</v>
      </c>
      <c r="AD271" s="125">
        <f>VLOOKUP(C271,'Talente &amp; Stuff'!FU:GV,28,FALSE)</f>
        <v>0</v>
      </c>
      <c r="AE271" s="28"/>
    </row>
    <row r="272" spans="2:31" ht="15" hidden="1" customHeight="1" outlineLevel="2">
      <c r="B272" s="148">
        <v>12</v>
      </c>
      <c r="C272" s="163" t="str">
        <f>Attribute!C272</f>
        <v>---</v>
      </c>
      <c r="D272" s="86" t="str">
        <f>VLOOKUP(C272,'Talente &amp; Stuff'!FU:GV,2,FALSE)</f>
        <v>--/--/--</v>
      </c>
      <c r="E272" s="167" t="str">
        <f>VLOOKUP(C272,'Talente &amp; Stuff'!FU:GV,3,FALSE)</f>
        <v>-</v>
      </c>
      <c r="F272" s="120">
        <f>VLOOKUP(C272,'Talente &amp; Stuff'!FU:GV,4,FALSE)</f>
        <v>0</v>
      </c>
      <c r="G272" s="117">
        <f>VLOOKUP(C272,'Talente &amp; Stuff'!FU:GV,5,FALSE)</f>
        <v>0</v>
      </c>
      <c r="H272" s="117">
        <f>VLOOKUP(C272,'Talente &amp; Stuff'!FU:GV,6,FALSE)</f>
        <v>0</v>
      </c>
      <c r="I272" s="117">
        <f>VLOOKUP(C272,'Talente &amp; Stuff'!FU:GV,7,FALSE)</f>
        <v>0</v>
      </c>
      <c r="J272" s="117">
        <f>VLOOKUP(C272,'Talente &amp; Stuff'!FU:GV,8,FALSE)</f>
        <v>0</v>
      </c>
      <c r="K272" s="117">
        <f>VLOOKUP(C272,'Talente &amp; Stuff'!FU:GV,9,FALSE)</f>
        <v>0</v>
      </c>
      <c r="L272" s="117">
        <f>VLOOKUP(C272,'Talente &amp; Stuff'!FU:GV,10,FALSE)</f>
        <v>0</v>
      </c>
      <c r="M272" s="121">
        <f>VLOOKUP(C272,'Talente &amp; Stuff'!FU:GV,11,FALSE)</f>
        <v>0</v>
      </c>
      <c r="N272" s="47">
        <f>VLOOKUP(C272,'Talente &amp; Stuff'!FU:GV,12,FALSE)</f>
        <v>0</v>
      </c>
      <c r="O272" s="3">
        <f>VLOOKUP(C272,'Talente &amp; Stuff'!FU:GV,13,FALSE)</f>
        <v>0</v>
      </c>
      <c r="P272" s="174">
        <f>VLOOKUP(C272,'Talente &amp; Stuff'!FU:GV,14,FALSE)</f>
        <v>0</v>
      </c>
      <c r="Q272" s="114">
        <f>VLOOKUP(C272,'Talente &amp; Stuff'!FU:GV,15,FALSE)</f>
        <v>0</v>
      </c>
      <c r="R272" s="117">
        <f>VLOOKUP(C272,'Talente &amp; Stuff'!FU:GV,16,FALSE)</f>
        <v>0</v>
      </c>
      <c r="S272" s="119">
        <f>VLOOKUP(C272,'Talente &amp; Stuff'!FU:GV,17,FALSE)</f>
        <v>0</v>
      </c>
      <c r="T272" s="119">
        <f>VLOOKUP(C272,'Talente &amp; Stuff'!FU:GV,18,FALSE)</f>
        <v>0</v>
      </c>
      <c r="U272" s="89">
        <f>VLOOKUP(C272,'Talente &amp; Stuff'!FU:GV,19,FALSE)</f>
        <v>0</v>
      </c>
      <c r="V272" s="47">
        <f>VLOOKUP(C272,'Talente &amp; Stuff'!FU:GV,20,FALSE)</f>
        <v>0</v>
      </c>
      <c r="W272" s="127">
        <f>VLOOKUP(C272,'Talente &amp; Stuff'!FU:GV,21,FALSE)</f>
        <v>0</v>
      </c>
      <c r="X272" s="127">
        <f>VLOOKUP(C272,'Talente &amp; Stuff'!FU:GV,22,FALSE)</f>
        <v>0</v>
      </c>
      <c r="Y272" s="165">
        <f t="shared" si="22"/>
        <v>0</v>
      </c>
      <c r="Z272" s="44">
        <f t="shared" si="23"/>
        <v>0</v>
      </c>
      <c r="AA272" s="125">
        <f>VLOOKUP(C272,'Talente &amp; Stuff'!FU:GV,25,FALSE)</f>
        <v>0</v>
      </c>
      <c r="AB272" s="160">
        <f>VLOOKUP(C272,'Talente &amp; Stuff'!FU:GV,26,FALSE)</f>
        <v>0</v>
      </c>
      <c r="AC272" s="127">
        <f>VLOOKUP(C272,'Talente &amp; Stuff'!FU:GV,27,FALSE)</f>
        <v>0</v>
      </c>
      <c r="AD272" s="125">
        <f>VLOOKUP(C272,'Talente &amp; Stuff'!FU:GV,28,FALSE)</f>
        <v>0</v>
      </c>
      <c r="AE272" s="28"/>
    </row>
    <row r="273" spans="2:31" ht="15" hidden="1" customHeight="1" outlineLevel="2">
      <c r="B273" s="148">
        <v>13</v>
      </c>
      <c r="C273" s="163" t="str">
        <f>Attribute!C273</f>
        <v>---</v>
      </c>
      <c r="D273" s="86" t="str">
        <f>VLOOKUP(C273,'Talente &amp; Stuff'!FU:GV,2,FALSE)</f>
        <v>--/--/--</v>
      </c>
      <c r="E273" s="167" t="str">
        <f>VLOOKUP(C273,'Talente &amp; Stuff'!FU:GV,3,FALSE)</f>
        <v>-</v>
      </c>
      <c r="F273" s="120">
        <f>VLOOKUP(C273,'Talente &amp; Stuff'!FU:GV,4,FALSE)</f>
        <v>0</v>
      </c>
      <c r="G273" s="117">
        <f>VLOOKUP(C273,'Talente &amp; Stuff'!FU:GV,5,FALSE)</f>
        <v>0</v>
      </c>
      <c r="H273" s="117">
        <f>VLOOKUP(C273,'Talente &amp; Stuff'!FU:GV,6,FALSE)</f>
        <v>0</v>
      </c>
      <c r="I273" s="117">
        <f>VLOOKUP(C273,'Talente &amp; Stuff'!FU:GV,7,FALSE)</f>
        <v>0</v>
      </c>
      <c r="J273" s="117">
        <f>VLOOKUP(C273,'Talente &amp; Stuff'!FU:GV,8,FALSE)</f>
        <v>0</v>
      </c>
      <c r="K273" s="117">
        <f>VLOOKUP(C273,'Talente &amp; Stuff'!FU:GV,9,FALSE)</f>
        <v>0</v>
      </c>
      <c r="L273" s="117">
        <f>VLOOKUP(C273,'Talente &amp; Stuff'!FU:GV,10,FALSE)</f>
        <v>0</v>
      </c>
      <c r="M273" s="121">
        <f>VLOOKUP(C273,'Talente &amp; Stuff'!FU:GV,11,FALSE)</f>
        <v>0</v>
      </c>
      <c r="N273" s="47">
        <f>VLOOKUP(C273,'Talente &amp; Stuff'!FU:GV,12,FALSE)</f>
        <v>0</v>
      </c>
      <c r="O273" s="3">
        <f>VLOOKUP(C273,'Talente &amp; Stuff'!FU:GV,13,FALSE)</f>
        <v>0</v>
      </c>
      <c r="P273" s="174">
        <f>VLOOKUP(C273,'Talente &amp; Stuff'!FU:GV,14,FALSE)</f>
        <v>0</v>
      </c>
      <c r="Q273" s="114">
        <f>VLOOKUP(C273,'Talente &amp; Stuff'!FU:GV,15,FALSE)</f>
        <v>0</v>
      </c>
      <c r="R273" s="117">
        <f>VLOOKUP(C273,'Talente &amp; Stuff'!FU:GV,16,FALSE)</f>
        <v>0</v>
      </c>
      <c r="S273" s="119">
        <f>VLOOKUP(C273,'Talente &amp; Stuff'!FU:GV,17,FALSE)</f>
        <v>0</v>
      </c>
      <c r="T273" s="119">
        <f>VLOOKUP(C273,'Talente &amp; Stuff'!FU:GV,18,FALSE)</f>
        <v>0</v>
      </c>
      <c r="U273" s="89">
        <f>VLOOKUP(C273,'Talente &amp; Stuff'!FU:GV,19,FALSE)</f>
        <v>0</v>
      </c>
      <c r="V273" s="47">
        <f>VLOOKUP(C273,'Talente &amp; Stuff'!FU:GV,20,FALSE)</f>
        <v>0</v>
      </c>
      <c r="W273" s="127">
        <f>VLOOKUP(C273,'Talente &amp; Stuff'!FU:GV,21,FALSE)</f>
        <v>0</v>
      </c>
      <c r="X273" s="127">
        <f>VLOOKUP(C273,'Talente &amp; Stuff'!FU:GV,22,FALSE)</f>
        <v>0</v>
      </c>
      <c r="Y273" s="165">
        <f t="shared" si="22"/>
        <v>0</v>
      </c>
      <c r="Z273" s="44">
        <f t="shared" si="23"/>
        <v>0</v>
      </c>
      <c r="AA273" s="125">
        <f>VLOOKUP(C273,'Talente &amp; Stuff'!FU:GV,25,FALSE)</f>
        <v>0</v>
      </c>
      <c r="AB273" s="160">
        <f>VLOOKUP(C273,'Talente &amp; Stuff'!FU:GV,26,FALSE)</f>
        <v>0</v>
      </c>
      <c r="AC273" s="127">
        <f>VLOOKUP(C273,'Talente &amp; Stuff'!FU:GV,27,FALSE)</f>
        <v>0</v>
      </c>
      <c r="AD273" s="125">
        <f>VLOOKUP(C273,'Talente &amp; Stuff'!FU:GV,28,FALSE)</f>
        <v>0</v>
      </c>
      <c r="AE273" s="28"/>
    </row>
    <row r="274" spans="2:31" ht="15" hidden="1" customHeight="1" outlineLevel="2">
      <c r="B274" s="148">
        <v>14</v>
      </c>
      <c r="C274" s="163" t="str">
        <f>Attribute!C274</f>
        <v>---</v>
      </c>
      <c r="D274" s="86" t="str">
        <f>VLOOKUP(C274,'Talente &amp; Stuff'!FU:GV,2,FALSE)</f>
        <v>--/--/--</v>
      </c>
      <c r="E274" s="167" t="str">
        <f>VLOOKUP(C274,'Talente &amp; Stuff'!FU:GV,3,FALSE)</f>
        <v>-</v>
      </c>
      <c r="F274" s="120">
        <f>VLOOKUP(C274,'Talente &amp; Stuff'!FU:GV,4,FALSE)</f>
        <v>0</v>
      </c>
      <c r="G274" s="117">
        <f>VLOOKUP(C274,'Talente &amp; Stuff'!FU:GV,5,FALSE)</f>
        <v>0</v>
      </c>
      <c r="H274" s="117">
        <f>VLOOKUP(C274,'Talente &amp; Stuff'!FU:GV,6,FALSE)</f>
        <v>0</v>
      </c>
      <c r="I274" s="117">
        <f>VLOOKUP(C274,'Talente &amp; Stuff'!FU:GV,7,FALSE)</f>
        <v>0</v>
      </c>
      <c r="J274" s="117">
        <f>VLOOKUP(C274,'Talente &amp; Stuff'!FU:GV,8,FALSE)</f>
        <v>0</v>
      </c>
      <c r="K274" s="117">
        <f>VLOOKUP(C274,'Talente &amp; Stuff'!FU:GV,9,FALSE)</f>
        <v>0</v>
      </c>
      <c r="L274" s="117">
        <f>VLOOKUP(C274,'Talente &amp; Stuff'!FU:GV,10,FALSE)</f>
        <v>0</v>
      </c>
      <c r="M274" s="121">
        <f>VLOOKUP(C274,'Talente &amp; Stuff'!FU:GV,11,FALSE)</f>
        <v>0</v>
      </c>
      <c r="N274" s="47">
        <f>VLOOKUP(C274,'Talente &amp; Stuff'!FU:GV,12,FALSE)</f>
        <v>0</v>
      </c>
      <c r="O274" s="3">
        <f>VLOOKUP(C274,'Talente &amp; Stuff'!FU:GV,13,FALSE)</f>
        <v>0</v>
      </c>
      <c r="P274" s="174">
        <f>VLOOKUP(C274,'Talente &amp; Stuff'!FU:GV,14,FALSE)</f>
        <v>0</v>
      </c>
      <c r="Q274" s="114">
        <f>VLOOKUP(C274,'Talente &amp; Stuff'!FU:GV,15,FALSE)</f>
        <v>0</v>
      </c>
      <c r="R274" s="117">
        <f>VLOOKUP(C274,'Talente &amp; Stuff'!FU:GV,16,FALSE)</f>
        <v>0</v>
      </c>
      <c r="S274" s="119">
        <f>VLOOKUP(C274,'Talente &amp; Stuff'!FU:GV,17,FALSE)</f>
        <v>0</v>
      </c>
      <c r="T274" s="119">
        <f>VLOOKUP(C274,'Talente &amp; Stuff'!FU:GV,18,FALSE)</f>
        <v>0</v>
      </c>
      <c r="U274" s="89">
        <f>VLOOKUP(C274,'Talente &amp; Stuff'!FU:GV,19,FALSE)</f>
        <v>0</v>
      </c>
      <c r="V274" s="47">
        <f>VLOOKUP(C274,'Talente &amp; Stuff'!FU:GV,20,FALSE)</f>
        <v>0</v>
      </c>
      <c r="W274" s="127">
        <f>VLOOKUP(C274,'Talente &amp; Stuff'!FU:GV,21,FALSE)</f>
        <v>0</v>
      </c>
      <c r="X274" s="127">
        <f>VLOOKUP(C274,'Talente &amp; Stuff'!FU:GV,22,FALSE)</f>
        <v>0</v>
      </c>
      <c r="Y274" s="165">
        <f t="shared" si="22"/>
        <v>0</v>
      </c>
      <c r="Z274" s="44">
        <f t="shared" si="23"/>
        <v>0</v>
      </c>
      <c r="AA274" s="125">
        <f>VLOOKUP(C274,'Talente &amp; Stuff'!FU:GV,25,FALSE)</f>
        <v>0</v>
      </c>
      <c r="AB274" s="160">
        <f>VLOOKUP(C274,'Talente &amp; Stuff'!FU:GV,26,FALSE)</f>
        <v>0</v>
      </c>
      <c r="AC274" s="127">
        <f>VLOOKUP(C274,'Talente &amp; Stuff'!FU:GV,27,FALSE)</f>
        <v>0</v>
      </c>
      <c r="AD274" s="125">
        <f>VLOOKUP(C274,'Talente &amp; Stuff'!FU:GV,28,FALSE)</f>
        <v>0</v>
      </c>
      <c r="AE274" s="28"/>
    </row>
    <row r="275" spans="2:31" ht="15" hidden="1" customHeight="1" outlineLevel="2">
      <c r="B275" s="148">
        <v>15</v>
      </c>
      <c r="C275" s="163" t="str">
        <f>Attribute!C275</f>
        <v>---</v>
      </c>
      <c r="D275" s="86" t="str">
        <f>VLOOKUP(C275,'Talente &amp; Stuff'!FU:GV,2,FALSE)</f>
        <v>--/--/--</v>
      </c>
      <c r="E275" s="167" t="str">
        <f>VLOOKUP(C275,'Talente &amp; Stuff'!FU:GV,3,FALSE)</f>
        <v>-</v>
      </c>
      <c r="F275" s="120">
        <f>VLOOKUP(C275,'Talente &amp; Stuff'!FU:GV,4,FALSE)</f>
        <v>0</v>
      </c>
      <c r="G275" s="117">
        <f>VLOOKUP(C275,'Talente &amp; Stuff'!FU:GV,5,FALSE)</f>
        <v>0</v>
      </c>
      <c r="H275" s="117">
        <f>VLOOKUP(C275,'Talente &amp; Stuff'!FU:GV,6,FALSE)</f>
        <v>0</v>
      </c>
      <c r="I275" s="117">
        <f>VLOOKUP(C275,'Talente &amp; Stuff'!FU:GV,7,FALSE)</f>
        <v>0</v>
      </c>
      <c r="J275" s="117">
        <f>VLOOKUP(C275,'Talente &amp; Stuff'!FU:GV,8,FALSE)</f>
        <v>0</v>
      </c>
      <c r="K275" s="117">
        <f>VLOOKUP(C275,'Talente &amp; Stuff'!FU:GV,9,FALSE)</f>
        <v>0</v>
      </c>
      <c r="L275" s="117">
        <f>VLOOKUP(C275,'Talente &amp; Stuff'!FU:GV,10,FALSE)</f>
        <v>0</v>
      </c>
      <c r="M275" s="121">
        <f>VLOOKUP(C275,'Talente &amp; Stuff'!FU:GV,11,FALSE)</f>
        <v>0</v>
      </c>
      <c r="N275" s="47">
        <f>VLOOKUP(C275,'Talente &amp; Stuff'!FU:GV,12,FALSE)</f>
        <v>0</v>
      </c>
      <c r="O275" s="3">
        <f>VLOOKUP(C275,'Talente &amp; Stuff'!FU:GV,13,FALSE)</f>
        <v>0</v>
      </c>
      <c r="P275" s="174">
        <f>VLOOKUP(C275,'Talente &amp; Stuff'!FU:GV,14,FALSE)</f>
        <v>0</v>
      </c>
      <c r="Q275" s="114">
        <f>VLOOKUP(C275,'Talente &amp; Stuff'!FU:GV,15,FALSE)</f>
        <v>0</v>
      </c>
      <c r="R275" s="117">
        <f>VLOOKUP(C275,'Talente &amp; Stuff'!FU:GV,16,FALSE)</f>
        <v>0</v>
      </c>
      <c r="S275" s="119">
        <f>VLOOKUP(C275,'Talente &amp; Stuff'!FU:GV,17,FALSE)</f>
        <v>0</v>
      </c>
      <c r="T275" s="119">
        <f>VLOOKUP(C275,'Talente &amp; Stuff'!FU:GV,18,FALSE)</f>
        <v>0</v>
      </c>
      <c r="U275" s="89">
        <f>VLOOKUP(C275,'Talente &amp; Stuff'!FU:GV,19,FALSE)</f>
        <v>0</v>
      </c>
      <c r="V275" s="47">
        <f>VLOOKUP(C275,'Talente &amp; Stuff'!FU:GV,20,FALSE)</f>
        <v>0</v>
      </c>
      <c r="W275" s="127">
        <f>VLOOKUP(C275,'Talente &amp; Stuff'!FU:GV,21,FALSE)</f>
        <v>0</v>
      </c>
      <c r="X275" s="127">
        <f>VLOOKUP(C275,'Talente &amp; Stuff'!FU:GV,22,FALSE)</f>
        <v>0</v>
      </c>
      <c r="Y275" s="165">
        <f t="shared" si="22"/>
        <v>0</v>
      </c>
      <c r="Z275" s="44">
        <f t="shared" si="23"/>
        <v>0</v>
      </c>
      <c r="AA275" s="125">
        <f>VLOOKUP(C275,'Talente &amp; Stuff'!FU:GV,25,FALSE)</f>
        <v>0</v>
      </c>
      <c r="AB275" s="160">
        <f>VLOOKUP(C275,'Talente &amp; Stuff'!FU:GV,26,FALSE)</f>
        <v>0</v>
      </c>
      <c r="AC275" s="127">
        <f>VLOOKUP(C275,'Talente &amp; Stuff'!FU:GV,27,FALSE)</f>
        <v>0</v>
      </c>
      <c r="AD275" s="125">
        <f>VLOOKUP(C275,'Talente &amp; Stuff'!FU:GV,28,FALSE)</f>
        <v>0</v>
      </c>
      <c r="AE275" s="28"/>
    </row>
    <row r="276" spans="2:31" ht="15" hidden="1" customHeight="1" outlineLevel="2">
      <c r="B276" s="148">
        <v>16</v>
      </c>
      <c r="C276" s="163" t="str">
        <f>Attribute!C276</f>
        <v>---</v>
      </c>
      <c r="D276" s="86" t="str">
        <f>VLOOKUP(C276,'Talente &amp; Stuff'!FU:GV,2,FALSE)</f>
        <v>--/--/--</v>
      </c>
      <c r="E276" s="167" t="str">
        <f>VLOOKUP(C276,'Talente &amp; Stuff'!FU:GV,3,FALSE)</f>
        <v>-</v>
      </c>
      <c r="F276" s="120">
        <f>VLOOKUP(C276,'Talente &amp; Stuff'!FU:GV,4,FALSE)</f>
        <v>0</v>
      </c>
      <c r="G276" s="117">
        <f>VLOOKUP(C276,'Talente &amp; Stuff'!FU:GV,5,FALSE)</f>
        <v>0</v>
      </c>
      <c r="H276" s="117">
        <f>VLOOKUP(C276,'Talente &amp; Stuff'!FU:GV,6,FALSE)</f>
        <v>0</v>
      </c>
      <c r="I276" s="117">
        <f>VLOOKUP(C276,'Talente &amp; Stuff'!FU:GV,7,FALSE)</f>
        <v>0</v>
      </c>
      <c r="J276" s="117">
        <f>VLOOKUP(C276,'Talente &amp; Stuff'!FU:GV,8,FALSE)</f>
        <v>0</v>
      </c>
      <c r="K276" s="117">
        <f>VLOOKUP(C276,'Talente &amp; Stuff'!FU:GV,9,FALSE)</f>
        <v>0</v>
      </c>
      <c r="L276" s="117">
        <f>VLOOKUP(C276,'Talente &amp; Stuff'!FU:GV,10,FALSE)</f>
        <v>0</v>
      </c>
      <c r="M276" s="121">
        <f>VLOOKUP(C276,'Talente &amp; Stuff'!FU:GV,11,FALSE)</f>
        <v>0</v>
      </c>
      <c r="N276" s="47">
        <f>VLOOKUP(C276,'Talente &amp; Stuff'!FU:GV,12,FALSE)</f>
        <v>0</v>
      </c>
      <c r="O276" s="3">
        <f>VLOOKUP(C276,'Talente &amp; Stuff'!FU:GV,13,FALSE)</f>
        <v>0</v>
      </c>
      <c r="P276" s="174">
        <f>VLOOKUP(C276,'Talente &amp; Stuff'!FU:GV,14,FALSE)</f>
        <v>0</v>
      </c>
      <c r="Q276" s="114">
        <f>VLOOKUP(C276,'Talente &amp; Stuff'!FU:GV,15,FALSE)</f>
        <v>0</v>
      </c>
      <c r="R276" s="117">
        <f>VLOOKUP(C276,'Talente &amp; Stuff'!FU:GV,16,FALSE)</f>
        <v>0</v>
      </c>
      <c r="S276" s="119">
        <f>VLOOKUP(C276,'Talente &amp; Stuff'!FU:GV,17,FALSE)</f>
        <v>0</v>
      </c>
      <c r="T276" s="119">
        <f>VLOOKUP(C276,'Talente &amp; Stuff'!FU:GV,18,FALSE)</f>
        <v>0</v>
      </c>
      <c r="U276" s="89">
        <f>VLOOKUP(C276,'Talente &amp; Stuff'!FU:GV,19,FALSE)</f>
        <v>0</v>
      </c>
      <c r="V276" s="47">
        <f>VLOOKUP(C276,'Talente &amp; Stuff'!FU:GV,20,FALSE)</f>
        <v>0</v>
      </c>
      <c r="W276" s="127">
        <f>VLOOKUP(C276,'Talente &amp; Stuff'!FU:GV,21,FALSE)</f>
        <v>0</v>
      </c>
      <c r="X276" s="127">
        <f>VLOOKUP(C276,'Talente &amp; Stuff'!FU:GV,22,FALSE)</f>
        <v>0</v>
      </c>
      <c r="Y276" s="165">
        <f t="shared" si="22"/>
        <v>0</v>
      </c>
      <c r="Z276" s="44">
        <f t="shared" si="23"/>
        <v>0</v>
      </c>
      <c r="AA276" s="125">
        <f>VLOOKUP(C276,'Talente &amp; Stuff'!FU:GV,25,FALSE)</f>
        <v>0</v>
      </c>
      <c r="AB276" s="160">
        <f>VLOOKUP(C276,'Talente &amp; Stuff'!FU:GV,26,FALSE)</f>
        <v>0</v>
      </c>
      <c r="AC276" s="127">
        <f>VLOOKUP(C276,'Talente &amp; Stuff'!FU:GV,27,FALSE)</f>
        <v>0</v>
      </c>
      <c r="AD276" s="125">
        <f>VLOOKUP(C276,'Talente &amp; Stuff'!FU:GV,28,FALSE)</f>
        <v>0</v>
      </c>
      <c r="AE276" s="28"/>
    </row>
    <row r="277" spans="2:31" ht="15" hidden="1" customHeight="1" outlineLevel="2">
      <c r="B277" s="148">
        <v>17</v>
      </c>
      <c r="C277" s="163" t="str">
        <f>Attribute!C277</f>
        <v>---</v>
      </c>
      <c r="D277" s="86" t="str">
        <f>VLOOKUP(C277,'Talente &amp; Stuff'!FU:GV,2,FALSE)</f>
        <v>--/--/--</v>
      </c>
      <c r="E277" s="167" t="str">
        <f>VLOOKUP(C277,'Talente &amp; Stuff'!FU:GV,3,FALSE)</f>
        <v>-</v>
      </c>
      <c r="F277" s="120">
        <f>VLOOKUP(C277,'Talente &amp; Stuff'!FU:GV,4,FALSE)</f>
        <v>0</v>
      </c>
      <c r="G277" s="117">
        <f>VLOOKUP(C277,'Talente &amp; Stuff'!FU:GV,5,FALSE)</f>
        <v>0</v>
      </c>
      <c r="H277" s="117">
        <f>VLOOKUP(C277,'Talente &amp; Stuff'!FU:GV,6,FALSE)</f>
        <v>0</v>
      </c>
      <c r="I277" s="117">
        <f>VLOOKUP(C277,'Talente &amp; Stuff'!FU:GV,7,FALSE)</f>
        <v>0</v>
      </c>
      <c r="J277" s="117">
        <f>VLOOKUP(C277,'Talente &amp; Stuff'!FU:GV,8,FALSE)</f>
        <v>0</v>
      </c>
      <c r="K277" s="117">
        <f>VLOOKUP(C277,'Talente &amp; Stuff'!FU:GV,9,FALSE)</f>
        <v>0</v>
      </c>
      <c r="L277" s="117">
        <f>VLOOKUP(C277,'Talente &amp; Stuff'!FU:GV,10,FALSE)</f>
        <v>0</v>
      </c>
      <c r="M277" s="121">
        <f>VLOOKUP(C277,'Talente &amp; Stuff'!FU:GV,11,FALSE)</f>
        <v>0</v>
      </c>
      <c r="N277" s="47">
        <f>VLOOKUP(C277,'Talente &amp; Stuff'!FU:GV,12,FALSE)</f>
        <v>0</v>
      </c>
      <c r="O277" s="3">
        <f>VLOOKUP(C277,'Talente &amp; Stuff'!FU:GV,13,FALSE)</f>
        <v>0</v>
      </c>
      <c r="P277" s="174">
        <f>VLOOKUP(C277,'Talente &amp; Stuff'!FU:GV,14,FALSE)</f>
        <v>0</v>
      </c>
      <c r="Q277" s="114">
        <f>VLOOKUP(C277,'Talente &amp; Stuff'!FU:GV,15,FALSE)</f>
        <v>0</v>
      </c>
      <c r="R277" s="117">
        <f>VLOOKUP(C277,'Talente &amp; Stuff'!FU:GV,16,FALSE)</f>
        <v>0</v>
      </c>
      <c r="S277" s="119">
        <f>VLOOKUP(C277,'Talente &amp; Stuff'!FU:GV,17,FALSE)</f>
        <v>0</v>
      </c>
      <c r="T277" s="119">
        <f>VLOOKUP(C277,'Talente &amp; Stuff'!FU:GV,18,FALSE)</f>
        <v>0</v>
      </c>
      <c r="U277" s="89">
        <f>VLOOKUP(C277,'Talente &amp; Stuff'!FU:GV,19,FALSE)</f>
        <v>0</v>
      </c>
      <c r="V277" s="47">
        <f>VLOOKUP(C277,'Talente &amp; Stuff'!FU:GV,20,FALSE)</f>
        <v>0</v>
      </c>
      <c r="W277" s="127">
        <f>VLOOKUP(C277,'Talente &amp; Stuff'!FU:GV,21,FALSE)</f>
        <v>0</v>
      </c>
      <c r="X277" s="127">
        <f>VLOOKUP(C277,'Talente &amp; Stuff'!FU:GV,22,FALSE)</f>
        <v>0</v>
      </c>
      <c r="Y277" s="165">
        <f t="shared" si="22"/>
        <v>0</v>
      </c>
      <c r="Z277" s="44">
        <f t="shared" si="23"/>
        <v>0</v>
      </c>
      <c r="AA277" s="125">
        <f>VLOOKUP(C277,'Talente &amp; Stuff'!FU:GV,25,FALSE)</f>
        <v>0</v>
      </c>
      <c r="AB277" s="160">
        <f>VLOOKUP(C277,'Talente &amp; Stuff'!FU:GV,26,FALSE)</f>
        <v>0</v>
      </c>
      <c r="AC277" s="127">
        <f>VLOOKUP(C277,'Talente &amp; Stuff'!FU:GV,27,FALSE)</f>
        <v>0</v>
      </c>
      <c r="AD277" s="125">
        <f>VLOOKUP(C277,'Talente &amp; Stuff'!FU:GV,28,FALSE)</f>
        <v>0</v>
      </c>
      <c r="AE277" s="28"/>
    </row>
    <row r="278" spans="2:31" ht="15" hidden="1" customHeight="1" outlineLevel="2">
      <c r="B278" s="148">
        <v>18</v>
      </c>
      <c r="C278" s="163" t="str">
        <f>Attribute!C278</f>
        <v>---</v>
      </c>
      <c r="D278" s="86" t="str">
        <f>VLOOKUP(C278,'Talente &amp; Stuff'!FU:GV,2,FALSE)</f>
        <v>--/--/--</v>
      </c>
      <c r="E278" s="167" t="str">
        <f>VLOOKUP(C278,'Talente &amp; Stuff'!FU:GV,3,FALSE)</f>
        <v>-</v>
      </c>
      <c r="F278" s="120">
        <f>VLOOKUP(C278,'Talente &amp; Stuff'!FU:GV,4,FALSE)</f>
        <v>0</v>
      </c>
      <c r="G278" s="117">
        <f>VLOOKUP(C278,'Talente &amp; Stuff'!FU:GV,5,FALSE)</f>
        <v>0</v>
      </c>
      <c r="H278" s="117">
        <f>VLOOKUP(C278,'Talente &amp; Stuff'!FU:GV,6,FALSE)</f>
        <v>0</v>
      </c>
      <c r="I278" s="117">
        <f>VLOOKUP(C278,'Talente &amp; Stuff'!FU:GV,7,FALSE)</f>
        <v>0</v>
      </c>
      <c r="J278" s="117">
        <f>VLOOKUP(C278,'Talente &amp; Stuff'!FU:GV,8,FALSE)</f>
        <v>0</v>
      </c>
      <c r="K278" s="117">
        <f>VLOOKUP(C278,'Talente &amp; Stuff'!FU:GV,9,FALSE)</f>
        <v>0</v>
      </c>
      <c r="L278" s="117">
        <f>VLOOKUP(C278,'Talente &amp; Stuff'!FU:GV,10,FALSE)</f>
        <v>0</v>
      </c>
      <c r="M278" s="121">
        <f>VLOOKUP(C278,'Talente &amp; Stuff'!FU:GV,11,FALSE)</f>
        <v>0</v>
      </c>
      <c r="N278" s="47">
        <f>VLOOKUP(C278,'Talente &amp; Stuff'!FU:GV,12,FALSE)</f>
        <v>0</v>
      </c>
      <c r="O278" s="3">
        <f>VLOOKUP(C278,'Talente &amp; Stuff'!FU:GV,13,FALSE)</f>
        <v>0</v>
      </c>
      <c r="P278" s="174">
        <f>VLOOKUP(C278,'Talente &amp; Stuff'!FU:GV,14,FALSE)</f>
        <v>0</v>
      </c>
      <c r="Q278" s="114">
        <f>VLOOKUP(C278,'Talente &amp; Stuff'!FU:GV,15,FALSE)</f>
        <v>0</v>
      </c>
      <c r="R278" s="117">
        <f>VLOOKUP(C278,'Talente &amp; Stuff'!FU:GV,16,FALSE)</f>
        <v>0</v>
      </c>
      <c r="S278" s="119">
        <f>VLOOKUP(C278,'Talente &amp; Stuff'!FU:GV,17,FALSE)</f>
        <v>0</v>
      </c>
      <c r="T278" s="119">
        <f>VLOOKUP(C278,'Talente &amp; Stuff'!FU:GV,18,FALSE)</f>
        <v>0</v>
      </c>
      <c r="U278" s="89">
        <f>VLOOKUP(C278,'Talente &amp; Stuff'!FU:GV,19,FALSE)</f>
        <v>0</v>
      </c>
      <c r="V278" s="47">
        <f>VLOOKUP(C278,'Talente &amp; Stuff'!FU:GV,20,FALSE)</f>
        <v>0</v>
      </c>
      <c r="W278" s="127">
        <f>VLOOKUP(C278,'Talente &amp; Stuff'!FU:GV,21,FALSE)</f>
        <v>0</v>
      </c>
      <c r="X278" s="127">
        <f>VLOOKUP(C278,'Talente &amp; Stuff'!FU:GV,22,FALSE)</f>
        <v>0</v>
      </c>
      <c r="Y278" s="165">
        <f t="shared" si="22"/>
        <v>0</v>
      </c>
      <c r="Z278" s="44">
        <f t="shared" si="23"/>
        <v>0</v>
      </c>
      <c r="AA278" s="125">
        <f>VLOOKUP(C278,'Talente &amp; Stuff'!FU:GV,25,FALSE)</f>
        <v>0</v>
      </c>
      <c r="AB278" s="160">
        <f>VLOOKUP(C278,'Talente &amp; Stuff'!FU:GV,26,FALSE)</f>
        <v>0</v>
      </c>
      <c r="AC278" s="127">
        <f>VLOOKUP(C278,'Talente &amp; Stuff'!FU:GV,27,FALSE)</f>
        <v>0</v>
      </c>
      <c r="AD278" s="125">
        <f>VLOOKUP(C278,'Talente &amp; Stuff'!FU:GV,28,FALSE)</f>
        <v>0</v>
      </c>
      <c r="AE278" s="28"/>
    </row>
    <row r="279" spans="2:31" ht="15" hidden="1" customHeight="1" outlineLevel="2">
      <c r="B279" s="148">
        <v>19</v>
      </c>
      <c r="C279" s="163" t="str">
        <f>Attribute!C279</f>
        <v>---</v>
      </c>
      <c r="D279" s="86" t="str">
        <f>VLOOKUP(C279,'Talente &amp; Stuff'!FU:GV,2,FALSE)</f>
        <v>--/--/--</v>
      </c>
      <c r="E279" s="167" t="str">
        <f>VLOOKUP(C279,'Talente &amp; Stuff'!FU:GV,3,FALSE)</f>
        <v>-</v>
      </c>
      <c r="F279" s="120">
        <f>VLOOKUP(C279,'Talente &amp; Stuff'!FU:GV,4,FALSE)</f>
        <v>0</v>
      </c>
      <c r="G279" s="117">
        <f>VLOOKUP(C279,'Talente &amp; Stuff'!FU:GV,5,FALSE)</f>
        <v>0</v>
      </c>
      <c r="H279" s="117">
        <f>VLOOKUP(C279,'Talente &amp; Stuff'!FU:GV,6,FALSE)</f>
        <v>0</v>
      </c>
      <c r="I279" s="117">
        <f>VLOOKUP(C279,'Talente &amp; Stuff'!FU:GV,7,FALSE)</f>
        <v>0</v>
      </c>
      <c r="J279" s="117">
        <f>VLOOKUP(C279,'Talente &amp; Stuff'!FU:GV,8,FALSE)</f>
        <v>0</v>
      </c>
      <c r="K279" s="117">
        <f>VLOOKUP(C279,'Talente &amp; Stuff'!FU:GV,9,FALSE)</f>
        <v>0</v>
      </c>
      <c r="L279" s="117">
        <f>VLOOKUP(C279,'Talente &amp; Stuff'!FU:GV,10,FALSE)</f>
        <v>0</v>
      </c>
      <c r="M279" s="121">
        <f>VLOOKUP(C279,'Talente &amp; Stuff'!FU:GV,11,FALSE)</f>
        <v>0</v>
      </c>
      <c r="N279" s="47">
        <f>VLOOKUP(C279,'Talente &amp; Stuff'!FU:GV,12,FALSE)</f>
        <v>0</v>
      </c>
      <c r="O279" s="3">
        <f>VLOOKUP(C279,'Talente &amp; Stuff'!FU:GV,13,FALSE)</f>
        <v>0</v>
      </c>
      <c r="P279" s="174">
        <f>VLOOKUP(C279,'Talente &amp; Stuff'!FU:GV,14,FALSE)</f>
        <v>0</v>
      </c>
      <c r="Q279" s="114">
        <f>VLOOKUP(C279,'Talente &amp; Stuff'!FU:GV,15,FALSE)</f>
        <v>0</v>
      </c>
      <c r="R279" s="117">
        <f>VLOOKUP(C279,'Talente &amp; Stuff'!FU:GV,16,FALSE)</f>
        <v>0</v>
      </c>
      <c r="S279" s="119">
        <f>VLOOKUP(C279,'Talente &amp; Stuff'!FU:GV,17,FALSE)</f>
        <v>0</v>
      </c>
      <c r="T279" s="119">
        <f>VLOOKUP(C279,'Talente &amp; Stuff'!FU:GV,18,FALSE)</f>
        <v>0</v>
      </c>
      <c r="U279" s="89">
        <f>VLOOKUP(C279,'Talente &amp; Stuff'!FU:GV,19,FALSE)</f>
        <v>0</v>
      </c>
      <c r="V279" s="47">
        <f>VLOOKUP(C279,'Talente &amp; Stuff'!FU:GV,20,FALSE)</f>
        <v>0</v>
      </c>
      <c r="W279" s="127">
        <f>VLOOKUP(C279,'Talente &amp; Stuff'!FU:GV,21,FALSE)</f>
        <v>0</v>
      </c>
      <c r="X279" s="127">
        <f>VLOOKUP(C279,'Talente &amp; Stuff'!FU:GV,22,FALSE)</f>
        <v>0</v>
      </c>
      <c r="Y279" s="165">
        <f t="shared" si="22"/>
        <v>0</v>
      </c>
      <c r="Z279" s="44">
        <f t="shared" si="23"/>
        <v>0</v>
      </c>
      <c r="AA279" s="125">
        <f>VLOOKUP(C279,'Talente &amp; Stuff'!FU:GV,25,FALSE)</f>
        <v>0</v>
      </c>
      <c r="AB279" s="160">
        <f>VLOOKUP(C279,'Talente &amp; Stuff'!FU:GV,26,FALSE)</f>
        <v>0</v>
      </c>
      <c r="AC279" s="127">
        <f>VLOOKUP(C279,'Talente &amp; Stuff'!FU:GV,27,FALSE)</f>
        <v>0</v>
      </c>
      <c r="AD279" s="125">
        <f>VLOOKUP(C279,'Talente &amp; Stuff'!FU:GV,28,FALSE)</f>
        <v>0</v>
      </c>
      <c r="AE279" s="28"/>
    </row>
    <row r="280" spans="2:31" ht="15" hidden="1" customHeight="1" outlineLevel="2">
      <c r="B280" s="148">
        <v>20</v>
      </c>
      <c r="C280" s="163" t="str">
        <f>Attribute!C280</f>
        <v>---</v>
      </c>
      <c r="D280" s="86" t="str">
        <f>VLOOKUP(C280,'Talente &amp; Stuff'!FU:GV,2,FALSE)</f>
        <v>--/--/--</v>
      </c>
      <c r="E280" s="167" t="str">
        <f>VLOOKUP(C280,'Talente &amp; Stuff'!FU:GV,3,FALSE)</f>
        <v>-</v>
      </c>
      <c r="F280" s="120">
        <f>VLOOKUP(C280,'Talente &amp; Stuff'!FU:GV,4,FALSE)</f>
        <v>0</v>
      </c>
      <c r="G280" s="117">
        <f>VLOOKUP(C280,'Talente &amp; Stuff'!FU:GV,5,FALSE)</f>
        <v>0</v>
      </c>
      <c r="H280" s="117">
        <f>VLOOKUP(C280,'Talente &amp; Stuff'!FU:GV,6,FALSE)</f>
        <v>0</v>
      </c>
      <c r="I280" s="117">
        <f>VLOOKUP(C280,'Talente &amp; Stuff'!FU:GV,7,FALSE)</f>
        <v>0</v>
      </c>
      <c r="J280" s="117">
        <f>VLOOKUP(C280,'Talente &amp; Stuff'!FU:GV,8,FALSE)</f>
        <v>0</v>
      </c>
      <c r="K280" s="117">
        <f>VLOOKUP(C280,'Talente &amp; Stuff'!FU:GV,9,FALSE)</f>
        <v>0</v>
      </c>
      <c r="L280" s="117">
        <f>VLOOKUP(C280,'Talente &amp; Stuff'!FU:GV,10,FALSE)</f>
        <v>0</v>
      </c>
      <c r="M280" s="121">
        <f>VLOOKUP(C280,'Talente &amp; Stuff'!FU:GV,11,FALSE)</f>
        <v>0</v>
      </c>
      <c r="N280" s="47">
        <f>VLOOKUP(C280,'Talente &amp; Stuff'!FU:GV,12,FALSE)</f>
        <v>0</v>
      </c>
      <c r="O280" s="3">
        <f>VLOOKUP(C280,'Talente &amp; Stuff'!FU:GV,13,FALSE)</f>
        <v>0</v>
      </c>
      <c r="P280" s="174">
        <f>VLOOKUP(C280,'Talente &amp; Stuff'!FU:GV,14,FALSE)</f>
        <v>0</v>
      </c>
      <c r="Q280" s="114">
        <f>VLOOKUP(C280,'Talente &amp; Stuff'!FU:GV,15,FALSE)</f>
        <v>0</v>
      </c>
      <c r="R280" s="117">
        <f>VLOOKUP(C280,'Talente &amp; Stuff'!FU:GV,16,FALSE)</f>
        <v>0</v>
      </c>
      <c r="S280" s="119">
        <f>VLOOKUP(C280,'Talente &amp; Stuff'!FU:GV,17,FALSE)</f>
        <v>0</v>
      </c>
      <c r="T280" s="119">
        <f>VLOOKUP(C280,'Talente &amp; Stuff'!FU:GV,18,FALSE)</f>
        <v>0</v>
      </c>
      <c r="U280" s="89">
        <f>VLOOKUP(C280,'Talente &amp; Stuff'!FU:GV,19,FALSE)</f>
        <v>0</v>
      </c>
      <c r="V280" s="47">
        <f>VLOOKUP(C280,'Talente &amp; Stuff'!FU:GV,20,FALSE)</f>
        <v>0</v>
      </c>
      <c r="W280" s="127">
        <f>VLOOKUP(C280,'Talente &amp; Stuff'!FU:GV,21,FALSE)</f>
        <v>0</v>
      </c>
      <c r="X280" s="127">
        <f>VLOOKUP(C280,'Talente &amp; Stuff'!FU:GV,22,FALSE)</f>
        <v>0</v>
      </c>
      <c r="Y280" s="165">
        <f t="shared" si="22"/>
        <v>0</v>
      </c>
      <c r="Z280" s="44">
        <f t="shared" si="23"/>
        <v>0</v>
      </c>
      <c r="AA280" s="125">
        <f>VLOOKUP(C280,'Talente &amp; Stuff'!FU:GV,25,FALSE)</f>
        <v>0</v>
      </c>
      <c r="AB280" s="160">
        <f>VLOOKUP(C280,'Talente &amp; Stuff'!FU:GV,26,FALSE)</f>
        <v>0</v>
      </c>
      <c r="AC280" s="127">
        <f>VLOOKUP(C280,'Talente &amp; Stuff'!FU:GV,27,FALSE)</f>
        <v>0</v>
      </c>
      <c r="AD280" s="125">
        <f>VLOOKUP(C280,'Talente &amp; Stuff'!FU:GV,28,FALSE)</f>
        <v>0</v>
      </c>
      <c r="AE280" s="28"/>
    </row>
    <row r="281" spans="2:31" ht="15" hidden="1" customHeight="1" outlineLevel="2">
      <c r="B281" s="148">
        <v>21</v>
      </c>
      <c r="C281" s="163" t="str">
        <f>Attribute!C281</f>
        <v>---</v>
      </c>
      <c r="D281" s="86" t="str">
        <f>VLOOKUP(C281,'Talente &amp; Stuff'!FU:GV,2,FALSE)</f>
        <v>--/--/--</v>
      </c>
      <c r="E281" s="167" t="str">
        <f>VLOOKUP(C281,'Talente &amp; Stuff'!FU:GV,3,FALSE)</f>
        <v>-</v>
      </c>
      <c r="F281" s="120">
        <f>VLOOKUP(C281,'Talente &amp; Stuff'!FU:GV,4,FALSE)</f>
        <v>0</v>
      </c>
      <c r="G281" s="117">
        <f>VLOOKUP(C281,'Talente &amp; Stuff'!FU:GV,5,FALSE)</f>
        <v>0</v>
      </c>
      <c r="H281" s="117">
        <f>VLOOKUP(C281,'Talente &amp; Stuff'!FU:GV,6,FALSE)</f>
        <v>0</v>
      </c>
      <c r="I281" s="117">
        <f>VLOOKUP(C281,'Talente &amp; Stuff'!FU:GV,7,FALSE)</f>
        <v>0</v>
      </c>
      <c r="J281" s="117">
        <f>VLOOKUP(C281,'Talente &amp; Stuff'!FU:GV,8,FALSE)</f>
        <v>0</v>
      </c>
      <c r="K281" s="117">
        <f>VLOOKUP(C281,'Talente &amp; Stuff'!FU:GV,9,FALSE)</f>
        <v>0</v>
      </c>
      <c r="L281" s="117">
        <f>VLOOKUP(C281,'Talente &amp; Stuff'!FU:GV,10,FALSE)</f>
        <v>0</v>
      </c>
      <c r="M281" s="121">
        <f>VLOOKUP(C281,'Talente &amp; Stuff'!FU:GV,11,FALSE)</f>
        <v>0</v>
      </c>
      <c r="N281" s="47">
        <f>VLOOKUP(C281,'Talente &amp; Stuff'!FU:GV,12,FALSE)</f>
        <v>0</v>
      </c>
      <c r="O281" s="3">
        <f>VLOOKUP(C281,'Talente &amp; Stuff'!FU:GV,13,FALSE)</f>
        <v>0</v>
      </c>
      <c r="P281" s="174">
        <f>VLOOKUP(C281,'Talente &amp; Stuff'!FU:GV,14,FALSE)</f>
        <v>0</v>
      </c>
      <c r="Q281" s="114">
        <f>VLOOKUP(C281,'Talente &amp; Stuff'!FU:GV,15,FALSE)</f>
        <v>0</v>
      </c>
      <c r="R281" s="117">
        <f>VLOOKUP(C281,'Talente &amp; Stuff'!FU:GV,16,FALSE)</f>
        <v>0</v>
      </c>
      <c r="S281" s="119">
        <f>VLOOKUP(C281,'Talente &amp; Stuff'!FU:GV,17,FALSE)</f>
        <v>0</v>
      </c>
      <c r="T281" s="119">
        <f>VLOOKUP(C281,'Talente &amp; Stuff'!FU:GV,18,FALSE)</f>
        <v>0</v>
      </c>
      <c r="U281" s="89">
        <f>VLOOKUP(C281,'Talente &amp; Stuff'!FU:GV,19,FALSE)</f>
        <v>0</v>
      </c>
      <c r="V281" s="47">
        <f>VLOOKUP(C281,'Talente &amp; Stuff'!FU:GV,20,FALSE)</f>
        <v>0</v>
      </c>
      <c r="W281" s="127">
        <f>VLOOKUP(C281,'Talente &amp; Stuff'!FU:GV,21,FALSE)</f>
        <v>0</v>
      </c>
      <c r="X281" s="127">
        <f>VLOOKUP(C281,'Talente &amp; Stuff'!FU:GV,22,FALSE)</f>
        <v>0</v>
      </c>
      <c r="Y281" s="165">
        <f t="shared" si="22"/>
        <v>0</v>
      </c>
      <c r="Z281" s="44">
        <f t="shared" si="23"/>
        <v>0</v>
      </c>
      <c r="AA281" s="125">
        <f>VLOOKUP(C281,'Talente &amp; Stuff'!FU:GV,25,FALSE)</f>
        <v>0</v>
      </c>
      <c r="AB281" s="160">
        <f>VLOOKUP(C281,'Talente &amp; Stuff'!FU:GV,26,FALSE)</f>
        <v>0</v>
      </c>
      <c r="AC281" s="127">
        <f>VLOOKUP(C281,'Talente &amp; Stuff'!FU:GV,27,FALSE)</f>
        <v>0</v>
      </c>
      <c r="AD281" s="125">
        <f>VLOOKUP(C281,'Talente &amp; Stuff'!FU:GV,28,FALSE)</f>
        <v>0</v>
      </c>
      <c r="AE281" s="28"/>
    </row>
    <row r="282" spans="2:31" ht="15" hidden="1" customHeight="1" outlineLevel="2">
      <c r="B282" s="148">
        <v>22</v>
      </c>
      <c r="C282" s="163" t="str">
        <f>Attribute!C282</f>
        <v>---</v>
      </c>
      <c r="D282" s="86" t="str">
        <f>VLOOKUP(C282,'Talente &amp; Stuff'!FU:GV,2,FALSE)</f>
        <v>--/--/--</v>
      </c>
      <c r="E282" s="167" t="str">
        <f>VLOOKUP(C282,'Talente &amp; Stuff'!FU:GV,3,FALSE)</f>
        <v>-</v>
      </c>
      <c r="F282" s="120">
        <f>VLOOKUP(C282,'Talente &amp; Stuff'!FU:GV,4,FALSE)</f>
        <v>0</v>
      </c>
      <c r="G282" s="117">
        <f>VLOOKUP(C282,'Talente &amp; Stuff'!FU:GV,5,FALSE)</f>
        <v>0</v>
      </c>
      <c r="H282" s="117">
        <f>VLOOKUP(C282,'Talente &amp; Stuff'!FU:GV,6,FALSE)</f>
        <v>0</v>
      </c>
      <c r="I282" s="117">
        <f>VLOOKUP(C282,'Talente &amp; Stuff'!FU:GV,7,FALSE)</f>
        <v>0</v>
      </c>
      <c r="J282" s="117">
        <f>VLOOKUP(C282,'Talente &amp; Stuff'!FU:GV,8,FALSE)</f>
        <v>0</v>
      </c>
      <c r="K282" s="117">
        <f>VLOOKUP(C282,'Talente &amp; Stuff'!FU:GV,9,FALSE)</f>
        <v>0</v>
      </c>
      <c r="L282" s="117">
        <f>VLOOKUP(C282,'Talente &amp; Stuff'!FU:GV,10,FALSE)</f>
        <v>0</v>
      </c>
      <c r="M282" s="121">
        <f>VLOOKUP(C282,'Talente &amp; Stuff'!FU:GV,11,FALSE)</f>
        <v>0</v>
      </c>
      <c r="N282" s="47">
        <f>VLOOKUP(C282,'Talente &amp; Stuff'!FU:GV,12,FALSE)</f>
        <v>0</v>
      </c>
      <c r="O282" s="3">
        <f>VLOOKUP(C282,'Talente &amp; Stuff'!FU:GV,13,FALSE)</f>
        <v>0</v>
      </c>
      <c r="P282" s="174">
        <f>VLOOKUP(C282,'Talente &amp; Stuff'!FU:GV,14,FALSE)</f>
        <v>0</v>
      </c>
      <c r="Q282" s="114">
        <f>VLOOKUP(C282,'Talente &amp; Stuff'!FU:GV,15,FALSE)</f>
        <v>0</v>
      </c>
      <c r="R282" s="117">
        <f>VLOOKUP(C282,'Talente &amp; Stuff'!FU:GV,16,FALSE)</f>
        <v>0</v>
      </c>
      <c r="S282" s="119">
        <f>VLOOKUP(C282,'Talente &amp; Stuff'!FU:GV,17,FALSE)</f>
        <v>0</v>
      </c>
      <c r="T282" s="119">
        <f>VLOOKUP(C282,'Talente &amp; Stuff'!FU:GV,18,FALSE)</f>
        <v>0</v>
      </c>
      <c r="U282" s="89">
        <f>VLOOKUP(C282,'Talente &amp; Stuff'!FU:GV,19,FALSE)</f>
        <v>0</v>
      </c>
      <c r="V282" s="47">
        <f>VLOOKUP(C282,'Talente &amp; Stuff'!FU:GV,20,FALSE)</f>
        <v>0</v>
      </c>
      <c r="W282" s="127">
        <f>VLOOKUP(C282,'Talente &amp; Stuff'!FU:GV,21,FALSE)</f>
        <v>0</v>
      </c>
      <c r="X282" s="127">
        <f>VLOOKUP(C282,'Talente &amp; Stuff'!FU:GV,22,FALSE)</f>
        <v>0</v>
      </c>
      <c r="Y282" s="165">
        <f t="shared" si="22"/>
        <v>0</v>
      </c>
      <c r="Z282" s="44">
        <f t="shared" si="23"/>
        <v>0</v>
      </c>
      <c r="AA282" s="125">
        <f>VLOOKUP(C282,'Talente &amp; Stuff'!FU:GV,25,FALSE)</f>
        <v>0</v>
      </c>
      <c r="AB282" s="160">
        <f>VLOOKUP(C282,'Talente &amp; Stuff'!FU:GV,26,FALSE)</f>
        <v>0</v>
      </c>
      <c r="AC282" s="127">
        <f>VLOOKUP(C282,'Talente &amp; Stuff'!FU:GV,27,FALSE)</f>
        <v>0</v>
      </c>
      <c r="AD282" s="125">
        <f>VLOOKUP(C282,'Talente &amp; Stuff'!FU:GV,28,FALSE)</f>
        <v>0</v>
      </c>
      <c r="AE282" s="28"/>
    </row>
    <row r="283" spans="2:31" ht="15" hidden="1" customHeight="1" outlineLevel="2">
      <c r="B283" s="148">
        <v>23</v>
      </c>
      <c r="C283" s="163" t="str">
        <f>Attribute!C283</f>
        <v>---</v>
      </c>
      <c r="D283" s="86" t="str">
        <f>VLOOKUP(C283,'Talente &amp; Stuff'!FU:GV,2,FALSE)</f>
        <v>--/--/--</v>
      </c>
      <c r="E283" s="167" t="str">
        <f>VLOOKUP(C283,'Talente &amp; Stuff'!FU:GV,3,FALSE)</f>
        <v>-</v>
      </c>
      <c r="F283" s="120">
        <f>VLOOKUP(C283,'Talente &amp; Stuff'!FU:GV,4,FALSE)</f>
        <v>0</v>
      </c>
      <c r="G283" s="117">
        <f>VLOOKUP(C283,'Talente &amp; Stuff'!FU:GV,5,FALSE)</f>
        <v>0</v>
      </c>
      <c r="H283" s="117">
        <f>VLOOKUP(C283,'Talente &amp; Stuff'!FU:GV,6,FALSE)</f>
        <v>0</v>
      </c>
      <c r="I283" s="117">
        <f>VLOOKUP(C283,'Talente &amp; Stuff'!FU:GV,7,FALSE)</f>
        <v>0</v>
      </c>
      <c r="J283" s="117">
        <f>VLOOKUP(C283,'Talente &amp; Stuff'!FU:GV,8,FALSE)</f>
        <v>0</v>
      </c>
      <c r="K283" s="117">
        <f>VLOOKUP(C283,'Talente &amp; Stuff'!FU:GV,9,FALSE)</f>
        <v>0</v>
      </c>
      <c r="L283" s="117">
        <f>VLOOKUP(C283,'Talente &amp; Stuff'!FU:GV,10,FALSE)</f>
        <v>0</v>
      </c>
      <c r="M283" s="121">
        <f>VLOOKUP(C283,'Talente &amp; Stuff'!FU:GV,11,FALSE)</f>
        <v>0</v>
      </c>
      <c r="N283" s="47">
        <f>VLOOKUP(C283,'Talente &amp; Stuff'!FU:GV,12,FALSE)</f>
        <v>0</v>
      </c>
      <c r="O283" s="3">
        <f>VLOOKUP(C283,'Talente &amp; Stuff'!FU:GV,13,FALSE)</f>
        <v>0</v>
      </c>
      <c r="P283" s="174">
        <f>VLOOKUP(C283,'Talente &amp; Stuff'!FU:GV,14,FALSE)</f>
        <v>0</v>
      </c>
      <c r="Q283" s="114">
        <f>VLOOKUP(C283,'Talente &amp; Stuff'!FU:GV,15,FALSE)</f>
        <v>0</v>
      </c>
      <c r="R283" s="117">
        <f>VLOOKUP(C283,'Talente &amp; Stuff'!FU:GV,16,FALSE)</f>
        <v>0</v>
      </c>
      <c r="S283" s="119">
        <f>VLOOKUP(C283,'Talente &amp; Stuff'!FU:GV,17,FALSE)</f>
        <v>0</v>
      </c>
      <c r="T283" s="119">
        <f>VLOOKUP(C283,'Talente &amp; Stuff'!FU:GV,18,FALSE)</f>
        <v>0</v>
      </c>
      <c r="U283" s="89">
        <f>VLOOKUP(C283,'Talente &amp; Stuff'!FU:GV,19,FALSE)</f>
        <v>0</v>
      </c>
      <c r="V283" s="47">
        <f>VLOOKUP(C283,'Talente &amp; Stuff'!FU:GV,20,FALSE)</f>
        <v>0</v>
      </c>
      <c r="W283" s="127">
        <f>VLOOKUP(C283,'Talente &amp; Stuff'!FU:GV,21,FALSE)</f>
        <v>0</v>
      </c>
      <c r="X283" s="127">
        <f>VLOOKUP(C283,'Talente &amp; Stuff'!FU:GV,22,FALSE)</f>
        <v>0</v>
      </c>
      <c r="Y283" s="165">
        <f t="shared" si="22"/>
        <v>0</v>
      </c>
      <c r="Z283" s="44">
        <f t="shared" si="23"/>
        <v>0</v>
      </c>
      <c r="AA283" s="125">
        <f>VLOOKUP(C283,'Talente &amp; Stuff'!FU:GV,25,FALSE)</f>
        <v>0</v>
      </c>
      <c r="AB283" s="160">
        <f>VLOOKUP(C283,'Talente &amp; Stuff'!FU:GV,26,FALSE)</f>
        <v>0</v>
      </c>
      <c r="AC283" s="127">
        <f>VLOOKUP(C283,'Talente &amp; Stuff'!FU:GV,27,FALSE)</f>
        <v>0</v>
      </c>
      <c r="AD283" s="125">
        <f>VLOOKUP(C283,'Talente &amp; Stuff'!FU:GV,28,FALSE)</f>
        <v>0</v>
      </c>
      <c r="AE283" s="28"/>
    </row>
    <row r="284" spans="2:31" ht="15" hidden="1" customHeight="1" outlineLevel="2">
      <c r="B284" s="148">
        <v>24</v>
      </c>
      <c r="C284" s="163" t="str">
        <f>Attribute!C284</f>
        <v>---</v>
      </c>
      <c r="D284" s="86" t="str">
        <f>VLOOKUP(C284,'Talente &amp; Stuff'!FU:GV,2,FALSE)</f>
        <v>--/--/--</v>
      </c>
      <c r="E284" s="167" t="str">
        <f>VLOOKUP(C284,'Talente &amp; Stuff'!FU:GV,3,FALSE)</f>
        <v>-</v>
      </c>
      <c r="F284" s="120">
        <f>VLOOKUP(C284,'Talente &amp; Stuff'!FU:GV,4,FALSE)</f>
        <v>0</v>
      </c>
      <c r="G284" s="117">
        <f>VLOOKUP(C284,'Talente &amp; Stuff'!FU:GV,5,FALSE)</f>
        <v>0</v>
      </c>
      <c r="H284" s="117">
        <f>VLOOKUP(C284,'Talente &amp; Stuff'!FU:GV,6,FALSE)</f>
        <v>0</v>
      </c>
      <c r="I284" s="117">
        <f>VLOOKUP(C284,'Talente &amp; Stuff'!FU:GV,7,FALSE)</f>
        <v>0</v>
      </c>
      <c r="J284" s="117">
        <f>VLOOKUP(C284,'Talente &amp; Stuff'!FU:GV,8,FALSE)</f>
        <v>0</v>
      </c>
      <c r="K284" s="117">
        <f>VLOOKUP(C284,'Talente &amp; Stuff'!FU:GV,9,FALSE)</f>
        <v>0</v>
      </c>
      <c r="L284" s="117">
        <f>VLOOKUP(C284,'Talente &amp; Stuff'!FU:GV,10,FALSE)</f>
        <v>0</v>
      </c>
      <c r="M284" s="121">
        <f>VLOOKUP(C284,'Talente &amp; Stuff'!FU:GV,11,FALSE)</f>
        <v>0</v>
      </c>
      <c r="N284" s="47">
        <f>VLOOKUP(C284,'Talente &amp; Stuff'!FU:GV,12,FALSE)</f>
        <v>0</v>
      </c>
      <c r="O284" s="3">
        <f>VLOOKUP(C284,'Talente &amp; Stuff'!FU:GV,13,FALSE)</f>
        <v>0</v>
      </c>
      <c r="P284" s="174">
        <f>VLOOKUP(C284,'Talente &amp; Stuff'!FU:GV,14,FALSE)</f>
        <v>0</v>
      </c>
      <c r="Q284" s="114">
        <f>VLOOKUP(C284,'Talente &amp; Stuff'!FU:GV,15,FALSE)</f>
        <v>0</v>
      </c>
      <c r="R284" s="117">
        <f>VLOOKUP(C284,'Talente &amp; Stuff'!FU:GV,16,FALSE)</f>
        <v>0</v>
      </c>
      <c r="S284" s="119">
        <f>VLOOKUP(C284,'Talente &amp; Stuff'!FU:GV,17,FALSE)</f>
        <v>0</v>
      </c>
      <c r="T284" s="119">
        <f>VLOOKUP(C284,'Talente &amp; Stuff'!FU:GV,18,FALSE)</f>
        <v>0</v>
      </c>
      <c r="U284" s="89">
        <f>VLOOKUP(C284,'Talente &amp; Stuff'!FU:GV,19,FALSE)</f>
        <v>0</v>
      </c>
      <c r="V284" s="47">
        <f>VLOOKUP(C284,'Talente &amp; Stuff'!FU:GV,20,FALSE)</f>
        <v>0</v>
      </c>
      <c r="W284" s="127">
        <f>VLOOKUP(C284,'Talente &amp; Stuff'!FU:GV,21,FALSE)</f>
        <v>0</v>
      </c>
      <c r="X284" s="127">
        <f>VLOOKUP(C284,'Talente &amp; Stuff'!FU:GV,22,FALSE)</f>
        <v>0</v>
      </c>
      <c r="Y284" s="165">
        <f t="shared" si="22"/>
        <v>0</v>
      </c>
      <c r="Z284" s="44">
        <f t="shared" si="23"/>
        <v>0</v>
      </c>
      <c r="AA284" s="125">
        <f>VLOOKUP(C284,'Talente &amp; Stuff'!FU:GV,25,FALSE)</f>
        <v>0</v>
      </c>
      <c r="AB284" s="160">
        <f>VLOOKUP(C284,'Talente &amp; Stuff'!FU:GV,26,FALSE)</f>
        <v>0</v>
      </c>
      <c r="AC284" s="127">
        <f>VLOOKUP(C284,'Talente &amp; Stuff'!FU:GV,27,FALSE)</f>
        <v>0</v>
      </c>
      <c r="AD284" s="125">
        <f>VLOOKUP(C284,'Talente &amp; Stuff'!FU:GV,28,FALSE)</f>
        <v>0</v>
      </c>
      <c r="AE284" s="28"/>
    </row>
    <row r="285" spans="2:31" ht="15" hidden="1" customHeight="1" outlineLevel="2">
      <c r="B285" s="148">
        <v>25</v>
      </c>
      <c r="C285" s="163" t="str">
        <f>Attribute!C285</f>
        <v>---</v>
      </c>
      <c r="D285" s="86" t="str">
        <f>VLOOKUP(C285,'Talente &amp; Stuff'!FU:GV,2,FALSE)</f>
        <v>--/--/--</v>
      </c>
      <c r="E285" s="167" t="str">
        <f>VLOOKUP(C285,'Talente &amp; Stuff'!FU:GV,3,FALSE)</f>
        <v>-</v>
      </c>
      <c r="F285" s="120">
        <f>VLOOKUP(C285,'Talente &amp; Stuff'!FU:GV,4,FALSE)</f>
        <v>0</v>
      </c>
      <c r="G285" s="117">
        <f>VLOOKUP(C285,'Talente &amp; Stuff'!FU:GV,5,FALSE)</f>
        <v>0</v>
      </c>
      <c r="H285" s="117">
        <f>VLOOKUP(C285,'Talente &amp; Stuff'!FU:GV,6,FALSE)</f>
        <v>0</v>
      </c>
      <c r="I285" s="117">
        <f>VLOOKUP(C285,'Talente &amp; Stuff'!FU:GV,7,FALSE)</f>
        <v>0</v>
      </c>
      <c r="J285" s="117">
        <f>VLOOKUP(C285,'Talente &amp; Stuff'!FU:GV,8,FALSE)</f>
        <v>0</v>
      </c>
      <c r="K285" s="117">
        <f>VLOOKUP(C285,'Talente &amp; Stuff'!FU:GV,9,FALSE)</f>
        <v>0</v>
      </c>
      <c r="L285" s="117">
        <f>VLOOKUP(C285,'Talente &amp; Stuff'!FU:GV,10,FALSE)</f>
        <v>0</v>
      </c>
      <c r="M285" s="121">
        <f>VLOOKUP(C285,'Talente &amp; Stuff'!FU:GV,11,FALSE)</f>
        <v>0</v>
      </c>
      <c r="N285" s="47">
        <f>VLOOKUP(C285,'Talente &amp; Stuff'!FU:GV,12,FALSE)</f>
        <v>0</v>
      </c>
      <c r="O285" s="3">
        <f>VLOOKUP(C285,'Talente &amp; Stuff'!FU:GV,13,FALSE)</f>
        <v>0</v>
      </c>
      <c r="P285" s="174">
        <f>VLOOKUP(C285,'Talente &amp; Stuff'!FU:GV,14,FALSE)</f>
        <v>0</v>
      </c>
      <c r="Q285" s="114">
        <f>VLOOKUP(C285,'Talente &amp; Stuff'!FU:GV,15,FALSE)</f>
        <v>0</v>
      </c>
      <c r="R285" s="117">
        <f>VLOOKUP(C285,'Talente &amp; Stuff'!FU:GV,16,FALSE)</f>
        <v>0</v>
      </c>
      <c r="S285" s="119">
        <f>VLOOKUP(C285,'Talente &amp; Stuff'!FU:GV,17,FALSE)</f>
        <v>0</v>
      </c>
      <c r="T285" s="119">
        <f>VLOOKUP(C285,'Talente &amp; Stuff'!FU:GV,18,FALSE)</f>
        <v>0</v>
      </c>
      <c r="U285" s="89">
        <f>VLOOKUP(C285,'Talente &amp; Stuff'!FU:GV,19,FALSE)</f>
        <v>0</v>
      </c>
      <c r="V285" s="47">
        <f>VLOOKUP(C285,'Talente &amp; Stuff'!FU:GV,20,FALSE)</f>
        <v>0</v>
      </c>
      <c r="W285" s="127">
        <f>VLOOKUP(C285,'Talente &amp; Stuff'!FU:GV,21,FALSE)</f>
        <v>0</v>
      </c>
      <c r="X285" s="127">
        <f>VLOOKUP(C285,'Talente &amp; Stuff'!FU:GV,22,FALSE)</f>
        <v>0</v>
      </c>
      <c r="Y285" s="165">
        <f t="shared" si="22"/>
        <v>0</v>
      </c>
      <c r="Z285" s="44">
        <f t="shared" si="23"/>
        <v>0</v>
      </c>
      <c r="AA285" s="125">
        <f>VLOOKUP(C285,'Talente &amp; Stuff'!FU:GV,25,FALSE)</f>
        <v>0</v>
      </c>
      <c r="AB285" s="160">
        <f>VLOOKUP(C285,'Talente &amp; Stuff'!FU:GV,26,FALSE)</f>
        <v>0</v>
      </c>
      <c r="AC285" s="127">
        <f>VLOOKUP(C285,'Talente &amp; Stuff'!FU:GV,27,FALSE)</f>
        <v>0</v>
      </c>
      <c r="AD285" s="125">
        <f>VLOOKUP(C285,'Talente &amp; Stuff'!FU:GV,28,FALSE)</f>
        <v>0</v>
      </c>
      <c r="AE285" s="28"/>
    </row>
    <row r="286" spans="2:31" ht="15" hidden="1" customHeight="1" outlineLevel="2">
      <c r="B286" s="148">
        <v>26</v>
      </c>
      <c r="C286" s="163" t="str">
        <f>Attribute!C286</f>
        <v>---</v>
      </c>
      <c r="D286" s="86" t="str">
        <f>VLOOKUP(C286,'Talente &amp; Stuff'!FU:GV,2,FALSE)</f>
        <v>--/--/--</v>
      </c>
      <c r="E286" s="167" t="str">
        <f>VLOOKUP(C286,'Talente &amp; Stuff'!FU:GV,3,FALSE)</f>
        <v>-</v>
      </c>
      <c r="F286" s="120">
        <f>VLOOKUP(C286,'Talente &amp; Stuff'!FU:GV,4,FALSE)</f>
        <v>0</v>
      </c>
      <c r="G286" s="117">
        <f>VLOOKUP(C286,'Talente &amp; Stuff'!FU:GV,5,FALSE)</f>
        <v>0</v>
      </c>
      <c r="H286" s="117">
        <f>VLOOKUP(C286,'Talente &amp; Stuff'!FU:GV,6,FALSE)</f>
        <v>0</v>
      </c>
      <c r="I286" s="117">
        <f>VLOOKUP(C286,'Talente &amp; Stuff'!FU:GV,7,FALSE)</f>
        <v>0</v>
      </c>
      <c r="J286" s="117">
        <f>VLOOKUP(C286,'Talente &amp; Stuff'!FU:GV,8,FALSE)</f>
        <v>0</v>
      </c>
      <c r="K286" s="117">
        <f>VLOOKUP(C286,'Talente &amp; Stuff'!FU:GV,9,FALSE)</f>
        <v>0</v>
      </c>
      <c r="L286" s="117">
        <f>VLOOKUP(C286,'Talente &amp; Stuff'!FU:GV,10,FALSE)</f>
        <v>0</v>
      </c>
      <c r="M286" s="121">
        <f>VLOOKUP(C286,'Talente &amp; Stuff'!FU:GV,11,FALSE)</f>
        <v>0</v>
      </c>
      <c r="N286" s="47">
        <f>VLOOKUP(C286,'Talente &amp; Stuff'!FU:GV,12,FALSE)</f>
        <v>0</v>
      </c>
      <c r="O286" s="3">
        <f>VLOOKUP(C286,'Talente &amp; Stuff'!FU:GV,13,FALSE)</f>
        <v>0</v>
      </c>
      <c r="P286" s="174">
        <f>VLOOKUP(C286,'Talente &amp; Stuff'!FU:GV,14,FALSE)</f>
        <v>0</v>
      </c>
      <c r="Q286" s="114">
        <f>VLOOKUP(C286,'Talente &amp; Stuff'!FU:GV,15,FALSE)</f>
        <v>0</v>
      </c>
      <c r="R286" s="117">
        <f>VLOOKUP(C286,'Talente &amp; Stuff'!FU:GV,16,FALSE)</f>
        <v>0</v>
      </c>
      <c r="S286" s="119">
        <f>VLOOKUP(C286,'Talente &amp; Stuff'!FU:GV,17,FALSE)</f>
        <v>0</v>
      </c>
      <c r="T286" s="119">
        <f>VLOOKUP(C286,'Talente &amp; Stuff'!FU:GV,18,FALSE)</f>
        <v>0</v>
      </c>
      <c r="U286" s="89">
        <f>VLOOKUP(C286,'Talente &amp; Stuff'!FU:GV,19,FALSE)</f>
        <v>0</v>
      </c>
      <c r="V286" s="47">
        <f>VLOOKUP(C286,'Talente &amp; Stuff'!FU:GV,20,FALSE)</f>
        <v>0</v>
      </c>
      <c r="W286" s="127">
        <f>VLOOKUP(C286,'Talente &amp; Stuff'!FU:GV,21,FALSE)</f>
        <v>0</v>
      </c>
      <c r="X286" s="127">
        <f>VLOOKUP(C286,'Talente &amp; Stuff'!FU:GV,22,FALSE)</f>
        <v>0</v>
      </c>
      <c r="Y286" s="165">
        <f t="shared" si="22"/>
        <v>0</v>
      </c>
      <c r="Z286" s="44">
        <f t="shared" si="23"/>
        <v>0</v>
      </c>
      <c r="AA286" s="125">
        <f>VLOOKUP(C286,'Talente &amp; Stuff'!FU:GV,25,FALSE)</f>
        <v>0</v>
      </c>
      <c r="AB286" s="160">
        <f>VLOOKUP(C286,'Talente &amp; Stuff'!FU:GV,26,FALSE)</f>
        <v>0</v>
      </c>
      <c r="AC286" s="127">
        <f>VLOOKUP(C286,'Talente &amp; Stuff'!FU:GV,27,FALSE)</f>
        <v>0</v>
      </c>
      <c r="AD286" s="125">
        <f>VLOOKUP(C286,'Talente &amp; Stuff'!FU:GV,28,FALSE)</f>
        <v>0</v>
      </c>
      <c r="AE286" s="28"/>
    </row>
    <row r="287" spans="2:31" ht="15" hidden="1" customHeight="1" outlineLevel="2">
      <c r="B287" s="148">
        <v>27</v>
      </c>
      <c r="C287" s="163" t="str">
        <f>Attribute!C287</f>
        <v>---</v>
      </c>
      <c r="D287" s="86" t="str">
        <f>VLOOKUP(C287,'Talente &amp; Stuff'!FU:GV,2,FALSE)</f>
        <v>--/--/--</v>
      </c>
      <c r="E287" s="167" t="str">
        <f>VLOOKUP(C287,'Talente &amp; Stuff'!FU:GV,3,FALSE)</f>
        <v>-</v>
      </c>
      <c r="F287" s="120">
        <f>VLOOKUP(C287,'Talente &amp; Stuff'!FU:GV,4,FALSE)</f>
        <v>0</v>
      </c>
      <c r="G287" s="117">
        <f>VLOOKUP(C287,'Talente &amp; Stuff'!FU:GV,5,FALSE)</f>
        <v>0</v>
      </c>
      <c r="H287" s="117">
        <f>VLOOKUP(C287,'Talente &amp; Stuff'!FU:GV,6,FALSE)</f>
        <v>0</v>
      </c>
      <c r="I287" s="117">
        <f>VLOOKUP(C287,'Talente &amp; Stuff'!FU:GV,7,FALSE)</f>
        <v>0</v>
      </c>
      <c r="J287" s="117">
        <f>VLOOKUP(C287,'Talente &amp; Stuff'!FU:GV,8,FALSE)</f>
        <v>0</v>
      </c>
      <c r="K287" s="117">
        <f>VLOOKUP(C287,'Talente &amp; Stuff'!FU:GV,9,FALSE)</f>
        <v>0</v>
      </c>
      <c r="L287" s="117">
        <f>VLOOKUP(C287,'Talente &amp; Stuff'!FU:GV,10,FALSE)</f>
        <v>0</v>
      </c>
      <c r="M287" s="121">
        <f>VLOOKUP(C287,'Talente &amp; Stuff'!FU:GV,11,FALSE)</f>
        <v>0</v>
      </c>
      <c r="N287" s="47">
        <f>VLOOKUP(C287,'Talente &amp; Stuff'!FU:GV,12,FALSE)</f>
        <v>0</v>
      </c>
      <c r="O287" s="3">
        <f>VLOOKUP(C287,'Talente &amp; Stuff'!FU:GV,13,FALSE)</f>
        <v>0</v>
      </c>
      <c r="P287" s="174">
        <f>VLOOKUP(C287,'Talente &amp; Stuff'!FU:GV,14,FALSE)</f>
        <v>0</v>
      </c>
      <c r="Q287" s="114">
        <f>VLOOKUP(C287,'Talente &amp; Stuff'!FU:GV,15,FALSE)</f>
        <v>0</v>
      </c>
      <c r="R287" s="117">
        <f>VLOOKUP(C287,'Talente &amp; Stuff'!FU:GV,16,FALSE)</f>
        <v>0</v>
      </c>
      <c r="S287" s="119">
        <f>VLOOKUP(C287,'Talente &amp; Stuff'!FU:GV,17,FALSE)</f>
        <v>0</v>
      </c>
      <c r="T287" s="119">
        <f>VLOOKUP(C287,'Talente &amp; Stuff'!FU:GV,18,FALSE)</f>
        <v>0</v>
      </c>
      <c r="U287" s="89">
        <f>VLOOKUP(C287,'Talente &amp; Stuff'!FU:GV,19,FALSE)</f>
        <v>0</v>
      </c>
      <c r="V287" s="47">
        <f>VLOOKUP(C287,'Talente &amp; Stuff'!FU:GV,20,FALSE)</f>
        <v>0</v>
      </c>
      <c r="W287" s="127">
        <f>VLOOKUP(C287,'Talente &amp; Stuff'!FU:GV,21,FALSE)</f>
        <v>0</v>
      </c>
      <c r="X287" s="127">
        <f>VLOOKUP(C287,'Talente &amp; Stuff'!FU:GV,22,FALSE)</f>
        <v>0</v>
      </c>
      <c r="Y287" s="165">
        <f t="shared" si="22"/>
        <v>0</v>
      </c>
      <c r="Z287" s="44">
        <f t="shared" si="23"/>
        <v>0</v>
      </c>
      <c r="AA287" s="125">
        <f>VLOOKUP(C287,'Talente &amp; Stuff'!FU:GV,25,FALSE)</f>
        <v>0</v>
      </c>
      <c r="AB287" s="160">
        <f>VLOOKUP(C287,'Talente &amp; Stuff'!FU:GV,26,FALSE)</f>
        <v>0</v>
      </c>
      <c r="AC287" s="127">
        <f>VLOOKUP(C287,'Talente &amp; Stuff'!FU:GV,27,FALSE)</f>
        <v>0</v>
      </c>
      <c r="AD287" s="125">
        <f>VLOOKUP(C287,'Talente &amp; Stuff'!FU:GV,28,FALSE)</f>
        <v>0</v>
      </c>
      <c r="AE287" s="28"/>
    </row>
    <row r="288" spans="2:31" ht="15" hidden="1" customHeight="1" outlineLevel="2">
      <c r="B288" s="148">
        <v>28</v>
      </c>
      <c r="C288" s="163" t="str">
        <f>Attribute!C288</f>
        <v>---</v>
      </c>
      <c r="D288" s="86" t="str">
        <f>VLOOKUP(C288,'Talente &amp; Stuff'!FU:GV,2,FALSE)</f>
        <v>--/--/--</v>
      </c>
      <c r="E288" s="167" t="str">
        <f>VLOOKUP(C288,'Talente &amp; Stuff'!FU:GV,3,FALSE)</f>
        <v>-</v>
      </c>
      <c r="F288" s="120">
        <f>VLOOKUP(C288,'Talente &amp; Stuff'!FU:GV,4,FALSE)</f>
        <v>0</v>
      </c>
      <c r="G288" s="117">
        <f>VLOOKUP(C288,'Talente &amp; Stuff'!FU:GV,5,FALSE)</f>
        <v>0</v>
      </c>
      <c r="H288" s="117">
        <f>VLOOKUP(C288,'Talente &amp; Stuff'!FU:GV,6,FALSE)</f>
        <v>0</v>
      </c>
      <c r="I288" s="117">
        <f>VLOOKUP(C288,'Talente &amp; Stuff'!FU:GV,7,FALSE)</f>
        <v>0</v>
      </c>
      <c r="J288" s="117">
        <f>VLOOKUP(C288,'Talente &amp; Stuff'!FU:GV,8,FALSE)</f>
        <v>0</v>
      </c>
      <c r="K288" s="117">
        <f>VLOOKUP(C288,'Talente &amp; Stuff'!FU:GV,9,FALSE)</f>
        <v>0</v>
      </c>
      <c r="L288" s="117">
        <f>VLOOKUP(C288,'Talente &amp; Stuff'!FU:GV,10,FALSE)</f>
        <v>0</v>
      </c>
      <c r="M288" s="121">
        <f>VLOOKUP(C288,'Talente &amp; Stuff'!FU:GV,11,FALSE)</f>
        <v>0</v>
      </c>
      <c r="N288" s="47">
        <f>VLOOKUP(C288,'Talente &amp; Stuff'!FU:GV,12,FALSE)</f>
        <v>0</v>
      </c>
      <c r="O288" s="3">
        <f>VLOOKUP(C288,'Talente &amp; Stuff'!FU:GV,13,FALSE)</f>
        <v>0</v>
      </c>
      <c r="P288" s="174">
        <f>VLOOKUP(C288,'Talente &amp; Stuff'!FU:GV,14,FALSE)</f>
        <v>0</v>
      </c>
      <c r="Q288" s="114">
        <f>VLOOKUP(C288,'Talente &amp; Stuff'!FU:GV,15,FALSE)</f>
        <v>0</v>
      </c>
      <c r="R288" s="117">
        <f>VLOOKUP(C288,'Talente &amp; Stuff'!FU:GV,16,FALSE)</f>
        <v>0</v>
      </c>
      <c r="S288" s="119">
        <f>VLOOKUP(C288,'Talente &amp; Stuff'!FU:GV,17,FALSE)</f>
        <v>0</v>
      </c>
      <c r="T288" s="119">
        <f>VLOOKUP(C288,'Talente &amp; Stuff'!FU:GV,18,FALSE)</f>
        <v>0</v>
      </c>
      <c r="U288" s="89">
        <f>VLOOKUP(C288,'Talente &amp; Stuff'!FU:GV,19,FALSE)</f>
        <v>0</v>
      </c>
      <c r="V288" s="47">
        <f>VLOOKUP(C288,'Talente &amp; Stuff'!FU:GV,20,FALSE)</f>
        <v>0</v>
      </c>
      <c r="W288" s="127">
        <f>VLOOKUP(C288,'Talente &amp; Stuff'!FU:GV,21,FALSE)</f>
        <v>0</v>
      </c>
      <c r="X288" s="127">
        <f>VLOOKUP(C288,'Talente &amp; Stuff'!FU:GV,22,FALSE)</f>
        <v>0</v>
      </c>
      <c r="Y288" s="165">
        <f t="shared" si="22"/>
        <v>0</v>
      </c>
      <c r="Z288" s="44">
        <f t="shared" si="23"/>
        <v>0</v>
      </c>
      <c r="AA288" s="125">
        <f>VLOOKUP(C288,'Talente &amp; Stuff'!FU:GV,25,FALSE)</f>
        <v>0</v>
      </c>
      <c r="AB288" s="160">
        <f>VLOOKUP(C288,'Talente &amp; Stuff'!FU:GV,26,FALSE)</f>
        <v>0</v>
      </c>
      <c r="AC288" s="127">
        <f>VLOOKUP(C288,'Talente &amp; Stuff'!FU:GV,27,FALSE)</f>
        <v>0</v>
      </c>
      <c r="AD288" s="125">
        <f>VLOOKUP(C288,'Talente &amp; Stuff'!FU:GV,28,FALSE)</f>
        <v>0</v>
      </c>
      <c r="AE288" s="28"/>
    </row>
    <row r="289" spans="1:31" ht="15" hidden="1" customHeight="1" outlineLevel="2">
      <c r="B289" s="148">
        <v>29</v>
      </c>
      <c r="C289" s="163" t="str">
        <f>Attribute!C289</f>
        <v>---</v>
      </c>
      <c r="D289" s="125" t="str">
        <f>VLOOKUP(C289,'Talente &amp; Stuff'!FU:GV,2,FALSE)</f>
        <v>--/--/--</v>
      </c>
      <c r="E289" s="127" t="str">
        <f>VLOOKUP(C289,'Talente &amp; Stuff'!FU:GV,3,FALSE)</f>
        <v>-</v>
      </c>
      <c r="F289" s="114">
        <f>VLOOKUP(C289,'Talente &amp; Stuff'!FU:GV,4,FALSE)</f>
        <v>0</v>
      </c>
      <c r="G289" s="113">
        <f>VLOOKUP(C289,'Talente &amp; Stuff'!FU:GV,5,FALSE)</f>
        <v>0</v>
      </c>
      <c r="H289" s="113">
        <f>VLOOKUP(C289,'Talente &amp; Stuff'!FU:GV,6,FALSE)</f>
        <v>0</v>
      </c>
      <c r="I289" s="113">
        <f>VLOOKUP(C289,'Talente &amp; Stuff'!FU:GV,7,FALSE)</f>
        <v>0</v>
      </c>
      <c r="J289" s="113">
        <f>VLOOKUP(C289,'Talente &amp; Stuff'!FU:GV,8,FALSE)</f>
        <v>0</v>
      </c>
      <c r="K289" s="113">
        <f>VLOOKUP(C289,'Talente &amp; Stuff'!FU:GV,9,FALSE)</f>
        <v>0</v>
      </c>
      <c r="L289" s="113">
        <f>VLOOKUP(C289,'Talente &amp; Stuff'!FU:GV,10,FALSE)</f>
        <v>0</v>
      </c>
      <c r="M289" s="119">
        <f>VLOOKUP(C289,'Talente &amp; Stuff'!FU:GV,11,FALSE)</f>
        <v>0</v>
      </c>
      <c r="N289" s="47">
        <f>VLOOKUP(C289,'Talente &amp; Stuff'!FU:GV,12,FALSE)</f>
        <v>0</v>
      </c>
      <c r="O289" s="47">
        <f>VLOOKUP(C289,'Talente &amp; Stuff'!FU:GV,13,FALSE)</f>
        <v>0</v>
      </c>
      <c r="P289" s="119">
        <f>VLOOKUP(C289,'Talente &amp; Stuff'!FU:GV,14,FALSE)</f>
        <v>0</v>
      </c>
      <c r="Q289" s="114">
        <f>VLOOKUP(C289,'Talente &amp; Stuff'!FU:GV,15,FALSE)</f>
        <v>0</v>
      </c>
      <c r="R289" s="113">
        <f>VLOOKUP(C289,'Talente &amp; Stuff'!FU:GV,16,FALSE)</f>
        <v>0</v>
      </c>
      <c r="S289" s="119">
        <f>VLOOKUP(C289,'Talente &amp; Stuff'!FU:GV,17,FALSE)</f>
        <v>0</v>
      </c>
      <c r="T289" s="119">
        <f>VLOOKUP(C289,'Talente &amp; Stuff'!FU:GV,18,FALSE)</f>
        <v>0</v>
      </c>
      <c r="U289" s="89">
        <f>VLOOKUP(C289,'Talente &amp; Stuff'!FU:GV,19,FALSE)</f>
        <v>0</v>
      </c>
      <c r="V289" s="47">
        <f>VLOOKUP(C289,'Talente &amp; Stuff'!FU:GV,20,FALSE)</f>
        <v>0</v>
      </c>
      <c r="W289" s="127">
        <f>VLOOKUP(C289,'Talente &amp; Stuff'!FU:GV,21,FALSE)</f>
        <v>0</v>
      </c>
      <c r="X289" s="127">
        <f>VLOOKUP(C289,'Talente &amp; Stuff'!FU:GV,22,FALSE)</f>
        <v>0</v>
      </c>
      <c r="Y289" s="165">
        <f t="shared" si="22"/>
        <v>0</v>
      </c>
      <c r="Z289" s="44">
        <f t="shared" si="23"/>
        <v>0</v>
      </c>
      <c r="AA289" s="125">
        <f>VLOOKUP(C289,'Talente &amp; Stuff'!FU:GV,25,FALSE)</f>
        <v>0</v>
      </c>
      <c r="AB289" s="160">
        <f>VLOOKUP(C289,'Talente &amp; Stuff'!FU:GV,26,FALSE)</f>
        <v>0</v>
      </c>
      <c r="AC289" s="127">
        <f>VLOOKUP(C289,'Talente &amp; Stuff'!FU:GV,27,FALSE)</f>
        <v>0</v>
      </c>
      <c r="AD289" s="125">
        <f>VLOOKUP(C289,'Talente &amp; Stuff'!FU:GV,28,FALSE)</f>
        <v>0</v>
      </c>
      <c r="AE289" s="28"/>
    </row>
    <row r="290" spans="1:31" ht="15" hidden="1" customHeight="1" outlineLevel="2">
      <c r="B290" s="148">
        <v>30</v>
      </c>
      <c r="C290" s="163" t="str">
        <f>Attribute!C290</f>
        <v>---</v>
      </c>
      <c r="D290" s="125" t="str">
        <f>VLOOKUP(C290,'Talente &amp; Stuff'!FU:GV,2,FALSE)</f>
        <v>--/--/--</v>
      </c>
      <c r="E290" s="127" t="str">
        <f>VLOOKUP(C290,'Talente &amp; Stuff'!FU:GV,3,FALSE)</f>
        <v>-</v>
      </c>
      <c r="F290" s="114">
        <f>VLOOKUP(C290,'Talente &amp; Stuff'!FU:GV,4,FALSE)</f>
        <v>0</v>
      </c>
      <c r="G290" s="113">
        <f>VLOOKUP(C290,'Talente &amp; Stuff'!FU:GV,5,FALSE)</f>
        <v>0</v>
      </c>
      <c r="H290" s="113">
        <f>VLOOKUP(C290,'Talente &amp; Stuff'!FU:GV,6,FALSE)</f>
        <v>0</v>
      </c>
      <c r="I290" s="113">
        <f>VLOOKUP(C290,'Talente &amp; Stuff'!FU:GV,7,FALSE)</f>
        <v>0</v>
      </c>
      <c r="J290" s="113">
        <f>VLOOKUP(C290,'Talente &amp; Stuff'!FU:GV,8,FALSE)</f>
        <v>0</v>
      </c>
      <c r="K290" s="113">
        <f>VLOOKUP(C290,'Talente &amp; Stuff'!FU:GV,9,FALSE)</f>
        <v>0</v>
      </c>
      <c r="L290" s="113">
        <f>VLOOKUP(C290,'Talente &amp; Stuff'!FU:GV,10,FALSE)</f>
        <v>0</v>
      </c>
      <c r="M290" s="119">
        <f>VLOOKUP(C290,'Talente &amp; Stuff'!FU:GV,11,FALSE)</f>
        <v>0</v>
      </c>
      <c r="N290" s="47">
        <f>VLOOKUP(C290,'Talente &amp; Stuff'!FU:GV,12,FALSE)</f>
        <v>0</v>
      </c>
      <c r="O290" s="47">
        <f>VLOOKUP(C290,'Talente &amp; Stuff'!FU:GV,13,FALSE)</f>
        <v>0</v>
      </c>
      <c r="P290" s="119">
        <f>VLOOKUP(C290,'Talente &amp; Stuff'!FU:GV,14,FALSE)</f>
        <v>0</v>
      </c>
      <c r="Q290" s="114">
        <f>VLOOKUP(C290,'Talente &amp; Stuff'!FU:GV,15,FALSE)</f>
        <v>0</v>
      </c>
      <c r="R290" s="113">
        <f>VLOOKUP(C290,'Talente &amp; Stuff'!FU:GV,16,FALSE)</f>
        <v>0</v>
      </c>
      <c r="S290" s="119">
        <f>VLOOKUP(C290,'Talente &amp; Stuff'!FU:GV,17,FALSE)</f>
        <v>0</v>
      </c>
      <c r="T290" s="119">
        <f>VLOOKUP(C290,'Talente &amp; Stuff'!FU:GV,18,FALSE)</f>
        <v>0</v>
      </c>
      <c r="U290" s="89">
        <f>VLOOKUP(C290,'Talente &amp; Stuff'!FU:GV,19,FALSE)</f>
        <v>0</v>
      </c>
      <c r="V290" s="47">
        <f>VLOOKUP(C290,'Talente &amp; Stuff'!FU:GV,20,FALSE)</f>
        <v>0</v>
      </c>
      <c r="W290" s="127">
        <f>VLOOKUP(C290,'Talente &amp; Stuff'!FU:GV,21,FALSE)</f>
        <v>0</v>
      </c>
      <c r="X290" s="127">
        <f>VLOOKUP(C290,'Talente &amp; Stuff'!FU:GV,22,FALSE)</f>
        <v>0</v>
      </c>
      <c r="Y290" s="165">
        <f t="shared" si="22"/>
        <v>0</v>
      </c>
      <c r="Z290" s="44">
        <f t="shared" si="23"/>
        <v>0</v>
      </c>
      <c r="AA290" s="125">
        <f>VLOOKUP(C290,'Talente &amp; Stuff'!FU:GV,25,FALSE)</f>
        <v>0</v>
      </c>
      <c r="AB290" s="160">
        <f>VLOOKUP(C290,'Talente &amp; Stuff'!FU:GV,26,FALSE)</f>
        <v>0</v>
      </c>
      <c r="AC290" s="127">
        <f>VLOOKUP(C290,'Talente &amp; Stuff'!FU:GV,27,FALSE)</f>
        <v>0</v>
      </c>
      <c r="AD290" s="125">
        <f>VLOOKUP(C290,'Talente &amp; Stuff'!FU:GV,28,FALSE)</f>
        <v>0</v>
      </c>
      <c r="AE290" s="28"/>
    </row>
    <row r="291" spans="1:31" ht="15" hidden="1" customHeight="1" outlineLevel="2">
      <c r="B291" s="148">
        <v>31</v>
      </c>
      <c r="C291" s="163" t="str">
        <f>Attribute!C291</f>
        <v>---</v>
      </c>
      <c r="D291" s="125" t="str">
        <f>VLOOKUP(C291,'Talente &amp; Stuff'!FU:GV,2,FALSE)</f>
        <v>--/--/--</v>
      </c>
      <c r="E291" s="127" t="str">
        <f>VLOOKUP(C291,'Talente &amp; Stuff'!FU:GV,3,FALSE)</f>
        <v>-</v>
      </c>
      <c r="F291" s="114">
        <f>VLOOKUP(C291,'Talente &amp; Stuff'!FU:GV,4,FALSE)</f>
        <v>0</v>
      </c>
      <c r="G291" s="113">
        <f>VLOOKUP(C291,'Talente &amp; Stuff'!FU:GV,5,FALSE)</f>
        <v>0</v>
      </c>
      <c r="H291" s="113">
        <f>VLOOKUP(C291,'Talente &amp; Stuff'!FU:GV,6,FALSE)</f>
        <v>0</v>
      </c>
      <c r="I291" s="113">
        <f>VLOOKUP(C291,'Talente &amp; Stuff'!FU:GV,7,FALSE)</f>
        <v>0</v>
      </c>
      <c r="J291" s="113">
        <f>VLOOKUP(C291,'Talente &amp; Stuff'!FU:GV,8,FALSE)</f>
        <v>0</v>
      </c>
      <c r="K291" s="113">
        <f>VLOOKUP(C291,'Talente &amp; Stuff'!FU:GV,9,FALSE)</f>
        <v>0</v>
      </c>
      <c r="L291" s="113">
        <f>VLOOKUP(C291,'Talente &amp; Stuff'!FU:GV,10,FALSE)</f>
        <v>0</v>
      </c>
      <c r="M291" s="119">
        <f>VLOOKUP(C291,'Talente &amp; Stuff'!FU:GV,11,FALSE)</f>
        <v>0</v>
      </c>
      <c r="N291" s="47">
        <f>VLOOKUP(C291,'Talente &amp; Stuff'!FU:GV,12,FALSE)</f>
        <v>0</v>
      </c>
      <c r="O291" s="47">
        <f>VLOOKUP(C291,'Talente &amp; Stuff'!FU:GV,13,FALSE)</f>
        <v>0</v>
      </c>
      <c r="P291" s="119">
        <f>VLOOKUP(C291,'Talente &amp; Stuff'!FU:GV,14,FALSE)</f>
        <v>0</v>
      </c>
      <c r="Q291" s="114">
        <f>VLOOKUP(C291,'Talente &amp; Stuff'!FU:GV,15,FALSE)</f>
        <v>0</v>
      </c>
      <c r="R291" s="113">
        <f>VLOOKUP(C291,'Talente &amp; Stuff'!FU:GV,16,FALSE)</f>
        <v>0</v>
      </c>
      <c r="S291" s="119">
        <f>VLOOKUP(C291,'Talente &amp; Stuff'!FU:GV,17,FALSE)</f>
        <v>0</v>
      </c>
      <c r="T291" s="119">
        <f>VLOOKUP(C291,'Talente &amp; Stuff'!FU:GV,18,FALSE)</f>
        <v>0</v>
      </c>
      <c r="U291" s="89">
        <f>VLOOKUP(C291,'Talente &amp; Stuff'!FU:GV,19,FALSE)</f>
        <v>0</v>
      </c>
      <c r="V291" s="47">
        <f>VLOOKUP(C291,'Talente &amp; Stuff'!FU:GV,20,FALSE)</f>
        <v>0</v>
      </c>
      <c r="W291" s="127">
        <f>VLOOKUP(C291,'Talente &amp; Stuff'!FU:GV,21,FALSE)</f>
        <v>0</v>
      </c>
      <c r="X291" s="127">
        <f>VLOOKUP(C291,'Talente &amp; Stuff'!FU:GV,22,FALSE)</f>
        <v>0</v>
      </c>
      <c r="Y291" s="165">
        <f t="shared" si="22"/>
        <v>0</v>
      </c>
      <c r="Z291" s="44">
        <f t="shared" si="23"/>
        <v>0</v>
      </c>
      <c r="AA291" s="125">
        <f>VLOOKUP(C291,'Talente &amp; Stuff'!FU:GV,25,FALSE)</f>
        <v>0</v>
      </c>
      <c r="AB291" s="160">
        <f>VLOOKUP(C291,'Talente &amp; Stuff'!FU:GV,26,FALSE)</f>
        <v>0</v>
      </c>
      <c r="AC291" s="127">
        <f>VLOOKUP(C291,'Talente &amp; Stuff'!FU:GV,27,FALSE)</f>
        <v>0</v>
      </c>
      <c r="AD291" s="125">
        <f>VLOOKUP(C291,'Talente &amp; Stuff'!FU:GV,28,FALSE)</f>
        <v>0</v>
      </c>
      <c r="AE291" s="28"/>
    </row>
    <row r="292" spans="1:31" ht="15" hidden="1" customHeight="1" outlineLevel="2">
      <c r="B292" s="148">
        <v>32</v>
      </c>
      <c r="C292" s="163" t="str">
        <f>Attribute!C292</f>
        <v>---</v>
      </c>
      <c r="D292" s="125" t="str">
        <f>VLOOKUP(C292,'Talente &amp; Stuff'!FU:GV,2,FALSE)</f>
        <v>--/--/--</v>
      </c>
      <c r="E292" s="127" t="str">
        <f>VLOOKUP(C292,'Talente &amp; Stuff'!FU:GV,3,FALSE)</f>
        <v>-</v>
      </c>
      <c r="F292" s="114">
        <f>VLOOKUP(C292,'Talente &amp; Stuff'!FU:GV,4,FALSE)</f>
        <v>0</v>
      </c>
      <c r="G292" s="113">
        <f>VLOOKUP(C292,'Talente &amp; Stuff'!FU:GV,5,FALSE)</f>
        <v>0</v>
      </c>
      <c r="H292" s="113">
        <f>VLOOKUP(C292,'Talente &amp; Stuff'!FU:GV,6,FALSE)</f>
        <v>0</v>
      </c>
      <c r="I292" s="113">
        <f>VLOOKUP(C292,'Talente &amp; Stuff'!FU:GV,7,FALSE)</f>
        <v>0</v>
      </c>
      <c r="J292" s="113">
        <f>VLOOKUP(C292,'Talente &amp; Stuff'!FU:GV,8,FALSE)</f>
        <v>0</v>
      </c>
      <c r="K292" s="113">
        <f>VLOOKUP(C292,'Talente &amp; Stuff'!FU:GV,9,FALSE)</f>
        <v>0</v>
      </c>
      <c r="L292" s="113">
        <f>VLOOKUP(C292,'Talente &amp; Stuff'!FU:GV,10,FALSE)</f>
        <v>0</v>
      </c>
      <c r="M292" s="119">
        <f>VLOOKUP(C292,'Talente &amp; Stuff'!FU:GV,11,FALSE)</f>
        <v>0</v>
      </c>
      <c r="N292" s="47">
        <f>VLOOKUP(C292,'Talente &amp; Stuff'!FU:GV,12,FALSE)</f>
        <v>0</v>
      </c>
      <c r="O292" s="47">
        <f>VLOOKUP(C292,'Talente &amp; Stuff'!FU:GV,13,FALSE)</f>
        <v>0</v>
      </c>
      <c r="P292" s="119">
        <f>VLOOKUP(C292,'Talente &amp; Stuff'!FU:GV,14,FALSE)</f>
        <v>0</v>
      </c>
      <c r="Q292" s="114">
        <f>VLOOKUP(C292,'Talente &amp; Stuff'!FU:GV,15,FALSE)</f>
        <v>0</v>
      </c>
      <c r="R292" s="113">
        <f>VLOOKUP(C292,'Talente &amp; Stuff'!FU:GV,16,FALSE)</f>
        <v>0</v>
      </c>
      <c r="S292" s="119">
        <f>VLOOKUP(C292,'Talente &amp; Stuff'!FU:GV,17,FALSE)</f>
        <v>0</v>
      </c>
      <c r="T292" s="119">
        <f>VLOOKUP(C292,'Talente &amp; Stuff'!FU:GV,18,FALSE)</f>
        <v>0</v>
      </c>
      <c r="U292" s="89">
        <f>VLOOKUP(C292,'Talente &amp; Stuff'!FU:GV,19,FALSE)</f>
        <v>0</v>
      </c>
      <c r="V292" s="47">
        <f>VLOOKUP(C292,'Talente &amp; Stuff'!FU:GV,20,FALSE)</f>
        <v>0</v>
      </c>
      <c r="W292" s="127">
        <f>VLOOKUP(C292,'Talente &amp; Stuff'!FU:GV,21,FALSE)</f>
        <v>0</v>
      </c>
      <c r="X292" s="127">
        <f>VLOOKUP(C292,'Talente &amp; Stuff'!FU:GV,22,FALSE)</f>
        <v>0</v>
      </c>
      <c r="Y292" s="165">
        <f t="shared" si="22"/>
        <v>0</v>
      </c>
      <c r="Z292" s="44">
        <f t="shared" si="23"/>
        <v>0</v>
      </c>
      <c r="AA292" s="125">
        <f>VLOOKUP(C292,'Talente &amp; Stuff'!FU:GV,25,FALSE)</f>
        <v>0</v>
      </c>
      <c r="AB292" s="160">
        <f>VLOOKUP(C292,'Talente &amp; Stuff'!FU:GV,26,FALSE)</f>
        <v>0</v>
      </c>
      <c r="AC292" s="127">
        <f>VLOOKUP(C292,'Talente &amp; Stuff'!FU:GV,27,FALSE)</f>
        <v>0</v>
      </c>
      <c r="AD292" s="125">
        <f>VLOOKUP(C292,'Talente &amp; Stuff'!FU:GV,28,FALSE)</f>
        <v>0</v>
      </c>
      <c r="AE292" s="28"/>
    </row>
    <row r="293" spans="1:31" ht="15" hidden="1" customHeight="1" outlineLevel="2">
      <c r="B293" s="148">
        <v>33</v>
      </c>
      <c r="C293" s="163" t="str">
        <f>Attribute!C293</f>
        <v>---</v>
      </c>
      <c r="D293" s="125" t="str">
        <f>VLOOKUP(C293,'Talente &amp; Stuff'!FU:GV,2,FALSE)</f>
        <v>--/--/--</v>
      </c>
      <c r="E293" s="127" t="str">
        <f>VLOOKUP(C293,'Talente &amp; Stuff'!FU:GV,3,FALSE)</f>
        <v>-</v>
      </c>
      <c r="F293" s="114">
        <f>VLOOKUP(C293,'Talente &amp; Stuff'!FU:GV,4,FALSE)</f>
        <v>0</v>
      </c>
      <c r="G293" s="113">
        <f>VLOOKUP(C293,'Talente &amp; Stuff'!FU:GV,5,FALSE)</f>
        <v>0</v>
      </c>
      <c r="H293" s="113">
        <f>VLOOKUP(C293,'Talente &amp; Stuff'!FU:GV,6,FALSE)</f>
        <v>0</v>
      </c>
      <c r="I293" s="113">
        <f>VLOOKUP(C293,'Talente &amp; Stuff'!FU:GV,7,FALSE)</f>
        <v>0</v>
      </c>
      <c r="J293" s="113">
        <f>VLOOKUP(C293,'Talente &amp; Stuff'!FU:GV,8,FALSE)</f>
        <v>0</v>
      </c>
      <c r="K293" s="113">
        <f>VLOOKUP(C293,'Talente &amp; Stuff'!FU:GV,9,FALSE)</f>
        <v>0</v>
      </c>
      <c r="L293" s="113">
        <f>VLOOKUP(C293,'Talente &amp; Stuff'!FU:GV,10,FALSE)</f>
        <v>0</v>
      </c>
      <c r="M293" s="119">
        <f>VLOOKUP(C293,'Talente &amp; Stuff'!FU:GV,11,FALSE)</f>
        <v>0</v>
      </c>
      <c r="N293" s="47">
        <f>VLOOKUP(C293,'Talente &amp; Stuff'!FU:GV,12,FALSE)</f>
        <v>0</v>
      </c>
      <c r="O293" s="47">
        <f>VLOOKUP(C293,'Talente &amp; Stuff'!FU:GV,13,FALSE)</f>
        <v>0</v>
      </c>
      <c r="P293" s="119">
        <f>VLOOKUP(C293,'Talente &amp; Stuff'!FU:GV,14,FALSE)</f>
        <v>0</v>
      </c>
      <c r="Q293" s="114">
        <f>VLOOKUP(C293,'Talente &amp; Stuff'!FU:GV,15,FALSE)</f>
        <v>0</v>
      </c>
      <c r="R293" s="113">
        <f>VLOOKUP(C293,'Talente &amp; Stuff'!FU:GV,16,FALSE)</f>
        <v>0</v>
      </c>
      <c r="S293" s="119">
        <f>VLOOKUP(C293,'Talente &amp; Stuff'!FU:GV,17,FALSE)</f>
        <v>0</v>
      </c>
      <c r="T293" s="119">
        <f>VLOOKUP(C293,'Talente &amp; Stuff'!FU:GV,18,FALSE)</f>
        <v>0</v>
      </c>
      <c r="U293" s="89">
        <f>VLOOKUP(C293,'Talente &amp; Stuff'!FU:GV,19,FALSE)</f>
        <v>0</v>
      </c>
      <c r="V293" s="47">
        <f>VLOOKUP(C293,'Talente &amp; Stuff'!FU:GV,20,FALSE)</f>
        <v>0</v>
      </c>
      <c r="W293" s="127">
        <f>VLOOKUP(C293,'Talente &amp; Stuff'!FU:GV,21,FALSE)</f>
        <v>0</v>
      </c>
      <c r="X293" s="127">
        <f>VLOOKUP(C293,'Talente &amp; Stuff'!FU:GV,22,FALSE)</f>
        <v>0</v>
      </c>
      <c r="Y293" s="165">
        <f t="shared" si="22"/>
        <v>0</v>
      </c>
      <c r="Z293" s="44">
        <f t="shared" si="23"/>
        <v>0</v>
      </c>
      <c r="AA293" s="125">
        <f>VLOOKUP(C293,'Talente &amp; Stuff'!FU:GV,25,FALSE)</f>
        <v>0</v>
      </c>
      <c r="AB293" s="160">
        <f>VLOOKUP(C293,'Talente &amp; Stuff'!FU:GV,26,FALSE)</f>
        <v>0</v>
      </c>
      <c r="AC293" s="127">
        <f>VLOOKUP(C293,'Talente &amp; Stuff'!FU:GV,27,FALSE)</f>
        <v>0</v>
      </c>
      <c r="AD293" s="125">
        <f>VLOOKUP(C293,'Talente &amp; Stuff'!FU:GV,28,FALSE)</f>
        <v>0</v>
      </c>
      <c r="AE293" s="28"/>
    </row>
    <row r="294" spans="1:31" ht="15" hidden="1" customHeight="1" outlineLevel="2">
      <c r="B294" s="148">
        <v>34</v>
      </c>
      <c r="C294" s="163" t="str">
        <f>Attribute!C294</f>
        <v>---</v>
      </c>
      <c r="D294" s="125" t="str">
        <f>VLOOKUP(C294,'Talente &amp; Stuff'!FU:GV,2,FALSE)</f>
        <v>--/--/--</v>
      </c>
      <c r="E294" s="127" t="str">
        <f>VLOOKUP(C294,'Talente &amp; Stuff'!FU:GV,3,FALSE)</f>
        <v>-</v>
      </c>
      <c r="F294" s="114">
        <f>VLOOKUP(C294,'Talente &amp; Stuff'!FU:GV,4,FALSE)</f>
        <v>0</v>
      </c>
      <c r="G294" s="113">
        <f>VLOOKUP(C294,'Talente &amp; Stuff'!FU:GV,5,FALSE)</f>
        <v>0</v>
      </c>
      <c r="H294" s="113">
        <f>VLOOKUP(C294,'Talente &amp; Stuff'!FU:GV,6,FALSE)</f>
        <v>0</v>
      </c>
      <c r="I294" s="113">
        <f>VLOOKUP(C294,'Talente &amp; Stuff'!FU:GV,7,FALSE)</f>
        <v>0</v>
      </c>
      <c r="J294" s="113">
        <f>VLOOKUP(C294,'Talente &amp; Stuff'!FU:GV,8,FALSE)</f>
        <v>0</v>
      </c>
      <c r="K294" s="113">
        <f>VLOOKUP(C294,'Talente &amp; Stuff'!FU:GV,9,FALSE)</f>
        <v>0</v>
      </c>
      <c r="L294" s="113">
        <f>VLOOKUP(C294,'Talente &amp; Stuff'!FU:GV,10,FALSE)</f>
        <v>0</v>
      </c>
      <c r="M294" s="119">
        <f>VLOOKUP(C294,'Talente &amp; Stuff'!FU:GV,11,FALSE)</f>
        <v>0</v>
      </c>
      <c r="N294" s="47">
        <f>VLOOKUP(C294,'Talente &amp; Stuff'!FU:GV,12,FALSE)</f>
        <v>0</v>
      </c>
      <c r="O294" s="47">
        <f>VLOOKUP(C294,'Talente &amp; Stuff'!FU:GV,13,FALSE)</f>
        <v>0</v>
      </c>
      <c r="P294" s="119">
        <f>VLOOKUP(C294,'Talente &amp; Stuff'!FU:GV,14,FALSE)</f>
        <v>0</v>
      </c>
      <c r="Q294" s="114">
        <f>VLOOKUP(C294,'Talente &amp; Stuff'!FU:GV,15,FALSE)</f>
        <v>0</v>
      </c>
      <c r="R294" s="113">
        <f>VLOOKUP(C294,'Talente &amp; Stuff'!FU:GV,16,FALSE)</f>
        <v>0</v>
      </c>
      <c r="S294" s="119">
        <f>VLOOKUP(C294,'Talente &amp; Stuff'!FU:GV,17,FALSE)</f>
        <v>0</v>
      </c>
      <c r="T294" s="119">
        <f>VLOOKUP(C294,'Talente &amp; Stuff'!FU:GV,18,FALSE)</f>
        <v>0</v>
      </c>
      <c r="U294" s="89">
        <f>VLOOKUP(C294,'Talente &amp; Stuff'!FU:GV,19,FALSE)</f>
        <v>0</v>
      </c>
      <c r="V294" s="47">
        <f>VLOOKUP(C294,'Talente &amp; Stuff'!FU:GV,20,FALSE)</f>
        <v>0</v>
      </c>
      <c r="W294" s="127">
        <f>VLOOKUP(C294,'Talente &amp; Stuff'!FU:GV,21,FALSE)</f>
        <v>0</v>
      </c>
      <c r="X294" s="127">
        <f>VLOOKUP(C294,'Talente &amp; Stuff'!FU:GV,22,FALSE)</f>
        <v>0</v>
      </c>
      <c r="Y294" s="165">
        <f t="shared" si="22"/>
        <v>0</v>
      </c>
      <c r="Z294" s="44">
        <f t="shared" si="23"/>
        <v>0</v>
      </c>
      <c r="AA294" s="125">
        <f>VLOOKUP(C294,'Talente &amp; Stuff'!FU:GV,25,FALSE)</f>
        <v>0</v>
      </c>
      <c r="AB294" s="160">
        <f>VLOOKUP(C294,'Talente &amp; Stuff'!FU:GV,26,FALSE)</f>
        <v>0</v>
      </c>
      <c r="AC294" s="127">
        <f>VLOOKUP(C294,'Talente &amp; Stuff'!FU:GV,27,FALSE)</f>
        <v>0</v>
      </c>
      <c r="AD294" s="125">
        <f>VLOOKUP(C294,'Talente &amp; Stuff'!FU:GV,28,FALSE)</f>
        <v>0</v>
      </c>
      <c r="AE294" s="28"/>
    </row>
    <row r="295" spans="1:31" ht="15" hidden="1" customHeight="1" outlineLevel="2">
      <c r="B295" s="148">
        <v>35</v>
      </c>
      <c r="C295" s="163" t="str">
        <f>Attribute!C295</f>
        <v>---</v>
      </c>
      <c r="D295" s="125" t="str">
        <f>VLOOKUP(C295,'Talente &amp; Stuff'!FU:GV,2,FALSE)</f>
        <v>--/--/--</v>
      </c>
      <c r="E295" s="127" t="str">
        <f>VLOOKUP(C295,'Talente &amp; Stuff'!FU:GV,3,FALSE)</f>
        <v>-</v>
      </c>
      <c r="F295" s="114">
        <f>VLOOKUP(C295,'Talente &amp; Stuff'!FU:GV,4,FALSE)</f>
        <v>0</v>
      </c>
      <c r="G295" s="113">
        <f>VLOOKUP(C295,'Talente &amp; Stuff'!FU:GV,5,FALSE)</f>
        <v>0</v>
      </c>
      <c r="H295" s="113">
        <f>VLOOKUP(C295,'Talente &amp; Stuff'!FU:GV,6,FALSE)</f>
        <v>0</v>
      </c>
      <c r="I295" s="113">
        <f>VLOOKUP(C295,'Talente &amp; Stuff'!FU:GV,7,FALSE)</f>
        <v>0</v>
      </c>
      <c r="J295" s="113">
        <f>VLOOKUP(C295,'Talente &amp; Stuff'!FU:GV,8,FALSE)</f>
        <v>0</v>
      </c>
      <c r="K295" s="113">
        <f>VLOOKUP(C295,'Talente &amp; Stuff'!FU:GV,9,FALSE)</f>
        <v>0</v>
      </c>
      <c r="L295" s="113">
        <f>VLOOKUP(C295,'Talente &amp; Stuff'!FU:GV,10,FALSE)</f>
        <v>0</v>
      </c>
      <c r="M295" s="119">
        <f>VLOOKUP(C295,'Talente &amp; Stuff'!FU:GV,11,FALSE)</f>
        <v>0</v>
      </c>
      <c r="N295" s="47">
        <f>VLOOKUP(C295,'Talente &amp; Stuff'!FU:GV,12,FALSE)</f>
        <v>0</v>
      </c>
      <c r="O295" s="47">
        <f>VLOOKUP(C295,'Talente &amp; Stuff'!FU:GV,13,FALSE)</f>
        <v>0</v>
      </c>
      <c r="P295" s="119">
        <f>VLOOKUP(C295,'Talente &amp; Stuff'!FU:GV,14,FALSE)</f>
        <v>0</v>
      </c>
      <c r="Q295" s="114">
        <f>VLOOKUP(C295,'Talente &amp; Stuff'!FU:GV,15,FALSE)</f>
        <v>0</v>
      </c>
      <c r="R295" s="113">
        <f>VLOOKUP(C295,'Talente &amp; Stuff'!FU:GV,16,FALSE)</f>
        <v>0</v>
      </c>
      <c r="S295" s="119">
        <f>VLOOKUP(C295,'Talente &amp; Stuff'!FU:GV,17,FALSE)</f>
        <v>0</v>
      </c>
      <c r="T295" s="119">
        <f>VLOOKUP(C295,'Talente &amp; Stuff'!FU:GV,18,FALSE)</f>
        <v>0</v>
      </c>
      <c r="U295" s="89">
        <f>VLOOKUP(C295,'Talente &amp; Stuff'!FU:GV,19,FALSE)</f>
        <v>0</v>
      </c>
      <c r="V295" s="47">
        <f>VLOOKUP(C295,'Talente &amp; Stuff'!FU:GV,20,FALSE)</f>
        <v>0</v>
      </c>
      <c r="W295" s="127">
        <f>VLOOKUP(C295,'Talente &amp; Stuff'!FU:GV,21,FALSE)</f>
        <v>0</v>
      </c>
      <c r="X295" s="127">
        <f>VLOOKUP(C295,'Talente &amp; Stuff'!FU:GV,22,FALSE)</f>
        <v>0</v>
      </c>
      <c r="Y295" s="165">
        <f t="shared" si="22"/>
        <v>0</v>
      </c>
      <c r="Z295" s="44">
        <f t="shared" si="23"/>
        <v>0</v>
      </c>
      <c r="AA295" s="125">
        <f>VLOOKUP(C295,'Talente &amp; Stuff'!FU:GV,25,FALSE)</f>
        <v>0</v>
      </c>
      <c r="AB295" s="160">
        <f>VLOOKUP(C295,'Talente &amp; Stuff'!FU:GV,26,FALSE)</f>
        <v>0</v>
      </c>
      <c r="AC295" s="127">
        <f>VLOOKUP(C295,'Talente &amp; Stuff'!FU:GV,27,FALSE)</f>
        <v>0</v>
      </c>
      <c r="AD295" s="125">
        <f>VLOOKUP(C295,'Talente &amp; Stuff'!FU:GV,28,FALSE)</f>
        <v>0</v>
      </c>
      <c r="AE295" s="28"/>
    </row>
    <row r="296" spans="1:31" ht="15" hidden="1" customHeight="1" outlineLevel="2">
      <c r="B296" s="148">
        <v>36</v>
      </c>
      <c r="C296" s="164" t="str">
        <f>Attribute!C296</f>
        <v>---</v>
      </c>
      <c r="D296" s="159" t="str">
        <f>VLOOKUP(C296,'Talente &amp; Stuff'!FU:GV,2,FALSE)</f>
        <v>--/--/--</v>
      </c>
      <c r="E296" s="128" t="str">
        <f>VLOOKUP(C296,'Talente &amp; Stuff'!FU:GV,3,FALSE)</f>
        <v>-</v>
      </c>
      <c r="F296" s="115">
        <f>VLOOKUP(C296,'Talente &amp; Stuff'!FU:GV,4,FALSE)</f>
        <v>0</v>
      </c>
      <c r="G296" s="122">
        <f>VLOOKUP(C296,'Talente &amp; Stuff'!FU:GV,5,FALSE)</f>
        <v>0</v>
      </c>
      <c r="H296" s="122">
        <f>VLOOKUP(C296,'Talente &amp; Stuff'!FU:GV,6,FALSE)</f>
        <v>0</v>
      </c>
      <c r="I296" s="122">
        <f>VLOOKUP(C296,'Talente &amp; Stuff'!FU:GV,7,FALSE)</f>
        <v>0</v>
      </c>
      <c r="J296" s="122">
        <f>VLOOKUP(C296,'Talente &amp; Stuff'!FU:GV,8,FALSE)</f>
        <v>0</v>
      </c>
      <c r="K296" s="122">
        <f>VLOOKUP(C296,'Talente &amp; Stuff'!FU:GV,9,FALSE)</f>
        <v>0</v>
      </c>
      <c r="L296" s="122">
        <f>VLOOKUP(C296,'Talente &amp; Stuff'!FU:GV,10,FALSE)</f>
        <v>0</v>
      </c>
      <c r="M296" s="123">
        <f>VLOOKUP(C296,'Talente &amp; Stuff'!FU:GV,11,FALSE)</f>
        <v>0</v>
      </c>
      <c r="N296" s="88">
        <f>VLOOKUP(C296,'Talente &amp; Stuff'!FU:GV,12,FALSE)</f>
        <v>0</v>
      </c>
      <c r="O296" s="88">
        <f>VLOOKUP(C296,'Talente &amp; Stuff'!FU:GV,13,FALSE)</f>
        <v>0</v>
      </c>
      <c r="P296" s="123">
        <f>VLOOKUP(C296,'Talente &amp; Stuff'!FU:GV,14,FALSE)</f>
        <v>0</v>
      </c>
      <c r="Q296" s="115">
        <f>VLOOKUP(C296,'Talente &amp; Stuff'!FU:GV,15,FALSE)</f>
        <v>0</v>
      </c>
      <c r="R296" s="122">
        <f>VLOOKUP(C296,'Talente &amp; Stuff'!FU:GV,16,FALSE)</f>
        <v>0</v>
      </c>
      <c r="S296" s="123">
        <f>VLOOKUP(C296,'Talente &amp; Stuff'!FU:GV,17,FALSE)</f>
        <v>0</v>
      </c>
      <c r="T296" s="123">
        <f>VLOOKUP(C296,'Talente &amp; Stuff'!FU:GV,18,FALSE)</f>
        <v>0</v>
      </c>
      <c r="U296" s="90">
        <f>VLOOKUP(C296,'Talente &amp; Stuff'!FU:GV,19,FALSE)</f>
        <v>0</v>
      </c>
      <c r="V296" s="88">
        <f>VLOOKUP(C296,'Talente &amp; Stuff'!FU:GV,20,FALSE)</f>
        <v>0</v>
      </c>
      <c r="W296" s="128">
        <f>VLOOKUP(C296,'Talente &amp; Stuff'!FU:GV,21,FALSE)</f>
        <v>0</v>
      </c>
      <c r="X296" s="128">
        <f>VLOOKUP(C296,'Talente &amp; Stuff'!FU:GV,22,FALSE)</f>
        <v>0</v>
      </c>
      <c r="Y296" s="165">
        <f t="shared" si="22"/>
        <v>0</v>
      </c>
      <c r="Z296" s="44">
        <f t="shared" si="23"/>
        <v>0</v>
      </c>
      <c r="AA296" s="159">
        <f>VLOOKUP(C296,'Talente &amp; Stuff'!FU:GV,25,FALSE)</f>
        <v>0</v>
      </c>
      <c r="AB296" s="161">
        <f>VLOOKUP(C296,'Talente &amp; Stuff'!FU:GV,26,FALSE)</f>
        <v>0</v>
      </c>
      <c r="AC296" s="128">
        <f>VLOOKUP(C296,'Talente &amp; Stuff'!FU:GV,27,FALSE)</f>
        <v>0</v>
      </c>
      <c r="AD296" s="159">
        <f>VLOOKUP(C296,'Talente &amp; Stuff'!FU:GV,28,FALSE)</f>
        <v>0</v>
      </c>
      <c r="AE296" s="28"/>
    </row>
    <row r="297" spans="1:31" s="217" customFormat="1" hidden="1" outlineLevel="1" collapsed="1">
      <c r="A297" s="185"/>
      <c r="B297" s="216" t="s">
        <v>445</v>
      </c>
      <c r="C297" s="307"/>
      <c r="D297" s="308"/>
      <c r="E297" s="308"/>
      <c r="Y297" s="251"/>
      <c r="Z297" s="251"/>
    </row>
    <row r="298" spans="1:31" s="217" customFormat="1" hidden="1" outlineLevel="2">
      <c r="A298" s="185"/>
      <c r="B298" s="217">
        <v>1</v>
      </c>
      <c r="C298" s="302" t="str">
        <f>Attribute!C298</f>
        <v>---</v>
      </c>
      <c r="D298" s="42" t="str">
        <f>VLOOKUP(C298,'Talente &amp; Stuff'!FU:GV,2,FALSE)</f>
        <v>--/--/--</v>
      </c>
      <c r="E298" s="241" t="str">
        <f>VLOOKUP(C298,'Talente &amp; Stuff'!FU:GV,3,FALSE)</f>
        <v>-</v>
      </c>
      <c r="F298" s="236">
        <f>VLOOKUP(C298,'Talente &amp; Stuff'!FU:GV,4,FALSE)</f>
        <v>0</v>
      </c>
      <c r="G298" s="233">
        <f>VLOOKUP(C298,'Talente &amp; Stuff'!FU:GV,5,FALSE)</f>
        <v>0</v>
      </c>
      <c r="H298" s="233">
        <f>VLOOKUP(C298,'Talente &amp; Stuff'!FU:GV,6,FALSE)</f>
        <v>0</v>
      </c>
      <c r="I298" s="233">
        <f>VLOOKUP(C298,'Talente &amp; Stuff'!FU:GV,7,FALSE)</f>
        <v>0</v>
      </c>
      <c r="J298" s="233">
        <f>VLOOKUP(C298,'Talente &amp; Stuff'!FU:GV,8,FALSE)</f>
        <v>0</v>
      </c>
      <c r="K298" s="233">
        <f>VLOOKUP(C298,'Talente &amp; Stuff'!FU:GV,9,FALSE)</f>
        <v>0</v>
      </c>
      <c r="L298" s="233">
        <f>VLOOKUP(C298,'Talente &amp; Stuff'!FU:GV,10,FALSE)</f>
        <v>0</v>
      </c>
      <c r="M298" s="221">
        <f>VLOOKUP(C298,'Talente &amp; Stuff'!FU:GV,11,FALSE)</f>
        <v>0</v>
      </c>
      <c r="N298" s="220">
        <f>VLOOKUP(C298,'Talente &amp; Stuff'!FU:GV,12,FALSE)</f>
        <v>0</v>
      </c>
      <c r="O298" s="220">
        <f>VLOOKUP(C298,'Talente &amp; Stuff'!FU:GV,13,FALSE)</f>
        <v>0</v>
      </c>
      <c r="P298" s="221">
        <f>VLOOKUP(C298,'Talente &amp; Stuff'!FU:GV,14,FALSE)</f>
        <v>0</v>
      </c>
      <c r="Q298" s="236">
        <f>VLOOKUP(C298,'Talente &amp; Stuff'!FU:GV,15,FALSE)</f>
        <v>0</v>
      </c>
      <c r="R298" s="233">
        <f>VLOOKUP(C298,'Talente &amp; Stuff'!FU:GV,16,FALSE)</f>
        <v>0</v>
      </c>
      <c r="S298" s="221">
        <f>VLOOKUP(C298,'Talente &amp; Stuff'!FU:GV,17,FALSE)</f>
        <v>0</v>
      </c>
      <c r="T298" s="221">
        <f>VLOOKUP(C298,'Talente &amp; Stuff'!FU:GV,18,FALSE)</f>
        <v>0</v>
      </c>
      <c r="U298" s="219">
        <f>VLOOKUP(C298,'Talente &amp; Stuff'!FU:GV,19,FALSE)</f>
        <v>0</v>
      </c>
      <c r="V298" s="220">
        <f>VLOOKUP(C298,'Talente &amp; Stuff'!FU:GV,20,FALSE)</f>
        <v>0</v>
      </c>
      <c r="W298" s="241">
        <f>VLOOKUP(C298,'Talente &amp; Stuff'!FU:GV,21,FALSE)</f>
        <v>0</v>
      </c>
      <c r="X298" s="241">
        <f>VLOOKUP(C298,'Talente &amp; Stuff'!FU:GV,22,FALSE)</f>
        <v>0</v>
      </c>
      <c r="Y298" s="252">
        <f>VLOOKUP(C298,Ausgewählte_Zauber_Zauberbarden,197,FALSE)</f>
        <v>0</v>
      </c>
      <c r="Z298" s="309">
        <f>VLOOKUP(C298,Ausgewählte_Zauber_Zauberbarden,198,FALSE)</f>
        <v>0</v>
      </c>
      <c r="AA298" s="42">
        <f>VLOOKUP(C298,'Talente &amp; Stuff'!FU:GV,25,FALSE)</f>
        <v>0</v>
      </c>
      <c r="AB298" s="78">
        <f>VLOOKUP(C298,'Talente &amp; Stuff'!FU:GV,26,FALSE)</f>
        <v>0</v>
      </c>
      <c r="AC298" s="241">
        <f>VLOOKUP(C298,'Talente &amp; Stuff'!FU:GV,27,FALSE)</f>
        <v>0</v>
      </c>
      <c r="AD298" s="42">
        <f>VLOOKUP(C298,'Talente &amp; Stuff'!FU:GV,28,FALSE)</f>
        <v>0</v>
      </c>
      <c r="AE298" s="343"/>
    </row>
    <row r="299" spans="1:31" s="217" customFormat="1" hidden="1" outlineLevel="2">
      <c r="A299" s="185"/>
      <c r="B299" s="217">
        <v>2</v>
      </c>
      <c r="C299" s="303" t="str">
        <f>Attribute!C299</f>
        <v>---</v>
      </c>
      <c r="D299" s="218" t="str">
        <f>VLOOKUP(C299,'Talente &amp; Stuff'!FU:GV,2,FALSE)</f>
        <v>--/--/--</v>
      </c>
      <c r="E299" s="243" t="str">
        <f>VLOOKUP(C299,'Talente &amp; Stuff'!FU:GV,3,FALSE)</f>
        <v>-</v>
      </c>
      <c r="F299" s="237">
        <f>VLOOKUP(C299,'Talente &amp; Stuff'!FU:GV,4,FALSE)</f>
        <v>0</v>
      </c>
      <c r="G299" s="234">
        <f>VLOOKUP(C299,'Talente &amp; Stuff'!FU:GV,5,FALSE)</f>
        <v>0</v>
      </c>
      <c r="H299" s="234">
        <f>VLOOKUP(C299,'Talente &amp; Stuff'!FU:GV,6,FALSE)</f>
        <v>0</v>
      </c>
      <c r="I299" s="234">
        <f>VLOOKUP(C299,'Talente &amp; Stuff'!FU:GV,7,FALSE)</f>
        <v>0</v>
      </c>
      <c r="J299" s="234">
        <f>VLOOKUP(C299,'Talente &amp; Stuff'!FU:GV,8,FALSE)</f>
        <v>0</v>
      </c>
      <c r="K299" s="234">
        <f>VLOOKUP(C299,'Talente &amp; Stuff'!FU:GV,9,FALSE)</f>
        <v>0</v>
      </c>
      <c r="L299" s="234">
        <f>VLOOKUP(C299,'Talente &amp; Stuff'!FU:GV,10,FALSE)</f>
        <v>0</v>
      </c>
      <c r="M299" s="224">
        <f>VLOOKUP(C299,'Talente &amp; Stuff'!FU:GV,11,FALSE)</f>
        <v>0</v>
      </c>
      <c r="N299" s="223">
        <f>VLOOKUP(C299,'Talente &amp; Stuff'!FU:GV,12,FALSE)</f>
        <v>0</v>
      </c>
      <c r="O299" s="223">
        <f>VLOOKUP(C299,'Talente &amp; Stuff'!FU:GV,13,FALSE)</f>
        <v>0</v>
      </c>
      <c r="P299" s="224">
        <f>VLOOKUP(C299,'Talente &amp; Stuff'!FU:GV,14,FALSE)</f>
        <v>0</v>
      </c>
      <c r="Q299" s="237">
        <f>VLOOKUP(C299,'Talente &amp; Stuff'!FU:GV,15,FALSE)</f>
        <v>0</v>
      </c>
      <c r="R299" s="234">
        <f>VLOOKUP(C299,'Talente &amp; Stuff'!FU:GV,16,FALSE)</f>
        <v>0</v>
      </c>
      <c r="S299" s="224">
        <f>VLOOKUP(C299,'Talente &amp; Stuff'!FU:GV,17,FALSE)</f>
        <v>0</v>
      </c>
      <c r="T299" s="224">
        <f>VLOOKUP(C299,'Talente &amp; Stuff'!FU:GV,18,FALSE)</f>
        <v>0</v>
      </c>
      <c r="U299" s="222">
        <f>VLOOKUP(C299,'Talente &amp; Stuff'!FU:GV,19,FALSE)</f>
        <v>0</v>
      </c>
      <c r="V299" s="223">
        <f>VLOOKUP(C299,'Talente &amp; Stuff'!FU:GV,20,FALSE)</f>
        <v>0</v>
      </c>
      <c r="W299" s="243">
        <f>VLOOKUP(C299,'Talente &amp; Stuff'!FU:GV,21,FALSE)</f>
        <v>0</v>
      </c>
      <c r="X299" s="243">
        <f>VLOOKUP(C299,'Talente &amp; Stuff'!FU:GV,22,FALSE)</f>
        <v>0</v>
      </c>
      <c r="Y299" s="252">
        <f>VLOOKUP(C299,Ausgewählte_Zauber_Zauberbarden,197,FALSE)</f>
        <v>0</v>
      </c>
      <c r="Z299" s="309">
        <f>VLOOKUP(C299,Ausgewählte_Zauber_Zauberbarden,198,FALSE)</f>
        <v>0</v>
      </c>
      <c r="AA299" s="218">
        <f>VLOOKUP(C299,'Talente &amp; Stuff'!FU:GV,25,FALSE)</f>
        <v>0</v>
      </c>
      <c r="AB299" s="242">
        <f>VLOOKUP(C299,'Talente &amp; Stuff'!FU:GV,26,FALSE)</f>
        <v>0</v>
      </c>
      <c r="AC299" s="243">
        <f>VLOOKUP(C299,'Talente &amp; Stuff'!FU:GV,27,FALSE)</f>
        <v>0</v>
      </c>
      <c r="AD299" s="218">
        <f>VLOOKUP(C299,'Talente &amp; Stuff'!FU:GV,28,FALSE)</f>
        <v>0</v>
      </c>
      <c r="AE299" s="343"/>
    </row>
    <row r="300" spans="1:31" s="217" customFormat="1" hidden="1" outlineLevel="2">
      <c r="A300" s="185"/>
      <c r="B300" s="217">
        <v>3</v>
      </c>
      <c r="C300" s="303" t="str">
        <f>Attribute!C300</f>
        <v>---</v>
      </c>
      <c r="D300" s="218" t="str">
        <f>VLOOKUP(C300,'Talente &amp; Stuff'!FU:GV,2,FALSE)</f>
        <v>--/--/--</v>
      </c>
      <c r="E300" s="243" t="str">
        <f>VLOOKUP(C300,'Talente &amp; Stuff'!FU:GV,3,FALSE)</f>
        <v>-</v>
      </c>
      <c r="F300" s="237">
        <f>VLOOKUP(C300,'Talente &amp; Stuff'!FU:GV,4,FALSE)</f>
        <v>0</v>
      </c>
      <c r="G300" s="234">
        <f>VLOOKUP(C300,'Talente &amp; Stuff'!FU:GV,5,FALSE)</f>
        <v>0</v>
      </c>
      <c r="H300" s="234">
        <f>VLOOKUP(C300,'Talente &amp; Stuff'!FU:GV,6,FALSE)</f>
        <v>0</v>
      </c>
      <c r="I300" s="234">
        <f>VLOOKUP(C300,'Talente &amp; Stuff'!FU:GV,7,FALSE)</f>
        <v>0</v>
      </c>
      <c r="J300" s="234">
        <f>VLOOKUP(C300,'Talente &amp; Stuff'!FU:GV,8,FALSE)</f>
        <v>0</v>
      </c>
      <c r="K300" s="234">
        <f>VLOOKUP(C300,'Talente &amp; Stuff'!FU:GV,9,FALSE)</f>
        <v>0</v>
      </c>
      <c r="L300" s="234">
        <f>VLOOKUP(C300,'Talente &amp; Stuff'!FU:GV,10,FALSE)</f>
        <v>0</v>
      </c>
      <c r="M300" s="224">
        <f>VLOOKUP(C300,'Talente &amp; Stuff'!FU:GV,11,FALSE)</f>
        <v>0</v>
      </c>
      <c r="N300" s="223">
        <f>VLOOKUP(C300,'Talente &amp; Stuff'!FU:GV,12,FALSE)</f>
        <v>0</v>
      </c>
      <c r="O300" s="223">
        <f>VLOOKUP(C300,'Talente &amp; Stuff'!FU:GV,13,FALSE)</f>
        <v>0</v>
      </c>
      <c r="P300" s="224">
        <f>VLOOKUP(C300,'Talente &amp; Stuff'!FU:GV,14,FALSE)</f>
        <v>0</v>
      </c>
      <c r="Q300" s="237">
        <f>VLOOKUP(C300,'Talente &amp; Stuff'!FU:GV,15,FALSE)</f>
        <v>0</v>
      </c>
      <c r="R300" s="234">
        <f>VLOOKUP(C300,'Talente &amp; Stuff'!FU:GV,16,FALSE)</f>
        <v>0</v>
      </c>
      <c r="S300" s="224">
        <f>VLOOKUP(C300,'Talente &amp; Stuff'!FU:GV,17,FALSE)</f>
        <v>0</v>
      </c>
      <c r="T300" s="224">
        <f>VLOOKUP(C300,'Talente &amp; Stuff'!FU:GV,18,FALSE)</f>
        <v>0</v>
      </c>
      <c r="U300" s="222">
        <f>VLOOKUP(C300,'Talente &amp; Stuff'!FU:GV,19,FALSE)</f>
        <v>0</v>
      </c>
      <c r="V300" s="223">
        <f>VLOOKUP(C300,'Talente &amp; Stuff'!FU:GV,20,FALSE)</f>
        <v>0</v>
      </c>
      <c r="W300" s="243">
        <f>VLOOKUP(C300,'Talente &amp; Stuff'!FU:GV,21,FALSE)</f>
        <v>0</v>
      </c>
      <c r="X300" s="243">
        <f>VLOOKUP(C300,'Talente &amp; Stuff'!FU:GV,22,FALSE)</f>
        <v>0</v>
      </c>
      <c r="Y300" s="252">
        <f>VLOOKUP(C300,Ausgewählte_Zauber_Zauberbarden,197,FALSE)</f>
        <v>0</v>
      </c>
      <c r="Z300" s="309">
        <f>VLOOKUP(C300,Ausgewählte_Zauber_Zauberbarden,198,FALSE)</f>
        <v>0</v>
      </c>
      <c r="AA300" s="218">
        <f>VLOOKUP(C300,'Talente &amp; Stuff'!FU:GV,25,FALSE)</f>
        <v>0</v>
      </c>
      <c r="AB300" s="242">
        <f>VLOOKUP(C300,'Talente &amp; Stuff'!FU:GV,26,FALSE)</f>
        <v>0</v>
      </c>
      <c r="AC300" s="243">
        <f>VLOOKUP(C300,'Talente &amp; Stuff'!FU:GV,27,FALSE)</f>
        <v>0</v>
      </c>
      <c r="AD300" s="218">
        <f>VLOOKUP(C300,'Talente &amp; Stuff'!FU:GV,28,FALSE)</f>
        <v>0</v>
      </c>
      <c r="AE300" s="343"/>
    </row>
    <row r="301" spans="1:31" s="217" customFormat="1" hidden="1" outlineLevel="2">
      <c r="A301" s="185"/>
      <c r="B301" s="217">
        <v>4</v>
      </c>
      <c r="C301" s="303" t="str">
        <f>Attribute!C301</f>
        <v>---</v>
      </c>
      <c r="D301" s="218" t="str">
        <f>VLOOKUP(C301,'Talente &amp; Stuff'!FU:GV,2,FALSE)</f>
        <v>--/--/--</v>
      </c>
      <c r="E301" s="243" t="str">
        <f>VLOOKUP(C301,'Talente &amp; Stuff'!FU:GV,3,FALSE)</f>
        <v>-</v>
      </c>
      <c r="F301" s="237">
        <f>VLOOKUP(C301,'Talente &amp; Stuff'!FU:GV,4,FALSE)</f>
        <v>0</v>
      </c>
      <c r="G301" s="234">
        <f>VLOOKUP(C301,'Talente &amp; Stuff'!FU:GV,5,FALSE)</f>
        <v>0</v>
      </c>
      <c r="H301" s="234">
        <f>VLOOKUP(C301,'Talente &amp; Stuff'!FU:GV,6,FALSE)</f>
        <v>0</v>
      </c>
      <c r="I301" s="234">
        <f>VLOOKUP(C301,'Talente &amp; Stuff'!FU:GV,7,FALSE)</f>
        <v>0</v>
      </c>
      <c r="J301" s="234">
        <f>VLOOKUP(C301,'Talente &amp; Stuff'!FU:GV,8,FALSE)</f>
        <v>0</v>
      </c>
      <c r="K301" s="234">
        <f>VLOOKUP(C301,'Talente &amp; Stuff'!FU:GV,9,FALSE)</f>
        <v>0</v>
      </c>
      <c r="L301" s="234">
        <f>VLOOKUP(C301,'Talente &amp; Stuff'!FU:GV,10,FALSE)</f>
        <v>0</v>
      </c>
      <c r="M301" s="224">
        <f>VLOOKUP(C301,'Talente &amp; Stuff'!FU:GV,11,FALSE)</f>
        <v>0</v>
      </c>
      <c r="N301" s="223">
        <f>VLOOKUP(C301,'Talente &amp; Stuff'!FU:GV,12,FALSE)</f>
        <v>0</v>
      </c>
      <c r="O301" s="223">
        <f>VLOOKUP(C301,'Talente &amp; Stuff'!FU:GV,13,FALSE)</f>
        <v>0</v>
      </c>
      <c r="P301" s="224">
        <f>VLOOKUP(C301,'Talente &amp; Stuff'!FU:GV,14,FALSE)</f>
        <v>0</v>
      </c>
      <c r="Q301" s="237">
        <f>VLOOKUP(C301,'Talente &amp; Stuff'!FU:GV,15,FALSE)</f>
        <v>0</v>
      </c>
      <c r="R301" s="234">
        <f>VLOOKUP(C301,'Talente &amp; Stuff'!FU:GV,16,FALSE)</f>
        <v>0</v>
      </c>
      <c r="S301" s="224">
        <f>VLOOKUP(C301,'Talente &amp; Stuff'!FU:GV,17,FALSE)</f>
        <v>0</v>
      </c>
      <c r="T301" s="224">
        <f>VLOOKUP(C301,'Talente &amp; Stuff'!FU:GV,18,FALSE)</f>
        <v>0</v>
      </c>
      <c r="U301" s="222">
        <f>VLOOKUP(C301,'Talente &amp; Stuff'!FU:GV,19,FALSE)</f>
        <v>0</v>
      </c>
      <c r="V301" s="223">
        <f>VLOOKUP(C301,'Talente &amp; Stuff'!FU:GV,20,FALSE)</f>
        <v>0</v>
      </c>
      <c r="W301" s="243">
        <f>VLOOKUP(C301,'Talente &amp; Stuff'!FU:GV,21,FALSE)</f>
        <v>0</v>
      </c>
      <c r="X301" s="243">
        <f>VLOOKUP(C301,'Talente &amp; Stuff'!FU:GV,22,FALSE)</f>
        <v>0</v>
      </c>
      <c r="Y301" s="252">
        <f>VLOOKUP(C301,Ausgewählte_Zauber_Zauberbarden,197,FALSE)</f>
        <v>0</v>
      </c>
      <c r="Z301" s="309">
        <f>VLOOKUP(C301,Ausgewählte_Zauber_Zauberbarden,198,FALSE)</f>
        <v>0</v>
      </c>
      <c r="AA301" s="218">
        <f>VLOOKUP(C301,'Talente &amp; Stuff'!FU:GV,25,FALSE)</f>
        <v>0</v>
      </c>
      <c r="AB301" s="242">
        <f>VLOOKUP(C301,'Talente &amp; Stuff'!FU:GV,26,FALSE)</f>
        <v>0</v>
      </c>
      <c r="AC301" s="243">
        <f>VLOOKUP(C301,'Talente &amp; Stuff'!FU:GV,27,FALSE)</f>
        <v>0</v>
      </c>
      <c r="AD301" s="218">
        <f>VLOOKUP(C301,'Talente &amp; Stuff'!FU:GV,28,FALSE)</f>
        <v>0</v>
      </c>
      <c r="AE301" s="343"/>
    </row>
    <row r="302" spans="1:31" s="217" customFormat="1" hidden="1" outlineLevel="2">
      <c r="A302" s="185"/>
      <c r="B302" s="217">
        <v>5</v>
      </c>
      <c r="C302" s="303" t="str">
        <f>Attribute!C302</f>
        <v>---</v>
      </c>
      <c r="D302" s="218" t="str">
        <f>VLOOKUP(C302,'Talente &amp; Stuff'!FU:GV,2,FALSE)</f>
        <v>--/--/--</v>
      </c>
      <c r="E302" s="243" t="str">
        <f>VLOOKUP(C302,'Talente &amp; Stuff'!FU:GV,3,FALSE)</f>
        <v>-</v>
      </c>
      <c r="F302" s="237">
        <f>VLOOKUP(C302,'Talente &amp; Stuff'!FU:GV,4,FALSE)</f>
        <v>0</v>
      </c>
      <c r="G302" s="234">
        <f>VLOOKUP(C302,'Talente &amp; Stuff'!FU:GV,5,FALSE)</f>
        <v>0</v>
      </c>
      <c r="H302" s="234">
        <f>VLOOKUP(C302,'Talente &amp; Stuff'!FU:GV,6,FALSE)</f>
        <v>0</v>
      </c>
      <c r="I302" s="234">
        <f>VLOOKUP(C302,'Talente &amp; Stuff'!FU:GV,7,FALSE)</f>
        <v>0</v>
      </c>
      <c r="J302" s="234">
        <f>VLOOKUP(C302,'Talente &amp; Stuff'!FU:GV,8,FALSE)</f>
        <v>0</v>
      </c>
      <c r="K302" s="234">
        <f>VLOOKUP(C302,'Talente &amp; Stuff'!FU:GV,9,FALSE)</f>
        <v>0</v>
      </c>
      <c r="L302" s="234">
        <f>VLOOKUP(C302,'Talente &amp; Stuff'!FU:GV,10,FALSE)</f>
        <v>0</v>
      </c>
      <c r="M302" s="224">
        <f>VLOOKUP(C302,'Talente &amp; Stuff'!FU:GV,11,FALSE)</f>
        <v>0</v>
      </c>
      <c r="N302" s="223">
        <f>VLOOKUP(C302,'Talente &amp; Stuff'!FU:GV,12,FALSE)</f>
        <v>0</v>
      </c>
      <c r="O302" s="223">
        <f>VLOOKUP(C302,'Talente &amp; Stuff'!FU:GV,13,FALSE)</f>
        <v>0</v>
      </c>
      <c r="P302" s="224">
        <f>VLOOKUP(C302,'Talente &amp; Stuff'!FU:GV,14,FALSE)</f>
        <v>0</v>
      </c>
      <c r="Q302" s="237">
        <f>VLOOKUP(C302,'Talente &amp; Stuff'!FU:GV,15,FALSE)</f>
        <v>0</v>
      </c>
      <c r="R302" s="234">
        <f>VLOOKUP(C302,'Talente &amp; Stuff'!FU:GV,16,FALSE)</f>
        <v>0</v>
      </c>
      <c r="S302" s="224">
        <f>VLOOKUP(C302,'Talente &amp; Stuff'!FU:GV,17,FALSE)</f>
        <v>0</v>
      </c>
      <c r="T302" s="224">
        <f>VLOOKUP(C302,'Talente &amp; Stuff'!FU:GV,18,FALSE)</f>
        <v>0</v>
      </c>
      <c r="U302" s="222">
        <f>VLOOKUP(C302,'Talente &amp; Stuff'!FU:GV,19,FALSE)</f>
        <v>0</v>
      </c>
      <c r="V302" s="223">
        <f>VLOOKUP(C302,'Talente &amp; Stuff'!FU:GV,20,FALSE)</f>
        <v>0</v>
      </c>
      <c r="W302" s="243">
        <f>VLOOKUP(C302,'Talente &amp; Stuff'!FU:GV,21,FALSE)</f>
        <v>0</v>
      </c>
      <c r="X302" s="243">
        <f>VLOOKUP(C302,'Talente &amp; Stuff'!FU:GV,22,FALSE)</f>
        <v>0</v>
      </c>
      <c r="Y302" s="252">
        <f>VLOOKUP(C302,Ausgewählte_Zauber_Zauberbarden,197,FALSE)</f>
        <v>0</v>
      </c>
      <c r="Z302" s="309">
        <f>VLOOKUP(C302,Ausgewählte_Zauber_Zauberbarden,198,FALSE)</f>
        <v>0</v>
      </c>
      <c r="AA302" s="218">
        <f>VLOOKUP(C302,'Talente &amp; Stuff'!FU:GV,25,FALSE)</f>
        <v>0</v>
      </c>
      <c r="AB302" s="242">
        <f>VLOOKUP(C302,'Talente &amp; Stuff'!FU:GV,26,FALSE)</f>
        <v>0</v>
      </c>
      <c r="AC302" s="243">
        <f>VLOOKUP(C302,'Talente &amp; Stuff'!FU:GV,27,FALSE)</f>
        <v>0</v>
      </c>
      <c r="AD302" s="218">
        <f>VLOOKUP(C302,'Talente &amp; Stuff'!FU:GV,28,FALSE)</f>
        <v>0</v>
      </c>
      <c r="AE302" s="343"/>
    </row>
    <row r="303" spans="1:31" s="217" customFormat="1" hidden="1" outlineLevel="2">
      <c r="A303" s="185"/>
      <c r="B303" s="217">
        <v>6</v>
      </c>
      <c r="C303" s="303" t="str">
        <f>Attribute!C303</f>
        <v>---</v>
      </c>
      <c r="D303" s="218" t="str">
        <f>VLOOKUP(C303,'Talente &amp; Stuff'!FU:GV,2,FALSE)</f>
        <v>--/--/--</v>
      </c>
      <c r="E303" s="243" t="str">
        <f>VLOOKUP(C303,'Talente &amp; Stuff'!FU:GV,3,FALSE)</f>
        <v>-</v>
      </c>
      <c r="F303" s="237">
        <f>VLOOKUP(C303,'Talente &amp; Stuff'!FU:GV,4,FALSE)</f>
        <v>0</v>
      </c>
      <c r="G303" s="234">
        <f>VLOOKUP(C303,'Talente &amp; Stuff'!FU:GV,5,FALSE)</f>
        <v>0</v>
      </c>
      <c r="H303" s="234">
        <f>VLOOKUP(C303,'Talente &amp; Stuff'!FU:GV,6,FALSE)</f>
        <v>0</v>
      </c>
      <c r="I303" s="234">
        <f>VLOOKUP(C303,'Talente &amp; Stuff'!FU:GV,7,FALSE)</f>
        <v>0</v>
      </c>
      <c r="J303" s="234">
        <f>VLOOKUP(C303,'Talente &amp; Stuff'!FU:GV,8,FALSE)</f>
        <v>0</v>
      </c>
      <c r="K303" s="234">
        <f>VLOOKUP(C303,'Talente &amp; Stuff'!FU:GV,9,FALSE)</f>
        <v>0</v>
      </c>
      <c r="L303" s="234">
        <f>VLOOKUP(C303,'Talente &amp; Stuff'!FU:GV,10,FALSE)</f>
        <v>0</v>
      </c>
      <c r="M303" s="224">
        <f>VLOOKUP(C303,'Talente &amp; Stuff'!FU:GV,11,FALSE)</f>
        <v>0</v>
      </c>
      <c r="N303" s="223">
        <f>VLOOKUP(C303,'Talente &amp; Stuff'!FU:GV,12,FALSE)</f>
        <v>0</v>
      </c>
      <c r="O303" s="223">
        <f>VLOOKUP(C303,'Talente &amp; Stuff'!FU:GV,13,FALSE)</f>
        <v>0</v>
      </c>
      <c r="P303" s="224">
        <f>VLOOKUP(C303,'Talente &amp; Stuff'!FU:GV,14,FALSE)</f>
        <v>0</v>
      </c>
      <c r="Q303" s="237">
        <f>VLOOKUP(C303,'Talente &amp; Stuff'!FU:GV,15,FALSE)</f>
        <v>0</v>
      </c>
      <c r="R303" s="234">
        <f>VLOOKUP(C303,'Talente &amp; Stuff'!FU:GV,16,FALSE)</f>
        <v>0</v>
      </c>
      <c r="S303" s="224">
        <f>VLOOKUP(C303,'Talente &amp; Stuff'!FU:GV,17,FALSE)</f>
        <v>0</v>
      </c>
      <c r="T303" s="224">
        <f>VLOOKUP(C303,'Talente &amp; Stuff'!FU:GV,18,FALSE)</f>
        <v>0</v>
      </c>
      <c r="U303" s="222">
        <f>VLOOKUP(C303,'Talente &amp; Stuff'!FU:GV,19,FALSE)</f>
        <v>0</v>
      </c>
      <c r="V303" s="223">
        <f>VLOOKUP(C303,'Talente &amp; Stuff'!FU:GV,20,FALSE)</f>
        <v>0</v>
      </c>
      <c r="W303" s="243">
        <f>VLOOKUP(C303,'Talente &amp; Stuff'!FU:GV,21,FALSE)</f>
        <v>0</v>
      </c>
      <c r="X303" s="243">
        <f>VLOOKUP(C303,'Talente &amp; Stuff'!FU:GV,22,FALSE)</f>
        <v>0</v>
      </c>
      <c r="Y303" s="252">
        <f>VLOOKUP(C303,Ausgewählte_Zauber_Zauberbarden,197,FALSE)</f>
        <v>0</v>
      </c>
      <c r="Z303" s="309">
        <f>VLOOKUP(C303,Ausgewählte_Zauber_Zauberbarden,198,FALSE)</f>
        <v>0</v>
      </c>
      <c r="AA303" s="218">
        <f>VLOOKUP(C303,'Talente &amp; Stuff'!FU:GV,25,FALSE)</f>
        <v>0</v>
      </c>
      <c r="AB303" s="242">
        <f>VLOOKUP(C303,'Talente &amp; Stuff'!FU:GV,26,FALSE)</f>
        <v>0</v>
      </c>
      <c r="AC303" s="243">
        <f>VLOOKUP(C303,'Talente &amp; Stuff'!FU:GV,27,FALSE)</f>
        <v>0</v>
      </c>
      <c r="AD303" s="218">
        <f>VLOOKUP(C303,'Talente &amp; Stuff'!FU:GV,28,FALSE)</f>
        <v>0</v>
      </c>
      <c r="AE303" s="343"/>
    </row>
    <row r="304" spans="1:31" s="217" customFormat="1" hidden="1" outlineLevel="2">
      <c r="A304" s="185"/>
      <c r="B304" s="217">
        <v>7</v>
      </c>
      <c r="C304" s="303" t="str">
        <f>Attribute!C304</f>
        <v>---</v>
      </c>
      <c r="D304" s="218" t="str">
        <f>VLOOKUP(C304,'Talente &amp; Stuff'!FU:GV,2,FALSE)</f>
        <v>--/--/--</v>
      </c>
      <c r="E304" s="243" t="str">
        <f>VLOOKUP(C304,'Talente &amp; Stuff'!FU:GV,3,FALSE)</f>
        <v>-</v>
      </c>
      <c r="F304" s="237">
        <f>VLOOKUP(C304,'Talente &amp; Stuff'!FU:GV,4,FALSE)</f>
        <v>0</v>
      </c>
      <c r="G304" s="234">
        <f>VLOOKUP(C304,'Talente &amp; Stuff'!FU:GV,5,FALSE)</f>
        <v>0</v>
      </c>
      <c r="H304" s="234">
        <f>VLOOKUP(C304,'Talente &amp; Stuff'!FU:GV,6,FALSE)</f>
        <v>0</v>
      </c>
      <c r="I304" s="234">
        <f>VLOOKUP(C304,'Talente &amp; Stuff'!FU:GV,7,FALSE)</f>
        <v>0</v>
      </c>
      <c r="J304" s="234">
        <f>VLOOKUP(C304,'Talente &amp; Stuff'!FU:GV,8,FALSE)</f>
        <v>0</v>
      </c>
      <c r="K304" s="234">
        <f>VLOOKUP(C304,'Talente &amp; Stuff'!FU:GV,9,FALSE)</f>
        <v>0</v>
      </c>
      <c r="L304" s="234">
        <f>VLOOKUP(C304,'Talente &amp; Stuff'!FU:GV,10,FALSE)</f>
        <v>0</v>
      </c>
      <c r="M304" s="224">
        <f>VLOOKUP(C304,'Talente &amp; Stuff'!FU:GV,11,FALSE)</f>
        <v>0</v>
      </c>
      <c r="N304" s="223">
        <f>VLOOKUP(C304,'Talente &amp; Stuff'!FU:GV,12,FALSE)</f>
        <v>0</v>
      </c>
      <c r="O304" s="223">
        <f>VLOOKUP(C304,'Talente &amp; Stuff'!FU:GV,13,FALSE)</f>
        <v>0</v>
      </c>
      <c r="P304" s="224">
        <f>VLOOKUP(C304,'Talente &amp; Stuff'!FU:GV,14,FALSE)</f>
        <v>0</v>
      </c>
      <c r="Q304" s="237">
        <f>VLOOKUP(C304,'Talente &amp; Stuff'!FU:GV,15,FALSE)</f>
        <v>0</v>
      </c>
      <c r="R304" s="234">
        <f>VLOOKUP(C304,'Talente &amp; Stuff'!FU:GV,16,FALSE)</f>
        <v>0</v>
      </c>
      <c r="S304" s="224">
        <f>VLOOKUP(C304,'Talente &amp; Stuff'!FU:GV,17,FALSE)</f>
        <v>0</v>
      </c>
      <c r="T304" s="224">
        <f>VLOOKUP(C304,'Talente &amp; Stuff'!FU:GV,18,FALSE)</f>
        <v>0</v>
      </c>
      <c r="U304" s="222">
        <f>VLOOKUP(C304,'Talente &amp; Stuff'!FU:GV,19,FALSE)</f>
        <v>0</v>
      </c>
      <c r="V304" s="223">
        <f>VLOOKUP(C304,'Talente &amp; Stuff'!FU:GV,20,FALSE)</f>
        <v>0</v>
      </c>
      <c r="W304" s="243">
        <f>VLOOKUP(C304,'Talente &amp; Stuff'!FU:GV,21,FALSE)</f>
        <v>0</v>
      </c>
      <c r="X304" s="243">
        <f>VLOOKUP(C304,'Talente &amp; Stuff'!FU:GV,22,FALSE)</f>
        <v>0</v>
      </c>
      <c r="Y304" s="252">
        <f>VLOOKUP(C304,Ausgewählte_Zauber_Zauberbarden,197,FALSE)</f>
        <v>0</v>
      </c>
      <c r="Z304" s="309">
        <f>VLOOKUP(C304,Ausgewählte_Zauber_Zauberbarden,198,FALSE)</f>
        <v>0</v>
      </c>
      <c r="AA304" s="218">
        <f>VLOOKUP(C304,'Talente &amp; Stuff'!FU:GV,25,FALSE)</f>
        <v>0</v>
      </c>
      <c r="AB304" s="242">
        <f>VLOOKUP(C304,'Talente &amp; Stuff'!FU:GV,26,FALSE)</f>
        <v>0</v>
      </c>
      <c r="AC304" s="243">
        <f>VLOOKUP(C304,'Talente &amp; Stuff'!FU:GV,27,FALSE)</f>
        <v>0</v>
      </c>
      <c r="AD304" s="218">
        <f>VLOOKUP(C304,'Talente &amp; Stuff'!FU:GV,28,FALSE)</f>
        <v>0</v>
      </c>
      <c r="AE304" s="343"/>
    </row>
    <row r="305" spans="1:31" s="217" customFormat="1" hidden="1" outlineLevel="2">
      <c r="A305" s="185"/>
      <c r="B305" s="217">
        <v>8</v>
      </c>
      <c r="C305" s="303" t="str">
        <f>Attribute!C305</f>
        <v>---</v>
      </c>
      <c r="D305" s="218" t="str">
        <f>VLOOKUP(C305,'Talente &amp; Stuff'!FU:GV,2,FALSE)</f>
        <v>--/--/--</v>
      </c>
      <c r="E305" s="243" t="str">
        <f>VLOOKUP(C305,'Talente &amp; Stuff'!FU:GV,3,FALSE)</f>
        <v>-</v>
      </c>
      <c r="F305" s="237">
        <f>VLOOKUP(C305,'Talente &amp; Stuff'!FU:GV,4,FALSE)</f>
        <v>0</v>
      </c>
      <c r="G305" s="234">
        <f>VLOOKUP(C305,'Talente &amp; Stuff'!FU:GV,5,FALSE)</f>
        <v>0</v>
      </c>
      <c r="H305" s="234">
        <f>VLOOKUP(C305,'Talente &amp; Stuff'!FU:GV,6,FALSE)</f>
        <v>0</v>
      </c>
      <c r="I305" s="234">
        <f>VLOOKUP(C305,'Talente &amp; Stuff'!FU:GV,7,FALSE)</f>
        <v>0</v>
      </c>
      <c r="J305" s="234">
        <f>VLOOKUP(C305,'Talente &amp; Stuff'!FU:GV,8,FALSE)</f>
        <v>0</v>
      </c>
      <c r="K305" s="234">
        <f>VLOOKUP(C305,'Talente &amp; Stuff'!FU:GV,9,FALSE)</f>
        <v>0</v>
      </c>
      <c r="L305" s="234">
        <f>VLOOKUP(C305,'Talente &amp; Stuff'!FU:GV,10,FALSE)</f>
        <v>0</v>
      </c>
      <c r="M305" s="224">
        <f>VLOOKUP(C305,'Talente &amp; Stuff'!FU:GV,11,FALSE)</f>
        <v>0</v>
      </c>
      <c r="N305" s="223">
        <f>VLOOKUP(C305,'Talente &amp; Stuff'!FU:GV,12,FALSE)</f>
        <v>0</v>
      </c>
      <c r="O305" s="223">
        <f>VLOOKUP(C305,'Talente &amp; Stuff'!FU:GV,13,FALSE)</f>
        <v>0</v>
      </c>
      <c r="P305" s="224">
        <f>VLOOKUP(C305,'Talente &amp; Stuff'!FU:GV,14,FALSE)</f>
        <v>0</v>
      </c>
      <c r="Q305" s="237">
        <f>VLOOKUP(C305,'Talente &amp; Stuff'!FU:GV,15,FALSE)</f>
        <v>0</v>
      </c>
      <c r="R305" s="234">
        <f>VLOOKUP(C305,'Talente &amp; Stuff'!FU:GV,16,FALSE)</f>
        <v>0</v>
      </c>
      <c r="S305" s="224">
        <f>VLOOKUP(C305,'Talente &amp; Stuff'!FU:GV,17,FALSE)</f>
        <v>0</v>
      </c>
      <c r="T305" s="224">
        <f>VLOOKUP(C305,'Talente &amp; Stuff'!FU:GV,18,FALSE)</f>
        <v>0</v>
      </c>
      <c r="U305" s="222">
        <f>VLOOKUP(C305,'Talente &amp; Stuff'!FU:GV,19,FALSE)</f>
        <v>0</v>
      </c>
      <c r="V305" s="223">
        <f>VLOOKUP(C305,'Talente &amp; Stuff'!FU:GV,20,FALSE)</f>
        <v>0</v>
      </c>
      <c r="W305" s="243">
        <f>VLOOKUP(C305,'Talente &amp; Stuff'!FU:GV,21,FALSE)</f>
        <v>0</v>
      </c>
      <c r="X305" s="243">
        <f>VLOOKUP(C305,'Talente &amp; Stuff'!FU:GV,22,FALSE)</f>
        <v>0</v>
      </c>
      <c r="Y305" s="252">
        <f>VLOOKUP(C305,Ausgewählte_Zauber_Zauberbarden,197,FALSE)</f>
        <v>0</v>
      </c>
      <c r="Z305" s="309">
        <f>VLOOKUP(C305,Ausgewählte_Zauber_Zauberbarden,198,FALSE)</f>
        <v>0</v>
      </c>
      <c r="AA305" s="218">
        <f>VLOOKUP(C305,'Talente &amp; Stuff'!FU:GV,25,FALSE)</f>
        <v>0</v>
      </c>
      <c r="AB305" s="242">
        <f>VLOOKUP(C305,'Talente &amp; Stuff'!FU:GV,26,FALSE)</f>
        <v>0</v>
      </c>
      <c r="AC305" s="243">
        <f>VLOOKUP(C305,'Talente &amp; Stuff'!FU:GV,27,FALSE)</f>
        <v>0</v>
      </c>
      <c r="AD305" s="218">
        <f>VLOOKUP(C305,'Talente &amp; Stuff'!FU:GV,28,FALSE)</f>
        <v>0</v>
      </c>
      <c r="AE305" s="343"/>
    </row>
    <row r="306" spans="1:31" s="217" customFormat="1" hidden="1" outlineLevel="2">
      <c r="A306" s="185"/>
      <c r="B306" s="217">
        <v>9</v>
      </c>
      <c r="C306" s="303" t="str">
        <f>Attribute!C306</f>
        <v>---</v>
      </c>
      <c r="D306" s="218" t="str">
        <f>VLOOKUP(C306,'Talente &amp; Stuff'!FU:GV,2,FALSE)</f>
        <v>--/--/--</v>
      </c>
      <c r="E306" s="243" t="str">
        <f>VLOOKUP(C306,'Talente &amp; Stuff'!FU:GV,3,FALSE)</f>
        <v>-</v>
      </c>
      <c r="F306" s="237">
        <f>VLOOKUP(C306,'Talente &amp; Stuff'!FU:GV,4,FALSE)</f>
        <v>0</v>
      </c>
      <c r="G306" s="234">
        <f>VLOOKUP(C306,'Talente &amp; Stuff'!FU:GV,5,FALSE)</f>
        <v>0</v>
      </c>
      <c r="H306" s="234">
        <f>VLOOKUP(C306,'Talente &amp; Stuff'!FU:GV,6,FALSE)</f>
        <v>0</v>
      </c>
      <c r="I306" s="234">
        <f>VLOOKUP(C306,'Talente &amp; Stuff'!FU:GV,7,FALSE)</f>
        <v>0</v>
      </c>
      <c r="J306" s="234">
        <f>VLOOKUP(C306,'Talente &amp; Stuff'!FU:GV,8,FALSE)</f>
        <v>0</v>
      </c>
      <c r="K306" s="234">
        <f>VLOOKUP(C306,'Talente &amp; Stuff'!FU:GV,9,FALSE)</f>
        <v>0</v>
      </c>
      <c r="L306" s="234">
        <f>VLOOKUP(C306,'Talente &amp; Stuff'!FU:GV,10,FALSE)</f>
        <v>0</v>
      </c>
      <c r="M306" s="224">
        <f>VLOOKUP(C306,'Talente &amp; Stuff'!FU:GV,11,FALSE)</f>
        <v>0</v>
      </c>
      <c r="N306" s="223">
        <f>VLOOKUP(C306,'Talente &amp; Stuff'!FU:GV,12,FALSE)</f>
        <v>0</v>
      </c>
      <c r="O306" s="223">
        <f>VLOOKUP(C306,'Talente &amp; Stuff'!FU:GV,13,FALSE)</f>
        <v>0</v>
      </c>
      <c r="P306" s="224">
        <f>VLOOKUP(C306,'Talente &amp; Stuff'!FU:GV,14,FALSE)</f>
        <v>0</v>
      </c>
      <c r="Q306" s="237">
        <f>VLOOKUP(C306,'Talente &amp; Stuff'!FU:GV,15,FALSE)</f>
        <v>0</v>
      </c>
      <c r="R306" s="234">
        <f>VLOOKUP(C306,'Talente &amp; Stuff'!FU:GV,16,FALSE)</f>
        <v>0</v>
      </c>
      <c r="S306" s="224">
        <f>VLOOKUP(C306,'Talente &amp; Stuff'!FU:GV,17,FALSE)</f>
        <v>0</v>
      </c>
      <c r="T306" s="224">
        <f>VLOOKUP(C306,'Talente &amp; Stuff'!FU:GV,18,FALSE)</f>
        <v>0</v>
      </c>
      <c r="U306" s="222">
        <f>VLOOKUP(C306,'Talente &amp; Stuff'!FU:GV,19,FALSE)</f>
        <v>0</v>
      </c>
      <c r="V306" s="223">
        <f>VLOOKUP(C306,'Talente &amp; Stuff'!FU:GV,20,FALSE)</f>
        <v>0</v>
      </c>
      <c r="W306" s="243">
        <f>VLOOKUP(C306,'Talente &amp; Stuff'!FU:GV,21,FALSE)</f>
        <v>0</v>
      </c>
      <c r="X306" s="243">
        <f>VLOOKUP(C306,'Talente &amp; Stuff'!FU:GV,22,FALSE)</f>
        <v>0</v>
      </c>
      <c r="Y306" s="252">
        <f>VLOOKUP(C306,Ausgewählte_Zauber_Zauberbarden,197,FALSE)</f>
        <v>0</v>
      </c>
      <c r="Z306" s="309">
        <f>VLOOKUP(C306,Ausgewählte_Zauber_Zauberbarden,198,FALSE)</f>
        <v>0</v>
      </c>
      <c r="AA306" s="218">
        <f>VLOOKUP(C306,'Talente &amp; Stuff'!FU:GV,25,FALSE)</f>
        <v>0</v>
      </c>
      <c r="AB306" s="242">
        <f>VLOOKUP(C306,'Talente &amp; Stuff'!FU:GV,26,FALSE)</f>
        <v>0</v>
      </c>
      <c r="AC306" s="243">
        <f>VLOOKUP(C306,'Talente &amp; Stuff'!FU:GV,27,FALSE)</f>
        <v>0</v>
      </c>
      <c r="AD306" s="218">
        <f>VLOOKUP(C306,'Talente &amp; Stuff'!FU:GV,28,FALSE)</f>
        <v>0</v>
      </c>
      <c r="AE306" s="343"/>
    </row>
    <row r="307" spans="1:31" s="217" customFormat="1" hidden="1" outlineLevel="2">
      <c r="A307" s="185"/>
      <c r="B307" s="217">
        <v>10</v>
      </c>
      <c r="C307" s="303" t="str">
        <f>Attribute!C307</f>
        <v>---</v>
      </c>
      <c r="D307" s="218" t="str">
        <f>VLOOKUP(C307,'Talente &amp; Stuff'!FU:GV,2,FALSE)</f>
        <v>--/--/--</v>
      </c>
      <c r="E307" s="243" t="str">
        <f>VLOOKUP(C307,'Talente &amp; Stuff'!FU:GV,3,FALSE)</f>
        <v>-</v>
      </c>
      <c r="F307" s="237">
        <f>VLOOKUP(C307,'Talente &amp; Stuff'!FU:GV,4,FALSE)</f>
        <v>0</v>
      </c>
      <c r="G307" s="234">
        <f>VLOOKUP(C307,'Talente &amp; Stuff'!FU:GV,5,FALSE)</f>
        <v>0</v>
      </c>
      <c r="H307" s="234">
        <f>VLOOKUP(C307,'Talente &amp; Stuff'!FU:GV,6,FALSE)</f>
        <v>0</v>
      </c>
      <c r="I307" s="234">
        <f>VLOOKUP(C307,'Talente &amp; Stuff'!FU:GV,7,FALSE)</f>
        <v>0</v>
      </c>
      <c r="J307" s="234">
        <f>VLOOKUP(C307,'Talente &amp; Stuff'!FU:GV,8,FALSE)</f>
        <v>0</v>
      </c>
      <c r="K307" s="234">
        <f>VLOOKUP(C307,'Talente &amp; Stuff'!FU:GV,9,FALSE)</f>
        <v>0</v>
      </c>
      <c r="L307" s="234">
        <f>VLOOKUP(C307,'Talente &amp; Stuff'!FU:GV,10,FALSE)</f>
        <v>0</v>
      </c>
      <c r="M307" s="224">
        <f>VLOOKUP(C307,'Talente &amp; Stuff'!FU:GV,11,FALSE)</f>
        <v>0</v>
      </c>
      <c r="N307" s="223">
        <f>VLOOKUP(C307,'Talente &amp; Stuff'!FU:GV,12,FALSE)</f>
        <v>0</v>
      </c>
      <c r="O307" s="223">
        <f>VLOOKUP(C307,'Talente &amp; Stuff'!FU:GV,13,FALSE)</f>
        <v>0</v>
      </c>
      <c r="P307" s="224">
        <f>VLOOKUP(C307,'Talente &amp; Stuff'!FU:GV,14,FALSE)</f>
        <v>0</v>
      </c>
      <c r="Q307" s="237">
        <f>VLOOKUP(C307,'Talente &amp; Stuff'!FU:GV,15,FALSE)</f>
        <v>0</v>
      </c>
      <c r="R307" s="234">
        <f>VLOOKUP(C307,'Talente &amp; Stuff'!FU:GV,16,FALSE)</f>
        <v>0</v>
      </c>
      <c r="S307" s="224">
        <f>VLOOKUP(C307,'Talente &amp; Stuff'!FU:GV,17,FALSE)</f>
        <v>0</v>
      </c>
      <c r="T307" s="224">
        <f>VLOOKUP(C307,'Talente &amp; Stuff'!FU:GV,18,FALSE)</f>
        <v>0</v>
      </c>
      <c r="U307" s="222">
        <f>VLOOKUP(C307,'Talente &amp; Stuff'!FU:GV,19,FALSE)</f>
        <v>0</v>
      </c>
      <c r="V307" s="223">
        <f>VLOOKUP(C307,'Talente &amp; Stuff'!FU:GV,20,FALSE)</f>
        <v>0</v>
      </c>
      <c r="W307" s="243">
        <f>VLOOKUP(C307,'Talente &amp; Stuff'!FU:GV,21,FALSE)</f>
        <v>0</v>
      </c>
      <c r="X307" s="243">
        <f>VLOOKUP(C307,'Talente &amp; Stuff'!FU:GV,22,FALSE)</f>
        <v>0</v>
      </c>
      <c r="Y307" s="252">
        <f>VLOOKUP(C307,Ausgewählte_Zauber_Zauberbarden,197,FALSE)</f>
        <v>0</v>
      </c>
      <c r="Z307" s="309">
        <f>VLOOKUP(C307,Ausgewählte_Zauber_Zauberbarden,198,FALSE)</f>
        <v>0</v>
      </c>
      <c r="AA307" s="218">
        <f>VLOOKUP(C307,'Talente &amp; Stuff'!FU:GV,25,FALSE)</f>
        <v>0</v>
      </c>
      <c r="AB307" s="242">
        <f>VLOOKUP(C307,'Talente &amp; Stuff'!FU:GV,26,FALSE)</f>
        <v>0</v>
      </c>
      <c r="AC307" s="243">
        <f>VLOOKUP(C307,'Talente &amp; Stuff'!FU:GV,27,FALSE)</f>
        <v>0</v>
      </c>
      <c r="AD307" s="218">
        <f>VLOOKUP(C307,'Talente &amp; Stuff'!FU:GV,28,FALSE)</f>
        <v>0</v>
      </c>
      <c r="AE307" s="343"/>
    </row>
    <row r="308" spans="1:31" s="217" customFormat="1" hidden="1" outlineLevel="2">
      <c r="A308" s="185"/>
      <c r="B308" s="217">
        <v>11</v>
      </c>
      <c r="C308" s="303" t="str">
        <f>Attribute!C308</f>
        <v>---</v>
      </c>
      <c r="D308" s="218" t="str">
        <f>VLOOKUP(C308,'Talente &amp; Stuff'!FU:GV,2,FALSE)</f>
        <v>--/--/--</v>
      </c>
      <c r="E308" s="243" t="str">
        <f>VLOOKUP(C308,'Talente &amp; Stuff'!FU:GV,3,FALSE)</f>
        <v>-</v>
      </c>
      <c r="F308" s="237">
        <f>VLOOKUP(C308,'Talente &amp; Stuff'!FU:GV,4,FALSE)</f>
        <v>0</v>
      </c>
      <c r="G308" s="234">
        <f>VLOOKUP(C308,'Talente &amp; Stuff'!FU:GV,5,FALSE)</f>
        <v>0</v>
      </c>
      <c r="H308" s="234">
        <f>VLOOKUP(C308,'Talente &amp; Stuff'!FU:GV,6,FALSE)</f>
        <v>0</v>
      </c>
      <c r="I308" s="234">
        <f>VLOOKUP(C308,'Talente &amp; Stuff'!FU:GV,7,FALSE)</f>
        <v>0</v>
      </c>
      <c r="J308" s="234">
        <f>VLOOKUP(C308,'Talente &amp; Stuff'!FU:GV,8,FALSE)</f>
        <v>0</v>
      </c>
      <c r="K308" s="234">
        <f>VLOOKUP(C308,'Talente &amp; Stuff'!FU:GV,9,FALSE)</f>
        <v>0</v>
      </c>
      <c r="L308" s="234">
        <f>VLOOKUP(C308,'Talente &amp; Stuff'!FU:GV,10,FALSE)</f>
        <v>0</v>
      </c>
      <c r="M308" s="224">
        <f>VLOOKUP(C308,'Talente &amp; Stuff'!FU:GV,11,FALSE)</f>
        <v>0</v>
      </c>
      <c r="N308" s="223">
        <f>VLOOKUP(C308,'Talente &amp; Stuff'!FU:GV,12,FALSE)</f>
        <v>0</v>
      </c>
      <c r="O308" s="223">
        <f>VLOOKUP(C308,'Talente &amp; Stuff'!FU:GV,13,FALSE)</f>
        <v>0</v>
      </c>
      <c r="P308" s="224">
        <f>VLOOKUP(C308,'Talente &amp; Stuff'!FU:GV,14,FALSE)</f>
        <v>0</v>
      </c>
      <c r="Q308" s="237">
        <f>VLOOKUP(C308,'Talente &amp; Stuff'!FU:GV,15,FALSE)</f>
        <v>0</v>
      </c>
      <c r="R308" s="234">
        <f>VLOOKUP(C308,'Talente &amp; Stuff'!FU:GV,16,FALSE)</f>
        <v>0</v>
      </c>
      <c r="S308" s="224">
        <f>VLOOKUP(C308,'Talente &amp; Stuff'!FU:GV,17,FALSE)</f>
        <v>0</v>
      </c>
      <c r="T308" s="224">
        <f>VLOOKUP(C308,'Talente &amp; Stuff'!FU:GV,18,FALSE)</f>
        <v>0</v>
      </c>
      <c r="U308" s="222">
        <f>VLOOKUP(C308,'Talente &amp; Stuff'!FU:GV,19,FALSE)</f>
        <v>0</v>
      </c>
      <c r="V308" s="223">
        <f>VLOOKUP(C308,'Talente &amp; Stuff'!FU:GV,20,FALSE)</f>
        <v>0</v>
      </c>
      <c r="W308" s="243">
        <f>VLOOKUP(C308,'Talente &amp; Stuff'!FU:GV,21,FALSE)</f>
        <v>0</v>
      </c>
      <c r="X308" s="243">
        <f>VLOOKUP(C308,'Talente &amp; Stuff'!FU:GV,22,FALSE)</f>
        <v>0</v>
      </c>
      <c r="Y308" s="252">
        <f>VLOOKUP(C308,Ausgewählte_Zauber_Zauberbarden,197,FALSE)</f>
        <v>0</v>
      </c>
      <c r="Z308" s="309">
        <f>VLOOKUP(C308,Ausgewählte_Zauber_Zauberbarden,198,FALSE)</f>
        <v>0</v>
      </c>
      <c r="AA308" s="218">
        <f>VLOOKUP(C308,'Talente &amp; Stuff'!FU:GV,25,FALSE)</f>
        <v>0</v>
      </c>
      <c r="AB308" s="242">
        <f>VLOOKUP(C308,'Talente &amp; Stuff'!FU:GV,26,FALSE)</f>
        <v>0</v>
      </c>
      <c r="AC308" s="243">
        <f>VLOOKUP(C308,'Talente &amp; Stuff'!FU:GV,27,FALSE)</f>
        <v>0</v>
      </c>
      <c r="AD308" s="218">
        <f>VLOOKUP(C308,'Talente &amp; Stuff'!FU:GV,28,FALSE)</f>
        <v>0</v>
      </c>
      <c r="AE308" s="343"/>
    </row>
    <row r="309" spans="1:31" s="217" customFormat="1" hidden="1" outlineLevel="2">
      <c r="A309" s="185"/>
      <c r="B309" s="217">
        <v>12</v>
      </c>
      <c r="C309" s="303" t="str">
        <f>Attribute!C309</f>
        <v>---</v>
      </c>
      <c r="D309" s="218" t="str">
        <f>VLOOKUP(C309,'Talente &amp; Stuff'!FU:GV,2,FALSE)</f>
        <v>--/--/--</v>
      </c>
      <c r="E309" s="243" t="str">
        <f>VLOOKUP(C309,'Talente &amp; Stuff'!FU:GV,3,FALSE)</f>
        <v>-</v>
      </c>
      <c r="F309" s="237">
        <f>VLOOKUP(C309,'Talente &amp; Stuff'!FU:GV,4,FALSE)</f>
        <v>0</v>
      </c>
      <c r="G309" s="234">
        <f>VLOOKUP(C309,'Talente &amp; Stuff'!FU:GV,5,FALSE)</f>
        <v>0</v>
      </c>
      <c r="H309" s="234">
        <f>VLOOKUP(C309,'Talente &amp; Stuff'!FU:GV,6,FALSE)</f>
        <v>0</v>
      </c>
      <c r="I309" s="234">
        <f>VLOOKUP(C309,'Talente &amp; Stuff'!FU:GV,7,FALSE)</f>
        <v>0</v>
      </c>
      <c r="J309" s="234">
        <f>VLOOKUP(C309,'Talente &amp; Stuff'!FU:GV,8,FALSE)</f>
        <v>0</v>
      </c>
      <c r="K309" s="234">
        <f>VLOOKUP(C309,'Talente &amp; Stuff'!FU:GV,9,FALSE)</f>
        <v>0</v>
      </c>
      <c r="L309" s="234">
        <f>VLOOKUP(C309,'Talente &amp; Stuff'!FU:GV,10,FALSE)</f>
        <v>0</v>
      </c>
      <c r="M309" s="224">
        <f>VLOOKUP(C309,'Talente &amp; Stuff'!FU:GV,11,FALSE)</f>
        <v>0</v>
      </c>
      <c r="N309" s="223">
        <f>VLOOKUP(C309,'Talente &amp; Stuff'!FU:GV,12,FALSE)</f>
        <v>0</v>
      </c>
      <c r="O309" s="223">
        <f>VLOOKUP(C309,'Talente &amp; Stuff'!FU:GV,13,FALSE)</f>
        <v>0</v>
      </c>
      <c r="P309" s="224">
        <f>VLOOKUP(C309,'Talente &amp; Stuff'!FU:GV,14,FALSE)</f>
        <v>0</v>
      </c>
      <c r="Q309" s="237">
        <f>VLOOKUP(C309,'Talente &amp; Stuff'!FU:GV,15,FALSE)</f>
        <v>0</v>
      </c>
      <c r="R309" s="234">
        <f>VLOOKUP(C309,'Talente &amp; Stuff'!FU:GV,16,FALSE)</f>
        <v>0</v>
      </c>
      <c r="S309" s="224">
        <f>VLOOKUP(C309,'Talente &amp; Stuff'!FU:GV,17,FALSE)</f>
        <v>0</v>
      </c>
      <c r="T309" s="224">
        <f>VLOOKUP(C309,'Talente &amp; Stuff'!FU:GV,18,FALSE)</f>
        <v>0</v>
      </c>
      <c r="U309" s="222">
        <f>VLOOKUP(C309,'Talente &amp; Stuff'!FU:GV,19,FALSE)</f>
        <v>0</v>
      </c>
      <c r="V309" s="223">
        <f>VLOOKUP(C309,'Talente &amp; Stuff'!FU:GV,20,FALSE)</f>
        <v>0</v>
      </c>
      <c r="W309" s="243">
        <f>VLOOKUP(C309,'Talente &amp; Stuff'!FU:GV,21,FALSE)</f>
        <v>0</v>
      </c>
      <c r="X309" s="243">
        <f>VLOOKUP(C309,'Talente &amp; Stuff'!FU:GV,22,FALSE)</f>
        <v>0</v>
      </c>
      <c r="Y309" s="252">
        <f>VLOOKUP(C309,Ausgewählte_Zauber_Zauberbarden,197,FALSE)</f>
        <v>0</v>
      </c>
      <c r="Z309" s="309">
        <f>VLOOKUP(C309,Ausgewählte_Zauber_Zauberbarden,198,FALSE)</f>
        <v>0</v>
      </c>
      <c r="AA309" s="218">
        <f>VLOOKUP(C309,'Talente &amp; Stuff'!FU:GV,25,FALSE)</f>
        <v>0</v>
      </c>
      <c r="AB309" s="242">
        <f>VLOOKUP(C309,'Talente &amp; Stuff'!FU:GV,26,FALSE)</f>
        <v>0</v>
      </c>
      <c r="AC309" s="243">
        <f>VLOOKUP(C309,'Talente &amp; Stuff'!FU:GV,27,FALSE)</f>
        <v>0</v>
      </c>
      <c r="AD309" s="218">
        <f>VLOOKUP(C309,'Talente &amp; Stuff'!FU:GV,28,FALSE)</f>
        <v>0</v>
      </c>
      <c r="AE309" s="343"/>
    </row>
    <row r="310" spans="1:31" s="217" customFormat="1" hidden="1" outlineLevel="2">
      <c r="A310" s="185"/>
      <c r="B310" s="217">
        <v>13</v>
      </c>
      <c r="C310" s="303" t="str">
        <f>Attribute!C310</f>
        <v>---</v>
      </c>
      <c r="D310" s="218" t="str">
        <f>VLOOKUP(C310,'Talente &amp; Stuff'!FU:GV,2,FALSE)</f>
        <v>--/--/--</v>
      </c>
      <c r="E310" s="243" t="str">
        <f>VLOOKUP(C310,'Talente &amp; Stuff'!FU:GV,3,FALSE)</f>
        <v>-</v>
      </c>
      <c r="F310" s="237">
        <f>VLOOKUP(C310,'Talente &amp; Stuff'!FU:GV,4,FALSE)</f>
        <v>0</v>
      </c>
      <c r="G310" s="234">
        <f>VLOOKUP(C310,'Talente &amp; Stuff'!FU:GV,5,FALSE)</f>
        <v>0</v>
      </c>
      <c r="H310" s="234">
        <f>VLOOKUP(C310,'Talente &amp; Stuff'!FU:GV,6,FALSE)</f>
        <v>0</v>
      </c>
      <c r="I310" s="234">
        <f>VLOOKUP(C310,'Talente &amp; Stuff'!FU:GV,7,FALSE)</f>
        <v>0</v>
      </c>
      <c r="J310" s="234">
        <f>VLOOKUP(C310,'Talente &amp; Stuff'!FU:GV,8,FALSE)</f>
        <v>0</v>
      </c>
      <c r="K310" s="234">
        <f>VLOOKUP(C310,'Talente &amp; Stuff'!FU:GV,9,FALSE)</f>
        <v>0</v>
      </c>
      <c r="L310" s="234">
        <f>VLOOKUP(C310,'Talente &amp; Stuff'!FU:GV,10,FALSE)</f>
        <v>0</v>
      </c>
      <c r="M310" s="224">
        <f>VLOOKUP(C310,'Talente &amp; Stuff'!FU:GV,11,FALSE)</f>
        <v>0</v>
      </c>
      <c r="N310" s="223">
        <f>VLOOKUP(C310,'Talente &amp; Stuff'!FU:GV,12,FALSE)</f>
        <v>0</v>
      </c>
      <c r="O310" s="223">
        <f>VLOOKUP(C310,'Talente &amp; Stuff'!FU:GV,13,FALSE)</f>
        <v>0</v>
      </c>
      <c r="P310" s="224">
        <f>VLOOKUP(C310,'Talente &amp; Stuff'!FU:GV,14,FALSE)</f>
        <v>0</v>
      </c>
      <c r="Q310" s="237">
        <f>VLOOKUP(C310,'Talente &amp; Stuff'!FU:GV,15,FALSE)</f>
        <v>0</v>
      </c>
      <c r="R310" s="234">
        <f>VLOOKUP(C310,'Talente &amp; Stuff'!FU:GV,16,FALSE)</f>
        <v>0</v>
      </c>
      <c r="S310" s="224">
        <f>VLOOKUP(C310,'Talente &amp; Stuff'!FU:GV,17,FALSE)</f>
        <v>0</v>
      </c>
      <c r="T310" s="224">
        <f>VLOOKUP(C310,'Talente &amp; Stuff'!FU:GV,18,FALSE)</f>
        <v>0</v>
      </c>
      <c r="U310" s="222">
        <f>VLOOKUP(C310,'Talente &amp; Stuff'!FU:GV,19,FALSE)</f>
        <v>0</v>
      </c>
      <c r="V310" s="223">
        <f>VLOOKUP(C310,'Talente &amp; Stuff'!FU:GV,20,FALSE)</f>
        <v>0</v>
      </c>
      <c r="W310" s="243">
        <f>VLOOKUP(C310,'Talente &amp; Stuff'!FU:GV,21,FALSE)</f>
        <v>0</v>
      </c>
      <c r="X310" s="243">
        <f>VLOOKUP(C310,'Talente &amp; Stuff'!FU:GV,22,FALSE)</f>
        <v>0</v>
      </c>
      <c r="Y310" s="252">
        <f>VLOOKUP(C310,Ausgewählte_Zauber_Zauberbarden,197,FALSE)</f>
        <v>0</v>
      </c>
      <c r="Z310" s="309">
        <f>VLOOKUP(C310,Ausgewählte_Zauber_Zauberbarden,198,FALSE)</f>
        <v>0</v>
      </c>
      <c r="AA310" s="218">
        <f>VLOOKUP(C310,'Talente &amp; Stuff'!FU:GV,25,FALSE)</f>
        <v>0</v>
      </c>
      <c r="AB310" s="242">
        <f>VLOOKUP(C310,'Talente &amp; Stuff'!FU:GV,26,FALSE)</f>
        <v>0</v>
      </c>
      <c r="AC310" s="243">
        <f>VLOOKUP(C310,'Talente &amp; Stuff'!FU:GV,27,FALSE)</f>
        <v>0</v>
      </c>
      <c r="AD310" s="218">
        <f>VLOOKUP(C310,'Talente &amp; Stuff'!FU:GV,28,FALSE)</f>
        <v>0</v>
      </c>
      <c r="AE310" s="343"/>
    </row>
    <row r="311" spans="1:31" s="217" customFormat="1" hidden="1" outlineLevel="2">
      <c r="A311" s="185"/>
      <c r="B311" s="217">
        <v>14</v>
      </c>
      <c r="C311" s="303" t="str">
        <f>Attribute!C311</f>
        <v>---</v>
      </c>
      <c r="D311" s="218" t="str">
        <f>VLOOKUP(C311,'Talente &amp; Stuff'!FU:GV,2,FALSE)</f>
        <v>--/--/--</v>
      </c>
      <c r="E311" s="243" t="str">
        <f>VLOOKUP(C311,'Talente &amp; Stuff'!FU:GV,3,FALSE)</f>
        <v>-</v>
      </c>
      <c r="F311" s="237">
        <f>VLOOKUP(C311,'Talente &amp; Stuff'!FU:GV,4,FALSE)</f>
        <v>0</v>
      </c>
      <c r="G311" s="234">
        <f>VLOOKUP(C311,'Talente &amp; Stuff'!FU:GV,5,FALSE)</f>
        <v>0</v>
      </c>
      <c r="H311" s="234">
        <f>VLOOKUP(C311,'Talente &amp; Stuff'!FU:GV,6,FALSE)</f>
        <v>0</v>
      </c>
      <c r="I311" s="234">
        <f>VLOOKUP(C311,'Talente &amp; Stuff'!FU:GV,7,FALSE)</f>
        <v>0</v>
      </c>
      <c r="J311" s="234">
        <f>VLOOKUP(C311,'Talente &amp; Stuff'!FU:GV,8,FALSE)</f>
        <v>0</v>
      </c>
      <c r="K311" s="234">
        <f>VLOOKUP(C311,'Talente &amp; Stuff'!FU:GV,9,FALSE)</f>
        <v>0</v>
      </c>
      <c r="L311" s="234">
        <f>VLOOKUP(C311,'Talente &amp; Stuff'!FU:GV,10,FALSE)</f>
        <v>0</v>
      </c>
      <c r="M311" s="224">
        <f>VLOOKUP(C311,'Talente &amp; Stuff'!FU:GV,11,FALSE)</f>
        <v>0</v>
      </c>
      <c r="N311" s="223">
        <f>VLOOKUP(C311,'Talente &amp; Stuff'!FU:GV,12,FALSE)</f>
        <v>0</v>
      </c>
      <c r="O311" s="223">
        <f>VLOOKUP(C311,'Talente &amp; Stuff'!FU:GV,13,FALSE)</f>
        <v>0</v>
      </c>
      <c r="P311" s="224">
        <f>VLOOKUP(C311,'Talente &amp; Stuff'!FU:GV,14,FALSE)</f>
        <v>0</v>
      </c>
      <c r="Q311" s="237">
        <f>VLOOKUP(C311,'Talente &amp; Stuff'!FU:GV,15,FALSE)</f>
        <v>0</v>
      </c>
      <c r="R311" s="234">
        <f>VLOOKUP(C311,'Talente &amp; Stuff'!FU:GV,16,FALSE)</f>
        <v>0</v>
      </c>
      <c r="S311" s="224">
        <f>VLOOKUP(C311,'Talente &amp; Stuff'!FU:GV,17,FALSE)</f>
        <v>0</v>
      </c>
      <c r="T311" s="224">
        <f>VLOOKUP(C311,'Talente &amp; Stuff'!FU:GV,18,FALSE)</f>
        <v>0</v>
      </c>
      <c r="U311" s="222">
        <f>VLOOKUP(C311,'Talente &amp; Stuff'!FU:GV,19,FALSE)</f>
        <v>0</v>
      </c>
      <c r="V311" s="223">
        <f>VLOOKUP(C311,'Talente &amp; Stuff'!FU:GV,20,FALSE)</f>
        <v>0</v>
      </c>
      <c r="W311" s="243">
        <f>VLOOKUP(C311,'Talente &amp; Stuff'!FU:GV,21,FALSE)</f>
        <v>0</v>
      </c>
      <c r="X311" s="243">
        <f>VLOOKUP(C311,'Talente &amp; Stuff'!FU:GV,22,FALSE)</f>
        <v>0</v>
      </c>
      <c r="Y311" s="252">
        <f>VLOOKUP(C311,Ausgewählte_Zauber_Zauberbarden,197,FALSE)</f>
        <v>0</v>
      </c>
      <c r="Z311" s="309">
        <f>VLOOKUP(C311,Ausgewählte_Zauber_Zauberbarden,198,FALSE)</f>
        <v>0</v>
      </c>
      <c r="AA311" s="218">
        <f>VLOOKUP(C311,'Talente &amp; Stuff'!FU:GV,25,FALSE)</f>
        <v>0</v>
      </c>
      <c r="AB311" s="242">
        <f>VLOOKUP(C311,'Talente &amp; Stuff'!FU:GV,26,FALSE)</f>
        <v>0</v>
      </c>
      <c r="AC311" s="243">
        <f>VLOOKUP(C311,'Talente &amp; Stuff'!FU:GV,27,FALSE)</f>
        <v>0</v>
      </c>
      <c r="AD311" s="218">
        <f>VLOOKUP(C311,'Talente &amp; Stuff'!FU:GV,28,FALSE)</f>
        <v>0</v>
      </c>
      <c r="AE311" s="343"/>
    </row>
    <row r="312" spans="1:31" s="217" customFormat="1" hidden="1" outlineLevel="2">
      <c r="A312" s="185"/>
      <c r="B312" s="217">
        <v>15</v>
      </c>
      <c r="C312" s="303" t="str">
        <f>Attribute!C312</f>
        <v>---</v>
      </c>
      <c r="D312" s="218" t="str">
        <f>VLOOKUP(C312,'Talente &amp; Stuff'!FU:GV,2,FALSE)</f>
        <v>--/--/--</v>
      </c>
      <c r="E312" s="243" t="str">
        <f>VLOOKUP(C312,'Talente &amp; Stuff'!FU:GV,3,FALSE)</f>
        <v>-</v>
      </c>
      <c r="F312" s="237">
        <f>VLOOKUP(C312,'Talente &amp; Stuff'!FU:GV,4,FALSE)</f>
        <v>0</v>
      </c>
      <c r="G312" s="234">
        <f>VLOOKUP(C312,'Talente &amp; Stuff'!FU:GV,5,FALSE)</f>
        <v>0</v>
      </c>
      <c r="H312" s="234">
        <f>VLOOKUP(C312,'Talente &amp; Stuff'!FU:GV,6,FALSE)</f>
        <v>0</v>
      </c>
      <c r="I312" s="234">
        <f>VLOOKUP(C312,'Talente &amp; Stuff'!FU:GV,7,FALSE)</f>
        <v>0</v>
      </c>
      <c r="J312" s="234">
        <f>VLOOKUP(C312,'Talente &amp; Stuff'!FU:GV,8,FALSE)</f>
        <v>0</v>
      </c>
      <c r="K312" s="234">
        <f>VLOOKUP(C312,'Talente &amp; Stuff'!FU:GV,9,FALSE)</f>
        <v>0</v>
      </c>
      <c r="L312" s="234">
        <f>VLOOKUP(C312,'Talente &amp; Stuff'!FU:GV,10,FALSE)</f>
        <v>0</v>
      </c>
      <c r="M312" s="224">
        <f>VLOOKUP(C312,'Talente &amp; Stuff'!FU:GV,11,FALSE)</f>
        <v>0</v>
      </c>
      <c r="N312" s="223">
        <f>VLOOKUP(C312,'Talente &amp; Stuff'!FU:GV,12,FALSE)</f>
        <v>0</v>
      </c>
      <c r="O312" s="223">
        <f>VLOOKUP(C312,'Talente &amp; Stuff'!FU:GV,13,FALSE)</f>
        <v>0</v>
      </c>
      <c r="P312" s="224">
        <f>VLOOKUP(C312,'Talente &amp; Stuff'!FU:GV,14,FALSE)</f>
        <v>0</v>
      </c>
      <c r="Q312" s="237">
        <f>VLOOKUP(C312,'Talente &amp; Stuff'!FU:GV,15,FALSE)</f>
        <v>0</v>
      </c>
      <c r="R312" s="234">
        <f>VLOOKUP(C312,'Talente &amp; Stuff'!FU:GV,16,FALSE)</f>
        <v>0</v>
      </c>
      <c r="S312" s="224">
        <f>VLOOKUP(C312,'Talente &amp; Stuff'!FU:GV,17,FALSE)</f>
        <v>0</v>
      </c>
      <c r="T312" s="224">
        <f>VLOOKUP(C312,'Talente &amp; Stuff'!FU:GV,18,FALSE)</f>
        <v>0</v>
      </c>
      <c r="U312" s="222">
        <f>VLOOKUP(C312,'Talente &amp; Stuff'!FU:GV,19,FALSE)</f>
        <v>0</v>
      </c>
      <c r="V312" s="223">
        <f>VLOOKUP(C312,'Talente &amp; Stuff'!FU:GV,20,FALSE)</f>
        <v>0</v>
      </c>
      <c r="W312" s="243">
        <f>VLOOKUP(C312,'Talente &amp; Stuff'!FU:GV,21,FALSE)</f>
        <v>0</v>
      </c>
      <c r="X312" s="243">
        <f>VLOOKUP(C312,'Talente &amp; Stuff'!FU:GV,22,FALSE)</f>
        <v>0</v>
      </c>
      <c r="Y312" s="252">
        <f>VLOOKUP(C312,Ausgewählte_Zauber_Zauberbarden,197,FALSE)</f>
        <v>0</v>
      </c>
      <c r="Z312" s="309">
        <f>VLOOKUP(C312,Ausgewählte_Zauber_Zauberbarden,198,FALSE)</f>
        <v>0</v>
      </c>
      <c r="AA312" s="218">
        <f>VLOOKUP(C312,'Talente &amp; Stuff'!FU:GV,25,FALSE)</f>
        <v>0</v>
      </c>
      <c r="AB312" s="242">
        <f>VLOOKUP(C312,'Talente &amp; Stuff'!FU:GV,26,FALSE)</f>
        <v>0</v>
      </c>
      <c r="AC312" s="243">
        <f>VLOOKUP(C312,'Talente &amp; Stuff'!FU:GV,27,FALSE)</f>
        <v>0</v>
      </c>
      <c r="AD312" s="218">
        <f>VLOOKUP(C312,'Talente &amp; Stuff'!FU:GV,28,FALSE)</f>
        <v>0</v>
      </c>
      <c r="AE312" s="343"/>
    </row>
    <row r="313" spans="1:31" s="217" customFormat="1" hidden="1" outlineLevel="2">
      <c r="A313" s="185"/>
      <c r="B313" s="217">
        <v>16</v>
      </c>
      <c r="C313" s="303" t="str">
        <f>Attribute!C313</f>
        <v>---</v>
      </c>
      <c r="D313" s="304" t="str">
        <f>VLOOKUP(C313,'Talente &amp; Stuff'!FU:GV,2,FALSE)</f>
        <v>--/--/--</v>
      </c>
      <c r="E313" s="305" t="str">
        <f>VLOOKUP(C313,'Talente &amp; Stuff'!FU:GV,3,FALSE)</f>
        <v>-</v>
      </c>
      <c r="F313" s="317">
        <f>VLOOKUP(C313,'Talente &amp; Stuff'!FU:GV,4,FALSE)</f>
        <v>0</v>
      </c>
      <c r="G313" s="254">
        <f>VLOOKUP(C313,'Talente &amp; Stuff'!FU:GV,5,FALSE)</f>
        <v>0</v>
      </c>
      <c r="H313" s="254">
        <f>VLOOKUP(C313,'Talente &amp; Stuff'!FU:GV,6,FALSE)</f>
        <v>0</v>
      </c>
      <c r="I313" s="254">
        <f>VLOOKUP(C313,'Talente &amp; Stuff'!FU:GV,7,FALSE)</f>
        <v>0</v>
      </c>
      <c r="J313" s="254">
        <f>VLOOKUP(C313,'Talente &amp; Stuff'!FU:GV,8,FALSE)</f>
        <v>0</v>
      </c>
      <c r="K313" s="254">
        <f>VLOOKUP(C313,'Talente &amp; Stuff'!FU:GV,9,FALSE)</f>
        <v>0</v>
      </c>
      <c r="L313" s="254">
        <f>VLOOKUP(C313,'Talente &amp; Stuff'!FU:GV,10,FALSE)</f>
        <v>0</v>
      </c>
      <c r="M313" s="318">
        <f>VLOOKUP(C313,'Talente &amp; Stuff'!FU:GV,11,FALSE)</f>
        <v>0</v>
      </c>
      <c r="N313" s="223">
        <f>VLOOKUP(C313,'Talente &amp; Stuff'!FU:GV,12,FALSE)</f>
        <v>0</v>
      </c>
      <c r="O313" s="223">
        <f>VLOOKUP(C313,'Talente &amp; Stuff'!FU:GV,13,FALSE)</f>
        <v>0</v>
      </c>
      <c r="P313" s="224">
        <f>VLOOKUP(C313,'Talente &amp; Stuff'!FU:GV,14,FALSE)</f>
        <v>0</v>
      </c>
      <c r="Q313" s="237">
        <f>VLOOKUP(C313,'Talente &amp; Stuff'!FU:GV,15,FALSE)</f>
        <v>0</v>
      </c>
      <c r="R313" s="254">
        <f>VLOOKUP(C313,'Talente &amp; Stuff'!FU:GV,16,FALSE)</f>
        <v>0</v>
      </c>
      <c r="S313" s="224">
        <f>VLOOKUP(C313,'Talente &amp; Stuff'!FU:GV,17,FALSE)</f>
        <v>0</v>
      </c>
      <c r="T313" s="224">
        <f>VLOOKUP(C313,'Talente &amp; Stuff'!FU:GV,18,FALSE)</f>
        <v>0</v>
      </c>
      <c r="U313" s="222">
        <f>VLOOKUP(C313,'Talente &amp; Stuff'!FU:GV,19,FALSE)</f>
        <v>0</v>
      </c>
      <c r="V313" s="223">
        <f>VLOOKUP(C313,'Talente &amp; Stuff'!FU:GV,20,FALSE)</f>
        <v>0</v>
      </c>
      <c r="W313" s="243">
        <f>VLOOKUP(C313,'Talente &amp; Stuff'!FU:GV,21,FALSE)</f>
        <v>0</v>
      </c>
      <c r="X313" s="243">
        <f>VLOOKUP(C313,'Talente &amp; Stuff'!FU:GV,22,FALSE)</f>
        <v>0</v>
      </c>
      <c r="Y313" s="252">
        <f>VLOOKUP(C313,Ausgewählte_Zauber_Zauberbarden,197,FALSE)</f>
        <v>0</v>
      </c>
      <c r="Z313" s="309">
        <f>VLOOKUP(C313,Ausgewählte_Zauber_Zauberbarden,198,FALSE)</f>
        <v>0</v>
      </c>
      <c r="AA313" s="218">
        <f>VLOOKUP(C313,'Talente &amp; Stuff'!FU:GV,25,FALSE)</f>
        <v>0</v>
      </c>
      <c r="AB313" s="242">
        <f>VLOOKUP(C313,'Talente &amp; Stuff'!FU:GV,26,FALSE)</f>
        <v>0</v>
      </c>
      <c r="AC313" s="243">
        <f>VLOOKUP(C313,'Talente &amp; Stuff'!FU:GV,27,FALSE)</f>
        <v>0</v>
      </c>
      <c r="AD313" s="218">
        <f>VLOOKUP(C313,'Talente &amp; Stuff'!FU:GV,28,FALSE)</f>
        <v>0</v>
      </c>
      <c r="AE313" s="343"/>
    </row>
    <row r="314" spans="1:31" s="217" customFormat="1" hidden="1" outlineLevel="2">
      <c r="A314" s="185"/>
      <c r="B314" s="217">
        <v>17</v>
      </c>
      <c r="C314" s="303" t="str">
        <f>Attribute!C314</f>
        <v>---</v>
      </c>
      <c r="D314" s="218" t="str">
        <f>VLOOKUP(C314,'Talente &amp; Stuff'!FU:GV,2,FALSE)</f>
        <v>--/--/--</v>
      </c>
      <c r="E314" s="243" t="str">
        <f>VLOOKUP(C314,'Talente &amp; Stuff'!FU:GV,3,FALSE)</f>
        <v>-</v>
      </c>
      <c r="F314" s="237">
        <f>VLOOKUP(C314,'Talente &amp; Stuff'!FU:GV,4,FALSE)</f>
        <v>0</v>
      </c>
      <c r="G314" s="234">
        <f>VLOOKUP(C314,'Talente &amp; Stuff'!FU:GV,5,FALSE)</f>
        <v>0</v>
      </c>
      <c r="H314" s="234">
        <f>VLOOKUP(C314,'Talente &amp; Stuff'!FU:GV,6,FALSE)</f>
        <v>0</v>
      </c>
      <c r="I314" s="234">
        <f>VLOOKUP(C314,'Talente &amp; Stuff'!FU:GV,7,FALSE)</f>
        <v>0</v>
      </c>
      <c r="J314" s="234">
        <f>VLOOKUP(C314,'Talente &amp; Stuff'!FU:GV,8,FALSE)</f>
        <v>0</v>
      </c>
      <c r="K314" s="234">
        <f>VLOOKUP(C314,'Talente &amp; Stuff'!FU:GV,9,FALSE)</f>
        <v>0</v>
      </c>
      <c r="L314" s="234">
        <f>VLOOKUP(C314,'Talente &amp; Stuff'!FU:GV,10,FALSE)</f>
        <v>0</v>
      </c>
      <c r="M314" s="224">
        <f>VLOOKUP(C314,'Talente &amp; Stuff'!FU:GV,11,FALSE)</f>
        <v>0</v>
      </c>
      <c r="N314" s="223">
        <f>VLOOKUP(C314,'Talente &amp; Stuff'!FU:GV,12,FALSE)</f>
        <v>0</v>
      </c>
      <c r="O314" s="223">
        <f>VLOOKUP(C314,'Talente &amp; Stuff'!FU:GV,13,FALSE)</f>
        <v>0</v>
      </c>
      <c r="P314" s="224">
        <f>VLOOKUP(C314,'Talente &amp; Stuff'!FU:GV,14,FALSE)</f>
        <v>0</v>
      </c>
      <c r="Q314" s="237">
        <f>VLOOKUP(C314,'Talente &amp; Stuff'!FU:GV,15,FALSE)</f>
        <v>0</v>
      </c>
      <c r="R314" s="234">
        <f>VLOOKUP(C314,'Talente &amp; Stuff'!FU:GV,16,FALSE)</f>
        <v>0</v>
      </c>
      <c r="S314" s="224">
        <f>VLOOKUP(C314,'Talente &amp; Stuff'!FU:GV,17,FALSE)</f>
        <v>0</v>
      </c>
      <c r="T314" s="224">
        <f>VLOOKUP(C314,'Talente &amp; Stuff'!FU:GV,18,FALSE)</f>
        <v>0</v>
      </c>
      <c r="U314" s="222">
        <f>VLOOKUP(C314,'Talente &amp; Stuff'!FU:GV,19,FALSE)</f>
        <v>0</v>
      </c>
      <c r="V314" s="223">
        <f>VLOOKUP(C314,'Talente &amp; Stuff'!FU:GV,20,FALSE)</f>
        <v>0</v>
      </c>
      <c r="W314" s="243">
        <f>VLOOKUP(C314,'Talente &amp; Stuff'!FU:GV,21,FALSE)</f>
        <v>0</v>
      </c>
      <c r="X314" s="243">
        <f>VLOOKUP(C314,'Talente &amp; Stuff'!FU:GV,22,FALSE)</f>
        <v>0</v>
      </c>
      <c r="Y314" s="252">
        <f>VLOOKUP(C314,Ausgewählte_Zauber_Zauberbarden,197,FALSE)</f>
        <v>0</v>
      </c>
      <c r="Z314" s="309">
        <f>VLOOKUP(C314,Ausgewählte_Zauber_Zauberbarden,198,FALSE)</f>
        <v>0</v>
      </c>
      <c r="AA314" s="218">
        <f>VLOOKUP(C314,'Talente &amp; Stuff'!FU:GV,25,FALSE)</f>
        <v>0</v>
      </c>
      <c r="AB314" s="242">
        <f>VLOOKUP(C314,'Talente &amp; Stuff'!FU:GV,26,FALSE)</f>
        <v>0</v>
      </c>
      <c r="AC314" s="243">
        <f>VLOOKUP(C314,'Talente &amp; Stuff'!FU:GV,27,FALSE)</f>
        <v>0</v>
      </c>
      <c r="AD314" s="218">
        <f>VLOOKUP(C314,'Talente &amp; Stuff'!FU:GV,28,FALSE)</f>
        <v>0</v>
      </c>
      <c r="AE314" s="343"/>
    </row>
    <row r="315" spans="1:31" s="217" customFormat="1" hidden="1" outlineLevel="2">
      <c r="A315" s="185"/>
      <c r="B315" s="217">
        <v>18</v>
      </c>
      <c r="C315" s="303" t="str">
        <f>Attribute!C315</f>
        <v>---</v>
      </c>
      <c r="D315" s="218" t="str">
        <f>VLOOKUP(C315,'Talente &amp; Stuff'!FU:GV,2,FALSE)</f>
        <v>--/--/--</v>
      </c>
      <c r="E315" s="243" t="str">
        <f>VLOOKUP(C315,'Talente &amp; Stuff'!FU:GV,3,FALSE)</f>
        <v>-</v>
      </c>
      <c r="F315" s="237">
        <f>VLOOKUP(C315,'Talente &amp; Stuff'!FU:GV,4,FALSE)</f>
        <v>0</v>
      </c>
      <c r="G315" s="234">
        <f>VLOOKUP(C315,'Talente &amp; Stuff'!FU:GV,5,FALSE)</f>
        <v>0</v>
      </c>
      <c r="H315" s="234">
        <f>VLOOKUP(C315,'Talente &amp; Stuff'!FU:GV,6,FALSE)</f>
        <v>0</v>
      </c>
      <c r="I315" s="234">
        <f>VLOOKUP(C315,'Talente &amp; Stuff'!FU:GV,7,FALSE)</f>
        <v>0</v>
      </c>
      <c r="J315" s="234">
        <f>VLOOKUP(C315,'Talente &amp; Stuff'!FU:GV,8,FALSE)</f>
        <v>0</v>
      </c>
      <c r="K315" s="234">
        <f>VLOOKUP(C315,'Talente &amp; Stuff'!FU:GV,9,FALSE)</f>
        <v>0</v>
      </c>
      <c r="L315" s="234">
        <f>VLOOKUP(C315,'Talente &amp; Stuff'!FU:GV,10,FALSE)</f>
        <v>0</v>
      </c>
      <c r="M315" s="224">
        <f>VLOOKUP(C315,'Talente &amp; Stuff'!FU:GV,11,FALSE)</f>
        <v>0</v>
      </c>
      <c r="N315" s="223">
        <f>VLOOKUP(C315,'Talente &amp; Stuff'!FU:GV,12,FALSE)</f>
        <v>0</v>
      </c>
      <c r="O315" s="223">
        <f>VLOOKUP(C315,'Talente &amp; Stuff'!FU:GV,13,FALSE)</f>
        <v>0</v>
      </c>
      <c r="P315" s="224">
        <f>VLOOKUP(C315,'Talente &amp; Stuff'!FU:GV,14,FALSE)</f>
        <v>0</v>
      </c>
      <c r="Q315" s="237">
        <f>VLOOKUP(C315,'Talente &amp; Stuff'!FU:GV,15,FALSE)</f>
        <v>0</v>
      </c>
      <c r="R315" s="234">
        <f>VLOOKUP(C315,'Talente &amp; Stuff'!FU:GV,16,FALSE)</f>
        <v>0</v>
      </c>
      <c r="S315" s="224">
        <f>VLOOKUP(C315,'Talente &amp; Stuff'!FU:GV,17,FALSE)</f>
        <v>0</v>
      </c>
      <c r="T315" s="224">
        <f>VLOOKUP(C315,'Talente &amp; Stuff'!FU:GV,18,FALSE)</f>
        <v>0</v>
      </c>
      <c r="U315" s="222">
        <f>VLOOKUP(C315,'Talente &amp; Stuff'!FU:GV,19,FALSE)</f>
        <v>0</v>
      </c>
      <c r="V315" s="223">
        <f>VLOOKUP(C315,'Talente &amp; Stuff'!FU:GV,20,FALSE)</f>
        <v>0</v>
      </c>
      <c r="W315" s="243">
        <f>VLOOKUP(C315,'Talente &amp; Stuff'!FU:GV,21,FALSE)</f>
        <v>0</v>
      </c>
      <c r="X315" s="243">
        <f>VLOOKUP(C315,'Talente &amp; Stuff'!FU:GV,22,FALSE)</f>
        <v>0</v>
      </c>
      <c r="Y315" s="252">
        <f>VLOOKUP(C315,Ausgewählte_Zauber_Zauberbarden,197,FALSE)</f>
        <v>0</v>
      </c>
      <c r="Z315" s="309">
        <f>VLOOKUP(C315,Ausgewählte_Zauber_Zauberbarden,198,FALSE)</f>
        <v>0</v>
      </c>
      <c r="AA315" s="218">
        <f>VLOOKUP(C315,'Talente &amp; Stuff'!FU:GV,25,FALSE)</f>
        <v>0</v>
      </c>
      <c r="AB315" s="242">
        <f>VLOOKUP(C315,'Talente &amp; Stuff'!FU:GV,26,FALSE)</f>
        <v>0</v>
      </c>
      <c r="AC315" s="243">
        <f>VLOOKUP(C315,'Talente &amp; Stuff'!FU:GV,27,FALSE)</f>
        <v>0</v>
      </c>
      <c r="AD315" s="218">
        <f>VLOOKUP(C315,'Talente &amp; Stuff'!FU:GV,28,FALSE)</f>
        <v>0</v>
      </c>
      <c r="AE315" s="343"/>
    </row>
    <row r="316" spans="1:31" s="217" customFormat="1" hidden="1" outlineLevel="2">
      <c r="A316" s="185"/>
      <c r="B316" s="217">
        <v>19</v>
      </c>
      <c r="C316" s="303" t="str">
        <f>Attribute!C316</f>
        <v>---</v>
      </c>
      <c r="D316" s="218" t="str">
        <f>VLOOKUP(C316,'Talente &amp; Stuff'!FU:GV,2,FALSE)</f>
        <v>--/--/--</v>
      </c>
      <c r="E316" s="243" t="str">
        <f>VLOOKUP(C316,'Talente &amp; Stuff'!FU:GV,3,FALSE)</f>
        <v>-</v>
      </c>
      <c r="F316" s="237">
        <f>VLOOKUP(C316,'Talente &amp; Stuff'!FU:GV,4,FALSE)</f>
        <v>0</v>
      </c>
      <c r="G316" s="234">
        <f>VLOOKUP(C316,'Talente &amp; Stuff'!FU:GV,5,FALSE)</f>
        <v>0</v>
      </c>
      <c r="H316" s="234">
        <f>VLOOKUP(C316,'Talente &amp; Stuff'!FU:GV,6,FALSE)</f>
        <v>0</v>
      </c>
      <c r="I316" s="234">
        <f>VLOOKUP(C316,'Talente &amp; Stuff'!FU:GV,7,FALSE)</f>
        <v>0</v>
      </c>
      <c r="J316" s="234">
        <f>VLOOKUP(C316,'Talente &amp; Stuff'!FU:GV,8,FALSE)</f>
        <v>0</v>
      </c>
      <c r="K316" s="234">
        <f>VLOOKUP(C316,'Talente &amp; Stuff'!FU:GV,9,FALSE)</f>
        <v>0</v>
      </c>
      <c r="L316" s="234">
        <f>VLOOKUP(C316,'Talente &amp; Stuff'!FU:GV,10,FALSE)</f>
        <v>0</v>
      </c>
      <c r="M316" s="224">
        <f>VLOOKUP(C316,'Talente &amp; Stuff'!FU:GV,11,FALSE)</f>
        <v>0</v>
      </c>
      <c r="N316" s="223">
        <f>VLOOKUP(C316,'Talente &amp; Stuff'!FU:GV,12,FALSE)</f>
        <v>0</v>
      </c>
      <c r="O316" s="223">
        <f>VLOOKUP(C316,'Talente &amp; Stuff'!FU:GV,13,FALSE)</f>
        <v>0</v>
      </c>
      <c r="P316" s="224">
        <f>VLOOKUP(C316,'Talente &amp; Stuff'!FU:GV,14,FALSE)</f>
        <v>0</v>
      </c>
      <c r="Q316" s="237">
        <f>VLOOKUP(C316,'Talente &amp; Stuff'!FU:GV,15,FALSE)</f>
        <v>0</v>
      </c>
      <c r="R316" s="234">
        <f>VLOOKUP(C316,'Talente &amp; Stuff'!FU:GV,16,FALSE)</f>
        <v>0</v>
      </c>
      <c r="S316" s="224">
        <f>VLOOKUP(C316,'Talente &amp; Stuff'!FU:GV,17,FALSE)</f>
        <v>0</v>
      </c>
      <c r="T316" s="224">
        <f>VLOOKUP(C316,'Talente &amp; Stuff'!FU:GV,18,FALSE)</f>
        <v>0</v>
      </c>
      <c r="U316" s="222">
        <f>VLOOKUP(C316,'Talente &amp; Stuff'!FU:GV,19,FALSE)</f>
        <v>0</v>
      </c>
      <c r="V316" s="223">
        <f>VLOOKUP(C316,'Talente &amp; Stuff'!FU:GV,20,FALSE)</f>
        <v>0</v>
      </c>
      <c r="W316" s="243">
        <f>VLOOKUP(C316,'Talente &amp; Stuff'!FU:GV,21,FALSE)</f>
        <v>0</v>
      </c>
      <c r="X316" s="243">
        <f>VLOOKUP(C316,'Talente &amp; Stuff'!FU:GV,22,FALSE)</f>
        <v>0</v>
      </c>
      <c r="Y316" s="252">
        <f>VLOOKUP(C316,Ausgewählte_Zauber_Zauberbarden,197,FALSE)</f>
        <v>0</v>
      </c>
      <c r="Z316" s="309">
        <f>VLOOKUP(C316,Ausgewählte_Zauber_Zauberbarden,198,FALSE)</f>
        <v>0</v>
      </c>
      <c r="AA316" s="218">
        <f>VLOOKUP(C316,'Talente &amp; Stuff'!FU:GV,25,FALSE)</f>
        <v>0</v>
      </c>
      <c r="AB316" s="242">
        <f>VLOOKUP(C316,'Talente &amp; Stuff'!FU:GV,26,FALSE)</f>
        <v>0</v>
      </c>
      <c r="AC316" s="243">
        <f>VLOOKUP(C316,'Talente &amp; Stuff'!FU:GV,27,FALSE)</f>
        <v>0</v>
      </c>
      <c r="AD316" s="218">
        <f>VLOOKUP(C316,'Talente &amp; Stuff'!FU:GV,28,FALSE)</f>
        <v>0</v>
      </c>
      <c r="AE316" s="343"/>
    </row>
    <row r="317" spans="1:31" s="217" customFormat="1" hidden="1" outlineLevel="2">
      <c r="A317" s="185"/>
      <c r="B317" s="217">
        <v>20</v>
      </c>
      <c r="C317" s="303" t="str">
        <f>Attribute!C317</f>
        <v>---</v>
      </c>
      <c r="D317" s="218" t="str">
        <f>VLOOKUP(C317,'Talente &amp; Stuff'!FU:GV,2,FALSE)</f>
        <v>--/--/--</v>
      </c>
      <c r="E317" s="243" t="str">
        <f>VLOOKUP(C317,'Talente &amp; Stuff'!FU:GV,3,FALSE)</f>
        <v>-</v>
      </c>
      <c r="F317" s="237">
        <f>VLOOKUP(C317,'Talente &amp; Stuff'!FU:GV,4,FALSE)</f>
        <v>0</v>
      </c>
      <c r="G317" s="234">
        <f>VLOOKUP(C317,'Talente &amp; Stuff'!FU:GV,5,FALSE)</f>
        <v>0</v>
      </c>
      <c r="H317" s="234">
        <f>VLOOKUP(C317,'Talente &amp; Stuff'!FU:GV,6,FALSE)</f>
        <v>0</v>
      </c>
      <c r="I317" s="234">
        <f>VLOOKUP(C317,'Talente &amp; Stuff'!FU:GV,7,FALSE)</f>
        <v>0</v>
      </c>
      <c r="J317" s="234">
        <f>VLOOKUP(C317,'Talente &amp; Stuff'!FU:GV,8,FALSE)</f>
        <v>0</v>
      </c>
      <c r="K317" s="234">
        <f>VLOOKUP(C317,'Talente &amp; Stuff'!FU:GV,9,FALSE)</f>
        <v>0</v>
      </c>
      <c r="L317" s="234">
        <f>VLOOKUP(C317,'Talente &amp; Stuff'!FU:GV,10,FALSE)</f>
        <v>0</v>
      </c>
      <c r="M317" s="224">
        <f>VLOOKUP(C317,'Talente &amp; Stuff'!FU:GV,11,FALSE)</f>
        <v>0</v>
      </c>
      <c r="N317" s="223">
        <f>VLOOKUP(C317,'Talente &amp; Stuff'!FU:GV,12,FALSE)</f>
        <v>0</v>
      </c>
      <c r="O317" s="223">
        <f>VLOOKUP(C317,'Talente &amp; Stuff'!FU:GV,13,FALSE)</f>
        <v>0</v>
      </c>
      <c r="P317" s="224">
        <f>VLOOKUP(C317,'Talente &amp; Stuff'!FU:GV,14,FALSE)</f>
        <v>0</v>
      </c>
      <c r="Q317" s="237">
        <f>VLOOKUP(C317,'Talente &amp; Stuff'!FU:GV,15,FALSE)</f>
        <v>0</v>
      </c>
      <c r="R317" s="234">
        <f>VLOOKUP(C317,'Talente &amp; Stuff'!FU:GV,16,FALSE)</f>
        <v>0</v>
      </c>
      <c r="S317" s="224">
        <f>VLOOKUP(C317,'Talente &amp; Stuff'!FU:GV,17,FALSE)</f>
        <v>0</v>
      </c>
      <c r="T317" s="224">
        <f>VLOOKUP(C317,'Talente &amp; Stuff'!FU:GV,18,FALSE)</f>
        <v>0</v>
      </c>
      <c r="U317" s="222">
        <f>VLOOKUP(C317,'Talente &amp; Stuff'!FU:GV,19,FALSE)</f>
        <v>0</v>
      </c>
      <c r="V317" s="223">
        <f>VLOOKUP(C317,'Talente &amp; Stuff'!FU:GV,20,FALSE)</f>
        <v>0</v>
      </c>
      <c r="W317" s="243">
        <f>VLOOKUP(C317,'Talente &amp; Stuff'!FU:GV,21,FALSE)</f>
        <v>0</v>
      </c>
      <c r="X317" s="243">
        <f>VLOOKUP(C317,'Talente &amp; Stuff'!FU:GV,22,FALSE)</f>
        <v>0</v>
      </c>
      <c r="Y317" s="252">
        <f>VLOOKUP(C317,Ausgewählte_Zauber_Zauberbarden,197,FALSE)</f>
        <v>0</v>
      </c>
      <c r="Z317" s="309">
        <f>VLOOKUP(C317,Ausgewählte_Zauber_Zauberbarden,198,FALSE)</f>
        <v>0</v>
      </c>
      <c r="AA317" s="218">
        <f>VLOOKUP(C317,'Talente &amp; Stuff'!FU:GV,25,FALSE)</f>
        <v>0</v>
      </c>
      <c r="AB317" s="242">
        <f>VLOOKUP(C317,'Talente &amp; Stuff'!FU:GV,26,FALSE)</f>
        <v>0</v>
      </c>
      <c r="AC317" s="243">
        <f>VLOOKUP(C317,'Talente &amp; Stuff'!FU:GV,27,FALSE)</f>
        <v>0</v>
      </c>
      <c r="AD317" s="218">
        <f>VLOOKUP(C317,'Talente &amp; Stuff'!FU:GV,28,FALSE)</f>
        <v>0</v>
      </c>
      <c r="AE317" s="343"/>
    </row>
    <row r="318" spans="1:31" s="217" customFormat="1" hidden="1" outlineLevel="2">
      <c r="A318" s="185"/>
      <c r="B318" s="217">
        <v>21</v>
      </c>
      <c r="C318" s="303" t="str">
        <f>Attribute!C318</f>
        <v>---</v>
      </c>
      <c r="D318" s="218" t="str">
        <f>VLOOKUP(C318,'Talente &amp; Stuff'!FU:GV,2,FALSE)</f>
        <v>--/--/--</v>
      </c>
      <c r="E318" s="243" t="str">
        <f>VLOOKUP(C318,'Talente &amp; Stuff'!FU:GV,3,FALSE)</f>
        <v>-</v>
      </c>
      <c r="F318" s="237">
        <f>VLOOKUP(C318,'Talente &amp; Stuff'!FU:GV,4,FALSE)</f>
        <v>0</v>
      </c>
      <c r="G318" s="234">
        <f>VLOOKUP(C318,'Talente &amp; Stuff'!FU:GV,5,FALSE)</f>
        <v>0</v>
      </c>
      <c r="H318" s="234">
        <f>VLOOKUP(C318,'Talente &amp; Stuff'!FU:GV,6,FALSE)</f>
        <v>0</v>
      </c>
      <c r="I318" s="234">
        <f>VLOOKUP(C318,'Talente &amp; Stuff'!FU:GV,7,FALSE)</f>
        <v>0</v>
      </c>
      <c r="J318" s="234">
        <f>VLOOKUP(C318,'Talente &amp; Stuff'!FU:GV,8,FALSE)</f>
        <v>0</v>
      </c>
      <c r="K318" s="234">
        <f>VLOOKUP(C318,'Talente &amp; Stuff'!FU:GV,9,FALSE)</f>
        <v>0</v>
      </c>
      <c r="L318" s="234">
        <f>VLOOKUP(C318,'Talente &amp; Stuff'!FU:GV,10,FALSE)</f>
        <v>0</v>
      </c>
      <c r="M318" s="224">
        <f>VLOOKUP(C318,'Talente &amp; Stuff'!FU:GV,11,FALSE)</f>
        <v>0</v>
      </c>
      <c r="N318" s="223">
        <f>VLOOKUP(C318,'Talente &amp; Stuff'!FU:GV,12,FALSE)</f>
        <v>0</v>
      </c>
      <c r="O318" s="223">
        <f>VLOOKUP(C318,'Talente &amp; Stuff'!FU:GV,13,FALSE)</f>
        <v>0</v>
      </c>
      <c r="P318" s="224">
        <f>VLOOKUP(C318,'Talente &amp; Stuff'!FU:GV,14,FALSE)</f>
        <v>0</v>
      </c>
      <c r="Q318" s="237">
        <f>VLOOKUP(C318,'Talente &amp; Stuff'!FU:GV,15,FALSE)</f>
        <v>0</v>
      </c>
      <c r="R318" s="234">
        <f>VLOOKUP(C318,'Talente &amp; Stuff'!FU:GV,16,FALSE)</f>
        <v>0</v>
      </c>
      <c r="S318" s="224">
        <f>VLOOKUP(C318,'Talente &amp; Stuff'!FU:GV,17,FALSE)</f>
        <v>0</v>
      </c>
      <c r="T318" s="224">
        <f>VLOOKUP(C318,'Talente &amp; Stuff'!FU:GV,18,FALSE)</f>
        <v>0</v>
      </c>
      <c r="U318" s="222">
        <f>VLOOKUP(C318,'Talente &amp; Stuff'!FU:GV,19,FALSE)</f>
        <v>0</v>
      </c>
      <c r="V318" s="223">
        <f>VLOOKUP(C318,'Talente &amp; Stuff'!FU:GV,20,FALSE)</f>
        <v>0</v>
      </c>
      <c r="W318" s="243">
        <f>VLOOKUP(C318,'Talente &amp; Stuff'!FU:GV,21,FALSE)</f>
        <v>0</v>
      </c>
      <c r="X318" s="243">
        <f>VLOOKUP(C318,'Talente &amp; Stuff'!FU:GV,22,FALSE)</f>
        <v>0</v>
      </c>
      <c r="Y318" s="252">
        <f>VLOOKUP(C318,Ausgewählte_Zauber_Zauberbarden,197,FALSE)</f>
        <v>0</v>
      </c>
      <c r="Z318" s="309">
        <f>VLOOKUP(C318,Ausgewählte_Zauber_Zauberbarden,198,FALSE)</f>
        <v>0</v>
      </c>
      <c r="AA318" s="218">
        <f>VLOOKUP(C318,'Talente &amp; Stuff'!FU:GV,25,FALSE)</f>
        <v>0</v>
      </c>
      <c r="AB318" s="242">
        <f>VLOOKUP(C318,'Talente &amp; Stuff'!FU:GV,26,FALSE)</f>
        <v>0</v>
      </c>
      <c r="AC318" s="243">
        <f>VLOOKUP(C318,'Talente &amp; Stuff'!FU:GV,27,FALSE)</f>
        <v>0</v>
      </c>
      <c r="AD318" s="218">
        <f>VLOOKUP(C318,'Talente &amp; Stuff'!FU:GV,28,FALSE)</f>
        <v>0</v>
      </c>
      <c r="AE318" s="343"/>
    </row>
    <row r="319" spans="1:31" s="217" customFormat="1" hidden="1" outlineLevel="2">
      <c r="A319" s="185"/>
      <c r="B319" s="217">
        <v>22</v>
      </c>
      <c r="C319" s="303" t="str">
        <f>Attribute!C319</f>
        <v>---</v>
      </c>
      <c r="D319" s="218" t="str">
        <f>VLOOKUP(C319,'Talente &amp; Stuff'!FU:GV,2,FALSE)</f>
        <v>--/--/--</v>
      </c>
      <c r="E319" s="243" t="str">
        <f>VLOOKUP(C319,'Talente &amp; Stuff'!FU:GV,3,FALSE)</f>
        <v>-</v>
      </c>
      <c r="F319" s="237">
        <f>VLOOKUP(C319,'Talente &amp; Stuff'!FU:GV,4,FALSE)</f>
        <v>0</v>
      </c>
      <c r="G319" s="234">
        <f>VLOOKUP(C319,'Talente &amp; Stuff'!FU:GV,5,FALSE)</f>
        <v>0</v>
      </c>
      <c r="H319" s="234">
        <f>VLOOKUP(C319,'Talente &amp; Stuff'!FU:GV,6,FALSE)</f>
        <v>0</v>
      </c>
      <c r="I319" s="234">
        <f>VLOOKUP(C319,'Talente &amp; Stuff'!FU:GV,7,FALSE)</f>
        <v>0</v>
      </c>
      <c r="J319" s="234">
        <f>VLOOKUP(C319,'Talente &amp; Stuff'!FU:GV,8,FALSE)</f>
        <v>0</v>
      </c>
      <c r="K319" s="234">
        <f>VLOOKUP(C319,'Talente &amp; Stuff'!FU:GV,9,FALSE)</f>
        <v>0</v>
      </c>
      <c r="L319" s="234">
        <f>VLOOKUP(C319,'Talente &amp; Stuff'!FU:GV,10,FALSE)</f>
        <v>0</v>
      </c>
      <c r="M319" s="224">
        <f>VLOOKUP(C319,'Talente &amp; Stuff'!FU:GV,11,FALSE)</f>
        <v>0</v>
      </c>
      <c r="N319" s="223">
        <f>VLOOKUP(C319,'Talente &amp; Stuff'!FU:GV,12,FALSE)</f>
        <v>0</v>
      </c>
      <c r="O319" s="223">
        <f>VLOOKUP(C319,'Talente &amp; Stuff'!FU:GV,13,FALSE)</f>
        <v>0</v>
      </c>
      <c r="P319" s="224">
        <f>VLOOKUP(C319,'Talente &amp; Stuff'!FU:GV,14,FALSE)</f>
        <v>0</v>
      </c>
      <c r="Q319" s="237">
        <f>VLOOKUP(C319,'Talente &amp; Stuff'!FU:GV,15,FALSE)</f>
        <v>0</v>
      </c>
      <c r="R319" s="234">
        <f>VLOOKUP(C319,'Talente &amp; Stuff'!FU:GV,16,FALSE)</f>
        <v>0</v>
      </c>
      <c r="S319" s="224">
        <f>VLOOKUP(C319,'Talente &amp; Stuff'!FU:GV,17,FALSE)</f>
        <v>0</v>
      </c>
      <c r="T319" s="224">
        <f>VLOOKUP(C319,'Talente &amp; Stuff'!FU:GV,18,FALSE)</f>
        <v>0</v>
      </c>
      <c r="U319" s="222">
        <f>VLOOKUP(C319,'Talente &amp; Stuff'!FU:GV,19,FALSE)</f>
        <v>0</v>
      </c>
      <c r="V319" s="223">
        <f>VLOOKUP(C319,'Talente &amp; Stuff'!FU:GV,20,FALSE)</f>
        <v>0</v>
      </c>
      <c r="W319" s="243">
        <f>VLOOKUP(C319,'Talente &amp; Stuff'!FU:GV,21,FALSE)</f>
        <v>0</v>
      </c>
      <c r="X319" s="243">
        <f>VLOOKUP(C319,'Talente &amp; Stuff'!FU:GV,22,FALSE)</f>
        <v>0</v>
      </c>
      <c r="Y319" s="252">
        <f>VLOOKUP(C319,Ausgewählte_Zauber_Zauberbarden,197,FALSE)</f>
        <v>0</v>
      </c>
      <c r="Z319" s="309">
        <f>VLOOKUP(C319,Ausgewählte_Zauber_Zauberbarden,198,FALSE)</f>
        <v>0</v>
      </c>
      <c r="AA319" s="218">
        <f>VLOOKUP(C319,'Talente &amp; Stuff'!FU:GV,25,FALSE)</f>
        <v>0</v>
      </c>
      <c r="AB319" s="242">
        <f>VLOOKUP(C319,'Talente &amp; Stuff'!FU:GV,26,FALSE)</f>
        <v>0</v>
      </c>
      <c r="AC319" s="243">
        <f>VLOOKUP(C319,'Talente &amp; Stuff'!FU:GV,27,FALSE)</f>
        <v>0</v>
      </c>
      <c r="AD319" s="218">
        <f>VLOOKUP(C319,'Talente &amp; Stuff'!FU:GV,28,FALSE)</f>
        <v>0</v>
      </c>
      <c r="AE319" s="343"/>
    </row>
    <row r="320" spans="1:31" s="217" customFormat="1" hidden="1" outlineLevel="2">
      <c r="A320" s="185"/>
      <c r="B320" s="217">
        <v>23</v>
      </c>
      <c r="C320" s="303" t="str">
        <f>Attribute!C320</f>
        <v>---</v>
      </c>
      <c r="D320" s="218" t="str">
        <f>VLOOKUP(C320,'Talente &amp; Stuff'!FU:GV,2,FALSE)</f>
        <v>--/--/--</v>
      </c>
      <c r="E320" s="243" t="str">
        <f>VLOOKUP(C320,'Talente &amp; Stuff'!FU:GV,3,FALSE)</f>
        <v>-</v>
      </c>
      <c r="F320" s="237">
        <f>VLOOKUP(C320,'Talente &amp; Stuff'!FU:GV,4,FALSE)</f>
        <v>0</v>
      </c>
      <c r="G320" s="234">
        <f>VLOOKUP(C320,'Talente &amp; Stuff'!FU:GV,5,FALSE)</f>
        <v>0</v>
      </c>
      <c r="H320" s="234">
        <f>VLOOKUP(C320,'Talente &amp; Stuff'!FU:GV,6,FALSE)</f>
        <v>0</v>
      </c>
      <c r="I320" s="234">
        <f>VLOOKUP(C320,'Talente &amp; Stuff'!FU:GV,7,FALSE)</f>
        <v>0</v>
      </c>
      <c r="J320" s="234">
        <f>VLOOKUP(C320,'Talente &amp; Stuff'!FU:GV,8,FALSE)</f>
        <v>0</v>
      </c>
      <c r="K320" s="234">
        <f>VLOOKUP(C320,'Talente &amp; Stuff'!FU:GV,9,FALSE)</f>
        <v>0</v>
      </c>
      <c r="L320" s="234">
        <f>VLOOKUP(C320,'Talente &amp; Stuff'!FU:GV,10,FALSE)</f>
        <v>0</v>
      </c>
      <c r="M320" s="224">
        <f>VLOOKUP(C320,'Talente &amp; Stuff'!FU:GV,11,FALSE)</f>
        <v>0</v>
      </c>
      <c r="N320" s="223">
        <f>VLOOKUP(C320,'Talente &amp; Stuff'!FU:GV,12,FALSE)</f>
        <v>0</v>
      </c>
      <c r="O320" s="223">
        <f>VLOOKUP(C320,'Talente &amp; Stuff'!FU:GV,13,FALSE)</f>
        <v>0</v>
      </c>
      <c r="P320" s="224">
        <f>VLOOKUP(C320,'Talente &amp; Stuff'!FU:GV,14,FALSE)</f>
        <v>0</v>
      </c>
      <c r="Q320" s="237">
        <f>VLOOKUP(C320,'Talente &amp; Stuff'!FU:GV,15,FALSE)</f>
        <v>0</v>
      </c>
      <c r="R320" s="234">
        <f>VLOOKUP(C320,'Talente &amp; Stuff'!FU:GV,16,FALSE)</f>
        <v>0</v>
      </c>
      <c r="S320" s="224">
        <f>VLOOKUP(C320,'Talente &amp; Stuff'!FU:GV,17,FALSE)</f>
        <v>0</v>
      </c>
      <c r="T320" s="224">
        <f>VLOOKUP(C320,'Talente &amp; Stuff'!FU:GV,18,FALSE)</f>
        <v>0</v>
      </c>
      <c r="U320" s="222">
        <f>VLOOKUP(C320,'Talente &amp; Stuff'!FU:GV,19,FALSE)</f>
        <v>0</v>
      </c>
      <c r="V320" s="223">
        <f>VLOOKUP(C320,'Talente &amp; Stuff'!FU:GV,20,FALSE)</f>
        <v>0</v>
      </c>
      <c r="W320" s="243">
        <f>VLOOKUP(C320,'Talente &amp; Stuff'!FU:GV,21,FALSE)</f>
        <v>0</v>
      </c>
      <c r="X320" s="243">
        <f>VLOOKUP(C320,'Talente &amp; Stuff'!FU:GV,22,FALSE)</f>
        <v>0</v>
      </c>
      <c r="Y320" s="252">
        <f>VLOOKUP(C320,Ausgewählte_Zauber_Zauberbarden,197,FALSE)</f>
        <v>0</v>
      </c>
      <c r="Z320" s="309">
        <f>VLOOKUP(C320,Ausgewählte_Zauber_Zauberbarden,198,FALSE)</f>
        <v>0</v>
      </c>
      <c r="AA320" s="218">
        <f>VLOOKUP(C320,'Talente &amp; Stuff'!FU:GV,25,FALSE)</f>
        <v>0</v>
      </c>
      <c r="AB320" s="242">
        <f>VLOOKUP(C320,'Talente &amp; Stuff'!FU:GV,26,FALSE)</f>
        <v>0</v>
      </c>
      <c r="AC320" s="243">
        <f>VLOOKUP(C320,'Talente &amp; Stuff'!FU:GV,27,FALSE)</f>
        <v>0</v>
      </c>
      <c r="AD320" s="218">
        <f>VLOOKUP(C320,'Talente &amp; Stuff'!FU:GV,28,FALSE)</f>
        <v>0</v>
      </c>
      <c r="AE320" s="343"/>
    </row>
    <row r="321" spans="1:31" s="217" customFormat="1" hidden="1" outlineLevel="2">
      <c r="A321" s="185"/>
      <c r="B321" s="217">
        <v>24</v>
      </c>
      <c r="C321" s="306" t="str">
        <f>Attribute!C321</f>
        <v>---</v>
      </c>
      <c r="D321" s="246" t="str">
        <f>VLOOKUP(C321,'Talente &amp; Stuff'!FU:GV,2,FALSE)</f>
        <v>--/--/--</v>
      </c>
      <c r="E321" s="245" t="str">
        <f>VLOOKUP(C321,'Talente &amp; Stuff'!FU:GV,3,FALSE)</f>
        <v>-</v>
      </c>
      <c r="F321" s="238">
        <f>VLOOKUP(C321,'Talente &amp; Stuff'!FU:GV,4,FALSE)</f>
        <v>0</v>
      </c>
      <c r="G321" s="235">
        <f>VLOOKUP(C321,'Talente &amp; Stuff'!FU:GV,5,FALSE)</f>
        <v>0</v>
      </c>
      <c r="H321" s="235">
        <f>VLOOKUP(C321,'Talente &amp; Stuff'!FU:GV,6,FALSE)</f>
        <v>0</v>
      </c>
      <c r="I321" s="235">
        <f>VLOOKUP(C321,'Talente &amp; Stuff'!FU:GV,7,FALSE)</f>
        <v>0</v>
      </c>
      <c r="J321" s="235">
        <f>VLOOKUP(C321,'Talente &amp; Stuff'!FU:GV,8,FALSE)</f>
        <v>0</v>
      </c>
      <c r="K321" s="235">
        <f>VLOOKUP(C321,'Talente &amp; Stuff'!FU:GV,9,FALSE)</f>
        <v>0</v>
      </c>
      <c r="L321" s="235">
        <f>VLOOKUP(C321,'Talente &amp; Stuff'!FU:GV,10,FALSE)</f>
        <v>0</v>
      </c>
      <c r="M321" s="227">
        <f>VLOOKUP(C321,'Talente &amp; Stuff'!FU:GV,11,FALSE)</f>
        <v>0</v>
      </c>
      <c r="N321" s="226">
        <f>VLOOKUP(C321,'Talente &amp; Stuff'!FU:GV,12,FALSE)</f>
        <v>0</v>
      </c>
      <c r="O321" s="226">
        <f>VLOOKUP(C321,'Talente &amp; Stuff'!FU:GV,13,FALSE)</f>
        <v>0</v>
      </c>
      <c r="P321" s="227">
        <f>VLOOKUP(C321,'Talente &amp; Stuff'!FU:GV,14,FALSE)</f>
        <v>0</v>
      </c>
      <c r="Q321" s="238">
        <f>VLOOKUP(C321,'Talente &amp; Stuff'!FU:GV,15,FALSE)</f>
        <v>0</v>
      </c>
      <c r="R321" s="235">
        <f>VLOOKUP(C321,'Talente &amp; Stuff'!FU:GV,16,FALSE)</f>
        <v>0</v>
      </c>
      <c r="S321" s="227">
        <f>VLOOKUP(C321,'Talente &amp; Stuff'!FU:GV,17,FALSE)</f>
        <v>0</v>
      </c>
      <c r="T321" s="227">
        <f>VLOOKUP(C321,'Talente &amp; Stuff'!FU:GV,18,FALSE)</f>
        <v>0</v>
      </c>
      <c r="U321" s="225">
        <f>VLOOKUP(C321,'Talente &amp; Stuff'!FU:GV,19,FALSE)</f>
        <v>0</v>
      </c>
      <c r="V321" s="226">
        <f>VLOOKUP(C321,'Talente &amp; Stuff'!FU:GV,20,FALSE)</f>
        <v>0</v>
      </c>
      <c r="W321" s="245">
        <f>VLOOKUP(C321,'Talente &amp; Stuff'!FU:GV,21,FALSE)</f>
        <v>0</v>
      </c>
      <c r="X321" s="245">
        <f>VLOOKUP(C321,'Talente &amp; Stuff'!FU:GV,22,FALSE)</f>
        <v>0</v>
      </c>
      <c r="Y321" s="252">
        <f>VLOOKUP(C321,Ausgewählte_Zauber_Zauberbarden,197,FALSE)</f>
        <v>0</v>
      </c>
      <c r="Z321" s="309">
        <f>VLOOKUP(C321,Ausgewählte_Zauber_Zauberbarden,198,FALSE)</f>
        <v>0</v>
      </c>
      <c r="AA321" s="246">
        <f>VLOOKUP(C321,'Talente &amp; Stuff'!FU:GV,25,FALSE)</f>
        <v>0</v>
      </c>
      <c r="AB321" s="244">
        <f>VLOOKUP(C321,'Talente &amp; Stuff'!FU:GV,26,FALSE)</f>
        <v>0</v>
      </c>
      <c r="AC321" s="245">
        <f>VLOOKUP(C321,'Talente &amp; Stuff'!FU:GV,27,FALSE)</f>
        <v>0</v>
      </c>
      <c r="AD321" s="246">
        <f>VLOOKUP(C321,'Talente &amp; Stuff'!FU:GV,28,FALSE)</f>
        <v>0</v>
      </c>
      <c r="AE321" s="343"/>
    </row>
    <row r="322" spans="1:31" s="217" customFormat="1" hidden="1" outlineLevel="1" collapsed="1">
      <c r="A322" s="185"/>
      <c r="B322" s="216" t="s">
        <v>446</v>
      </c>
      <c r="C322" s="307"/>
      <c r="D322" s="308"/>
      <c r="E322" s="308"/>
      <c r="Y322" s="251"/>
      <c r="Z322" s="251"/>
    </row>
    <row r="323" spans="1:31" s="217" customFormat="1" hidden="1" outlineLevel="2">
      <c r="A323" s="185"/>
      <c r="B323" s="217">
        <v>1</v>
      </c>
      <c r="C323" s="302" t="str">
        <f>Attribute!C323</f>
        <v>---</v>
      </c>
      <c r="D323" s="43" t="str">
        <f>VLOOKUP(C323,'Talente &amp; Stuff'!FU:GV,2,FALSE)</f>
        <v>--/--/--</v>
      </c>
      <c r="E323" s="42" t="str">
        <f>VLOOKUP(C323,'Talente &amp; Stuff'!FU:GV,3,FALSE)</f>
        <v>-</v>
      </c>
      <c r="F323" s="236">
        <f>VLOOKUP(C323,'Talente &amp; Stuff'!FU:GV,4,FALSE)</f>
        <v>0</v>
      </c>
      <c r="G323" s="233">
        <f>VLOOKUP(C323,'Talente &amp; Stuff'!FU:GV,5,FALSE)</f>
        <v>0</v>
      </c>
      <c r="H323" s="233">
        <f>VLOOKUP(C323,'Talente &amp; Stuff'!FU:GV,6,FALSE)</f>
        <v>0</v>
      </c>
      <c r="I323" s="233">
        <f>VLOOKUP(C323,'Talente &amp; Stuff'!FU:GV,7,FALSE)</f>
        <v>0</v>
      </c>
      <c r="J323" s="233">
        <f>VLOOKUP(C323,'Talente &amp; Stuff'!FU:GV,8,FALSE)</f>
        <v>0</v>
      </c>
      <c r="K323" s="233">
        <f>VLOOKUP(C323,'Talente &amp; Stuff'!FU:GV,9,FALSE)</f>
        <v>0</v>
      </c>
      <c r="L323" s="233">
        <f>VLOOKUP(C323,'Talente &amp; Stuff'!FU:GV,10,FALSE)</f>
        <v>0</v>
      </c>
      <c r="M323" s="221">
        <f>VLOOKUP(C323,'Talente &amp; Stuff'!FU:GV,11,FALSE)</f>
        <v>0</v>
      </c>
      <c r="N323" s="219">
        <f>VLOOKUP(C323,'Talente &amp; Stuff'!FU:GV,12,FALSE)</f>
        <v>0</v>
      </c>
      <c r="O323" s="220">
        <f>VLOOKUP(C323,'Talente &amp; Stuff'!FU:GV,13,FALSE)</f>
        <v>0</v>
      </c>
      <c r="P323" s="221">
        <f>VLOOKUP(C323,'Talente &amp; Stuff'!FU:GV,14,FALSE)</f>
        <v>0</v>
      </c>
      <c r="Q323" s="236">
        <f>VLOOKUP(C323,'Talente &amp; Stuff'!FU:GV,15,FALSE)</f>
        <v>0</v>
      </c>
      <c r="R323" s="316">
        <f>VLOOKUP(C323,'Talente &amp; Stuff'!FU:GV,16,FALSE)</f>
        <v>0</v>
      </c>
      <c r="S323" s="221">
        <f>VLOOKUP(C323,'Talente &amp; Stuff'!FU:GV,17,FALSE)</f>
        <v>0</v>
      </c>
      <c r="T323" s="78">
        <f>VLOOKUP(C323,'Talente &amp; Stuff'!FU:GV,18,FALSE)</f>
        <v>0</v>
      </c>
      <c r="U323" s="219">
        <f>VLOOKUP(C323,'Talente &amp; Stuff'!FU:GV,19,FALSE)</f>
        <v>0</v>
      </c>
      <c r="V323" s="220">
        <f>VLOOKUP(C323,'Talente &amp; Stuff'!FU:GV,20,FALSE)</f>
        <v>0</v>
      </c>
      <c r="W323" s="241">
        <f>VLOOKUP(C323,'Talente &amp; Stuff'!FU:GV,21,FALSE)</f>
        <v>0</v>
      </c>
      <c r="X323" s="42">
        <f>VLOOKUP(C323,'Talente &amp; Stuff'!FU:GV,22,FALSE)</f>
        <v>0</v>
      </c>
      <c r="Y323" s="252">
        <f>VLOOKUP(C323,Ausgewählte_Zauber_Zaubertänzer,197,FALSE)</f>
        <v>0</v>
      </c>
      <c r="Z323" s="309">
        <f>VLOOKUP(C323,Ausgewählte_Zauber_Zaubertänzer,198,FALSE)</f>
        <v>0</v>
      </c>
      <c r="AA323" s="42">
        <f>VLOOKUP(C323,'Talente &amp; Stuff'!FU:GV,25,FALSE)</f>
        <v>0</v>
      </c>
      <c r="AB323" s="78">
        <f>VLOOKUP(C323,'Talente &amp; Stuff'!FU:GV,26,FALSE)</f>
        <v>0</v>
      </c>
      <c r="AC323" s="42">
        <f>VLOOKUP(C323,'Talente &amp; Stuff'!FU:GV,27,FALSE)</f>
        <v>0</v>
      </c>
      <c r="AD323" s="42">
        <f>VLOOKUP(C323,'Talente &amp; Stuff'!FU:GV,28,FALSE)</f>
        <v>0</v>
      </c>
      <c r="AE323" s="343"/>
    </row>
    <row r="324" spans="1:31" s="217" customFormat="1" hidden="1" outlineLevel="2">
      <c r="A324" s="185"/>
      <c r="B324" s="217">
        <v>2</v>
      </c>
      <c r="C324" s="303" t="str">
        <f>Attribute!C324</f>
        <v>---</v>
      </c>
      <c r="D324" s="304" t="str">
        <f>VLOOKUP(C324,'Talente &amp; Stuff'!FU:GV,2,FALSE)</f>
        <v>--/--/--</v>
      </c>
      <c r="E324" s="304" t="str">
        <f>VLOOKUP(C324,'Talente &amp; Stuff'!FU:GV,3,FALSE)</f>
        <v>-</v>
      </c>
      <c r="F324" s="317">
        <f>VLOOKUP(C324,'Talente &amp; Stuff'!FU:GV,4,FALSE)</f>
        <v>0</v>
      </c>
      <c r="G324" s="254">
        <f>VLOOKUP(C324,'Talente &amp; Stuff'!FU:GV,5,FALSE)</f>
        <v>0</v>
      </c>
      <c r="H324" s="254">
        <f>VLOOKUP(C324,'Talente &amp; Stuff'!FU:GV,6,FALSE)</f>
        <v>0</v>
      </c>
      <c r="I324" s="254">
        <f>VLOOKUP(C324,'Talente &amp; Stuff'!FU:GV,7,FALSE)</f>
        <v>0</v>
      </c>
      <c r="J324" s="254">
        <f>VLOOKUP(C324,'Talente &amp; Stuff'!FU:GV,8,FALSE)</f>
        <v>0</v>
      </c>
      <c r="K324" s="254">
        <f>VLOOKUP(C324,'Talente &amp; Stuff'!FU:GV,9,FALSE)</f>
        <v>0</v>
      </c>
      <c r="L324" s="254">
        <f>VLOOKUP(C324,'Talente &amp; Stuff'!FU:GV,10,FALSE)</f>
        <v>0</v>
      </c>
      <c r="M324" s="318">
        <f>VLOOKUP(C324,'Talente &amp; Stuff'!FU:GV,11,FALSE)</f>
        <v>0</v>
      </c>
      <c r="N324" s="222">
        <f>VLOOKUP(C324,'Talente &amp; Stuff'!FU:GV,12,FALSE)</f>
        <v>0</v>
      </c>
      <c r="O324" s="223">
        <f>VLOOKUP(C324,'Talente &amp; Stuff'!FU:GV,13,FALSE)</f>
        <v>0</v>
      </c>
      <c r="P324" s="224">
        <f>VLOOKUP(C324,'Talente &amp; Stuff'!FU:GV,14,FALSE)</f>
        <v>0</v>
      </c>
      <c r="Q324" s="237">
        <f>VLOOKUP(C324,'Talente &amp; Stuff'!FU:GV,15,FALSE)</f>
        <v>0</v>
      </c>
      <c r="R324" s="254">
        <f>VLOOKUP(C324,'Talente &amp; Stuff'!FU:GV,16,FALSE)</f>
        <v>0</v>
      </c>
      <c r="S324" s="224">
        <f>VLOOKUP(C324,'Talente &amp; Stuff'!FU:GV,17,FALSE)</f>
        <v>0</v>
      </c>
      <c r="T324" s="242">
        <f>VLOOKUP(C324,'Talente &amp; Stuff'!FU:GV,18,FALSE)</f>
        <v>0</v>
      </c>
      <c r="U324" s="222">
        <f>VLOOKUP(C324,'Talente &amp; Stuff'!FU:GV,19,FALSE)</f>
        <v>0</v>
      </c>
      <c r="V324" s="223">
        <f>VLOOKUP(C324,'Talente &amp; Stuff'!FU:GV,20,FALSE)</f>
        <v>0</v>
      </c>
      <c r="W324" s="243">
        <f>VLOOKUP(C324,'Talente &amp; Stuff'!FU:GV,21,FALSE)</f>
        <v>0</v>
      </c>
      <c r="X324" s="218">
        <f>VLOOKUP(C324,'Talente &amp; Stuff'!FU:GV,22,FALSE)</f>
        <v>0</v>
      </c>
      <c r="Y324" s="252">
        <f>VLOOKUP(C324,Ausgewählte_Zauber_Zaubertänzer,197,FALSE)</f>
        <v>0</v>
      </c>
      <c r="Z324" s="309">
        <f>VLOOKUP(C324,Ausgewählte_Zauber_Zaubertänzer,198,FALSE)</f>
        <v>0</v>
      </c>
      <c r="AA324" s="218">
        <f>VLOOKUP(C324,'Talente &amp; Stuff'!FU:GV,25,FALSE)</f>
        <v>0</v>
      </c>
      <c r="AB324" s="242">
        <f>VLOOKUP(C324,'Talente &amp; Stuff'!FU:GV,26,FALSE)</f>
        <v>0</v>
      </c>
      <c r="AC324" s="218">
        <f>VLOOKUP(C324,'Talente &amp; Stuff'!FU:GV,27,FALSE)</f>
        <v>0</v>
      </c>
      <c r="AD324" s="218">
        <f>VLOOKUP(C324,'Talente &amp; Stuff'!FU:GV,28,FALSE)</f>
        <v>0</v>
      </c>
      <c r="AE324" s="343"/>
    </row>
    <row r="325" spans="1:31" s="217" customFormat="1" hidden="1" outlineLevel="2">
      <c r="A325" s="185"/>
      <c r="B325" s="217">
        <v>3</v>
      </c>
      <c r="C325" s="303" t="str">
        <f>Attribute!C325</f>
        <v>---</v>
      </c>
      <c r="D325" s="304" t="str">
        <f>VLOOKUP(C325,'Talente &amp; Stuff'!FU:GV,2,FALSE)</f>
        <v>--/--/--</v>
      </c>
      <c r="E325" s="304" t="str">
        <f>VLOOKUP(C325,'Talente &amp; Stuff'!FU:GV,3,FALSE)</f>
        <v>-</v>
      </c>
      <c r="F325" s="317">
        <f>VLOOKUP(C325,'Talente &amp; Stuff'!FU:GV,4,FALSE)</f>
        <v>0</v>
      </c>
      <c r="G325" s="254">
        <f>VLOOKUP(C325,'Talente &amp; Stuff'!FU:GV,5,FALSE)</f>
        <v>0</v>
      </c>
      <c r="H325" s="254">
        <f>VLOOKUP(C325,'Talente &amp; Stuff'!FU:GV,6,FALSE)</f>
        <v>0</v>
      </c>
      <c r="I325" s="254">
        <f>VLOOKUP(C325,'Talente &amp; Stuff'!FU:GV,7,FALSE)</f>
        <v>0</v>
      </c>
      <c r="J325" s="254">
        <f>VLOOKUP(C325,'Talente &amp; Stuff'!FU:GV,8,FALSE)</f>
        <v>0</v>
      </c>
      <c r="K325" s="254">
        <f>VLOOKUP(C325,'Talente &amp; Stuff'!FU:GV,9,FALSE)</f>
        <v>0</v>
      </c>
      <c r="L325" s="254">
        <f>VLOOKUP(C325,'Talente &amp; Stuff'!FU:GV,10,FALSE)</f>
        <v>0</v>
      </c>
      <c r="M325" s="318">
        <f>VLOOKUP(C325,'Talente &amp; Stuff'!FU:GV,11,FALSE)</f>
        <v>0</v>
      </c>
      <c r="N325" s="222">
        <f>VLOOKUP(C325,'Talente &amp; Stuff'!FU:GV,12,FALSE)</f>
        <v>0</v>
      </c>
      <c r="O325" s="223">
        <f>VLOOKUP(C325,'Talente &amp; Stuff'!FU:GV,13,FALSE)</f>
        <v>0</v>
      </c>
      <c r="P325" s="224">
        <f>VLOOKUP(C325,'Talente &amp; Stuff'!FU:GV,14,FALSE)</f>
        <v>0</v>
      </c>
      <c r="Q325" s="237">
        <f>VLOOKUP(C325,'Talente &amp; Stuff'!FU:GV,15,FALSE)</f>
        <v>0</v>
      </c>
      <c r="R325" s="254">
        <f>VLOOKUP(C325,'Talente &amp; Stuff'!FU:GV,16,FALSE)</f>
        <v>0</v>
      </c>
      <c r="S325" s="224">
        <f>VLOOKUP(C325,'Talente &amp; Stuff'!FU:GV,17,FALSE)</f>
        <v>0</v>
      </c>
      <c r="T325" s="242">
        <f>VLOOKUP(C325,'Talente &amp; Stuff'!FU:GV,18,FALSE)</f>
        <v>0</v>
      </c>
      <c r="U325" s="222">
        <f>VLOOKUP(C325,'Talente &amp; Stuff'!FU:GV,19,FALSE)</f>
        <v>0</v>
      </c>
      <c r="V325" s="223">
        <f>VLOOKUP(C325,'Talente &amp; Stuff'!FU:GV,20,FALSE)</f>
        <v>0</v>
      </c>
      <c r="W325" s="243">
        <f>VLOOKUP(C325,'Talente &amp; Stuff'!FU:GV,21,FALSE)</f>
        <v>0</v>
      </c>
      <c r="X325" s="218">
        <f>VLOOKUP(C325,'Talente &amp; Stuff'!FU:GV,22,FALSE)</f>
        <v>0</v>
      </c>
      <c r="Y325" s="252">
        <f>VLOOKUP(C325,Ausgewählte_Zauber_Zaubertänzer,197,FALSE)</f>
        <v>0</v>
      </c>
      <c r="Z325" s="309">
        <f>VLOOKUP(C325,Ausgewählte_Zauber_Zaubertänzer,198,FALSE)</f>
        <v>0</v>
      </c>
      <c r="AA325" s="218">
        <f>VLOOKUP(C325,'Talente &amp; Stuff'!FU:GV,25,FALSE)</f>
        <v>0</v>
      </c>
      <c r="AB325" s="242">
        <f>VLOOKUP(C325,'Talente &amp; Stuff'!FU:GV,26,FALSE)</f>
        <v>0</v>
      </c>
      <c r="AC325" s="218">
        <f>VLOOKUP(C325,'Talente &amp; Stuff'!FU:GV,27,FALSE)</f>
        <v>0</v>
      </c>
      <c r="AD325" s="218">
        <f>VLOOKUP(C325,'Talente &amp; Stuff'!FU:GV,28,FALSE)</f>
        <v>0</v>
      </c>
      <c r="AE325" s="343"/>
    </row>
    <row r="326" spans="1:31" s="217" customFormat="1" hidden="1" outlineLevel="2">
      <c r="A326" s="185"/>
      <c r="B326" s="217">
        <v>4</v>
      </c>
      <c r="C326" s="303" t="str">
        <f>Attribute!C326</f>
        <v>---</v>
      </c>
      <c r="D326" s="304" t="str">
        <f>VLOOKUP(C326,'Talente &amp; Stuff'!FU:GV,2,FALSE)</f>
        <v>--/--/--</v>
      </c>
      <c r="E326" s="304" t="str">
        <f>VLOOKUP(C326,'Talente &amp; Stuff'!FU:GV,3,FALSE)</f>
        <v>-</v>
      </c>
      <c r="F326" s="317">
        <f>VLOOKUP(C326,'Talente &amp; Stuff'!FU:GV,4,FALSE)</f>
        <v>0</v>
      </c>
      <c r="G326" s="254">
        <f>VLOOKUP(C326,'Talente &amp; Stuff'!FU:GV,5,FALSE)</f>
        <v>0</v>
      </c>
      <c r="H326" s="254">
        <f>VLOOKUP(C326,'Talente &amp; Stuff'!FU:GV,6,FALSE)</f>
        <v>0</v>
      </c>
      <c r="I326" s="254">
        <f>VLOOKUP(C326,'Talente &amp; Stuff'!FU:GV,7,FALSE)</f>
        <v>0</v>
      </c>
      <c r="J326" s="254">
        <f>VLOOKUP(C326,'Talente &amp; Stuff'!FU:GV,8,FALSE)</f>
        <v>0</v>
      </c>
      <c r="K326" s="254">
        <f>VLOOKUP(C326,'Talente &amp; Stuff'!FU:GV,9,FALSE)</f>
        <v>0</v>
      </c>
      <c r="L326" s="254">
        <f>VLOOKUP(C326,'Talente &amp; Stuff'!FU:GV,10,FALSE)</f>
        <v>0</v>
      </c>
      <c r="M326" s="318">
        <f>VLOOKUP(C326,'Talente &amp; Stuff'!FU:GV,11,FALSE)</f>
        <v>0</v>
      </c>
      <c r="N326" s="222">
        <f>VLOOKUP(C326,'Talente &amp; Stuff'!FU:GV,12,FALSE)</f>
        <v>0</v>
      </c>
      <c r="O326" s="223">
        <f>VLOOKUP(C326,'Talente &amp; Stuff'!FU:GV,13,FALSE)</f>
        <v>0</v>
      </c>
      <c r="P326" s="224">
        <f>VLOOKUP(C326,'Talente &amp; Stuff'!FU:GV,14,FALSE)</f>
        <v>0</v>
      </c>
      <c r="Q326" s="237">
        <f>VLOOKUP(C326,'Talente &amp; Stuff'!FU:GV,15,FALSE)</f>
        <v>0</v>
      </c>
      <c r="R326" s="254">
        <f>VLOOKUP(C326,'Talente &amp; Stuff'!FU:GV,16,FALSE)</f>
        <v>0</v>
      </c>
      <c r="S326" s="224">
        <f>VLOOKUP(C326,'Talente &amp; Stuff'!FU:GV,17,FALSE)</f>
        <v>0</v>
      </c>
      <c r="T326" s="242">
        <f>VLOOKUP(C326,'Talente &amp; Stuff'!FU:GV,18,FALSE)</f>
        <v>0</v>
      </c>
      <c r="U326" s="222">
        <f>VLOOKUP(C326,'Talente &amp; Stuff'!FU:GV,19,FALSE)</f>
        <v>0</v>
      </c>
      <c r="V326" s="223">
        <f>VLOOKUP(C326,'Talente &amp; Stuff'!FU:GV,20,FALSE)</f>
        <v>0</v>
      </c>
      <c r="W326" s="243">
        <f>VLOOKUP(C326,'Talente &amp; Stuff'!FU:GV,21,FALSE)</f>
        <v>0</v>
      </c>
      <c r="X326" s="218">
        <f>VLOOKUP(C326,'Talente &amp; Stuff'!FU:GV,22,FALSE)</f>
        <v>0</v>
      </c>
      <c r="Y326" s="252">
        <f>VLOOKUP(C326,Ausgewählte_Zauber_Zaubertänzer,197,FALSE)</f>
        <v>0</v>
      </c>
      <c r="Z326" s="309">
        <f>VLOOKUP(C326,Ausgewählte_Zauber_Zaubertänzer,198,FALSE)</f>
        <v>0</v>
      </c>
      <c r="AA326" s="218">
        <f>VLOOKUP(C326,'Talente &amp; Stuff'!FU:GV,25,FALSE)</f>
        <v>0</v>
      </c>
      <c r="AB326" s="242">
        <f>VLOOKUP(C326,'Talente &amp; Stuff'!FU:GV,26,FALSE)</f>
        <v>0</v>
      </c>
      <c r="AC326" s="218">
        <f>VLOOKUP(C326,'Talente &amp; Stuff'!FU:GV,27,FALSE)</f>
        <v>0</v>
      </c>
      <c r="AD326" s="218">
        <f>VLOOKUP(C326,'Talente &amp; Stuff'!FU:GV,28,FALSE)</f>
        <v>0</v>
      </c>
      <c r="AE326" s="343"/>
    </row>
    <row r="327" spans="1:31" s="217" customFormat="1" hidden="1" outlineLevel="2">
      <c r="A327" s="185"/>
      <c r="B327" s="217">
        <v>5</v>
      </c>
      <c r="C327" s="303" t="str">
        <f>Attribute!C327</f>
        <v>---</v>
      </c>
      <c r="D327" s="304" t="str">
        <f>VLOOKUP(C327,'Talente &amp; Stuff'!FU:GV,2,FALSE)</f>
        <v>--/--/--</v>
      </c>
      <c r="E327" s="304" t="str">
        <f>VLOOKUP(C327,'Talente &amp; Stuff'!FU:GV,3,FALSE)</f>
        <v>-</v>
      </c>
      <c r="F327" s="317">
        <f>VLOOKUP(C327,'Talente &amp; Stuff'!FU:GV,4,FALSE)</f>
        <v>0</v>
      </c>
      <c r="G327" s="254">
        <f>VLOOKUP(C327,'Talente &amp; Stuff'!FU:GV,5,FALSE)</f>
        <v>0</v>
      </c>
      <c r="H327" s="254">
        <f>VLOOKUP(C327,'Talente &amp; Stuff'!FU:GV,6,FALSE)</f>
        <v>0</v>
      </c>
      <c r="I327" s="254">
        <f>VLOOKUP(C327,'Talente &amp; Stuff'!FU:GV,7,FALSE)</f>
        <v>0</v>
      </c>
      <c r="J327" s="254">
        <f>VLOOKUP(C327,'Talente &amp; Stuff'!FU:GV,8,FALSE)</f>
        <v>0</v>
      </c>
      <c r="K327" s="254">
        <f>VLOOKUP(C327,'Talente &amp; Stuff'!FU:GV,9,FALSE)</f>
        <v>0</v>
      </c>
      <c r="L327" s="254">
        <f>VLOOKUP(C327,'Talente &amp; Stuff'!FU:GV,10,FALSE)</f>
        <v>0</v>
      </c>
      <c r="M327" s="318">
        <f>VLOOKUP(C327,'Talente &amp; Stuff'!FU:GV,11,FALSE)</f>
        <v>0</v>
      </c>
      <c r="N327" s="222">
        <f>VLOOKUP(C327,'Talente &amp; Stuff'!FU:GV,12,FALSE)</f>
        <v>0</v>
      </c>
      <c r="O327" s="223">
        <f>VLOOKUP(C327,'Talente &amp; Stuff'!FU:GV,13,FALSE)</f>
        <v>0</v>
      </c>
      <c r="P327" s="224">
        <f>VLOOKUP(C327,'Talente &amp; Stuff'!FU:GV,14,FALSE)</f>
        <v>0</v>
      </c>
      <c r="Q327" s="237">
        <f>VLOOKUP(C327,'Talente &amp; Stuff'!FU:GV,15,FALSE)</f>
        <v>0</v>
      </c>
      <c r="R327" s="254">
        <f>VLOOKUP(C327,'Talente &amp; Stuff'!FU:GV,16,FALSE)</f>
        <v>0</v>
      </c>
      <c r="S327" s="224">
        <f>VLOOKUP(C327,'Talente &amp; Stuff'!FU:GV,17,FALSE)</f>
        <v>0</v>
      </c>
      <c r="T327" s="242">
        <f>VLOOKUP(C327,'Talente &amp; Stuff'!FU:GV,18,FALSE)</f>
        <v>0</v>
      </c>
      <c r="U327" s="222">
        <f>VLOOKUP(C327,'Talente &amp; Stuff'!FU:GV,19,FALSE)</f>
        <v>0</v>
      </c>
      <c r="V327" s="223">
        <f>VLOOKUP(C327,'Talente &amp; Stuff'!FU:GV,20,FALSE)</f>
        <v>0</v>
      </c>
      <c r="W327" s="243">
        <f>VLOOKUP(C327,'Talente &amp; Stuff'!FU:GV,21,FALSE)</f>
        <v>0</v>
      </c>
      <c r="X327" s="218">
        <f>VLOOKUP(C327,'Talente &amp; Stuff'!FU:GV,22,FALSE)</f>
        <v>0</v>
      </c>
      <c r="Y327" s="252">
        <f>VLOOKUP(C327,Ausgewählte_Zauber_Zaubertänzer,197,FALSE)</f>
        <v>0</v>
      </c>
      <c r="Z327" s="309">
        <f>VLOOKUP(C327,Ausgewählte_Zauber_Zaubertänzer,198,FALSE)</f>
        <v>0</v>
      </c>
      <c r="AA327" s="218">
        <f>VLOOKUP(C327,'Talente &amp; Stuff'!FU:GV,25,FALSE)</f>
        <v>0</v>
      </c>
      <c r="AB327" s="242">
        <f>VLOOKUP(C327,'Talente &amp; Stuff'!FU:GV,26,FALSE)</f>
        <v>0</v>
      </c>
      <c r="AC327" s="218">
        <f>VLOOKUP(C327,'Talente &amp; Stuff'!FU:GV,27,FALSE)</f>
        <v>0</v>
      </c>
      <c r="AD327" s="218">
        <f>VLOOKUP(C327,'Talente &amp; Stuff'!FU:GV,28,FALSE)</f>
        <v>0</v>
      </c>
      <c r="AE327" s="343"/>
    </row>
    <row r="328" spans="1:31" s="217" customFormat="1" hidden="1" outlineLevel="2">
      <c r="A328" s="185"/>
      <c r="B328" s="217">
        <v>6</v>
      </c>
      <c r="C328" s="303" t="str">
        <f>Attribute!C328</f>
        <v>---</v>
      </c>
      <c r="D328" s="304" t="str">
        <f>VLOOKUP(C328,'Talente &amp; Stuff'!FU:GV,2,FALSE)</f>
        <v>--/--/--</v>
      </c>
      <c r="E328" s="304" t="str">
        <f>VLOOKUP(C328,'Talente &amp; Stuff'!FU:GV,3,FALSE)</f>
        <v>-</v>
      </c>
      <c r="F328" s="317">
        <f>VLOOKUP(C328,'Talente &amp; Stuff'!FU:GV,4,FALSE)</f>
        <v>0</v>
      </c>
      <c r="G328" s="254">
        <f>VLOOKUP(C328,'Talente &amp; Stuff'!FU:GV,5,FALSE)</f>
        <v>0</v>
      </c>
      <c r="H328" s="254">
        <f>VLOOKUP(C328,'Talente &amp; Stuff'!FU:GV,6,FALSE)</f>
        <v>0</v>
      </c>
      <c r="I328" s="254">
        <f>VLOOKUP(C328,'Talente &amp; Stuff'!FU:GV,7,FALSE)</f>
        <v>0</v>
      </c>
      <c r="J328" s="254">
        <f>VLOOKUP(C328,'Talente &amp; Stuff'!FU:GV,8,FALSE)</f>
        <v>0</v>
      </c>
      <c r="K328" s="254">
        <f>VLOOKUP(C328,'Talente &amp; Stuff'!FU:GV,9,FALSE)</f>
        <v>0</v>
      </c>
      <c r="L328" s="254">
        <f>VLOOKUP(C328,'Talente &amp; Stuff'!FU:GV,10,FALSE)</f>
        <v>0</v>
      </c>
      <c r="M328" s="318">
        <f>VLOOKUP(C328,'Talente &amp; Stuff'!FU:GV,11,FALSE)</f>
        <v>0</v>
      </c>
      <c r="N328" s="222">
        <f>VLOOKUP(C328,'Talente &amp; Stuff'!FU:GV,12,FALSE)</f>
        <v>0</v>
      </c>
      <c r="O328" s="223">
        <f>VLOOKUP(C328,'Talente &amp; Stuff'!FU:GV,13,FALSE)</f>
        <v>0</v>
      </c>
      <c r="P328" s="224">
        <f>VLOOKUP(C328,'Talente &amp; Stuff'!FU:GV,14,FALSE)</f>
        <v>0</v>
      </c>
      <c r="Q328" s="237">
        <f>VLOOKUP(C328,'Talente &amp; Stuff'!FU:GV,15,FALSE)</f>
        <v>0</v>
      </c>
      <c r="R328" s="254">
        <f>VLOOKUP(C328,'Talente &amp; Stuff'!FU:GV,16,FALSE)</f>
        <v>0</v>
      </c>
      <c r="S328" s="224">
        <f>VLOOKUP(C328,'Talente &amp; Stuff'!FU:GV,17,FALSE)</f>
        <v>0</v>
      </c>
      <c r="T328" s="242">
        <f>VLOOKUP(C328,'Talente &amp; Stuff'!FU:GV,18,FALSE)</f>
        <v>0</v>
      </c>
      <c r="U328" s="222">
        <f>VLOOKUP(C328,'Talente &amp; Stuff'!FU:GV,19,FALSE)</f>
        <v>0</v>
      </c>
      <c r="V328" s="223">
        <f>VLOOKUP(C328,'Talente &amp; Stuff'!FU:GV,20,FALSE)</f>
        <v>0</v>
      </c>
      <c r="W328" s="243">
        <f>VLOOKUP(C328,'Talente &amp; Stuff'!FU:GV,21,FALSE)</f>
        <v>0</v>
      </c>
      <c r="X328" s="218">
        <f>VLOOKUP(C328,'Talente &amp; Stuff'!FU:GV,22,FALSE)</f>
        <v>0</v>
      </c>
      <c r="Y328" s="252">
        <f>VLOOKUP(C328,Ausgewählte_Zauber_Zaubertänzer,197,FALSE)</f>
        <v>0</v>
      </c>
      <c r="Z328" s="309">
        <f>VLOOKUP(C328,Ausgewählte_Zauber_Zaubertänzer,198,FALSE)</f>
        <v>0</v>
      </c>
      <c r="AA328" s="218">
        <f>VLOOKUP(C328,'Talente &amp; Stuff'!FU:GV,25,FALSE)</f>
        <v>0</v>
      </c>
      <c r="AB328" s="242">
        <f>VLOOKUP(C328,'Talente &amp; Stuff'!FU:GV,26,FALSE)</f>
        <v>0</v>
      </c>
      <c r="AC328" s="218">
        <f>VLOOKUP(C328,'Talente &amp; Stuff'!FU:GV,27,FALSE)</f>
        <v>0</v>
      </c>
      <c r="AD328" s="218">
        <f>VLOOKUP(C328,'Talente &amp; Stuff'!FU:GV,28,FALSE)</f>
        <v>0</v>
      </c>
      <c r="AE328" s="343"/>
    </row>
    <row r="329" spans="1:31" s="217" customFormat="1" hidden="1" outlineLevel="2">
      <c r="A329" s="185"/>
      <c r="B329" s="217">
        <v>7</v>
      </c>
      <c r="C329" s="303" t="str">
        <f>Attribute!C329</f>
        <v>---</v>
      </c>
      <c r="D329" s="304" t="str">
        <f>VLOOKUP(C329,'Talente &amp; Stuff'!FU:GV,2,FALSE)</f>
        <v>--/--/--</v>
      </c>
      <c r="E329" s="304" t="str">
        <f>VLOOKUP(C329,'Talente &amp; Stuff'!FU:GV,3,FALSE)</f>
        <v>-</v>
      </c>
      <c r="F329" s="317">
        <f>VLOOKUP(C329,'Talente &amp; Stuff'!FU:GV,4,FALSE)</f>
        <v>0</v>
      </c>
      <c r="G329" s="254">
        <f>VLOOKUP(C329,'Talente &amp; Stuff'!FU:GV,5,FALSE)</f>
        <v>0</v>
      </c>
      <c r="H329" s="254">
        <f>VLOOKUP(C329,'Talente &amp; Stuff'!FU:GV,6,FALSE)</f>
        <v>0</v>
      </c>
      <c r="I329" s="254">
        <f>VLOOKUP(C329,'Talente &amp; Stuff'!FU:GV,7,FALSE)</f>
        <v>0</v>
      </c>
      <c r="J329" s="254">
        <f>VLOOKUP(C329,'Talente &amp; Stuff'!FU:GV,8,FALSE)</f>
        <v>0</v>
      </c>
      <c r="K329" s="254">
        <f>VLOOKUP(C329,'Talente &amp; Stuff'!FU:GV,9,FALSE)</f>
        <v>0</v>
      </c>
      <c r="L329" s="254">
        <f>VLOOKUP(C329,'Talente &amp; Stuff'!FU:GV,10,FALSE)</f>
        <v>0</v>
      </c>
      <c r="M329" s="318">
        <f>VLOOKUP(C329,'Talente &amp; Stuff'!FU:GV,11,FALSE)</f>
        <v>0</v>
      </c>
      <c r="N329" s="222">
        <f>VLOOKUP(C329,'Talente &amp; Stuff'!FU:GV,12,FALSE)</f>
        <v>0</v>
      </c>
      <c r="O329" s="223">
        <f>VLOOKUP(C329,'Talente &amp; Stuff'!FU:GV,13,FALSE)</f>
        <v>0</v>
      </c>
      <c r="P329" s="224">
        <f>VLOOKUP(C329,'Talente &amp; Stuff'!FU:GV,14,FALSE)</f>
        <v>0</v>
      </c>
      <c r="Q329" s="237">
        <f>VLOOKUP(C329,'Talente &amp; Stuff'!FU:GV,15,FALSE)</f>
        <v>0</v>
      </c>
      <c r="R329" s="254">
        <f>VLOOKUP(C329,'Talente &amp; Stuff'!FU:GV,16,FALSE)</f>
        <v>0</v>
      </c>
      <c r="S329" s="224">
        <f>VLOOKUP(C329,'Talente &amp; Stuff'!FU:GV,17,FALSE)</f>
        <v>0</v>
      </c>
      <c r="T329" s="242">
        <f>VLOOKUP(C329,'Talente &amp; Stuff'!FU:GV,18,FALSE)</f>
        <v>0</v>
      </c>
      <c r="U329" s="222">
        <f>VLOOKUP(C329,'Talente &amp; Stuff'!FU:GV,19,FALSE)</f>
        <v>0</v>
      </c>
      <c r="V329" s="223">
        <f>VLOOKUP(C329,'Talente &amp; Stuff'!FU:GV,20,FALSE)</f>
        <v>0</v>
      </c>
      <c r="W329" s="243">
        <f>VLOOKUP(C329,'Talente &amp; Stuff'!FU:GV,21,FALSE)</f>
        <v>0</v>
      </c>
      <c r="X329" s="218">
        <f>VLOOKUP(C329,'Talente &amp; Stuff'!FU:GV,22,FALSE)</f>
        <v>0</v>
      </c>
      <c r="Y329" s="252">
        <f>VLOOKUP(C329,Ausgewählte_Zauber_Zaubertänzer,197,FALSE)</f>
        <v>0</v>
      </c>
      <c r="Z329" s="309">
        <f>VLOOKUP(C329,Ausgewählte_Zauber_Zaubertänzer,198,FALSE)</f>
        <v>0</v>
      </c>
      <c r="AA329" s="218">
        <f>VLOOKUP(C329,'Talente &amp; Stuff'!FU:GV,25,FALSE)</f>
        <v>0</v>
      </c>
      <c r="AB329" s="242">
        <f>VLOOKUP(C329,'Talente &amp; Stuff'!FU:GV,26,FALSE)</f>
        <v>0</v>
      </c>
      <c r="AC329" s="218">
        <f>VLOOKUP(C329,'Talente &amp; Stuff'!FU:GV,27,FALSE)</f>
        <v>0</v>
      </c>
      <c r="AD329" s="218">
        <f>VLOOKUP(C329,'Talente &amp; Stuff'!FU:GV,28,FALSE)</f>
        <v>0</v>
      </c>
      <c r="AE329" s="343"/>
    </row>
    <row r="330" spans="1:31" s="217" customFormat="1" hidden="1" outlineLevel="2">
      <c r="A330" s="185"/>
      <c r="B330" s="217">
        <v>8</v>
      </c>
      <c r="C330" s="303" t="str">
        <f>Attribute!C330</f>
        <v>---</v>
      </c>
      <c r="D330" s="304" t="str">
        <f>VLOOKUP(C330,'Talente &amp; Stuff'!FU:GV,2,FALSE)</f>
        <v>--/--/--</v>
      </c>
      <c r="E330" s="304" t="str">
        <f>VLOOKUP(C330,'Talente &amp; Stuff'!FU:GV,3,FALSE)</f>
        <v>-</v>
      </c>
      <c r="F330" s="317">
        <f>VLOOKUP(C330,'Talente &amp; Stuff'!FU:GV,4,FALSE)</f>
        <v>0</v>
      </c>
      <c r="G330" s="254">
        <f>VLOOKUP(C330,'Talente &amp; Stuff'!FU:GV,5,FALSE)</f>
        <v>0</v>
      </c>
      <c r="H330" s="254">
        <f>VLOOKUP(C330,'Talente &amp; Stuff'!FU:GV,6,FALSE)</f>
        <v>0</v>
      </c>
      <c r="I330" s="254">
        <f>VLOOKUP(C330,'Talente &amp; Stuff'!FU:GV,7,FALSE)</f>
        <v>0</v>
      </c>
      <c r="J330" s="254">
        <f>VLOOKUP(C330,'Talente &amp; Stuff'!FU:GV,8,FALSE)</f>
        <v>0</v>
      </c>
      <c r="K330" s="254">
        <f>VLOOKUP(C330,'Talente &amp; Stuff'!FU:GV,9,FALSE)</f>
        <v>0</v>
      </c>
      <c r="L330" s="254">
        <f>VLOOKUP(C330,'Talente &amp; Stuff'!FU:GV,10,FALSE)</f>
        <v>0</v>
      </c>
      <c r="M330" s="318">
        <f>VLOOKUP(C330,'Talente &amp; Stuff'!FU:GV,11,FALSE)</f>
        <v>0</v>
      </c>
      <c r="N330" s="222">
        <f>VLOOKUP(C330,'Talente &amp; Stuff'!FU:GV,12,FALSE)</f>
        <v>0</v>
      </c>
      <c r="O330" s="223">
        <f>VLOOKUP(C330,'Talente &amp; Stuff'!FU:GV,13,FALSE)</f>
        <v>0</v>
      </c>
      <c r="P330" s="224">
        <f>VLOOKUP(C330,'Talente &amp; Stuff'!FU:GV,14,FALSE)</f>
        <v>0</v>
      </c>
      <c r="Q330" s="237">
        <f>VLOOKUP(C330,'Talente &amp; Stuff'!FU:GV,15,FALSE)</f>
        <v>0</v>
      </c>
      <c r="R330" s="254">
        <f>VLOOKUP(C330,'Talente &amp; Stuff'!FU:GV,16,FALSE)</f>
        <v>0</v>
      </c>
      <c r="S330" s="224">
        <f>VLOOKUP(C330,'Talente &amp; Stuff'!FU:GV,17,FALSE)</f>
        <v>0</v>
      </c>
      <c r="T330" s="242">
        <f>VLOOKUP(C330,'Talente &amp; Stuff'!FU:GV,18,FALSE)</f>
        <v>0</v>
      </c>
      <c r="U330" s="222">
        <f>VLOOKUP(C330,'Talente &amp; Stuff'!FU:GV,19,FALSE)</f>
        <v>0</v>
      </c>
      <c r="V330" s="223">
        <f>VLOOKUP(C330,'Talente &amp; Stuff'!FU:GV,20,FALSE)</f>
        <v>0</v>
      </c>
      <c r="W330" s="243">
        <f>VLOOKUP(C330,'Talente &amp; Stuff'!FU:GV,21,FALSE)</f>
        <v>0</v>
      </c>
      <c r="X330" s="218">
        <f>VLOOKUP(C330,'Talente &amp; Stuff'!FU:GV,22,FALSE)</f>
        <v>0</v>
      </c>
      <c r="Y330" s="252">
        <f>VLOOKUP(C330,Ausgewählte_Zauber_Zaubertänzer,197,FALSE)</f>
        <v>0</v>
      </c>
      <c r="Z330" s="309">
        <f>VLOOKUP(C330,Ausgewählte_Zauber_Zaubertänzer,198,FALSE)</f>
        <v>0</v>
      </c>
      <c r="AA330" s="218">
        <f>VLOOKUP(C330,'Talente &amp; Stuff'!FU:GV,25,FALSE)</f>
        <v>0</v>
      </c>
      <c r="AB330" s="242">
        <f>VLOOKUP(C330,'Talente &amp; Stuff'!FU:GV,26,FALSE)</f>
        <v>0</v>
      </c>
      <c r="AC330" s="218">
        <f>VLOOKUP(C330,'Talente &amp; Stuff'!FU:GV,27,FALSE)</f>
        <v>0</v>
      </c>
      <c r="AD330" s="218">
        <f>VLOOKUP(C330,'Talente &amp; Stuff'!FU:GV,28,FALSE)</f>
        <v>0</v>
      </c>
      <c r="AE330" s="343"/>
    </row>
    <row r="331" spans="1:31" s="217" customFormat="1" hidden="1" outlineLevel="2">
      <c r="A331" s="185"/>
      <c r="B331" s="217">
        <v>9</v>
      </c>
      <c r="C331" s="303" t="str">
        <f>Attribute!C331</f>
        <v>---</v>
      </c>
      <c r="D331" s="304" t="str">
        <f>VLOOKUP(C331,'Talente &amp; Stuff'!FU:GV,2,FALSE)</f>
        <v>--/--/--</v>
      </c>
      <c r="E331" s="304" t="str">
        <f>VLOOKUP(C331,'Talente &amp; Stuff'!FU:GV,3,FALSE)</f>
        <v>-</v>
      </c>
      <c r="F331" s="317">
        <f>VLOOKUP(C331,'Talente &amp; Stuff'!FU:GV,4,FALSE)</f>
        <v>0</v>
      </c>
      <c r="G331" s="254">
        <f>VLOOKUP(C331,'Talente &amp; Stuff'!FU:GV,5,FALSE)</f>
        <v>0</v>
      </c>
      <c r="H331" s="254">
        <f>VLOOKUP(C331,'Talente &amp; Stuff'!FU:GV,6,FALSE)</f>
        <v>0</v>
      </c>
      <c r="I331" s="254">
        <f>VLOOKUP(C331,'Talente &amp; Stuff'!FU:GV,7,FALSE)</f>
        <v>0</v>
      </c>
      <c r="J331" s="254">
        <f>VLOOKUP(C331,'Talente &amp; Stuff'!FU:GV,8,FALSE)</f>
        <v>0</v>
      </c>
      <c r="K331" s="254">
        <f>VLOOKUP(C331,'Talente &amp; Stuff'!FU:GV,9,FALSE)</f>
        <v>0</v>
      </c>
      <c r="L331" s="254">
        <f>VLOOKUP(C331,'Talente &amp; Stuff'!FU:GV,10,FALSE)</f>
        <v>0</v>
      </c>
      <c r="M331" s="318">
        <f>VLOOKUP(C331,'Talente &amp; Stuff'!FU:GV,11,FALSE)</f>
        <v>0</v>
      </c>
      <c r="N331" s="222">
        <f>VLOOKUP(C331,'Talente &amp; Stuff'!FU:GV,12,FALSE)</f>
        <v>0</v>
      </c>
      <c r="O331" s="223">
        <f>VLOOKUP(C331,'Talente &amp; Stuff'!FU:GV,13,FALSE)</f>
        <v>0</v>
      </c>
      <c r="P331" s="224">
        <f>VLOOKUP(C331,'Talente &amp; Stuff'!FU:GV,14,FALSE)</f>
        <v>0</v>
      </c>
      <c r="Q331" s="237">
        <f>VLOOKUP(C331,'Talente &amp; Stuff'!FU:GV,15,FALSE)</f>
        <v>0</v>
      </c>
      <c r="R331" s="254">
        <f>VLOOKUP(C331,'Talente &amp; Stuff'!FU:GV,16,FALSE)</f>
        <v>0</v>
      </c>
      <c r="S331" s="224">
        <f>VLOOKUP(C331,'Talente &amp; Stuff'!FU:GV,17,FALSE)</f>
        <v>0</v>
      </c>
      <c r="T331" s="242">
        <f>VLOOKUP(C331,'Talente &amp; Stuff'!FU:GV,18,FALSE)</f>
        <v>0</v>
      </c>
      <c r="U331" s="222">
        <f>VLOOKUP(C331,'Talente &amp; Stuff'!FU:GV,19,FALSE)</f>
        <v>0</v>
      </c>
      <c r="V331" s="223">
        <f>VLOOKUP(C331,'Talente &amp; Stuff'!FU:GV,20,FALSE)</f>
        <v>0</v>
      </c>
      <c r="W331" s="243">
        <f>VLOOKUP(C331,'Talente &amp; Stuff'!FU:GV,21,FALSE)</f>
        <v>0</v>
      </c>
      <c r="X331" s="218">
        <f>VLOOKUP(C331,'Talente &amp; Stuff'!FU:GV,22,FALSE)</f>
        <v>0</v>
      </c>
      <c r="Y331" s="252">
        <f>VLOOKUP(C331,Ausgewählte_Zauber_Zaubertänzer,197,FALSE)</f>
        <v>0</v>
      </c>
      <c r="Z331" s="309">
        <f>VLOOKUP(C331,Ausgewählte_Zauber_Zaubertänzer,198,FALSE)</f>
        <v>0</v>
      </c>
      <c r="AA331" s="218">
        <f>VLOOKUP(C331,'Talente &amp; Stuff'!FU:GV,25,FALSE)</f>
        <v>0</v>
      </c>
      <c r="AB331" s="242">
        <f>VLOOKUP(C331,'Talente &amp; Stuff'!FU:GV,26,FALSE)</f>
        <v>0</v>
      </c>
      <c r="AC331" s="218">
        <f>VLOOKUP(C331,'Talente &amp; Stuff'!FU:GV,27,FALSE)</f>
        <v>0</v>
      </c>
      <c r="AD331" s="218">
        <f>VLOOKUP(C331,'Talente &amp; Stuff'!FU:GV,28,FALSE)</f>
        <v>0</v>
      </c>
      <c r="AE331" s="343"/>
    </row>
    <row r="332" spans="1:31" s="217" customFormat="1" hidden="1" outlineLevel="2">
      <c r="A332" s="185"/>
      <c r="B332" s="217">
        <v>10</v>
      </c>
      <c r="C332" s="303" t="str">
        <f>Attribute!C332</f>
        <v>---</v>
      </c>
      <c r="D332" s="304" t="str">
        <f>VLOOKUP(C332,'Talente &amp; Stuff'!FU:GV,2,FALSE)</f>
        <v>--/--/--</v>
      </c>
      <c r="E332" s="304" t="str">
        <f>VLOOKUP(C332,'Talente &amp; Stuff'!FU:GV,3,FALSE)</f>
        <v>-</v>
      </c>
      <c r="F332" s="317">
        <f>VLOOKUP(C332,'Talente &amp; Stuff'!FU:GV,4,FALSE)</f>
        <v>0</v>
      </c>
      <c r="G332" s="254">
        <f>VLOOKUP(C332,'Talente &amp; Stuff'!FU:GV,5,FALSE)</f>
        <v>0</v>
      </c>
      <c r="H332" s="254">
        <f>VLOOKUP(C332,'Talente &amp; Stuff'!FU:GV,6,FALSE)</f>
        <v>0</v>
      </c>
      <c r="I332" s="254">
        <f>VLOOKUP(C332,'Talente &amp; Stuff'!FU:GV,7,FALSE)</f>
        <v>0</v>
      </c>
      <c r="J332" s="254">
        <f>VLOOKUP(C332,'Talente &amp; Stuff'!FU:GV,8,FALSE)</f>
        <v>0</v>
      </c>
      <c r="K332" s="254">
        <f>VLOOKUP(C332,'Talente &amp; Stuff'!FU:GV,9,FALSE)</f>
        <v>0</v>
      </c>
      <c r="L332" s="254">
        <f>VLOOKUP(C332,'Talente &amp; Stuff'!FU:GV,10,FALSE)</f>
        <v>0</v>
      </c>
      <c r="M332" s="318">
        <f>VLOOKUP(C332,'Talente &amp; Stuff'!FU:GV,11,FALSE)</f>
        <v>0</v>
      </c>
      <c r="N332" s="222">
        <f>VLOOKUP(C332,'Talente &amp; Stuff'!FU:GV,12,FALSE)</f>
        <v>0</v>
      </c>
      <c r="O332" s="223">
        <f>VLOOKUP(C332,'Talente &amp; Stuff'!FU:GV,13,FALSE)</f>
        <v>0</v>
      </c>
      <c r="P332" s="224">
        <f>VLOOKUP(C332,'Talente &amp; Stuff'!FU:GV,14,FALSE)</f>
        <v>0</v>
      </c>
      <c r="Q332" s="237">
        <f>VLOOKUP(C332,'Talente &amp; Stuff'!FU:GV,15,FALSE)</f>
        <v>0</v>
      </c>
      <c r="R332" s="254">
        <f>VLOOKUP(C332,'Talente &amp; Stuff'!FU:GV,16,FALSE)</f>
        <v>0</v>
      </c>
      <c r="S332" s="224">
        <f>VLOOKUP(C332,'Talente &amp; Stuff'!FU:GV,17,FALSE)</f>
        <v>0</v>
      </c>
      <c r="T332" s="242">
        <f>VLOOKUP(C332,'Talente &amp; Stuff'!FU:GV,18,FALSE)</f>
        <v>0</v>
      </c>
      <c r="U332" s="222">
        <f>VLOOKUP(C332,'Talente &amp; Stuff'!FU:GV,19,FALSE)</f>
        <v>0</v>
      </c>
      <c r="V332" s="223">
        <f>VLOOKUP(C332,'Talente &amp; Stuff'!FU:GV,20,FALSE)</f>
        <v>0</v>
      </c>
      <c r="W332" s="243">
        <f>VLOOKUP(C332,'Talente &amp; Stuff'!FU:GV,21,FALSE)</f>
        <v>0</v>
      </c>
      <c r="X332" s="218">
        <f>VLOOKUP(C332,'Talente &amp; Stuff'!FU:GV,22,FALSE)</f>
        <v>0</v>
      </c>
      <c r="Y332" s="252">
        <f>VLOOKUP(C332,Ausgewählte_Zauber_Zaubertänzer,197,FALSE)</f>
        <v>0</v>
      </c>
      <c r="Z332" s="309">
        <f>VLOOKUP(C332,Ausgewählte_Zauber_Zaubertänzer,198,FALSE)</f>
        <v>0</v>
      </c>
      <c r="AA332" s="218">
        <f>VLOOKUP(C332,'Talente &amp; Stuff'!FU:GV,25,FALSE)</f>
        <v>0</v>
      </c>
      <c r="AB332" s="242">
        <f>VLOOKUP(C332,'Talente &amp; Stuff'!FU:GV,26,FALSE)</f>
        <v>0</v>
      </c>
      <c r="AC332" s="218">
        <f>VLOOKUP(C332,'Talente &amp; Stuff'!FU:GV,27,FALSE)</f>
        <v>0</v>
      </c>
      <c r="AD332" s="218">
        <f>VLOOKUP(C332,'Talente &amp; Stuff'!FU:GV,28,FALSE)</f>
        <v>0</v>
      </c>
      <c r="AE332" s="343"/>
    </row>
    <row r="333" spans="1:31" s="217" customFormat="1" hidden="1" outlineLevel="2">
      <c r="A333" s="185"/>
      <c r="B333" s="217">
        <v>11</v>
      </c>
      <c r="C333" s="303" t="str">
        <f>Attribute!C333</f>
        <v>---</v>
      </c>
      <c r="D333" s="304" t="str">
        <f>VLOOKUP(C333,'Talente &amp; Stuff'!FU:GV,2,FALSE)</f>
        <v>--/--/--</v>
      </c>
      <c r="E333" s="304" t="str">
        <f>VLOOKUP(C333,'Talente &amp; Stuff'!FU:GV,3,FALSE)</f>
        <v>-</v>
      </c>
      <c r="F333" s="317">
        <f>VLOOKUP(C333,'Talente &amp; Stuff'!FU:GV,4,FALSE)</f>
        <v>0</v>
      </c>
      <c r="G333" s="254">
        <f>VLOOKUP(C333,'Talente &amp; Stuff'!FU:GV,5,FALSE)</f>
        <v>0</v>
      </c>
      <c r="H333" s="254">
        <f>VLOOKUP(C333,'Talente &amp; Stuff'!FU:GV,6,FALSE)</f>
        <v>0</v>
      </c>
      <c r="I333" s="254">
        <f>VLOOKUP(C333,'Talente &amp; Stuff'!FU:GV,7,FALSE)</f>
        <v>0</v>
      </c>
      <c r="J333" s="254">
        <f>VLOOKUP(C333,'Talente &amp; Stuff'!FU:GV,8,FALSE)</f>
        <v>0</v>
      </c>
      <c r="K333" s="254">
        <f>VLOOKUP(C333,'Talente &amp; Stuff'!FU:GV,9,FALSE)</f>
        <v>0</v>
      </c>
      <c r="L333" s="254">
        <f>VLOOKUP(C333,'Talente &amp; Stuff'!FU:GV,10,FALSE)</f>
        <v>0</v>
      </c>
      <c r="M333" s="318">
        <f>VLOOKUP(C333,'Talente &amp; Stuff'!FU:GV,11,FALSE)</f>
        <v>0</v>
      </c>
      <c r="N333" s="222">
        <f>VLOOKUP(C333,'Talente &amp; Stuff'!FU:GV,12,FALSE)</f>
        <v>0</v>
      </c>
      <c r="O333" s="223">
        <f>VLOOKUP(C333,'Talente &amp; Stuff'!FU:GV,13,FALSE)</f>
        <v>0</v>
      </c>
      <c r="P333" s="224">
        <f>VLOOKUP(C333,'Talente &amp; Stuff'!FU:GV,14,FALSE)</f>
        <v>0</v>
      </c>
      <c r="Q333" s="237">
        <f>VLOOKUP(C333,'Talente &amp; Stuff'!FU:GV,15,FALSE)</f>
        <v>0</v>
      </c>
      <c r="R333" s="254">
        <f>VLOOKUP(C333,'Talente &amp; Stuff'!FU:GV,16,FALSE)</f>
        <v>0</v>
      </c>
      <c r="S333" s="224">
        <f>VLOOKUP(C333,'Talente &amp; Stuff'!FU:GV,17,FALSE)</f>
        <v>0</v>
      </c>
      <c r="T333" s="242">
        <f>VLOOKUP(C333,'Talente &amp; Stuff'!FU:GV,18,FALSE)</f>
        <v>0</v>
      </c>
      <c r="U333" s="222">
        <f>VLOOKUP(C333,'Talente &amp; Stuff'!FU:GV,19,FALSE)</f>
        <v>0</v>
      </c>
      <c r="V333" s="223">
        <f>VLOOKUP(C333,'Talente &amp; Stuff'!FU:GV,20,FALSE)</f>
        <v>0</v>
      </c>
      <c r="W333" s="243">
        <f>VLOOKUP(C333,'Talente &amp; Stuff'!FU:GV,21,FALSE)</f>
        <v>0</v>
      </c>
      <c r="X333" s="218">
        <f>VLOOKUP(C333,'Talente &amp; Stuff'!FU:GV,22,FALSE)</f>
        <v>0</v>
      </c>
      <c r="Y333" s="252">
        <f>VLOOKUP(C333,Ausgewählte_Zauber_Zaubertänzer,197,FALSE)</f>
        <v>0</v>
      </c>
      <c r="Z333" s="309">
        <f>VLOOKUP(C333,Ausgewählte_Zauber_Zaubertänzer,198,FALSE)</f>
        <v>0</v>
      </c>
      <c r="AA333" s="218">
        <f>VLOOKUP(C333,'Talente &amp; Stuff'!FU:GV,25,FALSE)</f>
        <v>0</v>
      </c>
      <c r="AB333" s="242">
        <f>VLOOKUP(C333,'Talente &amp; Stuff'!FU:GV,26,FALSE)</f>
        <v>0</v>
      </c>
      <c r="AC333" s="218">
        <f>VLOOKUP(C333,'Talente &amp; Stuff'!FU:GV,27,FALSE)</f>
        <v>0</v>
      </c>
      <c r="AD333" s="218">
        <f>VLOOKUP(C333,'Talente &amp; Stuff'!FU:GV,28,FALSE)</f>
        <v>0</v>
      </c>
      <c r="AE333" s="343"/>
    </row>
    <row r="334" spans="1:31" s="217" customFormat="1" hidden="1" outlineLevel="2">
      <c r="A334" s="185"/>
      <c r="B334" s="217">
        <v>12</v>
      </c>
      <c r="C334" s="303" t="str">
        <f>Attribute!C334</f>
        <v>---</v>
      </c>
      <c r="D334" s="304" t="str">
        <f>VLOOKUP(C334,'Talente &amp; Stuff'!FU:GV,2,FALSE)</f>
        <v>--/--/--</v>
      </c>
      <c r="E334" s="304" t="str">
        <f>VLOOKUP(C334,'Talente &amp; Stuff'!FU:GV,3,FALSE)</f>
        <v>-</v>
      </c>
      <c r="F334" s="317">
        <f>VLOOKUP(C334,'Talente &amp; Stuff'!FU:GV,4,FALSE)</f>
        <v>0</v>
      </c>
      <c r="G334" s="254">
        <f>VLOOKUP(C334,'Talente &amp; Stuff'!FU:GV,5,FALSE)</f>
        <v>0</v>
      </c>
      <c r="H334" s="254">
        <f>VLOOKUP(C334,'Talente &amp; Stuff'!FU:GV,6,FALSE)</f>
        <v>0</v>
      </c>
      <c r="I334" s="254">
        <f>VLOOKUP(C334,'Talente &amp; Stuff'!FU:GV,7,FALSE)</f>
        <v>0</v>
      </c>
      <c r="J334" s="254">
        <f>VLOOKUP(C334,'Talente &amp; Stuff'!FU:GV,8,FALSE)</f>
        <v>0</v>
      </c>
      <c r="K334" s="254">
        <f>VLOOKUP(C334,'Talente &amp; Stuff'!FU:GV,9,FALSE)</f>
        <v>0</v>
      </c>
      <c r="L334" s="254">
        <f>VLOOKUP(C334,'Talente &amp; Stuff'!FU:GV,10,FALSE)</f>
        <v>0</v>
      </c>
      <c r="M334" s="318">
        <f>VLOOKUP(C334,'Talente &amp; Stuff'!FU:GV,11,FALSE)</f>
        <v>0</v>
      </c>
      <c r="N334" s="222">
        <f>VLOOKUP(C334,'Talente &amp; Stuff'!FU:GV,12,FALSE)</f>
        <v>0</v>
      </c>
      <c r="O334" s="223">
        <f>VLOOKUP(C334,'Talente &amp; Stuff'!FU:GV,13,FALSE)</f>
        <v>0</v>
      </c>
      <c r="P334" s="224">
        <f>VLOOKUP(C334,'Talente &amp; Stuff'!FU:GV,14,FALSE)</f>
        <v>0</v>
      </c>
      <c r="Q334" s="237">
        <f>VLOOKUP(C334,'Talente &amp; Stuff'!FU:GV,15,FALSE)</f>
        <v>0</v>
      </c>
      <c r="R334" s="254">
        <f>VLOOKUP(C334,'Talente &amp; Stuff'!FU:GV,16,FALSE)</f>
        <v>0</v>
      </c>
      <c r="S334" s="224">
        <f>VLOOKUP(C334,'Talente &amp; Stuff'!FU:GV,17,FALSE)</f>
        <v>0</v>
      </c>
      <c r="T334" s="242">
        <f>VLOOKUP(C334,'Talente &amp; Stuff'!FU:GV,18,FALSE)</f>
        <v>0</v>
      </c>
      <c r="U334" s="222">
        <f>VLOOKUP(C334,'Talente &amp; Stuff'!FU:GV,19,FALSE)</f>
        <v>0</v>
      </c>
      <c r="V334" s="223">
        <f>VLOOKUP(C334,'Talente &amp; Stuff'!FU:GV,20,FALSE)</f>
        <v>0</v>
      </c>
      <c r="W334" s="243">
        <f>VLOOKUP(C334,'Talente &amp; Stuff'!FU:GV,21,FALSE)</f>
        <v>0</v>
      </c>
      <c r="X334" s="218">
        <f>VLOOKUP(C334,'Talente &amp; Stuff'!FU:GV,22,FALSE)</f>
        <v>0</v>
      </c>
      <c r="Y334" s="252">
        <f>VLOOKUP(C334,Ausgewählte_Zauber_Zaubertänzer,197,FALSE)</f>
        <v>0</v>
      </c>
      <c r="Z334" s="309">
        <f>VLOOKUP(C334,Ausgewählte_Zauber_Zaubertänzer,198,FALSE)</f>
        <v>0</v>
      </c>
      <c r="AA334" s="218">
        <f>VLOOKUP(C334,'Talente &amp; Stuff'!FU:GV,25,FALSE)</f>
        <v>0</v>
      </c>
      <c r="AB334" s="242">
        <f>VLOOKUP(C334,'Talente &amp; Stuff'!FU:GV,26,FALSE)</f>
        <v>0</v>
      </c>
      <c r="AC334" s="218">
        <f>VLOOKUP(C334,'Talente &amp; Stuff'!FU:GV,27,FALSE)</f>
        <v>0</v>
      </c>
      <c r="AD334" s="218">
        <f>VLOOKUP(C334,'Talente &amp; Stuff'!FU:GV,28,FALSE)</f>
        <v>0</v>
      </c>
      <c r="AE334" s="343"/>
    </row>
    <row r="335" spans="1:31" s="217" customFormat="1" hidden="1" outlineLevel="2">
      <c r="A335" s="185"/>
      <c r="B335" s="217">
        <v>13</v>
      </c>
      <c r="C335" s="303" t="str">
        <f>Attribute!C335</f>
        <v>---</v>
      </c>
      <c r="D335" s="304" t="str">
        <f>VLOOKUP(C335,'Talente &amp; Stuff'!FU:GV,2,FALSE)</f>
        <v>--/--/--</v>
      </c>
      <c r="E335" s="304" t="str">
        <f>VLOOKUP(C335,'Talente &amp; Stuff'!FU:GV,3,FALSE)</f>
        <v>-</v>
      </c>
      <c r="F335" s="317">
        <f>VLOOKUP(C335,'Talente &amp; Stuff'!FU:GV,4,FALSE)</f>
        <v>0</v>
      </c>
      <c r="G335" s="254">
        <f>VLOOKUP(C335,'Talente &amp; Stuff'!FU:GV,5,FALSE)</f>
        <v>0</v>
      </c>
      <c r="H335" s="254">
        <f>VLOOKUP(C335,'Talente &amp; Stuff'!FU:GV,6,FALSE)</f>
        <v>0</v>
      </c>
      <c r="I335" s="254">
        <f>VLOOKUP(C335,'Talente &amp; Stuff'!FU:GV,7,FALSE)</f>
        <v>0</v>
      </c>
      <c r="J335" s="254">
        <f>VLOOKUP(C335,'Talente &amp; Stuff'!FU:GV,8,FALSE)</f>
        <v>0</v>
      </c>
      <c r="K335" s="254">
        <f>VLOOKUP(C335,'Talente &amp; Stuff'!FU:GV,9,FALSE)</f>
        <v>0</v>
      </c>
      <c r="L335" s="254">
        <f>VLOOKUP(C335,'Talente &amp; Stuff'!FU:GV,10,FALSE)</f>
        <v>0</v>
      </c>
      <c r="M335" s="318">
        <f>VLOOKUP(C335,'Talente &amp; Stuff'!FU:GV,11,FALSE)</f>
        <v>0</v>
      </c>
      <c r="N335" s="222">
        <f>VLOOKUP(C335,'Talente &amp; Stuff'!FU:GV,12,FALSE)</f>
        <v>0</v>
      </c>
      <c r="O335" s="223">
        <f>VLOOKUP(C335,'Talente &amp; Stuff'!FU:GV,13,FALSE)</f>
        <v>0</v>
      </c>
      <c r="P335" s="224">
        <f>VLOOKUP(C335,'Talente &amp; Stuff'!FU:GV,14,FALSE)</f>
        <v>0</v>
      </c>
      <c r="Q335" s="237">
        <f>VLOOKUP(C335,'Talente &amp; Stuff'!FU:GV,15,FALSE)</f>
        <v>0</v>
      </c>
      <c r="R335" s="254">
        <f>VLOOKUP(C335,'Talente &amp; Stuff'!FU:GV,16,FALSE)</f>
        <v>0</v>
      </c>
      <c r="S335" s="224">
        <f>VLOOKUP(C335,'Talente &amp; Stuff'!FU:GV,17,FALSE)</f>
        <v>0</v>
      </c>
      <c r="T335" s="242">
        <f>VLOOKUP(C335,'Talente &amp; Stuff'!FU:GV,18,FALSE)</f>
        <v>0</v>
      </c>
      <c r="U335" s="222">
        <f>VLOOKUP(C335,'Talente &amp; Stuff'!FU:GV,19,FALSE)</f>
        <v>0</v>
      </c>
      <c r="V335" s="223">
        <f>VLOOKUP(C335,'Talente &amp; Stuff'!FU:GV,20,FALSE)</f>
        <v>0</v>
      </c>
      <c r="W335" s="243">
        <f>VLOOKUP(C335,'Talente &amp; Stuff'!FU:GV,21,FALSE)</f>
        <v>0</v>
      </c>
      <c r="X335" s="218">
        <f>VLOOKUP(C335,'Talente &amp; Stuff'!FU:GV,22,FALSE)</f>
        <v>0</v>
      </c>
      <c r="Y335" s="252">
        <f>VLOOKUP(C335,Ausgewählte_Zauber_Zaubertänzer,197,FALSE)</f>
        <v>0</v>
      </c>
      <c r="Z335" s="309">
        <f>VLOOKUP(C335,Ausgewählte_Zauber_Zaubertänzer,198,FALSE)</f>
        <v>0</v>
      </c>
      <c r="AA335" s="218">
        <f>VLOOKUP(C335,'Talente &amp; Stuff'!FU:GV,25,FALSE)</f>
        <v>0</v>
      </c>
      <c r="AB335" s="242">
        <f>VLOOKUP(C335,'Talente &amp; Stuff'!FU:GV,26,FALSE)</f>
        <v>0</v>
      </c>
      <c r="AC335" s="218">
        <f>VLOOKUP(C335,'Talente &amp; Stuff'!FU:GV,27,FALSE)</f>
        <v>0</v>
      </c>
      <c r="AD335" s="218">
        <f>VLOOKUP(C335,'Talente &amp; Stuff'!FU:GV,28,FALSE)</f>
        <v>0</v>
      </c>
      <c r="AE335" s="343"/>
    </row>
    <row r="336" spans="1:31" s="217" customFormat="1" hidden="1" outlineLevel="2">
      <c r="A336" s="185"/>
      <c r="B336" s="217">
        <v>14</v>
      </c>
      <c r="C336" s="303" t="str">
        <f>Attribute!C336</f>
        <v>---</v>
      </c>
      <c r="D336" s="304" t="str">
        <f>VLOOKUP(C336,'Talente &amp; Stuff'!FU:GV,2,FALSE)</f>
        <v>--/--/--</v>
      </c>
      <c r="E336" s="304" t="str">
        <f>VLOOKUP(C336,'Talente &amp; Stuff'!FU:GV,3,FALSE)</f>
        <v>-</v>
      </c>
      <c r="F336" s="317">
        <f>VLOOKUP(C336,'Talente &amp; Stuff'!FU:GV,4,FALSE)</f>
        <v>0</v>
      </c>
      <c r="G336" s="254">
        <f>VLOOKUP(C336,'Talente &amp; Stuff'!FU:GV,5,FALSE)</f>
        <v>0</v>
      </c>
      <c r="H336" s="254">
        <f>VLOOKUP(C336,'Talente &amp; Stuff'!FU:GV,6,FALSE)</f>
        <v>0</v>
      </c>
      <c r="I336" s="254">
        <f>VLOOKUP(C336,'Talente &amp; Stuff'!FU:GV,7,FALSE)</f>
        <v>0</v>
      </c>
      <c r="J336" s="254">
        <f>VLOOKUP(C336,'Talente &amp; Stuff'!FU:GV,8,FALSE)</f>
        <v>0</v>
      </c>
      <c r="K336" s="254">
        <f>VLOOKUP(C336,'Talente &amp; Stuff'!FU:GV,9,FALSE)</f>
        <v>0</v>
      </c>
      <c r="L336" s="254">
        <f>VLOOKUP(C336,'Talente &amp; Stuff'!FU:GV,10,FALSE)</f>
        <v>0</v>
      </c>
      <c r="M336" s="318">
        <f>VLOOKUP(C336,'Talente &amp; Stuff'!FU:GV,11,FALSE)</f>
        <v>0</v>
      </c>
      <c r="N336" s="222">
        <f>VLOOKUP(C336,'Talente &amp; Stuff'!FU:GV,12,FALSE)</f>
        <v>0</v>
      </c>
      <c r="O336" s="223">
        <f>VLOOKUP(C336,'Talente &amp; Stuff'!FU:GV,13,FALSE)</f>
        <v>0</v>
      </c>
      <c r="P336" s="224">
        <f>VLOOKUP(C336,'Talente &amp; Stuff'!FU:GV,14,FALSE)</f>
        <v>0</v>
      </c>
      <c r="Q336" s="237">
        <f>VLOOKUP(C336,'Talente &amp; Stuff'!FU:GV,15,FALSE)</f>
        <v>0</v>
      </c>
      <c r="R336" s="254">
        <f>VLOOKUP(C336,'Talente &amp; Stuff'!FU:GV,16,FALSE)</f>
        <v>0</v>
      </c>
      <c r="S336" s="224">
        <f>VLOOKUP(C336,'Talente &amp; Stuff'!FU:GV,17,FALSE)</f>
        <v>0</v>
      </c>
      <c r="T336" s="242">
        <f>VLOOKUP(C336,'Talente &amp; Stuff'!FU:GV,18,FALSE)</f>
        <v>0</v>
      </c>
      <c r="U336" s="222">
        <f>VLOOKUP(C336,'Talente &amp; Stuff'!FU:GV,19,FALSE)</f>
        <v>0</v>
      </c>
      <c r="V336" s="223">
        <f>VLOOKUP(C336,'Talente &amp; Stuff'!FU:GV,20,FALSE)</f>
        <v>0</v>
      </c>
      <c r="W336" s="243">
        <f>VLOOKUP(C336,'Talente &amp; Stuff'!FU:GV,21,FALSE)</f>
        <v>0</v>
      </c>
      <c r="X336" s="218">
        <f>VLOOKUP(C336,'Talente &amp; Stuff'!FU:GV,22,FALSE)</f>
        <v>0</v>
      </c>
      <c r="Y336" s="252">
        <f>VLOOKUP(C336,Ausgewählte_Zauber_Zaubertänzer,197,FALSE)</f>
        <v>0</v>
      </c>
      <c r="Z336" s="309">
        <f>VLOOKUP(C336,Ausgewählte_Zauber_Zaubertänzer,198,FALSE)</f>
        <v>0</v>
      </c>
      <c r="AA336" s="218">
        <f>VLOOKUP(C336,'Talente &amp; Stuff'!FU:GV,25,FALSE)</f>
        <v>0</v>
      </c>
      <c r="AB336" s="242">
        <f>VLOOKUP(C336,'Talente &amp; Stuff'!FU:GV,26,FALSE)</f>
        <v>0</v>
      </c>
      <c r="AC336" s="218">
        <f>VLOOKUP(C336,'Talente &amp; Stuff'!FU:GV,27,FALSE)</f>
        <v>0</v>
      </c>
      <c r="AD336" s="218">
        <f>VLOOKUP(C336,'Talente &amp; Stuff'!FU:GV,28,FALSE)</f>
        <v>0</v>
      </c>
      <c r="AE336" s="343"/>
    </row>
    <row r="337" spans="1:31" s="217" customFormat="1" hidden="1" outlineLevel="2">
      <c r="A337" s="185"/>
      <c r="B337" s="217">
        <v>15</v>
      </c>
      <c r="C337" s="303" t="str">
        <f>Attribute!C337</f>
        <v>---</v>
      </c>
      <c r="D337" s="304" t="str">
        <f>VLOOKUP(C337,'Talente &amp; Stuff'!FU:GV,2,FALSE)</f>
        <v>--/--/--</v>
      </c>
      <c r="E337" s="304" t="str">
        <f>VLOOKUP(C337,'Talente &amp; Stuff'!FU:GV,3,FALSE)</f>
        <v>-</v>
      </c>
      <c r="F337" s="317">
        <f>VLOOKUP(C337,'Talente &amp; Stuff'!FU:GV,4,FALSE)</f>
        <v>0</v>
      </c>
      <c r="G337" s="254">
        <f>VLOOKUP(C337,'Talente &amp; Stuff'!FU:GV,5,FALSE)</f>
        <v>0</v>
      </c>
      <c r="H337" s="254">
        <f>VLOOKUP(C337,'Talente &amp; Stuff'!FU:GV,6,FALSE)</f>
        <v>0</v>
      </c>
      <c r="I337" s="254">
        <f>VLOOKUP(C337,'Talente &amp; Stuff'!FU:GV,7,FALSE)</f>
        <v>0</v>
      </c>
      <c r="J337" s="254">
        <f>VLOOKUP(C337,'Talente &amp; Stuff'!FU:GV,8,FALSE)</f>
        <v>0</v>
      </c>
      <c r="K337" s="254">
        <f>VLOOKUP(C337,'Talente &amp; Stuff'!FU:GV,9,FALSE)</f>
        <v>0</v>
      </c>
      <c r="L337" s="254">
        <f>VLOOKUP(C337,'Talente &amp; Stuff'!FU:GV,10,FALSE)</f>
        <v>0</v>
      </c>
      <c r="M337" s="318">
        <f>VLOOKUP(C337,'Talente &amp; Stuff'!FU:GV,11,FALSE)</f>
        <v>0</v>
      </c>
      <c r="N337" s="222">
        <f>VLOOKUP(C337,'Talente &amp; Stuff'!FU:GV,12,FALSE)</f>
        <v>0</v>
      </c>
      <c r="O337" s="223">
        <f>VLOOKUP(C337,'Talente &amp; Stuff'!FU:GV,13,FALSE)</f>
        <v>0</v>
      </c>
      <c r="P337" s="224">
        <f>VLOOKUP(C337,'Talente &amp; Stuff'!FU:GV,14,FALSE)</f>
        <v>0</v>
      </c>
      <c r="Q337" s="237">
        <f>VLOOKUP(C337,'Talente &amp; Stuff'!FU:GV,15,FALSE)</f>
        <v>0</v>
      </c>
      <c r="R337" s="254">
        <f>VLOOKUP(C337,'Talente &amp; Stuff'!FU:GV,16,FALSE)</f>
        <v>0</v>
      </c>
      <c r="S337" s="224">
        <f>VLOOKUP(C337,'Talente &amp; Stuff'!FU:GV,17,FALSE)</f>
        <v>0</v>
      </c>
      <c r="T337" s="242">
        <f>VLOOKUP(C337,'Talente &amp; Stuff'!FU:GV,18,FALSE)</f>
        <v>0</v>
      </c>
      <c r="U337" s="222">
        <f>VLOOKUP(C337,'Talente &amp; Stuff'!FU:GV,19,FALSE)</f>
        <v>0</v>
      </c>
      <c r="V337" s="223">
        <f>VLOOKUP(C337,'Talente &amp; Stuff'!FU:GV,20,FALSE)</f>
        <v>0</v>
      </c>
      <c r="W337" s="243">
        <f>VLOOKUP(C337,'Talente &amp; Stuff'!FU:GV,21,FALSE)</f>
        <v>0</v>
      </c>
      <c r="X337" s="218">
        <f>VLOOKUP(C337,'Talente &amp; Stuff'!FU:GV,22,FALSE)</f>
        <v>0</v>
      </c>
      <c r="Y337" s="252">
        <f>VLOOKUP(C337,Ausgewählte_Zauber_Zaubertänzer,197,FALSE)</f>
        <v>0</v>
      </c>
      <c r="Z337" s="309">
        <f>VLOOKUP(C337,Ausgewählte_Zauber_Zaubertänzer,198,FALSE)</f>
        <v>0</v>
      </c>
      <c r="AA337" s="218">
        <f>VLOOKUP(C337,'Talente &amp; Stuff'!FU:GV,25,FALSE)</f>
        <v>0</v>
      </c>
      <c r="AB337" s="242">
        <f>VLOOKUP(C337,'Talente &amp; Stuff'!FU:GV,26,FALSE)</f>
        <v>0</v>
      </c>
      <c r="AC337" s="218">
        <f>VLOOKUP(C337,'Talente &amp; Stuff'!FU:GV,27,FALSE)</f>
        <v>0</v>
      </c>
      <c r="AD337" s="218">
        <f>VLOOKUP(C337,'Talente &amp; Stuff'!FU:GV,28,FALSE)</f>
        <v>0</v>
      </c>
      <c r="AE337" s="343"/>
    </row>
    <row r="338" spans="1:31" s="217" customFormat="1" hidden="1" outlineLevel="2">
      <c r="A338" s="185"/>
      <c r="B338" s="217">
        <v>16</v>
      </c>
      <c r="C338" s="303" t="str">
        <f>Attribute!C338</f>
        <v>---</v>
      </c>
      <c r="D338" s="304" t="str">
        <f>VLOOKUP(C338,'Talente &amp; Stuff'!FU:GV,2,FALSE)</f>
        <v>--/--/--</v>
      </c>
      <c r="E338" s="304" t="str">
        <f>VLOOKUP(C338,'Talente &amp; Stuff'!FU:GV,3,FALSE)</f>
        <v>-</v>
      </c>
      <c r="F338" s="317">
        <f>VLOOKUP(C338,'Talente &amp; Stuff'!FU:GV,4,FALSE)</f>
        <v>0</v>
      </c>
      <c r="G338" s="254">
        <f>VLOOKUP(C338,'Talente &amp; Stuff'!FU:GV,5,FALSE)</f>
        <v>0</v>
      </c>
      <c r="H338" s="254">
        <f>VLOOKUP(C338,'Talente &amp; Stuff'!FU:GV,6,FALSE)</f>
        <v>0</v>
      </c>
      <c r="I338" s="254">
        <f>VLOOKUP(C338,'Talente &amp; Stuff'!FU:GV,7,FALSE)</f>
        <v>0</v>
      </c>
      <c r="J338" s="254">
        <f>VLOOKUP(C338,'Talente &amp; Stuff'!FU:GV,8,FALSE)</f>
        <v>0</v>
      </c>
      <c r="K338" s="254">
        <f>VLOOKUP(C338,'Talente &amp; Stuff'!FU:GV,9,FALSE)</f>
        <v>0</v>
      </c>
      <c r="L338" s="254">
        <f>VLOOKUP(C338,'Talente &amp; Stuff'!FU:GV,10,FALSE)</f>
        <v>0</v>
      </c>
      <c r="M338" s="318">
        <f>VLOOKUP(C338,'Talente &amp; Stuff'!FU:GV,11,FALSE)</f>
        <v>0</v>
      </c>
      <c r="N338" s="222">
        <f>VLOOKUP(C338,'Talente &amp; Stuff'!FU:GV,12,FALSE)</f>
        <v>0</v>
      </c>
      <c r="O338" s="223">
        <f>VLOOKUP(C338,'Talente &amp; Stuff'!FU:GV,13,FALSE)</f>
        <v>0</v>
      </c>
      <c r="P338" s="224">
        <f>VLOOKUP(C338,'Talente &amp; Stuff'!FU:GV,14,FALSE)</f>
        <v>0</v>
      </c>
      <c r="Q338" s="237">
        <f>VLOOKUP(C338,'Talente &amp; Stuff'!FU:GV,15,FALSE)</f>
        <v>0</v>
      </c>
      <c r="R338" s="254">
        <f>VLOOKUP(C338,'Talente &amp; Stuff'!FU:GV,16,FALSE)</f>
        <v>0</v>
      </c>
      <c r="S338" s="224">
        <f>VLOOKUP(C338,'Talente &amp; Stuff'!FU:GV,17,FALSE)</f>
        <v>0</v>
      </c>
      <c r="T338" s="242">
        <f>VLOOKUP(C338,'Talente &amp; Stuff'!FU:GV,18,FALSE)</f>
        <v>0</v>
      </c>
      <c r="U338" s="222">
        <f>VLOOKUP(C338,'Talente &amp; Stuff'!FU:GV,19,FALSE)</f>
        <v>0</v>
      </c>
      <c r="V338" s="223">
        <f>VLOOKUP(C338,'Talente &amp; Stuff'!FU:GV,20,FALSE)</f>
        <v>0</v>
      </c>
      <c r="W338" s="243">
        <f>VLOOKUP(C338,'Talente &amp; Stuff'!FU:GV,21,FALSE)</f>
        <v>0</v>
      </c>
      <c r="X338" s="218">
        <f>VLOOKUP(C338,'Talente &amp; Stuff'!FU:GV,22,FALSE)</f>
        <v>0</v>
      </c>
      <c r="Y338" s="252">
        <f>VLOOKUP(C338,Ausgewählte_Zauber_Zaubertänzer,197,FALSE)</f>
        <v>0</v>
      </c>
      <c r="Z338" s="309">
        <f>VLOOKUP(C338,Ausgewählte_Zauber_Zaubertänzer,198,FALSE)</f>
        <v>0</v>
      </c>
      <c r="AA338" s="218">
        <f>VLOOKUP(C338,'Talente &amp; Stuff'!FU:GV,25,FALSE)</f>
        <v>0</v>
      </c>
      <c r="AB338" s="242">
        <f>VLOOKUP(C338,'Talente &amp; Stuff'!FU:GV,26,FALSE)</f>
        <v>0</v>
      </c>
      <c r="AC338" s="218">
        <f>VLOOKUP(C338,'Talente &amp; Stuff'!FU:GV,27,FALSE)</f>
        <v>0</v>
      </c>
      <c r="AD338" s="218">
        <f>VLOOKUP(C338,'Talente &amp; Stuff'!FU:GV,28,FALSE)</f>
        <v>0</v>
      </c>
      <c r="AE338" s="343"/>
    </row>
    <row r="339" spans="1:31" s="217" customFormat="1" hidden="1" outlineLevel="2">
      <c r="A339" s="185"/>
      <c r="B339" s="217">
        <v>17</v>
      </c>
      <c r="C339" s="303" t="str">
        <f>Attribute!C339</f>
        <v>---</v>
      </c>
      <c r="D339" s="304" t="str">
        <f>VLOOKUP(C339,'Talente &amp; Stuff'!FU:GV,2,FALSE)</f>
        <v>--/--/--</v>
      </c>
      <c r="E339" s="304" t="str">
        <f>VLOOKUP(C339,'Talente &amp; Stuff'!FU:GV,3,FALSE)</f>
        <v>-</v>
      </c>
      <c r="F339" s="317">
        <f>VLOOKUP(C339,'Talente &amp; Stuff'!FU:GV,4,FALSE)</f>
        <v>0</v>
      </c>
      <c r="G339" s="254">
        <f>VLOOKUP(C339,'Talente &amp; Stuff'!FU:GV,5,FALSE)</f>
        <v>0</v>
      </c>
      <c r="H339" s="254">
        <f>VLOOKUP(C339,'Talente &amp; Stuff'!FU:GV,6,FALSE)</f>
        <v>0</v>
      </c>
      <c r="I339" s="254">
        <f>VLOOKUP(C339,'Talente &amp; Stuff'!FU:GV,7,FALSE)</f>
        <v>0</v>
      </c>
      <c r="J339" s="254">
        <f>VLOOKUP(C339,'Talente &amp; Stuff'!FU:GV,8,FALSE)</f>
        <v>0</v>
      </c>
      <c r="K339" s="254">
        <f>VLOOKUP(C339,'Talente &amp; Stuff'!FU:GV,9,FALSE)</f>
        <v>0</v>
      </c>
      <c r="L339" s="254">
        <f>VLOOKUP(C339,'Talente &amp; Stuff'!FU:GV,10,FALSE)</f>
        <v>0</v>
      </c>
      <c r="M339" s="318">
        <f>VLOOKUP(C339,'Talente &amp; Stuff'!FU:GV,11,FALSE)</f>
        <v>0</v>
      </c>
      <c r="N339" s="222">
        <f>VLOOKUP(C339,'Talente &amp; Stuff'!FU:GV,12,FALSE)</f>
        <v>0</v>
      </c>
      <c r="O339" s="223">
        <f>VLOOKUP(C339,'Talente &amp; Stuff'!FU:GV,13,FALSE)</f>
        <v>0</v>
      </c>
      <c r="P339" s="224">
        <f>VLOOKUP(C339,'Talente &amp; Stuff'!FU:GV,14,FALSE)</f>
        <v>0</v>
      </c>
      <c r="Q339" s="237">
        <f>VLOOKUP(C339,'Talente &amp; Stuff'!FU:GV,15,FALSE)</f>
        <v>0</v>
      </c>
      <c r="R339" s="254">
        <f>VLOOKUP(C339,'Talente &amp; Stuff'!FU:GV,16,FALSE)</f>
        <v>0</v>
      </c>
      <c r="S339" s="224">
        <f>VLOOKUP(C339,'Talente &amp; Stuff'!FU:GV,17,FALSE)</f>
        <v>0</v>
      </c>
      <c r="T339" s="242">
        <f>VLOOKUP(C339,'Talente &amp; Stuff'!FU:GV,18,FALSE)</f>
        <v>0</v>
      </c>
      <c r="U339" s="222">
        <f>VLOOKUP(C339,'Talente &amp; Stuff'!FU:GV,19,FALSE)</f>
        <v>0</v>
      </c>
      <c r="V339" s="223">
        <f>VLOOKUP(C339,'Talente &amp; Stuff'!FU:GV,20,FALSE)</f>
        <v>0</v>
      </c>
      <c r="W339" s="243">
        <f>VLOOKUP(C339,'Talente &amp; Stuff'!FU:GV,21,FALSE)</f>
        <v>0</v>
      </c>
      <c r="X339" s="218">
        <f>VLOOKUP(C339,'Talente &amp; Stuff'!FU:GV,22,FALSE)</f>
        <v>0</v>
      </c>
      <c r="Y339" s="252">
        <f>VLOOKUP(C339,Ausgewählte_Zauber_Zaubertänzer,197,FALSE)</f>
        <v>0</v>
      </c>
      <c r="Z339" s="309">
        <f>VLOOKUP(C339,Ausgewählte_Zauber_Zaubertänzer,198,FALSE)</f>
        <v>0</v>
      </c>
      <c r="AA339" s="218">
        <f>VLOOKUP(C339,'Talente &amp; Stuff'!FU:GV,25,FALSE)</f>
        <v>0</v>
      </c>
      <c r="AB339" s="242">
        <f>VLOOKUP(C339,'Talente &amp; Stuff'!FU:GV,26,FALSE)</f>
        <v>0</v>
      </c>
      <c r="AC339" s="218">
        <f>VLOOKUP(C339,'Talente &amp; Stuff'!FU:GV,27,FALSE)</f>
        <v>0</v>
      </c>
      <c r="AD339" s="218">
        <f>VLOOKUP(C339,'Talente &amp; Stuff'!FU:GV,28,FALSE)</f>
        <v>0</v>
      </c>
      <c r="AE339" s="343"/>
    </row>
    <row r="340" spans="1:31" s="217" customFormat="1" hidden="1" outlineLevel="2">
      <c r="A340" s="185"/>
      <c r="B340" s="217">
        <v>18</v>
      </c>
      <c r="C340" s="303" t="str">
        <f>Attribute!C340</f>
        <v>---</v>
      </c>
      <c r="D340" s="304" t="str">
        <f>VLOOKUP(C340,'Talente &amp; Stuff'!FU:GV,2,FALSE)</f>
        <v>--/--/--</v>
      </c>
      <c r="E340" s="304" t="str">
        <f>VLOOKUP(C340,'Talente &amp; Stuff'!FU:GV,3,FALSE)</f>
        <v>-</v>
      </c>
      <c r="F340" s="317">
        <f>VLOOKUP(C340,'Talente &amp; Stuff'!FU:GV,4,FALSE)</f>
        <v>0</v>
      </c>
      <c r="G340" s="254">
        <f>VLOOKUP(C340,'Talente &amp; Stuff'!FU:GV,5,FALSE)</f>
        <v>0</v>
      </c>
      <c r="H340" s="254">
        <f>VLOOKUP(C340,'Talente &amp; Stuff'!FU:GV,6,FALSE)</f>
        <v>0</v>
      </c>
      <c r="I340" s="254">
        <f>VLOOKUP(C340,'Talente &amp; Stuff'!FU:GV,7,FALSE)</f>
        <v>0</v>
      </c>
      <c r="J340" s="254">
        <f>VLOOKUP(C340,'Talente &amp; Stuff'!FU:GV,8,FALSE)</f>
        <v>0</v>
      </c>
      <c r="K340" s="254">
        <f>VLOOKUP(C340,'Talente &amp; Stuff'!FU:GV,9,FALSE)</f>
        <v>0</v>
      </c>
      <c r="L340" s="254">
        <f>VLOOKUP(C340,'Talente &amp; Stuff'!FU:GV,10,FALSE)</f>
        <v>0</v>
      </c>
      <c r="M340" s="318">
        <f>VLOOKUP(C340,'Talente &amp; Stuff'!FU:GV,11,FALSE)</f>
        <v>0</v>
      </c>
      <c r="N340" s="222">
        <f>VLOOKUP(C340,'Talente &amp; Stuff'!FU:GV,12,FALSE)</f>
        <v>0</v>
      </c>
      <c r="O340" s="223">
        <f>VLOOKUP(C340,'Talente &amp; Stuff'!FU:GV,13,FALSE)</f>
        <v>0</v>
      </c>
      <c r="P340" s="224">
        <f>VLOOKUP(C340,'Talente &amp; Stuff'!FU:GV,14,FALSE)</f>
        <v>0</v>
      </c>
      <c r="Q340" s="237">
        <f>VLOOKUP(C340,'Talente &amp; Stuff'!FU:GV,15,FALSE)</f>
        <v>0</v>
      </c>
      <c r="R340" s="254">
        <f>VLOOKUP(C340,'Talente &amp; Stuff'!FU:GV,16,FALSE)</f>
        <v>0</v>
      </c>
      <c r="S340" s="224">
        <f>VLOOKUP(C340,'Talente &amp; Stuff'!FU:GV,17,FALSE)</f>
        <v>0</v>
      </c>
      <c r="T340" s="242">
        <f>VLOOKUP(C340,'Talente &amp; Stuff'!FU:GV,18,FALSE)</f>
        <v>0</v>
      </c>
      <c r="U340" s="222">
        <f>VLOOKUP(C340,'Talente &amp; Stuff'!FU:GV,19,FALSE)</f>
        <v>0</v>
      </c>
      <c r="V340" s="223">
        <f>VLOOKUP(C340,'Talente &amp; Stuff'!FU:GV,20,FALSE)</f>
        <v>0</v>
      </c>
      <c r="W340" s="243">
        <f>VLOOKUP(C340,'Talente &amp; Stuff'!FU:GV,21,FALSE)</f>
        <v>0</v>
      </c>
      <c r="X340" s="218">
        <f>VLOOKUP(C340,'Talente &amp; Stuff'!FU:GV,22,FALSE)</f>
        <v>0</v>
      </c>
      <c r="Y340" s="252">
        <f>VLOOKUP(C340,Ausgewählte_Zauber_Zaubertänzer,197,FALSE)</f>
        <v>0</v>
      </c>
      <c r="Z340" s="309">
        <f>VLOOKUP(C340,Ausgewählte_Zauber_Zaubertänzer,198,FALSE)</f>
        <v>0</v>
      </c>
      <c r="AA340" s="218">
        <f>VLOOKUP(C340,'Talente &amp; Stuff'!FU:GV,25,FALSE)</f>
        <v>0</v>
      </c>
      <c r="AB340" s="242">
        <f>VLOOKUP(C340,'Talente &amp; Stuff'!FU:GV,26,FALSE)</f>
        <v>0</v>
      </c>
      <c r="AC340" s="218">
        <f>VLOOKUP(C340,'Talente &amp; Stuff'!FU:GV,27,FALSE)</f>
        <v>0</v>
      </c>
      <c r="AD340" s="218">
        <f>VLOOKUP(C340,'Talente &amp; Stuff'!FU:GV,28,FALSE)</f>
        <v>0</v>
      </c>
      <c r="AE340" s="343"/>
    </row>
    <row r="341" spans="1:31" s="217" customFormat="1" hidden="1" outlineLevel="2">
      <c r="A341" s="185"/>
      <c r="B341" s="217">
        <v>19</v>
      </c>
      <c r="C341" s="303" t="str">
        <f>Attribute!C341</f>
        <v>---</v>
      </c>
      <c r="D341" s="304" t="str">
        <f>VLOOKUP(C341,'Talente &amp; Stuff'!FU:GV,2,FALSE)</f>
        <v>--/--/--</v>
      </c>
      <c r="E341" s="304" t="str">
        <f>VLOOKUP(C341,'Talente &amp; Stuff'!FU:GV,3,FALSE)</f>
        <v>-</v>
      </c>
      <c r="F341" s="317">
        <f>VLOOKUP(C341,'Talente &amp; Stuff'!FU:GV,4,FALSE)</f>
        <v>0</v>
      </c>
      <c r="G341" s="254">
        <f>VLOOKUP(C341,'Talente &amp; Stuff'!FU:GV,5,FALSE)</f>
        <v>0</v>
      </c>
      <c r="H341" s="254">
        <f>VLOOKUP(C341,'Talente &amp; Stuff'!FU:GV,6,FALSE)</f>
        <v>0</v>
      </c>
      <c r="I341" s="254">
        <f>VLOOKUP(C341,'Talente &amp; Stuff'!FU:GV,7,FALSE)</f>
        <v>0</v>
      </c>
      <c r="J341" s="254">
        <f>VLOOKUP(C341,'Talente &amp; Stuff'!FU:GV,8,FALSE)</f>
        <v>0</v>
      </c>
      <c r="K341" s="254">
        <f>VLOOKUP(C341,'Talente &amp; Stuff'!FU:GV,9,FALSE)</f>
        <v>0</v>
      </c>
      <c r="L341" s="254">
        <f>VLOOKUP(C341,'Talente &amp; Stuff'!FU:GV,10,FALSE)</f>
        <v>0</v>
      </c>
      <c r="M341" s="318">
        <f>VLOOKUP(C341,'Talente &amp; Stuff'!FU:GV,11,FALSE)</f>
        <v>0</v>
      </c>
      <c r="N341" s="222">
        <f>VLOOKUP(C341,'Talente &amp; Stuff'!FU:GV,12,FALSE)</f>
        <v>0</v>
      </c>
      <c r="O341" s="223">
        <f>VLOOKUP(C341,'Talente &amp; Stuff'!FU:GV,13,FALSE)</f>
        <v>0</v>
      </c>
      <c r="P341" s="224">
        <f>VLOOKUP(C341,'Talente &amp; Stuff'!FU:GV,14,FALSE)</f>
        <v>0</v>
      </c>
      <c r="Q341" s="237">
        <f>VLOOKUP(C341,'Talente &amp; Stuff'!FU:GV,15,FALSE)</f>
        <v>0</v>
      </c>
      <c r="R341" s="254">
        <f>VLOOKUP(C341,'Talente &amp; Stuff'!FU:GV,16,FALSE)</f>
        <v>0</v>
      </c>
      <c r="S341" s="224">
        <f>VLOOKUP(C341,'Talente &amp; Stuff'!FU:GV,17,FALSE)</f>
        <v>0</v>
      </c>
      <c r="T341" s="242">
        <f>VLOOKUP(C341,'Talente &amp; Stuff'!FU:GV,18,FALSE)</f>
        <v>0</v>
      </c>
      <c r="U341" s="222">
        <f>VLOOKUP(C341,'Talente &amp; Stuff'!FU:GV,19,FALSE)</f>
        <v>0</v>
      </c>
      <c r="V341" s="223">
        <f>VLOOKUP(C341,'Talente &amp; Stuff'!FU:GV,20,FALSE)</f>
        <v>0</v>
      </c>
      <c r="W341" s="243">
        <f>VLOOKUP(C341,'Talente &amp; Stuff'!FU:GV,21,FALSE)</f>
        <v>0</v>
      </c>
      <c r="X341" s="218">
        <f>VLOOKUP(C341,'Talente &amp; Stuff'!FU:GV,22,FALSE)</f>
        <v>0</v>
      </c>
      <c r="Y341" s="252">
        <f>VLOOKUP(C341,Ausgewählte_Zauber_Zaubertänzer,197,FALSE)</f>
        <v>0</v>
      </c>
      <c r="Z341" s="309">
        <f>VLOOKUP(C341,Ausgewählte_Zauber_Zaubertänzer,198,FALSE)</f>
        <v>0</v>
      </c>
      <c r="AA341" s="218">
        <f>VLOOKUP(C341,'Talente &amp; Stuff'!FU:GV,25,FALSE)</f>
        <v>0</v>
      </c>
      <c r="AB341" s="242">
        <f>VLOOKUP(C341,'Talente &amp; Stuff'!FU:GV,26,FALSE)</f>
        <v>0</v>
      </c>
      <c r="AC341" s="218">
        <f>VLOOKUP(C341,'Talente &amp; Stuff'!FU:GV,27,FALSE)</f>
        <v>0</v>
      </c>
      <c r="AD341" s="218">
        <f>VLOOKUP(C341,'Talente &amp; Stuff'!FU:GV,28,FALSE)</f>
        <v>0</v>
      </c>
      <c r="AE341" s="343"/>
    </row>
    <row r="342" spans="1:31" s="217" customFormat="1" hidden="1" outlineLevel="2">
      <c r="A342" s="185"/>
      <c r="B342" s="217">
        <v>20</v>
      </c>
      <c r="C342" s="303" t="str">
        <f>Attribute!C342</f>
        <v>---</v>
      </c>
      <c r="D342" s="304" t="str">
        <f>VLOOKUP(C342,'Talente &amp; Stuff'!FU:GV,2,FALSE)</f>
        <v>--/--/--</v>
      </c>
      <c r="E342" s="304" t="str">
        <f>VLOOKUP(C342,'Talente &amp; Stuff'!FU:GV,3,FALSE)</f>
        <v>-</v>
      </c>
      <c r="F342" s="317">
        <f>VLOOKUP(C342,'Talente &amp; Stuff'!FU:GV,4,FALSE)</f>
        <v>0</v>
      </c>
      <c r="G342" s="254">
        <f>VLOOKUP(C342,'Talente &amp; Stuff'!FU:GV,5,FALSE)</f>
        <v>0</v>
      </c>
      <c r="H342" s="254">
        <f>VLOOKUP(C342,'Talente &amp; Stuff'!FU:GV,6,FALSE)</f>
        <v>0</v>
      </c>
      <c r="I342" s="254">
        <f>VLOOKUP(C342,'Talente &amp; Stuff'!FU:GV,7,FALSE)</f>
        <v>0</v>
      </c>
      <c r="J342" s="254">
        <f>VLOOKUP(C342,'Talente &amp; Stuff'!FU:GV,8,FALSE)</f>
        <v>0</v>
      </c>
      <c r="K342" s="254">
        <f>VLOOKUP(C342,'Talente &amp; Stuff'!FU:GV,9,FALSE)</f>
        <v>0</v>
      </c>
      <c r="L342" s="254">
        <f>VLOOKUP(C342,'Talente &amp; Stuff'!FU:GV,10,FALSE)</f>
        <v>0</v>
      </c>
      <c r="M342" s="318">
        <f>VLOOKUP(C342,'Talente &amp; Stuff'!FU:GV,11,FALSE)</f>
        <v>0</v>
      </c>
      <c r="N342" s="222">
        <f>VLOOKUP(C342,'Talente &amp; Stuff'!FU:GV,12,FALSE)</f>
        <v>0</v>
      </c>
      <c r="O342" s="223">
        <f>VLOOKUP(C342,'Talente &amp; Stuff'!FU:GV,13,FALSE)</f>
        <v>0</v>
      </c>
      <c r="P342" s="224">
        <f>VLOOKUP(C342,'Talente &amp; Stuff'!FU:GV,14,FALSE)</f>
        <v>0</v>
      </c>
      <c r="Q342" s="237">
        <f>VLOOKUP(C342,'Talente &amp; Stuff'!FU:GV,15,FALSE)</f>
        <v>0</v>
      </c>
      <c r="R342" s="254">
        <f>VLOOKUP(C342,'Talente &amp; Stuff'!FU:GV,16,FALSE)</f>
        <v>0</v>
      </c>
      <c r="S342" s="224">
        <f>VLOOKUP(C342,'Talente &amp; Stuff'!FU:GV,17,FALSE)</f>
        <v>0</v>
      </c>
      <c r="T342" s="242">
        <f>VLOOKUP(C342,'Talente &amp; Stuff'!FU:GV,18,FALSE)</f>
        <v>0</v>
      </c>
      <c r="U342" s="222">
        <f>VLOOKUP(C342,'Talente &amp; Stuff'!FU:GV,19,FALSE)</f>
        <v>0</v>
      </c>
      <c r="V342" s="223">
        <f>VLOOKUP(C342,'Talente &amp; Stuff'!FU:GV,20,FALSE)</f>
        <v>0</v>
      </c>
      <c r="W342" s="243">
        <f>VLOOKUP(C342,'Talente &amp; Stuff'!FU:GV,21,FALSE)</f>
        <v>0</v>
      </c>
      <c r="X342" s="218">
        <f>VLOOKUP(C342,'Talente &amp; Stuff'!FU:GV,22,FALSE)</f>
        <v>0</v>
      </c>
      <c r="Y342" s="252">
        <f>VLOOKUP(C342,Ausgewählte_Zauber_Zaubertänzer,197,FALSE)</f>
        <v>0</v>
      </c>
      <c r="Z342" s="309">
        <f>VLOOKUP(C342,Ausgewählte_Zauber_Zaubertänzer,198,FALSE)</f>
        <v>0</v>
      </c>
      <c r="AA342" s="218">
        <f>VLOOKUP(C342,'Talente &amp; Stuff'!FU:GV,25,FALSE)</f>
        <v>0</v>
      </c>
      <c r="AB342" s="242">
        <f>VLOOKUP(C342,'Talente &amp; Stuff'!FU:GV,26,FALSE)</f>
        <v>0</v>
      </c>
      <c r="AC342" s="218">
        <f>VLOOKUP(C342,'Talente &amp; Stuff'!FU:GV,27,FALSE)</f>
        <v>0</v>
      </c>
      <c r="AD342" s="218">
        <f>VLOOKUP(C342,'Talente &amp; Stuff'!FU:GV,28,FALSE)</f>
        <v>0</v>
      </c>
      <c r="AE342" s="343"/>
    </row>
    <row r="343" spans="1:31" s="217" customFormat="1" hidden="1" outlineLevel="2">
      <c r="A343" s="185"/>
      <c r="B343" s="217">
        <v>21</v>
      </c>
      <c r="C343" s="303" t="str">
        <f>Attribute!C343</f>
        <v>---</v>
      </c>
      <c r="D343" s="304" t="str">
        <f>VLOOKUP(C343,'Talente &amp; Stuff'!FU:GV,2,FALSE)</f>
        <v>--/--/--</v>
      </c>
      <c r="E343" s="304" t="str">
        <f>VLOOKUP(C343,'Talente &amp; Stuff'!FU:GV,3,FALSE)</f>
        <v>-</v>
      </c>
      <c r="F343" s="317">
        <f>VLOOKUP(C343,'Talente &amp; Stuff'!FU:GV,4,FALSE)</f>
        <v>0</v>
      </c>
      <c r="G343" s="254">
        <f>VLOOKUP(C343,'Talente &amp; Stuff'!FU:GV,5,FALSE)</f>
        <v>0</v>
      </c>
      <c r="H343" s="254">
        <f>VLOOKUP(C343,'Talente &amp; Stuff'!FU:GV,6,FALSE)</f>
        <v>0</v>
      </c>
      <c r="I343" s="254">
        <f>VLOOKUP(C343,'Talente &amp; Stuff'!FU:GV,7,FALSE)</f>
        <v>0</v>
      </c>
      <c r="J343" s="254">
        <f>VLOOKUP(C343,'Talente &amp; Stuff'!FU:GV,8,FALSE)</f>
        <v>0</v>
      </c>
      <c r="K343" s="254">
        <f>VLOOKUP(C343,'Talente &amp; Stuff'!FU:GV,9,FALSE)</f>
        <v>0</v>
      </c>
      <c r="L343" s="254">
        <f>VLOOKUP(C343,'Talente &amp; Stuff'!FU:GV,10,FALSE)</f>
        <v>0</v>
      </c>
      <c r="M343" s="318">
        <f>VLOOKUP(C343,'Talente &amp; Stuff'!FU:GV,11,FALSE)</f>
        <v>0</v>
      </c>
      <c r="N343" s="222">
        <f>VLOOKUP(C343,'Talente &amp; Stuff'!FU:GV,12,FALSE)</f>
        <v>0</v>
      </c>
      <c r="O343" s="223">
        <f>VLOOKUP(C343,'Talente &amp; Stuff'!FU:GV,13,FALSE)</f>
        <v>0</v>
      </c>
      <c r="P343" s="224">
        <f>VLOOKUP(C343,'Talente &amp; Stuff'!FU:GV,14,FALSE)</f>
        <v>0</v>
      </c>
      <c r="Q343" s="237">
        <f>VLOOKUP(C343,'Talente &amp; Stuff'!FU:GV,15,FALSE)</f>
        <v>0</v>
      </c>
      <c r="R343" s="254">
        <f>VLOOKUP(C343,'Talente &amp; Stuff'!FU:GV,16,FALSE)</f>
        <v>0</v>
      </c>
      <c r="S343" s="224">
        <f>VLOOKUP(C343,'Talente &amp; Stuff'!FU:GV,17,FALSE)</f>
        <v>0</v>
      </c>
      <c r="T343" s="242">
        <f>VLOOKUP(C343,'Talente &amp; Stuff'!FU:GV,18,FALSE)</f>
        <v>0</v>
      </c>
      <c r="U343" s="222">
        <f>VLOOKUP(C343,'Talente &amp; Stuff'!FU:GV,19,FALSE)</f>
        <v>0</v>
      </c>
      <c r="V343" s="223">
        <f>VLOOKUP(C343,'Talente &amp; Stuff'!FU:GV,20,FALSE)</f>
        <v>0</v>
      </c>
      <c r="W343" s="243">
        <f>VLOOKUP(C343,'Talente &amp; Stuff'!FU:GV,21,FALSE)</f>
        <v>0</v>
      </c>
      <c r="X343" s="218">
        <f>VLOOKUP(C343,'Talente &amp; Stuff'!FU:GV,22,FALSE)</f>
        <v>0</v>
      </c>
      <c r="Y343" s="252">
        <f>VLOOKUP(C343,Ausgewählte_Zauber_Zaubertänzer,197,FALSE)</f>
        <v>0</v>
      </c>
      <c r="Z343" s="309">
        <f>VLOOKUP(C343,Ausgewählte_Zauber_Zaubertänzer,198,FALSE)</f>
        <v>0</v>
      </c>
      <c r="AA343" s="218">
        <f>VLOOKUP(C343,'Talente &amp; Stuff'!FU:GV,25,FALSE)</f>
        <v>0</v>
      </c>
      <c r="AB343" s="242">
        <f>VLOOKUP(C343,'Talente &amp; Stuff'!FU:GV,26,FALSE)</f>
        <v>0</v>
      </c>
      <c r="AC343" s="218">
        <f>VLOOKUP(C343,'Talente &amp; Stuff'!FU:GV,27,FALSE)</f>
        <v>0</v>
      </c>
      <c r="AD343" s="218">
        <f>VLOOKUP(C343,'Talente &amp; Stuff'!FU:GV,28,FALSE)</f>
        <v>0</v>
      </c>
      <c r="AE343" s="343"/>
    </row>
    <row r="344" spans="1:31" s="217" customFormat="1" hidden="1" outlineLevel="2">
      <c r="A344" s="185"/>
      <c r="B344" s="217">
        <v>22</v>
      </c>
      <c r="C344" s="303" t="str">
        <f>Attribute!C344</f>
        <v>---</v>
      </c>
      <c r="D344" s="304" t="str">
        <f>VLOOKUP(C344,'Talente &amp; Stuff'!FU:GV,2,FALSE)</f>
        <v>--/--/--</v>
      </c>
      <c r="E344" s="304" t="str">
        <f>VLOOKUP(C344,'Talente &amp; Stuff'!FU:GV,3,FALSE)</f>
        <v>-</v>
      </c>
      <c r="F344" s="317">
        <f>VLOOKUP(C344,'Talente &amp; Stuff'!FU:GV,4,FALSE)</f>
        <v>0</v>
      </c>
      <c r="G344" s="254">
        <f>VLOOKUP(C344,'Talente &amp; Stuff'!FU:GV,5,FALSE)</f>
        <v>0</v>
      </c>
      <c r="H344" s="254">
        <f>VLOOKUP(C344,'Talente &amp; Stuff'!FU:GV,6,FALSE)</f>
        <v>0</v>
      </c>
      <c r="I344" s="254">
        <f>VLOOKUP(C344,'Talente &amp; Stuff'!FU:GV,7,FALSE)</f>
        <v>0</v>
      </c>
      <c r="J344" s="254">
        <f>VLOOKUP(C344,'Talente &amp; Stuff'!FU:GV,8,FALSE)</f>
        <v>0</v>
      </c>
      <c r="K344" s="254">
        <f>VLOOKUP(C344,'Talente &amp; Stuff'!FU:GV,9,FALSE)</f>
        <v>0</v>
      </c>
      <c r="L344" s="254">
        <f>VLOOKUP(C344,'Talente &amp; Stuff'!FU:GV,10,FALSE)</f>
        <v>0</v>
      </c>
      <c r="M344" s="318">
        <f>VLOOKUP(C344,'Talente &amp; Stuff'!FU:GV,11,FALSE)</f>
        <v>0</v>
      </c>
      <c r="N344" s="222">
        <f>VLOOKUP(C344,'Talente &amp; Stuff'!FU:GV,12,FALSE)</f>
        <v>0</v>
      </c>
      <c r="O344" s="223">
        <f>VLOOKUP(C344,'Talente &amp; Stuff'!FU:GV,13,FALSE)</f>
        <v>0</v>
      </c>
      <c r="P344" s="224">
        <f>VLOOKUP(C344,'Talente &amp; Stuff'!FU:GV,14,FALSE)</f>
        <v>0</v>
      </c>
      <c r="Q344" s="237">
        <f>VLOOKUP(C344,'Talente &amp; Stuff'!FU:GV,15,FALSE)</f>
        <v>0</v>
      </c>
      <c r="R344" s="254">
        <f>VLOOKUP(C344,'Talente &amp; Stuff'!FU:GV,16,FALSE)</f>
        <v>0</v>
      </c>
      <c r="S344" s="224">
        <f>VLOOKUP(C344,'Talente &amp; Stuff'!FU:GV,17,FALSE)</f>
        <v>0</v>
      </c>
      <c r="T344" s="242">
        <f>VLOOKUP(C344,'Talente &amp; Stuff'!FU:GV,18,FALSE)</f>
        <v>0</v>
      </c>
      <c r="U344" s="222">
        <f>VLOOKUP(C344,'Talente &amp; Stuff'!FU:GV,19,FALSE)</f>
        <v>0</v>
      </c>
      <c r="V344" s="223">
        <f>VLOOKUP(C344,'Talente &amp; Stuff'!FU:GV,20,FALSE)</f>
        <v>0</v>
      </c>
      <c r="W344" s="243">
        <f>VLOOKUP(C344,'Talente &amp; Stuff'!FU:GV,21,FALSE)</f>
        <v>0</v>
      </c>
      <c r="X344" s="218">
        <f>VLOOKUP(C344,'Talente &amp; Stuff'!FU:GV,22,FALSE)</f>
        <v>0</v>
      </c>
      <c r="Y344" s="252">
        <f>VLOOKUP(C344,Ausgewählte_Zauber_Zaubertänzer,197,FALSE)</f>
        <v>0</v>
      </c>
      <c r="Z344" s="309">
        <f>VLOOKUP(C344,Ausgewählte_Zauber_Zaubertänzer,198,FALSE)</f>
        <v>0</v>
      </c>
      <c r="AA344" s="218">
        <f>VLOOKUP(C344,'Talente &amp; Stuff'!FU:GV,25,FALSE)</f>
        <v>0</v>
      </c>
      <c r="AB344" s="242">
        <f>VLOOKUP(C344,'Talente &amp; Stuff'!FU:GV,26,FALSE)</f>
        <v>0</v>
      </c>
      <c r="AC344" s="218">
        <f>VLOOKUP(C344,'Talente &amp; Stuff'!FU:GV,27,FALSE)</f>
        <v>0</v>
      </c>
      <c r="AD344" s="218">
        <f>VLOOKUP(C344,'Talente &amp; Stuff'!FU:GV,28,FALSE)</f>
        <v>0</v>
      </c>
      <c r="AE344" s="343"/>
    </row>
    <row r="345" spans="1:31" s="217" customFormat="1" hidden="1" outlineLevel="2">
      <c r="A345" s="185"/>
      <c r="B345" s="217">
        <v>23</v>
      </c>
      <c r="C345" s="303" t="str">
        <f>Attribute!C345</f>
        <v>---</v>
      </c>
      <c r="D345" s="304" t="str">
        <f>VLOOKUP(C345,'Talente &amp; Stuff'!FU:GV,2,FALSE)</f>
        <v>--/--/--</v>
      </c>
      <c r="E345" s="218" t="str">
        <f>VLOOKUP(C345,'Talente &amp; Stuff'!FU:GV,3,FALSE)</f>
        <v>-</v>
      </c>
      <c r="F345" s="237">
        <f>VLOOKUP(C345,'Talente &amp; Stuff'!FU:GV,4,FALSE)</f>
        <v>0</v>
      </c>
      <c r="G345" s="234">
        <f>VLOOKUP(C345,'Talente &amp; Stuff'!FU:GV,5,FALSE)</f>
        <v>0</v>
      </c>
      <c r="H345" s="234">
        <f>VLOOKUP(C345,'Talente &amp; Stuff'!FU:GV,6,FALSE)</f>
        <v>0</v>
      </c>
      <c r="I345" s="234">
        <f>VLOOKUP(C345,'Talente &amp; Stuff'!FU:GV,7,FALSE)</f>
        <v>0</v>
      </c>
      <c r="J345" s="234">
        <f>VLOOKUP(C345,'Talente &amp; Stuff'!FU:GV,8,FALSE)</f>
        <v>0</v>
      </c>
      <c r="K345" s="234">
        <f>VLOOKUP(C345,'Talente &amp; Stuff'!FU:GV,9,FALSE)</f>
        <v>0</v>
      </c>
      <c r="L345" s="234">
        <f>VLOOKUP(C345,'Talente &amp; Stuff'!FU:GV,10,FALSE)</f>
        <v>0</v>
      </c>
      <c r="M345" s="224">
        <f>VLOOKUP(C345,'Talente &amp; Stuff'!FU:GV,11,FALSE)</f>
        <v>0</v>
      </c>
      <c r="N345" s="222">
        <f>VLOOKUP(C345,'Talente &amp; Stuff'!FU:GV,12,FALSE)</f>
        <v>0</v>
      </c>
      <c r="O345" s="223">
        <f>VLOOKUP(C345,'Talente &amp; Stuff'!FU:GV,13,FALSE)</f>
        <v>0</v>
      </c>
      <c r="P345" s="224">
        <f>VLOOKUP(C345,'Talente &amp; Stuff'!FU:GV,14,FALSE)</f>
        <v>0</v>
      </c>
      <c r="Q345" s="237">
        <f>VLOOKUP(C345,'Talente &amp; Stuff'!FU:GV,15,FALSE)</f>
        <v>0</v>
      </c>
      <c r="R345" s="254">
        <f>VLOOKUP(C345,'Talente &amp; Stuff'!FU:GV,16,FALSE)</f>
        <v>0</v>
      </c>
      <c r="S345" s="224">
        <f>VLOOKUP(C345,'Talente &amp; Stuff'!FU:GV,17,FALSE)</f>
        <v>0</v>
      </c>
      <c r="T345" s="242">
        <f>VLOOKUP(C345,'Talente &amp; Stuff'!FU:GV,18,FALSE)</f>
        <v>0</v>
      </c>
      <c r="U345" s="222">
        <f>VLOOKUP(C345,'Talente &amp; Stuff'!FU:GV,19,FALSE)</f>
        <v>0</v>
      </c>
      <c r="V345" s="223">
        <f>VLOOKUP(C345,'Talente &amp; Stuff'!FU:GV,20,FALSE)</f>
        <v>0</v>
      </c>
      <c r="W345" s="243">
        <f>VLOOKUP(C345,'Talente &amp; Stuff'!FU:GV,21,FALSE)</f>
        <v>0</v>
      </c>
      <c r="X345" s="218">
        <f>VLOOKUP(C345,'Talente &amp; Stuff'!FU:GV,22,FALSE)</f>
        <v>0</v>
      </c>
      <c r="Y345" s="252">
        <f>VLOOKUP(C345,Ausgewählte_Zauber_Zaubertänzer,197,FALSE)</f>
        <v>0</v>
      </c>
      <c r="Z345" s="309">
        <f>VLOOKUP(C345,Ausgewählte_Zauber_Zaubertänzer,198,FALSE)</f>
        <v>0</v>
      </c>
      <c r="AA345" s="218">
        <f>VLOOKUP(C345,'Talente &amp; Stuff'!FU:GV,25,FALSE)</f>
        <v>0</v>
      </c>
      <c r="AB345" s="242">
        <f>VLOOKUP(C345,'Talente &amp; Stuff'!FU:GV,26,FALSE)</f>
        <v>0</v>
      </c>
      <c r="AC345" s="218">
        <f>VLOOKUP(C345,'Talente &amp; Stuff'!FU:GV,27,FALSE)</f>
        <v>0</v>
      </c>
      <c r="AD345" s="218">
        <f>VLOOKUP(C345,'Talente &amp; Stuff'!FU:GV,28,FALSE)</f>
        <v>0</v>
      </c>
      <c r="AE345" s="343"/>
    </row>
    <row r="346" spans="1:31" s="217" customFormat="1" hidden="1" outlineLevel="2">
      <c r="A346" s="185"/>
      <c r="B346" s="217">
        <v>24</v>
      </c>
      <c r="C346" s="303" t="str">
        <f>Attribute!C346</f>
        <v>---</v>
      </c>
      <c r="D346" s="304" t="str">
        <f>VLOOKUP(C346,'Talente &amp; Stuff'!FU:GV,2,FALSE)</f>
        <v>--/--/--</v>
      </c>
      <c r="E346" s="218" t="str">
        <f>VLOOKUP(C346,'Talente &amp; Stuff'!FU:GV,3,FALSE)</f>
        <v>-</v>
      </c>
      <c r="F346" s="237">
        <f>VLOOKUP(C346,'Talente &amp; Stuff'!FU:GV,4,FALSE)</f>
        <v>0</v>
      </c>
      <c r="G346" s="234">
        <f>VLOOKUP(C346,'Talente &amp; Stuff'!FU:GV,5,FALSE)</f>
        <v>0</v>
      </c>
      <c r="H346" s="234">
        <f>VLOOKUP(C346,'Talente &amp; Stuff'!FU:GV,6,FALSE)</f>
        <v>0</v>
      </c>
      <c r="I346" s="234">
        <f>VLOOKUP(C346,'Talente &amp; Stuff'!FU:GV,7,FALSE)</f>
        <v>0</v>
      </c>
      <c r="J346" s="234">
        <f>VLOOKUP(C346,'Talente &amp; Stuff'!FU:GV,8,FALSE)</f>
        <v>0</v>
      </c>
      <c r="K346" s="234">
        <f>VLOOKUP(C346,'Talente &amp; Stuff'!FU:GV,9,FALSE)</f>
        <v>0</v>
      </c>
      <c r="L346" s="234">
        <f>VLOOKUP(C346,'Talente &amp; Stuff'!FU:GV,10,FALSE)</f>
        <v>0</v>
      </c>
      <c r="M346" s="224">
        <f>VLOOKUP(C346,'Talente &amp; Stuff'!FU:GV,11,FALSE)</f>
        <v>0</v>
      </c>
      <c r="N346" s="222">
        <f>VLOOKUP(C346,'Talente &amp; Stuff'!FU:GV,12,FALSE)</f>
        <v>0</v>
      </c>
      <c r="O346" s="223">
        <f>VLOOKUP(C346,'Talente &amp; Stuff'!FU:GV,13,FALSE)</f>
        <v>0</v>
      </c>
      <c r="P346" s="224">
        <f>VLOOKUP(C346,'Talente &amp; Stuff'!FU:GV,14,FALSE)</f>
        <v>0</v>
      </c>
      <c r="Q346" s="237">
        <f>VLOOKUP(C346,'Talente &amp; Stuff'!FU:GV,15,FALSE)</f>
        <v>0</v>
      </c>
      <c r="R346" s="254">
        <f>VLOOKUP(C346,'Talente &amp; Stuff'!FU:GV,16,FALSE)</f>
        <v>0</v>
      </c>
      <c r="S346" s="224">
        <f>VLOOKUP(C346,'Talente &amp; Stuff'!FU:GV,17,FALSE)</f>
        <v>0</v>
      </c>
      <c r="T346" s="242">
        <f>VLOOKUP(C346,'Talente &amp; Stuff'!FU:GV,18,FALSE)</f>
        <v>0</v>
      </c>
      <c r="U346" s="222">
        <f>VLOOKUP(C346,'Talente &amp; Stuff'!FU:GV,19,FALSE)</f>
        <v>0</v>
      </c>
      <c r="V346" s="223">
        <f>VLOOKUP(C346,'Talente &amp; Stuff'!FU:GV,20,FALSE)</f>
        <v>0</v>
      </c>
      <c r="W346" s="243">
        <f>VLOOKUP(C346,'Talente &amp; Stuff'!FU:GV,21,FALSE)</f>
        <v>0</v>
      </c>
      <c r="X346" s="218">
        <f>VLOOKUP(C346,'Talente &amp; Stuff'!FU:GV,22,FALSE)</f>
        <v>0</v>
      </c>
      <c r="Y346" s="252">
        <f>VLOOKUP(C346,Ausgewählte_Zauber_Zaubertänzer,197,FALSE)</f>
        <v>0</v>
      </c>
      <c r="Z346" s="309">
        <f>VLOOKUP(C346,Ausgewählte_Zauber_Zaubertänzer,198,FALSE)</f>
        <v>0</v>
      </c>
      <c r="AA346" s="218">
        <f>VLOOKUP(C346,'Talente &amp; Stuff'!FU:GV,25,FALSE)</f>
        <v>0</v>
      </c>
      <c r="AB346" s="242">
        <f>VLOOKUP(C346,'Talente &amp; Stuff'!FU:GV,26,FALSE)</f>
        <v>0</v>
      </c>
      <c r="AC346" s="218">
        <f>VLOOKUP(C346,'Talente &amp; Stuff'!FU:GV,27,FALSE)</f>
        <v>0</v>
      </c>
      <c r="AD346" s="218">
        <f>VLOOKUP(C346,'Talente &amp; Stuff'!FU:GV,28,FALSE)</f>
        <v>0</v>
      </c>
      <c r="AE346" s="343"/>
    </row>
    <row r="347" spans="1:31" s="217" customFormat="1" hidden="1" outlineLevel="2">
      <c r="A347" s="185"/>
      <c r="B347" s="217">
        <v>25</v>
      </c>
      <c r="C347" s="303" t="str">
        <f>Attribute!C347</f>
        <v>---</v>
      </c>
      <c r="D347" s="304" t="str">
        <f>VLOOKUP(C347,'Talente &amp; Stuff'!FU:GV,2,FALSE)</f>
        <v>--/--/--</v>
      </c>
      <c r="E347" s="218" t="str">
        <f>VLOOKUP(C347,'Talente &amp; Stuff'!FU:GV,3,FALSE)</f>
        <v>-</v>
      </c>
      <c r="F347" s="237">
        <f>VLOOKUP(C347,'Talente &amp; Stuff'!FU:GV,4,FALSE)</f>
        <v>0</v>
      </c>
      <c r="G347" s="234">
        <f>VLOOKUP(C347,'Talente &amp; Stuff'!FU:GV,5,FALSE)</f>
        <v>0</v>
      </c>
      <c r="H347" s="234">
        <f>VLOOKUP(C347,'Talente &amp; Stuff'!FU:GV,6,FALSE)</f>
        <v>0</v>
      </c>
      <c r="I347" s="234">
        <f>VLOOKUP(C347,'Talente &amp; Stuff'!FU:GV,7,FALSE)</f>
        <v>0</v>
      </c>
      <c r="J347" s="234">
        <f>VLOOKUP(C347,'Talente &amp; Stuff'!FU:GV,8,FALSE)</f>
        <v>0</v>
      </c>
      <c r="K347" s="234">
        <f>VLOOKUP(C347,'Talente &amp; Stuff'!FU:GV,9,FALSE)</f>
        <v>0</v>
      </c>
      <c r="L347" s="234">
        <f>VLOOKUP(C347,'Talente &amp; Stuff'!FU:GV,10,FALSE)</f>
        <v>0</v>
      </c>
      <c r="M347" s="224">
        <f>VLOOKUP(C347,'Talente &amp; Stuff'!FU:GV,11,FALSE)</f>
        <v>0</v>
      </c>
      <c r="N347" s="222">
        <f>VLOOKUP(C347,'Talente &amp; Stuff'!FU:GV,12,FALSE)</f>
        <v>0</v>
      </c>
      <c r="O347" s="223">
        <f>VLOOKUP(C347,'Talente &amp; Stuff'!FU:GV,13,FALSE)</f>
        <v>0</v>
      </c>
      <c r="P347" s="224">
        <f>VLOOKUP(C347,'Talente &amp; Stuff'!FU:GV,14,FALSE)</f>
        <v>0</v>
      </c>
      <c r="Q347" s="237">
        <f>VLOOKUP(C347,'Talente &amp; Stuff'!FU:GV,15,FALSE)</f>
        <v>0</v>
      </c>
      <c r="R347" s="254">
        <f>VLOOKUP(C347,'Talente &amp; Stuff'!FU:GV,16,FALSE)</f>
        <v>0</v>
      </c>
      <c r="S347" s="224">
        <f>VLOOKUP(C347,'Talente &amp; Stuff'!FU:GV,17,FALSE)</f>
        <v>0</v>
      </c>
      <c r="T347" s="242">
        <f>VLOOKUP(C347,'Talente &amp; Stuff'!FU:GV,18,FALSE)</f>
        <v>0</v>
      </c>
      <c r="U347" s="222">
        <f>VLOOKUP(C347,'Talente &amp; Stuff'!FU:GV,19,FALSE)</f>
        <v>0</v>
      </c>
      <c r="V347" s="223">
        <f>VLOOKUP(C347,'Talente &amp; Stuff'!FU:GV,20,FALSE)</f>
        <v>0</v>
      </c>
      <c r="W347" s="243">
        <f>VLOOKUP(C347,'Talente &amp; Stuff'!FU:GV,21,FALSE)</f>
        <v>0</v>
      </c>
      <c r="X347" s="218">
        <f>VLOOKUP(C347,'Talente &amp; Stuff'!FU:GV,22,FALSE)</f>
        <v>0</v>
      </c>
      <c r="Y347" s="252">
        <f>VLOOKUP(C347,Ausgewählte_Zauber_Zaubertänzer,197,FALSE)</f>
        <v>0</v>
      </c>
      <c r="Z347" s="309">
        <f>VLOOKUP(C347,Ausgewählte_Zauber_Zaubertänzer,198,FALSE)</f>
        <v>0</v>
      </c>
      <c r="AA347" s="218">
        <f>VLOOKUP(C347,'Talente &amp; Stuff'!FU:GV,25,FALSE)</f>
        <v>0</v>
      </c>
      <c r="AB347" s="242">
        <f>VLOOKUP(C347,'Talente &amp; Stuff'!FU:GV,26,FALSE)</f>
        <v>0</v>
      </c>
      <c r="AC347" s="218">
        <f>VLOOKUP(C347,'Talente &amp; Stuff'!FU:GV,27,FALSE)</f>
        <v>0</v>
      </c>
      <c r="AD347" s="218">
        <f>VLOOKUP(C347,'Talente &amp; Stuff'!FU:GV,28,FALSE)</f>
        <v>0</v>
      </c>
      <c r="AE347" s="343"/>
    </row>
    <row r="348" spans="1:31" s="217" customFormat="1" hidden="1" outlineLevel="2">
      <c r="A348" s="185"/>
      <c r="B348" s="217">
        <v>26</v>
      </c>
      <c r="C348" s="306" t="str">
        <f>Attribute!C348</f>
        <v>---</v>
      </c>
      <c r="D348" s="314" t="str">
        <f>VLOOKUP(C348,'Talente &amp; Stuff'!FU:GV,2,FALSE)</f>
        <v>--/--/--</v>
      </c>
      <c r="E348" s="246" t="str">
        <f>VLOOKUP(C348,'Talente &amp; Stuff'!FU:GV,3,FALSE)</f>
        <v>-</v>
      </c>
      <c r="F348" s="238">
        <f>VLOOKUP(C348,'Talente &amp; Stuff'!FU:GV,4,FALSE)</f>
        <v>0</v>
      </c>
      <c r="G348" s="235">
        <f>VLOOKUP(C348,'Talente &amp; Stuff'!FU:GV,5,FALSE)</f>
        <v>0</v>
      </c>
      <c r="H348" s="235">
        <f>VLOOKUP(C348,'Talente &amp; Stuff'!FU:GV,6,FALSE)</f>
        <v>0</v>
      </c>
      <c r="I348" s="235">
        <f>VLOOKUP(C348,'Talente &amp; Stuff'!FU:GV,7,FALSE)</f>
        <v>0</v>
      </c>
      <c r="J348" s="235">
        <f>VLOOKUP(C348,'Talente &amp; Stuff'!FU:GV,8,FALSE)</f>
        <v>0</v>
      </c>
      <c r="K348" s="235">
        <f>VLOOKUP(C348,'Talente &amp; Stuff'!FU:GV,9,FALSE)</f>
        <v>0</v>
      </c>
      <c r="L348" s="235">
        <f>VLOOKUP(C348,'Talente &amp; Stuff'!FU:GV,10,FALSE)</f>
        <v>0</v>
      </c>
      <c r="M348" s="227">
        <f>VLOOKUP(C348,'Talente &amp; Stuff'!FU:GV,11,FALSE)</f>
        <v>0</v>
      </c>
      <c r="N348" s="225">
        <f>VLOOKUP(C348,'Talente &amp; Stuff'!FU:GV,12,FALSE)</f>
        <v>0</v>
      </c>
      <c r="O348" s="226">
        <f>VLOOKUP(C348,'Talente &amp; Stuff'!FU:GV,13,FALSE)</f>
        <v>0</v>
      </c>
      <c r="P348" s="227">
        <f>VLOOKUP(C348,'Talente &amp; Stuff'!FU:GV,14,FALSE)</f>
        <v>0</v>
      </c>
      <c r="Q348" s="238">
        <f>VLOOKUP(C348,'Talente &amp; Stuff'!FU:GV,15,FALSE)</f>
        <v>0</v>
      </c>
      <c r="R348" s="315">
        <f>VLOOKUP(C348,'Talente &amp; Stuff'!FU:GV,16,FALSE)</f>
        <v>0</v>
      </c>
      <c r="S348" s="227">
        <f>VLOOKUP(C348,'Talente &amp; Stuff'!FU:GV,17,FALSE)</f>
        <v>0</v>
      </c>
      <c r="T348" s="244">
        <f>VLOOKUP(C348,'Talente &amp; Stuff'!FU:GV,18,FALSE)</f>
        <v>0</v>
      </c>
      <c r="U348" s="225">
        <f>VLOOKUP(C348,'Talente &amp; Stuff'!FU:GV,19,FALSE)</f>
        <v>0</v>
      </c>
      <c r="V348" s="226">
        <f>VLOOKUP(C348,'Talente &amp; Stuff'!FU:GV,20,FALSE)</f>
        <v>0</v>
      </c>
      <c r="W348" s="245">
        <f>VLOOKUP(C348,'Talente &amp; Stuff'!FU:GV,21,FALSE)</f>
        <v>0</v>
      </c>
      <c r="X348" s="246">
        <f>VLOOKUP(C348,'Talente &amp; Stuff'!FU:GV,22,FALSE)</f>
        <v>0</v>
      </c>
      <c r="Y348" s="252">
        <f>VLOOKUP(C348,Ausgewählte_Zauber_Zaubertänzer,197,FALSE)</f>
        <v>0</v>
      </c>
      <c r="Z348" s="309">
        <f>VLOOKUP(C348,Ausgewählte_Zauber_Zaubertänzer,198,FALSE)</f>
        <v>0</v>
      </c>
      <c r="AA348" s="246">
        <f>VLOOKUP(C348,'Talente &amp; Stuff'!FU:GV,25,FALSE)</f>
        <v>0</v>
      </c>
      <c r="AB348" s="244">
        <f>VLOOKUP(C348,'Talente &amp; Stuff'!FU:GV,26,FALSE)</f>
        <v>0</v>
      </c>
      <c r="AC348" s="246">
        <f>VLOOKUP(C348,'Talente &amp; Stuff'!FU:GV,27,FALSE)</f>
        <v>0</v>
      </c>
      <c r="AD348" s="246">
        <f>VLOOKUP(C348,'Talente &amp; Stuff'!FU:GV,28,FALSE)</f>
        <v>0</v>
      </c>
      <c r="AE348" s="343"/>
    </row>
    <row r="349" spans="1:31" ht="15.75" hidden="1" customHeight="1" outlineLevel="1" collapsed="1" thickBot="1"/>
    <row r="350" spans="1:31" ht="15.75" collapsed="1" thickBot="1">
      <c r="A350" s="135" t="s">
        <v>311</v>
      </c>
    </row>
    <row r="351" spans="1:31" ht="15" hidden="1" customHeight="1" outlineLevel="1">
      <c r="B351" s="134" t="s">
        <v>327</v>
      </c>
    </row>
    <row r="352" spans="1:31" ht="15" hidden="1" customHeight="1" outlineLevel="2">
      <c r="B352" s="148">
        <v>1</v>
      </c>
      <c r="C352" s="176" t="str">
        <f>Attribute!C352</f>
        <v>---</v>
      </c>
      <c r="D352" s="85" t="str">
        <f>VLOOKUP(C352,'Talente &amp; Stuff'!FU:GV,2,FALSE)</f>
        <v>--/--/--</v>
      </c>
      <c r="E352" s="158" t="str">
        <f>VLOOKUP(C352,'Talente &amp; Stuff'!FU:GV,3,FALSE)</f>
        <v>-</v>
      </c>
      <c r="F352" s="118">
        <f>VLOOKUP(C352,'Talente &amp; Stuff'!FU:GV,4,FALSE)</f>
        <v>0</v>
      </c>
      <c r="G352" s="118">
        <f>VLOOKUP(C352,'Talente &amp; Stuff'!FU:GV,5,FALSE)</f>
        <v>0</v>
      </c>
      <c r="H352" s="118">
        <f>VLOOKUP(C352,'Talente &amp; Stuff'!FU:GV,6,FALSE)</f>
        <v>0</v>
      </c>
      <c r="I352" s="118">
        <f>VLOOKUP(C352,'Talente &amp; Stuff'!FU:GV,7,FALSE)</f>
        <v>0</v>
      </c>
      <c r="J352" s="118">
        <f>VLOOKUP(C352,'Talente &amp; Stuff'!FU:GV,8,FALSE)</f>
        <v>0</v>
      </c>
      <c r="K352" s="118">
        <f>VLOOKUP(C352,'Talente &amp; Stuff'!FU:GV,9,FALSE)</f>
        <v>0</v>
      </c>
      <c r="L352" s="118">
        <f>VLOOKUP(C352,'Talente &amp; Stuff'!FU:GV,10,FALSE)</f>
        <v>0</v>
      </c>
      <c r="M352" s="118">
        <f>VLOOKUP(C352,'Talente &amp; Stuff'!FU:GV,11,FALSE)</f>
        <v>0</v>
      </c>
      <c r="N352" s="193">
        <f>VLOOKUP(C352,'Talente &amp; Stuff'!FU:GV,12,FALSE)</f>
        <v>0</v>
      </c>
      <c r="O352" s="116">
        <f>VLOOKUP(C352,'Talente &amp; Stuff'!FU:GV,13,FALSE)</f>
        <v>0</v>
      </c>
      <c r="P352" s="92">
        <f>VLOOKUP(C352,'Talente &amp; Stuff'!FU:GV,14,FALSE)</f>
        <v>0</v>
      </c>
      <c r="Q352" s="118">
        <f>VLOOKUP(C352,'Talente &amp; Stuff'!FU:GV,15,FALSE)</f>
        <v>0</v>
      </c>
      <c r="R352" s="118">
        <f>VLOOKUP(C352,'Talente &amp; Stuff'!FU:GV,16,FALSE)</f>
        <v>0</v>
      </c>
      <c r="S352" s="118">
        <f>VLOOKUP(C352,'Talente &amp; Stuff'!FU:GV,17,FALSE)</f>
        <v>0</v>
      </c>
      <c r="T352" s="91">
        <f>VLOOKUP(C352,'Talente &amp; Stuff'!FU:GV,18,FALSE)</f>
        <v>0</v>
      </c>
      <c r="U352" s="116">
        <f>VLOOKUP(C352,'Talente &amp; Stuff'!FU:GV,19,FALSE)</f>
        <v>0</v>
      </c>
      <c r="V352" s="116">
        <f>VLOOKUP(C352,'Talente &amp; Stuff'!FU:GV,20,FALSE)</f>
        <v>0</v>
      </c>
      <c r="W352" s="116">
        <f>VLOOKUP(C352,'Talente &amp; Stuff'!FU:GV,21,FALSE)</f>
        <v>0</v>
      </c>
      <c r="X352" s="158">
        <f>VLOOKUP(C352,'Talente &amp; Stuff'!FU:GV,22,FALSE)</f>
        <v>0</v>
      </c>
      <c r="Y352" s="165">
        <f>VLOOKUP(C352,Ausgewählte_Rituale_Allgemein,197,FALSE)</f>
        <v>0</v>
      </c>
      <c r="Z352" s="44">
        <f>VLOOKUP(C352,Ausgewählte_Rituale_Allgemein,198,FALSE)</f>
        <v>0</v>
      </c>
      <c r="AA352" s="158">
        <f>VLOOKUP(C352,'Talente &amp; Stuff'!FU:GV,25,FALSE)</f>
        <v>0</v>
      </c>
      <c r="AB352" s="91">
        <f>VLOOKUP(C352,'Talente &amp; Stuff'!FU:GV,26,FALSE)</f>
        <v>0</v>
      </c>
      <c r="AC352" s="126">
        <f>VLOOKUP(C352,'Talente &amp; Stuff'!FU:GV,27,FALSE)</f>
        <v>0</v>
      </c>
      <c r="AD352" s="158">
        <f>VLOOKUP(C352,'Talente &amp; Stuff'!FU:GV,28,FALSE)</f>
        <v>0</v>
      </c>
      <c r="AE352" s="28"/>
    </row>
    <row r="353" spans="2:31" ht="15" hidden="1" customHeight="1" outlineLevel="2">
      <c r="B353" s="148">
        <v>2</v>
      </c>
      <c r="C353" s="177" t="str">
        <f>Attribute!C353</f>
        <v>---</v>
      </c>
      <c r="D353" s="86" t="str">
        <f>VLOOKUP(C353,'Talente &amp; Stuff'!FU:GV,2,FALSE)</f>
        <v>--/--/--</v>
      </c>
      <c r="E353" s="125" t="str">
        <f>VLOOKUP(C353,'Talente &amp; Stuff'!FU:GV,3,FALSE)</f>
        <v>-</v>
      </c>
      <c r="F353" s="113">
        <f>VLOOKUP(C353,'Talente &amp; Stuff'!FU:GV,4,FALSE)</f>
        <v>0</v>
      </c>
      <c r="G353" s="113">
        <f>VLOOKUP(C353,'Talente &amp; Stuff'!FU:GV,5,FALSE)</f>
        <v>0</v>
      </c>
      <c r="H353" s="113">
        <f>VLOOKUP(C353,'Talente &amp; Stuff'!FU:GV,6,FALSE)</f>
        <v>0</v>
      </c>
      <c r="I353" s="113">
        <f>VLOOKUP(C353,'Talente &amp; Stuff'!FU:GV,7,FALSE)</f>
        <v>0</v>
      </c>
      <c r="J353" s="113">
        <f>VLOOKUP(C353,'Talente &amp; Stuff'!FU:GV,8,FALSE)</f>
        <v>0</v>
      </c>
      <c r="K353" s="113">
        <f>VLOOKUP(C353,'Talente &amp; Stuff'!FU:GV,9,FALSE)</f>
        <v>0</v>
      </c>
      <c r="L353" s="113">
        <f>VLOOKUP(C353,'Talente &amp; Stuff'!FU:GV,10,FALSE)</f>
        <v>0</v>
      </c>
      <c r="M353" s="113">
        <f>VLOOKUP(C353,'Talente &amp; Stuff'!FU:GV,11,FALSE)</f>
        <v>0</v>
      </c>
      <c r="N353" s="89">
        <f>VLOOKUP(C353,'Talente &amp; Stuff'!FU:GV,12,FALSE)</f>
        <v>0</v>
      </c>
      <c r="O353" s="47">
        <f>VLOOKUP(C353,'Talente &amp; Stuff'!FU:GV,13,FALSE)</f>
        <v>0</v>
      </c>
      <c r="P353" s="119">
        <f>VLOOKUP(C353,'Talente &amp; Stuff'!FU:GV,14,FALSE)</f>
        <v>0</v>
      </c>
      <c r="Q353" s="113">
        <f>VLOOKUP(C353,'Talente &amp; Stuff'!FU:GV,15,FALSE)</f>
        <v>0</v>
      </c>
      <c r="R353" s="113">
        <f>VLOOKUP(C353,'Talente &amp; Stuff'!FU:GV,16,FALSE)</f>
        <v>0</v>
      </c>
      <c r="S353" s="113">
        <f>VLOOKUP(C353,'Talente &amp; Stuff'!FU:GV,17,FALSE)</f>
        <v>0</v>
      </c>
      <c r="T353" s="160">
        <f>VLOOKUP(C353,'Talente &amp; Stuff'!FU:GV,18,FALSE)</f>
        <v>0</v>
      </c>
      <c r="U353" s="47">
        <f>VLOOKUP(C353,'Talente &amp; Stuff'!FU:GV,19,FALSE)</f>
        <v>0</v>
      </c>
      <c r="V353" s="47">
        <f>VLOOKUP(C353,'Talente &amp; Stuff'!FU:GV,20,FALSE)</f>
        <v>0</v>
      </c>
      <c r="W353" s="47">
        <f>VLOOKUP(C353,'Talente &amp; Stuff'!FU:GV,21,FALSE)</f>
        <v>0</v>
      </c>
      <c r="X353" s="125">
        <f>VLOOKUP(C353,'Talente &amp; Stuff'!FU:GV,22,FALSE)</f>
        <v>0</v>
      </c>
      <c r="Y353" s="165">
        <f>VLOOKUP(C353,Ausgewählte_Rituale_Allgemein,197,FALSE)</f>
        <v>0</v>
      </c>
      <c r="Z353" s="44">
        <f>VLOOKUP(C353,Ausgewählte_Rituale_Allgemein,198,FALSE)</f>
        <v>0</v>
      </c>
      <c r="AA353" s="125">
        <f>VLOOKUP(C353,'Talente &amp; Stuff'!FU:GV,25,FALSE)</f>
        <v>0</v>
      </c>
      <c r="AB353" s="160">
        <f>VLOOKUP(C353,'Talente &amp; Stuff'!FU:GV,26,FALSE)</f>
        <v>0</v>
      </c>
      <c r="AC353" s="127">
        <f>VLOOKUP(C353,'Talente &amp; Stuff'!FU:GV,27,FALSE)</f>
        <v>0</v>
      </c>
      <c r="AD353" s="125">
        <f>VLOOKUP(C353,'Talente &amp; Stuff'!FU:GV,28,FALSE)</f>
        <v>0</v>
      </c>
      <c r="AE353" s="28"/>
    </row>
    <row r="354" spans="2:31" ht="15" hidden="1" customHeight="1" outlineLevel="2">
      <c r="B354" s="148">
        <v>3</v>
      </c>
      <c r="C354" s="177" t="str">
        <f>Attribute!C354</f>
        <v>---</v>
      </c>
      <c r="D354" s="86" t="str">
        <f>VLOOKUP(C354,'Talente &amp; Stuff'!FU:GV,2,FALSE)</f>
        <v>--/--/--</v>
      </c>
      <c r="E354" s="125" t="str">
        <f>VLOOKUP(C354,'Talente &amp; Stuff'!FU:GV,3,FALSE)</f>
        <v>-</v>
      </c>
      <c r="F354" s="113">
        <f>VLOOKUP(C354,'Talente &amp; Stuff'!FU:GV,4,FALSE)</f>
        <v>0</v>
      </c>
      <c r="G354" s="113">
        <f>VLOOKUP(C354,'Talente &amp; Stuff'!FU:GV,5,FALSE)</f>
        <v>0</v>
      </c>
      <c r="H354" s="113">
        <f>VLOOKUP(C354,'Talente &amp; Stuff'!FU:GV,6,FALSE)</f>
        <v>0</v>
      </c>
      <c r="I354" s="113">
        <f>VLOOKUP(C354,'Talente &amp; Stuff'!FU:GV,7,FALSE)</f>
        <v>0</v>
      </c>
      <c r="J354" s="113">
        <f>VLOOKUP(C354,'Talente &amp; Stuff'!FU:GV,8,FALSE)</f>
        <v>0</v>
      </c>
      <c r="K354" s="113">
        <f>VLOOKUP(C354,'Talente &amp; Stuff'!FU:GV,9,FALSE)</f>
        <v>0</v>
      </c>
      <c r="L354" s="113">
        <f>VLOOKUP(C354,'Talente &amp; Stuff'!FU:GV,10,FALSE)</f>
        <v>0</v>
      </c>
      <c r="M354" s="113">
        <f>VLOOKUP(C354,'Talente &amp; Stuff'!FU:GV,11,FALSE)</f>
        <v>0</v>
      </c>
      <c r="N354" s="89">
        <f>VLOOKUP(C354,'Talente &amp; Stuff'!FU:GV,12,FALSE)</f>
        <v>0</v>
      </c>
      <c r="O354" s="47">
        <f>VLOOKUP(C354,'Talente &amp; Stuff'!FU:GV,13,FALSE)</f>
        <v>0</v>
      </c>
      <c r="P354" s="119">
        <f>VLOOKUP(C354,'Talente &amp; Stuff'!FU:GV,14,FALSE)</f>
        <v>0</v>
      </c>
      <c r="Q354" s="113">
        <f>VLOOKUP(C354,'Talente &amp; Stuff'!FU:GV,15,FALSE)</f>
        <v>0</v>
      </c>
      <c r="R354" s="113">
        <f>VLOOKUP(C354,'Talente &amp; Stuff'!FU:GV,16,FALSE)</f>
        <v>0</v>
      </c>
      <c r="S354" s="113">
        <f>VLOOKUP(C354,'Talente &amp; Stuff'!FU:GV,17,FALSE)</f>
        <v>0</v>
      </c>
      <c r="T354" s="160">
        <f>VLOOKUP(C354,'Talente &amp; Stuff'!FU:GV,18,FALSE)</f>
        <v>0</v>
      </c>
      <c r="U354" s="47">
        <f>VLOOKUP(C354,'Talente &amp; Stuff'!FU:GV,19,FALSE)</f>
        <v>0</v>
      </c>
      <c r="V354" s="47">
        <f>VLOOKUP(C354,'Talente &amp; Stuff'!FU:GV,20,FALSE)</f>
        <v>0</v>
      </c>
      <c r="W354" s="47">
        <f>VLOOKUP(C354,'Talente &amp; Stuff'!FU:GV,21,FALSE)</f>
        <v>0</v>
      </c>
      <c r="X354" s="125">
        <f>VLOOKUP(C354,'Talente &amp; Stuff'!FU:GV,22,FALSE)</f>
        <v>0</v>
      </c>
      <c r="Y354" s="165">
        <f>VLOOKUP(C354,Ausgewählte_Rituale_Allgemein,197,FALSE)</f>
        <v>0</v>
      </c>
      <c r="Z354" s="44">
        <f>VLOOKUP(C354,Ausgewählte_Rituale_Allgemein,198,FALSE)</f>
        <v>0</v>
      </c>
      <c r="AA354" s="125">
        <f>VLOOKUP(C354,'Talente &amp; Stuff'!FU:GV,25,FALSE)</f>
        <v>0</v>
      </c>
      <c r="AB354" s="160">
        <f>VLOOKUP(C354,'Talente &amp; Stuff'!FU:GV,26,FALSE)</f>
        <v>0</v>
      </c>
      <c r="AC354" s="127">
        <f>VLOOKUP(C354,'Talente &amp; Stuff'!FU:GV,27,FALSE)</f>
        <v>0</v>
      </c>
      <c r="AD354" s="125">
        <f>VLOOKUP(C354,'Talente &amp; Stuff'!FU:GV,28,FALSE)</f>
        <v>0</v>
      </c>
      <c r="AE354" s="28"/>
    </row>
    <row r="355" spans="2:31" ht="15" hidden="1" customHeight="1" outlineLevel="2">
      <c r="B355" s="148">
        <v>4</v>
      </c>
      <c r="C355" s="178" t="str">
        <f>Attribute!C355</f>
        <v>---</v>
      </c>
      <c r="D355" s="23" t="str">
        <f>VLOOKUP(C355,'Talente &amp; Stuff'!FU:GV,2,FALSE)</f>
        <v>--/--/--</v>
      </c>
      <c r="E355" s="159" t="str">
        <f>VLOOKUP(C355,'Talente &amp; Stuff'!FU:GV,3,FALSE)</f>
        <v>-</v>
      </c>
      <c r="F355" s="122">
        <f>VLOOKUP(C355,'Talente &amp; Stuff'!FU:GV,4,FALSE)</f>
        <v>0</v>
      </c>
      <c r="G355" s="122">
        <f>VLOOKUP(C355,'Talente &amp; Stuff'!FU:GV,5,FALSE)</f>
        <v>0</v>
      </c>
      <c r="H355" s="122">
        <f>VLOOKUP(C355,'Talente &amp; Stuff'!FU:GV,6,FALSE)</f>
        <v>0</v>
      </c>
      <c r="I355" s="122">
        <f>VLOOKUP(C355,'Talente &amp; Stuff'!FU:GV,7,FALSE)</f>
        <v>0</v>
      </c>
      <c r="J355" s="122">
        <f>VLOOKUP(C355,'Talente &amp; Stuff'!FU:GV,8,FALSE)</f>
        <v>0</v>
      </c>
      <c r="K355" s="122">
        <f>VLOOKUP(C355,'Talente &amp; Stuff'!FU:GV,9,FALSE)</f>
        <v>0</v>
      </c>
      <c r="L355" s="122">
        <f>VLOOKUP(C355,'Talente &amp; Stuff'!FU:GV,10,FALSE)</f>
        <v>0</v>
      </c>
      <c r="M355" s="122">
        <f>VLOOKUP(C355,'Talente &amp; Stuff'!FU:GV,11,FALSE)</f>
        <v>0</v>
      </c>
      <c r="N355" s="90">
        <f>VLOOKUP(C355,'Talente &amp; Stuff'!FU:GV,12,FALSE)</f>
        <v>0</v>
      </c>
      <c r="O355" s="88">
        <f>VLOOKUP(C355,'Talente &amp; Stuff'!FU:GV,13,FALSE)</f>
        <v>0</v>
      </c>
      <c r="P355" s="123">
        <f>VLOOKUP(C355,'Talente &amp; Stuff'!FU:GV,14,FALSE)</f>
        <v>0</v>
      </c>
      <c r="Q355" s="122">
        <f>VLOOKUP(C355,'Talente &amp; Stuff'!FU:GV,15,FALSE)</f>
        <v>0</v>
      </c>
      <c r="R355" s="122">
        <f>VLOOKUP(C355,'Talente &amp; Stuff'!FU:GV,16,FALSE)</f>
        <v>0</v>
      </c>
      <c r="S355" s="122">
        <f>VLOOKUP(C355,'Talente &amp; Stuff'!FU:GV,17,FALSE)</f>
        <v>0</v>
      </c>
      <c r="T355" s="161">
        <f>VLOOKUP(C355,'Talente &amp; Stuff'!FU:GV,18,FALSE)</f>
        <v>0</v>
      </c>
      <c r="U355" s="88">
        <f>VLOOKUP(C355,'Talente &amp; Stuff'!FU:GV,19,FALSE)</f>
        <v>0</v>
      </c>
      <c r="V355" s="88">
        <f>VLOOKUP(C355,'Talente &amp; Stuff'!FU:GV,20,FALSE)</f>
        <v>0</v>
      </c>
      <c r="W355" s="88">
        <f>VLOOKUP(C355,'Talente &amp; Stuff'!FU:GV,21,FALSE)</f>
        <v>0</v>
      </c>
      <c r="X355" s="159">
        <f>VLOOKUP(C355,'Talente &amp; Stuff'!FU:GV,22,FALSE)</f>
        <v>0</v>
      </c>
      <c r="Y355" s="165">
        <f>VLOOKUP(C355,Ausgewählte_Rituale_Allgemein,197,FALSE)</f>
        <v>0</v>
      </c>
      <c r="Z355" s="44">
        <f>VLOOKUP(C355,Ausgewählte_Rituale_Allgemein,198,FALSE)</f>
        <v>0</v>
      </c>
      <c r="AA355" s="159">
        <f>VLOOKUP(C355,'Talente &amp; Stuff'!FU:GV,25,FALSE)</f>
        <v>0</v>
      </c>
      <c r="AB355" s="161">
        <f>VLOOKUP(C355,'Talente &amp; Stuff'!FU:GV,26,FALSE)</f>
        <v>0</v>
      </c>
      <c r="AC355" s="128">
        <f>VLOOKUP(C355,'Talente &amp; Stuff'!FU:GV,27,FALSE)</f>
        <v>0</v>
      </c>
      <c r="AD355" s="159">
        <f>VLOOKUP(C355,'Talente &amp; Stuff'!FU:GV,28,FALSE)</f>
        <v>0</v>
      </c>
      <c r="AE355" s="28"/>
    </row>
    <row r="356" spans="2:31" ht="15" hidden="1" customHeight="1" outlineLevel="1" collapsed="1">
      <c r="B356" s="134" t="s">
        <v>331</v>
      </c>
      <c r="C356" s="83"/>
      <c r="D356" s="84"/>
      <c r="E356" s="84"/>
    </row>
    <row r="357" spans="2:31" ht="15" hidden="1" customHeight="1" outlineLevel="2">
      <c r="B357" s="148">
        <v>1</v>
      </c>
      <c r="C357" s="176" t="str">
        <f>Attribute!C357</f>
        <v>---</v>
      </c>
      <c r="D357" s="85" t="str">
        <f>VLOOKUP(C357,'Talente &amp; Stuff'!FU:GV,2,FALSE)</f>
        <v>--/--/--</v>
      </c>
      <c r="E357" s="158" t="str">
        <f>VLOOKUP(C357,'Talente &amp; Stuff'!FU:GV,3,FALSE)</f>
        <v>-</v>
      </c>
      <c r="F357" s="118">
        <f>VLOOKUP(C357,'Talente &amp; Stuff'!FU:GV,4,FALSE)</f>
        <v>0</v>
      </c>
      <c r="G357" s="118">
        <f>VLOOKUP(C357,'Talente &amp; Stuff'!FU:GV,5,FALSE)</f>
        <v>0</v>
      </c>
      <c r="H357" s="118">
        <f>VLOOKUP(C357,'Talente &amp; Stuff'!FU:GV,6,FALSE)</f>
        <v>0</v>
      </c>
      <c r="I357" s="118">
        <f>VLOOKUP(C357,'Talente &amp; Stuff'!FU:GV,7,FALSE)</f>
        <v>0</v>
      </c>
      <c r="J357" s="118">
        <f>VLOOKUP(C357,'Talente &amp; Stuff'!FU:GV,8,FALSE)</f>
        <v>0</v>
      </c>
      <c r="K357" s="118">
        <f>VLOOKUP(C357,'Talente &amp; Stuff'!FU:GV,9,FALSE)</f>
        <v>0</v>
      </c>
      <c r="L357" s="118">
        <f>VLOOKUP(C357,'Talente &amp; Stuff'!FU:GV,10,FALSE)</f>
        <v>0</v>
      </c>
      <c r="M357" s="118">
        <f>VLOOKUP(C357,'Talente &amp; Stuff'!FU:GV,11,FALSE)</f>
        <v>0</v>
      </c>
      <c r="N357" s="193">
        <f>VLOOKUP(C357,'Talente &amp; Stuff'!FU:GV,12,FALSE)</f>
        <v>0</v>
      </c>
      <c r="O357" s="116">
        <f>VLOOKUP(C357,'Talente &amp; Stuff'!FU:GV,13,FALSE)</f>
        <v>0</v>
      </c>
      <c r="P357" s="92">
        <f>VLOOKUP(C357,'Talente &amp; Stuff'!FU:GV,14,FALSE)</f>
        <v>0</v>
      </c>
      <c r="Q357" s="118">
        <f>VLOOKUP(C357,'Talente &amp; Stuff'!FU:GV,15,FALSE)</f>
        <v>0</v>
      </c>
      <c r="R357" s="118">
        <f>VLOOKUP(C357,'Talente &amp; Stuff'!FU:GV,16,FALSE)</f>
        <v>0</v>
      </c>
      <c r="S357" s="118">
        <f>VLOOKUP(C357,'Talente &amp; Stuff'!FU:GV,17,FALSE)</f>
        <v>0</v>
      </c>
      <c r="T357" s="91">
        <f>VLOOKUP(C357,'Talente &amp; Stuff'!FU:GV,18,FALSE)</f>
        <v>0</v>
      </c>
      <c r="U357" s="116">
        <f>VLOOKUP(C357,'Talente &amp; Stuff'!FU:GV,19,FALSE)</f>
        <v>0</v>
      </c>
      <c r="V357" s="116">
        <f>VLOOKUP(C357,'Talente &amp; Stuff'!FU:GV,20,FALSE)</f>
        <v>0</v>
      </c>
      <c r="W357" s="116">
        <f>VLOOKUP(C357,'Talente &amp; Stuff'!FU:GV,21,FALSE)</f>
        <v>0</v>
      </c>
      <c r="X357" s="158">
        <f>VLOOKUP(C357,'Talente &amp; Stuff'!FU:GV,22,FALSE)</f>
        <v>0</v>
      </c>
      <c r="Y357" s="165">
        <f t="shared" ref="Y357:Y365" si="24">VLOOKUP(C357,Ausgewählte_Rituale_Druiden,197,FALSE)</f>
        <v>0</v>
      </c>
      <c r="Z357" s="44">
        <f t="shared" ref="Z357:Z365" si="25">VLOOKUP(C357,Ausgewählte_Rituale_Druiden,198,FALSE)</f>
        <v>0</v>
      </c>
      <c r="AA357" s="158">
        <f>VLOOKUP(C357,'Talente &amp; Stuff'!FU:GV,25,FALSE)</f>
        <v>0</v>
      </c>
      <c r="AB357" s="91">
        <f>VLOOKUP(C357,'Talente &amp; Stuff'!FU:GV,26,FALSE)</f>
        <v>0</v>
      </c>
      <c r="AC357" s="126">
        <f>VLOOKUP(C357,'Talente &amp; Stuff'!FU:GV,27,FALSE)</f>
        <v>0</v>
      </c>
      <c r="AD357" s="158">
        <f>VLOOKUP(C357,'Talente &amp; Stuff'!FU:GV,28,FALSE)</f>
        <v>0</v>
      </c>
      <c r="AE357" s="28"/>
    </row>
    <row r="358" spans="2:31" ht="15" hidden="1" customHeight="1" outlineLevel="2">
      <c r="B358" s="148">
        <v>2</v>
      </c>
      <c r="C358" s="177" t="str">
        <f>Attribute!C358</f>
        <v>---</v>
      </c>
      <c r="D358" s="86" t="str">
        <f>VLOOKUP(C358,'Talente &amp; Stuff'!FU:GV,2,FALSE)</f>
        <v>--/--/--</v>
      </c>
      <c r="E358" s="125" t="str">
        <f>VLOOKUP(C358,'Talente &amp; Stuff'!FU:GV,3,FALSE)</f>
        <v>-</v>
      </c>
      <c r="F358" s="113">
        <f>VLOOKUP(C358,'Talente &amp; Stuff'!FU:GV,4,FALSE)</f>
        <v>0</v>
      </c>
      <c r="G358" s="113">
        <f>VLOOKUP(C358,'Talente &amp; Stuff'!FU:GV,5,FALSE)</f>
        <v>0</v>
      </c>
      <c r="H358" s="113">
        <f>VLOOKUP(C358,'Talente &amp; Stuff'!FU:GV,6,FALSE)</f>
        <v>0</v>
      </c>
      <c r="I358" s="113">
        <f>VLOOKUP(C358,'Talente &amp; Stuff'!FU:GV,7,FALSE)</f>
        <v>0</v>
      </c>
      <c r="J358" s="113">
        <f>VLOOKUP(C358,'Talente &amp; Stuff'!FU:GV,8,FALSE)</f>
        <v>0</v>
      </c>
      <c r="K358" s="113">
        <f>VLOOKUP(C358,'Talente &amp; Stuff'!FU:GV,9,FALSE)</f>
        <v>0</v>
      </c>
      <c r="L358" s="113">
        <f>VLOOKUP(C358,'Talente &amp; Stuff'!FU:GV,10,FALSE)</f>
        <v>0</v>
      </c>
      <c r="M358" s="113">
        <f>VLOOKUP(C358,'Talente &amp; Stuff'!FU:GV,11,FALSE)</f>
        <v>0</v>
      </c>
      <c r="N358" s="89">
        <f>VLOOKUP(C358,'Talente &amp; Stuff'!FU:GV,12,FALSE)</f>
        <v>0</v>
      </c>
      <c r="O358" s="47">
        <f>VLOOKUP(C358,'Talente &amp; Stuff'!FU:GV,13,FALSE)</f>
        <v>0</v>
      </c>
      <c r="P358" s="119">
        <f>VLOOKUP(C358,'Talente &amp; Stuff'!FU:GV,14,FALSE)</f>
        <v>0</v>
      </c>
      <c r="Q358" s="113">
        <f>VLOOKUP(C358,'Talente &amp; Stuff'!FU:GV,15,FALSE)</f>
        <v>0</v>
      </c>
      <c r="R358" s="113">
        <f>VLOOKUP(C358,'Talente &amp; Stuff'!FU:GV,16,FALSE)</f>
        <v>0</v>
      </c>
      <c r="S358" s="113">
        <f>VLOOKUP(C358,'Talente &amp; Stuff'!FU:GV,17,FALSE)</f>
        <v>0</v>
      </c>
      <c r="T358" s="160">
        <f>VLOOKUP(C358,'Talente &amp; Stuff'!FU:GV,18,FALSE)</f>
        <v>0</v>
      </c>
      <c r="U358" s="47">
        <f>VLOOKUP(C358,'Talente &amp; Stuff'!FU:GV,19,FALSE)</f>
        <v>0</v>
      </c>
      <c r="V358" s="47">
        <f>VLOOKUP(C358,'Talente &amp; Stuff'!FU:GV,20,FALSE)</f>
        <v>0</v>
      </c>
      <c r="W358" s="47">
        <f>VLOOKUP(C358,'Talente &amp; Stuff'!FU:GV,21,FALSE)</f>
        <v>0</v>
      </c>
      <c r="X358" s="125">
        <f>VLOOKUP(C358,'Talente &amp; Stuff'!FU:GV,22,FALSE)</f>
        <v>0</v>
      </c>
      <c r="Y358" s="165">
        <f t="shared" si="24"/>
        <v>0</v>
      </c>
      <c r="Z358" s="44">
        <f t="shared" si="25"/>
        <v>0</v>
      </c>
      <c r="AA358" s="125">
        <f>VLOOKUP(C358,'Talente &amp; Stuff'!FU:GV,25,FALSE)</f>
        <v>0</v>
      </c>
      <c r="AB358" s="160">
        <f>VLOOKUP(C358,'Talente &amp; Stuff'!FU:GV,26,FALSE)</f>
        <v>0</v>
      </c>
      <c r="AC358" s="127">
        <f>VLOOKUP(C358,'Talente &amp; Stuff'!FU:GV,27,FALSE)</f>
        <v>0</v>
      </c>
      <c r="AD358" s="125">
        <f>VLOOKUP(C358,'Talente &amp; Stuff'!FU:GV,28,FALSE)</f>
        <v>0</v>
      </c>
      <c r="AE358" s="28"/>
    </row>
    <row r="359" spans="2:31" ht="15" hidden="1" customHeight="1" outlineLevel="2">
      <c r="B359" s="148">
        <v>3</v>
      </c>
      <c r="C359" s="177" t="str">
        <f>Attribute!C359</f>
        <v>---</v>
      </c>
      <c r="D359" s="86" t="str">
        <f>VLOOKUP(C359,'Talente &amp; Stuff'!FU:GV,2,FALSE)</f>
        <v>--/--/--</v>
      </c>
      <c r="E359" s="125" t="str">
        <f>VLOOKUP(C359,'Talente &amp; Stuff'!FU:GV,3,FALSE)</f>
        <v>-</v>
      </c>
      <c r="F359" s="113">
        <f>VLOOKUP(C359,'Talente &amp; Stuff'!FU:GV,4,FALSE)</f>
        <v>0</v>
      </c>
      <c r="G359" s="113">
        <f>VLOOKUP(C359,'Talente &amp; Stuff'!FU:GV,5,FALSE)</f>
        <v>0</v>
      </c>
      <c r="H359" s="113">
        <f>VLOOKUP(C359,'Talente &amp; Stuff'!FU:GV,6,FALSE)</f>
        <v>0</v>
      </c>
      <c r="I359" s="113">
        <f>VLOOKUP(C359,'Talente &amp; Stuff'!FU:GV,7,FALSE)</f>
        <v>0</v>
      </c>
      <c r="J359" s="113">
        <f>VLOOKUP(C359,'Talente &amp; Stuff'!FU:GV,8,FALSE)</f>
        <v>0</v>
      </c>
      <c r="K359" s="113">
        <f>VLOOKUP(C359,'Talente &amp; Stuff'!FU:GV,9,FALSE)</f>
        <v>0</v>
      </c>
      <c r="L359" s="113">
        <f>VLOOKUP(C359,'Talente &amp; Stuff'!FU:GV,10,FALSE)</f>
        <v>0</v>
      </c>
      <c r="M359" s="113">
        <f>VLOOKUP(C359,'Talente &amp; Stuff'!FU:GV,11,FALSE)</f>
        <v>0</v>
      </c>
      <c r="N359" s="89">
        <f>VLOOKUP(C359,'Talente &amp; Stuff'!FU:GV,12,FALSE)</f>
        <v>0</v>
      </c>
      <c r="O359" s="47">
        <f>VLOOKUP(C359,'Talente &amp; Stuff'!FU:GV,13,FALSE)</f>
        <v>0</v>
      </c>
      <c r="P359" s="119">
        <f>VLOOKUP(C359,'Talente &amp; Stuff'!FU:GV,14,FALSE)</f>
        <v>0</v>
      </c>
      <c r="Q359" s="113">
        <f>VLOOKUP(C359,'Talente &amp; Stuff'!FU:GV,15,FALSE)</f>
        <v>0</v>
      </c>
      <c r="R359" s="113">
        <f>VLOOKUP(C359,'Talente &amp; Stuff'!FU:GV,16,FALSE)</f>
        <v>0</v>
      </c>
      <c r="S359" s="113">
        <f>VLOOKUP(C359,'Talente &amp; Stuff'!FU:GV,17,FALSE)</f>
        <v>0</v>
      </c>
      <c r="T359" s="160">
        <f>VLOOKUP(C359,'Talente &amp; Stuff'!FU:GV,18,FALSE)</f>
        <v>0</v>
      </c>
      <c r="U359" s="47">
        <f>VLOOKUP(C359,'Talente &amp; Stuff'!FU:GV,19,FALSE)</f>
        <v>0</v>
      </c>
      <c r="V359" s="47">
        <f>VLOOKUP(C359,'Talente &amp; Stuff'!FU:GV,20,FALSE)</f>
        <v>0</v>
      </c>
      <c r="W359" s="47">
        <f>VLOOKUP(C359,'Talente &amp; Stuff'!FU:GV,21,FALSE)</f>
        <v>0</v>
      </c>
      <c r="X359" s="125">
        <f>VLOOKUP(C359,'Talente &amp; Stuff'!FU:GV,22,FALSE)</f>
        <v>0</v>
      </c>
      <c r="Y359" s="165">
        <f t="shared" si="24"/>
        <v>0</v>
      </c>
      <c r="Z359" s="44">
        <f t="shared" si="25"/>
        <v>0</v>
      </c>
      <c r="AA359" s="125">
        <f>VLOOKUP(C359,'Talente &amp; Stuff'!FU:GV,25,FALSE)</f>
        <v>0</v>
      </c>
      <c r="AB359" s="160">
        <f>VLOOKUP(C359,'Talente &amp; Stuff'!FU:GV,26,FALSE)</f>
        <v>0</v>
      </c>
      <c r="AC359" s="127">
        <f>VLOOKUP(C359,'Talente &amp; Stuff'!FU:GV,27,FALSE)</f>
        <v>0</v>
      </c>
      <c r="AD359" s="125">
        <f>VLOOKUP(C359,'Talente &amp; Stuff'!FU:GV,28,FALSE)</f>
        <v>0</v>
      </c>
      <c r="AE359" s="28"/>
    </row>
    <row r="360" spans="2:31" ht="15" hidden="1" customHeight="1" outlineLevel="2">
      <c r="B360" s="148">
        <v>4</v>
      </c>
      <c r="C360" s="177" t="str">
        <f>Attribute!C360</f>
        <v>---</v>
      </c>
      <c r="D360" s="86" t="str">
        <f>VLOOKUP(C360,'Talente &amp; Stuff'!FU:GV,2,FALSE)</f>
        <v>--/--/--</v>
      </c>
      <c r="E360" s="125" t="str">
        <f>VLOOKUP(C360,'Talente &amp; Stuff'!FU:GV,3,FALSE)</f>
        <v>-</v>
      </c>
      <c r="F360" s="113">
        <f>VLOOKUP(C360,'Talente &amp; Stuff'!FU:GV,4,FALSE)</f>
        <v>0</v>
      </c>
      <c r="G360" s="113">
        <f>VLOOKUP(C360,'Talente &amp; Stuff'!FU:GV,5,FALSE)</f>
        <v>0</v>
      </c>
      <c r="H360" s="113">
        <f>VLOOKUP(C360,'Talente &amp; Stuff'!FU:GV,6,FALSE)</f>
        <v>0</v>
      </c>
      <c r="I360" s="113">
        <f>VLOOKUP(C360,'Talente &amp; Stuff'!FU:GV,7,FALSE)</f>
        <v>0</v>
      </c>
      <c r="J360" s="113">
        <f>VLOOKUP(C360,'Talente &amp; Stuff'!FU:GV,8,FALSE)</f>
        <v>0</v>
      </c>
      <c r="K360" s="113">
        <f>VLOOKUP(C360,'Talente &amp; Stuff'!FU:GV,9,FALSE)</f>
        <v>0</v>
      </c>
      <c r="L360" s="113">
        <f>VLOOKUP(C360,'Talente &amp; Stuff'!FU:GV,10,FALSE)</f>
        <v>0</v>
      </c>
      <c r="M360" s="113">
        <f>VLOOKUP(C360,'Talente &amp; Stuff'!FU:GV,11,FALSE)</f>
        <v>0</v>
      </c>
      <c r="N360" s="89">
        <f>VLOOKUP(C360,'Talente &amp; Stuff'!FU:GV,12,FALSE)</f>
        <v>0</v>
      </c>
      <c r="O360" s="47">
        <f>VLOOKUP(C360,'Talente &amp; Stuff'!FU:GV,13,FALSE)</f>
        <v>0</v>
      </c>
      <c r="P360" s="119">
        <f>VLOOKUP(C360,'Talente &amp; Stuff'!FU:GV,14,FALSE)</f>
        <v>0</v>
      </c>
      <c r="Q360" s="113">
        <f>VLOOKUP(C360,'Talente &amp; Stuff'!FU:GV,15,FALSE)</f>
        <v>0</v>
      </c>
      <c r="R360" s="113">
        <f>VLOOKUP(C360,'Talente &amp; Stuff'!FU:GV,16,FALSE)</f>
        <v>0</v>
      </c>
      <c r="S360" s="113">
        <f>VLOOKUP(C360,'Talente &amp; Stuff'!FU:GV,17,FALSE)</f>
        <v>0</v>
      </c>
      <c r="T360" s="160">
        <f>VLOOKUP(C360,'Talente &amp; Stuff'!FU:GV,18,FALSE)</f>
        <v>0</v>
      </c>
      <c r="U360" s="47">
        <f>VLOOKUP(C360,'Talente &amp; Stuff'!FU:GV,19,FALSE)</f>
        <v>0</v>
      </c>
      <c r="V360" s="47">
        <f>VLOOKUP(C360,'Talente &amp; Stuff'!FU:GV,20,FALSE)</f>
        <v>0</v>
      </c>
      <c r="W360" s="47">
        <f>VLOOKUP(C360,'Talente &amp; Stuff'!FU:GV,21,FALSE)</f>
        <v>0</v>
      </c>
      <c r="X360" s="125">
        <f>VLOOKUP(C360,'Talente &amp; Stuff'!FU:GV,22,FALSE)</f>
        <v>0</v>
      </c>
      <c r="Y360" s="165">
        <f t="shared" si="24"/>
        <v>0</v>
      </c>
      <c r="Z360" s="44">
        <f t="shared" si="25"/>
        <v>0</v>
      </c>
      <c r="AA360" s="125">
        <f>VLOOKUP(C360,'Talente &amp; Stuff'!FU:GV,25,FALSE)</f>
        <v>0</v>
      </c>
      <c r="AB360" s="160">
        <f>VLOOKUP(C360,'Talente &amp; Stuff'!FU:GV,26,FALSE)</f>
        <v>0</v>
      </c>
      <c r="AC360" s="127">
        <f>VLOOKUP(C360,'Talente &amp; Stuff'!FU:GV,27,FALSE)</f>
        <v>0</v>
      </c>
      <c r="AD360" s="125">
        <f>VLOOKUP(C360,'Talente &amp; Stuff'!FU:GV,28,FALSE)</f>
        <v>0</v>
      </c>
      <c r="AE360" s="28"/>
    </row>
    <row r="361" spans="2:31" ht="15" hidden="1" customHeight="1" outlineLevel="2">
      <c r="B361" s="148">
        <v>5</v>
      </c>
      <c r="C361" s="177" t="str">
        <f>Attribute!C361</f>
        <v>---</v>
      </c>
      <c r="D361" s="86" t="str">
        <f>VLOOKUP(C361,'Talente &amp; Stuff'!FU:GV,2,FALSE)</f>
        <v>--/--/--</v>
      </c>
      <c r="E361" s="125" t="str">
        <f>VLOOKUP(C361,'Talente &amp; Stuff'!FU:GV,3,FALSE)</f>
        <v>-</v>
      </c>
      <c r="F361" s="113">
        <f>VLOOKUP(C361,'Talente &amp; Stuff'!FU:GV,4,FALSE)</f>
        <v>0</v>
      </c>
      <c r="G361" s="113">
        <f>VLOOKUP(C361,'Talente &amp; Stuff'!FU:GV,5,FALSE)</f>
        <v>0</v>
      </c>
      <c r="H361" s="113">
        <f>VLOOKUP(C361,'Talente &amp; Stuff'!FU:GV,6,FALSE)</f>
        <v>0</v>
      </c>
      <c r="I361" s="113">
        <f>VLOOKUP(C361,'Talente &amp; Stuff'!FU:GV,7,FALSE)</f>
        <v>0</v>
      </c>
      <c r="J361" s="113">
        <f>VLOOKUP(C361,'Talente &amp; Stuff'!FU:GV,8,FALSE)</f>
        <v>0</v>
      </c>
      <c r="K361" s="113">
        <f>VLOOKUP(C361,'Talente &amp; Stuff'!FU:GV,9,FALSE)</f>
        <v>0</v>
      </c>
      <c r="L361" s="113">
        <f>VLOOKUP(C361,'Talente &amp; Stuff'!FU:GV,10,FALSE)</f>
        <v>0</v>
      </c>
      <c r="M361" s="113">
        <f>VLOOKUP(C361,'Talente &amp; Stuff'!FU:GV,11,FALSE)</f>
        <v>0</v>
      </c>
      <c r="N361" s="89">
        <f>VLOOKUP(C361,'Talente &amp; Stuff'!FU:GV,12,FALSE)</f>
        <v>0</v>
      </c>
      <c r="O361" s="47">
        <f>VLOOKUP(C361,'Talente &amp; Stuff'!FU:GV,13,FALSE)</f>
        <v>0</v>
      </c>
      <c r="P361" s="119">
        <f>VLOOKUP(C361,'Talente &amp; Stuff'!FU:GV,14,FALSE)</f>
        <v>0</v>
      </c>
      <c r="Q361" s="113">
        <f>VLOOKUP(C361,'Talente &amp; Stuff'!FU:GV,15,FALSE)</f>
        <v>0</v>
      </c>
      <c r="R361" s="113">
        <f>VLOOKUP(C361,'Talente &amp; Stuff'!FU:GV,16,FALSE)</f>
        <v>0</v>
      </c>
      <c r="S361" s="113">
        <f>VLOOKUP(C361,'Talente &amp; Stuff'!FU:GV,17,FALSE)</f>
        <v>0</v>
      </c>
      <c r="T361" s="160">
        <f>VLOOKUP(C361,'Talente &amp; Stuff'!FU:GV,18,FALSE)</f>
        <v>0</v>
      </c>
      <c r="U361" s="47">
        <f>VLOOKUP(C361,'Talente &amp; Stuff'!FU:GV,19,FALSE)</f>
        <v>0</v>
      </c>
      <c r="V361" s="47">
        <f>VLOOKUP(C361,'Talente &amp; Stuff'!FU:GV,20,FALSE)</f>
        <v>0</v>
      </c>
      <c r="W361" s="47">
        <f>VLOOKUP(C361,'Talente &amp; Stuff'!FU:GV,21,FALSE)</f>
        <v>0</v>
      </c>
      <c r="X361" s="125">
        <f>VLOOKUP(C361,'Talente &amp; Stuff'!FU:GV,22,FALSE)</f>
        <v>0</v>
      </c>
      <c r="Y361" s="165">
        <f t="shared" si="24"/>
        <v>0</v>
      </c>
      <c r="Z361" s="44">
        <f t="shared" si="25"/>
        <v>0</v>
      </c>
      <c r="AA361" s="125">
        <f>VLOOKUP(C361,'Talente &amp; Stuff'!FU:GV,25,FALSE)</f>
        <v>0</v>
      </c>
      <c r="AB361" s="160">
        <f>VLOOKUP(C361,'Talente &amp; Stuff'!FU:GV,26,FALSE)</f>
        <v>0</v>
      </c>
      <c r="AC361" s="127">
        <f>VLOOKUP(C361,'Talente &amp; Stuff'!FU:GV,27,FALSE)</f>
        <v>0</v>
      </c>
      <c r="AD361" s="125">
        <f>VLOOKUP(C361,'Talente &amp; Stuff'!FU:GV,28,FALSE)</f>
        <v>0</v>
      </c>
      <c r="AE361" s="28"/>
    </row>
    <row r="362" spans="2:31" ht="15" hidden="1" customHeight="1" outlineLevel="2">
      <c r="B362" s="148">
        <v>6</v>
      </c>
      <c r="C362" s="177" t="str">
        <f>Attribute!C362</f>
        <v>---</v>
      </c>
      <c r="D362" s="86" t="str">
        <f>VLOOKUP(C362,'Talente &amp; Stuff'!FU:GV,2,FALSE)</f>
        <v>--/--/--</v>
      </c>
      <c r="E362" s="125" t="str">
        <f>VLOOKUP(C362,'Talente &amp; Stuff'!FU:GV,3,FALSE)</f>
        <v>-</v>
      </c>
      <c r="F362" s="113">
        <f>VLOOKUP(C362,'Talente &amp; Stuff'!FU:GV,4,FALSE)</f>
        <v>0</v>
      </c>
      <c r="G362" s="113">
        <f>VLOOKUP(C362,'Talente &amp; Stuff'!FU:GV,5,FALSE)</f>
        <v>0</v>
      </c>
      <c r="H362" s="113">
        <f>VLOOKUP(C362,'Talente &amp; Stuff'!FU:GV,6,FALSE)</f>
        <v>0</v>
      </c>
      <c r="I362" s="113">
        <f>VLOOKUP(C362,'Talente &amp; Stuff'!FU:GV,7,FALSE)</f>
        <v>0</v>
      </c>
      <c r="J362" s="113">
        <f>VLOOKUP(C362,'Talente &amp; Stuff'!FU:GV,8,FALSE)</f>
        <v>0</v>
      </c>
      <c r="K362" s="113">
        <f>VLOOKUP(C362,'Talente &amp; Stuff'!FU:GV,9,FALSE)</f>
        <v>0</v>
      </c>
      <c r="L362" s="113">
        <f>VLOOKUP(C362,'Talente &amp; Stuff'!FU:GV,10,FALSE)</f>
        <v>0</v>
      </c>
      <c r="M362" s="113">
        <f>VLOOKUP(C362,'Talente &amp; Stuff'!FU:GV,11,FALSE)</f>
        <v>0</v>
      </c>
      <c r="N362" s="89">
        <f>VLOOKUP(C362,'Talente &amp; Stuff'!FU:GV,12,FALSE)</f>
        <v>0</v>
      </c>
      <c r="O362" s="47">
        <f>VLOOKUP(C362,'Talente &amp; Stuff'!FU:GV,13,FALSE)</f>
        <v>0</v>
      </c>
      <c r="P362" s="119">
        <f>VLOOKUP(C362,'Talente &amp; Stuff'!FU:GV,14,FALSE)</f>
        <v>0</v>
      </c>
      <c r="Q362" s="113">
        <f>VLOOKUP(C362,'Talente &amp; Stuff'!FU:GV,15,FALSE)</f>
        <v>0</v>
      </c>
      <c r="R362" s="113">
        <f>VLOOKUP(C362,'Talente &amp; Stuff'!FU:GV,16,FALSE)</f>
        <v>0</v>
      </c>
      <c r="S362" s="113">
        <f>VLOOKUP(C362,'Talente &amp; Stuff'!FU:GV,17,FALSE)</f>
        <v>0</v>
      </c>
      <c r="T362" s="160">
        <f>VLOOKUP(C362,'Talente &amp; Stuff'!FU:GV,18,FALSE)</f>
        <v>0</v>
      </c>
      <c r="U362" s="47">
        <f>VLOOKUP(C362,'Talente &amp; Stuff'!FU:GV,19,FALSE)</f>
        <v>0</v>
      </c>
      <c r="V362" s="47">
        <f>VLOOKUP(C362,'Talente &amp; Stuff'!FU:GV,20,FALSE)</f>
        <v>0</v>
      </c>
      <c r="W362" s="47">
        <f>VLOOKUP(C362,'Talente &amp; Stuff'!FU:GV,21,FALSE)</f>
        <v>0</v>
      </c>
      <c r="X362" s="125">
        <f>VLOOKUP(C362,'Talente &amp; Stuff'!FU:GV,22,FALSE)</f>
        <v>0</v>
      </c>
      <c r="Y362" s="165">
        <f t="shared" si="24"/>
        <v>0</v>
      </c>
      <c r="Z362" s="44">
        <f t="shared" si="25"/>
        <v>0</v>
      </c>
      <c r="AA362" s="125">
        <f>VLOOKUP(C362,'Talente &amp; Stuff'!FU:GV,25,FALSE)</f>
        <v>0</v>
      </c>
      <c r="AB362" s="160">
        <f>VLOOKUP(C362,'Talente &amp; Stuff'!FU:GV,26,FALSE)</f>
        <v>0</v>
      </c>
      <c r="AC362" s="127">
        <f>VLOOKUP(C362,'Talente &amp; Stuff'!FU:GV,27,FALSE)</f>
        <v>0</v>
      </c>
      <c r="AD362" s="125">
        <f>VLOOKUP(C362,'Talente &amp; Stuff'!FU:GV,28,FALSE)</f>
        <v>0</v>
      </c>
      <c r="AE362" s="28"/>
    </row>
    <row r="363" spans="2:31" ht="15" hidden="1" customHeight="1" outlineLevel="2">
      <c r="B363" s="148">
        <v>7</v>
      </c>
      <c r="C363" s="177" t="str">
        <f>Attribute!C363</f>
        <v>---</v>
      </c>
      <c r="D363" s="86" t="str">
        <f>VLOOKUP(C363,'Talente &amp; Stuff'!FU:GV,2,FALSE)</f>
        <v>--/--/--</v>
      </c>
      <c r="E363" s="125" t="str">
        <f>VLOOKUP(C363,'Talente &amp; Stuff'!FU:GV,3,FALSE)</f>
        <v>-</v>
      </c>
      <c r="F363" s="113">
        <f>VLOOKUP(C363,'Talente &amp; Stuff'!FU:GV,4,FALSE)</f>
        <v>0</v>
      </c>
      <c r="G363" s="113">
        <f>VLOOKUP(C363,'Talente &amp; Stuff'!FU:GV,5,FALSE)</f>
        <v>0</v>
      </c>
      <c r="H363" s="113">
        <f>VLOOKUP(C363,'Talente &amp; Stuff'!FU:GV,6,FALSE)</f>
        <v>0</v>
      </c>
      <c r="I363" s="113">
        <f>VLOOKUP(C363,'Talente &amp; Stuff'!FU:GV,7,FALSE)</f>
        <v>0</v>
      </c>
      <c r="J363" s="113">
        <f>VLOOKUP(C363,'Talente &amp; Stuff'!FU:GV,8,FALSE)</f>
        <v>0</v>
      </c>
      <c r="K363" s="113">
        <f>VLOOKUP(C363,'Talente &amp; Stuff'!FU:GV,9,FALSE)</f>
        <v>0</v>
      </c>
      <c r="L363" s="113">
        <f>VLOOKUP(C363,'Talente &amp; Stuff'!FU:GV,10,FALSE)</f>
        <v>0</v>
      </c>
      <c r="M363" s="113">
        <f>VLOOKUP(C363,'Talente &amp; Stuff'!FU:GV,11,FALSE)</f>
        <v>0</v>
      </c>
      <c r="N363" s="89">
        <f>VLOOKUP(C363,'Talente &amp; Stuff'!FU:GV,12,FALSE)</f>
        <v>0</v>
      </c>
      <c r="O363" s="47">
        <f>VLOOKUP(C363,'Talente &amp; Stuff'!FU:GV,13,FALSE)</f>
        <v>0</v>
      </c>
      <c r="P363" s="119">
        <f>VLOOKUP(C363,'Talente &amp; Stuff'!FU:GV,14,FALSE)</f>
        <v>0</v>
      </c>
      <c r="Q363" s="113">
        <f>VLOOKUP(C363,'Talente &amp; Stuff'!FU:GV,15,FALSE)</f>
        <v>0</v>
      </c>
      <c r="R363" s="113">
        <f>VLOOKUP(C363,'Talente &amp; Stuff'!FU:GV,16,FALSE)</f>
        <v>0</v>
      </c>
      <c r="S363" s="113">
        <f>VLOOKUP(C363,'Talente &amp; Stuff'!FU:GV,17,FALSE)</f>
        <v>0</v>
      </c>
      <c r="T363" s="160">
        <f>VLOOKUP(C363,'Talente &amp; Stuff'!FU:GV,18,FALSE)</f>
        <v>0</v>
      </c>
      <c r="U363" s="47">
        <f>VLOOKUP(C363,'Talente &amp; Stuff'!FU:GV,19,FALSE)</f>
        <v>0</v>
      </c>
      <c r="V363" s="47">
        <f>VLOOKUP(C363,'Talente &amp; Stuff'!FU:GV,20,FALSE)</f>
        <v>0</v>
      </c>
      <c r="W363" s="47">
        <f>VLOOKUP(C363,'Talente &amp; Stuff'!FU:GV,21,FALSE)</f>
        <v>0</v>
      </c>
      <c r="X363" s="125">
        <f>VLOOKUP(C363,'Talente &amp; Stuff'!FU:GV,22,FALSE)</f>
        <v>0</v>
      </c>
      <c r="Y363" s="165">
        <f t="shared" si="24"/>
        <v>0</v>
      </c>
      <c r="Z363" s="44">
        <f t="shared" si="25"/>
        <v>0</v>
      </c>
      <c r="AA363" s="125">
        <f>VLOOKUP(C363,'Talente &amp; Stuff'!FU:GV,25,FALSE)</f>
        <v>0</v>
      </c>
      <c r="AB363" s="160">
        <f>VLOOKUP(C363,'Talente &amp; Stuff'!FU:GV,26,FALSE)</f>
        <v>0</v>
      </c>
      <c r="AC363" s="127">
        <f>VLOOKUP(C363,'Talente &amp; Stuff'!FU:GV,27,FALSE)</f>
        <v>0</v>
      </c>
      <c r="AD363" s="125">
        <f>VLOOKUP(C363,'Talente &amp; Stuff'!FU:GV,28,FALSE)</f>
        <v>0</v>
      </c>
      <c r="AE363" s="28"/>
    </row>
    <row r="364" spans="2:31" ht="15" hidden="1" customHeight="1" outlineLevel="2">
      <c r="B364" s="148">
        <v>8</v>
      </c>
      <c r="C364" s="177" t="str">
        <f>Attribute!C364</f>
        <v>---</v>
      </c>
      <c r="D364" s="86" t="str">
        <f>VLOOKUP(C364,'Talente &amp; Stuff'!FU:GV,2,FALSE)</f>
        <v>--/--/--</v>
      </c>
      <c r="E364" s="125" t="str">
        <f>VLOOKUP(C364,'Talente &amp; Stuff'!FU:GV,3,FALSE)</f>
        <v>-</v>
      </c>
      <c r="F364" s="113">
        <f>VLOOKUP(C364,'Talente &amp; Stuff'!FU:GV,4,FALSE)</f>
        <v>0</v>
      </c>
      <c r="G364" s="113">
        <f>VLOOKUP(C364,'Talente &amp; Stuff'!FU:GV,5,FALSE)</f>
        <v>0</v>
      </c>
      <c r="H364" s="113">
        <f>VLOOKUP(C364,'Talente &amp; Stuff'!FU:GV,6,FALSE)</f>
        <v>0</v>
      </c>
      <c r="I364" s="113">
        <f>VLOOKUP(C364,'Talente &amp; Stuff'!FU:GV,7,FALSE)</f>
        <v>0</v>
      </c>
      <c r="J364" s="113">
        <f>VLOOKUP(C364,'Talente &amp; Stuff'!FU:GV,8,FALSE)</f>
        <v>0</v>
      </c>
      <c r="K364" s="113">
        <f>VLOOKUP(C364,'Talente &amp; Stuff'!FU:GV,9,FALSE)</f>
        <v>0</v>
      </c>
      <c r="L364" s="113">
        <f>VLOOKUP(C364,'Talente &amp; Stuff'!FU:GV,10,FALSE)</f>
        <v>0</v>
      </c>
      <c r="M364" s="113">
        <f>VLOOKUP(C364,'Talente &amp; Stuff'!FU:GV,11,FALSE)</f>
        <v>0</v>
      </c>
      <c r="N364" s="89">
        <f>VLOOKUP(C364,'Talente &amp; Stuff'!FU:GV,12,FALSE)</f>
        <v>0</v>
      </c>
      <c r="O364" s="47">
        <f>VLOOKUP(C364,'Talente &amp; Stuff'!FU:GV,13,FALSE)</f>
        <v>0</v>
      </c>
      <c r="P364" s="119">
        <f>VLOOKUP(C364,'Talente &amp; Stuff'!FU:GV,14,FALSE)</f>
        <v>0</v>
      </c>
      <c r="Q364" s="113">
        <f>VLOOKUP(C364,'Talente &amp; Stuff'!FU:GV,15,FALSE)</f>
        <v>0</v>
      </c>
      <c r="R364" s="113">
        <f>VLOOKUP(C364,'Talente &amp; Stuff'!FU:GV,16,FALSE)</f>
        <v>0</v>
      </c>
      <c r="S364" s="113">
        <f>VLOOKUP(C364,'Talente &amp; Stuff'!FU:GV,17,FALSE)</f>
        <v>0</v>
      </c>
      <c r="T364" s="160">
        <f>VLOOKUP(C364,'Talente &amp; Stuff'!FU:GV,18,FALSE)</f>
        <v>0</v>
      </c>
      <c r="U364" s="47">
        <f>VLOOKUP(C364,'Talente &amp; Stuff'!FU:GV,19,FALSE)</f>
        <v>0</v>
      </c>
      <c r="V364" s="47">
        <f>VLOOKUP(C364,'Talente &amp; Stuff'!FU:GV,20,FALSE)</f>
        <v>0</v>
      </c>
      <c r="W364" s="47">
        <f>VLOOKUP(C364,'Talente &amp; Stuff'!FU:GV,21,FALSE)</f>
        <v>0</v>
      </c>
      <c r="X364" s="125">
        <f>VLOOKUP(C364,'Talente &amp; Stuff'!FU:GV,22,FALSE)</f>
        <v>0</v>
      </c>
      <c r="Y364" s="165">
        <f t="shared" si="24"/>
        <v>0</v>
      </c>
      <c r="Z364" s="44">
        <f t="shared" si="25"/>
        <v>0</v>
      </c>
      <c r="AA364" s="125">
        <f>VLOOKUP(C364,'Talente &amp; Stuff'!FU:GV,25,FALSE)</f>
        <v>0</v>
      </c>
      <c r="AB364" s="160">
        <f>VLOOKUP(C364,'Talente &amp; Stuff'!FU:GV,26,FALSE)</f>
        <v>0</v>
      </c>
      <c r="AC364" s="127">
        <f>VLOOKUP(C364,'Talente &amp; Stuff'!FU:GV,27,FALSE)</f>
        <v>0</v>
      </c>
      <c r="AD364" s="125">
        <f>VLOOKUP(C364,'Talente &amp; Stuff'!FU:GV,28,FALSE)</f>
        <v>0</v>
      </c>
      <c r="AE364" s="28"/>
    </row>
    <row r="365" spans="2:31" ht="15" hidden="1" customHeight="1" outlineLevel="2">
      <c r="B365" s="148">
        <v>9</v>
      </c>
      <c r="C365" s="178" t="str">
        <f>Attribute!C365</f>
        <v>---</v>
      </c>
      <c r="D365" s="87" t="str">
        <f>VLOOKUP(C365,'Talente &amp; Stuff'!FU:GV,2,FALSE)</f>
        <v>--/--/--</v>
      </c>
      <c r="E365" s="159" t="str">
        <f>VLOOKUP(C365,'Talente &amp; Stuff'!FU:GV,3,FALSE)</f>
        <v>-</v>
      </c>
      <c r="F365" s="122">
        <f>VLOOKUP(C365,'Talente &amp; Stuff'!FU:GV,4,FALSE)</f>
        <v>0</v>
      </c>
      <c r="G365" s="122">
        <f>VLOOKUP(C365,'Talente &amp; Stuff'!FU:GV,5,FALSE)</f>
        <v>0</v>
      </c>
      <c r="H365" s="122">
        <f>VLOOKUP(C365,'Talente &amp; Stuff'!FU:GV,6,FALSE)</f>
        <v>0</v>
      </c>
      <c r="I365" s="122">
        <f>VLOOKUP(C365,'Talente &amp; Stuff'!FU:GV,7,FALSE)</f>
        <v>0</v>
      </c>
      <c r="J365" s="122">
        <f>VLOOKUP(C365,'Talente &amp; Stuff'!FU:GV,8,FALSE)</f>
        <v>0</v>
      </c>
      <c r="K365" s="122">
        <f>VLOOKUP(C365,'Talente &amp; Stuff'!FU:GV,9,FALSE)</f>
        <v>0</v>
      </c>
      <c r="L365" s="122">
        <f>VLOOKUP(C365,'Talente &amp; Stuff'!FU:GV,10,FALSE)</f>
        <v>0</v>
      </c>
      <c r="M365" s="122">
        <f>VLOOKUP(C365,'Talente &amp; Stuff'!FU:GV,11,FALSE)</f>
        <v>0</v>
      </c>
      <c r="N365" s="90">
        <f>VLOOKUP(C365,'Talente &amp; Stuff'!FU:GV,12,FALSE)</f>
        <v>0</v>
      </c>
      <c r="O365" s="88">
        <f>VLOOKUP(C365,'Talente &amp; Stuff'!FU:GV,13,FALSE)</f>
        <v>0</v>
      </c>
      <c r="P365" s="123">
        <f>VLOOKUP(C365,'Talente &amp; Stuff'!FU:GV,14,FALSE)</f>
        <v>0</v>
      </c>
      <c r="Q365" s="122">
        <f>VLOOKUP(C365,'Talente &amp; Stuff'!FU:GV,15,FALSE)</f>
        <v>0</v>
      </c>
      <c r="R365" s="122">
        <f>VLOOKUP(C365,'Talente &amp; Stuff'!FU:GV,16,FALSE)</f>
        <v>0</v>
      </c>
      <c r="S365" s="122">
        <f>VLOOKUP(C365,'Talente &amp; Stuff'!FU:GV,17,FALSE)</f>
        <v>0</v>
      </c>
      <c r="T365" s="161">
        <f>VLOOKUP(C365,'Talente &amp; Stuff'!FU:GV,18,FALSE)</f>
        <v>0</v>
      </c>
      <c r="U365" s="88">
        <f>VLOOKUP(C365,'Talente &amp; Stuff'!FU:GV,19,FALSE)</f>
        <v>0</v>
      </c>
      <c r="V365" s="88">
        <f>VLOOKUP(C365,'Talente &amp; Stuff'!FU:GV,20,FALSE)</f>
        <v>0</v>
      </c>
      <c r="W365" s="88">
        <f>VLOOKUP(C365,'Talente &amp; Stuff'!FU:GV,21,FALSE)</f>
        <v>0</v>
      </c>
      <c r="X365" s="159">
        <f>VLOOKUP(C365,'Talente &amp; Stuff'!FU:GV,22,FALSE)</f>
        <v>0</v>
      </c>
      <c r="Y365" s="165">
        <f t="shared" si="24"/>
        <v>0</v>
      </c>
      <c r="Z365" s="44">
        <f t="shared" si="25"/>
        <v>0</v>
      </c>
      <c r="AA365" s="159">
        <f>VLOOKUP(C365,'Talente &amp; Stuff'!FU:GV,25,FALSE)</f>
        <v>0</v>
      </c>
      <c r="AB365" s="161">
        <f>VLOOKUP(C365,'Talente &amp; Stuff'!FU:GV,26,FALSE)</f>
        <v>0</v>
      </c>
      <c r="AC365" s="128">
        <f>VLOOKUP(C365,'Talente &amp; Stuff'!FU:GV,27,FALSE)</f>
        <v>0</v>
      </c>
      <c r="AD365" s="159">
        <f>VLOOKUP(C365,'Talente &amp; Stuff'!FU:GV,28,FALSE)</f>
        <v>0</v>
      </c>
      <c r="AE365" s="28"/>
    </row>
    <row r="366" spans="2:31" ht="15" hidden="1" customHeight="1" outlineLevel="1" collapsed="1">
      <c r="B366" s="134" t="s">
        <v>330</v>
      </c>
      <c r="C366" s="83"/>
      <c r="D366" s="84"/>
      <c r="E366" s="84"/>
    </row>
    <row r="367" spans="2:31" ht="15" hidden="1" customHeight="1" outlineLevel="2">
      <c r="B367" s="148">
        <v>1</v>
      </c>
      <c r="C367" s="176" t="str">
        <f>Attribute!C367</f>
        <v>---</v>
      </c>
      <c r="D367" s="158" t="str">
        <f>VLOOKUP(C367,'Talente &amp; Stuff'!FU:GV,2,FALSE)</f>
        <v>--/--/--</v>
      </c>
      <c r="E367" s="158" t="str">
        <f>VLOOKUP(C367,'Talente &amp; Stuff'!FU:GV,3,FALSE)</f>
        <v>-</v>
      </c>
      <c r="F367" s="118">
        <f>VLOOKUP(C367,'Talente &amp; Stuff'!FU:GV,4,FALSE)</f>
        <v>0</v>
      </c>
      <c r="G367" s="118">
        <f>VLOOKUP(C367,'Talente &amp; Stuff'!FU:GV,5,FALSE)</f>
        <v>0</v>
      </c>
      <c r="H367" s="118">
        <f>VLOOKUP(C367,'Talente &amp; Stuff'!FU:GV,6,FALSE)</f>
        <v>0</v>
      </c>
      <c r="I367" s="118">
        <f>VLOOKUP(C367,'Talente &amp; Stuff'!FU:GV,7,FALSE)</f>
        <v>0</v>
      </c>
      <c r="J367" s="118">
        <f>VLOOKUP(C367,'Talente &amp; Stuff'!FU:GV,8,FALSE)</f>
        <v>0</v>
      </c>
      <c r="K367" s="118">
        <f>VLOOKUP(C367,'Talente &amp; Stuff'!FU:GV,9,FALSE)</f>
        <v>0</v>
      </c>
      <c r="L367" s="118">
        <f>VLOOKUP(C367,'Talente &amp; Stuff'!FU:GV,10,FALSE)</f>
        <v>0</v>
      </c>
      <c r="M367" s="118">
        <f>VLOOKUP(C367,'Talente &amp; Stuff'!FU:GV,11,FALSE)</f>
        <v>0</v>
      </c>
      <c r="N367" s="193">
        <f>VLOOKUP(C367,'Talente &amp; Stuff'!FU:GV,12,FALSE)</f>
        <v>0</v>
      </c>
      <c r="O367" s="116">
        <f>VLOOKUP(C367,'Talente &amp; Stuff'!FU:GV,13,FALSE)</f>
        <v>0</v>
      </c>
      <c r="P367" s="92">
        <f>VLOOKUP(C367,'Talente &amp; Stuff'!FU:GV,14,FALSE)</f>
        <v>0</v>
      </c>
      <c r="Q367" s="118">
        <f>VLOOKUP(C367,'Talente &amp; Stuff'!FU:GV,15,FALSE)</f>
        <v>0</v>
      </c>
      <c r="R367" s="118">
        <f>VLOOKUP(C367,'Talente &amp; Stuff'!FU:GV,16,FALSE)</f>
        <v>0</v>
      </c>
      <c r="S367" s="118">
        <f>VLOOKUP(C367,'Talente &amp; Stuff'!FU:GV,17,FALSE)</f>
        <v>0</v>
      </c>
      <c r="T367" s="91">
        <f>VLOOKUP(C367,'Talente &amp; Stuff'!FU:GV,18,FALSE)</f>
        <v>0</v>
      </c>
      <c r="U367" s="116">
        <f>VLOOKUP(C367,'Talente &amp; Stuff'!FU:GV,19,FALSE)</f>
        <v>0</v>
      </c>
      <c r="V367" s="116">
        <f>VLOOKUP(C367,'Talente &amp; Stuff'!FU:GV,20,FALSE)</f>
        <v>0</v>
      </c>
      <c r="W367" s="116">
        <f>VLOOKUP(C367,'Talente &amp; Stuff'!FU:GV,21,FALSE)</f>
        <v>0</v>
      </c>
      <c r="X367" s="158">
        <f>VLOOKUP(C367,'Talente &amp; Stuff'!FU:GV,22,FALSE)</f>
        <v>0</v>
      </c>
      <c r="Y367" s="165">
        <f t="shared" ref="Y367:Y374" si="26">VLOOKUP(C367,Ausgewählte_Rituale_Elfen,197,FALSE)</f>
        <v>0</v>
      </c>
      <c r="Z367" s="44">
        <f t="shared" ref="Z367:Z374" si="27">VLOOKUP(C367,Ausgewählte_Rituale_Elfen,198,FALSE)</f>
        <v>0</v>
      </c>
      <c r="AA367" s="158">
        <f>VLOOKUP(C367,'Talente &amp; Stuff'!FU:GV,25,FALSE)</f>
        <v>0</v>
      </c>
      <c r="AB367" s="91">
        <f>VLOOKUP(C367,'Talente &amp; Stuff'!FU:GV,26,FALSE)</f>
        <v>0</v>
      </c>
      <c r="AC367" s="126">
        <f>VLOOKUP(C367,'Talente &amp; Stuff'!FU:GV,27,FALSE)</f>
        <v>0</v>
      </c>
      <c r="AD367" s="158">
        <f>VLOOKUP(C367,'Talente &amp; Stuff'!FU:GV,28,FALSE)</f>
        <v>0</v>
      </c>
      <c r="AE367" s="28"/>
    </row>
    <row r="368" spans="2:31" ht="15" hidden="1" customHeight="1" outlineLevel="2">
      <c r="B368" s="148">
        <v>2</v>
      </c>
      <c r="C368" s="177" t="str">
        <f>Attribute!C368</f>
        <v>---</v>
      </c>
      <c r="D368" s="125" t="str">
        <f>VLOOKUP(C368,'Talente &amp; Stuff'!FU:GV,2,FALSE)</f>
        <v>--/--/--</v>
      </c>
      <c r="E368" s="125" t="str">
        <f>VLOOKUP(C368,'Talente &amp; Stuff'!FU:GV,3,FALSE)</f>
        <v>-</v>
      </c>
      <c r="F368" s="113">
        <f>VLOOKUP(C368,'Talente &amp; Stuff'!FU:GV,4,FALSE)</f>
        <v>0</v>
      </c>
      <c r="G368" s="113">
        <f>VLOOKUP(C368,'Talente &amp; Stuff'!FU:GV,5,FALSE)</f>
        <v>0</v>
      </c>
      <c r="H368" s="113">
        <f>VLOOKUP(C368,'Talente &amp; Stuff'!FU:GV,6,FALSE)</f>
        <v>0</v>
      </c>
      <c r="I368" s="113">
        <f>VLOOKUP(C368,'Talente &amp; Stuff'!FU:GV,7,FALSE)</f>
        <v>0</v>
      </c>
      <c r="J368" s="113">
        <f>VLOOKUP(C368,'Talente &amp; Stuff'!FU:GV,8,FALSE)</f>
        <v>0</v>
      </c>
      <c r="K368" s="113">
        <f>VLOOKUP(C368,'Talente &amp; Stuff'!FU:GV,9,FALSE)</f>
        <v>0</v>
      </c>
      <c r="L368" s="113">
        <f>VLOOKUP(C368,'Talente &amp; Stuff'!FU:GV,10,FALSE)</f>
        <v>0</v>
      </c>
      <c r="M368" s="113">
        <f>VLOOKUP(C368,'Talente &amp; Stuff'!FU:GV,11,FALSE)</f>
        <v>0</v>
      </c>
      <c r="N368" s="89">
        <f>VLOOKUP(C368,'Talente &amp; Stuff'!FU:GV,12,FALSE)</f>
        <v>0</v>
      </c>
      <c r="O368" s="47">
        <f>VLOOKUP(C368,'Talente &amp; Stuff'!FU:GV,13,FALSE)</f>
        <v>0</v>
      </c>
      <c r="P368" s="119">
        <f>VLOOKUP(C368,'Talente &amp; Stuff'!FU:GV,14,FALSE)</f>
        <v>0</v>
      </c>
      <c r="Q368" s="113">
        <f>VLOOKUP(C368,'Talente &amp; Stuff'!FU:GV,15,FALSE)</f>
        <v>0</v>
      </c>
      <c r="R368" s="113">
        <f>VLOOKUP(C368,'Talente &amp; Stuff'!FU:GV,16,FALSE)</f>
        <v>0</v>
      </c>
      <c r="S368" s="113">
        <f>VLOOKUP(C368,'Talente &amp; Stuff'!FU:GV,17,FALSE)</f>
        <v>0</v>
      </c>
      <c r="T368" s="160">
        <f>VLOOKUP(C368,'Talente &amp; Stuff'!FU:GV,18,FALSE)</f>
        <v>0</v>
      </c>
      <c r="U368" s="47">
        <f>VLOOKUP(C368,'Talente &amp; Stuff'!FU:GV,19,FALSE)</f>
        <v>0</v>
      </c>
      <c r="V368" s="47">
        <f>VLOOKUP(C368,'Talente &amp; Stuff'!FU:GV,20,FALSE)</f>
        <v>0</v>
      </c>
      <c r="W368" s="47">
        <f>VLOOKUP(C368,'Talente &amp; Stuff'!FU:GV,21,FALSE)</f>
        <v>0</v>
      </c>
      <c r="X368" s="125">
        <f>VLOOKUP(C368,'Talente &amp; Stuff'!FU:GV,22,FALSE)</f>
        <v>0</v>
      </c>
      <c r="Y368" s="165">
        <f t="shared" si="26"/>
        <v>0</v>
      </c>
      <c r="Z368" s="44">
        <f t="shared" si="27"/>
        <v>0</v>
      </c>
      <c r="AA368" s="125">
        <f>VLOOKUP(C368,'Talente &amp; Stuff'!FU:GV,25,FALSE)</f>
        <v>0</v>
      </c>
      <c r="AB368" s="160">
        <f>VLOOKUP(C368,'Talente &amp; Stuff'!FU:GV,26,FALSE)</f>
        <v>0</v>
      </c>
      <c r="AC368" s="127">
        <f>VLOOKUP(C368,'Talente &amp; Stuff'!FU:GV,27,FALSE)</f>
        <v>0</v>
      </c>
      <c r="AD368" s="125">
        <f>VLOOKUP(C368,'Talente &amp; Stuff'!FU:GV,28,FALSE)</f>
        <v>0</v>
      </c>
      <c r="AE368" s="28"/>
    </row>
    <row r="369" spans="2:31" ht="15" hidden="1" customHeight="1" outlineLevel="2">
      <c r="B369" s="148">
        <v>3</v>
      </c>
      <c r="C369" s="177" t="str">
        <f>Attribute!C369</f>
        <v>---</v>
      </c>
      <c r="D369" s="125" t="str">
        <f>VLOOKUP(C369,'Talente &amp; Stuff'!FU:GV,2,FALSE)</f>
        <v>--/--/--</v>
      </c>
      <c r="E369" s="125" t="str">
        <f>VLOOKUP(C369,'Talente &amp; Stuff'!FU:GV,3,FALSE)</f>
        <v>-</v>
      </c>
      <c r="F369" s="113">
        <f>VLOOKUP(C369,'Talente &amp; Stuff'!FU:GV,4,FALSE)</f>
        <v>0</v>
      </c>
      <c r="G369" s="113">
        <f>VLOOKUP(C369,'Talente &amp; Stuff'!FU:GV,5,FALSE)</f>
        <v>0</v>
      </c>
      <c r="H369" s="113">
        <f>VLOOKUP(C369,'Talente &amp; Stuff'!FU:GV,6,FALSE)</f>
        <v>0</v>
      </c>
      <c r="I369" s="113">
        <f>VLOOKUP(C369,'Talente &amp; Stuff'!FU:GV,7,FALSE)</f>
        <v>0</v>
      </c>
      <c r="J369" s="113">
        <f>VLOOKUP(C369,'Talente &amp; Stuff'!FU:GV,8,FALSE)</f>
        <v>0</v>
      </c>
      <c r="K369" s="113">
        <f>VLOOKUP(C369,'Talente &amp; Stuff'!FU:GV,9,FALSE)</f>
        <v>0</v>
      </c>
      <c r="L369" s="113">
        <f>VLOOKUP(C369,'Talente &amp; Stuff'!FU:GV,10,FALSE)</f>
        <v>0</v>
      </c>
      <c r="M369" s="113">
        <f>VLOOKUP(C369,'Talente &amp; Stuff'!FU:GV,11,FALSE)</f>
        <v>0</v>
      </c>
      <c r="N369" s="89">
        <f>VLOOKUP(C369,'Talente &amp; Stuff'!FU:GV,12,FALSE)</f>
        <v>0</v>
      </c>
      <c r="O369" s="47">
        <f>VLOOKUP(C369,'Talente &amp; Stuff'!FU:GV,13,FALSE)</f>
        <v>0</v>
      </c>
      <c r="P369" s="119">
        <f>VLOOKUP(C369,'Talente &amp; Stuff'!FU:GV,14,FALSE)</f>
        <v>0</v>
      </c>
      <c r="Q369" s="113">
        <f>VLOOKUP(C369,'Talente &amp; Stuff'!FU:GV,15,FALSE)</f>
        <v>0</v>
      </c>
      <c r="R369" s="113">
        <f>VLOOKUP(C369,'Talente &amp; Stuff'!FU:GV,16,FALSE)</f>
        <v>0</v>
      </c>
      <c r="S369" s="113">
        <f>VLOOKUP(C369,'Talente &amp; Stuff'!FU:GV,17,FALSE)</f>
        <v>0</v>
      </c>
      <c r="T369" s="160">
        <f>VLOOKUP(C369,'Talente &amp; Stuff'!FU:GV,18,FALSE)</f>
        <v>0</v>
      </c>
      <c r="U369" s="47">
        <f>VLOOKUP(C369,'Talente &amp; Stuff'!FU:GV,19,FALSE)</f>
        <v>0</v>
      </c>
      <c r="V369" s="47">
        <f>VLOOKUP(C369,'Talente &amp; Stuff'!FU:GV,20,FALSE)</f>
        <v>0</v>
      </c>
      <c r="W369" s="47">
        <f>VLOOKUP(C369,'Talente &amp; Stuff'!FU:GV,21,FALSE)</f>
        <v>0</v>
      </c>
      <c r="X369" s="125">
        <f>VLOOKUP(C369,'Talente &amp; Stuff'!FU:GV,22,FALSE)</f>
        <v>0</v>
      </c>
      <c r="Y369" s="165">
        <f t="shared" si="26"/>
        <v>0</v>
      </c>
      <c r="Z369" s="44">
        <f t="shared" si="27"/>
        <v>0</v>
      </c>
      <c r="AA369" s="125">
        <f>VLOOKUP(C369,'Talente &amp; Stuff'!FU:GV,25,FALSE)</f>
        <v>0</v>
      </c>
      <c r="AB369" s="160">
        <f>VLOOKUP(C369,'Talente &amp; Stuff'!FU:GV,26,FALSE)</f>
        <v>0</v>
      </c>
      <c r="AC369" s="127">
        <f>VLOOKUP(C369,'Talente &amp; Stuff'!FU:GV,27,FALSE)</f>
        <v>0</v>
      </c>
      <c r="AD369" s="125">
        <f>VLOOKUP(C369,'Talente &amp; Stuff'!FU:GV,28,FALSE)</f>
        <v>0</v>
      </c>
      <c r="AE369" s="28"/>
    </row>
    <row r="370" spans="2:31" ht="15" hidden="1" customHeight="1" outlineLevel="2">
      <c r="B370" s="148">
        <v>4</v>
      </c>
      <c r="C370" s="177" t="str">
        <f>Attribute!C370</f>
        <v>---</v>
      </c>
      <c r="D370" s="125" t="str">
        <f>VLOOKUP(C370,'Talente &amp; Stuff'!FU:GV,2,FALSE)</f>
        <v>--/--/--</v>
      </c>
      <c r="E370" s="125" t="str">
        <f>VLOOKUP(C370,'Talente &amp; Stuff'!FU:GV,3,FALSE)</f>
        <v>-</v>
      </c>
      <c r="F370" s="113">
        <f>VLOOKUP(C370,'Talente &amp; Stuff'!FU:GV,4,FALSE)</f>
        <v>0</v>
      </c>
      <c r="G370" s="113">
        <f>VLOOKUP(C370,'Talente &amp; Stuff'!FU:GV,5,FALSE)</f>
        <v>0</v>
      </c>
      <c r="H370" s="113">
        <f>VLOOKUP(C370,'Talente &amp; Stuff'!FU:GV,6,FALSE)</f>
        <v>0</v>
      </c>
      <c r="I370" s="113">
        <f>VLOOKUP(C370,'Talente &amp; Stuff'!FU:GV,7,FALSE)</f>
        <v>0</v>
      </c>
      <c r="J370" s="113">
        <f>VLOOKUP(C370,'Talente &amp; Stuff'!FU:GV,8,FALSE)</f>
        <v>0</v>
      </c>
      <c r="K370" s="113">
        <f>VLOOKUP(C370,'Talente &amp; Stuff'!FU:GV,9,FALSE)</f>
        <v>0</v>
      </c>
      <c r="L370" s="113">
        <f>VLOOKUP(C370,'Talente &amp; Stuff'!FU:GV,10,FALSE)</f>
        <v>0</v>
      </c>
      <c r="M370" s="113">
        <f>VLOOKUP(C370,'Talente &amp; Stuff'!FU:GV,11,FALSE)</f>
        <v>0</v>
      </c>
      <c r="N370" s="89">
        <f>VLOOKUP(C370,'Talente &amp; Stuff'!FU:GV,12,FALSE)</f>
        <v>0</v>
      </c>
      <c r="O370" s="47">
        <f>VLOOKUP(C370,'Talente &amp; Stuff'!FU:GV,13,FALSE)</f>
        <v>0</v>
      </c>
      <c r="P370" s="119">
        <f>VLOOKUP(C370,'Talente &amp; Stuff'!FU:GV,14,FALSE)</f>
        <v>0</v>
      </c>
      <c r="Q370" s="113">
        <f>VLOOKUP(C370,'Talente &amp; Stuff'!FU:GV,15,FALSE)</f>
        <v>0</v>
      </c>
      <c r="R370" s="113">
        <f>VLOOKUP(C370,'Talente &amp; Stuff'!FU:GV,16,FALSE)</f>
        <v>0</v>
      </c>
      <c r="S370" s="113">
        <f>VLOOKUP(C370,'Talente &amp; Stuff'!FU:GV,17,FALSE)</f>
        <v>0</v>
      </c>
      <c r="T370" s="160">
        <f>VLOOKUP(C370,'Talente &amp; Stuff'!FU:GV,18,FALSE)</f>
        <v>0</v>
      </c>
      <c r="U370" s="47">
        <f>VLOOKUP(C370,'Talente &amp; Stuff'!FU:GV,19,FALSE)</f>
        <v>0</v>
      </c>
      <c r="V370" s="47">
        <f>VLOOKUP(C370,'Talente &amp; Stuff'!FU:GV,20,FALSE)</f>
        <v>0</v>
      </c>
      <c r="W370" s="47">
        <f>VLOOKUP(C370,'Talente &amp; Stuff'!FU:GV,21,FALSE)</f>
        <v>0</v>
      </c>
      <c r="X370" s="125">
        <f>VLOOKUP(C370,'Talente &amp; Stuff'!FU:GV,22,FALSE)</f>
        <v>0</v>
      </c>
      <c r="Y370" s="165">
        <f t="shared" si="26"/>
        <v>0</v>
      </c>
      <c r="Z370" s="44">
        <f t="shared" si="27"/>
        <v>0</v>
      </c>
      <c r="AA370" s="125">
        <f>VLOOKUP(C370,'Talente &amp; Stuff'!FU:GV,25,FALSE)</f>
        <v>0</v>
      </c>
      <c r="AB370" s="160">
        <f>VLOOKUP(C370,'Talente &amp; Stuff'!FU:GV,26,FALSE)</f>
        <v>0</v>
      </c>
      <c r="AC370" s="127">
        <f>VLOOKUP(C370,'Talente &amp; Stuff'!FU:GV,27,FALSE)</f>
        <v>0</v>
      </c>
      <c r="AD370" s="125">
        <f>VLOOKUP(C370,'Talente &amp; Stuff'!FU:GV,28,FALSE)</f>
        <v>0</v>
      </c>
      <c r="AE370" s="28"/>
    </row>
    <row r="371" spans="2:31" ht="15" hidden="1" customHeight="1" outlineLevel="2">
      <c r="B371" s="148">
        <v>5</v>
      </c>
      <c r="C371" s="177" t="str">
        <f>Attribute!C371</f>
        <v>---</v>
      </c>
      <c r="D371" s="125" t="str">
        <f>VLOOKUP(C371,'Talente &amp; Stuff'!FU:GV,2,FALSE)</f>
        <v>--/--/--</v>
      </c>
      <c r="E371" s="125" t="str">
        <f>VLOOKUP(C371,'Talente &amp; Stuff'!FU:GV,3,FALSE)</f>
        <v>-</v>
      </c>
      <c r="F371" s="113">
        <f>VLOOKUP(C371,'Talente &amp; Stuff'!FU:GV,4,FALSE)</f>
        <v>0</v>
      </c>
      <c r="G371" s="113">
        <f>VLOOKUP(C371,'Talente &amp; Stuff'!FU:GV,5,FALSE)</f>
        <v>0</v>
      </c>
      <c r="H371" s="113">
        <f>VLOOKUP(C371,'Talente &amp; Stuff'!FU:GV,6,FALSE)</f>
        <v>0</v>
      </c>
      <c r="I371" s="113">
        <f>VLOOKUP(C371,'Talente &amp; Stuff'!FU:GV,7,FALSE)</f>
        <v>0</v>
      </c>
      <c r="J371" s="113">
        <f>VLOOKUP(C371,'Talente &amp; Stuff'!FU:GV,8,FALSE)</f>
        <v>0</v>
      </c>
      <c r="K371" s="113">
        <f>VLOOKUP(C371,'Talente &amp; Stuff'!FU:GV,9,FALSE)</f>
        <v>0</v>
      </c>
      <c r="L371" s="113">
        <f>VLOOKUP(C371,'Talente &amp; Stuff'!FU:GV,10,FALSE)</f>
        <v>0</v>
      </c>
      <c r="M371" s="113">
        <f>VLOOKUP(C371,'Talente &amp; Stuff'!FU:GV,11,FALSE)</f>
        <v>0</v>
      </c>
      <c r="N371" s="89">
        <f>VLOOKUP(C371,'Talente &amp; Stuff'!FU:GV,12,FALSE)</f>
        <v>0</v>
      </c>
      <c r="O371" s="47">
        <f>VLOOKUP(C371,'Talente &amp; Stuff'!FU:GV,13,FALSE)</f>
        <v>0</v>
      </c>
      <c r="P371" s="119">
        <f>VLOOKUP(C371,'Talente &amp; Stuff'!FU:GV,14,FALSE)</f>
        <v>0</v>
      </c>
      <c r="Q371" s="113">
        <f>VLOOKUP(C371,'Talente &amp; Stuff'!FU:GV,15,FALSE)</f>
        <v>0</v>
      </c>
      <c r="R371" s="113">
        <f>VLOOKUP(C371,'Talente &amp; Stuff'!FU:GV,16,FALSE)</f>
        <v>0</v>
      </c>
      <c r="S371" s="113">
        <f>VLOOKUP(C371,'Talente &amp; Stuff'!FU:GV,17,FALSE)</f>
        <v>0</v>
      </c>
      <c r="T371" s="160">
        <f>VLOOKUP(C371,'Talente &amp; Stuff'!FU:GV,18,FALSE)</f>
        <v>0</v>
      </c>
      <c r="U371" s="47">
        <f>VLOOKUP(C371,'Talente &amp; Stuff'!FU:GV,19,FALSE)</f>
        <v>0</v>
      </c>
      <c r="V371" s="47">
        <f>VLOOKUP(C371,'Talente &amp; Stuff'!FU:GV,20,FALSE)</f>
        <v>0</v>
      </c>
      <c r="W371" s="47">
        <f>VLOOKUP(C371,'Talente &amp; Stuff'!FU:GV,21,FALSE)</f>
        <v>0</v>
      </c>
      <c r="X371" s="125">
        <f>VLOOKUP(C371,'Talente &amp; Stuff'!FU:GV,22,FALSE)</f>
        <v>0</v>
      </c>
      <c r="Y371" s="165">
        <f t="shared" si="26"/>
        <v>0</v>
      </c>
      <c r="Z371" s="44">
        <f t="shared" si="27"/>
        <v>0</v>
      </c>
      <c r="AA371" s="125">
        <f>VLOOKUP(C371,'Talente &amp; Stuff'!FU:GV,25,FALSE)</f>
        <v>0</v>
      </c>
      <c r="AB371" s="160">
        <f>VLOOKUP(C371,'Talente &amp; Stuff'!FU:GV,26,FALSE)</f>
        <v>0</v>
      </c>
      <c r="AC371" s="127">
        <f>VLOOKUP(C371,'Talente &amp; Stuff'!FU:GV,27,FALSE)</f>
        <v>0</v>
      </c>
      <c r="AD371" s="125">
        <f>VLOOKUP(C371,'Talente &amp; Stuff'!FU:GV,28,FALSE)</f>
        <v>0</v>
      </c>
      <c r="AE371" s="28"/>
    </row>
    <row r="372" spans="2:31" ht="15" hidden="1" customHeight="1" outlineLevel="2">
      <c r="B372" s="148">
        <v>6</v>
      </c>
      <c r="C372" s="177" t="str">
        <f>Attribute!C372</f>
        <v>---</v>
      </c>
      <c r="D372" s="125" t="str">
        <f>VLOOKUP(C372,'Talente &amp; Stuff'!FU:GV,2,FALSE)</f>
        <v>--/--/--</v>
      </c>
      <c r="E372" s="125" t="str">
        <f>VLOOKUP(C372,'Talente &amp; Stuff'!FU:GV,3,FALSE)</f>
        <v>-</v>
      </c>
      <c r="F372" s="113">
        <f>VLOOKUP(C372,'Talente &amp; Stuff'!FU:GV,4,FALSE)</f>
        <v>0</v>
      </c>
      <c r="G372" s="113">
        <f>VLOOKUP(C372,'Talente &amp; Stuff'!FU:GV,5,FALSE)</f>
        <v>0</v>
      </c>
      <c r="H372" s="113">
        <f>VLOOKUP(C372,'Talente &amp; Stuff'!FU:GV,6,FALSE)</f>
        <v>0</v>
      </c>
      <c r="I372" s="113">
        <f>VLOOKUP(C372,'Talente &amp; Stuff'!FU:GV,7,FALSE)</f>
        <v>0</v>
      </c>
      <c r="J372" s="113">
        <f>VLOOKUP(C372,'Talente &amp; Stuff'!FU:GV,8,FALSE)</f>
        <v>0</v>
      </c>
      <c r="K372" s="113">
        <f>VLOOKUP(C372,'Talente &amp; Stuff'!FU:GV,9,FALSE)</f>
        <v>0</v>
      </c>
      <c r="L372" s="113">
        <f>VLOOKUP(C372,'Talente &amp; Stuff'!FU:GV,10,FALSE)</f>
        <v>0</v>
      </c>
      <c r="M372" s="113">
        <f>VLOOKUP(C372,'Talente &amp; Stuff'!FU:GV,11,FALSE)</f>
        <v>0</v>
      </c>
      <c r="N372" s="89">
        <f>VLOOKUP(C372,'Talente &amp; Stuff'!FU:GV,12,FALSE)</f>
        <v>0</v>
      </c>
      <c r="O372" s="47">
        <f>VLOOKUP(C372,'Talente &amp; Stuff'!FU:GV,13,FALSE)</f>
        <v>0</v>
      </c>
      <c r="P372" s="119">
        <f>VLOOKUP(C372,'Talente &amp; Stuff'!FU:GV,14,FALSE)</f>
        <v>0</v>
      </c>
      <c r="Q372" s="113">
        <f>VLOOKUP(C372,'Talente &amp; Stuff'!FU:GV,15,FALSE)</f>
        <v>0</v>
      </c>
      <c r="R372" s="113">
        <f>VLOOKUP(C372,'Talente &amp; Stuff'!FU:GV,16,FALSE)</f>
        <v>0</v>
      </c>
      <c r="S372" s="113">
        <f>VLOOKUP(C372,'Talente &amp; Stuff'!FU:GV,17,FALSE)</f>
        <v>0</v>
      </c>
      <c r="T372" s="160">
        <f>VLOOKUP(C372,'Talente &amp; Stuff'!FU:GV,18,FALSE)</f>
        <v>0</v>
      </c>
      <c r="U372" s="47">
        <f>VLOOKUP(C372,'Talente &amp; Stuff'!FU:GV,19,FALSE)</f>
        <v>0</v>
      </c>
      <c r="V372" s="47">
        <f>VLOOKUP(C372,'Talente &amp; Stuff'!FU:GV,20,FALSE)</f>
        <v>0</v>
      </c>
      <c r="W372" s="47">
        <f>VLOOKUP(C372,'Talente &amp; Stuff'!FU:GV,21,FALSE)</f>
        <v>0</v>
      </c>
      <c r="X372" s="125">
        <f>VLOOKUP(C372,'Talente &amp; Stuff'!FU:GV,22,FALSE)</f>
        <v>0</v>
      </c>
      <c r="Y372" s="165">
        <f t="shared" si="26"/>
        <v>0</v>
      </c>
      <c r="Z372" s="44">
        <f t="shared" si="27"/>
        <v>0</v>
      </c>
      <c r="AA372" s="125">
        <f>VLOOKUP(C372,'Talente &amp; Stuff'!FU:GV,25,FALSE)</f>
        <v>0</v>
      </c>
      <c r="AB372" s="160">
        <f>VLOOKUP(C372,'Talente &amp; Stuff'!FU:GV,26,FALSE)</f>
        <v>0</v>
      </c>
      <c r="AC372" s="127">
        <f>VLOOKUP(C372,'Talente &amp; Stuff'!FU:GV,27,FALSE)</f>
        <v>0</v>
      </c>
      <c r="AD372" s="125">
        <f>VLOOKUP(C372,'Talente &amp; Stuff'!FU:GV,28,FALSE)</f>
        <v>0</v>
      </c>
      <c r="AE372" s="28"/>
    </row>
    <row r="373" spans="2:31" ht="15" hidden="1" customHeight="1" outlineLevel="2">
      <c r="B373" s="148">
        <v>7</v>
      </c>
      <c r="C373" s="177" t="str">
        <f>Attribute!C373</f>
        <v>---</v>
      </c>
      <c r="D373" s="125" t="str">
        <f>VLOOKUP(C373,'Talente &amp; Stuff'!FU:GV,2,FALSE)</f>
        <v>--/--/--</v>
      </c>
      <c r="E373" s="125" t="str">
        <f>VLOOKUP(C373,'Talente &amp; Stuff'!FU:GV,3,FALSE)</f>
        <v>-</v>
      </c>
      <c r="F373" s="113">
        <f>VLOOKUP(C373,'Talente &amp; Stuff'!FU:GV,4,FALSE)</f>
        <v>0</v>
      </c>
      <c r="G373" s="113">
        <f>VLOOKUP(C373,'Talente &amp; Stuff'!FU:GV,5,FALSE)</f>
        <v>0</v>
      </c>
      <c r="H373" s="113">
        <f>VLOOKUP(C373,'Talente &amp; Stuff'!FU:GV,6,FALSE)</f>
        <v>0</v>
      </c>
      <c r="I373" s="113">
        <f>VLOOKUP(C373,'Talente &amp; Stuff'!FU:GV,7,FALSE)</f>
        <v>0</v>
      </c>
      <c r="J373" s="113">
        <f>VLOOKUP(C373,'Talente &amp; Stuff'!FU:GV,8,FALSE)</f>
        <v>0</v>
      </c>
      <c r="K373" s="113">
        <f>VLOOKUP(C373,'Talente &amp; Stuff'!FU:GV,9,FALSE)</f>
        <v>0</v>
      </c>
      <c r="L373" s="113">
        <f>VLOOKUP(C373,'Talente &amp; Stuff'!FU:GV,10,FALSE)</f>
        <v>0</v>
      </c>
      <c r="M373" s="113">
        <f>VLOOKUP(C373,'Talente &amp; Stuff'!FU:GV,11,FALSE)</f>
        <v>0</v>
      </c>
      <c r="N373" s="89">
        <f>VLOOKUP(C373,'Talente &amp; Stuff'!FU:GV,12,FALSE)</f>
        <v>0</v>
      </c>
      <c r="O373" s="47">
        <f>VLOOKUP(C373,'Talente &amp; Stuff'!FU:GV,13,FALSE)</f>
        <v>0</v>
      </c>
      <c r="P373" s="119">
        <f>VLOOKUP(C373,'Talente &amp; Stuff'!FU:GV,14,FALSE)</f>
        <v>0</v>
      </c>
      <c r="Q373" s="113">
        <f>VLOOKUP(C373,'Talente &amp; Stuff'!FU:GV,15,FALSE)</f>
        <v>0</v>
      </c>
      <c r="R373" s="113">
        <f>VLOOKUP(C373,'Talente &amp; Stuff'!FU:GV,16,FALSE)</f>
        <v>0</v>
      </c>
      <c r="S373" s="113">
        <f>VLOOKUP(C373,'Talente &amp; Stuff'!FU:GV,17,FALSE)</f>
        <v>0</v>
      </c>
      <c r="T373" s="160">
        <f>VLOOKUP(C373,'Talente &amp; Stuff'!FU:GV,18,FALSE)</f>
        <v>0</v>
      </c>
      <c r="U373" s="47">
        <f>VLOOKUP(C373,'Talente &amp; Stuff'!FU:GV,19,FALSE)</f>
        <v>0</v>
      </c>
      <c r="V373" s="47">
        <f>VLOOKUP(C373,'Talente &amp; Stuff'!FU:GV,20,FALSE)</f>
        <v>0</v>
      </c>
      <c r="W373" s="47">
        <f>VLOOKUP(C373,'Talente &amp; Stuff'!FU:GV,21,FALSE)</f>
        <v>0</v>
      </c>
      <c r="X373" s="125">
        <f>VLOOKUP(C373,'Talente &amp; Stuff'!FU:GV,22,FALSE)</f>
        <v>0</v>
      </c>
      <c r="Y373" s="165">
        <f t="shared" si="26"/>
        <v>0</v>
      </c>
      <c r="Z373" s="44">
        <f t="shared" si="27"/>
        <v>0</v>
      </c>
      <c r="AA373" s="125">
        <f>VLOOKUP(C373,'Talente &amp; Stuff'!FU:GV,25,FALSE)</f>
        <v>0</v>
      </c>
      <c r="AB373" s="160">
        <f>VLOOKUP(C373,'Talente &amp; Stuff'!FU:GV,26,FALSE)</f>
        <v>0</v>
      </c>
      <c r="AC373" s="127">
        <f>VLOOKUP(C373,'Talente &amp; Stuff'!FU:GV,27,FALSE)</f>
        <v>0</v>
      </c>
      <c r="AD373" s="125">
        <f>VLOOKUP(C373,'Talente &amp; Stuff'!FU:GV,28,FALSE)</f>
        <v>0</v>
      </c>
      <c r="AE373" s="28"/>
    </row>
    <row r="374" spans="2:31" ht="15" hidden="1" customHeight="1" outlineLevel="2">
      <c r="B374" s="148">
        <v>8</v>
      </c>
      <c r="C374" s="178" t="str">
        <f>Attribute!C374</f>
        <v>---</v>
      </c>
      <c r="D374" s="159" t="str">
        <f>VLOOKUP(C374,'Talente &amp; Stuff'!FU:GV,2,FALSE)</f>
        <v>--/--/--</v>
      </c>
      <c r="E374" s="159" t="str">
        <f>VLOOKUP(C374,'Talente &amp; Stuff'!FU:GV,3,FALSE)</f>
        <v>-</v>
      </c>
      <c r="F374" s="122">
        <f>VLOOKUP(C374,'Talente &amp; Stuff'!FU:GV,4,FALSE)</f>
        <v>0</v>
      </c>
      <c r="G374" s="122">
        <f>VLOOKUP(C374,'Talente &amp; Stuff'!FU:GV,5,FALSE)</f>
        <v>0</v>
      </c>
      <c r="H374" s="122">
        <f>VLOOKUP(C374,'Talente &amp; Stuff'!FU:GV,6,FALSE)</f>
        <v>0</v>
      </c>
      <c r="I374" s="122">
        <f>VLOOKUP(C374,'Talente &amp; Stuff'!FU:GV,7,FALSE)</f>
        <v>0</v>
      </c>
      <c r="J374" s="122">
        <f>VLOOKUP(C374,'Talente &amp; Stuff'!FU:GV,8,FALSE)</f>
        <v>0</v>
      </c>
      <c r="K374" s="122">
        <f>VLOOKUP(C374,'Talente &amp; Stuff'!FU:GV,9,FALSE)</f>
        <v>0</v>
      </c>
      <c r="L374" s="122">
        <f>VLOOKUP(C374,'Talente &amp; Stuff'!FU:GV,10,FALSE)</f>
        <v>0</v>
      </c>
      <c r="M374" s="122">
        <f>VLOOKUP(C374,'Talente &amp; Stuff'!FU:GV,11,FALSE)</f>
        <v>0</v>
      </c>
      <c r="N374" s="90">
        <f>VLOOKUP(C374,'Talente &amp; Stuff'!FU:GV,12,FALSE)</f>
        <v>0</v>
      </c>
      <c r="O374" s="88">
        <f>VLOOKUP(C374,'Talente &amp; Stuff'!FU:GV,13,FALSE)</f>
        <v>0</v>
      </c>
      <c r="P374" s="123">
        <f>VLOOKUP(C374,'Talente &amp; Stuff'!FU:GV,14,FALSE)</f>
        <v>0</v>
      </c>
      <c r="Q374" s="122">
        <f>VLOOKUP(C374,'Talente &amp; Stuff'!FU:GV,15,FALSE)</f>
        <v>0</v>
      </c>
      <c r="R374" s="122">
        <f>VLOOKUP(C374,'Talente &amp; Stuff'!FU:GV,16,FALSE)</f>
        <v>0</v>
      </c>
      <c r="S374" s="122">
        <f>VLOOKUP(C374,'Talente &amp; Stuff'!FU:GV,17,FALSE)</f>
        <v>0</v>
      </c>
      <c r="T374" s="161">
        <f>VLOOKUP(C374,'Talente &amp; Stuff'!FU:GV,18,FALSE)</f>
        <v>0</v>
      </c>
      <c r="U374" s="88">
        <f>VLOOKUP(C374,'Talente &amp; Stuff'!FU:GV,19,FALSE)</f>
        <v>0</v>
      </c>
      <c r="V374" s="88">
        <f>VLOOKUP(C374,'Talente &amp; Stuff'!FU:GV,20,FALSE)</f>
        <v>0</v>
      </c>
      <c r="W374" s="88">
        <f>VLOOKUP(C374,'Talente &amp; Stuff'!FU:GV,21,FALSE)</f>
        <v>0</v>
      </c>
      <c r="X374" s="159">
        <f>VLOOKUP(C374,'Talente &amp; Stuff'!FU:GV,22,FALSE)</f>
        <v>0</v>
      </c>
      <c r="Y374" s="165">
        <f t="shared" si="26"/>
        <v>0</v>
      </c>
      <c r="Z374" s="44">
        <f t="shared" si="27"/>
        <v>0</v>
      </c>
      <c r="AA374" s="159">
        <f>VLOOKUP(C374,'Talente &amp; Stuff'!FU:GV,25,FALSE)</f>
        <v>0</v>
      </c>
      <c r="AB374" s="161">
        <f>VLOOKUP(C374,'Talente &amp; Stuff'!FU:GV,26,FALSE)</f>
        <v>0</v>
      </c>
      <c r="AC374" s="128">
        <f>VLOOKUP(C374,'Talente &amp; Stuff'!FU:GV,27,FALSE)</f>
        <v>0</v>
      </c>
      <c r="AD374" s="159">
        <f>VLOOKUP(C374,'Talente &amp; Stuff'!FU:GV,28,FALSE)</f>
        <v>0</v>
      </c>
      <c r="AE374" s="28"/>
    </row>
    <row r="375" spans="2:31" ht="15" hidden="1" customHeight="1" outlineLevel="1" collapsed="1">
      <c r="B375" s="134" t="s">
        <v>329</v>
      </c>
      <c r="C375" s="83"/>
      <c r="D375" s="84"/>
      <c r="E375" s="84"/>
    </row>
    <row r="376" spans="2:31" ht="15" hidden="1" customHeight="1" outlineLevel="2">
      <c r="B376" s="148">
        <v>1</v>
      </c>
      <c r="C376" s="176" t="str">
        <f>Attribute!C376</f>
        <v>---</v>
      </c>
      <c r="D376" s="85" t="str">
        <f>VLOOKUP(C376,'Talente &amp; Stuff'!FU:GV,2,FALSE)</f>
        <v>--/--/--</v>
      </c>
      <c r="E376" s="158" t="str">
        <f>VLOOKUP(C376,'Talente &amp; Stuff'!FU:GV,3,FALSE)</f>
        <v>-</v>
      </c>
      <c r="F376" s="118">
        <f>VLOOKUP(C376,'Talente &amp; Stuff'!FU:GV,4,FALSE)</f>
        <v>0</v>
      </c>
      <c r="G376" s="118">
        <f>VLOOKUP(C376,'Talente &amp; Stuff'!FU:GV,5,FALSE)</f>
        <v>0</v>
      </c>
      <c r="H376" s="118">
        <f>VLOOKUP(C376,'Talente &amp; Stuff'!FU:GV,6,FALSE)</f>
        <v>0</v>
      </c>
      <c r="I376" s="118">
        <f>VLOOKUP(C376,'Talente &amp; Stuff'!FU:GV,7,FALSE)</f>
        <v>0</v>
      </c>
      <c r="J376" s="118">
        <f>VLOOKUP(C376,'Talente &amp; Stuff'!FU:GV,8,FALSE)</f>
        <v>0</v>
      </c>
      <c r="K376" s="118">
        <f>VLOOKUP(C376,'Talente &amp; Stuff'!FU:GV,9,FALSE)</f>
        <v>0</v>
      </c>
      <c r="L376" s="118">
        <f>VLOOKUP(C376,'Talente &amp; Stuff'!FU:GV,10,FALSE)</f>
        <v>0</v>
      </c>
      <c r="M376" s="118">
        <f>VLOOKUP(C376,'Talente &amp; Stuff'!FU:GV,11,FALSE)</f>
        <v>0</v>
      </c>
      <c r="N376" s="193">
        <f>VLOOKUP(C376,'Talente &amp; Stuff'!FU:GV,12,FALSE)</f>
        <v>0</v>
      </c>
      <c r="O376" s="116">
        <f>VLOOKUP(C376,'Talente &amp; Stuff'!FU:GV,13,FALSE)</f>
        <v>0</v>
      </c>
      <c r="P376" s="92">
        <f>VLOOKUP(C376,'Talente &amp; Stuff'!FU:GV,14,FALSE)</f>
        <v>0</v>
      </c>
      <c r="Q376" s="118">
        <f>VLOOKUP(C376,'Talente &amp; Stuff'!FU:GV,15,FALSE)</f>
        <v>0</v>
      </c>
      <c r="R376" s="118">
        <f>VLOOKUP(C376,'Talente &amp; Stuff'!FU:GV,16,FALSE)</f>
        <v>0</v>
      </c>
      <c r="S376" s="118">
        <f>VLOOKUP(C376,'Talente &amp; Stuff'!FU:GV,17,FALSE)</f>
        <v>0</v>
      </c>
      <c r="T376" s="91">
        <f>VLOOKUP(C376,'Talente &amp; Stuff'!FU:GV,18,FALSE)</f>
        <v>0</v>
      </c>
      <c r="U376" s="116">
        <f>VLOOKUP(C376,'Talente &amp; Stuff'!FU:GV,19,FALSE)</f>
        <v>0</v>
      </c>
      <c r="V376" s="116">
        <f>VLOOKUP(C376,'Talente &amp; Stuff'!FU:GV,20,FALSE)</f>
        <v>0</v>
      </c>
      <c r="W376" s="116">
        <f>VLOOKUP(C376,'Talente &amp; Stuff'!FU:GV,21,FALSE)</f>
        <v>0</v>
      </c>
      <c r="X376" s="158">
        <f>VLOOKUP(C376,'Talente &amp; Stuff'!FU:GV,22,FALSE)</f>
        <v>0</v>
      </c>
      <c r="Y376" s="165">
        <f t="shared" ref="Y376:Y386" si="28">VLOOKUP(C376,Ausgewählte_Rituale_Gildenmagier,197,FALSE)</f>
        <v>0</v>
      </c>
      <c r="Z376" s="44">
        <f t="shared" ref="Z376:Z386" si="29">VLOOKUP(C376,Ausgewählte_Rituale_Gildenmagier,198,FALSE)</f>
        <v>0</v>
      </c>
      <c r="AA376" s="158">
        <f>VLOOKUP(C376,'Talente &amp; Stuff'!FU:GV,25,FALSE)</f>
        <v>0</v>
      </c>
      <c r="AB376" s="91">
        <f>VLOOKUP(C376,'Talente &amp; Stuff'!FU:GV,26,FALSE)</f>
        <v>0</v>
      </c>
      <c r="AC376" s="126">
        <f>VLOOKUP(C376,'Talente &amp; Stuff'!FU:GV,27,FALSE)</f>
        <v>0</v>
      </c>
      <c r="AD376" s="158">
        <f>VLOOKUP(C376,'Talente &amp; Stuff'!FU:GV,28,FALSE)</f>
        <v>0</v>
      </c>
      <c r="AE376" s="28"/>
    </row>
    <row r="377" spans="2:31" ht="15" hidden="1" customHeight="1" outlineLevel="2">
      <c r="B377" s="148">
        <v>2</v>
      </c>
      <c r="C377" s="177" t="str">
        <f>Attribute!C377</f>
        <v>---</v>
      </c>
      <c r="D377" s="86" t="str">
        <f>VLOOKUP(C377,'Talente &amp; Stuff'!FU:GV,2,FALSE)</f>
        <v>--/--/--</v>
      </c>
      <c r="E377" s="125" t="str">
        <f>VLOOKUP(C377,'Talente &amp; Stuff'!FU:GV,3,FALSE)</f>
        <v>-</v>
      </c>
      <c r="F377" s="113">
        <f>VLOOKUP(C377,'Talente &amp; Stuff'!FU:GV,4,FALSE)</f>
        <v>0</v>
      </c>
      <c r="G377" s="113">
        <f>VLOOKUP(C377,'Talente &amp; Stuff'!FU:GV,5,FALSE)</f>
        <v>0</v>
      </c>
      <c r="H377" s="113">
        <f>VLOOKUP(C377,'Talente &amp; Stuff'!FU:GV,6,FALSE)</f>
        <v>0</v>
      </c>
      <c r="I377" s="113">
        <f>VLOOKUP(C377,'Talente &amp; Stuff'!FU:GV,7,FALSE)</f>
        <v>0</v>
      </c>
      <c r="J377" s="113">
        <f>VLOOKUP(C377,'Talente &amp; Stuff'!FU:GV,8,FALSE)</f>
        <v>0</v>
      </c>
      <c r="K377" s="113">
        <f>VLOOKUP(C377,'Talente &amp; Stuff'!FU:GV,9,FALSE)</f>
        <v>0</v>
      </c>
      <c r="L377" s="113">
        <f>VLOOKUP(C377,'Talente &amp; Stuff'!FU:GV,10,FALSE)</f>
        <v>0</v>
      </c>
      <c r="M377" s="113">
        <f>VLOOKUP(C377,'Talente &amp; Stuff'!FU:GV,11,FALSE)</f>
        <v>0</v>
      </c>
      <c r="N377" s="89">
        <f>VLOOKUP(C377,'Talente &amp; Stuff'!FU:GV,12,FALSE)</f>
        <v>0</v>
      </c>
      <c r="O377" s="47">
        <f>VLOOKUP(C377,'Talente &amp; Stuff'!FU:GV,13,FALSE)</f>
        <v>0</v>
      </c>
      <c r="P377" s="119">
        <f>VLOOKUP(C377,'Talente &amp; Stuff'!FU:GV,14,FALSE)</f>
        <v>0</v>
      </c>
      <c r="Q377" s="113">
        <f>VLOOKUP(C377,'Talente &amp; Stuff'!FU:GV,15,FALSE)</f>
        <v>0</v>
      </c>
      <c r="R377" s="113">
        <f>VLOOKUP(C377,'Talente &amp; Stuff'!FU:GV,16,FALSE)</f>
        <v>0</v>
      </c>
      <c r="S377" s="113">
        <f>VLOOKUP(C377,'Talente &amp; Stuff'!FU:GV,17,FALSE)</f>
        <v>0</v>
      </c>
      <c r="T377" s="160">
        <f>VLOOKUP(C377,'Talente &amp; Stuff'!FU:GV,18,FALSE)</f>
        <v>0</v>
      </c>
      <c r="U377" s="47">
        <f>VLOOKUP(C377,'Talente &amp; Stuff'!FU:GV,19,FALSE)</f>
        <v>0</v>
      </c>
      <c r="V377" s="47">
        <f>VLOOKUP(C377,'Talente &amp; Stuff'!FU:GV,20,FALSE)</f>
        <v>0</v>
      </c>
      <c r="W377" s="47">
        <f>VLOOKUP(C377,'Talente &amp; Stuff'!FU:GV,21,FALSE)</f>
        <v>0</v>
      </c>
      <c r="X377" s="125">
        <f>VLOOKUP(C377,'Talente &amp; Stuff'!FU:GV,22,FALSE)</f>
        <v>0</v>
      </c>
      <c r="Y377" s="165">
        <f t="shared" si="28"/>
        <v>0</v>
      </c>
      <c r="Z377" s="44">
        <f t="shared" si="29"/>
        <v>0</v>
      </c>
      <c r="AA377" s="125">
        <f>VLOOKUP(C377,'Talente &amp; Stuff'!FU:GV,25,FALSE)</f>
        <v>0</v>
      </c>
      <c r="AB377" s="160">
        <f>VLOOKUP(C377,'Talente &amp; Stuff'!FU:GV,26,FALSE)</f>
        <v>0</v>
      </c>
      <c r="AC377" s="127">
        <f>VLOOKUP(C377,'Talente &amp; Stuff'!FU:GV,27,FALSE)</f>
        <v>0</v>
      </c>
      <c r="AD377" s="125">
        <f>VLOOKUP(C377,'Talente &amp; Stuff'!FU:GV,28,FALSE)</f>
        <v>0</v>
      </c>
      <c r="AE377" s="28"/>
    </row>
    <row r="378" spans="2:31" ht="15" hidden="1" customHeight="1" outlineLevel="2">
      <c r="B378" s="148">
        <v>3</v>
      </c>
      <c r="C378" s="177" t="str">
        <f>Attribute!C378</f>
        <v>---</v>
      </c>
      <c r="D378" s="86" t="str">
        <f>VLOOKUP(C378,'Talente &amp; Stuff'!FU:GV,2,FALSE)</f>
        <v>--/--/--</v>
      </c>
      <c r="E378" s="125" t="str">
        <f>VLOOKUP(C378,'Talente &amp; Stuff'!FU:GV,3,FALSE)</f>
        <v>-</v>
      </c>
      <c r="F378" s="113">
        <f>VLOOKUP(C378,'Talente &amp; Stuff'!FU:GV,4,FALSE)</f>
        <v>0</v>
      </c>
      <c r="G378" s="113">
        <f>VLOOKUP(C378,'Talente &amp; Stuff'!FU:GV,5,FALSE)</f>
        <v>0</v>
      </c>
      <c r="H378" s="113">
        <f>VLOOKUP(C378,'Talente &amp; Stuff'!FU:GV,6,FALSE)</f>
        <v>0</v>
      </c>
      <c r="I378" s="113">
        <f>VLOOKUP(C378,'Talente &amp; Stuff'!FU:GV,7,FALSE)</f>
        <v>0</v>
      </c>
      <c r="J378" s="113">
        <f>VLOOKUP(C378,'Talente &amp; Stuff'!FU:GV,8,FALSE)</f>
        <v>0</v>
      </c>
      <c r="K378" s="113">
        <f>VLOOKUP(C378,'Talente &amp; Stuff'!FU:GV,9,FALSE)</f>
        <v>0</v>
      </c>
      <c r="L378" s="113">
        <f>VLOOKUP(C378,'Talente &amp; Stuff'!FU:GV,10,FALSE)</f>
        <v>0</v>
      </c>
      <c r="M378" s="113">
        <f>VLOOKUP(C378,'Talente &amp; Stuff'!FU:GV,11,FALSE)</f>
        <v>0</v>
      </c>
      <c r="N378" s="89">
        <f>VLOOKUP(C378,'Talente &amp; Stuff'!FU:GV,12,FALSE)</f>
        <v>0</v>
      </c>
      <c r="O378" s="47">
        <f>VLOOKUP(C378,'Talente &amp; Stuff'!FU:GV,13,FALSE)</f>
        <v>0</v>
      </c>
      <c r="P378" s="119">
        <f>VLOOKUP(C378,'Talente &amp; Stuff'!FU:GV,14,FALSE)</f>
        <v>0</v>
      </c>
      <c r="Q378" s="113">
        <f>VLOOKUP(C378,'Talente &amp; Stuff'!FU:GV,15,FALSE)</f>
        <v>0</v>
      </c>
      <c r="R378" s="113">
        <f>VLOOKUP(C378,'Talente &amp; Stuff'!FU:GV,16,FALSE)</f>
        <v>0</v>
      </c>
      <c r="S378" s="113">
        <f>VLOOKUP(C378,'Talente &amp; Stuff'!FU:GV,17,FALSE)</f>
        <v>0</v>
      </c>
      <c r="T378" s="160">
        <f>VLOOKUP(C378,'Talente &amp; Stuff'!FU:GV,18,FALSE)</f>
        <v>0</v>
      </c>
      <c r="U378" s="47">
        <f>VLOOKUP(C378,'Talente &amp; Stuff'!FU:GV,19,FALSE)</f>
        <v>0</v>
      </c>
      <c r="V378" s="47">
        <f>VLOOKUP(C378,'Talente &amp; Stuff'!FU:GV,20,FALSE)</f>
        <v>0</v>
      </c>
      <c r="W378" s="47">
        <f>VLOOKUP(C378,'Talente &amp; Stuff'!FU:GV,21,FALSE)</f>
        <v>0</v>
      </c>
      <c r="X378" s="125">
        <f>VLOOKUP(C378,'Talente &amp; Stuff'!FU:GV,22,FALSE)</f>
        <v>0</v>
      </c>
      <c r="Y378" s="165">
        <f t="shared" si="28"/>
        <v>0</v>
      </c>
      <c r="Z378" s="44">
        <f t="shared" si="29"/>
        <v>0</v>
      </c>
      <c r="AA378" s="125">
        <f>VLOOKUP(C378,'Talente &amp; Stuff'!FU:GV,25,FALSE)</f>
        <v>0</v>
      </c>
      <c r="AB378" s="160">
        <f>VLOOKUP(C378,'Talente &amp; Stuff'!FU:GV,26,FALSE)</f>
        <v>0</v>
      </c>
      <c r="AC378" s="127">
        <f>VLOOKUP(C378,'Talente &amp; Stuff'!FU:GV,27,FALSE)</f>
        <v>0</v>
      </c>
      <c r="AD378" s="125">
        <f>VLOOKUP(C378,'Talente &amp; Stuff'!FU:GV,28,FALSE)</f>
        <v>0</v>
      </c>
      <c r="AE378" s="28"/>
    </row>
    <row r="379" spans="2:31" ht="15" hidden="1" customHeight="1" outlineLevel="2">
      <c r="B379" s="148">
        <v>4</v>
      </c>
      <c r="C379" s="177" t="str">
        <f>Attribute!C379</f>
        <v>---</v>
      </c>
      <c r="D379" s="86" t="str">
        <f>VLOOKUP(C379,'Talente &amp; Stuff'!FU:GV,2,FALSE)</f>
        <v>--/--/--</v>
      </c>
      <c r="E379" s="125" t="str">
        <f>VLOOKUP(C379,'Talente &amp; Stuff'!FU:GV,3,FALSE)</f>
        <v>-</v>
      </c>
      <c r="F379" s="113">
        <f>VLOOKUP(C379,'Talente &amp; Stuff'!FU:GV,4,FALSE)</f>
        <v>0</v>
      </c>
      <c r="G379" s="113">
        <f>VLOOKUP(C379,'Talente &amp; Stuff'!FU:GV,5,FALSE)</f>
        <v>0</v>
      </c>
      <c r="H379" s="113">
        <f>VLOOKUP(C379,'Talente &amp; Stuff'!FU:GV,6,FALSE)</f>
        <v>0</v>
      </c>
      <c r="I379" s="113">
        <f>VLOOKUP(C379,'Talente &amp; Stuff'!FU:GV,7,FALSE)</f>
        <v>0</v>
      </c>
      <c r="J379" s="113">
        <f>VLOOKUP(C379,'Talente &amp; Stuff'!FU:GV,8,FALSE)</f>
        <v>0</v>
      </c>
      <c r="K379" s="113">
        <f>VLOOKUP(C379,'Talente &amp; Stuff'!FU:GV,9,FALSE)</f>
        <v>0</v>
      </c>
      <c r="L379" s="113">
        <f>VLOOKUP(C379,'Talente &amp; Stuff'!FU:GV,10,FALSE)</f>
        <v>0</v>
      </c>
      <c r="M379" s="113">
        <f>VLOOKUP(C379,'Talente &amp; Stuff'!FU:GV,11,FALSE)</f>
        <v>0</v>
      </c>
      <c r="N379" s="89">
        <f>VLOOKUP(C379,'Talente &amp; Stuff'!FU:GV,12,FALSE)</f>
        <v>0</v>
      </c>
      <c r="O379" s="47">
        <f>VLOOKUP(C379,'Talente &amp; Stuff'!FU:GV,13,FALSE)</f>
        <v>0</v>
      </c>
      <c r="P379" s="119">
        <f>VLOOKUP(C379,'Talente &amp; Stuff'!FU:GV,14,FALSE)</f>
        <v>0</v>
      </c>
      <c r="Q379" s="113">
        <f>VLOOKUP(C379,'Talente &amp; Stuff'!FU:GV,15,FALSE)</f>
        <v>0</v>
      </c>
      <c r="R379" s="113">
        <f>VLOOKUP(C379,'Talente &amp; Stuff'!FU:GV,16,FALSE)</f>
        <v>0</v>
      </c>
      <c r="S379" s="113">
        <f>VLOOKUP(C379,'Talente &amp; Stuff'!FU:GV,17,FALSE)</f>
        <v>0</v>
      </c>
      <c r="T379" s="160">
        <f>VLOOKUP(C379,'Talente &amp; Stuff'!FU:GV,18,FALSE)</f>
        <v>0</v>
      </c>
      <c r="U379" s="47">
        <f>VLOOKUP(C379,'Talente &amp; Stuff'!FU:GV,19,FALSE)</f>
        <v>0</v>
      </c>
      <c r="V379" s="47">
        <f>VLOOKUP(C379,'Talente &amp; Stuff'!FU:GV,20,FALSE)</f>
        <v>0</v>
      </c>
      <c r="W379" s="47">
        <f>VLOOKUP(C379,'Talente &amp; Stuff'!FU:GV,21,FALSE)</f>
        <v>0</v>
      </c>
      <c r="X379" s="125">
        <f>VLOOKUP(C379,'Talente &amp; Stuff'!FU:GV,22,FALSE)</f>
        <v>0</v>
      </c>
      <c r="Y379" s="165">
        <f t="shared" si="28"/>
        <v>0</v>
      </c>
      <c r="Z379" s="44">
        <f t="shared" si="29"/>
        <v>0</v>
      </c>
      <c r="AA379" s="125">
        <f>VLOOKUP(C379,'Talente &amp; Stuff'!FU:GV,25,FALSE)</f>
        <v>0</v>
      </c>
      <c r="AB379" s="160">
        <f>VLOOKUP(C379,'Talente &amp; Stuff'!FU:GV,26,FALSE)</f>
        <v>0</v>
      </c>
      <c r="AC379" s="127">
        <f>VLOOKUP(C379,'Talente &amp; Stuff'!FU:GV,27,FALSE)</f>
        <v>0</v>
      </c>
      <c r="AD379" s="125">
        <f>VLOOKUP(C379,'Talente &amp; Stuff'!FU:GV,28,FALSE)</f>
        <v>0</v>
      </c>
      <c r="AE379" s="28"/>
    </row>
    <row r="380" spans="2:31" ht="15" hidden="1" customHeight="1" outlineLevel="2">
      <c r="B380" s="148">
        <v>5</v>
      </c>
      <c r="C380" s="177" t="str">
        <f>Attribute!C380</f>
        <v>---</v>
      </c>
      <c r="D380" s="86" t="str">
        <f>VLOOKUP(C380,'Talente &amp; Stuff'!FU:GV,2,FALSE)</f>
        <v>--/--/--</v>
      </c>
      <c r="E380" s="125" t="str">
        <f>VLOOKUP(C380,'Talente &amp; Stuff'!FU:GV,3,FALSE)</f>
        <v>-</v>
      </c>
      <c r="F380" s="113">
        <f>VLOOKUP(C380,'Talente &amp; Stuff'!FU:GV,4,FALSE)</f>
        <v>0</v>
      </c>
      <c r="G380" s="113">
        <f>VLOOKUP(C380,'Talente &amp; Stuff'!FU:GV,5,FALSE)</f>
        <v>0</v>
      </c>
      <c r="H380" s="113">
        <f>VLOOKUP(C380,'Talente &amp; Stuff'!FU:GV,6,FALSE)</f>
        <v>0</v>
      </c>
      <c r="I380" s="113">
        <f>VLOOKUP(C380,'Talente &amp; Stuff'!FU:GV,7,FALSE)</f>
        <v>0</v>
      </c>
      <c r="J380" s="113">
        <f>VLOOKUP(C380,'Talente &amp; Stuff'!FU:GV,8,FALSE)</f>
        <v>0</v>
      </c>
      <c r="K380" s="113">
        <f>VLOOKUP(C380,'Talente &amp; Stuff'!FU:GV,9,FALSE)</f>
        <v>0</v>
      </c>
      <c r="L380" s="113">
        <f>VLOOKUP(C380,'Talente &amp; Stuff'!FU:GV,10,FALSE)</f>
        <v>0</v>
      </c>
      <c r="M380" s="113">
        <f>VLOOKUP(C380,'Talente &amp; Stuff'!FU:GV,11,FALSE)</f>
        <v>0</v>
      </c>
      <c r="N380" s="89">
        <f>VLOOKUP(C380,'Talente &amp; Stuff'!FU:GV,12,FALSE)</f>
        <v>0</v>
      </c>
      <c r="O380" s="47">
        <f>VLOOKUP(C380,'Talente &amp; Stuff'!FU:GV,13,FALSE)</f>
        <v>0</v>
      </c>
      <c r="P380" s="119">
        <f>VLOOKUP(C380,'Talente &amp; Stuff'!FU:GV,14,FALSE)</f>
        <v>0</v>
      </c>
      <c r="Q380" s="113">
        <f>VLOOKUP(C380,'Talente &amp; Stuff'!FU:GV,15,FALSE)</f>
        <v>0</v>
      </c>
      <c r="R380" s="113">
        <f>VLOOKUP(C380,'Talente &amp; Stuff'!FU:GV,16,FALSE)</f>
        <v>0</v>
      </c>
      <c r="S380" s="113">
        <f>VLOOKUP(C380,'Talente &amp; Stuff'!FU:GV,17,FALSE)</f>
        <v>0</v>
      </c>
      <c r="T380" s="160">
        <f>VLOOKUP(C380,'Talente &amp; Stuff'!FU:GV,18,FALSE)</f>
        <v>0</v>
      </c>
      <c r="U380" s="47">
        <f>VLOOKUP(C380,'Talente &amp; Stuff'!FU:GV,19,FALSE)</f>
        <v>0</v>
      </c>
      <c r="V380" s="47">
        <f>VLOOKUP(C380,'Talente &amp; Stuff'!FU:GV,20,FALSE)</f>
        <v>0</v>
      </c>
      <c r="W380" s="47">
        <f>VLOOKUP(C380,'Talente &amp; Stuff'!FU:GV,21,FALSE)</f>
        <v>0</v>
      </c>
      <c r="X380" s="125">
        <f>VLOOKUP(C380,'Talente &amp; Stuff'!FU:GV,22,FALSE)</f>
        <v>0</v>
      </c>
      <c r="Y380" s="165">
        <f t="shared" si="28"/>
        <v>0</v>
      </c>
      <c r="Z380" s="44">
        <f t="shared" si="29"/>
        <v>0</v>
      </c>
      <c r="AA380" s="125">
        <f>VLOOKUP(C380,'Talente &amp; Stuff'!FU:GV,25,FALSE)</f>
        <v>0</v>
      </c>
      <c r="AB380" s="160">
        <f>VLOOKUP(C380,'Talente &amp; Stuff'!FU:GV,26,FALSE)</f>
        <v>0</v>
      </c>
      <c r="AC380" s="127">
        <f>VLOOKUP(C380,'Talente &amp; Stuff'!FU:GV,27,FALSE)</f>
        <v>0</v>
      </c>
      <c r="AD380" s="125">
        <f>VLOOKUP(C380,'Talente &amp; Stuff'!FU:GV,28,FALSE)</f>
        <v>0</v>
      </c>
      <c r="AE380" s="28"/>
    </row>
    <row r="381" spans="2:31" ht="15" hidden="1" customHeight="1" outlineLevel="2">
      <c r="B381" s="148">
        <v>6</v>
      </c>
      <c r="C381" s="177" t="str">
        <f>Attribute!C381</f>
        <v>---</v>
      </c>
      <c r="D381" s="86" t="str">
        <f>VLOOKUP(C381,'Talente &amp; Stuff'!FU:GV,2,FALSE)</f>
        <v>--/--/--</v>
      </c>
      <c r="E381" s="125" t="str">
        <f>VLOOKUP(C381,'Talente &amp; Stuff'!FU:GV,3,FALSE)</f>
        <v>-</v>
      </c>
      <c r="F381" s="113">
        <f>VLOOKUP(C381,'Talente &amp; Stuff'!FU:GV,4,FALSE)</f>
        <v>0</v>
      </c>
      <c r="G381" s="113">
        <f>VLOOKUP(C381,'Talente &amp; Stuff'!FU:GV,5,FALSE)</f>
        <v>0</v>
      </c>
      <c r="H381" s="113">
        <f>VLOOKUP(C381,'Talente &amp; Stuff'!FU:GV,6,FALSE)</f>
        <v>0</v>
      </c>
      <c r="I381" s="113">
        <f>VLOOKUP(C381,'Talente &amp; Stuff'!FU:GV,7,FALSE)</f>
        <v>0</v>
      </c>
      <c r="J381" s="113">
        <f>VLOOKUP(C381,'Talente &amp; Stuff'!FU:GV,8,FALSE)</f>
        <v>0</v>
      </c>
      <c r="K381" s="113">
        <f>VLOOKUP(C381,'Talente &amp; Stuff'!FU:GV,9,FALSE)</f>
        <v>0</v>
      </c>
      <c r="L381" s="113">
        <f>VLOOKUP(C381,'Talente &amp; Stuff'!FU:GV,10,FALSE)</f>
        <v>0</v>
      </c>
      <c r="M381" s="113">
        <f>VLOOKUP(C381,'Talente &amp; Stuff'!FU:GV,11,FALSE)</f>
        <v>0</v>
      </c>
      <c r="N381" s="89">
        <f>VLOOKUP(C381,'Talente &amp; Stuff'!FU:GV,12,FALSE)</f>
        <v>0</v>
      </c>
      <c r="O381" s="47">
        <f>VLOOKUP(C381,'Talente &amp; Stuff'!FU:GV,13,FALSE)</f>
        <v>0</v>
      </c>
      <c r="P381" s="119">
        <f>VLOOKUP(C381,'Talente &amp; Stuff'!FU:GV,14,FALSE)</f>
        <v>0</v>
      </c>
      <c r="Q381" s="113">
        <f>VLOOKUP(C381,'Talente &amp; Stuff'!FU:GV,15,FALSE)</f>
        <v>0</v>
      </c>
      <c r="R381" s="113">
        <f>VLOOKUP(C381,'Talente &amp; Stuff'!FU:GV,16,FALSE)</f>
        <v>0</v>
      </c>
      <c r="S381" s="113">
        <f>VLOOKUP(C381,'Talente &amp; Stuff'!FU:GV,17,FALSE)</f>
        <v>0</v>
      </c>
      <c r="T381" s="160">
        <f>VLOOKUP(C381,'Talente &amp; Stuff'!FU:GV,18,FALSE)</f>
        <v>0</v>
      </c>
      <c r="U381" s="47">
        <f>VLOOKUP(C381,'Talente &amp; Stuff'!FU:GV,19,FALSE)</f>
        <v>0</v>
      </c>
      <c r="V381" s="47">
        <f>VLOOKUP(C381,'Talente &amp; Stuff'!FU:GV,20,FALSE)</f>
        <v>0</v>
      </c>
      <c r="W381" s="47">
        <f>VLOOKUP(C381,'Talente &amp; Stuff'!FU:GV,21,FALSE)</f>
        <v>0</v>
      </c>
      <c r="X381" s="125">
        <f>VLOOKUP(C381,'Talente &amp; Stuff'!FU:GV,22,FALSE)</f>
        <v>0</v>
      </c>
      <c r="Y381" s="165">
        <f t="shared" si="28"/>
        <v>0</v>
      </c>
      <c r="Z381" s="44">
        <f t="shared" si="29"/>
        <v>0</v>
      </c>
      <c r="AA381" s="125">
        <f>VLOOKUP(C381,'Talente &amp; Stuff'!FU:GV,25,FALSE)</f>
        <v>0</v>
      </c>
      <c r="AB381" s="160">
        <f>VLOOKUP(C381,'Talente &amp; Stuff'!FU:GV,26,FALSE)</f>
        <v>0</v>
      </c>
      <c r="AC381" s="127">
        <f>VLOOKUP(C381,'Talente &amp; Stuff'!FU:GV,27,FALSE)</f>
        <v>0</v>
      </c>
      <c r="AD381" s="125">
        <f>VLOOKUP(C381,'Talente &amp; Stuff'!FU:GV,28,FALSE)</f>
        <v>0</v>
      </c>
      <c r="AE381" s="28"/>
    </row>
    <row r="382" spans="2:31" ht="15" hidden="1" customHeight="1" outlineLevel="2">
      <c r="B382" s="148">
        <v>7</v>
      </c>
      <c r="C382" s="177" t="str">
        <f>Attribute!C382</f>
        <v>---</v>
      </c>
      <c r="D382" s="86" t="str">
        <f>VLOOKUP(C382,'Talente &amp; Stuff'!FU:GV,2,FALSE)</f>
        <v>--/--/--</v>
      </c>
      <c r="E382" s="125" t="str">
        <f>VLOOKUP(C382,'Talente &amp; Stuff'!FU:GV,3,FALSE)</f>
        <v>-</v>
      </c>
      <c r="F382" s="113">
        <f>VLOOKUP(C382,'Talente &amp; Stuff'!FU:GV,4,FALSE)</f>
        <v>0</v>
      </c>
      <c r="G382" s="113">
        <f>VLOOKUP(C382,'Talente &amp; Stuff'!FU:GV,5,FALSE)</f>
        <v>0</v>
      </c>
      <c r="H382" s="113">
        <f>VLOOKUP(C382,'Talente &amp; Stuff'!FU:GV,6,FALSE)</f>
        <v>0</v>
      </c>
      <c r="I382" s="113">
        <f>VLOOKUP(C382,'Talente &amp; Stuff'!FU:GV,7,FALSE)</f>
        <v>0</v>
      </c>
      <c r="J382" s="113">
        <f>VLOOKUP(C382,'Talente &amp; Stuff'!FU:GV,8,FALSE)</f>
        <v>0</v>
      </c>
      <c r="K382" s="113">
        <f>VLOOKUP(C382,'Talente &amp; Stuff'!FU:GV,9,FALSE)</f>
        <v>0</v>
      </c>
      <c r="L382" s="113">
        <f>VLOOKUP(C382,'Talente &amp; Stuff'!FU:GV,10,FALSE)</f>
        <v>0</v>
      </c>
      <c r="M382" s="113">
        <f>VLOOKUP(C382,'Talente &amp; Stuff'!FU:GV,11,FALSE)</f>
        <v>0</v>
      </c>
      <c r="N382" s="89">
        <f>VLOOKUP(C382,'Talente &amp; Stuff'!FU:GV,12,FALSE)</f>
        <v>0</v>
      </c>
      <c r="O382" s="47">
        <f>VLOOKUP(C382,'Talente &amp; Stuff'!FU:GV,13,FALSE)</f>
        <v>0</v>
      </c>
      <c r="P382" s="119">
        <f>VLOOKUP(C382,'Talente &amp; Stuff'!FU:GV,14,FALSE)</f>
        <v>0</v>
      </c>
      <c r="Q382" s="113">
        <f>VLOOKUP(C382,'Talente &amp; Stuff'!FU:GV,15,FALSE)</f>
        <v>0</v>
      </c>
      <c r="R382" s="113">
        <f>VLOOKUP(C382,'Talente &amp; Stuff'!FU:GV,16,FALSE)</f>
        <v>0</v>
      </c>
      <c r="S382" s="113">
        <f>VLOOKUP(C382,'Talente &amp; Stuff'!FU:GV,17,FALSE)</f>
        <v>0</v>
      </c>
      <c r="T382" s="160">
        <f>VLOOKUP(C382,'Talente &amp; Stuff'!FU:GV,18,FALSE)</f>
        <v>0</v>
      </c>
      <c r="U382" s="47">
        <f>VLOOKUP(C382,'Talente &amp; Stuff'!FU:GV,19,FALSE)</f>
        <v>0</v>
      </c>
      <c r="V382" s="47">
        <f>VLOOKUP(C382,'Talente &amp; Stuff'!FU:GV,20,FALSE)</f>
        <v>0</v>
      </c>
      <c r="W382" s="47">
        <f>VLOOKUP(C382,'Talente &amp; Stuff'!FU:GV,21,FALSE)</f>
        <v>0</v>
      </c>
      <c r="X382" s="125">
        <f>VLOOKUP(C382,'Talente &amp; Stuff'!FU:GV,22,FALSE)</f>
        <v>0</v>
      </c>
      <c r="Y382" s="165">
        <f t="shared" si="28"/>
        <v>0</v>
      </c>
      <c r="Z382" s="44">
        <f t="shared" si="29"/>
        <v>0</v>
      </c>
      <c r="AA382" s="125">
        <f>VLOOKUP(C382,'Talente &amp; Stuff'!FU:GV,25,FALSE)</f>
        <v>0</v>
      </c>
      <c r="AB382" s="160">
        <f>VLOOKUP(C382,'Talente &amp; Stuff'!FU:GV,26,FALSE)</f>
        <v>0</v>
      </c>
      <c r="AC382" s="127">
        <f>VLOOKUP(C382,'Talente &amp; Stuff'!FU:GV,27,FALSE)</f>
        <v>0</v>
      </c>
      <c r="AD382" s="125">
        <f>VLOOKUP(C382,'Talente &amp; Stuff'!FU:GV,28,FALSE)</f>
        <v>0</v>
      </c>
      <c r="AE382" s="28"/>
    </row>
    <row r="383" spans="2:31" ht="15" hidden="1" customHeight="1" outlineLevel="2">
      <c r="B383" s="148">
        <v>8</v>
      </c>
      <c r="C383" s="177" t="str">
        <f>Attribute!C383</f>
        <v>---</v>
      </c>
      <c r="D383" s="86" t="str">
        <f>VLOOKUP(C383,'Talente &amp; Stuff'!FU:GV,2,FALSE)</f>
        <v>--/--/--</v>
      </c>
      <c r="E383" s="125" t="str">
        <f>VLOOKUP(C383,'Talente &amp; Stuff'!FU:GV,3,FALSE)</f>
        <v>-</v>
      </c>
      <c r="F383" s="113">
        <f>VLOOKUP(C383,'Talente &amp; Stuff'!FU:GV,4,FALSE)</f>
        <v>0</v>
      </c>
      <c r="G383" s="113">
        <f>VLOOKUP(C383,'Talente &amp; Stuff'!FU:GV,5,FALSE)</f>
        <v>0</v>
      </c>
      <c r="H383" s="113">
        <f>VLOOKUP(C383,'Talente &amp; Stuff'!FU:GV,6,FALSE)</f>
        <v>0</v>
      </c>
      <c r="I383" s="113">
        <f>VLOOKUP(C383,'Talente &amp; Stuff'!FU:GV,7,FALSE)</f>
        <v>0</v>
      </c>
      <c r="J383" s="113">
        <f>VLOOKUP(C383,'Talente &amp; Stuff'!FU:GV,8,FALSE)</f>
        <v>0</v>
      </c>
      <c r="K383" s="113">
        <f>VLOOKUP(C383,'Talente &amp; Stuff'!FU:GV,9,FALSE)</f>
        <v>0</v>
      </c>
      <c r="L383" s="113">
        <f>VLOOKUP(C383,'Talente &amp; Stuff'!FU:GV,10,FALSE)</f>
        <v>0</v>
      </c>
      <c r="M383" s="113">
        <f>VLOOKUP(C383,'Talente &amp; Stuff'!FU:GV,11,FALSE)</f>
        <v>0</v>
      </c>
      <c r="N383" s="89">
        <f>VLOOKUP(C383,'Talente &amp; Stuff'!FU:GV,12,FALSE)</f>
        <v>0</v>
      </c>
      <c r="O383" s="47">
        <f>VLOOKUP(C383,'Talente &amp; Stuff'!FU:GV,13,FALSE)</f>
        <v>0</v>
      </c>
      <c r="P383" s="119">
        <f>VLOOKUP(C383,'Talente &amp; Stuff'!FU:GV,14,FALSE)</f>
        <v>0</v>
      </c>
      <c r="Q383" s="113">
        <f>VLOOKUP(C383,'Talente &amp; Stuff'!FU:GV,15,FALSE)</f>
        <v>0</v>
      </c>
      <c r="R383" s="113">
        <f>VLOOKUP(C383,'Talente &amp; Stuff'!FU:GV,16,FALSE)</f>
        <v>0</v>
      </c>
      <c r="S383" s="113">
        <f>VLOOKUP(C383,'Talente &amp; Stuff'!FU:GV,17,FALSE)</f>
        <v>0</v>
      </c>
      <c r="T383" s="160">
        <f>VLOOKUP(C383,'Talente &amp; Stuff'!FU:GV,18,FALSE)</f>
        <v>0</v>
      </c>
      <c r="U383" s="47">
        <f>VLOOKUP(C383,'Talente &amp; Stuff'!FU:GV,19,FALSE)</f>
        <v>0</v>
      </c>
      <c r="V383" s="47">
        <f>VLOOKUP(C383,'Talente &amp; Stuff'!FU:GV,20,FALSE)</f>
        <v>0</v>
      </c>
      <c r="W383" s="47">
        <f>VLOOKUP(C383,'Talente &amp; Stuff'!FU:GV,21,FALSE)</f>
        <v>0</v>
      </c>
      <c r="X383" s="125">
        <f>VLOOKUP(C383,'Talente &amp; Stuff'!FU:GV,22,FALSE)</f>
        <v>0</v>
      </c>
      <c r="Y383" s="165">
        <f t="shared" si="28"/>
        <v>0</v>
      </c>
      <c r="Z383" s="44">
        <f t="shared" si="29"/>
        <v>0</v>
      </c>
      <c r="AA383" s="125">
        <f>VLOOKUP(C383,'Talente &amp; Stuff'!FU:GV,25,FALSE)</f>
        <v>0</v>
      </c>
      <c r="AB383" s="160">
        <f>VLOOKUP(C383,'Talente &amp; Stuff'!FU:GV,26,FALSE)</f>
        <v>0</v>
      </c>
      <c r="AC383" s="127">
        <f>VLOOKUP(C383,'Talente &amp; Stuff'!FU:GV,27,FALSE)</f>
        <v>0</v>
      </c>
      <c r="AD383" s="125">
        <f>VLOOKUP(C383,'Talente &amp; Stuff'!FU:GV,28,FALSE)</f>
        <v>0</v>
      </c>
      <c r="AE383" s="28"/>
    </row>
    <row r="384" spans="2:31" ht="15" hidden="1" customHeight="1" outlineLevel="2">
      <c r="B384" s="148">
        <v>9</v>
      </c>
      <c r="C384" s="177" t="str">
        <f>Attribute!C384</f>
        <v>---</v>
      </c>
      <c r="D384" s="86" t="str">
        <f>VLOOKUP(C384,'Talente &amp; Stuff'!FU:GV,2,FALSE)</f>
        <v>--/--/--</v>
      </c>
      <c r="E384" s="125" t="str">
        <f>VLOOKUP(C384,'Talente &amp; Stuff'!FU:GV,3,FALSE)</f>
        <v>-</v>
      </c>
      <c r="F384" s="113">
        <f>VLOOKUP(C384,'Talente &amp; Stuff'!FU:GV,4,FALSE)</f>
        <v>0</v>
      </c>
      <c r="G384" s="113">
        <f>VLOOKUP(C384,'Talente &amp; Stuff'!FU:GV,5,FALSE)</f>
        <v>0</v>
      </c>
      <c r="H384" s="113">
        <f>VLOOKUP(C384,'Talente &amp; Stuff'!FU:GV,6,FALSE)</f>
        <v>0</v>
      </c>
      <c r="I384" s="113">
        <f>VLOOKUP(C384,'Talente &amp; Stuff'!FU:GV,7,FALSE)</f>
        <v>0</v>
      </c>
      <c r="J384" s="113">
        <f>VLOOKUP(C384,'Talente &amp; Stuff'!FU:GV,8,FALSE)</f>
        <v>0</v>
      </c>
      <c r="K384" s="113">
        <f>VLOOKUP(C384,'Talente &amp; Stuff'!FU:GV,9,FALSE)</f>
        <v>0</v>
      </c>
      <c r="L384" s="113">
        <f>VLOOKUP(C384,'Talente &amp; Stuff'!FU:GV,10,FALSE)</f>
        <v>0</v>
      </c>
      <c r="M384" s="113">
        <f>VLOOKUP(C384,'Talente &amp; Stuff'!FU:GV,11,FALSE)</f>
        <v>0</v>
      </c>
      <c r="N384" s="89">
        <f>VLOOKUP(C384,'Talente &amp; Stuff'!FU:GV,12,FALSE)</f>
        <v>0</v>
      </c>
      <c r="O384" s="47">
        <f>VLOOKUP(C384,'Talente &amp; Stuff'!FU:GV,13,FALSE)</f>
        <v>0</v>
      </c>
      <c r="P384" s="119">
        <f>VLOOKUP(C384,'Talente &amp; Stuff'!FU:GV,14,FALSE)</f>
        <v>0</v>
      </c>
      <c r="Q384" s="113">
        <f>VLOOKUP(C384,'Talente &amp; Stuff'!FU:GV,15,FALSE)</f>
        <v>0</v>
      </c>
      <c r="R384" s="113">
        <f>VLOOKUP(C384,'Talente &amp; Stuff'!FU:GV,16,FALSE)</f>
        <v>0</v>
      </c>
      <c r="S384" s="113">
        <f>VLOOKUP(C384,'Talente &amp; Stuff'!FU:GV,17,FALSE)</f>
        <v>0</v>
      </c>
      <c r="T384" s="160">
        <f>VLOOKUP(C384,'Talente &amp; Stuff'!FU:GV,18,FALSE)</f>
        <v>0</v>
      </c>
      <c r="U384" s="47">
        <f>VLOOKUP(C384,'Talente &amp; Stuff'!FU:GV,19,FALSE)</f>
        <v>0</v>
      </c>
      <c r="V384" s="47">
        <f>VLOOKUP(C384,'Talente &amp; Stuff'!FU:GV,20,FALSE)</f>
        <v>0</v>
      </c>
      <c r="W384" s="47">
        <f>VLOOKUP(C384,'Talente &amp; Stuff'!FU:GV,21,FALSE)</f>
        <v>0</v>
      </c>
      <c r="X384" s="125">
        <f>VLOOKUP(C384,'Talente &amp; Stuff'!FU:GV,22,FALSE)</f>
        <v>0</v>
      </c>
      <c r="Y384" s="165">
        <f t="shared" si="28"/>
        <v>0</v>
      </c>
      <c r="Z384" s="44">
        <f t="shared" si="29"/>
        <v>0</v>
      </c>
      <c r="AA384" s="125">
        <f>VLOOKUP(C384,'Talente &amp; Stuff'!FU:GV,25,FALSE)</f>
        <v>0</v>
      </c>
      <c r="AB384" s="160">
        <f>VLOOKUP(C384,'Talente &amp; Stuff'!FU:GV,26,FALSE)</f>
        <v>0</v>
      </c>
      <c r="AC384" s="127">
        <f>VLOOKUP(C384,'Talente &amp; Stuff'!FU:GV,27,FALSE)</f>
        <v>0</v>
      </c>
      <c r="AD384" s="125">
        <f>VLOOKUP(C384,'Talente &amp; Stuff'!FU:GV,28,FALSE)</f>
        <v>0</v>
      </c>
      <c r="AE384" s="28"/>
    </row>
    <row r="385" spans="1:31" ht="15" hidden="1" customHeight="1" outlineLevel="2">
      <c r="B385" s="148">
        <v>10</v>
      </c>
      <c r="C385" s="177" t="str">
        <f>Attribute!C385</f>
        <v>---</v>
      </c>
      <c r="D385" s="86" t="str">
        <f>VLOOKUP(C385,'Talente &amp; Stuff'!FU:GV,2,FALSE)</f>
        <v>--/--/--</v>
      </c>
      <c r="E385" s="125" t="str">
        <f>VLOOKUP(C385,'Talente &amp; Stuff'!FU:GV,3,FALSE)</f>
        <v>-</v>
      </c>
      <c r="F385" s="113">
        <f>VLOOKUP(C385,'Talente &amp; Stuff'!FU:GV,4,FALSE)</f>
        <v>0</v>
      </c>
      <c r="G385" s="113">
        <f>VLOOKUP(C385,'Talente &amp; Stuff'!FU:GV,5,FALSE)</f>
        <v>0</v>
      </c>
      <c r="H385" s="113">
        <f>VLOOKUP(C385,'Talente &amp; Stuff'!FU:GV,6,FALSE)</f>
        <v>0</v>
      </c>
      <c r="I385" s="113">
        <f>VLOOKUP(C385,'Talente &amp; Stuff'!FU:GV,7,FALSE)</f>
        <v>0</v>
      </c>
      <c r="J385" s="113">
        <f>VLOOKUP(C385,'Talente &amp; Stuff'!FU:GV,8,FALSE)</f>
        <v>0</v>
      </c>
      <c r="K385" s="113">
        <f>VLOOKUP(C385,'Talente &amp; Stuff'!FU:GV,9,FALSE)</f>
        <v>0</v>
      </c>
      <c r="L385" s="113">
        <f>VLOOKUP(C385,'Talente &amp; Stuff'!FU:GV,10,FALSE)</f>
        <v>0</v>
      </c>
      <c r="M385" s="113">
        <f>VLOOKUP(C385,'Talente &amp; Stuff'!FU:GV,11,FALSE)</f>
        <v>0</v>
      </c>
      <c r="N385" s="89">
        <f>VLOOKUP(C385,'Talente &amp; Stuff'!FU:GV,12,FALSE)</f>
        <v>0</v>
      </c>
      <c r="O385" s="47">
        <f>VLOOKUP(C385,'Talente &amp; Stuff'!FU:GV,13,FALSE)</f>
        <v>0</v>
      </c>
      <c r="P385" s="119">
        <f>VLOOKUP(C385,'Talente &amp; Stuff'!FU:GV,14,FALSE)</f>
        <v>0</v>
      </c>
      <c r="Q385" s="113">
        <f>VLOOKUP(C385,'Talente &amp; Stuff'!FU:GV,15,FALSE)</f>
        <v>0</v>
      </c>
      <c r="R385" s="113">
        <f>VLOOKUP(C385,'Talente &amp; Stuff'!FU:GV,16,FALSE)</f>
        <v>0</v>
      </c>
      <c r="S385" s="113">
        <f>VLOOKUP(C385,'Talente &amp; Stuff'!FU:GV,17,FALSE)</f>
        <v>0</v>
      </c>
      <c r="T385" s="160">
        <f>VLOOKUP(C385,'Talente &amp; Stuff'!FU:GV,18,FALSE)</f>
        <v>0</v>
      </c>
      <c r="U385" s="47">
        <f>VLOOKUP(C385,'Talente &amp; Stuff'!FU:GV,19,FALSE)</f>
        <v>0</v>
      </c>
      <c r="V385" s="47">
        <f>VLOOKUP(C385,'Talente &amp; Stuff'!FU:GV,20,FALSE)</f>
        <v>0</v>
      </c>
      <c r="W385" s="47">
        <f>VLOOKUP(C385,'Talente &amp; Stuff'!FU:GV,21,FALSE)</f>
        <v>0</v>
      </c>
      <c r="X385" s="125">
        <f>VLOOKUP(C385,'Talente &amp; Stuff'!FU:GV,22,FALSE)</f>
        <v>0</v>
      </c>
      <c r="Y385" s="165">
        <f t="shared" si="28"/>
        <v>0</v>
      </c>
      <c r="Z385" s="44">
        <f t="shared" si="29"/>
        <v>0</v>
      </c>
      <c r="AA385" s="125">
        <f>VLOOKUP(C385,'Talente &amp; Stuff'!FU:GV,25,FALSE)</f>
        <v>0</v>
      </c>
      <c r="AB385" s="160">
        <f>VLOOKUP(C385,'Talente &amp; Stuff'!FU:GV,26,FALSE)</f>
        <v>0</v>
      </c>
      <c r="AC385" s="127">
        <f>VLOOKUP(C385,'Talente &amp; Stuff'!FU:GV,27,FALSE)</f>
        <v>0</v>
      </c>
      <c r="AD385" s="125">
        <f>VLOOKUP(C385,'Talente &amp; Stuff'!FU:GV,28,FALSE)</f>
        <v>0</v>
      </c>
      <c r="AE385" s="28"/>
    </row>
    <row r="386" spans="1:31" ht="15" hidden="1" customHeight="1" outlineLevel="2">
      <c r="B386" s="148">
        <v>11</v>
      </c>
      <c r="C386" s="177" t="str">
        <f>Attribute!C386</f>
        <v>---</v>
      </c>
      <c r="D386" s="87" t="str">
        <f>VLOOKUP(C386,'Talente &amp; Stuff'!FU:GV,2,FALSE)</f>
        <v>--/--/--</v>
      </c>
      <c r="E386" s="159" t="str">
        <f>VLOOKUP(C386,'Talente &amp; Stuff'!FU:GV,3,FALSE)</f>
        <v>-</v>
      </c>
      <c r="F386" s="122">
        <f>VLOOKUP(C386,'Talente &amp; Stuff'!FU:GV,4,FALSE)</f>
        <v>0</v>
      </c>
      <c r="G386" s="122">
        <f>VLOOKUP(C386,'Talente &amp; Stuff'!FU:GV,5,FALSE)</f>
        <v>0</v>
      </c>
      <c r="H386" s="122">
        <f>VLOOKUP(C386,'Talente &amp; Stuff'!FU:GV,6,FALSE)</f>
        <v>0</v>
      </c>
      <c r="I386" s="122">
        <f>VLOOKUP(C386,'Talente &amp; Stuff'!FU:GV,7,FALSE)</f>
        <v>0</v>
      </c>
      <c r="J386" s="122">
        <f>VLOOKUP(C386,'Talente &amp; Stuff'!FU:GV,8,FALSE)</f>
        <v>0</v>
      </c>
      <c r="K386" s="122">
        <f>VLOOKUP(C386,'Talente &amp; Stuff'!FU:GV,9,FALSE)</f>
        <v>0</v>
      </c>
      <c r="L386" s="122">
        <f>VLOOKUP(C386,'Talente &amp; Stuff'!FU:GV,10,FALSE)</f>
        <v>0</v>
      </c>
      <c r="M386" s="122">
        <f>VLOOKUP(C386,'Talente &amp; Stuff'!FU:GV,11,FALSE)</f>
        <v>0</v>
      </c>
      <c r="N386" s="90">
        <f>VLOOKUP(C386,'Talente &amp; Stuff'!FU:GV,12,FALSE)</f>
        <v>0</v>
      </c>
      <c r="O386" s="88">
        <f>VLOOKUP(C386,'Talente &amp; Stuff'!FU:GV,13,FALSE)</f>
        <v>0</v>
      </c>
      <c r="P386" s="123">
        <f>VLOOKUP(C386,'Talente &amp; Stuff'!FU:GV,14,FALSE)</f>
        <v>0</v>
      </c>
      <c r="Q386" s="122">
        <f>VLOOKUP(C386,'Talente &amp; Stuff'!FU:GV,15,FALSE)</f>
        <v>0</v>
      </c>
      <c r="R386" s="122">
        <f>VLOOKUP(C386,'Talente &amp; Stuff'!FU:GV,16,FALSE)</f>
        <v>0</v>
      </c>
      <c r="S386" s="122">
        <f>VLOOKUP(C386,'Talente &amp; Stuff'!FU:GV,17,FALSE)</f>
        <v>0</v>
      </c>
      <c r="T386" s="161">
        <f>VLOOKUP(C386,'Talente &amp; Stuff'!FU:GV,18,FALSE)</f>
        <v>0</v>
      </c>
      <c r="U386" s="88">
        <f>VLOOKUP(C386,'Talente &amp; Stuff'!FU:GV,19,FALSE)</f>
        <v>0</v>
      </c>
      <c r="V386" s="88">
        <f>VLOOKUP(C386,'Talente &amp; Stuff'!FU:GV,20,FALSE)</f>
        <v>0</v>
      </c>
      <c r="W386" s="88">
        <f>VLOOKUP(C386,'Talente &amp; Stuff'!FU:GV,21,FALSE)</f>
        <v>0</v>
      </c>
      <c r="X386" s="159">
        <f>VLOOKUP(C386,'Talente &amp; Stuff'!FU:GV,22,FALSE)</f>
        <v>0</v>
      </c>
      <c r="Y386" s="165">
        <f t="shared" si="28"/>
        <v>0</v>
      </c>
      <c r="Z386" s="44">
        <f t="shared" si="29"/>
        <v>0</v>
      </c>
      <c r="AA386" s="159">
        <f>VLOOKUP(C386,'Talente &amp; Stuff'!FU:GV,25,FALSE)</f>
        <v>0</v>
      </c>
      <c r="AB386" s="161">
        <f>VLOOKUP(C386,'Talente &amp; Stuff'!FU:GV,26,FALSE)</f>
        <v>0</v>
      </c>
      <c r="AC386" s="128">
        <f>VLOOKUP(C386,'Talente &amp; Stuff'!FU:GV,27,FALSE)</f>
        <v>0</v>
      </c>
      <c r="AD386" s="159">
        <f>VLOOKUP(C386,'Talente &amp; Stuff'!FU:GV,28,FALSE)</f>
        <v>0</v>
      </c>
      <c r="AE386" s="28"/>
    </row>
    <row r="387" spans="1:31" ht="15" hidden="1" customHeight="1" outlineLevel="1" collapsed="1">
      <c r="B387" s="134" t="s">
        <v>328</v>
      </c>
      <c r="C387" s="83"/>
      <c r="D387" s="84"/>
      <c r="E387" s="84"/>
    </row>
    <row r="388" spans="1:31" ht="15" hidden="1" customHeight="1" outlineLevel="2">
      <c r="B388" s="148">
        <v>1</v>
      </c>
      <c r="C388" s="176" t="str">
        <f>Attribute!C388</f>
        <v>---</v>
      </c>
      <c r="D388" s="85" t="str">
        <f>VLOOKUP(C388,'Talente &amp; Stuff'!FU:GV,2,FALSE)</f>
        <v>--/--/--</v>
      </c>
      <c r="E388" s="158" t="str">
        <f>VLOOKUP(C388,'Talente &amp; Stuff'!FU:GV,3,FALSE)</f>
        <v>-</v>
      </c>
      <c r="F388" s="118">
        <f>VLOOKUP(C388,'Talente &amp; Stuff'!FU:GV,4,FALSE)</f>
        <v>0</v>
      </c>
      <c r="G388" s="118">
        <f>VLOOKUP(C388,'Talente &amp; Stuff'!FU:GV,5,FALSE)</f>
        <v>0</v>
      </c>
      <c r="H388" s="118">
        <f>VLOOKUP(C388,'Talente &amp; Stuff'!FU:GV,6,FALSE)</f>
        <v>0</v>
      </c>
      <c r="I388" s="118">
        <f>VLOOKUP(C388,'Talente &amp; Stuff'!FU:GV,7,FALSE)</f>
        <v>0</v>
      </c>
      <c r="J388" s="118">
        <f>VLOOKUP(C388,'Talente &amp; Stuff'!FU:GV,8,FALSE)</f>
        <v>0</v>
      </c>
      <c r="K388" s="118">
        <f>VLOOKUP(C388,'Talente &amp; Stuff'!FU:GV,9,FALSE)</f>
        <v>0</v>
      </c>
      <c r="L388" s="118">
        <f>VLOOKUP(C388,'Talente &amp; Stuff'!FU:GV,10,FALSE)</f>
        <v>0</v>
      </c>
      <c r="M388" s="118">
        <f>VLOOKUP(C388,'Talente &amp; Stuff'!FU:GV,11,FALSE)</f>
        <v>0</v>
      </c>
      <c r="N388" s="193">
        <f>VLOOKUP(C388,'Talente &amp; Stuff'!FU:GV,12,FALSE)</f>
        <v>0</v>
      </c>
      <c r="O388" s="116">
        <f>VLOOKUP(C388,'Talente &amp; Stuff'!FU:GV,13,FALSE)</f>
        <v>0</v>
      </c>
      <c r="P388" s="92">
        <f>VLOOKUP(C388,'Talente &amp; Stuff'!FU:GV,14,FALSE)</f>
        <v>0</v>
      </c>
      <c r="Q388" s="118">
        <f>VLOOKUP(C388,'Talente &amp; Stuff'!FU:GV,15,FALSE)</f>
        <v>0</v>
      </c>
      <c r="R388" s="118">
        <f>VLOOKUP(C388,'Talente &amp; Stuff'!FU:GV,16,FALSE)</f>
        <v>0</v>
      </c>
      <c r="S388" s="118">
        <f>VLOOKUP(C388,'Talente &amp; Stuff'!FU:GV,17,FALSE)</f>
        <v>0</v>
      </c>
      <c r="T388" s="91">
        <f>VLOOKUP(C388,'Talente &amp; Stuff'!FU:GV,18,FALSE)</f>
        <v>0</v>
      </c>
      <c r="U388" s="116">
        <f>VLOOKUP(C388,'Talente &amp; Stuff'!FU:GV,19,FALSE)</f>
        <v>0</v>
      </c>
      <c r="V388" s="116">
        <f>VLOOKUP(C388,'Talente &amp; Stuff'!FU:GV,20,FALSE)</f>
        <v>0</v>
      </c>
      <c r="W388" s="116">
        <f>VLOOKUP(C388,'Talente &amp; Stuff'!FU:GV,21,FALSE)</f>
        <v>0</v>
      </c>
      <c r="X388" s="158">
        <f>VLOOKUP(C388,'Talente &amp; Stuff'!FU:GV,22,FALSE)</f>
        <v>0</v>
      </c>
      <c r="Y388" s="165">
        <f>VLOOKUP(C388,Ausgewählte_Rituale_Hexen,197,FALSE)</f>
        <v>0</v>
      </c>
      <c r="Z388" s="44">
        <f>VLOOKUP(C388,Ausgewählte_Rituale_Hexen,198,FALSE)</f>
        <v>0</v>
      </c>
      <c r="AA388" s="158">
        <f>VLOOKUP(C388,'Talente &amp; Stuff'!FU:GV,25,FALSE)</f>
        <v>0</v>
      </c>
      <c r="AB388" s="91">
        <f>VLOOKUP(C388,'Talente &amp; Stuff'!FU:GV,26,FALSE)</f>
        <v>0</v>
      </c>
      <c r="AC388" s="126">
        <f>VLOOKUP(C388,'Talente &amp; Stuff'!FU:GV,27,FALSE)</f>
        <v>0</v>
      </c>
      <c r="AD388" s="158">
        <f>VLOOKUP(C388,'Talente &amp; Stuff'!FU:GV,28,FALSE)</f>
        <v>0</v>
      </c>
      <c r="AE388" s="28"/>
    </row>
    <row r="389" spans="1:31" ht="15" hidden="1" customHeight="1" outlineLevel="2">
      <c r="B389" s="148">
        <v>2</v>
      </c>
      <c r="C389" s="178" t="str">
        <f>Attribute!C389</f>
        <v>---</v>
      </c>
      <c r="D389" s="87" t="str">
        <f>VLOOKUP(C389,'Talente &amp; Stuff'!FU:GV,2,FALSE)</f>
        <v>--/--/--</v>
      </c>
      <c r="E389" s="159" t="str">
        <f>VLOOKUP(C389,'Talente &amp; Stuff'!FU:GV,3,FALSE)</f>
        <v>-</v>
      </c>
      <c r="F389" s="122">
        <f>VLOOKUP(C389,'Talente &amp; Stuff'!FU:GV,4,FALSE)</f>
        <v>0</v>
      </c>
      <c r="G389" s="122">
        <f>VLOOKUP(C389,'Talente &amp; Stuff'!FU:GV,5,FALSE)</f>
        <v>0</v>
      </c>
      <c r="H389" s="122">
        <f>VLOOKUP(C389,'Talente &amp; Stuff'!FU:GV,6,FALSE)</f>
        <v>0</v>
      </c>
      <c r="I389" s="122">
        <f>VLOOKUP(C389,'Talente &amp; Stuff'!FU:GV,7,FALSE)</f>
        <v>0</v>
      </c>
      <c r="J389" s="122">
        <f>VLOOKUP(C389,'Talente &amp; Stuff'!FU:GV,8,FALSE)</f>
        <v>0</v>
      </c>
      <c r="K389" s="122">
        <f>VLOOKUP(C389,'Talente &amp; Stuff'!FU:GV,9,FALSE)</f>
        <v>0</v>
      </c>
      <c r="L389" s="122">
        <f>VLOOKUP(C389,'Talente &amp; Stuff'!FU:GV,10,FALSE)</f>
        <v>0</v>
      </c>
      <c r="M389" s="122">
        <f>VLOOKUP(C389,'Talente &amp; Stuff'!FU:GV,11,FALSE)</f>
        <v>0</v>
      </c>
      <c r="N389" s="90">
        <f>VLOOKUP(C389,'Talente &amp; Stuff'!FU:GV,12,FALSE)</f>
        <v>0</v>
      </c>
      <c r="O389" s="88">
        <f>VLOOKUP(C389,'Talente &amp; Stuff'!FU:GV,13,FALSE)</f>
        <v>0</v>
      </c>
      <c r="P389" s="123">
        <f>VLOOKUP(C389,'Talente &amp; Stuff'!FU:GV,14,FALSE)</f>
        <v>0</v>
      </c>
      <c r="Q389" s="122">
        <f>VLOOKUP(C389,'Talente &amp; Stuff'!FU:GV,15,FALSE)</f>
        <v>0</v>
      </c>
      <c r="R389" s="122">
        <f>VLOOKUP(C389,'Talente &amp; Stuff'!FU:GV,16,FALSE)</f>
        <v>0</v>
      </c>
      <c r="S389" s="122">
        <f>VLOOKUP(C389,'Talente &amp; Stuff'!FU:GV,17,FALSE)</f>
        <v>0</v>
      </c>
      <c r="T389" s="161">
        <f>VLOOKUP(C389,'Talente &amp; Stuff'!FU:GV,18,FALSE)</f>
        <v>0</v>
      </c>
      <c r="U389" s="88">
        <f>VLOOKUP(C389,'Talente &amp; Stuff'!FU:GV,19,FALSE)</f>
        <v>0</v>
      </c>
      <c r="V389" s="88">
        <f>VLOOKUP(C389,'Talente &amp; Stuff'!FU:GV,20,FALSE)</f>
        <v>0</v>
      </c>
      <c r="W389" s="88">
        <f>VLOOKUP(C389,'Talente &amp; Stuff'!FU:GV,21,FALSE)</f>
        <v>0</v>
      </c>
      <c r="X389" s="159">
        <f>VLOOKUP(C389,'Talente &amp; Stuff'!FU:GV,22,FALSE)</f>
        <v>0</v>
      </c>
      <c r="Y389" s="165">
        <f>VLOOKUP(C389,Ausgewählte_Rituale_Hexen,197,FALSE)</f>
        <v>0</v>
      </c>
      <c r="Z389" s="44">
        <f>VLOOKUP(C389,Ausgewählte_Rituale_Hexen,198,FALSE)</f>
        <v>0</v>
      </c>
      <c r="AA389" s="159">
        <f>VLOOKUP(C389,'Talente &amp; Stuff'!FU:GV,25,FALSE)</f>
        <v>0</v>
      </c>
      <c r="AB389" s="161">
        <f>VLOOKUP(C389,'Talente &amp; Stuff'!FU:GV,26,FALSE)</f>
        <v>0</v>
      </c>
      <c r="AC389" s="128">
        <f>VLOOKUP(C389,'Talente &amp; Stuff'!FU:GV,27,FALSE)</f>
        <v>0</v>
      </c>
      <c r="AD389" s="159">
        <f>VLOOKUP(C389,'Talente &amp; Stuff'!FU:GV,28,FALSE)</f>
        <v>0</v>
      </c>
      <c r="AE389" s="28"/>
    </row>
    <row r="390" spans="1:31" ht="15" hidden="1" customHeight="1" outlineLevel="1" collapsed="1">
      <c r="B390" s="134" t="s">
        <v>407</v>
      </c>
      <c r="C390" s="83"/>
      <c r="D390" s="84"/>
      <c r="E390" s="84"/>
    </row>
    <row r="391" spans="1:31" ht="15" hidden="1" customHeight="1" outlineLevel="2">
      <c r="B391" s="148">
        <v>1</v>
      </c>
      <c r="C391" s="176" t="str">
        <f>Attribute!C391</f>
        <v>---</v>
      </c>
      <c r="D391" s="186" t="str">
        <f>VLOOKUP(C391,'Talente &amp; Stuff'!FU:GV,2,FALSE)</f>
        <v>--/--/--</v>
      </c>
      <c r="E391" s="40" t="str">
        <f>VLOOKUP(C391,'Talente &amp; Stuff'!FU:GV,3,FALSE)</f>
        <v>-</v>
      </c>
      <c r="F391" s="183">
        <f>VLOOKUP(C391,'Talente &amp; Stuff'!FU:GV,4,FALSE)</f>
        <v>0</v>
      </c>
      <c r="G391" s="183">
        <f>VLOOKUP(C391,'Talente &amp; Stuff'!FU:GV,5,FALSE)</f>
        <v>0</v>
      </c>
      <c r="H391" s="183">
        <f>VLOOKUP(C391,'Talente &amp; Stuff'!FU:GV,6,FALSE)</f>
        <v>0</v>
      </c>
      <c r="I391" s="183">
        <f>VLOOKUP(C391,'Talente &amp; Stuff'!FU:GV,7,FALSE)</f>
        <v>0</v>
      </c>
      <c r="J391" s="183">
        <f>VLOOKUP(C391,'Talente &amp; Stuff'!FU:GV,8,FALSE)</f>
        <v>0</v>
      </c>
      <c r="K391" s="183">
        <f>VLOOKUP(C391,'Talente &amp; Stuff'!FU:GV,9,FALSE)</f>
        <v>0</v>
      </c>
      <c r="L391" s="183">
        <f>VLOOKUP(C391,'Talente &amp; Stuff'!FU:GV,10,FALSE)</f>
        <v>0</v>
      </c>
      <c r="M391" s="183">
        <f>VLOOKUP(C391,'Talente &amp; Stuff'!FU:GV,11,FALSE)</f>
        <v>0</v>
      </c>
      <c r="N391" s="166">
        <f>VLOOKUP(C391,'Talente &amp; Stuff'!FU:GV,12,FALSE)</f>
        <v>0</v>
      </c>
      <c r="O391" s="179">
        <f>VLOOKUP(C391,'Talente &amp; Stuff'!FU:GV,13,FALSE)</f>
        <v>0</v>
      </c>
      <c r="P391" s="180">
        <f>VLOOKUP(C391,'Talente &amp; Stuff'!FU:GV,14,FALSE)</f>
        <v>0</v>
      </c>
      <c r="Q391" s="183">
        <f>VLOOKUP(C391,'Talente &amp; Stuff'!FU:GV,15,FALSE)</f>
        <v>0</v>
      </c>
      <c r="R391" s="183">
        <f>VLOOKUP(C391,'Talente &amp; Stuff'!FU:GV,16,FALSE)</f>
        <v>0</v>
      </c>
      <c r="S391" s="183">
        <f>VLOOKUP(C391,'Talente &amp; Stuff'!FU:GV,17,FALSE)</f>
        <v>0</v>
      </c>
      <c r="T391" s="189">
        <f>VLOOKUP(C391,'Talente &amp; Stuff'!FU:GV,18,FALSE)</f>
        <v>0</v>
      </c>
      <c r="U391" s="179">
        <f>VLOOKUP(C391,'Talente &amp; Stuff'!FU:GV,19,FALSE)</f>
        <v>0</v>
      </c>
      <c r="V391" s="179">
        <f>VLOOKUP(C391,'Talente &amp; Stuff'!FU:GV,20,FALSE)</f>
        <v>0</v>
      </c>
      <c r="W391" s="179">
        <f>VLOOKUP(C391,'Talente &amp; Stuff'!FU:GV,21,FALSE)</f>
        <v>0</v>
      </c>
      <c r="X391" s="40">
        <f>VLOOKUP(C391,'Talente &amp; Stuff'!FU:GV,22,FALSE)</f>
        <v>0</v>
      </c>
      <c r="Y391" s="165">
        <f>VLOOKUP(C391,Ausgewählte_Rituale_Kristallomanten,197,FALSE)</f>
        <v>0</v>
      </c>
      <c r="Z391" s="44">
        <f>VLOOKUP(C391,Ausgewählte_Rituale_Kristallomanten,198,FALSE)</f>
        <v>0</v>
      </c>
      <c r="AA391" s="40">
        <f>VLOOKUP(C391,'Talente &amp; Stuff'!FU:GV,25,FALSE)</f>
        <v>0</v>
      </c>
      <c r="AB391" s="189">
        <f>VLOOKUP(C391,'Talente &amp; Stuff'!FU:GV,26,FALSE)</f>
        <v>0</v>
      </c>
      <c r="AC391" s="182">
        <f>VLOOKUP(C391,'Talente &amp; Stuff'!FU:GV,27,FALSE)</f>
        <v>0</v>
      </c>
      <c r="AD391" s="40">
        <f>VLOOKUP(C391,'Talente &amp; Stuff'!FU:GV,28,FALSE)</f>
        <v>0</v>
      </c>
      <c r="AE391" s="28"/>
    </row>
    <row r="392" spans="1:31" ht="15" hidden="1" customHeight="1" outlineLevel="1" collapsed="1">
      <c r="B392" s="134" t="s">
        <v>408</v>
      </c>
      <c r="C392" s="83"/>
      <c r="D392" s="84"/>
      <c r="E392" s="84"/>
    </row>
    <row r="393" spans="1:31" ht="15" hidden="1" customHeight="1" outlineLevel="2">
      <c r="B393" s="148">
        <v>1</v>
      </c>
      <c r="C393" s="176" t="str">
        <f>Attribute!C393</f>
        <v>---</v>
      </c>
      <c r="D393" s="85" t="str">
        <f>VLOOKUP(C393,'Talente &amp; Stuff'!FU:GV,2,FALSE)</f>
        <v>--/--/--</v>
      </c>
      <c r="E393" s="193" t="str">
        <f>VLOOKUP(C393,'Talente &amp; Stuff'!FU:GV,3,FALSE)</f>
        <v>-</v>
      </c>
      <c r="F393" s="191">
        <f>VLOOKUP(C393,'Talente &amp; Stuff'!FU:GV,4,FALSE)</f>
        <v>0</v>
      </c>
      <c r="G393" s="118">
        <f>VLOOKUP(C393,'Talente &amp; Stuff'!FU:GV,5,FALSE)</f>
        <v>0</v>
      </c>
      <c r="H393" s="118">
        <f>VLOOKUP(C393,'Talente &amp; Stuff'!FU:GV,6,FALSE)</f>
        <v>0</v>
      </c>
      <c r="I393" s="118">
        <f>VLOOKUP(C393,'Talente &amp; Stuff'!FU:GV,7,FALSE)</f>
        <v>0</v>
      </c>
      <c r="J393" s="118">
        <f>VLOOKUP(C393,'Talente &amp; Stuff'!FU:GV,8,FALSE)</f>
        <v>0</v>
      </c>
      <c r="K393" s="118">
        <f>VLOOKUP(C393,'Talente &amp; Stuff'!FU:GV,9,FALSE)</f>
        <v>0</v>
      </c>
      <c r="L393" s="118">
        <f>VLOOKUP(C393,'Talente &amp; Stuff'!FU:GV,10,FALSE)</f>
        <v>0</v>
      </c>
      <c r="M393" s="92">
        <f>VLOOKUP(C393,'Talente &amp; Stuff'!FU:GV,11,FALSE)</f>
        <v>0</v>
      </c>
      <c r="N393" s="193">
        <f>VLOOKUP(C393,'Talente &amp; Stuff'!FU:GV,12,FALSE)</f>
        <v>0</v>
      </c>
      <c r="O393" s="116">
        <f>VLOOKUP(C393,'Talente &amp; Stuff'!FU:GV,13,FALSE)</f>
        <v>0</v>
      </c>
      <c r="P393" s="92">
        <f>VLOOKUP(C393,'Talente &amp; Stuff'!FU:GV,14,FALSE)</f>
        <v>0</v>
      </c>
      <c r="Q393" s="191">
        <f>VLOOKUP(C393,'Talente &amp; Stuff'!FU:GV,15,FALSE)</f>
        <v>0</v>
      </c>
      <c r="R393" s="118">
        <f>VLOOKUP(C393,'Talente &amp; Stuff'!FU:GV,16,FALSE)</f>
        <v>0</v>
      </c>
      <c r="S393" s="92">
        <f>VLOOKUP(C393,'Talente &amp; Stuff'!FU:GV,17,FALSE)</f>
        <v>0</v>
      </c>
      <c r="T393" s="92">
        <f>VLOOKUP(C393,'Talente &amp; Stuff'!FU:GV,18,FALSE)</f>
        <v>0</v>
      </c>
      <c r="U393" s="193">
        <f>VLOOKUP(C393,'Talente &amp; Stuff'!FU:GV,19,FALSE)</f>
        <v>0</v>
      </c>
      <c r="V393" s="116">
        <f>VLOOKUP(C393,'Talente &amp; Stuff'!FU:GV,20,FALSE)</f>
        <v>0</v>
      </c>
      <c r="W393" s="126">
        <f>VLOOKUP(C393,'Talente &amp; Stuff'!FU:GV,21,FALSE)</f>
        <v>0</v>
      </c>
      <c r="X393" s="158">
        <f>VLOOKUP(C393,'Talente &amp; Stuff'!FU:GV,22,FALSE)</f>
        <v>0</v>
      </c>
      <c r="Y393" s="165">
        <f>VLOOKUP(C393,Ausgewählte_Rituale_Scharlatane,197,FALSE)</f>
        <v>0</v>
      </c>
      <c r="Z393" s="44">
        <f>VLOOKUP(C393,Ausgewählte_Rituale_Scharlatane,198,FALSE)</f>
        <v>0</v>
      </c>
      <c r="AA393" s="158">
        <f>VLOOKUP(C393,'Talente &amp; Stuff'!FU:GV,25,FALSE)</f>
        <v>0</v>
      </c>
      <c r="AB393" s="191">
        <f>VLOOKUP(C393,'Talente &amp; Stuff'!FU:GV,26,FALSE)</f>
        <v>0</v>
      </c>
      <c r="AC393" s="158">
        <f>VLOOKUP(C393,'Talente &amp; Stuff'!FU:GV,27,FALSE)</f>
        <v>0</v>
      </c>
      <c r="AD393" s="158">
        <f>VLOOKUP(C393,'Talente &amp; Stuff'!FU:GV,28,FALSE)</f>
        <v>0</v>
      </c>
      <c r="AE393" s="28"/>
    </row>
    <row r="394" spans="1:31" ht="15" hidden="1" customHeight="1" outlineLevel="2">
      <c r="B394" s="148">
        <v>2</v>
      </c>
      <c r="C394" s="177" t="str">
        <f>Attribute!C394</f>
        <v>---</v>
      </c>
      <c r="D394" s="86" t="str">
        <f>VLOOKUP(C394,'Talente &amp; Stuff'!FU:GV,2,FALSE)</f>
        <v>--/--/--</v>
      </c>
      <c r="E394" s="89" t="str">
        <f>VLOOKUP(C394,'Talente &amp; Stuff'!FU:GV,3,FALSE)</f>
        <v>-</v>
      </c>
      <c r="F394" s="114">
        <f>VLOOKUP(C394,'Talente &amp; Stuff'!FU:GV,4,FALSE)</f>
        <v>0</v>
      </c>
      <c r="G394" s="113">
        <f>VLOOKUP(C394,'Talente &amp; Stuff'!FU:GV,5,FALSE)</f>
        <v>0</v>
      </c>
      <c r="H394" s="113">
        <f>VLOOKUP(C394,'Talente &amp; Stuff'!FU:GV,6,FALSE)</f>
        <v>0</v>
      </c>
      <c r="I394" s="113">
        <f>VLOOKUP(C394,'Talente &amp; Stuff'!FU:GV,7,FALSE)</f>
        <v>0</v>
      </c>
      <c r="J394" s="113">
        <f>VLOOKUP(C394,'Talente &amp; Stuff'!FU:GV,8,FALSE)</f>
        <v>0</v>
      </c>
      <c r="K394" s="113">
        <f>VLOOKUP(C394,'Talente &amp; Stuff'!FU:GV,9,FALSE)</f>
        <v>0</v>
      </c>
      <c r="L394" s="113">
        <f>VLOOKUP(C394,'Talente &amp; Stuff'!FU:GV,10,FALSE)</f>
        <v>0</v>
      </c>
      <c r="M394" s="119">
        <f>VLOOKUP(C394,'Talente &amp; Stuff'!FU:GV,11,FALSE)</f>
        <v>0</v>
      </c>
      <c r="N394" s="89">
        <f>VLOOKUP(C394,'Talente &amp; Stuff'!FU:GV,12,FALSE)</f>
        <v>0</v>
      </c>
      <c r="O394" s="47">
        <f>VLOOKUP(C394,'Talente &amp; Stuff'!FU:GV,13,FALSE)</f>
        <v>0</v>
      </c>
      <c r="P394" s="119">
        <f>VLOOKUP(C394,'Talente &amp; Stuff'!FU:GV,14,FALSE)</f>
        <v>0</v>
      </c>
      <c r="Q394" s="114">
        <f>VLOOKUP(C394,'Talente &amp; Stuff'!FU:GV,15,FALSE)</f>
        <v>0</v>
      </c>
      <c r="R394" s="113">
        <f>VLOOKUP(C394,'Talente &amp; Stuff'!FU:GV,16,FALSE)</f>
        <v>0</v>
      </c>
      <c r="S394" s="119">
        <f>VLOOKUP(C394,'Talente &amp; Stuff'!FU:GV,17,FALSE)</f>
        <v>0</v>
      </c>
      <c r="T394" s="119">
        <f>VLOOKUP(C394,'Talente &amp; Stuff'!FU:GV,18,FALSE)</f>
        <v>0</v>
      </c>
      <c r="U394" s="89">
        <f>VLOOKUP(C394,'Talente &amp; Stuff'!FU:GV,19,FALSE)</f>
        <v>0</v>
      </c>
      <c r="V394" s="47">
        <f>VLOOKUP(C394,'Talente &amp; Stuff'!FU:GV,20,FALSE)</f>
        <v>0</v>
      </c>
      <c r="W394" s="127">
        <f>VLOOKUP(C394,'Talente &amp; Stuff'!FU:GV,21,FALSE)</f>
        <v>0</v>
      </c>
      <c r="X394" s="125">
        <f>VLOOKUP(C394,'Talente &amp; Stuff'!FU:GV,22,FALSE)</f>
        <v>0</v>
      </c>
      <c r="Y394" s="165">
        <f>VLOOKUP(C394,Ausgewählte_Rituale_Scharlatane,197,FALSE)</f>
        <v>0</v>
      </c>
      <c r="Z394" s="44">
        <f>VLOOKUP(C394,Ausgewählte_Rituale_Scharlatane,198,FALSE)</f>
        <v>0</v>
      </c>
      <c r="AA394" s="125">
        <f>VLOOKUP(C394,'Talente &amp; Stuff'!FU:GV,25,FALSE)</f>
        <v>0</v>
      </c>
      <c r="AB394" s="114">
        <f>VLOOKUP(C394,'Talente &amp; Stuff'!FU:GV,26,FALSE)</f>
        <v>0</v>
      </c>
      <c r="AC394" s="125">
        <f>VLOOKUP(C394,'Talente &amp; Stuff'!FU:GV,27,FALSE)</f>
        <v>0</v>
      </c>
      <c r="AD394" s="125">
        <f>VLOOKUP(C394,'Talente &amp; Stuff'!FU:GV,28,FALSE)</f>
        <v>0</v>
      </c>
      <c r="AE394" s="28"/>
    </row>
    <row r="395" spans="1:31" ht="15" hidden="1" customHeight="1" outlineLevel="2">
      <c r="B395" s="148">
        <v>3</v>
      </c>
      <c r="C395" s="177" t="str">
        <f>Attribute!C395</f>
        <v>---</v>
      </c>
      <c r="D395" s="87" t="str">
        <f>VLOOKUP(C395,'Talente &amp; Stuff'!FU:GV,2,FALSE)</f>
        <v>--/--/--</v>
      </c>
      <c r="E395" s="90" t="str">
        <f>VLOOKUP(C395,'Talente &amp; Stuff'!FU:GV,3,FALSE)</f>
        <v>-</v>
      </c>
      <c r="F395" s="115">
        <f>VLOOKUP(C395,'Talente &amp; Stuff'!FU:GV,4,FALSE)</f>
        <v>0</v>
      </c>
      <c r="G395" s="122">
        <f>VLOOKUP(C395,'Talente &amp; Stuff'!FU:GV,5,FALSE)</f>
        <v>0</v>
      </c>
      <c r="H395" s="122">
        <f>VLOOKUP(C395,'Talente &amp; Stuff'!FU:GV,6,FALSE)</f>
        <v>0</v>
      </c>
      <c r="I395" s="122">
        <f>VLOOKUP(C395,'Talente &amp; Stuff'!FU:GV,7,FALSE)</f>
        <v>0</v>
      </c>
      <c r="J395" s="122">
        <f>VLOOKUP(C395,'Talente &amp; Stuff'!FU:GV,8,FALSE)</f>
        <v>0</v>
      </c>
      <c r="K395" s="122">
        <f>VLOOKUP(C395,'Talente &amp; Stuff'!FU:GV,9,FALSE)</f>
        <v>0</v>
      </c>
      <c r="L395" s="122">
        <f>VLOOKUP(C395,'Talente &amp; Stuff'!FU:GV,10,FALSE)</f>
        <v>0</v>
      </c>
      <c r="M395" s="123">
        <f>VLOOKUP(C395,'Talente &amp; Stuff'!FU:GV,11,FALSE)</f>
        <v>0</v>
      </c>
      <c r="N395" s="90">
        <f>VLOOKUP(C395,'Talente &amp; Stuff'!FU:GV,12,FALSE)</f>
        <v>0</v>
      </c>
      <c r="O395" s="88">
        <f>VLOOKUP(C395,'Talente &amp; Stuff'!FU:GV,13,FALSE)</f>
        <v>0</v>
      </c>
      <c r="P395" s="123">
        <f>VLOOKUP(C395,'Talente &amp; Stuff'!FU:GV,14,FALSE)</f>
        <v>0</v>
      </c>
      <c r="Q395" s="115">
        <f>VLOOKUP(C395,'Talente &amp; Stuff'!FU:GV,15,FALSE)</f>
        <v>0</v>
      </c>
      <c r="R395" s="122">
        <f>VLOOKUP(C395,'Talente &amp; Stuff'!FU:GV,16,FALSE)</f>
        <v>0</v>
      </c>
      <c r="S395" s="123">
        <f>VLOOKUP(C395,'Talente &amp; Stuff'!FU:GV,17,FALSE)</f>
        <v>0</v>
      </c>
      <c r="T395" s="123">
        <f>VLOOKUP(C395,'Talente &amp; Stuff'!FU:GV,18,FALSE)</f>
        <v>0</v>
      </c>
      <c r="U395" s="90">
        <f>VLOOKUP(C395,'Talente &amp; Stuff'!FU:GV,19,FALSE)</f>
        <v>0</v>
      </c>
      <c r="V395" s="88">
        <f>VLOOKUP(C395,'Talente &amp; Stuff'!FU:GV,20,FALSE)</f>
        <v>0</v>
      </c>
      <c r="W395" s="128">
        <f>VLOOKUP(C395,'Talente &amp; Stuff'!FU:GV,21,FALSE)</f>
        <v>0</v>
      </c>
      <c r="X395" s="159">
        <f>VLOOKUP(C395,'Talente &amp; Stuff'!FU:GV,22,FALSE)</f>
        <v>0</v>
      </c>
      <c r="Y395" s="165">
        <f>VLOOKUP(C395,Ausgewählte_Rituale_Scharlatane,197,FALSE)</f>
        <v>0</v>
      </c>
      <c r="Z395" s="44">
        <f>VLOOKUP(C395,Ausgewählte_Rituale_Scharlatane,198,FALSE)</f>
        <v>0</v>
      </c>
      <c r="AA395" s="159">
        <f>VLOOKUP(C395,'Talente &amp; Stuff'!FU:GV,25,FALSE)</f>
        <v>0</v>
      </c>
      <c r="AB395" s="115">
        <f>VLOOKUP(C395,'Talente &amp; Stuff'!FU:GV,26,FALSE)</f>
        <v>0</v>
      </c>
      <c r="AC395" s="159">
        <f>VLOOKUP(C395,'Talente &amp; Stuff'!FU:GV,27,FALSE)</f>
        <v>0</v>
      </c>
      <c r="AD395" s="159">
        <f>VLOOKUP(C395,'Talente &amp; Stuff'!FU:GV,28,FALSE)</f>
        <v>0</v>
      </c>
      <c r="AE395" s="28"/>
    </row>
    <row r="396" spans="1:31" ht="15" hidden="1" customHeight="1" outlineLevel="1" collapsed="1"/>
    <row r="397" spans="1:31" ht="15.75" collapsed="1" thickBot="1"/>
    <row r="398" spans="1:31" ht="15.75" thickBot="1">
      <c r="A398" s="135" t="s">
        <v>234</v>
      </c>
    </row>
    <row r="399" spans="1:31" ht="15" hidden="1" customHeight="1" outlineLevel="1">
      <c r="B399" s="134" t="s">
        <v>327</v>
      </c>
    </row>
    <row r="400" spans="1:31" ht="15" hidden="1" customHeight="1" outlineLevel="2">
      <c r="B400" s="148">
        <v>1</v>
      </c>
      <c r="C400" s="176" t="str">
        <f>Attribute!C400</f>
        <v>---</v>
      </c>
      <c r="D400" s="158" t="str">
        <f>VLOOKUP(C400,'Talente &amp; Stuff'!FU:GV,2,FALSE)</f>
        <v>--/--/--</v>
      </c>
      <c r="E400" s="116" t="str">
        <f>VLOOKUP(C400,'Talente &amp; Stuff'!FU:GV,3,FALSE)</f>
        <v>-</v>
      </c>
      <c r="F400" s="191">
        <f>VLOOKUP(C400,'Talente &amp; Stuff'!FU:GV,4,FALSE)</f>
        <v>0</v>
      </c>
      <c r="G400" s="118">
        <f>VLOOKUP(C400,'Talente &amp; Stuff'!FU:GV,5,FALSE)</f>
        <v>0</v>
      </c>
      <c r="H400" s="118">
        <f>VLOOKUP(C400,'Talente &amp; Stuff'!FU:GV,6,FALSE)</f>
        <v>0</v>
      </c>
      <c r="I400" s="118">
        <f>VLOOKUP(C400,'Talente &amp; Stuff'!FU:GV,7,FALSE)</f>
        <v>0</v>
      </c>
      <c r="J400" s="118">
        <f>VLOOKUP(C400,'Talente &amp; Stuff'!FU:GV,8,FALSE)</f>
        <v>0</v>
      </c>
      <c r="K400" s="118">
        <f>VLOOKUP(C400,'Talente &amp; Stuff'!FU:GV,9,FALSE)</f>
        <v>0</v>
      </c>
      <c r="L400" s="118">
        <f>VLOOKUP(C400,'Talente &amp; Stuff'!FU:GV,10,FALSE)</f>
        <v>0</v>
      </c>
      <c r="M400" s="92">
        <f>VLOOKUP(C400,'Talente &amp; Stuff'!FU:GV,11,FALSE)</f>
        <v>0</v>
      </c>
      <c r="N400" s="116">
        <f>VLOOKUP(C400,'Talente &amp; Stuff'!FU:GV,12,FALSE)</f>
        <v>0</v>
      </c>
      <c r="O400" s="116">
        <f>VLOOKUP(C400,'Talente &amp; Stuff'!FU:GV,13,FALSE)</f>
        <v>0</v>
      </c>
      <c r="P400" s="118">
        <f>VLOOKUP(C400,'Talente &amp; Stuff'!FU:GV,14,FALSE)</f>
        <v>0</v>
      </c>
      <c r="Q400" s="191">
        <f>VLOOKUP(C400,'Talente &amp; Stuff'!FU:GV,15,FALSE)</f>
        <v>0</v>
      </c>
      <c r="R400" s="118">
        <f>VLOOKUP(C400,'Talente &amp; Stuff'!FU:GV,16,FALSE)</f>
        <v>0</v>
      </c>
      <c r="S400" s="92">
        <f>VLOOKUP(C400,'Talente &amp; Stuff'!FU:GV,17,FALSE)</f>
        <v>0</v>
      </c>
      <c r="T400" s="91">
        <f>VLOOKUP(C400,'Talente &amp; Stuff'!FU:GV,18,FALSE)</f>
        <v>0</v>
      </c>
      <c r="U400" s="193">
        <f>VLOOKUP(C400,'Talente &amp; Stuff'!FU:GV,19,FALSE)</f>
        <v>0</v>
      </c>
      <c r="V400" s="116">
        <f>VLOOKUP(C400,'Talente &amp; Stuff'!FU:GV,20,FALSE)</f>
        <v>0</v>
      </c>
      <c r="W400" s="126">
        <f>VLOOKUP(C400,'Talente &amp; Stuff'!FU:GV,21,FALSE)</f>
        <v>0</v>
      </c>
      <c r="X400" s="126">
        <f>VLOOKUP(C400,'Talente &amp; Stuff'!FU:GV,22,FALSE)</f>
        <v>0</v>
      </c>
      <c r="Y400" s="165">
        <f>VLOOKUP(C400,Ausgewählte_Liturgien_Allgemein,197,FALSE)</f>
        <v>0</v>
      </c>
      <c r="Z400" s="44">
        <f>VLOOKUP(C400,Ausgewählte_Liturgien_Allgemein,198,FALSE)</f>
        <v>0</v>
      </c>
      <c r="AA400" s="158">
        <f>VLOOKUP(C400,'Talente &amp; Stuff'!FU:GV,25,FALSE)</f>
        <v>0</v>
      </c>
      <c r="AB400" s="91">
        <f>VLOOKUP(C400,'Talente &amp; Stuff'!FU:GV,26,FALSE)</f>
        <v>0</v>
      </c>
      <c r="AC400" s="126">
        <f>VLOOKUP(C400,'Talente &amp; Stuff'!FU:GV,27,FALSE)</f>
        <v>0</v>
      </c>
      <c r="AD400" s="158">
        <f>VLOOKUP(C400,'Talente &amp; Stuff'!FU:GV,28,FALSE)</f>
        <v>0</v>
      </c>
      <c r="AE400" s="28"/>
    </row>
    <row r="401" spans="2:31" ht="15" hidden="1" customHeight="1" outlineLevel="2">
      <c r="B401" s="148">
        <v>2</v>
      </c>
      <c r="C401" s="177" t="str">
        <f>Attribute!C401</f>
        <v>---</v>
      </c>
      <c r="D401" s="125" t="str">
        <f>VLOOKUP(C401,'Talente &amp; Stuff'!FU:GV,2,FALSE)</f>
        <v>--/--/--</v>
      </c>
      <c r="E401" s="47" t="str">
        <f>VLOOKUP(C401,'Talente &amp; Stuff'!FU:GV,3,FALSE)</f>
        <v>-</v>
      </c>
      <c r="F401" s="114">
        <f>VLOOKUP(C401,'Talente &amp; Stuff'!FU:GV,4,FALSE)</f>
        <v>0</v>
      </c>
      <c r="G401" s="113">
        <f>VLOOKUP(C401,'Talente &amp; Stuff'!FU:GV,5,FALSE)</f>
        <v>0</v>
      </c>
      <c r="H401" s="113">
        <f>VLOOKUP(C401,'Talente &amp; Stuff'!FU:GV,6,FALSE)</f>
        <v>0</v>
      </c>
      <c r="I401" s="113">
        <f>VLOOKUP(C401,'Talente &amp; Stuff'!FU:GV,7,FALSE)</f>
        <v>0</v>
      </c>
      <c r="J401" s="113">
        <f>VLOOKUP(C401,'Talente &amp; Stuff'!FU:GV,8,FALSE)</f>
        <v>0</v>
      </c>
      <c r="K401" s="113">
        <f>VLOOKUP(C401,'Talente &amp; Stuff'!FU:GV,9,FALSE)</f>
        <v>0</v>
      </c>
      <c r="L401" s="113">
        <f>VLOOKUP(C401,'Talente &amp; Stuff'!FU:GV,10,FALSE)</f>
        <v>0</v>
      </c>
      <c r="M401" s="119">
        <f>VLOOKUP(C401,'Talente &amp; Stuff'!FU:GV,11,FALSE)</f>
        <v>0</v>
      </c>
      <c r="N401" s="47">
        <f>VLOOKUP(C401,'Talente &amp; Stuff'!FU:GV,12,FALSE)</f>
        <v>0</v>
      </c>
      <c r="O401" s="47">
        <f>VLOOKUP(C401,'Talente &amp; Stuff'!FU:GV,13,FALSE)</f>
        <v>0</v>
      </c>
      <c r="P401" s="113">
        <f>VLOOKUP(C401,'Talente &amp; Stuff'!FU:GV,14,FALSE)</f>
        <v>0</v>
      </c>
      <c r="Q401" s="114">
        <f>VLOOKUP(C401,'Talente &amp; Stuff'!FU:GV,15,FALSE)</f>
        <v>0</v>
      </c>
      <c r="R401" s="113">
        <f>VLOOKUP(C401,'Talente &amp; Stuff'!FU:GV,16,FALSE)</f>
        <v>0</v>
      </c>
      <c r="S401" s="119">
        <f>VLOOKUP(C401,'Talente &amp; Stuff'!FU:GV,17,FALSE)</f>
        <v>0</v>
      </c>
      <c r="T401" s="160">
        <f>VLOOKUP(C401,'Talente &amp; Stuff'!FU:GV,18,FALSE)</f>
        <v>0</v>
      </c>
      <c r="U401" s="89">
        <f>VLOOKUP(C401,'Talente &amp; Stuff'!FU:GV,19,FALSE)</f>
        <v>0</v>
      </c>
      <c r="V401" s="47">
        <f>VLOOKUP(C401,'Talente &amp; Stuff'!FU:GV,20,FALSE)</f>
        <v>0</v>
      </c>
      <c r="W401" s="127">
        <f>VLOOKUP(C401,'Talente &amp; Stuff'!FU:GV,21,FALSE)</f>
        <v>0</v>
      </c>
      <c r="X401" s="127">
        <f>VLOOKUP(C401,'Talente &amp; Stuff'!FU:GV,22,FALSE)</f>
        <v>0</v>
      </c>
      <c r="Y401" s="165">
        <f>VLOOKUP(C401,Ausgewählte_Liturgien_Allgemein,197,FALSE)</f>
        <v>0</v>
      </c>
      <c r="Z401" s="44">
        <f>VLOOKUP(C401,Ausgewählte_Liturgien_Allgemein,198,FALSE)</f>
        <v>0</v>
      </c>
      <c r="AA401" s="125">
        <f>VLOOKUP(C401,'Talente &amp; Stuff'!FU:GV,25,FALSE)</f>
        <v>0</v>
      </c>
      <c r="AB401" s="160">
        <f>VLOOKUP(C401,'Talente &amp; Stuff'!FU:GV,26,FALSE)</f>
        <v>0</v>
      </c>
      <c r="AC401" s="127">
        <f>VLOOKUP(C401,'Talente &amp; Stuff'!FU:GV,27,FALSE)</f>
        <v>0</v>
      </c>
      <c r="AD401" s="125">
        <f>VLOOKUP(C401,'Talente &amp; Stuff'!FU:GV,28,FALSE)</f>
        <v>0</v>
      </c>
      <c r="AE401" s="28"/>
    </row>
    <row r="402" spans="2:31" ht="15" hidden="1" customHeight="1" outlineLevel="2">
      <c r="B402" s="148">
        <v>3</v>
      </c>
      <c r="C402" s="178" t="str">
        <f>Attribute!C402</f>
        <v>---</v>
      </c>
      <c r="D402" s="159" t="str">
        <f>VLOOKUP(C402,'Talente &amp; Stuff'!FU:GV,2,FALSE)</f>
        <v>--/--/--</v>
      </c>
      <c r="E402" s="88" t="str">
        <f>VLOOKUP(C402,'Talente &amp; Stuff'!FU:GV,3,FALSE)</f>
        <v>-</v>
      </c>
      <c r="F402" s="115">
        <f>VLOOKUP(C402,'Talente &amp; Stuff'!FU:GV,4,FALSE)</f>
        <v>0</v>
      </c>
      <c r="G402" s="122">
        <f>VLOOKUP(C402,'Talente &amp; Stuff'!FU:GV,5,FALSE)</f>
        <v>0</v>
      </c>
      <c r="H402" s="122">
        <f>VLOOKUP(C402,'Talente &amp; Stuff'!FU:GV,6,FALSE)</f>
        <v>0</v>
      </c>
      <c r="I402" s="122">
        <f>VLOOKUP(C402,'Talente &amp; Stuff'!FU:GV,7,FALSE)</f>
        <v>0</v>
      </c>
      <c r="J402" s="122">
        <f>VLOOKUP(C402,'Talente &amp; Stuff'!FU:GV,8,FALSE)</f>
        <v>0</v>
      </c>
      <c r="K402" s="122">
        <f>VLOOKUP(C402,'Talente &amp; Stuff'!FU:GV,9,FALSE)</f>
        <v>0</v>
      </c>
      <c r="L402" s="122">
        <f>VLOOKUP(C402,'Talente &amp; Stuff'!FU:GV,10,FALSE)</f>
        <v>0</v>
      </c>
      <c r="M402" s="123">
        <f>VLOOKUP(C402,'Talente &amp; Stuff'!FU:GV,11,FALSE)</f>
        <v>0</v>
      </c>
      <c r="N402" s="88">
        <f>VLOOKUP(C402,'Talente &amp; Stuff'!FU:GV,12,FALSE)</f>
        <v>0</v>
      </c>
      <c r="O402" s="88">
        <f>VLOOKUP(C402,'Talente &amp; Stuff'!FU:GV,13,FALSE)</f>
        <v>0</v>
      </c>
      <c r="P402" s="122">
        <f>VLOOKUP(C402,'Talente &amp; Stuff'!FU:GV,14,FALSE)</f>
        <v>0</v>
      </c>
      <c r="Q402" s="115">
        <f>VLOOKUP(C402,'Talente &amp; Stuff'!FU:GV,15,FALSE)</f>
        <v>0</v>
      </c>
      <c r="R402" s="122">
        <f>VLOOKUP(C402,'Talente &amp; Stuff'!FU:GV,16,FALSE)</f>
        <v>0</v>
      </c>
      <c r="S402" s="123">
        <f>VLOOKUP(C402,'Talente &amp; Stuff'!FU:GV,17,FALSE)</f>
        <v>0</v>
      </c>
      <c r="T402" s="161">
        <f>VLOOKUP(C402,'Talente &amp; Stuff'!FU:GV,18,FALSE)</f>
        <v>0</v>
      </c>
      <c r="U402" s="90">
        <f>VLOOKUP(C402,'Talente &amp; Stuff'!FU:GV,19,FALSE)</f>
        <v>0</v>
      </c>
      <c r="V402" s="88">
        <f>VLOOKUP(C402,'Talente &amp; Stuff'!FU:GV,20,FALSE)</f>
        <v>0</v>
      </c>
      <c r="W402" s="128">
        <f>VLOOKUP(C402,'Talente &amp; Stuff'!FU:GV,21,FALSE)</f>
        <v>0</v>
      </c>
      <c r="X402" s="128">
        <f>VLOOKUP(C402,'Talente &amp; Stuff'!FU:GV,22,FALSE)</f>
        <v>0</v>
      </c>
      <c r="Y402" s="165">
        <f>VLOOKUP(C402,Ausgewählte_Liturgien_Allgemein,197,FALSE)</f>
        <v>0</v>
      </c>
      <c r="Z402" s="44">
        <f>VLOOKUP(C402,Ausgewählte_Liturgien_Allgemein,198,FALSE)</f>
        <v>0</v>
      </c>
      <c r="AA402" s="159">
        <f>VLOOKUP(C402,'Talente &amp; Stuff'!FU:GV,25,FALSE)</f>
        <v>0</v>
      </c>
      <c r="AB402" s="161">
        <f>VLOOKUP(C402,'Talente &amp; Stuff'!FU:GV,26,FALSE)</f>
        <v>0</v>
      </c>
      <c r="AC402" s="128">
        <f>VLOOKUP(C402,'Talente &amp; Stuff'!FU:GV,27,FALSE)</f>
        <v>0</v>
      </c>
      <c r="AD402" s="159">
        <f>VLOOKUP(C402,'Talente &amp; Stuff'!FU:GV,28,FALSE)</f>
        <v>0</v>
      </c>
      <c r="AE402" s="28"/>
    </row>
    <row r="403" spans="2:31" ht="15" hidden="1" customHeight="1" outlineLevel="1" collapsed="1">
      <c r="B403" s="134" t="s">
        <v>326</v>
      </c>
      <c r="C403" s="83"/>
      <c r="D403" s="84"/>
      <c r="E403" s="84"/>
    </row>
    <row r="404" spans="2:31" ht="15" hidden="1" customHeight="1" outlineLevel="2">
      <c r="B404" s="148">
        <v>1</v>
      </c>
      <c r="C404" s="176" t="str">
        <f>Attribute!C404</f>
        <v>---</v>
      </c>
      <c r="D404" s="158" t="str">
        <f>VLOOKUP(C404,'Talente &amp; Stuff'!FU:GV,2,FALSE)</f>
        <v>--/--/--</v>
      </c>
      <c r="E404" s="116" t="str">
        <f>VLOOKUP(C404,'Talente &amp; Stuff'!FU:GV,3,FALSE)</f>
        <v>-</v>
      </c>
      <c r="F404" s="191">
        <f>VLOOKUP(C404,'Talente &amp; Stuff'!FU:GV,4,FALSE)</f>
        <v>0</v>
      </c>
      <c r="G404" s="118">
        <f>VLOOKUP(C404,'Talente &amp; Stuff'!FU:GV,5,FALSE)</f>
        <v>0</v>
      </c>
      <c r="H404" s="118">
        <f>VLOOKUP(C404,'Talente &amp; Stuff'!FU:GV,6,FALSE)</f>
        <v>0</v>
      </c>
      <c r="I404" s="118">
        <f>VLOOKUP(C404,'Talente &amp; Stuff'!FU:GV,7,FALSE)</f>
        <v>0</v>
      </c>
      <c r="J404" s="118">
        <f>VLOOKUP(C404,'Talente &amp; Stuff'!FU:GV,8,FALSE)</f>
        <v>0</v>
      </c>
      <c r="K404" s="118">
        <f>VLOOKUP(C404,'Talente &amp; Stuff'!FU:GV,9,FALSE)</f>
        <v>0</v>
      </c>
      <c r="L404" s="118">
        <f>VLOOKUP(C404,'Talente &amp; Stuff'!FU:GV,10,FALSE)</f>
        <v>0</v>
      </c>
      <c r="M404" s="92">
        <f>VLOOKUP(C404,'Talente &amp; Stuff'!FU:GV,11,FALSE)</f>
        <v>0</v>
      </c>
      <c r="N404" s="116">
        <f>VLOOKUP(C404,'Talente &amp; Stuff'!FU:GV,12,FALSE)</f>
        <v>0</v>
      </c>
      <c r="O404" s="116">
        <f>VLOOKUP(C404,'Talente &amp; Stuff'!FU:GV,13,FALSE)</f>
        <v>0</v>
      </c>
      <c r="P404" s="118">
        <f>VLOOKUP(C404,'Talente &amp; Stuff'!FU:GV,14,FALSE)</f>
        <v>0</v>
      </c>
      <c r="Q404" s="191">
        <f>VLOOKUP(C404,'Talente &amp; Stuff'!FU:GV,15,FALSE)</f>
        <v>0</v>
      </c>
      <c r="R404" s="118">
        <f>VLOOKUP(C404,'Talente &amp; Stuff'!FU:GV,16,FALSE)</f>
        <v>0</v>
      </c>
      <c r="S404" s="92">
        <f>VLOOKUP(C404,'Talente &amp; Stuff'!FU:GV,17,FALSE)</f>
        <v>0</v>
      </c>
      <c r="T404" s="91">
        <f>VLOOKUP(C404,'Talente &amp; Stuff'!FU:GV,18,FALSE)</f>
        <v>0</v>
      </c>
      <c r="U404" s="193">
        <f>VLOOKUP(C404,'Talente &amp; Stuff'!FU:GV,19,FALSE)</f>
        <v>0</v>
      </c>
      <c r="V404" s="116">
        <f>VLOOKUP(C404,'Talente &amp; Stuff'!FU:GV,20,FALSE)</f>
        <v>0</v>
      </c>
      <c r="W404" s="126">
        <f>VLOOKUP(C404,'Talente &amp; Stuff'!FU:GV,21,FALSE)</f>
        <v>0</v>
      </c>
      <c r="X404" s="126">
        <f>VLOOKUP(C404,'Talente &amp; Stuff'!FU:GV,22,FALSE)</f>
        <v>0</v>
      </c>
      <c r="Y404" s="165">
        <f t="shared" ref="Y404:Y409" si="30">VLOOKUP(C404,Ausgewählte_Liturgien_Boron,197,FALSE)</f>
        <v>0</v>
      </c>
      <c r="Z404" s="44">
        <f t="shared" ref="Z404:Z409" si="31">VLOOKUP(C404,Ausgewählte_Liturgien_Boron,198,FALSE)</f>
        <v>0</v>
      </c>
      <c r="AA404" s="158">
        <f>VLOOKUP(C404,'Talente &amp; Stuff'!FU:GV,25,FALSE)</f>
        <v>0</v>
      </c>
      <c r="AB404" s="91">
        <f>VLOOKUP(C404,'Talente &amp; Stuff'!FU:GV,26,FALSE)</f>
        <v>0</v>
      </c>
      <c r="AC404" s="126">
        <f>VLOOKUP(C404,'Talente &amp; Stuff'!FU:GV,27,FALSE)</f>
        <v>0</v>
      </c>
      <c r="AD404" s="158">
        <f>VLOOKUP(C404,'Talente &amp; Stuff'!FU:GV,28,FALSE)</f>
        <v>0</v>
      </c>
      <c r="AE404" s="28"/>
    </row>
    <row r="405" spans="2:31" ht="15" hidden="1" customHeight="1" outlineLevel="2">
      <c r="B405" s="148">
        <v>2</v>
      </c>
      <c r="C405" s="177" t="str">
        <f>Attribute!C405</f>
        <v>---</v>
      </c>
      <c r="D405" s="125" t="str">
        <f>VLOOKUP(C405,'Talente &amp; Stuff'!FU:GV,2,FALSE)</f>
        <v>--/--/--</v>
      </c>
      <c r="E405" s="47" t="str">
        <f>VLOOKUP(C405,'Talente &amp; Stuff'!FU:GV,3,FALSE)</f>
        <v>-</v>
      </c>
      <c r="F405" s="114">
        <f>VLOOKUP(C405,'Talente &amp; Stuff'!FU:GV,4,FALSE)</f>
        <v>0</v>
      </c>
      <c r="G405" s="113">
        <f>VLOOKUP(C405,'Talente &amp; Stuff'!FU:GV,5,FALSE)</f>
        <v>0</v>
      </c>
      <c r="H405" s="113">
        <f>VLOOKUP(C405,'Talente &amp; Stuff'!FU:GV,6,FALSE)</f>
        <v>0</v>
      </c>
      <c r="I405" s="113">
        <f>VLOOKUP(C405,'Talente &amp; Stuff'!FU:GV,7,FALSE)</f>
        <v>0</v>
      </c>
      <c r="J405" s="113">
        <f>VLOOKUP(C405,'Talente &amp; Stuff'!FU:GV,8,FALSE)</f>
        <v>0</v>
      </c>
      <c r="K405" s="113">
        <f>VLOOKUP(C405,'Talente &amp; Stuff'!FU:GV,9,FALSE)</f>
        <v>0</v>
      </c>
      <c r="L405" s="113">
        <f>VLOOKUP(C405,'Talente &amp; Stuff'!FU:GV,10,FALSE)</f>
        <v>0</v>
      </c>
      <c r="M405" s="119">
        <f>VLOOKUP(C405,'Talente &amp; Stuff'!FU:GV,11,FALSE)</f>
        <v>0</v>
      </c>
      <c r="N405" s="47">
        <f>VLOOKUP(C405,'Talente &amp; Stuff'!FU:GV,12,FALSE)</f>
        <v>0</v>
      </c>
      <c r="O405" s="47">
        <f>VLOOKUP(C405,'Talente &amp; Stuff'!FU:GV,13,FALSE)</f>
        <v>0</v>
      </c>
      <c r="P405" s="113">
        <f>VLOOKUP(C405,'Talente &amp; Stuff'!FU:GV,14,FALSE)</f>
        <v>0</v>
      </c>
      <c r="Q405" s="114">
        <f>VLOOKUP(C405,'Talente &amp; Stuff'!FU:GV,15,FALSE)</f>
        <v>0</v>
      </c>
      <c r="R405" s="113">
        <f>VLOOKUP(C405,'Talente &amp; Stuff'!FU:GV,16,FALSE)</f>
        <v>0</v>
      </c>
      <c r="S405" s="119">
        <f>VLOOKUP(C405,'Talente &amp; Stuff'!FU:GV,17,FALSE)</f>
        <v>0</v>
      </c>
      <c r="T405" s="160">
        <f>VLOOKUP(C405,'Talente &amp; Stuff'!FU:GV,18,FALSE)</f>
        <v>0</v>
      </c>
      <c r="U405" s="89">
        <f>VLOOKUP(C405,'Talente &amp; Stuff'!FU:GV,19,FALSE)</f>
        <v>0</v>
      </c>
      <c r="V405" s="47">
        <f>VLOOKUP(C405,'Talente &amp; Stuff'!FU:GV,20,FALSE)</f>
        <v>0</v>
      </c>
      <c r="W405" s="127">
        <f>VLOOKUP(C405,'Talente &amp; Stuff'!FU:GV,21,FALSE)</f>
        <v>0</v>
      </c>
      <c r="X405" s="127">
        <f>VLOOKUP(C405,'Talente &amp; Stuff'!FU:GV,22,FALSE)</f>
        <v>0</v>
      </c>
      <c r="Y405" s="165">
        <f t="shared" si="30"/>
        <v>0</v>
      </c>
      <c r="Z405" s="44">
        <f t="shared" si="31"/>
        <v>0</v>
      </c>
      <c r="AA405" s="125">
        <f>VLOOKUP(C405,'Talente &amp; Stuff'!FU:GV,25,FALSE)</f>
        <v>0</v>
      </c>
      <c r="AB405" s="160">
        <f>VLOOKUP(C405,'Talente &amp; Stuff'!FU:GV,26,FALSE)</f>
        <v>0</v>
      </c>
      <c r="AC405" s="127">
        <f>VLOOKUP(C405,'Talente &amp; Stuff'!FU:GV,27,FALSE)</f>
        <v>0</v>
      </c>
      <c r="AD405" s="125">
        <f>VLOOKUP(C405,'Talente &amp; Stuff'!FU:GV,28,FALSE)</f>
        <v>0</v>
      </c>
      <c r="AE405" s="28"/>
    </row>
    <row r="406" spans="2:31" ht="15" hidden="1" customHeight="1" outlineLevel="2">
      <c r="B406" s="148">
        <v>3</v>
      </c>
      <c r="C406" s="177" t="str">
        <f>Attribute!C406</f>
        <v>---</v>
      </c>
      <c r="D406" s="125" t="str">
        <f>VLOOKUP(C406,'Talente &amp; Stuff'!FU:GV,2,FALSE)</f>
        <v>--/--/--</v>
      </c>
      <c r="E406" s="47" t="str">
        <f>VLOOKUP(C406,'Talente &amp; Stuff'!FU:GV,3,FALSE)</f>
        <v>-</v>
      </c>
      <c r="F406" s="114">
        <f>VLOOKUP(C406,'Talente &amp; Stuff'!FU:GV,4,FALSE)</f>
        <v>0</v>
      </c>
      <c r="G406" s="113">
        <f>VLOOKUP(C406,'Talente &amp; Stuff'!FU:GV,5,FALSE)</f>
        <v>0</v>
      </c>
      <c r="H406" s="113">
        <f>VLOOKUP(C406,'Talente &amp; Stuff'!FU:GV,6,FALSE)</f>
        <v>0</v>
      </c>
      <c r="I406" s="113">
        <f>VLOOKUP(C406,'Talente &amp; Stuff'!FU:GV,7,FALSE)</f>
        <v>0</v>
      </c>
      <c r="J406" s="113">
        <f>VLOOKUP(C406,'Talente &amp; Stuff'!FU:GV,8,FALSE)</f>
        <v>0</v>
      </c>
      <c r="K406" s="113">
        <f>VLOOKUP(C406,'Talente &amp; Stuff'!FU:GV,9,FALSE)</f>
        <v>0</v>
      </c>
      <c r="L406" s="113">
        <f>VLOOKUP(C406,'Talente &amp; Stuff'!FU:GV,10,FALSE)</f>
        <v>0</v>
      </c>
      <c r="M406" s="119">
        <f>VLOOKUP(C406,'Talente &amp; Stuff'!FU:GV,11,FALSE)</f>
        <v>0</v>
      </c>
      <c r="N406" s="47">
        <f>VLOOKUP(C406,'Talente &amp; Stuff'!FU:GV,12,FALSE)</f>
        <v>0</v>
      </c>
      <c r="O406" s="47">
        <f>VLOOKUP(C406,'Talente &amp; Stuff'!FU:GV,13,FALSE)</f>
        <v>0</v>
      </c>
      <c r="P406" s="113">
        <f>VLOOKUP(C406,'Talente &amp; Stuff'!FU:GV,14,FALSE)</f>
        <v>0</v>
      </c>
      <c r="Q406" s="114">
        <f>VLOOKUP(C406,'Talente &amp; Stuff'!FU:GV,15,FALSE)</f>
        <v>0</v>
      </c>
      <c r="R406" s="113">
        <f>VLOOKUP(C406,'Talente &amp; Stuff'!FU:GV,16,FALSE)</f>
        <v>0</v>
      </c>
      <c r="S406" s="119">
        <f>VLOOKUP(C406,'Talente &amp; Stuff'!FU:GV,17,FALSE)</f>
        <v>0</v>
      </c>
      <c r="T406" s="160">
        <f>VLOOKUP(C406,'Talente &amp; Stuff'!FU:GV,18,FALSE)</f>
        <v>0</v>
      </c>
      <c r="U406" s="89">
        <f>VLOOKUP(C406,'Talente &amp; Stuff'!FU:GV,19,FALSE)</f>
        <v>0</v>
      </c>
      <c r="V406" s="47">
        <f>VLOOKUP(C406,'Talente &amp; Stuff'!FU:GV,20,FALSE)</f>
        <v>0</v>
      </c>
      <c r="W406" s="127">
        <f>VLOOKUP(C406,'Talente &amp; Stuff'!FU:GV,21,FALSE)</f>
        <v>0</v>
      </c>
      <c r="X406" s="127">
        <f>VLOOKUP(C406,'Talente &amp; Stuff'!FU:GV,22,FALSE)</f>
        <v>0</v>
      </c>
      <c r="Y406" s="165">
        <f t="shared" si="30"/>
        <v>0</v>
      </c>
      <c r="Z406" s="44">
        <f t="shared" si="31"/>
        <v>0</v>
      </c>
      <c r="AA406" s="125">
        <f>VLOOKUP(C406,'Talente &amp; Stuff'!FU:GV,25,FALSE)</f>
        <v>0</v>
      </c>
      <c r="AB406" s="160">
        <f>VLOOKUP(C406,'Talente &amp; Stuff'!FU:GV,26,FALSE)</f>
        <v>0</v>
      </c>
      <c r="AC406" s="127">
        <f>VLOOKUP(C406,'Talente &amp; Stuff'!FU:GV,27,FALSE)</f>
        <v>0</v>
      </c>
      <c r="AD406" s="125">
        <f>VLOOKUP(C406,'Talente &amp; Stuff'!FU:GV,28,FALSE)</f>
        <v>0</v>
      </c>
      <c r="AE406" s="28"/>
    </row>
    <row r="407" spans="2:31" ht="15" hidden="1" customHeight="1" outlineLevel="2">
      <c r="B407" s="148">
        <v>4</v>
      </c>
      <c r="C407" s="177" t="str">
        <f>Attribute!C407</f>
        <v>---</v>
      </c>
      <c r="D407" s="125" t="str">
        <f>VLOOKUP(C407,'Talente &amp; Stuff'!FU:GV,2,FALSE)</f>
        <v>--/--/--</v>
      </c>
      <c r="E407" s="47" t="str">
        <f>VLOOKUP(C407,'Talente &amp; Stuff'!FU:GV,3,FALSE)</f>
        <v>-</v>
      </c>
      <c r="F407" s="114">
        <f>VLOOKUP(C407,'Talente &amp; Stuff'!FU:GV,4,FALSE)</f>
        <v>0</v>
      </c>
      <c r="G407" s="113">
        <f>VLOOKUP(C407,'Talente &amp; Stuff'!FU:GV,5,FALSE)</f>
        <v>0</v>
      </c>
      <c r="H407" s="113">
        <f>VLOOKUP(C407,'Talente &amp; Stuff'!FU:GV,6,FALSE)</f>
        <v>0</v>
      </c>
      <c r="I407" s="113">
        <f>VLOOKUP(C407,'Talente &amp; Stuff'!FU:GV,7,FALSE)</f>
        <v>0</v>
      </c>
      <c r="J407" s="113">
        <f>VLOOKUP(C407,'Talente &amp; Stuff'!FU:GV,8,FALSE)</f>
        <v>0</v>
      </c>
      <c r="K407" s="113">
        <f>VLOOKUP(C407,'Talente &amp; Stuff'!FU:GV,9,FALSE)</f>
        <v>0</v>
      </c>
      <c r="L407" s="113">
        <f>VLOOKUP(C407,'Talente &amp; Stuff'!FU:GV,10,FALSE)</f>
        <v>0</v>
      </c>
      <c r="M407" s="119">
        <f>VLOOKUP(C407,'Talente &amp; Stuff'!FU:GV,11,FALSE)</f>
        <v>0</v>
      </c>
      <c r="N407" s="47">
        <f>VLOOKUP(C407,'Talente &amp; Stuff'!FU:GV,12,FALSE)</f>
        <v>0</v>
      </c>
      <c r="O407" s="47">
        <f>VLOOKUP(C407,'Talente &amp; Stuff'!FU:GV,13,FALSE)</f>
        <v>0</v>
      </c>
      <c r="P407" s="113">
        <f>VLOOKUP(C407,'Talente &amp; Stuff'!FU:GV,14,FALSE)</f>
        <v>0</v>
      </c>
      <c r="Q407" s="114">
        <f>VLOOKUP(C407,'Talente &amp; Stuff'!FU:GV,15,FALSE)</f>
        <v>0</v>
      </c>
      <c r="R407" s="113">
        <f>VLOOKUP(C407,'Talente &amp; Stuff'!FU:GV,16,FALSE)</f>
        <v>0</v>
      </c>
      <c r="S407" s="119">
        <f>VLOOKUP(C407,'Talente &amp; Stuff'!FU:GV,17,FALSE)</f>
        <v>0</v>
      </c>
      <c r="T407" s="160">
        <f>VLOOKUP(C407,'Talente &amp; Stuff'!FU:GV,18,FALSE)</f>
        <v>0</v>
      </c>
      <c r="U407" s="89">
        <f>VLOOKUP(C407,'Talente &amp; Stuff'!FU:GV,19,FALSE)</f>
        <v>0</v>
      </c>
      <c r="V407" s="47">
        <f>VLOOKUP(C407,'Talente &amp; Stuff'!FU:GV,20,FALSE)</f>
        <v>0</v>
      </c>
      <c r="W407" s="127">
        <f>VLOOKUP(C407,'Talente &amp; Stuff'!FU:GV,21,FALSE)</f>
        <v>0</v>
      </c>
      <c r="X407" s="127">
        <f>VLOOKUP(C407,'Talente &amp; Stuff'!FU:GV,22,FALSE)</f>
        <v>0</v>
      </c>
      <c r="Y407" s="165">
        <f t="shared" si="30"/>
        <v>0</v>
      </c>
      <c r="Z407" s="44">
        <f t="shared" si="31"/>
        <v>0</v>
      </c>
      <c r="AA407" s="125">
        <f>VLOOKUP(C407,'Talente &amp; Stuff'!FU:GV,25,FALSE)</f>
        <v>0</v>
      </c>
      <c r="AB407" s="160">
        <f>VLOOKUP(C407,'Talente &amp; Stuff'!FU:GV,26,FALSE)</f>
        <v>0</v>
      </c>
      <c r="AC407" s="127">
        <f>VLOOKUP(C407,'Talente &amp; Stuff'!FU:GV,27,FALSE)</f>
        <v>0</v>
      </c>
      <c r="AD407" s="125">
        <f>VLOOKUP(C407,'Talente &amp; Stuff'!FU:GV,28,FALSE)</f>
        <v>0</v>
      </c>
      <c r="AE407" s="28"/>
    </row>
    <row r="408" spans="2:31" ht="15" hidden="1" customHeight="1" outlineLevel="2">
      <c r="B408" s="148">
        <v>5</v>
      </c>
      <c r="C408" s="177" t="str">
        <f>Attribute!C408</f>
        <v>---</v>
      </c>
      <c r="D408" s="125" t="str">
        <f>VLOOKUP(C408,'Talente &amp; Stuff'!FU:GV,2,FALSE)</f>
        <v>--/--/--</v>
      </c>
      <c r="E408" s="47" t="str">
        <f>VLOOKUP(C408,'Talente &amp; Stuff'!FU:GV,3,FALSE)</f>
        <v>-</v>
      </c>
      <c r="F408" s="114">
        <f>VLOOKUP(C408,'Talente &amp; Stuff'!FU:GV,4,FALSE)</f>
        <v>0</v>
      </c>
      <c r="G408" s="113">
        <f>VLOOKUP(C408,'Talente &amp; Stuff'!FU:GV,5,FALSE)</f>
        <v>0</v>
      </c>
      <c r="H408" s="113">
        <f>VLOOKUP(C408,'Talente &amp; Stuff'!FU:GV,6,FALSE)</f>
        <v>0</v>
      </c>
      <c r="I408" s="113">
        <f>VLOOKUP(C408,'Talente &amp; Stuff'!FU:GV,7,FALSE)</f>
        <v>0</v>
      </c>
      <c r="J408" s="113">
        <f>VLOOKUP(C408,'Talente &amp; Stuff'!FU:GV,8,FALSE)</f>
        <v>0</v>
      </c>
      <c r="K408" s="113">
        <f>VLOOKUP(C408,'Talente &amp; Stuff'!FU:GV,9,FALSE)</f>
        <v>0</v>
      </c>
      <c r="L408" s="113">
        <f>VLOOKUP(C408,'Talente &amp; Stuff'!FU:GV,10,FALSE)</f>
        <v>0</v>
      </c>
      <c r="M408" s="119">
        <f>VLOOKUP(C408,'Talente &amp; Stuff'!FU:GV,11,FALSE)</f>
        <v>0</v>
      </c>
      <c r="N408" s="47">
        <f>VLOOKUP(C408,'Talente &amp; Stuff'!FU:GV,12,FALSE)</f>
        <v>0</v>
      </c>
      <c r="O408" s="47">
        <f>VLOOKUP(C408,'Talente &amp; Stuff'!FU:GV,13,FALSE)</f>
        <v>0</v>
      </c>
      <c r="P408" s="113">
        <f>VLOOKUP(C408,'Talente &amp; Stuff'!FU:GV,14,FALSE)</f>
        <v>0</v>
      </c>
      <c r="Q408" s="114">
        <f>VLOOKUP(C408,'Talente &amp; Stuff'!FU:GV,15,FALSE)</f>
        <v>0</v>
      </c>
      <c r="R408" s="113">
        <f>VLOOKUP(C408,'Talente &amp; Stuff'!FU:GV,16,FALSE)</f>
        <v>0</v>
      </c>
      <c r="S408" s="119">
        <f>VLOOKUP(C408,'Talente &amp; Stuff'!FU:GV,17,FALSE)</f>
        <v>0</v>
      </c>
      <c r="T408" s="160">
        <f>VLOOKUP(C408,'Talente &amp; Stuff'!FU:GV,18,FALSE)</f>
        <v>0</v>
      </c>
      <c r="U408" s="89">
        <f>VLOOKUP(C408,'Talente &amp; Stuff'!FU:GV,19,FALSE)</f>
        <v>0</v>
      </c>
      <c r="V408" s="47">
        <f>VLOOKUP(C408,'Talente &amp; Stuff'!FU:GV,20,FALSE)</f>
        <v>0</v>
      </c>
      <c r="W408" s="127">
        <f>VLOOKUP(C408,'Talente &amp; Stuff'!FU:GV,21,FALSE)</f>
        <v>0</v>
      </c>
      <c r="X408" s="127">
        <f>VLOOKUP(C408,'Talente &amp; Stuff'!FU:GV,22,FALSE)</f>
        <v>0</v>
      </c>
      <c r="Y408" s="165">
        <f t="shared" si="30"/>
        <v>0</v>
      </c>
      <c r="Z408" s="44">
        <f t="shared" si="31"/>
        <v>0</v>
      </c>
      <c r="AA408" s="125">
        <f>VLOOKUP(C408,'Talente &amp; Stuff'!FU:GV,25,FALSE)</f>
        <v>0</v>
      </c>
      <c r="AB408" s="160">
        <f>VLOOKUP(C408,'Talente &amp; Stuff'!FU:GV,26,FALSE)</f>
        <v>0</v>
      </c>
      <c r="AC408" s="127">
        <f>VLOOKUP(C408,'Talente &amp; Stuff'!FU:GV,27,FALSE)</f>
        <v>0</v>
      </c>
      <c r="AD408" s="125">
        <f>VLOOKUP(C408,'Talente &amp; Stuff'!FU:GV,28,FALSE)</f>
        <v>0</v>
      </c>
      <c r="AE408" s="28"/>
    </row>
    <row r="409" spans="2:31" ht="15" hidden="1" customHeight="1" outlineLevel="2">
      <c r="B409" s="148">
        <v>6</v>
      </c>
      <c r="C409" s="178" t="str">
        <f>Attribute!C409</f>
        <v>---</v>
      </c>
      <c r="D409" s="159" t="str">
        <f>VLOOKUP(C409,'Talente &amp; Stuff'!FU:GV,2,FALSE)</f>
        <v>--/--/--</v>
      </c>
      <c r="E409" s="88" t="str">
        <f>VLOOKUP(C409,'Talente &amp; Stuff'!FU:GV,3,FALSE)</f>
        <v>-</v>
      </c>
      <c r="F409" s="115">
        <f>VLOOKUP(C409,'Talente &amp; Stuff'!FU:GV,4,FALSE)</f>
        <v>0</v>
      </c>
      <c r="G409" s="122">
        <f>VLOOKUP(C409,'Talente &amp; Stuff'!FU:GV,5,FALSE)</f>
        <v>0</v>
      </c>
      <c r="H409" s="122">
        <f>VLOOKUP(C409,'Talente &amp; Stuff'!FU:GV,6,FALSE)</f>
        <v>0</v>
      </c>
      <c r="I409" s="122">
        <f>VLOOKUP(C409,'Talente &amp; Stuff'!FU:GV,7,FALSE)</f>
        <v>0</v>
      </c>
      <c r="J409" s="122">
        <f>VLOOKUP(C409,'Talente &amp; Stuff'!FU:GV,8,FALSE)</f>
        <v>0</v>
      </c>
      <c r="K409" s="122">
        <f>VLOOKUP(C409,'Talente &amp; Stuff'!FU:GV,9,FALSE)</f>
        <v>0</v>
      </c>
      <c r="L409" s="122">
        <f>VLOOKUP(C409,'Talente &amp; Stuff'!FU:GV,10,FALSE)</f>
        <v>0</v>
      </c>
      <c r="M409" s="123">
        <f>VLOOKUP(C409,'Talente &amp; Stuff'!FU:GV,11,FALSE)</f>
        <v>0</v>
      </c>
      <c r="N409" s="88">
        <f>VLOOKUP(C409,'Talente &amp; Stuff'!FU:GV,12,FALSE)</f>
        <v>0</v>
      </c>
      <c r="O409" s="88">
        <f>VLOOKUP(C409,'Talente &amp; Stuff'!FU:GV,13,FALSE)</f>
        <v>0</v>
      </c>
      <c r="P409" s="122">
        <f>VLOOKUP(C409,'Talente &amp; Stuff'!FU:GV,14,FALSE)</f>
        <v>0</v>
      </c>
      <c r="Q409" s="115">
        <f>VLOOKUP(C409,'Talente &amp; Stuff'!FU:GV,15,FALSE)</f>
        <v>0</v>
      </c>
      <c r="R409" s="122">
        <f>VLOOKUP(C409,'Talente &amp; Stuff'!FU:GV,16,FALSE)</f>
        <v>0</v>
      </c>
      <c r="S409" s="123">
        <f>VLOOKUP(C409,'Talente &amp; Stuff'!FU:GV,17,FALSE)</f>
        <v>0</v>
      </c>
      <c r="T409" s="161">
        <f>VLOOKUP(C409,'Talente &amp; Stuff'!FU:GV,18,FALSE)</f>
        <v>0</v>
      </c>
      <c r="U409" s="90">
        <f>VLOOKUP(C409,'Talente &amp; Stuff'!FU:GV,19,FALSE)</f>
        <v>0</v>
      </c>
      <c r="V409" s="88">
        <f>VLOOKUP(C409,'Talente &amp; Stuff'!FU:GV,20,FALSE)</f>
        <v>0</v>
      </c>
      <c r="W409" s="128">
        <f>VLOOKUP(C409,'Talente &amp; Stuff'!FU:GV,21,FALSE)</f>
        <v>0</v>
      </c>
      <c r="X409" s="128">
        <f>VLOOKUP(C409,'Talente &amp; Stuff'!FU:GV,22,FALSE)</f>
        <v>0</v>
      </c>
      <c r="Y409" s="165">
        <f t="shared" si="30"/>
        <v>0</v>
      </c>
      <c r="Z409" s="44">
        <f t="shared" si="31"/>
        <v>0</v>
      </c>
      <c r="AA409" s="159">
        <f>VLOOKUP(C409,'Talente &amp; Stuff'!FU:GV,25,FALSE)</f>
        <v>0</v>
      </c>
      <c r="AB409" s="161">
        <f>VLOOKUP(C409,'Talente &amp; Stuff'!FU:GV,26,FALSE)</f>
        <v>0</v>
      </c>
      <c r="AC409" s="128">
        <f>VLOOKUP(C409,'Talente &amp; Stuff'!FU:GV,27,FALSE)</f>
        <v>0</v>
      </c>
      <c r="AD409" s="159">
        <f>VLOOKUP(C409,'Talente &amp; Stuff'!FU:GV,28,FALSE)</f>
        <v>0</v>
      </c>
      <c r="AE409" s="28"/>
    </row>
    <row r="410" spans="2:31" ht="15" hidden="1" customHeight="1" outlineLevel="1" collapsed="1">
      <c r="B410" s="134" t="s">
        <v>325</v>
      </c>
      <c r="C410" s="83"/>
      <c r="D410" s="84"/>
      <c r="E410" s="84"/>
    </row>
    <row r="411" spans="2:31" ht="15" hidden="1" customHeight="1" outlineLevel="2">
      <c r="B411" s="148">
        <v>1</v>
      </c>
      <c r="C411" s="176" t="str">
        <f>Attribute!C411</f>
        <v>---</v>
      </c>
      <c r="D411" s="158" t="str">
        <f>VLOOKUP(C411,'Talente &amp; Stuff'!FU:GV,2,FALSE)</f>
        <v>--/--/--</v>
      </c>
      <c r="E411" s="116" t="str">
        <f>VLOOKUP(C411,'Talente &amp; Stuff'!FU:GV,3,FALSE)</f>
        <v>-</v>
      </c>
      <c r="F411" s="191">
        <f>VLOOKUP(C411,'Talente &amp; Stuff'!FU:GV,4,FALSE)</f>
        <v>0</v>
      </c>
      <c r="G411" s="118">
        <f>VLOOKUP(C411,'Talente &amp; Stuff'!FU:GV,5,FALSE)</f>
        <v>0</v>
      </c>
      <c r="H411" s="118">
        <f>VLOOKUP(C411,'Talente &amp; Stuff'!FU:GV,6,FALSE)</f>
        <v>0</v>
      </c>
      <c r="I411" s="118">
        <f>VLOOKUP(C411,'Talente &amp; Stuff'!FU:GV,7,FALSE)</f>
        <v>0</v>
      </c>
      <c r="J411" s="118">
        <f>VLOOKUP(C411,'Talente &amp; Stuff'!FU:GV,8,FALSE)</f>
        <v>0</v>
      </c>
      <c r="K411" s="118">
        <f>VLOOKUP(C411,'Talente &amp; Stuff'!FU:GV,9,FALSE)</f>
        <v>0</v>
      </c>
      <c r="L411" s="118">
        <f>VLOOKUP(C411,'Talente &amp; Stuff'!FU:GV,10,FALSE)</f>
        <v>0</v>
      </c>
      <c r="M411" s="92">
        <f>VLOOKUP(C411,'Talente &amp; Stuff'!FU:GV,11,FALSE)</f>
        <v>0</v>
      </c>
      <c r="N411" s="116">
        <f>VLOOKUP(C411,'Talente &amp; Stuff'!FU:GV,12,FALSE)</f>
        <v>0</v>
      </c>
      <c r="O411" s="116">
        <f>VLOOKUP(C411,'Talente &amp; Stuff'!FU:GV,13,FALSE)</f>
        <v>0</v>
      </c>
      <c r="P411" s="118">
        <f>VLOOKUP(C411,'Talente &amp; Stuff'!FU:GV,14,FALSE)</f>
        <v>0</v>
      </c>
      <c r="Q411" s="191">
        <f>VLOOKUP(C411,'Talente &amp; Stuff'!FU:GV,15,FALSE)</f>
        <v>0</v>
      </c>
      <c r="R411" s="118">
        <f>VLOOKUP(C411,'Talente &amp; Stuff'!FU:GV,16,FALSE)</f>
        <v>0</v>
      </c>
      <c r="S411" s="92">
        <f>VLOOKUP(C411,'Talente &amp; Stuff'!FU:GV,17,FALSE)</f>
        <v>0</v>
      </c>
      <c r="T411" s="91">
        <f>VLOOKUP(C411,'Talente &amp; Stuff'!FU:GV,18,FALSE)</f>
        <v>0</v>
      </c>
      <c r="U411" s="193">
        <f>VLOOKUP(C411,'Talente &amp; Stuff'!FU:GV,19,FALSE)</f>
        <v>0</v>
      </c>
      <c r="V411" s="116">
        <f>VLOOKUP(C411,'Talente &amp; Stuff'!FU:GV,20,FALSE)</f>
        <v>0</v>
      </c>
      <c r="W411" s="126">
        <f>VLOOKUP(C411,'Talente &amp; Stuff'!FU:GV,21,FALSE)</f>
        <v>0</v>
      </c>
      <c r="X411" s="126">
        <f>VLOOKUP(C411,'Talente &amp; Stuff'!FU:GV,22,FALSE)</f>
        <v>0</v>
      </c>
      <c r="Y411" s="165">
        <f t="shared" ref="Y411:Y417" si="32">VLOOKUP(C411,Ausgewählte_Liturgien_Hesinde,197,FALSE)</f>
        <v>0</v>
      </c>
      <c r="Z411" s="44">
        <f t="shared" ref="Z411:Z417" si="33">VLOOKUP(C411,Ausgewählte_Liturgien_Hesinde,198,FALSE)</f>
        <v>0</v>
      </c>
      <c r="AA411" s="158">
        <f>VLOOKUP(C411,'Talente &amp; Stuff'!FU:GV,25,FALSE)</f>
        <v>0</v>
      </c>
      <c r="AB411" s="91">
        <f>VLOOKUP(C411,'Talente &amp; Stuff'!FU:GV,26,FALSE)</f>
        <v>0</v>
      </c>
      <c r="AC411" s="126">
        <f>VLOOKUP(C411,'Talente &amp; Stuff'!FU:GV,27,FALSE)</f>
        <v>0</v>
      </c>
      <c r="AD411" s="158">
        <f>VLOOKUP(C411,'Talente &amp; Stuff'!FU:GV,28,FALSE)</f>
        <v>0</v>
      </c>
      <c r="AE411" s="28"/>
    </row>
    <row r="412" spans="2:31" ht="15" hidden="1" customHeight="1" outlineLevel="2">
      <c r="B412" s="148">
        <v>2</v>
      </c>
      <c r="C412" s="177" t="str">
        <f>Attribute!C412</f>
        <v>---</v>
      </c>
      <c r="D412" s="125" t="str">
        <f>VLOOKUP(C412,'Talente &amp; Stuff'!FU:GV,2,FALSE)</f>
        <v>--/--/--</v>
      </c>
      <c r="E412" s="47" t="str">
        <f>VLOOKUP(C412,'Talente &amp; Stuff'!FU:GV,3,FALSE)</f>
        <v>-</v>
      </c>
      <c r="F412" s="114">
        <f>VLOOKUP(C412,'Talente &amp; Stuff'!FU:GV,4,FALSE)</f>
        <v>0</v>
      </c>
      <c r="G412" s="113">
        <f>VLOOKUP(C412,'Talente &amp; Stuff'!FU:GV,5,FALSE)</f>
        <v>0</v>
      </c>
      <c r="H412" s="113">
        <f>VLOOKUP(C412,'Talente &amp; Stuff'!FU:GV,6,FALSE)</f>
        <v>0</v>
      </c>
      <c r="I412" s="113">
        <f>VLOOKUP(C412,'Talente &amp; Stuff'!FU:GV,7,FALSE)</f>
        <v>0</v>
      </c>
      <c r="J412" s="113">
        <f>VLOOKUP(C412,'Talente &amp; Stuff'!FU:GV,8,FALSE)</f>
        <v>0</v>
      </c>
      <c r="K412" s="113">
        <f>VLOOKUP(C412,'Talente &amp; Stuff'!FU:GV,9,FALSE)</f>
        <v>0</v>
      </c>
      <c r="L412" s="113">
        <f>VLOOKUP(C412,'Talente &amp; Stuff'!FU:GV,10,FALSE)</f>
        <v>0</v>
      </c>
      <c r="M412" s="119">
        <f>VLOOKUP(C412,'Talente &amp; Stuff'!FU:GV,11,FALSE)</f>
        <v>0</v>
      </c>
      <c r="N412" s="47">
        <f>VLOOKUP(C412,'Talente &amp; Stuff'!FU:GV,12,FALSE)</f>
        <v>0</v>
      </c>
      <c r="O412" s="47">
        <f>VLOOKUP(C412,'Talente &amp; Stuff'!FU:GV,13,FALSE)</f>
        <v>0</v>
      </c>
      <c r="P412" s="113">
        <f>VLOOKUP(C412,'Talente &amp; Stuff'!FU:GV,14,FALSE)</f>
        <v>0</v>
      </c>
      <c r="Q412" s="114">
        <f>VLOOKUP(C412,'Talente &amp; Stuff'!FU:GV,15,FALSE)</f>
        <v>0</v>
      </c>
      <c r="R412" s="113">
        <f>VLOOKUP(C412,'Talente &amp; Stuff'!FU:GV,16,FALSE)</f>
        <v>0</v>
      </c>
      <c r="S412" s="119">
        <f>VLOOKUP(C412,'Talente &amp; Stuff'!FU:GV,17,FALSE)</f>
        <v>0</v>
      </c>
      <c r="T412" s="160">
        <f>VLOOKUP(C412,'Talente &amp; Stuff'!FU:GV,18,FALSE)</f>
        <v>0</v>
      </c>
      <c r="U412" s="89">
        <f>VLOOKUP(C412,'Talente &amp; Stuff'!FU:GV,19,FALSE)</f>
        <v>0</v>
      </c>
      <c r="V412" s="47">
        <f>VLOOKUP(C412,'Talente &amp; Stuff'!FU:GV,20,FALSE)</f>
        <v>0</v>
      </c>
      <c r="W412" s="127">
        <f>VLOOKUP(C412,'Talente &amp; Stuff'!FU:GV,21,FALSE)</f>
        <v>0</v>
      </c>
      <c r="X412" s="127">
        <f>VLOOKUP(C412,'Talente &amp; Stuff'!FU:GV,22,FALSE)</f>
        <v>0</v>
      </c>
      <c r="Y412" s="165">
        <f t="shared" si="32"/>
        <v>0</v>
      </c>
      <c r="Z412" s="44">
        <f t="shared" si="33"/>
        <v>0</v>
      </c>
      <c r="AA412" s="125">
        <f>VLOOKUP(C412,'Talente &amp; Stuff'!FU:GV,25,FALSE)</f>
        <v>0</v>
      </c>
      <c r="AB412" s="160">
        <f>VLOOKUP(C412,'Talente &amp; Stuff'!FU:GV,26,FALSE)</f>
        <v>0</v>
      </c>
      <c r="AC412" s="127">
        <f>VLOOKUP(C412,'Talente &amp; Stuff'!FU:GV,27,FALSE)</f>
        <v>0</v>
      </c>
      <c r="AD412" s="125">
        <f>VLOOKUP(C412,'Talente &amp; Stuff'!FU:GV,28,FALSE)</f>
        <v>0</v>
      </c>
      <c r="AE412" s="28"/>
    </row>
    <row r="413" spans="2:31" ht="15" hidden="1" customHeight="1" outlineLevel="2">
      <c r="B413" s="148">
        <v>3</v>
      </c>
      <c r="C413" s="177" t="str">
        <f>Attribute!C413</f>
        <v>---</v>
      </c>
      <c r="D413" s="125" t="str">
        <f>VLOOKUP(C413,'Talente &amp; Stuff'!FU:GV,2,FALSE)</f>
        <v>--/--/--</v>
      </c>
      <c r="E413" s="47" t="str">
        <f>VLOOKUP(C413,'Talente &amp; Stuff'!FU:GV,3,FALSE)</f>
        <v>-</v>
      </c>
      <c r="F413" s="114">
        <f>VLOOKUP(C413,'Talente &amp; Stuff'!FU:GV,4,FALSE)</f>
        <v>0</v>
      </c>
      <c r="G413" s="113">
        <f>VLOOKUP(C413,'Talente &amp; Stuff'!FU:GV,5,FALSE)</f>
        <v>0</v>
      </c>
      <c r="H413" s="113">
        <f>VLOOKUP(C413,'Talente &amp; Stuff'!FU:GV,6,FALSE)</f>
        <v>0</v>
      </c>
      <c r="I413" s="113">
        <f>VLOOKUP(C413,'Talente &amp; Stuff'!FU:GV,7,FALSE)</f>
        <v>0</v>
      </c>
      <c r="J413" s="113">
        <f>VLOOKUP(C413,'Talente &amp; Stuff'!FU:GV,8,FALSE)</f>
        <v>0</v>
      </c>
      <c r="K413" s="113">
        <f>VLOOKUP(C413,'Talente &amp; Stuff'!FU:GV,9,FALSE)</f>
        <v>0</v>
      </c>
      <c r="L413" s="113">
        <f>VLOOKUP(C413,'Talente &amp; Stuff'!FU:GV,10,FALSE)</f>
        <v>0</v>
      </c>
      <c r="M413" s="119">
        <f>VLOOKUP(C413,'Talente &amp; Stuff'!FU:GV,11,FALSE)</f>
        <v>0</v>
      </c>
      <c r="N413" s="47">
        <f>VLOOKUP(C413,'Talente &amp; Stuff'!FU:GV,12,FALSE)</f>
        <v>0</v>
      </c>
      <c r="O413" s="47">
        <f>VLOOKUP(C413,'Talente &amp; Stuff'!FU:GV,13,FALSE)</f>
        <v>0</v>
      </c>
      <c r="P413" s="113">
        <f>VLOOKUP(C413,'Talente &amp; Stuff'!FU:GV,14,FALSE)</f>
        <v>0</v>
      </c>
      <c r="Q413" s="114">
        <f>VLOOKUP(C413,'Talente &amp; Stuff'!FU:GV,15,FALSE)</f>
        <v>0</v>
      </c>
      <c r="R413" s="113">
        <f>VLOOKUP(C413,'Talente &amp; Stuff'!FU:GV,16,FALSE)</f>
        <v>0</v>
      </c>
      <c r="S413" s="119">
        <f>VLOOKUP(C413,'Talente &amp; Stuff'!FU:GV,17,FALSE)</f>
        <v>0</v>
      </c>
      <c r="T413" s="160">
        <f>VLOOKUP(C413,'Talente &amp; Stuff'!FU:GV,18,FALSE)</f>
        <v>0</v>
      </c>
      <c r="U413" s="89">
        <f>VLOOKUP(C413,'Talente &amp; Stuff'!FU:GV,19,FALSE)</f>
        <v>0</v>
      </c>
      <c r="V413" s="47">
        <f>VLOOKUP(C413,'Talente &amp; Stuff'!FU:GV,20,FALSE)</f>
        <v>0</v>
      </c>
      <c r="W413" s="127">
        <f>VLOOKUP(C413,'Talente &amp; Stuff'!FU:GV,21,FALSE)</f>
        <v>0</v>
      </c>
      <c r="X413" s="127">
        <f>VLOOKUP(C413,'Talente &amp; Stuff'!FU:GV,22,FALSE)</f>
        <v>0</v>
      </c>
      <c r="Y413" s="165">
        <f t="shared" si="32"/>
        <v>0</v>
      </c>
      <c r="Z413" s="44">
        <f t="shared" si="33"/>
        <v>0</v>
      </c>
      <c r="AA413" s="125">
        <f>VLOOKUP(C413,'Talente &amp; Stuff'!FU:GV,25,FALSE)</f>
        <v>0</v>
      </c>
      <c r="AB413" s="160">
        <f>VLOOKUP(C413,'Talente &amp; Stuff'!FU:GV,26,FALSE)</f>
        <v>0</v>
      </c>
      <c r="AC413" s="127">
        <f>VLOOKUP(C413,'Talente &amp; Stuff'!FU:GV,27,FALSE)</f>
        <v>0</v>
      </c>
      <c r="AD413" s="125">
        <f>VLOOKUP(C413,'Talente &amp; Stuff'!FU:GV,28,FALSE)</f>
        <v>0</v>
      </c>
      <c r="AE413" s="28"/>
    </row>
    <row r="414" spans="2:31" ht="15" hidden="1" customHeight="1" outlineLevel="2">
      <c r="B414" s="148">
        <v>4</v>
      </c>
      <c r="C414" s="177" t="str">
        <f>Attribute!C414</f>
        <v>---</v>
      </c>
      <c r="D414" s="125" t="str">
        <f>VLOOKUP(C414,'Talente &amp; Stuff'!FU:GV,2,FALSE)</f>
        <v>--/--/--</v>
      </c>
      <c r="E414" s="47" t="str">
        <f>VLOOKUP(C414,'Talente &amp; Stuff'!FU:GV,3,FALSE)</f>
        <v>-</v>
      </c>
      <c r="F414" s="114">
        <f>VLOOKUP(C414,'Talente &amp; Stuff'!FU:GV,4,FALSE)</f>
        <v>0</v>
      </c>
      <c r="G414" s="113">
        <f>VLOOKUP(C414,'Talente &amp; Stuff'!FU:GV,5,FALSE)</f>
        <v>0</v>
      </c>
      <c r="H414" s="113">
        <f>VLOOKUP(C414,'Talente &amp; Stuff'!FU:GV,6,FALSE)</f>
        <v>0</v>
      </c>
      <c r="I414" s="113">
        <f>VLOOKUP(C414,'Talente &amp; Stuff'!FU:GV,7,FALSE)</f>
        <v>0</v>
      </c>
      <c r="J414" s="113">
        <f>VLOOKUP(C414,'Talente &amp; Stuff'!FU:GV,8,FALSE)</f>
        <v>0</v>
      </c>
      <c r="K414" s="113">
        <f>VLOOKUP(C414,'Talente &amp; Stuff'!FU:GV,9,FALSE)</f>
        <v>0</v>
      </c>
      <c r="L414" s="113">
        <f>VLOOKUP(C414,'Talente &amp; Stuff'!FU:GV,10,FALSE)</f>
        <v>0</v>
      </c>
      <c r="M414" s="119">
        <f>VLOOKUP(C414,'Talente &amp; Stuff'!FU:GV,11,FALSE)</f>
        <v>0</v>
      </c>
      <c r="N414" s="47">
        <f>VLOOKUP(C414,'Talente &amp; Stuff'!FU:GV,12,FALSE)</f>
        <v>0</v>
      </c>
      <c r="O414" s="47">
        <f>VLOOKUP(C414,'Talente &amp; Stuff'!FU:GV,13,FALSE)</f>
        <v>0</v>
      </c>
      <c r="P414" s="113">
        <f>VLOOKUP(C414,'Talente &amp; Stuff'!FU:GV,14,FALSE)</f>
        <v>0</v>
      </c>
      <c r="Q414" s="114">
        <f>VLOOKUP(C414,'Talente &amp; Stuff'!FU:GV,15,FALSE)</f>
        <v>0</v>
      </c>
      <c r="R414" s="113">
        <f>VLOOKUP(C414,'Talente &amp; Stuff'!FU:GV,16,FALSE)</f>
        <v>0</v>
      </c>
      <c r="S414" s="119">
        <f>VLOOKUP(C414,'Talente &amp; Stuff'!FU:GV,17,FALSE)</f>
        <v>0</v>
      </c>
      <c r="T414" s="160">
        <f>VLOOKUP(C414,'Talente &amp; Stuff'!FU:GV,18,FALSE)</f>
        <v>0</v>
      </c>
      <c r="U414" s="89">
        <f>VLOOKUP(C414,'Talente &amp; Stuff'!FU:GV,19,FALSE)</f>
        <v>0</v>
      </c>
      <c r="V414" s="47">
        <f>VLOOKUP(C414,'Talente &amp; Stuff'!FU:GV,20,FALSE)</f>
        <v>0</v>
      </c>
      <c r="W414" s="127">
        <f>VLOOKUP(C414,'Talente &amp; Stuff'!FU:GV,21,FALSE)</f>
        <v>0</v>
      </c>
      <c r="X414" s="127">
        <f>VLOOKUP(C414,'Talente &amp; Stuff'!FU:GV,22,FALSE)</f>
        <v>0</v>
      </c>
      <c r="Y414" s="165">
        <f t="shared" si="32"/>
        <v>0</v>
      </c>
      <c r="Z414" s="44">
        <f t="shared" si="33"/>
        <v>0</v>
      </c>
      <c r="AA414" s="125">
        <f>VLOOKUP(C414,'Talente &amp; Stuff'!FU:GV,25,FALSE)</f>
        <v>0</v>
      </c>
      <c r="AB414" s="160">
        <f>VLOOKUP(C414,'Talente &amp; Stuff'!FU:GV,26,FALSE)</f>
        <v>0</v>
      </c>
      <c r="AC414" s="127">
        <f>VLOOKUP(C414,'Talente &amp; Stuff'!FU:GV,27,FALSE)</f>
        <v>0</v>
      </c>
      <c r="AD414" s="125">
        <f>VLOOKUP(C414,'Talente &amp; Stuff'!FU:GV,28,FALSE)</f>
        <v>0</v>
      </c>
      <c r="AE414" s="28"/>
    </row>
    <row r="415" spans="2:31" ht="15" hidden="1" customHeight="1" outlineLevel="2">
      <c r="B415" s="148">
        <v>5</v>
      </c>
      <c r="C415" s="177" t="str">
        <f>Attribute!C415</f>
        <v>---</v>
      </c>
      <c r="D415" s="125" t="str">
        <f>VLOOKUP(C415,'Talente &amp; Stuff'!FU:GV,2,FALSE)</f>
        <v>--/--/--</v>
      </c>
      <c r="E415" s="47" t="str">
        <f>VLOOKUP(C415,'Talente &amp; Stuff'!FU:GV,3,FALSE)</f>
        <v>-</v>
      </c>
      <c r="F415" s="114">
        <f>VLOOKUP(C415,'Talente &amp; Stuff'!FU:GV,4,FALSE)</f>
        <v>0</v>
      </c>
      <c r="G415" s="113">
        <f>VLOOKUP(C415,'Talente &amp; Stuff'!FU:GV,5,FALSE)</f>
        <v>0</v>
      </c>
      <c r="H415" s="113">
        <f>VLOOKUP(C415,'Talente &amp; Stuff'!FU:GV,6,FALSE)</f>
        <v>0</v>
      </c>
      <c r="I415" s="113">
        <f>VLOOKUP(C415,'Talente &amp; Stuff'!FU:GV,7,FALSE)</f>
        <v>0</v>
      </c>
      <c r="J415" s="113">
        <f>VLOOKUP(C415,'Talente &amp; Stuff'!FU:GV,8,FALSE)</f>
        <v>0</v>
      </c>
      <c r="K415" s="113">
        <f>VLOOKUP(C415,'Talente &amp; Stuff'!FU:GV,9,FALSE)</f>
        <v>0</v>
      </c>
      <c r="L415" s="113">
        <f>VLOOKUP(C415,'Talente &amp; Stuff'!FU:GV,10,FALSE)</f>
        <v>0</v>
      </c>
      <c r="M415" s="119">
        <f>VLOOKUP(C415,'Talente &amp; Stuff'!FU:GV,11,FALSE)</f>
        <v>0</v>
      </c>
      <c r="N415" s="47">
        <f>VLOOKUP(C415,'Talente &amp; Stuff'!FU:GV,12,FALSE)</f>
        <v>0</v>
      </c>
      <c r="O415" s="47">
        <f>VLOOKUP(C415,'Talente &amp; Stuff'!FU:GV,13,FALSE)</f>
        <v>0</v>
      </c>
      <c r="P415" s="113">
        <f>VLOOKUP(C415,'Talente &amp; Stuff'!FU:GV,14,FALSE)</f>
        <v>0</v>
      </c>
      <c r="Q415" s="114">
        <f>VLOOKUP(C415,'Talente &amp; Stuff'!FU:GV,15,FALSE)</f>
        <v>0</v>
      </c>
      <c r="R415" s="113">
        <f>VLOOKUP(C415,'Talente &amp; Stuff'!FU:GV,16,FALSE)</f>
        <v>0</v>
      </c>
      <c r="S415" s="119">
        <f>VLOOKUP(C415,'Talente &amp; Stuff'!FU:GV,17,FALSE)</f>
        <v>0</v>
      </c>
      <c r="T415" s="160">
        <f>VLOOKUP(C415,'Talente &amp; Stuff'!FU:GV,18,FALSE)</f>
        <v>0</v>
      </c>
      <c r="U415" s="89">
        <f>VLOOKUP(C415,'Talente &amp; Stuff'!FU:GV,19,FALSE)</f>
        <v>0</v>
      </c>
      <c r="V415" s="47">
        <f>VLOOKUP(C415,'Talente &amp; Stuff'!FU:GV,20,FALSE)</f>
        <v>0</v>
      </c>
      <c r="W415" s="127">
        <f>VLOOKUP(C415,'Talente &amp; Stuff'!FU:GV,21,FALSE)</f>
        <v>0</v>
      </c>
      <c r="X415" s="127">
        <f>VLOOKUP(C415,'Talente &amp; Stuff'!FU:GV,22,FALSE)</f>
        <v>0</v>
      </c>
      <c r="Y415" s="165">
        <f t="shared" si="32"/>
        <v>0</v>
      </c>
      <c r="Z415" s="44">
        <f t="shared" si="33"/>
        <v>0</v>
      </c>
      <c r="AA415" s="125">
        <f>VLOOKUP(C415,'Talente &amp; Stuff'!FU:GV,25,FALSE)</f>
        <v>0</v>
      </c>
      <c r="AB415" s="160">
        <f>VLOOKUP(C415,'Talente &amp; Stuff'!FU:GV,26,FALSE)</f>
        <v>0</v>
      </c>
      <c r="AC415" s="127">
        <f>VLOOKUP(C415,'Talente &amp; Stuff'!FU:GV,27,FALSE)</f>
        <v>0</v>
      </c>
      <c r="AD415" s="125">
        <f>VLOOKUP(C415,'Talente &amp; Stuff'!FU:GV,28,FALSE)</f>
        <v>0</v>
      </c>
      <c r="AE415" s="28"/>
    </row>
    <row r="416" spans="2:31" ht="15" hidden="1" customHeight="1" outlineLevel="2">
      <c r="B416" s="148">
        <v>6</v>
      </c>
      <c r="C416" s="177" t="str">
        <f>Attribute!C416</f>
        <v>---</v>
      </c>
      <c r="D416" s="125" t="str">
        <f>VLOOKUP(C416,'Talente &amp; Stuff'!FU:GV,2,FALSE)</f>
        <v>--/--/--</v>
      </c>
      <c r="E416" s="47" t="str">
        <f>VLOOKUP(C416,'Talente &amp; Stuff'!FU:GV,3,FALSE)</f>
        <v>-</v>
      </c>
      <c r="F416" s="114">
        <f>VLOOKUP(C416,'Talente &amp; Stuff'!FU:GV,4,FALSE)</f>
        <v>0</v>
      </c>
      <c r="G416" s="113">
        <f>VLOOKUP(C416,'Talente &amp; Stuff'!FU:GV,5,FALSE)</f>
        <v>0</v>
      </c>
      <c r="H416" s="113">
        <f>VLOOKUP(C416,'Talente &amp; Stuff'!FU:GV,6,FALSE)</f>
        <v>0</v>
      </c>
      <c r="I416" s="113">
        <f>VLOOKUP(C416,'Talente &amp; Stuff'!FU:GV,7,FALSE)</f>
        <v>0</v>
      </c>
      <c r="J416" s="113">
        <f>VLOOKUP(C416,'Talente &amp; Stuff'!FU:GV,8,FALSE)</f>
        <v>0</v>
      </c>
      <c r="K416" s="113">
        <f>VLOOKUP(C416,'Talente &amp; Stuff'!FU:GV,9,FALSE)</f>
        <v>0</v>
      </c>
      <c r="L416" s="113">
        <f>VLOOKUP(C416,'Talente &amp; Stuff'!FU:GV,10,FALSE)</f>
        <v>0</v>
      </c>
      <c r="M416" s="119">
        <f>VLOOKUP(C416,'Talente &amp; Stuff'!FU:GV,11,FALSE)</f>
        <v>0</v>
      </c>
      <c r="N416" s="47">
        <f>VLOOKUP(C416,'Talente &amp; Stuff'!FU:GV,12,FALSE)</f>
        <v>0</v>
      </c>
      <c r="O416" s="47">
        <f>VLOOKUP(C416,'Talente &amp; Stuff'!FU:GV,13,FALSE)</f>
        <v>0</v>
      </c>
      <c r="P416" s="113">
        <f>VLOOKUP(C416,'Talente &amp; Stuff'!FU:GV,14,FALSE)</f>
        <v>0</v>
      </c>
      <c r="Q416" s="114">
        <f>VLOOKUP(C416,'Talente &amp; Stuff'!FU:GV,15,FALSE)</f>
        <v>0</v>
      </c>
      <c r="R416" s="113">
        <f>VLOOKUP(C416,'Talente &amp; Stuff'!FU:GV,16,FALSE)</f>
        <v>0</v>
      </c>
      <c r="S416" s="119">
        <f>VLOOKUP(C416,'Talente &amp; Stuff'!FU:GV,17,FALSE)</f>
        <v>0</v>
      </c>
      <c r="T416" s="160">
        <f>VLOOKUP(C416,'Talente &amp; Stuff'!FU:GV,18,FALSE)</f>
        <v>0</v>
      </c>
      <c r="U416" s="89">
        <f>VLOOKUP(C416,'Talente &amp; Stuff'!FU:GV,19,FALSE)</f>
        <v>0</v>
      </c>
      <c r="V416" s="47">
        <f>VLOOKUP(C416,'Talente &amp; Stuff'!FU:GV,20,FALSE)</f>
        <v>0</v>
      </c>
      <c r="W416" s="127">
        <f>VLOOKUP(C416,'Talente &amp; Stuff'!FU:GV,21,FALSE)</f>
        <v>0</v>
      </c>
      <c r="X416" s="127">
        <f>VLOOKUP(C416,'Talente &amp; Stuff'!FU:GV,22,FALSE)</f>
        <v>0</v>
      </c>
      <c r="Y416" s="165">
        <f t="shared" si="32"/>
        <v>0</v>
      </c>
      <c r="Z416" s="44">
        <f t="shared" si="33"/>
        <v>0</v>
      </c>
      <c r="AA416" s="125">
        <f>VLOOKUP(C416,'Talente &amp; Stuff'!FU:GV,25,FALSE)</f>
        <v>0</v>
      </c>
      <c r="AB416" s="160">
        <f>VLOOKUP(C416,'Talente &amp; Stuff'!FU:GV,26,FALSE)</f>
        <v>0</v>
      </c>
      <c r="AC416" s="127">
        <f>VLOOKUP(C416,'Talente &amp; Stuff'!FU:GV,27,FALSE)</f>
        <v>0</v>
      </c>
      <c r="AD416" s="125">
        <f>VLOOKUP(C416,'Talente &amp; Stuff'!FU:GV,28,FALSE)</f>
        <v>0</v>
      </c>
      <c r="AE416" s="28"/>
    </row>
    <row r="417" spans="2:31" ht="15" hidden="1" customHeight="1" outlineLevel="2">
      <c r="B417" s="148">
        <v>7</v>
      </c>
      <c r="C417" s="178" t="str">
        <f>Attribute!C417</f>
        <v>---</v>
      </c>
      <c r="D417" s="159" t="str">
        <f>VLOOKUP(C417,'Talente &amp; Stuff'!FU:GV,2,FALSE)</f>
        <v>--/--/--</v>
      </c>
      <c r="E417" s="88" t="str">
        <f>VLOOKUP(C417,'Talente &amp; Stuff'!FU:GV,3,FALSE)</f>
        <v>-</v>
      </c>
      <c r="F417" s="115">
        <f>VLOOKUP(C417,'Talente &amp; Stuff'!FU:GV,4,FALSE)</f>
        <v>0</v>
      </c>
      <c r="G417" s="122">
        <f>VLOOKUP(C417,'Talente &amp; Stuff'!FU:GV,5,FALSE)</f>
        <v>0</v>
      </c>
      <c r="H417" s="122">
        <f>VLOOKUP(C417,'Talente &amp; Stuff'!FU:GV,6,FALSE)</f>
        <v>0</v>
      </c>
      <c r="I417" s="122">
        <f>VLOOKUP(C417,'Talente &amp; Stuff'!FU:GV,7,FALSE)</f>
        <v>0</v>
      </c>
      <c r="J417" s="122">
        <f>VLOOKUP(C417,'Talente &amp; Stuff'!FU:GV,8,FALSE)</f>
        <v>0</v>
      </c>
      <c r="K417" s="122">
        <f>VLOOKUP(C417,'Talente &amp; Stuff'!FU:GV,9,FALSE)</f>
        <v>0</v>
      </c>
      <c r="L417" s="122">
        <f>VLOOKUP(C417,'Talente &amp; Stuff'!FU:GV,10,FALSE)</f>
        <v>0</v>
      </c>
      <c r="M417" s="123">
        <f>VLOOKUP(C417,'Talente &amp; Stuff'!FU:GV,11,FALSE)</f>
        <v>0</v>
      </c>
      <c r="N417" s="88">
        <f>VLOOKUP(C417,'Talente &amp; Stuff'!FU:GV,12,FALSE)</f>
        <v>0</v>
      </c>
      <c r="O417" s="88">
        <f>VLOOKUP(C417,'Talente &amp; Stuff'!FU:GV,13,FALSE)</f>
        <v>0</v>
      </c>
      <c r="P417" s="122">
        <f>VLOOKUP(C417,'Talente &amp; Stuff'!FU:GV,14,FALSE)</f>
        <v>0</v>
      </c>
      <c r="Q417" s="115">
        <f>VLOOKUP(C417,'Talente &amp; Stuff'!FU:GV,15,FALSE)</f>
        <v>0</v>
      </c>
      <c r="R417" s="122">
        <f>VLOOKUP(C417,'Talente &amp; Stuff'!FU:GV,16,FALSE)</f>
        <v>0</v>
      </c>
      <c r="S417" s="123">
        <f>VLOOKUP(C417,'Talente &amp; Stuff'!FU:GV,17,FALSE)</f>
        <v>0</v>
      </c>
      <c r="T417" s="161">
        <f>VLOOKUP(C417,'Talente &amp; Stuff'!FU:GV,18,FALSE)</f>
        <v>0</v>
      </c>
      <c r="U417" s="90">
        <f>VLOOKUP(C417,'Talente &amp; Stuff'!FU:GV,19,FALSE)</f>
        <v>0</v>
      </c>
      <c r="V417" s="88">
        <f>VLOOKUP(C417,'Talente &amp; Stuff'!FU:GV,20,FALSE)</f>
        <v>0</v>
      </c>
      <c r="W417" s="128">
        <f>VLOOKUP(C417,'Talente &amp; Stuff'!FU:GV,21,FALSE)</f>
        <v>0</v>
      </c>
      <c r="X417" s="128">
        <f>VLOOKUP(C417,'Talente &amp; Stuff'!FU:GV,22,FALSE)</f>
        <v>0</v>
      </c>
      <c r="Y417" s="165">
        <f t="shared" si="32"/>
        <v>0</v>
      </c>
      <c r="Z417" s="44">
        <f t="shared" si="33"/>
        <v>0</v>
      </c>
      <c r="AA417" s="159">
        <f>VLOOKUP(C417,'Talente &amp; Stuff'!FU:GV,25,FALSE)</f>
        <v>0</v>
      </c>
      <c r="AB417" s="161">
        <f>VLOOKUP(C417,'Talente &amp; Stuff'!FU:GV,26,FALSE)</f>
        <v>0</v>
      </c>
      <c r="AC417" s="128">
        <f>VLOOKUP(C417,'Talente &amp; Stuff'!FU:GV,27,FALSE)</f>
        <v>0</v>
      </c>
      <c r="AD417" s="159">
        <f>VLOOKUP(C417,'Talente &amp; Stuff'!FU:GV,28,FALSE)</f>
        <v>0</v>
      </c>
      <c r="AE417" s="28"/>
    </row>
    <row r="418" spans="2:31" ht="15" hidden="1" customHeight="1" outlineLevel="1" collapsed="1">
      <c r="B418" s="134" t="s">
        <v>324</v>
      </c>
      <c r="C418" s="83"/>
      <c r="D418" s="84"/>
      <c r="E418" s="84"/>
    </row>
    <row r="419" spans="2:31" ht="15" hidden="1" customHeight="1" outlineLevel="2">
      <c r="B419" s="148">
        <v>1</v>
      </c>
      <c r="C419" s="176" t="str">
        <f>Attribute!C419</f>
        <v>---</v>
      </c>
      <c r="D419" s="158" t="str">
        <f>VLOOKUP(C419,'Talente &amp; Stuff'!FU:GV,2,FALSE)</f>
        <v>--/--/--</v>
      </c>
      <c r="E419" s="116" t="str">
        <f>VLOOKUP(C419,'Talente &amp; Stuff'!FU:GV,3,FALSE)</f>
        <v>-</v>
      </c>
      <c r="F419" s="191">
        <f>VLOOKUP(C419,'Talente &amp; Stuff'!FU:GV,4,FALSE)</f>
        <v>0</v>
      </c>
      <c r="G419" s="118">
        <f>VLOOKUP(C419,'Talente &amp; Stuff'!FU:GV,5,FALSE)</f>
        <v>0</v>
      </c>
      <c r="H419" s="118">
        <f>VLOOKUP(C419,'Talente &amp; Stuff'!FU:GV,6,FALSE)</f>
        <v>0</v>
      </c>
      <c r="I419" s="118">
        <f>VLOOKUP(C419,'Talente &amp; Stuff'!FU:GV,7,FALSE)</f>
        <v>0</v>
      </c>
      <c r="J419" s="118">
        <f>VLOOKUP(C419,'Talente &amp; Stuff'!FU:GV,8,FALSE)</f>
        <v>0</v>
      </c>
      <c r="K419" s="118">
        <f>VLOOKUP(C419,'Talente &amp; Stuff'!FU:GV,9,FALSE)</f>
        <v>0</v>
      </c>
      <c r="L419" s="118">
        <f>VLOOKUP(C419,'Talente &amp; Stuff'!FU:GV,10,FALSE)</f>
        <v>0</v>
      </c>
      <c r="M419" s="92">
        <f>VLOOKUP(C419,'Talente &amp; Stuff'!FU:GV,11,FALSE)</f>
        <v>0</v>
      </c>
      <c r="N419" s="116">
        <f>VLOOKUP(C419,'Talente &amp; Stuff'!FU:GV,12,FALSE)</f>
        <v>0</v>
      </c>
      <c r="O419" s="116">
        <f>VLOOKUP(C419,'Talente &amp; Stuff'!FU:GV,13,FALSE)</f>
        <v>0</v>
      </c>
      <c r="P419" s="118">
        <f>VLOOKUP(C419,'Talente &amp; Stuff'!FU:GV,14,FALSE)</f>
        <v>0</v>
      </c>
      <c r="Q419" s="191">
        <f>VLOOKUP(C419,'Talente &amp; Stuff'!FU:GV,15,FALSE)</f>
        <v>0</v>
      </c>
      <c r="R419" s="118">
        <f>VLOOKUP(C419,'Talente &amp; Stuff'!FU:GV,16,FALSE)</f>
        <v>0</v>
      </c>
      <c r="S419" s="92">
        <f>VLOOKUP(C419,'Talente &amp; Stuff'!FU:GV,17,FALSE)</f>
        <v>0</v>
      </c>
      <c r="T419" s="91">
        <f>VLOOKUP(C419,'Talente &amp; Stuff'!FU:GV,18,FALSE)</f>
        <v>0</v>
      </c>
      <c r="U419" s="193">
        <f>VLOOKUP(C419,'Talente &amp; Stuff'!FU:GV,19,FALSE)</f>
        <v>0</v>
      </c>
      <c r="V419" s="116">
        <f>VLOOKUP(C419,'Talente &amp; Stuff'!FU:GV,20,FALSE)</f>
        <v>0</v>
      </c>
      <c r="W419" s="126">
        <f>VLOOKUP(C419,'Talente &amp; Stuff'!FU:GV,21,FALSE)</f>
        <v>0</v>
      </c>
      <c r="X419" s="126">
        <f>VLOOKUP(C419,'Talente &amp; Stuff'!FU:GV,22,FALSE)</f>
        <v>0</v>
      </c>
      <c r="Y419" s="165">
        <f>VLOOKUP(C419,Ausgewählte_Liturgien_Peraine,197,FALSE)</f>
        <v>0</v>
      </c>
      <c r="Z419" s="44">
        <f>VLOOKUP(C419,Ausgewählte_Liturgien_Peraine,198,FALSE)</f>
        <v>0</v>
      </c>
      <c r="AA419" s="158">
        <f>VLOOKUP(C419,'Talente &amp; Stuff'!FU:GV,25,FALSE)</f>
        <v>0</v>
      </c>
      <c r="AB419" s="91">
        <f>VLOOKUP(C419,'Talente &amp; Stuff'!FU:GV,26,FALSE)</f>
        <v>0</v>
      </c>
      <c r="AC419" s="126">
        <f>VLOOKUP(C419,'Talente &amp; Stuff'!FU:GV,27,FALSE)</f>
        <v>0</v>
      </c>
      <c r="AD419" s="158">
        <f>VLOOKUP(C419,'Talente &amp; Stuff'!FU:GV,28,FALSE)</f>
        <v>0</v>
      </c>
      <c r="AE419" s="28"/>
    </row>
    <row r="420" spans="2:31" ht="15" hidden="1" customHeight="1" outlineLevel="2">
      <c r="B420" s="148">
        <v>2</v>
      </c>
      <c r="C420" s="177" t="str">
        <f>Attribute!C420</f>
        <v>---</v>
      </c>
      <c r="D420" s="125" t="str">
        <f>VLOOKUP(C420,'Talente &amp; Stuff'!FU:GV,2,FALSE)</f>
        <v>--/--/--</v>
      </c>
      <c r="E420" s="47" t="str">
        <f>VLOOKUP(C420,'Talente &amp; Stuff'!FU:GV,3,FALSE)</f>
        <v>-</v>
      </c>
      <c r="F420" s="114">
        <f>VLOOKUP(C420,'Talente &amp; Stuff'!FU:GV,4,FALSE)</f>
        <v>0</v>
      </c>
      <c r="G420" s="113">
        <f>VLOOKUP(C420,'Talente &amp; Stuff'!FU:GV,5,FALSE)</f>
        <v>0</v>
      </c>
      <c r="H420" s="113">
        <f>VLOOKUP(C420,'Talente &amp; Stuff'!FU:GV,6,FALSE)</f>
        <v>0</v>
      </c>
      <c r="I420" s="113">
        <f>VLOOKUP(C420,'Talente &amp; Stuff'!FU:GV,7,FALSE)</f>
        <v>0</v>
      </c>
      <c r="J420" s="113">
        <f>VLOOKUP(C420,'Talente &amp; Stuff'!FU:GV,8,FALSE)</f>
        <v>0</v>
      </c>
      <c r="K420" s="113">
        <f>VLOOKUP(C420,'Talente &amp; Stuff'!FU:GV,9,FALSE)</f>
        <v>0</v>
      </c>
      <c r="L420" s="113">
        <f>VLOOKUP(C420,'Talente &amp; Stuff'!FU:GV,10,FALSE)</f>
        <v>0</v>
      </c>
      <c r="M420" s="119">
        <f>VLOOKUP(C420,'Talente &amp; Stuff'!FU:GV,11,FALSE)</f>
        <v>0</v>
      </c>
      <c r="N420" s="47">
        <f>VLOOKUP(C420,'Talente &amp; Stuff'!FU:GV,12,FALSE)</f>
        <v>0</v>
      </c>
      <c r="O420" s="47">
        <f>VLOOKUP(C420,'Talente &amp; Stuff'!FU:GV,13,FALSE)</f>
        <v>0</v>
      </c>
      <c r="P420" s="113">
        <f>VLOOKUP(C420,'Talente &amp; Stuff'!FU:GV,14,FALSE)</f>
        <v>0</v>
      </c>
      <c r="Q420" s="114">
        <f>VLOOKUP(C420,'Talente &amp; Stuff'!FU:GV,15,FALSE)</f>
        <v>0</v>
      </c>
      <c r="R420" s="113">
        <f>VLOOKUP(C420,'Talente &amp; Stuff'!FU:GV,16,FALSE)</f>
        <v>0</v>
      </c>
      <c r="S420" s="119">
        <f>VLOOKUP(C420,'Talente &amp; Stuff'!FU:GV,17,FALSE)</f>
        <v>0</v>
      </c>
      <c r="T420" s="160">
        <f>VLOOKUP(C420,'Talente &amp; Stuff'!FU:GV,18,FALSE)</f>
        <v>0</v>
      </c>
      <c r="U420" s="89">
        <f>VLOOKUP(C420,'Talente &amp; Stuff'!FU:GV,19,FALSE)</f>
        <v>0</v>
      </c>
      <c r="V420" s="47">
        <f>VLOOKUP(C420,'Talente &amp; Stuff'!FU:GV,20,FALSE)</f>
        <v>0</v>
      </c>
      <c r="W420" s="127">
        <f>VLOOKUP(C420,'Talente &amp; Stuff'!FU:GV,21,FALSE)</f>
        <v>0</v>
      </c>
      <c r="X420" s="127">
        <f>VLOOKUP(C420,'Talente &amp; Stuff'!FU:GV,22,FALSE)</f>
        <v>0</v>
      </c>
      <c r="Y420" s="165">
        <f>VLOOKUP(C420,Ausgewählte_Liturgien_Peraine,197,FALSE)</f>
        <v>0</v>
      </c>
      <c r="Z420" s="44">
        <f>VLOOKUP(C420,Ausgewählte_Liturgien_Peraine,198,FALSE)</f>
        <v>0</v>
      </c>
      <c r="AA420" s="125">
        <f>VLOOKUP(C420,'Talente &amp; Stuff'!FU:GV,25,FALSE)</f>
        <v>0</v>
      </c>
      <c r="AB420" s="160">
        <f>VLOOKUP(C420,'Talente &amp; Stuff'!FU:GV,26,FALSE)</f>
        <v>0</v>
      </c>
      <c r="AC420" s="127">
        <f>VLOOKUP(C420,'Talente &amp; Stuff'!FU:GV,27,FALSE)</f>
        <v>0</v>
      </c>
      <c r="AD420" s="125">
        <f>VLOOKUP(C420,'Talente &amp; Stuff'!FU:GV,28,FALSE)</f>
        <v>0</v>
      </c>
      <c r="AE420" s="28"/>
    </row>
    <row r="421" spans="2:31" ht="15" hidden="1" customHeight="1" outlineLevel="2">
      <c r="B421" s="148">
        <v>3</v>
      </c>
      <c r="C421" s="177" t="str">
        <f>Attribute!C421</f>
        <v>---</v>
      </c>
      <c r="D421" s="125" t="str">
        <f>VLOOKUP(C421,'Talente &amp; Stuff'!FU:GV,2,FALSE)</f>
        <v>--/--/--</v>
      </c>
      <c r="E421" s="47" t="str">
        <f>VLOOKUP(C421,'Talente &amp; Stuff'!FU:GV,3,FALSE)</f>
        <v>-</v>
      </c>
      <c r="F421" s="114">
        <f>VLOOKUP(C421,'Talente &amp; Stuff'!FU:GV,4,FALSE)</f>
        <v>0</v>
      </c>
      <c r="G421" s="113">
        <f>VLOOKUP(C421,'Talente &amp; Stuff'!FU:GV,5,FALSE)</f>
        <v>0</v>
      </c>
      <c r="H421" s="113">
        <f>VLOOKUP(C421,'Talente &amp; Stuff'!FU:GV,6,FALSE)</f>
        <v>0</v>
      </c>
      <c r="I421" s="113">
        <f>VLOOKUP(C421,'Talente &amp; Stuff'!FU:GV,7,FALSE)</f>
        <v>0</v>
      </c>
      <c r="J421" s="113">
        <f>VLOOKUP(C421,'Talente &amp; Stuff'!FU:GV,8,FALSE)</f>
        <v>0</v>
      </c>
      <c r="K421" s="113">
        <f>VLOOKUP(C421,'Talente &amp; Stuff'!FU:GV,9,FALSE)</f>
        <v>0</v>
      </c>
      <c r="L421" s="113">
        <f>VLOOKUP(C421,'Talente &amp; Stuff'!FU:GV,10,FALSE)</f>
        <v>0</v>
      </c>
      <c r="M421" s="119">
        <f>VLOOKUP(C421,'Talente &amp; Stuff'!FU:GV,11,FALSE)</f>
        <v>0</v>
      </c>
      <c r="N421" s="47">
        <f>VLOOKUP(C421,'Talente &amp; Stuff'!FU:GV,12,FALSE)</f>
        <v>0</v>
      </c>
      <c r="O421" s="47">
        <f>VLOOKUP(C421,'Talente &amp; Stuff'!FU:GV,13,FALSE)</f>
        <v>0</v>
      </c>
      <c r="P421" s="113">
        <f>VLOOKUP(C421,'Talente &amp; Stuff'!FU:GV,14,FALSE)</f>
        <v>0</v>
      </c>
      <c r="Q421" s="114">
        <f>VLOOKUP(C421,'Talente &amp; Stuff'!FU:GV,15,FALSE)</f>
        <v>0</v>
      </c>
      <c r="R421" s="113">
        <f>VLOOKUP(C421,'Talente &amp; Stuff'!FU:GV,16,FALSE)</f>
        <v>0</v>
      </c>
      <c r="S421" s="119">
        <f>VLOOKUP(C421,'Talente &amp; Stuff'!FU:GV,17,FALSE)</f>
        <v>0</v>
      </c>
      <c r="T421" s="160">
        <f>VLOOKUP(C421,'Talente &amp; Stuff'!FU:GV,18,FALSE)</f>
        <v>0</v>
      </c>
      <c r="U421" s="89">
        <f>VLOOKUP(C421,'Talente &amp; Stuff'!FU:GV,19,FALSE)</f>
        <v>0</v>
      </c>
      <c r="V421" s="47">
        <f>VLOOKUP(C421,'Talente &amp; Stuff'!FU:GV,20,FALSE)</f>
        <v>0</v>
      </c>
      <c r="W421" s="127">
        <f>VLOOKUP(C421,'Talente &amp; Stuff'!FU:GV,21,FALSE)</f>
        <v>0</v>
      </c>
      <c r="X421" s="127">
        <f>VLOOKUP(C421,'Talente &amp; Stuff'!FU:GV,22,FALSE)</f>
        <v>0</v>
      </c>
      <c r="Y421" s="165">
        <f>VLOOKUP(C421,Ausgewählte_Liturgien_Peraine,197,FALSE)</f>
        <v>0</v>
      </c>
      <c r="Z421" s="44">
        <f>VLOOKUP(C421,Ausgewählte_Liturgien_Peraine,198,FALSE)</f>
        <v>0</v>
      </c>
      <c r="AA421" s="125">
        <f>VLOOKUP(C421,'Talente &amp; Stuff'!FU:GV,25,FALSE)</f>
        <v>0</v>
      </c>
      <c r="AB421" s="160">
        <f>VLOOKUP(C421,'Talente &amp; Stuff'!FU:GV,26,FALSE)</f>
        <v>0</v>
      </c>
      <c r="AC421" s="127">
        <f>VLOOKUP(C421,'Talente &amp; Stuff'!FU:GV,27,FALSE)</f>
        <v>0</v>
      </c>
      <c r="AD421" s="125">
        <f>VLOOKUP(C421,'Talente &amp; Stuff'!FU:GV,28,FALSE)</f>
        <v>0</v>
      </c>
      <c r="AE421" s="28"/>
    </row>
    <row r="422" spans="2:31" ht="15" hidden="1" customHeight="1" outlineLevel="2">
      <c r="B422" s="148">
        <v>4</v>
      </c>
      <c r="C422" s="177" t="str">
        <f>Attribute!C422</f>
        <v>---</v>
      </c>
      <c r="D422" s="125" t="str">
        <f>VLOOKUP(C422,'Talente &amp; Stuff'!FU:GV,2,FALSE)</f>
        <v>--/--/--</v>
      </c>
      <c r="E422" s="47" t="str">
        <f>VLOOKUP(C422,'Talente &amp; Stuff'!FU:GV,3,FALSE)</f>
        <v>-</v>
      </c>
      <c r="F422" s="114">
        <f>VLOOKUP(C422,'Talente &amp; Stuff'!FU:GV,4,FALSE)</f>
        <v>0</v>
      </c>
      <c r="G422" s="113">
        <f>VLOOKUP(C422,'Talente &amp; Stuff'!FU:GV,5,FALSE)</f>
        <v>0</v>
      </c>
      <c r="H422" s="113">
        <f>VLOOKUP(C422,'Talente &amp; Stuff'!FU:GV,6,FALSE)</f>
        <v>0</v>
      </c>
      <c r="I422" s="113">
        <f>VLOOKUP(C422,'Talente &amp; Stuff'!FU:GV,7,FALSE)</f>
        <v>0</v>
      </c>
      <c r="J422" s="113">
        <f>VLOOKUP(C422,'Talente &amp; Stuff'!FU:GV,8,FALSE)</f>
        <v>0</v>
      </c>
      <c r="K422" s="113">
        <f>VLOOKUP(C422,'Talente &amp; Stuff'!FU:GV,9,FALSE)</f>
        <v>0</v>
      </c>
      <c r="L422" s="113">
        <f>VLOOKUP(C422,'Talente &amp; Stuff'!FU:GV,10,FALSE)</f>
        <v>0</v>
      </c>
      <c r="M422" s="119">
        <f>VLOOKUP(C422,'Talente &amp; Stuff'!FU:GV,11,FALSE)</f>
        <v>0</v>
      </c>
      <c r="N422" s="47">
        <f>VLOOKUP(C422,'Talente &amp; Stuff'!FU:GV,12,FALSE)</f>
        <v>0</v>
      </c>
      <c r="O422" s="47">
        <f>VLOOKUP(C422,'Talente &amp; Stuff'!FU:GV,13,FALSE)</f>
        <v>0</v>
      </c>
      <c r="P422" s="113">
        <f>VLOOKUP(C422,'Talente &amp; Stuff'!FU:GV,14,FALSE)</f>
        <v>0</v>
      </c>
      <c r="Q422" s="114">
        <f>VLOOKUP(C422,'Talente &amp; Stuff'!FU:GV,15,FALSE)</f>
        <v>0</v>
      </c>
      <c r="R422" s="113">
        <f>VLOOKUP(C422,'Talente &amp; Stuff'!FU:GV,16,FALSE)</f>
        <v>0</v>
      </c>
      <c r="S422" s="119">
        <f>VLOOKUP(C422,'Talente &amp; Stuff'!FU:GV,17,FALSE)</f>
        <v>0</v>
      </c>
      <c r="T422" s="160">
        <f>VLOOKUP(C422,'Talente &amp; Stuff'!FU:GV,18,FALSE)</f>
        <v>0</v>
      </c>
      <c r="U422" s="89">
        <f>VLOOKUP(C422,'Talente &amp; Stuff'!FU:GV,19,FALSE)</f>
        <v>0</v>
      </c>
      <c r="V422" s="47">
        <f>VLOOKUP(C422,'Talente &amp; Stuff'!FU:GV,20,FALSE)</f>
        <v>0</v>
      </c>
      <c r="W422" s="127">
        <f>VLOOKUP(C422,'Talente &amp; Stuff'!FU:GV,21,FALSE)</f>
        <v>0</v>
      </c>
      <c r="X422" s="127">
        <f>VLOOKUP(C422,'Talente &amp; Stuff'!FU:GV,22,FALSE)</f>
        <v>0</v>
      </c>
      <c r="Y422" s="165">
        <f>VLOOKUP(C422,Ausgewählte_Liturgien_Peraine,197,FALSE)</f>
        <v>0</v>
      </c>
      <c r="Z422" s="44">
        <f>VLOOKUP(C422,Ausgewählte_Liturgien_Peraine,198,FALSE)</f>
        <v>0</v>
      </c>
      <c r="AA422" s="125">
        <f>VLOOKUP(C422,'Talente &amp; Stuff'!FU:GV,25,FALSE)</f>
        <v>0</v>
      </c>
      <c r="AB422" s="160">
        <f>VLOOKUP(C422,'Talente &amp; Stuff'!FU:GV,26,FALSE)</f>
        <v>0</v>
      </c>
      <c r="AC422" s="127">
        <f>VLOOKUP(C422,'Talente &amp; Stuff'!FU:GV,27,FALSE)</f>
        <v>0</v>
      </c>
      <c r="AD422" s="125">
        <f>VLOOKUP(C422,'Talente &amp; Stuff'!FU:GV,28,FALSE)</f>
        <v>0</v>
      </c>
      <c r="AE422" s="28"/>
    </row>
    <row r="423" spans="2:31" ht="15" hidden="1" customHeight="1" outlineLevel="2">
      <c r="B423" s="137">
        <v>5</v>
      </c>
      <c r="C423" s="178" t="str">
        <f>Attribute!C423</f>
        <v>---</v>
      </c>
      <c r="D423" s="159" t="str">
        <f>VLOOKUP(C423,'Talente &amp; Stuff'!FU:GV,2,FALSE)</f>
        <v>--/--/--</v>
      </c>
      <c r="E423" s="88" t="str">
        <f>VLOOKUP(C423,'Talente &amp; Stuff'!FU:GV,3,FALSE)</f>
        <v>-</v>
      </c>
      <c r="F423" s="115">
        <f>VLOOKUP(C423,'Talente &amp; Stuff'!FU:GV,4,FALSE)</f>
        <v>0</v>
      </c>
      <c r="G423" s="122">
        <f>VLOOKUP(C423,'Talente &amp; Stuff'!FU:GV,5,FALSE)</f>
        <v>0</v>
      </c>
      <c r="H423" s="122">
        <f>VLOOKUP(C423,'Talente &amp; Stuff'!FU:GV,6,FALSE)</f>
        <v>0</v>
      </c>
      <c r="I423" s="122">
        <f>VLOOKUP(C423,'Talente &amp; Stuff'!FU:GV,7,FALSE)</f>
        <v>0</v>
      </c>
      <c r="J423" s="122">
        <f>VLOOKUP(C423,'Talente &amp; Stuff'!FU:GV,8,FALSE)</f>
        <v>0</v>
      </c>
      <c r="K423" s="122">
        <f>VLOOKUP(C423,'Talente &amp; Stuff'!FU:GV,9,FALSE)</f>
        <v>0</v>
      </c>
      <c r="L423" s="122">
        <f>VLOOKUP(C423,'Talente &amp; Stuff'!FU:GV,10,FALSE)</f>
        <v>0</v>
      </c>
      <c r="M423" s="123">
        <f>VLOOKUP(C423,'Talente &amp; Stuff'!FU:GV,11,FALSE)</f>
        <v>0</v>
      </c>
      <c r="N423" s="88">
        <f>VLOOKUP(C423,'Talente &amp; Stuff'!FU:GV,12,FALSE)</f>
        <v>0</v>
      </c>
      <c r="O423" s="88">
        <f>VLOOKUP(C423,'Talente &amp; Stuff'!FU:GV,13,FALSE)</f>
        <v>0</v>
      </c>
      <c r="P423" s="122">
        <f>VLOOKUP(C423,'Talente &amp; Stuff'!FU:GV,14,FALSE)</f>
        <v>0</v>
      </c>
      <c r="Q423" s="115">
        <f>VLOOKUP(C423,'Talente &amp; Stuff'!FU:GV,15,FALSE)</f>
        <v>0</v>
      </c>
      <c r="R423" s="122">
        <f>VLOOKUP(C423,'Talente &amp; Stuff'!FU:GV,16,FALSE)</f>
        <v>0</v>
      </c>
      <c r="S423" s="123">
        <f>VLOOKUP(C423,'Talente &amp; Stuff'!FU:GV,17,FALSE)</f>
        <v>0</v>
      </c>
      <c r="T423" s="161">
        <f>VLOOKUP(C423,'Talente &amp; Stuff'!FU:GV,18,FALSE)</f>
        <v>0</v>
      </c>
      <c r="U423" s="90">
        <f>VLOOKUP(C423,'Talente &amp; Stuff'!FU:GV,19,FALSE)</f>
        <v>0</v>
      </c>
      <c r="V423" s="88">
        <f>VLOOKUP(C423,'Talente &amp; Stuff'!FU:GV,20,FALSE)</f>
        <v>0</v>
      </c>
      <c r="W423" s="128">
        <f>VLOOKUP(C423,'Talente &amp; Stuff'!FU:GV,21,FALSE)</f>
        <v>0</v>
      </c>
      <c r="X423" s="128">
        <f>VLOOKUP(C423,'Talente &amp; Stuff'!FU:GV,22,FALSE)</f>
        <v>0</v>
      </c>
      <c r="Y423" s="165">
        <f>VLOOKUP(C423,Ausgewählte_Liturgien_Peraine,197,FALSE)</f>
        <v>0</v>
      </c>
      <c r="Z423" s="44">
        <f>VLOOKUP(C423,Ausgewählte_Liturgien_Peraine,198,FALSE)</f>
        <v>0</v>
      </c>
      <c r="AA423" s="159">
        <f>VLOOKUP(C423,'Talente &amp; Stuff'!FU:GV,25,FALSE)</f>
        <v>0</v>
      </c>
      <c r="AB423" s="161">
        <f>VLOOKUP(C423,'Talente &amp; Stuff'!FU:GV,26,FALSE)</f>
        <v>0</v>
      </c>
      <c r="AC423" s="128">
        <f>VLOOKUP(C423,'Talente &amp; Stuff'!FU:GV,27,FALSE)</f>
        <v>0</v>
      </c>
      <c r="AD423" s="159">
        <f>VLOOKUP(C423,'Talente &amp; Stuff'!FU:GV,28,FALSE)</f>
        <v>0</v>
      </c>
      <c r="AE423" s="28"/>
    </row>
    <row r="424" spans="2:31" ht="15" hidden="1" customHeight="1" outlineLevel="1" collapsed="1">
      <c r="B424" s="134" t="s">
        <v>323</v>
      </c>
      <c r="C424" s="83"/>
      <c r="D424" s="84"/>
      <c r="E424" s="84"/>
    </row>
    <row r="425" spans="2:31" ht="15" hidden="1" customHeight="1" outlineLevel="2">
      <c r="B425" s="148">
        <v>1</v>
      </c>
      <c r="C425" s="176" t="str">
        <f>Attribute!C425</f>
        <v>---</v>
      </c>
      <c r="D425" s="158" t="str">
        <f>VLOOKUP(C425,'Talente &amp; Stuff'!FU:GV,2,FALSE)</f>
        <v>--/--/--</v>
      </c>
      <c r="E425" s="116" t="str">
        <f>VLOOKUP(C425,'Talente &amp; Stuff'!FU:GV,3,FALSE)</f>
        <v>-</v>
      </c>
      <c r="F425" s="191">
        <f>VLOOKUP(C425,'Talente &amp; Stuff'!FU:GV,4,FALSE)</f>
        <v>0</v>
      </c>
      <c r="G425" s="118">
        <f>VLOOKUP(C425,'Talente &amp; Stuff'!FU:GV,5,FALSE)</f>
        <v>0</v>
      </c>
      <c r="H425" s="118">
        <f>VLOOKUP(C425,'Talente &amp; Stuff'!FU:GV,6,FALSE)</f>
        <v>0</v>
      </c>
      <c r="I425" s="118">
        <f>VLOOKUP(C425,'Talente &amp; Stuff'!FU:GV,7,FALSE)</f>
        <v>0</v>
      </c>
      <c r="J425" s="118">
        <f>VLOOKUP(C425,'Talente &amp; Stuff'!FU:GV,8,FALSE)</f>
        <v>0</v>
      </c>
      <c r="K425" s="118">
        <f>VLOOKUP(C425,'Talente &amp; Stuff'!FU:GV,9,FALSE)</f>
        <v>0</v>
      </c>
      <c r="L425" s="118">
        <f>VLOOKUP(C425,'Talente &amp; Stuff'!FU:GV,10,FALSE)</f>
        <v>0</v>
      </c>
      <c r="M425" s="92">
        <f>VLOOKUP(C425,'Talente &amp; Stuff'!FU:GV,11,FALSE)</f>
        <v>0</v>
      </c>
      <c r="N425" s="116">
        <f>VLOOKUP(C425,'Talente &amp; Stuff'!FU:GV,12,FALSE)</f>
        <v>0</v>
      </c>
      <c r="O425" s="116">
        <f>VLOOKUP(C425,'Talente &amp; Stuff'!FU:GV,13,FALSE)</f>
        <v>0</v>
      </c>
      <c r="P425" s="118">
        <f>VLOOKUP(C425,'Talente &amp; Stuff'!FU:GV,14,FALSE)</f>
        <v>0</v>
      </c>
      <c r="Q425" s="191">
        <f>VLOOKUP(C425,'Talente &amp; Stuff'!FU:GV,15,FALSE)</f>
        <v>0</v>
      </c>
      <c r="R425" s="118">
        <f>VLOOKUP(C425,'Talente &amp; Stuff'!FU:GV,16,FALSE)</f>
        <v>0</v>
      </c>
      <c r="S425" s="92">
        <f>VLOOKUP(C425,'Talente &amp; Stuff'!FU:GV,17,FALSE)</f>
        <v>0</v>
      </c>
      <c r="T425" s="91">
        <f>VLOOKUP(C425,'Talente &amp; Stuff'!FU:GV,18,FALSE)</f>
        <v>0</v>
      </c>
      <c r="U425" s="193">
        <f>VLOOKUP(C425,'Talente &amp; Stuff'!FU:GV,19,FALSE)</f>
        <v>0</v>
      </c>
      <c r="V425" s="116">
        <f>VLOOKUP(C425,'Talente &amp; Stuff'!FU:GV,20,FALSE)</f>
        <v>0</v>
      </c>
      <c r="W425" s="126">
        <f>VLOOKUP(C425,'Talente &amp; Stuff'!FU:GV,21,FALSE)</f>
        <v>0</v>
      </c>
      <c r="X425" s="126">
        <f>VLOOKUP(C425,'Talente &amp; Stuff'!FU:GV,22,FALSE)</f>
        <v>0</v>
      </c>
      <c r="Y425" s="165">
        <f t="shared" ref="Y425:Y432" si="34">VLOOKUP(C425,Ausgewählte_Liturgien_Phex,197,FALSE)</f>
        <v>0</v>
      </c>
      <c r="Z425" s="44">
        <f t="shared" ref="Z425:Z432" si="35">VLOOKUP(C425,Ausgewählte_Liturgien_Phex,198,FALSE)</f>
        <v>0</v>
      </c>
      <c r="AA425" s="158">
        <f>VLOOKUP(C425,'Talente &amp; Stuff'!FU:GV,25,FALSE)</f>
        <v>0</v>
      </c>
      <c r="AB425" s="91">
        <f>VLOOKUP(C425,'Talente &amp; Stuff'!FU:GV,26,FALSE)</f>
        <v>0</v>
      </c>
      <c r="AC425" s="126">
        <f>VLOOKUP(C425,'Talente &amp; Stuff'!FU:GV,27,FALSE)</f>
        <v>0</v>
      </c>
      <c r="AD425" s="158">
        <f>VLOOKUP(C425,'Talente &amp; Stuff'!FU:GV,28,FALSE)</f>
        <v>0</v>
      </c>
      <c r="AE425" s="28"/>
    </row>
    <row r="426" spans="2:31" ht="15" hidden="1" customHeight="1" outlineLevel="2">
      <c r="B426" s="148">
        <v>2</v>
      </c>
      <c r="C426" s="177" t="str">
        <f>Attribute!C426</f>
        <v>---</v>
      </c>
      <c r="D426" s="125" t="str">
        <f>VLOOKUP(C426,'Talente &amp; Stuff'!FU:GV,2,FALSE)</f>
        <v>--/--/--</v>
      </c>
      <c r="E426" s="47" t="str">
        <f>VLOOKUP(C426,'Talente &amp; Stuff'!FU:GV,3,FALSE)</f>
        <v>-</v>
      </c>
      <c r="F426" s="114">
        <f>VLOOKUP(C426,'Talente &amp; Stuff'!FU:GV,4,FALSE)</f>
        <v>0</v>
      </c>
      <c r="G426" s="113">
        <f>VLOOKUP(C426,'Talente &amp; Stuff'!FU:GV,5,FALSE)</f>
        <v>0</v>
      </c>
      <c r="H426" s="113">
        <f>VLOOKUP(C426,'Talente &amp; Stuff'!FU:GV,6,FALSE)</f>
        <v>0</v>
      </c>
      <c r="I426" s="113">
        <f>VLOOKUP(C426,'Talente &amp; Stuff'!FU:GV,7,FALSE)</f>
        <v>0</v>
      </c>
      <c r="J426" s="113">
        <f>VLOOKUP(C426,'Talente &amp; Stuff'!FU:GV,8,FALSE)</f>
        <v>0</v>
      </c>
      <c r="K426" s="113">
        <f>VLOOKUP(C426,'Talente &amp; Stuff'!FU:GV,9,FALSE)</f>
        <v>0</v>
      </c>
      <c r="L426" s="113">
        <f>VLOOKUP(C426,'Talente &amp; Stuff'!FU:GV,10,FALSE)</f>
        <v>0</v>
      </c>
      <c r="M426" s="119">
        <f>VLOOKUP(C426,'Talente &amp; Stuff'!FU:GV,11,FALSE)</f>
        <v>0</v>
      </c>
      <c r="N426" s="47">
        <f>VLOOKUP(C426,'Talente &amp; Stuff'!FU:GV,12,FALSE)</f>
        <v>0</v>
      </c>
      <c r="O426" s="47">
        <f>VLOOKUP(C426,'Talente &amp; Stuff'!FU:GV,13,FALSE)</f>
        <v>0</v>
      </c>
      <c r="P426" s="113">
        <f>VLOOKUP(C426,'Talente &amp; Stuff'!FU:GV,14,FALSE)</f>
        <v>0</v>
      </c>
      <c r="Q426" s="114">
        <f>VLOOKUP(C426,'Talente &amp; Stuff'!FU:GV,15,FALSE)</f>
        <v>0</v>
      </c>
      <c r="R426" s="113">
        <f>VLOOKUP(C426,'Talente &amp; Stuff'!FU:GV,16,FALSE)</f>
        <v>0</v>
      </c>
      <c r="S426" s="119">
        <f>VLOOKUP(C426,'Talente &amp; Stuff'!FU:GV,17,FALSE)</f>
        <v>0</v>
      </c>
      <c r="T426" s="160">
        <f>VLOOKUP(C426,'Talente &amp; Stuff'!FU:GV,18,FALSE)</f>
        <v>0</v>
      </c>
      <c r="U426" s="89">
        <f>VLOOKUP(C426,'Talente &amp; Stuff'!FU:GV,19,FALSE)</f>
        <v>0</v>
      </c>
      <c r="V426" s="47">
        <f>VLOOKUP(C426,'Talente &amp; Stuff'!FU:GV,20,FALSE)</f>
        <v>0</v>
      </c>
      <c r="W426" s="127">
        <f>VLOOKUP(C426,'Talente &amp; Stuff'!FU:GV,21,FALSE)</f>
        <v>0</v>
      </c>
      <c r="X426" s="127">
        <f>VLOOKUP(C426,'Talente &amp; Stuff'!FU:GV,22,FALSE)</f>
        <v>0</v>
      </c>
      <c r="Y426" s="165">
        <f t="shared" si="34"/>
        <v>0</v>
      </c>
      <c r="Z426" s="44">
        <f t="shared" si="35"/>
        <v>0</v>
      </c>
      <c r="AA426" s="125">
        <f>VLOOKUP(C426,'Talente &amp; Stuff'!FU:GV,25,FALSE)</f>
        <v>0</v>
      </c>
      <c r="AB426" s="160">
        <f>VLOOKUP(C426,'Talente &amp; Stuff'!FU:GV,26,FALSE)</f>
        <v>0</v>
      </c>
      <c r="AC426" s="127">
        <f>VLOOKUP(C426,'Talente &amp; Stuff'!FU:GV,27,FALSE)</f>
        <v>0</v>
      </c>
      <c r="AD426" s="125">
        <f>VLOOKUP(C426,'Talente &amp; Stuff'!FU:GV,28,FALSE)</f>
        <v>0</v>
      </c>
      <c r="AE426" s="28"/>
    </row>
    <row r="427" spans="2:31" ht="15" hidden="1" customHeight="1" outlineLevel="2">
      <c r="B427" s="148">
        <v>3</v>
      </c>
      <c r="C427" s="177" t="str">
        <f>Attribute!C427</f>
        <v>---</v>
      </c>
      <c r="D427" s="125" t="str">
        <f>VLOOKUP(C427,'Talente &amp; Stuff'!FU:GV,2,FALSE)</f>
        <v>--/--/--</v>
      </c>
      <c r="E427" s="47" t="str">
        <f>VLOOKUP(C427,'Talente &amp; Stuff'!FU:GV,3,FALSE)</f>
        <v>-</v>
      </c>
      <c r="F427" s="114">
        <f>VLOOKUP(C427,'Talente &amp; Stuff'!FU:GV,4,FALSE)</f>
        <v>0</v>
      </c>
      <c r="G427" s="113">
        <f>VLOOKUP(C427,'Talente &amp; Stuff'!FU:GV,5,FALSE)</f>
        <v>0</v>
      </c>
      <c r="H427" s="113">
        <f>VLOOKUP(C427,'Talente &amp; Stuff'!FU:GV,6,FALSE)</f>
        <v>0</v>
      </c>
      <c r="I427" s="113">
        <f>VLOOKUP(C427,'Talente &amp; Stuff'!FU:GV,7,FALSE)</f>
        <v>0</v>
      </c>
      <c r="J427" s="113">
        <f>VLOOKUP(C427,'Talente &amp; Stuff'!FU:GV,8,FALSE)</f>
        <v>0</v>
      </c>
      <c r="K427" s="113">
        <f>VLOOKUP(C427,'Talente &amp; Stuff'!FU:GV,9,FALSE)</f>
        <v>0</v>
      </c>
      <c r="L427" s="113">
        <f>VLOOKUP(C427,'Talente &amp; Stuff'!FU:GV,10,FALSE)</f>
        <v>0</v>
      </c>
      <c r="M427" s="119">
        <f>VLOOKUP(C427,'Talente &amp; Stuff'!FU:GV,11,FALSE)</f>
        <v>0</v>
      </c>
      <c r="N427" s="47">
        <f>VLOOKUP(C427,'Talente &amp; Stuff'!FU:GV,12,FALSE)</f>
        <v>0</v>
      </c>
      <c r="O427" s="47">
        <f>VLOOKUP(C427,'Talente &amp; Stuff'!FU:GV,13,FALSE)</f>
        <v>0</v>
      </c>
      <c r="P427" s="113">
        <f>VLOOKUP(C427,'Talente &amp; Stuff'!FU:GV,14,FALSE)</f>
        <v>0</v>
      </c>
      <c r="Q427" s="114">
        <f>VLOOKUP(C427,'Talente &amp; Stuff'!FU:GV,15,FALSE)</f>
        <v>0</v>
      </c>
      <c r="R427" s="113">
        <f>VLOOKUP(C427,'Talente &amp; Stuff'!FU:GV,16,FALSE)</f>
        <v>0</v>
      </c>
      <c r="S427" s="119">
        <f>VLOOKUP(C427,'Talente &amp; Stuff'!FU:GV,17,FALSE)</f>
        <v>0</v>
      </c>
      <c r="T427" s="160">
        <f>VLOOKUP(C427,'Talente &amp; Stuff'!FU:GV,18,FALSE)</f>
        <v>0</v>
      </c>
      <c r="U427" s="89">
        <f>VLOOKUP(C427,'Talente &amp; Stuff'!FU:GV,19,FALSE)</f>
        <v>0</v>
      </c>
      <c r="V427" s="47">
        <f>VLOOKUP(C427,'Talente &amp; Stuff'!FU:GV,20,FALSE)</f>
        <v>0</v>
      </c>
      <c r="W427" s="127">
        <f>VLOOKUP(C427,'Talente &amp; Stuff'!FU:GV,21,FALSE)</f>
        <v>0</v>
      </c>
      <c r="X427" s="127">
        <f>VLOOKUP(C427,'Talente &amp; Stuff'!FU:GV,22,FALSE)</f>
        <v>0</v>
      </c>
      <c r="Y427" s="165">
        <f t="shared" si="34"/>
        <v>0</v>
      </c>
      <c r="Z427" s="44">
        <f t="shared" si="35"/>
        <v>0</v>
      </c>
      <c r="AA427" s="125">
        <f>VLOOKUP(C427,'Talente &amp; Stuff'!FU:GV,25,FALSE)</f>
        <v>0</v>
      </c>
      <c r="AB427" s="160">
        <f>VLOOKUP(C427,'Talente &amp; Stuff'!FU:GV,26,FALSE)</f>
        <v>0</v>
      </c>
      <c r="AC427" s="127">
        <f>VLOOKUP(C427,'Talente &amp; Stuff'!FU:GV,27,FALSE)</f>
        <v>0</v>
      </c>
      <c r="AD427" s="125">
        <f>VLOOKUP(C427,'Talente &amp; Stuff'!FU:GV,28,FALSE)</f>
        <v>0</v>
      </c>
      <c r="AE427" s="28"/>
    </row>
    <row r="428" spans="2:31" ht="15" hidden="1" customHeight="1" outlineLevel="2">
      <c r="B428" s="148">
        <v>4</v>
      </c>
      <c r="C428" s="177" t="str">
        <f>Attribute!C428</f>
        <v>---</v>
      </c>
      <c r="D428" s="125" t="str">
        <f>VLOOKUP(C428,'Talente &amp; Stuff'!FU:GV,2,FALSE)</f>
        <v>--/--/--</v>
      </c>
      <c r="E428" s="47" t="str">
        <f>VLOOKUP(C428,'Talente &amp; Stuff'!FU:GV,3,FALSE)</f>
        <v>-</v>
      </c>
      <c r="F428" s="114">
        <f>VLOOKUP(C428,'Talente &amp; Stuff'!FU:GV,4,FALSE)</f>
        <v>0</v>
      </c>
      <c r="G428" s="113">
        <f>VLOOKUP(C428,'Talente &amp; Stuff'!FU:GV,5,FALSE)</f>
        <v>0</v>
      </c>
      <c r="H428" s="113">
        <f>VLOOKUP(C428,'Talente &amp; Stuff'!FU:GV,6,FALSE)</f>
        <v>0</v>
      </c>
      <c r="I428" s="113">
        <f>VLOOKUP(C428,'Talente &amp; Stuff'!FU:GV,7,FALSE)</f>
        <v>0</v>
      </c>
      <c r="J428" s="113">
        <f>VLOOKUP(C428,'Talente &amp; Stuff'!FU:GV,8,FALSE)</f>
        <v>0</v>
      </c>
      <c r="K428" s="113">
        <f>VLOOKUP(C428,'Talente &amp; Stuff'!FU:GV,9,FALSE)</f>
        <v>0</v>
      </c>
      <c r="L428" s="113">
        <f>VLOOKUP(C428,'Talente &amp; Stuff'!FU:GV,10,FALSE)</f>
        <v>0</v>
      </c>
      <c r="M428" s="119">
        <f>VLOOKUP(C428,'Talente &amp; Stuff'!FU:GV,11,FALSE)</f>
        <v>0</v>
      </c>
      <c r="N428" s="47">
        <f>VLOOKUP(C428,'Talente &amp; Stuff'!FU:GV,12,FALSE)</f>
        <v>0</v>
      </c>
      <c r="O428" s="47">
        <f>VLOOKUP(C428,'Talente &amp; Stuff'!FU:GV,13,FALSE)</f>
        <v>0</v>
      </c>
      <c r="P428" s="113">
        <f>VLOOKUP(C428,'Talente &amp; Stuff'!FU:GV,14,FALSE)</f>
        <v>0</v>
      </c>
      <c r="Q428" s="114">
        <f>VLOOKUP(C428,'Talente &amp; Stuff'!FU:GV,15,FALSE)</f>
        <v>0</v>
      </c>
      <c r="R428" s="113">
        <f>VLOOKUP(C428,'Talente &amp; Stuff'!FU:GV,16,FALSE)</f>
        <v>0</v>
      </c>
      <c r="S428" s="119">
        <f>VLOOKUP(C428,'Talente &amp; Stuff'!FU:GV,17,FALSE)</f>
        <v>0</v>
      </c>
      <c r="T428" s="160">
        <f>VLOOKUP(C428,'Talente &amp; Stuff'!FU:GV,18,FALSE)</f>
        <v>0</v>
      </c>
      <c r="U428" s="89">
        <f>VLOOKUP(C428,'Talente &amp; Stuff'!FU:GV,19,FALSE)</f>
        <v>0</v>
      </c>
      <c r="V428" s="47">
        <f>VLOOKUP(C428,'Talente &amp; Stuff'!FU:GV,20,FALSE)</f>
        <v>0</v>
      </c>
      <c r="W428" s="127">
        <f>VLOOKUP(C428,'Talente &amp; Stuff'!FU:GV,21,FALSE)</f>
        <v>0</v>
      </c>
      <c r="X428" s="127">
        <f>VLOOKUP(C428,'Talente &amp; Stuff'!FU:GV,22,FALSE)</f>
        <v>0</v>
      </c>
      <c r="Y428" s="165">
        <f t="shared" si="34"/>
        <v>0</v>
      </c>
      <c r="Z428" s="44">
        <f t="shared" si="35"/>
        <v>0</v>
      </c>
      <c r="AA428" s="125">
        <f>VLOOKUP(C428,'Talente &amp; Stuff'!FU:GV,25,FALSE)</f>
        <v>0</v>
      </c>
      <c r="AB428" s="160">
        <f>VLOOKUP(C428,'Talente &amp; Stuff'!FU:GV,26,FALSE)</f>
        <v>0</v>
      </c>
      <c r="AC428" s="127">
        <f>VLOOKUP(C428,'Talente &amp; Stuff'!FU:GV,27,FALSE)</f>
        <v>0</v>
      </c>
      <c r="AD428" s="125">
        <f>VLOOKUP(C428,'Talente &amp; Stuff'!FU:GV,28,FALSE)</f>
        <v>0</v>
      </c>
      <c r="AE428" s="28"/>
    </row>
    <row r="429" spans="2:31" ht="15" hidden="1" customHeight="1" outlineLevel="2">
      <c r="B429" s="148">
        <v>5</v>
      </c>
      <c r="C429" s="177" t="str">
        <f>Attribute!C429</f>
        <v>---</v>
      </c>
      <c r="D429" s="125" t="str">
        <f>VLOOKUP(C429,'Talente &amp; Stuff'!FU:GV,2,FALSE)</f>
        <v>--/--/--</v>
      </c>
      <c r="E429" s="47" t="str">
        <f>VLOOKUP(C429,'Talente &amp; Stuff'!FU:GV,3,FALSE)</f>
        <v>-</v>
      </c>
      <c r="F429" s="114">
        <f>VLOOKUP(C429,'Talente &amp; Stuff'!FU:GV,4,FALSE)</f>
        <v>0</v>
      </c>
      <c r="G429" s="113">
        <f>VLOOKUP(C429,'Talente &amp; Stuff'!FU:GV,5,FALSE)</f>
        <v>0</v>
      </c>
      <c r="H429" s="113">
        <f>VLOOKUP(C429,'Talente &amp; Stuff'!FU:GV,6,FALSE)</f>
        <v>0</v>
      </c>
      <c r="I429" s="113">
        <f>VLOOKUP(C429,'Talente &amp; Stuff'!FU:GV,7,FALSE)</f>
        <v>0</v>
      </c>
      <c r="J429" s="113">
        <f>VLOOKUP(C429,'Talente &amp; Stuff'!FU:GV,8,FALSE)</f>
        <v>0</v>
      </c>
      <c r="K429" s="113">
        <f>VLOOKUP(C429,'Talente &amp; Stuff'!FU:GV,9,FALSE)</f>
        <v>0</v>
      </c>
      <c r="L429" s="113">
        <f>VLOOKUP(C429,'Talente &amp; Stuff'!FU:GV,10,FALSE)</f>
        <v>0</v>
      </c>
      <c r="M429" s="119">
        <f>VLOOKUP(C429,'Talente &amp; Stuff'!FU:GV,11,FALSE)</f>
        <v>0</v>
      </c>
      <c r="N429" s="47">
        <f>VLOOKUP(C429,'Talente &amp; Stuff'!FU:GV,12,FALSE)</f>
        <v>0</v>
      </c>
      <c r="O429" s="47">
        <f>VLOOKUP(C429,'Talente &amp; Stuff'!FU:GV,13,FALSE)</f>
        <v>0</v>
      </c>
      <c r="P429" s="113">
        <f>VLOOKUP(C429,'Talente &amp; Stuff'!FU:GV,14,FALSE)</f>
        <v>0</v>
      </c>
      <c r="Q429" s="114">
        <f>VLOOKUP(C429,'Talente &amp; Stuff'!FU:GV,15,FALSE)</f>
        <v>0</v>
      </c>
      <c r="R429" s="113">
        <f>VLOOKUP(C429,'Talente &amp; Stuff'!FU:GV,16,FALSE)</f>
        <v>0</v>
      </c>
      <c r="S429" s="119">
        <f>VLOOKUP(C429,'Talente &amp; Stuff'!FU:GV,17,FALSE)</f>
        <v>0</v>
      </c>
      <c r="T429" s="160">
        <f>VLOOKUP(C429,'Talente &amp; Stuff'!FU:GV,18,FALSE)</f>
        <v>0</v>
      </c>
      <c r="U429" s="89">
        <f>VLOOKUP(C429,'Talente &amp; Stuff'!FU:GV,19,FALSE)</f>
        <v>0</v>
      </c>
      <c r="V429" s="47">
        <f>VLOOKUP(C429,'Talente &amp; Stuff'!FU:GV,20,FALSE)</f>
        <v>0</v>
      </c>
      <c r="W429" s="127">
        <f>VLOOKUP(C429,'Talente &amp; Stuff'!FU:GV,21,FALSE)</f>
        <v>0</v>
      </c>
      <c r="X429" s="127">
        <f>VLOOKUP(C429,'Talente &amp; Stuff'!FU:GV,22,FALSE)</f>
        <v>0</v>
      </c>
      <c r="Y429" s="165">
        <f t="shared" si="34"/>
        <v>0</v>
      </c>
      <c r="Z429" s="44">
        <f t="shared" si="35"/>
        <v>0</v>
      </c>
      <c r="AA429" s="125">
        <f>VLOOKUP(C429,'Talente &amp; Stuff'!FU:GV,25,FALSE)</f>
        <v>0</v>
      </c>
      <c r="AB429" s="160">
        <f>VLOOKUP(C429,'Talente &amp; Stuff'!FU:GV,26,FALSE)</f>
        <v>0</v>
      </c>
      <c r="AC429" s="127">
        <f>VLOOKUP(C429,'Talente &amp; Stuff'!FU:GV,27,FALSE)</f>
        <v>0</v>
      </c>
      <c r="AD429" s="125">
        <f>VLOOKUP(C429,'Talente &amp; Stuff'!FU:GV,28,FALSE)</f>
        <v>0</v>
      </c>
      <c r="AE429" s="28"/>
    </row>
    <row r="430" spans="2:31" ht="15" hidden="1" customHeight="1" outlineLevel="2">
      <c r="B430" s="148">
        <v>6</v>
      </c>
      <c r="C430" s="177" t="str">
        <f>Attribute!C430</f>
        <v>---</v>
      </c>
      <c r="D430" s="125" t="str">
        <f>VLOOKUP(C430,'Talente &amp; Stuff'!FU:GV,2,FALSE)</f>
        <v>--/--/--</v>
      </c>
      <c r="E430" s="47" t="str">
        <f>VLOOKUP(C430,'Talente &amp; Stuff'!FU:GV,3,FALSE)</f>
        <v>-</v>
      </c>
      <c r="F430" s="114">
        <f>VLOOKUP(C430,'Talente &amp; Stuff'!FU:GV,4,FALSE)</f>
        <v>0</v>
      </c>
      <c r="G430" s="113">
        <f>VLOOKUP(C430,'Talente &amp; Stuff'!FU:GV,5,FALSE)</f>
        <v>0</v>
      </c>
      <c r="H430" s="113">
        <f>VLOOKUP(C430,'Talente &amp; Stuff'!FU:GV,6,FALSE)</f>
        <v>0</v>
      </c>
      <c r="I430" s="113">
        <f>VLOOKUP(C430,'Talente &amp; Stuff'!FU:GV,7,FALSE)</f>
        <v>0</v>
      </c>
      <c r="J430" s="113">
        <f>VLOOKUP(C430,'Talente &amp; Stuff'!FU:GV,8,FALSE)</f>
        <v>0</v>
      </c>
      <c r="K430" s="113">
        <f>VLOOKUP(C430,'Talente &amp; Stuff'!FU:GV,9,FALSE)</f>
        <v>0</v>
      </c>
      <c r="L430" s="113">
        <f>VLOOKUP(C430,'Talente &amp; Stuff'!FU:GV,10,FALSE)</f>
        <v>0</v>
      </c>
      <c r="M430" s="119">
        <f>VLOOKUP(C430,'Talente &amp; Stuff'!FU:GV,11,FALSE)</f>
        <v>0</v>
      </c>
      <c r="N430" s="47">
        <f>VLOOKUP(C430,'Talente &amp; Stuff'!FU:GV,12,FALSE)</f>
        <v>0</v>
      </c>
      <c r="O430" s="47">
        <f>VLOOKUP(C430,'Talente &amp; Stuff'!FU:GV,13,FALSE)</f>
        <v>0</v>
      </c>
      <c r="P430" s="113">
        <f>VLOOKUP(C430,'Talente &amp; Stuff'!FU:GV,14,FALSE)</f>
        <v>0</v>
      </c>
      <c r="Q430" s="114">
        <f>VLOOKUP(C430,'Talente &amp; Stuff'!FU:GV,15,FALSE)</f>
        <v>0</v>
      </c>
      <c r="R430" s="113">
        <f>VLOOKUP(C430,'Talente &amp; Stuff'!FU:GV,16,FALSE)</f>
        <v>0</v>
      </c>
      <c r="S430" s="119">
        <f>VLOOKUP(C430,'Talente &amp; Stuff'!FU:GV,17,FALSE)</f>
        <v>0</v>
      </c>
      <c r="T430" s="160">
        <f>VLOOKUP(C430,'Talente &amp; Stuff'!FU:GV,18,FALSE)</f>
        <v>0</v>
      </c>
      <c r="U430" s="89">
        <f>VLOOKUP(C430,'Talente &amp; Stuff'!FU:GV,19,FALSE)</f>
        <v>0</v>
      </c>
      <c r="V430" s="47">
        <f>VLOOKUP(C430,'Talente &amp; Stuff'!FU:GV,20,FALSE)</f>
        <v>0</v>
      </c>
      <c r="W430" s="127">
        <f>VLOOKUP(C430,'Talente &amp; Stuff'!FU:GV,21,FALSE)</f>
        <v>0</v>
      </c>
      <c r="X430" s="127">
        <f>VLOOKUP(C430,'Talente &amp; Stuff'!FU:GV,22,FALSE)</f>
        <v>0</v>
      </c>
      <c r="Y430" s="165">
        <f t="shared" si="34"/>
        <v>0</v>
      </c>
      <c r="Z430" s="44">
        <f t="shared" si="35"/>
        <v>0</v>
      </c>
      <c r="AA430" s="125">
        <f>VLOOKUP(C430,'Talente &amp; Stuff'!FU:GV,25,FALSE)</f>
        <v>0</v>
      </c>
      <c r="AB430" s="160">
        <f>VLOOKUP(C430,'Talente &amp; Stuff'!FU:GV,26,FALSE)</f>
        <v>0</v>
      </c>
      <c r="AC430" s="127">
        <f>VLOOKUP(C430,'Talente &amp; Stuff'!FU:GV,27,FALSE)</f>
        <v>0</v>
      </c>
      <c r="AD430" s="125">
        <f>VLOOKUP(C430,'Talente &amp; Stuff'!FU:GV,28,FALSE)</f>
        <v>0</v>
      </c>
      <c r="AE430" s="28"/>
    </row>
    <row r="431" spans="2:31" ht="15" hidden="1" customHeight="1" outlineLevel="2">
      <c r="B431" s="148">
        <v>7</v>
      </c>
      <c r="C431" s="177" t="str">
        <f>Attribute!C431</f>
        <v>---</v>
      </c>
      <c r="D431" s="125" t="str">
        <f>VLOOKUP(C431,'Talente &amp; Stuff'!FU:GV,2,FALSE)</f>
        <v>--/--/--</v>
      </c>
      <c r="E431" s="47" t="str">
        <f>VLOOKUP(C431,'Talente &amp; Stuff'!FU:GV,3,FALSE)</f>
        <v>-</v>
      </c>
      <c r="F431" s="114">
        <f>VLOOKUP(C431,'Talente &amp; Stuff'!FU:GV,4,FALSE)</f>
        <v>0</v>
      </c>
      <c r="G431" s="113">
        <f>VLOOKUP(C431,'Talente &amp; Stuff'!FU:GV,5,FALSE)</f>
        <v>0</v>
      </c>
      <c r="H431" s="113">
        <f>VLOOKUP(C431,'Talente &amp; Stuff'!FU:GV,6,FALSE)</f>
        <v>0</v>
      </c>
      <c r="I431" s="113">
        <f>VLOOKUP(C431,'Talente &amp; Stuff'!FU:GV,7,FALSE)</f>
        <v>0</v>
      </c>
      <c r="J431" s="113">
        <f>VLOOKUP(C431,'Talente &amp; Stuff'!FU:GV,8,FALSE)</f>
        <v>0</v>
      </c>
      <c r="K431" s="113">
        <f>VLOOKUP(C431,'Talente &amp; Stuff'!FU:GV,9,FALSE)</f>
        <v>0</v>
      </c>
      <c r="L431" s="113">
        <f>VLOOKUP(C431,'Talente &amp; Stuff'!FU:GV,10,FALSE)</f>
        <v>0</v>
      </c>
      <c r="M431" s="119">
        <f>VLOOKUP(C431,'Talente &amp; Stuff'!FU:GV,11,FALSE)</f>
        <v>0</v>
      </c>
      <c r="N431" s="47">
        <f>VLOOKUP(C431,'Talente &amp; Stuff'!FU:GV,12,FALSE)</f>
        <v>0</v>
      </c>
      <c r="O431" s="47">
        <f>VLOOKUP(C431,'Talente &amp; Stuff'!FU:GV,13,FALSE)</f>
        <v>0</v>
      </c>
      <c r="P431" s="113">
        <f>VLOOKUP(C431,'Talente &amp; Stuff'!FU:GV,14,FALSE)</f>
        <v>0</v>
      </c>
      <c r="Q431" s="114">
        <f>VLOOKUP(C431,'Talente &amp; Stuff'!FU:GV,15,FALSE)</f>
        <v>0</v>
      </c>
      <c r="R431" s="113">
        <f>VLOOKUP(C431,'Talente &amp; Stuff'!FU:GV,16,FALSE)</f>
        <v>0</v>
      </c>
      <c r="S431" s="119">
        <f>VLOOKUP(C431,'Talente &amp; Stuff'!FU:GV,17,FALSE)</f>
        <v>0</v>
      </c>
      <c r="T431" s="160">
        <f>VLOOKUP(C431,'Talente &amp; Stuff'!FU:GV,18,FALSE)</f>
        <v>0</v>
      </c>
      <c r="U431" s="89">
        <f>VLOOKUP(C431,'Talente &amp; Stuff'!FU:GV,19,FALSE)</f>
        <v>0</v>
      </c>
      <c r="V431" s="47">
        <f>VLOOKUP(C431,'Talente &amp; Stuff'!FU:GV,20,FALSE)</f>
        <v>0</v>
      </c>
      <c r="W431" s="127">
        <f>VLOOKUP(C431,'Talente &amp; Stuff'!FU:GV,21,FALSE)</f>
        <v>0</v>
      </c>
      <c r="X431" s="127">
        <f>VLOOKUP(C431,'Talente &amp; Stuff'!FU:GV,22,FALSE)</f>
        <v>0</v>
      </c>
      <c r="Y431" s="165">
        <f t="shared" si="34"/>
        <v>0</v>
      </c>
      <c r="Z431" s="44">
        <f t="shared" si="35"/>
        <v>0</v>
      </c>
      <c r="AA431" s="125">
        <f>VLOOKUP(C431,'Talente &amp; Stuff'!FU:GV,25,FALSE)</f>
        <v>0</v>
      </c>
      <c r="AB431" s="160">
        <f>VLOOKUP(C431,'Talente &amp; Stuff'!FU:GV,26,FALSE)</f>
        <v>0</v>
      </c>
      <c r="AC431" s="127">
        <f>VLOOKUP(C431,'Talente &amp; Stuff'!FU:GV,27,FALSE)</f>
        <v>0</v>
      </c>
      <c r="AD431" s="125">
        <f>VLOOKUP(C431,'Talente &amp; Stuff'!FU:GV,28,FALSE)</f>
        <v>0</v>
      </c>
      <c r="AE431" s="28"/>
    </row>
    <row r="432" spans="2:31" ht="15" hidden="1" customHeight="1" outlineLevel="2">
      <c r="B432" s="148">
        <v>8</v>
      </c>
      <c r="C432" s="178" t="str">
        <f>Attribute!C432</f>
        <v>---</v>
      </c>
      <c r="D432" s="159" t="str">
        <f>VLOOKUP(C432,'Talente &amp; Stuff'!FU:GV,2,FALSE)</f>
        <v>--/--/--</v>
      </c>
      <c r="E432" s="88" t="str">
        <f>VLOOKUP(C432,'Talente &amp; Stuff'!FU:GV,3,FALSE)</f>
        <v>-</v>
      </c>
      <c r="F432" s="115">
        <f>VLOOKUP(C432,'Talente &amp; Stuff'!FU:GV,4,FALSE)</f>
        <v>0</v>
      </c>
      <c r="G432" s="122">
        <f>VLOOKUP(C432,'Talente &amp; Stuff'!FU:GV,5,FALSE)</f>
        <v>0</v>
      </c>
      <c r="H432" s="122">
        <f>VLOOKUP(C432,'Talente &amp; Stuff'!FU:GV,6,FALSE)</f>
        <v>0</v>
      </c>
      <c r="I432" s="122">
        <f>VLOOKUP(C432,'Talente &amp; Stuff'!FU:GV,7,FALSE)</f>
        <v>0</v>
      </c>
      <c r="J432" s="122">
        <f>VLOOKUP(C432,'Talente &amp; Stuff'!FU:GV,8,FALSE)</f>
        <v>0</v>
      </c>
      <c r="K432" s="122">
        <f>VLOOKUP(C432,'Talente &amp; Stuff'!FU:GV,9,FALSE)</f>
        <v>0</v>
      </c>
      <c r="L432" s="122">
        <f>VLOOKUP(C432,'Talente &amp; Stuff'!FU:GV,10,FALSE)</f>
        <v>0</v>
      </c>
      <c r="M432" s="123">
        <f>VLOOKUP(C432,'Talente &amp; Stuff'!FU:GV,11,FALSE)</f>
        <v>0</v>
      </c>
      <c r="N432" s="88">
        <f>VLOOKUP(C432,'Talente &amp; Stuff'!FU:GV,12,FALSE)</f>
        <v>0</v>
      </c>
      <c r="O432" s="88">
        <f>VLOOKUP(C432,'Talente &amp; Stuff'!FU:GV,13,FALSE)</f>
        <v>0</v>
      </c>
      <c r="P432" s="122">
        <f>VLOOKUP(C432,'Talente &amp; Stuff'!FU:GV,14,FALSE)</f>
        <v>0</v>
      </c>
      <c r="Q432" s="115">
        <f>VLOOKUP(C432,'Talente &amp; Stuff'!FU:GV,15,FALSE)</f>
        <v>0</v>
      </c>
      <c r="R432" s="122">
        <f>VLOOKUP(C432,'Talente &amp; Stuff'!FU:GV,16,FALSE)</f>
        <v>0</v>
      </c>
      <c r="S432" s="123">
        <f>VLOOKUP(C432,'Talente &amp; Stuff'!FU:GV,17,FALSE)</f>
        <v>0</v>
      </c>
      <c r="T432" s="161">
        <f>VLOOKUP(C432,'Talente &amp; Stuff'!FU:GV,18,FALSE)</f>
        <v>0</v>
      </c>
      <c r="U432" s="90">
        <f>VLOOKUP(C432,'Talente &amp; Stuff'!FU:GV,19,FALSE)</f>
        <v>0</v>
      </c>
      <c r="V432" s="88">
        <f>VLOOKUP(C432,'Talente &amp; Stuff'!FU:GV,20,FALSE)</f>
        <v>0</v>
      </c>
      <c r="W432" s="128">
        <f>VLOOKUP(C432,'Talente &amp; Stuff'!FU:GV,21,FALSE)</f>
        <v>0</v>
      </c>
      <c r="X432" s="128">
        <f>VLOOKUP(C432,'Talente &amp; Stuff'!FU:GV,22,FALSE)</f>
        <v>0</v>
      </c>
      <c r="Y432" s="165">
        <f t="shared" si="34"/>
        <v>0</v>
      </c>
      <c r="Z432" s="44">
        <f t="shared" si="35"/>
        <v>0</v>
      </c>
      <c r="AA432" s="159">
        <f>VLOOKUP(C432,'Talente &amp; Stuff'!FU:GV,25,FALSE)</f>
        <v>0</v>
      </c>
      <c r="AB432" s="161">
        <f>VLOOKUP(C432,'Talente &amp; Stuff'!FU:GV,26,FALSE)</f>
        <v>0</v>
      </c>
      <c r="AC432" s="128">
        <f>VLOOKUP(C432,'Talente &amp; Stuff'!FU:GV,27,FALSE)</f>
        <v>0</v>
      </c>
      <c r="AD432" s="159">
        <f>VLOOKUP(C432,'Talente &amp; Stuff'!FU:GV,28,FALSE)</f>
        <v>0</v>
      </c>
      <c r="AE432" s="28"/>
    </row>
    <row r="433" spans="1:31" ht="15" hidden="1" customHeight="1" outlineLevel="1" collapsed="1">
      <c r="B433" s="134" t="s">
        <v>322</v>
      </c>
      <c r="C433" s="83"/>
      <c r="D433" s="84"/>
      <c r="E433" s="84"/>
    </row>
    <row r="434" spans="1:31" ht="15" hidden="1" customHeight="1" outlineLevel="2">
      <c r="B434" s="148">
        <v>1</v>
      </c>
      <c r="C434" s="176" t="str">
        <f>Attribute!C434</f>
        <v>---</v>
      </c>
      <c r="D434" s="158" t="str">
        <f>VLOOKUP(C434,'Talente &amp; Stuff'!FU:GV,2,FALSE)</f>
        <v>--/--/--</v>
      </c>
      <c r="E434" s="116" t="str">
        <f>VLOOKUP(C434,'Talente &amp; Stuff'!FU:GV,3,FALSE)</f>
        <v>-</v>
      </c>
      <c r="F434" s="191">
        <f>VLOOKUP(C434,'Talente &amp; Stuff'!FU:GV,4,FALSE)</f>
        <v>0</v>
      </c>
      <c r="G434" s="118">
        <f>VLOOKUP(C434,'Talente &amp; Stuff'!FU:GV,5,FALSE)</f>
        <v>0</v>
      </c>
      <c r="H434" s="118">
        <f>VLOOKUP(C434,'Talente &amp; Stuff'!FU:GV,6,FALSE)</f>
        <v>0</v>
      </c>
      <c r="I434" s="118">
        <f>VLOOKUP(C434,'Talente &amp; Stuff'!FU:GV,7,FALSE)</f>
        <v>0</v>
      </c>
      <c r="J434" s="118">
        <f>VLOOKUP(C434,'Talente &amp; Stuff'!FU:GV,8,FALSE)</f>
        <v>0</v>
      </c>
      <c r="K434" s="118">
        <f>VLOOKUP(C434,'Talente &amp; Stuff'!FU:GV,9,FALSE)</f>
        <v>0</v>
      </c>
      <c r="L434" s="118">
        <f>VLOOKUP(C434,'Talente &amp; Stuff'!FU:GV,10,FALSE)</f>
        <v>0</v>
      </c>
      <c r="M434" s="92">
        <f>VLOOKUP(C434,'Talente &amp; Stuff'!FU:GV,11,FALSE)</f>
        <v>0</v>
      </c>
      <c r="N434" s="116">
        <f>VLOOKUP(C434,'Talente &amp; Stuff'!FU:GV,12,FALSE)</f>
        <v>0</v>
      </c>
      <c r="O434" s="116">
        <f>VLOOKUP(C434,'Talente &amp; Stuff'!FU:GV,13,FALSE)</f>
        <v>0</v>
      </c>
      <c r="P434" s="118">
        <f>VLOOKUP(C434,'Talente &amp; Stuff'!FU:GV,14,FALSE)</f>
        <v>0</v>
      </c>
      <c r="Q434" s="191">
        <f>VLOOKUP(C434,'Talente &amp; Stuff'!FU:GV,15,FALSE)</f>
        <v>0</v>
      </c>
      <c r="R434" s="118">
        <f>VLOOKUP(C434,'Talente &amp; Stuff'!FU:GV,16,FALSE)</f>
        <v>0</v>
      </c>
      <c r="S434" s="92">
        <f>VLOOKUP(C434,'Talente &amp; Stuff'!FU:GV,17,FALSE)</f>
        <v>0</v>
      </c>
      <c r="T434" s="91">
        <f>VLOOKUP(C434,'Talente &amp; Stuff'!FU:GV,18,FALSE)</f>
        <v>0</v>
      </c>
      <c r="U434" s="193">
        <f>VLOOKUP(C434,'Talente &amp; Stuff'!FU:GV,19,FALSE)</f>
        <v>0</v>
      </c>
      <c r="V434" s="116">
        <f>VLOOKUP(C434,'Talente &amp; Stuff'!FU:GV,20,FALSE)</f>
        <v>0</v>
      </c>
      <c r="W434" s="126">
        <f>VLOOKUP(C434,'Talente &amp; Stuff'!FU:GV,21,FALSE)</f>
        <v>0</v>
      </c>
      <c r="X434" s="126">
        <f>VLOOKUP(C434,'Talente &amp; Stuff'!FU:GV,22,FALSE)</f>
        <v>0</v>
      </c>
      <c r="Y434" s="175">
        <f t="shared" ref="Y434:Y439" si="36">VLOOKUP(C434,Ausgewählte_Liturgien_Praios,197,FALSE)</f>
        <v>0</v>
      </c>
      <c r="Z434" s="198">
        <f t="shared" ref="Z434:Z439" si="37">VLOOKUP(C434,Ausgewählte_Liturgien_Praios,198,FALSE)</f>
        <v>0</v>
      </c>
      <c r="AA434" s="158">
        <f>VLOOKUP(C434,'Talente &amp; Stuff'!FU:GV,25,FALSE)</f>
        <v>0</v>
      </c>
      <c r="AB434" s="91">
        <f>VLOOKUP(C434,'Talente &amp; Stuff'!FU:GV,26,FALSE)</f>
        <v>0</v>
      </c>
      <c r="AC434" s="126">
        <f>VLOOKUP(C434,'Talente &amp; Stuff'!FU:GV,27,FALSE)</f>
        <v>0</v>
      </c>
      <c r="AD434" s="158">
        <f>VLOOKUP(C434,'Talente &amp; Stuff'!FU:GV,28,FALSE)</f>
        <v>0</v>
      </c>
      <c r="AE434" s="28"/>
    </row>
    <row r="435" spans="1:31" ht="15" hidden="1" customHeight="1" outlineLevel="2">
      <c r="B435" s="148">
        <v>2</v>
      </c>
      <c r="C435" s="177" t="str">
        <f>Attribute!C435</f>
        <v>---</v>
      </c>
      <c r="D435" s="125" t="str">
        <f>VLOOKUP(C435,'Talente &amp; Stuff'!FU:GV,2,FALSE)</f>
        <v>--/--/--</v>
      </c>
      <c r="E435" s="47" t="str">
        <f>VLOOKUP(C435,'Talente &amp; Stuff'!FU:GV,3,FALSE)</f>
        <v>-</v>
      </c>
      <c r="F435" s="114">
        <f>VLOOKUP(C435,'Talente &amp; Stuff'!FU:GV,4,FALSE)</f>
        <v>0</v>
      </c>
      <c r="G435" s="113">
        <f>VLOOKUP(C435,'Talente &amp; Stuff'!FU:GV,5,FALSE)</f>
        <v>0</v>
      </c>
      <c r="H435" s="113">
        <f>VLOOKUP(C435,'Talente &amp; Stuff'!FU:GV,6,FALSE)</f>
        <v>0</v>
      </c>
      <c r="I435" s="113">
        <f>VLOOKUP(C435,'Talente &amp; Stuff'!FU:GV,7,FALSE)</f>
        <v>0</v>
      </c>
      <c r="J435" s="113">
        <f>VLOOKUP(C435,'Talente &amp; Stuff'!FU:GV,8,FALSE)</f>
        <v>0</v>
      </c>
      <c r="K435" s="113">
        <f>VLOOKUP(C435,'Talente &amp; Stuff'!FU:GV,9,FALSE)</f>
        <v>0</v>
      </c>
      <c r="L435" s="113">
        <f>VLOOKUP(C435,'Talente &amp; Stuff'!FU:GV,10,FALSE)</f>
        <v>0</v>
      </c>
      <c r="M435" s="119">
        <f>VLOOKUP(C435,'Talente &amp; Stuff'!FU:GV,11,FALSE)</f>
        <v>0</v>
      </c>
      <c r="N435" s="47">
        <f>VLOOKUP(C435,'Talente &amp; Stuff'!FU:GV,12,FALSE)</f>
        <v>0</v>
      </c>
      <c r="O435" s="47">
        <f>VLOOKUP(C435,'Talente &amp; Stuff'!FU:GV,13,FALSE)</f>
        <v>0</v>
      </c>
      <c r="P435" s="113">
        <f>VLOOKUP(C435,'Talente &amp; Stuff'!FU:GV,14,FALSE)</f>
        <v>0</v>
      </c>
      <c r="Q435" s="114">
        <f>VLOOKUP(C435,'Talente &amp; Stuff'!FU:GV,15,FALSE)</f>
        <v>0</v>
      </c>
      <c r="R435" s="113">
        <f>VLOOKUP(C435,'Talente &amp; Stuff'!FU:GV,16,FALSE)</f>
        <v>0</v>
      </c>
      <c r="S435" s="119">
        <f>VLOOKUP(C435,'Talente &amp; Stuff'!FU:GV,17,FALSE)</f>
        <v>0</v>
      </c>
      <c r="T435" s="160">
        <f>VLOOKUP(C435,'Talente &amp; Stuff'!FU:GV,18,FALSE)</f>
        <v>0</v>
      </c>
      <c r="U435" s="89">
        <f>VLOOKUP(C435,'Talente &amp; Stuff'!FU:GV,19,FALSE)</f>
        <v>0</v>
      </c>
      <c r="V435" s="47">
        <f>VLOOKUP(C435,'Talente &amp; Stuff'!FU:GV,20,FALSE)</f>
        <v>0</v>
      </c>
      <c r="W435" s="127">
        <f>VLOOKUP(C435,'Talente &amp; Stuff'!FU:GV,21,FALSE)</f>
        <v>0</v>
      </c>
      <c r="X435" s="127">
        <f>VLOOKUP(C435,'Talente &amp; Stuff'!FU:GV,22,FALSE)</f>
        <v>0</v>
      </c>
      <c r="Y435" s="175">
        <f t="shared" si="36"/>
        <v>0</v>
      </c>
      <c r="Z435" s="198">
        <f t="shared" si="37"/>
        <v>0</v>
      </c>
      <c r="AA435" s="125">
        <f>VLOOKUP(C435,'Talente &amp; Stuff'!FU:GV,25,FALSE)</f>
        <v>0</v>
      </c>
      <c r="AB435" s="160">
        <f>VLOOKUP(C435,'Talente &amp; Stuff'!FU:GV,26,FALSE)</f>
        <v>0</v>
      </c>
      <c r="AC435" s="127">
        <f>VLOOKUP(C435,'Talente &amp; Stuff'!FU:GV,27,FALSE)</f>
        <v>0</v>
      </c>
      <c r="AD435" s="125">
        <f>VLOOKUP(C435,'Talente &amp; Stuff'!FU:GV,28,FALSE)</f>
        <v>0</v>
      </c>
      <c r="AE435" s="28"/>
    </row>
    <row r="436" spans="1:31" ht="15" hidden="1" customHeight="1" outlineLevel="2">
      <c r="B436" s="148">
        <v>3</v>
      </c>
      <c r="C436" s="177" t="str">
        <f>Attribute!C436</f>
        <v>---</v>
      </c>
      <c r="D436" s="125" t="str">
        <f>VLOOKUP(C436,'Talente &amp; Stuff'!FU:GV,2,FALSE)</f>
        <v>--/--/--</v>
      </c>
      <c r="E436" s="47" t="str">
        <f>VLOOKUP(C436,'Talente &amp; Stuff'!FU:GV,3,FALSE)</f>
        <v>-</v>
      </c>
      <c r="F436" s="114">
        <f>VLOOKUP(C436,'Talente &amp; Stuff'!FU:GV,4,FALSE)</f>
        <v>0</v>
      </c>
      <c r="G436" s="113">
        <f>VLOOKUP(C436,'Talente &amp; Stuff'!FU:GV,5,FALSE)</f>
        <v>0</v>
      </c>
      <c r="H436" s="113">
        <f>VLOOKUP(C436,'Talente &amp; Stuff'!FU:GV,6,FALSE)</f>
        <v>0</v>
      </c>
      <c r="I436" s="113">
        <f>VLOOKUP(C436,'Talente &amp; Stuff'!FU:GV,7,FALSE)</f>
        <v>0</v>
      </c>
      <c r="J436" s="113">
        <f>VLOOKUP(C436,'Talente &amp; Stuff'!FU:GV,8,FALSE)</f>
        <v>0</v>
      </c>
      <c r="K436" s="113">
        <f>VLOOKUP(C436,'Talente &amp; Stuff'!FU:GV,9,FALSE)</f>
        <v>0</v>
      </c>
      <c r="L436" s="113">
        <f>VLOOKUP(C436,'Talente &amp; Stuff'!FU:GV,10,FALSE)</f>
        <v>0</v>
      </c>
      <c r="M436" s="119">
        <f>VLOOKUP(C436,'Talente &amp; Stuff'!FU:GV,11,FALSE)</f>
        <v>0</v>
      </c>
      <c r="N436" s="47">
        <f>VLOOKUP(C436,'Talente &amp; Stuff'!FU:GV,12,FALSE)</f>
        <v>0</v>
      </c>
      <c r="O436" s="47">
        <f>VLOOKUP(C436,'Talente &amp; Stuff'!FU:GV,13,FALSE)</f>
        <v>0</v>
      </c>
      <c r="P436" s="113">
        <f>VLOOKUP(C436,'Talente &amp; Stuff'!FU:GV,14,FALSE)</f>
        <v>0</v>
      </c>
      <c r="Q436" s="114">
        <f>VLOOKUP(C436,'Talente &amp; Stuff'!FU:GV,15,FALSE)</f>
        <v>0</v>
      </c>
      <c r="R436" s="113">
        <f>VLOOKUP(C436,'Talente &amp; Stuff'!FU:GV,16,FALSE)</f>
        <v>0</v>
      </c>
      <c r="S436" s="119">
        <f>VLOOKUP(C436,'Talente &amp; Stuff'!FU:GV,17,FALSE)</f>
        <v>0</v>
      </c>
      <c r="T436" s="160">
        <f>VLOOKUP(C436,'Talente &amp; Stuff'!FU:GV,18,FALSE)</f>
        <v>0</v>
      </c>
      <c r="U436" s="89">
        <f>VLOOKUP(C436,'Talente &amp; Stuff'!FU:GV,19,FALSE)</f>
        <v>0</v>
      </c>
      <c r="V436" s="47">
        <f>VLOOKUP(C436,'Talente &amp; Stuff'!FU:GV,20,FALSE)</f>
        <v>0</v>
      </c>
      <c r="W436" s="127">
        <f>VLOOKUP(C436,'Talente &amp; Stuff'!FU:GV,21,FALSE)</f>
        <v>0</v>
      </c>
      <c r="X436" s="127">
        <f>VLOOKUP(C436,'Talente &amp; Stuff'!FU:GV,22,FALSE)</f>
        <v>0</v>
      </c>
      <c r="Y436" s="175">
        <f t="shared" si="36"/>
        <v>0</v>
      </c>
      <c r="Z436" s="198">
        <f t="shared" si="37"/>
        <v>0</v>
      </c>
      <c r="AA436" s="125">
        <f>VLOOKUP(C436,'Talente &amp; Stuff'!FU:GV,25,FALSE)</f>
        <v>0</v>
      </c>
      <c r="AB436" s="160">
        <f>VLOOKUP(C436,'Talente &amp; Stuff'!FU:GV,26,FALSE)</f>
        <v>0</v>
      </c>
      <c r="AC436" s="127">
        <f>VLOOKUP(C436,'Talente &amp; Stuff'!FU:GV,27,FALSE)</f>
        <v>0</v>
      </c>
      <c r="AD436" s="125">
        <f>VLOOKUP(C436,'Talente &amp; Stuff'!FU:GV,28,FALSE)</f>
        <v>0</v>
      </c>
      <c r="AE436" s="28"/>
    </row>
    <row r="437" spans="1:31" ht="15" hidden="1" customHeight="1" outlineLevel="2">
      <c r="B437" s="148">
        <v>4</v>
      </c>
      <c r="C437" s="177" t="str">
        <f>Attribute!C437</f>
        <v>---</v>
      </c>
      <c r="D437" s="125" t="str">
        <f>VLOOKUP(C437,'Talente &amp; Stuff'!FU:GV,2,FALSE)</f>
        <v>--/--/--</v>
      </c>
      <c r="E437" s="47" t="str">
        <f>VLOOKUP(C437,'Talente &amp; Stuff'!FU:GV,3,FALSE)</f>
        <v>-</v>
      </c>
      <c r="F437" s="114">
        <f>VLOOKUP(C437,'Talente &amp; Stuff'!FU:GV,4,FALSE)</f>
        <v>0</v>
      </c>
      <c r="G437" s="113">
        <f>VLOOKUP(C437,'Talente &amp; Stuff'!FU:GV,5,FALSE)</f>
        <v>0</v>
      </c>
      <c r="H437" s="113">
        <f>VLOOKUP(C437,'Talente &amp; Stuff'!FU:GV,6,FALSE)</f>
        <v>0</v>
      </c>
      <c r="I437" s="113">
        <f>VLOOKUP(C437,'Talente &amp; Stuff'!FU:GV,7,FALSE)</f>
        <v>0</v>
      </c>
      <c r="J437" s="113">
        <f>VLOOKUP(C437,'Talente &amp; Stuff'!FU:GV,8,FALSE)</f>
        <v>0</v>
      </c>
      <c r="K437" s="113">
        <f>VLOOKUP(C437,'Talente &amp; Stuff'!FU:GV,9,FALSE)</f>
        <v>0</v>
      </c>
      <c r="L437" s="113">
        <f>VLOOKUP(C437,'Talente &amp; Stuff'!FU:GV,10,FALSE)</f>
        <v>0</v>
      </c>
      <c r="M437" s="119">
        <f>VLOOKUP(C437,'Talente &amp; Stuff'!FU:GV,11,FALSE)</f>
        <v>0</v>
      </c>
      <c r="N437" s="47">
        <f>VLOOKUP(C437,'Talente &amp; Stuff'!FU:GV,12,FALSE)</f>
        <v>0</v>
      </c>
      <c r="O437" s="47">
        <f>VLOOKUP(C437,'Talente &amp; Stuff'!FU:GV,13,FALSE)</f>
        <v>0</v>
      </c>
      <c r="P437" s="113">
        <f>VLOOKUP(C437,'Talente &amp; Stuff'!FU:GV,14,FALSE)</f>
        <v>0</v>
      </c>
      <c r="Q437" s="114">
        <f>VLOOKUP(C437,'Talente &amp; Stuff'!FU:GV,15,FALSE)</f>
        <v>0</v>
      </c>
      <c r="R437" s="113">
        <f>VLOOKUP(C437,'Talente &amp; Stuff'!FU:GV,16,FALSE)</f>
        <v>0</v>
      </c>
      <c r="S437" s="119">
        <f>VLOOKUP(C437,'Talente &amp; Stuff'!FU:GV,17,FALSE)</f>
        <v>0</v>
      </c>
      <c r="T437" s="160">
        <f>VLOOKUP(C437,'Talente &amp; Stuff'!FU:GV,18,FALSE)</f>
        <v>0</v>
      </c>
      <c r="U437" s="89">
        <f>VLOOKUP(C437,'Talente &amp; Stuff'!FU:GV,19,FALSE)</f>
        <v>0</v>
      </c>
      <c r="V437" s="47">
        <f>VLOOKUP(C437,'Talente &amp; Stuff'!FU:GV,20,FALSE)</f>
        <v>0</v>
      </c>
      <c r="W437" s="127">
        <f>VLOOKUP(C437,'Talente &amp; Stuff'!FU:GV,21,FALSE)</f>
        <v>0</v>
      </c>
      <c r="X437" s="127">
        <f>VLOOKUP(C437,'Talente &amp; Stuff'!FU:GV,22,FALSE)</f>
        <v>0</v>
      </c>
      <c r="Y437" s="175">
        <f t="shared" si="36"/>
        <v>0</v>
      </c>
      <c r="Z437" s="198">
        <f t="shared" si="37"/>
        <v>0</v>
      </c>
      <c r="AA437" s="125">
        <f>VLOOKUP(C437,'Talente &amp; Stuff'!FU:GV,25,FALSE)</f>
        <v>0</v>
      </c>
      <c r="AB437" s="160">
        <f>VLOOKUP(C437,'Talente &amp; Stuff'!FU:GV,26,FALSE)</f>
        <v>0</v>
      </c>
      <c r="AC437" s="127">
        <f>VLOOKUP(C437,'Talente &amp; Stuff'!FU:GV,27,FALSE)</f>
        <v>0</v>
      </c>
      <c r="AD437" s="125">
        <f>VLOOKUP(C437,'Talente &amp; Stuff'!FU:GV,28,FALSE)</f>
        <v>0</v>
      </c>
      <c r="AE437" s="28"/>
    </row>
    <row r="438" spans="1:31" ht="15" hidden="1" customHeight="1" outlineLevel="2">
      <c r="B438" s="148">
        <v>5</v>
      </c>
      <c r="C438" s="177" t="str">
        <f>Attribute!C438</f>
        <v>---</v>
      </c>
      <c r="D438" s="125" t="str">
        <f>VLOOKUP(C438,'Talente &amp; Stuff'!FU:GV,2,FALSE)</f>
        <v>--/--/--</v>
      </c>
      <c r="E438" s="47" t="str">
        <f>VLOOKUP(C438,'Talente &amp; Stuff'!FU:GV,3,FALSE)</f>
        <v>-</v>
      </c>
      <c r="F438" s="114">
        <f>VLOOKUP(C438,'Talente &amp; Stuff'!FU:GV,4,FALSE)</f>
        <v>0</v>
      </c>
      <c r="G438" s="113">
        <f>VLOOKUP(C438,'Talente &amp; Stuff'!FU:GV,5,FALSE)</f>
        <v>0</v>
      </c>
      <c r="H438" s="113">
        <f>VLOOKUP(C438,'Talente &amp; Stuff'!FU:GV,6,FALSE)</f>
        <v>0</v>
      </c>
      <c r="I438" s="113">
        <f>VLOOKUP(C438,'Talente &amp; Stuff'!FU:GV,7,FALSE)</f>
        <v>0</v>
      </c>
      <c r="J438" s="113">
        <f>VLOOKUP(C438,'Talente &amp; Stuff'!FU:GV,8,FALSE)</f>
        <v>0</v>
      </c>
      <c r="K438" s="113">
        <f>VLOOKUP(C438,'Talente &amp; Stuff'!FU:GV,9,FALSE)</f>
        <v>0</v>
      </c>
      <c r="L438" s="113">
        <f>VLOOKUP(C438,'Talente &amp; Stuff'!FU:GV,10,FALSE)</f>
        <v>0</v>
      </c>
      <c r="M438" s="119">
        <f>VLOOKUP(C438,'Talente &amp; Stuff'!FU:GV,11,FALSE)</f>
        <v>0</v>
      </c>
      <c r="N438" s="47">
        <f>VLOOKUP(C438,'Talente &amp; Stuff'!FU:GV,12,FALSE)</f>
        <v>0</v>
      </c>
      <c r="O438" s="47">
        <f>VLOOKUP(C438,'Talente &amp; Stuff'!FU:GV,13,FALSE)</f>
        <v>0</v>
      </c>
      <c r="P438" s="113">
        <f>VLOOKUP(C438,'Talente &amp; Stuff'!FU:GV,14,FALSE)</f>
        <v>0</v>
      </c>
      <c r="Q438" s="114">
        <f>VLOOKUP(C438,'Talente &amp; Stuff'!FU:GV,15,FALSE)</f>
        <v>0</v>
      </c>
      <c r="R438" s="113">
        <f>VLOOKUP(C438,'Talente &amp; Stuff'!FU:GV,16,FALSE)</f>
        <v>0</v>
      </c>
      <c r="S438" s="119">
        <f>VLOOKUP(C438,'Talente &amp; Stuff'!FU:GV,17,FALSE)</f>
        <v>0</v>
      </c>
      <c r="T438" s="160">
        <f>VLOOKUP(C438,'Talente &amp; Stuff'!FU:GV,18,FALSE)</f>
        <v>0</v>
      </c>
      <c r="U438" s="89">
        <f>VLOOKUP(C438,'Talente &amp; Stuff'!FU:GV,19,FALSE)</f>
        <v>0</v>
      </c>
      <c r="V438" s="47">
        <f>VLOOKUP(C438,'Talente &amp; Stuff'!FU:GV,20,FALSE)</f>
        <v>0</v>
      </c>
      <c r="W438" s="127">
        <f>VLOOKUP(C438,'Talente &amp; Stuff'!FU:GV,21,FALSE)</f>
        <v>0</v>
      </c>
      <c r="X438" s="127">
        <f>VLOOKUP(C438,'Talente &amp; Stuff'!FU:GV,22,FALSE)</f>
        <v>0</v>
      </c>
      <c r="Y438" s="175">
        <f t="shared" si="36"/>
        <v>0</v>
      </c>
      <c r="Z438" s="198">
        <f t="shared" si="37"/>
        <v>0</v>
      </c>
      <c r="AA438" s="125">
        <f>VLOOKUP(C438,'Talente &amp; Stuff'!FU:GV,25,FALSE)</f>
        <v>0</v>
      </c>
      <c r="AB438" s="160">
        <f>VLOOKUP(C438,'Talente &amp; Stuff'!FU:GV,26,FALSE)</f>
        <v>0</v>
      </c>
      <c r="AC438" s="127">
        <f>VLOOKUP(C438,'Talente &amp; Stuff'!FU:GV,27,FALSE)</f>
        <v>0</v>
      </c>
      <c r="AD438" s="125">
        <f>VLOOKUP(C438,'Talente &amp; Stuff'!FU:GV,28,FALSE)</f>
        <v>0</v>
      </c>
      <c r="AE438" s="28"/>
    </row>
    <row r="439" spans="1:31" ht="15" hidden="1" customHeight="1" outlineLevel="2">
      <c r="B439" s="148">
        <v>6</v>
      </c>
      <c r="C439" s="178" t="str">
        <f>Attribute!C439</f>
        <v>---</v>
      </c>
      <c r="D439" s="159" t="str">
        <f>VLOOKUP(C439,'Talente &amp; Stuff'!FU:GV,2,FALSE)</f>
        <v>--/--/--</v>
      </c>
      <c r="E439" s="88" t="str">
        <f>VLOOKUP(C439,'Talente &amp; Stuff'!FU:GV,3,FALSE)</f>
        <v>-</v>
      </c>
      <c r="F439" s="115">
        <f>VLOOKUP(C439,'Talente &amp; Stuff'!FU:GV,4,FALSE)</f>
        <v>0</v>
      </c>
      <c r="G439" s="122">
        <f>VLOOKUP(C439,'Talente &amp; Stuff'!FU:GV,5,FALSE)</f>
        <v>0</v>
      </c>
      <c r="H439" s="122">
        <f>VLOOKUP(C439,'Talente &amp; Stuff'!FU:GV,6,FALSE)</f>
        <v>0</v>
      </c>
      <c r="I439" s="122">
        <f>VLOOKUP(C439,'Talente &amp; Stuff'!FU:GV,7,FALSE)</f>
        <v>0</v>
      </c>
      <c r="J439" s="122">
        <f>VLOOKUP(C439,'Talente &amp; Stuff'!FU:GV,8,FALSE)</f>
        <v>0</v>
      </c>
      <c r="K439" s="122">
        <f>VLOOKUP(C439,'Talente &amp; Stuff'!FU:GV,9,FALSE)</f>
        <v>0</v>
      </c>
      <c r="L439" s="122">
        <f>VLOOKUP(C439,'Talente &amp; Stuff'!FU:GV,10,FALSE)</f>
        <v>0</v>
      </c>
      <c r="M439" s="123">
        <f>VLOOKUP(C439,'Talente &amp; Stuff'!FU:GV,11,FALSE)</f>
        <v>0</v>
      </c>
      <c r="N439" s="88">
        <f>VLOOKUP(C439,'Talente &amp; Stuff'!FU:GV,12,FALSE)</f>
        <v>0</v>
      </c>
      <c r="O439" s="88">
        <f>VLOOKUP(C439,'Talente &amp; Stuff'!FU:GV,13,FALSE)</f>
        <v>0</v>
      </c>
      <c r="P439" s="122">
        <f>VLOOKUP(C439,'Talente &amp; Stuff'!FU:GV,14,FALSE)</f>
        <v>0</v>
      </c>
      <c r="Q439" s="115">
        <f>VLOOKUP(C439,'Talente &amp; Stuff'!FU:GV,15,FALSE)</f>
        <v>0</v>
      </c>
      <c r="R439" s="122">
        <f>VLOOKUP(C439,'Talente &amp; Stuff'!FU:GV,16,FALSE)</f>
        <v>0</v>
      </c>
      <c r="S439" s="123">
        <f>VLOOKUP(C439,'Talente &amp; Stuff'!FU:GV,17,FALSE)</f>
        <v>0</v>
      </c>
      <c r="T439" s="161">
        <f>VLOOKUP(C439,'Talente &amp; Stuff'!FU:GV,18,FALSE)</f>
        <v>0</v>
      </c>
      <c r="U439" s="90">
        <f>VLOOKUP(C439,'Talente &amp; Stuff'!FU:GV,19,FALSE)</f>
        <v>0</v>
      </c>
      <c r="V439" s="88">
        <f>VLOOKUP(C439,'Talente &amp; Stuff'!FU:GV,20,FALSE)</f>
        <v>0</v>
      </c>
      <c r="W439" s="128">
        <f>VLOOKUP(C439,'Talente &amp; Stuff'!FU:GV,21,FALSE)</f>
        <v>0</v>
      </c>
      <c r="X439" s="128">
        <f>VLOOKUP(C439,'Talente &amp; Stuff'!FU:GV,22,FALSE)</f>
        <v>0</v>
      </c>
      <c r="Y439" s="175">
        <f t="shared" si="36"/>
        <v>0</v>
      </c>
      <c r="Z439" s="198">
        <f t="shared" si="37"/>
        <v>0</v>
      </c>
      <c r="AA439" s="159">
        <f>VLOOKUP(C439,'Talente &amp; Stuff'!FU:GV,25,FALSE)</f>
        <v>0</v>
      </c>
      <c r="AB439" s="161">
        <f>VLOOKUP(C439,'Talente &amp; Stuff'!FU:GV,26,FALSE)</f>
        <v>0</v>
      </c>
      <c r="AC439" s="128">
        <f>VLOOKUP(C439,'Talente &amp; Stuff'!FU:GV,27,FALSE)</f>
        <v>0</v>
      </c>
      <c r="AD439" s="159">
        <f>VLOOKUP(C439,'Talente &amp; Stuff'!FU:GV,28,FALSE)</f>
        <v>0</v>
      </c>
      <c r="AE439" s="28"/>
    </row>
    <row r="440" spans="1:31" ht="15" hidden="1" customHeight="1" outlineLevel="1" collapsed="1">
      <c r="B440" s="134" t="s">
        <v>321</v>
      </c>
      <c r="C440" s="83"/>
      <c r="D440" s="84"/>
      <c r="E440" s="84"/>
    </row>
    <row r="441" spans="1:31" ht="15" hidden="1" customHeight="1" outlineLevel="2">
      <c r="B441" s="148">
        <v>1</v>
      </c>
      <c r="C441" s="176" t="str">
        <f>Attribute!C441</f>
        <v>---</v>
      </c>
      <c r="D441" s="158" t="str">
        <f>VLOOKUP(C441,'Talente &amp; Stuff'!FU:GV,2,FALSE)</f>
        <v>--/--/--</v>
      </c>
      <c r="E441" s="116" t="str">
        <f>VLOOKUP(C441,'Talente &amp; Stuff'!FU:GV,3,FALSE)</f>
        <v>-</v>
      </c>
      <c r="F441" s="191">
        <f>VLOOKUP(C441,'Talente &amp; Stuff'!FU:GV,4,FALSE)</f>
        <v>0</v>
      </c>
      <c r="G441" s="118">
        <f>VLOOKUP(C441,'Talente &amp; Stuff'!FU:GV,5,FALSE)</f>
        <v>0</v>
      </c>
      <c r="H441" s="118">
        <f>VLOOKUP(C441,'Talente &amp; Stuff'!FU:GV,6,FALSE)</f>
        <v>0</v>
      </c>
      <c r="I441" s="118">
        <f>VLOOKUP(C441,'Talente &amp; Stuff'!FU:GV,7,FALSE)</f>
        <v>0</v>
      </c>
      <c r="J441" s="118">
        <f>VLOOKUP(C441,'Talente &amp; Stuff'!FU:GV,8,FALSE)</f>
        <v>0</v>
      </c>
      <c r="K441" s="118">
        <f>VLOOKUP(C441,'Talente &amp; Stuff'!FU:GV,9,FALSE)</f>
        <v>0</v>
      </c>
      <c r="L441" s="118">
        <f>VLOOKUP(C441,'Talente &amp; Stuff'!FU:GV,10,FALSE)</f>
        <v>0</v>
      </c>
      <c r="M441" s="92">
        <f>VLOOKUP(C441,'Talente &amp; Stuff'!FU:GV,11,FALSE)</f>
        <v>0</v>
      </c>
      <c r="N441" s="116">
        <f>VLOOKUP(C441,'Talente &amp; Stuff'!FU:GV,12,FALSE)</f>
        <v>0</v>
      </c>
      <c r="O441" s="116">
        <f>VLOOKUP(C441,'Talente &amp; Stuff'!FU:GV,13,FALSE)</f>
        <v>0</v>
      </c>
      <c r="P441" s="118">
        <f>VLOOKUP(C441,'Talente &amp; Stuff'!FU:GV,14,FALSE)</f>
        <v>0</v>
      </c>
      <c r="Q441" s="191">
        <f>VLOOKUP(C441,'Talente &amp; Stuff'!FU:GV,15,FALSE)</f>
        <v>0</v>
      </c>
      <c r="R441" s="118">
        <f>VLOOKUP(C441,'Talente &amp; Stuff'!FU:GV,16,FALSE)</f>
        <v>0</v>
      </c>
      <c r="S441" s="92">
        <f>VLOOKUP(C441,'Talente &amp; Stuff'!FU:GV,17,FALSE)</f>
        <v>0</v>
      </c>
      <c r="T441" s="91">
        <f>VLOOKUP(C441,'Talente &amp; Stuff'!FU:GV,18,FALSE)</f>
        <v>0</v>
      </c>
      <c r="U441" s="193">
        <f>VLOOKUP(C441,'Talente &amp; Stuff'!FU:GV,19,FALSE)</f>
        <v>0</v>
      </c>
      <c r="V441" s="116">
        <f>VLOOKUP(C441,'Talente &amp; Stuff'!FU:GV,20,FALSE)</f>
        <v>0</v>
      </c>
      <c r="W441" s="126">
        <f>VLOOKUP(C441,'Talente &amp; Stuff'!FU:GV,21,FALSE)</f>
        <v>0</v>
      </c>
      <c r="X441" s="126">
        <f>VLOOKUP(C441,'Talente &amp; Stuff'!FU:GV,22,FALSE)</f>
        <v>0</v>
      </c>
      <c r="Y441" s="165">
        <f>VLOOKUP(C441,Ausgewählte_Liturgien_Rondra,197,FALSE)</f>
        <v>0</v>
      </c>
      <c r="Z441" s="44">
        <f>VLOOKUP(C441,Ausgewählte_Liturgien_Rondra,198,FALSE)</f>
        <v>0</v>
      </c>
      <c r="AA441" s="158">
        <f>VLOOKUP(C441,'Talente &amp; Stuff'!FU:GV,25,FALSE)</f>
        <v>0</v>
      </c>
      <c r="AB441" s="91">
        <f>VLOOKUP(C441,'Talente &amp; Stuff'!FU:GV,26,FALSE)</f>
        <v>0</v>
      </c>
      <c r="AC441" s="126">
        <f>VLOOKUP(C441,'Talente &amp; Stuff'!FU:GV,27,FALSE)</f>
        <v>0</v>
      </c>
      <c r="AD441" s="158">
        <f>VLOOKUP(C441,'Talente &amp; Stuff'!FU:GV,28,FALSE)</f>
        <v>0</v>
      </c>
      <c r="AE441" s="28"/>
    </row>
    <row r="442" spans="1:31" ht="15" hidden="1" customHeight="1" outlineLevel="2">
      <c r="B442" s="148">
        <v>2</v>
      </c>
      <c r="C442" s="177" t="str">
        <f>Attribute!C442</f>
        <v>---</v>
      </c>
      <c r="D442" s="125" t="str">
        <f>VLOOKUP(C442,'Talente &amp; Stuff'!FU:GV,2,FALSE)</f>
        <v>--/--/--</v>
      </c>
      <c r="E442" s="47" t="str">
        <f>VLOOKUP(C442,'Talente &amp; Stuff'!FU:GV,3,FALSE)</f>
        <v>-</v>
      </c>
      <c r="F442" s="114">
        <f>VLOOKUP(C442,'Talente &amp; Stuff'!FU:GV,4,FALSE)</f>
        <v>0</v>
      </c>
      <c r="G442" s="113">
        <f>VLOOKUP(C442,'Talente &amp; Stuff'!FU:GV,5,FALSE)</f>
        <v>0</v>
      </c>
      <c r="H442" s="113">
        <f>VLOOKUP(C442,'Talente &amp; Stuff'!FU:GV,6,FALSE)</f>
        <v>0</v>
      </c>
      <c r="I442" s="113">
        <f>VLOOKUP(C442,'Talente &amp; Stuff'!FU:GV,7,FALSE)</f>
        <v>0</v>
      </c>
      <c r="J442" s="113">
        <f>VLOOKUP(C442,'Talente &amp; Stuff'!FU:GV,8,FALSE)</f>
        <v>0</v>
      </c>
      <c r="K442" s="113">
        <f>VLOOKUP(C442,'Talente &amp; Stuff'!FU:GV,9,FALSE)</f>
        <v>0</v>
      </c>
      <c r="L442" s="113">
        <f>VLOOKUP(C442,'Talente &amp; Stuff'!FU:GV,10,FALSE)</f>
        <v>0</v>
      </c>
      <c r="M442" s="119">
        <f>VLOOKUP(C442,'Talente &amp; Stuff'!FU:GV,11,FALSE)</f>
        <v>0</v>
      </c>
      <c r="N442" s="47">
        <f>VLOOKUP(C442,'Talente &amp; Stuff'!FU:GV,12,FALSE)</f>
        <v>0</v>
      </c>
      <c r="O442" s="47">
        <f>VLOOKUP(C442,'Talente &amp; Stuff'!FU:GV,13,FALSE)</f>
        <v>0</v>
      </c>
      <c r="P442" s="113">
        <f>VLOOKUP(C442,'Talente &amp; Stuff'!FU:GV,14,FALSE)</f>
        <v>0</v>
      </c>
      <c r="Q442" s="114">
        <f>VLOOKUP(C442,'Talente &amp; Stuff'!FU:GV,15,FALSE)</f>
        <v>0</v>
      </c>
      <c r="R442" s="113">
        <f>VLOOKUP(C442,'Talente &amp; Stuff'!FU:GV,16,FALSE)</f>
        <v>0</v>
      </c>
      <c r="S442" s="119">
        <f>VLOOKUP(C442,'Talente &amp; Stuff'!FU:GV,17,FALSE)</f>
        <v>0</v>
      </c>
      <c r="T442" s="160">
        <f>VLOOKUP(C442,'Talente &amp; Stuff'!FU:GV,18,FALSE)</f>
        <v>0</v>
      </c>
      <c r="U442" s="89">
        <f>VLOOKUP(C442,'Talente &amp; Stuff'!FU:GV,19,FALSE)</f>
        <v>0</v>
      </c>
      <c r="V442" s="47">
        <f>VLOOKUP(C442,'Talente &amp; Stuff'!FU:GV,20,FALSE)</f>
        <v>0</v>
      </c>
      <c r="W442" s="127">
        <f>VLOOKUP(C442,'Talente &amp; Stuff'!FU:GV,21,FALSE)</f>
        <v>0</v>
      </c>
      <c r="X442" s="127">
        <f>VLOOKUP(C442,'Talente &amp; Stuff'!FU:GV,22,FALSE)</f>
        <v>0</v>
      </c>
      <c r="Y442" s="165">
        <f>VLOOKUP(C442,Ausgewählte_Liturgien_Rondra,197,FALSE)</f>
        <v>0</v>
      </c>
      <c r="Z442" s="44">
        <f>VLOOKUP(C442,Ausgewählte_Liturgien_Rondra,198,FALSE)</f>
        <v>0</v>
      </c>
      <c r="AA442" s="125">
        <f>VLOOKUP(C442,'Talente &amp; Stuff'!FU:GV,25,FALSE)</f>
        <v>0</v>
      </c>
      <c r="AB442" s="160">
        <f>VLOOKUP(C442,'Talente &amp; Stuff'!FU:GV,26,FALSE)</f>
        <v>0</v>
      </c>
      <c r="AC442" s="127">
        <f>VLOOKUP(C442,'Talente &amp; Stuff'!FU:GV,27,FALSE)</f>
        <v>0</v>
      </c>
      <c r="AD442" s="125">
        <f>VLOOKUP(C442,'Talente &amp; Stuff'!FU:GV,28,FALSE)</f>
        <v>0</v>
      </c>
      <c r="AE442" s="28"/>
    </row>
    <row r="443" spans="1:31" ht="15" hidden="1" customHeight="1" outlineLevel="2">
      <c r="B443" s="137">
        <v>3</v>
      </c>
      <c r="C443" s="177" t="str">
        <f>Attribute!C443</f>
        <v>---</v>
      </c>
      <c r="D443" s="125" t="str">
        <f>VLOOKUP(C443,'Talente &amp; Stuff'!FU:GV,2,FALSE)</f>
        <v>--/--/--</v>
      </c>
      <c r="E443" s="47" t="str">
        <f>VLOOKUP(C443,'Talente &amp; Stuff'!FU:GV,3,FALSE)</f>
        <v>-</v>
      </c>
      <c r="F443" s="114">
        <f>VLOOKUP(C443,'Talente &amp; Stuff'!FU:GV,4,FALSE)</f>
        <v>0</v>
      </c>
      <c r="G443" s="113">
        <f>VLOOKUP(C443,'Talente &amp; Stuff'!FU:GV,5,FALSE)</f>
        <v>0</v>
      </c>
      <c r="H443" s="113">
        <f>VLOOKUP(C443,'Talente &amp; Stuff'!FU:GV,6,FALSE)</f>
        <v>0</v>
      </c>
      <c r="I443" s="113">
        <f>VLOOKUP(C443,'Talente &amp; Stuff'!FU:GV,7,FALSE)</f>
        <v>0</v>
      </c>
      <c r="J443" s="113">
        <f>VLOOKUP(C443,'Talente &amp; Stuff'!FU:GV,8,FALSE)</f>
        <v>0</v>
      </c>
      <c r="K443" s="113">
        <f>VLOOKUP(C443,'Talente &amp; Stuff'!FU:GV,9,FALSE)</f>
        <v>0</v>
      </c>
      <c r="L443" s="113">
        <f>VLOOKUP(C443,'Talente &amp; Stuff'!FU:GV,10,FALSE)</f>
        <v>0</v>
      </c>
      <c r="M443" s="119">
        <f>VLOOKUP(C443,'Talente &amp; Stuff'!FU:GV,11,FALSE)</f>
        <v>0</v>
      </c>
      <c r="N443" s="47">
        <f>VLOOKUP(C443,'Talente &amp; Stuff'!FU:GV,12,FALSE)</f>
        <v>0</v>
      </c>
      <c r="O443" s="47">
        <f>VLOOKUP(C443,'Talente &amp; Stuff'!FU:GV,13,FALSE)</f>
        <v>0</v>
      </c>
      <c r="P443" s="113">
        <f>VLOOKUP(C443,'Talente &amp; Stuff'!FU:GV,14,FALSE)</f>
        <v>0</v>
      </c>
      <c r="Q443" s="114">
        <f>VLOOKUP(C443,'Talente &amp; Stuff'!FU:GV,15,FALSE)</f>
        <v>0</v>
      </c>
      <c r="R443" s="113">
        <f>VLOOKUP(C443,'Talente &amp; Stuff'!FU:GV,16,FALSE)</f>
        <v>0</v>
      </c>
      <c r="S443" s="119">
        <f>VLOOKUP(C443,'Talente &amp; Stuff'!FU:GV,17,FALSE)</f>
        <v>0</v>
      </c>
      <c r="T443" s="160">
        <f>VLOOKUP(C443,'Talente &amp; Stuff'!FU:GV,18,FALSE)</f>
        <v>0</v>
      </c>
      <c r="U443" s="89">
        <f>VLOOKUP(C443,'Talente &amp; Stuff'!FU:GV,19,FALSE)</f>
        <v>0</v>
      </c>
      <c r="V443" s="47">
        <f>VLOOKUP(C443,'Talente &amp; Stuff'!FU:GV,20,FALSE)</f>
        <v>0</v>
      </c>
      <c r="W443" s="127">
        <f>VLOOKUP(C443,'Talente &amp; Stuff'!FU:GV,21,FALSE)</f>
        <v>0</v>
      </c>
      <c r="X443" s="127">
        <f>VLOOKUP(C443,'Talente &amp; Stuff'!FU:GV,22,FALSE)</f>
        <v>0</v>
      </c>
      <c r="Y443" s="165">
        <f>VLOOKUP(C443,Ausgewählte_Liturgien_Rondra,197,FALSE)</f>
        <v>0</v>
      </c>
      <c r="Z443" s="44">
        <f>VLOOKUP(C443,Ausgewählte_Liturgien_Rondra,198,FALSE)</f>
        <v>0</v>
      </c>
      <c r="AA443" s="125">
        <f>VLOOKUP(C443,'Talente &amp; Stuff'!FU:GV,25,FALSE)</f>
        <v>0</v>
      </c>
      <c r="AB443" s="160">
        <f>VLOOKUP(C443,'Talente &amp; Stuff'!FU:GV,26,FALSE)</f>
        <v>0</v>
      </c>
      <c r="AC443" s="127">
        <f>VLOOKUP(C443,'Talente &amp; Stuff'!FU:GV,27,FALSE)</f>
        <v>0</v>
      </c>
      <c r="AD443" s="125">
        <f>VLOOKUP(C443,'Talente &amp; Stuff'!FU:GV,28,FALSE)</f>
        <v>0</v>
      </c>
      <c r="AE443" s="28"/>
    </row>
    <row r="444" spans="1:31" ht="15" hidden="1" customHeight="1" outlineLevel="2">
      <c r="B444" s="148">
        <v>4</v>
      </c>
      <c r="C444" s="178" t="str">
        <f>Attribute!C444</f>
        <v>---</v>
      </c>
      <c r="D444" s="159" t="str">
        <f>VLOOKUP(C444,'Talente &amp; Stuff'!FU:GV,2,FALSE)</f>
        <v>--/--/--</v>
      </c>
      <c r="E444" s="88" t="str">
        <f>VLOOKUP(C444,'Talente &amp; Stuff'!FU:GV,3,FALSE)</f>
        <v>-</v>
      </c>
      <c r="F444" s="115">
        <f>VLOOKUP(C444,'Talente &amp; Stuff'!FU:GV,4,FALSE)</f>
        <v>0</v>
      </c>
      <c r="G444" s="122">
        <f>VLOOKUP(C444,'Talente &amp; Stuff'!FU:GV,5,FALSE)</f>
        <v>0</v>
      </c>
      <c r="H444" s="122">
        <f>VLOOKUP(C444,'Talente &amp; Stuff'!FU:GV,6,FALSE)</f>
        <v>0</v>
      </c>
      <c r="I444" s="122">
        <f>VLOOKUP(C444,'Talente &amp; Stuff'!FU:GV,7,FALSE)</f>
        <v>0</v>
      </c>
      <c r="J444" s="122">
        <f>VLOOKUP(C444,'Talente &amp; Stuff'!FU:GV,8,FALSE)</f>
        <v>0</v>
      </c>
      <c r="K444" s="122">
        <f>VLOOKUP(C444,'Talente &amp; Stuff'!FU:GV,9,FALSE)</f>
        <v>0</v>
      </c>
      <c r="L444" s="122">
        <f>VLOOKUP(C444,'Talente &amp; Stuff'!FU:GV,10,FALSE)</f>
        <v>0</v>
      </c>
      <c r="M444" s="123">
        <f>VLOOKUP(C444,'Talente &amp; Stuff'!FU:GV,11,FALSE)</f>
        <v>0</v>
      </c>
      <c r="N444" s="88">
        <f>VLOOKUP(C444,'Talente &amp; Stuff'!FU:GV,12,FALSE)</f>
        <v>0</v>
      </c>
      <c r="O444" s="88">
        <f>VLOOKUP(C444,'Talente &amp; Stuff'!FU:GV,13,FALSE)</f>
        <v>0</v>
      </c>
      <c r="P444" s="122">
        <f>VLOOKUP(C444,'Talente &amp; Stuff'!FU:GV,14,FALSE)</f>
        <v>0</v>
      </c>
      <c r="Q444" s="115">
        <f>VLOOKUP(C444,'Talente &amp; Stuff'!FU:GV,15,FALSE)</f>
        <v>0</v>
      </c>
      <c r="R444" s="122">
        <f>VLOOKUP(C444,'Talente &amp; Stuff'!FU:GV,16,FALSE)</f>
        <v>0</v>
      </c>
      <c r="S444" s="123">
        <f>VLOOKUP(C444,'Talente &amp; Stuff'!FU:GV,17,FALSE)</f>
        <v>0</v>
      </c>
      <c r="T444" s="161">
        <f>VLOOKUP(C444,'Talente &amp; Stuff'!FU:GV,18,FALSE)</f>
        <v>0</v>
      </c>
      <c r="U444" s="90">
        <f>VLOOKUP(C444,'Talente &amp; Stuff'!FU:GV,19,FALSE)</f>
        <v>0</v>
      </c>
      <c r="V444" s="88">
        <f>VLOOKUP(C444,'Talente &amp; Stuff'!FU:GV,20,FALSE)</f>
        <v>0</v>
      </c>
      <c r="W444" s="128">
        <f>VLOOKUP(C444,'Talente &amp; Stuff'!FU:GV,21,FALSE)</f>
        <v>0</v>
      </c>
      <c r="X444" s="128">
        <f>VLOOKUP(C444,'Talente &amp; Stuff'!FU:GV,22,FALSE)</f>
        <v>0</v>
      </c>
      <c r="Y444" s="165">
        <f>VLOOKUP(C444,Ausgewählte_Liturgien_Rondra,197,FALSE)</f>
        <v>0</v>
      </c>
      <c r="Z444" s="44">
        <f>VLOOKUP(C444,Ausgewählte_Liturgien_Rondra,198,FALSE)</f>
        <v>0</v>
      </c>
      <c r="AA444" s="159">
        <f>VLOOKUP(C444,'Talente &amp; Stuff'!FU:GV,25,FALSE)</f>
        <v>0</v>
      </c>
      <c r="AB444" s="161">
        <f>VLOOKUP(C444,'Talente &amp; Stuff'!FU:GV,26,FALSE)</f>
        <v>0</v>
      </c>
      <c r="AC444" s="128">
        <f>VLOOKUP(C444,'Talente &amp; Stuff'!FU:GV,27,FALSE)</f>
        <v>0</v>
      </c>
      <c r="AD444" s="159">
        <f>VLOOKUP(C444,'Talente &amp; Stuff'!FU:GV,28,FALSE)</f>
        <v>0</v>
      </c>
      <c r="AE444" s="28"/>
    </row>
    <row r="445" spans="1:31" ht="15.75" hidden="1" customHeight="1" outlineLevel="1" collapsed="1" thickBot="1"/>
    <row r="446" spans="1:31" ht="15.75" collapsed="1" thickBot="1">
      <c r="A446" s="135" t="s">
        <v>269</v>
      </c>
      <c r="X446" s="140"/>
    </row>
    <row r="447" spans="1:31" ht="15" hidden="1" customHeight="1" outlineLevel="1">
      <c r="B447" s="134" t="s">
        <v>327</v>
      </c>
    </row>
    <row r="448" spans="1:31" ht="15" hidden="1" customHeight="1" outlineLevel="2">
      <c r="B448" s="148">
        <v>1</v>
      </c>
      <c r="C448" s="176" t="str">
        <f>Attribute!C448</f>
        <v>---</v>
      </c>
      <c r="D448" s="158" t="str">
        <f>VLOOKUP(C448,'Talente &amp; Stuff'!FU:GV,2,FALSE)</f>
        <v>--/--/--</v>
      </c>
      <c r="E448" s="126" t="str">
        <f>VLOOKUP(C448,'Talente &amp; Stuff'!FU:GV,3,FALSE)</f>
        <v>-</v>
      </c>
      <c r="F448" s="191">
        <f>VLOOKUP(C448,'Talente &amp; Stuff'!FU:GV,4,FALSE)</f>
        <v>0</v>
      </c>
      <c r="G448" s="118">
        <f>VLOOKUP(C448,'Talente &amp; Stuff'!FU:GV,5,FALSE)</f>
        <v>0</v>
      </c>
      <c r="H448" s="118">
        <f>VLOOKUP(C448,'Talente &amp; Stuff'!FU:GV,6,FALSE)</f>
        <v>0</v>
      </c>
      <c r="I448" s="118">
        <f>VLOOKUP(C448,'Talente &amp; Stuff'!FU:GV,7,FALSE)</f>
        <v>0</v>
      </c>
      <c r="J448" s="118">
        <f>VLOOKUP(C448,'Talente &amp; Stuff'!FU:GV,8,FALSE)</f>
        <v>0</v>
      </c>
      <c r="K448" s="118">
        <f>VLOOKUP(C448,'Talente &amp; Stuff'!FU:GV,9,FALSE)</f>
        <v>0</v>
      </c>
      <c r="L448" s="118">
        <f>VLOOKUP(C448,'Talente &amp; Stuff'!FU:GV,10,FALSE)</f>
        <v>0</v>
      </c>
      <c r="M448" s="92">
        <f>VLOOKUP(C448,'Talente &amp; Stuff'!FU:GV,11,FALSE)</f>
        <v>0</v>
      </c>
      <c r="N448" s="116">
        <f>VLOOKUP(C448,'Talente &amp; Stuff'!FU:GV,12,FALSE)</f>
        <v>0</v>
      </c>
      <c r="O448" s="116">
        <f>VLOOKUP(C448,'Talente &amp; Stuff'!FU:GV,13,FALSE)</f>
        <v>0</v>
      </c>
      <c r="P448" s="92">
        <f>VLOOKUP(C448,'Talente &amp; Stuff'!FU:GV,14,FALSE)</f>
        <v>0</v>
      </c>
      <c r="Q448" s="191">
        <f>VLOOKUP(C448,'Talente &amp; Stuff'!FU:GV,15,FALSE)</f>
        <v>0</v>
      </c>
      <c r="R448" s="118">
        <f>VLOOKUP(C448,'Talente &amp; Stuff'!FU:GV,16,FALSE)</f>
        <v>0</v>
      </c>
      <c r="S448" s="92">
        <f>VLOOKUP(C448,'Talente &amp; Stuff'!FU:GV,17,FALSE)</f>
        <v>0</v>
      </c>
      <c r="T448" s="92">
        <f>VLOOKUP(C448,'Talente &amp; Stuff'!FU:GV,18,FALSE)</f>
        <v>0</v>
      </c>
      <c r="U448" s="193">
        <f>VLOOKUP(C448,'Talente &amp; Stuff'!FU:GV,19,FALSE)</f>
        <v>0</v>
      </c>
      <c r="V448" s="116">
        <f>VLOOKUP(C448,'Talente &amp; Stuff'!FU:GV,20,FALSE)</f>
        <v>0</v>
      </c>
      <c r="W448" s="126">
        <f>VLOOKUP(C448,'Talente &amp; Stuff'!FU:GV,21,FALSE)</f>
        <v>0</v>
      </c>
      <c r="X448" s="126">
        <f>VLOOKUP(C448,'Talente &amp; Stuff'!FU:GV,22,FALSE)</f>
        <v>0</v>
      </c>
      <c r="Y448" s="165">
        <f>VLOOKUP(C448,Ausgewählte_Zeremonien_Allgemein,197,FALSE)</f>
        <v>0</v>
      </c>
      <c r="Z448" s="44">
        <f>VLOOKUP(C448,Ausgewählte_Zeremonien_Allgemein,198,FALSE)</f>
        <v>0</v>
      </c>
      <c r="AA448" s="158">
        <f>VLOOKUP(C448,'Talente &amp; Stuff'!FU:GV,25,FALSE)</f>
        <v>0</v>
      </c>
      <c r="AB448" s="91">
        <f>VLOOKUP(C448,'Talente &amp; Stuff'!FU:GV,26,FALSE)</f>
        <v>0</v>
      </c>
      <c r="AC448" s="126">
        <f>VLOOKUP(C448,'Talente &amp; Stuff'!FU:GV,27,FALSE)</f>
        <v>0</v>
      </c>
      <c r="AD448" s="158">
        <f>VLOOKUP(C448,'Talente &amp; Stuff'!FU:GV,28,FALSE)</f>
        <v>0</v>
      </c>
      <c r="AE448" s="28"/>
    </row>
    <row r="449" spans="2:31" ht="15" hidden="1" customHeight="1" outlineLevel="2">
      <c r="B449" s="148">
        <v>2</v>
      </c>
      <c r="C449" s="178" t="str">
        <f>Attribute!C449</f>
        <v>---</v>
      </c>
      <c r="D449" s="159" t="str">
        <f>VLOOKUP(C449,'Talente &amp; Stuff'!FU:GV,2,FALSE)</f>
        <v>--/--/--</v>
      </c>
      <c r="E449" s="128" t="str">
        <f>VLOOKUP(C449,'Talente &amp; Stuff'!FU:GV,3,FALSE)</f>
        <v>-</v>
      </c>
      <c r="F449" s="115">
        <f>VLOOKUP(C449,'Talente &amp; Stuff'!FU:GV,4,FALSE)</f>
        <v>0</v>
      </c>
      <c r="G449" s="122">
        <f>VLOOKUP(C449,'Talente &amp; Stuff'!FU:GV,5,FALSE)</f>
        <v>0</v>
      </c>
      <c r="H449" s="122">
        <f>VLOOKUP(C449,'Talente &amp; Stuff'!FU:GV,6,FALSE)</f>
        <v>0</v>
      </c>
      <c r="I449" s="122">
        <f>VLOOKUP(C449,'Talente &amp; Stuff'!FU:GV,7,FALSE)</f>
        <v>0</v>
      </c>
      <c r="J449" s="122">
        <f>VLOOKUP(C449,'Talente &amp; Stuff'!FU:GV,8,FALSE)</f>
        <v>0</v>
      </c>
      <c r="K449" s="122">
        <f>VLOOKUP(C449,'Talente &amp; Stuff'!FU:GV,9,FALSE)</f>
        <v>0</v>
      </c>
      <c r="L449" s="122">
        <f>VLOOKUP(C449,'Talente &amp; Stuff'!FU:GV,10,FALSE)</f>
        <v>0</v>
      </c>
      <c r="M449" s="123">
        <f>VLOOKUP(C449,'Talente &amp; Stuff'!FU:GV,11,FALSE)</f>
        <v>0</v>
      </c>
      <c r="N449" s="88">
        <f>VLOOKUP(C449,'Talente &amp; Stuff'!FU:GV,12,FALSE)</f>
        <v>0</v>
      </c>
      <c r="O449" s="88">
        <f>VLOOKUP(C449,'Talente &amp; Stuff'!FU:GV,13,FALSE)</f>
        <v>0</v>
      </c>
      <c r="P449" s="123">
        <f>VLOOKUP(C449,'Talente &amp; Stuff'!FU:GV,14,FALSE)</f>
        <v>0</v>
      </c>
      <c r="Q449" s="115">
        <f>VLOOKUP(C449,'Talente &amp; Stuff'!FU:GV,15,FALSE)</f>
        <v>0</v>
      </c>
      <c r="R449" s="122">
        <f>VLOOKUP(C449,'Talente &amp; Stuff'!FU:GV,16,FALSE)</f>
        <v>0</v>
      </c>
      <c r="S449" s="123">
        <f>VLOOKUP(C449,'Talente &amp; Stuff'!FU:GV,17,FALSE)</f>
        <v>0</v>
      </c>
      <c r="T449" s="123">
        <f>VLOOKUP(C449,'Talente &amp; Stuff'!FU:GV,18,FALSE)</f>
        <v>0</v>
      </c>
      <c r="U449" s="90">
        <f>VLOOKUP(C449,'Talente &amp; Stuff'!FU:GV,19,FALSE)</f>
        <v>0</v>
      </c>
      <c r="V449" s="88">
        <f>VLOOKUP(C449,'Talente &amp; Stuff'!FU:GV,20,FALSE)</f>
        <v>0</v>
      </c>
      <c r="W449" s="128">
        <f>VLOOKUP(C449,'Talente &amp; Stuff'!FU:GV,21,FALSE)</f>
        <v>0</v>
      </c>
      <c r="X449" s="128">
        <f>VLOOKUP(C449,'Talente &amp; Stuff'!FU:GV,22,FALSE)</f>
        <v>0</v>
      </c>
      <c r="Y449" s="165">
        <f>VLOOKUP(C449,Ausgewählte_Zeremonien_Allgemein,197,FALSE)</f>
        <v>0</v>
      </c>
      <c r="Z449" s="44">
        <f>VLOOKUP(C449,Ausgewählte_Zeremonien_Allgemein,198,FALSE)</f>
        <v>0</v>
      </c>
      <c r="AA449" s="159">
        <f>VLOOKUP(C449,'Talente &amp; Stuff'!FU:GV,25,FALSE)</f>
        <v>0</v>
      </c>
      <c r="AB449" s="161">
        <f>VLOOKUP(C449,'Talente &amp; Stuff'!FU:GV,26,FALSE)</f>
        <v>0</v>
      </c>
      <c r="AC449" s="128">
        <f>VLOOKUP(C449,'Talente &amp; Stuff'!FU:GV,27,FALSE)</f>
        <v>0</v>
      </c>
      <c r="AD449" s="159">
        <f>VLOOKUP(C449,'Talente &amp; Stuff'!FU:GV,28,FALSE)</f>
        <v>0</v>
      </c>
      <c r="AE449" s="28"/>
    </row>
    <row r="450" spans="2:31" ht="15" hidden="1" customHeight="1" outlineLevel="1" collapsed="1">
      <c r="B450" s="134" t="s">
        <v>326</v>
      </c>
      <c r="C450" s="83"/>
      <c r="D450" s="84"/>
      <c r="E450" s="84"/>
    </row>
    <row r="451" spans="2:31" ht="15" hidden="1" customHeight="1" outlineLevel="2">
      <c r="B451" s="148">
        <v>0</v>
      </c>
      <c r="C451" s="134"/>
      <c r="D451" s="40"/>
      <c r="E451" s="182"/>
      <c r="F451" s="17"/>
      <c r="G451" s="183"/>
      <c r="H451" s="183"/>
      <c r="I451" s="183"/>
      <c r="J451" s="183"/>
      <c r="K451" s="183"/>
      <c r="L451" s="183"/>
      <c r="M451" s="180"/>
      <c r="N451" s="179"/>
      <c r="O451" s="179"/>
      <c r="P451" s="180"/>
      <c r="Q451" s="17"/>
      <c r="R451" s="183"/>
      <c r="S451" s="180"/>
      <c r="T451" s="180"/>
      <c r="U451" s="166"/>
      <c r="V451" s="179"/>
      <c r="W451" s="182"/>
      <c r="X451" s="182"/>
      <c r="Y451" s="134"/>
      <c r="Z451" s="44"/>
      <c r="AA451" s="40"/>
      <c r="AB451" s="189"/>
      <c r="AC451" s="182"/>
      <c r="AD451" s="40"/>
    </row>
    <row r="452" spans="2:31" ht="15" hidden="1" customHeight="1" outlineLevel="1" collapsed="1">
      <c r="B452" s="134" t="s">
        <v>325</v>
      </c>
      <c r="C452" s="83"/>
      <c r="D452" s="84"/>
      <c r="E452" s="84"/>
    </row>
    <row r="453" spans="2:31" ht="15" hidden="1" customHeight="1" outlineLevel="2">
      <c r="B453" s="148">
        <v>0</v>
      </c>
      <c r="C453" s="134"/>
      <c r="D453" s="40"/>
      <c r="E453" s="182"/>
      <c r="F453" s="17"/>
      <c r="G453" s="183"/>
      <c r="H453" s="183"/>
      <c r="I453" s="183"/>
      <c r="J453" s="183"/>
      <c r="K453" s="183"/>
      <c r="L453" s="183"/>
      <c r="M453" s="180"/>
      <c r="N453" s="179"/>
      <c r="O453" s="179"/>
      <c r="P453" s="180"/>
      <c r="Q453" s="17"/>
      <c r="R453" s="183"/>
      <c r="S453" s="180"/>
      <c r="T453" s="180"/>
      <c r="U453" s="166"/>
      <c r="V453" s="179"/>
      <c r="W453" s="182"/>
      <c r="X453" s="182"/>
      <c r="Y453" s="134"/>
      <c r="Z453" s="44"/>
      <c r="AA453" s="40"/>
      <c r="AB453" s="189"/>
      <c r="AC453" s="182"/>
      <c r="AD453" s="40"/>
    </row>
    <row r="454" spans="2:31" ht="15" hidden="1" customHeight="1" outlineLevel="1" collapsed="1">
      <c r="B454" s="134" t="s">
        <v>324</v>
      </c>
      <c r="C454" s="83"/>
      <c r="D454" s="84"/>
      <c r="E454" s="84"/>
    </row>
    <row r="455" spans="2:31" ht="15" hidden="1" customHeight="1" outlineLevel="2">
      <c r="B455" s="148">
        <v>1</v>
      </c>
      <c r="C455" s="200" t="str">
        <f>Attribute!C455</f>
        <v>---</v>
      </c>
      <c r="D455" s="40" t="str">
        <f>VLOOKUP(C455,'Talente &amp; Stuff'!FU:GV,2,FALSE)</f>
        <v>--/--/--</v>
      </c>
      <c r="E455" s="182" t="str">
        <f>VLOOKUP(C455,'Talente &amp; Stuff'!FU:GV,3,FALSE)</f>
        <v>-</v>
      </c>
      <c r="F455" s="17">
        <f>VLOOKUP(C455,'Talente &amp; Stuff'!FU:GV,4,FALSE)</f>
        <v>0</v>
      </c>
      <c r="G455" s="183">
        <f>VLOOKUP(C455,'Talente &amp; Stuff'!FU:GV,5,FALSE)</f>
        <v>0</v>
      </c>
      <c r="H455" s="183">
        <f>VLOOKUP(C455,'Talente &amp; Stuff'!FU:GV,6,FALSE)</f>
        <v>0</v>
      </c>
      <c r="I455" s="183">
        <f>VLOOKUP(C455,'Talente &amp; Stuff'!FU:GV,7,FALSE)</f>
        <v>0</v>
      </c>
      <c r="J455" s="183">
        <f>VLOOKUP(C455,'Talente &amp; Stuff'!FU:GV,8,FALSE)</f>
        <v>0</v>
      </c>
      <c r="K455" s="183">
        <f>VLOOKUP(C455,'Talente &amp; Stuff'!FU:GV,9,FALSE)</f>
        <v>0</v>
      </c>
      <c r="L455" s="183">
        <f>VLOOKUP(C455,'Talente &amp; Stuff'!FU:GV,10,FALSE)</f>
        <v>0</v>
      </c>
      <c r="M455" s="180">
        <f>VLOOKUP(C455,'Talente &amp; Stuff'!FU:GV,11,FALSE)</f>
        <v>0</v>
      </c>
      <c r="N455" s="179">
        <f>VLOOKUP(C455,'Talente &amp; Stuff'!FU:GV,12,FALSE)</f>
        <v>0</v>
      </c>
      <c r="O455" s="179">
        <f>VLOOKUP(C455,'Talente &amp; Stuff'!FU:GV,13,FALSE)</f>
        <v>0</v>
      </c>
      <c r="P455" s="180">
        <f>VLOOKUP(C455,'Talente &amp; Stuff'!FU:GV,14,FALSE)</f>
        <v>0</v>
      </c>
      <c r="Q455" s="17">
        <f>VLOOKUP(C455,'Talente &amp; Stuff'!FU:GV,15,FALSE)</f>
        <v>0</v>
      </c>
      <c r="R455" s="183">
        <f>VLOOKUP(C455,'Talente &amp; Stuff'!FU:GV,16,FALSE)</f>
        <v>0</v>
      </c>
      <c r="S455" s="180">
        <f>VLOOKUP(C455,'Talente &amp; Stuff'!FU:GV,17,FALSE)</f>
        <v>0</v>
      </c>
      <c r="T455" s="180">
        <f>VLOOKUP(C455,'Talente &amp; Stuff'!FU:GV,18,FALSE)</f>
        <v>0</v>
      </c>
      <c r="U455" s="166">
        <f>VLOOKUP(C455,'Talente &amp; Stuff'!FU:GV,19,FALSE)</f>
        <v>0</v>
      </c>
      <c r="V455" s="179">
        <f>VLOOKUP(C455,'Talente &amp; Stuff'!FU:GV,20,FALSE)</f>
        <v>0</v>
      </c>
      <c r="W455" s="182">
        <f>VLOOKUP(C455,'Talente &amp; Stuff'!FU:GV,21,FALSE)</f>
        <v>0</v>
      </c>
      <c r="X455" s="182">
        <f>VLOOKUP(C455,'Talente &amp; Stuff'!FU:GV,22,FALSE)</f>
        <v>0</v>
      </c>
      <c r="Y455" s="165">
        <f>VLOOKUP(C455,Ausgewählte_Zeremonien_Peraine,197,FALSE)</f>
        <v>0</v>
      </c>
      <c r="Z455" s="44">
        <f>VLOOKUP(C455,Ausgewählte_Zeremonien_Peraine,198,FALSE)</f>
        <v>0</v>
      </c>
      <c r="AA455" s="40">
        <f>VLOOKUP(C455,'Talente &amp; Stuff'!FU:GV,25,FALSE)</f>
        <v>0</v>
      </c>
      <c r="AB455" s="189">
        <f>VLOOKUP(C455,'Talente &amp; Stuff'!FU:GV,26,FALSE)</f>
        <v>0</v>
      </c>
      <c r="AC455" s="182">
        <f>VLOOKUP(C455,'Talente &amp; Stuff'!FU:GV,27,FALSE)</f>
        <v>0</v>
      </c>
      <c r="AD455" s="40">
        <f>VLOOKUP(C455,'Talente &amp; Stuff'!FU:GV,28,FALSE)</f>
        <v>0</v>
      </c>
      <c r="AE455" s="28"/>
    </row>
    <row r="456" spans="2:31" ht="15" hidden="1" customHeight="1" outlineLevel="1" collapsed="1">
      <c r="B456" s="134" t="s">
        <v>323</v>
      </c>
      <c r="C456" s="83"/>
      <c r="D456" s="84"/>
      <c r="E456" s="84"/>
    </row>
    <row r="457" spans="2:31" ht="15" hidden="1" customHeight="1" outlineLevel="2">
      <c r="B457" s="148">
        <v>1</v>
      </c>
      <c r="C457" s="200" t="str">
        <f>Attribute!C457</f>
        <v>---</v>
      </c>
      <c r="D457" s="40" t="str">
        <f>VLOOKUP(C457,'Talente &amp; Stuff'!FU:GV,2,FALSE)</f>
        <v>--/--/--</v>
      </c>
      <c r="E457" s="182" t="str">
        <f>VLOOKUP(C457,'Talente &amp; Stuff'!FU:GV,3,FALSE)</f>
        <v>-</v>
      </c>
      <c r="F457" s="17">
        <f>VLOOKUP(C457,'Talente &amp; Stuff'!FU:GV,4,FALSE)</f>
        <v>0</v>
      </c>
      <c r="G457" s="183">
        <f>VLOOKUP(C457,'Talente &amp; Stuff'!FU:GV,5,FALSE)</f>
        <v>0</v>
      </c>
      <c r="H457" s="183">
        <f>VLOOKUP(C457,'Talente &amp; Stuff'!FU:GV,6,FALSE)</f>
        <v>0</v>
      </c>
      <c r="I457" s="183">
        <f>VLOOKUP(C457,'Talente &amp; Stuff'!FU:GV,7,FALSE)</f>
        <v>0</v>
      </c>
      <c r="J457" s="183">
        <f>VLOOKUP(C457,'Talente &amp; Stuff'!FU:GV,8,FALSE)</f>
        <v>0</v>
      </c>
      <c r="K457" s="183">
        <f>VLOOKUP(C457,'Talente &amp; Stuff'!FU:GV,9,FALSE)</f>
        <v>0</v>
      </c>
      <c r="L457" s="183">
        <f>VLOOKUP(C457,'Talente &amp; Stuff'!FU:GV,10,FALSE)</f>
        <v>0</v>
      </c>
      <c r="M457" s="180">
        <f>VLOOKUP(C457,'Talente &amp; Stuff'!FU:GV,11,FALSE)</f>
        <v>0</v>
      </c>
      <c r="N457" s="179">
        <f>VLOOKUP(C457,'Talente &amp; Stuff'!FU:GV,12,FALSE)</f>
        <v>0</v>
      </c>
      <c r="O457" s="179">
        <f>VLOOKUP(C457,'Talente &amp; Stuff'!FU:GV,13,FALSE)</f>
        <v>0</v>
      </c>
      <c r="P457" s="180">
        <f>VLOOKUP(C457,'Talente &amp; Stuff'!FU:GV,14,FALSE)</f>
        <v>0</v>
      </c>
      <c r="Q457" s="17">
        <f>VLOOKUP(C457,'Talente &amp; Stuff'!FU:GV,15,FALSE)</f>
        <v>0</v>
      </c>
      <c r="R457" s="183">
        <f>VLOOKUP(C457,'Talente &amp; Stuff'!FU:GV,16,FALSE)</f>
        <v>0</v>
      </c>
      <c r="S457" s="180">
        <f>VLOOKUP(C457,'Talente &amp; Stuff'!FU:GV,17,FALSE)</f>
        <v>0</v>
      </c>
      <c r="T457" s="180">
        <f>VLOOKUP(C457,'Talente &amp; Stuff'!FU:GV,18,FALSE)</f>
        <v>0</v>
      </c>
      <c r="U457" s="166">
        <f>VLOOKUP(C457,'Talente &amp; Stuff'!FU:GV,19,FALSE)</f>
        <v>0</v>
      </c>
      <c r="V457" s="179">
        <f>VLOOKUP(C457,'Talente &amp; Stuff'!FU:GV,20,FALSE)</f>
        <v>0</v>
      </c>
      <c r="W457" s="182">
        <f>VLOOKUP(C457,'Talente &amp; Stuff'!FU:GV,21,FALSE)</f>
        <v>0</v>
      </c>
      <c r="X457" s="182">
        <f>VLOOKUP(C457,'Talente &amp; Stuff'!FU:GV,22,FALSE)</f>
        <v>0</v>
      </c>
      <c r="Y457" s="165">
        <f>VLOOKUP(C457,Ausgewählte_Zeremonien_Phex,197,FALSE)</f>
        <v>0</v>
      </c>
      <c r="Z457" s="44">
        <f>VLOOKUP(C457,Ausgewählte_Zeremonien_Phex,198,FALSE)</f>
        <v>0</v>
      </c>
      <c r="AA457" s="40">
        <f>VLOOKUP(C457,'Talente &amp; Stuff'!FU:GV,25,FALSE)</f>
        <v>0</v>
      </c>
      <c r="AB457" s="189">
        <f>VLOOKUP(C457,'Talente &amp; Stuff'!FU:GV,26,FALSE)</f>
        <v>0</v>
      </c>
      <c r="AC457" s="182">
        <f>VLOOKUP(C457,'Talente &amp; Stuff'!FU:GV,27,FALSE)</f>
        <v>0</v>
      </c>
      <c r="AD457" s="40">
        <f>VLOOKUP(C457,'Talente &amp; Stuff'!FU:GV,28,FALSE)</f>
        <v>0</v>
      </c>
      <c r="AE457" s="28"/>
    </row>
    <row r="458" spans="2:31" ht="15" hidden="1" customHeight="1" outlineLevel="1" collapsed="1">
      <c r="B458" s="134" t="s">
        <v>322</v>
      </c>
      <c r="C458" s="83"/>
      <c r="D458" s="84"/>
      <c r="E458" s="84"/>
    </row>
    <row r="459" spans="2:31" ht="15" hidden="1" customHeight="1" outlineLevel="2">
      <c r="B459" s="148">
        <v>0</v>
      </c>
      <c r="C459" s="134"/>
      <c r="D459" s="40"/>
      <c r="E459" s="182"/>
      <c r="F459" s="17"/>
      <c r="G459" s="183"/>
      <c r="H459" s="183"/>
      <c r="I459" s="183"/>
      <c r="J459" s="183"/>
      <c r="K459" s="183"/>
      <c r="L459" s="183"/>
      <c r="M459" s="180"/>
      <c r="N459" s="179"/>
      <c r="O459" s="179"/>
      <c r="P459" s="180"/>
      <c r="Q459" s="17"/>
      <c r="R459" s="183"/>
      <c r="S459" s="180"/>
      <c r="T459" s="180"/>
      <c r="U459" s="166"/>
      <c r="V459" s="179"/>
      <c r="W459" s="182"/>
      <c r="X459" s="182"/>
      <c r="Y459" s="134"/>
      <c r="Z459" s="44"/>
      <c r="AA459" s="40"/>
      <c r="AB459" s="189"/>
      <c r="AC459" s="182"/>
      <c r="AD459" s="40"/>
    </row>
    <row r="460" spans="2:31" ht="15" hidden="1" customHeight="1" outlineLevel="1" collapsed="1">
      <c r="B460" s="134" t="s">
        <v>321</v>
      </c>
      <c r="C460" s="83"/>
      <c r="D460" s="84"/>
      <c r="E460" s="84"/>
    </row>
    <row r="461" spans="2:31" ht="15" hidden="1" customHeight="1" outlineLevel="2">
      <c r="B461" s="148">
        <v>1</v>
      </c>
      <c r="C461" s="176" t="str">
        <f>Attribute!C461</f>
        <v>---</v>
      </c>
      <c r="D461" s="158" t="str">
        <f>VLOOKUP(C461,'Talente &amp; Stuff'!FU:GV,2,FALSE)</f>
        <v>--/--/--</v>
      </c>
      <c r="E461" s="126" t="str">
        <f>VLOOKUP(C461,'Talente &amp; Stuff'!FU:GV,3,FALSE)</f>
        <v>-</v>
      </c>
      <c r="F461" s="191">
        <f>VLOOKUP(C461,'Talente &amp; Stuff'!FU:GV,4,FALSE)</f>
        <v>0</v>
      </c>
      <c r="G461" s="118">
        <f>VLOOKUP(C461,'Talente &amp; Stuff'!FU:GV,5,FALSE)</f>
        <v>0</v>
      </c>
      <c r="H461" s="118">
        <f>VLOOKUP(C461,'Talente &amp; Stuff'!FU:GV,6,FALSE)</f>
        <v>0</v>
      </c>
      <c r="I461" s="118">
        <f>VLOOKUP(C461,'Talente &amp; Stuff'!FU:GV,7,FALSE)</f>
        <v>0</v>
      </c>
      <c r="J461" s="118">
        <f>VLOOKUP(C461,'Talente &amp; Stuff'!FU:GV,8,FALSE)</f>
        <v>0</v>
      </c>
      <c r="K461" s="118">
        <f>VLOOKUP(C461,'Talente &amp; Stuff'!FU:GV,9,FALSE)</f>
        <v>0</v>
      </c>
      <c r="L461" s="118">
        <f>VLOOKUP(C461,'Talente &amp; Stuff'!FU:GV,10,FALSE)</f>
        <v>0</v>
      </c>
      <c r="M461" s="92">
        <f>VLOOKUP(C461,'Talente &amp; Stuff'!FU:GV,11,FALSE)</f>
        <v>0</v>
      </c>
      <c r="N461" s="116">
        <f>VLOOKUP(C461,'Talente &amp; Stuff'!FU:GV,12,FALSE)</f>
        <v>0</v>
      </c>
      <c r="O461" s="116">
        <f>VLOOKUP(C461,'Talente &amp; Stuff'!FU:GV,13,FALSE)</f>
        <v>0</v>
      </c>
      <c r="P461" s="92">
        <f>VLOOKUP(C461,'Talente &amp; Stuff'!FU:GV,14,FALSE)</f>
        <v>0</v>
      </c>
      <c r="Q461" s="191">
        <f>VLOOKUP(C461,'Talente &amp; Stuff'!FU:GV,15,FALSE)</f>
        <v>0</v>
      </c>
      <c r="R461" s="118">
        <f>VLOOKUP(C461,'Talente &amp; Stuff'!FU:GV,16,FALSE)</f>
        <v>0</v>
      </c>
      <c r="S461" s="92">
        <f>VLOOKUP(C461,'Talente &amp; Stuff'!FU:GV,17,FALSE)</f>
        <v>0</v>
      </c>
      <c r="T461" s="92">
        <f>VLOOKUP(C461,'Talente &amp; Stuff'!FU:GV,18,FALSE)</f>
        <v>0</v>
      </c>
      <c r="U461" s="193">
        <f>VLOOKUP(C461,'Talente &amp; Stuff'!FU:GV,19,FALSE)</f>
        <v>0</v>
      </c>
      <c r="V461" s="116">
        <f>VLOOKUP(C461,'Talente &amp; Stuff'!FU:GV,20,FALSE)</f>
        <v>0</v>
      </c>
      <c r="W461" s="126">
        <f>VLOOKUP(C461,'Talente &amp; Stuff'!FU:GV,21,FALSE)</f>
        <v>0</v>
      </c>
      <c r="X461" s="126">
        <f>VLOOKUP(C461,'Talente &amp; Stuff'!FU:GV,22,FALSE)</f>
        <v>0</v>
      </c>
      <c r="Y461" s="165">
        <f>VLOOKUP(C461,Ausgewählte_Zeremonien_Rondra,197,FALSE)</f>
        <v>0</v>
      </c>
      <c r="Z461" s="44">
        <f>VLOOKUP(C461,Ausgewählte_Zeremonien_Rondra,198,FALSE)</f>
        <v>0</v>
      </c>
      <c r="AA461" s="158">
        <f>VLOOKUP(C461,'Talente &amp; Stuff'!FU:GV,25,FALSE)</f>
        <v>0</v>
      </c>
      <c r="AB461" s="91">
        <f>VLOOKUP(C461,'Talente &amp; Stuff'!FU:GV,26,FALSE)</f>
        <v>0</v>
      </c>
      <c r="AC461" s="126">
        <f>VLOOKUP(C461,'Talente &amp; Stuff'!FU:GV,27,FALSE)</f>
        <v>0</v>
      </c>
      <c r="AD461" s="158">
        <f>VLOOKUP(C461,'Talente &amp; Stuff'!FU:GV,28,FALSE)</f>
        <v>0</v>
      </c>
      <c r="AE461" s="28"/>
    </row>
    <row r="462" spans="2:31" ht="15" hidden="1" customHeight="1" outlineLevel="2">
      <c r="B462" s="148">
        <v>2</v>
      </c>
      <c r="C462" s="178" t="str">
        <f>Attribute!C462</f>
        <v>---</v>
      </c>
      <c r="D462" s="159" t="str">
        <f>VLOOKUP(C462,'Talente &amp; Stuff'!FU:GV,2,FALSE)</f>
        <v>--/--/--</v>
      </c>
      <c r="E462" s="128" t="str">
        <f>VLOOKUP(C462,'Talente &amp; Stuff'!FU:GV,3,FALSE)</f>
        <v>-</v>
      </c>
      <c r="F462" s="115">
        <f>VLOOKUP(C462,'Talente &amp; Stuff'!FU:GV,4,FALSE)</f>
        <v>0</v>
      </c>
      <c r="G462" s="122">
        <f>VLOOKUP(C462,'Talente &amp; Stuff'!FU:GV,5,FALSE)</f>
        <v>0</v>
      </c>
      <c r="H462" s="122">
        <f>VLOOKUP(C462,'Talente &amp; Stuff'!FU:GV,6,FALSE)</f>
        <v>0</v>
      </c>
      <c r="I462" s="122">
        <f>VLOOKUP(C462,'Talente &amp; Stuff'!FU:GV,7,FALSE)</f>
        <v>0</v>
      </c>
      <c r="J462" s="122">
        <f>VLOOKUP(C462,'Talente &amp; Stuff'!FU:GV,8,FALSE)</f>
        <v>0</v>
      </c>
      <c r="K462" s="122">
        <f>VLOOKUP(C462,'Talente &amp; Stuff'!FU:GV,9,FALSE)</f>
        <v>0</v>
      </c>
      <c r="L462" s="122">
        <f>VLOOKUP(C462,'Talente &amp; Stuff'!FU:GV,10,FALSE)</f>
        <v>0</v>
      </c>
      <c r="M462" s="123">
        <f>VLOOKUP(C462,'Talente &amp; Stuff'!FU:GV,11,FALSE)</f>
        <v>0</v>
      </c>
      <c r="N462" s="88">
        <f>VLOOKUP(C462,'Talente &amp; Stuff'!FU:GV,12,FALSE)</f>
        <v>0</v>
      </c>
      <c r="O462" s="88">
        <f>VLOOKUP(C462,'Talente &amp; Stuff'!FU:GV,13,FALSE)</f>
        <v>0</v>
      </c>
      <c r="P462" s="123">
        <f>VLOOKUP(C462,'Talente &amp; Stuff'!FU:GV,14,FALSE)</f>
        <v>0</v>
      </c>
      <c r="Q462" s="115">
        <f>VLOOKUP(C462,'Talente &amp; Stuff'!FU:GV,15,FALSE)</f>
        <v>0</v>
      </c>
      <c r="R462" s="122">
        <f>VLOOKUP(C462,'Talente &amp; Stuff'!FU:GV,16,FALSE)</f>
        <v>0</v>
      </c>
      <c r="S462" s="123">
        <f>VLOOKUP(C462,'Talente &amp; Stuff'!FU:GV,17,FALSE)</f>
        <v>0</v>
      </c>
      <c r="T462" s="123">
        <f>VLOOKUP(C462,'Talente &amp; Stuff'!FU:GV,18,FALSE)</f>
        <v>0</v>
      </c>
      <c r="U462" s="90">
        <f>VLOOKUP(C462,'Talente &amp; Stuff'!FU:GV,19,FALSE)</f>
        <v>0</v>
      </c>
      <c r="V462" s="88">
        <f>VLOOKUP(C462,'Talente &amp; Stuff'!FU:GV,20,FALSE)</f>
        <v>0</v>
      </c>
      <c r="W462" s="128">
        <f>VLOOKUP(C462,'Talente &amp; Stuff'!FU:GV,21,FALSE)</f>
        <v>0</v>
      </c>
      <c r="X462" s="128">
        <f>VLOOKUP(C462,'Talente &amp; Stuff'!FU:GV,22,FALSE)</f>
        <v>0</v>
      </c>
      <c r="Y462" s="165">
        <f>VLOOKUP(C462,Ausgewählte_Zeremonien_Rondra,197,FALSE)</f>
        <v>0</v>
      </c>
      <c r="Z462" s="44">
        <f>VLOOKUP(C462,Ausgewählte_Zeremonien_Rondra,198,FALSE)</f>
        <v>0</v>
      </c>
      <c r="AA462" s="159">
        <f>VLOOKUP(C462,'Talente &amp; Stuff'!FU:GV,25,FALSE)</f>
        <v>0</v>
      </c>
      <c r="AB462" s="161">
        <f>VLOOKUP(C462,'Talente &amp; Stuff'!FU:GV,26,FALSE)</f>
        <v>0</v>
      </c>
      <c r="AC462" s="128">
        <f>VLOOKUP(C462,'Talente &amp; Stuff'!FU:GV,27,FALSE)</f>
        <v>0</v>
      </c>
      <c r="AD462" s="159">
        <f>VLOOKUP(C462,'Talente &amp; Stuff'!FU:GV,28,FALSE)</f>
        <v>0</v>
      </c>
      <c r="AE462" s="28"/>
    </row>
    <row r="463" spans="2:31" ht="15" hidden="1" customHeight="1" outlineLevel="1" collapsed="1"/>
    <row r="464" spans="2:31" collapsed="1"/>
    <row r="465" spans="3:31" ht="15.75" thickBot="1">
      <c r="C465" s="196"/>
      <c r="D465" s="4"/>
      <c r="E465" s="4"/>
      <c r="F465" s="6"/>
      <c r="G465" s="6"/>
      <c r="H465" s="6"/>
      <c r="I465" s="6"/>
      <c r="J465" s="6"/>
      <c r="K465" s="6"/>
      <c r="L465" s="6"/>
      <c r="M465" s="6"/>
      <c r="N465" s="4"/>
      <c r="O465" s="48"/>
      <c r="P465" s="6"/>
      <c r="Q465" s="101">
        <f>IFERROR(SUM(Q11:Q463)/COUNTIF(Q11:Q463,"&gt;0"),0)</f>
        <v>0</v>
      </c>
      <c r="R465" s="101">
        <f>IFERROR(SUM(R11:R463)/COUNTIF(R11:R463,"&gt;0"),0)</f>
        <v>0</v>
      </c>
      <c r="S465" s="101">
        <f>IFERROR(SUM(S11:S463)/COUNTIF(S11:S463,"&gt;0"),0)</f>
        <v>0</v>
      </c>
      <c r="T465" s="101">
        <f>Q465+R465+S465</f>
        <v>0</v>
      </c>
      <c r="U465" s="4"/>
      <c r="V465" s="4"/>
      <c r="W465" s="4"/>
      <c r="X465" s="4"/>
      <c r="Y465" s="74"/>
      <c r="Z465" s="1"/>
      <c r="AA465" s="4"/>
      <c r="AB465" s="6"/>
      <c r="AC465" s="4"/>
      <c r="AD465" s="27"/>
      <c r="AE465" s="28"/>
    </row>
    <row r="466" spans="3:31" ht="15.75" thickBot="1">
      <c r="C466" s="196"/>
      <c r="D466" s="4"/>
      <c r="E466" s="4"/>
      <c r="F466" s="274" t="s">
        <v>117</v>
      </c>
      <c r="G466" s="275"/>
      <c r="H466" s="275"/>
      <c r="I466" s="275"/>
      <c r="J466" s="275"/>
      <c r="K466" s="275"/>
      <c r="L466" s="276">
        <f>AVERAGE(F468:M468)</f>
        <v>0</v>
      </c>
      <c r="M466" s="277"/>
      <c r="N466" s="4"/>
      <c r="O466" s="4"/>
      <c r="P466" s="6"/>
      <c r="Q466" s="102" t="s">
        <v>113</v>
      </c>
      <c r="R466" s="102" t="s">
        <v>113</v>
      </c>
      <c r="S466" s="102" t="s">
        <v>113</v>
      </c>
      <c r="T466" s="102" t="s">
        <v>113</v>
      </c>
      <c r="U466" s="4"/>
      <c r="V466" s="4"/>
      <c r="W466" s="20" t="s">
        <v>117</v>
      </c>
      <c r="X466" s="19">
        <f>IFERROR(X468/COUNTIF(X11:X463,"&gt;0"),0)</f>
        <v>0</v>
      </c>
      <c r="Y466" s="204">
        <f>IFERROR(Y468/COUNTIF(Y11:Y463,"&gt;0"),0)</f>
        <v>0</v>
      </c>
      <c r="Z466" s="13">
        <f>IFERROR(Z468/COUNTIF(Z11:Z463,"&gt;0"),0)</f>
        <v>0</v>
      </c>
      <c r="AA466" s="19">
        <f>IFERROR(AA468/COUNTIF(AA11:AA463,"&gt;0"),0)</f>
        <v>0</v>
      </c>
      <c r="AB466" s="19">
        <f>IFERROR(SUM(AB11:AB464)/COUNTIF(AB11:AB464,"&gt;0"),0)</f>
        <v>0</v>
      </c>
      <c r="AC466" s="19">
        <f>IFERROR(SUM(AC11:AC464)/COUNTIF(AC11:AC464,"&gt;0"),0)</f>
        <v>0</v>
      </c>
      <c r="AD466" s="24">
        <f>IFERROR(SUM(AD11:AD464)/COUNTIF(AD11:AD464,"&gt;0"),0)</f>
        <v>0</v>
      </c>
      <c r="AE466" s="28"/>
    </row>
    <row r="467" spans="3:31" ht="15.75" thickBot="1">
      <c r="C467" s="196"/>
      <c r="D467" s="4"/>
      <c r="E467" s="4"/>
      <c r="F467" s="65"/>
      <c r="G467" s="65"/>
      <c r="H467" s="65"/>
      <c r="I467" s="65"/>
      <c r="J467" s="65"/>
      <c r="K467" s="65"/>
      <c r="L467" s="65"/>
      <c r="M467" s="65"/>
      <c r="N467" s="4"/>
      <c r="O467" s="4"/>
      <c r="P467" s="6"/>
      <c r="Q467" s="103">
        <f>Konvention_1master^3</f>
        <v>8000</v>
      </c>
      <c r="R467" s="103">
        <f>Konvention_1master^3</f>
        <v>8000</v>
      </c>
      <c r="S467" s="103">
        <f>Konvention_1master^3</f>
        <v>8000</v>
      </c>
      <c r="T467" s="103">
        <f>Konvention_1master^3</f>
        <v>8000</v>
      </c>
      <c r="U467" s="4"/>
      <c r="V467" s="4"/>
      <c r="W467" s="4"/>
      <c r="X467" s="1"/>
      <c r="Y467" s="74"/>
      <c r="Z467" s="1"/>
      <c r="AA467" s="35"/>
      <c r="AB467" s="22"/>
      <c r="AC467" s="35"/>
      <c r="AD467" s="36"/>
      <c r="AE467" s="28"/>
    </row>
    <row r="468" spans="3:31">
      <c r="C468" s="196"/>
      <c r="D468" s="4"/>
      <c r="E468" s="4"/>
      <c r="F468" s="66">
        <f t="shared" ref="F468:P468" si="38">SUM(F11:F463)</f>
        <v>0</v>
      </c>
      <c r="G468" s="66">
        <f t="shared" si="38"/>
        <v>0</v>
      </c>
      <c r="H468" s="66">
        <f t="shared" si="38"/>
        <v>0</v>
      </c>
      <c r="I468" s="66">
        <f t="shared" si="38"/>
        <v>0</v>
      </c>
      <c r="J468" s="66">
        <f t="shared" si="38"/>
        <v>0</v>
      </c>
      <c r="K468" s="66">
        <f t="shared" si="38"/>
        <v>0</v>
      </c>
      <c r="L468" s="66">
        <f t="shared" si="38"/>
        <v>0</v>
      </c>
      <c r="M468" s="66">
        <f t="shared" si="38"/>
        <v>0</v>
      </c>
      <c r="N468" s="10">
        <f t="shared" si="38"/>
        <v>0</v>
      </c>
      <c r="O468" s="11">
        <f t="shared" si="38"/>
        <v>0</v>
      </c>
      <c r="P468" s="104">
        <f t="shared" si="38"/>
        <v>0</v>
      </c>
      <c r="Q468" s="143">
        <f>Q465/Q467</f>
        <v>0</v>
      </c>
      <c r="R468" s="144">
        <f>R465/R467</f>
        <v>0</v>
      </c>
      <c r="S468" s="145">
        <f>S465/S467</f>
        <v>0</v>
      </c>
      <c r="T468" s="146">
        <f>Q468+R468+S468</f>
        <v>0</v>
      </c>
      <c r="U468" s="7">
        <f>IFERROR(N468*Q465/T465,0)</f>
        <v>0</v>
      </c>
      <c r="V468" s="8">
        <f>IFERROR(O468*R465/T465,0)</f>
        <v>0</v>
      </c>
      <c r="W468" s="9">
        <f>IFERROR(P468*S465/T465,0)</f>
        <v>0</v>
      </c>
      <c r="X468" s="7">
        <f>SUMIF(X11:X463,"&gt;0")</f>
        <v>0</v>
      </c>
      <c r="Y468" s="25">
        <f>SUM(Y11:Y463)</f>
        <v>0</v>
      </c>
      <c r="Z468" s="21">
        <f>SUM(Z11:Z463)</f>
        <v>0</v>
      </c>
      <c r="AA468" s="12">
        <f>IFERROR(SUMIF(AA11:AA463,"&gt;0"),0)</f>
        <v>0</v>
      </c>
      <c r="AB468" s="16">
        <f>SUM(AB11:AB463)</f>
        <v>0</v>
      </c>
      <c r="AC468" s="15">
        <f>SUM(AC11:AC463)</f>
        <v>0</v>
      </c>
      <c r="AD468" s="15">
        <f>IFERROR(SUMIF(AD11:AD463,"&gt;0"),0)</f>
        <v>0</v>
      </c>
      <c r="AE468" s="28"/>
    </row>
    <row r="469" spans="3:31" ht="15.75" thickBot="1">
      <c r="C469" s="196"/>
      <c r="D469" s="4"/>
      <c r="E469" s="4"/>
      <c r="F469" s="278" t="s">
        <v>118</v>
      </c>
      <c r="G469" s="279"/>
      <c r="H469" s="279"/>
      <c r="I469" s="279"/>
      <c r="J469" s="279"/>
      <c r="K469" s="279"/>
      <c r="L469" s="279"/>
      <c r="M469" s="280"/>
      <c r="N469" s="281" t="s">
        <v>116</v>
      </c>
      <c r="O469" s="282"/>
      <c r="P469" s="283"/>
      <c r="Q469" s="284" t="s">
        <v>112</v>
      </c>
      <c r="R469" s="285"/>
      <c r="S469" s="286"/>
      <c r="T469" s="80" t="s">
        <v>145</v>
      </c>
      <c r="U469" s="263" t="s">
        <v>123</v>
      </c>
      <c r="V469" s="264"/>
      <c r="W469" s="265"/>
      <c r="X469" s="195" t="s">
        <v>121</v>
      </c>
      <c r="Y469" s="75" t="s">
        <v>122</v>
      </c>
      <c r="Z469" s="49" t="s">
        <v>124</v>
      </c>
      <c r="AA469" s="50" t="s">
        <v>131</v>
      </c>
      <c r="AB469" s="80" t="s">
        <v>154</v>
      </c>
      <c r="AC469" s="50" t="s">
        <v>156</v>
      </c>
      <c r="AD469" s="51" t="s">
        <v>136</v>
      </c>
      <c r="AE469" s="28"/>
    </row>
    <row r="470" spans="3:31">
      <c r="C470" s="196"/>
      <c r="Y470" s="76"/>
      <c r="Z470" s="1"/>
    </row>
    <row r="471" spans="3:31">
      <c r="C471" s="196"/>
      <c r="Y471" s="76"/>
      <c r="Z471" s="1"/>
    </row>
    <row r="472" spans="3:31">
      <c r="C472" s="196"/>
      <c r="Y472" s="76"/>
      <c r="Z472" s="1"/>
    </row>
    <row r="473" spans="3:31">
      <c r="C473" s="196"/>
      <c r="Y473" s="76"/>
      <c r="Z473" s="1"/>
    </row>
    <row r="474" spans="3:31">
      <c r="C474" s="196"/>
      <c r="Y474" s="76"/>
      <c r="Z474" s="1"/>
    </row>
    <row r="475" spans="3:31">
      <c r="C475" s="196"/>
      <c r="Y475" s="76"/>
      <c r="Z475" s="1"/>
    </row>
    <row r="476" spans="3:31">
      <c r="C476" s="148"/>
      <c r="Y476" s="76"/>
      <c r="Z476" s="1"/>
    </row>
    <row r="477" spans="3:31">
      <c r="C477" s="148"/>
      <c r="Y477" s="76"/>
      <c r="Z477" s="1"/>
    </row>
    <row r="478" spans="3:31">
      <c r="C478" s="148"/>
      <c r="Y478" s="77"/>
      <c r="Z478" s="1"/>
    </row>
    <row r="479" spans="3:31">
      <c r="C479" s="148"/>
      <c r="Y479" s="70"/>
      <c r="Z479" s="1"/>
    </row>
    <row r="480" spans="3:31">
      <c r="C480" s="148"/>
      <c r="Y480" s="65"/>
      <c r="Z480" s="1"/>
    </row>
    <row r="481" spans="3:26">
      <c r="C481" s="196"/>
      <c r="Y481" s="65"/>
      <c r="Z481" s="1"/>
    </row>
    <row r="482" spans="3:26">
      <c r="Y482" s="65"/>
      <c r="Z482" s="1"/>
    </row>
    <row r="483" spans="3:26">
      <c r="Y483" s="65"/>
      <c r="Z483" s="1"/>
    </row>
    <row r="484" spans="3:26">
      <c r="Y484" s="65"/>
      <c r="Z484" s="1"/>
    </row>
    <row r="485" spans="3:26">
      <c r="Y485" s="65"/>
      <c r="Z485" s="1"/>
    </row>
    <row r="486" spans="3:26">
      <c r="Y486" s="65"/>
      <c r="Z486" s="1"/>
    </row>
    <row r="487" spans="3:26">
      <c r="Y487" s="65"/>
      <c r="Z487" s="1"/>
    </row>
    <row r="488" spans="3:26">
      <c r="Y488" s="65"/>
      <c r="Z488" s="1"/>
    </row>
    <row r="489" spans="3:26">
      <c r="Y489" s="65"/>
      <c r="Z489" s="1"/>
    </row>
    <row r="490" spans="3:26">
      <c r="Y490" s="65"/>
      <c r="Z490" s="1"/>
    </row>
    <row r="491" spans="3:26">
      <c r="Y491" s="65"/>
      <c r="Z491" s="1"/>
    </row>
    <row r="492" spans="3:26">
      <c r="Y492" s="65"/>
      <c r="Z492" s="1"/>
    </row>
    <row r="493" spans="3:26">
      <c r="Y493" s="65"/>
      <c r="Z493" s="1"/>
    </row>
    <row r="494" spans="3:26">
      <c r="Y494" s="199"/>
      <c r="Z494" s="199"/>
    </row>
    <row r="495" spans="3:26">
      <c r="Y495" s="199"/>
      <c r="Z495" s="199"/>
    </row>
    <row r="496" spans="3:26">
      <c r="Y496" s="199"/>
      <c r="Z496" s="199"/>
    </row>
    <row r="497" spans="25:26">
      <c r="Y497" s="199"/>
      <c r="Z497" s="199"/>
    </row>
    <row r="498" spans="25:26">
      <c r="Y498" s="199"/>
      <c r="Z498" s="199"/>
    </row>
    <row r="499" spans="25:26">
      <c r="Y499" s="65"/>
      <c r="Z499" s="1"/>
    </row>
  </sheetData>
  <mergeCells count="11">
    <mergeCell ref="U469:W469"/>
    <mergeCell ref="F466:K466"/>
    <mergeCell ref="L466:M466"/>
    <mergeCell ref="F469:M469"/>
    <mergeCell ref="N469:P469"/>
    <mergeCell ref="Q469:S469"/>
    <mergeCell ref="F4:M4"/>
    <mergeCell ref="F7:M7"/>
    <mergeCell ref="N7:P7"/>
    <mergeCell ref="Q7:S7"/>
    <mergeCell ref="U7:W7"/>
  </mergeCells>
  <conditionalFormatting sqref="C11:C24 C26:C34 C36:C42 C44:C55 C57:C73 C78:C98 C100:C126 C128:C151 C153:C211 C213:C257 C259 C461:C462 C352:C355 C357:C365 C367:C374 C376:C386 C388:C389 C391 C393:C395 C400:C402 C404:C409 C411:C417 C419:C423 C425:C432 C434:C439 C441:C444 C448:C449 C455 C457 C323:C348 C261:C296 C298:C321">
    <cfRule type="notContainsErrors" dxfId="23" priority="22">
      <formula>NOT(ISERROR(C11))</formula>
    </cfRule>
  </conditionalFormatting>
  <conditionalFormatting sqref="R5">
    <cfRule type="colorScale" priority="16">
      <colorScale>
        <cfvo type="min" val="0"/>
        <cfvo type="num" val="0"/>
        <cfvo type="max" val="0"/>
        <color rgb="FFFF0000"/>
        <color rgb="FFFFFF00"/>
        <color rgb="FF00B050"/>
      </colorScale>
    </cfRule>
  </conditionalFormatting>
  <conditionalFormatting sqref="F468:M468 L466">
    <cfRule type="colorScale" priority="15">
      <colorScale>
        <cfvo type="min" val="0"/>
        <cfvo type="num" val="$L$466"/>
        <cfvo type="max" val="0"/>
        <color rgb="FF63BE7B"/>
        <color rgb="FFFFEB84"/>
        <color rgb="FFF8696B"/>
      </colorScale>
    </cfRule>
  </conditionalFormatting>
  <conditionalFormatting sqref="Z11:Z466">
    <cfRule type="colorScale" priority="14">
      <colorScale>
        <cfvo type="min" val="0"/>
        <cfvo type="formula" val="noch_benötigte_Punkte_Avg/2"/>
        <cfvo type="max" val="0"/>
        <color rgb="FF00B050"/>
        <color rgb="FFFFFF00"/>
        <color rgb="FFFF0000"/>
      </colorScale>
    </cfRule>
  </conditionalFormatting>
  <conditionalFormatting sqref="AC11:AC466">
    <cfRule type="colorScale" priority="13">
      <colorScale>
        <cfvo type="min" val="0"/>
        <cfvo type="formula" val="AP_noch_Avg/2"/>
        <cfvo type="max" val="0"/>
        <color rgb="FF63BE7B"/>
        <color rgb="FFFFEB84"/>
        <color rgb="FFF8696B"/>
      </colorScale>
    </cfRule>
  </conditionalFormatting>
  <conditionalFormatting sqref="AD11:AD466">
    <cfRule type="colorScale" priority="12">
      <colorScale>
        <cfvo type="num" val="0.01"/>
        <cfvo type="max" val="0"/>
        <color rgb="FF63BE7B"/>
        <color rgb="FFF8696B"/>
      </colorScale>
    </cfRule>
  </conditionalFormatting>
  <conditionalFormatting sqref="C298:C321 C323:C348">
    <cfRule type="notContainsErrors" dxfId="22" priority="10">
      <formula>NOT(ISERROR(C298))</formula>
    </cfRule>
  </conditionalFormatting>
  <conditionalFormatting sqref="C298:C321 C323:C348">
    <cfRule type="notContainsErrors" dxfId="21" priority="6">
      <formula>NOT(ISERROR(C298))</formula>
    </cfRule>
  </conditionalFormatting>
  <conditionalFormatting sqref="C298:C321 C323:C348">
    <cfRule type="notContainsErrors" dxfId="20" priority="5">
      <formula>NOT(ISERROR(C298))</formula>
    </cfRule>
  </conditionalFormatting>
  <conditionalFormatting sqref="C261:C296 C298:C321 C323:C348">
    <cfRule type="notContainsErrors" dxfId="19" priority="4">
      <formula>NOT(ISERROR(C261))</formula>
    </cfRule>
  </conditionalFormatting>
  <conditionalFormatting sqref="C298:C321 C323:C348">
    <cfRule type="notContainsErrors" dxfId="18" priority="3">
      <formula>NOT(ISERROR(C298))</formula>
    </cfRule>
  </conditionalFormatting>
  <conditionalFormatting sqref="C298:C321 C323:C348">
    <cfRule type="notContainsErrors" dxfId="17" priority="2">
      <formula>NOT(ISERROR(C298))</formula>
    </cfRule>
  </conditionalFormatting>
  <conditionalFormatting sqref="C298:C321 C323:C348">
    <cfRule type="notContainsErrors" dxfId="16" priority="1">
      <formula>NOT(ISERROR(C298))</formula>
    </cfRule>
  </conditionalFormatting>
  <dataValidations count="5">
    <dataValidation type="list" allowBlank="1" showInputMessage="1" showErrorMessage="1" sqref="C357:C365 C213:C257 C393:C395 C352:C355 C57:C73 C400:C402 C404:C409 C411:C417 C419:C423 C425:C432 C434:C439 C441:C444 C448:C449 C455 C457 C461:C462 C128:C151 C259 C78:C98 C100:C126 C367:C374 C376:C386 C388:C389 C391 C153:C211 C261:C296 C298:C321 C323:C348">
      <formula1>Talente_Handwerkstalente</formula1>
    </dataValidation>
    <dataValidation type="list" allowBlank="1" showInputMessage="1" showErrorMessage="1" sqref="C11:C24">
      <formula1>Talente_Körpertalente</formula1>
    </dataValidation>
    <dataValidation type="list" allowBlank="1" showInputMessage="1" showErrorMessage="1" sqref="C26:C34">
      <formula1>Talente_Gesellschaftstalente</formula1>
    </dataValidation>
    <dataValidation type="list" allowBlank="1" showInputMessage="1" showErrorMessage="1" sqref="C36:C42">
      <formula1>Talente_Naturtalente</formula1>
    </dataValidation>
    <dataValidation type="list" allowBlank="1" showInputMessage="1" showErrorMessage="1" sqref="C44:C55">
      <formula1>Talente_Wissenstalente</formula1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64FF64"/>
  </sheetPr>
  <dimension ref="A1:AE499"/>
  <sheetViews>
    <sheetView zoomScaleNormal="100" workbookViewId="0"/>
  </sheetViews>
  <sheetFormatPr baseColWidth="10" defaultColWidth="9.140625" defaultRowHeight="15" outlineLevelRow="2" outlineLevelCol="1"/>
  <cols>
    <col min="1" max="1" width="11.85546875" style="148" customWidth="1"/>
    <col min="2" max="2" width="19.28515625" style="148" customWidth="1"/>
    <col min="3" max="3" width="31.7109375" style="140" customWidth="1"/>
    <col min="4" max="4" width="13.140625" style="148" customWidth="1"/>
    <col min="5" max="5" width="2.28515625" style="148" customWidth="1"/>
    <col min="6" max="13" width="9.28515625" style="148" customWidth="1"/>
    <col min="14" max="16" width="15.42578125" style="148" customWidth="1"/>
    <col min="17" max="19" width="12.42578125" style="148" customWidth="1"/>
    <col min="20" max="20" width="23.5703125" style="148" bestFit="1" customWidth="1"/>
    <col min="21" max="23" width="13" style="148" hidden="1" customWidth="1" outlineLevel="1"/>
    <col min="24" max="24" width="24" style="148" hidden="1" customWidth="1" outlineLevel="1"/>
    <col min="25" max="25" width="18.42578125" style="197" hidden="1" customWidth="1" outlineLevel="1"/>
    <col min="26" max="26" width="21.5703125" style="197" hidden="1" customWidth="1" outlineLevel="1"/>
    <col min="27" max="27" width="11.85546875" style="148" hidden="1" customWidth="1" outlineLevel="1"/>
    <col min="28" max="28" width="14" style="148" hidden="1" customWidth="1" outlineLevel="1"/>
    <col min="29" max="29" width="13.42578125" style="148" hidden="1" customWidth="1" outlineLevel="1"/>
    <col min="30" max="30" width="14.42578125" style="148" hidden="1" customWidth="1" outlineLevel="1"/>
    <col min="31" max="31" width="9.140625" style="148" collapsed="1"/>
    <col min="32" max="16384" width="9.140625" style="148"/>
  </cols>
  <sheetData>
    <row r="1" spans="1:31" s="4" customFormat="1">
      <c r="A1" s="124"/>
      <c r="C1" s="3"/>
      <c r="F1" s="93" t="s">
        <v>0</v>
      </c>
      <c r="G1" s="94" t="s">
        <v>1</v>
      </c>
      <c r="H1" s="94" t="s">
        <v>2</v>
      </c>
      <c r="I1" s="94" t="s">
        <v>3</v>
      </c>
      <c r="J1" s="94" t="s">
        <v>4</v>
      </c>
      <c r="K1" s="94" t="s">
        <v>5</v>
      </c>
      <c r="L1" s="94" t="s">
        <v>6</v>
      </c>
      <c r="M1" s="95" t="s">
        <v>7</v>
      </c>
      <c r="N1" s="32" t="s">
        <v>118</v>
      </c>
      <c r="O1" s="40" t="s">
        <v>283</v>
      </c>
      <c r="P1" s="67"/>
      <c r="Q1" s="6"/>
      <c r="R1" s="6"/>
      <c r="S1" s="6"/>
      <c r="T1" s="6"/>
      <c r="Y1" s="70"/>
      <c r="Z1" s="1"/>
      <c r="AA1" s="35"/>
      <c r="AB1" s="22"/>
      <c r="AC1" s="35"/>
      <c r="AD1" s="36"/>
    </row>
    <row r="2" spans="1:31" s="4" customFormat="1">
      <c r="A2" s="150"/>
      <c r="C2" s="3"/>
      <c r="F2" s="98">
        <f>MUmaster</f>
        <v>8</v>
      </c>
      <c r="G2" s="98">
        <f>KLmaster</f>
        <v>8</v>
      </c>
      <c r="H2" s="98">
        <f>INmaster</f>
        <v>8</v>
      </c>
      <c r="I2" s="98">
        <f>CHmaster</f>
        <v>8</v>
      </c>
      <c r="J2" s="98">
        <f>FFmaster</f>
        <v>8</v>
      </c>
      <c r="K2" s="98">
        <f>GEmaster</f>
        <v>8</v>
      </c>
      <c r="L2" s="98">
        <f>KOmaster+1</f>
        <v>9</v>
      </c>
      <c r="M2" s="98">
        <f>KKmaster</f>
        <v>8</v>
      </c>
      <c r="N2" s="5">
        <f>MUslave+KLslave+INslave+CHslave+FFslave+GEslave+KOslave_KO+KKslave</f>
        <v>65</v>
      </c>
      <c r="O2" s="68">
        <v>20</v>
      </c>
      <c r="P2" s="6"/>
      <c r="Q2" s="6"/>
      <c r="R2" s="6"/>
      <c r="S2" s="6"/>
      <c r="T2" s="6"/>
      <c r="Y2" s="71"/>
      <c r="Z2" s="1"/>
      <c r="AA2" s="35"/>
      <c r="AB2" s="22"/>
      <c r="AC2" s="35"/>
      <c r="AD2" s="36"/>
    </row>
    <row r="3" spans="1:31" s="37" customFormat="1">
      <c r="B3" s="31"/>
      <c r="C3" s="141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Y3" s="71"/>
      <c r="Z3" s="38"/>
      <c r="AA3" s="34"/>
      <c r="AB3" s="67"/>
      <c r="AC3" s="34"/>
      <c r="AD3" s="39"/>
    </row>
    <row r="4" spans="1:31" s="37" customFormat="1">
      <c r="B4" s="31"/>
      <c r="C4" s="141"/>
      <c r="F4" s="287" t="s">
        <v>139</v>
      </c>
      <c r="G4" s="288"/>
      <c r="H4" s="288"/>
      <c r="I4" s="288"/>
      <c r="J4" s="288"/>
      <c r="K4" s="288"/>
      <c r="L4" s="288"/>
      <c r="M4" s="288"/>
      <c r="N4" s="91" t="s">
        <v>334</v>
      </c>
      <c r="O4" s="91" t="s">
        <v>154</v>
      </c>
      <c r="P4" s="191" t="s">
        <v>144</v>
      </c>
      <c r="Q4" s="91" t="s">
        <v>142</v>
      </c>
      <c r="R4" s="92" t="s">
        <v>143</v>
      </c>
      <c r="S4" s="29"/>
      <c r="T4" s="29"/>
      <c r="Y4" s="71"/>
      <c r="Z4" s="38"/>
      <c r="AA4" s="34"/>
      <c r="AB4" s="67"/>
      <c r="AC4" s="34"/>
      <c r="AD4" s="39"/>
    </row>
    <row r="5" spans="1:31" s="37" customFormat="1">
      <c r="B5" s="31"/>
      <c r="C5" s="141"/>
      <c r="F5" s="190">
        <f>MUslave*15+IF(MUslave&gt;14,MUslave-14,0)*15+IF(MUslave&gt;15,MUslave-15,0)*15+IF(MUslave&gt;16,MUslave-16,0)*15+IF(MUslave&gt;17,MUslave-17,0)*15+IF(MUslave&gt;18,MUslave-18,0)*15+IF(MUslave&gt;19,MUslave-19,0)*15+IF(MUslave&gt;20,MUslave-20,0)*15+IF(MUslave&gt;21,MUslave-21,0)*15+IF(MUslave&gt;22,MUslave-22,0)*15+IF(MUslave&gt;23,MUslave-23,0)*15+IF(MUslave&gt;24,MUslave-24,0)*15-120</f>
        <v>0</v>
      </c>
      <c r="G5" s="190">
        <f>KLslave*15+IF(KLslave&gt;14,KLslave-14,0)*15+IF(KLslave&gt;15,KLslave-15,0)*15+IF(KLslave&gt;16,KLslave-16,0)*15+IF(KLslave&gt;17,KLslave-17,0)*15+IF(KLslave&gt;18,KLslave-18,0)*15+IF(KLslave&gt;19,KLslave-19,0)*15+IF(KLslave&gt;20,KLslave-20,0)*15+IF(KLslave&gt;21,KLslave-21,0)*15+IF(KLslave&gt;22,KLslave-22,0)*15+IF(KLslave&gt;23,KLslave-23,0)*15+IF(KLslave&gt;24,KLslave-24,0)*15-120</f>
        <v>0</v>
      </c>
      <c r="H5" s="189">
        <f>INslave*15+IF(INslave&gt;14,INslave-14,0)*15+IF(INslave&gt;15,INslave-15,0)*15+IF(INslave&gt;16,INslave-16,0)*15+IF(INslave&gt;17,INslave-17,0)*15+IF(INslave&gt;18,INslave-18,0)*15+IF(INslave&gt;19,INslave-19,0)*15+IF(INslave&gt;20,INslave-20,0)*15+IF(INslave&gt;21,INslave-21,0)*15+IF(INslave&gt;22,INslave-22,0)*15+IF(INslave&gt;23,INslave-23,0)*15+IF(INslave&gt;24,INslave-24,0)*15-120</f>
        <v>0</v>
      </c>
      <c r="I5" s="189">
        <f>CHslave*15+IF(CHslave&gt;14,CHslave-14,0)*15+IF(CHslave&gt;15,CHslave-15,0)*15+IF(CHslave&gt;16,CHslave-16,0)*15+IF(CHslave&gt;17,CHslave-17,0)*15+IF(CHslave&gt;18,CHslave-18,0)*15+IF(CHslave&gt;19,CHslave-19,0)*15+IF(CHslave&gt;20,CHslave-20,0)*15+IF(CHslave&gt;21,CHslave-21,0)*15+IF(CHslave&gt;22,CHslave-22,0)*15+IF(CHslave&gt;23,CHslave-23,0)*15+IF(CHslave&gt;24,CHslave-24,0)*15-120</f>
        <v>0</v>
      </c>
      <c r="J5" s="189">
        <f>FFslave*15+IF(FFslave&gt;14,FFslave-14,0)*15+IF(FFslave&gt;15,FFslave-15,0)*15+IF(FFslave&gt;16,FFslave-16,0)*15+IF(FFslave&gt;17,FFslave-17,0)*15+IF(FFslave&gt;18,FFslave-18,0)*15+IF(FFslave&gt;19,FFslave-19,0)*15+IF(FFslave&gt;20,FFslave-20,0)*15+IF(FFslave&gt;21,FFslave-21,0)*15+IF(FFslave&gt;22,FFslave-22,0)*15+IF(FFslave&gt;23,FFslave-23,0)*15+IF(FFslave&gt;24,FFslave-24,0)*15-120</f>
        <v>0</v>
      </c>
      <c r="K5" s="189">
        <f>GEslave*15+IF(GEslave&gt;14,GEslave-14,0)*15+IF(GEslave&gt;15,GEslave-15,0)*15+IF(GEslave&gt;16,GEslave-16,0)*15+IF(GEslave&gt;17,GEslave-17,0)*15+IF(GEslave&gt;18,GEslave-18,0)*15+IF(GEslave&gt;19,GEslave-19,0)*15+IF(GEslave&gt;20,GEslave-20,0)*15+IF(GEslave&gt;21,GEslave-21,0)*15+IF(GEslave&gt;22,GEslave-22,0)*15+IF(GEslave&gt;23,GEslave-23,0)*15+IF(GEslave&gt;24,GEslave-24,0)*15-120</f>
        <v>0</v>
      </c>
      <c r="L5" s="189">
        <f>KOslave_KO*15+IF(KOslave_KO&gt;14,KOslave_KO-14,0)*15+IF(KOslave_KO&gt;15,KOslave_KO-15,0)*15+IF(KOslave_KO&gt;16,KOslave_KO-16,0)*15+IF(KOslave_KO&gt;17,KOslave_KO-17,0)*15+IF(KOslave_KO&gt;18,KOslave_KO-18,0)*15+IF(KOslave_KO&gt;19,KOslave_KO-19,0)*15+IF(KOslave_KO&gt;20,KOslave_KO-20,0)*15+IF(KOslave_KO&gt;21,KOslave_KO-21,0)*15+IF(KOslave_KO&gt;22,KOslave_KO-22,0)*15+IF(KOslave_KO&gt;23,KOslave_KO-23,0)*15+IF(KOslave_KO&gt;24,KOslave_KO-24,0)*15-120</f>
        <v>15</v>
      </c>
      <c r="M5" s="189">
        <f>KKslave*15+IF(KKslave&gt;14,KKslave-14,0)*15+IF(KKslave&gt;15,KKslave-15,0)*15+IF(KKslave&gt;16,KKslave-16,0)*15+IF(KKslave&gt;17,KKslave-17,0)*15+IF(KKslave&gt;18,KKslave-18,0)*15+IF(KKslave&gt;19,KKslave-19,0)*15+IF(KKslave&gt;20,KKslave-20,0)*15+IF(KKslave&gt;21,KKslave-21,0)*15+IF(KKslave&gt;22,KKslave-22,0)*15+IF(KKslave&gt;23,KKslave-23,0)*15+IF(KKslave&gt;24,KKslave-24,0)*15-120</f>
        <v>0</v>
      </c>
      <c r="N5" s="189">
        <f>SUM(F5:M5)</f>
        <v>15</v>
      </c>
      <c r="O5" s="189">
        <f>AP_in_Talenten_KO</f>
        <v>0</v>
      </c>
      <c r="P5" s="17">
        <f>AP_in_Attributen_KO+AP_in_Talenten_KO</f>
        <v>15</v>
      </c>
      <c r="Q5" s="99">
        <v>1100</v>
      </c>
      <c r="R5" s="189">
        <f>Q5-P5</f>
        <v>1085</v>
      </c>
      <c r="S5" s="29"/>
      <c r="T5" s="29"/>
      <c r="X5" s="34"/>
      <c r="Y5" s="71"/>
      <c r="Z5" s="38"/>
      <c r="AA5" s="34"/>
      <c r="AB5" s="67"/>
      <c r="AC5" s="34"/>
      <c r="AD5" s="39"/>
    </row>
    <row r="6" spans="1:31" s="4" customFormat="1">
      <c r="A6" s="150"/>
      <c r="C6" s="3"/>
      <c r="F6" s="6"/>
      <c r="G6" s="6"/>
      <c r="H6" s="6"/>
      <c r="I6" s="6"/>
      <c r="J6" s="6"/>
      <c r="K6" s="6"/>
      <c r="L6" s="6"/>
      <c r="M6" s="6"/>
      <c r="P6" s="6"/>
      <c r="Q6" s="6"/>
      <c r="R6" s="6"/>
      <c r="S6" s="6"/>
      <c r="T6" s="6"/>
      <c r="Y6" s="71"/>
      <c r="Z6" s="1"/>
      <c r="AA6" s="35"/>
      <c r="AB6" s="22"/>
      <c r="AC6" s="35"/>
      <c r="AD6" s="36"/>
    </row>
    <row r="7" spans="1:31" s="4" customFormat="1">
      <c r="A7" s="150"/>
      <c r="C7" s="3"/>
      <c r="F7" s="289" t="s">
        <v>126</v>
      </c>
      <c r="G7" s="290"/>
      <c r="H7" s="290"/>
      <c r="I7" s="290"/>
      <c r="J7" s="290"/>
      <c r="K7" s="290"/>
      <c r="L7" s="290"/>
      <c r="M7" s="291"/>
      <c r="N7" s="292" t="s">
        <v>151</v>
      </c>
      <c r="O7" s="293"/>
      <c r="P7" s="294"/>
      <c r="Q7" s="289" t="s">
        <v>150</v>
      </c>
      <c r="R7" s="290"/>
      <c r="S7" s="291"/>
      <c r="T7" s="101" t="s">
        <v>114</v>
      </c>
      <c r="U7" s="292" t="s">
        <v>152</v>
      </c>
      <c r="V7" s="293"/>
      <c r="W7" s="294"/>
      <c r="X7" s="14" t="s">
        <v>153</v>
      </c>
      <c r="Y7" s="72" t="s">
        <v>138</v>
      </c>
      <c r="Z7" s="41" t="s">
        <v>120</v>
      </c>
      <c r="AA7" s="42" t="s">
        <v>130</v>
      </c>
      <c r="AB7" s="78" t="s">
        <v>130</v>
      </c>
      <c r="AC7" s="42" t="s">
        <v>130</v>
      </c>
      <c r="AD7" s="43" t="s">
        <v>130</v>
      </c>
    </row>
    <row r="8" spans="1:31" s="4" customFormat="1" ht="15.75" thickBot="1">
      <c r="A8" s="150"/>
      <c r="B8" s="3"/>
      <c r="C8" s="3"/>
      <c r="D8" s="3"/>
      <c r="F8" s="190" t="s">
        <v>0</v>
      </c>
      <c r="G8" s="190" t="s">
        <v>1</v>
      </c>
      <c r="H8" s="190" t="s">
        <v>2</v>
      </c>
      <c r="I8" s="190" t="s">
        <v>3</v>
      </c>
      <c r="J8" s="190" t="s">
        <v>4</v>
      </c>
      <c r="K8" s="190" t="s">
        <v>5</v>
      </c>
      <c r="L8" s="190" t="s">
        <v>6</v>
      </c>
      <c r="M8" s="190" t="s">
        <v>7</v>
      </c>
      <c r="N8" s="33" t="s">
        <v>109</v>
      </c>
      <c r="O8" s="33" t="s">
        <v>110</v>
      </c>
      <c r="P8" s="190" t="s">
        <v>111</v>
      </c>
      <c r="Q8" s="190" t="s">
        <v>106</v>
      </c>
      <c r="R8" s="190" t="s">
        <v>107</v>
      </c>
      <c r="S8" s="190" t="s">
        <v>108</v>
      </c>
      <c r="T8" s="190" t="s">
        <v>115</v>
      </c>
      <c r="U8" s="40" t="s">
        <v>127</v>
      </c>
      <c r="V8" s="40" t="s">
        <v>128</v>
      </c>
      <c r="W8" s="40" t="s">
        <v>129</v>
      </c>
      <c r="X8" s="33" t="s">
        <v>119</v>
      </c>
      <c r="Y8" s="73" t="s">
        <v>125</v>
      </c>
      <c r="Z8" s="44" t="s">
        <v>343</v>
      </c>
      <c r="AA8" s="45" t="s">
        <v>157</v>
      </c>
      <c r="AB8" s="79" t="s">
        <v>159</v>
      </c>
      <c r="AC8" s="45" t="s">
        <v>155</v>
      </c>
      <c r="AD8" s="46" t="s">
        <v>137</v>
      </c>
    </row>
    <row r="9" spans="1:31" ht="15.75" thickBot="1">
      <c r="A9" s="135" t="s">
        <v>333</v>
      </c>
    </row>
    <row r="10" spans="1:31" ht="15" hidden="1" customHeight="1" outlineLevel="1">
      <c r="B10" s="134" t="s">
        <v>68</v>
      </c>
    </row>
    <row r="11" spans="1:31" ht="15" hidden="1" customHeight="1" outlineLevel="2">
      <c r="B11" s="148">
        <v>1</v>
      </c>
      <c r="C11" s="176" t="str">
        <f>Attribute!C11</f>
        <v>---</v>
      </c>
      <c r="D11" s="126" t="str">
        <f>VLOOKUP(C11,'Talente &amp; Stuff'!GX:HY,2,FALSE)</f>
        <v>--/--/--</v>
      </c>
      <c r="E11" s="158" t="str">
        <f>VLOOKUP(C11,'Talente &amp; Stuff'!GX:HY,3,FALSE)</f>
        <v>-</v>
      </c>
      <c r="F11" s="191">
        <f>VLOOKUP(C11,'Talente &amp; Stuff'!GX:HY,4,FALSE)</f>
        <v>0</v>
      </c>
      <c r="G11" s="118">
        <f>VLOOKUP(C11,'Talente &amp; Stuff'!GX:HY,5,FALSE)</f>
        <v>0</v>
      </c>
      <c r="H11" s="118">
        <f>VLOOKUP(C11,'Talente &amp; Stuff'!GX:HY,6,FALSE)</f>
        <v>0</v>
      </c>
      <c r="I11" s="118">
        <f>VLOOKUP(C11,'Talente &amp; Stuff'!GX:HY,7,FALSE)</f>
        <v>0</v>
      </c>
      <c r="J11" s="118">
        <f>VLOOKUP(C11,'Talente &amp; Stuff'!GX:HY,8,FALSE)</f>
        <v>0</v>
      </c>
      <c r="K11" s="118">
        <f>VLOOKUP(C11,'Talente &amp; Stuff'!GX:HY,9,FALSE)</f>
        <v>0</v>
      </c>
      <c r="L11" s="118">
        <f>VLOOKUP(C11,'Talente &amp; Stuff'!GX:HY,10,FALSE)</f>
        <v>0</v>
      </c>
      <c r="M11" s="92">
        <f>VLOOKUP(C11,'Talente &amp; Stuff'!GX:HY,11,FALSE)</f>
        <v>0</v>
      </c>
      <c r="N11" s="193">
        <f>VLOOKUP(C11,'Talente &amp; Stuff'!GX:HY,12,FALSE)</f>
        <v>0</v>
      </c>
      <c r="O11" s="116">
        <f>VLOOKUP(C11,'Talente &amp; Stuff'!GX:HY,13,FALSE)</f>
        <v>0</v>
      </c>
      <c r="P11" s="92">
        <f>VLOOKUP(C11,'Talente &amp; Stuff'!GX:HY,14,FALSE)</f>
        <v>0</v>
      </c>
      <c r="Q11" s="191">
        <f>VLOOKUP(C11,'Talente &amp; Stuff'!GX:HY,15,FALSE)</f>
        <v>0</v>
      </c>
      <c r="R11" s="118">
        <f>VLOOKUP(C11,'Talente &amp; Stuff'!GX:HY,16,FALSE)</f>
        <v>0</v>
      </c>
      <c r="S11" s="92">
        <f>VLOOKUP(C11,'Talente &amp; Stuff'!GX:HY,17,FALSE)</f>
        <v>0</v>
      </c>
      <c r="T11" s="91">
        <f>VLOOKUP(C11,'Talente &amp; Stuff'!GX:HY,18,FALSE)</f>
        <v>0</v>
      </c>
      <c r="U11" s="193">
        <f>VLOOKUP(C11,'Talente &amp; Stuff'!GX:HY,19,FALSE)</f>
        <v>0</v>
      </c>
      <c r="V11" s="116">
        <f>VLOOKUP(C11,'Talente &amp; Stuff'!GX:HY,20,FALSE)</f>
        <v>0</v>
      </c>
      <c r="W11" s="126">
        <f>VLOOKUP(C11,'Talente &amp; Stuff'!GX:HY,21,FALSE)</f>
        <v>0</v>
      </c>
      <c r="X11" s="158">
        <f>VLOOKUP(C11,'Talente &amp; Stuff'!GX:HY,22,FALSE)</f>
        <v>0</v>
      </c>
      <c r="Y11" s="165">
        <f t="shared" ref="Y11:Y24" si="0">VLOOKUP(C11,Ausgewählte_Talente_Körpertalente,226,FALSE)</f>
        <v>0</v>
      </c>
      <c r="Z11" s="44">
        <f t="shared" ref="Z11:Z24" si="1">VLOOKUP(C11,Ausgewählte_Talente_Körpertalente,227,FALSE)</f>
        <v>0</v>
      </c>
      <c r="AA11" s="158">
        <f>VLOOKUP(C11,'Talente &amp; Stuff'!GX:HY,25,FALSE)</f>
        <v>0</v>
      </c>
      <c r="AB11" s="91">
        <f>VLOOKUP(C11,'Talente &amp; Stuff'!GX:HY,26,FALSE)</f>
        <v>0</v>
      </c>
      <c r="AC11" s="126">
        <f>VLOOKUP(C11,'Talente &amp; Stuff'!GX:HY,27,FALSE)</f>
        <v>0</v>
      </c>
      <c r="AD11" s="158">
        <f>VLOOKUP(C11,'Talente &amp; Stuff'!GX:HY,28,FALSE)</f>
        <v>0</v>
      </c>
      <c r="AE11" s="28"/>
    </row>
    <row r="12" spans="1:31" ht="15" hidden="1" customHeight="1" outlineLevel="2">
      <c r="B12" s="148">
        <v>2</v>
      </c>
      <c r="C12" s="177" t="str">
        <f>Attribute!C12</f>
        <v>---</v>
      </c>
      <c r="D12" s="127" t="str">
        <f>VLOOKUP(C12,'Talente &amp; Stuff'!GX:HY,2,FALSE)</f>
        <v>--/--/--</v>
      </c>
      <c r="E12" s="125" t="str">
        <f>VLOOKUP(C12,'Talente &amp; Stuff'!GX:HY,3,FALSE)</f>
        <v>-</v>
      </c>
      <c r="F12" s="114">
        <f>VLOOKUP(C12,'Talente &amp; Stuff'!GX:HY,4,FALSE)</f>
        <v>0</v>
      </c>
      <c r="G12" s="113">
        <f>VLOOKUP(C12,'Talente &amp; Stuff'!GX:HY,5,FALSE)</f>
        <v>0</v>
      </c>
      <c r="H12" s="113">
        <f>VLOOKUP(C12,'Talente &amp; Stuff'!GX:HY,6,FALSE)</f>
        <v>0</v>
      </c>
      <c r="I12" s="113">
        <f>VLOOKUP(C12,'Talente &amp; Stuff'!GX:HY,7,FALSE)</f>
        <v>0</v>
      </c>
      <c r="J12" s="113">
        <f>VLOOKUP(C12,'Talente &amp; Stuff'!GX:HY,8,FALSE)</f>
        <v>0</v>
      </c>
      <c r="K12" s="113">
        <f>VLOOKUP(C12,'Talente &amp; Stuff'!GX:HY,9,FALSE)</f>
        <v>0</v>
      </c>
      <c r="L12" s="113">
        <f>VLOOKUP(C12,'Talente &amp; Stuff'!GX:HY,10,FALSE)</f>
        <v>0</v>
      </c>
      <c r="M12" s="119">
        <f>VLOOKUP(C12,'Talente &amp; Stuff'!GX:HY,11,FALSE)</f>
        <v>0</v>
      </c>
      <c r="N12" s="89">
        <f>VLOOKUP(C12,'Talente &amp; Stuff'!GX:HY,12,FALSE)</f>
        <v>0</v>
      </c>
      <c r="O12" s="47">
        <f>VLOOKUP(C12,'Talente &amp; Stuff'!GX:HY,13,FALSE)</f>
        <v>0</v>
      </c>
      <c r="P12" s="119">
        <f>VLOOKUP(C12,'Talente &amp; Stuff'!GX:HY,14,FALSE)</f>
        <v>0</v>
      </c>
      <c r="Q12" s="114">
        <f>VLOOKUP(C12,'Talente &amp; Stuff'!GX:HY,15,FALSE)</f>
        <v>0</v>
      </c>
      <c r="R12" s="113">
        <f>VLOOKUP(C12,'Talente &amp; Stuff'!GX:HY,16,FALSE)</f>
        <v>0</v>
      </c>
      <c r="S12" s="119">
        <f>VLOOKUP(C12,'Talente &amp; Stuff'!GX:HY,17,FALSE)</f>
        <v>0</v>
      </c>
      <c r="T12" s="160">
        <f>VLOOKUP(C12,'Talente &amp; Stuff'!GX:HY,18,FALSE)</f>
        <v>0</v>
      </c>
      <c r="U12" s="89">
        <f>VLOOKUP(C12,'Talente &amp; Stuff'!GX:HY,19,FALSE)</f>
        <v>0</v>
      </c>
      <c r="V12" s="47">
        <f>VLOOKUP(C12,'Talente &amp; Stuff'!GX:HY,20,FALSE)</f>
        <v>0</v>
      </c>
      <c r="W12" s="127">
        <f>VLOOKUP(C12,'Talente &amp; Stuff'!GX:HY,21,FALSE)</f>
        <v>0</v>
      </c>
      <c r="X12" s="125">
        <f>VLOOKUP(C12,'Talente &amp; Stuff'!GX:HY,22,FALSE)</f>
        <v>0</v>
      </c>
      <c r="Y12" s="165">
        <f t="shared" si="0"/>
        <v>0</v>
      </c>
      <c r="Z12" s="44">
        <f t="shared" si="1"/>
        <v>0</v>
      </c>
      <c r="AA12" s="125">
        <f>VLOOKUP(C12,'Talente &amp; Stuff'!GX:HY,25,FALSE)</f>
        <v>0</v>
      </c>
      <c r="AB12" s="160">
        <f>VLOOKUP(C12,'Talente &amp; Stuff'!GX:HY,26,FALSE)</f>
        <v>0</v>
      </c>
      <c r="AC12" s="127">
        <f>VLOOKUP(C12,'Talente &amp; Stuff'!GX:HY,27,FALSE)</f>
        <v>0</v>
      </c>
      <c r="AD12" s="125">
        <f>VLOOKUP(C12,'Talente &amp; Stuff'!GX:HY,28,FALSE)</f>
        <v>0</v>
      </c>
      <c r="AE12" s="28"/>
    </row>
    <row r="13" spans="1:31" ht="15" hidden="1" customHeight="1" outlineLevel="2">
      <c r="B13" s="148">
        <v>3</v>
      </c>
      <c r="C13" s="177" t="str">
        <f>Attribute!C13</f>
        <v>---</v>
      </c>
      <c r="D13" s="127" t="str">
        <f>VLOOKUP(C13,'Talente &amp; Stuff'!GX:HY,2,FALSE)</f>
        <v>--/--/--</v>
      </c>
      <c r="E13" s="125" t="str">
        <f>VLOOKUP(C13,'Talente &amp; Stuff'!GX:HY,3,FALSE)</f>
        <v>-</v>
      </c>
      <c r="F13" s="114">
        <f>VLOOKUP(C13,'Talente &amp; Stuff'!GX:HY,4,FALSE)</f>
        <v>0</v>
      </c>
      <c r="G13" s="113">
        <f>VLOOKUP(C13,'Talente &amp; Stuff'!GX:HY,5,FALSE)</f>
        <v>0</v>
      </c>
      <c r="H13" s="113">
        <f>VLOOKUP(C13,'Talente &amp; Stuff'!GX:HY,6,FALSE)</f>
        <v>0</v>
      </c>
      <c r="I13" s="113">
        <f>VLOOKUP(C13,'Talente &amp; Stuff'!GX:HY,7,FALSE)</f>
        <v>0</v>
      </c>
      <c r="J13" s="113">
        <f>VLOOKUP(C13,'Talente &amp; Stuff'!GX:HY,8,FALSE)</f>
        <v>0</v>
      </c>
      <c r="K13" s="113">
        <f>VLOOKUP(C13,'Talente &amp; Stuff'!GX:HY,9,FALSE)</f>
        <v>0</v>
      </c>
      <c r="L13" s="113">
        <f>VLOOKUP(C13,'Talente &amp; Stuff'!GX:HY,10,FALSE)</f>
        <v>0</v>
      </c>
      <c r="M13" s="119">
        <f>VLOOKUP(C13,'Talente &amp; Stuff'!GX:HY,11,FALSE)</f>
        <v>0</v>
      </c>
      <c r="N13" s="89">
        <f>VLOOKUP(C13,'Talente &amp; Stuff'!GX:HY,12,FALSE)</f>
        <v>0</v>
      </c>
      <c r="O13" s="47">
        <f>VLOOKUP(C13,'Talente &amp; Stuff'!GX:HY,13,FALSE)</f>
        <v>0</v>
      </c>
      <c r="P13" s="119">
        <f>VLOOKUP(C13,'Talente &amp; Stuff'!GX:HY,14,FALSE)</f>
        <v>0</v>
      </c>
      <c r="Q13" s="114">
        <f>VLOOKUP(C13,'Talente &amp; Stuff'!GX:HY,15,FALSE)</f>
        <v>0</v>
      </c>
      <c r="R13" s="113">
        <f>VLOOKUP(C13,'Talente &amp; Stuff'!GX:HY,16,FALSE)</f>
        <v>0</v>
      </c>
      <c r="S13" s="119">
        <f>VLOOKUP(C13,'Talente &amp; Stuff'!GX:HY,17,FALSE)</f>
        <v>0</v>
      </c>
      <c r="T13" s="160">
        <f>VLOOKUP(C13,'Talente &amp; Stuff'!GX:HY,18,FALSE)</f>
        <v>0</v>
      </c>
      <c r="U13" s="89">
        <f>VLOOKUP(C13,'Talente &amp; Stuff'!GX:HY,19,FALSE)</f>
        <v>0</v>
      </c>
      <c r="V13" s="47">
        <f>VLOOKUP(C13,'Talente &amp; Stuff'!GX:HY,20,FALSE)</f>
        <v>0</v>
      </c>
      <c r="W13" s="127">
        <f>VLOOKUP(C13,'Talente &amp; Stuff'!GX:HY,21,FALSE)</f>
        <v>0</v>
      </c>
      <c r="X13" s="125">
        <f>VLOOKUP(C13,'Talente &amp; Stuff'!GX:HY,22,FALSE)</f>
        <v>0</v>
      </c>
      <c r="Y13" s="165">
        <f t="shared" si="0"/>
        <v>0</v>
      </c>
      <c r="Z13" s="44">
        <f t="shared" si="1"/>
        <v>0</v>
      </c>
      <c r="AA13" s="125">
        <f>VLOOKUP(C13,'Talente &amp; Stuff'!GX:HY,25,FALSE)</f>
        <v>0</v>
      </c>
      <c r="AB13" s="160">
        <f>VLOOKUP(C13,'Talente &amp; Stuff'!GX:HY,26,FALSE)</f>
        <v>0</v>
      </c>
      <c r="AC13" s="127">
        <f>VLOOKUP(C13,'Talente &amp; Stuff'!GX:HY,27,FALSE)</f>
        <v>0</v>
      </c>
      <c r="AD13" s="125">
        <f>VLOOKUP(C13,'Talente &amp; Stuff'!GX:HY,28,FALSE)</f>
        <v>0</v>
      </c>
      <c r="AE13" s="28"/>
    </row>
    <row r="14" spans="1:31" ht="15" hidden="1" customHeight="1" outlineLevel="2">
      <c r="B14" s="148">
        <v>4</v>
      </c>
      <c r="C14" s="177" t="str">
        <f>Attribute!C14</f>
        <v>---</v>
      </c>
      <c r="D14" s="127" t="str">
        <f>VLOOKUP(C14,'Talente &amp; Stuff'!GX:HY,2,FALSE)</f>
        <v>--/--/--</v>
      </c>
      <c r="E14" s="125" t="str">
        <f>VLOOKUP(C14,'Talente &amp; Stuff'!GX:HY,3,FALSE)</f>
        <v>-</v>
      </c>
      <c r="F14" s="114">
        <f>VLOOKUP(C14,'Talente &amp; Stuff'!GX:HY,4,FALSE)</f>
        <v>0</v>
      </c>
      <c r="G14" s="113">
        <f>VLOOKUP(C14,'Talente &amp; Stuff'!GX:HY,5,FALSE)</f>
        <v>0</v>
      </c>
      <c r="H14" s="113">
        <f>VLOOKUP(C14,'Talente &amp; Stuff'!GX:HY,6,FALSE)</f>
        <v>0</v>
      </c>
      <c r="I14" s="113">
        <f>VLOOKUP(C14,'Talente &amp; Stuff'!GX:HY,7,FALSE)</f>
        <v>0</v>
      </c>
      <c r="J14" s="113">
        <f>VLOOKUP(C14,'Talente &amp; Stuff'!GX:HY,8,FALSE)</f>
        <v>0</v>
      </c>
      <c r="K14" s="113">
        <f>VLOOKUP(C14,'Talente &amp; Stuff'!GX:HY,9,FALSE)</f>
        <v>0</v>
      </c>
      <c r="L14" s="113">
        <f>VLOOKUP(C14,'Talente &amp; Stuff'!GX:HY,10,FALSE)</f>
        <v>0</v>
      </c>
      <c r="M14" s="119">
        <f>VLOOKUP(C14,'Talente &amp; Stuff'!GX:HY,11,FALSE)</f>
        <v>0</v>
      </c>
      <c r="N14" s="89">
        <f>VLOOKUP(C14,'Talente &amp; Stuff'!GX:HY,12,FALSE)</f>
        <v>0</v>
      </c>
      <c r="O14" s="47">
        <f>VLOOKUP(C14,'Talente &amp; Stuff'!GX:HY,13,FALSE)</f>
        <v>0</v>
      </c>
      <c r="P14" s="119">
        <f>VLOOKUP(C14,'Talente &amp; Stuff'!GX:HY,14,FALSE)</f>
        <v>0</v>
      </c>
      <c r="Q14" s="114">
        <f>VLOOKUP(C14,'Talente &amp; Stuff'!GX:HY,15,FALSE)</f>
        <v>0</v>
      </c>
      <c r="R14" s="113">
        <f>VLOOKUP(C14,'Talente &amp; Stuff'!GX:HY,16,FALSE)</f>
        <v>0</v>
      </c>
      <c r="S14" s="119">
        <f>VLOOKUP(C14,'Talente &amp; Stuff'!GX:HY,17,FALSE)</f>
        <v>0</v>
      </c>
      <c r="T14" s="160">
        <f>VLOOKUP(C14,'Talente &amp; Stuff'!GX:HY,18,FALSE)</f>
        <v>0</v>
      </c>
      <c r="U14" s="89">
        <f>VLOOKUP(C14,'Talente &amp; Stuff'!GX:HY,19,FALSE)</f>
        <v>0</v>
      </c>
      <c r="V14" s="47">
        <f>VLOOKUP(C14,'Talente &amp; Stuff'!GX:HY,20,FALSE)</f>
        <v>0</v>
      </c>
      <c r="W14" s="127">
        <f>VLOOKUP(C14,'Talente &amp; Stuff'!GX:HY,21,FALSE)</f>
        <v>0</v>
      </c>
      <c r="X14" s="125">
        <f>VLOOKUP(C14,'Talente &amp; Stuff'!GX:HY,22,FALSE)</f>
        <v>0</v>
      </c>
      <c r="Y14" s="165">
        <f t="shared" si="0"/>
        <v>0</v>
      </c>
      <c r="Z14" s="44">
        <f t="shared" si="1"/>
        <v>0</v>
      </c>
      <c r="AA14" s="125">
        <f>VLOOKUP(C14,'Talente &amp; Stuff'!GX:HY,25,FALSE)</f>
        <v>0</v>
      </c>
      <c r="AB14" s="160">
        <f>VLOOKUP(C14,'Talente &amp; Stuff'!GX:HY,26,FALSE)</f>
        <v>0</v>
      </c>
      <c r="AC14" s="127">
        <f>VLOOKUP(C14,'Talente &amp; Stuff'!GX:HY,27,FALSE)</f>
        <v>0</v>
      </c>
      <c r="AD14" s="125">
        <f>VLOOKUP(C14,'Talente &amp; Stuff'!GX:HY,28,FALSE)</f>
        <v>0</v>
      </c>
      <c r="AE14" s="28"/>
    </row>
    <row r="15" spans="1:31" ht="15" hidden="1" customHeight="1" outlineLevel="2">
      <c r="B15" s="148">
        <v>5</v>
      </c>
      <c r="C15" s="177" t="str">
        <f>Attribute!C15</f>
        <v>---</v>
      </c>
      <c r="D15" s="127" t="str">
        <f>VLOOKUP(C15,'Talente &amp; Stuff'!GX:HY,2,FALSE)</f>
        <v>--/--/--</v>
      </c>
      <c r="E15" s="125" t="str">
        <f>VLOOKUP(C15,'Talente &amp; Stuff'!GX:HY,3,FALSE)</f>
        <v>-</v>
      </c>
      <c r="F15" s="114">
        <f>VLOOKUP(C15,'Talente &amp; Stuff'!GX:HY,4,FALSE)</f>
        <v>0</v>
      </c>
      <c r="G15" s="113">
        <f>VLOOKUP(C15,'Talente &amp; Stuff'!GX:HY,5,FALSE)</f>
        <v>0</v>
      </c>
      <c r="H15" s="113">
        <f>VLOOKUP(C15,'Talente &amp; Stuff'!GX:HY,6,FALSE)</f>
        <v>0</v>
      </c>
      <c r="I15" s="113">
        <f>VLOOKUP(C15,'Talente &amp; Stuff'!GX:HY,7,FALSE)</f>
        <v>0</v>
      </c>
      <c r="J15" s="113">
        <f>VLOOKUP(C15,'Talente &amp; Stuff'!GX:HY,8,FALSE)</f>
        <v>0</v>
      </c>
      <c r="K15" s="113">
        <f>VLOOKUP(C15,'Talente &amp; Stuff'!GX:HY,9,FALSE)</f>
        <v>0</v>
      </c>
      <c r="L15" s="113">
        <f>VLOOKUP(C15,'Talente &amp; Stuff'!GX:HY,10,FALSE)</f>
        <v>0</v>
      </c>
      <c r="M15" s="119">
        <f>VLOOKUP(C15,'Talente &amp; Stuff'!GX:HY,11,FALSE)</f>
        <v>0</v>
      </c>
      <c r="N15" s="89">
        <f>VLOOKUP(C15,'Talente &amp; Stuff'!GX:HY,12,FALSE)</f>
        <v>0</v>
      </c>
      <c r="O15" s="47">
        <f>VLOOKUP(C15,'Talente &amp; Stuff'!GX:HY,13,FALSE)</f>
        <v>0</v>
      </c>
      <c r="P15" s="119">
        <f>VLOOKUP(C15,'Talente &amp; Stuff'!GX:HY,14,FALSE)</f>
        <v>0</v>
      </c>
      <c r="Q15" s="114">
        <f>VLOOKUP(C15,'Talente &amp; Stuff'!GX:HY,15,FALSE)</f>
        <v>0</v>
      </c>
      <c r="R15" s="113">
        <f>VLOOKUP(C15,'Talente &amp; Stuff'!GX:HY,16,FALSE)</f>
        <v>0</v>
      </c>
      <c r="S15" s="119">
        <f>VLOOKUP(C15,'Talente &amp; Stuff'!GX:HY,17,FALSE)</f>
        <v>0</v>
      </c>
      <c r="T15" s="160">
        <f>VLOOKUP(C15,'Talente &amp; Stuff'!GX:HY,18,FALSE)</f>
        <v>0</v>
      </c>
      <c r="U15" s="89">
        <f>VLOOKUP(C15,'Talente &amp; Stuff'!GX:HY,19,FALSE)</f>
        <v>0</v>
      </c>
      <c r="V15" s="47">
        <f>VLOOKUP(C15,'Talente &amp; Stuff'!GX:HY,20,FALSE)</f>
        <v>0</v>
      </c>
      <c r="W15" s="127">
        <f>VLOOKUP(C15,'Talente &amp; Stuff'!GX:HY,21,FALSE)</f>
        <v>0</v>
      </c>
      <c r="X15" s="125">
        <f>VLOOKUP(C15,'Talente &amp; Stuff'!GX:HY,22,FALSE)</f>
        <v>0</v>
      </c>
      <c r="Y15" s="165">
        <f t="shared" si="0"/>
        <v>0</v>
      </c>
      <c r="Z15" s="44">
        <f t="shared" si="1"/>
        <v>0</v>
      </c>
      <c r="AA15" s="125">
        <f>VLOOKUP(C15,'Talente &amp; Stuff'!GX:HY,25,FALSE)</f>
        <v>0</v>
      </c>
      <c r="AB15" s="160">
        <f>VLOOKUP(C15,'Talente &amp; Stuff'!GX:HY,26,FALSE)</f>
        <v>0</v>
      </c>
      <c r="AC15" s="127">
        <f>VLOOKUP(C15,'Talente &amp; Stuff'!GX:HY,27,FALSE)</f>
        <v>0</v>
      </c>
      <c r="AD15" s="125">
        <f>VLOOKUP(C15,'Talente &amp; Stuff'!GX:HY,28,FALSE)</f>
        <v>0</v>
      </c>
      <c r="AE15" s="28"/>
    </row>
    <row r="16" spans="1:31" ht="15" hidden="1" customHeight="1" outlineLevel="2">
      <c r="B16" s="148">
        <v>6</v>
      </c>
      <c r="C16" s="177" t="str">
        <f>Attribute!C16</f>
        <v>---</v>
      </c>
      <c r="D16" s="127" t="str">
        <f>VLOOKUP(C16,'Talente &amp; Stuff'!GX:HY,2,FALSE)</f>
        <v>--/--/--</v>
      </c>
      <c r="E16" s="125" t="str">
        <f>VLOOKUP(C16,'Talente &amp; Stuff'!GX:HY,3,FALSE)</f>
        <v>-</v>
      </c>
      <c r="F16" s="114">
        <f>VLOOKUP(C16,'Talente &amp; Stuff'!GX:HY,4,FALSE)</f>
        <v>0</v>
      </c>
      <c r="G16" s="113">
        <f>VLOOKUP(C16,'Talente &amp; Stuff'!GX:HY,5,FALSE)</f>
        <v>0</v>
      </c>
      <c r="H16" s="113">
        <f>VLOOKUP(C16,'Talente &amp; Stuff'!GX:HY,6,FALSE)</f>
        <v>0</v>
      </c>
      <c r="I16" s="113">
        <f>VLOOKUP(C16,'Talente &amp; Stuff'!GX:HY,7,FALSE)</f>
        <v>0</v>
      </c>
      <c r="J16" s="113">
        <f>VLOOKUP(C16,'Talente &amp; Stuff'!GX:HY,8,FALSE)</f>
        <v>0</v>
      </c>
      <c r="K16" s="113">
        <f>VLOOKUP(C16,'Talente &amp; Stuff'!GX:HY,9,FALSE)</f>
        <v>0</v>
      </c>
      <c r="L16" s="113">
        <f>VLOOKUP(C16,'Talente &amp; Stuff'!GX:HY,10,FALSE)</f>
        <v>0</v>
      </c>
      <c r="M16" s="119">
        <f>VLOOKUP(C16,'Talente &amp; Stuff'!GX:HY,11,FALSE)</f>
        <v>0</v>
      </c>
      <c r="N16" s="89">
        <f>VLOOKUP(C16,'Talente &amp; Stuff'!GX:HY,12,FALSE)</f>
        <v>0</v>
      </c>
      <c r="O16" s="47">
        <f>VLOOKUP(C16,'Talente &amp; Stuff'!GX:HY,13,FALSE)</f>
        <v>0</v>
      </c>
      <c r="P16" s="119">
        <f>VLOOKUP(C16,'Talente &amp; Stuff'!GX:HY,14,FALSE)</f>
        <v>0</v>
      </c>
      <c r="Q16" s="114">
        <f>VLOOKUP(C16,'Talente &amp; Stuff'!GX:HY,15,FALSE)</f>
        <v>0</v>
      </c>
      <c r="R16" s="113">
        <f>VLOOKUP(C16,'Talente &amp; Stuff'!GX:HY,16,FALSE)</f>
        <v>0</v>
      </c>
      <c r="S16" s="119">
        <f>VLOOKUP(C16,'Talente &amp; Stuff'!GX:HY,17,FALSE)</f>
        <v>0</v>
      </c>
      <c r="T16" s="160">
        <f>VLOOKUP(C16,'Talente &amp; Stuff'!GX:HY,18,FALSE)</f>
        <v>0</v>
      </c>
      <c r="U16" s="89">
        <f>VLOOKUP(C16,'Talente &amp; Stuff'!GX:HY,19,FALSE)</f>
        <v>0</v>
      </c>
      <c r="V16" s="47">
        <f>VLOOKUP(C16,'Talente &amp; Stuff'!GX:HY,20,FALSE)</f>
        <v>0</v>
      </c>
      <c r="W16" s="127">
        <f>VLOOKUP(C16,'Talente &amp; Stuff'!GX:HY,21,FALSE)</f>
        <v>0</v>
      </c>
      <c r="X16" s="125">
        <f>VLOOKUP(C16,'Talente &amp; Stuff'!GX:HY,22,FALSE)</f>
        <v>0</v>
      </c>
      <c r="Y16" s="165">
        <f t="shared" si="0"/>
        <v>0</v>
      </c>
      <c r="Z16" s="44">
        <f t="shared" si="1"/>
        <v>0</v>
      </c>
      <c r="AA16" s="125">
        <f>VLOOKUP(C16,'Talente &amp; Stuff'!GX:HY,25,FALSE)</f>
        <v>0</v>
      </c>
      <c r="AB16" s="160">
        <f>VLOOKUP(C16,'Talente &amp; Stuff'!GX:HY,26,FALSE)</f>
        <v>0</v>
      </c>
      <c r="AC16" s="127">
        <f>VLOOKUP(C16,'Talente &amp; Stuff'!GX:HY,27,FALSE)</f>
        <v>0</v>
      </c>
      <c r="AD16" s="125">
        <f>VLOOKUP(C16,'Talente &amp; Stuff'!GX:HY,28,FALSE)</f>
        <v>0</v>
      </c>
      <c r="AE16" s="28"/>
    </row>
    <row r="17" spans="2:31" ht="15" hidden="1" customHeight="1" outlineLevel="2">
      <c r="B17" s="148">
        <v>7</v>
      </c>
      <c r="C17" s="177" t="str">
        <f>Attribute!C17</f>
        <v>---</v>
      </c>
      <c r="D17" s="127" t="str">
        <f>VLOOKUP(C17,'Talente &amp; Stuff'!GX:HY,2,FALSE)</f>
        <v>--/--/--</v>
      </c>
      <c r="E17" s="125" t="str">
        <f>VLOOKUP(C17,'Talente &amp; Stuff'!GX:HY,3,FALSE)</f>
        <v>-</v>
      </c>
      <c r="F17" s="114">
        <f>VLOOKUP(C17,'Talente &amp; Stuff'!GX:HY,4,FALSE)</f>
        <v>0</v>
      </c>
      <c r="G17" s="113">
        <f>VLOOKUP(C17,'Talente &amp; Stuff'!GX:HY,5,FALSE)</f>
        <v>0</v>
      </c>
      <c r="H17" s="113">
        <f>VLOOKUP(C17,'Talente &amp; Stuff'!GX:HY,6,FALSE)</f>
        <v>0</v>
      </c>
      <c r="I17" s="113">
        <f>VLOOKUP(C17,'Talente &amp; Stuff'!GX:HY,7,FALSE)</f>
        <v>0</v>
      </c>
      <c r="J17" s="113">
        <f>VLOOKUP(C17,'Talente &amp; Stuff'!GX:HY,8,FALSE)</f>
        <v>0</v>
      </c>
      <c r="K17" s="113">
        <f>VLOOKUP(C17,'Talente &amp; Stuff'!GX:HY,9,FALSE)</f>
        <v>0</v>
      </c>
      <c r="L17" s="113">
        <f>VLOOKUP(C17,'Talente &amp; Stuff'!GX:HY,10,FALSE)</f>
        <v>0</v>
      </c>
      <c r="M17" s="119">
        <f>VLOOKUP(C17,'Talente &amp; Stuff'!GX:HY,11,FALSE)</f>
        <v>0</v>
      </c>
      <c r="N17" s="89">
        <f>VLOOKUP(C17,'Talente &amp; Stuff'!GX:HY,12,FALSE)</f>
        <v>0</v>
      </c>
      <c r="O17" s="47">
        <f>VLOOKUP(C17,'Talente &amp; Stuff'!GX:HY,13,FALSE)</f>
        <v>0</v>
      </c>
      <c r="P17" s="119">
        <f>VLOOKUP(C17,'Talente &amp; Stuff'!GX:HY,14,FALSE)</f>
        <v>0</v>
      </c>
      <c r="Q17" s="114">
        <f>VLOOKUP(C17,'Talente &amp; Stuff'!GX:HY,15,FALSE)</f>
        <v>0</v>
      </c>
      <c r="R17" s="113">
        <f>VLOOKUP(C17,'Talente &amp; Stuff'!GX:HY,16,FALSE)</f>
        <v>0</v>
      </c>
      <c r="S17" s="119">
        <f>VLOOKUP(C17,'Talente &amp; Stuff'!GX:HY,17,FALSE)</f>
        <v>0</v>
      </c>
      <c r="T17" s="160">
        <f>VLOOKUP(C17,'Talente &amp; Stuff'!GX:HY,18,FALSE)</f>
        <v>0</v>
      </c>
      <c r="U17" s="89">
        <f>VLOOKUP(C17,'Talente &amp; Stuff'!GX:HY,19,FALSE)</f>
        <v>0</v>
      </c>
      <c r="V17" s="47">
        <f>VLOOKUP(C17,'Talente &amp; Stuff'!GX:HY,20,FALSE)</f>
        <v>0</v>
      </c>
      <c r="W17" s="127">
        <f>VLOOKUP(C17,'Talente &amp; Stuff'!GX:HY,21,FALSE)</f>
        <v>0</v>
      </c>
      <c r="X17" s="125">
        <f>VLOOKUP(C17,'Talente &amp; Stuff'!GX:HY,22,FALSE)</f>
        <v>0</v>
      </c>
      <c r="Y17" s="165">
        <f t="shared" si="0"/>
        <v>0</v>
      </c>
      <c r="Z17" s="44">
        <f t="shared" si="1"/>
        <v>0</v>
      </c>
      <c r="AA17" s="125">
        <f>VLOOKUP(C17,'Talente &amp; Stuff'!GX:HY,25,FALSE)</f>
        <v>0</v>
      </c>
      <c r="AB17" s="160">
        <f>VLOOKUP(C17,'Talente &amp; Stuff'!GX:HY,26,FALSE)</f>
        <v>0</v>
      </c>
      <c r="AC17" s="127">
        <f>VLOOKUP(C17,'Talente &amp; Stuff'!GX:HY,27,FALSE)</f>
        <v>0</v>
      </c>
      <c r="AD17" s="125">
        <f>VLOOKUP(C17,'Talente &amp; Stuff'!GX:HY,28,FALSE)</f>
        <v>0</v>
      </c>
      <c r="AE17" s="28"/>
    </row>
    <row r="18" spans="2:31" ht="15" hidden="1" customHeight="1" outlineLevel="2">
      <c r="B18" s="148">
        <v>8</v>
      </c>
      <c r="C18" s="177" t="str">
        <f>Attribute!C18</f>
        <v>---</v>
      </c>
      <c r="D18" s="127" t="str">
        <f>VLOOKUP(C18,'Talente &amp; Stuff'!GX:HY,2,FALSE)</f>
        <v>--/--/--</v>
      </c>
      <c r="E18" s="125" t="str">
        <f>VLOOKUP(C18,'Talente &amp; Stuff'!GX:HY,3,FALSE)</f>
        <v>-</v>
      </c>
      <c r="F18" s="114">
        <f>VLOOKUP(C18,'Talente &amp; Stuff'!GX:HY,4,FALSE)</f>
        <v>0</v>
      </c>
      <c r="G18" s="113">
        <f>VLOOKUP(C18,'Talente &amp; Stuff'!GX:HY,5,FALSE)</f>
        <v>0</v>
      </c>
      <c r="H18" s="113">
        <f>VLOOKUP(C18,'Talente &amp; Stuff'!GX:HY,6,FALSE)</f>
        <v>0</v>
      </c>
      <c r="I18" s="113">
        <f>VLOOKUP(C18,'Talente &amp; Stuff'!GX:HY,7,FALSE)</f>
        <v>0</v>
      </c>
      <c r="J18" s="113">
        <f>VLOOKUP(C18,'Talente &amp; Stuff'!GX:HY,8,FALSE)</f>
        <v>0</v>
      </c>
      <c r="K18" s="113">
        <f>VLOOKUP(C18,'Talente &amp; Stuff'!GX:HY,9,FALSE)</f>
        <v>0</v>
      </c>
      <c r="L18" s="113">
        <f>VLOOKUP(C18,'Talente &amp; Stuff'!GX:HY,10,FALSE)</f>
        <v>0</v>
      </c>
      <c r="M18" s="119">
        <f>VLOOKUP(C18,'Talente &amp; Stuff'!GX:HY,11,FALSE)</f>
        <v>0</v>
      </c>
      <c r="N18" s="89">
        <f>VLOOKUP(C18,'Talente &amp; Stuff'!GX:HY,12,FALSE)</f>
        <v>0</v>
      </c>
      <c r="O18" s="47">
        <f>VLOOKUP(C18,'Talente &amp; Stuff'!GX:HY,13,FALSE)</f>
        <v>0</v>
      </c>
      <c r="P18" s="119">
        <f>VLOOKUP(C18,'Talente &amp; Stuff'!GX:HY,14,FALSE)</f>
        <v>0</v>
      </c>
      <c r="Q18" s="114">
        <f>VLOOKUP(C18,'Talente &amp; Stuff'!GX:HY,15,FALSE)</f>
        <v>0</v>
      </c>
      <c r="R18" s="113">
        <f>VLOOKUP(C18,'Talente &amp; Stuff'!GX:HY,16,FALSE)</f>
        <v>0</v>
      </c>
      <c r="S18" s="119">
        <f>VLOOKUP(C18,'Talente &amp; Stuff'!GX:HY,17,FALSE)</f>
        <v>0</v>
      </c>
      <c r="T18" s="160">
        <f>VLOOKUP(C18,'Talente &amp; Stuff'!GX:HY,18,FALSE)</f>
        <v>0</v>
      </c>
      <c r="U18" s="89">
        <f>VLOOKUP(C18,'Talente &amp; Stuff'!GX:HY,19,FALSE)</f>
        <v>0</v>
      </c>
      <c r="V18" s="47">
        <f>VLOOKUP(C18,'Talente &amp; Stuff'!GX:HY,20,FALSE)</f>
        <v>0</v>
      </c>
      <c r="W18" s="127">
        <f>VLOOKUP(C18,'Talente &amp; Stuff'!GX:HY,21,FALSE)</f>
        <v>0</v>
      </c>
      <c r="X18" s="125">
        <f>VLOOKUP(C18,'Talente &amp; Stuff'!GX:HY,22,FALSE)</f>
        <v>0</v>
      </c>
      <c r="Y18" s="165">
        <f t="shared" si="0"/>
        <v>0</v>
      </c>
      <c r="Z18" s="44">
        <f t="shared" si="1"/>
        <v>0</v>
      </c>
      <c r="AA18" s="125">
        <f>VLOOKUP(C18,'Talente &amp; Stuff'!GX:HY,25,FALSE)</f>
        <v>0</v>
      </c>
      <c r="AB18" s="160">
        <f>VLOOKUP(C18,'Talente &amp; Stuff'!GX:HY,26,FALSE)</f>
        <v>0</v>
      </c>
      <c r="AC18" s="127">
        <f>VLOOKUP(C18,'Talente &amp; Stuff'!GX:HY,27,FALSE)</f>
        <v>0</v>
      </c>
      <c r="AD18" s="125">
        <f>VLOOKUP(C18,'Talente &amp; Stuff'!GX:HY,28,FALSE)</f>
        <v>0</v>
      </c>
      <c r="AE18" s="28"/>
    </row>
    <row r="19" spans="2:31" ht="15" hidden="1" customHeight="1" outlineLevel="2">
      <c r="B19" s="148">
        <v>9</v>
      </c>
      <c r="C19" s="177" t="str">
        <f>Attribute!C19</f>
        <v>---</v>
      </c>
      <c r="D19" s="127" t="str">
        <f>VLOOKUP(C19,'Talente &amp; Stuff'!GX:HY,2,FALSE)</f>
        <v>--/--/--</v>
      </c>
      <c r="E19" s="125" t="str">
        <f>VLOOKUP(C19,'Talente &amp; Stuff'!GX:HY,3,FALSE)</f>
        <v>-</v>
      </c>
      <c r="F19" s="114">
        <f>VLOOKUP(C19,'Talente &amp; Stuff'!GX:HY,4,FALSE)</f>
        <v>0</v>
      </c>
      <c r="G19" s="113">
        <f>VLOOKUP(C19,'Talente &amp; Stuff'!GX:HY,5,FALSE)</f>
        <v>0</v>
      </c>
      <c r="H19" s="113">
        <f>VLOOKUP(C19,'Talente &amp; Stuff'!GX:HY,6,FALSE)</f>
        <v>0</v>
      </c>
      <c r="I19" s="113">
        <f>VLOOKUP(C19,'Talente &amp; Stuff'!GX:HY,7,FALSE)</f>
        <v>0</v>
      </c>
      <c r="J19" s="113">
        <f>VLOOKUP(C19,'Talente &amp; Stuff'!GX:HY,8,FALSE)</f>
        <v>0</v>
      </c>
      <c r="K19" s="113">
        <f>VLOOKUP(C19,'Talente &amp; Stuff'!GX:HY,9,FALSE)</f>
        <v>0</v>
      </c>
      <c r="L19" s="113">
        <f>VLOOKUP(C19,'Talente &amp; Stuff'!GX:HY,10,FALSE)</f>
        <v>0</v>
      </c>
      <c r="M19" s="119">
        <f>VLOOKUP(C19,'Talente &amp; Stuff'!GX:HY,11,FALSE)</f>
        <v>0</v>
      </c>
      <c r="N19" s="89">
        <f>VLOOKUP(C19,'Talente &amp; Stuff'!GX:HY,12,FALSE)</f>
        <v>0</v>
      </c>
      <c r="O19" s="47">
        <f>VLOOKUP(C19,'Talente &amp; Stuff'!GX:HY,13,FALSE)</f>
        <v>0</v>
      </c>
      <c r="P19" s="119">
        <f>VLOOKUP(C19,'Talente &amp; Stuff'!GX:HY,14,FALSE)</f>
        <v>0</v>
      </c>
      <c r="Q19" s="114">
        <f>VLOOKUP(C19,'Talente &amp; Stuff'!GX:HY,15,FALSE)</f>
        <v>0</v>
      </c>
      <c r="R19" s="113">
        <f>VLOOKUP(C19,'Talente &amp; Stuff'!GX:HY,16,FALSE)</f>
        <v>0</v>
      </c>
      <c r="S19" s="119">
        <f>VLOOKUP(C19,'Talente &amp; Stuff'!GX:HY,17,FALSE)</f>
        <v>0</v>
      </c>
      <c r="T19" s="160">
        <f>VLOOKUP(C19,'Talente &amp; Stuff'!GX:HY,18,FALSE)</f>
        <v>0</v>
      </c>
      <c r="U19" s="89">
        <f>VLOOKUP(C19,'Talente &amp; Stuff'!GX:HY,19,FALSE)</f>
        <v>0</v>
      </c>
      <c r="V19" s="47">
        <f>VLOOKUP(C19,'Talente &amp; Stuff'!GX:HY,20,FALSE)</f>
        <v>0</v>
      </c>
      <c r="W19" s="127">
        <f>VLOOKUP(C19,'Talente &amp; Stuff'!GX:HY,21,FALSE)</f>
        <v>0</v>
      </c>
      <c r="X19" s="125">
        <f>VLOOKUP(C19,'Talente &amp; Stuff'!GX:HY,22,FALSE)</f>
        <v>0</v>
      </c>
      <c r="Y19" s="165">
        <f t="shared" si="0"/>
        <v>0</v>
      </c>
      <c r="Z19" s="44">
        <f t="shared" si="1"/>
        <v>0</v>
      </c>
      <c r="AA19" s="125">
        <f>VLOOKUP(C19,'Talente &amp; Stuff'!GX:HY,25,FALSE)</f>
        <v>0</v>
      </c>
      <c r="AB19" s="160">
        <f>VLOOKUP(C19,'Talente &amp; Stuff'!GX:HY,26,FALSE)</f>
        <v>0</v>
      </c>
      <c r="AC19" s="127">
        <f>VLOOKUP(C19,'Talente &amp; Stuff'!GX:HY,27,FALSE)</f>
        <v>0</v>
      </c>
      <c r="AD19" s="125">
        <f>VLOOKUP(C19,'Talente &amp; Stuff'!GX:HY,28,FALSE)</f>
        <v>0</v>
      </c>
      <c r="AE19" s="28"/>
    </row>
    <row r="20" spans="2:31" ht="15" hidden="1" customHeight="1" outlineLevel="2">
      <c r="B20" s="148">
        <v>10</v>
      </c>
      <c r="C20" s="177" t="str">
        <f>Attribute!C20</f>
        <v>---</v>
      </c>
      <c r="D20" s="127" t="str">
        <f>VLOOKUP(C20,'Talente &amp; Stuff'!GX:HY,2,FALSE)</f>
        <v>--/--/--</v>
      </c>
      <c r="E20" s="125" t="str">
        <f>VLOOKUP(C20,'Talente &amp; Stuff'!GX:HY,3,FALSE)</f>
        <v>-</v>
      </c>
      <c r="F20" s="114">
        <f>VLOOKUP(C20,'Talente &amp; Stuff'!GX:HY,4,FALSE)</f>
        <v>0</v>
      </c>
      <c r="G20" s="113">
        <f>VLOOKUP(C20,'Talente &amp; Stuff'!GX:HY,5,FALSE)</f>
        <v>0</v>
      </c>
      <c r="H20" s="113">
        <f>VLOOKUP(C20,'Talente &amp; Stuff'!GX:HY,6,FALSE)</f>
        <v>0</v>
      </c>
      <c r="I20" s="113">
        <f>VLOOKUP(C20,'Talente &amp; Stuff'!GX:HY,7,FALSE)</f>
        <v>0</v>
      </c>
      <c r="J20" s="113">
        <f>VLOOKUP(C20,'Talente &amp; Stuff'!GX:HY,8,FALSE)</f>
        <v>0</v>
      </c>
      <c r="K20" s="113">
        <f>VLOOKUP(C20,'Talente &amp; Stuff'!GX:HY,9,FALSE)</f>
        <v>0</v>
      </c>
      <c r="L20" s="113">
        <f>VLOOKUP(C20,'Talente &amp; Stuff'!GX:HY,10,FALSE)</f>
        <v>0</v>
      </c>
      <c r="M20" s="119">
        <f>VLOOKUP(C20,'Talente &amp; Stuff'!GX:HY,11,FALSE)</f>
        <v>0</v>
      </c>
      <c r="N20" s="89">
        <f>VLOOKUP(C20,'Talente &amp; Stuff'!GX:HY,12,FALSE)</f>
        <v>0</v>
      </c>
      <c r="O20" s="47">
        <f>VLOOKUP(C20,'Talente &amp; Stuff'!GX:HY,13,FALSE)</f>
        <v>0</v>
      </c>
      <c r="P20" s="119">
        <f>VLOOKUP(C20,'Talente &amp; Stuff'!GX:HY,14,FALSE)</f>
        <v>0</v>
      </c>
      <c r="Q20" s="114">
        <f>VLOOKUP(C20,'Talente &amp; Stuff'!GX:HY,15,FALSE)</f>
        <v>0</v>
      </c>
      <c r="R20" s="113">
        <f>VLOOKUP(C20,'Talente &amp; Stuff'!GX:HY,16,FALSE)</f>
        <v>0</v>
      </c>
      <c r="S20" s="119">
        <f>VLOOKUP(C20,'Talente &amp; Stuff'!GX:HY,17,FALSE)</f>
        <v>0</v>
      </c>
      <c r="T20" s="160">
        <f>VLOOKUP(C20,'Talente &amp; Stuff'!GX:HY,18,FALSE)</f>
        <v>0</v>
      </c>
      <c r="U20" s="89">
        <f>VLOOKUP(C20,'Talente &amp; Stuff'!GX:HY,19,FALSE)</f>
        <v>0</v>
      </c>
      <c r="V20" s="47">
        <f>VLOOKUP(C20,'Talente &amp; Stuff'!GX:HY,20,FALSE)</f>
        <v>0</v>
      </c>
      <c r="W20" s="127">
        <f>VLOOKUP(C20,'Talente &amp; Stuff'!GX:HY,21,FALSE)</f>
        <v>0</v>
      </c>
      <c r="X20" s="125">
        <f>VLOOKUP(C20,'Talente &amp; Stuff'!GX:HY,22,FALSE)</f>
        <v>0</v>
      </c>
      <c r="Y20" s="165">
        <f t="shared" si="0"/>
        <v>0</v>
      </c>
      <c r="Z20" s="44">
        <f t="shared" si="1"/>
        <v>0</v>
      </c>
      <c r="AA20" s="125">
        <f>VLOOKUP(C20,'Talente &amp; Stuff'!GX:HY,25,FALSE)</f>
        <v>0</v>
      </c>
      <c r="AB20" s="160">
        <f>VLOOKUP(C20,'Talente &amp; Stuff'!GX:HY,26,FALSE)</f>
        <v>0</v>
      </c>
      <c r="AC20" s="127">
        <f>VLOOKUP(C20,'Talente &amp; Stuff'!GX:HY,27,FALSE)</f>
        <v>0</v>
      </c>
      <c r="AD20" s="125">
        <f>VLOOKUP(C20,'Talente &amp; Stuff'!GX:HY,28,FALSE)</f>
        <v>0</v>
      </c>
      <c r="AE20" s="28"/>
    </row>
    <row r="21" spans="2:31" ht="15" hidden="1" customHeight="1" outlineLevel="2">
      <c r="B21" s="148">
        <v>11</v>
      </c>
      <c r="C21" s="177" t="str">
        <f>Attribute!C21</f>
        <v>---</v>
      </c>
      <c r="D21" s="127" t="str">
        <f>VLOOKUP(C21,'Talente &amp; Stuff'!GX:HY,2,FALSE)</f>
        <v>--/--/--</v>
      </c>
      <c r="E21" s="125" t="str">
        <f>VLOOKUP(C21,'Talente &amp; Stuff'!GX:HY,3,FALSE)</f>
        <v>-</v>
      </c>
      <c r="F21" s="114">
        <f>VLOOKUP(C21,'Talente &amp; Stuff'!GX:HY,4,FALSE)</f>
        <v>0</v>
      </c>
      <c r="G21" s="113">
        <f>VLOOKUP(C21,'Talente &amp; Stuff'!GX:HY,5,FALSE)</f>
        <v>0</v>
      </c>
      <c r="H21" s="113">
        <f>VLOOKUP(C21,'Talente &amp; Stuff'!GX:HY,6,FALSE)</f>
        <v>0</v>
      </c>
      <c r="I21" s="113">
        <f>VLOOKUP(C21,'Talente &amp; Stuff'!GX:HY,7,FALSE)</f>
        <v>0</v>
      </c>
      <c r="J21" s="113">
        <f>VLOOKUP(C21,'Talente &amp; Stuff'!GX:HY,8,FALSE)</f>
        <v>0</v>
      </c>
      <c r="K21" s="113">
        <f>VLOOKUP(C21,'Talente &amp; Stuff'!GX:HY,9,FALSE)</f>
        <v>0</v>
      </c>
      <c r="L21" s="113">
        <f>VLOOKUP(C21,'Talente &amp; Stuff'!GX:HY,10,FALSE)</f>
        <v>0</v>
      </c>
      <c r="M21" s="119">
        <f>VLOOKUP(C21,'Talente &amp; Stuff'!GX:HY,11,FALSE)</f>
        <v>0</v>
      </c>
      <c r="N21" s="89">
        <f>VLOOKUP(C21,'Talente &amp; Stuff'!GX:HY,12,FALSE)</f>
        <v>0</v>
      </c>
      <c r="O21" s="47">
        <f>VLOOKUP(C21,'Talente &amp; Stuff'!GX:HY,13,FALSE)</f>
        <v>0</v>
      </c>
      <c r="P21" s="119">
        <f>VLOOKUP(C21,'Talente &amp; Stuff'!GX:HY,14,FALSE)</f>
        <v>0</v>
      </c>
      <c r="Q21" s="114">
        <f>VLOOKUP(C21,'Talente &amp; Stuff'!GX:HY,15,FALSE)</f>
        <v>0</v>
      </c>
      <c r="R21" s="113">
        <f>VLOOKUP(C21,'Talente &amp; Stuff'!GX:HY,16,FALSE)</f>
        <v>0</v>
      </c>
      <c r="S21" s="119">
        <f>VLOOKUP(C21,'Talente &amp; Stuff'!GX:HY,17,FALSE)</f>
        <v>0</v>
      </c>
      <c r="T21" s="160">
        <f>VLOOKUP(C21,'Talente &amp; Stuff'!GX:HY,18,FALSE)</f>
        <v>0</v>
      </c>
      <c r="U21" s="89">
        <f>VLOOKUP(C21,'Talente &amp; Stuff'!GX:HY,19,FALSE)</f>
        <v>0</v>
      </c>
      <c r="V21" s="47">
        <f>VLOOKUP(C21,'Talente &amp; Stuff'!GX:HY,20,FALSE)</f>
        <v>0</v>
      </c>
      <c r="W21" s="127">
        <f>VLOOKUP(C21,'Talente &amp; Stuff'!GX:HY,21,FALSE)</f>
        <v>0</v>
      </c>
      <c r="X21" s="125">
        <f>VLOOKUP(C21,'Talente &amp; Stuff'!GX:HY,22,FALSE)</f>
        <v>0</v>
      </c>
      <c r="Y21" s="165">
        <f t="shared" si="0"/>
        <v>0</v>
      </c>
      <c r="Z21" s="44">
        <f t="shared" si="1"/>
        <v>0</v>
      </c>
      <c r="AA21" s="125">
        <f>VLOOKUP(C21,'Talente &amp; Stuff'!GX:HY,25,FALSE)</f>
        <v>0</v>
      </c>
      <c r="AB21" s="160">
        <f>VLOOKUP(C21,'Talente &amp; Stuff'!GX:HY,26,FALSE)</f>
        <v>0</v>
      </c>
      <c r="AC21" s="127">
        <f>VLOOKUP(C21,'Talente &amp; Stuff'!GX:HY,27,FALSE)</f>
        <v>0</v>
      </c>
      <c r="AD21" s="125">
        <f>VLOOKUP(C21,'Talente &amp; Stuff'!GX:HY,28,FALSE)</f>
        <v>0</v>
      </c>
      <c r="AE21" s="28"/>
    </row>
    <row r="22" spans="2:31" ht="15" hidden="1" customHeight="1" outlineLevel="2">
      <c r="B22" s="148">
        <v>12</v>
      </c>
      <c r="C22" s="177" t="str">
        <f>Attribute!C22</f>
        <v>---</v>
      </c>
      <c r="D22" s="127" t="str">
        <f>VLOOKUP(C22,'Talente &amp; Stuff'!GX:HY,2,FALSE)</f>
        <v>--/--/--</v>
      </c>
      <c r="E22" s="125" t="str">
        <f>VLOOKUP(C22,'Talente &amp; Stuff'!GX:HY,3,FALSE)</f>
        <v>-</v>
      </c>
      <c r="F22" s="114">
        <f>VLOOKUP(C22,'Talente &amp; Stuff'!GX:HY,4,FALSE)</f>
        <v>0</v>
      </c>
      <c r="G22" s="113">
        <f>VLOOKUP(C22,'Talente &amp; Stuff'!GX:HY,5,FALSE)</f>
        <v>0</v>
      </c>
      <c r="H22" s="113">
        <f>VLOOKUP(C22,'Talente &amp; Stuff'!GX:HY,6,FALSE)</f>
        <v>0</v>
      </c>
      <c r="I22" s="113">
        <f>VLOOKUP(C22,'Talente &amp; Stuff'!GX:HY,7,FALSE)</f>
        <v>0</v>
      </c>
      <c r="J22" s="113">
        <f>VLOOKUP(C22,'Talente &amp; Stuff'!GX:HY,8,FALSE)</f>
        <v>0</v>
      </c>
      <c r="K22" s="113">
        <f>VLOOKUP(C22,'Talente &amp; Stuff'!GX:HY,9,FALSE)</f>
        <v>0</v>
      </c>
      <c r="L22" s="113">
        <f>VLOOKUP(C22,'Talente &amp; Stuff'!GX:HY,10,FALSE)</f>
        <v>0</v>
      </c>
      <c r="M22" s="119">
        <f>VLOOKUP(C22,'Talente &amp; Stuff'!GX:HY,11,FALSE)</f>
        <v>0</v>
      </c>
      <c r="N22" s="89">
        <f>VLOOKUP(C22,'Talente &amp; Stuff'!GX:HY,12,FALSE)</f>
        <v>0</v>
      </c>
      <c r="O22" s="47">
        <f>VLOOKUP(C22,'Talente &amp; Stuff'!GX:HY,13,FALSE)</f>
        <v>0</v>
      </c>
      <c r="P22" s="119">
        <f>VLOOKUP(C22,'Talente &amp; Stuff'!GX:HY,14,FALSE)</f>
        <v>0</v>
      </c>
      <c r="Q22" s="114">
        <f>VLOOKUP(C22,'Talente &amp; Stuff'!GX:HY,15,FALSE)</f>
        <v>0</v>
      </c>
      <c r="R22" s="113">
        <f>VLOOKUP(C22,'Talente &amp; Stuff'!GX:HY,16,FALSE)</f>
        <v>0</v>
      </c>
      <c r="S22" s="119">
        <f>VLOOKUP(C22,'Talente &amp; Stuff'!GX:HY,17,FALSE)</f>
        <v>0</v>
      </c>
      <c r="T22" s="160">
        <f>VLOOKUP(C22,'Talente &amp; Stuff'!GX:HY,18,FALSE)</f>
        <v>0</v>
      </c>
      <c r="U22" s="89">
        <f>VLOOKUP(C22,'Talente &amp; Stuff'!GX:HY,19,FALSE)</f>
        <v>0</v>
      </c>
      <c r="V22" s="47">
        <f>VLOOKUP(C22,'Talente &amp; Stuff'!GX:HY,20,FALSE)</f>
        <v>0</v>
      </c>
      <c r="W22" s="127">
        <f>VLOOKUP(C22,'Talente &amp; Stuff'!GX:HY,21,FALSE)</f>
        <v>0</v>
      </c>
      <c r="X22" s="125">
        <f>VLOOKUP(C22,'Talente &amp; Stuff'!GX:HY,22,FALSE)</f>
        <v>0</v>
      </c>
      <c r="Y22" s="165">
        <f t="shared" si="0"/>
        <v>0</v>
      </c>
      <c r="Z22" s="44">
        <f t="shared" si="1"/>
        <v>0</v>
      </c>
      <c r="AA22" s="125">
        <f>VLOOKUP(C22,'Talente &amp; Stuff'!GX:HY,25,FALSE)</f>
        <v>0</v>
      </c>
      <c r="AB22" s="160">
        <f>VLOOKUP(C22,'Talente &amp; Stuff'!GX:HY,26,FALSE)</f>
        <v>0</v>
      </c>
      <c r="AC22" s="127">
        <f>VLOOKUP(C22,'Talente &amp; Stuff'!GX:HY,27,FALSE)</f>
        <v>0</v>
      </c>
      <c r="AD22" s="125">
        <f>VLOOKUP(C22,'Talente &amp; Stuff'!GX:HY,28,FALSE)</f>
        <v>0</v>
      </c>
      <c r="AE22" s="28"/>
    </row>
    <row r="23" spans="2:31" ht="15" hidden="1" customHeight="1" outlineLevel="2">
      <c r="B23" s="148">
        <v>13</v>
      </c>
      <c r="C23" s="177" t="str">
        <f>Attribute!C23</f>
        <v>---</v>
      </c>
      <c r="D23" s="127" t="str">
        <f>VLOOKUP(C23,'Talente &amp; Stuff'!GX:HY,2,FALSE)</f>
        <v>--/--/--</v>
      </c>
      <c r="E23" s="125" t="str">
        <f>VLOOKUP(C23,'Talente &amp; Stuff'!GX:HY,3,FALSE)</f>
        <v>-</v>
      </c>
      <c r="F23" s="114">
        <f>VLOOKUP(C23,'Talente &amp; Stuff'!GX:HY,4,FALSE)</f>
        <v>0</v>
      </c>
      <c r="G23" s="113">
        <f>VLOOKUP(C23,'Talente &amp; Stuff'!GX:HY,5,FALSE)</f>
        <v>0</v>
      </c>
      <c r="H23" s="113">
        <f>VLOOKUP(C23,'Talente &amp; Stuff'!GX:HY,6,FALSE)</f>
        <v>0</v>
      </c>
      <c r="I23" s="113">
        <f>VLOOKUP(C23,'Talente &amp; Stuff'!GX:HY,7,FALSE)</f>
        <v>0</v>
      </c>
      <c r="J23" s="113">
        <f>VLOOKUP(C23,'Talente &amp; Stuff'!GX:HY,8,FALSE)</f>
        <v>0</v>
      </c>
      <c r="K23" s="113">
        <f>VLOOKUP(C23,'Talente &amp; Stuff'!GX:HY,9,FALSE)</f>
        <v>0</v>
      </c>
      <c r="L23" s="113">
        <f>VLOOKUP(C23,'Talente &amp; Stuff'!GX:HY,10,FALSE)</f>
        <v>0</v>
      </c>
      <c r="M23" s="119">
        <f>VLOOKUP(C23,'Talente &amp; Stuff'!GX:HY,11,FALSE)</f>
        <v>0</v>
      </c>
      <c r="N23" s="89">
        <f>VLOOKUP(C23,'Talente &amp; Stuff'!GX:HY,12,FALSE)</f>
        <v>0</v>
      </c>
      <c r="O23" s="47">
        <f>VLOOKUP(C23,'Talente &amp; Stuff'!GX:HY,13,FALSE)</f>
        <v>0</v>
      </c>
      <c r="P23" s="119">
        <f>VLOOKUP(C23,'Talente &amp; Stuff'!GX:HY,14,FALSE)</f>
        <v>0</v>
      </c>
      <c r="Q23" s="114">
        <f>VLOOKUP(C23,'Talente &amp; Stuff'!GX:HY,15,FALSE)</f>
        <v>0</v>
      </c>
      <c r="R23" s="113">
        <f>VLOOKUP(C23,'Talente &amp; Stuff'!GX:HY,16,FALSE)</f>
        <v>0</v>
      </c>
      <c r="S23" s="119">
        <f>VLOOKUP(C23,'Talente &amp; Stuff'!GX:HY,17,FALSE)</f>
        <v>0</v>
      </c>
      <c r="T23" s="160">
        <f>VLOOKUP(C23,'Talente &amp; Stuff'!GX:HY,18,FALSE)</f>
        <v>0</v>
      </c>
      <c r="U23" s="89">
        <f>VLOOKUP(C23,'Talente &amp; Stuff'!GX:HY,19,FALSE)</f>
        <v>0</v>
      </c>
      <c r="V23" s="47">
        <f>VLOOKUP(C23,'Talente &amp; Stuff'!GX:HY,20,FALSE)</f>
        <v>0</v>
      </c>
      <c r="W23" s="127">
        <f>VLOOKUP(C23,'Talente &amp; Stuff'!GX:HY,21,FALSE)</f>
        <v>0</v>
      </c>
      <c r="X23" s="125">
        <f>VLOOKUP(C23,'Talente &amp; Stuff'!GX:HY,22,FALSE)</f>
        <v>0</v>
      </c>
      <c r="Y23" s="165">
        <f t="shared" si="0"/>
        <v>0</v>
      </c>
      <c r="Z23" s="44">
        <f t="shared" si="1"/>
        <v>0</v>
      </c>
      <c r="AA23" s="125">
        <f>VLOOKUP(C23,'Talente &amp; Stuff'!GX:HY,25,FALSE)</f>
        <v>0</v>
      </c>
      <c r="AB23" s="160">
        <f>VLOOKUP(C23,'Talente &amp; Stuff'!GX:HY,26,FALSE)</f>
        <v>0</v>
      </c>
      <c r="AC23" s="127">
        <f>VLOOKUP(C23,'Talente &amp; Stuff'!GX:HY,27,FALSE)</f>
        <v>0</v>
      </c>
      <c r="AD23" s="125">
        <f>VLOOKUP(C23,'Talente &amp; Stuff'!GX:HY,28,FALSE)</f>
        <v>0</v>
      </c>
      <c r="AE23" s="28"/>
    </row>
    <row r="24" spans="2:31" ht="15" hidden="1" customHeight="1" outlineLevel="2">
      <c r="B24" s="148">
        <v>14</v>
      </c>
      <c r="C24" s="178" t="str">
        <f>Attribute!C24</f>
        <v>---</v>
      </c>
      <c r="D24" s="128" t="str">
        <f>VLOOKUP(C24,'Talente &amp; Stuff'!GX:HY,2,FALSE)</f>
        <v>--/--/--</v>
      </c>
      <c r="E24" s="159" t="str">
        <f>VLOOKUP(C24,'Talente &amp; Stuff'!GX:HY,3,FALSE)</f>
        <v>-</v>
      </c>
      <c r="F24" s="115">
        <f>VLOOKUP(C24,'Talente &amp; Stuff'!GX:HY,4,FALSE)</f>
        <v>0</v>
      </c>
      <c r="G24" s="122">
        <f>VLOOKUP(C24,'Talente &amp; Stuff'!GX:HY,5,FALSE)</f>
        <v>0</v>
      </c>
      <c r="H24" s="122">
        <f>VLOOKUP(C24,'Talente &amp; Stuff'!GX:HY,6,FALSE)</f>
        <v>0</v>
      </c>
      <c r="I24" s="122">
        <f>VLOOKUP(C24,'Talente &amp; Stuff'!GX:HY,7,FALSE)</f>
        <v>0</v>
      </c>
      <c r="J24" s="122">
        <f>VLOOKUP(C24,'Talente &amp; Stuff'!GX:HY,8,FALSE)</f>
        <v>0</v>
      </c>
      <c r="K24" s="122">
        <f>VLOOKUP(C24,'Talente &amp; Stuff'!GX:HY,9,FALSE)</f>
        <v>0</v>
      </c>
      <c r="L24" s="122">
        <f>VLOOKUP(C24,'Talente &amp; Stuff'!GX:HY,10,FALSE)</f>
        <v>0</v>
      </c>
      <c r="M24" s="123">
        <f>VLOOKUP(C24,'Talente &amp; Stuff'!GX:HY,11,FALSE)</f>
        <v>0</v>
      </c>
      <c r="N24" s="90">
        <f>VLOOKUP(C24,'Talente &amp; Stuff'!GX:HY,12,FALSE)</f>
        <v>0</v>
      </c>
      <c r="O24" s="88">
        <f>VLOOKUP(C24,'Talente &amp; Stuff'!GX:HY,13,FALSE)</f>
        <v>0</v>
      </c>
      <c r="P24" s="123">
        <f>VLOOKUP(C24,'Talente &amp; Stuff'!GX:HY,14,FALSE)</f>
        <v>0</v>
      </c>
      <c r="Q24" s="115">
        <f>VLOOKUP(C24,'Talente &amp; Stuff'!GX:HY,15,FALSE)</f>
        <v>0</v>
      </c>
      <c r="R24" s="122">
        <f>VLOOKUP(C24,'Talente &amp; Stuff'!GX:HY,16,FALSE)</f>
        <v>0</v>
      </c>
      <c r="S24" s="123">
        <f>VLOOKUP(C24,'Talente &amp; Stuff'!GX:HY,17,FALSE)</f>
        <v>0</v>
      </c>
      <c r="T24" s="161">
        <f>VLOOKUP(C24,'Talente &amp; Stuff'!GX:HY,18,FALSE)</f>
        <v>0</v>
      </c>
      <c r="U24" s="90">
        <f>VLOOKUP(C24,'Talente &amp; Stuff'!GX:HY,19,FALSE)</f>
        <v>0</v>
      </c>
      <c r="V24" s="88">
        <f>VLOOKUP(C24,'Talente &amp; Stuff'!GX:HY,20,FALSE)</f>
        <v>0</v>
      </c>
      <c r="W24" s="128">
        <f>VLOOKUP(C24,'Talente &amp; Stuff'!GX:HY,21,FALSE)</f>
        <v>0</v>
      </c>
      <c r="X24" s="159">
        <f>VLOOKUP(C24,'Talente &amp; Stuff'!GX:HY,22,FALSE)</f>
        <v>0</v>
      </c>
      <c r="Y24" s="165">
        <f t="shared" si="0"/>
        <v>0</v>
      </c>
      <c r="Z24" s="44">
        <f t="shared" si="1"/>
        <v>0</v>
      </c>
      <c r="AA24" s="159">
        <f>VLOOKUP(C24,'Talente &amp; Stuff'!GX:HY,25,FALSE)</f>
        <v>0</v>
      </c>
      <c r="AB24" s="161">
        <f>VLOOKUP(C24,'Talente &amp; Stuff'!GX:HY,26,FALSE)</f>
        <v>0</v>
      </c>
      <c r="AC24" s="128">
        <f>VLOOKUP(C24,'Talente &amp; Stuff'!GX:HY,27,FALSE)</f>
        <v>0</v>
      </c>
      <c r="AD24" s="159">
        <f>VLOOKUP(C24,'Talente &amp; Stuff'!GX:HY,28,FALSE)</f>
        <v>0</v>
      </c>
      <c r="AE24" s="28"/>
    </row>
    <row r="25" spans="2:31" ht="15" hidden="1" customHeight="1" outlineLevel="1" collapsed="1">
      <c r="B25" s="134" t="s">
        <v>278</v>
      </c>
      <c r="C25" s="83"/>
      <c r="D25" s="84"/>
      <c r="E25" s="84"/>
      <c r="F25" s="30"/>
      <c r="G25" s="30"/>
      <c r="H25" s="30"/>
      <c r="I25" s="30"/>
      <c r="J25" s="30"/>
      <c r="K25" s="30"/>
      <c r="L25" s="30"/>
      <c r="M25" s="30"/>
      <c r="N25" s="31"/>
      <c r="O25" s="31"/>
      <c r="P25" s="30"/>
      <c r="Q25" s="30"/>
      <c r="R25" s="30"/>
      <c r="S25" s="30"/>
      <c r="T25" s="30"/>
      <c r="U25" s="31"/>
      <c r="V25" s="31"/>
      <c r="W25" s="31"/>
      <c r="X25" s="31"/>
      <c r="Y25" s="65"/>
    </row>
    <row r="26" spans="2:31" ht="15" hidden="1" customHeight="1" outlineLevel="2">
      <c r="B26" s="148">
        <v>1</v>
      </c>
      <c r="C26" s="176" t="str">
        <f>Attribute!C26</f>
        <v>---</v>
      </c>
      <c r="D26" s="126" t="str">
        <f>VLOOKUP(C26,'Talente &amp; Stuff'!GX:HY,2,FALSE)</f>
        <v>--/--/--</v>
      </c>
      <c r="E26" s="158" t="str">
        <f>VLOOKUP(C26,'Talente &amp; Stuff'!GX:HY,3,FALSE)</f>
        <v>-</v>
      </c>
      <c r="F26" s="191">
        <f>VLOOKUP(C26,'Talente &amp; Stuff'!GX:HY,4,FALSE)</f>
        <v>0</v>
      </c>
      <c r="G26" s="118">
        <f>VLOOKUP(C26,'Talente &amp; Stuff'!GX:HY,5,FALSE)</f>
        <v>0</v>
      </c>
      <c r="H26" s="118">
        <f>VLOOKUP(C26,'Talente &amp; Stuff'!GX:HY,6,FALSE)</f>
        <v>0</v>
      </c>
      <c r="I26" s="118">
        <f>VLOOKUP(C26,'Talente &amp; Stuff'!GX:HY,7,FALSE)</f>
        <v>0</v>
      </c>
      <c r="J26" s="118">
        <f>VLOOKUP(C26,'Talente &amp; Stuff'!GX:HY,8,FALSE)</f>
        <v>0</v>
      </c>
      <c r="K26" s="118">
        <f>VLOOKUP(C26,'Talente &amp; Stuff'!GX:HY,9,FALSE)</f>
        <v>0</v>
      </c>
      <c r="L26" s="118">
        <f>VLOOKUP(C26,'Talente &amp; Stuff'!GX:HY,10,FALSE)</f>
        <v>0</v>
      </c>
      <c r="M26" s="92">
        <f>VLOOKUP(C26,'Talente &amp; Stuff'!GX:HY,11,FALSE)</f>
        <v>0</v>
      </c>
      <c r="N26" s="193">
        <f>VLOOKUP(C26,'Talente &amp; Stuff'!GX:HY,12,FALSE)</f>
        <v>0</v>
      </c>
      <c r="O26" s="116">
        <f>VLOOKUP(C26,'Talente &amp; Stuff'!GX:HY,13,FALSE)</f>
        <v>0</v>
      </c>
      <c r="P26" s="92">
        <f>VLOOKUP(C26,'Talente &amp; Stuff'!GX:HY,14,FALSE)</f>
        <v>0</v>
      </c>
      <c r="Q26" s="191">
        <f>VLOOKUP(C26,'Talente &amp; Stuff'!GX:HY,15,FALSE)</f>
        <v>0</v>
      </c>
      <c r="R26" s="118">
        <f>VLOOKUP(C26,'Talente &amp; Stuff'!GX:HY,16,FALSE)</f>
        <v>0</v>
      </c>
      <c r="S26" s="92">
        <f>VLOOKUP(C26,'Talente &amp; Stuff'!GX:HY,17,FALSE)</f>
        <v>0</v>
      </c>
      <c r="T26" s="91">
        <f>VLOOKUP(C26,'Talente &amp; Stuff'!GX:HY,18,FALSE)</f>
        <v>0</v>
      </c>
      <c r="U26" s="193">
        <f>VLOOKUP(C26,'Talente &amp; Stuff'!GX:HY,19,FALSE)</f>
        <v>0</v>
      </c>
      <c r="V26" s="116">
        <f>VLOOKUP(C26,'Talente &amp; Stuff'!GX:HY,20,FALSE)</f>
        <v>0</v>
      </c>
      <c r="W26" s="126">
        <f>VLOOKUP(C26,'Talente &amp; Stuff'!GX:HY,21,FALSE)</f>
        <v>0</v>
      </c>
      <c r="X26" s="158">
        <f>VLOOKUP(C26,'Talente &amp; Stuff'!GX:HY,22,FALSE)</f>
        <v>0</v>
      </c>
      <c r="Y26" s="165">
        <f t="shared" ref="Y26:Y34" si="2">VLOOKUP(C26,Ausgewählte_Talente_Gesellschaftstalente,226,FALSE)</f>
        <v>0</v>
      </c>
      <c r="Z26" s="44">
        <f t="shared" ref="Z26:Z34" si="3">VLOOKUP(C26,Ausgewählte_Talente_Gesellschaftstalente,227,FALSE)</f>
        <v>0</v>
      </c>
      <c r="AA26" s="158">
        <f>VLOOKUP(C26,'Talente &amp; Stuff'!GX:HY,25,FALSE)</f>
        <v>0</v>
      </c>
      <c r="AB26" s="91">
        <f>VLOOKUP(C26,'Talente &amp; Stuff'!GX:HY,26,FALSE)</f>
        <v>0</v>
      </c>
      <c r="AC26" s="126">
        <f>VLOOKUP(C26,'Talente &amp; Stuff'!GX:HY,27,FALSE)</f>
        <v>0</v>
      </c>
      <c r="AD26" s="158">
        <f>VLOOKUP(C26,'Talente &amp; Stuff'!GX:HY,28,FALSE)</f>
        <v>0</v>
      </c>
      <c r="AE26" s="28"/>
    </row>
    <row r="27" spans="2:31" ht="15" hidden="1" customHeight="1" outlineLevel="2">
      <c r="B27" s="148">
        <v>2</v>
      </c>
      <c r="C27" s="177" t="str">
        <f>Attribute!C27</f>
        <v>---</v>
      </c>
      <c r="D27" s="127" t="str">
        <f>VLOOKUP(C27,'Talente &amp; Stuff'!GX:HY,2,FALSE)</f>
        <v>--/--/--</v>
      </c>
      <c r="E27" s="125" t="str">
        <f>VLOOKUP(C27,'Talente &amp; Stuff'!GX:HY,3,FALSE)</f>
        <v>-</v>
      </c>
      <c r="F27" s="114">
        <f>VLOOKUP(C27,'Talente &amp; Stuff'!GX:HY,4,FALSE)</f>
        <v>0</v>
      </c>
      <c r="G27" s="113">
        <f>VLOOKUP(C27,'Talente &amp; Stuff'!GX:HY,5,FALSE)</f>
        <v>0</v>
      </c>
      <c r="H27" s="113">
        <f>VLOOKUP(C27,'Talente &amp; Stuff'!GX:HY,6,FALSE)</f>
        <v>0</v>
      </c>
      <c r="I27" s="113">
        <f>VLOOKUP(C27,'Talente &amp; Stuff'!GX:HY,7,FALSE)</f>
        <v>0</v>
      </c>
      <c r="J27" s="113">
        <f>VLOOKUP(C27,'Talente &amp; Stuff'!GX:HY,8,FALSE)</f>
        <v>0</v>
      </c>
      <c r="K27" s="113">
        <f>VLOOKUP(C27,'Talente &amp; Stuff'!GX:HY,9,FALSE)</f>
        <v>0</v>
      </c>
      <c r="L27" s="113">
        <f>VLOOKUP(C27,'Talente &amp; Stuff'!GX:HY,10,FALSE)</f>
        <v>0</v>
      </c>
      <c r="M27" s="119">
        <f>VLOOKUP(C27,'Talente &amp; Stuff'!GX:HY,11,FALSE)</f>
        <v>0</v>
      </c>
      <c r="N27" s="89">
        <f>VLOOKUP(C27,'Talente &amp; Stuff'!GX:HY,12,FALSE)</f>
        <v>0</v>
      </c>
      <c r="O27" s="47">
        <f>VLOOKUP(C27,'Talente &amp; Stuff'!GX:HY,13,FALSE)</f>
        <v>0</v>
      </c>
      <c r="P27" s="119">
        <f>VLOOKUP(C27,'Talente &amp; Stuff'!GX:HY,14,FALSE)</f>
        <v>0</v>
      </c>
      <c r="Q27" s="114">
        <f>VLOOKUP(C27,'Talente &amp; Stuff'!GX:HY,15,FALSE)</f>
        <v>0</v>
      </c>
      <c r="R27" s="113">
        <f>VLOOKUP(C27,'Talente &amp; Stuff'!GX:HY,16,FALSE)</f>
        <v>0</v>
      </c>
      <c r="S27" s="119">
        <f>VLOOKUP(C27,'Talente &amp; Stuff'!GX:HY,17,FALSE)</f>
        <v>0</v>
      </c>
      <c r="T27" s="160">
        <f>VLOOKUP(C27,'Talente &amp; Stuff'!GX:HY,18,FALSE)</f>
        <v>0</v>
      </c>
      <c r="U27" s="89">
        <f>VLOOKUP(C27,'Talente &amp; Stuff'!GX:HY,19,FALSE)</f>
        <v>0</v>
      </c>
      <c r="V27" s="47">
        <f>VLOOKUP(C27,'Talente &amp; Stuff'!GX:HY,20,FALSE)</f>
        <v>0</v>
      </c>
      <c r="W27" s="127">
        <f>VLOOKUP(C27,'Talente &amp; Stuff'!GX:HY,21,FALSE)</f>
        <v>0</v>
      </c>
      <c r="X27" s="125">
        <f>VLOOKUP(C27,'Talente &amp; Stuff'!GX:HY,22,FALSE)</f>
        <v>0</v>
      </c>
      <c r="Y27" s="165">
        <f t="shared" si="2"/>
        <v>0</v>
      </c>
      <c r="Z27" s="44">
        <f t="shared" si="3"/>
        <v>0</v>
      </c>
      <c r="AA27" s="125">
        <f>VLOOKUP(C27,'Talente &amp; Stuff'!GX:HY,25,FALSE)</f>
        <v>0</v>
      </c>
      <c r="AB27" s="160">
        <f>VLOOKUP(C27,'Talente &amp; Stuff'!GX:HY,26,FALSE)</f>
        <v>0</v>
      </c>
      <c r="AC27" s="127">
        <f>VLOOKUP(C27,'Talente &amp; Stuff'!GX:HY,27,FALSE)</f>
        <v>0</v>
      </c>
      <c r="AD27" s="125">
        <f>VLOOKUP(C27,'Talente &amp; Stuff'!GX:HY,28,FALSE)</f>
        <v>0</v>
      </c>
      <c r="AE27" s="28"/>
    </row>
    <row r="28" spans="2:31" ht="15" hidden="1" customHeight="1" outlineLevel="2">
      <c r="B28" s="148">
        <v>3</v>
      </c>
      <c r="C28" s="177" t="str">
        <f>Attribute!C28</f>
        <v>---</v>
      </c>
      <c r="D28" s="127" t="str">
        <f>VLOOKUP(C28,'Talente &amp; Stuff'!GX:HY,2,FALSE)</f>
        <v>--/--/--</v>
      </c>
      <c r="E28" s="125" t="str">
        <f>VLOOKUP(C28,'Talente &amp; Stuff'!GX:HY,3,FALSE)</f>
        <v>-</v>
      </c>
      <c r="F28" s="114">
        <f>VLOOKUP(C28,'Talente &amp; Stuff'!GX:HY,4,FALSE)</f>
        <v>0</v>
      </c>
      <c r="G28" s="113">
        <f>VLOOKUP(C28,'Talente &amp; Stuff'!GX:HY,5,FALSE)</f>
        <v>0</v>
      </c>
      <c r="H28" s="113">
        <f>VLOOKUP(C28,'Talente &amp; Stuff'!GX:HY,6,FALSE)</f>
        <v>0</v>
      </c>
      <c r="I28" s="113">
        <f>VLOOKUP(C28,'Talente &amp; Stuff'!GX:HY,7,FALSE)</f>
        <v>0</v>
      </c>
      <c r="J28" s="113">
        <f>VLOOKUP(C28,'Talente &amp; Stuff'!GX:HY,8,FALSE)</f>
        <v>0</v>
      </c>
      <c r="K28" s="113">
        <f>VLOOKUP(C28,'Talente &amp; Stuff'!GX:HY,9,FALSE)</f>
        <v>0</v>
      </c>
      <c r="L28" s="113">
        <f>VLOOKUP(C28,'Talente &amp; Stuff'!GX:HY,10,FALSE)</f>
        <v>0</v>
      </c>
      <c r="M28" s="119">
        <f>VLOOKUP(C28,'Talente &amp; Stuff'!GX:HY,11,FALSE)</f>
        <v>0</v>
      </c>
      <c r="N28" s="89">
        <f>VLOOKUP(C28,'Talente &amp; Stuff'!GX:HY,12,FALSE)</f>
        <v>0</v>
      </c>
      <c r="O28" s="47">
        <f>VLOOKUP(C28,'Talente &amp; Stuff'!GX:HY,13,FALSE)</f>
        <v>0</v>
      </c>
      <c r="P28" s="119">
        <f>VLOOKUP(C28,'Talente &amp; Stuff'!GX:HY,14,FALSE)</f>
        <v>0</v>
      </c>
      <c r="Q28" s="114">
        <f>VLOOKUP(C28,'Talente &amp; Stuff'!GX:HY,15,FALSE)</f>
        <v>0</v>
      </c>
      <c r="R28" s="113">
        <f>VLOOKUP(C28,'Talente &amp; Stuff'!GX:HY,16,FALSE)</f>
        <v>0</v>
      </c>
      <c r="S28" s="119">
        <f>VLOOKUP(C28,'Talente &amp; Stuff'!GX:HY,17,FALSE)</f>
        <v>0</v>
      </c>
      <c r="T28" s="160">
        <f>VLOOKUP(C28,'Talente &amp; Stuff'!GX:HY,18,FALSE)</f>
        <v>0</v>
      </c>
      <c r="U28" s="89">
        <f>VLOOKUP(C28,'Talente &amp; Stuff'!GX:HY,19,FALSE)</f>
        <v>0</v>
      </c>
      <c r="V28" s="47">
        <f>VLOOKUP(C28,'Talente &amp; Stuff'!GX:HY,20,FALSE)</f>
        <v>0</v>
      </c>
      <c r="W28" s="127">
        <f>VLOOKUP(C28,'Talente &amp; Stuff'!GX:HY,21,FALSE)</f>
        <v>0</v>
      </c>
      <c r="X28" s="125">
        <f>VLOOKUP(C28,'Talente &amp; Stuff'!GX:HY,22,FALSE)</f>
        <v>0</v>
      </c>
      <c r="Y28" s="165">
        <f t="shared" si="2"/>
        <v>0</v>
      </c>
      <c r="Z28" s="44">
        <f t="shared" si="3"/>
        <v>0</v>
      </c>
      <c r="AA28" s="125">
        <f>VLOOKUP(C28,'Talente &amp; Stuff'!GX:HY,25,FALSE)</f>
        <v>0</v>
      </c>
      <c r="AB28" s="160">
        <f>VLOOKUP(C28,'Talente &amp; Stuff'!GX:HY,26,FALSE)</f>
        <v>0</v>
      </c>
      <c r="AC28" s="127">
        <f>VLOOKUP(C28,'Talente &amp; Stuff'!GX:HY,27,FALSE)</f>
        <v>0</v>
      </c>
      <c r="AD28" s="125">
        <f>VLOOKUP(C28,'Talente &amp; Stuff'!GX:HY,28,FALSE)</f>
        <v>0</v>
      </c>
      <c r="AE28" s="28"/>
    </row>
    <row r="29" spans="2:31" ht="15" hidden="1" customHeight="1" outlineLevel="2">
      <c r="B29" s="148">
        <v>4</v>
      </c>
      <c r="C29" s="177" t="str">
        <f>Attribute!C29</f>
        <v>---</v>
      </c>
      <c r="D29" s="127" t="str">
        <f>VLOOKUP(C29,'Talente &amp; Stuff'!GX:HY,2,FALSE)</f>
        <v>--/--/--</v>
      </c>
      <c r="E29" s="125" t="str">
        <f>VLOOKUP(C29,'Talente &amp; Stuff'!GX:HY,3,FALSE)</f>
        <v>-</v>
      </c>
      <c r="F29" s="114">
        <f>VLOOKUP(C29,'Talente &amp; Stuff'!GX:HY,4,FALSE)</f>
        <v>0</v>
      </c>
      <c r="G29" s="113">
        <f>VLOOKUP(C29,'Talente &amp; Stuff'!GX:HY,5,FALSE)</f>
        <v>0</v>
      </c>
      <c r="H29" s="113">
        <f>VLOOKUP(C29,'Talente &amp; Stuff'!GX:HY,6,FALSE)</f>
        <v>0</v>
      </c>
      <c r="I29" s="113">
        <f>VLOOKUP(C29,'Talente &amp; Stuff'!GX:HY,7,FALSE)</f>
        <v>0</v>
      </c>
      <c r="J29" s="113">
        <f>VLOOKUP(C29,'Talente &amp; Stuff'!GX:HY,8,FALSE)</f>
        <v>0</v>
      </c>
      <c r="K29" s="113">
        <f>VLOOKUP(C29,'Talente &amp; Stuff'!GX:HY,9,FALSE)</f>
        <v>0</v>
      </c>
      <c r="L29" s="113">
        <f>VLOOKUP(C29,'Talente &amp; Stuff'!GX:HY,10,FALSE)</f>
        <v>0</v>
      </c>
      <c r="M29" s="119">
        <f>VLOOKUP(C29,'Talente &amp; Stuff'!GX:HY,11,FALSE)</f>
        <v>0</v>
      </c>
      <c r="N29" s="89">
        <f>VLOOKUP(C29,'Talente &amp; Stuff'!GX:HY,12,FALSE)</f>
        <v>0</v>
      </c>
      <c r="O29" s="47">
        <f>VLOOKUP(C29,'Talente &amp; Stuff'!GX:HY,13,FALSE)</f>
        <v>0</v>
      </c>
      <c r="P29" s="119">
        <f>VLOOKUP(C29,'Talente &amp; Stuff'!GX:HY,14,FALSE)</f>
        <v>0</v>
      </c>
      <c r="Q29" s="114">
        <f>VLOOKUP(C29,'Talente &amp; Stuff'!GX:HY,15,FALSE)</f>
        <v>0</v>
      </c>
      <c r="R29" s="113">
        <f>VLOOKUP(C29,'Talente &amp; Stuff'!GX:HY,16,FALSE)</f>
        <v>0</v>
      </c>
      <c r="S29" s="119">
        <f>VLOOKUP(C29,'Talente &amp; Stuff'!GX:HY,17,FALSE)</f>
        <v>0</v>
      </c>
      <c r="T29" s="160">
        <f>VLOOKUP(C29,'Talente &amp; Stuff'!GX:HY,18,FALSE)</f>
        <v>0</v>
      </c>
      <c r="U29" s="89">
        <f>VLOOKUP(C29,'Talente &amp; Stuff'!GX:HY,19,FALSE)</f>
        <v>0</v>
      </c>
      <c r="V29" s="47">
        <f>VLOOKUP(C29,'Talente &amp; Stuff'!GX:HY,20,FALSE)</f>
        <v>0</v>
      </c>
      <c r="W29" s="127">
        <f>VLOOKUP(C29,'Talente &amp; Stuff'!GX:HY,21,FALSE)</f>
        <v>0</v>
      </c>
      <c r="X29" s="125">
        <f>VLOOKUP(C29,'Talente &amp; Stuff'!GX:HY,22,FALSE)</f>
        <v>0</v>
      </c>
      <c r="Y29" s="165">
        <f t="shared" si="2"/>
        <v>0</v>
      </c>
      <c r="Z29" s="44">
        <f t="shared" si="3"/>
        <v>0</v>
      </c>
      <c r="AA29" s="125">
        <f>VLOOKUP(C29,'Talente &amp; Stuff'!GX:HY,25,FALSE)</f>
        <v>0</v>
      </c>
      <c r="AB29" s="160">
        <f>VLOOKUP(C29,'Talente &amp; Stuff'!GX:HY,26,FALSE)</f>
        <v>0</v>
      </c>
      <c r="AC29" s="127">
        <f>VLOOKUP(C29,'Talente &amp; Stuff'!GX:HY,27,FALSE)</f>
        <v>0</v>
      </c>
      <c r="AD29" s="125">
        <f>VLOOKUP(C29,'Talente &amp; Stuff'!GX:HY,28,FALSE)</f>
        <v>0</v>
      </c>
      <c r="AE29" s="28"/>
    </row>
    <row r="30" spans="2:31" ht="15" hidden="1" customHeight="1" outlineLevel="2">
      <c r="B30" s="148">
        <v>5</v>
      </c>
      <c r="C30" s="177" t="str">
        <f>Attribute!C30</f>
        <v>---</v>
      </c>
      <c r="D30" s="127" t="str">
        <f>VLOOKUP(C30,'Talente &amp; Stuff'!GX:HY,2,FALSE)</f>
        <v>--/--/--</v>
      </c>
      <c r="E30" s="125" t="str">
        <f>VLOOKUP(C30,'Talente &amp; Stuff'!GX:HY,3,FALSE)</f>
        <v>-</v>
      </c>
      <c r="F30" s="114">
        <f>VLOOKUP(C30,'Talente &amp; Stuff'!GX:HY,4,FALSE)</f>
        <v>0</v>
      </c>
      <c r="G30" s="113">
        <f>VLOOKUP(C30,'Talente &amp; Stuff'!GX:HY,5,FALSE)</f>
        <v>0</v>
      </c>
      <c r="H30" s="113">
        <f>VLOOKUP(C30,'Talente &amp; Stuff'!GX:HY,6,FALSE)</f>
        <v>0</v>
      </c>
      <c r="I30" s="113">
        <f>VLOOKUP(C30,'Talente &amp; Stuff'!GX:HY,7,FALSE)</f>
        <v>0</v>
      </c>
      <c r="J30" s="113">
        <f>VLOOKUP(C30,'Talente &amp; Stuff'!GX:HY,8,FALSE)</f>
        <v>0</v>
      </c>
      <c r="K30" s="113">
        <f>VLOOKUP(C30,'Talente &amp; Stuff'!GX:HY,9,FALSE)</f>
        <v>0</v>
      </c>
      <c r="L30" s="113">
        <f>VLOOKUP(C30,'Talente &amp; Stuff'!GX:HY,10,FALSE)</f>
        <v>0</v>
      </c>
      <c r="M30" s="119">
        <f>VLOOKUP(C30,'Talente &amp; Stuff'!GX:HY,11,FALSE)</f>
        <v>0</v>
      </c>
      <c r="N30" s="89">
        <f>VLOOKUP(C30,'Talente &amp; Stuff'!GX:HY,12,FALSE)</f>
        <v>0</v>
      </c>
      <c r="O30" s="47">
        <f>VLOOKUP(C30,'Talente &amp; Stuff'!GX:HY,13,FALSE)</f>
        <v>0</v>
      </c>
      <c r="P30" s="119">
        <f>VLOOKUP(C30,'Talente &amp; Stuff'!GX:HY,14,FALSE)</f>
        <v>0</v>
      </c>
      <c r="Q30" s="114">
        <f>VLOOKUP(C30,'Talente &amp; Stuff'!GX:HY,15,FALSE)</f>
        <v>0</v>
      </c>
      <c r="R30" s="113">
        <f>VLOOKUP(C30,'Talente &amp; Stuff'!GX:HY,16,FALSE)</f>
        <v>0</v>
      </c>
      <c r="S30" s="119">
        <f>VLOOKUP(C30,'Talente &amp; Stuff'!GX:HY,17,FALSE)</f>
        <v>0</v>
      </c>
      <c r="T30" s="160">
        <f>VLOOKUP(C30,'Talente &amp; Stuff'!GX:HY,18,FALSE)</f>
        <v>0</v>
      </c>
      <c r="U30" s="89">
        <f>VLOOKUP(C30,'Talente &amp; Stuff'!GX:HY,19,FALSE)</f>
        <v>0</v>
      </c>
      <c r="V30" s="47">
        <f>VLOOKUP(C30,'Talente &amp; Stuff'!GX:HY,20,FALSE)</f>
        <v>0</v>
      </c>
      <c r="W30" s="127">
        <f>VLOOKUP(C30,'Talente &amp; Stuff'!GX:HY,21,FALSE)</f>
        <v>0</v>
      </c>
      <c r="X30" s="125">
        <f>VLOOKUP(C30,'Talente &amp; Stuff'!GX:HY,22,FALSE)</f>
        <v>0</v>
      </c>
      <c r="Y30" s="165">
        <f t="shared" si="2"/>
        <v>0</v>
      </c>
      <c r="Z30" s="44">
        <f t="shared" si="3"/>
        <v>0</v>
      </c>
      <c r="AA30" s="125">
        <f>VLOOKUP(C30,'Talente &amp; Stuff'!GX:HY,25,FALSE)</f>
        <v>0</v>
      </c>
      <c r="AB30" s="160">
        <f>VLOOKUP(C30,'Talente &amp; Stuff'!GX:HY,26,FALSE)</f>
        <v>0</v>
      </c>
      <c r="AC30" s="127">
        <f>VLOOKUP(C30,'Talente &amp; Stuff'!GX:HY,27,FALSE)</f>
        <v>0</v>
      </c>
      <c r="AD30" s="125">
        <f>VLOOKUP(C30,'Talente &amp; Stuff'!GX:HY,28,FALSE)</f>
        <v>0</v>
      </c>
      <c r="AE30" s="28"/>
    </row>
    <row r="31" spans="2:31" ht="15" hidden="1" customHeight="1" outlineLevel="2">
      <c r="B31" s="148">
        <v>6</v>
      </c>
      <c r="C31" s="177" t="str">
        <f>Attribute!C31</f>
        <v>---</v>
      </c>
      <c r="D31" s="127" t="str">
        <f>VLOOKUP(C31,'Talente &amp; Stuff'!GX:HY,2,FALSE)</f>
        <v>--/--/--</v>
      </c>
      <c r="E31" s="125" t="str">
        <f>VLOOKUP(C31,'Talente &amp; Stuff'!GX:HY,3,FALSE)</f>
        <v>-</v>
      </c>
      <c r="F31" s="114">
        <f>VLOOKUP(C31,'Talente &amp; Stuff'!GX:HY,4,FALSE)</f>
        <v>0</v>
      </c>
      <c r="G31" s="113">
        <f>VLOOKUP(C31,'Talente &amp; Stuff'!GX:HY,5,FALSE)</f>
        <v>0</v>
      </c>
      <c r="H31" s="113">
        <f>VLOOKUP(C31,'Talente &amp; Stuff'!GX:HY,6,FALSE)</f>
        <v>0</v>
      </c>
      <c r="I31" s="113">
        <f>VLOOKUP(C31,'Talente &amp; Stuff'!GX:HY,7,FALSE)</f>
        <v>0</v>
      </c>
      <c r="J31" s="113">
        <f>VLOOKUP(C31,'Talente &amp; Stuff'!GX:HY,8,FALSE)</f>
        <v>0</v>
      </c>
      <c r="K31" s="113">
        <f>VLOOKUP(C31,'Talente &amp; Stuff'!GX:HY,9,FALSE)</f>
        <v>0</v>
      </c>
      <c r="L31" s="113">
        <f>VLOOKUP(C31,'Talente &amp; Stuff'!GX:HY,10,FALSE)</f>
        <v>0</v>
      </c>
      <c r="M31" s="119">
        <f>VLOOKUP(C31,'Talente &amp; Stuff'!GX:HY,11,FALSE)</f>
        <v>0</v>
      </c>
      <c r="N31" s="89">
        <f>VLOOKUP(C31,'Talente &amp; Stuff'!GX:HY,12,FALSE)</f>
        <v>0</v>
      </c>
      <c r="O31" s="47">
        <f>VLOOKUP(C31,'Talente &amp; Stuff'!GX:HY,13,FALSE)</f>
        <v>0</v>
      </c>
      <c r="P31" s="119">
        <f>VLOOKUP(C31,'Talente &amp; Stuff'!GX:HY,14,FALSE)</f>
        <v>0</v>
      </c>
      <c r="Q31" s="114">
        <f>VLOOKUP(C31,'Talente &amp; Stuff'!GX:HY,15,FALSE)</f>
        <v>0</v>
      </c>
      <c r="R31" s="113">
        <f>VLOOKUP(C31,'Talente &amp; Stuff'!GX:HY,16,FALSE)</f>
        <v>0</v>
      </c>
      <c r="S31" s="119">
        <f>VLOOKUP(C31,'Talente &amp; Stuff'!GX:HY,17,FALSE)</f>
        <v>0</v>
      </c>
      <c r="T31" s="160">
        <f>VLOOKUP(C31,'Talente &amp; Stuff'!GX:HY,18,FALSE)</f>
        <v>0</v>
      </c>
      <c r="U31" s="89">
        <f>VLOOKUP(C31,'Talente &amp; Stuff'!GX:HY,19,FALSE)</f>
        <v>0</v>
      </c>
      <c r="V31" s="47">
        <f>VLOOKUP(C31,'Talente &amp; Stuff'!GX:HY,20,FALSE)</f>
        <v>0</v>
      </c>
      <c r="W31" s="127">
        <f>VLOOKUP(C31,'Talente &amp; Stuff'!GX:HY,21,FALSE)</f>
        <v>0</v>
      </c>
      <c r="X31" s="125">
        <f>VLOOKUP(C31,'Talente &amp; Stuff'!GX:HY,22,FALSE)</f>
        <v>0</v>
      </c>
      <c r="Y31" s="165">
        <f t="shared" si="2"/>
        <v>0</v>
      </c>
      <c r="Z31" s="44">
        <f t="shared" si="3"/>
        <v>0</v>
      </c>
      <c r="AA31" s="125">
        <f>VLOOKUP(C31,'Talente &amp; Stuff'!GX:HY,25,FALSE)</f>
        <v>0</v>
      </c>
      <c r="AB31" s="160">
        <f>VLOOKUP(C31,'Talente &amp; Stuff'!GX:HY,26,FALSE)</f>
        <v>0</v>
      </c>
      <c r="AC31" s="127">
        <f>VLOOKUP(C31,'Talente &amp; Stuff'!GX:HY,27,FALSE)</f>
        <v>0</v>
      </c>
      <c r="AD31" s="125">
        <f>VLOOKUP(C31,'Talente &amp; Stuff'!GX:HY,28,FALSE)</f>
        <v>0</v>
      </c>
      <c r="AE31" s="28"/>
    </row>
    <row r="32" spans="2:31" ht="15" hidden="1" customHeight="1" outlineLevel="2">
      <c r="B32" s="148">
        <v>7</v>
      </c>
      <c r="C32" s="177" t="str">
        <f>Attribute!C32</f>
        <v>---</v>
      </c>
      <c r="D32" s="127" t="str">
        <f>VLOOKUP(C32,'Talente &amp; Stuff'!GX:HY,2,FALSE)</f>
        <v>--/--/--</v>
      </c>
      <c r="E32" s="125" t="str">
        <f>VLOOKUP(C32,'Talente &amp; Stuff'!GX:HY,3,FALSE)</f>
        <v>-</v>
      </c>
      <c r="F32" s="114">
        <f>VLOOKUP(C32,'Talente &amp; Stuff'!GX:HY,4,FALSE)</f>
        <v>0</v>
      </c>
      <c r="G32" s="113">
        <f>VLOOKUP(C32,'Talente &amp; Stuff'!GX:HY,5,FALSE)</f>
        <v>0</v>
      </c>
      <c r="H32" s="113">
        <f>VLOOKUP(C32,'Talente &amp; Stuff'!GX:HY,6,FALSE)</f>
        <v>0</v>
      </c>
      <c r="I32" s="113">
        <f>VLOOKUP(C32,'Talente &amp; Stuff'!GX:HY,7,FALSE)</f>
        <v>0</v>
      </c>
      <c r="J32" s="113">
        <f>VLOOKUP(C32,'Talente &amp; Stuff'!GX:HY,8,FALSE)</f>
        <v>0</v>
      </c>
      <c r="K32" s="113">
        <f>VLOOKUP(C32,'Talente &amp; Stuff'!GX:HY,9,FALSE)</f>
        <v>0</v>
      </c>
      <c r="L32" s="113">
        <f>VLOOKUP(C32,'Talente &amp; Stuff'!GX:HY,10,FALSE)</f>
        <v>0</v>
      </c>
      <c r="M32" s="119">
        <f>VLOOKUP(C32,'Talente &amp; Stuff'!GX:HY,11,FALSE)</f>
        <v>0</v>
      </c>
      <c r="N32" s="89">
        <f>VLOOKUP(C32,'Talente &amp; Stuff'!GX:HY,12,FALSE)</f>
        <v>0</v>
      </c>
      <c r="O32" s="47">
        <f>VLOOKUP(C32,'Talente &amp; Stuff'!GX:HY,13,FALSE)</f>
        <v>0</v>
      </c>
      <c r="P32" s="119">
        <f>VLOOKUP(C32,'Talente &amp; Stuff'!GX:HY,14,FALSE)</f>
        <v>0</v>
      </c>
      <c r="Q32" s="114">
        <f>VLOOKUP(C32,'Talente &amp; Stuff'!GX:HY,15,FALSE)</f>
        <v>0</v>
      </c>
      <c r="R32" s="113">
        <f>VLOOKUP(C32,'Talente &amp; Stuff'!GX:HY,16,FALSE)</f>
        <v>0</v>
      </c>
      <c r="S32" s="119">
        <f>VLOOKUP(C32,'Talente &amp; Stuff'!GX:HY,17,FALSE)</f>
        <v>0</v>
      </c>
      <c r="T32" s="160">
        <f>VLOOKUP(C32,'Talente &amp; Stuff'!GX:HY,18,FALSE)</f>
        <v>0</v>
      </c>
      <c r="U32" s="89">
        <f>VLOOKUP(C32,'Talente &amp; Stuff'!GX:HY,19,FALSE)</f>
        <v>0</v>
      </c>
      <c r="V32" s="47">
        <f>VLOOKUP(C32,'Talente &amp; Stuff'!GX:HY,20,FALSE)</f>
        <v>0</v>
      </c>
      <c r="W32" s="127">
        <f>VLOOKUP(C32,'Talente &amp; Stuff'!GX:HY,21,FALSE)</f>
        <v>0</v>
      </c>
      <c r="X32" s="125">
        <f>VLOOKUP(C32,'Talente &amp; Stuff'!GX:HY,22,FALSE)</f>
        <v>0</v>
      </c>
      <c r="Y32" s="165">
        <f t="shared" si="2"/>
        <v>0</v>
      </c>
      <c r="Z32" s="44">
        <f t="shared" si="3"/>
        <v>0</v>
      </c>
      <c r="AA32" s="125">
        <f>VLOOKUP(C32,'Talente &amp; Stuff'!GX:HY,25,FALSE)</f>
        <v>0</v>
      </c>
      <c r="AB32" s="160">
        <f>VLOOKUP(C32,'Talente &amp; Stuff'!GX:HY,26,FALSE)</f>
        <v>0</v>
      </c>
      <c r="AC32" s="127">
        <f>VLOOKUP(C32,'Talente &amp; Stuff'!GX:HY,27,FALSE)</f>
        <v>0</v>
      </c>
      <c r="AD32" s="125">
        <f>VLOOKUP(C32,'Talente &amp; Stuff'!GX:HY,28,FALSE)</f>
        <v>0</v>
      </c>
      <c r="AE32" s="28"/>
    </row>
    <row r="33" spans="2:31" ht="15" hidden="1" customHeight="1" outlineLevel="2">
      <c r="B33" s="148">
        <v>8</v>
      </c>
      <c r="C33" s="177" t="str">
        <f>Attribute!C33</f>
        <v>---</v>
      </c>
      <c r="D33" s="127" t="str">
        <f>VLOOKUP(C33,'Talente &amp; Stuff'!GX:HY,2,FALSE)</f>
        <v>--/--/--</v>
      </c>
      <c r="E33" s="125" t="str">
        <f>VLOOKUP(C33,'Talente &amp; Stuff'!GX:HY,3,FALSE)</f>
        <v>-</v>
      </c>
      <c r="F33" s="114">
        <f>VLOOKUP(C33,'Talente &amp; Stuff'!GX:HY,4,FALSE)</f>
        <v>0</v>
      </c>
      <c r="G33" s="113">
        <f>VLOOKUP(C33,'Talente &amp; Stuff'!GX:HY,5,FALSE)</f>
        <v>0</v>
      </c>
      <c r="H33" s="113">
        <f>VLOOKUP(C33,'Talente &amp; Stuff'!GX:HY,6,FALSE)</f>
        <v>0</v>
      </c>
      <c r="I33" s="113">
        <f>VLOOKUP(C33,'Talente &amp; Stuff'!GX:HY,7,FALSE)</f>
        <v>0</v>
      </c>
      <c r="J33" s="113">
        <f>VLOOKUP(C33,'Talente &amp; Stuff'!GX:HY,8,FALSE)</f>
        <v>0</v>
      </c>
      <c r="K33" s="113">
        <f>VLOOKUP(C33,'Talente &amp; Stuff'!GX:HY,9,FALSE)</f>
        <v>0</v>
      </c>
      <c r="L33" s="113">
        <f>VLOOKUP(C33,'Talente &amp; Stuff'!GX:HY,10,FALSE)</f>
        <v>0</v>
      </c>
      <c r="M33" s="119">
        <f>VLOOKUP(C33,'Talente &amp; Stuff'!GX:HY,11,FALSE)</f>
        <v>0</v>
      </c>
      <c r="N33" s="89">
        <f>VLOOKUP(C33,'Talente &amp; Stuff'!GX:HY,12,FALSE)</f>
        <v>0</v>
      </c>
      <c r="O33" s="47">
        <f>VLOOKUP(C33,'Talente &amp; Stuff'!GX:HY,13,FALSE)</f>
        <v>0</v>
      </c>
      <c r="P33" s="119">
        <f>VLOOKUP(C33,'Talente &amp; Stuff'!GX:HY,14,FALSE)</f>
        <v>0</v>
      </c>
      <c r="Q33" s="114">
        <f>VLOOKUP(C33,'Talente &amp; Stuff'!GX:HY,15,FALSE)</f>
        <v>0</v>
      </c>
      <c r="R33" s="113">
        <f>VLOOKUP(C33,'Talente &amp; Stuff'!GX:HY,16,FALSE)</f>
        <v>0</v>
      </c>
      <c r="S33" s="119">
        <f>VLOOKUP(C33,'Talente &amp; Stuff'!GX:HY,17,FALSE)</f>
        <v>0</v>
      </c>
      <c r="T33" s="160">
        <f>VLOOKUP(C33,'Talente &amp; Stuff'!GX:HY,18,FALSE)</f>
        <v>0</v>
      </c>
      <c r="U33" s="89">
        <f>VLOOKUP(C33,'Talente &amp; Stuff'!GX:HY,19,FALSE)</f>
        <v>0</v>
      </c>
      <c r="V33" s="47">
        <f>VLOOKUP(C33,'Talente &amp; Stuff'!GX:HY,20,FALSE)</f>
        <v>0</v>
      </c>
      <c r="W33" s="127">
        <f>VLOOKUP(C33,'Talente &amp; Stuff'!GX:HY,21,FALSE)</f>
        <v>0</v>
      </c>
      <c r="X33" s="125">
        <f>VLOOKUP(C33,'Talente &amp; Stuff'!GX:HY,22,FALSE)</f>
        <v>0</v>
      </c>
      <c r="Y33" s="165">
        <f t="shared" si="2"/>
        <v>0</v>
      </c>
      <c r="Z33" s="44">
        <f t="shared" si="3"/>
        <v>0</v>
      </c>
      <c r="AA33" s="125">
        <f>VLOOKUP(C33,'Talente &amp; Stuff'!GX:HY,25,FALSE)</f>
        <v>0</v>
      </c>
      <c r="AB33" s="160">
        <f>VLOOKUP(C33,'Talente &amp; Stuff'!GX:HY,26,FALSE)</f>
        <v>0</v>
      </c>
      <c r="AC33" s="127">
        <f>VLOOKUP(C33,'Talente &amp; Stuff'!GX:HY,27,FALSE)</f>
        <v>0</v>
      </c>
      <c r="AD33" s="125">
        <f>VLOOKUP(C33,'Talente &amp; Stuff'!GX:HY,28,FALSE)</f>
        <v>0</v>
      </c>
      <c r="AE33" s="28"/>
    </row>
    <row r="34" spans="2:31" ht="15" hidden="1" customHeight="1" outlineLevel="2">
      <c r="B34" s="148">
        <v>9</v>
      </c>
      <c r="C34" s="178" t="str">
        <f>Attribute!C34</f>
        <v>---</v>
      </c>
      <c r="D34" s="128" t="str">
        <f>VLOOKUP(C34,'Talente &amp; Stuff'!GX:HY,2,FALSE)</f>
        <v>--/--/--</v>
      </c>
      <c r="E34" s="159" t="str">
        <f>VLOOKUP(C34,'Talente &amp; Stuff'!GX:HY,3,FALSE)</f>
        <v>-</v>
      </c>
      <c r="F34" s="115">
        <f>VLOOKUP(C34,'Talente &amp; Stuff'!GX:HY,4,FALSE)</f>
        <v>0</v>
      </c>
      <c r="G34" s="122">
        <f>VLOOKUP(C34,'Talente &amp; Stuff'!GX:HY,5,FALSE)</f>
        <v>0</v>
      </c>
      <c r="H34" s="122">
        <f>VLOOKUP(C34,'Talente &amp; Stuff'!GX:HY,6,FALSE)</f>
        <v>0</v>
      </c>
      <c r="I34" s="122">
        <f>VLOOKUP(C34,'Talente &amp; Stuff'!GX:HY,7,FALSE)</f>
        <v>0</v>
      </c>
      <c r="J34" s="122">
        <f>VLOOKUP(C34,'Talente &amp; Stuff'!GX:HY,8,FALSE)</f>
        <v>0</v>
      </c>
      <c r="K34" s="122">
        <f>VLOOKUP(C34,'Talente &amp; Stuff'!GX:HY,9,FALSE)</f>
        <v>0</v>
      </c>
      <c r="L34" s="122">
        <f>VLOOKUP(C34,'Talente &amp; Stuff'!GX:HY,10,FALSE)</f>
        <v>0</v>
      </c>
      <c r="M34" s="123">
        <f>VLOOKUP(C34,'Talente &amp; Stuff'!GX:HY,11,FALSE)</f>
        <v>0</v>
      </c>
      <c r="N34" s="90">
        <f>VLOOKUP(C34,'Talente &amp; Stuff'!GX:HY,12,FALSE)</f>
        <v>0</v>
      </c>
      <c r="O34" s="88">
        <f>VLOOKUP(C34,'Talente &amp; Stuff'!GX:HY,13,FALSE)</f>
        <v>0</v>
      </c>
      <c r="P34" s="123">
        <f>VLOOKUP(C34,'Talente &amp; Stuff'!GX:HY,14,FALSE)</f>
        <v>0</v>
      </c>
      <c r="Q34" s="115">
        <f>VLOOKUP(C34,'Talente &amp; Stuff'!GX:HY,15,FALSE)</f>
        <v>0</v>
      </c>
      <c r="R34" s="122">
        <f>VLOOKUP(C34,'Talente &amp; Stuff'!GX:HY,16,FALSE)</f>
        <v>0</v>
      </c>
      <c r="S34" s="123">
        <f>VLOOKUP(C34,'Talente &amp; Stuff'!GX:HY,17,FALSE)</f>
        <v>0</v>
      </c>
      <c r="T34" s="161">
        <f>VLOOKUP(C34,'Talente &amp; Stuff'!GX:HY,18,FALSE)</f>
        <v>0</v>
      </c>
      <c r="U34" s="90">
        <f>VLOOKUP(C34,'Talente &amp; Stuff'!GX:HY,19,FALSE)</f>
        <v>0</v>
      </c>
      <c r="V34" s="88">
        <f>VLOOKUP(C34,'Talente &amp; Stuff'!GX:HY,20,FALSE)</f>
        <v>0</v>
      </c>
      <c r="W34" s="128">
        <f>VLOOKUP(C34,'Talente &amp; Stuff'!GX:HY,21,FALSE)</f>
        <v>0</v>
      </c>
      <c r="X34" s="159">
        <f>VLOOKUP(C34,'Talente &amp; Stuff'!GX:HY,22,FALSE)</f>
        <v>0</v>
      </c>
      <c r="Y34" s="165">
        <f t="shared" si="2"/>
        <v>0</v>
      </c>
      <c r="Z34" s="44">
        <f t="shared" si="3"/>
        <v>0</v>
      </c>
      <c r="AA34" s="159">
        <f>VLOOKUP(C34,'Talente &amp; Stuff'!GX:HY,25,FALSE)</f>
        <v>0</v>
      </c>
      <c r="AB34" s="161">
        <f>VLOOKUP(C34,'Talente &amp; Stuff'!GX:HY,26,FALSE)</f>
        <v>0</v>
      </c>
      <c r="AC34" s="128">
        <f>VLOOKUP(C34,'Talente &amp; Stuff'!GX:HY,27,FALSE)</f>
        <v>0</v>
      </c>
      <c r="AD34" s="159">
        <f>VLOOKUP(C34,'Talente &amp; Stuff'!GX:HY,28,FALSE)</f>
        <v>0</v>
      </c>
      <c r="AE34" s="28"/>
    </row>
    <row r="35" spans="2:31" ht="15" hidden="1" customHeight="1" outlineLevel="1" collapsed="1">
      <c r="B35" s="134" t="s">
        <v>69</v>
      </c>
      <c r="C35" s="83"/>
      <c r="D35" s="84"/>
      <c r="E35" s="84"/>
      <c r="F35" s="30"/>
      <c r="G35" s="30"/>
      <c r="H35" s="30"/>
      <c r="I35" s="30"/>
      <c r="J35" s="30"/>
      <c r="K35" s="30"/>
      <c r="L35" s="30"/>
      <c r="M35" s="30"/>
      <c r="N35" s="31"/>
      <c r="O35" s="31"/>
      <c r="P35" s="30"/>
      <c r="Q35" s="30"/>
      <c r="R35" s="30"/>
      <c r="S35" s="30"/>
      <c r="T35" s="30"/>
      <c r="U35" s="31"/>
      <c r="V35" s="31"/>
      <c r="W35" s="31"/>
      <c r="X35" s="31"/>
      <c r="Y35" s="65"/>
    </row>
    <row r="36" spans="2:31" ht="15" hidden="1" customHeight="1" outlineLevel="2">
      <c r="B36" s="148">
        <v>1</v>
      </c>
      <c r="C36" s="176" t="str">
        <f>Attribute!C36</f>
        <v>---</v>
      </c>
      <c r="D36" s="126" t="str">
        <f>VLOOKUP(C36,'Talente &amp; Stuff'!GX:HY,2,FALSE)</f>
        <v>--/--/--</v>
      </c>
      <c r="E36" s="158" t="str">
        <f>VLOOKUP(C36,'Talente &amp; Stuff'!GX:HY,3,FALSE)</f>
        <v>-</v>
      </c>
      <c r="F36" s="191">
        <f>VLOOKUP(C36,'Talente &amp; Stuff'!GX:HY,4,FALSE)</f>
        <v>0</v>
      </c>
      <c r="G36" s="118">
        <f>VLOOKUP(C36,'Talente &amp; Stuff'!GX:HY,5,FALSE)</f>
        <v>0</v>
      </c>
      <c r="H36" s="118">
        <f>VLOOKUP(C36,'Talente &amp; Stuff'!GX:HY,6,FALSE)</f>
        <v>0</v>
      </c>
      <c r="I36" s="118">
        <f>VLOOKUP(C36,'Talente &amp; Stuff'!GX:HY,7,FALSE)</f>
        <v>0</v>
      </c>
      <c r="J36" s="118">
        <f>VLOOKUP(C36,'Talente &amp; Stuff'!GX:HY,8,FALSE)</f>
        <v>0</v>
      </c>
      <c r="K36" s="118">
        <f>VLOOKUP(C36,'Talente &amp; Stuff'!GX:HY,9,FALSE)</f>
        <v>0</v>
      </c>
      <c r="L36" s="118">
        <f>VLOOKUP(C36,'Talente &amp; Stuff'!GX:HY,10,FALSE)</f>
        <v>0</v>
      </c>
      <c r="M36" s="92">
        <f>VLOOKUP(C36,'Talente &amp; Stuff'!GX:HY,11,FALSE)</f>
        <v>0</v>
      </c>
      <c r="N36" s="193">
        <f>VLOOKUP(C36,'Talente &amp; Stuff'!GX:HY,12,FALSE)</f>
        <v>0</v>
      </c>
      <c r="O36" s="116">
        <f>VLOOKUP(C36,'Talente &amp; Stuff'!GX:HY,13,FALSE)</f>
        <v>0</v>
      </c>
      <c r="P36" s="92">
        <f>VLOOKUP(C36,'Talente &amp; Stuff'!GX:HY,14,FALSE)</f>
        <v>0</v>
      </c>
      <c r="Q36" s="191">
        <f>VLOOKUP(C36,'Talente &amp; Stuff'!GX:HY,15,FALSE)</f>
        <v>0</v>
      </c>
      <c r="R36" s="118">
        <f>VLOOKUP(C36,'Talente &amp; Stuff'!GX:HY,16,FALSE)</f>
        <v>0</v>
      </c>
      <c r="S36" s="92">
        <f>VLOOKUP(C36,'Talente &amp; Stuff'!GX:HY,17,FALSE)</f>
        <v>0</v>
      </c>
      <c r="T36" s="91">
        <f>VLOOKUP(C36,'Talente &amp; Stuff'!GX:HY,18,FALSE)</f>
        <v>0</v>
      </c>
      <c r="U36" s="193">
        <f>VLOOKUP(C36,'Talente &amp; Stuff'!GX:HY,19,FALSE)</f>
        <v>0</v>
      </c>
      <c r="V36" s="116">
        <f>VLOOKUP(C36,'Talente &amp; Stuff'!GX:HY,20,FALSE)</f>
        <v>0</v>
      </c>
      <c r="W36" s="126">
        <f>VLOOKUP(C36,'Talente &amp; Stuff'!GX:HY,21,FALSE)</f>
        <v>0</v>
      </c>
      <c r="X36" s="158">
        <f>VLOOKUP(C36,'Talente &amp; Stuff'!GX:HY,22,FALSE)</f>
        <v>0</v>
      </c>
      <c r="Y36" s="165">
        <f t="shared" ref="Y36:Y42" si="4">VLOOKUP(C36,Ausgewählte_Talente_Naturtalente,226,FALSE)</f>
        <v>0</v>
      </c>
      <c r="Z36" s="44">
        <f t="shared" ref="Z36:Z42" si="5">VLOOKUP(C36,Ausgewählte_Talente_Naturtalente,227,FALSE)</f>
        <v>0</v>
      </c>
      <c r="AA36" s="158">
        <f>VLOOKUP(C36,'Talente &amp; Stuff'!GX:HY,25,FALSE)</f>
        <v>0</v>
      </c>
      <c r="AB36" s="91">
        <f>VLOOKUP(C36,'Talente &amp; Stuff'!GX:HY,26,FALSE)</f>
        <v>0</v>
      </c>
      <c r="AC36" s="126">
        <f>VLOOKUP(C36,'Talente &amp; Stuff'!GX:HY,27,FALSE)</f>
        <v>0</v>
      </c>
      <c r="AD36" s="158">
        <f>VLOOKUP(C36,'Talente &amp; Stuff'!GX:HY,28,FALSE)</f>
        <v>0</v>
      </c>
      <c r="AE36" s="28"/>
    </row>
    <row r="37" spans="2:31" ht="15" hidden="1" customHeight="1" outlineLevel="2">
      <c r="B37" s="148">
        <v>2</v>
      </c>
      <c r="C37" s="177" t="str">
        <f>Attribute!C37</f>
        <v>---</v>
      </c>
      <c r="D37" s="127" t="str">
        <f>VLOOKUP(C37,'Talente &amp; Stuff'!GX:HY,2,FALSE)</f>
        <v>--/--/--</v>
      </c>
      <c r="E37" s="125" t="str">
        <f>VLOOKUP(C37,'Talente &amp; Stuff'!GX:HY,3,FALSE)</f>
        <v>-</v>
      </c>
      <c r="F37" s="114">
        <f>VLOOKUP(C37,'Talente &amp; Stuff'!GX:HY,4,FALSE)</f>
        <v>0</v>
      </c>
      <c r="G37" s="113">
        <f>VLOOKUP(C37,'Talente &amp; Stuff'!GX:HY,5,FALSE)</f>
        <v>0</v>
      </c>
      <c r="H37" s="113">
        <f>VLOOKUP(C37,'Talente &amp; Stuff'!GX:HY,6,FALSE)</f>
        <v>0</v>
      </c>
      <c r="I37" s="113">
        <f>VLOOKUP(C37,'Talente &amp; Stuff'!GX:HY,7,FALSE)</f>
        <v>0</v>
      </c>
      <c r="J37" s="113">
        <f>VLOOKUP(C37,'Talente &amp; Stuff'!GX:HY,8,FALSE)</f>
        <v>0</v>
      </c>
      <c r="K37" s="113">
        <f>VLOOKUP(C37,'Talente &amp; Stuff'!GX:HY,9,FALSE)</f>
        <v>0</v>
      </c>
      <c r="L37" s="113">
        <f>VLOOKUP(C37,'Talente &amp; Stuff'!GX:HY,10,FALSE)</f>
        <v>0</v>
      </c>
      <c r="M37" s="119">
        <f>VLOOKUP(C37,'Talente &amp; Stuff'!GX:HY,11,FALSE)</f>
        <v>0</v>
      </c>
      <c r="N37" s="89">
        <f>VLOOKUP(C37,'Talente &amp; Stuff'!GX:HY,12,FALSE)</f>
        <v>0</v>
      </c>
      <c r="O37" s="47">
        <f>VLOOKUP(C37,'Talente &amp; Stuff'!GX:HY,13,FALSE)</f>
        <v>0</v>
      </c>
      <c r="P37" s="119">
        <f>VLOOKUP(C37,'Talente &amp; Stuff'!GX:HY,14,FALSE)</f>
        <v>0</v>
      </c>
      <c r="Q37" s="114">
        <f>VLOOKUP(C37,'Talente &amp; Stuff'!GX:HY,15,FALSE)</f>
        <v>0</v>
      </c>
      <c r="R37" s="113">
        <f>VLOOKUP(C37,'Talente &amp; Stuff'!GX:HY,16,FALSE)</f>
        <v>0</v>
      </c>
      <c r="S37" s="119">
        <f>VLOOKUP(C37,'Talente &amp; Stuff'!GX:HY,17,FALSE)</f>
        <v>0</v>
      </c>
      <c r="T37" s="160">
        <f>VLOOKUP(C37,'Talente &amp; Stuff'!GX:HY,18,FALSE)</f>
        <v>0</v>
      </c>
      <c r="U37" s="89">
        <f>VLOOKUP(C37,'Talente &amp; Stuff'!GX:HY,19,FALSE)</f>
        <v>0</v>
      </c>
      <c r="V37" s="47">
        <f>VLOOKUP(C37,'Talente &amp; Stuff'!GX:HY,20,FALSE)</f>
        <v>0</v>
      </c>
      <c r="W37" s="127">
        <f>VLOOKUP(C37,'Talente &amp; Stuff'!GX:HY,21,FALSE)</f>
        <v>0</v>
      </c>
      <c r="X37" s="125">
        <f>VLOOKUP(C37,'Talente &amp; Stuff'!GX:HY,22,FALSE)</f>
        <v>0</v>
      </c>
      <c r="Y37" s="165">
        <f t="shared" si="4"/>
        <v>0</v>
      </c>
      <c r="Z37" s="44">
        <f t="shared" si="5"/>
        <v>0</v>
      </c>
      <c r="AA37" s="125">
        <f>VLOOKUP(C37,'Talente &amp; Stuff'!GX:HY,25,FALSE)</f>
        <v>0</v>
      </c>
      <c r="AB37" s="160">
        <f>VLOOKUP(C37,'Talente &amp; Stuff'!GX:HY,26,FALSE)</f>
        <v>0</v>
      </c>
      <c r="AC37" s="127">
        <f>VLOOKUP(C37,'Talente &amp; Stuff'!GX:HY,27,FALSE)</f>
        <v>0</v>
      </c>
      <c r="AD37" s="125">
        <f>VLOOKUP(C37,'Talente &amp; Stuff'!GX:HY,28,FALSE)</f>
        <v>0</v>
      </c>
      <c r="AE37" s="28"/>
    </row>
    <row r="38" spans="2:31" ht="15" hidden="1" customHeight="1" outlineLevel="2">
      <c r="B38" s="148">
        <v>3</v>
      </c>
      <c r="C38" s="177" t="str">
        <f>Attribute!C38</f>
        <v>---</v>
      </c>
      <c r="D38" s="127" t="str">
        <f>VLOOKUP(C38,'Talente &amp; Stuff'!GX:HY,2,FALSE)</f>
        <v>--/--/--</v>
      </c>
      <c r="E38" s="125" t="str">
        <f>VLOOKUP(C38,'Talente &amp; Stuff'!GX:HY,3,FALSE)</f>
        <v>-</v>
      </c>
      <c r="F38" s="114">
        <f>VLOOKUP(C38,'Talente &amp; Stuff'!GX:HY,4,FALSE)</f>
        <v>0</v>
      </c>
      <c r="G38" s="113">
        <f>VLOOKUP(C38,'Talente &amp; Stuff'!GX:HY,5,FALSE)</f>
        <v>0</v>
      </c>
      <c r="H38" s="113">
        <f>VLOOKUP(C38,'Talente &amp; Stuff'!GX:HY,6,FALSE)</f>
        <v>0</v>
      </c>
      <c r="I38" s="113">
        <f>VLOOKUP(C38,'Talente &amp; Stuff'!GX:HY,7,FALSE)</f>
        <v>0</v>
      </c>
      <c r="J38" s="113">
        <f>VLOOKUP(C38,'Talente &amp; Stuff'!GX:HY,8,FALSE)</f>
        <v>0</v>
      </c>
      <c r="K38" s="113">
        <f>VLOOKUP(C38,'Talente &amp; Stuff'!GX:HY,9,FALSE)</f>
        <v>0</v>
      </c>
      <c r="L38" s="113">
        <f>VLOOKUP(C38,'Talente &amp; Stuff'!GX:HY,10,FALSE)</f>
        <v>0</v>
      </c>
      <c r="M38" s="119">
        <f>VLOOKUP(C38,'Talente &amp; Stuff'!GX:HY,11,FALSE)</f>
        <v>0</v>
      </c>
      <c r="N38" s="89">
        <f>VLOOKUP(C38,'Talente &amp; Stuff'!GX:HY,12,FALSE)</f>
        <v>0</v>
      </c>
      <c r="O38" s="47">
        <f>VLOOKUP(C38,'Talente &amp; Stuff'!GX:HY,13,FALSE)</f>
        <v>0</v>
      </c>
      <c r="P38" s="119">
        <f>VLOOKUP(C38,'Talente &amp; Stuff'!GX:HY,14,FALSE)</f>
        <v>0</v>
      </c>
      <c r="Q38" s="114">
        <f>VLOOKUP(C38,'Talente &amp; Stuff'!GX:HY,15,FALSE)</f>
        <v>0</v>
      </c>
      <c r="R38" s="113">
        <f>VLOOKUP(C38,'Talente &amp; Stuff'!GX:HY,16,FALSE)</f>
        <v>0</v>
      </c>
      <c r="S38" s="119">
        <f>VLOOKUP(C38,'Talente &amp; Stuff'!GX:HY,17,FALSE)</f>
        <v>0</v>
      </c>
      <c r="T38" s="160">
        <f>VLOOKUP(C38,'Talente &amp; Stuff'!GX:HY,18,FALSE)</f>
        <v>0</v>
      </c>
      <c r="U38" s="89">
        <f>VLOOKUP(C38,'Talente &amp; Stuff'!GX:HY,19,FALSE)</f>
        <v>0</v>
      </c>
      <c r="V38" s="47">
        <f>VLOOKUP(C38,'Talente &amp; Stuff'!GX:HY,20,FALSE)</f>
        <v>0</v>
      </c>
      <c r="W38" s="127">
        <f>VLOOKUP(C38,'Talente &amp; Stuff'!GX:HY,21,FALSE)</f>
        <v>0</v>
      </c>
      <c r="X38" s="125">
        <f>VLOOKUP(C38,'Talente &amp; Stuff'!GX:HY,22,FALSE)</f>
        <v>0</v>
      </c>
      <c r="Y38" s="165">
        <f t="shared" si="4"/>
        <v>0</v>
      </c>
      <c r="Z38" s="44">
        <f t="shared" si="5"/>
        <v>0</v>
      </c>
      <c r="AA38" s="125">
        <f>VLOOKUP(C38,'Talente &amp; Stuff'!GX:HY,25,FALSE)</f>
        <v>0</v>
      </c>
      <c r="AB38" s="160">
        <f>VLOOKUP(C38,'Talente &amp; Stuff'!GX:HY,26,FALSE)</f>
        <v>0</v>
      </c>
      <c r="AC38" s="127">
        <f>VLOOKUP(C38,'Talente &amp; Stuff'!GX:HY,27,FALSE)</f>
        <v>0</v>
      </c>
      <c r="AD38" s="125">
        <f>VLOOKUP(C38,'Talente &amp; Stuff'!GX:HY,28,FALSE)</f>
        <v>0</v>
      </c>
      <c r="AE38" s="28"/>
    </row>
    <row r="39" spans="2:31" ht="15" hidden="1" customHeight="1" outlineLevel="2">
      <c r="B39" s="148">
        <v>4</v>
      </c>
      <c r="C39" s="177" t="str">
        <f>Attribute!C39</f>
        <v>---</v>
      </c>
      <c r="D39" s="127" t="str">
        <f>VLOOKUP(C39,'Talente &amp; Stuff'!GX:HY,2,FALSE)</f>
        <v>--/--/--</v>
      </c>
      <c r="E39" s="125" t="str">
        <f>VLOOKUP(C39,'Talente &amp; Stuff'!GX:HY,3,FALSE)</f>
        <v>-</v>
      </c>
      <c r="F39" s="114">
        <f>VLOOKUP(C39,'Talente &amp; Stuff'!GX:HY,4,FALSE)</f>
        <v>0</v>
      </c>
      <c r="G39" s="113">
        <f>VLOOKUP(C39,'Talente &amp; Stuff'!GX:HY,5,FALSE)</f>
        <v>0</v>
      </c>
      <c r="H39" s="113">
        <f>VLOOKUP(C39,'Talente &amp; Stuff'!GX:HY,6,FALSE)</f>
        <v>0</v>
      </c>
      <c r="I39" s="113">
        <f>VLOOKUP(C39,'Talente &amp; Stuff'!GX:HY,7,FALSE)</f>
        <v>0</v>
      </c>
      <c r="J39" s="113">
        <f>VLOOKUP(C39,'Talente &amp; Stuff'!GX:HY,8,FALSE)</f>
        <v>0</v>
      </c>
      <c r="K39" s="113">
        <f>VLOOKUP(C39,'Talente &amp; Stuff'!GX:HY,9,FALSE)</f>
        <v>0</v>
      </c>
      <c r="L39" s="113">
        <f>VLOOKUP(C39,'Talente &amp; Stuff'!GX:HY,10,FALSE)</f>
        <v>0</v>
      </c>
      <c r="M39" s="119">
        <f>VLOOKUP(C39,'Talente &amp; Stuff'!GX:HY,11,FALSE)</f>
        <v>0</v>
      </c>
      <c r="N39" s="89">
        <f>VLOOKUP(C39,'Talente &amp; Stuff'!GX:HY,12,FALSE)</f>
        <v>0</v>
      </c>
      <c r="O39" s="47">
        <f>VLOOKUP(C39,'Talente &amp; Stuff'!GX:HY,13,FALSE)</f>
        <v>0</v>
      </c>
      <c r="P39" s="119">
        <f>VLOOKUP(C39,'Talente &amp; Stuff'!GX:HY,14,FALSE)</f>
        <v>0</v>
      </c>
      <c r="Q39" s="114">
        <f>VLOOKUP(C39,'Talente &amp; Stuff'!GX:HY,15,FALSE)</f>
        <v>0</v>
      </c>
      <c r="R39" s="113">
        <f>VLOOKUP(C39,'Talente &amp; Stuff'!GX:HY,16,FALSE)</f>
        <v>0</v>
      </c>
      <c r="S39" s="119">
        <f>VLOOKUP(C39,'Talente &amp; Stuff'!GX:HY,17,FALSE)</f>
        <v>0</v>
      </c>
      <c r="T39" s="160">
        <f>VLOOKUP(C39,'Talente &amp; Stuff'!GX:HY,18,FALSE)</f>
        <v>0</v>
      </c>
      <c r="U39" s="89">
        <f>VLOOKUP(C39,'Talente &amp; Stuff'!GX:HY,19,FALSE)</f>
        <v>0</v>
      </c>
      <c r="V39" s="47">
        <f>VLOOKUP(C39,'Talente &amp; Stuff'!GX:HY,20,FALSE)</f>
        <v>0</v>
      </c>
      <c r="W39" s="127">
        <f>VLOOKUP(C39,'Talente &amp; Stuff'!GX:HY,21,FALSE)</f>
        <v>0</v>
      </c>
      <c r="X39" s="125">
        <f>VLOOKUP(C39,'Talente &amp; Stuff'!GX:HY,22,FALSE)</f>
        <v>0</v>
      </c>
      <c r="Y39" s="165">
        <f t="shared" si="4"/>
        <v>0</v>
      </c>
      <c r="Z39" s="44">
        <f t="shared" si="5"/>
        <v>0</v>
      </c>
      <c r="AA39" s="125">
        <f>VLOOKUP(C39,'Talente &amp; Stuff'!GX:HY,25,FALSE)</f>
        <v>0</v>
      </c>
      <c r="AB39" s="160">
        <f>VLOOKUP(C39,'Talente &amp; Stuff'!GX:HY,26,FALSE)</f>
        <v>0</v>
      </c>
      <c r="AC39" s="127">
        <f>VLOOKUP(C39,'Talente &amp; Stuff'!GX:HY,27,FALSE)</f>
        <v>0</v>
      </c>
      <c r="AD39" s="125">
        <f>VLOOKUP(C39,'Talente &amp; Stuff'!GX:HY,28,FALSE)</f>
        <v>0</v>
      </c>
      <c r="AE39" s="28"/>
    </row>
    <row r="40" spans="2:31" ht="15" hidden="1" customHeight="1" outlineLevel="2">
      <c r="B40" s="148">
        <v>5</v>
      </c>
      <c r="C40" s="177" t="str">
        <f>Attribute!C40</f>
        <v>---</v>
      </c>
      <c r="D40" s="127" t="str">
        <f>VLOOKUP(C40,'Talente &amp; Stuff'!GX:HY,2,FALSE)</f>
        <v>--/--/--</v>
      </c>
      <c r="E40" s="125" t="str">
        <f>VLOOKUP(C40,'Talente &amp; Stuff'!GX:HY,3,FALSE)</f>
        <v>-</v>
      </c>
      <c r="F40" s="114">
        <f>VLOOKUP(C40,'Talente &amp; Stuff'!GX:HY,4,FALSE)</f>
        <v>0</v>
      </c>
      <c r="G40" s="113">
        <f>VLOOKUP(C40,'Talente &amp; Stuff'!GX:HY,5,FALSE)</f>
        <v>0</v>
      </c>
      <c r="H40" s="113">
        <f>VLOOKUP(C40,'Talente &amp; Stuff'!GX:HY,6,FALSE)</f>
        <v>0</v>
      </c>
      <c r="I40" s="113">
        <f>VLOOKUP(C40,'Talente &amp; Stuff'!GX:HY,7,FALSE)</f>
        <v>0</v>
      </c>
      <c r="J40" s="113">
        <f>VLOOKUP(C40,'Talente &amp; Stuff'!GX:HY,8,FALSE)</f>
        <v>0</v>
      </c>
      <c r="K40" s="113">
        <f>VLOOKUP(C40,'Talente &amp; Stuff'!GX:HY,9,FALSE)</f>
        <v>0</v>
      </c>
      <c r="L40" s="113">
        <f>VLOOKUP(C40,'Talente &amp; Stuff'!GX:HY,10,FALSE)</f>
        <v>0</v>
      </c>
      <c r="M40" s="119">
        <f>VLOOKUP(C40,'Talente &amp; Stuff'!GX:HY,11,FALSE)</f>
        <v>0</v>
      </c>
      <c r="N40" s="89">
        <f>VLOOKUP(C40,'Talente &amp; Stuff'!GX:HY,12,FALSE)</f>
        <v>0</v>
      </c>
      <c r="O40" s="47">
        <f>VLOOKUP(C40,'Talente &amp; Stuff'!GX:HY,13,FALSE)</f>
        <v>0</v>
      </c>
      <c r="P40" s="119">
        <f>VLOOKUP(C40,'Talente &amp; Stuff'!GX:HY,14,FALSE)</f>
        <v>0</v>
      </c>
      <c r="Q40" s="114">
        <f>VLOOKUP(C40,'Talente &amp; Stuff'!GX:HY,15,FALSE)</f>
        <v>0</v>
      </c>
      <c r="R40" s="113">
        <f>VLOOKUP(C40,'Talente &amp; Stuff'!GX:HY,16,FALSE)</f>
        <v>0</v>
      </c>
      <c r="S40" s="119">
        <f>VLOOKUP(C40,'Talente &amp; Stuff'!GX:HY,17,FALSE)</f>
        <v>0</v>
      </c>
      <c r="T40" s="160">
        <f>VLOOKUP(C40,'Talente &amp; Stuff'!GX:HY,18,FALSE)</f>
        <v>0</v>
      </c>
      <c r="U40" s="89">
        <f>VLOOKUP(C40,'Talente &amp; Stuff'!GX:HY,19,FALSE)</f>
        <v>0</v>
      </c>
      <c r="V40" s="47">
        <f>VLOOKUP(C40,'Talente &amp; Stuff'!GX:HY,20,FALSE)</f>
        <v>0</v>
      </c>
      <c r="W40" s="127">
        <f>VLOOKUP(C40,'Talente &amp; Stuff'!GX:HY,21,FALSE)</f>
        <v>0</v>
      </c>
      <c r="X40" s="125">
        <f>VLOOKUP(C40,'Talente &amp; Stuff'!GX:HY,22,FALSE)</f>
        <v>0</v>
      </c>
      <c r="Y40" s="165">
        <f t="shared" si="4"/>
        <v>0</v>
      </c>
      <c r="Z40" s="44">
        <f t="shared" si="5"/>
        <v>0</v>
      </c>
      <c r="AA40" s="125">
        <f>VLOOKUP(C40,'Talente &amp; Stuff'!GX:HY,25,FALSE)</f>
        <v>0</v>
      </c>
      <c r="AB40" s="160">
        <f>VLOOKUP(C40,'Talente &amp; Stuff'!GX:HY,26,FALSE)</f>
        <v>0</v>
      </c>
      <c r="AC40" s="127">
        <f>VLOOKUP(C40,'Talente &amp; Stuff'!GX:HY,27,FALSE)</f>
        <v>0</v>
      </c>
      <c r="AD40" s="125">
        <f>VLOOKUP(C40,'Talente &amp; Stuff'!GX:HY,28,FALSE)</f>
        <v>0</v>
      </c>
      <c r="AE40" s="28"/>
    </row>
    <row r="41" spans="2:31" ht="15" hidden="1" customHeight="1" outlineLevel="2">
      <c r="B41" s="148">
        <v>6</v>
      </c>
      <c r="C41" s="177" t="str">
        <f>Attribute!C41</f>
        <v>---</v>
      </c>
      <c r="D41" s="127" t="str">
        <f>VLOOKUP(C41,'Talente &amp; Stuff'!GX:HY,2,FALSE)</f>
        <v>--/--/--</v>
      </c>
      <c r="E41" s="125" t="str">
        <f>VLOOKUP(C41,'Talente &amp; Stuff'!GX:HY,3,FALSE)</f>
        <v>-</v>
      </c>
      <c r="F41" s="114">
        <f>VLOOKUP(C41,'Talente &amp; Stuff'!GX:HY,4,FALSE)</f>
        <v>0</v>
      </c>
      <c r="G41" s="113">
        <f>VLOOKUP(C41,'Talente &amp; Stuff'!GX:HY,5,FALSE)</f>
        <v>0</v>
      </c>
      <c r="H41" s="113">
        <f>VLOOKUP(C41,'Talente &amp; Stuff'!GX:HY,6,FALSE)</f>
        <v>0</v>
      </c>
      <c r="I41" s="113">
        <f>VLOOKUP(C41,'Talente &amp; Stuff'!GX:HY,7,FALSE)</f>
        <v>0</v>
      </c>
      <c r="J41" s="113">
        <f>VLOOKUP(C41,'Talente &amp; Stuff'!GX:HY,8,FALSE)</f>
        <v>0</v>
      </c>
      <c r="K41" s="113">
        <f>VLOOKUP(C41,'Talente &amp; Stuff'!GX:HY,9,FALSE)</f>
        <v>0</v>
      </c>
      <c r="L41" s="113">
        <f>VLOOKUP(C41,'Talente &amp; Stuff'!GX:HY,10,FALSE)</f>
        <v>0</v>
      </c>
      <c r="M41" s="119">
        <f>VLOOKUP(C41,'Talente &amp; Stuff'!GX:HY,11,FALSE)</f>
        <v>0</v>
      </c>
      <c r="N41" s="89">
        <f>VLOOKUP(C41,'Talente &amp; Stuff'!GX:HY,12,FALSE)</f>
        <v>0</v>
      </c>
      <c r="O41" s="47">
        <f>VLOOKUP(C41,'Talente &amp; Stuff'!GX:HY,13,FALSE)</f>
        <v>0</v>
      </c>
      <c r="P41" s="119">
        <f>VLOOKUP(C41,'Talente &amp; Stuff'!GX:HY,14,FALSE)</f>
        <v>0</v>
      </c>
      <c r="Q41" s="114">
        <f>VLOOKUP(C41,'Talente &amp; Stuff'!GX:HY,15,FALSE)</f>
        <v>0</v>
      </c>
      <c r="R41" s="113">
        <f>VLOOKUP(C41,'Talente &amp; Stuff'!GX:HY,16,FALSE)</f>
        <v>0</v>
      </c>
      <c r="S41" s="119">
        <f>VLOOKUP(C41,'Talente &amp; Stuff'!GX:HY,17,FALSE)</f>
        <v>0</v>
      </c>
      <c r="T41" s="160">
        <f>VLOOKUP(C41,'Talente &amp; Stuff'!GX:HY,18,FALSE)</f>
        <v>0</v>
      </c>
      <c r="U41" s="89">
        <f>VLOOKUP(C41,'Talente &amp; Stuff'!GX:HY,19,FALSE)</f>
        <v>0</v>
      </c>
      <c r="V41" s="47">
        <f>VLOOKUP(C41,'Talente &amp; Stuff'!GX:HY,20,FALSE)</f>
        <v>0</v>
      </c>
      <c r="W41" s="127">
        <f>VLOOKUP(C41,'Talente &amp; Stuff'!GX:HY,21,FALSE)</f>
        <v>0</v>
      </c>
      <c r="X41" s="125">
        <f>VLOOKUP(C41,'Talente &amp; Stuff'!GX:HY,22,FALSE)</f>
        <v>0</v>
      </c>
      <c r="Y41" s="165">
        <f t="shared" si="4"/>
        <v>0</v>
      </c>
      <c r="Z41" s="44">
        <f t="shared" si="5"/>
        <v>0</v>
      </c>
      <c r="AA41" s="125">
        <f>VLOOKUP(C41,'Talente &amp; Stuff'!GX:HY,25,FALSE)</f>
        <v>0</v>
      </c>
      <c r="AB41" s="160">
        <f>VLOOKUP(C41,'Talente &amp; Stuff'!GX:HY,26,FALSE)</f>
        <v>0</v>
      </c>
      <c r="AC41" s="127">
        <f>VLOOKUP(C41,'Talente &amp; Stuff'!GX:HY,27,FALSE)</f>
        <v>0</v>
      </c>
      <c r="AD41" s="125">
        <f>VLOOKUP(C41,'Talente &amp; Stuff'!GX:HY,28,FALSE)</f>
        <v>0</v>
      </c>
      <c r="AE41" s="28"/>
    </row>
    <row r="42" spans="2:31" ht="15" hidden="1" customHeight="1" outlineLevel="2">
      <c r="B42" s="148">
        <v>7</v>
      </c>
      <c r="C42" s="178" t="str">
        <f>Attribute!C42</f>
        <v>---</v>
      </c>
      <c r="D42" s="128" t="str">
        <f>VLOOKUP(C42,'Talente &amp; Stuff'!GX:HY,2,FALSE)</f>
        <v>--/--/--</v>
      </c>
      <c r="E42" s="159" t="str">
        <f>VLOOKUP(C42,'Talente &amp; Stuff'!GX:HY,3,FALSE)</f>
        <v>-</v>
      </c>
      <c r="F42" s="115">
        <f>VLOOKUP(C42,'Talente &amp; Stuff'!GX:HY,4,FALSE)</f>
        <v>0</v>
      </c>
      <c r="G42" s="122">
        <f>VLOOKUP(C42,'Talente &amp; Stuff'!GX:HY,5,FALSE)</f>
        <v>0</v>
      </c>
      <c r="H42" s="122">
        <f>VLOOKUP(C42,'Talente &amp; Stuff'!GX:HY,6,FALSE)</f>
        <v>0</v>
      </c>
      <c r="I42" s="122">
        <f>VLOOKUP(C42,'Talente &amp; Stuff'!GX:HY,7,FALSE)</f>
        <v>0</v>
      </c>
      <c r="J42" s="122">
        <f>VLOOKUP(C42,'Talente &amp; Stuff'!GX:HY,8,FALSE)</f>
        <v>0</v>
      </c>
      <c r="K42" s="122">
        <f>VLOOKUP(C42,'Talente &amp; Stuff'!GX:HY,9,FALSE)</f>
        <v>0</v>
      </c>
      <c r="L42" s="122">
        <f>VLOOKUP(C42,'Talente &amp; Stuff'!GX:HY,10,FALSE)</f>
        <v>0</v>
      </c>
      <c r="M42" s="123">
        <f>VLOOKUP(C42,'Talente &amp; Stuff'!GX:HY,11,FALSE)</f>
        <v>0</v>
      </c>
      <c r="N42" s="90">
        <f>VLOOKUP(C42,'Talente &amp; Stuff'!GX:HY,12,FALSE)</f>
        <v>0</v>
      </c>
      <c r="O42" s="88">
        <f>VLOOKUP(C42,'Talente &amp; Stuff'!GX:HY,13,FALSE)</f>
        <v>0</v>
      </c>
      <c r="P42" s="123">
        <f>VLOOKUP(C42,'Talente &amp; Stuff'!GX:HY,14,FALSE)</f>
        <v>0</v>
      </c>
      <c r="Q42" s="115">
        <f>VLOOKUP(C42,'Talente &amp; Stuff'!GX:HY,15,FALSE)</f>
        <v>0</v>
      </c>
      <c r="R42" s="122">
        <f>VLOOKUP(C42,'Talente &amp; Stuff'!GX:HY,16,FALSE)</f>
        <v>0</v>
      </c>
      <c r="S42" s="123">
        <f>VLOOKUP(C42,'Talente &amp; Stuff'!GX:HY,17,FALSE)</f>
        <v>0</v>
      </c>
      <c r="T42" s="161">
        <f>VLOOKUP(C42,'Talente &amp; Stuff'!GX:HY,18,FALSE)</f>
        <v>0</v>
      </c>
      <c r="U42" s="90">
        <f>VLOOKUP(C42,'Talente &amp; Stuff'!GX:HY,19,FALSE)</f>
        <v>0</v>
      </c>
      <c r="V42" s="88">
        <f>VLOOKUP(C42,'Talente &amp; Stuff'!GX:HY,20,FALSE)</f>
        <v>0</v>
      </c>
      <c r="W42" s="128">
        <f>VLOOKUP(C42,'Talente &amp; Stuff'!GX:HY,21,FALSE)</f>
        <v>0</v>
      </c>
      <c r="X42" s="159">
        <f>VLOOKUP(C42,'Talente &amp; Stuff'!GX:HY,22,FALSE)</f>
        <v>0</v>
      </c>
      <c r="Y42" s="165">
        <f t="shared" si="4"/>
        <v>0</v>
      </c>
      <c r="Z42" s="44">
        <f t="shared" si="5"/>
        <v>0</v>
      </c>
      <c r="AA42" s="159">
        <f>VLOOKUP(C42,'Talente &amp; Stuff'!GX:HY,25,FALSE)</f>
        <v>0</v>
      </c>
      <c r="AB42" s="161">
        <f>VLOOKUP(C42,'Talente &amp; Stuff'!GX:HY,26,FALSE)</f>
        <v>0</v>
      </c>
      <c r="AC42" s="128">
        <f>VLOOKUP(C42,'Talente &amp; Stuff'!GX:HY,27,FALSE)</f>
        <v>0</v>
      </c>
      <c r="AD42" s="159">
        <f>VLOOKUP(C42,'Talente &amp; Stuff'!GX:HY,28,FALSE)</f>
        <v>0</v>
      </c>
      <c r="AE42" s="28"/>
    </row>
    <row r="43" spans="2:31" ht="15" hidden="1" customHeight="1" outlineLevel="1" collapsed="1">
      <c r="B43" s="134" t="s">
        <v>70</v>
      </c>
      <c r="C43" s="83"/>
      <c r="D43" s="84"/>
      <c r="E43" s="84"/>
      <c r="F43" s="30"/>
      <c r="G43" s="30"/>
      <c r="H43" s="30"/>
      <c r="I43" s="30"/>
      <c r="J43" s="30"/>
      <c r="K43" s="30"/>
      <c r="L43" s="30"/>
      <c r="M43" s="30"/>
      <c r="N43" s="31"/>
      <c r="O43" s="31"/>
      <c r="P43" s="30"/>
      <c r="Q43" s="30"/>
      <c r="R43" s="30"/>
      <c r="S43" s="30"/>
      <c r="T43" s="30"/>
      <c r="U43" s="31"/>
      <c r="V43" s="31"/>
      <c r="W43" s="31"/>
      <c r="X43" s="31"/>
      <c r="Y43" s="65"/>
    </row>
    <row r="44" spans="2:31" ht="15" hidden="1" customHeight="1" outlineLevel="2">
      <c r="B44" s="148">
        <v>1</v>
      </c>
      <c r="C44" s="176" t="str">
        <f>Attribute!C44</f>
        <v>---</v>
      </c>
      <c r="D44" s="126" t="str">
        <f>VLOOKUP(C44,'Talente &amp; Stuff'!GX:HY,2,FALSE)</f>
        <v>--/--/--</v>
      </c>
      <c r="E44" s="158" t="str">
        <f>VLOOKUP(C44,'Talente &amp; Stuff'!GX:HY,3,FALSE)</f>
        <v>-</v>
      </c>
      <c r="F44" s="191">
        <f>VLOOKUP(C44,'Talente &amp; Stuff'!GX:HY,4,FALSE)</f>
        <v>0</v>
      </c>
      <c r="G44" s="118">
        <f>VLOOKUP(C44,'Talente &amp; Stuff'!GX:HY,5,FALSE)</f>
        <v>0</v>
      </c>
      <c r="H44" s="118">
        <f>VLOOKUP(C44,'Talente &amp; Stuff'!GX:HY,6,FALSE)</f>
        <v>0</v>
      </c>
      <c r="I44" s="118">
        <f>VLOOKUP(C44,'Talente &amp; Stuff'!GX:HY,7,FALSE)</f>
        <v>0</v>
      </c>
      <c r="J44" s="118">
        <f>VLOOKUP(C44,'Talente &amp; Stuff'!GX:HY,8,FALSE)</f>
        <v>0</v>
      </c>
      <c r="K44" s="118">
        <f>VLOOKUP(C44,'Talente &amp; Stuff'!GX:HY,9,FALSE)</f>
        <v>0</v>
      </c>
      <c r="L44" s="118">
        <f>VLOOKUP(C44,'Talente &amp; Stuff'!GX:HY,10,FALSE)</f>
        <v>0</v>
      </c>
      <c r="M44" s="92">
        <f>VLOOKUP(C44,'Talente &amp; Stuff'!GX:HY,11,FALSE)</f>
        <v>0</v>
      </c>
      <c r="N44" s="193">
        <f>VLOOKUP(C44,'Talente &amp; Stuff'!GX:HY,12,FALSE)</f>
        <v>0</v>
      </c>
      <c r="O44" s="116">
        <f>VLOOKUP(C44,'Talente &amp; Stuff'!GX:HY,13,FALSE)</f>
        <v>0</v>
      </c>
      <c r="P44" s="92">
        <f>VLOOKUP(C44,'Talente &amp; Stuff'!GX:HY,14,FALSE)</f>
        <v>0</v>
      </c>
      <c r="Q44" s="191">
        <f>VLOOKUP(C44,'Talente &amp; Stuff'!GX:HY,15,FALSE)</f>
        <v>0</v>
      </c>
      <c r="R44" s="118">
        <f>VLOOKUP(C44,'Talente &amp; Stuff'!GX:HY,16,FALSE)</f>
        <v>0</v>
      </c>
      <c r="S44" s="92">
        <f>VLOOKUP(C44,'Talente &amp; Stuff'!GX:HY,17,FALSE)</f>
        <v>0</v>
      </c>
      <c r="T44" s="91">
        <f>VLOOKUP(C44,'Talente &amp; Stuff'!GX:HY,18,FALSE)</f>
        <v>0</v>
      </c>
      <c r="U44" s="193">
        <f>VLOOKUP(C44,'Talente &amp; Stuff'!GX:HY,19,FALSE)</f>
        <v>0</v>
      </c>
      <c r="V44" s="116">
        <f>VLOOKUP(C44,'Talente &amp; Stuff'!GX:HY,20,FALSE)</f>
        <v>0</v>
      </c>
      <c r="W44" s="126">
        <f>VLOOKUP(C44,'Talente &amp; Stuff'!GX:HY,21,FALSE)</f>
        <v>0</v>
      </c>
      <c r="X44" s="158">
        <f>VLOOKUP(C44,'Talente &amp; Stuff'!GX:HY,22,FALSE)</f>
        <v>0</v>
      </c>
      <c r="Y44" s="165">
        <f t="shared" ref="Y44:Y55" si="6">VLOOKUP(C44,Ausgewählte_Talente_Wissenstalente,226,FALSE)</f>
        <v>0</v>
      </c>
      <c r="Z44" s="44">
        <f t="shared" ref="Z44:Z55" si="7">VLOOKUP(C44,Ausgewählte_Talente_Wissenstalente,227,FALSE)</f>
        <v>0</v>
      </c>
      <c r="AA44" s="158">
        <f>VLOOKUP(C44,'Talente &amp; Stuff'!GX:HY,25,FALSE)</f>
        <v>0</v>
      </c>
      <c r="AB44" s="91">
        <f>VLOOKUP(C44,'Talente &amp; Stuff'!GX:HY,26,FALSE)</f>
        <v>0</v>
      </c>
      <c r="AC44" s="126">
        <f>VLOOKUP(C44,'Talente &amp; Stuff'!GX:HY,27,FALSE)</f>
        <v>0</v>
      </c>
      <c r="AD44" s="158">
        <f>VLOOKUP(C44,'Talente &amp; Stuff'!GX:HY,28,FALSE)</f>
        <v>0</v>
      </c>
      <c r="AE44" s="28"/>
    </row>
    <row r="45" spans="2:31" ht="15" hidden="1" customHeight="1" outlineLevel="2">
      <c r="B45" s="148">
        <v>2</v>
      </c>
      <c r="C45" s="177" t="str">
        <f>Attribute!C45</f>
        <v>---</v>
      </c>
      <c r="D45" s="127" t="str">
        <f>VLOOKUP(C45,'Talente &amp; Stuff'!GX:HY,2,FALSE)</f>
        <v>--/--/--</v>
      </c>
      <c r="E45" s="125" t="str">
        <f>VLOOKUP(C45,'Talente &amp; Stuff'!GX:HY,3,FALSE)</f>
        <v>-</v>
      </c>
      <c r="F45" s="114">
        <f>VLOOKUP(C45,'Talente &amp; Stuff'!GX:HY,4,FALSE)</f>
        <v>0</v>
      </c>
      <c r="G45" s="113">
        <f>VLOOKUP(C45,'Talente &amp; Stuff'!GX:HY,5,FALSE)</f>
        <v>0</v>
      </c>
      <c r="H45" s="113">
        <f>VLOOKUP(C45,'Talente &amp; Stuff'!GX:HY,6,FALSE)</f>
        <v>0</v>
      </c>
      <c r="I45" s="113">
        <f>VLOOKUP(C45,'Talente &amp; Stuff'!GX:HY,7,FALSE)</f>
        <v>0</v>
      </c>
      <c r="J45" s="113">
        <f>VLOOKUP(C45,'Talente &amp; Stuff'!GX:HY,8,FALSE)</f>
        <v>0</v>
      </c>
      <c r="K45" s="113">
        <f>VLOOKUP(C45,'Talente &amp; Stuff'!GX:HY,9,FALSE)</f>
        <v>0</v>
      </c>
      <c r="L45" s="113">
        <f>VLOOKUP(C45,'Talente &amp; Stuff'!GX:HY,10,FALSE)</f>
        <v>0</v>
      </c>
      <c r="M45" s="119">
        <f>VLOOKUP(C45,'Talente &amp; Stuff'!GX:HY,11,FALSE)</f>
        <v>0</v>
      </c>
      <c r="N45" s="89">
        <f>VLOOKUP(C45,'Talente &amp; Stuff'!GX:HY,12,FALSE)</f>
        <v>0</v>
      </c>
      <c r="O45" s="47">
        <f>VLOOKUP(C45,'Talente &amp; Stuff'!GX:HY,13,FALSE)</f>
        <v>0</v>
      </c>
      <c r="P45" s="119">
        <f>VLOOKUP(C45,'Talente &amp; Stuff'!GX:HY,14,FALSE)</f>
        <v>0</v>
      </c>
      <c r="Q45" s="114">
        <f>VLOOKUP(C45,'Talente &amp; Stuff'!GX:HY,15,FALSE)</f>
        <v>0</v>
      </c>
      <c r="R45" s="113">
        <f>VLOOKUP(C45,'Talente &amp; Stuff'!GX:HY,16,FALSE)</f>
        <v>0</v>
      </c>
      <c r="S45" s="119">
        <f>VLOOKUP(C45,'Talente &amp; Stuff'!GX:HY,17,FALSE)</f>
        <v>0</v>
      </c>
      <c r="T45" s="160">
        <f>VLOOKUP(C45,'Talente &amp; Stuff'!GX:HY,18,FALSE)</f>
        <v>0</v>
      </c>
      <c r="U45" s="89">
        <f>VLOOKUP(C45,'Talente &amp; Stuff'!GX:HY,19,FALSE)</f>
        <v>0</v>
      </c>
      <c r="V45" s="47">
        <f>VLOOKUP(C45,'Talente &amp; Stuff'!GX:HY,20,FALSE)</f>
        <v>0</v>
      </c>
      <c r="W45" s="127">
        <f>VLOOKUP(C45,'Talente &amp; Stuff'!GX:HY,21,FALSE)</f>
        <v>0</v>
      </c>
      <c r="X45" s="125">
        <f>VLOOKUP(C45,'Talente &amp; Stuff'!GX:HY,22,FALSE)</f>
        <v>0</v>
      </c>
      <c r="Y45" s="165">
        <f t="shared" si="6"/>
        <v>0</v>
      </c>
      <c r="Z45" s="44">
        <f t="shared" si="7"/>
        <v>0</v>
      </c>
      <c r="AA45" s="125">
        <f>VLOOKUP(C45,'Talente &amp; Stuff'!GX:HY,25,FALSE)</f>
        <v>0</v>
      </c>
      <c r="AB45" s="160">
        <f>VLOOKUP(C45,'Talente &amp; Stuff'!GX:HY,26,FALSE)</f>
        <v>0</v>
      </c>
      <c r="AC45" s="127">
        <f>VLOOKUP(C45,'Talente &amp; Stuff'!GX:HY,27,FALSE)</f>
        <v>0</v>
      </c>
      <c r="AD45" s="125">
        <f>VLOOKUP(C45,'Talente &amp; Stuff'!GX:HY,28,FALSE)</f>
        <v>0</v>
      </c>
      <c r="AE45" s="28"/>
    </row>
    <row r="46" spans="2:31" ht="15" hidden="1" customHeight="1" outlineLevel="2">
      <c r="B46" s="148">
        <v>3</v>
      </c>
      <c r="C46" s="177" t="str">
        <f>Attribute!C46</f>
        <v>---</v>
      </c>
      <c r="D46" s="127" t="str">
        <f>VLOOKUP(C46,'Talente &amp; Stuff'!GX:HY,2,FALSE)</f>
        <v>--/--/--</v>
      </c>
      <c r="E46" s="125" t="str">
        <f>VLOOKUP(C46,'Talente &amp; Stuff'!GX:HY,3,FALSE)</f>
        <v>-</v>
      </c>
      <c r="F46" s="114">
        <f>VLOOKUP(C46,'Talente &amp; Stuff'!GX:HY,4,FALSE)</f>
        <v>0</v>
      </c>
      <c r="G46" s="113">
        <f>VLOOKUP(C46,'Talente &amp; Stuff'!GX:HY,5,FALSE)</f>
        <v>0</v>
      </c>
      <c r="H46" s="113">
        <f>VLOOKUP(C46,'Talente &amp; Stuff'!GX:HY,6,FALSE)</f>
        <v>0</v>
      </c>
      <c r="I46" s="113">
        <f>VLOOKUP(C46,'Talente &amp; Stuff'!GX:HY,7,FALSE)</f>
        <v>0</v>
      </c>
      <c r="J46" s="113">
        <f>VLOOKUP(C46,'Talente &amp; Stuff'!GX:HY,8,FALSE)</f>
        <v>0</v>
      </c>
      <c r="K46" s="113">
        <f>VLOOKUP(C46,'Talente &amp; Stuff'!GX:HY,9,FALSE)</f>
        <v>0</v>
      </c>
      <c r="L46" s="113">
        <f>VLOOKUP(C46,'Talente &amp; Stuff'!GX:HY,10,FALSE)</f>
        <v>0</v>
      </c>
      <c r="M46" s="119">
        <f>VLOOKUP(C46,'Talente &amp; Stuff'!GX:HY,11,FALSE)</f>
        <v>0</v>
      </c>
      <c r="N46" s="89">
        <f>VLOOKUP(C46,'Talente &amp; Stuff'!GX:HY,12,FALSE)</f>
        <v>0</v>
      </c>
      <c r="O46" s="47">
        <f>VLOOKUP(C46,'Talente &amp; Stuff'!GX:HY,13,FALSE)</f>
        <v>0</v>
      </c>
      <c r="P46" s="119">
        <f>VLOOKUP(C46,'Talente &amp; Stuff'!GX:HY,14,FALSE)</f>
        <v>0</v>
      </c>
      <c r="Q46" s="114">
        <f>VLOOKUP(C46,'Talente &amp; Stuff'!GX:HY,15,FALSE)</f>
        <v>0</v>
      </c>
      <c r="R46" s="113">
        <f>VLOOKUP(C46,'Talente &amp; Stuff'!GX:HY,16,FALSE)</f>
        <v>0</v>
      </c>
      <c r="S46" s="119">
        <f>VLOOKUP(C46,'Talente &amp; Stuff'!GX:HY,17,FALSE)</f>
        <v>0</v>
      </c>
      <c r="T46" s="160">
        <f>VLOOKUP(C46,'Talente &amp; Stuff'!GX:HY,18,FALSE)</f>
        <v>0</v>
      </c>
      <c r="U46" s="89">
        <f>VLOOKUP(C46,'Talente &amp; Stuff'!GX:HY,19,FALSE)</f>
        <v>0</v>
      </c>
      <c r="V46" s="47">
        <f>VLOOKUP(C46,'Talente &amp; Stuff'!GX:HY,20,FALSE)</f>
        <v>0</v>
      </c>
      <c r="W46" s="127">
        <f>VLOOKUP(C46,'Talente &amp; Stuff'!GX:HY,21,FALSE)</f>
        <v>0</v>
      </c>
      <c r="X46" s="125">
        <f>VLOOKUP(C46,'Talente &amp; Stuff'!GX:HY,22,FALSE)</f>
        <v>0</v>
      </c>
      <c r="Y46" s="165">
        <f t="shared" si="6"/>
        <v>0</v>
      </c>
      <c r="Z46" s="44">
        <f t="shared" si="7"/>
        <v>0</v>
      </c>
      <c r="AA46" s="125">
        <f>VLOOKUP(C46,'Talente &amp; Stuff'!GX:HY,25,FALSE)</f>
        <v>0</v>
      </c>
      <c r="AB46" s="160">
        <f>VLOOKUP(C46,'Talente &amp; Stuff'!GX:HY,26,FALSE)</f>
        <v>0</v>
      </c>
      <c r="AC46" s="127">
        <f>VLOOKUP(C46,'Talente &amp; Stuff'!GX:HY,27,FALSE)</f>
        <v>0</v>
      </c>
      <c r="AD46" s="125">
        <f>VLOOKUP(C46,'Talente &amp; Stuff'!GX:HY,28,FALSE)</f>
        <v>0</v>
      </c>
      <c r="AE46" s="28"/>
    </row>
    <row r="47" spans="2:31" ht="15" hidden="1" customHeight="1" outlineLevel="2">
      <c r="B47" s="148">
        <v>4</v>
      </c>
      <c r="C47" s="177" t="str">
        <f>Attribute!C47</f>
        <v>---</v>
      </c>
      <c r="D47" s="127" t="str">
        <f>VLOOKUP(C47,'Talente &amp; Stuff'!GX:HY,2,FALSE)</f>
        <v>--/--/--</v>
      </c>
      <c r="E47" s="125" t="str">
        <f>VLOOKUP(C47,'Talente &amp; Stuff'!GX:HY,3,FALSE)</f>
        <v>-</v>
      </c>
      <c r="F47" s="114">
        <f>VLOOKUP(C47,'Talente &amp; Stuff'!GX:HY,4,FALSE)</f>
        <v>0</v>
      </c>
      <c r="G47" s="113">
        <f>VLOOKUP(C47,'Talente &amp; Stuff'!GX:HY,5,FALSE)</f>
        <v>0</v>
      </c>
      <c r="H47" s="113">
        <f>VLOOKUP(C47,'Talente &amp; Stuff'!GX:HY,6,FALSE)</f>
        <v>0</v>
      </c>
      <c r="I47" s="113">
        <f>VLOOKUP(C47,'Talente &amp; Stuff'!GX:HY,7,FALSE)</f>
        <v>0</v>
      </c>
      <c r="J47" s="113">
        <f>VLOOKUP(C47,'Talente &amp; Stuff'!GX:HY,8,FALSE)</f>
        <v>0</v>
      </c>
      <c r="K47" s="113">
        <f>VLOOKUP(C47,'Talente &amp; Stuff'!GX:HY,9,FALSE)</f>
        <v>0</v>
      </c>
      <c r="L47" s="113">
        <f>VLOOKUP(C47,'Talente &amp; Stuff'!GX:HY,10,FALSE)</f>
        <v>0</v>
      </c>
      <c r="M47" s="119">
        <f>VLOOKUP(C47,'Talente &amp; Stuff'!GX:HY,11,FALSE)</f>
        <v>0</v>
      </c>
      <c r="N47" s="89">
        <f>VLOOKUP(C47,'Talente &amp; Stuff'!GX:HY,12,FALSE)</f>
        <v>0</v>
      </c>
      <c r="O47" s="47">
        <f>VLOOKUP(C47,'Talente &amp; Stuff'!GX:HY,13,FALSE)</f>
        <v>0</v>
      </c>
      <c r="P47" s="119">
        <f>VLOOKUP(C47,'Talente &amp; Stuff'!GX:HY,14,FALSE)</f>
        <v>0</v>
      </c>
      <c r="Q47" s="114">
        <f>VLOOKUP(C47,'Talente &amp; Stuff'!GX:HY,15,FALSE)</f>
        <v>0</v>
      </c>
      <c r="R47" s="113">
        <f>VLOOKUP(C47,'Talente &amp; Stuff'!GX:HY,16,FALSE)</f>
        <v>0</v>
      </c>
      <c r="S47" s="119">
        <f>VLOOKUP(C47,'Talente &amp; Stuff'!GX:HY,17,FALSE)</f>
        <v>0</v>
      </c>
      <c r="T47" s="160">
        <f>VLOOKUP(C47,'Talente &amp; Stuff'!GX:HY,18,FALSE)</f>
        <v>0</v>
      </c>
      <c r="U47" s="89">
        <f>VLOOKUP(C47,'Talente &amp; Stuff'!GX:HY,19,FALSE)</f>
        <v>0</v>
      </c>
      <c r="V47" s="47">
        <f>VLOOKUP(C47,'Talente &amp; Stuff'!GX:HY,20,FALSE)</f>
        <v>0</v>
      </c>
      <c r="W47" s="127">
        <f>VLOOKUP(C47,'Talente &amp; Stuff'!GX:HY,21,FALSE)</f>
        <v>0</v>
      </c>
      <c r="X47" s="125">
        <f>VLOOKUP(C47,'Talente &amp; Stuff'!GX:HY,22,FALSE)</f>
        <v>0</v>
      </c>
      <c r="Y47" s="165">
        <f t="shared" si="6"/>
        <v>0</v>
      </c>
      <c r="Z47" s="44">
        <f t="shared" si="7"/>
        <v>0</v>
      </c>
      <c r="AA47" s="125">
        <f>VLOOKUP(C47,'Talente &amp; Stuff'!GX:HY,25,FALSE)</f>
        <v>0</v>
      </c>
      <c r="AB47" s="160">
        <f>VLOOKUP(C47,'Talente &amp; Stuff'!GX:HY,26,FALSE)</f>
        <v>0</v>
      </c>
      <c r="AC47" s="127">
        <f>VLOOKUP(C47,'Talente &amp; Stuff'!GX:HY,27,FALSE)</f>
        <v>0</v>
      </c>
      <c r="AD47" s="125">
        <f>VLOOKUP(C47,'Talente &amp; Stuff'!GX:HY,28,FALSE)</f>
        <v>0</v>
      </c>
      <c r="AE47" s="28"/>
    </row>
    <row r="48" spans="2:31" ht="15" hidden="1" customHeight="1" outlineLevel="2">
      <c r="B48" s="148">
        <v>5</v>
      </c>
      <c r="C48" s="177" t="str">
        <f>Attribute!C48</f>
        <v>---</v>
      </c>
      <c r="D48" s="127" t="str">
        <f>VLOOKUP(C48,'Talente &amp; Stuff'!GX:HY,2,FALSE)</f>
        <v>--/--/--</v>
      </c>
      <c r="E48" s="125" t="str">
        <f>VLOOKUP(C48,'Talente &amp; Stuff'!GX:HY,3,FALSE)</f>
        <v>-</v>
      </c>
      <c r="F48" s="114">
        <f>VLOOKUP(C48,'Talente &amp; Stuff'!GX:HY,4,FALSE)</f>
        <v>0</v>
      </c>
      <c r="G48" s="113">
        <f>VLOOKUP(C48,'Talente &amp; Stuff'!GX:HY,5,FALSE)</f>
        <v>0</v>
      </c>
      <c r="H48" s="113">
        <f>VLOOKUP(C48,'Talente &amp; Stuff'!GX:HY,6,FALSE)</f>
        <v>0</v>
      </c>
      <c r="I48" s="113">
        <f>VLOOKUP(C48,'Talente &amp; Stuff'!GX:HY,7,FALSE)</f>
        <v>0</v>
      </c>
      <c r="J48" s="113">
        <f>VLOOKUP(C48,'Talente &amp; Stuff'!GX:HY,8,FALSE)</f>
        <v>0</v>
      </c>
      <c r="K48" s="113">
        <f>VLOOKUP(C48,'Talente &amp; Stuff'!GX:HY,9,FALSE)</f>
        <v>0</v>
      </c>
      <c r="L48" s="113">
        <f>VLOOKUP(C48,'Talente &amp; Stuff'!GX:HY,10,FALSE)</f>
        <v>0</v>
      </c>
      <c r="M48" s="119">
        <f>VLOOKUP(C48,'Talente &amp; Stuff'!GX:HY,11,FALSE)</f>
        <v>0</v>
      </c>
      <c r="N48" s="89">
        <f>VLOOKUP(C48,'Talente &amp; Stuff'!GX:HY,12,FALSE)</f>
        <v>0</v>
      </c>
      <c r="O48" s="47">
        <f>VLOOKUP(C48,'Talente &amp; Stuff'!GX:HY,13,FALSE)</f>
        <v>0</v>
      </c>
      <c r="P48" s="119">
        <f>VLOOKUP(C48,'Talente &amp; Stuff'!GX:HY,14,FALSE)</f>
        <v>0</v>
      </c>
      <c r="Q48" s="114">
        <f>VLOOKUP(C48,'Talente &amp; Stuff'!GX:HY,15,FALSE)</f>
        <v>0</v>
      </c>
      <c r="R48" s="113">
        <f>VLOOKUP(C48,'Talente &amp; Stuff'!GX:HY,16,FALSE)</f>
        <v>0</v>
      </c>
      <c r="S48" s="119">
        <f>VLOOKUP(C48,'Talente &amp; Stuff'!GX:HY,17,FALSE)</f>
        <v>0</v>
      </c>
      <c r="T48" s="160">
        <f>VLOOKUP(C48,'Talente &amp; Stuff'!GX:HY,18,FALSE)</f>
        <v>0</v>
      </c>
      <c r="U48" s="89">
        <f>VLOOKUP(C48,'Talente &amp; Stuff'!GX:HY,19,FALSE)</f>
        <v>0</v>
      </c>
      <c r="V48" s="47">
        <f>VLOOKUP(C48,'Talente &amp; Stuff'!GX:HY,20,FALSE)</f>
        <v>0</v>
      </c>
      <c r="W48" s="127">
        <f>VLOOKUP(C48,'Talente &amp; Stuff'!GX:HY,21,FALSE)</f>
        <v>0</v>
      </c>
      <c r="X48" s="125">
        <f>VLOOKUP(C48,'Talente &amp; Stuff'!GX:HY,22,FALSE)</f>
        <v>0</v>
      </c>
      <c r="Y48" s="165">
        <f t="shared" si="6"/>
        <v>0</v>
      </c>
      <c r="Z48" s="44">
        <f t="shared" si="7"/>
        <v>0</v>
      </c>
      <c r="AA48" s="125">
        <f>VLOOKUP(C48,'Talente &amp; Stuff'!GX:HY,25,FALSE)</f>
        <v>0</v>
      </c>
      <c r="AB48" s="160">
        <f>VLOOKUP(C48,'Talente &amp; Stuff'!GX:HY,26,FALSE)</f>
        <v>0</v>
      </c>
      <c r="AC48" s="127">
        <f>VLOOKUP(C48,'Talente &amp; Stuff'!GX:HY,27,FALSE)</f>
        <v>0</v>
      </c>
      <c r="AD48" s="125">
        <f>VLOOKUP(C48,'Talente &amp; Stuff'!GX:HY,28,FALSE)</f>
        <v>0</v>
      </c>
      <c r="AE48" s="28"/>
    </row>
    <row r="49" spans="2:31" ht="15" hidden="1" customHeight="1" outlineLevel="2">
      <c r="B49" s="148">
        <v>6</v>
      </c>
      <c r="C49" s="177" t="str">
        <f>Attribute!C49</f>
        <v>---</v>
      </c>
      <c r="D49" s="127" t="str">
        <f>VLOOKUP(C49,'Talente &amp; Stuff'!GX:HY,2,FALSE)</f>
        <v>--/--/--</v>
      </c>
      <c r="E49" s="125" t="str">
        <f>VLOOKUP(C49,'Talente &amp; Stuff'!GX:HY,3,FALSE)</f>
        <v>-</v>
      </c>
      <c r="F49" s="114">
        <f>VLOOKUP(C49,'Talente &amp; Stuff'!GX:HY,4,FALSE)</f>
        <v>0</v>
      </c>
      <c r="G49" s="113">
        <f>VLOOKUP(C49,'Talente &amp; Stuff'!GX:HY,5,FALSE)</f>
        <v>0</v>
      </c>
      <c r="H49" s="113">
        <f>VLOOKUP(C49,'Talente &amp; Stuff'!GX:HY,6,FALSE)</f>
        <v>0</v>
      </c>
      <c r="I49" s="113">
        <f>VLOOKUP(C49,'Talente &amp; Stuff'!GX:HY,7,FALSE)</f>
        <v>0</v>
      </c>
      <c r="J49" s="113">
        <f>VLOOKUP(C49,'Talente &amp; Stuff'!GX:HY,8,FALSE)</f>
        <v>0</v>
      </c>
      <c r="K49" s="113">
        <f>VLOOKUP(C49,'Talente &amp; Stuff'!GX:HY,9,FALSE)</f>
        <v>0</v>
      </c>
      <c r="L49" s="113">
        <f>VLOOKUP(C49,'Talente &amp; Stuff'!GX:HY,10,FALSE)</f>
        <v>0</v>
      </c>
      <c r="M49" s="119">
        <f>VLOOKUP(C49,'Talente &amp; Stuff'!GX:HY,11,FALSE)</f>
        <v>0</v>
      </c>
      <c r="N49" s="89">
        <f>VLOOKUP(C49,'Talente &amp; Stuff'!GX:HY,12,FALSE)</f>
        <v>0</v>
      </c>
      <c r="O49" s="47">
        <f>VLOOKUP(C49,'Talente &amp; Stuff'!GX:HY,13,FALSE)</f>
        <v>0</v>
      </c>
      <c r="P49" s="119">
        <f>VLOOKUP(C49,'Talente &amp; Stuff'!GX:HY,14,FALSE)</f>
        <v>0</v>
      </c>
      <c r="Q49" s="114">
        <f>VLOOKUP(C49,'Talente &amp; Stuff'!GX:HY,15,FALSE)</f>
        <v>0</v>
      </c>
      <c r="R49" s="113">
        <f>VLOOKUP(C49,'Talente &amp; Stuff'!GX:HY,16,FALSE)</f>
        <v>0</v>
      </c>
      <c r="S49" s="119">
        <f>VLOOKUP(C49,'Talente &amp; Stuff'!GX:HY,17,FALSE)</f>
        <v>0</v>
      </c>
      <c r="T49" s="160">
        <f>VLOOKUP(C49,'Talente &amp; Stuff'!GX:HY,18,FALSE)</f>
        <v>0</v>
      </c>
      <c r="U49" s="89">
        <f>VLOOKUP(C49,'Talente &amp; Stuff'!GX:HY,19,FALSE)</f>
        <v>0</v>
      </c>
      <c r="V49" s="47">
        <f>VLOOKUP(C49,'Talente &amp; Stuff'!GX:HY,20,FALSE)</f>
        <v>0</v>
      </c>
      <c r="W49" s="127">
        <f>VLOOKUP(C49,'Talente &amp; Stuff'!GX:HY,21,FALSE)</f>
        <v>0</v>
      </c>
      <c r="X49" s="125">
        <f>VLOOKUP(C49,'Talente &amp; Stuff'!GX:HY,22,FALSE)</f>
        <v>0</v>
      </c>
      <c r="Y49" s="165">
        <f t="shared" si="6"/>
        <v>0</v>
      </c>
      <c r="Z49" s="44">
        <f t="shared" si="7"/>
        <v>0</v>
      </c>
      <c r="AA49" s="125">
        <f>VLOOKUP(C49,'Talente &amp; Stuff'!GX:HY,25,FALSE)</f>
        <v>0</v>
      </c>
      <c r="AB49" s="160">
        <f>VLOOKUP(C49,'Talente &amp; Stuff'!GX:HY,26,FALSE)</f>
        <v>0</v>
      </c>
      <c r="AC49" s="127">
        <f>VLOOKUP(C49,'Talente &amp; Stuff'!GX:HY,27,FALSE)</f>
        <v>0</v>
      </c>
      <c r="AD49" s="125">
        <f>VLOOKUP(C49,'Talente &amp; Stuff'!GX:HY,28,FALSE)</f>
        <v>0</v>
      </c>
      <c r="AE49" s="28"/>
    </row>
    <row r="50" spans="2:31" ht="15" hidden="1" customHeight="1" outlineLevel="2">
      <c r="B50" s="148">
        <v>7</v>
      </c>
      <c r="C50" s="177" t="str">
        <f>Attribute!C50</f>
        <v>---</v>
      </c>
      <c r="D50" s="127" t="str">
        <f>VLOOKUP(C50,'Talente &amp; Stuff'!GX:HY,2,FALSE)</f>
        <v>--/--/--</v>
      </c>
      <c r="E50" s="125" t="str">
        <f>VLOOKUP(C50,'Talente &amp; Stuff'!GX:HY,3,FALSE)</f>
        <v>-</v>
      </c>
      <c r="F50" s="114">
        <f>VLOOKUP(C50,'Talente &amp; Stuff'!GX:HY,4,FALSE)</f>
        <v>0</v>
      </c>
      <c r="G50" s="113">
        <f>VLOOKUP(C50,'Talente &amp; Stuff'!GX:HY,5,FALSE)</f>
        <v>0</v>
      </c>
      <c r="H50" s="113">
        <f>VLOOKUP(C50,'Talente &amp; Stuff'!GX:HY,6,FALSE)</f>
        <v>0</v>
      </c>
      <c r="I50" s="113">
        <f>VLOOKUP(C50,'Talente &amp; Stuff'!GX:HY,7,FALSE)</f>
        <v>0</v>
      </c>
      <c r="J50" s="113">
        <f>VLOOKUP(C50,'Talente &amp; Stuff'!GX:HY,8,FALSE)</f>
        <v>0</v>
      </c>
      <c r="K50" s="113">
        <f>VLOOKUP(C50,'Talente &amp; Stuff'!GX:HY,9,FALSE)</f>
        <v>0</v>
      </c>
      <c r="L50" s="113">
        <f>VLOOKUP(C50,'Talente &amp; Stuff'!GX:HY,10,FALSE)</f>
        <v>0</v>
      </c>
      <c r="M50" s="119">
        <f>VLOOKUP(C50,'Talente &amp; Stuff'!GX:HY,11,FALSE)</f>
        <v>0</v>
      </c>
      <c r="N50" s="89">
        <f>VLOOKUP(C50,'Talente &amp; Stuff'!GX:HY,12,FALSE)</f>
        <v>0</v>
      </c>
      <c r="O50" s="47">
        <f>VLOOKUP(C50,'Talente &amp; Stuff'!GX:HY,13,FALSE)</f>
        <v>0</v>
      </c>
      <c r="P50" s="119">
        <f>VLOOKUP(C50,'Talente &amp; Stuff'!GX:HY,14,FALSE)</f>
        <v>0</v>
      </c>
      <c r="Q50" s="114">
        <f>VLOOKUP(C50,'Talente &amp; Stuff'!GX:HY,15,FALSE)</f>
        <v>0</v>
      </c>
      <c r="R50" s="113">
        <f>VLOOKUP(C50,'Talente &amp; Stuff'!GX:HY,16,FALSE)</f>
        <v>0</v>
      </c>
      <c r="S50" s="119">
        <f>VLOOKUP(C50,'Talente &amp; Stuff'!GX:HY,17,FALSE)</f>
        <v>0</v>
      </c>
      <c r="T50" s="160">
        <f>VLOOKUP(C50,'Talente &amp; Stuff'!GX:HY,18,FALSE)</f>
        <v>0</v>
      </c>
      <c r="U50" s="89">
        <f>VLOOKUP(C50,'Talente &amp; Stuff'!GX:HY,19,FALSE)</f>
        <v>0</v>
      </c>
      <c r="V50" s="47">
        <f>VLOOKUP(C50,'Talente &amp; Stuff'!GX:HY,20,FALSE)</f>
        <v>0</v>
      </c>
      <c r="W50" s="127">
        <f>VLOOKUP(C50,'Talente &amp; Stuff'!GX:HY,21,FALSE)</f>
        <v>0</v>
      </c>
      <c r="X50" s="125">
        <f>VLOOKUP(C50,'Talente &amp; Stuff'!GX:HY,22,FALSE)</f>
        <v>0</v>
      </c>
      <c r="Y50" s="165">
        <f t="shared" si="6"/>
        <v>0</v>
      </c>
      <c r="Z50" s="44">
        <f t="shared" si="7"/>
        <v>0</v>
      </c>
      <c r="AA50" s="125">
        <f>VLOOKUP(C50,'Talente &amp; Stuff'!GX:HY,25,FALSE)</f>
        <v>0</v>
      </c>
      <c r="AB50" s="160">
        <f>VLOOKUP(C50,'Talente &amp; Stuff'!GX:HY,26,FALSE)</f>
        <v>0</v>
      </c>
      <c r="AC50" s="127">
        <f>VLOOKUP(C50,'Talente &amp; Stuff'!GX:HY,27,FALSE)</f>
        <v>0</v>
      </c>
      <c r="AD50" s="125">
        <f>VLOOKUP(C50,'Talente &amp; Stuff'!GX:HY,28,FALSE)</f>
        <v>0</v>
      </c>
      <c r="AE50" s="28"/>
    </row>
    <row r="51" spans="2:31" ht="15" hidden="1" customHeight="1" outlineLevel="2">
      <c r="B51" s="148">
        <v>8</v>
      </c>
      <c r="C51" s="177" t="str">
        <f>Attribute!C51</f>
        <v>---</v>
      </c>
      <c r="D51" s="127" t="str">
        <f>VLOOKUP(C51,'Talente &amp; Stuff'!GX:HY,2,FALSE)</f>
        <v>--/--/--</v>
      </c>
      <c r="E51" s="125" t="str">
        <f>VLOOKUP(C51,'Talente &amp; Stuff'!GX:HY,3,FALSE)</f>
        <v>-</v>
      </c>
      <c r="F51" s="114">
        <f>VLOOKUP(C51,'Talente &amp; Stuff'!GX:HY,4,FALSE)</f>
        <v>0</v>
      </c>
      <c r="G51" s="113">
        <f>VLOOKUP(C51,'Talente &amp; Stuff'!GX:HY,5,FALSE)</f>
        <v>0</v>
      </c>
      <c r="H51" s="113">
        <f>VLOOKUP(C51,'Talente &amp; Stuff'!GX:HY,6,FALSE)</f>
        <v>0</v>
      </c>
      <c r="I51" s="113">
        <f>VLOOKUP(C51,'Talente &amp; Stuff'!GX:HY,7,FALSE)</f>
        <v>0</v>
      </c>
      <c r="J51" s="113">
        <f>VLOOKUP(C51,'Talente &amp; Stuff'!GX:HY,8,FALSE)</f>
        <v>0</v>
      </c>
      <c r="K51" s="113">
        <f>VLOOKUP(C51,'Talente &amp; Stuff'!GX:HY,9,FALSE)</f>
        <v>0</v>
      </c>
      <c r="L51" s="113">
        <f>VLOOKUP(C51,'Talente &amp; Stuff'!GX:HY,10,FALSE)</f>
        <v>0</v>
      </c>
      <c r="M51" s="119">
        <f>VLOOKUP(C51,'Talente &amp; Stuff'!GX:HY,11,FALSE)</f>
        <v>0</v>
      </c>
      <c r="N51" s="89">
        <f>VLOOKUP(C51,'Talente &amp; Stuff'!GX:HY,12,FALSE)</f>
        <v>0</v>
      </c>
      <c r="O51" s="47">
        <f>VLOOKUP(C51,'Talente &amp; Stuff'!GX:HY,13,FALSE)</f>
        <v>0</v>
      </c>
      <c r="P51" s="119">
        <f>VLOOKUP(C51,'Talente &amp; Stuff'!GX:HY,14,FALSE)</f>
        <v>0</v>
      </c>
      <c r="Q51" s="114">
        <f>VLOOKUP(C51,'Talente &amp; Stuff'!GX:HY,15,FALSE)</f>
        <v>0</v>
      </c>
      <c r="R51" s="113">
        <f>VLOOKUP(C51,'Talente &amp; Stuff'!GX:HY,16,FALSE)</f>
        <v>0</v>
      </c>
      <c r="S51" s="119">
        <f>VLOOKUP(C51,'Talente &amp; Stuff'!GX:HY,17,FALSE)</f>
        <v>0</v>
      </c>
      <c r="T51" s="160">
        <f>VLOOKUP(C51,'Talente &amp; Stuff'!GX:HY,18,FALSE)</f>
        <v>0</v>
      </c>
      <c r="U51" s="89">
        <f>VLOOKUP(C51,'Talente &amp; Stuff'!GX:HY,19,FALSE)</f>
        <v>0</v>
      </c>
      <c r="V51" s="47">
        <f>VLOOKUP(C51,'Talente &amp; Stuff'!GX:HY,20,FALSE)</f>
        <v>0</v>
      </c>
      <c r="W51" s="127">
        <f>VLOOKUP(C51,'Talente &amp; Stuff'!GX:HY,21,FALSE)</f>
        <v>0</v>
      </c>
      <c r="X51" s="125">
        <f>VLOOKUP(C51,'Talente &amp; Stuff'!GX:HY,22,FALSE)</f>
        <v>0</v>
      </c>
      <c r="Y51" s="165">
        <f t="shared" si="6"/>
        <v>0</v>
      </c>
      <c r="Z51" s="44">
        <f t="shared" si="7"/>
        <v>0</v>
      </c>
      <c r="AA51" s="125">
        <f>VLOOKUP(C51,'Talente &amp; Stuff'!GX:HY,25,FALSE)</f>
        <v>0</v>
      </c>
      <c r="AB51" s="160">
        <f>VLOOKUP(C51,'Talente &amp; Stuff'!GX:HY,26,FALSE)</f>
        <v>0</v>
      </c>
      <c r="AC51" s="127">
        <f>VLOOKUP(C51,'Talente &amp; Stuff'!GX:HY,27,FALSE)</f>
        <v>0</v>
      </c>
      <c r="AD51" s="125">
        <f>VLOOKUP(C51,'Talente &amp; Stuff'!GX:HY,28,FALSE)</f>
        <v>0</v>
      </c>
      <c r="AE51" s="28"/>
    </row>
    <row r="52" spans="2:31" ht="15" hidden="1" customHeight="1" outlineLevel="2">
      <c r="B52" s="148">
        <v>9</v>
      </c>
      <c r="C52" s="177" t="str">
        <f>Attribute!C52</f>
        <v>---</v>
      </c>
      <c r="D52" s="127" t="str">
        <f>VLOOKUP(C52,'Talente &amp; Stuff'!GX:HY,2,FALSE)</f>
        <v>--/--/--</v>
      </c>
      <c r="E52" s="125" t="str">
        <f>VLOOKUP(C52,'Talente &amp; Stuff'!GX:HY,3,FALSE)</f>
        <v>-</v>
      </c>
      <c r="F52" s="114">
        <f>VLOOKUP(C52,'Talente &amp; Stuff'!GX:HY,4,FALSE)</f>
        <v>0</v>
      </c>
      <c r="G52" s="113">
        <f>VLOOKUP(C52,'Talente &amp; Stuff'!GX:HY,5,FALSE)</f>
        <v>0</v>
      </c>
      <c r="H52" s="113">
        <f>VLOOKUP(C52,'Talente &amp; Stuff'!GX:HY,6,FALSE)</f>
        <v>0</v>
      </c>
      <c r="I52" s="113">
        <f>VLOOKUP(C52,'Talente &amp; Stuff'!GX:HY,7,FALSE)</f>
        <v>0</v>
      </c>
      <c r="J52" s="113">
        <f>VLOOKUP(C52,'Talente &amp; Stuff'!GX:HY,8,FALSE)</f>
        <v>0</v>
      </c>
      <c r="K52" s="113">
        <f>VLOOKUP(C52,'Talente &amp; Stuff'!GX:HY,9,FALSE)</f>
        <v>0</v>
      </c>
      <c r="L52" s="113">
        <f>VLOOKUP(C52,'Talente &amp; Stuff'!GX:HY,10,FALSE)</f>
        <v>0</v>
      </c>
      <c r="M52" s="119">
        <f>VLOOKUP(C52,'Talente &amp; Stuff'!GX:HY,11,FALSE)</f>
        <v>0</v>
      </c>
      <c r="N52" s="89">
        <f>VLOOKUP(C52,'Talente &amp; Stuff'!GX:HY,12,FALSE)</f>
        <v>0</v>
      </c>
      <c r="O52" s="47">
        <f>VLOOKUP(C52,'Talente &amp; Stuff'!GX:HY,13,FALSE)</f>
        <v>0</v>
      </c>
      <c r="P52" s="119">
        <f>VLOOKUP(C52,'Talente &amp; Stuff'!GX:HY,14,FALSE)</f>
        <v>0</v>
      </c>
      <c r="Q52" s="114">
        <f>VLOOKUP(C52,'Talente &amp; Stuff'!GX:HY,15,FALSE)</f>
        <v>0</v>
      </c>
      <c r="R52" s="113">
        <f>VLOOKUP(C52,'Talente &amp; Stuff'!GX:HY,16,FALSE)</f>
        <v>0</v>
      </c>
      <c r="S52" s="119">
        <f>VLOOKUP(C52,'Talente &amp; Stuff'!GX:HY,17,FALSE)</f>
        <v>0</v>
      </c>
      <c r="T52" s="160">
        <f>VLOOKUP(C52,'Talente &amp; Stuff'!GX:HY,18,FALSE)</f>
        <v>0</v>
      </c>
      <c r="U52" s="89">
        <f>VLOOKUP(C52,'Talente &amp; Stuff'!GX:HY,19,FALSE)</f>
        <v>0</v>
      </c>
      <c r="V52" s="47">
        <f>VLOOKUP(C52,'Talente &amp; Stuff'!GX:HY,20,FALSE)</f>
        <v>0</v>
      </c>
      <c r="W52" s="127">
        <f>VLOOKUP(C52,'Talente &amp; Stuff'!GX:HY,21,FALSE)</f>
        <v>0</v>
      </c>
      <c r="X52" s="125">
        <f>VLOOKUP(C52,'Talente &amp; Stuff'!GX:HY,22,FALSE)</f>
        <v>0</v>
      </c>
      <c r="Y52" s="165">
        <f t="shared" si="6"/>
        <v>0</v>
      </c>
      <c r="Z52" s="44">
        <f t="shared" si="7"/>
        <v>0</v>
      </c>
      <c r="AA52" s="125">
        <f>VLOOKUP(C52,'Talente &amp; Stuff'!GX:HY,25,FALSE)</f>
        <v>0</v>
      </c>
      <c r="AB52" s="160">
        <f>VLOOKUP(C52,'Talente &amp; Stuff'!GX:HY,26,FALSE)</f>
        <v>0</v>
      </c>
      <c r="AC52" s="127">
        <f>VLOOKUP(C52,'Talente &amp; Stuff'!GX:HY,27,FALSE)</f>
        <v>0</v>
      </c>
      <c r="AD52" s="125">
        <f>VLOOKUP(C52,'Talente &amp; Stuff'!GX:HY,28,FALSE)</f>
        <v>0</v>
      </c>
      <c r="AE52" s="28"/>
    </row>
    <row r="53" spans="2:31" ht="15" hidden="1" customHeight="1" outlineLevel="2">
      <c r="B53" s="148">
        <v>10</v>
      </c>
      <c r="C53" s="177" t="str">
        <f>Attribute!C53</f>
        <v>---</v>
      </c>
      <c r="D53" s="127" t="str">
        <f>VLOOKUP(C53,'Talente &amp; Stuff'!GX:HY,2,FALSE)</f>
        <v>--/--/--</v>
      </c>
      <c r="E53" s="125" t="str">
        <f>VLOOKUP(C53,'Talente &amp; Stuff'!GX:HY,3,FALSE)</f>
        <v>-</v>
      </c>
      <c r="F53" s="114">
        <f>VLOOKUP(C53,'Talente &amp; Stuff'!GX:HY,4,FALSE)</f>
        <v>0</v>
      </c>
      <c r="G53" s="113">
        <f>VLOOKUP(C53,'Talente &amp; Stuff'!GX:HY,5,FALSE)</f>
        <v>0</v>
      </c>
      <c r="H53" s="113">
        <f>VLOOKUP(C53,'Talente &amp; Stuff'!GX:HY,6,FALSE)</f>
        <v>0</v>
      </c>
      <c r="I53" s="113">
        <f>VLOOKUP(C53,'Talente &amp; Stuff'!GX:HY,7,FALSE)</f>
        <v>0</v>
      </c>
      <c r="J53" s="113">
        <f>VLOOKUP(C53,'Talente &amp; Stuff'!GX:HY,8,FALSE)</f>
        <v>0</v>
      </c>
      <c r="K53" s="113">
        <f>VLOOKUP(C53,'Talente &amp; Stuff'!GX:HY,9,FALSE)</f>
        <v>0</v>
      </c>
      <c r="L53" s="113">
        <f>VLOOKUP(C53,'Talente &amp; Stuff'!GX:HY,10,FALSE)</f>
        <v>0</v>
      </c>
      <c r="M53" s="119">
        <f>VLOOKUP(C53,'Talente &amp; Stuff'!GX:HY,11,FALSE)</f>
        <v>0</v>
      </c>
      <c r="N53" s="89">
        <f>VLOOKUP(C53,'Talente &amp; Stuff'!GX:HY,12,FALSE)</f>
        <v>0</v>
      </c>
      <c r="O53" s="47">
        <f>VLOOKUP(C53,'Talente &amp; Stuff'!GX:HY,13,FALSE)</f>
        <v>0</v>
      </c>
      <c r="P53" s="119">
        <f>VLOOKUP(C53,'Talente &amp; Stuff'!GX:HY,14,FALSE)</f>
        <v>0</v>
      </c>
      <c r="Q53" s="114">
        <f>VLOOKUP(C53,'Talente &amp; Stuff'!GX:HY,15,FALSE)</f>
        <v>0</v>
      </c>
      <c r="R53" s="113">
        <f>VLOOKUP(C53,'Talente &amp; Stuff'!GX:HY,16,FALSE)</f>
        <v>0</v>
      </c>
      <c r="S53" s="119">
        <f>VLOOKUP(C53,'Talente &amp; Stuff'!GX:HY,17,FALSE)</f>
        <v>0</v>
      </c>
      <c r="T53" s="160">
        <f>VLOOKUP(C53,'Talente &amp; Stuff'!GX:HY,18,FALSE)</f>
        <v>0</v>
      </c>
      <c r="U53" s="89">
        <f>VLOOKUP(C53,'Talente &amp; Stuff'!GX:HY,19,FALSE)</f>
        <v>0</v>
      </c>
      <c r="V53" s="47">
        <f>VLOOKUP(C53,'Talente &amp; Stuff'!GX:HY,20,FALSE)</f>
        <v>0</v>
      </c>
      <c r="W53" s="127">
        <f>VLOOKUP(C53,'Talente &amp; Stuff'!GX:HY,21,FALSE)</f>
        <v>0</v>
      </c>
      <c r="X53" s="125">
        <f>VLOOKUP(C53,'Talente &amp; Stuff'!GX:HY,22,FALSE)</f>
        <v>0</v>
      </c>
      <c r="Y53" s="165">
        <f t="shared" si="6"/>
        <v>0</v>
      </c>
      <c r="Z53" s="44">
        <f t="shared" si="7"/>
        <v>0</v>
      </c>
      <c r="AA53" s="125">
        <f>VLOOKUP(C53,'Talente &amp; Stuff'!GX:HY,25,FALSE)</f>
        <v>0</v>
      </c>
      <c r="AB53" s="160">
        <f>VLOOKUP(C53,'Talente &amp; Stuff'!GX:HY,26,FALSE)</f>
        <v>0</v>
      </c>
      <c r="AC53" s="127">
        <f>VLOOKUP(C53,'Talente &amp; Stuff'!GX:HY,27,FALSE)</f>
        <v>0</v>
      </c>
      <c r="AD53" s="125">
        <f>VLOOKUP(C53,'Talente &amp; Stuff'!GX:HY,28,FALSE)</f>
        <v>0</v>
      </c>
      <c r="AE53" s="28"/>
    </row>
    <row r="54" spans="2:31" ht="15" hidden="1" customHeight="1" outlineLevel="2">
      <c r="B54" s="148">
        <v>11</v>
      </c>
      <c r="C54" s="177" t="str">
        <f>Attribute!C54</f>
        <v>---</v>
      </c>
      <c r="D54" s="127" t="str">
        <f>VLOOKUP(C54,'Talente &amp; Stuff'!GX:HY,2,FALSE)</f>
        <v>--/--/--</v>
      </c>
      <c r="E54" s="125" t="str">
        <f>VLOOKUP(C54,'Talente &amp; Stuff'!GX:HY,3,FALSE)</f>
        <v>-</v>
      </c>
      <c r="F54" s="114">
        <f>VLOOKUP(C54,'Talente &amp; Stuff'!GX:HY,4,FALSE)</f>
        <v>0</v>
      </c>
      <c r="G54" s="113">
        <f>VLOOKUP(C54,'Talente &amp; Stuff'!GX:HY,5,FALSE)</f>
        <v>0</v>
      </c>
      <c r="H54" s="113">
        <f>VLOOKUP(C54,'Talente &amp; Stuff'!GX:HY,6,FALSE)</f>
        <v>0</v>
      </c>
      <c r="I54" s="113">
        <f>VLOOKUP(C54,'Talente &amp; Stuff'!GX:HY,7,FALSE)</f>
        <v>0</v>
      </c>
      <c r="J54" s="113">
        <f>VLOOKUP(C54,'Talente &amp; Stuff'!GX:HY,8,FALSE)</f>
        <v>0</v>
      </c>
      <c r="K54" s="113">
        <f>VLOOKUP(C54,'Talente &amp; Stuff'!GX:HY,9,FALSE)</f>
        <v>0</v>
      </c>
      <c r="L54" s="113">
        <f>VLOOKUP(C54,'Talente &amp; Stuff'!GX:HY,10,FALSE)</f>
        <v>0</v>
      </c>
      <c r="M54" s="119">
        <f>VLOOKUP(C54,'Talente &amp; Stuff'!GX:HY,11,FALSE)</f>
        <v>0</v>
      </c>
      <c r="N54" s="89">
        <f>VLOOKUP(C54,'Talente &amp; Stuff'!GX:HY,12,FALSE)</f>
        <v>0</v>
      </c>
      <c r="O54" s="47">
        <f>VLOOKUP(C54,'Talente &amp; Stuff'!GX:HY,13,FALSE)</f>
        <v>0</v>
      </c>
      <c r="P54" s="119">
        <f>VLOOKUP(C54,'Talente &amp; Stuff'!GX:HY,14,FALSE)</f>
        <v>0</v>
      </c>
      <c r="Q54" s="114">
        <f>VLOOKUP(C54,'Talente &amp; Stuff'!GX:HY,15,FALSE)</f>
        <v>0</v>
      </c>
      <c r="R54" s="113">
        <f>VLOOKUP(C54,'Talente &amp; Stuff'!GX:HY,16,FALSE)</f>
        <v>0</v>
      </c>
      <c r="S54" s="119">
        <f>VLOOKUP(C54,'Talente &amp; Stuff'!GX:HY,17,FALSE)</f>
        <v>0</v>
      </c>
      <c r="T54" s="160">
        <f>VLOOKUP(C54,'Talente &amp; Stuff'!GX:HY,18,FALSE)</f>
        <v>0</v>
      </c>
      <c r="U54" s="89">
        <f>VLOOKUP(C54,'Talente &amp; Stuff'!GX:HY,19,FALSE)</f>
        <v>0</v>
      </c>
      <c r="V54" s="47">
        <f>VLOOKUP(C54,'Talente &amp; Stuff'!GX:HY,20,FALSE)</f>
        <v>0</v>
      </c>
      <c r="W54" s="127">
        <f>VLOOKUP(C54,'Talente &amp; Stuff'!GX:HY,21,FALSE)</f>
        <v>0</v>
      </c>
      <c r="X54" s="125">
        <f>VLOOKUP(C54,'Talente &amp; Stuff'!GX:HY,22,FALSE)</f>
        <v>0</v>
      </c>
      <c r="Y54" s="165">
        <f t="shared" si="6"/>
        <v>0</v>
      </c>
      <c r="Z54" s="44">
        <f t="shared" si="7"/>
        <v>0</v>
      </c>
      <c r="AA54" s="125">
        <f>VLOOKUP(C54,'Talente &amp; Stuff'!GX:HY,25,FALSE)</f>
        <v>0</v>
      </c>
      <c r="AB54" s="160">
        <f>VLOOKUP(C54,'Talente &amp; Stuff'!GX:HY,26,FALSE)</f>
        <v>0</v>
      </c>
      <c r="AC54" s="127">
        <f>VLOOKUP(C54,'Talente &amp; Stuff'!GX:HY,27,FALSE)</f>
        <v>0</v>
      </c>
      <c r="AD54" s="125">
        <f>VLOOKUP(C54,'Talente &amp; Stuff'!GX:HY,28,FALSE)</f>
        <v>0</v>
      </c>
      <c r="AE54" s="28"/>
    </row>
    <row r="55" spans="2:31" ht="15" hidden="1" customHeight="1" outlineLevel="2">
      <c r="B55" s="148">
        <v>12</v>
      </c>
      <c r="C55" s="178" t="str">
        <f>Attribute!C55</f>
        <v>---</v>
      </c>
      <c r="D55" s="128" t="str">
        <f>VLOOKUP(C55,'Talente &amp; Stuff'!GX:HY,2,FALSE)</f>
        <v>--/--/--</v>
      </c>
      <c r="E55" s="159" t="str">
        <f>VLOOKUP(C55,'Talente &amp; Stuff'!GX:HY,3,FALSE)</f>
        <v>-</v>
      </c>
      <c r="F55" s="115">
        <f>VLOOKUP(C55,'Talente &amp; Stuff'!GX:HY,4,FALSE)</f>
        <v>0</v>
      </c>
      <c r="G55" s="122">
        <f>VLOOKUP(C55,'Talente &amp; Stuff'!GX:HY,5,FALSE)</f>
        <v>0</v>
      </c>
      <c r="H55" s="122">
        <f>VLOOKUP(C55,'Talente &amp; Stuff'!GX:HY,6,FALSE)</f>
        <v>0</v>
      </c>
      <c r="I55" s="122">
        <f>VLOOKUP(C55,'Talente &amp; Stuff'!GX:HY,7,FALSE)</f>
        <v>0</v>
      </c>
      <c r="J55" s="122">
        <f>VLOOKUP(C55,'Talente &amp; Stuff'!GX:HY,8,FALSE)</f>
        <v>0</v>
      </c>
      <c r="K55" s="122">
        <f>VLOOKUP(C55,'Talente &amp; Stuff'!GX:HY,9,FALSE)</f>
        <v>0</v>
      </c>
      <c r="L55" s="122">
        <f>VLOOKUP(C55,'Talente &amp; Stuff'!GX:HY,10,FALSE)</f>
        <v>0</v>
      </c>
      <c r="M55" s="123">
        <f>VLOOKUP(C55,'Talente &amp; Stuff'!GX:HY,11,FALSE)</f>
        <v>0</v>
      </c>
      <c r="N55" s="90">
        <f>VLOOKUP(C55,'Talente &amp; Stuff'!GX:HY,12,FALSE)</f>
        <v>0</v>
      </c>
      <c r="O55" s="88">
        <f>VLOOKUP(C55,'Talente &amp; Stuff'!GX:HY,13,FALSE)</f>
        <v>0</v>
      </c>
      <c r="P55" s="123">
        <f>VLOOKUP(C55,'Talente &amp; Stuff'!GX:HY,14,FALSE)</f>
        <v>0</v>
      </c>
      <c r="Q55" s="115">
        <f>VLOOKUP(C55,'Talente &amp; Stuff'!GX:HY,15,FALSE)</f>
        <v>0</v>
      </c>
      <c r="R55" s="122">
        <f>VLOOKUP(C55,'Talente &amp; Stuff'!GX:HY,16,FALSE)</f>
        <v>0</v>
      </c>
      <c r="S55" s="123">
        <f>VLOOKUP(C55,'Talente &amp; Stuff'!GX:HY,17,FALSE)</f>
        <v>0</v>
      </c>
      <c r="T55" s="161">
        <f>VLOOKUP(C55,'Talente &amp; Stuff'!GX:HY,18,FALSE)</f>
        <v>0</v>
      </c>
      <c r="U55" s="90">
        <f>VLOOKUP(C55,'Talente &amp; Stuff'!GX:HY,19,FALSE)</f>
        <v>0</v>
      </c>
      <c r="V55" s="88">
        <f>VLOOKUP(C55,'Talente &amp; Stuff'!GX:HY,20,FALSE)</f>
        <v>0</v>
      </c>
      <c r="W55" s="128">
        <f>VLOOKUP(C55,'Talente &amp; Stuff'!GX:HY,21,FALSE)</f>
        <v>0</v>
      </c>
      <c r="X55" s="159">
        <f>VLOOKUP(C55,'Talente &amp; Stuff'!GX:HY,22,FALSE)</f>
        <v>0</v>
      </c>
      <c r="Y55" s="165">
        <f t="shared" si="6"/>
        <v>0</v>
      </c>
      <c r="Z55" s="44">
        <f t="shared" si="7"/>
        <v>0</v>
      </c>
      <c r="AA55" s="159">
        <f>VLOOKUP(C55,'Talente &amp; Stuff'!GX:HY,25,FALSE)</f>
        <v>0</v>
      </c>
      <c r="AB55" s="161">
        <f>VLOOKUP(C55,'Talente &amp; Stuff'!GX:HY,26,FALSE)</f>
        <v>0</v>
      </c>
      <c r="AC55" s="128">
        <f>VLOOKUP(C55,'Talente &amp; Stuff'!GX:HY,27,FALSE)</f>
        <v>0</v>
      </c>
      <c r="AD55" s="159">
        <f>VLOOKUP(C55,'Talente &amp; Stuff'!GX:HY,28,FALSE)</f>
        <v>0</v>
      </c>
      <c r="AE55" s="28"/>
    </row>
    <row r="56" spans="2:31" ht="15" hidden="1" customHeight="1" outlineLevel="1" collapsed="1">
      <c r="B56" s="134" t="s">
        <v>71</v>
      </c>
      <c r="C56" s="83"/>
      <c r="D56" s="84"/>
      <c r="E56" s="84"/>
      <c r="F56" s="30"/>
      <c r="G56" s="30"/>
      <c r="H56" s="30"/>
      <c r="I56" s="30"/>
      <c r="J56" s="30"/>
      <c r="K56" s="30"/>
      <c r="L56" s="30"/>
      <c r="M56" s="30"/>
      <c r="N56" s="31"/>
      <c r="O56" s="31"/>
      <c r="P56" s="30"/>
      <c r="Q56" s="30"/>
      <c r="R56" s="30"/>
      <c r="S56" s="30"/>
      <c r="T56" s="30"/>
      <c r="U56" s="31"/>
      <c r="V56" s="31"/>
      <c r="W56" s="31"/>
      <c r="X56" s="31"/>
      <c r="Y56" s="65"/>
    </row>
    <row r="57" spans="2:31" ht="15" hidden="1" customHeight="1" outlineLevel="2">
      <c r="B57" s="148">
        <v>1</v>
      </c>
      <c r="C57" s="176" t="str">
        <f>Attribute!C57</f>
        <v>---</v>
      </c>
      <c r="D57" s="126" t="str">
        <f>VLOOKUP(C57,'Talente &amp; Stuff'!GX:HY,2,FALSE)</f>
        <v>--/--/--</v>
      </c>
      <c r="E57" s="158" t="str">
        <f>VLOOKUP(C57,'Talente &amp; Stuff'!GX:HY,3,FALSE)</f>
        <v>-</v>
      </c>
      <c r="F57" s="191">
        <f>VLOOKUP(C57,'Talente &amp; Stuff'!GX:HY,4,FALSE)</f>
        <v>0</v>
      </c>
      <c r="G57" s="118">
        <f>VLOOKUP(C57,'Talente &amp; Stuff'!GX:HY,5,FALSE)</f>
        <v>0</v>
      </c>
      <c r="H57" s="118">
        <f>VLOOKUP(C57,'Talente &amp; Stuff'!GX:HY,6,FALSE)</f>
        <v>0</v>
      </c>
      <c r="I57" s="118">
        <f>VLOOKUP(C57,'Talente &amp; Stuff'!GX:HY,7,FALSE)</f>
        <v>0</v>
      </c>
      <c r="J57" s="118">
        <f>VLOOKUP(C57,'Talente &amp; Stuff'!GX:HY,8,FALSE)</f>
        <v>0</v>
      </c>
      <c r="K57" s="118">
        <f>VLOOKUP(C57,'Talente &amp; Stuff'!GX:HY,9,FALSE)</f>
        <v>0</v>
      </c>
      <c r="L57" s="118">
        <f>VLOOKUP(C57,'Talente &amp; Stuff'!GX:HY,10,FALSE)</f>
        <v>0</v>
      </c>
      <c r="M57" s="92">
        <f>VLOOKUP(C57,'Talente &amp; Stuff'!GX:HY,11,FALSE)</f>
        <v>0</v>
      </c>
      <c r="N57" s="193">
        <f>VLOOKUP(C57,'Talente &amp; Stuff'!GX:HY,12,FALSE)</f>
        <v>0</v>
      </c>
      <c r="O57" s="116">
        <f>VLOOKUP(C57,'Talente &amp; Stuff'!GX:HY,13,FALSE)</f>
        <v>0</v>
      </c>
      <c r="P57" s="92">
        <f>VLOOKUP(C57,'Talente &amp; Stuff'!GX:HY,14,FALSE)</f>
        <v>0</v>
      </c>
      <c r="Q57" s="191">
        <f>VLOOKUP(C57,'Talente &amp; Stuff'!GX:HY,15,FALSE)</f>
        <v>0</v>
      </c>
      <c r="R57" s="118">
        <f>VLOOKUP(C57,'Talente &amp; Stuff'!GX:HY,16,FALSE)</f>
        <v>0</v>
      </c>
      <c r="S57" s="92">
        <f>VLOOKUP(C57,'Talente &amp; Stuff'!GX:HY,17,FALSE)</f>
        <v>0</v>
      </c>
      <c r="T57" s="91">
        <f>VLOOKUP(C57,'Talente &amp; Stuff'!GX:HY,18,FALSE)</f>
        <v>0</v>
      </c>
      <c r="U57" s="193">
        <f>VLOOKUP(C57,'Talente &amp; Stuff'!GX:HY,19,FALSE)</f>
        <v>0</v>
      </c>
      <c r="V57" s="116">
        <f>VLOOKUP(C57,'Talente &amp; Stuff'!GX:HY,20,FALSE)</f>
        <v>0</v>
      </c>
      <c r="W57" s="126">
        <f>VLOOKUP(C57,'Talente &amp; Stuff'!GX:HY,21,FALSE)</f>
        <v>0</v>
      </c>
      <c r="X57" s="158">
        <f>VLOOKUP(C57,'Talente &amp; Stuff'!GX:HY,22,FALSE)</f>
        <v>0</v>
      </c>
      <c r="Y57" s="165">
        <f t="shared" ref="Y57:Y73" si="8">VLOOKUP(C57,Ausgewählte_Talente_Handwerkstalente,226,FALSE)</f>
        <v>0</v>
      </c>
      <c r="Z57" s="44">
        <f t="shared" ref="Z57:Z73" si="9">VLOOKUP(C57,Ausgewählte_Talente_Handwerkstalente,227,FALSE)</f>
        <v>0</v>
      </c>
      <c r="AA57" s="158">
        <f>VLOOKUP(C57,'Talente &amp; Stuff'!GX:HY,25,FALSE)</f>
        <v>0</v>
      </c>
      <c r="AB57" s="91">
        <f>VLOOKUP(C57,'Talente &amp; Stuff'!GX:HY,26,FALSE)</f>
        <v>0</v>
      </c>
      <c r="AC57" s="126">
        <f>VLOOKUP(C57,'Talente &amp; Stuff'!GX:HY,27,FALSE)</f>
        <v>0</v>
      </c>
      <c r="AD57" s="158">
        <f>VLOOKUP(C57,'Talente &amp; Stuff'!GX:HY,28,FALSE)</f>
        <v>0</v>
      </c>
      <c r="AE57" s="28"/>
    </row>
    <row r="58" spans="2:31" ht="15" hidden="1" customHeight="1" outlineLevel="2">
      <c r="B58" s="148">
        <v>2</v>
      </c>
      <c r="C58" s="177" t="str">
        <f>Attribute!C58</f>
        <v>---</v>
      </c>
      <c r="D58" s="127" t="str">
        <f>VLOOKUP(C58,'Talente &amp; Stuff'!GX:HY,2,FALSE)</f>
        <v>--/--/--</v>
      </c>
      <c r="E58" s="125" t="str">
        <f>VLOOKUP(C58,'Talente &amp; Stuff'!GX:HY,3,FALSE)</f>
        <v>-</v>
      </c>
      <c r="F58" s="114">
        <f>VLOOKUP(C58,'Talente &amp; Stuff'!GX:HY,4,FALSE)</f>
        <v>0</v>
      </c>
      <c r="G58" s="113">
        <f>VLOOKUP(C58,'Talente &amp; Stuff'!GX:HY,5,FALSE)</f>
        <v>0</v>
      </c>
      <c r="H58" s="113">
        <f>VLOOKUP(C58,'Talente &amp; Stuff'!GX:HY,6,FALSE)</f>
        <v>0</v>
      </c>
      <c r="I58" s="113">
        <f>VLOOKUP(C58,'Talente &amp; Stuff'!GX:HY,7,FALSE)</f>
        <v>0</v>
      </c>
      <c r="J58" s="113">
        <f>VLOOKUP(C58,'Talente &amp; Stuff'!GX:HY,8,FALSE)</f>
        <v>0</v>
      </c>
      <c r="K58" s="113">
        <f>VLOOKUP(C58,'Talente &amp; Stuff'!GX:HY,9,FALSE)</f>
        <v>0</v>
      </c>
      <c r="L58" s="113">
        <f>VLOOKUP(C58,'Talente &amp; Stuff'!GX:HY,10,FALSE)</f>
        <v>0</v>
      </c>
      <c r="M58" s="119">
        <f>VLOOKUP(C58,'Talente &amp; Stuff'!GX:HY,11,FALSE)</f>
        <v>0</v>
      </c>
      <c r="N58" s="89">
        <f>VLOOKUP(C58,'Talente &amp; Stuff'!GX:HY,12,FALSE)</f>
        <v>0</v>
      </c>
      <c r="O58" s="47">
        <f>VLOOKUP(C58,'Talente &amp; Stuff'!GX:HY,13,FALSE)</f>
        <v>0</v>
      </c>
      <c r="P58" s="119">
        <f>VLOOKUP(C58,'Talente &amp; Stuff'!GX:HY,14,FALSE)</f>
        <v>0</v>
      </c>
      <c r="Q58" s="114">
        <f>VLOOKUP(C58,'Talente &amp; Stuff'!GX:HY,15,FALSE)</f>
        <v>0</v>
      </c>
      <c r="R58" s="113">
        <f>VLOOKUP(C58,'Talente &amp; Stuff'!GX:HY,16,FALSE)</f>
        <v>0</v>
      </c>
      <c r="S58" s="119">
        <f>VLOOKUP(C58,'Talente &amp; Stuff'!GX:HY,17,FALSE)</f>
        <v>0</v>
      </c>
      <c r="T58" s="160">
        <f>VLOOKUP(C58,'Talente &amp; Stuff'!GX:HY,18,FALSE)</f>
        <v>0</v>
      </c>
      <c r="U58" s="89">
        <f>VLOOKUP(C58,'Talente &amp; Stuff'!GX:HY,19,FALSE)</f>
        <v>0</v>
      </c>
      <c r="V58" s="47">
        <f>VLOOKUP(C58,'Talente &amp; Stuff'!GX:HY,20,FALSE)</f>
        <v>0</v>
      </c>
      <c r="W58" s="127">
        <f>VLOOKUP(C58,'Talente &amp; Stuff'!GX:HY,21,FALSE)</f>
        <v>0</v>
      </c>
      <c r="X58" s="125">
        <f>VLOOKUP(C58,'Talente &amp; Stuff'!GX:HY,22,FALSE)</f>
        <v>0</v>
      </c>
      <c r="Y58" s="165">
        <f t="shared" si="8"/>
        <v>0</v>
      </c>
      <c r="Z58" s="44">
        <f t="shared" si="9"/>
        <v>0</v>
      </c>
      <c r="AA58" s="125">
        <f>VLOOKUP(C58,'Talente &amp; Stuff'!GX:HY,25,FALSE)</f>
        <v>0</v>
      </c>
      <c r="AB58" s="160">
        <f>VLOOKUP(C58,'Talente &amp; Stuff'!GX:HY,26,FALSE)</f>
        <v>0</v>
      </c>
      <c r="AC58" s="127">
        <f>VLOOKUP(C58,'Talente &amp; Stuff'!GX:HY,27,FALSE)</f>
        <v>0</v>
      </c>
      <c r="AD58" s="125">
        <f>VLOOKUP(C58,'Talente &amp; Stuff'!GX:HY,28,FALSE)</f>
        <v>0</v>
      </c>
      <c r="AE58" s="28"/>
    </row>
    <row r="59" spans="2:31" ht="15" hidden="1" customHeight="1" outlineLevel="2">
      <c r="B59" s="148">
        <v>3</v>
      </c>
      <c r="C59" s="177" t="str">
        <f>Attribute!C59</f>
        <v>---</v>
      </c>
      <c r="D59" s="127" t="str">
        <f>VLOOKUP(C59,'Talente &amp; Stuff'!GX:HY,2,FALSE)</f>
        <v>--/--/--</v>
      </c>
      <c r="E59" s="125" t="str">
        <f>VLOOKUP(C59,'Talente &amp; Stuff'!GX:HY,3,FALSE)</f>
        <v>-</v>
      </c>
      <c r="F59" s="114">
        <f>VLOOKUP(C59,'Talente &amp; Stuff'!GX:HY,4,FALSE)</f>
        <v>0</v>
      </c>
      <c r="G59" s="113">
        <f>VLOOKUP(C59,'Talente &amp; Stuff'!GX:HY,5,FALSE)</f>
        <v>0</v>
      </c>
      <c r="H59" s="113">
        <f>VLOOKUP(C59,'Talente &amp; Stuff'!GX:HY,6,FALSE)</f>
        <v>0</v>
      </c>
      <c r="I59" s="113">
        <f>VLOOKUP(C59,'Talente &amp; Stuff'!GX:HY,7,FALSE)</f>
        <v>0</v>
      </c>
      <c r="J59" s="113">
        <f>VLOOKUP(C59,'Talente &amp; Stuff'!GX:HY,8,FALSE)</f>
        <v>0</v>
      </c>
      <c r="K59" s="113">
        <f>VLOOKUP(C59,'Talente &amp; Stuff'!GX:HY,9,FALSE)</f>
        <v>0</v>
      </c>
      <c r="L59" s="113">
        <f>VLOOKUP(C59,'Talente &amp; Stuff'!GX:HY,10,FALSE)</f>
        <v>0</v>
      </c>
      <c r="M59" s="119">
        <f>VLOOKUP(C59,'Talente &amp; Stuff'!GX:HY,11,FALSE)</f>
        <v>0</v>
      </c>
      <c r="N59" s="89">
        <f>VLOOKUP(C59,'Talente &amp; Stuff'!GX:HY,12,FALSE)</f>
        <v>0</v>
      </c>
      <c r="O59" s="47">
        <f>VLOOKUP(C59,'Talente &amp; Stuff'!GX:HY,13,FALSE)</f>
        <v>0</v>
      </c>
      <c r="P59" s="119">
        <f>VLOOKUP(C59,'Talente &amp; Stuff'!GX:HY,14,FALSE)</f>
        <v>0</v>
      </c>
      <c r="Q59" s="114">
        <f>VLOOKUP(C59,'Talente &amp; Stuff'!GX:HY,15,FALSE)</f>
        <v>0</v>
      </c>
      <c r="R59" s="113">
        <f>VLOOKUP(C59,'Talente &amp; Stuff'!GX:HY,16,FALSE)</f>
        <v>0</v>
      </c>
      <c r="S59" s="119">
        <f>VLOOKUP(C59,'Talente &amp; Stuff'!GX:HY,17,FALSE)</f>
        <v>0</v>
      </c>
      <c r="T59" s="160">
        <f>VLOOKUP(C59,'Talente &amp; Stuff'!GX:HY,18,FALSE)</f>
        <v>0</v>
      </c>
      <c r="U59" s="89">
        <f>VLOOKUP(C59,'Talente &amp; Stuff'!GX:HY,19,FALSE)</f>
        <v>0</v>
      </c>
      <c r="V59" s="47">
        <f>VLOOKUP(C59,'Talente &amp; Stuff'!GX:HY,20,FALSE)</f>
        <v>0</v>
      </c>
      <c r="W59" s="127">
        <f>VLOOKUP(C59,'Talente &amp; Stuff'!GX:HY,21,FALSE)</f>
        <v>0</v>
      </c>
      <c r="X59" s="125">
        <f>VLOOKUP(C59,'Talente &amp; Stuff'!GX:HY,22,FALSE)</f>
        <v>0</v>
      </c>
      <c r="Y59" s="165">
        <f t="shared" si="8"/>
        <v>0</v>
      </c>
      <c r="Z59" s="44">
        <f t="shared" si="9"/>
        <v>0</v>
      </c>
      <c r="AA59" s="125">
        <f>VLOOKUP(C59,'Talente &amp; Stuff'!GX:HY,25,FALSE)</f>
        <v>0</v>
      </c>
      <c r="AB59" s="160">
        <f>VLOOKUP(C59,'Talente &amp; Stuff'!GX:HY,26,FALSE)</f>
        <v>0</v>
      </c>
      <c r="AC59" s="127">
        <f>VLOOKUP(C59,'Talente &amp; Stuff'!GX:HY,27,FALSE)</f>
        <v>0</v>
      </c>
      <c r="AD59" s="125">
        <f>VLOOKUP(C59,'Talente &amp; Stuff'!GX:HY,28,FALSE)</f>
        <v>0</v>
      </c>
      <c r="AE59" s="28"/>
    </row>
    <row r="60" spans="2:31" ht="15" hidden="1" customHeight="1" outlineLevel="2">
      <c r="B60" s="148">
        <v>4</v>
      </c>
      <c r="C60" s="177" t="str">
        <f>Attribute!C60</f>
        <v>---</v>
      </c>
      <c r="D60" s="127" t="str">
        <f>VLOOKUP(C60,'Talente &amp; Stuff'!GX:HY,2,FALSE)</f>
        <v>--/--/--</v>
      </c>
      <c r="E60" s="125" t="str">
        <f>VLOOKUP(C60,'Talente &amp; Stuff'!GX:HY,3,FALSE)</f>
        <v>-</v>
      </c>
      <c r="F60" s="114">
        <f>VLOOKUP(C60,'Talente &amp; Stuff'!GX:HY,4,FALSE)</f>
        <v>0</v>
      </c>
      <c r="G60" s="113">
        <f>VLOOKUP(C60,'Talente &amp; Stuff'!GX:HY,5,FALSE)</f>
        <v>0</v>
      </c>
      <c r="H60" s="113">
        <f>VLOOKUP(C60,'Talente &amp; Stuff'!GX:HY,6,FALSE)</f>
        <v>0</v>
      </c>
      <c r="I60" s="113">
        <f>VLOOKUP(C60,'Talente &amp; Stuff'!GX:HY,7,FALSE)</f>
        <v>0</v>
      </c>
      <c r="J60" s="113">
        <f>VLOOKUP(C60,'Talente &amp; Stuff'!GX:HY,8,FALSE)</f>
        <v>0</v>
      </c>
      <c r="K60" s="113">
        <f>VLOOKUP(C60,'Talente &amp; Stuff'!GX:HY,9,FALSE)</f>
        <v>0</v>
      </c>
      <c r="L60" s="113">
        <f>VLOOKUP(C60,'Talente &amp; Stuff'!GX:HY,10,FALSE)</f>
        <v>0</v>
      </c>
      <c r="M60" s="119">
        <f>VLOOKUP(C60,'Talente &amp; Stuff'!GX:HY,11,FALSE)</f>
        <v>0</v>
      </c>
      <c r="N60" s="89">
        <f>VLOOKUP(C60,'Talente &amp; Stuff'!GX:HY,12,FALSE)</f>
        <v>0</v>
      </c>
      <c r="O60" s="47">
        <f>VLOOKUP(C60,'Talente &amp; Stuff'!GX:HY,13,FALSE)</f>
        <v>0</v>
      </c>
      <c r="P60" s="119">
        <f>VLOOKUP(C60,'Talente &amp; Stuff'!GX:HY,14,FALSE)</f>
        <v>0</v>
      </c>
      <c r="Q60" s="114">
        <f>VLOOKUP(C60,'Talente &amp; Stuff'!GX:HY,15,FALSE)</f>
        <v>0</v>
      </c>
      <c r="R60" s="113">
        <f>VLOOKUP(C60,'Talente &amp; Stuff'!GX:HY,16,FALSE)</f>
        <v>0</v>
      </c>
      <c r="S60" s="119">
        <f>VLOOKUP(C60,'Talente &amp; Stuff'!GX:HY,17,FALSE)</f>
        <v>0</v>
      </c>
      <c r="T60" s="160">
        <f>VLOOKUP(C60,'Talente &amp; Stuff'!GX:HY,18,FALSE)</f>
        <v>0</v>
      </c>
      <c r="U60" s="89">
        <f>VLOOKUP(C60,'Talente &amp; Stuff'!GX:HY,19,FALSE)</f>
        <v>0</v>
      </c>
      <c r="V60" s="47">
        <f>VLOOKUP(C60,'Talente &amp; Stuff'!GX:HY,20,FALSE)</f>
        <v>0</v>
      </c>
      <c r="W60" s="127">
        <f>VLOOKUP(C60,'Talente &amp; Stuff'!GX:HY,21,FALSE)</f>
        <v>0</v>
      </c>
      <c r="X60" s="125">
        <f>VLOOKUP(C60,'Talente &amp; Stuff'!GX:HY,22,FALSE)</f>
        <v>0</v>
      </c>
      <c r="Y60" s="165">
        <f t="shared" si="8"/>
        <v>0</v>
      </c>
      <c r="Z60" s="44">
        <f t="shared" si="9"/>
        <v>0</v>
      </c>
      <c r="AA60" s="125">
        <f>VLOOKUP(C60,'Talente &amp; Stuff'!GX:HY,25,FALSE)</f>
        <v>0</v>
      </c>
      <c r="AB60" s="160">
        <f>VLOOKUP(C60,'Talente &amp; Stuff'!GX:HY,26,FALSE)</f>
        <v>0</v>
      </c>
      <c r="AC60" s="127">
        <f>VLOOKUP(C60,'Talente &amp; Stuff'!GX:HY,27,FALSE)</f>
        <v>0</v>
      </c>
      <c r="AD60" s="125">
        <f>VLOOKUP(C60,'Talente &amp; Stuff'!GX:HY,28,FALSE)</f>
        <v>0</v>
      </c>
      <c r="AE60" s="28"/>
    </row>
    <row r="61" spans="2:31" ht="15" hidden="1" customHeight="1" outlineLevel="2">
      <c r="B61" s="148">
        <v>5</v>
      </c>
      <c r="C61" s="177" t="str">
        <f>Attribute!C61</f>
        <v>---</v>
      </c>
      <c r="D61" s="127" t="str">
        <f>VLOOKUP(C61,'Talente &amp; Stuff'!GX:HY,2,FALSE)</f>
        <v>--/--/--</v>
      </c>
      <c r="E61" s="125" t="str">
        <f>VLOOKUP(C61,'Talente &amp; Stuff'!GX:HY,3,FALSE)</f>
        <v>-</v>
      </c>
      <c r="F61" s="114">
        <f>VLOOKUP(C61,'Talente &amp; Stuff'!GX:HY,4,FALSE)</f>
        <v>0</v>
      </c>
      <c r="G61" s="113">
        <f>VLOOKUP(C61,'Talente &amp; Stuff'!GX:HY,5,FALSE)</f>
        <v>0</v>
      </c>
      <c r="H61" s="113">
        <f>VLOOKUP(C61,'Talente &amp; Stuff'!GX:HY,6,FALSE)</f>
        <v>0</v>
      </c>
      <c r="I61" s="113">
        <f>VLOOKUP(C61,'Talente &amp; Stuff'!GX:HY,7,FALSE)</f>
        <v>0</v>
      </c>
      <c r="J61" s="113">
        <f>VLOOKUP(C61,'Talente &amp; Stuff'!GX:HY,8,FALSE)</f>
        <v>0</v>
      </c>
      <c r="K61" s="113">
        <f>VLOOKUP(C61,'Talente &amp; Stuff'!GX:HY,9,FALSE)</f>
        <v>0</v>
      </c>
      <c r="L61" s="113">
        <f>VLOOKUP(C61,'Talente &amp; Stuff'!GX:HY,10,FALSE)</f>
        <v>0</v>
      </c>
      <c r="M61" s="119">
        <f>VLOOKUP(C61,'Talente &amp; Stuff'!GX:HY,11,FALSE)</f>
        <v>0</v>
      </c>
      <c r="N61" s="89">
        <f>VLOOKUP(C61,'Talente &amp; Stuff'!GX:HY,12,FALSE)</f>
        <v>0</v>
      </c>
      <c r="O61" s="47">
        <f>VLOOKUP(C61,'Talente &amp; Stuff'!GX:HY,13,FALSE)</f>
        <v>0</v>
      </c>
      <c r="P61" s="119">
        <f>VLOOKUP(C61,'Talente &amp; Stuff'!GX:HY,14,FALSE)</f>
        <v>0</v>
      </c>
      <c r="Q61" s="114">
        <f>VLOOKUP(C61,'Talente &amp; Stuff'!GX:HY,15,FALSE)</f>
        <v>0</v>
      </c>
      <c r="R61" s="113">
        <f>VLOOKUP(C61,'Talente &amp; Stuff'!GX:HY,16,FALSE)</f>
        <v>0</v>
      </c>
      <c r="S61" s="119">
        <f>VLOOKUP(C61,'Talente &amp; Stuff'!GX:HY,17,FALSE)</f>
        <v>0</v>
      </c>
      <c r="T61" s="160">
        <f>VLOOKUP(C61,'Talente &amp; Stuff'!GX:HY,18,FALSE)</f>
        <v>0</v>
      </c>
      <c r="U61" s="89">
        <f>VLOOKUP(C61,'Talente &amp; Stuff'!GX:HY,19,FALSE)</f>
        <v>0</v>
      </c>
      <c r="V61" s="47">
        <f>VLOOKUP(C61,'Talente &amp; Stuff'!GX:HY,20,FALSE)</f>
        <v>0</v>
      </c>
      <c r="W61" s="127">
        <f>VLOOKUP(C61,'Talente &amp; Stuff'!GX:HY,21,FALSE)</f>
        <v>0</v>
      </c>
      <c r="X61" s="125">
        <f>VLOOKUP(C61,'Talente &amp; Stuff'!GX:HY,22,FALSE)</f>
        <v>0</v>
      </c>
      <c r="Y61" s="165">
        <f t="shared" si="8"/>
        <v>0</v>
      </c>
      <c r="Z61" s="44">
        <f t="shared" si="9"/>
        <v>0</v>
      </c>
      <c r="AA61" s="125">
        <f>VLOOKUP(C61,'Talente &amp; Stuff'!GX:HY,25,FALSE)</f>
        <v>0</v>
      </c>
      <c r="AB61" s="160">
        <f>VLOOKUP(C61,'Talente &amp; Stuff'!GX:HY,26,FALSE)</f>
        <v>0</v>
      </c>
      <c r="AC61" s="127">
        <f>VLOOKUP(C61,'Talente &amp; Stuff'!GX:HY,27,FALSE)</f>
        <v>0</v>
      </c>
      <c r="AD61" s="125">
        <f>VLOOKUP(C61,'Talente &amp; Stuff'!GX:HY,28,FALSE)</f>
        <v>0</v>
      </c>
      <c r="AE61" s="28"/>
    </row>
    <row r="62" spans="2:31" ht="15" hidden="1" customHeight="1" outlineLevel="2">
      <c r="B62" s="148">
        <v>6</v>
      </c>
      <c r="C62" s="177" t="str">
        <f>Attribute!C62</f>
        <v>---</v>
      </c>
      <c r="D62" s="127" t="str">
        <f>VLOOKUP(C62,'Talente &amp; Stuff'!GX:HY,2,FALSE)</f>
        <v>--/--/--</v>
      </c>
      <c r="E62" s="125" t="str">
        <f>VLOOKUP(C62,'Talente &amp; Stuff'!GX:HY,3,FALSE)</f>
        <v>-</v>
      </c>
      <c r="F62" s="114">
        <f>VLOOKUP(C62,'Talente &amp; Stuff'!GX:HY,4,FALSE)</f>
        <v>0</v>
      </c>
      <c r="G62" s="113">
        <f>VLOOKUP(C62,'Talente &amp; Stuff'!GX:HY,5,FALSE)</f>
        <v>0</v>
      </c>
      <c r="H62" s="113">
        <f>VLOOKUP(C62,'Talente &amp; Stuff'!GX:HY,6,FALSE)</f>
        <v>0</v>
      </c>
      <c r="I62" s="113">
        <f>VLOOKUP(C62,'Talente &amp; Stuff'!GX:HY,7,FALSE)</f>
        <v>0</v>
      </c>
      <c r="J62" s="113">
        <f>VLOOKUP(C62,'Talente &amp; Stuff'!GX:HY,8,FALSE)</f>
        <v>0</v>
      </c>
      <c r="K62" s="113">
        <f>VLOOKUP(C62,'Talente &amp; Stuff'!GX:HY,9,FALSE)</f>
        <v>0</v>
      </c>
      <c r="L62" s="113">
        <f>VLOOKUP(C62,'Talente &amp; Stuff'!GX:HY,10,FALSE)</f>
        <v>0</v>
      </c>
      <c r="M62" s="119">
        <f>VLOOKUP(C62,'Talente &amp; Stuff'!GX:HY,11,FALSE)</f>
        <v>0</v>
      </c>
      <c r="N62" s="89">
        <f>VLOOKUP(C62,'Talente &amp; Stuff'!GX:HY,12,FALSE)</f>
        <v>0</v>
      </c>
      <c r="O62" s="47">
        <f>VLOOKUP(C62,'Talente &amp; Stuff'!GX:HY,13,FALSE)</f>
        <v>0</v>
      </c>
      <c r="P62" s="119">
        <f>VLOOKUP(C62,'Talente &amp; Stuff'!GX:HY,14,FALSE)</f>
        <v>0</v>
      </c>
      <c r="Q62" s="114">
        <f>VLOOKUP(C62,'Talente &amp; Stuff'!GX:HY,15,FALSE)</f>
        <v>0</v>
      </c>
      <c r="R62" s="113">
        <f>VLOOKUP(C62,'Talente &amp; Stuff'!GX:HY,16,FALSE)</f>
        <v>0</v>
      </c>
      <c r="S62" s="119">
        <f>VLOOKUP(C62,'Talente &amp; Stuff'!GX:HY,17,FALSE)</f>
        <v>0</v>
      </c>
      <c r="T62" s="160">
        <f>VLOOKUP(C62,'Talente &amp; Stuff'!GX:HY,18,FALSE)</f>
        <v>0</v>
      </c>
      <c r="U62" s="89">
        <f>VLOOKUP(C62,'Talente &amp; Stuff'!GX:HY,19,FALSE)</f>
        <v>0</v>
      </c>
      <c r="V62" s="47">
        <f>VLOOKUP(C62,'Talente &amp; Stuff'!GX:HY,20,FALSE)</f>
        <v>0</v>
      </c>
      <c r="W62" s="127">
        <f>VLOOKUP(C62,'Talente &amp; Stuff'!GX:HY,21,FALSE)</f>
        <v>0</v>
      </c>
      <c r="X62" s="125">
        <f>VLOOKUP(C62,'Talente &amp; Stuff'!GX:HY,22,FALSE)</f>
        <v>0</v>
      </c>
      <c r="Y62" s="165">
        <f t="shared" si="8"/>
        <v>0</v>
      </c>
      <c r="Z62" s="44">
        <f t="shared" si="9"/>
        <v>0</v>
      </c>
      <c r="AA62" s="125">
        <f>VLOOKUP(C62,'Talente &amp; Stuff'!GX:HY,25,FALSE)</f>
        <v>0</v>
      </c>
      <c r="AB62" s="160">
        <f>VLOOKUP(C62,'Talente &amp; Stuff'!GX:HY,26,FALSE)</f>
        <v>0</v>
      </c>
      <c r="AC62" s="127">
        <f>VLOOKUP(C62,'Talente &amp; Stuff'!GX:HY,27,FALSE)</f>
        <v>0</v>
      </c>
      <c r="AD62" s="125">
        <f>VLOOKUP(C62,'Talente &amp; Stuff'!GX:HY,28,FALSE)</f>
        <v>0</v>
      </c>
      <c r="AE62" s="28"/>
    </row>
    <row r="63" spans="2:31" ht="15" hidden="1" customHeight="1" outlineLevel="2">
      <c r="B63" s="148">
        <v>7</v>
      </c>
      <c r="C63" s="177" t="str">
        <f>Attribute!C63</f>
        <v>---</v>
      </c>
      <c r="D63" s="127" t="str">
        <f>VLOOKUP(C63,'Talente &amp; Stuff'!GX:HY,2,FALSE)</f>
        <v>--/--/--</v>
      </c>
      <c r="E63" s="125" t="str">
        <f>VLOOKUP(C63,'Talente &amp; Stuff'!GX:HY,3,FALSE)</f>
        <v>-</v>
      </c>
      <c r="F63" s="114">
        <f>VLOOKUP(C63,'Talente &amp; Stuff'!GX:HY,4,FALSE)</f>
        <v>0</v>
      </c>
      <c r="G63" s="113">
        <f>VLOOKUP(C63,'Talente &amp; Stuff'!GX:HY,5,FALSE)</f>
        <v>0</v>
      </c>
      <c r="H63" s="113">
        <f>VLOOKUP(C63,'Talente &amp; Stuff'!GX:HY,6,FALSE)</f>
        <v>0</v>
      </c>
      <c r="I63" s="113">
        <f>VLOOKUP(C63,'Talente &amp; Stuff'!GX:HY,7,FALSE)</f>
        <v>0</v>
      </c>
      <c r="J63" s="113">
        <f>VLOOKUP(C63,'Talente &amp; Stuff'!GX:HY,8,FALSE)</f>
        <v>0</v>
      </c>
      <c r="K63" s="113">
        <f>VLOOKUP(C63,'Talente &amp; Stuff'!GX:HY,9,FALSE)</f>
        <v>0</v>
      </c>
      <c r="L63" s="113">
        <f>VLOOKUP(C63,'Talente &amp; Stuff'!GX:HY,10,FALSE)</f>
        <v>0</v>
      </c>
      <c r="M63" s="119">
        <f>VLOOKUP(C63,'Talente &amp; Stuff'!GX:HY,11,FALSE)</f>
        <v>0</v>
      </c>
      <c r="N63" s="89">
        <f>VLOOKUP(C63,'Talente &amp; Stuff'!GX:HY,12,FALSE)</f>
        <v>0</v>
      </c>
      <c r="O63" s="47">
        <f>VLOOKUP(C63,'Talente &amp; Stuff'!GX:HY,13,FALSE)</f>
        <v>0</v>
      </c>
      <c r="P63" s="119">
        <f>VLOOKUP(C63,'Talente &amp; Stuff'!GX:HY,14,FALSE)</f>
        <v>0</v>
      </c>
      <c r="Q63" s="114">
        <f>VLOOKUP(C63,'Talente &amp; Stuff'!GX:HY,15,FALSE)</f>
        <v>0</v>
      </c>
      <c r="R63" s="113">
        <f>VLOOKUP(C63,'Talente &amp; Stuff'!GX:HY,16,FALSE)</f>
        <v>0</v>
      </c>
      <c r="S63" s="119">
        <f>VLOOKUP(C63,'Talente &amp; Stuff'!GX:HY,17,FALSE)</f>
        <v>0</v>
      </c>
      <c r="T63" s="160">
        <f>VLOOKUP(C63,'Talente &amp; Stuff'!GX:HY,18,FALSE)</f>
        <v>0</v>
      </c>
      <c r="U63" s="89">
        <f>VLOOKUP(C63,'Talente &amp; Stuff'!GX:HY,19,FALSE)</f>
        <v>0</v>
      </c>
      <c r="V63" s="47">
        <f>VLOOKUP(C63,'Talente &amp; Stuff'!GX:HY,20,FALSE)</f>
        <v>0</v>
      </c>
      <c r="W63" s="127">
        <f>VLOOKUP(C63,'Talente &amp; Stuff'!GX:HY,21,FALSE)</f>
        <v>0</v>
      </c>
      <c r="X63" s="125">
        <f>VLOOKUP(C63,'Talente &amp; Stuff'!GX:HY,22,FALSE)</f>
        <v>0</v>
      </c>
      <c r="Y63" s="165">
        <f t="shared" si="8"/>
        <v>0</v>
      </c>
      <c r="Z63" s="44">
        <f t="shared" si="9"/>
        <v>0</v>
      </c>
      <c r="AA63" s="125">
        <f>VLOOKUP(C63,'Talente &amp; Stuff'!GX:HY,25,FALSE)</f>
        <v>0</v>
      </c>
      <c r="AB63" s="160">
        <f>VLOOKUP(C63,'Talente &amp; Stuff'!GX:HY,26,FALSE)</f>
        <v>0</v>
      </c>
      <c r="AC63" s="127">
        <f>VLOOKUP(C63,'Talente &amp; Stuff'!GX:HY,27,FALSE)</f>
        <v>0</v>
      </c>
      <c r="AD63" s="125">
        <f>VLOOKUP(C63,'Talente &amp; Stuff'!GX:HY,28,FALSE)</f>
        <v>0</v>
      </c>
      <c r="AE63" s="28"/>
    </row>
    <row r="64" spans="2:31" ht="15" hidden="1" customHeight="1" outlineLevel="2">
      <c r="B64" s="148">
        <v>8</v>
      </c>
      <c r="C64" s="177" t="str">
        <f>Attribute!C64</f>
        <v>---</v>
      </c>
      <c r="D64" s="127" t="str">
        <f>VLOOKUP(C64,'Talente &amp; Stuff'!GX:HY,2,FALSE)</f>
        <v>--/--/--</v>
      </c>
      <c r="E64" s="125" t="str">
        <f>VLOOKUP(C64,'Talente &amp; Stuff'!GX:HY,3,FALSE)</f>
        <v>-</v>
      </c>
      <c r="F64" s="114">
        <f>VLOOKUP(C64,'Talente &amp; Stuff'!GX:HY,4,FALSE)</f>
        <v>0</v>
      </c>
      <c r="G64" s="113">
        <f>VLOOKUP(C64,'Talente &amp; Stuff'!GX:HY,5,FALSE)</f>
        <v>0</v>
      </c>
      <c r="H64" s="113">
        <f>VLOOKUP(C64,'Talente &amp; Stuff'!GX:HY,6,FALSE)</f>
        <v>0</v>
      </c>
      <c r="I64" s="113">
        <f>VLOOKUP(C64,'Talente &amp; Stuff'!GX:HY,7,FALSE)</f>
        <v>0</v>
      </c>
      <c r="J64" s="113">
        <f>VLOOKUP(C64,'Talente &amp; Stuff'!GX:HY,8,FALSE)</f>
        <v>0</v>
      </c>
      <c r="K64" s="113">
        <f>VLOOKUP(C64,'Talente &amp; Stuff'!GX:HY,9,FALSE)</f>
        <v>0</v>
      </c>
      <c r="L64" s="113">
        <f>VLOOKUP(C64,'Talente &amp; Stuff'!GX:HY,10,FALSE)</f>
        <v>0</v>
      </c>
      <c r="M64" s="119">
        <f>VLOOKUP(C64,'Talente &amp; Stuff'!GX:HY,11,FALSE)</f>
        <v>0</v>
      </c>
      <c r="N64" s="89">
        <f>VLOOKUP(C64,'Talente &amp; Stuff'!GX:HY,12,FALSE)</f>
        <v>0</v>
      </c>
      <c r="O64" s="47">
        <f>VLOOKUP(C64,'Talente &amp; Stuff'!GX:HY,13,FALSE)</f>
        <v>0</v>
      </c>
      <c r="P64" s="119">
        <f>VLOOKUP(C64,'Talente &amp; Stuff'!GX:HY,14,FALSE)</f>
        <v>0</v>
      </c>
      <c r="Q64" s="114">
        <f>VLOOKUP(C64,'Talente &amp; Stuff'!GX:HY,15,FALSE)</f>
        <v>0</v>
      </c>
      <c r="R64" s="113">
        <f>VLOOKUP(C64,'Talente &amp; Stuff'!GX:HY,16,FALSE)</f>
        <v>0</v>
      </c>
      <c r="S64" s="119">
        <f>VLOOKUP(C64,'Talente &amp; Stuff'!GX:HY,17,FALSE)</f>
        <v>0</v>
      </c>
      <c r="T64" s="160">
        <f>VLOOKUP(C64,'Talente &amp; Stuff'!GX:HY,18,FALSE)</f>
        <v>0</v>
      </c>
      <c r="U64" s="89">
        <f>VLOOKUP(C64,'Talente &amp; Stuff'!GX:HY,19,FALSE)</f>
        <v>0</v>
      </c>
      <c r="V64" s="47">
        <f>VLOOKUP(C64,'Talente &amp; Stuff'!GX:HY,20,FALSE)</f>
        <v>0</v>
      </c>
      <c r="W64" s="127">
        <f>VLOOKUP(C64,'Talente &amp; Stuff'!GX:HY,21,FALSE)</f>
        <v>0</v>
      </c>
      <c r="X64" s="125">
        <f>VLOOKUP(C64,'Talente &amp; Stuff'!GX:HY,22,FALSE)</f>
        <v>0</v>
      </c>
      <c r="Y64" s="165">
        <f t="shared" si="8"/>
        <v>0</v>
      </c>
      <c r="Z64" s="44">
        <f t="shared" si="9"/>
        <v>0</v>
      </c>
      <c r="AA64" s="125">
        <f>VLOOKUP(C64,'Talente &amp; Stuff'!GX:HY,25,FALSE)</f>
        <v>0</v>
      </c>
      <c r="AB64" s="160">
        <f>VLOOKUP(C64,'Talente &amp; Stuff'!GX:HY,26,FALSE)</f>
        <v>0</v>
      </c>
      <c r="AC64" s="127">
        <f>VLOOKUP(C64,'Talente &amp; Stuff'!GX:HY,27,FALSE)</f>
        <v>0</v>
      </c>
      <c r="AD64" s="125">
        <f>VLOOKUP(C64,'Talente &amp; Stuff'!GX:HY,28,FALSE)</f>
        <v>0</v>
      </c>
      <c r="AE64" s="28"/>
    </row>
    <row r="65" spans="1:31" ht="15" hidden="1" customHeight="1" outlineLevel="2">
      <c r="B65" s="148">
        <v>9</v>
      </c>
      <c r="C65" s="177" t="str">
        <f>Attribute!C65</f>
        <v>---</v>
      </c>
      <c r="D65" s="127" t="str">
        <f>VLOOKUP(C65,'Talente &amp; Stuff'!GX:HY,2,FALSE)</f>
        <v>--/--/--</v>
      </c>
      <c r="E65" s="125" t="str">
        <f>VLOOKUP(C65,'Talente &amp; Stuff'!GX:HY,3,FALSE)</f>
        <v>-</v>
      </c>
      <c r="F65" s="114">
        <f>VLOOKUP(C65,'Talente &amp; Stuff'!GX:HY,4,FALSE)</f>
        <v>0</v>
      </c>
      <c r="G65" s="113">
        <f>VLOOKUP(C65,'Talente &amp; Stuff'!GX:HY,5,FALSE)</f>
        <v>0</v>
      </c>
      <c r="H65" s="113">
        <f>VLOOKUP(C65,'Talente &amp; Stuff'!GX:HY,6,FALSE)</f>
        <v>0</v>
      </c>
      <c r="I65" s="113">
        <f>VLOOKUP(C65,'Talente &amp; Stuff'!GX:HY,7,FALSE)</f>
        <v>0</v>
      </c>
      <c r="J65" s="113">
        <f>VLOOKUP(C65,'Talente &amp; Stuff'!GX:HY,8,FALSE)</f>
        <v>0</v>
      </c>
      <c r="K65" s="113">
        <f>VLOOKUP(C65,'Talente &amp; Stuff'!GX:HY,9,FALSE)</f>
        <v>0</v>
      </c>
      <c r="L65" s="113">
        <f>VLOOKUP(C65,'Talente &amp; Stuff'!GX:HY,10,FALSE)</f>
        <v>0</v>
      </c>
      <c r="M65" s="119">
        <f>VLOOKUP(C65,'Talente &amp; Stuff'!GX:HY,11,FALSE)</f>
        <v>0</v>
      </c>
      <c r="N65" s="89">
        <f>VLOOKUP(C65,'Talente &amp; Stuff'!GX:HY,12,FALSE)</f>
        <v>0</v>
      </c>
      <c r="O65" s="47">
        <f>VLOOKUP(C65,'Talente &amp; Stuff'!GX:HY,13,FALSE)</f>
        <v>0</v>
      </c>
      <c r="P65" s="119">
        <f>VLOOKUP(C65,'Talente &amp; Stuff'!GX:HY,14,FALSE)</f>
        <v>0</v>
      </c>
      <c r="Q65" s="114">
        <f>VLOOKUP(C65,'Talente &amp; Stuff'!GX:HY,15,FALSE)</f>
        <v>0</v>
      </c>
      <c r="R65" s="113">
        <f>VLOOKUP(C65,'Talente &amp; Stuff'!GX:HY,16,FALSE)</f>
        <v>0</v>
      </c>
      <c r="S65" s="119">
        <f>VLOOKUP(C65,'Talente &amp; Stuff'!GX:HY,17,FALSE)</f>
        <v>0</v>
      </c>
      <c r="T65" s="160">
        <f>VLOOKUP(C65,'Talente &amp; Stuff'!GX:HY,18,FALSE)</f>
        <v>0</v>
      </c>
      <c r="U65" s="89">
        <f>VLOOKUP(C65,'Talente &amp; Stuff'!GX:HY,19,FALSE)</f>
        <v>0</v>
      </c>
      <c r="V65" s="47">
        <f>VLOOKUP(C65,'Talente &amp; Stuff'!GX:HY,20,FALSE)</f>
        <v>0</v>
      </c>
      <c r="W65" s="127">
        <f>VLOOKUP(C65,'Talente &amp; Stuff'!GX:HY,21,FALSE)</f>
        <v>0</v>
      </c>
      <c r="X65" s="125">
        <f>VLOOKUP(C65,'Talente &amp; Stuff'!GX:HY,22,FALSE)</f>
        <v>0</v>
      </c>
      <c r="Y65" s="165">
        <f t="shared" si="8"/>
        <v>0</v>
      </c>
      <c r="Z65" s="44">
        <f t="shared" si="9"/>
        <v>0</v>
      </c>
      <c r="AA65" s="125">
        <f>VLOOKUP(C65,'Talente &amp; Stuff'!GX:HY,25,FALSE)</f>
        <v>0</v>
      </c>
      <c r="AB65" s="160">
        <f>VLOOKUP(C65,'Talente &amp; Stuff'!GX:HY,26,FALSE)</f>
        <v>0</v>
      </c>
      <c r="AC65" s="127">
        <f>VLOOKUP(C65,'Talente &amp; Stuff'!GX:HY,27,FALSE)</f>
        <v>0</v>
      </c>
      <c r="AD65" s="125">
        <f>VLOOKUP(C65,'Talente &amp; Stuff'!GX:HY,28,FALSE)</f>
        <v>0</v>
      </c>
      <c r="AE65" s="28"/>
    </row>
    <row r="66" spans="1:31" ht="15" hidden="1" customHeight="1" outlineLevel="2">
      <c r="B66" s="148">
        <v>10</v>
      </c>
      <c r="C66" s="177" t="str">
        <f>Attribute!C66</f>
        <v>---</v>
      </c>
      <c r="D66" s="127" t="str">
        <f>VLOOKUP(C66,'Talente &amp; Stuff'!GX:HY,2,FALSE)</f>
        <v>--/--/--</v>
      </c>
      <c r="E66" s="125" t="str">
        <f>VLOOKUP(C66,'Talente &amp; Stuff'!GX:HY,3,FALSE)</f>
        <v>-</v>
      </c>
      <c r="F66" s="114">
        <f>VLOOKUP(C66,'Talente &amp; Stuff'!GX:HY,4,FALSE)</f>
        <v>0</v>
      </c>
      <c r="G66" s="113">
        <f>VLOOKUP(C66,'Talente &amp; Stuff'!GX:HY,5,FALSE)</f>
        <v>0</v>
      </c>
      <c r="H66" s="113">
        <f>VLOOKUP(C66,'Talente &amp; Stuff'!GX:HY,6,FALSE)</f>
        <v>0</v>
      </c>
      <c r="I66" s="113">
        <f>VLOOKUP(C66,'Talente &amp; Stuff'!GX:HY,7,FALSE)</f>
        <v>0</v>
      </c>
      <c r="J66" s="113">
        <f>VLOOKUP(C66,'Talente &amp; Stuff'!GX:HY,8,FALSE)</f>
        <v>0</v>
      </c>
      <c r="K66" s="113">
        <f>VLOOKUP(C66,'Talente &amp; Stuff'!GX:HY,9,FALSE)</f>
        <v>0</v>
      </c>
      <c r="L66" s="113">
        <f>VLOOKUP(C66,'Talente &amp; Stuff'!GX:HY,10,FALSE)</f>
        <v>0</v>
      </c>
      <c r="M66" s="119">
        <f>VLOOKUP(C66,'Talente &amp; Stuff'!GX:HY,11,FALSE)</f>
        <v>0</v>
      </c>
      <c r="N66" s="89">
        <f>VLOOKUP(C66,'Talente &amp; Stuff'!GX:HY,12,FALSE)</f>
        <v>0</v>
      </c>
      <c r="O66" s="47">
        <f>VLOOKUP(C66,'Talente &amp; Stuff'!GX:HY,13,FALSE)</f>
        <v>0</v>
      </c>
      <c r="P66" s="119">
        <f>VLOOKUP(C66,'Talente &amp; Stuff'!GX:HY,14,FALSE)</f>
        <v>0</v>
      </c>
      <c r="Q66" s="114">
        <f>VLOOKUP(C66,'Talente &amp; Stuff'!GX:HY,15,FALSE)</f>
        <v>0</v>
      </c>
      <c r="R66" s="113">
        <f>VLOOKUP(C66,'Talente &amp; Stuff'!GX:HY,16,FALSE)</f>
        <v>0</v>
      </c>
      <c r="S66" s="119">
        <f>VLOOKUP(C66,'Talente &amp; Stuff'!GX:HY,17,FALSE)</f>
        <v>0</v>
      </c>
      <c r="T66" s="160">
        <f>VLOOKUP(C66,'Talente &amp; Stuff'!GX:HY,18,FALSE)</f>
        <v>0</v>
      </c>
      <c r="U66" s="89">
        <f>VLOOKUP(C66,'Talente &amp; Stuff'!GX:HY,19,FALSE)</f>
        <v>0</v>
      </c>
      <c r="V66" s="47">
        <f>VLOOKUP(C66,'Talente &amp; Stuff'!GX:HY,20,FALSE)</f>
        <v>0</v>
      </c>
      <c r="W66" s="127">
        <f>VLOOKUP(C66,'Talente &amp; Stuff'!GX:HY,21,FALSE)</f>
        <v>0</v>
      </c>
      <c r="X66" s="125">
        <f>VLOOKUP(C66,'Talente &amp; Stuff'!GX:HY,22,FALSE)</f>
        <v>0</v>
      </c>
      <c r="Y66" s="165">
        <f t="shared" si="8"/>
        <v>0</v>
      </c>
      <c r="Z66" s="44">
        <f t="shared" si="9"/>
        <v>0</v>
      </c>
      <c r="AA66" s="125">
        <f>VLOOKUP(C66,'Talente &amp; Stuff'!GX:HY,25,FALSE)</f>
        <v>0</v>
      </c>
      <c r="AB66" s="160">
        <f>VLOOKUP(C66,'Talente &amp; Stuff'!GX:HY,26,FALSE)</f>
        <v>0</v>
      </c>
      <c r="AC66" s="127">
        <f>VLOOKUP(C66,'Talente &amp; Stuff'!GX:HY,27,FALSE)</f>
        <v>0</v>
      </c>
      <c r="AD66" s="125">
        <f>VLOOKUP(C66,'Talente &amp; Stuff'!GX:HY,28,FALSE)</f>
        <v>0</v>
      </c>
      <c r="AE66" s="28"/>
    </row>
    <row r="67" spans="1:31" ht="15" hidden="1" customHeight="1" outlineLevel="2">
      <c r="B67" s="148">
        <v>11</v>
      </c>
      <c r="C67" s="177" t="str">
        <f>Attribute!C67</f>
        <v>---</v>
      </c>
      <c r="D67" s="127" t="str">
        <f>VLOOKUP(C67,'Talente &amp; Stuff'!GX:HY,2,FALSE)</f>
        <v>--/--/--</v>
      </c>
      <c r="E67" s="125" t="str">
        <f>VLOOKUP(C67,'Talente &amp; Stuff'!GX:HY,3,FALSE)</f>
        <v>-</v>
      </c>
      <c r="F67" s="114">
        <f>VLOOKUP(C67,'Talente &amp; Stuff'!GX:HY,4,FALSE)</f>
        <v>0</v>
      </c>
      <c r="G67" s="113">
        <f>VLOOKUP(C67,'Talente &amp; Stuff'!GX:HY,5,FALSE)</f>
        <v>0</v>
      </c>
      <c r="H67" s="113">
        <f>VLOOKUP(C67,'Talente &amp; Stuff'!GX:HY,6,FALSE)</f>
        <v>0</v>
      </c>
      <c r="I67" s="113">
        <f>VLOOKUP(C67,'Talente &amp; Stuff'!GX:HY,7,FALSE)</f>
        <v>0</v>
      </c>
      <c r="J67" s="113">
        <f>VLOOKUP(C67,'Talente &amp; Stuff'!GX:HY,8,FALSE)</f>
        <v>0</v>
      </c>
      <c r="K67" s="113">
        <f>VLOOKUP(C67,'Talente &amp; Stuff'!GX:HY,9,FALSE)</f>
        <v>0</v>
      </c>
      <c r="L67" s="113">
        <f>VLOOKUP(C67,'Talente &amp; Stuff'!GX:HY,10,FALSE)</f>
        <v>0</v>
      </c>
      <c r="M67" s="119">
        <f>VLOOKUP(C67,'Talente &amp; Stuff'!GX:HY,11,FALSE)</f>
        <v>0</v>
      </c>
      <c r="N67" s="89">
        <f>VLOOKUP(C67,'Talente &amp; Stuff'!GX:HY,12,FALSE)</f>
        <v>0</v>
      </c>
      <c r="O67" s="47">
        <f>VLOOKUP(C67,'Talente &amp; Stuff'!GX:HY,13,FALSE)</f>
        <v>0</v>
      </c>
      <c r="P67" s="119">
        <f>VLOOKUP(C67,'Talente &amp; Stuff'!GX:HY,14,FALSE)</f>
        <v>0</v>
      </c>
      <c r="Q67" s="114">
        <f>VLOOKUP(C67,'Talente &amp; Stuff'!GX:HY,15,FALSE)</f>
        <v>0</v>
      </c>
      <c r="R67" s="113">
        <f>VLOOKUP(C67,'Talente &amp; Stuff'!GX:HY,16,FALSE)</f>
        <v>0</v>
      </c>
      <c r="S67" s="119">
        <f>VLOOKUP(C67,'Talente &amp; Stuff'!GX:HY,17,FALSE)</f>
        <v>0</v>
      </c>
      <c r="T67" s="160">
        <f>VLOOKUP(C67,'Talente &amp; Stuff'!GX:HY,18,FALSE)</f>
        <v>0</v>
      </c>
      <c r="U67" s="89">
        <f>VLOOKUP(C67,'Talente &amp; Stuff'!GX:HY,19,FALSE)</f>
        <v>0</v>
      </c>
      <c r="V67" s="47">
        <f>VLOOKUP(C67,'Talente &amp; Stuff'!GX:HY,20,FALSE)</f>
        <v>0</v>
      </c>
      <c r="W67" s="127">
        <f>VLOOKUP(C67,'Talente &amp; Stuff'!GX:HY,21,FALSE)</f>
        <v>0</v>
      </c>
      <c r="X67" s="125">
        <f>VLOOKUP(C67,'Talente &amp; Stuff'!GX:HY,22,FALSE)</f>
        <v>0</v>
      </c>
      <c r="Y67" s="165">
        <f t="shared" si="8"/>
        <v>0</v>
      </c>
      <c r="Z67" s="44">
        <f t="shared" si="9"/>
        <v>0</v>
      </c>
      <c r="AA67" s="125">
        <f>VLOOKUP(C67,'Talente &amp; Stuff'!GX:HY,25,FALSE)</f>
        <v>0</v>
      </c>
      <c r="AB67" s="160">
        <f>VLOOKUP(C67,'Talente &amp; Stuff'!GX:HY,26,FALSE)</f>
        <v>0</v>
      </c>
      <c r="AC67" s="127">
        <f>VLOOKUP(C67,'Talente &amp; Stuff'!GX:HY,27,FALSE)</f>
        <v>0</v>
      </c>
      <c r="AD67" s="125">
        <f>VLOOKUP(C67,'Talente &amp; Stuff'!GX:HY,28,FALSE)</f>
        <v>0</v>
      </c>
      <c r="AE67" s="28"/>
    </row>
    <row r="68" spans="1:31" ht="15" hidden="1" customHeight="1" outlineLevel="2">
      <c r="B68" s="148">
        <v>12</v>
      </c>
      <c r="C68" s="177" t="str">
        <f>Attribute!C68</f>
        <v>---</v>
      </c>
      <c r="D68" s="127" t="str">
        <f>VLOOKUP(C68,'Talente &amp; Stuff'!GX:HY,2,FALSE)</f>
        <v>--/--/--</v>
      </c>
      <c r="E68" s="125" t="str">
        <f>VLOOKUP(C68,'Talente &amp; Stuff'!GX:HY,3,FALSE)</f>
        <v>-</v>
      </c>
      <c r="F68" s="114">
        <f>VLOOKUP(C68,'Talente &amp; Stuff'!GX:HY,4,FALSE)</f>
        <v>0</v>
      </c>
      <c r="G68" s="113">
        <f>VLOOKUP(C68,'Talente &amp; Stuff'!GX:HY,5,FALSE)</f>
        <v>0</v>
      </c>
      <c r="H68" s="113">
        <f>VLOOKUP(C68,'Talente &amp; Stuff'!GX:HY,6,FALSE)</f>
        <v>0</v>
      </c>
      <c r="I68" s="113">
        <f>VLOOKUP(C68,'Talente &amp; Stuff'!GX:HY,7,FALSE)</f>
        <v>0</v>
      </c>
      <c r="J68" s="113">
        <f>VLOOKUP(C68,'Talente &amp; Stuff'!GX:HY,8,FALSE)</f>
        <v>0</v>
      </c>
      <c r="K68" s="113">
        <f>VLOOKUP(C68,'Talente &amp; Stuff'!GX:HY,9,FALSE)</f>
        <v>0</v>
      </c>
      <c r="L68" s="113">
        <f>VLOOKUP(C68,'Talente &amp; Stuff'!GX:HY,10,FALSE)</f>
        <v>0</v>
      </c>
      <c r="M68" s="119">
        <f>VLOOKUP(C68,'Talente &amp; Stuff'!GX:HY,11,FALSE)</f>
        <v>0</v>
      </c>
      <c r="N68" s="89">
        <f>VLOOKUP(C68,'Talente &amp; Stuff'!GX:HY,12,FALSE)</f>
        <v>0</v>
      </c>
      <c r="O68" s="47">
        <f>VLOOKUP(C68,'Talente &amp; Stuff'!GX:HY,13,FALSE)</f>
        <v>0</v>
      </c>
      <c r="P68" s="119">
        <f>VLOOKUP(C68,'Talente &amp; Stuff'!GX:HY,14,FALSE)</f>
        <v>0</v>
      </c>
      <c r="Q68" s="114">
        <f>VLOOKUP(C68,'Talente &amp; Stuff'!GX:HY,15,FALSE)</f>
        <v>0</v>
      </c>
      <c r="R68" s="113">
        <f>VLOOKUP(C68,'Talente &amp; Stuff'!GX:HY,16,FALSE)</f>
        <v>0</v>
      </c>
      <c r="S68" s="119">
        <f>VLOOKUP(C68,'Talente &amp; Stuff'!GX:HY,17,FALSE)</f>
        <v>0</v>
      </c>
      <c r="T68" s="160">
        <f>VLOOKUP(C68,'Talente &amp; Stuff'!GX:HY,18,FALSE)</f>
        <v>0</v>
      </c>
      <c r="U68" s="89">
        <f>VLOOKUP(C68,'Talente &amp; Stuff'!GX:HY,19,FALSE)</f>
        <v>0</v>
      </c>
      <c r="V68" s="47">
        <f>VLOOKUP(C68,'Talente &amp; Stuff'!GX:HY,20,FALSE)</f>
        <v>0</v>
      </c>
      <c r="W68" s="127">
        <f>VLOOKUP(C68,'Talente &amp; Stuff'!GX:HY,21,FALSE)</f>
        <v>0</v>
      </c>
      <c r="X68" s="125">
        <f>VLOOKUP(C68,'Talente &amp; Stuff'!GX:HY,22,FALSE)</f>
        <v>0</v>
      </c>
      <c r="Y68" s="165">
        <f t="shared" si="8"/>
        <v>0</v>
      </c>
      <c r="Z68" s="44">
        <f t="shared" si="9"/>
        <v>0</v>
      </c>
      <c r="AA68" s="125">
        <f>VLOOKUP(C68,'Talente &amp; Stuff'!GX:HY,25,FALSE)</f>
        <v>0</v>
      </c>
      <c r="AB68" s="160">
        <f>VLOOKUP(C68,'Talente &amp; Stuff'!GX:HY,26,FALSE)</f>
        <v>0</v>
      </c>
      <c r="AC68" s="127">
        <f>VLOOKUP(C68,'Talente &amp; Stuff'!GX:HY,27,FALSE)</f>
        <v>0</v>
      </c>
      <c r="AD68" s="125">
        <f>VLOOKUP(C68,'Talente &amp; Stuff'!GX:HY,28,FALSE)</f>
        <v>0</v>
      </c>
      <c r="AE68" s="28"/>
    </row>
    <row r="69" spans="1:31" ht="15" hidden="1" customHeight="1" outlineLevel="2">
      <c r="B69" s="148">
        <v>13</v>
      </c>
      <c r="C69" s="177" t="str">
        <f>Attribute!C69</f>
        <v>---</v>
      </c>
      <c r="D69" s="127" t="str">
        <f>VLOOKUP(C69,'Talente &amp; Stuff'!GX:HY,2,FALSE)</f>
        <v>--/--/--</v>
      </c>
      <c r="E69" s="125" t="str">
        <f>VLOOKUP(C69,'Talente &amp; Stuff'!GX:HY,3,FALSE)</f>
        <v>-</v>
      </c>
      <c r="F69" s="114">
        <f>VLOOKUP(C69,'Talente &amp; Stuff'!GX:HY,4,FALSE)</f>
        <v>0</v>
      </c>
      <c r="G69" s="113">
        <f>VLOOKUP(C69,'Talente &amp; Stuff'!GX:HY,5,FALSE)</f>
        <v>0</v>
      </c>
      <c r="H69" s="113">
        <f>VLOOKUP(C69,'Talente &amp; Stuff'!GX:HY,6,FALSE)</f>
        <v>0</v>
      </c>
      <c r="I69" s="113">
        <f>VLOOKUP(C69,'Talente &amp; Stuff'!GX:HY,7,FALSE)</f>
        <v>0</v>
      </c>
      <c r="J69" s="113">
        <f>VLOOKUP(C69,'Talente &amp; Stuff'!GX:HY,8,FALSE)</f>
        <v>0</v>
      </c>
      <c r="K69" s="113">
        <f>VLOOKUP(C69,'Talente &amp; Stuff'!GX:HY,9,FALSE)</f>
        <v>0</v>
      </c>
      <c r="L69" s="113">
        <f>VLOOKUP(C69,'Talente &amp; Stuff'!GX:HY,10,FALSE)</f>
        <v>0</v>
      </c>
      <c r="M69" s="119">
        <f>VLOOKUP(C69,'Talente &amp; Stuff'!GX:HY,11,FALSE)</f>
        <v>0</v>
      </c>
      <c r="N69" s="89">
        <f>VLOOKUP(C69,'Talente &amp; Stuff'!GX:HY,12,FALSE)</f>
        <v>0</v>
      </c>
      <c r="O69" s="47">
        <f>VLOOKUP(C69,'Talente &amp; Stuff'!GX:HY,13,FALSE)</f>
        <v>0</v>
      </c>
      <c r="P69" s="119">
        <f>VLOOKUP(C69,'Talente &amp; Stuff'!GX:HY,14,FALSE)</f>
        <v>0</v>
      </c>
      <c r="Q69" s="114">
        <f>VLOOKUP(C69,'Talente &amp; Stuff'!GX:HY,15,FALSE)</f>
        <v>0</v>
      </c>
      <c r="R69" s="113">
        <f>VLOOKUP(C69,'Talente &amp; Stuff'!GX:HY,16,FALSE)</f>
        <v>0</v>
      </c>
      <c r="S69" s="119">
        <f>VLOOKUP(C69,'Talente &amp; Stuff'!GX:HY,17,FALSE)</f>
        <v>0</v>
      </c>
      <c r="T69" s="160">
        <f>VLOOKUP(C69,'Talente &amp; Stuff'!GX:HY,18,FALSE)</f>
        <v>0</v>
      </c>
      <c r="U69" s="89">
        <f>VLOOKUP(C69,'Talente &amp; Stuff'!GX:HY,19,FALSE)</f>
        <v>0</v>
      </c>
      <c r="V69" s="47">
        <f>VLOOKUP(C69,'Talente &amp; Stuff'!GX:HY,20,FALSE)</f>
        <v>0</v>
      </c>
      <c r="W69" s="127">
        <f>VLOOKUP(C69,'Talente &amp; Stuff'!GX:HY,21,FALSE)</f>
        <v>0</v>
      </c>
      <c r="X69" s="125">
        <f>VLOOKUP(C69,'Talente &amp; Stuff'!GX:HY,22,FALSE)</f>
        <v>0</v>
      </c>
      <c r="Y69" s="165">
        <f t="shared" si="8"/>
        <v>0</v>
      </c>
      <c r="Z69" s="44">
        <f t="shared" si="9"/>
        <v>0</v>
      </c>
      <c r="AA69" s="125">
        <f>VLOOKUP(C69,'Talente &amp; Stuff'!GX:HY,25,FALSE)</f>
        <v>0</v>
      </c>
      <c r="AB69" s="160">
        <f>VLOOKUP(C69,'Talente &amp; Stuff'!GX:HY,26,FALSE)</f>
        <v>0</v>
      </c>
      <c r="AC69" s="127">
        <f>VLOOKUP(C69,'Talente &amp; Stuff'!GX:HY,27,FALSE)</f>
        <v>0</v>
      </c>
      <c r="AD69" s="125">
        <f>VLOOKUP(C69,'Talente &amp; Stuff'!GX:HY,28,FALSE)</f>
        <v>0</v>
      </c>
      <c r="AE69" s="28"/>
    </row>
    <row r="70" spans="1:31" ht="15" hidden="1" customHeight="1" outlineLevel="2">
      <c r="B70" s="148">
        <v>14</v>
      </c>
      <c r="C70" s="177" t="str">
        <f>Attribute!C70</f>
        <v>---</v>
      </c>
      <c r="D70" s="127" t="str">
        <f>VLOOKUP(C70,'Talente &amp; Stuff'!GX:HY,2,FALSE)</f>
        <v>--/--/--</v>
      </c>
      <c r="E70" s="125" t="str">
        <f>VLOOKUP(C70,'Talente &amp; Stuff'!GX:HY,3,FALSE)</f>
        <v>-</v>
      </c>
      <c r="F70" s="114">
        <f>VLOOKUP(C70,'Talente &amp; Stuff'!GX:HY,4,FALSE)</f>
        <v>0</v>
      </c>
      <c r="G70" s="113">
        <f>VLOOKUP(C70,'Talente &amp; Stuff'!GX:HY,5,FALSE)</f>
        <v>0</v>
      </c>
      <c r="H70" s="113">
        <f>VLOOKUP(C70,'Talente &amp; Stuff'!GX:HY,6,FALSE)</f>
        <v>0</v>
      </c>
      <c r="I70" s="113">
        <f>VLOOKUP(C70,'Talente &amp; Stuff'!GX:HY,7,FALSE)</f>
        <v>0</v>
      </c>
      <c r="J70" s="113">
        <f>VLOOKUP(C70,'Talente &amp; Stuff'!GX:HY,8,FALSE)</f>
        <v>0</v>
      </c>
      <c r="K70" s="113">
        <f>VLOOKUP(C70,'Talente &amp; Stuff'!GX:HY,9,FALSE)</f>
        <v>0</v>
      </c>
      <c r="L70" s="113">
        <f>VLOOKUP(C70,'Talente &amp; Stuff'!GX:HY,10,FALSE)</f>
        <v>0</v>
      </c>
      <c r="M70" s="119">
        <f>VLOOKUP(C70,'Talente &amp; Stuff'!GX:HY,11,FALSE)</f>
        <v>0</v>
      </c>
      <c r="N70" s="89">
        <f>VLOOKUP(C70,'Talente &amp; Stuff'!GX:HY,12,FALSE)</f>
        <v>0</v>
      </c>
      <c r="O70" s="47">
        <f>VLOOKUP(C70,'Talente &amp; Stuff'!GX:HY,13,FALSE)</f>
        <v>0</v>
      </c>
      <c r="P70" s="119">
        <f>VLOOKUP(C70,'Talente &amp; Stuff'!GX:HY,14,FALSE)</f>
        <v>0</v>
      </c>
      <c r="Q70" s="114">
        <f>VLOOKUP(C70,'Talente &amp; Stuff'!GX:HY,15,FALSE)</f>
        <v>0</v>
      </c>
      <c r="R70" s="113">
        <f>VLOOKUP(C70,'Talente &amp; Stuff'!GX:HY,16,FALSE)</f>
        <v>0</v>
      </c>
      <c r="S70" s="119">
        <f>VLOOKUP(C70,'Talente &amp; Stuff'!GX:HY,17,FALSE)</f>
        <v>0</v>
      </c>
      <c r="T70" s="160">
        <f>VLOOKUP(C70,'Talente &amp; Stuff'!GX:HY,18,FALSE)</f>
        <v>0</v>
      </c>
      <c r="U70" s="89">
        <f>VLOOKUP(C70,'Talente &amp; Stuff'!GX:HY,19,FALSE)</f>
        <v>0</v>
      </c>
      <c r="V70" s="47">
        <f>VLOOKUP(C70,'Talente &amp; Stuff'!GX:HY,20,FALSE)</f>
        <v>0</v>
      </c>
      <c r="W70" s="127">
        <f>VLOOKUP(C70,'Talente &amp; Stuff'!GX:HY,21,FALSE)</f>
        <v>0</v>
      </c>
      <c r="X70" s="125">
        <f>VLOOKUP(C70,'Talente &amp; Stuff'!GX:HY,22,FALSE)</f>
        <v>0</v>
      </c>
      <c r="Y70" s="165">
        <f t="shared" si="8"/>
        <v>0</v>
      </c>
      <c r="Z70" s="44">
        <f t="shared" si="9"/>
        <v>0</v>
      </c>
      <c r="AA70" s="125">
        <f>VLOOKUP(C70,'Talente &amp; Stuff'!GX:HY,25,FALSE)</f>
        <v>0</v>
      </c>
      <c r="AB70" s="160">
        <f>VLOOKUP(C70,'Talente &amp; Stuff'!GX:HY,26,FALSE)</f>
        <v>0</v>
      </c>
      <c r="AC70" s="127">
        <f>VLOOKUP(C70,'Talente &amp; Stuff'!GX:HY,27,FALSE)</f>
        <v>0</v>
      </c>
      <c r="AD70" s="125">
        <f>VLOOKUP(C70,'Talente &amp; Stuff'!GX:HY,28,FALSE)</f>
        <v>0</v>
      </c>
      <c r="AE70" s="28"/>
    </row>
    <row r="71" spans="1:31" ht="15" hidden="1" customHeight="1" outlineLevel="2">
      <c r="B71" s="148">
        <v>15</v>
      </c>
      <c r="C71" s="177" t="str">
        <f>Attribute!C71</f>
        <v>---</v>
      </c>
      <c r="D71" s="127" t="str">
        <f>VLOOKUP(C71,'Talente &amp; Stuff'!GX:HY,2,FALSE)</f>
        <v>--/--/--</v>
      </c>
      <c r="E71" s="125" t="str">
        <f>VLOOKUP(C71,'Talente &amp; Stuff'!GX:HY,3,FALSE)</f>
        <v>-</v>
      </c>
      <c r="F71" s="114">
        <f>VLOOKUP(C71,'Talente &amp; Stuff'!GX:HY,4,FALSE)</f>
        <v>0</v>
      </c>
      <c r="G71" s="113">
        <f>VLOOKUP(C71,'Talente &amp; Stuff'!GX:HY,5,FALSE)</f>
        <v>0</v>
      </c>
      <c r="H71" s="113">
        <f>VLOOKUP(C71,'Talente &amp; Stuff'!GX:HY,6,FALSE)</f>
        <v>0</v>
      </c>
      <c r="I71" s="113">
        <f>VLOOKUP(C71,'Talente &amp; Stuff'!GX:HY,7,FALSE)</f>
        <v>0</v>
      </c>
      <c r="J71" s="113">
        <f>VLOOKUP(C71,'Talente &amp; Stuff'!GX:HY,8,FALSE)</f>
        <v>0</v>
      </c>
      <c r="K71" s="113">
        <f>VLOOKUP(C71,'Talente &amp; Stuff'!GX:HY,9,FALSE)</f>
        <v>0</v>
      </c>
      <c r="L71" s="113">
        <f>VLOOKUP(C71,'Talente &amp; Stuff'!GX:HY,10,FALSE)</f>
        <v>0</v>
      </c>
      <c r="M71" s="119">
        <f>VLOOKUP(C71,'Talente &amp; Stuff'!GX:HY,11,FALSE)</f>
        <v>0</v>
      </c>
      <c r="N71" s="89">
        <f>VLOOKUP(C71,'Talente &amp; Stuff'!GX:HY,12,FALSE)</f>
        <v>0</v>
      </c>
      <c r="O71" s="47">
        <f>VLOOKUP(C71,'Talente &amp; Stuff'!GX:HY,13,FALSE)</f>
        <v>0</v>
      </c>
      <c r="P71" s="119">
        <f>VLOOKUP(C71,'Talente &amp; Stuff'!GX:HY,14,FALSE)</f>
        <v>0</v>
      </c>
      <c r="Q71" s="114">
        <f>VLOOKUP(C71,'Talente &amp; Stuff'!GX:HY,15,FALSE)</f>
        <v>0</v>
      </c>
      <c r="R71" s="113">
        <f>VLOOKUP(C71,'Talente &amp; Stuff'!GX:HY,16,FALSE)</f>
        <v>0</v>
      </c>
      <c r="S71" s="119">
        <f>VLOOKUP(C71,'Talente &amp; Stuff'!GX:HY,17,FALSE)</f>
        <v>0</v>
      </c>
      <c r="T71" s="160">
        <f>VLOOKUP(C71,'Talente &amp; Stuff'!GX:HY,18,FALSE)</f>
        <v>0</v>
      </c>
      <c r="U71" s="89">
        <f>VLOOKUP(C71,'Talente &amp; Stuff'!GX:HY,19,FALSE)</f>
        <v>0</v>
      </c>
      <c r="V71" s="47">
        <f>VLOOKUP(C71,'Talente &amp; Stuff'!GX:HY,20,FALSE)</f>
        <v>0</v>
      </c>
      <c r="W71" s="127">
        <f>VLOOKUP(C71,'Talente &amp; Stuff'!GX:HY,21,FALSE)</f>
        <v>0</v>
      </c>
      <c r="X71" s="125">
        <f>VLOOKUP(C71,'Talente &amp; Stuff'!GX:HY,22,FALSE)</f>
        <v>0</v>
      </c>
      <c r="Y71" s="165">
        <f t="shared" si="8"/>
        <v>0</v>
      </c>
      <c r="Z71" s="44">
        <f t="shared" si="9"/>
        <v>0</v>
      </c>
      <c r="AA71" s="125">
        <f>VLOOKUP(C71,'Talente &amp; Stuff'!GX:HY,25,FALSE)</f>
        <v>0</v>
      </c>
      <c r="AB71" s="160">
        <f>VLOOKUP(C71,'Talente &amp; Stuff'!GX:HY,26,FALSE)</f>
        <v>0</v>
      </c>
      <c r="AC71" s="127">
        <f>VLOOKUP(C71,'Talente &amp; Stuff'!GX:HY,27,FALSE)</f>
        <v>0</v>
      </c>
      <c r="AD71" s="125">
        <f>VLOOKUP(C71,'Talente &amp; Stuff'!GX:HY,28,FALSE)</f>
        <v>0</v>
      </c>
      <c r="AE71" s="28"/>
    </row>
    <row r="72" spans="1:31" ht="15" hidden="1" customHeight="1" outlineLevel="2">
      <c r="B72" s="148">
        <v>16</v>
      </c>
      <c r="C72" s="177" t="str">
        <f>Attribute!C72</f>
        <v>---</v>
      </c>
      <c r="D72" s="127" t="str">
        <f>VLOOKUP(C72,'Talente &amp; Stuff'!GX:HY,2,FALSE)</f>
        <v>--/--/--</v>
      </c>
      <c r="E72" s="125" t="str">
        <f>VLOOKUP(C72,'Talente &amp; Stuff'!GX:HY,3,FALSE)</f>
        <v>-</v>
      </c>
      <c r="F72" s="114">
        <f>VLOOKUP(C72,'Talente &amp; Stuff'!GX:HY,4,FALSE)</f>
        <v>0</v>
      </c>
      <c r="G72" s="113">
        <f>VLOOKUP(C72,'Talente &amp; Stuff'!GX:HY,5,FALSE)</f>
        <v>0</v>
      </c>
      <c r="H72" s="113">
        <f>VLOOKUP(C72,'Talente &amp; Stuff'!GX:HY,6,FALSE)</f>
        <v>0</v>
      </c>
      <c r="I72" s="113">
        <f>VLOOKUP(C72,'Talente &amp; Stuff'!GX:HY,7,FALSE)</f>
        <v>0</v>
      </c>
      <c r="J72" s="113">
        <f>VLOOKUP(C72,'Talente &amp; Stuff'!GX:HY,8,FALSE)</f>
        <v>0</v>
      </c>
      <c r="K72" s="113">
        <f>VLOOKUP(C72,'Talente &amp; Stuff'!GX:HY,9,FALSE)</f>
        <v>0</v>
      </c>
      <c r="L72" s="113">
        <f>VLOOKUP(C72,'Talente &amp; Stuff'!GX:HY,10,FALSE)</f>
        <v>0</v>
      </c>
      <c r="M72" s="119">
        <f>VLOOKUP(C72,'Talente &amp; Stuff'!GX:HY,11,FALSE)</f>
        <v>0</v>
      </c>
      <c r="N72" s="89">
        <f>VLOOKUP(C72,'Talente &amp; Stuff'!GX:HY,12,FALSE)</f>
        <v>0</v>
      </c>
      <c r="O72" s="47">
        <f>VLOOKUP(C72,'Talente &amp; Stuff'!GX:HY,13,FALSE)</f>
        <v>0</v>
      </c>
      <c r="P72" s="119">
        <f>VLOOKUP(C72,'Talente &amp; Stuff'!GX:HY,14,FALSE)</f>
        <v>0</v>
      </c>
      <c r="Q72" s="114">
        <f>VLOOKUP(C72,'Talente &amp; Stuff'!GX:HY,15,FALSE)</f>
        <v>0</v>
      </c>
      <c r="R72" s="113">
        <f>VLOOKUP(C72,'Talente &amp; Stuff'!GX:HY,16,FALSE)</f>
        <v>0</v>
      </c>
      <c r="S72" s="119">
        <f>VLOOKUP(C72,'Talente &amp; Stuff'!GX:HY,17,FALSE)</f>
        <v>0</v>
      </c>
      <c r="T72" s="160">
        <f>VLOOKUP(C72,'Talente &amp; Stuff'!GX:HY,18,FALSE)</f>
        <v>0</v>
      </c>
      <c r="U72" s="89">
        <f>VLOOKUP(C72,'Talente &amp; Stuff'!GX:HY,19,FALSE)</f>
        <v>0</v>
      </c>
      <c r="V72" s="47">
        <f>VLOOKUP(C72,'Talente &amp; Stuff'!GX:HY,20,FALSE)</f>
        <v>0</v>
      </c>
      <c r="W72" s="127">
        <f>VLOOKUP(C72,'Talente &amp; Stuff'!GX:HY,21,FALSE)</f>
        <v>0</v>
      </c>
      <c r="X72" s="125">
        <f>VLOOKUP(C72,'Talente &amp; Stuff'!GX:HY,22,FALSE)</f>
        <v>0</v>
      </c>
      <c r="Y72" s="165">
        <f t="shared" si="8"/>
        <v>0</v>
      </c>
      <c r="Z72" s="44">
        <f t="shared" si="9"/>
        <v>0</v>
      </c>
      <c r="AA72" s="125">
        <f>VLOOKUP(C72,'Talente &amp; Stuff'!GX:HY,25,FALSE)</f>
        <v>0</v>
      </c>
      <c r="AB72" s="160">
        <f>VLOOKUP(C72,'Talente &amp; Stuff'!GX:HY,26,FALSE)</f>
        <v>0</v>
      </c>
      <c r="AC72" s="127">
        <f>VLOOKUP(C72,'Talente &amp; Stuff'!GX:HY,27,FALSE)</f>
        <v>0</v>
      </c>
      <c r="AD72" s="125">
        <f>VLOOKUP(C72,'Talente &amp; Stuff'!GX:HY,28,FALSE)</f>
        <v>0</v>
      </c>
      <c r="AE72" s="28"/>
    </row>
    <row r="73" spans="1:31" ht="15" hidden="1" customHeight="1" outlineLevel="2">
      <c r="B73" s="148">
        <v>17</v>
      </c>
      <c r="C73" s="178" t="str">
        <f>Attribute!C73</f>
        <v>---</v>
      </c>
      <c r="D73" s="128" t="str">
        <f>VLOOKUP(C73,'Talente &amp; Stuff'!GX:HY,2,FALSE)</f>
        <v>--/--/--</v>
      </c>
      <c r="E73" s="159" t="str">
        <f>VLOOKUP(C73,'Talente &amp; Stuff'!GX:HY,3,FALSE)</f>
        <v>-</v>
      </c>
      <c r="F73" s="115">
        <f>VLOOKUP(C73,'Talente &amp; Stuff'!GX:HY,4,FALSE)</f>
        <v>0</v>
      </c>
      <c r="G73" s="122">
        <f>VLOOKUP(C73,'Talente &amp; Stuff'!GX:HY,5,FALSE)</f>
        <v>0</v>
      </c>
      <c r="H73" s="122">
        <f>VLOOKUP(C73,'Talente &amp; Stuff'!GX:HY,6,FALSE)</f>
        <v>0</v>
      </c>
      <c r="I73" s="122">
        <f>VLOOKUP(C73,'Talente &amp; Stuff'!GX:HY,7,FALSE)</f>
        <v>0</v>
      </c>
      <c r="J73" s="122">
        <f>VLOOKUP(C73,'Talente &amp; Stuff'!GX:HY,8,FALSE)</f>
        <v>0</v>
      </c>
      <c r="K73" s="122">
        <f>VLOOKUP(C73,'Talente &amp; Stuff'!GX:HY,9,FALSE)</f>
        <v>0</v>
      </c>
      <c r="L73" s="122">
        <f>VLOOKUP(C73,'Talente &amp; Stuff'!GX:HY,10,FALSE)</f>
        <v>0</v>
      </c>
      <c r="M73" s="123">
        <f>VLOOKUP(C73,'Talente &amp; Stuff'!GX:HY,11,FALSE)</f>
        <v>0</v>
      </c>
      <c r="N73" s="90">
        <f>VLOOKUP(C73,'Talente &amp; Stuff'!GX:HY,12,FALSE)</f>
        <v>0</v>
      </c>
      <c r="O73" s="88">
        <f>VLOOKUP(C73,'Talente &amp; Stuff'!GX:HY,13,FALSE)</f>
        <v>0</v>
      </c>
      <c r="P73" s="123">
        <f>VLOOKUP(C73,'Talente &amp; Stuff'!GX:HY,14,FALSE)</f>
        <v>0</v>
      </c>
      <c r="Q73" s="115">
        <f>VLOOKUP(C73,'Talente &amp; Stuff'!GX:HY,15,FALSE)</f>
        <v>0</v>
      </c>
      <c r="R73" s="122">
        <f>VLOOKUP(C73,'Talente &amp; Stuff'!GX:HY,16,FALSE)</f>
        <v>0</v>
      </c>
      <c r="S73" s="123">
        <f>VLOOKUP(C73,'Talente &amp; Stuff'!GX:HY,17,FALSE)</f>
        <v>0</v>
      </c>
      <c r="T73" s="161">
        <f>VLOOKUP(C73,'Talente &amp; Stuff'!GX:HY,18,FALSE)</f>
        <v>0</v>
      </c>
      <c r="U73" s="90">
        <f>VLOOKUP(C73,'Talente &amp; Stuff'!GX:HY,19,FALSE)</f>
        <v>0</v>
      </c>
      <c r="V73" s="88">
        <f>VLOOKUP(C73,'Talente &amp; Stuff'!GX:HY,20,FALSE)</f>
        <v>0</v>
      </c>
      <c r="W73" s="128">
        <f>VLOOKUP(C73,'Talente &amp; Stuff'!GX:HY,21,FALSE)</f>
        <v>0</v>
      </c>
      <c r="X73" s="159">
        <f>VLOOKUP(C73,'Talente &amp; Stuff'!GX:HY,22,FALSE)</f>
        <v>0</v>
      </c>
      <c r="Y73" s="165">
        <f t="shared" si="8"/>
        <v>0</v>
      </c>
      <c r="Z73" s="44">
        <f t="shared" si="9"/>
        <v>0</v>
      </c>
      <c r="AA73" s="159">
        <f>VLOOKUP(C73,'Talente &amp; Stuff'!GX:HY,25,FALSE)</f>
        <v>0</v>
      </c>
      <c r="AB73" s="161">
        <f>VLOOKUP(C73,'Talente &amp; Stuff'!GX:HY,26,FALSE)</f>
        <v>0</v>
      </c>
      <c r="AC73" s="128">
        <f>VLOOKUP(C73,'Talente &amp; Stuff'!GX:HY,27,FALSE)</f>
        <v>0</v>
      </c>
      <c r="AD73" s="159">
        <f>VLOOKUP(C73,'Talente &amp; Stuff'!GX:HY,28,FALSE)</f>
        <v>0</v>
      </c>
      <c r="AE73" s="28"/>
    </row>
    <row r="74" spans="1:31" ht="15" hidden="1" customHeight="1" outlineLevel="1" collapsed="1"/>
    <row r="75" spans="1:31" ht="15.75" collapsed="1" thickBot="1"/>
    <row r="76" spans="1:31" ht="15.75" thickBot="1">
      <c r="A76" s="135" t="s">
        <v>332</v>
      </c>
    </row>
    <row r="77" spans="1:31" ht="15" hidden="1" customHeight="1" outlineLevel="1">
      <c r="B77" s="134" t="s">
        <v>327</v>
      </c>
      <c r="C77" s="142"/>
    </row>
    <row r="78" spans="1:31" ht="15" hidden="1" customHeight="1" outlineLevel="2">
      <c r="B78" s="148">
        <v>1</v>
      </c>
      <c r="C78" s="176" t="str">
        <f>Attribute!C78</f>
        <v>---</v>
      </c>
      <c r="D78" s="158" t="str">
        <f>VLOOKUP(C78,'Talente &amp; Stuff'!GX:HY,2,FALSE)</f>
        <v>--/--/--</v>
      </c>
      <c r="E78" s="126" t="str">
        <f>VLOOKUP(C78,'Talente &amp; Stuff'!GX:HY,3,FALSE)</f>
        <v>-</v>
      </c>
      <c r="F78" s="191">
        <f>VLOOKUP(C78,'Talente &amp; Stuff'!GX:HY,4,FALSE)</f>
        <v>0</v>
      </c>
      <c r="G78" s="118">
        <f>VLOOKUP(C78,'Talente &amp; Stuff'!GX:HY,5,FALSE)</f>
        <v>0</v>
      </c>
      <c r="H78" s="118">
        <f>VLOOKUP(C78,'Talente &amp; Stuff'!GX:HY,6,FALSE)</f>
        <v>0</v>
      </c>
      <c r="I78" s="118">
        <f>VLOOKUP(C78,'Talente &amp; Stuff'!GX:HY,7,FALSE)</f>
        <v>0</v>
      </c>
      <c r="J78" s="118">
        <f>VLOOKUP(C78,'Talente &amp; Stuff'!GX:HY,8,FALSE)</f>
        <v>0</v>
      </c>
      <c r="K78" s="118">
        <f>VLOOKUP(C78,'Talente &amp; Stuff'!GX:HY,9,FALSE)</f>
        <v>0</v>
      </c>
      <c r="L78" s="118">
        <f>VLOOKUP(C78,'Talente &amp; Stuff'!GX:HY,10,FALSE)</f>
        <v>0</v>
      </c>
      <c r="M78" s="92">
        <f>VLOOKUP(C78,'Talente &amp; Stuff'!GX:HY,11,FALSE)</f>
        <v>0</v>
      </c>
      <c r="N78" s="116">
        <f>VLOOKUP(C78,'Talente &amp; Stuff'!GX:HY,12,FALSE)</f>
        <v>0</v>
      </c>
      <c r="O78" s="116">
        <f>VLOOKUP(C78,'Talente &amp; Stuff'!GX:HY,13,FALSE)</f>
        <v>0</v>
      </c>
      <c r="P78" s="92">
        <f>VLOOKUP(C78,'Talente &amp; Stuff'!GX:HY,14,FALSE)</f>
        <v>0</v>
      </c>
      <c r="Q78" s="191">
        <f>VLOOKUP(C78,'Talente &amp; Stuff'!GX:HY,15,FALSE)</f>
        <v>0</v>
      </c>
      <c r="R78" s="118">
        <f>VLOOKUP(C78,'Talente &amp; Stuff'!GX:HY,16,FALSE)</f>
        <v>0</v>
      </c>
      <c r="S78" s="92">
        <f>VLOOKUP(C78,'Talente &amp; Stuff'!GX:HY,17,FALSE)</f>
        <v>0</v>
      </c>
      <c r="T78" s="92">
        <f>VLOOKUP(C78,'Talente &amp; Stuff'!GX:HY,18,FALSE)</f>
        <v>0</v>
      </c>
      <c r="U78" s="193">
        <f>VLOOKUP(C78,'Talente &amp; Stuff'!GX:HY,19,FALSE)</f>
        <v>0</v>
      </c>
      <c r="V78" s="116">
        <f>VLOOKUP(C78,'Talente &amp; Stuff'!GX:HY,20,FALSE)</f>
        <v>0</v>
      </c>
      <c r="W78" s="126">
        <f>VLOOKUP(C78,'Talente &amp; Stuff'!GX:HY,21,FALSE)</f>
        <v>0</v>
      </c>
      <c r="X78" s="126">
        <f>VLOOKUP(C78,'Talente &amp; Stuff'!GX:HY,22,FALSE)</f>
        <v>0</v>
      </c>
      <c r="Y78" s="165">
        <f t="shared" ref="Y78:Y98" si="10">VLOOKUP(C78,Ausgewählte_Zauber_Allgemein,226,FALSE)</f>
        <v>0</v>
      </c>
      <c r="Z78" s="44">
        <f t="shared" ref="Z78:Z98" si="11">VLOOKUP(C78,Ausgewählte_Zauber_Allgemein,227,FALSE)</f>
        <v>0</v>
      </c>
      <c r="AA78" s="158">
        <f>VLOOKUP(C78,'Talente &amp; Stuff'!GX:HY,25,FALSE)</f>
        <v>0</v>
      </c>
      <c r="AB78" s="91">
        <f>VLOOKUP(C78,'Talente &amp; Stuff'!GX:HY,26,FALSE)</f>
        <v>0</v>
      </c>
      <c r="AC78" s="126">
        <f>VLOOKUP(C78,'Talente &amp; Stuff'!GX:HY,27,FALSE)</f>
        <v>0</v>
      </c>
      <c r="AD78" s="158">
        <f>VLOOKUP(C78,'Talente &amp; Stuff'!GX:HY,28,FALSE)</f>
        <v>0</v>
      </c>
      <c r="AE78" s="28"/>
    </row>
    <row r="79" spans="1:31" ht="15" hidden="1" customHeight="1" outlineLevel="2">
      <c r="B79" s="148">
        <v>2</v>
      </c>
      <c r="C79" s="177" t="str">
        <f>Attribute!C79</f>
        <v>---</v>
      </c>
      <c r="D79" s="125" t="str">
        <f>VLOOKUP(C79,'Talente &amp; Stuff'!GX:HY,2,FALSE)</f>
        <v>--/--/--</v>
      </c>
      <c r="E79" s="127" t="str">
        <f>VLOOKUP(C79,'Talente &amp; Stuff'!GX:HY,3,FALSE)</f>
        <v>-</v>
      </c>
      <c r="F79" s="114">
        <f>VLOOKUP(C79,'Talente &amp; Stuff'!GX:HY,4,FALSE)</f>
        <v>0</v>
      </c>
      <c r="G79" s="113">
        <f>VLOOKUP(C79,'Talente &amp; Stuff'!GX:HY,5,FALSE)</f>
        <v>0</v>
      </c>
      <c r="H79" s="113">
        <f>VLOOKUP(C79,'Talente &amp; Stuff'!GX:HY,6,FALSE)</f>
        <v>0</v>
      </c>
      <c r="I79" s="113">
        <f>VLOOKUP(C79,'Talente &amp; Stuff'!GX:HY,7,FALSE)</f>
        <v>0</v>
      </c>
      <c r="J79" s="113">
        <f>VLOOKUP(C79,'Talente &amp; Stuff'!GX:HY,8,FALSE)</f>
        <v>0</v>
      </c>
      <c r="K79" s="113">
        <f>VLOOKUP(C79,'Talente &amp; Stuff'!GX:HY,9,FALSE)</f>
        <v>0</v>
      </c>
      <c r="L79" s="113">
        <f>VLOOKUP(C79,'Talente &amp; Stuff'!GX:HY,10,FALSE)</f>
        <v>0</v>
      </c>
      <c r="M79" s="119">
        <f>VLOOKUP(C79,'Talente &amp; Stuff'!GX:HY,11,FALSE)</f>
        <v>0</v>
      </c>
      <c r="N79" s="89">
        <f>VLOOKUP(C79,'Talente &amp; Stuff'!GX:HY,12,FALSE)</f>
        <v>0</v>
      </c>
      <c r="O79" s="47">
        <f>VLOOKUP(C79,'Talente &amp; Stuff'!GX:HY,13,FALSE)</f>
        <v>0</v>
      </c>
      <c r="P79" s="119">
        <f>VLOOKUP(C79,'Talente &amp; Stuff'!GX:HY,14,FALSE)</f>
        <v>0</v>
      </c>
      <c r="Q79" s="114">
        <f>VLOOKUP(C79,'Talente &amp; Stuff'!GX:HY,15,FALSE)</f>
        <v>0</v>
      </c>
      <c r="R79" s="113">
        <f>VLOOKUP(C79,'Talente &amp; Stuff'!GX:HY,16,FALSE)</f>
        <v>0</v>
      </c>
      <c r="S79" s="119">
        <f>VLOOKUP(C79,'Talente &amp; Stuff'!GX:HY,17,FALSE)</f>
        <v>0</v>
      </c>
      <c r="T79" s="160">
        <f>VLOOKUP(C79,'Talente &amp; Stuff'!GX:HY,18,FALSE)</f>
        <v>0</v>
      </c>
      <c r="U79" s="89">
        <f>VLOOKUP(C79,'Talente &amp; Stuff'!GX:HY,19,FALSE)</f>
        <v>0</v>
      </c>
      <c r="V79" s="47">
        <f>VLOOKUP(C79,'Talente &amp; Stuff'!GX:HY,20,FALSE)</f>
        <v>0</v>
      </c>
      <c r="W79" s="127">
        <f>VLOOKUP(C79,'Talente &amp; Stuff'!GX:HY,21,FALSE)</f>
        <v>0</v>
      </c>
      <c r="X79" s="127">
        <f>VLOOKUP(C79,'Talente &amp; Stuff'!GX:HY,22,FALSE)</f>
        <v>0</v>
      </c>
      <c r="Y79" s="165">
        <f t="shared" si="10"/>
        <v>0</v>
      </c>
      <c r="Z79" s="44">
        <f t="shared" si="11"/>
        <v>0</v>
      </c>
      <c r="AA79" s="125">
        <f>VLOOKUP(C79,'Talente &amp; Stuff'!GX:HY,25,FALSE)</f>
        <v>0</v>
      </c>
      <c r="AB79" s="160">
        <f>VLOOKUP(C79,'Talente &amp; Stuff'!GX:HY,26,FALSE)</f>
        <v>0</v>
      </c>
      <c r="AC79" s="127">
        <f>VLOOKUP(C79,'Talente &amp; Stuff'!GX:HY,27,FALSE)</f>
        <v>0</v>
      </c>
      <c r="AD79" s="125">
        <f>VLOOKUP(C79,'Talente &amp; Stuff'!GX:HY,28,FALSE)</f>
        <v>0</v>
      </c>
      <c r="AE79" s="28"/>
    </row>
    <row r="80" spans="1:31" ht="15" hidden="1" customHeight="1" outlineLevel="2">
      <c r="B80" s="148">
        <v>3</v>
      </c>
      <c r="C80" s="177" t="str">
        <f>Attribute!C80</f>
        <v>---</v>
      </c>
      <c r="D80" s="125" t="str">
        <f>VLOOKUP(C80,'Talente &amp; Stuff'!GX:HY,2,FALSE)</f>
        <v>--/--/--</v>
      </c>
      <c r="E80" s="127" t="str">
        <f>VLOOKUP(C80,'Talente &amp; Stuff'!GX:HY,3,FALSE)</f>
        <v>-</v>
      </c>
      <c r="F80" s="114">
        <f>VLOOKUP(C80,'Talente &amp; Stuff'!GX:HY,4,FALSE)</f>
        <v>0</v>
      </c>
      <c r="G80" s="113">
        <f>VLOOKUP(C80,'Talente &amp; Stuff'!GX:HY,5,FALSE)</f>
        <v>0</v>
      </c>
      <c r="H80" s="113">
        <f>VLOOKUP(C80,'Talente &amp; Stuff'!GX:HY,6,FALSE)</f>
        <v>0</v>
      </c>
      <c r="I80" s="113">
        <f>VLOOKUP(C80,'Talente &amp; Stuff'!GX:HY,7,FALSE)</f>
        <v>0</v>
      </c>
      <c r="J80" s="113">
        <f>VLOOKUP(C80,'Talente &amp; Stuff'!GX:HY,8,FALSE)</f>
        <v>0</v>
      </c>
      <c r="K80" s="113">
        <f>VLOOKUP(C80,'Talente &amp; Stuff'!GX:HY,9,FALSE)</f>
        <v>0</v>
      </c>
      <c r="L80" s="113">
        <f>VLOOKUP(C80,'Talente &amp; Stuff'!GX:HY,10,FALSE)</f>
        <v>0</v>
      </c>
      <c r="M80" s="119">
        <f>VLOOKUP(C80,'Talente &amp; Stuff'!GX:HY,11,FALSE)</f>
        <v>0</v>
      </c>
      <c r="N80" s="89">
        <f>VLOOKUP(C80,'Talente &amp; Stuff'!GX:HY,12,FALSE)</f>
        <v>0</v>
      </c>
      <c r="O80" s="47">
        <f>VLOOKUP(C80,'Talente &amp; Stuff'!GX:HY,13,FALSE)</f>
        <v>0</v>
      </c>
      <c r="P80" s="119">
        <f>VLOOKUP(C80,'Talente &amp; Stuff'!GX:HY,14,FALSE)</f>
        <v>0</v>
      </c>
      <c r="Q80" s="114">
        <f>VLOOKUP(C80,'Talente &amp; Stuff'!GX:HY,15,FALSE)</f>
        <v>0</v>
      </c>
      <c r="R80" s="113">
        <f>VLOOKUP(C80,'Talente &amp; Stuff'!GX:HY,16,FALSE)</f>
        <v>0</v>
      </c>
      <c r="S80" s="119">
        <f>VLOOKUP(C80,'Talente &amp; Stuff'!GX:HY,17,FALSE)</f>
        <v>0</v>
      </c>
      <c r="T80" s="160">
        <f>VLOOKUP(C80,'Talente &amp; Stuff'!GX:HY,18,FALSE)</f>
        <v>0</v>
      </c>
      <c r="U80" s="89">
        <f>VLOOKUP(C80,'Talente &amp; Stuff'!GX:HY,19,FALSE)</f>
        <v>0</v>
      </c>
      <c r="V80" s="47">
        <f>VLOOKUP(C80,'Talente &amp; Stuff'!GX:HY,20,FALSE)</f>
        <v>0</v>
      </c>
      <c r="W80" s="127">
        <f>VLOOKUP(C80,'Talente &amp; Stuff'!GX:HY,21,FALSE)</f>
        <v>0</v>
      </c>
      <c r="X80" s="127">
        <f>VLOOKUP(C80,'Talente &amp; Stuff'!GX:HY,22,FALSE)</f>
        <v>0</v>
      </c>
      <c r="Y80" s="165">
        <f t="shared" si="10"/>
        <v>0</v>
      </c>
      <c r="Z80" s="44">
        <f t="shared" si="11"/>
        <v>0</v>
      </c>
      <c r="AA80" s="125">
        <f>VLOOKUP(C80,'Talente &amp; Stuff'!GX:HY,25,FALSE)</f>
        <v>0</v>
      </c>
      <c r="AB80" s="160">
        <f>VLOOKUP(C80,'Talente &amp; Stuff'!GX:HY,26,FALSE)</f>
        <v>0</v>
      </c>
      <c r="AC80" s="127">
        <f>VLOOKUP(C80,'Talente &amp; Stuff'!GX:HY,27,FALSE)</f>
        <v>0</v>
      </c>
      <c r="AD80" s="125">
        <f>VLOOKUP(C80,'Talente &amp; Stuff'!GX:HY,28,FALSE)</f>
        <v>0</v>
      </c>
      <c r="AE80" s="28"/>
    </row>
    <row r="81" spans="2:31" ht="15" hidden="1" customHeight="1" outlineLevel="2">
      <c r="B81" s="148">
        <v>4</v>
      </c>
      <c r="C81" s="177" t="str">
        <f>Attribute!C81</f>
        <v>---</v>
      </c>
      <c r="D81" s="125" t="str">
        <f>VLOOKUP(C81,'Talente &amp; Stuff'!GX:HY,2,FALSE)</f>
        <v>--/--/--</v>
      </c>
      <c r="E81" s="127" t="str">
        <f>VLOOKUP(C81,'Talente &amp; Stuff'!GX:HY,3,FALSE)</f>
        <v>-</v>
      </c>
      <c r="F81" s="114">
        <f>VLOOKUP(C81,'Talente &amp; Stuff'!GX:HY,4,FALSE)</f>
        <v>0</v>
      </c>
      <c r="G81" s="113">
        <f>VLOOKUP(C81,'Talente &amp; Stuff'!GX:HY,5,FALSE)</f>
        <v>0</v>
      </c>
      <c r="H81" s="113">
        <f>VLOOKUP(C81,'Talente &amp; Stuff'!GX:HY,6,FALSE)</f>
        <v>0</v>
      </c>
      <c r="I81" s="113">
        <f>VLOOKUP(C81,'Talente &amp; Stuff'!GX:HY,7,FALSE)</f>
        <v>0</v>
      </c>
      <c r="J81" s="113">
        <f>VLOOKUP(C81,'Talente &amp; Stuff'!GX:HY,8,FALSE)</f>
        <v>0</v>
      </c>
      <c r="K81" s="113">
        <f>VLOOKUP(C81,'Talente &amp; Stuff'!GX:HY,9,FALSE)</f>
        <v>0</v>
      </c>
      <c r="L81" s="113">
        <f>VLOOKUP(C81,'Talente &amp; Stuff'!GX:HY,10,FALSE)</f>
        <v>0</v>
      </c>
      <c r="M81" s="119">
        <f>VLOOKUP(C81,'Talente &amp; Stuff'!GX:HY,11,FALSE)</f>
        <v>0</v>
      </c>
      <c r="N81" s="89">
        <f>VLOOKUP(C81,'Talente &amp; Stuff'!GX:HY,12,FALSE)</f>
        <v>0</v>
      </c>
      <c r="O81" s="47">
        <f>VLOOKUP(C81,'Talente &amp; Stuff'!GX:HY,13,FALSE)</f>
        <v>0</v>
      </c>
      <c r="P81" s="119">
        <f>VLOOKUP(C81,'Talente &amp; Stuff'!GX:HY,14,FALSE)</f>
        <v>0</v>
      </c>
      <c r="Q81" s="114">
        <f>VLOOKUP(C81,'Talente &amp; Stuff'!GX:HY,15,FALSE)</f>
        <v>0</v>
      </c>
      <c r="R81" s="113">
        <f>VLOOKUP(C81,'Talente &amp; Stuff'!GX:HY,16,FALSE)</f>
        <v>0</v>
      </c>
      <c r="S81" s="119">
        <f>VLOOKUP(C81,'Talente &amp; Stuff'!GX:HY,17,FALSE)</f>
        <v>0</v>
      </c>
      <c r="T81" s="160">
        <f>VLOOKUP(C81,'Talente &amp; Stuff'!GX:HY,18,FALSE)</f>
        <v>0</v>
      </c>
      <c r="U81" s="89">
        <f>VLOOKUP(C81,'Talente &amp; Stuff'!GX:HY,19,FALSE)</f>
        <v>0</v>
      </c>
      <c r="V81" s="47">
        <f>VLOOKUP(C81,'Talente &amp; Stuff'!GX:HY,20,FALSE)</f>
        <v>0</v>
      </c>
      <c r="W81" s="127">
        <f>VLOOKUP(C81,'Talente &amp; Stuff'!GX:HY,21,FALSE)</f>
        <v>0</v>
      </c>
      <c r="X81" s="127">
        <f>VLOOKUP(C81,'Talente &amp; Stuff'!GX:HY,22,FALSE)</f>
        <v>0</v>
      </c>
      <c r="Y81" s="165">
        <f t="shared" si="10"/>
        <v>0</v>
      </c>
      <c r="Z81" s="44">
        <f t="shared" si="11"/>
        <v>0</v>
      </c>
      <c r="AA81" s="125">
        <f>VLOOKUP(C81,'Talente &amp; Stuff'!GX:HY,25,FALSE)</f>
        <v>0</v>
      </c>
      <c r="AB81" s="160">
        <f>VLOOKUP(C81,'Talente &amp; Stuff'!GX:HY,26,FALSE)</f>
        <v>0</v>
      </c>
      <c r="AC81" s="127">
        <f>VLOOKUP(C81,'Talente &amp; Stuff'!GX:HY,27,FALSE)</f>
        <v>0</v>
      </c>
      <c r="AD81" s="125">
        <f>VLOOKUP(C81,'Talente &amp; Stuff'!GX:HY,28,FALSE)</f>
        <v>0</v>
      </c>
      <c r="AE81" s="28"/>
    </row>
    <row r="82" spans="2:31" ht="15" hidden="1" customHeight="1" outlineLevel="2">
      <c r="B82" s="148">
        <v>5</v>
      </c>
      <c r="C82" s="177" t="str">
        <f>Attribute!C82</f>
        <v>---</v>
      </c>
      <c r="D82" s="125" t="str">
        <f>VLOOKUP(C82,'Talente &amp; Stuff'!GX:HY,2,FALSE)</f>
        <v>--/--/--</v>
      </c>
      <c r="E82" s="127" t="str">
        <f>VLOOKUP(C82,'Talente &amp; Stuff'!GX:HY,3,FALSE)</f>
        <v>-</v>
      </c>
      <c r="F82" s="114">
        <f>VLOOKUP(C82,'Talente &amp; Stuff'!GX:HY,4,FALSE)</f>
        <v>0</v>
      </c>
      <c r="G82" s="113">
        <f>VLOOKUP(C82,'Talente &amp; Stuff'!GX:HY,5,FALSE)</f>
        <v>0</v>
      </c>
      <c r="H82" s="113">
        <f>VLOOKUP(C82,'Talente &amp; Stuff'!GX:HY,6,FALSE)</f>
        <v>0</v>
      </c>
      <c r="I82" s="113">
        <f>VLOOKUP(C82,'Talente &amp; Stuff'!GX:HY,7,FALSE)</f>
        <v>0</v>
      </c>
      <c r="J82" s="113">
        <f>VLOOKUP(C82,'Talente &amp; Stuff'!GX:HY,8,FALSE)</f>
        <v>0</v>
      </c>
      <c r="K82" s="113">
        <f>VLOOKUP(C82,'Talente &amp; Stuff'!GX:HY,9,FALSE)</f>
        <v>0</v>
      </c>
      <c r="L82" s="113">
        <f>VLOOKUP(C82,'Talente &amp; Stuff'!GX:HY,10,FALSE)</f>
        <v>0</v>
      </c>
      <c r="M82" s="119">
        <f>VLOOKUP(C82,'Talente &amp; Stuff'!GX:HY,11,FALSE)</f>
        <v>0</v>
      </c>
      <c r="N82" s="89">
        <f>VLOOKUP(C82,'Talente &amp; Stuff'!GX:HY,12,FALSE)</f>
        <v>0</v>
      </c>
      <c r="O82" s="47">
        <f>VLOOKUP(C82,'Talente &amp; Stuff'!GX:HY,13,FALSE)</f>
        <v>0</v>
      </c>
      <c r="P82" s="119">
        <f>VLOOKUP(C82,'Talente &amp; Stuff'!GX:HY,14,FALSE)</f>
        <v>0</v>
      </c>
      <c r="Q82" s="114">
        <f>VLOOKUP(C82,'Talente &amp; Stuff'!GX:HY,15,FALSE)</f>
        <v>0</v>
      </c>
      <c r="R82" s="113">
        <f>VLOOKUP(C82,'Talente &amp; Stuff'!GX:HY,16,FALSE)</f>
        <v>0</v>
      </c>
      <c r="S82" s="119">
        <f>VLOOKUP(C82,'Talente &amp; Stuff'!GX:HY,17,FALSE)</f>
        <v>0</v>
      </c>
      <c r="T82" s="160">
        <f>VLOOKUP(C82,'Talente &amp; Stuff'!GX:HY,18,FALSE)</f>
        <v>0</v>
      </c>
      <c r="U82" s="89">
        <f>VLOOKUP(C82,'Talente &amp; Stuff'!GX:HY,19,FALSE)</f>
        <v>0</v>
      </c>
      <c r="V82" s="47">
        <f>VLOOKUP(C82,'Talente &amp; Stuff'!GX:HY,20,FALSE)</f>
        <v>0</v>
      </c>
      <c r="W82" s="127">
        <f>VLOOKUP(C82,'Talente &amp; Stuff'!GX:HY,21,FALSE)</f>
        <v>0</v>
      </c>
      <c r="X82" s="127">
        <f>VLOOKUP(C82,'Talente &amp; Stuff'!GX:HY,22,FALSE)</f>
        <v>0</v>
      </c>
      <c r="Y82" s="165">
        <f t="shared" si="10"/>
        <v>0</v>
      </c>
      <c r="Z82" s="44">
        <f t="shared" si="11"/>
        <v>0</v>
      </c>
      <c r="AA82" s="125">
        <f>VLOOKUP(C82,'Talente &amp; Stuff'!GX:HY,25,FALSE)</f>
        <v>0</v>
      </c>
      <c r="AB82" s="160">
        <f>VLOOKUP(C82,'Talente &amp; Stuff'!GX:HY,26,FALSE)</f>
        <v>0</v>
      </c>
      <c r="AC82" s="127">
        <f>VLOOKUP(C82,'Talente &amp; Stuff'!GX:HY,27,FALSE)</f>
        <v>0</v>
      </c>
      <c r="AD82" s="125">
        <f>VLOOKUP(C82,'Talente &amp; Stuff'!GX:HY,28,FALSE)</f>
        <v>0</v>
      </c>
      <c r="AE82" s="28"/>
    </row>
    <row r="83" spans="2:31" ht="15" hidden="1" customHeight="1" outlineLevel="2">
      <c r="B83" s="148">
        <v>6</v>
      </c>
      <c r="C83" s="177" t="str">
        <f>Attribute!C83</f>
        <v>---</v>
      </c>
      <c r="D83" s="125" t="str">
        <f>VLOOKUP(C83,'Talente &amp; Stuff'!GX:HY,2,FALSE)</f>
        <v>--/--/--</v>
      </c>
      <c r="E83" s="127" t="str">
        <f>VLOOKUP(C83,'Talente &amp; Stuff'!GX:HY,3,FALSE)</f>
        <v>-</v>
      </c>
      <c r="F83" s="114">
        <f>VLOOKUP(C83,'Talente &amp; Stuff'!GX:HY,4,FALSE)</f>
        <v>0</v>
      </c>
      <c r="G83" s="113">
        <f>VLOOKUP(C83,'Talente &amp; Stuff'!GX:HY,5,FALSE)</f>
        <v>0</v>
      </c>
      <c r="H83" s="113">
        <f>VLOOKUP(C83,'Talente &amp; Stuff'!GX:HY,6,FALSE)</f>
        <v>0</v>
      </c>
      <c r="I83" s="113">
        <f>VLOOKUP(C83,'Talente &amp; Stuff'!GX:HY,7,FALSE)</f>
        <v>0</v>
      </c>
      <c r="J83" s="113">
        <f>VLOOKUP(C83,'Talente &amp; Stuff'!GX:HY,8,FALSE)</f>
        <v>0</v>
      </c>
      <c r="K83" s="113">
        <f>VLOOKUP(C83,'Talente &amp; Stuff'!GX:HY,9,FALSE)</f>
        <v>0</v>
      </c>
      <c r="L83" s="113">
        <f>VLOOKUP(C83,'Talente &amp; Stuff'!GX:HY,10,FALSE)</f>
        <v>0</v>
      </c>
      <c r="M83" s="119">
        <f>VLOOKUP(C83,'Talente &amp; Stuff'!GX:HY,11,FALSE)</f>
        <v>0</v>
      </c>
      <c r="N83" s="89">
        <f>VLOOKUP(C83,'Talente &amp; Stuff'!GX:HY,12,FALSE)</f>
        <v>0</v>
      </c>
      <c r="O83" s="47">
        <f>VLOOKUP(C83,'Talente &amp; Stuff'!GX:HY,13,FALSE)</f>
        <v>0</v>
      </c>
      <c r="P83" s="119">
        <f>VLOOKUP(C83,'Talente &amp; Stuff'!GX:HY,14,FALSE)</f>
        <v>0</v>
      </c>
      <c r="Q83" s="114">
        <f>VLOOKUP(C83,'Talente &amp; Stuff'!GX:HY,15,FALSE)</f>
        <v>0</v>
      </c>
      <c r="R83" s="113">
        <f>VLOOKUP(C83,'Talente &amp; Stuff'!GX:HY,16,FALSE)</f>
        <v>0</v>
      </c>
      <c r="S83" s="119">
        <f>VLOOKUP(C83,'Talente &amp; Stuff'!GX:HY,17,FALSE)</f>
        <v>0</v>
      </c>
      <c r="T83" s="160">
        <f>VLOOKUP(C83,'Talente &amp; Stuff'!GX:HY,18,FALSE)</f>
        <v>0</v>
      </c>
      <c r="U83" s="89">
        <f>VLOOKUP(C83,'Talente &amp; Stuff'!GX:HY,19,FALSE)</f>
        <v>0</v>
      </c>
      <c r="V83" s="47">
        <f>VLOOKUP(C83,'Talente &amp; Stuff'!GX:HY,20,FALSE)</f>
        <v>0</v>
      </c>
      <c r="W83" s="127">
        <f>VLOOKUP(C83,'Talente &amp; Stuff'!GX:HY,21,FALSE)</f>
        <v>0</v>
      </c>
      <c r="X83" s="127">
        <f>VLOOKUP(C83,'Talente &amp; Stuff'!GX:HY,22,FALSE)</f>
        <v>0</v>
      </c>
      <c r="Y83" s="165">
        <f t="shared" si="10"/>
        <v>0</v>
      </c>
      <c r="Z83" s="44">
        <f t="shared" si="11"/>
        <v>0</v>
      </c>
      <c r="AA83" s="125">
        <f>VLOOKUP(C83,'Talente &amp; Stuff'!GX:HY,25,FALSE)</f>
        <v>0</v>
      </c>
      <c r="AB83" s="160">
        <f>VLOOKUP(C83,'Talente &amp; Stuff'!GX:HY,26,FALSE)</f>
        <v>0</v>
      </c>
      <c r="AC83" s="127">
        <f>VLOOKUP(C83,'Talente &amp; Stuff'!GX:HY,27,FALSE)</f>
        <v>0</v>
      </c>
      <c r="AD83" s="125">
        <f>VLOOKUP(C83,'Talente &amp; Stuff'!GX:HY,28,FALSE)</f>
        <v>0</v>
      </c>
      <c r="AE83" s="28"/>
    </row>
    <row r="84" spans="2:31" ht="15" hidden="1" customHeight="1" outlineLevel="2">
      <c r="B84" s="148">
        <v>7</v>
      </c>
      <c r="C84" s="177" t="str">
        <f>Attribute!C84</f>
        <v>---</v>
      </c>
      <c r="D84" s="125" t="str">
        <f>VLOOKUP(C84,'Talente &amp; Stuff'!GX:HY,2,FALSE)</f>
        <v>--/--/--</v>
      </c>
      <c r="E84" s="127" t="str">
        <f>VLOOKUP(C84,'Talente &amp; Stuff'!GX:HY,3,FALSE)</f>
        <v>-</v>
      </c>
      <c r="F84" s="114">
        <f>VLOOKUP(C84,'Talente &amp; Stuff'!GX:HY,4,FALSE)</f>
        <v>0</v>
      </c>
      <c r="G84" s="113">
        <f>VLOOKUP(C84,'Talente &amp; Stuff'!GX:HY,5,FALSE)</f>
        <v>0</v>
      </c>
      <c r="H84" s="113">
        <f>VLOOKUP(C84,'Talente &amp; Stuff'!GX:HY,6,FALSE)</f>
        <v>0</v>
      </c>
      <c r="I84" s="113">
        <f>VLOOKUP(C84,'Talente &amp; Stuff'!GX:HY,7,FALSE)</f>
        <v>0</v>
      </c>
      <c r="J84" s="113">
        <f>VLOOKUP(C84,'Talente &amp; Stuff'!GX:HY,8,FALSE)</f>
        <v>0</v>
      </c>
      <c r="K84" s="113">
        <f>VLOOKUP(C84,'Talente &amp; Stuff'!GX:HY,9,FALSE)</f>
        <v>0</v>
      </c>
      <c r="L84" s="113">
        <f>VLOOKUP(C84,'Talente &amp; Stuff'!GX:HY,10,FALSE)</f>
        <v>0</v>
      </c>
      <c r="M84" s="119">
        <f>VLOOKUP(C84,'Talente &amp; Stuff'!GX:HY,11,FALSE)</f>
        <v>0</v>
      </c>
      <c r="N84" s="89">
        <f>VLOOKUP(C84,'Talente &amp; Stuff'!GX:HY,12,FALSE)</f>
        <v>0</v>
      </c>
      <c r="O84" s="47">
        <f>VLOOKUP(C84,'Talente &amp; Stuff'!GX:HY,13,FALSE)</f>
        <v>0</v>
      </c>
      <c r="P84" s="119">
        <f>VLOOKUP(C84,'Talente &amp; Stuff'!GX:HY,14,FALSE)</f>
        <v>0</v>
      </c>
      <c r="Q84" s="114">
        <f>VLOOKUP(C84,'Talente &amp; Stuff'!GX:HY,15,FALSE)</f>
        <v>0</v>
      </c>
      <c r="R84" s="113">
        <f>VLOOKUP(C84,'Talente &amp; Stuff'!GX:HY,16,FALSE)</f>
        <v>0</v>
      </c>
      <c r="S84" s="119">
        <f>VLOOKUP(C84,'Talente &amp; Stuff'!GX:HY,17,FALSE)</f>
        <v>0</v>
      </c>
      <c r="T84" s="160">
        <f>VLOOKUP(C84,'Talente &amp; Stuff'!GX:HY,18,FALSE)</f>
        <v>0</v>
      </c>
      <c r="U84" s="89">
        <f>VLOOKUP(C84,'Talente &amp; Stuff'!GX:HY,19,FALSE)</f>
        <v>0</v>
      </c>
      <c r="V84" s="47">
        <f>VLOOKUP(C84,'Talente &amp; Stuff'!GX:HY,20,FALSE)</f>
        <v>0</v>
      </c>
      <c r="W84" s="127">
        <f>VLOOKUP(C84,'Talente &amp; Stuff'!GX:HY,21,FALSE)</f>
        <v>0</v>
      </c>
      <c r="X84" s="127">
        <f>VLOOKUP(C84,'Talente &amp; Stuff'!GX:HY,22,FALSE)</f>
        <v>0</v>
      </c>
      <c r="Y84" s="165">
        <f t="shared" si="10"/>
        <v>0</v>
      </c>
      <c r="Z84" s="44">
        <f t="shared" si="11"/>
        <v>0</v>
      </c>
      <c r="AA84" s="125">
        <f>VLOOKUP(C84,'Talente &amp; Stuff'!GX:HY,25,FALSE)</f>
        <v>0</v>
      </c>
      <c r="AB84" s="160">
        <f>VLOOKUP(C84,'Talente &amp; Stuff'!GX:HY,26,FALSE)</f>
        <v>0</v>
      </c>
      <c r="AC84" s="127">
        <f>VLOOKUP(C84,'Talente &amp; Stuff'!GX:HY,27,FALSE)</f>
        <v>0</v>
      </c>
      <c r="AD84" s="125">
        <f>VLOOKUP(C84,'Talente &amp; Stuff'!GX:HY,28,FALSE)</f>
        <v>0</v>
      </c>
      <c r="AE84" s="28"/>
    </row>
    <row r="85" spans="2:31" ht="15" hidden="1" customHeight="1" outlineLevel="2">
      <c r="B85" s="148">
        <v>8</v>
      </c>
      <c r="C85" s="177" t="str">
        <f>Attribute!C85</f>
        <v>---</v>
      </c>
      <c r="D85" s="125" t="str">
        <f>VLOOKUP(C85,'Talente &amp; Stuff'!GX:HY,2,FALSE)</f>
        <v>--/--/--</v>
      </c>
      <c r="E85" s="127" t="str">
        <f>VLOOKUP(C85,'Talente &amp; Stuff'!GX:HY,3,FALSE)</f>
        <v>-</v>
      </c>
      <c r="F85" s="114">
        <f>VLOOKUP(C85,'Talente &amp; Stuff'!GX:HY,4,FALSE)</f>
        <v>0</v>
      </c>
      <c r="G85" s="113">
        <f>VLOOKUP(C85,'Talente &amp; Stuff'!GX:HY,5,FALSE)</f>
        <v>0</v>
      </c>
      <c r="H85" s="113">
        <f>VLOOKUP(C85,'Talente &amp; Stuff'!GX:HY,6,FALSE)</f>
        <v>0</v>
      </c>
      <c r="I85" s="113">
        <f>VLOOKUP(C85,'Talente &amp; Stuff'!GX:HY,7,FALSE)</f>
        <v>0</v>
      </c>
      <c r="J85" s="113">
        <f>VLOOKUP(C85,'Talente &amp; Stuff'!GX:HY,8,FALSE)</f>
        <v>0</v>
      </c>
      <c r="K85" s="113">
        <f>VLOOKUP(C85,'Talente &amp; Stuff'!GX:HY,9,FALSE)</f>
        <v>0</v>
      </c>
      <c r="L85" s="113">
        <f>VLOOKUP(C85,'Talente &amp; Stuff'!GX:HY,10,FALSE)</f>
        <v>0</v>
      </c>
      <c r="M85" s="119">
        <f>VLOOKUP(C85,'Talente &amp; Stuff'!GX:HY,11,FALSE)</f>
        <v>0</v>
      </c>
      <c r="N85" s="89">
        <f>VLOOKUP(C85,'Talente &amp; Stuff'!GX:HY,12,FALSE)</f>
        <v>0</v>
      </c>
      <c r="O85" s="47">
        <f>VLOOKUP(C85,'Talente &amp; Stuff'!GX:HY,13,FALSE)</f>
        <v>0</v>
      </c>
      <c r="P85" s="119">
        <f>VLOOKUP(C85,'Talente &amp; Stuff'!GX:HY,14,FALSE)</f>
        <v>0</v>
      </c>
      <c r="Q85" s="114">
        <f>VLOOKUP(C85,'Talente &amp; Stuff'!GX:HY,15,FALSE)</f>
        <v>0</v>
      </c>
      <c r="R85" s="113">
        <f>VLOOKUP(C85,'Talente &amp; Stuff'!GX:HY,16,FALSE)</f>
        <v>0</v>
      </c>
      <c r="S85" s="119">
        <f>VLOOKUP(C85,'Talente &amp; Stuff'!GX:HY,17,FALSE)</f>
        <v>0</v>
      </c>
      <c r="T85" s="160">
        <f>VLOOKUP(C85,'Talente &amp; Stuff'!GX:HY,18,FALSE)</f>
        <v>0</v>
      </c>
      <c r="U85" s="89">
        <f>VLOOKUP(C85,'Talente &amp; Stuff'!GX:HY,19,FALSE)</f>
        <v>0</v>
      </c>
      <c r="V85" s="47">
        <f>VLOOKUP(C85,'Talente &amp; Stuff'!GX:HY,20,FALSE)</f>
        <v>0</v>
      </c>
      <c r="W85" s="127">
        <f>VLOOKUP(C85,'Talente &amp; Stuff'!GX:HY,21,FALSE)</f>
        <v>0</v>
      </c>
      <c r="X85" s="127">
        <f>VLOOKUP(C85,'Talente &amp; Stuff'!GX:HY,22,FALSE)</f>
        <v>0</v>
      </c>
      <c r="Y85" s="165">
        <f t="shared" si="10"/>
        <v>0</v>
      </c>
      <c r="Z85" s="44">
        <f t="shared" si="11"/>
        <v>0</v>
      </c>
      <c r="AA85" s="125">
        <f>VLOOKUP(C85,'Talente &amp; Stuff'!GX:HY,25,FALSE)</f>
        <v>0</v>
      </c>
      <c r="AB85" s="160">
        <f>VLOOKUP(C85,'Talente &amp; Stuff'!GX:HY,26,FALSE)</f>
        <v>0</v>
      </c>
      <c r="AC85" s="127">
        <f>VLOOKUP(C85,'Talente &amp; Stuff'!GX:HY,27,FALSE)</f>
        <v>0</v>
      </c>
      <c r="AD85" s="125">
        <f>VLOOKUP(C85,'Talente &amp; Stuff'!GX:HY,28,FALSE)</f>
        <v>0</v>
      </c>
      <c r="AE85" s="28"/>
    </row>
    <row r="86" spans="2:31" ht="15" hidden="1" customHeight="1" outlineLevel="2">
      <c r="B86" s="148">
        <v>9</v>
      </c>
      <c r="C86" s="177" t="str">
        <f>Attribute!C86</f>
        <v>---</v>
      </c>
      <c r="D86" s="125" t="str">
        <f>VLOOKUP(C86,'Talente &amp; Stuff'!GX:HY,2,FALSE)</f>
        <v>--/--/--</v>
      </c>
      <c r="E86" s="127" t="str">
        <f>VLOOKUP(C86,'Talente &amp; Stuff'!GX:HY,3,FALSE)</f>
        <v>-</v>
      </c>
      <c r="F86" s="114">
        <f>VLOOKUP(C86,'Talente &amp; Stuff'!GX:HY,4,FALSE)</f>
        <v>0</v>
      </c>
      <c r="G86" s="113">
        <f>VLOOKUP(C86,'Talente &amp; Stuff'!GX:HY,5,FALSE)</f>
        <v>0</v>
      </c>
      <c r="H86" s="113">
        <f>VLOOKUP(C86,'Talente &amp; Stuff'!GX:HY,6,FALSE)</f>
        <v>0</v>
      </c>
      <c r="I86" s="113">
        <f>VLOOKUP(C86,'Talente &amp; Stuff'!GX:HY,7,FALSE)</f>
        <v>0</v>
      </c>
      <c r="J86" s="113">
        <f>VLOOKUP(C86,'Talente &amp; Stuff'!GX:HY,8,FALSE)</f>
        <v>0</v>
      </c>
      <c r="K86" s="113">
        <f>VLOOKUP(C86,'Talente &amp; Stuff'!GX:HY,9,FALSE)</f>
        <v>0</v>
      </c>
      <c r="L86" s="113">
        <f>VLOOKUP(C86,'Talente &amp; Stuff'!GX:HY,10,FALSE)</f>
        <v>0</v>
      </c>
      <c r="M86" s="119">
        <f>VLOOKUP(C86,'Talente &amp; Stuff'!GX:HY,11,FALSE)</f>
        <v>0</v>
      </c>
      <c r="N86" s="89">
        <f>VLOOKUP(C86,'Talente &amp; Stuff'!GX:HY,12,FALSE)</f>
        <v>0</v>
      </c>
      <c r="O86" s="47">
        <f>VLOOKUP(C86,'Talente &amp; Stuff'!GX:HY,13,FALSE)</f>
        <v>0</v>
      </c>
      <c r="P86" s="119">
        <f>VLOOKUP(C86,'Talente &amp; Stuff'!GX:HY,14,FALSE)</f>
        <v>0</v>
      </c>
      <c r="Q86" s="114">
        <f>VLOOKUP(C86,'Talente &amp; Stuff'!GX:HY,15,FALSE)</f>
        <v>0</v>
      </c>
      <c r="R86" s="113">
        <f>VLOOKUP(C86,'Talente &amp; Stuff'!GX:HY,16,FALSE)</f>
        <v>0</v>
      </c>
      <c r="S86" s="119">
        <f>VLOOKUP(C86,'Talente &amp; Stuff'!GX:HY,17,FALSE)</f>
        <v>0</v>
      </c>
      <c r="T86" s="160">
        <f>VLOOKUP(C86,'Talente &amp; Stuff'!GX:HY,18,FALSE)</f>
        <v>0</v>
      </c>
      <c r="U86" s="89">
        <f>VLOOKUP(C86,'Talente &amp; Stuff'!GX:HY,19,FALSE)</f>
        <v>0</v>
      </c>
      <c r="V86" s="47">
        <f>VLOOKUP(C86,'Talente &amp; Stuff'!GX:HY,20,FALSE)</f>
        <v>0</v>
      </c>
      <c r="W86" s="127">
        <f>VLOOKUP(C86,'Talente &amp; Stuff'!GX:HY,21,FALSE)</f>
        <v>0</v>
      </c>
      <c r="X86" s="127">
        <f>VLOOKUP(C86,'Talente &amp; Stuff'!GX:HY,22,FALSE)</f>
        <v>0</v>
      </c>
      <c r="Y86" s="165">
        <f t="shared" si="10"/>
        <v>0</v>
      </c>
      <c r="Z86" s="44">
        <f t="shared" si="11"/>
        <v>0</v>
      </c>
      <c r="AA86" s="125">
        <f>VLOOKUP(C86,'Talente &amp; Stuff'!GX:HY,25,FALSE)</f>
        <v>0</v>
      </c>
      <c r="AB86" s="160">
        <f>VLOOKUP(C86,'Talente &amp; Stuff'!GX:HY,26,FALSE)</f>
        <v>0</v>
      </c>
      <c r="AC86" s="127">
        <f>VLOOKUP(C86,'Talente &amp; Stuff'!GX:HY,27,FALSE)</f>
        <v>0</v>
      </c>
      <c r="AD86" s="125">
        <f>VLOOKUP(C86,'Talente &amp; Stuff'!GX:HY,28,FALSE)</f>
        <v>0</v>
      </c>
      <c r="AE86" s="28"/>
    </row>
    <row r="87" spans="2:31" ht="15" hidden="1" customHeight="1" outlineLevel="2">
      <c r="B87" s="148">
        <v>10</v>
      </c>
      <c r="C87" s="177" t="str">
        <f>Attribute!C87</f>
        <v>---</v>
      </c>
      <c r="D87" s="125" t="str">
        <f>VLOOKUP(C87,'Talente &amp; Stuff'!GX:HY,2,FALSE)</f>
        <v>--/--/--</v>
      </c>
      <c r="E87" s="127" t="str">
        <f>VLOOKUP(C87,'Talente &amp; Stuff'!GX:HY,3,FALSE)</f>
        <v>-</v>
      </c>
      <c r="F87" s="114">
        <f>VLOOKUP(C87,'Talente &amp; Stuff'!GX:HY,4,FALSE)</f>
        <v>0</v>
      </c>
      <c r="G87" s="113">
        <f>VLOOKUP(C87,'Talente &amp; Stuff'!GX:HY,5,FALSE)</f>
        <v>0</v>
      </c>
      <c r="H87" s="113">
        <f>VLOOKUP(C87,'Talente &amp; Stuff'!GX:HY,6,FALSE)</f>
        <v>0</v>
      </c>
      <c r="I87" s="113">
        <f>VLOOKUP(C87,'Talente &amp; Stuff'!GX:HY,7,FALSE)</f>
        <v>0</v>
      </c>
      <c r="J87" s="113">
        <f>VLOOKUP(C87,'Talente &amp; Stuff'!GX:HY,8,FALSE)</f>
        <v>0</v>
      </c>
      <c r="K87" s="113">
        <f>VLOOKUP(C87,'Talente &amp; Stuff'!GX:HY,9,FALSE)</f>
        <v>0</v>
      </c>
      <c r="L87" s="113">
        <f>VLOOKUP(C87,'Talente &amp; Stuff'!GX:HY,10,FALSE)</f>
        <v>0</v>
      </c>
      <c r="M87" s="119">
        <f>VLOOKUP(C87,'Talente &amp; Stuff'!GX:HY,11,FALSE)</f>
        <v>0</v>
      </c>
      <c r="N87" s="89">
        <f>VLOOKUP(C87,'Talente &amp; Stuff'!GX:HY,12,FALSE)</f>
        <v>0</v>
      </c>
      <c r="O87" s="47">
        <f>VLOOKUP(C87,'Talente &amp; Stuff'!GX:HY,13,FALSE)</f>
        <v>0</v>
      </c>
      <c r="P87" s="119">
        <f>VLOOKUP(C87,'Talente &amp; Stuff'!GX:HY,14,FALSE)</f>
        <v>0</v>
      </c>
      <c r="Q87" s="114">
        <f>VLOOKUP(C87,'Talente &amp; Stuff'!GX:HY,15,FALSE)</f>
        <v>0</v>
      </c>
      <c r="R87" s="113">
        <f>VLOOKUP(C87,'Talente &amp; Stuff'!GX:HY,16,FALSE)</f>
        <v>0</v>
      </c>
      <c r="S87" s="119">
        <f>VLOOKUP(C87,'Talente &amp; Stuff'!GX:HY,17,FALSE)</f>
        <v>0</v>
      </c>
      <c r="T87" s="160">
        <f>VLOOKUP(C87,'Talente &amp; Stuff'!GX:HY,18,FALSE)</f>
        <v>0</v>
      </c>
      <c r="U87" s="89">
        <f>VLOOKUP(C87,'Talente &amp; Stuff'!GX:HY,19,FALSE)</f>
        <v>0</v>
      </c>
      <c r="V87" s="47">
        <f>VLOOKUP(C87,'Talente &amp; Stuff'!GX:HY,20,FALSE)</f>
        <v>0</v>
      </c>
      <c r="W87" s="127">
        <f>VLOOKUP(C87,'Talente &amp; Stuff'!GX:HY,21,FALSE)</f>
        <v>0</v>
      </c>
      <c r="X87" s="127">
        <f>VLOOKUP(C87,'Talente &amp; Stuff'!GX:HY,22,FALSE)</f>
        <v>0</v>
      </c>
      <c r="Y87" s="165">
        <f t="shared" si="10"/>
        <v>0</v>
      </c>
      <c r="Z87" s="44">
        <f t="shared" si="11"/>
        <v>0</v>
      </c>
      <c r="AA87" s="125">
        <f>VLOOKUP(C87,'Talente &amp; Stuff'!GX:HY,25,FALSE)</f>
        <v>0</v>
      </c>
      <c r="AB87" s="160">
        <f>VLOOKUP(C87,'Talente &amp; Stuff'!GX:HY,26,FALSE)</f>
        <v>0</v>
      </c>
      <c r="AC87" s="127">
        <f>VLOOKUP(C87,'Talente &amp; Stuff'!GX:HY,27,FALSE)</f>
        <v>0</v>
      </c>
      <c r="AD87" s="125">
        <f>VLOOKUP(C87,'Talente &amp; Stuff'!GX:HY,28,FALSE)</f>
        <v>0</v>
      </c>
      <c r="AE87" s="28"/>
    </row>
    <row r="88" spans="2:31" ht="15" hidden="1" customHeight="1" outlineLevel="2">
      <c r="B88" s="148">
        <v>11</v>
      </c>
      <c r="C88" s="177" t="str">
        <f>Attribute!C88</f>
        <v>---</v>
      </c>
      <c r="D88" s="125" t="str">
        <f>VLOOKUP(C88,'Talente &amp; Stuff'!GX:HY,2,FALSE)</f>
        <v>--/--/--</v>
      </c>
      <c r="E88" s="127" t="str">
        <f>VLOOKUP(C88,'Talente &amp; Stuff'!GX:HY,3,FALSE)</f>
        <v>-</v>
      </c>
      <c r="F88" s="114">
        <f>VLOOKUP(C88,'Talente &amp; Stuff'!GX:HY,4,FALSE)</f>
        <v>0</v>
      </c>
      <c r="G88" s="113">
        <f>VLOOKUP(C88,'Talente &amp; Stuff'!GX:HY,5,FALSE)</f>
        <v>0</v>
      </c>
      <c r="H88" s="113">
        <f>VLOOKUP(C88,'Talente &amp; Stuff'!GX:HY,6,FALSE)</f>
        <v>0</v>
      </c>
      <c r="I88" s="113">
        <f>VLOOKUP(C88,'Talente &amp; Stuff'!GX:HY,7,FALSE)</f>
        <v>0</v>
      </c>
      <c r="J88" s="113">
        <f>VLOOKUP(C88,'Talente &amp; Stuff'!GX:HY,8,FALSE)</f>
        <v>0</v>
      </c>
      <c r="K88" s="113">
        <f>VLOOKUP(C88,'Talente &amp; Stuff'!GX:HY,9,FALSE)</f>
        <v>0</v>
      </c>
      <c r="L88" s="113">
        <f>VLOOKUP(C88,'Talente &amp; Stuff'!GX:HY,10,FALSE)</f>
        <v>0</v>
      </c>
      <c r="M88" s="119">
        <f>VLOOKUP(C88,'Talente &amp; Stuff'!GX:HY,11,FALSE)</f>
        <v>0</v>
      </c>
      <c r="N88" s="89">
        <f>VLOOKUP(C88,'Talente &amp; Stuff'!GX:HY,12,FALSE)</f>
        <v>0</v>
      </c>
      <c r="O88" s="47">
        <f>VLOOKUP(C88,'Talente &amp; Stuff'!GX:HY,13,FALSE)</f>
        <v>0</v>
      </c>
      <c r="P88" s="119">
        <f>VLOOKUP(C88,'Talente &amp; Stuff'!GX:HY,14,FALSE)</f>
        <v>0</v>
      </c>
      <c r="Q88" s="114">
        <f>VLOOKUP(C88,'Talente &amp; Stuff'!GX:HY,15,FALSE)</f>
        <v>0</v>
      </c>
      <c r="R88" s="113">
        <f>VLOOKUP(C88,'Talente &amp; Stuff'!GX:HY,16,FALSE)</f>
        <v>0</v>
      </c>
      <c r="S88" s="119">
        <f>VLOOKUP(C88,'Talente &amp; Stuff'!GX:HY,17,FALSE)</f>
        <v>0</v>
      </c>
      <c r="T88" s="160">
        <f>VLOOKUP(C88,'Talente &amp; Stuff'!GX:HY,18,FALSE)</f>
        <v>0</v>
      </c>
      <c r="U88" s="89">
        <f>VLOOKUP(C88,'Talente &amp; Stuff'!GX:HY,19,FALSE)</f>
        <v>0</v>
      </c>
      <c r="V88" s="47">
        <f>VLOOKUP(C88,'Talente &amp; Stuff'!GX:HY,20,FALSE)</f>
        <v>0</v>
      </c>
      <c r="W88" s="127">
        <f>VLOOKUP(C88,'Talente &amp; Stuff'!GX:HY,21,FALSE)</f>
        <v>0</v>
      </c>
      <c r="X88" s="127">
        <f>VLOOKUP(C88,'Talente &amp; Stuff'!GX:HY,22,FALSE)</f>
        <v>0</v>
      </c>
      <c r="Y88" s="165">
        <f t="shared" si="10"/>
        <v>0</v>
      </c>
      <c r="Z88" s="44">
        <f t="shared" si="11"/>
        <v>0</v>
      </c>
      <c r="AA88" s="125">
        <f>VLOOKUP(C88,'Talente &amp; Stuff'!GX:HY,25,FALSE)</f>
        <v>0</v>
      </c>
      <c r="AB88" s="160">
        <f>VLOOKUP(C88,'Talente &amp; Stuff'!GX:HY,26,FALSE)</f>
        <v>0</v>
      </c>
      <c r="AC88" s="127">
        <f>VLOOKUP(C88,'Talente &amp; Stuff'!GX:HY,27,FALSE)</f>
        <v>0</v>
      </c>
      <c r="AD88" s="125">
        <f>VLOOKUP(C88,'Talente &amp; Stuff'!GX:HY,28,FALSE)</f>
        <v>0</v>
      </c>
      <c r="AE88" s="28"/>
    </row>
    <row r="89" spans="2:31" ht="15" hidden="1" customHeight="1" outlineLevel="2">
      <c r="B89" s="148">
        <v>12</v>
      </c>
      <c r="C89" s="177" t="str">
        <f>Attribute!C89</f>
        <v>---</v>
      </c>
      <c r="D89" s="125" t="str">
        <f>VLOOKUP(C89,'Talente &amp; Stuff'!GX:HY,2,FALSE)</f>
        <v>--/--/--</v>
      </c>
      <c r="E89" s="127" t="str">
        <f>VLOOKUP(C89,'Talente &amp; Stuff'!GX:HY,3,FALSE)</f>
        <v>-</v>
      </c>
      <c r="F89" s="114">
        <f>VLOOKUP(C89,'Talente &amp; Stuff'!GX:HY,4,FALSE)</f>
        <v>0</v>
      </c>
      <c r="G89" s="113">
        <f>VLOOKUP(C89,'Talente &amp; Stuff'!GX:HY,5,FALSE)</f>
        <v>0</v>
      </c>
      <c r="H89" s="113">
        <f>VLOOKUP(C89,'Talente &amp; Stuff'!GX:HY,6,FALSE)</f>
        <v>0</v>
      </c>
      <c r="I89" s="113">
        <f>VLOOKUP(C89,'Talente &amp; Stuff'!GX:HY,7,FALSE)</f>
        <v>0</v>
      </c>
      <c r="J89" s="113">
        <f>VLOOKUP(C89,'Talente &amp; Stuff'!GX:HY,8,FALSE)</f>
        <v>0</v>
      </c>
      <c r="K89" s="113">
        <f>VLOOKUP(C89,'Talente &amp; Stuff'!GX:HY,9,FALSE)</f>
        <v>0</v>
      </c>
      <c r="L89" s="113">
        <f>VLOOKUP(C89,'Talente &amp; Stuff'!GX:HY,10,FALSE)</f>
        <v>0</v>
      </c>
      <c r="M89" s="119">
        <f>VLOOKUP(C89,'Talente &amp; Stuff'!GX:HY,11,FALSE)</f>
        <v>0</v>
      </c>
      <c r="N89" s="89">
        <f>VLOOKUP(C89,'Talente &amp; Stuff'!GX:HY,12,FALSE)</f>
        <v>0</v>
      </c>
      <c r="O89" s="47">
        <f>VLOOKUP(C89,'Talente &amp; Stuff'!GX:HY,13,FALSE)</f>
        <v>0</v>
      </c>
      <c r="P89" s="119">
        <f>VLOOKUP(C89,'Talente &amp; Stuff'!GX:HY,14,FALSE)</f>
        <v>0</v>
      </c>
      <c r="Q89" s="114">
        <f>VLOOKUP(C89,'Talente &amp; Stuff'!GX:HY,15,FALSE)</f>
        <v>0</v>
      </c>
      <c r="R89" s="113">
        <f>VLOOKUP(C89,'Talente &amp; Stuff'!GX:HY,16,FALSE)</f>
        <v>0</v>
      </c>
      <c r="S89" s="119">
        <f>VLOOKUP(C89,'Talente &amp; Stuff'!GX:HY,17,FALSE)</f>
        <v>0</v>
      </c>
      <c r="T89" s="160">
        <f>VLOOKUP(C89,'Talente &amp; Stuff'!GX:HY,18,FALSE)</f>
        <v>0</v>
      </c>
      <c r="U89" s="89">
        <f>VLOOKUP(C89,'Talente &amp; Stuff'!GX:HY,19,FALSE)</f>
        <v>0</v>
      </c>
      <c r="V89" s="47">
        <f>VLOOKUP(C89,'Talente &amp; Stuff'!GX:HY,20,FALSE)</f>
        <v>0</v>
      </c>
      <c r="W89" s="127">
        <f>VLOOKUP(C89,'Talente &amp; Stuff'!GX:HY,21,FALSE)</f>
        <v>0</v>
      </c>
      <c r="X89" s="127">
        <f>VLOOKUP(C89,'Talente &amp; Stuff'!GX:HY,22,FALSE)</f>
        <v>0</v>
      </c>
      <c r="Y89" s="165">
        <f t="shared" si="10"/>
        <v>0</v>
      </c>
      <c r="Z89" s="44">
        <f t="shared" si="11"/>
        <v>0</v>
      </c>
      <c r="AA89" s="125">
        <f>VLOOKUP(C89,'Talente &amp; Stuff'!GX:HY,25,FALSE)</f>
        <v>0</v>
      </c>
      <c r="AB89" s="160">
        <f>VLOOKUP(C89,'Talente &amp; Stuff'!GX:HY,26,FALSE)</f>
        <v>0</v>
      </c>
      <c r="AC89" s="127">
        <f>VLOOKUP(C89,'Talente &amp; Stuff'!GX:HY,27,FALSE)</f>
        <v>0</v>
      </c>
      <c r="AD89" s="125">
        <f>VLOOKUP(C89,'Talente &amp; Stuff'!GX:HY,28,FALSE)</f>
        <v>0</v>
      </c>
      <c r="AE89" s="28"/>
    </row>
    <row r="90" spans="2:31" ht="15" hidden="1" customHeight="1" outlineLevel="2">
      <c r="B90" s="148">
        <v>13</v>
      </c>
      <c r="C90" s="177" t="str">
        <f>Attribute!C90</f>
        <v>---</v>
      </c>
      <c r="D90" s="125" t="str">
        <f>VLOOKUP(C90,'Talente &amp; Stuff'!GX:HY,2,FALSE)</f>
        <v>--/--/--</v>
      </c>
      <c r="E90" s="127" t="str">
        <f>VLOOKUP(C90,'Talente &amp; Stuff'!GX:HY,3,FALSE)</f>
        <v>-</v>
      </c>
      <c r="F90" s="114">
        <f>VLOOKUP(C90,'Talente &amp; Stuff'!GX:HY,4,FALSE)</f>
        <v>0</v>
      </c>
      <c r="G90" s="113">
        <f>VLOOKUP(C90,'Talente &amp; Stuff'!GX:HY,5,FALSE)</f>
        <v>0</v>
      </c>
      <c r="H90" s="113">
        <f>VLOOKUP(C90,'Talente &amp; Stuff'!GX:HY,6,FALSE)</f>
        <v>0</v>
      </c>
      <c r="I90" s="113">
        <f>VLOOKUP(C90,'Talente &amp; Stuff'!GX:HY,7,FALSE)</f>
        <v>0</v>
      </c>
      <c r="J90" s="113">
        <f>VLOOKUP(C90,'Talente &amp; Stuff'!GX:HY,8,FALSE)</f>
        <v>0</v>
      </c>
      <c r="K90" s="113">
        <f>VLOOKUP(C90,'Talente &amp; Stuff'!GX:HY,9,FALSE)</f>
        <v>0</v>
      </c>
      <c r="L90" s="113">
        <f>VLOOKUP(C90,'Talente &amp; Stuff'!GX:HY,10,FALSE)</f>
        <v>0</v>
      </c>
      <c r="M90" s="119">
        <f>VLOOKUP(C90,'Talente &amp; Stuff'!GX:HY,11,FALSE)</f>
        <v>0</v>
      </c>
      <c r="N90" s="89">
        <f>VLOOKUP(C90,'Talente &amp; Stuff'!GX:HY,12,FALSE)</f>
        <v>0</v>
      </c>
      <c r="O90" s="47">
        <f>VLOOKUP(C90,'Talente &amp; Stuff'!GX:HY,13,FALSE)</f>
        <v>0</v>
      </c>
      <c r="P90" s="119">
        <f>VLOOKUP(C90,'Talente &amp; Stuff'!GX:HY,14,FALSE)</f>
        <v>0</v>
      </c>
      <c r="Q90" s="114">
        <f>VLOOKUP(C90,'Talente &amp; Stuff'!GX:HY,15,FALSE)</f>
        <v>0</v>
      </c>
      <c r="R90" s="113">
        <f>VLOOKUP(C90,'Talente &amp; Stuff'!GX:HY,16,FALSE)</f>
        <v>0</v>
      </c>
      <c r="S90" s="119">
        <f>VLOOKUP(C90,'Talente &amp; Stuff'!GX:HY,17,FALSE)</f>
        <v>0</v>
      </c>
      <c r="T90" s="160">
        <f>VLOOKUP(C90,'Talente &amp; Stuff'!GX:HY,18,FALSE)</f>
        <v>0</v>
      </c>
      <c r="U90" s="89">
        <f>VLOOKUP(C90,'Talente &amp; Stuff'!GX:HY,19,FALSE)</f>
        <v>0</v>
      </c>
      <c r="V90" s="47">
        <f>VLOOKUP(C90,'Talente &amp; Stuff'!GX:HY,20,FALSE)</f>
        <v>0</v>
      </c>
      <c r="W90" s="127">
        <f>VLOOKUP(C90,'Talente &amp; Stuff'!GX:HY,21,FALSE)</f>
        <v>0</v>
      </c>
      <c r="X90" s="127">
        <f>VLOOKUP(C90,'Talente &amp; Stuff'!GX:HY,22,FALSE)</f>
        <v>0</v>
      </c>
      <c r="Y90" s="165">
        <f t="shared" si="10"/>
        <v>0</v>
      </c>
      <c r="Z90" s="44">
        <f t="shared" si="11"/>
        <v>0</v>
      </c>
      <c r="AA90" s="125">
        <f>VLOOKUP(C90,'Talente &amp; Stuff'!GX:HY,25,FALSE)</f>
        <v>0</v>
      </c>
      <c r="AB90" s="160">
        <f>VLOOKUP(C90,'Talente &amp; Stuff'!GX:HY,26,FALSE)</f>
        <v>0</v>
      </c>
      <c r="AC90" s="127">
        <f>VLOOKUP(C90,'Talente &amp; Stuff'!GX:HY,27,FALSE)</f>
        <v>0</v>
      </c>
      <c r="AD90" s="125">
        <f>VLOOKUP(C90,'Talente &amp; Stuff'!GX:HY,28,FALSE)</f>
        <v>0</v>
      </c>
      <c r="AE90" s="28"/>
    </row>
    <row r="91" spans="2:31" ht="15" hidden="1" customHeight="1" outlineLevel="2">
      <c r="B91" s="148">
        <v>14</v>
      </c>
      <c r="C91" s="177" t="str">
        <f>Attribute!C91</f>
        <v>---</v>
      </c>
      <c r="D91" s="125" t="str">
        <f>VLOOKUP(C91,'Talente &amp; Stuff'!GX:HY,2,FALSE)</f>
        <v>--/--/--</v>
      </c>
      <c r="E91" s="127" t="str">
        <f>VLOOKUP(C91,'Talente &amp; Stuff'!GX:HY,3,FALSE)</f>
        <v>-</v>
      </c>
      <c r="F91" s="114">
        <f>VLOOKUP(C91,'Talente &amp; Stuff'!GX:HY,4,FALSE)</f>
        <v>0</v>
      </c>
      <c r="G91" s="113">
        <f>VLOOKUP(C91,'Talente &amp; Stuff'!GX:HY,5,FALSE)</f>
        <v>0</v>
      </c>
      <c r="H91" s="113">
        <f>VLOOKUP(C91,'Talente &amp; Stuff'!GX:HY,6,FALSE)</f>
        <v>0</v>
      </c>
      <c r="I91" s="113">
        <f>VLOOKUP(C91,'Talente &amp; Stuff'!GX:HY,7,FALSE)</f>
        <v>0</v>
      </c>
      <c r="J91" s="113">
        <f>VLOOKUP(C91,'Talente &amp; Stuff'!GX:HY,8,FALSE)</f>
        <v>0</v>
      </c>
      <c r="K91" s="113">
        <f>VLOOKUP(C91,'Talente &amp; Stuff'!GX:HY,9,FALSE)</f>
        <v>0</v>
      </c>
      <c r="L91" s="113">
        <f>VLOOKUP(C91,'Talente &amp; Stuff'!GX:HY,10,FALSE)</f>
        <v>0</v>
      </c>
      <c r="M91" s="119">
        <f>VLOOKUP(C91,'Talente &amp; Stuff'!GX:HY,11,FALSE)</f>
        <v>0</v>
      </c>
      <c r="N91" s="89">
        <f>VLOOKUP(C91,'Talente &amp; Stuff'!GX:HY,12,FALSE)</f>
        <v>0</v>
      </c>
      <c r="O91" s="47">
        <f>VLOOKUP(C91,'Talente &amp; Stuff'!GX:HY,13,FALSE)</f>
        <v>0</v>
      </c>
      <c r="P91" s="119">
        <f>VLOOKUP(C91,'Talente &amp; Stuff'!GX:HY,14,FALSE)</f>
        <v>0</v>
      </c>
      <c r="Q91" s="114">
        <f>VLOOKUP(C91,'Talente &amp; Stuff'!GX:HY,15,FALSE)</f>
        <v>0</v>
      </c>
      <c r="R91" s="113">
        <f>VLOOKUP(C91,'Talente &amp; Stuff'!GX:HY,16,FALSE)</f>
        <v>0</v>
      </c>
      <c r="S91" s="119">
        <f>VLOOKUP(C91,'Talente &amp; Stuff'!GX:HY,17,FALSE)</f>
        <v>0</v>
      </c>
      <c r="T91" s="160">
        <f>VLOOKUP(C91,'Talente &amp; Stuff'!GX:HY,18,FALSE)</f>
        <v>0</v>
      </c>
      <c r="U91" s="89">
        <f>VLOOKUP(C91,'Talente &amp; Stuff'!GX:HY,19,FALSE)</f>
        <v>0</v>
      </c>
      <c r="V91" s="47">
        <f>VLOOKUP(C91,'Talente &amp; Stuff'!GX:HY,20,FALSE)</f>
        <v>0</v>
      </c>
      <c r="W91" s="127">
        <f>VLOOKUP(C91,'Talente &amp; Stuff'!GX:HY,21,FALSE)</f>
        <v>0</v>
      </c>
      <c r="X91" s="127">
        <f>VLOOKUP(C91,'Talente &amp; Stuff'!GX:HY,22,FALSE)</f>
        <v>0</v>
      </c>
      <c r="Y91" s="165">
        <f t="shared" si="10"/>
        <v>0</v>
      </c>
      <c r="Z91" s="44">
        <f t="shared" si="11"/>
        <v>0</v>
      </c>
      <c r="AA91" s="125">
        <f>VLOOKUP(C91,'Talente &amp; Stuff'!GX:HY,25,FALSE)</f>
        <v>0</v>
      </c>
      <c r="AB91" s="160">
        <f>VLOOKUP(C91,'Talente &amp; Stuff'!GX:HY,26,FALSE)</f>
        <v>0</v>
      </c>
      <c r="AC91" s="127">
        <f>VLOOKUP(C91,'Talente &amp; Stuff'!GX:HY,27,FALSE)</f>
        <v>0</v>
      </c>
      <c r="AD91" s="125">
        <f>VLOOKUP(C91,'Talente &amp; Stuff'!GX:HY,28,FALSE)</f>
        <v>0</v>
      </c>
      <c r="AE91" s="28"/>
    </row>
    <row r="92" spans="2:31" ht="15" hidden="1" customHeight="1" outlineLevel="2">
      <c r="B92" s="148">
        <v>15</v>
      </c>
      <c r="C92" s="177" t="str">
        <f>Attribute!C92</f>
        <v>---</v>
      </c>
      <c r="D92" s="86" t="str">
        <f>VLOOKUP(C92,'Talente &amp; Stuff'!GX:HY,2,FALSE)</f>
        <v>--/--/--</v>
      </c>
      <c r="E92" s="127" t="str">
        <f>VLOOKUP(C92,'Talente &amp; Stuff'!GX:HY,3,FALSE)</f>
        <v>-</v>
      </c>
      <c r="F92" s="114">
        <f>VLOOKUP(C92,'Talente &amp; Stuff'!GX:HY,4,FALSE)</f>
        <v>0</v>
      </c>
      <c r="G92" s="113">
        <f>VLOOKUP(C92,'Talente &amp; Stuff'!GX:HY,5,FALSE)</f>
        <v>0</v>
      </c>
      <c r="H92" s="113">
        <f>VLOOKUP(C92,'Talente &amp; Stuff'!GX:HY,6,FALSE)</f>
        <v>0</v>
      </c>
      <c r="I92" s="113">
        <f>VLOOKUP(C92,'Talente &amp; Stuff'!GX:HY,7,FALSE)</f>
        <v>0</v>
      </c>
      <c r="J92" s="113">
        <f>VLOOKUP(C92,'Talente &amp; Stuff'!GX:HY,8,FALSE)</f>
        <v>0</v>
      </c>
      <c r="K92" s="113">
        <f>VLOOKUP(C92,'Talente &amp; Stuff'!GX:HY,9,FALSE)</f>
        <v>0</v>
      </c>
      <c r="L92" s="113">
        <f>VLOOKUP(C92,'Talente &amp; Stuff'!GX:HY,10,FALSE)</f>
        <v>0</v>
      </c>
      <c r="M92" s="119">
        <f>VLOOKUP(C92,'Talente &amp; Stuff'!GX:HY,11,FALSE)</f>
        <v>0</v>
      </c>
      <c r="N92" s="89">
        <f>VLOOKUP(C92,'Talente &amp; Stuff'!GX:HY,12,FALSE)</f>
        <v>0</v>
      </c>
      <c r="O92" s="47">
        <f>VLOOKUP(C92,'Talente &amp; Stuff'!GX:HY,13,FALSE)</f>
        <v>0</v>
      </c>
      <c r="P92" s="119">
        <f>VLOOKUP(C92,'Talente &amp; Stuff'!GX:HY,14,FALSE)</f>
        <v>0</v>
      </c>
      <c r="Q92" s="114">
        <f>VLOOKUP(C92,'Talente &amp; Stuff'!GX:HY,15,FALSE)</f>
        <v>0</v>
      </c>
      <c r="R92" s="113">
        <f>VLOOKUP(C92,'Talente &amp; Stuff'!GX:HY,16,FALSE)</f>
        <v>0</v>
      </c>
      <c r="S92" s="119">
        <f>VLOOKUP(C92,'Talente &amp; Stuff'!GX:HY,17,FALSE)</f>
        <v>0</v>
      </c>
      <c r="T92" s="160">
        <f>VLOOKUP(C92,'Talente &amp; Stuff'!GX:HY,18,FALSE)</f>
        <v>0</v>
      </c>
      <c r="U92" s="89">
        <f>VLOOKUP(C92,'Talente &amp; Stuff'!GX:HY,19,FALSE)</f>
        <v>0</v>
      </c>
      <c r="V92" s="47">
        <f>VLOOKUP(C92,'Talente &amp; Stuff'!GX:HY,20,FALSE)</f>
        <v>0</v>
      </c>
      <c r="W92" s="127">
        <f>VLOOKUP(C92,'Talente &amp; Stuff'!GX:HY,21,FALSE)</f>
        <v>0</v>
      </c>
      <c r="X92" s="127">
        <f>VLOOKUP(C92,'Talente &amp; Stuff'!GX:HY,22,FALSE)</f>
        <v>0</v>
      </c>
      <c r="Y92" s="165">
        <f t="shared" si="10"/>
        <v>0</v>
      </c>
      <c r="Z92" s="44">
        <f t="shared" si="11"/>
        <v>0</v>
      </c>
      <c r="AA92" s="125">
        <f>VLOOKUP(C92,'Talente &amp; Stuff'!GX:HY,25,FALSE)</f>
        <v>0</v>
      </c>
      <c r="AB92" s="160">
        <f>VLOOKUP(C92,'Talente &amp; Stuff'!GX:HY,26,FALSE)</f>
        <v>0</v>
      </c>
      <c r="AC92" s="127">
        <f>VLOOKUP(C92,'Talente &amp; Stuff'!GX:HY,27,FALSE)</f>
        <v>0</v>
      </c>
      <c r="AD92" s="125">
        <f>VLOOKUP(C92,'Talente &amp; Stuff'!GX:HY,28,FALSE)</f>
        <v>0</v>
      </c>
      <c r="AE92" s="28"/>
    </row>
    <row r="93" spans="2:31" ht="15" hidden="1" customHeight="1" outlineLevel="2">
      <c r="B93" s="148">
        <v>16</v>
      </c>
      <c r="C93" s="177" t="str">
        <f>Attribute!C93</f>
        <v>---</v>
      </c>
      <c r="D93" s="125" t="str">
        <f>VLOOKUP(C93,'Talente &amp; Stuff'!GX:HY,2,FALSE)</f>
        <v>--/--/--</v>
      </c>
      <c r="E93" s="127" t="str">
        <f>VLOOKUP(C93,'Talente &amp; Stuff'!GX:HY,3,FALSE)</f>
        <v>-</v>
      </c>
      <c r="F93" s="114">
        <f>VLOOKUP(C93,'Talente &amp; Stuff'!GX:HY,4,FALSE)</f>
        <v>0</v>
      </c>
      <c r="G93" s="113">
        <f>VLOOKUP(C93,'Talente &amp; Stuff'!GX:HY,5,FALSE)</f>
        <v>0</v>
      </c>
      <c r="H93" s="113">
        <f>VLOOKUP(C93,'Talente &amp; Stuff'!GX:HY,6,FALSE)</f>
        <v>0</v>
      </c>
      <c r="I93" s="113">
        <f>VLOOKUP(C93,'Talente &amp; Stuff'!GX:HY,7,FALSE)</f>
        <v>0</v>
      </c>
      <c r="J93" s="113">
        <f>VLOOKUP(C93,'Talente &amp; Stuff'!GX:HY,8,FALSE)</f>
        <v>0</v>
      </c>
      <c r="K93" s="113">
        <f>VLOOKUP(C93,'Talente &amp; Stuff'!GX:HY,9,FALSE)</f>
        <v>0</v>
      </c>
      <c r="L93" s="113">
        <f>VLOOKUP(C93,'Talente &amp; Stuff'!GX:HY,10,FALSE)</f>
        <v>0</v>
      </c>
      <c r="M93" s="119">
        <f>VLOOKUP(C93,'Talente &amp; Stuff'!GX:HY,11,FALSE)</f>
        <v>0</v>
      </c>
      <c r="N93" s="89">
        <f>VLOOKUP(C93,'Talente &amp; Stuff'!GX:HY,12,FALSE)</f>
        <v>0</v>
      </c>
      <c r="O93" s="47">
        <f>VLOOKUP(C93,'Talente &amp; Stuff'!GX:HY,13,FALSE)</f>
        <v>0</v>
      </c>
      <c r="P93" s="119">
        <f>VLOOKUP(C93,'Talente &amp; Stuff'!GX:HY,14,FALSE)</f>
        <v>0</v>
      </c>
      <c r="Q93" s="114">
        <f>VLOOKUP(C93,'Talente &amp; Stuff'!GX:HY,15,FALSE)</f>
        <v>0</v>
      </c>
      <c r="R93" s="113">
        <f>VLOOKUP(C93,'Talente &amp; Stuff'!GX:HY,16,FALSE)</f>
        <v>0</v>
      </c>
      <c r="S93" s="119">
        <f>VLOOKUP(C93,'Talente &amp; Stuff'!GX:HY,17,FALSE)</f>
        <v>0</v>
      </c>
      <c r="T93" s="160">
        <f>VLOOKUP(C93,'Talente &amp; Stuff'!GX:HY,18,FALSE)</f>
        <v>0</v>
      </c>
      <c r="U93" s="89">
        <f>VLOOKUP(C93,'Talente &amp; Stuff'!GX:HY,19,FALSE)</f>
        <v>0</v>
      </c>
      <c r="V93" s="47">
        <f>VLOOKUP(C93,'Talente &amp; Stuff'!GX:HY,20,FALSE)</f>
        <v>0</v>
      </c>
      <c r="W93" s="127">
        <f>VLOOKUP(C93,'Talente &amp; Stuff'!GX:HY,21,FALSE)</f>
        <v>0</v>
      </c>
      <c r="X93" s="127">
        <f>VLOOKUP(C93,'Talente &amp; Stuff'!GX:HY,22,FALSE)</f>
        <v>0</v>
      </c>
      <c r="Y93" s="165">
        <f t="shared" si="10"/>
        <v>0</v>
      </c>
      <c r="Z93" s="44">
        <f t="shared" si="11"/>
        <v>0</v>
      </c>
      <c r="AA93" s="125">
        <f>VLOOKUP(C93,'Talente &amp; Stuff'!GX:HY,25,FALSE)</f>
        <v>0</v>
      </c>
      <c r="AB93" s="160">
        <f>VLOOKUP(C93,'Talente &amp; Stuff'!GX:HY,26,FALSE)</f>
        <v>0</v>
      </c>
      <c r="AC93" s="127">
        <f>VLOOKUP(C93,'Talente &amp; Stuff'!GX:HY,27,FALSE)</f>
        <v>0</v>
      </c>
      <c r="AD93" s="125">
        <f>VLOOKUP(C93,'Talente &amp; Stuff'!GX:HY,28,FALSE)</f>
        <v>0</v>
      </c>
      <c r="AE93" s="28"/>
    </row>
    <row r="94" spans="2:31" ht="15" hidden="1" customHeight="1" outlineLevel="2">
      <c r="B94" s="148">
        <v>17</v>
      </c>
      <c r="C94" s="177" t="str">
        <f>Attribute!C94</f>
        <v>---</v>
      </c>
      <c r="D94" s="125" t="str">
        <f>VLOOKUP(C94,'Talente &amp; Stuff'!GX:HY,2,FALSE)</f>
        <v>--/--/--</v>
      </c>
      <c r="E94" s="127" t="str">
        <f>VLOOKUP(C94,'Talente &amp; Stuff'!GX:HY,3,FALSE)</f>
        <v>-</v>
      </c>
      <c r="F94" s="114">
        <f>VLOOKUP(C94,'Talente &amp; Stuff'!GX:HY,4,FALSE)</f>
        <v>0</v>
      </c>
      <c r="G94" s="113">
        <f>VLOOKUP(C94,'Talente &amp; Stuff'!GX:HY,5,FALSE)</f>
        <v>0</v>
      </c>
      <c r="H94" s="113">
        <f>VLOOKUP(C94,'Talente &amp; Stuff'!GX:HY,6,FALSE)</f>
        <v>0</v>
      </c>
      <c r="I94" s="113">
        <f>VLOOKUP(C94,'Talente &amp; Stuff'!GX:HY,7,FALSE)</f>
        <v>0</v>
      </c>
      <c r="J94" s="113">
        <f>VLOOKUP(C94,'Talente &amp; Stuff'!GX:HY,8,FALSE)</f>
        <v>0</v>
      </c>
      <c r="K94" s="113">
        <f>VLOOKUP(C94,'Talente &amp; Stuff'!GX:HY,9,FALSE)</f>
        <v>0</v>
      </c>
      <c r="L94" s="113">
        <f>VLOOKUP(C94,'Talente &amp; Stuff'!GX:HY,10,FALSE)</f>
        <v>0</v>
      </c>
      <c r="M94" s="119">
        <f>VLOOKUP(C94,'Talente &amp; Stuff'!GX:HY,11,FALSE)</f>
        <v>0</v>
      </c>
      <c r="N94" s="89">
        <f>VLOOKUP(C94,'Talente &amp; Stuff'!GX:HY,12,FALSE)</f>
        <v>0</v>
      </c>
      <c r="O94" s="47">
        <f>VLOOKUP(C94,'Talente &amp; Stuff'!GX:HY,13,FALSE)</f>
        <v>0</v>
      </c>
      <c r="P94" s="119">
        <f>VLOOKUP(C94,'Talente &amp; Stuff'!GX:HY,14,FALSE)</f>
        <v>0</v>
      </c>
      <c r="Q94" s="114">
        <f>VLOOKUP(C94,'Talente &amp; Stuff'!GX:HY,15,FALSE)</f>
        <v>0</v>
      </c>
      <c r="R94" s="113">
        <f>VLOOKUP(C94,'Talente &amp; Stuff'!GX:HY,16,FALSE)</f>
        <v>0</v>
      </c>
      <c r="S94" s="119">
        <f>VLOOKUP(C94,'Talente &amp; Stuff'!GX:HY,17,FALSE)</f>
        <v>0</v>
      </c>
      <c r="T94" s="160">
        <f>VLOOKUP(C94,'Talente &amp; Stuff'!GX:HY,18,FALSE)</f>
        <v>0</v>
      </c>
      <c r="U94" s="89">
        <f>VLOOKUP(C94,'Talente &amp; Stuff'!GX:HY,19,FALSE)</f>
        <v>0</v>
      </c>
      <c r="V94" s="47">
        <f>VLOOKUP(C94,'Talente &amp; Stuff'!GX:HY,20,FALSE)</f>
        <v>0</v>
      </c>
      <c r="W94" s="127">
        <f>VLOOKUP(C94,'Talente &amp; Stuff'!GX:HY,21,FALSE)</f>
        <v>0</v>
      </c>
      <c r="X94" s="127">
        <f>VLOOKUP(C94,'Talente &amp; Stuff'!GX:HY,22,FALSE)</f>
        <v>0</v>
      </c>
      <c r="Y94" s="165">
        <f t="shared" si="10"/>
        <v>0</v>
      </c>
      <c r="Z94" s="44">
        <f t="shared" si="11"/>
        <v>0</v>
      </c>
      <c r="AA94" s="125">
        <f>VLOOKUP(C94,'Talente &amp; Stuff'!GX:HY,25,FALSE)</f>
        <v>0</v>
      </c>
      <c r="AB94" s="160">
        <f>VLOOKUP(C94,'Talente &amp; Stuff'!GX:HY,26,FALSE)</f>
        <v>0</v>
      </c>
      <c r="AC94" s="127">
        <f>VLOOKUP(C94,'Talente &amp; Stuff'!GX:HY,27,FALSE)</f>
        <v>0</v>
      </c>
      <c r="AD94" s="125">
        <f>VLOOKUP(C94,'Talente &amp; Stuff'!GX:HY,28,FALSE)</f>
        <v>0</v>
      </c>
      <c r="AE94" s="28"/>
    </row>
    <row r="95" spans="2:31" ht="15" hidden="1" customHeight="1" outlineLevel="2">
      <c r="B95" s="148">
        <v>18</v>
      </c>
      <c r="C95" s="177" t="str">
        <f>Attribute!C95</f>
        <v>---</v>
      </c>
      <c r="D95" s="125" t="str">
        <f>VLOOKUP(C95,'Talente &amp; Stuff'!GX:HY,2,FALSE)</f>
        <v>--/--/--</v>
      </c>
      <c r="E95" s="127" t="str">
        <f>VLOOKUP(C95,'Talente &amp; Stuff'!GX:HY,3,FALSE)</f>
        <v>-</v>
      </c>
      <c r="F95" s="114">
        <f>VLOOKUP(C95,'Talente &amp; Stuff'!GX:HY,4,FALSE)</f>
        <v>0</v>
      </c>
      <c r="G95" s="113">
        <f>VLOOKUP(C95,'Talente &amp; Stuff'!GX:HY,5,FALSE)</f>
        <v>0</v>
      </c>
      <c r="H95" s="113">
        <f>VLOOKUP(C95,'Talente &amp; Stuff'!GX:HY,6,FALSE)</f>
        <v>0</v>
      </c>
      <c r="I95" s="113">
        <f>VLOOKUP(C95,'Talente &amp; Stuff'!GX:HY,7,FALSE)</f>
        <v>0</v>
      </c>
      <c r="J95" s="113">
        <f>VLOOKUP(C95,'Talente &amp; Stuff'!GX:HY,8,FALSE)</f>
        <v>0</v>
      </c>
      <c r="K95" s="113">
        <f>VLOOKUP(C95,'Talente &amp; Stuff'!GX:HY,9,FALSE)</f>
        <v>0</v>
      </c>
      <c r="L95" s="113">
        <f>VLOOKUP(C95,'Talente &amp; Stuff'!GX:HY,10,FALSE)</f>
        <v>0</v>
      </c>
      <c r="M95" s="119">
        <f>VLOOKUP(C95,'Talente &amp; Stuff'!GX:HY,11,FALSE)</f>
        <v>0</v>
      </c>
      <c r="N95" s="89">
        <f>VLOOKUP(C95,'Talente &amp; Stuff'!GX:HY,12,FALSE)</f>
        <v>0</v>
      </c>
      <c r="O95" s="47">
        <f>VLOOKUP(C95,'Talente &amp; Stuff'!GX:HY,13,FALSE)</f>
        <v>0</v>
      </c>
      <c r="P95" s="119">
        <f>VLOOKUP(C95,'Talente &amp; Stuff'!GX:HY,14,FALSE)</f>
        <v>0</v>
      </c>
      <c r="Q95" s="114">
        <f>VLOOKUP(C95,'Talente &amp; Stuff'!GX:HY,15,FALSE)</f>
        <v>0</v>
      </c>
      <c r="R95" s="113">
        <f>VLOOKUP(C95,'Talente &amp; Stuff'!GX:HY,16,FALSE)</f>
        <v>0</v>
      </c>
      <c r="S95" s="119">
        <f>VLOOKUP(C95,'Talente &amp; Stuff'!GX:HY,17,FALSE)</f>
        <v>0</v>
      </c>
      <c r="T95" s="160">
        <f>VLOOKUP(C95,'Talente &amp; Stuff'!GX:HY,18,FALSE)</f>
        <v>0</v>
      </c>
      <c r="U95" s="89">
        <f>VLOOKUP(C95,'Talente &amp; Stuff'!GX:HY,19,FALSE)</f>
        <v>0</v>
      </c>
      <c r="V95" s="47">
        <f>VLOOKUP(C95,'Talente &amp; Stuff'!GX:HY,20,FALSE)</f>
        <v>0</v>
      </c>
      <c r="W95" s="127">
        <f>VLOOKUP(C95,'Talente &amp; Stuff'!GX:HY,21,FALSE)</f>
        <v>0</v>
      </c>
      <c r="X95" s="127">
        <f>VLOOKUP(C95,'Talente &amp; Stuff'!GX:HY,22,FALSE)</f>
        <v>0</v>
      </c>
      <c r="Y95" s="165">
        <f t="shared" si="10"/>
        <v>0</v>
      </c>
      <c r="Z95" s="44">
        <f t="shared" si="11"/>
        <v>0</v>
      </c>
      <c r="AA95" s="125">
        <f>VLOOKUP(C95,'Talente &amp; Stuff'!GX:HY,25,FALSE)</f>
        <v>0</v>
      </c>
      <c r="AB95" s="160">
        <f>VLOOKUP(C95,'Talente &amp; Stuff'!GX:HY,26,FALSE)</f>
        <v>0</v>
      </c>
      <c r="AC95" s="127">
        <f>VLOOKUP(C95,'Talente &amp; Stuff'!GX:HY,27,FALSE)</f>
        <v>0</v>
      </c>
      <c r="AD95" s="125">
        <f>VLOOKUP(C95,'Talente &amp; Stuff'!GX:HY,28,FALSE)</f>
        <v>0</v>
      </c>
      <c r="AE95" s="28"/>
    </row>
    <row r="96" spans="2:31" ht="15" hidden="1" customHeight="1" outlineLevel="2">
      <c r="B96" s="148">
        <v>19</v>
      </c>
      <c r="C96" s="177" t="str">
        <f>Attribute!C96</f>
        <v>---</v>
      </c>
      <c r="D96" s="125" t="str">
        <f>VLOOKUP(C96,'Talente &amp; Stuff'!GX:HY,2,FALSE)</f>
        <v>--/--/--</v>
      </c>
      <c r="E96" s="127" t="str">
        <f>VLOOKUP(C96,'Talente &amp; Stuff'!GX:HY,3,FALSE)</f>
        <v>-</v>
      </c>
      <c r="F96" s="114">
        <f>VLOOKUP(C96,'Talente &amp; Stuff'!GX:HY,4,FALSE)</f>
        <v>0</v>
      </c>
      <c r="G96" s="113">
        <f>VLOOKUP(C96,'Talente &amp; Stuff'!GX:HY,5,FALSE)</f>
        <v>0</v>
      </c>
      <c r="H96" s="113">
        <f>VLOOKUP(C96,'Talente &amp; Stuff'!GX:HY,6,FALSE)</f>
        <v>0</v>
      </c>
      <c r="I96" s="113">
        <f>VLOOKUP(C96,'Talente &amp; Stuff'!GX:HY,7,FALSE)</f>
        <v>0</v>
      </c>
      <c r="J96" s="113">
        <f>VLOOKUP(C96,'Talente &amp; Stuff'!GX:HY,8,FALSE)</f>
        <v>0</v>
      </c>
      <c r="K96" s="113">
        <f>VLOOKUP(C96,'Talente &amp; Stuff'!GX:HY,9,FALSE)</f>
        <v>0</v>
      </c>
      <c r="L96" s="113">
        <f>VLOOKUP(C96,'Talente &amp; Stuff'!GX:HY,10,FALSE)</f>
        <v>0</v>
      </c>
      <c r="M96" s="119">
        <f>VLOOKUP(C96,'Talente &amp; Stuff'!GX:HY,11,FALSE)</f>
        <v>0</v>
      </c>
      <c r="N96" s="89">
        <f>VLOOKUP(C96,'Talente &amp; Stuff'!GX:HY,12,FALSE)</f>
        <v>0</v>
      </c>
      <c r="O96" s="47">
        <f>VLOOKUP(C96,'Talente &amp; Stuff'!GX:HY,13,FALSE)</f>
        <v>0</v>
      </c>
      <c r="P96" s="119">
        <f>VLOOKUP(C96,'Talente &amp; Stuff'!GX:HY,14,FALSE)</f>
        <v>0</v>
      </c>
      <c r="Q96" s="114">
        <f>VLOOKUP(C96,'Talente &amp; Stuff'!GX:HY,15,FALSE)</f>
        <v>0</v>
      </c>
      <c r="R96" s="113">
        <f>VLOOKUP(C96,'Talente &amp; Stuff'!GX:HY,16,FALSE)</f>
        <v>0</v>
      </c>
      <c r="S96" s="119">
        <f>VLOOKUP(C96,'Talente &amp; Stuff'!GX:HY,17,FALSE)</f>
        <v>0</v>
      </c>
      <c r="T96" s="160">
        <f>VLOOKUP(C96,'Talente &amp; Stuff'!GX:HY,18,FALSE)</f>
        <v>0</v>
      </c>
      <c r="U96" s="89">
        <f>VLOOKUP(C96,'Talente &amp; Stuff'!GX:HY,19,FALSE)</f>
        <v>0</v>
      </c>
      <c r="V96" s="47">
        <f>VLOOKUP(C96,'Talente &amp; Stuff'!GX:HY,20,FALSE)</f>
        <v>0</v>
      </c>
      <c r="W96" s="127">
        <f>VLOOKUP(C96,'Talente &amp; Stuff'!GX:HY,21,FALSE)</f>
        <v>0</v>
      </c>
      <c r="X96" s="127">
        <f>VLOOKUP(C96,'Talente &amp; Stuff'!GX:HY,22,FALSE)</f>
        <v>0</v>
      </c>
      <c r="Y96" s="165">
        <f t="shared" si="10"/>
        <v>0</v>
      </c>
      <c r="Z96" s="44">
        <f t="shared" si="11"/>
        <v>0</v>
      </c>
      <c r="AA96" s="125">
        <f>VLOOKUP(C96,'Talente &amp; Stuff'!GX:HY,25,FALSE)</f>
        <v>0</v>
      </c>
      <c r="AB96" s="160">
        <f>VLOOKUP(C96,'Talente &amp; Stuff'!GX:HY,26,FALSE)</f>
        <v>0</v>
      </c>
      <c r="AC96" s="127">
        <f>VLOOKUP(C96,'Talente &amp; Stuff'!GX:HY,27,FALSE)</f>
        <v>0</v>
      </c>
      <c r="AD96" s="125">
        <f>VLOOKUP(C96,'Talente &amp; Stuff'!GX:HY,28,FALSE)</f>
        <v>0</v>
      </c>
      <c r="AE96" s="28"/>
    </row>
    <row r="97" spans="2:31" ht="15" hidden="1" customHeight="1" outlineLevel="2">
      <c r="B97" s="148">
        <v>20</v>
      </c>
      <c r="C97" s="177" t="str">
        <f>Attribute!C97</f>
        <v>---</v>
      </c>
      <c r="D97" s="125" t="str">
        <f>VLOOKUP(C97,'Talente &amp; Stuff'!GX:HY,2,FALSE)</f>
        <v>--/--/--</v>
      </c>
      <c r="E97" s="127" t="str">
        <f>VLOOKUP(C97,'Talente &amp; Stuff'!GX:HY,3,FALSE)</f>
        <v>-</v>
      </c>
      <c r="F97" s="114">
        <f>VLOOKUP(C97,'Talente &amp; Stuff'!GX:HY,4,FALSE)</f>
        <v>0</v>
      </c>
      <c r="G97" s="113">
        <f>VLOOKUP(C97,'Talente &amp; Stuff'!GX:HY,5,FALSE)</f>
        <v>0</v>
      </c>
      <c r="H97" s="113">
        <f>VLOOKUP(C97,'Talente &amp; Stuff'!GX:HY,6,FALSE)</f>
        <v>0</v>
      </c>
      <c r="I97" s="113">
        <f>VLOOKUP(C97,'Talente &amp; Stuff'!GX:HY,7,FALSE)</f>
        <v>0</v>
      </c>
      <c r="J97" s="113">
        <f>VLOOKUP(C97,'Talente &amp; Stuff'!GX:HY,8,FALSE)</f>
        <v>0</v>
      </c>
      <c r="K97" s="113">
        <f>VLOOKUP(C97,'Talente &amp; Stuff'!GX:HY,9,FALSE)</f>
        <v>0</v>
      </c>
      <c r="L97" s="113">
        <f>VLOOKUP(C97,'Talente &amp; Stuff'!GX:HY,10,FALSE)</f>
        <v>0</v>
      </c>
      <c r="M97" s="119">
        <f>VLOOKUP(C97,'Talente &amp; Stuff'!GX:HY,11,FALSE)</f>
        <v>0</v>
      </c>
      <c r="N97" s="89">
        <f>VLOOKUP(C97,'Talente &amp; Stuff'!GX:HY,12,FALSE)</f>
        <v>0</v>
      </c>
      <c r="O97" s="47">
        <f>VLOOKUP(C97,'Talente &amp; Stuff'!GX:HY,13,FALSE)</f>
        <v>0</v>
      </c>
      <c r="P97" s="119">
        <f>VLOOKUP(C97,'Talente &amp; Stuff'!GX:HY,14,FALSE)</f>
        <v>0</v>
      </c>
      <c r="Q97" s="114">
        <f>VLOOKUP(C97,'Talente &amp; Stuff'!GX:HY,15,FALSE)</f>
        <v>0</v>
      </c>
      <c r="R97" s="113">
        <f>VLOOKUP(C97,'Talente &amp; Stuff'!GX:HY,16,FALSE)</f>
        <v>0</v>
      </c>
      <c r="S97" s="119">
        <f>VLOOKUP(C97,'Talente &amp; Stuff'!GX:HY,17,FALSE)</f>
        <v>0</v>
      </c>
      <c r="T97" s="160">
        <f>VLOOKUP(C97,'Talente &amp; Stuff'!GX:HY,18,FALSE)</f>
        <v>0</v>
      </c>
      <c r="U97" s="89">
        <f>VLOOKUP(C97,'Talente &amp; Stuff'!GX:HY,19,FALSE)</f>
        <v>0</v>
      </c>
      <c r="V97" s="47">
        <f>VLOOKUP(C97,'Talente &amp; Stuff'!GX:HY,20,FALSE)</f>
        <v>0</v>
      </c>
      <c r="W97" s="127">
        <f>VLOOKUP(C97,'Talente &amp; Stuff'!GX:HY,21,FALSE)</f>
        <v>0</v>
      </c>
      <c r="X97" s="127">
        <f>VLOOKUP(C97,'Talente &amp; Stuff'!GX:HY,22,FALSE)</f>
        <v>0</v>
      </c>
      <c r="Y97" s="165">
        <f t="shared" si="10"/>
        <v>0</v>
      </c>
      <c r="Z97" s="44">
        <f t="shared" si="11"/>
        <v>0</v>
      </c>
      <c r="AA97" s="125">
        <f>VLOOKUP(C97,'Talente &amp; Stuff'!GX:HY,25,FALSE)</f>
        <v>0</v>
      </c>
      <c r="AB97" s="160">
        <f>VLOOKUP(C97,'Talente &amp; Stuff'!GX:HY,26,FALSE)</f>
        <v>0</v>
      </c>
      <c r="AC97" s="127">
        <f>VLOOKUP(C97,'Talente &amp; Stuff'!GX:HY,27,FALSE)</f>
        <v>0</v>
      </c>
      <c r="AD97" s="125">
        <f>VLOOKUP(C97,'Talente &amp; Stuff'!GX:HY,28,FALSE)</f>
        <v>0</v>
      </c>
      <c r="AE97" s="28"/>
    </row>
    <row r="98" spans="2:31" ht="15" hidden="1" customHeight="1" outlineLevel="2">
      <c r="B98" s="148">
        <v>21</v>
      </c>
      <c r="C98" s="178" t="str">
        <f>Attribute!C98</f>
        <v>---</v>
      </c>
      <c r="D98" s="87" t="str">
        <f>VLOOKUP(C98,'Talente &amp; Stuff'!GX:HY,2,FALSE)</f>
        <v>--/--/--</v>
      </c>
      <c r="E98" s="128" t="str">
        <f>VLOOKUP(C98,'Talente &amp; Stuff'!GX:HY,3,FALSE)</f>
        <v>-</v>
      </c>
      <c r="F98" s="115">
        <f>VLOOKUP(C98,'Talente &amp; Stuff'!GX:HY,4,FALSE)</f>
        <v>0</v>
      </c>
      <c r="G98" s="122">
        <f>VLOOKUP(C98,'Talente &amp; Stuff'!GX:HY,5,FALSE)</f>
        <v>0</v>
      </c>
      <c r="H98" s="122">
        <f>VLOOKUP(C98,'Talente &amp; Stuff'!GX:HY,6,FALSE)</f>
        <v>0</v>
      </c>
      <c r="I98" s="122">
        <f>VLOOKUP(C98,'Talente &amp; Stuff'!GX:HY,7,FALSE)</f>
        <v>0</v>
      </c>
      <c r="J98" s="122">
        <f>VLOOKUP(C98,'Talente &amp; Stuff'!GX:HY,8,FALSE)</f>
        <v>0</v>
      </c>
      <c r="K98" s="122">
        <f>VLOOKUP(C98,'Talente &amp; Stuff'!GX:HY,9,FALSE)</f>
        <v>0</v>
      </c>
      <c r="L98" s="122">
        <f>VLOOKUP(C98,'Talente &amp; Stuff'!GX:HY,10,FALSE)</f>
        <v>0</v>
      </c>
      <c r="M98" s="123">
        <f>VLOOKUP(C98,'Talente &amp; Stuff'!GX:HY,11,FALSE)</f>
        <v>0</v>
      </c>
      <c r="N98" s="88">
        <f>VLOOKUP(C98,'Talente &amp; Stuff'!GX:HY,12,FALSE)</f>
        <v>0</v>
      </c>
      <c r="O98" s="2">
        <f>VLOOKUP(C98,'Talente &amp; Stuff'!GX:HY,13,FALSE)</f>
        <v>0</v>
      </c>
      <c r="P98" s="173">
        <f>VLOOKUP(C98,'Talente &amp; Stuff'!GX:HY,14,FALSE)</f>
        <v>0</v>
      </c>
      <c r="Q98" s="115">
        <f>VLOOKUP(C98,'Talente &amp; Stuff'!GX:HY,15,FALSE)</f>
        <v>0</v>
      </c>
      <c r="R98" s="169">
        <f>VLOOKUP(C98,'Talente &amp; Stuff'!GX:HY,16,FALSE)</f>
        <v>0</v>
      </c>
      <c r="S98" s="123">
        <f>VLOOKUP(C98,'Talente &amp; Stuff'!GX:HY,17,FALSE)</f>
        <v>0</v>
      </c>
      <c r="T98" s="123">
        <f>VLOOKUP(C98,'Talente &amp; Stuff'!GX:HY,18,FALSE)</f>
        <v>0</v>
      </c>
      <c r="U98" s="90">
        <f>VLOOKUP(C98,'Talente &amp; Stuff'!GX:HY,19,FALSE)</f>
        <v>0</v>
      </c>
      <c r="V98" s="88">
        <f>VLOOKUP(C98,'Talente &amp; Stuff'!GX:HY,20,FALSE)</f>
        <v>0</v>
      </c>
      <c r="W98" s="128">
        <f>VLOOKUP(C98,'Talente &amp; Stuff'!GX:HY,21,FALSE)</f>
        <v>0</v>
      </c>
      <c r="X98" s="128">
        <f>VLOOKUP(C98,'Talente &amp; Stuff'!GX:HY,22,FALSE)</f>
        <v>0</v>
      </c>
      <c r="Y98" s="165">
        <f t="shared" si="10"/>
        <v>0</v>
      </c>
      <c r="Z98" s="44">
        <f t="shared" si="11"/>
        <v>0</v>
      </c>
      <c r="AA98" s="159">
        <f>VLOOKUP(C98,'Talente &amp; Stuff'!GX:HY,25,FALSE)</f>
        <v>0</v>
      </c>
      <c r="AB98" s="161">
        <f>VLOOKUP(C98,'Talente &amp; Stuff'!GX:HY,26,FALSE)</f>
        <v>0</v>
      </c>
      <c r="AC98" s="128">
        <f>VLOOKUP(C98,'Talente &amp; Stuff'!GX:HY,27,FALSE)</f>
        <v>0</v>
      </c>
      <c r="AD98" s="159">
        <f>VLOOKUP(C98,'Talente &amp; Stuff'!GX:HY,28,FALSE)</f>
        <v>0</v>
      </c>
      <c r="AE98" s="28"/>
    </row>
    <row r="99" spans="2:31" ht="15" hidden="1" customHeight="1" outlineLevel="1" collapsed="1">
      <c r="B99" s="134" t="s">
        <v>331</v>
      </c>
      <c r="C99" s="83"/>
      <c r="D99" s="84"/>
      <c r="E99" s="84"/>
    </row>
    <row r="100" spans="2:31" ht="15" hidden="1" customHeight="1" outlineLevel="2">
      <c r="B100" s="148">
        <v>1</v>
      </c>
      <c r="C100" s="176" t="str">
        <f>Attribute!C100</f>
        <v>---</v>
      </c>
      <c r="D100" s="85" t="str">
        <f>VLOOKUP(C100,'Talente &amp; Stuff'!GX:HY,2,FALSE)</f>
        <v>--/--/--</v>
      </c>
      <c r="E100" s="126" t="str">
        <f>VLOOKUP(C100,'Talente &amp; Stuff'!GX:HY,3,FALSE)</f>
        <v>-</v>
      </c>
      <c r="F100" s="191">
        <f>VLOOKUP(C100,'Talente &amp; Stuff'!GX:HY,4,FALSE)</f>
        <v>0</v>
      </c>
      <c r="G100" s="118">
        <f>VLOOKUP(C100,'Talente &amp; Stuff'!GX:HY,5,FALSE)</f>
        <v>0</v>
      </c>
      <c r="H100" s="118">
        <f>VLOOKUP(C100,'Talente &amp; Stuff'!GX:HY,6,FALSE)</f>
        <v>0</v>
      </c>
      <c r="I100" s="118">
        <f>VLOOKUP(C100,'Talente &amp; Stuff'!GX:HY,7,FALSE)</f>
        <v>0</v>
      </c>
      <c r="J100" s="118">
        <f>VLOOKUP(C100,'Talente &amp; Stuff'!GX:HY,8,FALSE)</f>
        <v>0</v>
      </c>
      <c r="K100" s="118">
        <f>VLOOKUP(C100,'Talente &amp; Stuff'!GX:HY,9,FALSE)</f>
        <v>0</v>
      </c>
      <c r="L100" s="118">
        <f>VLOOKUP(C100,'Talente &amp; Stuff'!GX:HY,10,FALSE)</f>
        <v>0</v>
      </c>
      <c r="M100" s="92">
        <f>VLOOKUP(C100,'Talente &amp; Stuff'!GX:HY,11,FALSE)</f>
        <v>0</v>
      </c>
      <c r="N100" s="116">
        <f>VLOOKUP(C100,'Talente &amp; Stuff'!GX:HY,12,FALSE)</f>
        <v>0</v>
      </c>
      <c r="O100" s="194">
        <f>VLOOKUP(C100,'Talente &amp; Stuff'!GX:HY,13,FALSE)</f>
        <v>0</v>
      </c>
      <c r="P100" s="192">
        <f>VLOOKUP(C100,'Talente &amp; Stuff'!GX:HY,14,FALSE)</f>
        <v>0</v>
      </c>
      <c r="Q100" s="191">
        <f>VLOOKUP(C100,'Talente &amp; Stuff'!GX:HY,15,FALSE)</f>
        <v>0</v>
      </c>
      <c r="R100" s="170">
        <f>VLOOKUP(C100,'Talente &amp; Stuff'!GX:HY,16,FALSE)</f>
        <v>0</v>
      </c>
      <c r="S100" s="92">
        <f>VLOOKUP(C100,'Talente &amp; Stuff'!GX:HY,17,FALSE)</f>
        <v>0</v>
      </c>
      <c r="T100" s="92">
        <f>VLOOKUP(C100,'Talente &amp; Stuff'!GX:HY,18,FALSE)</f>
        <v>0</v>
      </c>
      <c r="U100" s="193">
        <f>VLOOKUP(C100,'Talente &amp; Stuff'!GX:HY,19,FALSE)</f>
        <v>0</v>
      </c>
      <c r="V100" s="116">
        <f>VLOOKUP(C100,'Talente &amp; Stuff'!GX:HY,20,FALSE)</f>
        <v>0</v>
      </c>
      <c r="W100" s="126">
        <f>VLOOKUP(C100,'Talente &amp; Stuff'!GX:HY,21,FALSE)</f>
        <v>0</v>
      </c>
      <c r="X100" s="126">
        <f>VLOOKUP(C100,'Talente &amp; Stuff'!GX:HY,22,FALSE)</f>
        <v>0</v>
      </c>
      <c r="Y100" s="165">
        <f t="shared" ref="Y100:Y126" si="12">VLOOKUP(C100,Ausgewählte_Zauber_Druiden,226,FALSE)</f>
        <v>0</v>
      </c>
      <c r="Z100" s="44">
        <f t="shared" ref="Z100:Z126" si="13">VLOOKUP(C100,Ausgewählte_Zauber_Druiden,227,FALSE)</f>
        <v>0</v>
      </c>
      <c r="AA100" s="158">
        <f>VLOOKUP(C100,'Talente &amp; Stuff'!GX:HY,25,FALSE)</f>
        <v>0</v>
      </c>
      <c r="AB100" s="91">
        <f>VLOOKUP(C100,'Talente &amp; Stuff'!GX:HY,26,FALSE)</f>
        <v>0</v>
      </c>
      <c r="AC100" s="126">
        <f>VLOOKUP(C100,'Talente &amp; Stuff'!GX:HY,27,FALSE)</f>
        <v>0</v>
      </c>
      <c r="AD100" s="158">
        <f>VLOOKUP(C100,'Talente &amp; Stuff'!GX:HY,28,FALSE)</f>
        <v>0</v>
      </c>
      <c r="AE100" s="28"/>
    </row>
    <row r="101" spans="2:31" ht="15" hidden="1" customHeight="1" outlineLevel="2">
      <c r="B101" s="148">
        <v>2</v>
      </c>
      <c r="C101" s="177" t="str">
        <f>Attribute!C101</f>
        <v>---</v>
      </c>
      <c r="D101" s="86" t="str">
        <f>VLOOKUP(C101,'Talente &amp; Stuff'!GX:HY,2,FALSE)</f>
        <v>--/--/--</v>
      </c>
      <c r="E101" s="167" t="str">
        <f>VLOOKUP(C101,'Talente &amp; Stuff'!GX:HY,3,FALSE)</f>
        <v>-</v>
      </c>
      <c r="F101" s="120">
        <f>VLOOKUP(C101,'Talente &amp; Stuff'!GX:HY,4,FALSE)</f>
        <v>0</v>
      </c>
      <c r="G101" s="117">
        <f>VLOOKUP(C101,'Talente &amp; Stuff'!GX:HY,5,FALSE)</f>
        <v>0</v>
      </c>
      <c r="H101" s="117">
        <f>VLOOKUP(C101,'Talente &amp; Stuff'!GX:HY,6,FALSE)</f>
        <v>0</v>
      </c>
      <c r="I101" s="117">
        <f>VLOOKUP(C101,'Talente &amp; Stuff'!GX:HY,7,FALSE)</f>
        <v>0</v>
      </c>
      <c r="J101" s="117">
        <f>VLOOKUP(C101,'Talente &amp; Stuff'!GX:HY,8,FALSE)</f>
        <v>0</v>
      </c>
      <c r="K101" s="117">
        <f>VLOOKUP(C101,'Talente &amp; Stuff'!GX:HY,9,FALSE)</f>
        <v>0</v>
      </c>
      <c r="L101" s="117">
        <f>VLOOKUP(C101,'Talente &amp; Stuff'!GX:HY,10,FALSE)</f>
        <v>0</v>
      </c>
      <c r="M101" s="121">
        <f>VLOOKUP(C101,'Talente &amp; Stuff'!GX:HY,11,FALSE)</f>
        <v>0</v>
      </c>
      <c r="N101" s="47">
        <f>VLOOKUP(C101,'Talente &amp; Stuff'!GX:HY,12,FALSE)</f>
        <v>0</v>
      </c>
      <c r="O101" s="3">
        <f>VLOOKUP(C101,'Talente &amp; Stuff'!GX:HY,13,FALSE)</f>
        <v>0</v>
      </c>
      <c r="P101" s="174">
        <f>VLOOKUP(C101,'Talente &amp; Stuff'!GX:HY,14,FALSE)</f>
        <v>0</v>
      </c>
      <c r="Q101" s="114">
        <f>VLOOKUP(C101,'Talente &amp; Stuff'!GX:HY,15,FALSE)</f>
        <v>0</v>
      </c>
      <c r="R101" s="117">
        <f>VLOOKUP(C101,'Talente &amp; Stuff'!GX:HY,16,FALSE)</f>
        <v>0</v>
      </c>
      <c r="S101" s="119">
        <f>VLOOKUP(C101,'Talente &amp; Stuff'!GX:HY,17,FALSE)</f>
        <v>0</v>
      </c>
      <c r="T101" s="119">
        <f>VLOOKUP(C101,'Talente &amp; Stuff'!GX:HY,18,FALSE)</f>
        <v>0</v>
      </c>
      <c r="U101" s="89">
        <f>VLOOKUP(C101,'Talente &amp; Stuff'!GX:HY,19,FALSE)</f>
        <v>0</v>
      </c>
      <c r="V101" s="47">
        <f>VLOOKUP(C101,'Talente &amp; Stuff'!GX:HY,20,FALSE)</f>
        <v>0</v>
      </c>
      <c r="W101" s="127">
        <f>VLOOKUP(C101,'Talente &amp; Stuff'!GX:HY,21,FALSE)</f>
        <v>0</v>
      </c>
      <c r="X101" s="127">
        <f>VLOOKUP(C101,'Talente &amp; Stuff'!GX:HY,22,FALSE)</f>
        <v>0</v>
      </c>
      <c r="Y101" s="165">
        <f t="shared" si="12"/>
        <v>0</v>
      </c>
      <c r="Z101" s="44">
        <f t="shared" si="13"/>
        <v>0</v>
      </c>
      <c r="AA101" s="125">
        <f>VLOOKUP(C101,'Talente &amp; Stuff'!GX:HY,25,FALSE)</f>
        <v>0</v>
      </c>
      <c r="AB101" s="160">
        <f>VLOOKUP(C101,'Talente &amp; Stuff'!GX:HY,26,FALSE)</f>
        <v>0</v>
      </c>
      <c r="AC101" s="127">
        <f>VLOOKUP(C101,'Talente &amp; Stuff'!GX:HY,27,FALSE)</f>
        <v>0</v>
      </c>
      <c r="AD101" s="125">
        <f>VLOOKUP(C101,'Talente &amp; Stuff'!GX:HY,28,FALSE)</f>
        <v>0</v>
      </c>
      <c r="AE101" s="28"/>
    </row>
    <row r="102" spans="2:31" ht="15" hidden="1" customHeight="1" outlineLevel="2">
      <c r="B102" s="148">
        <v>3</v>
      </c>
      <c r="C102" s="177" t="str">
        <f>Attribute!C102</f>
        <v>---</v>
      </c>
      <c r="D102" s="86" t="str">
        <f>VLOOKUP(C102,'Talente &amp; Stuff'!GX:HY,2,FALSE)</f>
        <v>--/--/--</v>
      </c>
      <c r="E102" s="167" t="str">
        <f>VLOOKUP(C102,'Talente &amp; Stuff'!GX:HY,3,FALSE)</f>
        <v>-</v>
      </c>
      <c r="F102" s="120">
        <f>VLOOKUP(C102,'Talente &amp; Stuff'!GX:HY,4,FALSE)</f>
        <v>0</v>
      </c>
      <c r="G102" s="117">
        <f>VLOOKUP(C102,'Talente &amp; Stuff'!GX:HY,5,FALSE)</f>
        <v>0</v>
      </c>
      <c r="H102" s="117">
        <f>VLOOKUP(C102,'Talente &amp; Stuff'!GX:HY,6,FALSE)</f>
        <v>0</v>
      </c>
      <c r="I102" s="117">
        <f>VLOOKUP(C102,'Talente &amp; Stuff'!GX:HY,7,FALSE)</f>
        <v>0</v>
      </c>
      <c r="J102" s="117">
        <f>VLOOKUP(C102,'Talente &amp; Stuff'!GX:HY,8,FALSE)</f>
        <v>0</v>
      </c>
      <c r="K102" s="117">
        <f>VLOOKUP(C102,'Talente &amp; Stuff'!GX:HY,9,FALSE)</f>
        <v>0</v>
      </c>
      <c r="L102" s="117">
        <f>VLOOKUP(C102,'Talente &amp; Stuff'!GX:HY,10,FALSE)</f>
        <v>0</v>
      </c>
      <c r="M102" s="121">
        <f>VLOOKUP(C102,'Talente &amp; Stuff'!GX:HY,11,FALSE)</f>
        <v>0</v>
      </c>
      <c r="N102" s="47">
        <f>VLOOKUP(C102,'Talente &amp; Stuff'!GX:HY,12,FALSE)</f>
        <v>0</v>
      </c>
      <c r="O102" s="3">
        <f>VLOOKUP(C102,'Talente &amp; Stuff'!GX:HY,13,FALSE)</f>
        <v>0</v>
      </c>
      <c r="P102" s="174">
        <f>VLOOKUP(C102,'Talente &amp; Stuff'!GX:HY,14,FALSE)</f>
        <v>0</v>
      </c>
      <c r="Q102" s="114">
        <f>VLOOKUP(C102,'Talente &amp; Stuff'!GX:HY,15,FALSE)</f>
        <v>0</v>
      </c>
      <c r="R102" s="117">
        <f>VLOOKUP(C102,'Talente &amp; Stuff'!GX:HY,16,FALSE)</f>
        <v>0</v>
      </c>
      <c r="S102" s="119">
        <f>VLOOKUP(C102,'Talente &amp; Stuff'!GX:HY,17,FALSE)</f>
        <v>0</v>
      </c>
      <c r="T102" s="119">
        <f>VLOOKUP(C102,'Talente &amp; Stuff'!GX:HY,18,FALSE)</f>
        <v>0</v>
      </c>
      <c r="U102" s="89">
        <f>VLOOKUP(C102,'Talente &amp; Stuff'!GX:HY,19,FALSE)</f>
        <v>0</v>
      </c>
      <c r="V102" s="47">
        <f>VLOOKUP(C102,'Talente &amp; Stuff'!GX:HY,20,FALSE)</f>
        <v>0</v>
      </c>
      <c r="W102" s="127">
        <f>VLOOKUP(C102,'Talente &amp; Stuff'!GX:HY,21,FALSE)</f>
        <v>0</v>
      </c>
      <c r="X102" s="127">
        <f>VLOOKUP(C102,'Talente &amp; Stuff'!GX:HY,22,FALSE)</f>
        <v>0</v>
      </c>
      <c r="Y102" s="165">
        <f t="shared" si="12"/>
        <v>0</v>
      </c>
      <c r="Z102" s="44">
        <f t="shared" si="13"/>
        <v>0</v>
      </c>
      <c r="AA102" s="125">
        <f>VLOOKUP(C102,'Talente &amp; Stuff'!GX:HY,25,FALSE)</f>
        <v>0</v>
      </c>
      <c r="AB102" s="160">
        <f>VLOOKUP(C102,'Talente &amp; Stuff'!GX:HY,26,FALSE)</f>
        <v>0</v>
      </c>
      <c r="AC102" s="127">
        <f>VLOOKUP(C102,'Talente &amp; Stuff'!GX:HY,27,FALSE)</f>
        <v>0</v>
      </c>
      <c r="AD102" s="125">
        <f>VLOOKUP(C102,'Talente &amp; Stuff'!GX:HY,28,FALSE)</f>
        <v>0</v>
      </c>
      <c r="AE102" s="28"/>
    </row>
    <row r="103" spans="2:31" ht="15" hidden="1" customHeight="1" outlineLevel="2">
      <c r="B103" s="148">
        <v>4</v>
      </c>
      <c r="C103" s="177" t="str">
        <f>Attribute!C103</f>
        <v>---</v>
      </c>
      <c r="D103" s="86" t="str">
        <f>VLOOKUP(C103,'Talente &amp; Stuff'!GX:HY,2,FALSE)</f>
        <v>--/--/--</v>
      </c>
      <c r="E103" s="167" t="str">
        <f>VLOOKUP(C103,'Talente &amp; Stuff'!GX:HY,3,FALSE)</f>
        <v>-</v>
      </c>
      <c r="F103" s="120">
        <f>VLOOKUP(C103,'Talente &amp; Stuff'!GX:HY,4,FALSE)</f>
        <v>0</v>
      </c>
      <c r="G103" s="117">
        <f>VLOOKUP(C103,'Talente &amp; Stuff'!GX:HY,5,FALSE)</f>
        <v>0</v>
      </c>
      <c r="H103" s="117">
        <f>VLOOKUP(C103,'Talente &amp; Stuff'!GX:HY,6,FALSE)</f>
        <v>0</v>
      </c>
      <c r="I103" s="117">
        <f>VLOOKUP(C103,'Talente &amp; Stuff'!GX:HY,7,FALSE)</f>
        <v>0</v>
      </c>
      <c r="J103" s="117">
        <f>VLOOKUP(C103,'Talente &amp; Stuff'!GX:HY,8,FALSE)</f>
        <v>0</v>
      </c>
      <c r="K103" s="117">
        <f>VLOOKUP(C103,'Talente &amp; Stuff'!GX:HY,9,FALSE)</f>
        <v>0</v>
      </c>
      <c r="L103" s="117">
        <f>VLOOKUP(C103,'Talente &amp; Stuff'!GX:HY,10,FALSE)</f>
        <v>0</v>
      </c>
      <c r="M103" s="121">
        <f>VLOOKUP(C103,'Talente &amp; Stuff'!GX:HY,11,FALSE)</f>
        <v>0</v>
      </c>
      <c r="N103" s="47">
        <f>VLOOKUP(C103,'Talente &amp; Stuff'!GX:HY,12,FALSE)</f>
        <v>0</v>
      </c>
      <c r="O103" s="3">
        <f>VLOOKUP(C103,'Talente &amp; Stuff'!GX:HY,13,FALSE)</f>
        <v>0</v>
      </c>
      <c r="P103" s="174">
        <f>VLOOKUP(C103,'Talente &amp; Stuff'!GX:HY,14,FALSE)</f>
        <v>0</v>
      </c>
      <c r="Q103" s="114">
        <f>VLOOKUP(C103,'Talente &amp; Stuff'!GX:HY,15,FALSE)</f>
        <v>0</v>
      </c>
      <c r="R103" s="117">
        <f>VLOOKUP(C103,'Talente &amp; Stuff'!GX:HY,16,FALSE)</f>
        <v>0</v>
      </c>
      <c r="S103" s="119">
        <f>VLOOKUP(C103,'Talente &amp; Stuff'!GX:HY,17,FALSE)</f>
        <v>0</v>
      </c>
      <c r="T103" s="119">
        <f>VLOOKUP(C103,'Talente &amp; Stuff'!GX:HY,18,FALSE)</f>
        <v>0</v>
      </c>
      <c r="U103" s="89">
        <f>VLOOKUP(C103,'Talente &amp; Stuff'!GX:HY,19,FALSE)</f>
        <v>0</v>
      </c>
      <c r="V103" s="47">
        <f>VLOOKUP(C103,'Talente &amp; Stuff'!GX:HY,20,FALSE)</f>
        <v>0</v>
      </c>
      <c r="W103" s="127">
        <f>VLOOKUP(C103,'Talente &amp; Stuff'!GX:HY,21,FALSE)</f>
        <v>0</v>
      </c>
      <c r="X103" s="127">
        <f>VLOOKUP(C103,'Talente &amp; Stuff'!GX:HY,22,FALSE)</f>
        <v>0</v>
      </c>
      <c r="Y103" s="165">
        <f t="shared" si="12"/>
        <v>0</v>
      </c>
      <c r="Z103" s="44">
        <f t="shared" si="13"/>
        <v>0</v>
      </c>
      <c r="AA103" s="125">
        <f>VLOOKUP(C103,'Talente &amp; Stuff'!GX:HY,25,FALSE)</f>
        <v>0</v>
      </c>
      <c r="AB103" s="160">
        <f>VLOOKUP(C103,'Talente &amp; Stuff'!GX:HY,26,FALSE)</f>
        <v>0</v>
      </c>
      <c r="AC103" s="127">
        <f>VLOOKUP(C103,'Talente &amp; Stuff'!GX:HY,27,FALSE)</f>
        <v>0</v>
      </c>
      <c r="AD103" s="125">
        <f>VLOOKUP(C103,'Talente &amp; Stuff'!GX:HY,28,FALSE)</f>
        <v>0</v>
      </c>
      <c r="AE103" s="28"/>
    </row>
    <row r="104" spans="2:31" ht="15" hidden="1" customHeight="1" outlineLevel="2">
      <c r="B104" s="148">
        <v>5</v>
      </c>
      <c r="C104" s="177" t="str">
        <f>Attribute!C104</f>
        <v>---</v>
      </c>
      <c r="D104" s="86" t="str">
        <f>VLOOKUP(C104,'Talente &amp; Stuff'!GX:HY,2,FALSE)</f>
        <v>--/--/--</v>
      </c>
      <c r="E104" s="167" t="str">
        <f>VLOOKUP(C104,'Talente &amp; Stuff'!GX:HY,3,FALSE)</f>
        <v>-</v>
      </c>
      <c r="F104" s="120">
        <f>VLOOKUP(C104,'Talente &amp; Stuff'!GX:HY,4,FALSE)</f>
        <v>0</v>
      </c>
      <c r="G104" s="117">
        <f>VLOOKUP(C104,'Talente &amp; Stuff'!GX:HY,5,FALSE)</f>
        <v>0</v>
      </c>
      <c r="H104" s="117">
        <f>VLOOKUP(C104,'Talente &amp; Stuff'!GX:HY,6,FALSE)</f>
        <v>0</v>
      </c>
      <c r="I104" s="117">
        <f>VLOOKUP(C104,'Talente &amp; Stuff'!GX:HY,7,FALSE)</f>
        <v>0</v>
      </c>
      <c r="J104" s="117">
        <f>VLOOKUP(C104,'Talente &amp; Stuff'!GX:HY,8,FALSE)</f>
        <v>0</v>
      </c>
      <c r="K104" s="117">
        <f>VLOOKUP(C104,'Talente &amp; Stuff'!GX:HY,9,FALSE)</f>
        <v>0</v>
      </c>
      <c r="L104" s="117">
        <f>VLOOKUP(C104,'Talente &amp; Stuff'!GX:HY,10,FALSE)</f>
        <v>0</v>
      </c>
      <c r="M104" s="121">
        <f>VLOOKUP(C104,'Talente &amp; Stuff'!GX:HY,11,FALSE)</f>
        <v>0</v>
      </c>
      <c r="N104" s="47">
        <f>VLOOKUP(C104,'Talente &amp; Stuff'!GX:HY,12,FALSE)</f>
        <v>0</v>
      </c>
      <c r="O104" s="3">
        <f>VLOOKUP(C104,'Talente &amp; Stuff'!GX:HY,13,FALSE)</f>
        <v>0</v>
      </c>
      <c r="P104" s="174">
        <f>VLOOKUP(C104,'Talente &amp; Stuff'!GX:HY,14,FALSE)</f>
        <v>0</v>
      </c>
      <c r="Q104" s="114">
        <f>VLOOKUP(C104,'Talente &amp; Stuff'!GX:HY,15,FALSE)</f>
        <v>0</v>
      </c>
      <c r="R104" s="117">
        <f>VLOOKUP(C104,'Talente &amp; Stuff'!GX:HY,16,FALSE)</f>
        <v>0</v>
      </c>
      <c r="S104" s="119">
        <f>VLOOKUP(C104,'Talente &amp; Stuff'!GX:HY,17,FALSE)</f>
        <v>0</v>
      </c>
      <c r="T104" s="119">
        <f>VLOOKUP(C104,'Talente &amp; Stuff'!GX:HY,18,FALSE)</f>
        <v>0</v>
      </c>
      <c r="U104" s="89">
        <f>VLOOKUP(C104,'Talente &amp; Stuff'!GX:HY,19,FALSE)</f>
        <v>0</v>
      </c>
      <c r="V104" s="47">
        <f>VLOOKUP(C104,'Talente &amp; Stuff'!GX:HY,20,FALSE)</f>
        <v>0</v>
      </c>
      <c r="W104" s="127">
        <f>VLOOKUP(C104,'Talente &amp; Stuff'!GX:HY,21,FALSE)</f>
        <v>0</v>
      </c>
      <c r="X104" s="127">
        <f>VLOOKUP(C104,'Talente &amp; Stuff'!GX:HY,22,FALSE)</f>
        <v>0</v>
      </c>
      <c r="Y104" s="165">
        <f t="shared" si="12"/>
        <v>0</v>
      </c>
      <c r="Z104" s="44">
        <f t="shared" si="13"/>
        <v>0</v>
      </c>
      <c r="AA104" s="125">
        <f>VLOOKUP(C104,'Talente &amp; Stuff'!GX:HY,25,FALSE)</f>
        <v>0</v>
      </c>
      <c r="AB104" s="160">
        <f>VLOOKUP(C104,'Talente &amp; Stuff'!GX:HY,26,FALSE)</f>
        <v>0</v>
      </c>
      <c r="AC104" s="127">
        <f>VLOOKUP(C104,'Talente &amp; Stuff'!GX:HY,27,FALSE)</f>
        <v>0</v>
      </c>
      <c r="AD104" s="125">
        <f>VLOOKUP(C104,'Talente &amp; Stuff'!GX:HY,28,FALSE)</f>
        <v>0</v>
      </c>
      <c r="AE104" s="28"/>
    </row>
    <row r="105" spans="2:31" ht="15" hidden="1" customHeight="1" outlineLevel="2">
      <c r="B105" s="148">
        <v>6</v>
      </c>
      <c r="C105" s="177" t="str">
        <f>Attribute!C105</f>
        <v>---</v>
      </c>
      <c r="D105" s="86" t="str">
        <f>VLOOKUP(C105,'Talente &amp; Stuff'!GX:HY,2,FALSE)</f>
        <v>--/--/--</v>
      </c>
      <c r="E105" s="167" t="str">
        <f>VLOOKUP(C105,'Talente &amp; Stuff'!GX:HY,3,FALSE)</f>
        <v>-</v>
      </c>
      <c r="F105" s="120">
        <f>VLOOKUP(C105,'Talente &amp; Stuff'!GX:HY,4,FALSE)</f>
        <v>0</v>
      </c>
      <c r="G105" s="117">
        <f>VLOOKUP(C105,'Talente &amp; Stuff'!GX:HY,5,FALSE)</f>
        <v>0</v>
      </c>
      <c r="H105" s="117">
        <f>VLOOKUP(C105,'Talente &amp; Stuff'!GX:HY,6,FALSE)</f>
        <v>0</v>
      </c>
      <c r="I105" s="117">
        <f>VLOOKUP(C105,'Talente &amp; Stuff'!GX:HY,7,FALSE)</f>
        <v>0</v>
      </c>
      <c r="J105" s="117">
        <f>VLOOKUP(C105,'Talente &amp; Stuff'!GX:HY,8,FALSE)</f>
        <v>0</v>
      </c>
      <c r="K105" s="117">
        <f>VLOOKUP(C105,'Talente &amp; Stuff'!GX:HY,9,FALSE)</f>
        <v>0</v>
      </c>
      <c r="L105" s="117">
        <f>VLOOKUP(C105,'Talente &amp; Stuff'!GX:HY,10,FALSE)</f>
        <v>0</v>
      </c>
      <c r="M105" s="121">
        <f>VLOOKUP(C105,'Talente &amp; Stuff'!GX:HY,11,FALSE)</f>
        <v>0</v>
      </c>
      <c r="N105" s="47">
        <f>VLOOKUP(C105,'Talente &amp; Stuff'!GX:HY,12,FALSE)</f>
        <v>0</v>
      </c>
      <c r="O105" s="3">
        <f>VLOOKUP(C105,'Talente &amp; Stuff'!GX:HY,13,FALSE)</f>
        <v>0</v>
      </c>
      <c r="P105" s="174">
        <f>VLOOKUP(C105,'Talente &amp; Stuff'!GX:HY,14,FALSE)</f>
        <v>0</v>
      </c>
      <c r="Q105" s="114">
        <f>VLOOKUP(C105,'Talente &amp; Stuff'!GX:HY,15,FALSE)</f>
        <v>0</v>
      </c>
      <c r="R105" s="117">
        <f>VLOOKUP(C105,'Talente &amp; Stuff'!GX:HY,16,FALSE)</f>
        <v>0</v>
      </c>
      <c r="S105" s="119">
        <f>VLOOKUP(C105,'Talente &amp; Stuff'!GX:HY,17,FALSE)</f>
        <v>0</v>
      </c>
      <c r="T105" s="119">
        <f>VLOOKUP(C105,'Talente &amp; Stuff'!GX:HY,18,FALSE)</f>
        <v>0</v>
      </c>
      <c r="U105" s="89">
        <f>VLOOKUP(C105,'Talente &amp; Stuff'!GX:HY,19,FALSE)</f>
        <v>0</v>
      </c>
      <c r="V105" s="47">
        <f>VLOOKUP(C105,'Talente &amp; Stuff'!GX:HY,20,FALSE)</f>
        <v>0</v>
      </c>
      <c r="W105" s="127">
        <f>VLOOKUP(C105,'Talente &amp; Stuff'!GX:HY,21,FALSE)</f>
        <v>0</v>
      </c>
      <c r="X105" s="127">
        <f>VLOOKUP(C105,'Talente &amp; Stuff'!GX:HY,22,FALSE)</f>
        <v>0</v>
      </c>
      <c r="Y105" s="165">
        <f t="shared" si="12"/>
        <v>0</v>
      </c>
      <c r="Z105" s="44">
        <f t="shared" si="13"/>
        <v>0</v>
      </c>
      <c r="AA105" s="125">
        <f>VLOOKUP(C105,'Talente &amp; Stuff'!GX:HY,25,FALSE)</f>
        <v>0</v>
      </c>
      <c r="AB105" s="160">
        <f>VLOOKUP(C105,'Talente &amp; Stuff'!GX:HY,26,FALSE)</f>
        <v>0</v>
      </c>
      <c r="AC105" s="127">
        <f>VLOOKUP(C105,'Talente &amp; Stuff'!GX:HY,27,FALSE)</f>
        <v>0</v>
      </c>
      <c r="AD105" s="125">
        <f>VLOOKUP(C105,'Talente &amp; Stuff'!GX:HY,28,FALSE)</f>
        <v>0</v>
      </c>
      <c r="AE105" s="28"/>
    </row>
    <row r="106" spans="2:31" ht="15" hidden="1" customHeight="1" outlineLevel="2">
      <c r="B106" s="148">
        <v>7</v>
      </c>
      <c r="C106" s="177" t="str">
        <f>Attribute!C106</f>
        <v>---</v>
      </c>
      <c r="D106" s="86" t="str">
        <f>VLOOKUP(C106,'Talente &amp; Stuff'!GX:HY,2,FALSE)</f>
        <v>--/--/--</v>
      </c>
      <c r="E106" s="167" t="str">
        <f>VLOOKUP(C106,'Talente &amp; Stuff'!GX:HY,3,FALSE)</f>
        <v>-</v>
      </c>
      <c r="F106" s="120">
        <f>VLOOKUP(C106,'Talente &amp; Stuff'!GX:HY,4,FALSE)</f>
        <v>0</v>
      </c>
      <c r="G106" s="117">
        <f>VLOOKUP(C106,'Talente &amp; Stuff'!GX:HY,5,FALSE)</f>
        <v>0</v>
      </c>
      <c r="H106" s="117">
        <f>VLOOKUP(C106,'Talente &amp; Stuff'!GX:HY,6,FALSE)</f>
        <v>0</v>
      </c>
      <c r="I106" s="117">
        <f>VLOOKUP(C106,'Talente &amp; Stuff'!GX:HY,7,FALSE)</f>
        <v>0</v>
      </c>
      <c r="J106" s="117">
        <f>VLOOKUP(C106,'Talente &amp; Stuff'!GX:HY,8,FALSE)</f>
        <v>0</v>
      </c>
      <c r="K106" s="117">
        <f>VLOOKUP(C106,'Talente &amp; Stuff'!GX:HY,9,FALSE)</f>
        <v>0</v>
      </c>
      <c r="L106" s="117">
        <f>VLOOKUP(C106,'Talente &amp; Stuff'!GX:HY,10,FALSE)</f>
        <v>0</v>
      </c>
      <c r="M106" s="121">
        <f>VLOOKUP(C106,'Talente &amp; Stuff'!GX:HY,11,FALSE)</f>
        <v>0</v>
      </c>
      <c r="N106" s="47">
        <f>VLOOKUP(C106,'Talente &amp; Stuff'!GX:HY,12,FALSE)</f>
        <v>0</v>
      </c>
      <c r="O106" s="3">
        <f>VLOOKUP(C106,'Talente &amp; Stuff'!GX:HY,13,FALSE)</f>
        <v>0</v>
      </c>
      <c r="P106" s="174">
        <f>VLOOKUP(C106,'Talente &amp; Stuff'!GX:HY,14,FALSE)</f>
        <v>0</v>
      </c>
      <c r="Q106" s="114">
        <f>VLOOKUP(C106,'Talente &amp; Stuff'!GX:HY,15,FALSE)</f>
        <v>0</v>
      </c>
      <c r="R106" s="117">
        <f>VLOOKUP(C106,'Talente &amp; Stuff'!GX:HY,16,FALSE)</f>
        <v>0</v>
      </c>
      <c r="S106" s="119">
        <f>VLOOKUP(C106,'Talente &amp; Stuff'!GX:HY,17,FALSE)</f>
        <v>0</v>
      </c>
      <c r="T106" s="119">
        <f>VLOOKUP(C106,'Talente &amp; Stuff'!GX:HY,18,FALSE)</f>
        <v>0</v>
      </c>
      <c r="U106" s="89">
        <f>VLOOKUP(C106,'Talente &amp; Stuff'!GX:HY,19,FALSE)</f>
        <v>0</v>
      </c>
      <c r="V106" s="47">
        <f>VLOOKUP(C106,'Talente &amp; Stuff'!GX:HY,20,FALSE)</f>
        <v>0</v>
      </c>
      <c r="W106" s="127">
        <f>VLOOKUP(C106,'Talente &amp; Stuff'!GX:HY,21,FALSE)</f>
        <v>0</v>
      </c>
      <c r="X106" s="127">
        <f>VLOOKUP(C106,'Talente &amp; Stuff'!GX:HY,22,FALSE)</f>
        <v>0</v>
      </c>
      <c r="Y106" s="165">
        <f t="shared" si="12"/>
        <v>0</v>
      </c>
      <c r="Z106" s="44">
        <f t="shared" si="13"/>
        <v>0</v>
      </c>
      <c r="AA106" s="125">
        <f>VLOOKUP(C106,'Talente &amp; Stuff'!GX:HY,25,FALSE)</f>
        <v>0</v>
      </c>
      <c r="AB106" s="160">
        <f>VLOOKUP(C106,'Talente &amp; Stuff'!GX:HY,26,FALSE)</f>
        <v>0</v>
      </c>
      <c r="AC106" s="127">
        <f>VLOOKUP(C106,'Talente &amp; Stuff'!GX:HY,27,FALSE)</f>
        <v>0</v>
      </c>
      <c r="AD106" s="125">
        <f>VLOOKUP(C106,'Talente &amp; Stuff'!GX:HY,28,FALSE)</f>
        <v>0</v>
      </c>
      <c r="AE106" s="28"/>
    </row>
    <row r="107" spans="2:31" ht="15" hidden="1" customHeight="1" outlineLevel="2">
      <c r="B107" s="148">
        <v>8</v>
      </c>
      <c r="C107" s="177" t="str">
        <f>Attribute!C107</f>
        <v>---</v>
      </c>
      <c r="D107" s="86" t="str">
        <f>VLOOKUP(C107,'Talente &amp; Stuff'!GX:HY,2,FALSE)</f>
        <v>--/--/--</v>
      </c>
      <c r="E107" s="167" t="str">
        <f>VLOOKUP(C107,'Talente &amp; Stuff'!GX:HY,3,FALSE)</f>
        <v>-</v>
      </c>
      <c r="F107" s="120">
        <f>VLOOKUP(C107,'Talente &amp; Stuff'!GX:HY,4,FALSE)</f>
        <v>0</v>
      </c>
      <c r="G107" s="117">
        <f>VLOOKUP(C107,'Talente &amp; Stuff'!GX:HY,5,FALSE)</f>
        <v>0</v>
      </c>
      <c r="H107" s="117">
        <f>VLOOKUP(C107,'Talente &amp; Stuff'!GX:HY,6,FALSE)</f>
        <v>0</v>
      </c>
      <c r="I107" s="117">
        <f>VLOOKUP(C107,'Talente &amp; Stuff'!GX:HY,7,FALSE)</f>
        <v>0</v>
      </c>
      <c r="J107" s="117">
        <f>VLOOKUP(C107,'Talente &amp; Stuff'!GX:HY,8,FALSE)</f>
        <v>0</v>
      </c>
      <c r="K107" s="117">
        <f>VLOOKUP(C107,'Talente &amp; Stuff'!GX:HY,9,FALSE)</f>
        <v>0</v>
      </c>
      <c r="L107" s="117">
        <f>VLOOKUP(C107,'Talente &amp; Stuff'!GX:HY,10,FALSE)</f>
        <v>0</v>
      </c>
      <c r="M107" s="121">
        <f>VLOOKUP(C107,'Talente &amp; Stuff'!GX:HY,11,FALSE)</f>
        <v>0</v>
      </c>
      <c r="N107" s="47">
        <f>VLOOKUP(C107,'Talente &amp; Stuff'!GX:HY,12,FALSE)</f>
        <v>0</v>
      </c>
      <c r="O107" s="3">
        <f>VLOOKUP(C107,'Talente &amp; Stuff'!GX:HY,13,FALSE)</f>
        <v>0</v>
      </c>
      <c r="P107" s="174">
        <f>VLOOKUP(C107,'Talente &amp; Stuff'!GX:HY,14,FALSE)</f>
        <v>0</v>
      </c>
      <c r="Q107" s="114">
        <f>VLOOKUP(C107,'Talente &amp; Stuff'!GX:HY,15,FALSE)</f>
        <v>0</v>
      </c>
      <c r="R107" s="117">
        <f>VLOOKUP(C107,'Talente &amp; Stuff'!GX:HY,16,FALSE)</f>
        <v>0</v>
      </c>
      <c r="S107" s="119">
        <f>VLOOKUP(C107,'Talente &amp; Stuff'!GX:HY,17,FALSE)</f>
        <v>0</v>
      </c>
      <c r="T107" s="119">
        <f>VLOOKUP(C107,'Talente &amp; Stuff'!GX:HY,18,FALSE)</f>
        <v>0</v>
      </c>
      <c r="U107" s="89">
        <f>VLOOKUP(C107,'Talente &amp; Stuff'!GX:HY,19,FALSE)</f>
        <v>0</v>
      </c>
      <c r="V107" s="47">
        <f>VLOOKUP(C107,'Talente &amp; Stuff'!GX:HY,20,FALSE)</f>
        <v>0</v>
      </c>
      <c r="W107" s="127">
        <f>VLOOKUP(C107,'Talente &amp; Stuff'!GX:HY,21,FALSE)</f>
        <v>0</v>
      </c>
      <c r="X107" s="127">
        <f>VLOOKUP(C107,'Talente &amp; Stuff'!GX:HY,22,FALSE)</f>
        <v>0</v>
      </c>
      <c r="Y107" s="165">
        <f t="shared" si="12"/>
        <v>0</v>
      </c>
      <c r="Z107" s="44">
        <f t="shared" si="13"/>
        <v>0</v>
      </c>
      <c r="AA107" s="125">
        <f>VLOOKUP(C107,'Talente &amp; Stuff'!GX:HY,25,FALSE)</f>
        <v>0</v>
      </c>
      <c r="AB107" s="160">
        <f>VLOOKUP(C107,'Talente &amp; Stuff'!GX:HY,26,FALSE)</f>
        <v>0</v>
      </c>
      <c r="AC107" s="127">
        <f>VLOOKUP(C107,'Talente &amp; Stuff'!GX:HY,27,FALSE)</f>
        <v>0</v>
      </c>
      <c r="AD107" s="125">
        <f>VLOOKUP(C107,'Talente &amp; Stuff'!GX:HY,28,FALSE)</f>
        <v>0</v>
      </c>
      <c r="AE107" s="28"/>
    </row>
    <row r="108" spans="2:31" ht="15" hidden="1" customHeight="1" outlineLevel="2">
      <c r="B108" s="148">
        <v>9</v>
      </c>
      <c r="C108" s="177" t="str">
        <f>Attribute!C108</f>
        <v>---</v>
      </c>
      <c r="D108" s="86" t="str">
        <f>VLOOKUP(C108,'Talente &amp; Stuff'!GX:HY,2,FALSE)</f>
        <v>--/--/--</v>
      </c>
      <c r="E108" s="167" t="str">
        <f>VLOOKUP(C108,'Talente &amp; Stuff'!GX:HY,3,FALSE)</f>
        <v>-</v>
      </c>
      <c r="F108" s="120">
        <f>VLOOKUP(C108,'Talente &amp; Stuff'!GX:HY,4,FALSE)</f>
        <v>0</v>
      </c>
      <c r="G108" s="117">
        <f>VLOOKUP(C108,'Talente &amp; Stuff'!GX:HY,5,FALSE)</f>
        <v>0</v>
      </c>
      <c r="H108" s="117">
        <f>VLOOKUP(C108,'Talente &amp; Stuff'!GX:HY,6,FALSE)</f>
        <v>0</v>
      </c>
      <c r="I108" s="117">
        <f>VLOOKUP(C108,'Talente &amp; Stuff'!GX:HY,7,FALSE)</f>
        <v>0</v>
      </c>
      <c r="J108" s="117">
        <f>VLOOKUP(C108,'Talente &amp; Stuff'!GX:HY,8,FALSE)</f>
        <v>0</v>
      </c>
      <c r="K108" s="117">
        <f>VLOOKUP(C108,'Talente &amp; Stuff'!GX:HY,9,FALSE)</f>
        <v>0</v>
      </c>
      <c r="L108" s="117">
        <f>VLOOKUP(C108,'Talente &amp; Stuff'!GX:HY,10,FALSE)</f>
        <v>0</v>
      </c>
      <c r="M108" s="121">
        <f>VLOOKUP(C108,'Talente &amp; Stuff'!GX:HY,11,FALSE)</f>
        <v>0</v>
      </c>
      <c r="N108" s="47">
        <f>VLOOKUP(C108,'Talente &amp; Stuff'!GX:HY,12,FALSE)</f>
        <v>0</v>
      </c>
      <c r="O108" s="3">
        <f>VLOOKUP(C108,'Talente &amp; Stuff'!GX:HY,13,FALSE)</f>
        <v>0</v>
      </c>
      <c r="P108" s="174">
        <f>VLOOKUP(C108,'Talente &amp; Stuff'!GX:HY,14,FALSE)</f>
        <v>0</v>
      </c>
      <c r="Q108" s="114">
        <f>VLOOKUP(C108,'Talente &amp; Stuff'!GX:HY,15,FALSE)</f>
        <v>0</v>
      </c>
      <c r="R108" s="117">
        <f>VLOOKUP(C108,'Talente &amp; Stuff'!GX:HY,16,FALSE)</f>
        <v>0</v>
      </c>
      <c r="S108" s="119">
        <f>VLOOKUP(C108,'Talente &amp; Stuff'!GX:HY,17,FALSE)</f>
        <v>0</v>
      </c>
      <c r="T108" s="119">
        <f>VLOOKUP(C108,'Talente &amp; Stuff'!GX:HY,18,FALSE)</f>
        <v>0</v>
      </c>
      <c r="U108" s="89">
        <f>VLOOKUP(C108,'Talente &amp; Stuff'!GX:HY,19,FALSE)</f>
        <v>0</v>
      </c>
      <c r="V108" s="47">
        <f>VLOOKUP(C108,'Talente &amp; Stuff'!GX:HY,20,FALSE)</f>
        <v>0</v>
      </c>
      <c r="W108" s="127">
        <f>VLOOKUP(C108,'Talente &amp; Stuff'!GX:HY,21,FALSE)</f>
        <v>0</v>
      </c>
      <c r="X108" s="127">
        <f>VLOOKUP(C108,'Talente &amp; Stuff'!GX:HY,22,FALSE)</f>
        <v>0</v>
      </c>
      <c r="Y108" s="165">
        <f t="shared" si="12"/>
        <v>0</v>
      </c>
      <c r="Z108" s="44">
        <f t="shared" si="13"/>
        <v>0</v>
      </c>
      <c r="AA108" s="125">
        <f>VLOOKUP(C108,'Talente &amp; Stuff'!GX:HY,25,FALSE)</f>
        <v>0</v>
      </c>
      <c r="AB108" s="160">
        <f>VLOOKUP(C108,'Talente &amp; Stuff'!GX:HY,26,FALSE)</f>
        <v>0</v>
      </c>
      <c r="AC108" s="127">
        <f>VLOOKUP(C108,'Talente &amp; Stuff'!GX:HY,27,FALSE)</f>
        <v>0</v>
      </c>
      <c r="AD108" s="125">
        <f>VLOOKUP(C108,'Talente &amp; Stuff'!GX:HY,28,FALSE)</f>
        <v>0</v>
      </c>
      <c r="AE108" s="28"/>
    </row>
    <row r="109" spans="2:31" ht="15" hidden="1" customHeight="1" outlineLevel="2">
      <c r="B109" s="148">
        <v>10</v>
      </c>
      <c r="C109" s="177" t="str">
        <f>Attribute!C109</f>
        <v>---</v>
      </c>
      <c r="D109" s="86" t="str">
        <f>VLOOKUP(C109,'Talente &amp; Stuff'!GX:HY,2,FALSE)</f>
        <v>--/--/--</v>
      </c>
      <c r="E109" s="167" t="str">
        <f>VLOOKUP(C109,'Talente &amp; Stuff'!GX:HY,3,FALSE)</f>
        <v>-</v>
      </c>
      <c r="F109" s="120">
        <f>VLOOKUP(C109,'Talente &amp; Stuff'!GX:HY,4,FALSE)</f>
        <v>0</v>
      </c>
      <c r="G109" s="117">
        <f>VLOOKUP(C109,'Talente &amp; Stuff'!GX:HY,5,FALSE)</f>
        <v>0</v>
      </c>
      <c r="H109" s="117">
        <f>VLOOKUP(C109,'Talente &amp; Stuff'!GX:HY,6,FALSE)</f>
        <v>0</v>
      </c>
      <c r="I109" s="117">
        <f>VLOOKUP(C109,'Talente &amp; Stuff'!GX:HY,7,FALSE)</f>
        <v>0</v>
      </c>
      <c r="J109" s="117">
        <f>VLOOKUP(C109,'Talente &amp; Stuff'!GX:HY,8,FALSE)</f>
        <v>0</v>
      </c>
      <c r="K109" s="117">
        <f>VLOOKUP(C109,'Talente &amp; Stuff'!GX:HY,9,FALSE)</f>
        <v>0</v>
      </c>
      <c r="L109" s="117">
        <f>VLOOKUP(C109,'Talente &amp; Stuff'!GX:HY,10,FALSE)</f>
        <v>0</v>
      </c>
      <c r="M109" s="121">
        <f>VLOOKUP(C109,'Talente &amp; Stuff'!GX:HY,11,FALSE)</f>
        <v>0</v>
      </c>
      <c r="N109" s="47">
        <f>VLOOKUP(C109,'Talente &amp; Stuff'!GX:HY,12,FALSE)</f>
        <v>0</v>
      </c>
      <c r="O109" s="3">
        <f>VLOOKUP(C109,'Talente &amp; Stuff'!GX:HY,13,FALSE)</f>
        <v>0</v>
      </c>
      <c r="P109" s="174">
        <f>VLOOKUP(C109,'Talente &amp; Stuff'!GX:HY,14,FALSE)</f>
        <v>0</v>
      </c>
      <c r="Q109" s="114">
        <f>VLOOKUP(C109,'Talente &amp; Stuff'!GX:HY,15,FALSE)</f>
        <v>0</v>
      </c>
      <c r="R109" s="117">
        <f>VLOOKUP(C109,'Talente &amp; Stuff'!GX:HY,16,FALSE)</f>
        <v>0</v>
      </c>
      <c r="S109" s="119">
        <f>VLOOKUP(C109,'Talente &amp; Stuff'!GX:HY,17,FALSE)</f>
        <v>0</v>
      </c>
      <c r="T109" s="119">
        <f>VLOOKUP(C109,'Talente &amp; Stuff'!GX:HY,18,FALSE)</f>
        <v>0</v>
      </c>
      <c r="U109" s="89">
        <f>VLOOKUP(C109,'Talente &amp; Stuff'!GX:HY,19,FALSE)</f>
        <v>0</v>
      </c>
      <c r="V109" s="47">
        <f>VLOOKUP(C109,'Talente &amp; Stuff'!GX:HY,20,FALSE)</f>
        <v>0</v>
      </c>
      <c r="W109" s="127">
        <f>VLOOKUP(C109,'Talente &amp; Stuff'!GX:HY,21,FALSE)</f>
        <v>0</v>
      </c>
      <c r="X109" s="127">
        <f>VLOOKUP(C109,'Talente &amp; Stuff'!GX:HY,22,FALSE)</f>
        <v>0</v>
      </c>
      <c r="Y109" s="165">
        <f t="shared" si="12"/>
        <v>0</v>
      </c>
      <c r="Z109" s="44">
        <f t="shared" si="13"/>
        <v>0</v>
      </c>
      <c r="AA109" s="125">
        <f>VLOOKUP(C109,'Talente &amp; Stuff'!GX:HY,25,FALSE)</f>
        <v>0</v>
      </c>
      <c r="AB109" s="160">
        <f>VLOOKUP(C109,'Talente &amp; Stuff'!GX:HY,26,FALSE)</f>
        <v>0</v>
      </c>
      <c r="AC109" s="127">
        <f>VLOOKUP(C109,'Talente &amp; Stuff'!GX:HY,27,FALSE)</f>
        <v>0</v>
      </c>
      <c r="AD109" s="125">
        <f>VLOOKUP(C109,'Talente &amp; Stuff'!GX:HY,28,FALSE)</f>
        <v>0</v>
      </c>
      <c r="AE109" s="28"/>
    </row>
    <row r="110" spans="2:31" ht="15" hidden="1" customHeight="1" outlineLevel="2">
      <c r="B110" s="148">
        <v>11</v>
      </c>
      <c r="C110" s="177" t="str">
        <f>Attribute!C110</f>
        <v>---</v>
      </c>
      <c r="D110" s="86" t="str">
        <f>VLOOKUP(C110,'Talente &amp; Stuff'!GX:HY,2,FALSE)</f>
        <v>--/--/--</v>
      </c>
      <c r="E110" s="167" t="str">
        <f>VLOOKUP(C110,'Talente &amp; Stuff'!GX:HY,3,FALSE)</f>
        <v>-</v>
      </c>
      <c r="F110" s="120">
        <f>VLOOKUP(C110,'Talente &amp; Stuff'!GX:HY,4,FALSE)</f>
        <v>0</v>
      </c>
      <c r="G110" s="117">
        <f>VLOOKUP(C110,'Talente &amp; Stuff'!GX:HY,5,FALSE)</f>
        <v>0</v>
      </c>
      <c r="H110" s="117">
        <f>VLOOKUP(C110,'Talente &amp; Stuff'!GX:HY,6,FALSE)</f>
        <v>0</v>
      </c>
      <c r="I110" s="117">
        <f>VLOOKUP(C110,'Talente &amp; Stuff'!GX:HY,7,FALSE)</f>
        <v>0</v>
      </c>
      <c r="J110" s="117">
        <f>VLOOKUP(C110,'Talente &amp; Stuff'!GX:HY,8,FALSE)</f>
        <v>0</v>
      </c>
      <c r="K110" s="117">
        <f>VLOOKUP(C110,'Talente &amp; Stuff'!GX:HY,9,FALSE)</f>
        <v>0</v>
      </c>
      <c r="L110" s="117">
        <f>VLOOKUP(C110,'Talente &amp; Stuff'!GX:HY,10,FALSE)</f>
        <v>0</v>
      </c>
      <c r="M110" s="121">
        <f>VLOOKUP(C110,'Talente &amp; Stuff'!GX:HY,11,FALSE)</f>
        <v>0</v>
      </c>
      <c r="N110" s="47">
        <f>VLOOKUP(C110,'Talente &amp; Stuff'!GX:HY,12,FALSE)</f>
        <v>0</v>
      </c>
      <c r="O110" s="3">
        <f>VLOOKUP(C110,'Talente &amp; Stuff'!GX:HY,13,FALSE)</f>
        <v>0</v>
      </c>
      <c r="P110" s="174">
        <f>VLOOKUP(C110,'Talente &amp; Stuff'!GX:HY,14,FALSE)</f>
        <v>0</v>
      </c>
      <c r="Q110" s="114">
        <f>VLOOKUP(C110,'Talente &amp; Stuff'!GX:HY,15,FALSE)</f>
        <v>0</v>
      </c>
      <c r="R110" s="117">
        <f>VLOOKUP(C110,'Talente &amp; Stuff'!GX:HY,16,FALSE)</f>
        <v>0</v>
      </c>
      <c r="S110" s="119">
        <f>VLOOKUP(C110,'Talente &amp; Stuff'!GX:HY,17,FALSE)</f>
        <v>0</v>
      </c>
      <c r="T110" s="119">
        <f>VLOOKUP(C110,'Talente &amp; Stuff'!GX:HY,18,FALSE)</f>
        <v>0</v>
      </c>
      <c r="U110" s="89">
        <f>VLOOKUP(C110,'Talente &amp; Stuff'!GX:HY,19,FALSE)</f>
        <v>0</v>
      </c>
      <c r="V110" s="47">
        <f>VLOOKUP(C110,'Talente &amp; Stuff'!GX:HY,20,FALSE)</f>
        <v>0</v>
      </c>
      <c r="W110" s="127">
        <f>VLOOKUP(C110,'Talente &amp; Stuff'!GX:HY,21,FALSE)</f>
        <v>0</v>
      </c>
      <c r="X110" s="127">
        <f>VLOOKUP(C110,'Talente &amp; Stuff'!GX:HY,22,FALSE)</f>
        <v>0</v>
      </c>
      <c r="Y110" s="165">
        <f t="shared" si="12"/>
        <v>0</v>
      </c>
      <c r="Z110" s="44">
        <f t="shared" si="13"/>
        <v>0</v>
      </c>
      <c r="AA110" s="125">
        <f>VLOOKUP(C110,'Talente &amp; Stuff'!GX:HY,25,FALSE)</f>
        <v>0</v>
      </c>
      <c r="AB110" s="160">
        <f>VLOOKUP(C110,'Talente &amp; Stuff'!GX:HY,26,FALSE)</f>
        <v>0</v>
      </c>
      <c r="AC110" s="127">
        <f>VLOOKUP(C110,'Talente &amp; Stuff'!GX:HY,27,FALSE)</f>
        <v>0</v>
      </c>
      <c r="AD110" s="125">
        <f>VLOOKUP(C110,'Talente &amp; Stuff'!GX:HY,28,FALSE)</f>
        <v>0</v>
      </c>
      <c r="AE110" s="28"/>
    </row>
    <row r="111" spans="2:31" ht="15" hidden="1" customHeight="1" outlineLevel="2">
      <c r="B111" s="148">
        <v>12</v>
      </c>
      <c r="C111" s="177" t="str">
        <f>Attribute!C111</f>
        <v>---</v>
      </c>
      <c r="D111" s="86" t="str">
        <f>VLOOKUP(C111,'Talente &amp; Stuff'!GX:HY,2,FALSE)</f>
        <v>--/--/--</v>
      </c>
      <c r="E111" s="167" t="str">
        <f>VLOOKUP(C111,'Talente &amp; Stuff'!GX:HY,3,FALSE)</f>
        <v>-</v>
      </c>
      <c r="F111" s="120">
        <f>VLOOKUP(C111,'Talente &amp; Stuff'!GX:HY,4,FALSE)</f>
        <v>0</v>
      </c>
      <c r="G111" s="117">
        <f>VLOOKUP(C111,'Talente &amp; Stuff'!GX:HY,5,FALSE)</f>
        <v>0</v>
      </c>
      <c r="H111" s="117">
        <f>VLOOKUP(C111,'Talente &amp; Stuff'!GX:HY,6,FALSE)</f>
        <v>0</v>
      </c>
      <c r="I111" s="117">
        <f>VLOOKUP(C111,'Talente &amp; Stuff'!GX:HY,7,FALSE)</f>
        <v>0</v>
      </c>
      <c r="J111" s="117">
        <f>VLOOKUP(C111,'Talente &amp; Stuff'!GX:HY,8,FALSE)</f>
        <v>0</v>
      </c>
      <c r="K111" s="117">
        <f>VLOOKUP(C111,'Talente &amp; Stuff'!GX:HY,9,FALSE)</f>
        <v>0</v>
      </c>
      <c r="L111" s="117">
        <f>VLOOKUP(C111,'Talente &amp; Stuff'!GX:HY,10,FALSE)</f>
        <v>0</v>
      </c>
      <c r="M111" s="121">
        <f>VLOOKUP(C111,'Talente &amp; Stuff'!GX:HY,11,FALSE)</f>
        <v>0</v>
      </c>
      <c r="N111" s="47">
        <f>VLOOKUP(C111,'Talente &amp; Stuff'!GX:HY,12,FALSE)</f>
        <v>0</v>
      </c>
      <c r="O111" s="3">
        <f>VLOOKUP(C111,'Talente &amp; Stuff'!GX:HY,13,FALSE)</f>
        <v>0</v>
      </c>
      <c r="P111" s="174">
        <f>VLOOKUP(C111,'Talente &amp; Stuff'!GX:HY,14,FALSE)</f>
        <v>0</v>
      </c>
      <c r="Q111" s="114">
        <f>VLOOKUP(C111,'Talente &amp; Stuff'!GX:HY,15,FALSE)</f>
        <v>0</v>
      </c>
      <c r="R111" s="117">
        <f>VLOOKUP(C111,'Talente &amp; Stuff'!GX:HY,16,FALSE)</f>
        <v>0</v>
      </c>
      <c r="S111" s="119">
        <f>VLOOKUP(C111,'Talente &amp; Stuff'!GX:HY,17,FALSE)</f>
        <v>0</v>
      </c>
      <c r="T111" s="119">
        <f>VLOOKUP(C111,'Talente &amp; Stuff'!GX:HY,18,FALSE)</f>
        <v>0</v>
      </c>
      <c r="U111" s="89">
        <f>VLOOKUP(C111,'Talente &amp; Stuff'!GX:HY,19,FALSE)</f>
        <v>0</v>
      </c>
      <c r="V111" s="47">
        <f>VLOOKUP(C111,'Talente &amp; Stuff'!GX:HY,20,FALSE)</f>
        <v>0</v>
      </c>
      <c r="W111" s="127">
        <f>VLOOKUP(C111,'Talente &amp; Stuff'!GX:HY,21,FALSE)</f>
        <v>0</v>
      </c>
      <c r="X111" s="127">
        <f>VLOOKUP(C111,'Talente &amp; Stuff'!GX:HY,22,FALSE)</f>
        <v>0</v>
      </c>
      <c r="Y111" s="165">
        <f t="shared" si="12"/>
        <v>0</v>
      </c>
      <c r="Z111" s="44">
        <f t="shared" si="13"/>
        <v>0</v>
      </c>
      <c r="AA111" s="125">
        <f>VLOOKUP(C111,'Talente &amp; Stuff'!GX:HY,25,FALSE)</f>
        <v>0</v>
      </c>
      <c r="AB111" s="160">
        <f>VLOOKUP(C111,'Talente &amp; Stuff'!GX:HY,26,FALSE)</f>
        <v>0</v>
      </c>
      <c r="AC111" s="127">
        <f>VLOOKUP(C111,'Talente &amp; Stuff'!GX:HY,27,FALSE)</f>
        <v>0</v>
      </c>
      <c r="AD111" s="125">
        <f>VLOOKUP(C111,'Talente &amp; Stuff'!GX:HY,28,FALSE)</f>
        <v>0</v>
      </c>
      <c r="AE111" s="28"/>
    </row>
    <row r="112" spans="2:31" ht="15" hidden="1" customHeight="1" outlineLevel="2">
      <c r="B112" s="148">
        <v>13</v>
      </c>
      <c r="C112" s="177" t="str">
        <f>Attribute!C112</f>
        <v>---</v>
      </c>
      <c r="D112" s="86" t="str">
        <f>VLOOKUP(C112,'Talente &amp; Stuff'!GX:HY,2,FALSE)</f>
        <v>--/--/--</v>
      </c>
      <c r="E112" s="167" t="str">
        <f>VLOOKUP(C112,'Talente &amp; Stuff'!GX:HY,3,FALSE)</f>
        <v>-</v>
      </c>
      <c r="F112" s="120">
        <f>VLOOKUP(C112,'Talente &amp; Stuff'!GX:HY,4,FALSE)</f>
        <v>0</v>
      </c>
      <c r="G112" s="117">
        <f>VLOOKUP(C112,'Talente &amp; Stuff'!GX:HY,5,FALSE)</f>
        <v>0</v>
      </c>
      <c r="H112" s="117">
        <f>VLOOKUP(C112,'Talente &amp; Stuff'!GX:HY,6,FALSE)</f>
        <v>0</v>
      </c>
      <c r="I112" s="117">
        <f>VLOOKUP(C112,'Talente &amp; Stuff'!GX:HY,7,FALSE)</f>
        <v>0</v>
      </c>
      <c r="J112" s="117">
        <f>VLOOKUP(C112,'Talente &amp; Stuff'!GX:HY,8,FALSE)</f>
        <v>0</v>
      </c>
      <c r="K112" s="117">
        <f>VLOOKUP(C112,'Talente &amp; Stuff'!GX:HY,9,FALSE)</f>
        <v>0</v>
      </c>
      <c r="L112" s="117">
        <f>VLOOKUP(C112,'Talente &amp; Stuff'!GX:HY,10,FALSE)</f>
        <v>0</v>
      </c>
      <c r="M112" s="121">
        <f>VLOOKUP(C112,'Talente &amp; Stuff'!GX:HY,11,FALSE)</f>
        <v>0</v>
      </c>
      <c r="N112" s="47">
        <f>VLOOKUP(C112,'Talente &amp; Stuff'!GX:HY,12,FALSE)</f>
        <v>0</v>
      </c>
      <c r="O112" s="3">
        <f>VLOOKUP(C112,'Talente &amp; Stuff'!GX:HY,13,FALSE)</f>
        <v>0</v>
      </c>
      <c r="P112" s="174">
        <f>VLOOKUP(C112,'Talente &amp; Stuff'!GX:HY,14,FALSE)</f>
        <v>0</v>
      </c>
      <c r="Q112" s="114">
        <f>VLOOKUP(C112,'Talente &amp; Stuff'!GX:HY,15,FALSE)</f>
        <v>0</v>
      </c>
      <c r="R112" s="117">
        <f>VLOOKUP(C112,'Talente &amp; Stuff'!GX:HY,16,FALSE)</f>
        <v>0</v>
      </c>
      <c r="S112" s="119">
        <f>VLOOKUP(C112,'Talente &amp; Stuff'!GX:HY,17,FALSE)</f>
        <v>0</v>
      </c>
      <c r="T112" s="119">
        <f>VLOOKUP(C112,'Talente &amp; Stuff'!GX:HY,18,FALSE)</f>
        <v>0</v>
      </c>
      <c r="U112" s="89">
        <f>VLOOKUP(C112,'Talente &amp; Stuff'!GX:HY,19,FALSE)</f>
        <v>0</v>
      </c>
      <c r="V112" s="47">
        <f>VLOOKUP(C112,'Talente &amp; Stuff'!GX:HY,20,FALSE)</f>
        <v>0</v>
      </c>
      <c r="W112" s="127">
        <f>VLOOKUP(C112,'Talente &amp; Stuff'!GX:HY,21,FALSE)</f>
        <v>0</v>
      </c>
      <c r="X112" s="127">
        <f>VLOOKUP(C112,'Talente &amp; Stuff'!GX:HY,22,FALSE)</f>
        <v>0</v>
      </c>
      <c r="Y112" s="165">
        <f t="shared" si="12"/>
        <v>0</v>
      </c>
      <c r="Z112" s="44">
        <f t="shared" si="13"/>
        <v>0</v>
      </c>
      <c r="AA112" s="125">
        <f>VLOOKUP(C112,'Talente &amp; Stuff'!GX:HY,25,FALSE)</f>
        <v>0</v>
      </c>
      <c r="AB112" s="160">
        <f>VLOOKUP(C112,'Talente &amp; Stuff'!GX:HY,26,FALSE)</f>
        <v>0</v>
      </c>
      <c r="AC112" s="127">
        <f>VLOOKUP(C112,'Talente &amp; Stuff'!GX:HY,27,FALSE)</f>
        <v>0</v>
      </c>
      <c r="AD112" s="125">
        <f>VLOOKUP(C112,'Talente &amp; Stuff'!GX:HY,28,FALSE)</f>
        <v>0</v>
      </c>
      <c r="AE112" s="28"/>
    </row>
    <row r="113" spans="2:31" ht="15" hidden="1" customHeight="1" outlineLevel="2">
      <c r="B113" s="148">
        <v>14</v>
      </c>
      <c r="C113" s="177" t="str">
        <f>Attribute!C113</f>
        <v>---</v>
      </c>
      <c r="D113" s="86" t="str">
        <f>VLOOKUP(C113,'Talente &amp; Stuff'!GX:HY,2,FALSE)</f>
        <v>--/--/--</v>
      </c>
      <c r="E113" s="167" t="str">
        <f>VLOOKUP(C113,'Talente &amp; Stuff'!GX:HY,3,FALSE)</f>
        <v>-</v>
      </c>
      <c r="F113" s="120">
        <f>VLOOKUP(C113,'Talente &amp; Stuff'!GX:HY,4,FALSE)</f>
        <v>0</v>
      </c>
      <c r="G113" s="117">
        <f>VLOOKUP(C113,'Talente &amp; Stuff'!GX:HY,5,FALSE)</f>
        <v>0</v>
      </c>
      <c r="H113" s="117">
        <f>VLOOKUP(C113,'Talente &amp; Stuff'!GX:HY,6,FALSE)</f>
        <v>0</v>
      </c>
      <c r="I113" s="117">
        <f>VLOOKUP(C113,'Talente &amp; Stuff'!GX:HY,7,FALSE)</f>
        <v>0</v>
      </c>
      <c r="J113" s="117">
        <f>VLOOKUP(C113,'Talente &amp; Stuff'!GX:HY,8,FALSE)</f>
        <v>0</v>
      </c>
      <c r="K113" s="117">
        <f>VLOOKUP(C113,'Talente &amp; Stuff'!GX:HY,9,FALSE)</f>
        <v>0</v>
      </c>
      <c r="L113" s="117">
        <f>VLOOKUP(C113,'Talente &amp; Stuff'!GX:HY,10,FALSE)</f>
        <v>0</v>
      </c>
      <c r="M113" s="121">
        <f>VLOOKUP(C113,'Talente &amp; Stuff'!GX:HY,11,FALSE)</f>
        <v>0</v>
      </c>
      <c r="N113" s="47">
        <f>VLOOKUP(C113,'Talente &amp; Stuff'!GX:HY,12,FALSE)</f>
        <v>0</v>
      </c>
      <c r="O113" s="3">
        <f>VLOOKUP(C113,'Talente &amp; Stuff'!GX:HY,13,FALSE)</f>
        <v>0</v>
      </c>
      <c r="P113" s="174">
        <f>VLOOKUP(C113,'Talente &amp; Stuff'!GX:HY,14,FALSE)</f>
        <v>0</v>
      </c>
      <c r="Q113" s="114">
        <f>VLOOKUP(C113,'Talente &amp; Stuff'!GX:HY,15,FALSE)</f>
        <v>0</v>
      </c>
      <c r="R113" s="117">
        <f>VLOOKUP(C113,'Talente &amp; Stuff'!GX:HY,16,FALSE)</f>
        <v>0</v>
      </c>
      <c r="S113" s="119">
        <f>VLOOKUP(C113,'Talente &amp; Stuff'!GX:HY,17,FALSE)</f>
        <v>0</v>
      </c>
      <c r="T113" s="119">
        <f>VLOOKUP(C113,'Talente &amp; Stuff'!GX:HY,18,FALSE)</f>
        <v>0</v>
      </c>
      <c r="U113" s="89">
        <f>VLOOKUP(C113,'Talente &amp; Stuff'!GX:HY,19,FALSE)</f>
        <v>0</v>
      </c>
      <c r="V113" s="47">
        <f>VLOOKUP(C113,'Talente &amp; Stuff'!GX:HY,20,FALSE)</f>
        <v>0</v>
      </c>
      <c r="W113" s="127">
        <f>VLOOKUP(C113,'Talente &amp; Stuff'!GX:HY,21,FALSE)</f>
        <v>0</v>
      </c>
      <c r="X113" s="127">
        <f>VLOOKUP(C113,'Talente &amp; Stuff'!GX:HY,22,FALSE)</f>
        <v>0</v>
      </c>
      <c r="Y113" s="165">
        <f t="shared" si="12"/>
        <v>0</v>
      </c>
      <c r="Z113" s="44">
        <f t="shared" si="13"/>
        <v>0</v>
      </c>
      <c r="AA113" s="125">
        <f>VLOOKUP(C113,'Talente &amp; Stuff'!GX:HY,25,FALSE)</f>
        <v>0</v>
      </c>
      <c r="AB113" s="160">
        <f>VLOOKUP(C113,'Talente &amp; Stuff'!GX:HY,26,FALSE)</f>
        <v>0</v>
      </c>
      <c r="AC113" s="127">
        <f>VLOOKUP(C113,'Talente &amp; Stuff'!GX:HY,27,FALSE)</f>
        <v>0</v>
      </c>
      <c r="AD113" s="125">
        <f>VLOOKUP(C113,'Talente &amp; Stuff'!GX:HY,28,FALSE)</f>
        <v>0</v>
      </c>
      <c r="AE113" s="28"/>
    </row>
    <row r="114" spans="2:31" ht="15" hidden="1" customHeight="1" outlineLevel="2">
      <c r="B114" s="148">
        <v>15</v>
      </c>
      <c r="C114" s="177" t="str">
        <f>Attribute!C114</f>
        <v>---</v>
      </c>
      <c r="D114" s="86" t="str">
        <f>VLOOKUP(C114,'Talente &amp; Stuff'!GX:HY,2,FALSE)</f>
        <v>--/--/--</v>
      </c>
      <c r="E114" s="167" t="str">
        <f>VLOOKUP(C114,'Talente &amp; Stuff'!GX:HY,3,FALSE)</f>
        <v>-</v>
      </c>
      <c r="F114" s="120">
        <f>VLOOKUP(C114,'Talente &amp; Stuff'!GX:HY,4,FALSE)</f>
        <v>0</v>
      </c>
      <c r="G114" s="117">
        <f>VLOOKUP(C114,'Talente &amp; Stuff'!GX:HY,5,FALSE)</f>
        <v>0</v>
      </c>
      <c r="H114" s="117">
        <f>VLOOKUP(C114,'Talente &amp; Stuff'!GX:HY,6,FALSE)</f>
        <v>0</v>
      </c>
      <c r="I114" s="117">
        <f>VLOOKUP(C114,'Talente &amp; Stuff'!GX:HY,7,FALSE)</f>
        <v>0</v>
      </c>
      <c r="J114" s="117">
        <f>VLOOKUP(C114,'Talente &amp; Stuff'!GX:HY,8,FALSE)</f>
        <v>0</v>
      </c>
      <c r="K114" s="117">
        <f>VLOOKUP(C114,'Talente &amp; Stuff'!GX:HY,9,FALSE)</f>
        <v>0</v>
      </c>
      <c r="L114" s="117">
        <f>VLOOKUP(C114,'Talente &amp; Stuff'!GX:HY,10,FALSE)</f>
        <v>0</v>
      </c>
      <c r="M114" s="121">
        <f>VLOOKUP(C114,'Talente &amp; Stuff'!GX:HY,11,FALSE)</f>
        <v>0</v>
      </c>
      <c r="N114" s="47">
        <f>VLOOKUP(C114,'Talente &amp; Stuff'!GX:HY,12,FALSE)</f>
        <v>0</v>
      </c>
      <c r="O114" s="3">
        <f>VLOOKUP(C114,'Talente &amp; Stuff'!GX:HY,13,FALSE)</f>
        <v>0</v>
      </c>
      <c r="P114" s="174">
        <f>VLOOKUP(C114,'Talente &amp; Stuff'!GX:HY,14,FALSE)</f>
        <v>0</v>
      </c>
      <c r="Q114" s="114">
        <f>VLOOKUP(C114,'Talente &amp; Stuff'!GX:HY,15,FALSE)</f>
        <v>0</v>
      </c>
      <c r="R114" s="117">
        <f>VLOOKUP(C114,'Talente &amp; Stuff'!GX:HY,16,FALSE)</f>
        <v>0</v>
      </c>
      <c r="S114" s="119">
        <f>VLOOKUP(C114,'Talente &amp; Stuff'!GX:HY,17,FALSE)</f>
        <v>0</v>
      </c>
      <c r="T114" s="119">
        <f>VLOOKUP(C114,'Talente &amp; Stuff'!GX:HY,18,FALSE)</f>
        <v>0</v>
      </c>
      <c r="U114" s="89">
        <f>VLOOKUP(C114,'Talente &amp; Stuff'!GX:HY,19,FALSE)</f>
        <v>0</v>
      </c>
      <c r="V114" s="47">
        <f>VLOOKUP(C114,'Talente &amp; Stuff'!GX:HY,20,FALSE)</f>
        <v>0</v>
      </c>
      <c r="W114" s="127">
        <f>VLOOKUP(C114,'Talente &amp; Stuff'!GX:HY,21,FALSE)</f>
        <v>0</v>
      </c>
      <c r="X114" s="127">
        <f>VLOOKUP(C114,'Talente &amp; Stuff'!GX:HY,22,FALSE)</f>
        <v>0</v>
      </c>
      <c r="Y114" s="165">
        <f t="shared" si="12"/>
        <v>0</v>
      </c>
      <c r="Z114" s="44">
        <f t="shared" si="13"/>
        <v>0</v>
      </c>
      <c r="AA114" s="125">
        <f>VLOOKUP(C114,'Talente &amp; Stuff'!GX:HY,25,FALSE)</f>
        <v>0</v>
      </c>
      <c r="AB114" s="160">
        <f>VLOOKUP(C114,'Talente &amp; Stuff'!GX:HY,26,FALSE)</f>
        <v>0</v>
      </c>
      <c r="AC114" s="127">
        <f>VLOOKUP(C114,'Talente &amp; Stuff'!GX:HY,27,FALSE)</f>
        <v>0</v>
      </c>
      <c r="AD114" s="125">
        <f>VLOOKUP(C114,'Talente &amp; Stuff'!GX:HY,28,FALSE)</f>
        <v>0</v>
      </c>
      <c r="AE114" s="28"/>
    </row>
    <row r="115" spans="2:31" ht="15" hidden="1" customHeight="1" outlineLevel="2">
      <c r="B115" s="148">
        <v>16</v>
      </c>
      <c r="C115" s="177" t="str">
        <f>Attribute!C115</f>
        <v>---</v>
      </c>
      <c r="D115" s="86" t="str">
        <f>VLOOKUP(C115,'Talente &amp; Stuff'!GX:HY,2,FALSE)</f>
        <v>--/--/--</v>
      </c>
      <c r="E115" s="167" t="str">
        <f>VLOOKUP(C115,'Talente &amp; Stuff'!GX:HY,3,FALSE)</f>
        <v>-</v>
      </c>
      <c r="F115" s="120">
        <f>VLOOKUP(C115,'Talente &amp; Stuff'!GX:HY,4,FALSE)</f>
        <v>0</v>
      </c>
      <c r="G115" s="117">
        <f>VLOOKUP(C115,'Talente &amp; Stuff'!GX:HY,5,FALSE)</f>
        <v>0</v>
      </c>
      <c r="H115" s="117">
        <f>VLOOKUP(C115,'Talente &amp; Stuff'!GX:HY,6,FALSE)</f>
        <v>0</v>
      </c>
      <c r="I115" s="117">
        <f>VLOOKUP(C115,'Talente &amp; Stuff'!GX:HY,7,FALSE)</f>
        <v>0</v>
      </c>
      <c r="J115" s="117">
        <f>VLOOKUP(C115,'Talente &amp; Stuff'!GX:HY,8,FALSE)</f>
        <v>0</v>
      </c>
      <c r="K115" s="117">
        <f>VLOOKUP(C115,'Talente &amp; Stuff'!GX:HY,9,FALSE)</f>
        <v>0</v>
      </c>
      <c r="L115" s="117">
        <f>VLOOKUP(C115,'Talente &amp; Stuff'!GX:HY,10,FALSE)</f>
        <v>0</v>
      </c>
      <c r="M115" s="121">
        <f>VLOOKUP(C115,'Talente &amp; Stuff'!GX:HY,11,FALSE)</f>
        <v>0</v>
      </c>
      <c r="N115" s="47">
        <f>VLOOKUP(C115,'Talente &amp; Stuff'!GX:HY,12,FALSE)</f>
        <v>0</v>
      </c>
      <c r="O115" s="3">
        <f>VLOOKUP(C115,'Talente &amp; Stuff'!GX:HY,13,FALSE)</f>
        <v>0</v>
      </c>
      <c r="P115" s="174">
        <f>VLOOKUP(C115,'Talente &amp; Stuff'!GX:HY,14,FALSE)</f>
        <v>0</v>
      </c>
      <c r="Q115" s="114">
        <f>VLOOKUP(C115,'Talente &amp; Stuff'!GX:HY,15,FALSE)</f>
        <v>0</v>
      </c>
      <c r="R115" s="117">
        <f>VLOOKUP(C115,'Talente &amp; Stuff'!GX:HY,16,FALSE)</f>
        <v>0</v>
      </c>
      <c r="S115" s="119">
        <f>VLOOKUP(C115,'Talente &amp; Stuff'!GX:HY,17,FALSE)</f>
        <v>0</v>
      </c>
      <c r="T115" s="119">
        <f>VLOOKUP(C115,'Talente &amp; Stuff'!GX:HY,18,FALSE)</f>
        <v>0</v>
      </c>
      <c r="U115" s="89">
        <f>VLOOKUP(C115,'Talente &amp; Stuff'!GX:HY,19,FALSE)</f>
        <v>0</v>
      </c>
      <c r="V115" s="47">
        <f>VLOOKUP(C115,'Talente &amp; Stuff'!GX:HY,20,FALSE)</f>
        <v>0</v>
      </c>
      <c r="W115" s="127">
        <f>VLOOKUP(C115,'Talente &amp; Stuff'!GX:HY,21,FALSE)</f>
        <v>0</v>
      </c>
      <c r="X115" s="127">
        <f>VLOOKUP(C115,'Talente &amp; Stuff'!GX:HY,22,FALSE)</f>
        <v>0</v>
      </c>
      <c r="Y115" s="165">
        <f t="shared" si="12"/>
        <v>0</v>
      </c>
      <c r="Z115" s="44">
        <f t="shared" si="13"/>
        <v>0</v>
      </c>
      <c r="AA115" s="125">
        <f>VLOOKUP(C115,'Talente &amp; Stuff'!GX:HY,25,FALSE)</f>
        <v>0</v>
      </c>
      <c r="AB115" s="160">
        <f>VLOOKUP(C115,'Talente &amp; Stuff'!GX:HY,26,FALSE)</f>
        <v>0</v>
      </c>
      <c r="AC115" s="127">
        <f>VLOOKUP(C115,'Talente &amp; Stuff'!GX:HY,27,FALSE)</f>
        <v>0</v>
      </c>
      <c r="AD115" s="125">
        <f>VLOOKUP(C115,'Talente &amp; Stuff'!GX:HY,28,FALSE)</f>
        <v>0</v>
      </c>
      <c r="AE115" s="28"/>
    </row>
    <row r="116" spans="2:31" ht="15" hidden="1" customHeight="1" outlineLevel="2">
      <c r="B116" s="148">
        <v>17</v>
      </c>
      <c r="C116" s="177" t="str">
        <f>Attribute!C116</f>
        <v>---</v>
      </c>
      <c r="D116" s="86" t="str">
        <f>VLOOKUP(C116,'Talente &amp; Stuff'!GX:HY,2,FALSE)</f>
        <v>--/--/--</v>
      </c>
      <c r="E116" s="167" t="str">
        <f>VLOOKUP(C116,'Talente &amp; Stuff'!GX:HY,3,FALSE)</f>
        <v>-</v>
      </c>
      <c r="F116" s="120">
        <f>VLOOKUP(C116,'Talente &amp; Stuff'!GX:HY,4,FALSE)</f>
        <v>0</v>
      </c>
      <c r="G116" s="117">
        <f>VLOOKUP(C116,'Talente &amp; Stuff'!GX:HY,5,FALSE)</f>
        <v>0</v>
      </c>
      <c r="H116" s="117">
        <f>VLOOKUP(C116,'Talente &amp; Stuff'!GX:HY,6,FALSE)</f>
        <v>0</v>
      </c>
      <c r="I116" s="117">
        <f>VLOOKUP(C116,'Talente &amp; Stuff'!GX:HY,7,FALSE)</f>
        <v>0</v>
      </c>
      <c r="J116" s="117">
        <f>VLOOKUP(C116,'Talente &amp; Stuff'!GX:HY,8,FALSE)</f>
        <v>0</v>
      </c>
      <c r="K116" s="117">
        <f>VLOOKUP(C116,'Talente &amp; Stuff'!GX:HY,9,FALSE)</f>
        <v>0</v>
      </c>
      <c r="L116" s="117">
        <f>VLOOKUP(C116,'Talente &amp; Stuff'!GX:HY,10,FALSE)</f>
        <v>0</v>
      </c>
      <c r="M116" s="121">
        <f>VLOOKUP(C116,'Talente &amp; Stuff'!GX:HY,11,FALSE)</f>
        <v>0</v>
      </c>
      <c r="N116" s="47">
        <f>VLOOKUP(C116,'Talente &amp; Stuff'!GX:HY,12,FALSE)</f>
        <v>0</v>
      </c>
      <c r="O116" s="3">
        <f>VLOOKUP(C116,'Talente &amp; Stuff'!GX:HY,13,FALSE)</f>
        <v>0</v>
      </c>
      <c r="P116" s="174">
        <f>VLOOKUP(C116,'Talente &amp; Stuff'!GX:HY,14,FALSE)</f>
        <v>0</v>
      </c>
      <c r="Q116" s="114">
        <f>VLOOKUP(C116,'Talente &amp; Stuff'!GX:HY,15,FALSE)</f>
        <v>0</v>
      </c>
      <c r="R116" s="117">
        <f>VLOOKUP(C116,'Talente &amp; Stuff'!GX:HY,16,FALSE)</f>
        <v>0</v>
      </c>
      <c r="S116" s="119">
        <f>VLOOKUP(C116,'Talente &amp; Stuff'!GX:HY,17,FALSE)</f>
        <v>0</v>
      </c>
      <c r="T116" s="119">
        <f>VLOOKUP(C116,'Talente &amp; Stuff'!GX:HY,18,FALSE)</f>
        <v>0</v>
      </c>
      <c r="U116" s="89">
        <f>VLOOKUP(C116,'Talente &amp; Stuff'!GX:HY,19,FALSE)</f>
        <v>0</v>
      </c>
      <c r="V116" s="47">
        <f>VLOOKUP(C116,'Talente &amp; Stuff'!GX:HY,20,FALSE)</f>
        <v>0</v>
      </c>
      <c r="W116" s="127">
        <f>VLOOKUP(C116,'Talente &amp; Stuff'!GX:HY,21,FALSE)</f>
        <v>0</v>
      </c>
      <c r="X116" s="127">
        <f>VLOOKUP(C116,'Talente &amp; Stuff'!GX:HY,22,FALSE)</f>
        <v>0</v>
      </c>
      <c r="Y116" s="165">
        <f t="shared" si="12"/>
        <v>0</v>
      </c>
      <c r="Z116" s="44">
        <f t="shared" si="13"/>
        <v>0</v>
      </c>
      <c r="AA116" s="125">
        <f>VLOOKUP(C116,'Talente &amp; Stuff'!GX:HY,25,FALSE)</f>
        <v>0</v>
      </c>
      <c r="AB116" s="160">
        <f>VLOOKUP(C116,'Talente &amp; Stuff'!GX:HY,26,FALSE)</f>
        <v>0</v>
      </c>
      <c r="AC116" s="127">
        <f>VLOOKUP(C116,'Talente &amp; Stuff'!GX:HY,27,FALSE)</f>
        <v>0</v>
      </c>
      <c r="AD116" s="125">
        <f>VLOOKUP(C116,'Talente &amp; Stuff'!GX:HY,28,FALSE)</f>
        <v>0</v>
      </c>
      <c r="AE116" s="28"/>
    </row>
    <row r="117" spans="2:31" ht="15" hidden="1" customHeight="1" outlineLevel="2">
      <c r="B117" s="148">
        <v>18</v>
      </c>
      <c r="C117" s="177" t="str">
        <f>Attribute!C117</f>
        <v>---</v>
      </c>
      <c r="D117" s="86" t="str">
        <f>VLOOKUP(C117,'Talente &amp; Stuff'!GX:HY,2,FALSE)</f>
        <v>--/--/--</v>
      </c>
      <c r="E117" s="167" t="str">
        <f>VLOOKUP(C117,'Talente &amp; Stuff'!GX:HY,3,FALSE)</f>
        <v>-</v>
      </c>
      <c r="F117" s="120">
        <f>VLOOKUP(C117,'Talente &amp; Stuff'!GX:HY,4,FALSE)</f>
        <v>0</v>
      </c>
      <c r="G117" s="117">
        <f>VLOOKUP(C117,'Talente &amp; Stuff'!GX:HY,5,FALSE)</f>
        <v>0</v>
      </c>
      <c r="H117" s="117">
        <f>VLOOKUP(C117,'Talente &amp; Stuff'!GX:HY,6,FALSE)</f>
        <v>0</v>
      </c>
      <c r="I117" s="117">
        <f>VLOOKUP(C117,'Talente &amp; Stuff'!GX:HY,7,FALSE)</f>
        <v>0</v>
      </c>
      <c r="J117" s="117">
        <f>VLOOKUP(C117,'Talente &amp; Stuff'!GX:HY,8,FALSE)</f>
        <v>0</v>
      </c>
      <c r="K117" s="117">
        <f>VLOOKUP(C117,'Talente &amp; Stuff'!GX:HY,9,FALSE)</f>
        <v>0</v>
      </c>
      <c r="L117" s="117">
        <f>VLOOKUP(C117,'Talente &amp; Stuff'!GX:HY,10,FALSE)</f>
        <v>0</v>
      </c>
      <c r="M117" s="121">
        <f>VLOOKUP(C117,'Talente &amp; Stuff'!GX:HY,11,FALSE)</f>
        <v>0</v>
      </c>
      <c r="N117" s="47">
        <f>VLOOKUP(C117,'Talente &amp; Stuff'!GX:HY,12,FALSE)</f>
        <v>0</v>
      </c>
      <c r="O117" s="3">
        <f>VLOOKUP(C117,'Talente &amp; Stuff'!GX:HY,13,FALSE)</f>
        <v>0</v>
      </c>
      <c r="P117" s="174">
        <f>VLOOKUP(C117,'Talente &amp; Stuff'!GX:HY,14,FALSE)</f>
        <v>0</v>
      </c>
      <c r="Q117" s="114">
        <f>VLOOKUP(C117,'Talente &amp; Stuff'!GX:HY,15,FALSE)</f>
        <v>0</v>
      </c>
      <c r="R117" s="117">
        <f>VLOOKUP(C117,'Talente &amp; Stuff'!GX:HY,16,FALSE)</f>
        <v>0</v>
      </c>
      <c r="S117" s="119">
        <f>VLOOKUP(C117,'Talente &amp; Stuff'!GX:HY,17,FALSE)</f>
        <v>0</v>
      </c>
      <c r="T117" s="119">
        <f>VLOOKUP(C117,'Talente &amp; Stuff'!GX:HY,18,FALSE)</f>
        <v>0</v>
      </c>
      <c r="U117" s="89">
        <f>VLOOKUP(C117,'Talente &amp; Stuff'!GX:HY,19,FALSE)</f>
        <v>0</v>
      </c>
      <c r="V117" s="47">
        <f>VLOOKUP(C117,'Talente &amp; Stuff'!GX:HY,20,FALSE)</f>
        <v>0</v>
      </c>
      <c r="W117" s="127">
        <f>VLOOKUP(C117,'Talente &amp; Stuff'!GX:HY,21,FALSE)</f>
        <v>0</v>
      </c>
      <c r="X117" s="127">
        <f>VLOOKUP(C117,'Talente &amp; Stuff'!GX:HY,22,FALSE)</f>
        <v>0</v>
      </c>
      <c r="Y117" s="165">
        <f t="shared" si="12"/>
        <v>0</v>
      </c>
      <c r="Z117" s="44">
        <f t="shared" si="13"/>
        <v>0</v>
      </c>
      <c r="AA117" s="125">
        <f>VLOOKUP(C117,'Talente &amp; Stuff'!GX:HY,25,FALSE)</f>
        <v>0</v>
      </c>
      <c r="AB117" s="160">
        <f>VLOOKUP(C117,'Talente &amp; Stuff'!GX:HY,26,FALSE)</f>
        <v>0</v>
      </c>
      <c r="AC117" s="127">
        <f>VLOOKUP(C117,'Talente &amp; Stuff'!GX:HY,27,FALSE)</f>
        <v>0</v>
      </c>
      <c r="AD117" s="125">
        <f>VLOOKUP(C117,'Talente &amp; Stuff'!GX:HY,28,FALSE)</f>
        <v>0</v>
      </c>
      <c r="AE117" s="28"/>
    </row>
    <row r="118" spans="2:31" ht="15" hidden="1" customHeight="1" outlineLevel="2">
      <c r="B118" s="148">
        <v>19</v>
      </c>
      <c r="C118" s="177" t="str">
        <f>Attribute!C118</f>
        <v>---</v>
      </c>
      <c r="D118" s="86" t="str">
        <f>VLOOKUP(C118,'Talente &amp; Stuff'!GX:HY,2,FALSE)</f>
        <v>--/--/--</v>
      </c>
      <c r="E118" s="167" t="str">
        <f>VLOOKUP(C118,'Talente &amp; Stuff'!GX:HY,3,FALSE)</f>
        <v>-</v>
      </c>
      <c r="F118" s="120">
        <f>VLOOKUP(C118,'Talente &amp; Stuff'!GX:HY,4,FALSE)</f>
        <v>0</v>
      </c>
      <c r="G118" s="117">
        <f>VLOOKUP(C118,'Talente &amp; Stuff'!GX:HY,5,FALSE)</f>
        <v>0</v>
      </c>
      <c r="H118" s="117">
        <f>VLOOKUP(C118,'Talente &amp; Stuff'!GX:HY,6,FALSE)</f>
        <v>0</v>
      </c>
      <c r="I118" s="117">
        <f>VLOOKUP(C118,'Talente &amp; Stuff'!GX:HY,7,FALSE)</f>
        <v>0</v>
      </c>
      <c r="J118" s="117">
        <f>VLOOKUP(C118,'Talente &amp; Stuff'!GX:HY,8,FALSE)</f>
        <v>0</v>
      </c>
      <c r="K118" s="117">
        <f>VLOOKUP(C118,'Talente &amp; Stuff'!GX:HY,9,FALSE)</f>
        <v>0</v>
      </c>
      <c r="L118" s="117">
        <f>VLOOKUP(C118,'Talente &amp; Stuff'!GX:HY,10,FALSE)</f>
        <v>0</v>
      </c>
      <c r="M118" s="121">
        <f>VLOOKUP(C118,'Talente &amp; Stuff'!GX:HY,11,FALSE)</f>
        <v>0</v>
      </c>
      <c r="N118" s="47">
        <f>VLOOKUP(C118,'Talente &amp; Stuff'!GX:HY,12,FALSE)</f>
        <v>0</v>
      </c>
      <c r="O118" s="3">
        <f>VLOOKUP(C118,'Talente &amp; Stuff'!GX:HY,13,FALSE)</f>
        <v>0</v>
      </c>
      <c r="P118" s="174">
        <f>VLOOKUP(C118,'Talente &amp; Stuff'!GX:HY,14,FALSE)</f>
        <v>0</v>
      </c>
      <c r="Q118" s="114">
        <f>VLOOKUP(C118,'Talente &amp; Stuff'!GX:HY,15,FALSE)</f>
        <v>0</v>
      </c>
      <c r="R118" s="117">
        <f>VLOOKUP(C118,'Talente &amp; Stuff'!GX:HY,16,FALSE)</f>
        <v>0</v>
      </c>
      <c r="S118" s="119">
        <f>VLOOKUP(C118,'Talente &amp; Stuff'!GX:HY,17,FALSE)</f>
        <v>0</v>
      </c>
      <c r="T118" s="119">
        <f>VLOOKUP(C118,'Talente &amp; Stuff'!GX:HY,18,FALSE)</f>
        <v>0</v>
      </c>
      <c r="U118" s="89">
        <f>VLOOKUP(C118,'Talente &amp; Stuff'!GX:HY,19,FALSE)</f>
        <v>0</v>
      </c>
      <c r="V118" s="47">
        <f>VLOOKUP(C118,'Talente &amp; Stuff'!GX:HY,20,FALSE)</f>
        <v>0</v>
      </c>
      <c r="W118" s="127">
        <f>VLOOKUP(C118,'Talente &amp; Stuff'!GX:HY,21,FALSE)</f>
        <v>0</v>
      </c>
      <c r="X118" s="127">
        <f>VLOOKUP(C118,'Talente &amp; Stuff'!GX:HY,22,FALSE)</f>
        <v>0</v>
      </c>
      <c r="Y118" s="165">
        <f t="shared" si="12"/>
        <v>0</v>
      </c>
      <c r="Z118" s="44">
        <f t="shared" si="13"/>
        <v>0</v>
      </c>
      <c r="AA118" s="125">
        <f>VLOOKUP(C118,'Talente &amp; Stuff'!GX:HY,25,FALSE)</f>
        <v>0</v>
      </c>
      <c r="AB118" s="160">
        <f>VLOOKUP(C118,'Talente &amp; Stuff'!GX:HY,26,FALSE)</f>
        <v>0</v>
      </c>
      <c r="AC118" s="127">
        <f>VLOOKUP(C118,'Talente &amp; Stuff'!GX:HY,27,FALSE)</f>
        <v>0</v>
      </c>
      <c r="AD118" s="125">
        <f>VLOOKUP(C118,'Talente &amp; Stuff'!GX:HY,28,FALSE)</f>
        <v>0</v>
      </c>
      <c r="AE118" s="28"/>
    </row>
    <row r="119" spans="2:31" ht="15" hidden="1" customHeight="1" outlineLevel="2">
      <c r="B119" s="148">
        <v>20</v>
      </c>
      <c r="C119" s="177" t="str">
        <f>Attribute!C119</f>
        <v>---</v>
      </c>
      <c r="D119" s="86" t="str">
        <f>VLOOKUP(C119,'Talente &amp; Stuff'!GX:HY,2,FALSE)</f>
        <v>--/--/--</v>
      </c>
      <c r="E119" s="167" t="str">
        <f>VLOOKUP(C119,'Talente &amp; Stuff'!GX:HY,3,FALSE)</f>
        <v>-</v>
      </c>
      <c r="F119" s="120">
        <f>VLOOKUP(C119,'Talente &amp; Stuff'!GX:HY,4,FALSE)</f>
        <v>0</v>
      </c>
      <c r="G119" s="117">
        <f>VLOOKUP(C119,'Talente &amp; Stuff'!GX:HY,5,FALSE)</f>
        <v>0</v>
      </c>
      <c r="H119" s="117">
        <f>VLOOKUP(C119,'Talente &amp; Stuff'!GX:HY,6,FALSE)</f>
        <v>0</v>
      </c>
      <c r="I119" s="117">
        <f>VLOOKUP(C119,'Talente &amp; Stuff'!GX:HY,7,FALSE)</f>
        <v>0</v>
      </c>
      <c r="J119" s="117">
        <f>VLOOKUP(C119,'Talente &amp; Stuff'!GX:HY,8,FALSE)</f>
        <v>0</v>
      </c>
      <c r="K119" s="117">
        <f>VLOOKUP(C119,'Talente &amp; Stuff'!GX:HY,9,FALSE)</f>
        <v>0</v>
      </c>
      <c r="L119" s="117">
        <f>VLOOKUP(C119,'Talente &amp; Stuff'!GX:HY,10,FALSE)</f>
        <v>0</v>
      </c>
      <c r="M119" s="121">
        <f>VLOOKUP(C119,'Talente &amp; Stuff'!GX:HY,11,FALSE)</f>
        <v>0</v>
      </c>
      <c r="N119" s="47">
        <f>VLOOKUP(C119,'Talente &amp; Stuff'!GX:HY,12,FALSE)</f>
        <v>0</v>
      </c>
      <c r="O119" s="3">
        <f>VLOOKUP(C119,'Talente &amp; Stuff'!GX:HY,13,FALSE)</f>
        <v>0</v>
      </c>
      <c r="P119" s="174">
        <f>VLOOKUP(C119,'Talente &amp; Stuff'!GX:HY,14,FALSE)</f>
        <v>0</v>
      </c>
      <c r="Q119" s="114">
        <f>VLOOKUP(C119,'Talente &amp; Stuff'!GX:HY,15,FALSE)</f>
        <v>0</v>
      </c>
      <c r="R119" s="117">
        <f>VLOOKUP(C119,'Talente &amp; Stuff'!GX:HY,16,FALSE)</f>
        <v>0</v>
      </c>
      <c r="S119" s="119">
        <f>VLOOKUP(C119,'Talente &amp; Stuff'!GX:HY,17,FALSE)</f>
        <v>0</v>
      </c>
      <c r="T119" s="119">
        <f>VLOOKUP(C119,'Talente &amp; Stuff'!GX:HY,18,FALSE)</f>
        <v>0</v>
      </c>
      <c r="U119" s="89">
        <f>VLOOKUP(C119,'Talente &amp; Stuff'!GX:HY,19,FALSE)</f>
        <v>0</v>
      </c>
      <c r="V119" s="47">
        <f>VLOOKUP(C119,'Talente &amp; Stuff'!GX:HY,20,FALSE)</f>
        <v>0</v>
      </c>
      <c r="W119" s="127">
        <f>VLOOKUP(C119,'Talente &amp; Stuff'!GX:HY,21,FALSE)</f>
        <v>0</v>
      </c>
      <c r="X119" s="127">
        <f>VLOOKUP(C119,'Talente &amp; Stuff'!GX:HY,22,FALSE)</f>
        <v>0</v>
      </c>
      <c r="Y119" s="165">
        <f t="shared" si="12"/>
        <v>0</v>
      </c>
      <c r="Z119" s="44">
        <f t="shared" si="13"/>
        <v>0</v>
      </c>
      <c r="AA119" s="125">
        <f>VLOOKUP(C119,'Talente &amp; Stuff'!GX:HY,25,FALSE)</f>
        <v>0</v>
      </c>
      <c r="AB119" s="160">
        <f>VLOOKUP(C119,'Talente &amp; Stuff'!GX:HY,26,FALSE)</f>
        <v>0</v>
      </c>
      <c r="AC119" s="127">
        <f>VLOOKUP(C119,'Talente &amp; Stuff'!GX:HY,27,FALSE)</f>
        <v>0</v>
      </c>
      <c r="AD119" s="125">
        <f>VLOOKUP(C119,'Talente &amp; Stuff'!GX:HY,28,FALSE)</f>
        <v>0</v>
      </c>
      <c r="AE119" s="28"/>
    </row>
    <row r="120" spans="2:31" ht="15" hidden="1" customHeight="1" outlineLevel="2">
      <c r="B120" s="148">
        <v>21</v>
      </c>
      <c r="C120" s="177" t="str">
        <f>Attribute!C120</f>
        <v>---</v>
      </c>
      <c r="D120" s="86" t="str">
        <f>VLOOKUP(C120,'Talente &amp; Stuff'!GX:HY,2,FALSE)</f>
        <v>--/--/--</v>
      </c>
      <c r="E120" s="167" t="str">
        <f>VLOOKUP(C120,'Talente &amp; Stuff'!GX:HY,3,FALSE)</f>
        <v>-</v>
      </c>
      <c r="F120" s="120">
        <f>VLOOKUP(C120,'Talente &amp; Stuff'!GX:HY,4,FALSE)</f>
        <v>0</v>
      </c>
      <c r="G120" s="117">
        <f>VLOOKUP(C120,'Talente &amp; Stuff'!GX:HY,5,FALSE)</f>
        <v>0</v>
      </c>
      <c r="H120" s="117">
        <f>VLOOKUP(C120,'Talente &amp; Stuff'!GX:HY,6,FALSE)</f>
        <v>0</v>
      </c>
      <c r="I120" s="117">
        <f>VLOOKUP(C120,'Talente &amp; Stuff'!GX:HY,7,FALSE)</f>
        <v>0</v>
      </c>
      <c r="J120" s="117">
        <f>VLOOKUP(C120,'Talente &amp; Stuff'!GX:HY,8,FALSE)</f>
        <v>0</v>
      </c>
      <c r="K120" s="117">
        <f>VLOOKUP(C120,'Talente &amp; Stuff'!GX:HY,9,FALSE)</f>
        <v>0</v>
      </c>
      <c r="L120" s="117">
        <f>VLOOKUP(C120,'Talente &amp; Stuff'!GX:HY,10,FALSE)</f>
        <v>0</v>
      </c>
      <c r="M120" s="121">
        <f>VLOOKUP(C120,'Talente &amp; Stuff'!GX:HY,11,FALSE)</f>
        <v>0</v>
      </c>
      <c r="N120" s="47">
        <f>VLOOKUP(C120,'Talente &amp; Stuff'!GX:HY,12,FALSE)</f>
        <v>0</v>
      </c>
      <c r="O120" s="3">
        <f>VLOOKUP(C120,'Talente &amp; Stuff'!GX:HY,13,FALSE)</f>
        <v>0</v>
      </c>
      <c r="P120" s="174">
        <f>VLOOKUP(C120,'Talente &amp; Stuff'!GX:HY,14,FALSE)</f>
        <v>0</v>
      </c>
      <c r="Q120" s="114">
        <f>VLOOKUP(C120,'Talente &amp; Stuff'!GX:HY,15,FALSE)</f>
        <v>0</v>
      </c>
      <c r="R120" s="117">
        <f>VLOOKUP(C120,'Talente &amp; Stuff'!GX:HY,16,FALSE)</f>
        <v>0</v>
      </c>
      <c r="S120" s="119">
        <f>VLOOKUP(C120,'Talente &amp; Stuff'!GX:HY,17,FALSE)</f>
        <v>0</v>
      </c>
      <c r="T120" s="119">
        <f>VLOOKUP(C120,'Talente &amp; Stuff'!GX:HY,18,FALSE)</f>
        <v>0</v>
      </c>
      <c r="U120" s="89">
        <f>VLOOKUP(C120,'Talente &amp; Stuff'!GX:HY,19,FALSE)</f>
        <v>0</v>
      </c>
      <c r="V120" s="47">
        <f>VLOOKUP(C120,'Talente &amp; Stuff'!GX:HY,20,FALSE)</f>
        <v>0</v>
      </c>
      <c r="W120" s="127">
        <f>VLOOKUP(C120,'Talente &amp; Stuff'!GX:HY,21,FALSE)</f>
        <v>0</v>
      </c>
      <c r="X120" s="127">
        <f>VLOOKUP(C120,'Talente &amp; Stuff'!GX:HY,22,FALSE)</f>
        <v>0</v>
      </c>
      <c r="Y120" s="165">
        <f t="shared" si="12"/>
        <v>0</v>
      </c>
      <c r="Z120" s="44">
        <f t="shared" si="13"/>
        <v>0</v>
      </c>
      <c r="AA120" s="125">
        <f>VLOOKUP(C120,'Talente &amp; Stuff'!GX:HY,25,FALSE)</f>
        <v>0</v>
      </c>
      <c r="AB120" s="160">
        <f>VLOOKUP(C120,'Talente &amp; Stuff'!GX:HY,26,FALSE)</f>
        <v>0</v>
      </c>
      <c r="AC120" s="127">
        <f>VLOOKUP(C120,'Talente &amp; Stuff'!GX:HY,27,FALSE)</f>
        <v>0</v>
      </c>
      <c r="AD120" s="125">
        <f>VLOOKUP(C120,'Talente &amp; Stuff'!GX:HY,28,FALSE)</f>
        <v>0</v>
      </c>
      <c r="AE120" s="28"/>
    </row>
    <row r="121" spans="2:31" ht="15" hidden="1" customHeight="1" outlineLevel="2">
      <c r="B121" s="148">
        <v>22</v>
      </c>
      <c r="C121" s="177" t="str">
        <f>Attribute!C121</f>
        <v>---</v>
      </c>
      <c r="D121" s="86" t="str">
        <f>VLOOKUP(C121,'Talente &amp; Stuff'!GX:HY,2,FALSE)</f>
        <v>--/--/--</v>
      </c>
      <c r="E121" s="167" t="str">
        <f>VLOOKUP(C121,'Talente &amp; Stuff'!GX:HY,3,FALSE)</f>
        <v>-</v>
      </c>
      <c r="F121" s="120">
        <f>VLOOKUP(C121,'Talente &amp; Stuff'!GX:HY,4,FALSE)</f>
        <v>0</v>
      </c>
      <c r="G121" s="117">
        <f>VLOOKUP(C121,'Talente &amp; Stuff'!GX:HY,5,FALSE)</f>
        <v>0</v>
      </c>
      <c r="H121" s="117">
        <f>VLOOKUP(C121,'Talente &amp; Stuff'!GX:HY,6,FALSE)</f>
        <v>0</v>
      </c>
      <c r="I121" s="117">
        <f>VLOOKUP(C121,'Talente &amp; Stuff'!GX:HY,7,FALSE)</f>
        <v>0</v>
      </c>
      <c r="J121" s="117">
        <f>VLOOKUP(C121,'Talente &amp; Stuff'!GX:HY,8,FALSE)</f>
        <v>0</v>
      </c>
      <c r="K121" s="117">
        <f>VLOOKUP(C121,'Talente &amp; Stuff'!GX:HY,9,FALSE)</f>
        <v>0</v>
      </c>
      <c r="L121" s="117">
        <f>VLOOKUP(C121,'Talente &amp; Stuff'!GX:HY,10,FALSE)</f>
        <v>0</v>
      </c>
      <c r="M121" s="121">
        <f>VLOOKUP(C121,'Talente &amp; Stuff'!GX:HY,11,FALSE)</f>
        <v>0</v>
      </c>
      <c r="N121" s="47">
        <f>VLOOKUP(C121,'Talente &amp; Stuff'!GX:HY,12,FALSE)</f>
        <v>0</v>
      </c>
      <c r="O121" s="3">
        <f>VLOOKUP(C121,'Talente &amp; Stuff'!GX:HY,13,FALSE)</f>
        <v>0</v>
      </c>
      <c r="P121" s="174">
        <f>VLOOKUP(C121,'Talente &amp; Stuff'!GX:HY,14,FALSE)</f>
        <v>0</v>
      </c>
      <c r="Q121" s="114">
        <f>VLOOKUP(C121,'Talente &amp; Stuff'!GX:HY,15,FALSE)</f>
        <v>0</v>
      </c>
      <c r="R121" s="117">
        <f>VLOOKUP(C121,'Talente &amp; Stuff'!GX:HY,16,FALSE)</f>
        <v>0</v>
      </c>
      <c r="S121" s="119">
        <f>VLOOKUP(C121,'Talente &amp; Stuff'!GX:HY,17,FALSE)</f>
        <v>0</v>
      </c>
      <c r="T121" s="119">
        <f>VLOOKUP(C121,'Talente &amp; Stuff'!GX:HY,18,FALSE)</f>
        <v>0</v>
      </c>
      <c r="U121" s="89">
        <f>VLOOKUP(C121,'Talente &amp; Stuff'!GX:HY,19,FALSE)</f>
        <v>0</v>
      </c>
      <c r="V121" s="47">
        <f>VLOOKUP(C121,'Talente &amp; Stuff'!GX:HY,20,FALSE)</f>
        <v>0</v>
      </c>
      <c r="W121" s="127">
        <f>VLOOKUP(C121,'Talente &amp; Stuff'!GX:HY,21,FALSE)</f>
        <v>0</v>
      </c>
      <c r="X121" s="127">
        <f>VLOOKUP(C121,'Talente &amp; Stuff'!GX:HY,22,FALSE)</f>
        <v>0</v>
      </c>
      <c r="Y121" s="165">
        <f t="shared" si="12"/>
        <v>0</v>
      </c>
      <c r="Z121" s="44">
        <f t="shared" si="13"/>
        <v>0</v>
      </c>
      <c r="AA121" s="125">
        <f>VLOOKUP(C121,'Talente &amp; Stuff'!GX:HY,25,FALSE)</f>
        <v>0</v>
      </c>
      <c r="AB121" s="160">
        <f>VLOOKUP(C121,'Talente &amp; Stuff'!GX:HY,26,FALSE)</f>
        <v>0</v>
      </c>
      <c r="AC121" s="127">
        <f>VLOOKUP(C121,'Talente &amp; Stuff'!GX:HY,27,FALSE)</f>
        <v>0</v>
      </c>
      <c r="AD121" s="125">
        <f>VLOOKUP(C121,'Talente &amp; Stuff'!GX:HY,28,FALSE)</f>
        <v>0</v>
      </c>
      <c r="AE121" s="28"/>
    </row>
    <row r="122" spans="2:31" ht="15" hidden="1" customHeight="1" outlineLevel="2">
      <c r="B122" s="148">
        <v>23</v>
      </c>
      <c r="C122" s="177" t="str">
        <f>Attribute!C122</f>
        <v>---</v>
      </c>
      <c r="D122" s="86" t="str">
        <f>VLOOKUP(C122,'Talente &amp; Stuff'!GX:HY,2,FALSE)</f>
        <v>--/--/--</v>
      </c>
      <c r="E122" s="127" t="str">
        <f>VLOOKUP(C122,'Talente &amp; Stuff'!GX:HY,3,FALSE)</f>
        <v>-</v>
      </c>
      <c r="F122" s="114">
        <f>VLOOKUP(C122,'Talente &amp; Stuff'!GX:HY,4,FALSE)</f>
        <v>0</v>
      </c>
      <c r="G122" s="113">
        <f>VLOOKUP(C122,'Talente &amp; Stuff'!GX:HY,5,FALSE)</f>
        <v>0</v>
      </c>
      <c r="H122" s="113">
        <f>VLOOKUP(C122,'Talente &amp; Stuff'!GX:HY,6,FALSE)</f>
        <v>0</v>
      </c>
      <c r="I122" s="113">
        <f>VLOOKUP(C122,'Talente &amp; Stuff'!GX:HY,7,FALSE)</f>
        <v>0</v>
      </c>
      <c r="J122" s="113">
        <f>VLOOKUP(C122,'Talente &amp; Stuff'!GX:HY,8,FALSE)</f>
        <v>0</v>
      </c>
      <c r="K122" s="113">
        <f>VLOOKUP(C122,'Talente &amp; Stuff'!GX:HY,9,FALSE)</f>
        <v>0</v>
      </c>
      <c r="L122" s="113">
        <f>VLOOKUP(C122,'Talente &amp; Stuff'!GX:HY,10,FALSE)</f>
        <v>0</v>
      </c>
      <c r="M122" s="119">
        <f>VLOOKUP(C122,'Talente &amp; Stuff'!GX:HY,11,FALSE)</f>
        <v>0</v>
      </c>
      <c r="N122" s="47">
        <f>VLOOKUP(C122,'Talente &amp; Stuff'!GX:HY,12,FALSE)</f>
        <v>0</v>
      </c>
      <c r="O122" s="3">
        <f>VLOOKUP(C122,'Talente &amp; Stuff'!GX:HY,13,FALSE)</f>
        <v>0</v>
      </c>
      <c r="P122" s="174">
        <f>VLOOKUP(C122,'Talente &amp; Stuff'!GX:HY,14,FALSE)</f>
        <v>0</v>
      </c>
      <c r="Q122" s="114">
        <f>VLOOKUP(C122,'Talente &amp; Stuff'!GX:HY,15,FALSE)</f>
        <v>0</v>
      </c>
      <c r="R122" s="117">
        <f>VLOOKUP(C122,'Talente &amp; Stuff'!GX:HY,16,FALSE)</f>
        <v>0</v>
      </c>
      <c r="S122" s="119">
        <f>VLOOKUP(C122,'Talente &amp; Stuff'!GX:HY,17,FALSE)</f>
        <v>0</v>
      </c>
      <c r="T122" s="119">
        <f>VLOOKUP(C122,'Talente &amp; Stuff'!GX:HY,18,FALSE)</f>
        <v>0</v>
      </c>
      <c r="U122" s="89">
        <f>VLOOKUP(C122,'Talente &amp; Stuff'!GX:HY,19,FALSE)</f>
        <v>0</v>
      </c>
      <c r="V122" s="47">
        <f>VLOOKUP(C122,'Talente &amp; Stuff'!GX:HY,20,FALSE)</f>
        <v>0</v>
      </c>
      <c r="W122" s="127">
        <f>VLOOKUP(C122,'Talente &amp; Stuff'!GX:HY,21,FALSE)</f>
        <v>0</v>
      </c>
      <c r="X122" s="127">
        <f>VLOOKUP(C122,'Talente &amp; Stuff'!GX:HY,22,FALSE)</f>
        <v>0</v>
      </c>
      <c r="Y122" s="165">
        <f t="shared" si="12"/>
        <v>0</v>
      </c>
      <c r="Z122" s="44">
        <f t="shared" si="13"/>
        <v>0</v>
      </c>
      <c r="AA122" s="125">
        <f>VLOOKUP(C122,'Talente &amp; Stuff'!GX:HY,25,FALSE)</f>
        <v>0</v>
      </c>
      <c r="AB122" s="160">
        <f>VLOOKUP(C122,'Talente &amp; Stuff'!GX:HY,26,FALSE)</f>
        <v>0</v>
      </c>
      <c r="AC122" s="127">
        <f>VLOOKUP(C122,'Talente &amp; Stuff'!GX:HY,27,FALSE)</f>
        <v>0</v>
      </c>
      <c r="AD122" s="125">
        <f>VLOOKUP(C122,'Talente &amp; Stuff'!GX:HY,28,FALSE)</f>
        <v>0</v>
      </c>
      <c r="AE122" s="28"/>
    </row>
    <row r="123" spans="2:31" ht="15" hidden="1" customHeight="1" outlineLevel="2">
      <c r="B123" s="148">
        <v>24</v>
      </c>
      <c r="C123" s="177" t="str">
        <f>Attribute!C123</f>
        <v>---</v>
      </c>
      <c r="D123" s="86" t="str">
        <f>VLOOKUP(C123,'Talente &amp; Stuff'!GX:HY,2,FALSE)</f>
        <v>--/--/--</v>
      </c>
      <c r="E123" s="127" t="str">
        <f>VLOOKUP(C123,'Talente &amp; Stuff'!GX:HY,3,FALSE)</f>
        <v>-</v>
      </c>
      <c r="F123" s="114">
        <f>VLOOKUP(C123,'Talente &amp; Stuff'!GX:HY,4,FALSE)</f>
        <v>0</v>
      </c>
      <c r="G123" s="113">
        <f>VLOOKUP(C123,'Talente &amp; Stuff'!GX:HY,5,FALSE)</f>
        <v>0</v>
      </c>
      <c r="H123" s="113">
        <f>VLOOKUP(C123,'Talente &amp; Stuff'!GX:HY,6,FALSE)</f>
        <v>0</v>
      </c>
      <c r="I123" s="113">
        <f>VLOOKUP(C123,'Talente &amp; Stuff'!GX:HY,7,FALSE)</f>
        <v>0</v>
      </c>
      <c r="J123" s="113">
        <f>VLOOKUP(C123,'Talente &amp; Stuff'!GX:HY,8,FALSE)</f>
        <v>0</v>
      </c>
      <c r="K123" s="113">
        <f>VLOOKUP(C123,'Talente &amp; Stuff'!GX:HY,9,FALSE)</f>
        <v>0</v>
      </c>
      <c r="L123" s="113">
        <f>VLOOKUP(C123,'Talente &amp; Stuff'!GX:HY,10,FALSE)</f>
        <v>0</v>
      </c>
      <c r="M123" s="119">
        <f>VLOOKUP(C123,'Talente &amp; Stuff'!GX:HY,11,FALSE)</f>
        <v>0</v>
      </c>
      <c r="N123" s="47">
        <f>VLOOKUP(C123,'Talente &amp; Stuff'!GX:HY,12,FALSE)</f>
        <v>0</v>
      </c>
      <c r="O123" s="3">
        <f>VLOOKUP(C123,'Talente &amp; Stuff'!GX:HY,13,FALSE)</f>
        <v>0</v>
      </c>
      <c r="P123" s="174">
        <f>VLOOKUP(C123,'Talente &amp; Stuff'!GX:HY,14,FALSE)</f>
        <v>0</v>
      </c>
      <c r="Q123" s="114">
        <f>VLOOKUP(C123,'Talente &amp; Stuff'!GX:HY,15,FALSE)</f>
        <v>0</v>
      </c>
      <c r="R123" s="117">
        <f>VLOOKUP(C123,'Talente &amp; Stuff'!GX:HY,16,FALSE)</f>
        <v>0</v>
      </c>
      <c r="S123" s="119">
        <f>VLOOKUP(C123,'Talente &amp; Stuff'!GX:HY,17,FALSE)</f>
        <v>0</v>
      </c>
      <c r="T123" s="119">
        <f>VLOOKUP(C123,'Talente &amp; Stuff'!GX:HY,18,FALSE)</f>
        <v>0</v>
      </c>
      <c r="U123" s="89">
        <f>VLOOKUP(C123,'Talente &amp; Stuff'!GX:HY,19,FALSE)</f>
        <v>0</v>
      </c>
      <c r="V123" s="47">
        <f>VLOOKUP(C123,'Talente &amp; Stuff'!GX:HY,20,FALSE)</f>
        <v>0</v>
      </c>
      <c r="W123" s="127">
        <f>VLOOKUP(C123,'Talente &amp; Stuff'!GX:HY,21,FALSE)</f>
        <v>0</v>
      </c>
      <c r="X123" s="127">
        <f>VLOOKUP(C123,'Talente &amp; Stuff'!GX:HY,22,FALSE)</f>
        <v>0</v>
      </c>
      <c r="Y123" s="165">
        <f t="shared" si="12"/>
        <v>0</v>
      </c>
      <c r="Z123" s="44">
        <f t="shared" si="13"/>
        <v>0</v>
      </c>
      <c r="AA123" s="125">
        <f>VLOOKUP(C123,'Talente &amp; Stuff'!GX:HY,25,FALSE)</f>
        <v>0</v>
      </c>
      <c r="AB123" s="160">
        <f>VLOOKUP(C123,'Talente &amp; Stuff'!GX:HY,26,FALSE)</f>
        <v>0</v>
      </c>
      <c r="AC123" s="127">
        <f>VLOOKUP(C123,'Talente &amp; Stuff'!GX:HY,27,FALSE)</f>
        <v>0</v>
      </c>
      <c r="AD123" s="125">
        <f>VLOOKUP(C123,'Talente &amp; Stuff'!GX:HY,28,FALSE)</f>
        <v>0</v>
      </c>
      <c r="AE123" s="28"/>
    </row>
    <row r="124" spans="2:31" ht="15" hidden="1" customHeight="1" outlineLevel="2">
      <c r="B124" s="148">
        <v>25</v>
      </c>
      <c r="C124" s="177" t="str">
        <f>Attribute!C124</f>
        <v>---</v>
      </c>
      <c r="D124" s="86" t="str">
        <f>VLOOKUP(C124,'Talente &amp; Stuff'!GX:HY,2,FALSE)</f>
        <v>--/--/--</v>
      </c>
      <c r="E124" s="127" t="str">
        <f>VLOOKUP(C124,'Talente &amp; Stuff'!GX:HY,3,FALSE)</f>
        <v>-</v>
      </c>
      <c r="F124" s="114">
        <f>VLOOKUP(C124,'Talente &amp; Stuff'!GX:HY,4,FALSE)</f>
        <v>0</v>
      </c>
      <c r="G124" s="113">
        <f>VLOOKUP(C124,'Talente &amp; Stuff'!GX:HY,5,FALSE)</f>
        <v>0</v>
      </c>
      <c r="H124" s="113">
        <f>VLOOKUP(C124,'Talente &amp; Stuff'!GX:HY,6,FALSE)</f>
        <v>0</v>
      </c>
      <c r="I124" s="113">
        <f>VLOOKUP(C124,'Talente &amp; Stuff'!GX:HY,7,FALSE)</f>
        <v>0</v>
      </c>
      <c r="J124" s="113">
        <f>VLOOKUP(C124,'Talente &amp; Stuff'!GX:HY,8,FALSE)</f>
        <v>0</v>
      </c>
      <c r="K124" s="113">
        <f>VLOOKUP(C124,'Talente &amp; Stuff'!GX:HY,9,FALSE)</f>
        <v>0</v>
      </c>
      <c r="L124" s="113">
        <f>VLOOKUP(C124,'Talente &amp; Stuff'!GX:HY,10,FALSE)</f>
        <v>0</v>
      </c>
      <c r="M124" s="119">
        <f>VLOOKUP(C124,'Talente &amp; Stuff'!GX:HY,11,FALSE)</f>
        <v>0</v>
      </c>
      <c r="N124" s="47">
        <f>VLOOKUP(C124,'Talente &amp; Stuff'!GX:HY,12,FALSE)</f>
        <v>0</v>
      </c>
      <c r="O124" s="3">
        <f>VLOOKUP(C124,'Talente &amp; Stuff'!GX:HY,13,FALSE)</f>
        <v>0</v>
      </c>
      <c r="P124" s="174">
        <f>VLOOKUP(C124,'Talente &amp; Stuff'!GX:HY,14,FALSE)</f>
        <v>0</v>
      </c>
      <c r="Q124" s="114">
        <f>VLOOKUP(C124,'Talente &amp; Stuff'!GX:HY,15,FALSE)</f>
        <v>0</v>
      </c>
      <c r="R124" s="117">
        <f>VLOOKUP(C124,'Talente &amp; Stuff'!GX:HY,16,FALSE)</f>
        <v>0</v>
      </c>
      <c r="S124" s="119">
        <f>VLOOKUP(C124,'Talente &amp; Stuff'!GX:HY,17,FALSE)</f>
        <v>0</v>
      </c>
      <c r="T124" s="119">
        <f>VLOOKUP(C124,'Talente &amp; Stuff'!GX:HY,18,FALSE)</f>
        <v>0</v>
      </c>
      <c r="U124" s="89">
        <f>VLOOKUP(C124,'Talente &amp; Stuff'!GX:HY,19,FALSE)</f>
        <v>0</v>
      </c>
      <c r="V124" s="47">
        <f>VLOOKUP(C124,'Talente &amp; Stuff'!GX:HY,20,FALSE)</f>
        <v>0</v>
      </c>
      <c r="W124" s="127">
        <f>VLOOKUP(C124,'Talente &amp; Stuff'!GX:HY,21,FALSE)</f>
        <v>0</v>
      </c>
      <c r="X124" s="127">
        <f>VLOOKUP(C124,'Talente &amp; Stuff'!GX:HY,22,FALSE)</f>
        <v>0</v>
      </c>
      <c r="Y124" s="165">
        <f t="shared" si="12"/>
        <v>0</v>
      </c>
      <c r="Z124" s="44">
        <f t="shared" si="13"/>
        <v>0</v>
      </c>
      <c r="AA124" s="125">
        <f>VLOOKUP(C124,'Talente &amp; Stuff'!GX:HY,25,FALSE)</f>
        <v>0</v>
      </c>
      <c r="AB124" s="160">
        <f>VLOOKUP(C124,'Talente &amp; Stuff'!GX:HY,26,FALSE)</f>
        <v>0</v>
      </c>
      <c r="AC124" s="127">
        <f>VLOOKUP(C124,'Talente &amp; Stuff'!GX:HY,27,FALSE)</f>
        <v>0</v>
      </c>
      <c r="AD124" s="125">
        <f>VLOOKUP(C124,'Talente &amp; Stuff'!GX:HY,28,FALSE)</f>
        <v>0</v>
      </c>
      <c r="AE124" s="28"/>
    </row>
    <row r="125" spans="2:31" ht="15" hidden="1" customHeight="1" outlineLevel="2">
      <c r="B125" s="148">
        <v>26</v>
      </c>
      <c r="C125" s="177" t="str">
        <f>Attribute!C125</f>
        <v>---</v>
      </c>
      <c r="D125" s="86" t="str">
        <f>VLOOKUP(C125,'Talente &amp; Stuff'!GX:HY,2,FALSE)</f>
        <v>--/--/--</v>
      </c>
      <c r="E125" s="127" t="str">
        <f>VLOOKUP(C125,'Talente &amp; Stuff'!GX:HY,3,FALSE)</f>
        <v>-</v>
      </c>
      <c r="F125" s="114">
        <f>VLOOKUP(C125,'Talente &amp; Stuff'!GX:HY,4,FALSE)</f>
        <v>0</v>
      </c>
      <c r="G125" s="113">
        <f>VLOOKUP(C125,'Talente &amp; Stuff'!GX:HY,5,FALSE)</f>
        <v>0</v>
      </c>
      <c r="H125" s="113">
        <f>VLOOKUP(C125,'Talente &amp; Stuff'!GX:HY,6,FALSE)</f>
        <v>0</v>
      </c>
      <c r="I125" s="113">
        <f>VLOOKUP(C125,'Talente &amp; Stuff'!GX:HY,7,FALSE)</f>
        <v>0</v>
      </c>
      <c r="J125" s="113">
        <f>VLOOKUP(C125,'Talente &amp; Stuff'!GX:HY,8,FALSE)</f>
        <v>0</v>
      </c>
      <c r="K125" s="113">
        <f>VLOOKUP(C125,'Talente &amp; Stuff'!GX:HY,9,FALSE)</f>
        <v>0</v>
      </c>
      <c r="L125" s="113">
        <f>VLOOKUP(C125,'Talente &amp; Stuff'!GX:HY,10,FALSE)</f>
        <v>0</v>
      </c>
      <c r="M125" s="119">
        <f>VLOOKUP(C125,'Talente &amp; Stuff'!GX:HY,11,FALSE)</f>
        <v>0</v>
      </c>
      <c r="N125" s="47">
        <f>VLOOKUP(C125,'Talente &amp; Stuff'!GX:HY,12,FALSE)</f>
        <v>0</v>
      </c>
      <c r="O125" s="3">
        <f>VLOOKUP(C125,'Talente &amp; Stuff'!GX:HY,13,FALSE)</f>
        <v>0</v>
      </c>
      <c r="P125" s="174">
        <f>VLOOKUP(C125,'Talente &amp; Stuff'!GX:HY,14,FALSE)</f>
        <v>0</v>
      </c>
      <c r="Q125" s="114">
        <f>VLOOKUP(C125,'Talente &amp; Stuff'!GX:HY,15,FALSE)</f>
        <v>0</v>
      </c>
      <c r="R125" s="117">
        <f>VLOOKUP(C125,'Talente &amp; Stuff'!GX:HY,16,FALSE)</f>
        <v>0</v>
      </c>
      <c r="S125" s="119">
        <f>VLOOKUP(C125,'Talente &amp; Stuff'!GX:HY,17,FALSE)</f>
        <v>0</v>
      </c>
      <c r="T125" s="119">
        <f>VLOOKUP(C125,'Talente &amp; Stuff'!GX:HY,18,FALSE)</f>
        <v>0</v>
      </c>
      <c r="U125" s="89">
        <f>VLOOKUP(C125,'Talente &amp; Stuff'!GX:HY,19,FALSE)</f>
        <v>0</v>
      </c>
      <c r="V125" s="47">
        <f>VLOOKUP(C125,'Talente &amp; Stuff'!GX:HY,20,FALSE)</f>
        <v>0</v>
      </c>
      <c r="W125" s="127">
        <f>VLOOKUP(C125,'Talente &amp; Stuff'!GX:HY,21,FALSE)</f>
        <v>0</v>
      </c>
      <c r="X125" s="127">
        <f>VLOOKUP(C125,'Talente &amp; Stuff'!GX:HY,22,FALSE)</f>
        <v>0</v>
      </c>
      <c r="Y125" s="165">
        <f t="shared" si="12"/>
        <v>0</v>
      </c>
      <c r="Z125" s="44">
        <f t="shared" si="13"/>
        <v>0</v>
      </c>
      <c r="AA125" s="125">
        <f>VLOOKUP(C125,'Talente &amp; Stuff'!GX:HY,25,FALSE)</f>
        <v>0</v>
      </c>
      <c r="AB125" s="160">
        <f>VLOOKUP(C125,'Talente &amp; Stuff'!GX:HY,26,FALSE)</f>
        <v>0</v>
      </c>
      <c r="AC125" s="127">
        <f>VLOOKUP(C125,'Talente &amp; Stuff'!GX:HY,27,FALSE)</f>
        <v>0</v>
      </c>
      <c r="AD125" s="125">
        <f>VLOOKUP(C125,'Talente &amp; Stuff'!GX:HY,28,FALSE)</f>
        <v>0</v>
      </c>
      <c r="AE125" s="28"/>
    </row>
    <row r="126" spans="2:31" ht="15" hidden="1" customHeight="1" outlineLevel="2">
      <c r="B126" s="148">
        <v>27</v>
      </c>
      <c r="C126" s="178" t="str">
        <f>Attribute!C126</f>
        <v>---</v>
      </c>
      <c r="D126" s="23" t="str">
        <f>VLOOKUP(C126,'Talente &amp; Stuff'!GX:HY,2,FALSE)</f>
        <v>--/--/--</v>
      </c>
      <c r="E126" s="128" t="str">
        <f>VLOOKUP(C126,'Talente &amp; Stuff'!GX:HY,3,FALSE)</f>
        <v>-</v>
      </c>
      <c r="F126" s="115">
        <f>VLOOKUP(C126,'Talente &amp; Stuff'!GX:HY,4,FALSE)</f>
        <v>0</v>
      </c>
      <c r="G126" s="122">
        <f>VLOOKUP(C126,'Talente &amp; Stuff'!GX:HY,5,FALSE)</f>
        <v>0</v>
      </c>
      <c r="H126" s="122">
        <f>VLOOKUP(C126,'Talente &amp; Stuff'!GX:HY,6,FALSE)</f>
        <v>0</v>
      </c>
      <c r="I126" s="122">
        <f>VLOOKUP(C126,'Talente &amp; Stuff'!GX:HY,7,FALSE)</f>
        <v>0</v>
      </c>
      <c r="J126" s="122">
        <f>VLOOKUP(C126,'Talente &amp; Stuff'!GX:HY,8,FALSE)</f>
        <v>0</v>
      </c>
      <c r="K126" s="122">
        <f>VLOOKUP(C126,'Talente &amp; Stuff'!GX:HY,9,FALSE)</f>
        <v>0</v>
      </c>
      <c r="L126" s="122">
        <f>VLOOKUP(C126,'Talente &amp; Stuff'!GX:HY,10,FALSE)</f>
        <v>0</v>
      </c>
      <c r="M126" s="123">
        <f>VLOOKUP(C126,'Talente &amp; Stuff'!GX:HY,11,FALSE)</f>
        <v>0</v>
      </c>
      <c r="N126" s="88">
        <f>VLOOKUP(C126,'Talente &amp; Stuff'!GX:HY,12,FALSE)</f>
        <v>0</v>
      </c>
      <c r="O126" s="2">
        <f>VLOOKUP(C126,'Talente &amp; Stuff'!GX:HY,13,FALSE)</f>
        <v>0</v>
      </c>
      <c r="P126" s="173">
        <f>VLOOKUP(C126,'Talente &amp; Stuff'!GX:HY,14,FALSE)</f>
        <v>0</v>
      </c>
      <c r="Q126" s="115">
        <f>VLOOKUP(C126,'Talente &amp; Stuff'!GX:HY,15,FALSE)</f>
        <v>0</v>
      </c>
      <c r="R126" s="169">
        <f>VLOOKUP(C126,'Talente &amp; Stuff'!GX:HY,16,FALSE)</f>
        <v>0</v>
      </c>
      <c r="S126" s="123">
        <f>VLOOKUP(C126,'Talente &amp; Stuff'!GX:HY,17,FALSE)</f>
        <v>0</v>
      </c>
      <c r="T126" s="123">
        <f>VLOOKUP(C126,'Talente &amp; Stuff'!GX:HY,18,FALSE)</f>
        <v>0</v>
      </c>
      <c r="U126" s="90">
        <f>VLOOKUP(C126,'Talente &amp; Stuff'!GX:HY,19,FALSE)</f>
        <v>0</v>
      </c>
      <c r="V126" s="88">
        <f>VLOOKUP(C126,'Talente &amp; Stuff'!GX:HY,20,FALSE)</f>
        <v>0</v>
      </c>
      <c r="W126" s="128">
        <f>VLOOKUP(C126,'Talente &amp; Stuff'!GX:HY,21,FALSE)</f>
        <v>0</v>
      </c>
      <c r="X126" s="128">
        <f>VLOOKUP(C126,'Talente &amp; Stuff'!GX:HY,22,FALSE)</f>
        <v>0</v>
      </c>
      <c r="Y126" s="165">
        <f t="shared" si="12"/>
        <v>0</v>
      </c>
      <c r="Z126" s="44">
        <f t="shared" si="13"/>
        <v>0</v>
      </c>
      <c r="AA126" s="159">
        <f>VLOOKUP(C126,'Talente &amp; Stuff'!GX:HY,25,FALSE)</f>
        <v>0</v>
      </c>
      <c r="AB126" s="161">
        <f>VLOOKUP(C126,'Talente &amp; Stuff'!GX:HY,26,FALSE)</f>
        <v>0</v>
      </c>
      <c r="AC126" s="128">
        <f>VLOOKUP(C126,'Talente &amp; Stuff'!GX:HY,27,FALSE)</f>
        <v>0</v>
      </c>
      <c r="AD126" s="159">
        <f>VLOOKUP(C126,'Talente &amp; Stuff'!GX:HY,28,FALSE)</f>
        <v>0</v>
      </c>
      <c r="AE126" s="28"/>
    </row>
    <row r="127" spans="2:31" ht="15" hidden="1" customHeight="1" outlineLevel="1" collapsed="1">
      <c r="B127" s="134" t="s">
        <v>330</v>
      </c>
      <c r="C127" s="83"/>
      <c r="D127" s="84"/>
      <c r="E127" s="84"/>
    </row>
    <row r="128" spans="2:31" ht="15" hidden="1" customHeight="1" outlineLevel="2">
      <c r="B128" s="148">
        <v>1</v>
      </c>
      <c r="C128" s="176" t="str">
        <f>Attribute!C128</f>
        <v>---</v>
      </c>
      <c r="D128" s="158" t="str">
        <f>VLOOKUP(C128,'Talente &amp; Stuff'!GX:HY,2,FALSE)</f>
        <v>--/--/--</v>
      </c>
      <c r="E128" s="126" t="str">
        <f>VLOOKUP(C128,'Talente &amp; Stuff'!GX:HY,3,FALSE)</f>
        <v>-</v>
      </c>
      <c r="F128" s="191">
        <f>VLOOKUP(C128,'Talente &amp; Stuff'!GX:HY,4,FALSE)</f>
        <v>0</v>
      </c>
      <c r="G128" s="118">
        <f>VLOOKUP(C128,'Talente &amp; Stuff'!GX:HY,5,FALSE)</f>
        <v>0</v>
      </c>
      <c r="H128" s="118">
        <f>VLOOKUP(C128,'Talente &amp; Stuff'!GX:HY,6,FALSE)</f>
        <v>0</v>
      </c>
      <c r="I128" s="118">
        <f>VLOOKUP(C128,'Talente &amp; Stuff'!GX:HY,7,FALSE)</f>
        <v>0</v>
      </c>
      <c r="J128" s="118">
        <f>VLOOKUP(C128,'Talente &amp; Stuff'!GX:HY,8,FALSE)</f>
        <v>0</v>
      </c>
      <c r="K128" s="118">
        <f>VLOOKUP(C128,'Talente &amp; Stuff'!GX:HY,9,FALSE)</f>
        <v>0</v>
      </c>
      <c r="L128" s="118">
        <f>VLOOKUP(C128,'Talente &amp; Stuff'!GX:HY,10,FALSE)</f>
        <v>0</v>
      </c>
      <c r="M128" s="92">
        <f>VLOOKUP(C128,'Talente &amp; Stuff'!GX:HY,11,FALSE)</f>
        <v>0</v>
      </c>
      <c r="N128" s="116">
        <f>VLOOKUP(C128,'Talente &amp; Stuff'!GX:HY,12,FALSE)</f>
        <v>0</v>
      </c>
      <c r="O128" s="116">
        <f>VLOOKUP(C128,'Talente &amp; Stuff'!GX:HY,13,FALSE)</f>
        <v>0</v>
      </c>
      <c r="P128" s="92">
        <f>VLOOKUP(C128,'Talente &amp; Stuff'!GX:HY,14,FALSE)</f>
        <v>0</v>
      </c>
      <c r="Q128" s="191">
        <f>VLOOKUP(C128,'Talente &amp; Stuff'!GX:HY,15,FALSE)</f>
        <v>0</v>
      </c>
      <c r="R128" s="118">
        <f>VLOOKUP(C128,'Talente &amp; Stuff'!GX:HY,16,FALSE)</f>
        <v>0</v>
      </c>
      <c r="S128" s="92">
        <f>VLOOKUP(C128,'Talente &amp; Stuff'!GX:HY,17,FALSE)</f>
        <v>0</v>
      </c>
      <c r="T128" s="92">
        <f>VLOOKUP(C128,'Talente &amp; Stuff'!GX:HY,18,FALSE)</f>
        <v>0</v>
      </c>
      <c r="U128" s="193">
        <f>VLOOKUP(C128,'Talente &amp; Stuff'!GX:HY,19,FALSE)</f>
        <v>0</v>
      </c>
      <c r="V128" s="116">
        <f>VLOOKUP(C128,'Talente &amp; Stuff'!GX:HY,20,FALSE)</f>
        <v>0</v>
      </c>
      <c r="W128" s="126">
        <f>VLOOKUP(C128,'Talente &amp; Stuff'!GX:HY,21,FALSE)</f>
        <v>0</v>
      </c>
      <c r="X128" s="126">
        <f>VLOOKUP(C128,'Talente &amp; Stuff'!GX:HY,22,FALSE)</f>
        <v>0</v>
      </c>
      <c r="Y128" s="165">
        <f t="shared" ref="Y128:Y151" si="14">VLOOKUP(C128,Ausgewählte_Zauber_Elfen,226,FALSE)</f>
        <v>0</v>
      </c>
      <c r="Z128" s="44">
        <f t="shared" ref="Z128:Z151" si="15">VLOOKUP(C128,Ausgewählte_Zauber_Elfen,227,FALSE)</f>
        <v>0</v>
      </c>
      <c r="AA128" s="158">
        <f>VLOOKUP(C128,'Talente &amp; Stuff'!GX:HY,25,FALSE)</f>
        <v>0</v>
      </c>
      <c r="AB128" s="91">
        <f>VLOOKUP(C128,'Talente &amp; Stuff'!GX:HY,26,FALSE)</f>
        <v>0</v>
      </c>
      <c r="AC128" s="126">
        <f>VLOOKUP(C128,'Talente &amp; Stuff'!GX:HY,27,FALSE)</f>
        <v>0</v>
      </c>
      <c r="AD128" s="158">
        <f>VLOOKUP(C128,'Talente &amp; Stuff'!GX:HY,28,FALSE)</f>
        <v>0</v>
      </c>
      <c r="AE128" s="28"/>
    </row>
    <row r="129" spans="2:31" ht="15" hidden="1" customHeight="1" outlineLevel="2">
      <c r="B129" s="148">
        <v>2</v>
      </c>
      <c r="C129" s="177" t="str">
        <f>Attribute!C129</f>
        <v>---</v>
      </c>
      <c r="D129" s="125" t="str">
        <f>VLOOKUP(C129,'Talente &amp; Stuff'!GX:HY,2,FALSE)</f>
        <v>--/--/--</v>
      </c>
      <c r="E129" s="127" t="str">
        <f>VLOOKUP(C129,'Talente &amp; Stuff'!GX:HY,3,FALSE)</f>
        <v>-</v>
      </c>
      <c r="F129" s="114">
        <f>VLOOKUP(C129,'Talente &amp; Stuff'!GX:HY,4,FALSE)</f>
        <v>0</v>
      </c>
      <c r="G129" s="113">
        <f>VLOOKUP(C129,'Talente &amp; Stuff'!GX:HY,5,FALSE)</f>
        <v>0</v>
      </c>
      <c r="H129" s="113">
        <f>VLOOKUP(C129,'Talente &amp; Stuff'!GX:HY,6,FALSE)</f>
        <v>0</v>
      </c>
      <c r="I129" s="113">
        <f>VLOOKUP(C129,'Talente &amp; Stuff'!GX:HY,7,FALSE)</f>
        <v>0</v>
      </c>
      <c r="J129" s="113">
        <f>VLOOKUP(C129,'Talente &amp; Stuff'!GX:HY,8,FALSE)</f>
        <v>0</v>
      </c>
      <c r="K129" s="113">
        <f>VLOOKUP(C129,'Talente &amp; Stuff'!GX:HY,9,FALSE)</f>
        <v>0</v>
      </c>
      <c r="L129" s="113">
        <f>VLOOKUP(C129,'Talente &amp; Stuff'!GX:HY,10,FALSE)</f>
        <v>0</v>
      </c>
      <c r="M129" s="119">
        <f>VLOOKUP(C129,'Talente &amp; Stuff'!GX:HY,11,FALSE)</f>
        <v>0</v>
      </c>
      <c r="N129" s="47">
        <f>VLOOKUP(C129,'Talente &amp; Stuff'!GX:HY,12,FALSE)</f>
        <v>0</v>
      </c>
      <c r="O129" s="47">
        <f>VLOOKUP(C129,'Talente &amp; Stuff'!GX:HY,13,FALSE)</f>
        <v>0</v>
      </c>
      <c r="P129" s="119">
        <f>VLOOKUP(C129,'Talente &amp; Stuff'!GX:HY,14,FALSE)</f>
        <v>0</v>
      </c>
      <c r="Q129" s="114">
        <f>VLOOKUP(C129,'Talente &amp; Stuff'!GX:HY,15,FALSE)</f>
        <v>0</v>
      </c>
      <c r="R129" s="113">
        <f>VLOOKUP(C129,'Talente &amp; Stuff'!GX:HY,16,FALSE)</f>
        <v>0</v>
      </c>
      <c r="S129" s="119">
        <f>VLOOKUP(C129,'Talente &amp; Stuff'!GX:HY,17,FALSE)</f>
        <v>0</v>
      </c>
      <c r="T129" s="119">
        <f>VLOOKUP(C129,'Talente &amp; Stuff'!GX:HY,18,FALSE)</f>
        <v>0</v>
      </c>
      <c r="U129" s="89">
        <f>VLOOKUP(C129,'Talente &amp; Stuff'!GX:HY,19,FALSE)</f>
        <v>0</v>
      </c>
      <c r="V129" s="47">
        <f>VLOOKUP(C129,'Talente &amp; Stuff'!GX:HY,20,FALSE)</f>
        <v>0</v>
      </c>
      <c r="W129" s="127">
        <f>VLOOKUP(C129,'Talente &amp; Stuff'!GX:HY,21,FALSE)</f>
        <v>0</v>
      </c>
      <c r="X129" s="127">
        <f>VLOOKUP(C129,'Talente &amp; Stuff'!GX:HY,22,FALSE)</f>
        <v>0</v>
      </c>
      <c r="Y129" s="165">
        <f t="shared" si="14"/>
        <v>0</v>
      </c>
      <c r="Z129" s="44">
        <f t="shared" si="15"/>
        <v>0</v>
      </c>
      <c r="AA129" s="125">
        <f>VLOOKUP(C129,'Talente &amp; Stuff'!GX:HY,25,FALSE)</f>
        <v>0</v>
      </c>
      <c r="AB129" s="160">
        <f>VLOOKUP(C129,'Talente &amp; Stuff'!GX:HY,26,FALSE)</f>
        <v>0</v>
      </c>
      <c r="AC129" s="127">
        <f>VLOOKUP(C129,'Talente &amp; Stuff'!GX:HY,27,FALSE)</f>
        <v>0</v>
      </c>
      <c r="AD129" s="125">
        <f>VLOOKUP(C129,'Talente &amp; Stuff'!GX:HY,28,FALSE)</f>
        <v>0</v>
      </c>
      <c r="AE129" s="28"/>
    </row>
    <row r="130" spans="2:31" ht="15" hidden="1" customHeight="1" outlineLevel="2">
      <c r="B130" s="148">
        <v>3</v>
      </c>
      <c r="C130" s="177" t="str">
        <f>Attribute!C130</f>
        <v>---</v>
      </c>
      <c r="D130" s="125" t="str">
        <f>VLOOKUP(C130,'Talente &amp; Stuff'!GX:HY,2,FALSE)</f>
        <v>--/--/--</v>
      </c>
      <c r="E130" s="127" t="str">
        <f>VLOOKUP(C130,'Talente &amp; Stuff'!GX:HY,3,FALSE)</f>
        <v>-</v>
      </c>
      <c r="F130" s="114">
        <f>VLOOKUP(C130,'Talente &amp; Stuff'!GX:HY,4,FALSE)</f>
        <v>0</v>
      </c>
      <c r="G130" s="113">
        <f>VLOOKUP(C130,'Talente &amp; Stuff'!GX:HY,5,FALSE)</f>
        <v>0</v>
      </c>
      <c r="H130" s="113">
        <f>VLOOKUP(C130,'Talente &amp; Stuff'!GX:HY,6,FALSE)</f>
        <v>0</v>
      </c>
      <c r="I130" s="113">
        <f>VLOOKUP(C130,'Talente &amp; Stuff'!GX:HY,7,FALSE)</f>
        <v>0</v>
      </c>
      <c r="J130" s="113">
        <f>VLOOKUP(C130,'Talente &amp; Stuff'!GX:HY,8,FALSE)</f>
        <v>0</v>
      </c>
      <c r="K130" s="113">
        <f>VLOOKUP(C130,'Talente &amp; Stuff'!GX:HY,9,FALSE)</f>
        <v>0</v>
      </c>
      <c r="L130" s="113">
        <f>VLOOKUP(C130,'Talente &amp; Stuff'!GX:HY,10,FALSE)</f>
        <v>0</v>
      </c>
      <c r="M130" s="119">
        <f>VLOOKUP(C130,'Talente &amp; Stuff'!GX:HY,11,FALSE)</f>
        <v>0</v>
      </c>
      <c r="N130" s="47">
        <f>VLOOKUP(C130,'Talente &amp; Stuff'!GX:HY,12,FALSE)</f>
        <v>0</v>
      </c>
      <c r="O130" s="47">
        <f>VLOOKUP(C130,'Talente &amp; Stuff'!GX:HY,13,FALSE)</f>
        <v>0</v>
      </c>
      <c r="P130" s="119">
        <f>VLOOKUP(C130,'Talente &amp; Stuff'!GX:HY,14,FALSE)</f>
        <v>0</v>
      </c>
      <c r="Q130" s="114">
        <f>VLOOKUP(C130,'Talente &amp; Stuff'!GX:HY,15,FALSE)</f>
        <v>0</v>
      </c>
      <c r="R130" s="113">
        <f>VLOOKUP(C130,'Talente &amp; Stuff'!GX:HY,16,FALSE)</f>
        <v>0</v>
      </c>
      <c r="S130" s="119">
        <f>VLOOKUP(C130,'Talente &amp; Stuff'!GX:HY,17,FALSE)</f>
        <v>0</v>
      </c>
      <c r="T130" s="119">
        <f>VLOOKUP(C130,'Talente &amp; Stuff'!GX:HY,18,FALSE)</f>
        <v>0</v>
      </c>
      <c r="U130" s="89">
        <f>VLOOKUP(C130,'Talente &amp; Stuff'!GX:HY,19,FALSE)</f>
        <v>0</v>
      </c>
      <c r="V130" s="47">
        <f>VLOOKUP(C130,'Talente &amp; Stuff'!GX:HY,20,FALSE)</f>
        <v>0</v>
      </c>
      <c r="W130" s="127">
        <f>VLOOKUP(C130,'Talente &amp; Stuff'!GX:HY,21,FALSE)</f>
        <v>0</v>
      </c>
      <c r="X130" s="127">
        <f>VLOOKUP(C130,'Talente &amp; Stuff'!GX:HY,22,FALSE)</f>
        <v>0</v>
      </c>
      <c r="Y130" s="165">
        <f t="shared" si="14"/>
        <v>0</v>
      </c>
      <c r="Z130" s="44">
        <f t="shared" si="15"/>
        <v>0</v>
      </c>
      <c r="AA130" s="125">
        <f>VLOOKUP(C130,'Talente &amp; Stuff'!GX:HY,25,FALSE)</f>
        <v>0</v>
      </c>
      <c r="AB130" s="160">
        <f>VLOOKUP(C130,'Talente &amp; Stuff'!GX:HY,26,FALSE)</f>
        <v>0</v>
      </c>
      <c r="AC130" s="127">
        <f>VLOOKUP(C130,'Talente &amp; Stuff'!GX:HY,27,FALSE)</f>
        <v>0</v>
      </c>
      <c r="AD130" s="125">
        <f>VLOOKUP(C130,'Talente &amp; Stuff'!GX:HY,28,FALSE)</f>
        <v>0</v>
      </c>
      <c r="AE130" s="28"/>
    </row>
    <row r="131" spans="2:31" ht="15" hidden="1" customHeight="1" outlineLevel="2">
      <c r="B131" s="148">
        <v>4</v>
      </c>
      <c r="C131" s="177" t="str">
        <f>Attribute!C131</f>
        <v>---</v>
      </c>
      <c r="D131" s="125" t="str">
        <f>VLOOKUP(C131,'Talente &amp; Stuff'!GX:HY,2,FALSE)</f>
        <v>--/--/--</v>
      </c>
      <c r="E131" s="127" t="str">
        <f>VLOOKUP(C131,'Talente &amp; Stuff'!GX:HY,3,FALSE)</f>
        <v>-</v>
      </c>
      <c r="F131" s="114">
        <f>VLOOKUP(C131,'Talente &amp; Stuff'!GX:HY,4,FALSE)</f>
        <v>0</v>
      </c>
      <c r="G131" s="113">
        <f>VLOOKUP(C131,'Talente &amp; Stuff'!GX:HY,5,FALSE)</f>
        <v>0</v>
      </c>
      <c r="H131" s="113">
        <f>VLOOKUP(C131,'Talente &amp; Stuff'!GX:HY,6,FALSE)</f>
        <v>0</v>
      </c>
      <c r="I131" s="113">
        <f>VLOOKUP(C131,'Talente &amp; Stuff'!GX:HY,7,FALSE)</f>
        <v>0</v>
      </c>
      <c r="J131" s="113">
        <f>VLOOKUP(C131,'Talente &amp; Stuff'!GX:HY,8,FALSE)</f>
        <v>0</v>
      </c>
      <c r="K131" s="113">
        <f>VLOOKUP(C131,'Talente &amp; Stuff'!GX:HY,9,FALSE)</f>
        <v>0</v>
      </c>
      <c r="L131" s="113">
        <f>VLOOKUP(C131,'Talente &amp; Stuff'!GX:HY,10,FALSE)</f>
        <v>0</v>
      </c>
      <c r="M131" s="119">
        <f>VLOOKUP(C131,'Talente &amp; Stuff'!GX:HY,11,FALSE)</f>
        <v>0</v>
      </c>
      <c r="N131" s="47">
        <f>VLOOKUP(C131,'Talente &amp; Stuff'!GX:HY,12,FALSE)</f>
        <v>0</v>
      </c>
      <c r="O131" s="47">
        <f>VLOOKUP(C131,'Talente &amp; Stuff'!GX:HY,13,FALSE)</f>
        <v>0</v>
      </c>
      <c r="P131" s="119">
        <f>VLOOKUP(C131,'Talente &amp; Stuff'!GX:HY,14,FALSE)</f>
        <v>0</v>
      </c>
      <c r="Q131" s="114">
        <f>VLOOKUP(C131,'Talente &amp; Stuff'!GX:HY,15,FALSE)</f>
        <v>0</v>
      </c>
      <c r="R131" s="113">
        <f>VLOOKUP(C131,'Talente &amp; Stuff'!GX:HY,16,FALSE)</f>
        <v>0</v>
      </c>
      <c r="S131" s="119">
        <f>VLOOKUP(C131,'Talente &amp; Stuff'!GX:HY,17,FALSE)</f>
        <v>0</v>
      </c>
      <c r="T131" s="119">
        <f>VLOOKUP(C131,'Talente &amp; Stuff'!GX:HY,18,FALSE)</f>
        <v>0</v>
      </c>
      <c r="U131" s="89">
        <f>VLOOKUP(C131,'Talente &amp; Stuff'!GX:HY,19,FALSE)</f>
        <v>0</v>
      </c>
      <c r="V131" s="47">
        <f>VLOOKUP(C131,'Talente &amp; Stuff'!GX:HY,20,FALSE)</f>
        <v>0</v>
      </c>
      <c r="W131" s="127">
        <f>VLOOKUP(C131,'Talente &amp; Stuff'!GX:HY,21,FALSE)</f>
        <v>0</v>
      </c>
      <c r="X131" s="127">
        <f>VLOOKUP(C131,'Talente &amp; Stuff'!GX:HY,22,FALSE)</f>
        <v>0</v>
      </c>
      <c r="Y131" s="165">
        <f t="shared" si="14"/>
        <v>0</v>
      </c>
      <c r="Z131" s="44">
        <f t="shared" si="15"/>
        <v>0</v>
      </c>
      <c r="AA131" s="125">
        <f>VLOOKUP(C131,'Talente &amp; Stuff'!GX:HY,25,FALSE)</f>
        <v>0</v>
      </c>
      <c r="AB131" s="160">
        <f>VLOOKUP(C131,'Talente &amp; Stuff'!GX:HY,26,FALSE)</f>
        <v>0</v>
      </c>
      <c r="AC131" s="127">
        <f>VLOOKUP(C131,'Talente &amp; Stuff'!GX:HY,27,FALSE)</f>
        <v>0</v>
      </c>
      <c r="AD131" s="125">
        <f>VLOOKUP(C131,'Talente &amp; Stuff'!GX:HY,28,FALSE)</f>
        <v>0</v>
      </c>
      <c r="AE131" s="28"/>
    </row>
    <row r="132" spans="2:31" ht="15" hidden="1" customHeight="1" outlineLevel="2">
      <c r="B132" s="148">
        <v>5</v>
      </c>
      <c r="C132" s="177" t="str">
        <f>Attribute!C132</f>
        <v>---</v>
      </c>
      <c r="D132" s="125" t="str">
        <f>VLOOKUP(C132,'Talente &amp; Stuff'!GX:HY,2,FALSE)</f>
        <v>--/--/--</v>
      </c>
      <c r="E132" s="127" t="str">
        <f>VLOOKUP(C132,'Talente &amp; Stuff'!GX:HY,3,FALSE)</f>
        <v>-</v>
      </c>
      <c r="F132" s="114">
        <f>VLOOKUP(C132,'Talente &amp; Stuff'!GX:HY,4,FALSE)</f>
        <v>0</v>
      </c>
      <c r="G132" s="113">
        <f>VLOOKUP(C132,'Talente &amp; Stuff'!GX:HY,5,FALSE)</f>
        <v>0</v>
      </c>
      <c r="H132" s="113">
        <f>VLOOKUP(C132,'Talente &amp; Stuff'!GX:HY,6,FALSE)</f>
        <v>0</v>
      </c>
      <c r="I132" s="113">
        <f>VLOOKUP(C132,'Talente &amp; Stuff'!GX:HY,7,FALSE)</f>
        <v>0</v>
      </c>
      <c r="J132" s="113">
        <f>VLOOKUP(C132,'Talente &amp; Stuff'!GX:HY,8,FALSE)</f>
        <v>0</v>
      </c>
      <c r="K132" s="113">
        <f>VLOOKUP(C132,'Talente &amp; Stuff'!GX:HY,9,FALSE)</f>
        <v>0</v>
      </c>
      <c r="L132" s="113">
        <f>VLOOKUP(C132,'Talente &amp; Stuff'!GX:HY,10,FALSE)</f>
        <v>0</v>
      </c>
      <c r="M132" s="119">
        <f>VLOOKUP(C132,'Talente &amp; Stuff'!GX:HY,11,FALSE)</f>
        <v>0</v>
      </c>
      <c r="N132" s="47">
        <f>VLOOKUP(C132,'Talente &amp; Stuff'!GX:HY,12,FALSE)</f>
        <v>0</v>
      </c>
      <c r="O132" s="47">
        <f>VLOOKUP(C132,'Talente &amp; Stuff'!GX:HY,13,FALSE)</f>
        <v>0</v>
      </c>
      <c r="P132" s="119">
        <f>VLOOKUP(C132,'Talente &amp; Stuff'!GX:HY,14,FALSE)</f>
        <v>0</v>
      </c>
      <c r="Q132" s="114">
        <f>VLOOKUP(C132,'Talente &amp; Stuff'!GX:HY,15,FALSE)</f>
        <v>0</v>
      </c>
      <c r="R132" s="113">
        <f>VLOOKUP(C132,'Talente &amp; Stuff'!GX:HY,16,FALSE)</f>
        <v>0</v>
      </c>
      <c r="S132" s="119">
        <f>VLOOKUP(C132,'Talente &amp; Stuff'!GX:HY,17,FALSE)</f>
        <v>0</v>
      </c>
      <c r="T132" s="119">
        <f>VLOOKUP(C132,'Talente &amp; Stuff'!GX:HY,18,FALSE)</f>
        <v>0</v>
      </c>
      <c r="U132" s="89">
        <f>VLOOKUP(C132,'Talente &amp; Stuff'!GX:HY,19,FALSE)</f>
        <v>0</v>
      </c>
      <c r="V132" s="47">
        <f>VLOOKUP(C132,'Talente &amp; Stuff'!GX:HY,20,FALSE)</f>
        <v>0</v>
      </c>
      <c r="W132" s="127">
        <f>VLOOKUP(C132,'Talente &amp; Stuff'!GX:HY,21,FALSE)</f>
        <v>0</v>
      </c>
      <c r="X132" s="127">
        <f>VLOOKUP(C132,'Talente &amp; Stuff'!GX:HY,22,FALSE)</f>
        <v>0</v>
      </c>
      <c r="Y132" s="165">
        <f t="shared" si="14"/>
        <v>0</v>
      </c>
      <c r="Z132" s="44">
        <f t="shared" si="15"/>
        <v>0</v>
      </c>
      <c r="AA132" s="125">
        <f>VLOOKUP(C132,'Talente &amp; Stuff'!GX:HY,25,FALSE)</f>
        <v>0</v>
      </c>
      <c r="AB132" s="160">
        <f>VLOOKUP(C132,'Talente &amp; Stuff'!GX:HY,26,FALSE)</f>
        <v>0</v>
      </c>
      <c r="AC132" s="127">
        <f>VLOOKUP(C132,'Talente &amp; Stuff'!GX:HY,27,FALSE)</f>
        <v>0</v>
      </c>
      <c r="AD132" s="125">
        <f>VLOOKUP(C132,'Talente &amp; Stuff'!GX:HY,28,FALSE)</f>
        <v>0</v>
      </c>
      <c r="AE132" s="28"/>
    </row>
    <row r="133" spans="2:31" ht="15" hidden="1" customHeight="1" outlineLevel="2">
      <c r="B133" s="148">
        <v>6</v>
      </c>
      <c r="C133" s="177" t="str">
        <f>Attribute!C133</f>
        <v>---</v>
      </c>
      <c r="D133" s="125" t="str">
        <f>VLOOKUP(C133,'Talente &amp; Stuff'!GX:HY,2,FALSE)</f>
        <v>--/--/--</v>
      </c>
      <c r="E133" s="127" t="str">
        <f>VLOOKUP(C133,'Talente &amp; Stuff'!GX:HY,3,FALSE)</f>
        <v>-</v>
      </c>
      <c r="F133" s="114">
        <f>VLOOKUP(C133,'Talente &amp; Stuff'!GX:HY,4,FALSE)</f>
        <v>0</v>
      </c>
      <c r="G133" s="113">
        <f>VLOOKUP(C133,'Talente &amp; Stuff'!GX:HY,5,FALSE)</f>
        <v>0</v>
      </c>
      <c r="H133" s="113">
        <f>VLOOKUP(C133,'Talente &amp; Stuff'!GX:HY,6,FALSE)</f>
        <v>0</v>
      </c>
      <c r="I133" s="113">
        <f>VLOOKUP(C133,'Talente &amp; Stuff'!GX:HY,7,FALSE)</f>
        <v>0</v>
      </c>
      <c r="J133" s="113">
        <f>VLOOKUP(C133,'Talente &amp; Stuff'!GX:HY,8,FALSE)</f>
        <v>0</v>
      </c>
      <c r="K133" s="113">
        <f>VLOOKUP(C133,'Talente &amp; Stuff'!GX:HY,9,FALSE)</f>
        <v>0</v>
      </c>
      <c r="L133" s="113">
        <f>VLOOKUP(C133,'Talente &amp; Stuff'!GX:HY,10,FALSE)</f>
        <v>0</v>
      </c>
      <c r="M133" s="119">
        <f>VLOOKUP(C133,'Talente &amp; Stuff'!GX:HY,11,FALSE)</f>
        <v>0</v>
      </c>
      <c r="N133" s="47">
        <f>VLOOKUP(C133,'Talente &amp; Stuff'!GX:HY,12,FALSE)</f>
        <v>0</v>
      </c>
      <c r="O133" s="47">
        <f>VLOOKUP(C133,'Talente &amp; Stuff'!GX:HY,13,FALSE)</f>
        <v>0</v>
      </c>
      <c r="P133" s="119">
        <f>VLOOKUP(C133,'Talente &amp; Stuff'!GX:HY,14,FALSE)</f>
        <v>0</v>
      </c>
      <c r="Q133" s="114">
        <f>VLOOKUP(C133,'Talente &amp; Stuff'!GX:HY,15,FALSE)</f>
        <v>0</v>
      </c>
      <c r="R133" s="113">
        <f>VLOOKUP(C133,'Talente &amp; Stuff'!GX:HY,16,FALSE)</f>
        <v>0</v>
      </c>
      <c r="S133" s="119">
        <f>VLOOKUP(C133,'Talente &amp; Stuff'!GX:HY,17,FALSE)</f>
        <v>0</v>
      </c>
      <c r="T133" s="119">
        <f>VLOOKUP(C133,'Talente &amp; Stuff'!GX:HY,18,FALSE)</f>
        <v>0</v>
      </c>
      <c r="U133" s="89">
        <f>VLOOKUP(C133,'Talente &amp; Stuff'!GX:HY,19,FALSE)</f>
        <v>0</v>
      </c>
      <c r="V133" s="47">
        <f>VLOOKUP(C133,'Talente &amp; Stuff'!GX:HY,20,FALSE)</f>
        <v>0</v>
      </c>
      <c r="W133" s="127">
        <f>VLOOKUP(C133,'Talente &amp; Stuff'!GX:HY,21,FALSE)</f>
        <v>0</v>
      </c>
      <c r="X133" s="127">
        <f>VLOOKUP(C133,'Talente &amp; Stuff'!GX:HY,22,FALSE)</f>
        <v>0</v>
      </c>
      <c r="Y133" s="165">
        <f t="shared" si="14"/>
        <v>0</v>
      </c>
      <c r="Z133" s="44">
        <f t="shared" si="15"/>
        <v>0</v>
      </c>
      <c r="AA133" s="125">
        <f>VLOOKUP(C133,'Talente &amp; Stuff'!GX:HY,25,FALSE)</f>
        <v>0</v>
      </c>
      <c r="AB133" s="160">
        <f>VLOOKUP(C133,'Talente &amp; Stuff'!GX:HY,26,FALSE)</f>
        <v>0</v>
      </c>
      <c r="AC133" s="127">
        <f>VLOOKUP(C133,'Talente &amp; Stuff'!GX:HY,27,FALSE)</f>
        <v>0</v>
      </c>
      <c r="AD133" s="125">
        <f>VLOOKUP(C133,'Talente &amp; Stuff'!GX:HY,28,FALSE)</f>
        <v>0</v>
      </c>
      <c r="AE133" s="28"/>
    </row>
    <row r="134" spans="2:31" ht="15" hidden="1" customHeight="1" outlineLevel="2">
      <c r="B134" s="148">
        <v>7</v>
      </c>
      <c r="C134" s="177" t="str">
        <f>Attribute!C134</f>
        <v>---</v>
      </c>
      <c r="D134" s="125" t="str">
        <f>VLOOKUP(C134,'Talente &amp; Stuff'!GX:HY,2,FALSE)</f>
        <v>--/--/--</v>
      </c>
      <c r="E134" s="127" t="str">
        <f>VLOOKUP(C134,'Talente &amp; Stuff'!GX:HY,3,FALSE)</f>
        <v>-</v>
      </c>
      <c r="F134" s="114">
        <f>VLOOKUP(C134,'Talente &amp; Stuff'!GX:HY,4,FALSE)</f>
        <v>0</v>
      </c>
      <c r="G134" s="113">
        <f>VLOOKUP(C134,'Talente &amp; Stuff'!GX:HY,5,FALSE)</f>
        <v>0</v>
      </c>
      <c r="H134" s="113">
        <f>VLOOKUP(C134,'Talente &amp; Stuff'!GX:HY,6,FALSE)</f>
        <v>0</v>
      </c>
      <c r="I134" s="113">
        <f>VLOOKUP(C134,'Talente &amp; Stuff'!GX:HY,7,FALSE)</f>
        <v>0</v>
      </c>
      <c r="J134" s="113">
        <f>VLOOKUP(C134,'Talente &amp; Stuff'!GX:HY,8,FALSE)</f>
        <v>0</v>
      </c>
      <c r="K134" s="113">
        <f>VLOOKUP(C134,'Talente &amp; Stuff'!GX:HY,9,FALSE)</f>
        <v>0</v>
      </c>
      <c r="L134" s="113">
        <f>VLOOKUP(C134,'Talente &amp; Stuff'!GX:HY,10,FALSE)</f>
        <v>0</v>
      </c>
      <c r="M134" s="119">
        <f>VLOOKUP(C134,'Talente &amp; Stuff'!GX:HY,11,FALSE)</f>
        <v>0</v>
      </c>
      <c r="N134" s="47">
        <f>VLOOKUP(C134,'Talente &amp; Stuff'!GX:HY,12,FALSE)</f>
        <v>0</v>
      </c>
      <c r="O134" s="47">
        <f>VLOOKUP(C134,'Talente &amp; Stuff'!GX:HY,13,FALSE)</f>
        <v>0</v>
      </c>
      <c r="P134" s="119">
        <f>VLOOKUP(C134,'Talente &amp; Stuff'!GX:HY,14,FALSE)</f>
        <v>0</v>
      </c>
      <c r="Q134" s="114">
        <f>VLOOKUP(C134,'Talente &amp; Stuff'!GX:HY,15,FALSE)</f>
        <v>0</v>
      </c>
      <c r="R134" s="113">
        <f>VLOOKUP(C134,'Talente &amp; Stuff'!GX:HY,16,FALSE)</f>
        <v>0</v>
      </c>
      <c r="S134" s="119">
        <f>VLOOKUP(C134,'Talente &amp; Stuff'!GX:HY,17,FALSE)</f>
        <v>0</v>
      </c>
      <c r="T134" s="119">
        <f>VLOOKUP(C134,'Talente &amp; Stuff'!GX:HY,18,FALSE)</f>
        <v>0</v>
      </c>
      <c r="U134" s="89">
        <f>VLOOKUP(C134,'Talente &amp; Stuff'!GX:HY,19,FALSE)</f>
        <v>0</v>
      </c>
      <c r="V134" s="47">
        <f>VLOOKUP(C134,'Talente &amp; Stuff'!GX:HY,20,FALSE)</f>
        <v>0</v>
      </c>
      <c r="W134" s="127">
        <f>VLOOKUP(C134,'Talente &amp; Stuff'!GX:HY,21,FALSE)</f>
        <v>0</v>
      </c>
      <c r="X134" s="127">
        <f>VLOOKUP(C134,'Talente &amp; Stuff'!GX:HY,22,FALSE)</f>
        <v>0</v>
      </c>
      <c r="Y134" s="165">
        <f t="shared" si="14"/>
        <v>0</v>
      </c>
      <c r="Z134" s="44">
        <f t="shared" si="15"/>
        <v>0</v>
      </c>
      <c r="AA134" s="125">
        <f>VLOOKUP(C134,'Talente &amp; Stuff'!GX:HY,25,FALSE)</f>
        <v>0</v>
      </c>
      <c r="AB134" s="160">
        <f>VLOOKUP(C134,'Talente &amp; Stuff'!GX:HY,26,FALSE)</f>
        <v>0</v>
      </c>
      <c r="AC134" s="127">
        <f>VLOOKUP(C134,'Talente &amp; Stuff'!GX:HY,27,FALSE)</f>
        <v>0</v>
      </c>
      <c r="AD134" s="125">
        <f>VLOOKUP(C134,'Talente &amp; Stuff'!GX:HY,28,FALSE)</f>
        <v>0</v>
      </c>
      <c r="AE134" s="28"/>
    </row>
    <row r="135" spans="2:31" ht="15" hidden="1" customHeight="1" outlineLevel="2">
      <c r="B135" s="148">
        <v>8</v>
      </c>
      <c r="C135" s="177" t="str">
        <f>Attribute!C135</f>
        <v>---</v>
      </c>
      <c r="D135" s="125" t="str">
        <f>VLOOKUP(C135,'Talente &amp; Stuff'!GX:HY,2,FALSE)</f>
        <v>--/--/--</v>
      </c>
      <c r="E135" s="127" t="str">
        <f>VLOOKUP(C135,'Talente &amp; Stuff'!GX:HY,3,FALSE)</f>
        <v>-</v>
      </c>
      <c r="F135" s="114">
        <f>VLOOKUP(C135,'Talente &amp; Stuff'!GX:HY,4,FALSE)</f>
        <v>0</v>
      </c>
      <c r="G135" s="113">
        <f>VLOOKUP(C135,'Talente &amp; Stuff'!GX:HY,5,FALSE)</f>
        <v>0</v>
      </c>
      <c r="H135" s="113">
        <f>VLOOKUP(C135,'Talente &amp; Stuff'!GX:HY,6,FALSE)</f>
        <v>0</v>
      </c>
      <c r="I135" s="113">
        <f>VLOOKUP(C135,'Talente &amp; Stuff'!GX:HY,7,FALSE)</f>
        <v>0</v>
      </c>
      <c r="J135" s="113">
        <f>VLOOKUP(C135,'Talente &amp; Stuff'!GX:HY,8,FALSE)</f>
        <v>0</v>
      </c>
      <c r="K135" s="113">
        <f>VLOOKUP(C135,'Talente &amp; Stuff'!GX:HY,9,FALSE)</f>
        <v>0</v>
      </c>
      <c r="L135" s="113">
        <f>VLOOKUP(C135,'Talente &amp; Stuff'!GX:HY,10,FALSE)</f>
        <v>0</v>
      </c>
      <c r="M135" s="119">
        <f>VLOOKUP(C135,'Talente &amp; Stuff'!GX:HY,11,FALSE)</f>
        <v>0</v>
      </c>
      <c r="N135" s="47">
        <f>VLOOKUP(C135,'Talente &amp; Stuff'!GX:HY,12,FALSE)</f>
        <v>0</v>
      </c>
      <c r="O135" s="47">
        <f>VLOOKUP(C135,'Talente &amp; Stuff'!GX:HY,13,FALSE)</f>
        <v>0</v>
      </c>
      <c r="P135" s="119">
        <f>VLOOKUP(C135,'Talente &amp; Stuff'!GX:HY,14,FALSE)</f>
        <v>0</v>
      </c>
      <c r="Q135" s="114">
        <f>VLOOKUP(C135,'Talente &amp; Stuff'!GX:HY,15,FALSE)</f>
        <v>0</v>
      </c>
      <c r="R135" s="113">
        <f>VLOOKUP(C135,'Talente &amp; Stuff'!GX:HY,16,FALSE)</f>
        <v>0</v>
      </c>
      <c r="S135" s="119">
        <f>VLOOKUP(C135,'Talente &amp; Stuff'!GX:HY,17,FALSE)</f>
        <v>0</v>
      </c>
      <c r="T135" s="119">
        <f>VLOOKUP(C135,'Talente &amp; Stuff'!GX:HY,18,FALSE)</f>
        <v>0</v>
      </c>
      <c r="U135" s="89">
        <f>VLOOKUP(C135,'Talente &amp; Stuff'!GX:HY,19,FALSE)</f>
        <v>0</v>
      </c>
      <c r="V135" s="47">
        <f>VLOOKUP(C135,'Talente &amp; Stuff'!GX:HY,20,FALSE)</f>
        <v>0</v>
      </c>
      <c r="W135" s="127">
        <f>VLOOKUP(C135,'Talente &amp; Stuff'!GX:HY,21,FALSE)</f>
        <v>0</v>
      </c>
      <c r="X135" s="127">
        <f>VLOOKUP(C135,'Talente &amp; Stuff'!GX:HY,22,FALSE)</f>
        <v>0</v>
      </c>
      <c r="Y135" s="165">
        <f t="shared" si="14"/>
        <v>0</v>
      </c>
      <c r="Z135" s="44">
        <f t="shared" si="15"/>
        <v>0</v>
      </c>
      <c r="AA135" s="125">
        <f>VLOOKUP(C135,'Talente &amp; Stuff'!GX:HY,25,FALSE)</f>
        <v>0</v>
      </c>
      <c r="AB135" s="160">
        <f>VLOOKUP(C135,'Talente &amp; Stuff'!GX:HY,26,FALSE)</f>
        <v>0</v>
      </c>
      <c r="AC135" s="127">
        <f>VLOOKUP(C135,'Talente &amp; Stuff'!GX:HY,27,FALSE)</f>
        <v>0</v>
      </c>
      <c r="AD135" s="125">
        <f>VLOOKUP(C135,'Talente &amp; Stuff'!GX:HY,28,FALSE)</f>
        <v>0</v>
      </c>
      <c r="AE135" s="28"/>
    </row>
    <row r="136" spans="2:31" ht="15" hidden="1" customHeight="1" outlineLevel="2">
      <c r="B136" s="148">
        <v>9</v>
      </c>
      <c r="C136" s="177" t="str">
        <f>Attribute!C136</f>
        <v>---</v>
      </c>
      <c r="D136" s="125" t="str">
        <f>VLOOKUP(C136,'Talente &amp; Stuff'!GX:HY,2,FALSE)</f>
        <v>--/--/--</v>
      </c>
      <c r="E136" s="127" t="str">
        <f>VLOOKUP(C136,'Talente &amp; Stuff'!GX:HY,3,FALSE)</f>
        <v>-</v>
      </c>
      <c r="F136" s="114">
        <f>VLOOKUP(C136,'Talente &amp; Stuff'!GX:HY,4,FALSE)</f>
        <v>0</v>
      </c>
      <c r="G136" s="113">
        <f>VLOOKUP(C136,'Talente &amp; Stuff'!GX:HY,5,FALSE)</f>
        <v>0</v>
      </c>
      <c r="H136" s="113">
        <f>VLOOKUP(C136,'Talente &amp; Stuff'!GX:HY,6,FALSE)</f>
        <v>0</v>
      </c>
      <c r="I136" s="113">
        <f>VLOOKUP(C136,'Talente &amp; Stuff'!GX:HY,7,FALSE)</f>
        <v>0</v>
      </c>
      <c r="J136" s="113">
        <f>VLOOKUP(C136,'Talente &amp; Stuff'!GX:HY,8,FALSE)</f>
        <v>0</v>
      </c>
      <c r="K136" s="113">
        <f>VLOOKUP(C136,'Talente &amp; Stuff'!GX:HY,9,FALSE)</f>
        <v>0</v>
      </c>
      <c r="L136" s="113">
        <f>VLOOKUP(C136,'Talente &amp; Stuff'!GX:HY,10,FALSE)</f>
        <v>0</v>
      </c>
      <c r="M136" s="119">
        <f>VLOOKUP(C136,'Talente &amp; Stuff'!GX:HY,11,FALSE)</f>
        <v>0</v>
      </c>
      <c r="N136" s="47">
        <f>VLOOKUP(C136,'Talente &amp; Stuff'!GX:HY,12,FALSE)</f>
        <v>0</v>
      </c>
      <c r="O136" s="47">
        <f>VLOOKUP(C136,'Talente &amp; Stuff'!GX:HY,13,FALSE)</f>
        <v>0</v>
      </c>
      <c r="P136" s="119">
        <f>VLOOKUP(C136,'Talente &amp; Stuff'!GX:HY,14,FALSE)</f>
        <v>0</v>
      </c>
      <c r="Q136" s="114">
        <f>VLOOKUP(C136,'Talente &amp; Stuff'!GX:HY,15,FALSE)</f>
        <v>0</v>
      </c>
      <c r="R136" s="113">
        <f>VLOOKUP(C136,'Talente &amp; Stuff'!GX:HY,16,FALSE)</f>
        <v>0</v>
      </c>
      <c r="S136" s="119">
        <f>VLOOKUP(C136,'Talente &amp; Stuff'!GX:HY,17,FALSE)</f>
        <v>0</v>
      </c>
      <c r="T136" s="119">
        <f>VLOOKUP(C136,'Talente &amp; Stuff'!GX:HY,18,FALSE)</f>
        <v>0</v>
      </c>
      <c r="U136" s="89">
        <f>VLOOKUP(C136,'Talente &amp; Stuff'!GX:HY,19,FALSE)</f>
        <v>0</v>
      </c>
      <c r="V136" s="47">
        <f>VLOOKUP(C136,'Talente &amp; Stuff'!GX:HY,20,FALSE)</f>
        <v>0</v>
      </c>
      <c r="W136" s="127">
        <f>VLOOKUP(C136,'Talente &amp; Stuff'!GX:HY,21,FALSE)</f>
        <v>0</v>
      </c>
      <c r="X136" s="127">
        <f>VLOOKUP(C136,'Talente &amp; Stuff'!GX:HY,22,FALSE)</f>
        <v>0</v>
      </c>
      <c r="Y136" s="165">
        <f t="shared" si="14"/>
        <v>0</v>
      </c>
      <c r="Z136" s="44">
        <f t="shared" si="15"/>
        <v>0</v>
      </c>
      <c r="AA136" s="125">
        <f>VLOOKUP(C136,'Talente &amp; Stuff'!GX:HY,25,FALSE)</f>
        <v>0</v>
      </c>
      <c r="AB136" s="160">
        <f>VLOOKUP(C136,'Talente &amp; Stuff'!GX:HY,26,FALSE)</f>
        <v>0</v>
      </c>
      <c r="AC136" s="127">
        <f>VLOOKUP(C136,'Talente &amp; Stuff'!GX:HY,27,FALSE)</f>
        <v>0</v>
      </c>
      <c r="AD136" s="125">
        <f>VLOOKUP(C136,'Talente &amp; Stuff'!GX:HY,28,FALSE)</f>
        <v>0</v>
      </c>
      <c r="AE136" s="28"/>
    </row>
    <row r="137" spans="2:31" ht="15" hidden="1" customHeight="1" outlineLevel="2">
      <c r="B137" s="148">
        <v>10</v>
      </c>
      <c r="C137" s="177" t="str">
        <f>Attribute!C137</f>
        <v>---</v>
      </c>
      <c r="D137" s="125" t="str">
        <f>VLOOKUP(C137,'Talente &amp; Stuff'!GX:HY,2,FALSE)</f>
        <v>--/--/--</v>
      </c>
      <c r="E137" s="127" t="str">
        <f>VLOOKUP(C137,'Talente &amp; Stuff'!GX:HY,3,FALSE)</f>
        <v>-</v>
      </c>
      <c r="F137" s="114">
        <f>VLOOKUP(C137,'Talente &amp; Stuff'!GX:HY,4,FALSE)</f>
        <v>0</v>
      </c>
      <c r="G137" s="113">
        <f>VLOOKUP(C137,'Talente &amp; Stuff'!GX:HY,5,FALSE)</f>
        <v>0</v>
      </c>
      <c r="H137" s="113">
        <f>VLOOKUP(C137,'Talente &amp; Stuff'!GX:HY,6,FALSE)</f>
        <v>0</v>
      </c>
      <c r="I137" s="113">
        <f>VLOOKUP(C137,'Talente &amp; Stuff'!GX:HY,7,FALSE)</f>
        <v>0</v>
      </c>
      <c r="J137" s="113">
        <f>VLOOKUP(C137,'Talente &amp; Stuff'!GX:HY,8,FALSE)</f>
        <v>0</v>
      </c>
      <c r="K137" s="113">
        <f>VLOOKUP(C137,'Talente &amp; Stuff'!GX:HY,9,FALSE)</f>
        <v>0</v>
      </c>
      <c r="L137" s="113">
        <f>VLOOKUP(C137,'Talente &amp; Stuff'!GX:HY,10,FALSE)</f>
        <v>0</v>
      </c>
      <c r="M137" s="119">
        <f>VLOOKUP(C137,'Talente &amp; Stuff'!GX:HY,11,FALSE)</f>
        <v>0</v>
      </c>
      <c r="N137" s="47">
        <f>VLOOKUP(C137,'Talente &amp; Stuff'!GX:HY,12,FALSE)</f>
        <v>0</v>
      </c>
      <c r="O137" s="47">
        <f>VLOOKUP(C137,'Talente &amp; Stuff'!GX:HY,13,FALSE)</f>
        <v>0</v>
      </c>
      <c r="P137" s="119">
        <f>VLOOKUP(C137,'Talente &amp; Stuff'!GX:HY,14,FALSE)</f>
        <v>0</v>
      </c>
      <c r="Q137" s="114">
        <f>VLOOKUP(C137,'Talente &amp; Stuff'!GX:HY,15,FALSE)</f>
        <v>0</v>
      </c>
      <c r="R137" s="113">
        <f>VLOOKUP(C137,'Talente &amp; Stuff'!GX:HY,16,FALSE)</f>
        <v>0</v>
      </c>
      <c r="S137" s="119">
        <f>VLOOKUP(C137,'Talente &amp; Stuff'!GX:HY,17,FALSE)</f>
        <v>0</v>
      </c>
      <c r="T137" s="119">
        <f>VLOOKUP(C137,'Talente &amp; Stuff'!GX:HY,18,FALSE)</f>
        <v>0</v>
      </c>
      <c r="U137" s="89">
        <f>VLOOKUP(C137,'Talente &amp; Stuff'!GX:HY,19,FALSE)</f>
        <v>0</v>
      </c>
      <c r="V137" s="47">
        <f>VLOOKUP(C137,'Talente &amp; Stuff'!GX:HY,20,FALSE)</f>
        <v>0</v>
      </c>
      <c r="W137" s="127">
        <f>VLOOKUP(C137,'Talente &amp; Stuff'!GX:HY,21,FALSE)</f>
        <v>0</v>
      </c>
      <c r="X137" s="127">
        <f>VLOOKUP(C137,'Talente &amp; Stuff'!GX:HY,22,FALSE)</f>
        <v>0</v>
      </c>
      <c r="Y137" s="165">
        <f t="shared" si="14"/>
        <v>0</v>
      </c>
      <c r="Z137" s="44">
        <f t="shared" si="15"/>
        <v>0</v>
      </c>
      <c r="AA137" s="125">
        <f>VLOOKUP(C137,'Talente &amp; Stuff'!GX:HY,25,FALSE)</f>
        <v>0</v>
      </c>
      <c r="AB137" s="160">
        <f>VLOOKUP(C137,'Talente &amp; Stuff'!GX:HY,26,FALSE)</f>
        <v>0</v>
      </c>
      <c r="AC137" s="127">
        <f>VLOOKUP(C137,'Talente &amp; Stuff'!GX:HY,27,FALSE)</f>
        <v>0</v>
      </c>
      <c r="AD137" s="125">
        <f>VLOOKUP(C137,'Talente &amp; Stuff'!GX:HY,28,FALSE)</f>
        <v>0</v>
      </c>
      <c r="AE137" s="28"/>
    </row>
    <row r="138" spans="2:31" ht="15" hidden="1" customHeight="1" outlineLevel="2">
      <c r="B138" s="148">
        <v>11</v>
      </c>
      <c r="C138" s="177" t="str">
        <f>Attribute!C138</f>
        <v>---</v>
      </c>
      <c r="D138" s="125" t="str">
        <f>VLOOKUP(C138,'Talente &amp; Stuff'!GX:HY,2,FALSE)</f>
        <v>--/--/--</v>
      </c>
      <c r="E138" s="127" t="str">
        <f>VLOOKUP(C138,'Talente &amp; Stuff'!GX:HY,3,FALSE)</f>
        <v>-</v>
      </c>
      <c r="F138" s="114">
        <f>VLOOKUP(C138,'Talente &amp; Stuff'!GX:HY,4,FALSE)</f>
        <v>0</v>
      </c>
      <c r="G138" s="113">
        <f>VLOOKUP(C138,'Talente &amp; Stuff'!GX:HY,5,FALSE)</f>
        <v>0</v>
      </c>
      <c r="H138" s="113">
        <f>VLOOKUP(C138,'Talente &amp; Stuff'!GX:HY,6,FALSE)</f>
        <v>0</v>
      </c>
      <c r="I138" s="113">
        <f>VLOOKUP(C138,'Talente &amp; Stuff'!GX:HY,7,FALSE)</f>
        <v>0</v>
      </c>
      <c r="J138" s="113">
        <f>VLOOKUP(C138,'Talente &amp; Stuff'!GX:HY,8,FALSE)</f>
        <v>0</v>
      </c>
      <c r="K138" s="113">
        <f>VLOOKUP(C138,'Talente &amp; Stuff'!GX:HY,9,FALSE)</f>
        <v>0</v>
      </c>
      <c r="L138" s="113">
        <f>VLOOKUP(C138,'Talente &amp; Stuff'!GX:HY,10,FALSE)</f>
        <v>0</v>
      </c>
      <c r="M138" s="119">
        <f>VLOOKUP(C138,'Talente &amp; Stuff'!GX:HY,11,FALSE)</f>
        <v>0</v>
      </c>
      <c r="N138" s="47">
        <f>VLOOKUP(C138,'Talente &amp; Stuff'!GX:HY,12,FALSE)</f>
        <v>0</v>
      </c>
      <c r="O138" s="47">
        <f>VLOOKUP(C138,'Talente &amp; Stuff'!GX:HY,13,FALSE)</f>
        <v>0</v>
      </c>
      <c r="P138" s="119">
        <f>VLOOKUP(C138,'Talente &amp; Stuff'!GX:HY,14,FALSE)</f>
        <v>0</v>
      </c>
      <c r="Q138" s="114">
        <f>VLOOKUP(C138,'Talente &amp; Stuff'!GX:HY,15,FALSE)</f>
        <v>0</v>
      </c>
      <c r="R138" s="113">
        <f>VLOOKUP(C138,'Talente &amp; Stuff'!GX:HY,16,FALSE)</f>
        <v>0</v>
      </c>
      <c r="S138" s="119">
        <f>VLOOKUP(C138,'Talente &amp; Stuff'!GX:HY,17,FALSE)</f>
        <v>0</v>
      </c>
      <c r="T138" s="119">
        <f>VLOOKUP(C138,'Talente &amp; Stuff'!GX:HY,18,FALSE)</f>
        <v>0</v>
      </c>
      <c r="U138" s="89">
        <f>VLOOKUP(C138,'Talente &amp; Stuff'!GX:HY,19,FALSE)</f>
        <v>0</v>
      </c>
      <c r="V138" s="47">
        <f>VLOOKUP(C138,'Talente &amp; Stuff'!GX:HY,20,FALSE)</f>
        <v>0</v>
      </c>
      <c r="W138" s="127">
        <f>VLOOKUP(C138,'Talente &amp; Stuff'!GX:HY,21,FALSE)</f>
        <v>0</v>
      </c>
      <c r="X138" s="127">
        <f>VLOOKUP(C138,'Talente &amp; Stuff'!GX:HY,22,FALSE)</f>
        <v>0</v>
      </c>
      <c r="Y138" s="165">
        <f t="shared" si="14"/>
        <v>0</v>
      </c>
      <c r="Z138" s="44">
        <f t="shared" si="15"/>
        <v>0</v>
      </c>
      <c r="AA138" s="125">
        <f>VLOOKUP(C138,'Talente &amp; Stuff'!GX:HY,25,FALSE)</f>
        <v>0</v>
      </c>
      <c r="AB138" s="160">
        <f>VLOOKUP(C138,'Talente &amp; Stuff'!GX:HY,26,FALSE)</f>
        <v>0</v>
      </c>
      <c r="AC138" s="127">
        <f>VLOOKUP(C138,'Talente &amp; Stuff'!GX:HY,27,FALSE)</f>
        <v>0</v>
      </c>
      <c r="AD138" s="125">
        <f>VLOOKUP(C138,'Talente &amp; Stuff'!GX:HY,28,FALSE)</f>
        <v>0</v>
      </c>
      <c r="AE138" s="28"/>
    </row>
    <row r="139" spans="2:31" ht="15" hidden="1" customHeight="1" outlineLevel="2">
      <c r="B139" s="148">
        <v>12</v>
      </c>
      <c r="C139" s="177" t="str">
        <f>Attribute!C139</f>
        <v>---</v>
      </c>
      <c r="D139" s="125" t="str">
        <f>VLOOKUP(C139,'Talente &amp; Stuff'!GX:HY,2,FALSE)</f>
        <v>--/--/--</v>
      </c>
      <c r="E139" s="127" t="str">
        <f>VLOOKUP(C139,'Talente &amp; Stuff'!GX:HY,3,FALSE)</f>
        <v>-</v>
      </c>
      <c r="F139" s="114">
        <f>VLOOKUP(C139,'Talente &amp; Stuff'!GX:HY,4,FALSE)</f>
        <v>0</v>
      </c>
      <c r="G139" s="113">
        <f>VLOOKUP(C139,'Talente &amp; Stuff'!GX:HY,5,FALSE)</f>
        <v>0</v>
      </c>
      <c r="H139" s="113">
        <f>VLOOKUP(C139,'Talente &amp; Stuff'!GX:HY,6,FALSE)</f>
        <v>0</v>
      </c>
      <c r="I139" s="113">
        <f>VLOOKUP(C139,'Talente &amp; Stuff'!GX:HY,7,FALSE)</f>
        <v>0</v>
      </c>
      <c r="J139" s="113">
        <f>VLOOKUP(C139,'Talente &amp; Stuff'!GX:HY,8,FALSE)</f>
        <v>0</v>
      </c>
      <c r="K139" s="113">
        <f>VLOOKUP(C139,'Talente &amp; Stuff'!GX:HY,9,FALSE)</f>
        <v>0</v>
      </c>
      <c r="L139" s="113">
        <f>VLOOKUP(C139,'Talente &amp; Stuff'!GX:HY,10,FALSE)</f>
        <v>0</v>
      </c>
      <c r="M139" s="119">
        <f>VLOOKUP(C139,'Talente &amp; Stuff'!GX:HY,11,FALSE)</f>
        <v>0</v>
      </c>
      <c r="N139" s="47">
        <f>VLOOKUP(C139,'Talente &amp; Stuff'!GX:HY,12,FALSE)</f>
        <v>0</v>
      </c>
      <c r="O139" s="47">
        <f>VLOOKUP(C139,'Talente &amp; Stuff'!GX:HY,13,FALSE)</f>
        <v>0</v>
      </c>
      <c r="P139" s="119">
        <f>VLOOKUP(C139,'Talente &amp; Stuff'!GX:HY,14,FALSE)</f>
        <v>0</v>
      </c>
      <c r="Q139" s="114">
        <f>VLOOKUP(C139,'Talente &amp; Stuff'!GX:HY,15,FALSE)</f>
        <v>0</v>
      </c>
      <c r="R139" s="113">
        <f>VLOOKUP(C139,'Talente &amp; Stuff'!GX:HY,16,FALSE)</f>
        <v>0</v>
      </c>
      <c r="S139" s="119">
        <f>VLOOKUP(C139,'Talente &amp; Stuff'!GX:HY,17,FALSE)</f>
        <v>0</v>
      </c>
      <c r="T139" s="119">
        <f>VLOOKUP(C139,'Talente &amp; Stuff'!GX:HY,18,FALSE)</f>
        <v>0</v>
      </c>
      <c r="U139" s="89">
        <f>VLOOKUP(C139,'Talente &amp; Stuff'!GX:HY,19,FALSE)</f>
        <v>0</v>
      </c>
      <c r="V139" s="47">
        <f>VLOOKUP(C139,'Talente &amp; Stuff'!GX:HY,20,FALSE)</f>
        <v>0</v>
      </c>
      <c r="W139" s="127">
        <f>VLOOKUP(C139,'Talente &amp; Stuff'!GX:HY,21,FALSE)</f>
        <v>0</v>
      </c>
      <c r="X139" s="127">
        <f>VLOOKUP(C139,'Talente &amp; Stuff'!GX:HY,22,FALSE)</f>
        <v>0</v>
      </c>
      <c r="Y139" s="165">
        <f t="shared" si="14"/>
        <v>0</v>
      </c>
      <c r="Z139" s="44">
        <f t="shared" si="15"/>
        <v>0</v>
      </c>
      <c r="AA139" s="125">
        <f>VLOOKUP(C139,'Talente &amp; Stuff'!GX:HY,25,FALSE)</f>
        <v>0</v>
      </c>
      <c r="AB139" s="160">
        <f>VLOOKUP(C139,'Talente &amp; Stuff'!GX:HY,26,FALSE)</f>
        <v>0</v>
      </c>
      <c r="AC139" s="127">
        <f>VLOOKUP(C139,'Talente &amp; Stuff'!GX:HY,27,FALSE)</f>
        <v>0</v>
      </c>
      <c r="AD139" s="125">
        <f>VLOOKUP(C139,'Talente &amp; Stuff'!GX:HY,28,FALSE)</f>
        <v>0</v>
      </c>
      <c r="AE139" s="28"/>
    </row>
    <row r="140" spans="2:31" ht="15" hidden="1" customHeight="1" outlineLevel="2">
      <c r="B140" s="148">
        <v>13</v>
      </c>
      <c r="C140" s="177" t="str">
        <f>Attribute!C140</f>
        <v>---</v>
      </c>
      <c r="D140" s="125" t="str">
        <f>VLOOKUP(C140,'Talente &amp; Stuff'!GX:HY,2,FALSE)</f>
        <v>--/--/--</v>
      </c>
      <c r="E140" s="127" t="str">
        <f>VLOOKUP(C140,'Talente &amp; Stuff'!GX:HY,3,FALSE)</f>
        <v>-</v>
      </c>
      <c r="F140" s="114">
        <f>VLOOKUP(C140,'Talente &amp; Stuff'!GX:HY,4,FALSE)</f>
        <v>0</v>
      </c>
      <c r="G140" s="113">
        <f>VLOOKUP(C140,'Talente &amp; Stuff'!GX:HY,5,FALSE)</f>
        <v>0</v>
      </c>
      <c r="H140" s="113">
        <f>VLOOKUP(C140,'Talente &amp; Stuff'!GX:HY,6,FALSE)</f>
        <v>0</v>
      </c>
      <c r="I140" s="113">
        <f>VLOOKUP(C140,'Talente &amp; Stuff'!GX:HY,7,FALSE)</f>
        <v>0</v>
      </c>
      <c r="J140" s="113">
        <f>VLOOKUP(C140,'Talente &amp; Stuff'!GX:HY,8,FALSE)</f>
        <v>0</v>
      </c>
      <c r="K140" s="113">
        <f>VLOOKUP(C140,'Talente &amp; Stuff'!GX:HY,9,FALSE)</f>
        <v>0</v>
      </c>
      <c r="L140" s="113">
        <f>VLOOKUP(C140,'Talente &amp; Stuff'!GX:HY,10,FALSE)</f>
        <v>0</v>
      </c>
      <c r="M140" s="119">
        <f>VLOOKUP(C140,'Talente &amp; Stuff'!GX:HY,11,FALSE)</f>
        <v>0</v>
      </c>
      <c r="N140" s="47">
        <f>VLOOKUP(C140,'Talente &amp; Stuff'!GX:HY,12,FALSE)</f>
        <v>0</v>
      </c>
      <c r="O140" s="47">
        <f>VLOOKUP(C140,'Talente &amp; Stuff'!GX:HY,13,FALSE)</f>
        <v>0</v>
      </c>
      <c r="P140" s="119">
        <f>VLOOKUP(C140,'Talente &amp; Stuff'!GX:HY,14,FALSE)</f>
        <v>0</v>
      </c>
      <c r="Q140" s="114">
        <f>VLOOKUP(C140,'Talente &amp; Stuff'!GX:HY,15,FALSE)</f>
        <v>0</v>
      </c>
      <c r="R140" s="113">
        <f>VLOOKUP(C140,'Talente &amp; Stuff'!GX:HY,16,FALSE)</f>
        <v>0</v>
      </c>
      <c r="S140" s="119">
        <f>VLOOKUP(C140,'Talente &amp; Stuff'!GX:HY,17,FALSE)</f>
        <v>0</v>
      </c>
      <c r="T140" s="119">
        <f>VLOOKUP(C140,'Talente &amp; Stuff'!GX:HY,18,FALSE)</f>
        <v>0</v>
      </c>
      <c r="U140" s="89">
        <f>VLOOKUP(C140,'Talente &amp; Stuff'!GX:HY,19,FALSE)</f>
        <v>0</v>
      </c>
      <c r="V140" s="47">
        <f>VLOOKUP(C140,'Talente &amp; Stuff'!GX:HY,20,FALSE)</f>
        <v>0</v>
      </c>
      <c r="W140" s="127">
        <f>VLOOKUP(C140,'Talente &amp; Stuff'!GX:HY,21,FALSE)</f>
        <v>0</v>
      </c>
      <c r="X140" s="127">
        <f>VLOOKUP(C140,'Talente &amp; Stuff'!GX:HY,22,FALSE)</f>
        <v>0</v>
      </c>
      <c r="Y140" s="165">
        <f t="shared" si="14"/>
        <v>0</v>
      </c>
      <c r="Z140" s="44">
        <f t="shared" si="15"/>
        <v>0</v>
      </c>
      <c r="AA140" s="125">
        <f>VLOOKUP(C140,'Talente &amp; Stuff'!GX:HY,25,FALSE)</f>
        <v>0</v>
      </c>
      <c r="AB140" s="160">
        <f>VLOOKUP(C140,'Talente &amp; Stuff'!GX:HY,26,FALSE)</f>
        <v>0</v>
      </c>
      <c r="AC140" s="127">
        <f>VLOOKUP(C140,'Talente &amp; Stuff'!GX:HY,27,FALSE)</f>
        <v>0</v>
      </c>
      <c r="AD140" s="125">
        <f>VLOOKUP(C140,'Talente &amp; Stuff'!GX:HY,28,FALSE)</f>
        <v>0</v>
      </c>
      <c r="AE140" s="28"/>
    </row>
    <row r="141" spans="2:31" ht="15" hidden="1" customHeight="1" outlineLevel="2">
      <c r="B141" s="148">
        <v>14</v>
      </c>
      <c r="C141" s="177" t="str">
        <f>Attribute!C141</f>
        <v>---</v>
      </c>
      <c r="D141" s="125" t="str">
        <f>VLOOKUP(C141,'Talente &amp; Stuff'!GX:HY,2,FALSE)</f>
        <v>--/--/--</v>
      </c>
      <c r="E141" s="127" t="str">
        <f>VLOOKUP(C141,'Talente &amp; Stuff'!GX:HY,3,FALSE)</f>
        <v>-</v>
      </c>
      <c r="F141" s="114">
        <f>VLOOKUP(C141,'Talente &amp; Stuff'!GX:HY,4,FALSE)</f>
        <v>0</v>
      </c>
      <c r="G141" s="113">
        <f>VLOOKUP(C141,'Talente &amp; Stuff'!GX:HY,5,FALSE)</f>
        <v>0</v>
      </c>
      <c r="H141" s="113">
        <f>VLOOKUP(C141,'Talente &amp; Stuff'!GX:HY,6,FALSE)</f>
        <v>0</v>
      </c>
      <c r="I141" s="113">
        <f>VLOOKUP(C141,'Talente &amp; Stuff'!GX:HY,7,FALSE)</f>
        <v>0</v>
      </c>
      <c r="J141" s="113">
        <f>VLOOKUP(C141,'Talente &amp; Stuff'!GX:HY,8,FALSE)</f>
        <v>0</v>
      </c>
      <c r="K141" s="113">
        <f>VLOOKUP(C141,'Talente &amp; Stuff'!GX:HY,9,FALSE)</f>
        <v>0</v>
      </c>
      <c r="L141" s="113">
        <f>VLOOKUP(C141,'Talente &amp; Stuff'!GX:HY,10,FALSE)</f>
        <v>0</v>
      </c>
      <c r="M141" s="119">
        <f>VLOOKUP(C141,'Talente &amp; Stuff'!GX:HY,11,FALSE)</f>
        <v>0</v>
      </c>
      <c r="N141" s="47">
        <f>VLOOKUP(C141,'Talente &amp; Stuff'!GX:HY,12,FALSE)</f>
        <v>0</v>
      </c>
      <c r="O141" s="47">
        <f>VLOOKUP(C141,'Talente &amp; Stuff'!GX:HY,13,FALSE)</f>
        <v>0</v>
      </c>
      <c r="P141" s="119">
        <f>VLOOKUP(C141,'Talente &amp; Stuff'!GX:HY,14,FALSE)</f>
        <v>0</v>
      </c>
      <c r="Q141" s="114">
        <f>VLOOKUP(C141,'Talente &amp; Stuff'!GX:HY,15,FALSE)</f>
        <v>0</v>
      </c>
      <c r="R141" s="113">
        <f>VLOOKUP(C141,'Talente &amp; Stuff'!GX:HY,16,FALSE)</f>
        <v>0</v>
      </c>
      <c r="S141" s="119">
        <f>VLOOKUP(C141,'Talente &amp; Stuff'!GX:HY,17,FALSE)</f>
        <v>0</v>
      </c>
      <c r="T141" s="119">
        <f>VLOOKUP(C141,'Talente &amp; Stuff'!GX:HY,18,FALSE)</f>
        <v>0</v>
      </c>
      <c r="U141" s="89">
        <f>VLOOKUP(C141,'Talente &amp; Stuff'!GX:HY,19,FALSE)</f>
        <v>0</v>
      </c>
      <c r="V141" s="47">
        <f>VLOOKUP(C141,'Talente &amp; Stuff'!GX:HY,20,FALSE)</f>
        <v>0</v>
      </c>
      <c r="W141" s="127">
        <f>VLOOKUP(C141,'Talente &amp; Stuff'!GX:HY,21,FALSE)</f>
        <v>0</v>
      </c>
      <c r="X141" s="127">
        <f>VLOOKUP(C141,'Talente &amp; Stuff'!GX:HY,22,FALSE)</f>
        <v>0</v>
      </c>
      <c r="Y141" s="165">
        <f t="shared" si="14"/>
        <v>0</v>
      </c>
      <c r="Z141" s="44">
        <f t="shared" si="15"/>
        <v>0</v>
      </c>
      <c r="AA141" s="125">
        <f>VLOOKUP(C141,'Talente &amp; Stuff'!GX:HY,25,FALSE)</f>
        <v>0</v>
      </c>
      <c r="AB141" s="160">
        <f>VLOOKUP(C141,'Talente &amp; Stuff'!GX:HY,26,FALSE)</f>
        <v>0</v>
      </c>
      <c r="AC141" s="127">
        <f>VLOOKUP(C141,'Talente &amp; Stuff'!GX:HY,27,FALSE)</f>
        <v>0</v>
      </c>
      <c r="AD141" s="125">
        <f>VLOOKUP(C141,'Talente &amp; Stuff'!GX:HY,28,FALSE)</f>
        <v>0</v>
      </c>
      <c r="AE141" s="28"/>
    </row>
    <row r="142" spans="2:31" ht="15" hidden="1" customHeight="1" outlineLevel="2">
      <c r="B142" s="148">
        <v>15</v>
      </c>
      <c r="C142" s="177" t="str">
        <f>Attribute!C142</f>
        <v>---</v>
      </c>
      <c r="D142" s="125" t="str">
        <f>VLOOKUP(C142,'Talente &amp; Stuff'!GX:HY,2,FALSE)</f>
        <v>--/--/--</v>
      </c>
      <c r="E142" s="127" t="str">
        <f>VLOOKUP(C142,'Talente &amp; Stuff'!GX:HY,3,FALSE)</f>
        <v>-</v>
      </c>
      <c r="F142" s="114">
        <f>VLOOKUP(C142,'Talente &amp; Stuff'!GX:HY,4,FALSE)</f>
        <v>0</v>
      </c>
      <c r="G142" s="113">
        <f>VLOOKUP(C142,'Talente &amp; Stuff'!GX:HY,5,FALSE)</f>
        <v>0</v>
      </c>
      <c r="H142" s="113">
        <f>VLOOKUP(C142,'Talente &amp; Stuff'!GX:HY,6,FALSE)</f>
        <v>0</v>
      </c>
      <c r="I142" s="113">
        <f>VLOOKUP(C142,'Talente &amp; Stuff'!GX:HY,7,FALSE)</f>
        <v>0</v>
      </c>
      <c r="J142" s="113">
        <f>VLOOKUP(C142,'Talente &amp; Stuff'!GX:HY,8,FALSE)</f>
        <v>0</v>
      </c>
      <c r="K142" s="113">
        <f>VLOOKUP(C142,'Talente &amp; Stuff'!GX:HY,9,FALSE)</f>
        <v>0</v>
      </c>
      <c r="L142" s="113">
        <f>VLOOKUP(C142,'Talente &amp; Stuff'!GX:HY,10,FALSE)</f>
        <v>0</v>
      </c>
      <c r="M142" s="119">
        <f>VLOOKUP(C142,'Talente &amp; Stuff'!GX:HY,11,FALSE)</f>
        <v>0</v>
      </c>
      <c r="N142" s="47">
        <f>VLOOKUP(C142,'Talente &amp; Stuff'!GX:HY,12,FALSE)</f>
        <v>0</v>
      </c>
      <c r="O142" s="47">
        <f>VLOOKUP(C142,'Talente &amp; Stuff'!GX:HY,13,FALSE)</f>
        <v>0</v>
      </c>
      <c r="P142" s="119">
        <f>VLOOKUP(C142,'Talente &amp; Stuff'!GX:HY,14,FALSE)</f>
        <v>0</v>
      </c>
      <c r="Q142" s="114">
        <f>VLOOKUP(C142,'Talente &amp; Stuff'!GX:HY,15,FALSE)</f>
        <v>0</v>
      </c>
      <c r="R142" s="113">
        <f>VLOOKUP(C142,'Talente &amp; Stuff'!GX:HY,16,FALSE)</f>
        <v>0</v>
      </c>
      <c r="S142" s="119">
        <f>VLOOKUP(C142,'Talente &amp; Stuff'!GX:HY,17,FALSE)</f>
        <v>0</v>
      </c>
      <c r="T142" s="119">
        <f>VLOOKUP(C142,'Talente &amp; Stuff'!GX:HY,18,FALSE)</f>
        <v>0</v>
      </c>
      <c r="U142" s="89">
        <f>VLOOKUP(C142,'Talente &amp; Stuff'!GX:HY,19,FALSE)</f>
        <v>0</v>
      </c>
      <c r="V142" s="47">
        <f>VLOOKUP(C142,'Talente &amp; Stuff'!GX:HY,20,FALSE)</f>
        <v>0</v>
      </c>
      <c r="W142" s="127">
        <f>VLOOKUP(C142,'Talente &amp; Stuff'!GX:HY,21,FALSE)</f>
        <v>0</v>
      </c>
      <c r="X142" s="127">
        <f>VLOOKUP(C142,'Talente &amp; Stuff'!GX:HY,22,FALSE)</f>
        <v>0</v>
      </c>
      <c r="Y142" s="165">
        <f t="shared" si="14"/>
        <v>0</v>
      </c>
      <c r="Z142" s="44">
        <f t="shared" si="15"/>
        <v>0</v>
      </c>
      <c r="AA142" s="125">
        <f>VLOOKUP(C142,'Talente &amp; Stuff'!GX:HY,25,FALSE)</f>
        <v>0</v>
      </c>
      <c r="AB142" s="160">
        <f>VLOOKUP(C142,'Talente &amp; Stuff'!GX:HY,26,FALSE)</f>
        <v>0</v>
      </c>
      <c r="AC142" s="127">
        <f>VLOOKUP(C142,'Talente &amp; Stuff'!GX:HY,27,FALSE)</f>
        <v>0</v>
      </c>
      <c r="AD142" s="125">
        <f>VLOOKUP(C142,'Talente &amp; Stuff'!GX:HY,28,FALSE)</f>
        <v>0</v>
      </c>
      <c r="AE142" s="28"/>
    </row>
    <row r="143" spans="2:31" ht="15" hidden="1" customHeight="1" outlineLevel="2">
      <c r="B143" s="148">
        <v>16</v>
      </c>
      <c r="C143" s="177" t="str">
        <f>Attribute!C143</f>
        <v>---</v>
      </c>
      <c r="D143" s="86" t="str">
        <f>VLOOKUP(C143,'Talente &amp; Stuff'!GX:HY,2,FALSE)</f>
        <v>--/--/--</v>
      </c>
      <c r="E143" s="167" t="str">
        <f>VLOOKUP(C143,'Talente &amp; Stuff'!GX:HY,3,FALSE)</f>
        <v>-</v>
      </c>
      <c r="F143" s="120">
        <f>VLOOKUP(C143,'Talente &amp; Stuff'!GX:HY,4,FALSE)</f>
        <v>0</v>
      </c>
      <c r="G143" s="117">
        <f>VLOOKUP(C143,'Talente &amp; Stuff'!GX:HY,5,FALSE)</f>
        <v>0</v>
      </c>
      <c r="H143" s="117">
        <f>VLOOKUP(C143,'Talente &amp; Stuff'!GX:HY,6,FALSE)</f>
        <v>0</v>
      </c>
      <c r="I143" s="117">
        <f>VLOOKUP(C143,'Talente &amp; Stuff'!GX:HY,7,FALSE)</f>
        <v>0</v>
      </c>
      <c r="J143" s="117">
        <f>VLOOKUP(C143,'Talente &amp; Stuff'!GX:HY,8,FALSE)</f>
        <v>0</v>
      </c>
      <c r="K143" s="117">
        <f>VLOOKUP(C143,'Talente &amp; Stuff'!GX:HY,9,FALSE)</f>
        <v>0</v>
      </c>
      <c r="L143" s="117">
        <f>VLOOKUP(C143,'Talente &amp; Stuff'!GX:HY,10,FALSE)</f>
        <v>0</v>
      </c>
      <c r="M143" s="121">
        <f>VLOOKUP(C143,'Talente &amp; Stuff'!GX:HY,11,FALSE)</f>
        <v>0</v>
      </c>
      <c r="N143" s="47">
        <f>VLOOKUP(C143,'Talente &amp; Stuff'!GX:HY,12,FALSE)</f>
        <v>0</v>
      </c>
      <c r="O143" s="3">
        <f>VLOOKUP(C143,'Talente &amp; Stuff'!GX:HY,13,FALSE)</f>
        <v>0</v>
      </c>
      <c r="P143" s="174">
        <f>VLOOKUP(C143,'Talente &amp; Stuff'!GX:HY,14,FALSE)</f>
        <v>0</v>
      </c>
      <c r="Q143" s="114">
        <f>VLOOKUP(C143,'Talente &amp; Stuff'!GX:HY,15,FALSE)</f>
        <v>0</v>
      </c>
      <c r="R143" s="117">
        <f>VLOOKUP(C143,'Talente &amp; Stuff'!GX:HY,16,FALSE)</f>
        <v>0</v>
      </c>
      <c r="S143" s="119">
        <f>VLOOKUP(C143,'Talente &amp; Stuff'!GX:HY,17,FALSE)</f>
        <v>0</v>
      </c>
      <c r="T143" s="119">
        <f>VLOOKUP(C143,'Talente &amp; Stuff'!GX:HY,18,FALSE)</f>
        <v>0</v>
      </c>
      <c r="U143" s="89">
        <f>VLOOKUP(C143,'Talente &amp; Stuff'!GX:HY,19,FALSE)</f>
        <v>0</v>
      </c>
      <c r="V143" s="47">
        <f>VLOOKUP(C143,'Talente &amp; Stuff'!GX:HY,20,FALSE)</f>
        <v>0</v>
      </c>
      <c r="W143" s="127">
        <f>VLOOKUP(C143,'Talente &amp; Stuff'!GX:HY,21,FALSE)</f>
        <v>0</v>
      </c>
      <c r="X143" s="127">
        <f>VLOOKUP(C143,'Talente &amp; Stuff'!GX:HY,22,FALSE)</f>
        <v>0</v>
      </c>
      <c r="Y143" s="165">
        <f t="shared" si="14"/>
        <v>0</v>
      </c>
      <c r="Z143" s="44">
        <f t="shared" si="15"/>
        <v>0</v>
      </c>
      <c r="AA143" s="125">
        <f>VLOOKUP(C143,'Talente &amp; Stuff'!GX:HY,25,FALSE)</f>
        <v>0</v>
      </c>
      <c r="AB143" s="160">
        <f>VLOOKUP(C143,'Talente &amp; Stuff'!GX:HY,26,FALSE)</f>
        <v>0</v>
      </c>
      <c r="AC143" s="127">
        <f>VLOOKUP(C143,'Talente &amp; Stuff'!GX:HY,27,FALSE)</f>
        <v>0</v>
      </c>
      <c r="AD143" s="125">
        <f>VLOOKUP(C143,'Talente &amp; Stuff'!GX:HY,28,FALSE)</f>
        <v>0</v>
      </c>
      <c r="AE143" s="28"/>
    </row>
    <row r="144" spans="2:31" ht="15" hidden="1" customHeight="1" outlineLevel="2">
      <c r="B144" s="148">
        <v>17</v>
      </c>
      <c r="C144" s="177" t="str">
        <f>Attribute!C144</f>
        <v>---</v>
      </c>
      <c r="D144" s="125" t="str">
        <f>VLOOKUP(C144,'Talente &amp; Stuff'!GX:HY,2,FALSE)</f>
        <v>--/--/--</v>
      </c>
      <c r="E144" s="127" t="str">
        <f>VLOOKUP(C144,'Talente &amp; Stuff'!GX:HY,3,FALSE)</f>
        <v>-</v>
      </c>
      <c r="F144" s="114">
        <f>VLOOKUP(C144,'Talente &amp; Stuff'!GX:HY,4,FALSE)</f>
        <v>0</v>
      </c>
      <c r="G144" s="113">
        <f>VLOOKUP(C144,'Talente &amp; Stuff'!GX:HY,5,FALSE)</f>
        <v>0</v>
      </c>
      <c r="H144" s="113">
        <f>VLOOKUP(C144,'Talente &amp; Stuff'!GX:HY,6,FALSE)</f>
        <v>0</v>
      </c>
      <c r="I144" s="113">
        <f>VLOOKUP(C144,'Talente &amp; Stuff'!GX:HY,7,FALSE)</f>
        <v>0</v>
      </c>
      <c r="J144" s="113">
        <f>VLOOKUP(C144,'Talente &amp; Stuff'!GX:HY,8,FALSE)</f>
        <v>0</v>
      </c>
      <c r="K144" s="113">
        <f>VLOOKUP(C144,'Talente &amp; Stuff'!GX:HY,9,FALSE)</f>
        <v>0</v>
      </c>
      <c r="L144" s="113">
        <f>VLOOKUP(C144,'Talente &amp; Stuff'!GX:HY,10,FALSE)</f>
        <v>0</v>
      </c>
      <c r="M144" s="119">
        <f>VLOOKUP(C144,'Talente &amp; Stuff'!GX:HY,11,FALSE)</f>
        <v>0</v>
      </c>
      <c r="N144" s="47">
        <f>VLOOKUP(C144,'Talente &amp; Stuff'!GX:HY,12,FALSE)</f>
        <v>0</v>
      </c>
      <c r="O144" s="47">
        <f>VLOOKUP(C144,'Talente &amp; Stuff'!GX:HY,13,FALSE)</f>
        <v>0</v>
      </c>
      <c r="P144" s="119">
        <f>VLOOKUP(C144,'Talente &amp; Stuff'!GX:HY,14,FALSE)</f>
        <v>0</v>
      </c>
      <c r="Q144" s="114">
        <f>VLOOKUP(C144,'Talente &amp; Stuff'!GX:HY,15,FALSE)</f>
        <v>0</v>
      </c>
      <c r="R144" s="113">
        <f>VLOOKUP(C144,'Talente &amp; Stuff'!GX:HY,16,FALSE)</f>
        <v>0</v>
      </c>
      <c r="S144" s="119">
        <f>VLOOKUP(C144,'Talente &amp; Stuff'!GX:HY,17,FALSE)</f>
        <v>0</v>
      </c>
      <c r="T144" s="119">
        <f>VLOOKUP(C144,'Talente &amp; Stuff'!GX:HY,18,FALSE)</f>
        <v>0</v>
      </c>
      <c r="U144" s="89">
        <f>VLOOKUP(C144,'Talente &amp; Stuff'!GX:HY,19,FALSE)</f>
        <v>0</v>
      </c>
      <c r="V144" s="47">
        <f>VLOOKUP(C144,'Talente &amp; Stuff'!GX:HY,20,FALSE)</f>
        <v>0</v>
      </c>
      <c r="W144" s="127">
        <f>VLOOKUP(C144,'Talente &amp; Stuff'!GX:HY,21,FALSE)</f>
        <v>0</v>
      </c>
      <c r="X144" s="127">
        <f>VLOOKUP(C144,'Talente &amp; Stuff'!GX:HY,22,FALSE)</f>
        <v>0</v>
      </c>
      <c r="Y144" s="165">
        <f t="shared" si="14"/>
        <v>0</v>
      </c>
      <c r="Z144" s="44">
        <f t="shared" si="15"/>
        <v>0</v>
      </c>
      <c r="AA144" s="125">
        <f>VLOOKUP(C144,'Talente &amp; Stuff'!GX:HY,25,FALSE)</f>
        <v>0</v>
      </c>
      <c r="AB144" s="160">
        <f>VLOOKUP(C144,'Talente &amp; Stuff'!GX:HY,26,FALSE)</f>
        <v>0</v>
      </c>
      <c r="AC144" s="127">
        <f>VLOOKUP(C144,'Talente &amp; Stuff'!GX:HY,27,FALSE)</f>
        <v>0</v>
      </c>
      <c r="AD144" s="125">
        <f>VLOOKUP(C144,'Talente &amp; Stuff'!GX:HY,28,FALSE)</f>
        <v>0</v>
      </c>
      <c r="AE144" s="28"/>
    </row>
    <row r="145" spans="2:31" ht="15" hidden="1" customHeight="1" outlineLevel="2">
      <c r="B145" s="148">
        <v>18</v>
      </c>
      <c r="C145" s="177" t="str">
        <f>Attribute!C145</f>
        <v>---</v>
      </c>
      <c r="D145" s="125" t="str">
        <f>VLOOKUP(C145,'Talente &amp; Stuff'!GX:HY,2,FALSE)</f>
        <v>--/--/--</v>
      </c>
      <c r="E145" s="127" t="str">
        <f>VLOOKUP(C145,'Talente &amp; Stuff'!GX:HY,3,FALSE)</f>
        <v>-</v>
      </c>
      <c r="F145" s="114">
        <f>VLOOKUP(C145,'Talente &amp; Stuff'!GX:HY,4,FALSE)</f>
        <v>0</v>
      </c>
      <c r="G145" s="113">
        <f>VLOOKUP(C145,'Talente &amp; Stuff'!GX:HY,5,FALSE)</f>
        <v>0</v>
      </c>
      <c r="H145" s="113">
        <f>VLOOKUP(C145,'Talente &amp; Stuff'!GX:HY,6,FALSE)</f>
        <v>0</v>
      </c>
      <c r="I145" s="113">
        <f>VLOOKUP(C145,'Talente &amp; Stuff'!GX:HY,7,FALSE)</f>
        <v>0</v>
      </c>
      <c r="J145" s="113">
        <f>VLOOKUP(C145,'Talente &amp; Stuff'!GX:HY,8,FALSE)</f>
        <v>0</v>
      </c>
      <c r="K145" s="113">
        <f>VLOOKUP(C145,'Talente &amp; Stuff'!GX:HY,9,FALSE)</f>
        <v>0</v>
      </c>
      <c r="L145" s="113">
        <f>VLOOKUP(C145,'Talente &amp; Stuff'!GX:HY,10,FALSE)</f>
        <v>0</v>
      </c>
      <c r="M145" s="119">
        <f>VLOOKUP(C145,'Talente &amp; Stuff'!GX:HY,11,FALSE)</f>
        <v>0</v>
      </c>
      <c r="N145" s="47">
        <f>VLOOKUP(C145,'Talente &amp; Stuff'!GX:HY,12,FALSE)</f>
        <v>0</v>
      </c>
      <c r="O145" s="47">
        <f>VLOOKUP(C145,'Talente &amp; Stuff'!GX:HY,13,FALSE)</f>
        <v>0</v>
      </c>
      <c r="P145" s="119">
        <f>VLOOKUP(C145,'Talente &amp; Stuff'!GX:HY,14,FALSE)</f>
        <v>0</v>
      </c>
      <c r="Q145" s="114">
        <f>VLOOKUP(C145,'Talente &amp; Stuff'!GX:HY,15,FALSE)</f>
        <v>0</v>
      </c>
      <c r="R145" s="113">
        <f>VLOOKUP(C145,'Talente &amp; Stuff'!GX:HY,16,FALSE)</f>
        <v>0</v>
      </c>
      <c r="S145" s="119">
        <f>VLOOKUP(C145,'Talente &amp; Stuff'!GX:HY,17,FALSE)</f>
        <v>0</v>
      </c>
      <c r="T145" s="119">
        <f>VLOOKUP(C145,'Talente &amp; Stuff'!GX:HY,18,FALSE)</f>
        <v>0</v>
      </c>
      <c r="U145" s="89">
        <f>VLOOKUP(C145,'Talente &amp; Stuff'!GX:HY,19,FALSE)</f>
        <v>0</v>
      </c>
      <c r="V145" s="47">
        <f>VLOOKUP(C145,'Talente &amp; Stuff'!GX:HY,20,FALSE)</f>
        <v>0</v>
      </c>
      <c r="W145" s="127">
        <f>VLOOKUP(C145,'Talente &amp; Stuff'!GX:HY,21,FALSE)</f>
        <v>0</v>
      </c>
      <c r="X145" s="127">
        <f>VLOOKUP(C145,'Talente &amp; Stuff'!GX:HY,22,FALSE)</f>
        <v>0</v>
      </c>
      <c r="Y145" s="165">
        <f t="shared" si="14"/>
        <v>0</v>
      </c>
      <c r="Z145" s="44">
        <f t="shared" si="15"/>
        <v>0</v>
      </c>
      <c r="AA145" s="125">
        <f>VLOOKUP(C145,'Talente &amp; Stuff'!GX:HY,25,FALSE)</f>
        <v>0</v>
      </c>
      <c r="AB145" s="160">
        <f>VLOOKUP(C145,'Talente &amp; Stuff'!GX:HY,26,FALSE)</f>
        <v>0</v>
      </c>
      <c r="AC145" s="127">
        <f>VLOOKUP(C145,'Talente &amp; Stuff'!GX:HY,27,FALSE)</f>
        <v>0</v>
      </c>
      <c r="AD145" s="125">
        <f>VLOOKUP(C145,'Talente &amp; Stuff'!GX:HY,28,FALSE)</f>
        <v>0</v>
      </c>
      <c r="AE145" s="28"/>
    </row>
    <row r="146" spans="2:31" ht="15" hidden="1" customHeight="1" outlineLevel="2">
      <c r="B146" s="148">
        <v>19</v>
      </c>
      <c r="C146" s="177" t="str">
        <f>Attribute!C146</f>
        <v>---</v>
      </c>
      <c r="D146" s="125" t="str">
        <f>VLOOKUP(C146,'Talente &amp; Stuff'!GX:HY,2,FALSE)</f>
        <v>--/--/--</v>
      </c>
      <c r="E146" s="127" t="str">
        <f>VLOOKUP(C146,'Talente &amp; Stuff'!GX:HY,3,FALSE)</f>
        <v>-</v>
      </c>
      <c r="F146" s="114">
        <f>VLOOKUP(C146,'Talente &amp; Stuff'!GX:HY,4,FALSE)</f>
        <v>0</v>
      </c>
      <c r="G146" s="113">
        <f>VLOOKUP(C146,'Talente &amp; Stuff'!GX:HY,5,FALSE)</f>
        <v>0</v>
      </c>
      <c r="H146" s="113">
        <f>VLOOKUP(C146,'Talente &amp; Stuff'!GX:HY,6,FALSE)</f>
        <v>0</v>
      </c>
      <c r="I146" s="113">
        <f>VLOOKUP(C146,'Talente &amp; Stuff'!GX:HY,7,FALSE)</f>
        <v>0</v>
      </c>
      <c r="J146" s="113">
        <f>VLOOKUP(C146,'Talente &amp; Stuff'!GX:HY,8,FALSE)</f>
        <v>0</v>
      </c>
      <c r="K146" s="113">
        <f>VLOOKUP(C146,'Talente &amp; Stuff'!GX:HY,9,FALSE)</f>
        <v>0</v>
      </c>
      <c r="L146" s="113">
        <f>VLOOKUP(C146,'Talente &amp; Stuff'!GX:HY,10,FALSE)</f>
        <v>0</v>
      </c>
      <c r="M146" s="119">
        <f>VLOOKUP(C146,'Talente &amp; Stuff'!GX:HY,11,FALSE)</f>
        <v>0</v>
      </c>
      <c r="N146" s="47">
        <f>VLOOKUP(C146,'Talente &amp; Stuff'!GX:HY,12,FALSE)</f>
        <v>0</v>
      </c>
      <c r="O146" s="47">
        <f>VLOOKUP(C146,'Talente &amp; Stuff'!GX:HY,13,FALSE)</f>
        <v>0</v>
      </c>
      <c r="P146" s="119">
        <f>VLOOKUP(C146,'Talente &amp; Stuff'!GX:HY,14,FALSE)</f>
        <v>0</v>
      </c>
      <c r="Q146" s="114">
        <f>VLOOKUP(C146,'Talente &amp; Stuff'!GX:HY,15,FALSE)</f>
        <v>0</v>
      </c>
      <c r="R146" s="113">
        <f>VLOOKUP(C146,'Talente &amp; Stuff'!GX:HY,16,FALSE)</f>
        <v>0</v>
      </c>
      <c r="S146" s="119">
        <f>VLOOKUP(C146,'Talente &amp; Stuff'!GX:HY,17,FALSE)</f>
        <v>0</v>
      </c>
      <c r="T146" s="119">
        <f>VLOOKUP(C146,'Talente &amp; Stuff'!GX:HY,18,FALSE)</f>
        <v>0</v>
      </c>
      <c r="U146" s="89">
        <f>VLOOKUP(C146,'Talente &amp; Stuff'!GX:HY,19,FALSE)</f>
        <v>0</v>
      </c>
      <c r="V146" s="47">
        <f>VLOOKUP(C146,'Talente &amp; Stuff'!GX:HY,20,FALSE)</f>
        <v>0</v>
      </c>
      <c r="W146" s="127">
        <f>VLOOKUP(C146,'Talente &amp; Stuff'!GX:HY,21,FALSE)</f>
        <v>0</v>
      </c>
      <c r="X146" s="127">
        <f>VLOOKUP(C146,'Talente &amp; Stuff'!GX:HY,22,FALSE)</f>
        <v>0</v>
      </c>
      <c r="Y146" s="165">
        <f t="shared" si="14"/>
        <v>0</v>
      </c>
      <c r="Z146" s="44">
        <f t="shared" si="15"/>
        <v>0</v>
      </c>
      <c r="AA146" s="125">
        <f>VLOOKUP(C146,'Talente &amp; Stuff'!GX:HY,25,FALSE)</f>
        <v>0</v>
      </c>
      <c r="AB146" s="160">
        <f>VLOOKUP(C146,'Talente &amp; Stuff'!GX:HY,26,FALSE)</f>
        <v>0</v>
      </c>
      <c r="AC146" s="127">
        <f>VLOOKUP(C146,'Talente &amp; Stuff'!GX:HY,27,FALSE)</f>
        <v>0</v>
      </c>
      <c r="AD146" s="125">
        <f>VLOOKUP(C146,'Talente &amp; Stuff'!GX:HY,28,FALSE)</f>
        <v>0</v>
      </c>
      <c r="AE146" s="28"/>
    </row>
    <row r="147" spans="2:31" ht="15" hidden="1" customHeight="1" outlineLevel="2">
      <c r="B147" s="148">
        <v>20</v>
      </c>
      <c r="C147" s="177" t="str">
        <f>Attribute!C147</f>
        <v>---</v>
      </c>
      <c r="D147" s="125" t="str">
        <f>VLOOKUP(C147,'Talente &amp; Stuff'!GX:HY,2,FALSE)</f>
        <v>--/--/--</v>
      </c>
      <c r="E147" s="127" t="str">
        <f>VLOOKUP(C147,'Talente &amp; Stuff'!GX:HY,3,FALSE)</f>
        <v>-</v>
      </c>
      <c r="F147" s="114">
        <f>VLOOKUP(C147,'Talente &amp; Stuff'!GX:HY,4,FALSE)</f>
        <v>0</v>
      </c>
      <c r="G147" s="113">
        <f>VLOOKUP(C147,'Talente &amp; Stuff'!GX:HY,5,FALSE)</f>
        <v>0</v>
      </c>
      <c r="H147" s="113">
        <f>VLOOKUP(C147,'Talente &amp; Stuff'!GX:HY,6,FALSE)</f>
        <v>0</v>
      </c>
      <c r="I147" s="113">
        <f>VLOOKUP(C147,'Talente &amp; Stuff'!GX:HY,7,FALSE)</f>
        <v>0</v>
      </c>
      <c r="J147" s="113">
        <f>VLOOKUP(C147,'Talente &amp; Stuff'!GX:HY,8,FALSE)</f>
        <v>0</v>
      </c>
      <c r="K147" s="113">
        <f>VLOOKUP(C147,'Talente &amp; Stuff'!GX:HY,9,FALSE)</f>
        <v>0</v>
      </c>
      <c r="L147" s="113">
        <f>VLOOKUP(C147,'Talente &amp; Stuff'!GX:HY,10,FALSE)</f>
        <v>0</v>
      </c>
      <c r="M147" s="119">
        <f>VLOOKUP(C147,'Talente &amp; Stuff'!GX:HY,11,FALSE)</f>
        <v>0</v>
      </c>
      <c r="N147" s="47">
        <f>VLOOKUP(C147,'Talente &amp; Stuff'!GX:HY,12,FALSE)</f>
        <v>0</v>
      </c>
      <c r="O147" s="47">
        <f>VLOOKUP(C147,'Talente &amp; Stuff'!GX:HY,13,FALSE)</f>
        <v>0</v>
      </c>
      <c r="P147" s="119">
        <f>VLOOKUP(C147,'Talente &amp; Stuff'!GX:HY,14,FALSE)</f>
        <v>0</v>
      </c>
      <c r="Q147" s="114">
        <f>VLOOKUP(C147,'Talente &amp; Stuff'!GX:HY,15,FALSE)</f>
        <v>0</v>
      </c>
      <c r="R147" s="113">
        <f>VLOOKUP(C147,'Talente &amp; Stuff'!GX:HY,16,FALSE)</f>
        <v>0</v>
      </c>
      <c r="S147" s="119">
        <f>VLOOKUP(C147,'Talente &amp; Stuff'!GX:HY,17,FALSE)</f>
        <v>0</v>
      </c>
      <c r="T147" s="119">
        <f>VLOOKUP(C147,'Talente &amp; Stuff'!GX:HY,18,FALSE)</f>
        <v>0</v>
      </c>
      <c r="U147" s="89">
        <f>VLOOKUP(C147,'Talente &amp; Stuff'!GX:HY,19,FALSE)</f>
        <v>0</v>
      </c>
      <c r="V147" s="47">
        <f>VLOOKUP(C147,'Talente &amp; Stuff'!GX:HY,20,FALSE)</f>
        <v>0</v>
      </c>
      <c r="W147" s="127">
        <f>VLOOKUP(C147,'Talente &amp; Stuff'!GX:HY,21,FALSE)</f>
        <v>0</v>
      </c>
      <c r="X147" s="127">
        <f>VLOOKUP(C147,'Talente &amp; Stuff'!GX:HY,22,FALSE)</f>
        <v>0</v>
      </c>
      <c r="Y147" s="165">
        <f t="shared" si="14"/>
        <v>0</v>
      </c>
      <c r="Z147" s="44">
        <f t="shared" si="15"/>
        <v>0</v>
      </c>
      <c r="AA147" s="125">
        <f>VLOOKUP(C147,'Talente &amp; Stuff'!GX:HY,25,FALSE)</f>
        <v>0</v>
      </c>
      <c r="AB147" s="160">
        <f>VLOOKUP(C147,'Talente &amp; Stuff'!GX:HY,26,FALSE)</f>
        <v>0</v>
      </c>
      <c r="AC147" s="127">
        <f>VLOOKUP(C147,'Talente &amp; Stuff'!GX:HY,27,FALSE)</f>
        <v>0</v>
      </c>
      <c r="AD147" s="125">
        <f>VLOOKUP(C147,'Talente &amp; Stuff'!GX:HY,28,FALSE)</f>
        <v>0</v>
      </c>
      <c r="AE147" s="28"/>
    </row>
    <row r="148" spans="2:31" ht="15" hidden="1" customHeight="1" outlineLevel="2">
      <c r="B148" s="148">
        <v>21</v>
      </c>
      <c r="C148" s="177" t="str">
        <f>Attribute!C148</f>
        <v>---</v>
      </c>
      <c r="D148" s="125" t="str">
        <f>VLOOKUP(C148,'Talente &amp; Stuff'!GX:HY,2,FALSE)</f>
        <v>--/--/--</v>
      </c>
      <c r="E148" s="127" t="str">
        <f>VLOOKUP(C148,'Talente &amp; Stuff'!GX:HY,3,FALSE)</f>
        <v>-</v>
      </c>
      <c r="F148" s="114">
        <f>VLOOKUP(C148,'Talente &amp; Stuff'!GX:HY,4,FALSE)</f>
        <v>0</v>
      </c>
      <c r="G148" s="113">
        <f>VLOOKUP(C148,'Talente &amp; Stuff'!GX:HY,5,FALSE)</f>
        <v>0</v>
      </c>
      <c r="H148" s="113">
        <f>VLOOKUP(C148,'Talente &amp; Stuff'!GX:HY,6,FALSE)</f>
        <v>0</v>
      </c>
      <c r="I148" s="113">
        <f>VLOOKUP(C148,'Talente &amp; Stuff'!GX:HY,7,FALSE)</f>
        <v>0</v>
      </c>
      <c r="J148" s="113">
        <f>VLOOKUP(C148,'Talente &amp; Stuff'!GX:HY,8,FALSE)</f>
        <v>0</v>
      </c>
      <c r="K148" s="113">
        <f>VLOOKUP(C148,'Talente &amp; Stuff'!GX:HY,9,FALSE)</f>
        <v>0</v>
      </c>
      <c r="L148" s="113">
        <f>VLOOKUP(C148,'Talente &amp; Stuff'!GX:HY,10,FALSE)</f>
        <v>0</v>
      </c>
      <c r="M148" s="119">
        <f>VLOOKUP(C148,'Talente &amp; Stuff'!GX:HY,11,FALSE)</f>
        <v>0</v>
      </c>
      <c r="N148" s="47">
        <f>VLOOKUP(C148,'Talente &amp; Stuff'!GX:HY,12,FALSE)</f>
        <v>0</v>
      </c>
      <c r="O148" s="47">
        <f>VLOOKUP(C148,'Talente &amp; Stuff'!GX:HY,13,FALSE)</f>
        <v>0</v>
      </c>
      <c r="P148" s="119">
        <f>VLOOKUP(C148,'Talente &amp; Stuff'!GX:HY,14,FALSE)</f>
        <v>0</v>
      </c>
      <c r="Q148" s="114">
        <f>VLOOKUP(C148,'Talente &amp; Stuff'!GX:HY,15,FALSE)</f>
        <v>0</v>
      </c>
      <c r="R148" s="113">
        <f>VLOOKUP(C148,'Talente &amp; Stuff'!GX:HY,16,FALSE)</f>
        <v>0</v>
      </c>
      <c r="S148" s="119">
        <f>VLOOKUP(C148,'Talente &amp; Stuff'!GX:HY,17,FALSE)</f>
        <v>0</v>
      </c>
      <c r="T148" s="119">
        <f>VLOOKUP(C148,'Talente &amp; Stuff'!GX:HY,18,FALSE)</f>
        <v>0</v>
      </c>
      <c r="U148" s="89">
        <f>VLOOKUP(C148,'Talente &amp; Stuff'!GX:HY,19,FALSE)</f>
        <v>0</v>
      </c>
      <c r="V148" s="47">
        <f>VLOOKUP(C148,'Talente &amp; Stuff'!GX:HY,20,FALSE)</f>
        <v>0</v>
      </c>
      <c r="W148" s="127">
        <f>VLOOKUP(C148,'Talente &amp; Stuff'!GX:HY,21,FALSE)</f>
        <v>0</v>
      </c>
      <c r="X148" s="127">
        <f>VLOOKUP(C148,'Talente &amp; Stuff'!GX:HY,22,FALSE)</f>
        <v>0</v>
      </c>
      <c r="Y148" s="165">
        <f t="shared" si="14"/>
        <v>0</v>
      </c>
      <c r="Z148" s="44">
        <f t="shared" si="15"/>
        <v>0</v>
      </c>
      <c r="AA148" s="125">
        <f>VLOOKUP(C148,'Talente &amp; Stuff'!GX:HY,25,FALSE)</f>
        <v>0</v>
      </c>
      <c r="AB148" s="160">
        <f>VLOOKUP(C148,'Talente &amp; Stuff'!GX:HY,26,FALSE)</f>
        <v>0</v>
      </c>
      <c r="AC148" s="127">
        <f>VLOOKUP(C148,'Talente &amp; Stuff'!GX:HY,27,FALSE)</f>
        <v>0</v>
      </c>
      <c r="AD148" s="125">
        <f>VLOOKUP(C148,'Talente &amp; Stuff'!GX:HY,28,FALSE)</f>
        <v>0</v>
      </c>
      <c r="AE148" s="28"/>
    </row>
    <row r="149" spans="2:31" ht="15" hidden="1" customHeight="1" outlineLevel="2">
      <c r="B149" s="148">
        <v>22</v>
      </c>
      <c r="C149" s="177" t="str">
        <f>Attribute!C149</f>
        <v>---</v>
      </c>
      <c r="D149" s="125" t="str">
        <f>VLOOKUP(C149,'Talente &amp; Stuff'!GX:HY,2,FALSE)</f>
        <v>--/--/--</v>
      </c>
      <c r="E149" s="127" t="str">
        <f>VLOOKUP(C149,'Talente &amp; Stuff'!GX:HY,3,FALSE)</f>
        <v>-</v>
      </c>
      <c r="F149" s="114">
        <f>VLOOKUP(C149,'Talente &amp; Stuff'!GX:HY,4,FALSE)</f>
        <v>0</v>
      </c>
      <c r="G149" s="113">
        <f>VLOOKUP(C149,'Talente &amp; Stuff'!GX:HY,5,FALSE)</f>
        <v>0</v>
      </c>
      <c r="H149" s="113">
        <f>VLOOKUP(C149,'Talente &amp; Stuff'!GX:HY,6,FALSE)</f>
        <v>0</v>
      </c>
      <c r="I149" s="113">
        <f>VLOOKUP(C149,'Talente &amp; Stuff'!GX:HY,7,FALSE)</f>
        <v>0</v>
      </c>
      <c r="J149" s="113">
        <f>VLOOKUP(C149,'Talente &amp; Stuff'!GX:HY,8,FALSE)</f>
        <v>0</v>
      </c>
      <c r="K149" s="113">
        <f>VLOOKUP(C149,'Talente &amp; Stuff'!GX:HY,9,FALSE)</f>
        <v>0</v>
      </c>
      <c r="L149" s="113">
        <f>VLOOKUP(C149,'Talente &amp; Stuff'!GX:HY,10,FALSE)</f>
        <v>0</v>
      </c>
      <c r="M149" s="119">
        <f>VLOOKUP(C149,'Talente &amp; Stuff'!GX:HY,11,FALSE)</f>
        <v>0</v>
      </c>
      <c r="N149" s="47">
        <f>VLOOKUP(C149,'Talente &amp; Stuff'!GX:HY,12,FALSE)</f>
        <v>0</v>
      </c>
      <c r="O149" s="47">
        <f>VLOOKUP(C149,'Talente &amp; Stuff'!GX:HY,13,FALSE)</f>
        <v>0</v>
      </c>
      <c r="P149" s="119">
        <f>VLOOKUP(C149,'Talente &amp; Stuff'!GX:HY,14,FALSE)</f>
        <v>0</v>
      </c>
      <c r="Q149" s="114">
        <f>VLOOKUP(C149,'Talente &amp; Stuff'!GX:HY,15,FALSE)</f>
        <v>0</v>
      </c>
      <c r="R149" s="113">
        <f>VLOOKUP(C149,'Talente &amp; Stuff'!GX:HY,16,FALSE)</f>
        <v>0</v>
      </c>
      <c r="S149" s="119">
        <f>VLOOKUP(C149,'Talente &amp; Stuff'!GX:HY,17,FALSE)</f>
        <v>0</v>
      </c>
      <c r="T149" s="119">
        <f>VLOOKUP(C149,'Talente &amp; Stuff'!GX:HY,18,FALSE)</f>
        <v>0</v>
      </c>
      <c r="U149" s="89">
        <f>VLOOKUP(C149,'Talente &amp; Stuff'!GX:HY,19,FALSE)</f>
        <v>0</v>
      </c>
      <c r="V149" s="47">
        <f>VLOOKUP(C149,'Talente &amp; Stuff'!GX:HY,20,FALSE)</f>
        <v>0</v>
      </c>
      <c r="W149" s="127">
        <f>VLOOKUP(C149,'Talente &amp; Stuff'!GX:HY,21,FALSE)</f>
        <v>0</v>
      </c>
      <c r="X149" s="127">
        <f>VLOOKUP(C149,'Talente &amp; Stuff'!GX:HY,22,FALSE)</f>
        <v>0</v>
      </c>
      <c r="Y149" s="165">
        <f t="shared" si="14"/>
        <v>0</v>
      </c>
      <c r="Z149" s="44">
        <f t="shared" si="15"/>
        <v>0</v>
      </c>
      <c r="AA149" s="125">
        <f>VLOOKUP(C149,'Talente &amp; Stuff'!GX:HY,25,FALSE)</f>
        <v>0</v>
      </c>
      <c r="AB149" s="160">
        <f>VLOOKUP(C149,'Talente &amp; Stuff'!GX:HY,26,FALSE)</f>
        <v>0</v>
      </c>
      <c r="AC149" s="127">
        <f>VLOOKUP(C149,'Talente &amp; Stuff'!GX:HY,27,FALSE)</f>
        <v>0</v>
      </c>
      <c r="AD149" s="125">
        <f>VLOOKUP(C149,'Talente &amp; Stuff'!GX:HY,28,FALSE)</f>
        <v>0</v>
      </c>
      <c r="AE149" s="28"/>
    </row>
    <row r="150" spans="2:31" ht="15" hidden="1" customHeight="1" outlineLevel="2">
      <c r="B150" s="148">
        <v>23</v>
      </c>
      <c r="C150" s="177" t="str">
        <f>Attribute!C150</f>
        <v>---</v>
      </c>
      <c r="D150" s="125" t="str">
        <f>VLOOKUP(C150,'Talente &amp; Stuff'!GX:HY,2,FALSE)</f>
        <v>--/--/--</v>
      </c>
      <c r="E150" s="127" t="str">
        <f>VLOOKUP(C150,'Talente &amp; Stuff'!GX:HY,3,FALSE)</f>
        <v>-</v>
      </c>
      <c r="F150" s="114">
        <f>VLOOKUP(C150,'Talente &amp; Stuff'!GX:HY,4,FALSE)</f>
        <v>0</v>
      </c>
      <c r="G150" s="113">
        <f>VLOOKUP(C150,'Talente &amp; Stuff'!GX:HY,5,FALSE)</f>
        <v>0</v>
      </c>
      <c r="H150" s="113">
        <f>VLOOKUP(C150,'Talente &amp; Stuff'!GX:HY,6,FALSE)</f>
        <v>0</v>
      </c>
      <c r="I150" s="113">
        <f>VLOOKUP(C150,'Talente &amp; Stuff'!GX:HY,7,FALSE)</f>
        <v>0</v>
      </c>
      <c r="J150" s="113">
        <f>VLOOKUP(C150,'Talente &amp; Stuff'!GX:HY,8,FALSE)</f>
        <v>0</v>
      </c>
      <c r="K150" s="113">
        <f>VLOOKUP(C150,'Talente &amp; Stuff'!GX:HY,9,FALSE)</f>
        <v>0</v>
      </c>
      <c r="L150" s="113">
        <f>VLOOKUP(C150,'Talente &amp; Stuff'!GX:HY,10,FALSE)</f>
        <v>0</v>
      </c>
      <c r="M150" s="119">
        <f>VLOOKUP(C150,'Talente &amp; Stuff'!GX:HY,11,FALSE)</f>
        <v>0</v>
      </c>
      <c r="N150" s="47">
        <f>VLOOKUP(C150,'Talente &amp; Stuff'!GX:HY,12,FALSE)</f>
        <v>0</v>
      </c>
      <c r="O150" s="47">
        <f>VLOOKUP(C150,'Talente &amp; Stuff'!GX:HY,13,FALSE)</f>
        <v>0</v>
      </c>
      <c r="P150" s="119">
        <f>VLOOKUP(C150,'Talente &amp; Stuff'!GX:HY,14,FALSE)</f>
        <v>0</v>
      </c>
      <c r="Q150" s="114">
        <f>VLOOKUP(C150,'Talente &amp; Stuff'!GX:HY,15,FALSE)</f>
        <v>0</v>
      </c>
      <c r="R150" s="113">
        <f>VLOOKUP(C150,'Talente &amp; Stuff'!GX:HY,16,FALSE)</f>
        <v>0</v>
      </c>
      <c r="S150" s="119">
        <f>VLOOKUP(C150,'Talente &amp; Stuff'!GX:HY,17,FALSE)</f>
        <v>0</v>
      </c>
      <c r="T150" s="119">
        <f>VLOOKUP(C150,'Talente &amp; Stuff'!GX:HY,18,FALSE)</f>
        <v>0</v>
      </c>
      <c r="U150" s="89">
        <f>VLOOKUP(C150,'Talente &amp; Stuff'!GX:HY,19,FALSE)</f>
        <v>0</v>
      </c>
      <c r="V150" s="47">
        <f>VLOOKUP(C150,'Talente &amp; Stuff'!GX:HY,20,FALSE)</f>
        <v>0</v>
      </c>
      <c r="W150" s="127">
        <f>VLOOKUP(C150,'Talente &amp; Stuff'!GX:HY,21,FALSE)</f>
        <v>0</v>
      </c>
      <c r="X150" s="127">
        <f>VLOOKUP(C150,'Talente &amp; Stuff'!GX:HY,22,FALSE)</f>
        <v>0</v>
      </c>
      <c r="Y150" s="165">
        <f t="shared" si="14"/>
        <v>0</v>
      </c>
      <c r="Z150" s="44">
        <f t="shared" si="15"/>
        <v>0</v>
      </c>
      <c r="AA150" s="125">
        <f>VLOOKUP(C150,'Talente &amp; Stuff'!GX:HY,25,FALSE)</f>
        <v>0</v>
      </c>
      <c r="AB150" s="160">
        <f>VLOOKUP(C150,'Talente &amp; Stuff'!GX:HY,26,FALSE)</f>
        <v>0</v>
      </c>
      <c r="AC150" s="127">
        <f>VLOOKUP(C150,'Talente &amp; Stuff'!GX:HY,27,FALSE)</f>
        <v>0</v>
      </c>
      <c r="AD150" s="125">
        <f>VLOOKUP(C150,'Talente &amp; Stuff'!GX:HY,28,FALSE)</f>
        <v>0</v>
      </c>
      <c r="AE150" s="28"/>
    </row>
    <row r="151" spans="2:31" ht="15" hidden="1" customHeight="1" outlineLevel="2">
      <c r="B151" s="148">
        <v>24</v>
      </c>
      <c r="C151" s="178" t="str">
        <f>Attribute!C151</f>
        <v>---</v>
      </c>
      <c r="D151" s="159" t="str">
        <f>VLOOKUP(C151,'Talente &amp; Stuff'!GX:HY,2,FALSE)</f>
        <v>--/--/--</v>
      </c>
      <c r="E151" s="128" t="str">
        <f>VLOOKUP(C151,'Talente &amp; Stuff'!GX:HY,3,FALSE)</f>
        <v>-</v>
      </c>
      <c r="F151" s="115">
        <f>VLOOKUP(C151,'Talente &amp; Stuff'!GX:HY,4,FALSE)</f>
        <v>0</v>
      </c>
      <c r="G151" s="122">
        <f>VLOOKUP(C151,'Talente &amp; Stuff'!GX:HY,5,FALSE)</f>
        <v>0</v>
      </c>
      <c r="H151" s="122">
        <f>VLOOKUP(C151,'Talente &amp; Stuff'!GX:HY,6,FALSE)</f>
        <v>0</v>
      </c>
      <c r="I151" s="122">
        <f>VLOOKUP(C151,'Talente &amp; Stuff'!GX:HY,7,FALSE)</f>
        <v>0</v>
      </c>
      <c r="J151" s="122">
        <f>VLOOKUP(C151,'Talente &amp; Stuff'!GX:HY,8,FALSE)</f>
        <v>0</v>
      </c>
      <c r="K151" s="122">
        <f>VLOOKUP(C151,'Talente &amp; Stuff'!GX:HY,9,FALSE)</f>
        <v>0</v>
      </c>
      <c r="L151" s="122">
        <f>VLOOKUP(C151,'Talente &amp; Stuff'!GX:HY,10,FALSE)</f>
        <v>0</v>
      </c>
      <c r="M151" s="123">
        <f>VLOOKUP(C151,'Talente &amp; Stuff'!GX:HY,11,FALSE)</f>
        <v>0</v>
      </c>
      <c r="N151" s="88">
        <f>VLOOKUP(C151,'Talente &amp; Stuff'!GX:HY,12,FALSE)</f>
        <v>0</v>
      </c>
      <c r="O151" s="88">
        <f>VLOOKUP(C151,'Talente &amp; Stuff'!GX:HY,13,FALSE)</f>
        <v>0</v>
      </c>
      <c r="P151" s="123">
        <f>VLOOKUP(C151,'Talente &amp; Stuff'!GX:HY,14,FALSE)</f>
        <v>0</v>
      </c>
      <c r="Q151" s="115">
        <f>VLOOKUP(C151,'Talente &amp; Stuff'!GX:HY,15,FALSE)</f>
        <v>0</v>
      </c>
      <c r="R151" s="122">
        <f>VLOOKUP(C151,'Talente &amp; Stuff'!GX:HY,16,FALSE)</f>
        <v>0</v>
      </c>
      <c r="S151" s="123">
        <f>VLOOKUP(C151,'Talente &amp; Stuff'!GX:HY,17,FALSE)</f>
        <v>0</v>
      </c>
      <c r="T151" s="123">
        <f>VLOOKUP(C151,'Talente &amp; Stuff'!GX:HY,18,FALSE)</f>
        <v>0</v>
      </c>
      <c r="U151" s="90">
        <f>VLOOKUP(C151,'Talente &amp; Stuff'!GX:HY,19,FALSE)</f>
        <v>0</v>
      </c>
      <c r="V151" s="88">
        <f>VLOOKUP(C151,'Talente &amp; Stuff'!GX:HY,20,FALSE)</f>
        <v>0</v>
      </c>
      <c r="W151" s="128">
        <f>VLOOKUP(C151,'Talente &amp; Stuff'!GX:HY,21,FALSE)</f>
        <v>0</v>
      </c>
      <c r="X151" s="128">
        <f>VLOOKUP(C151,'Talente &amp; Stuff'!GX:HY,22,FALSE)</f>
        <v>0</v>
      </c>
      <c r="Y151" s="165">
        <f t="shared" si="14"/>
        <v>0</v>
      </c>
      <c r="Z151" s="44">
        <f t="shared" si="15"/>
        <v>0</v>
      </c>
      <c r="AA151" s="159">
        <f>VLOOKUP(C151,'Talente &amp; Stuff'!GX:HY,25,FALSE)</f>
        <v>0</v>
      </c>
      <c r="AB151" s="161">
        <f>VLOOKUP(C151,'Talente &amp; Stuff'!GX:HY,26,FALSE)</f>
        <v>0</v>
      </c>
      <c r="AC151" s="128">
        <f>VLOOKUP(C151,'Talente &amp; Stuff'!GX:HY,27,FALSE)</f>
        <v>0</v>
      </c>
      <c r="AD151" s="159">
        <f>VLOOKUP(C151,'Talente &amp; Stuff'!GX:HY,28,FALSE)</f>
        <v>0</v>
      </c>
      <c r="AE151" s="28"/>
    </row>
    <row r="152" spans="2:31" ht="15" hidden="1" customHeight="1" outlineLevel="1" collapsed="1">
      <c r="B152" s="134" t="s">
        <v>329</v>
      </c>
      <c r="C152" s="83"/>
      <c r="D152" s="84"/>
      <c r="E152" s="84"/>
    </row>
    <row r="153" spans="2:31" ht="15" hidden="1" customHeight="1" outlineLevel="2">
      <c r="B153" s="148">
        <v>1</v>
      </c>
      <c r="C153" s="176" t="str">
        <f>Attribute!C153</f>
        <v>---</v>
      </c>
      <c r="D153" s="85" t="str">
        <f>VLOOKUP(C153,'Talente &amp; Stuff'!GX:HY,2,FALSE)</f>
        <v>--/--/--</v>
      </c>
      <c r="E153" s="168" t="str">
        <f>VLOOKUP(C153,'Talente &amp; Stuff'!GX:HY,3,FALSE)</f>
        <v>-</v>
      </c>
      <c r="F153" s="171">
        <f>VLOOKUP(C153,'Talente &amp; Stuff'!GX:HY,4,FALSE)</f>
        <v>0</v>
      </c>
      <c r="G153" s="170">
        <f>VLOOKUP(C153,'Talente &amp; Stuff'!GX:HY,5,FALSE)</f>
        <v>0</v>
      </c>
      <c r="H153" s="170">
        <f>VLOOKUP(C153,'Talente &amp; Stuff'!GX:HY,6,FALSE)</f>
        <v>0</v>
      </c>
      <c r="I153" s="170">
        <f>VLOOKUP(C153,'Talente &amp; Stuff'!GX:HY,7,FALSE)</f>
        <v>0</v>
      </c>
      <c r="J153" s="170">
        <f>VLOOKUP(C153,'Talente &amp; Stuff'!GX:HY,8,FALSE)</f>
        <v>0</v>
      </c>
      <c r="K153" s="170">
        <f>VLOOKUP(C153,'Talente &amp; Stuff'!GX:HY,9,FALSE)</f>
        <v>0</v>
      </c>
      <c r="L153" s="170">
        <f>VLOOKUP(C153,'Talente &amp; Stuff'!GX:HY,10,FALSE)</f>
        <v>0</v>
      </c>
      <c r="M153" s="172">
        <f>VLOOKUP(C153,'Talente &amp; Stuff'!GX:HY,11,FALSE)</f>
        <v>0</v>
      </c>
      <c r="N153" s="116">
        <f>VLOOKUP(C153,'Talente &amp; Stuff'!GX:HY,12,FALSE)</f>
        <v>0</v>
      </c>
      <c r="O153" s="194">
        <f>VLOOKUP(C153,'Talente &amp; Stuff'!GX:HY,13,FALSE)</f>
        <v>0</v>
      </c>
      <c r="P153" s="192">
        <f>VLOOKUP(C153,'Talente &amp; Stuff'!GX:HY,14,FALSE)</f>
        <v>0</v>
      </c>
      <c r="Q153" s="191">
        <f>VLOOKUP(C153,'Talente &amp; Stuff'!GX:HY,15,FALSE)</f>
        <v>0</v>
      </c>
      <c r="R153" s="170">
        <f>VLOOKUP(C153,'Talente &amp; Stuff'!GX:HY,16,FALSE)</f>
        <v>0</v>
      </c>
      <c r="S153" s="92">
        <f>VLOOKUP(C153,'Talente &amp; Stuff'!GX:HY,17,FALSE)</f>
        <v>0</v>
      </c>
      <c r="T153" s="92">
        <f>VLOOKUP(C153,'Talente &amp; Stuff'!GX:HY,18,FALSE)</f>
        <v>0</v>
      </c>
      <c r="U153" s="193">
        <f>VLOOKUP(C153,'Talente &amp; Stuff'!GX:HY,19,FALSE)</f>
        <v>0</v>
      </c>
      <c r="V153" s="116">
        <f>VLOOKUP(C153,'Talente &amp; Stuff'!GX:HY,20,FALSE)</f>
        <v>0</v>
      </c>
      <c r="W153" s="126">
        <f>VLOOKUP(C153,'Talente &amp; Stuff'!GX:HY,21,FALSE)</f>
        <v>0</v>
      </c>
      <c r="X153" s="126">
        <f>VLOOKUP(C153,'Talente &amp; Stuff'!GX:HY,22,FALSE)</f>
        <v>0</v>
      </c>
      <c r="Y153" s="165">
        <f t="shared" ref="Y153:Y184" si="16">VLOOKUP(C153,Ausgewählte_Zauber_Gildenmagier,226,FALSE)</f>
        <v>0</v>
      </c>
      <c r="Z153" s="44">
        <f t="shared" ref="Z153:Z184" si="17">VLOOKUP(C153,Ausgewählte_Zauber_Gildenmagier,227,FALSE)</f>
        <v>0</v>
      </c>
      <c r="AA153" s="158">
        <f>VLOOKUP(C153,'Talente &amp; Stuff'!GX:HY,25,FALSE)</f>
        <v>0</v>
      </c>
      <c r="AB153" s="91">
        <f>VLOOKUP(C153,'Talente &amp; Stuff'!GX:HY,26,FALSE)</f>
        <v>0</v>
      </c>
      <c r="AC153" s="126">
        <f>VLOOKUP(C153,'Talente &amp; Stuff'!GX:HY,27,FALSE)</f>
        <v>0</v>
      </c>
      <c r="AD153" s="158">
        <f>VLOOKUP(C153,'Talente &amp; Stuff'!GX:HY,28,FALSE)</f>
        <v>0</v>
      </c>
      <c r="AE153" s="28"/>
    </row>
    <row r="154" spans="2:31" ht="15" hidden="1" customHeight="1" outlineLevel="2">
      <c r="B154" s="148">
        <v>2</v>
      </c>
      <c r="C154" s="177" t="str">
        <f>Attribute!C154</f>
        <v>---</v>
      </c>
      <c r="D154" s="86" t="str">
        <f>VLOOKUP(C154,'Talente &amp; Stuff'!GX:HY,2,FALSE)</f>
        <v>--/--/--</v>
      </c>
      <c r="E154" s="167" t="str">
        <f>VLOOKUP(C154,'Talente &amp; Stuff'!GX:HY,3,FALSE)</f>
        <v>-</v>
      </c>
      <c r="F154" s="120">
        <f>VLOOKUP(C154,'Talente &amp; Stuff'!GX:HY,4,FALSE)</f>
        <v>0</v>
      </c>
      <c r="G154" s="117">
        <f>VLOOKUP(C154,'Talente &amp; Stuff'!GX:HY,5,FALSE)</f>
        <v>0</v>
      </c>
      <c r="H154" s="117">
        <f>VLOOKUP(C154,'Talente &amp; Stuff'!GX:HY,6,FALSE)</f>
        <v>0</v>
      </c>
      <c r="I154" s="117">
        <f>VLOOKUP(C154,'Talente &amp; Stuff'!GX:HY,7,FALSE)</f>
        <v>0</v>
      </c>
      <c r="J154" s="117">
        <f>VLOOKUP(C154,'Talente &amp; Stuff'!GX:HY,8,FALSE)</f>
        <v>0</v>
      </c>
      <c r="K154" s="117">
        <f>VLOOKUP(C154,'Talente &amp; Stuff'!GX:HY,9,FALSE)</f>
        <v>0</v>
      </c>
      <c r="L154" s="117">
        <f>VLOOKUP(C154,'Talente &amp; Stuff'!GX:HY,10,FALSE)</f>
        <v>0</v>
      </c>
      <c r="M154" s="121">
        <f>VLOOKUP(C154,'Talente &amp; Stuff'!GX:HY,11,FALSE)</f>
        <v>0</v>
      </c>
      <c r="N154" s="47">
        <f>VLOOKUP(C154,'Talente &amp; Stuff'!GX:HY,12,FALSE)</f>
        <v>0</v>
      </c>
      <c r="O154" s="3">
        <f>VLOOKUP(C154,'Talente &amp; Stuff'!GX:HY,13,FALSE)</f>
        <v>0</v>
      </c>
      <c r="P154" s="174">
        <f>VLOOKUP(C154,'Talente &amp; Stuff'!GX:HY,14,FALSE)</f>
        <v>0</v>
      </c>
      <c r="Q154" s="114">
        <f>VLOOKUP(C154,'Talente &amp; Stuff'!GX:HY,15,FALSE)</f>
        <v>0</v>
      </c>
      <c r="R154" s="117">
        <f>VLOOKUP(C154,'Talente &amp; Stuff'!GX:HY,16,FALSE)</f>
        <v>0</v>
      </c>
      <c r="S154" s="119">
        <f>VLOOKUP(C154,'Talente &amp; Stuff'!GX:HY,17,FALSE)</f>
        <v>0</v>
      </c>
      <c r="T154" s="119">
        <f>VLOOKUP(C154,'Talente &amp; Stuff'!GX:HY,18,FALSE)</f>
        <v>0</v>
      </c>
      <c r="U154" s="89">
        <f>VLOOKUP(C154,'Talente &amp; Stuff'!GX:HY,19,FALSE)</f>
        <v>0</v>
      </c>
      <c r="V154" s="47">
        <f>VLOOKUP(C154,'Talente &amp; Stuff'!GX:HY,20,FALSE)</f>
        <v>0</v>
      </c>
      <c r="W154" s="127">
        <f>VLOOKUP(C154,'Talente &amp; Stuff'!GX:HY,21,FALSE)</f>
        <v>0</v>
      </c>
      <c r="X154" s="127">
        <f>VLOOKUP(C154,'Talente &amp; Stuff'!GX:HY,22,FALSE)</f>
        <v>0</v>
      </c>
      <c r="Y154" s="165">
        <f t="shared" si="16"/>
        <v>0</v>
      </c>
      <c r="Z154" s="44">
        <f t="shared" si="17"/>
        <v>0</v>
      </c>
      <c r="AA154" s="125">
        <f>VLOOKUP(C154,'Talente &amp; Stuff'!GX:HY,25,FALSE)</f>
        <v>0</v>
      </c>
      <c r="AB154" s="160">
        <f>VLOOKUP(C154,'Talente &amp; Stuff'!GX:HY,26,FALSE)</f>
        <v>0</v>
      </c>
      <c r="AC154" s="127">
        <f>VLOOKUP(C154,'Talente &amp; Stuff'!GX:HY,27,FALSE)</f>
        <v>0</v>
      </c>
      <c r="AD154" s="125">
        <f>VLOOKUP(C154,'Talente &amp; Stuff'!GX:HY,28,FALSE)</f>
        <v>0</v>
      </c>
      <c r="AE154" s="28"/>
    </row>
    <row r="155" spans="2:31" ht="15" hidden="1" customHeight="1" outlineLevel="2">
      <c r="B155" s="148">
        <v>3</v>
      </c>
      <c r="C155" s="177" t="str">
        <f>Attribute!C155</f>
        <v>---</v>
      </c>
      <c r="D155" s="86" t="str">
        <f>VLOOKUP(C155,'Talente &amp; Stuff'!GX:HY,2,FALSE)</f>
        <v>--/--/--</v>
      </c>
      <c r="E155" s="167" t="str">
        <f>VLOOKUP(C155,'Talente &amp; Stuff'!GX:HY,3,FALSE)</f>
        <v>-</v>
      </c>
      <c r="F155" s="120">
        <f>VLOOKUP(C155,'Talente &amp; Stuff'!GX:HY,4,FALSE)</f>
        <v>0</v>
      </c>
      <c r="G155" s="117">
        <f>VLOOKUP(C155,'Talente &amp; Stuff'!GX:HY,5,FALSE)</f>
        <v>0</v>
      </c>
      <c r="H155" s="117">
        <f>VLOOKUP(C155,'Talente &amp; Stuff'!GX:HY,6,FALSE)</f>
        <v>0</v>
      </c>
      <c r="I155" s="117">
        <f>VLOOKUP(C155,'Talente &amp; Stuff'!GX:HY,7,FALSE)</f>
        <v>0</v>
      </c>
      <c r="J155" s="117">
        <f>VLOOKUP(C155,'Talente &amp; Stuff'!GX:HY,8,FALSE)</f>
        <v>0</v>
      </c>
      <c r="K155" s="117">
        <f>VLOOKUP(C155,'Talente &amp; Stuff'!GX:HY,9,FALSE)</f>
        <v>0</v>
      </c>
      <c r="L155" s="117">
        <f>VLOOKUP(C155,'Talente &amp; Stuff'!GX:HY,10,FALSE)</f>
        <v>0</v>
      </c>
      <c r="M155" s="121">
        <f>VLOOKUP(C155,'Talente &amp; Stuff'!GX:HY,11,FALSE)</f>
        <v>0</v>
      </c>
      <c r="N155" s="47">
        <f>VLOOKUP(C155,'Talente &amp; Stuff'!GX:HY,12,FALSE)</f>
        <v>0</v>
      </c>
      <c r="O155" s="3">
        <f>VLOOKUP(C155,'Talente &amp; Stuff'!GX:HY,13,FALSE)</f>
        <v>0</v>
      </c>
      <c r="P155" s="174">
        <f>VLOOKUP(C155,'Talente &amp; Stuff'!GX:HY,14,FALSE)</f>
        <v>0</v>
      </c>
      <c r="Q155" s="114">
        <f>VLOOKUP(C155,'Talente &amp; Stuff'!GX:HY,15,FALSE)</f>
        <v>0</v>
      </c>
      <c r="R155" s="117">
        <f>VLOOKUP(C155,'Talente &amp; Stuff'!GX:HY,16,FALSE)</f>
        <v>0</v>
      </c>
      <c r="S155" s="119">
        <f>VLOOKUP(C155,'Talente &amp; Stuff'!GX:HY,17,FALSE)</f>
        <v>0</v>
      </c>
      <c r="T155" s="119">
        <f>VLOOKUP(C155,'Talente &amp; Stuff'!GX:HY,18,FALSE)</f>
        <v>0</v>
      </c>
      <c r="U155" s="89">
        <f>VLOOKUP(C155,'Talente &amp; Stuff'!GX:HY,19,FALSE)</f>
        <v>0</v>
      </c>
      <c r="V155" s="47">
        <f>VLOOKUP(C155,'Talente &amp; Stuff'!GX:HY,20,FALSE)</f>
        <v>0</v>
      </c>
      <c r="W155" s="127">
        <f>VLOOKUP(C155,'Talente &amp; Stuff'!GX:HY,21,FALSE)</f>
        <v>0</v>
      </c>
      <c r="X155" s="127">
        <f>VLOOKUP(C155,'Talente &amp; Stuff'!GX:HY,22,FALSE)</f>
        <v>0</v>
      </c>
      <c r="Y155" s="165">
        <f t="shared" si="16"/>
        <v>0</v>
      </c>
      <c r="Z155" s="44">
        <f t="shared" si="17"/>
        <v>0</v>
      </c>
      <c r="AA155" s="125">
        <f>VLOOKUP(C155,'Talente &amp; Stuff'!GX:HY,25,FALSE)</f>
        <v>0</v>
      </c>
      <c r="AB155" s="160">
        <f>VLOOKUP(C155,'Talente &amp; Stuff'!GX:HY,26,FALSE)</f>
        <v>0</v>
      </c>
      <c r="AC155" s="127">
        <f>VLOOKUP(C155,'Talente &amp; Stuff'!GX:HY,27,FALSE)</f>
        <v>0</v>
      </c>
      <c r="AD155" s="125">
        <f>VLOOKUP(C155,'Talente &amp; Stuff'!GX:HY,28,FALSE)</f>
        <v>0</v>
      </c>
      <c r="AE155" s="28"/>
    </row>
    <row r="156" spans="2:31" ht="15" hidden="1" customHeight="1" outlineLevel="2">
      <c r="B156" s="148">
        <v>4</v>
      </c>
      <c r="C156" s="177" t="str">
        <f>Attribute!C156</f>
        <v>---</v>
      </c>
      <c r="D156" s="86" t="str">
        <f>VLOOKUP(C156,'Talente &amp; Stuff'!GX:HY,2,FALSE)</f>
        <v>--/--/--</v>
      </c>
      <c r="E156" s="167" t="str">
        <f>VLOOKUP(C156,'Talente &amp; Stuff'!GX:HY,3,FALSE)</f>
        <v>-</v>
      </c>
      <c r="F156" s="120">
        <f>VLOOKUP(C156,'Talente &amp; Stuff'!GX:HY,4,FALSE)</f>
        <v>0</v>
      </c>
      <c r="G156" s="117">
        <f>VLOOKUP(C156,'Talente &amp; Stuff'!GX:HY,5,FALSE)</f>
        <v>0</v>
      </c>
      <c r="H156" s="117">
        <f>VLOOKUP(C156,'Talente &amp; Stuff'!GX:HY,6,FALSE)</f>
        <v>0</v>
      </c>
      <c r="I156" s="117">
        <f>VLOOKUP(C156,'Talente &amp; Stuff'!GX:HY,7,FALSE)</f>
        <v>0</v>
      </c>
      <c r="J156" s="117">
        <f>VLOOKUP(C156,'Talente &amp; Stuff'!GX:HY,8,FALSE)</f>
        <v>0</v>
      </c>
      <c r="K156" s="117">
        <f>VLOOKUP(C156,'Talente &amp; Stuff'!GX:HY,9,FALSE)</f>
        <v>0</v>
      </c>
      <c r="L156" s="117">
        <f>VLOOKUP(C156,'Talente &amp; Stuff'!GX:HY,10,FALSE)</f>
        <v>0</v>
      </c>
      <c r="M156" s="121">
        <f>VLOOKUP(C156,'Talente &amp; Stuff'!GX:HY,11,FALSE)</f>
        <v>0</v>
      </c>
      <c r="N156" s="47">
        <f>VLOOKUP(C156,'Talente &amp; Stuff'!GX:HY,12,FALSE)</f>
        <v>0</v>
      </c>
      <c r="O156" s="3">
        <f>VLOOKUP(C156,'Talente &amp; Stuff'!GX:HY,13,FALSE)</f>
        <v>0</v>
      </c>
      <c r="P156" s="174">
        <f>VLOOKUP(C156,'Talente &amp; Stuff'!GX:HY,14,FALSE)</f>
        <v>0</v>
      </c>
      <c r="Q156" s="114">
        <f>VLOOKUP(C156,'Talente &amp; Stuff'!GX:HY,15,FALSE)</f>
        <v>0</v>
      </c>
      <c r="R156" s="117">
        <f>VLOOKUP(C156,'Talente &amp; Stuff'!GX:HY,16,FALSE)</f>
        <v>0</v>
      </c>
      <c r="S156" s="119">
        <f>VLOOKUP(C156,'Talente &amp; Stuff'!GX:HY,17,FALSE)</f>
        <v>0</v>
      </c>
      <c r="T156" s="119">
        <f>VLOOKUP(C156,'Talente &amp; Stuff'!GX:HY,18,FALSE)</f>
        <v>0</v>
      </c>
      <c r="U156" s="89">
        <f>VLOOKUP(C156,'Talente &amp; Stuff'!GX:HY,19,FALSE)</f>
        <v>0</v>
      </c>
      <c r="V156" s="47">
        <f>VLOOKUP(C156,'Talente &amp; Stuff'!GX:HY,20,FALSE)</f>
        <v>0</v>
      </c>
      <c r="W156" s="127">
        <f>VLOOKUP(C156,'Talente &amp; Stuff'!GX:HY,21,FALSE)</f>
        <v>0</v>
      </c>
      <c r="X156" s="127">
        <f>VLOOKUP(C156,'Talente &amp; Stuff'!GX:HY,22,FALSE)</f>
        <v>0</v>
      </c>
      <c r="Y156" s="165">
        <f t="shared" si="16"/>
        <v>0</v>
      </c>
      <c r="Z156" s="44">
        <f t="shared" si="17"/>
        <v>0</v>
      </c>
      <c r="AA156" s="125">
        <f>VLOOKUP(C156,'Talente &amp; Stuff'!GX:HY,25,FALSE)</f>
        <v>0</v>
      </c>
      <c r="AB156" s="160">
        <f>VLOOKUP(C156,'Talente &amp; Stuff'!GX:HY,26,FALSE)</f>
        <v>0</v>
      </c>
      <c r="AC156" s="127">
        <f>VLOOKUP(C156,'Talente &amp; Stuff'!GX:HY,27,FALSE)</f>
        <v>0</v>
      </c>
      <c r="AD156" s="125">
        <f>VLOOKUP(C156,'Talente &amp; Stuff'!GX:HY,28,FALSE)</f>
        <v>0</v>
      </c>
      <c r="AE156" s="28"/>
    </row>
    <row r="157" spans="2:31" ht="15" hidden="1" customHeight="1" outlineLevel="2">
      <c r="B157" s="148">
        <v>5</v>
      </c>
      <c r="C157" s="177" t="str">
        <f>Attribute!C157</f>
        <v>---</v>
      </c>
      <c r="D157" s="86" t="str">
        <f>VLOOKUP(C157,'Talente &amp; Stuff'!GX:HY,2,FALSE)</f>
        <v>--/--/--</v>
      </c>
      <c r="E157" s="167" t="str">
        <f>VLOOKUP(C157,'Talente &amp; Stuff'!GX:HY,3,FALSE)</f>
        <v>-</v>
      </c>
      <c r="F157" s="120">
        <f>VLOOKUP(C157,'Talente &amp; Stuff'!GX:HY,4,FALSE)</f>
        <v>0</v>
      </c>
      <c r="G157" s="117">
        <f>VLOOKUP(C157,'Talente &amp; Stuff'!GX:HY,5,FALSE)</f>
        <v>0</v>
      </c>
      <c r="H157" s="117">
        <f>VLOOKUP(C157,'Talente &amp; Stuff'!GX:HY,6,FALSE)</f>
        <v>0</v>
      </c>
      <c r="I157" s="117">
        <f>VLOOKUP(C157,'Talente &amp; Stuff'!GX:HY,7,FALSE)</f>
        <v>0</v>
      </c>
      <c r="J157" s="117">
        <f>VLOOKUP(C157,'Talente &amp; Stuff'!GX:HY,8,FALSE)</f>
        <v>0</v>
      </c>
      <c r="K157" s="117">
        <f>VLOOKUP(C157,'Talente &amp; Stuff'!GX:HY,9,FALSE)</f>
        <v>0</v>
      </c>
      <c r="L157" s="117">
        <f>VLOOKUP(C157,'Talente &amp; Stuff'!GX:HY,10,FALSE)</f>
        <v>0</v>
      </c>
      <c r="M157" s="121">
        <f>VLOOKUP(C157,'Talente &amp; Stuff'!GX:HY,11,FALSE)</f>
        <v>0</v>
      </c>
      <c r="N157" s="47">
        <f>VLOOKUP(C157,'Talente &amp; Stuff'!GX:HY,12,FALSE)</f>
        <v>0</v>
      </c>
      <c r="O157" s="3">
        <f>VLOOKUP(C157,'Talente &amp; Stuff'!GX:HY,13,FALSE)</f>
        <v>0</v>
      </c>
      <c r="P157" s="174">
        <f>VLOOKUP(C157,'Talente &amp; Stuff'!GX:HY,14,FALSE)</f>
        <v>0</v>
      </c>
      <c r="Q157" s="114">
        <f>VLOOKUP(C157,'Talente &amp; Stuff'!GX:HY,15,FALSE)</f>
        <v>0</v>
      </c>
      <c r="R157" s="117">
        <f>VLOOKUP(C157,'Talente &amp; Stuff'!GX:HY,16,FALSE)</f>
        <v>0</v>
      </c>
      <c r="S157" s="119">
        <f>VLOOKUP(C157,'Talente &amp; Stuff'!GX:HY,17,FALSE)</f>
        <v>0</v>
      </c>
      <c r="T157" s="119">
        <f>VLOOKUP(C157,'Talente &amp; Stuff'!GX:HY,18,FALSE)</f>
        <v>0</v>
      </c>
      <c r="U157" s="89">
        <f>VLOOKUP(C157,'Talente &amp; Stuff'!GX:HY,19,FALSE)</f>
        <v>0</v>
      </c>
      <c r="V157" s="47">
        <f>VLOOKUP(C157,'Talente &amp; Stuff'!GX:HY,20,FALSE)</f>
        <v>0</v>
      </c>
      <c r="W157" s="127">
        <f>VLOOKUP(C157,'Talente &amp; Stuff'!GX:HY,21,FALSE)</f>
        <v>0</v>
      </c>
      <c r="X157" s="127">
        <f>VLOOKUP(C157,'Talente &amp; Stuff'!GX:HY,22,FALSE)</f>
        <v>0</v>
      </c>
      <c r="Y157" s="165">
        <f t="shared" si="16"/>
        <v>0</v>
      </c>
      <c r="Z157" s="44">
        <f t="shared" si="17"/>
        <v>0</v>
      </c>
      <c r="AA157" s="125">
        <f>VLOOKUP(C157,'Talente &amp; Stuff'!GX:HY,25,FALSE)</f>
        <v>0</v>
      </c>
      <c r="AB157" s="160">
        <f>VLOOKUP(C157,'Talente &amp; Stuff'!GX:HY,26,FALSE)</f>
        <v>0</v>
      </c>
      <c r="AC157" s="127">
        <f>VLOOKUP(C157,'Talente &amp; Stuff'!GX:HY,27,FALSE)</f>
        <v>0</v>
      </c>
      <c r="AD157" s="125">
        <f>VLOOKUP(C157,'Talente &amp; Stuff'!GX:HY,28,FALSE)</f>
        <v>0</v>
      </c>
      <c r="AE157" s="28"/>
    </row>
    <row r="158" spans="2:31" ht="15" hidden="1" customHeight="1" outlineLevel="2">
      <c r="B158" s="148">
        <v>6</v>
      </c>
      <c r="C158" s="177" t="str">
        <f>Attribute!C158</f>
        <v>---</v>
      </c>
      <c r="D158" s="86" t="str">
        <f>VLOOKUP(C158,'Talente &amp; Stuff'!GX:HY,2,FALSE)</f>
        <v>--/--/--</v>
      </c>
      <c r="E158" s="167" t="str">
        <f>VLOOKUP(C158,'Talente &amp; Stuff'!GX:HY,3,FALSE)</f>
        <v>-</v>
      </c>
      <c r="F158" s="120">
        <f>VLOOKUP(C158,'Talente &amp; Stuff'!GX:HY,4,FALSE)</f>
        <v>0</v>
      </c>
      <c r="G158" s="117">
        <f>VLOOKUP(C158,'Talente &amp; Stuff'!GX:HY,5,FALSE)</f>
        <v>0</v>
      </c>
      <c r="H158" s="117">
        <f>VLOOKUP(C158,'Talente &amp; Stuff'!GX:HY,6,FALSE)</f>
        <v>0</v>
      </c>
      <c r="I158" s="117">
        <f>VLOOKUP(C158,'Talente &amp; Stuff'!GX:HY,7,FALSE)</f>
        <v>0</v>
      </c>
      <c r="J158" s="117">
        <f>VLOOKUP(C158,'Talente &amp; Stuff'!GX:HY,8,FALSE)</f>
        <v>0</v>
      </c>
      <c r="K158" s="117">
        <f>VLOOKUP(C158,'Talente &amp; Stuff'!GX:HY,9,FALSE)</f>
        <v>0</v>
      </c>
      <c r="L158" s="117">
        <f>VLOOKUP(C158,'Talente &amp; Stuff'!GX:HY,10,FALSE)</f>
        <v>0</v>
      </c>
      <c r="M158" s="121">
        <f>VLOOKUP(C158,'Talente &amp; Stuff'!GX:HY,11,FALSE)</f>
        <v>0</v>
      </c>
      <c r="N158" s="47">
        <f>VLOOKUP(C158,'Talente &amp; Stuff'!GX:HY,12,FALSE)</f>
        <v>0</v>
      </c>
      <c r="O158" s="3">
        <f>VLOOKUP(C158,'Talente &amp; Stuff'!GX:HY,13,FALSE)</f>
        <v>0</v>
      </c>
      <c r="P158" s="174">
        <f>VLOOKUP(C158,'Talente &amp; Stuff'!GX:HY,14,FALSE)</f>
        <v>0</v>
      </c>
      <c r="Q158" s="114">
        <f>VLOOKUP(C158,'Talente &amp; Stuff'!GX:HY,15,FALSE)</f>
        <v>0</v>
      </c>
      <c r="R158" s="117">
        <f>VLOOKUP(C158,'Talente &amp; Stuff'!GX:HY,16,FALSE)</f>
        <v>0</v>
      </c>
      <c r="S158" s="119">
        <f>VLOOKUP(C158,'Talente &amp; Stuff'!GX:HY,17,FALSE)</f>
        <v>0</v>
      </c>
      <c r="T158" s="119">
        <f>VLOOKUP(C158,'Talente &amp; Stuff'!GX:HY,18,FALSE)</f>
        <v>0</v>
      </c>
      <c r="U158" s="89">
        <f>VLOOKUP(C158,'Talente &amp; Stuff'!GX:HY,19,FALSE)</f>
        <v>0</v>
      </c>
      <c r="V158" s="47">
        <f>VLOOKUP(C158,'Talente &amp; Stuff'!GX:HY,20,FALSE)</f>
        <v>0</v>
      </c>
      <c r="W158" s="127">
        <f>VLOOKUP(C158,'Talente &amp; Stuff'!GX:HY,21,FALSE)</f>
        <v>0</v>
      </c>
      <c r="X158" s="127">
        <f>VLOOKUP(C158,'Talente &amp; Stuff'!GX:HY,22,FALSE)</f>
        <v>0</v>
      </c>
      <c r="Y158" s="165">
        <f t="shared" si="16"/>
        <v>0</v>
      </c>
      <c r="Z158" s="44">
        <f t="shared" si="17"/>
        <v>0</v>
      </c>
      <c r="AA158" s="125">
        <f>VLOOKUP(C158,'Talente &amp; Stuff'!GX:HY,25,FALSE)</f>
        <v>0</v>
      </c>
      <c r="AB158" s="160">
        <f>VLOOKUP(C158,'Talente &amp; Stuff'!GX:HY,26,FALSE)</f>
        <v>0</v>
      </c>
      <c r="AC158" s="127">
        <f>VLOOKUP(C158,'Talente &amp; Stuff'!GX:HY,27,FALSE)</f>
        <v>0</v>
      </c>
      <c r="AD158" s="125">
        <f>VLOOKUP(C158,'Talente &amp; Stuff'!GX:HY,28,FALSE)</f>
        <v>0</v>
      </c>
      <c r="AE158" s="28"/>
    </row>
    <row r="159" spans="2:31" ht="15" hidden="1" customHeight="1" outlineLevel="2">
      <c r="B159" s="148">
        <v>7</v>
      </c>
      <c r="C159" s="177" t="str">
        <f>Attribute!C159</f>
        <v>---</v>
      </c>
      <c r="D159" s="86" t="str">
        <f>VLOOKUP(C159,'Talente &amp; Stuff'!GX:HY,2,FALSE)</f>
        <v>--/--/--</v>
      </c>
      <c r="E159" s="167" t="str">
        <f>VLOOKUP(C159,'Talente &amp; Stuff'!GX:HY,3,FALSE)</f>
        <v>-</v>
      </c>
      <c r="F159" s="120">
        <f>VLOOKUP(C159,'Talente &amp; Stuff'!GX:HY,4,FALSE)</f>
        <v>0</v>
      </c>
      <c r="G159" s="117">
        <f>VLOOKUP(C159,'Talente &amp; Stuff'!GX:HY,5,FALSE)</f>
        <v>0</v>
      </c>
      <c r="H159" s="117">
        <f>VLOOKUP(C159,'Talente &amp; Stuff'!GX:HY,6,FALSE)</f>
        <v>0</v>
      </c>
      <c r="I159" s="117">
        <f>VLOOKUP(C159,'Talente &amp; Stuff'!GX:HY,7,FALSE)</f>
        <v>0</v>
      </c>
      <c r="J159" s="117">
        <f>VLOOKUP(C159,'Talente &amp; Stuff'!GX:HY,8,FALSE)</f>
        <v>0</v>
      </c>
      <c r="K159" s="117">
        <f>VLOOKUP(C159,'Talente &amp; Stuff'!GX:HY,9,FALSE)</f>
        <v>0</v>
      </c>
      <c r="L159" s="117">
        <f>VLOOKUP(C159,'Talente &amp; Stuff'!GX:HY,10,FALSE)</f>
        <v>0</v>
      </c>
      <c r="M159" s="121">
        <f>VLOOKUP(C159,'Talente &amp; Stuff'!GX:HY,11,FALSE)</f>
        <v>0</v>
      </c>
      <c r="N159" s="47">
        <f>VLOOKUP(C159,'Talente &amp; Stuff'!GX:HY,12,FALSE)</f>
        <v>0</v>
      </c>
      <c r="O159" s="3">
        <f>VLOOKUP(C159,'Talente &amp; Stuff'!GX:HY,13,FALSE)</f>
        <v>0</v>
      </c>
      <c r="P159" s="174">
        <f>VLOOKUP(C159,'Talente &amp; Stuff'!GX:HY,14,FALSE)</f>
        <v>0</v>
      </c>
      <c r="Q159" s="114">
        <f>VLOOKUP(C159,'Talente &amp; Stuff'!GX:HY,15,FALSE)</f>
        <v>0</v>
      </c>
      <c r="R159" s="117">
        <f>VLOOKUP(C159,'Talente &amp; Stuff'!GX:HY,16,FALSE)</f>
        <v>0</v>
      </c>
      <c r="S159" s="119">
        <f>VLOOKUP(C159,'Talente &amp; Stuff'!GX:HY,17,FALSE)</f>
        <v>0</v>
      </c>
      <c r="T159" s="119">
        <f>VLOOKUP(C159,'Talente &amp; Stuff'!GX:HY,18,FALSE)</f>
        <v>0</v>
      </c>
      <c r="U159" s="89">
        <f>VLOOKUP(C159,'Talente &amp; Stuff'!GX:HY,19,FALSE)</f>
        <v>0</v>
      </c>
      <c r="V159" s="47">
        <f>VLOOKUP(C159,'Talente &amp; Stuff'!GX:HY,20,FALSE)</f>
        <v>0</v>
      </c>
      <c r="W159" s="127">
        <f>VLOOKUP(C159,'Talente &amp; Stuff'!GX:HY,21,FALSE)</f>
        <v>0</v>
      </c>
      <c r="X159" s="127">
        <f>VLOOKUP(C159,'Talente &amp; Stuff'!GX:HY,22,FALSE)</f>
        <v>0</v>
      </c>
      <c r="Y159" s="165">
        <f t="shared" si="16"/>
        <v>0</v>
      </c>
      <c r="Z159" s="44">
        <f t="shared" si="17"/>
        <v>0</v>
      </c>
      <c r="AA159" s="125">
        <f>VLOOKUP(C159,'Talente &amp; Stuff'!GX:HY,25,FALSE)</f>
        <v>0</v>
      </c>
      <c r="AB159" s="160">
        <f>VLOOKUP(C159,'Talente &amp; Stuff'!GX:HY,26,FALSE)</f>
        <v>0</v>
      </c>
      <c r="AC159" s="127">
        <f>VLOOKUP(C159,'Talente &amp; Stuff'!GX:HY,27,FALSE)</f>
        <v>0</v>
      </c>
      <c r="AD159" s="125">
        <f>VLOOKUP(C159,'Talente &amp; Stuff'!GX:HY,28,FALSE)</f>
        <v>0</v>
      </c>
      <c r="AE159" s="28"/>
    </row>
    <row r="160" spans="2:31" ht="15" hidden="1" customHeight="1" outlineLevel="2">
      <c r="B160" s="148">
        <v>8</v>
      </c>
      <c r="C160" s="177" t="str">
        <f>Attribute!C160</f>
        <v>---</v>
      </c>
      <c r="D160" s="86" t="str">
        <f>VLOOKUP(C160,'Talente &amp; Stuff'!GX:HY,2,FALSE)</f>
        <v>--/--/--</v>
      </c>
      <c r="E160" s="167" t="str">
        <f>VLOOKUP(C160,'Talente &amp; Stuff'!GX:HY,3,FALSE)</f>
        <v>-</v>
      </c>
      <c r="F160" s="120">
        <f>VLOOKUP(C160,'Talente &amp; Stuff'!GX:HY,4,FALSE)</f>
        <v>0</v>
      </c>
      <c r="G160" s="117">
        <f>VLOOKUP(C160,'Talente &amp; Stuff'!GX:HY,5,FALSE)</f>
        <v>0</v>
      </c>
      <c r="H160" s="117">
        <f>VLOOKUP(C160,'Talente &amp; Stuff'!GX:HY,6,FALSE)</f>
        <v>0</v>
      </c>
      <c r="I160" s="117">
        <f>VLOOKUP(C160,'Talente &amp; Stuff'!GX:HY,7,FALSE)</f>
        <v>0</v>
      </c>
      <c r="J160" s="117">
        <f>VLOOKUP(C160,'Talente &amp; Stuff'!GX:HY,8,FALSE)</f>
        <v>0</v>
      </c>
      <c r="K160" s="117">
        <f>VLOOKUP(C160,'Talente &amp; Stuff'!GX:HY,9,FALSE)</f>
        <v>0</v>
      </c>
      <c r="L160" s="117">
        <f>VLOOKUP(C160,'Talente &amp; Stuff'!GX:HY,10,FALSE)</f>
        <v>0</v>
      </c>
      <c r="M160" s="121">
        <f>VLOOKUP(C160,'Talente &amp; Stuff'!GX:HY,11,FALSE)</f>
        <v>0</v>
      </c>
      <c r="N160" s="47">
        <f>VLOOKUP(C160,'Talente &amp; Stuff'!GX:HY,12,FALSE)</f>
        <v>0</v>
      </c>
      <c r="O160" s="3">
        <f>VLOOKUP(C160,'Talente &amp; Stuff'!GX:HY,13,FALSE)</f>
        <v>0</v>
      </c>
      <c r="P160" s="174">
        <f>VLOOKUP(C160,'Talente &amp; Stuff'!GX:HY,14,FALSE)</f>
        <v>0</v>
      </c>
      <c r="Q160" s="114">
        <f>VLOOKUP(C160,'Talente &amp; Stuff'!GX:HY,15,FALSE)</f>
        <v>0</v>
      </c>
      <c r="R160" s="117">
        <f>VLOOKUP(C160,'Talente &amp; Stuff'!GX:HY,16,FALSE)</f>
        <v>0</v>
      </c>
      <c r="S160" s="119">
        <f>VLOOKUP(C160,'Talente &amp; Stuff'!GX:HY,17,FALSE)</f>
        <v>0</v>
      </c>
      <c r="T160" s="119">
        <f>VLOOKUP(C160,'Talente &amp; Stuff'!GX:HY,18,FALSE)</f>
        <v>0</v>
      </c>
      <c r="U160" s="89">
        <f>VLOOKUP(C160,'Talente &amp; Stuff'!GX:HY,19,FALSE)</f>
        <v>0</v>
      </c>
      <c r="V160" s="47">
        <f>VLOOKUP(C160,'Talente &amp; Stuff'!GX:HY,20,FALSE)</f>
        <v>0</v>
      </c>
      <c r="W160" s="127">
        <f>VLOOKUP(C160,'Talente &amp; Stuff'!GX:HY,21,FALSE)</f>
        <v>0</v>
      </c>
      <c r="X160" s="127">
        <f>VLOOKUP(C160,'Talente &amp; Stuff'!GX:HY,22,FALSE)</f>
        <v>0</v>
      </c>
      <c r="Y160" s="165">
        <f t="shared" si="16"/>
        <v>0</v>
      </c>
      <c r="Z160" s="44">
        <f t="shared" si="17"/>
        <v>0</v>
      </c>
      <c r="AA160" s="125">
        <f>VLOOKUP(C160,'Talente &amp; Stuff'!GX:HY,25,FALSE)</f>
        <v>0</v>
      </c>
      <c r="AB160" s="160">
        <f>VLOOKUP(C160,'Talente &amp; Stuff'!GX:HY,26,FALSE)</f>
        <v>0</v>
      </c>
      <c r="AC160" s="127">
        <f>VLOOKUP(C160,'Talente &amp; Stuff'!GX:HY,27,FALSE)</f>
        <v>0</v>
      </c>
      <c r="AD160" s="125">
        <f>VLOOKUP(C160,'Talente &amp; Stuff'!GX:HY,28,FALSE)</f>
        <v>0</v>
      </c>
      <c r="AE160" s="28"/>
    </row>
    <row r="161" spans="2:31" ht="15" hidden="1" customHeight="1" outlineLevel="2">
      <c r="B161" s="148">
        <v>9</v>
      </c>
      <c r="C161" s="177" t="str">
        <f>Attribute!C161</f>
        <v>---</v>
      </c>
      <c r="D161" s="86" t="str">
        <f>VLOOKUP(C161,'Talente &amp; Stuff'!GX:HY,2,FALSE)</f>
        <v>--/--/--</v>
      </c>
      <c r="E161" s="167" t="str">
        <f>VLOOKUP(C161,'Talente &amp; Stuff'!GX:HY,3,FALSE)</f>
        <v>-</v>
      </c>
      <c r="F161" s="120">
        <f>VLOOKUP(C161,'Talente &amp; Stuff'!GX:HY,4,FALSE)</f>
        <v>0</v>
      </c>
      <c r="G161" s="117">
        <f>VLOOKUP(C161,'Talente &amp; Stuff'!GX:HY,5,FALSE)</f>
        <v>0</v>
      </c>
      <c r="H161" s="117">
        <f>VLOOKUP(C161,'Talente &amp; Stuff'!GX:HY,6,FALSE)</f>
        <v>0</v>
      </c>
      <c r="I161" s="117">
        <f>VLOOKUP(C161,'Talente &amp; Stuff'!GX:HY,7,FALSE)</f>
        <v>0</v>
      </c>
      <c r="J161" s="117">
        <f>VLOOKUP(C161,'Talente &amp; Stuff'!GX:HY,8,FALSE)</f>
        <v>0</v>
      </c>
      <c r="K161" s="117">
        <f>VLOOKUP(C161,'Talente &amp; Stuff'!GX:HY,9,FALSE)</f>
        <v>0</v>
      </c>
      <c r="L161" s="117">
        <f>VLOOKUP(C161,'Talente &amp; Stuff'!GX:HY,10,FALSE)</f>
        <v>0</v>
      </c>
      <c r="M161" s="121">
        <f>VLOOKUP(C161,'Talente &amp; Stuff'!GX:HY,11,FALSE)</f>
        <v>0</v>
      </c>
      <c r="N161" s="47">
        <f>VLOOKUP(C161,'Talente &amp; Stuff'!GX:HY,12,FALSE)</f>
        <v>0</v>
      </c>
      <c r="O161" s="3">
        <f>VLOOKUP(C161,'Talente &amp; Stuff'!GX:HY,13,FALSE)</f>
        <v>0</v>
      </c>
      <c r="P161" s="174">
        <f>VLOOKUP(C161,'Talente &amp; Stuff'!GX:HY,14,FALSE)</f>
        <v>0</v>
      </c>
      <c r="Q161" s="114">
        <f>VLOOKUP(C161,'Talente &amp; Stuff'!GX:HY,15,FALSE)</f>
        <v>0</v>
      </c>
      <c r="R161" s="117">
        <f>VLOOKUP(C161,'Talente &amp; Stuff'!GX:HY,16,FALSE)</f>
        <v>0</v>
      </c>
      <c r="S161" s="119">
        <f>VLOOKUP(C161,'Talente &amp; Stuff'!GX:HY,17,FALSE)</f>
        <v>0</v>
      </c>
      <c r="T161" s="119">
        <f>VLOOKUP(C161,'Talente &amp; Stuff'!GX:HY,18,FALSE)</f>
        <v>0</v>
      </c>
      <c r="U161" s="89">
        <f>VLOOKUP(C161,'Talente &amp; Stuff'!GX:HY,19,FALSE)</f>
        <v>0</v>
      </c>
      <c r="V161" s="47">
        <f>VLOOKUP(C161,'Talente &amp; Stuff'!GX:HY,20,FALSE)</f>
        <v>0</v>
      </c>
      <c r="W161" s="127">
        <f>VLOOKUP(C161,'Talente &amp; Stuff'!GX:HY,21,FALSE)</f>
        <v>0</v>
      </c>
      <c r="X161" s="127">
        <f>VLOOKUP(C161,'Talente &amp; Stuff'!GX:HY,22,FALSE)</f>
        <v>0</v>
      </c>
      <c r="Y161" s="165">
        <f t="shared" si="16"/>
        <v>0</v>
      </c>
      <c r="Z161" s="44">
        <f t="shared" si="17"/>
        <v>0</v>
      </c>
      <c r="AA161" s="125">
        <f>VLOOKUP(C161,'Talente &amp; Stuff'!GX:HY,25,FALSE)</f>
        <v>0</v>
      </c>
      <c r="AB161" s="160">
        <f>VLOOKUP(C161,'Talente &amp; Stuff'!GX:HY,26,FALSE)</f>
        <v>0</v>
      </c>
      <c r="AC161" s="127">
        <f>VLOOKUP(C161,'Talente &amp; Stuff'!GX:HY,27,FALSE)</f>
        <v>0</v>
      </c>
      <c r="AD161" s="125">
        <f>VLOOKUP(C161,'Talente &amp; Stuff'!GX:HY,28,FALSE)</f>
        <v>0</v>
      </c>
      <c r="AE161" s="28"/>
    </row>
    <row r="162" spans="2:31" ht="15" hidden="1" customHeight="1" outlineLevel="2">
      <c r="B162" s="148">
        <v>10</v>
      </c>
      <c r="C162" s="177" t="str">
        <f>Attribute!C162</f>
        <v>---</v>
      </c>
      <c r="D162" s="86" t="str">
        <f>VLOOKUP(C162,'Talente &amp; Stuff'!GX:HY,2,FALSE)</f>
        <v>--/--/--</v>
      </c>
      <c r="E162" s="167" t="str">
        <f>VLOOKUP(C162,'Talente &amp; Stuff'!GX:HY,3,FALSE)</f>
        <v>-</v>
      </c>
      <c r="F162" s="120">
        <f>VLOOKUP(C162,'Talente &amp; Stuff'!GX:HY,4,FALSE)</f>
        <v>0</v>
      </c>
      <c r="G162" s="117">
        <f>VLOOKUP(C162,'Talente &amp; Stuff'!GX:HY,5,FALSE)</f>
        <v>0</v>
      </c>
      <c r="H162" s="117">
        <f>VLOOKUP(C162,'Talente &amp; Stuff'!GX:HY,6,FALSE)</f>
        <v>0</v>
      </c>
      <c r="I162" s="117">
        <f>VLOOKUP(C162,'Talente &amp; Stuff'!GX:HY,7,FALSE)</f>
        <v>0</v>
      </c>
      <c r="J162" s="117">
        <f>VLOOKUP(C162,'Talente &amp; Stuff'!GX:HY,8,FALSE)</f>
        <v>0</v>
      </c>
      <c r="K162" s="117">
        <f>VLOOKUP(C162,'Talente &amp; Stuff'!GX:HY,9,FALSE)</f>
        <v>0</v>
      </c>
      <c r="L162" s="117">
        <f>VLOOKUP(C162,'Talente &amp; Stuff'!GX:HY,10,FALSE)</f>
        <v>0</v>
      </c>
      <c r="M162" s="121">
        <f>VLOOKUP(C162,'Talente &amp; Stuff'!GX:HY,11,FALSE)</f>
        <v>0</v>
      </c>
      <c r="N162" s="47">
        <f>VLOOKUP(C162,'Talente &amp; Stuff'!GX:HY,12,FALSE)</f>
        <v>0</v>
      </c>
      <c r="O162" s="3">
        <f>VLOOKUP(C162,'Talente &amp; Stuff'!GX:HY,13,FALSE)</f>
        <v>0</v>
      </c>
      <c r="P162" s="174">
        <f>VLOOKUP(C162,'Talente &amp; Stuff'!GX:HY,14,FALSE)</f>
        <v>0</v>
      </c>
      <c r="Q162" s="114">
        <f>VLOOKUP(C162,'Talente &amp; Stuff'!GX:HY,15,FALSE)</f>
        <v>0</v>
      </c>
      <c r="R162" s="117">
        <f>VLOOKUP(C162,'Talente &amp; Stuff'!GX:HY,16,FALSE)</f>
        <v>0</v>
      </c>
      <c r="S162" s="119">
        <f>VLOOKUP(C162,'Talente &amp; Stuff'!GX:HY,17,FALSE)</f>
        <v>0</v>
      </c>
      <c r="T162" s="119">
        <f>VLOOKUP(C162,'Talente &amp; Stuff'!GX:HY,18,FALSE)</f>
        <v>0</v>
      </c>
      <c r="U162" s="89">
        <f>VLOOKUP(C162,'Talente &amp; Stuff'!GX:HY,19,FALSE)</f>
        <v>0</v>
      </c>
      <c r="V162" s="47">
        <f>VLOOKUP(C162,'Talente &amp; Stuff'!GX:HY,20,FALSE)</f>
        <v>0</v>
      </c>
      <c r="W162" s="127">
        <f>VLOOKUP(C162,'Talente &amp; Stuff'!GX:HY,21,FALSE)</f>
        <v>0</v>
      </c>
      <c r="X162" s="127">
        <f>VLOOKUP(C162,'Talente &amp; Stuff'!GX:HY,22,FALSE)</f>
        <v>0</v>
      </c>
      <c r="Y162" s="165">
        <f t="shared" si="16"/>
        <v>0</v>
      </c>
      <c r="Z162" s="44">
        <f t="shared" si="17"/>
        <v>0</v>
      </c>
      <c r="AA162" s="125">
        <f>VLOOKUP(C162,'Talente &amp; Stuff'!GX:HY,25,FALSE)</f>
        <v>0</v>
      </c>
      <c r="AB162" s="160">
        <f>VLOOKUP(C162,'Talente &amp; Stuff'!GX:HY,26,FALSE)</f>
        <v>0</v>
      </c>
      <c r="AC162" s="127">
        <f>VLOOKUP(C162,'Talente &amp; Stuff'!GX:HY,27,FALSE)</f>
        <v>0</v>
      </c>
      <c r="AD162" s="125">
        <f>VLOOKUP(C162,'Talente &amp; Stuff'!GX:HY,28,FALSE)</f>
        <v>0</v>
      </c>
      <c r="AE162" s="28"/>
    </row>
    <row r="163" spans="2:31" ht="15" hidden="1" customHeight="1" outlineLevel="2">
      <c r="B163" s="148">
        <v>11</v>
      </c>
      <c r="C163" s="177" t="str">
        <f>Attribute!C163</f>
        <v>---</v>
      </c>
      <c r="D163" s="86" t="str">
        <f>VLOOKUP(C163,'Talente &amp; Stuff'!GX:HY,2,FALSE)</f>
        <v>--/--/--</v>
      </c>
      <c r="E163" s="167" t="str">
        <f>VLOOKUP(C163,'Talente &amp; Stuff'!GX:HY,3,FALSE)</f>
        <v>-</v>
      </c>
      <c r="F163" s="120">
        <f>VLOOKUP(C163,'Talente &amp; Stuff'!GX:HY,4,FALSE)</f>
        <v>0</v>
      </c>
      <c r="G163" s="117">
        <f>VLOOKUP(C163,'Talente &amp; Stuff'!GX:HY,5,FALSE)</f>
        <v>0</v>
      </c>
      <c r="H163" s="117">
        <f>VLOOKUP(C163,'Talente &amp; Stuff'!GX:HY,6,FALSE)</f>
        <v>0</v>
      </c>
      <c r="I163" s="117">
        <f>VLOOKUP(C163,'Talente &amp; Stuff'!GX:HY,7,FALSE)</f>
        <v>0</v>
      </c>
      <c r="J163" s="117">
        <f>VLOOKUP(C163,'Talente &amp; Stuff'!GX:HY,8,FALSE)</f>
        <v>0</v>
      </c>
      <c r="K163" s="117">
        <f>VLOOKUP(C163,'Talente &amp; Stuff'!GX:HY,9,FALSE)</f>
        <v>0</v>
      </c>
      <c r="L163" s="117">
        <f>VLOOKUP(C163,'Talente &amp; Stuff'!GX:HY,10,FALSE)</f>
        <v>0</v>
      </c>
      <c r="M163" s="121">
        <f>VLOOKUP(C163,'Talente &amp; Stuff'!GX:HY,11,FALSE)</f>
        <v>0</v>
      </c>
      <c r="N163" s="47">
        <f>VLOOKUP(C163,'Talente &amp; Stuff'!GX:HY,12,FALSE)</f>
        <v>0</v>
      </c>
      <c r="O163" s="3">
        <f>VLOOKUP(C163,'Talente &amp; Stuff'!GX:HY,13,FALSE)</f>
        <v>0</v>
      </c>
      <c r="P163" s="174">
        <f>VLOOKUP(C163,'Talente &amp; Stuff'!GX:HY,14,FALSE)</f>
        <v>0</v>
      </c>
      <c r="Q163" s="114">
        <f>VLOOKUP(C163,'Talente &amp; Stuff'!GX:HY,15,FALSE)</f>
        <v>0</v>
      </c>
      <c r="R163" s="117">
        <f>VLOOKUP(C163,'Talente &amp; Stuff'!GX:HY,16,FALSE)</f>
        <v>0</v>
      </c>
      <c r="S163" s="119">
        <f>VLOOKUP(C163,'Talente &amp; Stuff'!GX:HY,17,FALSE)</f>
        <v>0</v>
      </c>
      <c r="T163" s="119">
        <f>VLOOKUP(C163,'Talente &amp; Stuff'!GX:HY,18,FALSE)</f>
        <v>0</v>
      </c>
      <c r="U163" s="89">
        <f>VLOOKUP(C163,'Talente &amp; Stuff'!GX:HY,19,FALSE)</f>
        <v>0</v>
      </c>
      <c r="V163" s="47">
        <f>VLOOKUP(C163,'Talente &amp; Stuff'!GX:HY,20,FALSE)</f>
        <v>0</v>
      </c>
      <c r="W163" s="127">
        <f>VLOOKUP(C163,'Talente &amp; Stuff'!GX:HY,21,FALSE)</f>
        <v>0</v>
      </c>
      <c r="X163" s="127">
        <f>VLOOKUP(C163,'Talente &amp; Stuff'!GX:HY,22,FALSE)</f>
        <v>0</v>
      </c>
      <c r="Y163" s="165">
        <f t="shared" si="16"/>
        <v>0</v>
      </c>
      <c r="Z163" s="44">
        <f t="shared" si="17"/>
        <v>0</v>
      </c>
      <c r="AA163" s="125">
        <f>VLOOKUP(C163,'Talente &amp; Stuff'!GX:HY,25,FALSE)</f>
        <v>0</v>
      </c>
      <c r="AB163" s="160">
        <f>VLOOKUP(C163,'Talente &amp; Stuff'!GX:HY,26,FALSE)</f>
        <v>0</v>
      </c>
      <c r="AC163" s="127">
        <f>VLOOKUP(C163,'Talente &amp; Stuff'!GX:HY,27,FALSE)</f>
        <v>0</v>
      </c>
      <c r="AD163" s="125">
        <f>VLOOKUP(C163,'Talente &amp; Stuff'!GX:HY,28,FALSE)</f>
        <v>0</v>
      </c>
      <c r="AE163" s="28"/>
    </row>
    <row r="164" spans="2:31" ht="15" hidden="1" customHeight="1" outlineLevel="2">
      <c r="B164" s="148">
        <v>12</v>
      </c>
      <c r="C164" s="177" t="str">
        <f>Attribute!C164</f>
        <v>---</v>
      </c>
      <c r="D164" s="86" t="str">
        <f>VLOOKUP(C164,'Talente &amp; Stuff'!GX:HY,2,FALSE)</f>
        <v>--/--/--</v>
      </c>
      <c r="E164" s="167" t="str">
        <f>VLOOKUP(C164,'Talente &amp; Stuff'!GX:HY,3,FALSE)</f>
        <v>-</v>
      </c>
      <c r="F164" s="120">
        <f>VLOOKUP(C164,'Talente &amp; Stuff'!GX:HY,4,FALSE)</f>
        <v>0</v>
      </c>
      <c r="G164" s="117">
        <f>VLOOKUP(C164,'Talente &amp; Stuff'!GX:HY,5,FALSE)</f>
        <v>0</v>
      </c>
      <c r="H164" s="117">
        <f>VLOOKUP(C164,'Talente &amp; Stuff'!GX:HY,6,FALSE)</f>
        <v>0</v>
      </c>
      <c r="I164" s="117">
        <f>VLOOKUP(C164,'Talente &amp; Stuff'!GX:HY,7,FALSE)</f>
        <v>0</v>
      </c>
      <c r="J164" s="117">
        <f>VLOOKUP(C164,'Talente &amp; Stuff'!GX:HY,8,FALSE)</f>
        <v>0</v>
      </c>
      <c r="K164" s="117">
        <f>VLOOKUP(C164,'Talente &amp; Stuff'!GX:HY,9,FALSE)</f>
        <v>0</v>
      </c>
      <c r="L164" s="117">
        <f>VLOOKUP(C164,'Talente &amp; Stuff'!GX:HY,10,FALSE)</f>
        <v>0</v>
      </c>
      <c r="M164" s="121">
        <f>VLOOKUP(C164,'Talente &amp; Stuff'!GX:HY,11,FALSE)</f>
        <v>0</v>
      </c>
      <c r="N164" s="47">
        <f>VLOOKUP(C164,'Talente &amp; Stuff'!GX:HY,12,FALSE)</f>
        <v>0</v>
      </c>
      <c r="O164" s="3">
        <f>VLOOKUP(C164,'Talente &amp; Stuff'!GX:HY,13,FALSE)</f>
        <v>0</v>
      </c>
      <c r="P164" s="174">
        <f>VLOOKUP(C164,'Talente &amp; Stuff'!GX:HY,14,FALSE)</f>
        <v>0</v>
      </c>
      <c r="Q164" s="114">
        <f>VLOOKUP(C164,'Talente &amp; Stuff'!GX:HY,15,FALSE)</f>
        <v>0</v>
      </c>
      <c r="R164" s="117">
        <f>VLOOKUP(C164,'Talente &amp; Stuff'!GX:HY,16,FALSE)</f>
        <v>0</v>
      </c>
      <c r="S164" s="119">
        <f>VLOOKUP(C164,'Talente &amp; Stuff'!GX:HY,17,FALSE)</f>
        <v>0</v>
      </c>
      <c r="T164" s="119">
        <f>VLOOKUP(C164,'Talente &amp; Stuff'!GX:HY,18,FALSE)</f>
        <v>0</v>
      </c>
      <c r="U164" s="89">
        <f>VLOOKUP(C164,'Talente &amp; Stuff'!GX:HY,19,FALSE)</f>
        <v>0</v>
      </c>
      <c r="V164" s="47">
        <f>VLOOKUP(C164,'Talente &amp; Stuff'!GX:HY,20,FALSE)</f>
        <v>0</v>
      </c>
      <c r="W164" s="127">
        <f>VLOOKUP(C164,'Talente &amp; Stuff'!GX:HY,21,FALSE)</f>
        <v>0</v>
      </c>
      <c r="X164" s="127">
        <f>VLOOKUP(C164,'Talente &amp; Stuff'!GX:HY,22,FALSE)</f>
        <v>0</v>
      </c>
      <c r="Y164" s="165">
        <f t="shared" si="16"/>
        <v>0</v>
      </c>
      <c r="Z164" s="44">
        <f t="shared" si="17"/>
        <v>0</v>
      </c>
      <c r="AA164" s="125">
        <f>VLOOKUP(C164,'Talente &amp; Stuff'!GX:HY,25,FALSE)</f>
        <v>0</v>
      </c>
      <c r="AB164" s="160">
        <f>VLOOKUP(C164,'Talente &amp; Stuff'!GX:HY,26,FALSE)</f>
        <v>0</v>
      </c>
      <c r="AC164" s="127">
        <f>VLOOKUP(C164,'Talente &amp; Stuff'!GX:HY,27,FALSE)</f>
        <v>0</v>
      </c>
      <c r="AD164" s="125">
        <f>VLOOKUP(C164,'Talente &amp; Stuff'!GX:HY,28,FALSE)</f>
        <v>0</v>
      </c>
      <c r="AE164" s="28"/>
    </row>
    <row r="165" spans="2:31" ht="15" hidden="1" customHeight="1" outlineLevel="2">
      <c r="B165" s="148">
        <v>13</v>
      </c>
      <c r="C165" s="177" t="str">
        <f>Attribute!C165</f>
        <v>---</v>
      </c>
      <c r="D165" s="86" t="str">
        <f>VLOOKUP(C165,'Talente &amp; Stuff'!GX:HY,2,FALSE)</f>
        <v>--/--/--</v>
      </c>
      <c r="E165" s="167" t="str">
        <f>VLOOKUP(C165,'Talente &amp; Stuff'!GX:HY,3,FALSE)</f>
        <v>-</v>
      </c>
      <c r="F165" s="120">
        <f>VLOOKUP(C165,'Talente &amp; Stuff'!GX:HY,4,FALSE)</f>
        <v>0</v>
      </c>
      <c r="G165" s="117">
        <f>VLOOKUP(C165,'Talente &amp; Stuff'!GX:HY,5,FALSE)</f>
        <v>0</v>
      </c>
      <c r="H165" s="117">
        <f>VLOOKUP(C165,'Talente &amp; Stuff'!GX:HY,6,FALSE)</f>
        <v>0</v>
      </c>
      <c r="I165" s="117">
        <f>VLOOKUP(C165,'Talente &amp; Stuff'!GX:HY,7,FALSE)</f>
        <v>0</v>
      </c>
      <c r="J165" s="117">
        <f>VLOOKUP(C165,'Talente &amp; Stuff'!GX:HY,8,FALSE)</f>
        <v>0</v>
      </c>
      <c r="K165" s="117">
        <f>VLOOKUP(C165,'Talente &amp; Stuff'!GX:HY,9,FALSE)</f>
        <v>0</v>
      </c>
      <c r="L165" s="117">
        <f>VLOOKUP(C165,'Talente &amp; Stuff'!GX:HY,10,FALSE)</f>
        <v>0</v>
      </c>
      <c r="M165" s="121">
        <f>VLOOKUP(C165,'Talente &amp; Stuff'!GX:HY,11,FALSE)</f>
        <v>0</v>
      </c>
      <c r="N165" s="47">
        <f>VLOOKUP(C165,'Talente &amp; Stuff'!GX:HY,12,FALSE)</f>
        <v>0</v>
      </c>
      <c r="O165" s="3">
        <f>VLOOKUP(C165,'Talente &amp; Stuff'!GX:HY,13,FALSE)</f>
        <v>0</v>
      </c>
      <c r="P165" s="174">
        <f>VLOOKUP(C165,'Talente &amp; Stuff'!GX:HY,14,FALSE)</f>
        <v>0</v>
      </c>
      <c r="Q165" s="114">
        <f>VLOOKUP(C165,'Talente &amp; Stuff'!GX:HY,15,FALSE)</f>
        <v>0</v>
      </c>
      <c r="R165" s="117">
        <f>VLOOKUP(C165,'Talente &amp; Stuff'!GX:HY,16,FALSE)</f>
        <v>0</v>
      </c>
      <c r="S165" s="119">
        <f>VLOOKUP(C165,'Talente &amp; Stuff'!GX:HY,17,FALSE)</f>
        <v>0</v>
      </c>
      <c r="T165" s="119">
        <f>VLOOKUP(C165,'Talente &amp; Stuff'!GX:HY,18,FALSE)</f>
        <v>0</v>
      </c>
      <c r="U165" s="89">
        <f>VLOOKUP(C165,'Talente &amp; Stuff'!GX:HY,19,FALSE)</f>
        <v>0</v>
      </c>
      <c r="V165" s="47">
        <f>VLOOKUP(C165,'Talente &amp; Stuff'!GX:HY,20,FALSE)</f>
        <v>0</v>
      </c>
      <c r="W165" s="127">
        <f>VLOOKUP(C165,'Talente &amp; Stuff'!GX:HY,21,FALSE)</f>
        <v>0</v>
      </c>
      <c r="X165" s="127">
        <f>VLOOKUP(C165,'Talente &amp; Stuff'!GX:HY,22,FALSE)</f>
        <v>0</v>
      </c>
      <c r="Y165" s="165">
        <f t="shared" si="16"/>
        <v>0</v>
      </c>
      <c r="Z165" s="44">
        <f t="shared" si="17"/>
        <v>0</v>
      </c>
      <c r="AA165" s="125">
        <f>VLOOKUP(C165,'Talente &amp; Stuff'!GX:HY,25,FALSE)</f>
        <v>0</v>
      </c>
      <c r="AB165" s="160">
        <f>VLOOKUP(C165,'Talente &amp; Stuff'!GX:HY,26,FALSE)</f>
        <v>0</v>
      </c>
      <c r="AC165" s="127">
        <f>VLOOKUP(C165,'Talente &amp; Stuff'!GX:HY,27,FALSE)</f>
        <v>0</v>
      </c>
      <c r="AD165" s="125">
        <f>VLOOKUP(C165,'Talente &amp; Stuff'!GX:HY,28,FALSE)</f>
        <v>0</v>
      </c>
      <c r="AE165" s="28"/>
    </row>
    <row r="166" spans="2:31" ht="15" hidden="1" customHeight="1" outlineLevel="2">
      <c r="B166" s="148">
        <v>14</v>
      </c>
      <c r="C166" s="177" t="str">
        <f>Attribute!C166</f>
        <v>---</v>
      </c>
      <c r="D166" s="86" t="str">
        <f>VLOOKUP(C166,'Talente &amp; Stuff'!GX:HY,2,FALSE)</f>
        <v>--/--/--</v>
      </c>
      <c r="E166" s="167" t="str">
        <f>VLOOKUP(C166,'Talente &amp; Stuff'!GX:HY,3,FALSE)</f>
        <v>-</v>
      </c>
      <c r="F166" s="120">
        <f>VLOOKUP(C166,'Talente &amp; Stuff'!GX:HY,4,FALSE)</f>
        <v>0</v>
      </c>
      <c r="G166" s="117">
        <f>VLOOKUP(C166,'Talente &amp; Stuff'!GX:HY,5,FALSE)</f>
        <v>0</v>
      </c>
      <c r="H166" s="117">
        <f>VLOOKUP(C166,'Talente &amp; Stuff'!GX:HY,6,FALSE)</f>
        <v>0</v>
      </c>
      <c r="I166" s="117">
        <f>VLOOKUP(C166,'Talente &amp; Stuff'!GX:HY,7,FALSE)</f>
        <v>0</v>
      </c>
      <c r="J166" s="117">
        <f>VLOOKUP(C166,'Talente &amp; Stuff'!GX:HY,8,FALSE)</f>
        <v>0</v>
      </c>
      <c r="K166" s="117">
        <f>VLOOKUP(C166,'Talente &amp; Stuff'!GX:HY,9,FALSE)</f>
        <v>0</v>
      </c>
      <c r="L166" s="117">
        <f>VLOOKUP(C166,'Talente &amp; Stuff'!GX:HY,10,FALSE)</f>
        <v>0</v>
      </c>
      <c r="M166" s="121">
        <f>VLOOKUP(C166,'Talente &amp; Stuff'!GX:HY,11,FALSE)</f>
        <v>0</v>
      </c>
      <c r="N166" s="47">
        <f>VLOOKUP(C166,'Talente &amp; Stuff'!GX:HY,12,FALSE)</f>
        <v>0</v>
      </c>
      <c r="O166" s="3">
        <f>VLOOKUP(C166,'Talente &amp; Stuff'!GX:HY,13,FALSE)</f>
        <v>0</v>
      </c>
      <c r="P166" s="174">
        <f>VLOOKUP(C166,'Talente &amp; Stuff'!GX:HY,14,FALSE)</f>
        <v>0</v>
      </c>
      <c r="Q166" s="114">
        <f>VLOOKUP(C166,'Talente &amp; Stuff'!GX:HY,15,FALSE)</f>
        <v>0</v>
      </c>
      <c r="R166" s="117">
        <f>VLOOKUP(C166,'Talente &amp; Stuff'!GX:HY,16,FALSE)</f>
        <v>0</v>
      </c>
      <c r="S166" s="119">
        <f>VLOOKUP(C166,'Talente &amp; Stuff'!GX:HY,17,FALSE)</f>
        <v>0</v>
      </c>
      <c r="T166" s="119">
        <f>VLOOKUP(C166,'Talente &amp; Stuff'!GX:HY,18,FALSE)</f>
        <v>0</v>
      </c>
      <c r="U166" s="89">
        <f>VLOOKUP(C166,'Talente &amp; Stuff'!GX:HY,19,FALSE)</f>
        <v>0</v>
      </c>
      <c r="V166" s="47">
        <f>VLOOKUP(C166,'Talente &amp; Stuff'!GX:HY,20,FALSE)</f>
        <v>0</v>
      </c>
      <c r="W166" s="127">
        <f>VLOOKUP(C166,'Talente &amp; Stuff'!GX:HY,21,FALSE)</f>
        <v>0</v>
      </c>
      <c r="X166" s="127">
        <f>VLOOKUP(C166,'Talente &amp; Stuff'!GX:HY,22,FALSE)</f>
        <v>0</v>
      </c>
      <c r="Y166" s="165">
        <f t="shared" si="16"/>
        <v>0</v>
      </c>
      <c r="Z166" s="44">
        <f t="shared" si="17"/>
        <v>0</v>
      </c>
      <c r="AA166" s="125">
        <f>VLOOKUP(C166,'Talente &amp; Stuff'!GX:HY,25,FALSE)</f>
        <v>0</v>
      </c>
      <c r="AB166" s="160">
        <f>VLOOKUP(C166,'Talente &amp; Stuff'!GX:HY,26,FALSE)</f>
        <v>0</v>
      </c>
      <c r="AC166" s="127">
        <f>VLOOKUP(C166,'Talente &amp; Stuff'!GX:HY,27,FALSE)</f>
        <v>0</v>
      </c>
      <c r="AD166" s="125">
        <f>VLOOKUP(C166,'Talente &amp; Stuff'!GX:HY,28,FALSE)</f>
        <v>0</v>
      </c>
      <c r="AE166" s="28"/>
    </row>
    <row r="167" spans="2:31" ht="15" hidden="1" customHeight="1" outlineLevel="2">
      <c r="B167" s="148">
        <v>15</v>
      </c>
      <c r="C167" s="177" t="str">
        <f>Attribute!C167</f>
        <v>---</v>
      </c>
      <c r="D167" s="86" t="str">
        <f>VLOOKUP(C167,'Talente &amp; Stuff'!GX:HY,2,FALSE)</f>
        <v>--/--/--</v>
      </c>
      <c r="E167" s="167" t="str">
        <f>VLOOKUP(C167,'Talente &amp; Stuff'!GX:HY,3,FALSE)</f>
        <v>-</v>
      </c>
      <c r="F167" s="120">
        <f>VLOOKUP(C167,'Talente &amp; Stuff'!GX:HY,4,FALSE)</f>
        <v>0</v>
      </c>
      <c r="G167" s="117">
        <f>VLOOKUP(C167,'Talente &amp; Stuff'!GX:HY,5,FALSE)</f>
        <v>0</v>
      </c>
      <c r="H167" s="117">
        <f>VLOOKUP(C167,'Talente &amp; Stuff'!GX:HY,6,FALSE)</f>
        <v>0</v>
      </c>
      <c r="I167" s="117">
        <f>VLOOKUP(C167,'Talente &amp; Stuff'!GX:HY,7,FALSE)</f>
        <v>0</v>
      </c>
      <c r="J167" s="117">
        <f>VLOOKUP(C167,'Talente &amp; Stuff'!GX:HY,8,FALSE)</f>
        <v>0</v>
      </c>
      <c r="K167" s="117">
        <f>VLOOKUP(C167,'Talente &amp; Stuff'!GX:HY,9,FALSE)</f>
        <v>0</v>
      </c>
      <c r="L167" s="117">
        <f>VLOOKUP(C167,'Talente &amp; Stuff'!GX:HY,10,FALSE)</f>
        <v>0</v>
      </c>
      <c r="M167" s="121">
        <f>VLOOKUP(C167,'Talente &amp; Stuff'!GX:HY,11,FALSE)</f>
        <v>0</v>
      </c>
      <c r="N167" s="47">
        <f>VLOOKUP(C167,'Talente &amp; Stuff'!GX:HY,12,FALSE)</f>
        <v>0</v>
      </c>
      <c r="O167" s="3">
        <f>VLOOKUP(C167,'Talente &amp; Stuff'!GX:HY,13,FALSE)</f>
        <v>0</v>
      </c>
      <c r="P167" s="174">
        <f>VLOOKUP(C167,'Talente &amp; Stuff'!GX:HY,14,FALSE)</f>
        <v>0</v>
      </c>
      <c r="Q167" s="114">
        <f>VLOOKUP(C167,'Talente &amp; Stuff'!GX:HY,15,FALSE)</f>
        <v>0</v>
      </c>
      <c r="R167" s="117">
        <f>VLOOKUP(C167,'Talente &amp; Stuff'!GX:HY,16,FALSE)</f>
        <v>0</v>
      </c>
      <c r="S167" s="119">
        <f>VLOOKUP(C167,'Talente &amp; Stuff'!GX:HY,17,FALSE)</f>
        <v>0</v>
      </c>
      <c r="T167" s="119">
        <f>VLOOKUP(C167,'Talente &amp; Stuff'!GX:HY,18,FALSE)</f>
        <v>0</v>
      </c>
      <c r="U167" s="89">
        <f>VLOOKUP(C167,'Talente &amp; Stuff'!GX:HY,19,FALSE)</f>
        <v>0</v>
      </c>
      <c r="V167" s="47">
        <f>VLOOKUP(C167,'Talente &amp; Stuff'!GX:HY,20,FALSE)</f>
        <v>0</v>
      </c>
      <c r="W167" s="127">
        <f>VLOOKUP(C167,'Talente &amp; Stuff'!GX:HY,21,FALSE)</f>
        <v>0</v>
      </c>
      <c r="X167" s="127">
        <f>VLOOKUP(C167,'Talente &amp; Stuff'!GX:HY,22,FALSE)</f>
        <v>0</v>
      </c>
      <c r="Y167" s="165">
        <f t="shared" si="16"/>
        <v>0</v>
      </c>
      <c r="Z167" s="44">
        <f t="shared" si="17"/>
        <v>0</v>
      </c>
      <c r="AA167" s="125">
        <f>VLOOKUP(C167,'Talente &amp; Stuff'!GX:HY,25,FALSE)</f>
        <v>0</v>
      </c>
      <c r="AB167" s="160">
        <f>VLOOKUP(C167,'Talente &amp; Stuff'!GX:HY,26,FALSE)</f>
        <v>0</v>
      </c>
      <c r="AC167" s="127">
        <f>VLOOKUP(C167,'Talente &amp; Stuff'!GX:HY,27,FALSE)</f>
        <v>0</v>
      </c>
      <c r="AD167" s="125">
        <f>VLOOKUP(C167,'Talente &amp; Stuff'!GX:HY,28,FALSE)</f>
        <v>0</v>
      </c>
      <c r="AE167" s="28"/>
    </row>
    <row r="168" spans="2:31" ht="15" hidden="1" customHeight="1" outlineLevel="2">
      <c r="B168" s="148">
        <v>16</v>
      </c>
      <c r="C168" s="177" t="str">
        <f>Attribute!C168</f>
        <v>---</v>
      </c>
      <c r="D168" s="86" t="str">
        <f>VLOOKUP(C168,'Talente &amp; Stuff'!GX:HY,2,FALSE)</f>
        <v>--/--/--</v>
      </c>
      <c r="E168" s="167" t="str">
        <f>VLOOKUP(C168,'Talente &amp; Stuff'!GX:HY,3,FALSE)</f>
        <v>-</v>
      </c>
      <c r="F168" s="120">
        <f>VLOOKUP(C168,'Talente &amp; Stuff'!GX:HY,4,FALSE)</f>
        <v>0</v>
      </c>
      <c r="G168" s="117">
        <f>VLOOKUP(C168,'Talente &amp; Stuff'!GX:HY,5,FALSE)</f>
        <v>0</v>
      </c>
      <c r="H168" s="117">
        <f>VLOOKUP(C168,'Talente &amp; Stuff'!GX:HY,6,FALSE)</f>
        <v>0</v>
      </c>
      <c r="I168" s="117">
        <f>VLOOKUP(C168,'Talente &amp; Stuff'!GX:HY,7,FALSE)</f>
        <v>0</v>
      </c>
      <c r="J168" s="117">
        <f>VLOOKUP(C168,'Talente &amp; Stuff'!GX:HY,8,FALSE)</f>
        <v>0</v>
      </c>
      <c r="K168" s="117">
        <f>VLOOKUP(C168,'Talente &amp; Stuff'!GX:HY,9,FALSE)</f>
        <v>0</v>
      </c>
      <c r="L168" s="117">
        <f>VLOOKUP(C168,'Talente &amp; Stuff'!GX:HY,10,FALSE)</f>
        <v>0</v>
      </c>
      <c r="M168" s="121">
        <f>VLOOKUP(C168,'Talente &amp; Stuff'!GX:HY,11,FALSE)</f>
        <v>0</v>
      </c>
      <c r="N168" s="47">
        <f>VLOOKUP(C168,'Talente &amp; Stuff'!GX:HY,12,FALSE)</f>
        <v>0</v>
      </c>
      <c r="O168" s="3">
        <f>VLOOKUP(C168,'Talente &amp; Stuff'!GX:HY,13,FALSE)</f>
        <v>0</v>
      </c>
      <c r="P168" s="174">
        <f>VLOOKUP(C168,'Talente &amp; Stuff'!GX:HY,14,FALSE)</f>
        <v>0</v>
      </c>
      <c r="Q168" s="114">
        <f>VLOOKUP(C168,'Talente &amp; Stuff'!GX:HY,15,FALSE)</f>
        <v>0</v>
      </c>
      <c r="R168" s="117">
        <f>VLOOKUP(C168,'Talente &amp; Stuff'!GX:HY,16,FALSE)</f>
        <v>0</v>
      </c>
      <c r="S168" s="119">
        <f>VLOOKUP(C168,'Talente &amp; Stuff'!GX:HY,17,FALSE)</f>
        <v>0</v>
      </c>
      <c r="T168" s="119">
        <f>VLOOKUP(C168,'Talente &amp; Stuff'!GX:HY,18,FALSE)</f>
        <v>0</v>
      </c>
      <c r="U168" s="89">
        <f>VLOOKUP(C168,'Talente &amp; Stuff'!GX:HY,19,FALSE)</f>
        <v>0</v>
      </c>
      <c r="V168" s="47">
        <f>VLOOKUP(C168,'Talente &amp; Stuff'!GX:HY,20,FALSE)</f>
        <v>0</v>
      </c>
      <c r="W168" s="127">
        <f>VLOOKUP(C168,'Talente &amp; Stuff'!GX:HY,21,FALSE)</f>
        <v>0</v>
      </c>
      <c r="X168" s="127">
        <f>VLOOKUP(C168,'Talente &amp; Stuff'!GX:HY,22,FALSE)</f>
        <v>0</v>
      </c>
      <c r="Y168" s="165">
        <f t="shared" si="16"/>
        <v>0</v>
      </c>
      <c r="Z168" s="44">
        <f t="shared" si="17"/>
        <v>0</v>
      </c>
      <c r="AA168" s="125">
        <f>VLOOKUP(C168,'Talente &amp; Stuff'!GX:HY,25,FALSE)</f>
        <v>0</v>
      </c>
      <c r="AB168" s="160">
        <f>VLOOKUP(C168,'Talente &amp; Stuff'!GX:HY,26,FALSE)</f>
        <v>0</v>
      </c>
      <c r="AC168" s="127">
        <f>VLOOKUP(C168,'Talente &amp; Stuff'!GX:HY,27,FALSE)</f>
        <v>0</v>
      </c>
      <c r="AD168" s="125">
        <f>VLOOKUP(C168,'Talente &amp; Stuff'!GX:HY,28,FALSE)</f>
        <v>0</v>
      </c>
      <c r="AE168" s="28"/>
    </row>
    <row r="169" spans="2:31" ht="15" hidden="1" customHeight="1" outlineLevel="2">
      <c r="B169" s="148">
        <v>17</v>
      </c>
      <c r="C169" s="177" t="str">
        <f>Attribute!C169</f>
        <v>---</v>
      </c>
      <c r="D169" s="86" t="str">
        <f>VLOOKUP(C169,'Talente &amp; Stuff'!GX:HY,2,FALSE)</f>
        <v>--/--/--</v>
      </c>
      <c r="E169" s="167" t="str">
        <f>VLOOKUP(C169,'Talente &amp; Stuff'!GX:HY,3,FALSE)</f>
        <v>-</v>
      </c>
      <c r="F169" s="120">
        <f>VLOOKUP(C169,'Talente &amp; Stuff'!GX:HY,4,FALSE)</f>
        <v>0</v>
      </c>
      <c r="G169" s="117">
        <f>VLOOKUP(C169,'Talente &amp; Stuff'!GX:HY,5,FALSE)</f>
        <v>0</v>
      </c>
      <c r="H169" s="117">
        <f>VLOOKUP(C169,'Talente &amp; Stuff'!GX:HY,6,FALSE)</f>
        <v>0</v>
      </c>
      <c r="I169" s="117">
        <f>VLOOKUP(C169,'Talente &amp; Stuff'!GX:HY,7,FALSE)</f>
        <v>0</v>
      </c>
      <c r="J169" s="117">
        <f>VLOOKUP(C169,'Talente &amp; Stuff'!GX:HY,8,FALSE)</f>
        <v>0</v>
      </c>
      <c r="K169" s="117">
        <f>VLOOKUP(C169,'Talente &amp; Stuff'!GX:HY,9,FALSE)</f>
        <v>0</v>
      </c>
      <c r="L169" s="117">
        <f>VLOOKUP(C169,'Talente &amp; Stuff'!GX:HY,10,FALSE)</f>
        <v>0</v>
      </c>
      <c r="M169" s="121">
        <f>VLOOKUP(C169,'Talente &amp; Stuff'!GX:HY,11,FALSE)</f>
        <v>0</v>
      </c>
      <c r="N169" s="47">
        <f>VLOOKUP(C169,'Talente &amp; Stuff'!GX:HY,12,FALSE)</f>
        <v>0</v>
      </c>
      <c r="O169" s="3">
        <f>VLOOKUP(C169,'Talente &amp; Stuff'!GX:HY,13,FALSE)</f>
        <v>0</v>
      </c>
      <c r="P169" s="174">
        <f>VLOOKUP(C169,'Talente &amp; Stuff'!GX:HY,14,FALSE)</f>
        <v>0</v>
      </c>
      <c r="Q169" s="114">
        <f>VLOOKUP(C169,'Talente &amp; Stuff'!GX:HY,15,FALSE)</f>
        <v>0</v>
      </c>
      <c r="R169" s="117">
        <f>VLOOKUP(C169,'Talente &amp; Stuff'!GX:HY,16,FALSE)</f>
        <v>0</v>
      </c>
      <c r="S169" s="119">
        <f>VLOOKUP(C169,'Talente &amp; Stuff'!GX:HY,17,FALSE)</f>
        <v>0</v>
      </c>
      <c r="T169" s="119">
        <f>VLOOKUP(C169,'Talente &amp; Stuff'!GX:HY,18,FALSE)</f>
        <v>0</v>
      </c>
      <c r="U169" s="89">
        <f>VLOOKUP(C169,'Talente &amp; Stuff'!GX:HY,19,FALSE)</f>
        <v>0</v>
      </c>
      <c r="V169" s="47">
        <f>VLOOKUP(C169,'Talente &amp; Stuff'!GX:HY,20,FALSE)</f>
        <v>0</v>
      </c>
      <c r="W169" s="127">
        <f>VLOOKUP(C169,'Talente &amp; Stuff'!GX:HY,21,FALSE)</f>
        <v>0</v>
      </c>
      <c r="X169" s="127">
        <f>VLOOKUP(C169,'Talente &amp; Stuff'!GX:HY,22,FALSE)</f>
        <v>0</v>
      </c>
      <c r="Y169" s="165">
        <f t="shared" si="16"/>
        <v>0</v>
      </c>
      <c r="Z169" s="44">
        <f t="shared" si="17"/>
        <v>0</v>
      </c>
      <c r="AA169" s="125">
        <f>VLOOKUP(C169,'Talente &amp; Stuff'!GX:HY,25,FALSE)</f>
        <v>0</v>
      </c>
      <c r="AB169" s="160">
        <f>VLOOKUP(C169,'Talente &amp; Stuff'!GX:HY,26,FALSE)</f>
        <v>0</v>
      </c>
      <c r="AC169" s="127">
        <f>VLOOKUP(C169,'Talente &amp; Stuff'!GX:HY,27,FALSE)</f>
        <v>0</v>
      </c>
      <c r="AD169" s="125">
        <f>VLOOKUP(C169,'Talente &amp; Stuff'!GX:HY,28,FALSE)</f>
        <v>0</v>
      </c>
      <c r="AE169" s="28"/>
    </row>
    <row r="170" spans="2:31" ht="15" hidden="1" customHeight="1" outlineLevel="2">
      <c r="B170" s="148">
        <v>18</v>
      </c>
      <c r="C170" s="177" t="str">
        <f>Attribute!C170</f>
        <v>---</v>
      </c>
      <c r="D170" s="86" t="str">
        <f>VLOOKUP(C170,'Talente &amp; Stuff'!GX:HY,2,FALSE)</f>
        <v>--/--/--</v>
      </c>
      <c r="E170" s="167" t="str">
        <f>VLOOKUP(C170,'Talente &amp; Stuff'!GX:HY,3,FALSE)</f>
        <v>-</v>
      </c>
      <c r="F170" s="120">
        <f>VLOOKUP(C170,'Talente &amp; Stuff'!GX:HY,4,FALSE)</f>
        <v>0</v>
      </c>
      <c r="G170" s="117">
        <f>VLOOKUP(C170,'Talente &amp; Stuff'!GX:HY,5,FALSE)</f>
        <v>0</v>
      </c>
      <c r="H170" s="117">
        <f>VLOOKUP(C170,'Talente &amp; Stuff'!GX:HY,6,FALSE)</f>
        <v>0</v>
      </c>
      <c r="I170" s="117">
        <f>VLOOKUP(C170,'Talente &amp; Stuff'!GX:HY,7,FALSE)</f>
        <v>0</v>
      </c>
      <c r="J170" s="117">
        <f>VLOOKUP(C170,'Talente &amp; Stuff'!GX:HY,8,FALSE)</f>
        <v>0</v>
      </c>
      <c r="K170" s="117">
        <f>VLOOKUP(C170,'Talente &amp; Stuff'!GX:HY,9,FALSE)</f>
        <v>0</v>
      </c>
      <c r="L170" s="117">
        <f>VLOOKUP(C170,'Talente &amp; Stuff'!GX:HY,10,FALSE)</f>
        <v>0</v>
      </c>
      <c r="M170" s="121">
        <f>VLOOKUP(C170,'Talente &amp; Stuff'!GX:HY,11,FALSE)</f>
        <v>0</v>
      </c>
      <c r="N170" s="47">
        <f>VLOOKUP(C170,'Talente &amp; Stuff'!GX:HY,12,FALSE)</f>
        <v>0</v>
      </c>
      <c r="O170" s="3">
        <f>VLOOKUP(C170,'Talente &amp; Stuff'!GX:HY,13,FALSE)</f>
        <v>0</v>
      </c>
      <c r="P170" s="174">
        <f>VLOOKUP(C170,'Talente &amp; Stuff'!GX:HY,14,FALSE)</f>
        <v>0</v>
      </c>
      <c r="Q170" s="114">
        <f>VLOOKUP(C170,'Talente &amp; Stuff'!GX:HY,15,FALSE)</f>
        <v>0</v>
      </c>
      <c r="R170" s="117">
        <f>VLOOKUP(C170,'Talente &amp; Stuff'!GX:HY,16,FALSE)</f>
        <v>0</v>
      </c>
      <c r="S170" s="119">
        <f>VLOOKUP(C170,'Talente &amp; Stuff'!GX:HY,17,FALSE)</f>
        <v>0</v>
      </c>
      <c r="T170" s="119">
        <f>VLOOKUP(C170,'Talente &amp; Stuff'!GX:HY,18,FALSE)</f>
        <v>0</v>
      </c>
      <c r="U170" s="89">
        <f>VLOOKUP(C170,'Talente &amp; Stuff'!GX:HY,19,FALSE)</f>
        <v>0</v>
      </c>
      <c r="V170" s="47">
        <f>VLOOKUP(C170,'Talente &amp; Stuff'!GX:HY,20,FALSE)</f>
        <v>0</v>
      </c>
      <c r="W170" s="127">
        <f>VLOOKUP(C170,'Talente &amp; Stuff'!GX:HY,21,FALSE)</f>
        <v>0</v>
      </c>
      <c r="X170" s="127">
        <f>VLOOKUP(C170,'Talente &amp; Stuff'!GX:HY,22,FALSE)</f>
        <v>0</v>
      </c>
      <c r="Y170" s="165">
        <f t="shared" si="16"/>
        <v>0</v>
      </c>
      <c r="Z170" s="44">
        <f t="shared" si="17"/>
        <v>0</v>
      </c>
      <c r="AA170" s="125">
        <f>VLOOKUP(C170,'Talente &amp; Stuff'!GX:HY,25,FALSE)</f>
        <v>0</v>
      </c>
      <c r="AB170" s="160">
        <f>VLOOKUP(C170,'Talente &amp; Stuff'!GX:HY,26,FALSE)</f>
        <v>0</v>
      </c>
      <c r="AC170" s="127">
        <f>VLOOKUP(C170,'Talente &amp; Stuff'!GX:HY,27,FALSE)</f>
        <v>0</v>
      </c>
      <c r="AD170" s="125">
        <f>VLOOKUP(C170,'Talente &amp; Stuff'!GX:HY,28,FALSE)</f>
        <v>0</v>
      </c>
      <c r="AE170" s="28"/>
    </row>
    <row r="171" spans="2:31" ht="15" hidden="1" customHeight="1" outlineLevel="2">
      <c r="B171" s="148">
        <v>19</v>
      </c>
      <c r="C171" s="177" t="str">
        <f>Attribute!C171</f>
        <v>---</v>
      </c>
      <c r="D171" s="86" t="str">
        <f>VLOOKUP(C171,'Talente &amp; Stuff'!GX:HY,2,FALSE)</f>
        <v>--/--/--</v>
      </c>
      <c r="E171" s="167" t="str">
        <f>VLOOKUP(C171,'Talente &amp; Stuff'!GX:HY,3,FALSE)</f>
        <v>-</v>
      </c>
      <c r="F171" s="120">
        <f>VLOOKUP(C171,'Talente &amp; Stuff'!GX:HY,4,FALSE)</f>
        <v>0</v>
      </c>
      <c r="G171" s="117">
        <f>VLOOKUP(C171,'Talente &amp; Stuff'!GX:HY,5,FALSE)</f>
        <v>0</v>
      </c>
      <c r="H171" s="117">
        <f>VLOOKUP(C171,'Talente &amp; Stuff'!GX:HY,6,FALSE)</f>
        <v>0</v>
      </c>
      <c r="I171" s="117">
        <f>VLOOKUP(C171,'Talente &amp; Stuff'!GX:HY,7,FALSE)</f>
        <v>0</v>
      </c>
      <c r="J171" s="117">
        <f>VLOOKUP(C171,'Talente &amp; Stuff'!GX:HY,8,FALSE)</f>
        <v>0</v>
      </c>
      <c r="K171" s="117">
        <f>VLOOKUP(C171,'Talente &amp; Stuff'!GX:HY,9,FALSE)</f>
        <v>0</v>
      </c>
      <c r="L171" s="117">
        <f>VLOOKUP(C171,'Talente &amp; Stuff'!GX:HY,10,FALSE)</f>
        <v>0</v>
      </c>
      <c r="M171" s="121">
        <f>VLOOKUP(C171,'Talente &amp; Stuff'!GX:HY,11,FALSE)</f>
        <v>0</v>
      </c>
      <c r="N171" s="47">
        <f>VLOOKUP(C171,'Talente &amp; Stuff'!GX:HY,12,FALSE)</f>
        <v>0</v>
      </c>
      <c r="O171" s="3">
        <f>VLOOKUP(C171,'Talente &amp; Stuff'!GX:HY,13,FALSE)</f>
        <v>0</v>
      </c>
      <c r="P171" s="174">
        <f>VLOOKUP(C171,'Talente &amp; Stuff'!GX:HY,14,FALSE)</f>
        <v>0</v>
      </c>
      <c r="Q171" s="114">
        <f>VLOOKUP(C171,'Talente &amp; Stuff'!GX:HY,15,FALSE)</f>
        <v>0</v>
      </c>
      <c r="R171" s="117">
        <f>VLOOKUP(C171,'Talente &amp; Stuff'!GX:HY,16,FALSE)</f>
        <v>0</v>
      </c>
      <c r="S171" s="119">
        <f>VLOOKUP(C171,'Talente &amp; Stuff'!GX:HY,17,FALSE)</f>
        <v>0</v>
      </c>
      <c r="T171" s="119">
        <f>VLOOKUP(C171,'Talente &amp; Stuff'!GX:HY,18,FALSE)</f>
        <v>0</v>
      </c>
      <c r="U171" s="89">
        <f>VLOOKUP(C171,'Talente &amp; Stuff'!GX:HY,19,FALSE)</f>
        <v>0</v>
      </c>
      <c r="V171" s="47">
        <f>VLOOKUP(C171,'Talente &amp; Stuff'!GX:HY,20,FALSE)</f>
        <v>0</v>
      </c>
      <c r="W171" s="127">
        <f>VLOOKUP(C171,'Talente &amp; Stuff'!GX:HY,21,FALSE)</f>
        <v>0</v>
      </c>
      <c r="X171" s="127">
        <f>VLOOKUP(C171,'Talente &amp; Stuff'!GX:HY,22,FALSE)</f>
        <v>0</v>
      </c>
      <c r="Y171" s="165">
        <f t="shared" si="16"/>
        <v>0</v>
      </c>
      <c r="Z171" s="44">
        <f t="shared" si="17"/>
        <v>0</v>
      </c>
      <c r="AA171" s="125">
        <f>VLOOKUP(C171,'Talente &amp; Stuff'!GX:HY,25,FALSE)</f>
        <v>0</v>
      </c>
      <c r="AB171" s="160">
        <f>VLOOKUP(C171,'Talente &amp; Stuff'!GX:HY,26,FALSE)</f>
        <v>0</v>
      </c>
      <c r="AC171" s="127">
        <f>VLOOKUP(C171,'Talente &amp; Stuff'!GX:HY,27,FALSE)</f>
        <v>0</v>
      </c>
      <c r="AD171" s="125">
        <f>VLOOKUP(C171,'Talente &amp; Stuff'!GX:HY,28,FALSE)</f>
        <v>0</v>
      </c>
      <c r="AE171" s="28"/>
    </row>
    <row r="172" spans="2:31" ht="15" hidden="1" customHeight="1" outlineLevel="2">
      <c r="B172" s="148">
        <v>20</v>
      </c>
      <c r="C172" s="177" t="str">
        <f>Attribute!C172</f>
        <v>---</v>
      </c>
      <c r="D172" s="86" t="str">
        <f>VLOOKUP(C172,'Talente &amp; Stuff'!GX:HY,2,FALSE)</f>
        <v>--/--/--</v>
      </c>
      <c r="E172" s="167" t="str">
        <f>VLOOKUP(C172,'Talente &amp; Stuff'!GX:HY,3,FALSE)</f>
        <v>-</v>
      </c>
      <c r="F172" s="120">
        <f>VLOOKUP(C172,'Talente &amp; Stuff'!GX:HY,4,FALSE)</f>
        <v>0</v>
      </c>
      <c r="G172" s="117">
        <f>VLOOKUP(C172,'Talente &amp; Stuff'!GX:HY,5,FALSE)</f>
        <v>0</v>
      </c>
      <c r="H172" s="117">
        <f>VLOOKUP(C172,'Talente &amp; Stuff'!GX:HY,6,FALSE)</f>
        <v>0</v>
      </c>
      <c r="I172" s="117">
        <f>VLOOKUP(C172,'Talente &amp; Stuff'!GX:HY,7,FALSE)</f>
        <v>0</v>
      </c>
      <c r="J172" s="117">
        <f>VLOOKUP(C172,'Talente &amp; Stuff'!GX:HY,8,FALSE)</f>
        <v>0</v>
      </c>
      <c r="K172" s="117">
        <f>VLOOKUP(C172,'Talente &amp; Stuff'!GX:HY,9,FALSE)</f>
        <v>0</v>
      </c>
      <c r="L172" s="117">
        <f>VLOOKUP(C172,'Talente &amp; Stuff'!GX:HY,10,FALSE)</f>
        <v>0</v>
      </c>
      <c r="M172" s="121">
        <f>VLOOKUP(C172,'Talente &amp; Stuff'!GX:HY,11,FALSE)</f>
        <v>0</v>
      </c>
      <c r="N172" s="47">
        <f>VLOOKUP(C172,'Talente &amp; Stuff'!GX:HY,12,FALSE)</f>
        <v>0</v>
      </c>
      <c r="O172" s="3">
        <f>VLOOKUP(C172,'Talente &amp; Stuff'!GX:HY,13,FALSE)</f>
        <v>0</v>
      </c>
      <c r="P172" s="174">
        <f>VLOOKUP(C172,'Talente &amp; Stuff'!GX:HY,14,FALSE)</f>
        <v>0</v>
      </c>
      <c r="Q172" s="114">
        <f>VLOOKUP(C172,'Talente &amp; Stuff'!GX:HY,15,FALSE)</f>
        <v>0</v>
      </c>
      <c r="R172" s="117">
        <f>VLOOKUP(C172,'Talente &amp; Stuff'!GX:HY,16,FALSE)</f>
        <v>0</v>
      </c>
      <c r="S172" s="119">
        <f>VLOOKUP(C172,'Talente &amp; Stuff'!GX:HY,17,FALSE)</f>
        <v>0</v>
      </c>
      <c r="T172" s="119">
        <f>VLOOKUP(C172,'Talente &amp; Stuff'!GX:HY,18,FALSE)</f>
        <v>0</v>
      </c>
      <c r="U172" s="89">
        <f>VLOOKUP(C172,'Talente &amp; Stuff'!GX:HY,19,FALSE)</f>
        <v>0</v>
      </c>
      <c r="V172" s="47">
        <f>VLOOKUP(C172,'Talente &amp; Stuff'!GX:HY,20,FALSE)</f>
        <v>0</v>
      </c>
      <c r="W172" s="127">
        <f>VLOOKUP(C172,'Talente &amp; Stuff'!GX:HY,21,FALSE)</f>
        <v>0</v>
      </c>
      <c r="X172" s="127">
        <f>VLOOKUP(C172,'Talente &amp; Stuff'!GX:HY,22,FALSE)</f>
        <v>0</v>
      </c>
      <c r="Y172" s="165">
        <f t="shared" si="16"/>
        <v>0</v>
      </c>
      <c r="Z172" s="44">
        <f t="shared" si="17"/>
        <v>0</v>
      </c>
      <c r="AA172" s="125">
        <f>VLOOKUP(C172,'Talente &amp; Stuff'!GX:HY,25,FALSE)</f>
        <v>0</v>
      </c>
      <c r="AB172" s="160">
        <f>VLOOKUP(C172,'Talente &amp; Stuff'!GX:HY,26,FALSE)</f>
        <v>0</v>
      </c>
      <c r="AC172" s="127">
        <f>VLOOKUP(C172,'Talente &amp; Stuff'!GX:HY,27,FALSE)</f>
        <v>0</v>
      </c>
      <c r="AD172" s="125">
        <f>VLOOKUP(C172,'Talente &amp; Stuff'!GX:HY,28,FALSE)</f>
        <v>0</v>
      </c>
      <c r="AE172" s="28"/>
    </row>
    <row r="173" spans="2:31" ht="15" hidden="1" customHeight="1" outlineLevel="2">
      <c r="B173" s="148">
        <v>21</v>
      </c>
      <c r="C173" s="177" t="str">
        <f>Attribute!C173</f>
        <v>---</v>
      </c>
      <c r="D173" s="86" t="str">
        <f>VLOOKUP(C173,'Talente &amp; Stuff'!GX:HY,2,FALSE)</f>
        <v>--/--/--</v>
      </c>
      <c r="E173" s="167" t="str">
        <f>VLOOKUP(C173,'Talente &amp; Stuff'!GX:HY,3,FALSE)</f>
        <v>-</v>
      </c>
      <c r="F173" s="120">
        <f>VLOOKUP(C173,'Talente &amp; Stuff'!GX:HY,4,FALSE)</f>
        <v>0</v>
      </c>
      <c r="G173" s="117">
        <f>VLOOKUP(C173,'Talente &amp; Stuff'!GX:HY,5,FALSE)</f>
        <v>0</v>
      </c>
      <c r="H173" s="117">
        <f>VLOOKUP(C173,'Talente &amp; Stuff'!GX:HY,6,FALSE)</f>
        <v>0</v>
      </c>
      <c r="I173" s="117">
        <f>VLOOKUP(C173,'Talente &amp; Stuff'!GX:HY,7,FALSE)</f>
        <v>0</v>
      </c>
      <c r="J173" s="117">
        <f>VLOOKUP(C173,'Talente &amp; Stuff'!GX:HY,8,FALSE)</f>
        <v>0</v>
      </c>
      <c r="K173" s="117">
        <f>VLOOKUP(C173,'Talente &amp; Stuff'!GX:HY,9,FALSE)</f>
        <v>0</v>
      </c>
      <c r="L173" s="117">
        <f>VLOOKUP(C173,'Talente &amp; Stuff'!GX:HY,10,FALSE)</f>
        <v>0</v>
      </c>
      <c r="M173" s="121">
        <f>VLOOKUP(C173,'Talente &amp; Stuff'!GX:HY,11,FALSE)</f>
        <v>0</v>
      </c>
      <c r="N173" s="47">
        <f>VLOOKUP(C173,'Talente &amp; Stuff'!GX:HY,12,FALSE)</f>
        <v>0</v>
      </c>
      <c r="O173" s="3">
        <f>VLOOKUP(C173,'Talente &amp; Stuff'!GX:HY,13,FALSE)</f>
        <v>0</v>
      </c>
      <c r="P173" s="174">
        <f>VLOOKUP(C173,'Talente &amp; Stuff'!GX:HY,14,FALSE)</f>
        <v>0</v>
      </c>
      <c r="Q173" s="114">
        <f>VLOOKUP(C173,'Talente &amp; Stuff'!GX:HY,15,FALSE)</f>
        <v>0</v>
      </c>
      <c r="R173" s="117">
        <f>VLOOKUP(C173,'Talente &amp; Stuff'!GX:HY,16,FALSE)</f>
        <v>0</v>
      </c>
      <c r="S173" s="119">
        <f>VLOOKUP(C173,'Talente &amp; Stuff'!GX:HY,17,FALSE)</f>
        <v>0</v>
      </c>
      <c r="T173" s="119">
        <f>VLOOKUP(C173,'Talente &amp; Stuff'!GX:HY,18,FALSE)</f>
        <v>0</v>
      </c>
      <c r="U173" s="89">
        <f>VLOOKUP(C173,'Talente &amp; Stuff'!GX:HY,19,FALSE)</f>
        <v>0</v>
      </c>
      <c r="V173" s="47">
        <f>VLOOKUP(C173,'Talente &amp; Stuff'!GX:HY,20,FALSE)</f>
        <v>0</v>
      </c>
      <c r="W173" s="127">
        <f>VLOOKUP(C173,'Talente &amp; Stuff'!GX:HY,21,FALSE)</f>
        <v>0</v>
      </c>
      <c r="X173" s="127">
        <f>VLOOKUP(C173,'Talente &amp; Stuff'!GX:HY,22,FALSE)</f>
        <v>0</v>
      </c>
      <c r="Y173" s="165">
        <f t="shared" si="16"/>
        <v>0</v>
      </c>
      <c r="Z173" s="44">
        <f t="shared" si="17"/>
        <v>0</v>
      </c>
      <c r="AA173" s="125">
        <f>VLOOKUP(C173,'Talente &amp; Stuff'!GX:HY,25,FALSE)</f>
        <v>0</v>
      </c>
      <c r="AB173" s="160">
        <f>VLOOKUP(C173,'Talente &amp; Stuff'!GX:HY,26,FALSE)</f>
        <v>0</v>
      </c>
      <c r="AC173" s="127">
        <f>VLOOKUP(C173,'Talente &amp; Stuff'!GX:HY,27,FALSE)</f>
        <v>0</v>
      </c>
      <c r="AD173" s="125">
        <f>VLOOKUP(C173,'Talente &amp; Stuff'!GX:HY,28,FALSE)</f>
        <v>0</v>
      </c>
      <c r="AE173" s="28"/>
    </row>
    <row r="174" spans="2:31" ht="15" hidden="1" customHeight="1" outlineLevel="2">
      <c r="B174" s="148">
        <v>22</v>
      </c>
      <c r="C174" s="177" t="str">
        <f>Attribute!C174</f>
        <v>---</v>
      </c>
      <c r="D174" s="86" t="str">
        <f>VLOOKUP(C174,'Talente &amp; Stuff'!GX:HY,2,FALSE)</f>
        <v>--/--/--</v>
      </c>
      <c r="E174" s="167" t="str">
        <f>VLOOKUP(C174,'Talente &amp; Stuff'!GX:HY,3,FALSE)</f>
        <v>-</v>
      </c>
      <c r="F174" s="120">
        <f>VLOOKUP(C174,'Talente &amp; Stuff'!GX:HY,4,FALSE)</f>
        <v>0</v>
      </c>
      <c r="G174" s="117">
        <f>VLOOKUP(C174,'Talente &amp; Stuff'!GX:HY,5,FALSE)</f>
        <v>0</v>
      </c>
      <c r="H174" s="117">
        <f>VLOOKUP(C174,'Talente &amp; Stuff'!GX:HY,6,FALSE)</f>
        <v>0</v>
      </c>
      <c r="I174" s="117">
        <f>VLOOKUP(C174,'Talente &amp; Stuff'!GX:HY,7,FALSE)</f>
        <v>0</v>
      </c>
      <c r="J174" s="117">
        <f>VLOOKUP(C174,'Talente &amp; Stuff'!GX:HY,8,FALSE)</f>
        <v>0</v>
      </c>
      <c r="K174" s="117">
        <f>VLOOKUP(C174,'Talente &amp; Stuff'!GX:HY,9,FALSE)</f>
        <v>0</v>
      </c>
      <c r="L174" s="117">
        <f>VLOOKUP(C174,'Talente &amp; Stuff'!GX:HY,10,FALSE)</f>
        <v>0</v>
      </c>
      <c r="M174" s="121">
        <f>VLOOKUP(C174,'Talente &amp; Stuff'!GX:HY,11,FALSE)</f>
        <v>0</v>
      </c>
      <c r="N174" s="47">
        <f>VLOOKUP(C174,'Talente &amp; Stuff'!GX:HY,12,FALSE)</f>
        <v>0</v>
      </c>
      <c r="O174" s="3">
        <f>VLOOKUP(C174,'Talente &amp; Stuff'!GX:HY,13,FALSE)</f>
        <v>0</v>
      </c>
      <c r="P174" s="174">
        <f>VLOOKUP(C174,'Talente &amp; Stuff'!GX:HY,14,FALSE)</f>
        <v>0</v>
      </c>
      <c r="Q174" s="114">
        <f>VLOOKUP(C174,'Talente &amp; Stuff'!GX:HY,15,FALSE)</f>
        <v>0</v>
      </c>
      <c r="R174" s="117">
        <f>VLOOKUP(C174,'Talente &amp; Stuff'!GX:HY,16,FALSE)</f>
        <v>0</v>
      </c>
      <c r="S174" s="119">
        <f>VLOOKUP(C174,'Talente &amp; Stuff'!GX:HY,17,FALSE)</f>
        <v>0</v>
      </c>
      <c r="T174" s="119">
        <f>VLOOKUP(C174,'Talente &amp; Stuff'!GX:HY,18,FALSE)</f>
        <v>0</v>
      </c>
      <c r="U174" s="89">
        <f>VLOOKUP(C174,'Talente &amp; Stuff'!GX:HY,19,FALSE)</f>
        <v>0</v>
      </c>
      <c r="V174" s="47">
        <f>VLOOKUP(C174,'Talente &amp; Stuff'!GX:HY,20,FALSE)</f>
        <v>0</v>
      </c>
      <c r="W174" s="127">
        <f>VLOOKUP(C174,'Talente &amp; Stuff'!GX:HY,21,FALSE)</f>
        <v>0</v>
      </c>
      <c r="X174" s="127">
        <f>VLOOKUP(C174,'Talente &amp; Stuff'!GX:HY,22,FALSE)</f>
        <v>0</v>
      </c>
      <c r="Y174" s="165">
        <f t="shared" si="16"/>
        <v>0</v>
      </c>
      <c r="Z174" s="44">
        <f t="shared" si="17"/>
        <v>0</v>
      </c>
      <c r="AA174" s="125">
        <f>VLOOKUP(C174,'Talente &amp; Stuff'!GX:HY,25,FALSE)</f>
        <v>0</v>
      </c>
      <c r="AB174" s="160">
        <f>VLOOKUP(C174,'Talente &amp; Stuff'!GX:HY,26,FALSE)</f>
        <v>0</v>
      </c>
      <c r="AC174" s="127">
        <f>VLOOKUP(C174,'Talente &amp; Stuff'!GX:HY,27,FALSE)</f>
        <v>0</v>
      </c>
      <c r="AD174" s="125">
        <f>VLOOKUP(C174,'Talente &amp; Stuff'!GX:HY,28,FALSE)</f>
        <v>0</v>
      </c>
      <c r="AE174" s="28"/>
    </row>
    <row r="175" spans="2:31" ht="15" hidden="1" customHeight="1" outlineLevel="2">
      <c r="B175" s="148">
        <v>23</v>
      </c>
      <c r="C175" s="177" t="str">
        <f>Attribute!C175</f>
        <v>---</v>
      </c>
      <c r="D175" s="86" t="str">
        <f>VLOOKUP(C175,'Talente &amp; Stuff'!GX:HY,2,FALSE)</f>
        <v>--/--/--</v>
      </c>
      <c r="E175" s="167" t="str">
        <f>VLOOKUP(C175,'Talente &amp; Stuff'!GX:HY,3,FALSE)</f>
        <v>-</v>
      </c>
      <c r="F175" s="120">
        <f>VLOOKUP(C175,'Talente &amp; Stuff'!GX:HY,4,FALSE)</f>
        <v>0</v>
      </c>
      <c r="G175" s="117">
        <f>VLOOKUP(C175,'Talente &amp; Stuff'!GX:HY,5,FALSE)</f>
        <v>0</v>
      </c>
      <c r="H175" s="117">
        <f>VLOOKUP(C175,'Talente &amp; Stuff'!GX:HY,6,FALSE)</f>
        <v>0</v>
      </c>
      <c r="I175" s="117">
        <f>VLOOKUP(C175,'Talente &amp; Stuff'!GX:HY,7,FALSE)</f>
        <v>0</v>
      </c>
      <c r="J175" s="117">
        <f>VLOOKUP(C175,'Talente &amp; Stuff'!GX:HY,8,FALSE)</f>
        <v>0</v>
      </c>
      <c r="K175" s="117">
        <f>VLOOKUP(C175,'Talente &amp; Stuff'!GX:HY,9,FALSE)</f>
        <v>0</v>
      </c>
      <c r="L175" s="117">
        <f>VLOOKUP(C175,'Talente &amp; Stuff'!GX:HY,10,FALSE)</f>
        <v>0</v>
      </c>
      <c r="M175" s="121">
        <f>VLOOKUP(C175,'Talente &amp; Stuff'!GX:HY,11,FALSE)</f>
        <v>0</v>
      </c>
      <c r="N175" s="47">
        <f>VLOOKUP(C175,'Talente &amp; Stuff'!GX:HY,12,FALSE)</f>
        <v>0</v>
      </c>
      <c r="O175" s="3">
        <f>VLOOKUP(C175,'Talente &amp; Stuff'!GX:HY,13,FALSE)</f>
        <v>0</v>
      </c>
      <c r="P175" s="174">
        <f>VLOOKUP(C175,'Talente &amp; Stuff'!GX:HY,14,FALSE)</f>
        <v>0</v>
      </c>
      <c r="Q175" s="114">
        <f>VLOOKUP(C175,'Talente &amp; Stuff'!GX:HY,15,FALSE)</f>
        <v>0</v>
      </c>
      <c r="R175" s="117">
        <f>VLOOKUP(C175,'Talente &amp; Stuff'!GX:HY,16,FALSE)</f>
        <v>0</v>
      </c>
      <c r="S175" s="119">
        <f>VLOOKUP(C175,'Talente &amp; Stuff'!GX:HY,17,FALSE)</f>
        <v>0</v>
      </c>
      <c r="T175" s="119">
        <f>VLOOKUP(C175,'Talente &amp; Stuff'!GX:HY,18,FALSE)</f>
        <v>0</v>
      </c>
      <c r="U175" s="89">
        <f>VLOOKUP(C175,'Talente &amp; Stuff'!GX:HY,19,FALSE)</f>
        <v>0</v>
      </c>
      <c r="V175" s="47">
        <f>VLOOKUP(C175,'Talente &amp; Stuff'!GX:HY,20,FALSE)</f>
        <v>0</v>
      </c>
      <c r="W175" s="127">
        <f>VLOOKUP(C175,'Talente &amp; Stuff'!GX:HY,21,FALSE)</f>
        <v>0</v>
      </c>
      <c r="X175" s="127">
        <f>VLOOKUP(C175,'Talente &amp; Stuff'!GX:HY,22,FALSE)</f>
        <v>0</v>
      </c>
      <c r="Y175" s="165">
        <f t="shared" si="16"/>
        <v>0</v>
      </c>
      <c r="Z175" s="44">
        <f t="shared" si="17"/>
        <v>0</v>
      </c>
      <c r="AA175" s="125">
        <f>VLOOKUP(C175,'Talente &amp; Stuff'!GX:HY,25,FALSE)</f>
        <v>0</v>
      </c>
      <c r="AB175" s="160">
        <f>VLOOKUP(C175,'Talente &amp; Stuff'!GX:HY,26,FALSE)</f>
        <v>0</v>
      </c>
      <c r="AC175" s="127">
        <f>VLOOKUP(C175,'Talente &amp; Stuff'!GX:HY,27,FALSE)</f>
        <v>0</v>
      </c>
      <c r="AD175" s="125">
        <f>VLOOKUP(C175,'Talente &amp; Stuff'!GX:HY,28,FALSE)</f>
        <v>0</v>
      </c>
      <c r="AE175" s="28"/>
    </row>
    <row r="176" spans="2:31" ht="15" hidden="1" customHeight="1" outlineLevel="2">
      <c r="B176" s="148">
        <v>24</v>
      </c>
      <c r="C176" s="177" t="str">
        <f>Attribute!C176</f>
        <v>---</v>
      </c>
      <c r="D176" s="86" t="str">
        <f>VLOOKUP(C176,'Talente &amp; Stuff'!GX:HY,2,FALSE)</f>
        <v>--/--/--</v>
      </c>
      <c r="E176" s="167" t="str">
        <f>VLOOKUP(C176,'Talente &amp; Stuff'!GX:HY,3,FALSE)</f>
        <v>-</v>
      </c>
      <c r="F176" s="120">
        <f>VLOOKUP(C176,'Talente &amp; Stuff'!GX:HY,4,FALSE)</f>
        <v>0</v>
      </c>
      <c r="G176" s="117">
        <f>VLOOKUP(C176,'Talente &amp; Stuff'!GX:HY,5,FALSE)</f>
        <v>0</v>
      </c>
      <c r="H176" s="117">
        <f>VLOOKUP(C176,'Talente &amp; Stuff'!GX:HY,6,FALSE)</f>
        <v>0</v>
      </c>
      <c r="I176" s="117">
        <f>VLOOKUP(C176,'Talente &amp; Stuff'!GX:HY,7,FALSE)</f>
        <v>0</v>
      </c>
      <c r="J176" s="117">
        <f>VLOOKUP(C176,'Talente &amp; Stuff'!GX:HY,8,FALSE)</f>
        <v>0</v>
      </c>
      <c r="K176" s="117">
        <f>VLOOKUP(C176,'Talente &amp; Stuff'!GX:HY,9,FALSE)</f>
        <v>0</v>
      </c>
      <c r="L176" s="117">
        <f>VLOOKUP(C176,'Talente &amp; Stuff'!GX:HY,10,FALSE)</f>
        <v>0</v>
      </c>
      <c r="M176" s="121">
        <f>VLOOKUP(C176,'Talente &amp; Stuff'!GX:HY,11,FALSE)</f>
        <v>0</v>
      </c>
      <c r="N176" s="47">
        <f>VLOOKUP(C176,'Talente &amp; Stuff'!GX:HY,12,FALSE)</f>
        <v>0</v>
      </c>
      <c r="O176" s="3">
        <f>VLOOKUP(C176,'Talente &amp; Stuff'!GX:HY,13,FALSE)</f>
        <v>0</v>
      </c>
      <c r="P176" s="174">
        <f>VLOOKUP(C176,'Talente &amp; Stuff'!GX:HY,14,FALSE)</f>
        <v>0</v>
      </c>
      <c r="Q176" s="114">
        <f>VLOOKUP(C176,'Talente &amp; Stuff'!GX:HY,15,FALSE)</f>
        <v>0</v>
      </c>
      <c r="R176" s="117">
        <f>VLOOKUP(C176,'Talente &amp; Stuff'!GX:HY,16,FALSE)</f>
        <v>0</v>
      </c>
      <c r="S176" s="119">
        <f>VLOOKUP(C176,'Talente &amp; Stuff'!GX:HY,17,FALSE)</f>
        <v>0</v>
      </c>
      <c r="T176" s="119">
        <f>VLOOKUP(C176,'Talente &amp; Stuff'!GX:HY,18,FALSE)</f>
        <v>0</v>
      </c>
      <c r="U176" s="89">
        <f>VLOOKUP(C176,'Talente &amp; Stuff'!GX:HY,19,FALSE)</f>
        <v>0</v>
      </c>
      <c r="V176" s="47">
        <f>VLOOKUP(C176,'Talente &amp; Stuff'!GX:HY,20,FALSE)</f>
        <v>0</v>
      </c>
      <c r="W176" s="127">
        <f>VLOOKUP(C176,'Talente &amp; Stuff'!GX:HY,21,FALSE)</f>
        <v>0</v>
      </c>
      <c r="X176" s="127">
        <f>VLOOKUP(C176,'Talente &amp; Stuff'!GX:HY,22,FALSE)</f>
        <v>0</v>
      </c>
      <c r="Y176" s="165">
        <f t="shared" si="16"/>
        <v>0</v>
      </c>
      <c r="Z176" s="44">
        <f t="shared" si="17"/>
        <v>0</v>
      </c>
      <c r="AA176" s="125">
        <f>VLOOKUP(C176,'Talente &amp; Stuff'!GX:HY,25,FALSE)</f>
        <v>0</v>
      </c>
      <c r="AB176" s="160">
        <f>VLOOKUP(C176,'Talente &amp; Stuff'!GX:HY,26,FALSE)</f>
        <v>0</v>
      </c>
      <c r="AC176" s="127">
        <f>VLOOKUP(C176,'Talente &amp; Stuff'!GX:HY,27,FALSE)</f>
        <v>0</v>
      </c>
      <c r="AD176" s="125">
        <f>VLOOKUP(C176,'Talente &amp; Stuff'!GX:HY,28,FALSE)</f>
        <v>0</v>
      </c>
      <c r="AE176" s="28"/>
    </row>
    <row r="177" spans="2:31" ht="15" hidden="1" customHeight="1" outlineLevel="2">
      <c r="B177" s="148">
        <v>25</v>
      </c>
      <c r="C177" s="177" t="str">
        <f>Attribute!C177</f>
        <v>---</v>
      </c>
      <c r="D177" s="86" t="str">
        <f>VLOOKUP(C177,'Talente &amp; Stuff'!GX:HY,2,FALSE)</f>
        <v>--/--/--</v>
      </c>
      <c r="E177" s="167" t="str">
        <f>VLOOKUP(C177,'Talente &amp; Stuff'!GX:HY,3,FALSE)</f>
        <v>-</v>
      </c>
      <c r="F177" s="120">
        <f>VLOOKUP(C177,'Talente &amp; Stuff'!GX:HY,4,FALSE)</f>
        <v>0</v>
      </c>
      <c r="G177" s="117">
        <f>VLOOKUP(C177,'Talente &amp; Stuff'!GX:HY,5,FALSE)</f>
        <v>0</v>
      </c>
      <c r="H177" s="117">
        <f>VLOOKUP(C177,'Talente &amp; Stuff'!GX:HY,6,FALSE)</f>
        <v>0</v>
      </c>
      <c r="I177" s="117">
        <f>VLOOKUP(C177,'Talente &amp; Stuff'!GX:HY,7,FALSE)</f>
        <v>0</v>
      </c>
      <c r="J177" s="117">
        <f>VLOOKUP(C177,'Talente &amp; Stuff'!GX:HY,8,FALSE)</f>
        <v>0</v>
      </c>
      <c r="K177" s="117">
        <f>VLOOKUP(C177,'Talente &amp; Stuff'!GX:HY,9,FALSE)</f>
        <v>0</v>
      </c>
      <c r="L177" s="117">
        <f>VLOOKUP(C177,'Talente &amp; Stuff'!GX:HY,10,FALSE)</f>
        <v>0</v>
      </c>
      <c r="M177" s="121">
        <f>VLOOKUP(C177,'Talente &amp; Stuff'!GX:HY,11,FALSE)</f>
        <v>0</v>
      </c>
      <c r="N177" s="47">
        <f>VLOOKUP(C177,'Talente &amp; Stuff'!GX:HY,12,FALSE)</f>
        <v>0</v>
      </c>
      <c r="O177" s="3">
        <f>VLOOKUP(C177,'Talente &amp; Stuff'!GX:HY,13,FALSE)</f>
        <v>0</v>
      </c>
      <c r="P177" s="174">
        <f>VLOOKUP(C177,'Talente &amp; Stuff'!GX:HY,14,FALSE)</f>
        <v>0</v>
      </c>
      <c r="Q177" s="114">
        <f>VLOOKUP(C177,'Talente &amp; Stuff'!GX:HY,15,FALSE)</f>
        <v>0</v>
      </c>
      <c r="R177" s="117">
        <f>VLOOKUP(C177,'Talente &amp; Stuff'!GX:HY,16,FALSE)</f>
        <v>0</v>
      </c>
      <c r="S177" s="119">
        <f>VLOOKUP(C177,'Talente &amp; Stuff'!GX:HY,17,FALSE)</f>
        <v>0</v>
      </c>
      <c r="T177" s="119">
        <f>VLOOKUP(C177,'Talente &amp; Stuff'!GX:HY,18,FALSE)</f>
        <v>0</v>
      </c>
      <c r="U177" s="89">
        <f>VLOOKUP(C177,'Talente &amp; Stuff'!GX:HY,19,FALSE)</f>
        <v>0</v>
      </c>
      <c r="V177" s="47">
        <f>VLOOKUP(C177,'Talente &amp; Stuff'!GX:HY,20,FALSE)</f>
        <v>0</v>
      </c>
      <c r="W177" s="127">
        <f>VLOOKUP(C177,'Talente &amp; Stuff'!GX:HY,21,FALSE)</f>
        <v>0</v>
      </c>
      <c r="X177" s="127">
        <f>VLOOKUP(C177,'Talente &amp; Stuff'!GX:HY,22,FALSE)</f>
        <v>0</v>
      </c>
      <c r="Y177" s="165">
        <f t="shared" si="16"/>
        <v>0</v>
      </c>
      <c r="Z177" s="44">
        <f t="shared" si="17"/>
        <v>0</v>
      </c>
      <c r="AA177" s="125">
        <f>VLOOKUP(C177,'Talente &amp; Stuff'!GX:HY,25,FALSE)</f>
        <v>0</v>
      </c>
      <c r="AB177" s="160">
        <f>VLOOKUP(C177,'Talente &amp; Stuff'!GX:HY,26,FALSE)</f>
        <v>0</v>
      </c>
      <c r="AC177" s="127">
        <f>VLOOKUP(C177,'Talente &amp; Stuff'!GX:HY,27,FALSE)</f>
        <v>0</v>
      </c>
      <c r="AD177" s="125">
        <f>VLOOKUP(C177,'Talente &amp; Stuff'!GX:HY,28,FALSE)</f>
        <v>0</v>
      </c>
      <c r="AE177" s="28"/>
    </row>
    <row r="178" spans="2:31" ht="15" hidden="1" customHeight="1" outlineLevel="2">
      <c r="B178" s="148">
        <v>26</v>
      </c>
      <c r="C178" s="177" t="str">
        <f>Attribute!C178</f>
        <v>---</v>
      </c>
      <c r="D178" s="86" t="str">
        <f>VLOOKUP(C178,'Talente &amp; Stuff'!GX:HY,2,FALSE)</f>
        <v>--/--/--</v>
      </c>
      <c r="E178" s="167" t="str">
        <f>VLOOKUP(C178,'Talente &amp; Stuff'!GX:HY,3,FALSE)</f>
        <v>-</v>
      </c>
      <c r="F178" s="120">
        <f>VLOOKUP(C178,'Talente &amp; Stuff'!GX:HY,4,FALSE)</f>
        <v>0</v>
      </c>
      <c r="G178" s="117">
        <f>VLOOKUP(C178,'Talente &amp; Stuff'!GX:HY,5,FALSE)</f>
        <v>0</v>
      </c>
      <c r="H178" s="117">
        <f>VLOOKUP(C178,'Talente &amp; Stuff'!GX:HY,6,FALSE)</f>
        <v>0</v>
      </c>
      <c r="I178" s="117">
        <f>VLOOKUP(C178,'Talente &amp; Stuff'!GX:HY,7,FALSE)</f>
        <v>0</v>
      </c>
      <c r="J178" s="117">
        <f>VLOOKUP(C178,'Talente &amp; Stuff'!GX:HY,8,FALSE)</f>
        <v>0</v>
      </c>
      <c r="K178" s="117">
        <f>VLOOKUP(C178,'Talente &amp; Stuff'!GX:HY,9,FALSE)</f>
        <v>0</v>
      </c>
      <c r="L178" s="117">
        <f>VLOOKUP(C178,'Talente &amp; Stuff'!GX:HY,10,FALSE)</f>
        <v>0</v>
      </c>
      <c r="M178" s="121">
        <f>VLOOKUP(C178,'Talente &amp; Stuff'!GX:HY,11,FALSE)</f>
        <v>0</v>
      </c>
      <c r="N178" s="47">
        <f>VLOOKUP(C178,'Talente &amp; Stuff'!GX:HY,12,FALSE)</f>
        <v>0</v>
      </c>
      <c r="O178" s="3">
        <f>VLOOKUP(C178,'Talente &amp; Stuff'!GX:HY,13,FALSE)</f>
        <v>0</v>
      </c>
      <c r="P178" s="174">
        <f>VLOOKUP(C178,'Talente &amp; Stuff'!GX:HY,14,FALSE)</f>
        <v>0</v>
      </c>
      <c r="Q178" s="114">
        <f>VLOOKUP(C178,'Talente &amp; Stuff'!GX:HY,15,FALSE)</f>
        <v>0</v>
      </c>
      <c r="R178" s="117">
        <f>VLOOKUP(C178,'Talente &amp; Stuff'!GX:HY,16,FALSE)</f>
        <v>0</v>
      </c>
      <c r="S178" s="119">
        <f>VLOOKUP(C178,'Talente &amp; Stuff'!GX:HY,17,FALSE)</f>
        <v>0</v>
      </c>
      <c r="T178" s="119">
        <f>VLOOKUP(C178,'Talente &amp; Stuff'!GX:HY,18,FALSE)</f>
        <v>0</v>
      </c>
      <c r="U178" s="89">
        <f>VLOOKUP(C178,'Talente &amp; Stuff'!GX:HY,19,FALSE)</f>
        <v>0</v>
      </c>
      <c r="V178" s="47">
        <f>VLOOKUP(C178,'Talente &amp; Stuff'!GX:HY,20,FALSE)</f>
        <v>0</v>
      </c>
      <c r="W178" s="127">
        <f>VLOOKUP(C178,'Talente &amp; Stuff'!GX:HY,21,FALSE)</f>
        <v>0</v>
      </c>
      <c r="X178" s="127">
        <f>VLOOKUP(C178,'Talente &amp; Stuff'!GX:HY,22,FALSE)</f>
        <v>0</v>
      </c>
      <c r="Y178" s="165">
        <f t="shared" si="16"/>
        <v>0</v>
      </c>
      <c r="Z178" s="44">
        <f t="shared" si="17"/>
        <v>0</v>
      </c>
      <c r="AA178" s="125">
        <f>VLOOKUP(C178,'Talente &amp; Stuff'!GX:HY,25,FALSE)</f>
        <v>0</v>
      </c>
      <c r="AB178" s="160">
        <f>VLOOKUP(C178,'Talente &amp; Stuff'!GX:HY,26,FALSE)</f>
        <v>0</v>
      </c>
      <c r="AC178" s="127">
        <f>VLOOKUP(C178,'Talente &amp; Stuff'!GX:HY,27,FALSE)</f>
        <v>0</v>
      </c>
      <c r="AD178" s="125">
        <f>VLOOKUP(C178,'Talente &amp; Stuff'!GX:HY,28,FALSE)</f>
        <v>0</v>
      </c>
      <c r="AE178" s="28"/>
    </row>
    <row r="179" spans="2:31" ht="15" hidden="1" customHeight="1" outlineLevel="2">
      <c r="B179" s="148">
        <v>27</v>
      </c>
      <c r="C179" s="177" t="str">
        <f>Attribute!C179</f>
        <v>---</v>
      </c>
      <c r="D179" s="86" t="str">
        <f>VLOOKUP(C179,'Talente &amp; Stuff'!GX:HY,2,FALSE)</f>
        <v>--/--/--</v>
      </c>
      <c r="E179" s="167" t="str">
        <f>VLOOKUP(C179,'Talente &amp; Stuff'!GX:HY,3,FALSE)</f>
        <v>-</v>
      </c>
      <c r="F179" s="120">
        <f>VLOOKUP(C179,'Talente &amp; Stuff'!GX:HY,4,FALSE)</f>
        <v>0</v>
      </c>
      <c r="G179" s="117">
        <f>VLOOKUP(C179,'Talente &amp; Stuff'!GX:HY,5,FALSE)</f>
        <v>0</v>
      </c>
      <c r="H179" s="117">
        <f>VLOOKUP(C179,'Talente &amp; Stuff'!GX:HY,6,FALSE)</f>
        <v>0</v>
      </c>
      <c r="I179" s="117">
        <f>VLOOKUP(C179,'Talente &amp; Stuff'!GX:HY,7,FALSE)</f>
        <v>0</v>
      </c>
      <c r="J179" s="117">
        <f>VLOOKUP(C179,'Talente &amp; Stuff'!GX:HY,8,FALSE)</f>
        <v>0</v>
      </c>
      <c r="K179" s="117">
        <f>VLOOKUP(C179,'Talente &amp; Stuff'!GX:HY,9,FALSE)</f>
        <v>0</v>
      </c>
      <c r="L179" s="117">
        <f>VLOOKUP(C179,'Talente &amp; Stuff'!GX:HY,10,FALSE)</f>
        <v>0</v>
      </c>
      <c r="M179" s="121">
        <f>VLOOKUP(C179,'Talente &amp; Stuff'!GX:HY,11,FALSE)</f>
        <v>0</v>
      </c>
      <c r="N179" s="47">
        <f>VLOOKUP(C179,'Talente &amp; Stuff'!GX:HY,12,FALSE)</f>
        <v>0</v>
      </c>
      <c r="O179" s="3">
        <f>VLOOKUP(C179,'Talente &amp; Stuff'!GX:HY,13,FALSE)</f>
        <v>0</v>
      </c>
      <c r="P179" s="174">
        <f>VLOOKUP(C179,'Talente &amp; Stuff'!GX:HY,14,FALSE)</f>
        <v>0</v>
      </c>
      <c r="Q179" s="114">
        <f>VLOOKUP(C179,'Talente &amp; Stuff'!GX:HY,15,FALSE)</f>
        <v>0</v>
      </c>
      <c r="R179" s="117">
        <f>VLOOKUP(C179,'Talente &amp; Stuff'!GX:HY,16,FALSE)</f>
        <v>0</v>
      </c>
      <c r="S179" s="119">
        <f>VLOOKUP(C179,'Talente &amp; Stuff'!GX:HY,17,FALSE)</f>
        <v>0</v>
      </c>
      <c r="T179" s="119">
        <f>VLOOKUP(C179,'Talente &amp; Stuff'!GX:HY,18,FALSE)</f>
        <v>0</v>
      </c>
      <c r="U179" s="89">
        <f>VLOOKUP(C179,'Talente &amp; Stuff'!GX:HY,19,FALSE)</f>
        <v>0</v>
      </c>
      <c r="V179" s="47">
        <f>VLOOKUP(C179,'Talente &amp; Stuff'!GX:HY,20,FALSE)</f>
        <v>0</v>
      </c>
      <c r="W179" s="127">
        <f>VLOOKUP(C179,'Talente &amp; Stuff'!GX:HY,21,FALSE)</f>
        <v>0</v>
      </c>
      <c r="X179" s="127">
        <f>VLOOKUP(C179,'Talente &amp; Stuff'!GX:HY,22,FALSE)</f>
        <v>0</v>
      </c>
      <c r="Y179" s="165">
        <f t="shared" si="16"/>
        <v>0</v>
      </c>
      <c r="Z179" s="44">
        <f t="shared" si="17"/>
        <v>0</v>
      </c>
      <c r="AA179" s="125">
        <f>VLOOKUP(C179,'Talente &amp; Stuff'!GX:HY,25,FALSE)</f>
        <v>0</v>
      </c>
      <c r="AB179" s="160">
        <f>VLOOKUP(C179,'Talente &amp; Stuff'!GX:HY,26,FALSE)</f>
        <v>0</v>
      </c>
      <c r="AC179" s="127">
        <f>VLOOKUP(C179,'Talente &amp; Stuff'!GX:HY,27,FALSE)</f>
        <v>0</v>
      </c>
      <c r="AD179" s="125">
        <f>VLOOKUP(C179,'Talente &amp; Stuff'!GX:HY,28,FALSE)</f>
        <v>0</v>
      </c>
      <c r="AE179" s="28"/>
    </row>
    <row r="180" spans="2:31" ht="15" hidden="1" customHeight="1" outlineLevel="2">
      <c r="B180" s="148">
        <v>28</v>
      </c>
      <c r="C180" s="177" t="str">
        <f>Attribute!C180</f>
        <v>---</v>
      </c>
      <c r="D180" s="86" t="str">
        <f>VLOOKUP(C180,'Talente &amp; Stuff'!GX:HY,2,FALSE)</f>
        <v>--/--/--</v>
      </c>
      <c r="E180" s="167" t="str">
        <f>VLOOKUP(C180,'Talente &amp; Stuff'!GX:HY,3,FALSE)</f>
        <v>-</v>
      </c>
      <c r="F180" s="120">
        <f>VLOOKUP(C180,'Talente &amp; Stuff'!GX:HY,4,FALSE)</f>
        <v>0</v>
      </c>
      <c r="G180" s="117">
        <f>VLOOKUP(C180,'Talente &amp; Stuff'!GX:HY,5,FALSE)</f>
        <v>0</v>
      </c>
      <c r="H180" s="117">
        <f>VLOOKUP(C180,'Talente &amp; Stuff'!GX:HY,6,FALSE)</f>
        <v>0</v>
      </c>
      <c r="I180" s="117">
        <f>VLOOKUP(C180,'Talente &amp; Stuff'!GX:HY,7,FALSE)</f>
        <v>0</v>
      </c>
      <c r="J180" s="117">
        <f>VLOOKUP(C180,'Talente &amp; Stuff'!GX:HY,8,FALSE)</f>
        <v>0</v>
      </c>
      <c r="K180" s="117">
        <f>VLOOKUP(C180,'Talente &amp; Stuff'!GX:HY,9,FALSE)</f>
        <v>0</v>
      </c>
      <c r="L180" s="117">
        <f>VLOOKUP(C180,'Talente &amp; Stuff'!GX:HY,10,FALSE)</f>
        <v>0</v>
      </c>
      <c r="M180" s="121">
        <f>VLOOKUP(C180,'Talente &amp; Stuff'!GX:HY,11,FALSE)</f>
        <v>0</v>
      </c>
      <c r="N180" s="47">
        <f>VLOOKUP(C180,'Talente &amp; Stuff'!GX:HY,12,FALSE)</f>
        <v>0</v>
      </c>
      <c r="O180" s="3">
        <f>VLOOKUP(C180,'Talente &amp; Stuff'!GX:HY,13,FALSE)</f>
        <v>0</v>
      </c>
      <c r="P180" s="174">
        <f>VLOOKUP(C180,'Talente &amp; Stuff'!GX:HY,14,FALSE)</f>
        <v>0</v>
      </c>
      <c r="Q180" s="114">
        <f>VLOOKUP(C180,'Talente &amp; Stuff'!GX:HY,15,FALSE)</f>
        <v>0</v>
      </c>
      <c r="R180" s="117">
        <f>VLOOKUP(C180,'Talente &amp; Stuff'!GX:HY,16,FALSE)</f>
        <v>0</v>
      </c>
      <c r="S180" s="119">
        <f>VLOOKUP(C180,'Talente &amp; Stuff'!GX:HY,17,FALSE)</f>
        <v>0</v>
      </c>
      <c r="T180" s="119">
        <f>VLOOKUP(C180,'Talente &amp; Stuff'!GX:HY,18,FALSE)</f>
        <v>0</v>
      </c>
      <c r="U180" s="89">
        <f>VLOOKUP(C180,'Talente &amp; Stuff'!GX:HY,19,FALSE)</f>
        <v>0</v>
      </c>
      <c r="V180" s="47">
        <f>VLOOKUP(C180,'Talente &amp; Stuff'!GX:HY,20,FALSE)</f>
        <v>0</v>
      </c>
      <c r="W180" s="127">
        <f>VLOOKUP(C180,'Talente &amp; Stuff'!GX:HY,21,FALSE)</f>
        <v>0</v>
      </c>
      <c r="X180" s="127">
        <f>VLOOKUP(C180,'Talente &amp; Stuff'!GX:HY,22,FALSE)</f>
        <v>0</v>
      </c>
      <c r="Y180" s="165">
        <f t="shared" si="16"/>
        <v>0</v>
      </c>
      <c r="Z180" s="44">
        <f t="shared" si="17"/>
        <v>0</v>
      </c>
      <c r="AA180" s="125">
        <f>VLOOKUP(C180,'Talente &amp; Stuff'!GX:HY,25,FALSE)</f>
        <v>0</v>
      </c>
      <c r="AB180" s="160">
        <f>VLOOKUP(C180,'Talente &amp; Stuff'!GX:HY,26,FALSE)</f>
        <v>0</v>
      </c>
      <c r="AC180" s="127">
        <f>VLOOKUP(C180,'Talente &amp; Stuff'!GX:HY,27,FALSE)</f>
        <v>0</v>
      </c>
      <c r="AD180" s="125">
        <f>VLOOKUP(C180,'Talente &amp; Stuff'!GX:HY,28,FALSE)</f>
        <v>0</v>
      </c>
      <c r="AE180" s="28"/>
    </row>
    <row r="181" spans="2:31" ht="15" hidden="1" customHeight="1" outlineLevel="2">
      <c r="B181" s="148">
        <v>29</v>
      </c>
      <c r="C181" s="177" t="str">
        <f>Attribute!C181</f>
        <v>---</v>
      </c>
      <c r="D181" s="86" t="str">
        <f>VLOOKUP(C181,'Talente &amp; Stuff'!GX:HY,2,FALSE)</f>
        <v>--/--/--</v>
      </c>
      <c r="E181" s="167" t="str">
        <f>VLOOKUP(C181,'Talente &amp; Stuff'!GX:HY,3,FALSE)</f>
        <v>-</v>
      </c>
      <c r="F181" s="120">
        <f>VLOOKUP(C181,'Talente &amp; Stuff'!GX:HY,4,FALSE)</f>
        <v>0</v>
      </c>
      <c r="G181" s="117">
        <f>VLOOKUP(C181,'Talente &amp; Stuff'!GX:HY,5,FALSE)</f>
        <v>0</v>
      </c>
      <c r="H181" s="117">
        <f>VLOOKUP(C181,'Talente &amp; Stuff'!GX:HY,6,FALSE)</f>
        <v>0</v>
      </c>
      <c r="I181" s="117">
        <f>VLOOKUP(C181,'Talente &amp; Stuff'!GX:HY,7,FALSE)</f>
        <v>0</v>
      </c>
      <c r="J181" s="117">
        <f>VLOOKUP(C181,'Talente &amp; Stuff'!GX:HY,8,FALSE)</f>
        <v>0</v>
      </c>
      <c r="K181" s="117">
        <f>VLOOKUP(C181,'Talente &amp; Stuff'!GX:HY,9,FALSE)</f>
        <v>0</v>
      </c>
      <c r="L181" s="117">
        <f>VLOOKUP(C181,'Talente &amp; Stuff'!GX:HY,10,FALSE)</f>
        <v>0</v>
      </c>
      <c r="M181" s="121">
        <f>VLOOKUP(C181,'Talente &amp; Stuff'!GX:HY,11,FALSE)</f>
        <v>0</v>
      </c>
      <c r="N181" s="47">
        <f>VLOOKUP(C181,'Talente &amp; Stuff'!GX:HY,12,FALSE)</f>
        <v>0</v>
      </c>
      <c r="O181" s="3">
        <f>VLOOKUP(C181,'Talente &amp; Stuff'!GX:HY,13,FALSE)</f>
        <v>0</v>
      </c>
      <c r="P181" s="174">
        <f>VLOOKUP(C181,'Talente &amp; Stuff'!GX:HY,14,FALSE)</f>
        <v>0</v>
      </c>
      <c r="Q181" s="114">
        <f>VLOOKUP(C181,'Talente &amp; Stuff'!GX:HY,15,FALSE)</f>
        <v>0</v>
      </c>
      <c r="R181" s="117">
        <f>VLOOKUP(C181,'Talente &amp; Stuff'!GX:HY,16,FALSE)</f>
        <v>0</v>
      </c>
      <c r="S181" s="119">
        <f>VLOOKUP(C181,'Talente &amp; Stuff'!GX:HY,17,FALSE)</f>
        <v>0</v>
      </c>
      <c r="T181" s="119">
        <f>VLOOKUP(C181,'Talente &amp; Stuff'!GX:HY,18,FALSE)</f>
        <v>0</v>
      </c>
      <c r="U181" s="89">
        <f>VLOOKUP(C181,'Talente &amp; Stuff'!GX:HY,19,FALSE)</f>
        <v>0</v>
      </c>
      <c r="V181" s="47">
        <f>VLOOKUP(C181,'Talente &amp; Stuff'!GX:HY,20,FALSE)</f>
        <v>0</v>
      </c>
      <c r="W181" s="127">
        <f>VLOOKUP(C181,'Talente &amp; Stuff'!GX:HY,21,FALSE)</f>
        <v>0</v>
      </c>
      <c r="X181" s="127">
        <f>VLOOKUP(C181,'Talente &amp; Stuff'!GX:HY,22,FALSE)</f>
        <v>0</v>
      </c>
      <c r="Y181" s="165">
        <f t="shared" si="16"/>
        <v>0</v>
      </c>
      <c r="Z181" s="44">
        <f t="shared" si="17"/>
        <v>0</v>
      </c>
      <c r="AA181" s="125">
        <f>VLOOKUP(C181,'Talente &amp; Stuff'!GX:HY,25,FALSE)</f>
        <v>0</v>
      </c>
      <c r="AB181" s="160">
        <f>VLOOKUP(C181,'Talente &amp; Stuff'!GX:HY,26,FALSE)</f>
        <v>0</v>
      </c>
      <c r="AC181" s="127">
        <f>VLOOKUP(C181,'Talente &amp; Stuff'!GX:HY,27,FALSE)</f>
        <v>0</v>
      </c>
      <c r="AD181" s="125">
        <f>VLOOKUP(C181,'Talente &amp; Stuff'!GX:HY,28,FALSE)</f>
        <v>0</v>
      </c>
      <c r="AE181" s="28"/>
    </row>
    <row r="182" spans="2:31" ht="15" hidden="1" customHeight="1" outlineLevel="2">
      <c r="B182" s="148">
        <v>30</v>
      </c>
      <c r="C182" s="177" t="str">
        <f>Attribute!C182</f>
        <v>---</v>
      </c>
      <c r="D182" s="86" t="str">
        <f>VLOOKUP(C182,'Talente &amp; Stuff'!GX:HY,2,FALSE)</f>
        <v>--/--/--</v>
      </c>
      <c r="E182" s="167" t="str">
        <f>VLOOKUP(C182,'Talente &amp; Stuff'!GX:HY,3,FALSE)</f>
        <v>-</v>
      </c>
      <c r="F182" s="120">
        <f>VLOOKUP(C182,'Talente &amp; Stuff'!GX:HY,4,FALSE)</f>
        <v>0</v>
      </c>
      <c r="G182" s="117">
        <f>VLOOKUP(C182,'Talente &amp; Stuff'!GX:HY,5,FALSE)</f>
        <v>0</v>
      </c>
      <c r="H182" s="117">
        <f>VLOOKUP(C182,'Talente &amp; Stuff'!GX:HY,6,FALSE)</f>
        <v>0</v>
      </c>
      <c r="I182" s="117">
        <f>VLOOKUP(C182,'Talente &amp; Stuff'!GX:HY,7,FALSE)</f>
        <v>0</v>
      </c>
      <c r="J182" s="117">
        <f>VLOOKUP(C182,'Talente &amp; Stuff'!GX:HY,8,FALSE)</f>
        <v>0</v>
      </c>
      <c r="K182" s="117">
        <f>VLOOKUP(C182,'Talente &amp; Stuff'!GX:HY,9,FALSE)</f>
        <v>0</v>
      </c>
      <c r="L182" s="117">
        <f>VLOOKUP(C182,'Talente &amp; Stuff'!GX:HY,10,FALSE)</f>
        <v>0</v>
      </c>
      <c r="M182" s="121">
        <f>VLOOKUP(C182,'Talente &amp; Stuff'!GX:HY,11,FALSE)</f>
        <v>0</v>
      </c>
      <c r="N182" s="47">
        <f>VLOOKUP(C182,'Talente &amp; Stuff'!GX:HY,12,FALSE)</f>
        <v>0</v>
      </c>
      <c r="O182" s="3">
        <f>VLOOKUP(C182,'Talente &amp; Stuff'!GX:HY,13,FALSE)</f>
        <v>0</v>
      </c>
      <c r="P182" s="174">
        <f>VLOOKUP(C182,'Talente &amp; Stuff'!GX:HY,14,FALSE)</f>
        <v>0</v>
      </c>
      <c r="Q182" s="114">
        <f>VLOOKUP(C182,'Talente &amp; Stuff'!GX:HY,15,FALSE)</f>
        <v>0</v>
      </c>
      <c r="R182" s="117">
        <f>VLOOKUP(C182,'Talente &amp; Stuff'!GX:HY,16,FALSE)</f>
        <v>0</v>
      </c>
      <c r="S182" s="119">
        <f>VLOOKUP(C182,'Talente &amp; Stuff'!GX:HY,17,FALSE)</f>
        <v>0</v>
      </c>
      <c r="T182" s="119">
        <f>VLOOKUP(C182,'Talente &amp; Stuff'!GX:HY,18,FALSE)</f>
        <v>0</v>
      </c>
      <c r="U182" s="89">
        <f>VLOOKUP(C182,'Talente &amp; Stuff'!GX:HY,19,FALSE)</f>
        <v>0</v>
      </c>
      <c r="V182" s="47">
        <f>VLOOKUP(C182,'Talente &amp; Stuff'!GX:HY,20,FALSE)</f>
        <v>0</v>
      </c>
      <c r="W182" s="127">
        <f>VLOOKUP(C182,'Talente &amp; Stuff'!GX:HY,21,FALSE)</f>
        <v>0</v>
      </c>
      <c r="X182" s="127">
        <f>VLOOKUP(C182,'Talente &amp; Stuff'!GX:HY,22,FALSE)</f>
        <v>0</v>
      </c>
      <c r="Y182" s="165">
        <f t="shared" si="16"/>
        <v>0</v>
      </c>
      <c r="Z182" s="44">
        <f t="shared" si="17"/>
        <v>0</v>
      </c>
      <c r="AA182" s="125">
        <f>VLOOKUP(C182,'Talente &amp; Stuff'!GX:HY,25,FALSE)</f>
        <v>0</v>
      </c>
      <c r="AB182" s="160">
        <f>VLOOKUP(C182,'Talente &amp; Stuff'!GX:HY,26,FALSE)</f>
        <v>0</v>
      </c>
      <c r="AC182" s="127">
        <f>VLOOKUP(C182,'Talente &amp; Stuff'!GX:HY,27,FALSE)</f>
        <v>0</v>
      </c>
      <c r="AD182" s="125">
        <f>VLOOKUP(C182,'Talente &amp; Stuff'!GX:HY,28,FALSE)</f>
        <v>0</v>
      </c>
      <c r="AE182" s="28"/>
    </row>
    <row r="183" spans="2:31" ht="15" hidden="1" customHeight="1" outlineLevel="2">
      <c r="B183" s="148">
        <v>31</v>
      </c>
      <c r="C183" s="177" t="str">
        <f>Attribute!C183</f>
        <v>---</v>
      </c>
      <c r="D183" s="86" t="str">
        <f>VLOOKUP(C183,'Talente &amp; Stuff'!GX:HY,2,FALSE)</f>
        <v>--/--/--</v>
      </c>
      <c r="E183" s="167" t="str">
        <f>VLOOKUP(C183,'Talente &amp; Stuff'!GX:HY,3,FALSE)</f>
        <v>-</v>
      </c>
      <c r="F183" s="120">
        <f>VLOOKUP(C183,'Talente &amp; Stuff'!GX:HY,4,FALSE)</f>
        <v>0</v>
      </c>
      <c r="G183" s="117">
        <f>VLOOKUP(C183,'Talente &amp; Stuff'!GX:HY,5,FALSE)</f>
        <v>0</v>
      </c>
      <c r="H183" s="117">
        <f>VLOOKUP(C183,'Talente &amp; Stuff'!GX:HY,6,FALSE)</f>
        <v>0</v>
      </c>
      <c r="I183" s="117">
        <f>VLOOKUP(C183,'Talente &amp; Stuff'!GX:HY,7,FALSE)</f>
        <v>0</v>
      </c>
      <c r="J183" s="117">
        <f>VLOOKUP(C183,'Talente &amp; Stuff'!GX:HY,8,FALSE)</f>
        <v>0</v>
      </c>
      <c r="K183" s="117">
        <f>VLOOKUP(C183,'Talente &amp; Stuff'!GX:HY,9,FALSE)</f>
        <v>0</v>
      </c>
      <c r="L183" s="117">
        <f>VLOOKUP(C183,'Talente &amp; Stuff'!GX:HY,10,FALSE)</f>
        <v>0</v>
      </c>
      <c r="M183" s="121">
        <f>VLOOKUP(C183,'Talente &amp; Stuff'!GX:HY,11,FALSE)</f>
        <v>0</v>
      </c>
      <c r="N183" s="47">
        <f>VLOOKUP(C183,'Talente &amp; Stuff'!GX:HY,12,FALSE)</f>
        <v>0</v>
      </c>
      <c r="O183" s="3">
        <f>VLOOKUP(C183,'Talente &amp; Stuff'!GX:HY,13,FALSE)</f>
        <v>0</v>
      </c>
      <c r="P183" s="174">
        <f>VLOOKUP(C183,'Talente &amp; Stuff'!GX:HY,14,FALSE)</f>
        <v>0</v>
      </c>
      <c r="Q183" s="114">
        <f>VLOOKUP(C183,'Talente &amp; Stuff'!GX:HY,15,FALSE)</f>
        <v>0</v>
      </c>
      <c r="R183" s="117">
        <f>VLOOKUP(C183,'Talente &amp; Stuff'!GX:HY,16,FALSE)</f>
        <v>0</v>
      </c>
      <c r="S183" s="119">
        <f>VLOOKUP(C183,'Talente &amp; Stuff'!GX:HY,17,FALSE)</f>
        <v>0</v>
      </c>
      <c r="T183" s="119">
        <f>VLOOKUP(C183,'Talente &amp; Stuff'!GX:HY,18,FALSE)</f>
        <v>0</v>
      </c>
      <c r="U183" s="89">
        <f>VLOOKUP(C183,'Talente &amp; Stuff'!GX:HY,19,FALSE)</f>
        <v>0</v>
      </c>
      <c r="V183" s="47">
        <f>VLOOKUP(C183,'Talente &amp; Stuff'!GX:HY,20,FALSE)</f>
        <v>0</v>
      </c>
      <c r="W183" s="127">
        <f>VLOOKUP(C183,'Talente &amp; Stuff'!GX:HY,21,FALSE)</f>
        <v>0</v>
      </c>
      <c r="X183" s="127">
        <f>VLOOKUP(C183,'Talente &amp; Stuff'!GX:HY,22,FALSE)</f>
        <v>0</v>
      </c>
      <c r="Y183" s="165">
        <f t="shared" si="16"/>
        <v>0</v>
      </c>
      <c r="Z183" s="44">
        <f t="shared" si="17"/>
        <v>0</v>
      </c>
      <c r="AA183" s="125">
        <f>VLOOKUP(C183,'Talente &amp; Stuff'!GX:HY,25,FALSE)</f>
        <v>0</v>
      </c>
      <c r="AB183" s="160">
        <f>VLOOKUP(C183,'Talente &amp; Stuff'!GX:HY,26,FALSE)</f>
        <v>0</v>
      </c>
      <c r="AC183" s="127">
        <f>VLOOKUP(C183,'Talente &amp; Stuff'!GX:HY,27,FALSE)</f>
        <v>0</v>
      </c>
      <c r="AD183" s="125">
        <f>VLOOKUP(C183,'Talente &amp; Stuff'!GX:HY,28,FALSE)</f>
        <v>0</v>
      </c>
      <c r="AE183" s="28"/>
    </row>
    <row r="184" spans="2:31" ht="15" hidden="1" customHeight="1" outlineLevel="2">
      <c r="B184" s="148">
        <v>32</v>
      </c>
      <c r="C184" s="177" t="str">
        <f>Attribute!C184</f>
        <v>---</v>
      </c>
      <c r="D184" s="86" t="str">
        <f>VLOOKUP(C184,'Talente &amp; Stuff'!GX:HY,2,FALSE)</f>
        <v>--/--/--</v>
      </c>
      <c r="E184" s="167" t="str">
        <f>VLOOKUP(C184,'Talente &amp; Stuff'!GX:HY,3,FALSE)</f>
        <v>-</v>
      </c>
      <c r="F184" s="120">
        <f>VLOOKUP(C184,'Talente &amp; Stuff'!GX:HY,4,FALSE)</f>
        <v>0</v>
      </c>
      <c r="G184" s="117">
        <f>VLOOKUP(C184,'Talente &amp; Stuff'!GX:HY,5,FALSE)</f>
        <v>0</v>
      </c>
      <c r="H184" s="117">
        <f>VLOOKUP(C184,'Talente &amp; Stuff'!GX:HY,6,FALSE)</f>
        <v>0</v>
      </c>
      <c r="I184" s="117">
        <f>VLOOKUP(C184,'Talente &amp; Stuff'!GX:HY,7,FALSE)</f>
        <v>0</v>
      </c>
      <c r="J184" s="117">
        <f>VLOOKUP(C184,'Talente &amp; Stuff'!GX:HY,8,FALSE)</f>
        <v>0</v>
      </c>
      <c r="K184" s="117">
        <f>VLOOKUP(C184,'Talente &amp; Stuff'!GX:HY,9,FALSE)</f>
        <v>0</v>
      </c>
      <c r="L184" s="117">
        <f>VLOOKUP(C184,'Talente &amp; Stuff'!GX:HY,10,FALSE)</f>
        <v>0</v>
      </c>
      <c r="M184" s="121">
        <f>VLOOKUP(C184,'Talente &amp; Stuff'!GX:HY,11,FALSE)</f>
        <v>0</v>
      </c>
      <c r="N184" s="47">
        <f>VLOOKUP(C184,'Talente &amp; Stuff'!GX:HY,12,FALSE)</f>
        <v>0</v>
      </c>
      <c r="O184" s="3">
        <f>VLOOKUP(C184,'Talente &amp; Stuff'!GX:HY,13,FALSE)</f>
        <v>0</v>
      </c>
      <c r="P184" s="174">
        <f>VLOOKUP(C184,'Talente &amp; Stuff'!GX:HY,14,FALSE)</f>
        <v>0</v>
      </c>
      <c r="Q184" s="114">
        <f>VLOOKUP(C184,'Talente &amp; Stuff'!GX:HY,15,FALSE)</f>
        <v>0</v>
      </c>
      <c r="R184" s="117">
        <f>VLOOKUP(C184,'Talente &amp; Stuff'!GX:HY,16,FALSE)</f>
        <v>0</v>
      </c>
      <c r="S184" s="119">
        <f>VLOOKUP(C184,'Talente &amp; Stuff'!GX:HY,17,FALSE)</f>
        <v>0</v>
      </c>
      <c r="T184" s="119">
        <f>VLOOKUP(C184,'Talente &amp; Stuff'!GX:HY,18,FALSE)</f>
        <v>0</v>
      </c>
      <c r="U184" s="89">
        <f>VLOOKUP(C184,'Talente &amp; Stuff'!GX:HY,19,FALSE)</f>
        <v>0</v>
      </c>
      <c r="V184" s="47">
        <f>VLOOKUP(C184,'Talente &amp; Stuff'!GX:HY,20,FALSE)</f>
        <v>0</v>
      </c>
      <c r="W184" s="127">
        <f>VLOOKUP(C184,'Talente &amp; Stuff'!GX:HY,21,FALSE)</f>
        <v>0</v>
      </c>
      <c r="X184" s="127">
        <f>VLOOKUP(C184,'Talente &amp; Stuff'!GX:HY,22,FALSE)</f>
        <v>0</v>
      </c>
      <c r="Y184" s="165">
        <f t="shared" si="16"/>
        <v>0</v>
      </c>
      <c r="Z184" s="44">
        <f t="shared" si="17"/>
        <v>0</v>
      </c>
      <c r="AA184" s="125">
        <f>VLOOKUP(C184,'Talente &amp; Stuff'!GX:HY,25,FALSE)</f>
        <v>0</v>
      </c>
      <c r="AB184" s="160">
        <f>VLOOKUP(C184,'Talente &amp; Stuff'!GX:HY,26,FALSE)</f>
        <v>0</v>
      </c>
      <c r="AC184" s="127">
        <f>VLOOKUP(C184,'Talente &amp; Stuff'!GX:HY,27,FALSE)</f>
        <v>0</v>
      </c>
      <c r="AD184" s="125">
        <f>VLOOKUP(C184,'Talente &amp; Stuff'!GX:HY,28,FALSE)</f>
        <v>0</v>
      </c>
      <c r="AE184" s="28"/>
    </row>
    <row r="185" spans="2:31" ht="15" hidden="1" customHeight="1" outlineLevel="2">
      <c r="B185" s="148">
        <v>33</v>
      </c>
      <c r="C185" s="177" t="str">
        <f>Attribute!C185</f>
        <v>---</v>
      </c>
      <c r="D185" s="86" t="str">
        <f>VLOOKUP(C185,'Talente &amp; Stuff'!GX:HY,2,FALSE)</f>
        <v>--/--/--</v>
      </c>
      <c r="E185" s="167" t="str">
        <f>VLOOKUP(C185,'Talente &amp; Stuff'!GX:HY,3,FALSE)</f>
        <v>-</v>
      </c>
      <c r="F185" s="120">
        <f>VLOOKUP(C185,'Talente &amp; Stuff'!GX:HY,4,FALSE)</f>
        <v>0</v>
      </c>
      <c r="G185" s="117">
        <f>VLOOKUP(C185,'Talente &amp; Stuff'!GX:HY,5,FALSE)</f>
        <v>0</v>
      </c>
      <c r="H185" s="117">
        <f>VLOOKUP(C185,'Talente &amp; Stuff'!GX:HY,6,FALSE)</f>
        <v>0</v>
      </c>
      <c r="I185" s="117">
        <f>VLOOKUP(C185,'Talente &amp; Stuff'!GX:HY,7,FALSE)</f>
        <v>0</v>
      </c>
      <c r="J185" s="117">
        <f>VLOOKUP(C185,'Talente &amp; Stuff'!GX:HY,8,FALSE)</f>
        <v>0</v>
      </c>
      <c r="K185" s="117">
        <f>VLOOKUP(C185,'Talente &amp; Stuff'!GX:HY,9,FALSE)</f>
        <v>0</v>
      </c>
      <c r="L185" s="117">
        <f>VLOOKUP(C185,'Talente &amp; Stuff'!GX:HY,10,FALSE)</f>
        <v>0</v>
      </c>
      <c r="M185" s="121">
        <f>VLOOKUP(C185,'Talente &amp; Stuff'!GX:HY,11,FALSE)</f>
        <v>0</v>
      </c>
      <c r="N185" s="47">
        <f>VLOOKUP(C185,'Talente &amp; Stuff'!GX:HY,12,FALSE)</f>
        <v>0</v>
      </c>
      <c r="O185" s="3">
        <f>VLOOKUP(C185,'Talente &amp; Stuff'!GX:HY,13,FALSE)</f>
        <v>0</v>
      </c>
      <c r="P185" s="174">
        <f>VLOOKUP(C185,'Talente &amp; Stuff'!GX:HY,14,FALSE)</f>
        <v>0</v>
      </c>
      <c r="Q185" s="114">
        <f>VLOOKUP(C185,'Talente &amp; Stuff'!GX:HY,15,FALSE)</f>
        <v>0</v>
      </c>
      <c r="R185" s="117">
        <f>VLOOKUP(C185,'Talente &amp; Stuff'!GX:HY,16,FALSE)</f>
        <v>0</v>
      </c>
      <c r="S185" s="119">
        <f>VLOOKUP(C185,'Talente &amp; Stuff'!GX:HY,17,FALSE)</f>
        <v>0</v>
      </c>
      <c r="T185" s="119">
        <f>VLOOKUP(C185,'Talente &amp; Stuff'!GX:HY,18,FALSE)</f>
        <v>0</v>
      </c>
      <c r="U185" s="89">
        <f>VLOOKUP(C185,'Talente &amp; Stuff'!GX:HY,19,FALSE)</f>
        <v>0</v>
      </c>
      <c r="V185" s="47">
        <f>VLOOKUP(C185,'Talente &amp; Stuff'!GX:HY,20,FALSE)</f>
        <v>0</v>
      </c>
      <c r="W185" s="127">
        <f>VLOOKUP(C185,'Talente &amp; Stuff'!GX:HY,21,FALSE)</f>
        <v>0</v>
      </c>
      <c r="X185" s="127">
        <f>VLOOKUP(C185,'Talente &amp; Stuff'!GX:HY,22,FALSE)</f>
        <v>0</v>
      </c>
      <c r="Y185" s="165">
        <f t="shared" ref="Y185:Y211" si="18">VLOOKUP(C185,Ausgewählte_Zauber_Gildenmagier,226,FALSE)</f>
        <v>0</v>
      </c>
      <c r="Z185" s="44">
        <f t="shared" ref="Z185:Z211" si="19">VLOOKUP(C185,Ausgewählte_Zauber_Gildenmagier,227,FALSE)</f>
        <v>0</v>
      </c>
      <c r="AA185" s="125">
        <f>VLOOKUP(C185,'Talente &amp; Stuff'!GX:HY,25,FALSE)</f>
        <v>0</v>
      </c>
      <c r="AB185" s="160">
        <f>VLOOKUP(C185,'Talente &amp; Stuff'!GX:HY,26,FALSE)</f>
        <v>0</v>
      </c>
      <c r="AC185" s="127">
        <f>VLOOKUP(C185,'Talente &amp; Stuff'!GX:HY,27,FALSE)</f>
        <v>0</v>
      </c>
      <c r="AD185" s="125">
        <f>VLOOKUP(C185,'Talente &amp; Stuff'!GX:HY,28,FALSE)</f>
        <v>0</v>
      </c>
      <c r="AE185" s="28"/>
    </row>
    <row r="186" spans="2:31" ht="15" hidden="1" customHeight="1" outlineLevel="2">
      <c r="B186" s="148">
        <v>34</v>
      </c>
      <c r="C186" s="177" t="str">
        <f>Attribute!C186</f>
        <v>---</v>
      </c>
      <c r="D186" s="86" t="str">
        <f>VLOOKUP(C186,'Talente &amp; Stuff'!GX:HY,2,FALSE)</f>
        <v>--/--/--</v>
      </c>
      <c r="E186" s="167" t="str">
        <f>VLOOKUP(C186,'Talente &amp; Stuff'!GX:HY,3,FALSE)</f>
        <v>-</v>
      </c>
      <c r="F186" s="120">
        <f>VLOOKUP(C186,'Talente &amp; Stuff'!GX:HY,4,FALSE)</f>
        <v>0</v>
      </c>
      <c r="G186" s="117">
        <f>VLOOKUP(C186,'Talente &amp; Stuff'!GX:HY,5,FALSE)</f>
        <v>0</v>
      </c>
      <c r="H186" s="117">
        <f>VLOOKUP(C186,'Talente &amp; Stuff'!GX:HY,6,FALSE)</f>
        <v>0</v>
      </c>
      <c r="I186" s="117">
        <f>VLOOKUP(C186,'Talente &amp; Stuff'!GX:HY,7,FALSE)</f>
        <v>0</v>
      </c>
      <c r="J186" s="117">
        <f>VLOOKUP(C186,'Talente &amp; Stuff'!GX:HY,8,FALSE)</f>
        <v>0</v>
      </c>
      <c r="K186" s="117">
        <f>VLOOKUP(C186,'Talente &amp; Stuff'!GX:HY,9,FALSE)</f>
        <v>0</v>
      </c>
      <c r="L186" s="117">
        <f>VLOOKUP(C186,'Talente &amp; Stuff'!GX:HY,10,FALSE)</f>
        <v>0</v>
      </c>
      <c r="M186" s="121">
        <f>VLOOKUP(C186,'Talente &amp; Stuff'!GX:HY,11,FALSE)</f>
        <v>0</v>
      </c>
      <c r="N186" s="47">
        <f>VLOOKUP(C186,'Talente &amp; Stuff'!GX:HY,12,FALSE)</f>
        <v>0</v>
      </c>
      <c r="O186" s="3">
        <f>VLOOKUP(C186,'Talente &amp; Stuff'!GX:HY,13,FALSE)</f>
        <v>0</v>
      </c>
      <c r="P186" s="174">
        <f>VLOOKUP(C186,'Talente &amp; Stuff'!GX:HY,14,FALSE)</f>
        <v>0</v>
      </c>
      <c r="Q186" s="114">
        <f>VLOOKUP(C186,'Talente &amp; Stuff'!GX:HY,15,FALSE)</f>
        <v>0</v>
      </c>
      <c r="R186" s="117">
        <f>VLOOKUP(C186,'Talente &amp; Stuff'!GX:HY,16,FALSE)</f>
        <v>0</v>
      </c>
      <c r="S186" s="119">
        <f>VLOOKUP(C186,'Talente &amp; Stuff'!GX:HY,17,FALSE)</f>
        <v>0</v>
      </c>
      <c r="T186" s="119">
        <f>VLOOKUP(C186,'Talente &amp; Stuff'!GX:HY,18,FALSE)</f>
        <v>0</v>
      </c>
      <c r="U186" s="89">
        <f>VLOOKUP(C186,'Talente &amp; Stuff'!GX:HY,19,FALSE)</f>
        <v>0</v>
      </c>
      <c r="V186" s="47">
        <f>VLOOKUP(C186,'Talente &amp; Stuff'!GX:HY,20,FALSE)</f>
        <v>0</v>
      </c>
      <c r="W186" s="127">
        <f>VLOOKUP(C186,'Talente &amp; Stuff'!GX:HY,21,FALSE)</f>
        <v>0</v>
      </c>
      <c r="X186" s="127">
        <f>VLOOKUP(C186,'Talente &amp; Stuff'!GX:HY,22,FALSE)</f>
        <v>0</v>
      </c>
      <c r="Y186" s="165">
        <f t="shared" si="18"/>
        <v>0</v>
      </c>
      <c r="Z186" s="44">
        <f t="shared" si="19"/>
        <v>0</v>
      </c>
      <c r="AA186" s="125">
        <f>VLOOKUP(C186,'Talente &amp; Stuff'!GX:HY,25,FALSE)</f>
        <v>0</v>
      </c>
      <c r="AB186" s="160">
        <f>VLOOKUP(C186,'Talente &amp; Stuff'!GX:HY,26,FALSE)</f>
        <v>0</v>
      </c>
      <c r="AC186" s="127">
        <f>VLOOKUP(C186,'Talente &amp; Stuff'!GX:HY,27,FALSE)</f>
        <v>0</v>
      </c>
      <c r="AD186" s="125">
        <f>VLOOKUP(C186,'Talente &amp; Stuff'!GX:HY,28,FALSE)</f>
        <v>0</v>
      </c>
      <c r="AE186" s="28"/>
    </row>
    <row r="187" spans="2:31" ht="15" hidden="1" customHeight="1" outlineLevel="2">
      <c r="B187" s="148">
        <v>35</v>
      </c>
      <c r="C187" s="177" t="str">
        <f>Attribute!C187</f>
        <v>---</v>
      </c>
      <c r="D187" s="86" t="str">
        <f>VLOOKUP(C187,'Talente &amp; Stuff'!GX:HY,2,FALSE)</f>
        <v>--/--/--</v>
      </c>
      <c r="E187" s="167" t="str">
        <f>VLOOKUP(C187,'Talente &amp; Stuff'!GX:HY,3,FALSE)</f>
        <v>-</v>
      </c>
      <c r="F187" s="120">
        <f>VLOOKUP(C187,'Talente &amp; Stuff'!GX:HY,4,FALSE)</f>
        <v>0</v>
      </c>
      <c r="G187" s="117">
        <f>VLOOKUP(C187,'Talente &amp; Stuff'!GX:HY,5,FALSE)</f>
        <v>0</v>
      </c>
      <c r="H187" s="117">
        <f>VLOOKUP(C187,'Talente &amp; Stuff'!GX:HY,6,FALSE)</f>
        <v>0</v>
      </c>
      <c r="I187" s="117">
        <f>VLOOKUP(C187,'Talente &amp; Stuff'!GX:HY,7,FALSE)</f>
        <v>0</v>
      </c>
      <c r="J187" s="117">
        <f>VLOOKUP(C187,'Talente &amp; Stuff'!GX:HY,8,FALSE)</f>
        <v>0</v>
      </c>
      <c r="K187" s="117">
        <f>VLOOKUP(C187,'Talente &amp; Stuff'!GX:HY,9,FALSE)</f>
        <v>0</v>
      </c>
      <c r="L187" s="117">
        <f>VLOOKUP(C187,'Talente &amp; Stuff'!GX:HY,10,FALSE)</f>
        <v>0</v>
      </c>
      <c r="M187" s="121">
        <f>VLOOKUP(C187,'Talente &amp; Stuff'!GX:HY,11,FALSE)</f>
        <v>0</v>
      </c>
      <c r="N187" s="47">
        <f>VLOOKUP(C187,'Talente &amp; Stuff'!GX:HY,12,FALSE)</f>
        <v>0</v>
      </c>
      <c r="O187" s="3">
        <f>VLOOKUP(C187,'Talente &amp; Stuff'!GX:HY,13,FALSE)</f>
        <v>0</v>
      </c>
      <c r="P187" s="174">
        <f>VLOOKUP(C187,'Talente &amp; Stuff'!GX:HY,14,FALSE)</f>
        <v>0</v>
      </c>
      <c r="Q187" s="114">
        <f>VLOOKUP(C187,'Talente &amp; Stuff'!GX:HY,15,FALSE)</f>
        <v>0</v>
      </c>
      <c r="R187" s="117">
        <f>VLOOKUP(C187,'Talente &amp; Stuff'!GX:HY,16,FALSE)</f>
        <v>0</v>
      </c>
      <c r="S187" s="119">
        <f>VLOOKUP(C187,'Talente &amp; Stuff'!GX:HY,17,FALSE)</f>
        <v>0</v>
      </c>
      <c r="T187" s="119">
        <f>VLOOKUP(C187,'Talente &amp; Stuff'!GX:HY,18,FALSE)</f>
        <v>0</v>
      </c>
      <c r="U187" s="89">
        <f>VLOOKUP(C187,'Talente &amp; Stuff'!GX:HY,19,FALSE)</f>
        <v>0</v>
      </c>
      <c r="V187" s="47">
        <f>VLOOKUP(C187,'Talente &amp; Stuff'!GX:HY,20,FALSE)</f>
        <v>0</v>
      </c>
      <c r="W187" s="127">
        <f>VLOOKUP(C187,'Talente &amp; Stuff'!GX:HY,21,FALSE)</f>
        <v>0</v>
      </c>
      <c r="X187" s="127">
        <f>VLOOKUP(C187,'Talente &amp; Stuff'!GX:HY,22,FALSE)</f>
        <v>0</v>
      </c>
      <c r="Y187" s="165">
        <f t="shared" si="18"/>
        <v>0</v>
      </c>
      <c r="Z187" s="44">
        <f t="shared" si="19"/>
        <v>0</v>
      </c>
      <c r="AA187" s="125">
        <f>VLOOKUP(C187,'Talente &amp; Stuff'!GX:HY,25,FALSE)</f>
        <v>0</v>
      </c>
      <c r="AB187" s="160">
        <f>VLOOKUP(C187,'Talente &amp; Stuff'!GX:HY,26,FALSE)</f>
        <v>0</v>
      </c>
      <c r="AC187" s="127">
        <f>VLOOKUP(C187,'Talente &amp; Stuff'!GX:HY,27,FALSE)</f>
        <v>0</v>
      </c>
      <c r="AD187" s="125">
        <f>VLOOKUP(C187,'Talente &amp; Stuff'!GX:HY,28,FALSE)</f>
        <v>0</v>
      </c>
      <c r="AE187" s="28"/>
    </row>
    <row r="188" spans="2:31" ht="15" hidden="1" customHeight="1" outlineLevel="2">
      <c r="B188" s="148">
        <v>36</v>
      </c>
      <c r="C188" s="177" t="str">
        <f>Attribute!C188</f>
        <v>---</v>
      </c>
      <c r="D188" s="86" t="str">
        <f>VLOOKUP(C188,'Talente &amp; Stuff'!GX:HY,2,FALSE)</f>
        <v>--/--/--</v>
      </c>
      <c r="E188" s="167" t="str">
        <f>VLOOKUP(C188,'Talente &amp; Stuff'!GX:HY,3,FALSE)</f>
        <v>-</v>
      </c>
      <c r="F188" s="120">
        <f>VLOOKUP(C188,'Talente &amp; Stuff'!GX:HY,4,FALSE)</f>
        <v>0</v>
      </c>
      <c r="G188" s="117">
        <f>VLOOKUP(C188,'Talente &amp; Stuff'!GX:HY,5,FALSE)</f>
        <v>0</v>
      </c>
      <c r="H188" s="117">
        <f>VLOOKUP(C188,'Talente &amp; Stuff'!GX:HY,6,FALSE)</f>
        <v>0</v>
      </c>
      <c r="I188" s="117">
        <f>VLOOKUP(C188,'Talente &amp; Stuff'!GX:HY,7,FALSE)</f>
        <v>0</v>
      </c>
      <c r="J188" s="117">
        <f>VLOOKUP(C188,'Talente &amp; Stuff'!GX:HY,8,FALSE)</f>
        <v>0</v>
      </c>
      <c r="K188" s="117">
        <f>VLOOKUP(C188,'Talente &amp; Stuff'!GX:HY,9,FALSE)</f>
        <v>0</v>
      </c>
      <c r="L188" s="117">
        <f>VLOOKUP(C188,'Talente &amp; Stuff'!GX:HY,10,FALSE)</f>
        <v>0</v>
      </c>
      <c r="M188" s="121">
        <f>VLOOKUP(C188,'Talente &amp; Stuff'!GX:HY,11,FALSE)</f>
        <v>0</v>
      </c>
      <c r="N188" s="47">
        <f>VLOOKUP(C188,'Talente &amp; Stuff'!GX:HY,12,FALSE)</f>
        <v>0</v>
      </c>
      <c r="O188" s="3">
        <f>VLOOKUP(C188,'Talente &amp; Stuff'!GX:HY,13,FALSE)</f>
        <v>0</v>
      </c>
      <c r="P188" s="174">
        <f>VLOOKUP(C188,'Talente &amp; Stuff'!GX:HY,14,FALSE)</f>
        <v>0</v>
      </c>
      <c r="Q188" s="114">
        <f>VLOOKUP(C188,'Talente &amp; Stuff'!GX:HY,15,FALSE)</f>
        <v>0</v>
      </c>
      <c r="R188" s="117">
        <f>VLOOKUP(C188,'Talente &amp; Stuff'!GX:HY,16,FALSE)</f>
        <v>0</v>
      </c>
      <c r="S188" s="119">
        <f>VLOOKUP(C188,'Talente &amp; Stuff'!GX:HY,17,FALSE)</f>
        <v>0</v>
      </c>
      <c r="T188" s="119">
        <f>VLOOKUP(C188,'Talente &amp; Stuff'!GX:HY,18,FALSE)</f>
        <v>0</v>
      </c>
      <c r="U188" s="89">
        <f>VLOOKUP(C188,'Talente &amp; Stuff'!GX:HY,19,FALSE)</f>
        <v>0</v>
      </c>
      <c r="V188" s="47">
        <f>VLOOKUP(C188,'Talente &amp; Stuff'!GX:HY,20,FALSE)</f>
        <v>0</v>
      </c>
      <c r="W188" s="127">
        <f>VLOOKUP(C188,'Talente &amp; Stuff'!GX:HY,21,FALSE)</f>
        <v>0</v>
      </c>
      <c r="X188" s="127">
        <f>VLOOKUP(C188,'Talente &amp; Stuff'!GX:HY,22,FALSE)</f>
        <v>0</v>
      </c>
      <c r="Y188" s="165">
        <f t="shared" si="18"/>
        <v>0</v>
      </c>
      <c r="Z188" s="44">
        <f t="shared" si="19"/>
        <v>0</v>
      </c>
      <c r="AA188" s="125">
        <f>VLOOKUP(C188,'Talente &amp; Stuff'!GX:HY,25,FALSE)</f>
        <v>0</v>
      </c>
      <c r="AB188" s="160">
        <f>VLOOKUP(C188,'Talente &amp; Stuff'!GX:HY,26,FALSE)</f>
        <v>0</v>
      </c>
      <c r="AC188" s="127">
        <f>VLOOKUP(C188,'Talente &amp; Stuff'!GX:HY,27,FALSE)</f>
        <v>0</v>
      </c>
      <c r="AD188" s="125">
        <f>VLOOKUP(C188,'Talente &amp; Stuff'!GX:HY,28,FALSE)</f>
        <v>0</v>
      </c>
      <c r="AE188" s="28"/>
    </row>
    <row r="189" spans="2:31" ht="15" hidden="1" customHeight="1" outlineLevel="2">
      <c r="B189" s="148">
        <v>37</v>
      </c>
      <c r="C189" s="177" t="str">
        <f>Attribute!C189</f>
        <v>---</v>
      </c>
      <c r="D189" s="86" t="str">
        <f>VLOOKUP(C189,'Talente &amp; Stuff'!GX:HY,2,FALSE)</f>
        <v>--/--/--</v>
      </c>
      <c r="E189" s="167" t="str">
        <f>VLOOKUP(C189,'Talente &amp; Stuff'!GX:HY,3,FALSE)</f>
        <v>-</v>
      </c>
      <c r="F189" s="120">
        <f>VLOOKUP(C189,'Talente &amp; Stuff'!GX:HY,4,FALSE)</f>
        <v>0</v>
      </c>
      <c r="G189" s="117">
        <f>VLOOKUP(C189,'Talente &amp; Stuff'!GX:HY,5,FALSE)</f>
        <v>0</v>
      </c>
      <c r="H189" s="117">
        <f>VLOOKUP(C189,'Talente &amp; Stuff'!GX:HY,6,FALSE)</f>
        <v>0</v>
      </c>
      <c r="I189" s="117">
        <f>VLOOKUP(C189,'Talente &amp; Stuff'!GX:HY,7,FALSE)</f>
        <v>0</v>
      </c>
      <c r="J189" s="117">
        <f>VLOOKUP(C189,'Talente &amp; Stuff'!GX:HY,8,FALSE)</f>
        <v>0</v>
      </c>
      <c r="K189" s="117">
        <f>VLOOKUP(C189,'Talente &amp; Stuff'!GX:HY,9,FALSE)</f>
        <v>0</v>
      </c>
      <c r="L189" s="117">
        <f>VLOOKUP(C189,'Talente &amp; Stuff'!GX:HY,10,FALSE)</f>
        <v>0</v>
      </c>
      <c r="M189" s="121">
        <f>VLOOKUP(C189,'Talente &amp; Stuff'!GX:HY,11,FALSE)</f>
        <v>0</v>
      </c>
      <c r="N189" s="47">
        <f>VLOOKUP(C189,'Talente &amp; Stuff'!GX:HY,12,FALSE)</f>
        <v>0</v>
      </c>
      <c r="O189" s="3">
        <f>VLOOKUP(C189,'Talente &amp; Stuff'!GX:HY,13,FALSE)</f>
        <v>0</v>
      </c>
      <c r="P189" s="174">
        <f>VLOOKUP(C189,'Talente &amp; Stuff'!GX:HY,14,FALSE)</f>
        <v>0</v>
      </c>
      <c r="Q189" s="114">
        <f>VLOOKUP(C189,'Talente &amp; Stuff'!GX:HY,15,FALSE)</f>
        <v>0</v>
      </c>
      <c r="R189" s="117">
        <f>VLOOKUP(C189,'Talente &amp; Stuff'!GX:HY,16,FALSE)</f>
        <v>0</v>
      </c>
      <c r="S189" s="119">
        <f>VLOOKUP(C189,'Talente &amp; Stuff'!GX:HY,17,FALSE)</f>
        <v>0</v>
      </c>
      <c r="T189" s="119">
        <f>VLOOKUP(C189,'Talente &amp; Stuff'!GX:HY,18,FALSE)</f>
        <v>0</v>
      </c>
      <c r="U189" s="89">
        <f>VLOOKUP(C189,'Talente &amp; Stuff'!GX:HY,19,FALSE)</f>
        <v>0</v>
      </c>
      <c r="V189" s="47">
        <f>VLOOKUP(C189,'Talente &amp; Stuff'!GX:HY,20,FALSE)</f>
        <v>0</v>
      </c>
      <c r="W189" s="127">
        <f>VLOOKUP(C189,'Talente &amp; Stuff'!GX:HY,21,FALSE)</f>
        <v>0</v>
      </c>
      <c r="X189" s="127">
        <f>VLOOKUP(C189,'Talente &amp; Stuff'!GX:HY,22,FALSE)</f>
        <v>0</v>
      </c>
      <c r="Y189" s="165">
        <f t="shared" si="18"/>
        <v>0</v>
      </c>
      <c r="Z189" s="44">
        <f t="shared" si="19"/>
        <v>0</v>
      </c>
      <c r="AA189" s="125">
        <f>VLOOKUP(C189,'Talente &amp; Stuff'!GX:HY,25,FALSE)</f>
        <v>0</v>
      </c>
      <c r="AB189" s="160">
        <f>VLOOKUP(C189,'Talente &amp; Stuff'!GX:HY,26,FALSE)</f>
        <v>0</v>
      </c>
      <c r="AC189" s="127">
        <f>VLOOKUP(C189,'Talente &amp; Stuff'!GX:HY,27,FALSE)</f>
        <v>0</v>
      </c>
      <c r="AD189" s="125">
        <f>VLOOKUP(C189,'Talente &amp; Stuff'!GX:HY,28,FALSE)</f>
        <v>0</v>
      </c>
      <c r="AE189" s="28"/>
    </row>
    <row r="190" spans="2:31" ht="15" hidden="1" customHeight="1" outlineLevel="2">
      <c r="B190" s="148">
        <v>38</v>
      </c>
      <c r="C190" s="177" t="str">
        <f>Attribute!C190</f>
        <v>---</v>
      </c>
      <c r="D190" s="86" t="str">
        <f>VLOOKUP(C190,'Talente &amp; Stuff'!GX:HY,2,FALSE)</f>
        <v>--/--/--</v>
      </c>
      <c r="E190" s="167" t="str">
        <f>VLOOKUP(C190,'Talente &amp; Stuff'!GX:HY,3,FALSE)</f>
        <v>-</v>
      </c>
      <c r="F190" s="120">
        <f>VLOOKUP(C190,'Talente &amp; Stuff'!GX:HY,4,FALSE)</f>
        <v>0</v>
      </c>
      <c r="G190" s="117">
        <f>VLOOKUP(C190,'Talente &amp; Stuff'!GX:HY,5,FALSE)</f>
        <v>0</v>
      </c>
      <c r="H190" s="117">
        <f>VLOOKUP(C190,'Talente &amp; Stuff'!GX:HY,6,FALSE)</f>
        <v>0</v>
      </c>
      <c r="I190" s="117">
        <f>VLOOKUP(C190,'Talente &amp; Stuff'!GX:HY,7,FALSE)</f>
        <v>0</v>
      </c>
      <c r="J190" s="117">
        <f>VLOOKUP(C190,'Talente &amp; Stuff'!GX:HY,8,FALSE)</f>
        <v>0</v>
      </c>
      <c r="K190" s="117">
        <f>VLOOKUP(C190,'Talente &amp; Stuff'!GX:HY,9,FALSE)</f>
        <v>0</v>
      </c>
      <c r="L190" s="117">
        <f>VLOOKUP(C190,'Talente &amp; Stuff'!GX:HY,10,FALSE)</f>
        <v>0</v>
      </c>
      <c r="M190" s="121">
        <f>VLOOKUP(C190,'Talente &amp; Stuff'!GX:HY,11,FALSE)</f>
        <v>0</v>
      </c>
      <c r="N190" s="47">
        <f>VLOOKUP(C190,'Talente &amp; Stuff'!GX:HY,12,FALSE)</f>
        <v>0</v>
      </c>
      <c r="O190" s="3">
        <f>VLOOKUP(C190,'Talente &amp; Stuff'!GX:HY,13,FALSE)</f>
        <v>0</v>
      </c>
      <c r="P190" s="174">
        <f>VLOOKUP(C190,'Talente &amp; Stuff'!GX:HY,14,FALSE)</f>
        <v>0</v>
      </c>
      <c r="Q190" s="114">
        <f>VLOOKUP(C190,'Talente &amp; Stuff'!GX:HY,15,FALSE)</f>
        <v>0</v>
      </c>
      <c r="R190" s="117">
        <f>VLOOKUP(C190,'Talente &amp; Stuff'!GX:HY,16,FALSE)</f>
        <v>0</v>
      </c>
      <c r="S190" s="119">
        <f>VLOOKUP(C190,'Talente &amp; Stuff'!GX:HY,17,FALSE)</f>
        <v>0</v>
      </c>
      <c r="T190" s="119">
        <f>VLOOKUP(C190,'Talente &amp; Stuff'!GX:HY,18,FALSE)</f>
        <v>0</v>
      </c>
      <c r="U190" s="89">
        <f>VLOOKUP(C190,'Talente &amp; Stuff'!GX:HY,19,FALSE)</f>
        <v>0</v>
      </c>
      <c r="V190" s="47">
        <f>VLOOKUP(C190,'Talente &amp; Stuff'!GX:HY,20,FALSE)</f>
        <v>0</v>
      </c>
      <c r="W190" s="127">
        <f>VLOOKUP(C190,'Talente &amp; Stuff'!GX:HY,21,FALSE)</f>
        <v>0</v>
      </c>
      <c r="X190" s="127">
        <f>VLOOKUP(C190,'Talente &amp; Stuff'!GX:HY,22,FALSE)</f>
        <v>0</v>
      </c>
      <c r="Y190" s="165">
        <f t="shared" si="18"/>
        <v>0</v>
      </c>
      <c r="Z190" s="44">
        <f t="shared" si="19"/>
        <v>0</v>
      </c>
      <c r="AA190" s="125">
        <f>VLOOKUP(C190,'Talente &amp; Stuff'!GX:HY,25,FALSE)</f>
        <v>0</v>
      </c>
      <c r="AB190" s="160">
        <f>VLOOKUP(C190,'Talente &amp; Stuff'!GX:HY,26,FALSE)</f>
        <v>0</v>
      </c>
      <c r="AC190" s="127">
        <f>VLOOKUP(C190,'Talente &amp; Stuff'!GX:HY,27,FALSE)</f>
        <v>0</v>
      </c>
      <c r="AD190" s="125">
        <f>VLOOKUP(C190,'Talente &amp; Stuff'!GX:HY,28,FALSE)</f>
        <v>0</v>
      </c>
      <c r="AE190" s="28"/>
    </row>
    <row r="191" spans="2:31" ht="15" hidden="1" customHeight="1" outlineLevel="2">
      <c r="B191" s="148">
        <v>39</v>
      </c>
      <c r="C191" s="177" t="str">
        <f>Attribute!C191</f>
        <v>---</v>
      </c>
      <c r="D191" s="86" t="str">
        <f>VLOOKUP(C191,'Talente &amp; Stuff'!GX:HY,2,FALSE)</f>
        <v>--/--/--</v>
      </c>
      <c r="E191" s="167" t="str">
        <f>VLOOKUP(C191,'Talente &amp; Stuff'!GX:HY,3,FALSE)</f>
        <v>-</v>
      </c>
      <c r="F191" s="120">
        <f>VLOOKUP(C191,'Talente &amp; Stuff'!GX:HY,4,FALSE)</f>
        <v>0</v>
      </c>
      <c r="G191" s="117">
        <f>VLOOKUP(C191,'Talente &amp; Stuff'!GX:HY,5,FALSE)</f>
        <v>0</v>
      </c>
      <c r="H191" s="117">
        <f>VLOOKUP(C191,'Talente &amp; Stuff'!GX:HY,6,FALSE)</f>
        <v>0</v>
      </c>
      <c r="I191" s="117">
        <f>VLOOKUP(C191,'Talente &amp; Stuff'!GX:HY,7,FALSE)</f>
        <v>0</v>
      </c>
      <c r="J191" s="117">
        <f>VLOOKUP(C191,'Talente &amp; Stuff'!GX:HY,8,FALSE)</f>
        <v>0</v>
      </c>
      <c r="K191" s="117">
        <f>VLOOKUP(C191,'Talente &amp; Stuff'!GX:HY,9,FALSE)</f>
        <v>0</v>
      </c>
      <c r="L191" s="117">
        <f>VLOOKUP(C191,'Talente &amp; Stuff'!GX:HY,10,FALSE)</f>
        <v>0</v>
      </c>
      <c r="M191" s="121">
        <f>VLOOKUP(C191,'Talente &amp; Stuff'!GX:HY,11,FALSE)</f>
        <v>0</v>
      </c>
      <c r="N191" s="47">
        <f>VLOOKUP(C191,'Talente &amp; Stuff'!GX:HY,12,FALSE)</f>
        <v>0</v>
      </c>
      <c r="O191" s="3">
        <f>VLOOKUP(C191,'Talente &amp; Stuff'!GX:HY,13,FALSE)</f>
        <v>0</v>
      </c>
      <c r="P191" s="174">
        <f>VLOOKUP(C191,'Talente &amp; Stuff'!GX:HY,14,FALSE)</f>
        <v>0</v>
      </c>
      <c r="Q191" s="114">
        <f>VLOOKUP(C191,'Talente &amp; Stuff'!GX:HY,15,FALSE)</f>
        <v>0</v>
      </c>
      <c r="R191" s="117">
        <f>VLOOKUP(C191,'Talente &amp; Stuff'!GX:HY,16,FALSE)</f>
        <v>0</v>
      </c>
      <c r="S191" s="119">
        <f>VLOOKUP(C191,'Talente &amp; Stuff'!GX:HY,17,FALSE)</f>
        <v>0</v>
      </c>
      <c r="T191" s="119">
        <f>VLOOKUP(C191,'Talente &amp; Stuff'!GX:HY,18,FALSE)</f>
        <v>0</v>
      </c>
      <c r="U191" s="89">
        <f>VLOOKUP(C191,'Talente &amp; Stuff'!GX:HY,19,FALSE)</f>
        <v>0</v>
      </c>
      <c r="V191" s="47">
        <f>VLOOKUP(C191,'Talente &amp; Stuff'!GX:HY,20,FALSE)</f>
        <v>0</v>
      </c>
      <c r="W191" s="127">
        <f>VLOOKUP(C191,'Talente &amp; Stuff'!GX:HY,21,FALSE)</f>
        <v>0</v>
      </c>
      <c r="X191" s="127">
        <f>VLOOKUP(C191,'Talente &amp; Stuff'!GX:HY,22,FALSE)</f>
        <v>0</v>
      </c>
      <c r="Y191" s="165">
        <f t="shared" si="18"/>
        <v>0</v>
      </c>
      <c r="Z191" s="44">
        <f t="shared" si="19"/>
        <v>0</v>
      </c>
      <c r="AA191" s="125">
        <f>VLOOKUP(C191,'Talente &amp; Stuff'!GX:HY,25,FALSE)</f>
        <v>0</v>
      </c>
      <c r="AB191" s="160">
        <f>VLOOKUP(C191,'Talente &amp; Stuff'!GX:HY,26,FALSE)</f>
        <v>0</v>
      </c>
      <c r="AC191" s="127">
        <f>VLOOKUP(C191,'Talente &amp; Stuff'!GX:HY,27,FALSE)</f>
        <v>0</v>
      </c>
      <c r="AD191" s="125">
        <f>VLOOKUP(C191,'Talente &amp; Stuff'!GX:HY,28,FALSE)</f>
        <v>0</v>
      </c>
      <c r="AE191" s="28"/>
    </row>
    <row r="192" spans="2:31" ht="15" hidden="1" customHeight="1" outlineLevel="2">
      <c r="B192" s="148">
        <v>40</v>
      </c>
      <c r="C192" s="177" t="str">
        <f>Attribute!C192</f>
        <v>---</v>
      </c>
      <c r="D192" s="125" t="str">
        <f>VLOOKUP(C192,'Talente &amp; Stuff'!GX:HY,2,FALSE)</f>
        <v>--/--/--</v>
      </c>
      <c r="E192" s="127" t="str">
        <f>VLOOKUP(C192,'Talente &amp; Stuff'!GX:HY,3,FALSE)</f>
        <v>-</v>
      </c>
      <c r="F192" s="114">
        <f>VLOOKUP(C192,'Talente &amp; Stuff'!GX:HY,4,FALSE)</f>
        <v>0</v>
      </c>
      <c r="G192" s="113">
        <f>VLOOKUP(C192,'Talente &amp; Stuff'!GX:HY,5,FALSE)</f>
        <v>0</v>
      </c>
      <c r="H192" s="113">
        <f>VLOOKUP(C192,'Talente &amp; Stuff'!GX:HY,6,FALSE)</f>
        <v>0</v>
      </c>
      <c r="I192" s="113">
        <f>VLOOKUP(C192,'Talente &amp; Stuff'!GX:HY,7,FALSE)</f>
        <v>0</v>
      </c>
      <c r="J192" s="113">
        <f>VLOOKUP(C192,'Talente &amp; Stuff'!GX:HY,8,FALSE)</f>
        <v>0</v>
      </c>
      <c r="K192" s="113">
        <f>VLOOKUP(C192,'Talente &amp; Stuff'!GX:HY,9,FALSE)</f>
        <v>0</v>
      </c>
      <c r="L192" s="113">
        <f>VLOOKUP(C192,'Talente &amp; Stuff'!GX:HY,10,FALSE)</f>
        <v>0</v>
      </c>
      <c r="M192" s="119">
        <f>VLOOKUP(C192,'Talente &amp; Stuff'!GX:HY,11,FALSE)</f>
        <v>0</v>
      </c>
      <c r="N192" s="47">
        <f>VLOOKUP(C192,'Talente &amp; Stuff'!GX:HY,12,FALSE)</f>
        <v>0</v>
      </c>
      <c r="O192" s="47">
        <f>VLOOKUP(C192,'Talente &amp; Stuff'!GX:HY,13,FALSE)</f>
        <v>0</v>
      </c>
      <c r="P192" s="119">
        <f>VLOOKUP(C192,'Talente &amp; Stuff'!GX:HY,14,FALSE)</f>
        <v>0</v>
      </c>
      <c r="Q192" s="114">
        <f>VLOOKUP(C192,'Talente &amp; Stuff'!GX:HY,15,FALSE)</f>
        <v>0</v>
      </c>
      <c r="R192" s="113">
        <f>VLOOKUP(C192,'Talente &amp; Stuff'!GX:HY,16,FALSE)</f>
        <v>0</v>
      </c>
      <c r="S192" s="119">
        <f>VLOOKUP(C192,'Talente &amp; Stuff'!GX:HY,17,FALSE)</f>
        <v>0</v>
      </c>
      <c r="T192" s="119">
        <f>VLOOKUP(C192,'Talente &amp; Stuff'!GX:HY,18,FALSE)</f>
        <v>0</v>
      </c>
      <c r="U192" s="89">
        <f>VLOOKUP(C192,'Talente &amp; Stuff'!GX:HY,19,FALSE)</f>
        <v>0</v>
      </c>
      <c r="V192" s="47">
        <f>VLOOKUP(C192,'Talente &amp; Stuff'!GX:HY,20,FALSE)</f>
        <v>0</v>
      </c>
      <c r="W192" s="127">
        <f>VLOOKUP(C192,'Talente &amp; Stuff'!GX:HY,21,FALSE)</f>
        <v>0</v>
      </c>
      <c r="X192" s="127">
        <f>VLOOKUP(C192,'Talente &amp; Stuff'!GX:HY,22,FALSE)</f>
        <v>0</v>
      </c>
      <c r="Y192" s="165">
        <f t="shared" si="18"/>
        <v>0</v>
      </c>
      <c r="Z192" s="44">
        <f t="shared" si="19"/>
        <v>0</v>
      </c>
      <c r="AA192" s="125">
        <f>VLOOKUP(C192,'Talente &amp; Stuff'!GX:HY,25,FALSE)</f>
        <v>0</v>
      </c>
      <c r="AB192" s="160">
        <f>VLOOKUP(C192,'Talente &amp; Stuff'!GX:HY,26,FALSE)</f>
        <v>0</v>
      </c>
      <c r="AC192" s="127">
        <f>VLOOKUP(C192,'Talente &amp; Stuff'!GX:HY,27,FALSE)</f>
        <v>0</v>
      </c>
      <c r="AD192" s="125">
        <f>VLOOKUP(C192,'Talente &amp; Stuff'!GX:HY,28,FALSE)</f>
        <v>0</v>
      </c>
      <c r="AE192" s="28"/>
    </row>
    <row r="193" spans="2:31" ht="15" hidden="1" customHeight="1" outlineLevel="2">
      <c r="B193" s="148">
        <v>41</v>
      </c>
      <c r="C193" s="177" t="str">
        <f>Attribute!C193</f>
        <v>---</v>
      </c>
      <c r="D193" s="86" t="str">
        <f>VLOOKUP(C193,'Talente &amp; Stuff'!GX:HY,2,FALSE)</f>
        <v>--/--/--</v>
      </c>
      <c r="E193" s="167" t="str">
        <f>VLOOKUP(C193,'Talente &amp; Stuff'!GX:HY,3,FALSE)</f>
        <v>-</v>
      </c>
      <c r="F193" s="120">
        <f>VLOOKUP(C193,'Talente &amp; Stuff'!GX:HY,4,FALSE)</f>
        <v>0</v>
      </c>
      <c r="G193" s="117">
        <f>VLOOKUP(C193,'Talente &amp; Stuff'!GX:HY,5,FALSE)</f>
        <v>0</v>
      </c>
      <c r="H193" s="117">
        <f>VLOOKUP(C193,'Talente &amp; Stuff'!GX:HY,6,FALSE)</f>
        <v>0</v>
      </c>
      <c r="I193" s="117">
        <f>VLOOKUP(C193,'Talente &amp; Stuff'!GX:HY,7,FALSE)</f>
        <v>0</v>
      </c>
      <c r="J193" s="117">
        <f>VLOOKUP(C193,'Talente &amp; Stuff'!GX:HY,8,FALSE)</f>
        <v>0</v>
      </c>
      <c r="K193" s="117">
        <f>VLOOKUP(C193,'Talente &amp; Stuff'!GX:HY,9,FALSE)</f>
        <v>0</v>
      </c>
      <c r="L193" s="117">
        <f>VLOOKUP(C193,'Talente &amp; Stuff'!GX:HY,10,FALSE)</f>
        <v>0</v>
      </c>
      <c r="M193" s="121">
        <f>VLOOKUP(C193,'Talente &amp; Stuff'!GX:HY,11,FALSE)</f>
        <v>0</v>
      </c>
      <c r="N193" s="47">
        <f>VLOOKUP(C193,'Talente &amp; Stuff'!GX:HY,12,FALSE)</f>
        <v>0</v>
      </c>
      <c r="O193" s="3">
        <f>VLOOKUP(C193,'Talente &amp; Stuff'!GX:HY,13,FALSE)</f>
        <v>0</v>
      </c>
      <c r="P193" s="174">
        <f>VLOOKUP(C193,'Talente &amp; Stuff'!GX:HY,14,FALSE)</f>
        <v>0</v>
      </c>
      <c r="Q193" s="114">
        <f>VLOOKUP(C193,'Talente &amp; Stuff'!GX:HY,15,FALSE)</f>
        <v>0</v>
      </c>
      <c r="R193" s="117">
        <f>VLOOKUP(C193,'Talente &amp; Stuff'!GX:HY,16,FALSE)</f>
        <v>0</v>
      </c>
      <c r="S193" s="119">
        <f>VLOOKUP(C193,'Talente &amp; Stuff'!GX:HY,17,FALSE)</f>
        <v>0</v>
      </c>
      <c r="T193" s="119">
        <f>VLOOKUP(C193,'Talente &amp; Stuff'!GX:HY,18,FALSE)</f>
        <v>0</v>
      </c>
      <c r="U193" s="89">
        <f>VLOOKUP(C193,'Talente &amp; Stuff'!GX:HY,19,FALSE)</f>
        <v>0</v>
      </c>
      <c r="V193" s="47">
        <f>VLOOKUP(C193,'Talente &amp; Stuff'!GX:HY,20,FALSE)</f>
        <v>0</v>
      </c>
      <c r="W193" s="127">
        <f>VLOOKUP(C193,'Talente &amp; Stuff'!GX:HY,21,FALSE)</f>
        <v>0</v>
      </c>
      <c r="X193" s="127">
        <f>VLOOKUP(C193,'Talente &amp; Stuff'!GX:HY,22,FALSE)</f>
        <v>0</v>
      </c>
      <c r="Y193" s="165">
        <f t="shared" si="18"/>
        <v>0</v>
      </c>
      <c r="Z193" s="44">
        <f t="shared" si="19"/>
        <v>0</v>
      </c>
      <c r="AA193" s="125">
        <f>VLOOKUP(C193,'Talente &amp; Stuff'!GX:HY,25,FALSE)</f>
        <v>0</v>
      </c>
      <c r="AB193" s="160">
        <f>VLOOKUP(C193,'Talente &amp; Stuff'!GX:HY,26,FALSE)</f>
        <v>0</v>
      </c>
      <c r="AC193" s="127">
        <f>VLOOKUP(C193,'Talente &amp; Stuff'!GX:HY,27,FALSE)</f>
        <v>0</v>
      </c>
      <c r="AD193" s="125">
        <f>VLOOKUP(C193,'Talente &amp; Stuff'!GX:HY,28,FALSE)</f>
        <v>0</v>
      </c>
      <c r="AE193" s="28"/>
    </row>
    <row r="194" spans="2:31" ht="15" hidden="1" customHeight="1" outlineLevel="2">
      <c r="B194" s="148">
        <v>42</v>
      </c>
      <c r="C194" s="177" t="str">
        <f>Attribute!C194</f>
        <v>---</v>
      </c>
      <c r="D194" s="86" t="str">
        <f>VLOOKUP(C194,'Talente &amp; Stuff'!GX:HY,2,FALSE)</f>
        <v>--/--/--</v>
      </c>
      <c r="E194" s="167" t="str">
        <f>VLOOKUP(C194,'Talente &amp; Stuff'!GX:HY,3,FALSE)</f>
        <v>-</v>
      </c>
      <c r="F194" s="120">
        <f>VLOOKUP(C194,'Talente &amp; Stuff'!GX:HY,4,FALSE)</f>
        <v>0</v>
      </c>
      <c r="G194" s="117">
        <f>VLOOKUP(C194,'Talente &amp; Stuff'!GX:HY,5,FALSE)</f>
        <v>0</v>
      </c>
      <c r="H194" s="117">
        <f>VLOOKUP(C194,'Talente &amp; Stuff'!GX:HY,6,FALSE)</f>
        <v>0</v>
      </c>
      <c r="I194" s="117">
        <f>VLOOKUP(C194,'Talente &amp; Stuff'!GX:HY,7,FALSE)</f>
        <v>0</v>
      </c>
      <c r="J194" s="117">
        <f>VLOOKUP(C194,'Talente &amp; Stuff'!GX:HY,8,FALSE)</f>
        <v>0</v>
      </c>
      <c r="K194" s="117">
        <f>VLOOKUP(C194,'Talente &amp; Stuff'!GX:HY,9,FALSE)</f>
        <v>0</v>
      </c>
      <c r="L194" s="117">
        <f>VLOOKUP(C194,'Talente &amp; Stuff'!GX:HY,10,FALSE)</f>
        <v>0</v>
      </c>
      <c r="M194" s="121">
        <f>VLOOKUP(C194,'Talente &amp; Stuff'!GX:HY,11,FALSE)</f>
        <v>0</v>
      </c>
      <c r="N194" s="47">
        <f>VLOOKUP(C194,'Talente &amp; Stuff'!GX:HY,12,FALSE)</f>
        <v>0</v>
      </c>
      <c r="O194" s="3">
        <f>VLOOKUP(C194,'Talente &amp; Stuff'!GX:HY,13,FALSE)</f>
        <v>0</v>
      </c>
      <c r="P194" s="174">
        <f>VLOOKUP(C194,'Talente &amp; Stuff'!GX:HY,14,FALSE)</f>
        <v>0</v>
      </c>
      <c r="Q194" s="114">
        <f>VLOOKUP(C194,'Talente &amp; Stuff'!GX:HY,15,FALSE)</f>
        <v>0</v>
      </c>
      <c r="R194" s="117">
        <f>VLOOKUP(C194,'Talente &amp; Stuff'!GX:HY,16,FALSE)</f>
        <v>0</v>
      </c>
      <c r="S194" s="119">
        <f>VLOOKUP(C194,'Talente &amp; Stuff'!GX:HY,17,FALSE)</f>
        <v>0</v>
      </c>
      <c r="T194" s="119">
        <f>VLOOKUP(C194,'Talente &amp; Stuff'!GX:HY,18,FALSE)</f>
        <v>0</v>
      </c>
      <c r="U194" s="89">
        <f>VLOOKUP(C194,'Talente &amp; Stuff'!GX:HY,19,FALSE)</f>
        <v>0</v>
      </c>
      <c r="V194" s="47">
        <f>VLOOKUP(C194,'Talente &amp; Stuff'!GX:HY,20,FALSE)</f>
        <v>0</v>
      </c>
      <c r="W194" s="127">
        <f>VLOOKUP(C194,'Talente &amp; Stuff'!GX:HY,21,FALSE)</f>
        <v>0</v>
      </c>
      <c r="X194" s="127">
        <f>VLOOKUP(C194,'Talente &amp; Stuff'!GX:HY,22,FALSE)</f>
        <v>0</v>
      </c>
      <c r="Y194" s="165">
        <f t="shared" si="18"/>
        <v>0</v>
      </c>
      <c r="Z194" s="44">
        <f t="shared" si="19"/>
        <v>0</v>
      </c>
      <c r="AA194" s="125">
        <f>VLOOKUP(C194,'Talente &amp; Stuff'!GX:HY,25,FALSE)</f>
        <v>0</v>
      </c>
      <c r="AB194" s="160">
        <f>VLOOKUP(C194,'Talente &amp; Stuff'!GX:HY,26,FALSE)</f>
        <v>0</v>
      </c>
      <c r="AC194" s="127">
        <f>VLOOKUP(C194,'Talente &amp; Stuff'!GX:HY,27,FALSE)</f>
        <v>0</v>
      </c>
      <c r="AD194" s="125">
        <f>VLOOKUP(C194,'Talente &amp; Stuff'!GX:HY,28,FALSE)</f>
        <v>0</v>
      </c>
      <c r="AE194" s="28"/>
    </row>
    <row r="195" spans="2:31" ht="15" hidden="1" customHeight="1" outlineLevel="2">
      <c r="B195" s="148">
        <v>43</v>
      </c>
      <c r="C195" s="177" t="str">
        <f>Attribute!C195</f>
        <v>---</v>
      </c>
      <c r="D195" s="125" t="str">
        <f>VLOOKUP(C195,'Talente &amp; Stuff'!GX:HY,2,FALSE)</f>
        <v>--/--/--</v>
      </c>
      <c r="E195" s="127" t="str">
        <f>VLOOKUP(C195,'Talente &amp; Stuff'!GX:HY,3,FALSE)</f>
        <v>-</v>
      </c>
      <c r="F195" s="114">
        <f>VLOOKUP(C195,'Talente &amp; Stuff'!GX:HY,4,FALSE)</f>
        <v>0</v>
      </c>
      <c r="G195" s="113">
        <f>VLOOKUP(C195,'Talente &amp; Stuff'!GX:HY,5,FALSE)</f>
        <v>0</v>
      </c>
      <c r="H195" s="113">
        <f>VLOOKUP(C195,'Talente &amp; Stuff'!GX:HY,6,FALSE)</f>
        <v>0</v>
      </c>
      <c r="I195" s="113">
        <f>VLOOKUP(C195,'Talente &amp; Stuff'!GX:HY,7,FALSE)</f>
        <v>0</v>
      </c>
      <c r="J195" s="113">
        <f>VLOOKUP(C195,'Talente &amp; Stuff'!GX:HY,8,FALSE)</f>
        <v>0</v>
      </c>
      <c r="K195" s="113">
        <f>VLOOKUP(C195,'Talente &amp; Stuff'!GX:HY,9,FALSE)</f>
        <v>0</v>
      </c>
      <c r="L195" s="113">
        <f>VLOOKUP(C195,'Talente &amp; Stuff'!GX:HY,10,FALSE)</f>
        <v>0</v>
      </c>
      <c r="M195" s="119">
        <f>VLOOKUP(C195,'Talente &amp; Stuff'!GX:HY,11,FALSE)</f>
        <v>0</v>
      </c>
      <c r="N195" s="47">
        <f>VLOOKUP(C195,'Talente &amp; Stuff'!GX:HY,12,FALSE)</f>
        <v>0</v>
      </c>
      <c r="O195" s="47">
        <f>VLOOKUP(C195,'Talente &amp; Stuff'!GX:HY,13,FALSE)</f>
        <v>0</v>
      </c>
      <c r="P195" s="119">
        <f>VLOOKUP(C195,'Talente &amp; Stuff'!GX:HY,14,FALSE)</f>
        <v>0</v>
      </c>
      <c r="Q195" s="114">
        <f>VLOOKUP(C195,'Talente &amp; Stuff'!GX:HY,15,FALSE)</f>
        <v>0</v>
      </c>
      <c r="R195" s="113">
        <f>VLOOKUP(C195,'Talente &amp; Stuff'!GX:HY,16,FALSE)</f>
        <v>0</v>
      </c>
      <c r="S195" s="119">
        <f>VLOOKUP(C195,'Talente &amp; Stuff'!GX:HY,17,FALSE)</f>
        <v>0</v>
      </c>
      <c r="T195" s="119">
        <f>VLOOKUP(C195,'Talente &amp; Stuff'!GX:HY,18,FALSE)</f>
        <v>0</v>
      </c>
      <c r="U195" s="89">
        <f>VLOOKUP(C195,'Talente &amp; Stuff'!GX:HY,19,FALSE)</f>
        <v>0</v>
      </c>
      <c r="V195" s="47">
        <f>VLOOKUP(C195,'Talente &amp; Stuff'!GX:HY,20,FALSE)</f>
        <v>0</v>
      </c>
      <c r="W195" s="127">
        <f>VLOOKUP(C195,'Talente &amp; Stuff'!GX:HY,21,FALSE)</f>
        <v>0</v>
      </c>
      <c r="X195" s="127">
        <f>VLOOKUP(C195,'Talente &amp; Stuff'!GX:HY,22,FALSE)</f>
        <v>0</v>
      </c>
      <c r="Y195" s="165">
        <f t="shared" si="18"/>
        <v>0</v>
      </c>
      <c r="Z195" s="44">
        <f t="shared" si="19"/>
        <v>0</v>
      </c>
      <c r="AA195" s="125">
        <f>VLOOKUP(C195,'Talente &amp; Stuff'!GX:HY,25,FALSE)</f>
        <v>0</v>
      </c>
      <c r="AB195" s="160">
        <f>VLOOKUP(C195,'Talente &amp; Stuff'!GX:HY,26,FALSE)</f>
        <v>0</v>
      </c>
      <c r="AC195" s="127">
        <f>VLOOKUP(C195,'Talente &amp; Stuff'!GX:HY,27,FALSE)</f>
        <v>0</v>
      </c>
      <c r="AD195" s="125">
        <f>VLOOKUP(C195,'Talente &amp; Stuff'!GX:HY,28,FALSE)</f>
        <v>0</v>
      </c>
      <c r="AE195" s="28"/>
    </row>
    <row r="196" spans="2:31" ht="15" hidden="1" customHeight="1" outlineLevel="2">
      <c r="B196" s="148">
        <v>44</v>
      </c>
      <c r="C196" s="177" t="str">
        <f>Attribute!C196</f>
        <v>---</v>
      </c>
      <c r="D196" s="86" t="str">
        <f>VLOOKUP(C196,'Talente &amp; Stuff'!GX:HY,2,FALSE)</f>
        <v>--/--/--</v>
      </c>
      <c r="E196" s="167" t="str">
        <f>VLOOKUP(C196,'Talente &amp; Stuff'!GX:HY,3,FALSE)</f>
        <v>-</v>
      </c>
      <c r="F196" s="120">
        <f>VLOOKUP(C196,'Talente &amp; Stuff'!GX:HY,4,FALSE)</f>
        <v>0</v>
      </c>
      <c r="G196" s="117">
        <f>VLOOKUP(C196,'Talente &amp; Stuff'!GX:HY,5,FALSE)</f>
        <v>0</v>
      </c>
      <c r="H196" s="117">
        <f>VLOOKUP(C196,'Talente &amp; Stuff'!GX:HY,6,FALSE)</f>
        <v>0</v>
      </c>
      <c r="I196" s="117">
        <f>VLOOKUP(C196,'Talente &amp; Stuff'!GX:HY,7,FALSE)</f>
        <v>0</v>
      </c>
      <c r="J196" s="117">
        <f>VLOOKUP(C196,'Talente &amp; Stuff'!GX:HY,8,FALSE)</f>
        <v>0</v>
      </c>
      <c r="K196" s="117">
        <f>VLOOKUP(C196,'Talente &amp; Stuff'!GX:HY,9,FALSE)</f>
        <v>0</v>
      </c>
      <c r="L196" s="117">
        <f>VLOOKUP(C196,'Talente &amp; Stuff'!GX:HY,10,FALSE)</f>
        <v>0</v>
      </c>
      <c r="M196" s="121">
        <f>VLOOKUP(C196,'Talente &amp; Stuff'!GX:HY,11,FALSE)</f>
        <v>0</v>
      </c>
      <c r="N196" s="47">
        <f>VLOOKUP(C196,'Talente &amp; Stuff'!GX:HY,12,FALSE)</f>
        <v>0</v>
      </c>
      <c r="O196" s="3">
        <f>VLOOKUP(C196,'Talente &amp; Stuff'!GX:HY,13,FALSE)</f>
        <v>0</v>
      </c>
      <c r="P196" s="174">
        <f>VLOOKUP(C196,'Talente &amp; Stuff'!GX:HY,14,FALSE)</f>
        <v>0</v>
      </c>
      <c r="Q196" s="114">
        <f>VLOOKUP(C196,'Talente &amp; Stuff'!GX:HY,15,FALSE)</f>
        <v>0</v>
      </c>
      <c r="R196" s="117">
        <f>VLOOKUP(C196,'Talente &amp; Stuff'!GX:HY,16,FALSE)</f>
        <v>0</v>
      </c>
      <c r="S196" s="119">
        <f>VLOOKUP(C196,'Talente &amp; Stuff'!GX:HY,17,FALSE)</f>
        <v>0</v>
      </c>
      <c r="T196" s="119">
        <f>VLOOKUP(C196,'Talente &amp; Stuff'!GX:HY,18,FALSE)</f>
        <v>0</v>
      </c>
      <c r="U196" s="89">
        <f>VLOOKUP(C196,'Talente &amp; Stuff'!GX:HY,19,FALSE)</f>
        <v>0</v>
      </c>
      <c r="V196" s="47">
        <f>VLOOKUP(C196,'Talente &amp; Stuff'!GX:HY,20,FALSE)</f>
        <v>0</v>
      </c>
      <c r="W196" s="127">
        <f>VLOOKUP(C196,'Talente &amp; Stuff'!GX:HY,21,FALSE)</f>
        <v>0</v>
      </c>
      <c r="X196" s="127">
        <f>VLOOKUP(C196,'Talente &amp; Stuff'!GX:HY,22,FALSE)</f>
        <v>0</v>
      </c>
      <c r="Y196" s="165">
        <f t="shared" si="18"/>
        <v>0</v>
      </c>
      <c r="Z196" s="44">
        <f t="shared" si="19"/>
        <v>0</v>
      </c>
      <c r="AA196" s="125">
        <f>VLOOKUP(C196,'Talente &amp; Stuff'!GX:HY,25,FALSE)</f>
        <v>0</v>
      </c>
      <c r="AB196" s="160">
        <f>VLOOKUP(C196,'Talente &amp; Stuff'!GX:HY,26,FALSE)</f>
        <v>0</v>
      </c>
      <c r="AC196" s="127">
        <f>VLOOKUP(C196,'Talente &amp; Stuff'!GX:HY,27,FALSE)</f>
        <v>0</v>
      </c>
      <c r="AD196" s="125">
        <f>VLOOKUP(C196,'Talente &amp; Stuff'!GX:HY,28,FALSE)</f>
        <v>0</v>
      </c>
      <c r="AE196" s="28"/>
    </row>
    <row r="197" spans="2:31" ht="15" hidden="1" customHeight="1" outlineLevel="2">
      <c r="B197" s="148">
        <v>45</v>
      </c>
      <c r="C197" s="177" t="str">
        <f>Attribute!C197</f>
        <v>---</v>
      </c>
      <c r="D197" s="86" t="str">
        <f>VLOOKUP(C197,'Talente &amp; Stuff'!GX:HY,2,FALSE)</f>
        <v>--/--/--</v>
      </c>
      <c r="E197" s="167" t="str">
        <f>VLOOKUP(C197,'Talente &amp; Stuff'!GX:HY,3,FALSE)</f>
        <v>-</v>
      </c>
      <c r="F197" s="120">
        <f>VLOOKUP(C197,'Talente &amp; Stuff'!GX:HY,4,FALSE)</f>
        <v>0</v>
      </c>
      <c r="G197" s="117">
        <f>VLOOKUP(C197,'Talente &amp; Stuff'!GX:HY,5,FALSE)</f>
        <v>0</v>
      </c>
      <c r="H197" s="117">
        <f>VLOOKUP(C197,'Talente &amp; Stuff'!GX:HY,6,FALSE)</f>
        <v>0</v>
      </c>
      <c r="I197" s="117">
        <f>VLOOKUP(C197,'Talente &amp; Stuff'!GX:HY,7,FALSE)</f>
        <v>0</v>
      </c>
      <c r="J197" s="117">
        <f>VLOOKUP(C197,'Talente &amp; Stuff'!GX:HY,8,FALSE)</f>
        <v>0</v>
      </c>
      <c r="K197" s="117">
        <f>VLOOKUP(C197,'Talente &amp; Stuff'!GX:HY,9,FALSE)</f>
        <v>0</v>
      </c>
      <c r="L197" s="117">
        <f>VLOOKUP(C197,'Talente &amp; Stuff'!GX:HY,10,FALSE)</f>
        <v>0</v>
      </c>
      <c r="M197" s="121">
        <f>VLOOKUP(C197,'Talente &amp; Stuff'!GX:HY,11,FALSE)</f>
        <v>0</v>
      </c>
      <c r="N197" s="47">
        <f>VLOOKUP(C197,'Talente &amp; Stuff'!GX:HY,12,FALSE)</f>
        <v>0</v>
      </c>
      <c r="O197" s="3">
        <f>VLOOKUP(C197,'Talente &amp; Stuff'!GX:HY,13,FALSE)</f>
        <v>0</v>
      </c>
      <c r="P197" s="174">
        <f>VLOOKUP(C197,'Talente &amp; Stuff'!GX:HY,14,FALSE)</f>
        <v>0</v>
      </c>
      <c r="Q197" s="114">
        <f>VLOOKUP(C197,'Talente &amp; Stuff'!GX:HY,15,FALSE)</f>
        <v>0</v>
      </c>
      <c r="R197" s="117">
        <f>VLOOKUP(C197,'Talente &amp; Stuff'!GX:HY,16,FALSE)</f>
        <v>0</v>
      </c>
      <c r="S197" s="119">
        <f>VLOOKUP(C197,'Talente &amp; Stuff'!GX:HY,17,FALSE)</f>
        <v>0</v>
      </c>
      <c r="T197" s="119">
        <f>VLOOKUP(C197,'Talente &amp; Stuff'!GX:HY,18,FALSE)</f>
        <v>0</v>
      </c>
      <c r="U197" s="89">
        <f>VLOOKUP(C197,'Talente &amp; Stuff'!GX:HY,19,FALSE)</f>
        <v>0</v>
      </c>
      <c r="V197" s="47">
        <f>VLOOKUP(C197,'Talente &amp; Stuff'!GX:HY,20,FALSE)</f>
        <v>0</v>
      </c>
      <c r="W197" s="127">
        <f>VLOOKUP(C197,'Talente &amp; Stuff'!GX:HY,21,FALSE)</f>
        <v>0</v>
      </c>
      <c r="X197" s="127">
        <f>VLOOKUP(C197,'Talente &amp; Stuff'!GX:HY,22,FALSE)</f>
        <v>0</v>
      </c>
      <c r="Y197" s="165">
        <f t="shared" si="18"/>
        <v>0</v>
      </c>
      <c r="Z197" s="44">
        <f t="shared" si="19"/>
        <v>0</v>
      </c>
      <c r="AA197" s="125">
        <f>VLOOKUP(C197,'Talente &amp; Stuff'!GX:HY,25,FALSE)</f>
        <v>0</v>
      </c>
      <c r="AB197" s="160">
        <f>VLOOKUP(C197,'Talente &amp; Stuff'!GX:HY,26,FALSE)</f>
        <v>0</v>
      </c>
      <c r="AC197" s="127">
        <f>VLOOKUP(C197,'Talente &amp; Stuff'!GX:HY,27,FALSE)</f>
        <v>0</v>
      </c>
      <c r="AD197" s="125">
        <f>VLOOKUP(C197,'Talente &amp; Stuff'!GX:HY,28,FALSE)</f>
        <v>0</v>
      </c>
      <c r="AE197" s="28"/>
    </row>
    <row r="198" spans="2:31" ht="15" hidden="1" customHeight="1" outlineLevel="2">
      <c r="B198" s="148">
        <v>46</v>
      </c>
      <c r="C198" s="177" t="str">
        <f>Attribute!C198</f>
        <v>---</v>
      </c>
      <c r="D198" s="86" t="str">
        <f>VLOOKUP(C198,'Talente &amp; Stuff'!GX:HY,2,FALSE)</f>
        <v>--/--/--</v>
      </c>
      <c r="E198" s="167" t="str">
        <f>VLOOKUP(C198,'Talente &amp; Stuff'!GX:HY,3,FALSE)</f>
        <v>-</v>
      </c>
      <c r="F198" s="120">
        <f>VLOOKUP(C198,'Talente &amp; Stuff'!GX:HY,4,FALSE)</f>
        <v>0</v>
      </c>
      <c r="G198" s="117">
        <f>VLOOKUP(C198,'Talente &amp; Stuff'!GX:HY,5,FALSE)</f>
        <v>0</v>
      </c>
      <c r="H198" s="117">
        <f>VLOOKUP(C198,'Talente &amp; Stuff'!GX:HY,6,FALSE)</f>
        <v>0</v>
      </c>
      <c r="I198" s="117">
        <f>VLOOKUP(C198,'Talente &amp; Stuff'!GX:HY,7,FALSE)</f>
        <v>0</v>
      </c>
      <c r="J198" s="117">
        <f>VLOOKUP(C198,'Talente &amp; Stuff'!GX:HY,8,FALSE)</f>
        <v>0</v>
      </c>
      <c r="K198" s="117">
        <f>VLOOKUP(C198,'Talente &amp; Stuff'!GX:HY,9,FALSE)</f>
        <v>0</v>
      </c>
      <c r="L198" s="117">
        <f>VLOOKUP(C198,'Talente &amp; Stuff'!GX:HY,10,FALSE)</f>
        <v>0</v>
      </c>
      <c r="M198" s="121">
        <f>VLOOKUP(C198,'Talente &amp; Stuff'!GX:HY,11,FALSE)</f>
        <v>0</v>
      </c>
      <c r="N198" s="47">
        <f>VLOOKUP(C198,'Talente &amp; Stuff'!GX:HY,12,FALSE)</f>
        <v>0</v>
      </c>
      <c r="O198" s="3">
        <f>VLOOKUP(C198,'Talente &amp; Stuff'!GX:HY,13,FALSE)</f>
        <v>0</v>
      </c>
      <c r="P198" s="174">
        <f>VLOOKUP(C198,'Talente &amp; Stuff'!GX:HY,14,FALSE)</f>
        <v>0</v>
      </c>
      <c r="Q198" s="114">
        <f>VLOOKUP(C198,'Talente &amp; Stuff'!GX:HY,15,FALSE)</f>
        <v>0</v>
      </c>
      <c r="R198" s="117">
        <f>VLOOKUP(C198,'Talente &amp; Stuff'!GX:HY,16,FALSE)</f>
        <v>0</v>
      </c>
      <c r="S198" s="119">
        <f>VLOOKUP(C198,'Talente &amp; Stuff'!GX:HY,17,FALSE)</f>
        <v>0</v>
      </c>
      <c r="T198" s="119">
        <f>VLOOKUP(C198,'Talente &amp; Stuff'!GX:HY,18,FALSE)</f>
        <v>0</v>
      </c>
      <c r="U198" s="89">
        <f>VLOOKUP(C198,'Talente &amp; Stuff'!GX:HY,19,FALSE)</f>
        <v>0</v>
      </c>
      <c r="V198" s="47">
        <f>VLOOKUP(C198,'Talente &amp; Stuff'!GX:HY,20,FALSE)</f>
        <v>0</v>
      </c>
      <c r="W198" s="127">
        <f>VLOOKUP(C198,'Talente &amp; Stuff'!GX:HY,21,FALSE)</f>
        <v>0</v>
      </c>
      <c r="X198" s="127">
        <f>VLOOKUP(C198,'Talente &amp; Stuff'!GX:HY,22,FALSE)</f>
        <v>0</v>
      </c>
      <c r="Y198" s="165">
        <f t="shared" si="18"/>
        <v>0</v>
      </c>
      <c r="Z198" s="44">
        <f t="shared" si="19"/>
        <v>0</v>
      </c>
      <c r="AA198" s="125">
        <f>VLOOKUP(C198,'Talente &amp; Stuff'!GX:HY,25,FALSE)</f>
        <v>0</v>
      </c>
      <c r="AB198" s="160">
        <f>VLOOKUP(C198,'Talente &amp; Stuff'!GX:HY,26,FALSE)</f>
        <v>0</v>
      </c>
      <c r="AC198" s="127">
        <f>VLOOKUP(C198,'Talente &amp; Stuff'!GX:HY,27,FALSE)</f>
        <v>0</v>
      </c>
      <c r="AD198" s="125">
        <f>VLOOKUP(C198,'Talente &amp; Stuff'!GX:HY,28,FALSE)</f>
        <v>0</v>
      </c>
      <c r="AE198" s="28"/>
    </row>
    <row r="199" spans="2:31" ht="15" hidden="1" customHeight="1" outlineLevel="2">
      <c r="B199" s="148">
        <v>47</v>
      </c>
      <c r="C199" s="177" t="str">
        <f>Attribute!C199</f>
        <v>---</v>
      </c>
      <c r="D199" s="125" t="str">
        <f>VLOOKUP(C199,'Talente &amp; Stuff'!GX:HY,2,FALSE)</f>
        <v>--/--/--</v>
      </c>
      <c r="E199" s="127" t="str">
        <f>VLOOKUP(C199,'Talente &amp; Stuff'!GX:HY,3,FALSE)</f>
        <v>-</v>
      </c>
      <c r="F199" s="114">
        <f>VLOOKUP(C199,'Talente &amp; Stuff'!GX:HY,4,FALSE)</f>
        <v>0</v>
      </c>
      <c r="G199" s="113">
        <f>VLOOKUP(C199,'Talente &amp; Stuff'!GX:HY,5,FALSE)</f>
        <v>0</v>
      </c>
      <c r="H199" s="113">
        <f>VLOOKUP(C199,'Talente &amp; Stuff'!GX:HY,6,FALSE)</f>
        <v>0</v>
      </c>
      <c r="I199" s="113">
        <f>VLOOKUP(C199,'Talente &amp; Stuff'!GX:HY,7,FALSE)</f>
        <v>0</v>
      </c>
      <c r="J199" s="113">
        <f>VLOOKUP(C199,'Talente &amp; Stuff'!GX:HY,8,FALSE)</f>
        <v>0</v>
      </c>
      <c r="K199" s="113">
        <f>VLOOKUP(C199,'Talente &amp; Stuff'!GX:HY,9,FALSE)</f>
        <v>0</v>
      </c>
      <c r="L199" s="113">
        <f>VLOOKUP(C199,'Talente &amp; Stuff'!GX:HY,10,FALSE)</f>
        <v>0</v>
      </c>
      <c r="M199" s="119">
        <f>VLOOKUP(C199,'Talente &amp; Stuff'!GX:HY,11,FALSE)</f>
        <v>0</v>
      </c>
      <c r="N199" s="47">
        <f>VLOOKUP(C199,'Talente &amp; Stuff'!GX:HY,12,FALSE)</f>
        <v>0</v>
      </c>
      <c r="O199" s="47">
        <f>VLOOKUP(C199,'Talente &amp; Stuff'!GX:HY,13,FALSE)</f>
        <v>0</v>
      </c>
      <c r="P199" s="119">
        <f>VLOOKUP(C199,'Talente &amp; Stuff'!GX:HY,14,FALSE)</f>
        <v>0</v>
      </c>
      <c r="Q199" s="114">
        <f>VLOOKUP(C199,'Talente &amp; Stuff'!GX:HY,15,FALSE)</f>
        <v>0</v>
      </c>
      <c r="R199" s="113">
        <f>VLOOKUP(C199,'Talente &amp; Stuff'!GX:HY,16,FALSE)</f>
        <v>0</v>
      </c>
      <c r="S199" s="119">
        <f>VLOOKUP(C199,'Talente &amp; Stuff'!GX:HY,17,FALSE)</f>
        <v>0</v>
      </c>
      <c r="T199" s="119">
        <f>VLOOKUP(C199,'Talente &amp; Stuff'!GX:HY,18,FALSE)</f>
        <v>0</v>
      </c>
      <c r="U199" s="89">
        <f>VLOOKUP(C199,'Talente &amp; Stuff'!GX:HY,19,FALSE)</f>
        <v>0</v>
      </c>
      <c r="V199" s="47">
        <f>VLOOKUP(C199,'Talente &amp; Stuff'!GX:HY,20,FALSE)</f>
        <v>0</v>
      </c>
      <c r="W199" s="127">
        <f>VLOOKUP(C199,'Talente &amp; Stuff'!GX:HY,21,FALSE)</f>
        <v>0</v>
      </c>
      <c r="X199" s="127">
        <f>VLOOKUP(C199,'Talente &amp; Stuff'!GX:HY,22,FALSE)</f>
        <v>0</v>
      </c>
      <c r="Y199" s="165">
        <f t="shared" si="18"/>
        <v>0</v>
      </c>
      <c r="Z199" s="44">
        <f t="shared" si="19"/>
        <v>0</v>
      </c>
      <c r="AA199" s="125">
        <f>VLOOKUP(C199,'Talente &amp; Stuff'!GX:HY,25,FALSE)</f>
        <v>0</v>
      </c>
      <c r="AB199" s="160">
        <f>VLOOKUP(C199,'Talente &amp; Stuff'!GX:HY,26,FALSE)</f>
        <v>0</v>
      </c>
      <c r="AC199" s="127">
        <f>VLOOKUP(C199,'Talente &amp; Stuff'!GX:HY,27,FALSE)</f>
        <v>0</v>
      </c>
      <c r="AD199" s="125">
        <f>VLOOKUP(C199,'Talente &amp; Stuff'!GX:HY,28,FALSE)</f>
        <v>0</v>
      </c>
      <c r="AE199" s="28"/>
    </row>
    <row r="200" spans="2:31" ht="15" hidden="1" customHeight="1" outlineLevel="2">
      <c r="B200" s="148">
        <v>48</v>
      </c>
      <c r="C200" s="177" t="str">
        <f>Attribute!C200</f>
        <v>---</v>
      </c>
      <c r="D200" s="86" t="str">
        <f>VLOOKUP(C200,'Talente &amp; Stuff'!GX:HY,2,FALSE)</f>
        <v>--/--/--</v>
      </c>
      <c r="E200" s="167" t="str">
        <f>VLOOKUP(C200,'Talente &amp; Stuff'!GX:HY,3,FALSE)</f>
        <v>-</v>
      </c>
      <c r="F200" s="120">
        <f>VLOOKUP(C200,'Talente &amp; Stuff'!GX:HY,4,FALSE)</f>
        <v>0</v>
      </c>
      <c r="G200" s="117">
        <f>VLOOKUP(C200,'Talente &amp; Stuff'!GX:HY,5,FALSE)</f>
        <v>0</v>
      </c>
      <c r="H200" s="117">
        <f>VLOOKUP(C200,'Talente &amp; Stuff'!GX:HY,6,FALSE)</f>
        <v>0</v>
      </c>
      <c r="I200" s="117">
        <f>VLOOKUP(C200,'Talente &amp; Stuff'!GX:HY,7,FALSE)</f>
        <v>0</v>
      </c>
      <c r="J200" s="117">
        <f>VLOOKUP(C200,'Talente &amp; Stuff'!GX:HY,8,FALSE)</f>
        <v>0</v>
      </c>
      <c r="K200" s="117">
        <f>VLOOKUP(C200,'Talente &amp; Stuff'!GX:HY,9,FALSE)</f>
        <v>0</v>
      </c>
      <c r="L200" s="117">
        <f>VLOOKUP(C200,'Talente &amp; Stuff'!GX:HY,10,FALSE)</f>
        <v>0</v>
      </c>
      <c r="M200" s="121">
        <f>VLOOKUP(C200,'Talente &amp; Stuff'!GX:HY,11,FALSE)</f>
        <v>0</v>
      </c>
      <c r="N200" s="47">
        <f>VLOOKUP(C200,'Talente &amp; Stuff'!GX:HY,12,FALSE)</f>
        <v>0</v>
      </c>
      <c r="O200" s="3">
        <f>VLOOKUP(C200,'Talente &amp; Stuff'!GX:HY,13,FALSE)</f>
        <v>0</v>
      </c>
      <c r="P200" s="174">
        <f>VLOOKUP(C200,'Talente &amp; Stuff'!GX:HY,14,FALSE)</f>
        <v>0</v>
      </c>
      <c r="Q200" s="114">
        <f>VLOOKUP(C200,'Talente &amp; Stuff'!GX:HY,15,FALSE)</f>
        <v>0</v>
      </c>
      <c r="R200" s="117">
        <f>VLOOKUP(C200,'Talente &amp; Stuff'!GX:HY,16,FALSE)</f>
        <v>0</v>
      </c>
      <c r="S200" s="119">
        <f>VLOOKUP(C200,'Talente &amp; Stuff'!GX:HY,17,FALSE)</f>
        <v>0</v>
      </c>
      <c r="T200" s="119">
        <f>VLOOKUP(C200,'Talente &amp; Stuff'!GX:HY,18,FALSE)</f>
        <v>0</v>
      </c>
      <c r="U200" s="89">
        <f>VLOOKUP(C200,'Talente &amp; Stuff'!GX:HY,19,FALSE)</f>
        <v>0</v>
      </c>
      <c r="V200" s="47">
        <f>VLOOKUP(C200,'Talente &amp; Stuff'!GX:HY,20,FALSE)</f>
        <v>0</v>
      </c>
      <c r="W200" s="127">
        <f>VLOOKUP(C200,'Talente &amp; Stuff'!GX:HY,21,FALSE)</f>
        <v>0</v>
      </c>
      <c r="X200" s="127">
        <f>VLOOKUP(C200,'Talente &amp; Stuff'!GX:HY,22,FALSE)</f>
        <v>0</v>
      </c>
      <c r="Y200" s="165">
        <f t="shared" si="18"/>
        <v>0</v>
      </c>
      <c r="Z200" s="44">
        <f t="shared" si="19"/>
        <v>0</v>
      </c>
      <c r="AA200" s="125">
        <f>VLOOKUP(C200,'Talente &amp; Stuff'!GX:HY,25,FALSE)</f>
        <v>0</v>
      </c>
      <c r="AB200" s="160">
        <f>VLOOKUP(C200,'Talente &amp; Stuff'!GX:HY,26,FALSE)</f>
        <v>0</v>
      </c>
      <c r="AC200" s="127">
        <f>VLOOKUP(C200,'Talente &amp; Stuff'!GX:HY,27,FALSE)</f>
        <v>0</v>
      </c>
      <c r="AD200" s="125">
        <f>VLOOKUP(C200,'Talente &amp; Stuff'!GX:HY,28,FALSE)</f>
        <v>0</v>
      </c>
      <c r="AE200" s="28"/>
    </row>
    <row r="201" spans="2:31" ht="15" hidden="1" customHeight="1" outlineLevel="2">
      <c r="B201" s="148">
        <v>49</v>
      </c>
      <c r="C201" s="177" t="str">
        <f>Attribute!C201</f>
        <v>---</v>
      </c>
      <c r="D201" s="125" t="str">
        <f>VLOOKUP(C201,'Talente &amp; Stuff'!GX:HY,2,FALSE)</f>
        <v>--/--/--</v>
      </c>
      <c r="E201" s="127" t="str">
        <f>VLOOKUP(C201,'Talente &amp; Stuff'!GX:HY,3,FALSE)</f>
        <v>-</v>
      </c>
      <c r="F201" s="114">
        <f>VLOOKUP(C201,'Talente &amp; Stuff'!GX:HY,4,FALSE)</f>
        <v>0</v>
      </c>
      <c r="G201" s="113">
        <f>VLOOKUP(C201,'Talente &amp; Stuff'!GX:HY,5,FALSE)</f>
        <v>0</v>
      </c>
      <c r="H201" s="113">
        <f>VLOOKUP(C201,'Talente &amp; Stuff'!GX:HY,6,FALSE)</f>
        <v>0</v>
      </c>
      <c r="I201" s="113">
        <f>VLOOKUP(C201,'Talente &amp; Stuff'!GX:HY,7,FALSE)</f>
        <v>0</v>
      </c>
      <c r="J201" s="113">
        <f>VLOOKUP(C201,'Talente &amp; Stuff'!GX:HY,8,FALSE)</f>
        <v>0</v>
      </c>
      <c r="K201" s="113">
        <f>VLOOKUP(C201,'Talente &amp; Stuff'!GX:HY,9,FALSE)</f>
        <v>0</v>
      </c>
      <c r="L201" s="113">
        <f>VLOOKUP(C201,'Talente &amp; Stuff'!GX:HY,10,FALSE)</f>
        <v>0</v>
      </c>
      <c r="M201" s="119">
        <f>VLOOKUP(C201,'Talente &amp; Stuff'!GX:HY,11,FALSE)</f>
        <v>0</v>
      </c>
      <c r="N201" s="47">
        <f>VLOOKUP(C201,'Talente &amp; Stuff'!GX:HY,12,FALSE)</f>
        <v>0</v>
      </c>
      <c r="O201" s="47">
        <f>VLOOKUP(C201,'Talente &amp; Stuff'!GX:HY,13,FALSE)</f>
        <v>0</v>
      </c>
      <c r="P201" s="119">
        <f>VLOOKUP(C201,'Talente &amp; Stuff'!GX:HY,14,FALSE)</f>
        <v>0</v>
      </c>
      <c r="Q201" s="114">
        <f>VLOOKUP(C201,'Talente &amp; Stuff'!GX:HY,15,FALSE)</f>
        <v>0</v>
      </c>
      <c r="R201" s="113">
        <f>VLOOKUP(C201,'Talente &amp; Stuff'!GX:HY,16,FALSE)</f>
        <v>0</v>
      </c>
      <c r="S201" s="119">
        <f>VLOOKUP(C201,'Talente &amp; Stuff'!GX:HY,17,FALSE)</f>
        <v>0</v>
      </c>
      <c r="T201" s="119">
        <f>VLOOKUP(C201,'Talente &amp; Stuff'!GX:HY,18,FALSE)</f>
        <v>0</v>
      </c>
      <c r="U201" s="89">
        <f>VLOOKUP(C201,'Talente &amp; Stuff'!GX:HY,19,FALSE)</f>
        <v>0</v>
      </c>
      <c r="V201" s="47">
        <f>VLOOKUP(C201,'Talente &amp; Stuff'!GX:HY,20,FALSE)</f>
        <v>0</v>
      </c>
      <c r="W201" s="127">
        <f>VLOOKUP(C201,'Talente &amp; Stuff'!GX:HY,21,FALSE)</f>
        <v>0</v>
      </c>
      <c r="X201" s="127">
        <f>VLOOKUP(C201,'Talente &amp; Stuff'!GX:HY,22,FALSE)</f>
        <v>0</v>
      </c>
      <c r="Y201" s="165">
        <f t="shared" si="18"/>
        <v>0</v>
      </c>
      <c r="Z201" s="44">
        <f t="shared" si="19"/>
        <v>0</v>
      </c>
      <c r="AA201" s="125">
        <f>VLOOKUP(C201,'Talente &amp; Stuff'!GX:HY,25,FALSE)</f>
        <v>0</v>
      </c>
      <c r="AB201" s="160">
        <f>VLOOKUP(C201,'Talente &amp; Stuff'!GX:HY,26,FALSE)</f>
        <v>0</v>
      </c>
      <c r="AC201" s="127">
        <f>VLOOKUP(C201,'Talente &amp; Stuff'!GX:HY,27,FALSE)</f>
        <v>0</v>
      </c>
      <c r="AD201" s="125">
        <f>VLOOKUP(C201,'Talente &amp; Stuff'!GX:HY,28,FALSE)</f>
        <v>0</v>
      </c>
      <c r="AE201" s="28"/>
    </row>
    <row r="202" spans="2:31" ht="15" hidden="1" customHeight="1" outlineLevel="2">
      <c r="B202" s="148">
        <v>50</v>
      </c>
      <c r="C202" s="177" t="str">
        <f>Attribute!C202</f>
        <v>---</v>
      </c>
      <c r="D202" s="125" t="str">
        <f>VLOOKUP(C202,'Talente &amp; Stuff'!GX:HY,2,FALSE)</f>
        <v>--/--/--</v>
      </c>
      <c r="E202" s="127" t="str">
        <f>VLOOKUP(C202,'Talente &amp; Stuff'!GX:HY,3,FALSE)</f>
        <v>-</v>
      </c>
      <c r="F202" s="114">
        <f>VLOOKUP(C202,'Talente &amp; Stuff'!GX:HY,4,FALSE)</f>
        <v>0</v>
      </c>
      <c r="G202" s="113">
        <f>VLOOKUP(C202,'Talente &amp; Stuff'!GX:HY,5,FALSE)</f>
        <v>0</v>
      </c>
      <c r="H202" s="113">
        <f>VLOOKUP(C202,'Talente &amp; Stuff'!GX:HY,6,FALSE)</f>
        <v>0</v>
      </c>
      <c r="I202" s="113">
        <f>VLOOKUP(C202,'Talente &amp; Stuff'!GX:HY,7,FALSE)</f>
        <v>0</v>
      </c>
      <c r="J202" s="113">
        <f>VLOOKUP(C202,'Talente &amp; Stuff'!GX:HY,8,FALSE)</f>
        <v>0</v>
      </c>
      <c r="K202" s="113">
        <f>VLOOKUP(C202,'Talente &amp; Stuff'!GX:HY,9,FALSE)</f>
        <v>0</v>
      </c>
      <c r="L202" s="113">
        <f>VLOOKUP(C202,'Talente &amp; Stuff'!GX:HY,10,FALSE)</f>
        <v>0</v>
      </c>
      <c r="M202" s="119">
        <f>VLOOKUP(C202,'Talente &amp; Stuff'!GX:HY,11,FALSE)</f>
        <v>0</v>
      </c>
      <c r="N202" s="47">
        <f>VLOOKUP(C202,'Talente &amp; Stuff'!GX:HY,12,FALSE)</f>
        <v>0</v>
      </c>
      <c r="O202" s="47">
        <f>VLOOKUP(C202,'Talente &amp; Stuff'!GX:HY,13,FALSE)</f>
        <v>0</v>
      </c>
      <c r="P202" s="119">
        <f>VLOOKUP(C202,'Talente &amp; Stuff'!GX:HY,14,FALSE)</f>
        <v>0</v>
      </c>
      <c r="Q202" s="114">
        <f>VLOOKUP(C202,'Talente &amp; Stuff'!GX:HY,15,FALSE)</f>
        <v>0</v>
      </c>
      <c r="R202" s="113">
        <f>VLOOKUP(C202,'Talente &amp; Stuff'!GX:HY,16,FALSE)</f>
        <v>0</v>
      </c>
      <c r="S202" s="119">
        <f>VLOOKUP(C202,'Talente &amp; Stuff'!GX:HY,17,FALSE)</f>
        <v>0</v>
      </c>
      <c r="T202" s="119">
        <f>VLOOKUP(C202,'Talente &amp; Stuff'!GX:HY,18,FALSE)</f>
        <v>0</v>
      </c>
      <c r="U202" s="89">
        <f>VLOOKUP(C202,'Talente &amp; Stuff'!GX:HY,19,FALSE)</f>
        <v>0</v>
      </c>
      <c r="V202" s="47">
        <f>VLOOKUP(C202,'Talente &amp; Stuff'!GX:HY,20,FALSE)</f>
        <v>0</v>
      </c>
      <c r="W202" s="127">
        <f>VLOOKUP(C202,'Talente &amp; Stuff'!GX:HY,21,FALSE)</f>
        <v>0</v>
      </c>
      <c r="X202" s="127">
        <f>VLOOKUP(C202,'Talente &amp; Stuff'!GX:HY,22,FALSE)</f>
        <v>0</v>
      </c>
      <c r="Y202" s="165">
        <f t="shared" si="18"/>
        <v>0</v>
      </c>
      <c r="Z202" s="44">
        <f t="shared" si="19"/>
        <v>0</v>
      </c>
      <c r="AA202" s="125">
        <f>VLOOKUP(C202,'Talente &amp; Stuff'!GX:HY,25,FALSE)</f>
        <v>0</v>
      </c>
      <c r="AB202" s="160">
        <f>VLOOKUP(C202,'Talente &amp; Stuff'!GX:HY,26,FALSE)</f>
        <v>0</v>
      </c>
      <c r="AC202" s="127">
        <f>VLOOKUP(C202,'Talente &amp; Stuff'!GX:HY,27,FALSE)</f>
        <v>0</v>
      </c>
      <c r="AD202" s="125">
        <f>VLOOKUP(C202,'Talente &amp; Stuff'!GX:HY,28,FALSE)</f>
        <v>0</v>
      </c>
      <c r="AE202" s="28"/>
    </row>
    <row r="203" spans="2:31" ht="15" hidden="1" customHeight="1" outlineLevel="2">
      <c r="B203" s="148">
        <v>51</v>
      </c>
      <c r="C203" s="177" t="str">
        <f>Attribute!C203</f>
        <v>---</v>
      </c>
      <c r="D203" s="86" t="str">
        <f>VLOOKUP(C203,'Talente &amp; Stuff'!GX:HY,2,FALSE)</f>
        <v>--/--/--</v>
      </c>
      <c r="E203" s="167" t="str">
        <f>VLOOKUP(C203,'Talente &amp; Stuff'!GX:HY,3,FALSE)</f>
        <v>-</v>
      </c>
      <c r="F203" s="120">
        <f>VLOOKUP(C203,'Talente &amp; Stuff'!GX:HY,4,FALSE)</f>
        <v>0</v>
      </c>
      <c r="G203" s="117">
        <f>VLOOKUP(C203,'Talente &amp; Stuff'!GX:HY,5,FALSE)</f>
        <v>0</v>
      </c>
      <c r="H203" s="117">
        <f>VLOOKUP(C203,'Talente &amp; Stuff'!GX:HY,6,FALSE)</f>
        <v>0</v>
      </c>
      <c r="I203" s="117">
        <f>VLOOKUP(C203,'Talente &amp; Stuff'!GX:HY,7,FALSE)</f>
        <v>0</v>
      </c>
      <c r="J203" s="117">
        <f>VLOOKUP(C203,'Talente &amp; Stuff'!GX:HY,8,FALSE)</f>
        <v>0</v>
      </c>
      <c r="K203" s="117">
        <f>VLOOKUP(C203,'Talente &amp; Stuff'!GX:HY,9,FALSE)</f>
        <v>0</v>
      </c>
      <c r="L203" s="117">
        <f>VLOOKUP(C203,'Talente &amp; Stuff'!GX:HY,10,FALSE)</f>
        <v>0</v>
      </c>
      <c r="M203" s="121">
        <f>VLOOKUP(C203,'Talente &amp; Stuff'!GX:HY,11,FALSE)</f>
        <v>0</v>
      </c>
      <c r="N203" s="47">
        <f>VLOOKUP(C203,'Talente &amp; Stuff'!GX:HY,12,FALSE)</f>
        <v>0</v>
      </c>
      <c r="O203" s="3">
        <f>VLOOKUP(C203,'Talente &amp; Stuff'!GX:HY,13,FALSE)</f>
        <v>0</v>
      </c>
      <c r="P203" s="174">
        <f>VLOOKUP(C203,'Talente &amp; Stuff'!GX:HY,14,FALSE)</f>
        <v>0</v>
      </c>
      <c r="Q203" s="114">
        <f>VLOOKUP(C203,'Talente &amp; Stuff'!GX:HY,15,FALSE)</f>
        <v>0</v>
      </c>
      <c r="R203" s="117">
        <f>VLOOKUP(C203,'Talente &amp; Stuff'!GX:HY,16,FALSE)</f>
        <v>0</v>
      </c>
      <c r="S203" s="119">
        <f>VLOOKUP(C203,'Talente &amp; Stuff'!GX:HY,17,FALSE)</f>
        <v>0</v>
      </c>
      <c r="T203" s="119">
        <f>VLOOKUP(C203,'Talente &amp; Stuff'!GX:HY,18,FALSE)</f>
        <v>0</v>
      </c>
      <c r="U203" s="89">
        <f>VLOOKUP(C203,'Talente &amp; Stuff'!GX:HY,19,FALSE)</f>
        <v>0</v>
      </c>
      <c r="V203" s="47">
        <f>VLOOKUP(C203,'Talente &amp; Stuff'!GX:HY,20,FALSE)</f>
        <v>0</v>
      </c>
      <c r="W203" s="127">
        <f>VLOOKUP(C203,'Talente &amp; Stuff'!GX:HY,21,FALSE)</f>
        <v>0</v>
      </c>
      <c r="X203" s="127">
        <f>VLOOKUP(C203,'Talente &amp; Stuff'!GX:HY,22,FALSE)</f>
        <v>0</v>
      </c>
      <c r="Y203" s="165">
        <f t="shared" si="18"/>
        <v>0</v>
      </c>
      <c r="Z203" s="44">
        <f t="shared" si="19"/>
        <v>0</v>
      </c>
      <c r="AA203" s="125">
        <f>VLOOKUP(C203,'Talente &amp; Stuff'!GX:HY,25,FALSE)</f>
        <v>0</v>
      </c>
      <c r="AB203" s="160">
        <f>VLOOKUP(C203,'Talente &amp; Stuff'!GX:HY,26,FALSE)</f>
        <v>0</v>
      </c>
      <c r="AC203" s="127">
        <f>VLOOKUP(C203,'Talente &amp; Stuff'!GX:HY,27,FALSE)</f>
        <v>0</v>
      </c>
      <c r="AD203" s="125">
        <f>VLOOKUP(C203,'Talente &amp; Stuff'!GX:HY,28,FALSE)</f>
        <v>0</v>
      </c>
      <c r="AE203" s="28"/>
    </row>
    <row r="204" spans="2:31" ht="15" hidden="1" customHeight="1" outlineLevel="2">
      <c r="B204" s="148">
        <v>52</v>
      </c>
      <c r="C204" s="177" t="str">
        <f>Attribute!C204</f>
        <v>---</v>
      </c>
      <c r="D204" s="125" t="str">
        <f>VLOOKUP(C204,'Talente &amp; Stuff'!GX:HY,2,FALSE)</f>
        <v>--/--/--</v>
      </c>
      <c r="E204" s="127" t="str">
        <f>VLOOKUP(C204,'Talente &amp; Stuff'!GX:HY,3,FALSE)</f>
        <v>-</v>
      </c>
      <c r="F204" s="114">
        <f>VLOOKUP(C204,'Talente &amp; Stuff'!GX:HY,4,FALSE)</f>
        <v>0</v>
      </c>
      <c r="G204" s="113">
        <f>VLOOKUP(C204,'Talente &amp; Stuff'!GX:HY,5,FALSE)</f>
        <v>0</v>
      </c>
      <c r="H204" s="113">
        <f>VLOOKUP(C204,'Talente &amp; Stuff'!GX:HY,6,FALSE)</f>
        <v>0</v>
      </c>
      <c r="I204" s="113">
        <f>VLOOKUP(C204,'Talente &amp; Stuff'!GX:HY,7,FALSE)</f>
        <v>0</v>
      </c>
      <c r="J204" s="113">
        <f>VLOOKUP(C204,'Talente &amp; Stuff'!GX:HY,8,FALSE)</f>
        <v>0</v>
      </c>
      <c r="K204" s="113">
        <f>VLOOKUP(C204,'Talente &amp; Stuff'!GX:HY,9,FALSE)</f>
        <v>0</v>
      </c>
      <c r="L204" s="113">
        <f>VLOOKUP(C204,'Talente &amp; Stuff'!GX:HY,10,FALSE)</f>
        <v>0</v>
      </c>
      <c r="M204" s="119">
        <f>VLOOKUP(C204,'Talente &amp; Stuff'!GX:HY,11,FALSE)</f>
        <v>0</v>
      </c>
      <c r="N204" s="47">
        <f>VLOOKUP(C204,'Talente &amp; Stuff'!GX:HY,12,FALSE)</f>
        <v>0</v>
      </c>
      <c r="O204" s="47">
        <f>VLOOKUP(C204,'Talente &amp; Stuff'!GX:HY,13,FALSE)</f>
        <v>0</v>
      </c>
      <c r="P204" s="119">
        <f>VLOOKUP(C204,'Talente &amp; Stuff'!GX:HY,14,FALSE)</f>
        <v>0</v>
      </c>
      <c r="Q204" s="114">
        <f>VLOOKUP(C204,'Talente &amp; Stuff'!GX:HY,15,FALSE)</f>
        <v>0</v>
      </c>
      <c r="R204" s="113">
        <f>VLOOKUP(C204,'Talente &amp; Stuff'!GX:HY,16,FALSE)</f>
        <v>0</v>
      </c>
      <c r="S204" s="119">
        <f>VLOOKUP(C204,'Talente &amp; Stuff'!GX:HY,17,FALSE)</f>
        <v>0</v>
      </c>
      <c r="T204" s="119">
        <f>VLOOKUP(C204,'Talente &amp; Stuff'!GX:HY,18,FALSE)</f>
        <v>0</v>
      </c>
      <c r="U204" s="89">
        <f>VLOOKUP(C204,'Talente &amp; Stuff'!GX:HY,19,FALSE)</f>
        <v>0</v>
      </c>
      <c r="V204" s="47">
        <f>VLOOKUP(C204,'Talente &amp; Stuff'!GX:HY,20,FALSE)</f>
        <v>0</v>
      </c>
      <c r="W204" s="127">
        <f>VLOOKUP(C204,'Talente &amp; Stuff'!GX:HY,21,FALSE)</f>
        <v>0</v>
      </c>
      <c r="X204" s="127">
        <f>VLOOKUP(C204,'Talente &amp; Stuff'!GX:HY,22,FALSE)</f>
        <v>0</v>
      </c>
      <c r="Y204" s="165">
        <f t="shared" si="18"/>
        <v>0</v>
      </c>
      <c r="Z204" s="44">
        <f t="shared" si="19"/>
        <v>0</v>
      </c>
      <c r="AA204" s="125">
        <f>VLOOKUP(C204,'Talente &amp; Stuff'!GX:HY,25,FALSE)</f>
        <v>0</v>
      </c>
      <c r="AB204" s="160">
        <f>VLOOKUP(C204,'Talente &amp; Stuff'!GX:HY,26,FALSE)</f>
        <v>0</v>
      </c>
      <c r="AC204" s="127">
        <f>VLOOKUP(C204,'Talente &amp; Stuff'!GX:HY,27,FALSE)</f>
        <v>0</v>
      </c>
      <c r="AD204" s="125">
        <f>VLOOKUP(C204,'Talente &amp; Stuff'!GX:HY,28,FALSE)</f>
        <v>0</v>
      </c>
      <c r="AE204" s="28"/>
    </row>
    <row r="205" spans="2:31" ht="15" hidden="1" customHeight="1" outlineLevel="2">
      <c r="B205" s="148">
        <v>53</v>
      </c>
      <c r="C205" s="177" t="str">
        <f>Attribute!C205</f>
        <v>---</v>
      </c>
      <c r="D205" s="86" t="str">
        <f>VLOOKUP(C205,'Talente &amp; Stuff'!GX:HY,2,FALSE)</f>
        <v>--/--/--</v>
      </c>
      <c r="E205" s="127" t="str">
        <f>VLOOKUP(C205,'Talente &amp; Stuff'!GX:HY,3,FALSE)</f>
        <v>-</v>
      </c>
      <c r="F205" s="114">
        <f>VLOOKUP(C205,'Talente &amp; Stuff'!GX:HY,4,FALSE)</f>
        <v>0</v>
      </c>
      <c r="G205" s="113">
        <f>VLOOKUP(C205,'Talente &amp; Stuff'!GX:HY,5,FALSE)</f>
        <v>0</v>
      </c>
      <c r="H205" s="113">
        <f>VLOOKUP(C205,'Talente &amp; Stuff'!GX:HY,6,FALSE)</f>
        <v>0</v>
      </c>
      <c r="I205" s="113">
        <f>VLOOKUP(C205,'Talente &amp; Stuff'!GX:HY,7,FALSE)</f>
        <v>0</v>
      </c>
      <c r="J205" s="113">
        <f>VLOOKUP(C205,'Talente &amp; Stuff'!GX:HY,8,FALSE)</f>
        <v>0</v>
      </c>
      <c r="K205" s="113">
        <f>VLOOKUP(C205,'Talente &amp; Stuff'!GX:HY,9,FALSE)</f>
        <v>0</v>
      </c>
      <c r="L205" s="113">
        <f>VLOOKUP(C205,'Talente &amp; Stuff'!GX:HY,10,FALSE)</f>
        <v>0</v>
      </c>
      <c r="M205" s="119">
        <f>VLOOKUP(C205,'Talente &amp; Stuff'!GX:HY,11,FALSE)</f>
        <v>0</v>
      </c>
      <c r="N205" s="47">
        <f>VLOOKUP(C205,'Talente &amp; Stuff'!GX:HY,12,FALSE)</f>
        <v>0</v>
      </c>
      <c r="O205" s="3">
        <f>VLOOKUP(C205,'Talente &amp; Stuff'!GX:HY,13,FALSE)</f>
        <v>0</v>
      </c>
      <c r="P205" s="174">
        <f>VLOOKUP(C205,'Talente &amp; Stuff'!GX:HY,14,FALSE)</f>
        <v>0</v>
      </c>
      <c r="Q205" s="114">
        <f>VLOOKUP(C205,'Talente &amp; Stuff'!GX:HY,15,FALSE)</f>
        <v>0</v>
      </c>
      <c r="R205" s="117">
        <f>VLOOKUP(C205,'Talente &amp; Stuff'!GX:HY,16,FALSE)</f>
        <v>0</v>
      </c>
      <c r="S205" s="119">
        <f>VLOOKUP(C205,'Talente &amp; Stuff'!GX:HY,17,FALSE)</f>
        <v>0</v>
      </c>
      <c r="T205" s="119">
        <f>VLOOKUP(C205,'Talente &amp; Stuff'!GX:HY,18,FALSE)</f>
        <v>0</v>
      </c>
      <c r="U205" s="89">
        <f>VLOOKUP(C205,'Talente &amp; Stuff'!GX:HY,19,FALSE)</f>
        <v>0</v>
      </c>
      <c r="V205" s="47">
        <f>VLOOKUP(C205,'Talente &amp; Stuff'!GX:HY,20,FALSE)</f>
        <v>0</v>
      </c>
      <c r="W205" s="127">
        <f>VLOOKUP(C205,'Talente &amp; Stuff'!GX:HY,21,FALSE)</f>
        <v>0</v>
      </c>
      <c r="X205" s="127">
        <f>VLOOKUP(C205,'Talente &amp; Stuff'!GX:HY,22,FALSE)</f>
        <v>0</v>
      </c>
      <c r="Y205" s="165">
        <f t="shared" si="18"/>
        <v>0</v>
      </c>
      <c r="Z205" s="44">
        <f t="shared" si="19"/>
        <v>0</v>
      </c>
      <c r="AA205" s="125">
        <f>VLOOKUP(C205,'Talente &amp; Stuff'!GX:HY,25,FALSE)</f>
        <v>0</v>
      </c>
      <c r="AB205" s="160">
        <f>VLOOKUP(C205,'Talente &amp; Stuff'!GX:HY,26,FALSE)</f>
        <v>0</v>
      </c>
      <c r="AC205" s="127">
        <f>VLOOKUP(C205,'Talente &amp; Stuff'!GX:HY,27,FALSE)</f>
        <v>0</v>
      </c>
      <c r="AD205" s="125">
        <f>VLOOKUP(C205,'Talente &amp; Stuff'!GX:HY,28,FALSE)</f>
        <v>0</v>
      </c>
      <c r="AE205" s="28"/>
    </row>
    <row r="206" spans="2:31" ht="15" hidden="1" customHeight="1" outlineLevel="2">
      <c r="B206" s="148">
        <v>54</v>
      </c>
      <c r="C206" s="177" t="str">
        <f>Attribute!C206</f>
        <v>---</v>
      </c>
      <c r="D206" s="125" t="str">
        <f>VLOOKUP(C206,'Talente &amp; Stuff'!GX:HY,2,FALSE)</f>
        <v>--/--/--</v>
      </c>
      <c r="E206" s="127" t="str">
        <f>VLOOKUP(C206,'Talente &amp; Stuff'!GX:HY,3,FALSE)</f>
        <v>-</v>
      </c>
      <c r="F206" s="114">
        <f>VLOOKUP(C206,'Talente &amp; Stuff'!GX:HY,4,FALSE)</f>
        <v>0</v>
      </c>
      <c r="G206" s="113">
        <f>VLOOKUP(C206,'Talente &amp; Stuff'!GX:HY,5,FALSE)</f>
        <v>0</v>
      </c>
      <c r="H206" s="113">
        <f>VLOOKUP(C206,'Talente &amp; Stuff'!GX:HY,6,FALSE)</f>
        <v>0</v>
      </c>
      <c r="I206" s="113">
        <f>VLOOKUP(C206,'Talente &amp; Stuff'!GX:HY,7,FALSE)</f>
        <v>0</v>
      </c>
      <c r="J206" s="113">
        <f>VLOOKUP(C206,'Talente &amp; Stuff'!GX:HY,8,FALSE)</f>
        <v>0</v>
      </c>
      <c r="K206" s="113">
        <f>VLOOKUP(C206,'Talente &amp; Stuff'!GX:HY,9,FALSE)</f>
        <v>0</v>
      </c>
      <c r="L206" s="113">
        <f>VLOOKUP(C206,'Talente &amp; Stuff'!GX:HY,10,FALSE)</f>
        <v>0</v>
      </c>
      <c r="M206" s="119">
        <f>VLOOKUP(C206,'Talente &amp; Stuff'!GX:HY,11,FALSE)</f>
        <v>0</v>
      </c>
      <c r="N206" s="47">
        <f>VLOOKUP(C206,'Talente &amp; Stuff'!GX:HY,12,FALSE)</f>
        <v>0</v>
      </c>
      <c r="O206" s="47">
        <f>VLOOKUP(C206,'Talente &amp; Stuff'!GX:HY,13,FALSE)</f>
        <v>0</v>
      </c>
      <c r="P206" s="119">
        <f>VLOOKUP(C206,'Talente &amp; Stuff'!GX:HY,14,FALSE)</f>
        <v>0</v>
      </c>
      <c r="Q206" s="114">
        <f>VLOOKUP(C206,'Talente &amp; Stuff'!GX:HY,15,FALSE)</f>
        <v>0</v>
      </c>
      <c r="R206" s="113">
        <f>VLOOKUP(C206,'Talente &amp; Stuff'!GX:HY,16,FALSE)</f>
        <v>0</v>
      </c>
      <c r="S206" s="119">
        <f>VLOOKUP(C206,'Talente &amp; Stuff'!GX:HY,17,FALSE)</f>
        <v>0</v>
      </c>
      <c r="T206" s="119">
        <f>VLOOKUP(C206,'Talente &amp; Stuff'!GX:HY,18,FALSE)</f>
        <v>0</v>
      </c>
      <c r="U206" s="89">
        <f>VLOOKUP(C206,'Talente &amp; Stuff'!GX:HY,19,FALSE)</f>
        <v>0</v>
      </c>
      <c r="V206" s="47">
        <f>VLOOKUP(C206,'Talente &amp; Stuff'!GX:HY,20,FALSE)</f>
        <v>0</v>
      </c>
      <c r="W206" s="127">
        <f>VLOOKUP(C206,'Talente &amp; Stuff'!GX:HY,21,FALSE)</f>
        <v>0</v>
      </c>
      <c r="X206" s="127">
        <f>VLOOKUP(C206,'Talente &amp; Stuff'!GX:HY,22,FALSE)</f>
        <v>0</v>
      </c>
      <c r="Y206" s="165">
        <f t="shared" si="18"/>
        <v>0</v>
      </c>
      <c r="Z206" s="44">
        <f t="shared" si="19"/>
        <v>0</v>
      </c>
      <c r="AA206" s="125">
        <f>VLOOKUP(C206,'Talente &amp; Stuff'!GX:HY,25,FALSE)</f>
        <v>0</v>
      </c>
      <c r="AB206" s="160">
        <f>VLOOKUP(C206,'Talente &amp; Stuff'!GX:HY,26,FALSE)</f>
        <v>0</v>
      </c>
      <c r="AC206" s="127">
        <f>VLOOKUP(C206,'Talente &amp; Stuff'!GX:HY,27,FALSE)</f>
        <v>0</v>
      </c>
      <c r="AD206" s="125">
        <f>VLOOKUP(C206,'Talente &amp; Stuff'!GX:HY,28,FALSE)</f>
        <v>0</v>
      </c>
      <c r="AE206" s="28"/>
    </row>
    <row r="207" spans="2:31" ht="15" hidden="1" customHeight="1" outlineLevel="2">
      <c r="B207" s="148">
        <v>55</v>
      </c>
      <c r="C207" s="177" t="str">
        <f>Attribute!C207</f>
        <v>---</v>
      </c>
      <c r="D207" s="125" t="str">
        <f>VLOOKUP(C207,'Talente &amp; Stuff'!GX:HY,2,FALSE)</f>
        <v>--/--/--</v>
      </c>
      <c r="E207" s="127" t="str">
        <f>VLOOKUP(C207,'Talente &amp; Stuff'!GX:HY,3,FALSE)</f>
        <v>-</v>
      </c>
      <c r="F207" s="114">
        <f>VLOOKUP(C207,'Talente &amp; Stuff'!GX:HY,4,FALSE)</f>
        <v>0</v>
      </c>
      <c r="G207" s="113">
        <f>VLOOKUP(C207,'Talente &amp; Stuff'!GX:HY,5,FALSE)</f>
        <v>0</v>
      </c>
      <c r="H207" s="113">
        <f>VLOOKUP(C207,'Talente &amp; Stuff'!GX:HY,6,FALSE)</f>
        <v>0</v>
      </c>
      <c r="I207" s="113">
        <f>VLOOKUP(C207,'Talente &amp; Stuff'!GX:HY,7,FALSE)</f>
        <v>0</v>
      </c>
      <c r="J207" s="113">
        <f>VLOOKUP(C207,'Talente &amp; Stuff'!GX:HY,8,FALSE)</f>
        <v>0</v>
      </c>
      <c r="K207" s="113">
        <f>VLOOKUP(C207,'Talente &amp; Stuff'!GX:HY,9,FALSE)</f>
        <v>0</v>
      </c>
      <c r="L207" s="113">
        <f>VLOOKUP(C207,'Talente &amp; Stuff'!GX:HY,10,FALSE)</f>
        <v>0</v>
      </c>
      <c r="M207" s="119">
        <f>VLOOKUP(C207,'Talente &amp; Stuff'!GX:HY,11,FALSE)</f>
        <v>0</v>
      </c>
      <c r="N207" s="47">
        <f>VLOOKUP(C207,'Talente &amp; Stuff'!GX:HY,12,FALSE)</f>
        <v>0</v>
      </c>
      <c r="O207" s="47">
        <f>VLOOKUP(C207,'Talente &amp; Stuff'!GX:HY,13,FALSE)</f>
        <v>0</v>
      </c>
      <c r="P207" s="119">
        <f>VLOOKUP(C207,'Talente &amp; Stuff'!GX:HY,14,FALSE)</f>
        <v>0</v>
      </c>
      <c r="Q207" s="114">
        <f>VLOOKUP(C207,'Talente &amp; Stuff'!GX:HY,15,FALSE)</f>
        <v>0</v>
      </c>
      <c r="R207" s="113">
        <f>VLOOKUP(C207,'Talente &amp; Stuff'!GX:HY,16,FALSE)</f>
        <v>0</v>
      </c>
      <c r="S207" s="119">
        <f>VLOOKUP(C207,'Talente &amp; Stuff'!GX:HY,17,FALSE)</f>
        <v>0</v>
      </c>
      <c r="T207" s="119">
        <f>VLOOKUP(C207,'Talente &amp; Stuff'!GX:HY,18,FALSE)</f>
        <v>0</v>
      </c>
      <c r="U207" s="89">
        <f>VLOOKUP(C207,'Talente &amp; Stuff'!GX:HY,19,FALSE)</f>
        <v>0</v>
      </c>
      <c r="V207" s="47">
        <f>VLOOKUP(C207,'Talente &amp; Stuff'!GX:HY,20,FALSE)</f>
        <v>0</v>
      </c>
      <c r="W207" s="127">
        <f>VLOOKUP(C207,'Talente &amp; Stuff'!GX:HY,21,FALSE)</f>
        <v>0</v>
      </c>
      <c r="X207" s="127">
        <f>VLOOKUP(C207,'Talente &amp; Stuff'!GX:HY,22,FALSE)</f>
        <v>0</v>
      </c>
      <c r="Y207" s="165">
        <f t="shared" si="18"/>
        <v>0</v>
      </c>
      <c r="Z207" s="44">
        <f t="shared" si="19"/>
        <v>0</v>
      </c>
      <c r="AA207" s="125">
        <f>VLOOKUP(C207,'Talente &amp; Stuff'!GX:HY,25,FALSE)</f>
        <v>0</v>
      </c>
      <c r="AB207" s="160">
        <f>VLOOKUP(C207,'Talente &amp; Stuff'!GX:HY,26,FALSE)</f>
        <v>0</v>
      </c>
      <c r="AC207" s="127">
        <f>VLOOKUP(C207,'Talente &amp; Stuff'!GX:HY,27,FALSE)</f>
        <v>0</v>
      </c>
      <c r="AD207" s="125">
        <f>VLOOKUP(C207,'Talente &amp; Stuff'!GX:HY,28,FALSE)</f>
        <v>0</v>
      </c>
      <c r="AE207" s="28"/>
    </row>
    <row r="208" spans="2:31" ht="15" hidden="1" customHeight="1" outlineLevel="2">
      <c r="B208" s="148">
        <v>56</v>
      </c>
      <c r="C208" s="177" t="str">
        <f>Attribute!C208</f>
        <v>---</v>
      </c>
      <c r="D208" s="125" t="str">
        <f>VLOOKUP(C208,'Talente &amp; Stuff'!GX:HY,2,FALSE)</f>
        <v>--/--/--</v>
      </c>
      <c r="E208" s="127" t="str">
        <f>VLOOKUP(C208,'Talente &amp; Stuff'!GX:HY,3,FALSE)</f>
        <v>-</v>
      </c>
      <c r="F208" s="114">
        <f>VLOOKUP(C208,'Talente &amp; Stuff'!GX:HY,4,FALSE)</f>
        <v>0</v>
      </c>
      <c r="G208" s="113">
        <f>VLOOKUP(C208,'Talente &amp; Stuff'!GX:HY,5,FALSE)</f>
        <v>0</v>
      </c>
      <c r="H208" s="113">
        <f>VLOOKUP(C208,'Talente &amp; Stuff'!GX:HY,6,FALSE)</f>
        <v>0</v>
      </c>
      <c r="I208" s="113">
        <f>VLOOKUP(C208,'Talente &amp; Stuff'!GX:HY,7,FALSE)</f>
        <v>0</v>
      </c>
      <c r="J208" s="113">
        <f>VLOOKUP(C208,'Talente &amp; Stuff'!GX:HY,8,FALSE)</f>
        <v>0</v>
      </c>
      <c r="K208" s="113">
        <f>VLOOKUP(C208,'Talente &amp; Stuff'!GX:HY,9,FALSE)</f>
        <v>0</v>
      </c>
      <c r="L208" s="113">
        <f>VLOOKUP(C208,'Talente &amp; Stuff'!GX:HY,10,FALSE)</f>
        <v>0</v>
      </c>
      <c r="M208" s="119">
        <f>VLOOKUP(C208,'Talente &amp; Stuff'!GX:HY,11,FALSE)</f>
        <v>0</v>
      </c>
      <c r="N208" s="47">
        <f>VLOOKUP(C208,'Talente &amp; Stuff'!GX:HY,12,FALSE)</f>
        <v>0</v>
      </c>
      <c r="O208" s="47">
        <f>VLOOKUP(C208,'Talente &amp; Stuff'!GX:HY,13,FALSE)</f>
        <v>0</v>
      </c>
      <c r="P208" s="119">
        <f>VLOOKUP(C208,'Talente &amp; Stuff'!GX:HY,14,FALSE)</f>
        <v>0</v>
      </c>
      <c r="Q208" s="114">
        <f>VLOOKUP(C208,'Talente &amp; Stuff'!GX:HY,15,FALSE)</f>
        <v>0</v>
      </c>
      <c r="R208" s="113">
        <f>VLOOKUP(C208,'Talente &amp; Stuff'!GX:HY,16,FALSE)</f>
        <v>0</v>
      </c>
      <c r="S208" s="119">
        <f>VLOOKUP(C208,'Talente &amp; Stuff'!GX:HY,17,FALSE)</f>
        <v>0</v>
      </c>
      <c r="T208" s="119">
        <f>VLOOKUP(C208,'Talente &amp; Stuff'!GX:HY,18,FALSE)</f>
        <v>0</v>
      </c>
      <c r="U208" s="89">
        <f>VLOOKUP(C208,'Talente &amp; Stuff'!GX:HY,19,FALSE)</f>
        <v>0</v>
      </c>
      <c r="V208" s="47">
        <f>VLOOKUP(C208,'Talente &amp; Stuff'!GX:HY,20,FALSE)</f>
        <v>0</v>
      </c>
      <c r="W208" s="127">
        <f>VLOOKUP(C208,'Talente &amp; Stuff'!GX:HY,21,FALSE)</f>
        <v>0</v>
      </c>
      <c r="X208" s="127">
        <f>VLOOKUP(C208,'Talente &amp; Stuff'!GX:HY,22,FALSE)</f>
        <v>0</v>
      </c>
      <c r="Y208" s="165">
        <f t="shared" si="18"/>
        <v>0</v>
      </c>
      <c r="Z208" s="44">
        <f t="shared" si="19"/>
        <v>0</v>
      </c>
      <c r="AA208" s="125">
        <f>VLOOKUP(C208,'Talente &amp; Stuff'!GX:HY,25,FALSE)</f>
        <v>0</v>
      </c>
      <c r="AB208" s="160">
        <f>VLOOKUP(C208,'Talente &amp; Stuff'!GX:HY,26,FALSE)</f>
        <v>0</v>
      </c>
      <c r="AC208" s="127">
        <f>VLOOKUP(C208,'Talente &amp; Stuff'!GX:HY,27,FALSE)</f>
        <v>0</v>
      </c>
      <c r="AD208" s="125">
        <f>VLOOKUP(C208,'Talente &amp; Stuff'!GX:HY,28,FALSE)</f>
        <v>0</v>
      </c>
      <c r="AE208" s="28"/>
    </row>
    <row r="209" spans="2:31" ht="15" hidden="1" customHeight="1" outlineLevel="2">
      <c r="B209" s="148">
        <v>57</v>
      </c>
      <c r="C209" s="177" t="str">
        <f>Attribute!C209</f>
        <v>---</v>
      </c>
      <c r="D209" s="125" t="str">
        <f>VLOOKUP(C209,'Talente &amp; Stuff'!GX:HY,2,FALSE)</f>
        <v>--/--/--</v>
      </c>
      <c r="E209" s="127" t="str">
        <f>VLOOKUP(C209,'Talente &amp; Stuff'!GX:HY,3,FALSE)</f>
        <v>-</v>
      </c>
      <c r="F209" s="114">
        <f>VLOOKUP(C209,'Talente &amp; Stuff'!GX:HY,4,FALSE)</f>
        <v>0</v>
      </c>
      <c r="G209" s="113">
        <f>VLOOKUP(C209,'Talente &amp; Stuff'!GX:HY,5,FALSE)</f>
        <v>0</v>
      </c>
      <c r="H209" s="113">
        <f>VLOOKUP(C209,'Talente &amp; Stuff'!GX:HY,6,FALSE)</f>
        <v>0</v>
      </c>
      <c r="I209" s="113">
        <f>VLOOKUP(C209,'Talente &amp; Stuff'!GX:HY,7,FALSE)</f>
        <v>0</v>
      </c>
      <c r="J209" s="113">
        <f>VLOOKUP(C209,'Talente &amp; Stuff'!GX:HY,8,FALSE)</f>
        <v>0</v>
      </c>
      <c r="K209" s="113">
        <f>VLOOKUP(C209,'Talente &amp; Stuff'!GX:HY,9,FALSE)</f>
        <v>0</v>
      </c>
      <c r="L209" s="113">
        <f>VLOOKUP(C209,'Talente &amp; Stuff'!GX:HY,10,FALSE)</f>
        <v>0</v>
      </c>
      <c r="M209" s="119">
        <f>VLOOKUP(C209,'Talente &amp; Stuff'!GX:HY,11,FALSE)</f>
        <v>0</v>
      </c>
      <c r="N209" s="47">
        <f>VLOOKUP(C209,'Talente &amp; Stuff'!GX:HY,12,FALSE)</f>
        <v>0</v>
      </c>
      <c r="O209" s="47">
        <f>VLOOKUP(C209,'Talente &amp; Stuff'!GX:HY,13,FALSE)</f>
        <v>0</v>
      </c>
      <c r="P209" s="119">
        <f>VLOOKUP(C209,'Talente &amp; Stuff'!GX:HY,14,FALSE)</f>
        <v>0</v>
      </c>
      <c r="Q209" s="114">
        <f>VLOOKUP(C209,'Talente &amp; Stuff'!GX:HY,15,FALSE)</f>
        <v>0</v>
      </c>
      <c r="R209" s="113">
        <f>VLOOKUP(C209,'Talente &amp; Stuff'!GX:HY,16,FALSE)</f>
        <v>0</v>
      </c>
      <c r="S209" s="119">
        <f>VLOOKUP(C209,'Talente &amp; Stuff'!GX:HY,17,FALSE)</f>
        <v>0</v>
      </c>
      <c r="T209" s="119">
        <f>VLOOKUP(C209,'Talente &amp; Stuff'!GX:HY,18,FALSE)</f>
        <v>0</v>
      </c>
      <c r="U209" s="89">
        <f>VLOOKUP(C209,'Talente &amp; Stuff'!GX:HY,19,FALSE)</f>
        <v>0</v>
      </c>
      <c r="V209" s="47">
        <f>VLOOKUP(C209,'Talente &amp; Stuff'!GX:HY,20,FALSE)</f>
        <v>0</v>
      </c>
      <c r="W209" s="127">
        <f>VLOOKUP(C209,'Talente &amp; Stuff'!GX:HY,21,FALSE)</f>
        <v>0</v>
      </c>
      <c r="X209" s="127">
        <f>VLOOKUP(C209,'Talente &amp; Stuff'!GX:HY,22,FALSE)</f>
        <v>0</v>
      </c>
      <c r="Y209" s="165">
        <f t="shared" si="18"/>
        <v>0</v>
      </c>
      <c r="Z209" s="44">
        <f t="shared" si="19"/>
        <v>0</v>
      </c>
      <c r="AA209" s="125">
        <f>VLOOKUP(C209,'Talente &amp; Stuff'!GX:HY,25,FALSE)</f>
        <v>0</v>
      </c>
      <c r="AB209" s="160">
        <f>VLOOKUP(C209,'Talente &amp; Stuff'!GX:HY,26,FALSE)</f>
        <v>0</v>
      </c>
      <c r="AC209" s="127">
        <f>VLOOKUP(C209,'Talente &amp; Stuff'!GX:HY,27,FALSE)</f>
        <v>0</v>
      </c>
      <c r="AD209" s="125">
        <f>VLOOKUP(C209,'Talente &amp; Stuff'!GX:HY,28,FALSE)</f>
        <v>0</v>
      </c>
      <c r="AE209" s="28"/>
    </row>
    <row r="210" spans="2:31" ht="15" hidden="1" customHeight="1" outlineLevel="2">
      <c r="B210" s="148">
        <v>58</v>
      </c>
      <c r="C210" s="177" t="str">
        <f>Attribute!C210</f>
        <v>---</v>
      </c>
      <c r="D210" s="125" t="str">
        <f>VLOOKUP(C210,'Talente &amp; Stuff'!GX:HY,2,FALSE)</f>
        <v>--/--/--</v>
      </c>
      <c r="E210" s="127" t="str">
        <f>VLOOKUP(C210,'Talente &amp; Stuff'!GX:HY,3,FALSE)</f>
        <v>-</v>
      </c>
      <c r="F210" s="114">
        <f>VLOOKUP(C210,'Talente &amp; Stuff'!GX:HY,4,FALSE)</f>
        <v>0</v>
      </c>
      <c r="G210" s="113">
        <f>VLOOKUP(C210,'Talente &amp; Stuff'!GX:HY,5,FALSE)</f>
        <v>0</v>
      </c>
      <c r="H210" s="113">
        <f>VLOOKUP(C210,'Talente &amp; Stuff'!GX:HY,6,FALSE)</f>
        <v>0</v>
      </c>
      <c r="I210" s="113">
        <f>VLOOKUP(C210,'Talente &amp; Stuff'!GX:HY,7,FALSE)</f>
        <v>0</v>
      </c>
      <c r="J210" s="113">
        <f>VLOOKUP(C210,'Talente &amp; Stuff'!GX:HY,8,FALSE)</f>
        <v>0</v>
      </c>
      <c r="K210" s="113">
        <f>VLOOKUP(C210,'Talente &amp; Stuff'!GX:HY,9,FALSE)</f>
        <v>0</v>
      </c>
      <c r="L210" s="113">
        <f>VLOOKUP(C210,'Talente &amp; Stuff'!GX:HY,10,FALSE)</f>
        <v>0</v>
      </c>
      <c r="M210" s="119">
        <f>VLOOKUP(C210,'Talente &amp; Stuff'!GX:HY,11,FALSE)</f>
        <v>0</v>
      </c>
      <c r="N210" s="47">
        <f>VLOOKUP(C210,'Talente &amp; Stuff'!GX:HY,12,FALSE)</f>
        <v>0</v>
      </c>
      <c r="O210" s="47">
        <f>VLOOKUP(C210,'Talente &amp; Stuff'!GX:HY,13,FALSE)</f>
        <v>0</v>
      </c>
      <c r="P210" s="119">
        <f>VLOOKUP(C210,'Talente &amp; Stuff'!GX:HY,14,FALSE)</f>
        <v>0</v>
      </c>
      <c r="Q210" s="114">
        <f>VLOOKUP(C210,'Talente &amp; Stuff'!GX:HY,15,FALSE)</f>
        <v>0</v>
      </c>
      <c r="R210" s="113">
        <f>VLOOKUP(C210,'Talente &amp; Stuff'!GX:HY,16,FALSE)</f>
        <v>0</v>
      </c>
      <c r="S210" s="119">
        <f>VLOOKUP(C210,'Talente &amp; Stuff'!GX:HY,17,FALSE)</f>
        <v>0</v>
      </c>
      <c r="T210" s="119">
        <f>VLOOKUP(C210,'Talente &amp; Stuff'!GX:HY,18,FALSE)</f>
        <v>0</v>
      </c>
      <c r="U210" s="89">
        <f>VLOOKUP(C210,'Talente &amp; Stuff'!GX:HY,19,FALSE)</f>
        <v>0</v>
      </c>
      <c r="V210" s="47">
        <f>VLOOKUP(C210,'Talente &amp; Stuff'!GX:HY,20,FALSE)</f>
        <v>0</v>
      </c>
      <c r="W210" s="127">
        <f>VLOOKUP(C210,'Talente &amp; Stuff'!GX:HY,21,FALSE)</f>
        <v>0</v>
      </c>
      <c r="X210" s="127">
        <f>VLOOKUP(C210,'Talente &amp; Stuff'!GX:HY,22,FALSE)</f>
        <v>0</v>
      </c>
      <c r="Y210" s="165">
        <f t="shared" si="18"/>
        <v>0</v>
      </c>
      <c r="Z210" s="44">
        <f t="shared" si="19"/>
        <v>0</v>
      </c>
      <c r="AA210" s="125">
        <f>VLOOKUP(C210,'Talente &amp; Stuff'!GX:HY,25,FALSE)</f>
        <v>0</v>
      </c>
      <c r="AB210" s="160">
        <f>VLOOKUP(C210,'Talente &amp; Stuff'!GX:HY,26,FALSE)</f>
        <v>0</v>
      </c>
      <c r="AC210" s="127">
        <f>VLOOKUP(C210,'Talente &amp; Stuff'!GX:HY,27,FALSE)</f>
        <v>0</v>
      </c>
      <c r="AD210" s="125">
        <f>VLOOKUP(C210,'Talente &amp; Stuff'!GX:HY,28,FALSE)</f>
        <v>0</v>
      </c>
      <c r="AE210" s="28"/>
    </row>
    <row r="211" spans="2:31" ht="15" hidden="1" customHeight="1" outlineLevel="2">
      <c r="B211" s="148">
        <v>59</v>
      </c>
      <c r="C211" s="177" t="str">
        <f>Attribute!C211</f>
        <v>---</v>
      </c>
      <c r="D211" s="159" t="str">
        <f>VLOOKUP(C211,'Talente &amp; Stuff'!GX:HY,2,FALSE)</f>
        <v>--/--/--</v>
      </c>
      <c r="E211" s="128" t="str">
        <f>VLOOKUP(C211,'Talente &amp; Stuff'!GX:HY,3,FALSE)</f>
        <v>-</v>
      </c>
      <c r="F211" s="115">
        <f>VLOOKUP(C211,'Talente &amp; Stuff'!GX:HY,4,FALSE)</f>
        <v>0</v>
      </c>
      <c r="G211" s="122">
        <f>VLOOKUP(C211,'Talente &amp; Stuff'!GX:HY,5,FALSE)</f>
        <v>0</v>
      </c>
      <c r="H211" s="122">
        <f>VLOOKUP(C211,'Talente &amp; Stuff'!GX:HY,6,FALSE)</f>
        <v>0</v>
      </c>
      <c r="I211" s="122">
        <f>VLOOKUP(C211,'Talente &amp; Stuff'!GX:HY,7,FALSE)</f>
        <v>0</v>
      </c>
      <c r="J211" s="122">
        <f>VLOOKUP(C211,'Talente &amp; Stuff'!GX:HY,8,FALSE)</f>
        <v>0</v>
      </c>
      <c r="K211" s="122">
        <f>VLOOKUP(C211,'Talente &amp; Stuff'!GX:HY,9,FALSE)</f>
        <v>0</v>
      </c>
      <c r="L211" s="122">
        <f>VLOOKUP(C211,'Talente &amp; Stuff'!GX:HY,10,FALSE)</f>
        <v>0</v>
      </c>
      <c r="M211" s="123">
        <f>VLOOKUP(C211,'Talente &amp; Stuff'!GX:HY,11,FALSE)</f>
        <v>0</v>
      </c>
      <c r="N211" s="88">
        <f>VLOOKUP(C211,'Talente &amp; Stuff'!GX:HY,12,FALSE)</f>
        <v>0</v>
      </c>
      <c r="O211" s="88">
        <f>VLOOKUP(C211,'Talente &amp; Stuff'!GX:HY,13,FALSE)</f>
        <v>0</v>
      </c>
      <c r="P211" s="123">
        <f>VLOOKUP(C211,'Talente &amp; Stuff'!GX:HY,14,FALSE)</f>
        <v>0</v>
      </c>
      <c r="Q211" s="115">
        <f>VLOOKUP(C211,'Talente &amp; Stuff'!GX:HY,15,FALSE)</f>
        <v>0</v>
      </c>
      <c r="R211" s="122">
        <f>VLOOKUP(C211,'Talente &amp; Stuff'!GX:HY,16,FALSE)</f>
        <v>0</v>
      </c>
      <c r="S211" s="123">
        <f>VLOOKUP(C211,'Talente &amp; Stuff'!GX:HY,17,FALSE)</f>
        <v>0</v>
      </c>
      <c r="T211" s="123">
        <f>VLOOKUP(C211,'Talente &amp; Stuff'!GX:HY,18,FALSE)</f>
        <v>0</v>
      </c>
      <c r="U211" s="90">
        <f>VLOOKUP(C211,'Talente &amp; Stuff'!GX:HY,19,FALSE)</f>
        <v>0</v>
      </c>
      <c r="V211" s="88">
        <f>VLOOKUP(C211,'Talente &amp; Stuff'!GX:HY,20,FALSE)</f>
        <v>0</v>
      </c>
      <c r="W211" s="128">
        <f>VLOOKUP(C211,'Talente &amp; Stuff'!GX:HY,21,FALSE)</f>
        <v>0</v>
      </c>
      <c r="X211" s="128">
        <f>VLOOKUP(C211,'Talente &amp; Stuff'!GX:HY,22,FALSE)</f>
        <v>0</v>
      </c>
      <c r="Y211" s="165">
        <f t="shared" si="18"/>
        <v>0</v>
      </c>
      <c r="Z211" s="44">
        <f t="shared" si="19"/>
        <v>0</v>
      </c>
      <c r="AA211" s="159">
        <f>VLOOKUP(C211,'Talente &amp; Stuff'!GX:HY,25,FALSE)</f>
        <v>0</v>
      </c>
      <c r="AB211" s="161">
        <f>VLOOKUP(C211,'Talente &amp; Stuff'!GX:HY,26,FALSE)</f>
        <v>0</v>
      </c>
      <c r="AC211" s="128">
        <f>VLOOKUP(C211,'Talente &amp; Stuff'!GX:HY,27,FALSE)</f>
        <v>0</v>
      </c>
      <c r="AD211" s="159">
        <f>VLOOKUP(C211,'Talente &amp; Stuff'!GX:HY,28,FALSE)</f>
        <v>0</v>
      </c>
      <c r="AE211" s="28"/>
    </row>
    <row r="212" spans="2:31" ht="15" hidden="1" customHeight="1" outlineLevel="1" collapsed="1">
      <c r="B212" s="134" t="s">
        <v>328</v>
      </c>
      <c r="C212" s="83"/>
      <c r="D212" s="84"/>
      <c r="E212" s="84"/>
    </row>
    <row r="213" spans="2:31" ht="15" hidden="1" customHeight="1" outlineLevel="2">
      <c r="B213" s="148">
        <v>1</v>
      </c>
      <c r="C213" s="177" t="str">
        <f>Attribute!C213</f>
        <v>---</v>
      </c>
      <c r="D213" s="85" t="str">
        <f>VLOOKUP(C213,'Talente &amp; Stuff'!GX:HY,2,FALSE)</f>
        <v>--/--/--</v>
      </c>
      <c r="E213" s="126" t="str">
        <f>VLOOKUP(C213,'Talente &amp; Stuff'!GX:HY,3,FALSE)</f>
        <v>-</v>
      </c>
      <c r="F213" s="191">
        <f>VLOOKUP(C213,'Talente &amp; Stuff'!GX:HY,4,FALSE)</f>
        <v>0</v>
      </c>
      <c r="G213" s="118">
        <f>VLOOKUP(C213,'Talente &amp; Stuff'!GX:HY,5,FALSE)</f>
        <v>0</v>
      </c>
      <c r="H213" s="118">
        <f>VLOOKUP(C213,'Talente &amp; Stuff'!GX:HY,6,FALSE)</f>
        <v>0</v>
      </c>
      <c r="I213" s="118">
        <f>VLOOKUP(C213,'Talente &amp; Stuff'!GX:HY,7,FALSE)</f>
        <v>0</v>
      </c>
      <c r="J213" s="118">
        <f>VLOOKUP(C213,'Talente &amp; Stuff'!GX:HY,8,FALSE)</f>
        <v>0</v>
      </c>
      <c r="K213" s="118">
        <f>VLOOKUP(C213,'Talente &amp; Stuff'!GX:HY,9,FALSE)</f>
        <v>0</v>
      </c>
      <c r="L213" s="118">
        <f>VLOOKUP(C213,'Talente &amp; Stuff'!GX:HY,10,FALSE)</f>
        <v>0</v>
      </c>
      <c r="M213" s="92">
        <f>VLOOKUP(C213,'Talente &amp; Stuff'!GX:HY,11,FALSE)</f>
        <v>0</v>
      </c>
      <c r="N213" s="116">
        <f>VLOOKUP(C213,'Talente &amp; Stuff'!GX:HY,12,FALSE)</f>
        <v>0</v>
      </c>
      <c r="O213" s="194">
        <f>VLOOKUP(C213,'Talente &amp; Stuff'!GX:HY,13,FALSE)</f>
        <v>0</v>
      </c>
      <c r="P213" s="192">
        <f>VLOOKUP(C213,'Talente &amp; Stuff'!GX:HY,14,FALSE)</f>
        <v>0</v>
      </c>
      <c r="Q213" s="191">
        <f>VLOOKUP(C213,'Talente &amp; Stuff'!GX:HY,15,FALSE)</f>
        <v>0</v>
      </c>
      <c r="R213" s="170">
        <f>VLOOKUP(C213,'Talente &amp; Stuff'!GX:HY,16,FALSE)</f>
        <v>0</v>
      </c>
      <c r="S213" s="92">
        <f>VLOOKUP(C213,'Talente &amp; Stuff'!GX:HY,17,FALSE)</f>
        <v>0</v>
      </c>
      <c r="T213" s="92">
        <f>VLOOKUP(C213,'Talente &amp; Stuff'!GX:HY,18,FALSE)</f>
        <v>0</v>
      </c>
      <c r="U213" s="193">
        <f>VLOOKUP(C213,'Talente &amp; Stuff'!GX:HY,19,FALSE)</f>
        <v>0</v>
      </c>
      <c r="V213" s="116">
        <f>VLOOKUP(C213,'Talente &amp; Stuff'!GX:HY,20,FALSE)</f>
        <v>0</v>
      </c>
      <c r="W213" s="126">
        <f>VLOOKUP(C213,'Talente &amp; Stuff'!GX:HY,21,FALSE)</f>
        <v>0</v>
      </c>
      <c r="X213" s="126">
        <f>VLOOKUP(C213,'Talente &amp; Stuff'!GX:HY,22,FALSE)</f>
        <v>0</v>
      </c>
      <c r="Y213" s="165">
        <f t="shared" ref="Y213:Y257" si="20">VLOOKUP(C213,Ausgewählte_Zauber_Hexen,226,FALSE)</f>
        <v>0</v>
      </c>
      <c r="Z213" s="44">
        <f t="shared" ref="Z213:Z257" si="21">VLOOKUP(C213,Ausgewählte_Zauber_Hexen,227,FALSE)</f>
        <v>0</v>
      </c>
      <c r="AA213" s="158">
        <f>VLOOKUP(C213,'Talente &amp; Stuff'!GX:HY,25,FALSE)</f>
        <v>0</v>
      </c>
      <c r="AB213" s="91">
        <f>VLOOKUP(C213,'Talente &amp; Stuff'!GX:HY,26,FALSE)</f>
        <v>0</v>
      </c>
      <c r="AC213" s="126">
        <f>VLOOKUP(C213,'Talente &amp; Stuff'!GX:HY,27,FALSE)</f>
        <v>0</v>
      </c>
      <c r="AD213" s="158">
        <f>VLOOKUP(C213,'Talente &amp; Stuff'!GX:HY,28,FALSE)</f>
        <v>0</v>
      </c>
      <c r="AE213" s="28"/>
    </row>
    <row r="214" spans="2:31" ht="15" hidden="1" customHeight="1" outlineLevel="2">
      <c r="B214" s="148">
        <v>2</v>
      </c>
      <c r="C214" s="177" t="str">
        <f>Attribute!C214</f>
        <v>---</v>
      </c>
      <c r="D214" s="125" t="str">
        <f>VLOOKUP(C214,'Talente &amp; Stuff'!GX:HY,2,FALSE)</f>
        <v>--/--/--</v>
      </c>
      <c r="E214" s="127" t="str">
        <f>VLOOKUP(C214,'Talente &amp; Stuff'!GX:HY,3,FALSE)</f>
        <v>-</v>
      </c>
      <c r="F214" s="114">
        <f>VLOOKUP(C214,'Talente &amp; Stuff'!GX:HY,4,FALSE)</f>
        <v>0</v>
      </c>
      <c r="G214" s="113">
        <f>VLOOKUP(C214,'Talente &amp; Stuff'!GX:HY,5,FALSE)</f>
        <v>0</v>
      </c>
      <c r="H214" s="113">
        <f>VLOOKUP(C214,'Talente &amp; Stuff'!GX:HY,6,FALSE)</f>
        <v>0</v>
      </c>
      <c r="I214" s="113">
        <f>VLOOKUP(C214,'Talente &amp; Stuff'!GX:HY,7,FALSE)</f>
        <v>0</v>
      </c>
      <c r="J214" s="113">
        <f>VLOOKUP(C214,'Talente &amp; Stuff'!GX:HY,8,FALSE)</f>
        <v>0</v>
      </c>
      <c r="K214" s="113">
        <f>VLOOKUP(C214,'Talente &amp; Stuff'!GX:HY,9,FALSE)</f>
        <v>0</v>
      </c>
      <c r="L214" s="113">
        <f>VLOOKUP(C214,'Talente &amp; Stuff'!GX:HY,10,FALSE)</f>
        <v>0</v>
      </c>
      <c r="M214" s="119">
        <f>VLOOKUP(C214,'Talente &amp; Stuff'!GX:HY,11,FALSE)</f>
        <v>0</v>
      </c>
      <c r="N214" s="47">
        <f>VLOOKUP(C214,'Talente &amp; Stuff'!GX:HY,12,FALSE)</f>
        <v>0</v>
      </c>
      <c r="O214" s="47">
        <f>VLOOKUP(C214,'Talente &amp; Stuff'!GX:HY,13,FALSE)</f>
        <v>0</v>
      </c>
      <c r="P214" s="119">
        <f>VLOOKUP(C214,'Talente &amp; Stuff'!GX:HY,14,FALSE)</f>
        <v>0</v>
      </c>
      <c r="Q214" s="114">
        <f>VLOOKUP(C214,'Talente &amp; Stuff'!GX:HY,15,FALSE)</f>
        <v>0</v>
      </c>
      <c r="R214" s="113">
        <f>VLOOKUP(C214,'Talente &amp; Stuff'!GX:HY,16,FALSE)</f>
        <v>0</v>
      </c>
      <c r="S214" s="119">
        <f>VLOOKUP(C214,'Talente &amp; Stuff'!GX:HY,17,FALSE)</f>
        <v>0</v>
      </c>
      <c r="T214" s="119">
        <f>VLOOKUP(C214,'Talente &amp; Stuff'!GX:HY,18,FALSE)</f>
        <v>0</v>
      </c>
      <c r="U214" s="89">
        <f>VLOOKUP(C214,'Talente &amp; Stuff'!GX:HY,19,FALSE)</f>
        <v>0</v>
      </c>
      <c r="V214" s="47">
        <f>VLOOKUP(C214,'Talente &amp; Stuff'!GX:HY,20,FALSE)</f>
        <v>0</v>
      </c>
      <c r="W214" s="127">
        <f>VLOOKUP(C214,'Talente &amp; Stuff'!GX:HY,21,FALSE)</f>
        <v>0</v>
      </c>
      <c r="X214" s="127">
        <f>VLOOKUP(C214,'Talente &amp; Stuff'!GX:HY,22,FALSE)</f>
        <v>0</v>
      </c>
      <c r="Y214" s="165">
        <f t="shared" si="20"/>
        <v>0</v>
      </c>
      <c r="Z214" s="44">
        <f t="shared" si="21"/>
        <v>0</v>
      </c>
      <c r="AA214" s="125">
        <f>VLOOKUP(C214,'Talente &amp; Stuff'!GX:HY,25,FALSE)</f>
        <v>0</v>
      </c>
      <c r="AB214" s="160">
        <f>VLOOKUP(C214,'Talente &amp; Stuff'!GX:HY,26,FALSE)</f>
        <v>0</v>
      </c>
      <c r="AC214" s="127">
        <f>VLOOKUP(C214,'Talente &amp; Stuff'!GX:HY,27,FALSE)</f>
        <v>0</v>
      </c>
      <c r="AD214" s="125">
        <f>VLOOKUP(C214,'Talente &amp; Stuff'!GX:HY,28,FALSE)</f>
        <v>0</v>
      </c>
      <c r="AE214" s="28"/>
    </row>
    <row r="215" spans="2:31" ht="15" hidden="1" customHeight="1" outlineLevel="2">
      <c r="B215" s="148">
        <v>3</v>
      </c>
      <c r="C215" s="177" t="str">
        <f>Attribute!C215</f>
        <v>---</v>
      </c>
      <c r="D215" s="125" t="str">
        <f>VLOOKUP(C215,'Talente &amp; Stuff'!GX:HY,2,FALSE)</f>
        <v>--/--/--</v>
      </c>
      <c r="E215" s="127" t="str">
        <f>VLOOKUP(C215,'Talente &amp; Stuff'!GX:HY,3,FALSE)</f>
        <v>-</v>
      </c>
      <c r="F215" s="114">
        <f>VLOOKUP(C215,'Talente &amp; Stuff'!GX:HY,4,FALSE)</f>
        <v>0</v>
      </c>
      <c r="G215" s="113">
        <f>VLOOKUP(C215,'Talente &amp; Stuff'!GX:HY,5,FALSE)</f>
        <v>0</v>
      </c>
      <c r="H215" s="113">
        <f>VLOOKUP(C215,'Talente &amp; Stuff'!GX:HY,6,FALSE)</f>
        <v>0</v>
      </c>
      <c r="I215" s="113">
        <f>VLOOKUP(C215,'Talente &amp; Stuff'!GX:HY,7,FALSE)</f>
        <v>0</v>
      </c>
      <c r="J215" s="113">
        <f>VLOOKUP(C215,'Talente &amp; Stuff'!GX:HY,8,FALSE)</f>
        <v>0</v>
      </c>
      <c r="K215" s="113">
        <f>VLOOKUP(C215,'Talente &amp; Stuff'!GX:HY,9,FALSE)</f>
        <v>0</v>
      </c>
      <c r="L215" s="113">
        <f>VLOOKUP(C215,'Talente &amp; Stuff'!GX:HY,10,FALSE)</f>
        <v>0</v>
      </c>
      <c r="M215" s="119">
        <f>VLOOKUP(C215,'Talente &amp; Stuff'!GX:HY,11,FALSE)</f>
        <v>0</v>
      </c>
      <c r="N215" s="47">
        <f>VLOOKUP(C215,'Talente &amp; Stuff'!GX:HY,12,FALSE)</f>
        <v>0</v>
      </c>
      <c r="O215" s="47">
        <f>VLOOKUP(C215,'Talente &amp; Stuff'!GX:HY,13,FALSE)</f>
        <v>0</v>
      </c>
      <c r="P215" s="119">
        <f>VLOOKUP(C215,'Talente &amp; Stuff'!GX:HY,14,FALSE)</f>
        <v>0</v>
      </c>
      <c r="Q215" s="114">
        <f>VLOOKUP(C215,'Talente &amp; Stuff'!GX:HY,15,FALSE)</f>
        <v>0</v>
      </c>
      <c r="R215" s="113">
        <f>VLOOKUP(C215,'Talente &amp; Stuff'!GX:HY,16,FALSE)</f>
        <v>0</v>
      </c>
      <c r="S215" s="119">
        <f>VLOOKUP(C215,'Talente &amp; Stuff'!GX:HY,17,FALSE)</f>
        <v>0</v>
      </c>
      <c r="T215" s="119">
        <f>VLOOKUP(C215,'Talente &amp; Stuff'!GX:HY,18,FALSE)</f>
        <v>0</v>
      </c>
      <c r="U215" s="89">
        <f>VLOOKUP(C215,'Talente &amp; Stuff'!GX:HY,19,FALSE)</f>
        <v>0</v>
      </c>
      <c r="V215" s="47">
        <f>VLOOKUP(C215,'Talente &amp; Stuff'!GX:HY,20,FALSE)</f>
        <v>0</v>
      </c>
      <c r="W215" s="127">
        <f>VLOOKUP(C215,'Talente &amp; Stuff'!GX:HY,21,FALSE)</f>
        <v>0</v>
      </c>
      <c r="X215" s="127">
        <f>VLOOKUP(C215,'Talente &amp; Stuff'!GX:HY,22,FALSE)</f>
        <v>0</v>
      </c>
      <c r="Y215" s="165">
        <f t="shared" si="20"/>
        <v>0</v>
      </c>
      <c r="Z215" s="44">
        <f t="shared" si="21"/>
        <v>0</v>
      </c>
      <c r="AA215" s="125">
        <f>VLOOKUP(C215,'Talente &amp; Stuff'!GX:HY,25,FALSE)</f>
        <v>0</v>
      </c>
      <c r="AB215" s="160">
        <f>VLOOKUP(C215,'Talente &amp; Stuff'!GX:HY,26,FALSE)</f>
        <v>0</v>
      </c>
      <c r="AC215" s="127">
        <f>VLOOKUP(C215,'Talente &amp; Stuff'!GX:HY,27,FALSE)</f>
        <v>0</v>
      </c>
      <c r="AD215" s="125">
        <f>VLOOKUP(C215,'Talente &amp; Stuff'!GX:HY,28,FALSE)</f>
        <v>0</v>
      </c>
      <c r="AE215" s="28"/>
    </row>
    <row r="216" spans="2:31" ht="15" hidden="1" customHeight="1" outlineLevel="2">
      <c r="B216" s="148">
        <v>4</v>
      </c>
      <c r="C216" s="177" t="str">
        <f>Attribute!C216</f>
        <v>---</v>
      </c>
      <c r="D216" s="86" t="str">
        <f>VLOOKUP(C216,'Talente &amp; Stuff'!GX:HY,2,FALSE)</f>
        <v>--/--/--</v>
      </c>
      <c r="E216" s="167" t="str">
        <f>VLOOKUP(C216,'Talente &amp; Stuff'!GX:HY,3,FALSE)</f>
        <v>-</v>
      </c>
      <c r="F216" s="120">
        <f>VLOOKUP(C216,'Talente &amp; Stuff'!GX:HY,4,FALSE)</f>
        <v>0</v>
      </c>
      <c r="G216" s="117">
        <f>VLOOKUP(C216,'Talente &amp; Stuff'!GX:HY,5,FALSE)</f>
        <v>0</v>
      </c>
      <c r="H216" s="117">
        <f>VLOOKUP(C216,'Talente &amp; Stuff'!GX:HY,6,FALSE)</f>
        <v>0</v>
      </c>
      <c r="I216" s="117">
        <f>VLOOKUP(C216,'Talente &amp; Stuff'!GX:HY,7,FALSE)</f>
        <v>0</v>
      </c>
      <c r="J216" s="117">
        <f>VLOOKUP(C216,'Talente &amp; Stuff'!GX:HY,8,FALSE)</f>
        <v>0</v>
      </c>
      <c r="K216" s="117">
        <f>VLOOKUP(C216,'Talente &amp; Stuff'!GX:HY,9,FALSE)</f>
        <v>0</v>
      </c>
      <c r="L216" s="117">
        <f>VLOOKUP(C216,'Talente &amp; Stuff'!GX:HY,10,FALSE)</f>
        <v>0</v>
      </c>
      <c r="M216" s="121">
        <f>VLOOKUP(C216,'Talente &amp; Stuff'!GX:HY,11,FALSE)</f>
        <v>0</v>
      </c>
      <c r="N216" s="47">
        <f>VLOOKUP(C216,'Talente &amp; Stuff'!GX:HY,12,FALSE)</f>
        <v>0</v>
      </c>
      <c r="O216" s="3">
        <f>VLOOKUP(C216,'Talente &amp; Stuff'!GX:HY,13,FALSE)</f>
        <v>0</v>
      </c>
      <c r="P216" s="174">
        <f>VLOOKUP(C216,'Talente &amp; Stuff'!GX:HY,14,FALSE)</f>
        <v>0</v>
      </c>
      <c r="Q216" s="114">
        <f>VLOOKUP(C216,'Talente &amp; Stuff'!GX:HY,15,FALSE)</f>
        <v>0</v>
      </c>
      <c r="R216" s="117">
        <f>VLOOKUP(C216,'Talente &amp; Stuff'!GX:HY,16,FALSE)</f>
        <v>0</v>
      </c>
      <c r="S216" s="119">
        <f>VLOOKUP(C216,'Talente &amp; Stuff'!GX:HY,17,FALSE)</f>
        <v>0</v>
      </c>
      <c r="T216" s="119">
        <f>VLOOKUP(C216,'Talente &amp; Stuff'!GX:HY,18,FALSE)</f>
        <v>0</v>
      </c>
      <c r="U216" s="89">
        <f>VLOOKUP(C216,'Talente &amp; Stuff'!GX:HY,19,FALSE)</f>
        <v>0</v>
      </c>
      <c r="V216" s="47">
        <f>VLOOKUP(C216,'Talente &amp; Stuff'!GX:HY,20,FALSE)</f>
        <v>0</v>
      </c>
      <c r="W216" s="127">
        <f>VLOOKUP(C216,'Talente &amp; Stuff'!GX:HY,21,FALSE)</f>
        <v>0</v>
      </c>
      <c r="X216" s="127">
        <f>VLOOKUP(C216,'Talente &amp; Stuff'!GX:HY,22,FALSE)</f>
        <v>0</v>
      </c>
      <c r="Y216" s="165">
        <f t="shared" si="20"/>
        <v>0</v>
      </c>
      <c r="Z216" s="44">
        <f t="shared" si="21"/>
        <v>0</v>
      </c>
      <c r="AA216" s="125">
        <f>VLOOKUP(C216,'Talente &amp; Stuff'!GX:HY,25,FALSE)</f>
        <v>0</v>
      </c>
      <c r="AB216" s="160">
        <f>VLOOKUP(C216,'Talente &amp; Stuff'!GX:HY,26,FALSE)</f>
        <v>0</v>
      </c>
      <c r="AC216" s="127">
        <f>VLOOKUP(C216,'Talente &amp; Stuff'!GX:HY,27,FALSE)</f>
        <v>0</v>
      </c>
      <c r="AD216" s="125">
        <f>VLOOKUP(C216,'Talente &amp; Stuff'!GX:HY,28,FALSE)</f>
        <v>0</v>
      </c>
      <c r="AE216" s="28"/>
    </row>
    <row r="217" spans="2:31" ht="15" hidden="1" customHeight="1" outlineLevel="2">
      <c r="B217" s="148">
        <v>5</v>
      </c>
      <c r="C217" s="177" t="str">
        <f>Attribute!C217</f>
        <v>---</v>
      </c>
      <c r="D217" s="86" t="str">
        <f>VLOOKUP(C217,'Talente &amp; Stuff'!GX:HY,2,FALSE)</f>
        <v>--/--/--</v>
      </c>
      <c r="E217" s="167" t="str">
        <f>VLOOKUP(C217,'Talente &amp; Stuff'!GX:HY,3,FALSE)</f>
        <v>-</v>
      </c>
      <c r="F217" s="120">
        <f>VLOOKUP(C217,'Talente &amp; Stuff'!GX:HY,4,FALSE)</f>
        <v>0</v>
      </c>
      <c r="G217" s="117">
        <f>VLOOKUP(C217,'Talente &amp; Stuff'!GX:HY,5,FALSE)</f>
        <v>0</v>
      </c>
      <c r="H217" s="117">
        <f>VLOOKUP(C217,'Talente &amp; Stuff'!GX:HY,6,FALSE)</f>
        <v>0</v>
      </c>
      <c r="I217" s="117">
        <f>VLOOKUP(C217,'Talente &amp; Stuff'!GX:HY,7,FALSE)</f>
        <v>0</v>
      </c>
      <c r="J217" s="117">
        <f>VLOOKUP(C217,'Talente &amp; Stuff'!GX:HY,8,FALSE)</f>
        <v>0</v>
      </c>
      <c r="K217" s="117">
        <f>VLOOKUP(C217,'Talente &amp; Stuff'!GX:HY,9,FALSE)</f>
        <v>0</v>
      </c>
      <c r="L217" s="117">
        <f>VLOOKUP(C217,'Talente &amp; Stuff'!GX:HY,10,FALSE)</f>
        <v>0</v>
      </c>
      <c r="M217" s="121">
        <f>VLOOKUP(C217,'Talente &amp; Stuff'!GX:HY,11,FALSE)</f>
        <v>0</v>
      </c>
      <c r="N217" s="47">
        <f>VLOOKUP(C217,'Talente &amp; Stuff'!GX:HY,12,FALSE)</f>
        <v>0</v>
      </c>
      <c r="O217" s="3">
        <f>VLOOKUP(C217,'Talente &amp; Stuff'!GX:HY,13,FALSE)</f>
        <v>0</v>
      </c>
      <c r="P217" s="174">
        <f>VLOOKUP(C217,'Talente &amp; Stuff'!GX:HY,14,FALSE)</f>
        <v>0</v>
      </c>
      <c r="Q217" s="114">
        <f>VLOOKUP(C217,'Talente &amp; Stuff'!GX:HY,15,FALSE)</f>
        <v>0</v>
      </c>
      <c r="R217" s="117">
        <f>VLOOKUP(C217,'Talente &amp; Stuff'!GX:HY,16,FALSE)</f>
        <v>0</v>
      </c>
      <c r="S217" s="119">
        <f>VLOOKUP(C217,'Talente &amp; Stuff'!GX:HY,17,FALSE)</f>
        <v>0</v>
      </c>
      <c r="T217" s="119">
        <f>VLOOKUP(C217,'Talente &amp; Stuff'!GX:HY,18,FALSE)</f>
        <v>0</v>
      </c>
      <c r="U217" s="89">
        <f>VLOOKUP(C217,'Talente &amp; Stuff'!GX:HY,19,FALSE)</f>
        <v>0</v>
      </c>
      <c r="V217" s="47">
        <f>VLOOKUP(C217,'Talente &amp; Stuff'!GX:HY,20,FALSE)</f>
        <v>0</v>
      </c>
      <c r="W217" s="127">
        <f>VLOOKUP(C217,'Talente &amp; Stuff'!GX:HY,21,FALSE)</f>
        <v>0</v>
      </c>
      <c r="X217" s="127">
        <f>VLOOKUP(C217,'Talente &amp; Stuff'!GX:HY,22,FALSE)</f>
        <v>0</v>
      </c>
      <c r="Y217" s="165">
        <f t="shared" si="20"/>
        <v>0</v>
      </c>
      <c r="Z217" s="44">
        <f t="shared" si="21"/>
        <v>0</v>
      </c>
      <c r="AA217" s="125">
        <f>VLOOKUP(C217,'Talente &amp; Stuff'!GX:HY,25,FALSE)</f>
        <v>0</v>
      </c>
      <c r="AB217" s="160">
        <f>VLOOKUP(C217,'Talente &amp; Stuff'!GX:HY,26,FALSE)</f>
        <v>0</v>
      </c>
      <c r="AC217" s="127">
        <f>VLOOKUP(C217,'Talente &amp; Stuff'!GX:HY,27,FALSE)</f>
        <v>0</v>
      </c>
      <c r="AD217" s="125">
        <f>VLOOKUP(C217,'Talente &amp; Stuff'!GX:HY,28,FALSE)</f>
        <v>0</v>
      </c>
      <c r="AE217" s="28"/>
    </row>
    <row r="218" spans="2:31" ht="15" hidden="1" customHeight="1" outlineLevel="2">
      <c r="B218" s="148">
        <v>6</v>
      </c>
      <c r="C218" s="177" t="str">
        <f>Attribute!C218</f>
        <v>---</v>
      </c>
      <c r="D218" s="125" t="str">
        <f>VLOOKUP(C218,'Talente &amp; Stuff'!GX:HY,2,FALSE)</f>
        <v>--/--/--</v>
      </c>
      <c r="E218" s="127" t="str">
        <f>VLOOKUP(C218,'Talente &amp; Stuff'!GX:HY,3,FALSE)</f>
        <v>-</v>
      </c>
      <c r="F218" s="114">
        <f>VLOOKUP(C218,'Talente &amp; Stuff'!GX:HY,4,FALSE)</f>
        <v>0</v>
      </c>
      <c r="G218" s="113">
        <f>VLOOKUP(C218,'Talente &amp; Stuff'!GX:HY,5,FALSE)</f>
        <v>0</v>
      </c>
      <c r="H218" s="113">
        <f>VLOOKUP(C218,'Talente &amp; Stuff'!GX:HY,6,FALSE)</f>
        <v>0</v>
      </c>
      <c r="I218" s="113">
        <f>VLOOKUP(C218,'Talente &amp; Stuff'!GX:HY,7,FALSE)</f>
        <v>0</v>
      </c>
      <c r="J218" s="113">
        <f>VLOOKUP(C218,'Talente &amp; Stuff'!GX:HY,8,FALSE)</f>
        <v>0</v>
      </c>
      <c r="K218" s="113">
        <f>VLOOKUP(C218,'Talente &amp; Stuff'!GX:HY,9,FALSE)</f>
        <v>0</v>
      </c>
      <c r="L218" s="113">
        <f>VLOOKUP(C218,'Talente &amp; Stuff'!GX:HY,10,FALSE)</f>
        <v>0</v>
      </c>
      <c r="M218" s="119">
        <f>VLOOKUP(C218,'Talente &amp; Stuff'!GX:HY,11,FALSE)</f>
        <v>0</v>
      </c>
      <c r="N218" s="47">
        <f>VLOOKUP(C218,'Talente &amp; Stuff'!GX:HY,12,FALSE)</f>
        <v>0</v>
      </c>
      <c r="O218" s="47">
        <f>VLOOKUP(C218,'Talente &amp; Stuff'!GX:HY,13,FALSE)</f>
        <v>0</v>
      </c>
      <c r="P218" s="119">
        <f>VLOOKUP(C218,'Talente &amp; Stuff'!GX:HY,14,FALSE)</f>
        <v>0</v>
      </c>
      <c r="Q218" s="114">
        <f>VLOOKUP(C218,'Talente &amp; Stuff'!GX:HY,15,FALSE)</f>
        <v>0</v>
      </c>
      <c r="R218" s="113">
        <f>VLOOKUP(C218,'Talente &amp; Stuff'!GX:HY,16,FALSE)</f>
        <v>0</v>
      </c>
      <c r="S218" s="119">
        <f>VLOOKUP(C218,'Talente &amp; Stuff'!GX:HY,17,FALSE)</f>
        <v>0</v>
      </c>
      <c r="T218" s="119">
        <f>VLOOKUP(C218,'Talente &amp; Stuff'!GX:HY,18,FALSE)</f>
        <v>0</v>
      </c>
      <c r="U218" s="89">
        <f>VLOOKUP(C218,'Talente &amp; Stuff'!GX:HY,19,FALSE)</f>
        <v>0</v>
      </c>
      <c r="V218" s="47">
        <f>VLOOKUP(C218,'Talente &amp; Stuff'!GX:HY,20,FALSE)</f>
        <v>0</v>
      </c>
      <c r="W218" s="127">
        <f>VLOOKUP(C218,'Talente &amp; Stuff'!GX:HY,21,FALSE)</f>
        <v>0</v>
      </c>
      <c r="X218" s="127">
        <f>VLOOKUP(C218,'Talente &amp; Stuff'!GX:HY,22,FALSE)</f>
        <v>0</v>
      </c>
      <c r="Y218" s="165">
        <f t="shared" si="20"/>
        <v>0</v>
      </c>
      <c r="Z218" s="44">
        <f t="shared" si="21"/>
        <v>0</v>
      </c>
      <c r="AA218" s="125">
        <f>VLOOKUP(C218,'Talente &amp; Stuff'!GX:HY,25,FALSE)</f>
        <v>0</v>
      </c>
      <c r="AB218" s="160">
        <f>VLOOKUP(C218,'Talente &amp; Stuff'!GX:HY,26,FALSE)</f>
        <v>0</v>
      </c>
      <c r="AC218" s="127">
        <f>VLOOKUP(C218,'Talente &amp; Stuff'!GX:HY,27,FALSE)</f>
        <v>0</v>
      </c>
      <c r="AD218" s="125">
        <f>VLOOKUP(C218,'Talente &amp; Stuff'!GX:HY,28,FALSE)</f>
        <v>0</v>
      </c>
      <c r="AE218" s="28"/>
    </row>
    <row r="219" spans="2:31" ht="15" hidden="1" customHeight="1" outlineLevel="2">
      <c r="B219" s="148">
        <v>7</v>
      </c>
      <c r="C219" s="177" t="str">
        <f>Attribute!C219</f>
        <v>---</v>
      </c>
      <c r="D219" s="125" t="str">
        <f>VLOOKUP(C219,'Talente &amp; Stuff'!GX:HY,2,FALSE)</f>
        <v>--/--/--</v>
      </c>
      <c r="E219" s="127" t="str">
        <f>VLOOKUP(C219,'Talente &amp; Stuff'!GX:HY,3,FALSE)</f>
        <v>-</v>
      </c>
      <c r="F219" s="114">
        <f>VLOOKUP(C219,'Talente &amp; Stuff'!GX:HY,4,FALSE)</f>
        <v>0</v>
      </c>
      <c r="G219" s="113">
        <f>VLOOKUP(C219,'Talente &amp; Stuff'!GX:HY,5,FALSE)</f>
        <v>0</v>
      </c>
      <c r="H219" s="113">
        <f>VLOOKUP(C219,'Talente &amp; Stuff'!GX:HY,6,FALSE)</f>
        <v>0</v>
      </c>
      <c r="I219" s="113">
        <f>VLOOKUP(C219,'Talente &amp; Stuff'!GX:HY,7,FALSE)</f>
        <v>0</v>
      </c>
      <c r="J219" s="113">
        <f>VLOOKUP(C219,'Talente &amp; Stuff'!GX:HY,8,FALSE)</f>
        <v>0</v>
      </c>
      <c r="K219" s="113">
        <f>VLOOKUP(C219,'Talente &amp; Stuff'!GX:HY,9,FALSE)</f>
        <v>0</v>
      </c>
      <c r="L219" s="113">
        <f>VLOOKUP(C219,'Talente &amp; Stuff'!GX:HY,10,FALSE)</f>
        <v>0</v>
      </c>
      <c r="M219" s="119">
        <f>VLOOKUP(C219,'Talente &amp; Stuff'!GX:HY,11,FALSE)</f>
        <v>0</v>
      </c>
      <c r="N219" s="47">
        <f>VLOOKUP(C219,'Talente &amp; Stuff'!GX:HY,12,FALSE)</f>
        <v>0</v>
      </c>
      <c r="O219" s="47">
        <f>VLOOKUP(C219,'Talente &amp; Stuff'!GX:HY,13,FALSE)</f>
        <v>0</v>
      </c>
      <c r="P219" s="119">
        <f>VLOOKUP(C219,'Talente &amp; Stuff'!GX:HY,14,FALSE)</f>
        <v>0</v>
      </c>
      <c r="Q219" s="114">
        <f>VLOOKUP(C219,'Talente &amp; Stuff'!GX:HY,15,FALSE)</f>
        <v>0</v>
      </c>
      <c r="R219" s="113">
        <f>VLOOKUP(C219,'Talente &amp; Stuff'!GX:HY,16,FALSE)</f>
        <v>0</v>
      </c>
      <c r="S219" s="119">
        <f>VLOOKUP(C219,'Talente &amp; Stuff'!GX:HY,17,FALSE)</f>
        <v>0</v>
      </c>
      <c r="T219" s="119">
        <f>VLOOKUP(C219,'Talente &amp; Stuff'!GX:HY,18,FALSE)</f>
        <v>0</v>
      </c>
      <c r="U219" s="89">
        <f>VLOOKUP(C219,'Talente &amp; Stuff'!GX:HY,19,FALSE)</f>
        <v>0</v>
      </c>
      <c r="V219" s="47">
        <f>VLOOKUP(C219,'Talente &amp; Stuff'!GX:HY,20,FALSE)</f>
        <v>0</v>
      </c>
      <c r="W219" s="127">
        <f>VLOOKUP(C219,'Talente &amp; Stuff'!GX:HY,21,FALSE)</f>
        <v>0</v>
      </c>
      <c r="X219" s="127">
        <f>VLOOKUP(C219,'Talente &amp; Stuff'!GX:HY,22,FALSE)</f>
        <v>0</v>
      </c>
      <c r="Y219" s="165">
        <f t="shared" si="20"/>
        <v>0</v>
      </c>
      <c r="Z219" s="44">
        <f t="shared" si="21"/>
        <v>0</v>
      </c>
      <c r="AA219" s="125">
        <f>VLOOKUP(C219,'Talente &amp; Stuff'!GX:HY,25,FALSE)</f>
        <v>0</v>
      </c>
      <c r="AB219" s="160">
        <f>VLOOKUP(C219,'Talente &amp; Stuff'!GX:HY,26,FALSE)</f>
        <v>0</v>
      </c>
      <c r="AC219" s="127">
        <f>VLOOKUP(C219,'Talente &amp; Stuff'!GX:HY,27,FALSE)</f>
        <v>0</v>
      </c>
      <c r="AD219" s="125">
        <f>VLOOKUP(C219,'Talente &amp; Stuff'!GX:HY,28,FALSE)</f>
        <v>0</v>
      </c>
      <c r="AE219" s="28"/>
    </row>
    <row r="220" spans="2:31" ht="15" hidden="1" customHeight="1" outlineLevel="2">
      <c r="B220" s="148">
        <v>8</v>
      </c>
      <c r="C220" s="177" t="str">
        <f>Attribute!C220</f>
        <v>---</v>
      </c>
      <c r="D220" s="125" t="str">
        <f>VLOOKUP(C220,'Talente &amp; Stuff'!GX:HY,2,FALSE)</f>
        <v>--/--/--</v>
      </c>
      <c r="E220" s="127" t="str">
        <f>VLOOKUP(C220,'Talente &amp; Stuff'!GX:HY,3,FALSE)</f>
        <v>-</v>
      </c>
      <c r="F220" s="114">
        <f>VLOOKUP(C220,'Talente &amp; Stuff'!GX:HY,4,FALSE)</f>
        <v>0</v>
      </c>
      <c r="G220" s="113">
        <f>VLOOKUP(C220,'Talente &amp; Stuff'!GX:HY,5,FALSE)</f>
        <v>0</v>
      </c>
      <c r="H220" s="113">
        <f>VLOOKUP(C220,'Talente &amp; Stuff'!GX:HY,6,FALSE)</f>
        <v>0</v>
      </c>
      <c r="I220" s="113">
        <f>VLOOKUP(C220,'Talente &amp; Stuff'!GX:HY,7,FALSE)</f>
        <v>0</v>
      </c>
      <c r="J220" s="113">
        <f>VLOOKUP(C220,'Talente &amp; Stuff'!GX:HY,8,FALSE)</f>
        <v>0</v>
      </c>
      <c r="K220" s="113">
        <f>VLOOKUP(C220,'Talente &amp; Stuff'!GX:HY,9,FALSE)</f>
        <v>0</v>
      </c>
      <c r="L220" s="113">
        <f>VLOOKUP(C220,'Talente &amp; Stuff'!GX:HY,10,FALSE)</f>
        <v>0</v>
      </c>
      <c r="M220" s="119">
        <f>VLOOKUP(C220,'Talente &amp; Stuff'!GX:HY,11,FALSE)</f>
        <v>0</v>
      </c>
      <c r="N220" s="47">
        <f>VLOOKUP(C220,'Talente &amp; Stuff'!GX:HY,12,FALSE)</f>
        <v>0</v>
      </c>
      <c r="O220" s="47">
        <f>VLOOKUP(C220,'Talente &amp; Stuff'!GX:HY,13,FALSE)</f>
        <v>0</v>
      </c>
      <c r="P220" s="119">
        <f>VLOOKUP(C220,'Talente &amp; Stuff'!GX:HY,14,FALSE)</f>
        <v>0</v>
      </c>
      <c r="Q220" s="114">
        <f>VLOOKUP(C220,'Talente &amp; Stuff'!GX:HY,15,FALSE)</f>
        <v>0</v>
      </c>
      <c r="R220" s="113">
        <f>VLOOKUP(C220,'Talente &amp; Stuff'!GX:HY,16,FALSE)</f>
        <v>0</v>
      </c>
      <c r="S220" s="119">
        <f>VLOOKUP(C220,'Talente &amp; Stuff'!GX:HY,17,FALSE)</f>
        <v>0</v>
      </c>
      <c r="T220" s="119">
        <f>VLOOKUP(C220,'Talente &amp; Stuff'!GX:HY,18,FALSE)</f>
        <v>0</v>
      </c>
      <c r="U220" s="89">
        <f>VLOOKUP(C220,'Talente &amp; Stuff'!GX:HY,19,FALSE)</f>
        <v>0</v>
      </c>
      <c r="V220" s="47">
        <f>VLOOKUP(C220,'Talente &amp; Stuff'!GX:HY,20,FALSE)</f>
        <v>0</v>
      </c>
      <c r="W220" s="127">
        <f>VLOOKUP(C220,'Talente &amp; Stuff'!GX:HY,21,FALSE)</f>
        <v>0</v>
      </c>
      <c r="X220" s="127">
        <f>VLOOKUP(C220,'Talente &amp; Stuff'!GX:HY,22,FALSE)</f>
        <v>0</v>
      </c>
      <c r="Y220" s="165">
        <f t="shared" si="20"/>
        <v>0</v>
      </c>
      <c r="Z220" s="44">
        <f t="shared" si="21"/>
        <v>0</v>
      </c>
      <c r="AA220" s="125">
        <f>VLOOKUP(C220,'Talente &amp; Stuff'!GX:HY,25,FALSE)</f>
        <v>0</v>
      </c>
      <c r="AB220" s="160">
        <f>VLOOKUP(C220,'Talente &amp; Stuff'!GX:HY,26,FALSE)</f>
        <v>0</v>
      </c>
      <c r="AC220" s="127">
        <f>VLOOKUP(C220,'Talente &amp; Stuff'!GX:HY,27,FALSE)</f>
        <v>0</v>
      </c>
      <c r="AD220" s="125">
        <f>VLOOKUP(C220,'Talente &amp; Stuff'!GX:HY,28,FALSE)</f>
        <v>0</v>
      </c>
      <c r="AE220" s="28"/>
    </row>
    <row r="221" spans="2:31" ht="15" hidden="1" customHeight="1" outlineLevel="2">
      <c r="B221" s="148">
        <v>9</v>
      </c>
      <c r="C221" s="177" t="str">
        <f>Attribute!C221</f>
        <v>---</v>
      </c>
      <c r="D221" s="125" t="str">
        <f>VLOOKUP(C221,'Talente &amp; Stuff'!GX:HY,2,FALSE)</f>
        <v>--/--/--</v>
      </c>
      <c r="E221" s="127" t="str">
        <f>VLOOKUP(C221,'Talente &amp; Stuff'!GX:HY,3,FALSE)</f>
        <v>-</v>
      </c>
      <c r="F221" s="114">
        <f>VLOOKUP(C221,'Talente &amp; Stuff'!GX:HY,4,FALSE)</f>
        <v>0</v>
      </c>
      <c r="G221" s="113">
        <f>VLOOKUP(C221,'Talente &amp; Stuff'!GX:HY,5,FALSE)</f>
        <v>0</v>
      </c>
      <c r="H221" s="113">
        <f>VLOOKUP(C221,'Talente &amp; Stuff'!GX:HY,6,FALSE)</f>
        <v>0</v>
      </c>
      <c r="I221" s="113">
        <f>VLOOKUP(C221,'Talente &amp; Stuff'!GX:HY,7,FALSE)</f>
        <v>0</v>
      </c>
      <c r="J221" s="113">
        <f>VLOOKUP(C221,'Talente &amp; Stuff'!GX:HY,8,FALSE)</f>
        <v>0</v>
      </c>
      <c r="K221" s="113">
        <f>VLOOKUP(C221,'Talente &amp; Stuff'!GX:HY,9,FALSE)</f>
        <v>0</v>
      </c>
      <c r="L221" s="113">
        <f>VLOOKUP(C221,'Talente &amp; Stuff'!GX:HY,10,FALSE)</f>
        <v>0</v>
      </c>
      <c r="M221" s="119">
        <f>VLOOKUP(C221,'Talente &amp; Stuff'!GX:HY,11,FALSE)</f>
        <v>0</v>
      </c>
      <c r="N221" s="47">
        <f>VLOOKUP(C221,'Talente &amp; Stuff'!GX:HY,12,FALSE)</f>
        <v>0</v>
      </c>
      <c r="O221" s="47">
        <f>VLOOKUP(C221,'Talente &amp; Stuff'!GX:HY,13,FALSE)</f>
        <v>0</v>
      </c>
      <c r="P221" s="119">
        <f>VLOOKUP(C221,'Talente &amp; Stuff'!GX:HY,14,FALSE)</f>
        <v>0</v>
      </c>
      <c r="Q221" s="114">
        <f>VLOOKUP(C221,'Talente &amp; Stuff'!GX:HY,15,FALSE)</f>
        <v>0</v>
      </c>
      <c r="R221" s="113">
        <f>VLOOKUP(C221,'Talente &amp; Stuff'!GX:HY,16,FALSE)</f>
        <v>0</v>
      </c>
      <c r="S221" s="119">
        <f>VLOOKUP(C221,'Talente &amp; Stuff'!GX:HY,17,FALSE)</f>
        <v>0</v>
      </c>
      <c r="T221" s="119">
        <f>VLOOKUP(C221,'Talente &amp; Stuff'!GX:HY,18,FALSE)</f>
        <v>0</v>
      </c>
      <c r="U221" s="89">
        <f>VLOOKUP(C221,'Talente &amp; Stuff'!GX:HY,19,FALSE)</f>
        <v>0</v>
      </c>
      <c r="V221" s="47">
        <f>VLOOKUP(C221,'Talente &amp; Stuff'!GX:HY,20,FALSE)</f>
        <v>0</v>
      </c>
      <c r="W221" s="127">
        <f>VLOOKUP(C221,'Talente &amp; Stuff'!GX:HY,21,FALSE)</f>
        <v>0</v>
      </c>
      <c r="X221" s="127">
        <f>VLOOKUP(C221,'Talente &amp; Stuff'!GX:HY,22,FALSE)</f>
        <v>0</v>
      </c>
      <c r="Y221" s="165">
        <f t="shared" si="20"/>
        <v>0</v>
      </c>
      <c r="Z221" s="44">
        <f t="shared" si="21"/>
        <v>0</v>
      </c>
      <c r="AA221" s="125">
        <f>VLOOKUP(C221,'Talente &amp; Stuff'!GX:HY,25,FALSE)</f>
        <v>0</v>
      </c>
      <c r="AB221" s="160">
        <f>VLOOKUP(C221,'Talente &amp; Stuff'!GX:HY,26,FALSE)</f>
        <v>0</v>
      </c>
      <c r="AC221" s="127">
        <f>VLOOKUP(C221,'Talente &amp; Stuff'!GX:HY,27,FALSE)</f>
        <v>0</v>
      </c>
      <c r="AD221" s="125">
        <f>VLOOKUP(C221,'Talente &amp; Stuff'!GX:HY,28,FALSE)</f>
        <v>0</v>
      </c>
      <c r="AE221" s="28"/>
    </row>
    <row r="222" spans="2:31" ht="15" hidden="1" customHeight="1" outlineLevel="2">
      <c r="B222" s="148">
        <v>10</v>
      </c>
      <c r="C222" s="177" t="str">
        <f>Attribute!C222</f>
        <v>---</v>
      </c>
      <c r="D222" s="86" t="str">
        <f>VLOOKUP(C222,'Talente &amp; Stuff'!GX:HY,2,FALSE)</f>
        <v>--/--/--</v>
      </c>
      <c r="E222" s="167" t="str">
        <f>VLOOKUP(C222,'Talente &amp; Stuff'!GX:HY,3,FALSE)</f>
        <v>-</v>
      </c>
      <c r="F222" s="120">
        <f>VLOOKUP(C222,'Talente &amp; Stuff'!GX:HY,4,FALSE)</f>
        <v>0</v>
      </c>
      <c r="G222" s="117">
        <f>VLOOKUP(C222,'Talente &amp; Stuff'!GX:HY,5,FALSE)</f>
        <v>0</v>
      </c>
      <c r="H222" s="117">
        <f>VLOOKUP(C222,'Talente &amp; Stuff'!GX:HY,6,FALSE)</f>
        <v>0</v>
      </c>
      <c r="I222" s="117">
        <f>VLOOKUP(C222,'Talente &amp; Stuff'!GX:HY,7,FALSE)</f>
        <v>0</v>
      </c>
      <c r="J222" s="117">
        <f>VLOOKUP(C222,'Talente &amp; Stuff'!GX:HY,8,FALSE)</f>
        <v>0</v>
      </c>
      <c r="K222" s="117">
        <f>VLOOKUP(C222,'Talente &amp; Stuff'!GX:HY,9,FALSE)</f>
        <v>0</v>
      </c>
      <c r="L222" s="117">
        <f>VLOOKUP(C222,'Talente &amp; Stuff'!GX:HY,10,FALSE)</f>
        <v>0</v>
      </c>
      <c r="M222" s="121">
        <f>VLOOKUP(C222,'Talente &amp; Stuff'!GX:HY,11,FALSE)</f>
        <v>0</v>
      </c>
      <c r="N222" s="47">
        <f>VLOOKUP(C222,'Talente &amp; Stuff'!GX:HY,12,FALSE)</f>
        <v>0</v>
      </c>
      <c r="O222" s="3">
        <f>VLOOKUP(C222,'Talente &amp; Stuff'!GX:HY,13,FALSE)</f>
        <v>0</v>
      </c>
      <c r="P222" s="174">
        <f>VLOOKUP(C222,'Talente &amp; Stuff'!GX:HY,14,FALSE)</f>
        <v>0</v>
      </c>
      <c r="Q222" s="114">
        <f>VLOOKUP(C222,'Talente &amp; Stuff'!GX:HY,15,FALSE)</f>
        <v>0</v>
      </c>
      <c r="R222" s="117">
        <f>VLOOKUP(C222,'Talente &amp; Stuff'!GX:HY,16,FALSE)</f>
        <v>0</v>
      </c>
      <c r="S222" s="119">
        <f>VLOOKUP(C222,'Talente &amp; Stuff'!GX:HY,17,FALSE)</f>
        <v>0</v>
      </c>
      <c r="T222" s="119">
        <f>VLOOKUP(C222,'Talente &amp; Stuff'!GX:HY,18,FALSE)</f>
        <v>0</v>
      </c>
      <c r="U222" s="89">
        <f>VLOOKUP(C222,'Talente &amp; Stuff'!GX:HY,19,FALSE)</f>
        <v>0</v>
      </c>
      <c r="V222" s="47">
        <f>VLOOKUP(C222,'Talente &amp; Stuff'!GX:HY,20,FALSE)</f>
        <v>0</v>
      </c>
      <c r="W222" s="127">
        <f>VLOOKUP(C222,'Talente &amp; Stuff'!GX:HY,21,FALSE)</f>
        <v>0</v>
      </c>
      <c r="X222" s="127">
        <f>VLOOKUP(C222,'Talente &amp; Stuff'!GX:HY,22,FALSE)</f>
        <v>0</v>
      </c>
      <c r="Y222" s="165">
        <f t="shared" si="20"/>
        <v>0</v>
      </c>
      <c r="Z222" s="44">
        <f t="shared" si="21"/>
        <v>0</v>
      </c>
      <c r="AA222" s="125">
        <f>VLOOKUP(C222,'Talente &amp; Stuff'!GX:HY,25,FALSE)</f>
        <v>0</v>
      </c>
      <c r="AB222" s="160">
        <f>VLOOKUP(C222,'Talente &amp; Stuff'!GX:HY,26,FALSE)</f>
        <v>0</v>
      </c>
      <c r="AC222" s="127">
        <f>VLOOKUP(C222,'Talente &amp; Stuff'!GX:HY,27,FALSE)</f>
        <v>0</v>
      </c>
      <c r="AD222" s="125">
        <f>VLOOKUP(C222,'Talente &amp; Stuff'!GX:HY,28,FALSE)</f>
        <v>0</v>
      </c>
      <c r="AE222" s="28"/>
    </row>
    <row r="223" spans="2:31" ht="15" hidden="1" customHeight="1" outlineLevel="2">
      <c r="B223" s="148">
        <v>11</v>
      </c>
      <c r="C223" s="177" t="str">
        <f>Attribute!C223</f>
        <v>---</v>
      </c>
      <c r="D223" s="86" t="str">
        <f>VLOOKUP(C223,'Talente &amp; Stuff'!GX:HY,2,FALSE)</f>
        <v>--/--/--</v>
      </c>
      <c r="E223" s="167" t="str">
        <f>VLOOKUP(C223,'Talente &amp; Stuff'!GX:HY,3,FALSE)</f>
        <v>-</v>
      </c>
      <c r="F223" s="120">
        <f>VLOOKUP(C223,'Talente &amp; Stuff'!GX:HY,4,FALSE)</f>
        <v>0</v>
      </c>
      <c r="G223" s="117">
        <f>VLOOKUP(C223,'Talente &amp; Stuff'!GX:HY,5,FALSE)</f>
        <v>0</v>
      </c>
      <c r="H223" s="117">
        <f>VLOOKUP(C223,'Talente &amp; Stuff'!GX:HY,6,FALSE)</f>
        <v>0</v>
      </c>
      <c r="I223" s="117">
        <f>VLOOKUP(C223,'Talente &amp; Stuff'!GX:HY,7,FALSE)</f>
        <v>0</v>
      </c>
      <c r="J223" s="117">
        <f>VLOOKUP(C223,'Talente &amp; Stuff'!GX:HY,8,FALSE)</f>
        <v>0</v>
      </c>
      <c r="K223" s="117">
        <f>VLOOKUP(C223,'Talente &amp; Stuff'!GX:HY,9,FALSE)</f>
        <v>0</v>
      </c>
      <c r="L223" s="117">
        <f>VLOOKUP(C223,'Talente &amp; Stuff'!GX:HY,10,FALSE)</f>
        <v>0</v>
      </c>
      <c r="M223" s="121">
        <f>VLOOKUP(C223,'Talente &amp; Stuff'!GX:HY,11,FALSE)</f>
        <v>0</v>
      </c>
      <c r="N223" s="47">
        <f>VLOOKUP(C223,'Talente &amp; Stuff'!GX:HY,12,FALSE)</f>
        <v>0</v>
      </c>
      <c r="O223" s="3">
        <f>VLOOKUP(C223,'Talente &amp; Stuff'!GX:HY,13,FALSE)</f>
        <v>0</v>
      </c>
      <c r="P223" s="174">
        <f>VLOOKUP(C223,'Talente &amp; Stuff'!GX:HY,14,FALSE)</f>
        <v>0</v>
      </c>
      <c r="Q223" s="114">
        <f>VLOOKUP(C223,'Talente &amp; Stuff'!GX:HY,15,FALSE)</f>
        <v>0</v>
      </c>
      <c r="R223" s="117">
        <f>VLOOKUP(C223,'Talente &amp; Stuff'!GX:HY,16,FALSE)</f>
        <v>0</v>
      </c>
      <c r="S223" s="119">
        <f>VLOOKUP(C223,'Talente &amp; Stuff'!GX:HY,17,FALSE)</f>
        <v>0</v>
      </c>
      <c r="T223" s="119">
        <f>VLOOKUP(C223,'Talente &amp; Stuff'!GX:HY,18,FALSE)</f>
        <v>0</v>
      </c>
      <c r="U223" s="89">
        <f>VLOOKUP(C223,'Talente &amp; Stuff'!GX:HY,19,FALSE)</f>
        <v>0</v>
      </c>
      <c r="V223" s="47">
        <f>VLOOKUP(C223,'Talente &amp; Stuff'!GX:HY,20,FALSE)</f>
        <v>0</v>
      </c>
      <c r="W223" s="127">
        <f>VLOOKUP(C223,'Talente &amp; Stuff'!GX:HY,21,FALSE)</f>
        <v>0</v>
      </c>
      <c r="X223" s="127">
        <f>VLOOKUP(C223,'Talente &amp; Stuff'!GX:HY,22,FALSE)</f>
        <v>0</v>
      </c>
      <c r="Y223" s="165">
        <f t="shared" si="20"/>
        <v>0</v>
      </c>
      <c r="Z223" s="44">
        <f t="shared" si="21"/>
        <v>0</v>
      </c>
      <c r="AA223" s="125">
        <f>VLOOKUP(C223,'Talente &amp; Stuff'!GX:HY,25,FALSE)</f>
        <v>0</v>
      </c>
      <c r="AB223" s="160">
        <f>VLOOKUP(C223,'Talente &amp; Stuff'!GX:HY,26,FALSE)</f>
        <v>0</v>
      </c>
      <c r="AC223" s="127">
        <f>VLOOKUP(C223,'Talente &amp; Stuff'!GX:HY,27,FALSE)</f>
        <v>0</v>
      </c>
      <c r="AD223" s="125">
        <f>VLOOKUP(C223,'Talente &amp; Stuff'!GX:HY,28,FALSE)</f>
        <v>0</v>
      </c>
      <c r="AE223" s="28"/>
    </row>
    <row r="224" spans="2:31" ht="15" hidden="1" customHeight="1" outlineLevel="2">
      <c r="B224" s="148">
        <v>12</v>
      </c>
      <c r="C224" s="177" t="str">
        <f>Attribute!C224</f>
        <v>---</v>
      </c>
      <c r="D224" s="86" t="str">
        <f>VLOOKUP(C224,'Talente &amp; Stuff'!GX:HY,2,FALSE)</f>
        <v>--/--/--</v>
      </c>
      <c r="E224" s="167" t="str">
        <f>VLOOKUP(C224,'Talente &amp; Stuff'!GX:HY,3,FALSE)</f>
        <v>-</v>
      </c>
      <c r="F224" s="120">
        <f>VLOOKUP(C224,'Talente &amp; Stuff'!GX:HY,4,FALSE)</f>
        <v>0</v>
      </c>
      <c r="G224" s="117">
        <f>VLOOKUP(C224,'Talente &amp; Stuff'!GX:HY,5,FALSE)</f>
        <v>0</v>
      </c>
      <c r="H224" s="117">
        <f>VLOOKUP(C224,'Talente &amp; Stuff'!GX:HY,6,FALSE)</f>
        <v>0</v>
      </c>
      <c r="I224" s="117">
        <f>VLOOKUP(C224,'Talente &amp; Stuff'!GX:HY,7,FALSE)</f>
        <v>0</v>
      </c>
      <c r="J224" s="117">
        <f>VLOOKUP(C224,'Talente &amp; Stuff'!GX:HY,8,FALSE)</f>
        <v>0</v>
      </c>
      <c r="K224" s="117">
        <f>VLOOKUP(C224,'Talente &amp; Stuff'!GX:HY,9,FALSE)</f>
        <v>0</v>
      </c>
      <c r="L224" s="117">
        <f>VLOOKUP(C224,'Talente &amp; Stuff'!GX:HY,10,FALSE)</f>
        <v>0</v>
      </c>
      <c r="M224" s="121">
        <f>VLOOKUP(C224,'Talente &amp; Stuff'!GX:HY,11,FALSE)</f>
        <v>0</v>
      </c>
      <c r="N224" s="47">
        <f>VLOOKUP(C224,'Talente &amp; Stuff'!GX:HY,12,FALSE)</f>
        <v>0</v>
      </c>
      <c r="O224" s="3">
        <f>VLOOKUP(C224,'Talente &amp; Stuff'!GX:HY,13,FALSE)</f>
        <v>0</v>
      </c>
      <c r="P224" s="174">
        <f>VLOOKUP(C224,'Talente &amp; Stuff'!GX:HY,14,FALSE)</f>
        <v>0</v>
      </c>
      <c r="Q224" s="114">
        <f>VLOOKUP(C224,'Talente &amp; Stuff'!GX:HY,15,FALSE)</f>
        <v>0</v>
      </c>
      <c r="R224" s="117">
        <f>VLOOKUP(C224,'Talente &amp; Stuff'!GX:HY,16,FALSE)</f>
        <v>0</v>
      </c>
      <c r="S224" s="119">
        <f>VLOOKUP(C224,'Talente &amp; Stuff'!GX:HY,17,FALSE)</f>
        <v>0</v>
      </c>
      <c r="T224" s="119">
        <f>VLOOKUP(C224,'Talente &amp; Stuff'!GX:HY,18,FALSE)</f>
        <v>0</v>
      </c>
      <c r="U224" s="89">
        <f>VLOOKUP(C224,'Talente &amp; Stuff'!GX:HY,19,FALSE)</f>
        <v>0</v>
      </c>
      <c r="V224" s="47">
        <f>VLOOKUP(C224,'Talente &amp; Stuff'!GX:HY,20,FALSE)</f>
        <v>0</v>
      </c>
      <c r="W224" s="127">
        <f>VLOOKUP(C224,'Talente &amp; Stuff'!GX:HY,21,FALSE)</f>
        <v>0</v>
      </c>
      <c r="X224" s="127">
        <f>VLOOKUP(C224,'Talente &amp; Stuff'!GX:HY,22,FALSE)</f>
        <v>0</v>
      </c>
      <c r="Y224" s="165">
        <f t="shared" si="20"/>
        <v>0</v>
      </c>
      <c r="Z224" s="44">
        <f t="shared" si="21"/>
        <v>0</v>
      </c>
      <c r="AA224" s="125">
        <f>VLOOKUP(C224,'Talente &amp; Stuff'!GX:HY,25,FALSE)</f>
        <v>0</v>
      </c>
      <c r="AB224" s="160">
        <f>VLOOKUP(C224,'Talente &amp; Stuff'!GX:HY,26,FALSE)</f>
        <v>0</v>
      </c>
      <c r="AC224" s="127">
        <f>VLOOKUP(C224,'Talente &amp; Stuff'!GX:HY,27,FALSE)</f>
        <v>0</v>
      </c>
      <c r="AD224" s="125">
        <f>VLOOKUP(C224,'Talente &amp; Stuff'!GX:HY,28,FALSE)</f>
        <v>0</v>
      </c>
      <c r="AE224" s="28"/>
    </row>
    <row r="225" spans="2:31" ht="15" hidden="1" customHeight="1" outlineLevel="2">
      <c r="B225" s="148">
        <v>13</v>
      </c>
      <c r="C225" s="177" t="str">
        <f>Attribute!C225</f>
        <v>---</v>
      </c>
      <c r="D225" s="86" t="str">
        <f>VLOOKUP(C225,'Talente &amp; Stuff'!GX:HY,2,FALSE)</f>
        <v>--/--/--</v>
      </c>
      <c r="E225" s="167" t="str">
        <f>VLOOKUP(C225,'Talente &amp; Stuff'!GX:HY,3,FALSE)</f>
        <v>-</v>
      </c>
      <c r="F225" s="120">
        <f>VLOOKUP(C225,'Talente &amp; Stuff'!GX:HY,4,FALSE)</f>
        <v>0</v>
      </c>
      <c r="G225" s="117">
        <f>VLOOKUP(C225,'Talente &amp; Stuff'!GX:HY,5,FALSE)</f>
        <v>0</v>
      </c>
      <c r="H225" s="117">
        <f>VLOOKUP(C225,'Talente &amp; Stuff'!GX:HY,6,FALSE)</f>
        <v>0</v>
      </c>
      <c r="I225" s="117">
        <f>VLOOKUP(C225,'Talente &amp; Stuff'!GX:HY,7,FALSE)</f>
        <v>0</v>
      </c>
      <c r="J225" s="117">
        <f>VLOOKUP(C225,'Talente &amp; Stuff'!GX:HY,8,FALSE)</f>
        <v>0</v>
      </c>
      <c r="K225" s="117">
        <f>VLOOKUP(C225,'Talente &amp; Stuff'!GX:HY,9,FALSE)</f>
        <v>0</v>
      </c>
      <c r="L225" s="117">
        <f>VLOOKUP(C225,'Talente &amp; Stuff'!GX:HY,10,FALSE)</f>
        <v>0</v>
      </c>
      <c r="M225" s="121">
        <f>VLOOKUP(C225,'Talente &amp; Stuff'!GX:HY,11,FALSE)</f>
        <v>0</v>
      </c>
      <c r="N225" s="47">
        <f>VLOOKUP(C225,'Talente &amp; Stuff'!GX:HY,12,FALSE)</f>
        <v>0</v>
      </c>
      <c r="O225" s="3">
        <f>VLOOKUP(C225,'Talente &amp; Stuff'!GX:HY,13,FALSE)</f>
        <v>0</v>
      </c>
      <c r="P225" s="174">
        <f>VLOOKUP(C225,'Talente &amp; Stuff'!GX:HY,14,FALSE)</f>
        <v>0</v>
      </c>
      <c r="Q225" s="114">
        <f>VLOOKUP(C225,'Talente &amp; Stuff'!GX:HY,15,FALSE)</f>
        <v>0</v>
      </c>
      <c r="R225" s="117">
        <f>VLOOKUP(C225,'Talente &amp; Stuff'!GX:HY,16,FALSE)</f>
        <v>0</v>
      </c>
      <c r="S225" s="119">
        <f>VLOOKUP(C225,'Talente &amp; Stuff'!GX:HY,17,FALSE)</f>
        <v>0</v>
      </c>
      <c r="T225" s="119">
        <f>VLOOKUP(C225,'Talente &amp; Stuff'!GX:HY,18,FALSE)</f>
        <v>0</v>
      </c>
      <c r="U225" s="89">
        <f>VLOOKUP(C225,'Talente &amp; Stuff'!GX:HY,19,FALSE)</f>
        <v>0</v>
      </c>
      <c r="V225" s="47">
        <f>VLOOKUP(C225,'Talente &amp; Stuff'!GX:HY,20,FALSE)</f>
        <v>0</v>
      </c>
      <c r="W225" s="127">
        <f>VLOOKUP(C225,'Talente &amp; Stuff'!GX:HY,21,FALSE)</f>
        <v>0</v>
      </c>
      <c r="X225" s="127">
        <f>VLOOKUP(C225,'Talente &amp; Stuff'!GX:HY,22,FALSE)</f>
        <v>0</v>
      </c>
      <c r="Y225" s="165">
        <f t="shared" si="20"/>
        <v>0</v>
      </c>
      <c r="Z225" s="44">
        <f t="shared" si="21"/>
        <v>0</v>
      </c>
      <c r="AA225" s="125">
        <f>VLOOKUP(C225,'Talente &amp; Stuff'!GX:HY,25,FALSE)</f>
        <v>0</v>
      </c>
      <c r="AB225" s="160">
        <f>VLOOKUP(C225,'Talente &amp; Stuff'!GX:HY,26,FALSE)</f>
        <v>0</v>
      </c>
      <c r="AC225" s="127">
        <f>VLOOKUP(C225,'Talente &amp; Stuff'!GX:HY,27,FALSE)</f>
        <v>0</v>
      </c>
      <c r="AD225" s="125">
        <f>VLOOKUP(C225,'Talente &amp; Stuff'!GX:HY,28,FALSE)</f>
        <v>0</v>
      </c>
      <c r="AE225" s="28"/>
    </row>
    <row r="226" spans="2:31" ht="15" hidden="1" customHeight="1" outlineLevel="2">
      <c r="B226" s="148">
        <v>14</v>
      </c>
      <c r="C226" s="177" t="str">
        <f>Attribute!C226</f>
        <v>---</v>
      </c>
      <c r="D226" s="86" t="str">
        <f>VLOOKUP(C226,'Talente &amp; Stuff'!GX:HY,2,FALSE)</f>
        <v>--/--/--</v>
      </c>
      <c r="E226" s="167" t="str">
        <f>VLOOKUP(C226,'Talente &amp; Stuff'!GX:HY,3,FALSE)</f>
        <v>-</v>
      </c>
      <c r="F226" s="120">
        <f>VLOOKUP(C226,'Talente &amp; Stuff'!GX:HY,4,FALSE)</f>
        <v>0</v>
      </c>
      <c r="G226" s="117">
        <f>VLOOKUP(C226,'Talente &amp; Stuff'!GX:HY,5,FALSE)</f>
        <v>0</v>
      </c>
      <c r="H226" s="117">
        <f>VLOOKUP(C226,'Talente &amp; Stuff'!GX:HY,6,FALSE)</f>
        <v>0</v>
      </c>
      <c r="I226" s="117">
        <f>VLOOKUP(C226,'Talente &amp; Stuff'!GX:HY,7,FALSE)</f>
        <v>0</v>
      </c>
      <c r="J226" s="117">
        <f>VLOOKUP(C226,'Talente &amp; Stuff'!GX:HY,8,FALSE)</f>
        <v>0</v>
      </c>
      <c r="K226" s="117">
        <f>VLOOKUP(C226,'Talente &amp; Stuff'!GX:HY,9,FALSE)</f>
        <v>0</v>
      </c>
      <c r="L226" s="117">
        <f>VLOOKUP(C226,'Talente &amp; Stuff'!GX:HY,10,FALSE)</f>
        <v>0</v>
      </c>
      <c r="M226" s="121">
        <f>VLOOKUP(C226,'Talente &amp; Stuff'!GX:HY,11,FALSE)</f>
        <v>0</v>
      </c>
      <c r="N226" s="47">
        <f>VLOOKUP(C226,'Talente &amp; Stuff'!GX:HY,12,FALSE)</f>
        <v>0</v>
      </c>
      <c r="O226" s="3">
        <f>VLOOKUP(C226,'Talente &amp; Stuff'!GX:HY,13,FALSE)</f>
        <v>0</v>
      </c>
      <c r="P226" s="174">
        <f>VLOOKUP(C226,'Talente &amp; Stuff'!GX:HY,14,FALSE)</f>
        <v>0</v>
      </c>
      <c r="Q226" s="114">
        <f>VLOOKUP(C226,'Talente &amp; Stuff'!GX:HY,15,FALSE)</f>
        <v>0</v>
      </c>
      <c r="R226" s="117">
        <f>VLOOKUP(C226,'Talente &amp; Stuff'!GX:HY,16,FALSE)</f>
        <v>0</v>
      </c>
      <c r="S226" s="119">
        <f>VLOOKUP(C226,'Talente &amp; Stuff'!GX:HY,17,FALSE)</f>
        <v>0</v>
      </c>
      <c r="T226" s="119">
        <f>VLOOKUP(C226,'Talente &amp; Stuff'!GX:HY,18,FALSE)</f>
        <v>0</v>
      </c>
      <c r="U226" s="89">
        <f>VLOOKUP(C226,'Talente &amp; Stuff'!GX:HY,19,FALSE)</f>
        <v>0</v>
      </c>
      <c r="V226" s="47">
        <f>VLOOKUP(C226,'Talente &amp; Stuff'!GX:HY,20,FALSE)</f>
        <v>0</v>
      </c>
      <c r="W226" s="127">
        <f>VLOOKUP(C226,'Talente &amp; Stuff'!GX:HY,21,FALSE)</f>
        <v>0</v>
      </c>
      <c r="X226" s="127">
        <f>VLOOKUP(C226,'Talente &amp; Stuff'!GX:HY,22,FALSE)</f>
        <v>0</v>
      </c>
      <c r="Y226" s="165">
        <f t="shared" si="20"/>
        <v>0</v>
      </c>
      <c r="Z226" s="44">
        <f t="shared" si="21"/>
        <v>0</v>
      </c>
      <c r="AA226" s="125">
        <f>VLOOKUP(C226,'Talente &amp; Stuff'!GX:HY,25,FALSE)</f>
        <v>0</v>
      </c>
      <c r="AB226" s="160">
        <f>VLOOKUP(C226,'Talente &amp; Stuff'!GX:HY,26,FALSE)</f>
        <v>0</v>
      </c>
      <c r="AC226" s="127">
        <f>VLOOKUP(C226,'Talente &amp; Stuff'!GX:HY,27,FALSE)</f>
        <v>0</v>
      </c>
      <c r="AD226" s="125">
        <f>VLOOKUP(C226,'Talente &amp; Stuff'!GX:HY,28,FALSE)</f>
        <v>0</v>
      </c>
      <c r="AE226" s="28"/>
    </row>
    <row r="227" spans="2:31" ht="15" hidden="1" customHeight="1" outlineLevel="2">
      <c r="B227" s="148">
        <v>15</v>
      </c>
      <c r="C227" s="177" t="str">
        <f>Attribute!C227</f>
        <v>---</v>
      </c>
      <c r="D227" s="86" t="str">
        <f>VLOOKUP(C227,'Talente &amp; Stuff'!GX:HY,2,FALSE)</f>
        <v>--/--/--</v>
      </c>
      <c r="E227" s="167" t="str">
        <f>VLOOKUP(C227,'Talente &amp; Stuff'!GX:HY,3,FALSE)</f>
        <v>-</v>
      </c>
      <c r="F227" s="120">
        <f>VLOOKUP(C227,'Talente &amp; Stuff'!GX:HY,4,FALSE)</f>
        <v>0</v>
      </c>
      <c r="G227" s="117">
        <f>VLOOKUP(C227,'Talente &amp; Stuff'!GX:HY,5,FALSE)</f>
        <v>0</v>
      </c>
      <c r="H227" s="117">
        <f>VLOOKUP(C227,'Talente &amp; Stuff'!GX:HY,6,FALSE)</f>
        <v>0</v>
      </c>
      <c r="I227" s="117">
        <f>VLOOKUP(C227,'Talente &amp; Stuff'!GX:HY,7,FALSE)</f>
        <v>0</v>
      </c>
      <c r="J227" s="117">
        <f>VLOOKUP(C227,'Talente &amp; Stuff'!GX:HY,8,FALSE)</f>
        <v>0</v>
      </c>
      <c r="K227" s="117">
        <f>VLOOKUP(C227,'Talente &amp; Stuff'!GX:HY,9,FALSE)</f>
        <v>0</v>
      </c>
      <c r="L227" s="117">
        <f>VLOOKUP(C227,'Talente &amp; Stuff'!GX:HY,10,FALSE)</f>
        <v>0</v>
      </c>
      <c r="M227" s="121">
        <f>VLOOKUP(C227,'Talente &amp; Stuff'!GX:HY,11,FALSE)</f>
        <v>0</v>
      </c>
      <c r="N227" s="47">
        <f>VLOOKUP(C227,'Talente &amp; Stuff'!GX:HY,12,FALSE)</f>
        <v>0</v>
      </c>
      <c r="O227" s="3">
        <f>VLOOKUP(C227,'Talente &amp; Stuff'!GX:HY,13,FALSE)</f>
        <v>0</v>
      </c>
      <c r="P227" s="174">
        <f>VLOOKUP(C227,'Talente &amp; Stuff'!GX:HY,14,FALSE)</f>
        <v>0</v>
      </c>
      <c r="Q227" s="114">
        <f>VLOOKUP(C227,'Talente &amp; Stuff'!GX:HY,15,FALSE)</f>
        <v>0</v>
      </c>
      <c r="R227" s="117">
        <f>VLOOKUP(C227,'Talente &amp; Stuff'!GX:HY,16,FALSE)</f>
        <v>0</v>
      </c>
      <c r="S227" s="119">
        <f>VLOOKUP(C227,'Talente &amp; Stuff'!GX:HY,17,FALSE)</f>
        <v>0</v>
      </c>
      <c r="T227" s="119">
        <f>VLOOKUP(C227,'Talente &amp; Stuff'!GX:HY,18,FALSE)</f>
        <v>0</v>
      </c>
      <c r="U227" s="89">
        <f>VLOOKUP(C227,'Talente &amp; Stuff'!GX:HY,19,FALSE)</f>
        <v>0</v>
      </c>
      <c r="V227" s="47">
        <f>VLOOKUP(C227,'Talente &amp; Stuff'!GX:HY,20,FALSE)</f>
        <v>0</v>
      </c>
      <c r="W227" s="127">
        <f>VLOOKUP(C227,'Talente &amp; Stuff'!GX:HY,21,FALSE)</f>
        <v>0</v>
      </c>
      <c r="X227" s="127">
        <f>VLOOKUP(C227,'Talente &amp; Stuff'!GX:HY,22,FALSE)</f>
        <v>0</v>
      </c>
      <c r="Y227" s="165">
        <f t="shared" si="20"/>
        <v>0</v>
      </c>
      <c r="Z227" s="44">
        <f t="shared" si="21"/>
        <v>0</v>
      </c>
      <c r="AA227" s="125">
        <f>VLOOKUP(C227,'Talente &amp; Stuff'!GX:HY,25,FALSE)</f>
        <v>0</v>
      </c>
      <c r="AB227" s="160">
        <f>VLOOKUP(C227,'Talente &amp; Stuff'!GX:HY,26,FALSE)</f>
        <v>0</v>
      </c>
      <c r="AC227" s="127">
        <f>VLOOKUP(C227,'Talente &amp; Stuff'!GX:HY,27,FALSE)</f>
        <v>0</v>
      </c>
      <c r="AD227" s="125">
        <f>VLOOKUP(C227,'Talente &amp; Stuff'!GX:HY,28,FALSE)</f>
        <v>0</v>
      </c>
      <c r="AE227" s="28"/>
    </row>
    <row r="228" spans="2:31" ht="15" hidden="1" customHeight="1" outlineLevel="2">
      <c r="B228" s="148">
        <v>16</v>
      </c>
      <c r="C228" s="177" t="str">
        <f>Attribute!C228</f>
        <v>---</v>
      </c>
      <c r="D228" s="86" t="str">
        <f>VLOOKUP(C228,'Talente &amp; Stuff'!GX:HY,2,FALSE)</f>
        <v>--/--/--</v>
      </c>
      <c r="E228" s="167" t="str">
        <f>VLOOKUP(C228,'Talente &amp; Stuff'!GX:HY,3,FALSE)</f>
        <v>-</v>
      </c>
      <c r="F228" s="120">
        <f>VLOOKUP(C228,'Talente &amp; Stuff'!GX:HY,4,FALSE)</f>
        <v>0</v>
      </c>
      <c r="G228" s="117">
        <f>VLOOKUP(C228,'Talente &amp; Stuff'!GX:HY,5,FALSE)</f>
        <v>0</v>
      </c>
      <c r="H228" s="117">
        <f>VLOOKUP(C228,'Talente &amp; Stuff'!GX:HY,6,FALSE)</f>
        <v>0</v>
      </c>
      <c r="I228" s="117">
        <f>VLOOKUP(C228,'Talente &amp; Stuff'!GX:HY,7,FALSE)</f>
        <v>0</v>
      </c>
      <c r="J228" s="117">
        <f>VLOOKUP(C228,'Talente &amp; Stuff'!GX:HY,8,FALSE)</f>
        <v>0</v>
      </c>
      <c r="K228" s="117">
        <f>VLOOKUP(C228,'Talente &amp; Stuff'!GX:HY,9,FALSE)</f>
        <v>0</v>
      </c>
      <c r="L228" s="117">
        <f>VLOOKUP(C228,'Talente &amp; Stuff'!GX:HY,10,FALSE)</f>
        <v>0</v>
      </c>
      <c r="M228" s="121">
        <f>VLOOKUP(C228,'Talente &amp; Stuff'!GX:HY,11,FALSE)</f>
        <v>0</v>
      </c>
      <c r="N228" s="47">
        <f>VLOOKUP(C228,'Talente &amp; Stuff'!GX:HY,12,FALSE)</f>
        <v>0</v>
      </c>
      <c r="O228" s="3">
        <f>VLOOKUP(C228,'Talente &amp; Stuff'!GX:HY,13,FALSE)</f>
        <v>0</v>
      </c>
      <c r="P228" s="174">
        <f>VLOOKUP(C228,'Talente &amp; Stuff'!GX:HY,14,FALSE)</f>
        <v>0</v>
      </c>
      <c r="Q228" s="114">
        <f>VLOOKUP(C228,'Talente &amp; Stuff'!GX:HY,15,FALSE)</f>
        <v>0</v>
      </c>
      <c r="R228" s="117">
        <f>VLOOKUP(C228,'Talente &amp; Stuff'!GX:HY,16,FALSE)</f>
        <v>0</v>
      </c>
      <c r="S228" s="119">
        <f>VLOOKUP(C228,'Talente &amp; Stuff'!GX:HY,17,FALSE)</f>
        <v>0</v>
      </c>
      <c r="T228" s="119">
        <f>VLOOKUP(C228,'Talente &amp; Stuff'!GX:HY,18,FALSE)</f>
        <v>0</v>
      </c>
      <c r="U228" s="89">
        <f>VLOOKUP(C228,'Talente &amp; Stuff'!GX:HY,19,FALSE)</f>
        <v>0</v>
      </c>
      <c r="V228" s="47">
        <f>VLOOKUP(C228,'Talente &amp; Stuff'!GX:HY,20,FALSE)</f>
        <v>0</v>
      </c>
      <c r="W228" s="127">
        <f>VLOOKUP(C228,'Talente &amp; Stuff'!GX:HY,21,FALSE)</f>
        <v>0</v>
      </c>
      <c r="X228" s="127">
        <f>VLOOKUP(C228,'Talente &amp; Stuff'!GX:HY,22,FALSE)</f>
        <v>0</v>
      </c>
      <c r="Y228" s="165">
        <f t="shared" si="20"/>
        <v>0</v>
      </c>
      <c r="Z228" s="44">
        <f t="shared" si="21"/>
        <v>0</v>
      </c>
      <c r="AA228" s="125">
        <f>VLOOKUP(C228,'Talente &amp; Stuff'!GX:HY,25,FALSE)</f>
        <v>0</v>
      </c>
      <c r="AB228" s="160">
        <f>VLOOKUP(C228,'Talente &amp; Stuff'!GX:HY,26,FALSE)</f>
        <v>0</v>
      </c>
      <c r="AC228" s="127">
        <f>VLOOKUP(C228,'Talente &amp; Stuff'!GX:HY,27,FALSE)</f>
        <v>0</v>
      </c>
      <c r="AD228" s="125">
        <f>VLOOKUP(C228,'Talente &amp; Stuff'!GX:HY,28,FALSE)</f>
        <v>0</v>
      </c>
      <c r="AE228" s="28"/>
    </row>
    <row r="229" spans="2:31" ht="15" hidden="1" customHeight="1" outlineLevel="2">
      <c r="B229" s="148">
        <v>17</v>
      </c>
      <c r="C229" s="177" t="str">
        <f>Attribute!C229</f>
        <v>---</v>
      </c>
      <c r="D229" s="86" t="str">
        <f>VLOOKUP(C229,'Talente &amp; Stuff'!GX:HY,2,FALSE)</f>
        <v>--/--/--</v>
      </c>
      <c r="E229" s="167" t="str">
        <f>VLOOKUP(C229,'Talente &amp; Stuff'!GX:HY,3,FALSE)</f>
        <v>-</v>
      </c>
      <c r="F229" s="120">
        <f>VLOOKUP(C229,'Talente &amp; Stuff'!GX:HY,4,FALSE)</f>
        <v>0</v>
      </c>
      <c r="G229" s="117">
        <f>VLOOKUP(C229,'Talente &amp; Stuff'!GX:HY,5,FALSE)</f>
        <v>0</v>
      </c>
      <c r="H229" s="117">
        <f>VLOOKUP(C229,'Talente &amp; Stuff'!GX:HY,6,FALSE)</f>
        <v>0</v>
      </c>
      <c r="I229" s="117">
        <f>VLOOKUP(C229,'Talente &amp; Stuff'!GX:HY,7,FALSE)</f>
        <v>0</v>
      </c>
      <c r="J229" s="117">
        <f>VLOOKUP(C229,'Talente &amp; Stuff'!GX:HY,8,FALSE)</f>
        <v>0</v>
      </c>
      <c r="K229" s="117">
        <f>VLOOKUP(C229,'Talente &amp; Stuff'!GX:HY,9,FALSE)</f>
        <v>0</v>
      </c>
      <c r="L229" s="117">
        <f>VLOOKUP(C229,'Talente &amp; Stuff'!GX:HY,10,FALSE)</f>
        <v>0</v>
      </c>
      <c r="M229" s="121">
        <f>VLOOKUP(C229,'Talente &amp; Stuff'!GX:HY,11,FALSE)</f>
        <v>0</v>
      </c>
      <c r="N229" s="47">
        <f>VLOOKUP(C229,'Talente &amp; Stuff'!GX:HY,12,FALSE)</f>
        <v>0</v>
      </c>
      <c r="O229" s="3">
        <f>VLOOKUP(C229,'Talente &amp; Stuff'!GX:HY,13,FALSE)</f>
        <v>0</v>
      </c>
      <c r="P229" s="174">
        <f>VLOOKUP(C229,'Talente &amp; Stuff'!GX:HY,14,FALSE)</f>
        <v>0</v>
      </c>
      <c r="Q229" s="114">
        <f>VLOOKUP(C229,'Talente &amp; Stuff'!GX:HY,15,FALSE)</f>
        <v>0</v>
      </c>
      <c r="R229" s="117">
        <f>VLOOKUP(C229,'Talente &amp; Stuff'!GX:HY,16,FALSE)</f>
        <v>0</v>
      </c>
      <c r="S229" s="119">
        <f>VLOOKUP(C229,'Talente &amp; Stuff'!GX:HY,17,FALSE)</f>
        <v>0</v>
      </c>
      <c r="T229" s="119">
        <f>VLOOKUP(C229,'Talente &amp; Stuff'!GX:HY,18,FALSE)</f>
        <v>0</v>
      </c>
      <c r="U229" s="89">
        <f>VLOOKUP(C229,'Talente &amp; Stuff'!GX:HY,19,FALSE)</f>
        <v>0</v>
      </c>
      <c r="V229" s="47">
        <f>VLOOKUP(C229,'Talente &amp; Stuff'!GX:HY,20,FALSE)</f>
        <v>0</v>
      </c>
      <c r="W229" s="127">
        <f>VLOOKUP(C229,'Talente &amp; Stuff'!GX:HY,21,FALSE)</f>
        <v>0</v>
      </c>
      <c r="X229" s="127">
        <f>VLOOKUP(C229,'Talente &amp; Stuff'!GX:HY,22,FALSE)</f>
        <v>0</v>
      </c>
      <c r="Y229" s="165">
        <f t="shared" si="20"/>
        <v>0</v>
      </c>
      <c r="Z229" s="44">
        <f t="shared" si="21"/>
        <v>0</v>
      </c>
      <c r="AA229" s="125">
        <f>VLOOKUP(C229,'Talente &amp; Stuff'!GX:HY,25,FALSE)</f>
        <v>0</v>
      </c>
      <c r="AB229" s="160">
        <f>VLOOKUP(C229,'Talente &amp; Stuff'!GX:HY,26,FALSE)</f>
        <v>0</v>
      </c>
      <c r="AC229" s="127">
        <f>VLOOKUP(C229,'Talente &amp; Stuff'!GX:HY,27,FALSE)</f>
        <v>0</v>
      </c>
      <c r="AD229" s="125">
        <f>VLOOKUP(C229,'Talente &amp; Stuff'!GX:HY,28,FALSE)</f>
        <v>0</v>
      </c>
      <c r="AE229" s="28"/>
    </row>
    <row r="230" spans="2:31" ht="15" hidden="1" customHeight="1" outlineLevel="2">
      <c r="B230" s="148">
        <v>18</v>
      </c>
      <c r="C230" s="177" t="str">
        <f>Attribute!C230</f>
        <v>---</v>
      </c>
      <c r="D230" s="86" t="str">
        <f>VLOOKUP(C230,'Talente &amp; Stuff'!GX:HY,2,FALSE)</f>
        <v>--/--/--</v>
      </c>
      <c r="E230" s="167" t="str">
        <f>VLOOKUP(C230,'Talente &amp; Stuff'!GX:HY,3,FALSE)</f>
        <v>-</v>
      </c>
      <c r="F230" s="120">
        <f>VLOOKUP(C230,'Talente &amp; Stuff'!GX:HY,4,FALSE)</f>
        <v>0</v>
      </c>
      <c r="G230" s="117">
        <f>VLOOKUP(C230,'Talente &amp; Stuff'!GX:HY,5,FALSE)</f>
        <v>0</v>
      </c>
      <c r="H230" s="117">
        <f>VLOOKUP(C230,'Talente &amp; Stuff'!GX:HY,6,FALSE)</f>
        <v>0</v>
      </c>
      <c r="I230" s="117">
        <f>VLOOKUP(C230,'Talente &amp; Stuff'!GX:HY,7,FALSE)</f>
        <v>0</v>
      </c>
      <c r="J230" s="117">
        <f>VLOOKUP(C230,'Talente &amp; Stuff'!GX:HY,8,FALSE)</f>
        <v>0</v>
      </c>
      <c r="K230" s="117">
        <f>VLOOKUP(C230,'Talente &amp; Stuff'!GX:HY,9,FALSE)</f>
        <v>0</v>
      </c>
      <c r="L230" s="117">
        <f>VLOOKUP(C230,'Talente &amp; Stuff'!GX:HY,10,FALSE)</f>
        <v>0</v>
      </c>
      <c r="M230" s="121">
        <f>VLOOKUP(C230,'Talente &amp; Stuff'!GX:HY,11,FALSE)</f>
        <v>0</v>
      </c>
      <c r="N230" s="47">
        <f>VLOOKUP(C230,'Talente &amp; Stuff'!GX:HY,12,FALSE)</f>
        <v>0</v>
      </c>
      <c r="O230" s="3">
        <f>VLOOKUP(C230,'Talente &amp; Stuff'!GX:HY,13,FALSE)</f>
        <v>0</v>
      </c>
      <c r="P230" s="174">
        <f>VLOOKUP(C230,'Talente &amp; Stuff'!GX:HY,14,FALSE)</f>
        <v>0</v>
      </c>
      <c r="Q230" s="114">
        <f>VLOOKUP(C230,'Talente &amp; Stuff'!GX:HY,15,FALSE)</f>
        <v>0</v>
      </c>
      <c r="R230" s="117">
        <f>VLOOKUP(C230,'Talente &amp; Stuff'!GX:HY,16,FALSE)</f>
        <v>0</v>
      </c>
      <c r="S230" s="119">
        <f>VLOOKUP(C230,'Talente &amp; Stuff'!GX:HY,17,FALSE)</f>
        <v>0</v>
      </c>
      <c r="T230" s="119">
        <f>VLOOKUP(C230,'Talente &amp; Stuff'!GX:HY,18,FALSE)</f>
        <v>0</v>
      </c>
      <c r="U230" s="89">
        <f>VLOOKUP(C230,'Talente &amp; Stuff'!GX:HY,19,FALSE)</f>
        <v>0</v>
      </c>
      <c r="V230" s="47">
        <f>VLOOKUP(C230,'Talente &amp; Stuff'!GX:HY,20,FALSE)</f>
        <v>0</v>
      </c>
      <c r="W230" s="127">
        <f>VLOOKUP(C230,'Talente &amp; Stuff'!GX:HY,21,FALSE)</f>
        <v>0</v>
      </c>
      <c r="X230" s="127">
        <f>VLOOKUP(C230,'Talente &amp; Stuff'!GX:HY,22,FALSE)</f>
        <v>0</v>
      </c>
      <c r="Y230" s="165">
        <f t="shared" si="20"/>
        <v>0</v>
      </c>
      <c r="Z230" s="44">
        <f t="shared" si="21"/>
        <v>0</v>
      </c>
      <c r="AA230" s="125">
        <f>VLOOKUP(C230,'Talente &amp; Stuff'!GX:HY,25,FALSE)</f>
        <v>0</v>
      </c>
      <c r="AB230" s="160">
        <f>VLOOKUP(C230,'Talente &amp; Stuff'!GX:HY,26,FALSE)</f>
        <v>0</v>
      </c>
      <c r="AC230" s="127">
        <f>VLOOKUP(C230,'Talente &amp; Stuff'!GX:HY,27,FALSE)</f>
        <v>0</v>
      </c>
      <c r="AD230" s="125">
        <f>VLOOKUP(C230,'Talente &amp; Stuff'!GX:HY,28,FALSE)</f>
        <v>0</v>
      </c>
      <c r="AE230" s="28"/>
    </row>
    <row r="231" spans="2:31" ht="15" hidden="1" customHeight="1" outlineLevel="2">
      <c r="B231" s="148">
        <v>19</v>
      </c>
      <c r="C231" s="177" t="str">
        <f>Attribute!C231</f>
        <v>---</v>
      </c>
      <c r="D231" s="86" t="str">
        <f>VLOOKUP(C231,'Talente &amp; Stuff'!GX:HY,2,FALSE)</f>
        <v>--/--/--</v>
      </c>
      <c r="E231" s="167" t="str">
        <f>VLOOKUP(C231,'Talente &amp; Stuff'!GX:HY,3,FALSE)</f>
        <v>-</v>
      </c>
      <c r="F231" s="120">
        <f>VLOOKUP(C231,'Talente &amp; Stuff'!GX:HY,4,FALSE)</f>
        <v>0</v>
      </c>
      <c r="G231" s="117">
        <f>VLOOKUP(C231,'Talente &amp; Stuff'!GX:HY,5,FALSE)</f>
        <v>0</v>
      </c>
      <c r="H231" s="117">
        <f>VLOOKUP(C231,'Talente &amp; Stuff'!GX:HY,6,FALSE)</f>
        <v>0</v>
      </c>
      <c r="I231" s="117">
        <f>VLOOKUP(C231,'Talente &amp; Stuff'!GX:HY,7,FALSE)</f>
        <v>0</v>
      </c>
      <c r="J231" s="117">
        <f>VLOOKUP(C231,'Talente &amp; Stuff'!GX:HY,8,FALSE)</f>
        <v>0</v>
      </c>
      <c r="K231" s="117">
        <f>VLOOKUP(C231,'Talente &amp; Stuff'!GX:HY,9,FALSE)</f>
        <v>0</v>
      </c>
      <c r="L231" s="117">
        <f>VLOOKUP(C231,'Talente &amp; Stuff'!GX:HY,10,FALSE)</f>
        <v>0</v>
      </c>
      <c r="M231" s="121">
        <f>VLOOKUP(C231,'Talente &amp; Stuff'!GX:HY,11,FALSE)</f>
        <v>0</v>
      </c>
      <c r="N231" s="47">
        <f>VLOOKUP(C231,'Talente &amp; Stuff'!GX:HY,12,FALSE)</f>
        <v>0</v>
      </c>
      <c r="O231" s="3">
        <f>VLOOKUP(C231,'Talente &amp; Stuff'!GX:HY,13,FALSE)</f>
        <v>0</v>
      </c>
      <c r="P231" s="174">
        <f>VLOOKUP(C231,'Talente &amp; Stuff'!GX:HY,14,FALSE)</f>
        <v>0</v>
      </c>
      <c r="Q231" s="114">
        <f>VLOOKUP(C231,'Talente &amp; Stuff'!GX:HY,15,FALSE)</f>
        <v>0</v>
      </c>
      <c r="R231" s="117">
        <f>VLOOKUP(C231,'Talente &amp; Stuff'!GX:HY,16,FALSE)</f>
        <v>0</v>
      </c>
      <c r="S231" s="119">
        <f>VLOOKUP(C231,'Talente &amp; Stuff'!GX:HY,17,FALSE)</f>
        <v>0</v>
      </c>
      <c r="T231" s="119">
        <f>VLOOKUP(C231,'Talente &amp; Stuff'!GX:HY,18,FALSE)</f>
        <v>0</v>
      </c>
      <c r="U231" s="89">
        <f>VLOOKUP(C231,'Talente &amp; Stuff'!GX:HY,19,FALSE)</f>
        <v>0</v>
      </c>
      <c r="V231" s="47">
        <f>VLOOKUP(C231,'Talente &amp; Stuff'!GX:HY,20,FALSE)</f>
        <v>0</v>
      </c>
      <c r="W231" s="127">
        <f>VLOOKUP(C231,'Talente &amp; Stuff'!GX:HY,21,FALSE)</f>
        <v>0</v>
      </c>
      <c r="X231" s="127">
        <f>VLOOKUP(C231,'Talente &amp; Stuff'!GX:HY,22,FALSE)</f>
        <v>0</v>
      </c>
      <c r="Y231" s="165">
        <f t="shared" si="20"/>
        <v>0</v>
      </c>
      <c r="Z231" s="44">
        <f t="shared" si="21"/>
        <v>0</v>
      </c>
      <c r="AA231" s="125">
        <f>VLOOKUP(C231,'Talente &amp; Stuff'!GX:HY,25,FALSE)</f>
        <v>0</v>
      </c>
      <c r="AB231" s="160">
        <f>VLOOKUP(C231,'Talente &amp; Stuff'!GX:HY,26,FALSE)</f>
        <v>0</v>
      </c>
      <c r="AC231" s="127">
        <f>VLOOKUP(C231,'Talente &amp; Stuff'!GX:HY,27,FALSE)</f>
        <v>0</v>
      </c>
      <c r="AD231" s="125">
        <f>VLOOKUP(C231,'Talente &amp; Stuff'!GX:HY,28,FALSE)</f>
        <v>0</v>
      </c>
      <c r="AE231" s="28"/>
    </row>
    <row r="232" spans="2:31" ht="15" hidden="1" customHeight="1" outlineLevel="2">
      <c r="B232" s="148">
        <v>20</v>
      </c>
      <c r="C232" s="177" t="str">
        <f>Attribute!C232</f>
        <v>---</v>
      </c>
      <c r="D232" s="86" t="str">
        <f>VLOOKUP(C232,'Talente &amp; Stuff'!GX:HY,2,FALSE)</f>
        <v>--/--/--</v>
      </c>
      <c r="E232" s="167" t="str">
        <f>VLOOKUP(C232,'Talente &amp; Stuff'!GX:HY,3,FALSE)</f>
        <v>-</v>
      </c>
      <c r="F232" s="120">
        <f>VLOOKUP(C232,'Talente &amp; Stuff'!GX:HY,4,FALSE)</f>
        <v>0</v>
      </c>
      <c r="G232" s="117">
        <f>VLOOKUP(C232,'Talente &amp; Stuff'!GX:HY,5,FALSE)</f>
        <v>0</v>
      </c>
      <c r="H232" s="117">
        <f>VLOOKUP(C232,'Talente &amp; Stuff'!GX:HY,6,FALSE)</f>
        <v>0</v>
      </c>
      <c r="I232" s="117">
        <f>VLOOKUP(C232,'Talente &amp; Stuff'!GX:HY,7,FALSE)</f>
        <v>0</v>
      </c>
      <c r="J232" s="117">
        <f>VLOOKUP(C232,'Talente &amp; Stuff'!GX:HY,8,FALSE)</f>
        <v>0</v>
      </c>
      <c r="K232" s="117">
        <f>VLOOKUP(C232,'Talente &amp; Stuff'!GX:HY,9,FALSE)</f>
        <v>0</v>
      </c>
      <c r="L232" s="117">
        <f>VLOOKUP(C232,'Talente &amp; Stuff'!GX:HY,10,FALSE)</f>
        <v>0</v>
      </c>
      <c r="M232" s="121">
        <f>VLOOKUP(C232,'Talente &amp; Stuff'!GX:HY,11,FALSE)</f>
        <v>0</v>
      </c>
      <c r="N232" s="47">
        <f>VLOOKUP(C232,'Talente &amp; Stuff'!GX:HY,12,FALSE)</f>
        <v>0</v>
      </c>
      <c r="O232" s="3">
        <f>VLOOKUP(C232,'Talente &amp; Stuff'!GX:HY,13,FALSE)</f>
        <v>0</v>
      </c>
      <c r="P232" s="174">
        <f>VLOOKUP(C232,'Talente &amp; Stuff'!GX:HY,14,FALSE)</f>
        <v>0</v>
      </c>
      <c r="Q232" s="114">
        <f>VLOOKUP(C232,'Talente &amp; Stuff'!GX:HY,15,FALSE)</f>
        <v>0</v>
      </c>
      <c r="R232" s="117">
        <f>VLOOKUP(C232,'Talente &amp; Stuff'!GX:HY,16,FALSE)</f>
        <v>0</v>
      </c>
      <c r="S232" s="119">
        <f>VLOOKUP(C232,'Talente &amp; Stuff'!GX:HY,17,FALSE)</f>
        <v>0</v>
      </c>
      <c r="T232" s="119">
        <f>VLOOKUP(C232,'Talente &amp; Stuff'!GX:HY,18,FALSE)</f>
        <v>0</v>
      </c>
      <c r="U232" s="89">
        <f>VLOOKUP(C232,'Talente &amp; Stuff'!GX:HY,19,FALSE)</f>
        <v>0</v>
      </c>
      <c r="V232" s="47">
        <f>VLOOKUP(C232,'Talente &amp; Stuff'!GX:HY,20,FALSE)</f>
        <v>0</v>
      </c>
      <c r="W232" s="127">
        <f>VLOOKUP(C232,'Talente &amp; Stuff'!GX:HY,21,FALSE)</f>
        <v>0</v>
      </c>
      <c r="X232" s="127">
        <f>VLOOKUP(C232,'Talente &amp; Stuff'!GX:HY,22,FALSE)</f>
        <v>0</v>
      </c>
      <c r="Y232" s="165">
        <f t="shared" si="20"/>
        <v>0</v>
      </c>
      <c r="Z232" s="44">
        <f t="shared" si="21"/>
        <v>0</v>
      </c>
      <c r="AA232" s="125">
        <f>VLOOKUP(C232,'Talente &amp; Stuff'!GX:HY,25,FALSE)</f>
        <v>0</v>
      </c>
      <c r="AB232" s="160">
        <f>VLOOKUP(C232,'Talente &amp; Stuff'!GX:HY,26,FALSE)</f>
        <v>0</v>
      </c>
      <c r="AC232" s="127">
        <f>VLOOKUP(C232,'Talente &amp; Stuff'!GX:HY,27,FALSE)</f>
        <v>0</v>
      </c>
      <c r="AD232" s="125">
        <f>VLOOKUP(C232,'Talente &amp; Stuff'!GX:HY,28,FALSE)</f>
        <v>0</v>
      </c>
      <c r="AE232" s="28"/>
    </row>
    <row r="233" spans="2:31" ht="15" hidden="1" customHeight="1" outlineLevel="2">
      <c r="B233" s="148">
        <v>21</v>
      </c>
      <c r="C233" s="177" t="str">
        <f>Attribute!C233</f>
        <v>---</v>
      </c>
      <c r="D233" s="86" t="str">
        <f>VLOOKUP(C233,'Talente &amp; Stuff'!GX:HY,2,FALSE)</f>
        <v>--/--/--</v>
      </c>
      <c r="E233" s="167" t="str">
        <f>VLOOKUP(C233,'Talente &amp; Stuff'!GX:HY,3,FALSE)</f>
        <v>-</v>
      </c>
      <c r="F233" s="120">
        <f>VLOOKUP(C233,'Talente &amp; Stuff'!GX:HY,4,FALSE)</f>
        <v>0</v>
      </c>
      <c r="G233" s="117">
        <f>VLOOKUP(C233,'Talente &amp; Stuff'!GX:HY,5,FALSE)</f>
        <v>0</v>
      </c>
      <c r="H233" s="117">
        <f>VLOOKUP(C233,'Talente &amp; Stuff'!GX:HY,6,FALSE)</f>
        <v>0</v>
      </c>
      <c r="I233" s="117">
        <f>VLOOKUP(C233,'Talente &amp; Stuff'!GX:HY,7,FALSE)</f>
        <v>0</v>
      </c>
      <c r="J233" s="117">
        <f>VLOOKUP(C233,'Talente &amp; Stuff'!GX:HY,8,FALSE)</f>
        <v>0</v>
      </c>
      <c r="K233" s="117">
        <f>VLOOKUP(C233,'Talente &amp; Stuff'!GX:HY,9,FALSE)</f>
        <v>0</v>
      </c>
      <c r="L233" s="117">
        <f>VLOOKUP(C233,'Talente &amp; Stuff'!GX:HY,10,FALSE)</f>
        <v>0</v>
      </c>
      <c r="M233" s="121">
        <f>VLOOKUP(C233,'Talente &amp; Stuff'!GX:HY,11,FALSE)</f>
        <v>0</v>
      </c>
      <c r="N233" s="47">
        <f>VLOOKUP(C233,'Talente &amp; Stuff'!GX:HY,12,FALSE)</f>
        <v>0</v>
      </c>
      <c r="O233" s="3">
        <f>VLOOKUP(C233,'Talente &amp; Stuff'!GX:HY,13,FALSE)</f>
        <v>0</v>
      </c>
      <c r="P233" s="174">
        <f>VLOOKUP(C233,'Talente &amp; Stuff'!GX:HY,14,FALSE)</f>
        <v>0</v>
      </c>
      <c r="Q233" s="114">
        <f>VLOOKUP(C233,'Talente &amp; Stuff'!GX:HY,15,FALSE)</f>
        <v>0</v>
      </c>
      <c r="R233" s="117">
        <f>VLOOKUP(C233,'Talente &amp; Stuff'!GX:HY,16,FALSE)</f>
        <v>0</v>
      </c>
      <c r="S233" s="119">
        <f>VLOOKUP(C233,'Talente &amp; Stuff'!GX:HY,17,FALSE)</f>
        <v>0</v>
      </c>
      <c r="T233" s="119">
        <f>VLOOKUP(C233,'Talente &amp; Stuff'!GX:HY,18,FALSE)</f>
        <v>0</v>
      </c>
      <c r="U233" s="89">
        <f>VLOOKUP(C233,'Talente &amp; Stuff'!GX:HY,19,FALSE)</f>
        <v>0</v>
      </c>
      <c r="V233" s="47">
        <f>VLOOKUP(C233,'Talente &amp; Stuff'!GX:HY,20,FALSE)</f>
        <v>0</v>
      </c>
      <c r="W233" s="127">
        <f>VLOOKUP(C233,'Talente &amp; Stuff'!GX:HY,21,FALSE)</f>
        <v>0</v>
      </c>
      <c r="X233" s="127">
        <f>VLOOKUP(C233,'Talente &amp; Stuff'!GX:HY,22,FALSE)</f>
        <v>0</v>
      </c>
      <c r="Y233" s="165">
        <f t="shared" si="20"/>
        <v>0</v>
      </c>
      <c r="Z233" s="44">
        <f t="shared" si="21"/>
        <v>0</v>
      </c>
      <c r="AA233" s="125">
        <f>VLOOKUP(C233,'Talente &amp; Stuff'!GX:HY,25,FALSE)</f>
        <v>0</v>
      </c>
      <c r="AB233" s="160">
        <f>VLOOKUP(C233,'Talente &amp; Stuff'!GX:HY,26,FALSE)</f>
        <v>0</v>
      </c>
      <c r="AC233" s="127">
        <f>VLOOKUP(C233,'Talente &amp; Stuff'!GX:HY,27,FALSE)</f>
        <v>0</v>
      </c>
      <c r="AD233" s="125">
        <f>VLOOKUP(C233,'Talente &amp; Stuff'!GX:HY,28,FALSE)</f>
        <v>0</v>
      </c>
      <c r="AE233" s="28"/>
    </row>
    <row r="234" spans="2:31" ht="15" hidden="1" customHeight="1" outlineLevel="2">
      <c r="B234" s="148">
        <v>22</v>
      </c>
      <c r="C234" s="177" t="str">
        <f>Attribute!C234</f>
        <v>---</v>
      </c>
      <c r="D234" s="86" t="str">
        <f>VLOOKUP(C234,'Talente &amp; Stuff'!GX:HY,2,FALSE)</f>
        <v>--/--/--</v>
      </c>
      <c r="E234" s="167" t="str">
        <f>VLOOKUP(C234,'Talente &amp; Stuff'!GX:HY,3,FALSE)</f>
        <v>-</v>
      </c>
      <c r="F234" s="120">
        <f>VLOOKUP(C234,'Talente &amp; Stuff'!GX:HY,4,FALSE)</f>
        <v>0</v>
      </c>
      <c r="G234" s="117">
        <f>VLOOKUP(C234,'Talente &amp; Stuff'!GX:HY,5,FALSE)</f>
        <v>0</v>
      </c>
      <c r="H234" s="117">
        <f>VLOOKUP(C234,'Talente &amp; Stuff'!GX:HY,6,FALSE)</f>
        <v>0</v>
      </c>
      <c r="I234" s="117">
        <f>VLOOKUP(C234,'Talente &amp; Stuff'!GX:HY,7,FALSE)</f>
        <v>0</v>
      </c>
      <c r="J234" s="117">
        <f>VLOOKUP(C234,'Talente &amp; Stuff'!GX:HY,8,FALSE)</f>
        <v>0</v>
      </c>
      <c r="K234" s="117">
        <f>VLOOKUP(C234,'Talente &amp; Stuff'!GX:HY,9,FALSE)</f>
        <v>0</v>
      </c>
      <c r="L234" s="117">
        <f>VLOOKUP(C234,'Talente &amp; Stuff'!GX:HY,10,FALSE)</f>
        <v>0</v>
      </c>
      <c r="M234" s="121">
        <f>VLOOKUP(C234,'Talente &amp; Stuff'!GX:HY,11,FALSE)</f>
        <v>0</v>
      </c>
      <c r="N234" s="47">
        <f>VLOOKUP(C234,'Talente &amp; Stuff'!GX:HY,12,FALSE)</f>
        <v>0</v>
      </c>
      <c r="O234" s="3">
        <f>VLOOKUP(C234,'Talente &amp; Stuff'!GX:HY,13,FALSE)</f>
        <v>0</v>
      </c>
      <c r="P234" s="174">
        <f>VLOOKUP(C234,'Talente &amp; Stuff'!GX:HY,14,FALSE)</f>
        <v>0</v>
      </c>
      <c r="Q234" s="114">
        <f>VLOOKUP(C234,'Talente &amp; Stuff'!GX:HY,15,FALSE)</f>
        <v>0</v>
      </c>
      <c r="R234" s="117">
        <f>VLOOKUP(C234,'Talente &amp; Stuff'!GX:HY,16,FALSE)</f>
        <v>0</v>
      </c>
      <c r="S234" s="119">
        <f>VLOOKUP(C234,'Talente &amp; Stuff'!GX:HY,17,FALSE)</f>
        <v>0</v>
      </c>
      <c r="T234" s="119">
        <f>VLOOKUP(C234,'Talente &amp; Stuff'!GX:HY,18,FALSE)</f>
        <v>0</v>
      </c>
      <c r="U234" s="89">
        <f>VLOOKUP(C234,'Talente &amp; Stuff'!GX:HY,19,FALSE)</f>
        <v>0</v>
      </c>
      <c r="V234" s="47">
        <f>VLOOKUP(C234,'Talente &amp; Stuff'!GX:HY,20,FALSE)</f>
        <v>0</v>
      </c>
      <c r="W234" s="127">
        <f>VLOOKUP(C234,'Talente &amp; Stuff'!GX:HY,21,FALSE)</f>
        <v>0</v>
      </c>
      <c r="X234" s="127">
        <f>VLOOKUP(C234,'Talente &amp; Stuff'!GX:HY,22,FALSE)</f>
        <v>0</v>
      </c>
      <c r="Y234" s="165">
        <f t="shared" si="20"/>
        <v>0</v>
      </c>
      <c r="Z234" s="44">
        <f t="shared" si="21"/>
        <v>0</v>
      </c>
      <c r="AA234" s="125">
        <f>VLOOKUP(C234,'Talente &amp; Stuff'!GX:HY,25,FALSE)</f>
        <v>0</v>
      </c>
      <c r="AB234" s="160">
        <f>VLOOKUP(C234,'Talente &amp; Stuff'!GX:HY,26,FALSE)</f>
        <v>0</v>
      </c>
      <c r="AC234" s="127">
        <f>VLOOKUP(C234,'Talente &amp; Stuff'!GX:HY,27,FALSE)</f>
        <v>0</v>
      </c>
      <c r="AD234" s="125">
        <f>VLOOKUP(C234,'Talente &amp; Stuff'!GX:HY,28,FALSE)</f>
        <v>0</v>
      </c>
      <c r="AE234" s="28"/>
    </row>
    <row r="235" spans="2:31" ht="15" hidden="1" customHeight="1" outlineLevel="2">
      <c r="B235" s="148">
        <v>23</v>
      </c>
      <c r="C235" s="177" t="str">
        <f>Attribute!C235</f>
        <v>---</v>
      </c>
      <c r="D235" s="86" t="str">
        <f>VLOOKUP(C235,'Talente &amp; Stuff'!GX:HY,2,FALSE)</f>
        <v>--/--/--</v>
      </c>
      <c r="E235" s="167" t="str">
        <f>VLOOKUP(C235,'Talente &amp; Stuff'!GX:HY,3,FALSE)</f>
        <v>-</v>
      </c>
      <c r="F235" s="120">
        <f>VLOOKUP(C235,'Talente &amp; Stuff'!GX:HY,4,FALSE)</f>
        <v>0</v>
      </c>
      <c r="G235" s="117">
        <f>VLOOKUP(C235,'Talente &amp; Stuff'!GX:HY,5,FALSE)</f>
        <v>0</v>
      </c>
      <c r="H235" s="117">
        <f>VLOOKUP(C235,'Talente &amp; Stuff'!GX:HY,6,FALSE)</f>
        <v>0</v>
      </c>
      <c r="I235" s="117">
        <f>VLOOKUP(C235,'Talente &amp; Stuff'!GX:HY,7,FALSE)</f>
        <v>0</v>
      </c>
      <c r="J235" s="117">
        <f>VLOOKUP(C235,'Talente &amp; Stuff'!GX:HY,8,FALSE)</f>
        <v>0</v>
      </c>
      <c r="K235" s="117">
        <f>VLOOKUP(C235,'Talente &amp; Stuff'!GX:HY,9,FALSE)</f>
        <v>0</v>
      </c>
      <c r="L235" s="117">
        <f>VLOOKUP(C235,'Talente &amp; Stuff'!GX:HY,10,FALSE)</f>
        <v>0</v>
      </c>
      <c r="M235" s="121">
        <f>VLOOKUP(C235,'Talente &amp; Stuff'!GX:HY,11,FALSE)</f>
        <v>0</v>
      </c>
      <c r="N235" s="47">
        <f>VLOOKUP(C235,'Talente &amp; Stuff'!GX:HY,12,FALSE)</f>
        <v>0</v>
      </c>
      <c r="O235" s="3">
        <f>VLOOKUP(C235,'Talente &amp; Stuff'!GX:HY,13,FALSE)</f>
        <v>0</v>
      </c>
      <c r="P235" s="174">
        <f>VLOOKUP(C235,'Talente &amp; Stuff'!GX:HY,14,FALSE)</f>
        <v>0</v>
      </c>
      <c r="Q235" s="114">
        <f>VLOOKUP(C235,'Talente &amp; Stuff'!GX:HY,15,FALSE)</f>
        <v>0</v>
      </c>
      <c r="R235" s="117">
        <f>VLOOKUP(C235,'Talente &amp; Stuff'!GX:HY,16,FALSE)</f>
        <v>0</v>
      </c>
      <c r="S235" s="119">
        <f>VLOOKUP(C235,'Talente &amp; Stuff'!GX:HY,17,FALSE)</f>
        <v>0</v>
      </c>
      <c r="T235" s="119">
        <f>VLOOKUP(C235,'Talente &amp; Stuff'!GX:HY,18,FALSE)</f>
        <v>0</v>
      </c>
      <c r="U235" s="89">
        <f>VLOOKUP(C235,'Talente &amp; Stuff'!GX:HY,19,FALSE)</f>
        <v>0</v>
      </c>
      <c r="V235" s="47">
        <f>VLOOKUP(C235,'Talente &amp; Stuff'!GX:HY,20,FALSE)</f>
        <v>0</v>
      </c>
      <c r="W235" s="127">
        <f>VLOOKUP(C235,'Talente &amp; Stuff'!GX:HY,21,FALSE)</f>
        <v>0</v>
      </c>
      <c r="X235" s="127">
        <f>VLOOKUP(C235,'Talente &amp; Stuff'!GX:HY,22,FALSE)</f>
        <v>0</v>
      </c>
      <c r="Y235" s="165">
        <f t="shared" si="20"/>
        <v>0</v>
      </c>
      <c r="Z235" s="44">
        <f t="shared" si="21"/>
        <v>0</v>
      </c>
      <c r="AA235" s="125">
        <f>VLOOKUP(C235,'Talente &amp; Stuff'!GX:HY,25,FALSE)</f>
        <v>0</v>
      </c>
      <c r="AB235" s="160">
        <f>VLOOKUP(C235,'Talente &amp; Stuff'!GX:HY,26,FALSE)</f>
        <v>0</v>
      </c>
      <c r="AC235" s="127">
        <f>VLOOKUP(C235,'Talente &amp; Stuff'!GX:HY,27,FALSE)</f>
        <v>0</v>
      </c>
      <c r="AD235" s="125">
        <f>VLOOKUP(C235,'Talente &amp; Stuff'!GX:HY,28,FALSE)</f>
        <v>0</v>
      </c>
      <c r="AE235" s="28"/>
    </row>
    <row r="236" spans="2:31" ht="15" hidden="1" customHeight="1" outlineLevel="2">
      <c r="B236" s="148">
        <v>24</v>
      </c>
      <c r="C236" s="177" t="str">
        <f>Attribute!C236</f>
        <v>---</v>
      </c>
      <c r="D236" s="86" t="str">
        <f>VLOOKUP(C236,'Talente &amp; Stuff'!GX:HY,2,FALSE)</f>
        <v>--/--/--</v>
      </c>
      <c r="E236" s="167" t="str">
        <f>VLOOKUP(C236,'Talente &amp; Stuff'!GX:HY,3,FALSE)</f>
        <v>-</v>
      </c>
      <c r="F236" s="120">
        <f>VLOOKUP(C236,'Talente &amp; Stuff'!GX:HY,4,FALSE)</f>
        <v>0</v>
      </c>
      <c r="G236" s="117">
        <f>VLOOKUP(C236,'Talente &amp; Stuff'!GX:HY,5,FALSE)</f>
        <v>0</v>
      </c>
      <c r="H236" s="117">
        <f>VLOOKUP(C236,'Talente &amp; Stuff'!GX:HY,6,FALSE)</f>
        <v>0</v>
      </c>
      <c r="I236" s="117">
        <f>VLOOKUP(C236,'Talente &amp; Stuff'!GX:HY,7,FALSE)</f>
        <v>0</v>
      </c>
      <c r="J236" s="117">
        <f>VLOOKUP(C236,'Talente &amp; Stuff'!GX:HY,8,FALSE)</f>
        <v>0</v>
      </c>
      <c r="K236" s="117">
        <f>VLOOKUP(C236,'Talente &amp; Stuff'!GX:HY,9,FALSE)</f>
        <v>0</v>
      </c>
      <c r="L236" s="117">
        <f>VLOOKUP(C236,'Talente &amp; Stuff'!GX:HY,10,FALSE)</f>
        <v>0</v>
      </c>
      <c r="M236" s="121">
        <f>VLOOKUP(C236,'Talente &amp; Stuff'!GX:HY,11,FALSE)</f>
        <v>0</v>
      </c>
      <c r="N236" s="47">
        <f>VLOOKUP(C236,'Talente &amp; Stuff'!GX:HY,12,FALSE)</f>
        <v>0</v>
      </c>
      <c r="O236" s="3">
        <f>VLOOKUP(C236,'Talente &amp; Stuff'!GX:HY,13,FALSE)</f>
        <v>0</v>
      </c>
      <c r="P236" s="174">
        <f>VLOOKUP(C236,'Talente &amp; Stuff'!GX:HY,14,FALSE)</f>
        <v>0</v>
      </c>
      <c r="Q236" s="114">
        <f>VLOOKUP(C236,'Talente &amp; Stuff'!GX:HY,15,FALSE)</f>
        <v>0</v>
      </c>
      <c r="R236" s="117">
        <f>VLOOKUP(C236,'Talente &amp; Stuff'!GX:HY,16,FALSE)</f>
        <v>0</v>
      </c>
      <c r="S236" s="119">
        <f>VLOOKUP(C236,'Talente &amp; Stuff'!GX:HY,17,FALSE)</f>
        <v>0</v>
      </c>
      <c r="T236" s="119">
        <f>VLOOKUP(C236,'Talente &amp; Stuff'!GX:HY,18,FALSE)</f>
        <v>0</v>
      </c>
      <c r="U236" s="89">
        <f>VLOOKUP(C236,'Talente &amp; Stuff'!GX:HY,19,FALSE)</f>
        <v>0</v>
      </c>
      <c r="V236" s="47">
        <f>VLOOKUP(C236,'Talente &amp; Stuff'!GX:HY,20,FALSE)</f>
        <v>0</v>
      </c>
      <c r="W236" s="127">
        <f>VLOOKUP(C236,'Talente &amp; Stuff'!GX:HY,21,FALSE)</f>
        <v>0</v>
      </c>
      <c r="X236" s="127">
        <f>VLOOKUP(C236,'Talente &amp; Stuff'!GX:HY,22,FALSE)</f>
        <v>0</v>
      </c>
      <c r="Y236" s="165">
        <f t="shared" si="20"/>
        <v>0</v>
      </c>
      <c r="Z236" s="44">
        <f t="shared" si="21"/>
        <v>0</v>
      </c>
      <c r="AA236" s="125">
        <f>VLOOKUP(C236,'Talente &amp; Stuff'!GX:HY,25,FALSE)</f>
        <v>0</v>
      </c>
      <c r="AB236" s="160">
        <f>VLOOKUP(C236,'Talente &amp; Stuff'!GX:HY,26,FALSE)</f>
        <v>0</v>
      </c>
      <c r="AC236" s="127">
        <f>VLOOKUP(C236,'Talente &amp; Stuff'!GX:HY,27,FALSE)</f>
        <v>0</v>
      </c>
      <c r="AD236" s="125">
        <f>VLOOKUP(C236,'Talente &amp; Stuff'!GX:HY,28,FALSE)</f>
        <v>0</v>
      </c>
      <c r="AE236" s="28"/>
    </row>
    <row r="237" spans="2:31" ht="15" hidden="1" customHeight="1" outlineLevel="2">
      <c r="B237" s="148">
        <v>25</v>
      </c>
      <c r="C237" s="177" t="str">
        <f>Attribute!C237</f>
        <v>---</v>
      </c>
      <c r="D237" s="86" t="str">
        <f>VLOOKUP(C237,'Talente &amp; Stuff'!GX:HY,2,FALSE)</f>
        <v>--/--/--</v>
      </c>
      <c r="E237" s="167" t="str">
        <f>VLOOKUP(C237,'Talente &amp; Stuff'!GX:HY,3,FALSE)</f>
        <v>-</v>
      </c>
      <c r="F237" s="120">
        <f>VLOOKUP(C237,'Talente &amp; Stuff'!GX:HY,4,FALSE)</f>
        <v>0</v>
      </c>
      <c r="G237" s="117">
        <f>VLOOKUP(C237,'Talente &amp; Stuff'!GX:HY,5,FALSE)</f>
        <v>0</v>
      </c>
      <c r="H237" s="117">
        <f>VLOOKUP(C237,'Talente &amp; Stuff'!GX:HY,6,FALSE)</f>
        <v>0</v>
      </c>
      <c r="I237" s="117">
        <f>VLOOKUP(C237,'Talente &amp; Stuff'!GX:HY,7,FALSE)</f>
        <v>0</v>
      </c>
      <c r="J237" s="117">
        <f>VLOOKUP(C237,'Talente &amp; Stuff'!GX:HY,8,FALSE)</f>
        <v>0</v>
      </c>
      <c r="K237" s="117">
        <f>VLOOKUP(C237,'Talente &amp; Stuff'!GX:HY,9,FALSE)</f>
        <v>0</v>
      </c>
      <c r="L237" s="117">
        <f>VLOOKUP(C237,'Talente &amp; Stuff'!GX:HY,10,FALSE)</f>
        <v>0</v>
      </c>
      <c r="M237" s="121">
        <f>VLOOKUP(C237,'Talente &amp; Stuff'!GX:HY,11,FALSE)</f>
        <v>0</v>
      </c>
      <c r="N237" s="47">
        <f>VLOOKUP(C237,'Talente &amp; Stuff'!GX:HY,12,FALSE)</f>
        <v>0</v>
      </c>
      <c r="O237" s="3">
        <f>VLOOKUP(C237,'Talente &amp; Stuff'!GX:HY,13,FALSE)</f>
        <v>0</v>
      </c>
      <c r="P237" s="174">
        <f>VLOOKUP(C237,'Talente &amp; Stuff'!GX:HY,14,FALSE)</f>
        <v>0</v>
      </c>
      <c r="Q237" s="114">
        <f>VLOOKUP(C237,'Talente &amp; Stuff'!GX:HY,15,FALSE)</f>
        <v>0</v>
      </c>
      <c r="R237" s="117">
        <f>VLOOKUP(C237,'Talente &amp; Stuff'!GX:HY,16,FALSE)</f>
        <v>0</v>
      </c>
      <c r="S237" s="119">
        <f>VLOOKUP(C237,'Talente &amp; Stuff'!GX:HY,17,FALSE)</f>
        <v>0</v>
      </c>
      <c r="T237" s="119">
        <f>VLOOKUP(C237,'Talente &amp; Stuff'!GX:HY,18,FALSE)</f>
        <v>0</v>
      </c>
      <c r="U237" s="89">
        <f>VLOOKUP(C237,'Talente &amp; Stuff'!GX:HY,19,FALSE)</f>
        <v>0</v>
      </c>
      <c r="V237" s="47">
        <f>VLOOKUP(C237,'Talente &amp; Stuff'!GX:HY,20,FALSE)</f>
        <v>0</v>
      </c>
      <c r="W237" s="127">
        <f>VLOOKUP(C237,'Talente &amp; Stuff'!GX:HY,21,FALSE)</f>
        <v>0</v>
      </c>
      <c r="X237" s="127">
        <f>VLOOKUP(C237,'Talente &amp; Stuff'!GX:HY,22,FALSE)</f>
        <v>0</v>
      </c>
      <c r="Y237" s="165">
        <f t="shared" si="20"/>
        <v>0</v>
      </c>
      <c r="Z237" s="44">
        <f t="shared" si="21"/>
        <v>0</v>
      </c>
      <c r="AA237" s="125">
        <f>VLOOKUP(C237,'Talente &amp; Stuff'!GX:HY,25,FALSE)</f>
        <v>0</v>
      </c>
      <c r="AB237" s="160">
        <f>VLOOKUP(C237,'Talente &amp; Stuff'!GX:HY,26,FALSE)</f>
        <v>0</v>
      </c>
      <c r="AC237" s="127">
        <f>VLOOKUP(C237,'Talente &amp; Stuff'!GX:HY,27,FALSE)</f>
        <v>0</v>
      </c>
      <c r="AD237" s="125">
        <f>VLOOKUP(C237,'Talente &amp; Stuff'!GX:HY,28,FALSE)</f>
        <v>0</v>
      </c>
      <c r="AE237" s="28"/>
    </row>
    <row r="238" spans="2:31" ht="15" hidden="1" customHeight="1" outlineLevel="2">
      <c r="B238" s="148">
        <v>26</v>
      </c>
      <c r="C238" s="177" t="str">
        <f>Attribute!C238</f>
        <v>---</v>
      </c>
      <c r="D238" s="86" t="str">
        <f>VLOOKUP(C238,'Talente &amp; Stuff'!GX:HY,2,FALSE)</f>
        <v>--/--/--</v>
      </c>
      <c r="E238" s="167" t="str">
        <f>VLOOKUP(C238,'Talente &amp; Stuff'!GX:HY,3,FALSE)</f>
        <v>-</v>
      </c>
      <c r="F238" s="120">
        <f>VLOOKUP(C238,'Talente &amp; Stuff'!GX:HY,4,FALSE)</f>
        <v>0</v>
      </c>
      <c r="G238" s="117">
        <f>VLOOKUP(C238,'Talente &amp; Stuff'!GX:HY,5,FALSE)</f>
        <v>0</v>
      </c>
      <c r="H238" s="117">
        <f>VLOOKUP(C238,'Talente &amp; Stuff'!GX:HY,6,FALSE)</f>
        <v>0</v>
      </c>
      <c r="I238" s="117">
        <f>VLOOKUP(C238,'Talente &amp; Stuff'!GX:HY,7,FALSE)</f>
        <v>0</v>
      </c>
      <c r="J238" s="117">
        <f>VLOOKUP(C238,'Talente &amp; Stuff'!GX:HY,8,FALSE)</f>
        <v>0</v>
      </c>
      <c r="K238" s="117">
        <f>VLOOKUP(C238,'Talente &amp; Stuff'!GX:HY,9,FALSE)</f>
        <v>0</v>
      </c>
      <c r="L238" s="117">
        <f>VLOOKUP(C238,'Talente &amp; Stuff'!GX:HY,10,FALSE)</f>
        <v>0</v>
      </c>
      <c r="M238" s="121">
        <f>VLOOKUP(C238,'Talente &amp; Stuff'!GX:HY,11,FALSE)</f>
        <v>0</v>
      </c>
      <c r="N238" s="47">
        <f>VLOOKUP(C238,'Talente &amp; Stuff'!GX:HY,12,FALSE)</f>
        <v>0</v>
      </c>
      <c r="O238" s="3">
        <f>VLOOKUP(C238,'Talente &amp; Stuff'!GX:HY,13,FALSE)</f>
        <v>0</v>
      </c>
      <c r="P238" s="174">
        <f>VLOOKUP(C238,'Talente &amp; Stuff'!GX:HY,14,FALSE)</f>
        <v>0</v>
      </c>
      <c r="Q238" s="114">
        <f>VLOOKUP(C238,'Talente &amp; Stuff'!GX:HY,15,FALSE)</f>
        <v>0</v>
      </c>
      <c r="R238" s="117">
        <f>VLOOKUP(C238,'Talente &amp; Stuff'!GX:HY,16,FALSE)</f>
        <v>0</v>
      </c>
      <c r="S238" s="119">
        <f>VLOOKUP(C238,'Talente &amp; Stuff'!GX:HY,17,FALSE)</f>
        <v>0</v>
      </c>
      <c r="T238" s="119">
        <f>VLOOKUP(C238,'Talente &amp; Stuff'!GX:HY,18,FALSE)</f>
        <v>0</v>
      </c>
      <c r="U238" s="89">
        <f>VLOOKUP(C238,'Talente &amp; Stuff'!GX:HY,19,FALSE)</f>
        <v>0</v>
      </c>
      <c r="V238" s="47">
        <f>VLOOKUP(C238,'Talente &amp; Stuff'!GX:HY,20,FALSE)</f>
        <v>0</v>
      </c>
      <c r="W238" s="127">
        <f>VLOOKUP(C238,'Talente &amp; Stuff'!GX:HY,21,FALSE)</f>
        <v>0</v>
      </c>
      <c r="X238" s="127">
        <f>VLOOKUP(C238,'Talente &amp; Stuff'!GX:HY,22,FALSE)</f>
        <v>0</v>
      </c>
      <c r="Y238" s="165">
        <f t="shared" si="20"/>
        <v>0</v>
      </c>
      <c r="Z238" s="44">
        <f t="shared" si="21"/>
        <v>0</v>
      </c>
      <c r="AA238" s="125">
        <f>VLOOKUP(C238,'Talente &amp; Stuff'!GX:HY,25,FALSE)</f>
        <v>0</v>
      </c>
      <c r="AB238" s="160">
        <f>VLOOKUP(C238,'Talente &amp; Stuff'!GX:HY,26,FALSE)</f>
        <v>0</v>
      </c>
      <c r="AC238" s="127">
        <f>VLOOKUP(C238,'Talente &amp; Stuff'!GX:HY,27,FALSE)</f>
        <v>0</v>
      </c>
      <c r="AD238" s="125">
        <f>VLOOKUP(C238,'Talente &amp; Stuff'!GX:HY,28,FALSE)</f>
        <v>0</v>
      </c>
      <c r="AE238" s="28"/>
    </row>
    <row r="239" spans="2:31" ht="15" hidden="1" customHeight="1" outlineLevel="2">
      <c r="B239" s="148">
        <v>27</v>
      </c>
      <c r="C239" s="177" t="str">
        <f>Attribute!C239</f>
        <v>---</v>
      </c>
      <c r="D239" s="86" t="str">
        <f>VLOOKUP(C239,'Talente &amp; Stuff'!GX:HY,2,FALSE)</f>
        <v>--/--/--</v>
      </c>
      <c r="E239" s="167" t="str">
        <f>VLOOKUP(C239,'Talente &amp; Stuff'!GX:HY,3,FALSE)</f>
        <v>-</v>
      </c>
      <c r="F239" s="120">
        <f>VLOOKUP(C239,'Talente &amp; Stuff'!GX:HY,4,FALSE)</f>
        <v>0</v>
      </c>
      <c r="G239" s="117">
        <f>VLOOKUP(C239,'Talente &amp; Stuff'!GX:HY,5,FALSE)</f>
        <v>0</v>
      </c>
      <c r="H239" s="117">
        <f>VLOOKUP(C239,'Talente &amp; Stuff'!GX:HY,6,FALSE)</f>
        <v>0</v>
      </c>
      <c r="I239" s="117">
        <f>VLOOKUP(C239,'Talente &amp; Stuff'!GX:HY,7,FALSE)</f>
        <v>0</v>
      </c>
      <c r="J239" s="117">
        <f>VLOOKUP(C239,'Talente &amp; Stuff'!GX:HY,8,FALSE)</f>
        <v>0</v>
      </c>
      <c r="K239" s="117">
        <f>VLOOKUP(C239,'Talente &amp; Stuff'!GX:HY,9,FALSE)</f>
        <v>0</v>
      </c>
      <c r="L239" s="117">
        <f>VLOOKUP(C239,'Talente &amp; Stuff'!GX:HY,10,FALSE)</f>
        <v>0</v>
      </c>
      <c r="M239" s="121">
        <f>VLOOKUP(C239,'Talente &amp; Stuff'!GX:HY,11,FALSE)</f>
        <v>0</v>
      </c>
      <c r="N239" s="47">
        <f>VLOOKUP(C239,'Talente &amp; Stuff'!GX:HY,12,FALSE)</f>
        <v>0</v>
      </c>
      <c r="O239" s="3">
        <f>VLOOKUP(C239,'Talente &amp; Stuff'!GX:HY,13,FALSE)</f>
        <v>0</v>
      </c>
      <c r="P239" s="174">
        <f>VLOOKUP(C239,'Talente &amp; Stuff'!GX:HY,14,FALSE)</f>
        <v>0</v>
      </c>
      <c r="Q239" s="114">
        <f>VLOOKUP(C239,'Talente &amp; Stuff'!GX:HY,15,FALSE)</f>
        <v>0</v>
      </c>
      <c r="R239" s="117">
        <f>VLOOKUP(C239,'Talente &amp; Stuff'!GX:HY,16,FALSE)</f>
        <v>0</v>
      </c>
      <c r="S239" s="119">
        <f>VLOOKUP(C239,'Talente &amp; Stuff'!GX:HY,17,FALSE)</f>
        <v>0</v>
      </c>
      <c r="T239" s="119">
        <f>VLOOKUP(C239,'Talente &amp; Stuff'!GX:HY,18,FALSE)</f>
        <v>0</v>
      </c>
      <c r="U239" s="89">
        <f>VLOOKUP(C239,'Talente &amp; Stuff'!GX:HY,19,FALSE)</f>
        <v>0</v>
      </c>
      <c r="V239" s="47">
        <f>VLOOKUP(C239,'Talente &amp; Stuff'!GX:HY,20,FALSE)</f>
        <v>0</v>
      </c>
      <c r="W239" s="127">
        <f>VLOOKUP(C239,'Talente &amp; Stuff'!GX:HY,21,FALSE)</f>
        <v>0</v>
      </c>
      <c r="X239" s="127">
        <f>VLOOKUP(C239,'Talente &amp; Stuff'!GX:HY,22,FALSE)</f>
        <v>0</v>
      </c>
      <c r="Y239" s="165">
        <f t="shared" si="20"/>
        <v>0</v>
      </c>
      <c r="Z239" s="44">
        <f t="shared" si="21"/>
        <v>0</v>
      </c>
      <c r="AA239" s="125">
        <f>VLOOKUP(C239,'Talente &amp; Stuff'!GX:HY,25,FALSE)</f>
        <v>0</v>
      </c>
      <c r="AB239" s="160">
        <f>VLOOKUP(C239,'Talente &amp; Stuff'!GX:HY,26,FALSE)</f>
        <v>0</v>
      </c>
      <c r="AC239" s="127">
        <f>VLOOKUP(C239,'Talente &amp; Stuff'!GX:HY,27,FALSE)</f>
        <v>0</v>
      </c>
      <c r="AD239" s="125">
        <f>VLOOKUP(C239,'Talente &amp; Stuff'!GX:HY,28,FALSE)</f>
        <v>0</v>
      </c>
      <c r="AE239" s="28"/>
    </row>
    <row r="240" spans="2:31" ht="15" hidden="1" customHeight="1" outlineLevel="2">
      <c r="B240" s="148">
        <v>28</v>
      </c>
      <c r="C240" s="177" t="str">
        <f>Attribute!C240</f>
        <v>---</v>
      </c>
      <c r="D240" s="86" t="str">
        <f>VLOOKUP(C240,'Talente &amp; Stuff'!GX:HY,2,FALSE)</f>
        <v>--/--/--</v>
      </c>
      <c r="E240" s="167" t="str">
        <f>VLOOKUP(C240,'Talente &amp; Stuff'!GX:HY,3,FALSE)</f>
        <v>-</v>
      </c>
      <c r="F240" s="120">
        <f>VLOOKUP(C240,'Talente &amp; Stuff'!GX:HY,4,FALSE)</f>
        <v>0</v>
      </c>
      <c r="G240" s="117">
        <f>VLOOKUP(C240,'Talente &amp; Stuff'!GX:HY,5,FALSE)</f>
        <v>0</v>
      </c>
      <c r="H240" s="117">
        <f>VLOOKUP(C240,'Talente &amp; Stuff'!GX:HY,6,FALSE)</f>
        <v>0</v>
      </c>
      <c r="I240" s="117">
        <f>VLOOKUP(C240,'Talente &amp; Stuff'!GX:HY,7,FALSE)</f>
        <v>0</v>
      </c>
      <c r="J240" s="117">
        <f>VLOOKUP(C240,'Talente &amp; Stuff'!GX:HY,8,FALSE)</f>
        <v>0</v>
      </c>
      <c r="K240" s="117">
        <f>VLOOKUP(C240,'Talente &amp; Stuff'!GX:HY,9,FALSE)</f>
        <v>0</v>
      </c>
      <c r="L240" s="117">
        <f>VLOOKUP(C240,'Talente &amp; Stuff'!GX:HY,10,FALSE)</f>
        <v>0</v>
      </c>
      <c r="M240" s="121">
        <f>VLOOKUP(C240,'Talente &amp; Stuff'!GX:HY,11,FALSE)</f>
        <v>0</v>
      </c>
      <c r="N240" s="47">
        <f>VLOOKUP(C240,'Talente &amp; Stuff'!GX:HY,12,FALSE)</f>
        <v>0</v>
      </c>
      <c r="O240" s="3">
        <f>VLOOKUP(C240,'Talente &amp; Stuff'!GX:HY,13,FALSE)</f>
        <v>0</v>
      </c>
      <c r="P240" s="174">
        <f>VLOOKUP(C240,'Talente &amp; Stuff'!GX:HY,14,FALSE)</f>
        <v>0</v>
      </c>
      <c r="Q240" s="114">
        <f>VLOOKUP(C240,'Talente &amp; Stuff'!GX:HY,15,FALSE)</f>
        <v>0</v>
      </c>
      <c r="R240" s="117">
        <f>VLOOKUP(C240,'Talente &amp; Stuff'!GX:HY,16,FALSE)</f>
        <v>0</v>
      </c>
      <c r="S240" s="119">
        <f>VLOOKUP(C240,'Talente &amp; Stuff'!GX:HY,17,FALSE)</f>
        <v>0</v>
      </c>
      <c r="T240" s="119">
        <f>VLOOKUP(C240,'Talente &amp; Stuff'!GX:HY,18,FALSE)</f>
        <v>0</v>
      </c>
      <c r="U240" s="89">
        <f>VLOOKUP(C240,'Talente &amp; Stuff'!GX:HY,19,FALSE)</f>
        <v>0</v>
      </c>
      <c r="V240" s="47">
        <f>VLOOKUP(C240,'Talente &amp; Stuff'!GX:HY,20,FALSE)</f>
        <v>0</v>
      </c>
      <c r="W240" s="127">
        <f>VLOOKUP(C240,'Talente &amp; Stuff'!GX:HY,21,FALSE)</f>
        <v>0</v>
      </c>
      <c r="X240" s="127">
        <f>VLOOKUP(C240,'Talente &amp; Stuff'!GX:HY,22,FALSE)</f>
        <v>0</v>
      </c>
      <c r="Y240" s="165">
        <f t="shared" si="20"/>
        <v>0</v>
      </c>
      <c r="Z240" s="44">
        <f t="shared" si="21"/>
        <v>0</v>
      </c>
      <c r="AA240" s="125">
        <f>VLOOKUP(C240,'Talente &amp; Stuff'!GX:HY,25,FALSE)</f>
        <v>0</v>
      </c>
      <c r="AB240" s="160">
        <f>VLOOKUP(C240,'Talente &amp; Stuff'!GX:HY,26,FALSE)</f>
        <v>0</v>
      </c>
      <c r="AC240" s="127">
        <f>VLOOKUP(C240,'Talente &amp; Stuff'!GX:HY,27,FALSE)</f>
        <v>0</v>
      </c>
      <c r="AD240" s="125">
        <f>VLOOKUP(C240,'Talente &amp; Stuff'!GX:HY,28,FALSE)</f>
        <v>0</v>
      </c>
      <c r="AE240" s="28"/>
    </row>
    <row r="241" spans="2:31" ht="15" hidden="1" customHeight="1" outlineLevel="2">
      <c r="B241" s="148">
        <v>29</v>
      </c>
      <c r="C241" s="177" t="str">
        <f>Attribute!C241</f>
        <v>---</v>
      </c>
      <c r="D241" s="125" t="str">
        <f>VLOOKUP(C241,'Talente &amp; Stuff'!GX:HY,2,FALSE)</f>
        <v>--/--/--</v>
      </c>
      <c r="E241" s="127" t="str">
        <f>VLOOKUP(C241,'Talente &amp; Stuff'!GX:HY,3,FALSE)</f>
        <v>-</v>
      </c>
      <c r="F241" s="114">
        <f>VLOOKUP(C241,'Talente &amp; Stuff'!GX:HY,4,FALSE)</f>
        <v>0</v>
      </c>
      <c r="G241" s="113">
        <f>VLOOKUP(C241,'Talente &amp; Stuff'!GX:HY,5,FALSE)</f>
        <v>0</v>
      </c>
      <c r="H241" s="113">
        <f>VLOOKUP(C241,'Talente &amp; Stuff'!GX:HY,6,FALSE)</f>
        <v>0</v>
      </c>
      <c r="I241" s="113">
        <f>VLOOKUP(C241,'Talente &amp; Stuff'!GX:HY,7,FALSE)</f>
        <v>0</v>
      </c>
      <c r="J241" s="113">
        <f>VLOOKUP(C241,'Talente &amp; Stuff'!GX:HY,8,FALSE)</f>
        <v>0</v>
      </c>
      <c r="K241" s="113">
        <f>VLOOKUP(C241,'Talente &amp; Stuff'!GX:HY,9,FALSE)</f>
        <v>0</v>
      </c>
      <c r="L241" s="113">
        <f>VLOOKUP(C241,'Talente &amp; Stuff'!GX:HY,10,FALSE)</f>
        <v>0</v>
      </c>
      <c r="M241" s="119">
        <f>VLOOKUP(C241,'Talente &amp; Stuff'!GX:HY,11,FALSE)</f>
        <v>0</v>
      </c>
      <c r="N241" s="47">
        <f>VLOOKUP(C241,'Talente &amp; Stuff'!GX:HY,12,FALSE)</f>
        <v>0</v>
      </c>
      <c r="O241" s="47">
        <f>VLOOKUP(C241,'Talente &amp; Stuff'!GX:HY,13,FALSE)</f>
        <v>0</v>
      </c>
      <c r="P241" s="119">
        <f>VLOOKUP(C241,'Talente &amp; Stuff'!GX:HY,14,FALSE)</f>
        <v>0</v>
      </c>
      <c r="Q241" s="114">
        <f>VLOOKUP(C241,'Talente &amp; Stuff'!GX:HY,15,FALSE)</f>
        <v>0</v>
      </c>
      <c r="R241" s="113">
        <f>VLOOKUP(C241,'Talente &amp; Stuff'!GX:HY,16,FALSE)</f>
        <v>0</v>
      </c>
      <c r="S241" s="119">
        <f>VLOOKUP(C241,'Talente &amp; Stuff'!GX:HY,17,FALSE)</f>
        <v>0</v>
      </c>
      <c r="T241" s="119">
        <f>VLOOKUP(C241,'Talente &amp; Stuff'!GX:HY,18,FALSE)</f>
        <v>0</v>
      </c>
      <c r="U241" s="89">
        <f>VLOOKUP(C241,'Talente &amp; Stuff'!GX:HY,19,FALSE)</f>
        <v>0</v>
      </c>
      <c r="V241" s="47">
        <f>VLOOKUP(C241,'Talente &amp; Stuff'!GX:HY,20,FALSE)</f>
        <v>0</v>
      </c>
      <c r="W241" s="127">
        <f>VLOOKUP(C241,'Talente &amp; Stuff'!GX:HY,21,FALSE)</f>
        <v>0</v>
      </c>
      <c r="X241" s="127">
        <f>VLOOKUP(C241,'Talente &amp; Stuff'!GX:HY,22,FALSE)</f>
        <v>0</v>
      </c>
      <c r="Y241" s="165">
        <f t="shared" si="20"/>
        <v>0</v>
      </c>
      <c r="Z241" s="44">
        <f t="shared" si="21"/>
        <v>0</v>
      </c>
      <c r="AA241" s="125">
        <f>VLOOKUP(C241,'Talente &amp; Stuff'!GX:HY,25,FALSE)</f>
        <v>0</v>
      </c>
      <c r="AB241" s="160">
        <f>VLOOKUP(C241,'Talente &amp; Stuff'!GX:HY,26,FALSE)</f>
        <v>0</v>
      </c>
      <c r="AC241" s="127">
        <f>VLOOKUP(C241,'Talente &amp; Stuff'!GX:HY,27,FALSE)</f>
        <v>0</v>
      </c>
      <c r="AD241" s="125">
        <f>VLOOKUP(C241,'Talente &amp; Stuff'!GX:HY,28,FALSE)</f>
        <v>0</v>
      </c>
      <c r="AE241" s="28"/>
    </row>
    <row r="242" spans="2:31" ht="15" hidden="1" customHeight="1" outlineLevel="2">
      <c r="B242" s="148">
        <v>30</v>
      </c>
      <c r="C242" s="177" t="str">
        <f>Attribute!C242</f>
        <v>---</v>
      </c>
      <c r="D242" s="125" t="str">
        <f>VLOOKUP(C242,'Talente &amp; Stuff'!GX:HY,2,FALSE)</f>
        <v>--/--/--</v>
      </c>
      <c r="E242" s="127" t="str">
        <f>VLOOKUP(C242,'Talente &amp; Stuff'!GX:HY,3,FALSE)</f>
        <v>-</v>
      </c>
      <c r="F242" s="114">
        <f>VLOOKUP(C242,'Talente &amp; Stuff'!GX:HY,4,FALSE)</f>
        <v>0</v>
      </c>
      <c r="G242" s="113">
        <f>VLOOKUP(C242,'Talente &amp; Stuff'!GX:HY,5,FALSE)</f>
        <v>0</v>
      </c>
      <c r="H242" s="113">
        <f>VLOOKUP(C242,'Talente &amp; Stuff'!GX:HY,6,FALSE)</f>
        <v>0</v>
      </c>
      <c r="I242" s="113">
        <f>VLOOKUP(C242,'Talente &amp; Stuff'!GX:HY,7,FALSE)</f>
        <v>0</v>
      </c>
      <c r="J242" s="113">
        <f>VLOOKUP(C242,'Talente &amp; Stuff'!GX:HY,8,FALSE)</f>
        <v>0</v>
      </c>
      <c r="K242" s="113">
        <f>VLOOKUP(C242,'Talente &amp; Stuff'!GX:HY,9,FALSE)</f>
        <v>0</v>
      </c>
      <c r="L242" s="113">
        <f>VLOOKUP(C242,'Talente &amp; Stuff'!GX:HY,10,FALSE)</f>
        <v>0</v>
      </c>
      <c r="M242" s="119">
        <f>VLOOKUP(C242,'Talente &amp; Stuff'!GX:HY,11,FALSE)</f>
        <v>0</v>
      </c>
      <c r="N242" s="47">
        <f>VLOOKUP(C242,'Talente &amp; Stuff'!GX:HY,12,FALSE)</f>
        <v>0</v>
      </c>
      <c r="O242" s="47">
        <f>VLOOKUP(C242,'Talente &amp; Stuff'!GX:HY,13,FALSE)</f>
        <v>0</v>
      </c>
      <c r="P242" s="119">
        <f>VLOOKUP(C242,'Talente &amp; Stuff'!GX:HY,14,FALSE)</f>
        <v>0</v>
      </c>
      <c r="Q242" s="114">
        <f>VLOOKUP(C242,'Talente &amp; Stuff'!GX:HY,15,FALSE)</f>
        <v>0</v>
      </c>
      <c r="R242" s="113">
        <f>VLOOKUP(C242,'Talente &amp; Stuff'!GX:HY,16,FALSE)</f>
        <v>0</v>
      </c>
      <c r="S242" s="119">
        <f>VLOOKUP(C242,'Talente &amp; Stuff'!GX:HY,17,FALSE)</f>
        <v>0</v>
      </c>
      <c r="T242" s="119">
        <f>VLOOKUP(C242,'Talente &amp; Stuff'!GX:HY,18,FALSE)</f>
        <v>0</v>
      </c>
      <c r="U242" s="89">
        <f>VLOOKUP(C242,'Talente &amp; Stuff'!GX:HY,19,FALSE)</f>
        <v>0</v>
      </c>
      <c r="V242" s="47">
        <f>VLOOKUP(C242,'Talente &amp; Stuff'!GX:HY,20,FALSE)</f>
        <v>0</v>
      </c>
      <c r="W242" s="127">
        <f>VLOOKUP(C242,'Talente &amp; Stuff'!GX:HY,21,FALSE)</f>
        <v>0</v>
      </c>
      <c r="X242" s="127">
        <f>VLOOKUP(C242,'Talente &amp; Stuff'!GX:HY,22,FALSE)</f>
        <v>0</v>
      </c>
      <c r="Y242" s="165">
        <f t="shared" si="20"/>
        <v>0</v>
      </c>
      <c r="Z242" s="44">
        <f t="shared" si="21"/>
        <v>0</v>
      </c>
      <c r="AA242" s="125">
        <f>VLOOKUP(C242,'Talente &amp; Stuff'!GX:HY,25,FALSE)</f>
        <v>0</v>
      </c>
      <c r="AB242" s="160">
        <f>VLOOKUP(C242,'Talente &amp; Stuff'!GX:HY,26,FALSE)</f>
        <v>0</v>
      </c>
      <c r="AC242" s="127">
        <f>VLOOKUP(C242,'Talente &amp; Stuff'!GX:HY,27,FALSE)</f>
        <v>0</v>
      </c>
      <c r="AD242" s="125">
        <f>VLOOKUP(C242,'Talente &amp; Stuff'!GX:HY,28,FALSE)</f>
        <v>0</v>
      </c>
      <c r="AE242" s="28"/>
    </row>
    <row r="243" spans="2:31" ht="15" hidden="1" customHeight="1" outlineLevel="2">
      <c r="B243" s="148">
        <v>31</v>
      </c>
      <c r="C243" s="177" t="str">
        <f>Attribute!C243</f>
        <v>---</v>
      </c>
      <c r="D243" s="125" t="str">
        <f>VLOOKUP(C243,'Talente &amp; Stuff'!GX:HY,2,FALSE)</f>
        <v>--/--/--</v>
      </c>
      <c r="E243" s="127" t="str">
        <f>VLOOKUP(C243,'Talente &amp; Stuff'!GX:HY,3,FALSE)</f>
        <v>-</v>
      </c>
      <c r="F243" s="114">
        <f>VLOOKUP(C243,'Talente &amp; Stuff'!GX:HY,4,FALSE)</f>
        <v>0</v>
      </c>
      <c r="G243" s="113">
        <f>VLOOKUP(C243,'Talente &amp; Stuff'!GX:HY,5,FALSE)</f>
        <v>0</v>
      </c>
      <c r="H243" s="113">
        <f>VLOOKUP(C243,'Talente &amp; Stuff'!GX:HY,6,FALSE)</f>
        <v>0</v>
      </c>
      <c r="I243" s="113">
        <f>VLOOKUP(C243,'Talente &amp; Stuff'!GX:HY,7,FALSE)</f>
        <v>0</v>
      </c>
      <c r="J243" s="113">
        <f>VLOOKUP(C243,'Talente &amp; Stuff'!GX:HY,8,FALSE)</f>
        <v>0</v>
      </c>
      <c r="K243" s="113">
        <f>VLOOKUP(C243,'Talente &amp; Stuff'!GX:HY,9,FALSE)</f>
        <v>0</v>
      </c>
      <c r="L243" s="113">
        <f>VLOOKUP(C243,'Talente &amp; Stuff'!GX:HY,10,FALSE)</f>
        <v>0</v>
      </c>
      <c r="M243" s="119">
        <f>VLOOKUP(C243,'Talente &amp; Stuff'!GX:HY,11,FALSE)</f>
        <v>0</v>
      </c>
      <c r="N243" s="47">
        <f>VLOOKUP(C243,'Talente &amp; Stuff'!GX:HY,12,FALSE)</f>
        <v>0</v>
      </c>
      <c r="O243" s="47">
        <f>VLOOKUP(C243,'Talente &amp; Stuff'!GX:HY,13,FALSE)</f>
        <v>0</v>
      </c>
      <c r="P243" s="119">
        <f>VLOOKUP(C243,'Talente &amp; Stuff'!GX:HY,14,FALSE)</f>
        <v>0</v>
      </c>
      <c r="Q243" s="114">
        <f>VLOOKUP(C243,'Talente &amp; Stuff'!GX:HY,15,FALSE)</f>
        <v>0</v>
      </c>
      <c r="R243" s="113">
        <f>VLOOKUP(C243,'Talente &amp; Stuff'!GX:HY,16,FALSE)</f>
        <v>0</v>
      </c>
      <c r="S243" s="119">
        <f>VLOOKUP(C243,'Talente &amp; Stuff'!GX:HY,17,FALSE)</f>
        <v>0</v>
      </c>
      <c r="T243" s="119">
        <f>VLOOKUP(C243,'Talente &amp; Stuff'!GX:HY,18,FALSE)</f>
        <v>0</v>
      </c>
      <c r="U243" s="89">
        <f>VLOOKUP(C243,'Talente &amp; Stuff'!GX:HY,19,FALSE)</f>
        <v>0</v>
      </c>
      <c r="V243" s="47">
        <f>VLOOKUP(C243,'Talente &amp; Stuff'!GX:HY,20,FALSE)</f>
        <v>0</v>
      </c>
      <c r="W243" s="127">
        <f>VLOOKUP(C243,'Talente &amp; Stuff'!GX:HY,21,FALSE)</f>
        <v>0</v>
      </c>
      <c r="X243" s="127">
        <f>VLOOKUP(C243,'Talente &amp; Stuff'!GX:HY,22,FALSE)</f>
        <v>0</v>
      </c>
      <c r="Y243" s="165">
        <f t="shared" si="20"/>
        <v>0</v>
      </c>
      <c r="Z243" s="44">
        <f t="shared" si="21"/>
        <v>0</v>
      </c>
      <c r="AA243" s="125">
        <f>VLOOKUP(C243,'Talente &amp; Stuff'!GX:HY,25,FALSE)</f>
        <v>0</v>
      </c>
      <c r="AB243" s="160">
        <f>VLOOKUP(C243,'Talente &amp; Stuff'!GX:HY,26,FALSE)</f>
        <v>0</v>
      </c>
      <c r="AC243" s="127">
        <f>VLOOKUP(C243,'Talente &amp; Stuff'!GX:HY,27,FALSE)</f>
        <v>0</v>
      </c>
      <c r="AD243" s="125">
        <f>VLOOKUP(C243,'Talente &amp; Stuff'!GX:HY,28,FALSE)</f>
        <v>0</v>
      </c>
      <c r="AE243" s="28"/>
    </row>
    <row r="244" spans="2:31" ht="15" hidden="1" customHeight="1" outlineLevel="2">
      <c r="B244" s="148">
        <v>32</v>
      </c>
      <c r="C244" s="177" t="str">
        <f>Attribute!C244</f>
        <v>---</v>
      </c>
      <c r="D244" s="125" t="str">
        <f>VLOOKUP(C244,'Talente &amp; Stuff'!GX:HY,2,FALSE)</f>
        <v>--/--/--</v>
      </c>
      <c r="E244" s="127" t="str">
        <f>VLOOKUP(C244,'Talente &amp; Stuff'!GX:HY,3,FALSE)</f>
        <v>-</v>
      </c>
      <c r="F244" s="114">
        <f>VLOOKUP(C244,'Talente &amp; Stuff'!GX:HY,4,FALSE)</f>
        <v>0</v>
      </c>
      <c r="G244" s="113">
        <f>VLOOKUP(C244,'Talente &amp; Stuff'!GX:HY,5,FALSE)</f>
        <v>0</v>
      </c>
      <c r="H244" s="113">
        <f>VLOOKUP(C244,'Talente &amp; Stuff'!GX:HY,6,FALSE)</f>
        <v>0</v>
      </c>
      <c r="I244" s="113">
        <f>VLOOKUP(C244,'Talente &amp; Stuff'!GX:HY,7,FALSE)</f>
        <v>0</v>
      </c>
      <c r="J244" s="113">
        <f>VLOOKUP(C244,'Talente &amp; Stuff'!GX:HY,8,FALSE)</f>
        <v>0</v>
      </c>
      <c r="K244" s="113">
        <f>VLOOKUP(C244,'Talente &amp; Stuff'!GX:HY,9,FALSE)</f>
        <v>0</v>
      </c>
      <c r="L244" s="113">
        <f>VLOOKUP(C244,'Talente &amp; Stuff'!GX:HY,10,FALSE)</f>
        <v>0</v>
      </c>
      <c r="M244" s="119">
        <f>VLOOKUP(C244,'Talente &amp; Stuff'!GX:HY,11,FALSE)</f>
        <v>0</v>
      </c>
      <c r="N244" s="47">
        <f>VLOOKUP(C244,'Talente &amp; Stuff'!GX:HY,12,FALSE)</f>
        <v>0</v>
      </c>
      <c r="O244" s="47">
        <f>VLOOKUP(C244,'Talente &amp; Stuff'!GX:HY,13,FALSE)</f>
        <v>0</v>
      </c>
      <c r="P244" s="119">
        <f>VLOOKUP(C244,'Talente &amp; Stuff'!GX:HY,14,FALSE)</f>
        <v>0</v>
      </c>
      <c r="Q244" s="114">
        <f>VLOOKUP(C244,'Talente &amp; Stuff'!GX:HY,15,FALSE)</f>
        <v>0</v>
      </c>
      <c r="R244" s="113">
        <f>VLOOKUP(C244,'Talente &amp; Stuff'!GX:HY,16,FALSE)</f>
        <v>0</v>
      </c>
      <c r="S244" s="119">
        <f>VLOOKUP(C244,'Talente &amp; Stuff'!GX:HY,17,FALSE)</f>
        <v>0</v>
      </c>
      <c r="T244" s="119">
        <f>VLOOKUP(C244,'Talente &amp; Stuff'!GX:HY,18,FALSE)</f>
        <v>0</v>
      </c>
      <c r="U244" s="89">
        <f>VLOOKUP(C244,'Talente &amp; Stuff'!GX:HY,19,FALSE)</f>
        <v>0</v>
      </c>
      <c r="V244" s="47">
        <f>VLOOKUP(C244,'Talente &amp; Stuff'!GX:HY,20,FALSE)</f>
        <v>0</v>
      </c>
      <c r="W244" s="127">
        <f>VLOOKUP(C244,'Talente &amp; Stuff'!GX:HY,21,FALSE)</f>
        <v>0</v>
      </c>
      <c r="X244" s="127">
        <f>VLOOKUP(C244,'Talente &amp; Stuff'!GX:HY,22,FALSE)</f>
        <v>0</v>
      </c>
      <c r="Y244" s="165">
        <f t="shared" si="20"/>
        <v>0</v>
      </c>
      <c r="Z244" s="44">
        <f t="shared" si="21"/>
        <v>0</v>
      </c>
      <c r="AA244" s="125">
        <f>VLOOKUP(C244,'Talente &amp; Stuff'!GX:HY,25,FALSE)</f>
        <v>0</v>
      </c>
      <c r="AB244" s="160">
        <f>VLOOKUP(C244,'Talente &amp; Stuff'!GX:HY,26,FALSE)</f>
        <v>0</v>
      </c>
      <c r="AC244" s="127">
        <f>VLOOKUP(C244,'Talente &amp; Stuff'!GX:HY,27,FALSE)</f>
        <v>0</v>
      </c>
      <c r="AD244" s="125">
        <f>VLOOKUP(C244,'Talente &amp; Stuff'!GX:HY,28,FALSE)</f>
        <v>0</v>
      </c>
      <c r="AE244" s="28"/>
    </row>
    <row r="245" spans="2:31" ht="15" hidden="1" customHeight="1" outlineLevel="2">
      <c r="B245" s="148">
        <v>33</v>
      </c>
      <c r="C245" s="177" t="str">
        <f>Attribute!C245</f>
        <v>---</v>
      </c>
      <c r="D245" s="125" t="str">
        <f>VLOOKUP(C245,'Talente &amp; Stuff'!GX:HY,2,FALSE)</f>
        <v>--/--/--</v>
      </c>
      <c r="E245" s="127" t="str">
        <f>VLOOKUP(C245,'Talente &amp; Stuff'!GX:HY,3,FALSE)</f>
        <v>-</v>
      </c>
      <c r="F245" s="114">
        <f>VLOOKUP(C245,'Talente &amp; Stuff'!GX:HY,4,FALSE)</f>
        <v>0</v>
      </c>
      <c r="G245" s="113">
        <f>VLOOKUP(C245,'Talente &amp; Stuff'!GX:HY,5,FALSE)</f>
        <v>0</v>
      </c>
      <c r="H245" s="113">
        <f>VLOOKUP(C245,'Talente &amp; Stuff'!GX:HY,6,FALSE)</f>
        <v>0</v>
      </c>
      <c r="I245" s="113">
        <f>VLOOKUP(C245,'Talente &amp; Stuff'!GX:HY,7,FALSE)</f>
        <v>0</v>
      </c>
      <c r="J245" s="113">
        <f>VLOOKUP(C245,'Talente &amp; Stuff'!GX:HY,8,FALSE)</f>
        <v>0</v>
      </c>
      <c r="K245" s="113">
        <f>VLOOKUP(C245,'Talente &amp; Stuff'!GX:HY,9,FALSE)</f>
        <v>0</v>
      </c>
      <c r="L245" s="113">
        <f>VLOOKUP(C245,'Talente &amp; Stuff'!GX:HY,10,FALSE)</f>
        <v>0</v>
      </c>
      <c r="M245" s="119">
        <f>VLOOKUP(C245,'Talente &amp; Stuff'!GX:HY,11,FALSE)</f>
        <v>0</v>
      </c>
      <c r="N245" s="47">
        <f>VLOOKUP(C245,'Talente &amp; Stuff'!GX:HY,12,FALSE)</f>
        <v>0</v>
      </c>
      <c r="O245" s="47">
        <f>VLOOKUP(C245,'Talente &amp; Stuff'!GX:HY,13,FALSE)</f>
        <v>0</v>
      </c>
      <c r="P245" s="119">
        <f>VLOOKUP(C245,'Talente &amp; Stuff'!GX:HY,14,FALSE)</f>
        <v>0</v>
      </c>
      <c r="Q245" s="114">
        <f>VLOOKUP(C245,'Talente &amp; Stuff'!GX:HY,15,FALSE)</f>
        <v>0</v>
      </c>
      <c r="R245" s="113">
        <f>VLOOKUP(C245,'Talente &amp; Stuff'!GX:HY,16,FALSE)</f>
        <v>0</v>
      </c>
      <c r="S245" s="119">
        <f>VLOOKUP(C245,'Talente &amp; Stuff'!GX:HY,17,FALSE)</f>
        <v>0</v>
      </c>
      <c r="T245" s="119">
        <f>VLOOKUP(C245,'Talente &amp; Stuff'!GX:HY,18,FALSE)</f>
        <v>0</v>
      </c>
      <c r="U245" s="89">
        <f>VLOOKUP(C245,'Talente &amp; Stuff'!GX:HY,19,FALSE)</f>
        <v>0</v>
      </c>
      <c r="V245" s="47">
        <f>VLOOKUP(C245,'Talente &amp; Stuff'!GX:HY,20,FALSE)</f>
        <v>0</v>
      </c>
      <c r="W245" s="127">
        <f>VLOOKUP(C245,'Talente &amp; Stuff'!GX:HY,21,FALSE)</f>
        <v>0</v>
      </c>
      <c r="X245" s="127">
        <f>VLOOKUP(C245,'Talente &amp; Stuff'!GX:HY,22,FALSE)</f>
        <v>0</v>
      </c>
      <c r="Y245" s="165">
        <f t="shared" si="20"/>
        <v>0</v>
      </c>
      <c r="Z245" s="44">
        <f t="shared" si="21"/>
        <v>0</v>
      </c>
      <c r="AA245" s="125">
        <f>VLOOKUP(C245,'Talente &amp; Stuff'!GX:HY,25,FALSE)</f>
        <v>0</v>
      </c>
      <c r="AB245" s="160">
        <f>VLOOKUP(C245,'Talente &amp; Stuff'!GX:HY,26,FALSE)</f>
        <v>0</v>
      </c>
      <c r="AC245" s="127">
        <f>VLOOKUP(C245,'Talente &amp; Stuff'!GX:HY,27,FALSE)</f>
        <v>0</v>
      </c>
      <c r="AD245" s="125">
        <f>VLOOKUP(C245,'Talente &amp; Stuff'!GX:HY,28,FALSE)</f>
        <v>0</v>
      </c>
      <c r="AE245" s="28"/>
    </row>
    <row r="246" spans="2:31" ht="15" hidden="1" customHeight="1" outlineLevel="2">
      <c r="B246" s="148">
        <v>34</v>
      </c>
      <c r="C246" s="177" t="str">
        <f>Attribute!C246</f>
        <v>---</v>
      </c>
      <c r="D246" s="125" t="str">
        <f>VLOOKUP(C246,'Talente &amp; Stuff'!GX:HY,2,FALSE)</f>
        <v>--/--/--</v>
      </c>
      <c r="E246" s="127" t="str">
        <f>VLOOKUP(C246,'Talente &amp; Stuff'!GX:HY,3,FALSE)</f>
        <v>-</v>
      </c>
      <c r="F246" s="114">
        <f>VLOOKUP(C246,'Talente &amp; Stuff'!GX:HY,4,FALSE)</f>
        <v>0</v>
      </c>
      <c r="G246" s="113">
        <f>VLOOKUP(C246,'Talente &amp; Stuff'!GX:HY,5,FALSE)</f>
        <v>0</v>
      </c>
      <c r="H246" s="113">
        <f>VLOOKUP(C246,'Talente &amp; Stuff'!GX:HY,6,FALSE)</f>
        <v>0</v>
      </c>
      <c r="I246" s="113">
        <f>VLOOKUP(C246,'Talente &amp; Stuff'!GX:HY,7,FALSE)</f>
        <v>0</v>
      </c>
      <c r="J246" s="113">
        <f>VLOOKUP(C246,'Talente &amp; Stuff'!GX:HY,8,FALSE)</f>
        <v>0</v>
      </c>
      <c r="K246" s="113">
        <f>VLOOKUP(C246,'Talente &amp; Stuff'!GX:HY,9,FALSE)</f>
        <v>0</v>
      </c>
      <c r="L246" s="113">
        <f>VLOOKUP(C246,'Talente &amp; Stuff'!GX:HY,10,FALSE)</f>
        <v>0</v>
      </c>
      <c r="M246" s="119">
        <f>VLOOKUP(C246,'Talente &amp; Stuff'!GX:HY,11,FALSE)</f>
        <v>0</v>
      </c>
      <c r="N246" s="47">
        <f>VLOOKUP(C246,'Talente &amp; Stuff'!GX:HY,12,FALSE)</f>
        <v>0</v>
      </c>
      <c r="O246" s="47">
        <f>VLOOKUP(C246,'Talente &amp; Stuff'!GX:HY,13,FALSE)</f>
        <v>0</v>
      </c>
      <c r="P246" s="119">
        <f>VLOOKUP(C246,'Talente &amp; Stuff'!GX:HY,14,FALSE)</f>
        <v>0</v>
      </c>
      <c r="Q246" s="114">
        <f>VLOOKUP(C246,'Talente &amp; Stuff'!GX:HY,15,FALSE)</f>
        <v>0</v>
      </c>
      <c r="R246" s="113">
        <f>VLOOKUP(C246,'Talente &amp; Stuff'!GX:HY,16,FALSE)</f>
        <v>0</v>
      </c>
      <c r="S246" s="119">
        <f>VLOOKUP(C246,'Talente &amp; Stuff'!GX:HY,17,FALSE)</f>
        <v>0</v>
      </c>
      <c r="T246" s="119">
        <f>VLOOKUP(C246,'Talente &amp; Stuff'!GX:HY,18,FALSE)</f>
        <v>0</v>
      </c>
      <c r="U246" s="89">
        <f>VLOOKUP(C246,'Talente &amp; Stuff'!GX:HY,19,FALSE)</f>
        <v>0</v>
      </c>
      <c r="V246" s="47">
        <f>VLOOKUP(C246,'Talente &amp; Stuff'!GX:HY,20,FALSE)</f>
        <v>0</v>
      </c>
      <c r="W246" s="127">
        <f>VLOOKUP(C246,'Talente &amp; Stuff'!GX:HY,21,FALSE)</f>
        <v>0</v>
      </c>
      <c r="X246" s="127">
        <f>VLOOKUP(C246,'Talente &amp; Stuff'!GX:HY,22,FALSE)</f>
        <v>0</v>
      </c>
      <c r="Y246" s="165">
        <f t="shared" si="20"/>
        <v>0</v>
      </c>
      <c r="Z246" s="44">
        <f t="shared" si="21"/>
        <v>0</v>
      </c>
      <c r="AA246" s="125">
        <f>VLOOKUP(C246,'Talente &amp; Stuff'!GX:HY,25,FALSE)</f>
        <v>0</v>
      </c>
      <c r="AB246" s="160">
        <f>VLOOKUP(C246,'Talente &amp; Stuff'!GX:HY,26,FALSE)</f>
        <v>0</v>
      </c>
      <c r="AC246" s="127">
        <f>VLOOKUP(C246,'Talente &amp; Stuff'!GX:HY,27,FALSE)</f>
        <v>0</v>
      </c>
      <c r="AD246" s="125">
        <f>VLOOKUP(C246,'Talente &amp; Stuff'!GX:HY,28,FALSE)</f>
        <v>0</v>
      </c>
      <c r="AE246" s="28"/>
    </row>
    <row r="247" spans="2:31" ht="15" hidden="1" customHeight="1" outlineLevel="2">
      <c r="B247" s="148">
        <v>35</v>
      </c>
      <c r="C247" s="177" t="str">
        <f>Attribute!C247</f>
        <v>---</v>
      </c>
      <c r="D247" s="125" t="str">
        <f>VLOOKUP(C247,'Talente &amp; Stuff'!GX:HY,2,FALSE)</f>
        <v>--/--/--</v>
      </c>
      <c r="E247" s="127" t="str">
        <f>VLOOKUP(C247,'Talente &amp; Stuff'!GX:HY,3,FALSE)</f>
        <v>-</v>
      </c>
      <c r="F247" s="114">
        <f>VLOOKUP(C247,'Talente &amp; Stuff'!GX:HY,4,FALSE)</f>
        <v>0</v>
      </c>
      <c r="G247" s="113">
        <f>VLOOKUP(C247,'Talente &amp; Stuff'!GX:HY,5,FALSE)</f>
        <v>0</v>
      </c>
      <c r="H247" s="113">
        <f>VLOOKUP(C247,'Talente &amp; Stuff'!GX:HY,6,FALSE)</f>
        <v>0</v>
      </c>
      <c r="I247" s="113">
        <f>VLOOKUP(C247,'Talente &amp; Stuff'!GX:HY,7,FALSE)</f>
        <v>0</v>
      </c>
      <c r="J247" s="113">
        <f>VLOOKUP(C247,'Talente &amp; Stuff'!GX:HY,8,FALSE)</f>
        <v>0</v>
      </c>
      <c r="K247" s="113">
        <f>VLOOKUP(C247,'Talente &amp; Stuff'!GX:HY,9,FALSE)</f>
        <v>0</v>
      </c>
      <c r="L247" s="113">
        <f>VLOOKUP(C247,'Talente &amp; Stuff'!GX:HY,10,FALSE)</f>
        <v>0</v>
      </c>
      <c r="M247" s="119">
        <f>VLOOKUP(C247,'Talente &amp; Stuff'!GX:HY,11,FALSE)</f>
        <v>0</v>
      </c>
      <c r="N247" s="47">
        <f>VLOOKUP(C247,'Talente &amp; Stuff'!GX:HY,12,FALSE)</f>
        <v>0</v>
      </c>
      <c r="O247" s="47">
        <f>VLOOKUP(C247,'Talente &amp; Stuff'!GX:HY,13,FALSE)</f>
        <v>0</v>
      </c>
      <c r="P247" s="119">
        <f>VLOOKUP(C247,'Talente &amp; Stuff'!GX:HY,14,FALSE)</f>
        <v>0</v>
      </c>
      <c r="Q247" s="114">
        <f>VLOOKUP(C247,'Talente &amp; Stuff'!GX:HY,15,FALSE)</f>
        <v>0</v>
      </c>
      <c r="R247" s="113">
        <f>VLOOKUP(C247,'Talente &amp; Stuff'!GX:HY,16,FALSE)</f>
        <v>0</v>
      </c>
      <c r="S247" s="119">
        <f>VLOOKUP(C247,'Talente &amp; Stuff'!GX:HY,17,FALSE)</f>
        <v>0</v>
      </c>
      <c r="T247" s="119">
        <f>VLOOKUP(C247,'Talente &amp; Stuff'!GX:HY,18,FALSE)</f>
        <v>0</v>
      </c>
      <c r="U247" s="89">
        <f>VLOOKUP(C247,'Talente &amp; Stuff'!GX:HY,19,FALSE)</f>
        <v>0</v>
      </c>
      <c r="V247" s="47">
        <f>VLOOKUP(C247,'Talente &amp; Stuff'!GX:HY,20,FALSE)</f>
        <v>0</v>
      </c>
      <c r="W247" s="127">
        <f>VLOOKUP(C247,'Talente &amp; Stuff'!GX:HY,21,FALSE)</f>
        <v>0</v>
      </c>
      <c r="X247" s="127">
        <f>VLOOKUP(C247,'Talente &amp; Stuff'!GX:HY,22,FALSE)</f>
        <v>0</v>
      </c>
      <c r="Y247" s="165">
        <f t="shared" si="20"/>
        <v>0</v>
      </c>
      <c r="Z247" s="44">
        <f t="shared" si="21"/>
        <v>0</v>
      </c>
      <c r="AA247" s="125">
        <f>VLOOKUP(C247,'Talente &amp; Stuff'!GX:HY,25,FALSE)</f>
        <v>0</v>
      </c>
      <c r="AB247" s="160">
        <f>VLOOKUP(C247,'Talente &amp; Stuff'!GX:HY,26,FALSE)</f>
        <v>0</v>
      </c>
      <c r="AC247" s="127">
        <f>VLOOKUP(C247,'Talente &amp; Stuff'!GX:HY,27,FALSE)</f>
        <v>0</v>
      </c>
      <c r="AD247" s="125">
        <f>VLOOKUP(C247,'Talente &amp; Stuff'!GX:HY,28,FALSE)</f>
        <v>0</v>
      </c>
      <c r="AE247" s="28"/>
    </row>
    <row r="248" spans="2:31" ht="15" hidden="1" customHeight="1" outlineLevel="2">
      <c r="B248" s="148">
        <v>36</v>
      </c>
      <c r="C248" s="177" t="str">
        <f>Attribute!C248</f>
        <v>---</v>
      </c>
      <c r="D248" s="125" t="str">
        <f>VLOOKUP(C248,'Talente &amp; Stuff'!GX:HY,2,FALSE)</f>
        <v>--/--/--</v>
      </c>
      <c r="E248" s="127" t="str">
        <f>VLOOKUP(C248,'Talente &amp; Stuff'!GX:HY,3,FALSE)</f>
        <v>-</v>
      </c>
      <c r="F248" s="114">
        <f>VLOOKUP(C248,'Talente &amp; Stuff'!GX:HY,4,FALSE)</f>
        <v>0</v>
      </c>
      <c r="G248" s="113">
        <f>VLOOKUP(C248,'Talente &amp; Stuff'!GX:HY,5,FALSE)</f>
        <v>0</v>
      </c>
      <c r="H248" s="113">
        <f>VLOOKUP(C248,'Talente &amp; Stuff'!GX:HY,6,FALSE)</f>
        <v>0</v>
      </c>
      <c r="I248" s="113">
        <f>VLOOKUP(C248,'Talente &amp; Stuff'!GX:HY,7,FALSE)</f>
        <v>0</v>
      </c>
      <c r="J248" s="113">
        <f>VLOOKUP(C248,'Talente &amp; Stuff'!GX:HY,8,FALSE)</f>
        <v>0</v>
      </c>
      <c r="K248" s="113">
        <f>VLOOKUP(C248,'Talente &amp; Stuff'!GX:HY,9,FALSE)</f>
        <v>0</v>
      </c>
      <c r="L248" s="113">
        <f>VLOOKUP(C248,'Talente &amp; Stuff'!GX:HY,10,FALSE)</f>
        <v>0</v>
      </c>
      <c r="M248" s="119">
        <f>VLOOKUP(C248,'Talente &amp; Stuff'!GX:HY,11,FALSE)</f>
        <v>0</v>
      </c>
      <c r="N248" s="47">
        <f>VLOOKUP(C248,'Talente &amp; Stuff'!GX:HY,12,FALSE)</f>
        <v>0</v>
      </c>
      <c r="O248" s="47">
        <f>VLOOKUP(C248,'Talente &amp; Stuff'!GX:HY,13,FALSE)</f>
        <v>0</v>
      </c>
      <c r="P248" s="119">
        <f>VLOOKUP(C248,'Talente &amp; Stuff'!GX:HY,14,FALSE)</f>
        <v>0</v>
      </c>
      <c r="Q248" s="114">
        <f>VLOOKUP(C248,'Talente &amp; Stuff'!GX:HY,15,FALSE)</f>
        <v>0</v>
      </c>
      <c r="R248" s="113">
        <f>VLOOKUP(C248,'Talente &amp; Stuff'!GX:HY,16,FALSE)</f>
        <v>0</v>
      </c>
      <c r="S248" s="119">
        <f>VLOOKUP(C248,'Talente &amp; Stuff'!GX:HY,17,FALSE)</f>
        <v>0</v>
      </c>
      <c r="T248" s="119">
        <f>VLOOKUP(C248,'Talente &amp; Stuff'!GX:HY,18,FALSE)</f>
        <v>0</v>
      </c>
      <c r="U248" s="89">
        <f>VLOOKUP(C248,'Talente &amp; Stuff'!GX:HY,19,FALSE)</f>
        <v>0</v>
      </c>
      <c r="V248" s="47">
        <f>VLOOKUP(C248,'Talente &amp; Stuff'!GX:HY,20,FALSE)</f>
        <v>0</v>
      </c>
      <c r="W248" s="127">
        <f>VLOOKUP(C248,'Talente &amp; Stuff'!GX:HY,21,FALSE)</f>
        <v>0</v>
      </c>
      <c r="X248" s="127">
        <f>VLOOKUP(C248,'Talente &amp; Stuff'!GX:HY,22,FALSE)</f>
        <v>0</v>
      </c>
      <c r="Y248" s="165">
        <f t="shared" si="20"/>
        <v>0</v>
      </c>
      <c r="Z248" s="44">
        <f t="shared" si="21"/>
        <v>0</v>
      </c>
      <c r="AA248" s="125">
        <f>VLOOKUP(C248,'Talente &amp; Stuff'!GX:HY,25,FALSE)</f>
        <v>0</v>
      </c>
      <c r="AB248" s="160">
        <f>VLOOKUP(C248,'Talente &amp; Stuff'!GX:HY,26,FALSE)</f>
        <v>0</v>
      </c>
      <c r="AC248" s="127">
        <f>VLOOKUP(C248,'Talente &amp; Stuff'!GX:HY,27,FALSE)</f>
        <v>0</v>
      </c>
      <c r="AD248" s="125">
        <f>VLOOKUP(C248,'Talente &amp; Stuff'!GX:HY,28,FALSE)</f>
        <v>0</v>
      </c>
      <c r="AE248" s="28"/>
    </row>
    <row r="249" spans="2:31" ht="15" hidden="1" customHeight="1" outlineLevel="2">
      <c r="B249" s="148">
        <v>37</v>
      </c>
      <c r="C249" s="177" t="str">
        <f>Attribute!C249</f>
        <v>---</v>
      </c>
      <c r="D249" s="125" t="str">
        <f>VLOOKUP(C249,'Talente &amp; Stuff'!GX:HY,2,FALSE)</f>
        <v>--/--/--</v>
      </c>
      <c r="E249" s="127" t="str">
        <f>VLOOKUP(C249,'Talente &amp; Stuff'!GX:HY,3,FALSE)</f>
        <v>-</v>
      </c>
      <c r="F249" s="114">
        <f>VLOOKUP(C249,'Talente &amp; Stuff'!GX:HY,4,FALSE)</f>
        <v>0</v>
      </c>
      <c r="G249" s="113">
        <f>VLOOKUP(C249,'Talente &amp; Stuff'!GX:HY,5,FALSE)</f>
        <v>0</v>
      </c>
      <c r="H249" s="113">
        <f>VLOOKUP(C249,'Talente &amp; Stuff'!GX:HY,6,FALSE)</f>
        <v>0</v>
      </c>
      <c r="I249" s="113">
        <f>VLOOKUP(C249,'Talente &amp; Stuff'!GX:HY,7,FALSE)</f>
        <v>0</v>
      </c>
      <c r="J249" s="113">
        <f>VLOOKUP(C249,'Talente &amp; Stuff'!GX:HY,8,FALSE)</f>
        <v>0</v>
      </c>
      <c r="K249" s="113">
        <f>VLOOKUP(C249,'Talente &amp; Stuff'!GX:HY,9,FALSE)</f>
        <v>0</v>
      </c>
      <c r="L249" s="113">
        <f>VLOOKUP(C249,'Talente &amp; Stuff'!GX:HY,10,FALSE)</f>
        <v>0</v>
      </c>
      <c r="M249" s="119">
        <f>VLOOKUP(C249,'Talente &amp; Stuff'!GX:HY,11,FALSE)</f>
        <v>0</v>
      </c>
      <c r="N249" s="47">
        <f>VLOOKUP(C249,'Talente &amp; Stuff'!GX:HY,12,FALSE)</f>
        <v>0</v>
      </c>
      <c r="O249" s="47">
        <f>VLOOKUP(C249,'Talente &amp; Stuff'!GX:HY,13,FALSE)</f>
        <v>0</v>
      </c>
      <c r="P249" s="119">
        <f>VLOOKUP(C249,'Talente &amp; Stuff'!GX:HY,14,FALSE)</f>
        <v>0</v>
      </c>
      <c r="Q249" s="114">
        <f>VLOOKUP(C249,'Talente &amp; Stuff'!GX:HY,15,FALSE)</f>
        <v>0</v>
      </c>
      <c r="R249" s="113">
        <f>VLOOKUP(C249,'Talente &amp; Stuff'!GX:HY,16,FALSE)</f>
        <v>0</v>
      </c>
      <c r="S249" s="119">
        <f>VLOOKUP(C249,'Talente &amp; Stuff'!GX:HY,17,FALSE)</f>
        <v>0</v>
      </c>
      <c r="T249" s="119">
        <f>VLOOKUP(C249,'Talente &amp; Stuff'!GX:HY,18,FALSE)</f>
        <v>0</v>
      </c>
      <c r="U249" s="89">
        <f>VLOOKUP(C249,'Talente &amp; Stuff'!GX:HY,19,FALSE)</f>
        <v>0</v>
      </c>
      <c r="V249" s="47">
        <f>VLOOKUP(C249,'Talente &amp; Stuff'!GX:HY,20,FALSE)</f>
        <v>0</v>
      </c>
      <c r="W249" s="127">
        <f>VLOOKUP(C249,'Talente &amp; Stuff'!GX:HY,21,FALSE)</f>
        <v>0</v>
      </c>
      <c r="X249" s="127">
        <f>VLOOKUP(C249,'Talente &amp; Stuff'!GX:HY,22,FALSE)</f>
        <v>0</v>
      </c>
      <c r="Y249" s="165">
        <f t="shared" si="20"/>
        <v>0</v>
      </c>
      <c r="Z249" s="44">
        <f t="shared" si="21"/>
        <v>0</v>
      </c>
      <c r="AA249" s="125">
        <f>VLOOKUP(C249,'Talente &amp; Stuff'!GX:HY,25,FALSE)</f>
        <v>0</v>
      </c>
      <c r="AB249" s="160">
        <f>VLOOKUP(C249,'Talente &amp; Stuff'!GX:HY,26,FALSE)</f>
        <v>0</v>
      </c>
      <c r="AC249" s="127">
        <f>VLOOKUP(C249,'Talente &amp; Stuff'!GX:HY,27,FALSE)</f>
        <v>0</v>
      </c>
      <c r="AD249" s="125">
        <f>VLOOKUP(C249,'Talente &amp; Stuff'!GX:HY,28,FALSE)</f>
        <v>0</v>
      </c>
      <c r="AE249" s="28"/>
    </row>
    <row r="250" spans="2:31" ht="15" hidden="1" customHeight="1" outlineLevel="2">
      <c r="B250" s="148">
        <v>38</v>
      </c>
      <c r="C250" s="177" t="str">
        <f>Attribute!C250</f>
        <v>---</v>
      </c>
      <c r="D250" s="125" t="str">
        <f>VLOOKUP(C250,'Talente &amp; Stuff'!GX:HY,2,FALSE)</f>
        <v>--/--/--</v>
      </c>
      <c r="E250" s="127" t="str">
        <f>VLOOKUP(C250,'Talente &amp; Stuff'!GX:HY,3,FALSE)</f>
        <v>-</v>
      </c>
      <c r="F250" s="114">
        <f>VLOOKUP(C250,'Talente &amp; Stuff'!GX:HY,4,FALSE)</f>
        <v>0</v>
      </c>
      <c r="G250" s="113">
        <f>VLOOKUP(C250,'Talente &amp; Stuff'!GX:HY,5,FALSE)</f>
        <v>0</v>
      </c>
      <c r="H250" s="113">
        <f>VLOOKUP(C250,'Talente &amp; Stuff'!GX:HY,6,FALSE)</f>
        <v>0</v>
      </c>
      <c r="I250" s="113">
        <f>VLOOKUP(C250,'Talente &amp; Stuff'!GX:HY,7,FALSE)</f>
        <v>0</v>
      </c>
      <c r="J250" s="113">
        <f>VLOOKUP(C250,'Talente &amp; Stuff'!GX:HY,8,FALSE)</f>
        <v>0</v>
      </c>
      <c r="K250" s="113">
        <f>VLOOKUP(C250,'Talente &amp; Stuff'!GX:HY,9,FALSE)</f>
        <v>0</v>
      </c>
      <c r="L250" s="113">
        <f>VLOOKUP(C250,'Talente &amp; Stuff'!GX:HY,10,FALSE)</f>
        <v>0</v>
      </c>
      <c r="M250" s="119">
        <f>VLOOKUP(C250,'Talente &amp; Stuff'!GX:HY,11,FALSE)</f>
        <v>0</v>
      </c>
      <c r="N250" s="47">
        <f>VLOOKUP(C250,'Talente &amp; Stuff'!GX:HY,12,FALSE)</f>
        <v>0</v>
      </c>
      <c r="O250" s="47">
        <f>VLOOKUP(C250,'Talente &amp; Stuff'!GX:HY,13,FALSE)</f>
        <v>0</v>
      </c>
      <c r="P250" s="119">
        <f>VLOOKUP(C250,'Talente &amp; Stuff'!GX:HY,14,FALSE)</f>
        <v>0</v>
      </c>
      <c r="Q250" s="114">
        <f>VLOOKUP(C250,'Talente &amp; Stuff'!GX:HY,15,FALSE)</f>
        <v>0</v>
      </c>
      <c r="R250" s="113">
        <f>VLOOKUP(C250,'Talente &amp; Stuff'!GX:HY,16,FALSE)</f>
        <v>0</v>
      </c>
      <c r="S250" s="119">
        <f>VLOOKUP(C250,'Talente &amp; Stuff'!GX:HY,17,FALSE)</f>
        <v>0</v>
      </c>
      <c r="T250" s="119">
        <f>VLOOKUP(C250,'Talente &amp; Stuff'!GX:HY,18,FALSE)</f>
        <v>0</v>
      </c>
      <c r="U250" s="89">
        <f>VLOOKUP(C250,'Talente &amp; Stuff'!GX:HY,19,FALSE)</f>
        <v>0</v>
      </c>
      <c r="V250" s="47">
        <f>VLOOKUP(C250,'Talente &amp; Stuff'!GX:HY,20,FALSE)</f>
        <v>0</v>
      </c>
      <c r="W250" s="127">
        <f>VLOOKUP(C250,'Talente &amp; Stuff'!GX:HY,21,FALSE)</f>
        <v>0</v>
      </c>
      <c r="X250" s="127">
        <f>VLOOKUP(C250,'Talente &amp; Stuff'!GX:HY,22,FALSE)</f>
        <v>0</v>
      </c>
      <c r="Y250" s="165">
        <f t="shared" si="20"/>
        <v>0</v>
      </c>
      <c r="Z250" s="44">
        <f t="shared" si="21"/>
        <v>0</v>
      </c>
      <c r="AA250" s="125">
        <f>VLOOKUP(C250,'Talente &amp; Stuff'!GX:HY,25,FALSE)</f>
        <v>0</v>
      </c>
      <c r="AB250" s="160">
        <f>VLOOKUP(C250,'Talente &amp; Stuff'!GX:HY,26,FALSE)</f>
        <v>0</v>
      </c>
      <c r="AC250" s="127">
        <f>VLOOKUP(C250,'Talente &amp; Stuff'!GX:HY,27,FALSE)</f>
        <v>0</v>
      </c>
      <c r="AD250" s="125">
        <f>VLOOKUP(C250,'Talente &amp; Stuff'!GX:HY,28,FALSE)</f>
        <v>0</v>
      </c>
      <c r="AE250" s="28"/>
    </row>
    <row r="251" spans="2:31" ht="15" hidden="1" customHeight="1" outlineLevel="2">
      <c r="B251" s="148">
        <v>39</v>
      </c>
      <c r="C251" s="177" t="str">
        <f>Attribute!C251</f>
        <v>---</v>
      </c>
      <c r="D251" s="125" t="str">
        <f>VLOOKUP(C251,'Talente &amp; Stuff'!GX:HY,2,FALSE)</f>
        <v>--/--/--</v>
      </c>
      <c r="E251" s="127" t="str">
        <f>VLOOKUP(C251,'Talente &amp; Stuff'!GX:HY,3,FALSE)</f>
        <v>-</v>
      </c>
      <c r="F251" s="114">
        <f>VLOOKUP(C251,'Talente &amp; Stuff'!GX:HY,4,FALSE)</f>
        <v>0</v>
      </c>
      <c r="G251" s="113">
        <f>VLOOKUP(C251,'Talente &amp; Stuff'!GX:HY,5,FALSE)</f>
        <v>0</v>
      </c>
      <c r="H251" s="113">
        <f>VLOOKUP(C251,'Talente &amp; Stuff'!GX:HY,6,FALSE)</f>
        <v>0</v>
      </c>
      <c r="I251" s="113">
        <f>VLOOKUP(C251,'Talente &amp; Stuff'!GX:HY,7,FALSE)</f>
        <v>0</v>
      </c>
      <c r="J251" s="113">
        <f>VLOOKUP(C251,'Talente &amp; Stuff'!GX:HY,8,FALSE)</f>
        <v>0</v>
      </c>
      <c r="K251" s="113">
        <f>VLOOKUP(C251,'Talente &amp; Stuff'!GX:HY,9,FALSE)</f>
        <v>0</v>
      </c>
      <c r="L251" s="113">
        <f>VLOOKUP(C251,'Talente &amp; Stuff'!GX:HY,10,FALSE)</f>
        <v>0</v>
      </c>
      <c r="M251" s="119">
        <f>VLOOKUP(C251,'Talente &amp; Stuff'!GX:HY,11,FALSE)</f>
        <v>0</v>
      </c>
      <c r="N251" s="47">
        <f>VLOOKUP(C251,'Talente &amp; Stuff'!GX:HY,12,FALSE)</f>
        <v>0</v>
      </c>
      <c r="O251" s="47">
        <f>VLOOKUP(C251,'Talente &amp; Stuff'!GX:HY,13,FALSE)</f>
        <v>0</v>
      </c>
      <c r="P251" s="119">
        <f>VLOOKUP(C251,'Talente &amp; Stuff'!GX:HY,14,FALSE)</f>
        <v>0</v>
      </c>
      <c r="Q251" s="114">
        <f>VLOOKUP(C251,'Talente &amp; Stuff'!GX:HY,15,FALSE)</f>
        <v>0</v>
      </c>
      <c r="R251" s="113">
        <f>VLOOKUP(C251,'Talente &amp; Stuff'!GX:HY,16,FALSE)</f>
        <v>0</v>
      </c>
      <c r="S251" s="119">
        <f>VLOOKUP(C251,'Talente &amp; Stuff'!GX:HY,17,FALSE)</f>
        <v>0</v>
      </c>
      <c r="T251" s="119">
        <f>VLOOKUP(C251,'Talente &amp; Stuff'!GX:HY,18,FALSE)</f>
        <v>0</v>
      </c>
      <c r="U251" s="89">
        <f>VLOOKUP(C251,'Talente &amp; Stuff'!GX:HY,19,FALSE)</f>
        <v>0</v>
      </c>
      <c r="V251" s="47">
        <f>VLOOKUP(C251,'Talente &amp; Stuff'!GX:HY,20,FALSE)</f>
        <v>0</v>
      </c>
      <c r="W251" s="127">
        <f>VLOOKUP(C251,'Talente &amp; Stuff'!GX:HY,21,FALSE)</f>
        <v>0</v>
      </c>
      <c r="X251" s="127">
        <f>VLOOKUP(C251,'Talente &amp; Stuff'!GX:HY,22,FALSE)</f>
        <v>0</v>
      </c>
      <c r="Y251" s="165">
        <f t="shared" si="20"/>
        <v>0</v>
      </c>
      <c r="Z251" s="44">
        <f t="shared" si="21"/>
        <v>0</v>
      </c>
      <c r="AA251" s="125">
        <f>VLOOKUP(C251,'Talente &amp; Stuff'!GX:HY,25,FALSE)</f>
        <v>0</v>
      </c>
      <c r="AB251" s="160">
        <f>VLOOKUP(C251,'Talente &amp; Stuff'!GX:HY,26,FALSE)</f>
        <v>0</v>
      </c>
      <c r="AC251" s="127">
        <f>VLOOKUP(C251,'Talente &amp; Stuff'!GX:HY,27,FALSE)</f>
        <v>0</v>
      </c>
      <c r="AD251" s="125">
        <f>VLOOKUP(C251,'Talente &amp; Stuff'!GX:HY,28,FALSE)</f>
        <v>0</v>
      </c>
      <c r="AE251" s="28"/>
    </row>
    <row r="252" spans="2:31" ht="15" hidden="1" customHeight="1" outlineLevel="2">
      <c r="B252" s="148">
        <v>40</v>
      </c>
      <c r="C252" s="177" t="str">
        <f>Attribute!C252</f>
        <v>---</v>
      </c>
      <c r="D252" s="86" t="str">
        <f>VLOOKUP(C252,'Talente &amp; Stuff'!GX:HY,2,FALSE)</f>
        <v>--/--/--</v>
      </c>
      <c r="E252" s="127" t="str">
        <f>VLOOKUP(C252,'Talente &amp; Stuff'!GX:HY,3,FALSE)</f>
        <v>-</v>
      </c>
      <c r="F252" s="114">
        <f>VLOOKUP(C252,'Talente &amp; Stuff'!GX:HY,4,FALSE)</f>
        <v>0</v>
      </c>
      <c r="G252" s="113">
        <f>VLOOKUP(C252,'Talente &amp; Stuff'!GX:HY,5,FALSE)</f>
        <v>0</v>
      </c>
      <c r="H252" s="113">
        <f>VLOOKUP(C252,'Talente &amp; Stuff'!GX:HY,6,FALSE)</f>
        <v>0</v>
      </c>
      <c r="I252" s="113">
        <f>VLOOKUP(C252,'Talente &amp; Stuff'!GX:HY,7,FALSE)</f>
        <v>0</v>
      </c>
      <c r="J252" s="113">
        <f>VLOOKUP(C252,'Talente &amp; Stuff'!GX:HY,8,FALSE)</f>
        <v>0</v>
      </c>
      <c r="K252" s="113">
        <f>VLOOKUP(C252,'Talente &amp; Stuff'!GX:HY,9,FALSE)</f>
        <v>0</v>
      </c>
      <c r="L252" s="113">
        <f>VLOOKUP(C252,'Talente &amp; Stuff'!GX:HY,10,FALSE)</f>
        <v>0</v>
      </c>
      <c r="M252" s="119">
        <f>VLOOKUP(C252,'Talente &amp; Stuff'!GX:HY,11,FALSE)</f>
        <v>0</v>
      </c>
      <c r="N252" s="47">
        <f>VLOOKUP(C252,'Talente &amp; Stuff'!GX:HY,12,FALSE)</f>
        <v>0</v>
      </c>
      <c r="O252" s="3">
        <f>VLOOKUP(C252,'Talente &amp; Stuff'!GX:HY,13,FALSE)</f>
        <v>0</v>
      </c>
      <c r="P252" s="174">
        <f>VLOOKUP(C252,'Talente &amp; Stuff'!GX:HY,14,FALSE)</f>
        <v>0</v>
      </c>
      <c r="Q252" s="114">
        <f>VLOOKUP(C252,'Talente &amp; Stuff'!GX:HY,15,FALSE)</f>
        <v>0</v>
      </c>
      <c r="R252" s="113">
        <f>VLOOKUP(C252,'Talente &amp; Stuff'!GX:HY,16,FALSE)</f>
        <v>0</v>
      </c>
      <c r="S252" s="119">
        <f>VLOOKUP(C252,'Talente &amp; Stuff'!GX:HY,17,FALSE)</f>
        <v>0</v>
      </c>
      <c r="T252" s="119">
        <f>VLOOKUP(C252,'Talente &amp; Stuff'!GX:HY,18,FALSE)</f>
        <v>0</v>
      </c>
      <c r="U252" s="89">
        <f>VLOOKUP(C252,'Talente &amp; Stuff'!GX:HY,19,FALSE)</f>
        <v>0</v>
      </c>
      <c r="V252" s="47">
        <f>VLOOKUP(C252,'Talente &amp; Stuff'!GX:HY,20,FALSE)</f>
        <v>0</v>
      </c>
      <c r="W252" s="127">
        <f>VLOOKUP(C252,'Talente &amp; Stuff'!GX:HY,21,FALSE)</f>
        <v>0</v>
      </c>
      <c r="X252" s="127">
        <f>VLOOKUP(C252,'Talente &amp; Stuff'!GX:HY,22,FALSE)</f>
        <v>0</v>
      </c>
      <c r="Y252" s="165">
        <f t="shared" si="20"/>
        <v>0</v>
      </c>
      <c r="Z252" s="44">
        <f t="shared" si="21"/>
        <v>0</v>
      </c>
      <c r="AA252" s="125">
        <f>VLOOKUP(C252,'Talente &amp; Stuff'!GX:HY,25,FALSE)</f>
        <v>0</v>
      </c>
      <c r="AB252" s="160">
        <f>VLOOKUP(C252,'Talente &amp; Stuff'!GX:HY,26,FALSE)</f>
        <v>0</v>
      </c>
      <c r="AC252" s="127">
        <f>VLOOKUP(C252,'Talente &amp; Stuff'!GX:HY,27,FALSE)</f>
        <v>0</v>
      </c>
      <c r="AD252" s="125">
        <f>VLOOKUP(C252,'Talente &amp; Stuff'!GX:HY,28,FALSE)</f>
        <v>0</v>
      </c>
      <c r="AE252" s="28"/>
    </row>
    <row r="253" spans="2:31" ht="15" hidden="1" customHeight="1" outlineLevel="2">
      <c r="B253" s="148">
        <v>41</v>
      </c>
      <c r="C253" s="177" t="str">
        <f>Attribute!C253</f>
        <v>---</v>
      </c>
      <c r="D253" s="125" t="str">
        <f>VLOOKUP(C253,'Talente &amp; Stuff'!GX:HY,2,FALSE)</f>
        <v>--/--/--</v>
      </c>
      <c r="E253" s="127" t="str">
        <f>VLOOKUP(C253,'Talente &amp; Stuff'!GX:HY,3,FALSE)</f>
        <v>-</v>
      </c>
      <c r="F253" s="114">
        <f>VLOOKUP(C253,'Talente &amp; Stuff'!GX:HY,4,FALSE)</f>
        <v>0</v>
      </c>
      <c r="G253" s="113">
        <f>VLOOKUP(C253,'Talente &amp; Stuff'!GX:HY,5,FALSE)</f>
        <v>0</v>
      </c>
      <c r="H253" s="113">
        <f>VLOOKUP(C253,'Talente &amp; Stuff'!GX:HY,6,FALSE)</f>
        <v>0</v>
      </c>
      <c r="I253" s="113">
        <f>VLOOKUP(C253,'Talente &amp; Stuff'!GX:HY,7,FALSE)</f>
        <v>0</v>
      </c>
      <c r="J253" s="113">
        <f>VLOOKUP(C253,'Talente &amp; Stuff'!GX:HY,8,FALSE)</f>
        <v>0</v>
      </c>
      <c r="K253" s="113">
        <f>VLOOKUP(C253,'Talente &amp; Stuff'!GX:HY,9,FALSE)</f>
        <v>0</v>
      </c>
      <c r="L253" s="113">
        <f>VLOOKUP(C253,'Talente &amp; Stuff'!GX:HY,10,FALSE)</f>
        <v>0</v>
      </c>
      <c r="M253" s="119">
        <f>VLOOKUP(C253,'Talente &amp; Stuff'!GX:HY,11,FALSE)</f>
        <v>0</v>
      </c>
      <c r="N253" s="47">
        <f>VLOOKUP(C253,'Talente &amp; Stuff'!GX:HY,12,FALSE)</f>
        <v>0</v>
      </c>
      <c r="O253" s="47">
        <f>VLOOKUP(C253,'Talente &amp; Stuff'!GX:HY,13,FALSE)</f>
        <v>0</v>
      </c>
      <c r="P253" s="119">
        <f>VLOOKUP(C253,'Talente &amp; Stuff'!GX:HY,14,FALSE)</f>
        <v>0</v>
      </c>
      <c r="Q253" s="114">
        <f>VLOOKUP(C253,'Talente &amp; Stuff'!GX:HY,15,FALSE)</f>
        <v>0</v>
      </c>
      <c r="R253" s="113">
        <f>VLOOKUP(C253,'Talente &amp; Stuff'!GX:HY,16,FALSE)</f>
        <v>0</v>
      </c>
      <c r="S253" s="119">
        <f>VLOOKUP(C253,'Talente &amp; Stuff'!GX:HY,17,FALSE)</f>
        <v>0</v>
      </c>
      <c r="T253" s="119">
        <f>VLOOKUP(C253,'Talente &amp; Stuff'!GX:HY,18,FALSE)</f>
        <v>0</v>
      </c>
      <c r="U253" s="89">
        <f>VLOOKUP(C253,'Talente &amp; Stuff'!GX:HY,19,FALSE)</f>
        <v>0</v>
      </c>
      <c r="V253" s="47">
        <f>VLOOKUP(C253,'Talente &amp; Stuff'!GX:HY,20,FALSE)</f>
        <v>0</v>
      </c>
      <c r="W253" s="127">
        <f>VLOOKUP(C253,'Talente &amp; Stuff'!GX:HY,21,FALSE)</f>
        <v>0</v>
      </c>
      <c r="X253" s="127">
        <f>VLOOKUP(C253,'Talente &amp; Stuff'!GX:HY,22,FALSE)</f>
        <v>0</v>
      </c>
      <c r="Y253" s="165">
        <f t="shared" si="20"/>
        <v>0</v>
      </c>
      <c r="Z253" s="44">
        <f t="shared" si="21"/>
        <v>0</v>
      </c>
      <c r="AA253" s="125">
        <f>VLOOKUP(C253,'Talente &amp; Stuff'!GX:HY,25,FALSE)</f>
        <v>0</v>
      </c>
      <c r="AB253" s="160">
        <f>VLOOKUP(C253,'Talente &amp; Stuff'!GX:HY,26,FALSE)</f>
        <v>0</v>
      </c>
      <c r="AC253" s="127">
        <f>VLOOKUP(C253,'Talente &amp; Stuff'!GX:HY,27,FALSE)</f>
        <v>0</v>
      </c>
      <c r="AD253" s="125">
        <f>VLOOKUP(C253,'Talente &amp; Stuff'!GX:HY,28,FALSE)</f>
        <v>0</v>
      </c>
      <c r="AE253" s="28"/>
    </row>
    <row r="254" spans="2:31" ht="15" hidden="1" customHeight="1" outlineLevel="2">
      <c r="B254" s="148">
        <v>42</v>
      </c>
      <c r="C254" s="177" t="str">
        <f>Attribute!C254</f>
        <v>---</v>
      </c>
      <c r="D254" s="125" t="str">
        <f>VLOOKUP(C254,'Talente &amp; Stuff'!GX:HY,2,FALSE)</f>
        <v>--/--/--</v>
      </c>
      <c r="E254" s="127" t="str">
        <f>VLOOKUP(C254,'Talente &amp; Stuff'!GX:HY,3,FALSE)</f>
        <v>-</v>
      </c>
      <c r="F254" s="114">
        <f>VLOOKUP(C254,'Talente &amp; Stuff'!GX:HY,4,FALSE)</f>
        <v>0</v>
      </c>
      <c r="G254" s="113">
        <f>VLOOKUP(C254,'Talente &amp; Stuff'!GX:HY,5,FALSE)</f>
        <v>0</v>
      </c>
      <c r="H254" s="113">
        <f>VLOOKUP(C254,'Talente &amp; Stuff'!GX:HY,6,FALSE)</f>
        <v>0</v>
      </c>
      <c r="I254" s="113">
        <f>VLOOKUP(C254,'Talente &amp; Stuff'!GX:HY,7,FALSE)</f>
        <v>0</v>
      </c>
      <c r="J254" s="113">
        <f>VLOOKUP(C254,'Talente &amp; Stuff'!GX:HY,8,FALSE)</f>
        <v>0</v>
      </c>
      <c r="K254" s="113">
        <f>VLOOKUP(C254,'Talente &amp; Stuff'!GX:HY,9,FALSE)</f>
        <v>0</v>
      </c>
      <c r="L254" s="113">
        <f>VLOOKUP(C254,'Talente &amp; Stuff'!GX:HY,10,FALSE)</f>
        <v>0</v>
      </c>
      <c r="M254" s="119">
        <f>VLOOKUP(C254,'Talente &amp; Stuff'!GX:HY,11,FALSE)</f>
        <v>0</v>
      </c>
      <c r="N254" s="47">
        <f>VLOOKUP(C254,'Talente &amp; Stuff'!GX:HY,12,FALSE)</f>
        <v>0</v>
      </c>
      <c r="O254" s="47">
        <f>VLOOKUP(C254,'Talente &amp; Stuff'!GX:HY,13,FALSE)</f>
        <v>0</v>
      </c>
      <c r="P254" s="119">
        <f>VLOOKUP(C254,'Talente &amp; Stuff'!GX:HY,14,FALSE)</f>
        <v>0</v>
      </c>
      <c r="Q254" s="114">
        <f>VLOOKUP(C254,'Talente &amp; Stuff'!GX:HY,15,FALSE)</f>
        <v>0</v>
      </c>
      <c r="R254" s="113">
        <f>VLOOKUP(C254,'Talente &amp; Stuff'!GX:HY,16,FALSE)</f>
        <v>0</v>
      </c>
      <c r="S254" s="119">
        <f>VLOOKUP(C254,'Talente &amp; Stuff'!GX:HY,17,FALSE)</f>
        <v>0</v>
      </c>
      <c r="T254" s="119">
        <f>VLOOKUP(C254,'Talente &amp; Stuff'!GX:HY,18,FALSE)</f>
        <v>0</v>
      </c>
      <c r="U254" s="89">
        <f>VLOOKUP(C254,'Talente &amp; Stuff'!GX:HY,19,FALSE)</f>
        <v>0</v>
      </c>
      <c r="V254" s="47">
        <f>VLOOKUP(C254,'Talente &amp; Stuff'!GX:HY,20,FALSE)</f>
        <v>0</v>
      </c>
      <c r="W254" s="127">
        <f>VLOOKUP(C254,'Talente &amp; Stuff'!GX:HY,21,FALSE)</f>
        <v>0</v>
      </c>
      <c r="X254" s="127">
        <f>VLOOKUP(C254,'Talente &amp; Stuff'!GX:HY,22,FALSE)</f>
        <v>0</v>
      </c>
      <c r="Y254" s="165">
        <f t="shared" si="20"/>
        <v>0</v>
      </c>
      <c r="Z254" s="44">
        <f t="shared" si="21"/>
        <v>0</v>
      </c>
      <c r="AA254" s="125">
        <f>VLOOKUP(C254,'Talente &amp; Stuff'!GX:HY,25,FALSE)</f>
        <v>0</v>
      </c>
      <c r="AB254" s="160">
        <f>VLOOKUP(C254,'Talente &amp; Stuff'!GX:HY,26,FALSE)</f>
        <v>0</v>
      </c>
      <c r="AC254" s="127">
        <f>VLOOKUP(C254,'Talente &amp; Stuff'!GX:HY,27,FALSE)</f>
        <v>0</v>
      </c>
      <c r="AD254" s="125">
        <f>VLOOKUP(C254,'Talente &amp; Stuff'!GX:HY,28,FALSE)</f>
        <v>0</v>
      </c>
      <c r="AE254" s="28"/>
    </row>
    <row r="255" spans="2:31" ht="15" hidden="1" customHeight="1" outlineLevel="2">
      <c r="B255" s="148">
        <v>43</v>
      </c>
      <c r="C255" s="177" t="str">
        <f>Attribute!C255</f>
        <v>---</v>
      </c>
      <c r="D255" s="86" t="str">
        <f>VLOOKUP(C255,'Talente &amp; Stuff'!GX:HY,2,FALSE)</f>
        <v>--/--/--</v>
      </c>
      <c r="E255" s="127" t="str">
        <f>VLOOKUP(C255,'Talente &amp; Stuff'!GX:HY,3,FALSE)</f>
        <v>-</v>
      </c>
      <c r="F255" s="114">
        <f>VLOOKUP(C255,'Talente &amp; Stuff'!GX:HY,4,FALSE)</f>
        <v>0</v>
      </c>
      <c r="G255" s="113">
        <f>VLOOKUP(C255,'Talente &amp; Stuff'!GX:HY,5,FALSE)</f>
        <v>0</v>
      </c>
      <c r="H255" s="113">
        <f>VLOOKUP(C255,'Talente &amp; Stuff'!GX:HY,6,FALSE)</f>
        <v>0</v>
      </c>
      <c r="I255" s="113">
        <f>VLOOKUP(C255,'Talente &amp; Stuff'!GX:HY,7,FALSE)</f>
        <v>0</v>
      </c>
      <c r="J255" s="113">
        <f>VLOOKUP(C255,'Talente &amp; Stuff'!GX:HY,8,FALSE)</f>
        <v>0</v>
      </c>
      <c r="K255" s="113">
        <f>VLOOKUP(C255,'Talente &amp; Stuff'!GX:HY,9,FALSE)</f>
        <v>0</v>
      </c>
      <c r="L255" s="113">
        <f>VLOOKUP(C255,'Talente &amp; Stuff'!GX:HY,10,FALSE)</f>
        <v>0</v>
      </c>
      <c r="M255" s="119">
        <f>VLOOKUP(C255,'Talente &amp; Stuff'!GX:HY,11,FALSE)</f>
        <v>0</v>
      </c>
      <c r="N255" s="47">
        <f>VLOOKUP(C255,'Talente &amp; Stuff'!GX:HY,12,FALSE)</f>
        <v>0</v>
      </c>
      <c r="O255" s="3">
        <f>VLOOKUP(C255,'Talente &amp; Stuff'!GX:HY,13,FALSE)</f>
        <v>0</v>
      </c>
      <c r="P255" s="174">
        <f>VLOOKUP(C255,'Talente &amp; Stuff'!GX:HY,14,FALSE)</f>
        <v>0</v>
      </c>
      <c r="Q255" s="114">
        <f>VLOOKUP(C255,'Talente &amp; Stuff'!GX:HY,15,FALSE)</f>
        <v>0</v>
      </c>
      <c r="R255" s="113">
        <f>VLOOKUP(C255,'Talente &amp; Stuff'!GX:HY,16,FALSE)</f>
        <v>0</v>
      </c>
      <c r="S255" s="119">
        <f>VLOOKUP(C255,'Talente &amp; Stuff'!GX:HY,17,FALSE)</f>
        <v>0</v>
      </c>
      <c r="T255" s="119">
        <f>VLOOKUP(C255,'Talente &amp; Stuff'!GX:HY,18,FALSE)</f>
        <v>0</v>
      </c>
      <c r="U255" s="89">
        <f>VLOOKUP(C255,'Talente &amp; Stuff'!GX:HY,19,FALSE)</f>
        <v>0</v>
      </c>
      <c r="V255" s="47">
        <f>VLOOKUP(C255,'Talente &amp; Stuff'!GX:HY,20,FALSE)</f>
        <v>0</v>
      </c>
      <c r="W255" s="127">
        <f>VLOOKUP(C255,'Talente &amp; Stuff'!GX:HY,21,FALSE)</f>
        <v>0</v>
      </c>
      <c r="X255" s="127">
        <f>VLOOKUP(C255,'Talente &amp; Stuff'!GX:HY,22,FALSE)</f>
        <v>0</v>
      </c>
      <c r="Y255" s="165">
        <f t="shared" si="20"/>
        <v>0</v>
      </c>
      <c r="Z255" s="44">
        <f t="shared" si="21"/>
        <v>0</v>
      </c>
      <c r="AA255" s="125">
        <f>VLOOKUP(C255,'Talente &amp; Stuff'!GX:HY,25,FALSE)</f>
        <v>0</v>
      </c>
      <c r="AB255" s="160">
        <f>VLOOKUP(C255,'Talente &amp; Stuff'!GX:HY,26,FALSE)</f>
        <v>0</v>
      </c>
      <c r="AC255" s="127">
        <f>VLOOKUP(C255,'Talente &amp; Stuff'!GX:HY,27,FALSE)</f>
        <v>0</v>
      </c>
      <c r="AD255" s="125">
        <f>VLOOKUP(C255,'Talente &amp; Stuff'!GX:HY,28,FALSE)</f>
        <v>0</v>
      </c>
      <c r="AE255" s="28"/>
    </row>
    <row r="256" spans="2:31" ht="15" hidden="1" customHeight="1" outlineLevel="2">
      <c r="B256" s="148">
        <v>44</v>
      </c>
      <c r="C256" s="177" t="str">
        <f>Attribute!C256</f>
        <v>---</v>
      </c>
      <c r="D256" s="125" t="str">
        <f>VLOOKUP(C256,'Talente &amp; Stuff'!GX:HY,2,FALSE)</f>
        <v>--/--/--</v>
      </c>
      <c r="E256" s="127" t="str">
        <f>VLOOKUP(C256,'Talente &amp; Stuff'!GX:HY,3,FALSE)</f>
        <v>-</v>
      </c>
      <c r="F256" s="114">
        <f>VLOOKUP(C256,'Talente &amp; Stuff'!GX:HY,4,FALSE)</f>
        <v>0</v>
      </c>
      <c r="G256" s="113">
        <f>VLOOKUP(C256,'Talente &amp; Stuff'!GX:HY,5,FALSE)</f>
        <v>0</v>
      </c>
      <c r="H256" s="113">
        <f>VLOOKUP(C256,'Talente &amp; Stuff'!GX:HY,6,FALSE)</f>
        <v>0</v>
      </c>
      <c r="I256" s="113">
        <f>VLOOKUP(C256,'Talente &amp; Stuff'!GX:HY,7,FALSE)</f>
        <v>0</v>
      </c>
      <c r="J256" s="113">
        <f>VLOOKUP(C256,'Talente &amp; Stuff'!GX:HY,8,FALSE)</f>
        <v>0</v>
      </c>
      <c r="K256" s="113">
        <f>VLOOKUP(C256,'Talente &amp; Stuff'!GX:HY,9,FALSE)</f>
        <v>0</v>
      </c>
      <c r="L256" s="113">
        <f>VLOOKUP(C256,'Talente &amp; Stuff'!GX:HY,10,FALSE)</f>
        <v>0</v>
      </c>
      <c r="M256" s="119">
        <f>VLOOKUP(C256,'Talente &amp; Stuff'!GX:HY,11,FALSE)</f>
        <v>0</v>
      </c>
      <c r="N256" s="47">
        <f>VLOOKUP(C256,'Talente &amp; Stuff'!GX:HY,12,FALSE)</f>
        <v>0</v>
      </c>
      <c r="O256" s="47">
        <f>VLOOKUP(C256,'Talente &amp; Stuff'!GX:HY,13,FALSE)</f>
        <v>0</v>
      </c>
      <c r="P256" s="119">
        <f>VLOOKUP(C256,'Talente &amp; Stuff'!GX:HY,14,FALSE)</f>
        <v>0</v>
      </c>
      <c r="Q256" s="114">
        <f>VLOOKUP(C256,'Talente &amp; Stuff'!GX:HY,15,FALSE)</f>
        <v>0</v>
      </c>
      <c r="R256" s="113">
        <f>VLOOKUP(C256,'Talente &amp; Stuff'!GX:HY,16,FALSE)</f>
        <v>0</v>
      </c>
      <c r="S256" s="119">
        <f>VLOOKUP(C256,'Talente &amp; Stuff'!GX:HY,17,FALSE)</f>
        <v>0</v>
      </c>
      <c r="T256" s="119">
        <f>VLOOKUP(C256,'Talente &amp; Stuff'!GX:HY,18,FALSE)</f>
        <v>0</v>
      </c>
      <c r="U256" s="89">
        <f>VLOOKUP(C256,'Talente &amp; Stuff'!GX:HY,19,FALSE)</f>
        <v>0</v>
      </c>
      <c r="V256" s="47">
        <f>VLOOKUP(C256,'Talente &amp; Stuff'!GX:HY,20,FALSE)</f>
        <v>0</v>
      </c>
      <c r="W256" s="127">
        <f>VLOOKUP(C256,'Talente &amp; Stuff'!GX:HY,21,FALSE)</f>
        <v>0</v>
      </c>
      <c r="X256" s="127">
        <f>VLOOKUP(C256,'Talente &amp; Stuff'!GX:HY,22,FALSE)</f>
        <v>0</v>
      </c>
      <c r="Y256" s="165">
        <f t="shared" si="20"/>
        <v>0</v>
      </c>
      <c r="Z256" s="44">
        <f t="shared" si="21"/>
        <v>0</v>
      </c>
      <c r="AA256" s="125">
        <f>VLOOKUP(C256,'Talente &amp; Stuff'!GX:HY,25,FALSE)</f>
        <v>0</v>
      </c>
      <c r="AB256" s="160">
        <f>VLOOKUP(C256,'Talente &amp; Stuff'!GX:HY,26,FALSE)</f>
        <v>0</v>
      </c>
      <c r="AC256" s="127">
        <f>VLOOKUP(C256,'Talente &amp; Stuff'!GX:HY,27,FALSE)</f>
        <v>0</v>
      </c>
      <c r="AD256" s="125">
        <f>VLOOKUP(C256,'Talente &amp; Stuff'!GX:HY,28,FALSE)</f>
        <v>0</v>
      </c>
      <c r="AE256" s="28"/>
    </row>
    <row r="257" spans="2:31" ht="15" hidden="1" customHeight="1" outlineLevel="2">
      <c r="B257" s="148">
        <v>45</v>
      </c>
      <c r="C257" s="178" t="str">
        <f>Attribute!C257</f>
        <v>---</v>
      </c>
      <c r="D257" s="159" t="str">
        <f>VLOOKUP(C257,'Talente &amp; Stuff'!GX:HY,2,FALSE)</f>
        <v>--/--/--</v>
      </c>
      <c r="E257" s="128" t="str">
        <f>VLOOKUP(C257,'Talente &amp; Stuff'!GX:HY,3,FALSE)</f>
        <v>-</v>
      </c>
      <c r="F257" s="115">
        <f>VLOOKUP(C257,'Talente &amp; Stuff'!GX:HY,4,FALSE)</f>
        <v>0</v>
      </c>
      <c r="G257" s="122">
        <f>VLOOKUP(C257,'Talente &amp; Stuff'!GX:HY,5,FALSE)</f>
        <v>0</v>
      </c>
      <c r="H257" s="122">
        <f>VLOOKUP(C257,'Talente &amp; Stuff'!GX:HY,6,FALSE)</f>
        <v>0</v>
      </c>
      <c r="I257" s="122">
        <f>VLOOKUP(C257,'Talente &amp; Stuff'!GX:HY,7,FALSE)</f>
        <v>0</v>
      </c>
      <c r="J257" s="122">
        <f>VLOOKUP(C257,'Talente &amp; Stuff'!GX:HY,8,FALSE)</f>
        <v>0</v>
      </c>
      <c r="K257" s="122">
        <f>VLOOKUP(C257,'Talente &amp; Stuff'!GX:HY,9,FALSE)</f>
        <v>0</v>
      </c>
      <c r="L257" s="122">
        <f>VLOOKUP(C257,'Talente &amp; Stuff'!GX:HY,10,FALSE)</f>
        <v>0</v>
      </c>
      <c r="M257" s="123">
        <f>VLOOKUP(C257,'Talente &amp; Stuff'!GX:HY,11,FALSE)</f>
        <v>0</v>
      </c>
      <c r="N257" s="88">
        <f>VLOOKUP(C257,'Talente &amp; Stuff'!GX:HY,12,FALSE)</f>
        <v>0</v>
      </c>
      <c r="O257" s="88">
        <f>VLOOKUP(C257,'Talente &amp; Stuff'!GX:HY,13,FALSE)</f>
        <v>0</v>
      </c>
      <c r="P257" s="123">
        <f>VLOOKUP(C257,'Talente &amp; Stuff'!GX:HY,14,FALSE)</f>
        <v>0</v>
      </c>
      <c r="Q257" s="115">
        <f>VLOOKUP(C257,'Talente &amp; Stuff'!GX:HY,15,FALSE)</f>
        <v>0</v>
      </c>
      <c r="R257" s="122">
        <f>VLOOKUP(C257,'Talente &amp; Stuff'!GX:HY,16,FALSE)</f>
        <v>0</v>
      </c>
      <c r="S257" s="123">
        <f>VLOOKUP(C257,'Talente &amp; Stuff'!GX:HY,17,FALSE)</f>
        <v>0</v>
      </c>
      <c r="T257" s="123">
        <f>VLOOKUP(C257,'Talente &amp; Stuff'!GX:HY,18,FALSE)</f>
        <v>0</v>
      </c>
      <c r="U257" s="90">
        <f>VLOOKUP(C257,'Talente &amp; Stuff'!GX:HY,19,FALSE)</f>
        <v>0</v>
      </c>
      <c r="V257" s="88">
        <f>VLOOKUP(C257,'Talente &amp; Stuff'!GX:HY,20,FALSE)</f>
        <v>0</v>
      </c>
      <c r="W257" s="128">
        <f>VLOOKUP(C257,'Talente &amp; Stuff'!GX:HY,21,FALSE)</f>
        <v>0</v>
      </c>
      <c r="X257" s="128">
        <f>VLOOKUP(C257,'Talente &amp; Stuff'!GX:HY,22,FALSE)</f>
        <v>0</v>
      </c>
      <c r="Y257" s="165">
        <f t="shared" si="20"/>
        <v>0</v>
      </c>
      <c r="Z257" s="44">
        <f t="shared" si="21"/>
        <v>0</v>
      </c>
      <c r="AA257" s="159">
        <f>VLOOKUP(C257,'Talente &amp; Stuff'!GX:HY,25,FALSE)</f>
        <v>0</v>
      </c>
      <c r="AB257" s="161">
        <f>VLOOKUP(C257,'Talente &amp; Stuff'!GX:HY,26,FALSE)</f>
        <v>0</v>
      </c>
      <c r="AC257" s="128">
        <f>VLOOKUP(C257,'Talente &amp; Stuff'!GX:HY,27,FALSE)</f>
        <v>0</v>
      </c>
      <c r="AD257" s="159">
        <f>VLOOKUP(C257,'Talente &amp; Stuff'!GX:HY,28,FALSE)</f>
        <v>0</v>
      </c>
      <c r="AE257" s="28"/>
    </row>
    <row r="258" spans="2:31" ht="15" hidden="1" customHeight="1" outlineLevel="1" collapsed="1">
      <c r="B258" s="134" t="s">
        <v>407</v>
      </c>
      <c r="C258" s="83"/>
      <c r="D258" s="84"/>
      <c r="E258" s="84"/>
    </row>
    <row r="259" spans="2:31" ht="15" hidden="1" customHeight="1" outlineLevel="2">
      <c r="B259" s="148">
        <v>1</v>
      </c>
      <c r="C259" s="200" t="str">
        <f>Attribute!C259</f>
        <v>---</v>
      </c>
      <c r="D259" s="186" t="str">
        <f>VLOOKUP(C259,'Talente &amp; Stuff'!GX:HY,2,FALSE)</f>
        <v>--/--/--</v>
      </c>
      <c r="E259" s="40" t="str">
        <f>VLOOKUP(C259,'Talente &amp; Stuff'!GX:HY,3,FALSE)</f>
        <v>-</v>
      </c>
      <c r="F259" s="17">
        <f>VLOOKUP(C259,'Talente &amp; Stuff'!GX:HY,4,FALSE)</f>
        <v>0</v>
      </c>
      <c r="G259" s="183">
        <f>VLOOKUP(C259,'Talente &amp; Stuff'!GX:HY,5,FALSE)</f>
        <v>0</v>
      </c>
      <c r="H259" s="183">
        <f>VLOOKUP(C259,'Talente &amp; Stuff'!GX:HY,6,FALSE)</f>
        <v>0</v>
      </c>
      <c r="I259" s="183">
        <f>VLOOKUP(C259,'Talente &amp; Stuff'!GX:HY,7,FALSE)</f>
        <v>0</v>
      </c>
      <c r="J259" s="183">
        <f>VLOOKUP(C259,'Talente &amp; Stuff'!GX:HY,8,FALSE)</f>
        <v>0</v>
      </c>
      <c r="K259" s="183">
        <f>VLOOKUP(C259,'Talente &amp; Stuff'!GX:HY,9,FALSE)</f>
        <v>0</v>
      </c>
      <c r="L259" s="183">
        <f>VLOOKUP(C259,'Talente &amp; Stuff'!GX:HY,10,FALSE)</f>
        <v>0</v>
      </c>
      <c r="M259" s="180">
        <f>VLOOKUP(C259,'Talente &amp; Stuff'!GX:HY,11,FALSE)</f>
        <v>0</v>
      </c>
      <c r="N259" s="166">
        <f>VLOOKUP(C259,'Talente &amp; Stuff'!GX:HY,12,FALSE)</f>
        <v>0</v>
      </c>
      <c r="O259" s="32">
        <f>VLOOKUP(C259,'Talente &amp; Stuff'!GX:HY,13,FALSE)</f>
        <v>0</v>
      </c>
      <c r="P259" s="187">
        <f>VLOOKUP(C259,'Talente &amp; Stuff'!GX:HY,14,FALSE)</f>
        <v>0</v>
      </c>
      <c r="Q259" s="17">
        <f>VLOOKUP(C259,'Talente &amp; Stuff'!GX:HY,15,FALSE)</f>
        <v>0</v>
      </c>
      <c r="R259" s="188">
        <f>VLOOKUP(C259,'Talente &amp; Stuff'!GX:HY,16,FALSE)</f>
        <v>0</v>
      </c>
      <c r="S259" s="180">
        <f>VLOOKUP(C259,'Talente &amp; Stuff'!GX:HY,17,FALSE)</f>
        <v>0</v>
      </c>
      <c r="T259" s="189">
        <f>VLOOKUP(C259,'Talente &amp; Stuff'!GX:HY,18,FALSE)</f>
        <v>0</v>
      </c>
      <c r="U259" s="166">
        <f>VLOOKUP(C259,'Talente &amp; Stuff'!GX:HY,19,FALSE)</f>
        <v>0</v>
      </c>
      <c r="V259" s="179">
        <f>VLOOKUP(C259,'Talente &amp; Stuff'!GX:HY,20,FALSE)</f>
        <v>0</v>
      </c>
      <c r="W259" s="182">
        <f>VLOOKUP(C259,'Talente &amp; Stuff'!GX:HY,21,FALSE)</f>
        <v>0</v>
      </c>
      <c r="X259" s="182">
        <f>VLOOKUP(C259,'Talente &amp; Stuff'!GX:HY,22,FALSE)</f>
        <v>0</v>
      </c>
      <c r="Y259" s="165">
        <f>VLOOKUP(C259,Ausgewählte_Zauber_Kristallomanten,226,FALSE)</f>
        <v>0</v>
      </c>
      <c r="Z259" s="44">
        <f>VLOOKUP(C259,Ausgewählte_Zauber_Kristallomanten,227,FALSE)</f>
        <v>0</v>
      </c>
      <c r="AA259" s="40">
        <f>VLOOKUP(C259,'Talente &amp; Stuff'!GX:HY,25,FALSE)</f>
        <v>0</v>
      </c>
      <c r="AB259" s="189">
        <f>VLOOKUP(C259,'Talente &amp; Stuff'!GX:HY,26,FALSE)</f>
        <v>0</v>
      </c>
      <c r="AC259" s="182">
        <f>VLOOKUP(C259,'Talente &amp; Stuff'!GX:HY,27,FALSE)</f>
        <v>0</v>
      </c>
      <c r="AD259" s="40">
        <f>VLOOKUP(C259,'Talente &amp; Stuff'!GX:HY,28,FALSE)</f>
        <v>0</v>
      </c>
      <c r="AE259" s="28"/>
    </row>
    <row r="260" spans="2:31" ht="15" hidden="1" customHeight="1" outlineLevel="1" collapsed="1">
      <c r="B260" s="134" t="s">
        <v>408</v>
      </c>
      <c r="C260" s="83"/>
      <c r="D260" s="84"/>
      <c r="E260" s="84"/>
    </row>
    <row r="261" spans="2:31" ht="15" hidden="1" customHeight="1" outlineLevel="2">
      <c r="B261" s="148">
        <v>1</v>
      </c>
      <c r="C261" s="162" t="str">
        <f>Attribute!C261</f>
        <v>---</v>
      </c>
      <c r="D261" s="85" t="str">
        <f>VLOOKUP(C261,'Talente &amp; Stuff'!GX:HY,2,FALSE)</f>
        <v>--/--/--</v>
      </c>
      <c r="E261" s="126" t="str">
        <f>VLOOKUP(C261,'Talente &amp; Stuff'!GX:HY,3,FALSE)</f>
        <v>-</v>
      </c>
      <c r="F261" s="191">
        <f>VLOOKUP(C261,'Talente &amp; Stuff'!GX:HY,4,FALSE)</f>
        <v>0</v>
      </c>
      <c r="G261" s="118">
        <f>VLOOKUP(C261,'Talente &amp; Stuff'!GX:HY,5,FALSE)</f>
        <v>0</v>
      </c>
      <c r="H261" s="118">
        <f>VLOOKUP(C261,'Talente &amp; Stuff'!GX:HY,6,FALSE)</f>
        <v>0</v>
      </c>
      <c r="I261" s="118">
        <f>VLOOKUP(C261,'Talente &amp; Stuff'!GX:HY,7,FALSE)</f>
        <v>0</v>
      </c>
      <c r="J261" s="118">
        <f>VLOOKUP(C261,'Talente &amp; Stuff'!GX:HY,8,FALSE)</f>
        <v>0</v>
      </c>
      <c r="K261" s="118">
        <f>VLOOKUP(C261,'Talente &amp; Stuff'!GX:HY,9,FALSE)</f>
        <v>0</v>
      </c>
      <c r="L261" s="118">
        <f>VLOOKUP(C261,'Talente &amp; Stuff'!GX:HY,10,FALSE)</f>
        <v>0</v>
      </c>
      <c r="M261" s="92">
        <f>VLOOKUP(C261,'Talente &amp; Stuff'!GX:HY,11,FALSE)</f>
        <v>0</v>
      </c>
      <c r="N261" s="116">
        <f>VLOOKUP(C261,'Talente &amp; Stuff'!GX:HY,12,FALSE)</f>
        <v>0</v>
      </c>
      <c r="O261" s="194">
        <f>VLOOKUP(C261,'Talente &amp; Stuff'!GX:HY,13,FALSE)</f>
        <v>0</v>
      </c>
      <c r="P261" s="192">
        <f>VLOOKUP(C261,'Talente &amp; Stuff'!GX:HY,14,FALSE)</f>
        <v>0</v>
      </c>
      <c r="Q261" s="191">
        <f>VLOOKUP(C261,'Talente &amp; Stuff'!GX:HY,15,FALSE)</f>
        <v>0</v>
      </c>
      <c r="R261" s="170">
        <f>VLOOKUP(C261,'Talente &amp; Stuff'!GX:HY,16,FALSE)</f>
        <v>0</v>
      </c>
      <c r="S261" s="92">
        <f>VLOOKUP(C261,'Talente &amp; Stuff'!GX:HY,17,FALSE)</f>
        <v>0</v>
      </c>
      <c r="T261" s="92">
        <f>VLOOKUP(C261,'Talente &amp; Stuff'!GX:HY,18,FALSE)</f>
        <v>0</v>
      </c>
      <c r="U261" s="193">
        <f>VLOOKUP(C261,'Talente &amp; Stuff'!GX:HY,19,FALSE)</f>
        <v>0</v>
      </c>
      <c r="V261" s="116">
        <f>VLOOKUP(C261,'Talente &amp; Stuff'!GX:HY,20,FALSE)</f>
        <v>0</v>
      </c>
      <c r="W261" s="126">
        <f>VLOOKUP(C261,'Talente &amp; Stuff'!GX:HY,21,FALSE)</f>
        <v>0</v>
      </c>
      <c r="X261" s="126">
        <f>VLOOKUP(C261,'Talente &amp; Stuff'!GX:HY,22,FALSE)</f>
        <v>0</v>
      </c>
      <c r="Y261" s="165">
        <f t="shared" ref="Y261:Y296" si="22">VLOOKUP(C261,Ausgewählte_Zauber_Scharlatane,226,FALSE)</f>
        <v>0</v>
      </c>
      <c r="Z261" s="44">
        <f t="shared" ref="Z261:Z296" si="23">VLOOKUP(C261,Ausgewählte_Zauber_Scharlatane,227,FALSE)</f>
        <v>0</v>
      </c>
      <c r="AA261" s="158">
        <f>VLOOKUP(C261,'Talente &amp; Stuff'!GX:HY,25,FALSE)</f>
        <v>0</v>
      </c>
      <c r="AB261" s="91">
        <f>VLOOKUP(C261,'Talente &amp; Stuff'!GX:HY,26,FALSE)</f>
        <v>0</v>
      </c>
      <c r="AC261" s="126">
        <f>VLOOKUP(C261,'Talente &amp; Stuff'!GX:HY,27,FALSE)</f>
        <v>0</v>
      </c>
      <c r="AD261" s="158">
        <f>VLOOKUP(C261,'Talente &amp; Stuff'!GX:HY,28,FALSE)</f>
        <v>0</v>
      </c>
      <c r="AE261" s="28"/>
    </row>
    <row r="262" spans="2:31" ht="15" hidden="1" customHeight="1" outlineLevel="2">
      <c r="B262" s="148">
        <v>2</v>
      </c>
      <c r="C262" s="163" t="str">
        <f>Attribute!C262</f>
        <v>---</v>
      </c>
      <c r="D262" s="125" t="str">
        <f>VLOOKUP(C262,'Talente &amp; Stuff'!GX:HY,2,FALSE)</f>
        <v>--/--/--</v>
      </c>
      <c r="E262" s="127" t="str">
        <f>VLOOKUP(C262,'Talente &amp; Stuff'!GX:HY,3,FALSE)</f>
        <v>-</v>
      </c>
      <c r="F262" s="114">
        <f>VLOOKUP(C262,'Talente &amp; Stuff'!GX:HY,4,FALSE)</f>
        <v>0</v>
      </c>
      <c r="G262" s="113">
        <f>VLOOKUP(C262,'Talente &amp; Stuff'!GX:HY,5,FALSE)</f>
        <v>0</v>
      </c>
      <c r="H262" s="113">
        <f>VLOOKUP(C262,'Talente &amp; Stuff'!GX:HY,6,FALSE)</f>
        <v>0</v>
      </c>
      <c r="I262" s="113">
        <f>VLOOKUP(C262,'Talente &amp; Stuff'!GX:HY,7,FALSE)</f>
        <v>0</v>
      </c>
      <c r="J262" s="113">
        <f>VLOOKUP(C262,'Talente &amp; Stuff'!GX:HY,8,FALSE)</f>
        <v>0</v>
      </c>
      <c r="K262" s="113">
        <f>VLOOKUP(C262,'Talente &amp; Stuff'!GX:HY,9,FALSE)</f>
        <v>0</v>
      </c>
      <c r="L262" s="113">
        <f>VLOOKUP(C262,'Talente &amp; Stuff'!GX:HY,10,FALSE)</f>
        <v>0</v>
      </c>
      <c r="M262" s="119">
        <f>VLOOKUP(C262,'Talente &amp; Stuff'!GX:HY,11,FALSE)</f>
        <v>0</v>
      </c>
      <c r="N262" s="47">
        <f>VLOOKUP(C262,'Talente &amp; Stuff'!GX:HY,12,FALSE)</f>
        <v>0</v>
      </c>
      <c r="O262" s="47">
        <f>VLOOKUP(C262,'Talente &amp; Stuff'!GX:HY,13,FALSE)</f>
        <v>0</v>
      </c>
      <c r="P262" s="119">
        <f>VLOOKUP(C262,'Talente &amp; Stuff'!GX:HY,14,FALSE)</f>
        <v>0</v>
      </c>
      <c r="Q262" s="114">
        <f>VLOOKUP(C262,'Talente &amp; Stuff'!GX:HY,15,FALSE)</f>
        <v>0</v>
      </c>
      <c r="R262" s="113">
        <f>VLOOKUP(C262,'Talente &amp; Stuff'!GX:HY,16,FALSE)</f>
        <v>0</v>
      </c>
      <c r="S262" s="119">
        <f>VLOOKUP(C262,'Talente &amp; Stuff'!GX:HY,17,FALSE)</f>
        <v>0</v>
      </c>
      <c r="T262" s="119">
        <f>VLOOKUP(C262,'Talente &amp; Stuff'!GX:HY,18,FALSE)</f>
        <v>0</v>
      </c>
      <c r="U262" s="89">
        <f>VLOOKUP(C262,'Talente &amp; Stuff'!GX:HY,19,FALSE)</f>
        <v>0</v>
      </c>
      <c r="V262" s="47">
        <f>VLOOKUP(C262,'Talente &amp; Stuff'!GX:HY,20,FALSE)</f>
        <v>0</v>
      </c>
      <c r="W262" s="127">
        <f>VLOOKUP(C262,'Talente &amp; Stuff'!GX:HY,21,FALSE)</f>
        <v>0</v>
      </c>
      <c r="X262" s="127">
        <f>VLOOKUP(C262,'Talente &amp; Stuff'!GX:HY,22,FALSE)</f>
        <v>0</v>
      </c>
      <c r="Y262" s="165">
        <f t="shared" si="22"/>
        <v>0</v>
      </c>
      <c r="Z262" s="44">
        <f t="shared" si="23"/>
        <v>0</v>
      </c>
      <c r="AA262" s="125">
        <f>VLOOKUP(C262,'Talente &amp; Stuff'!GX:HY,25,FALSE)</f>
        <v>0</v>
      </c>
      <c r="AB262" s="160">
        <f>VLOOKUP(C262,'Talente &amp; Stuff'!GX:HY,26,FALSE)</f>
        <v>0</v>
      </c>
      <c r="AC262" s="127">
        <f>VLOOKUP(C262,'Talente &amp; Stuff'!GX:HY,27,FALSE)</f>
        <v>0</v>
      </c>
      <c r="AD262" s="125">
        <f>VLOOKUP(C262,'Talente &amp; Stuff'!GX:HY,28,FALSE)</f>
        <v>0</v>
      </c>
      <c r="AE262" s="28"/>
    </row>
    <row r="263" spans="2:31" ht="15" hidden="1" customHeight="1" outlineLevel="2">
      <c r="B263" s="148">
        <v>3</v>
      </c>
      <c r="C263" s="163" t="str">
        <f>Attribute!C263</f>
        <v>---</v>
      </c>
      <c r="D263" s="125" t="str">
        <f>VLOOKUP(C263,'Talente &amp; Stuff'!GX:HY,2,FALSE)</f>
        <v>--/--/--</v>
      </c>
      <c r="E263" s="127" t="str">
        <f>VLOOKUP(C263,'Talente &amp; Stuff'!GX:HY,3,FALSE)</f>
        <v>-</v>
      </c>
      <c r="F263" s="114">
        <f>VLOOKUP(C263,'Talente &amp; Stuff'!GX:HY,4,FALSE)</f>
        <v>0</v>
      </c>
      <c r="G263" s="113">
        <f>VLOOKUP(C263,'Talente &amp; Stuff'!GX:HY,5,FALSE)</f>
        <v>0</v>
      </c>
      <c r="H263" s="113">
        <f>VLOOKUP(C263,'Talente &amp; Stuff'!GX:HY,6,FALSE)</f>
        <v>0</v>
      </c>
      <c r="I263" s="113">
        <f>VLOOKUP(C263,'Talente &amp; Stuff'!GX:HY,7,FALSE)</f>
        <v>0</v>
      </c>
      <c r="J263" s="113">
        <f>VLOOKUP(C263,'Talente &amp; Stuff'!GX:HY,8,FALSE)</f>
        <v>0</v>
      </c>
      <c r="K263" s="113">
        <f>VLOOKUP(C263,'Talente &amp; Stuff'!GX:HY,9,FALSE)</f>
        <v>0</v>
      </c>
      <c r="L263" s="113">
        <f>VLOOKUP(C263,'Talente &amp; Stuff'!GX:HY,10,FALSE)</f>
        <v>0</v>
      </c>
      <c r="M263" s="119">
        <f>VLOOKUP(C263,'Talente &amp; Stuff'!GX:HY,11,FALSE)</f>
        <v>0</v>
      </c>
      <c r="N263" s="47">
        <f>VLOOKUP(C263,'Talente &amp; Stuff'!GX:HY,12,FALSE)</f>
        <v>0</v>
      </c>
      <c r="O263" s="47">
        <f>VLOOKUP(C263,'Talente &amp; Stuff'!GX:HY,13,FALSE)</f>
        <v>0</v>
      </c>
      <c r="P263" s="119">
        <f>VLOOKUP(C263,'Talente &amp; Stuff'!GX:HY,14,FALSE)</f>
        <v>0</v>
      </c>
      <c r="Q263" s="114">
        <f>VLOOKUP(C263,'Talente &amp; Stuff'!GX:HY,15,FALSE)</f>
        <v>0</v>
      </c>
      <c r="R263" s="113">
        <f>VLOOKUP(C263,'Talente &amp; Stuff'!GX:HY,16,FALSE)</f>
        <v>0</v>
      </c>
      <c r="S263" s="119">
        <f>VLOOKUP(C263,'Talente &amp; Stuff'!GX:HY,17,FALSE)</f>
        <v>0</v>
      </c>
      <c r="T263" s="119">
        <f>VLOOKUP(C263,'Talente &amp; Stuff'!GX:HY,18,FALSE)</f>
        <v>0</v>
      </c>
      <c r="U263" s="89">
        <f>VLOOKUP(C263,'Talente &amp; Stuff'!GX:HY,19,FALSE)</f>
        <v>0</v>
      </c>
      <c r="V263" s="47">
        <f>VLOOKUP(C263,'Talente &amp; Stuff'!GX:HY,20,FALSE)</f>
        <v>0</v>
      </c>
      <c r="W263" s="127">
        <f>VLOOKUP(C263,'Talente &amp; Stuff'!GX:HY,21,FALSE)</f>
        <v>0</v>
      </c>
      <c r="X263" s="127">
        <f>VLOOKUP(C263,'Talente &amp; Stuff'!GX:HY,22,FALSE)</f>
        <v>0</v>
      </c>
      <c r="Y263" s="165">
        <f t="shared" si="22"/>
        <v>0</v>
      </c>
      <c r="Z263" s="44">
        <f t="shared" si="23"/>
        <v>0</v>
      </c>
      <c r="AA263" s="125">
        <f>VLOOKUP(C263,'Talente &amp; Stuff'!GX:HY,25,FALSE)</f>
        <v>0</v>
      </c>
      <c r="AB263" s="160">
        <f>VLOOKUP(C263,'Talente &amp; Stuff'!GX:HY,26,FALSE)</f>
        <v>0</v>
      </c>
      <c r="AC263" s="127">
        <f>VLOOKUP(C263,'Talente &amp; Stuff'!GX:HY,27,FALSE)</f>
        <v>0</v>
      </c>
      <c r="AD263" s="125">
        <f>VLOOKUP(C263,'Talente &amp; Stuff'!GX:HY,28,FALSE)</f>
        <v>0</v>
      </c>
      <c r="AE263" s="28"/>
    </row>
    <row r="264" spans="2:31" ht="15" hidden="1" customHeight="1" outlineLevel="2">
      <c r="B264" s="148">
        <v>4</v>
      </c>
      <c r="C264" s="163" t="str">
        <f>Attribute!C264</f>
        <v>---</v>
      </c>
      <c r="D264" s="86" t="str">
        <f>VLOOKUP(C264,'Talente &amp; Stuff'!GX:HY,2,FALSE)</f>
        <v>--/--/--</v>
      </c>
      <c r="E264" s="167" t="str">
        <f>VLOOKUP(C264,'Talente &amp; Stuff'!GX:HY,3,FALSE)</f>
        <v>-</v>
      </c>
      <c r="F264" s="120">
        <f>VLOOKUP(C264,'Talente &amp; Stuff'!GX:HY,4,FALSE)</f>
        <v>0</v>
      </c>
      <c r="G264" s="117">
        <f>VLOOKUP(C264,'Talente &amp; Stuff'!GX:HY,5,FALSE)</f>
        <v>0</v>
      </c>
      <c r="H264" s="117">
        <f>VLOOKUP(C264,'Talente &amp; Stuff'!GX:HY,6,FALSE)</f>
        <v>0</v>
      </c>
      <c r="I264" s="117">
        <f>VLOOKUP(C264,'Talente &amp; Stuff'!GX:HY,7,FALSE)</f>
        <v>0</v>
      </c>
      <c r="J264" s="117">
        <f>VLOOKUP(C264,'Talente &amp; Stuff'!GX:HY,8,FALSE)</f>
        <v>0</v>
      </c>
      <c r="K264" s="117">
        <f>VLOOKUP(C264,'Talente &amp; Stuff'!GX:HY,9,FALSE)</f>
        <v>0</v>
      </c>
      <c r="L264" s="117">
        <f>VLOOKUP(C264,'Talente &amp; Stuff'!GX:HY,10,FALSE)</f>
        <v>0</v>
      </c>
      <c r="M264" s="121">
        <f>VLOOKUP(C264,'Talente &amp; Stuff'!GX:HY,11,FALSE)</f>
        <v>0</v>
      </c>
      <c r="N264" s="47">
        <f>VLOOKUP(C264,'Talente &amp; Stuff'!GX:HY,12,FALSE)</f>
        <v>0</v>
      </c>
      <c r="O264" s="3">
        <f>VLOOKUP(C264,'Talente &amp; Stuff'!GX:HY,13,FALSE)</f>
        <v>0</v>
      </c>
      <c r="P264" s="174">
        <f>VLOOKUP(C264,'Talente &amp; Stuff'!GX:HY,14,FALSE)</f>
        <v>0</v>
      </c>
      <c r="Q264" s="114">
        <f>VLOOKUP(C264,'Talente &amp; Stuff'!GX:HY,15,FALSE)</f>
        <v>0</v>
      </c>
      <c r="R264" s="117">
        <f>VLOOKUP(C264,'Talente &amp; Stuff'!GX:HY,16,FALSE)</f>
        <v>0</v>
      </c>
      <c r="S264" s="119">
        <f>VLOOKUP(C264,'Talente &amp; Stuff'!GX:HY,17,FALSE)</f>
        <v>0</v>
      </c>
      <c r="T264" s="119">
        <f>VLOOKUP(C264,'Talente &amp; Stuff'!GX:HY,18,FALSE)</f>
        <v>0</v>
      </c>
      <c r="U264" s="89">
        <f>VLOOKUP(C264,'Talente &amp; Stuff'!GX:HY,19,FALSE)</f>
        <v>0</v>
      </c>
      <c r="V264" s="47">
        <f>VLOOKUP(C264,'Talente &amp; Stuff'!GX:HY,20,FALSE)</f>
        <v>0</v>
      </c>
      <c r="W264" s="127">
        <f>VLOOKUP(C264,'Talente &amp; Stuff'!GX:HY,21,FALSE)</f>
        <v>0</v>
      </c>
      <c r="X264" s="127">
        <f>VLOOKUP(C264,'Talente &amp; Stuff'!GX:HY,22,FALSE)</f>
        <v>0</v>
      </c>
      <c r="Y264" s="165">
        <f t="shared" si="22"/>
        <v>0</v>
      </c>
      <c r="Z264" s="44">
        <f t="shared" si="23"/>
        <v>0</v>
      </c>
      <c r="AA264" s="125">
        <f>VLOOKUP(C264,'Talente &amp; Stuff'!GX:HY,25,FALSE)</f>
        <v>0</v>
      </c>
      <c r="AB264" s="160">
        <f>VLOOKUP(C264,'Talente &amp; Stuff'!GX:HY,26,FALSE)</f>
        <v>0</v>
      </c>
      <c r="AC264" s="127">
        <f>VLOOKUP(C264,'Talente &amp; Stuff'!GX:HY,27,FALSE)</f>
        <v>0</v>
      </c>
      <c r="AD264" s="125">
        <f>VLOOKUP(C264,'Talente &amp; Stuff'!GX:HY,28,FALSE)</f>
        <v>0</v>
      </c>
      <c r="AE264" s="28"/>
    </row>
    <row r="265" spans="2:31" ht="15" hidden="1" customHeight="1" outlineLevel="2">
      <c r="B265" s="148">
        <v>5</v>
      </c>
      <c r="C265" s="163" t="str">
        <f>Attribute!C265</f>
        <v>---</v>
      </c>
      <c r="D265" s="86" t="str">
        <f>VLOOKUP(C265,'Talente &amp; Stuff'!GX:HY,2,FALSE)</f>
        <v>--/--/--</v>
      </c>
      <c r="E265" s="167" t="str">
        <f>VLOOKUP(C265,'Talente &amp; Stuff'!GX:HY,3,FALSE)</f>
        <v>-</v>
      </c>
      <c r="F265" s="120">
        <f>VLOOKUP(C265,'Talente &amp; Stuff'!GX:HY,4,FALSE)</f>
        <v>0</v>
      </c>
      <c r="G265" s="117">
        <f>VLOOKUP(C265,'Talente &amp; Stuff'!GX:HY,5,FALSE)</f>
        <v>0</v>
      </c>
      <c r="H265" s="117">
        <f>VLOOKUP(C265,'Talente &amp; Stuff'!GX:HY,6,FALSE)</f>
        <v>0</v>
      </c>
      <c r="I265" s="117">
        <f>VLOOKUP(C265,'Talente &amp; Stuff'!GX:HY,7,FALSE)</f>
        <v>0</v>
      </c>
      <c r="J265" s="117">
        <f>VLOOKUP(C265,'Talente &amp; Stuff'!GX:HY,8,FALSE)</f>
        <v>0</v>
      </c>
      <c r="K265" s="117">
        <f>VLOOKUP(C265,'Talente &amp; Stuff'!GX:HY,9,FALSE)</f>
        <v>0</v>
      </c>
      <c r="L265" s="117">
        <f>VLOOKUP(C265,'Talente &amp; Stuff'!GX:HY,10,FALSE)</f>
        <v>0</v>
      </c>
      <c r="M265" s="121">
        <f>VLOOKUP(C265,'Talente &amp; Stuff'!GX:HY,11,FALSE)</f>
        <v>0</v>
      </c>
      <c r="N265" s="47">
        <f>VLOOKUP(C265,'Talente &amp; Stuff'!GX:HY,12,FALSE)</f>
        <v>0</v>
      </c>
      <c r="O265" s="3">
        <f>VLOOKUP(C265,'Talente &amp; Stuff'!GX:HY,13,FALSE)</f>
        <v>0</v>
      </c>
      <c r="P265" s="174">
        <f>VLOOKUP(C265,'Talente &amp; Stuff'!GX:HY,14,FALSE)</f>
        <v>0</v>
      </c>
      <c r="Q265" s="114">
        <f>VLOOKUP(C265,'Talente &amp; Stuff'!GX:HY,15,FALSE)</f>
        <v>0</v>
      </c>
      <c r="R265" s="117">
        <f>VLOOKUP(C265,'Talente &amp; Stuff'!GX:HY,16,FALSE)</f>
        <v>0</v>
      </c>
      <c r="S265" s="119">
        <f>VLOOKUP(C265,'Talente &amp; Stuff'!GX:HY,17,FALSE)</f>
        <v>0</v>
      </c>
      <c r="T265" s="119">
        <f>VLOOKUP(C265,'Talente &amp; Stuff'!GX:HY,18,FALSE)</f>
        <v>0</v>
      </c>
      <c r="U265" s="89">
        <f>VLOOKUP(C265,'Talente &amp; Stuff'!GX:HY,19,FALSE)</f>
        <v>0</v>
      </c>
      <c r="V265" s="47">
        <f>VLOOKUP(C265,'Talente &amp; Stuff'!GX:HY,20,FALSE)</f>
        <v>0</v>
      </c>
      <c r="W265" s="127">
        <f>VLOOKUP(C265,'Talente &amp; Stuff'!GX:HY,21,FALSE)</f>
        <v>0</v>
      </c>
      <c r="X265" s="127">
        <f>VLOOKUP(C265,'Talente &amp; Stuff'!GX:HY,22,FALSE)</f>
        <v>0</v>
      </c>
      <c r="Y265" s="165">
        <f t="shared" si="22"/>
        <v>0</v>
      </c>
      <c r="Z265" s="44">
        <f t="shared" si="23"/>
        <v>0</v>
      </c>
      <c r="AA265" s="125">
        <f>VLOOKUP(C265,'Talente &amp; Stuff'!GX:HY,25,FALSE)</f>
        <v>0</v>
      </c>
      <c r="AB265" s="160">
        <f>VLOOKUP(C265,'Talente &amp; Stuff'!GX:HY,26,FALSE)</f>
        <v>0</v>
      </c>
      <c r="AC265" s="127">
        <f>VLOOKUP(C265,'Talente &amp; Stuff'!GX:HY,27,FALSE)</f>
        <v>0</v>
      </c>
      <c r="AD265" s="125">
        <f>VLOOKUP(C265,'Talente &amp; Stuff'!GX:HY,28,FALSE)</f>
        <v>0</v>
      </c>
      <c r="AE265" s="28"/>
    </row>
    <row r="266" spans="2:31" ht="15" hidden="1" customHeight="1" outlineLevel="2">
      <c r="B266" s="148">
        <v>6</v>
      </c>
      <c r="C266" s="163" t="str">
        <f>Attribute!C266</f>
        <v>---</v>
      </c>
      <c r="D266" s="125" t="str">
        <f>VLOOKUP(C266,'Talente &amp; Stuff'!GX:HY,2,FALSE)</f>
        <v>--/--/--</v>
      </c>
      <c r="E266" s="127" t="str">
        <f>VLOOKUP(C266,'Talente &amp; Stuff'!GX:HY,3,FALSE)</f>
        <v>-</v>
      </c>
      <c r="F266" s="114">
        <f>VLOOKUP(C266,'Talente &amp; Stuff'!GX:HY,4,FALSE)</f>
        <v>0</v>
      </c>
      <c r="G266" s="113">
        <f>VLOOKUP(C266,'Talente &amp; Stuff'!GX:HY,5,FALSE)</f>
        <v>0</v>
      </c>
      <c r="H266" s="113">
        <f>VLOOKUP(C266,'Talente &amp; Stuff'!GX:HY,6,FALSE)</f>
        <v>0</v>
      </c>
      <c r="I266" s="113">
        <f>VLOOKUP(C266,'Talente &amp; Stuff'!GX:HY,7,FALSE)</f>
        <v>0</v>
      </c>
      <c r="J266" s="113">
        <f>VLOOKUP(C266,'Talente &amp; Stuff'!GX:HY,8,FALSE)</f>
        <v>0</v>
      </c>
      <c r="K266" s="113">
        <f>VLOOKUP(C266,'Talente &amp; Stuff'!GX:HY,9,FALSE)</f>
        <v>0</v>
      </c>
      <c r="L266" s="113">
        <f>VLOOKUP(C266,'Talente &amp; Stuff'!GX:HY,10,FALSE)</f>
        <v>0</v>
      </c>
      <c r="M266" s="119">
        <f>VLOOKUP(C266,'Talente &amp; Stuff'!GX:HY,11,FALSE)</f>
        <v>0</v>
      </c>
      <c r="N266" s="47">
        <f>VLOOKUP(C266,'Talente &amp; Stuff'!GX:HY,12,FALSE)</f>
        <v>0</v>
      </c>
      <c r="O266" s="47">
        <f>VLOOKUP(C266,'Talente &amp; Stuff'!GX:HY,13,FALSE)</f>
        <v>0</v>
      </c>
      <c r="P266" s="119">
        <f>VLOOKUP(C266,'Talente &amp; Stuff'!GX:HY,14,FALSE)</f>
        <v>0</v>
      </c>
      <c r="Q266" s="114">
        <f>VLOOKUP(C266,'Talente &amp; Stuff'!GX:HY,15,FALSE)</f>
        <v>0</v>
      </c>
      <c r="R266" s="113">
        <f>VLOOKUP(C266,'Talente &amp; Stuff'!GX:HY,16,FALSE)</f>
        <v>0</v>
      </c>
      <c r="S266" s="119">
        <f>VLOOKUP(C266,'Talente &amp; Stuff'!GX:HY,17,FALSE)</f>
        <v>0</v>
      </c>
      <c r="T266" s="119">
        <f>VLOOKUP(C266,'Talente &amp; Stuff'!GX:HY,18,FALSE)</f>
        <v>0</v>
      </c>
      <c r="U266" s="89">
        <f>VLOOKUP(C266,'Talente &amp; Stuff'!GX:HY,19,FALSE)</f>
        <v>0</v>
      </c>
      <c r="V266" s="47">
        <f>VLOOKUP(C266,'Talente &amp; Stuff'!GX:HY,20,FALSE)</f>
        <v>0</v>
      </c>
      <c r="W266" s="127">
        <f>VLOOKUP(C266,'Talente &amp; Stuff'!GX:HY,21,FALSE)</f>
        <v>0</v>
      </c>
      <c r="X266" s="127">
        <f>VLOOKUP(C266,'Talente &amp; Stuff'!GX:HY,22,FALSE)</f>
        <v>0</v>
      </c>
      <c r="Y266" s="165">
        <f t="shared" si="22"/>
        <v>0</v>
      </c>
      <c r="Z266" s="44">
        <f t="shared" si="23"/>
        <v>0</v>
      </c>
      <c r="AA266" s="125">
        <f>VLOOKUP(C266,'Talente &amp; Stuff'!GX:HY,25,FALSE)</f>
        <v>0</v>
      </c>
      <c r="AB266" s="160">
        <f>VLOOKUP(C266,'Talente &amp; Stuff'!GX:HY,26,FALSE)</f>
        <v>0</v>
      </c>
      <c r="AC266" s="127">
        <f>VLOOKUP(C266,'Talente &amp; Stuff'!GX:HY,27,FALSE)</f>
        <v>0</v>
      </c>
      <c r="AD266" s="125">
        <f>VLOOKUP(C266,'Talente &amp; Stuff'!GX:HY,28,FALSE)</f>
        <v>0</v>
      </c>
      <c r="AE266" s="28"/>
    </row>
    <row r="267" spans="2:31" ht="15" hidden="1" customHeight="1" outlineLevel="2">
      <c r="B267" s="148">
        <v>7</v>
      </c>
      <c r="C267" s="163" t="str">
        <f>Attribute!C267</f>
        <v>---</v>
      </c>
      <c r="D267" s="125" t="str">
        <f>VLOOKUP(C267,'Talente &amp; Stuff'!GX:HY,2,FALSE)</f>
        <v>--/--/--</v>
      </c>
      <c r="E267" s="127" t="str">
        <f>VLOOKUP(C267,'Talente &amp; Stuff'!GX:HY,3,FALSE)</f>
        <v>-</v>
      </c>
      <c r="F267" s="114">
        <f>VLOOKUP(C267,'Talente &amp; Stuff'!GX:HY,4,FALSE)</f>
        <v>0</v>
      </c>
      <c r="G267" s="113">
        <f>VLOOKUP(C267,'Talente &amp; Stuff'!GX:HY,5,FALSE)</f>
        <v>0</v>
      </c>
      <c r="H267" s="113">
        <f>VLOOKUP(C267,'Talente &amp; Stuff'!GX:HY,6,FALSE)</f>
        <v>0</v>
      </c>
      <c r="I267" s="113">
        <f>VLOOKUP(C267,'Talente &amp; Stuff'!GX:HY,7,FALSE)</f>
        <v>0</v>
      </c>
      <c r="J267" s="113">
        <f>VLOOKUP(C267,'Talente &amp; Stuff'!GX:HY,8,FALSE)</f>
        <v>0</v>
      </c>
      <c r="K267" s="113">
        <f>VLOOKUP(C267,'Talente &amp; Stuff'!GX:HY,9,FALSE)</f>
        <v>0</v>
      </c>
      <c r="L267" s="113">
        <f>VLOOKUP(C267,'Talente &amp; Stuff'!GX:HY,10,FALSE)</f>
        <v>0</v>
      </c>
      <c r="M267" s="119">
        <f>VLOOKUP(C267,'Talente &amp; Stuff'!GX:HY,11,FALSE)</f>
        <v>0</v>
      </c>
      <c r="N267" s="47">
        <f>VLOOKUP(C267,'Talente &amp; Stuff'!GX:HY,12,FALSE)</f>
        <v>0</v>
      </c>
      <c r="O267" s="47">
        <f>VLOOKUP(C267,'Talente &amp; Stuff'!GX:HY,13,FALSE)</f>
        <v>0</v>
      </c>
      <c r="P267" s="119">
        <f>VLOOKUP(C267,'Talente &amp; Stuff'!GX:HY,14,FALSE)</f>
        <v>0</v>
      </c>
      <c r="Q267" s="114">
        <f>VLOOKUP(C267,'Talente &amp; Stuff'!GX:HY,15,FALSE)</f>
        <v>0</v>
      </c>
      <c r="R267" s="113">
        <f>VLOOKUP(C267,'Talente &amp; Stuff'!GX:HY,16,FALSE)</f>
        <v>0</v>
      </c>
      <c r="S267" s="119">
        <f>VLOOKUP(C267,'Talente &amp; Stuff'!GX:HY,17,FALSE)</f>
        <v>0</v>
      </c>
      <c r="T267" s="119">
        <f>VLOOKUP(C267,'Talente &amp; Stuff'!GX:HY,18,FALSE)</f>
        <v>0</v>
      </c>
      <c r="U267" s="89">
        <f>VLOOKUP(C267,'Talente &amp; Stuff'!GX:HY,19,FALSE)</f>
        <v>0</v>
      </c>
      <c r="V267" s="47">
        <f>VLOOKUP(C267,'Talente &amp; Stuff'!GX:HY,20,FALSE)</f>
        <v>0</v>
      </c>
      <c r="W267" s="127">
        <f>VLOOKUP(C267,'Talente &amp; Stuff'!GX:HY,21,FALSE)</f>
        <v>0</v>
      </c>
      <c r="X267" s="127">
        <f>VLOOKUP(C267,'Talente &amp; Stuff'!GX:HY,22,FALSE)</f>
        <v>0</v>
      </c>
      <c r="Y267" s="165">
        <f t="shared" si="22"/>
        <v>0</v>
      </c>
      <c r="Z267" s="44">
        <f t="shared" si="23"/>
        <v>0</v>
      </c>
      <c r="AA267" s="125">
        <f>VLOOKUP(C267,'Talente &amp; Stuff'!GX:HY,25,FALSE)</f>
        <v>0</v>
      </c>
      <c r="AB267" s="160">
        <f>VLOOKUP(C267,'Talente &amp; Stuff'!GX:HY,26,FALSE)</f>
        <v>0</v>
      </c>
      <c r="AC267" s="127">
        <f>VLOOKUP(C267,'Talente &amp; Stuff'!GX:HY,27,FALSE)</f>
        <v>0</v>
      </c>
      <c r="AD267" s="125">
        <f>VLOOKUP(C267,'Talente &amp; Stuff'!GX:HY,28,FALSE)</f>
        <v>0</v>
      </c>
      <c r="AE267" s="28"/>
    </row>
    <row r="268" spans="2:31" ht="15" hidden="1" customHeight="1" outlineLevel="2">
      <c r="B268" s="148">
        <v>8</v>
      </c>
      <c r="C268" s="163" t="str">
        <f>Attribute!C268</f>
        <v>---</v>
      </c>
      <c r="D268" s="125" t="str">
        <f>VLOOKUP(C268,'Talente &amp; Stuff'!GX:HY,2,FALSE)</f>
        <v>--/--/--</v>
      </c>
      <c r="E268" s="127" t="str">
        <f>VLOOKUP(C268,'Talente &amp; Stuff'!GX:HY,3,FALSE)</f>
        <v>-</v>
      </c>
      <c r="F268" s="114">
        <f>VLOOKUP(C268,'Talente &amp; Stuff'!GX:HY,4,FALSE)</f>
        <v>0</v>
      </c>
      <c r="G268" s="113">
        <f>VLOOKUP(C268,'Talente &amp; Stuff'!GX:HY,5,FALSE)</f>
        <v>0</v>
      </c>
      <c r="H268" s="113">
        <f>VLOOKUP(C268,'Talente &amp; Stuff'!GX:HY,6,FALSE)</f>
        <v>0</v>
      </c>
      <c r="I268" s="113">
        <f>VLOOKUP(C268,'Talente &amp; Stuff'!GX:HY,7,FALSE)</f>
        <v>0</v>
      </c>
      <c r="J268" s="113">
        <f>VLOOKUP(C268,'Talente &amp; Stuff'!GX:HY,8,FALSE)</f>
        <v>0</v>
      </c>
      <c r="K268" s="113">
        <f>VLOOKUP(C268,'Talente &amp; Stuff'!GX:HY,9,FALSE)</f>
        <v>0</v>
      </c>
      <c r="L268" s="113">
        <f>VLOOKUP(C268,'Talente &amp; Stuff'!GX:HY,10,FALSE)</f>
        <v>0</v>
      </c>
      <c r="M268" s="119">
        <f>VLOOKUP(C268,'Talente &amp; Stuff'!GX:HY,11,FALSE)</f>
        <v>0</v>
      </c>
      <c r="N268" s="47">
        <f>VLOOKUP(C268,'Talente &amp; Stuff'!GX:HY,12,FALSE)</f>
        <v>0</v>
      </c>
      <c r="O268" s="47">
        <f>VLOOKUP(C268,'Talente &amp; Stuff'!GX:HY,13,FALSE)</f>
        <v>0</v>
      </c>
      <c r="P268" s="119">
        <f>VLOOKUP(C268,'Talente &amp; Stuff'!GX:HY,14,FALSE)</f>
        <v>0</v>
      </c>
      <c r="Q268" s="114">
        <f>VLOOKUP(C268,'Talente &amp; Stuff'!GX:HY,15,FALSE)</f>
        <v>0</v>
      </c>
      <c r="R268" s="113">
        <f>VLOOKUP(C268,'Talente &amp; Stuff'!GX:HY,16,FALSE)</f>
        <v>0</v>
      </c>
      <c r="S268" s="119">
        <f>VLOOKUP(C268,'Talente &amp; Stuff'!GX:HY,17,FALSE)</f>
        <v>0</v>
      </c>
      <c r="T268" s="119">
        <f>VLOOKUP(C268,'Talente &amp; Stuff'!GX:HY,18,FALSE)</f>
        <v>0</v>
      </c>
      <c r="U268" s="89">
        <f>VLOOKUP(C268,'Talente &amp; Stuff'!GX:HY,19,FALSE)</f>
        <v>0</v>
      </c>
      <c r="V268" s="47">
        <f>VLOOKUP(C268,'Talente &amp; Stuff'!GX:HY,20,FALSE)</f>
        <v>0</v>
      </c>
      <c r="W268" s="127">
        <f>VLOOKUP(C268,'Talente &amp; Stuff'!GX:HY,21,FALSE)</f>
        <v>0</v>
      </c>
      <c r="X268" s="127">
        <f>VLOOKUP(C268,'Talente &amp; Stuff'!GX:HY,22,FALSE)</f>
        <v>0</v>
      </c>
      <c r="Y268" s="165">
        <f t="shared" si="22"/>
        <v>0</v>
      </c>
      <c r="Z268" s="44">
        <f t="shared" si="23"/>
        <v>0</v>
      </c>
      <c r="AA268" s="125">
        <f>VLOOKUP(C268,'Talente &amp; Stuff'!GX:HY,25,FALSE)</f>
        <v>0</v>
      </c>
      <c r="AB268" s="160">
        <f>VLOOKUP(C268,'Talente &amp; Stuff'!GX:HY,26,FALSE)</f>
        <v>0</v>
      </c>
      <c r="AC268" s="127">
        <f>VLOOKUP(C268,'Talente &amp; Stuff'!GX:HY,27,FALSE)</f>
        <v>0</v>
      </c>
      <c r="AD268" s="125">
        <f>VLOOKUP(C268,'Talente &amp; Stuff'!GX:HY,28,FALSE)</f>
        <v>0</v>
      </c>
      <c r="AE268" s="28"/>
    </row>
    <row r="269" spans="2:31" ht="15" hidden="1" customHeight="1" outlineLevel="2">
      <c r="B269" s="148">
        <v>9</v>
      </c>
      <c r="C269" s="163" t="str">
        <f>Attribute!C269</f>
        <v>---</v>
      </c>
      <c r="D269" s="125" t="str">
        <f>VLOOKUP(C269,'Talente &amp; Stuff'!GX:HY,2,FALSE)</f>
        <v>--/--/--</v>
      </c>
      <c r="E269" s="127" t="str">
        <f>VLOOKUP(C269,'Talente &amp; Stuff'!GX:HY,3,FALSE)</f>
        <v>-</v>
      </c>
      <c r="F269" s="114">
        <f>VLOOKUP(C269,'Talente &amp; Stuff'!GX:HY,4,FALSE)</f>
        <v>0</v>
      </c>
      <c r="G269" s="113">
        <f>VLOOKUP(C269,'Talente &amp; Stuff'!GX:HY,5,FALSE)</f>
        <v>0</v>
      </c>
      <c r="H269" s="113">
        <f>VLOOKUP(C269,'Talente &amp; Stuff'!GX:HY,6,FALSE)</f>
        <v>0</v>
      </c>
      <c r="I269" s="113">
        <f>VLOOKUP(C269,'Talente &amp; Stuff'!GX:HY,7,FALSE)</f>
        <v>0</v>
      </c>
      <c r="J269" s="113">
        <f>VLOOKUP(C269,'Talente &amp; Stuff'!GX:HY,8,FALSE)</f>
        <v>0</v>
      </c>
      <c r="K269" s="113">
        <f>VLOOKUP(C269,'Talente &amp; Stuff'!GX:HY,9,FALSE)</f>
        <v>0</v>
      </c>
      <c r="L269" s="113">
        <f>VLOOKUP(C269,'Talente &amp; Stuff'!GX:HY,10,FALSE)</f>
        <v>0</v>
      </c>
      <c r="M269" s="119">
        <f>VLOOKUP(C269,'Talente &amp; Stuff'!GX:HY,11,FALSE)</f>
        <v>0</v>
      </c>
      <c r="N269" s="47">
        <f>VLOOKUP(C269,'Talente &amp; Stuff'!GX:HY,12,FALSE)</f>
        <v>0</v>
      </c>
      <c r="O269" s="47">
        <f>VLOOKUP(C269,'Talente &amp; Stuff'!GX:HY,13,FALSE)</f>
        <v>0</v>
      </c>
      <c r="P269" s="119">
        <f>VLOOKUP(C269,'Talente &amp; Stuff'!GX:HY,14,FALSE)</f>
        <v>0</v>
      </c>
      <c r="Q269" s="114">
        <f>VLOOKUP(C269,'Talente &amp; Stuff'!GX:HY,15,FALSE)</f>
        <v>0</v>
      </c>
      <c r="R269" s="113">
        <f>VLOOKUP(C269,'Talente &amp; Stuff'!GX:HY,16,FALSE)</f>
        <v>0</v>
      </c>
      <c r="S269" s="119">
        <f>VLOOKUP(C269,'Talente &amp; Stuff'!GX:HY,17,FALSE)</f>
        <v>0</v>
      </c>
      <c r="T269" s="119">
        <f>VLOOKUP(C269,'Talente &amp; Stuff'!GX:HY,18,FALSE)</f>
        <v>0</v>
      </c>
      <c r="U269" s="89">
        <f>VLOOKUP(C269,'Talente &amp; Stuff'!GX:HY,19,FALSE)</f>
        <v>0</v>
      </c>
      <c r="V269" s="47">
        <f>VLOOKUP(C269,'Talente &amp; Stuff'!GX:HY,20,FALSE)</f>
        <v>0</v>
      </c>
      <c r="W269" s="127">
        <f>VLOOKUP(C269,'Talente &amp; Stuff'!GX:HY,21,FALSE)</f>
        <v>0</v>
      </c>
      <c r="X269" s="127">
        <f>VLOOKUP(C269,'Talente &amp; Stuff'!GX:HY,22,FALSE)</f>
        <v>0</v>
      </c>
      <c r="Y269" s="165">
        <f t="shared" si="22"/>
        <v>0</v>
      </c>
      <c r="Z269" s="44">
        <f t="shared" si="23"/>
        <v>0</v>
      </c>
      <c r="AA269" s="125">
        <f>VLOOKUP(C269,'Talente &amp; Stuff'!GX:HY,25,FALSE)</f>
        <v>0</v>
      </c>
      <c r="AB269" s="160">
        <f>VLOOKUP(C269,'Talente &amp; Stuff'!GX:HY,26,FALSE)</f>
        <v>0</v>
      </c>
      <c r="AC269" s="127">
        <f>VLOOKUP(C269,'Talente &amp; Stuff'!GX:HY,27,FALSE)</f>
        <v>0</v>
      </c>
      <c r="AD269" s="125">
        <f>VLOOKUP(C269,'Talente &amp; Stuff'!GX:HY,28,FALSE)</f>
        <v>0</v>
      </c>
      <c r="AE269" s="28"/>
    </row>
    <row r="270" spans="2:31" ht="15" hidden="1" customHeight="1" outlineLevel="2">
      <c r="B270" s="148">
        <v>10</v>
      </c>
      <c r="C270" s="163" t="str">
        <f>Attribute!C270</f>
        <v>---</v>
      </c>
      <c r="D270" s="86" t="str">
        <f>VLOOKUP(C270,'Talente &amp; Stuff'!GX:HY,2,FALSE)</f>
        <v>--/--/--</v>
      </c>
      <c r="E270" s="167" t="str">
        <f>VLOOKUP(C270,'Talente &amp; Stuff'!GX:HY,3,FALSE)</f>
        <v>-</v>
      </c>
      <c r="F270" s="120">
        <f>VLOOKUP(C270,'Talente &amp; Stuff'!GX:HY,4,FALSE)</f>
        <v>0</v>
      </c>
      <c r="G270" s="117">
        <f>VLOOKUP(C270,'Talente &amp; Stuff'!GX:HY,5,FALSE)</f>
        <v>0</v>
      </c>
      <c r="H270" s="117">
        <f>VLOOKUP(C270,'Talente &amp; Stuff'!GX:HY,6,FALSE)</f>
        <v>0</v>
      </c>
      <c r="I270" s="117">
        <f>VLOOKUP(C270,'Talente &amp; Stuff'!GX:HY,7,FALSE)</f>
        <v>0</v>
      </c>
      <c r="J270" s="117">
        <f>VLOOKUP(C270,'Talente &amp; Stuff'!GX:HY,8,FALSE)</f>
        <v>0</v>
      </c>
      <c r="K270" s="117">
        <f>VLOOKUP(C270,'Talente &amp; Stuff'!GX:HY,9,FALSE)</f>
        <v>0</v>
      </c>
      <c r="L270" s="117">
        <f>VLOOKUP(C270,'Talente &amp; Stuff'!GX:HY,10,FALSE)</f>
        <v>0</v>
      </c>
      <c r="M270" s="121">
        <f>VLOOKUP(C270,'Talente &amp; Stuff'!GX:HY,11,FALSE)</f>
        <v>0</v>
      </c>
      <c r="N270" s="47">
        <f>VLOOKUP(C270,'Talente &amp; Stuff'!GX:HY,12,FALSE)</f>
        <v>0</v>
      </c>
      <c r="O270" s="3">
        <f>VLOOKUP(C270,'Talente &amp; Stuff'!GX:HY,13,FALSE)</f>
        <v>0</v>
      </c>
      <c r="P270" s="174">
        <f>VLOOKUP(C270,'Talente &amp; Stuff'!GX:HY,14,FALSE)</f>
        <v>0</v>
      </c>
      <c r="Q270" s="114">
        <f>VLOOKUP(C270,'Talente &amp; Stuff'!GX:HY,15,FALSE)</f>
        <v>0</v>
      </c>
      <c r="R270" s="117">
        <f>VLOOKUP(C270,'Talente &amp; Stuff'!GX:HY,16,FALSE)</f>
        <v>0</v>
      </c>
      <c r="S270" s="119">
        <f>VLOOKUP(C270,'Talente &amp; Stuff'!GX:HY,17,FALSE)</f>
        <v>0</v>
      </c>
      <c r="T270" s="119">
        <f>VLOOKUP(C270,'Talente &amp; Stuff'!GX:HY,18,FALSE)</f>
        <v>0</v>
      </c>
      <c r="U270" s="89">
        <f>VLOOKUP(C270,'Talente &amp; Stuff'!GX:HY,19,FALSE)</f>
        <v>0</v>
      </c>
      <c r="V270" s="47">
        <f>VLOOKUP(C270,'Talente &amp; Stuff'!GX:HY,20,FALSE)</f>
        <v>0</v>
      </c>
      <c r="W270" s="127">
        <f>VLOOKUP(C270,'Talente &amp; Stuff'!GX:HY,21,FALSE)</f>
        <v>0</v>
      </c>
      <c r="X270" s="127">
        <f>VLOOKUP(C270,'Talente &amp; Stuff'!GX:HY,22,FALSE)</f>
        <v>0</v>
      </c>
      <c r="Y270" s="165">
        <f t="shared" si="22"/>
        <v>0</v>
      </c>
      <c r="Z270" s="44">
        <f t="shared" si="23"/>
        <v>0</v>
      </c>
      <c r="AA270" s="125">
        <f>VLOOKUP(C270,'Talente &amp; Stuff'!GX:HY,25,FALSE)</f>
        <v>0</v>
      </c>
      <c r="AB270" s="160">
        <f>VLOOKUP(C270,'Talente &amp; Stuff'!GX:HY,26,FALSE)</f>
        <v>0</v>
      </c>
      <c r="AC270" s="127">
        <f>VLOOKUP(C270,'Talente &amp; Stuff'!GX:HY,27,FALSE)</f>
        <v>0</v>
      </c>
      <c r="AD270" s="125">
        <f>VLOOKUP(C270,'Talente &amp; Stuff'!GX:HY,28,FALSE)</f>
        <v>0</v>
      </c>
      <c r="AE270" s="28"/>
    </row>
    <row r="271" spans="2:31" ht="15" hidden="1" customHeight="1" outlineLevel="2">
      <c r="B271" s="148">
        <v>11</v>
      </c>
      <c r="C271" s="163" t="str">
        <f>Attribute!C271</f>
        <v>---</v>
      </c>
      <c r="D271" s="86" t="str">
        <f>VLOOKUP(C271,'Talente &amp; Stuff'!GX:HY,2,FALSE)</f>
        <v>--/--/--</v>
      </c>
      <c r="E271" s="167" t="str">
        <f>VLOOKUP(C271,'Talente &amp; Stuff'!GX:HY,3,FALSE)</f>
        <v>-</v>
      </c>
      <c r="F271" s="120">
        <f>VLOOKUP(C271,'Talente &amp; Stuff'!GX:HY,4,FALSE)</f>
        <v>0</v>
      </c>
      <c r="G271" s="117">
        <f>VLOOKUP(C271,'Talente &amp; Stuff'!GX:HY,5,FALSE)</f>
        <v>0</v>
      </c>
      <c r="H271" s="117">
        <f>VLOOKUP(C271,'Talente &amp; Stuff'!GX:HY,6,FALSE)</f>
        <v>0</v>
      </c>
      <c r="I271" s="117">
        <f>VLOOKUP(C271,'Talente &amp; Stuff'!GX:HY,7,FALSE)</f>
        <v>0</v>
      </c>
      <c r="J271" s="117">
        <f>VLOOKUP(C271,'Talente &amp; Stuff'!GX:HY,8,FALSE)</f>
        <v>0</v>
      </c>
      <c r="K271" s="117">
        <f>VLOOKUP(C271,'Talente &amp; Stuff'!GX:HY,9,FALSE)</f>
        <v>0</v>
      </c>
      <c r="L271" s="117">
        <f>VLOOKUP(C271,'Talente &amp; Stuff'!GX:HY,10,FALSE)</f>
        <v>0</v>
      </c>
      <c r="M271" s="121">
        <f>VLOOKUP(C271,'Talente &amp; Stuff'!GX:HY,11,FALSE)</f>
        <v>0</v>
      </c>
      <c r="N271" s="47">
        <f>VLOOKUP(C271,'Talente &amp; Stuff'!GX:HY,12,FALSE)</f>
        <v>0</v>
      </c>
      <c r="O271" s="3">
        <f>VLOOKUP(C271,'Talente &amp; Stuff'!GX:HY,13,FALSE)</f>
        <v>0</v>
      </c>
      <c r="P271" s="174">
        <f>VLOOKUP(C271,'Talente &amp; Stuff'!GX:HY,14,FALSE)</f>
        <v>0</v>
      </c>
      <c r="Q271" s="114">
        <f>VLOOKUP(C271,'Talente &amp; Stuff'!GX:HY,15,FALSE)</f>
        <v>0</v>
      </c>
      <c r="R271" s="117">
        <f>VLOOKUP(C271,'Talente &amp; Stuff'!GX:HY,16,FALSE)</f>
        <v>0</v>
      </c>
      <c r="S271" s="119">
        <f>VLOOKUP(C271,'Talente &amp; Stuff'!GX:HY,17,FALSE)</f>
        <v>0</v>
      </c>
      <c r="T271" s="119">
        <f>VLOOKUP(C271,'Talente &amp; Stuff'!GX:HY,18,FALSE)</f>
        <v>0</v>
      </c>
      <c r="U271" s="89">
        <f>VLOOKUP(C271,'Talente &amp; Stuff'!GX:HY,19,FALSE)</f>
        <v>0</v>
      </c>
      <c r="V271" s="47">
        <f>VLOOKUP(C271,'Talente &amp; Stuff'!GX:HY,20,FALSE)</f>
        <v>0</v>
      </c>
      <c r="W271" s="127">
        <f>VLOOKUP(C271,'Talente &amp; Stuff'!GX:HY,21,FALSE)</f>
        <v>0</v>
      </c>
      <c r="X271" s="127">
        <f>VLOOKUP(C271,'Talente &amp; Stuff'!GX:HY,22,FALSE)</f>
        <v>0</v>
      </c>
      <c r="Y271" s="165">
        <f t="shared" si="22"/>
        <v>0</v>
      </c>
      <c r="Z271" s="44">
        <f t="shared" si="23"/>
        <v>0</v>
      </c>
      <c r="AA271" s="125">
        <f>VLOOKUP(C271,'Talente &amp; Stuff'!GX:HY,25,FALSE)</f>
        <v>0</v>
      </c>
      <c r="AB271" s="160">
        <f>VLOOKUP(C271,'Talente &amp; Stuff'!GX:HY,26,FALSE)</f>
        <v>0</v>
      </c>
      <c r="AC271" s="127">
        <f>VLOOKUP(C271,'Talente &amp; Stuff'!GX:HY,27,FALSE)</f>
        <v>0</v>
      </c>
      <c r="AD271" s="125">
        <f>VLOOKUP(C271,'Talente &amp; Stuff'!GX:HY,28,FALSE)</f>
        <v>0</v>
      </c>
      <c r="AE271" s="28"/>
    </row>
    <row r="272" spans="2:31" ht="15" hidden="1" customHeight="1" outlineLevel="2">
      <c r="B272" s="148">
        <v>12</v>
      </c>
      <c r="C272" s="163" t="str">
        <f>Attribute!C272</f>
        <v>---</v>
      </c>
      <c r="D272" s="86" t="str">
        <f>VLOOKUP(C272,'Talente &amp; Stuff'!GX:HY,2,FALSE)</f>
        <v>--/--/--</v>
      </c>
      <c r="E272" s="167" t="str">
        <f>VLOOKUP(C272,'Talente &amp; Stuff'!GX:HY,3,FALSE)</f>
        <v>-</v>
      </c>
      <c r="F272" s="120">
        <f>VLOOKUP(C272,'Talente &amp; Stuff'!GX:HY,4,FALSE)</f>
        <v>0</v>
      </c>
      <c r="G272" s="117">
        <f>VLOOKUP(C272,'Talente &amp; Stuff'!GX:HY,5,FALSE)</f>
        <v>0</v>
      </c>
      <c r="H272" s="117">
        <f>VLOOKUP(C272,'Talente &amp; Stuff'!GX:HY,6,FALSE)</f>
        <v>0</v>
      </c>
      <c r="I272" s="117">
        <f>VLOOKUP(C272,'Talente &amp; Stuff'!GX:HY,7,FALSE)</f>
        <v>0</v>
      </c>
      <c r="J272" s="117">
        <f>VLOOKUP(C272,'Talente &amp; Stuff'!GX:HY,8,FALSE)</f>
        <v>0</v>
      </c>
      <c r="K272" s="117">
        <f>VLOOKUP(C272,'Talente &amp; Stuff'!GX:HY,9,FALSE)</f>
        <v>0</v>
      </c>
      <c r="L272" s="117">
        <f>VLOOKUP(C272,'Talente &amp; Stuff'!GX:HY,10,FALSE)</f>
        <v>0</v>
      </c>
      <c r="M272" s="121">
        <f>VLOOKUP(C272,'Talente &amp; Stuff'!GX:HY,11,FALSE)</f>
        <v>0</v>
      </c>
      <c r="N272" s="47">
        <f>VLOOKUP(C272,'Talente &amp; Stuff'!GX:HY,12,FALSE)</f>
        <v>0</v>
      </c>
      <c r="O272" s="3">
        <f>VLOOKUP(C272,'Talente &amp; Stuff'!GX:HY,13,FALSE)</f>
        <v>0</v>
      </c>
      <c r="P272" s="174">
        <f>VLOOKUP(C272,'Talente &amp; Stuff'!GX:HY,14,FALSE)</f>
        <v>0</v>
      </c>
      <c r="Q272" s="114">
        <f>VLOOKUP(C272,'Talente &amp; Stuff'!GX:HY,15,FALSE)</f>
        <v>0</v>
      </c>
      <c r="R272" s="117">
        <f>VLOOKUP(C272,'Talente &amp; Stuff'!GX:HY,16,FALSE)</f>
        <v>0</v>
      </c>
      <c r="S272" s="119">
        <f>VLOOKUP(C272,'Talente &amp; Stuff'!GX:HY,17,FALSE)</f>
        <v>0</v>
      </c>
      <c r="T272" s="119">
        <f>VLOOKUP(C272,'Talente &amp; Stuff'!GX:HY,18,FALSE)</f>
        <v>0</v>
      </c>
      <c r="U272" s="89">
        <f>VLOOKUP(C272,'Talente &amp; Stuff'!GX:HY,19,FALSE)</f>
        <v>0</v>
      </c>
      <c r="V272" s="47">
        <f>VLOOKUP(C272,'Talente &amp; Stuff'!GX:HY,20,FALSE)</f>
        <v>0</v>
      </c>
      <c r="W272" s="127">
        <f>VLOOKUP(C272,'Talente &amp; Stuff'!GX:HY,21,FALSE)</f>
        <v>0</v>
      </c>
      <c r="X272" s="127">
        <f>VLOOKUP(C272,'Talente &amp; Stuff'!GX:HY,22,FALSE)</f>
        <v>0</v>
      </c>
      <c r="Y272" s="165">
        <f t="shared" si="22"/>
        <v>0</v>
      </c>
      <c r="Z272" s="44">
        <f t="shared" si="23"/>
        <v>0</v>
      </c>
      <c r="AA272" s="125">
        <f>VLOOKUP(C272,'Talente &amp; Stuff'!GX:HY,25,FALSE)</f>
        <v>0</v>
      </c>
      <c r="AB272" s="160">
        <f>VLOOKUP(C272,'Talente &amp; Stuff'!GX:HY,26,FALSE)</f>
        <v>0</v>
      </c>
      <c r="AC272" s="127">
        <f>VLOOKUP(C272,'Talente &amp; Stuff'!GX:HY,27,FALSE)</f>
        <v>0</v>
      </c>
      <c r="AD272" s="125">
        <f>VLOOKUP(C272,'Talente &amp; Stuff'!GX:HY,28,FALSE)</f>
        <v>0</v>
      </c>
      <c r="AE272" s="28"/>
    </row>
    <row r="273" spans="2:31" ht="15" hidden="1" customHeight="1" outlineLevel="2">
      <c r="B273" s="148">
        <v>13</v>
      </c>
      <c r="C273" s="163" t="str">
        <f>Attribute!C273</f>
        <v>---</v>
      </c>
      <c r="D273" s="86" t="str">
        <f>VLOOKUP(C273,'Talente &amp; Stuff'!GX:HY,2,FALSE)</f>
        <v>--/--/--</v>
      </c>
      <c r="E273" s="167" t="str">
        <f>VLOOKUP(C273,'Talente &amp; Stuff'!GX:HY,3,FALSE)</f>
        <v>-</v>
      </c>
      <c r="F273" s="120">
        <f>VLOOKUP(C273,'Talente &amp; Stuff'!GX:HY,4,FALSE)</f>
        <v>0</v>
      </c>
      <c r="G273" s="117">
        <f>VLOOKUP(C273,'Talente &amp; Stuff'!GX:HY,5,FALSE)</f>
        <v>0</v>
      </c>
      <c r="H273" s="117">
        <f>VLOOKUP(C273,'Talente &amp; Stuff'!GX:HY,6,FALSE)</f>
        <v>0</v>
      </c>
      <c r="I273" s="117">
        <f>VLOOKUP(C273,'Talente &amp; Stuff'!GX:HY,7,FALSE)</f>
        <v>0</v>
      </c>
      <c r="J273" s="117">
        <f>VLOOKUP(C273,'Talente &amp; Stuff'!GX:HY,8,FALSE)</f>
        <v>0</v>
      </c>
      <c r="K273" s="117">
        <f>VLOOKUP(C273,'Talente &amp; Stuff'!GX:HY,9,FALSE)</f>
        <v>0</v>
      </c>
      <c r="L273" s="117">
        <f>VLOOKUP(C273,'Talente &amp; Stuff'!GX:HY,10,FALSE)</f>
        <v>0</v>
      </c>
      <c r="M273" s="121">
        <f>VLOOKUP(C273,'Talente &amp; Stuff'!GX:HY,11,FALSE)</f>
        <v>0</v>
      </c>
      <c r="N273" s="47">
        <f>VLOOKUP(C273,'Talente &amp; Stuff'!GX:HY,12,FALSE)</f>
        <v>0</v>
      </c>
      <c r="O273" s="3">
        <f>VLOOKUP(C273,'Talente &amp; Stuff'!GX:HY,13,FALSE)</f>
        <v>0</v>
      </c>
      <c r="P273" s="174">
        <f>VLOOKUP(C273,'Talente &amp; Stuff'!GX:HY,14,FALSE)</f>
        <v>0</v>
      </c>
      <c r="Q273" s="114">
        <f>VLOOKUP(C273,'Talente &amp; Stuff'!GX:HY,15,FALSE)</f>
        <v>0</v>
      </c>
      <c r="R273" s="117">
        <f>VLOOKUP(C273,'Talente &amp; Stuff'!GX:HY,16,FALSE)</f>
        <v>0</v>
      </c>
      <c r="S273" s="119">
        <f>VLOOKUP(C273,'Talente &amp; Stuff'!GX:HY,17,FALSE)</f>
        <v>0</v>
      </c>
      <c r="T273" s="119">
        <f>VLOOKUP(C273,'Talente &amp; Stuff'!GX:HY,18,FALSE)</f>
        <v>0</v>
      </c>
      <c r="U273" s="89">
        <f>VLOOKUP(C273,'Talente &amp; Stuff'!GX:HY,19,FALSE)</f>
        <v>0</v>
      </c>
      <c r="V273" s="47">
        <f>VLOOKUP(C273,'Talente &amp; Stuff'!GX:HY,20,FALSE)</f>
        <v>0</v>
      </c>
      <c r="W273" s="127">
        <f>VLOOKUP(C273,'Talente &amp; Stuff'!GX:HY,21,FALSE)</f>
        <v>0</v>
      </c>
      <c r="X273" s="127">
        <f>VLOOKUP(C273,'Talente &amp; Stuff'!GX:HY,22,FALSE)</f>
        <v>0</v>
      </c>
      <c r="Y273" s="165">
        <f t="shared" si="22"/>
        <v>0</v>
      </c>
      <c r="Z273" s="44">
        <f t="shared" si="23"/>
        <v>0</v>
      </c>
      <c r="AA273" s="125">
        <f>VLOOKUP(C273,'Talente &amp; Stuff'!GX:HY,25,FALSE)</f>
        <v>0</v>
      </c>
      <c r="AB273" s="160">
        <f>VLOOKUP(C273,'Talente &amp; Stuff'!GX:HY,26,FALSE)</f>
        <v>0</v>
      </c>
      <c r="AC273" s="127">
        <f>VLOOKUP(C273,'Talente &amp; Stuff'!GX:HY,27,FALSE)</f>
        <v>0</v>
      </c>
      <c r="AD273" s="125">
        <f>VLOOKUP(C273,'Talente &amp; Stuff'!GX:HY,28,FALSE)</f>
        <v>0</v>
      </c>
      <c r="AE273" s="28"/>
    </row>
    <row r="274" spans="2:31" ht="15" hidden="1" customHeight="1" outlineLevel="2">
      <c r="B274" s="148">
        <v>14</v>
      </c>
      <c r="C274" s="163" t="str">
        <f>Attribute!C274</f>
        <v>---</v>
      </c>
      <c r="D274" s="86" t="str">
        <f>VLOOKUP(C274,'Talente &amp; Stuff'!GX:HY,2,FALSE)</f>
        <v>--/--/--</v>
      </c>
      <c r="E274" s="167" t="str">
        <f>VLOOKUP(C274,'Talente &amp; Stuff'!GX:HY,3,FALSE)</f>
        <v>-</v>
      </c>
      <c r="F274" s="120">
        <f>VLOOKUP(C274,'Talente &amp; Stuff'!GX:HY,4,FALSE)</f>
        <v>0</v>
      </c>
      <c r="G274" s="117">
        <f>VLOOKUP(C274,'Talente &amp; Stuff'!GX:HY,5,FALSE)</f>
        <v>0</v>
      </c>
      <c r="H274" s="117">
        <f>VLOOKUP(C274,'Talente &amp; Stuff'!GX:HY,6,FALSE)</f>
        <v>0</v>
      </c>
      <c r="I274" s="117">
        <f>VLOOKUP(C274,'Talente &amp; Stuff'!GX:HY,7,FALSE)</f>
        <v>0</v>
      </c>
      <c r="J274" s="117">
        <f>VLOOKUP(C274,'Talente &amp; Stuff'!GX:HY,8,FALSE)</f>
        <v>0</v>
      </c>
      <c r="K274" s="117">
        <f>VLOOKUP(C274,'Talente &amp; Stuff'!GX:HY,9,FALSE)</f>
        <v>0</v>
      </c>
      <c r="L274" s="117">
        <f>VLOOKUP(C274,'Talente &amp; Stuff'!GX:HY,10,FALSE)</f>
        <v>0</v>
      </c>
      <c r="M274" s="121">
        <f>VLOOKUP(C274,'Talente &amp; Stuff'!GX:HY,11,FALSE)</f>
        <v>0</v>
      </c>
      <c r="N274" s="47">
        <f>VLOOKUP(C274,'Talente &amp; Stuff'!GX:HY,12,FALSE)</f>
        <v>0</v>
      </c>
      <c r="O274" s="3">
        <f>VLOOKUP(C274,'Talente &amp; Stuff'!GX:HY,13,FALSE)</f>
        <v>0</v>
      </c>
      <c r="P274" s="174">
        <f>VLOOKUP(C274,'Talente &amp; Stuff'!GX:HY,14,FALSE)</f>
        <v>0</v>
      </c>
      <c r="Q274" s="114">
        <f>VLOOKUP(C274,'Talente &amp; Stuff'!GX:HY,15,FALSE)</f>
        <v>0</v>
      </c>
      <c r="R274" s="117">
        <f>VLOOKUP(C274,'Talente &amp; Stuff'!GX:HY,16,FALSE)</f>
        <v>0</v>
      </c>
      <c r="S274" s="119">
        <f>VLOOKUP(C274,'Talente &amp; Stuff'!GX:HY,17,FALSE)</f>
        <v>0</v>
      </c>
      <c r="T274" s="119">
        <f>VLOOKUP(C274,'Talente &amp; Stuff'!GX:HY,18,FALSE)</f>
        <v>0</v>
      </c>
      <c r="U274" s="89">
        <f>VLOOKUP(C274,'Talente &amp; Stuff'!GX:HY,19,FALSE)</f>
        <v>0</v>
      </c>
      <c r="V274" s="47">
        <f>VLOOKUP(C274,'Talente &amp; Stuff'!GX:HY,20,FALSE)</f>
        <v>0</v>
      </c>
      <c r="W274" s="127">
        <f>VLOOKUP(C274,'Talente &amp; Stuff'!GX:HY,21,FALSE)</f>
        <v>0</v>
      </c>
      <c r="X274" s="127">
        <f>VLOOKUP(C274,'Talente &amp; Stuff'!GX:HY,22,FALSE)</f>
        <v>0</v>
      </c>
      <c r="Y274" s="165">
        <f t="shared" si="22"/>
        <v>0</v>
      </c>
      <c r="Z274" s="44">
        <f t="shared" si="23"/>
        <v>0</v>
      </c>
      <c r="AA274" s="125">
        <f>VLOOKUP(C274,'Talente &amp; Stuff'!GX:HY,25,FALSE)</f>
        <v>0</v>
      </c>
      <c r="AB274" s="160">
        <f>VLOOKUP(C274,'Talente &amp; Stuff'!GX:HY,26,FALSE)</f>
        <v>0</v>
      </c>
      <c r="AC274" s="127">
        <f>VLOOKUP(C274,'Talente &amp; Stuff'!GX:HY,27,FALSE)</f>
        <v>0</v>
      </c>
      <c r="AD274" s="125">
        <f>VLOOKUP(C274,'Talente &amp; Stuff'!GX:HY,28,FALSE)</f>
        <v>0</v>
      </c>
      <c r="AE274" s="28"/>
    </row>
    <row r="275" spans="2:31" ht="15" hidden="1" customHeight="1" outlineLevel="2">
      <c r="B275" s="148">
        <v>15</v>
      </c>
      <c r="C275" s="163" t="str">
        <f>Attribute!C275</f>
        <v>---</v>
      </c>
      <c r="D275" s="86" t="str">
        <f>VLOOKUP(C275,'Talente &amp; Stuff'!GX:HY,2,FALSE)</f>
        <v>--/--/--</v>
      </c>
      <c r="E275" s="167" t="str">
        <f>VLOOKUP(C275,'Talente &amp; Stuff'!GX:HY,3,FALSE)</f>
        <v>-</v>
      </c>
      <c r="F275" s="120">
        <f>VLOOKUP(C275,'Talente &amp; Stuff'!GX:HY,4,FALSE)</f>
        <v>0</v>
      </c>
      <c r="G275" s="117">
        <f>VLOOKUP(C275,'Talente &amp; Stuff'!GX:HY,5,FALSE)</f>
        <v>0</v>
      </c>
      <c r="H275" s="117">
        <f>VLOOKUP(C275,'Talente &amp; Stuff'!GX:HY,6,FALSE)</f>
        <v>0</v>
      </c>
      <c r="I275" s="117">
        <f>VLOOKUP(C275,'Talente &amp; Stuff'!GX:HY,7,FALSE)</f>
        <v>0</v>
      </c>
      <c r="J275" s="117">
        <f>VLOOKUP(C275,'Talente &amp; Stuff'!GX:HY,8,FALSE)</f>
        <v>0</v>
      </c>
      <c r="K275" s="117">
        <f>VLOOKUP(C275,'Talente &amp; Stuff'!GX:HY,9,FALSE)</f>
        <v>0</v>
      </c>
      <c r="L275" s="117">
        <f>VLOOKUP(C275,'Talente &amp; Stuff'!GX:HY,10,FALSE)</f>
        <v>0</v>
      </c>
      <c r="M275" s="121">
        <f>VLOOKUP(C275,'Talente &amp; Stuff'!GX:HY,11,FALSE)</f>
        <v>0</v>
      </c>
      <c r="N275" s="47">
        <f>VLOOKUP(C275,'Talente &amp; Stuff'!GX:HY,12,FALSE)</f>
        <v>0</v>
      </c>
      <c r="O275" s="3">
        <f>VLOOKUP(C275,'Talente &amp; Stuff'!GX:HY,13,FALSE)</f>
        <v>0</v>
      </c>
      <c r="P275" s="174">
        <f>VLOOKUP(C275,'Talente &amp; Stuff'!GX:HY,14,FALSE)</f>
        <v>0</v>
      </c>
      <c r="Q275" s="114">
        <f>VLOOKUP(C275,'Talente &amp; Stuff'!GX:HY,15,FALSE)</f>
        <v>0</v>
      </c>
      <c r="R275" s="117">
        <f>VLOOKUP(C275,'Talente &amp; Stuff'!GX:HY,16,FALSE)</f>
        <v>0</v>
      </c>
      <c r="S275" s="119">
        <f>VLOOKUP(C275,'Talente &amp; Stuff'!GX:HY,17,FALSE)</f>
        <v>0</v>
      </c>
      <c r="T275" s="119">
        <f>VLOOKUP(C275,'Talente &amp; Stuff'!GX:HY,18,FALSE)</f>
        <v>0</v>
      </c>
      <c r="U275" s="89">
        <f>VLOOKUP(C275,'Talente &amp; Stuff'!GX:HY,19,FALSE)</f>
        <v>0</v>
      </c>
      <c r="V275" s="47">
        <f>VLOOKUP(C275,'Talente &amp; Stuff'!GX:HY,20,FALSE)</f>
        <v>0</v>
      </c>
      <c r="W275" s="127">
        <f>VLOOKUP(C275,'Talente &amp; Stuff'!GX:HY,21,FALSE)</f>
        <v>0</v>
      </c>
      <c r="X275" s="127">
        <f>VLOOKUP(C275,'Talente &amp; Stuff'!GX:HY,22,FALSE)</f>
        <v>0</v>
      </c>
      <c r="Y275" s="165">
        <f t="shared" si="22"/>
        <v>0</v>
      </c>
      <c r="Z275" s="44">
        <f t="shared" si="23"/>
        <v>0</v>
      </c>
      <c r="AA275" s="125">
        <f>VLOOKUP(C275,'Talente &amp; Stuff'!GX:HY,25,FALSE)</f>
        <v>0</v>
      </c>
      <c r="AB275" s="160">
        <f>VLOOKUP(C275,'Talente &amp; Stuff'!GX:HY,26,FALSE)</f>
        <v>0</v>
      </c>
      <c r="AC275" s="127">
        <f>VLOOKUP(C275,'Talente &amp; Stuff'!GX:HY,27,FALSE)</f>
        <v>0</v>
      </c>
      <c r="AD275" s="125">
        <f>VLOOKUP(C275,'Talente &amp; Stuff'!GX:HY,28,FALSE)</f>
        <v>0</v>
      </c>
      <c r="AE275" s="28"/>
    </row>
    <row r="276" spans="2:31" ht="15" hidden="1" customHeight="1" outlineLevel="2">
      <c r="B276" s="148">
        <v>16</v>
      </c>
      <c r="C276" s="163" t="str">
        <f>Attribute!C276</f>
        <v>---</v>
      </c>
      <c r="D276" s="86" t="str">
        <f>VLOOKUP(C276,'Talente &amp; Stuff'!GX:HY,2,FALSE)</f>
        <v>--/--/--</v>
      </c>
      <c r="E276" s="167" t="str">
        <f>VLOOKUP(C276,'Talente &amp; Stuff'!GX:HY,3,FALSE)</f>
        <v>-</v>
      </c>
      <c r="F276" s="120">
        <f>VLOOKUP(C276,'Talente &amp; Stuff'!GX:HY,4,FALSE)</f>
        <v>0</v>
      </c>
      <c r="G276" s="117">
        <f>VLOOKUP(C276,'Talente &amp; Stuff'!GX:HY,5,FALSE)</f>
        <v>0</v>
      </c>
      <c r="H276" s="117">
        <f>VLOOKUP(C276,'Talente &amp; Stuff'!GX:HY,6,FALSE)</f>
        <v>0</v>
      </c>
      <c r="I276" s="117">
        <f>VLOOKUP(C276,'Talente &amp; Stuff'!GX:HY,7,FALSE)</f>
        <v>0</v>
      </c>
      <c r="J276" s="117">
        <f>VLOOKUP(C276,'Talente &amp; Stuff'!GX:HY,8,FALSE)</f>
        <v>0</v>
      </c>
      <c r="K276" s="117">
        <f>VLOOKUP(C276,'Talente &amp; Stuff'!GX:HY,9,FALSE)</f>
        <v>0</v>
      </c>
      <c r="L276" s="117">
        <f>VLOOKUP(C276,'Talente &amp; Stuff'!GX:HY,10,FALSE)</f>
        <v>0</v>
      </c>
      <c r="M276" s="121">
        <f>VLOOKUP(C276,'Talente &amp; Stuff'!GX:HY,11,FALSE)</f>
        <v>0</v>
      </c>
      <c r="N276" s="47">
        <f>VLOOKUP(C276,'Talente &amp; Stuff'!GX:HY,12,FALSE)</f>
        <v>0</v>
      </c>
      <c r="O276" s="3">
        <f>VLOOKUP(C276,'Talente &amp; Stuff'!GX:HY,13,FALSE)</f>
        <v>0</v>
      </c>
      <c r="P276" s="174">
        <f>VLOOKUP(C276,'Talente &amp; Stuff'!GX:HY,14,FALSE)</f>
        <v>0</v>
      </c>
      <c r="Q276" s="114">
        <f>VLOOKUP(C276,'Talente &amp; Stuff'!GX:HY,15,FALSE)</f>
        <v>0</v>
      </c>
      <c r="R276" s="117">
        <f>VLOOKUP(C276,'Talente &amp; Stuff'!GX:HY,16,FALSE)</f>
        <v>0</v>
      </c>
      <c r="S276" s="119">
        <f>VLOOKUP(C276,'Talente &amp; Stuff'!GX:HY,17,FALSE)</f>
        <v>0</v>
      </c>
      <c r="T276" s="119">
        <f>VLOOKUP(C276,'Talente &amp; Stuff'!GX:HY,18,FALSE)</f>
        <v>0</v>
      </c>
      <c r="U276" s="89">
        <f>VLOOKUP(C276,'Talente &amp; Stuff'!GX:HY,19,FALSE)</f>
        <v>0</v>
      </c>
      <c r="V276" s="47">
        <f>VLOOKUP(C276,'Talente &amp; Stuff'!GX:HY,20,FALSE)</f>
        <v>0</v>
      </c>
      <c r="W276" s="127">
        <f>VLOOKUP(C276,'Talente &amp; Stuff'!GX:HY,21,FALSE)</f>
        <v>0</v>
      </c>
      <c r="X276" s="127">
        <f>VLOOKUP(C276,'Talente &amp; Stuff'!GX:HY,22,FALSE)</f>
        <v>0</v>
      </c>
      <c r="Y276" s="165">
        <f t="shared" si="22"/>
        <v>0</v>
      </c>
      <c r="Z276" s="44">
        <f t="shared" si="23"/>
        <v>0</v>
      </c>
      <c r="AA276" s="125">
        <f>VLOOKUP(C276,'Talente &amp; Stuff'!GX:HY,25,FALSE)</f>
        <v>0</v>
      </c>
      <c r="AB276" s="160">
        <f>VLOOKUP(C276,'Talente &amp; Stuff'!GX:HY,26,FALSE)</f>
        <v>0</v>
      </c>
      <c r="AC276" s="127">
        <f>VLOOKUP(C276,'Talente &amp; Stuff'!GX:HY,27,FALSE)</f>
        <v>0</v>
      </c>
      <c r="AD276" s="125">
        <f>VLOOKUP(C276,'Talente &amp; Stuff'!GX:HY,28,FALSE)</f>
        <v>0</v>
      </c>
      <c r="AE276" s="28"/>
    </row>
    <row r="277" spans="2:31" ht="15" hidden="1" customHeight="1" outlineLevel="2">
      <c r="B277" s="148">
        <v>17</v>
      </c>
      <c r="C277" s="163" t="str">
        <f>Attribute!C277</f>
        <v>---</v>
      </c>
      <c r="D277" s="86" t="str">
        <f>VLOOKUP(C277,'Talente &amp; Stuff'!GX:HY,2,FALSE)</f>
        <v>--/--/--</v>
      </c>
      <c r="E277" s="167" t="str">
        <f>VLOOKUP(C277,'Talente &amp; Stuff'!GX:HY,3,FALSE)</f>
        <v>-</v>
      </c>
      <c r="F277" s="120">
        <f>VLOOKUP(C277,'Talente &amp; Stuff'!GX:HY,4,FALSE)</f>
        <v>0</v>
      </c>
      <c r="G277" s="117">
        <f>VLOOKUP(C277,'Talente &amp; Stuff'!GX:HY,5,FALSE)</f>
        <v>0</v>
      </c>
      <c r="H277" s="117">
        <f>VLOOKUP(C277,'Talente &amp; Stuff'!GX:HY,6,FALSE)</f>
        <v>0</v>
      </c>
      <c r="I277" s="117">
        <f>VLOOKUP(C277,'Talente &amp; Stuff'!GX:HY,7,FALSE)</f>
        <v>0</v>
      </c>
      <c r="J277" s="117">
        <f>VLOOKUP(C277,'Talente &amp; Stuff'!GX:HY,8,FALSE)</f>
        <v>0</v>
      </c>
      <c r="K277" s="117">
        <f>VLOOKUP(C277,'Talente &amp; Stuff'!GX:HY,9,FALSE)</f>
        <v>0</v>
      </c>
      <c r="L277" s="117">
        <f>VLOOKUP(C277,'Talente &amp; Stuff'!GX:HY,10,FALSE)</f>
        <v>0</v>
      </c>
      <c r="M277" s="121">
        <f>VLOOKUP(C277,'Talente &amp; Stuff'!GX:HY,11,FALSE)</f>
        <v>0</v>
      </c>
      <c r="N277" s="47">
        <f>VLOOKUP(C277,'Talente &amp; Stuff'!GX:HY,12,FALSE)</f>
        <v>0</v>
      </c>
      <c r="O277" s="3">
        <f>VLOOKUP(C277,'Talente &amp; Stuff'!GX:HY,13,FALSE)</f>
        <v>0</v>
      </c>
      <c r="P277" s="174">
        <f>VLOOKUP(C277,'Talente &amp; Stuff'!GX:HY,14,FALSE)</f>
        <v>0</v>
      </c>
      <c r="Q277" s="114">
        <f>VLOOKUP(C277,'Talente &amp; Stuff'!GX:HY,15,FALSE)</f>
        <v>0</v>
      </c>
      <c r="R277" s="117">
        <f>VLOOKUP(C277,'Talente &amp; Stuff'!GX:HY,16,FALSE)</f>
        <v>0</v>
      </c>
      <c r="S277" s="119">
        <f>VLOOKUP(C277,'Talente &amp; Stuff'!GX:HY,17,FALSE)</f>
        <v>0</v>
      </c>
      <c r="T277" s="119">
        <f>VLOOKUP(C277,'Talente &amp; Stuff'!GX:HY,18,FALSE)</f>
        <v>0</v>
      </c>
      <c r="U277" s="89">
        <f>VLOOKUP(C277,'Talente &amp; Stuff'!GX:HY,19,FALSE)</f>
        <v>0</v>
      </c>
      <c r="V277" s="47">
        <f>VLOOKUP(C277,'Talente &amp; Stuff'!GX:HY,20,FALSE)</f>
        <v>0</v>
      </c>
      <c r="W277" s="127">
        <f>VLOOKUP(C277,'Talente &amp; Stuff'!GX:HY,21,FALSE)</f>
        <v>0</v>
      </c>
      <c r="X277" s="127">
        <f>VLOOKUP(C277,'Talente &amp; Stuff'!GX:HY,22,FALSE)</f>
        <v>0</v>
      </c>
      <c r="Y277" s="165">
        <f t="shared" si="22"/>
        <v>0</v>
      </c>
      <c r="Z277" s="44">
        <f t="shared" si="23"/>
        <v>0</v>
      </c>
      <c r="AA277" s="125">
        <f>VLOOKUP(C277,'Talente &amp; Stuff'!GX:HY,25,FALSE)</f>
        <v>0</v>
      </c>
      <c r="AB277" s="160">
        <f>VLOOKUP(C277,'Talente &amp; Stuff'!GX:HY,26,FALSE)</f>
        <v>0</v>
      </c>
      <c r="AC277" s="127">
        <f>VLOOKUP(C277,'Talente &amp; Stuff'!GX:HY,27,FALSE)</f>
        <v>0</v>
      </c>
      <c r="AD277" s="125">
        <f>VLOOKUP(C277,'Talente &amp; Stuff'!GX:HY,28,FALSE)</f>
        <v>0</v>
      </c>
      <c r="AE277" s="28"/>
    </row>
    <row r="278" spans="2:31" ht="15" hidden="1" customHeight="1" outlineLevel="2">
      <c r="B278" s="148">
        <v>18</v>
      </c>
      <c r="C278" s="163" t="str">
        <f>Attribute!C278</f>
        <v>---</v>
      </c>
      <c r="D278" s="86" t="str">
        <f>VLOOKUP(C278,'Talente &amp; Stuff'!GX:HY,2,FALSE)</f>
        <v>--/--/--</v>
      </c>
      <c r="E278" s="167" t="str">
        <f>VLOOKUP(C278,'Talente &amp; Stuff'!GX:HY,3,FALSE)</f>
        <v>-</v>
      </c>
      <c r="F278" s="120">
        <f>VLOOKUP(C278,'Talente &amp; Stuff'!GX:HY,4,FALSE)</f>
        <v>0</v>
      </c>
      <c r="G278" s="117">
        <f>VLOOKUP(C278,'Talente &amp; Stuff'!GX:HY,5,FALSE)</f>
        <v>0</v>
      </c>
      <c r="H278" s="117">
        <f>VLOOKUP(C278,'Talente &amp; Stuff'!GX:HY,6,FALSE)</f>
        <v>0</v>
      </c>
      <c r="I278" s="117">
        <f>VLOOKUP(C278,'Talente &amp; Stuff'!GX:HY,7,FALSE)</f>
        <v>0</v>
      </c>
      <c r="J278" s="117">
        <f>VLOOKUP(C278,'Talente &amp; Stuff'!GX:HY,8,FALSE)</f>
        <v>0</v>
      </c>
      <c r="K278" s="117">
        <f>VLOOKUP(C278,'Talente &amp; Stuff'!GX:HY,9,FALSE)</f>
        <v>0</v>
      </c>
      <c r="L278" s="117">
        <f>VLOOKUP(C278,'Talente &amp; Stuff'!GX:HY,10,FALSE)</f>
        <v>0</v>
      </c>
      <c r="M278" s="121">
        <f>VLOOKUP(C278,'Talente &amp; Stuff'!GX:HY,11,FALSE)</f>
        <v>0</v>
      </c>
      <c r="N278" s="47">
        <f>VLOOKUP(C278,'Talente &amp; Stuff'!GX:HY,12,FALSE)</f>
        <v>0</v>
      </c>
      <c r="O278" s="3">
        <f>VLOOKUP(C278,'Talente &amp; Stuff'!GX:HY,13,FALSE)</f>
        <v>0</v>
      </c>
      <c r="P278" s="174">
        <f>VLOOKUP(C278,'Talente &amp; Stuff'!GX:HY,14,FALSE)</f>
        <v>0</v>
      </c>
      <c r="Q278" s="114">
        <f>VLOOKUP(C278,'Talente &amp; Stuff'!GX:HY,15,FALSE)</f>
        <v>0</v>
      </c>
      <c r="R278" s="117">
        <f>VLOOKUP(C278,'Talente &amp; Stuff'!GX:HY,16,FALSE)</f>
        <v>0</v>
      </c>
      <c r="S278" s="119">
        <f>VLOOKUP(C278,'Talente &amp; Stuff'!GX:HY,17,FALSE)</f>
        <v>0</v>
      </c>
      <c r="T278" s="119">
        <f>VLOOKUP(C278,'Talente &amp; Stuff'!GX:HY,18,FALSE)</f>
        <v>0</v>
      </c>
      <c r="U278" s="89">
        <f>VLOOKUP(C278,'Talente &amp; Stuff'!GX:HY,19,FALSE)</f>
        <v>0</v>
      </c>
      <c r="V278" s="47">
        <f>VLOOKUP(C278,'Talente &amp; Stuff'!GX:HY,20,FALSE)</f>
        <v>0</v>
      </c>
      <c r="W278" s="127">
        <f>VLOOKUP(C278,'Talente &amp; Stuff'!GX:HY,21,FALSE)</f>
        <v>0</v>
      </c>
      <c r="X278" s="127">
        <f>VLOOKUP(C278,'Talente &amp; Stuff'!GX:HY,22,FALSE)</f>
        <v>0</v>
      </c>
      <c r="Y278" s="165">
        <f t="shared" si="22"/>
        <v>0</v>
      </c>
      <c r="Z278" s="44">
        <f t="shared" si="23"/>
        <v>0</v>
      </c>
      <c r="AA278" s="125">
        <f>VLOOKUP(C278,'Talente &amp; Stuff'!GX:HY,25,FALSE)</f>
        <v>0</v>
      </c>
      <c r="AB278" s="160">
        <f>VLOOKUP(C278,'Talente &amp; Stuff'!GX:HY,26,FALSE)</f>
        <v>0</v>
      </c>
      <c r="AC278" s="127">
        <f>VLOOKUP(C278,'Talente &amp; Stuff'!GX:HY,27,FALSE)</f>
        <v>0</v>
      </c>
      <c r="AD278" s="125">
        <f>VLOOKUP(C278,'Talente &amp; Stuff'!GX:HY,28,FALSE)</f>
        <v>0</v>
      </c>
      <c r="AE278" s="28"/>
    </row>
    <row r="279" spans="2:31" ht="15" hidden="1" customHeight="1" outlineLevel="2">
      <c r="B279" s="148">
        <v>19</v>
      </c>
      <c r="C279" s="163" t="str">
        <f>Attribute!C279</f>
        <v>---</v>
      </c>
      <c r="D279" s="86" t="str">
        <f>VLOOKUP(C279,'Talente &amp; Stuff'!GX:HY,2,FALSE)</f>
        <v>--/--/--</v>
      </c>
      <c r="E279" s="167" t="str">
        <f>VLOOKUP(C279,'Talente &amp; Stuff'!GX:HY,3,FALSE)</f>
        <v>-</v>
      </c>
      <c r="F279" s="120">
        <f>VLOOKUP(C279,'Talente &amp; Stuff'!GX:HY,4,FALSE)</f>
        <v>0</v>
      </c>
      <c r="G279" s="117">
        <f>VLOOKUP(C279,'Talente &amp; Stuff'!GX:HY,5,FALSE)</f>
        <v>0</v>
      </c>
      <c r="H279" s="117">
        <f>VLOOKUP(C279,'Talente &amp; Stuff'!GX:HY,6,FALSE)</f>
        <v>0</v>
      </c>
      <c r="I279" s="117">
        <f>VLOOKUP(C279,'Talente &amp; Stuff'!GX:HY,7,FALSE)</f>
        <v>0</v>
      </c>
      <c r="J279" s="117">
        <f>VLOOKUP(C279,'Talente &amp; Stuff'!GX:HY,8,FALSE)</f>
        <v>0</v>
      </c>
      <c r="K279" s="117">
        <f>VLOOKUP(C279,'Talente &amp; Stuff'!GX:HY,9,FALSE)</f>
        <v>0</v>
      </c>
      <c r="L279" s="117">
        <f>VLOOKUP(C279,'Talente &amp; Stuff'!GX:HY,10,FALSE)</f>
        <v>0</v>
      </c>
      <c r="M279" s="121">
        <f>VLOOKUP(C279,'Talente &amp; Stuff'!GX:HY,11,FALSE)</f>
        <v>0</v>
      </c>
      <c r="N279" s="47">
        <f>VLOOKUP(C279,'Talente &amp; Stuff'!GX:HY,12,FALSE)</f>
        <v>0</v>
      </c>
      <c r="O279" s="3">
        <f>VLOOKUP(C279,'Talente &amp; Stuff'!GX:HY,13,FALSE)</f>
        <v>0</v>
      </c>
      <c r="P279" s="174">
        <f>VLOOKUP(C279,'Talente &amp; Stuff'!GX:HY,14,FALSE)</f>
        <v>0</v>
      </c>
      <c r="Q279" s="114">
        <f>VLOOKUP(C279,'Talente &amp; Stuff'!GX:HY,15,FALSE)</f>
        <v>0</v>
      </c>
      <c r="R279" s="117">
        <f>VLOOKUP(C279,'Talente &amp; Stuff'!GX:HY,16,FALSE)</f>
        <v>0</v>
      </c>
      <c r="S279" s="119">
        <f>VLOOKUP(C279,'Talente &amp; Stuff'!GX:HY,17,FALSE)</f>
        <v>0</v>
      </c>
      <c r="T279" s="119">
        <f>VLOOKUP(C279,'Talente &amp; Stuff'!GX:HY,18,FALSE)</f>
        <v>0</v>
      </c>
      <c r="U279" s="89">
        <f>VLOOKUP(C279,'Talente &amp; Stuff'!GX:HY,19,FALSE)</f>
        <v>0</v>
      </c>
      <c r="V279" s="47">
        <f>VLOOKUP(C279,'Talente &amp; Stuff'!GX:HY,20,FALSE)</f>
        <v>0</v>
      </c>
      <c r="W279" s="127">
        <f>VLOOKUP(C279,'Talente &amp; Stuff'!GX:HY,21,FALSE)</f>
        <v>0</v>
      </c>
      <c r="X279" s="127">
        <f>VLOOKUP(C279,'Talente &amp; Stuff'!GX:HY,22,FALSE)</f>
        <v>0</v>
      </c>
      <c r="Y279" s="165">
        <f t="shared" si="22"/>
        <v>0</v>
      </c>
      <c r="Z279" s="44">
        <f t="shared" si="23"/>
        <v>0</v>
      </c>
      <c r="AA279" s="125">
        <f>VLOOKUP(C279,'Talente &amp; Stuff'!GX:HY,25,FALSE)</f>
        <v>0</v>
      </c>
      <c r="AB279" s="160">
        <f>VLOOKUP(C279,'Talente &amp; Stuff'!GX:HY,26,FALSE)</f>
        <v>0</v>
      </c>
      <c r="AC279" s="127">
        <f>VLOOKUP(C279,'Talente &amp; Stuff'!GX:HY,27,FALSE)</f>
        <v>0</v>
      </c>
      <c r="AD279" s="125">
        <f>VLOOKUP(C279,'Talente &amp; Stuff'!GX:HY,28,FALSE)</f>
        <v>0</v>
      </c>
      <c r="AE279" s="28"/>
    </row>
    <row r="280" spans="2:31" ht="15" hidden="1" customHeight="1" outlineLevel="2">
      <c r="B280" s="148">
        <v>20</v>
      </c>
      <c r="C280" s="163" t="str">
        <f>Attribute!C280</f>
        <v>---</v>
      </c>
      <c r="D280" s="86" t="str">
        <f>VLOOKUP(C280,'Talente &amp; Stuff'!GX:HY,2,FALSE)</f>
        <v>--/--/--</v>
      </c>
      <c r="E280" s="167" t="str">
        <f>VLOOKUP(C280,'Talente &amp; Stuff'!GX:HY,3,FALSE)</f>
        <v>-</v>
      </c>
      <c r="F280" s="120">
        <f>VLOOKUP(C280,'Talente &amp; Stuff'!GX:HY,4,FALSE)</f>
        <v>0</v>
      </c>
      <c r="G280" s="117">
        <f>VLOOKUP(C280,'Talente &amp; Stuff'!GX:HY,5,FALSE)</f>
        <v>0</v>
      </c>
      <c r="H280" s="117">
        <f>VLOOKUP(C280,'Talente &amp; Stuff'!GX:HY,6,FALSE)</f>
        <v>0</v>
      </c>
      <c r="I280" s="117">
        <f>VLOOKUP(C280,'Talente &amp; Stuff'!GX:HY,7,FALSE)</f>
        <v>0</v>
      </c>
      <c r="J280" s="117">
        <f>VLOOKUP(C280,'Talente &amp; Stuff'!GX:HY,8,FALSE)</f>
        <v>0</v>
      </c>
      <c r="K280" s="117">
        <f>VLOOKUP(C280,'Talente &amp; Stuff'!GX:HY,9,FALSE)</f>
        <v>0</v>
      </c>
      <c r="L280" s="117">
        <f>VLOOKUP(C280,'Talente &amp; Stuff'!GX:HY,10,FALSE)</f>
        <v>0</v>
      </c>
      <c r="M280" s="121">
        <f>VLOOKUP(C280,'Talente &amp; Stuff'!GX:HY,11,FALSE)</f>
        <v>0</v>
      </c>
      <c r="N280" s="47">
        <f>VLOOKUP(C280,'Talente &amp; Stuff'!GX:HY,12,FALSE)</f>
        <v>0</v>
      </c>
      <c r="O280" s="3">
        <f>VLOOKUP(C280,'Talente &amp; Stuff'!GX:HY,13,FALSE)</f>
        <v>0</v>
      </c>
      <c r="P280" s="174">
        <f>VLOOKUP(C280,'Talente &amp; Stuff'!GX:HY,14,FALSE)</f>
        <v>0</v>
      </c>
      <c r="Q280" s="114">
        <f>VLOOKUP(C280,'Talente &amp; Stuff'!GX:HY,15,FALSE)</f>
        <v>0</v>
      </c>
      <c r="R280" s="117">
        <f>VLOOKUP(C280,'Talente &amp; Stuff'!GX:HY,16,FALSE)</f>
        <v>0</v>
      </c>
      <c r="S280" s="119">
        <f>VLOOKUP(C280,'Talente &amp; Stuff'!GX:HY,17,FALSE)</f>
        <v>0</v>
      </c>
      <c r="T280" s="119">
        <f>VLOOKUP(C280,'Talente &amp; Stuff'!GX:HY,18,FALSE)</f>
        <v>0</v>
      </c>
      <c r="U280" s="89">
        <f>VLOOKUP(C280,'Talente &amp; Stuff'!GX:HY,19,FALSE)</f>
        <v>0</v>
      </c>
      <c r="V280" s="47">
        <f>VLOOKUP(C280,'Talente &amp; Stuff'!GX:HY,20,FALSE)</f>
        <v>0</v>
      </c>
      <c r="W280" s="127">
        <f>VLOOKUP(C280,'Talente &amp; Stuff'!GX:HY,21,FALSE)</f>
        <v>0</v>
      </c>
      <c r="X280" s="127">
        <f>VLOOKUP(C280,'Talente &amp; Stuff'!GX:HY,22,FALSE)</f>
        <v>0</v>
      </c>
      <c r="Y280" s="165">
        <f t="shared" si="22"/>
        <v>0</v>
      </c>
      <c r="Z280" s="44">
        <f t="shared" si="23"/>
        <v>0</v>
      </c>
      <c r="AA280" s="125">
        <f>VLOOKUP(C280,'Talente &amp; Stuff'!GX:HY,25,FALSE)</f>
        <v>0</v>
      </c>
      <c r="AB280" s="160">
        <f>VLOOKUP(C280,'Talente &amp; Stuff'!GX:HY,26,FALSE)</f>
        <v>0</v>
      </c>
      <c r="AC280" s="127">
        <f>VLOOKUP(C280,'Talente &amp; Stuff'!GX:HY,27,FALSE)</f>
        <v>0</v>
      </c>
      <c r="AD280" s="125">
        <f>VLOOKUP(C280,'Talente &amp; Stuff'!GX:HY,28,FALSE)</f>
        <v>0</v>
      </c>
      <c r="AE280" s="28"/>
    </row>
    <row r="281" spans="2:31" ht="15" hidden="1" customHeight="1" outlineLevel="2">
      <c r="B281" s="148">
        <v>21</v>
      </c>
      <c r="C281" s="163" t="str">
        <f>Attribute!C281</f>
        <v>---</v>
      </c>
      <c r="D281" s="86" t="str">
        <f>VLOOKUP(C281,'Talente &amp; Stuff'!GX:HY,2,FALSE)</f>
        <v>--/--/--</v>
      </c>
      <c r="E281" s="167" t="str">
        <f>VLOOKUP(C281,'Talente &amp; Stuff'!GX:HY,3,FALSE)</f>
        <v>-</v>
      </c>
      <c r="F281" s="120">
        <f>VLOOKUP(C281,'Talente &amp; Stuff'!GX:HY,4,FALSE)</f>
        <v>0</v>
      </c>
      <c r="G281" s="117">
        <f>VLOOKUP(C281,'Talente &amp; Stuff'!GX:HY,5,FALSE)</f>
        <v>0</v>
      </c>
      <c r="H281" s="117">
        <f>VLOOKUP(C281,'Talente &amp; Stuff'!GX:HY,6,FALSE)</f>
        <v>0</v>
      </c>
      <c r="I281" s="117">
        <f>VLOOKUP(C281,'Talente &amp; Stuff'!GX:HY,7,FALSE)</f>
        <v>0</v>
      </c>
      <c r="J281" s="117">
        <f>VLOOKUP(C281,'Talente &amp; Stuff'!GX:HY,8,FALSE)</f>
        <v>0</v>
      </c>
      <c r="K281" s="117">
        <f>VLOOKUP(C281,'Talente &amp; Stuff'!GX:HY,9,FALSE)</f>
        <v>0</v>
      </c>
      <c r="L281" s="117">
        <f>VLOOKUP(C281,'Talente &amp; Stuff'!GX:HY,10,FALSE)</f>
        <v>0</v>
      </c>
      <c r="M281" s="121">
        <f>VLOOKUP(C281,'Talente &amp; Stuff'!GX:HY,11,FALSE)</f>
        <v>0</v>
      </c>
      <c r="N281" s="47">
        <f>VLOOKUP(C281,'Talente &amp; Stuff'!GX:HY,12,FALSE)</f>
        <v>0</v>
      </c>
      <c r="O281" s="3">
        <f>VLOOKUP(C281,'Talente &amp; Stuff'!GX:HY,13,FALSE)</f>
        <v>0</v>
      </c>
      <c r="P281" s="174">
        <f>VLOOKUP(C281,'Talente &amp; Stuff'!GX:HY,14,FALSE)</f>
        <v>0</v>
      </c>
      <c r="Q281" s="114">
        <f>VLOOKUP(C281,'Talente &amp; Stuff'!GX:HY,15,FALSE)</f>
        <v>0</v>
      </c>
      <c r="R281" s="117">
        <f>VLOOKUP(C281,'Talente &amp; Stuff'!GX:HY,16,FALSE)</f>
        <v>0</v>
      </c>
      <c r="S281" s="119">
        <f>VLOOKUP(C281,'Talente &amp; Stuff'!GX:HY,17,FALSE)</f>
        <v>0</v>
      </c>
      <c r="T281" s="119">
        <f>VLOOKUP(C281,'Talente &amp; Stuff'!GX:HY,18,FALSE)</f>
        <v>0</v>
      </c>
      <c r="U281" s="89">
        <f>VLOOKUP(C281,'Talente &amp; Stuff'!GX:HY,19,FALSE)</f>
        <v>0</v>
      </c>
      <c r="V281" s="47">
        <f>VLOOKUP(C281,'Talente &amp; Stuff'!GX:HY,20,FALSE)</f>
        <v>0</v>
      </c>
      <c r="W281" s="127">
        <f>VLOOKUP(C281,'Talente &amp; Stuff'!GX:HY,21,FALSE)</f>
        <v>0</v>
      </c>
      <c r="X281" s="127">
        <f>VLOOKUP(C281,'Talente &amp; Stuff'!GX:HY,22,FALSE)</f>
        <v>0</v>
      </c>
      <c r="Y281" s="165">
        <f t="shared" si="22"/>
        <v>0</v>
      </c>
      <c r="Z281" s="44">
        <f t="shared" si="23"/>
        <v>0</v>
      </c>
      <c r="AA281" s="125">
        <f>VLOOKUP(C281,'Talente &amp; Stuff'!GX:HY,25,FALSE)</f>
        <v>0</v>
      </c>
      <c r="AB281" s="160">
        <f>VLOOKUP(C281,'Talente &amp; Stuff'!GX:HY,26,FALSE)</f>
        <v>0</v>
      </c>
      <c r="AC281" s="127">
        <f>VLOOKUP(C281,'Talente &amp; Stuff'!GX:HY,27,FALSE)</f>
        <v>0</v>
      </c>
      <c r="AD281" s="125">
        <f>VLOOKUP(C281,'Talente &amp; Stuff'!GX:HY,28,FALSE)</f>
        <v>0</v>
      </c>
      <c r="AE281" s="28"/>
    </row>
    <row r="282" spans="2:31" ht="15" hidden="1" customHeight="1" outlineLevel="2">
      <c r="B282" s="148">
        <v>22</v>
      </c>
      <c r="C282" s="163" t="str">
        <f>Attribute!C282</f>
        <v>---</v>
      </c>
      <c r="D282" s="86" t="str">
        <f>VLOOKUP(C282,'Talente &amp; Stuff'!GX:HY,2,FALSE)</f>
        <v>--/--/--</v>
      </c>
      <c r="E282" s="167" t="str">
        <f>VLOOKUP(C282,'Talente &amp; Stuff'!GX:HY,3,FALSE)</f>
        <v>-</v>
      </c>
      <c r="F282" s="120">
        <f>VLOOKUP(C282,'Talente &amp; Stuff'!GX:HY,4,FALSE)</f>
        <v>0</v>
      </c>
      <c r="G282" s="117">
        <f>VLOOKUP(C282,'Talente &amp; Stuff'!GX:HY,5,FALSE)</f>
        <v>0</v>
      </c>
      <c r="H282" s="117">
        <f>VLOOKUP(C282,'Talente &amp; Stuff'!GX:HY,6,FALSE)</f>
        <v>0</v>
      </c>
      <c r="I282" s="117">
        <f>VLOOKUP(C282,'Talente &amp; Stuff'!GX:HY,7,FALSE)</f>
        <v>0</v>
      </c>
      <c r="J282" s="117">
        <f>VLOOKUP(C282,'Talente &amp; Stuff'!GX:HY,8,FALSE)</f>
        <v>0</v>
      </c>
      <c r="K282" s="117">
        <f>VLOOKUP(C282,'Talente &amp; Stuff'!GX:HY,9,FALSE)</f>
        <v>0</v>
      </c>
      <c r="L282" s="117">
        <f>VLOOKUP(C282,'Talente &amp; Stuff'!GX:HY,10,FALSE)</f>
        <v>0</v>
      </c>
      <c r="M282" s="121">
        <f>VLOOKUP(C282,'Talente &amp; Stuff'!GX:HY,11,FALSE)</f>
        <v>0</v>
      </c>
      <c r="N282" s="47">
        <f>VLOOKUP(C282,'Talente &amp; Stuff'!GX:HY,12,FALSE)</f>
        <v>0</v>
      </c>
      <c r="O282" s="3">
        <f>VLOOKUP(C282,'Talente &amp; Stuff'!GX:HY,13,FALSE)</f>
        <v>0</v>
      </c>
      <c r="P282" s="174">
        <f>VLOOKUP(C282,'Talente &amp; Stuff'!GX:HY,14,FALSE)</f>
        <v>0</v>
      </c>
      <c r="Q282" s="114">
        <f>VLOOKUP(C282,'Talente &amp; Stuff'!GX:HY,15,FALSE)</f>
        <v>0</v>
      </c>
      <c r="R282" s="117">
        <f>VLOOKUP(C282,'Talente &amp; Stuff'!GX:HY,16,FALSE)</f>
        <v>0</v>
      </c>
      <c r="S282" s="119">
        <f>VLOOKUP(C282,'Talente &amp; Stuff'!GX:HY,17,FALSE)</f>
        <v>0</v>
      </c>
      <c r="T282" s="119">
        <f>VLOOKUP(C282,'Talente &amp; Stuff'!GX:HY,18,FALSE)</f>
        <v>0</v>
      </c>
      <c r="U282" s="89">
        <f>VLOOKUP(C282,'Talente &amp; Stuff'!GX:HY,19,FALSE)</f>
        <v>0</v>
      </c>
      <c r="V282" s="47">
        <f>VLOOKUP(C282,'Talente &amp; Stuff'!GX:HY,20,FALSE)</f>
        <v>0</v>
      </c>
      <c r="W282" s="127">
        <f>VLOOKUP(C282,'Talente &amp; Stuff'!GX:HY,21,FALSE)</f>
        <v>0</v>
      </c>
      <c r="X282" s="127">
        <f>VLOOKUP(C282,'Talente &amp; Stuff'!GX:HY,22,FALSE)</f>
        <v>0</v>
      </c>
      <c r="Y282" s="165">
        <f t="shared" si="22"/>
        <v>0</v>
      </c>
      <c r="Z282" s="44">
        <f t="shared" si="23"/>
        <v>0</v>
      </c>
      <c r="AA282" s="125">
        <f>VLOOKUP(C282,'Talente &amp; Stuff'!GX:HY,25,FALSE)</f>
        <v>0</v>
      </c>
      <c r="AB282" s="160">
        <f>VLOOKUP(C282,'Talente &amp; Stuff'!GX:HY,26,FALSE)</f>
        <v>0</v>
      </c>
      <c r="AC282" s="127">
        <f>VLOOKUP(C282,'Talente &amp; Stuff'!GX:HY,27,FALSE)</f>
        <v>0</v>
      </c>
      <c r="AD282" s="125">
        <f>VLOOKUP(C282,'Talente &amp; Stuff'!GX:HY,28,FALSE)</f>
        <v>0</v>
      </c>
      <c r="AE282" s="28"/>
    </row>
    <row r="283" spans="2:31" ht="15" hidden="1" customHeight="1" outlineLevel="2">
      <c r="B283" s="148">
        <v>23</v>
      </c>
      <c r="C283" s="163" t="str">
        <f>Attribute!C283</f>
        <v>---</v>
      </c>
      <c r="D283" s="86" t="str">
        <f>VLOOKUP(C283,'Talente &amp; Stuff'!GX:HY,2,FALSE)</f>
        <v>--/--/--</v>
      </c>
      <c r="E283" s="167" t="str">
        <f>VLOOKUP(C283,'Talente &amp; Stuff'!GX:HY,3,FALSE)</f>
        <v>-</v>
      </c>
      <c r="F283" s="120">
        <f>VLOOKUP(C283,'Talente &amp; Stuff'!GX:HY,4,FALSE)</f>
        <v>0</v>
      </c>
      <c r="G283" s="117">
        <f>VLOOKUP(C283,'Talente &amp; Stuff'!GX:HY,5,FALSE)</f>
        <v>0</v>
      </c>
      <c r="H283" s="117">
        <f>VLOOKUP(C283,'Talente &amp; Stuff'!GX:HY,6,FALSE)</f>
        <v>0</v>
      </c>
      <c r="I283" s="117">
        <f>VLOOKUP(C283,'Talente &amp; Stuff'!GX:HY,7,FALSE)</f>
        <v>0</v>
      </c>
      <c r="J283" s="117">
        <f>VLOOKUP(C283,'Talente &amp; Stuff'!GX:HY,8,FALSE)</f>
        <v>0</v>
      </c>
      <c r="K283" s="117">
        <f>VLOOKUP(C283,'Talente &amp; Stuff'!GX:HY,9,FALSE)</f>
        <v>0</v>
      </c>
      <c r="L283" s="117">
        <f>VLOOKUP(C283,'Talente &amp; Stuff'!GX:HY,10,FALSE)</f>
        <v>0</v>
      </c>
      <c r="M283" s="121">
        <f>VLOOKUP(C283,'Talente &amp; Stuff'!GX:HY,11,FALSE)</f>
        <v>0</v>
      </c>
      <c r="N283" s="47">
        <f>VLOOKUP(C283,'Talente &amp; Stuff'!GX:HY,12,FALSE)</f>
        <v>0</v>
      </c>
      <c r="O283" s="3">
        <f>VLOOKUP(C283,'Talente &amp; Stuff'!GX:HY,13,FALSE)</f>
        <v>0</v>
      </c>
      <c r="P283" s="174">
        <f>VLOOKUP(C283,'Talente &amp; Stuff'!GX:HY,14,FALSE)</f>
        <v>0</v>
      </c>
      <c r="Q283" s="114">
        <f>VLOOKUP(C283,'Talente &amp; Stuff'!GX:HY,15,FALSE)</f>
        <v>0</v>
      </c>
      <c r="R283" s="117">
        <f>VLOOKUP(C283,'Talente &amp; Stuff'!GX:HY,16,FALSE)</f>
        <v>0</v>
      </c>
      <c r="S283" s="119">
        <f>VLOOKUP(C283,'Talente &amp; Stuff'!GX:HY,17,FALSE)</f>
        <v>0</v>
      </c>
      <c r="T283" s="119">
        <f>VLOOKUP(C283,'Talente &amp; Stuff'!GX:HY,18,FALSE)</f>
        <v>0</v>
      </c>
      <c r="U283" s="89">
        <f>VLOOKUP(C283,'Talente &amp; Stuff'!GX:HY,19,FALSE)</f>
        <v>0</v>
      </c>
      <c r="V283" s="47">
        <f>VLOOKUP(C283,'Talente &amp; Stuff'!GX:HY,20,FALSE)</f>
        <v>0</v>
      </c>
      <c r="W283" s="127">
        <f>VLOOKUP(C283,'Talente &amp; Stuff'!GX:HY,21,FALSE)</f>
        <v>0</v>
      </c>
      <c r="X283" s="127">
        <f>VLOOKUP(C283,'Talente &amp; Stuff'!GX:HY,22,FALSE)</f>
        <v>0</v>
      </c>
      <c r="Y283" s="165">
        <f t="shared" si="22"/>
        <v>0</v>
      </c>
      <c r="Z283" s="44">
        <f t="shared" si="23"/>
        <v>0</v>
      </c>
      <c r="AA283" s="125">
        <f>VLOOKUP(C283,'Talente &amp; Stuff'!GX:HY,25,FALSE)</f>
        <v>0</v>
      </c>
      <c r="AB283" s="160">
        <f>VLOOKUP(C283,'Talente &amp; Stuff'!GX:HY,26,FALSE)</f>
        <v>0</v>
      </c>
      <c r="AC283" s="127">
        <f>VLOOKUP(C283,'Talente &amp; Stuff'!GX:HY,27,FALSE)</f>
        <v>0</v>
      </c>
      <c r="AD283" s="125">
        <f>VLOOKUP(C283,'Talente &amp; Stuff'!GX:HY,28,FALSE)</f>
        <v>0</v>
      </c>
      <c r="AE283" s="28"/>
    </row>
    <row r="284" spans="2:31" ht="15" hidden="1" customHeight="1" outlineLevel="2">
      <c r="B284" s="148">
        <v>24</v>
      </c>
      <c r="C284" s="163" t="str">
        <f>Attribute!C284</f>
        <v>---</v>
      </c>
      <c r="D284" s="86" t="str">
        <f>VLOOKUP(C284,'Talente &amp; Stuff'!GX:HY,2,FALSE)</f>
        <v>--/--/--</v>
      </c>
      <c r="E284" s="167" t="str">
        <f>VLOOKUP(C284,'Talente &amp; Stuff'!GX:HY,3,FALSE)</f>
        <v>-</v>
      </c>
      <c r="F284" s="120">
        <f>VLOOKUP(C284,'Talente &amp; Stuff'!GX:HY,4,FALSE)</f>
        <v>0</v>
      </c>
      <c r="G284" s="117">
        <f>VLOOKUP(C284,'Talente &amp; Stuff'!GX:HY,5,FALSE)</f>
        <v>0</v>
      </c>
      <c r="H284" s="117">
        <f>VLOOKUP(C284,'Talente &amp; Stuff'!GX:HY,6,FALSE)</f>
        <v>0</v>
      </c>
      <c r="I284" s="117">
        <f>VLOOKUP(C284,'Talente &amp; Stuff'!GX:HY,7,FALSE)</f>
        <v>0</v>
      </c>
      <c r="J284" s="117">
        <f>VLOOKUP(C284,'Talente &amp; Stuff'!GX:HY,8,FALSE)</f>
        <v>0</v>
      </c>
      <c r="K284" s="117">
        <f>VLOOKUP(C284,'Talente &amp; Stuff'!GX:HY,9,FALSE)</f>
        <v>0</v>
      </c>
      <c r="L284" s="117">
        <f>VLOOKUP(C284,'Talente &amp; Stuff'!GX:HY,10,FALSE)</f>
        <v>0</v>
      </c>
      <c r="M284" s="121">
        <f>VLOOKUP(C284,'Talente &amp; Stuff'!GX:HY,11,FALSE)</f>
        <v>0</v>
      </c>
      <c r="N284" s="47">
        <f>VLOOKUP(C284,'Talente &amp; Stuff'!GX:HY,12,FALSE)</f>
        <v>0</v>
      </c>
      <c r="O284" s="3">
        <f>VLOOKUP(C284,'Talente &amp; Stuff'!GX:HY,13,FALSE)</f>
        <v>0</v>
      </c>
      <c r="P284" s="174">
        <f>VLOOKUP(C284,'Talente &amp; Stuff'!GX:HY,14,FALSE)</f>
        <v>0</v>
      </c>
      <c r="Q284" s="114">
        <f>VLOOKUP(C284,'Talente &amp; Stuff'!GX:HY,15,FALSE)</f>
        <v>0</v>
      </c>
      <c r="R284" s="117">
        <f>VLOOKUP(C284,'Talente &amp; Stuff'!GX:HY,16,FALSE)</f>
        <v>0</v>
      </c>
      <c r="S284" s="119">
        <f>VLOOKUP(C284,'Talente &amp; Stuff'!GX:HY,17,FALSE)</f>
        <v>0</v>
      </c>
      <c r="T284" s="119">
        <f>VLOOKUP(C284,'Talente &amp; Stuff'!GX:HY,18,FALSE)</f>
        <v>0</v>
      </c>
      <c r="U284" s="89">
        <f>VLOOKUP(C284,'Talente &amp; Stuff'!GX:HY,19,FALSE)</f>
        <v>0</v>
      </c>
      <c r="V284" s="47">
        <f>VLOOKUP(C284,'Talente &amp; Stuff'!GX:HY,20,FALSE)</f>
        <v>0</v>
      </c>
      <c r="W284" s="127">
        <f>VLOOKUP(C284,'Talente &amp; Stuff'!GX:HY,21,FALSE)</f>
        <v>0</v>
      </c>
      <c r="X284" s="127">
        <f>VLOOKUP(C284,'Talente &amp; Stuff'!GX:HY,22,FALSE)</f>
        <v>0</v>
      </c>
      <c r="Y284" s="165">
        <f t="shared" si="22"/>
        <v>0</v>
      </c>
      <c r="Z284" s="44">
        <f t="shared" si="23"/>
        <v>0</v>
      </c>
      <c r="AA284" s="125">
        <f>VLOOKUP(C284,'Talente &amp; Stuff'!GX:HY,25,FALSE)</f>
        <v>0</v>
      </c>
      <c r="AB284" s="160">
        <f>VLOOKUP(C284,'Talente &amp; Stuff'!GX:HY,26,FALSE)</f>
        <v>0</v>
      </c>
      <c r="AC284" s="127">
        <f>VLOOKUP(C284,'Talente &amp; Stuff'!GX:HY,27,FALSE)</f>
        <v>0</v>
      </c>
      <c r="AD284" s="125">
        <f>VLOOKUP(C284,'Talente &amp; Stuff'!GX:HY,28,FALSE)</f>
        <v>0</v>
      </c>
      <c r="AE284" s="28"/>
    </row>
    <row r="285" spans="2:31" ht="15" hidden="1" customHeight="1" outlineLevel="2">
      <c r="B285" s="148">
        <v>25</v>
      </c>
      <c r="C285" s="163" t="str">
        <f>Attribute!C285</f>
        <v>---</v>
      </c>
      <c r="D285" s="86" t="str">
        <f>VLOOKUP(C285,'Talente &amp; Stuff'!GX:HY,2,FALSE)</f>
        <v>--/--/--</v>
      </c>
      <c r="E285" s="167" t="str">
        <f>VLOOKUP(C285,'Talente &amp; Stuff'!GX:HY,3,FALSE)</f>
        <v>-</v>
      </c>
      <c r="F285" s="120">
        <f>VLOOKUP(C285,'Talente &amp; Stuff'!GX:HY,4,FALSE)</f>
        <v>0</v>
      </c>
      <c r="G285" s="117">
        <f>VLOOKUP(C285,'Talente &amp; Stuff'!GX:HY,5,FALSE)</f>
        <v>0</v>
      </c>
      <c r="H285" s="117">
        <f>VLOOKUP(C285,'Talente &amp; Stuff'!GX:HY,6,FALSE)</f>
        <v>0</v>
      </c>
      <c r="I285" s="117">
        <f>VLOOKUP(C285,'Talente &amp; Stuff'!GX:HY,7,FALSE)</f>
        <v>0</v>
      </c>
      <c r="J285" s="117">
        <f>VLOOKUP(C285,'Talente &amp; Stuff'!GX:HY,8,FALSE)</f>
        <v>0</v>
      </c>
      <c r="K285" s="117">
        <f>VLOOKUP(C285,'Talente &amp; Stuff'!GX:HY,9,FALSE)</f>
        <v>0</v>
      </c>
      <c r="L285" s="117">
        <f>VLOOKUP(C285,'Talente &amp; Stuff'!GX:HY,10,FALSE)</f>
        <v>0</v>
      </c>
      <c r="M285" s="121">
        <f>VLOOKUP(C285,'Talente &amp; Stuff'!GX:HY,11,FALSE)</f>
        <v>0</v>
      </c>
      <c r="N285" s="47">
        <f>VLOOKUP(C285,'Talente &amp; Stuff'!GX:HY,12,FALSE)</f>
        <v>0</v>
      </c>
      <c r="O285" s="3">
        <f>VLOOKUP(C285,'Talente &amp; Stuff'!GX:HY,13,FALSE)</f>
        <v>0</v>
      </c>
      <c r="P285" s="174">
        <f>VLOOKUP(C285,'Talente &amp; Stuff'!GX:HY,14,FALSE)</f>
        <v>0</v>
      </c>
      <c r="Q285" s="114">
        <f>VLOOKUP(C285,'Talente &amp; Stuff'!GX:HY,15,FALSE)</f>
        <v>0</v>
      </c>
      <c r="R285" s="117">
        <f>VLOOKUP(C285,'Talente &amp; Stuff'!GX:HY,16,FALSE)</f>
        <v>0</v>
      </c>
      <c r="S285" s="119">
        <f>VLOOKUP(C285,'Talente &amp; Stuff'!GX:HY,17,FALSE)</f>
        <v>0</v>
      </c>
      <c r="T285" s="119">
        <f>VLOOKUP(C285,'Talente &amp; Stuff'!GX:HY,18,FALSE)</f>
        <v>0</v>
      </c>
      <c r="U285" s="89">
        <f>VLOOKUP(C285,'Talente &amp; Stuff'!GX:HY,19,FALSE)</f>
        <v>0</v>
      </c>
      <c r="V285" s="47">
        <f>VLOOKUP(C285,'Talente &amp; Stuff'!GX:HY,20,FALSE)</f>
        <v>0</v>
      </c>
      <c r="W285" s="127">
        <f>VLOOKUP(C285,'Talente &amp; Stuff'!GX:HY,21,FALSE)</f>
        <v>0</v>
      </c>
      <c r="X285" s="127">
        <f>VLOOKUP(C285,'Talente &amp; Stuff'!GX:HY,22,FALSE)</f>
        <v>0</v>
      </c>
      <c r="Y285" s="165">
        <f t="shared" si="22"/>
        <v>0</v>
      </c>
      <c r="Z285" s="44">
        <f t="shared" si="23"/>
        <v>0</v>
      </c>
      <c r="AA285" s="125">
        <f>VLOOKUP(C285,'Talente &amp; Stuff'!GX:HY,25,FALSE)</f>
        <v>0</v>
      </c>
      <c r="AB285" s="160">
        <f>VLOOKUP(C285,'Talente &amp; Stuff'!GX:HY,26,FALSE)</f>
        <v>0</v>
      </c>
      <c r="AC285" s="127">
        <f>VLOOKUP(C285,'Talente &amp; Stuff'!GX:HY,27,FALSE)</f>
        <v>0</v>
      </c>
      <c r="AD285" s="125">
        <f>VLOOKUP(C285,'Talente &amp; Stuff'!GX:HY,28,FALSE)</f>
        <v>0</v>
      </c>
      <c r="AE285" s="28"/>
    </row>
    <row r="286" spans="2:31" ht="15" hidden="1" customHeight="1" outlineLevel="2">
      <c r="B286" s="148">
        <v>26</v>
      </c>
      <c r="C286" s="163" t="str">
        <f>Attribute!C286</f>
        <v>---</v>
      </c>
      <c r="D286" s="86" t="str">
        <f>VLOOKUP(C286,'Talente &amp; Stuff'!GX:HY,2,FALSE)</f>
        <v>--/--/--</v>
      </c>
      <c r="E286" s="167" t="str">
        <f>VLOOKUP(C286,'Talente &amp; Stuff'!GX:HY,3,FALSE)</f>
        <v>-</v>
      </c>
      <c r="F286" s="120">
        <f>VLOOKUP(C286,'Talente &amp; Stuff'!GX:HY,4,FALSE)</f>
        <v>0</v>
      </c>
      <c r="G286" s="117">
        <f>VLOOKUP(C286,'Talente &amp; Stuff'!GX:HY,5,FALSE)</f>
        <v>0</v>
      </c>
      <c r="H286" s="117">
        <f>VLOOKUP(C286,'Talente &amp; Stuff'!GX:HY,6,FALSE)</f>
        <v>0</v>
      </c>
      <c r="I286" s="117">
        <f>VLOOKUP(C286,'Talente &amp; Stuff'!GX:HY,7,FALSE)</f>
        <v>0</v>
      </c>
      <c r="J286" s="117">
        <f>VLOOKUP(C286,'Talente &amp; Stuff'!GX:HY,8,FALSE)</f>
        <v>0</v>
      </c>
      <c r="K286" s="117">
        <f>VLOOKUP(C286,'Talente &amp; Stuff'!GX:HY,9,FALSE)</f>
        <v>0</v>
      </c>
      <c r="L286" s="117">
        <f>VLOOKUP(C286,'Talente &amp; Stuff'!GX:HY,10,FALSE)</f>
        <v>0</v>
      </c>
      <c r="M286" s="121">
        <f>VLOOKUP(C286,'Talente &amp; Stuff'!GX:HY,11,FALSE)</f>
        <v>0</v>
      </c>
      <c r="N286" s="47">
        <f>VLOOKUP(C286,'Talente &amp; Stuff'!GX:HY,12,FALSE)</f>
        <v>0</v>
      </c>
      <c r="O286" s="3">
        <f>VLOOKUP(C286,'Talente &amp; Stuff'!GX:HY,13,FALSE)</f>
        <v>0</v>
      </c>
      <c r="P286" s="174">
        <f>VLOOKUP(C286,'Talente &amp; Stuff'!GX:HY,14,FALSE)</f>
        <v>0</v>
      </c>
      <c r="Q286" s="114">
        <f>VLOOKUP(C286,'Talente &amp; Stuff'!GX:HY,15,FALSE)</f>
        <v>0</v>
      </c>
      <c r="R286" s="117">
        <f>VLOOKUP(C286,'Talente &amp; Stuff'!GX:HY,16,FALSE)</f>
        <v>0</v>
      </c>
      <c r="S286" s="119">
        <f>VLOOKUP(C286,'Talente &amp; Stuff'!GX:HY,17,FALSE)</f>
        <v>0</v>
      </c>
      <c r="T286" s="119">
        <f>VLOOKUP(C286,'Talente &amp; Stuff'!GX:HY,18,FALSE)</f>
        <v>0</v>
      </c>
      <c r="U286" s="89">
        <f>VLOOKUP(C286,'Talente &amp; Stuff'!GX:HY,19,FALSE)</f>
        <v>0</v>
      </c>
      <c r="V286" s="47">
        <f>VLOOKUP(C286,'Talente &amp; Stuff'!GX:HY,20,FALSE)</f>
        <v>0</v>
      </c>
      <c r="W286" s="127">
        <f>VLOOKUP(C286,'Talente &amp; Stuff'!GX:HY,21,FALSE)</f>
        <v>0</v>
      </c>
      <c r="X286" s="127">
        <f>VLOOKUP(C286,'Talente &amp; Stuff'!GX:HY,22,FALSE)</f>
        <v>0</v>
      </c>
      <c r="Y286" s="165">
        <f t="shared" si="22"/>
        <v>0</v>
      </c>
      <c r="Z286" s="44">
        <f t="shared" si="23"/>
        <v>0</v>
      </c>
      <c r="AA286" s="125">
        <f>VLOOKUP(C286,'Talente &amp; Stuff'!GX:HY,25,FALSE)</f>
        <v>0</v>
      </c>
      <c r="AB286" s="160">
        <f>VLOOKUP(C286,'Talente &amp; Stuff'!GX:HY,26,FALSE)</f>
        <v>0</v>
      </c>
      <c r="AC286" s="127">
        <f>VLOOKUP(C286,'Talente &amp; Stuff'!GX:HY,27,FALSE)</f>
        <v>0</v>
      </c>
      <c r="AD286" s="125">
        <f>VLOOKUP(C286,'Talente &amp; Stuff'!GX:HY,28,FALSE)</f>
        <v>0</v>
      </c>
      <c r="AE286" s="28"/>
    </row>
    <row r="287" spans="2:31" ht="15" hidden="1" customHeight="1" outlineLevel="2">
      <c r="B287" s="148">
        <v>27</v>
      </c>
      <c r="C287" s="163" t="str">
        <f>Attribute!C287</f>
        <v>---</v>
      </c>
      <c r="D287" s="86" t="str">
        <f>VLOOKUP(C287,'Talente &amp; Stuff'!GX:HY,2,FALSE)</f>
        <v>--/--/--</v>
      </c>
      <c r="E287" s="167" t="str">
        <f>VLOOKUP(C287,'Talente &amp; Stuff'!GX:HY,3,FALSE)</f>
        <v>-</v>
      </c>
      <c r="F287" s="120">
        <f>VLOOKUP(C287,'Talente &amp; Stuff'!GX:HY,4,FALSE)</f>
        <v>0</v>
      </c>
      <c r="G287" s="117">
        <f>VLOOKUP(C287,'Talente &amp; Stuff'!GX:HY,5,FALSE)</f>
        <v>0</v>
      </c>
      <c r="H287" s="117">
        <f>VLOOKUP(C287,'Talente &amp; Stuff'!GX:HY,6,FALSE)</f>
        <v>0</v>
      </c>
      <c r="I287" s="117">
        <f>VLOOKUP(C287,'Talente &amp; Stuff'!GX:HY,7,FALSE)</f>
        <v>0</v>
      </c>
      <c r="J287" s="117">
        <f>VLOOKUP(C287,'Talente &amp; Stuff'!GX:HY,8,FALSE)</f>
        <v>0</v>
      </c>
      <c r="K287" s="117">
        <f>VLOOKUP(C287,'Talente &amp; Stuff'!GX:HY,9,FALSE)</f>
        <v>0</v>
      </c>
      <c r="L287" s="117">
        <f>VLOOKUP(C287,'Talente &amp; Stuff'!GX:HY,10,FALSE)</f>
        <v>0</v>
      </c>
      <c r="M287" s="121">
        <f>VLOOKUP(C287,'Talente &amp; Stuff'!GX:HY,11,FALSE)</f>
        <v>0</v>
      </c>
      <c r="N287" s="47">
        <f>VLOOKUP(C287,'Talente &amp; Stuff'!GX:HY,12,FALSE)</f>
        <v>0</v>
      </c>
      <c r="O287" s="3">
        <f>VLOOKUP(C287,'Talente &amp; Stuff'!GX:HY,13,FALSE)</f>
        <v>0</v>
      </c>
      <c r="P287" s="174">
        <f>VLOOKUP(C287,'Talente &amp; Stuff'!GX:HY,14,FALSE)</f>
        <v>0</v>
      </c>
      <c r="Q287" s="114">
        <f>VLOOKUP(C287,'Talente &amp; Stuff'!GX:HY,15,FALSE)</f>
        <v>0</v>
      </c>
      <c r="R287" s="117">
        <f>VLOOKUP(C287,'Talente &amp; Stuff'!GX:HY,16,FALSE)</f>
        <v>0</v>
      </c>
      <c r="S287" s="119">
        <f>VLOOKUP(C287,'Talente &amp; Stuff'!GX:HY,17,FALSE)</f>
        <v>0</v>
      </c>
      <c r="T287" s="119">
        <f>VLOOKUP(C287,'Talente &amp; Stuff'!GX:HY,18,FALSE)</f>
        <v>0</v>
      </c>
      <c r="U287" s="89">
        <f>VLOOKUP(C287,'Talente &amp; Stuff'!GX:HY,19,FALSE)</f>
        <v>0</v>
      </c>
      <c r="V287" s="47">
        <f>VLOOKUP(C287,'Talente &amp; Stuff'!GX:HY,20,FALSE)</f>
        <v>0</v>
      </c>
      <c r="W287" s="127">
        <f>VLOOKUP(C287,'Talente &amp; Stuff'!GX:HY,21,FALSE)</f>
        <v>0</v>
      </c>
      <c r="X287" s="127">
        <f>VLOOKUP(C287,'Talente &amp; Stuff'!GX:HY,22,FALSE)</f>
        <v>0</v>
      </c>
      <c r="Y287" s="165">
        <f t="shared" si="22"/>
        <v>0</v>
      </c>
      <c r="Z287" s="44">
        <f t="shared" si="23"/>
        <v>0</v>
      </c>
      <c r="AA287" s="125">
        <f>VLOOKUP(C287,'Talente &amp; Stuff'!GX:HY,25,FALSE)</f>
        <v>0</v>
      </c>
      <c r="AB287" s="160">
        <f>VLOOKUP(C287,'Talente &amp; Stuff'!GX:HY,26,FALSE)</f>
        <v>0</v>
      </c>
      <c r="AC287" s="127">
        <f>VLOOKUP(C287,'Talente &amp; Stuff'!GX:HY,27,FALSE)</f>
        <v>0</v>
      </c>
      <c r="AD287" s="125">
        <f>VLOOKUP(C287,'Talente &amp; Stuff'!GX:HY,28,FALSE)</f>
        <v>0</v>
      </c>
      <c r="AE287" s="28"/>
    </row>
    <row r="288" spans="2:31" ht="15" hidden="1" customHeight="1" outlineLevel="2">
      <c r="B288" s="148">
        <v>28</v>
      </c>
      <c r="C288" s="163" t="str">
        <f>Attribute!C288</f>
        <v>---</v>
      </c>
      <c r="D288" s="86" t="str">
        <f>VLOOKUP(C288,'Talente &amp; Stuff'!GX:HY,2,FALSE)</f>
        <v>--/--/--</v>
      </c>
      <c r="E288" s="167" t="str">
        <f>VLOOKUP(C288,'Talente &amp; Stuff'!GX:HY,3,FALSE)</f>
        <v>-</v>
      </c>
      <c r="F288" s="120">
        <f>VLOOKUP(C288,'Talente &amp; Stuff'!GX:HY,4,FALSE)</f>
        <v>0</v>
      </c>
      <c r="G288" s="117">
        <f>VLOOKUP(C288,'Talente &amp; Stuff'!GX:HY,5,FALSE)</f>
        <v>0</v>
      </c>
      <c r="H288" s="117">
        <f>VLOOKUP(C288,'Talente &amp; Stuff'!GX:HY,6,FALSE)</f>
        <v>0</v>
      </c>
      <c r="I288" s="117">
        <f>VLOOKUP(C288,'Talente &amp; Stuff'!GX:HY,7,FALSE)</f>
        <v>0</v>
      </c>
      <c r="J288" s="117">
        <f>VLOOKUP(C288,'Talente &amp; Stuff'!GX:HY,8,FALSE)</f>
        <v>0</v>
      </c>
      <c r="K288" s="117">
        <f>VLOOKUP(C288,'Talente &amp; Stuff'!GX:HY,9,FALSE)</f>
        <v>0</v>
      </c>
      <c r="L288" s="117">
        <f>VLOOKUP(C288,'Talente &amp; Stuff'!GX:HY,10,FALSE)</f>
        <v>0</v>
      </c>
      <c r="M288" s="121">
        <f>VLOOKUP(C288,'Talente &amp; Stuff'!GX:HY,11,FALSE)</f>
        <v>0</v>
      </c>
      <c r="N288" s="47">
        <f>VLOOKUP(C288,'Talente &amp; Stuff'!GX:HY,12,FALSE)</f>
        <v>0</v>
      </c>
      <c r="O288" s="3">
        <f>VLOOKUP(C288,'Talente &amp; Stuff'!GX:HY,13,FALSE)</f>
        <v>0</v>
      </c>
      <c r="P288" s="174">
        <f>VLOOKUP(C288,'Talente &amp; Stuff'!GX:HY,14,FALSE)</f>
        <v>0</v>
      </c>
      <c r="Q288" s="114">
        <f>VLOOKUP(C288,'Talente &amp; Stuff'!GX:HY,15,FALSE)</f>
        <v>0</v>
      </c>
      <c r="R288" s="117">
        <f>VLOOKUP(C288,'Talente &amp; Stuff'!GX:HY,16,FALSE)</f>
        <v>0</v>
      </c>
      <c r="S288" s="119">
        <f>VLOOKUP(C288,'Talente &amp; Stuff'!GX:HY,17,FALSE)</f>
        <v>0</v>
      </c>
      <c r="T288" s="119">
        <f>VLOOKUP(C288,'Talente &amp; Stuff'!GX:HY,18,FALSE)</f>
        <v>0</v>
      </c>
      <c r="U288" s="89">
        <f>VLOOKUP(C288,'Talente &amp; Stuff'!GX:HY,19,FALSE)</f>
        <v>0</v>
      </c>
      <c r="V288" s="47">
        <f>VLOOKUP(C288,'Talente &amp; Stuff'!GX:HY,20,FALSE)</f>
        <v>0</v>
      </c>
      <c r="W288" s="127">
        <f>VLOOKUP(C288,'Talente &amp; Stuff'!GX:HY,21,FALSE)</f>
        <v>0</v>
      </c>
      <c r="X288" s="127">
        <f>VLOOKUP(C288,'Talente &amp; Stuff'!GX:HY,22,FALSE)</f>
        <v>0</v>
      </c>
      <c r="Y288" s="165">
        <f t="shared" si="22"/>
        <v>0</v>
      </c>
      <c r="Z288" s="44">
        <f t="shared" si="23"/>
        <v>0</v>
      </c>
      <c r="AA288" s="125">
        <f>VLOOKUP(C288,'Talente &amp; Stuff'!GX:HY,25,FALSE)</f>
        <v>0</v>
      </c>
      <c r="AB288" s="160">
        <f>VLOOKUP(C288,'Talente &amp; Stuff'!GX:HY,26,FALSE)</f>
        <v>0</v>
      </c>
      <c r="AC288" s="127">
        <f>VLOOKUP(C288,'Talente &amp; Stuff'!GX:HY,27,FALSE)</f>
        <v>0</v>
      </c>
      <c r="AD288" s="125">
        <f>VLOOKUP(C288,'Talente &amp; Stuff'!GX:HY,28,FALSE)</f>
        <v>0</v>
      </c>
      <c r="AE288" s="28"/>
    </row>
    <row r="289" spans="1:31" ht="15" hidden="1" customHeight="1" outlineLevel="2">
      <c r="B289" s="148">
        <v>29</v>
      </c>
      <c r="C289" s="163" t="str">
        <f>Attribute!C289</f>
        <v>---</v>
      </c>
      <c r="D289" s="125" t="str">
        <f>VLOOKUP(C289,'Talente &amp; Stuff'!GX:HY,2,FALSE)</f>
        <v>--/--/--</v>
      </c>
      <c r="E289" s="127" t="str">
        <f>VLOOKUP(C289,'Talente &amp; Stuff'!GX:HY,3,FALSE)</f>
        <v>-</v>
      </c>
      <c r="F289" s="114">
        <f>VLOOKUP(C289,'Talente &amp; Stuff'!GX:HY,4,FALSE)</f>
        <v>0</v>
      </c>
      <c r="G289" s="113">
        <f>VLOOKUP(C289,'Talente &amp; Stuff'!GX:HY,5,FALSE)</f>
        <v>0</v>
      </c>
      <c r="H289" s="113">
        <f>VLOOKUP(C289,'Talente &amp; Stuff'!GX:HY,6,FALSE)</f>
        <v>0</v>
      </c>
      <c r="I289" s="113">
        <f>VLOOKUP(C289,'Talente &amp; Stuff'!GX:HY,7,FALSE)</f>
        <v>0</v>
      </c>
      <c r="J289" s="113">
        <f>VLOOKUP(C289,'Talente &amp; Stuff'!GX:HY,8,FALSE)</f>
        <v>0</v>
      </c>
      <c r="K289" s="113">
        <f>VLOOKUP(C289,'Talente &amp; Stuff'!GX:HY,9,FALSE)</f>
        <v>0</v>
      </c>
      <c r="L289" s="113">
        <f>VLOOKUP(C289,'Talente &amp; Stuff'!GX:HY,10,FALSE)</f>
        <v>0</v>
      </c>
      <c r="M289" s="119">
        <f>VLOOKUP(C289,'Talente &amp; Stuff'!GX:HY,11,FALSE)</f>
        <v>0</v>
      </c>
      <c r="N289" s="47">
        <f>VLOOKUP(C289,'Talente &amp; Stuff'!GX:HY,12,FALSE)</f>
        <v>0</v>
      </c>
      <c r="O289" s="47">
        <f>VLOOKUP(C289,'Talente &amp; Stuff'!GX:HY,13,FALSE)</f>
        <v>0</v>
      </c>
      <c r="P289" s="119">
        <f>VLOOKUP(C289,'Talente &amp; Stuff'!GX:HY,14,FALSE)</f>
        <v>0</v>
      </c>
      <c r="Q289" s="114">
        <f>VLOOKUP(C289,'Talente &amp; Stuff'!GX:HY,15,FALSE)</f>
        <v>0</v>
      </c>
      <c r="R289" s="113">
        <f>VLOOKUP(C289,'Talente &amp; Stuff'!GX:HY,16,FALSE)</f>
        <v>0</v>
      </c>
      <c r="S289" s="119">
        <f>VLOOKUP(C289,'Talente &amp; Stuff'!GX:HY,17,FALSE)</f>
        <v>0</v>
      </c>
      <c r="T289" s="119">
        <f>VLOOKUP(C289,'Talente &amp; Stuff'!GX:HY,18,FALSE)</f>
        <v>0</v>
      </c>
      <c r="U289" s="89">
        <f>VLOOKUP(C289,'Talente &amp; Stuff'!GX:HY,19,FALSE)</f>
        <v>0</v>
      </c>
      <c r="V289" s="47">
        <f>VLOOKUP(C289,'Talente &amp; Stuff'!GX:HY,20,FALSE)</f>
        <v>0</v>
      </c>
      <c r="W289" s="127">
        <f>VLOOKUP(C289,'Talente &amp; Stuff'!GX:HY,21,FALSE)</f>
        <v>0</v>
      </c>
      <c r="X289" s="127">
        <f>VLOOKUP(C289,'Talente &amp; Stuff'!GX:HY,22,FALSE)</f>
        <v>0</v>
      </c>
      <c r="Y289" s="165">
        <f t="shared" si="22"/>
        <v>0</v>
      </c>
      <c r="Z289" s="44">
        <f t="shared" si="23"/>
        <v>0</v>
      </c>
      <c r="AA289" s="125">
        <f>VLOOKUP(C289,'Talente &amp; Stuff'!GX:HY,25,FALSE)</f>
        <v>0</v>
      </c>
      <c r="AB289" s="160">
        <f>VLOOKUP(C289,'Talente &amp; Stuff'!GX:HY,26,FALSE)</f>
        <v>0</v>
      </c>
      <c r="AC289" s="127">
        <f>VLOOKUP(C289,'Talente &amp; Stuff'!GX:HY,27,FALSE)</f>
        <v>0</v>
      </c>
      <c r="AD289" s="125">
        <f>VLOOKUP(C289,'Talente &amp; Stuff'!GX:HY,28,FALSE)</f>
        <v>0</v>
      </c>
      <c r="AE289" s="28"/>
    </row>
    <row r="290" spans="1:31" ht="15" hidden="1" customHeight="1" outlineLevel="2">
      <c r="B290" s="148">
        <v>30</v>
      </c>
      <c r="C290" s="163" t="str">
        <f>Attribute!C290</f>
        <v>---</v>
      </c>
      <c r="D290" s="125" t="str">
        <f>VLOOKUP(C290,'Talente &amp; Stuff'!GX:HY,2,FALSE)</f>
        <v>--/--/--</v>
      </c>
      <c r="E290" s="127" t="str">
        <f>VLOOKUP(C290,'Talente &amp; Stuff'!GX:HY,3,FALSE)</f>
        <v>-</v>
      </c>
      <c r="F290" s="114">
        <f>VLOOKUP(C290,'Talente &amp; Stuff'!GX:HY,4,FALSE)</f>
        <v>0</v>
      </c>
      <c r="G290" s="113">
        <f>VLOOKUP(C290,'Talente &amp; Stuff'!GX:HY,5,FALSE)</f>
        <v>0</v>
      </c>
      <c r="H290" s="113">
        <f>VLOOKUP(C290,'Talente &amp; Stuff'!GX:HY,6,FALSE)</f>
        <v>0</v>
      </c>
      <c r="I290" s="113">
        <f>VLOOKUP(C290,'Talente &amp; Stuff'!GX:HY,7,FALSE)</f>
        <v>0</v>
      </c>
      <c r="J290" s="113">
        <f>VLOOKUP(C290,'Talente &amp; Stuff'!GX:HY,8,FALSE)</f>
        <v>0</v>
      </c>
      <c r="K290" s="113">
        <f>VLOOKUP(C290,'Talente &amp; Stuff'!GX:HY,9,FALSE)</f>
        <v>0</v>
      </c>
      <c r="L290" s="113">
        <f>VLOOKUP(C290,'Talente &amp; Stuff'!GX:HY,10,FALSE)</f>
        <v>0</v>
      </c>
      <c r="M290" s="119">
        <f>VLOOKUP(C290,'Talente &amp; Stuff'!GX:HY,11,FALSE)</f>
        <v>0</v>
      </c>
      <c r="N290" s="47">
        <f>VLOOKUP(C290,'Talente &amp; Stuff'!GX:HY,12,FALSE)</f>
        <v>0</v>
      </c>
      <c r="O290" s="47">
        <f>VLOOKUP(C290,'Talente &amp; Stuff'!GX:HY,13,FALSE)</f>
        <v>0</v>
      </c>
      <c r="P290" s="119">
        <f>VLOOKUP(C290,'Talente &amp; Stuff'!GX:HY,14,FALSE)</f>
        <v>0</v>
      </c>
      <c r="Q290" s="114">
        <f>VLOOKUP(C290,'Talente &amp; Stuff'!GX:HY,15,FALSE)</f>
        <v>0</v>
      </c>
      <c r="R290" s="113">
        <f>VLOOKUP(C290,'Talente &amp; Stuff'!GX:HY,16,FALSE)</f>
        <v>0</v>
      </c>
      <c r="S290" s="119">
        <f>VLOOKUP(C290,'Talente &amp; Stuff'!GX:HY,17,FALSE)</f>
        <v>0</v>
      </c>
      <c r="T290" s="119">
        <f>VLOOKUP(C290,'Talente &amp; Stuff'!GX:HY,18,FALSE)</f>
        <v>0</v>
      </c>
      <c r="U290" s="89">
        <f>VLOOKUP(C290,'Talente &amp; Stuff'!GX:HY,19,FALSE)</f>
        <v>0</v>
      </c>
      <c r="V290" s="47">
        <f>VLOOKUP(C290,'Talente &amp; Stuff'!GX:HY,20,FALSE)</f>
        <v>0</v>
      </c>
      <c r="W290" s="127">
        <f>VLOOKUP(C290,'Talente &amp; Stuff'!GX:HY,21,FALSE)</f>
        <v>0</v>
      </c>
      <c r="X290" s="127">
        <f>VLOOKUP(C290,'Talente &amp; Stuff'!GX:HY,22,FALSE)</f>
        <v>0</v>
      </c>
      <c r="Y290" s="165">
        <f t="shared" si="22"/>
        <v>0</v>
      </c>
      <c r="Z290" s="44">
        <f t="shared" si="23"/>
        <v>0</v>
      </c>
      <c r="AA290" s="125">
        <f>VLOOKUP(C290,'Talente &amp; Stuff'!GX:HY,25,FALSE)</f>
        <v>0</v>
      </c>
      <c r="AB290" s="160">
        <f>VLOOKUP(C290,'Talente &amp; Stuff'!GX:HY,26,FALSE)</f>
        <v>0</v>
      </c>
      <c r="AC290" s="127">
        <f>VLOOKUP(C290,'Talente &amp; Stuff'!GX:HY,27,FALSE)</f>
        <v>0</v>
      </c>
      <c r="AD290" s="125">
        <f>VLOOKUP(C290,'Talente &amp; Stuff'!GX:HY,28,FALSE)</f>
        <v>0</v>
      </c>
      <c r="AE290" s="28"/>
    </row>
    <row r="291" spans="1:31" ht="15" hidden="1" customHeight="1" outlineLevel="2">
      <c r="B291" s="148">
        <v>31</v>
      </c>
      <c r="C291" s="163" t="str">
        <f>Attribute!C291</f>
        <v>---</v>
      </c>
      <c r="D291" s="125" t="str">
        <f>VLOOKUP(C291,'Talente &amp; Stuff'!GX:HY,2,FALSE)</f>
        <v>--/--/--</v>
      </c>
      <c r="E291" s="127" t="str">
        <f>VLOOKUP(C291,'Talente &amp; Stuff'!GX:HY,3,FALSE)</f>
        <v>-</v>
      </c>
      <c r="F291" s="114">
        <f>VLOOKUP(C291,'Talente &amp; Stuff'!GX:HY,4,FALSE)</f>
        <v>0</v>
      </c>
      <c r="G291" s="113">
        <f>VLOOKUP(C291,'Talente &amp; Stuff'!GX:HY,5,FALSE)</f>
        <v>0</v>
      </c>
      <c r="H291" s="113">
        <f>VLOOKUP(C291,'Talente &amp; Stuff'!GX:HY,6,FALSE)</f>
        <v>0</v>
      </c>
      <c r="I291" s="113">
        <f>VLOOKUP(C291,'Talente &amp; Stuff'!GX:HY,7,FALSE)</f>
        <v>0</v>
      </c>
      <c r="J291" s="113">
        <f>VLOOKUP(C291,'Talente &amp; Stuff'!GX:HY,8,FALSE)</f>
        <v>0</v>
      </c>
      <c r="K291" s="113">
        <f>VLOOKUP(C291,'Talente &amp; Stuff'!GX:HY,9,FALSE)</f>
        <v>0</v>
      </c>
      <c r="L291" s="113">
        <f>VLOOKUP(C291,'Talente &amp; Stuff'!GX:HY,10,FALSE)</f>
        <v>0</v>
      </c>
      <c r="M291" s="119">
        <f>VLOOKUP(C291,'Talente &amp; Stuff'!GX:HY,11,FALSE)</f>
        <v>0</v>
      </c>
      <c r="N291" s="47">
        <f>VLOOKUP(C291,'Talente &amp; Stuff'!GX:HY,12,FALSE)</f>
        <v>0</v>
      </c>
      <c r="O291" s="47">
        <f>VLOOKUP(C291,'Talente &amp; Stuff'!GX:HY,13,FALSE)</f>
        <v>0</v>
      </c>
      <c r="P291" s="119">
        <f>VLOOKUP(C291,'Talente &amp; Stuff'!GX:HY,14,FALSE)</f>
        <v>0</v>
      </c>
      <c r="Q291" s="114">
        <f>VLOOKUP(C291,'Talente &amp; Stuff'!GX:HY,15,FALSE)</f>
        <v>0</v>
      </c>
      <c r="R291" s="113">
        <f>VLOOKUP(C291,'Talente &amp; Stuff'!GX:HY,16,FALSE)</f>
        <v>0</v>
      </c>
      <c r="S291" s="119">
        <f>VLOOKUP(C291,'Talente &amp; Stuff'!GX:HY,17,FALSE)</f>
        <v>0</v>
      </c>
      <c r="T291" s="119">
        <f>VLOOKUP(C291,'Talente &amp; Stuff'!GX:HY,18,FALSE)</f>
        <v>0</v>
      </c>
      <c r="U291" s="89">
        <f>VLOOKUP(C291,'Talente &amp; Stuff'!GX:HY,19,FALSE)</f>
        <v>0</v>
      </c>
      <c r="V291" s="47">
        <f>VLOOKUP(C291,'Talente &amp; Stuff'!GX:HY,20,FALSE)</f>
        <v>0</v>
      </c>
      <c r="W291" s="127">
        <f>VLOOKUP(C291,'Talente &amp; Stuff'!GX:HY,21,FALSE)</f>
        <v>0</v>
      </c>
      <c r="X291" s="127">
        <f>VLOOKUP(C291,'Talente &amp; Stuff'!GX:HY,22,FALSE)</f>
        <v>0</v>
      </c>
      <c r="Y291" s="165">
        <f t="shared" si="22"/>
        <v>0</v>
      </c>
      <c r="Z291" s="44">
        <f t="shared" si="23"/>
        <v>0</v>
      </c>
      <c r="AA291" s="125">
        <f>VLOOKUP(C291,'Talente &amp; Stuff'!GX:HY,25,FALSE)</f>
        <v>0</v>
      </c>
      <c r="AB291" s="160">
        <f>VLOOKUP(C291,'Talente &amp; Stuff'!GX:HY,26,FALSE)</f>
        <v>0</v>
      </c>
      <c r="AC291" s="127">
        <f>VLOOKUP(C291,'Talente &amp; Stuff'!GX:HY,27,FALSE)</f>
        <v>0</v>
      </c>
      <c r="AD291" s="125">
        <f>VLOOKUP(C291,'Talente &amp; Stuff'!GX:HY,28,FALSE)</f>
        <v>0</v>
      </c>
      <c r="AE291" s="28"/>
    </row>
    <row r="292" spans="1:31" ht="15" hidden="1" customHeight="1" outlineLevel="2">
      <c r="B292" s="148">
        <v>32</v>
      </c>
      <c r="C292" s="163" t="str">
        <f>Attribute!C292</f>
        <v>---</v>
      </c>
      <c r="D292" s="125" t="str">
        <f>VLOOKUP(C292,'Talente &amp; Stuff'!GX:HY,2,FALSE)</f>
        <v>--/--/--</v>
      </c>
      <c r="E292" s="127" t="str">
        <f>VLOOKUP(C292,'Talente &amp; Stuff'!GX:HY,3,FALSE)</f>
        <v>-</v>
      </c>
      <c r="F292" s="114">
        <f>VLOOKUP(C292,'Talente &amp; Stuff'!GX:HY,4,FALSE)</f>
        <v>0</v>
      </c>
      <c r="G292" s="113">
        <f>VLOOKUP(C292,'Talente &amp; Stuff'!GX:HY,5,FALSE)</f>
        <v>0</v>
      </c>
      <c r="H292" s="113">
        <f>VLOOKUP(C292,'Talente &amp; Stuff'!GX:HY,6,FALSE)</f>
        <v>0</v>
      </c>
      <c r="I292" s="113">
        <f>VLOOKUP(C292,'Talente &amp; Stuff'!GX:HY,7,FALSE)</f>
        <v>0</v>
      </c>
      <c r="J292" s="113">
        <f>VLOOKUP(C292,'Talente &amp; Stuff'!GX:HY,8,FALSE)</f>
        <v>0</v>
      </c>
      <c r="K292" s="113">
        <f>VLOOKUP(C292,'Talente &amp; Stuff'!GX:HY,9,FALSE)</f>
        <v>0</v>
      </c>
      <c r="L292" s="113">
        <f>VLOOKUP(C292,'Talente &amp; Stuff'!GX:HY,10,FALSE)</f>
        <v>0</v>
      </c>
      <c r="M292" s="119">
        <f>VLOOKUP(C292,'Talente &amp; Stuff'!GX:HY,11,FALSE)</f>
        <v>0</v>
      </c>
      <c r="N292" s="47">
        <f>VLOOKUP(C292,'Talente &amp; Stuff'!GX:HY,12,FALSE)</f>
        <v>0</v>
      </c>
      <c r="O292" s="47">
        <f>VLOOKUP(C292,'Talente &amp; Stuff'!GX:HY,13,FALSE)</f>
        <v>0</v>
      </c>
      <c r="P292" s="119">
        <f>VLOOKUP(C292,'Talente &amp; Stuff'!GX:HY,14,FALSE)</f>
        <v>0</v>
      </c>
      <c r="Q292" s="114">
        <f>VLOOKUP(C292,'Talente &amp; Stuff'!GX:HY,15,FALSE)</f>
        <v>0</v>
      </c>
      <c r="R292" s="113">
        <f>VLOOKUP(C292,'Talente &amp; Stuff'!GX:HY,16,FALSE)</f>
        <v>0</v>
      </c>
      <c r="S292" s="119">
        <f>VLOOKUP(C292,'Talente &amp; Stuff'!GX:HY,17,FALSE)</f>
        <v>0</v>
      </c>
      <c r="T292" s="119">
        <f>VLOOKUP(C292,'Talente &amp; Stuff'!GX:HY,18,FALSE)</f>
        <v>0</v>
      </c>
      <c r="U292" s="89">
        <f>VLOOKUP(C292,'Talente &amp; Stuff'!GX:HY,19,FALSE)</f>
        <v>0</v>
      </c>
      <c r="V292" s="47">
        <f>VLOOKUP(C292,'Talente &amp; Stuff'!GX:HY,20,FALSE)</f>
        <v>0</v>
      </c>
      <c r="W292" s="127">
        <f>VLOOKUP(C292,'Talente &amp; Stuff'!GX:HY,21,FALSE)</f>
        <v>0</v>
      </c>
      <c r="X292" s="127">
        <f>VLOOKUP(C292,'Talente &amp; Stuff'!GX:HY,22,FALSE)</f>
        <v>0</v>
      </c>
      <c r="Y292" s="165">
        <f t="shared" si="22"/>
        <v>0</v>
      </c>
      <c r="Z292" s="44">
        <f t="shared" si="23"/>
        <v>0</v>
      </c>
      <c r="AA292" s="125">
        <f>VLOOKUP(C292,'Talente &amp; Stuff'!GX:HY,25,FALSE)</f>
        <v>0</v>
      </c>
      <c r="AB292" s="160">
        <f>VLOOKUP(C292,'Talente &amp; Stuff'!GX:HY,26,FALSE)</f>
        <v>0</v>
      </c>
      <c r="AC292" s="127">
        <f>VLOOKUP(C292,'Talente &amp; Stuff'!GX:HY,27,FALSE)</f>
        <v>0</v>
      </c>
      <c r="AD292" s="125">
        <f>VLOOKUP(C292,'Talente &amp; Stuff'!GX:HY,28,FALSE)</f>
        <v>0</v>
      </c>
      <c r="AE292" s="28"/>
    </row>
    <row r="293" spans="1:31" ht="15" hidden="1" customHeight="1" outlineLevel="2">
      <c r="B293" s="148">
        <v>33</v>
      </c>
      <c r="C293" s="163" t="str">
        <f>Attribute!C293</f>
        <v>---</v>
      </c>
      <c r="D293" s="125" t="str">
        <f>VLOOKUP(C293,'Talente &amp; Stuff'!GX:HY,2,FALSE)</f>
        <v>--/--/--</v>
      </c>
      <c r="E293" s="127" t="str">
        <f>VLOOKUP(C293,'Talente &amp; Stuff'!GX:HY,3,FALSE)</f>
        <v>-</v>
      </c>
      <c r="F293" s="114">
        <f>VLOOKUP(C293,'Talente &amp; Stuff'!GX:HY,4,FALSE)</f>
        <v>0</v>
      </c>
      <c r="G293" s="113">
        <f>VLOOKUP(C293,'Talente &amp; Stuff'!GX:HY,5,FALSE)</f>
        <v>0</v>
      </c>
      <c r="H293" s="113">
        <f>VLOOKUP(C293,'Talente &amp; Stuff'!GX:HY,6,FALSE)</f>
        <v>0</v>
      </c>
      <c r="I293" s="113">
        <f>VLOOKUP(C293,'Talente &amp; Stuff'!GX:HY,7,FALSE)</f>
        <v>0</v>
      </c>
      <c r="J293" s="113">
        <f>VLOOKUP(C293,'Talente &amp; Stuff'!GX:HY,8,FALSE)</f>
        <v>0</v>
      </c>
      <c r="K293" s="113">
        <f>VLOOKUP(C293,'Talente &amp; Stuff'!GX:HY,9,FALSE)</f>
        <v>0</v>
      </c>
      <c r="L293" s="113">
        <f>VLOOKUP(C293,'Talente &amp; Stuff'!GX:HY,10,FALSE)</f>
        <v>0</v>
      </c>
      <c r="M293" s="119">
        <f>VLOOKUP(C293,'Talente &amp; Stuff'!GX:HY,11,FALSE)</f>
        <v>0</v>
      </c>
      <c r="N293" s="47">
        <f>VLOOKUP(C293,'Talente &amp; Stuff'!GX:HY,12,FALSE)</f>
        <v>0</v>
      </c>
      <c r="O293" s="47">
        <f>VLOOKUP(C293,'Talente &amp; Stuff'!GX:HY,13,FALSE)</f>
        <v>0</v>
      </c>
      <c r="P293" s="119">
        <f>VLOOKUP(C293,'Talente &amp; Stuff'!GX:HY,14,FALSE)</f>
        <v>0</v>
      </c>
      <c r="Q293" s="114">
        <f>VLOOKUP(C293,'Talente &amp; Stuff'!GX:HY,15,FALSE)</f>
        <v>0</v>
      </c>
      <c r="R293" s="113">
        <f>VLOOKUP(C293,'Talente &amp; Stuff'!GX:HY,16,FALSE)</f>
        <v>0</v>
      </c>
      <c r="S293" s="119">
        <f>VLOOKUP(C293,'Talente &amp; Stuff'!GX:HY,17,FALSE)</f>
        <v>0</v>
      </c>
      <c r="T293" s="119">
        <f>VLOOKUP(C293,'Talente &amp; Stuff'!GX:HY,18,FALSE)</f>
        <v>0</v>
      </c>
      <c r="U293" s="89">
        <f>VLOOKUP(C293,'Talente &amp; Stuff'!GX:HY,19,FALSE)</f>
        <v>0</v>
      </c>
      <c r="V293" s="47">
        <f>VLOOKUP(C293,'Talente &amp; Stuff'!GX:HY,20,FALSE)</f>
        <v>0</v>
      </c>
      <c r="W293" s="127">
        <f>VLOOKUP(C293,'Talente &amp; Stuff'!GX:HY,21,FALSE)</f>
        <v>0</v>
      </c>
      <c r="X293" s="127">
        <f>VLOOKUP(C293,'Talente &amp; Stuff'!GX:HY,22,FALSE)</f>
        <v>0</v>
      </c>
      <c r="Y293" s="165">
        <f t="shared" si="22"/>
        <v>0</v>
      </c>
      <c r="Z293" s="44">
        <f t="shared" si="23"/>
        <v>0</v>
      </c>
      <c r="AA293" s="125">
        <f>VLOOKUP(C293,'Talente &amp; Stuff'!GX:HY,25,FALSE)</f>
        <v>0</v>
      </c>
      <c r="AB293" s="160">
        <f>VLOOKUP(C293,'Talente &amp; Stuff'!GX:HY,26,FALSE)</f>
        <v>0</v>
      </c>
      <c r="AC293" s="127">
        <f>VLOOKUP(C293,'Talente &amp; Stuff'!GX:HY,27,FALSE)</f>
        <v>0</v>
      </c>
      <c r="AD293" s="125">
        <f>VLOOKUP(C293,'Talente &amp; Stuff'!GX:HY,28,FALSE)</f>
        <v>0</v>
      </c>
      <c r="AE293" s="28"/>
    </row>
    <row r="294" spans="1:31" ht="15" hidden="1" customHeight="1" outlineLevel="2">
      <c r="B294" s="148">
        <v>34</v>
      </c>
      <c r="C294" s="163" t="str">
        <f>Attribute!C294</f>
        <v>---</v>
      </c>
      <c r="D294" s="125" t="str">
        <f>VLOOKUP(C294,'Talente &amp; Stuff'!GX:HY,2,FALSE)</f>
        <v>--/--/--</v>
      </c>
      <c r="E294" s="127" t="str">
        <f>VLOOKUP(C294,'Talente &amp; Stuff'!GX:HY,3,FALSE)</f>
        <v>-</v>
      </c>
      <c r="F294" s="114">
        <f>VLOOKUP(C294,'Talente &amp; Stuff'!GX:HY,4,FALSE)</f>
        <v>0</v>
      </c>
      <c r="G294" s="113">
        <f>VLOOKUP(C294,'Talente &amp; Stuff'!GX:HY,5,FALSE)</f>
        <v>0</v>
      </c>
      <c r="H294" s="113">
        <f>VLOOKUP(C294,'Talente &amp; Stuff'!GX:HY,6,FALSE)</f>
        <v>0</v>
      </c>
      <c r="I294" s="113">
        <f>VLOOKUP(C294,'Talente &amp; Stuff'!GX:HY,7,FALSE)</f>
        <v>0</v>
      </c>
      <c r="J294" s="113">
        <f>VLOOKUP(C294,'Talente &amp; Stuff'!GX:HY,8,FALSE)</f>
        <v>0</v>
      </c>
      <c r="K294" s="113">
        <f>VLOOKUP(C294,'Talente &amp; Stuff'!GX:HY,9,FALSE)</f>
        <v>0</v>
      </c>
      <c r="L294" s="113">
        <f>VLOOKUP(C294,'Talente &amp; Stuff'!GX:HY,10,FALSE)</f>
        <v>0</v>
      </c>
      <c r="M294" s="119">
        <f>VLOOKUP(C294,'Talente &amp; Stuff'!GX:HY,11,FALSE)</f>
        <v>0</v>
      </c>
      <c r="N294" s="47">
        <f>VLOOKUP(C294,'Talente &amp; Stuff'!GX:HY,12,FALSE)</f>
        <v>0</v>
      </c>
      <c r="O294" s="47">
        <f>VLOOKUP(C294,'Talente &amp; Stuff'!GX:HY,13,FALSE)</f>
        <v>0</v>
      </c>
      <c r="P294" s="119">
        <f>VLOOKUP(C294,'Talente &amp; Stuff'!GX:HY,14,FALSE)</f>
        <v>0</v>
      </c>
      <c r="Q294" s="114">
        <f>VLOOKUP(C294,'Talente &amp; Stuff'!GX:HY,15,FALSE)</f>
        <v>0</v>
      </c>
      <c r="R294" s="113">
        <f>VLOOKUP(C294,'Talente &amp; Stuff'!GX:HY,16,FALSE)</f>
        <v>0</v>
      </c>
      <c r="S294" s="119">
        <f>VLOOKUP(C294,'Talente &amp; Stuff'!GX:HY,17,FALSE)</f>
        <v>0</v>
      </c>
      <c r="T294" s="119">
        <f>VLOOKUP(C294,'Talente &amp; Stuff'!GX:HY,18,FALSE)</f>
        <v>0</v>
      </c>
      <c r="U294" s="89">
        <f>VLOOKUP(C294,'Talente &amp; Stuff'!GX:HY,19,FALSE)</f>
        <v>0</v>
      </c>
      <c r="V294" s="47">
        <f>VLOOKUP(C294,'Talente &amp; Stuff'!GX:HY,20,FALSE)</f>
        <v>0</v>
      </c>
      <c r="W294" s="127">
        <f>VLOOKUP(C294,'Talente &amp; Stuff'!GX:HY,21,FALSE)</f>
        <v>0</v>
      </c>
      <c r="X294" s="127">
        <f>VLOOKUP(C294,'Talente &amp; Stuff'!GX:HY,22,FALSE)</f>
        <v>0</v>
      </c>
      <c r="Y294" s="165">
        <f t="shared" si="22"/>
        <v>0</v>
      </c>
      <c r="Z294" s="44">
        <f t="shared" si="23"/>
        <v>0</v>
      </c>
      <c r="AA294" s="125">
        <f>VLOOKUP(C294,'Talente &amp; Stuff'!GX:HY,25,FALSE)</f>
        <v>0</v>
      </c>
      <c r="AB294" s="160">
        <f>VLOOKUP(C294,'Talente &amp; Stuff'!GX:HY,26,FALSE)</f>
        <v>0</v>
      </c>
      <c r="AC294" s="127">
        <f>VLOOKUP(C294,'Talente &amp; Stuff'!GX:HY,27,FALSE)</f>
        <v>0</v>
      </c>
      <c r="AD294" s="125">
        <f>VLOOKUP(C294,'Talente &amp; Stuff'!GX:HY,28,FALSE)</f>
        <v>0</v>
      </c>
      <c r="AE294" s="28"/>
    </row>
    <row r="295" spans="1:31" ht="15" hidden="1" customHeight="1" outlineLevel="2">
      <c r="B295" s="148">
        <v>35</v>
      </c>
      <c r="C295" s="163" t="str">
        <f>Attribute!C295</f>
        <v>---</v>
      </c>
      <c r="D295" s="125" t="str">
        <f>VLOOKUP(C295,'Talente &amp; Stuff'!GX:HY,2,FALSE)</f>
        <v>--/--/--</v>
      </c>
      <c r="E295" s="127" t="str">
        <f>VLOOKUP(C295,'Talente &amp; Stuff'!GX:HY,3,FALSE)</f>
        <v>-</v>
      </c>
      <c r="F295" s="114">
        <f>VLOOKUP(C295,'Talente &amp; Stuff'!GX:HY,4,FALSE)</f>
        <v>0</v>
      </c>
      <c r="G295" s="113">
        <f>VLOOKUP(C295,'Talente &amp; Stuff'!GX:HY,5,FALSE)</f>
        <v>0</v>
      </c>
      <c r="H295" s="113">
        <f>VLOOKUP(C295,'Talente &amp; Stuff'!GX:HY,6,FALSE)</f>
        <v>0</v>
      </c>
      <c r="I295" s="113">
        <f>VLOOKUP(C295,'Talente &amp; Stuff'!GX:HY,7,FALSE)</f>
        <v>0</v>
      </c>
      <c r="J295" s="113">
        <f>VLOOKUP(C295,'Talente &amp; Stuff'!GX:HY,8,FALSE)</f>
        <v>0</v>
      </c>
      <c r="K295" s="113">
        <f>VLOOKUP(C295,'Talente &amp; Stuff'!GX:HY,9,FALSE)</f>
        <v>0</v>
      </c>
      <c r="L295" s="113">
        <f>VLOOKUP(C295,'Talente &amp; Stuff'!GX:HY,10,FALSE)</f>
        <v>0</v>
      </c>
      <c r="M295" s="119">
        <f>VLOOKUP(C295,'Talente &amp; Stuff'!GX:HY,11,FALSE)</f>
        <v>0</v>
      </c>
      <c r="N295" s="47">
        <f>VLOOKUP(C295,'Talente &amp; Stuff'!GX:HY,12,FALSE)</f>
        <v>0</v>
      </c>
      <c r="O295" s="47">
        <f>VLOOKUP(C295,'Talente &amp; Stuff'!GX:HY,13,FALSE)</f>
        <v>0</v>
      </c>
      <c r="P295" s="119">
        <f>VLOOKUP(C295,'Talente &amp; Stuff'!GX:HY,14,FALSE)</f>
        <v>0</v>
      </c>
      <c r="Q295" s="114">
        <f>VLOOKUP(C295,'Talente &amp; Stuff'!GX:HY,15,FALSE)</f>
        <v>0</v>
      </c>
      <c r="R295" s="113">
        <f>VLOOKUP(C295,'Talente &amp; Stuff'!GX:HY,16,FALSE)</f>
        <v>0</v>
      </c>
      <c r="S295" s="119">
        <f>VLOOKUP(C295,'Talente &amp; Stuff'!GX:HY,17,FALSE)</f>
        <v>0</v>
      </c>
      <c r="T295" s="119">
        <f>VLOOKUP(C295,'Talente &amp; Stuff'!GX:HY,18,FALSE)</f>
        <v>0</v>
      </c>
      <c r="U295" s="89">
        <f>VLOOKUP(C295,'Talente &amp; Stuff'!GX:HY,19,FALSE)</f>
        <v>0</v>
      </c>
      <c r="V295" s="47">
        <f>VLOOKUP(C295,'Talente &amp; Stuff'!GX:HY,20,FALSE)</f>
        <v>0</v>
      </c>
      <c r="W295" s="127">
        <f>VLOOKUP(C295,'Talente &amp; Stuff'!GX:HY,21,FALSE)</f>
        <v>0</v>
      </c>
      <c r="X295" s="127">
        <f>VLOOKUP(C295,'Talente &amp; Stuff'!GX:HY,22,FALSE)</f>
        <v>0</v>
      </c>
      <c r="Y295" s="165">
        <f t="shared" si="22"/>
        <v>0</v>
      </c>
      <c r="Z295" s="44">
        <f t="shared" si="23"/>
        <v>0</v>
      </c>
      <c r="AA295" s="125">
        <f>VLOOKUP(C295,'Talente &amp; Stuff'!GX:HY,25,FALSE)</f>
        <v>0</v>
      </c>
      <c r="AB295" s="160">
        <f>VLOOKUP(C295,'Talente &amp; Stuff'!GX:HY,26,FALSE)</f>
        <v>0</v>
      </c>
      <c r="AC295" s="127">
        <f>VLOOKUP(C295,'Talente &amp; Stuff'!GX:HY,27,FALSE)</f>
        <v>0</v>
      </c>
      <c r="AD295" s="125">
        <f>VLOOKUP(C295,'Talente &amp; Stuff'!GX:HY,28,FALSE)</f>
        <v>0</v>
      </c>
      <c r="AE295" s="28"/>
    </row>
    <row r="296" spans="1:31" ht="15" hidden="1" customHeight="1" outlineLevel="2">
      <c r="B296" s="148">
        <v>36</v>
      </c>
      <c r="C296" s="164" t="str">
        <f>Attribute!C296</f>
        <v>---</v>
      </c>
      <c r="D296" s="159" t="str">
        <f>VLOOKUP(C296,'Talente &amp; Stuff'!GX:HY,2,FALSE)</f>
        <v>--/--/--</v>
      </c>
      <c r="E296" s="128" t="str">
        <f>VLOOKUP(C296,'Talente &amp; Stuff'!GX:HY,3,FALSE)</f>
        <v>-</v>
      </c>
      <c r="F296" s="115">
        <f>VLOOKUP(C296,'Talente &amp; Stuff'!GX:HY,4,FALSE)</f>
        <v>0</v>
      </c>
      <c r="G296" s="122">
        <f>VLOOKUP(C296,'Talente &amp; Stuff'!GX:HY,5,FALSE)</f>
        <v>0</v>
      </c>
      <c r="H296" s="122">
        <f>VLOOKUP(C296,'Talente &amp; Stuff'!GX:HY,6,FALSE)</f>
        <v>0</v>
      </c>
      <c r="I296" s="122">
        <f>VLOOKUP(C296,'Talente &amp; Stuff'!GX:HY,7,FALSE)</f>
        <v>0</v>
      </c>
      <c r="J296" s="122">
        <f>VLOOKUP(C296,'Talente &amp; Stuff'!GX:HY,8,FALSE)</f>
        <v>0</v>
      </c>
      <c r="K296" s="122">
        <f>VLOOKUP(C296,'Talente &amp; Stuff'!GX:HY,9,FALSE)</f>
        <v>0</v>
      </c>
      <c r="L296" s="122">
        <f>VLOOKUP(C296,'Talente &amp; Stuff'!GX:HY,10,FALSE)</f>
        <v>0</v>
      </c>
      <c r="M296" s="123">
        <f>VLOOKUP(C296,'Talente &amp; Stuff'!GX:HY,11,FALSE)</f>
        <v>0</v>
      </c>
      <c r="N296" s="88">
        <f>VLOOKUP(C296,'Talente &amp; Stuff'!GX:HY,12,FALSE)</f>
        <v>0</v>
      </c>
      <c r="O296" s="88">
        <f>VLOOKUP(C296,'Talente &amp; Stuff'!GX:HY,13,FALSE)</f>
        <v>0</v>
      </c>
      <c r="P296" s="123">
        <f>VLOOKUP(C296,'Talente &amp; Stuff'!GX:HY,14,FALSE)</f>
        <v>0</v>
      </c>
      <c r="Q296" s="115">
        <f>VLOOKUP(C296,'Talente &amp; Stuff'!GX:HY,15,FALSE)</f>
        <v>0</v>
      </c>
      <c r="R296" s="122">
        <f>VLOOKUP(C296,'Talente &amp; Stuff'!GX:HY,16,FALSE)</f>
        <v>0</v>
      </c>
      <c r="S296" s="123">
        <f>VLOOKUP(C296,'Talente &amp; Stuff'!GX:HY,17,FALSE)</f>
        <v>0</v>
      </c>
      <c r="T296" s="123">
        <f>VLOOKUP(C296,'Talente &amp; Stuff'!GX:HY,18,FALSE)</f>
        <v>0</v>
      </c>
      <c r="U296" s="90">
        <f>VLOOKUP(C296,'Talente &amp; Stuff'!GX:HY,19,FALSE)</f>
        <v>0</v>
      </c>
      <c r="V296" s="88">
        <f>VLOOKUP(C296,'Talente &amp; Stuff'!GX:HY,20,FALSE)</f>
        <v>0</v>
      </c>
      <c r="W296" s="128">
        <f>VLOOKUP(C296,'Talente &amp; Stuff'!GX:HY,21,FALSE)</f>
        <v>0</v>
      </c>
      <c r="X296" s="128">
        <f>VLOOKUP(C296,'Talente &amp; Stuff'!GX:HY,22,FALSE)</f>
        <v>0</v>
      </c>
      <c r="Y296" s="165">
        <f t="shared" si="22"/>
        <v>0</v>
      </c>
      <c r="Z296" s="44">
        <f t="shared" si="23"/>
        <v>0</v>
      </c>
      <c r="AA296" s="159">
        <f>VLOOKUP(C296,'Talente &amp; Stuff'!GX:HY,25,FALSE)</f>
        <v>0</v>
      </c>
      <c r="AB296" s="161">
        <f>VLOOKUP(C296,'Talente &amp; Stuff'!GX:HY,26,FALSE)</f>
        <v>0</v>
      </c>
      <c r="AC296" s="128">
        <f>VLOOKUP(C296,'Talente &amp; Stuff'!GX:HY,27,FALSE)</f>
        <v>0</v>
      </c>
      <c r="AD296" s="159">
        <f>VLOOKUP(C296,'Talente &amp; Stuff'!GX:HY,28,FALSE)</f>
        <v>0</v>
      </c>
      <c r="AE296" s="28"/>
    </row>
    <row r="297" spans="1:31" s="217" customFormat="1" hidden="1" outlineLevel="1" collapsed="1">
      <c r="A297" s="185"/>
      <c r="B297" s="216" t="s">
        <v>445</v>
      </c>
      <c r="C297" s="307"/>
      <c r="D297" s="308"/>
      <c r="E297" s="308"/>
      <c r="Y297" s="251"/>
      <c r="Z297" s="251"/>
    </row>
    <row r="298" spans="1:31" s="217" customFormat="1" hidden="1" outlineLevel="2">
      <c r="A298" s="185"/>
      <c r="B298" s="217">
        <v>1</v>
      </c>
      <c r="C298" s="302" t="str">
        <f>Attribute!C298</f>
        <v>---</v>
      </c>
      <c r="D298" s="42" t="str">
        <f>VLOOKUP(C298,'Talente &amp; Stuff'!GX:HY,2,FALSE)</f>
        <v>--/--/--</v>
      </c>
      <c r="E298" s="241" t="str">
        <f>VLOOKUP(C298,'Talente &amp; Stuff'!GX:HY,3,FALSE)</f>
        <v>-</v>
      </c>
      <c r="F298" s="236">
        <f>VLOOKUP(C298,'Talente &amp; Stuff'!GX:HY,4,FALSE)</f>
        <v>0</v>
      </c>
      <c r="G298" s="233">
        <f>VLOOKUP(C298,'Talente &amp; Stuff'!GX:HY,5,FALSE)</f>
        <v>0</v>
      </c>
      <c r="H298" s="233">
        <f>VLOOKUP(C298,'Talente &amp; Stuff'!GX:HY,6,FALSE)</f>
        <v>0</v>
      </c>
      <c r="I298" s="233">
        <f>VLOOKUP(C298,'Talente &amp; Stuff'!GX:HY,7,FALSE)</f>
        <v>0</v>
      </c>
      <c r="J298" s="233">
        <f>VLOOKUP(C298,'Talente &amp; Stuff'!GX:HY,8,FALSE)</f>
        <v>0</v>
      </c>
      <c r="K298" s="233">
        <f>VLOOKUP(C298,'Talente &amp; Stuff'!GX:HY,9,FALSE)</f>
        <v>0</v>
      </c>
      <c r="L298" s="233">
        <f>VLOOKUP(C298,'Talente &amp; Stuff'!GX:HY,10,FALSE)</f>
        <v>0</v>
      </c>
      <c r="M298" s="221">
        <f>VLOOKUP(C298,'Talente &amp; Stuff'!GX:HY,11,FALSE)</f>
        <v>0</v>
      </c>
      <c r="N298" s="220">
        <f>VLOOKUP(C298,'Talente &amp; Stuff'!GX:HY,12,FALSE)</f>
        <v>0</v>
      </c>
      <c r="O298" s="220">
        <f>VLOOKUP(C298,'Talente &amp; Stuff'!GX:HY,13,FALSE)</f>
        <v>0</v>
      </c>
      <c r="P298" s="221">
        <f>VLOOKUP(C298,'Talente &amp; Stuff'!GX:HY,14,FALSE)</f>
        <v>0</v>
      </c>
      <c r="Q298" s="236">
        <f>VLOOKUP(C298,'Talente &amp; Stuff'!GX:HY,15,FALSE)</f>
        <v>0</v>
      </c>
      <c r="R298" s="233">
        <f>VLOOKUP(C298,'Talente &amp; Stuff'!GX:HY,16,FALSE)</f>
        <v>0</v>
      </c>
      <c r="S298" s="221">
        <f>VLOOKUP(C298,'Talente &amp; Stuff'!GX:HY,17,FALSE)</f>
        <v>0</v>
      </c>
      <c r="T298" s="221">
        <f>VLOOKUP(C298,'Talente &amp; Stuff'!GX:HY,18,FALSE)</f>
        <v>0</v>
      </c>
      <c r="U298" s="219">
        <f>VLOOKUP(C298,'Talente &amp; Stuff'!GX:HY,19,FALSE)</f>
        <v>0</v>
      </c>
      <c r="V298" s="220">
        <f>VLOOKUP(C298,'Talente &amp; Stuff'!GX:HY,20,FALSE)</f>
        <v>0</v>
      </c>
      <c r="W298" s="241">
        <f>VLOOKUP(C298,'Talente &amp; Stuff'!GX:HY,21,FALSE)</f>
        <v>0</v>
      </c>
      <c r="X298" s="241">
        <f>VLOOKUP(C298,'Talente &amp; Stuff'!GX:HY,22,FALSE)</f>
        <v>0</v>
      </c>
      <c r="Y298" s="252">
        <f>VLOOKUP(C298,Ausgewählte_Zauber_Zauberbarden,226,FALSE)</f>
        <v>0</v>
      </c>
      <c r="Z298" s="309">
        <f>VLOOKUP(C298,Ausgewählte_Zauber_Zauberbarden,227,FALSE)</f>
        <v>0</v>
      </c>
      <c r="AA298" s="42">
        <f>VLOOKUP(C298,'Talente &amp; Stuff'!GX:HY,25,FALSE)</f>
        <v>0</v>
      </c>
      <c r="AB298" s="78">
        <f>VLOOKUP(C298,'Talente &amp; Stuff'!GX:HY,26,FALSE)</f>
        <v>0</v>
      </c>
      <c r="AC298" s="241">
        <f>VLOOKUP(C298,'Talente &amp; Stuff'!GX:HY,27,FALSE)</f>
        <v>0</v>
      </c>
      <c r="AD298" s="42">
        <f>VLOOKUP(C298,'Talente &amp; Stuff'!GX:HY,28,FALSE)</f>
        <v>0</v>
      </c>
      <c r="AE298" s="343"/>
    </row>
    <row r="299" spans="1:31" s="217" customFormat="1" hidden="1" outlineLevel="2">
      <c r="A299" s="185"/>
      <c r="B299" s="217">
        <v>2</v>
      </c>
      <c r="C299" s="303" t="str">
        <f>Attribute!C299</f>
        <v>---</v>
      </c>
      <c r="D299" s="218" t="str">
        <f>VLOOKUP(C299,'Talente &amp; Stuff'!GX:HY,2,FALSE)</f>
        <v>--/--/--</v>
      </c>
      <c r="E299" s="243" t="str">
        <f>VLOOKUP(C299,'Talente &amp; Stuff'!GX:HY,3,FALSE)</f>
        <v>-</v>
      </c>
      <c r="F299" s="237">
        <f>VLOOKUP(C299,'Talente &amp; Stuff'!GX:HY,4,FALSE)</f>
        <v>0</v>
      </c>
      <c r="G299" s="234">
        <f>VLOOKUP(C299,'Talente &amp; Stuff'!GX:HY,5,FALSE)</f>
        <v>0</v>
      </c>
      <c r="H299" s="234">
        <f>VLOOKUP(C299,'Talente &amp; Stuff'!GX:HY,6,FALSE)</f>
        <v>0</v>
      </c>
      <c r="I299" s="234">
        <f>VLOOKUP(C299,'Talente &amp; Stuff'!GX:HY,7,FALSE)</f>
        <v>0</v>
      </c>
      <c r="J299" s="234">
        <f>VLOOKUP(C299,'Talente &amp; Stuff'!GX:HY,8,FALSE)</f>
        <v>0</v>
      </c>
      <c r="K299" s="234">
        <f>VLOOKUP(C299,'Talente &amp; Stuff'!GX:HY,9,FALSE)</f>
        <v>0</v>
      </c>
      <c r="L299" s="234">
        <f>VLOOKUP(C299,'Talente &amp; Stuff'!GX:HY,10,FALSE)</f>
        <v>0</v>
      </c>
      <c r="M299" s="224">
        <f>VLOOKUP(C299,'Talente &amp; Stuff'!GX:HY,11,FALSE)</f>
        <v>0</v>
      </c>
      <c r="N299" s="223">
        <f>VLOOKUP(C299,'Talente &amp; Stuff'!GX:HY,12,FALSE)</f>
        <v>0</v>
      </c>
      <c r="O299" s="223">
        <f>VLOOKUP(C299,'Talente &amp; Stuff'!GX:HY,13,FALSE)</f>
        <v>0</v>
      </c>
      <c r="P299" s="224">
        <f>VLOOKUP(C299,'Talente &amp; Stuff'!GX:HY,14,FALSE)</f>
        <v>0</v>
      </c>
      <c r="Q299" s="237">
        <f>VLOOKUP(C299,'Talente &amp; Stuff'!GX:HY,15,FALSE)</f>
        <v>0</v>
      </c>
      <c r="R299" s="234">
        <f>VLOOKUP(C299,'Talente &amp; Stuff'!GX:HY,16,FALSE)</f>
        <v>0</v>
      </c>
      <c r="S299" s="224">
        <f>VLOOKUP(C299,'Talente &amp; Stuff'!GX:HY,17,FALSE)</f>
        <v>0</v>
      </c>
      <c r="T299" s="224">
        <f>VLOOKUP(C299,'Talente &amp; Stuff'!GX:HY,18,FALSE)</f>
        <v>0</v>
      </c>
      <c r="U299" s="222">
        <f>VLOOKUP(C299,'Talente &amp; Stuff'!GX:HY,19,FALSE)</f>
        <v>0</v>
      </c>
      <c r="V299" s="223">
        <f>VLOOKUP(C299,'Talente &amp; Stuff'!GX:HY,20,FALSE)</f>
        <v>0</v>
      </c>
      <c r="W299" s="243">
        <f>VLOOKUP(C299,'Talente &amp; Stuff'!GX:HY,21,FALSE)</f>
        <v>0</v>
      </c>
      <c r="X299" s="243">
        <f>VLOOKUP(C299,'Talente &amp; Stuff'!GX:HY,22,FALSE)</f>
        <v>0</v>
      </c>
      <c r="Y299" s="252">
        <f>VLOOKUP(C299,Ausgewählte_Zauber_Zauberbarden,226,FALSE)</f>
        <v>0</v>
      </c>
      <c r="Z299" s="309">
        <f>VLOOKUP(C299,Ausgewählte_Zauber_Zauberbarden,227,FALSE)</f>
        <v>0</v>
      </c>
      <c r="AA299" s="218">
        <f>VLOOKUP(C299,'Talente &amp; Stuff'!GX:HY,25,FALSE)</f>
        <v>0</v>
      </c>
      <c r="AB299" s="242">
        <f>VLOOKUP(C299,'Talente &amp; Stuff'!GX:HY,26,FALSE)</f>
        <v>0</v>
      </c>
      <c r="AC299" s="243">
        <f>VLOOKUP(C299,'Talente &amp; Stuff'!GX:HY,27,FALSE)</f>
        <v>0</v>
      </c>
      <c r="AD299" s="218">
        <f>VLOOKUP(C299,'Talente &amp; Stuff'!GX:HY,28,FALSE)</f>
        <v>0</v>
      </c>
      <c r="AE299" s="343"/>
    </row>
    <row r="300" spans="1:31" s="217" customFormat="1" hidden="1" outlineLevel="2">
      <c r="A300" s="185"/>
      <c r="B300" s="217">
        <v>3</v>
      </c>
      <c r="C300" s="303" t="str">
        <f>Attribute!C300</f>
        <v>---</v>
      </c>
      <c r="D300" s="218" t="str">
        <f>VLOOKUP(C300,'Talente &amp; Stuff'!GX:HY,2,FALSE)</f>
        <v>--/--/--</v>
      </c>
      <c r="E300" s="243" t="str">
        <f>VLOOKUP(C300,'Talente &amp; Stuff'!GX:HY,3,FALSE)</f>
        <v>-</v>
      </c>
      <c r="F300" s="237">
        <f>VLOOKUP(C300,'Talente &amp; Stuff'!GX:HY,4,FALSE)</f>
        <v>0</v>
      </c>
      <c r="G300" s="234">
        <f>VLOOKUP(C300,'Talente &amp; Stuff'!GX:HY,5,FALSE)</f>
        <v>0</v>
      </c>
      <c r="H300" s="234">
        <f>VLOOKUP(C300,'Talente &amp; Stuff'!GX:HY,6,FALSE)</f>
        <v>0</v>
      </c>
      <c r="I300" s="234">
        <f>VLOOKUP(C300,'Talente &amp; Stuff'!GX:HY,7,FALSE)</f>
        <v>0</v>
      </c>
      <c r="J300" s="234">
        <f>VLOOKUP(C300,'Talente &amp; Stuff'!GX:HY,8,FALSE)</f>
        <v>0</v>
      </c>
      <c r="K300" s="234">
        <f>VLOOKUP(C300,'Talente &amp; Stuff'!GX:HY,9,FALSE)</f>
        <v>0</v>
      </c>
      <c r="L300" s="234">
        <f>VLOOKUP(C300,'Talente &amp; Stuff'!GX:HY,10,FALSE)</f>
        <v>0</v>
      </c>
      <c r="M300" s="224">
        <f>VLOOKUP(C300,'Talente &amp; Stuff'!GX:HY,11,FALSE)</f>
        <v>0</v>
      </c>
      <c r="N300" s="223">
        <f>VLOOKUP(C300,'Talente &amp; Stuff'!GX:HY,12,FALSE)</f>
        <v>0</v>
      </c>
      <c r="O300" s="223">
        <f>VLOOKUP(C300,'Talente &amp; Stuff'!GX:HY,13,FALSE)</f>
        <v>0</v>
      </c>
      <c r="P300" s="224">
        <f>VLOOKUP(C300,'Talente &amp; Stuff'!GX:HY,14,FALSE)</f>
        <v>0</v>
      </c>
      <c r="Q300" s="237">
        <f>VLOOKUP(C300,'Talente &amp; Stuff'!GX:HY,15,FALSE)</f>
        <v>0</v>
      </c>
      <c r="R300" s="234">
        <f>VLOOKUP(C300,'Talente &amp; Stuff'!GX:HY,16,FALSE)</f>
        <v>0</v>
      </c>
      <c r="S300" s="224">
        <f>VLOOKUP(C300,'Talente &amp; Stuff'!GX:HY,17,FALSE)</f>
        <v>0</v>
      </c>
      <c r="T300" s="224">
        <f>VLOOKUP(C300,'Talente &amp; Stuff'!GX:HY,18,FALSE)</f>
        <v>0</v>
      </c>
      <c r="U300" s="222">
        <f>VLOOKUP(C300,'Talente &amp; Stuff'!GX:HY,19,FALSE)</f>
        <v>0</v>
      </c>
      <c r="V300" s="223">
        <f>VLOOKUP(C300,'Talente &amp; Stuff'!GX:HY,20,FALSE)</f>
        <v>0</v>
      </c>
      <c r="W300" s="243">
        <f>VLOOKUP(C300,'Talente &amp; Stuff'!GX:HY,21,FALSE)</f>
        <v>0</v>
      </c>
      <c r="X300" s="243">
        <f>VLOOKUP(C300,'Talente &amp; Stuff'!GX:HY,22,FALSE)</f>
        <v>0</v>
      </c>
      <c r="Y300" s="252">
        <f>VLOOKUP(C300,Ausgewählte_Zauber_Zauberbarden,226,FALSE)</f>
        <v>0</v>
      </c>
      <c r="Z300" s="309">
        <f>VLOOKUP(C300,Ausgewählte_Zauber_Zauberbarden,227,FALSE)</f>
        <v>0</v>
      </c>
      <c r="AA300" s="218">
        <f>VLOOKUP(C300,'Talente &amp; Stuff'!GX:HY,25,FALSE)</f>
        <v>0</v>
      </c>
      <c r="AB300" s="242">
        <f>VLOOKUP(C300,'Talente &amp; Stuff'!GX:HY,26,FALSE)</f>
        <v>0</v>
      </c>
      <c r="AC300" s="243">
        <f>VLOOKUP(C300,'Talente &amp; Stuff'!GX:HY,27,FALSE)</f>
        <v>0</v>
      </c>
      <c r="AD300" s="218">
        <f>VLOOKUP(C300,'Talente &amp; Stuff'!GX:HY,28,FALSE)</f>
        <v>0</v>
      </c>
      <c r="AE300" s="343"/>
    </row>
    <row r="301" spans="1:31" s="217" customFormat="1" hidden="1" outlineLevel="2">
      <c r="A301" s="185"/>
      <c r="B301" s="217">
        <v>4</v>
      </c>
      <c r="C301" s="303" t="str">
        <f>Attribute!C301</f>
        <v>---</v>
      </c>
      <c r="D301" s="218" t="str">
        <f>VLOOKUP(C301,'Talente &amp; Stuff'!GX:HY,2,FALSE)</f>
        <v>--/--/--</v>
      </c>
      <c r="E301" s="243" t="str">
        <f>VLOOKUP(C301,'Talente &amp; Stuff'!GX:HY,3,FALSE)</f>
        <v>-</v>
      </c>
      <c r="F301" s="237">
        <f>VLOOKUP(C301,'Talente &amp; Stuff'!GX:HY,4,FALSE)</f>
        <v>0</v>
      </c>
      <c r="G301" s="234">
        <f>VLOOKUP(C301,'Talente &amp; Stuff'!GX:HY,5,FALSE)</f>
        <v>0</v>
      </c>
      <c r="H301" s="234">
        <f>VLOOKUP(C301,'Talente &amp; Stuff'!GX:HY,6,FALSE)</f>
        <v>0</v>
      </c>
      <c r="I301" s="234">
        <f>VLOOKUP(C301,'Talente &amp; Stuff'!GX:HY,7,FALSE)</f>
        <v>0</v>
      </c>
      <c r="J301" s="234">
        <f>VLOOKUP(C301,'Talente &amp; Stuff'!GX:HY,8,FALSE)</f>
        <v>0</v>
      </c>
      <c r="K301" s="234">
        <f>VLOOKUP(C301,'Talente &amp; Stuff'!GX:HY,9,FALSE)</f>
        <v>0</v>
      </c>
      <c r="L301" s="234">
        <f>VLOOKUP(C301,'Talente &amp; Stuff'!GX:HY,10,FALSE)</f>
        <v>0</v>
      </c>
      <c r="M301" s="224">
        <f>VLOOKUP(C301,'Talente &amp; Stuff'!GX:HY,11,FALSE)</f>
        <v>0</v>
      </c>
      <c r="N301" s="223">
        <f>VLOOKUP(C301,'Talente &amp; Stuff'!GX:HY,12,FALSE)</f>
        <v>0</v>
      </c>
      <c r="O301" s="223">
        <f>VLOOKUP(C301,'Talente &amp; Stuff'!GX:HY,13,FALSE)</f>
        <v>0</v>
      </c>
      <c r="P301" s="224">
        <f>VLOOKUP(C301,'Talente &amp; Stuff'!GX:HY,14,FALSE)</f>
        <v>0</v>
      </c>
      <c r="Q301" s="237">
        <f>VLOOKUP(C301,'Talente &amp; Stuff'!GX:HY,15,FALSE)</f>
        <v>0</v>
      </c>
      <c r="R301" s="234">
        <f>VLOOKUP(C301,'Talente &amp; Stuff'!GX:HY,16,FALSE)</f>
        <v>0</v>
      </c>
      <c r="S301" s="224">
        <f>VLOOKUP(C301,'Talente &amp; Stuff'!GX:HY,17,FALSE)</f>
        <v>0</v>
      </c>
      <c r="T301" s="224">
        <f>VLOOKUP(C301,'Talente &amp; Stuff'!GX:HY,18,FALSE)</f>
        <v>0</v>
      </c>
      <c r="U301" s="222">
        <f>VLOOKUP(C301,'Talente &amp; Stuff'!GX:HY,19,FALSE)</f>
        <v>0</v>
      </c>
      <c r="V301" s="223">
        <f>VLOOKUP(C301,'Talente &amp; Stuff'!GX:HY,20,FALSE)</f>
        <v>0</v>
      </c>
      <c r="W301" s="243">
        <f>VLOOKUP(C301,'Talente &amp; Stuff'!GX:HY,21,FALSE)</f>
        <v>0</v>
      </c>
      <c r="X301" s="243">
        <f>VLOOKUP(C301,'Talente &amp; Stuff'!GX:HY,22,FALSE)</f>
        <v>0</v>
      </c>
      <c r="Y301" s="252">
        <f>VLOOKUP(C301,Ausgewählte_Zauber_Zauberbarden,226,FALSE)</f>
        <v>0</v>
      </c>
      <c r="Z301" s="309">
        <f>VLOOKUP(C301,Ausgewählte_Zauber_Zauberbarden,227,FALSE)</f>
        <v>0</v>
      </c>
      <c r="AA301" s="218">
        <f>VLOOKUP(C301,'Talente &amp; Stuff'!GX:HY,25,FALSE)</f>
        <v>0</v>
      </c>
      <c r="AB301" s="242">
        <f>VLOOKUP(C301,'Talente &amp; Stuff'!GX:HY,26,FALSE)</f>
        <v>0</v>
      </c>
      <c r="AC301" s="243">
        <f>VLOOKUP(C301,'Talente &amp; Stuff'!GX:HY,27,FALSE)</f>
        <v>0</v>
      </c>
      <c r="AD301" s="218">
        <f>VLOOKUP(C301,'Talente &amp; Stuff'!GX:HY,28,FALSE)</f>
        <v>0</v>
      </c>
      <c r="AE301" s="343"/>
    </row>
    <row r="302" spans="1:31" s="217" customFormat="1" hidden="1" outlineLevel="2">
      <c r="A302" s="185"/>
      <c r="B302" s="217">
        <v>5</v>
      </c>
      <c r="C302" s="303" t="str">
        <f>Attribute!C302</f>
        <v>---</v>
      </c>
      <c r="D302" s="218" t="str">
        <f>VLOOKUP(C302,'Talente &amp; Stuff'!GX:HY,2,FALSE)</f>
        <v>--/--/--</v>
      </c>
      <c r="E302" s="243" t="str">
        <f>VLOOKUP(C302,'Talente &amp; Stuff'!GX:HY,3,FALSE)</f>
        <v>-</v>
      </c>
      <c r="F302" s="237">
        <f>VLOOKUP(C302,'Talente &amp; Stuff'!GX:HY,4,FALSE)</f>
        <v>0</v>
      </c>
      <c r="G302" s="234">
        <f>VLOOKUP(C302,'Talente &amp; Stuff'!GX:HY,5,FALSE)</f>
        <v>0</v>
      </c>
      <c r="H302" s="234">
        <f>VLOOKUP(C302,'Talente &amp; Stuff'!GX:HY,6,FALSE)</f>
        <v>0</v>
      </c>
      <c r="I302" s="234">
        <f>VLOOKUP(C302,'Talente &amp; Stuff'!GX:HY,7,FALSE)</f>
        <v>0</v>
      </c>
      <c r="J302" s="234">
        <f>VLOOKUP(C302,'Talente &amp; Stuff'!GX:HY,8,FALSE)</f>
        <v>0</v>
      </c>
      <c r="K302" s="234">
        <f>VLOOKUP(C302,'Talente &amp; Stuff'!GX:HY,9,FALSE)</f>
        <v>0</v>
      </c>
      <c r="L302" s="234">
        <f>VLOOKUP(C302,'Talente &amp; Stuff'!GX:HY,10,FALSE)</f>
        <v>0</v>
      </c>
      <c r="M302" s="224">
        <f>VLOOKUP(C302,'Talente &amp; Stuff'!GX:HY,11,FALSE)</f>
        <v>0</v>
      </c>
      <c r="N302" s="223">
        <f>VLOOKUP(C302,'Talente &amp; Stuff'!GX:HY,12,FALSE)</f>
        <v>0</v>
      </c>
      <c r="O302" s="223">
        <f>VLOOKUP(C302,'Talente &amp; Stuff'!GX:HY,13,FALSE)</f>
        <v>0</v>
      </c>
      <c r="P302" s="224">
        <f>VLOOKUP(C302,'Talente &amp; Stuff'!GX:HY,14,FALSE)</f>
        <v>0</v>
      </c>
      <c r="Q302" s="237">
        <f>VLOOKUP(C302,'Talente &amp; Stuff'!GX:HY,15,FALSE)</f>
        <v>0</v>
      </c>
      <c r="R302" s="234">
        <f>VLOOKUP(C302,'Talente &amp; Stuff'!GX:HY,16,FALSE)</f>
        <v>0</v>
      </c>
      <c r="S302" s="224">
        <f>VLOOKUP(C302,'Talente &amp; Stuff'!GX:HY,17,FALSE)</f>
        <v>0</v>
      </c>
      <c r="T302" s="224">
        <f>VLOOKUP(C302,'Talente &amp; Stuff'!GX:HY,18,FALSE)</f>
        <v>0</v>
      </c>
      <c r="U302" s="222">
        <f>VLOOKUP(C302,'Talente &amp; Stuff'!GX:HY,19,FALSE)</f>
        <v>0</v>
      </c>
      <c r="V302" s="223">
        <f>VLOOKUP(C302,'Talente &amp; Stuff'!GX:HY,20,FALSE)</f>
        <v>0</v>
      </c>
      <c r="W302" s="243">
        <f>VLOOKUP(C302,'Talente &amp; Stuff'!GX:HY,21,FALSE)</f>
        <v>0</v>
      </c>
      <c r="X302" s="243">
        <f>VLOOKUP(C302,'Talente &amp; Stuff'!GX:HY,22,FALSE)</f>
        <v>0</v>
      </c>
      <c r="Y302" s="252">
        <f>VLOOKUP(C302,Ausgewählte_Zauber_Zauberbarden,226,FALSE)</f>
        <v>0</v>
      </c>
      <c r="Z302" s="309">
        <f>VLOOKUP(C302,Ausgewählte_Zauber_Zauberbarden,227,FALSE)</f>
        <v>0</v>
      </c>
      <c r="AA302" s="218">
        <f>VLOOKUP(C302,'Talente &amp; Stuff'!GX:HY,25,FALSE)</f>
        <v>0</v>
      </c>
      <c r="AB302" s="242">
        <f>VLOOKUP(C302,'Talente &amp; Stuff'!GX:HY,26,FALSE)</f>
        <v>0</v>
      </c>
      <c r="AC302" s="243">
        <f>VLOOKUP(C302,'Talente &amp; Stuff'!GX:HY,27,FALSE)</f>
        <v>0</v>
      </c>
      <c r="AD302" s="218">
        <f>VLOOKUP(C302,'Talente &amp; Stuff'!GX:HY,28,FALSE)</f>
        <v>0</v>
      </c>
      <c r="AE302" s="343"/>
    </row>
    <row r="303" spans="1:31" s="217" customFormat="1" hidden="1" outlineLevel="2">
      <c r="A303" s="185"/>
      <c r="B303" s="217">
        <v>6</v>
      </c>
      <c r="C303" s="303" t="str">
        <f>Attribute!C303</f>
        <v>---</v>
      </c>
      <c r="D303" s="218" t="str">
        <f>VLOOKUP(C303,'Talente &amp; Stuff'!GX:HY,2,FALSE)</f>
        <v>--/--/--</v>
      </c>
      <c r="E303" s="243" t="str">
        <f>VLOOKUP(C303,'Talente &amp; Stuff'!GX:HY,3,FALSE)</f>
        <v>-</v>
      </c>
      <c r="F303" s="237">
        <f>VLOOKUP(C303,'Talente &amp; Stuff'!GX:HY,4,FALSE)</f>
        <v>0</v>
      </c>
      <c r="G303" s="234">
        <f>VLOOKUP(C303,'Talente &amp; Stuff'!GX:HY,5,FALSE)</f>
        <v>0</v>
      </c>
      <c r="H303" s="234">
        <f>VLOOKUP(C303,'Talente &amp; Stuff'!GX:HY,6,FALSE)</f>
        <v>0</v>
      </c>
      <c r="I303" s="234">
        <f>VLOOKUP(C303,'Talente &amp; Stuff'!GX:HY,7,FALSE)</f>
        <v>0</v>
      </c>
      <c r="J303" s="234">
        <f>VLOOKUP(C303,'Talente &amp; Stuff'!GX:HY,8,FALSE)</f>
        <v>0</v>
      </c>
      <c r="K303" s="234">
        <f>VLOOKUP(C303,'Talente &amp; Stuff'!GX:HY,9,FALSE)</f>
        <v>0</v>
      </c>
      <c r="L303" s="234">
        <f>VLOOKUP(C303,'Talente &amp; Stuff'!GX:HY,10,FALSE)</f>
        <v>0</v>
      </c>
      <c r="M303" s="224">
        <f>VLOOKUP(C303,'Talente &amp; Stuff'!GX:HY,11,FALSE)</f>
        <v>0</v>
      </c>
      <c r="N303" s="223">
        <f>VLOOKUP(C303,'Talente &amp; Stuff'!GX:HY,12,FALSE)</f>
        <v>0</v>
      </c>
      <c r="O303" s="223">
        <f>VLOOKUP(C303,'Talente &amp; Stuff'!GX:HY,13,FALSE)</f>
        <v>0</v>
      </c>
      <c r="P303" s="224">
        <f>VLOOKUP(C303,'Talente &amp; Stuff'!GX:HY,14,FALSE)</f>
        <v>0</v>
      </c>
      <c r="Q303" s="237">
        <f>VLOOKUP(C303,'Talente &amp; Stuff'!GX:HY,15,FALSE)</f>
        <v>0</v>
      </c>
      <c r="R303" s="234">
        <f>VLOOKUP(C303,'Talente &amp; Stuff'!GX:HY,16,FALSE)</f>
        <v>0</v>
      </c>
      <c r="S303" s="224">
        <f>VLOOKUP(C303,'Talente &amp; Stuff'!GX:HY,17,FALSE)</f>
        <v>0</v>
      </c>
      <c r="T303" s="224">
        <f>VLOOKUP(C303,'Talente &amp; Stuff'!GX:HY,18,FALSE)</f>
        <v>0</v>
      </c>
      <c r="U303" s="222">
        <f>VLOOKUP(C303,'Talente &amp; Stuff'!GX:HY,19,FALSE)</f>
        <v>0</v>
      </c>
      <c r="V303" s="223">
        <f>VLOOKUP(C303,'Talente &amp; Stuff'!GX:HY,20,FALSE)</f>
        <v>0</v>
      </c>
      <c r="W303" s="243">
        <f>VLOOKUP(C303,'Talente &amp; Stuff'!GX:HY,21,FALSE)</f>
        <v>0</v>
      </c>
      <c r="X303" s="243">
        <f>VLOOKUP(C303,'Talente &amp; Stuff'!GX:HY,22,FALSE)</f>
        <v>0</v>
      </c>
      <c r="Y303" s="252">
        <f>VLOOKUP(C303,Ausgewählte_Zauber_Zauberbarden,226,FALSE)</f>
        <v>0</v>
      </c>
      <c r="Z303" s="309">
        <f>VLOOKUP(C303,Ausgewählte_Zauber_Zauberbarden,227,FALSE)</f>
        <v>0</v>
      </c>
      <c r="AA303" s="218">
        <f>VLOOKUP(C303,'Talente &amp; Stuff'!GX:HY,25,FALSE)</f>
        <v>0</v>
      </c>
      <c r="AB303" s="242">
        <f>VLOOKUP(C303,'Talente &amp; Stuff'!GX:HY,26,FALSE)</f>
        <v>0</v>
      </c>
      <c r="AC303" s="243">
        <f>VLOOKUP(C303,'Talente &amp; Stuff'!GX:HY,27,FALSE)</f>
        <v>0</v>
      </c>
      <c r="AD303" s="218">
        <f>VLOOKUP(C303,'Talente &amp; Stuff'!GX:HY,28,FALSE)</f>
        <v>0</v>
      </c>
      <c r="AE303" s="343"/>
    </row>
    <row r="304" spans="1:31" s="217" customFormat="1" hidden="1" outlineLevel="2">
      <c r="A304" s="185"/>
      <c r="B304" s="217">
        <v>7</v>
      </c>
      <c r="C304" s="303" t="str">
        <f>Attribute!C304</f>
        <v>---</v>
      </c>
      <c r="D304" s="218" t="str">
        <f>VLOOKUP(C304,'Talente &amp; Stuff'!GX:HY,2,FALSE)</f>
        <v>--/--/--</v>
      </c>
      <c r="E304" s="243" t="str">
        <f>VLOOKUP(C304,'Talente &amp; Stuff'!GX:HY,3,FALSE)</f>
        <v>-</v>
      </c>
      <c r="F304" s="237">
        <f>VLOOKUP(C304,'Talente &amp; Stuff'!GX:HY,4,FALSE)</f>
        <v>0</v>
      </c>
      <c r="G304" s="234">
        <f>VLOOKUP(C304,'Talente &amp; Stuff'!GX:HY,5,FALSE)</f>
        <v>0</v>
      </c>
      <c r="H304" s="234">
        <f>VLOOKUP(C304,'Talente &amp; Stuff'!GX:HY,6,FALSE)</f>
        <v>0</v>
      </c>
      <c r="I304" s="234">
        <f>VLOOKUP(C304,'Talente &amp; Stuff'!GX:HY,7,FALSE)</f>
        <v>0</v>
      </c>
      <c r="J304" s="234">
        <f>VLOOKUP(C304,'Talente &amp; Stuff'!GX:HY,8,FALSE)</f>
        <v>0</v>
      </c>
      <c r="K304" s="234">
        <f>VLOOKUP(C304,'Talente &amp; Stuff'!GX:HY,9,FALSE)</f>
        <v>0</v>
      </c>
      <c r="L304" s="234">
        <f>VLOOKUP(C304,'Talente &amp; Stuff'!GX:HY,10,FALSE)</f>
        <v>0</v>
      </c>
      <c r="M304" s="224">
        <f>VLOOKUP(C304,'Talente &amp; Stuff'!GX:HY,11,FALSE)</f>
        <v>0</v>
      </c>
      <c r="N304" s="223">
        <f>VLOOKUP(C304,'Talente &amp; Stuff'!GX:HY,12,FALSE)</f>
        <v>0</v>
      </c>
      <c r="O304" s="223">
        <f>VLOOKUP(C304,'Talente &amp; Stuff'!GX:HY,13,FALSE)</f>
        <v>0</v>
      </c>
      <c r="P304" s="224">
        <f>VLOOKUP(C304,'Talente &amp; Stuff'!GX:HY,14,FALSE)</f>
        <v>0</v>
      </c>
      <c r="Q304" s="237">
        <f>VLOOKUP(C304,'Talente &amp; Stuff'!GX:HY,15,FALSE)</f>
        <v>0</v>
      </c>
      <c r="R304" s="234">
        <f>VLOOKUP(C304,'Talente &amp; Stuff'!GX:HY,16,FALSE)</f>
        <v>0</v>
      </c>
      <c r="S304" s="224">
        <f>VLOOKUP(C304,'Talente &amp; Stuff'!GX:HY,17,FALSE)</f>
        <v>0</v>
      </c>
      <c r="T304" s="224">
        <f>VLOOKUP(C304,'Talente &amp; Stuff'!GX:HY,18,FALSE)</f>
        <v>0</v>
      </c>
      <c r="U304" s="222">
        <f>VLOOKUP(C304,'Talente &amp; Stuff'!GX:HY,19,FALSE)</f>
        <v>0</v>
      </c>
      <c r="V304" s="223">
        <f>VLOOKUP(C304,'Talente &amp; Stuff'!GX:HY,20,FALSE)</f>
        <v>0</v>
      </c>
      <c r="W304" s="243">
        <f>VLOOKUP(C304,'Talente &amp; Stuff'!GX:HY,21,FALSE)</f>
        <v>0</v>
      </c>
      <c r="X304" s="243">
        <f>VLOOKUP(C304,'Talente &amp; Stuff'!GX:HY,22,FALSE)</f>
        <v>0</v>
      </c>
      <c r="Y304" s="252">
        <f>VLOOKUP(C304,Ausgewählte_Zauber_Zauberbarden,226,FALSE)</f>
        <v>0</v>
      </c>
      <c r="Z304" s="309">
        <f>VLOOKUP(C304,Ausgewählte_Zauber_Zauberbarden,227,FALSE)</f>
        <v>0</v>
      </c>
      <c r="AA304" s="218">
        <f>VLOOKUP(C304,'Talente &amp; Stuff'!GX:HY,25,FALSE)</f>
        <v>0</v>
      </c>
      <c r="AB304" s="242">
        <f>VLOOKUP(C304,'Talente &amp; Stuff'!GX:HY,26,FALSE)</f>
        <v>0</v>
      </c>
      <c r="AC304" s="243">
        <f>VLOOKUP(C304,'Talente &amp; Stuff'!GX:HY,27,FALSE)</f>
        <v>0</v>
      </c>
      <c r="AD304" s="218">
        <f>VLOOKUP(C304,'Talente &amp; Stuff'!GX:HY,28,FALSE)</f>
        <v>0</v>
      </c>
      <c r="AE304" s="343"/>
    </row>
    <row r="305" spans="1:31" s="217" customFormat="1" hidden="1" outlineLevel="2">
      <c r="A305" s="185"/>
      <c r="B305" s="217">
        <v>8</v>
      </c>
      <c r="C305" s="303" t="str">
        <f>Attribute!C305</f>
        <v>---</v>
      </c>
      <c r="D305" s="218" t="str">
        <f>VLOOKUP(C305,'Talente &amp; Stuff'!GX:HY,2,FALSE)</f>
        <v>--/--/--</v>
      </c>
      <c r="E305" s="243" t="str">
        <f>VLOOKUP(C305,'Talente &amp; Stuff'!GX:HY,3,FALSE)</f>
        <v>-</v>
      </c>
      <c r="F305" s="237">
        <f>VLOOKUP(C305,'Talente &amp; Stuff'!GX:HY,4,FALSE)</f>
        <v>0</v>
      </c>
      <c r="G305" s="234">
        <f>VLOOKUP(C305,'Talente &amp; Stuff'!GX:HY,5,FALSE)</f>
        <v>0</v>
      </c>
      <c r="H305" s="234">
        <f>VLOOKUP(C305,'Talente &amp; Stuff'!GX:HY,6,FALSE)</f>
        <v>0</v>
      </c>
      <c r="I305" s="234">
        <f>VLOOKUP(C305,'Talente &amp; Stuff'!GX:HY,7,FALSE)</f>
        <v>0</v>
      </c>
      <c r="J305" s="234">
        <f>VLOOKUP(C305,'Talente &amp; Stuff'!GX:HY,8,FALSE)</f>
        <v>0</v>
      </c>
      <c r="K305" s="234">
        <f>VLOOKUP(C305,'Talente &amp; Stuff'!GX:HY,9,FALSE)</f>
        <v>0</v>
      </c>
      <c r="L305" s="234">
        <f>VLOOKUP(C305,'Talente &amp; Stuff'!GX:HY,10,FALSE)</f>
        <v>0</v>
      </c>
      <c r="M305" s="224">
        <f>VLOOKUP(C305,'Talente &amp; Stuff'!GX:HY,11,FALSE)</f>
        <v>0</v>
      </c>
      <c r="N305" s="223">
        <f>VLOOKUP(C305,'Talente &amp; Stuff'!GX:HY,12,FALSE)</f>
        <v>0</v>
      </c>
      <c r="O305" s="223">
        <f>VLOOKUP(C305,'Talente &amp; Stuff'!GX:HY,13,FALSE)</f>
        <v>0</v>
      </c>
      <c r="P305" s="224">
        <f>VLOOKUP(C305,'Talente &amp; Stuff'!GX:HY,14,FALSE)</f>
        <v>0</v>
      </c>
      <c r="Q305" s="237">
        <f>VLOOKUP(C305,'Talente &amp; Stuff'!GX:HY,15,FALSE)</f>
        <v>0</v>
      </c>
      <c r="R305" s="234">
        <f>VLOOKUP(C305,'Talente &amp; Stuff'!GX:HY,16,FALSE)</f>
        <v>0</v>
      </c>
      <c r="S305" s="224">
        <f>VLOOKUP(C305,'Talente &amp; Stuff'!GX:HY,17,FALSE)</f>
        <v>0</v>
      </c>
      <c r="T305" s="224">
        <f>VLOOKUP(C305,'Talente &amp; Stuff'!GX:HY,18,FALSE)</f>
        <v>0</v>
      </c>
      <c r="U305" s="222">
        <f>VLOOKUP(C305,'Talente &amp; Stuff'!GX:HY,19,FALSE)</f>
        <v>0</v>
      </c>
      <c r="V305" s="223">
        <f>VLOOKUP(C305,'Talente &amp; Stuff'!GX:HY,20,FALSE)</f>
        <v>0</v>
      </c>
      <c r="W305" s="243">
        <f>VLOOKUP(C305,'Talente &amp; Stuff'!GX:HY,21,FALSE)</f>
        <v>0</v>
      </c>
      <c r="X305" s="243">
        <f>VLOOKUP(C305,'Talente &amp; Stuff'!GX:HY,22,FALSE)</f>
        <v>0</v>
      </c>
      <c r="Y305" s="252">
        <f>VLOOKUP(C305,Ausgewählte_Zauber_Zauberbarden,226,FALSE)</f>
        <v>0</v>
      </c>
      <c r="Z305" s="309">
        <f>VLOOKUP(C305,Ausgewählte_Zauber_Zauberbarden,227,FALSE)</f>
        <v>0</v>
      </c>
      <c r="AA305" s="218">
        <f>VLOOKUP(C305,'Talente &amp; Stuff'!GX:HY,25,FALSE)</f>
        <v>0</v>
      </c>
      <c r="AB305" s="242">
        <f>VLOOKUP(C305,'Talente &amp; Stuff'!GX:HY,26,FALSE)</f>
        <v>0</v>
      </c>
      <c r="AC305" s="243">
        <f>VLOOKUP(C305,'Talente &amp; Stuff'!GX:HY,27,FALSE)</f>
        <v>0</v>
      </c>
      <c r="AD305" s="218">
        <f>VLOOKUP(C305,'Talente &amp; Stuff'!GX:HY,28,FALSE)</f>
        <v>0</v>
      </c>
      <c r="AE305" s="343"/>
    </row>
    <row r="306" spans="1:31" s="217" customFormat="1" hidden="1" outlineLevel="2">
      <c r="A306" s="185"/>
      <c r="B306" s="217">
        <v>9</v>
      </c>
      <c r="C306" s="303" t="str">
        <f>Attribute!C306</f>
        <v>---</v>
      </c>
      <c r="D306" s="218" t="str">
        <f>VLOOKUP(C306,'Talente &amp; Stuff'!GX:HY,2,FALSE)</f>
        <v>--/--/--</v>
      </c>
      <c r="E306" s="243" t="str">
        <f>VLOOKUP(C306,'Talente &amp; Stuff'!GX:HY,3,FALSE)</f>
        <v>-</v>
      </c>
      <c r="F306" s="237">
        <f>VLOOKUP(C306,'Talente &amp; Stuff'!GX:HY,4,FALSE)</f>
        <v>0</v>
      </c>
      <c r="G306" s="234">
        <f>VLOOKUP(C306,'Talente &amp; Stuff'!GX:HY,5,FALSE)</f>
        <v>0</v>
      </c>
      <c r="H306" s="234">
        <f>VLOOKUP(C306,'Talente &amp; Stuff'!GX:HY,6,FALSE)</f>
        <v>0</v>
      </c>
      <c r="I306" s="234">
        <f>VLOOKUP(C306,'Talente &amp; Stuff'!GX:HY,7,FALSE)</f>
        <v>0</v>
      </c>
      <c r="J306" s="234">
        <f>VLOOKUP(C306,'Talente &amp; Stuff'!GX:HY,8,FALSE)</f>
        <v>0</v>
      </c>
      <c r="K306" s="234">
        <f>VLOOKUP(C306,'Talente &amp; Stuff'!GX:HY,9,FALSE)</f>
        <v>0</v>
      </c>
      <c r="L306" s="234">
        <f>VLOOKUP(C306,'Talente &amp; Stuff'!GX:HY,10,FALSE)</f>
        <v>0</v>
      </c>
      <c r="M306" s="224">
        <f>VLOOKUP(C306,'Talente &amp; Stuff'!GX:HY,11,FALSE)</f>
        <v>0</v>
      </c>
      <c r="N306" s="223">
        <f>VLOOKUP(C306,'Talente &amp; Stuff'!GX:HY,12,FALSE)</f>
        <v>0</v>
      </c>
      <c r="O306" s="223">
        <f>VLOOKUP(C306,'Talente &amp; Stuff'!GX:HY,13,FALSE)</f>
        <v>0</v>
      </c>
      <c r="P306" s="224">
        <f>VLOOKUP(C306,'Talente &amp; Stuff'!GX:HY,14,FALSE)</f>
        <v>0</v>
      </c>
      <c r="Q306" s="237">
        <f>VLOOKUP(C306,'Talente &amp; Stuff'!GX:HY,15,FALSE)</f>
        <v>0</v>
      </c>
      <c r="R306" s="234">
        <f>VLOOKUP(C306,'Talente &amp; Stuff'!GX:HY,16,FALSE)</f>
        <v>0</v>
      </c>
      <c r="S306" s="224">
        <f>VLOOKUP(C306,'Talente &amp; Stuff'!GX:HY,17,FALSE)</f>
        <v>0</v>
      </c>
      <c r="T306" s="224">
        <f>VLOOKUP(C306,'Talente &amp; Stuff'!GX:HY,18,FALSE)</f>
        <v>0</v>
      </c>
      <c r="U306" s="222">
        <f>VLOOKUP(C306,'Talente &amp; Stuff'!GX:HY,19,FALSE)</f>
        <v>0</v>
      </c>
      <c r="V306" s="223">
        <f>VLOOKUP(C306,'Talente &amp; Stuff'!GX:HY,20,FALSE)</f>
        <v>0</v>
      </c>
      <c r="W306" s="243">
        <f>VLOOKUP(C306,'Talente &amp; Stuff'!GX:HY,21,FALSE)</f>
        <v>0</v>
      </c>
      <c r="X306" s="243">
        <f>VLOOKUP(C306,'Talente &amp; Stuff'!GX:HY,22,FALSE)</f>
        <v>0</v>
      </c>
      <c r="Y306" s="252">
        <f>VLOOKUP(C306,Ausgewählte_Zauber_Zauberbarden,226,FALSE)</f>
        <v>0</v>
      </c>
      <c r="Z306" s="309">
        <f>VLOOKUP(C306,Ausgewählte_Zauber_Zauberbarden,227,FALSE)</f>
        <v>0</v>
      </c>
      <c r="AA306" s="218">
        <f>VLOOKUP(C306,'Talente &amp; Stuff'!GX:HY,25,FALSE)</f>
        <v>0</v>
      </c>
      <c r="AB306" s="242">
        <f>VLOOKUP(C306,'Talente &amp; Stuff'!GX:HY,26,FALSE)</f>
        <v>0</v>
      </c>
      <c r="AC306" s="243">
        <f>VLOOKUP(C306,'Talente &amp; Stuff'!GX:HY,27,FALSE)</f>
        <v>0</v>
      </c>
      <c r="AD306" s="218">
        <f>VLOOKUP(C306,'Talente &amp; Stuff'!GX:HY,28,FALSE)</f>
        <v>0</v>
      </c>
      <c r="AE306" s="343"/>
    </row>
    <row r="307" spans="1:31" s="217" customFormat="1" hidden="1" outlineLevel="2">
      <c r="A307" s="185"/>
      <c r="B307" s="217">
        <v>10</v>
      </c>
      <c r="C307" s="303" t="str">
        <f>Attribute!C307</f>
        <v>---</v>
      </c>
      <c r="D307" s="218" t="str">
        <f>VLOOKUP(C307,'Talente &amp; Stuff'!GX:HY,2,FALSE)</f>
        <v>--/--/--</v>
      </c>
      <c r="E307" s="243" t="str">
        <f>VLOOKUP(C307,'Talente &amp; Stuff'!GX:HY,3,FALSE)</f>
        <v>-</v>
      </c>
      <c r="F307" s="237">
        <f>VLOOKUP(C307,'Talente &amp; Stuff'!GX:HY,4,FALSE)</f>
        <v>0</v>
      </c>
      <c r="G307" s="234">
        <f>VLOOKUP(C307,'Talente &amp; Stuff'!GX:HY,5,FALSE)</f>
        <v>0</v>
      </c>
      <c r="H307" s="234">
        <f>VLOOKUP(C307,'Talente &amp; Stuff'!GX:HY,6,FALSE)</f>
        <v>0</v>
      </c>
      <c r="I307" s="234">
        <f>VLOOKUP(C307,'Talente &amp; Stuff'!GX:HY,7,FALSE)</f>
        <v>0</v>
      </c>
      <c r="J307" s="234">
        <f>VLOOKUP(C307,'Talente &amp; Stuff'!GX:HY,8,FALSE)</f>
        <v>0</v>
      </c>
      <c r="K307" s="234">
        <f>VLOOKUP(C307,'Talente &amp; Stuff'!GX:HY,9,FALSE)</f>
        <v>0</v>
      </c>
      <c r="L307" s="234">
        <f>VLOOKUP(C307,'Talente &amp; Stuff'!GX:HY,10,FALSE)</f>
        <v>0</v>
      </c>
      <c r="M307" s="224">
        <f>VLOOKUP(C307,'Talente &amp; Stuff'!GX:HY,11,FALSE)</f>
        <v>0</v>
      </c>
      <c r="N307" s="223">
        <f>VLOOKUP(C307,'Talente &amp; Stuff'!GX:HY,12,FALSE)</f>
        <v>0</v>
      </c>
      <c r="O307" s="223">
        <f>VLOOKUP(C307,'Talente &amp; Stuff'!GX:HY,13,FALSE)</f>
        <v>0</v>
      </c>
      <c r="P307" s="224">
        <f>VLOOKUP(C307,'Talente &amp; Stuff'!GX:HY,14,FALSE)</f>
        <v>0</v>
      </c>
      <c r="Q307" s="237">
        <f>VLOOKUP(C307,'Talente &amp; Stuff'!GX:HY,15,FALSE)</f>
        <v>0</v>
      </c>
      <c r="R307" s="234">
        <f>VLOOKUP(C307,'Talente &amp; Stuff'!GX:HY,16,FALSE)</f>
        <v>0</v>
      </c>
      <c r="S307" s="224">
        <f>VLOOKUP(C307,'Talente &amp; Stuff'!GX:HY,17,FALSE)</f>
        <v>0</v>
      </c>
      <c r="T307" s="224">
        <f>VLOOKUP(C307,'Talente &amp; Stuff'!GX:HY,18,FALSE)</f>
        <v>0</v>
      </c>
      <c r="U307" s="222">
        <f>VLOOKUP(C307,'Talente &amp; Stuff'!GX:HY,19,FALSE)</f>
        <v>0</v>
      </c>
      <c r="V307" s="223">
        <f>VLOOKUP(C307,'Talente &amp; Stuff'!GX:HY,20,FALSE)</f>
        <v>0</v>
      </c>
      <c r="W307" s="243">
        <f>VLOOKUP(C307,'Talente &amp; Stuff'!GX:HY,21,FALSE)</f>
        <v>0</v>
      </c>
      <c r="X307" s="243">
        <f>VLOOKUP(C307,'Talente &amp; Stuff'!GX:HY,22,FALSE)</f>
        <v>0</v>
      </c>
      <c r="Y307" s="252">
        <f>VLOOKUP(C307,Ausgewählte_Zauber_Zauberbarden,226,FALSE)</f>
        <v>0</v>
      </c>
      <c r="Z307" s="309">
        <f>VLOOKUP(C307,Ausgewählte_Zauber_Zauberbarden,227,FALSE)</f>
        <v>0</v>
      </c>
      <c r="AA307" s="218">
        <f>VLOOKUP(C307,'Talente &amp; Stuff'!GX:HY,25,FALSE)</f>
        <v>0</v>
      </c>
      <c r="AB307" s="242">
        <f>VLOOKUP(C307,'Talente &amp; Stuff'!GX:HY,26,FALSE)</f>
        <v>0</v>
      </c>
      <c r="AC307" s="243">
        <f>VLOOKUP(C307,'Talente &amp; Stuff'!GX:HY,27,FALSE)</f>
        <v>0</v>
      </c>
      <c r="AD307" s="218">
        <f>VLOOKUP(C307,'Talente &amp; Stuff'!GX:HY,28,FALSE)</f>
        <v>0</v>
      </c>
      <c r="AE307" s="343"/>
    </row>
    <row r="308" spans="1:31" s="217" customFormat="1" hidden="1" outlineLevel="2">
      <c r="A308" s="185"/>
      <c r="B308" s="217">
        <v>11</v>
      </c>
      <c r="C308" s="303" t="str">
        <f>Attribute!C308</f>
        <v>---</v>
      </c>
      <c r="D308" s="218" t="str">
        <f>VLOOKUP(C308,'Talente &amp; Stuff'!GX:HY,2,FALSE)</f>
        <v>--/--/--</v>
      </c>
      <c r="E308" s="243" t="str">
        <f>VLOOKUP(C308,'Talente &amp; Stuff'!GX:HY,3,FALSE)</f>
        <v>-</v>
      </c>
      <c r="F308" s="237">
        <f>VLOOKUP(C308,'Talente &amp; Stuff'!GX:HY,4,FALSE)</f>
        <v>0</v>
      </c>
      <c r="G308" s="234">
        <f>VLOOKUP(C308,'Talente &amp; Stuff'!GX:HY,5,FALSE)</f>
        <v>0</v>
      </c>
      <c r="H308" s="234">
        <f>VLOOKUP(C308,'Talente &amp; Stuff'!GX:HY,6,FALSE)</f>
        <v>0</v>
      </c>
      <c r="I308" s="234">
        <f>VLOOKUP(C308,'Talente &amp; Stuff'!GX:HY,7,FALSE)</f>
        <v>0</v>
      </c>
      <c r="J308" s="234">
        <f>VLOOKUP(C308,'Talente &amp; Stuff'!GX:HY,8,FALSE)</f>
        <v>0</v>
      </c>
      <c r="K308" s="234">
        <f>VLOOKUP(C308,'Talente &amp; Stuff'!GX:HY,9,FALSE)</f>
        <v>0</v>
      </c>
      <c r="L308" s="234">
        <f>VLOOKUP(C308,'Talente &amp; Stuff'!GX:HY,10,FALSE)</f>
        <v>0</v>
      </c>
      <c r="M308" s="224">
        <f>VLOOKUP(C308,'Talente &amp; Stuff'!GX:HY,11,FALSE)</f>
        <v>0</v>
      </c>
      <c r="N308" s="223">
        <f>VLOOKUP(C308,'Talente &amp; Stuff'!GX:HY,12,FALSE)</f>
        <v>0</v>
      </c>
      <c r="O308" s="223">
        <f>VLOOKUP(C308,'Talente &amp; Stuff'!GX:HY,13,FALSE)</f>
        <v>0</v>
      </c>
      <c r="P308" s="224">
        <f>VLOOKUP(C308,'Talente &amp; Stuff'!GX:HY,14,FALSE)</f>
        <v>0</v>
      </c>
      <c r="Q308" s="237">
        <f>VLOOKUP(C308,'Talente &amp; Stuff'!GX:HY,15,FALSE)</f>
        <v>0</v>
      </c>
      <c r="R308" s="234">
        <f>VLOOKUP(C308,'Talente &amp; Stuff'!GX:HY,16,FALSE)</f>
        <v>0</v>
      </c>
      <c r="S308" s="224">
        <f>VLOOKUP(C308,'Talente &amp; Stuff'!GX:HY,17,FALSE)</f>
        <v>0</v>
      </c>
      <c r="T308" s="224">
        <f>VLOOKUP(C308,'Talente &amp; Stuff'!GX:HY,18,FALSE)</f>
        <v>0</v>
      </c>
      <c r="U308" s="222">
        <f>VLOOKUP(C308,'Talente &amp; Stuff'!GX:HY,19,FALSE)</f>
        <v>0</v>
      </c>
      <c r="V308" s="223">
        <f>VLOOKUP(C308,'Talente &amp; Stuff'!GX:HY,20,FALSE)</f>
        <v>0</v>
      </c>
      <c r="W308" s="243">
        <f>VLOOKUP(C308,'Talente &amp; Stuff'!GX:HY,21,FALSE)</f>
        <v>0</v>
      </c>
      <c r="X308" s="243">
        <f>VLOOKUP(C308,'Talente &amp; Stuff'!GX:HY,22,FALSE)</f>
        <v>0</v>
      </c>
      <c r="Y308" s="252">
        <f>VLOOKUP(C308,Ausgewählte_Zauber_Zauberbarden,226,FALSE)</f>
        <v>0</v>
      </c>
      <c r="Z308" s="309">
        <f>VLOOKUP(C308,Ausgewählte_Zauber_Zauberbarden,227,FALSE)</f>
        <v>0</v>
      </c>
      <c r="AA308" s="218">
        <f>VLOOKUP(C308,'Talente &amp; Stuff'!GX:HY,25,FALSE)</f>
        <v>0</v>
      </c>
      <c r="AB308" s="242">
        <f>VLOOKUP(C308,'Talente &amp; Stuff'!GX:HY,26,FALSE)</f>
        <v>0</v>
      </c>
      <c r="AC308" s="243">
        <f>VLOOKUP(C308,'Talente &amp; Stuff'!GX:HY,27,FALSE)</f>
        <v>0</v>
      </c>
      <c r="AD308" s="218">
        <f>VLOOKUP(C308,'Talente &amp; Stuff'!GX:HY,28,FALSE)</f>
        <v>0</v>
      </c>
      <c r="AE308" s="343"/>
    </row>
    <row r="309" spans="1:31" s="217" customFormat="1" hidden="1" outlineLevel="2">
      <c r="A309" s="185"/>
      <c r="B309" s="217">
        <v>12</v>
      </c>
      <c r="C309" s="303" t="str">
        <f>Attribute!C309</f>
        <v>---</v>
      </c>
      <c r="D309" s="218" t="str">
        <f>VLOOKUP(C309,'Talente &amp; Stuff'!GX:HY,2,FALSE)</f>
        <v>--/--/--</v>
      </c>
      <c r="E309" s="243" t="str">
        <f>VLOOKUP(C309,'Talente &amp; Stuff'!GX:HY,3,FALSE)</f>
        <v>-</v>
      </c>
      <c r="F309" s="237">
        <f>VLOOKUP(C309,'Talente &amp; Stuff'!GX:HY,4,FALSE)</f>
        <v>0</v>
      </c>
      <c r="G309" s="234">
        <f>VLOOKUP(C309,'Talente &amp; Stuff'!GX:HY,5,FALSE)</f>
        <v>0</v>
      </c>
      <c r="H309" s="234">
        <f>VLOOKUP(C309,'Talente &amp; Stuff'!GX:HY,6,FALSE)</f>
        <v>0</v>
      </c>
      <c r="I309" s="234">
        <f>VLOOKUP(C309,'Talente &amp; Stuff'!GX:HY,7,FALSE)</f>
        <v>0</v>
      </c>
      <c r="J309" s="234">
        <f>VLOOKUP(C309,'Talente &amp; Stuff'!GX:HY,8,FALSE)</f>
        <v>0</v>
      </c>
      <c r="K309" s="234">
        <f>VLOOKUP(C309,'Talente &amp; Stuff'!GX:HY,9,FALSE)</f>
        <v>0</v>
      </c>
      <c r="L309" s="234">
        <f>VLOOKUP(C309,'Talente &amp; Stuff'!GX:HY,10,FALSE)</f>
        <v>0</v>
      </c>
      <c r="M309" s="224">
        <f>VLOOKUP(C309,'Talente &amp; Stuff'!GX:HY,11,FALSE)</f>
        <v>0</v>
      </c>
      <c r="N309" s="223">
        <f>VLOOKUP(C309,'Talente &amp; Stuff'!GX:HY,12,FALSE)</f>
        <v>0</v>
      </c>
      <c r="O309" s="223">
        <f>VLOOKUP(C309,'Talente &amp; Stuff'!GX:HY,13,FALSE)</f>
        <v>0</v>
      </c>
      <c r="P309" s="224">
        <f>VLOOKUP(C309,'Talente &amp; Stuff'!GX:HY,14,FALSE)</f>
        <v>0</v>
      </c>
      <c r="Q309" s="237">
        <f>VLOOKUP(C309,'Talente &amp; Stuff'!GX:HY,15,FALSE)</f>
        <v>0</v>
      </c>
      <c r="R309" s="234">
        <f>VLOOKUP(C309,'Talente &amp; Stuff'!GX:HY,16,FALSE)</f>
        <v>0</v>
      </c>
      <c r="S309" s="224">
        <f>VLOOKUP(C309,'Talente &amp; Stuff'!GX:HY,17,FALSE)</f>
        <v>0</v>
      </c>
      <c r="T309" s="224">
        <f>VLOOKUP(C309,'Talente &amp; Stuff'!GX:HY,18,FALSE)</f>
        <v>0</v>
      </c>
      <c r="U309" s="222">
        <f>VLOOKUP(C309,'Talente &amp; Stuff'!GX:HY,19,FALSE)</f>
        <v>0</v>
      </c>
      <c r="V309" s="223">
        <f>VLOOKUP(C309,'Talente &amp; Stuff'!GX:HY,20,FALSE)</f>
        <v>0</v>
      </c>
      <c r="W309" s="243">
        <f>VLOOKUP(C309,'Talente &amp; Stuff'!GX:HY,21,FALSE)</f>
        <v>0</v>
      </c>
      <c r="X309" s="243">
        <f>VLOOKUP(C309,'Talente &amp; Stuff'!GX:HY,22,FALSE)</f>
        <v>0</v>
      </c>
      <c r="Y309" s="252">
        <f>VLOOKUP(C309,Ausgewählte_Zauber_Zauberbarden,226,FALSE)</f>
        <v>0</v>
      </c>
      <c r="Z309" s="309">
        <f>VLOOKUP(C309,Ausgewählte_Zauber_Zauberbarden,227,FALSE)</f>
        <v>0</v>
      </c>
      <c r="AA309" s="218">
        <f>VLOOKUP(C309,'Talente &amp; Stuff'!GX:HY,25,FALSE)</f>
        <v>0</v>
      </c>
      <c r="AB309" s="242">
        <f>VLOOKUP(C309,'Talente &amp; Stuff'!GX:HY,26,FALSE)</f>
        <v>0</v>
      </c>
      <c r="AC309" s="243">
        <f>VLOOKUP(C309,'Talente &amp; Stuff'!GX:HY,27,FALSE)</f>
        <v>0</v>
      </c>
      <c r="AD309" s="218">
        <f>VLOOKUP(C309,'Talente &amp; Stuff'!GX:HY,28,FALSE)</f>
        <v>0</v>
      </c>
      <c r="AE309" s="343"/>
    </row>
    <row r="310" spans="1:31" s="217" customFormat="1" hidden="1" outlineLevel="2">
      <c r="A310" s="185"/>
      <c r="B310" s="217">
        <v>13</v>
      </c>
      <c r="C310" s="303" t="str">
        <f>Attribute!C310</f>
        <v>---</v>
      </c>
      <c r="D310" s="218" t="str">
        <f>VLOOKUP(C310,'Talente &amp; Stuff'!GX:HY,2,FALSE)</f>
        <v>--/--/--</v>
      </c>
      <c r="E310" s="243" t="str">
        <f>VLOOKUP(C310,'Talente &amp; Stuff'!GX:HY,3,FALSE)</f>
        <v>-</v>
      </c>
      <c r="F310" s="237">
        <f>VLOOKUP(C310,'Talente &amp; Stuff'!GX:HY,4,FALSE)</f>
        <v>0</v>
      </c>
      <c r="G310" s="234">
        <f>VLOOKUP(C310,'Talente &amp; Stuff'!GX:HY,5,FALSE)</f>
        <v>0</v>
      </c>
      <c r="H310" s="234">
        <f>VLOOKUP(C310,'Talente &amp; Stuff'!GX:HY,6,FALSE)</f>
        <v>0</v>
      </c>
      <c r="I310" s="234">
        <f>VLOOKUP(C310,'Talente &amp; Stuff'!GX:HY,7,FALSE)</f>
        <v>0</v>
      </c>
      <c r="J310" s="234">
        <f>VLOOKUP(C310,'Talente &amp; Stuff'!GX:HY,8,FALSE)</f>
        <v>0</v>
      </c>
      <c r="K310" s="234">
        <f>VLOOKUP(C310,'Talente &amp; Stuff'!GX:HY,9,FALSE)</f>
        <v>0</v>
      </c>
      <c r="L310" s="234">
        <f>VLOOKUP(C310,'Talente &amp; Stuff'!GX:HY,10,FALSE)</f>
        <v>0</v>
      </c>
      <c r="M310" s="224">
        <f>VLOOKUP(C310,'Talente &amp; Stuff'!GX:HY,11,FALSE)</f>
        <v>0</v>
      </c>
      <c r="N310" s="223">
        <f>VLOOKUP(C310,'Talente &amp; Stuff'!GX:HY,12,FALSE)</f>
        <v>0</v>
      </c>
      <c r="O310" s="223">
        <f>VLOOKUP(C310,'Talente &amp; Stuff'!GX:HY,13,FALSE)</f>
        <v>0</v>
      </c>
      <c r="P310" s="224">
        <f>VLOOKUP(C310,'Talente &amp; Stuff'!GX:HY,14,FALSE)</f>
        <v>0</v>
      </c>
      <c r="Q310" s="237">
        <f>VLOOKUP(C310,'Talente &amp; Stuff'!GX:HY,15,FALSE)</f>
        <v>0</v>
      </c>
      <c r="R310" s="234">
        <f>VLOOKUP(C310,'Talente &amp; Stuff'!GX:HY,16,FALSE)</f>
        <v>0</v>
      </c>
      <c r="S310" s="224">
        <f>VLOOKUP(C310,'Talente &amp; Stuff'!GX:HY,17,FALSE)</f>
        <v>0</v>
      </c>
      <c r="T310" s="224">
        <f>VLOOKUP(C310,'Talente &amp; Stuff'!GX:HY,18,FALSE)</f>
        <v>0</v>
      </c>
      <c r="U310" s="222">
        <f>VLOOKUP(C310,'Talente &amp; Stuff'!GX:HY,19,FALSE)</f>
        <v>0</v>
      </c>
      <c r="V310" s="223">
        <f>VLOOKUP(C310,'Talente &amp; Stuff'!GX:HY,20,FALSE)</f>
        <v>0</v>
      </c>
      <c r="W310" s="243">
        <f>VLOOKUP(C310,'Talente &amp; Stuff'!GX:HY,21,FALSE)</f>
        <v>0</v>
      </c>
      <c r="X310" s="243">
        <f>VLOOKUP(C310,'Talente &amp; Stuff'!GX:HY,22,FALSE)</f>
        <v>0</v>
      </c>
      <c r="Y310" s="252">
        <f>VLOOKUP(C310,Ausgewählte_Zauber_Zauberbarden,226,FALSE)</f>
        <v>0</v>
      </c>
      <c r="Z310" s="309">
        <f>VLOOKUP(C310,Ausgewählte_Zauber_Zauberbarden,227,FALSE)</f>
        <v>0</v>
      </c>
      <c r="AA310" s="218">
        <f>VLOOKUP(C310,'Talente &amp; Stuff'!GX:HY,25,FALSE)</f>
        <v>0</v>
      </c>
      <c r="AB310" s="242">
        <f>VLOOKUP(C310,'Talente &amp; Stuff'!GX:HY,26,FALSE)</f>
        <v>0</v>
      </c>
      <c r="AC310" s="243">
        <f>VLOOKUP(C310,'Talente &amp; Stuff'!GX:HY,27,FALSE)</f>
        <v>0</v>
      </c>
      <c r="AD310" s="218">
        <f>VLOOKUP(C310,'Talente &amp; Stuff'!GX:HY,28,FALSE)</f>
        <v>0</v>
      </c>
      <c r="AE310" s="343"/>
    </row>
    <row r="311" spans="1:31" s="217" customFormat="1" hidden="1" outlineLevel="2">
      <c r="A311" s="185"/>
      <c r="B311" s="217">
        <v>14</v>
      </c>
      <c r="C311" s="303" t="str">
        <f>Attribute!C311</f>
        <v>---</v>
      </c>
      <c r="D311" s="218" t="str">
        <f>VLOOKUP(C311,'Talente &amp; Stuff'!GX:HY,2,FALSE)</f>
        <v>--/--/--</v>
      </c>
      <c r="E311" s="243" t="str">
        <f>VLOOKUP(C311,'Talente &amp; Stuff'!GX:HY,3,FALSE)</f>
        <v>-</v>
      </c>
      <c r="F311" s="237">
        <f>VLOOKUP(C311,'Talente &amp; Stuff'!GX:HY,4,FALSE)</f>
        <v>0</v>
      </c>
      <c r="G311" s="234">
        <f>VLOOKUP(C311,'Talente &amp; Stuff'!GX:HY,5,FALSE)</f>
        <v>0</v>
      </c>
      <c r="H311" s="234">
        <f>VLOOKUP(C311,'Talente &amp; Stuff'!GX:HY,6,FALSE)</f>
        <v>0</v>
      </c>
      <c r="I311" s="234">
        <f>VLOOKUP(C311,'Talente &amp; Stuff'!GX:HY,7,FALSE)</f>
        <v>0</v>
      </c>
      <c r="J311" s="234">
        <f>VLOOKUP(C311,'Talente &amp; Stuff'!GX:HY,8,FALSE)</f>
        <v>0</v>
      </c>
      <c r="K311" s="234">
        <f>VLOOKUP(C311,'Talente &amp; Stuff'!GX:HY,9,FALSE)</f>
        <v>0</v>
      </c>
      <c r="L311" s="234">
        <f>VLOOKUP(C311,'Talente &amp; Stuff'!GX:HY,10,FALSE)</f>
        <v>0</v>
      </c>
      <c r="M311" s="224">
        <f>VLOOKUP(C311,'Talente &amp; Stuff'!GX:HY,11,FALSE)</f>
        <v>0</v>
      </c>
      <c r="N311" s="223">
        <f>VLOOKUP(C311,'Talente &amp; Stuff'!GX:HY,12,FALSE)</f>
        <v>0</v>
      </c>
      <c r="O311" s="223">
        <f>VLOOKUP(C311,'Talente &amp; Stuff'!GX:HY,13,FALSE)</f>
        <v>0</v>
      </c>
      <c r="P311" s="224">
        <f>VLOOKUP(C311,'Talente &amp; Stuff'!GX:HY,14,FALSE)</f>
        <v>0</v>
      </c>
      <c r="Q311" s="237">
        <f>VLOOKUP(C311,'Talente &amp; Stuff'!GX:HY,15,FALSE)</f>
        <v>0</v>
      </c>
      <c r="R311" s="234">
        <f>VLOOKUP(C311,'Talente &amp; Stuff'!GX:HY,16,FALSE)</f>
        <v>0</v>
      </c>
      <c r="S311" s="224">
        <f>VLOOKUP(C311,'Talente &amp; Stuff'!GX:HY,17,FALSE)</f>
        <v>0</v>
      </c>
      <c r="T311" s="224">
        <f>VLOOKUP(C311,'Talente &amp; Stuff'!GX:HY,18,FALSE)</f>
        <v>0</v>
      </c>
      <c r="U311" s="222">
        <f>VLOOKUP(C311,'Talente &amp; Stuff'!GX:HY,19,FALSE)</f>
        <v>0</v>
      </c>
      <c r="V311" s="223">
        <f>VLOOKUP(C311,'Talente &amp; Stuff'!GX:HY,20,FALSE)</f>
        <v>0</v>
      </c>
      <c r="W311" s="243">
        <f>VLOOKUP(C311,'Talente &amp; Stuff'!GX:HY,21,FALSE)</f>
        <v>0</v>
      </c>
      <c r="X311" s="243">
        <f>VLOOKUP(C311,'Talente &amp; Stuff'!GX:HY,22,FALSE)</f>
        <v>0</v>
      </c>
      <c r="Y311" s="252">
        <f>VLOOKUP(C311,Ausgewählte_Zauber_Zauberbarden,226,FALSE)</f>
        <v>0</v>
      </c>
      <c r="Z311" s="309">
        <f>VLOOKUP(C311,Ausgewählte_Zauber_Zauberbarden,227,FALSE)</f>
        <v>0</v>
      </c>
      <c r="AA311" s="218">
        <f>VLOOKUP(C311,'Talente &amp; Stuff'!GX:HY,25,FALSE)</f>
        <v>0</v>
      </c>
      <c r="AB311" s="242">
        <f>VLOOKUP(C311,'Talente &amp; Stuff'!GX:HY,26,FALSE)</f>
        <v>0</v>
      </c>
      <c r="AC311" s="243">
        <f>VLOOKUP(C311,'Talente &amp; Stuff'!GX:HY,27,FALSE)</f>
        <v>0</v>
      </c>
      <c r="AD311" s="218">
        <f>VLOOKUP(C311,'Talente &amp; Stuff'!GX:HY,28,FALSE)</f>
        <v>0</v>
      </c>
      <c r="AE311" s="343"/>
    </row>
    <row r="312" spans="1:31" s="217" customFormat="1" hidden="1" outlineLevel="2">
      <c r="A312" s="185"/>
      <c r="B312" s="217">
        <v>15</v>
      </c>
      <c r="C312" s="303" t="str">
        <f>Attribute!C312</f>
        <v>---</v>
      </c>
      <c r="D312" s="218" t="str">
        <f>VLOOKUP(C312,'Talente &amp; Stuff'!GX:HY,2,FALSE)</f>
        <v>--/--/--</v>
      </c>
      <c r="E312" s="243" t="str">
        <f>VLOOKUP(C312,'Talente &amp; Stuff'!GX:HY,3,FALSE)</f>
        <v>-</v>
      </c>
      <c r="F312" s="237">
        <f>VLOOKUP(C312,'Talente &amp; Stuff'!GX:HY,4,FALSE)</f>
        <v>0</v>
      </c>
      <c r="G312" s="234">
        <f>VLOOKUP(C312,'Talente &amp; Stuff'!GX:HY,5,FALSE)</f>
        <v>0</v>
      </c>
      <c r="H312" s="234">
        <f>VLOOKUP(C312,'Talente &amp; Stuff'!GX:HY,6,FALSE)</f>
        <v>0</v>
      </c>
      <c r="I312" s="234">
        <f>VLOOKUP(C312,'Talente &amp; Stuff'!GX:HY,7,FALSE)</f>
        <v>0</v>
      </c>
      <c r="J312" s="234">
        <f>VLOOKUP(C312,'Talente &amp; Stuff'!GX:HY,8,FALSE)</f>
        <v>0</v>
      </c>
      <c r="K312" s="234">
        <f>VLOOKUP(C312,'Talente &amp; Stuff'!GX:HY,9,FALSE)</f>
        <v>0</v>
      </c>
      <c r="L312" s="234">
        <f>VLOOKUP(C312,'Talente &amp; Stuff'!GX:HY,10,FALSE)</f>
        <v>0</v>
      </c>
      <c r="M312" s="224">
        <f>VLOOKUP(C312,'Talente &amp; Stuff'!GX:HY,11,FALSE)</f>
        <v>0</v>
      </c>
      <c r="N312" s="223">
        <f>VLOOKUP(C312,'Talente &amp; Stuff'!GX:HY,12,FALSE)</f>
        <v>0</v>
      </c>
      <c r="O312" s="223">
        <f>VLOOKUP(C312,'Talente &amp; Stuff'!GX:HY,13,FALSE)</f>
        <v>0</v>
      </c>
      <c r="P312" s="224">
        <f>VLOOKUP(C312,'Talente &amp; Stuff'!GX:HY,14,FALSE)</f>
        <v>0</v>
      </c>
      <c r="Q312" s="237">
        <f>VLOOKUP(C312,'Talente &amp; Stuff'!GX:HY,15,FALSE)</f>
        <v>0</v>
      </c>
      <c r="R312" s="234">
        <f>VLOOKUP(C312,'Talente &amp; Stuff'!GX:HY,16,FALSE)</f>
        <v>0</v>
      </c>
      <c r="S312" s="224">
        <f>VLOOKUP(C312,'Talente &amp; Stuff'!GX:HY,17,FALSE)</f>
        <v>0</v>
      </c>
      <c r="T312" s="224">
        <f>VLOOKUP(C312,'Talente &amp; Stuff'!GX:HY,18,FALSE)</f>
        <v>0</v>
      </c>
      <c r="U312" s="222">
        <f>VLOOKUP(C312,'Talente &amp; Stuff'!GX:HY,19,FALSE)</f>
        <v>0</v>
      </c>
      <c r="V312" s="223">
        <f>VLOOKUP(C312,'Talente &amp; Stuff'!GX:HY,20,FALSE)</f>
        <v>0</v>
      </c>
      <c r="W312" s="243">
        <f>VLOOKUP(C312,'Talente &amp; Stuff'!GX:HY,21,FALSE)</f>
        <v>0</v>
      </c>
      <c r="X312" s="243">
        <f>VLOOKUP(C312,'Talente &amp; Stuff'!GX:HY,22,FALSE)</f>
        <v>0</v>
      </c>
      <c r="Y312" s="252">
        <f>VLOOKUP(C312,Ausgewählte_Zauber_Zauberbarden,226,FALSE)</f>
        <v>0</v>
      </c>
      <c r="Z312" s="309">
        <f>VLOOKUP(C312,Ausgewählte_Zauber_Zauberbarden,227,FALSE)</f>
        <v>0</v>
      </c>
      <c r="AA312" s="218">
        <f>VLOOKUP(C312,'Talente &amp; Stuff'!GX:HY,25,FALSE)</f>
        <v>0</v>
      </c>
      <c r="AB312" s="242">
        <f>VLOOKUP(C312,'Talente &amp; Stuff'!GX:HY,26,FALSE)</f>
        <v>0</v>
      </c>
      <c r="AC312" s="243">
        <f>VLOOKUP(C312,'Talente &amp; Stuff'!GX:HY,27,FALSE)</f>
        <v>0</v>
      </c>
      <c r="AD312" s="218">
        <f>VLOOKUP(C312,'Talente &amp; Stuff'!GX:HY,28,FALSE)</f>
        <v>0</v>
      </c>
      <c r="AE312" s="343"/>
    </row>
    <row r="313" spans="1:31" s="217" customFormat="1" hidden="1" outlineLevel="2">
      <c r="A313" s="185"/>
      <c r="B313" s="217">
        <v>16</v>
      </c>
      <c r="C313" s="303" t="str">
        <f>Attribute!C313</f>
        <v>---</v>
      </c>
      <c r="D313" s="304" t="str">
        <f>VLOOKUP(C313,'Talente &amp; Stuff'!GX:HY,2,FALSE)</f>
        <v>--/--/--</v>
      </c>
      <c r="E313" s="305" t="str">
        <f>VLOOKUP(C313,'Talente &amp; Stuff'!GX:HY,3,FALSE)</f>
        <v>-</v>
      </c>
      <c r="F313" s="317">
        <f>VLOOKUP(C313,'Talente &amp; Stuff'!GX:HY,4,FALSE)</f>
        <v>0</v>
      </c>
      <c r="G313" s="254">
        <f>VLOOKUP(C313,'Talente &amp; Stuff'!GX:HY,5,FALSE)</f>
        <v>0</v>
      </c>
      <c r="H313" s="254">
        <f>VLOOKUP(C313,'Talente &amp; Stuff'!GX:HY,6,FALSE)</f>
        <v>0</v>
      </c>
      <c r="I313" s="254">
        <f>VLOOKUP(C313,'Talente &amp; Stuff'!GX:HY,7,FALSE)</f>
        <v>0</v>
      </c>
      <c r="J313" s="254">
        <f>VLOOKUP(C313,'Talente &amp; Stuff'!GX:HY,8,FALSE)</f>
        <v>0</v>
      </c>
      <c r="K313" s="254">
        <f>VLOOKUP(C313,'Talente &amp; Stuff'!GX:HY,9,FALSE)</f>
        <v>0</v>
      </c>
      <c r="L313" s="254">
        <f>VLOOKUP(C313,'Talente &amp; Stuff'!GX:HY,10,FALSE)</f>
        <v>0</v>
      </c>
      <c r="M313" s="318">
        <f>VLOOKUP(C313,'Talente &amp; Stuff'!GX:HY,11,FALSE)</f>
        <v>0</v>
      </c>
      <c r="N313" s="223">
        <f>VLOOKUP(C313,'Talente &amp; Stuff'!GX:HY,12,FALSE)</f>
        <v>0</v>
      </c>
      <c r="O313" s="223">
        <f>VLOOKUP(C313,'Talente &amp; Stuff'!GX:HY,13,FALSE)</f>
        <v>0</v>
      </c>
      <c r="P313" s="224">
        <f>VLOOKUP(C313,'Talente &amp; Stuff'!GX:HY,14,FALSE)</f>
        <v>0</v>
      </c>
      <c r="Q313" s="237">
        <f>VLOOKUP(C313,'Talente &amp; Stuff'!GX:HY,15,FALSE)</f>
        <v>0</v>
      </c>
      <c r="R313" s="254">
        <f>VLOOKUP(C313,'Talente &amp; Stuff'!GX:HY,16,FALSE)</f>
        <v>0</v>
      </c>
      <c r="S313" s="224">
        <f>VLOOKUP(C313,'Talente &amp; Stuff'!GX:HY,17,FALSE)</f>
        <v>0</v>
      </c>
      <c r="T313" s="224">
        <f>VLOOKUP(C313,'Talente &amp; Stuff'!GX:HY,18,FALSE)</f>
        <v>0</v>
      </c>
      <c r="U313" s="222">
        <f>VLOOKUP(C313,'Talente &amp; Stuff'!GX:HY,19,FALSE)</f>
        <v>0</v>
      </c>
      <c r="V313" s="223">
        <f>VLOOKUP(C313,'Talente &amp; Stuff'!GX:HY,20,FALSE)</f>
        <v>0</v>
      </c>
      <c r="W313" s="243">
        <f>VLOOKUP(C313,'Talente &amp; Stuff'!GX:HY,21,FALSE)</f>
        <v>0</v>
      </c>
      <c r="X313" s="243">
        <f>VLOOKUP(C313,'Talente &amp; Stuff'!GX:HY,22,FALSE)</f>
        <v>0</v>
      </c>
      <c r="Y313" s="252">
        <f>VLOOKUP(C313,Ausgewählte_Zauber_Zauberbarden,226,FALSE)</f>
        <v>0</v>
      </c>
      <c r="Z313" s="309">
        <f>VLOOKUP(C313,Ausgewählte_Zauber_Zauberbarden,227,FALSE)</f>
        <v>0</v>
      </c>
      <c r="AA313" s="218">
        <f>VLOOKUP(C313,'Talente &amp; Stuff'!GX:HY,25,FALSE)</f>
        <v>0</v>
      </c>
      <c r="AB313" s="242">
        <f>VLOOKUP(C313,'Talente &amp; Stuff'!GX:HY,26,FALSE)</f>
        <v>0</v>
      </c>
      <c r="AC313" s="243">
        <f>VLOOKUP(C313,'Talente &amp; Stuff'!GX:HY,27,FALSE)</f>
        <v>0</v>
      </c>
      <c r="AD313" s="218">
        <f>VLOOKUP(C313,'Talente &amp; Stuff'!GX:HY,28,FALSE)</f>
        <v>0</v>
      </c>
      <c r="AE313" s="343"/>
    </row>
    <row r="314" spans="1:31" s="217" customFormat="1" hidden="1" outlineLevel="2">
      <c r="A314" s="185"/>
      <c r="B314" s="217">
        <v>17</v>
      </c>
      <c r="C314" s="303" t="str">
        <f>Attribute!C314</f>
        <v>---</v>
      </c>
      <c r="D314" s="218" t="str">
        <f>VLOOKUP(C314,'Talente &amp; Stuff'!GX:HY,2,FALSE)</f>
        <v>--/--/--</v>
      </c>
      <c r="E314" s="243" t="str">
        <f>VLOOKUP(C314,'Talente &amp; Stuff'!GX:HY,3,FALSE)</f>
        <v>-</v>
      </c>
      <c r="F314" s="237">
        <f>VLOOKUP(C314,'Talente &amp; Stuff'!GX:HY,4,FALSE)</f>
        <v>0</v>
      </c>
      <c r="G314" s="234">
        <f>VLOOKUP(C314,'Talente &amp; Stuff'!GX:HY,5,FALSE)</f>
        <v>0</v>
      </c>
      <c r="H314" s="234">
        <f>VLOOKUP(C314,'Talente &amp; Stuff'!GX:HY,6,FALSE)</f>
        <v>0</v>
      </c>
      <c r="I314" s="234">
        <f>VLOOKUP(C314,'Talente &amp; Stuff'!GX:HY,7,FALSE)</f>
        <v>0</v>
      </c>
      <c r="J314" s="234">
        <f>VLOOKUP(C314,'Talente &amp; Stuff'!GX:HY,8,FALSE)</f>
        <v>0</v>
      </c>
      <c r="K314" s="234">
        <f>VLOOKUP(C314,'Talente &amp; Stuff'!GX:HY,9,FALSE)</f>
        <v>0</v>
      </c>
      <c r="L314" s="234">
        <f>VLOOKUP(C314,'Talente &amp; Stuff'!GX:HY,10,FALSE)</f>
        <v>0</v>
      </c>
      <c r="M314" s="224">
        <f>VLOOKUP(C314,'Talente &amp; Stuff'!GX:HY,11,FALSE)</f>
        <v>0</v>
      </c>
      <c r="N314" s="223">
        <f>VLOOKUP(C314,'Talente &amp; Stuff'!GX:HY,12,FALSE)</f>
        <v>0</v>
      </c>
      <c r="O314" s="223">
        <f>VLOOKUP(C314,'Talente &amp; Stuff'!GX:HY,13,FALSE)</f>
        <v>0</v>
      </c>
      <c r="P314" s="224">
        <f>VLOOKUP(C314,'Talente &amp; Stuff'!GX:HY,14,FALSE)</f>
        <v>0</v>
      </c>
      <c r="Q314" s="237">
        <f>VLOOKUP(C314,'Talente &amp; Stuff'!GX:HY,15,FALSE)</f>
        <v>0</v>
      </c>
      <c r="R314" s="234">
        <f>VLOOKUP(C314,'Talente &amp; Stuff'!GX:HY,16,FALSE)</f>
        <v>0</v>
      </c>
      <c r="S314" s="224">
        <f>VLOOKUP(C314,'Talente &amp; Stuff'!GX:HY,17,FALSE)</f>
        <v>0</v>
      </c>
      <c r="T314" s="224">
        <f>VLOOKUP(C314,'Talente &amp; Stuff'!GX:HY,18,FALSE)</f>
        <v>0</v>
      </c>
      <c r="U314" s="222">
        <f>VLOOKUP(C314,'Talente &amp; Stuff'!GX:HY,19,FALSE)</f>
        <v>0</v>
      </c>
      <c r="V314" s="223">
        <f>VLOOKUP(C314,'Talente &amp; Stuff'!GX:HY,20,FALSE)</f>
        <v>0</v>
      </c>
      <c r="W314" s="243">
        <f>VLOOKUP(C314,'Talente &amp; Stuff'!GX:HY,21,FALSE)</f>
        <v>0</v>
      </c>
      <c r="X314" s="243">
        <f>VLOOKUP(C314,'Talente &amp; Stuff'!GX:HY,22,FALSE)</f>
        <v>0</v>
      </c>
      <c r="Y314" s="252">
        <f>VLOOKUP(C314,Ausgewählte_Zauber_Zauberbarden,226,FALSE)</f>
        <v>0</v>
      </c>
      <c r="Z314" s="309">
        <f>VLOOKUP(C314,Ausgewählte_Zauber_Zauberbarden,227,FALSE)</f>
        <v>0</v>
      </c>
      <c r="AA314" s="218">
        <f>VLOOKUP(C314,'Talente &amp; Stuff'!GX:HY,25,FALSE)</f>
        <v>0</v>
      </c>
      <c r="AB314" s="242">
        <f>VLOOKUP(C314,'Talente &amp; Stuff'!GX:HY,26,FALSE)</f>
        <v>0</v>
      </c>
      <c r="AC314" s="243">
        <f>VLOOKUP(C314,'Talente &amp; Stuff'!GX:HY,27,FALSE)</f>
        <v>0</v>
      </c>
      <c r="AD314" s="218">
        <f>VLOOKUP(C314,'Talente &amp; Stuff'!GX:HY,28,FALSE)</f>
        <v>0</v>
      </c>
      <c r="AE314" s="343"/>
    </row>
    <row r="315" spans="1:31" s="217" customFormat="1" hidden="1" outlineLevel="2">
      <c r="A315" s="185"/>
      <c r="B315" s="217">
        <v>18</v>
      </c>
      <c r="C315" s="303" t="str">
        <f>Attribute!C315</f>
        <v>---</v>
      </c>
      <c r="D315" s="218" t="str">
        <f>VLOOKUP(C315,'Talente &amp; Stuff'!GX:HY,2,FALSE)</f>
        <v>--/--/--</v>
      </c>
      <c r="E315" s="243" t="str">
        <f>VLOOKUP(C315,'Talente &amp; Stuff'!GX:HY,3,FALSE)</f>
        <v>-</v>
      </c>
      <c r="F315" s="237">
        <f>VLOOKUP(C315,'Talente &amp; Stuff'!GX:HY,4,FALSE)</f>
        <v>0</v>
      </c>
      <c r="G315" s="234">
        <f>VLOOKUP(C315,'Talente &amp; Stuff'!GX:HY,5,FALSE)</f>
        <v>0</v>
      </c>
      <c r="H315" s="234">
        <f>VLOOKUP(C315,'Talente &amp; Stuff'!GX:HY,6,FALSE)</f>
        <v>0</v>
      </c>
      <c r="I315" s="234">
        <f>VLOOKUP(C315,'Talente &amp; Stuff'!GX:HY,7,FALSE)</f>
        <v>0</v>
      </c>
      <c r="J315" s="234">
        <f>VLOOKUP(C315,'Talente &amp; Stuff'!GX:HY,8,FALSE)</f>
        <v>0</v>
      </c>
      <c r="K315" s="234">
        <f>VLOOKUP(C315,'Talente &amp; Stuff'!GX:HY,9,FALSE)</f>
        <v>0</v>
      </c>
      <c r="L315" s="234">
        <f>VLOOKUP(C315,'Talente &amp; Stuff'!GX:HY,10,FALSE)</f>
        <v>0</v>
      </c>
      <c r="M315" s="224">
        <f>VLOOKUP(C315,'Talente &amp; Stuff'!GX:HY,11,FALSE)</f>
        <v>0</v>
      </c>
      <c r="N315" s="223">
        <f>VLOOKUP(C315,'Talente &amp; Stuff'!GX:HY,12,FALSE)</f>
        <v>0</v>
      </c>
      <c r="O315" s="223">
        <f>VLOOKUP(C315,'Talente &amp; Stuff'!GX:HY,13,FALSE)</f>
        <v>0</v>
      </c>
      <c r="P315" s="224">
        <f>VLOOKUP(C315,'Talente &amp; Stuff'!GX:HY,14,FALSE)</f>
        <v>0</v>
      </c>
      <c r="Q315" s="237">
        <f>VLOOKUP(C315,'Talente &amp; Stuff'!GX:HY,15,FALSE)</f>
        <v>0</v>
      </c>
      <c r="R315" s="234">
        <f>VLOOKUP(C315,'Talente &amp; Stuff'!GX:HY,16,FALSE)</f>
        <v>0</v>
      </c>
      <c r="S315" s="224">
        <f>VLOOKUP(C315,'Talente &amp; Stuff'!GX:HY,17,FALSE)</f>
        <v>0</v>
      </c>
      <c r="T315" s="224">
        <f>VLOOKUP(C315,'Talente &amp; Stuff'!GX:HY,18,FALSE)</f>
        <v>0</v>
      </c>
      <c r="U315" s="222">
        <f>VLOOKUP(C315,'Talente &amp; Stuff'!GX:HY,19,FALSE)</f>
        <v>0</v>
      </c>
      <c r="V315" s="223">
        <f>VLOOKUP(C315,'Talente &amp; Stuff'!GX:HY,20,FALSE)</f>
        <v>0</v>
      </c>
      <c r="W315" s="243">
        <f>VLOOKUP(C315,'Talente &amp; Stuff'!GX:HY,21,FALSE)</f>
        <v>0</v>
      </c>
      <c r="X315" s="243">
        <f>VLOOKUP(C315,'Talente &amp; Stuff'!GX:HY,22,FALSE)</f>
        <v>0</v>
      </c>
      <c r="Y315" s="252">
        <f>VLOOKUP(C315,Ausgewählte_Zauber_Zauberbarden,226,FALSE)</f>
        <v>0</v>
      </c>
      <c r="Z315" s="309">
        <f>VLOOKUP(C315,Ausgewählte_Zauber_Zauberbarden,227,FALSE)</f>
        <v>0</v>
      </c>
      <c r="AA315" s="218">
        <f>VLOOKUP(C315,'Talente &amp; Stuff'!GX:HY,25,FALSE)</f>
        <v>0</v>
      </c>
      <c r="AB315" s="242">
        <f>VLOOKUP(C315,'Talente &amp; Stuff'!GX:HY,26,FALSE)</f>
        <v>0</v>
      </c>
      <c r="AC315" s="243">
        <f>VLOOKUP(C315,'Talente &amp; Stuff'!GX:HY,27,FALSE)</f>
        <v>0</v>
      </c>
      <c r="AD315" s="218">
        <f>VLOOKUP(C315,'Talente &amp; Stuff'!GX:HY,28,FALSE)</f>
        <v>0</v>
      </c>
      <c r="AE315" s="343"/>
    </row>
    <row r="316" spans="1:31" s="217" customFormat="1" hidden="1" outlineLevel="2">
      <c r="A316" s="185"/>
      <c r="B316" s="217">
        <v>19</v>
      </c>
      <c r="C316" s="303" t="str">
        <f>Attribute!C316</f>
        <v>---</v>
      </c>
      <c r="D316" s="218" t="str">
        <f>VLOOKUP(C316,'Talente &amp; Stuff'!GX:HY,2,FALSE)</f>
        <v>--/--/--</v>
      </c>
      <c r="E316" s="243" t="str">
        <f>VLOOKUP(C316,'Talente &amp; Stuff'!GX:HY,3,FALSE)</f>
        <v>-</v>
      </c>
      <c r="F316" s="237">
        <f>VLOOKUP(C316,'Talente &amp; Stuff'!GX:HY,4,FALSE)</f>
        <v>0</v>
      </c>
      <c r="G316" s="234">
        <f>VLOOKUP(C316,'Talente &amp; Stuff'!GX:HY,5,FALSE)</f>
        <v>0</v>
      </c>
      <c r="H316" s="234">
        <f>VLOOKUP(C316,'Talente &amp; Stuff'!GX:HY,6,FALSE)</f>
        <v>0</v>
      </c>
      <c r="I316" s="234">
        <f>VLOOKUP(C316,'Talente &amp; Stuff'!GX:HY,7,FALSE)</f>
        <v>0</v>
      </c>
      <c r="J316" s="234">
        <f>VLOOKUP(C316,'Talente &amp; Stuff'!GX:HY,8,FALSE)</f>
        <v>0</v>
      </c>
      <c r="K316" s="234">
        <f>VLOOKUP(C316,'Talente &amp; Stuff'!GX:HY,9,FALSE)</f>
        <v>0</v>
      </c>
      <c r="L316" s="234">
        <f>VLOOKUP(C316,'Talente &amp; Stuff'!GX:HY,10,FALSE)</f>
        <v>0</v>
      </c>
      <c r="M316" s="224">
        <f>VLOOKUP(C316,'Talente &amp; Stuff'!GX:HY,11,FALSE)</f>
        <v>0</v>
      </c>
      <c r="N316" s="223">
        <f>VLOOKUP(C316,'Talente &amp; Stuff'!GX:HY,12,FALSE)</f>
        <v>0</v>
      </c>
      <c r="O316" s="223">
        <f>VLOOKUP(C316,'Talente &amp; Stuff'!GX:HY,13,FALSE)</f>
        <v>0</v>
      </c>
      <c r="P316" s="224">
        <f>VLOOKUP(C316,'Talente &amp; Stuff'!GX:HY,14,FALSE)</f>
        <v>0</v>
      </c>
      <c r="Q316" s="237">
        <f>VLOOKUP(C316,'Talente &amp; Stuff'!GX:HY,15,FALSE)</f>
        <v>0</v>
      </c>
      <c r="R316" s="234">
        <f>VLOOKUP(C316,'Talente &amp; Stuff'!GX:HY,16,FALSE)</f>
        <v>0</v>
      </c>
      <c r="S316" s="224">
        <f>VLOOKUP(C316,'Talente &amp; Stuff'!GX:HY,17,FALSE)</f>
        <v>0</v>
      </c>
      <c r="T316" s="224">
        <f>VLOOKUP(C316,'Talente &amp; Stuff'!GX:HY,18,FALSE)</f>
        <v>0</v>
      </c>
      <c r="U316" s="222">
        <f>VLOOKUP(C316,'Talente &amp; Stuff'!GX:HY,19,FALSE)</f>
        <v>0</v>
      </c>
      <c r="V316" s="223">
        <f>VLOOKUP(C316,'Talente &amp; Stuff'!GX:HY,20,FALSE)</f>
        <v>0</v>
      </c>
      <c r="W316" s="243">
        <f>VLOOKUP(C316,'Talente &amp; Stuff'!GX:HY,21,FALSE)</f>
        <v>0</v>
      </c>
      <c r="X316" s="243">
        <f>VLOOKUP(C316,'Talente &amp; Stuff'!GX:HY,22,FALSE)</f>
        <v>0</v>
      </c>
      <c r="Y316" s="252">
        <f>VLOOKUP(C316,Ausgewählte_Zauber_Zauberbarden,226,FALSE)</f>
        <v>0</v>
      </c>
      <c r="Z316" s="309">
        <f>VLOOKUP(C316,Ausgewählte_Zauber_Zauberbarden,227,FALSE)</f>
        <v>0</v>
      </c>
      <c r="AA316" s="218">
        <f>VLOOKUP(C316,'Talente &amp; Stuff'!GX:HY,25,FALSE)</f>
        <v>0</v>
      </c>
      <c r="AB316" s="242">
        <f>VLOOKUP(C316,'Talente &amp; Stuff'!GX:HY,26,FALSE)</f>
        <v>0</v>
      </c>
      <c r="AC316" s="243">
        <f>VLOOKUP(C316,'Talente &amp; Stuff'!GX:HY,27,FALSE)</f>
        <v>0</v>
      </c>
      <c r="AD316" s="218">
        <f>VLOOKUP(C316,'Talente &amp; Stuff'!GX:HY,28,FALSE)</f>
        <v>0</v>
      </c>
      <c r="AE316" s="343"/>
    </row>
    <row r="317" spans="1:31" s="217" customFormat="1" hidden="1" outlineLevel="2">
      <c r="A317" s="185"/>
      <c r="B317" s="217">
        <v>20</v>
      </c>
      <c r="C317" s="303" t="str">
        <f>Attribute!C317</f>
        <v>---</v>
      </c>
      <c r="D317" s="218" t="str">
        <f>VLOOKUP(C317,'Talente &amp; Stuff'!GX:HY,2,FALSE)</f>
        <v>--/--/--</v>
      </c>
      <c r="E317" s="243" t="str">
        <f>VLOOKUP(C317,'Talente &amp; Stuff'!GX:HY,3,FALSE)</f>
        <v>-</v>
      </c>
      <c r="F317" s="237">
        <f>VLOOKUP(C317,'Talente &amp; Stuff'!GX:HY,4,FALSE)</f>
        <v>0</v>
      </c>
      <c r="G317" s="234">
        <f>VLOOKUP(C317,'Talente &amp; Stuff'!GX:HY,5,FALSE)</f>
        <v>0</v>
      </c>
      <c r="H317" s="234">
        <f>VLOOKUP(C317,'Talente &amp; Stuff'!GX:HY,6,FALSE)</f>
        <v>0</v>
      </c>
      <c r="I317" s="234">
        <f>VLOOKUP(C317,'Talente &amp; Stuff'!GX:HY,7,FALSE)</f>
        <v>0</v>
      </c>
      <c r="J317" s="234">
        <f>VLOOKUP(C317,'Talente &amp; Stuff'!GX:HY,8,FALSE)</f>
        <v>0</v>
      </c>
      <c r="K317" s="234">
        <f>VLOOKUP(C317,'Talente &amp; Stuff'!GX:HY,9,FALSE)</f>
        <v>0</v>
      </c>
      <c r="L317" s="234">
        <f>VLOOKUP(C317,'Talente &amp; Stuff'!GX:HY,10,FALSE)</f>
        <v>0</v>
      </c>
      <c r="M317" s="224">
        <f>VLOOKUP(C317,'Talente &amp; Stuff'!GX:HY,11,FALSE)</f>
        <v>0</v>
      </c>
      <c r="N317" s="223">
        <f>VLOOKUP(C317,'Talente &amp; Stuff'!GX:HY,12,FALSE)</f>
        <v>0</v>
      </c>
      <c r="O317" s="223">
        <f>VLOOKUP(C317,'Talente &amp; Stuff'!GX:HY,13,FALSE)</f>
        <v>0</v>
      </c>
      <c r="P317" s="224">
        <f>VLOOKUP(C317,'Talente &amp; Stuff'!GX:HY,14,FALSE)</f>
        <v>0</v>
      </c>
      <c r="Q317" s="237">
        <f>VLOOKUP(C317,'Talente &amp; Stuff'!GX:HY,15,FALSE)</f>
        <v>0</v>
      </c>
      <c r="R317" s="234">
        <f>VLOOKUP(C317,'Talente &amp; Stuff'!GX:HY,16,FALSE)</f>
        <v>0</v>
      </c>
      <c r="S317" s="224">
        <f>VLOOKUP(C317,'Talente &amp; Stuff'!GX:HY,17,FALSE)</f>
        <v>0</v>
      </c>
      <c r="T317" s="224">
        <f>VLOOKUP(C317,'Talente &amp; Stuff'!GX:HY,18,FALSE)</f>
        <v>0</v>
      </c>
      <c r="U317" s="222">
        <f>VLOOKUP(C317,'Talente &amp; Stuff'!GX:HY,19,FALSE)</f>
        <v>0</v>
      </c>
      <c r="V317" s="223">
        <f>VLOOKUP(C317,'Talente &amp; Stuff'!GX:HY,20,FALSE)</f>
        <v>0</v>
      </c>
      <c r="W317" s="243">
        <f>VLOOKUP(C317,'Talente &amp; Stuff'!GX:HY,21,FALSE)</f>
        <v>0</v>
      </c>
      <c r="X317" s="243">
        <f>VLOOKUP(C317,'Talente &amp; Stuff'!GX:HY,22,FALSE)</f>
        <v>0</v>
      </c>
      <c r="Y317" s="252">
        <f>VLOOKUP(C317,Ausgewählte_Zauber_Zauberbarden,226,FALSE)</f>
        <v>0</v>
      </c>
      <c r="Z317" s="309">
        <f>VLOOKUP(C317,Ausgewählte_Zauber_Zauberbarden,227,FALSE)</f>
        <v>0</v>
      </c>
      <c r="AA317" s="218">
        <f>VLOOKUP(C317,'Talente &amp; Stuff'!GX:HY,25,FALSE)</f>
        <v>0</v>
      </c>
      <c r="AB317" s="242">
        <f>VLOOKUP(C317,'Talente &amp; Stuff'!GX:HY,26,FALSE)</f>
        <v>0</v>
      </c>
      <c r="AC317" s="243">
        <f>VLOOKUP(C317,'Talente &amp; Stuff'!GX:HY,27,FALSE)</f>
        <v>0</v>
      </c>
      <c r="AD317" s="218">
        <f>VLOOKUP(C317,'Talente &amp; Stuff'!GX:HY,28,FALSE)</f>
        <v>0</v>
      </c>
      <c r="AE317" s="343"/>
    </row>
    <row r="318" spans="1:31" s="217" customFormat="1" hidden="1" outlineLevel="2">
      <c r="A318" s="185"/>
      <c r="B318" s="217">
        <v>21</v>
      </c>
      <c r="C318" s="303" t="str">
        <f>Attribute!C318</f>
        <v>---</v>
      </c>
      <c r="D318" s="218" t="str">
        <f>VLOOKUP(C318,'Talente &amp; Stuff'!GX:HY,2,FALSE)</f>
        <v>--/--/--</v>
      </c>
      <c r="E318" s="243" t="str">
        <f>VLOOKUP(C318,'Talente &amp; Stuff'!GX:HY,3,FALSE)</f>
        <v>-</v>
      </c>
      <c r="F318" s="237">
        <f>VLOOKUP(C318,'Talente &amp; Stuff'!GX:HY,4,FALSE)</f>
        <v>0</v>
      </c>
      <c r="G318" s="234">
        <f>VLOOKUP(C318,'Talente &amp; Stuff'!GX:HY,5,FALSE)</f>
        <v>0</v>
      </c>
      <c r="H318" s="234">
        <f>VLOOKUP(C318,'Talente &amp; Stuff'!GX:HY,6,FALSE)</f>
        <v>0</v>
      </c>
      <c r="I318" s="234">
        <f>VLOOKUP(C318,'Talente &amp; Stuff'!GX:HY,7,FALSE)</f>
        <v>0</v>
      </c>
      <c r="J318" s="234">
        <f>VLOOKUP(C318,'Talente &amp; Stuff'!GX:HY,8,FALSE)</f>
        <v>0</v>
      </c>
      <c r="K318" s="234">
        <f>VLOOKUP(C318,'Talente &amp; Stuff'!GX:HY,9,FALSE)</f>
        <v>0</v>
      </c>
      <c r="L318" s="234">
        <f>VLOOKUP(C318,'Talente &amp; Stuff'!GX:HY,10,FALSE)</f>
        <v>0</v>
      </c>
      <c r="M318" s="224">
        <f>VLOOKUP(C318,'Talente &amp; Stuff'!GX:HY,11,FALSE)</f>
        <v>0</v>
      </c>
      <c r="N318" s="223">
        <f>VLOOKUP(C318,'Talente &amp; Stuff'!GX:HY,12,FALSE)</f>
        <v>0</v>
      </c>
      <c r="O318" s="223">
        <f>VLOOKUP(C318,'Talente &amp; Stuff'!GX:HY,13,FALSE)</f>
        <v>0</v>
      </c>
      <c r="P318" s="224">
        <f>VLOOKUP(C318,'Talente &amp; Stuff'!GX:HY,14,FALSE)</f>
        <v>0</v>
      </c>
      <c r="Q318" s="237">
        <f>VLOOKUP(C318,'Talente &amp; Stuff'!GX:HY,15,FALSE)</f>
        <v>0</v>
      </c>
      <c r="R318" s="234">
        <f>VLOOKUP(C318,'Talente &amp; Stuff'!GX:HY,16,FALSE)</f>
        <v>0</v>
      </c>
      <c r="S318" s="224">
        <f>VLOOKUP(C318,'Talente &amp; Stuff'!GX:HY,17,FALSE)</f>
        <v>0</v>
      </c>
      <c r="T318" s="224">
        <f>VLOOKUP(C318,'Talente &amp; Stuff'!GX:HY,18,FALSE)</f>
        <v>0</v>
      </c>
      <c r="U318" s="222">
        <f>VLOOKUP(C318,'Talente &amp; Stuff'!GX:HY,19,FALSE)</f>
        <v>0</v>
      </c>
      <c r="V318" s="223">
        <f>VLOOKUP(C318,'Talente &amp; Stuff'!GX:HY,20,FALSE)</f>
        <v>0</v>
      </c>
      <c r="W318" s="243">
        <f>VLOOKUP(C318,'Talente &amp; Stuff'!GX:HY,21,FALSE)</f>
        <v>0</v>
      </c>
      <c r="X318" s="243">
        <f>VLOOKUP(C318,'Talente &amp; Stuff'!GX:HY,22,FALSE)</f>
        <v>0</v>
      </c>
      <c r="Y318" s="252">
        <f>VLOOKUP(C318,Ausgewählte_Zauber_Zauberbarden,226,FALSE)</f>
        <v>0</v>
      </c>
      <c r="Z318" s="309">
        <f>VLOOKUP(C318,Ausgewählte_Zauber_Zauberbarden,227,FALSE)</f>
        <v>0</v>
      </c>
      <c r="AA318" s="218">
        <f>VLOOKUP(C318,'Talente &amp; Stuff'!GX:HY,25,FALSE)</f>
        <v>0</v>
      </c>
      <c r="AB318" s="242">
        <f>VLOOKUP(C318,'Talente &amp; Stuff'!GX:HY,26,FALSE)</f>
        <v>0</v>
      </c>
      <c r="AC318" s="243">
        <f>VLOOKUP(C318,'Talente &amp; Stuff'!GX:HY,27,FALSE)</f>
        <v>0</v>
      </c>
      <c r="AD318" s="218">
        <f>VLOOKUP(C318,'Talente &amp; Stuff'!GX:HY,28,FALSE)</f>
        <v>0</v>
      </c>
      <c r="AE318" s="343"/>
    </row>
    <row r="319" spans="1:31" s="217" customFormat="1" hidden="1" outlineLevel="2">
      <c r="A319" s="185"/>
      <c r="B319" s="217">
        <v>22</v>
      </c>
      <c r="C319" s="303" t="str">
        <f>Attribute!C319</f>
        <v>---</v>
      </c>
      <c r="D319" s="218" t="str">
        <f>VLOOKUP(C319,'Talente &amp; Stuff'!GX:HY,2,FALSE)</f>
        <v>--/--/--</v>
      </c>
      <c r="E319" s="243" t="str">
        <f>VLOOKUP(C319,'Talente &amp; Stuff'!GX:HY,3,FALSE)</f>
        <v>-</v>
      </c>
      <c r="F319" s="237">
        <f>VLOOKUP(C319,'Talente &amp; Stuff'!GX:HY,4,FALSE)</f>
        <v>0</v>
      </c>
      <c r="G319" s="234">
        <f>VLOOKUP(C319,'Talente &amp; Stuff'!GX:HY,5,FALSE)</f>
        <v>0</v>
      </c>
      <c r="H319" s="234">
        <f>VLOOKUP(C319,'Talente &amp; Stuff'!GX:HY,6,FALSE)</f>
        <v>0</v>
      </c>
      <c r="I319" s="234">
        <f>VLOOKUP(C319,'Talente &amp; Stuff'!GX:HY,7,FALSE)</f>
        <v>0</v>
      </c>
      <c r="J319" s="234">
        <f>VLOOKUP(C319,'Talente &amp; Stuff'!GX:HY,8,FALSE)</f>
        <v>0</v>
      </c>
      <c r="K319" s="234">
        <f>VLOOKUP(C319,'Talente &amp; Stuff'!GX:HY,9,FALSE)</f>
        <v>0</v>
      </c>
      <c r="L319" s="234">
        <f>VLOOKUP(C319,'Talente &amp; Stuff'!GX:HY,10,FALSE)</f>
        <v>0</v>
      </c>
      <c r="M319" s="224">
        <f>VLOOKUP(C319,'Talente &amp; Stuff'!GX:HY,11,FALSE)</f>
        <v>0</v>
      </c>
      <c r="N319" s="223">
        <f>VLOOKUP(C319,'Talente &amp; Stuff'!GX:HY,12,FALSE)</f>
        <v>0</v>
      </c>
      <c r="O319" s="223">
        <f>VLOOKUP(C319,'Talente &amp; Stuff'!GX:HY,13,FALSE)</f>
        <v>0</v>
      </c>
      <c r="P319" s="224">
        <f>VLOOKUP(C319,'Talente &amp; Stuff'!GX:HY,14,FALSE)</f>
        <v>0</v>
      </c>
      <c r="Q319" s="237">
        <f>VLOOKUP(C319,'Talente &amp; Stuff'!GX:HY,15,FALSE)</f>
        <v>0</v>
      </c>
      <c r="R319" s="234">
        <f>VLOOKUP(C319,'Talente &amp; Stuff'!GX:HY,16,FALSE)</f>
        <v>0</v>
      </c>
      <c r="S319" s="224">
        <f>VLOOKUP(C319,'Talente &amp; Stuff'!GX:HY,17,FALSE)</f>
        <v>0</v>
      </c>
      <c r="T319" s="224">
        <f>VLOOKUP(C319,'Talente &amp; Stuff'!GX:HY,18,FALSE)</f>
        <v>0</v>
      </c>
      <c r="U319" s="222">
        <f>VLOOKUP(C319,'Talente &amp; Stuff'!GX:HY,19,FALSE)</f>
        <v>0</v>
      </c>
      <c r="V319" s="223">
        <f>VLOOKUP(C319,'Talente &amp; Stuff'!GX:HY,20,FALSE)</f>
        <v>0</v>
      </c>
      <c r="W319" s="243">
        <f>VLOOKUP(C319,'Talente &amp; Stuff'!GX:HY,21,FALSE)</f>
        <v>0</v>
      </c>
      <c r="X319" s="243">
        <f>VLOOKUP(C319,'Talente &amp; Stuff'!GX:HY,22,FALSE)</f>
        <v>0</v>
      </c>
      <c r="Y319" s="252">
        <f>VLOOKUP(C319,Ausgewählte_Zauber_Zauberbarden,226,FALSE)</f>
        <v>0</v>
      </c>
      <c r="Z319" s="309">
        <f>VLOOKUP(C319,Ausgewählte_Zauber_Zauberbarden,227,FALSE)</f>
        <v>0</v>
      </c>
      <c r="AA319" s="218">
        <f>VLOOKUP(C319,'Talente &amp; Stuff'!GX:HY,25,FALSE)</f>
        <v>0</v>
      </c>
      <c r="AB319" s="242">
        <f>VLOOKUP(C319,'Talente &amp; Stuff'!GX:HY,26,FALSE)</f>
        <v>0</v>
      </c>
      <c r="AC319" s="243">
        <f>VLOOKUP(C319,'Talente &amp; Stuff'!GX:HY,27,FALSE)</f>
        <v>0</v>
      </c>
      <c r="AD319" s="218">
        <f>VLOOKUP(C319,'Talente &amp; Stuff'!GX:HY,28,FALSE)</f>
        <v>0</v>
      </c>
      <c r="AE319" s="343"/>
    </row>
    <row r="320" spans="1:31" s="217" customFormat="1" hidden="1" outlineLevel="2">
      <c r="A320" s="185"/>
      <c r="B320" s="217">
        <v>23</v>
      </c>
      <c r="C320" s="303" t="str">
        <f>Attribute!C320</f>
        <v>---</v>
      </c>
      <c r="D320" s="218" t="str">
        <f>VLOOKUP(C320,'Talente &amp; Stuff'!GX:HY,2,FALSE)</f>
        <v>--/--/--</v>
      </c>
      <c r="E320" s="243" t="str">
        <f>VLOOKUP(C320,'Talente &amp; Stuff'!GX:HY,3,FALSE)</f>
        <v>-</v>
      </c>
      <c r="F320" s="237">
        <f>VLOOKUP(C320,'Talente &amp; Stuff'!GX:HY,4,FALSE)</f>
        <v>0</v>
      </c>
      <c r="G320" s="234">
        <f>VLOOKUP(C320,'Talente &amp; Stuff'!GX:HY,5,FALSE)</f>
        <v>0</v>
      </c>
      <c r="H320" s="234">
        <f>VLOOKUP(C320,'Talente &amp; Stuff'!GX:HY,6,FALSE)</f>
        <v>0</v>
      </c>
      <c r="I320" s="234">
        <f>VLOOKUP(C320,'Talente &amp; Stuff'!GX:HY,7,FALSE)</f>
        <v>0</v>
      </c>
      <c r="J320" s="234">
        <f>VLOOKUP(C320,'Talente &amp; Stuff'!GX:HY,8,FALSE)</f>
        <v>0</v>
      </c>
      <c r="K320" s="234">
        <f>VLOOKUP(C320,'Talente &amp; Stuff'!GX:HY,9,FALSE)</f>
        <v>0</v>
      </c>
      <c r="L320" s="234">
        <f>VLOOKUP(C320,'Talente &amp; Stuff'!GX:HY,10,FALSE)</f>
        <v>0</v>
      </c>
      <c r="M320" s="224">
        <f>VLOOKUP(C320,'Talente &amp; Stuff'!GX:HY,11,FALSE)</f>
        <v>0</v>
      </c>
      <c r="N320" s="223">
        <f>VLOOKUP(C320,'Talente &amp; Stuff'!GX:HY,12,FALSE)</f>
        <v>0</v>
      </c>
      <c r="O320" s="223">
        <f>VLOOKUP(C320,'Talente &amp; Stuff'!GX:HY,13,FALSE)</f>
        <v>0</v>
      </c>
      <c r="P320" s="224">
        <f>VLOOKUP(C320,'Talente &amp; Stuff'!GX:HY,14,FALSE)</f>
        <v>0</v>
      </c>
      <c r="Q320" s="237">
        <f>VLOOKUP(C320,'Talente &amp; Stuff'!GX:HY,15,FALSE)</f>
        <v>0</v>
      </c>
      <c r="R320" s="234">
        <f>VLOOKUP(C320,'Talente &amp; Stuff'!GX:HY,16,FALSE)</f>
        <v>0</v>
      </c>
      <c r="S320" s="224">
        <f>VLOOKUP(C320,'Talente &amp; Stuff'!GX:HY,17,FALSE)</f>
        <v>0</v>
      </c>
      <c r="T320" s="224">
        <f>VLOOKUP(C320,'Talente &amp; Stuff'!GX:HY,18,FALSE)</f>
        <v>0</v>
      </c>
      <c r="U320" s="222">
        <f>VLOOKUP(C320,'Talente &amp; Stuff'!GX:HY,19,FALSE)</f>
        <v>0</v>
      </c>
      <c r="V320" s="223">
        <f>VLOOKUP(C320,'Talente &amp; Stuff'!GX:HY,20,FALSE)</f>
        <v>0</v>
      </c>
      <c r="W320" s="243">
        <f>VLOOKUP(C320,'Talente &amp; Stuff'!GX:HY,21,FALSE)</f>
        <v>0</v>
      </c>
      <c r="X320" s="243">
        <f>VLOOKUP(C320,'Talente &amp; Stuff'!GX:HY,22,FALSE)</f>
        <v>0</v>
      </c>
      <c r="Y320" s="252">
        <f>VLOOKUP(C320,Ausgewählte_Zauber_Zauberbarden,226,FALSE)</f>
        <v>0</v>
      </c>
      <c r="Z320" s="309">
        <f>VLOOKUP(C320,Ausgewählte_Zauber_Zauberbarden,227,FALSE)</f>
        <v>0</v>
      </c>
      <c r="AA320" s="218">
        <f>VLOOKUP(C320,'Talente &amp; Stuff'!GX:HY,25,FALSE)</f>
        <v>0</v>
      </c>
      <c r="AB320" s="242">
        <f>VLOOKUP(C320,'Talente &amp; Stuff'!GX:HY,26,FALSE)</f>
        <v>0</v>
      </c>
      <c r="AC320" s="243">
        <f>VLOOKUP(C320,'Talente &amp; Stuff'!GX:HY,27,FALSE)</f>
        <v>0</v>
      </c>
      <c r="AD320" s="218">
        <f>VLOOKUP(C320,'Talente &amp; Stuff'!GX:HY,28,FALSE)</f>
        <v>0</v>
      </c>
      <c r="AE320" s="343"/>
    </row>
    <row r="321" spans="1:31" s="217" customFormat="1" hidden="1" outlineLevel="2">
      <c r="A321" s="185"/>
      <c r="B321" s="217">
        <v>24</v>
      </c>
      <c r="C321" s="306" t="str">
        <f>Attribute!C321</f>
        <v>---</v>
      </c>
      <c r="D321" s="246" t="str">
        <f>VLOOKUP(C321,'Talente &amp; Stuff'!GX:HY,2,FALSE)</f>
        <v>--/--/--</v>
      </c>
      <c r="E321" s="245" t="str">
        <f>VLOOKUP(C321,'Talente &amp; Stuff'!GX:HY,3,FALSE)</f>
        <v>-</v>
      </c>
      <c r="F321" s="238">
        <f>VLOOKUP(C321,'Talente &amp; Stuff'!GX:HY,4,FALSE)</f>
        <v>0</v>
      </c>
      <c r="G321" s="235">
        <f>VLOOKUP(C321,'Talente &amp; Stuff'!GX:HY,5,FALSE)</f>
        <v>0</v>
      </c>
      <c r="H321" s="235">
        <f>VLOOKUP(C321,'Talente &amp; Stuff'!GX:HY,6,FALSE)</f>
        <v>0</v>
      </c>
      <c r="I321" s="235">
        <f>VLOOKUP(C321,'Talente &amp; Stuff'!GX:HY,7,FALSE)</f>
        <v>0</v>
      </c>
      <c r="J321" s="235">
        <f>VLOOKUP(C321,'Talente &amp; Stuff'!GX:HY,8,FALSE)</f>
        <v>0</v>
      </c>
      <c r="K321" s="235">
        <f>VLOOKUP(C321,'Talente &amp; Stuff'!GX:HY,9,FALSE)</f>
        <v>0</v>
      </c>
      <c r="L321" s="235">
        <f>VLOOKUP(C321,'Talente &amp; Stuff'!GX:HY,10,FALSE)</f>
        <v>0</v>
      </c>
      <c r="M321" s="227">
        <f>VLOOKUP(C321,'Talente &amp; Stuff'!GX:HY,11,FALSE)</f>
        <v>0</v>
      </c>
      <c r="N321" s="226">
        <f>VLOOKUP(C321,'Talente &amp; Stuff'!GX:HY,12,FALSE)</f>
        <v>0</v>
      </c>
      <c r="O321" s="226">
        <f>VLOOKUP(C321,'Talente &amp; Stuff'!GX:HY,13,FALSE)</f>
        <v>0</v>
      </c>
      <c r="P321" s="227">
        <f>VLOOKUP(C321,'Talente &amp; Stuff'!GX:HY,14,FALSE)</f>
        <v>0</v>
      </c>
      <c r="Q321" s="238">
        <f>VLOOKUP(C321,'Talente &amp; Stuff'!GX:HY,15,FALSE)</f>
        <v>0</v>
      </c>
      <c r="R321" s="235">
        <f>VLOOKUP(C321,'Talente &amp; Stuff'!GX:HY,16,FALSE)</f>
        <v>0</v>
      </c>
      <c r="S321" s="227">
        <f>VLOOKUP(C321,'Talente &amp; Stuff'!GX:HY,17,FALSE)</f>
        <v>0</v>
      </c>
      <c r="T321" s="227">
        <f>VLOOKUP(C321,'Talente &amp; Stuff'!GX:HY,18,FALSE)</f>
        <v>0</v>
      </c>
      <c r="U321" s="225">
        <f>VLOOKUP(C321,'Talente &amp; Stuff'!GX:HY,19,FALSE)</f>
        <v>0</v>
      </c>
      <c r="V321" s="226">
        <f>VLOOKUP(C321,'Talente &amp; Stuff'!GX:HY,20,FALSE)</f>
        <v>0</v>
      </c>
      <c r="W321" s="245">
        <f>VLOOKUP(C321,'Talente &amp; Stuff'!GX:HY,21,FALSE)</f>
        <v>0</v>
      </c>
      <c r="X321" s="245">
        <f>VLOOKUP(C321,'Talente &amp; Stuff'!GX:HY,22,FALSE)</f>
        <v>0</v>
      </c>
      <c r="Y321" s="252">
        <f>VLOOKUP(C321,Ausgewählte_Zauber_Zauberbarden,226,FALSE)</f>
        <v>0</v>
      </c>
      <c r="Z321" s="309">
        <f>VLOOKUP(C321,Ausgewählte_Zauber_Zauberbarden,227,FALSE)</f>
        <v>0</v>
      </c>
      <c r="AA321" s="246">
        <f>VLOOKUP(C321,'Talente &amp; Stuff'!GX:HY,25,FALSE)</f>
        <v>0</v>
      </c>
      <c r="AB321" s="244">
        <f>VLOOKUP(C321,'Talente &amp; Stuff'!GX:HY,26,FALSE)</f>
        <v>0</v>
      </c>
      <c r="AC321" s="245">
        <f>VLOOKUP(C321,'Talente &amp; Stuff'!GX:HY,27,FALSE)</f>
        <v>0</v>
      </c>
      <c r="AD321" s="246">
        <f>VLOOKUP(C321,'Talente &amp; Stuff'!GX:HY,28,FALSE)</f>
        <v>0</v>
      </c>
      <c r="AE321" s="343"/>
    </row>
    <row r="322" spans="1:31" s="217" customFormat="1" hidden="1" outlineLevel="1" collapsed="1">
      <c r="A322" s="185"/>
      <c r="B322" s="216" t="s">
        <v>446</v>
      </c>
      <c r="C322" s="307"/>
      <c r="D322" s="308"/>
      <c r="E322" s="308"/>
      <c r="Y322" s="251"/>
      <c r="Z322" s="251"/>
    </row>
    <row r="323" spans="1:31" s="217" customFormat="1" hidden="1" outlineLevel="2">
      <c r="A323" s="185"/>
      <c r="B323" s="217">
        <v>1</v>
      </c>
      <c r="C323" s="302" t="str">
        <f>Attribute!C323</f>
        <v>---</v>
      </c>
      <c r="D323" s="43" t="str">
        <f>VLOOKUP(C323,'Talente &amp; Stuff'!GX:HY,2,FALSE)</f>
        <v>--/--/--</v>
      </c>
      <c r="E323" s="42" t="str">
        <f>VLOOKUP(C323,'Talente &amp; Stuff'!GX:HY,3,FALSE)</f>
        <v>-</v>
      </c>
      <c r="F323" s="236">
        <f>VLOOKUP(C323,'Talente &amp; Stuff'!GX:HY,4,FALSE)</f>
        <v>0</v>
      </c>
      <c r="G323" s="233">
        <f>VLOOKUP(C323,'Talente &amp; Stuff'!GX:HY,5,FALSE)</f>
        <v>0</v>
      </c>
      <c r="H323" s="233">
        <f>VLOOKUP(C323,'Talente &amp; Stuff'!GX:HY,6,FALSE)</f>
        <v>0</v>
      </c>
      <c r="I323" s="233">
        <f>VLOOKUP(C323,'Talente &amp; Stuff'!GX:HY,7,FALSE)</f>
        <v>0</v>
      </c>
      <c r="J323" s="233">
        <f>VLOOKUP(C323,'Talente &amp; Stuff'!GX:HY,8,FALSE)</f>
        <v>0</v>
      </c>
      <c r="K323" s="233">
        <f>VLOOKUP(C323,'Talente &amp; Stuff'!GX:HY,9,FALSE)</f>
        <v>0</v>
      </c>
      <c r="L323" s="233">
        <f>VLOOKUP(C323,'Talente &amp; Stuff'!GX:HY,10,FALSE)</f>
        <v>0</v>
      </c>
      <c r="M323" s="221">
        <f>VLOOKUP(C323,'Talente &amp; Stuff'!GX:HY,11,FALSE)</f>
        <v>0</v>
      </c>
      <c r="N323" s="219">
        <f>VLOOKUP(C323,'Talente &amp; Stuff'!GX:HY,12,FALSE)</f>
        <v>0</v>
      </c>
      <c r="O323" s="220">
        <f>VLOOKUP(C323,'Talente &amp; Stuff'!GX:HY,13,FALSE)</f>
        <v>0</v>
      </c>
      <c r="P323" s="221">
        <f>VLOOKUP(C323,'Talente &amp; Stuff'!GX:HY,14,FALSE)</f>
        <v>0</v>
      </c>
      <c r="Q323" s="236">
        <f>VLOOKUP(C323,'Talente &amp; Stuff'!GX:HY,15,FALSE)</f>
        <v>0</v>
      </c>
      <c r="R323" s="316">
        <f>VLOOKUP(C323,'Talente &amp; Stuff'!GX:HY,16,FALSE)</f>
        <v>0</v>
      </c>
      <c r="S323" s="221">
        <f>VLOOKUP(C323,'Talente &amp; Stuff'!GX:HY,17,FALSE)</f>
        <v>0</v>
      </c>
      <c r="T323" s="78">
        <f>VLOOKUP(C323,'Talente &amp; Stuff'!GX:HY,18,FALSE)</f>
        <v>0</v>
      </c>
      <c r="U323" s="219">
        <f>VLOOKUP(C323,'Talente &amp; Stuff'!GX:HY,19,FALSE)</f>
        <v>0</v>
      </c>
      <c r="V323" s="220">
        <f>VLOOKUP(C323,'Talente &amp; Stuff'!GX:HY,20,FALSE)</f>
        <v>0</v>
      </c>
      <c r="W323" s="241">
        <f>VLOOKUP(C323,'Talente &amp; Stuff'!GX:HY,21,FALSE)</f>
        <v>0</v>
      </c>
      <c r="X323" s="42">
        <f>VLOOKUP(C323,'Talente &amp; Stuff'!GX:HY,22,FALSE)</f>
        <v>0</v>
      </c>
      <c r="Y323" s="252">
        <f>VLOOKUP(C323,Ausgewählte_Zauber_Zaubertänzer,226,FALSE)</f>
        <v>0</v>
      </c>
      <c r="Z323" s="309">
        <f>VLOOKUP(C323,Ausgewählte_Zauber_Zaubertänzer,227,FALSE)</f>
        <v>0</v>
      </c>
      <c r="AA323" s="42">
        <f>VLOOKUP(C323,'Talente &amp; Stuff'!GX:HY,25,FALSE)</f>
        <v>0</v>
      </c>
      <c r="AB323" s="78">
        <f>VLOOKUP(C323,'Talente &amp; Stuff'!GX:HY,26,FALSE)</f>
        <v>0</v>
      </c>
      <c r="AC323" s="42">
        <f>VLOOKUP(C323,'Talente &amp; Stuff'!GX:HY,27,FALSE)</f>
        <v>0</v>
      </c>
      <c r="AD323" s="42">
        <f>VLOOKUP(C323,'Talente &amp; Stuff'!GX:HY,28,FALSE)</f>
        <v>0</v>
      </c>
      <c r="AE323" s="343"/>
    </row>
    <row r="324" spans="1:31" s="217" customFormat="1" hidden="1" outlineLevel="2">
      <c r="A324" s="185"/>
      <c r="B324" s="217">
        <v>2</v>
      </c>
      <c r="C324" s="303" t="str">
        <f>Attribute!C324</f>
        <v>---</v>
      </c>
      <c r="D324" s="304" t="str">
        <f>VLOOKUP(C324,'Talente &amp; Stuff'!GX:HY,2,FALSE)</f>
        <v>--/--/--</v>
      </c>
      <c r="E324" s="304" t="str">
        <f>VLOOKUP(C324,'Talente &amp; Stuff'!GX:HY,3,FALSE)</f>
        <v>-</v>
      </c>
      <c r="F324" s="317">
        <f>VLOOKUP(C324,'Talente &amp; Stuff'!GX:HY,4,FALSE)</f>
        <v>0</v>
      </c>
      <c r="G324" s="254">
        <f>VLOOKUP(C324,'Talente &amp; Stuff'!GX:HY,5,FALSE)</f>
        <v>0</v>
      </c>
      <c r="H324" s="254">
        <f>VLOOKUP(C324,'Talente &amp; Stuff'!GX:HY,6,FALSE)</f>
        <v>0</v>
      </c>
      <c r="I324" s="254">
        <f>VLOOKUP(C324,'Talente &amp; Stuff'!GX:HY,7,FALSE)</f>
        <v>0</v>
      </c>
      <c r="J324" s="254">
        <f>VLOOKUP(C324,'Talente &amp; Stuff'!GX:HY,8,FALSE)</f>
        <v>0</v>
      </c>
      <c r="K324" s="254">
        <f>VLOOKUP(C324,'Talente &amp; Stuff'!GX:HY,9,FALSE)</f>
        <v>0</v>
      </c>
      <c r="L324" s="254">
        <f>VLOOKUP(C324,'Talente &amp; Stuff'!GX:HY,10,FALSE)</f>
        <v>0</v>
      </c>
      <c r="M324" s="318">
        <f>VLOOKUP(C324,'Talente &amp; Stuff'!GX:HY,11,FALSE)</f>
        <v>0</v>
      </c>
      <c r="N324" s="222">
        <f>VLOOKUP(C324,'Talente &amp; Stuff'!GX:HY,12,FALSE)</f>
        <v>0</v>
      </c>
      <c r="O324" s="223">
        <f>VLOOKUP(C324,'Talente &amp; Stuff'!GX:HY,13,FALSE)</f>
        <v>0</v>
      </c>
      <c r="P324" s="224">
        <f>VLOOKUP(C324,'Talente &amp; Stuff'!GX:HY,14,FALSE)</f>
        <v>0</v>
      </c>
      <c r="Q324" s="237">
        <f>VLOOKUP(C324,'Talente &amp; Stuff'!GX:HY,15,FALSE)</f>
        <v>0</v>
      </c>
      <c r="R324" s="254">
        <f>VLOOKUP(C324,'Talente &amp; Stuff'!GX:HY,16,FALSE)</f>
        <v>0</v>
      </c>
      <c r="S324" s="224">
        <f>VLOOKUP(C324,'Talente &amp; Stuff'!GX:HY,17,FALSE)</f>
        <v>0</v>
      </c>
      <c r="T324" s="242">
        <f>VLOOKUP(C324,'Talente &amp; Stuff'!GX:HY,18,FALSE)</f>
        <v>0</v>
      </c>
      <c r="U324" s="222">
        <f>VLOOKUP(C324,'Talente &amp; Stuff'!GX:HY,19,FALSE)</f>
        <v>0</v>
      </c>
      <c r="V324" s="223">
        <f>VLOOKUP(C324,'Talente &amp; Stuff'!GX:HY,20,FALSE)</f>
        <v>0</v>
      </c>
      <c r="W324" s="243">
        <f>VLOOKUP(C324,'Talente &amp; Stuff'!GX:HY,21,FALSE)</f>
        <v>0</v>
      </c>
      <c r="X324" s="218">
        <f>VLOOKUP(C324,'Talente &amp; Stuff'!GX:HY,22,FALSE)</f>
        <v>0</v>
      </c>
      <c r="Y324" s="252">
        <f>VLOOKUP(C324,Ausgewählte_Zauber_Zaubertänzer,226,FALSE)</f>
        <v>0</v>
      </c>
      <c r="Z324" s="309">
        <f>VLOOKUP(C324,Ausgewählte_Zauber_Zaubertänzer,227,FALSE)</f>
        <v>0</v>
      </c>
      <c r="AA324" s="218">
        <f>VLOOKUP(C324,'Talente &amp; Stuff'!GX:HY,25,FALSE)</f>
        <v>0</v>
      </c>
      <c r="AB324" s="242">
        <f>VLOOKUP(C324,'Talente &amp; Stuff'!GX:HY,26,FALSE)</f>
        <v>0</v>
      </c>
      <c r="AC324" s="218">
        <f>VLOOKUP(C324,'Talente &amp; Stuff'!GX:HY,27,FALSE)</f>
        <v>0</v>
      </c>
      <c r="AD324" s="218">
        <f>VLOOKUP(C324,'Talente &amp; Stuff'!GX:HY,28,FALSE)</f>
        <v>0</v>
      </c>
      <c r="AE324" s="343"/>
    </row>
    <row r="325" spans="1:31" s="217" customFormat="1" hidden="1" outlineLevel="2">
      <c r="A325" s="185"/>
      <c r="B325" s="217">
        <v>3</v>
      </c>
      <c r="C325" s="303" t="str">
        <f>Attribute!C325</f>
        <v>---</v>
      </c>
      <c r="D325" s="304" t="str">
        <f>VLOOKUP(C325,'Talente &amp; Stuff'!GX:HY,2,FALSE)</f>
        <v>--/--/--</v>
      </c>
      <c r="E325" s="304" t="str">
        <f>VLOOKUP(C325,'Talente &amp; Stuff'!GX:HY,3,FALSE)</f>
        <v>-</v>
      </c>
      <c r="F325" s="317">
        <f>VLOOKUP(C325,'Talente &amp; Stuff'!GX:HY,4,FALSE)</f>
        <v>0</v>
      </c>
      <c r="G325" s="254">
        <f>VLOOKUP(C325,'Talente &amp; Stuff'!GX:HY,5,FALSE)</f>
        <v>0</v>
      </c>
      <c r="H325" s="254">
        <f>VLOOKUP(C325,'Talente &amp; Stuff'!GX:HY,6,FALSE)</f>
        <v>0</v>
      </c>
      <c r="I325" s="254">
        <f>VLOOKUP(C325,'Talente &amp; Stuff'!GX:HY,7,FALSE)</f>
        <v>0</v>
      </c>
      <c r="J325" s="254">
        <f>VLOOKUP(C325,'Talente &amp; Stuff'!GX:HY,8,FALSE)</f>
        <v>0</v>
      </c>
      <c r="K325" s="254">
        <f>VLOOKUP(C325,'Talente &amp; Stuff'!GX:HY,9,FALSE)</f>
        <v>0</v>
      </c>
      <c r="L325" s="254">
        <f>VLOOKUP(C325,'Talente &amp; Stuff'!GX:HY,10,FALSE)</f>
        <v>0</v>
      </c>
      <c r="M325" s="318">
        <f>VLOOKUP(C325,'Talente &amp; Stuff'!GX:HY,11,FALSE)</f>
        <v>0</v>
      </c>
      <c r="N325" s="222">
        <f>VLOOKUP(C325,'Talente &amp; Stuff'!GX:HY,12,FALSE)</f>
        <v>0</v>
      </c>
      <c r="O325" s="223">
        <f>VLOOKUP(C325,'Talente &amp; Stuff'!GX:HY,13,FALSE)</f>
        <v>0</v>
      </c>
      <c r="P325" s="224">
        <f>VLOOKUP(C325,'Talente &amp; Stuff'!GX:HY,14,FALSE)</f>
        <v>0</v>
      </c>
      <c r="Q325" s="237">
        <f>VLOOKUP(C325,'Talente &amp; Stuff'!GX:HY,15,FALSE)</f>
        <v>0</v>
      </c>
      <c r="R325" s="254">
        <f>VLOOKUP(C325,'Talente &amp; Stuff'!GX:HY,16,FALSE)</f>
        <v>0</v>
      </c>
      <c r="S325" s="224">
        <f>VLOOKUP(C325,'Talente &amp; Stuff'!GX:HY,17,FALSE)</f>
        <v>0</v>
      </c>
      <c r="T325" s="242">
        <f>VLOOKUP(C325,'Talente &amp; Stuff'!GX:HY,18,FALSE)</f>
        <v>0</v>
      </c>
      <c r="U325" s="222">
        <f>VLOOKUP(C325,'Talente &amp; Stuff'!GX:HY,19,FALSE)</f>
        <v>0</v>
      </c>
      <c r="V325" s="223">
        <f>VLOOKUP(C325,'Talente &amp; Stuff'!GX:HY,20,FALSE)</f>
        <v>0</v>
      </c>
      <c r="W325" s="243">
        <f>VLOOKUP(C325,'Talente &amp; Stuff'!GX:HY,21,FALSE)</f>
        <v>0</v>
      </c>
      <c r="X325" s="218">
        <f>VLOOKUP(C325,'Talente &amp; Stuff'!GX:HY,22,FALSE)</f>
        <v>0</v>
      </c>
      <c r="Y325" s="252">
        <f>VLOOKUP(C325,Ausgewählte_Zauber_Zaubertänzer,226,FALSE)</f>
        <v>0</v>
      </c>
      <c r="Z325" s="309">
        <f>VLOOKUP(C325,Ausgewählte_Zauber_Zaubertänzer,227,FALSE)</f>
        <v>0</v>
      </c>
      <c r="AA325" s="218">
        <f>VLOOKUP(C325,'Talente &amp; Stuff'!GX:HY,25,FALSE)</f>
        <v>0</v>
      </c>
      <c r="AB325" s="242">
        <f>VLOOKUP(C325,'Talente &amp; Stuff'!GX:HY,26,FALSE)</f>
        <v>0</v>
      </c>
      <c r="AC325" s="218">
        <f>VLOOKUP(C325,'Talente &amp; Stuff'!GX:HY,27,FALSE)</f>
        <v>0</v>
      </c>
      <c r="AD325" s="218">
        <f>VLOOKUP(C325,'Talente &amp; Stuff'!GX:HY,28,FALSE)</f>
        <v>0</v>
      </c>
      <c r="AE325" s="343"/>
    </row>
    <row r="326" spans="1:31" s="217" customFormat="1" hidden="1" outlineLevel="2">
      <c r="A326" s="185"/>
      <c r="B326" s="217">
        <v>4</v>
      </c>
      <c r="C326" s="303" t="str">
        <f>Attribute!C326</f>
        <v>---</v>
      </c>
      <c r="D326" s="304" t="str">
        <f>VLOOKUP(C326,'Talente &amp; Stuff'!GX:HY,2,FALSE)</f>
        <v>--/--/--</v>
      </c>
      <c r="E326" s="304" t="str">
        <f>VLOOKUP(C326,'Talente &amp; Stuff'!GX:HY,3,FALSE)</f>
        <v>-</v>
      </c>
      <c r="F326" s="317">
        <f>VLOOKUP(C326,'Talente &amp; Stuff'!GX:HY,4,FALSE)</f>
        <v>0</v>
      </c>
      <c r="G326" s="254">
        <f>VLOOKUP(C326,'Talente &amp; Stuff'!GX:HY,5,FALSE)</f>
        <v>0</v>
      </c>
      <c r="H326" s="254">
        <f>VLOOKUP(C326,'Talente &amp; Stuff'!GX:HY,6,FALSE)</f>
        <v>0</v>
      </c>
      <c r="I326" s="254">
        <f>VLOOKUP(C326,'Talente &amp; Stuff'!GX:HY,7,FALSE)</f>
        <v>0</v>
      </c>
      <c r="J326" s="254">
        <f>VLOOKUP(C326,'Talente &amp; Stuff'!GX:HY,8,FALSE)</f>
        <v>0</v>
      </c>
      <c r="K326" s="254">
        <f>VLOOKUP(C326,'Talente &amp; Stuff'!GX:HY,9,FALSE)</f>
        <v>0</v>
      </c>
      <c r="L326" s="254">
        <f>VLOOKUP(C326,'Talente &amp; Stuff'!GX:HY,10,FALSE)</f>
        <v>0</v>
      </c>
      <c r="M326" s="318">
        <f>VLOOKUP(C326,'Talente &amp; Stuff'!GX:HY,11,FALSE)</f>
        <v>0</v>
      </c>
      <c r="N326" s="222">
        <f>VLOOKUP(C326,'Talente &amp; Stuff'!GX:HY,12,FALSE)</f>
        <v>0</v>
      </c>
      <c r="O326" s="223">
        <f>VLOOKUP(C326,'Talente &amp; Stuff'!GX:HY,13,FALSE)</f>
        <v>0</v>
      </c>
      <c r="P326" s="224">
        <f>VLOOKUP(C326,'Talente &amp; Stuff'!GX:HY,14,FALSE)</f>
        <v>0</v>
      </c>
      <c r="Q326" s="237">
        <f>VLOOKUP(C326,'Talente &amp; Stuff'!GX:HY,15,FALSE)</f>
        <v>0</v>
      </c>
      <c r="R326" s="254">
        <f>VLOOKUP(C326,'Talente &amp; Stuff'!GX:HY,16,FALSE)</f>
        <v>0</v>
      </c>
      <c r="S326" s="224">
        <f>VLOOKUP(C326,'Talente &amp; Stuff'!GX:HY,17,FALSE)</f>
        <v>0</v>
      </c>
      <c r="T326" s="242">
        <f>VLOOKUP(C326,'Talente &amp; Stuff'!GX:HY,18,FALSE)</f>
        <v>0</v>
      </c>
      <c r="U326" s="222">
        <f>VLOOKUP(C326,'Talente &amp; Stuff'!GX:HY,19,FALSE)</f>
        <v>0</v>
      </c>
      <c r="V326" s="223">
        <f>VLOOKUP(C326,'Talente &amp; Stuff'!GX:HY,20,FALSE)</f>
        <v>0</v>
      </c>
      <c r="W326" s="243">
        <f>VLOOKUP(C326,'Talente &amp; Stuff'!GX:HY,21,FALSE)</f>
        <v>0</v>
      </c>
      <c r="X326" s="218">
        <f>VLOOKUP(C326,'Talente &amp; Stuff'!GX:HY,22,FALSE)</f>
        <v>0</v>
      </c>
      <c r="Y326" s="252">
        <f>VLOOKUP(C326,Ausgewählte_Zauber_Zaubertänzer,226,FALSE)</f>
        <v>0</v>
      </c>
      <c r="Z326" s="309">
        <f>VLOOKUP(C326,Ausgewählte_Zauber_Zaubertänzer,227,FALSE)</f>
        <v>0</v>
      </c>
      <c r="AA326" s="218">
        <f>VLOOKUP(C326,'Talente &amp; Stuff'!GX:HY,25,FALSE)</f>
        <v>0</v>
      </c>
      <c r="AB326" s="242">
        <f>VLOOKUP(C326,'Talente &amp; Stuff'!GX:HY,26,FALSE)</f>
        <v>0</v>
      </c>
      <c r="AC326" s="218">
        <f>VLOOKUP(C326,'Talente &amp; Stuff'!GX:HY,27,FALSE)</f>
        <v>0</v>
      </c>
      <c r="AD326" s="218">
        <f>VLOOKUP(C326,'Talente &amp; Stuff'!GX:HY,28,FALSE)</f>
        <v>0</v>
      </c>
      <c r="AE326" s="343"/>
    </row>
    <row r="327" spans="1:31" s="217" customFormat="1" hidden="1" outlineLevel="2">
      <c r="A327" s="185"/>
      <c r="B327" s="217">
        <v>5</v>
      </c>
      <c r="C327" s="303" t="str">
        <f>Attribute!C327</f>
        <v>---</v>
      </c>
      <c r="D327" s="304" t="str">
        <f>VLOOKUP(C327,'Talente &amp; Stuff'!GX:HY,2,FALSE)</f>
        <v>--/--/--</v>
      </c>
      <c r="E327" s="304" t="str">
        <f>VLOOKUP(C327,'Talente &amp; Stuff'!GX:HY,3,FALSE)</f>
        <v>-</v>
      </c>
      <c r="F327" s="317">
        <f>VLOOKUP(C327,'Talente &amp; Stuff'!GX:HY,4,FALSE)</f>
        <v>0</v>
      </c>
      <c r="G327" s="254">
        <f>VLOOKUP(C327,'Talente &amp; Stuff'!GX:HY,5,FALSE)</f>
        <v>0</v>
      </c>
      <c r="H327" s="254">
        <f>VLOOKUP(C327,'Talente &amp; Stuff'!GX:HY,6,FALSE)</f>
        <v>0</v>
      </c>
      <c r="I327" s="254">
        <f>VLOOKUP(C327,'Talente &amp; Stuff'!GX:HY,7,FALSE)</f>
        <v>0</v>
      </c>
      <c r="J327" s="254">
        <f>VLOOKUP(C327,'Talente &amp; Stuff'!GX:HY,8,FALSE)</f>
        <v>0</v>
      </c>
      <c r="K327" s="254">
        <f>VLOOKUP(C327,'Talente &amp; Stuff'!GX:HY,9,FALSE)</f>
        <v>0</v>
      </c>
      <c r="L327" s="254">
        <f>VLOOKUP(C327,'Talente &amp; Stuff'!GX:HY,10,FALSE)</f>
        <v>0</v>
      </c>
      <c r="M327" s="318">
        <f>VLOOKUP(C327,'Talente &amp; Stuff'!GX:HY,11,FALSE)</f>
        <v>0</v>
      </c>
      <c r="N327" s="222">
        <f>VLOOKUP(C327,'Talente &amp; Stuff'!GX:HY,12,FALSE)</f>
        <v>0</v>
      </c>
      <c r="O327" s="223">
        <f>VLOOKUP(C327,'Talente &amp; Stuff'!GX:HY,13,FALSE)</f>
        <v>0</v>
      </c>
      <c r="P327" s="224">
        <f>VLOOKUP(C327,'Talente &amp; Stuff'!GX:HY,14,FALSE)</f>
        <v>0</v>
      </c>
      <c r="Q327" s="237">
        <f>VLOOKUP(C327,'Talente &amp; Stuff'!GX:HY,15,FALSE)</f>
        <v>0</v>
      </c>
      <c r="R327" s="254">
        <f>VLOOKUP(C327,'Talente &amp; Stuff'!GX:HY,16,FALSE)</f>
        <v>0</v>
      </c>
      <c r="S327" s="224">
        <f>VLOOKUP(C327,'Talente &amp; Stuff'!GX:HY,17,FALSE)</f>
        <v>0</v>
      </c>
      <c r="T327" s="242">
        <f>VLOOKUP(C327,'Talente &amp; Stuff'!GX:HY,18,FALSE)</f>
        <v>0</v>
      </c>
      <c r="U327" s="222">
        <f>VLOOKUP(C327,'Talente &amp; Stuff'!GX:HY,19,FALSE)</f>
        <v>0</v>
      </c>
      <c r="V327" s="223">
        <f>VLOOKUP(C327,'Talente &amp; Stuff'!GX:HY,20,FALSE)</f>
        <v>0</v>
      </c>
      <c r="W327" s="243">
        <f>VLOOKUP(C327,'Talente &amp; Stuff'!GX:HY,21,FALSE)</f>
        <v>0</v>
      </c>
      <c r="X327" s="218">
        <f>VLOOKUP(C327,'Talente &amp; Stuff'!GX:HY,22,FALSE)</f>
        <v>0</v>
      </c>
      <c r="Y327" s="252">
        <f>VLOOKUP(C327,Ausgewählte_Zauber_Zaubertänzer,226,FALSE)</f>
        <v>0</v>
      </c>
      <c r="Z327" s="309">
        <f>VLOOKUP(C327,Ausgewählte_Zauber_Zaubertänzer,227,FALSE)</f>
        <v>0</v>
      </c>
      <c r="AA327" s="218">
        <f>VLOOKUP(C327,'Talente &amp; Stuff'!GX:HY,25,FALSE)</f>
        <v>0</v>
      </c>
      <c r="AB327" s="242">
        <f>VLOOKUP(C327,'Talente &amp; Stuff'!GX:HY,26,FALSE)</f>
        <v>0</v>
      </c>
      <c r="AC327" s="218">
        <f>VLOOKUP(C327,'Talente &amp; Stuff'!GX:HY,27,FALSE)</f>
        <v>0</v>
      </c>
      <c r="AD327" s="218">
        <f>VLOOKUP(C327,'Talente &amp; Stuff'!GX:HY,28,FALSE)</f>
        <v>0</v>
      </c>
      <c r="AE327" s="343"/>
    </row>
    <row r="328" spans="1:31" s="217" customFormat="1" hidden="1" outlineLevel="2">
      <c r="A328" s="185"/>
      <c r="B328" s="217">
        <v>6</v>
      </c>
      <c r="C328" s="303" t="str">
        <f>Attribute!C328</f>
        <v>---</v>
      </c>
      <c r="D328" s="304" t="str">
        <f>VLOOKUP(C328,'Talente &amp; Stuff'!GX:HY,2,FALSE)</f>
        <v>--/--/--</v>
      </c>
      <c r="E328" s="304" t="str">
        <f>VLOOKUP(C328,'Talente &amp; Stuff'!GX:HY,3,FALSE)</f>
        <v>-</v>
      </c>
      <c r="F328" s="317">
        <f>VLOOKUP(C328,'Talente &amp; Stuff'!GX:HY,4,FALSE)</f>
        <v>0</v>
      </c>
      <c r="G328" s="254">
        <f>VLOOKUP(C328,'Talente &amp; Stuff'!GX:HY,5,FALSE)</f>
        <v>0</v>
      </c>
      <c r="H328" s="254">
        <f>VLOOKUP(C328,'Talente &amp; Stuff'!GX:HY,6,FALSE)</f>
        <v>0</v>
      </c>
      <c r="I328" s="254">
        <f>VLOOKUP(C328,'Talente &amp; Stuff'!GX:HY,7,FALSE)</f>
        <v>0</v>
      </c>
      <c r="J328" s="254">
        <f>VLOOKUP(C328,'Talente &amp; Stuff'!GX:HY,8,FALSE)</f>
        <v>0</v>
      </c>
      <c r="K328" s="254">
        <f>VLOOKUP(C328,'Talente &amp; Stuff'!GX:HY,9,FALSE)</f>
        <v>0</v>
      </c>
      <c r="L328" s="254">
        <f>VLOOKUP(C328,'Talente &amp; Stuff'!GX:HY,10,FALSE)</f>
        <v>0</v>
      </c>
      <c r="M328" s="318">
        <f>VLOOKUP(C328,'Talente &amp; Stuff'!GX:HY,11,FALSE)</f>
        <v>0</v>
      </c>
      <c r="N328" s="222">
        <f>VLOOKUP(C328,'Talente &amp; Stuff'!GX:HY,12,FALSE)</f>
        <v>0</v>
      </c>
      <c r="O328" s="223">
        <f>VLOOKUP(C328,'Talente &amp; Stuff'!GX:HY,13,FALSE)</f>
        <v>0</v>
      </c>
      <c r="P328" s="224">
        <f>VLOOKUP(C328,'Talente &amp; Stuff'!GX:HY,14,FALSE)</f>
        <v>0</v>
      </c>
      <c r="Q328" s="237">
        <f>VLOOKUP(C328,'Talente &amp; Stuff'!GX:HY,15,FALSE)</f>
        <v>0</v>
      </c>
      <c r="R328" s="254">
        <f>VLOOKUP(C328,'Talente &amp; Stuff'!GX:HY,16,FALSE)</f>
        <v>0</v>
      </c>
      <c r="S328" s="224">
        <f>VLOOKUP(C328,'Talente &amp; Stuff'!GX:HY,17,FALSE)</f>
        <v>0</v>
      </c>
      <c r="T328" s="242">
        <f>VLOOKUP(C328,'Talente &amp; Stuff'!GX:HY,18,FALSE)</f>
        <v>0</v>
      </c>
      <c r="U328" s="222">
        <f>VLOOKUP(C328,'Talente &amp; Stuff'!GX:HY,19,FALSE)</f>
        <v>0</v>
      </c>
      <c r="V328" s="223">
        <f>VLOOKUP(C328,'Talente &amp; Stuff'!GX:HY,20,FALSE)</f>
        <v>0</v>
      </c>
      <c r="W328" s="243">
        <f>VLOOKUP(C328,'Talente &amp; Stuff'!GX:HY,21,FALSE)</f>
        <v>0</v>
      </c>
      <c r="X328" s="218">
        <f>VLOOKUP(C328,'Talente &amp; Stuff'!GX:HY,22,FALSE)</f>
        <v>0</v>
      </c>
      <c r="Y328" s="252">
        <f>VLOOKUP(C328,Ausgewählte_Zauber_Zaubertänzer,226,FALSE)</f>
        <v>0</v>
      </c>
      <c r="Z328" s="309">
        <f>VLOOKUP(C328,Ausgewählte_Zauber_Zaubertänzer,227,FALSE)</f>
        <v>0</v>
      </c>
      <c r="AA328" s="218">
        <f>VLOOKUP(C328,'Talente &amp; Stuff'!GX:HY,25,FALSE)</f>
        <v>0</v>
      </c>
      <c r="AB328" s="242">
        <f>VLOOKUP(C328,'Talente &amp; Stuff'!GX:HY,26,FALSE)</f>
        <v>0</v>
      </c>
      <c r="AC328" s="218">
        <f>VLOOKUP(C328,'Talente &amp; Stuff'!GX:HY,27,FALSE)</f>
        <v>0</v>
      </c>
      <c r="AD328" s="218">
        <f>VLOOKUP(C328,'Talente &amp; Stuff'!GX:HY,28,FALSE)</f>
        <v>0</v>
      </c>
      <c r="AE328" s="343"/>
    </row>
    <row r="329" spans="1:31" s="217" customFormat="1" hidden="1" outlineLevel="2">
      <c r="A329" s="185"/>
      <c r="B329" s="217">
        <v>7</v>
      </c>
      <c r="C329" s="303" t="str">
        <f>Attribute!C329</f>
        <v>---</v>
      </c>
      <c r="D329" s="304" t="str">
        <f>VLOOKUP(C329,'Talente &amp; Stuff'!GX:HY,2,FALSE)</f>
        <v>--/--/--</v>
      </c>
      <c r="E329" s="304" t="str">
        <f>VLOOKUP(C329,'Talente &amp; Stuff'!GX:HY,3,FALSE)</f>
        <v>-</v>
      </c>
      <c r="F329" s="317">
        <f>VLOOKUP(C329,'Talente &amp; Stuff'!GX:HY,4,FALSE)</f>
        <v>0</v>
      </c>
      <c r="G329" s="254">
        <f>VLOOKUP(C329,'Talente &amp; Stuff'!GX:HY,5,FALSE)</f>
        <v>0</v>
      </c>
      <c r="H329" s="254">
        <f>VLOOKUP(C329,'Talente &amp; Stuff'!GX:HY,6,FALSE)</f>
        <v>0</v>
      </c>
      <c r="I329" s="254">
        <f>VLOOKUP(C329,'Talente &amp; Stuff'!GX:HY,7,FALSE)</f>
        <v>0</v>
      </c>
      <c r="J329" s="254">
        <f>VLOOKUP(C329,'Talente &amp; Stuff'!GX:HY,8,FALSE)</f>
        <v>0</v>
      </c>
      <c r="K329" s="254">
        <f>VLOOKUP(C329,'Talente &amp; Stuff'!GX:HY,9,FALSE)</f>
        <v>0</v>
      </c>
      <c r="L329" s="254">
        <f>VLOOKUP(C329,'Talente &amp; Stuff'!GX:HY,10,FALSE)</f>
        <v>0</v>
      </c>
      <c r="M329" s="318">
        <f>VLOOKUP(C329,'Talente &amp; Stuff'!GX:HY,11,FALSE)</f>
        <v>0</v>
      </c>
      <c r="N329" s="222">
        <f>VLOOKUP(C329,'Talente &amp; Stuff'!GX:HY,12,FALSE)</f>
        <v>0</v>
      </c>
      <c r="O329" s="223">
        <f>VLOOKUP(C329,'Talente &amp; Stuff'!GX:HY,13,FALSE)</f>
        <v>0</v>
      </c>
      <c r="P329" s="224">
        <f>VLOOKUP(C329,'Talente &amp; Stuff'!GX:HY,14,FALSE)</f>
        <v>0</v>
      </c>
      <c r="Q329" s="237">
        <f>VLOOKUP(C329,'Talente &amp; Stuff'!GX:HY,15,FALSE)</f>
        <v>0</v>
      </c>
      <c r="R329" s="254">
        <f>VLOOKUP(C329,'Talente &amp; Stuff'!GX:HY,16,FALSE)</f>
        <v>0</v>
      </c>
      <c r="S329" s="224">
        <f>VLOOKUP(C329,'Talente &amp; Stuff'!GX:HY,17,FALSE)</f>
        <v>0</v>
      </c>
      <c r="T329" s="242">
        <f>VLOOKUP(C329,'Talente &amp; Stuff'!GX:HY,18,FALSE)</f>
        <v>0</v>
      </c>
      <c r="U329" s="222">
        <f>VLOOKUP(C329,'Talente &amp; Stuff'!GX:HY,19,FALSE)</f>
        <v>0</v>
      </c>
      <c r="V329" s="223">
        <f>VLOOKUP(C329,'Talente &amp; Stuff'!GX:HY,20,FALSE)</f>
        <v>0</v>
      </c>
      <c r="W329" s="243">
        <f>VLOOKUP(C329,'Talente &amp; Stuff'!GX:HY,21,FALSE)</f>
        <v>0</v>
      </c>
      <c r="X329" s="218">
        <f>VLOOKUP(C329,'Talente &amp; Stuff'!GX:HY,22,FALSE)</f>
        <v>0</v>
      </c>
      <c r="Y329" s="252">
        <f>VLOOKUP(C329,Ausgewählte_Zauber_Zaubertänzer,226,FALSE)</f>
        <v>0</v>
      </c>
      <c r="Z329" s="309">
        <f>VLOOKUP(C329,Ausgewählte_Zauber_Zaubertänzer,227,FALSE)</f>
        <v>0</v>
      </c>
      <c r="AA329" s="218">
        <f>VLOOKUP(C329,'Talente &amp; Stuff'!GX:HY,25,FALSE)</f>
        <v>0</v>
      </c>
      <c r="AB329" s="242">
        <f>VLOOKUP(C329,'Talente &amp; Stuff'!GX:HY,26,FALSE)</f>
        <v>0</v>
      </c>
      <c r="AC329" s="218">
        <f>VLOOKUP(C329,'Talente &amp; Stuff'!GX:HY,27,FALSE)</f>
        <v>0</v>
      </c>
      <c r="AD329" s="218">
        <f>VLOOKUP(C329,'Talente &amp; Stuff'!GX:HY,28,FALSE)</f>
        <v>0</v>
      </c>
      <c r="AE329" s="343"/>
    </row>
    <row r="330" spans="1:31" s="217" customFormat="1" hidden="1" outlineLevel="2">
      <c r="A330" s="185"/>
      <c r="B330" s="217">
        <v>8</v>
      </c>
      <c r="C330" s="303" t="str">
        <f>Attribute!C330</f>
        <v>---</v>
      </c>
      <c r="D330" s="304" t="str">
        <f>VLOOKUP(C330,'Talente &amp; Stuff'!GX:HY,2,FALSE)</f>
        <v>--/--/--</v>
      </c>
      <c r="E330" s="304" t="str">
        <f>VLOOKUP(C330,'Talente &amp; Stuff'!GX:HY,3,FALSE)</f>
        <v>-</v>
      </c>
      <c r="F330" s="317">
        <f>VLOOKUP(C330,'Talente &amp; Stuff'!GX:HY,4,FALSE)</f>
        <v>0</v>
      </c>
      <c r="G330" s="254">
        <f>VLOOKUP(C330,'Talente &amp; Stuff'!GX:HY,5,FALSE)</f>
        <v>0</v>
      </c>
      <c r="H330" s="254">
        <f>VLOOKUP(C330,'Talente &amp; Stuff'!GX:HY,6,FALSE)</f>
        <v>0</v>
      </c>
      <c r="I330" s="254">
        <f>VLOOKUP(C330,'Talente &amp; Stuff'!GX:HY,7,FALSE)</f>
        <v>0</v>
      </c>
      <c r="J330" s="254">
        <f>VLOOKUP(C330,'Talente &amp; Stuff'!GX:HY,8,FALSE)</f>
        <v>0</v>
      </c>
      <c r="K330" s="254">
        <f>VLOOKUP(C330,'Talente &amp; Stuff'!GX:HY,9,FALSE)</f>
        <v>0</v>
      </c>
      <c r="L330" s="254">
        <f>VLOOKUP(C330,'Talente &amp; Stuff'!GX:HY,10,FALSE)</f>
        <v>0</v>
      </c>
      <c r="M330" s="318">
        <f>VLOOKUP(C330,'Talente &amp; Stuff'!GX:HY,11,FALSE)</f>
        <v>0</v>
      </c>
      <c r="N330" s="222">
        <f>VLOOKUP(C330,'Talente &amp; Stuff'!GX:HY,12,FALSE)</f>
        <v>0</v>
      </c>
      <c r="O330" s="223">
        <f>VLOOKUP(C330,'Talente &amp; Stuff'!GX:HY,13,FALSE)</f>
        <v>0</v>
      </c>
      <c r="P330" s="224">
        <f>VLOOKUP(C330,'Talente &amp; Stuff'!GX:HY,14,FALSE)</f>
        <v>0</v>
      </c>
      <c r="Q330" s="237">
        <f>VLOOKUP(C330,'Talente &amp; Stuff'!GX:HY,15,FALSE)</f>
        <v>0</v>
      </c>
      <c r="R330" s="254">
        <f>VLOOKUP(C330,'Talente &amp; Stuff'!GX:HY,16,FALSE)</f>
        <v>0</v>
      </c>
      <c r="S330" s="224">
        <f>VLOOKUP(C330,'Talente &amp; Stuff'!GX:HY,17,FALSE)</f>
        <v>0</v>
      </c>
      <c r="T330" s="242">
        <f>VLOOKUP(C330,'Talente &amp; Stuff'!GX:HY,18,FALSE)</f>
        <v>0</v>
      </c>
      <c r="U330" s="222">
        <f>VLOOKUP(C330,'Talente &amp; Stuff'!GX:HY,19,FALSE)</f>
        <v>0</v>
      </c>
      <c r="V330" s="223">
        <f>VLOOKUP(C330,'Talente &amp; Stuff'!GX:HY,20,FALSE)</f>
        <v>0</v>
      </c>
      <c r="W330" s="243">
        <f>VLOOKUP(C330,'Talente &amp; Stuff'!GX:HY,21,FALSE)</f>
        <v>0</v>
      </c>
      <c r="X330" s="218">
        <f>VLOOKUP(C330,'Talente &amp; Stuff'!GX:HY,22,FALSE)</f>
        <v>0</v>
      </c>
      <c r="Y330" s="252">
        <f>VLOOKUP(C330,Ausgewählte_Zauber_Zaubertänzer,226,FALSE)</f>
        <v>0</v>
      </c>
      <c r="Z330" s="309">
        <f>VLOOKUP(C330,Ausgewählte_Zauber_Zaubertänzer,227,FALSE)</f>
        <v>0</v>
      </c>
      <c r="AA330" s="218">
        <f>VLOOKUP(C330,'Talente &amp; Stuff'!GX:HY,25,FALSE)</f>
        <v>0</v>
      </c>
      <c r="AB330" s="242">
        <f>VLOOKUP(C330,'Talente &amp; Stuff'!GX:HY,26,FALSE)</f>
        <v>0</v>
      </c>
      <c r="AC330" s="218">
        <f>VLOOKUP(C330,'Talente &amp; Stuff'!GX:HY,27,FALSE)</f>
        <v>0</v>
      </c>
      <c r="AD330" s="218">
        <f>VLOOKUP(C330,'Talente &amp; Stuff'!GX:HY,28,FALSE)</f>
        <v>0</v>
      </c>
      <c r="AE330" s="343"/>
    </row>
    <row r="331" spans="1:31" s="217" customFormat="1" hidden="1" outlineLevel="2">
      <c r="A331" s="185"/>
      <c r="B331" s="217">
        <v>9</v>
      </c>
      <c r="C331" s="303" t="str">
        <f>Attribute!C331</f>
        <v>---</v>
      </c>
      <c r="D331" s="304" t="str">
        <f>VLOOKUP(C331,'Talente &amp; Stuff'!GX:HY,2,FALSE)</f>
        <v>--/--/--</v>
      </c>
      <c r="E331" s="304" t="str">
        <f>VLOOKUP(C331,'Talente &amp; Stuff'!GX:HY,3,FALSE)</f>
        <v>-</v>
      </c>
      <c r="F331" s="317">
        <f>VLOOKUP(C331,'Talente &amp; Stuff'!GX:HY,4,FALSE)</f>
        <v>0</v>
      </c>
      <c r="G331" s="254">
        <f>VLOOKUP(C331,'Talente &amp; Stuff'!GX:HY,5,FALSE)</f>
        <v>0</v>
      </c>
      <c r="H331" s="254">
        <f>VLOOKUP(C331,'Talente &amp; Stuff'!GX:HY,6,FALSE)</f>
        <v>0</v>
      </c>
      <c r="I331" s="254">
        <f>VLOOKUP(C331,'Talente &amp; Stuff'!GX:HY,7,FALSE)</f>
        <v>0</v>
      </c>
      <c r="J331" s="254">
        <f>VLOOKUP(C331,'Talente &amp; Stuff'!GX:HY,8,FALSE)</f>
        <v>0</v>
      </c>
      <c r="K331" s="254">
        <f>VLOOKUP(C331,'Talente &amp; Stuff'!GX:HY,9,FALSE)</f>
        <v>0</v>
      </c>
      <c r="L331" s="254">
        <f>VLOOKUP(C331,'Talente &amp; Stuff'!GX:HY,10,FALSE)</f>
        <v>0</v>
      </c>
      <c r="M331" s="318">
        <f>VLOOKUP(C331,'Talente &amp; Stuff'!GX:HY,11,FALSE)</f>
        <v>0</v>
      </c>
      <c r="N331" s="222">
        <f>VLOOKUP(C331,'Talente &amp; Stuff'!GX:HY,12,FALSE)</f>
        <v>0</v>
      </c>
      <c r="O331" s="223">
        <f>VLOOKUP(C331,'Talente &amp; Stuff'!GX:HY,13,FALSE)</f>
        <v>0</v>
      </c>
      <c r="P331" s="224">
        <f>VLOOKUP(C331,'Talente &amp; Stuff'!GX:HY,14,FALSE)</f>
        <v>0</v>
      </c>
      <c r="Q331" s="237">
        <f>VLOOKUP(C331,'Talente &amp; Stuff'!GX:HY,15,FALSE)</f>
        <v>0</v>
      </c>
      <c r="R331" s="254">
        <f>VLOOKUP(C331,'Talente &amp; Stuff'!GX:HY,16,FALSE)</f>
        <v>0</v>
      </c>
      <c r="S331" s="224">
        <f>VLOOKUP(C331,'Talente &amp; Stuff'!GX:HY,17,FALSE)</f>
        <v>0</v>
      </c>
      <c r="T331" s="242">
        <f>VLOOKUP(C331,'Talente &amp; Stuff'!GX:HY,18,FALSE)</f>
        <v>0</v>
      </c>
      <c r="U331" s="222">
        <f>VLOOKUP(C331,'Talente &amp; Stuff'!GX:HY,19,FALSE)</f>
        <v>0</v>
      </c>
      <c r="V331" s="223">
        <f>VLOOKUP(C331,'Talente &amp; Stuff'!GX:HY,20,FALSE)</f>
        <v>0</v>
      </c>
      <c r="W331" s="243">
        <f>VLOOKUP(C331,'Talente &amp; Stuff'!GX:HY,21,FALSE)</f>
        <v>0</v>
      </c>
      <c r="X331" s="218">
        <f>VLOOKUP(C331,'Talente &amp; Stuff'!GX:HY,22,FALSE)</f>
        <v>0</v>
      </c>
      <c r="Y331" s="252">
        <f>VLOOKUP(C331,Ausgewählte_Zauber_Zaubertänzer,226,FALSE)</f>
        <v>0</v>
      </c>
      <c r="Z331" s="309">
        <f>VLOOKUP(C331,Ausgewählte_Zauber_Zaubertänzer,227,FALSE)</f>
        <v>0</v>
      </c>
      <c r="AA331" s="218">
        <f>VLOOKUP(C331,'Talente &amp; Stuff'!GX:HY,25,FALSE)</f>
        <v>0</v>
      </c>
      <c r="AB331" s="242">
        <f>VLOOKUP(C331,'Talente &amp; Stuff'!GX:HY,26,FALSE)</f>
        <v>0</v>
      </c>
      <c r="AC331" s="218">
        <f>VLOOKUP(C331,'Talente &amp; Stuff'!GX:HY,27,FALSE)</f>
        <v>0</v>
      </c>
      <c r="AD331" s="218">
        <f>VLOOKUP(C331,'Talente &amp; Stuff'!GX:HY,28,FALSE)</f>
        <v>0</v>
      </c>
      <c r="AE331" s="343"/>
    </row>
    <row r="332" spans="1:31" s="217" customFormat="1" hidden="1" outlineLevel="2">
      <c r="A332" s="185"/>
      <c r="B332" s="217">
        <v>10</v>
      </c>
      <c r="C332" s="303" t="str">
        <f>Attribute!C332</f>
        <v>---</v>
      </c>
      <c r="D332" s="304" t="str">
        <f>VLOOKUP(C332,'Talente &amp; Stuff'!GX:HY,2,FALSE)</f>
        <v>--/--/--</v>
      </c>
      <c r="E332" s="304" t="str">
        <f>VLOOKUP(C332,'Talente &amp; Stuff'!GX:HY,3,FALSE)</f>
        <v>-</v>
      </c>
      <c r="F332" s="317">
        <f>VLOOKUP(C332,'Talente &amp; Stuff'!GX:HY,4,FALSE)</f>
        <v>0</v>
      </c>
      <c r="G332" s="254">
        <f>VLOOKUP(C332,'Talente &amp; Stuff'!GX:HY,5,FALSE)</f>
        <v>0</v>
      </c>
      <c r="H332" s="254">
        <f>VLOOKUP(C332,'Talente &amp; Stuff'!GX:HY,6,FALSE)</f>
        <v>0</v>
      </c>
      <c r="I332" s="254">
        <f>VLOOKUP(C332,'Talente &amp; Stuff'!GX:HY,7,FALSE)</f>
        <v>0</v>
      </c>
      <c r="J332" s="254">
        <f>VLOOKUP(C332,'Talente &amp; Stuff'!GX:HY,8,FALSE)</f>
        <v>0</v>
      </c>
      <c r="K332" s="254">
        <f>VLOOKUP(C332,'Talente &amp; Stuff'!GX:HY,9,FALSE)</f>
        <v>0</v>
      </c>
      <c r="L332" s="254">
        <f>VLOOKUP(C332,'Talente &amp; Stuff'!GX:HY,10,FALSE)</f>
        <v>0</v>
      </c>
      <c r="M332" s="318">
        <f>VLOOKUP(C332,'Talente &amp; Stuff'!GX:HY,11,FALSE)</f>
        <v>0</v>
      </c>
      <c r="N332" s="222">
        <f>VLOOKUP(C332,'Talente &amp; Stuff'!GX:HY,12,FALSE)</f>
        <v>0</v>
      </c>
      <c r="O332" s="223">
        <f>VLOOKUP(C332,'Talente &amp; Stuff'!GX:HY,13,FALSE)</f>
        <v>0</v>
      </c>
      <c r="P332" s="224">
        <f>VLOOKUP(C332,'Talente &amp; Stuff'!GX:HY,14,FALSE)</f>
        <v>0</v>
      </c>
      <c r="Q332" s="237">
        <f>VLOOKUP(C332,'Talente &amp; Stuff'!GX:HY,15,FALSE)</f>
        <v>0</v>
      </c>
      <c r="R332" s="254">
        <f>VLOOKUP(C332,'Talente &amp; Stuff'!GX:HY,16,FALSE)</f>
        <v>0</v>
      </c>
      <c r="S332" s="224">
        <f>VLOOKUP(C332,'Talente &amp; Stuff'!GX:HY,17,FALSE)</f>
        <v>0</v>
      </c>
      <c r="T332" s="242">
        <f>VLOOKUP(C332,'Talente &amp; Stuff'!GX:HY,18,FALSE)</f>
        <v>0</v>
      </c>
      <c r="U332" s="222">
        <f>VLOOKUP(C332,'Talente &amp; Stuff'!GX:HY,19,FALSE)</f>
        <v>0</v>
      </c>
      <c r="V332" s="223">
        <f>VLOOKUP(C332,'Talente &amp; Stuff'!GX:HY,20,FALSE)</f>
        <v>0</v>
      </c>
      <c r="W332" s="243">
        <f>VLOOKUP(C332,'Talente &amp; Stuff'!GX:HY,21,FALSE)</f>
        <v>0</v>
      </c>
      <c r="X332" s="218">
        <f>VLOOKUP(C332,'Talente &amp; Stuff'!GX:HY,22,FALSE)</f>
        <v>0</v>
      </c>
      <c r="Y332" s="252">
        <f>VLOOKUP(C332,Ausgewählte_Zauber_Zaubertänzer,226,FALSE)</f>
        <v>0</v>
      </c>
      <c r="Z332" s="309">
        <f>VLOOKUP(C332,Ausgewählte_Zauber_Zaubertänzer,227,FALSE)</f>
        <v>0</v>
      </c>
      <c r="AA332" s="218">
        <f>VLOOKUP(C332,'Talente &amp; Stuff'!GX:HY,25,FALSE)</f>
        <v>0</v>
      </c>
      <c r="AB332" s="242">
        <f>VLOOKUP(C332,'Talente &amp; Stuff'!GX:HY,26,FALSE)</f>
        <v>0</v>
      </c>
      <c r="AC332" s="218">
        <f>VLOOKUP(C332,'Talente &amp; Stuff'!GX:HY,27,FALSE)</f>
        <v>0</v>
      </c>
      <c r="AD332" s="218">
        <f>VLOOKUP(C332,'Talente &amp; Stuff'!GX:HY,28,FALSE)</f>
        <v>0</v>
      </c>
      <c r="AE332" s="343"/>
    </row>
    <row r="333" spans="1:31" s="217" customFormat="1" hidden="1" outlineLevel="2">
      <c r="A333" s="185"/>
      <c r="B333" s="217">
        <v>11</v>
      </c>
      <c r="C333" s="303" t="str">
        <f>Attribute!C333</f>
        <v>---</v>
      </c>
      <c r="D333" s="304" t="str">
        <f>VLOOKUP(C333,'Talente &amp; Stuff'!GX:HY,2,FALSE)</f>
        <v>--/--/--</v>
      </c>
      <c r="E333" s="304" t="str">
        <f>VLOOKUP(C333,'Talente &amp; Stuff'!GX:HY,3,FALSE)</f>
        <v>-</v>
      </c>
      <c r="F333" s="317">
        <f>VLOOKUP(C333,'Talente &amp; Stuff'!GX:HY,4,FALSE)</f>
        <v>0</v>
      </c>
      <c r="G333" s="254">
        <f>VLOOKUP(C333,'Talente &amp; Stuff'!GX:HY,5,FALSE)</f>
        <v>0</v>
      </c>
      <c r="H333" s="254">
        <f>VLOOKUP(C333,'Talente &amp; Stuff'!GX:HY,6,FALSE)</f>
        <v>0</v>
      </c>
      <c r="I333" s="254">
        <f>VLOOKUP(C333,'Talente &amp; Stuff'!GX:HY,7,FALSE)</f>
        <v>0</v>
      </c>
      <c r="J333" s="254">
        <f>VLOOKUP(C333,'Talente &amp; Stuff'!GX:HY,8,FALSE)</f>
        <v>0</v>
      </c>
      <c r="K333" s="254">
        <f>VLOOKUP(C333,'Talente &amp; Stuff'!GX:HY,9,FALSE)</f>
        <v>0</v>
      </c>
      <c r="L333" s="254">
        <f>VLOOKUP(C333,'Talente &amp; Stuff'!GX:HY,10,FALSE)</f>
        <v>0</v>
      </c>
      <c r="M333" s="318">
        <f>VLOOKUP(C333,'Talente &amp; Stuff'!GX:HY,11,FALSE)</f>
        <v>0</v>
      </c>
      <c r="N333" s="222">
        <f>VLOOKUP(C333,'Talente &amp; Stuff'!GX:HY,12,FALSE)</f>
        <v>0</v>
      </c>
      <c r="O333" s="223">
        <f>VLOOKUP(C333,'Talente &amp; Stuff'!GX:HY,13,FALSE)</f>
        <v>0</v>
      </c>
      <c r="P333" s="224">
        <f>VLOOKUP(C333,'Talente &amp; Stuff'!GX:HY,14,FALSE)</f>
        <v>0</v>
      </c>
      <c r="Q333" s="237">
        <f>VLOOKUP(C333,'Talente &amp; Stuff'!GX:HY,15,FALSE)</f>
        <v>0</v>
      </c>
      <c r="R333" s="254">
        <f>VLOOKUP(C333,'Talente &amp; Stuff'!GX:HY,16,FALSE)</f>
        <v>0</v>
      </c>
      <c r="S333" s="224">
        <f>VLOOKUP(C333,'Talente &amp; Stuff'!GX:HY,17,FALSE)</f>
        <v>0</v>
      </c>
      <c r="T333" s="242">
        <f>VLOOKUP(C333,'Talente &amp; Stuff'!GX:HY,18,FALSE)</f>
        <v>0</v>
      </c>
      <c r="U333" s="222">
        <f>VLOOKUP(C333,'Talente &amp; Stuff'!GX:HY,19,FALSE)</f>
        <v>0</v>
      </c>
      <c r="V333" s="223">
        <f>VLOOKUP(C333,'Talente &amp; Stuff'!GX:HY,20,FALSE)</f>
        <v>0</v>
      </c>
      <c r="W333" s="243">
        <f>VLOOKUP(C333,'Talente &amp; Stuff'!GX:HY,21,FALSE)</f>
        <v>0</v>
      </c>
      <c r="X333" s="218">
        <f>VLOOKUP(C333,'Talente &amp; Stuff'!GX:HY,22,FALSE)</f>
        <v>0</v>
      </c>
      <c r="Y333" s="252">
        <f>VLOOKUP(C333,Ausgewählte_Zauber_Zaubertänzer,226,FALSE)</f>
        <v>0</v>
      </c>
      <c r="Z333" s="309">
        <f>VLOOKUP(C333,Ausgewählte_Zauber_Zaubertänzer,227,FALSE)</f>
        <v>0</v>
      </c>
      <c r="AA333" s="218">
        <f>VLOOKUP(C333,'Talente &amp; Stuff'!GX:HY,25,FALSE)</f>
        <v>0</v>
      </c>
      <c r="AB333" s="242">
        <f>VLOOKUP(C333,'Talente &amp; Stuff'!GX:HY,26,FALSE)</f>
        <v>0</v>
      </c>
      <c r="AC333" s="218">
        <f>VLOOKUP(C333,'Talente &amp; Stuff'!GX:HY,27,FALSE)</f>
        <v>0</v>
      </c>
      <c r="AD333" s="218">
        <f>VLOOKUP(C333,'Talente &amp; Stuff'!GX:HY,28,FALSE)</f>
        <v>0</v>
      </c>
      <c r="AE333" s="343"/>
    </row>
    <row r="334" spans="1:31" s="217" customFormat="1" hidden="1" outlineLevel="2">
      <c r="A334" s="185"/>
      <c r="B334" s="217">
        <v>12</v>
      </c>
      <c r="C334" s="303" t="str">
        <f>Attribute!C334</f>
        <v>---</v>
      </c>
      <c r="D334" s="304" t="str">
        <f>VLOOKUP(C334,'Talente &amp; Stuff'!GX:HY,2,FALSE)</f>
        <v>--/--/--</v>
      </c>
      <c r="E334" s="304" t="str">
        <f>VLOOKUP(C334,'Talente &amp; Stuff'!GX:HY,3,FALSE)</f>
        <v>-</v>
      </c>
      <c r="F334" s="317">
        <f>VLOOKUP(C334,'Talente &amp; Stuff'!GX:HY,4,FALSE)</f>
        <v>0</v>
      </c>
      <c r="G334" s="254">
        <f>VLOOKUP(C334,'Talente &amp; Stuff'!GX:HY,5,FALSE)</f>
        <v>0</v>
      </c>
      <c r="H334" s="254">
        <f>VLOOKUP(C334,'Talente &amp; Stuff'!GX:HY,6,FALSE)</f>
        <v>0</v>
      </c>
      <c r="I334" s="254">
        <f>VLOOKUP(C334,'Talente &amp; Stuff'!GX:HY,7,FALSE)</f>
        <v>0</v>
      </c>
      <c r="J334" s="254">
        <f>VLOOKUP(C334,'Talente &amp; Stuff'!GX:HY,8,FALSE)</f>
        <v>0</v>
      </c>
      <c r="K334" s="254">
        <f>VLOOKUP(C334,'Talente &amp; Stuff'!GX:HY,9,FALSE)</f>
        <v>0</v>
      </c>
      <c r="L334" s="254">
        <f>VLOOKUP(C334,'Talente &amp; Stuff'!GX:HY,10,FALSE)</f>
        <v>0</v>
      </c>
      <c r="M334" s="318">
        <f>VLOOKUP(C334,'Talente &amp; Stuff'!GX:HY,11,FALSE)</f>
        <v>0</v>
      </c>
      <c r="N334" s="222">
        <f>VLOOKUP(C334,'Talente &amp; Stuff'!GX:HY,12,FALSE)</f>
        <v>0</v>
      </c>
      <c r="O334" s="223">
        <f>VLOOKUP(C334,'Talente &amp; Stuff'!GX:HY,13,FALSE)</f>
        <v>0</v>
      </c>
      <c r="P334" s="224">
        <f>VLOOKUP(C334,'Talente &amp; Stuff'!GX:HY,14,FALSE)</f>
        <v>0</v>
      </c>
      <c r="Q334" s="237">
        <f>VLOOKUP(C334,'Talente &amp; Stuff'!GX:HY,15,FALSE)</f>
        <v>0</v>
      </c>
      <c r="R334" s="254">
        <f>VLOOKUP(C334,'Talente &amp; Stuff'!GX:HY,16,FALSE)</f>
        <v>0</v>
      </c>
      <c r="S334" s="224">
        <f>VLOOKUP(C334,'Talente &amp; Stuff'!GX:HY,17,FALSE)</f>
        <v>0</v>
      </c>
      <c r="T334" s="242">
        <f>VLOOKUP(C334,'Talente &amp; Stuff'!GX:HY,18,FALSE)</f>
        <v>0</v>
      </c>
      <c r="U334" s="222">
        <f>VLOOKUP(C334,'Talente &amp; Stuff'!GX:HY,19,FALSE)</f>
        <v>0</v>
      </c>
      <c r="V334" s="223">
        <f>VLOOKUP(C334,'Talente &amp; Stuff'!GX:HY,20,FALSE)</f>
        <v>0</v>
      </c>
      <c r="W334" s="243">
        <f>VLOOKUP(C334,'Talente &amp; Stuff'!GX:HY,21,FALSE)</f>
        <v>0</v>
      </c>
      <c r="X334" s="218">
        <f>VLOOKUP(C334,'Talente &amp; Stuff'!GX:HY,22,FALSE)</f>
        <v>0</v>
      </c>
      <c r="Y334" s="252">
        <f>VLOOKUP(C334,Ausgewählte_Zauber_Zaubertänzer,226,FALSE)</f>
        <v>0</v>
      </c>
      <c r="Z334" s="309">
        <f>VLOOKUP(C334,Ausgewählte_Zauber_Zaubertänzer,227,FALSE)</f>
        <v>0</v>
      </c>
      <c r="AA334" s="218">
        <f>VLOOKUP(C334,'Talente &amp; Stuff'!GX:HY,25,FALSE)</f>
        <v>0</v>
      </c>
      <c r="AB334" s="242">
        <f>VLOOKUP(C334,'Talente &amp; Stuff'!GX:HY,26,FALSE)</f>
        <v>0</v>
      </c>
      <c r="AC334" s="218">
        <f>VLOOKUP(C334,'Talente &amp; Stuff'!GX:HY,27,FALSE)</f>
        <v>0</v>
      </c>
      <c r="AD334" s="218">
        <f>VLOOKUP(C334,'Talente &amp; Stuff'!GX:HY,28,FALSE)</f>
        <v>0</v>
      </c>
      <c r="AE334" s="343"/>
    </row>
    <row r="335" spans="1:31" s="217" customFormat="1" hidden="1" outlineLevel="2">
      <c r="A335" s="185"/>
      <c r="B335" s="217">
        <v>13</v>
      </c>
      <c r="C335" s="303" t="str">
        <f>Attribute!C335</f>
        <v>---</v>
      </c>
      <c r="D335" s="304" t="str">
        <f>VLOOKUP(C335,'Talente &amp; Stuff'!GX:HY,2,FALSE)</f>
        <v>--/--/--</v>
      </c>
      <c r="E335" s="304" t="str">
        <f>VLOOKUP(C335,'Talente &amp; Stuff'!GX:HY,3,FALSE)</f>
        <v>-</v>
      </c>
      <c r="F335" s="317">
        <f>VLOOKUP(C335,'Talente &amp; Stuff'!GX:HY,4,FALSE)</f>
        <v>0</v>
      </c>
      <c r="G335" s="254">
        <f>VLOOKUP(C335,'Talente &amp; Stuff'!GX:HY,5,FALSE)</f>
        <v>0</v>
      </c>
      <c r="H335" s="254">
        <f>VLOOKUP(C335,'Talente &amp; Stuff'!GX:HY,6,FALSE)</f>
        <v>0</v>
      </c>
      <c r="I335" s="254">
        <f>VLOOKUP(C335,'Talente &amp; Stuff'!GX:HY,7,FALSE)</f>
        <v>0</v>
      </c>
      <c r="J335" s="254">
        <f>VLOOKUP(C335,'Talente &amp; Stuff'!GX:HY,8,FALSE)</f>
        <v>0</v>
      </c>
      <c r="K335" s="254">
        <f>VLOOKUP(C335,'Talente &amp; Stuff'!GX:HY,9,FALSE)</f>
        <v>0</v>
      </c>
      <c r="L335" s="254">
        <f>VLOOKUP(C335,'Talente &amp; Stuff'!GX:HY,10,FALSE)</f>
        <v>0</v>
      </c>
      <c r="M335" s="318">
        <f>VLOOKUP(C335,'Talente &amp; Stuff'!GX:HY,11,FALSE)</f>
        <v>0</v>
      </c>
      <c r="N335" s="222">
        <f>VLOOKUP(C335,'Talente &amp; Stuff'!GX:HY,12,FALSE)</f>
        <v>0</v>
      </c>
      <c r="O335" s="223">
        <f>VLOOKUP(C335,'Talente &amp; Stuff'!GX:HY,13,FALSE)</f>
        <v>0</v>
      </c>
      <c r="P335" s="224">
        <f>VLOOKUP(C335,'Talente &amp; Stuff'!GX:HY,14,FALSE)</f>
        <v>0</v>
      </c>
      <c r="Q335" s="237">
        <f>VLOOKUP(C335,'Talente &amp; Stuff'!GX:HY,15,FALSE)</f>
        <v>0</v>
      </c>
      <c r="R335" s="254">
        <f>VLOOKUP(C335,'Talente &amp; Stuff'!GX:HY,16,FALSE)</f>
        <v>0</v>
      </c>
      <c r="S335" s="224">
        <f>VLOOKUP(C335,'Talente &amp; Stuff'!GX:HY,17,FALSE)</f>
        <v>0</v>
      </c>
      <c r="T335" s="242">
        <f>VLOOKUP(C335,'Talente &amp; Stuff'!GX:HY,18,FALSE)</f>
        <v>0</v>
      </c>
      <c r="U335" s="222">
        <f>VLOOKUP(C335,'Talente &amp; Stuff'!GX:HY,19,FALSE)</f>
        <v>0</v>
      </c>
      <c r="V335" s="223">
        <f>VLOOKUP(C335,'Talente &amp; Stuff'!GX:HY,20,FALSE)</f>
        <v>0</v>
      </c>
      <c r="W335" s="243">
        <f>VLOOKUP(C335,'Talente &amp; Stuff'!GX:HY,21,FALSE)</f>
        <v>0</v>
      </c>
      <c r="X335" s="218">
        <f>VLOOKUP(C335,'Talente &amp; Stuff'!GX:HY,22,FALSE)</f>
        <v>0</v>
      </c>
      <c r="Y335" s="252">
        <f>VLOOKUP(C335,Ausgewählte_Zauber_Zaubertänzer,226,FALSE)</f>
        <v>0</v>
      </c>
      <c r="Z335" s="309">
        <f>VLOOKUP(C335,Ausgewählte_Zauber_Zaubertänzer,227,FALSE)</f>
        <v>0</v>
      </c>
      <c r="AA335" s="218">
        <f>VLOOKUP(C335,'Talente &amp; Stuff'!GX:HY,25,FALSE)</f>
        <v>0</v>
      </c>
      <c r="AB335" s="242">
        <f>VLOOKUP(C335,'Talente &amp; Stuff'!GX:HY,26,FALSE)</f>
        <v>0</v>
      </c>
      <c r="AC335" s="218">
        <f>VLOOKUP(C335,'Talente &amp; Stuff'!GX:HY,27,FALSE)</f>
        <v>0</v>
      </c>
      <c r="AD335" s="218">
        <f>VLOOKUP(C335,'Talente &amp; Stuff'!GX:HY,28,FALSE)</f>
        <v>0</v>
      </c>
      <c r="AE335" s="343"/>
    </row>
    <row r="336" spans="1:31" s="217" customFormat="1" hidden="1" outlineLevel="2">
      <c r="A336" s="185"/>
      <c r="B336" s="217">
        <v>14</v>
      </c>
      <c r="C336" s="303" t="str">
        <f>Attribute!C336</f>
        <v>---</v>
      </c>
      <c r="D336" s="304" t="str">
        <f>VLOOKUP(C336,'Talente &amp; Stuff'!GX:HY,2,FALSE)</f>
        <v>--/--/--</v>
      </c>
      <c r="E336" s="304" t="str">
        <f>VLOOKUP(C336,'Talente &amp; Stuff'!GX:HY,3,FALSE)</f>
        <v>-</v>
      </c>
      <c r="F336" s="317">
        <f>VLOOKUP(C336,'Talente &amp; Stuff'!GX:HY,4,FALSE)</f>
        <v>0</v>
      </c>
      <c r="G336" s="254">
        <f>VLOOKUP(C336,'Talente &amp; Stuff'!GX:HY,5,FALSE)</f>
        <v>0</v>
      </c>
      <c r="H336" s="254">
        <f>VLOOKUP(C336,'Talente &amp; Stuff'!GX:HY,6,FALSE)</f>
        <v>0</v>
      </c>
      <c r="I336" s="254">
        <f>VLOOKUP(C336,'Talente &amp; Stuff'!GX:HY,7,FALSE)</f>
        <v>0</v>
      </c>
      <c r="J336" s="254">
        <f>VLOOKUP(C336,'Talente &amp; Stuff'!GX:HY,8,FALSE)</f>
        <v>0</v>
      </c>
      <c r="K336" s="254">
        <f>VLOOKUP(C336,'Talente &amp; Stuff'!GX:HY,9,FALSE)</f>
        <v>0</v>
      </c>
      <c r="L336" s="254">
        <f>VLOOKUP(C336,'Talente &amp; Stuff'!GX:HY,10,FALSE)</f>
        <v>0</v>
      </c>
      <c r="M336" s="318">
        <f>VLOOKUP(C336,'Talente &amp; Stuff'!GX:HY,11,FALSE)</f>
        <v>0</v>
      </c>
      <c r="N336" s="222">
        <f>VLOOKUP(C336,'Talente &amp; Stuff'!GX:HY,12,FALSE)</f>
        <v>0</v>
      </c>
      <c r="O336" s="223">
        <f>VLOOKUP(C336,'Talente &amp; Stuff'!GX:HY,13,FALSE)</f>
        <v>0</v>
      </c>
      <c r="P336" s="224">
        <f>VLOOKUP(C336,'Talente &amp; Stuff'!GX:HY,14,FALSE)</f>
        <v>0</v>
      </c>
      <c r="Q336" s="237">
        <f>VLOOKUP(C336,'Talente &amp; Stuff'!GX:HY,15,FALSE)</f>
        <v>0</v>
      </c>
      <c r="R336" s="254">
        <f>VLOOKUP(C336,'Talente &amp; Stuff'!GX:HY,16,FALSE)</f>
        <v>0</v>
      </c>
      <c r="S336" s="224">
        <f>VLOOKUP(C336,'Talente &amp; Stuff'!GX:HY,17,FALSE)</f>
        <v>0</v>
      </c>
      <c r="T336" s="242">
        <f>VLOOKUP(C336,'Talente &amp; Stuff'!GX:HY,18,FALSE)</f>
        <v>0</v>
      </c>
      <c r="U336" s="222">
        <f>VLOOKUP(C336,'Talente &amp; Stuff'!GX:HY,19,FALSE)</f>
        <v>0</v>
      </c>
      <c r="V336" s="223">
        <f>VLOOKUP(C336,'Talente &amp; Stuff'!GX:HY,20,FALSE)</f>
        <v>0</v>
      </c>
      <c r="W336" s="243">
        <f>VLOOKUP(C336,'Talente &amp; Stuff'!GX:HY,21,FALSE)</f>
        <v>0</v>
      </c>
      <c r="X336" s="218">
        <f>VLOOKUP(C336,'Talente &amp; Stuff'!GX:HY,22,FALSE)</f>
        <v>0</v>
      </c>
      <c r="Y336" s="252">
        <f>VLOOKUP(C336,Ausgewählte_Zauber_Zaubertänzer,226,FALSE)</f>
        <v>0</v>
      </c>
      <c r="Z336" s="309">
        <f>VLOOKUP(C336,Ausgewählte_Zauber_Zaubertänzer,227,FALSE)</f>
        <v>0</v>
      </c>
      <c r="AA336" s="218">
        <f>VLOOKUP(C336,'Talente &amp; Stuff'!GX:HY,25,FALSE)</f>
        <v>0</v>
      </c>
      <c r="AB336" s="242">
        <f>VLOOKUP(C336,'Talente &amp; Stuff'!GX:HY,26,FALSE)</f>
        <v>0</v>
      </c>
      <c r="AC336" s="218">
        <f>VLOOKUP(C336,'Talente &amp; Stuff'!GX:HY,27,FALSE)</f>
        <v>0</v>
      </c>
      <c r="AD336" s="218">
        <f>VLOOKUP(C336,'Talente &amp; Stuff'!GX:HY,28,FALSE)</f>
        <v>0</v>
      </c>
      <c r="AE336" s="343"/>
    </row>
    <row r="337" spans="1:31" s="217" customFormat="1" hidden="1" outlineLevel="2">
      <c r="A337" s="185"/>
      <c r="B337" s="217">
        <v>15</v>
      </c>
      <c r="C337" s="303" t="str">
        <f>Attribute!C337</f>
        <v>---</v>
      </c>
      <c r="D337" s="304" t="str">
        <f>VLOOKUP(C337,'Talente &amp; Stuff'!GX:HY,2,FALSE)</f>
        <v>--/--/--</v>
      </c>
      <c r="E337" s="304" t="str">
        <f>VLOOKUP(C337,'Talente &amp; Stuff'!GX:HY,3,FALSE)</f>
        <v>-</v>
      </c>
      <c r="F337" s="317">
        <f>VLOOKUP(C337,'Talente &amp; Stuff'!GX:HY,4,FALSE)</f>
        <v>0</v>
      </c>
      <c r="G337" s="254">
        <f>VLOOKUP(C337,'Talente &amp; Stuff'!GX:HY,5,FALSE)</f>
        <v>0</v>
      </c>
      <c r="H337" s="254">
        <f>VLOOKUP(C337,'Talente &amp; Stuff'!GX:HY,6,FALSE)</f>
        <v>0</v>
      </c>
      <c r="I337" s="254">
        <f>VLOOKUP(C337,'Talente &amp; Stuff'!GX:HY,7,FALSE)</f>
        <v>0</v>
      </c>
      <c r="J337" s="254">
        <f>VLOOKUP(C337,'Talente &amp; Stuff'!GX:HY,8,FALSE)</f>
        <v>0</v>
      </c>
      <c r="K337" s="254">
        <f>VLOOKUP(C337,'Talente &amp; Stuff'!GX:HY,9,FALSE)</f>
        <v>0</v>
      </c>
      <c r="L337" s="254">
        <f>VLOOKUP(C337,'Talente &amp; Stuff'!GX:HY,10,FALSE)</f>
        <v>0</v>
      </c>
      <c r="M337" s="318">
        <f>VLOOKUP(C337,'Talente &amp; Stuff'!GX:HY,11,FALSE)</f>
        <v>0</v>
      </c>
      <c r="N337" s="222">
        <f>VLOOKUP(C337,'Talente &amp; Stuff'!GX:HY,12,FALSE)</f>
        <v>0</v>
      </c>
      <c r="O337" s="223">
        <f>VLOOKUP(C337,'Talente &amp; Stuff'!GX:HY,13,FALSE)</f>
        <v>0</v>
      </c>
      <c r="P337" s="224">
        <f>VLOOKUP(C337,'Talente &amp; Stuff'!GX:HY,14,FALSE)</f>
        <v>0</v>
      </c>
      <c r="Q337" s="237">
        <f>VLOOKUP(C337,'Talente &amp; Stuff'!GX:HY,15,FALSE)</f>
        <v>0</v>
      </c>
      <c r="R337" s="254">
        <f>VLOOKUP(C337,'Talente &amp; Stuff'!GX:HY,16,FALSE)</f>
        <v>0</v>
      </c>
      <c r="S337" s="224">
        <f>VLOOKUP(C337,'Talente &amp; Stuff'!GX:HY,17,FALSE)</f>
        <v>0</v>
      </c>
      <c r="T337" s="242">
        <f>VLOOKUP(C337,'Talente &amp; Stuff'!GX:HY,18,FALSE)</f>
        <v>0</v>
      </c>
      <c r="U337" s="222">
        <f>VLOOKUP(C337,'Talente &amp; Stuff'!GX:HY,19,FALSE)</f>
        <v>0</v>
      </c>
      <c r="V337" s="223">
        <f>VLOOKUP(C337,'Talente &amp; Stuff'!GX:HY,20,FALSE)</f>
        <v>0</v>
      </c>
      <c r="W337" s="243">
        <f>VLOOKUP(C337,'Talente &amp; Stuff'!GX:HY,21,FALSE)</f>
        <v>0</v>
      </c>
      <c r="X337" s="218">
        <f>VLOOKUP(C337,'Talente &amp; Stuff'!GX:HY,22,FALSE)</f>
        <v>0</v>
      </c>
      <c r="Y337" s="252">
        <f>VLOOKUP(C337,Ausgewählte_Zauber_Zaubertänzer,226,FALSE)</f>
        <v>0</v>
      </c>
      <c r="Z337" s="309">
        <f>VLOOKUP(C337,Ausgewählte_Zauber_Zaubertänzer,227,FALSE)</f>
        <v>0</v>
      </c>
      <c r="AA337" s="218">
        <f>VLOOKUP(C337,'Talente &amp; Stuff'!GX:HY,25,FALSE)</f>
        <v>0</v>
      </c>
      <c r="AB337" s="242">
        <f>VLOOKUP(C337,'Talente &amp; Stuff'!GX:HY,26,FALSE)</f>
        <v>0</v>
      </c>
      <c r="AC337" s="218">
        <f>VLOOKUP(C337,'Talente &amp; Stuff'!GX:HY,27,FALSE)</f>
        <v>0</v>
      </c>
      <c r="AD337" s="218">
        <f>VLOOKUP(C337,'Talente &amp; Stuff'!GX:HY,28,FALSE)</f>
        <v>0</v>
      </c>
      <c r="AE337" s="343"/>
    </row>
    <row r="338" spans="1:31" s="217" customFormat="1" hidden="1" outlineLevel="2">
      <c r="A338" s="185"/>
      <c r="B338" s="217">
        <v>16</v>
      </c>
      <c r="C338" s="303" t="str">
        <f>Attribute!C338</f>
        <v>---</v>
      </c>
      <c r="D338" s="304" t="str">
        <f>VLOOKUP(C338,'Talente &amp; Stuff'!GX:HY,2,FALSE)</f>
        <v>--/--/--</v>
      </c>
      <c r="E338" s="304" t="str">
        <f>VLOOKUP(C338,'Talente &amp; Stuff'!GX:HY,3,FALSE)</f>
        <v>-</v>
      </c>
      <c r="F338" s="317">
        <f>VLOOKUP(C338,'Talente &amp; Stuff'!GX:HY,4,FALSE)</f>
        <v>0</v>
      </c>
      <c r="G338" s="254">
        <f>VLOOKUP(C338,'Talente &amp; Stuff'!GX:HY,5,FALSE)</f>
        <v>0</v>
      </c>
      <c r="H338" s="254">
        <f>VLOOKUP(C338,'Talente &amp; Stuff'!GX:HY,6,FALSE)</f>
        <v>0</v>
      </c>
      <c r="I338" s="254">
        <f>VLOOKUP(C338,'Talente &amp; Stuff'!GX:HY,7,FALSE)</f>
        <v>0</v>
      </c>
      <c r="J338" s="254">
        <f>VLOOKUP(C338,'Talente &amp; Stuff'!GX:HY,8,FALSE)</f>
        <v>0</v>
      </c>
      <c r="K338" s="254">
        <f>VLOOKUP(C338,'Talente &amp; Stuff'!GX:HY,9,FALSE)</f>
        <v>0</v>
      </c>
      <c r="L338" s="254">
        <f>VLOOKUP(C338,'Talente &amp; Stuff'!GX:HY,10,FALSE)</f>
        <v>0</v>
      </c>
      <c r="M338" s="318">
        <f>VLOOKUP(C338,'Talente &amp; Stuff'!GX:HY,11,FALSE)</f>
        <v>0</v>
      </c>
      <c r="N338" s="222">
        <f>VLOOKUP(C338,'Talente &amp; Stuff'!GX:HY,12,FALSE)</f>
        <v>0</v>
      </c>
      <c r="O338" s="223">
        <f>VLOOKUP(C338,'Talente &amp; Stuff'!GX:HY,13,FALSE)</f>
        <v>0</v>
      </c>
      <c r="P338" s="224">
        <f>VLOOKUP(C338,'Talente &amp; Stuff'!GX:HY,14,FALSE)</f>
        <v>0</v>
      </c>
      <c r="Q338" s="237">
        <f>VLOOKUP(C338,'Talente &amp; Stuff'!GX:HY,15,FALSE)</f>
        <v>0</v>
      </c>
      <c r="R338" s="254">
        <f>VLOOKUP(C338,'Talente &amp; Stuff'!GX:HY,16,FALSE)</f>
        <v>0</v>
      </c>
      <c r="S338" s="224">
        <f>VLOOKUP(C338,'Talente &amp; Stuff'!GX:HY,17,FALSE)</f>
        <v>0</v>
      </c>
      <c r="T338" s="242">
        <f>VLOOKUP(C338,'Talente &amp; Stuff'!GX:HY,18,FALSE)</f>
        <v>0</v>
      </c>
      <c r="U338" s="222">
        <f>VLOOKUP(C338,'Talente &amp; Stuff'!GX:HY,19,FALSE)</f>
        <v>0</v>
      </c>
      <c r="V338" s="223">
        <f>VLOOKUP(C338,'Talente &amp; Stuff'!GX:HY,20,FALSE)</f>
        <v>0</v>
      </c>
      <c r="W338" s="243">
        <f>VLOOKUP(C338,'Talente &amp; Stuff'!GX:HY,21,FALSE)</f>
        <v>0</v>
      </c>
      <c r="X338" s="218">
        <f>VLOOKUP(C338,'Talente &amp; Stuff'!GX:HY,22,FALSE)</f>
        <v>0</v>
      </c>
      <c r="Y338" s="252">
        <f>VLOOKUP(C338,Ausgewählte_Zauber_Zaubertänzer,226,FALSE)</f>
        <v>0</v>
      </c>
      <c r="Z338" s="309">
        <f>VLOOKUP(C338,Ausgewählte_Zauber_Zaubertänzer,227,FALSE)</f>
        <v>0</v>
      </c>
      <c r="AA338" s="218">
        <f>VLOOKUP(C338,'Talente &amp; Stuff'!GX:HY,25,FALSE)</f>
        <v>0</v>
      </c>
      <c r="AB338" s="242">
        <f>VLOOKUP(C338,'Talente &amp; Stuff'!GX:HY,26,FALSE)</f>
        <v>0</v>
      </c>
      <c r="AC338" s="218">
        <f>VLOOKUP(C338,'Talente &amp; Stuff'!GX:HY,27,FALSE)</f>
        <v>0</v>
      </c>
      <c r="AD338" s="218">
        <f>VLOOKUP(C338,'Talente &amp; Stuff'!GX:HY,28,FALSE)</f>
        <v>0</v>
      </c>
      <c r="AE338" s="343"/>
    </row>
    <row r="339" spans="1:31" s="217" customFormat="1" hidden="1" outlineLevel="2">
      <c r="A339" s="185"/>
      <c r="B339" s="217">
        <v>17</v>
      </c>
      <c r="C339" s="303" t="str">
        <f>Attribute!C339</f>
        <v>---</v>
      </c>
      <c r="D339" s="304" t="str">
        <f>VLOOKUP(C339,'Talente &amp; Stuff'!GX:HY,2,FALSE)</f>
        <v>--/--/--</v>
      </c>
      <c r="E339" s="304" t="str">
        <f>VLOOKUP(C339,'Talente &amp; Stuff'!GX:HY,3,FALSE)</f>
        <v>-</v>
      </c>
      <c r="F339" s="317">
        <f>VLOOKUP(C339,'Talente &amp; Stuff'!GX:HY,4,FALSE)</f>
        <v>0</v>
      </c>
      <c r="G339" s="254">
        <f>VLOOKUP(C339,'Talente &amp; Stuff'!GX:HY,5,FALSE)</f>
        <v>0</v>
      </c>
      <c r="H339" s="254">
        <f>VLOOKUP(C339,'Talente &amp; Stuff'!GX:HY,6,FALSE)</f>
        <v>0</v>
      </c>
      <c r="I339" s="254">
        <f>VLOOKUP(C339,'Talente &amp; Stuff'!GX:HY,7,FALSE)</f>
        <v>0</v>
      </c>
      <c r="J339" s="254">
        <f>VLOOKUP(C339,'Talente &amp; Stuff'!GX:HY,8,FALSE)</f>
        <v>0</v>
      </c>
      <c r="K339" s="254">
        <f>VLOOKUP(C339,'Talente &amp; Stuff'!GX:HY,9,FALSE)</f>
        <v>0</v>
      </c>
      <c r="L339" s="254">
        <f>VLOOKUP(C339,'Talente &amp; Stuff'!GX:HY,10,FALSE)</f>
        <v>0</v>
      </c>
      <c r="M339" s="318">
        <f>VLOOKUP(C339,'Talente &amp; Stuff'!GX:HY,11,FALSE)</f>
        <v>0</v>
      </c>
      <c r="N339" s="222">
        <f>VLOOKUP(C339,'Talente &amp; Stuff'!GX:HY,12,FALSE)</f>
        <v>0</v>
      </c>
      <c r="O339" s="223">
        <f>VLOOKUP(C339,'Talente &amp; Stuff'!GX:HY,13,FALSE)</f>
        <v>0</v>
      </c>
      <c r="P339" s="224">
        <f>VLOOKUP(C339,'Talente &amp; Stuff'!GX:HY,14,FALSE)</f>
        <v>0</v>
      </c>
      <c r="Q339" s="237">
        <f>VLOOKUP(C339,'Talente &amp; Stuff'!GX:HY,15,FALSE)</f>
        <v>0</v>
      </c>
      <c r="R339" s="254">
        <f>VLOOKUP(C339,'Talente &amp; Stuff'!GX:HY,16,FALSE)</f>
        <v>0</v>
      </c>
      <c r="S339" s="224">
        <f>VLOOKUP(C339,'Talente &amp; Stuff'!GX:HY,17,FALSE)</f>
        <v>0</v>
      </c>
      <c r="T339" s="242">
        <f>VLOOKUP(C339,'Talente &amp; Stuff'!GX:HY,18,FALSE)</f>
        <v>0</v>
      </c>
      <c r="U339" s="222">
        <f>VLOOKUP(C339,'Talente &amp; Stuff'!GX:HY,19,FALSE)</f>
        <v>0</v>
      </c>
      <c r="V339" s="223">
        <f>VLOOKUP(C339,'Talente &amp; Stuff'!GX:HY,20,FALSE)</f>
        <v>0</v>
      </c>
      <c r="W339" s="243">
        <f>VLOOKUP(C339,'Talente &amp; Stuff'!GX:HY,21,FALSE)</f>
        <v>0</v>
      </c>
      <c r="X339" s="218">
        <f>VLOOKUP(C339,'Talente &amp; Stuff'!GX:HY,22,FALSE)</f>
        <v>0</v>
      </c>
      <c r="Y339" s="252">
        <f>VLOOKUP(C339,Ausgewählte_Zauber_Zaubertänzer,226,FALSE)</f>
        <v>0</v>
      </c>
      <c r="Z339" s="309">
        <f>VLOOKUP(C339,Ausgewählte_Zauber_Zaubertänzer,227,FALSE)</f>
        <v>0</v>
      </c>
      <c r="AA339" s="218">
        <f>VLOOKUP(C339,'Talente &amp; Stuff'!GX:HY,25,FALSE)</f>
        <v>0</v>
      </c>
      <c r="AB339" s="242">
        <f>VLOOKUP(C339,'Talente &amp; Stuff'!GX:HY,26,FALSE)</f>
        <v>0</v>
      </c>
      <c r="AC339" s="218">
        <f>VLOOKUP(C339,'Talente &amp; Stuff'!GX:HY,27,FALSE)</f>
        <v>0</v>
      </c>
      <c r="AD339" s="218">
        <f>VLOOKUP(C339,'Talente &amp; Stuff'!GX:HY,28,FALSE)</f>
        <v>0</v>
      </c>
      <c r="AE339" s="343"/>
    </row>
    <row r="340" spans="1:31" s="217" customFormat="1" hidden="1" outlineLevel="2">
      <c r="A340" s="185"/>
      <c r="B340" s="217">
        <v>18</v>
      </c>
      <c r="C340" s="303" t="str">
        <f>Attribute!C340</f>
        <v>---</v>
      </c>
      <c r="D340" s="304" t="str">
        <f>VLOOKUP(C340,'Talente &amp; Stuff'!GX:HY,2,FALSE)</f>
        <v>--/--/--</v>
      </c>
      <c r="E340" s="304" t="str">
        <f>VLOOKUP(C340,'Talente &amp; Stuff'!GX:HY,3,FALSE)</f>
        <v>-</v>
      </c>
      <c r="F340" s="317">
        <f>VLOOKUP(C340,'Talente &amp; Stuff'!GX:HY,4,FALSE)</f>
        <v>0</v>
      </c>
      <c r="G340" s="254">
        <f>VLOOKUP(C340,'Talente &amp; Stuff'!GX:HY,5,FALSE)</f>
        <v>0</v>
      </c>
      <c r="H340" s="254">
        <f>VLOOKUP(C340,'Talente &amp; Stuff'!GX:HY,6,FALSE)</f>
        <v>0</v>
      </c>
      <c r="I340" s="254">
        <f>VLOOKUP(C340,'Talente &amp; Stuff'!GX:HY,7,FALSE)</f>
        <v>0</v>
      </c>
      <c r="J340" s="254">
        <f>VLOOKUP(C340,'Talente &amp; Stuff'!GX:HY,8,FALSE)</f>
        <v>0</v>
      </c>
      <c r="K340" s="254">
        <f>VLOOKUP(C340,'Talente &amp; Stuff'!GX:HY,9,FALSE)</f>
        <v>0</v>
      </c>
      <c r="L340" s="254">
        <f>VLOOKUP(C340,'Talente &amp; Stuff'!GX:HY,10,FALSE)</f>
        <v>0</v>
      </c>
      <c r="M340" s="318">
        <f>VLOOKUP(C340,'Talente &amp; Stuff'!GX:HY,11,FALSE)</f>
        <v>0</v>
      </c>
      <c r="N340" s="222">
        <f>VLOOKUP(C340,'Talente &amp; Stuff'!GX:HY,12,FALSE)</f>
        <v>0</v>
      </c>
      <c r="O340" s="223">
        <f>VLOOKUP(C340,'Talente &amp; Stuff'!GX:HY,13,FALSE)</f>
        <v>0</v>
      </c>
      <c r="P340" s="224">
        <f>VLOOKUP(C340,'Talente &amp; Stuff'!GX:HY,14,FALSE)</f>
        <v>0</v>
      </c>
      <c r="Q340" s="237">
        <f>VLOOKUP(C340,'Talente &amp; Stuff'!GX:HY,15,FALSE)</f>
        <v>0</v>
      </c>
      <c r="R340" s="254">
        <f>VLOOKUP(C340,'Talente &amp; Stuff'!GX:HY,16,FALSE)</f>
        <v>0</v>
      </c>
      <c r="S340" s="224">
        <f>VLOOKUP(C340,'Talente &amp; Stuff'!GX:HY,17,FALSE)</f>
        <v>0</v>
      </c>
      <c r="T340" s="242">
        <f>VLOOKUP(C340,'Talente &amp; Stuff'!GX:HY,18,FALSE)</f>
        <v>0</v>
      </c>
      <c r="U340" s="222">
        <f>VLOOKUP(C340,'Talente &amp; Stuff'!GX:HY,19,FALSE)</f>
        <v>0</v>
      </c>
      <c r="V340" s="223">
        <f>VLOOKUP(C340,'Talente &amp; Stuff'!GX:HY,20,FALSE)</f>
        <v>0</v>
      </c>
      <c r="W340" s="243">
        <f>VLOOKUP(C340,'Talente &amp; Stuff'!GX:HY,21,FALSE)</f>
        <v>0</v>
      </c>
      <c r="X340" s="218">
        <f>VLOOKUP(C340,'Talente &amp; Stuff'!GX:HY,22,FALSE)</f>
        <v>0</v>
      </c>
      <c r="Y340" s="252">
        <f>VLOOKUP(C340,Ausgewählte_Zauber_Zaubertänzer,226,FALSE)</f>
        <v>0</v>
      </c>
      <c r="Z340" s="309">
        <f>VLOOKUP(C340,Ausgewählte_Zauber_Zaubertänzer,227,FALSE)</f>
        <v>0</v>
      </c>
      <c r="AA340" s="218">
        <f>VLOOKUP(C340,'Talente &amp; Stuff'!GX:HY,25,FALSE)</f>
        <v>0</v>
      </c>
      <c r="AB340" s="242">
        <f>VLOOKUP(C340,'Talente &amp; Stuff'!GX:HY,26,FALSE)</f>
        <v>0</v>
      </c>
      <c r="AC340" s="218">
        <f>VLOOKUP(C340,'Talente &amp; Stuff'!GX:HY,27,FALSE)</f>
        <v>0</v>
      </c>
      <c r="AD340" s="218">
        <f>VLOOKUP(C340,'Talente &amp; Stuff'!GX:HY,28,FALSE)</f>
        <v>0</v>
      </c>
      <c r="AE340" s="343"/>
    </row>
    <row r="341" spans="1:31" s="217" customFormat="1" hidden="1" outlineLevel="2">
      <c r="A341" s="185"/>
      <c r="B341" s="217">
        <v>19</v>
      </c>
      <c r="C341" s="303" t="str">
        <f>Attribute!C341</f>
        <v>---</v>
      </c>
      <c r="D341" s="304" t="str">
        <f>VLOOKUP(C341,'Talente &amp; Stuff'!GX:HY,2,FALSE)</f>
        <v>--/--/--</v>
      </c>
      <c r="E341" s="304" t="str">
        <f>VLOOKUP(C341,'Talente &amp; Stuff'!GX:HY,3,FALSE)</f>
        <v>-</v>
      </c>
      <c r="F341" s="317">
        <f>VLOOKUP(C341,'Talente &amp; Stuff'!GX:HY,4,FALSE)</f>
        <v>0</v>
      </c>
      <c r="G341" s="254">
        <f>VLOOKUP(C341,'Talente &amp; Stuff'!GX:HY,5,FALSE)</f>
        <v>0</v>
      </c>
      <c r="H341" s="254">
        <f>VLOOKUP(C341,'Talente &amp; Stuff'!GX:HY,6,FALSE)</f>
        <v>0</v>
      </c>
      <c r="I341" s="254">
        <f>VLOOKUP(C341,'Talente &amp; Stuff'!GX:HY,7,FALSE)</f>
        <v>0</v>
      </c>
      <c r="J341" s="254">
        <f>VLOOKUP(C341,'Talente &amp; Stuff'!GX:HY,8,FALSE)</f>
        <v>0</v>
      </c>
      <c r="K341" s="254">
        <f>VLOOKUP(C341,'Talente &amp; Stuff'!GX:HY,9,FALSE)</f>
        <v>0</v>
      </c>
      <c r="L341" s="254">
        <f>VLOOKUP(C341,'Talente &amp; Stuff'!GX:HY,10,FALSE)</f>
        <v>0</v>
      </c>
      <c r="M341" s="318">
        <f>VLOOKUP(C341,'Talente &amp; Stuff'!GX:HY,11,FALSE)</f>
        <v>0</v>
      </c>
      <c r="N341" s="222">
        <f>VLOOKUP(C341,'Talente &amp; Stuff'!GX:HY,12,FALSE)</f>
        <v>0</v>
      </c>
      <c r="O341" s="223">
        <f>VLOOKUP(C341,'Talente &amp; Stuff'!GX:HY,13,FALSE)</f>
        <v>0</v>
      </c>
      <c r="P341" s="224">
        <f>VLOOKUP(C341,'Talente &amp; Stuff'!GX:HY,14,FALSE)</f>
        <v>0</v>
      </c>
      <c r="Q341" s="237">
        <f>VLOOKUP(C341,'Talente &amp; Stuff'!GX:HY,15,FALSE)</f>
        <v>0</v>
      </c>
      <c r="R341" s="254">
        <f>VLOOKUP(C341,'Talente &amp; Stuff'!GX:HY,16,FALSE)</f>
        <v>0</v>
      </c>
      <c r="S341" s="224">
        <f>VLOOKUP(C341,'Talente &amp; Stuff'!GX:HY,17,FALSE)</f>
        <v>0</v>
      </c>
      <c r="T341" s="242">
        <f>VLOOKUP(C341,'Talente &amp; Stuff'!GX:HY,18,FALSE)</f>
        <v>0</v>
      </c>
      <c r="U341" s="222">
        <f>VLOOKUP(C341,'Talente &amp; Stuff'!GX:HY,19,FALSE)</f>
        <v>0</v>
      </c>
      <c r="V341" s="223">
        <f>VLOOKUP(C341,'Talente &amp; Stuff'!GX:HY,20,FALSE)</f>
        <v>0</v>
      </c>
      <c r="W341" s="243">
        <f>VLOOKUP(C341,'Talente &amp; Stuff'!GX:HY,21,FALSE)</f>
        <v>0</v>
      </c>
      <c r="X341" s="218">
        <f>VLOOKUP(C341,'Talente &amp; Stuff'!GX:HY,22,FALSE)</f>
        <v>0</v>
      </c>
      <c r="Y341" s="252">
        <f>VLOOKUP(C341,Ausgewählte_Zauber_Zaubertänzer,226,FALSE)</f>
        <v>0</v>
      </c>
      <c r="Z341" s="309">
        <f>VLOOKUP(C341,Ausgewählte_Zauber_Zaubertänzer,227,FALSE)</f>
        <v>0</v>
      </c>
      <c r="AA341" s="218">
        <f>VLOOKUP(C341,'Talente &amp; Stuff'!GX:HY,25,FALSE)</f>
        <v>0</v>
      </c>
      <c r="AB341" s="242">
        <f>VLOOKUP(C341,'Talente &amp; Stuff'!GX:HY,26,FALSE)</f>
        <v>0</v>
      </c>
      <c r="AC341" s="218">
        <f>VLOOKUP(C341,'Talente &amp; Stuff'!GX:HY,27,FALSE)</f>
        <v>0</v>
      </c>
      <c r="AD341" s="218">
        <f>VLOOKUP(C341,'Talente &amp; Stuff'!GX:HY,28,FALSE)</f>
        <v>0</v>
      </c>
      <c r="AE341" s="343"/>
    </row>
    <row r="342" spans="1:31" s="217" customFormat="1" hidden="1" outlineLevel="2">
      <c r="A342" s="185"/>
      <c r="B342" s="217">
        <v>20</v>
      </c>
      <c r="C342" s="303" t="str">
        <f>Attribute!C342</f>
        <v>---</v>
      </c>
      <c r="D342" s="304" t="str">
        <f>VLOOKUP(C342,'Talente &amp; Stuff'!GX:HY,2,FALSE)</f>
        <v>--/--/--</v>
      </c>
      <c r="E342" s="304" t="str">
        <f>VLOOKUP(C342,'Talente &amp; Stuff'!GX:HY,3,FALSE)</f>
        <v>-</v>
      </c>
      <c r="F342" s="317">
        <f>VLOOKUP(C342,'Talente &amp; Stuff'!GX:HY,4,FALSE)</f>
        <v>0</v>
      </c>
      <c r="G342" s="254">
        <f>VLOOKUP(C342,'Talente &amp; Stuff'!GX:HY,5,FALSE)</f>
        <v>0</v>
      </c>
      <c r="H342" s="254">
        <f>VLOOKUP(C342,'Talente &amp; Stuff'!GX:HY,6,FALSE)</f>
        <v>0</v>
      </c>
      <c r="I342" s="254">
        <f>VLOOKUP(C342,'Talente &amp; Stuff'!GX:HY,7,FALSE)</f>
        <v>0</v>
      </c>
      <c r="J342" s="254">
        <f>VLOOKUP(C342,'Talente &amp; Stuff'!GX:HY,8,FALSE)</f>
        <v>0</v>
      </c>
      <c r="K342" s="254">
        <f>VLOOKUP(C342,'Talente &amp; Stuff'!GX:HY,9,FALSE)</f>
        <v>0</v>
      </c>
      <c r="L342" s="254">
        <f>VLOOKUP(C342,'Talente &amp; Stuff'!GX:HY,10,FALSE)</f>
        <v>0</v>
      </c>
      <c r="M342" s="318">
        <f>VLOOKUP(C342,'Talente &amp; Stuff'!GX:HY,11,FALSE)</f>
        <v>0</v>
      </c>
      <c r="N342" s="222">
        <f>VLOOKUP(C342,'Talente &amp; Stuff'!GX:HY,12,FALSE)</f>
        <v>0</v>
      </c>
      <c r="O342" s="223">
        <f>VLOOKUP(C342,'Talente &amp; Stuff'!GX:HY,13,FALSE)</f>
        <v>0</v>
      </c>
      <c r="P342" s="224">
        <f>VLOOKUP(C342,'Talente &amp; Stuff'!GX:HY,14,FALSE)</f>
        <v>0</v>
      </c>
      <c r="Q342" s="237">
        <f>VLOOKUP(C342,'Talente &amp; Stuff'!GX:HY,15,FALSE)</f>
        <v>0</v>
      </c>
      <c r="R342" s="254">
        <f>VLOOKUP(C342,'Talente &amp; Stuff'!GX:HY,16,FALSE)</f>
        <v>0</v>
      </c>
      <c r="S342" s="224">
        <f>VLOOKUP(C342,'Talente &amp; Stuff'!GX:HY,17,FALSE)</f>
        <v>0</v>
      </c>
      <c r="T342" s="242">
        <f>VLOOKUP(C342,'Talente &amp; Stuff'!GX:HY,18,FALSE)</f>
        <v>0</v>
      </c>
      <c r="U342" s="222">
        <f>VLOOKUP(C342,'Talente &amp; Stuff'!GX:HY,19,FALSE)</f>
        <v>0</v>
      </c>
      <c r="V342" s="223">
        <f>VLOOKUP(C342,'Talente &amp; Stuff'!GX:HY,20,FALSE)</f>
        <v>0</v>
      </c>
      <c r="W342" s="243">
        <f>VLOOKUP(C342,'Talente &amp; Stuff'!GX:HY,21,FALSE)</f>
        <v>0</v>
      </c>
      <c r="X342" s="218">
        <f>VLOOKUP(C342,'Talente &amp; Stuff'!GX:HY,22,FALSE)</f>
        <v>0</v>
      </c>
      <c r="Y342" s="252">
        <f>VLOOKUP(C342,Ausgewählte_Zauber_Zaubertänzer,226,FALSE)</f>
        <v>0</v>
      </c>
      <c r="Z342" s="309">
        <f>VLOOKUP(C342,Ausgewählte_Zauber_Zaubertänzer,227,FALSE)</f>
        <v>0</v>
      </c>
      <c r="AA342" s="218">
        <f>VLOOKUP(C342,'Talente &amp; Stuff'!GX:HY,25,FALSE)</f>
        <v>0</v>
      </c>
      <c r="AB342" s="242">
        <f>VLOOKUP(C342,'Talente &amp; Stuff'!GX:HY,26,FALSE)</f>
        <v>0</v>
      </c>
      <c r="AC342" s="218">
        <f>VLOOKUP(C342,'Talente &amp; Stuff'!GX:HY,27,FALSE)</f>
        <v>0</v>
      </c>
      <c r="AD342" s="218">
        <f>VLOOKUP(C342,'Talente &amp; Stuff'!GX:HY,28,FALSE)</f>
        <v>0</v>
      </c>
      <c r="AE342" s="343"/>
    </row>
    <row r="343" spans="1:31" s="217" customFormat="1" hidden="1" outlineLevel="2">
      <c r="A343" s="185"/>
      <c r="B343" s="217">
        <v>21</v>
      </c>
      <c r="C343" s="303" t="str">
        <f>Attribute!C343</f>
        <v>---</v>
      </c>
      <c r="D343" s="304" t="str">
        <f>VLOOKUP(C343,'Talente &amp; Stuff'!GX:HY,2,FALSE)</f>
        <v>--/--/--</v>
      </c>
      <c r="E343" s="304" t="str">
        <f>VLOOKUP(C343,'Talente &amp; Stuff'!GX:HY,3,FALSE)</f>
        <v>-</v>
      </c>
      <c r="F343" s="317">
        <f>VLOOKUP(C343,'Talente &amp; Stuff'!GX:HY,4,FALSE)</f>
        <v>0</v>
      </c>
      <c r="G343" s="254">
        <f>VLOOKUP(C343,'Talente &amp; Stuff'!GX:HY,5,FALSE)</f>
        <v>0</v>
      </c>
      <c r="H343" s="254">
        <f>VLOOKUP(C343,'Talente &amp; Stuff'!GX:HY,6,FALSE)</f>
        <v>0</v>
      </c>
      <c r="I343" s="254">
        <f>VLOOKUP(C343,'Talente &amp; Stuff'!GX:HY,7,FALSE)</f>
        <v>0</v>
      </c>
      <c r="J343" s="254">
        <f>VLOOKUP(C343,'Talente &amp; Stuff'!GX:HY,8,FALSE)</f>
        <v>0</v>
      </c>
      <c r="K343" s="254">
        <f>VLOOKUP(C343,'Talente &amp; Stuff'!GX:HY,9,FALSE)</f>
        <v>0</v>
      </c>
      <c r="L343" s="254">
        <f>VLOOKUP(C343,'Talente &amp; Stuff'!GX:HY,10,FALSE)</f>
        <v>0</v>
      </c>
      <c r="M343" s="318">
        <f>VLOOKUP(C343,'Talente &amp; Stuff'!GX:HY,11,FALSE)</f>
        <v>0</v>
      </c>
      <c r="N343" s="222">
        <f>VLOOKUP(C343,'Talente &amp; Stuff'!GX:HY,12,FALSE)</f>
        <v>0</v>
      </c>
      <c r="O343" s="223">
        <f>VLOOKUP(C343,'Talente &amp; Stuff'!GX:HY,13,FALSE)</f>
        <v>0</v>
      </c>
      <c r="P343" s="224">
        <f>VLOOKUP(C343,'Talente &amp; Stuff'!GX:HY,14,FALSE)</f>
        <v>0</v>
      </c>
      <c r="Q343" s="237">
        <f>VLOOKUP(C343,'Talente &amp; Stuff'!GX:HY,15,FALSE)</f>
        <v>0</v>
      </c>
      <c r="R343" s="254">
        <f>VLOOKUP(C343,'Talente &amp; Stuff'!GX:HY,16,FALSE)</f>
        <v>0</v>
      </c>
      <c r="S343" s="224">
        <f>VLOOKUP(C343,'Talente &amp; Stuff'!GX:HY,17,FALSE)</f>
        <v>0</v>
      </c>
      <c r="T343" s="242">
        <f>VLOOKUP(C343,'Talente &amp; Stuff'!GX:HY,18,FALSE)</f>
        <v>0</v>
      </c>
      <c r="U343" s="222">
        <f>VLOOKUP(C343,'Talente &amp; Stuff'!GX:HY,19,FALSE)</f>
        <v>0</v>
      </c>
      <c r="V343" s="223">
        <f>VLOOKUP(C343,'Talente &amp; Stuff'!GX:HY,20,FALSE)</f>
        <v>0</v>
      </c>
      <c r="W343" s="243">
        <f>VLOOKUP(C343,'Talente &amp; Stuff'!GX:HY,21,FALSE)</f>
        <v>0</v>
      </c>
      <c r="X343" s="218">
        <f>VLOOKUP(C343,'Talente &amp; Stuff'!GX:HY,22,FALSE)</f>
        <v>0</v>
      </c>
      <c r="Y343" s="252">
        <f>VLOOKUP(C343,Ausgewählte_Zauber_Zaubertänzer,226,FALSE)</f>
        <v>0</v>
      </c>
      <c r="Z343" s="309">
        <f>VLOOKUP(C343,Ausgewählte_Zauber_Zaubertänzer,227,FALSE)</f>
        <v>0</v>
      </c>
      <c r="AA343" s="218">
        <f>VLOOKUP(C343,'Talente &amp; Stuff'!GX:HY,25,FALSE)</f>
        <v>0</v>
      </c>
      <c r="AB343" s="242">
        <f>VLOOKUP(C343,'Talente &amp; Stuff'!GX:HY,26,FALSE)</f>
        <v>0</v>
      </c>
      <c r="AC343" s="218">
        <f>VLOOKUP(C343,'Talente &amp; Stuff'!GX:HY,27,FALSE)</f>
        <v>0</v>
      </c>
      <c r="AD343" s="218">
        <f>VLOOKUP(C343,'Talente &amp; Stuff'!GX:HY,28,FALSE)</f>
        <v>0</v>
      </c>
      <c r="AE343" s="343"/>
    </row>
    <row r="344" spans="1:31" s="217" customFormat="1" hidden="1" outlineLevel="2">
      <c r="A344" s="185"/>
      <c r="B344" s="217">
        <v>22</v>
      </c>
      <c r="C344" s="303" t="str">
        <f>Attribute!C344</f>
        <v>---</v>
      </c>
      <c r="D344" s="304" t="str">
        <f>VLOOKUP(C344,'Talente &amp; Stuff'!GX:HY,2,FALSE)</f>
        <v>--/--/--</v>
      </c>
      <c r="E344" s="304" t="str">
        <f>VLOOKUP(C344,'Talente &amp; Stuff'!GX:HY,3,FALSE)</f>
        <v>-</v>
      </c>
      <c r="F344" s="317">
        <f>VLOOKUP(C344,'Talente &amp; Stuff'!GX:HY,4,FALSE)</f>
        <v>0</v>
      </c>
      <c r="G344" s="254">
        <f>VLOOKUP(C344,'Talente &amp; Stuff'!GX:HY,5,FALSE)</f>
        <v>0</v>
      </c>
      <c r="H344" s="254">
        <f>VLOOKUP(C344,'Talente &amp; Stuff'!GX:HY,6,FALSE)</f>
        <v>0</v>
      </c>
      <c r="I344" s="254">
        <f>VLOOKUP(C344,'Talente &amp; Stuff'!GX:HY,7,FALSE)</f>
        <v>0</v>
      </c>
      <c r="J344" s="254">
        <f>VLOOKUP(C344,'Talente &amp; Stuff'!GX:HY,8,FALSE)</f>
        <v>0</v>
      </c>
      <c r="K344" s="254">
        <f>VLOOKUP(C344,'Talente &amp; Stuff'!GX:HY,9,FALSE)</f>
        <v>0</v>
      </c>
      <c r="L344" s="254">
        <f>VLOOKUP(C344,'Talente &amp; Stuff'!GX:HY,10,FALSE)</f>
        <v>0</v>
      </c>
      <c r="M344" s="318">
        <f>VLOOKUP(C344,'Talente &amp; Stuff'!GX:HY,11,FALSE)</f>
        <v>0</v>
      </c>
      <c r="N344" s="222">
        <f>VLOOKUP(C344,'Talente &amp; Stuff'!GX:HY,12,FALSE)</f>
        <v>0</v>
      </c>
      <c r="O344" s="223">
        <f>VLOOKUP(C344,'Talente &amp; Stuff'!GX:HY,13,FALSE)</f>
        <v>0</v>
      </c>
      <c r="P344" s="224">
        <f>VLOOKUP(C344,'Talente &amp; Stuff'!GX:HY,14,FALSE)</f>
        <v>0</v>
      </c>
      <c r="Q344" s="237">
        <f>VLOOKUP(C344,'Talente &amp; Stuff'!GX:HY,15,FALSE)</f>
        <v>0</v>
      </c>
      <c r="R344" s="254">
        <f>VLOOKUP(C344,'Talente &amp; Stuff'!GX:HY,16,FALSE)</f>
        <v>0</v>
      </c>
      <c r="S344" s="224">
        <f>VLOOKUP(C344,'Talente &amp; Stuff'!GX:HY,17,FALSE)</f>
        <v>0</v>
      </c>
      <c r="T344" s="242">
        <f>VLOOKUP(C344,'Talente &amp; Stuff'!GX:HY,18,FALSE)</f>
        <v>0</v>
      </c>
      <c r="U344" s="222">
        <f>VLOOKUP(C344,'Talente &amp; Stuff'!GX:HY,19,FALSE)</f>
        <v>0</v>
      </c>
      <c r="V344" s="223">
        <f>VLOOKUP(C344,'Talente &amp; Stuff'!GX:HY,20,FALSE)</f>
        <v>0</v>
      </c>
      <c r="W344" s="243">
        <f>VLOOKUP(C344,'Talente &amp; Stuff'!GX:HY,21,FALSE)</f>
        <v>0</v>
      </c>
      <c r="X344" s="218">
        <f>VLOOKUP(C344,'Talente &amp; Stuff'!GX:HY,22,FALSE)</f>
        <v>0</v>
      </c>
      <c r="Y344" s="252">
        <f>VLOOKUP(C344,Ausgewählte_Zauber_Zaubertänzer,226,FALSE)</f>
        <v>0</v>
      </c>
      <c r="Z344" s="309">
        <f>VLOOKUP(C344,Ausgewählte_Zauber_Zaubertänzer,227,FALSE)</f>
        <v>0</v>
      </c>
      <c r="AA344" s="218">
        <f>VLOOKUP(C344,'Talente &amp; Stuff'!GX:HY,25,FALSE)</f>
        <v>0</v>
      </c>
      <c r="AB344" s="242">
        <f>VLOOKUP(C344,'Talente &amp; Stuff'!GX:HY,26,FALSE)</f>
        <v>0</v>
      </c>
      <c r="AC344" s="218">
        <f>VLOOKUP(C344,'Talente &amp; Stuff'!GX:HY,27,FALSE)</f>
        <v>0</v>
      </c>
      <c r="AD344" s="218">
        <f>VLOOKUP(C344,'Talente &amp; Stuff'!GX:HY,28,FALSE)</f>
        <v>0</v>
      </c>
      <c r="AE344" s="343"/>
    </row>
    <row r="345" spans="1:31" s="217" customFormat="1" hidden="1" outlineLevel="2">
      <c r="A345" s="185"/>
      <c r="B345" s="217">
        <v>23</v>
      </c>
      <c r="C345" s="303" t="str">
        <f>Attribute!C345</f>
        <v>---</v>
      </c>
      <c r="D345" s="304" t="str">
        <f>VLOOKUP(C345,'Talente &amp; Stuff'!GX:HY,2,FALSE)</f>
        <v>--/--/--</v>
      </c>
      <c r="E345" s="218" t="str">
        <f>VLOOKUP(C345,'Talente &amp; Stuff'!GX:HY,3,FALSE)</f>
        <v>-</v>
      </c>
      <c r="F345" s="237">
        <f>VLOOKUP(C345,'Talente &amp; Stuff'!GX:HY,4,FALSE)</f>
        <v>0</v>
      </c>
      <c r="G345" s="234">
        <f>VLOOKUP(C345,'Talente &amp; Stuff'!GX:HY,5,FALSE)</f>
        <v>0</v>
      </c>
      <c r="H345" s="234">
        <f>VLOOKUP(C345,'Talente &amp; Stuff'!GX:HY,6,FALSE)</f>
        <v>0</v>
      </c>
      <c r="I345" s="234">
        <f>VLOOKUP(C345,'Talente &amp; Stuff'!GX:HY,7,FALSE)</f>
        <v>0</v>
      </c>
      <c r="J345" s="234">
        <f>VLOOKUP(C345,'Talente &amp; Stuff'!GX:HY,8,FALSE)</f>
        <v>0</v>
      </c>
      <c r="K345" s="234">
        <f>VLOOKUP(C345,'Talente &amp; Stuff'!GX:HY,9,FALSE)</f>
        <v>0</v>
      </c>
      <c r="L345" s="234">
        <f>VLOOKUP(C345,'Talente &amp; Stuff'!GX:HY,10,FALSE)</f>
        <v>0</v>
      </c>
      <c r="M345" s="224">
        <f>VLOOKUP(C345,'Talente &amp; Stuff'!GX:HY,11,FALSE)</f>
        <v>0</v>
      </c>
      <c r="N345" s="222">
        <f>VLOOKUP(C345,'Talente &amp; Stuff'!GX:HY,12,FALSE)</f>
        <v>0</v>
      </c>
      <c r="O345" s="223">
        <f>VLOOKUP(C345,'Talente &amp; Stuff'!GX:HY,13,FALSE)</f>
        <v>0</v>
      </c>
      <c r="P345" s="224">
        <f>VLOOKUP(C345,'Talente &amp; Stuff'!GX:HY,14,FALSE)</f>
        <v>0</v>
      </c>
      <c r="Q345" s="237">
        <f>VLOOKUP(C345,'Talente &amp; Stuff'!GX:HY,15,FALSE)</f>
        <v>0</v>
      </c>
      <c r="R345" s="254">
        <f>VLOOKUP(C345,'Talente &amp; Stuff'!GX:HY,16,FALSE)</f>
        <v>0</v>
      </c>
      <c r="S345" s="224">
        <f>VLOOKUP(C345,'Talente &amp; Stuff'!GX:HY,17,FALSE)</f>
        <v>0</v>
      </c>
      <c r="T345" s="242">
        <f>VLOOKUP(C345,'Talente &amp; Stuff'!GX:HY,18,FALSE)</f>
        <v>0</v>
      </c>
      <c r="U345" s="222">
        <f>VLOOKUP(C345,'Talente &amp; Stuff'!GX:HY,19,FALSE)</f>
        <v>0</v>
      </c>
      <c r="V345" s="223">
        <f>VLOOKUP(C345,'Talente &amp; Stuff'!GX:HY,20,FALSE)</f>
        <v>0</v>
      </c>
      <c r="W345" s="243">
        <f>VLOOKUP(C345,'Talente &amp; Stuff'!GX:HY,21,FALSE)</f>
        <v>0</v>
      </c>
      <c r="X345" s="218">
        <f>VLOOKUP(C345,'Talente &amp; Stuff'!GX:HY,22,FALSE)</f>
        <v>0</v>
      </c>
      <c r="Y345" s="252">
        <f>VLOOKUP(C345,Ausgewählte_Zauber_Zaubertänzer,226,FALSE)</f>
        <v>0</v>
      </c>
      <c r="Z345" s="309">
        <f>VLOOKUP(C345,Ausgewählte_Zauber_Zaubertänzer,227,FALSE)</f>
        <v>0</v>
      </c>
      <c r="AA345" s="218">
        <f>VLOOKUP(C345,'Talente &amp; Stuff'!GX:HY,25,FALSE)</f>
        <v>0</v>
      </c>
      <c r="AB345" s="242">
        <f>VLOOKUP(C345,'Talente &amp; Stuff'!GX:HY,26,FALSE)</f>
        <v>0</v>
      </c>
      <c r="AC345" s="218">
        <f>VLOOKUP(C345,'Talente &amp; Stuff'!GX:HY,27,FALSE)</f>
        <v>0</v>
      </c>
      <c r="AD345" s="218">
        <f>VLOOKUP(C345,'Talente &amp; Stuff'!GX:HY,28,FALSE)</f>
        <v>0</v>
      </c>
      <c r="AE345" s="343"/>
    </row>
    <row r="346" spans="1:31" s="217" customFormat="1" hidden="1" outlineLevel="2">
      <c r="A346" s="185"/>
      <c r="B346" s="217">
        <v>24</v>
      </c>
      <c r="C346" s="303" t="str">
        <f>Attribute!C346</f>
        <v>---</v>
      </c>
      <c r="D346" s="304" t="str">
        <f>VLOOKUP(C346,'Talente &amp; Stuff'!GX:HY,2,FALSE)</f>
        <v>--/--/--</v>
      </c>
      <c r="E346" s="218" t="str">
        <f>VLOOKUP(C346,'Talente &amp; Stuff'!GX:HY,3,FALSE)</f>
        <v>-</v>
      </c>
      <c r="F346" s="237">
        <f>VLOOKUP(C346,'Talente &amp; Stuff'!GX:HY,4,FALSE)</f>
        <v>0</v>
      </c>
      <c r="G346" s="234">
        <f>VLOOKUP(C346,'Talente &amp; Stuff'!GX:HY,5,FALSE)</f>
        <v>0</v>
      </c>
      <c r="H346" s="234">
        <f>VLOOKUP(C346,'Talente &amp; Stuff'!GX:HY,6,FALSE)</f>
        <v>0</v>
      </c>
      <c r="I346" s="234">
        <f>VLOOKUP(C346,'Talente &amp; Stuff'!GX:HY,7,FALSE)</f>
        <v>0</v>
      </c>
      <c r="J346" s="234">
        <f>VLOOKUP(C346,'Talente &amp; Stuff'!GX:HY,8,FALSE)</f>
        <v>0</v>
      </c>
      <c r="K346" s="234">
        <f>VLOOKUP(C346,'Talente &amp; Stuff'!GX:HY,9,FALSE)</f>
        <v>0</v>
      </c>
      <c r="L346" s="234">
        <f>VLOOKUP(C346,'Talente &amp; Stuff'!GX:HY,10,FALSE)</f>
        <v>0</v>
      </c>
      <c r="M346" s="224">
        <f>VLOOKUP(C346,'Talente &amp; Stuff'!GX:HY,11,FALSE)</f>
        <v>0</v>
      </c>
      <c r="N346" s="222">
        <f>VLOOKUP(C346,'Talente &amp; Stuff'!GX:HY,12,FALSE)</f>
        <v>0</v>
      </c>
      <c r="O346" s="223">
        <f>VLOOKUP(C346,'Talente &amp; Stuff'!GX:HY,13,FALSE)</f>
        <v>0</v>
      </c>
      <c r="P346" s="224">
        <f>VLOOKUP(C346,'Talente &amp; Stuff'!GX:HY,14,FALSE)</f>
        <v>0</v>
      </c>
      <c r="Q346" s="237">
        <f>VLOOKUP(C346,'Talente &amp; Stuff'!GX:HY,15,FALSE)</f>
        <v>0</v>
      </c>
      <c r="R346" s="254">
        <f>VLOOKUP(C346,'Talente &amp; Stuff'!GX:HY,16,FALSE)</f>
        <v>0</v>
      </c>
      <c r="S346" s="224">
        <f>VLOOKUP(C346,'Talente &amp; Stuff'!GX:HY,17,FALSE)</f>
        <v>0</v>
      </c>
      <c r="T346" s="242">
        <f>VLOOKUP(C346,'Talente &amp; Stuff'!GX:HY,18,FALSE)</f>
        <v>0</v>
      </c>
      <c r="U346" s="222">
        <f>VLOOKUP(C346,'Talente &amp; Stuff'!GX:HY,19,FALSE)</f>
        <v>0</v>
      </c>
      <c r="V346" s="223">
        <f>VLOOKUP(C346,'Talente &amp; Stuff'!GX:HY,20,FALSE)</f>
        <v>0</v>
      </c>
      <c r="W346" s="243">
        <f>VLOOKUP(C346,'Talente &amp; Stuff'!GX:HY,21,FALSE)</f>
        <v>0</v>
      </c>
      <c r="X346" s="218">
        <f>VLOOKUP(C346,'Talente &amp; Stuff'!GX:HY,22,FALSE)</f>
        <v>0</v>
      </c>
      <c r="Y346" s="252">
        <f>VLOOKUP(C346,Ausgewählte_Zauber_Zaubertänzer,226,FALSE)</f>
        <v>0</v>
      </c>
      <c r="Z346" s="309">
        <f>VLOOKUP(C346,Ausgewählte_Zauber_Zaubertänzer,227,FALSE)</f>
        <v>0</v>
      </c>
      <c r="AA346" s="218">
        <f>VLOOKUP(C346,'Talente &amp; Stuff'!GX:HY,25,FALSE)</f>
        <v>0</v>
      </c>
      <c r="AB346" s="242">
        <f>VLOOKUP(C346,'Talente &amp; Stuff'!GX:HY,26,FALSE)</f>
        <v>0</v>
      </c>
      <c r="AC346" s="218">
        <f>VLOOKUP(C346,'Talente &amp; Stuff'!GX:HY,27,FALSE)</f>
        <v>0</v>
      </c>
      <c r="AD346" s="218">
        <f>VLOOKUP(C346,'Talente &amp; Stuff'!GX:HY,28,FALSE)</f>
        <v>0</v>
      </c>
      <c r="AE346" s="343"/>
    </row>
    <row r="347" spans="1:31" s="217" customFormat="1" hidden="1" outlineLevel="2">
      <c r="A347" s="185"/>
      <c r="B347" s="217">
        <v>25</v>
      </c>
      <c r="C347" s="303" t="str">
        <f>Attribute!C347</f>
        <v>---</v>
      </c>
      <c r="D347" s="304" t="str">
        <f>VLOOKUP(C347,'Talente &amp; Stuff'!GX:HY,2,FALSE)</f>
        <v>--/--/--</v>
      </c>
      <c r="E347" s="218" t="str">
        <f>VLOOKUP(C347,'Talente &amp; Stuff'!GX:HY,3,FALSE)</f>
        <v>-</v>
      </c>
      <c r="F347" s="237">
        <f>VLOOKUP(C347,'Talente &amp; Stuff'!GX:HY,4,FALSE)</f>
        <v>0</v>
      </c>
      <c r="G347" s="234">
        <f>VLOOKUP(C347,'Talente &amp; Stuff'!GX:HY,5,FALSE)</f>
        <v>0</v>
      </c>
      <c r="H347" s="234">
        <f>VLOOKUP(C347,'Talente &amp; Stuff'!GX:HY,6,FALSE)</f>
        <v>0</v>
      </c>
      <c r="I347" s="234">
        <f>VLOOKUP(C347,'Talente &amp; Stuff'!GX:HY,7,FALSE)</f>
        <v>0</v>
      </c>
      <c r="J347" s="234">
        <f>VLOOKUP(C347,'Talente &amp; Stuff'!GX:HY,8,FALSE)</f>
        <v>0</v>
      </c>
      <c r="K347" s="234">
        <f>VLOOKUP(C347,'Talente &amp; Stuff'!GX:HY,9,FALSE)</f>
        <v>0</v>
      </c>
      <c r="L347" s="234">
        <f>VLOOKUP(C347,'Talente &amp; Stuff'!GX:HY,10,FALSE)</f>
        <v>0</v>
      </c>
      <c r="M347" s="224">
        <f>VLOOKUP(C347,'Talente &amp; Stuff'!GX:HY,11,FALSE)</f>
        <v>0</v>
      </c>
      <c r="N347" s="222">
        <f>VLOOKUP(C347,'Talente &amp; Stuff'!GX:HY,12,FALSE)</f>
        <v>0</v>
      </c>
      <c r="O347" s="223">
        <f>VLOOKUP(C347,'Talente &amp; Stuff'!GX:HY,13,FALSE)</f>
        <v>0</v>
      </c>
      <c r="P347" s="224">
        <f>VLOOKUP(C347,'Talente &amp; Stuff'!GX:HY,14,FALSE)</f>
        <v>0</v>
      </c>
      <c r="Q347" s="237">
        <f>VLOOKUP(C347,'Talente &amp; Stuff'!GX:HY,15,FALSE)</f>
        <v>0</v>
      </c>
      <c r="R347" s="254">
        <f>VLOOKUP(C347,'Talente &amp; Stuff'!GX:HY,16,FALSE)</f>
        <v>0</v>
      </c>
      <c r="S347" s="224">
        <f>VLOOKUP(C347,'Talente &amp; Stuff'!GX:HY,17,FALSE)</f>
        <v>0</v>
      </c>
      <c r="T347" s="242">
        <f>VLOOKUP(C347,'Talente &amp; Stuff'!GX:HY,18,FALSE)</f>
        <v>0</v>
      </c>
      <c r="U347" s="222">
        <f>VLOOKUP(C347,'Talente &amp; Stuff'!GX:HY,19,FALSE)</f>
        <v>0</v>
      </c>
      <c r="V347" s="223">
        <f>VLOOKUP(C347,'Talente &amp; Stuff'!GX:HY,20,FALSE)</f>
        <v>0</v>
      </c>
      <c r="W347" s="243">
        <f>VLOOKUP(C347,'Talente &amp; Stuff'!GX:HY,21,FALSE)</f>
        <v>0</v>
      </c>
      <c r="X347" s="218">
        <f>VLOOKUP(C347,'Talente &amp; Stuff'!GX:HY,22,FALSE)</f>
        <v>0</v>
      </c>
      <c r="Y347" s="252">
        <f>VLOOKUP(C347,Ausgewählte_Zauber_Zaubertänzer,226,FALSE)</f>
        <v>0</v>
      </c>
      <c r="Z347" s="309">
        <f>VLOOKUP(C347,Ausgewählte_Zauber_Zaubertänzer,227,FALSE)</f>
        <v>0</v>
      </c>
      <c r="AA347" s="218">
        <f>VLOOKUP(C347,'Talente &amp; Stuff'!GX:HY,25,FALSE)</f>
        <v>0</v>
      </c>
      <c r="AB347" s="242">
        <f>VLOOKUP(C347,'Talente &amp; Stuff'!GX:HY,26,FALSE)</f>
        <v>0</v>
      </c>
      <c r="AC347" s="218">
        <f>VLOOKUP(C347,'Talente &amp; Stuff'!GX:HY,27,FALSE)</f>
        <v>0</v>
      </c>
      <c r="AD347" s="218">
        <f>VLOOKUP(C347,'Talente &amp; Stuff'!GX:HY,28,FALSE)</f>
        <v>0</v>
      </c>
      <c r="AE347" s="343"/>
    </row>
    <row r="348" spans="1:31" s="217" customFormat="1" hidden="1" outlineLevel="2">
      <c r="A348" s="185"/>
      <c r="B348" s="217">
        <v>26</v>
      </c>
      <c r="C348" s="306" t="str">
        <f>Attribute!C348</f>
        <v>---</v>
      </c>
      <c r="D348" s="314" t="str">
        <f>VLOOKUP(C348,'Talente &amp; Stuff'!GX:HY,2,FALSE)</f>
        <v>--/--/--</v>
      </c>
      <c r="E348" s="246" t="str">
        <f>VLOOKUP(C348,'Talente &amp; Stuff'!GX:HY,3,FALSE)</f>
        <v>-</v>
      </c>
      <c r="F348" s="238">
        <f>VLOOKUP(C348,'Talente &amp; Stuff'!GX:HY,4,FALSE)</f>
        <v>0</v>
      </c>
      <c r="G348" s="235">
        <f>VLOOKUP(C348,'Talente &amp; Stuff'!GX:HY,5,FALSE)</f>
        <v>0</v>
      </c>
      <c r="H348" s="235">
        <f>VLOOKUP(C348,'Talente &amp; Stuff'!GX:HY,6,FALSE)</f>
        <v>0</v>
      </c>
      <c r="I348" s="235">
        <f>VLOOKUP(C348,'Talente &amp; Stuff'!GX:HY,7,FALSE)</f>
        <v>0</v>
      </c>
      <c r="J348" s="235">
        <f>VLOOKUP(C348,'Talente &amp; Stuff'!GX:HY,8,FALSE)</f>
        <v>0</v>
      </c>
      <c r="K348" s="235">
        <f>VLOOKUP(C348,'Talente &amp; Stuff'!GX:HY,9,FALSE)</f>
        <v>0</v>
      </c>
      <c r="L348" s="235">
        <f>VLOOKUP(C348,'Talente &amp; Stuff'!GX:HY,10,FALSE)</f>
        <v>0</v>
      </c>
      <c r="M348" s="227">
        <f>VLOOKUP(C348,'Talente &amp; Stuff'!GX:HY,11,FALSE)</f>
        <v>0</v>
      </c>
      <c r="N348" s="225">
        <f>VLOOKUP(C348,'Talente &amp; Stuff'!GX:HY,12,FALSE)</f>
        <v>0</v>
      </c>
      <c r="O348" s="226">
        <f>VLOOKUP(C348,'Talente &amp; Stuff'!GX:HY,13,FALSE)</f>
        <v>0</v>
      </c>
      <c r="P348" s="227">
        <f>VLOOKUP(C348,'Talente &amp; Stuff'!GX:HY,14,FALSE)</f>
        <v>0</v>
      </c>
      <c r="Q348" s="238">
        <f>VLOOKUP(C348,'Talente &amp; Stuff'!GX:HY,15,FALSE)</f>
        <v>0</v>
      </c>
      <c r="R348" s="315">
        <f>VLOOKUP(C348,'Talente &amp; Stuff'!GX:HY,16,FALSE)</f>
        <v>0</v>
      </c>
      <c r="S348" s="227">
        <f>VLOOKUP(C348,'Talente &amp; Stuff'!GX:HY,17,FALSE)</f>
        <v>0</v>
      </c>
      <c r="T348" s="244">
        <f>VLOOKUP(C348,'Talente &amp; Stuff'!GX:HY,18,FALSE)</f>
        <v>0</v>
      </c>
      <c r="U348" s="225">
        <f>VLOOKUP(C348,'Talente &amp; Stuff'!GX:HY,19,FALSE)</f>
        <v>0</v>
      </c>
      <c r="V348" s="226">
        <f>VLOOKUP(C348,'Talente &amp; Stuff'!GX:HY,20,FALSE)</f>
        <v>0</v>
      </c>
      <c r="W348" s="245">
        <f>VLOOKUP(C348,'Talente &amp; Stuff'!GX:HY,21,FALSE)</f>
        <v>0</v>
      </c>
      <c r="X348" s="246">
        <f>VLOOKUP(C348,'Talente &amp; Stuff'!GX:HY,22,FALSE)</f>
        <v>0</v>
      </c>
      <c r="Y348" s="252">
        <f>VLOOKUP(C348,Ausgewählte_Zauber_Zaubertänzer,226,FALSE)</f>
        <v>0</v>
      </c>
      <c r="Z348" s="309">
        <f>VLOOKUP(C348,Ausgewählte_Zauber_Zaubertänzer,227,FALSE)</f>
        <v>0</v>
      </c>
      <c r="AA348" s="246">
        <f>VLOOKUP(C348,'Talente &amp; Stuff'!GX:HY,25,FALSE)</f>
        <v>0</v>
      </c>
      <c r="AB348" s="244">
        <f>VLOOKUP(C348,'Talente &amp; Stuff'!GX:HY,26,FALSE)</f>
        <v>0</v>
      </c>
      <c r="AC348" s="246">
        <f>VLOOKUP(C348,'Talente &amp; Stuff'!GX:HY,27,FALSE)</f>
        <v>0</v>
      </c>
      <c r="AD348" s="246">
        <f>VLOOKUP(C348,'Talente &amp; Stuff'!GX:HY,28,FALSE)</f>
        <v>0</v>
      </c>
      <c r="AE348" s="343"/>
    </row>
    <row r="349" spans="1:31" ht="15.75" hidden="1" customHeight="1" outlineLevel="1" collapsed="1" thickBot="1"/>
    <row r="350" spans="1:31" ht="15.75" collapsed="1" thickBot="1">
      <c r="A350" s="135" t="s">
        <v>311</v>
      </c>
    </row>
    <row r="351" spans="1:31" ht="15" hidden="1" customHeight="1" outlineLevel="1">
      <c r="B351" s="134" t="s">
        <v>327</v>
      </c>
    </row>
    <row r="352" spans="1:31" ht="15" hidden="1" customHeight="1" outlineLevel="2">
      <c r="B352" s="148">
        <v>1</v>
      </c>
      <c r="C352" s="176" t="str">
        <f>Attribute!C352</f>
        <v>---</v>
      </c>
      <c r="D352" s="85" t="str">
        <f>VLOOKUP(C352,'Talente &amp; Stuff'!GX:HY,2,FALSE)</f>
        <v>--/--/--</v>
      </c>
      <c r="E352" s="158" t="str">
        <f>VLOOKUP(C352,'Talente &amp; Stuff'!GX:HY,3,FALSE)</f>
        <v>-</v>
      </c>
      <c r="F352" s="118">
        <f>VLOOKUP(C352,'Talente &amp; Stuff'!GX:HY,4,FALSE)</f>
        <v>0</v>
      </c>
      <c r="G352" s="118">
        <f>VLOOKUP(C352,'Talente &amp; Stuff'!GX:HY,5,FALSE)</f>
        <v>0</v>
      </c>
      <c r="H352" s="118">
        <f>VLOOKUP(C352,'Talente &amp; Stuff'!GX:HY,6,FALSE)</f>
        <v>0</v>
      </c>
      <c r="I352" s="118">
        <f>VLOOKUP(C352,'Talente &amp; Stuff'!GX:HY,7,FALSE)</f>
        <v>0</v>
      </c>
      <c r="J352" s="118">
        <f>VLOOKUP(C352,'Talente &amp; Stuff'!GX:HY,8,FALSE)</f>
        <v>0</v>
      </c>
      <c r="K352" s="118">
        <f>VLOOKUP(C352,'Talente &amp; Stuff'!GX:HY,9,FALSE)</f>
        <v>0</v>
      </c>
      <c r="L352" s="118">
        <f>VLOOKUP(C352,'Talente &amp; Stuff'!GX:HY,10,FALSE)</f>
        <v>0</v>
      </c>
      <c r="M352" s="118">
        <f>VLOOKUP(C352,'Talente &amp; Stuff'!GX:HY,11,FALSE)</f>
        <v>0</v>
      </c>
      <c r="N352" s="193">
        <f>VLOOKUP(C352,'Talente &amp; Stuff'!GX:HY,12,FALSE)</f>
        <v>0</v>
      </c>
      <c r="O352" s="116">
        <f>VLOOKUP(C352,'Talente &amp; Stuff'!GX:HY,13,FALSE)</f>
        <v>0</v>
      </c>
      <c r="P352" s="92">
        <f>VLOOKUP(C352,'Talente &amp; Stuff'!GX:HY,14,FALSE)</f>
        <v>0</v>
      </c>
      <c r="Q352" s="118">
        <f>VLOOKUP(C352,'Talente &amp; Stuff'!GX:HY,15,FALSE)</f>
        <v>0</v>
      </c>
      <c r="R352" s="118">
        <f>VLOOKUP(C352,'Talente &amp; Stuff'!GX:HY,16,FALSE)</f>
        <v>0</v>
      </c>
      <c r="S352" s="118">
        <f>VLOOKUP(C352,'Talente &amp; Stuff'!GX:HY,17,FALSE)</f>
        <v>0</v>
      </c>
      <c r="T352" s="91">
        <f>VLOOKUP(C352,'Talente &amp; Stuff'!GX:HY,18,FALSE)</f>
        <v>0</v>
      </c>
      <c r="U352" s="116">
        <f>VLOOKUP(C352,'Talente &amp; Stuff'!GX:HY,19,FALSE)</f>
        <v>0</v>
      </c>
      <c r="V352" s="116">
        <f>VLOOKUP(C352,'Talente &amp; Stuff'!GX:HY,20,FALSE)</f>
        <v>0</v>
      </c>
      <c r="W352" s="116">
        <f>VLOOKUP(C352,'Talente &amp; Stuff'!GX:HY,21,FALSE)</f>
        <v>0</v>
      </c>
      <c r="X352" s="158">
        <f>VLOOKUP(C352,'Talente &amp; Stuff'!GX:HY,22,FALSE)</f>
        <v>0</v>
      </c>
      <c r="Y352" s="165">
        <f>VLOOKUP(C352,Ausgewählte_Rituale_Allgemein,226,FALSE)</f>
        <v>0</v>
      </c>
      <c r="Z352" s="44">
        <f>VLOOKUP(C352,Ausgewählte_Rituale_Allgemein,227,FALSE)</f>
        <v>0</v>
      </c>
      <c r="AA352" s="158">
        <f>VLOOKUP(C352,'Talente &amp; Stuff'!GX:HY,25,FALSE)</f>
        <v>0</v>
      </c>
      <c r="AB352" s="91">
        <f>VLOOKUP(C352,'Talente &amp; Stuff'!GX:HY,26,FALSE)</f>
        <v>0</v>
      </c>
      <c r="AC352" s="126">
        <f>VLOOKUP(C352,'Talente &amp; Stuff'!GX:HY,27,FALSE)</f>
        <v>0</v>
      </c>
      <c r="AD352" s="158">
        <f>VLOOKUP(C352,'Talente &amp; Stuff'!GX:HY,28,FALSE)</f>
        <v>0</v>
      </c>
      <c r="AE352" s="28"/>
    </row>
    <row r="353" spans="2:31" ht="15" hidden="1" customHeight="1" outlineLevel="2">
      <c r="B353" s="148">
        <v>2</v>
      </c>
      <c r="C353" s="177" t="str">
        <f>Attribute!C353</f>
        <v>---</v>
      </c>
      <c r="D353" s="86" t="str">
        <f>VLOOKUP(C353,'Talente &amp; Stuff'!GX:HY,2,FALSE)</f>
        <v>--/--/--</v>
      </c>
      <c r="E353" s="125" t="str">
        <f>VLOOKUP(C353,'Talente &amp; Stuff'!GX:HY,3,FALSE)</f>
        <v>-</v>
      </c>
      <c r="F353" s="113">
        <f>VLOOKUP(C353,'Talente &amp; Stuff'!GX:HY,4,FALSE)</f>
        <v>0</v>
      </c>
      <c r="G353" s="113">
        <f>VLOOKUP(C353,'Talente &amp; Stuff'!GX:HY,5,FALSE)</f>
        <v>0</v>
      </c>
      <c r="H353" s="113">
        <f>VLOOKUP(C353,'Talente &amp; Stuff'!GX:HY,6,FALSE)</f>
        <v>0</v>
      </c>
      <c r="I353" s="113">
        <f>VLOOKUP(C353,'Talente &amp; Stuff'!GX:HY,7,FALSE)</f>
        <v>0</v>
      </c>
      <c r="J353" s="113">
        <f>VLOOKUP(C353,'Talente &amp; Stuff'!GX:HY,8,FALSE)</f>
        <v>0</v>
      </c>
      <c r="K353" s="113">
        <f>VLOOKUP(C353,'Talente &amp; Stuff'!GX:HY,9,FALSE)</f>
        <v>0</v>
      </c>
      <c r="L353" s="113">
        <f>VLOOKUP(C353,'Talente &amp; Stuff'!GX:HY,10,FALSE)</f>
        <v>0</v>
      </c>
      <c r="M353" s="113">
        <f>VLOOKUP(C353,'Talente &amp; Stuff'!GX:HY,11,FALSE)</f>
        <v>0</v>
      </c>
      <c r="N353" s="89">
        <f>VLOOKUP(C353,'Talente &amp; Stuff'!GX:HY,12,FALSE)</f>
        <v>0</v>
      </c>
      <c r="O353" s="47">
        <f>VLOOKUP(C353,'Talente &amp; Stuff'!GX:HY,13,FALSE)</f>
        <v>0</v>
      </c>
      <c r="P353" s="119">
        <f>VLOOKUP(C353,'Talente &amp; Stuff'!GX:HY,14,FALSE)</f>
        <v>0</v>
      </c>
      <c r="Q353" s="113">
        <f>VLOOKUP(C353,'Talente &amp; Stuff'!GX:HY,15,FALSE)</f>
        <v>0</v>
      </c>
      <c r="R353" s="113">
        <f>VLOOKUP(C353,'Talente &amp; Stuff'!GX:HY,16,FALSE)</f>
        <v>0</v>
      </c>
      <c r="S353" s="113">
        <f>VLOOKUP(C353,'Talente &amp; Stuff'!GX:HY,17,FALSE)</f>
        <v>0</v>
      </c>
      <c r="T353" s="160">
        <f>VLOOKUP(C353,'Talente &amp; Stuff'!GX:HY,18,FALSE)</f>
        <v>0</v>
      </c>
      <c r="U353" s="47">
        <f>VLOOKUP(C353,'Talente &amp; Stuff'!GX:HY,19,FALSE)</f>
        <v>0</v>
      </c>
      <c r="V353" s="47">
        <f>VLOOKUP(C353,'Talente &amp; Stuff'!GX:HY,20,FALSE)</f>
        <v>0</v>
      </c>
      <c r="W353" s="47">
        <f>VLOOKUP(C353,'Talente &amp; Stuff'!GX:HY,21,FALSE)</f>
        <v>0</v>
      </c>
      <c r="X353" s="125">
        <f>VLOOKUP(C353,'Talente &amp; Stuff'!GX:HY,22,FALSE)</f>
        <v>0</v>
      </c>
      <c r="Y353" s="165">
        <f>VLOOKUP(C353,Ausgewählte_Rituale_Allgemein,226,FALSE)</f>
        <v>0</v>
      </c>
      <c r="Z353" s="44">
        <f>VLOOKUP(C353,Ausgewählte_Rituale_Allgemein,227,FALSE)</f>
        <v>0</v>
      </c>
      <c r="AA353" s="125">
        <f>VLOOKUP(C353,'Talente &amp; Stuff'!GX:HY,25,FALSE)</f>
        <v>0</v>
      </c>
      <c r="AB353" s="160">
        <f>VLOOKUP(C353,'Talente &amp; Stuff'!GX:HY,26,FALSE)</f>
        <v>0</v>
      </c>
      <c r="AC353" s="127">
        <f>VLOOKUP(C353,'Talente &amp; Stuff'!GX:HY,27,FALSE)</f>
        <v>0</v>
      </c>
      <c r="AD353" s="125">
        <f>VLOOKUP(C353,'Talente &amp; Stuff'!GX:HY,28,FALSE)</f>
        <v>0</v>
      </c>
      <c r="AE353" s="28"/>
    </row>
    <row r="354" spans="2:31" ht="15" hidden="1" customHeight="1" outlineLevel="2">
      <c r="B354" s="148">
        <v>3</v>
      </c>
      <c r="C354" s="177" t="str">
        <f>Attribute!C354</f>
        <v>---</v>
      </c>
      <c r="D354" s="86" t="str">
        <f>VLOOKUP(C354,'Talente &amp; Stuff'!GX:HY,2,FALSE)</f>
        <v>--/--/--</v>
      </c>
      <c r="E354" s="125" t="str">
        <f>VLOOKUP(C354,'Talente &amp; Stuff'!GX:HY,3,FALSE)</f>
        <v>-</v>
      </c>
      <c r="F354" s="113">
        <f>VLOOKUP(C354,'Talente &amp; Stuff'!GX:HY,4,FALSE)</f>
        <v>0</v>
      </c>
      <c r="G354" s="113">
        <f>VLOOKUP(C354,'Talente &amp; Stuff'!GX:HY,5,FALSE)</f>
        <v>0</v>
      </c>
      <c r="H354" s="113">
        <f>VLOOKUP(C354,'Talente &amp; Stuff'!GX:HY,6,FALSE)</f>
        <v>0</v>
      </c>
      <c r="I354" s="113">
        <f>VLOOKUP(C354,'Talente &amp; Stuff'!GX:HY,7,FALSE)</f>
        <v>0</v>
      </c>
      <c r="J354" s="113">
        <f>VLOOKUP(C354,'Talente &amp; Stuff'!GX:HY,8,FALSE)</f>
        <v>0</v>
      </c>
      <c r="K354" s="113">
        <f>VLOOKUP(C354,'Talente &amp; Stuff'!GX:HY,9,FALSE)</f>
        <v>0</v>
      </c>
      <c r="L354" s="113">
        <f>VLOOKUP(C354,'Talente &amp; Stuff'!GX:HY,10,FALSE)</f>
        <v>0</v>
      </c>
      <c r="M354" s="113">
        <f>VLOOKUP(C354,'Talente &amp; Stuff'!GX:HY,11,FALSE)</f>
        <v>0</v>
      </c>
      <c r="N354" s="89">
        <f>VLOOKUP(C354,'Talente &amp; Stuff'!GX:HY,12,FALSE)</f>
        <v>0</v>
      </c>
      <c r="O354" s="47">
        <f>VLOOKUP(C354,'Talente &amp; Stuff'!GX:HY,13,FALSE)</f>
        <v>0</v>
      </c>
      <c r="P354" s="119">
        <f>VLOOKUP(C354,'Talente &amp; Stuff'!GX:HY,14,FALSE)</f>
        <v>0</v>
      </c>
      <c r="Q354" s="113">
        <f>VLOOKUP(C354,'Talente &amp; Stuff'!GX:HY,15,FALSE)</f>
        <v>0</v>
      </c>
      <c r="R354" s="113">
        <f>VLOOKUP(C354,'Talente &amp; Stuff'!GX:HY,16,FALSE)</f>
        <v>0</v>
      </c>
      <c r="S354" s="113">
        <f>VLOOKUP(C354,'Talente &amp; Stuff'!GX:HY,17,FALSE)</f>
        <v>0</v>
      </c>
      <c r="T354" s="160">
        <f>VLOOKUP(C354,'Talente &amp; Stuff'!GX:HY,18,FALSE)</f>
        <v>0</v>
      </c>
      <c r="U354" s="47">
        <f>VLOOKUP(C354,'Talente &amp; Stuff'!GX:HY,19,FALSE)</f>
        <v>0</v>
      </c>
      <c r="V354" s="47">
        <f>VLOOKUP(C354,'Talente &amp; Stuff'!GX:HY,20,FALSE)</f>
        <v>0</v>
      </c>
      <c r="W354" s="47">
        <f>VLOOKUP(C354,'Talente &amp; Stuff'!GX:HY,21,FALSE)</f>
        <v>0</v>
      </c>
      <c r="X354" s="125">
        <f>VLOOKUP(C354,'Talente &amp; Stuff'!GX:HY,22,FALSE)</f>
        <v>0</v>
      </c>
      <c r="Y354" s="165">
        <f>VLOOKUP(C354,Ausgewählte_Rituale_Allgemein,226,FALSE)</f>
        <v>0</v>
      </c>
      <c r="Z354" s="44">
        <f>VLOOKUP(C354,Ausgewählte_Rituale_Allgemein,227,FALSE)</f>
        <v>0</v>
      </c>
      <c r="AA354" s="125">
        <f>VLOOKUP(C354,'Talente &amp; Stuff'!GX:HY,25,FALSE)</f>
        <v>0</v>
      </c>
      <c r="AB354" s="160">
        <f>VLOOKUP(C354,'Talente &amp; Stuff'!GX:HY,26,FALSE)</f>
        <v>0</v>
      </c>
      <c r="AC354" s="127">
        <f>VLOOKUP(C354,'Talente &amp; Stuff'!GX:HY,27,FALSE)</f>
        <v>0</v>
      </c>
      <c r="AD354" s="125">
        <f>VLOOKUP(C354,'Talente &amp; Stuff'!GX:HY,28,FALSE)</f>
        <v>0</v>
      </c>
      <c r="AE354" s="28"/>
    </row>
    <row r="355" spans="2:31" ht="15" hidden="1" customHeight="1" outlineLevel="2">
      <c r="B355" s="148">
        <v>4</v>
      </c>
      <c r="C355" s="178" t="str">
        <f>Attribute!C355</f>
        <v>---</v>
      </c>
      <c r="D355" s="23" t="str">
        <f>VLOOKUP(C355,'Talente &amp; Stuff'!GX:HY,2,FALSE)</f>
        <v>--/--/--</v>
      </c>
      <c r="E355" s="159" t="str">
        <f>VLOOKUP(C355,'Talente &amp; Stuff'!GX:HY,3,FALSE)</f>
        <v>-</v>
      </c>
      <c r="F355" s="122">
        <f>VLOOKUP(C355,'Talente &amp; Stuff'!GX:HY,4,FALSE)</f>
        <v>0</v>
      </c>
      <c r="G355" s="122">
        <f>VLOOKUP(C355,'Talente &amp; Stuff'!GX:HY,5,FALSE)</f>
        <v>0</v>
      </c>
      <c r="H355" s="122">
        <f>VLOOKUP(C355,'Talente &amp; Stuff'!GX:HY,6,FALSE)</f>
        <v>0</v>
      </c>
      <c r="I355" s="122">
        <f>VLOOKUP(C355,'Talente &amp; Stuff'!GX:HY,7,FALSE)</f>
        <v>0</v>
      </c>
      <c r="J355" s="122">
        <f>VLOOKUP(C355,'Talente &amp; Stuff'!GX:HY,8,FALSE)</f>
        <v>0</v>
      </c>
      <c r="K355" s="122">
        <f>VLOOKUP(C355,'Talente &amp; Stuff'!GX:HY,9,FALSE)</f>
        <v>0</v>
      </c>
      <c r="L355" s="122">
        <f>VLOOKUP(C355,'Talente &amp; Stuff'!GX:HY,10,FALSE)</f>
        <v>0</v>
      </c>
      <c r="M355" s="122">
        <f>VLOOKUP(C355,'Talente &amp; Stuff'!GX:HY,11,FALSE)</f>
        <v>0</v>
      </c>
      <c r="N355" s="90">
        <f>VLOOKUP(C355,'Talente &amp; Stuff'!GX:HY,12,FALSE)</f>
        <v>0</v>
      </c>
      <c r="O355" s="88">
        <f>VLOOKUP(C355,'Talente &amp; Stuff'!GX:HY,13,FALSE)</f>
        <v>0</v>
      </c>
      <c r="P355" s="123">
        <f>VLOOKUP(C355,'Talente &amp; Stuff'!GX:HY,14,FALSE)</f>
        <v>0</v>
      </c>
      <c r="Q355" s="122">
        <f>VLOOKUP(C355,'Talente &amp; Stuff'!GX:HY,15,FALSE)</f>
        <v>0</v>
      </c>
      <c r="R355" s="122">
        <f>VLOOKUP(C355,'Talente &amp; Stuff'!GX:HY,16,FALSE)</f>
        <v>0</v>
      </c>
      <c r="S355" s="122">
        <f>VLOOKUP(C355,'Talente &amp; Stuff'!GX:HY,17,FALSE)</f>
        <v>0</v>
      </c>
      <c r="T355" s="161">
        <f>VLOOKUP(C355,'Talente &amp; Stuff'!GX:HY,18,FALSE)</f>
        <v>0</v>
      </c>
      <c r="U355" s="88">
        <f>VLOOKUP(C355,'Talente &amp; Stuff'!GX:HY,19,FALSE)</f>
        <v>0</v>
      </c>
      <c r="V355" s="88">
        <f>VLOOKUP(C355,'Talente &amp; Stuff'!GX:HY,20,FALSE)</f>
        <v>0</v>
      </c>
      <c r="W355" s="88">
        <f>VLOOKUP(C355,'Talente &amp; Stuff'!GX:HY,21,FALSE)</f>
        <v>0</v>
      </c>
      <c r="X355" s="159">
        <f>VLOOKUP(C355,'Talente &amp; Stuff'!GX:HY,22,FALSE)</f>
        <v>0</v>
      </c>
      <c r="Y355" s="165">
        <f>VLOOKUP(C355,Ausgewählte_Rituale_Allgemein,226,FALSE)</f>
        <v>0</v>
      </c>
      <c r="Z355" s="44">
        <f>VLOOKUP(C355,Ausgewählte_Rituale_Allgemein,227,FALSE)</f>
        <v>0</v>
      </c>
      <c r="AA355" s="159">
        <f>VLOOKUP(C355,'Talente &amp; Stuff'!GX:HY,25,FALSE)</f>
        <v>0</v>
      </c>
      <c r="AB355" s="161">
        <f>VLOOKUP(C355,'Talente &amp; Stuff'!GX:HY,26,FALSE)</f>
        <v>0</v>
      </c>
      <c r="AC355" s="128">
        <f>VLOOKUP(C355,'Talente &amp; Stuff'!GX:HY,27,FALSE)</f>
        <v>0</v>
      </c>
      <c r="AD355" s="159">
        <f>VLOOKUP(C355,'Talente &amp; Stuff'!GX:HY,28,FALSE)</f>
        <v>0</v>
      </c>
      <c r="AE355" s="28"/>
    </row>
    <row r="356" spans="2:31" ht="15" hidden="1" customHeight="1" outlineLevel="1" collapsed="1">
      <c r="B356" s="134" t="s">
        <v>331</v>
      </c>
      <c r="C356" s="83"/>
      <c r="D356" s="84"/>
      <c r="E356" s="84"/>
    </row>
    <row r="357" spans="2:31" ht="15" hidden="1" customHeight="1" outlineLevel="2">
      <c r="B357" s="148">
        <v>1</v>
      </c>
      <c r="C357" s="176" t="str">
        <f>Attribute!C357</f>
        <v>---</v>
      </c>
      <c r="D357" s="85" t="str">
        <f>VLOOKUP(C357,'Talente &amp; Stuff'!GX:HY,2,FALSE)</f>
        <v>--/--/--</v>
      </c>
      <c r="E357" s="158" t="str">
        <f>VLOOKUP(C357,'Talente &amp; Stuff'!GX:HY,3,FALSE)</f>
        <v>-</v>
      </c>
      <c r="F357" s="118">
        <f>VLOOKUP(C357,'Talente &amp; Stuff'!GX:HY,4,FALSE)</f>
        <v>0</v>
      </c>
      <c r="G357" s="118">
        <f>VLOOKUP(C357,'Talente &amp; Stuff'!GX:HY,5,FALSE)</f>
        <v>0</v>
      </c>
      <c r="H357" s="118">
        <f>VLOOKUP(C357,'Talente &amp; Stuff'!GX:HY,6,FALSE)</f>
        <v>0</v>
      </c>
      <c r="I357" s="118">
        <f>VLOOKUP(C357,'Talente &amp; Stuff'!GX:HY,7,FALSE)</f>
        <v>0</v>
      </c>
      <c r="J357" s="118">
        <f>VLOOKUP(C357,'Talente &amp; Stuff'!GX:HY,8,FALSE)</f>
        <v>0</v>
      </c>
      <c r="K357" s="118">
        <f>VLOOKUP(C357,'Talente &amp; Stuff'!GX:HY,9,FALSE)</f>
        <v>0</v>
      </c>
      <c r="L357" s="118">
        <f>VLOOKUP(C357,'Talente &amp; Stuff'!GX:HY,10,FALSE)</f>
        <v>0</v>
      </c>
      <c r="M357" s="118">
        <f>VLOOKUP(C357,'Talente &amp; Stuff'!GX:HY,11,FALSE)</f>
        <v>0</v>
      </c>
      <c r="N357" s="193">
        <f>VLOOKUP(C357,'Talente &amp; Stuff'!GX:HY,12,FALSE)</f>
        <v>0</v>
      </c>
      <c r="O357" s="116">
        <f>VLOOKUP(C357,'Talente &amp; Stuff'!GX:HY,13,FALSE)</f>
        <v>0</v>
      </c>
      <c r="P357" s="92">
        <f>VLOOKUP(C357,'Talente &amp; Stuff'!GX:HY,14,FALSE)</f>
        <v>0</v>
      </c>
      <c r="Q357" s="118">
        <f>VLOOKUP(C357,'Talente &amp; Stuff'!GX:HY,15,FALSE)</f>
        <v>0</v>
      </c>
      <c r="R357" s="118">
        <f>VLOOKUP(C357,'Talente &amp; Stuff'!GX:HY,16,FALSE)</f>
        <v>0</v>
      </c>
      <c r="S357" s="118">
        <f>VLOOKUP(C357,'Talente &amp; Stuff'!GX:HY,17,FALSE)</f>
        <v>0</v>
      </c>
      <c r="T357" s="91">
        <f>VLOOKUP(C357,'Talente &amp; Stuff'!GX:HY,18,FALSE)</f>
        <v>0</v>
      </c>
      <c r="U357" s="116">
        <f>VLOOKUP(C357,'Talente &amp; Stuff'!GX:HY,19,FALSE)</f>
        <v>0</v>
      </c>
      <c r="V357" s="116">
        <f>VLOOKUP(C357,'Talente &amp; Stuff'!GX:HY,20,FALSE)</f>
        <v>0</v>
      </c>
      <c r="W357" s="116">
        <f>VLOOKUP(C357,'Talente &amp; Stuff'!GX:HY,21,FALSE)</f>
        <v>0</v>
      </c>
      <c r="X357" s="158">
        <f>VLOOKUP(C357,'Talente &amp; Stuff'!GX:HY,22,FALSE)</f>
        <v>0</v>
      </c>
      <c r="Y357" s="165">
        <f t="shared" ref="Y357:Y365" si="24">VLOOKUP(C357,Ausgewählte_Rituale_Druiden,226,FALSE)</f>
        <v>0</v>
      </c>
      <c r="Z357" s="44">
        <f t="shared" ref="Z357:Z365" si="25">VLOOKUP(C357,Ausgewählte_Rituale_Druiden,227,FALSE)</f>
        <v>0</v>
      </c>
      <c r="AA357" s="158">
        <f>VLOOKUP(C357,'Talente &amp; Stuff'!GX:HY,25,FALSE)</f>
        <v>0</v>
      </c>
      <c r="AB357" s="91">
        <f>VLOOKUP(C357,'Talente &amp; Stuff'!GX:HY,26,FALSE)</f>
        <v>0</v>
      </c>
      <c r="AC357" s="126">
        <f>VLOOKUP(C357,'Talente &amp; Stuff'!GX:HY,27,FALSE)</f>
        <v>0</v>
      </c>
      <c r="AD357" s="158">
        <f>VLOOKUP(C357,'Talente &amp; Stuff'!GX:HY,28,FALSE)</f>
        <v>0</v>
      </c>
      <c r="AE357" s="28"/>
    </row>
    <row r="358" spans="2:31" ht="15" hidden="1" customHeight="1" outlineLevel="2">
      <c r="B358" s="148">
        <v>2</v>
      </c>
      <c r="C358" s="177" t="str">
        <f>Attribute!C358</f>
        <v>---</v>
      </c>
      <c r="D358" s="86" t="str">
        <f>VLOOKUP(C358,'Talente &amp; Stuff'!GX:HY,2,FALSE)</f>
        <v>--/--/--</v>
      </c>
      <c r="E358" s="125" t="str">
        <f>VLOOKUP(C358,'Talente &amp; Stuff'!GX:HY,3,FALSE)</f>
        <v>-</v>
      </c>
      <c r="F358" s="113">
        <f>VLOOKUP(C358,'Talente &amp; Stuff'!GX:HY,4,FALSE)</f>
        <v>0</v>
      </c>
      <c r="G358" s="113">
        <f>VLOOKUP(C358,'Talente &amp; Stuff'!GX:HY,5,FALSE)</f>
        <v>0</v>
      </c>
      <c r="H358" s="113">
        <f>VLOOKUP(C358,'Talente &amp; Stuff'!GX:HY,6,FALSE)</f>
        <v>0</v>
      </c>
      <c r="I358" s="113">
        <f>VLOOKUP(C358,'Talente &amp; Stuff'!GX:HY,7,FALSE)</f>
        <v>0</v>
      </c>
      <c r="J358" s="113">
        <f>VLOOKUP(C358,'Talente &amp; Stuff'!GX:HY,8,FALSE)</f>
        <v>0</v>
      </c>
      <c r="K358" s="113">
        <f>VLOOKUP(C358,'Talente &amp; Stuff'!GX:HY,9,FALSE)</f>
        <v>0</v>
      </c>
      <c r="L358" s="113">
        <f>VLOOKUP(C358,'Talente &amp; Stuff'!GX:HY,10,FALSE)</f>
        <v>0</v>
      </c>
      <c r="M358" s="113">
        <f>VLOOKUP(C358,'Talente &amp; Stuff'!GX:HY,11,FALSE)</f>
        <v>0</v>
      </c>
      <c r="N358" s="89">
        <f>VLOOKUP(C358,'Talente &amp; Stuff'!GX:HY,12,FALSE)</f>
        <v>0</v>
      </c>
      <c r="O358" s="47">
        <f>VLOOKUP(C358,'Talente &amp; Stuff'!GX:HY,13,FALSE)</f>
        <v>0</v>
      </c>
      <c r="P358" s="119">
        <f>VLOOKUP(C358,'Talente &amp; Stuff'!GX:HY,14,FALSE)</f>
        <v>0</v>
      </c>
      <c r="Q358" s="113">
        <f>VLOOKUP(C358,'Talente &amp; Stuff'!GX:HY,15,FALSE)</f>
        <v>0</v>
      </c>
      <c r="R358" s="113">
        <f>VLOOKUP(C358,'Talente &amp; Stuff'!GX:HY,16,FALSE)</f>
        <v>0</v>
      </c>
      <c r="S358" s="113">
        <f>VLOOKUP(C358,'Talente &amp; Stuff'!GX:HY,17,FALSE)</f>
        <v>0</v>
      </c>
      <c r="T358" s="160">
        <f>VLOOKUP(C358,'Talente &amp; Stuff'!GX:HY,18,FALSE)</f>
        <v>0</v>
      </c>
      <c r="U358" s="47">
        <f>VLOOKUP(C358,'Talente &amp; Stuff'!GX:HY,19,FALSE)</f>
        <v>0</v>
      </c>
      <c r="V358" s="47">
        <f>VLOOKUP(C358,'Talente &amp; Stuff'!GX:HY,20,FALSE)</f>
        <v>0</v>
      </c>
      <c r="W358" s="47">
        <f>VLOOKUP(C358,'Talente &amp; Stuff'!GX:HY,21,FALSE)</f>
        <v>0</v>
      </c>
      <c r="X358" s="125">
        <f>VLOOKUP(C358,'Talente &amp; Stuff'!GX:HY,22,FALSE)</f>
        <v>0</v>
      </c>
      <c r="Y358" s="165">
        <f t="shared" si="24"/>
        <v>0</v>
      </c>
      <c r="Z358" s="44">
        <f t="shared" si="25"/>
        <v>0</v>
      </c>
      <c r="AA358" s="125">
        <f>VLOOKUP(C358,'Talente &amp; Stuff'!GX:HY,25,FALSE)</f>
        <v>0</v>
      </c>
      <c r="AB358" s="160">
        <f>VLOOKUP(C358,'Talente &amp; Stuff'!GX:HY,26,FALSE)</f>
        <v>0</v>
      </c>
      <c r="AC358" s="127">
        <f>VLOOKUP(C358,'Talente &amp; Stuff'!GX:HY,27,FALSE)</f>
        <v>0</v>
      </c>
      <c r="AD358" s="125">
        <f>VLOOKUP(C358,'Talente &amp; Stuff'!GX:HY,28,FALSE)</f>
        <v>0</v>
      </c>
      <c r="AE358" s="28"/>
    </row>
    <row r="359" spans="2:31" ht="15" hidden="1" customHeight="1" outlineLevel="2">
      <c r="B359" s="148">
        <v>3</v>
      </c>
      <c r="C359" s="177" t="str">
        <f>Attribute!C359</f>
        <v>---</v>
      </c>
      <c r="D359" s="86" t="str">
        <f>VLOOKUP(C359,'Talente &amp; Stuff'!GX:HY,2,FALSE)</f>
        <v>--/--/--</v>
      </c>
      <c r="E359" s="125" t="str">
        <f>VLOOKUP(C359,'Talente &amp; Stuff'!GX:HY,3,FALSE)</f>
        <v>-</v>
      </c>
      <c r="F359" s="113">
        <f>VLOOKUP(C359,'Talente &amp; Stuff'!GX:HY,4,FALSE)</f>
        <v>0</v>
      </c>
      <c r="G359" s="113">
        <f>VLOOKUP(C359,'Talente &amp; Stuff'!GX:HY,5,FALSE)</f>
        <v>0</v>
      </c>
      <c r="H359" s="113">
        <f>VLOOKUP(C359,'Talente &amp; Stuff'!GX:HY,6,FALSE)</f>
        <v>0</v>
      </c>
      <c r="I359" s="113">
        <f>VLOOKUP(C359,'Talente &amp; Stuff'!GX:HY,7,FALSE)</f>
        <v>0</v>
      </c>
      <c r="J359" s="113">
        <f>VLOOKUP(C359,'Talente &amp; Stuff'!GX:HY,8,FALSE)</f>
        <v>0</v>
      </c>
      <c r="K359" s="113">
        <f>VLOOKUP(C359,'Talente &amp; Stuff'!GX:HY,9,FALSE)</f>
        <v>0</v>
      </c>
      <c r="L359" s="113">
        <f>VLOOKUP(C359,'Talente &amp; Stuff'!GX:HY,10,FALSE)</f>
        <v>0</v>
      </c>
      <c r="M359" s="113">
        <f>VLOOKUP(C359,'Talente &amp; Stuff'!GX:HY,11,FALSE)</f>
        <v>0</v>
      </c>
      <c r="N359" s="89">
        <f>VLOOKUP(C359,'Talente &amp; Stuff'!GX:HY,12,FALSE)</f>
        <v>0</v>
      </c>
      <c r="O359" s="47">
        <f>VLOOKUP(C359,'Talente &amp; Stuff'!GX:HY,13,FALSE)</f>
        <v>0</v>
      </c>
      <c r="P359" s="119">
        <f>VLOOKUP(C359,'Talente &amp; Stuff'!GX:HY,14,FALSE)</f>
        <v>0</v>
      </c>
      <c r="Q359" s="113">
        <f>VLOOKUP(C359,'Talente &amp; Stuff'!GX:HY,15,FALSE)</f>
        <v>0</v>
      </c>
      <c r="R359" s="113">
        <f>VLOOKUP(C359,'Talente &amp; Stuff'!GX:HY,16,FALSE)</f>
        <v>0</v>
      </c>
      <c r="S359" s="113">
        <f>VLOOKUP(C359,'Talente &amp; Stuff'!GX:HY,17,FALSE)</f>
        <v>0</v>
      </c>
      <c r="T359" s="160">
        <f>VLOOKUP(C359,'Talente &amp; Stuff'!GX:HY,18,FALSE)</f>
        <v>0</v>
      </c>
      <c r="U359" s="47">
        <f>VLOOKUP(C359,'Talente &amp; Stuff'!GX:HY,19,FALSE)</f>
        <v>0</v>
      </c>
      <c r="V359" s="47">
        <f>VLOOKUP(C359,'Talente &amp; Stuff'!GX:HY,20,FALSE)</f>
        <v>0</v>
      </c>
      <c r="W359" s="47">
        <f>VLOOKUP(C359,'Talente &amp; Stuff'!GX:HY,21,FALSE)</f>
        <v>0</v>
      </c>
      <c r="X359" s="125">
        <f>VLOOKUP(C359,'Talente &amp; Stuff'!GX:HY,22,FALSE)</f>
        <v>0</v>
      </c>
      <c r="Y359" s="165">
        <f t="shared" si="24"/>
        <v>0</v>
      </c>
      <c r="Z359" s="44">
        <f t="shared" si="25"/>
        <v>0</v>
      </c>
      <c r="AA359" s="125">
        <f>VLOOKUP(C359,'Talente &amp; Stuff'!GX:HY,25,FALSE)</f>
        <v>0</v>
      </c>
      <c r="AB359" s="160">
        <f>VLOOKUP(C359,'Talente &amp; Stuff'!GX:HY,26,FALSE)</f>
        <v>0</v>
      </c>
      <c r="AC359" s="127">
        <f>VLOOKUP(C359,'Talente &amp; Stuff'!GX:HY,27,FALSE)</f>
        <v>0</v>
      </c>
      <c r="AD359" s="125">
        <f>VLOOKUP(C359,'Talente &amp; Stuff'!GX:HY,28,FALSE)</f>
        <v>0</v>
      </c>
      <c r="AE359" s="28"/>
    </row>
    <row r="360" spans="2:31" ht="15" hidden="1" customHeight="1" outlineLevel="2">
      <c r="B360" s="148">
        <v>4</v>
      </c>
      <c r="C360" s="177" t="str">
        <f>Attribute!C360</f>
        <v>---</v>
      </c>
      <c r="D360" s="86" t="str">
        <f>VLOOKUP(C360,'Talente &amp; Stuff'!GX:HY,2,FALSE)</f>
        <v>--/--/--</v>
      </c>
      <c r="E360" s="125" t="str">
        <f>VLOOKUP(C360,'Talente &amp; Stuff'!GX:HY,3,FALSE)</f>
        <v>-</v>
      </c>
      <c r="F360" s="113">
        <f>VLOOKUP(C360,'Talente &amp; Stuff'!GX:HY,4,FALSE)</f>
        <v>0</v>
      </c>
      <c r="G360" s="113">
        <f>VLOOKUP(C360,'Talente &amp; Stuff'!GX:HY,5,FALSE)</f>
        <v>0</v>
      </c>
      <c r="H360" s="113">
        <f>VLOOKUP(C360,'Talente &amp; Stuff'!GX:HY,6,FALSE)</f>
        <v>0</v>
      </c>
      <c r="I360" s="113">
        <f>VLOOKUP(C360,'Talente &amp; Stuff'!GX:HY,7,FALSE)</f>
        <v>0</v>
      </c>
      <c r="J360" s="113">
        <f>VLOOKUP(C360,'Talente &amp; Stuff'!GX:HY,8,FALSE)</f>
        <v>0</v>
      </c>
      <c r="K360" s="113">
        <f>VLOOKUP(C360,'Talente &amp; Stuff'!GX:HY,9,FALSE)</f>
        <v>0</v>
      </c>
      <c r="L360" s="113">
        <f>VLOOKUP(C360,'Talente &amp; Stuff'!GX:HY,10,FALSE)</f>
        <v>0</v>
      </c>
      <c r="M360" s="113">
        <f>VLOOKUP(C360,'Talente &amp; Stuff'!GX:HY,11,FALSE)</f>
        <v>0</v>
      </c>
      <c r="N360" s="89">
        <f>VLOOKUP(C360,'Talente &amp; Stuff'!GX:HY,12,FALSE)</f>
        <v>0</v>
      </c>
      <c r="O360" s="47">
        <f>VLOOKUP(C360,'Talente &amp; Stuff'!GX:HY,13,FALSE)</f>
        <v>0</v>
      </c>
      <c r="P360" s="119">
        <f>VLOOKUP(C360,'Talente &amp; Stuff'!GX:HY,14,FALSE)</f>
        <v>0</v>
      </c>
      <c r="Q360" s="113">
        <f>VLOOKUP(C360,'Talente &amp; Stuff'!GX:HY,15,FALSE)</f>
        <v>0</v>
      </c>
      <c r="R360" s="113">
        <f>VLOOKUP(C360,'Talente &amp; Stuff'!GX:HY,16,FALSE)</f>
        <v>0</v>
      </c>
      <c r="S360" s="113">
        <f>VLOOKUP(C360,'Talente &amp; Stuff'!GX:HY,17,FALSE)</f>
        <v>0</v>
      </c>
      <c r="T360" s="160">
        <f>VLOOKUP(C360,'Talente &amp; Stuff'!GX:HY,18,FALSE)</f>
        <v>0</v>
      </c>
      <c r="U360" s="47">
        <f>VLOOKUP(C360,'Talente &amp; Stuff'!GX:HY,19,FALSE)</f>
        <v>0</v>
      </c>
      <c r="V360" s="47">
        <f>VLOOKUP(C360,'Talente &amp; Stuff'!GX:HY,20,FALSE)</f>
        <v>0</v>
      </c>
      <c r="W360" s="47">
        <f>VLOOKUP(C360,'Talente &amp; Stuff'!GX:HY,21,FALSE)</f>
        <v>0</v>
      </c>
      <c r="X360" s="125">
        <f>VLOOKUP(C360,'Talente &amp; Stuff'!GX:HY,22,FALSE)</f>
        <v>0</v>
      </c>
      <c r="Y360" s="165">
        <f t="shared" si="24"/>
        <v>0</v>
      </c>
      <c r="Z360" s="44">
        <f t="shared" si="25"/>
        <v>0</v>
      </c>
      <c r="AA360" s="125">
        <f>VLOOKUP(C360,'Talente &amp; Stuff'!GX:HY,25,FALSE)</f>
        <v>0</v>
      </c>
      <c r="AB360" s="160">
        <f>VLOOKUP(C360,'Talente &amp; Stuff'!GX:HY,26,FALSE)</f>
        <v>0</v>
      </c>
      <c r="AC360" s="127">
        <f>VLOOKUP(C360,'Talente &amp; Stuff'!GX:HY,27,FALSE)</f>
        <v>0</v>
      </c>
      <c r="AD360" s="125">
        <f>VLOOKUP(C360,'Talente &amp; Stuff'!GX:HY,28,FALSE)</f>
        <v>0</v>
      </c>
      <c r="AE360" s="28"/>
    </row>
    <row r="361" spans="2:31" ht="15" hidden="1" customHeight="1" outlineLevel="2">
      <c r="B361" s="148">
        <v>5</v>
      </c>
      <c r="C361" s="177" t="str">
        <f>Attribute!C361</f>
        <v>---</v>
      </c>
      <c r="D361" s="86" t="str">
        <f>VLOOKUP(C361,'Talente &amp; Stuff'!GX:HY,2,FALSE)</f>
        <v>--/--/--</v>
      </c>
      <c r="E361" s="125" t="str">
        <f>VLOOKUP(C361,'Talente &amp; Stuff'!GX:HY,3,FALSE)</f>
        <v>-</v>
      </c>
      <c r="F361" s="113">
        <f>VLOOKUP(C361,'Talente &amp; Stuff'!GX:HY,4,FALSE)</f>
        <v>0</v>
      </c>
      <c r="G361" s="113">
        <f>VLOOKUP(C361,'Talente &amp; Stuff'!GX:HY,5,FALSE)</f>
        <v>0</v>
      </c>
      <c r="H361" s="113">
        <f>VLOOKUP(C361,'Talente &amp; Stuff'!GX:HY,6,FALSE)</f>
        <v>0</v>
      </c>
      <c r="I361" s="113">
        <f>VLOOKUP(C361,'Talente &amp; Stuff'!GX:HY,7,FALSE)</f>
        <v>0</v>
      </c>
      <c r="J361" s="113">
        <f>VLOOKUP(C361,'Talente &amp; Stuff'!GX:HY,8,FALSE)</f>
        <v>0</v>
      </c>
      <c r="K361" s="113">
        <f>VLOOKUP(C361,'Talente &amp; Stuff'!GX:HY,9,FALSE)</f>
        <v>0</v>
      </c>
      <c r="L361" s="113">
        <f>VLOOKUP(C361,'Talente &amp; Stuff'!GX:HY,10,FALSE)</f>
        <v>0</v>
      </c>
      <c r="M361" s="113">
        <f>VLOOKUP(C361,'Talente &amp; Stuff'!GX:HY,11,FALSE)</f>
        <v>0</v>
      </c>
      <c r="N361" s="89">
        <f>VLOOKUP(C361,'Talente &amp; Stuff'!GX:HY,12,FALSE)</f>
        <v>0</v>
      </c>
      <c r="O361" s="47">
        <f>VLOOKUP(C361,'Talente &amp; Stuff'!GX:HY,13,FALSE)</f>
        <v>0</v>
      </c>
      <c r="P361" s="119">
        <f>VLOOKUP(C361,'Talente &amp; Stuff'!GX:HY,14,FALSE)</f>
        <v>0</v>
      </c>
      <c r="Q361" s="113">
        <f>VLOOKUP(C361,'Talente &amp; Stuff'!GX:HY,15,FALSE)</f>
        <v>0</v>
      </c>
      <c r="R361" s="113">
        <f>VLOOKUP(C361,'Talente &amp; Stuff'!GX:HY,16,FALSE)</f>
        <v>0</v>
      </c>
      <c r="S361" s="113">
        <f>VLOOKUP(C361,'Talente &amp; Stuff'!GX:HY,17,FALSE)</f>
        <v>0</v>
      </c>
      <c r="T361" s="160">
        <f>VLOOKUP(C361,'Talente &amp; Stuff'!GX:HY,18,FALSE)</f>
        <v>0</v>
      </c>
      <c r="U361" s="47">
        <f>VLOOKUP(C361,'Talente &amp; Stuff'!GX:HY,19,FALSE)</f>
        <v>0</v>
      </c>
      <c r="V361" s="47">
        <f>VLOOKUP(C361,'Talente &amp; Stuff'!GX:HY,20,FALSE)</f>
        <v>0</v>
      </c>
      <c r="W361" s="47">
        <f>VLOOKUP(C361,'Talente &amp; Stuff'!GX:HY,21,FALSE)</f>
        <v>0</v>
      </c>
      <c r="X361" s="125">
        <f>VLOOKUP(C361,'Talente &amp; Stuff'!GX:HY,22,FALSE)</f>
        <v>0</v>
      </c>
      <c r="Y361" s="165">
        <f t="shared" si="24"/>
        <v>0</v>
      </c>
      <c r="Z361" s="44">
        <f t="shared" si="25"/>
        <v>0</v>
      </c>
      <c r="AA361" s="125">
        <f>VLOOKUP(C361,'Talente &amp; Stuff'!GX:HY,25,FALSE)</f>
        <v>0</v>
      </c>
      <c r="AB361" s="160">
        <f>VLOOKUP(C361,'Talente &amp; Stuff'!GX:HY,26,FALSE)</f>
        <v>0</v>
      </c>
      <c r="AC361" s="127">
        <f>VLOOKUP(C361,'Talente &amp; Stuff'!GX:HY,27,FALSE)</f>
        <v>0</v>
      </c>
      <c r="AD361" s="125">
        <f>VLOOKUP(C361,'Talente &amp; Stuff'!GX:HY,28,FALSE)</f>
        <v>0</v>
      </c>
      <c r="AE361" s="28"/>
    </row>
    <row r="362" spans="2:31" ht="15" hidden="1" customHeight="1" outlineLevel="2">
      <c r="B362" s="148">
        <v>6</v>
      </c>
      <c r="C362" s="177" t="str">
        <f>Attribute!C362</f>
        <v>---</v>
      </c>
      <c r="D362" s="86" t="str">
        <f>VLOOKUP(C362,'Talente &amp; Stuff'!GX:HY,2,FALSE)</f>
        <v>--/--/--</v>
      </c>
      <c r="E362" s="125" t="str">
        <f>VLOOKUP(C362,'Talente &amp; Stuff'!GX:HY,3,FALSE)</f>
        <v>-</v>
      </c>
      <c r="F362" s="113">
        <f>VLOOKUP(C362,'Talente &amp; Stuff'!GX:HY,4,FALSE)</f>
        <v>0</v>
      </c>
      <c r="G362" s="113">
        <f>VLOOKUP(C362,'Talente &amp; Stuff'!GX:HY,5,FALSE)</f>
        <v>0</v>
      </c>
      <c r="H362" s="113">
        <f>VLOOKUP(C362,'Talente &amp; Stuff'!GX:HY,6,FALSE)</f>
        <v>0</v>
      </c>
      <c r="I362" s="113">
        <f>VLOOKUP(C362,'Talente &amp; Stuff'!GX:HY,7,FALSE)</f>
        <v>0</v>
      </c>
      <c r="J362" s="113">
        <f>VLOOKUP(C362,'Talente &amp; Stuff'!GX:HY,8,FALSE)</f>
        <v>0</v>
      </c>
      <c r="K362" s="113">
        <f>VLOOKUP(C362,'Talente &amp; Stuff'!GX:HY,9,FALSE)</f>
        <v>0</v>
      </c>
      <c r="L362" s="113">
        <f>VLOOKUP(C362,'Talente &amp; Stuff'!GX:HY,10,FALSE)</f>
        <v>0</v>
      </c>
      <c r="M362" s="113">
        <f>VLOOKUP(C362,'Talente &amp; Stuff'!GX:HY,11,FALSE)</f>
        <v>0</v>
      </c>
      <c r="N362" s="89">
        <f>VLOOKUP(C362,'Talente &amp; Stuff'!GX:HY,12,FALSE)</f>
        <v>0</v>
      </c>
      <c r="O362" s="47">
        <f>VLOOKUP(C362,'Talente &amp; Stuff'!GX:HY,13,FALSE)</f>
        <v>0</v>
      </c>
      <c r="P362" s="119">
        <f>VLOOKUP(C362,'Talente &amp; Stuff'!GX:HY,14,FALSE)</f>
        <v>0</v>
      </c>
      <c r="Q362" s="113">
        <f>VLOOKUP(C362,'Talente &amp; Stuff'!GX:HY,15,FALSE)</f>
        <v>0</v>
      </c>
      <c r="R362" s="113">
        <f>VLOOKUP(C362,'Talente &amp; Stuff'!GX:HY,16,FALSE)</f>
        <v>0</v>
      </c>
      <c r="S362" s="113">
        <f>VLOOKUP(C362,'Talente &amp; Stuff'!GX:HY,17,FALSE)</f>
        <v>0</v>
      </c>
      <c r="T362" s="160">
        <f>VLOOKUP(C362,'Talente &amp; Stuff'!GX:HY,18,FALSE)</f>
        <v>0</v>
      </c>
      <c r="U362" s="47">
        <f>VLOOKUP(C362,'Talente &amp; Stuff'!GX:HY,19,FALSE)</f>
        <v>0</v>
      </c>
      <c r="V362" s="47">
        <f>VLOOKUP(C362,'Talente &amp; Stuff'!GX:HY,20,FALSE)</f>
        <v>0</v>
      </c>
      <c r="W362" s="47">
        <f>VLOOKUP(C362,'Talente &amp; Stuff'!GX:HY,21,FALSE)</f>
        <v>0</v>
      </c>
      <c r="X362" s="125">
        <f>VLOOKUP(C362,'Talente &amp; Stuff'!GX:HY,22,FALSE)</f>
        <v>0</v>
      </c>
      <c r="Y362" s="165">
        <f t="shared" si="24"/>
        <v>0</v>
      </c>
      <c r="Z362" s="44">
        <f t="shared" si="25"/>
        <v>0</v>
      </c>
      <c r="AA362" s="125">
        <f>VLOOKUP(C362,'Talente &amp; Stuff'!GX:HY,25,FALSE)</f>
        <v>0</v>
      </c>
      <c r="AB362" s="160">
        <f>VLOOKUP(C362,'Talente &amp; Stuff'!GX:HY,26,FALSE)</f>
        <v>0</v>
      </c>
      <c r="AC362" s="127">
        <f>VLOOKUP(C362,'Talente &amp; Stuff'!GX:HY,27,FALSE)</f>
        <v>0</v>
      </c>
      <c r="AD362" s="125">
        <f>VLOOKUP(C362,'Talente &amp; Stuff'!GX:HY,28,FALSE)</f>
        <v>0</v>
      </c>
      <c r="AE362" s="28"/>
    </row>
    <row r="363" spans="2:31" ht="15" hidden="1" customHeight="1" outlineLevel="2">
      <c r="B363" s="148">
        <v>7</v>
      </c>
      <c r="C363" s="177" t="str">
        <f>Attribute!C363</f>
        <v>---</v>
      </c>
      <c r="D363" s="86" t="str">
        <f>VLOOKUP(C363,'Talente &amp; Stuff'!GX:HY,2,FALSE)</f>
        <v>--/--/--</v>
      </c>
      <c r="E363" s="125" t="str">
        <f>VLOOKUP(C363,'Talente &amp; Stuff'!GX:HY,3,FALSE)</f>
        <v>-</v>
      </c>
      <c r="F363" s="113">
        <f>VLOOKUP(C363,'Talente &amp; Stuff'!GX:HY,4,FALSE)</f>
        <v>0</v>
      </c>
      <c r="G363" s="113">
        <f>VLOOKUP(C363,'Talente &amp; Stuff'!GX:HY,5,FALSE)</f>
        <v>0</v>
      </c>
      <c r="H363" s="113">
        <f>VLOOKUP(C363,'Talente &amp; Stuff'!GX:HY,6,FALSE)</f>
        <v>0</v>
      </c>
      <c r="I363" s="113">
        <f>VLOOKUP(C363,'Talente &amp; Stuff'!GX:HY,7,FALSE)</f>
        <v>0</v>
      </c>
      <c r="J363" s="113">
        <f>VLOOKUP(C363,'Talente &amp; Stuff'!GX:HY,8,FALSE)</f>
        <v>0</v>
      </c>
      <c r="K363" s="113">
        <f>VLOOKUP(C363,'Talente &amp; Stuff'!GX:HY,9,FALSE)</f>
        <v>0</v>
      </c>
      <c r="L363" s="113">
        <f>VLOOKUP(C363,'Talente &amp; Stuff'!GX:HY,10,FALSE)</f>
        <v>0</v>
      </c>
      <c r="M363" s="113">
        <f>VLOOKUP(C363,'Talente &amp; Stuff'!GX:HY,11,FALSE)</f>
        <v>0</v>
      </c>
      <c r="N363" s="89">
        <f>VLOOKUP(C363,'Talente &amp; Stuff'!GX:HY,12,FALSE)</f>
        <v>0</v>
      </c>
      <c r="O363" s="47">
        <f>VLOOKUP(C363,'Talente &amp; Stuff'!GX:HY,13,FALSE)</f>
        <v>0</v>
      </c>
      <c r="P363" s="119">
        <f>VLOOKUP(C363,'Talente &amp; Stuff'!GX:HY,14,FALSE)</f>
        <v>0</v>
      </c>
      <c r="Q363" s="113">
        <f>VLOOKUP(C363,'Talente &amp; Stuff'!GX:HY,15,FALSE)</f>
        <v>0</v>
      </c>
      <c r="R363" s="113">
        <f>VLOOKUP(C363,'Talente &amp; Stuff'!GX:HY,16,FALSE)</f>
        <v>0</v>
      </c>
      <c r="S363" s="113">
        <f>VLOOKUP(C363,'Talente &amp; Stuff'!GX:HY,17,FALSE)</f>
        <v>0</v>
      </c>
      <c r="T363" s="160">
        <f>VLOOKUP(C363,'Talente &amp; Stuff'!GX:HY,18,FALSE)</f>
        <v>0</v>
      </c>
      <c r="U363" s="47">
        <f>VLOOKUP(C363,'Talente &amp; Stuff'!GX:HY,19,FALSE)</f>
        <v>0</v>
      </c>
      <c r="V363" s="47">
        <f>VLOOKUP(C363,'Talente &amp; Stuff'!GX:HY,20,FALSE)</f>
        <v>0</v>
      </c>
      <c r="W363" s="47">
        <f>VLOOKUP(C363,'Talente &amp; Stuff'!GX:HY,21,FALSE)</f>
        <v>0</v>
      </c>
      <c r="X363" s="125">
        <f>VLOOKUP(C363,'Talente &amp; Stuff'!GX:HY,22,FALSE)</f>
        <v>0</v>
      </c>
      <c r="Y363" s="165">
        <f t="shared" si="24"/>
        <v>0</v>
      </c>
      <c r="Z363" s="44">
        <f t="shared" si="25"/>
        <v>0</v>
      </c>
      <c r="AA363" s="125">
        <f>VLOOKUP(C363,'Talente &amp; Stuff'!GX:HY,25,FALSE)</f>
        <v>0</v>
      </c>
      <c r="AB363" s="160">
        <f>VLOOKUP(C363,'Talente &amp; Stuff'!GX:HY,26,FALSE)</f>
        <v>0</v>
      </c>
      <c r="AC363" s="127">
        <f>VLOOKUP(C363,'Talente &amp; Stuff'!GX:HY,27,FALSE)</f>
        <v>0</v>
      </c>
      <c r="AD363" s="125">
        <f>VLOOKUP(C363,'Talente &amp; Stuff'!GX:HY,28,FALSE)</f>
        <v>0</v>
      </c>
      <c r="AE363" s="28"/>
    </row>
    <row r="364" spans="2:31" ht="15" hidden="1" customHeight="1" outlineLevel="2">
      <c r="B364" s="148">
        <v>8</v>
      </c>
      <c r="C364" s="177" t="str">
        <f>Attribute!C364</f>
        <v>---</v>
      </c>
      <c r="D364" s="86" t="str">
        <f>VLOOKUP(C364,'Talente &amp; Stuff'!GX:HY,2,FALSE)</f>
        <v>--/--/--</v>
      </c>
      <c r="E364" s="125" t="str">
        <f>VLOOKUP(C364,'Talente &amp; Stuff'!GX:HY,3,FALSE)</f>
        <v>-</v>
      </c>
      <c r="F364" s="113">
        <f>VLOOKUP(C364,'Talente &amp; Stuff'!GX:HY,4,FALSE)</f>
        <v>0</v>
      </c>
      <c r="G364" s="113">
        <f>VLOOKUP(C364,'Talente &amp; Stuff'!GX:HY,5,FALSE)</f>
        <v>0</v>
      </c>
      <c r="H364" s="113">
        <f>VLOOKUP(C364,'Talente &amp; Stuff'!GX:HY,6,FALSE)</f>
        <v>0</v>
      </c>
      <c r="I364" s="113">
        <f>VLOOKUP(C364,'Talente &amp; Stuff'!GX:HY,7,FALSE)</f>
        <v>0</v>
      </c>
      <c r="J364" s="113">
        <f>VLOOKUP(C364,'Talente &amp; Stuff'!GX:HY,8,FALSE)</f>
        <v>0</v>
      </c>
      <c r="K364" s="113">
        <f>VLOOKUP(C364,'Talente &amp; Stuff'!GX:HY,9,FALSE)</f>
        <v>0</v>
      </c>
      <c r="L364" s="113">
        <f>VLOOKUP(C364,'Talente &amp; Stuff'!GX:HY,10,FALSE)</f>
        <v>0</v>
      </c>
      <c r="M364" s="113">
        <f>VLOOKUP(C364,'Talente &amp; Stuff'!GX:HY,11,FALSE)</f>
        <v>0</v>
      </c>
      <c r="N364" s="89">
        <f>VLOOKUP(C364,'Talente &amp; Stuff'!GX:HY,12,FALSE)</f>
        <v>0</v>
      </c>
      <c r="O364" s="47">
        <f>VLOOKUP(C364,'Talente &amp; Stuff'!GX:HY,13,FALSE)</f>
        <v>0</v>
      </c>
      <c r="P364" s="119">
        <f>VLOOKUP(C364,'Talente &amp; Stuff'!GX:HY,14,FALSE)</f>
        <v>0</v>
      </c>
      <c r="Q364" s="113">
        <f>VLOOKUP(C364,'Talente &amp; Stuff'!GX:HY,15,FALSE)</f>
        <v>0</v>
      </c>
      <c r="R364" s="113">
        <f>VLOOKUP(C364,'Talente &amp; Stuff'!GX:HY,16,FALSE)</f>
        <v>0</v>
      </c>
      <c r="S364" s="113">
        <f>VLOOKUP(C364,'Talente &amp; Stuff'!GX:HY,17,FALSE)</f>
        <v>0</v>
      </c>
      <c r="T364" s="160">
        <f>VLOOKUP(C364,'Talente &amp; Stuff'!GX:HY,18,FALSE)</f>
        <v>0</v>
      </c>
      <c r="U364" s="47">
        <f>VLOOKUP(C364,'Talente &amp; Stuff'!GX:HY,19,FALSE)</f>
        <v>0</v>
      </c>
      <c r="V364" s="47">
        <f>VLOOKUP(C364,'Talente &amp; Stuff'!GX:HY,20,FALSE)</f>
        <v>0</v>
      </c>
      <c r="W364" s="47">
        <f>VLOOKUP(C364,'Talente &amp; Stuff'!GX:HY,21,FALSE)</f>
        <v>0</v>
      </c>
      <c r="X364" s="125">
        <f>VLOOKUP(C364,'Talente &amp; Stuff'!GX:HY,22,FALSE)</f>
        <v>0</v>
      </c>
      <c r="Y364" s="165">
        <f t="shared" si="24"/>
        <v>0</v>
      </c>
      <c r="Z364" s="44">
        <f t="shared" si="25"/>
        <v>0</v>
      </c>
      <c r="AA364" s="125">
        <f>VLOOKUP(C364,'Talente &amp; Stuff'!GX:HY,25,FALSE)</f>
        <v>0</v>
      </c>
      <c r="AB364" s="160">
        <f>VLOOKUP(C364,'Talente &amp; Stuff'!GX:HY,26,FALSE)</f>
        <v>0</v>
      </c>
      <c r="AC364" s="127">
        <f>VLOOKUP(C364,'Talente &amp; Stuff'!GX:HY,27,FALSE)</f>
        <v>0</v>
      </c>
      <c r="AD364" s="125">
        <f>VLOOKUP(C364,'Talente &amp; Stuff'!GX:HY,28,FALSE)</f>
        <v>0</v>
      </c>
      <c r="AE364" s="28"/>
    </row>
    <row r="365" spans="2:31" ht="15" hidden="1" customHeight="1" outlineLevel="2">
      <c r="B365" s="148">
        <v>9</v>
      </c>
      <c r="C365" s="178" t="str">
        <f>Attribute!C365</f>
        <v>---</v>
      </c>
      <c r="D365" s="87" t="str">
        <f>VLOOKUP(C365,'Talente &amp; Stuff'!GX:HY,2,FALSE)</f>
        <v>--/--/--</v>
      </c>
      <c r="E365" s="159" t="str">
        <f>VLOOKUP(C365,'Talente &amp; Stuff'!GX:HY,3,FALSE)</f>
        <v>-</v>
      </c>
      <c r="F365" s="122">
        <f>VLOOKUP(C365,'Talente &amp; Stuff'!GX:HY,4,FALSE)</f>
        <v>0</v>
      </c>
      <c r="G365" s="122">
        <f>VLOOKUP(C365,'Talente &amp; Stuff'!GX:HY,5,FALSE)</f>
        <v>0</v>
      </c>
      <c r="H365" s="122">
        <f>VLOOKUP(C365,'Talente &amp; Stuff'!GX:HY,6,FALSE)</f>
        <v>0</v>
      </c>
      <c r="I365" s="122">
        <f>VLOOKUP(C365,'Talente &amp; Stuff'!GX:HY,7,FALSE)</f>
        <v>0</v>
      </c>
      <c r="J365" s="122">
        <f>VLOOKUP(C365,'Talente &amp; Stuff'!GX:HY,8,FALSE)</f>
        <v>0</v>
      </c>
      <c r="K365" s="122">
        <f>VLOOKUP(C365,'Talente &amp; Stuff'!GX:HY,9,FALSE)</f>
        <v>0</v>
      </c>
      <c r="L365" s="122">
        <f>VLOOKUP(C365,'Talente &amp; Stuff'!GX:HY,10,FALSE)</f>
        <v>0</v>
      </c>
      <c r="M365" s="122">
        <f>VLOOKUP(C365,'Talente &amp; Stuff'!GX:HY,11,FALSE)</f>
        <v>0</v>
      </c>
      <c r="N365" s="90">
        <f>VLOOKUP(C365,'Talente &amp; Stuff'!GX:HY,12,FALSE)</f>
        <v>0</v>
      </c>
      <c r="O365" s="88">
        <f>VLOOKUP(C365,'Talente &amp; Stuff'!GX:HY,13,FALSE)</f>
        <v>0</v>
      </c>
      <c r="P365" s="123">
        <f>VLOOKUP(C365,'Talente &amp; Stuff'!GX:HY,14,FALSE)</f>
        <v>0</v>
      </c>
      <c r="Q365" s="122">
        <f>VLOOKUP(C365,'Talente &amp; Stuff'!GX:HY,15,FALSE)</f>
        <v>0</v>
      </c>
      <c r="R365" s="122">
        <f>VLOOKUP(C365,'Talente &amp; Stuff'!GX:HY,16,FALSE)</f>
        <v>0</v>
      </c>
      <c r="S365" s="122">
        <f>VLOOKUP(C365,'Talente &amp; Stuff'!GX:HY,17,FALSE)</f>
        <v>0</v>
      </c>
      <c r="T365" s="161">
        <f>VLOOKUP(C365,'Talente &amp; Stuff'!GX:HY,18,FALSE)</f>
        <v>0</v>
      </c>
      <c r="U365" s="88">
        <f>VLOOKUP(C365,'Talente &amp; Stuff'!GX:HY,19,FALSE)</f>
        <v>0</v>
      </c>
      <c r="V365" s="88">
        <f>VLOOKUP(C365,'Talente &amp; Stuff'!GX:HY,20,FALSE)</f>
        <v>0</v>
      </c>
      <c r="W365" s="88">
        <f>VLOOKUP(C365,'Talente &amp; Stuff'!GX:HY,21,FALSE)</f>
        <v>0</v>
      </c>
      <c r="X365" s="159">
        <f>VLOOKUP(C365,'Talente &amp; Stuff'!GX:HY,22,FALSE)</f>
        <v>0</v>
      </c>
      <c r="Y365" s="165">
        <f t="shared" si="24"/>
        <v>0</v>
      </c>
      <c r="Z365" s="44">
        <f t="shared" si="25"/>
        <v>0</v>
      </c>
      <c r="AA365" s="159">
        <f>VLOOKUP(C365,'Talente &amp; Stuff'!GX:HY,25,FALSE)</f>
        <v>0</v>
      </c>
      <c r="AB365" s="161">
        <f>VLOOKUP(C365,'Talente &amp; Stuff'!GX:HY,26,FALSE)</f>
        <v>0</v>
      </c>
      <c r="AC365" s="128">
        <f>VLOOKUP(C365,'Talente &amp; Stuff'!GX:HY,27,FALSE)</f>
        <v>0</v>
      </c>
      <c r="AD365" s="159">
        <f>VLOOKUP(C365,'Talente &amp; Stuff'!GX:HY,28,FALSE)</f>
        <v>0</v>
      </c>
      <c r="AE365" s="28"/>
    </row>
    <row r="366" spans="2:31" ht="15" hidden="1" customHeight="1" outlineLevel="1" collapsed="1">
      <c r="B366" s="134" t="s">
        <v>330</v>
      </c>
      <c r="C366" s="83"/>
      <c r="D366" s="84"/>
      <c r="E366" s="84"/>
    </row>
    <row r="367" spans="2:31" ht="15" hidden="1" customHeight="1" outlineLevel="2">
      <c r="B367" s="148">
        <v>1</v>
      </c>
      <c r="C367" s="176" t="str">
        <f>Attribute!C367</f>
        <v>---</v>
      </c>
      <c r="D367" s="158" t="str">
        <f>VLOOKUP(C367,'Talente &amp; Stuff'!GX:HY,2,FALSE)</f>
        <v>--/--/--</v>
      </c>
      <c r="E367" s="158" t="str">
        <f>VLOOKUP(C367,'Talente &amp; Stuff'!GX:HY,3,FALSE)</f>
        <v>-</v>
      </c>
      <c r="F367" s="118">
        <f>VLOOKUP(C367,'Talente &amp; Stuff'!GX:HY,4,FALSE)</f>
        <v>0</v>
      </c>
      <c r="G367" s="118">
        <f>VLOOKUP(C367,'Talente &amp; Stuff'!GX:HY,5,FALSE)</f>
        <v>0</v>
      </c>
      <c r="H367" s="118">
        <f>VLOOKUP(C367,'Talente &amp; Stuff'!GX:HY,6,FALSE)</f>
        <v>0</v>
      </c>
      <c r="I367" s="118">
        <f>VLOOKUP(C367,'Talente &amp; Stuff'!GX:HY,7,FALSE)</f>
        <v>0</v>
      </c>
      <c r="J367" s="118">
        <f>VLOOKUP(C367,'Talente &amp; Stuff'!GX:HY,8,FALSE)</f>
        <v>0</v>
      </c>
      <c r="K367" s="118">
        <f>VLOOKUP(C367,'Talente &amp; Stuff'!GX:HY,9,FALSE)</f>
        <v>0</v>
      </c>
      <c r="L367" s="118">
        <f>VLOOKUP(C367,'Talente &amp; Stuff'!GX:HY,10,FALSE)</f>
        <v>0</v>
      </c>
      <c r="M367" s="118">
        <f>VLOOKUP(C367,'Talente &amp; Stuff'!GX:HY,11,FALSE)</f>
        <v>0</v>
      </c>
      <c r="N367" s="193">
        <f>VLOOKUP(C367,'Talente &amp; Stuff'!GX:HY,12,FALSE)</f>
        <v>0</v>
      </c>
      <c r="O367" s="116">
        <f>VLOOKUP(C367,'Talente &amp; Stuff'!GX:HY,13,FALSE)</f>
        <v>0</v>
      </c>
      <c r="P367" s="92">
        <f>VLOOKUP(C367,'Talente &amp; Stuff'!GX:HY,14,FALSE)</f>
        <v>0</v>
      </c>
      <c r="Q367" s="118">
        <f>VLOOKUP(C367,'Talente &amp; Stuff'!GX:HY,15,FALSE)</f>
        <v>0</v>
      </c>
      <c r="R367" s="118">
        <f>VLOOKUP(C367,'Talente &amp; Stuff'!GX:HY,16,FALSE)</f>
        <v>0</v>
      </c>
      <c r="S367" s="118">
        <f>VLOOKUP(C367,'Talente &amp; Stuff'!GX:HY,17,FALSE)</f>
        <v>0</v>
      </c>
      <c r="T367" s="91">
        <f>VLOOKUP(C367,'Talente &amp; Stuff'!GX:HY,18,FALSE)</f>
        <v>0</v>
      </c>
      <c r="U367" s="116">
        <f>VLOOKUP(C367,'Talente &amp; Stuff'!GX:HY,19,FALSE)</f>
        <v>0</v>
      </c>
      <c r="V367" s="116">
        <f>VLOOKUP(C367,'Talente &amp; Stuff'!GX:HY,20,FALSE)</f>
        <v>0</v>
      </c>
      <c r="W367" s="116">
        <f>VLOOKUP(C367,'Talente &amp; Stuff'!GX:HY,21,FALSE)</f>
        <v>0</v>
      </c>
      <c r="X367" s="158">
        <f>VLOOKUP(C367,'Talente &amp; Stuff'!GX:HY,22,FALSE)</f>
        <v>0</v>
      </c>
      <c r="Y367" s="165">
        <f t="shared" ref="Y367:Y374" si="26">VLOOKUP(C367,Ausgewählte_Rituale_Elfen,226,FALSE)</f>
        <v>0</v>
      </c>
      <c r="Z367" s="44">
        <f t="shared" ref="Z367:Z374" si="27">VLOOKUP(C367,Ausgewählte_Rituale_Elfen,227,FALSE)</f>
        <v>0</v>
      </c>
      <c r="AA367" s="158">
        <f>VLOOKUP(C367,'Talente &amp; Stuff'!GX:HY,25,FALSE)</f>
        <v>0</v>
      </c>
      <c r="AB367" s="91">
        <f>VLOOKUP(C367,'Talente &amp; Stuff'!GX:HY,26,FALSE)</f>
        <v>0</v>
      </c>
      <c r="AC367" s="126">
        <f>VLOOKUP(C367,'Talente &amp; Stuff'!GX:HY,27,FALSE)</f>
        <v>0</v>
      </c>
      <c r="AD367" s="158">
        <f>VLOOKUP(C367,'Talente &amp; Stuff'!GX:HY,28,FALSE)</f>
        <v>0</v>
      </c>
      <c r="AE367" s="28"/>
    </row>
    <row r="368" spans="2:31" ht="15" hidden="1" customHeight="1" outlineLevel="2">
      <c r="B368" s="148">
        <v>2</v>
      </c>
      <c r="C368" s="177" t="str">
        <f>Attribute!C368</f>
        <v>---</v>
      </c>
      <c r="D368" s="125" t="str">
        <f>VLOOKUP(C368,'Talente &amp; Stuff'!GX:HY,2,FALSE)</f>
        <v>--/--/--</v>
      </c>
      <c r="E368" s="125" t="str">
        <f>VLOOKUP(C368,'Talente &amp; Stuff'!GX:HY,3,FALSE)</f>
        <v>-</v>
      </c>
      <c r="F368" s="113">
        <f>VLOOKUP(C368,'Talente &amp; Stuff'!GX:HY,4,FALSE)</f>
        <v>0</v>
      </c>
      <c r="G368" s="113">
        <f>VLOOKUP(C368,'Talente &amp; Stuff'!GX:HY,5,FALSE)</f>
        <v>0</v>
      </c>
      <c r="H368" s="113">
        <f>VLOOKUP(C368,'Talente &amp; Stuff'!GX:HY,6,FALSE)</f>
        <v>0</v>
      </c>
      <c r="I368" s="113">
        <f>VLOOKUP(C368,'Talente &amp; Stuff'!GX:HY,7,FALSE)</f>
        <v>0</v>
      </c>
      <c r="J368" s="113">
        <f>VLOOKUP(C368,'Talente &amp; Stuff'!GX:HY,8,FALSE)</f>
        <v>0</v>
      </c>
      <c r="K368" s="113">
        <f>VLOOKUP(C368,'Talente &amp; Stuff'!GX:HY,9,FALSE)</f>
        <v>0</v>
      </c>
      <c r="L368" s="113">
        <f>VLOOKUP(C368,'Talente &amp; Stuff'!GX:HY,10,FALSE)</f>
        <v>0</v>
      </c>
      <c r="M368" s="113">
        <f>VLOOKUP(C368,'Talente &amp; Stuff'!GX:HY,11,FALSE)</f>
        <v>0</v>
      </c>
      <c r="N368" s="89">
        <f>VLOOKUP(C368,'Talente &amp; Stuff'!GX:HY,12,FALSE)</f>
        <v>0</v>
      </c>
      <c r="O368" s="47">
        <f>VLOOKUP(C368,'Talente &amp; Stuff'!GX:HY,13,FALSE)</f>
        <v>0</v>
      </c>
      <c r="P368" s="119">
        <f>VLOOKUP(C368,'Talente &amp; Stuff'!GX:HY,14,FALSE)</f>
        <v>0</v>
      </c>
      <c r="Q368" s="113">
        <f>VLOOKUP(C368,'Talente &amp; Stuff'!GX:HY,15,FALSE)</f>
        <v>0</v>
      </c>
      <c r="R368" s="113">
        <f>VLOOKUP(C368,'Talente &amp; Stuff'!GX:HY,16,FALSE)</f>
        <v>0</v>
      </c>
      <c r="S368" s="113">
        <f>VLOOKUP(C368,'Talente &amp; Stuff'!GX:HY,17,FALSE)</f>
        <v>0</v>
      </c>
      <c r="T368" s="160">
        <f>VLOOKUP(C368,'Talente &amp; Stuff'!GX:HY,18,FALSE)</f>
        <v>0</v>
      </c>
      <c r="U368" s="47">
        <f>VLOOKUP(C368,'Talente &amp; Stuff'!GX:HY,19,FALSE)</f>
        <v>0</v>
      </c>
      <c r="V368" s="47">
        <f>VLOOKUP(C368,'Talente &amp; Stuff'!GX:HY,20,FALSE)</f>
        <v>0</v>
      </c>
      <c r="W368" s="47">
        <f>VLOOKUP(C368,'Talente &amp; Stuff'!GX:HY,21,FALSE)</f>
        <v>0</v>
      </c>
      <c r="X368" s="125">
        <f>VLOOKUP(C368,'Talente &amp; Stuff'!GX:HY,22,FALSE)</f>
        <v>0</v>
      </c>
      <c r="Y368" s="165">
        <f t="shared" si="26"/>
        <v>0</v>
      </c>
      <c r="Z368" s="44">
        <f t="shared" si="27"/>
        <v>0</v>
      </c>
      <c r="AA368" s="125">
        <f>VLOOKUP(C368,'Talente &amp; Stuff'!GX:HY,25,FALSE)</f>
        <v>0</v>
      </c>
      <c r="AB368" s="160">
        <f>VLOOKUP(C368,'Talente &amp; Stuff'!GX:HY,26,FALSE)</f>
        <v>0</v>
      </c>
      <c r="AC368" s="127">
        <f>VLOOKUP(C368,'Talente &amp; Stuff'!GX:HY,27,FALSE)</f>
        <v>0</v>
      </c>
      <c r="AD368" s="125">
        <f>VLOOKUP(C368,'Talente &amp; Stuff'!GX:HY,28,FALSE)</f>
        <v>0</v>
      </c>
      <c r="AE368" s="28"/>
    </row>
    <row r="369" spans="2:31" ht="15" hidden="1" customHeight="1" outlineLevel="2">
      <c r="B369" s="148">
        <v>3</v>
      </c>
      <c r="C369" s="177" t="str">
        <f>Attribute!C369</f>
        <v>---</v>
      </c>
      <c r="D369" s="125" t="str">
        <f>VLOOKUP(C369,'Talente &amp; Stuff'!GX:HY,2,FALSE)</f>
        <v>--/--/--</v>
      </c>
      <c r="E369" s="125" t="str">
        <f>VLOOKUP(C369,'Talente &amp; Stuff'!GX:HY,3,FALSE)</f>
        <v>-</v>
      </c>
      <c r="F369" s="113">
        <f>VLOOKUP(C369,'Talente &amp; Stuff'!GX:HY,4,FALSE)</f>
        <v>0</v>
      </c>
      <c r="G369" s="113">
        <f>VLOOKUP(C369,'Talente &amp; Stuff'!GX:HY,5,FALSE)</f>
        <v>0</v>
      </c>
      <c r="H369" s="113">
        <f>VLOOKUP(C369,'Talente &amp; Stuff'!GX:HY,6,FALSE)</f>
        <v>0</v>
      </c>
      <c r="I369" s="113">
        <f>VLOOKUP(C369,'Talente &amp; Stuff'!GX:HY,7,FALSE)</f>
        <v>0</v>
      </c>
      <c r="J369" s="113">
        <f>VLOOKUP(C369,'Talente &amp; Stuff'!GX:HY,8,FALSE)</f>
        <v>0</v>
      </c>
      <c r="K369" s="113">
        <f>VLOOKUP(C369,'Talente &amp; Stuff'!GX:HY,9,FALSE)</f>
        <v>0</v>
      </c>
      <c r="L369" s="113">
        <f>VLOOKUP(C369,'Talente &amp; Stuff'!GX:HY,10,FALSE)</f>
        <v>0</v>
      </c>
      <c r="M369" s="113">
        <f>VLOOKUP(C369,'Talente &amp; Stuff'!GX:HY,11,FALSE)</f>
        <v>0</v>
      </c>
      <c r="N369" s="89">
        <f>VLOOKUP(C369,'Talente &amp; Stuff'!GX:HY,12,FALSE)</f>
        <v>0</v>
      </c>
      <c r="O369" s="47">
        <f>VLOOKUP(C369,'Talente &amp; Stuff'!GX:HY,13,FALSE)</f>
        <v>0</v>
      </c>
      <c r="P369" s="119">
        <f>VLOOKUP(C369,'Talente &amp; Stuff'!GX:HY,14,FALSE)</f>
        <v>0</v>
      </c>
      <c r="Q369" s="113">
        <f>VLOOKUP(C369,'Talente &amp; Stuff'!GX:HY,15,FALSE)</f>
        <v>0</v>
      </c>
      <c r="R369" s="113">
        <f>VLOOKUP(C369,'Talente &amp; Stuff'!GX:HY,16,FALSE)</f>
        <v>0</v>
      </c>
      <c r="S369" s="113">
        <f>VLOOKUP(C369,'Talente &amp; Stuff'!GX:HY,17,FALSE)</f>
        <v>0</v>
      </c>
      <c r="T369" s="160">
        <f>VLOOKUP(C369,'Talente &amp; Stuff'!GX:HY,18,FALSE)</f>
        <v>0</v>
      </c>
      <c r="U369" s="47">
        <f>VLOOKUP(C369,'Talente &amp; Stuff'!GX:HY,19,FALSE)</f>
        <v>0</v>
      </c>
      <c r="V369" s="47">
        <f>VLOOKUP(C369,'Talente &amp; Stuff'!GX:HY,20,FALSE)</f>
        <v>0</v>
      </c>
      <c r="W369" s="47">
        <f>VLOOKUP(C369,'Talente &amp; Stuff'!GX:HY,21,FALSE)</f>
        <v>0</v>
      </c>
      <c r="X369" s="125">
        <f>VLOOKUP(C369,'Talente &amp; Stuff'!GX:HY,22,FALSE)</f>
        <v>0</v>
      </c>
      <c r="Y369" s="165">
        <f t="shared" si="26"/>
        <v>0</v>
      </c>
      <c r="Z369" s="44">
        <f t="shared" si="27"/>
        <v>0</v>
      </c>
      <c r="AA369" s="125">
        <f>VLOOKUP(C369,'Talente &amp; Stuff'!GX:HY,25,FALSE)</f>
        <v>0</v>
      </c>
      <c r="AB369" s="160">
        <f>VLOOKUP(C369,'Talente &amp; Stuff'!GX:HY,26,FALSE)</f>
        <v>0</v>
      </c>
      <c r="AC369" s="127">
        <f>VLOOKUP(C369,'Talente &amp; Stuff'!GX:HY,27,FALSE)</f>
        <v>0</v>
      </c>
      <c r="AD369" s="125">
        <f>VLOOKUP(C369,'Talente &amp; Stuff'!GX:HY,28,FALSE)</f>
        <v>0</v>
      </c>
      <c r="AE369" s="28"/>
    </row>
    <row r="370" spans="2:31" ht="15" hidden="1" customHeight="1" outlineLevel="2">
      <c r="B370" s="148">
        <v>4</v>
      </c>
      <c r="C370" s="177" t="str">
        <f>Attribute!C370</f>
        <v>---</v>
      </c>
      <c r="D370" s="125" t="str">
        <f>VLOOKUP(C370,'Talente &amp; Stuff'!GX:HY,2,FALSE)</f>
        <v>--/--/--</v>
      </c>
      <c r="E370" s="125" t="str">
        <f>VLOOKUP(C370,'Talente &amp; Stuff'!GX:HY,3,FALSE)</f>
        <v>-</v>
      </c>
      <c r="F370" s="113">
        <f>VLOOKUP(C370,'Talente &amp; Stuff'!GX:HY,4,FALSE)</f>
        <v>0</v>
      </c>
      <c r="G370" s="113">
        <f>VLOOKUP(C370,'Talente &amp; Stuff'!GX:HY,5,FALSE)</f>
        <v>0</v>
      </c>
      <c r="H370" s="113">
        <f>VLOOKUP(C370,'Talente &amp; Stuff'!GX:HY,6,FALSE)</f>
        <v>0</v>
      </c>
      <c r="I370" s="113">
        <f>VLOOKUP(C370,'Talente &amp; Stuff'!GX:HY,7,FALSE)</f>
        <v>0</v>
      </c>
      <c r="J370" s="113">
        <f>VLOOKUP(C370,'Talente &amp; Stuff'!GX:HY,8,FALSE)</f>
        <v>0</v>
      </c>
      <c r="K370" s="113">
        <f>VLOOKUP(C370,'Talente &amp; Stuff'!GX:HY,9,FALSE)</f>
        <v>0</v>
      </c>
      <c r="L370" s="113">
        <f>VLOOKUP(C370,'Talente &amp; Stuff'!GX:HY,10,FALSE)</f>
        <v>0</v>
      </c>
      <c r="M370" s="113">
        <f>VLOOKUP(C370,'Talente &amp; Stuff'!GX:HY,11,FALSE)</f>
        <v>0</v>
      </c>
      <c r="N370" s="89">
        <f>VLOOKUP(C370,'Talente &amp; Stuff'!GX:HY,12,FALSE)</f>
        <v>0</v>
      </c>
      <c r="O370" s="47">
        <f>VLOOKUP(C370,'Talente &amp; Stuff'!GX:HY,13,FALSE)</f>
        <v>0</v>
      </c>
      <c r="P370" s="119">
        <f>VLOOKUP(C370,'Talente &amp; Stuff'!GX:HY,14,FALSE)</f>
        <v>0</v>
      </c>
      <c r="Q370" s="113">
        <f>VLOOKUP(C370,'Talente &amp; Stuff'!GX:HY,15,FALSE)</f>
        <v>0</v>
      </c>
      <c r="R370" s="113">
        <f>VLOOKUP(C370,'Talente &amp; Stuff'!GX:HY,16,FALSE)</f>
        <v>0</v>
      </c>
      <c r="S370" s="113">
        <f>VLOOKUP(C370,'Talente &amp; Stuff'!GX:HY,17,FALSE)</f>
        <v>0</v>
      </c>
      <c r="T370" s="160">
        <f>VLOOKUP(C370,'Talente &amp; Stuff'!GX:HY,18,FALSE)</f>
        <v>0</v>
      </c>
      <c r="U370" s="47">
        <f>VLOOKUP(C370,'Talente &amp; Stuff'!GX:HY,19,FALSE)</f>
        <v>0</v>
      </c>
      <c r="V370" s="47">
        <f>VLOOKUP(C370,'Talente &amp; Stuff'!GX:HY,20,FALSE)</f>
        <v>0</v>
      </c>
      <c r="W370" s="47">
        <f>VLOOKUP(C370,'Talente &amp; Stuff'!GX:HY,21,FALSE)</f>
        <v>0</v>
      </c>
      <c r="X370" s="125">
        <f>VLOOKUP(C370,'Talente &amp; Stuff'!GX:HY,22,FALSE)</f>
        <v>0</v>
      </c>
      <c r="Y370" s="165">
        <f t="shared" si="26"/>
        <v>0</v>
      </c>
      <c r="Z370" s="44">
        <f t="shared" si="27"/>
        <v>0</v>
      </c>
      <c r="AA370" s="125">
        <f>VLOOKUP(C370,'Talente &amp; Stuff'!GX:HY,25,FALSE)</f>
        <v>0</v>
      </c>
      <c r="AB370" s="160">
        <f>VLOOKUP(C370,'Talente &amp; Stuff'!GX:HY,26,FALSE)</f>
        <v>0</v>
      </c>
      <c r="AC370" s="127">
        <f>VLOOKUP(C370,'Talente &amp; Stuff'!GX:HY,27,FALSE)</f>
        <v>0</v>
      </c>
      <c r="AD370" s="125">
        <f>VLOOKUP(C370,'Talente &amp; Stuff'!GX:HY,28,FALSE)</f>
        <v>0</v>
      </c>
      <c r="AE370" s="28"/>
    </row>
    <row r="371" spans="2:31" ht="15" hidden="1" customHeight="1" outlineLevel="2">
      <c r="B371" s="148">
        <v>5</v>
      </c>
      <c r="C371" s="177" t="str">
        <f>Attribute!C371</f>
        <v>---</v>
      </c>
      <c r="D371" s="125" t="str">
        <f>VLOOKUP(C371,'Talente &amp; Stuff'!GX:HY,2,FALSE)</f>
        <v>--/--/--</v>
      </c>
      <c r="E371" s="125" t="str">
        <f>VLOOKUP(C371,'Talente &amp; Stuff'!GX:HY,3,FALSE)</f>
        <v>-</v>
      </c>
      <c r="F371" s="113">
        <f>VLOOKUP(C371,'Talente &amp; Stuff'!GX:HY,4,FALSE)</f>
        <v>0</v>
      </c>
      <c r="G371" s="113">
        <f>VLOOKUP(C371,'Talente &amp; Stuff'!GX:HY,5,FALSE)</f>
        <v>0</v>
      </c>
      <c r="H371" s="113">
        <f>VLOOKUP(C371,'Talente &amp; Stuff'!GX:HY,6,FALSE)</f>
        <v>0</v>
      </c>
      <c r="I371" s="113">
        <f>VLOOKUP(C371,'Talente &amp; Stuff'!GX:HY,7,FALSE)</f>
        <v>0</v>
      </c>
      <c r="J371" s="113">
        <f>VLOOKUP(C371,'Talente &amp; Stuff'!GX:HY,8,FALSE)</f>
        <v>0</v>
      </c>
      <c r="K371" s="113">
        <f>VLOOKUP(C371,'Talente &amp; Stuff'!GX:HY,9,FALSE)</f>
        <v>0</v>
      </c>
      <c r="L371" s="113">
        <f>VLOOKUP(C371,'Talente &amp; Stuff'!GX:HY,10,FALSE)</f>
        <v>0</v>
      </c>
      <c r="M371" s="113">
        <f>VLOOKUP(C371,'Talente &amp; Stuff'!GX:HY,11,FALSE)</f>
        <v>0</v>
      </c>
      <c r="N371" s="89">
        <f>VLOOKUP(C371,'Talente &amp; Stuff'!GX:HY,12,FALSE)</f>
        <v>0</v>
      </c>
      <c r="O371" s="47">
        <f>VLOOKUP(C371,'Talente &amp; Stuff'!GX:HY,13,FALSE)</f>
        <v>0</v>
      </c>
      <c r="P371" s="119">
        <f>VLOOKUP(C371,'Talente &amp; Stuff'!GX:HY,14,FALSE)</f>
        <v>0</v>
      </c>
      <c r="Q371" s="113">
        <f>VLOOKUP(C371,'Talente &amp; Stuff'!GX:HY,15,FALSE)</f>
        <v>0</v>
      </c>
      <c r="R371" s="113">
        <f>VLOOKUP(C371,'Talente &amp; Stuff'!GX:HY,16,FALSE)</f>
        <v>0</v>
      </c>
      <c r="S371" s="113">
        <f>VLOOKUP(C371,'Talente &amp; Stuff'!GX:HY,17,FALSE)</f>
        <v>0</v>
      </c>
      <c r="T371" s="160">
        <f>VLOOKUP(C371,'Talente &amp; Stuff'!GX:HY,18,FALSE)</f>
        <v>0</v>
      </c>
      <c r="U371" s="47">
        <f>VLOOKUP(C371,'Talente &amp; Stuff'!GX:HY,19,FALSE)</f>
        <v>0</v>
      </c>
      <c r="V371" s="47">
        <f>VLOOKUP(C371,'Talente &amp; Stuff'!GX:HY,20,FALSE)</f>
        <v>0</v>
      </c>
      <c r="W371" s="47">
        <f>VLOOKUP(C371,'Talente &amp; Stuff'!GX:HY,21,FALSE)</f>
        <v>0</v>
      </c>
      <c r="X371" s="125">
        <f>VLOOKUP(C371,'Talente &amp; Stuff'!GX:HY,22,FALSE)</f>
        <v>0</v>
      </c>
      <c r="Y371" s="165">
        <f t="shared" si="26"/>
        <v>0</v>
      </c>
      <c r="Z371" s="44">
        <f t="shared" si="27"/>
        <v>0</v>
      </c>
      <c r="AA371" s="125">
        <f>VLOOKUP(C371,'Talente &amp; Stuff'!GX:HY,25,FALSE)</f>
        <v>0</v>
      </c>
      <c r="AB371" s="160">
        <f>VLOOKUP(C371,'Talente &amp; Stuff'!GX:HY,26,FALSE)</f>
        <v>0</v>
      </c>
      <c r="AC371" s="127">
        <f>VLOOKUP(C371,'Talente &amp; Stuff'!GX:HY,27,FALSE)</f>
        <v>0</v>
      </c>
      <c r="AD371" s="125">
        <f>VLOOKUP(C371,'Talente &amp; Stuff'!GX:HY,28,FALSE)</f>
        <v>0</v>
      </c>
      <c r="AE371" s="28"/>
    </row>
    <row r="372" spans="2:31" ht="15" hidden="1" customHeight="1" outlineLevel="2">
      <c r="B372" s="148">
        <v>6</v>
      </c>
      <c r="C372" s="177" t="str">
        <f>Attribute!C372</f>
        <v>---</v>
      </c>
      <c r="D372" s="125" t="str">
        <f>VLOOKUP(C372,'Talente &amp; Stuff'!GX:HY,2,FALSE)</f>
        <v>--/--/--</v>
      </c>
      <c r="E372" s="125" t="str">
        <f>VLOOKUP(C372,'Talente &amp; Stuff'!GX:HY,3,FALSE)</f>
        <v>-</v>
      </c>
      <c r="F372" s="113">
        <f>VLOOKUP(C372,'Talente &amp; Stuff'!GX:HY,4,FALSE)</f>
        <v>0</v>
      </c>
      <c r="G372" s="113">
        <f>VLOOKUP(C372,'Talente &amp; Stuff'!GX:HY,5,FALSE)</f>
        <v>0</v>
      </c>
      <c r="H372" s="113">
        <f>VLOOKUP(C372,'Talente &amp; Stuff'!GX:HY,6,FALSE)</f>
        <v>0</v>
      </c>
      <c r="I372" s="113">
        <f>VLOOKUP(C372,'Talente &amp; Stuff'!GX:HY,7,FALSE)</f>
        <v>0</v>
      </c>
      <c r="J372" s="113">
        <f>VLOOKUP(C372,'Talente &amp; Stuff'!GX:HY,8,FALSE)</f>
        <v>0</v>
      </c>
      <c r="K372" s="113">
        <f>VLOOKUP(C372,'Talente &amp; Stuff'!GX:HY,9,FALSE)</f>
        <v>0</v>
      </c>
      <c r="L372" s="113">
        <f>VLOOKUP(C372,'Talente &amp; Stuff'!GX:HY,10,FALSE)</f>
        <v>0</v>
      </c>
      <c r="M372" s="113">
        <f>VLOOKUP(C372,'Talente &amp; Stuff'!GX:HY,11,FALSE)</f>
        <v>0</v>
      </c>
      <c r="N372" s="89">
        <f>VLOOKUP(C372,'Talente &amp; Stuff'!GX:HY,12,FALSE)</f>
        <v>0</v>
      </c>
      <c r="O372" s="47">
        <f>VLOOKUP(C372,'Talente &amp; Stuff'!GX:HY,13,FALSE)</f>
        <v>0</v>
      </c>
      <c r="P372" s="119">
        <f>VLOOKUP(C372,'Talente &amp; Stuff'!GX:HY,14,FALSE)</f>
        <v>0</v>
      </c>
      <c r="Q372" s="113">
        <f>VLOOKUP(C372,'Talente &amp; Stuff'!GX:HY,15,FALSE)</f>
        <v>0</v>
      </c>
      <c r="R372" s="113">
        <f>VLOOKUP(C372,'Talente &amp; Stuff'!GX:HY,16,FALSE)</f>
        <v>0</v>
      </c>
      <c r="S372" s="113">
        <f>VLOOKUP(C372,'Talente &amp; Stuff'!GX:HY,17,FALSE)</f>
        <v>0</v>
      </c>
      <c r="T372" s="160">
        <f>VLOOKUP(C372,'Talente &amp; Stuff'!GX:HY,18,FALSE)</f>
        <v>0</v>
      </c>
      <c r="U372" s="47">
        <f>VLOOKUP(C372,'Talente &amp; Stuff'!GX:HY,19,FALSE)</f>
        <v>0</v>
      </c>
      <c r="V372" s="47">
        <f>VLOOKUP(C372,'Talente &amp; Stuff'!GX:HY,20,FALSE)</f>
        <v>0</v>
      </c>
      <c r="W372" s="47">
        <f>VLOOKUP(C372,'Talente &amp; Stuff'!GX:HY,21,FALSE)</f>
        <v>0</v>
      </c>
      <c r="X372" s="125">
        <f>VLOOKUP(C372,'Talente &amp; Stuff'!GX:HY,22,FALSE)</f>
        <v>0</v>
      </c>
      <c r="Y372" s="165">
        <f t="shared" si="26"/>
        <v>0</v>
      </c>
      <c r="Z372" s="44">
        <f t="shared" si="27"/>
        <v>0</v>
      </c>
      <c r="AA372" s="125">
        <f>VLOOKUP(C372,'Talente &amp; Stuff'!GX:HY,25,FALSE)</f>
        <v>0</v>
      </c>
      <c r="AB372" s="160">
        <f>VLOOKUP(C372,'Talente &amp; Stuff'!GX:HY,26,FALSE)</f>
        <v>0</v>
      </c>
      <c r="AC372" s="127">
        <f>VLOOKUP(C372,'Talente &amp; Stuff'!GX:HY,27,FALSE)</f>
        <v>0</v>
      </c>
      <c r="AD372" s="125">
        <f>VLOOKUP(C372,'Talente &amp; Stuff'!GX:HY,28,FALSE)</f>
        <v>0</v>
      </c>
      <c r="AE372" s="28"/>
    </row>
    <row r="373" spans="2:31" ht="15" hidden="1" customHeight="1" outlineLevel="2">
      <c r="B373" s="148">
        <v>7</v>
      </c>
      <c r="C373" s="177" t="str">
        <f>Attribute!C373</f>
        <v>---</v>
      </c>
      <c r="D373" s="125" t="str">
        <f>VLOOKUP(C373,'Talente &amp; Stuff'!GX:HY,2,FALSE)</f>
        <v>--/--/--</v>
      </c>
      <c r="E373" s="125" t="str">
        <f>VLOOKUP(C373,'Talente &amp; Stuff'!GX:HY,3,FALSE)</f>
        <v>-</v>
      </c>
      <c r="F373" s="113">
        <f>VLOOKUP(C373,'Talente &amp; Stuff'!GX:HY,4,FALSE)</f>
        <v>0</v>
      </c>
      <c r="G373" s="113">
        <f>VLOOKUP(C373,'Talente &amp; Stuff'!GX:HY,5,FALSE)</f>
        <v>0</v>
      </c>
      <c r="H373" s="113">
        <f>VLOOKUP(C373,'Talente &amp; Stuff'!GX:HY,6,FALSE)</f>
        <v>0</v>
      </c>
      <c r="I373" s="113">
        <f>VLOOKUP(C373,'Talente &amp; Stuff'!GX:HY,7,FALSE)</f>
        <v>0</v>
      </c>
      <c r="J373" s="113">
        <f>VLOOKUP(C373,'Talente &amp; Stuff'!GX:HY,8,FALSE)</f>
        <v>0</v>
      </c>
      <c r="K373" s="113">
        <f>VLOOKUP(C373,'Talente &amp; Stuff'!GX:HY,9,FALSE)</f>
        <v>0</v>
      </c>
      <c r="L373" s="113">
        <f>VLOOKUP(C373,'Talente &amp; Stuff'!GX:HY,10,FALSE)</f>
        <v>0</v>
      </c>
      <c r="M373" s="113">
        <f>VLOOKUP(C373,'Talente &amp; Stuff'!GX:HY,11,FALSE)</f>
        <v>0</v>
      </c>
      <c r="N373" s="89">
        <f>VLOOKUP(C373,'Talente &amp; Stuff'!GX:HY,12,FALSE)</f>
        <v>0</v>
      </c>
      <c r="O373" s="47">
        <f>VLOOKUP(C373,'Talente &amp; Stuff'!GX:HY,13,FALSE)</f>
        <v>0</v>
      </c>
      <c r="P373" s="119">
        <f>VLOOKUP(C373,'Talente &amp; Stuff'!GX:HY,14,FALSE)</f>
        <v>0</v>
      </c>
      <c r="Q373" s="113">
        <f>VLOOKUP(C373,'Talente &amp; Stuff'!GX:HY,15,FALSE)</f>
        <v>0</v>
      </c>
      <c r="R373" s="113">
        <f>VLOOKUP(C373,'Talente &amp; Stuff'!GX:HY,16,FALSE)</f>
        <v>0</v>
      </c>
      <c r="S373" s="113">
        <f>VLOOKUP(C373,'Talente &amp; Stuff'!GX:HY,17,FALSE)</f>
        <v>0</v>
      </c>
      <c r="T373" s="160">
        <f>VLOOKUP(C373,'Talente &amp; Stuff'!GX:HY,18,FALSE)</f>
        <v>0</v>
      </c>
      <c r="U373" s="47">
        <f>VLOOKUP(C373,'Talente &amp; Stuff'!GX:HY,19,FALSE)</f>
        <v>0</v>
      </c>
      <c r="V373" s="47">
        <f>VLOOKUP(C373,'Talente &amp; Stuff'!GX:HY,20,FALSE)</f>
        <v>0</v>
      </c>
      <c r="W373" s="47">
        <f>VLOOKUP(C373,'Talente &amp; Stuff'!GX:HY,21,FALSE)</f>
        <v>0</v>
      </c>
      <c r="X373" s="125">
        <f>VLOOKUP(C373,'Talente &amp; Stuff'!GX:HY,22,FALSE)</f>
        <v>0</v>
      </c>
      <c r="Y373" s="165">
        <f t="shared" si="26"/>
        <v>0</v>
      </c>
      <c r="Z373" s="44">
        <f t="shared" si="27"/>
        <v>0</v>
      </c>
      <c r="AA373" s="125">
        <f>VLOOKUP(C373,'Talente &amp; Stuff'!GX:HY,25,FALSE)</f>
        <v>0</v>
      </c>
      <c r="AB373" s="160">
        <f>VLOOKUP(C373,'Talente &amp; Stuff'!GX:HY,26,FALSE)</f>
        <v>0</v>
      </c>
      <c r="AC373" s="127">
        <f>VLOOKUP(C373,'Talente &amp; Stuff'!GX:HY,27,FALSE)</f>
        <v>0</v>
      </c>
      <c r="AD373" s="125">
        <f>VLOOKUP(C373,'Talente &amp; Stuff'!GX:HY,28,FALSE)</f>
        <v>0</v>
      </c>
      <c r="AE373" s="28"/>
    </row>
    <row r="374" spans="2:31" ht="15" hidden="1" customHeight="1" outlineLevel="2">
      <c r="B374" s="148">
        <v>8</v>
      </c>
      <c r="C374" s="178" t="str">
        <f>Attribute!C374</f>
        <v>---</v>
      </c>
      <c r="D374" s="159" t="str">
        <f>VLOOKUP(C374,'Talente &amp; Stuff'!GX:HY,2,FALSE)</f>
        <v>--/--/--</v>
      </c>
      <c r="E374" s="159" t="str">
        <f>VLOOKUP(C374,'Talente &amp; Stuff'!GX:HY,3,FALSE)</f>
        <v>-</v>
      </c>
      <c r="F374" s="122">
        <f>VLOOKUP(C374,'Talente &amp; Stuff'!GX:HY,4,FALSE)</f>
        <v>0</v>
      </c>
      <c r="G374" s="122">
        <f>VLOOKUP(C374,'Talente &amp; Stuff'!GX:HY,5,FALSE)</f>
        <v>0</v>
      </c>
      <c r="H374" s="122">
        <f>VLOOKUP(C374,'Talente &amp; Stuff'!GX:HY,6,FALSE)</f>
        <v>0</v>
      </c>
      <c r="I374" s="122">
        <f>VLOOKUP(C374,'Talente &amp; Stuff'!GX:HY,7,FALSE)</f>
        <v>0</v>
      </c>
      <c r="J374" s="122">
        <f>VLOOKUP(C374,'Talente &amp; Stuff'!GX:HY,8,FALSE)</f>
        <v>0</v>
      </c>
      <c r="K374" s="122">
        <f>VLOOKUP(C374,'Talente &amp; Stuff'!GX:HY,9,FALSE)</f>
        <v>0</v>
      </c>
      <c r="L374" s="122">
        <f>VLOOKUP(C374,'Talente &amp; Stuff'!GX:HY,10,FALSE)</f>
        <v>0</v>
      </c>
      <c r="M374" s="122">
        <f>VLOOKUP(C374,'Talente &amp; Stuff'!GX:HY,11,FALSE)</f>
        <v>0</v>
      </c>
      <c r="N374" s="90">
        <f>VLOOKUP(C374,'Talente &amp; Stuff'!GX:HY,12,FALSE)</f>
        <v>0</v>
      </c>
      <c r="O374" s="88">
        <f>VLOOKUP(C374,'Talente &amp; Stuff'!GX:HY,13,FALSE)</f>
        <v>0</v>
      </c>
      <c r="P374" s="123">
        <f>VLOOKUP(C374,'Talente &amp; Stuff'!GX:HY,14,FALSE)</f>
        <v>0</v>
      </c>
      <c r="Q374" s="122">
        <f>VLOOKUP(C374,'Talente &amp; Stuff'!GX:HY,15,FALSE)</f>
        <v>0</v>
      </c>
      <c r="R374" s="122">
        <f>VLOOKUP(C374,'Talente &amp; Stuff'!GX:HY,16,FALSE)</f>
        <v>0</v>
      </c>
      <c r="S374" s="122">
        <f>VLOOKUP(C374,'Talente &amp; Stuff'!GX:HY,17,FALSE)</f>
        <v>0</v>
      </c>
      <c r="T374" s="161">
        <f>VLOOKUP(C374,'Talente &amp; Stuff'!GX:HY,18,FALSE)</f>
        <v>0</v>
      </c>
      <c r="U374" s="88">
        <f>VLOOKUP(C374,'Talente &amp; Stuff'!GX:HY,19,FALSE)</f>
        <v>0</v>
      </c>
      <c r="V374" s="88">
        <f>VLOOKUP(C374,'Talente &amp; Stuff'!GX:HY,20,FALSE)</f>
        <v>0</v>
      </c>
      <c r="W374" s="88">
        <f>VLOOKUP(C374,'Talente &amp; Stuff'!GX:HY,21,FALSE)</f>
        <v>0</v>
      </c>
      <c r="X374" s="159">
        <f>VLOOKUP(C374,'Talente &amp; Stuff'!GX:HY,22,FALSE)</f>
        <v>0</v>
      </c>
      <c r="Y374" s="165">
        <f t="shared" si="26"/>
        <v>0</v>
      </c>
      <c r="Z374" s="44">
        <f t="shared" si="27"/>
        <v>0</v>
      </c>
      <c r="AA374" s="159">
        <f>VLOOKUP(C374,'Talente &amp; Stuff'!GX:HY,25,FALSE)</f>
        <v>0</v>
      </c>
      <c r="AB374" s="161">
        <f>VLOOKUP(C374,'Talente &amp; Stuff'!GX:HY,26,FALSE)</f>
        <v>0</v>
      </c>
      <c r="AC374" s="128">
        <f>VLOOKUP(C374,'Talente &amp; Stuff'!GX:HY,27,FALSE)</f>
        <v>0</v>
      </c>
      <c r="AD374" s="159">
        <f>VLOOKUP(C374,'Talente &amp; Stuff'!GX:HY,28,FALSE)</f>
        <v>0</v>
      </c>
      <c r="AE374" s="28"/>
    </row>
    <row r="375" spans="2:31" ht="15" hidden="1" customHeight="1" outlineLevel="1" collapsed="1">
      <c r="B375" s="134" t="s">
        <v>329</v>
      </c>
      <c r="C375" s="83"/>
      <c r="D375" s="84"/>
      <c r="E375" s="84"/>
    </row>
    <row r="376" spans="2:31" ht="15" hidden="1" customHeight="1" outlineLevel="2">
      <c r="B376" s="148">
        <v>1</v>
      </c>
      <c r="C376" s="176" t="str">
        <f>Attribute!C376</f>
        <v>---</v>
      </c>
      <c r="D376" s="85" t="str">
        <f>VLOOKUP(C376,'Talente &amp; Stuff'!GX:HY,2,FALSE)</f>
        <v>--/--/--</v>
      </c>
      <c r="E376" s="158" t="str">
        <f>VLOOKUP(C376,'Talente &amp; Stuff'!GX:HY,3,FALSE)</f>
        <v>-</v>
      </c>
      <c r="F376" s="118">
        <f>VLOOKUP(C376,'Talente &amp; Stuff'!GX:HY,4,FALSE)</f>
        <v>0</v>
      </c>
      <c r="G376" s="118">
        <f>VLOOKUP(C376,'Talente &amp; Stuff'!GX:HY,5,FALSE)</f>
        <v>0</v>
      </c>
      <c r="H376" s="118">
        <f>VLOOKUP(C376,'Talente &amp; Stuff'!GX:HY,6,FALSE)</f>
        <v>0</v>
      </c>
      <c r="I376" s="118">
        <f>VLOOKUP(C376,'Talente &amp; Stuff'!GX:HY,7,FALSE)</f>
        <v>0</v>
      </c>
      <c r="J376" s="118">
        <f>VLOOKUP(C376,'Talente &amp; Stuff'!GX:HY,8,FALSE)</f>
        <v>0</v>
      </c>
      <c r="K376" s="118">
        <f>VLOOKUP(C376,'Talente &amp; Stuff'!GX:HY,9,FALSE)</f>
        <v>0</v>
      </c>
      <c r="L376" s="118">
        <f>VLOOKUP(C376,'Talente &amp; Stuff'!GX:HY,10,FALSE)</f>
        <v>0</v>
      </c>
      <c r="M376" s="118">
        <f>VLOOKUP(C376,'Talente &amp; Stuff'!GX:HY,11,FALSE)</f>
        <v>0</v>
      </c>
      <c r="N376" s="193">
        <f>VLOOKUP(C376,'Talente &amp; Stuff'!GX:HY,12,FALSE)</f>
        <v>0</v>
      </c>
      <c r="O376" s="116">
        <f>VLOOKUP(C376,'Talente &amp; Stuff'!GX:HY,13,FALSE)</f>
        <v>0</v>
      </c>
      <c r="P376" s="92">
        <f>VLOOKUP(C376,'Talente &amp; Stuff'!GX:HY,14,FALSE)</f>
        <v>0</v>
      </c>
      <c r="Q376" s="118">
        <f>VLOOKUP(C376,'Talente &amp; Stuff'!GX:HY,15,FALSE)</f>
        <v>0</v>
      </c>
      <c r="R376" s="118">
        <f>VLOOKUP(C376,'Talente &amp; Stuff'!GX:HY,16,FALSE)</f>
        <v>0</v>
      </c>
      <c r="S376" s="118">
        <f>VLOOKUP(C376,'Talente &amp; Stuff'!GX:HY,17,FALSE)</f>
        <v>0</v>
      </c>
      <c r="T376" s="91">
        <f>VLOOKUP(C376,'Talente &amp; Stuff'!GX:HY,18,FALSE)</f>
        <v>0</v>
      </c>
      <c r="U376" s="116">
        <f>VLOOKUP(C376,'Talente &amp; Stuff'!GX:HY,19,FALSE)</f>
        <v>0</v>
      </c>
      <c r="V376" s="116">
        <f>VLOOKUP(C376,'Talente &amp; Stuff'!GX:HY,20,FALSE)</f>
        <v>0</v>
      </c>
      <c r="W376" s="116">
        <f>VLOOKUP(C376,'Talente &amp; Stuff'!GX:HY,21,FALSE)</f>
        <v>0</v>
      </c>
      <c r="X376" s="158">
        <f>VLOOKUP(C376,'Talente &amp; Stuff'!GX:HY,22,FALSE)</f>
        <v>0</v>
      </c>
      <c r="Y376" s="165">
        <f t="shared" ref="Y376:Y386" si="28">VLOOKUP(C376,Ausgewählte_Rituale_Gildenmagier,226,FALSE)</f>
        <v>0</v>
      </c>
      <c r="Z376" s="44">
        <f t="shared" ref="Z376:Z386" si="29">VLOOKUP(C376,Ausgewählte_Rituale_Gildenmagier,227,FALSE)</f>
        <v>0</v>
      </c>
      <c r="AA376" s="158">
        <f>VLOOKUP(C376,'Talente &amp; Stuff'!GX:HY,25,FALSE)</f>
        <v>0</v>
      </c>
      <c r="AB376" s="91">
        <f>VLOOKUP(C376,'Talente &amp; Stuff'!GX:HY,26,FALSE)</f>
        <v>0</v>
      </c>
      <c r="AC376" s="126">
        <f>VLOOKUP(C376,'Talente &amp; Stuff'!GX:HY,27,FALSE)</f>
        <v>0</v>
      </c>
      <c r="AD376" s="158">
        <f>VLOOKUP(C376,'Talente &amp; Stuff'!GX:HY,28,FALSE)</f>
        <v>0</v>
      </c>
      <c r="AE376" s="28"/>
    </row>
    <row r="377" spans="2:31" ht="15" hidden="1" customHeight="1" outlineLevel="2">
      <c r="B377" s="148">
        <v>2</v>
      </c>
      <c r="C377" s="177" t="str">
        <f>Attribute!C377</f>
        <v>---</v>
      </c>
      <c r="D377" s="86" t="str">
        <f>VLOOKUP(C377,'Talente &amp; Stuff'!GX:HY,2,FALSE)</f>
        <v>--/--/--</v>
      </c>
      <c r="E377" s="125" t="str">
        <f>VLOOKUP(C377,'Talente &amp; Stuff'!GX:HY,3,FALSE)</f>
        <v>-</v>
      </c>
      <c r="F377" s="113">
        <f>VLOOKUP(C377,'Talente &amp; Stuff'!GX:HY,4,FALSE)</f>
        <v>0</v>
      </c>
      <c r="G377" s="113">
        <f>VLOOKUP(C377,'Talente &amp; Stuff'!GX:HY,5,FALSE)</f>
        <v>0</v>
      </c>
      <c r="H377" s="113">
        <f>VLOOKUP(C377,'Talente &amp; Stuff'!GX:HY,6,FALSE)</f>
        <v>0</v>
      </c>
      <c r="I377" s="113">
        <f>VLOOKUP(C377,'Talente &amp; Stuff'!GX:HY,7,FALSE)</f>
        <v>0</v>
      </c>
      <c r="J377" s="113">
        <f>VLOOKUP(C377,'Talente &amp; Stuff'!GX:HY,8,FALSE)</f>
        <v>0</v>
      </c>
      <c r="K377" s="113">
        <f>VLOOKUP(C377,'Talente &amp; Stuff'!GX:HY,9,FALSE)</f>
        <v>0</v>
      </c>
      <c r="L377" s="113">
        <f>VLOOKUP(C377,'Talente &amp; Stuff'!GX:HY,10,FALSE)</f>
        <v>0</v>
      </c>
      <c r="M377" s="113">
        <f>VLOOKUP(C377,'Talente &amp; Stuff'!GX:HY,11,FALSE)</f>
        <v>0</v>
      </c>
      <c r="N377" s="89">
        <f>VLOOKUP(C377,'Talente &amp; Stuff'!GX:HY,12,FALSE)</f>
        <v>0</v>
      </c>
      <c r="O377" s="47">
        <f>VLOOKUP(C377,'Talente &amp; Stuff'!GX:HY,13,FALSE)</f>
        <v>0</v>
      </c>
      <c r="P377" s="119">
        <f>VLOOKUP(C377,'Talente &amp; Stuff'!GX:HY,14,FALSE)</f>
        <v>0</v>
      </c>
      <c r="Q377" s="113">
        <f>VLOOKUP(C377,'Talente &amp; Stuff'!GX:HY,15,FALSE)</f>
        <v>0</v>
      </c>
      <c r="R377" s="113">
        <f>VLOOKUP(C377,'Talente &amp; Stuff'!GX:HY,16,FALSE)</f>
        <v>0</v>
      </c>
      <c r="S377" s="113">
        <f>VLOOKUP(C377,'Talente &amp; Stuff'!GX:HY,17,FALSE)</f>
        <v>0</v>
      </c>
      <c r="T377" s="160">
        <f>VLOOKUP(C377,'Talente &amp; Stuff'!GX:HY,18,FALSE)</f>
        <v>0</v>
      </c>
      <c r="U377" s="47">
        <f>VLOOKUP(C377,'Talente &amp; Stuff'!GX:HY,19,FALSE)</f>
        <v>0</v>
      </c>
      <c r="V377" s="47">
        <f>VLOOKUP(C377,'Talente &amp; Stuff'!GX:HY,20,FALSE)</f>
        <v>0</v>
      </c>
      <c r="W377" s="47">
        <f>VLOOKUP(C377,'Talente &amp; Stuff'!GX:HY,21,FALSE)</f>
        <v>0</v>
      </c>
      <c r="X377" s="125">
        <f>VLOOKUP(C377,'Talente &amp; Stuff'!GX:HY,22,FALSE)</f>
        <v>0</v>
      </c>
      <c r="Y377" s="165">
        <f t="shared" si="28"/>
        <v>0</v>
      </c>
      <c r="Z377" s="44">
        <f t="shared" si="29"/>
        <v>0</v>
      </c>
      <c r="AA377" s="125">
        <f>VLOOKUP(C377,'Talente &amp; Stuff'!GX:HY,25,FALSE)</f>
        <v>0</v>
      </c>
      <c r="AB377" s="160">
        <f>VLOOKUP(C377,'Talente &amp; Stuff'!GX:HY,26,FALSE)</f>
        <v>0</v>
      </c>
      <c r="AC377" s="127">
        <f>VLOOKUP(C377,'Talente &amp; Stuff'!GX:HY,27,FALSE)</f>
        <v>0</v>
      </c>
      <c r="AD377" s="125">
        <f>VLOOKUP(C377,'Talente &amp; Stuff'!GX:HY,28,FALSE)</f>
        <v>0</v>
      </c>
      <c r="AE377" s="28"/>
    </row>
    <row r="378" spans="2:31" ht="15" hidden="1" customHeight="1" outlineLevel="2">
      <c r="B378" s="148">
        <v>3</v>
      </c>
      <c r="C378" s="177" t="str">
        <f>Attribute!C378</f>
        <v>---</v>
      </c>
      <c r="D378" s="86" t="str">
        <f>VLOOKUP(C378,'Talente &amp; Stuff'!GX:HY,2,FALSE)</f>
        <v>--/--/--</v>
      </c>
      <c r="E378" s="125" t="str">
        <f>VLOOKUP(C378,'Talente &amp; Stuff'!GX:HY,3,FALSE)</f>
        <v>-</v>
      </c>
      <c r="F378" s="113">
        <f>VLOOKUP(C378,'Talente &amp; Stuff'!GX:HY,4,FALSE)</f>
        <v>0</v>
      </c>
      <c r="G378" s="113">
        <f>VLOOKUP(C378,'Talente &amp; Stuff'!GX:HY,5,FALSE)</f>
        <v>0</v>
      </c>
      <c r="H378" s="113">
        <f>VLOOKUP(C378,'Talente &amp; Stuff'!GX:HY,6,FALSE)</f>
        <v>0</v>
      </c>
      <c r="I378" s="113">
        <f>VLOOKUP(C378,'Talente &amp; Stuff'!GX:HY,7,FALSE)</f>
        <v>0</v>
      </c>
      <c r="J378" s="113">
        <f>VLOOKUP(C378,'Talente &amp; Stuff'!GX:HY,8,FALSE)</f>
        <v>0</v>
      </c>
      <c r="K378" s="113">
        <f>VLOOKUP(C378,'Talente &amp; Stuff'!GX:HY,9,FALSE)</f>
        <v>0</v>
      </c>
      <c r="L378" s="113">
        <f>VLOOKUP(C378,'Talente &amp; Stuff'!GX:HY,10,FALSE)</f>
        <v>0</v>
      </c>
      <c r="M378" s="113">
        <f>VLOOKUP(C378,'Talente &amp; Stuff'!GX:HY,11,FALSE)</f>
        <v>0</v>
      </c>
      <c r="N378" s="89">
        <f>VLOOKUP(C378,'Talente &amp; Stuff'!GX:HY,12,FALSE)</f>
        <v>0</v>
      </c>
      <c r="O378" s="47">
        <f>VLOOKUP(C378,'Talente &amp; Stuff'!GX:HY,13,FALSE)</f>
        <v>0</v>
      </c>
      <c r="P378" s="119">
        <f>VLOOKUP(C378,'Talente &amp; Stuff'!GX:HY,14,FALSE)</f>
        <v>0</v>
      </c>
      <c r="Q378" s="113">
        <f>VLOOKUP(C378,'Talente &amp; Stuff'!GX:HY,15,FALSE)</f>
        <v>0</v>
      </c>
      <c r="R378" s="113">
        <f>VLOOKUP(C378,'Talente &amp; Stuff'!GX:HY,16,FALSE)</f>
        <v>0</v>
      </c>
      <c r="S378" s="113">
        <f>VLOOKUP(C378,'Talente &amp; Stuff'!GX:HY,17,FALSE)</f>
        <v>0</v>
      </c>
      <c r="T378" s="160">
        <f>VLOOKUP(C378,'Talente &amp; Stuff'!GX:HY,18,FALSE)</f>
        <v>0</v>
      </c>
      <c r="U378" s="47">
        <f>VLOOKUP(C378,'Talente &amp; Stuff'!GX:HY,19,FALSE)</f>
        <v>0</v>
      </c>
      <c r="V378" s="47">
        <f>VLOOKUP(C378,'Talente &amp; Stuff'!GX:HY,20,FALSE)</f>
        <v>0</v>
      </c>
      <c r="W378" s="47">
        <f>VLOOKUP(C378,'Talente &amp; Stuff'!GX:HY,21,FALSE)</f>
        <v>0</v>
      </c>
      <c r="X378" s="125">
        <f>VLOOKUP(C378,'Talente &amp; Stuff'!GX:HY,22,FALSE)</f>
        <v>0</v>
      </c>
      <c r="Y378" s="165">
        <f t="shared" si="28"/>
        <v>0</v>
      </c>
      <c r="Z378" s="44">
        <f t="shared" si="29"/>
        <v>0</v>
      </c>
      <c r="AA378" s="125">
        <f>VLOOKUP(C378,'Talente &amp; Stuff'!GX:HY,25,FALSE)</f>
        <v>0</v>
      </c>
      <c r="AB378" s="160">
        <f>VLOOKUP(C378,'Talente &amp; Stuff'!GX:HY,26,FALSE)</f>
        <v>0</v>
      </c>
      <c r="AC378" s="127">
        <f>VLOOKUP(C378,'Talente &amp; Stuff'!GX:HY,27,FALSE)</f>
        <v>0</v>
      </c>
      <c r="AD378" s="125">
        <f>VLOOKUP(C378,'Talente &amp; Stuff'!GX:HY,28,FALSE)</f>
        <v>0</v>
      </c>
      <c r="AE378" s="28"/>
    </row>
    <row r="379" spans="2:31" ht="15" hidden="1" customHeight="1" outlineLevel="2">
      <c r="B379" s="148">
        <v>4</v>
      </c>
      <c r="C379" s="177" t="str">
        <f>Attribute!C379</f>
        <v>---</v>
      </c>
      <c r="D379" s="86" t="str">
        <f>VLOOKUP(C379,'Talente &amp; Stuff'!GX:HY,2,FALSE)</f>
        <v>--/--/--</v>
      </c>
      <c r="E379" s="125" t="str">
        <f>VLOOKUP(C379,'Talente &amp; Stuff'!GX:HY,3,FALSE)</f>
        <v>-</v>
      </c>
      <c r="F379" s="113">
        <f>VLOOKUP(C379,'Talente &amp; Stuff'!GX:HY,4,FALSE)</f>
        <v>0</v>
      </c>
      <c r="G379" s="113">
        <f>VLOOKUP(C379,'Talente &amp; Stuff'!GX:HY,5,FALSE)</f>
        <v>0</v>
      </c>
      <c r="H379" s="113">
        <f>VLOOKUP(C379,'Talente &amp; Stuff'!GX:HY,6,FALSE)</f>
        <v>0</v>
      </c>
      <c r="I379" s="113">
        <f>VLOOKUP(C379,'Talente &amp; Stuff'!GX:HY,7,FALSE)</f>
        <v>0</v>
      </c>
      <c r="J379" s="113">
        <f>VLOOKUP(C379,'Talente &amp; Stuff'!GX:HY,8,FALSE)</f>
        <v>0</v>
      </c>
      <c r="K379" s="113">
        <f>VLOOKUP(C379,'Talente &amp; Stuff'!GX:HY,9,FALSE)</f>
        <v>0</v>
      </c>
      <c r="L379" s="113">
        <f>VLOOKUP(C379,'Talente &amp; Stuff'!GX:HY,10,FALSE)</f>
        <v>0</v>
      </c>
      <c r="M379" s="113">
        <f>VLOOKUP(C379,'Talente &amp; Stuff'!GX:HY,11,FALSE)</f>
        <v>0</v>
      </c>
      <c r="N379" s="89">
        <f>VLOOKUP(C379,'Talente &amp; Stuff'!GX:HY,12,FALSE)</f>
        <v>0</v>
      </c>
      <c r="O379" s="47">
        <f>VLOOKUP(C379,'Talente &amp; Stuff'!GX:HY,13,FALSE)</f>
        <v>0</v>
      </c>
      <c r="P379" s="119">
        <f>VLOOKUP(C379,'Talente &amp; Stuff'!GX:HY,14,FALSE)</f>
        <v>0</v>
      </c>
      <c r="Q379" s="113">
        <f>VLOOKUP(C379,'Talente &amp; Stuff'!GX:HY,15,FALSE)</f>
        <v>0</v>
      </c>
      <c r="R379" s="113">
        <f>VLOOKUP(C379,'Talente &amp; Stuff'!GX:HY,16,FALSE)</f>
        <v>0</v>
      </c>
      <c r="S379" s="113">
        <f>VLOOKUP(C379,'Talente &amp; Stuff'!GX:HY,17,FALSE)</f>
        <v>0</v>
      </c>
      <c r="T379" s="160">
        <f>VLOOKUP(C379,'Talente &amp; Stuff'!GX:HY,18,FALSE)</f>
        <v>0</v>
      </c>
      <c r="U379" s="47">
        <f>VLOOKUP(C379,'Talente &amp; Stuff'!GX:HY,19,FALSE)</f>
        <v>0</v>
      </c>
      <c r="V379" s="47">
        <f>VLOOKUP(C379,'Talente &amp; Stuff'!GX:HY,20,FALSE)</f>
        <v>0</v>
      </c>
      <c r="W379" s="47">
        <f>VLOOKUP(C379,'Talente &amp; Stuff'!GX:HY,21,FALSE)</f>
        <v>0</v>
      </c>
      <c r="X379" s="125">
        <f>VLOOKUP(C379,'Talente &amp; Stuff'!GX:HY,22,FALSE)</f>
        <v>0</v>
      </c>
      <c r="Y379" s="165">
        <f t="shared" si="28"/>
        <v>0</v>
      </c>
      <c r="Z379" s="44">
        <f t="shared" si="29"/>
        <v>0</v>
      </c>
      <c r="AA379" s="125">
        <f>VLOOKUP(C379,'Talente &amp; Stuff'!GX:HY,25,FALSE)</f>
        <v>0</v>
      </c>
      <c r="AB379" s="160">
        <f>VLOOKUP(C379,'Talente &amp; Stuff'!GX:HY,26,FALSE)</f>
        <v>0</v>
      </c>
      <c r="AC379" s="127">
        <f>VLOOKUP(C379,'Talente &amp; Stuff'!GX:HY,27,FALSE)</f>
        <v>0</v>
      </c>
      <c r="AD379" s="125">
        <f>VLOOKUP(C379,'Talente &amp; Stuff'!GX:HY,28,FALSE)</f>
        <v>0</v>
      </c>
      <c r="AE379" s="28"/>
    </row>
    <row r="380" spans="2:31" ht="15" hidden="1" customHeight="1" outlineLevel="2">
      <c r="B380" s="148">
        <v>5</v>
      </c>
      <c r="C380" s="177" t="str">
        <f>Attribute!C380</f>
        <v>---</v>
      </c>
      <c r="D380" s="86" t="str">
        <f>VLOOKUP(C380,'Talente &amp; Stuff'!GX:HY,2,FALSE)</f>
        <v>--/--/--</v>
      </c>
      <c r="E380" s="125" t="str">
        <f>VLOOKUP(C380,'Talente &amp; Stuff'!GX:HY,3,FALSE)</f>
        <v>-</v>
      </c>
      <c r="F380" s="113">
        <f>VLOOKUP(C380,'Talente &amp; Stuff'!GX:HY,4,FALSE)</f>
        <v>0</v>
      </c>
      <c r="G380" s="113">
        <f>VLOOKUP(C380,'Talente &amp; Stuff'!GX:HY,5,FALSE)</f>
        <v>0</v>
      </c>
      <c r="H380" s="113">
        <f>VLOOKUP(C380,'Talente &amp; Stuff'!GX:HY,6,FALSE)</f>
        <v>0</v>
      </c>
      <c r="I380" s="113">
        <f>VLOOKUP(C380,'Talente &amp; Stuff'!GX:HY,7,FALSE)</f>
        <v>0</v>
      </c>
      <c r="J380" s="113">
        <f>VLOOKUP(C380,'Talente &amp; Stuff'!GX:HY,8,FALSE)</f>
        <v>0</v>
      </c>
      <c r="K380" s="113">
        <f>VLOOKUP(C380,'Talente &amp; Stuff'!GX:HY,9,FALSE)</f>
        <v>0</v>
      </c>
      <c r="L380" s="113">
        <f>VLOOKUP(C380,'Talente &amp; Stuff'!GX:HY,10,FALSE)</f>
        <v>0</v>
      </c>
      <c r="M380" s="113">
        <f>VLOOKUP(C380,'Talente &amp; Stuff'!GX:HY,11,FALSE)</f>
        <v>0</v>
      </c>
      <c r="N380" s="89">
        <f>VLOOKUP(C380,'Talente &amp; Stuff'!GX:HY,12,FALSE)</f>
        <v>0</v>
      </c>
      <c r="O380" s="47">
        <f>VLOOKUP(C380,'Talente &amp; Stuff'!GX:HY,13,FALSE)</f>
        <v>0</v>
      </c>
      <c r="P380" s="119">
        <f>VLOOKUP(C380,'Talente &amp; Stuff'!GX:HY,14,FALSE)</f>
        <v>0</v>
      </c>
      <c r="Q380" s="113">
        <f>VLOOKUP(C380,'Talente &amp; Stuff'!GX:HY,15,FALSE)</f>
        <v>0</v>
      </c>
      <c r="R380" s="113">
        <f>VLOOKUP(C380,'Talente &amp; Stuff'!GX:HY,16,FALSE)</f>
        <v>0</v>
      </c>
      <c r="S380" s="113">
        <f>VLOOKUP(C380,'Talente &amp; Stuff'!GX:HY,17,FALSE)</f>
        <v>0</v>
      </c>
      <c r="T380" s="160">
        <f>VLOOKUP(C380,'Talente &amp; Stuff'!GX:HY,18,FALSE)</f>
        <v>0</v>
      </c>
      <c r="U380" s="47">
        <f>VLOOKUP(C380,'Talente &amp; Stuff'!GX:HY,19,FALSE)</f>
        <v>0</v>
      </c>
      <c r="V380" s="47">
        <f>VLOOKUP(C380,'Talente &amp; Stuff'!GX:HY,20,FALSE)</f>
        <v>0</v>
      </c>
      <c r="W380" s="47">
        <f>VLOOKUP(C380,'Talente &amp; Stuff'!GX:HY,21,FALSE)</f>
        <v>0</v>
      </c>
      <c r="X380" s="125">
        <f>VLOOKUP(C380,'Talente &amp; Stuff'!GX:HY,22,FALSE)</f>
        <v>0</v>
      </c>
      <c r="Y380" s="165">
        <f t="shared" si="28"/>
        <v>0</v>
      </c>
      <c r="Z380" s="44">
        <f t="shared" si="29"/>
        <v>0</v>
      </c>
      <c r="AA380" s="125">
        <f>VLOOKUP(C380,'Talente &amp; Stuff'!GX:HY,25,FALSE)</f>
        <v>0</v>
      </c>
      <c r="AB380" s="160">
        <f>VLOOKUP(C380,'Talente &amp; Stuff'!GX:HY,26,FALSE)</f>
        <v>0</v>
      </c>
      <c r="AC380" s="127">
        <f>VLOOKUP(C380,'Talente &amp; Stuff'!GX:HY,27,FALSE)</f>
        <v>0</v>
      </c>
      <c r="AD380" s="125">
        <f>VLOOKUP(C380,'Talente &amp; Stuff'!GX:HY,28,FALSE)</f>
        <v>0</v>
      </c>
      <c r="AE380" s="28"/>
    </row>
    <row r="381" spans="2:31" ht="15" hidden="1" customHeight="1" outlineLevel="2">
      <c r="B381" s="148">
        <v>6</v>
      </c>
      <c r="C381" s="177" t="str">
        <f>Attribute!C381</f>
        <v>---</v>
      </c>
      <c r="D381" s="86" t="str">
        <f>VLOOKUP(C381,'Talente &amp; Stuff'!GX:HY,2,FALSE)</f>
        <v>--/--/--</v>
      </c>
      <c r="E381" s="125" t="str">
        <f>VLOOKUP(C381,'Talente &amp; Stuff'!GX:HY,3,FALSE)</f>
        <v>-</v>
      </c>
      <c r="F381" s="113">
        <f>VLOOKUP(C381,'Talente &amp; Stuff'!GX:HY,4,FALSE)</f>
        <v>0</v>
      </c>
      <c r="G381" s="113">
        <f>VLOOKUP(C381,'Talente &amp; Stuff'!GX:HY,5,FALSE)</f>
        <v>0</v>
      </c>
      <c r="H381" s="113">
        <f>VLOOKUP(C381,'Talente &amp; Stuff'!GX:HY,6,FALSE)</f>
        <v>0</v>
      </c>
      <c r="I381" s="113">
        <f>VLOOKUP(C381,'Talente &amp; Stuff'!GX:HY,7,FALSE)</f>
        <v>0</v>
      </c>
      <c r="J381" s="113">
        <f>VLOOKUP(C381,'Talente &amp; Stuff'!GX:HY,8,FALSE)</f>
        <v>0</v>
      </c>
      <c r="K381" s="113">
        <f>VLOOKUP(C381,'Talente &amp; Stuff'!GX:HY,9,FALSE)</f>
        <v>0</v>
      </c>
      <c r="L381" s="113">
        <f>VLOOKUP(C381,'Talente &amp; Stuff'!GX:HY,10,FALSE)</f>
        <v>0</v>
      </c>
      <c r="M381" s="113">
        <f>VLOOKUP(C381,'Talente &amp; Stuff'!GX:HY,11,FALSE)</f>
        <v>0</v>
      </c>
      <c r="N381" s="89">
        <f>VLOOKUP(C381,'Talente &amp; Stuff'!GX:HY,12,FALSE)</f>
        <v>0</v>
      </c>
      <c r="O381" s="47">
        <f>VLOOKUP(C381,'Talente &amp; Stuff'!GX:HY,13,FALSE)</f>
        <v>0</v>
      </c>
      <c r="P381" s="119">
        <f>VLOOKUP(C381,'Talente &amp; Stuff'!GX:HY,14,FALSE)</f>
        <v>0</v>
      </c>
      <c r="Q381" s="113">
        <f>VLOOKUP(C381,'Talente &amp; Stuff'!GX:HY,15,FALSE)</f>
        <v>0</v>
      </c>
      <c r="R381" s="113">
        <f>VLOOKUP(C381,'Talente &amp; Stuff'!GX:HY,16,FALSE)</f>
        <v>0</v>
      </c>
      <c r="S381" s="113">
        <f>VLOOKUP(C381,'Talente &amp; Stuff'!GX:HY,17,FALSE)</f>
        <v>0</v>
      </c>
      <c r="T381" s="160">
        <f>VLOOKUP(C381,'Talente &amp; Stuff'!GX:HY,18,FALSE)</f>
        <v>0</v>
      </c>
      <c r="U381" s="47">
        <f>VLOOKUP(C381,'Talente &amp; Stuff'!GX:HY,19,FALSE)</f>
        <v>0</v>
      </c>
      <c r="V381" s="47">
        <f>VLOOKUP(C381,'Talente &amp; Stuff'!GX:HY,20,FALSE)</f>
        <v>0</v>
      </c>
      <c r="W381" s="47">
        <f>VLOOKUP(C381,'Talente &amp; Stuff'!GX:HY,21,FALSE)</f>
        <v>0</v>
      </c>
      <c r="X381" s="125">
        <f>VLOOKUP(C381,'Talente &amp; Stuff'!GX:HY,22,FALSE)</f>
        <v>0</v>
      </c>
      <c r="Y381" s="165">
        <f t="shared" si="28"/>
        <v>0</v>
      </c>
      <c r="Z381" s="44">
        <f t="shared" si="29"/>
        <v>0</v>
      </c>
      <c r="AA381" s="125">
        <f>VLOOKUP(C381,'Talente &amp; Stuff'!GX:HY,25,FALSE)</f>
        <v>0</v>
      </c>
      <c r="AB381" s="160">
        <f>VLOOKUP(C381,'Talente &amp; Stuff'!GX:HY,26,FALSE)</f>
        <v>0</v>
      </c>
      <c r="AC381" s="127">
        <f>VLOOKUP(C381,'Talente &amp; Stuff'!GX:HY,27,FALSE)</f>
        <v>0</v>
      </c>
      <c r="AD381" s="125">
        <f>VLOOKUP(C381,'Talente &amp; Stuff'!GX:HY,28,FALSE)</f>
        <v>0</v>
      </c>
      <c r="AE381" s="28"/>
    </row>
    <row r="382" spans="2:31" ht="15" hidden="1" customHeight="1" outlineLevel="2">
      <c r="B382" s="148">
        <v>7</v>
      </c>
      <c r="C382" s="177" t="str">
        <f>Attribute!C382</f>
        <v>---</v>
      </c>
      <c r="D382" s="86" t="str">
        <f>VLOOKUP(C382,'Talente &amp; Stuff'!GX:HY,2,FALSE)</f>
        <v>--/--/--</v>
      </c>
      <c r="E382" s="125" t="str">
        <f>VLOOKUP(C382,'Talente &amp; Stuff'!GX:HY,3,FALSE)</f>
        <v>-</v>
      </c>
      <c r="F382" s="113">
        <f>VLOOKUP(C382,'Talente &amp; Stuff'!GX:HY,4,FALSE)</f>
        <v>0</v>
      </c>
      <c r="G382" s="113">
        <f>VLOOKUP(C382,'Talente &amp; Stuff'!GX:HY,5,FALSE)</f>
        <v>0</v>
      </c>
      <c r="H382" s="113">
        <f>VLOOKUP(C382,'Talente &amp; Stuff'!GX:HY,6,FALSE)</f>
        <v>0</v>
      </c>
      <c r="I382" s="113">
        <f>VLOOKUP(C382,'Talente &amp; Stuff'!GX:HY,7,FALSE)</f>
        <v>0</v>
      </c>
      <c r="J382" s="113">
        <f>VLOOKUP(C382,'Talente &amp; Stuff'!GX:HY,8,FALSE)</f>
        <v>0</v>
      </c>
      <c r="K382" s="113">
        <f>VLOOKUP(C382,'Talente &amp; Stuff'!GX:HY,9,FALSE)</f>
        <v>0</v>
      </c>
      <c r="L382" s="113">
        <f>VLOOKUP(C382,'Talente &amp; Stuff'!GX:HY,10,FALSE)</f>
        <v>0</v>
      </c>
      <c r="M382" s="113">
        <f>VLOOKUP(C382,'Talente &amp; Stuff'!GX:HY,11,FALSE)</f>
        <v>0</v>
      </c>
      <c r="N382" s="89">
        <f>VLOOKUP(C382,'Talente &amp; Stuff'!GX:HY,12,FALSE)</f>
        <v>0</v>
      </c>
      <c r="O382" s="47">
        <f>VLOOKUP(C382,'Talente &amp; Stuff'!GX:HY,13,FALSE)</f>
        <v>0</v>
      </c>
      <c r="P382" s="119">
        <f>VLOOKUP(C382,'Talente &amp; Stuff'!GX:HY,14,FALSE)</f>
        <v>0</v>
      </c>
      <c r="Q382" s="113">
        <f>VLOOKUP(C382,'Talente &amp; Stuff'!GX:HY,15,FALSE)</f>
        <v>0</v>
      </c>
      <c r="R382" s="113">
        <f>VLOOKUP(C382,'Talente &amp; Stuff'!GX:HY,16,FALSE)</f>
        <v>0</v>
      </c>
      <c r="S382" s="113">
        <f>VLOOKUP(C382,'Talente &amp; Stuff'!GX:HY,17,FALSE)</f>
        <v>0</v>
      </c>
      <c r="T382" s="160">
        <f>VLOOKUP(C382,'Talente &amp; Stuff'!GX:HY,18,FALSE)</f>
        <v>0</v>
      </c>
      <c r="U382" s="47">
        <f>VLOOKUP(C382,'Talente &amp; Stuff'!GX:HY,19,FALSE)</f>
        <v>0</v>
      </c>
      <c r="V382" s="47">
        <f>VLOOKUP(C382,'Talente &amp; Stuff'!GX:HY,20,FALSE)</f>
        <v>0</v>
      </c>
      <c r="W382" s="47">
        <f>VLOOKUP(C382,'Talente &amp; Stuff'!GX:HY,21,FALSE)</f>
        <v>0</v>
      </c>
      <c r="X382" s="125">
        <f>VLOOKUP(C382,'Talente &amp; Stuff'!GX:HY,22,FALSE)</f>
        <v>0</v>
      </c>
      <c r="Y382" s="165">
        <f t="shared" si="28"/>
        <v>0</v>
      </c>
      <c r="Z382" s="44">
        <f t="shared" si="29"/>
        <v>0</v>
      </c>
      <c r="AA382" s="125">
        <f>VLOOKUP(C382,'Talente &amp; Stuff'!GX:HY,25,FALSE)</f>
        <v>0</v>
      </c>
      <c r="AB382" s="160">
        <f>VLOOKUP(C382,'Talente &amp; Stuff'!GX:HY,26,FALSE)</f>
        <v>0</v>
      </c>
      <c r="AC382" s="127">
        <f>VLOOKUP(C382,'Talente &amp; Stuff'!GX:HY,27,FALSE)</f>
        <v>0</v>
      </c>
      <c r="AD382" s="125">
        <f>VLOOKUP(C382,'Talente &amp; Stuff'!GX:HY,28,FALSE)</f>
        <v>0</v>
      </c>
      <c r="AE382" s="28"/>
    </row>
    <row r="383" spans="2:31" ht="15" hidden="1" customHeight="1" outlineLevel="2">
      <c r="B383" s="148">
        <v>8</v>
      </c>
      <c r="C383" s="177" t="str">
        <f>Attribute!C383</f>
        <v>---</v>
      </c>
      <c r="D383" s="86" t="str">
        <f>VLOOKUP(C383,'Talente &amp; Stuff'!GX:HY,2,FALSE)</f>
        <v>--/--/--</v>
      </c>
      <c r="E383" s="125" t="str">
        <f>VLOOKUP(C383,'Talente &amp; Stuff'!GX:HY,3,FALSE)</f>
        <v>-</v>
      </c>
      <c r="F383" s="113">
        <f>VLOOKUP(C383,'Talente &amp; Stuff'!GX:HY,4,FALSE)</f>
        <v>0</v>
      </c>
      <c r="G383" s="113">
        <f>VLOOKUP(C383,'Talente &amp; Stuff'!GX:HY,5,FALSE)</f>
        <v>0</v>
      </c>
      <c r="H383" s="113">
        <f>VLOOKUP(C383,'Talente &amp; Stuff'!GX:HY,6,FALSE)</f>
        <v>0</v>
      </c>
      <c r="I383" s="113">
        <f>VLOOKUP(C383,'Talente &amp; Stuff'!GX:HY,7,FALSE)</f>
        <v>0</v>
      </c>
      <c r="J383" s="113">
        <f>VLOOKUP(C383,'Talente &amp; Stuff'!GX:HY,8,FALSE)</f>
        <v>0</v>
      </c>
      <c r="K383" s="113">
        <f>VLOOKUP(C383,'Talente &amp; Stuff'!GX:HY,9,FALSE)</f>
        <v>0</v>
      </c>
      <c r="L383" s="113">
        <f>VLOOKUP(C383,'Talente &amp; Stuff'!GX:HY,10,FALSE)</f>
        <v>0</v>
      </c>
      <c r="M383" s="113">
        <f>VLOOKUP(C383,'Talente &amp; Stuff'!GX:HY,11,FALSE)</f>
        <v>0</v>
      </c>
      <c r="N383" s="89">
        <f>VLOOKUP(C383,'Talente &amp; Stuff'!GX:HY,12,FALSE)</f>
        <v>0</v>
      </c>
      <c r="O383" s="47">
        <f>VLOOKUP(C383,'Talente &amp; Stuff'!GX:HY,13,FALSE)</f>
        <v>0</v>
      </c>
      <c r="P383" s="119">
        <f>VLOOKUP(C383,'Talente &amp; Stuff'!GX:HY,14,FALSE)</f>
        <v>0</v>
      </c>
      <c r="Q383" s="113">
        <f>VLOOKUP(C383,'Talente &amp; Stuff'!GX:HY,15,FALSE)</f>
        <v>0</v>
      </c>
      <c r="R383" s="113">
        <f>VLOOKUP(C383,'Talente &amp; Stuff'!GX:HY,16,FALSE)</f>
        <v>0</v>
      </c>
      <c r="S383" s="113">
        <f>VLOOKUP(C383,'Talente &amp; Stuff'!GX:HY,17,FALSE)</f>
        <v>0</v>
      </c>
      <c r="T383" s="160">
        <f>VLOOKUP(C383,'Talente &amp; Stuff'!GX:HY,18,FALSE)</f>
        <v>0</v>
      </c>
      <c r="U383" s="47">
        <f>VLOOKUP(C383,'Talente &amp; Stuff'!GX:HY,19,FALSE)</f>
        <v>0</v>
      </c>
      <c r="V383" s="47">
        <f>VLOOKUP(C383,'Talente &amp; Stuff'!GX:HY,20,FALSE)</f>
        <v>0</v>
      </c>
      <c r="W383" s="47">
        <f>VLOOKUP(C383,'Talente &amp; Stuff'!GX:HY,21,FALSE)</f>
        <v>0</v>
      </c>
      <c r="X383" s="125">
        <f>VLOOKUP(C383,'Talente &amp; Stuff'!GX:HY,22,FALSE)</f>
        <v>0</v>
      </c>
      <c r="Y383" s="165">
        <f t="shared" si="28"/>
        <v>0</v>
      </c>
      <c r="Z383" s="44">
        <f t="shared" si="29"/>
        <v>0</v>
      </c>
      <c r="AA383" s="125">
        <f>VLOOKUP(C383,'Talente &amp; Stuff'!GX:HY,25,FALSE)</f>
        <v>0</v>
      </c>
      <c r="AB383" s="160">
        <f>VLOOKUP(C383,'Talente &amp; Stuff'!GX:HY,26,FALSE)</f>
        <v>0</v>
      </c>
      <c r="AC383" s="127">
        <f>VLOOKUP(C383,'Talente &amp; Stuff'!GX:HY,27,FALSE)</f>
        <v>0</v>
      </c>
      <c r="AD383" s="125">
        <f>VLOOKUP(C383,'Talente &amp; Stuff'!GX:HY,28,FALSE)</f>
        <v>0</v>
      </c>
      <c r="AE383" s="28"/>
    </row>
    <row r="384" spans="2:31" ht="15" hidden="1" customHeight="1" outlineLevel="2">
      <c r="B384" s="148">
        <v>9</v>
      </c>
      <c r="C384" s="177" t="str">
        <f>Attribute!C384</f>
        <v>---</v>
      </c>
      <c r="D384" s="86" t="str">
        <f>VLOOKUP(C384,'Talente &amp; Stuff'!GX:HY,2,FALSE)</f>
        <v>--/--/--</v>
      </c>
      <c r="E384" s="125" t="str">
        <f>VLOOKUP(C384,'Talente &amp; Stuff'!GX:HY,3,FALSE)</f>
        <v>-</v>
      </c>
      <c r="F384" s="113">
        <f>VLOOKUP(C384,'Talente &amp; Stuff'!GX:HY,4,FALSE)</f>
        <v>0</v>
      </c>
      <c r="G384" s="113">
        <f>VLOOKUP(C384,'Talente &amp; Stuff'!GX:HY,5,FALSE)</f>
        <v>0</v>
      </c>
      <c r="H384" s="113">
        <f>VLOOKUP(C384,'Talente &amp; Stuff'!GX:HY,6,FALSE)</f>
        <v>0</v>
      </c>
      <c r="I384" s="113">
        <f>VLOOKUP(C384,'Talente &amp; Stuff'!GX:HY,7,FALSE)</f>
        <v>0</v>
      </c>
      <c r="J384" s="113">
        <f>VLOOKUP(C384,'Talente &amp; Stuff'!GX:HY,8,FALSE)</f>
        <v>0</v>
      </c>
      <c r="K384" s="113">
        <f>VLOOKUP(C384,'Talente &amp; Stuff'!GX:HY,9,FALSE)</f>
        <v>0</v>
      </c>
      <c r="L384" s="113">
        <f>VLOOKUP(C384,'Talente &amp; Stuff'!GX:HY,10,FALSE)</f>
        <v>0</v>
      </c>
      <c r="M384" s="113">
        <f>VLOOKUP(C384,'Talente &amp; Stuff'!GX:HY,11,FALSE)</f>
        <v>0</v>
      </c>
      <c r="N384" s="89">
        <f>VLOOKUP(C384,'Talente &amp; Stuff'!GX:HY,12,FALSE)</f>
        <v>0</v>
      </c>
      <c r="O384" s="47">
        <f>VLOOKUP(C384,'Talente &amp; Stuff'!GX:HY,13,FALSE)</f>
        <v>0</v>
      </c>
      <c r="P384" s="119">
        <f>VLOOKUP(C384,'Talente &amp; Stuff'!GX:HY,14,FALSE)</f>
        <v>0</v>
      </c>
      <c r="Q384" s="113">
        <f>VLOOKUP(C384,'Talente &amp; Stuff'!GX:HY,15,FALSE)</f>
        <v>0</v>
      </c>
      <c r="R384" s="113">
        <f>VLOOKUP(C384,'Talente &amp; Stuff'!GX:HY,16,FALSE)</f>
        <v>0</v>
      </c>
      <c r="S384" s="113">
        <f>VLOOKUP(C384,'Talente &amp; Stuff'!GX:HY,17,FALSE)</f>
        <v>0</v>
      </c>
      <c r="T384" s="160">
        <f>VLOOKUP(C384,'Talente &amp; Stuff'!GX:HY,18,FALSE)</f>
        <v>0</v>
      </c>
      <c r="U384" s="47">
        <f>VLOOKUP(C384,'Talente &amp; Stuff'!GX:HY,19,FALSE)</f>
        <v>0</v>
      </c>
      <c r="V384" s="47">
        <f>VLOOKUP(C384,'Talente &amp; Stuff'!GX:HY,20,FALSE)</f>
        <v>0</v>
      </c>
      <c r="W384" s="47">
        <f>VLOOKUP(C384,'Talente &amp; Stuff'!GX:HY,21,FALSE)</f>
        <v>0</v>
      </c>
      <c r="X384" s="125">
        <f>VLOOKUP(C384,'Talente &amp; Stuff'!GX:HY,22,FALSE)</f>
        <v>0</v>
      </c>
      <c r="Y384" s="165">
        <f t="shared" si="28"/>
        <v>0</v>
      </c>
      <c r="Z384" s="44">
        <f t="shared" si="29"/>
        <v>0</v>
      </c>
      <c r="AA384" s="125">
        <f>VLOOKUP(C384,'Talente &amp; Stuff'!GX:HY,25,FALSE)</f>
        <v>0</v>
      </c>
      <c r="AB384" s="160">
        <f>VLOOKUP(C384,'Talente &amp; Stuff'!GX:HY,26,FALSE)</f>
        <v>0</v>
      </c>
      <c r="AC384" s="127">
        <f>VLOOKUP(C384,'Talente &amp; Stuff'!GX:HY,27,FALSE)</f>
        <v>0</v>
      </c>
      <c r="AD384" s="125">
        <f>VLOOKUP(C384,'Talente &amp; Stuff'!GX:HY,28,FALSE)</f>
        <v>0</v>
      </c>
      <c r="AE384" s="28"/>
    </row>
    <row r="385" spans="1:31" ht="15" hidden="1" customHeight="1" outlineLevel="2">
      <c r="B385" s="148">
        <v>10</v>
      </c>
      <c r="C385" s="177" t="str">
        <f>Attribute!C385</f>
        <v>---</v>
      </c>
      <c r="D385" s="86" t="str">
        <f>VLOOKUP(C385,'Talente &amp; Stuff'!GX:HY,2,FALSE)</f>
        <v>--/--/--</v>
      </c>
      <c r="E385" s="125" t="str">
        <f>VLOOKUP(C385,'Talente &amp; Stuff'!GX:HY,3,FALSE)</f>
        <v>-</v>
      </c>
      <c r="F385" s="113">
        <f>VLOOKUP(C385,'Talente &amp; Stuff'!GX:HY,4,FALSE)</f>
        <v>0</v>
      </c>
      <c r="G385" s="113">
        <f>VLOOKUP(C385,'Talente &amp; Stuff'!GX:HY,5,FALSE)</f>
        <v>0</v>
      </c>
      <c r="H385" s="113">
        <f>VLOOKUP(C385,'Talente &amp; Stuff'!GX:HY,6,FALSE)</f>
        <v>0</v>
      </c>
      <c r="I385" s="113">
        <f>VLOOKUP(C385,'Talente &amp; Stuff'!GX:HY,7,FALSE)</f>
        <v>0</v>
      </c>
      <c r="J385" s="113">
        <f>VLOOKUP(C385,'Talente &amp; Stuff'!GX:HY,8,FALSE)</f>
        <v>0</v>
      </c>
      <c r="K385" s="113">
        <f>VLOOKUP(C385,'Talente &amp; Stuff'!GX:HY,9,FALSE)</f>
        <v>0</v>
      </c>
      <c r="L385" s="113">
        <f>VLOOKUP(C385,'Talente &amp; Stuff'!GX:HY,10,FALSE)</f>
        <v>0</v>
      </c>
      <c r="M385" s="113">
        <f>VLOOKUP(C385,'Talente &amp; Stuff'!GX:HY,11,FALSE)</f>
        <v>0</v>
      </c>
      <c r="N385" s="89">
        <f>VLOOKUP(C385,'Talente &amp; Stuff'!GX:HY,12,FALSE)</f>
        <v>0</v>
      </c>
      <c r="O385" s="47">
        <f>VLOOKUP(C385,'Talente &amp; Stuff'!GX:HY,13,FALSE)</f>
        <v>0</v>
      </c>
      <c r="P385" s="119">
        <f>VLOOKUP(C385,'Talente &amp; Stuff'!GX:HY,14,FALSE)</f>
        <v>0</v>
      </c>
      <c r="Q385" s="113">
        <f>VLOOKUP(C385,'Talente &amp; Stuff'!GX:HY,15,FALSE)</f>
        <v>0</v>
      </c>
      <c r="R385" s="113">
        <f>VLOOKUP(C385,'Talente &amp; Stuff'!GX:HY,16,FALSE)</f>
        <v>0</v>
      </c>
      <c r="S385" s="113">
        <f>VLOOKUP(C385,'Talente &amp; Stuff'!GX:HY,17,FALSE)</f>
        <v>0</v>
      </c>
      <c r="T385" s="160">
        <f>VLOOKUP(C385,'Talente &amp; Stuff'!GX:HY,18,FALSE)</f>
        <v>0</v>
      </c>
      <c r="U385" s="47">
        <f>VLOOKUP(C385,'Talente &amp; Stuff'!GX:HY,19,FALSE)</f>
        <v>0</v>
      </c>
      <c r="V385" s="47">
        <f>VLOOKUP(C385,'Talente &amp; Stuff'!GX:HY,20,FALSE)</f>
        <v>0</v>
      </c>
      <c r="W385" s="47">
        <f>VLOOKUP(C385,'Talente &amp; Stuff'!GX:HY,21,FALSE)</f>
        <v>0</v>
      </c>
      <c r="X385" s="125">
        <f>VLOOKUP(C385,'Talente &amp; Stuff'!GX:HY,22,FALSE)</f>
        <v>0</v>
      </c>
      <c r="Y385" s="165">
        <f t="shared" si="28"/>
        <v>0</v>
      </c>
      <c r="Z385" s="44">
        <f t="shared" si="29"/>
        <v>0</v>
      </c>
      <c r="AA385" s="125">
        <f>VLOOKUP(C385,'Talente &amp; Stuff'!GX:HY,25,FALSE)</f>
        <v>0</v>
      </c>
      <c r="AB385" s="160">
        <f>VLOOKUP(C385,'Talente &amp; Stuff'!GX:HY,26,FALSE)</f>
        <v>0</v>
      </c>
      <c r="AC385" s="127">
        <f>VLOOKUP(C385,'Talente &amp; Stuff'!GX:HY,27,FALSE)</f>
        <v>0</v>
      </c>
      <c r="AD385" s="125">
        <f>VLOOKUP(C385,'Talente &amp; Stuff'!GX:HY,28,FALSE)</f>
        <v>0</v>
      </c>
      <c r="AE385" s="28"/>
    </row>
    <row r="386" spans="1:31" ht="15" hidden="1" customHeight="1" outlineLevel="2">
      <c r="B386" s="148">
        <v>11</v>
      </c>
      <c r="C386" s="177" t="str">
        <f>Attribute!C386</f>
        <v>---</v>
      </c>
      <c r="D386" s="87" t="str">
        <f>VLOOKUP(C386,'Talente &amp; Stuff'!GX:HY,2,FALSE)</f>
        <v>--/--/--</v>
      </c>
      <c r="E386" s="159" t="str">
        <f>VLOOKUP(C386,'Talente &amp; Stuff'!GX:HY,3,FALSE)</f>
        <v>-</v>
      </c>
      <c r="F386" s="122">
        <f>VLOOKUP(C386,'Talente &amp; Stuff'!GX:HY,4,FALSE)</f>
        <v>0</v>
      </c>
      <c r="G386" s="122">
        <f>VLOOKUP(C386,'Talente &amp; Stuff'!GX:HY,5,FALSE)</f>
        <v>0</v>
      </c>
      <c r="H386" s="122">
        <f>VLOOKUP(C386,'Talente &amp; Stuff'!GX:HY,6,FALSE)</f>
        <v>0</v>
      </c>
      <c r="I386" s="122">
        <f>VLOOKUP(C386,'Talente &amp; Stuff'!GX:HY,7,FALSE)</f>
        <v>0</v>
      </c>
      <c r="J386" s="122">
        <f>VLOOKUP(C386,'Talente &amp; Stuff'!GX:HY,8,FALSE)</f>
        <v>0</v>
      </c>
      <c r="K386" s="122">
        <f>VLOOKUP(C386,'Talente &amp; Stuff'!GX:HY,9,FALSE)</f>
        <v>0</v>
      </c>
      <c r="L386" s="122">
        <f>VLOOKUP(C386,'Talente &amp; Stuff'!GX:HY,10,FALSE)</f>
        <v>0</v>
      </c>
      <c r="M386" s="122">
        <f>VLOOKUP(C386,'Talente &amp; Stuff'!GX:HY,11,FALSE)</f>
        <v>0</v>
      </c>
      <c r="N386" s="90">
        <f>VLOOKUP(C386,'Talente &amp; Stuff'!GX:HY,12,FALSE)</f>
        <v>0</v>
      </c>
      <c r="O386" s="88">
        <f>VLOOKUP(C386,'Talente &amp; Stuff'!GX:HY,13,FALSE)</f>
        <v>0</v>
      </c>
      <c r="P386" s="123">
        <f>VLOOKUP(C386,'Talente &amp; Stuff'!GX:HY,14,FALSE)</f>
        <v>0</v>
      </c>
      <c r="Q386" s="122">
        <f>VLOOKUP(C386,'Talente &amp; Stuff'!GX:HY,15,FALSE)</f>
        <v>0</v>
      </c>
      <c r="R386" s="122">
        <f>VLOOKUP(C386,'Talente &amp; Stuff'!GX:HY,16,FALSE)</f>
        <v>0</v>
      </c>
      <c r="S386" s="122">
        <f>VLOOKUP(C386,'Talente &amp; Stuff'!GX:HY,17,FALSE)</f>
        <v>0</v>
      </c>
      <c r="T386" s="161">
        <f>VLOOKUP(C386,'Talente &amp; Stuff'!GX:HY,18,FALSE)</f>
        <v>0</v>
      </c>
      <c r="U386" s="88">
        <f>VLOOKUP(C386,'Talente &amp; Stuff'!GX:HY,19,FALSE)</f>
        <v>0</v>
      </c>
      <c r="V386" s="88">
        <f>VLOOKUP(C386,'Talente &amp; Stuff'!GX:HY,20,FALSE)</f>
        <v>0</v>
      </c>
      <c r="W386" s="88">
        <f>VLOOKUP(C386,'Talente &amp; Stuff'!GX:HY,21,FALSE)</f>
        <v>0</v>
      </c>
      <c r="X386" s="159">
        <f>VLOOKUP(C386,'Talente &amp; Stuff'!GX:HY,22,FALSE)</f>
        <v>0</v>
      </c>
      <c r="Y386" s="165">
        <f t="shared" si="28"/>
        <v>0</v>
      </c>
      <c r="Z386" s="44">
        <f t="shared" si="29"/>
        <v>0</v>
      </c>
      <c r="AA386" s="159">
        <f>VLOOKUP(C386,'Talente &amp; Stuff'!GX:HY,25,FALSE)</f>
        <v>0</v>
      </c>
      <c r="AB386" s="161">
        <f>VLOOKUP(C386,'Talente &amp; Stuff'!GX:HY,26,FALSE)</f>
        <v>0</v>
      </c>
      <c r="AC386" s="128">
        <f>VLOOKUP(C386,'Talente &amp; Stuff'!GX:HY,27,FALSE)</f>
        <v>0</v>
      </c>
      <c r="AD386" s="159">
        <f>VLOOKUP(C386,'Talente &amp; Stuff'!GX:HY,28,FALSE)</f>
        <v>0</v>
      </c>
      <c r="AE386" s="28"/>
    </row>
    <row r="387" spans="1:31" ht="15" hidden="1" customHeight="1" outlineLevel="1" collapsed="1">
      <c r="B387" s="134" t="s">
        <v>328</v>
      </c>
      <c r="C387" s="83"/>
      <c r="D387" s="84"/>
      <c r="E387" s="84"/>
    </row>
    <row r="388" spans="1:31" ht="15" hidden="1" customHeight="1" outlineLevel="2">
      <c r="B388" s="148">
        <v>1</v>
      </c>
      <c r="C388" s="176" t="str">
        <f>Attribute!C388</f>
        <v>---</v>
      </c>
      <c r="D388" s="85" t="str">
        <f>VLOOKUP(C388,'Talente &amp; Stuff'!GX:HY,2,FALSE)</f>
        <v>--/--/--</v>
      </c>
      <c r="E388" s="158" t="str">
        <f>VLOOKUP(C388,'Talente &amp; Stuff'!GX:HY,3,FALSE)</f>
        <v>-</v>
      </c>
      <c r="F388" s="118">
        <f>VLOOKUP(C388,'Talente &amp; Stuff'!GX:HY,4,FALSE)</f>
        <v>0</v>
      </c>
      <c r="G388" s="118">
        <f>VLOOKUP(C388,'Talente &amp; Stuff'!GX:HY,5,FALSE)</f>
        <v>0</v>
      </c>
      <c r="H388" s="118">
        <f>VLOOKUP(C388,'Talente &amp; Stuff'!GX:HY,6,FALSE)</f>
        <v>0</v>
      </c>
      <c r="I388" s="118">
        <f>VLOOKUP(C388,'Talente &amp; Stuff'!GX:HY,7,FALSE)</f>
        <v>0</v>
      </c>
      <c r="J388" s="118">
        <f>VLOOKUP(C388,'Talente &amp; Stuff'!GX:HY,8,FALSE)</f>
        <v>0</v>
      </c>
      <c r="K388" s="118">
        <f>VLOOKUP(C388,'Talente &amp; Stuff'!GX:HY,9,FALSE)</f>
        <v>0</v>
      </c>
      <c r="L388" s="118">
        <f>VLOOKUP(C388,'Talente &amp; Stuff'!GX:HY,10,FALSE)</f>
        <v>0</v>
      </c>
      <c r="M388" s="118">
        <f>VLOOKUP(C388,'Talente &amp; Stuff'!GX:HY,11,FALSE)</f>
        <v>0</v>
      </c>
      <c r="N388" s="193">
        <f>VLOOKUP(C388,'Talente &amp; Stuff'!GX:HY,12,FALSE)</f>
        <v>0</v>
      </c>
      <c r="O388" s="116">
        <f>VLOOKUP(C388,'Talente &amp; Stuff'!GX:HY,13,FALSE)</f>
        <v>0</v>
      </c>
      <c r="P388" s="92">
        <f>VLOOKUP(C388,'Talente &amp; Stuff'!GX:HY,14,FALSE)</f>
        <v>0</v>
      </c>
      <c r="Q388" s="118">
        <f>VLOOKUP(C388,'Talente &amp; Stuff'!GX:HY,15,FALSE)</f>
        <v>0</v>
      </c>
      <c r="R388" s="118">
        <f>VLOOKUP(C388,'Talente &amp; Stuff'!GX:HY,16,FALSE)</f>
        <v>0</v>
      </c>
      <c r="S388" s="118">
        <f>VLOOKUP(C388,'Talente &amp; Stuff'!GX:HY,17,FALSE)</f>
        <v>0</v>
      </c>
      <c r="T388" s="91">
        <f>VLOOKUP(C388,'Talente &amp; Stuff'!GX:HY,18,FALSE)</f>
        <v>0</v>
      </c>
      <c r="U388" s="116">
        <f>VLOOKUP(C388,'Talente &amp; Stuff'!GX:HY,19,FALSE)</f>
        <v>0</v>
      </c>
      <c r="V388" s="116">
        <f>VLOOKUP(C388,'Talente &amp; Stuff'!GX:HY,20,FALSE)</f>
        <v>0</v>
      </c>
      <c r="W388" s="116">
        <f>VLOOKUP(C388,'Talente &amp; Stuff'!GX:HY,21,FALSE)</f>
        <v>0</v>
      </c>
      <c r="X388" s="158">
        <f>VLOOKUP(C388,'Talente &amp; Stuff'!GX:HY,22,FALSE)</f>
        <v>0</v>
      </c>
      <c r="Y388" s="165">
        <f>VLOOKUP(C388,Ausgewählte_Rituale_Hexen,226,FALSE)</f>
        <v>0</v>
      </c>
      <c r="Z388" s="44">
        <f>VLOOKUP(C388,Ausgewählte_Rituale_Hexen,227,FALSE)</f>
        <v>0</v>
      </c>
      <c r="AA388" s="158">
        <f>VLOOKUP(C388,'Talente &amp; Stuff'!GX:HY,25,FALSE)</f>
        <v>0</v>
      </c>
      <c r="AB388" s="91">
        <f>VLOOKUP(C388,'Talente &amp; Stuff'!GX:HY,26,FALSE)</f>
        <v>0</v>
      </c>
      <c r="AC388" s="126">
        <f>VLOOKUP(C388,'Talente &amp; Stuff'!GX:HY,27,FALSE)</f>
        <v>0</v>
      </c>
      <c r="AD388" s="158">
        <f>VLOOKUP(C388,'Talente &amp; Stuff'!GX:HY,28,FALSE)</f>
        <v>0</v>
      </c>
      <c r="AE388" s="28"/>
    </row>
    <row r="389" spans="1:31" ht="15" hidden="1" customHeight="1" outlineLevel="2">
      <c r="B389" s="148">
        <v>2</v>
      </c>
      <c r="C389" s="178" t="str">
        <f>Attribute!C389</f>
        <v>---</v>
      </c>
      <c r="D389" s="87" t="str">
        <f>VLOOKUP(C389,'Talente &amp; Stuff'!GX:HY,2,FALSE)</f>
        <v>--/--/--</v>
      </c>
      <c r="E389" s="159" t="str">
        <f>VLOOKUP(C389,'Talente &amp; Stuff'!GX:HY,3,FALSE)</f>
        <v>-</v>
      </c>
      <c r="F389" s="122">
        <f>VLOOKUP(C389,'Talente &amp; Stuff'!GX:HY,4,FALSE)</f>
        <v>0</v>
      </c>
      <c r="G389" s="122">
        <f>VLOOKUP(C389,'Talente &amp; Stuff'!GX:HY,5,FALSE)</f>
        <v>0</v>
      </c>
      <c r="H389" s="122">
        <f>VLOOKUP(C389,'Talente &amp; Stuff'!GX:HY,6,FALSE)</f>
        <v>0</v>
      </c>
      <c r="I389" s="122">
        <f>VLOOKUP(C389,'Talente &amp; Stuff'!GX:HY,7,FALSE)</f>
        <v>0</v>
      </c>
      <c r="J389" s="122">
        <f>VLOOKUP(C389,'Talente &amp; Stuff'!GX:HY,8,FALSE)</f>
        <v>0</v>
      </c>
      <c r="K389" s="122">
        <f>VLOOKUP(C389,'Talente &amp; Stuff'!GX:HY,9,FALSE)</f>
        <v>0</v>
      </c>
      <c r="L389" s="122">
        <f>VLOOKUP(C389,'Talente &amp; Stuff'!GX:HY,10,FALSE)</f>
        <v>0</v>
      </c>
      <c r="M389" s="122">
        <f>VLOOKUP(C389,'Talente &amp; Stuff'!GX:HY,11,FALSE)</f>
        <v>0</v>
      </c>
      <c r="N389" s="90">
        <f>VLOOKUP(C389,'Talente &amp; Stuff'!GX:HY,12,FALSE)</f>
        <v>0</v>
      </c>
      <c r="O389" s="88">
        <f>VLOOKUP(C389,'Talente &amp; Stuff'!GX:HY,13,FALSE)</f>
        <v>0</v>
      </c>
      <c r="P389" s="123">
        <f>VLOOKUP(C389,'Talente &amp; Stuff'!GX:HY,14,FALSE)</f>
        <v>0</v>
      </c>
      <c r="Q389" s="122">
        <f>VLOOKUP(C389,'Talente &amp; Stuff'!GX:HY,15,FALSE)</f>
        <v>0</v>
      </c>
      <c r="R389" s="122">
        <f>VLOOKUP(C389,'Talente &amp; Stuff'!GX:HY,16,FALSE)</f>
        <v>0</v>
      </c>
      <c r="S389" s="122">
        <f>VLOOKUP(C389,'Talente &amp; Stuff'!GX:HY,17,FALSE)</f>
        <v>0</v>
      </c>
      <c r="T389" s="161">
        <f>VLOOKUP(C389,'Talente &amp; Stuff'!GX:HY,18,FALSE)</f>
        <v>0</v>
      </c>
      <c r="U389" s="88">
        <f>VLOOKUP(C389,'Talente &amp; Stuff'!GX:HY,19,FALSE)</f>
        <v>0</v>
      </c>
      <c r="V389" s="88">
        <f>VLOOKUP(C389,'Talente &amp; Stuff'!GX:HY,20,FALSE)</f>
        <v>0</v>
      </c>
      <c r="W389" s="88">
        <f>VLOOKUP(C389,'Talente &amp; Stuff'!GX:HY,21,FALSE)</f>
        <v>0</v>
      </c>
      <c r="X389" s="159">
        <f>VLOOKUP(C389,'Talente &amp; Stuff'!GX:HY,22,FALSE)</f>
        <v>0</v>
      </c>
      <c r="Y389" s="165">
        <f>VLOOKUP(C389,Ausgewählte_Rituale_Hexen,226,FALSE)</f>
        <v>0</v>
      </c>
      <c r="Z389" s="44">
        <f>VLOOKUP(C389,Ausgewählte_Rituale_Hexen,227,FALSE)</f>
        <v>0</v>
      </c>
      <c r="AA389" s="159">
        <f>VLOOKUP(C389,'Talente &amp; Stuff'!GX:HY,25,FALSE)</f>
        <v>0</v>
      </c>
      <c r="AB389" s="161">
        <f>VLOOKUP(C389,'Talente &amp; Stuff'!GX:HY,26,FALSE)</f>
        <v>0</v>
      </c>
      <c r="AC389" s="128">
        <f>VLOOKUP(C389,'Talente &amp; Stuff'!GX:HY,27,FALSE)</f>
        <v>0</v>
      </c>
      <c r="AD389" s="159">
        <f>VLOOKUP(C389,'Talente &amp; Stuff'!GX:HY,28,FALSE)</f>
        <v>0</v>
      </c>
      <c r="AE389" s="28"/>
    </row>
    <row r="390" spans="1:31" ht="15" hidden="1" customHeight="1" outlineLevel="1" collapsed="1">
      <c r="B390" s="134" t="s">
        <v>407</v>
      </c>
      <c r="C390" s="83"/>
      <c r="D390" s="84"/>
      <c r="E390" s="84"/>
    </row>
    <row r="391" spans="1:31" ht="15" hidden="1" customHeight="1" outlineLevel="2">
      <c r="B391" s="148">
        <v>1</v>
      </c>
      <c r="C391" s="176" t="str">
        <f>Attribute!C391</f>
        <v>---</v>
      </c>
      <c r="D391" s="186" t="str">
        <f>VLOOKUP(C391,'Talente &amp; Stuff'!GX:HY,2,FALSE)</f>
        <v>--/--/--</v>
      </c>
      <c r="E391" s="40" t="str">
        <f>VLOOKUP(C391,'Talente &amp; Stuff'!GX:HY,3,FALSE)</f>
        <v>-</v>
      </c>
      <c r="F391" s="183">
        <f>VLOOKUP(C391,'Talente &amp; Stuff'!GX:HY,4,FALSE)</f>
        <v>0</v>
      </c>
      <c r="G391" s="183">
        <f>VLOOKUP(C391,'Talente &amp; Stuff'!GX:HY,5,FALSE)</f>
        <v>0</v>
      </c>
      <c r="H391" s="183">
        <f>VLOOKUP(C391,'Talente &amp; Stuff'!GX:HY,6,FALSE)</f>
        <v>0</v>
      </c>
      <c r="I391" s="183">
        <f>VLOOKUP(C391,'Talente &amp; Stuff'!GX:HY,7,FALSE)</f>
        <v>0</v>
      </c>
      <c r="J391" s="183">
        <f>VLOOKUP(C391,'Talente &amp; Stuff'!GX:HY,8,FALSE)</f>
        <v>0</v>
      </c>
      <c r="K391" s="183">
        <f>VLOOKUP(C391,'Talente &amp; Stuff'!GX:HY,9,FALSE)</f>
        <v>0</v>
      </c>
      <c r="L391" s="183">
        <f>VLOOKUP(C391,'Talente &amp; Stuff'!GX:HY,10,FALSE)</f>
        <v>0</v>
      </c>
      <c r="M391" s="183">
        <f>VLOOKUP(C391,'Talente &amp; Stuff'!GX:HY,11,FALSE)</f>
        <v>0</v>
      </c>
      <c r="N391" s="166">
        <f>VLOOKUP(C391,'Talente &amp; Stuff'!GX:HY,12,FALSE)</f>
        <v>0</v>
      </c>
      <c r="O391" s="179">
        <f>VLOOKUP(C391,'Talente &amp; Stuff'!GX:HY,13,FALSE)</f>
        <v>0</v>
      </c>
      <c r="P391" s="180">
        <f>VLOOKUP(C391,'Talente &amp; Stuff'!GX:HY,14,FALSE)</f>
        <v>0</v>
      </c>
      <c r="Q391" s="183">
        <f>VLOOKUP(C391,'Talente &amp; Stuff'!GX:HY,15,FALSE)</f>
        <v>0</v>
      </c>
      <c r="R391" s="183">
        <f>VLOOKUP(C391,'Talente &amp; Stuff'!GX:HY,16,FALSE)</f>
        <v>0</v>
      </c>
      <c r="S391" s="183">
        <f>VLOOKUP(C391,'Talente &amp; Stuff'!GX:HY,17,FALSE)</f>
        <v>0</v>
      </c>
      <c r="T391" s="189">
        <f>VLOOKUP(C391,'Talente &amp; Stuff'!GX:HY,18,FALSE)</f>
        <v>0</v>
      </c>
      <c r="U391" s="179">
        <f>VLOOKUP(C391,'Talente &amp; Stuff'!GX:HY,19,FALSE)</f>
        <v>0</v>
      </c>
      <c r="V391" s="179">
        <f>VLOOKUP(C391,'Talente &amp; Stuff'!GX:HY,20,FALSE)</f>
        <v>0</v>
      </c>
      <c r="W391" s="179">
        <f>VLOOKUP(C391,'Talente &amp; Stuff'!GX:HY,21,FALSE)</f>
        <v>0</v>
      </c>
      <c r="X391" s="40">
        <f>VLOOKUP(C391,'Talente &amp; Stuff'!GX:HY,22,FALSE)</f>
        <v>0</v>
      </c>
      <c r="Y391" s="165">
        <f>VLOOKUP(C391,Ausgewählte_Rituale_Kristallomanten,226,FALSE)</f>
        <v>0</v>
      </c>
      <c r="Z391" s="44">
        <f>VLOOKUP(C391,Ausgewählte_Rituale_Kristallomanten,227,FALSE)</f>
        <v>0</v>
      </c>
      <c r="AA391" s="40">
        <f>VLOOKUP(C391,'Talente &amp; Stuff'!GX:HY,25,FALSE)</f>
        <v>0</v>
      </c>
      <c r="AB391" s="189">
        <f>VLOOKUP(C391,'Talente &amp; Stuff'!GX:HY,26,FALSE)</f>
        <v>0</v>
      </c>
      <c r="AC391" s="182">
        <f>VLOOKUP(C391,'Talente &amp; Stuff'!GX:HY,27,FALSE)</f>
        <v>0</v>
      </c>
      <c r="AD391" s="40">
        <f>VLOOKUP(C391,'Talente &amp; Stuff'!GX:HY,28,FALSE)</f>
        <v>0</v>
      </c>
      <c r="AE391" s="28"/>
    </row>
    <row r="392" spans="1:31" ht="15" hidden="1" customHeight="1" outlineLevel="1" collapsed="1">
      <c r="B392" s="134" t="s">
        <v>408</v>
      </c>
      <c r="C392" s="83"/>
      <c r="D392" s="84"/>
      <c r="E392" s="84"/>
    </row>
    <row r="393" spans="1:31" ht="15" hidden="1" customHeight="1" outlineLevel="2">
      <c r="B393" s="148">
        <v>1</v>
      </c>
      <c r="C393" s="176" t="str">
        <f>Attribute!C393</f>
        <v>---</v>
      </c>
      <c r="D393" s="85" t="str">
        <f>VLOOKUP(C393,'Talente &amp; Stuff'!GX:HY,2,FALSE)</f>
        <v>--/--/--</v>
      </c>
      <c r="E393" s="193" t="str">
        <f>VLOOKUP(C393,'Talente &amp; Stuff'!GX:HY,3,FALSE)</f>
        <v>-</v>
      </c>
      <c r="F393" s="191">
        <f>VLOOKUP(C393,'Talente &amp; Stuff'!GX:HY,4,FALSE)</f>
        <v>0</v>
      </c>
      <c r="G393" s="118">
        <f>VLOOKUP(C393,'Talente &amp; Stuff'!GX:HY,5,FALSE)</f>
        <v>0</v>
      </c>
      <c r="H393" s="118">
        <f>VLOOKUP(C393,'Talente &amp; Stuff'!GX:HY,6,FALSE)</f>
        <v>0</v>
      </c>
      <c r="I393" s="118">
        <f>VLOOKUP(C393,'Talente &amp; Stuff'!GX:HY,7,FALSE)</f>
        <v>0</v>
      </c>
      <c r="J393" s="118">
        <f>VLOOKUP(C393,'Talente &amp; Stuff'!GX:HY,8,FALSE)</f>
        <v>0</v>
      </c>
      <c r="K393" s="118">
        <f>VLOOKUP(C393,'Talente &amp; Stuff'!GX:HY,9,FALSE)</f>
        <v>0</v>
      </c>
      <c r="L393" s="118">
        <f>VLOOKUP(C393,'Talente &amp; Stuff'!GX:HY,10,FALSE)</f>
        <v>0</v>
      </c>
      <c r="M393" s="92">
        <f>VLOOKUP(C393,'Talente &amp; Stuff'!GX:HY,11,FALSE)</f>
        <v>0</v>
      </c>
      <c r="N393" s="193">
        <f>VLOOKUP(C393,'Talente &amp; Stuff'!GX:HY,12,FALSE)</f>
        <v>0</v>
      </c>
      <c r="O393" s="116">
        <f>VLOOKUP(C393,'Talente &amp; Stuff'!GX:HY,13,FALSE)</f>
        <v>0</v>
      </c>
      <c r="P393" s="92">
        <f>VLOOKUP(C393,'Talente &amp; Stuff'!GX:HY,14,FALSE)</f>
        <v>0</v>
      </c>
      <c r="Q393" s="191">
        <f>VLOOKUP(C393,'Talente &amp; Stuff'!GX:HY,15,FALSE)</f>
        <v>0</v>
      </c>
      <c r="R393" s="118">
        <f>VLOOKUP(C393,'Talente &amp; Stuff'!GX:HY,16,FALSE)</f>
        <v>0</v>
      </c>
      <c r="S393" s="92">
        <f>VLOOKUP(C393,'Talente &amp; Stuff'!GX:HY,17,FALSE)</f>
        <v>0</v>
      </c>
      <c r="T393" s="92">
        <f>VLOOKUP(C393,'Talente &amp; Stuff'!GX:HY,18,FALSE)</f>
        <v>0</v>
      </c>
      <c r="U393" s="193">
        <f>VLOOKUP(C393,'Talente &amp; Stuff'!GX:HY,19,FALSE)</f>
        <v>0</v>
      </c>
      <c r="V393" s="116">
        <f>VLOOKUP(C393,'Talente &amp; Stuff'!GX:HY,20,FALSE)</f>
        <v>0</v>
      </c>
      <c r="W393" s="126">
        <f>VLOOKUP(C393,'Talente &amp; Stuff'!GX:HY,21,FALSE)</f>
        <v>0</v>
      </c>
      <c r="X393" s="158">
        <f>VLOOKUP(C393,'Talente &amp; Stuff'!GX:HY,22,FALSE)</f>
        <v>0</v>
      </c>
      <c r="Y393" s="165">
        <f>VLOOKUP(C393,Ausgewählte_Rituale_Scharlatane,226,FALSE)</f>
        <v>0</v>
      </c>
      <c r="Z393" s="44">
        <f>VLOOKUP(C393,Ausgewählte_Rituale_Scharlatane,227,FALSE)</f>
        <v>0</v>
      </c>
      <c r="AA393" s="158">
        <f>VLOOKUP(C393,'Talente &amp; Stuff'!GX:HY,25,FALSE)</f>
        <v>0</v>
      </c>
      <c r="AB393" s="191">
        <f>VLOOKUP(C393,'Talente &amp; Stuff'!GX:HY,26,FALSE)</f>
        <v>0</v>
      </c>
      <c r="AC393" s="158">
        <f>VLOOKUP(C393,'Talente &amp; Stuff'!GX:HY,27,FALSE)</f>
        <v>0</v>
      </c>
      <c r="AD393" s="158">
        <f>VLOOKUP(C393,'Talente &amp; Stuff'!GX:HY,28,FALSE)</f>
        <v>0</v>
      </c>
      <c r="AE393" s="28"/>
    </row>
    <row r="394" spans="1:31" ht="15" hidden="1" customHeight="1" outlineLevel="2">
      <c r="B394" s="148">
        <v>2</v>
      </c>
      <c r="C394" s="177" t="str">
        <f>Attribute!C394</f>
        <v>---</v>
      </c>
      <c r="D394" s="86" t="str">
        <f>VLOOKUP(C394,'Talente &amp; Stuff'!GX:HY,2,FALSE)</f>
        <v>--/--/--</v>
      </c>
      <c r="E394" s="89" t="str">
        <f>VLOOKUP(C394,'Talente &amp; Stuff'!GX:HY,3,FALSE)</f>
        <v>-</v>
      </c>
      <c r="F394" s="114">
        <f>VLOOKUP(C394,'Talente &amp; Stuff'!GX:HY,4,FALSE)</f>
        <v>0</v>
      </c>
      <c r="G394" s="113">
        <f>VLOOKUP(C394,'Talente &amp; Stuff'!GX:HY,5,FALSE)</f>
        <v>0</v>
      </c>
      <c r="H394" s="113">
        <f>VLOOKUP(C394,'Talente &amp; Stuff'!GX:HY,6,FALSE)</f>
        <v>0</v>
      </c>
      <c r="I394" s="113">
        <f>VLOOKUP(C394,'Talente &amp; Stuff'!GX:HY,7,FALSE)</f>
        <v>0</v>
      </c>
      <c r="J394" s="113">
        <f>VLOOKUP(C394,'Talente &amp; Stuff'!GX:HY,8,FALSE)</f>
        <v>0</v>
      </c>
      <c r="K394" s="113">
        <f>VLOOKUP(C394,'Talente &amp; Stuff'!GX:HY,9,FALSE)</f>
        <v>0</v>
      </c>
      <c r="L394" s="113">
        <f>VLOOKUP(C394,'Talente &amp; Stuff'!GX:HY,10,FALSE)</f>
        <v>0</v>
      </c>
      <c r="M394" s="119">
        <f>VLOOKUP(C394,'Talente &amp; Stuff'!GX:HY,11,FALSE)</f>
        <v>0</v>
      </c>
      <c r="N394" s="89">
        <f>VLOOKUP(C394,'Talente &amp; Stuff'!GX:HY,12,FALSE)</f>
        <v>0</v>
      </c>
      <c r="O394" s="47">
        <f>VLOOKUP(C394,'Talente &amp; Stuff'!GX:HY,13,FALSE)</f>
        <v>0</v>
      </c>
      <c r="P394" s="119">
        <f>VLOOKUP(C394,'Talente &amp; Stuff'!GX:HY,14,FALSE)</f>
        <v>0</v>
      </c>
      <c r="Q394" s="114">
        <f>VLOOKUP(C394,'Talente &amp; Stuff'!GX:HY,15,FALSE)</f>
        <v>0</v>
      </c>
      <c r="R394" s="113">
        <f>VLOOKUP(C394,'Talente &amp; Stuff'!GX:HY,16,FALSE)</f>
        <v>0</v>
      </c>
      <c r="S394" s="119">
        <f>VLOOKUP(C394,'Talente &amp; Stuff'!GX:HY,17,FALSE)</f>
        <v>0</v>
      </c>
      <c r="T394" s="119">
        <f>VLOOKUP(C394,'Talente &amp; Stuff'!GX:HY,18,FALSE)</f>
        <v>0</v>
      </c>
      <c r="U394" s="89">
        <f>VLOOKUP(C394,'Talente &amp; Stuff'!GX:HY,19,FALSE)</f>
        <v>0</v>
      </c>
      <c r="V394" s="47">
        <f>VLOOKUP(C394,'Talente &amp; Stuff'!GX:HY,20,FALSE)</f>
        <v>0</v>
      </c>
      <c r="W394" s="127">
        <f>VLOOKUP(C394,'Talente &amp; Stuff'!GX:HY,21,FALSE)</f>
        <v>0</v>
      </c>
      <c r="X394" s="125">
        <f>VLOOKUP(C394,'Talente &amp; Stuff'!GX:HY,22,FALSE)</f>
        <v>0</v>
      </c>
      <c r="Y394" s="165">
        <f>VLOOKUP(C394,Ausgewählte_Rituale_Scharlatane,226,FALSE)</f>
        <v>0</v>
      </c>
      <c r="Z394" s="44">
        <f>VLOOKUP(C394,Ausgewählte_Rituale_Scharlatane,227,FALSE)</f>
        <v>0</v>
      </c>
      <c r="AA394" s="125">
        <f>VLOOKUP(C394,'Talente &amp; Stuff'!GX:HY,25,FALSE)</f>
        <v>0</v>
      </c>
      <c r="AB394" s="114">
        <f>VLOOKUP(C394,'Talente &amp; Stuff'!GX:HY,26,FALSE)</f>
        <v>0</v>
      </c>
      <c r="AC394" s="125">
        <f>VLOOKUP(C394,'Talente &amp; Stuff'!GX:HY,27,FALSE)</f>
        <v>0</v>
      </c>
      <c r="AD394" s="125">
        <f>VLOOKUP(C394,'Talente &amp; Stuff'!GX:HY,28,FALSE)</f>
        <v>0</v>
      </c>
      <c r="AE394" s="28"/>
    </row>
    <row r="395" spans="1:31" ht="15" hidden="1" customHeight="1" outlineLevel="2">
      <c r="B395" s="148">
        <v>3</v>
      </c>
      <c r="C395" s="177" t="str">
        <f>Attribute!C395</f>
        <v>---</v>
      </c>
      <c r="D395" s="87" t="str">
        <f>VLOOKUP(C395,'Talente &amp; Stuff'!GX:HY,2,FALSE)</f>
        <v>--/--/--</v>
      </c>
      <c r="E395" s="90" t="str">
        <f>VLOOKUP(C395,'Talente &amp; Stuff'!GX:HY,3,FALSE)</f>
        <v>-</v>
      </c>
      <c r="F395" s="115">
        <f>VLOOKUP(C395,'Talente &amp; Stuff'!GX:HY,4,FALSE)</f>
        <v>0</v>
      </c>
      <c r="G395" s="122">
        <f>VLOOKUP(C395,'Talente &amp; Stuff'!GX:HY,5,FALSE)</f>
        <v>0</v>
      </c>
      <c r="H395" s="122">
        <f>VLOOKUP(C395,'Talente &amp; Stuff'!GX:HY,6,FALSE)</f>
        <v>0</v>
      </c>
      <c r="I395" s="122">
        <f>VLOOKUP(C395,'Talente &amp; Stuff'!GX:HY,7,FALSE)</f>
        <v>0</v>
      </c>
      <c r="J395" s="122">
        <f>VLOOKUP(C395,'Talente &amp; Stuff'!GX:HY,8,FALSE)</f>
        <v>0</v>
      </c>
      <c r="K395" s="122">
        <f>VLOOKUP(C395,'Talente &amp; Stuff'!GX:HY,9,FALSE)</f>
        <v>0</v>
      </c>
      <c r="L395" s="122">
        <f>VLOOKUP(C395,'Talente &amp; Stuff'!GX:HY,10,FALSE)</f>
        <v>0</v>
      </c>
      <c r="M395" s="123">
        <f>VLOOKUP(C395,'Talente &amp; Stuff'!GX:HY,11,FALSE)</f>
        <v>0</v>
      </c>
      <c r="N395" s="90">
        <f>VLOOKUP(C395,'Talente &amp; Stuff'!GX:HY,12,FALSE)</f>
        <v>0</v>
      </c>
      <c r="O395" s="88">
        <f>VLOOKUP(C395,'Talente &amp; Stuff'!GX:HY,13,FALSE)</f>
        <v>0</v>
      </c>
      <c r="P395" s="123">
        <f>VLOOKUP(C395,'Talente &amp; Stuff'!GX:HY,14,FALSE)</f>
        <v>0</v>
      </c>
      <c r="Q395" s="115">
        <f>VLOOKUP(C395,'Talente &amp; Stuff'!GX:HY,15,FALSE)</f>
        <v>0</v>
      </c>
      <c r="R395" s="122">
        <f>VLOOKUP(C395,'Talente &amp; Stuff'!GX:HY,16,FALSE)</f>
        <v>0</v>
      </c>
      <c r="S395" s="123">
        <f>VLOOKUP(C395,'Talente &amp; Stuff'!GX:HY,17,FALSE)</f>
        <v>0</v>
      </c>
      <c r="T395" s="123">
        <f>VLOOKUP(C395,'Talente &amp; Stuff'!GX:HY,18,FALSE)</f>
        <v>0</v>
      </c>
      <c r="U395" s="90">
        <f>VLOOKUP(C395,'Talente &amp; Stuff'!GX:HY,19,FALSE)</f>
        <v>0</v>
      </c>
      <c r="V395" s="88">
        <f>VLOOKUP(C395,'Talente &amp; Stuff'!GX:HY,20,FALSE)</f>
        <v>0</v>
      </c>
      <c r="W395" s="128">
        <f>VLOOKUP(C395,'Talente &amp; Stuff'!GX:HY,21,FALSE)</f>
        <v>0</v>
      </c>
      <c r="X395" s="159">
        <f>VLOOKUP(C395,'Talente &amp; Stuff'!GX:HY,22,FALSE)</f>
        <v>0</v>
      </c>
      <c r="Y395" s="165">
        <f>VLOOKUP(C395,Ausgewählte_Rituale_Scharlatane,226,FALSE)</f>
        <v>0</v>
      </c>
      <c r="Z395" s="44">
        <f>VLOOKUP(C395,Ausgewählte_Rituale_Scharlatane,227,FALSE)</f>
        <v>0</v>
      </c>
      <c r="AA395" s="159">
        <f>VLOOKUP(C395,'Talente &amp; Stuff'!GX:HY,25,FALSE)</f>
        <v>0</v>
      </c>
      <c r="AB395" s="115">
        <f>VLOOKUP(C395,'Talente &amp; Stuff'!GX:HY,26,FALSE)</f>
        <v>0</v>
      </c>
      <c r="AC395" s="159">
        <f>VLOOKUP(C395,'Talente &amp; Stuff'!GX:HY,27,FALSE)</f>
        <v>0</v>
      </c>
      <c r="AD395" s="159">
        <f>VLOOKUP(C395,'Talente &amp; Stuff'!GX:HY,28,FALSE)</f>
        <v>0</v>
      </c>
      <c r="AE395" s="28"/>
    </row>
    <row r="396" spans="1:31" ht="15" hidden="1" customHeight="1" outlineLevel="1" collapsed="1"/>
    <row r="397" spans="1:31" ht="15.75" collapsed="1" thickBot="1"/>
    <row r="398" spans="1:31" ht="15.75" thickBot="1">
      <c r="A398" s="135" t="s">
        <v>234</v>
      </c>
    </row>
    <row r="399" spans="1:31" ht="15" hidden="1" customHeight="1" outlineLevel="1">
      <c r="B399" s="134" t="s">
        <v>327</v>
      </c>
    </row>
    <row r="400" spans="1:31" ht="15" hidden="1" customHeight="1" outlineLevel="2">
      <c r="B400" s="148">
        <v>1</v>
      </c>
      <c r="C400" s="176" t="str">
        <f>Attribute!C400</f>
        <v>---</v>
      </c>
      <c r="D400" s="158" t="str">
        <f>VLOOKUP(C400,'Talente &amp; Stuff'!GX:HY,2,FALSE)</f>
        <v>--/--/--</v>
      </c>
      <c r="E400" s="116" t="str">
        <f>VLOOKUP(C400,'Talente &amp; Stuff'!GX:HY,3,FALSE)</f>
        <v>-</v>
      </c>
      <c r="F400" s="191">
        <f>VLOOKUP(C400,'Talente &amp; Stuff'!GX:HY,4,FALSE)</f>
        <v>0</v>
      </c>
      <c r="G400" s="118">
        <f>VLOOKUP(C400,'Talente &amp; Stuff'!GX:HY,5,FALSE)</f>
        <v>0</v>
      </c>
      <c r="H400" s="118">
        <f>VLOOKUP(C400,'Talente &amp; Stuff'!GX:HY,6,FALSE)</f>
        <v>0</v>
      </c>
      <c r="I400" s="118">
        <f>VLOOKUP(C400,'Talente &amp; Stuff'!GX:HY,7,FALSE)</f>
        <v>0</v>
      </c>
      <c r="J400" s="118">
        <f>VLOOKUP(C400,'Talente &amp; Stuff'!GX:HY,8,FALSE)</f>
        <v>0</v>
      </c>
      <c r="K400" s="118">
        <f>VLOOKUP(C400,'Talente &amp; Stuff'!GX:HY,9,FALSE)</f>
        <v>0</v>
      </c>
      <c r="L400" s="118">
        <f>VLOOKUP(C400,'Talente &amp; Stuff'!GX:HY,10,FALSE)</f>
        <v>0</v>
      </c>
      <c r="M400" s="92">
        <f>VLOOKUP(C400,'Talente &amp; Stuff'!GX:HY,11,FALSE)</f>
        <v>0</v>
      </c>
      <c r="N400" s="116">
        <f>VLOOKUP(C400,'Talente &amp; Stuff'!GX:HY,12,FALSE)</f>
        <v>0</v>
      </c>
      <c r="O400" s="116">
        <f>VLOOKUP(C400,'Talente &amp; Stuff'!GX:HY,13,FALSE)</f>
        <v>0</v>
      </c>
      <c r="P400" s="118">
        <f>VLOOKUP(C400,'Talente &amp; Stuff'!GX:HY,14,FALSE)</f>
        <v>0</v>
      </c>
      <c r="Q400" s="191">
        <f>VLOOKUP(C400,'Talente &amp; Stuff'!GX:HY,15,FALSE)</f>
        <v>0</v>
      </c>
      <c r="R400" s="118">
        <f>VLOOKUP(C400,'Talente &amp; Stuff'!GX:HY,16,FALSE)</f>
        <v>0</v>
      </c>
      <c r="S400" s="92">
        <f>VLOOKUP(C400,'Talente &amp; Stuff'!GX:HY,17,FALSE)</f>
        <v>0</v>
      </c>
      <c r="T400" s="91">
        <f>VLOOKUP(C400,'Talente &amp; Stuff'!GX:HY,18,FALSE)</f>
        <v>0</v>
      </c>
      <c r="U400" s="193">
        <f>VLOOKUP(C400,'Talente &amp; Stuff'!GX:HY,19,FALSE)</f>
        <v>0</v>
      </c>
      <c r="V400" s="116">
        <f>VLOOKUP(C400,'Talente &amp; Stuff'!GX:HY,20,FALSE)</f>
        <v>0</v>
      </c>
      <c r="W400" s="126">
        <f>VLOOKUP(C400,'Talente &amp; Stuff'!GX:HY,21,FALSE)</f>
        <v>0</v>
      </c>
      <c r="X400" s="126">
        <f>VLOOKUP(C400,'Talente &amp; Stuff'!GX:HY,22,FALSE)</f>
        <v>0</v>
      </c>
      <c r="Y400" s="165">
        <f>VLOOKUP(C400,Ausgewählte_Liturgien_Allgemein,226,FALSE)</f>
        <v>0</v>
      </c>
      <c r="Z400" s="44">
        <f>VLOOKUP(C400,Ausgewählte_Liturgien_Allgemein,227,FALSE)</f>
        <v>0</v>
      </c>
      <c r="AA400" s="158">
        <f>VLOOKUP(C400,'Talente &amp; Stuff'!GX:HY,25,FALSE)</f>
        <v>0</v>
      </c>
      <c r="AB400" s="91">
        <f>VLOOKUP(C400,'Talente &amp; Stuff'!GX:HY,26,FALSE)</f>
        <v>0</v>
      </c>
      <c r="AC400" s="126">
        <f>VLOOKUP(C400,'Talente &amp; Stuff'!GX:HY,27,FALSE)</f>
        <v>0</v>
      </c>
      <c r="AD400" s="158">
        <f>VLOOKUP(C400,'Talente &amp; Stuff'!GX:HY,28,FALSE)</f>
        <v>0</v>
      </c>
      <c r="AE400" s="28"/>
    </row>
    <row r="401" spans="2:31" ht="15" hidden="1" customHeight="1" outlineLevel="2">
      <c r="B401" s="148">
        <v>2</v>
      </c>
      <c r="C401" s="177" t="str">
        <f>Attribute!C401</f>
        <v>---</v>
      </c>
      <c r="D401" s="125" t="str">
        <f>VLOOKUP(C401,'Talente &amp; Stuff'!GX:HY,2,FALSE)</f>
        <v>--/--/--</v>
      </c>
      <c r="E401" s="47" t="str">
        <f>VLOOKUP(C401,'Talente &amp; Stuff'!GX:HY,3,FALSE)</f>
        <v>-</v>
      </c>
      <c r="F401" s="114">
        <f>VLOOKUP(C401,'Talente &amp; Stuff'!GX:HY,4,FALSE)</f>
        <v>0</v>
      </c>
      <c r="G401" s="113">
        <f>VLOOKUP(C401,'Talente &amp; Stuff'!GX:HY,5,FALSE)</f>
        <v>0</v>
      </c>
      <c r="H401" s="113">
        <f>VLOOKUP(C401,'Talente &amp; Stuff'!GX:HY,6,FALSE)</f>
        <v>0</v>
      </c>
      <c r="I401" s="113">
        <f>VLOOKUP(C401,'Talente &amp; Stuff'!GX:HY,7,FALSE)</f>
        <v>0</v>
      </c>
      <c r="J401" s="113">
        <f>VLOOKUP(C401,'Talente &amp; Stuff'!GX:HY,8,FALSE)</f>
        <v>0</v>
      </c>
      <c r="K401" s="113">
        <f>VLOOKUP(C401,'Talente &amp; Stuff'!GX:HY,9,FALSE)</f>
        <v>0</v>
      </c>
      <c r="L401" s="113">
        <f>VLOOKUP(C401,'Talente &amp; Stuff'!GX:HY,10,FALSE)</f>
        <v>0</v>
      </c>
      <c r="M401" s="119">
        <f>VLOOKUP(C401,'Talente &amp; Stuff'!GX:HY,11,FALSE)</f>
        <v>0</v>
      </c>
      <c r="N401" s="47">
        <f>VLOOKUP(C401,'Talente &amp; Stuff'!GX:HY,12,FALSE)</f>
        <v>0</v>
      </c>
      <c r="O401" s="47">
        <f>VLOOKUP(C401,'Talente &amp; Stuff'!GX:HY,13,FALSE)</f>
        <v>0</v>
      </c>
      <c r="P401" s="113">
        <f>VLOOKUP(C401,'Talente &amp; Stuff'!GX:HY,14,FALSE)</f>
        <v>0</v>
      </c>
      <c r="Q401" s="114">
        <f>VLOOKUP(C401,'Talente &amp; Stuff'!GX:HY,15,FALSE)</f>
        <v>0</v>
      </c>
      <c r="R401" s="113">
        <f>VLOOKUP(C401,'Talente &amp; Stuff'!GX:HY,16,FALSE)</f>
        <v>0</v>
      </c>
      <c r="S401" s="119">
        <f>VLOOKUP(C401,'Talente &amp; Stuff'!GX:HY,17,FALSE)</f>
        <v>0</v>
      </c>
      <c r="T401" s="160">
        <f>VLOOKUP(C401,'Talente &amp; Stuff'!GX:HY,18,FALSE)</f>
        <v>0</v>
      </c>
      <c r="U401" s="89">
        <f>VLOOKUP(C401,'Talente &amp; Stuff'!GX:HY,19,FALSE)</f>
        <v>0</v>
      </c>
      <c r="V401" s="47">
        <f>VLOOKUP(C401,'Talente &amp; Stuff'!GX:HY,20,FALSE)</f>
        <v>0</v>
      </c>
      <c r="W401" s="127">
        <f>VLOOKUP(C401,'Talente &amp; Stuff'!GX:HY,21,FALSE)</f>
        <v>0</v>
      </c>
      <c r="X401" s="127">
        <f>VLOOKUP(C401,'Talente &amp; Stuff'!GX:HY,22,FALSE)</f>
        <v>0</v>
      </c>
      <c r="Y401" s="165">
        <f>VLOOKUP(C401,Ausgewählte_Liturgien_Allgemein,226,FALSE)</f>
        <v>0</v>
      </c>
      <c r="Z401" s="44">
        <f>VLOOKUP(C401,Ausgewählte_Liturgien_Allgemein,227,FALSE)</f>
        <v>0</v>
      </c>
      <c r="AA401" s="125">
        <f>VLOOKUP(C401,'Talente &amp; Stuff'!GX:HY,25,FALSE)</f>
        <v>0</v>
      </c>
      <c r="AB401" s="160">
        <f>VLOOKUP(C401,'Talente &amp; Stuff'!GX:HY,26,FALSE)</f>
        <v>0</v>
      </c>
      <c r="AC401" s="127">
        <f>VLOOKUP(C401,'Talente &amp; Stuff'!GX:HY,27,FALSE)</f>
        <v>0</v>
      </c>
      <c r="AD401" s="125">
        <f>VLOOKUP(C401,'Talente &amp; Stuff'!GX:HY,28,FALSE)</f>
        <v>0</v>
      </c>
      <c r="AE401" s="28"/>
    </row>
    <row r="402" spans="2:31" ht="15" hidden="1" customHeight="1" outlineLevel="2">
      <c r="B402" s="148">
        <v>3</v>
      </c>
      <c r="C402" s="178" t="str">
        <f>Attribute!C402</f>
        <v>---</v>
      </c>
      <c r="D402" s="159" t="str">
        <f>VLOOKUP(C402,'Talente &amp; Stuff'!GX:HY,2,FALSE)</f>
        <v>--/--/--</v>
      </c>
      <c r="E402" s="88" t="str">
        <f>VLOOKUP(C402,'Talente &amp; Stuff'!GX:HY,3,FALSE)</f>
        <v>-</v>
      </c>
      <c r="F402" s="115">
        <f>VLOOKUP(C402,'Talente &amp; Stuff'!GX:HY,4,FALSE)</f>
        <v>0</v>
      </c>
      <c r="G402" s="122">
        <f>VLOOKUP(C402,'Talente &amp; Stuff'!GX:HY,5,FALSE)</f>
        <v>0</v>
      </c>
      <c r="H402" s="122">
        <f>VLOOKUP(C402,'Talente &amp; Stuff'!GX:HY,6,FALSE)</f>
        <v>0</v>
      </c>
      <c r="I402" s="122">
        <f>VLOOKUP(C402,'Talente &amp; Stuff'!GX:HY,7,FALSE)</f>
        <v>0</v>
      </c>
      <c r="J402" s="122">
        <f>VLOOKUP(C402,'Talente &amp; Stuff'!GX:HY,8,FALSE)</f>
        <v>0</v>
      </c>
      <c r="K402" s="122">
        <f>VLOOKUP(C402,'Talente &amp; Stuff'!GX:HY,9,FALSE)</f>
        <v>0</v>
      </c>
      <c r="L402" s="122">
        <f>VLOOKUP(C402,'Talente &amp; Stuff'!GX:HY,10,FALSE)</f>
        <v>0</v>
      </c>
      <c r="M402" s="123">
        <f>VLOOKUP(C402,'Talente &amp; Stuff'!GX:HY,11,FALSE)</f>
        <v>0</v>
      </c>
      <c r="N402" s="88">
        <f>VLOOKUP(C402,'Talente &amp; Stuff'!GX:HY,12,FALSE)</f>
        <v>0</v>
      </c>
      <c r="O402" s="88">
        <f>VLOOKUP(C402,'Talente &amp; Stuff'!GX:HY,13,FALSE)</f>
        <v>0</v>
      </c>
      <c r="P402" s="122">
        <f>VLOOKUP(C402,'Talente &amp; Stuff'!GX:HY,14,FALSE)</f>
        <v>0</v>
      </c>
      <c r="Q402" s="115">
        <f>VLOOKUP(C402,'Talente &amp; Stuff'!GX:HY,15,FALSE)</f>
        <v>0</v>
      </c>
      <c r="R402" s="122">
        <f>VLOOKUP(C402,'Talente &amp; Stuff'!GX:HY,16,FALSE)</f>
        <v>0</v>
      </c>
      <c r="S402" s="123">
        <f>VLOOKUP(C402,'Talente &amp; Stuff'!GX:HY,17,FALSE)</f>
        <v>0</v>
      </c>
      <c r="T402" s="161">
        <f>VLOOKUP(C402,'Talente &amp; Stuff'!GX:HY,18,FALSE)</f>
        <v>0</v>
      </c>
      <c r="U402" s="90">
        <f>VLOOKUP(C402,'Talente &amp; Stuff'!GX:HY,19,FALSE)</f>
        <v>0</v>
      </c>
      <c r="V402" s="88">
        <f>VLOOKUP(C402,'Talente &amp; Stuff'!GX:HY,20,FALSE)</f>
        <v>0</v>
      </c>
      <c r="W402" s="128">
        <f>VLOOKUP(C402,'Talente &amp; Stuff'!GX:HY,21,FALSE)</f>
        <v>0</v>
      </c>
      <c r="X402" s="128">
        <f>VLOOKUP(C402,'Talente &amp; Stuff'!GX:HY,22,FALSE)</f>
        <v>0</v>
      </c>
      <c r="Y402" s="165">
        <f>VLOOKUP(C402,Ausgewählte_Liturgien_Allgemein,226,FALSE)</f>
        <v>0</v>
      </c>
      <c r="Z402" s="44">
        <f>VLOOKUP(C402,Ausgewählte_Liturgien_Allgemein,227,FALSE)</f>
        <v>0</v>
      </c>
      <c r="AA402" s="159">
        <f>VLOOKUP(C402,'Talente &amp; Stuff'!GX:HY,25,FALSE)</f>
        <v>0</v>
      </c>
      <c r="AB402" s="161">
        <f>VLOOKUP(C402,'Talente &amp; Stuff'!GX:HY,26,FALSE)</f>
        <v>0</v>
      </c>
      <c r="AC402" s="128">
        <f>VLOOKUP(C402,'Talente &amp; Stuff'!GX:HY,27,FALSE)</f>
        <v>0</v>
      </c>
      <c r="AD402" s="159">
        <f>VLOOKUP(C402,'Talente &amp; Stuff'!GX:HY,28,FALSE)</f>
        <v>0</v>
      </c>
      <c r="AE402" s="28"/>
    </row>
    <row r="403" spans="2:31" ht="15" hidden="1" customHeight="1" outlineLevel="1" collapsed="1">
      <c r="B403" s="134" t="s">
        <v>326</v>
      </c>
      <c r="C403" s="83"/>
      <c r="D403" s="84"/>
      <c r="E403" s="84"/>
    </row>
    <row r="404" spans="2:31" ht="15" hidden="1" customHeight="1" outlineLevel="2">
      <c r="B404" s="148">
        <v>1</v>
      </c>
      <c r="C404" s="176" t="str">
        <f>Attribute!C404</f>
        <v>---</v>
      </c>
      <c r="D404" s="158" t="str">
        <f>VLOOKUP(C404,'Talente &amp; Stuff'!GX:HY,2,FALSE)</f>
        <v>--/--/--</v>
      </c>
      <c r="E404" s="116" t="str">
        <f>VLOOKUP(C404,'Talente &amp; Stuff'!GX:HY,3,FALSE)</f>
        <v>-</v>
      </c>
      <c r="F404" s="191">
        <f>VLOOKUP(C404,'Talente &amp; Stuff'!GX:HY,4,FALSE)</f>
        <v>0</v>
      </c>
      <c r="G404" s="118">
        <f>VLOOKUP(C404,'Talente &amp; Stuff'!GX:HY,5,FALSE)</f>
        <v>0</v>
      </c>
      <c r="H404" s="118">
        <f>VLOOKUP(C404,'Talente &amp; Stuff'!GX:HY,6,FALSE)</f>
        <v>0</v>
      </c>
      <c r="I404" s="118">
        <f>VLOOKUP(C404,'Talente &amp; Stuff'!GX:HY,7,FALSE)</f>
        <v>0</v>
      </c>
      <c r="J404" s="118">
        <f>VLOOKUP(C404,'Talente &amp; Stuff'!GX:HY,8,FALSE)</f>
        <v>0</v>
      </c>
      <c r="K404" s="118">
        <f>VLOOKUP(C404,'Talente &amp; Stuff'!GX:HY,9,FALSE)</f>
        <v>0</v>
      </c>
      <c r="L404" s="118">
        <f>VLOOKUP(C404,'Talente &amp; Stuff'!GX:HY,10,FALSE)</f>
        <v>0</v>
      </c>
      <c r="M404" s="92">
        <f>VLOOKUP(C404,'Talente &amp; Stuff'!GX:HY,11,FALSE)</f>
        <v>0</v>
      </c>
      <c r="N404" s="116">
        <f>VLOOKUP(C404,'Talente &amp; Stuff'!GX:HY,12,FALSE)</f>
        <v>0</v>
      </c>
      <c r="O404" s="116">
        <f>VLOOKUP(C404,'Talente &amp; Stuff'!GX:HY,13,FALSE)</f>
        <v>0</v>
      </c>
      <c r="P404" s="118">
        <f>VLOOKUP(C404,'Talente &amp; Stuff'!GX:HY,14,FALSE)</f>
        <v>0</v>
      </c>
      <c r="Q404" s="191">
        <f>VLOOKUP(C404,'Talente &amp; Stuff'!GX:HY,15,FALSE)</f>
        <v>0</v>
      </c>
      <c r="R404" s="118">
        <f>VLOOKUP(C404,'Talente &amp; Stuff'!GX:HY,16,FALSE)</f>
        <v>0</v>
      </c>
      <c r="S404" s="92">
        <f>VLOOKUP(C404,'Talente &amp; Stuff'!GX:HY,17,FALSE)</f>
        <v>0</v>
      </c>
      <c r="T404" s="91">
        <f>VLOOKUP(C404,'Talente &amp; Stuff'!GX:HY,18,FALSE)</f>
        <v>0</v>
      </c>
      <c r="U404" s="193">
        <f>VLOOKUP(C404,'Talente &amp; Stuff'!GX:HY,19,FALSE)</f>
        <v>0</v>
      </c>
      <c r="V404" s="116">
        <f>VLOOKUP(C404,'Talente &amp; Stuff'!GX:HY,20,FALSE)</f>
        <v>0</v>
      </c>
      <c r="W404" s="126">
        <f>VLOOKUP(C404,'Talente &amp; Stuff'!GX:HY,21,FALSE)</f>
        <v>0</v>
      </c>
      <c r="X404" s="126">
        <f>VLOOKUP(C404,'Talente &amp; Stuff'!GX:HY,22,FALSE)</f>
        <v>0</v>
      </c>
      <c r="Y404" s="165">
        <f t="shared" ref="Y404:Y409" si="30">VLOOKUP(C404,Ausgewählte_Liturgien_Boron,226,FALSE)</f>
        <v>0</v>
      </c>
      <c r="Z404" s="44">
        <f t="shared" ref="Z404:Z409" si="31">VLOOKUP(C404,Ausgewählte_Liturgien_Boron,227,FALSE)</f>
        <v>0</v>
      </c>
      <c r="AA404" s="158">
        <f>VLOOKUP(C404,'Talente &amp; Stuff'!GX:HY,25,FALSE)</f>
        <v>0</v>
      </c>
      <c r="AB404" s="91">
        <f>VLOOKUP(C404,'Talente &amp; Stuff'!GX:HY,26,FALSE)</f>
        <v>0</v>
      </c>
      <c r="AC404" s="126">
        <f>VLOOKUP(C404,'Talente &amp; Stuff'!GX:HY,27,FALSE)</f>
        <v>0</v>
      </c>
      <c r="AD404" s="158">
        <f>VLOOKUP(C404,'Talente &amp; Stuff'!GX:HY,28,FALSE)</f>
        <v>0</v>
      </c>
      <c r="AE404" s="28"/>
    </row>
    <row r="405" spans="2:31" ht="15" hidden="1" customHeight="1" outlineLevel="2">
      <c r="B405" s="148">
        <v>2</v>
      </c>
      <c r="C405" s="177" t="str">
        <f>Attribute!C405</f>
        <v>---</v>
      </c>
      <c r="D405" s="125" t="str">
        <f>VLOOKUP(C405,'Talente &amp; Stuff'!GX:HY,2,FALSE)</f>
        <v>--/--/--</v>
      </c>
      <c r="E405" s="47" t="str">
        <f>VLOOKUP(C405,'Talente &amp; Stuff'!GX:HY,3,FALSE)</f>
        <v>-</v>
      </c>
      <c r="F405" s="114">
        <f>VLOOKUP(C405,'Talente &amp; Stuff'!GX:HY,4,FALSE)</f>
        <v>0</v>
      </c>
      <c r="G405" s="113">
        <f>VLOOKUP(C405,'Talente &amp; Stuff'!GX:HY,5,FALSE)</f>
        <v>0</v>
      </c>
      <c r="H405" s="113">
        <f>VLOOKUP(C405,'Talente &amp; Stuff'!GX:HY,6,FALSE)</f>
        <v>0</v>
      </c>
      <c r="I405" s="113">
        <f>VLOOKUP(C405,'Talente &amp; Stuff'!GX:HY,7,FALSE)</f>
        <v>0</v>
      </c>
      <c r="J405" s="113">
        <f>VLOOKUP(C405,'Talente &amp; Stuff'!GX:HY,8,FALSE)</f>
        <v>0</v>
      </c>
      <c r="K405" s="113">
        <f>VLOOKUP(C405,'Talente &amp; Stuff'!GX:HY,9,FALSE)</f>
        <v>0</v>
      </c>
      <c r="L405" s="113">
        <f>VLOOKUP(C405,'Talente &amp; Stuff'!GX:HY,10,FALSE)</f>
        <v>0</v>
      </c>
      <c r="M405" s="119">
        <f>VLOOKUP(C405,'Talente &amp; Stuff'!GX:HY,11,FALSE)</f>
        <v>0</v>
      </c>
      <c r="N405" s="47">
        <f>VLOOKUP(C405,'Talente &amp; Stuff'!GX:HY,12,FALSE)</f>
        <v>0</v>
      </c>
      <c r="O405" s="47">
        <f>VLOOKUP(C405,'Talente &amp; Stuff'!GX:HY,13,FALSE)</f>
        <v>0</v>
      </c>
      <c r="P405" s="113">
        <f>VLOOKUP(C405,'Talente &amp; Stuff'!GX:HY,14,FALSE)</f>
        <v>0</v>
      </c>
      <c r="Q405" s="114">
        <f>VLOOKUP(C405,'Talente &amp; Stuff'!GX:HY,15,FALSE)</f>
        <v>0</v>
      </c>
      <c r="R405" s="113">
        <f>VLOOKUP(C405,'Talente &amp; Stuff'!GX:HY,16,FALSE)</f>
        <v>0</v>
      </c>
      <c r="S405" s="119">
        <f>VLOOKUP(C405,'Talente &amp; Stuff'!GX:HY,17,FALSE)</f>
        <v>0</v>
      </c>
      <c r="T405" s="160">
        <f>VLOOKUP(C405,'Talente &amp; Stuff'!GX:HY,18,FALSE)</f>
        <v>0</v>
      </c>
      <c r="U405" s="89">
        <f>VLOOKUP(C405,'Talente &amp; Stuff'!GX:HY,19,FALSE)</f>
        <v>0</v>
      </c>
      <c r="V405" s="47">
        <f>VLOOKUP(C405,'Talente &amp; Stuff'!GX:HY,20,FALSE)</f>
        <v>0</v>
      </c>
      <c r="W405" s="127">
        <f>VLOOKUP(C405,'Talente &amp; Stuff'!GX:HY,21,FALSE)</f>
        <v>0</v>
      </c>
      <c r="X405" s="127">
        <f>VLOOKUP(C405,'Talente &amp; Stuff'!GX:HY,22,FALSE)</f>
        <v>0</v>
      </c>
      <c r="Y405" s="165">
        <f t="shared" si="30"/>
        <v>0</v>
      </c>
      <c r="Z405" s="44">
        <f t="shared" si="31"/>
        <v>0</v>
      </c>
      <c r="AA405" s="125">
        <f>VLOOKUP(C405,'Talente &amp; Stuff'!GX:HY,25,FALSE)</f>
        <v>0</v>
      </c>
      <c r="AB405" s="160">
        <f>VLOOKUP(C405,'Talente &amp; Stuff'!GX:HY,26,FALSE)</f>
        <v>0</v>
      </c>
      <c r="AC405" s="127">
        <f>VLOOKUP(C405,'Talente &amp; Stuff'!GX:HY,27,FALSE)</f>
        <v>0</v>
      </c>
      <c r="AD405" s="125">
        <f>VLOOKUP(C405,'Talente &amp; Stuff'!GX:HY,28,FALSE)</f>
        <v>0</v>
      </c>
      <c r="AE405" s="28"/>
    </row>
    <row r="406" spans="2:31" ht="15" hidden="1" customHeight="1" outlineLevel="2">
      <c r="B406" s="148">
        <v>3</v>
      </c>
      <c r="C406" s="177" t="str">
        <f>Attribute!C406</f>
        <v>---</v>
      </c>
      <c r="D406" s="125" t="str">
        <f>VLOOKUP(C406,'Talente &amp; Stuff'!GX:HY,2,FALSE)</f>
        <v>--/--/--</v>
      </c>
      <c r="E406" s="47" t="str">
        <f>VLOOKUP(C406,'Talente &amp; Stuff'!GX:HY,3,FALSE)</f>
        <v>-</v>
      </c>
      <c r="F406" s="114">
        <f>VLOOKUP(C406,'Talente &amp; Stuff'!GX:HY,4,FALSE)</f>
        <v>0</v>
      </c>
      <c r="G406" s="113">
        <f>VLOOKUP(C406,'Talente &amp; Stuff'!GX:HY,5,FALSE)</f>
        <v>0</v>
      </c>
      <c r="H406" s="113">
        <f>VLOOKUP(C406,'Talente &amp; Stuff'!GX:HY,6,FALSE)</f>
        <v>0</v>
      </c>
      <c r="I406" s="113">
        <f>VLOOKUP(C406,'Talente &amp; Stuff'!GX:HY,7,FALSE)</f>
        <v>0</v>
      </c>
      <c r="J406" s="113">
        <f>VLOOKUP(C406,'Talente &amp; Stuff'!GX:HY,8,FALSE)</f>
        <v>0</v>
      </c>
      <c r="K406" s="113">
        <f>VLOOKUP(C406,'Talente &amp; Stuff'!GX:HY,9,FALSE)</f>
        <v>0</v>
      </c>
      <c r="L406" s="113">
        <f>VLOOKUP(C406,'Talente &amp; Stuff'!GX:HY,10,FALSE)</f>
        <v>0</v>
      </c>
      <c r="M406" s="119">
        <f>VLOOKUP(C406,'Talente &amp; Stuff'!GX:HY,11,FALSE)</f>
        <v>0</v>
      </c>
      <c r="N406" s="47">
        <f>VLOOKUP(C406,'Talente &amp; Stuff'!GX:HY,12,FALSE)</f>
        <v>0</v>
      </c>
      <c r="O406" s="47">
        <f>VLOOKUP(C406,'Talente &amp; Stuff'!GX:HY,13,FALSE)</f>
        <v>0</v>
      </c>
      <c r="P406" s="113">
        <f>VLOOKUP(C406,'Talente &amp; Stuff'!GX:HY,14,FALSE)</f>
        <v>0</v>
      </c>
      <c r="Q406" s="114">
        <f>VLOOKUP(C406,'Talente &amp; Stuff'!GX:HY,15,FALSE)</f>
        <v>0</v>
      </c>
      <c r="R406" s="113">
        <f>VLOOKUP(C406,'Talente &amp; Stuff'!GX:HY,16,FALSE)</f>
        <v>0</v>
      </c>
      <c r="S406" s="119">
        <f>VLOOKUP(C406,'Talente &amp; Stuff'!GX:HY,17,FALSE)</f>
        <v>0</v>
      </c>
      <c r="T406" s="160">
        <f>VLOOKUP(C406,'Talente &amp; Stuff'!GX:HY,18,FALSE)</f>
        <v>0</v>
      </c>
      <c r="U406" s="89">
        <f>VLOOKUP(C406,'Talente &amp; Stuff'!GX:HY,19,FALSE)</f>
        <v>0</v>
      </c>
      <c r="V406" s="47">
        <f>VLOOKUP(C406,'Talente &amp; Stuff'!GX:HY,20,FALSE)</f>
        <v>0</v>
      </c>
      <c r="W406" s="127">
        <f>VLOOKUP(C406,'Talente &amp; Stuff'!GX:HY,21,FALSE)</f>
        <v>0</v>
      </c>
      <c r="X406" s="127">
        <f>VLOOKUP(C406,'Talente &amp; Stuff'!GX:HY,22,FALSE)</f>
        <v>0</v>
      </c>
      <c r="Y406" s="165">
        <f t="shared" si="30"/>
        <v>0</v>
      </c>
      <c r="Z406" s="44">
        <f t="shared" si="31"/>
        <v>0</v>
      </c>
      <c r="AA406" s="125">
        <f>VLOOKUP(C406,'Talente &amp; Stuff'!GX:HY,25,FALSE)</f>
        <v>0</v>
      </c>
      <c r="AB406" s="160">
        <f>VLOOKUP(C406,'Talente &amp; Stuff'!GX:HY,26,FALSE)</f>
        <v>0</v>
      </c>
      <c r="AC406" s="127">
        <f>VLOOKUP(C406,'Talente &amp; Stuff'!GX:HY,27,FALSE)</f>
        <v>0</v>
      </c>
      <c r="AD406" s="125">
        <f>VLOOKUP(C406,'Talente &amp; Stuff'!GX:HY,28,FALSE)</f>
        <v>0</v>
      </c>
      <c r="AE406" s="28"/>
    </row>
    <row r="407" spans="2:31" ht="15" hidden="1" customHeight="1" outlineLevel="2">
      <c r="B407" s="148">
        <v>4</v>
      </c>
      <c r="C407" s="177" t="str">
        <f>Attribute!C407</f>
        <v>---</v>
      </c>
      <c r="D407" s="125" t="str">
        <f>VLOOKUP(C407,'Talente &amp; Stuff'!GX:HY,2,FALSE)</f>
        <v>--/--/--</v>
      </c>
      <c r="E407" s="47" t="str">
        <f>VLOOKUP(C407,'Talente &amp; Stuff'!GX:HY,3,FALSE)</f>
        <v>-</v>
      </c>
      <c r="F407" s="114">
        <f>VLOOKUP(C407,'Talente &amp; Stuff'!GX:HY,4,FALSE)</f>
        <v>0</v>
      </c>
      <c r="G407" s="113">
        <f>VLOOKUP(C407,'Talente &amp; Stuff'!GX:HY,5,FALSE)</f>
        <v>0</v>
      </c>
      <c r="H407" s="113">
        <f>VLOOKUP(C407,'Talente &amp; Stuff'!GX:HY,6,FALSE)</f>
        <v>0</v>
      </c>
      <c r="I407" s="113">
        <f>VLOOKUP(C407,'Talente &amp; Stuff'!GX:HY,7,FALSE)</f>
        <v>0</v>
      </c>
      <c r="J407" s="113">
        <f>VLOOKUP(C407,'Talente &amp; Stuff'!GX:HY,8,FALSE)</f>
        <v>0</v>
      </c>
      <c r="K407" s="113">
        <f>VLOOKUP(C407,'Talente &amp; Stuff'!GX:HY,9,FALSE)</f>
        <v>0</v>
      </c>
      <c r="L407" s="113">
        <f>VLOOKUP(C407,'Talente &amp; Stuff'!GX:HY,10,FALSE)</f>
        <v>0</v>
      </c>
      <c r="M407" s="119">
        <f>VLOOKUP(C407,'Talente &amp; Stuff'!GX:HY,11,FALSE)</f>
        <v>0</v>
      </c>
      <c r="N407" s="47">
        <f>VLOOKUP(C407,'Talente &amp; Stuff'!GX:HY,12,FALSE)</f>
        <v>0</v>
      </c>
      <c r="O407" s="47">
        <f>VLOOKUP(C407,'Talente &amp; Stuff'!GX:HY,13,FALSE)</f>
        <v>0</v>
      </c>
      <c r="P407" s="113">
        <f>VLOOKUP(C407,'Talente &amp; Stuff'!GX:HY,14,FALSE)</f>
        <v>0</v>
      </c>
      <c r="Q407" s="114">
        <f>VLOOKUP(C407,'Talente &amp; Stuff'!GX:HY,15,FALSE)</f>
        <v>0</v>
      </c>
      <c r="R407" s="113">
        <f>VLOOKUP(C407,'Talente &amp; Stuff'!GX:HY,16,FALSE)</f>
        <v>0</v>
      </c>
      <c r="S407" s="119">
        <f>VLOOKUP(C407,'Talente &amp; Stuff'!GX:HY,17,FALSE)</f>
        <v>0</v>
      </c>
      <c r="T407" s="160">
        <f>VLOOKUP(C407,'Talente &amp; Stuff'!GX:HY,18,FALSE)</f>
        <v>0</v>
      </c>
      <c r="U407" s="89">
        <f>VLOOKUP(C407,'Talente &amp; Stuff'!GX:HY,19,FALSE)</f>
        <v>0</v>
      </c>
      <c r="V407" s="47">
        <f>VLOOKUP(C407,'Talente &amp; Stuff'!GX:HY,20,FALSE)</f>
        <v>0</v>
      </c>
      <c r="W407" s="127">
        <f>VLOOKUP(C407,'Talente &amp; Stuff'!GX:HY,21,FALSE)</f>
        <v>0</v>
      </c>
      <c r="X407" s="127">
        <f>VLOOKUP(C407,'Talente &amp; Stuff'!GX:HY,22,FALSE)</f>
        <v>0</v>
      </c>
      <c r="Y407" s="165">
        <f t="shared" si="30"/>
        <v>0</v>
      </c>
      <c r="Z407" s="44">
        <f t="shared" si="31"/>
        <v>0</v>
      </c>
      <c r="AA407" s="125">
        <f>VLOOKUP(C407,'Talente &amp; Stuff'!GX:HY,25,FALSE)</f>
        <v>0</v>
      </c>
      <c r="AB407" s="160">
        <f>VLOOKUP(C407,'Talente &amp; Stuff'!GX:HY,26,FALSE)</f>
        <v>0</v>
      </c>
      <c r="AC407" s="127">
        <f>VLOOKUP(C407,'Talente &amp; Stuff'!GX:HY,27,FALSE)</f>
        <v>0</v>
      </c>
      <c r="AD407" s="125">
        <f>VLOOKUP(C407,'Talente &amp; Stuff'!GX:HY,28,FALSE)</f>
        <v>0</v>
      </c>
      <c r="AE407" s="28"/>
    </row>
    <row r="408" spans="2:31" ht="15" hidden="1" customHeight="1" outlineLevel="2">
      <c r="B408" s="148">
        <v>5</v>
      </c>
      <c r="C408" s="177" t="str">
        <f>Attribute!C408</f>
        <v>---</v>
      </c>
      <c r="D408" s="125" t="str">
        <f>VLOOKUP(C408,'Talente &amp; Stuff'!GX:HY,2,FALSE)</f>
        <v>--/--/--</v>
      </c>
      <c r="E408" s="47" t="str">
        <f>VLOOKUP(C408,'Talente &amp; Stuff'!GX:HY,3,FALSE)</f>
        <v>-</v>
      </c>
      <c r="F408" s="114">
        <f>VLOOKUP(C408,'Talente &amp; Stuff'!GX:HY,4,FALSE)</f>
        <v>0</v>
      </c>
      <c r="G408" s="113">
        <f>VLOOKUP(C408,'Talente &amp; Stuff'!GX:HY,5,FALSE)</f>
        <v>0</v>
      </c>
      <c r="H408" s="113">
        <f>VLOOKUP(C408,'Talente &amp; Stuff'!GX:HY,6,FALSE)</f>
        <v>0</v>
      </c>
      <c r="I408" s="113">
        <f>VLOOKUP(C408,'Talente &amp; Stuff'!GX:HY,7,FALSE)</f>
        <v>0</v>
      </c>
      <c r="J408" s="113">
        <f>VLOOKUP(C408,'Talente &amp; Stuff'!GX:HY,8,FALSE)</f>
        <v>0</v>
      </c>
      <c r="K408" s="113">
        <f>VLOOKUP(C408,'Talente &amp; Stuff'!GX:HY,9,FALSE)</f>
        <v>0</v>
      </c>
      <c r="L408" s="113">
        <f>VLOOKUP(C408,'Talente &amp; Stuff'!GX:HY,10,FALSE)</f>
        <v>0</v>
      </c>
      <c r="M408" s="119">
        <f>VLOOKUP(C408,'Talente &amp; Stuff'!GX:HY,11,FALSE)</f>
        <v>0</v>
      </c>
      <c r="N408" s="47">
        <f>VLOOKUP(C408,'Talente &amp; Stuff'!GX:HY,12,FALSE)</f>
        <v>0</v>
      </c>
      <c r="O408" s="47">
        <f>VLOOKUP(C408,'Talente &amp; Stuff'!GX:HY,13,FALSE)</f>
        <v>0</v>
      </c>
      <c r="P408" s="113">
        <f>VLOOKUP(C408,'Talente &amp; Stuff'!GX:HY,14,FALSE)</f>
        <v>0</v>
      </c>
      <c r="Q408" s="114">
        <f>VLOOKUP(C408,'Talente &amp; Stuff'!GX:HY,15,FALSE)</f>
        <v>0</v>
      </c>
      <c r="R408" s="113">
        <f>VLOOKUP(C408,'Talente &amp; Stuff'!GX:HY,16,FALSE)</f>
        <v>0</v>
      </c>
      <c r="S408" s="119">
        <f>VLOOKUP(C408,'Talente &amp; Stuff'!GX:HY,17,FALSE)</f>
        <v>0</v>
      </c>
      <c r="T408" s="160">
        <f>VLOOKUP(C408,'Talente &amp; Stuff'!GX:HY,18,FALSE)</f>
        <v>0</v>
      </c>
      <c r="U408" s="89">
        <f>VLOOKUP(C408,'Talente &amp; Stuff'!GX:HY,19,FALSE)</f>
        <v>0</v>
      </c>
      <c r="V408" s="47">
        <f>VLOOKUP(C408,'Talente &amp; Stuff'!GX:HY,20,FALSE)</f>
        <v>0</v>
      </c>
      <c r="W408" s="127">
        <f>VLOOKUP(C408,'Talente &amp; Stuff'!GX:HY,21,FALSE)</f>
        <v>0</v>
      </c>
      <c r="X408" s="127">
        <f>VLOOKUP(C408,'Talente &amp; Stuff'!GX:HY,22,FALSE)</f>
        <v>0</v>
      </c>
      <c r="Y408" s="165">
        <f t="shared" si="30"/>
        <v>0</v>
      </c>
      <c r="Z408" s="44">
        <f t="shared" si="31"/>
        <v>0</v>
      </c>
      <c r="AA408" s="125">
        <f>VLOOKUP(C408,'Talente &amp; Stuff'!GX:HY,25,FALSE)</f>
        <v>0</v>
      </c>
      <c r="AB408" s="160">
        <f>VLOOKUP(C408,'Talente &amp; Stuff'!GX:HY,26,FALSE)</f>
        <v>0</v>
      </c>
      <c r="AC408" s="127">
        <f>VLOOKUP(C408,'Talente &amp; Stuff'!GX:HY,27,FALSE)</f>
        <v>0</v>
      </c>
      <c r="AD408" s="125">
        <f>VLOOKUP(C408,'Talente &amp; Stuff'!GX:HY,28,FALSE)</f>
        <v>0</v>
      </c>
      <c r="AE408" s="28"/>
    </row>
    <row r="409" spans="2:31" ht="15" hidden="1" customHeight="1" outlineLevel="2">
      <c r="B409" s="148">
        <v>6</v>
      </c>
      <c r="C409" s="178" t="str">
        <f>Attribute!C409</f>
        <v>---</v>
      </c>
      <c r="D409" s="159" t="str">
        <f>VLOOKUP(C409,'Talente &amp; Stuff'!GX:HY,2,FALSE)</f>
        <v>--/--/--</v>
      </c>
      <c r="E409" s="88" t="str">
        <f>VLOOKUP(C409,'Talente &amp; Stuff'!GX:HY,3,FALSE)</f>
        <v>-</v>
      </c>
      <c r="F409" s="115">
        <f>VLOOKUP(C409,'Talente &amp; Stuff'!GX:HY,4,FALSE)</f>
        <v>0</v>
      </c>
      <c r="G409" s="122">
        <f>VLOOKUP(C409,'Talente &amp; Stuff'!GX:HY,5,FALSE)</f>
        <v>0</v>
      </c>
      <c r="H409" s="122">
        <f>VLOOKUP(C409,'Talente &amp; Stuff'!GX:HY,6,FALSE)</f>
        <v>0</v>
      </c>
      <c r="I409" s="122">
        <f>VLOOKUP(C409,'Talente &amp; Stuff'!GX:HY,7,FALSE)</f>
        <v>0</v>
      </c>
      <c r="J409" s="122">
        <f>VLOOKUP(C409,'Talente &amp; Stuff'!GX:HY,8,FALSE)</f>
        <v>0</v>
      </c>
      <c r="K409" s="122">
        <f>VLOOKUP(C409,'Talente &amp; Stuff'!GX:HY,9,FALSE)</f>
        <v>0</v>
      </c>
      <c r="L409" s="122">
        <f>VLOOKUP(C409,'Talente &amp; Stuff'!GX:HY,10,FALSE)</f>
        <v>0</v>
      </c>
      <c r="M409" s="123">
        <f>VLOOKUP(C409,'Talente &amp; Stuff'!GX:HY,11,FALSE)</f>
        <v>0</v>
      </c>
      <c r="N409" s="88">
        <f>VLOOKUP(C409,'Talente &amp; Stuff'!GX:HY,12,FALSE)</f>
        <v>0</v>
      </c>
      <c r="O409" s="88">
        <f>VLOOKUP(C409,'Talente &amp; Stuff'!GX:HY,13,FALSE)</f>
        <v>0</v>
      </c>
      <c r="P409" s="122">
        <f>VLOOKUP(C409,'Talente &amp; Stuff'!GX:HY,14,FALSE)</f>
        <v>0</v>
      </c>
      <c r="Q409" s="115">
        <f>VLOOKUP(C409,'Talente &amp; Stuff'!GX:HY,15,FALSE)</f>
        <v>0</v>
      </c>
      <c r="R409" s="122">
        <f>VLOOKUP(C409,'Talente &amp; Stuff'!GX:HY,16,FALSE)</f>
        <v>0</v>
      </c>
      <c r="S409" s="123">
        <f>VLOOKUP(C409,'Talente &amp; Stuff'!GX:HY,17,FALSE)</f>
        <v>0</v>
      </c>
      <c r="T409" s="161">
        <f>VLOOKUP(C409,'Talente &amp; Stuff'!GX:HY,18,FALSE)</f>
        <v>0</v>
      </c>
      <c r="U409" s="90">
        <f>VLOOKUP(C409,'Talente &amp; Stuff'!GX:HY,19,FALSE)</f>
        <v>0</v>
      </c>
      <c r="V409" s="88">
        <f>VLOOKUP(C409,'Talente &amp; Stuff'!GX:HY,20,FALSE)</f>
        <v>0</v>
      </c>
      <c r="W409" s="128">
        <f>VLOOKUP(C409,'Talente &amp; Stuff'!GX:HY,21,FALSE)</f>
        <v>0</v>
      </c>
      <c r="X409" s="128">
        <f>VLOOKUP(C409,'Talente &amp; Stuff'!GX:HY,22,FALSE)</f>
        <v>0</v>
      </c>
      <c r="Y409" s="165">
        <f t="shared" si="30"/>
        <v>0</v>
      </c>
      <c r="Z409" s="44">
        <f t="shared" si="31"/>
        <v>0</v>
      </c>
      <c r="AA409" s="159">
        <f>VLOOKUP(C409,'Talente &amp; Stuff'!GX:HY,25,FALSE)</f>
        <v>0</v>
      </c>
      <c r="AB409" s="161">
        <f>VLOOKUP(C409,'Talente &amp; Stuff'!GX:HY,26,FALSE)</f>
        <v>0</v>
      </c>
      <c r="AC409" s="128">
        <f>VLOOKUP(C409,'Talente &amp; Stuff'!GX:HY,27,FALSE)</f>
        <v>0</v>
      </c>
      <c r="AD409" s="159">
        <f>VLOOKUP(C409,'Talente &amp; Stuff'!GX:HY,28,FALSE)</f>
        <v>0</v>
      </c>
      <c r="AE409" s="28"/>
    </row>
    <row r="410" spans="2:31" ht="15" hidden="1" customHeight="1" outlineLevel="1" collapsed="1">
      <c r="B410" s="134" t="s">
        <v>325</v>
      </c>
      <c r="C410" s="83"/>
      <c r="D410" s="84"/>
      <c r="E410" s="84"/>
    </row>
    <row r="411" spans="2:31" ht="15" hidden="1" customHeight="1" outlineLevel="2">
      <c r="B411" s="148">
        <v>1</v>
      </c>
      <c r="C411" s="176" t="str">
        <f>Attribute!C411</f>
        <v>---</v>
      </c>
      <c r="D411" s="158" t="str">
        <f>VLOOKUP(C411,'Talente &amp; Stuff'!GX:HY,2,FALSE)</f>
        <v>--/--/--</v>
      </c>
      <c r="E411" s="116" t="str">
        <f>VLOOKUP(C411,'Talente &amp; Stuff'!GX:HY,3,FALSE)</f>
        <v>-</v>
      </c>
      <c r="F411" s="191">
        <f>VLOOKUP(C411,'Talente &amp; Stuff'!GX:HY,4,FALSE)</f>
        <v>0</v>
      </c>
      <c r="G411" s="118">
        <f>VLOOKUP(C411,'Talente &amp; Stuff'!GX:HY,5,FALSE)</f>
        <v>0</v>
      </c>
      <c r="H411" s="118">
        <f>VLOOKUP(C411,'Talente &amp; Stuff'!GX:HY,6,FALSE)</f>
        <v>0</v>
      </c>
      <c r="I411" s="118">
        <f>VLOOKUP(C411,'Talente &amp; Stuff'!GX:HY,7,FALSE)</f>
        <v>0</v>
      </c>
      <c r="J411" s="118">
        <f>VLOOKUP(C411,'Talente &amp; Stuff'!GX:HY,8,FALSE)</f>
        <v>0</v>
      </c>
      <c r="K411" s="118">
        <f>VLOOKUP(C411,'Talente &amp; Stuff'!GX:HY,9,FALSE)</f>
        <v>0</v>
      </c>
      <c r="L411" s="118">
        <f>VLOOKUP(C411,'Talente &amp; Stuff'!GX:HY,10,FALSE)</f>
        <v>0</v>
      </c>
      <c r="M411" s="92">
        <f>VLOOKUP(C411,'Talente &amp; Stuff'!GX:HY,11,FALSE)</f>
        <v>0</v>
      </c>
      <c r="N411" s="116">
        <f>VLOOKUP(C411,'Talente &amp; Stuff'!GX:HY,12,FALSE)</f>
        <v>0</v>
      </c>
      <c r="O411" s="116">
        <f>VLOOKUP(C411,'Talente &amp; Stuff'!GX:HY,13,FALSE)</f>
        <v>0</v>
      </c>
      <c r="P411" s="118">
        <f>VLOOKUP(C411,'Talente &amp; Stuff'!GX:HY,14,FALSE)</f>
        <v>0</v>
      </c>
      <c r="Q411" s="191">
        <f>VLOOKUP(C411,'Talente &amp; Stuff'!GX:HY,15,FALSE)</f>
        <v>0</v>
      </c>
      <c r="R411" s="118">
        <f>VLOOKUP(C411,'Talente &amp; Stuff'!GX:HY,16,FALSE)</f>
        <v>0</v>
      </c>
      <c r="S411" s="92">
        <f>VLOOKUP(C411,'Talente &amp; Stuff'!GX:HY,17,FALSE)</f>
        <v>0</v>
      </c>
      <c r="T411" s="91">
        <f>VLOOKUP(C411,'Talente &amp; Stuff'!GX:HY,18,FALSE)</f>
        <v>0</v>
      </c>
      <c r="U411" s="193">
        <f>VLOOKUP(C411,'Talente &amp; Stuff'!GX:HY,19,FALSE)</f>
        <v>0</v>
      </c>
      <c r="V411" s="116">
        <f>VLOOKUP(C411,'Talente &amp; Stuff'!GX:HY,20,FALSE)</f>
        <v>0</v>
      </c>
      <c r="W411" s="126">
        <f>VLOOKUP(C411,'Talente &amp; Stuff'!GX:HY,21,FALSE)</f>
        <v>0</v>
      </c>
      <c r="X411" s="126">
        <f>VLOOKUP(C411,'Talente &amp; Stuff'!GX:HY,22,FALSE)</f>
        <v>0</v>
      </c>
      <c r="Y411" s="165">
        <f t="shared" ref="Y411:Y417" si="32">VLOOKUP(C411,Ausgewählte_Liturgien_Hesinde,226,FALSE)</f>
        <v>0</v>
      </c>
      <c r="Z411" s="44">
        <f t="shared" ref="Z411:Z417" si="33">VLOOKUP(C411,Ausgewählte_Liturgien_Hesinde,227,FALSE)</f>
        <v>0</v>
      </c>
      <c r="AA411" s="158">
        <f>VLOOKUP(C411,'Talente &amp; Stuff'!GX:HY,25,FALSE)</f>
        <v>0</v>
      </c>
      <c r="AB411" s="91">
        <f>VLOOKUP(C411,'Talente &amp; Stuff'!GX:HY,26,FALSE)</f>
        <v>0</v>
      </c>
      <c r="AC411" s="126">
        <f>VLOOKUP(C411,'Talente &amp; Stuff'!GX:HY,27,FALSE)</f>
        <v>0</v>
      </c>
      <c r="AD411" s="158">
        <f>VLOOKUP(C411,'Talente &amp; Stuff'!GX:HY,28,FALSE)</f>
        <v>0</v>
      </c>
      <c r="AE411" s="28"/>
    </row>
    <row r="412" spans="2:31" ht="15" hidden="1" customHeight="1" outlineLevel="2">
      <c r="B412" s="148">
        <v>2</v>
      </c>
      <c r="C412" s="177" t="str">
        <f>Attribute!C412</f>
        <v>---</v>
      </c>
      <c r="D412" s="125" t="str">
        <f>VLOOKUP(C412,'Talente &amp; Stuff'!GX:HY,2,FALSE)</f>
        <v>--/--/--</v>
      </c>
      <c r="E412" s="47" t="str">
        <f>VLOOKUP(C412,'Talente &amp; Stuff'!GX:HY,3,FALSE)</f>
        <v>-</v>
      </c>
      <c r="F412" s="114">
        <f>VLOOKUP(C412,'Talente &amp; Stuff'!GX:HY,4,FALSE)</f>
        <v>0</v>
      </c>
      <c r="G412" s="113">
        <f>VLOOKUP(C412,'Talente &amp; Stuff'!GX:HY,5,FALSE)</f>
        <v>0</v>
      </c>
      <c r="H412" s="113">
        <f>VLOOKUP(C412,'Talente &amp; Stuff'!GX:HY,6,FALSE)</f>
        <v>0</v>
      </c>
      <c r="I412" s="113">
        <f>VLOOKUP(C412,'Talente &amp; Stuff'!GX:HY,7,FALSE)</f>
        <v>0</v>
      </c>
      <c r="J412" s="113">
        <f>VLOOKUP(C412,'Talente &amp; Stuff'!GX:HY,8,FALSE)</f>
        <v>0</v>
      </c>
      <c r="K412" s="113">
        <f>VLOOKUP(C412,'Talente &amp; Stuff'!GX:HY,9,FALSE)</f>
        <v>0</v>
      </c>
      <c r="L412" s="113">
        <f>VLOOKUP(C412,'Talente &amp; Stuff'!GX:HY,10,FALSE)</f>
        <v>0</v>
      </c>
      <c r="M412" s="119">
        <f>VLOOKUP(C412,'Talente &amp; Stuff'!GX:HY,11,FALSE)</f>
        <v>0</v>
      </c>
      <c r="N412" s="47">
        <f>VLOOKUP(C412,'Talente &amp; Stuff'!GX:HY,12,FALSE)</f>
        <v>0</v>
      </c>
      <c r="O412" s="47">
        <f>VLOOKUP(C412,'Talente &amp; Stuff'!GX:HY,13,FALSE)</f>
        <v>0</v>
      </c>
      <c r="P412" s="113">
        <f>VLOOKUP(C412,'Talente &amp; Stuff'!GX:HY,14,FALSE)</f>
        <v>0</v>
      </c>
      <c r="Q412" s="114">
        <f>VLOOKUP(C412,'Talente &amp; Stuff'!GX:HY,15,FALSE)</f>
        <v>0</v>
      </c>
      <c r="R412" s="113">
        <f>VLOOKUP(C412,'Talente &amp; Stuff'!GX:HY,16,FALSE)</f>
        <v>0</v>
      </c>
      <c r="S412" s="119">
        <f>VLOOKUP(C412,'Talente &amp; Stuff'!GX:HY,17,FALSE)</f>
        <v>0</v>
      </c>
      <c r="T412" s="160">
        <f>VLOOKUP(C412,'Talente &amp; Stuff'!GX:HY,18,FALSE)</f>
        <v>0</v>
      </c>
      <c r="U412" s="89">
        <f>VLOOKUP(C412,'Talente &amp; Stuff'!GX:HY,19,FALSE)</f>
        <v>0</v>
      </c>
      <c r="V412" s="47">
        <f>VLOOKUP(C412,'Talente &amp; Stuff'!GX:HY,20,FALSE)</f>
        <v>0</v>
      </c>
      <c r="W412" s="127">
        <f>VLOOKUP(C412,'Talente &amp; Stuff'!GX:HY,21,FALSE)</f>
        <v>0</v>
      </c>
      <c r="X412" s="127">
        <f>VLOOKUP(C412,'Talente &amp; Stuff'!GX:HY,22,FALSE)</f>
        <v>0</v>
      </c>
      <c r="Y412" s="165">
        <f t="shared" si="32"/>
        <v>0</v>
      </c>
      <c r="Z412" s="44">
        <f t="shared" si="33"/>
        <v>0</v>
      </c>
      <c r="AA412" s="125">
        <f>VLOOKUP(C412,'Talente &amp; Stuff'!GX:HY,25,FALSE)</f>
        <v>0</v>
      </c>
      <c r="AB412" s="160">
        <f>VLOOKUP(C412,'Talente &amp; Stuff'!GX:HY,26,FALSE)</f>
        <v>0</v>
      </c>
      <c r="AC412" s="127">
        <f>VLOOKUP(C412,'Talente &amp; Stuff'!GX:HY,27,FALSE)</f>
        <v>0</v>
      </c>
      <c r="AD412" s="125">
        <f>VLOOKUP(C412,'Talente &amp; Stuff'!GX:HY,28,FALSE)</f>
        <v>0</v>
      </c>
      <c r="AE412" s="28"/>
    </row>
    <row r="413" spans="2:31" ht="15" hidden="1" customHeight="1" outlineLevel="2">
      <c r="B413" s="148">
        <v>3</v>
      </c>
      <c r="C413" s="177" t="str">
        <f>Attribute!C413</f>
        <v>---</v>
      </c>
      <c r="D413" s="125" t="str">
        <f>VLOOKUP(C413,'Talente &amp; Stuff'!GX:HY,2,FALSE)</f>
        <v>--/--/--</v>
      </c>
      <c r="E413" s="47" t="str">
        <f>VLOOKUP(C413,'Talente &amp; Stuff'!GX:HY,3,FALSE)</f>
        <v>-</v>
      </c>
      <c r="F413" s="114">
        <f>VLOOKUP(C413,'Talente &amp; Stuff'!GX:HY,4,FALSE)</f>
        <v>0</v>
      </c>
      <c r="G413" s="113">
        <f>VLOOKUP(C413,'Talente &amp; Stuff'!GX:HY,5,FALSE)</f>
        <v>0</v>
      </c>
      <c r="H413" s="113">
        <f>VLOOKUP(C413,'Talente &amp; Stuff'!GX:HY,6,FALSE)</f>
        <v>0</v>
      </c>
      <c r="I413" s="113">
        <f>VLOOKUP(C413,'Talente &amp; Stuff'!GX:HY,7,FALSE)</f>
        <v>0</v>
      </c>
      <c r="J413" s="113">
        <f>VLOOKUP(C413,'Talente &amp; Stuff'!GX:HY,8,FALSE)</f>
        <v>0</v>
      </c>
      <c r="K413" s="113">
        <f>VLOOKUP(C413,'Talente &amp; Stuff'!GX:HY,9,FALSE)</f>
        <v>0</v>
      </c>
      <c r="L413" s="113">
        <f>VLOOKUP(C413,'Talente &amp; Stuff'!GX:HY,10,FALSE)</f>
        <v>0</v>
      </c>
      <c r="M413" s="119">
        <f>VLOOKUP(C413,'Talente &amp; Stuff'!GX:HY,11,FALSE)</f>
        <v>0</v>
      </c>
      <c r="N413" s="47">
        <f>VLOOKUP(C413,'Talente &amp; Stuff'!GX:HY,12,FALSE)</f>
        <v>0</v>
      </c>
      <c r="O413" s="47">
        <f>VLOOKUP(C413,'Talente &amp; Stuff'!GX:HY,13,FALSE)</f>
        <v>0</v>
      </c>
      <c r="P413" s="113">
        <f>VLOOKUP(C413,'Talente &amp; Stuff'!GX:HY,14,FALSE)</f>
        <v>0</v>
      </c>
      <c r="Q413" s="114">
        <f>VLOOKUP(C413,'Talente &amp; Stuff'!GX:HY,15,FALSE)</f>
        <v>0</v>
      </c>
      <c r="R413" s="113">
        <f>VLOOKUP(C413,'Talente &amp; Stuff'!GX:HY,16,FALSE)</f>
        <v>0</v>
      </c>
      <c r="S413" s="119">
        <f>VLOOKUP(C413,'Talente &amp; Stuff'!GX:HY,17,FALSE)</f>
        <v>0</v>
      </c>
      <c r="T413" s="160">
        <f>VLOOKUP(C413,'Talente &amp; Stuff'!GX:HY,18,FALSE)</f>
        <v>0</v>
      </c>
      <c r="U413" s="89">
        <f>VLOOKUP(C413,'Talente &amp; Stuff'!GX:HY,19,FALSE)</f>
        <v>0</v>
      </c>
      <c r="V413" s="47">
        <f>VLOOKUP(C413,'Talente &amp; Stuff'!GX:HY,20,FALSE)</f>
        <v>0</v>
      </c>
      <c r="W413" s="127">
        <f>VLOOKUP(C413,'Talente &amp; Stuff'!GX:HY,21,FALSE)</f>
        <v>0</v>
      </c>
      <c r="X413" s="127">
        <f>VLOOKUP(C413,'Talente &amp; Stuff'!GX:HY,22,FALSE)</f>
        <v>0</v>
      </c>
      <c r="Y413" s="165">
        <f t="shared" si="32"/>
        <v>0</v>
      </c>
      <c r="Z413" s="44">
        <f t="shared" si="33"/>
        <v>0</v>
      </c>
      <c r="AA413" s="125">
        <f>VLOOKUP(C413,'Talente &amp; Stuff'!GX:HY,25,FALSE)</f>
        <v>0</v>
      </c>
      <c r="AB413" s="160">
        <f>VLOOKUP(C413,'Talente &amp; Stuff'!GX:HY,26,FALSE)</f>
        <v>0</v>
      </c>
      <c r="AC413" s="127">
        <f>VLOOKUP(C413,'Talente &amp; Stuff'!GX:HY,27,FALSE)</f>
        <v>0</v>
      </c>
      <c r="AD413" s="125">
        <f>VLOOKUP(C413,'Talente &amp; Stuff'!GX:HY,28,FALSE)</f>
        <v>0</v>
      </c>
      <c r="AE413" s="28"/>
    </row>
    <row r="414" spans="2:31" ht="15" hidden="1" customHeight="1" outlineLevel="2">
      <c r="B414" s="148">
        <v>4</v>
      </c>
      <c r="C414" s="177" t="str">
        <f>Attribute!C414</f>
        <v>---</v>
      </c>
      <c r="D414" s="125" t="str">
        <f>VLOOKUP(C414,'Talente &amp; Stuff'!GX:HY,2,FALSE)</f>
        <v>--/--/--</v>
      </c>
      <c r="E414" s="47" t="str">
        <f>VLOOKUP(C414,'Talente &amp; Stuff'!GX:HY,3,FALSE)</f>
        <v>-</v>
      </c>
      <c r="F414" s="114">
        <f>VLOOKUP(C414,'Talente &amp; Stuff'!GX:HY,4,FALSE)</f>
        <v>0</v>
      </c>
      <c r="G414" s="113">
        <f>VLOOKUP(C414,'Talente &amp; Stuff'!GX:HY,5,FALSE)</f>
        <v>0</v>
      </c>
      <c r="H414" s="113">
        <f>VLOOKUP(C414,'Talente &amp; Stuff'!GX:HY,6,FALSE)</f>
        <v>0</v>
      </c>
      <c r="I414" s="113">
        <f>VLOOKUP(C414,'Talente &amp; Stuff'!GX:HY,7,FALSE)</f>
        <v>0</v>
      </c>
      <c r="J414" s="113">
        <f>VLOOKUP(C414,'Talente &amp; Stuff'!GX:HY,8,FALSE)</f>
        <v>0</v>
      </c>
      <c r="K414" s="113">
        <f>VLOOKUP(C414,'Talente &amp; Stuff'!GX:HY,9,FALSE)</f>
        <v>0</v>
      </c>
      <c r="L414" s="113">
        <f>VLOOKUP(C414,'Talente &amp; Stuff'!GX:HY,10,FALSE)</f>
        <v>0</v>
      </c>
      <c r="M414" s="119">
        <f>VLOOKUP(C414,'Talente &amp; Stuff'!GX:HY,11,FALSE)</f>
        <v>0</v>
      </c>
      <c r="N414" s="47">
        <f>VLOOKUP(C414,'Talente &amp; Stuff'!GX:HY,12,FALSE)</f>
        <v>0</v>
      </c>
      <c r="O414" s="47">
        <f>VLOOKUP(C414,'Talente &amp; Stuff'!GX:HY,13,FALSE)</f>
        <v>0</v>
      </c>
      <c r="P414" s="113">
        <f>VLOOKUP(C414,'Talente &amp; Stuff'!GX:HY,14,FALSE)</f>
        <v>0</v>
      </c>
      <c r="Q414" s="114">
        <f>VLOOKUP(C414,'Talente &amp; Stuff'!GX:HY,15,FALSE)</f>
        <v>0</v>
      </c>
      <c r="R414" s="113">
        <f>VLOOKUP(C414,'Talente &amp; Stuff'!GX:HY,16,FALSE)</f>
        <v>0</v>
      </c>
      <c r="S414" s="119">
        <f>VLOOKUP(C414,'Talente &amp; Stuff'!GX:HY,17,FALSE)</f>
        <v>0</v>
      </c>
      <c r="T414" s="160">
        <f>VLOOKUP(C414,'Talente &amp; Stuff'!GX:HY,18,FALSE)</f>
        <v>0</v>
      </c>
      <c r="U414" s="89">
        <f>VLOOKUP(C414,'Talente &amp; Stuff'!GX:HY,19,FALSE)</f>
        <v>0</v>
      </c>
      <c r="V414" s="47">
        <f>VLOOKUP(C414,'Talente &amp; Stuff'!GX:HY,20,FALSE)</f>
        <v>0</v>
      </c>
      <c r="W414" s="127">
        <f>VLOOKUP(C414,'Talente &amp; Stuff'!GX:HY,21,FALSE)</f>
        <v>0</v>
      </c>
      <c r="X414" s="127">
        <f>VLOOKUP(C414,'Talente &amp; Stuff'!GX:HY,22,FALSE)</f>
        <v>0</v>
      </c>
      <c r="Y414" s="165">
        <f t="shared" si="32"/>
        <v>0</v>
      </c>
      <c r="Z414" s="44">
        <f t="shared" si="33"/>
        <v>0</v>
      </c>
      <c r="AA414" s="125">
        <f>VLOOKUP(C414,'Talente &amp; Stuff'!GX:HY,25,FALSE)</f>
        <v>0</v>
      </c>
      <c r="AB414" s="160">
        <f>VLOOKUP(C414,'Talente &amp; Stuff'!GX:HY,26,FALSE)</f>
        <v>0</v>
      </c>
      <c r="AC414" s="127">
        <f>VLOOKUP(C414,'Talente &amp; Stuff'!GX:HY,27,FALSE)</f>
        <v>0</v>
      </c>
      <c r="AD414" s="125">
        <f>VLOOKUP(C414,'Talente &amp; Stuff'!GX:HY,28,FALSE)</f>
        <v>0</v>
      </c>
      <c r="AE414" s="28"/>
    </row>
    <row r="415" spans="2:31" ht="15" hidden="1" customHeight="1" outlineLevel="2">
      <c r="B415" s="148">
        <v>5</v>
      </c>
      <c r="C415" s="177" t="str">
        <f>Attribute!C415</f>
        <v>---</v>
      </c>
      <c r="D415" s="125" t="str">
        <f>VLOOKUP(C415,'Talente &amp; Stuff'!GX:HY,2,FALSE)</f>
        <v>--/--/--</v>
      </c>
      <c r="E415" s="47" t="str">
        <f>VLOOKUP(C415,'Talente &amp; Stuff'!GX:HY,3,FALSE)</f>
        <v>-</v>
      </c>
      <c r="F415" s="114">
        <f>VLOOKUP(C415,'Talente &amp; Stuff'!GX:HY,4,FALSE)</f>
        <v>0</v>
      </c>
      <c r="G415" s="113">
        <f>VLOOKUP(C415,'Talente &amp; Stuff'!GX:HY,5,FALSE)</f>
        <v>0</v>
      </c>
      <c r="H415" s="113">
        <f>VLOOKUP(C415,'Talente &amp; Stuff'!GX:HY,6,FALSE)</f>
        <v>0</v>
      </c>
      <c r="I415" s="113">
        <f>VLOOKUP(C415,'Talente &amp; Stuff'!GX:HY,7,FALSE)</f>
        <v>0</v>
      </c>
      <c r="J415" s="113">
        <f>VLOOKUP(C415,'Talente &amp; Stuff'!GX:HY,8,FALSE)</f>
        <v>0</v>
      </c>
      <c r="K415" s="113">
        <f>VLOOKUP(C415,'Talente &amp; Stuff'!GX:HY,9,FALSE)</f>
        <v>0</v>
      </c>
      <c r="L415" s="113">
        <f>VLOOKUP(C415,'Talente &amp; Stuff'!GX:HY,10,FALSE)</f>
        <v>0</v>
      </c>
      <c r="M415" s="119">
        <f>VLOOKUP(C415,'Talente &amp; Stuff'!GX:HY,11,FALSE)</f>
        <v>0</v>
      </c>
      <c r="N415" s="47">
        <f>VLOOKUP(C415,'Talente &amp; Stuff'!GX:HY,12,FALSE)</f>
        <v>0</v>
      </c>
      <c r="O415" s="47">
        <f>VLOOKUP(C415,'Talente &amp; Stuff'!GX:HY,13,FALSE)</f>
        <v>0</v>
      </c>
      <c r="P415" s="113">
        <f>VLOOKUP(C415,'Talente &amp; Stuff'!GX:HY,14,FALSE)</f>
        <v>0</v>
      </c>
      <c r="Q415" s="114">
        <f>VLOOKUP(C415,'Talente &amp; Stuff'!GX:HY,15,FALSE)</f>
        <v>0</v>
      </c>
      <c r="R415" s="113">
        <f>VLOOKUP(C415,'Talente &amp; Stuff'!GX:HY,16,FALSE)</f>
        <v>0</v>
      </c>
      <c r="S415" s="119">
        <f>VLOOKUP(C415,'Talente &amp; Stuff'!GX:HY,17,FALSE)</f>
        <v>0</v>
      </c>
      <c r="T415" s="160">
        <f>VLOOKUP(C415,'Talente &amp; Stuff'!GX:HY,18,FALSE)</f>
        <v>0</v>
      </c>
      <c r="U415" s="89">
        <f>VLOOKUP(C415,'Talente &amp; Stuff'!GX:HY,19,FALSE)</f>
        <v>0</v>
      </c>
      <c r="V415" s="47">
        <f>VLOOKUP(C415,'Talente &amp; Stuff'!GX:HY,20,FALSE)</f>
        <v>0</v>
      </c>
      <c r="W415" s="127">
        <f>VLOOKUP(C415,'Talente &amp; Stuff'!GX:HY,21,FALSE)</f>
        <v>0</v>
      </c>
      <c r="X415" s="127">
        <f>VLOOKUP(C415,'Talente &amp; Stuff'!GX:HY,22,FALSE)</f>
        <v>0</v>
      </c>
      <c r="Y415" s="165">
        <f t="shared" si="32"/>
        <v>0</v>
      </c>
      <c r="Z415" s="44">
        <f t="shared" si="33"/>
        <v>0</v>
      </c>
      <c r="AA415" s="125">
        <f>VLOOKUP(C415,'Talente &amp; Stuff'!GX:HY,25,FALSE)</f>
        <v>0</v>
      </c>
      <c r="AB415" s="160">
        <f>VLOOKUP(C415,'Talente &amp; Stuff'!GX:HY,26,FALSE)</f>
        <v>0</v>
      </c>
      <c r="AC415" s="127">
        <f>VLOOKUP(C415,'Talente &amp; Stuff'!GX:HY,27,FALSE)</f>
        <v>0</v>
      </c>
      <c r="AD415" s="125">
        <f>VLOOKUP(C415,'Talente &amp; Stuff'!GX:HY,28,FALSE)</f>
        <v>0</v>
      </c>
      <c r="AE415" s="28"/>
    </row>
    <row r="416" spans="2:31" ht="15" hidden="1" customHeight="1" outlineLevel="2">
      <c r="B416" s="148">
        <v>6</v>
      </c>
      <c r="C416" s="177" t="str">
        <f>Attribute!C416</f>
        <v>---</v>
      </c>
      <c r="D416" s="125" t="str">
        <f>VLOOKUP(C416,'Talente &amp; Stuff'!GX:HY,2,FALSE)</f>
        <v>--/--/--</v>
      </c>
      <c r="E416" s="47" t="str">
        <f>VLOOKUP(C416,'Talente &amp; Stuff'!GX:HY,3,FALSE)</f>
        <v>-</v>
      </c>
      <c r="F416" s="114">
        <f>VLOOKUP(C416,'Talente &amp; Stuff'!GX:HY,4,FALSE)</f>
        <v>0</v>
      </c>
      <c r="G416" s="113">
        <f>VLOOKUP(C416,'Talente &amp; Stuff'!GX:HY,5,FALSE)</f>
        <v>0</v>
      </c>
      <c r="H416" s="113">
        <f>VLOOKUP(C416,'Talente &amp; Stuff'!GX:HY,6,FALSE)</f>
        <v>0</v>
      </c>
      <c r="I416" s="113">
        <f>VLOOKUP(C416,'Talente &amp; Stuff'!GX:HY,7,FALSE)</f>
        <v>0</v>
      </c>
      <c r="J416" s="113">
        <f>VLOOKUP(C416,'Talente &amp; Stuff'!GX:HY,8,FALSE)</f>
        <v>0</v>
      </c>
      <c r="K416" s="113">
        <f>VLOOKUP(C416,'Talente &amp; Stuff'!GX:HY,9,FALSE)</f>
        <v>0</v>
      </c>
      <c r="L416" s="113">
        <f>VLOOKUP(C416,'Talente &amp; Stuff'!GX:HY,10,FALSE)</f>
        <v>0</v>
      </c>
      <c r="M416" s="119">
        <f>VLOOKUP(C416,'Talente &amp; Stuff'!GX:HY,11,FALSE)</f>
        <v>0</v>
      </c>
      <c r="N416" s="47">
        <f>VLOOKUP(C416,'Talente &amp; Stuff'!GX:HY,12,FALSE)</f>
        <v>0</v>
      </c>
      <c r="O416" s="47">
        <f>VLOOKUP(C416,'Talente &amp; Stuff'!GX:HY,13,FALSE)</f>
        <v>0</v>
      </c>
      <c r="P416" s="113">
        <f>VLOOKUP(C416,'Talente &amp; Stuff'!GX:HY,14,FALSE)</f>
        <v>0</v>
      </c>
      <c r="Q416" s="114">
        <f>VLOOKUP(C416,'Talente &amp; Stuff'!GX:HY,15,FALSE)</f>
        <v>0</v>
      </c>
      <c r="R416" s="113">
        <f>VLOOKUP(C416,'Talente &amp; Stuff'!GX:HY,16,FALSE)</f>
        <v>0</v>
      </c>
      <c r="S416" s="119">
        <f>VLOOKUP(C416,'Talente &amp; Stuff'!GX:HY,17,FALSE)</f>
        <v>0</v>
      </c>
      <c r="T416" s="160">
        <f>VLOOKUP(C416,'Talente &amp; Stuff'!GX:HY,18,FALSE)</f>
        <v>0</v>
      </c>
      <c r="U416" s="89">
        <f>VLOOKUP(C416,'Talente &amp; Stuff'!GX:HY,19,FALSE)</f>
        <v>0</v>
      </c>
      <c r="V416" s="47">
        <f>VLOOKUP(C416,'Talente &amp; Stuff'!GX:HY,20,FALSE)</f>
        <v>0</v>
      </c>
      <c r="W416" s="127">
        <f>VLOOKUP(C416,'Talente &amp; Stuff'!GX:HY,21,FALSE)</f>
        <v>0</v>
      </c>
      <c r="X416" s="127">
        <f>VLOOKUP(C416,'Talente &amp; Stuff'!GX:HY,22,FALSE)</f>
        <v>0</v>
      </c>
      <c r="Y416" s="165">
        <f t="shared" si="32"/>
        <v>0</v>
      </c>
      <c r="Z416" s="44">
        <f t="shared" si="33"/>
        <v>0</v>
      </c>
      <c r="AA416" s="125">
        <f>VLOOKUP(C416,'Talente &amp; Stuff'!GX:HY,25,FALSE)</f>
        <v>0</v>
      </c>
      <c r="AB416" s="160">
        <f>VLOOKUP(C416,'Talente &amp; Stuff'!GX:HY,26,FALSE)</f>
        <v>0</v>
      </c>
      <c r="AC416" s="127">
        <f>VLOOKUP(C416,'Talente &amp; Stuff'!GX:HY,27,FALSE)</f>
        <v>0</v>
      </c>
      <c r="AD416" s="125">
        <f>VLOOKUP(C416,'Talente &amp; Stuff'!GX:HY,28,FALSE)</f>
        <v>0</v>
      </c>
      <c r="AE416" s="28"/>
    </row>
    <row r="417" spans="2:31" ht="15" hidden="1" customHeight="1" outlineLevel="2">
      <c r="B417" s="148">
        <v>7</v>
      </c>
      <c r="C417" s="178" t="str">
        <f>Attribute!C417</f>
        <v>---</v>
      </c>
      <c r="D417" s="159" t="str">
        <f>VLOOKUP(C417,'Talente &amp; Stuff'!GX:HY,2,FALSE)</f>
        <v>--/--/--</v>
      </c>
      <c r="E417" s="88" t="str">
        <f>VLOOKUP(C417,'Talente &amp; Stuff'!GX:HY,3,FALSE)</f>
        <v>-</v>
      </c>
      <c r="F417" s="115">
        <f>VLOOKUP(C417,'Talente &amp; Stuff'!GX:HY,4,FALSE)</f>
        <v>0</v>
      </c>
      <c r="G417" s="122">
        <f>VLOOKUP(C417,'Talente &amp; Stuff'!GX:HY,5,FALSE)</f>
        <v>0</v>
      </c>
      <c r="H417" s="122">
        <f>VLOOKUP(C417,'Talente &amp; Stuff'!GX:HY,6,FALSE)</f>
        <v>0</v>
      </c>
      <c r="I417" s="122">
        <f>VLOOKUP(C417,'Talente &amp; Stuff'!GX:HY,7,FALSE)</f>
        <v>0</v>
      </c>
      <c r="J417" s="122">
        <f>VLOOKUP(C417,'Talente &amp; Stuff'!GX:HY,8,FALSE)</f>
        <v>0</v>
      </c>
      <c r="K417" s="122">
        <f>VLOOKUP(C417,'Talente &amp; Stuff'!GX:HY,9,FALSE)</f>
        <v>0</v>
      </c>
      <c r="L417" s="122">
        <f>VLOOKUP(C417,'Talente &amp; Stuff'!GX:HY,10,FALSE)</f>
        <v>0</v>
      </c>
      <c r="M417" s="123">
        <f>VLOOKUP(C417,'Talente &amp; Stuff'!GX:HY,11,FALSE)</f>
        <v>0</v>
      </c>
      <c r="N417" s="88">
        <f>VLOOKUP(C417,'Talente &amp; Stuff'!GX:HY,12,FALSE)</f>
        <v>0</v>
      </c>
      <c r="O417" s="88">
        <f>VLOOKUP(C417,'Talente &amp; Stuff'!GX:HY,13,FALSE)</f>
        <v>0</v>
      </c>
      <c r="P417" s="122">
        <f>VLOOKUP(C417,'Talente &amp; Stuff'!GX:HY,14,FALSE)</f>
        <v>0</v>
      </c>
      <c r="Q417" s="115">
        <f>VLOOKUP(C417,'Talente &amp; Stuff'!GX:HY,15,FALSE)</f>
        <v>0</v>
      </c>
      <c r="R417" s="122">
        <f>VLOOKUP(C417,'Talente &amp; Stuff'!GX:HY,16,FALSE)</f>
        <v>0</v>
      </c>
      <c r="S417" s="123">
        <f>VLOOKUP(C417,'Talente &amp; Stuff'!GX:HY,17,FALSE)</f>
        <v>0</v>
      </c>
      <c r="T417" s="161">
        <f>VLOOKUP(C417,'Talente &amp; Stuff'!GX:HY,18,FALSE)</f>
        <v>0</v>
      </c>
      <c r="U417" s="90">
        <f>VLOOKUP(C417,'Talente &amp; Stuff'!GX:HY,19,FALSE)</f>
        <v>0</v>
      </c>
      <c r="V417" s="88">
        <f>VLOOKUP(C417,'Talente &amp; Stuff'!GX:HY,20,FALSE)</f>
        <v>0</v>
      </c>
      <c r="W417" s="128">
        <f>VLOOKUP(C417,'Talente &amp; Stuff'!GX:HY,21,FALSE)</f>
        <v>0</v>
      </c>
      <c r="X417" s="128">
        <f>VLOOKUP(C417,'Talente &amp; Stuff'!GX:HY,22,FALSE)</f>
        <v>0</v>
      </c>
      <c r="Y417" s="165">
        <f t="shared" si="32"/>
        <v>0</v>
      </c>
      <c r="Z417" s="44">
        <f t="shared" si="33"/>
        <v>0</v>
      </c>
      <c r="AA417" s="159">
        <f>VLOOKUP(C417,'Talente &amp; Stuff'!GX:HY,25,FALSE)</f>
        <v>0</v>
      </c>
      <c r="AB417" s="161">
        <f>VLOOKUP(C417,'Talente &amp; Stuff'!GX:HY,26,FALSE)</f>
        <v>0</v>
      </c>
      <c r="AC417" s="128">
        <f>VLOOKUP(C417,'Talente &amp; Stuff'!GX:HY,27,FALSE)</f>
        <v>0</v>
      </c>
      <c r="AD417" s="159">
        <f>VLOOKUP(C417,'Talente &amp; Stuff'!GX:HY,28,FALSE)</f>
        <v>0</v>
      </c>
      <c r="AE417" s="28"/>
    </row>
    <row r="418" spans="2:31" ht="15" hidden="1" customHeight="1" outlineLevel="1" collapsed="1">
      <c r="B418" s="134" t="s">
        <v>324</v>
      </c>
      <c r="C418" s="83"/>
      <c r="D418" s="84"/>
      <c r="E418" s="84"/>
    </row>
    <row r="419" spans="2:31" ht="15" hidden="1" customHeight="1" outlineLevel="2">
      <c r="B419" s="148">
        <v>1</v>
      </c>
      <c r="C419" s="176" t="str">
        <f>Attribute!C419</f>
        <v>---</v>
      </c>
      <c r="D419" s="158" t="str">
        <f>VLOOKUP(C419,'Talente &amp; Stuff'!GX:HY,2,FALSE)</f>
        <v>--/--/--</v>
      </c>
      <c r="E419" s="116" t="str">
        <f>VLOOKUP(C419,'Talente &amp; Stuff'!GX:HY,3,FALSE)</f>
        <v>-</v>
      </c>
      <c r="F419" s="191">
        <f>VLOOKUP(C419,'Talente &amp; Stuff'!GX:HY,4,FALSE)</f>
        <v>0</v>
      </c>
      <c r="G419" s="118">
        <f>VLOOKUP(C419,'Talente &amp; Stuff'!GX:HY,5,FALSE)</f>
        <v>0</v>
      </c>
      <c r="H419" s="118">
        <f>VLOOKUP(C419,'Talente &amp; Stuff'!GX:HY,6,FALSE)</f>
        <v>0</v>
      </c>
      <c r="I419" s="118">
        <f>VLOOKUP(C419,'Talente &amp; Stuff'!GX:HY,7,FALSE)</f>
        <v>0</v>
      </c>
      <c r="J419" s="118">
        <f>VLOOKUP(C419,'Talente &amp; Stuff'!GX:HY,8,FALSE)</f>
        <v>0</v>
      </c>
      <c r="K419" s="118">
        <f>VLOOKUP(C419,'Talente &amp; Stuff'!GX:HY,9,FALSE)</f>
        <v>0</v>
      </c>
      <c r="L419" s="118">
        <f>VLOOKUP(C419,'Talente &amp; Stuff'!GX:HY,10,FALSE)</f>
        <v>0</v>
      </c>
      <c r="M419" s="92">
        <f>VLOOKUP(C419,'Talente &amp; Stuff'!GX:HY,11,FALSE)</f>
        <v>0</v>
      </c>
      <c r="N419" s="116">
        <f>VLOOKUP(C419,'Talente &amp; Stuff'!GX:HY,12,FALSE)</f>
        <v>0</v>
      </c>
      <c r="O419" s="116">
        <f>VLOOKUP(C419,'Talente &amp; Stuff'!GX:HY,13,FALSE)</f>
        <v>0</v>
      </c>
      <c r="P419" s="118">
        <f>VLOOKUP(C419,'Talente &amp; Stuff'!GX:HY,14,FALSE)</f>
        <v>0</v>
      </c>
      <c r="Q419" s="191">
        <f>VLOOKUP(C419,'Talente &amp; Stuff'!GX:HY,15,FALSE)</f>
        <v>0</v>
      </c>
      <c r="R419" s="118">
        <f>VLOOKUP(C419,'Talente &amp; Stuff'!GX:HY,16,FALSE)</f>
        <v>0</v>
      </c>
      <c r="S419" s="92">
        <f>VLOOKUP(C419,'Talente &amp; Stuff'!GX:HY,17,FALSE)</f>
        <v>0</v>
      </c>
      <c r="T419" s="91">
        <f>VLOOKUP(C419,'Talente &amp; Stuff'!GX:HY,18,FALSE)</f>
        <v>0</v>
      </c>
      <c r="U419" s="193">
        <f>VLOOKUP(C419,'Talente &amp; Stuff'!GX:HY,19,FALSE)</f>
        <v>0</v>
      </c>
      <c r="V419" s="116">
        <f>VLOOKUP(C419,'Talente &amp; Stuff'!GX:HY,20,FALSE)</f>
        <v>0</v>
      </c>
      <c r="W419" s="126">
        <f>VLOOKUP(C419,'Talente &amp; Stuff'!GX:HY,21,FALSE)</f>
        <v>0</v>
      </c>
      <c r="X419" s="126">
        <f>VLOOKUP(C419,'Talente &amp; Stuff'!GX:HY,22,FALSE)</f>
        <v>0</v>
      </c>
      <c r="Y419" s="165">
        <f>VLOOKUP(C419,Ausgewählte_Liturgien_Peraine,226,FALSE)</f>
        <v>0</v>
      </c>
      <c r="Z419" s="44">
        <f>VLOOKUP(C419,Ausgewählte_Liturgien_Peraine,227,FALSE)</f>
        <v>0</v>
      </c>
      <c r="AA419" s="158">
        <f>VLOOKUP(C419,'Talente &amp; Stuff'!GX:HY,25,FALSE)</f>
        <v>0</v>
      </c>
      <c r="AB419" s="91">
        <f>VLOOKUP(C419,'Talente &amp; Stuff'!GX:HY,26,FALSE)</f>
        <v>0</v>
      </c>
      <c r="AC419" s="126">
        <f>VLOOKUP(C419,'Talente &amp; Stuff'!GX:HY,27,FALSE)</f>
        <v>0</v>
      </c>
      <c r="AD419" s="158">
        <f>VLOOKUP(C419,'Talente &amp; Stuff'!GX:HY,28,FALSE)</f>
        <v>0</v>
      </c>
      <c r="AE419" s="28"/>
    </row>
    <row r="420" spans="2:31" ht="15" hidden="1" customHeight="1" outlineLevel="2">
      <c r="B420" s="148">
        <v>2</v>
      </c>
      <c r="C420" s="177" t="str">
        <f>Attribute!C420</f>
        <v>---</v>
      </c>
      <c r="D420" s="125" t="str">
        <f>VLOOKUP(C420,'Talente &amp; Stuff'!GX:HY,2,FALSE)</f>
        <v>--/--/--</v>
      </c>
      <c r="E420" s="47" t="str">
        <f>VLOOKUP(C420,'Talente &amp; Stuff'!GX:HY,3,FALSE)</f>
        <v>-</v>
      </c>
      <c r="F420" s="114">
        <f>VLOOKUP(C420,'Talente &amp; Stuff'!GX:HY,4,FALSE)</f>
        <v>0</v>
      </c>
      <c r="G420" s="113">
        <f>VLOOKUP(C420,'Talente &amp; Stuff'!GX:HY,5,FALSE)</f>
        <v>0</v>
      </c>
      <c r="H420" s="113">
        <f>VLOOKUP(C420,'Talente &amp; Stuff'!GX:HY,6,FALSE)</f>
        <v>0</v>
      </c>
      <c r="I420" s="113">
        <f>VLOOKUP(C420,'Talente &amp; Stuff'!GX:HY,7,FALSE)</f>
        <v>0</v>
      </c>
      <c r="J420" s="113">
        <f>VLOOKUP(C420,'Talente &amp; Stuff'!GX:HY,8,FALSE)</f>
        <v>0</v>
      </c>
      <c r="K420" s="113">
        <f>VLOOKUP(C420,'Talente &amp; Stuff'!GX:HY,9,FALSE)</f>
        <v>0</v>
      </c>
      <c r="L420" s="113">
        <f>VLOOKUP(C420,'Talente &amp; Stuff'!GX:HY,10,FALSE)</f>
        <v>0</v>
      </c>
      <c r="M420" s="119">
        <f>VLOOKUP(C420,'Talente &amp; Stuff'!GX:HY,11,FALSE)</f>
        <v>0</v>
      </c>
      <c r="N420" s="47">
        <f>VLOOKUP(C420,'Talente &amp; Stuff'!GX:HY,12,FALSE)</f>
        <v>0</v>
      </c>
      <c r="O420" s="47">
        <f>VLOOKUP(C420,'Talente &amp; Stuff'!GX:HY,13,FALSE)</f>
        <v>0</v>
      </c>
      <c r="P420" s="113">
        <f>VLOOKUP(C420,'Talente &amp; Stuff'!GX:HY,14,FALSE)</f>
        <v>0</v>
      </c>
      <c r="Q420" s="114">
        <f>VLOOKUP(C420,'Talente &amp; Stuff'!GX:HY,15,FALSE)</f>
        <v>0</v>
      </c>
      <c r="R420" s="113">
        <f>VLOOKUP(C420,'Talente &amp; Stuff'!GX:HY,16,FALSE)</f>
        <v>0</v>
      </c>
      <c r="S420" s="119">
        <f>VLOOKUP(C420,'Talente &amp; Stuff'!GX:HY,17,FALSE)</f>
        <v>0</v>
      </c>
      <c r="T420" s="160">
        <f>VLOOKUP(C420,'Talente &amp; Stuff'!GX:HY,18,FALSE)</f>
        <v>0</v>
      </c>
      <c r="U420" s="89">
        <f>VLOOKUP(C420,'Talente &amp; Stuff'!GX:HY,19,FALSE)</f>
        <v>0</v>
      </c>
      <c r="V420" s="47">
        <f>VLOOKUP(C420,'Talente &amp; Stuff'!GX:HY,20,FALSE)</f>
        <v>0</v>
      </c>
      <c r="W420" s="127">
        <f>VLOOKUP(C420,'Talente &amp; Stuff'!GX:HY,21,FALSE)</f>
        <v>0</v>
      </c>
      <c r="X420" s="127">
        <f>VLOOKUP(C420,'Talente &amp; Stuff'!GX:HY,22,FALSE)</f>
        <v>0</v>
      </c>
      <c r="Y420" s="165">
        <f>VLOOKUP(C420,Ausgewählte_Liturgien_Peraine,226,FALSE)</f>
        <v>0</v>
      </c>
      <c r="Z420" s="44">
        <f>VLOOKUP(C420,Ausgewählte_Liturgien_Peraine,227,FALSE)</f>
        <v>0</v>
      </c>
      <c r="AA420" s="125">
        <f>VLOOKUP(C420,'Talente &amp; Stuff'!GX:HY,25,FALSE)</f>
        <v>0</v>
      </c>
      <c r="AB420" s="160">
        <f>VLOOKUP(C420,'Talente &amp; Stuff'!GX:HY,26,FALSE)</f>
        <v>0</v>
      </c>
      <c r="AC420" s="127">
        <f>VLOOKUP(C420,'Talente &amp; Stuff'!GX:HY,27,FALSE)</f>
        <v>0</v>
      </c>
      <c r="AD420" s="125">
        <f>VLOOKUP(C420,'Talente &amp; Stuff'!GX:HY,28,FALSE)</f>
        <v>0</v>
      </c>
      <c r="AE420" s="28"/>
    </row>
    <row r="421" spans="2:31" ht="15" hidden="1" customHeight="1" outlineLevel="2">
      <c r="B421" s="148">
        <v>3</v>
      </c>
      <c r="C421" s="177" t="str">
        <f>Attribute!C421</f>
        <v>---</v>
      </c>
      <c r="D421" s="125" t="str">
        <f>VLOOKUP(C421,'Talente &amp; Stuff'!GX:HY,2,FALSE)</f>
        <v>--/--/--</v>
      </c>
      <c r="E421" s="47" t="str">
        <f>VLOOKUP(C421,'Talente &amp; Stuff'!GX:HY,3,FALSE)</f>
        <v>-</v>
      </c>
      <c r="F421" s="114">
        <f>VLOOKUP(C421,'Talente &amp; Stuff'!GX:HY,4,FALSE)</f>
        <v>0</v>
      </c>
      <c r="G421" s="113">
        <f>VLOOKUP(C421,'Talente &amp; Stuff'!GX:HY,5,FALSE)</f>
        <v>0</v>
      </c>
      <c r="H421" s="113">
        <f>VLOOKUP(C421,'Talente &amp; Stuff'!GX:HY,6,FALSE)</f>
        <v>0</v>
      </c>
      <c r="I421" s="113">
        <f>VLOOKUP(C421,'Talente &amp; Stuff'!GX:HY,7,FALSE)</f>
        <v>0</v>
      </c>
      <c r="J421" s="113">
        <f>VLOOKUP(C421,'Talente &amp; Stuff'!GX:HY,8,FALSE)</f>
        <v>0</v>
      </c>
      <c r="K421" s="113">
        <f>VLOOKUP(C421,'Talente &amp; Stuff'!GX:HY,9,FALSE)</f>
        <v>0</v>
      </c>
      <c r="L421" s="113">
        <f>VLOOKUP(C421,'Talente &amp; Stuff'!GX:HY,10,FALSE)</f>
        <v>0</v>
      </c>
      <c r="M421" s="119">
        <f>VLOOKUP(C421,'Talente &amp; Stuff'!GX:HY,11,FALSE)</f>
        <v>0</v>
      </c>
      <c r="N421" s="47">
        <f>VLOOKUP(C421,'Talente &amp; Stuff'!GX:HY,12,FALSE)</f>
        <v>0</v>
      </c>
      <c r="O421" s="47">
        <f>VLOOKUP(C421,'Talente &amp; Stuff'!GX:HY,13,FALSE)</f>
        <v>0</v>
      </c>
      <c r="P421" s="113">
        <f>VLOOKUP(C421,'Talente &amp; Stuff'!GX:HY,14,FALSE)</f>
        <v>0</v>
      </c>
      <c r="Q421" s="114">
        <f>VLOOKUP(C421,'Talente &amp; Stuff'!GX:HY,15,FALSE)</f>
        <v>0</v>
      </c>
      <c r="R421" s="113">
        <f>VLOOKUP(C421,'Talente &amp; Stuff'!GX:HY,16,FALSE)</f>
        <v>0</v>
      </c>
      <c r="S421" s="119">
        <f>VLOOKUP(C421,'Talente &amp; Stuff'!GX:HY,17,FALSE)</f>
        <v>0</v>
      </c>
      <c r="T421" s="160">
        <f>VLOOKUP(C421,'Talente &amp; Stuff'!GX:HY,18,FALSE)</f>
        <v>0</v>
      </c>
      <c r="U421" s="89">
        <f>VLOOKUP(C421,'Talente &amp; Stuff'!GX:HY,19,FALSE)</f>
        <v>0</v>
      </c>
      <c r="V421" s="47">
        <f>VLOOKUP(C421,'Talente &amp; Stuff'!GX:HY,20,FALSE)</f>
        <v>0</v>
      </c>
      <c r="W421" s="127">
        <f>VLOOKUP(C421,'Talente &amp; Stuff'!GX:HY,21,FALSE)</f>
        <v>0</v>
      </c>
      <c r="X421" s="127">
        <f>VLOOKUP(C421,'Talente &amp; Stuff'!GX:HY,22,FALSE)</f>
        <v>0</v>
      </c>
      <c r="Y421" s="165">
        <f>VLOOKUP(C421,Ausgewählte_Liturgien_Peraine,226,FALSE)</f>
        <v>0</v>
      </c>
      <c r="Z421" s="44">
        <f>VLOOKUP(C421,Ausgewählte_Liturgien_Peraine,227,FALSE)</f>
        <v>0</v>
      </c>
      <c r="AA421" s="125">
        <f>VLOOKUP(C421,'Talente &amp; Stuff'!GX:HY,25,FALSE)</f>
        <v>0</v>
      </c>
      <c r="AB421" s="160">
        <f>VLOOKUP(C421,'Talente &amp; Stuff'!GX:HY,26,FALSE)</f>
        <v>0</v>
      </c>
      <c r="AC421" s="127">
        <f>VLOOKUP(C421,'Talente &amp; Stuff'!GX:HY,27,FALSE)</f>
        <v>0</v>
      </c>
      <c r="AD421" s="125">
        <f>VLOOKUP(C421,'Talente &amp; Stuff'!GX:HY,28,FALSE)</f>
        <v>0</v>
      </c>
      <c r="AE421" s="28"/>
    </row>
    <row r="422" spans="2:31" ht="15" hidden="1" customHeight="1" outlineLevel="2">
      <c r="B422" s="148">
        <v>4</v>
      </c>
      <c r="C422" s="177" t="str">
        <f>Attribute!C422</f>
        <v>---</v>
      </c>
      <c r="D422" s="125" t="str">
        <f>VLOOKUP(C422,'Talente &amp; Stuff'!GX:HY,2,FALSE)</f>
        <v>--/--/--</v>
      </c>
      <c r="E422" s="47" t="str">
        <f>VLOOKUP(C422,'Talente &amp; Stuff'!GX:HY,3,FALSE)</f>
        <v>-</v>
      </c>
      <c r="F422" s="114">
        <f>VLOOKUP(C422,'Talente &amp; Stuff'!GX:HY,4,FALSE)</f>
        <v>0</v>
      </c>
      <c r="G422" s="113">
        <f>VLOOKUP(C422,'Talente &amp; Stuff'!GX:HY,5,FALSE)</f>
        <v>0</v>
      </c>
      <c r="H422" s="113">
        <f>VLOOKUP(C422,'Talente &amp; Stuff'!GX:HY,6,FALSE)</f>
        <v>0</v>
      </c>
      <c r="I422" s="113">
        <f>VLOOKUP(C422,'Talente &amp; Stuff'!GX:HY,7,FALSE)</f>
        <v>0</v>
      </c>
      <c r="J422" s="113">
        <f>VLOOKUP(C422,'Talente &amp; Stuff'!GX:HY,8,FALSE)</f>
        <v>0</v>
      </c>
      <c r="K422" s="113">
        <f>VLOOKUP(C422,'Talente &amp; Stuff'!GX:HY,9,FALSE)</f>
        <v>0</v>
      </c>
      <c r="L422" s="113">
        <f>VLOOKUP(C422,'Talente &amp; Stuff'!GX:HY,10,FALSE)</f>
        <v>0</v>
      </c>
      <c r="M422" s="119">
        <f>VLOOKUP(C422,'Talente &amp; Stuff'!GX:HY,11,FALSE)</f>
        <v>0</v>
      </c>
      <c r="N422" s="47">
        <f>VLOOKUP(C422,'Talente &amp; Stuff'!GX:HY,12,FALSE)</f>
        <v>0</v>
      </c>
      <c r="O422" s="47">
        <f>VLOOKUP(C422,'Talente &amp; Stuff'!GX:HY,13,FALSE)</f>
        <v>0</v>
      </c>
      <c r="P422" s="113">
        <f>VLOOKUP(C422,'Talente &amp; Stuff'!GX:HY,14,FALSE)</f>
        <v>0</v>
      </c>
      <c r="Q422" s="114">
        <f>VLOOKUP(C422,'Talente &amp; Stuff'!GX:HY,15,FALSE)</f>
        <v>0</v>
      </c>
      <c r="R422" s="113">
        <f>VLOOKUP(C422,'Talente &amp; Stuff'!GX:HY,16,FALSE)</f>
        <v>0</v>
      </c>
      <c r="S422" s="119">
        <f>VLOOKUP(C422,'Talente &amp; Stuff'!GX:HY,17,FALSE)</f>
        <v>0</v>
      </c>
      <c r="T422" s="160">
        <f>VLOOKUP(C422,'Talente &amp; Stuff'!GX:HY,18,FALSE)</f>
        <v>0</v>
      </c>
      <c r="U422" s="89">
        <f>VLOOKUP(C422,'Talente &amp; Stuff'!GX:HY,19,FALSE)</f>
        <v>0</v>
      </c>
      <c r="V422" s="47">
        <f>VLOOKUP(C422,'Talente &amp; Stuff'!GX:HY,20,FALSE)</f>
        <v>0</v>
      </c>
      <c r="W422" s="127">
        <f>VLOOKUP(C422,'Talente &amp; Stuff'!GX:HY,21,FALSE)</f>
        <v>0</v>
      </c>
      <c r="X422" s="127">
        <f>VLOOKUP(C422,'Talente &amp; Stuff'!GX:HY,22,FALSE)</f>
        <v>0</v>
      </c>
      <c r="Y422" s="165">
        <f>VLOOKUP(C422,Ausgewählte_Liturgien_Peraine,226,FALSE)</f>
        <v>0</v>
      </c>
      <c r="Z422" s="44">
        <f>VLOOKUP(C422,Ausgewählte_Liturgien_Peraine,227,FALSE)</f>
        <v>0</v>
      </c>
      <c r="AA422" s="125">
        <f>VLOOKUP(C422,'Talente &amp; Stuff'!GX:HY,25,FALSE)</f>
        <v>0</v>
      </c>
      <c r="AB422" s="160">
        <f>VLOOKUP(C422,'Talente &amp; Stuff'!GX:HY,26,FALSE)</f>
        <v>0</v>
      </c>
      <c r="AC422" s="127">
        <f>VLOOKUP(C422,'Talente &amp; Stuff'!GX:HY,27,FALSE)</f>
        <v>0</v>
      </c>
      <c r="AD422" s="125">
        <f>VLOOKUP(C422,'Talente &amp; Stuff'!GX:HY,28,FALSE)</f>
        <v>0</v>
      </c>
      <c r="AE422" s="28"/>
    </row>
    <row r="423" spans="2:31" ht="15" hidden="1" customHeight="1" outlineLevel="2">
      <c r="B423" s="137">
        <v>5</v>
      </c>
      <c r="C423" s="178" t="str">
        <f>Attribute!C423</f>
        <v>---</v>
      </c>
      <c r="D423" s="159" t="str">
        <f>VLOOKUP(C423,'Talente &amp; Stuff'!GX:HY,2,FALSE)</f>
        <v>--/--/--</v>
      </c>
      <c r="E423" s="88" t="str">
        <f>VLOOKUP(C423,'Talente &amp; Stuff'!GX:HY,3,FALSE)</f>
        <v>-</v>
      </c>
      <c r="F423" s="115">
        <f>VLOOKUP(C423,'Talente &amp; Stuff'!GX:HY,4,FALSE)</f>
        <v>0</v>
      </c>
      <c r="G423" s="122">
        <f>VLOOKUP(C423,'Talente &amp; Stuff'!GX:HY,5,FALSE)</f>
        <v>0</v>
      </c>
      <c r="H423" s="122">
        <f>VLOOKUP(C423,'Talente &amp; Stuff'!GX:HY,6,FALSE)</f>
        <v>0</v>
      </c>
      <c r="I423" s="122">
        <f>VLOOKUP(C423,'Talente &amp; Stuff'!GX:HY,7,FALSE)</f>
        <v>0</v>
      </c>
      <c r="J423" s="122">
        <f>VLOOKUP(C423,'Talente &amp; Stuff'!GX:HY,8,FALSE)</f>
        <v>0</v>
      </c>
      <c r="K423" s="122">
        <f>VLOOKUP(C423,'Talente &amp; Stuff'!GX:HY,9,FALSE)</f>
        <v>0</v>
      </c>
      <c r="L423" s="122">
        <f>VLOOKUP(C423,'Talente &amp; Stuff'!GX:HY,10,FALSE)</f>
        <v>0</v>
      </c>
      <c r="M423" s="123">
        <f>VLOOKUP(C423,'Talente &amp; Stuff'!GX:HY,11,FALSE)</f>
        <v>0</v>
      </c>
      <c r="N423" s="88">
        <f>VLOOKUP(C423,'Talente &amp; Stuff'!GX:HY,12,FALSE)</f>
        <v>0</v>
      </c>
      <c r="O423" s="88">
        <f>VLOOKUP(C423,'Talente &amp; Stuff'!GX:HY,13,FALSE)</f>
        <v>0</v>
      </c>
      <c r="P423" s="122">
        <f>VLOOKUP(C423,'Talente &amp; Stuff'!GX:HY,14,FALSE)</f>
        <v>0</v>
      </c>
      <c r="Q423" s="115">
        <f>VLOOKUP(C423,'Talente &amp; Stuff'!GX:HY,15,FALSE)</f>
        <v>0</v>
      </c>
      <c r="R423" s="122">
        <f>VLOOKUP(C423,'Talente &amp; Stuff'!GX:HY,16,FALSE)</f>
        <v>0</v>
      </c>
      <c r="S423" s="123">
        <f>VLOOKUP(C423,'Talente &amp; Stuff'!GX:HY,17,FALSE)</f>
        <v>0</v>
      </c>
      <c r="T423" s="161">
        <f>VLOOKUP(C423,'Talente &amp; Stuff'!GX:HY,18,FALSE)</f>
        <v>0</v>
      </c>
      <c r="U423" s="90">
        <f>VLOOKUP(C423,'Talente &amp; Stuff'!GX:HY,19,FALSE)</f>
        <v>0</v>
      </c>
      <c r="V423" s="88">
        <f>VLOOKUP(C423,'Talente &amp; Stuff'!GX:HY,20,FALSE)</f>
        <v>0</v>
      </c>
      <c r="W423" s="128">
        <f>VLOOKUP(C423,'Talente &amp; Stuff'!GX:HY,21,FALSE)</f>
        <v>0</v>
      </c>
      <c r="X423" s="128">
        <f>VLOOKUP(C423,'Talente &amp; Stuff'!GX:HY,22,FALSE)</f>
        <v>0</v>
      </c>
      <c r="Y423" s="165">
        <f>VLOOKUP(C423,Ausgewählte_Liturgien_Peraine,226,FALSE)</f>
        <v>0</v>
      </c>
      <c r="Z423" s="44">
        <f>VLOOKUP(C423,Ausgewählte_Liturgien_Peraine,227,FALSE)</f>
        <v>0</v>
      </c>
      <c r="AA423" s="159">
        <f>VLOOKUP(C423,'Talente &amp; Stuff'!GX:HY,25,FALSE)</f>
        <v>0</v>
      </c>
      <c r="AB423" s="161">
        <f>VLOOKUP(C423,'Talente &amp; Stuff'!GX:HY,26,FALSE)</f>
        <v>0</v>
      </c>
      <c r="AC423" s="128">
        <f>VLOOKUP(C423,'Talente &amp; Stuff'!GX:HY,27,FALSE)</f>
        <v>0</v>
      </c>
      <c r="AD423" s="159">
        <f>VLOOKUP(C423,'Talente &amp; Stuff'!GX:HY,28,FALSE)</f>
        <v>0</v>
      </c>
      <c r="AE423" s="28"/>
    </row>
    <row r="424" spans="2:31" ht="15" hidden="1" customHeight="1" outlineLevel="1" collapsed="1">
      <c r="B424" s="134" t="s">
        <v>323</v>
      </c>
      <c r="C424" s="83"/>
      <c r="D424" s="84"/>
      <c r="E424" s="84"/>
    </row>
    <row r="425" spans="2:31" ht="15" hidden="1" customHeight="1" outlineLevel="2">
      <c r="B425" s="148">
        <v>1</v>
      </c>
      <c r="C425" s="176" t="str">
        <f>Attribute!C425</f>
        <v>---</v>
      </c>
      <c r="D425" s="158" t="str">
        <f>VLOOKUP(C425,'Talente &amp; Stuff'!GX:HY,2,FALSE)</f>
        <v>--/--/--</v>
      </c>
      <c r="E425" s="116" t="str">
        <f>VLOOKUP(C425,'Talente &amp; Stuff'!GX:HY,3,FALSE)</f>
        <v>-</v>
      </c>
      <c r="F425" s="191">
        <f>VLOOKUP(C425,'Talente &amp; Stuff'!GX:HY,4,FALSE)</f>
        <v>0</v>
      </c>
      <c r="G425" s="118">
        <f>VLOOKUP(C425,'Talente &amp; Stuff'!GX:HY,5,FALSE)</f>
        <v>0</v>
      </c>
      <c r="H425" s="118">
        <f>VLOOKUP(C425,'Talente &amp; Stuff'!GX:HY,6,FALSE)</f>
        <v>0</v>
      </c>
      <c r="I425" s="118">
        <f>VLOOKUP(C425,'Talente &amp; Stuff'!GX:HY,7,FALSE)</f>
        <v>0</v>
      </c>
      <c r="J425" s="118">
        <f>VLOOKUP(C425,'Talente &amp; Stuff'!GX:HY,8,FALSE)</f>
        <v>0</v>
      </c>
      <c r="K425" s="118">
        <f>VLOOKUP(C425,'Talente &amp; Stuff'!GX:HY,9,FALSE)</f>
        <v>0</v>
      </c>
      <c r="L425" s="118">
        <f>VLOOKUP(C425,'Talente &amp; Stuff'!GX:HY,10,FALSE)</f>
        <v>0</v>
      </c>
      <c r="M425" s="92">
        <f>VLOOKUP(C425,'Talente &amp; Stuff'!GX:HY,11,FALSE)</f>
        <v>0</v>
      </c>
      <c r="N425" s="116">
        <f>VLOOKUP(C425,'Talente &amp; Stuff'!GX:HY,12,FALSE)</f>
        <v>0</v>
      </c>
      <c r="O425" s="116">
        <f>VLOOKUP(C425,'Talente &amp; Stuff'!GX:HY,13,FALSE)</f>
        <v>0</v>
      </c>
      <c r="P425" s="118">
        <f>VLOOKUP(C425,'Talente &amp; Stuff'!GX:HY,14,FALSE)</f>
        <v>0</v>
      </c>
      <c r="Q425" s="191">
        <f>VLOOKUP(C425,'Talente &amp; Stuff'!GX:HY,15,FALSE)</f>
        <v>0</v>
      </c>
      <c r="R425" s="118">
        <f>VLOOKUP(C425,'Talente &amp; Stuff'!GX:HY,16,FALSE)</f>
        <v>0</v>
      </c>
      <c r="S425" s="92">
        <f>VLOOKUP(C425,'Talente &amp; Stuff'!GX:HY,17,FALSE)</f>
        <v>0</v>
      </c>
      <c r="T425" s="91">
        <f>VLOOKUP(C425,'Talente &amp; Stuff'!GX:HY,18,FALSE)</f>
        <v>0</v>
      </c>
      <c r="U425" s="193">
        <f>VLOOKUP(C425,'Talente &amp; Stuff'!GX:HY,19,FALSE)</f>
        <v>0</v>
      </c>
      <c r="V425" s="116">
        <f>VLOOKUP(C425,'Talente &amp; Stuff'!GX:HY,20,FALSE)</f>
        <v>0</v>
      </c>
      <c r="W425" s="126">
        <f>VLOOKUP(C425,'Talente &amp; Stuff'!GX:HY,21,FALSE)</f>
        <v>0</v>
      </c>
      <c r="X425" s="126">
        <f>VLOOKUP(C425,'Talente &amp; Stuff'!GX:HY,22,FALSE)</f>
        <v>0</v>
      </c>
      <c r="Y425" s="165">
        <f t="shared" ref="Y425:Y432" si="34">VLOOKUP(C425,Ausgewählte_Liturgien_Phex,226,FALSE)</f>
        <v>0</v>
      </c>
      <c r="Z425" s="44">
        <f t="shared" ref="Z425:Z432" si="35">VLOOKUP(C425,Ausgewählte_Liturgien_Phex,227,FALSE)</f>
        <v>0</v>
      </c>
      <c r="AA425" s="158">
        <f>VLOOKUP(C425,'Talente &amp; Stuff'!GX:HY,25,FALSE)</f>
        <v>0</v>
      </c>
      <c r="AB425" s="91">
        <f>VLOOKUP(C425,'Talente &amp; Stuff'!GX:HY,26,FALSE)</f>
        <v>0</v>
      </c>
      <c r="AC425" s="126">
        <f>VLOOKUP(C425,'Talente &amp; Stuff'!GX:HY,27,FALSE)</f>
        <v>0</v>
      </c>
      <c r="AD425" s="158">
        <f>VLOOKUP(C425,'Talente &amp; Stuff'!GX:HY,28,FALSE)</f>
        <v>0</v>
      </c>
      <c r="AE425" s="28"/>
    </row>
    <row r="426" spans="2:31" ht="15" hidden="1" customHeight="1" outlineLevel="2">
      <c r="B426" s="148">
        <v>2</v>
      </c>
      <c r="C426" s="177" t="str">
        <f>Attribute!C426</f>
        <v>---</v>
      </c>
      <c r="D426" s="125" t="str">
        <f>VLOOKUP(C426,'Talente &amp; Stuff'!GX:HY,2,FALSE)</f>
        <v>--/--/--</v>
      </c>
      <c r="E426" s="47" t="str">
        <f>VLOOKUP(C426,'Talente &amp; Stuff'!GX:HY,3,FALSE)</f>
        <v>-</v>
      </c>
      <c r="F426" s="114">
        <f>VLOOKUP(C426,'Talente &amp; Stuff'!GX:HY,4,FALSE)</f>
        <v>0</v>
      </c>
      <c r="G426" s="113">
        <f>VLOOKUP(C426,'Talente &amp; Stuff'!GX:HY,5,FALSE)</f>
        <v>0</v>
      </c>
      <c r="H426" s="113">
        <f>VLOOKUP(C426,'Talente &amp; Stuff'!GX:HY,6,FALSE)</f>
        <v>0</v>
      </c>
      <c r="I426" s="113">
        <f>VLOOKUP(C426,'Talente &amp; Stuff'!GX:HY,7,FALSE)</f>
        <v>0</v>
      </c>
      <c r="J426" s="113">
        <f>VLOOKUP(C426,'Talente &amp; Stuff'!GX:HY,8,FALSE)</f>
        <v>0</v>
      </c>
      <c r="K426" s="113">
        <f>VLOOKUP(C426,'Talente &amp; Stuff'!GX:HY,9,FALSE)</f>
        <v>0</v>
      </c>
      <c r="L426" s="113">
        <f>VLOOKUP(C426,'Talente &amp; Stuff'!GX:HY,10,FALSE)</f>
        <v>0</v>
      </c>
      <c r="M426" s="119">
        <f>VLOOKUP(C426,'Talente &amp; Stuff'!GX:HY,11,FALSE)</f>
        <v>0</v>
      </c>
      <c r="N426" s="47">
        <f>VLOOKUP(C426,'Talente &amp; Stuff'!GX:HY,12,FALSE)</f>
        <v>0</v>
      </c>
      <c r="O426" s="47">
        <f>VLOOKUP(C426,'Talente &amp; Stuff'!GX:HY,13,FALSE)</f>
        <v>0</v>
      </c>
      <c r="P426" s="113">
        <f>VLOOKUP(C426,'Talente &amp; Stuff'!GX:HY,14,FALSE)</f>
        <v>0</v>
      </c>
      <c r="Q426" s="114">
        <f>VLOOKUP(C426,'Talente &amp; Stuff'!GX:HY,15,FALSE)</f>
        <v>0</v>
      </c>
      <c r="R426" s="113">
        <f>VLOOKUP(C426,'Talente &amp; Stuff'!GX:HY,16,FALSE)</f>
        <v>0</v>
      </c>
      <c r="S426" s="119">
        <f>VLOOKUP(C426,'Talente &amp; Stuff'!GX:HY,17,FALSE)</f>
        <v>0</v>
      </c>
      <c r="T426" s="160">
        <f>VLOOKUP(C426,'Talente &amp; Stuff'!GX:HY,18,FALSE)</f>
        <v>0</v>
      </c>
      <c r="U426" s="89">
        <f>VLOOKUP(C426,'Talente &amp; Stuff'!GX:HY,19,FALSE)</f>
        <v>0</v>
      </c>
      <c r="V426" s="47">
        <f>VLOOKUP(C426,'Talente &amp; Stuff'!GX:HY,20,FALSE)</f>
        <v>0</v>
      </c>
      <c r="W426" s="127">
        <f>VLOOKUP(C426,'Talente &amp; Stuff'!GX:HY,21,FALSE)</f>
        <v>0</v>
      </c>
      <c r="X426" s="127">
        <f>VLOOKUP(C426,'Talente &amp; Stuff'!GX:HY,22,FALSE)</f>
        <v>0</v>
      </c>
      <c r="Y426" s="165">
        <f t="shared" si="34"/>
        <v>0</v>
      </c>
      <c r="Z426" s="44">
        <f t="shared" si="35"/>
        <v>0</v>
      </c>
      <c r="AA426" s="125">
        <f>VLOOKUP(C426,'Talente &amp; Stuff'!GX:HY,25,FALSE)</f>
        <v>0</v>
      </c>
      <c r="AB426" s="160">
        <f>VLOOKUP(C426,'Talente &amp; Stuff'!GX:HY,26,FALSE)</f>
        <v>0</v>
      </c>
      <c r="AC426" s="127">
        <f>VLOOKUP(C426,'Talente &amp; Stuff'!GX:HY,27,FALSE)</f>
        <v>0</v>
      </c>
      <c r="AD426" s="125">
        <f>VLOOKUP(C426,'Talente &amp; Stuff'!GX:HY,28,FALSE)</f>
        <v>0</v>
      </c>
      <c r="AE426" s="28"/>
    </row>
    <row r="427" spans="2:31" ht="15" hidden="1" customHeight="1" outlineLevel="2">
      <c r="B427" s="148">
        <v>3</v>
      </c>
      <c r="C427" s="177" t="str">
        <f>Attribute!C427</f>
        <v>---</v>
      </c>
      <c r="D427" s="125" t="str">
        <f>VLOOKUP(C427,'Talente &amp; Stuff'!GX:HY,2,FALSE)</f>
        <v>--/--/--</v>
      </c>
      <c r="E427" s="47" t="str">
        <f>VLOOKUP(C427,'Talente &amp; Stuff'!GX:HY,3,FALSE)</f>
        <v>-</v>
      </c>
      <c r="F427" s="114">
        <f>VLOOKUP(C427,'Talente &amp; Stuff'!GX:HY,4,FALSE)</f>
        <v>0</v>
      </c>
      <c r="G427" s="113">
        <f>VLOOKUP(C427,'Talente &amp; Stuff'!GX:HY,5,FALSE)</f>
        <v>0</v>
      </c>
      <c r="H427" s="113">
        <f>VLOOKUP(C427,'Talente &amp; Stuff'!GX:HY,6,FALSE)</f>
        <v>0</v>
      </c>
      <c r="I427" s="113">
        <f>VLOOKUP(C427,'Talente &amp; Stuff'!GX:HY,7,FALSE)</f>
        <v>0</v>
      </c>
      <c r="J427" s="113">
        <f>VLOOKUP(C427,'Talente &amp; Stuff'!GX:HY,8,FALSE)</f>
        <v>0</v>
      </c>
      <c r="K427" s="113">
        <f>VLOOKUP(C427,'Talente &amp; Stuff'!GX:HY,9,FALSE)</f>
        <v>0</v>
      </c>
      <c r="L427" s="113">
        <f>VLOOKUP(C427,'Talente &amp; Stuff'!GX:HY,10,FALSE)</f>
        <v>0</v>
      </c>
      <c r="M427" s="119">
        <f>VLOOKUP(C427,'Talente &amp; Stuff'!GX:HY,11,FALSE)</f>
        <v>0</v>
      </c>
      <c r="N427" s="47">
        <f>VLOOKUP(C427,'Talente &amp; Stuff'!GX:HY,12,FALSE)</f>
        <v>0</v>
      </c>
      <c r="O427" s="47">
        <f>VLOOKUP(C427,'Talente &amp; Stuff'!GX:HY,13,FALSE)</f>
        <v>0</v>
      </c>
      <c r="P427" s="113">
        <f>VLOOKUP(C427,'Talente &amp; Stuff'!GX:HY,14,FALSE)</f>
        <v>0</v>
      </c>
      <c r="Q427" s="114">
        <f>VLOOKUP(C427,'Talente &amp; Stuff'!GX:HY,15,FALSE)</f>
        <v>0</v>
      </c>
      <c r="R427" s="113">
        <f>VLOOKUP(C427,'Talente &amp; Stuff'!GX:HY,16,FALSE)</f>
        <v>0</v>
      </c>
      <c r="S427" s="119">
        <f>VLOOKUP(C427,'Talente &amp; Stuff'!GX:HY,17,FALSE)</f>
        <v>0</v>
      </c>
      <c r="T427" s="160">
        <f>VLOOKUP(C427,'Talente &amp; Stuff'!GX:HY,18,FALSE)</f>
        <v>0</v>
      </c>
      <c r="U427" s="89">
        <f>VLOOKUP(C427,'Talente &amp; Stuff'!GX:HY,19,FALSE)</f>
        <v>0</v>
      </c>
      <c r="V427" s="47">
        <f>VLOOKUP(C427,'Talente &amp; Stuff'!GX:HY,20,FALSE)</f>
        <v>0</v>
      </c>
      <c r="W427" s="127">
        <f>VLOOKUP(C427,'Talente &amp; Stuff'!GX:HY,21,FALSE)</f>
        <v>0</v>
      </c>
      <c r="X427" s="127">
        <f>VLOOKUP(C427,'Talente &amp; Stuff'!GX:HY,22,FALSE)</f>
        <v>0</v>
      </c>
      <c r="Y427" s="165">
        <f t="shared" si="34"/>
        <v>0</v>
      </c>
      <c r="Z427" s="44">
        <f t="shared" si="35"/>
        <v>0</v>
      </c>
      <c r="AA427" s="125">
        <f>VLOOKUP(C427,'Talente &amp; Stuff'!GX:HY,25,FALSE)</f>
        <v>0</v>
      </c>
      <c r="AB427" s="160">
        <f>VLOOKUP(C427,'Talente &amp; Stuff'!GX:HY,26,FALSE)</f>
        <v>0</v>
      </c>
      <c r="AC427" s="127">
        <f>VLOOKUP(C427,'Talente &amp; Stuff'!GX:HY,27,FALSE)</f>
        <v>0</v>
      </c>
      <c r="AD427" s="125">
        <f>VLOOKUP(C427,'Talente &amp; Stuff'!GX:HY,28,FALSE)</f>
        <v>0</v>
      </c>
      <c r="AE427" s="28"/>
    </row>
    <row r="428" spans="2:31" ht="15" hidden="1" customHeight="1" outlineLevel="2">
      <c r="B428" s="148">
        <v>4</v>
      </c>
      <c r="C428" s="177" t="str">
        <f>Attribute!C428</f>
        <v>---</v>
      </c>
      <c r="D428" s="125" t="str">
        <f>VLOOKUP(C428,'Talente &amp; Stuff'!GX:HY,2,FALSE)</f>
        <v>--/--/--</v>
      </c>
      <c r="E428" s="47" t="str">
        <f>VLOOKUP(C428,'Talente &amp; Stuff'!GX:HY,3,FALSE)</f>
        <v>-</v>
      </c>
      <c r="F428" s="114">
        <f>VLOOKUP(C428,'Talente &amp; Stuff'!GX:HY,4,FALSE)</f>
        <v>0</v>
      </c>
      <c r="G428" s="113">
        <f>VLOOKUP(C428,'Talente &amp; Stuff'!GX:HY,5,FALSE)</f>
        <v>0</v>
      </c>
      <c r="H428" s="113">
        <f>VLOOKUP(C428,'Talente &amp; Stuff'!GX:HY,6,FALSE)</f>
        <v>0</v>
      </c>
      <c r="I428" s="113">
        <f>VLOOKUP(C428,'Talente &amp; Stuff'!GX:HY,7,FALSE)</f>
        <v>0</v>
      </c>
      <c r="J428" s="113">
        <f>VLOOKUP(C428,'Talente &amp; Stuff'!GX:HY,8,FALSE)</f>
        <v>0</v>
      </c>
      <c r="K428" s="113">
        <f>VLOOKUP(C428,'Talente &amp; Stuff'!GX:HY,9,FALSE)</f>
        <v>0</v>
      </c>
      <c r="L428" s="113">
        <f>VLOOKUP(C428,'Talente &amp; Stuff'!GX:HY,10,FALSE)</f>
        <v>0</v>
      </c>
      <c r="M428" s="119">
        <f>VLOOKUP(C428,'Talente &amp; Stuff'!GX:HY,11,FALSE)</f>
        <v>0</v>
      </c>
      <c r="N428" s="47">
        <f>VLOOKUP(C428,'Talente &amp; Stuff'!GX:HY,12,FALSE)</f>
        <v>0</v>
      </c>
      <c r="O428" s="47">
        <f>VLOOKUP(C428,'Talente &amp; Stuff'!GX:HY,13,FALSE)</f>
        <v>0</v>
      </c>
      <c r="P428" s="113">
        <f>VLOOKUP(C428,'Talente &amp; Stuff'!GX:HY,14,FALSE)</f>
        <v>0</v>
      </c>
      <c r="Q428" s="114">
        <f>VLOOKUP(C428,'Talente &amp; Stuff'!GX:HY,15,FALSE)</f>
        <v>0</v>
      </c>
      <c r="R428" s="113">
        <f>VLOOKUP(C428,'Talente &amp; Stuff'!GX:HY,16,FALSE)</f>
        <v>0</v>
      </c>
      <c r="S428" s="119">
        <f>VLOOKUP(C428,'Talente &amp; Stuff'!GX:HY,17,FALSE)</f>
        <v>0</v>
      </c>
      <c r="T428" s="160">
        <f>VLOOKUP(C428,'Talente &amp; Stuff'!GX:HY,18,FALSE)</f>
        <v>0</v>
      </c>
      <c r="U428" s="89">
        <f>VLOOKUP(C428,'Talente &amp; Stuff'!GX:HY,19,FALSE)</f>
        <v>0</v>
      </c>
      <c r="V428" s="47">
        <f>VLOOKUP(C428,'Talente &amp; Stuff'!GX:HY,20,FALSE)</f>
        <v>0</v>
      </c>
      <c r="W428" s="127">
        <f>VLOOKUP(C428,'Talente &amp; Stuff'!GX:HY,21,FALSE)</f>
        <v>0</v>
      </c>
      <c r="X428" s="127">
        <f>VLOOKUP(C428,'Talente &amp; Stuff'!GX:HY,22,FALSE)</f>
        <v>0</v>
      </c>
      <c r="Y428" s="165">
        <f t="shared" si="34"/>
        <v>0</v>
      </c>
      <c r="Z428" s="44">
        <f t="shared" si="35"/>
        <v>0</v>
      </c>
      <c r="AA428" s="125">
        <f>VLOOKUP(C428,'Talente &amp; Stuff'!GX:HY,25,FALSE)</f>
        <v>0</v>
      </c>
      <c r="AB428" s="160">
        <f>VLOOKUP(C428,'Talente &amp; Stuff'!GX:HY,26,FALSE)</f>
        <v>0</v>
      </c>
      <c r="AC428" s="127">
        <f>VLOOKUP(C428,'Talente &amp; Stuff'!GX:HY,27,FALSE)</f>
        <v>0</v>
      </c>
      <c r="AD428" s="125">
        <f>VLOOKUP(C428,'Talente &amp; Stuff'!GX:HY,28,FALSE)</f>
        <v>0</v>
      </c>
      <c r="AE428" s="28"/>
    </row>
    <row r="429" spans="2:31" ht="15" hidden="1" customHeight="1" outlineLevel="2">
      <c r="B429" s="148">
        <v>5</v>
      </c>
      <c r="C429" s="177" t="str">
        <f>Attribute!C429</f>
        <v>---</v>
      </c>
      <c r="D429" s="125" t="str">
        <f>VLOOKUP(C429,'Talente &amp; Stuff'!GX:HY,2,FALSE)</f>
        <v>--/--/--</v>
      </c>
      <c r="E429" s="47" t="str">
        <f>VLOOKUP(C429,'Talente &amp; Stuff'!GX:HY,3,FALSE)</f>
        <v>-</v>
      </c>
      <c r="F429" s="114">
        <f>VLOOKUP(C429,'Talente &amp; Stuff'!GX:HY,4,FALSE)</f>
        <v>0</v>
      </c>
      <c r="G429" s="113">
        <f>VLOOKUP(C429,'Talente &amp; Stuff'!GX:HY,5,FALSE)</f>
        <v>0</v>
      </c>
      <c r="H429" s="113">
        <f>VLOOKUP(C429,'Talente &amp; Stuff'!GX:HY,6,FALSE)</f>
        <v>0</v>
      </c>
      <c r="I429" s="113">
        <f>VLOOKUP(C429,'Talente &amp; Stuff'!GX:HY,7,FALSE)</f>
        <v>0</v>
      </c>
      <c r="J429" s="113">
        <f>VLOOKUP(C429,'Talente &amp; Stuff'!GX:HY,8,FALSE)</f>
        <v>0</v>
      </c>
      <c r="K429" s="113">
        <f>VLOOKUP(C429,'Talente &amp; Stuff'!GX:HY,9,FALSE)</f>
        <v>0</v>
      </c>
      <c r="L429" s="113">
        <f>VLOOKUP(C429,'Talente &amp; Stuff'!GX:HY,10,FALSE)</f>
        <v>0</v>
      </c>
      <c r="M429" s="119">
        <f>VLOOKUP(C429,'Talente &amp; Stuff'!GX:HY,11,FALSE)</f>
        <v>0</v>
      </c>
      <c r="N429" s="47">
        <f>VLOOKUP(C429,'Talente &amp; Stuff'!GX:HY,12,FALSE)</f>
        <v>0</v>
      </c>
      <c r="O429" s="47">
        <f>VLOOKUP(C429,'Talente &amp; Stuff'!GX:HY,13,FALSE)</f>
        <v>0</v>
      </c>
      <c r="P429" s="113">
        <f>VLOOKUP(C429,'Talente &amp; Stuff'!GX:HY,14,FALSE)</f>
        <v>0</v>
      </c>
      <c r="Q429" s="114">
        <f>VLOOKUP(C429,'Talente &amp; Stuff'!GX:HY,15,FALSE)</f>
        <v>0</v>
      </c>
      <c r="R429" s="113">
        <f>VLOOKUP(C429,'Talente &amp; Stuff'!GX:HY,16,FALSE)</f>
        <v>0</v>
      </c>
      <c r="S429" s="119">
        <f>VLOOKUP(C429,'Talente &amp; Stuff'!GX:HY,17,FALSE)</f>
        <v>0</v>
      </c>
      <c r="T429" s="160">
        <f>VLOOKUP(C429,'Talente &amp; Stuff'!GX:HY,18,FALSE)</f>
        <v>0</v>
      </c>
      <c r="U429" s="89">
        <f>VLOOKUP(C429,'Talente &amp; Stuff'!GX:HY,19,FALSE)</f>
        <v>0</v>
      </c>
      <c r="V429" s="47">
        <f>VLOOKUP(C429,'Talente &amp; Stuff'!GX:HY,20,FALSE)</f>
        <v>0</v>
      </c>
      <c r="W429" s="127">
        <f>VLOOKUP(C429,'Talente &amp; Stuff'!GX:HY,21,FALSE)</f>
        <v>0</v>
      </c>
      <c r="X429" s="127">
        <f>VLOOKUP(C429,'Talente &amp; Stuff'!GX:HY,22,FALSE)</f>
        <v>0</v>
      </c>
      <c r="Y429" s="165">
        <f t="shared" si="34"/>
        <v>0</v>
      </c>
      <c r="Z429" s="44">
        <f t="shared" si="35"/>
        <v>0</v>
      </c>
      <c r="AA429" s="125">
        <f>VLOOKUP(C429,'Talente &amp; Stuff'!GX:HY,25,FALSE)</f>
        <v>0</v>
      </c>
      <c r="AB429" s="160">
        <f>VLOOKUP(C429,'Talente &amp; Stuff'!GX:HY,26,FALSE)</f>
        <v>0</v>
      </c>
      <c r="AC429" s="127">
        <f>VLOOKUP(C429,'Talente &amp; Stuff'!GX:HY,27,FALSE)</f>
        <v>0</v>
      </c>
      <c r="AD429" s="125">
        <f>VLOOKUP(C429,'Talente &amp; Stuff'!GX:HY,28,FALSE)</f>
        <v>0</v>
      </c>
      <c r="AE429" s="28"/>
    </row>
    <row r="430" spans="2:31" ht="15" hidden="1" customHeight="1" outlineLevel="2">
      <c r="B430" s="148">
        <v>6</v>
      </c>
      <c r="C430" s="177" t="str">
        <f>Attribute!C430</f>
        <v>---</v>
      </c>
      <c r="D430" s="125" t="str">
        <f>VLOOKUP(C430,'Talente &amp; Stuff'!GX:HY,2,FALSE)</f>
        <v>--/--/--</v>
      </c>
      <c r="E430" s="47" t="str">
        <f>VLOOKUP(C430,'Talente &amp; Stuff'!GX:HY,3,FALSE)</f>
        <v>-</v>
      </c>
      <c r="F430" s="114">
        <f>VLOOKUP(C430,'Talente &amp; Stuff'!GX:HY,4,FALSE)</f>
        <v>0</v>
      </c>
      <c r="G430" s="113">
        <f>VLOOKUP(C430,'Talente &amp; Stuff'!GX:HY,5,FALSE)</f>
        <v>0</v>
      </c>
      <c r="H430" s="113">
        <f>VLOOKUP(C430,'Talente &amp; Stuff'!GX:HY,6,FALSE)</f>
        <v>0</v>
      </c>
      <c r="I430" s="113">
        <f>VLOOKUP(C430,'Talente &amp; Stuff'!GX:HY,7,FALSE)</f>
        <v>0</v>
      </c>
      <c r="J430" s="113">
        <f>VLOOKUP(C430,'Talente &amp; Stuff'!GX:HY,8,FALSE)</f>
        <v>0</v>
      </c>
      <c r="K430" s="113">
        <f>VLOOKUP(C430,'Talente &amp; Stuff'!GX:HY,9,FALSE)</f>
        <v>0</v>
      </c>
      <c r="L430" s="113">
        <f>VLOOKUP(C430,'Talente &amp; Stuff'!GX:HY,10,FALSE)</f>
        <v>0</v>
      </c>
      <c r="M430" s="119">
        <f>VLOOKUP(C430,'Talente &amp; Stuff'!GX:HY,11,FALSE)</f>
        <v>0</v>
      </c>
      <c r="N430" s="47">
        <f>VLOOKUP(C430,'Talente &amp; Stuff'!GX:HY,12,FALSE)</f>
        <v>0</v>
      </c>
      <c r="O430" s="47">
        <f>VLOOKUP(C430,'Talente &amp; Stuff'!GX:HY,13,FALSE)</f>
        <v>0</v>
      </c>
      <c r="P430" s="113">
        <f>VLOOKUP(C430,'Talente &amp; Stuff'!GX:HY,14,FALSE)</f>
        <v>0</v>
      </c>
      <c r="Q430" s="114">
        <f>VLOOKUP(C430,'Talente &amp; Stuff'!GX:HY,15,FALSE)</f>
        <v>0</v>
      </c>
      <c r="R430" s="113">
        <f>VLOOKUP(C430,'Talente &amp; Stuff'!GX:HY,16,FALSE)</f>
        <v>0</v>
      </c>
      <c r="S430" s="119">
        <f>VLOOKUP(C430,'Talente &amp; Stuff'!GX:HY,17,FALSE)</f>
        <v>0</v>
      </c>
      <c r="T430" s="160">
        <f>VLOOKUP(C430,'Talente &amp; Stuff'!GX:HY,18,FALSE)</f>
        <v>0</v>
      </c>
      <c r="U430" s="89">
        <f>VLOOKUP(C430,'Talente &amp; Stuff'!GX:HY,19,FALSE)</f>
        <v>0</v>
      </c>
      <c r="V430" s="47">
        <f>VLOOKUP(C430,'Talente &amp; Stuff'!GX:HY,20,FALSE)</f>
        <v>0</v>
      </c>
      <c r="W430" s="127">
        <f>VLOOKUP(C430,'Talente &amp; Stuff'!GX:HY,21,FALSE)</f>
        <v>0</v>
      </c>
      <c r="X430" s="127">
        <f>VLOOKUP(C430,'Talente &amp; Stuff'!GX:HY,22,FALSE)</f>
        <v>0</v>
      </c>
      <c r="Y430" s="165">
        <f t="shared" si="34"/>
        <v>0</v>
      </c>
      <c r="Z430" s="44">
        <f t="shared" si="35"/>
        <v>0</v>
      </c>
      <c r="AA430" s="125">
        <f>VLOOKUP(C430,'Talente &amp; Stuff'!GX:HY,25,FALSE)</f>
        <v>0</v>
      </c>
      <c r="AB430" s="160">
        <f>VLOOKUP(C430,'Talente &amp; Stuff'!GX:HY,26,FALSE)</f>
        <v>0</v>
      </c>
      <c r="AC430" s="127">
        <f>VLOOKUP(C430,'Talente &amp; Stuff'!GX:HY,27,FALSE)</f>
        <v>0</v>
      </c>
      <c r="AD430" s="125">
        <f>VLOOKUP(C430,'Talente &amp; Stuff'!GX:HY,28,FALSE)</f>
        <v>0</v>
      </c>
      <c r="AE430" s="28"/>
    </row>
    <row r="431" spans="2:31" ht="15" hidden="1" customHeight="1" outlineLevel="2">
      <c r="B431" s="148">
        <v>7</v>
      </c>
      <c r="C431" s="177" t="str">
        <f>Attribute!C431</f>
        <v>---</v>
      </c>
      <c r="D431" s="125" t="str">
        <f>VLOOKUP(C431,'Talente &amp; Stuff'!GX:HY,2,FALSE)</f>
        <v>--/--/--</v>
      </c>
      <c r="E431" s="47" t="str">
        <f>VLOOKUP(C431,'Talente &amp; Stuff'!GX:HY,3,FALSE)</f>
        <v>-</v>
      </c>
      <c r="F431" s="114">
        <f>VLOOKUP(C431,'Talente &amp; Stuff'!GX:HY,4,FALSE)</f>
        <v>0</v>
      </c>
      <c r="G431" s="113">
        <f>VLOOKUP(C431,'Talente &amp; Stuff'!GX:HY,5,FALSE)</f>
        <v>0</v>
      </c>
      <c r="H431" s="113">
        <f>VLOOKUP(C431,'Talente &amp; Stuff'!GX:HY,6,FALSE)</f>
        <v>0</v>
      </c>
      <c r="I431" s="113">
        <f>VLOOKUP(C431,'Talente &amp; Stuff'!GX:HY,7,FALSE)</f>
        <v>0</v>
      </c>
      <c r="J431" s="113">
        <f>VLOOKUP(C431,'Talente &amp; Stuff'!GX:HY,8,FALSE)</f>
        <v>0</v>
      </c>
      <c r="K431" s="113">
        <f>VLOOKUP(C431,'Talente &amp; Stuff'!GX:HY,9,FALSE)</f>
        <v>0</v>
      </c>
      <c r="L431" s="113">
        <f>VLOOKUP(C431,'Talente &amp; Stuff'!GX:HY,10,FALSE)</f>
        <v>0</v>
      </c>
      <c r="M431" s="119">
        <f>VLOOKUP(C431,'Talente &amp; Stuff'!GX:HY,11,FALSE)</f>
        <v>0</v>
      </c>
      <c r="N431" s="47">
        <f>VLOOKUP(C431,'Talente &amp; Stuff'!GX:HY,12,FALSE)</f>
        <v>0</v>
      </c>
      <c r="O431" s="47">
        <f>VLOOKUP(C431,'Talente &amp; Stuff'!GX:HY,13,FALSE)</f>
        <v>0</v>
      </c>
      <c r="P431" s="113">
        <f>VLOOKUP(C431,'Talente &amp; Stuff'!GX:HY,14,FALSE)</f>
        <v>0</v>
      </c>
      <c r="Q431" s="114">
        <f>VLOOKUP(C431,'Talente &amp; Stuff'!GX:HY,15,FALSE)</f>
        <v>0</v>
      </c>
      <c r="R431" s="113">
        <f>VLOOKUP(C431,'Talente &amp; Stuff'!GX:HY,16,FALSE)</f>
        <v>0</v>
      </c>
      <c r="S431" s="119">
        <f>VLOOKUP(C431,'Talente &amp; Stuff'!GX:HY,17,FALSE)</f>
        <v>0</v>
      </c>
      <c r="T431" s="160">
        <f>VLOOKUP(C431,'Talente &amp; Stuff'!GX:HY,18,FALSE)</f>
        <v>0</v>
      </c>
      <c r="U431" s="89">
        <f>VLOOKUP(C431,'Talente &amp; Stuff'!GX:HY,19,FALSE)</f>
        <v>0</v>
      </c>
      <c r="V431" s="47">
        <f>VLOOKUP(C431,'Talente &amp; Stuff'!GX:HY,20,FALSE)</f>
        <v>0</v>
      </c>
      <c r="W431" s="127">
        <f>VLOOKUP(C431,'Talente &amp; Stuff'!GX:HY,21,FALSE)</f>
        <v>0</v>
      </c>
      <c r="X431" s="127">
        <f>VLOOKUP(C431,'Talente &amp; Stuff'!GX:HY,22,FALSE)</f>
        <v>0</v>
      </c>
      <c r="Y431" s="165">
        <f t="shared" si="34"/>
        <v>0</v>
      </c>
      <c r="Z431" s="44">
        <f t="shared" si="35"/>
        <v>0</v>
      </c>
      <c r="AA431" s="125">
        <f>VLOOKUP(C431,'Talente &amp; Stuff'!GX:HY,25,FALSE)</f>
        <v>0</v>
      </c>
      <c r="AB431" s="160">
        <f>VLOOKUP(C431,'Talente &amp; Stuff'!GX:HY,26,FALSE)</f>
        <v>0</v>
      </c>
      <c r="AC431" s="127">
        <f>VLOOKUP(C431,'Talente &amp; Stuff'!GX:HY,27,FALSE)</f>
        <v>0</v>
      </c>
      <c r="AD431" s="125">
        <f>VLOOKUP(C431,'Talente &amp; Stuff'!GX:HY,28,FALSE)</f>
        <v>0</v>
      </c>
      <c r="AE431" s="28"/>
    </row>
    <row r="432" spans="2:31" ht="15" hidden="1" customHeight="1" outlineLevel="2">
      <c r="B432" s="148">
        <v>8</v>
      </c>
      <c r="C432" s="178" t="str">
        <f>Attribute!C432</f>
        <v>---</v>
      </c>
      <c r="D432" s="159" t="str">
        <f>VLOOKUP(C432,'Talente &amp; Stuff'!GX:HY,2,FALSE)</f>
        <v>--/--/--</v>
      </c>
      <c r="E432" s="88" t="str">
        <f>VLOOKUP(C432,'Talente &amp; Stuff'!GX:HY,3,FALSE)</f>
        <v>-</v>
      </c>
      <c r="F432" s="115">
        <f>VLOOKUP(C432,'Talente &amp; Stuff'!GX:HY,4,FALSE)</f>
        <v>0</v>
      </c>
      <c r="G432" s="122">
        <f>VLOOKUP(C432,'Talente &amp; Stuff'!GX:HY,5,FALSE)</f>
        <v>0</v>
      </c>
      <c r="H432" s="122">
        <f>VLOOKUP(C432,'Talente &amp; Stuff'!GX:HY,6,FALSE)</f>
        <v>0</v>
      </c>
      <c r="I432" s="122">
        <f>VLOOKUP(C432,'Talente &amp; Stuff'!GX:HY,7,FALSE)</f>
        <v>0</v>
      </c>
      <c r="J432" s="122">
        <f>VLOOKUP(C432,'Talente &amp; Stuff'!GX:HY,8,FALSE)</f>
        <v>0</v>
      </c>
      <c r="K432" s="122">
        <f>VLOOKUP(C432,'Talente &amp; Stuff'!GX:HY,9,FALSE)</f>
        <v>0</v>
      </c>
      <c r="L432" s="122">
        <f>VLOOKUP(C432,'Talente &amp; Stuff'!GX:HY,10,FALSE)</f>
        <v>0</v>
      </c>
      <c r="M432" s="123">
        <f>VLOOKUP(C432,'Talente &amp; Stuff'!GX:HY,11,FALSE)</f>
        <v>0</v>
      </c>
      <c r="N432" s="88">
        <f>VLOOKUP(C432,'Talente &amp; Stuff'!GX:HY,12,FALSE)</f>
        <v>0</v>
      </c>
      <c r="O432" s="88">
        <f>VLOOKUP(C432,'Talente &amp; Stuff'!GX:HY,13,FALSE)</f>
        <v>0</v>
      </c>
      <c r="P432" s="122">
        <f>VLOOKUP(C432,'Talente &amp; Stuff'!GX:HY,14,FALSE)</f>
        <v>0</v>
      </c>
      <c r="Q432" s="115">
        <f>VLOOKUP(C432,'Talente &amp; Stuff'!GX:HY,15,FALSE)</f>
        <v>0</v>
      </c>
      <c r="R432" s="122">
        <f>VLOOKUP(C432,'Talente &amp; Stuff'!GX:HY,16,FALSE)</f>
        <v>0</v>
      </c>
      <c r="S432" s="123">
        <f>VLOOKUP(C432,'Talente &amp; Stuff'!GX:HY,17,FALSE)</f>
        <v>0</v>
      </c>
      <c r="T432" s="161">
        <f>VLOOKUP(C432,'Talente &amp; Stuff'!GX:HY,18,FALSE)</f>
        <v>0</v>
      </c>
      <c r="U432" s="90">
        <f>VLOOKUP(C432,'Talente &amp; Stuff'!GX:HY,19,FALSE)</f>
        <v>0</v>
      </c>
      <c r="V432" s="88">
        <f>VLOOKUP(C432,'Talente &amp; Stuff'!GX:HY,20,FALSE)</f>
        <v>0</v>
      </c>
      <c r="W432" s="128">
        <f>VLOOKUP(C432,'Talente &amp; Stuff'!GX:HY,21,FALSE)</f>
        <v>0</v>
      </c>
      <c r="X432" s="128">
        <f>VLOOKUP(C432,'Talente &amp; Stuff'!GX:HY,22,FALSE)</f>
        <v>0</v>
      </c>
      <c r="Y432" s="165">
        <f t="shared" si="34"/>
        <v>0</v>
      </c>
      <c r="Z432" s="44">
        <f t="shared" si="35"/>
        <v>0</v>
      </c>
      <c r="AA432" s="159">
        <f>VLOOKUP(C432,'Talente &amp; Stuff'!GX:HY,25,FALSE)</f>
        <v>0</v>
      </c>
      <c r="AB432" s="161">
        <f>VLOOKUP(C432,'Talente &amp; Stuff'!GX:HY,26,FALSE)</f>
        <v>0</v>
      </c>
      <c r="AC432" s="128">
        <f>VLOOKUP(C432,'Talente &amp; Stuff'!GX:HY,27,FALSE)</f>
        <v>0</v>
      </c>
      <c r="AD432" s="159">
        <f>VLOOKUP(C432,'Talente &amp; Stuff'!GX:HY,28,FALSE)</f>
        <v>0</v>
      </c>
      <c r="AE432" s="28"/>
    </row>
    <row r="433" spans="1:31" ht="15" hidden="1" customHeight="1" outlineLevel="1" collapsed="1">
      <c r="B433" s="134" t="s">
        <v>322</v>
      </c>
      <c r="C433" s="83"/>
      <c r="D433" s="84"/>
      <c r="E433" s="84"/>
    </row>
    <row r="434" spans="1:31" ht="15" hidden="1" customHeight="1" outlineLevel="2">
      <c r="B434" s="148">
        <v>1</v>
      </c>
      <c r="C434" s="176" t="str">
        <f>Attribute!C434</f>
        <v>---</v>
      </c>
      <c r="D434" s="158" t="str">
        <f>VLOOKUP(C434,'Talente &amp; Stuff'!GX:HY,2,FALSE)</f>
        <v>--/--/--</v>
      </c>
      <c r="E434" s="116" t="str">
        <f>VLOOKUP(C434,'Talente &amp; Stuff'!GX:HY,3,FALSE)</f>
        <v>-</v>
      </c>
      <c r="F434" s="191">
        <f>VLOOKUP(C434,'Talente &amp; Stuff'!GX:HY,4,FALSE)</f>
        <v>0</v>
      </c>
      <c r="G434" s="118">
        <f>VLOOKUP(C434,'Talente &amp; Stuff'!GX:HY,5,FALSE)</f>
        <v>0</v>
      </c>
      <c r="H434" s="118">
        <f>VLOOKUP(C434,'Talente &amp; Stuff'!GX:HY,6,FALSE)</f>
        <v>0</v>
      </c>
      <c r="I434" s="118">
        <f>VLOOKUP(C434,'Talente &amp; Stuff'!GX:HY,7,FALSE)</f>
        <v>0</v>
      </c>
      <c r="J434" s="118">
        <f>VLOOKUP(C434,'Talente &amp; Stuff'!GX:HY,8,FALSE)</f>
        <v>0</v>
      </c>
      <c r="K434" s="118">
        <f>VLOOKUP(C434,'Talente &amp; Stuff'!GX:HY,9,FALSE)</f>
        <v>0</v>
      </c>
      <c r="L434" s="118">
        <f>VLOOKUP(C434,'Talente &amp; Stuff'!GX:HY,10,FALSE)</f>
        <v>0</v>
      </c>
      <c r="M434" s="92">
        <f>VLOOKUP(C434,'Talente &amp; Stuff'!GX:HY,11,FALSE)</f>
        <v>0</v>
      </c>
      <c r="N434" s="116">
        <f>VLOOKUP(C434,'Talente &amp; Stuff'!GX:HY,12,FALSE)</f>
        <v>0</v>
      </c>
      <c r="O434" s="116">
        <f>VLOOKUP(C434,'Talente &amp; Stuff'!GX:HY,13,FALSE)</f>
        <v>0</v>
      </c>
      <c r="P434" s="118">
        <f>VLOOKUP(C434,'Talente &amp; Stuff'!GX:HY,14,FALSE)</f>
        <v>0</v>
      </c>
      <c r="Q434" s="191">
        <f>VLOOKUP(C434,'Talente &amp; Stuff'!GX:HY,15,FALSE)</f>
        <v>0</v>
      </c>
      <c r="R434" s="118">
        <f>VLOOKUP(C434,'Talente &amp; Stuff'!GX:HY,16,FALSE)</f>
        <v>0</v>
      </c>
      <c r="S434" s="92">
        <f>VLOOKUP(C434,'Talente &amp; Stuff'!GX:HY,17,FALSE)</f>
        <v>0</v>
      </c>
      <c r="T434" s="91">
        <f>VLOOKUP(C434,'Talente &amp; Stuff'!GX:HY,18,FALSE)</f>
        <v>0</v>
      </c>
      <c r="U434" s="193">
        <f>VLOOKUP(C434,'Talente &amp; Stuff'!GX:HY,19,FALSE)</f>
        <v>0</v>
      </c>
      <c r="V434" s="116">
        <f>VLOOKUP(C434,'Talente &amp; Stuff'!GX:HY,20,FALSE)</f>
        <v>0</v>
      </c>
      <c r="W434" s="126">
        <f>VLOOKUP(C434,'Talente &amp; Stuff'!GX:HY,21,FALSE)</f>
        <v>0</v>
      </c>
      <c r="X434" s="126">
        <f>VLOOKUP(C434,'Talente &amp; Stuff'!GX:HY,22,FALSE)</f>
        <v>0</v>
      </c>
      <c r="Y434" s="175">
        <f t="shared" ref="Y434:Y439" si="36">VLOOKUP(C434,Ausgewählte_Liturgien_Praios,226,FALSE)</f>
        <v>0</v>
      </c>
      <c r="Z434" s="198">
        <f t="shared" ref="Z434:Z439" si="37">VLOOKUP(C434,Ausgewählte_Liturgien_Praios,227,FALSE)</f>
        <v>0</v>
      </c>
      <c r="AA434" s="158">
        <f>VLOOKUP(C434,'Talente &amp; Stuff'!GX:HY,25,FALSE)</f>
        <v>0</v>
      </c>
      <c r="AB434" s="91">
        <f>VLOOKUP(C434,'Talente &amp; Stuff'!GX:HY,26,FALSE)</f>
        <v>0</v>
      </c>
      <c r="AC434" s="126">
        <f>VLOOKUP(C434,'Talente &amp; Stuff'!GX:HY,27,FALSE)</f>
        <v>0</v>
      </c>
      <c r="AD434" s="158">
        <f>VLOOKUP(C434,'Talente &amp; Stuff'!GX:HY,28,FALSE)</f>
        <v>0</v>
      </c>
      <c r="AE434" s="28"/>
    </row>
    <row r="435" spans="1:31" ht="15" hidden="1" customHeight="1" outlineLevel="2">
      <c r="B435" s="148">
        <v>2</v>
      </c>
      <c r="C435" s="177" t="str">
        <f>Attribute!C435</f>
        <v>---</v>
      </c>
      <c r="D435" s="125" t="str">
        <f>VLOOKUP(C435,'Talente &amp; Stuff'!GX:HY,2,FALSE)</f>
        <v>--/--/--</v>
      </c>
      <c r="E435" s="47" t="str">
        <f>VLOOKUP(C435,'Talente &amp; Stuff'!GX:HY,3,FALSE)</f>
        <v>-</v>
      </c>
      <c r="F435" s="114">
        <f>VLOOKUP(C435,'Talente &amp; Stuff'!GX:HY,4,FALSE)</f>
        <v>0</v>
      </c>
      <c r="G435" s="113">
        <f>VLOOKUP(C435,'Talente &amp; Stuff'!GX:HY,5,FALSE)</f>
        <v>0</v>
      </c>
      <c r="H435" s="113">
        <f>VLOOKUP(C435,'Talente &amp; Stuff'!GX:HY,6,FALSE)</f>
        <v>0</v>
      </c>
      <c r="I435" s="113">
        <f>VLOOKUP(C435,'Talente &amp; Stuff'!GX:HY,7,FALSE)</f>
        <v>0</v>
      </c>
      <c r="J435" s="113">
        <f>VLOOKUP(C435,'Talente &amp; Stuff'!GX:HY,8,FALSE)</f>
        <v>0</v>
      </c>
      <c r="K435" s="113">
        <f>VLOOKUP(C435,'Talente &amp; Stuff'!GX:HY,9,FALSE)</f>
        <v>0</v>
      </c>
      <c r="L435" s="113">
        <f>VLOOKUP(C435,'Talente &amp; Stuff'!GX:HY,10,FALSE)</f>
        <v>0</v>
      </c>
      <c r="M435" s="119">
        <f>VLOOKUP(C435,'Talente &amp; Stuff'!GX:HY,11,FALSE)</f>
        <v>0</v>
      </c>
      <c r="N435" s="47">
        <f>VLOOKUP(C435,'Talente &amp; Stuff'!GX:HY,12,FALSE)</f>
        <v>0</v>
      </c>
      <c r="O435" s="47">
        <f>VLOOKUP(C435,'Talente &amp; Stuff'!GX:HY,13,FALSE)</f>
        <v>0</v>
      </c>
      <c r="P435" s="113">
        <f>VLOOKUP(C435,'Talente &amp; Stuff'!GX:HY,14,FALSE)</f>
        <v>0</v>
      </c>
      <c r="Q435" s="114">
        <f>VLOOKUP(C435,'Talente &amp; Stuff'!GX:HY,15,FALSE)</f>
        <v>0</v>
      </c>
      <c r="R435" s="113">
        <f>VLOOKUP(C435,'Talente &amp; Stuff'!GX:HY,16,FALSE)</f>
        <v>0</v>
      </c>
      <c r="S435" s="119">
        <f>VLOOKUP(C435,'Talente &amp; Stuff'!GX:HY,17,FALSE)</f>
        <v>0</v>
      </c>
      <c r="T435" s="160">
        <f>VLOOKUP(C435,'Talente &amp; Stuff'!GX:HY,18,FALSE)</f>
        <v>0</v>
      </c>
      <c r="U435" s="89">
        <f>VLOOKUP(C435,'Talente &amp; Stuff'!GX:HY,19,FALSE)</f>
        <v>0</v>
      </c>
      <c r="V435" s="47">
        <f>VLOOKUP(C435,'Talente &amp; Stuff'!GX:HY,20,FALSE)</f>
        <v>0</v>
      </c>
      <c r="W435" s="127">
        <f>VLOOKUP(C435,'Talente &amp; Stuff'!GX:HY,21,FALSE)</f>
        <v>0</v>
      </c>
      <c r="X435" s="127">
        <f>VLOOKUP(C435,'Talente &amp; Stuff'!GX:HY,22,FALSE)</f>
        <v>0</v>
      </c>
      <c r="Y435" s="175">
        <f t="shared" si="36"/>
        <v>0</v>
      </c>
      <c r="Z435" s="198">
        <f t="shared" si="37"/>
        <v>0</v>
      </c>
      <c r="AA435" s="125">
        <f>VLOOKUP(C435,'Talente &amp; Stuff'!GX:HY,25,FALSE)</f>
        <v>0</v>
      </c>
      <c r="AB435" s="160">
        <f>VLOOKUP(C435,'Talente &amp; Stuff'!GX:HY,26,FALSE)</f>
        <v>0</v>
      </c>
      <c r="AC435" s="127">
        <f>VLOOKUP(C435,'Talente &amp; Stuff'!GX:HY,27,FALSE)</f>
        <v>0</v>
      </c>
      <c r="AD435" s="125">
        <f>VLOOKUP(C435,'Talente &amp; Stuff'!GX:HY,28,FALSE)</f>
        <v>0</v>
      </c>
      <c r="AE435" s="28"/>
    </row>
    <row r="436" spans="1:31" ht="15" hidden="1" customHeight="1" outlineLevel="2">
      <c r="B436" s="148">
        <v>3</v>
      </c>
      <c r="C436" s="177" t="str">
        <f>Attribute!C436</f>
        <v>---</v>
      </c>
      <c r="D436" s="125" t="str">
        <f>VLOOKUP(C436,'Talente &amp; Stuff'!GX:HY,2,FALSE)</f>
        <v>--/--/--</v>
      </c>
      <c r="E436" s="47" t="str">
        <f>VLOOKUP(C436,'Talente &amp; Stuff'!GX:HY,3,FALSE)</f>
        <v>-</v>
      </c>
      <c r="F436" s="114">
        <f>VLOOKUP(C436,'Talente &amp; Stuff'!GX:HY,4,FALSE)</f>
        <v>0</v>
      </c>
      <c r="G436" s="113">
        <f>VLOOKUP(C436,'Talente &amp; Stuff'!GX:HY,5,FALSE)</f>
        <v>0</v>
      </c>
      <c r="H436" s="113">
        <f>VLOOKUP(C436,'Talente &amp; Stuff'!GX:HY,6,FALSE)</f>
        <v>0</v>
      </c>
      <c r="I436" s="113">
        <f>VLOOKUP(C436,'Talente &amp; Stuff'!GX:HY,7,FALSE)</f>
        <v>0</v>
      </c>
      <c r="J436" s="113">
        <f>VLOOKUP(C436,'Talente &amp; Stuff'!GX:HY,8,FALSE)</f>
        <v>0</v>
      </c>
      <c r="K436" s="113">
        <f>VLOOKUP(C436,'Talente &amp; Stuff'!GX:HY,9,FALSE)</f>
        <v>0</v>
      </c>
      <c r="L436" s="113">
        <f>VLOOKUP(C436,'Talente &amp; Stuff'!GX:HY,10,FALSE)</f>
        <v>0</v>
      </c>
      <c r="M436" s="119">
        <f>VLOOKUP(C436,'Talente &amp; Stuff'!GX:HY,11,FALSE)</f>
        <v>0</v>
      </c>
      <c r="N436" s="47">
        <f>VLOOKUP(C436,'Talente &amp; Stuff'!GX:HY,12,FALSE)</f>
        <v>0</v>
      </c>
      <c r="O436" s="47">
        <f>VLOOKUP(C436,'Talente &amp; Stuff'!GX:HY,13,FALSE)</f>
        <v>0</v>
      </c>
      <c r="P436" s="113">
        <f>VLOOKUP(C436,'Talente &amp; Stuff'!GX:HY,14,FALSE)</f>
        <v>0</v>
      </c>
      <c r="Q436" s="114">
        <f>VLOOKUP(C436,'Talente &amp; Stuff'!GX:HY,15,FALSE)</f>
        <v>0</v>
      </c>
      <c r="R436" s="113">
        <f>VLOOKUP(C436,'Talente &amp; Stuff'!GX:HY,16,FALSE)</f>
        <v>0</v>
      </c>
      <c r="S436" s="119">
        <f>VLOOKUP(C436,'Talente &amp; Stuff'!GX:HY,17,FALSE)</f>
        <v>0</v>
      </c>
      <c r="T436" s="160">
        <f>VLOOKUP(C436,'Talente &amp; Stuff'!GX:HY,18,FALSE)</f>
        <v>0</v>
      </c>
      <c r="U436" s="89">
        <f>VLOOKUP(C436,'Talente &amp; Stuff'!GX:HY,19,FALSE)</f>
        <v>0</v>
      </c>
      <c r="V436" s="47">
        <f>VLOOKUP(C436,'Talente &amp; Stuff'!GX:HY,20,FALSE)</f>
        <v>0</v>
      </c>
      <c r="W436" s="127">
        <f>VLOOKUP(C436,'Talente &amp; Stuff'!GX:HY,21,FALSE)</f>
        <v>0</v>
      </c>
      <c r="X436" s="127">
        <f>VLOOKUP(C436,'Talente &amp; Stuff'!GX:HY,22,FALSE)</f>
        <v>0</v>
      </c>
      <c r="Y436" s="175">
        <f t="shared" si="36"/>
        <v>0</v>
      </c>
      <c r="Z436" s="198">
        <f t="shared" si="37"/>
        <v>0</v>
      </c>
      <c r="AA436" s="125">
        <f>VLOOKUP(C436,'Talente &amp; Stuff'!GX:HY,25,FALSE)</f>
        <v>0</v>
      </c>
      <c r="AB436" s="160">
        <f>VLOOKUP(C436,'Talente &amp; Stuff'!GX:HY,26,FALSE)</f>
        <v>0</v>
      </c>
      <c r="AC436" s="127">
        <f>VLOOKUP(C436,'Talente &amp; Stuff'!GX:HY,27,FALSE)</f>
        <v>0</v>
      </c>
      <c r="AD436" s="125">
        <f>VLOOKUP(C436,'Talente &amp; Stuff'!GX:HY,28,FALSE)</f>
        <v>0</v>
      </c>
      <c r="AE436" s="28"/>
    </row>
    <row r="437" spans="1:31" ht="15" hidden="1" customHeight="1" outlineLevel="2">
      <c r="B437" s="148">
        <v>4</v>
      </c>
      <c r="C437" s="177" t="str">
        <f>Attribute!C437</f>
        <v>---</v>
      </c>
      <c r="D437" s="125" t="str">
        <f>VLOOKUP(C437,'Talente &amp; Stuff'!GX:HY,2,FALSE)</f>
        <v>--/--/--</v>
      </c>
      <c r="E437" s="47" t="str">
        <f>VLOOKUP(C437,'Talente &amp; Stuff'!GX:HY,3,FALSE)</f>
        <v>-</v>
      </c>
      <c r="F437" s="114">
        <f>VLOOKUP(C437,'Talente &amp; Stuff'!GX:HY,4,FALSE)</f>
        <v>0</v>
      </c>
      <c r="G437" s="113">
        <f>VLOOKUP(C437,'Talente &amp; Stuff'!GX:HY,5,FALSE)</f>
        <v>0</v>
      </c>
      <c r="H437" s="113">
        <f>VLOOKUP(C437,'Talente &amp; Stuff'!GX:HY,6,FALSE)</f>
        <v>0</v>
      </c>
      <c r="I437" s="113">
        <f>VLOOKUP(C437,'Talente &amp; Stuff'!GX:HY,7,FALSE)</f>
        <v>0</v>
      </c>
      <c r="J437" s="113">
        <f>VLOOKUP(C437,'Talente &amp; Stuff'!GX:HY,8,FALSE)</f>
        <v>0</v>
      </c>
      <c r="K437" s="113">
        <f>VLOOKUP(C437,'Talente &amp; Stuff'!GX:HY,9,FALSE)</f>
        <v>0</v>
      </c>
      <c r="L437" s="113">
        <f>VLOOKUP(C437,'Talente &amp; Stuff'!GX:HY,10,FALSE)</f>
        <v>0</v>
      </c>
      <c r="M437" s="119">
        <f>VLOOKUP(C437,'Talente &amp; Stuff'!GX:HY,11,FALSE)</f>
        <v>0</v>
      </c>
      <c r="N437" s="47">
        <f>VLOOKUP(C437,'Talente &amp; Stuff'!GX:HY,12,FALSE)</f>
        <v>0</v>
      </c>
      <c r="O437" s="47">
        <f>VLOOKUP(C437,'Talente &amp; Stuff'!GX:HY,13,FALSE)</f>
        <v>0</v>
      </c>
      <c r="P437" s="113">
        <f>VLOOKUP(C437,'Talente &amp; Stuff'!GX:HY,14,FALSE)</f>
        <v>0</v>
      </c>
      <c r="Q437" s="114">
        <f>VLOOKUP(C437,'Talente &amp; Stuff'!GX:HY,15,FALSE)</f>
        <v>0</v>
      </c>
      <c r="R437" s="113">
        <f>VLOOKUP(C437,'Talente &amp; Stuff'!GX:HY,16,FALSE)</f>
        <v>0</v>
      </c>
      <c r="S437" s="119">
        <f>VLOOKUP(C437,'Talente &amp; Stuff'!GX:HY,17,FALSE)</f>
        <v>0</v>
      </c>
      <c r="T437" s="160">
        <f>VLOOKUP(C437,'Talente &amp; Stuff'!GX:HY,18,FALSE)</f>
        <v>0</v>
      </c>
      <c r="U437" s="89">
        <f>VLOOKUP(C437,'Talente &amp; Stuff'!GX:HY,19,FALSE)</f>
        <v>0</v>
      </c>
      <c r="V437" s="47">
        <f>VLOOKUP(C437,'Talente &amp; Stuff'!GX:HY,20,FALSE)</f>
        <v>0</v>
      </c>
      <c r="W437" s="127">
        <f>VLOOKUP(C437,'Talente &amp; Stuff'!GX:HY,21,FALSE)</f>
        <v>0</v>
      </c>
      <c r="X437" s="127">
        <f>VLOOKUP(C437,'Talente &amp; Stuff'!GX:HY,22,FALSE)</f>
        <v>0</v>
      </c>
      <c r="Y437" s="175">
        <f t="shared" si="36"/>
        <v>0</v>
      </c>
      <c r="Z437" s="198">
        <f t="shared" si="37"/>
        <v>0</v>
      </c>
      <c r="AA437" s="125">
        <f>VLOOKUP(C437,'Talente &amp; Stuff'!GX:HY,25,FALSE)</f>
        <v>0</v>
      </c>
      <c r="AB437" s="160">
        <f>VLOOKUP(C437,'Talente &amp; Stuff'!GX:HY,26,FALSE)</f>
        <v>0</v>
      </c>
      <c r="AC437" s="127">
        <f>VLOOKUP(C437,'Talente &amp; Stuff'!GX:HY,27,FALSE)</f>
        <v>0</v>
      </c>
      <c r="AD437" s="125">
        <f>VLOOKUP(C437,'Talente &amp; Stuff'!GX:HY,28,FALSE)</f>
        <v>0</v>
      </c>
      <c r="AE437" s="28"/>
    </row>
    <row r="438" spans="1:31" ht="15" hidden="1" customHeight="1" outlineLevel="2">
      <c r="B438" s="148">
        <v>5</v>
      </c>
      <c r="C438" s="177" t="str">
        <f>Attribute!C438</f>
        <v>---</v>
      </c>
      <c r="D438" s="125" t="str">
        <f>VLOOKUP(C438,'Talente &amp; Stuff'!GX:HY,2,FALSE)</f>
        <v>--/--/--</v>
      </c>
      <c r="E438" s="47" t="str">
        <f>VLOOKUP(C438,'Talente &amp; Stuff'!GX:HY,3,FALSE)</f>
        <v>-</v>
      </c>
      <c r="F438" s="114">
        <f>VLOOKUP(C438,'Talente &amp; Stuff'!GX:HY,4,FALSE)</f>
        <v>0</v>
      </c>
      <c r="G438" s="113">
        <f>VLOOKUP(C438,'Talente &amp; Stuff'!GX:HY,5,FALSE)</f>
        <v>0</v>
      </c>
      <c r="H438" s="113">
        <f>VLOOKUP(C438,'Talente &amp; Stuff'!GX:HY,6,FALSE)</f>
        <v>0</v>
      </c>
      <c r="I438" s="113">
        <f>VLOOKUP(C438,'Talente &amp; Stuff'!GX:HY,7,FALSE)</f>
        <v>0</v>
      </c>
      <c r="J438" s="113">
        <f>VLOOKUP(C438,'Talente &amp; Stuff'!GX:HY,8,FALSE)</f>
        <v>0</v>
      </c>
      <c r="K438" s="113">
        <f>VLOOKUP(C438,'Talente &amp; Stuff'!GX:HY,9,FALSE)</f>
        <v>0</v>
      </c>
      <c r="L438" s="113">
        <f>VLOOKUP(C438,'Talente &amp; Stuff'!GX:HY,10,FALSE)</f>
        <v>0</v>
      </c>
      <c r="M438" s="119">
        <f>VLOOKUP(C438,'Talente &amp; Stuff'!GX:HY,11,FALSE)</f>
        <v>0</v>
      </c>
      <c r="N438" s="47">
        <f>VLOOKUP(C438,'Talente &amp; Stuff'!GX:HY,12,FALSE)</f>
        <v>0</v>
      </c>
      <c r="O438" s="47">
        <f>VLOOKUP(C438,'Talente &amp; Stuff'!GX:HY,13,FALSE)</f>
        <v>0</v>
      </c>
      <c r="P438" s="113">
        <f>VLOOKUP(C438,'Talente &amp; Stuff'!GX:HY,14,FALSE)</f>
        <v>0</v>
      </c>
      <c r="Q438" s="114">
        <f>VLOOKUP(C438,'Talente &amp; Stuff'!GX:HY,15,FALSE)</f>
        <v>0</v>
      </c>
      <c r="R438" s="113">
        <f>VLOOKUP(C438,'Talente &amp; Stuff'!GX:HY,16,FALSE)</f>
        <v>0</v>
      </c>
      <c r="S438" s="119">
        <f>VLOOKUP(C438,'Talente &amp; Stuff'!GX:HY,17,FALSE)</f>
        <v>0</v>
      </c>
      <c r="T438" s="160">
        <f>VLOOKUP(C438,'Talente &amp; Stuff'!GX:HY,18,FALSE)</f>
        <v>0</v>
      </c>
      <c r="U438" s="89">
        <f>VLOOKUP(C438,'Talente &amp; Stuff'!GX:HY,19,FALSE)</f>
        <v>0</v>
      </c>
      <c r="V438" s="47">
        <f>VLOOKUP(C438,'Talente &amp; Stuff'!GX:HY,20,FALSE)</f>
        <v>0</v>
      </c>
      <c r="W438" s="127">
        <f>VLOOKUP(C438,'Talente &amp; Stuff'!GX:HY,21,FALSE)</f>
        <v>0</v>
      </c>
      <c r="X438" s="127">
        <f>VLOOKUP(C438,'Talente &amp; Stuff'!GX:HY,22,FALSE)</f>
        <v>0</v>
      </c>
      <c r="Y438" s="175">
        <f t="shared" si="36"/>
        <v>0</v>
      </c>
      <c r="Z438" s="198">
        <f t="shared" si="37"/>
        <v>0</v>
      </c>
      <c r="AA438" s="125">
        <f>VLOOKUP(C438,'Talente &amp; Stuff'!GX:HY,25,FALSE)</f>
        <v>0</v>
      </c>
      <c r="AB438" s="160">
        <f>VLOOKUP(C438,'Talente &amp; Stuff'!GX:HY,26,FALSE)</f>
        <v>0</v>
      </c>
      <c r="AC438" s="127">
        <f>VLOOKUP(C438,'Talente &amp; Stuff'!GX:HY,27,FALSE)</f>
        <v>0</v>
      </c>
      <c r="AD438" s="125">
        <f>VLOOKUP(C438,'Talente &amp; Stuff'!GX:HY,28,FALSE)</f>
        <v>0</v>
      </c>
      <c r="AE438" s="28"/>
    </row>
    <row r="439" spans="1:31" ht="15" hidden="1" customHeight="1" outlineLevel="2">
      <c r="B439" s="148">
        <v>6</v>
      </c>
      <c r="C439" s="178" t="str">
        <f>Attribute!C439</f>
        <v>---</v>
      </c>
      <c r="D439" s="159" t="str">
        <f>VLOOKUP(C439,'Talente &amp; Stuff'!GX:HY,2,FALSE)</f>
        <v>--/--/--</v>
      </c>
      <c r="E439" s="88" t="str">
        <f>VLOOKUP(C439,'Talente &amp; Stuff'!GX:HY,3,FALSE)</f>
        <v>-</v>
      </c>
      <c r="F439" s="115">
        <f>VLOOKUP(C439,'Talente &amp; Stuff'!GX:HY,4,FALSE)</f>
        <v>0</v>
      </c>
      <c r="G439" s="122">
        <f>VLOOKUP(C439,'Talente &amp; Stuff'!GX:HY,5,FALSE)</f>
        <v>0</v>
      </c>
      <c r="H439" s="122">
        <f>VLOOKUP(C439,'Talente &amp; Stuff'!GX:HY,6,FALSE)</f>
        <v>0</v>
      </c>
      <c r="I439" s="122">
        <f>VLOOKUP(C439,'Talente &amp; Stuff'!GX:HY,7,FALSE)</f>
        <v>0</v>
      </c>
      <c r="J439" s="122">
        <f>VLOOKUP(C439,'Talente &amp; Stuff'!GX:HY,8,FALSE)</f>
        <v>0</v>
      </c>
      <c r="K439" s="122">
        <f>VLOOKUP(C439,'Talente &amp; Stuff'!GX:HY,9,FALSE)</f>
        <v>0</v>
      </c>
      <c r="L439" s="122">
        <f>VLOOKUP(C439,'Talente &amp; Stuff'!GX:HY,10,FALSE)</f>
        <v>0</v>
      </c>
      <c r="M439" s="123">
        <f>VLOOKUP(C439,'Talente &amp; Stuff'!GX:HY,11,FALSE)</f>
        <v>0</v>
      </c>
      <c r="N439" s="88">
        <f>VLOOKUP(C439,'Talente &amp; Stuff'!GX:HY,12,FALSE)</f>
        <v>0</v>
      </c>
      <c r="O439" s="88">
        <f>VLOOKUP(C439,'Talente &amp; Stuff'!GX:HY,13,FALSE)</f>
        <v>0</v>
      </c>
      <c r="P439" s="122">
        <f>VLOOKUP(C439,'Talente &amp; Stuff'!GX:HY,14,FALSE)</f>
        <v>0</v>
      </c>
      <c r="Q439" s="115">
        <f>VLOOKUP(C439,'Talente &amp; Stuff'!GX:HY,15,FALSE)</f>
        <v>0</v>
      </c>
      <c r="R439" s="122">
        <f>VLOOKUP(C439,'Talente &amp; Stuff'!GX:HY,16,FALSE)</f>
        <v>0</v>
      </c>
      <c r="S439" s="123">
        <f>VLOOKUP(C439,'Talente &amp; Stuff'!GX:HY,17,FALSE)</f>
        <v>0</v>
      </c>
      <c r="T439" s="161">
        <f>VLOOKUP(C439,'Talente &amp; Stuff'!GX:HY,18,FALSE)</f>
        <v>0</v>
      </c>
      <c r="U439" s="90">
        <f>VLOOKUP(C439,'Talente &amp; Stuff'!GX:HY,19,FALSE)</f>
        <v>0</v>
      </c>
      <c r="V439" s="88">
        <f>VLOOKUP(C439,'Talente &amp; Stuff'!GX:HY,20,FALSE)</f>
        <v>0</v>
      </c>
      <c r="W439" s="128">
        <f>VLOOKUP(C439,'Talente &amp; Stuff'!GX:HY,21,FALSE)</f>
        <v>0</v>
      </c>
      <c r="X439" s="128">
        <f>VLOOKUP(C439,'Talente &amp; Stuff'!GX:HY,22,FALSE)</f>
        <v>0</v>
      </c>
      <c r="Y439" s="175">
        <f t="shared" si="36"/>
        <v>0</v>
      </c>
      <c r="Z439" s="198">
        <f t="shared" si="37"/>
        <v>0</v>
      </c>
      <c r="AA439" s="159">
        <f>VLOOKUP(C439,'Talente &amp; Stuff'!GX:HY,25,FALSE)</f>
        <v>0</v>
      </c>
      <c r="AB439" s="161">
        <f>VLOOKUP(C439,'Talente &amp; Stuff'!GX:HY,26,FALSE)</f>
        <v>0</v>
      </c>
      <c r="AC439" s="128">
        <f>VLOOKUP(C439,'Talente &amp; Stuff'!GX:HY,27,FALSE)</f>
        <v>0</v>
      </c>
      <c r="AD439" s="159">
        <f>VLOOKUP(C439,'Talente &amp; Stuff'!GX:HY,28,FALSE)</f>
        <v>0</v>
      </c>
      <c r="AE439" s="28"/>
    </row>
    <row r="440" spans="1:31" ht="15" hidden="1" customHeight="1" outlineLevel="1" collapsed="1">
      <c r="B440" s="134" t="s">
        <v>321</v>
      </c>
      <c r="C440" s="83"/>
      <c r="D440" s="84"/>
      <c r="E440" s="84"/>
    </row>
    <row r="441" spans="1:31" ht="15" hidden="1" customHeight="1" outlineLevel="2">
      <c r="B441" s="148">
        <v>1</v>
      </c>
      <c r="C441" s="176" t="str">
        <f>Attribute!C441</f>
        <v>---</v>
      </c>
      <c r="D441" s="158" t="str">
        <f>VLOOKUP(C441,'Talente &amp; Stuff'!GX:HY,2,FALSE)</f>
        <v>--/--/--</v>
      </c>
      <c r="E441" s="116" t="str">
        <f>VLOOKUP(C441,'Talente &amp; Stuff'!GX:HY,3,FALSE)</f>
        <v>-</v>
      </c>
      <c r="F441" s="191">
        <f>VLOOKUP(C441,'Talente &amp; Stuff'!GX:HY,4,FALSE)</f>
        <v>0</v>
      </c>
      <c r="G441" s="118">
        <f>VLOOKUP(C441,'Talente &amp; Stuff'!GX:HY,5,FALSE)</f>
        <v>0</v>
      </c>
      <c r="H441" s="118">
        <f>VLOOKUP(C441,'Talente &amp; Stuff'!GX:HY,6,FALSE)</f>
        <v>0</v>
      </c>
      <c r="I441" s="118">
        <f>VLOOKUP(C441,'Talente &amp; Stuff'!GX:HY,7,FALSE)</f>
        <v>0</v>
      </c>
      <c r="J441" s="118">
        <f>VLOOKUP(C441,'Talente &amp; Stuff'!GX:HY,8,FALSE)</f>
        <v>0</v>
      </c>
      <c r="K441" s="118">
        <f>VLOOKUP(C441,'Talente &amp; Stuff'!GX:HY,9,FALSE)</f>
        <v>0</v>
      </c>
      <c r="L441" s="118">
        <f>VLOOKUP(C441,'Talente &amp; Stuff'!GX:HY,10,FALSE)</f>
        <v>0</v>
      </c>
      <c r="M441" s="92">
        <f>VLOOKUP(C441,'Talente &amp; Stuff'!GX:HY,11,FALSE)</f>
        <v>0</v>
      </c>
      <c r="N441" s="116">
        <f>VLOOKUP(C441,'Talente &amp; Stuff'!GX:HY,12,FALSE)</f>
        <v>0</v>
      </c>
      <c r="O441" s="116">
        <f>VLOOKUP(C441,'Talente &amp; Stuff'!GX:HY,13,FALSE)</f>
        <v>0</v>
      </c>
      <c r="P441" s="118">
        <f>VLOOKUP(C441,'Talente &amp; Stuff'!GX:HY,14,FALSE)</f>
        <v>0</v>
      </c>
      <c r="Q441" s="191">
        <f>VLOOKUP(C441,'Talente &amp; Stuff'!GX:HY,15,FALSE)</f>
        <v>0</v>
      </c>
      <c r="R441" s="118">
        <f>VLOOKUP(C441,'Talente &amp; Stuff'!GX:HY,16,FALSE)</f>
        <v>0</v>
      </c>
      <c r="S441" s="92">
        <f>VLOOKUP(C441,'Talente &amp; Stuff'!GX:HY,17,FALSE)</f>
        <v>0</v>
      </c>
      <c r="T441" s="91">
        <f>VLOOKUP(C441,'Talente &amp; Stuff'!GX:HY,18,FALSE)</f>
        <v>0</v>
      </c>
      <c r="U441" s="193">
        <f>VLOOKUP(C441,'Talente &amp; Stuff'!GX:HY,19,FALSE)</f>
        <v>0</v>
      </c>
      <c r="V441" s="116">
        <f>VLOOKUP(C441,'Talente &amp; Stuff'!GX:HY,20,FALSE)</f>
        <v>0</v>
      </c>
      <c r="W441" s="126">
        <f>VLOOKUP(C441,'Talente &amp; Stuff'!GX:HY,21,FALSE)</f>
        <v>0</v>
      </c>
      <c r="X441" s="126">
        <f>VLOOKUP(C441,'Talente &amp; Stuff'!GX:HY,22,FALSE)</f>
        <v>0</v>
      </c>
      <c r="Y441" s="165">
        <f>VLOOKUP(C441,Ausgewählte_Liturgien_Rondra,226,FALSE)</f>
        <v>0</v>
      </c>
      <c r="Z441" s="44">
        <f>VLOOKUP(C441,Ausgewählte_Liturgien_Rondra,227,FALSE)</f>
        <v>0</v>
      </c>
      <c r="AA441" s="158">
        <f>VLOOKUP(C441,'Talente &amp; Stuff'!GX:HY,25,FALSE)</f>
        <v>0</v>
      </c>
      <c r="AB441" s="91">
        <f>VLOOKUP(C441,'Talente &amp; Stuff'!GX:HY,26,FALSE)</f>
        <v>0</v>
      </c>
      <c r="AC441" s="126">
        <f>VLOOKUP(C441,'Talente &amp; Stuff'!GX:HY,27,FALSE)</f>
        <v>0</v>
      </c>
      <c r="AD441" s="158">
        <f>VLOOKUP(C441,'Talente &amp; Stuff'!GX:HY,28,FALSE)</f>
        <v>0</v>
      </c>
      <c r="AE441" s="28"/>
    </row>
    <row r="442" spans="1:31" ht="15" hidden="1" customHeight="1" outlineLevel="2">
      <c r="B442" s="148">
        <v>2</v>
      </c>
      <c r="C442" s="177" t="str">
        <f>Attribute!C442</f>
        <v>---</v>
      </c>
      <c r="D442" s="125" t="str">
        <f>VLOOKUP(C442,'Talente &amp; Stuff'!GX:HY,2,FALSE)</f>
        <v>--/--/--</v>
      </c>
      <c r="E442" s="47" t="str">
        <f>VLOOKUP(C442,'Talente &amp; Stuff'!GX:HY,3,FALSE)</f>
        <v>-</v>
      </c>
      <c r="F442" s="114">
        <f>VLOOKUP(C442,'Talente &amp; Stuff'!GX:HY,4,FALSE)</f>
        <v>0</v>
      </c>
      <c r="G442" s="113">
        <f>VLOOKUP(C442,'Talente &amp; Stuff'!GX:HY,5,FALSE)</f>
        <v>0</v>
      </c>
      <c r="H442" s="113">
        <f>VLOOKUP(C442,'Talente &amp; Stuff'!GX:HY,6,FALSE)</f>
        <v>0</v>
      </c>
      <c r="I442" s="113">
        <f>VLOOKUP(C442,'Talente &amp; Stuff'!GX:HY,7,FALSE)</f>
        <v>0</v>
      </c>
      <c r="J442" s="113">
        <f>VLOOKUP(C442,'Talente &amp; Stuff'!GX:HY,8,FALSE)</f>
        <v>0</v>
      </c>
      <c r="K442" s="113">
        <f>VLOOKUP(C442,'Talente &amp; Stuff'!GX:HY,9,FALSE)</f>
        <v>0</v>
      </c>
      <c r="L442" s="113">
        <f>VLOOKUP(C442,'Talente &amp; Stuff'!GX:HY,10,FALSE)</f>
        <v>0</v>
      </c>
      <c r="M442" s="119">
        <f>VLOOKUP(C442,'Talente &amp; Stuff'!GX:HY,11,FALSE)</f>
        <v>0</v>
      </c>
      <c r="N442" s="47">
        <f>VLOOKUP(C442,'Talente &amp; Stuff'!GX:HY,12,FALSE)</f>
        <v>0</v>
      </c>
      <c r="O442" s="47">
        <f>VLOOKUP(C442,'Talente &amp; Stuff'!GX:HY,13,FALSE)</f>
        <v>0</v>
      </c>
      <c r="P442" s="113">
        <f>VLOOKUP(C442,'Talente &amp; Stuff'!GX:HY,14,FALSE)</f>
        <v>0</v>
      </c>
      <c r="Q442" s="114">
        <f>VLOOKUP(C442,'Talente &amp; Stuff'!GX:HY,15,FALSE)</f>
        <v>0</v>
      </c>
      <c r="R442" s="113">
        <f>VLOOKUP(C442,'Talente &amp; Stuff'!GX:HY,16,FALSE)</f>
        <v>0</v>
      </c>
      <c r="S442" s="119">
        <f>VLOOKUP(C442,'Talente &amp; Stuff'!GX:HY,17,FALSE)</f>
        <v>0</v>
      </c>
      <c r="T442" s="160">
        <f>VLOOKUP(C442,'Talente &amp; Stuff'!GX:HY,18,FALSE)</f>
        <v>0</v>
      </c>
      <c r="U442" s="89">
        <f>VLOOKUP(C442,'Talente &amp; Stuff'!GX:HY,19,FALSE)</f>
        <v>0</v>
      </c>
      <c r="V442" s="47">
        <f>VLOOKUP(C442,'Talente &amp; Stuff'!GX:HY,20,FALSE)</f>
        <v>0</v>
      </c>
      <c r="W442" s="127">
        <f>VLOOKUP(C442,'Talente &amp; Stuff'!GX:HY,21,FALSE)</f>
        <v>0</v>
      </c>
      <c r="X442" s="127">
        <f>VLOOKUP(C442,'Talente &amp; Stuff'!GX:HY,22,FALSE)</f>
        <v>0</v>
      </c>
      <c r="Y442" s="165">
        <f>VLOOKUP(C442,Ausgewählte_Liturgien_Rondra,226,FALSE)</f>
        <v>0</v>
      </c>
      <c r="Z442" s="44">
        <f>VLOOKUP(C442,Ausgewählte_Liturgien_Rondra,227,FALSE)</f>
        <v>0</v>
      </c>
      <c r="AA442" s="125">
        <f>VLOOKUP(C442,'Talente &amp; Stuff'!GX:HY,25,FALSE)</f>
        <v>0</v>
      </c>
      <c r="AB442" s="160">
        <f>VLOOKUP(C442,'Talente &amp; Stuff'!GX:HY,26,FALSE)</f>
        <v>0</v>
      </c>
      <c r="AC442" s="127">
        <f>VLOOKUP(C442,'Talente &amp; Stuff'!GX:HY,27,FALSE)</f>
        <v>0</v>
      </c>
      <c r="AD442" s="125">
        <f>VLOOKUP(C442,'Talente &amp; Stuff'!GX:HY,28,FALSE)</f>
        <v>0</v>
      </c>
      <c r="AE442" s="28"/>
    </row>
    <row r="443" spans="1:31" ht="15" hidden="1" customHeight="1" outlineLevel="2">
      <c r="B443" s="137">
        <v>3</v>
      </c>
      <c r="C443" s="177" t="str">
        <f>Attribute!C443</f>
        <v>---</v>
      </c>
      <c r="D443" s="125" t="str">
        <f>VLOOKUP(C443,'Talente &amp; Stuff'!GX:HY,2,FALSE)</f>
        <v>--/--/--</v>
      </c>
      <c r="E443" s="47" t="str">
        <f>VLOOKUP(C443,'Talente &amp; Stuff'!GX:HY,3,FALSE)</f>
        <v>-</v>
      </c>
      <c r="F443" s="114">
        <f>VLOOKUP(C443,'Talente &amp; Stuff'!GX:HY,4,FALSE)</f>
        <v>0</v>
      </c>
      <c r="G443" s="113">
        <f>VLOOKUP(C443,'Talente &amp; Stuff'!GX:HY,5,FALSE)</f>
        <v>0</v>
      </c>
      <c r="H443" s="113">
        <f>VLOOKUP(C443,'Talente &amp; Stuff'!GX:HY,6,FALSE)</f>
        <v>0</v>
      </c>
      <c r="I443" s="113">
        <f>VLOOKUP(C443,'Talente &amp; Stuff'!GX:HY,7,FALSE)</f>
        <v>0</v>
      </c>
      <c r="J443" s="113">
        <f>VLOOKUP(C443,'Talente &amp; Stuff'!GX:HY,8,FALSE)</f>
        <v>0</v>
      </c>
      <c r="K443" s="113">
        <f>VLOOKUP(C443,'Talente &amp; Stuff'!GX:HY,9,FALSE)</f>
        <v>0</v>
      </c>
      <c r="L443" s="113">
        <f>VLOOKUP(C443,'Talente &amp; Stuff'!GX:HY,10,FALSE)</f>
        <v>0</v>
      </c>
      <c r="M443" s="119">
        <f>VLOOKUP(C443,'Talente &amp; Stuff'!GX:HY,11,FALSE)</f>
        <v>0</v>
      </c>
      <c r="N443" s="47">
        <f>VLOOKUP(C443,'Talente &amp; Stuff'!GX:HY,12,FALSE)</f>
        <v>0</v>
      </c>
      <c r="O443" s="47">
        <f>VLOOKUP(C443,'Talente &amp; Stuff'!GX:HY,13,FALSE)</f>
        <v>0</v>
      </c>
      <c r="P443" s="113">
        <f>VLOOKUP(C443,'Talente &amp; Stuff'!GX:HY,14,FALSE)</f>
        <v>0</v>
      </c>
      <c r="Q443" s="114">
        <f>VLOOKUP(C443,'Talente &amp; Stuff'!GX:HY,15,FALSE)</f>
        <v>0</v>
      </c>
      <c r="R443" s="113">
        <f>VLOOKUP(C443,'Talente &amp; Stuff'!GX:HY,16,FALSE)</f>
        <v>0</v>
      </c>
      <c r="S443" s="119">
        <f>VLOOKUP(C443,'Talente &amp; Stuff'!GX:HY,17,FALSE)</f>
        <v>0</v>
      </c>
      <c r="T443" s="160">
        <f>VLOOKUP(C443,'Talente &amp; Stuff'!GX:HY,18,FALSE)</f>
        <v>0</v>
      </c>
      <c r="U443" s="89">
        <f>VLOOKUP(C443,'Talente &amp; Stuff'!GX:HY,19,FALSE)</f>
        <v>0</v>
      </c>
      <c r="V443" s="47">
        <f>VLOOKUP(C443,'Talente &amp; Stuff'!GX:HY,20,FALSE)</f>
        <v>0</v>
      </c>
      <c r="W443" s="127">
        <f>VLOOKUP(C443,'Talente &amp; Stuff'!GX:HY,21,FALSE)</f>
        <v>0</v>
      </c>
      <c r="X443" s="127">
        <f>VLOOKUP(C443,'Talente &amp; Stuff'!GX:HY,22,FALSE)</f>
        <v>0</v>
      </c>
      <c r="Y443" s="165">
        <f>VLOOKUP(C443,Ausgewählte_Liturgien_Rondra,226,FALSE)</f>
        <v>0</v>
      </c>
      <c r="Z443" s="44">
        <f>VLOOKUP(C443,Ausgewählte_Liturgien_Rondra,227,FALSE)</f>
        <v>0</v>
      </c>
      <c r="AA443" s="125">
        <f>VLOOKUP(C443,'Talente &amp; Stuff'!GX:HY,25,FALSE)</f>
        <v>0</v>
      </c>
      <c r="AB443" s="160">
        <f>VLOOKUP(C443,'Talente &amp; Stuff'!GX:HY,26,FALSE)</f>
        <v>0</v>
      </c>
      <c r="AC443" s="127">
        <f>VLOOKUP(C443,'Talente &amp; Stuff'!GX:HY,27,FALSE)</f>
        <v>0</v>
      </c>
      <c r="AD443" s="125">
        <f>VLOOKUP(C443,'Talente &amp; Stuff'!GX:HY,28,FALSE)</f>
        <v>0</v>
      </c>
      <c r="AE443" s="28"/>
    </row>
    <row r="444" spans="1:31" ht="15" hidden="1" customHeight="1" outlineLevel="2">
      <c r="B444" s="148">
        <v>4</v>
      </c>
      <c r="C444" s="178" t="str">
        <f>Attribute!C444</f>
        <v>---</v>
      </c>
      <c r="D444" s="159" t="str">
        <f>VLOOKUP(C444,'Talente &amp; Stuff'!GX:HY,2,FALSE)</f>
        <v>--/--/--</v>
      </c>
      <c r="E444" s="88" t="str">
        <f>VLOOKUP(C444,'Talente &amp; Stuff'!GX:HY,3,FALSE)</f>
        <v>-</v>
      </c>
      <c r="F444" s="115">
        <f>VLOOKUP(C444,'Talente &amp; Stuff'!GX:HY,4,FALSE)</f>
        <v>0</v>
      </c>
      <c r="G444" s="122">
        <f>VLOOKUP(C444,'Talente &amp; Stuff'!GX:HY,5,FALSE)</f>
        <v>0</v>
      </c>
      <c r="H444" s="122">
        <f>VLOOKUP(C444,'Talente &amp; Stuff'!GX:HY,6,FALSE)</f>
        <v>0</v>
      </c>
      <c r="I444" s="122">
        <f>VLOOKUP(C444,'Talente &amp; Stuff'!GX:HY,7,FALSE)</f>
        <v>0</v>
      </c>
      <c r="J444" s="122">
        <f>VLOOKUP(C444,'Talente &amp; Stuff'!GX:HY,8,FALSE)</f>
        <v>0</v>
      </c>
      <c r="K444" s="122">
        <f>VLOOKUP(C444,'Talente &amp; Stuff'!GX:HY,9,FALSE)</f>
        <v>0</v>
      </c>
      <c r="L444" s="122">
        <f>VLOOKUP(C444,'Talente &amp; Stuff'!GX:HY,10,FALSE)</f>
        <v>0</v>
      </c>
      <c r="M444" s="123">
        <f>VLOOKUP(C444,'Talente &amp; Stuff'!GX:HY,11,FALSE)</f>
        <v>0</v>
      </c>
      <c r="N444" s="88">
        <f>VLOOKUP(C444,'Talente &amp; Stuff'!GX:HY,12,FALSE)</f>
        <v>0</v>
      </c>
      <c r="O444" s="88">
        <f>VLOOKUP(C444,'Talente &amp; Stuff'!GX:HY,13,FALSE)</f>
        <v>0</v>
      </c>
      <c r="P444" s="122">
        <f>VLOOKUP(C444,'Talente &amp; Stuff'!GX:HY,14,FALSE)</f>
        <v>0</v>
      </c>
      <c r="Q444" s="115">
        <f>VLOOKUP(C444,'Talente &amp; Stuff'!GX:HY,15,FALSE)</f>
        <v>0</v>
      </c>
      <c r="R444" s="122">
        <f>VLOOKUP(C444,'Talente &amp; Stuff'!GX:HY,16,FALSE)</f>
        <v>0</v>
      </c>
      <c r="S444" s="123">
        <f>VLOOKUP(C444,'Talente &amp; Stuff'!GX:HY,17,FALSE)</f>
        <v>0</v>
      </c>
      <c r="T444" s="161">
        <f>VLOOKUP(C444,'Talente &amp; Stuff'!GX:HY,18,FALSE)</f>
        <v>0</v>
      </c>
      <c r="U444" s="90">
        <f>VLOOKUP(C444,'Talente &amp; Stuff'!GX:HY,19,FALSE)</f>
        <v>0</v>
      </c>
      <c r="V444" s="88">
        <f>VLOOKUP(C444,'Talente &amp; Stuff'!GX:HY,20,FALSE)</f>
        <v>0</v>
      </c>
      <c r="W444" s="128">
        <f>VLOOKUP(C444,'Talente &amp; Stuff'!GX:HY,21,FALSE)</f>
        <v>0</v>
      </c>
      <c r="X444" s="128">
        <f>VLOOKUP(C444,'Talente &amp; Stuff'!GX:HY,22,FALSE)</f>
        <v>0</v>
      </c>
      <c r="Y444" s="165">
        <f>VLOOKUP(C444,Ausgewählte_Liturgien_Rondra,226,FALSE)</f>
        <v>0</v>
      </c>
      <c r="Z444" s="44">
        <f>VLOOKUP(C444,Ausgewählte_Liturgien_Rondra,227,FALSE)</f>
        <v>0</v>
      </c>
      <c r="AA444" s="159">
        <f>VLOOKUP(C444,'Talente &amp; Stuff'!GX:HY,25,FALSE)</f>
        <v>0</v>
      </c>
      <c r="AB444" s="161">
        <f>VLOOKUP(C444,'Talente &amp; Stuff'!GX:HY,26,FALSE)</f>
        <v>0</v>
      </c>
      <c r="AC444" s="128">
        <f>VLOOKUP(C444,'Talente &amp; Stuff'!GX:HY,27,FALSE)</f>
        <v>0</v>
      </c>
      <c r="AD444" s="159">
        <f>VLOOKUP(C444,'Talente &amp; Stuff'!GX:HY,28,FALSE)</f>
        <v>0</v>
      </c>
      <c r="AE444" s="28"/>
    </row>
    <row r="445" spans="1:31" ht="15.75" hidden="1" customHeight="1" outlineLevel="1" collapsed="1" thickBot="1"/>
    <row r="446" spans="1:31" ht="15.75" collapsed="1" thickBot="1">
      <c r="A446" s="135" t="s">
        <v>269</v>
      </c>
      <c r="X446" s="140"/>
    </row>
    <row r="447" spans="1:31" ht="15" hidden="1" customHeight="1" outlineLevel="1">
      <c r="B447" s="134" t="s">
        <v>327</v>
      </c>
    </row>
    <row r="448" spans="1:31" ht="15" hidden="1" customHeight="1" outlineLevel="2">
      <c r="B448" s="148">
        <v>1</v>
      </c>
      <c r="C448" s="176" t="str">
        <f>Attribute!C448</f>
        <v>---</v>
      </c>
      <c r="D448" s="158" t="str">
        <f>VLOOKUP(C448,'Talente &amp; Stuff'!GX:HY,2,FALSE)</f>
        <v>--/--/--</v>
      </c>
      <c r="E448" s="126" t="str">
        <f>VLOOKUP(C448,'Talente &amp; Stuff'!GX:HY,3,FALSE)</f>
        <v>-</v>
      </c>
      <c r="F448" s="191">
        <f>VLOOKUP(C448,'Talente &amp; Stuff'!GX:HY,4,FALSE)</f>
        <v>0</v>
      </c>
      <c r="G448" s="118">
        <f>VLOOKUP(C448,'Talente &amp; Stuff'!GX:HY,5,FALSE)</f>
        <v>0</v>
      </c>
      <c r="H448" s="118">
        <f>VLOOKUP(C448,'Talente &amp; Stuff'!GX:HY,6,FALSE)</f>
        <v>0</v>
      </c>
      <c r="I448" s="118">
        <f>VLOOKUP(C448,'Talente &amp; Stuff'!GX:HY,7,FALSE)</f>
        <v>0</v>
      </c>
      <c r="J448" s="118">
        <f>VLOOKUP(C448,'Talente &amp; Stuff'!GX:HY,8,FALSE)</f>
        <v>0</v>
      </c>
      <c r="K448" s="118">
        <f>VLOOKUP(C448,'Talente &amp; Stuff'!GX:HY,9,FALSE)</f>
        <v>0</v>
      </c>
      <c r="L448" s="118">
        <f>VLOOKUP(C448,'Talente &amp; Stuff'!GX:HY,10,FALSE)</f>
        <v>0</v>
      </c>
      <c r="M448" s="92">
        <f>VLOOKUP(C448,'Talente &amp; Stuff'!GX:HY,11,FALSE)</f>
        <v>0</v>
      </c>
      <c r="N448" s="116">
        <f>VLOOKUP(C448,'Talente &amp; Stuff'!GX:HY,12,FALSE)</f>
        <v>0</v>
      </c>
      <c r="O448" s="116">
        <f>VLOOKUP(C448,'Talente &amp; Stuff'!GX:HY,13,FALSE)</f>
        <v>0</v>
      </c>
      <c r="P448" s="92">
        <f>VLOOKUP(C448,'Talente &amp; Stuff'!GX:HY,14,FALSE)</f>
        <v>0</v>
      </c>
      <c r="Q448" s="191">
        <f>VLOOKUP(C448,'Talente &amp; Stuff'!GX:HY,15,FALSE)</f>
        <v>0</v>
      </c>
      <c r="R448" s="118">
        <f>VLOOKUP(C448,'Talente &amp; Stuff'!GX:HY,16,FALSE)</f>
        <v>0</v>
      </c>
      <c r="S448" s="92">
        <f>VLOOKUP(C448,'Talente &amp; Stuff'!GX:HY,17,FALSE)</f>
        <v>0</v>
      </c>
      <c r="T448" s="92">
        <f>VLOOKUP(C448,'Talente &amp; Stuff'!GX:HY,18,FALSE)</f>
        <v>0</v>
      </c>
      <c r="U448" s="193">
        <f>VLOOKUP(C448,'Talente &amp; Stuff'!GX:HY,19,FALSE)</f>
        <v>0</v>
      </c>
      <c r="V448" s="116">
        <f>VLOOKUP(C448,'Talente &amp; Stuff'!GX:HY,20,FALSE)</f>
        <v>0</v>
      </c>
      <c r="W448" s="126">
        <f>VLOOKUP(C448,'Talente &amp; Stuff'!GX:HY,21,FALSE)</f>
        <v>0</v>
      </c>
      <c r="X448" s="126">
        <f>VLOOKUP(C448,'Talente &amp; Stuff'!GX:HY,22,FALSE)</f>
        <v>0</v>
      </c>
      <c r="Y448" s="165">
        <f>VLOOKUP(C448,Ausgewählte_Zeremonien_Allgemein,226,FALSE)</f>
        <v>0</v>
      </c>
      <c r="Z448" s="44">
        <f>VLOOKUP(C448,Ausgewählte_Zeremonien_Allgemein,227,FALSE)</f>
        <v>0</v>
      </c>
      <c r="AA448" s="158">
        <f>VLOOKUP(C448,'Talente &amp; Stuff'!GX:HY,25,FALSE)</f>
        <v>0</v>
      </c>
      <c r="AB448" s="91">
        <f>VLOOKUP(C448,'Talente &amp; Stuff'!GX:HY,26,FALSE)</f>
        <v>0</v>
      </c>
      <c r="AC448" s="126">
        <f>VLOOKUP(C448,'Talente &amp; Stuff'!GX:HY,27,FALSE)</f>
        <v>0</v>
      </c>
      <c r="AD448" s="158">
        <f>VLOOKUP(C448,'Talente &amp; Stuff'!GX:HY,28,FALSE)</f>
        <v>0</v>
      </c>
      <c r="AE448" s="28"/>
    </row>
    <row r="449" spans="2:31" ht="15" hidden="1" customHeight="1" outlineLevel="2">
      <c r="B449" s="148">
        <v>2</v>
      </c>
      <c r="C449" s="178" t="str">
        <f>Attribute!C449</f>
        <v>---</v>
      </c>
      <c r="D449" s="159" t="str">
        <f>VLOOKUP(C449,'Talente &amp; Stuff'!GX:HY,2,FALSE)</f>
        <v>--/--/--</v>
      </c>
      <c r="E449" s="128" t="str">
        <f>VLOOKUP(C449,'Talente &amp; Stuff'!GX:HY,3,FALSE)</f>
        <v>-</v>
      </c>
      <c r="F449" s="115">
        <f>VLOOKUP(C449,'Talente &amp; Stuff'!GX:HY,4,FALSE)</f>
        <v>0</v>
      </c>
      <c r="G449" s="122">
        <f>VLOOKUP(C449,'Talente &amp; Stuff'!GX:HY,5,FALSE)</f>
        <v>0</v>
      </c>
      <c r="H449" s="122">
        <f>VLOOKUP(C449,'Talente &amp; Stuff'!GX:HY,6,FALSE)</f>
        <v>0</v>
      </c>
      <c r="I449" s="122">
        <f>VLOOKUP(C449,'Talente &amp; Stuff'!GX:HY,7,FALSE)</f>
        <v>0</v>
      </c>
      <c r="J449" s="122">
        <f>VLOOKUP(C449,'Talente &amp; Stuff'!GX:HY,8,FALSE)</f>
        <v>0</v>
      </c>
      <c r="K449" s="122">
        <f>VLOOKUP(C449,'Talente &amp; Stuff'!GX:HY,9,FALSE)</f>
        <v>0</v>
      </c>
      <c r="L449" s="122">
        <f>VLOOKUP(C449,'Talente &amp; Stuff'!GX:HY,10,FALSE)</f>
        <v>0</v>
      </c>
      <c r="M449" s="123">
        <f>VLOOKUP(C449,'Talente &amp; Stuff'!GX:HY,11,FALSE)</f>
        <v>0</v>
      </c>
      <c r="N449" s="88">
        <f>VLOOKUP(C449,'Talente &amp; Stuff'!GX:HY,12,FALSE)</f>
        <v>0</v>
      </c>
      <c r="O449" s="88">
        <f>VLOOKUP(C449,'Talente &amp; Stuff'!GX:HY,13,FALSE)</f>
        <v>0</v>
      </c>
      <c r="P449" s="123">
        <f>VLOOKUP(C449,'Talente &amp; Stuff'!GX:HY,14,FALSE)</f>
        <v>0</v>
      </c>
      <c r="Q449" s="115">
        <f>VLOOKUP(C449,'Talente &amp; Stuff'!GX:HY,15,FALSE)</f>
        <v>0</v>
      </c>
      <c r="R449" s="122">
        <f>VLOOKUP(C449,'Talente &amp; Stuff'!GX:HY,16,FALSE)</f>
        <v>0</v>
      </c>
      <c r="S449" s="123">
        <f>VLOOKUP(C449,'Talente &amp; Stuff'!GX:HY,17,FALSE)</f>
        <v>0</v>
      </c>
      <c r="T449" s="123">
        <f>VLOOKUP(C449,'Talente &amp; Stuff'!GX:HY,18,FALSE)</f>
        <v>0</v>
      </c>
      <c r="U449" s="90">
        <f>VLOOKUP(C449,'Talente &amp; Stuff'!GX:HY,19,FALSE)</f>
        <v>0</v>
      </c>
      <c r="V449" s="88">
        <f>VLOOKUP(C449,'Talente &amp; Stuff'!GX:HY,20,FALSE)</f>
        <v>0</v>
      </c>
      <c r="W449" s="128">
        <f>VLOOKUP(C449,'Talente &amp; Stuff'!GX:HY,21,FALSE)</f>
        <v>0</v>
      </c>
      <c r="X449" s="128">
        <f>VLOOKUP(C449,'Talente &amp; Stuff'!GX:HY,22,FALSE)</f>
        <v>0</v>
      </c>
      <c r="Y449" s="165">
        <f>VLOOKUP(C449,Ausgewählte_Zeremonien_Allgemein,226,FALSE)</f>
        <v>0</v>
      </c>
      <c r="Z449" s="44">
        <f>VLOOKUP(C449,Ausgewählte_Zeremonien_Allgemein,227,FALSE)</f>
        <v>0</v>
      </c>
      <c r="AA449" s="159">
        <f>VLOOKUP(C449,'Talente &amp; Stuff'!GX:HY,25,FALSE)</f>
        <v>0</v>
      </c>
      <c r="AB449" s="161">
        <f>VLOOKUP(C449,'Talente &amp; Stuff'!GX:HY,26,FALSE)</f>
        <v>0</v>
      </c>
      <c r="AC449" s="128">
        <f>VLOOKUP(C449,'Talente &amp; Stuff'!GX:HY,27,FALSE)</f>
        <v>0</v>
      </c>
      <c r="AD449" s="159">
        <f>VLOOKUP(C449,'Talente &amp; Stuff'!GX:HY,28,FALSE)</f>
        <v>0</v>
      </c>
      <c r="AE449" s="28"/>
    </row>
    <row r="450" spans="2:31" ht="15" hidden="1" customHeight="1" outlineLevel="1" collapsed="1">
      <c r="B450" s="134" t="s">
        <v>326</v>
      </c>
      <c r="C450" s="83"/>
      <c r="D450" s="84"/>
      <c r="E450" s="84"/>
    </row>
    <row r="451" spans="2:31" ht="15" hidden="1" customHeight="1" outlineLevel="2">
      <c r="B451" s="148">
        <v>0</v>
      </c>
      <c r="C451" s="134"/>
      <c r="D451" s="40"/>
      <c r="E451" s="182"/>
      <c r="F451" s="17"/>
      <c r="G451" s="183"/>
      <c r="H451" s="183"/>
      <c r="I451" s="183"/>
      <c r="J451" s="183"/>
      <c r="K451" s="183"/>
      <c r="L451" s="183"/>
      <c r="M451" s="180"/>
      <c r="N451" s="179"/>
      <c r="O451" s="179"/>
      <c r="P451" s="180"/>
      <c r="Q451" s="17"/>
      <c r="R451" s="183"/>
      <c r="S451" s="180"/>
      <c r="T451" s="180"/>
      <c r="U451" s="166"/>
      <c r="V451" s="179"/>
      <c r="W451" s="182"/>
      <c r="X451" s="182"/>
      <c r="Y451" s="134"/>
      <c r="Z451" s="44"/>
      <c r="AA451" s="40"/>
      <c r="AB451" s="189"/>
      <c r="AC451" s="182"/>
      <c r="AD451" s="40"/>
    </row>
    <row r="452" spans="2:31" ht="15" hidden="1" customHeight="1" outlineLevel="1" collapsed="1">
      <c r="B452" s="134" t="s">
        <v>325</v>
      </c>
      <c r="C452" s="83"/>
      <c r="D452" s="84"/>
      <c r="E452" s="84"/>
    </row>
    <row r="453" spans="2:31" ht="15" hidden="1" customHeight="1" outlineLevel="2">
      <c r="B453" s="148">
        <v>0</v>
      </c>
      <c r="C453" s="134"/>
      <c r="D453" s="40"/>
      <c r="E453" s="182"/>
      <c r="F453" s="17"/>
      <c r="G453" s="183"/>
      <c r="H453" s="183"/>
      <c r="I453" s="183"/>
      <c r="J453" s="183"/>
      <c r="K453" s="183"/>
      <c r="L453" s="183"/>
      <c r="M453" s="180"/>
      <c r="N453" s="179"/>
      <c r="O453" s="179"/>
      <c r="P453" s="180"/>
      <c r="Q453" s="17"/>
      <c r="R453" s="183"/>
      <c r="S453" s="180"/>
      <c r="T453" s="180"/>
      <c r="U453" s="166"/>
      <c r="V453" s="179"/>
      <c r="W453" s="182"/>
      <c r="X453" s="182"/>
      <c r="Y453" s="134"/>
      <c r="Z453" s="44"/>
      <c r="AA453" s="40"/>
      <c r="AB453" s="189"/>
      <c r="AC453" s="182"/>
      <c r="AD453" s="40"/>
    </row>
    <row r="454" spans="2:31" ht="15" hidden="1" customHeight="1" outlineLevel="1" collapsed="1">
      <c r="B454" s="134" t="s">
        <v>324</v>
      </c>
      <c r="C454" s="83"/>
      <c r="D454" s="84"/>
      <c r="E454" s="84"/>
    </row>
    <row r="455" spans="2:31" ht="15" hidden="1" customHeight="1" outlineLevel="2">
      <c r="B455" s="148">
        <v>1</v>
      </c>
      <c r="C455" s="200" t="str">
        <f>Attribute!C455</f>
        <v>---</v>
      </c>
      <c r="D455" s="40" t="str">
        <f>VLOOKUP(C455,'Talente &amp; Stuff'!GX:HY,2,FALSE)</f>
        <v>--/--/--</v>
      </c>
      <c r="E455" s="182" t="str">
        <f>VLOOKUP(C455,'Talente &amp; Stuff'!GX:HY,3,FALSE)</f>
        <v>-</v>
      </c>
      <c r="F455" s="17">
        <f>VLOOKUP(C455,'Talente &amp; Stuff'!GX:HY,4,FALSE)</f>
        <v>0</v>
      </c>
      <c r="G455" s="183">
        <f>VLOOKUP(C455,'Talente &amp; Stuff'!GX:HY,5,FALSE)</f>
        <v>0</v>
      </c>
      <c r="H455" s="183">
        <f>VLOOKUP(C455,'Talente &amp; Stuff'!GX:HY,6,FALSE)</f>
        <v>0</v>
      </c>
      <c r="I455" s="183">
        <f>VLOOKUP(C455,'Talente &amp; Stuff'!GX:HY,7,FALSE)</f>
        <v>0</v>
      </c>
      <c r="J455" s="183">
        <f>VLOOKUP(C455,'Talente &amp; Stuff'!GX:HY,8,FALSE)</f>
        <v>0</v>
      </c>
      <c r="K455" s="183">
        <f>VLOOKUP(C455,'Talente &amp; Stuff'!GX:HY,9,FALSE)</f>
        <v>0</v>
      </c>
      <c r="L455" s="183">
        <f>VLOOKUP(C455,'Talente &amp; Stuff'!GX:HY,10,FALSE)</f>
        <v>0</v>
      </c>
      <c r="M455" s="180">
        <f>VLOOKUP(C455,'Talente &amp; Stuff'!GX:HY,11,FALSE)</f>
        <v>0</v>
      </c>
      <c r="N455" s="179">
        <f>VLOOKUP(C455,'Talente &amp; Stuff'!GX:HY,12,FALSE)</f>
        <v>0</v>
      </c>
      <c r="O455" s="179">
        <f>VLOOKUP(C455,'Talente &amp; Stuff'!GX:HY,13,FALSE)</f>
        <v>0</v>
      </c>
      <c r="P455" s="180">
        <f>VLOOKUP(C455,'Talente &amp; Stuff'!GX:HY,14,FALSE)</f>
        <v>0</v>
      </c>
      <c r="Q455" s="17">
        <f>VLOOKUP(C455,'Talente &amp; Stuff'!GX:HY,15,FALSE)</f>
        <v>0</v>
      </c>
      <c r="R455" s="183">
        <f>VLOOKUP(C455,'Talente &amp; Stuff'!GX:HY,16,FALSE)</f>
        <v>0</v>
      </c>
      <c r="S455" s="180">
        <f>VLOOKUP(C455,'Talente &amp; Stuff'!GX:HY,17,FALSE)</f>
        <v>0</v>
      </c>
      <c r="T455" s="180">
        <f>VLOOKUP(C455,'Talente &amp; Stuff'!GX:HY,18,FALSE)</f>
        <v>0</v>
      </c>
      <c r="U455" s="166">
        <f>VLOOKUP(C455,'Talente &amp; Stuff'!GX:HY,19,FALSE)</f>
        <v>0</v>
      </c>
      <c r="V455" s="179">
        <f>VLOOKUP(C455,'Talente &amp; Stuff'!GX:HY,20,FALSE)</f>
        <v>0</v>
      </c>
      <c r="W455" s="182">
        <f>VLOOKUP(C455,'Talente &amp; Stuff'!GX:HY,21,FALSE)</f>
        <v>0</v>
      </c>
      <c r="X455" s="182">
        <f>VLOOKUP(C455,'Talente &amp; Stuff'!GX:HY,22,FALSE)</f>
        <v>0</v>
      </c>
      <c r="Y455" s="165">
        <f>VLOOKUP(C455,Ausgewählte_Zeremonien_Peraine,226,FALSE)</f>
        <v>0</v>
      </c>
      <c r="Z455" s="44">
        <f>VLOOKUP(C455,Ausgewählte_Zeremonien_Peraine,227,FALSE)</f>
        <v>0</v>
      </c>
      <c r="AA455" s="40">
        <f>VLOOKUP(C455,'Talente &amp; Stuff'!GX:HY,25,FALSE)</f>
        <v>0</v>
      </c>
      <c r="AB455" s="189">
        <f>VLOOKUP(C455,'Talente &amp; Stuff'!GX:HY,26,FALSE)</f>
        <v>0</v>
      </c>
      <c r="AC455" s="182">
        <f>VLOOKUP(C455,'Talente &amp; Stuff'!GX:HY,27,FALSE)</f>
        <v>0</v>
      </c>
      <c r="AD455" s="40">
        <f>VLOOKUP(C455,'Talente &amp; Stuff'!GX:HY,28,FALSE)</f>
        <v>0</v>
      </c>
      <c r="AE455" s="28"/>
    </row>
    <row r="456" spans="2:31" ht="15" hidden="1" customHeight="1" outlineLevel="1" collapsed="1">
      <c r="B456" s="134" t="s">
        <v>323</v>
      </c>
      <c r="C456" s="83"/>
      <c r="D456" s="84"/>
      <c r="E456" s="84"/>
    </row>
    <row r="457" spans="2:31" ht="15" hidden="1" customHeight="1" outlineLevel="2">
      <c r="B457" s="148">
        <v>1</v>
      </c>
      <c r="C457" s="200" t="str">
        <f>Attribute!C457</f>
        <v>---</v>
      </c>
      <c r="D457" s="40" t="str">
        <f>VLOOKUP(C457,'Talente &amp; Stuff'!GX:HY,2,FALSE)</f>
        <v>--/--/--</v>
      </c>
      <c r="E457" s="182" t="str">
        <f>VLOOKUP(C457,'Talente &amp; Stuff'!GX:HY,3,FALSE)</f>
        <v>-</v>
      </c>
      <c r="F457" s="17">
        <f>VLOOKUP(C457,'Talente &amp; Stuff'!GX:HY,4,FALSE)</f>
        <v>0</v>
      </c>
      <c r="G457" s="183">
        <f>VLOOKUP(C457,'Talente &amp; Stuff'!GX:HY,5,FALSE)</f>
        <v>0</v>
      </c>
      <c r="H457" s="183">
        <f>VLOOKUP(C457,'Talente &amp; Stuff'!GX:HY,6,FALSE)</f>
        <v>0</v>
      </c>
      <c r="I457" s="183">
        <f>VLOOKUP(C457,'Talente &amp; Stuff'!GX:HY,7,FALSE)</f>
        <v>0</v>
      </c>
      <c r="J457" s="183">
        <f>VLOOKUP(C457,'Talente &amp; Stuff'!GX:HY,8,FALSE)</f>
        <v>0</v>
      </c>
      <c r="K457" s="183">
        <f>VLOOKUP(C457,'Talente &amp; Stuff'!GX:HY,9,FALSE)</f>
        <v>0</v>
      </c>
      <c r="L457" s="183">
        <f>VLOOKUP(C457,'Talente &amp; Stuff'!GX:HY,10,FALSE)</f>
        <v>0</v>
      </c>
      <c r="M457" s="180">
        <f>VLOOKUP(C457,'Talente &amp; Stuff'!GX:HY,11,FALSE)</f>
        <v>0</v>
      </c>
      <c r="N457" s="179">
        <f>VLOOKUP(C457,'Talente &amp; Stuff'!GX:HY,12,FALSE)</f>
        <v>0</v>
      </c>
      <c r="O457" s="179">
        <f>VLOOKUP(C457,'Talente &amp; Stuff'!GX:HY,13,FALSE)</f>
        <v>0</v>
      </c>
      <c r="P457" s="180">
        <f>VLOOKUP(C457,'Talente &amp; Stuff'!GX:HY,14,FALSE)</f>
        <v>0</v>
      </c>
      <c r="Q457" s="17">
        <f>VLOOKUP(C457,'Talente &amp; Stuff'!GX:HY,15,FALSE)</f>
        <v>0</v>
      </c>
      <c r="R457" s="183">
        <f>VLOOKUP(C457,'Talente &amp; Stuff'!GX:HY,16,FALSE)</f>
        <v>0</v>
      </c>
      <c r="S457" s="180">
        <f>VLOOKUP(C457,'Talente &amp; Stuff'!GX:HY,17,FALSE)</f>
        <v>0</v>
      </c>
      <c r="T457" s="180">
        <f>VLOOKUP(C457,'Talente &amp; Stuff'!GX:HY,18,FALSE)</f>
        <v>0</v>
      </c>
      <c r="U457" s="166">
        <f>VLOOKUP(C457,'Talente &amp; Stuff'!GX:HY,19,FALSE)</f>
        <v>0</v>
      </c>
      <c r="V457" s="179">
        <f>VLOOKUP(C457,'Talente &amp; Stuff'!GX:HY,20,FALSE)</f>
        <v>0</v>
      </c>
      <c r="W457" s="182">
        <f>VLOOKUP(C457,'Talente &amp; Stuff'!GX:HY,21,FALSE)</f>
        <v>0</v>
      </c>
      <c r="X457" s="182">
        <f>VLOOKUP(C457,'Talente &amp; Stuff'!GX:HY,22,FALSE)</f>
        <v>0</v>
      </c>
      <c r="Y457" s="165">
        <f>VLOOKUP(C457,Ausgewählte_Zeremonien_Phex,226,FALSE)</f>
        <v>0</v>
      </c>
      <c r="Z457" s="44">
        <f>VLOOKUP(C457,Ausgewählte_Zeremonien_Phex,227,FALSE)</f>
        <v>0</v>
      </c>
      <c r="AA457" s="40">
        <f>VLOOKUP(C457,'Talente &amp; Stuff'!GX:HY,25,FALSE)</f>
        <v>0</v>
      </c>
      <c r="AB457" s="189">
        <f>VLOOKUP(C457,'Talente &amp; Stuff'!GX:HY,26,FALSE)</f>
        <v>0</v>
      </c>
      <c r="AC457" s="182">
        <f>VLOOKUP(C457,'Talente &amp; Stuff'!GX:HY,27,FALSE)</f>
        <v>0</v>
      </c>
      <c r="AD457" s="40">
        <f>VLOOKUP(C457,'Talente &amp; Stuff'!GX:HY,28,FALSE)</f>
        <v>0</v>
      </c>
      <c r="AE457" s="28"/>
    </row>
    <row r="458" spans="2:31" ht="15" hidden="1" customHeight="1" outlineLevel="1" collapsed="1">
      <c r="B458" s="134" t="s">
        <v>322</v>
      </c>
      <c r="C458" s="83"/>
      <c r="D458" s="84"/>
      <c r="E458" s="84"/>
    </row>
    <row r="459" spans="2:31" ht="15" hidden="1" customHeight="1" outlineLevel="2">
      <c r="B459" s="148">
        <v>0</v>
      </c>
      <c r="C459" s="134"/>
      <c r="D459" s="40"/>
      <c r="E459" s="182"/>
      <c r="F459" s="17"/>
      <c r="G459" s="183"/>
      <c r="H459" s="183"/>
      <c r="I459" s="183"/>
      <c r="J459" s="183"/>
      <c r="K459" s="183"/>
      <c r="L459" s="183"/>
      <c r="M459" s="180"/>
      <c r="N459" s="179"/>
      <c r="O459" s="179"/>
      <c r="P459" s="180"/>
      <c r="Q459" s="17"/>
      <c r="R459" s="183"/>
      <c r="S459" s="180"/>
      <c r="T459" s="180"/>
      <c r="U459" s="166"/>
      <c r="V459" s="179"/>
      <c r="W459" s="182"/>
      <c r="X459" s="182"/>
      <c r="Y459" s="134"/>
      <c r="Z459" s="44"/>
      <c r="AA459" s="40"/>
      <c r="AB459" s="189"/>
      <c r="AC459" s="182"/>
      <c r="AD459" s="40"/>
    </row>
    <row r="460" spans="2:31" ht="15" hidden="1" customHeight="1" outlineLevel="1" collapsed="1">
      <c r="B460" s="134" t="s">
        <v>321</v>
      </c>
      <c r="C460" s="83"/>
      <c r="D460" s="84"/>
      <c r="E460" s="84"/>
    </row>
    <row r="461" spans="2:31" ht="15" hidden="1" customHeight="1" outlineLevel="2">
      <c r="B461" s="148">
        <v>1</v>
      </c>
      <c r="C461" s="176" t="str">
        <f>Attribute!C461</f>
        <v>---</v>
      </c>
      <c r="D461" s="158" t="str">
        <f>VLOOKUP(C461,'Talente &amp; Stuff'!GX:HY,2,FALSE)</f>
        <v>--/--/--</v>
      </c>
      <c r="E461" s="126" t="str">
        <f>VLOOKUP(C461,'Talente &amp; Stuff'!GX:HY,3,FALSE)</f>
        <v>-</v>
      </c>
      <c r="F461" s="191">
        <f>VLOOKUP(C461,'Talente &amp; Stuff'!GX:HY,4,FALSE)</f>
        <v>0</v>
      </c>
      <c r="G461" s="118">
        <f>VLOOKUP(C461,'Talente &amp; Stuff'!GX:HY,5,FALSE)</f>
        <v>0</v>
      </c>
      <c r="H461" s="118">
        <f>VLOOKUP(C461,'Talente &amp; Stuff'!GX:HY,6,FALSE)</f>
        <v>0</v>
      </c>
      <c r="I461" s="118">
        <f>VLOOKUP(C461,'Talente &amp; Stuff'!GX:HY,7,FALSE)</f>
        <v>0</v>
      </c>
      <c r="J461" s="118">
        <f>VLOOKUP(C461,'Talente &amp; Stuff'!GX:HY,8,FALSE)</f>
        <v>0</v>
      </c>
      <c r="K461" s="118">
        <f>VLOOKUP(C461,'Talente &amp; Stuff'!GX:HY,9,FALSE)</f>
        <v>0</v>
      </c>
      <c r="L461" s="118">
        <f>VLOOKUP(C461,'Talente &amp; Stuff'!GX:HY,10,FALSE)</f>
        <v>0</v>
      </c>
      <c r="M461" s="92">
        <f>VLOOKUP(C461,'Talente &amp; Stuff'!GX:HY,11,FALSE)</f>
        <v>0</v>
      </c>
      <c r="N461" s="116">
        <f>VLOOKUP(C461,'Talente &amp; Stuff'!GX:HY,12,FALSE)</f>
        <v>0</v>
      </c>
      <c r="O461" s="116">
        <f>VLOOKUP(C461,'Talente &amp; Stuff'!GX:HY,13,FALSE)</f>
        <v>0</v>
      </c>
      <c r="P461" s="92">
        <f>VLOOKUP(C461,'Talente &amp; Stuff'!GX:HY,14,FALSE)</f>
        <v>0</v>
      </c>
      <c r="Q461" s="191">
        <f>VLOOKUP(C461,'Talente &amp; Stuff'!GX:HY,15,FALSE)</f>
        <v>0</v>
      </c>
      <c r="R461" s="118">
        <f>VLOOKUP(C461,'Talente &amp; Stuff'!GX:HY,16,FALSE)</f>
        <v>0</v>
      </c>
      <c r="S461" s="92">
        <f>VLOOKUP(C461,'Talente &amp; Stuff'!GX:HY,17,FALSE)</f>
        <v>0</v>
      </c>
      <c r="T461" s="92">
        <f>VLOOKUP(C461,'Talente &amp; Stuff'!GX:HY,18,FALSE)</f>
        <v>0</v>
      </c>
      <c r="U461" s="193">
        <f>VLOOKUP(C461,'Talente &amp; Stuff'!GX:HY,19,FALSE)</f>
        <v>0</v>
      </c>
      <c r="V461" s="116">
        <f>VLOOKUP(C461,'Talente &amp; Stuff'!GX:HY,20,FALSE)</f>
        <v>0</v>
      </c>
      <c r="W461" s="126">
        <f>VLOOKUP(C461,'Talente &amp; Stuff'!GX:HY,21,FALSE)</f>
        <v>0</v>
      </c>
      <c r="X461" s="126">
        <f>VLOOKUP(C461,'Talente &amp; Stuff'!GX:HY,22,FALSE)</f>
        <v>0</v>
      </c>
      <c r="Y461" s="165">
        <f>VLOOKUP(C461,Ausgewählte_Zeremonien_Rondra,226,FALSE)</f>
        <v>0</v>
      </c>
      <c r="Z461" s="44">
        <f>VLOOKUP(C461,Ausgewählte_Zeremonien_Rondra,227,FALSE)</f>
        <v>0</v>
      </c>
      <c r="AA461" s="158">
        <f>VLOOKUP(C461,'Talente &amp; Stuff'!GX:HY,25,FALSE)</f>
        <v>0</v>
      </c>
      <c r="AB461" s="91">
        <f>VLOOKUP(C461,'Talente &amp; Stuff'!GX:HY,26,FALSE)</f>
        <v>0</v>
      </c>
      <c r="AC461" s="126">
        <f>VLOOKUP(C461,'Talente &amp; Stuff'!GX:HY,27,FALSE)</f>
        <v>0</v>
      </c>
      <c r="AD461" s="158">
        <f>VLOOKUP(C461,'Talente &amp; Stuff'!GX:HY,28,FALSE)</f>
        <v>0</v>
      </c>
      <c r="AE461" s="28"/>
    </row>
    <row r="462" spans="2:31" ht="15" hidden="1" customHeight="1" outlineLevel="2">
      <c r="B462" s="148">
        <v>2</v>
      </c>
      <c r="C462" s="178" t="str">
        <f>Attribute!C462</f>
        <v>---</v>
      </c>
      <c r="D462" s="159" t="str">
        <f>VLOOKUP(C462,'Talente &amp; Stuff'!GX:HY,2,FALSE)</f>
        <v>--/--/--</v>
      </c>
      <c r="E462" s="128" t="str">
        <f>VLOOKUP(C462,'Talente &amp; Stuff'!GX:HY,3,FALSE)</f>
        <v>-</v>
      </c>
      <c r="F462" s="115">
        <f>VLOOKUP(C462,'Talente &amp; Stuff'!GX:HY,4,FALSE)</f>
        <v>0</v>
      </c>
      <c r="G462" s="122">
        <f>VLOOKUP(C462,'Talente &amp; Stuff'!GX:HY,5,FALSE)</f>
        <v>0</v>
      </c>
      <c r="H462" s="122">
        <f>VLOOKUP(C462,'Talente &amp; Stuff'!GX:HY,6,FALSE)</f>
        <v>0</v>
      </c>
      <c r="I462" s="122">
        <f>VLOOKUP(C462,'Talente &amp; Stuff'!GX:HY,7,FALSE)</f>
        <v>0</v>
      </c>
      <c r="J462" s="122">
        <f>VLOOKUP(C462,'Talente &amp; Stuff'!GX:HY,8,FALSE)</f>
        <v>0</v>
      </c>
      <c r="K462" s="122">
        <f>VLOOKUP(C462,'Talente &amp; Stuff'!GX:HY,9,FALSE)</f>
        <v>0</v>
      </c>
      <c r="L462" s="122">
        <f>VLOOKUP(C462,'Talente &amp; Stuff'!GX:HY,10,FALSE)</f>
        <v>0</v>
      </c>
      <c r="M462" s="123">
        <f>VLOOKUP(C462,'Talente &amp; Stuff'!GX:HY,11,FALSE)</f>
        <v>0</v>
      </c>
      <c r="N462" s="88">
        <f>VLOOKUP(C462,'Talente &amp; Stuff'!GX:HY,12,FALSE)</f>
        <v>0</v>
      </c>
      <c r="O462" s="88">
        <f>VLOOKUP(C462,'Talente &amp; Stuff'!GX:HY,13,FALSE)</f>
        <v>0</v>
      </c>
      <c r="P462" s="123">
        <f>VLOOKUP(C462,'Talente &amp; Stuff'!GX:HY,14,FALSE)</f>
        <v>0</v>
      </c>
      <c r="Q462" s="115">
        <f>VLOOKUP(C462,'Talente &amp; Stuff'!GX:HY,15,FALSE)</f>
        <v>0</v>
      </c>
      <c r="R462" s="122">
        <f>VLOOKUP(C462,'Talente &amp; Stuff'!GX:HY,16,FALSE)</f>
        <v>0</v>
      </c>
      <c r="S462" s="123">
        <f>VLOOKUP(C462,'Talente &amp; Stuff'!GX:HY,17,FALSE)</f>
        <v>0</v>
      </c>
      <c r="T462" s="123">
        <f>VLOOKUP(C462,'Talente &amp; Stuff'!GX:HY,18,FALSE)</f>
        <v>0</v>
      </c>
      <c r="U462" s="90">
        <f>VLOOKUP(C462,'Talente &amp; Stuff'!GX:HY,19,FALSE)</f>
        <v>0</v>
      </c>
      <c r="V462" s="88">
        <f>VLOOKUP(C462,'Talente &amp; Stuff'!GX:HY,20,FALSE)</f>
        <v>0</v>
      </c>
      <c r="W462" s="128">
        <f>VLOOKUP(C462,'Talente &amp; Stuff'!GX:HY,21,FALSE)</f>
        <v>0</v>
      </c>
      <c r="X462" s="128">
        <f>VLOOKUP(C462,'Talente &amp; Stuff'!GX:HY,22,FALSE)</f>
        <v>0</v>
      </c>
      <c r="Y462" s="165">
        <f>VLOOKUP(C462,Ausgewählte_Zeremonien_Rondra,226,FALSE)</f>
        <v>0</v>
      </c>
      <c r="Z462" s="44">
        <f>VLOOKUP(C462,Ausgewählte_Zeremonien_Rondra,227,FALSE)</f>
        <v>0</v>
      </c>
      <c r="AA462" s="159">
        <f>VLOOKUP(C462,'Talente &amp; Stuff'!GX:HY,25,FALSE)</f>
        <v>0</v>
      </c>
      <c r="AB462" s="161">
        <f>VLOOKUP(C462,'Talente &amp; Stuff'!GX:HY,26,FALSE)</f>
        <v>0</v>
      </c>
      <c r="AC462" s="128">
        <f>VLOOKUP(C462,'Talente &amp; Stuff'!GX:HY,27,FALSE)</f>
        <v>0</v>
      </c>
      <c r="AD462" s="159">
        <f>VLOOKUP(C462,'Talente &amp; Stuff'!GX:HY,28,FALSE)</f>
        <v>0</v>
      </c>
      <c r="AE462" s="28"/>
    </row>
    <row r="463" spans="2:31" ht="15" hidden="1" customHeight="1" outlineLevel="1" collapsed="1"/>
    <row r="464" spans="2:31" collapsed="1"/>
    <row r="465" spans="3:31" ht="15.75" thickBot="1">
      <c r="C465" s="196"/>
      <c r="D465" s="4"/>
      <c r="E465" s="4"/>
      <c r="F465" s="6"/>
      <c r="G465" s="6"/>
      <c r="H465" s="6"/>
      <c r="I465" s="6"/>
      <c r="J465" s="6"/>
      <c r="K465" s="6"/>
      <c r="L465" s="6"/>
      <c r="M465" s="6"/>
      <c r="N465" s="4"/>
      <c r="O465" s="48"/>
      <c r="P465" s="6"/>
      <c r="Q465" s="101">
        <f>IFERROR(SUM(Q11:Q463)/COUNTIF(Q11:Q463,"&gt;0"),0)</f>
        <v>0</v>
      </c>
      <c r="R465" s="101">
        <f>IFERROR(SUM(R11:R463)/COUNTIF(R11:R463,"&gt;0"),0)</f>
        <v>0</v>
      </c>
      <c r="S465" s="101">
        <f>IFERROR(SUM(S11:S463)/COUNTIF(S11:S463,"&gt;0"),0)</f>
        <v>0</v>
      </c>
      <c r="T465" s="101">
        <f>Q465+R465+S465</f>
        <v>0</v>
      </c>
      <c r="U465" s="4"/>
      <c r="V465" s="4"/>
      <c r="W465" s="4"/>
      <c r="X465" s="4"/>
      <c r="Y465" s="74"/>
      <c r="Z465" s="1"/>
      <c r="AA465" s="4"/>
      <c r="AB465" s="6"/>
      <c r="AC465" s="4"/>
      <c r="AD465" s="27"/>
      <c r="AE465" s="28"/>
    </row>
    <row r="466" spans="3:31" ht="15.75" thickBot="1">
      <c r="C466" s="196"/>
      <c r="D466" s="4"/>
      <c r="E466" s="4"/>
      <c r="F466" s="274" t="s">
        <v>117</v>
      </c>
      <c r="G466" s="275"/>
      <c r="H466" s="275"/>
      <c r="I466" s="275"/>
      <c r="J466" s="275"/>
      <c r="K466" s="275"/>
      <c r="L466" s="276">
        <f>AVERAGE(F468:M468)</f>
        <v>0</v>
      </c>
      <c r="M466" s="277"/>
      <c r="N466" s="4"/>
      <c r="O466" s="4"/>
      <c r="P466" s="6"/>
      <c r="Q466" s="102" t="s">
        <v>113</v>
      </c>
      <c r="R466" s="102" t="s">
        <v>113</v>
      </c>
      <c r="S466" s="102" t="s">
        <v>113</v>
      </c>
      <c r="T466" s="102" t="s">
        <v>113</v>
      </c>
      <c r="U466" s="4"/>
      <c r="V466" s="4"/>
      <c r="W466" s="20" t="s">
        <v>117</v>
      </c>
      <c r="X466" s="19">
        <f>IFERROR(X468/COUNTIF(X11:X463,"&gt;0"),0)</f>
        <v>0</v>
      </c>
      <c r="Y466" s="204">
        <f>IFERROR(Y468/COUNTIF(Y11:Y463,"&gt;0"),0)</f>
        <v>0</v>
      </c>
      <c r="Z466" s="13">
        <f>IFERROR(Z468/COUNTIF(Z11:Z463,"&gt;0"),0)</f>
        <v>0</v>
      </c>
      <c r="AA466" s="19">
        <f>IFERROR(AA468/COUNTIF(AA11:AA463,"&gt;0"),0)</f>
        <v>0</v>
      </c>
      <c r="AB466" s="19">
        <f>IFERROR(SUM(AB11:AB464)/COUNTIF(AB11:AB464,"&gt;0"),0)</f>
        <v>0</v>
      </c>
      <c r="AC466" s="19">
        <f>IFERROR(SUM(AC11:AC464)/COUNTIF(AC11:AC464,"&gt;0"),0)</f>
        <v>0</v>
      </c>
      <c r="AD466" s="24">
        <f>IFERROR(SUM(AD11:AD464)/COUNTIF(AD11:AD464,"&gt;0"),0)</f>
        <v>0</v>
      </c>
      <c r="AE466" s="28"/>
    </row>
    <row r="467" spans="3:31" ht="15.75" thickBot="1">
      <c r="C467" s="196"/>
      <c r="D467" s="4"/>
      <c r="E467" s="4"/>
      <c r="F467" s="65"/>
      <c r="G467" s="65"/>
      <c r="H467" s="65"/>
      <c r="I467" s="65"/>
      <c r="J467" s="65"/>
      <c r="K467" s="65"/>
      <c r="L467" s="65"/>
      <c r="M467" s="65"/>
      <c r="N467" s="4"/>
      <c r="O467" s="4"/>
      <c r="P467" s="6"/>
      <c r="Q467" s="103">
        <f>Konvention_1master^3</f>
        <v>8000</v>
      </c>
      <c r="R467" s="103">
        <f>Konvention_1master^3</f>
        <v>8000</v>
      </c>
      <c r="S467" s="103">
        <f>Konvention_1master^3</f>
        <v>8000</v>
      </c>
      <c r="T467" s="103">
        <f>Konvention_1master^3</f>
        <v>8000</v>
      </c>
      <c r="U467" s="4"/>
      <c r="V467" s="4"/>
      <c r="W467" s="4"/>
      <c r="X467" s="1"/>
      <c r="Y467" s="74"/>
      <c r="Z467" s="1"/>
      <c r="AA467" s="35"/>
      <c r="AB467" s="22"/>
      <c r="AC467" s="35"/>
      <c r="AD467" s="36"/>
      <c r="AE467" s="28"/>
    </row>
    <row r="468" spans="3:31">
      <c r="C468" s="196"/>
      <c r="D468" s="4"/>
      <c r="E468" s="4"/>
      <c r="F468" s="66">
        <f t="shared" ref="F468:P468" si="38">SUM(F11:F463)</f>
        <v>0</v>
      </c>
      <c r="G468" s="66">
        <f t="shared" si="38"/>
        <v>0</v>
      </c>
      <c r="H468" s="66">
        <f t="shared" si="38"/>
        <v>0</v>
      </c>
      <c r="I468" s="66">
        <f t="shared" si="38"/>
        <v>0</v>
      </c>
      <c r="J468" s="66">
        <f t="shared" si="38"/>
        <v>0</v>
      </c>
      <c r="K468" s="66">
        <f t="shared" si="38"/>
        <v>0</v>
      </c>
      <c r="L468" s="66">
        <f t="shared" si="38"/>
        <v>0</v>
      </c>
      <c r="M468" s="66">
        <f t="shared" si="38"/>
        <v>0</v>
      </c>
      <c r="N468" s="10">
        <f t="shared" si="38"/>
        <v>0</v>
      </c>
      <c r="O468" s="11">
        <f t="shared" si="38"/>
        <v>0</v>
      </c>
      <c r="P468" s="104">
        <f t="shared" si="38"/>
        <v>0</v>
      </c>
      <c r="Q468" s="143">
        <f>Q465/Q467</f>
        <v>0</v>
      </c>
      <c r="R468" s="144">
        <f>R465/R467</f>
        <v>0</v>
      </c>
      <c r="S468" s="145">
        <f>S465/S467</f>
        <v>0</v>
      </c>
      <c r="T468" s="146">
        <f>Q468+R468+S468</f>
        <v>0</v>
      </c>
      <c r="U468" s="7">
        <f>IFERROR(N468*Q465/T465,0)</f>
        <v>0</v>
      </c>
      <c r="V468" s="8">
        <f>IFERROR(O468*R465/T465,0)</f>
        <v>0</v>
      </c>
      <c r="W468" s="9">
        <f>IFERROR(P468*S465/T465,0)</f>
        <v>0</v>
      </c>
      <c r="X468" s="7">
        <f>SUMIF(X11:X463,"&gt;0")</f>
        <v>0</v>
      </c>
      <c r="Y468" s="25">
        <f>SUM(Y11:Y463)</f>
        <v>0</v>
      </c>
      <c r="Z468" s="21">
        <f>SUM(Z11:Z463)</f>
        <v>0</v>
      </c>
      <c r="AA468" s="12">
        <f>IFERROR(SUMIF(AA11:AA463,"&gt;0"),0)</f>
        <v>0</v>
      </c>
      <c r="AB468" s="16">
        <f>SUM(AB11:AB463)</f>
        <v>0</v>
      </c>
      <c r="AC468" s="15">
        <f>SUM(AC11:AC463)</f>
        <v>0</v>
      </c>
      <c r="AD468" s="15">
        <f>IFERROR(SUMIF(AD11:AD463,"&gt;0"),0)</f>
        <v>0</v>
      </c>
      <c r="AE468" s="28"/>
    </row>
    <row r="469" spans="3:31" ht="15.75" thickBot="1">
      <c r="C469" s="196"/>
      <c r="D469" s="4"/>
      <c r="E469" s="4"/>
      <c r="F469" s="278" t="s">
        <v>118</v>
      </c>
      <c r="G469" s="279"/>
      <c r="H469" s="279"/>
      <c r="I469" s="279"/>
      <c r="J469" s="279"/>
      <c r="K469" s="279"/>
      <c r="L469" s="279"/>
      <c r="M469" s="280"/>
      <c r="N469" s="281" t="s">
        <v>116</v>
      </c>
      <c r="O469" s="282"/>
      <c r="P469" s="283"/>
      <c r="Q469" s="284" t="s">
        <v>112</v>
      </c>
      <c r="R469" s="285"/>
      <c r="S469" s="286"/>
      <c r="T469" s="80" t="s">
        <v>145</v>
      </c>
      <c r="U469" s="263" t="s">
        <v>123</v>
      </c>
      <c r="V469" s="264"/>
      <c r="W469" s="265"/>
      <c r="X469" s="195" t="s">
        <v>121</v>
      </c>
      <c r="Y469" s="75" t="s">
        <v>122</v>
      </c>
      <c r="Z469" s="49" t="s">
        <v>124</v>
      </c>
      <c r="AA469" s="50" t="s">
        <v>131</v>
      </c>
      <c r="AB469" s="80" t="s">
        <v>154</v>
      </c>
      <c r="AC469" s="50" t="s">
        <v>156</v>
      </c>
      <c r="AD469" s="51" t="s">
        <v>136</v>
      </c>
      <c r="AE469" s="28"/>
    </row>
    <row r="470" spans="3:31">
      <c r="C470" s="196"/>
      <c r="Y470" s="76"/>
      <c r="Z470" s="1"/>
    </row>
    <row r="471" spans="3:31">
      <c r="C471" s="196"/>
      <c r="Y471" s="76"/>
      <c r="Z471" s="1"/>
    </row>
    <row r="472" spans="3:31">
      <c r="C472" s="196"/>
      <c r="Y472" s="76"/>
      <c r="Z472" s="1"/>
    </row>
    <row r="473" spans="3:31">
      <c r="C473" s="196"/>
      <c r="Y473" s="76"/>
      <c r="Z473" s="1"/>
    </row>
    <row r="474" spans="3:31">
      <c r="C474" s="196"/>
      <c r="Y474" s="76"/>
      <c r="Z474" s="1"/>
    </row>
    <row r="475" spans="3:31">
      <c r="C475" s="196"/>
      <c r="Y475" s="76"/>
      <c r="Z475" s="1"/>
    </row>
    <row r="476" spans="3:31">
      <c r="C476" s="148"/>
      <c r="Y476" s="76"/>
      <c r="Z476" s="1"/>
    </row>
    <row r="477" spans="3:31">
      <c r="C477" s="148"/>
      <c r="Y477" s="76"/>
      <c r="Z477" s="1"/>
    </row>
    <row r="478" spans="3:31">
      <c r="C478" s="148"/>
      <c r="Y478" s="77"/>
      <c r="Z478" s="1"/>
    </row>
    <row r="479" spans="3:31">
      <c r="C479" s="148"/>
      <c r="Y479" s="70"/>
      <c r="Z479" s="1"/>
    </row>
    <row r="480" spans="3:31">
      <c r="C480" s="148"/>
      <c r="Y480" s="65"/>
      <c r="Z480" s="1"/>
    </row>
    <row r="481" spans="3:26">
      <c r="C481" s="196"/>
      <c r="Y481" s="65"/>
      <c r="Z481" s="1"/>
    </row>
    <row r="482" spans="3:26">
      <c r="Y482" s="65"/>
      <c r="Z482" s="1"/>
    </row>
    <row r="483" spans="3:26">
      <c r="Y483" s="65"/>
      <c r="Z483" s="1"/>
    </row>
    <row r="484" spans="3:26">
      <c r="Y484" s="65"/>
      <c r="Z484" s="1"/>
    </row>
    <row r="485" spans="3:26">
      <c r="Y485" s="65"/>
      <c r="Z485" s="1"/>
    </row>
    <row r="486" spans="3:26">
      <c r="Y486" s="65"/>
      <c r="Z486" s="1"/>
    </row>
    <row r="487" spans="3:26">
      <c r="Y487" s="65"/>
      <c r="Z487" s="1"/>
    </row>
    <row r="488" spans="3:26">
      <c r="Y488" s="65"/>
      <c r="Z488" s="1"/>
    </row>
    <row r="489" spans="3:26">
      <c r="Y489" s="65"/>
      <c r="Z489" s="1"/>
    </row>
    <row r="490" spans="3:26">
      <c r="Y490" s="65"/>
      <c r="Z490" s="1"/>
    </row>
    <row r="491" spans="3:26">
      <c r="Y491" s="65"/>
      <c r="Z491" s="1"/>
    </row>
    <row r="492" spans="3:26">
      <c r="Y492" s="65"/>
      <c r="Z492" s="1"/>
    </row>
    <row r="493" spans="3:26">
      <c r="Y493" s="65"/>
      <c r="Z493" s="1"/>
    </row>
    <row r="494" spans="3:26">
      <c r="Y494" s="199"/>
      <c r="Z494" s="199"/>
    </row>
    <row r="495" spans="3:26">
      <c r="Y495" s="199"/>
      <c r="Z495" s="199"/>
    </row>
    <row r="496" spans="3:26">
      <c r="Y496" s="199"/>
      <c r="Z496" s="199"/>
    </row>
    <row r="497" spans="25:26">
      <c r="Y497" s="199"/>
      <c r="Z497" s="199"/>
    </row>
    <row r="498" spans="25:26">
      <c r="Y498" s="199"/>
      <c r="Z498" s="199"/>
    </row>
    <row r="499" spans="25:26">
      <c r="Y499" s="65"/>
      <c r="Z499" s="1"/>
    </row>
  </sheetData>
  <mergeCells count="11">
    <mergeCell ref="U469:W469"/>
    <mergeCell ref="F466:K466"/>
    <mergeCell ref="L466:M466"/>
    <mergeCell ref="F469:M469"/>
    <mergeCell ref="N469:P469"/>
    <mergeCell ref="Q469:S469"/>
    <mergeCell ref="F4:M4"/>
    <mergeCell ref="F7:M7"/>
    <mergeCell ref="N7:P7"/>
    <mergeCell ref="Q7:S7"/>
    <mergeCell ref="U7:W7"/>
  </mergeCells>
  <conditionalFormatting sqref="C11:C24 C26:C34 C36:C42 C44:C55 C57:C73 C78:C98 C100:C126 C128:C151 C153:C211 C213:C257 C259 C461:C462 C352:C355 C357:C365 C367:C374 C376:C386 C388:C389 C391 C393:C395 C400:C402 C404:C409 C411:C417 C419:C423 C425:C432 C434:C439 C441:C444 C448:C449 C455 C457 C323:C348 C261:C296 C298:C321">
    <cfRule type="notContainsErrors" dxfId="15" priority="22">
      <formula>NOT(ISERROR(C11))</formula>
    </cfRule>
  </conditionalFormatting>
  <conditionalFormatting sqref="R5">
    <cfRule type="colorScale" priority="16">
      <colorScale>
        <cfvo type="min" val="0"/>
        <cfvo type="num" val="0"/>
        <cfvo type="max" val="0"/>
        <color rgb="FFFF0000"/>
        <color rgb="FFFFFF00"/>
        <color rgb="FF00B050"/>
      </colorScale>
    </cfRule>
  </conditionalFormatting>
  <conditionalFormatting sqref="F468:M468 L466">
    <cfRule type="colorScale" priority="15">
      <colorScale>
        <cfvo type="min" val="0"/>
        <cfvo type="num" val="$L$466"/>
        <cfvo type="max" val="0"/>
        <color rgb="FF63BE7B"/>
        <color rgb="FFFFEB84"/>
        <color rgb="FFF8696B"/>
      </colorScale>
    </cfRule>
  </conditionalFormatting>
  <conditionalFormatting sqref="Z11:Z466">
    <cfRule type="colorScale" priority="14">
      <colorScale>
        <cfvo type="min" val="0"/>
        <cfvo type="formula" val="noch_benötigte_Punkte_Avg/2"/>
        <cfvo type="max" val="0"/>
        <color rgb="FF00B050"/>
        <color rgb="FFFFFF00"/>
        <color rgb="FFFF0000"/>
      </colorScale>
    </cfRule>
  </conditionalFormatting>
  <conditionalFormatting sqref="AC11:AC466">
    <cfRule type="colorScale" priority="13">
      <colorScale>
        <cfvo type="min" val="0"/>
        <cfvo type="formula" val="AP_noch_Avg/2"/>
        <cfvo type="max" val="0"/>
        <color rgb="FF63BE7B"/>
        <color rgb="FFFFEB84"/>
        <color rgb="FFF8696B"/>
      </colorScale>
    </cfRule>
  </conditionalFormatting>
  <conditionalFormatting sqref="AD11:AD466">
    <cfRule type="colorScale" priority="12">
      <colorScale>
        <cfvo type="num" val="0.01"/>
        <cfvo type="max" val="0"/>
        <color rgb="FF63BE7B"/>
        <color rgb="FFF8696B"/>
      </colorScale>
    </cfRule>
  </conditionalFormatting>
  <conditionalFormatting sqref="C298:C321 C323:C348">
    <cfRule type="notContainsErrors" dxfId="14" priority="10">
      <formula>NOT(ISERROR(C298))</formula>
    </cfRule>
  </conditionalFormatting>
  <conditionalFormatting sqref="C298:C321 C323:C348">
    <cfRule type="notContainsErrors" dxfId="13" priority="6">
      <formula>NOT(ISERROR(C298))</formula>
    </cfRule>
  </conditionalFormatting>
  <conditionalFormatting sqref="C298:C321 C323:C348">
    <cfRule type="notContainsErrors" dxfId="12" priority="5">
      <formula>NOT(ISERROR(C298))</formula>
    </cfRule>
  </conditionalFormatting>
  <conditionalFormatting sqref="C261:C296 C298:C321 C323:C348">
    <cfRule type="notContainsErrors" dxfId="11" priority="4">
      <formula>NOT(ISERROR(C261))</formula>
    </cfRule>
  </conditionalFormatting>
  <conditionalFormatting sqref="C298:C321 C323:C348">
    <cfRule type="notContainsErrors" dxfId="10" priority="3">
      <formula>NOT(ISERROR(C298))</formula>
    </cfRule>
  </conditionalFormatting>
  <conditionalFormatting sqref="C298:C321 C323:C348">
    <cfRule type="notContainsErrors" dxfId="9" priority="2">
      <formula>NOT(ISERROR(C298))</formula>
    </cfRule>
  </conditionalFormatting>
  <conditionalFormatting sqref="C298:C321 C323:C348">
    <cfRule type="notContainsErrors" dxfId="8" priority="1">
      <formula>NOT(ISERROR(C298))</formula>
    </cfRule>
  </conditionalFormatting>
  <dataValidations count="5">
    <dataValidation type="list" allowBlank="1" showInputMessage="1" showErrorMessage="1" sqref="C357:C365 C213:C257 C393:C395 C352:C355 C57:C73 C400:C402 C404:C409 C411:C417 C419:C423 C425:C432 C434:C439 C441:C444 C448:C449 C455 C457 C461:C462 C128:C151 C259 C78:C98 C100:C126 C367:C374 C376:C386 C388:C389 C391 C153:C211 C261:C296 C298:C321 C323:C348">
      <formula1>Talente_Handwerkstalente</formula1>
    </dataValidation>
    <dataValidation type="list" allowBlank="1" showInputMessage="1" showErrorMessage="1" sqref="C44:C55">
      <formula1>Talente_Wissenstalente</formula1>
    </dataValidation>
    <dataValidation type="list" allowBlank="1" showInputMessage="1" showErrorMessage="1" sqref="C36:C42">
      <formula1>Talente_Naturtalente</formula1>
    </dataValidation>
    <dataValidation type="list" allowBlank="1" showInputMessage="1" showErrorMessage="1" sqref="C26:C34">
      <formula1>Talente_Gesellschaftstalente</formula1>
    </dataValidation>
    <dataValidation type="list" allowBlank="1" showInputMessage="1" showErrorMessage="1" sqref="C11:C24">
      <formula1>Talente_Körpertalente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135</vt:i4>
      </vt:variant>
    </vt:vector>
  </HeadingPairs>
  <TitlesOfParts>
    <vt:vector size="145" baseType="lpstr">
      <vt:lpstr>Attribute</vt:lpstr>
      <vt:lpstr>Talente &amp; Stuff</vt:lpstr>
      <vt:lpstr>MU+1</vt:lpstr>
      <vt:lpstr>KL+1</vt:lpstr>
      <vt:lpstr>IN+1</vt:lpstr>
      <vt:lpstr>CH+1</vt:lpstr>
      <vt:lpstr>FF+1</vt:lpstr>
      <vt:lpstr>GE+1</vt:lpstr>
      <vt:lpstr>KO+1</vt:lpstr>
      <vt:lpstr>KK+1</vt:lpstr>
      <vt:lpstr>AP_erhalten_master</vt:lpstr>
      <vt:lpstr>AP_in_Attributen_CH</vt:lpstr>
      <vt:lpstr>AP_in_Attributen_FF</vt:lpstr>
      <vt:lpstr>AP_in_Attributen_GE</vt:lpstr>
      <vt:lpstr>AP_in_Attributen_IN</vt:lpstr>
      <vt:lpstr>AP_in_Attributen_KK</vt:lpstr>
      <vt:lpstr>AP_in_Attributen_KL</vt:lpstr>
      <vt:lpstr>AP_in_Attributen_KO</vt:lpstr>
      <vt:lpstr>AP_in_Attributen_master</vt:lpstr>
      <vt:lpstr>AP_in_Attributen_MU</vt:lpstr>
      <vt:lpstr>AP_in_Talenten_CH</vt:lpstr>
      <vt:lpstr>AP_in_Talenten_FF</vt:lpstr>
      <vt:lpstr>AP_in_Talenten_GE</vt:lpstr>
      <vt:lpstr>AP_in_Talenten_IN</vt:lpstr>
      <vt:lpstr>AP_in_Talenten_KK</vt:lpstr>
      <vt:lpstr>AP_in_Talenten_KL</vt:lpstr>
      <vt:lpstr>AP_in_Talenten_KO</vt:lpstr>
      <vt:lpstr>AP_in_Talenten_master</vt:lpstr>
      <vt:lpstr>AP_in_Talenten_MU</vt:lpstr>
      <vt:lpstr>AP_investiert_CH</vt:lpstr>
      <vt:lpstr>AP_investiert_FF</vt:lpstr>
      <vt:lpstr>AP_investiert_GE</vt:lpstr>
      <vt:lpstr>AP_investiert_IN</vt:lpstr>
      <vt:lpstr>AP_investiert_KK</vt:lpstr>
      <vt:lpstr>AP_investiert_KL</vt:lpstr>
      <vt:lpstr>AP_investiert_KO</vt:lpstr>
      <vt:lpstr>AP_investiert_master</vt:lpstr>
      <vt:lpstr>AP_investiert_MU</vt:lpstr>
      <vt:lpstr>AP_noch_Avg</vt:lpstr>
      <vt:lpstr>AP_noch_CH</vt:lpstr>
      <vt:lpstr>AP_noch_FF</vt:lpstr>
      <vt:lpstr>AP_noch_GE</vt:lpstr>
      <vt:lpstr>AP_noch_IN</vt:lpstr>
      <vt:lpstr>AP_noch_KK</vt:lpstr>
      <vt:lpstr>AP_noch_KL</vt:lpstr>
      <vt:lpstr>AP_noch_KO</vt:lpstr>
      <vt:lpstr>AP_noch_master</vt:lpstr>
      <vt:lpstr>AP_noch_MU</vt:lpstr>
      <vt:lpstr>AP_übrig_master</vt:lpstr>
      <vt:lpstr>Ausgewählte_Liturgien_Allgemein</vt:lpstr>
      <vt:lpstr>Ausgewählte_Liturgien_Boron</vt:lpstr>
      <vt:lpstr>Ausgewählte_Liturgien_Hesinde</vt:lpstr>
      <vt:lpstr>Ausgewählte_Liturgien_Peraine</vt:lpstr>
      <vt:lpstr>Ausgewählte_Liturgien_Phex</vt:lpstr>
      <vt:lpstr>Ausgewählte_Liturgien_Praios</vt:lpstr>
      <vt:lpstr>Ausgewählte_Liturgien_Rondra</vt:lpstr>
      <vt:lpstr>Ausgewählte_Rituale_Allgemein</vt:lpstr>
      <vt:lpstr>Ausgewählte_Rituale_Druiden</vt:lpstr>
      <vt:lpstr>Ausgewählte_Rituale_Elfen</vt:lpstr>
      <vt:lpstr>Ausgewählte_Rituale_Gildenmagier</vt:lpstr>
      <vt:lpstr>Ausgewählte_Rituale_Hexen</vt:lpstr>
      <vt:lpstr>Ausgewählte_Rituale_Kristallomanten</vt:lpstr>
      <vt:lpstr>Ausgewählte_Rituale_Scharlatane</vt:lpstr>
      <vt:lpstr>Ausgewählte_Talente_Gesellschaftstalente</vt:lpstr>
      <vt:lpstr>Ausgewählte_Talente_Handwerkstalente</vt:lpstr>
      <vt:lpstr>Ausgewählte_Talente_Körpertalente</vt:lpstr>
      <vt:lpstr>Ausgewählte_Talente_Naturtalente</vt:lpstr>
      <vt:lpstr>Ausgewählte_Talente_Wissenstalente</vt:lpstr>
      <vt:lpstr>Ausgewählte_Zauber_Allgemein</vt:lpstr>
      <vt:lpstr>Ausgewählte_Zauber_Druiden</vt:lpstr>
      <vt:lpstr>Ausgewählte_Zauber_Elfen</vt:lpstr>
      <vt:lpstr>Ausgewählte_Zauber_Gildenmagier</vt:lpstr>
      <vt:lpstr>Ausgewählte_Zauber_Hexen</vt:lpstr>
      <vt:lpstr>Ausgewählte_Zauber_Kristallomanten</vt:lpstr>
      <vt:lpstr>Ausgewählte_Zauber_Scharlatane</vt:lpstr>
      <vt:lpstr>Ausgewählte_Zauber_Zauberbarden</vt:lpstr>
      <vt:lpstr>Ausgewählte_Zauber_Zaubertänzer</vt:lpstr>
      <vt:lpstr>Ausgewählte_Zeremonien_Allgemein</vt:lpstr>
      <vt:lpstr>Ausgewählte_Zeremonien_Peraine</vt:lpstr>
      <vt:lpstr>Ausgewählte_Zeremonien_Phex</vt:lpstr>
      <vt:lpstr>Ausgewählte_Zeremonien_Rondra</vt:lpstr>
      <vt:lpstr>CHmaster</vt:lpstr>
      <vt:lpstr>CHslave</vt:lpstr>
      <vt:lpstr>CHslave_CH</vt:lpstr>
      <vt:lpstr>FFmaster</vt:lpstr>
      <vt:lpstr>FFslave</vt:lpstr>
      <vt:lpstr>FFslave_FF</vt:lpstr>
      <vt:lpstr>GEmaster</vt:lpstr>
      <vt:lpstr>Gesamt_benötigte_Punkte_Avg</vt:lpstr>
      <vt:lpstr>GEslave</vt:lpstr>
      <vt:lpstr>GEslave_GE</vt:lpstr>
      <vt:lpstr>INmaster</vt:lpstr>
      <vt:lpstr>INslave</vt:lpstr>
      <vt:lpstr>INslave_IN</vt:lpstr>
      <vt:lpstr>KKmaster</vt:lpstr>
      <vt:lpstr>KKslave</vt:lpstr>
      <vt:lpstr>KKslave_KK</vt:lpstr>
      <vt:lpstr>KLmaster</vt:lpstr>
      <vt:lpstr>KLslave</vt:lpstr>
      <vt:lpstr>KLslave_KL</vt:lpstr>
      <vt:lpstr>KOmaster</vt:lpstr>
      <vt:lpstr>Konvention_1master</vt:lpstr>
      <vt:lpstr>Konvention_1slave</vt:lpstr>
      <vt:lpstr>KOslave</vt:lpstr>
      <vt:lpstr>KOslave_KO</vt:lpstr>
      <vt:lpstr>Liturgien_Allgemein</vt:lpstr>
      <vt:lpstr>Liturgien_Boron</vt:lpstr>
      <vt:lpstr>Liturgien_Hesinde</vt:lpstr>
      <vt:lpstr>Liturgien_Peraine</vt:lpstr>
      <vt:lpstr>Liturgien_Phex</vt:lpstr>
      <vt:lpstr>Liturgien_Praios</vt:lpstr>
      <vt:lpstr>Liturgien_Rondra</vt:lpstr>
      <vt:lpstr>MUmaster</vt:lpstr>
      <vt:lpstr>MUslave</vt:lpstr>
      <vt:lpstr>MUslave_MU</vt:lpstr>
      <vt:lpstr>noch_benötigte_Punkte_Avg</vt:lpstr>
      <vt:lpstr>Rituale_Allgemein</vt:lpstr>
      <vt:lpstr>Rituale_Druiden</vt:lpstr>
      <vt:lpstr>Rituale_Elfen</vt:lpstr>
      <vt:lpstr>Rituale_Gildenmagier</vt:lpstr>
      <vt:lpstr>Rituale_Hexen</vt:lpstr>
      <vt:lpstr>Rituale_Kristallomanten</vt:lpstr>
      <vt:lpstr>Rituale_Scharlatane</vt:lpstr>
      <vt:lpstr>Talente_Gesellschaftstalente</vt:lpstr>
      <vt:lpstr>Talente_Handwerkstalente</vt:lpstr>
      <vt:lpstr>Talente_Körpertalente</vt:lpstr>
      <vt:lpstr>Talente_Naturtalente</vt:lpstr>
      <vt:lpstr>Talente_Wissenstalente</vt:lpstr>
      <vt:lpstr>verskilled_AP_Avg</vt:lpstr>
      <vt:lpstr>Zauber_Allgemein</vt:lpstr>
      <vt:lpstr>Zauber_Druiden</vt:lpstr>
      <vt:lpstr>Zauber_Elfen</vt:lpstr>
      <vt:lpstr>Zauber_Gildenmagier</vt:lpstr>
      <vt:lpstr>Zauber_Hexen</vt:lpstr>
      <vt:lpstr>Zauber_Kristallomanten</vt:lpstr>
      <vt:lpstr>Zauber_Scharlatane</vt:lpstr>
      <vt:lpstr>Zauber_Zauberbarden</vt:lpstr>
      <vt:lpstr>Zauber_Zaubertänzer</vt:lpstr>
      <vt:lpstr>Zeremonien_Allgemein</vt:lpstr>
      <vt:lpstr>Zeremonien_Boron</vt:lpstr>
      <vt:lpstr>Zeremonien_Hesinde</vt:lpstr>
      <vt:lpstr>Zeremonien_Peraine</vt:lpstr>
      <vt:lpstr>Zeremonien_Phex</vt:lpstr>
      <vt:lpstr>Zeremonien_Praios</vt:lpstr>
      <vt:lpstr>Zeremonien_Rondra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Johann</dc:creator>
  <cp:lastModifiedBy>Johann Grillitsch</cp:lastModifiedBy>
  <dcterms:created xsi:type="dcterms:W3CDTF">2015-12-23T11:54:42Z</dcterms:created>
  <dcterms:modified xsi:type="dcterms:W3CDTF">2017-01-22T14:19:49Z</dcterms:modified>
</cp:coreProperties>
</file>